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mc:AlternateContent xmlns:mc="http://schemas.openxmlformats.org/markup-compatibility/2006">
    <mc:Choice Requires="x15">
      <x15ac:absPath xmlns:x15ac="http://schemas.microsoft.com/office/spreadsheetml/2010/11/ac" url="/Volumes/Data/DATA VIKTOR 2020/KIB AUDITED 2019 PRINT/"/>
    </mc:Choice>
  </mc:AlternateContent>
  <xr:revisionPtr revIDLastSave="0" documentId="13_ncr:1_{5505E7E6-FE2D-8943-B877-A45F4B4FE76C}" xr6:coauthVersionLast="45" xr6:coauthVersionMax="45" xr10:uidLastSave="{00000000-0000-0000-0000-000000000000}"/>
  <bookViews>
    <workbookView xWindow="0" yWindow="0" windowWidth="25600" windowHeight="16000" activeTab="14" xr2:uid="{00000000-000D-0000-FFFF-FFFF00000000}"/>
  </bookViews>
  <sheets>
    <sheet name="KIB B_koreksi" sheetId="12" state="hidden" r:id="rId1"/>
    <sheet name="KIB B_di bawah kaptl." sheetId="16" state="hidden" r:id="rId2"/>
    <sheet name="KIB A" sheetId="27" r:id="rId3"/>
    <sheet name="KIB B" sheetId="10" r:id="rId4"/>
    <sheet name="KIB C di bawah kapitl." sheetId="15" state="hidden" r:id="rId5"/>
    <sheet name="KIB C Final" sheetId="13" state="hidden" r:id="rId6"/>
    <sheet name="PENGELOMPOKAN_C" sheetId="26" state="hidden" r:id="rId7"/>
    <sheet name="KIB C OK (2)" sheetId="37" state="hidden" r:id="rId8"/>
    <sheet name="BM Reklas ke aset" sheetId="39" state="hidden" r:id="rId9"/>
    <sheet name="KIB C" sheetId="17" r:id="rId10"/>
    <sheet name="PERHITUNGAN (C)" sheetId="24" r:id="rId11"/>
    <sheet name="KAPITALISASI D" sheetId="20" state="hidden" r:id="rId12"/>
    <sheet name="PENGELOMPOKAN" sheetId="21" state="hidden" r:id="rId13"/>
    <sheet name="KIB D OK (2)" sheetId="34" state="hidden" r:id="rId14"/>
    <sheet name="KIB D" sheetId="22" r:id="rId15"/>
    <sheet name="PERHITUNGAN" sheetId="23" r:id="rId16"/>
    <sheet name="Aset Renovasi" sheetId="33" state="hidden" r:id="rId17"/>
    <sheet name="KIB E" sheetId="30" r:id="rId18"/>
    <sheet name="KIB F (2)" sheetId="40" state="hidden" r:id="rId19"/>
    <sheet name="KIB F" sheetId="29" r:id="rId20"/>
    <sheet name="UE" sheetId="9" r:id="rId21"/>
    <sheet name="Format KIB" sheetId="19" r:id="rId22"/>
    <sheet name="rincian" sheetId="36" r:id="rId23"/>
    <sheet name="Sheet3" sheetId="32" r:id="rId24"/>
    <sheet name="Sheet1" sheetId="25" state="hidden"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 localSheetId="16">#REF!</definedName>
    <definedName name="_" localSheetId="8">#REF!</definedName>
    <definedName name="_" localSheetId="7">#REF!</definedName>
    <definedName name="_" localSheetId="13">#REF!</definedName>
    <definedName name="_" localSheetId="18">#REF!</definedName>
    <definedName name="_" localSheetId="6">#REF!</definedName>
    <definedName name="_" localSheetId="10">#REF!</definedName>
    <definedName name="_" localSheetId="22">#REF!</definedName>
    <definedName name="_">#REF!</definedName>
    <definedName name="_xlnm._FilterDatabase" localSheetId="16" hidden="1">'Aset Renovasi'!$A$9:$AL$50</definedName>
    <definedName name="_xlnm._FilterDatabase" localSheetId="8" hidden="1">'BM Reklas ke aset'!$A$9:$AK$17</definedName>
    <definedName name="_xlnm._FilterDatabase" localSheetId="11" hidden="1">'KAPITALISASI D'!$A$9:$AM$1028</definedName>
    <definedName name="_xlnm._FilterDatabase" localSheetId="2" hidden="1">'KIB A'!$A$9:$O$543</definedName>
    <definedName name="_xlnm._FilterDatabase" localSheetId="3" hidden="1">'KIB B'!$A$10:$AJ$326</definedName>
    <definedName name="_xlnm._FilterDatabase" localSheetId="1" hidden="1">'KIB B_di bawah kaptl.'!$B$10:$V$86</definedName>
    <definedName name="_xlnm._FilterDatabase" localSheetId="0" hidden="1">'KIB B_koreksi'!$B$10:$V$368</definedName>
    <definedName name="_xlnm._FilterDatabase" localSheetId="9" hidden="1">'KIB C'!$A$8:$AJ$282</definedName>
    <definedName name="_xlnm._FilterDatabase" localSheetId="4" hidden="1">'KIB C di bawah kapitl.'!$B$9:$R$20</definedName>
    <definedName name="_xlnm._FilterDatabase" localSheetId="5" hidden="1">'KIB C Final'!$B$9:$AH$348</definedName>
    <definedName name="_xlnm._FilterDatabase" localSheetId="7" hidden="1">'KIB C OK (2)'!$A$9:$AK$354</definedName>
    <definedName name="_xlnm._FilterDatabase" localSheetId="14" hidden="1">'KIB D'!$A$8:$AJ$1135</definedName>
    <definedName name="_xlnm._FilterDatabase" localSheetId="13" hidden="1">'KIB D OK (2)'!$A$9:$AM$1024</definedName>
    <definedName name="_xlnm._FilterDatabase" localSheetId="19" hidden="1">'KIB F'!$A$9:$O$66</definedName>
    <definedName name="_xlnm._FilterDatabase" localSheetId="18" hidden="1">'KIB F (2)'!$A$9:$O$106</definedName>
    <definedName name="_xlnm._FilterDatabase" localSheetId="12" hidden="1">PENGELOMPOKAN!$A$9:$AL$507</definedName>
    <definedName name="_xlnm._FilterDatabase" localSheetId="6" hidden="1">PENGELOMPOKAN_C!$A$9:$AJ$349</definedName>
    <definedName name="_xlnm._FilterDatabase" localSheetId="15" hidden="1">PERHITUNGAN!$A$3:$AD$1974</definedName>
    <definedName name="_xlnm._FilterDatabase" localSheetId="10" hidden="1">'PERHITUNGAN (C)'!$B$3:$X$646</definedName>
    <definedName name="_xlnm._FilterDatabase" localSheetId="22" hidden="1">rincian!$A$9:$AJ$78</definedName>
    <definedName name="_xlnm._FilterDatabase" localSheetId="20" hidden="1">UE!$B$4:$F$75</definedName>
    <definedName name="a" localSheetId="16">#REF!</definedName>
    <definedName name="a" localSheetId="8">#REF!</definedName>
    <definedName name="a" localSheetId="7">#REF!</definedName>
    <definedName name="a" localSheetId="13">#REF!</definedName>
    <definedName name="a" localSheetId="18">#REF!</definedName>
    <definedName name="a" localSheetId="6">#REF!</definedName>
    <definedName name="a" localSheetId="10">#REF!</definedName>
    <definedName name="a" localSheetId="22">#REF!</definedName>
    <definedName name="a">#REF!</definedName>
    <definedName name="AA" localSheetId="16">#REF!</definedName>
    <definedName name="AA" localSheetId="8">#REF!</definedName>
    <definedName name="AA" localSheetId="7">#REF!</definedName>
    <definedName name="AA" localSheetId="13">#REF!</definedName>
    <definedName name="AA" localSheetId="18">#REF!</definedName>
    <definedName name="AA" localSheetId="6">#REF!</definedName>
    <definedName name="AA" localSheetId="10">#REF!</definedName>
    <definedName name="AA" localSheetId="22">#REF!</definedName>
    <definedName name="AA">#REF!</definedName>
    <definedName name="ABANABANABAMAHAHHAJAKLA" localSheetId="16">#REF!</definedName>
    <definedName name="ABANABANABAMAHAHHAJAKLA" localSheetId="8">#REF!</definedName>
    <definedName name="ABANABANABAMAHAHHAJAKLA" localSheetId="7">#REF!</definedName>
    <definedName name="ABANABANABAMAHAHHAJAKLA" localSheetId="13">#REF!</definedName>
    <definedName name="ABANABANABAMAHAHHAJAKLA" localSheetId="18">#REF!</definedName>
    <definedName name="ABANABANABAMAHAHHAJAKLA" localSheetId="6">#REF!</definedName>
    <definedName name="ABANABANABAMAHAHHAJAKLA" localSheetId="10">#REF!</definedName>
    <definedName name="ABANABANABAMAHAHHAJAKLA" localSheetId="22">#REF!</definedName>
    <definedName name="ABANABANABAMAHAHHAJAKLA">#REF!</definedName>
    <definedName name="ACUAN">'KAPITALISASI D'!$E$13:$W$1028</definedName>
    <definedName name="ADA" localSheetId="16">#REF!</definedName>
    <definedName name="ADA" localSheetId="8">#REF!</definedName>
    <definedName name="ADA" localSheetId="7">#REF!</definedName>
    <definedName name="ADA" localSheetId="13">#REF!</definedName>
    <definedName name="ADA" localSheetId="18">#REF!</definedName>
    <definedName name="ADA" localSheetId="6">#REF!</definedName>
    <definedName name="ADA" localSheetId="10">#REF!</definedName>
    <definedName name="ADA" localSheetId="22">#REF!</definedName>
    <definedName name="ADA">#REF!</definedName>
    <definedName name="ADI" localSheetId="16">#REF!</definedName>
    <definedName name="ADI" localSheetId="8">#REF!</definedName>
    <definedName name="ADI" localSheetId="7">#REF!</definedName>
    <definedName name="ADI" localSheetId="13">#REF!</definedName>
    <definedName name="ADI" localSheetId="18">#REF!</definedName>
    <definedName name="ADI" localSheetId="6">#REF!</definedName>
    <definedName name="ADI" localSheetId="10">#REF!</definedName>
    <definedName name="ADI" localSheetId="22">#REF!</definedName>
    <definedName name="ADI">#REF!</definedName>
    <definedName name="AED" localSheetId="16">#REF!</definedName>
    <definedName name="AED" localSheetId="8">#REF!</definedName>
    <definedName name="AED" localSheetId="7">#REF!</definedName>
    <definedName name="AED" localSheetId="13">#REF!</definedName>
    <definedName name="AED" localSheetId="18">#REF!</definedName>
    <definedName name="AED" localSheetId="6">#REF!</definedName>
    <definedName name="AED" localSheetId="10">#REF!</definedName>
    <definedName name="AED" localSheetId="22">#REF!</definedName>
    <definedName name="AED">#REF!</definedName>
    <definedName name="ALIAS" localSheetId="16">'[1]A. TANAH'!#REF!</definedName>
    <definedName name="ALIAS" localSheetId="8">'[1]A. TANAH'!#REF!</definedName>
    <definedName name="ALIAS" localSheetId="7">'[1]A. TANAH'!#REF!</definedName>
    <definedName name="ALIAS" localSheetId="13">'[1]A. TANAH'!#REF!</definedName>
    <definedName name="ALIAS" localSheetId="18">'[1]A. TANAH'!#REF!</definedName>
    <definedName name="ALIAS" localSheetId="6">'[1]A. TANAH'!#REF!</definedName>
    <definedName name="ALIAS" localSheetId="10">'[1]A. TANAH'!#REF!</definedName>
    <definedName name="ALIAS" localSheetId="22">'[1]A. TANAH'!#REF!</definedName>
    <definedName name="ALIAS">'[1]A. TANAH'!#REF!</definedName>
    <definedName name="amajsmdjalihanxkklkkj" localSheetId="16">#REF!</definedName>
    <definedName name="amajsmdjalihanxkklkkj" localSheetId="8">#REF!</definedName>
    <definedName name="amajsmdjalihanxkklkkj" localSheetId="7">#REF!</definedName>
    <definedName name="amajsmdjalihanxkklkkj" localSheetId="13">#REF!</definedName>
    <definedName name="amajsmdjalihanxkklkkj" localSheetId="18">#REF!</definedName>
    <definedName name="amajsmdjalihanxkklkkj" localSheetId="6">#REF!</definedName>
    <definedName name="amajsmdjalihanxkklkkj" localSheetId="10">#REF!</definedName>
    <definedName name="amajsmdjalihanxkklkkj" localSheetId="22">#REF!</definedName>
    <definedName name="amajsmdjalihanxkklkkj">#REF!</definedName>
    <definedName name="AMAN" localSheetId="16">#REF!</definedName>
    <definedName name="AMAN" localSheetId="8">#REF!</definedName>
    <definedName name="AMAN" localSheetId="7">#REF!</definedName>
    <definedName name="AMAN" localSheetId="13">#REF!</definedName>
    <definedName name="AMAN" localSheetId="18">#REF!</definedName>
    <definedName name="AMAN" localSheetId="6">#REF!</definedName>
    <definedName name="AMAN" localSheetId="10">#REF!</definedName>
    <definedName name="AMAN" localSheetId="22">#REF!</definedName>
    <definedName name="AMAN">#REF!</definedName>
    <definedName name="ANDES" localSheetId="16">#REF!</definedName>
    <definedName name="ANDES" localSheetId="8">#REF!</definedName>
    <definedName name="ANDES" localSheetId="7">#REF!</definedName>
    <definedName name="ANDES" localSheetId="13">#REF!</definedName>
    <definedName name="ANDES" localSheetId="18">#REF!</definedName>
    <definedName name="ANDES" localSheetId="6">#REF!</definedName>
    <definedName name="ANDES" localSheetId="10">#REF!</definedName>
    <definedName name="ANDES" localSheetId="22">#REF!</definedName>
    <definedName name="ANDES">#REF!</definedName>
    <definedName name="ANGGARAN" localSheetId="16">#REF!</definedName>
    <definedName name="ANGGARAN" localSheetId="8">#REF!</definedName>
    <definedName name="ANGGARAN" localSheetId="7">#REF!</definedName>
    <definedName name="ANGGARAN" localSheetId="13">#REF!</definedName>
    <definedName name="ANGGARAN" localSheetId="18">#REF!</definedName>
    <definedName name="ANGGARAN" localSheetId="6">#REF!</definedName>
    <definedName name="ANGGARAN" localSheetId="10">#REF!</definedName>
    <definedName name="ANGGARAN" localSheetId="22">#REF!</definedName>
    <definedName name="ANGGARAN">#REF!</definedName>
    <definedName name="ANGKA" localSheetId="16">#REF!</definedName>
    <definedName name="ANGKA" localSheetId="8">#REF!</definedName>
    <definedName name="ANGKA" localSheetId="7">#REF!</definedName>
    <definedName name="ANGKA" localSheetId="13">#REF!</definedName>
    <definedName name="ANGKA" localSheetId="18">#REF!</definedName>
    <definedName name="ANGKA" localSheetId="6">#REF!</definedName>
    <definedName name="ANGKA" localSheetId="10">#REF!</definedName>
    <definedName name="ANGKA" localSheetId="22">#REF!</definedName>
    <definedName name="ANGKA">#REF!</definedName>
    <definedName name="AR">Sheet3!$B$2:$C$118</definedName>
    <definedName name="AREA" localSheetId="16">#REF!</definedName>
    <definedName name="AREA" localSheetId="8">#REF!</definedName>
    <definedName name="AREA" localSheetId="7">#REF!</definedName>
    <definedName name="AREA" localSheetId="13">#REF!</definedName>
    <definedName name="AREA" localSheetId="18">#REF!</definedName>
    <definedName name="AREA" localSheetId="6">#REF!</definedName>
    <definedName name="AREA" localSheetId="10">#REF!</definedName>
    <definedName name="AREA" localSheetId="22">#REF!</definedName>
    <definedName name="AREA">#REF!</definedName>
    <definedName name="ASET" localSheetId="16">#REF!</definedName>
    <definedName name="ASET" localSheetId="8">#REF!</definedName>
    <definedName name="ASET" localSheetId="7">#REF!</definedName>
    <definedName name="ASET" localSheetId="13">#REF!</definedName>
    <definedName name="ASET" localSheetId="18">#REF!</definedName>
    <definedName name="ASET" localSheetId="6">#REF!</definedName>
    <definedName name="ASET" localSheetId="10">#REF!</definedName>
    <definedName name="ASET" localSheetId="22">#REF!</definedName>
    <definedName name="ASET">#REF!</definedName>
    <definedName name="ASISTEN_BIDANG_PEMERINTAHAN" localSheetId="16">#REF!</definedName>
    <definedName name="ASISTEN_BIDANG_PEMERINTAHAN" localSheetId="8">#REF!</definedName>
    <definedName name="ASISTEN_BIDANG_PEMERINTAHAN" localSheetId="7">#REF!</definedName>
    <definedName name="ASISTEN_BIDANG_PEMERINTAHAN" localSheetId="13">#REF!</definedName>
    <definedName name="ASISTEN_BIDANG_PEMERINTAHAN" localSheetId="18">#REF!</definedName>
    <definedName name="ASISTEN_BIDANG_PEMERINTAHAN" localSheetId="6">#REF!</definedName>
    <definedName name="ASISTEN_BIDANG_PEMERINTAHAN" localSheetId="10">#REF!</definedName>
    <definedName name="ASISTEN_BIDANG_PEMERINTAHAN" localSheetId="22">#REF!</definedName>
    <definedName name="ASISTEN_BIDANG_PEMERINTAHAN">#REF!</definedName>
    <definedName name="assdfg" localSheetId="16">#REF!</definedName>
    <definedName name="assdfg" localSheetId="8">#REF!</definedName>
    <definedName name="assdfg" localSheetId="7">#REF!</definedName>
    <definedName name="assdfg" localSheetId="13">#REF!</definedName>
    <definedName name="assdfg" localSheetId="18">#REF!</definedName>
    <definedName name="assdfg" localSheetId="6">#REF!</definedName>
    <definedName name="assdfg" localSheetId="10">#REF!</definedName>
    <definedName name="assdfg" localSheetId="22">#REF!</definedName>
    <definedName name="assdfg">#REF!</definedName>
    <definedName name="b" localSheetId="16">#REF!</definedName>
    <definedName name="b" localSheetId="8">#REF!</definedName>
    <definedName name="b" localSheetId="7">#REF!</definedName>
    <definedName name="b" localSheetId="13">#REF!</definedName>
    <definedName name="b" localSheetId="18">#REF!</definedName>
    <definedName name="b" localSheetId="6">#REF!</definedName>
    <definedName name="b" localSheetId="10">#REF!</definedName>
    <definedName name="b" localSheetId="22">#REF!</definedName>
    <definedName name="b">#REF!</definedName>
    <definedName name="B_A_P_P_E_D_A">[2]BAPPEDA!$J$5</definedName>
    <definedName name="B_A_W_A_S_D_A">[2]BAWASDA!$J$5</definedName>
    <definedName name="BAB" localSheetId="16">#REF!</definedName>
    <definedName name="BAB" localSheetId="8">#REF!</definedName>
    <definedName name="BAB" localSheetId="7">#REF!</definedName>
    <definedName name="BAB" localSheetId="13">#REF!</definedName>
    <definedName name="BAB" localSheetId="18">#REF!</definedName>
    <definedName name="BAB" localSheetId="6">#REF!</definedName>
    <definedName name="BAB" localSheetId="10">#REF!</definedName>
    <definedName name="BAB" localSheetId="22">#REF!</definedName>
    <definedName name="BAB">#REF!</definedName>
    <definedName name="BABI" localSheetId="16">#REF!</definedName>
    <definedName name="BABI" localSheetId="8">#REF!</definedName>
    <definedName name="BABI" localSheetId="7">#REF!</definedName>
    <definedName name="BABI" localSheetId="13">#REF!</definedName>
    <definedName name="BABI" localSheetId="18">#REF!</definedName>
    <definedName name="BABI" localSheetId="6">#REF!</definedName>
    <definedName name="BABI" localSheetId="10">#REF!</definedName>
    <definedName name="BABI" localSheetId="22">#REF!</definedName>
    <definedName name="BABI">#REF!</definedName>
    <definedName name="BAGIAN_PEMBERDAYAAN_MASYARAKAT_DESA">[2]PMD!$J$5</definedName>
    <definedName name="Bajas" localSheetId="16">#REF!</definedName>
    <definedName name="Bajas" localSheetId="8">#REF!</definedName>
    <definedName name="Bajas" localSheetId="7">#REF!</definedName>
    <definedName name="Bajas" localSheetId="13">#REF!</definedName>
    <definedName name="Bajas" localSheetId="18">#REF!</definedName>
    <definedName name="Bajas" localSheetId="6">#REF!</definedName>
    <definedName name="Bajas" localSheetId="10">#REF!</definedName>
    <definedName name="Bajas" localSheetId="22">#REF!</definedName>
    <definedName name="Bajas">#REF!</definedName>
    <definedName name="BANGUNAN" localSheetId="16">#REF!</definedName>
    <definedName name="BANGUNAN" localSheetId="8">#REF!</definedName>
    <definedName name="BANGUNAN" localSheetId="7">#REF!</definedName>
    <definedName name="BANGUNAN" localSheetId="13">#REF!</definedName>
    <definedName name="BANGUNAN" localSheetId="18">#REF!</definedName>
    <definedName name="BANGUNAN" localSheetId="6">#REF!</definedName>
    <definedName name="BANGUNAN" localSheetId="10">#REF!</definedName>
    <definedName name="BANGUNAN" localSheetId="22">#REF!</definedName>
    <definedName name="BANGUNAN">#REF!</definedName>
    <definedName name="BARANG" localSheetId="16">'[1]A. TANAH'!#REF!</definedName>
    <definedName name="BARANG" localSheetId="8">'[1]A. TANAH'!#REF!</definedName>
    <definedName name="BARANG" localSheetId="7">'[1]A. TANAH'!#REF!</definedName>
    <definedName name="BARANG" localSheetId="13">'[1]A. TANAH'!#REF!</definedName>
    <definedName name="BARANG" localSheetId="18">'[1]A. TANAH'!#REF!</definedName>
    <definedName name="BARANG" localSheetId="6">'[1]A. TANAH'!#REF!</definedName>
    <definedName name="BARANG" localSheetId="10">'[1]A. TANAH'!#REF!</definedName>
    <definedName name="BARANG" localSheetId="22">'[1]A. TANAH'!#REF!</definedName>
    <definedName name="BARANG">'[1]A. TANAH'!#REF!</definedName>
    <definedName name="BARANGBARANG" localSheetId="16">#REF!</definedName>
    <definedName name="BARANGBARANG" localSheetId="8">#REF!</definedName>
    <definedName name="BARANGBARANG" localSheetId="7">#REF!</definedName>
    <definedName name="BARANGBARANG" localSheetId="13">#REF!</definedName>
    <definedName name="BARANGBARANG" localSheetId="18">#REF!</definedName>
    <definedName name="BARANGBARANG" localSheetId="6">#REF!</definedName>
    <definedName name="BARANGBARANG" localSheetId="10">#REF!</definedName>
    <definedName name="BARANGBARANG" localSheetId="22">#REF!</definedName>
    <definedName name="BARANGBARANG">#REF!</definedName>
    <definedName name="BARANGKODE" localSheetId="16">'[1]A. TANAH'!#REF!</definedName>
    <definedName name="BARANGKODE" localSheetId="8">'[1]A. TANAH'!#REF!</definedName>
    <definedName name="BARANGKODE" localSheetId="7">'[1]A. TANAH'!#REF!</definedName>
    <definedName name="BARANGKODE" localSheetId="13">'[1]A. TANAH'!#REF!</definedName>
    <definedName name="BARANGKODE" localSheetId="18">'[1]A. TANAH'!#REF!</definedName>
    <definedName name="BARANGKODE" localSheetId="6">'[1]A. TANAH'!#REF!</definedName>
    <definedName name="BARANGKODE" localSheetId="10">'[1]A. TANAH'!#REF!</definedName>
    <definedName name="BARANGKODE" localSheetId="22">'[1]A. TANAH'!#REF!</definedName>
    <definedName name="BARANGKODE">'[1]A. TANAH'!#REF!</definedName>
    <definedName name="BB" localSheetId="16">#REF!</definedName>
    <definedName name="BB" localSheetId="8">#REF!</definedName>
    <definedName name="BB" localSheetId="7">#REF!</definedName>
    <definedName name="BB" localSheetId="13">#REF!</definedName>
    <definedName name="BB" localSheetId="18">#REF!</definedName>
    <definedName name="BB" localSheetId="6">#REF!</definedName>
    <definedName name="BB" localSheetId="10">#REF!</definedName>
    <definedName name="BB" localSheetId="22">#REF!</definedName>
    <definedName name="BB">#REF!</definedName>
    <definedName name="BBBB" localSheetId="16">#REF!</definedName>
    <definedName name="BBBB" localSheetId="8">#REF!</definedName>
    <definedName name="BBBB" localSheetId="7">#REF!</definedName>
    <definedName name="BBBB" localSheetId="13">#REF!</definedName>
    <definedName name="BBBB" localSheetId="18">#REF!</definedName>
    <definedName name="BBBB" localSheetId="6">#REF!</definedName>
    <definedName name="BBBB" localSheetId="10">#REF!</definedName>
    <definedName name="BBBB" localSheetId="22">#REF!</definedName>
    <definedName name="BBBB">#REF!</definedName>
    <definedName name="BERLIAN" localSheetId="16">#REF!</definedName>
    <definedName name="BERLIAN" localSheetId="8">#REF!</definedName>
    <definedName name="BERLIAN" localSheetId="7">#REF!</definedName>
    <definedName name="BERLIAN" localSheetId="13">#REF!</definedName>
    <definedName name="BERLIAN" localSheetId="18">#REF!</definedName>
    <definedName name="BERLIAN" localSheetId="6">#REF!</definedName>
    <definedName name="BERLIAN" localSheetId="10">#REF!</definedName>
    <definedName name="BERLIAN" localSheetId="22">#REF!</definedName>
    <definedName name="BERLIAN">#REF!</definedName>
    <definedName name="BK" localSheetId="16">'[1]A. TANAH'!#REF!</definedName>
    <definedName name="BK" localSheetId="8">'[1]A. TANAH'!#REF!</definedName>
    <definedName name="BK" localSheetId="7">'[1]A. TANAH'!#REF!</definedName>
    <definedName name="BK" localSheetId="13">'[1]A. TANAH'!#REF!</definedName>
    <definedName name="BK" localSheetId="18">'[1]A. TANAH'!#REF!</definedName>
    <definedName name="BK" localSheetId="6">'[1]A. TANAH'!#REF!</definedName>
    <definedName name="BK" localSheetId="10">'[1]A. TANAH'!#REF!</definedName>
    <definedName name="BK" localSheetId="22">'[1]A. TANAH'!#REF!</definedName>
    <definedName name="BK">'[1]A. TANAH'!#REF!</definedName>
    <definedName name="BUDI" localSheetId="16">#REF!</definedName>
    <definedName name="BUDI" localSheetId="8">#REF!</definedName>
    <definedName name="BUDI" localSheetId="7">#REF!</definedName>
    <definedName name="BUDI" localSheetId="13">#REF!</definedName>
    <definedName name="BUDI" localSheetId="18">#REF!</definedName>
    <definedName name="BUDI" localSheetId="6">#REF!</definedName>
    <definedName name="BUDI" localSheetId="10">#REF!</definedName>
    <definedName name="BUDI" localSheetId="22">#REF!</definedName>
    <definedName name="BUDI">#REF!</definedName>
    <definedName name="BURHAN" localSheetId="16">#REF!</definedName>
    <definedName name="BURHAN" localSheetId="8">#REF!</definedName>
    <definedName name="BURHAN" localSheetId="7">#REF!</definedName>
    <definedName name="BURHAN" localSheetId="13">#REF!</definedName>
    <definedName name="BURHAN" localSheetId="18">#REF!</definedName>
    <definedName name="BURHAN" localSheetId="6">#REF!</definedName>
    <definedName name="BURHAN" localSheetId="10">#REF!</definedName>
    <definedName name="BURHAN" localSheetId="22">#REF!</definedName>
    <definedName name="BURHAN">#REF!</definedName>
    <definedName name="CARA" localSheetId="16">#REF!</definedName>
    <definedName name="CARA" localSheetId="8">#REF!</definedName>
    <definedName name="CARA" localSheetId="7">#REF!</definedName>
    <definedName name="CARA" localSheetId="13">#REF!</definedName>
    <definedName name="CARA" localSheetId="18">#REF!</definedName>
    <definedName name="CARA" localSheetId="6">#REF!</definedName>
    <definedName name="CARA" localSheetId="10">#REF!</definedName>
    <definedName name="CARA" localSheetId="22">#REF!</definedName>
    <definedName name="CARA">#REF!</definedName>
    <definedName name="D" localSheetId="16">#REF!</definedName>
    <definedName name="D" localSheetId="8">#REF!</definedName>
    <definedName name="D" localSheetId="7">#REF!</definedName>
    <definedName name="D" localSheetId="13">#REF!</definedName>
    <definedName name="D" localSheetId="18">#REF!</definedName>
    <definedName name="D" localSheetId="6">#REF!</definedName>
    <definedName name="D" localSheetId="10">#REF!</definedName>
    <definedName name="D" localSheetId="22">#REF!</definedName>
    <definedName name="D">#REF!</definedName>
    <definedName name="da" localSheetId="16">#REF!</definedName>
    <definedName name="da" localSheetId="8">#REF!</definedName>
    <definedName name="da" localSheetId="7">#REF!</definedName>
    <definedName name="da" localSheetId="13">#REF!</definedName>
    <definedName name="da" localSheetId="18">#REF!</definedName>
    <definedName name="da" localSheetId="6">#REF!</definedName>
    <definedName name="da" localSheetId="10">#REF!</definedName>
    <definedName name="da" localSheetId="22">#REF!</definedName>
    <definedName name="da">#REF!</definedName>
    <definedName name="DAERAH" localSheetId="16">#REF!</definedName>
    <definedName name="DAERAH" localSheetId="8">#REF!</definedName>
    <definedName name="DAERAH" localSheetId="7">#REF!</definedName>
    <definedName name="DAERAH" localSheetId="13">#REF!</definedName>
    <definedName name="DAERAH" localSheetId="18">#REF!</definedName>
    <definedName name="DAERAH" localSheetId="6">#REF!</definedName>
    <definedName name="DAERAH" localSheetId="10">#REF!</definedName>
    <definedName name="DAERAH" localSheetId="22">#REF!</definedName>
    <definedName name="DAERAH">#REF!</definedName>
    <definedName name="data" localSheetId="16">'[1]A. TANAH'!#REF!</definedName>
    <definedName name="data" localSheetId="8">'[1]A. TANAH'!#REF!</definedName>
    <definedName name="data" localSheetId="7">'[1]A. TANAH'!#REF!</definedName>
    <definedName name="data" localSheetId="13">'[1]A. TANAH'!#REF!</definedName>
    <definedName name="data" localSheetId="18">'[1]A. TANAH'!#REF!</definedName>
    <definedName name="data" localSheetId="6">'[1]A. TANAH'!#REF!</definedName>
    <definedName name="data" localSheetId="10">'[1]A. TANAH'!#REF!</definedName>
    <definedName name="data" localSheetId="22">'[1]A. TANAH'!#REF!</definedName>
    <definedName name="data">'[1]A. TANAH'!#REF!</definedName>
    <definedName name="_xlnm.Database" localSheetId="16">#REF!</definedName>
    <definedName name="_xlnm.Database" localSheetId="8">#REF!</definedName>
    <definedName name="_xlnm.Database" localSheetId="7">#REF!</definedName>
    <definedName name="_xlnm.Database" localSheetId="13">#REF!</definedName>
    <definedName name="_xlnm.Database" localSheetId="18">#REF!</definedName>
    <definedName name="_xlnm.Database" localSheetId="6">#REF!</definedName>
    <definedName name="_xlnm.Database" localSheetId="10">#REF!</definedName>
    <definedName name="_xlnm.Database" localSheetId="22">#REF!</definedName>
    <definedName name="_xlnm.Database">#REF!</definedName>
    <definedName name="DEA" localSheetId="16">#REF!</definedName>
    <definedName name="DEA" localSheetId="8">#REF!</definedName>
    <definedName name="DEA" localSheetId="7">#REF!</definedName>
    <definedName name="DEA" localSheetId="13">#REF!</definedName>
    <definedName name="DEA" localSheetId="18">#REF!</definedName>
    <definedName name="DEA" localSheetId="6">#REF!</definedName>
    <definedName name="DEA" localSheetId="10">#REF!</definedName>
    <definedName name="DEA" localSheetId="22">#REF!</definedName>
    <definedName name="DEA">#REF!</definedName>
    <definedName name="DEDE" localSheetId="16">#REF!</definedName>
    <definedName name="DEDE" localSheetId="8">#REF!</definedName>
    <definedName name="DEDE" localSheetId="7">#REF!</definedName>
    <definedName name="DEDE" localSheetId="13">#REF!</definedName>
    <definedName name="DEDE" localSheetId="18">#REF!</definedName>
    <definedName name="DEDE" localSheetId="6">#REF!</definedName>
    <definedName name="DEDE" localSheetId="10">#REF!</definedName>
    <definedName name="DEDE" localSheetId="22">#REF!</definedName>
    <definedName name="DEDE">#REF!</definedName>
    <definedName name="DEWA" localSheetId="16">#REF!</definedName>
    <definedName name="DEWA" localSheetId="8">#REF!</definedName>
    <definedName name="DEWA" localSheetId="7">#REF!</definedName>
    <definedName name="DEWA" localSheetId="13">#REF!</definedName>
    <definedName name="DEWA" localSheetId="18">#REF!</definedName>
    <definedName name="DEWA" localSheetId="6">#REF!</definedName>
    <definedName name="DEWA" localSheetId="10">#REF!</definedName>
    <definedName name="DEWA" localSheetId="22">#REF!</definedName>
    <definedName name="DEWA">#REF!</definedName>
    <definedName name="DEWI" localSheetId="16">#REF!</definedName>
    <definedName name="DEWI" localSheetId="8">#REF!</definedName>
    <definedName name="DEWI" localSheetId="7">#REF!</definedName>
    <definedName name="DEWI" localSheetId="13">#REF!</definedName>
    <definedName name="DEWI" localSheetId="18">#REF!</definedName>
    <definedName name="DEWI" localSheetId="6">#REF!</definedName>
    <definedName name="DEWI" localSheetId="10">#REF!</definedName>
    <definedName name="DEWI" localSheetId="22">#REF!</definedName>
    <definedName name="DEWI">#REF!</definedName>
    <definedName name="DIA" localSheetId="16">#REF!</definedName>
    <definedName name="DIA" localSheetId="8">#REF!</definedName>
    <definedName name="DIA" localSheetId="7">#REF!</definedName>
    <definedName name="DIA" localSheetId="13">#REF!</definedName>
    <definedName name="DIA" localSheetId="18">#REF!</definedName>
    <definedName name="DIA" localSheetId="6">#REF!</definedName>
    <definedName name="DIA" localSheetId="10">#REF!</definedName>
    <definedName name="DIA" localSheetId="22">#REF!</definedName>
    <definedName name="DIA">#REF!</definedName>
    <definedName name="DINAS_KEHUTANAN_PERKEBUNAN">[2]EKBANG!$J$4</definedName>
    <definedName name="DINAS_PENDAPATAN_DAERAH">[2]PMD!$J$5</definedName>
    <definedName name="DINAS_PERINDAGKOP_NAKERTRANS">[2]KESBANG!$J$5</definedName>
    <definedName name="DINAS_PERTAMBANGAN_DAN_LINGKUNGAN_HIDUP">[2]CAPIL!$J$5</definedName>
    <definedName name="DINAS_PU_DAN_PERHUBUNGAN">[2]TAPEM!$J$5</definedName>
    <definedName name="DOKUMEN" localSheetId="16">#REF!</definedName>
    <definedName name="DOKUMEN" localSheetId="8">#REF!</definedName>
    <definedName name="DOKUMEN" localSheetId="7">#REF!</definedName>
    <definedName name="DOKUMEN" localSheetId="13">#REF!</definedName>
    <definedName name="DOKUMEN" localSheetId="18">#REF!</definedName>
    <definedName name="DOKUMEN" localSheetId="6">#REF!</definedName>
    <definedName name="DOKUMEN" localSheetId="10">#REF!</definedName>
    <definedName name="DOKUMEN" localSheetId="22">#REF!</definedName>
    <definedName name="DOKUMEN">#REF!</definedName>
    <definedName name="DPRD_KOLAKA_UTARA" localSheetId="16">#REF!</definedName>
    <definedName name="DPRD_KOLAKA_UTARA" localSheetId="8">#REF!</definedName>
    <definedName name="DPRD_KOLAKA_UTARA" localSheetId="7">#REF!</definedName>
    <definedName name="DPRD_KOLAKA_UTARA" localSheetId="13">#REF!</definedName>
    <definedName name="DPRD_KOLAKA_UTARA" localSheetId="18">#REF!</definedName>
    <definedName name="DPRD_KOLAKA_UTARA" localSheetId="6">#REF!</definedName>
    <definedName name="DPRD_KOLAKA_UTARA" localSheetId="10">#REF!</definedName>
    <definedName name="DPRD_KOLAKA_UTARA" localSheetId="22">#REF!</definedName>
    <definedName name="DPRD_KOLAKA_UTARA">#REF!</definedName>
    <definedName name="dua" localSheetId="16">'[1]A. TANAH'!#REF!</definedName>
    <definedName name="dua" localSheetId="8">'[1]A. TANAH'!#REF!</definedName>
    <definedName name="dua" localSheetId="7">'[1]A. TANAH'!#REF!</definedName>
    <definedName name="dua" localSheetId="13">'[1]A. TANAH'!#REF!</definedName>
    <definedName name="dua" localSheetId="18">'[1]A. TANAH'!#REF!</definedName>
    <definedName name="dua" localSheetId="6">'[1]A. TANAH'!#REF!</definedName>
    <definedName name="dua" localSheetId="10">'[1]A. TANAH'!#REF!</definedName>
    <definedName name="dua" localSheetId="22">'[1]A. TANAH'!#REF!</definedName>
    <definedName name="dua">'[1]A. TANAH'!#REF!</definedName>
    <definedName name="DUNIA" localSheetId="16">#REF!</definedName>
    <definedName name="DUNIA" localSheetId="8">#REF!</definedName>
    <definedName name="DUNIA" localSheetId="7">#REF!</definedName>
    <definedName name="DUNIA" localSheetId="13">#REF!</definedName>
    <definedName name="DUNIA" localSheetId="18">#REF!</definedName>
    <definedName name="DUNIA" localSheetId="6">#REF!</definedName>
    <definedName name="DUNIA" localSheetId="10">#REF!</definedName>
    <definedName name="DUNIA" localSheetId="22">#REF!</definedName>
    <definedName name="DUNIA">#REF!</definedName>
    <definedName name="e" localSheetId="16">#REF!</definedName>
    <definedName name="e" localSheetId="8">#REF!</definedName>
    <definedName name="e" localSheetId="7">#REF!</definedName>
    <definedName name="e" localSheetId="13">#REF!</definedName>
    <definedName name="e" localSheetId="18">#REF!</definedName>
    <definedName name="e" localSheetId="6">#REF!</definedName>
    <definedName name="e" localSheetId="10">#REF!</definedName>
    <definedName name="e" localSheetId="22">#REF!</definedName>
    <definedName name="e">#REF!</definedName>
    <definedName name="ekspor" localSheetId="16">#REF!</definedName>
    <definedName name="ekspor" localSheetId="8">#REF!</definedName>
    <definedName name="ekspor" localSheetId="7">#REF!</definedName>
    <definedName name="ekspor" localSheetId="13">#REF!</definedName>
    <definedName name="ekspor" localSheetId="18">#REF!</definedName>
    <definedName name="ekspor" localSheetId="6">#REF!</definedName>
    <definedName name="ekspor" localSheetId="10">#REF!</definedName>
    <definedName name="ekspor" localSheetId="22">#REF!</definedName>
    <definedName name="ekspor">#REF!</definedName>
    <definedName name="Excel_BuiltIn_Print_Area_1" localSheetId="16">#REF!</definedName>
    <definedName name="Excel_BuiltIn_Print_Area_1" localSheetId="8">#REF!</definedName>
    <definedName name="Excel_BuiltIn_Print_Area_1" localSheetId="7">#REF!</definedName>
    <definedName name="Excel_BuiltIn_Print_Area_1" localSheetId="13">#REF!</definedName>
    <definedName name="Excel_BuiltIn_Print_Area_1" localSheetId="18">#REF!</definedName>
    <definedName name="Excel_BuiltIn_Print_Area_1" localSheetId="6">#REF!</definedName>
    <definedName name="Excel_BuiltIn_Print_Area_1" localSheetId="10">#REF!</definedName>
    <definedName name="Excel_BuiltIn_Print_Area_1" localSheetId="22">#REF!</definedName>
    <definedName name="Excel_BuiltIn_Print_Area_1">#REF!</definedName>
    <definedName name="Excel_BuiltIn_Print_Area_10" localSheetId="16">#REF!</definedName>
    <definedName name="Excel_BuiltIn_Print_Area_10" localSheetId="8">#REF!</definedName>
    <definedName name="Excel_BuiltIn_Print_Area_10" localSheetId="7">#REF!</definedName>
    <definedName name="Excel_BuiltIn_Print_Area_10" localSheetId="13">#REF!</definedName>
    <definedName name="Excel_BuiltIn_Print_Area_10" localSheetId="18">#REF!</definedName>
    <definedName name="Excel_BuiltIn_Print_Area_10" localSheetId="6">#REF!</definedName>
    <definedName name="Excel_BuiltIn_Print_Area_10" localSheetId="10">#REF!</definedName>
    <definedName name="Excel_BuiltIn_Print_Area_10" localSheetId="22">#REF!</definedName>
    <definedName name="Excel_BuiltIn_Print_Area_10">#REF!</definedName>
    <definedName name="Excel_BuiltIn_Print_Area_11" localSheetId="16">'[3]Bant _ Tdk Trsangka'!#REF!</definedName>
    <definedName name="Excel_BuiltIn_Print_Area_11" localSheetId="8">'[3]Bant _ Tdk Trsangka'!#REF!</definedName>
    <definedName name="Excel_BuiltIn_Print_Area_11" localSheetId="7">'[3]Bant _ Tdk Trsangka'!#REF!</definedName>
    <definedName name="Excel_BuiltIn_Print_Area_11" localSheetId="13">'[3]Bant _ Tdk Trsangka'!#REF!</definedName>
    <definedName name="Excel_BuiltIn_Print_Area_11" localSheetId="18">'[3]Bant _ Tdk Trsangka'!#REF!</definedName>
    <definedName name="Excel_BuiltIn_Print_Area_11" localSheetId="6">'[3]Bant _ Tdk Trsangka'!#REF!</definedName>
    <definedName name="Excel_BuiltIn_Print_Area_11" localSheetId="10">'[3]Bant _ Tdk Trsangka'!#REF!</definedName>
    <definedName name="Excel_BuiltIn_Print_Area_11" localSheetId="22">'[3]Bant _ Tdk Trsangka'!#REF!</definedName>
    <definedName name="Excel_BuiltIn_Print_Area_11">'[3]Bant _ Tdk Trsangka'!#REF!</definedName>
    <definedName name="Excel_BuiltIn_Print_Area_12" localSheetId="16">[3]Pembiayaan!#REF!</definedName>
    <definedName name="Excel_BuiltIn_Print_Area_12" localSheetId="8">[3]Pembiayaan!#REF!</definedName>
    <definedName name="Excel_BuiltIn_Print_Area_12" localSheetId="7">[3]Pembiayaan!#REF!</definedName>
    <definedName name="Excel_BuiltIn_Print_Area_12" localSheetId="13">[3]Pembiayaan!#REF!</definedName>
    <definedName name="Excel_BuiltIn_Print_Area_12" localSheetId="18">[3]Pembiayaan!#REF!</definedName>
    <definedName name="Excel_BuiltIn_Print_Area_12" localSheetId="6">[3]Pembiayaan!#REF!</definedName>
    <definedName name="Excel_BuiltIn_Print_Area_12" localSheetId="10">[3]Pembiayaan!#REF!</definedName>
    <definedName name="Excel_BuiltIn_Print_Area_12" localSheetId="22">[3]Pembiayaan!#REF!</definedName>
    <definedName name="Excel_BuiltIn_Print_Area_12">[3]Pembiayaan!#REF!</definedName>
    <definedName name="Excel_BuiltIn_Print_Area_6" localSheetId="16">'[3]Rekap Belanja'!#REF!</definedName>
    <definedName name="Excel_BuiltIn_Print_Area_6" localSheetId="8">'[3]Rekap Belanja'!#REF!</definedName>
    <definedName name="Excel_BuiltIn_Print_Area_6" localSheetId="7">'[3]Rekap Belanja'!#REF!</definedName>
    <definedName name="Excel_BuiltIn_Print_Area_6" localSheetId="13">'[3]Rekap Belanja'!#REF!</definedName>
    <definedName name="Excel_BuiltIn_Print_Area_6" localSheetId="18">'[3]Rekap Belanja'!#REF!</definedName>
    <definedName name="Excel_BuiltIn_Print_Area_6" localSheetId="6">'[3]Rekap Belanja'!#REF!</definedName>
    <definedName name="Excel_BuiltIn_Print_Area_6" localSheetId="10">'[3]Rekap Belanja'!#REF!</definedName>
    <definedName name="Excel_BuiltIn_Print_Area_6" localSheetId="22">'[3]Rekap Belanja'!#REF!</definedName>
    <definedName name="Excel_BuiltIn_Print_Area_6">'[3]Rekap Belanja'!#REF!</definedName>
    <definedName name="Excel_BuiltIn_Print_Titles_1" localSheetId="16">#REF!</definedName>
    <definedName name="Excel_BuiltIn_Print_Titles_1" localSheetId="8">#REF!</definedName>
    <definedName name="Excel_BuiltIn_Print_Titles_1" localSheetId="7">#REF!</definedName>
    <definedName name="Excel_BuiltIn_Print_Titles_1" localSheetId="13">#REF!</definedName>
    <definedName name="Excel_BuiltIn_Print_Titles_1" localSheetId="18">#REF!</definedName>
    <definedName name="Excel_BuiltIn_Print_Titles_1" localSheetId="6">#REF!</definedName>
    <definedName name="Excel_BuiltIn_Print_Titles_1" localSheetId="10">#REF!</definedName>
    <definedName name="Excel_BuiltIn_Print_Titles_1" localSheetId="22">#REF!</definedName>
    <definedName name="Excel_BuiltIn_Print_Titles_1">#REF!</definedName>
    <definedName name="Excel_BuiltIn_Print_Titles_10" localSheetId="16">#REF!</definedName>
    <definedName name="Excel_BuiltIn_Print_Titles_10" localSheetId="8">#REF!</definedName>
    <definedName name="Excel_BuiltIn_Print_Titles_10" localSheetId="7">#REF!</definedName>
    <definedName name="Excel_BuiltIn_Print_Titles_10" localSheetId="13">#REF!</definedName>
    <definedName name="Excel_BuiltIn_Print_Titles_10" localSheetId="18">#REF!</definedName>
    <definedName name="Excel_BuiltIn_Print_Titles_10" localSheetId="6">#REF!</definedName>
    <definedName name="Excel_BuiltIn_Print_Titles_10" localSheetId="10">#REF!</definedName>
    <definedName name="Excel_BuiltIn_Print_Titles_10" localSheetId="22">#REF!</definedName>
    <definedName name="Excel_BuiltIn_Print_Titles_10">#REF!</definedName>
    <definedName name="F" localSheetId="16">#REF!</definedName>
    <definedName name="F" localSheetId="8">#REF!</definedName>
    <definedName name="F" localSheetId="7">#REF!</definedName>
    <definedName name="F" localSheetId="13">#REF!</definedName>
    <definedName name="F" localSheetId="18">#REF!</definedName>
    <definedName name="F" localSheetId="6">#REF!</definedName>
    <definedName name="F" localSheetId="10">#REF!</definedName>
    <definedName name="F" localSheetId="22">#REF!</definedName>
    <definedName name="F">#REF!</definedName>
    <definedName name="fa" localSheetId="16">#REF!</definedName>
    <definedName name="fa" localSheetId="8">#REF!</definedName>
    <definedName name="fa" localSheetId="7">#REF!</definedName>
    <definedName name="fa" localSheetId="13">#REF!</definedName>
    <definedName name="fa" localSheetId="18">#REF!</definedName>
    <definedName name="fa" localSheetId="6">#REF!</definedName>
    <definedName name="fa" localSheetId="10">#REF!</definedName>
    <definedName name="fa" localSheetId="22">#REF!</definedName>
    <definedName name="fa">#REF!</definedName>
    <definedName name="FHFJFKJFKFKK" localSheetId="16">#REF!</definedName>
    <definedName name="FHFJFKJFKFKK" localSheetId="8">#REF!</definedName>
    <definedName name="FHFJFKJFKFKK" localSheetId="7">#REF!</definedName>
    <definedName name="FHFJFKJFKFKK" localSheetId="13">#REF!</definedName>
    <definedName name="FHFJFKJFKFKK" localSheetId="18">#REF!</definedName>
    <definedName name="FHFJFKJFKFKK" localSheetId="6">#REF!</definedName>
    <definedName name="FHFJFKJFKFKK" localSheetId="10">#REF!</definedName>
    <definedName name="FHFJFKJFKFKK" localSheetId="22">#REF!</definedName>
    <definedName name="FHFJFKJFKFKK">#REF!</definedName>
    <definedName name="filterdinamis">OFFSET('[4]Dinamic Filtering'!$H$2,,,COUNTIF('[4]Dinamic Filtering'!$H$2:$H$7951,"?*"))</definedName>
    <definedName name="g" localSheetId="16">#REF!</definedName>
    <definedName name="g" localSheetId="8">#REF!</definedName>
    <definedName name="g" localSheetId="7">#REF!</definedName>
    <definedName name="g" localSheetId="13">#REF!</definedName>
    <definedName name="g" localSheetId="18">#REF!</definedName>
    <definedName name="g" localSheetId="6">#REF!</definedName>
    <definedName name="g" localSheetId="10">#REF!</definedName>
    <definedName name="g" localSheetId="22">#REF!</definedName>
    <definedName name="g">#REF!</definedName>
    <definedName name="GEDUNG" localSheetId="16">#REF!</definedName>
    <definedName name="GEDUNG" localSheetId="8">#REF!</definedName>
    <definedName name="GEDUNG" localSheetId="7">#REF!</definedName>
    <definedName name="GEDUNG" localSheetId="13">#REF!</definedName>
    <definedName name="GEDUNG" localSheetId="18">#REF!</definedName>
    <definedName name="GEDUNG" localSheetId="6">#REF!</definedName>
    <definedName name="GEDUNG" localSheetId="10">#REF!</definedName>
    <definedName name="GEDUNG" localSheetId="22">#REF!</definedName>
    <definedName name="GEDUNG">#REF!</definedName>
    <definedName name="GILA" localSheetId="16">#REF!</definedName>
    <definedName name="GILA" localSheetId="8">#REF!</definedName>
    <definedName name="GILA" localSheetId="7">#REF!</definedName>
    <definedName name="GILA" localSheetId="13">#REF!</definedName>
    <definedName name="GILA" localSheetId="18">#REF!</definedName>
    <definedName name="GILA" localSheetId="6">#REF!</definedName>
    <definedName name="GILA" localSheetId="10">#REF!</definedName>
    <definedName name="GILA" localSheetId="22">#REF!</definedName>
    <definedName name="GILA">#REF!</definedName>
    <definedName name="gogon" localSheetId="16">'[5]A. TANAH'!#REF!</definedName>
    <definedName name="gogon" localSheetId="8">'[5]A. TANAH'!#REF!</definedName>
    <definedName name="gogon" localSheetId="7">'[5]A. TANAH'!#REF!</definedName>
    <definedName name="gogon" localSheetId="13">'[5]A. TANAH'!#REF!</definedName>
    <definedName name="gogon" localSheetId="18">'[5]A. TANAH'!#REF!</definedName>
    <definedName name="gogon" localSheetId="6">'[5]A. TANAH'!#REF!</definedName>
    <definedName name="gogon" localSheetId="10">'[5]A. TANAH'!#REF!</definedName>
    <definedName name="gogon" localSheetId="22">'[5]A. TANAH'!#REF!</definedName>
    <definedName name="gogon">'[5]A. TANAH'!#REF!</definedName>
    <definedName name="H" localSheetId="16">#REF!</definedName>
    <definedName name="H" localSheetId="8">#REF!</definedName>
    <definedName name="H" localSheetId="7">#REF!</definedName>
    <definedName name="H" localSheetId="13">#REF!</definedName>
    <definedName name="H" localSheetId="18">#REF!</definedName>
    <definedName name="H" localSheetId="6">#REF!</definedName>
    <definedName name="H" localSheetId="10">#REF!</definedName>
    <definedName name="H" localSheetId="22">#REF!</definedName>
    <definedName name="H">#REF!</definedName>
    <definedName name="HABU" localSheetId="16">#REF!</definedName>
    <definedName name="HABU" localSheetId="8">#REF!</definedName>
    <definedName name="HABU" localSheetId="7">#REF!</definedName>
    <definedName name="HABU" localSheetId="13">#REF!</definedName>
    <definedName name="HABU" localSheetId="18">#REF!</definedName>
    <definedName name="HABU" localSheetId="6">#REF!</definedName>
    <definedName name="HABU" localSheetId="10">#REF!</definedName>
    <definedName name="HABU" localSheetId="22">#REF!</definedName>
    <definedName name="HABU">#REF!</definedName>
    <definedName name="harga" localSheetId="16">#REF!</definedName>
    <definedName name="harga" localSheetId="8">#REF!</definedName>
    <definedName name="harga" localSheetId="7">#REF!</definedName>
    <definedName name="harga" localSheetId="13">#REF!</definedName>
    <definedName name="harga" localSheetId="18">#REF!</definedName>
    <definedName name="harga" localSheetId="6">#REF!</definedName>
    <definedName name="harga" localSheetId="10">#REF!</definedName>
    <definedName name="harga" localSheetId="22">#REF!</definedName>
    <definedName name="harga">#REF!</definedName>
    <definedName name="HATI" localSheetId="16">#REF!</definedName>
    <definedName name="HATI" localSheetId="8">#REF!</definedName>
    <definedName name="HATI" localSheetId="7">#REF!</definedName>
    <definedName name="HATI" localSheetId="13">#REF!</definedName>
    <definedName name="HATI" localSheetId="18">#REF!</definedName>
    <definedName name="HATI" localSheetId="6">#REF!</definedName>
    <definedName name="HATI" localSheetId="10">#REF!</definedName>
    <definedName name="HATI" localSheetId="22">#REF!</definedName>
    <definedName name="HATI">#REF!</definedName>
    <definedName name="impor" localSheetId="16">#REF!</definedName>
    <definedName name="impor" localSheetId="8">#REF!</definedName>
    <definedName name="impor" localSheetId="7">#REF!</definedName>
    <definedName name="impor" localSheetId="13">#REF!</definedName>
    <definedName name="impor" localSheetId="18">#REF!</definedName>
    <definedName name="impor" localSheetId="6">#REF!</definedName>
    <definedName name="impor" localSheetId="10">#REF!</definedName>
    <definedName name="impor" localSheetId="22">#REF!</definedName>
    <definedName name="impor">#REF!</definedName>
    <definedName name="INDEKS" localSheetId="16">'[1]A. TANAH'!#REF!</definedName>
    <definedName name="INDEKS" localSheetId="8">'[1]A. TANAH'!#REF!</definedName>
    <definedName name="INDEKS" localSheetId="7">'[1]A. TANAH'!#REF!</definedName>
    <definedName name="INDEKS" localSheetId="13">'[1]A. TANAH'!#REF!</definedName>
    <definedName name="INDEKS" localSheetId="18">'[1]A. TANAH'!#REF!</definedName>
    <definedName name="INDEKS" localSheetId="6">'[1]A. TANAH'!#REF!</definedName>
    <definedName name="INDEKS" localSheetId="10">'[1]A. TANAH'!#REF!</definedName>
    <definedName name="INDEKS" localSheetId="22">'[1]A. TANAH'!#REF!</definedName>
    <definedName name="INDEKS">'[1]A. TANAH'!#REF!</definedName>
    <definedName name="INISIAL" localSheetId="16">'[1]A. TANAH'!#REF!</definedName>
    <definedName name="INISIAL" localSheetId="8">'[1]A. TANAH'!#REF!</definedName>
    <definedName name="INISIAL" localSheetId="7">'[1]A. TANAH'!#REF!</definedName>
    <definedName name="INISIAL" localSheetId="13">'[1]A. TANAH'!#REF!</definedName>
    <definedName name="INISIAL" localSheetId="18">'[1]A. TANAH'!#REF!</definedName>
    <definedName name="INISIAL" localSheetId="6">'[1]A. TANAH'!#REF!</definedName>
    <definedName name="INISIAL" localSheetId="10">'[1]A. TANAH'!#REF!</definedName>
    <definedName name="INISIAL" localSheetId="22">'[1]A. TANAH'!#REF!</definedName>
    <definedName name="INISIAL">'[1]A. TANAH'!#REF!</definedName>
    <definedName name="INTAN" localSheetId="16">#REF!</definedName>
    <definedName name="INTAN" localSheetId="8">#REF!</definedName>
    <definedName name="INTAN" localSheetId="7">#REF!</definedName>
    <definedName name="INTAN" localSheetId="13">#REF!</definedName>
    <definedName name="INTAN" localSheetId="18">#REF!</definedName>
    <definedName name="INTAN" localSheetId="6">#REF!</definedName>
    <definedName name="INTAN" localSheetId="10">#REF!</definedName>
    <definedName name="INTAN" localSheetId="22">#REF!</definedName>
    <definedName name="INTAN">#REF!</definedName>
    <definedName name="ITU" localSheetId="16">#REF!</definedName>
    <definedName name="ITU" localSheetId="8">#REF!</definedName>
    <definedName name="ITU" localSheetId="7">#REF!</definedName>
    <definedName name="ITU" localSheetId="13">#REF!</definedName>
    <definedName name="ITU" localSheetId="18">#REF!</definedName>
    <definedName name="ITU" localSheetId="6">#REF!</definedName>
    <definedName name="ITU" localSheetId="10">#REF!</definedName>
    <definedName name="ITU" localSheetId="22">#REF!</definedName>
    <definedName name="ITU">#REF!</definedName>
    <definedName name="JABATAN" localSheetId="16">#REF!</definedName>
    <definedName name="JABATAN" localSheetId="8">#REF!</definedName>
    <definedName name="JABATAN" localSheetId="7">#REF!</definedName>
    <definedName name="JABATAN" localSheetId="13">#REF!</definedName>
    <definedName name="JABATAN" localSheetId="18">#REF!</definedName>
    <definedName name="JABATAN" localSheetId="6">#REF!</definedName>
    <definedName name="JABATAN" localSheetId="10">#REF!</definedName>
    <definedName name="JABATAN" localSheetId="22">#REF!</definedName>
    <definedName name="JABATAN">#REF!</definedName>
    <definedName name="JAJAN" localSheetId="16">#REF!</definedName>
    <definedName name="JAJAN" localSheetId="8">#REF!</definedName>
    <definedName name="JAJAN" localSheetId="7">#REF!</definedName>
    <definedName name="JAJAN" localSheetId="13">#REF!</definedName>
    <definedName name="JAJAN" localSheetId="18">#REF!</definedName>
    <definedName name="JAJAN" localSheetId="6">#REF!</definedName>
    <definedName name="JAJAN" localSheetId="10">#REF!</definedName>
    <definedName name="JAJAN" localSheetId="22">#REF!</definedName>
    <definedName name="JAJAN">#REF!</definedName>
    <definedName name="JALAN" localSheetId="16">#REF!</definedName>
    <definedName name="JALAN" localSheetId="8">#REF!</definedName>
    <definedName name="JALAN" localSheetId="7">#REF!</definedName>
    <definedName name="JALAN" localSheetId="13">#REF!</definedName>
    <definedName name="JALAN" localSheetId="18">#REF!</definedName>
    <definedName name="JALAN" localSheetId="6">#REF!</definedName>
    <definedName name="JALAN" localSheetId="10">#REF!</definedName>
    <definedName name="JALAN" localSheetId="22">#REF!</definedName>
    <definedName name="JALAN">#REF!</definedName>
    <definedName name="JASA" localSheetId="16">'[1]A. TANAH'!#REF!</definedName>
    <definedName name="JASA" localSheetId="8">'[1]A. TANAH'!#REF!</definedName>
    <definedName name="JASA" localSheetId="7">'[1]A. TANAH'!#REF!</definedName>
    <definedName name="JASA" localSheetId="13">'[1]A. TANAH'!#REF!</definedName>
    <definedName name="JASA" localSheetId="18">'[1]A. TANAH'!#REF!</definedName>
    <definedName name="JASA" localSheetId="6">'[1]A. TANAH'!#REF!</definedName>
    <definedName name="JASA" localSheetId="10">'[1]A. TANAH'!#REF!</definedName>
    <definedName name="JASA" localSheetId="22">'[1]A. TANAH'!#REF!</definedName>
    <definedName name="JASA">'[1]A. TANAH'!#REF!</definedName>
    <definedName name="JENIS_ASET" localSheetId="16">#REF!</definedName>
    <definedName name="JENIS_ASET" localSheetId="8">#REF!</definedName>
    <definedName name="JENIS_ASET" localSheetId="7">#REF!</definedName>
    <definedName name="JENIS_ASET" localSheetId="13">#REF!</definedName>
    <definedName name="JENIS_ASET" localSheetId="18">#REF!</definedName>
    <definedName name="JENIS_ASET" localSheetId="22">#REF!</definedName>
    <definedName name="JENIS_ASET">#REF!</definedName>
    <definedName name="jumlah" localSheetId="16">'[1]A. TANAH'!#REF!</definedName>
    <definedName name="jumlah" localSheetId="8">'[1]A. TANAH'!#REF!</definedName>
    <definedName name="jumlah" localSheetId="7">'[1]A. TANAH'!#REF!</definedName>
    <definedName name="jumlah" localSheetId="13">'[1]A. TANAH'!#REF!</definedName>
    <definedName name="jumlah" localSheetId="18">'[1]A. TANAH'!#REF!</definedName>
    <definedName name="jumlah" localSheetId="6">'[1]A. TANAH'!#REF!</definedName>
    <definedName name="jumlah" localSheetId="10">'[1]A. TANAH'!#REF!</definedName>
    <definedName name="jumlah" localSheetId="22">'[1]A. TANAH'!#REF!</definedName>
    <definedName name="jumlah">'[1]A. TANAH'!#REF!</definedName>
    <definedName name="KANTOR" localSheetId="16">#REF!</definedName>
    <definedName name="KANTOR" localSheetId="8">#REF!</definedName>
    <definedName name="KANTOR" localSheetId="7">#REF!</definedName>
    <definedName name="KANTOR" localSheetId="13">#REF!</definedName>
    <definedName name="KANTOR" localSheetId="18">#REF!</definedName>
    <definedName name="KANTOR" localSheetId="6">#REF!</definedName>
    <definedName name="KANTOR" localSheetId="10">#REF!</definedName>
    <definedName name="KANTOR" localSheetId="22">#REF!</definedName>
    <definedName name="KANTOR">#REF!</definedName>
    <definedName name="KAP">'KIB C Final'!$AL$14:$AM$158</definedName>
    <definedName name="KB" localSheetId="16">'[1]A. TANAH'!#REF!</definedName>
    <definedName name="KB" localSheetId="8">'[1]A. TANAH'!#REF!</definedName>
    <definedName name="KB" localSheetId="7">'[1]A. TANAH'!#REF!</definedName>
    <definedName name="KB" localSheetId="13">'[1]A. TANAH'!#REF!</definedName>
    <definedName name="KB" localSheetId="18">'[1]A. TANAH'!#REF!</definedName>
    <definedName name="KB" localSheetId="6">'[1]A. TANAH'!#REF!</definedName>
    <definedName name="KB" localSheetId="10">'[1]A. TANAH'!#REF!</definedName>
    <definedName name="KB" localSheetId="22">'[1]A. TANAH'!#REF!</definedName>
    <definedName name="KB">'[1]A. TANAH'!#REF!</definedName>
    <definedName name="KECAMATAN_KODEOHA" localSheetId="16">#REF!</definedName>
    <definedName name="KECAMATAN_KODEOHA" localSheetId="8">#REF!</definedName>
    <definedName name="KECAMATAN_KODEOHA" localSheetId="7">#REF!</definedName>
    <definedName name="KECAMATAN_KODEOHA" localSheetId="13">#REF!</definedName>
    <definedName name="KECAMATAN_KODEOHA" localSheetId="18">#REF!</definedName>
    <definedName name="KECAMATAN_KODEOHA" localSheetId="6">#REF!</definedName>
    <definedName name="KECAMATAN_KODEOHA" localSheetId="10">#REF!</definedName>
    <definedName name="KECAMATAN_KODEOHA" localSheetId="22">#REF!</definedName>
    <definedName name="KECAMATAN_KODEOHA">#REF!</definedName>
    <definedName name="KECAMATAN_PAKUE" localSheetId="16">[6]PERTANIAN!#REF!</definedName>
    <definedName name="KECAMATAN_PAKUE" localSheetId="8">[6]PERTANIAN!#REF!</definedName>
    <definedName name="KECAMATAN_PAKUE" localSheetId="7">[6]PERTANIAN!#REF!</definedName>
    <definedName name="KECAMATAN_PAKUE" localSheetId="13">[6]PERTANIAN!#REF!</definedName>
    <definedName name="KECAMATAN_PAKUE" localSheetId="18">[6]PERTANIAN!#REF!</definedName>
    <definedName name="KECAMATAN_PAKUE" localSheetId="6">[6]PERTANIAN!#REF!</definedName>
    <definedName name="KECAMATAN_PAKUE" localSheetId="10">[6]PERTANIAN!#REF!</definedName>
    <definedName name="KECAMATAN_PAKUE" localSheetId="22">[6]PERTANIAN!#REF!</definedName>
    <definedName name="KECAMATAN_PAKUE">[6]PERTANIAN!#REF!</definedName>
    <definedName name="kelompok" localSheetId="15">'[7]KODE BARANG MASTER DISDIK'!$B$2:$C$101</definedName>
    <definedName name="kelompok" localSheetId="10">'[7]KODE BARANG MASTER DISDIK'!$B$2:$C$101</definedName>
    <definedName name="kelompok" localSheetId="20">'[8]kode barang'!$B$2:$C$101</definedName>
    <definedName name="kelompok">'[9]kode barang'!$B$2:$C$105</definedName>
    <definedName name="KIB" localSheetId="16">#REF!</definedName>
    <definedName name="KIB" localSheetId="8">#REF!</definedName>
    <definedName name="KIB" localSheetId="7">#REF!</definedName>
    <definedName name="KIB" localSheetId="13">#REF!</definedName>
    <definedName name="KIB" localSheetId="18">#REF!</definedName>
    <definedName name="KIB" localSheetId="6">#REF!</definedName>
    <definedName name="KIB" localSheetId="10">#REF!</definedName>
    <definedName name="KIB" localSheetId="22">#REF!</definedName>
    <definedName name="KIB">#REF!</definedName>
    <definedName name="KKK" localSheetId="16">'[1]A. TANAH'!#REF!</definedName>
    <definedName name="KKK" localSheetId="8">'[1]A. TANAH'!#REF!</definedName>
    <definedName name="KKK" localSheetId="7">'[1]A. TANAH'!#REF!</definedName>
    <definedName name="KKK" localSheetId="13">'[1]A. TANAH'!#REF!</definedName>
    <definedName name="KKK" localSheetId="18">'[1]A. TANAH'!#REF!</definedName>
    <definedName name="KKK" localSheetId="6">'[1]A. TANAH'!#REF!</definedName>
    <definedName name="KKK" localSheetId="10">'[1]A. TANAH'!#REF!</definedName>
    <definedName name="KKK" localSheetId="22">'[1]A. TANAH'!#REF!</definedName>
    <definedName name="KKK">'[1]A. TANAH'!#REF!</definedName>
    <definedName name="KODE" localSheetId="16">#REF!</definedName>
    <definedName name="KODE" localSheetId="8">#REF!</definedName>
    <definedName name="KODE" localSheetId="7">#REF!</definedName>
    <definedName name="KODE" localSheetId="13">#REF!</definedName>
    <definedName name="KODE" localSheetId="18">#REF!</definedName>
    <definedName name="KODE" localSheetId="6">#REF!</definedName>
    <definedName name="KODE" localSheetId="10">#REF!</definedName>
    <definedName name="KODE" localSheetId="22">#REF!</definedName>
    <definedName name="KODE">#REF!</definedName>
    <definedName name="KODEBARANG" localSheetId="16">#REF!</definedName>
    <definedName name="KODEBARANG" localSheetId="8">#REF!</definedName>
    <definedName name="KODEBARANG" localSheetId="7">#REF!</definedName>
    <definedName name="KODEBARANG" localSheetId="13">#REF!</definedName>
    <definedName name="KODEBARANG" localSheetId="18">#REF!</definedName>
    <definedName name="KODEBARANG" localSheetId="6">#REF!</definedName>
    <definedName name="KODEBARANG" localSheetId="10">#REF!</definedName>
    <definedName name="KODEBARANG" localSheetId="22">#REF!</definedName>
    <definedName name="KODEBARANG">#REF!</definedName>
    <definedName name="KODEBARANG1" localSheetId="16">[10]GUDANG!#REF!</definedName>
    <definedName name="KODEBARANG1" localSheetId="8">[10]GUDANG!#REF!</definedName>
    <definedName name="KODEBARANG1" localSheetId="7">[10]GUDANG!#REF!</definedName>
    <definedName name="KODEBARANG1" localSheetId="13">[10]GUDANG!#REF!</definedName>
    <definedName name="KODEBARANG1" localSheetId="18">[10]GUDANG!#REF!</definedName>
    <definedName name="KODEBARANG1" localSheetId="6">[10]GUDANG!#REF!</definedName>
    <definedName name="KODEBARANG1" localSheetId="10">[10]GUDANG!#REF!</definedName>
    <definedName name="KODEBARANG1" localSheetId="22">[10]GUDANG!#REF!</definedName>
    <definedName name="KODEBARANG1">[10]GUDANG!#REF!</definedName>
    <definedName name="kodebarang2" localSheetId="16">#REF!</definedName>
    <definedName name="kodebarang2" localSheetId="8">#REF!</definedName>
    <definedName name="kodebarang2" localSheetId="7">#REF!</definedName>
    <definedName name="kodebarang2" localSheetId="13">#REF!</definedName>
    <definedName name="kodebarang2" localSheetId="18">#REF!</definedName>
    <definedName name="kodebarang2" localSheetId="6">#REF!</definedName>
    <definedName name="kodebarang2" localSheetId="10">#REF!</definedName>
    <definedName name="kodebarang2" localSheetId="22">#REF!</definedName>
    <definedName name="kodebarang2">#REF!</definedName>
    <definedName name="KODEBARANG3" localSheetId="16">'[1]A. TANAH'!#REF!</definedName>
    <definedName name="KODEBARANG3" localSheetId="8">'[1]A. TANAH'!#REF!</definedName>
    <definedName name="KODEBARANG3" localSheetId="7">'[1]A. TANAH'!#REF!</definedName>
    <definedName name="KODEBARANG3" localSheetId="13">'[1]A. TANAH'!#REF!</definedName>
    <definedName name="KODEBARANG3" localSheetId="18">'[1]A. TANAH'!#REF!</definedName>
    <definedName name="KODEBARANG3" localSheetId="6">'[1]A. TANAH'!#REF!</definedName>
    <definedName name="KODEBARANG3" localSheetId="10">'[1]A. TANAH'!#REF!</definedName>
    <definedName name="KODEBARANG3" localSheetId="22">'[1]A. TANAH'!#REF!</definedName>
    <definedName name="KODEBARANG3">'[1]A. TANAH'!#REF!</definedName>
    <definedName name="KODEBARANG4" localSheetId="16">'[1]A. TANAH'!#REF!</definedName>
    <definedName name="KODEBARANG4" localSheetId="8">'[1]A. TANAH'!#REF!</definedName>
    <definedName name="KODEBARANG4" localSheetId="7">'[1]A. TANAH'!#REF!</definedName>
    <definedName name="KODEBARANG4" localSheetId="13">'[1]A. TANAH'!#REF!</definedName>
    <definedName name="KODEBARANG4" localSheetId="18">'[1]A. TANAH'!#REF!</definedName>
    <definedName name="KODEBARANG4" localSheetId="6">'[1]A. TANAH'!#REF!</definedName>
    <definedName name="KODEBARANG4" localSheetId="10">'[1]A. TANAH'!#REF!</definedName>
    <definedName name="KODEBARANG4" localSheetId="22">'[1]A. TANAH'!#REF!</definedName>
    <definedName name="KODEBARANG4">'[1]A. TANAH'!#REF!</definedName>
    <definedName name="KODEBARANG5" localSheetId="16">'[1]A. TANAH'!#REF!</definedName>
    <definedName name="KODEBARANG5" localSheetId="8">'[1]A. TANAH'!#REF!</definedName>
    <definedName name="KODEBARANG5" localSheetId="7">'[1]A. TANAH'!#REF!</definedName>
    <definedName name="KODEBARANG5" localSheetId="13">'[1]A. TANAH'!#REF!</definedName>
    <definedName name="KODEBARANG5" localSheetId="18">'[1]A. TANAH'!#REF!</definedName>
    <definedName name="KODEBARANG5" localSheetId="6">'[1]A. TANAH'!#REF!</definedName>
    <definedName name="KODEBARANG5" localSheetId="10">'[1]A. TANAH'!#REF!</definedName>
    <definedName name="KODEBARANG5" localSheetId="22">'[1]A. TANAH'!#REF!</definedName>
    <definedName name="KODEBARANG5">'[1]A. TANAH'!#REF!</definedName>
    <definedName name="KODEBARANGA" localSheetId="16">#REF!</definedName>
    <definedName name="KODEBARANGA" localSheetId="8">#REF!</definedName>
    <definedName name="KODEBARANGA" localSheetId="7">#REF!</definedName>
    <definedName name="KODEBARANGA" localSheetId="13">#REF!</definedName>
    <definedName name="KODEBARANGA" localSheetId="18">#REF!</definedName>
    <definedName name="KODEBARANGA" localSheetId="6">#REF!</definedName>
    <definedName name="KODEBARANGA" localSheetId="10">#REF!</definedName>
    <definedName name="KODEBARANGA" localSheetId="22">#REF!</definedName>
    <definedName name="KODEBARANGA">#REF!</definedName>
    <definedName name="KODEBARANGB" localSheetId="16">#REF!</definedName>
    <definedName name="KODEBARANGB" localSheetId="8">#REF!</definedName>
    <definedName name="KODEBARANGB" localSheetId="7">#REF!</definedName>
    <definedName name="KODEBARANGB" localSheetId="13">#REF!</definedName>
    <definedName name="KODEBARANGB" localSheetId="18">#REF!</definedName>
    <definedName name="KODEBARANGB" localSheetId="6">#REF!</definedName>
    <definedName name="KODEBARANGB" localSheetId="10">#REF!</definedName>
    <definedName name="KODEBARANGB" localSheetId="22">#REF!</definedName>
    <definedName name="KODEBARANGB">#REF!</definedName>
    <definedName name="KODEJASA1" localSheetId="16">'[1]A. TANAH'!#REF!</definedName>
    <definedName name="KODEJASA1" localSheetId="8">'[1]A. TANAH'!#REF!</definedName>
    <definedName name="KODEJASA1" localSheetId="7">'[1]A. TANAH'!#REF!</definedName>
    <definedName name="KODEJASA1" localSheetId="13">'[1]A. TANAH'!#REF!</definedName>
    <definedName name="KODEJASA1" localSheetId="18">'[1]A. TANAH'!#REF!</definedName>
    <definedName name="KODEJASA1" localSheetId="6">'[1]A. TANAH'!#REF!</definedName>
    <definedName name="KODEJASA1" localSheetId="10">'[1]A. TANAH'!#REF!</definedName>
    <definedName name="KODEJASA1" localSheetId="22">'[1]A. TANAH'!#REF!</definedName>
    <definedName name="KODEJASA1">'[1]A. TANAH'!#REF!</definedName>
    <definedName name="KONDIDSI" localSheetId="16">#REF!</definedName>
    <definedName name="KONDIDSI" localSheetId="8">#REF!</definedName>
    <definedName name="KONDIDSI" localSheetId="7">#REF!</definedName>
    <definedName name="KONDIDSI" localSheetId="13">#REF!</definedName>
    <definedName name="KONDIDSI" localSheetId="18">#REF!</definedName>
    <definedName name="KONDIDSI" localSheetId="6">#REF!</definedName>
    <definedName name="KONDIDSI" localSheetId="10">#REF!</definedName>
    <definedName name="KONDIDSI" localSheetId="22">#REF!</definedName>
    <definedName name="KONDIDSI">#REF!</definedName>
    <definedName name="KURA" localSheetId="16">#REF!</definedName>
    <definedName name="KURA" localSheetId="8">#REF!</definedName>
    <definedName name="KURA" localSheetId="7">#REF!</definedName>
    <definedName name="KURA" localSheetId="13">#REF!</definedName>
    <definedName name="KURA" localSheetId="18">#REF!</definedName>
    <definedName name="KURA" localSheetId="6">#REF!</definedName>
    <definedName name="KURA" localSheetId="10">#REF!</definedName>
    <definedName name="KURA" localSheetId="22">#REF!</definedName>
    <definedName name="KURA">#REF!</definedName>
    <definedName name="KURANGBAIK" localSheetId="16">#REF!</definedName>
    <definedName name="KURANGBAIK" localSheetId="8">#REF!</definedName>
    <definedName name="KURANGBAIK" localSheetId="7">#REF!</definedName>
    <definedName name="KURANGBAIK" localSheetId="13">#REF!</definedName>
    <definedName name="KURANGBAIK" localSheetId="18">#REF!</definedName>
    <definedName name="KURANGBAIK" localSheetId="6">#REF!</definedName>
    <definedName name="KURANGBAIK" localSheetId="10">#REF!</definedName>
    <definedName name="KURANGBAIK" localSheetId="22">#REF!</definedName>
    <definedName name="KURANGBAIK">#REF!</definedName>
    <definedName name="l" localSheetId="16">#REF!</definedName>
    <definedName name="l" localSheetId="8">#REF!</definedName>
    <definedName name="l" localSheetId="7">#REF!</definedName>
    <definedName name="l" localSheetId="13">#REF!</definedName>
    <definedName name="l" localSheetId="18">#REF!</definedName>
    <definedName name="l" localSheetId="6">#REF!</definedName>
    <definedName name="l" localSheetId="10">#REF!</definedName>
    <definedName name="l" localSheetId="22">#REF!</definedName>
    <definedName name="l">#REF!</definedName>
    <definedName name="LAMBANG" localSheetId="16">#REF!</definedName>
    <definedName name="LAMBANG" localSheetId="8">#REF!</definedName>
    <definedName name="LAMBANG" localSheetId="7">#REF!</definedName>
    <definedName name="LAMBANG" localSheetId="13">#REF!</definedName>
    <definedName name="LAMBANG" localSheetId="18">#REF!</definedName>
    <definedName name="LAMBANG" localSheetId="6">#REF!</definedName>
    <definedName name="LAMBANG" localSheetId="10">#REF!</definedName>
    <definedName name="LAMBANG" localSheetId="22">#REF!</definedName>
    <definedName name="LAMBANG">#REF!</definedName>
    <definedName name="Lamp" localSheetId="16">#REF!</definedName>
    <definedName name="Lamp" localSheetId="8">#REF!</definedName>
    <definedName name="Lamp" localSheetId="7">#REF!</definedName>
    <definedName name="Lamp" localSheetId="13">#REF!</definedName>
    <definedName name="Lamp" localSheetId="18">#REF!</definedName>
    <definedName name="Lamp" localSheetId="6">#REF!</definedName>
    <definedName name="Lamp" localSheetId="10">#REF!</definedName>
    <definedName name="Lamp" localSheetId="22">#REF!</definedName>
    <definedName name="Lamp">#REF!</definedName>
    <definedName name="Lamp1" localSheetId="16">#REF!</definedName>
    <definedName name="Lamp1" localSheetId="8">#REF!</definedName>
    <definedName name="Lamp1" localSheetId="7">#REF!</definedName>
    <definedName name="Lamp1" localSheetId="13">#REF!</definedName>
    <definedName name="Lamp1" localSheetId="18">#REF!</definedName>
    <definedName name="Lamp1" localSheetId="6">#REF!</definedName>
    <definedName name="Lamp1" localSheetId="10">#REF!</definedName>
    <definedName name="Lamp1" localSheetId="22">#REF!</definedName>
    <definedName name="Lamp1">#REF!</definedName>
    <definedName name="lllllll" localSheetId="16">#REF!</definedName>
    <definedName name="lllllll" localSheetId="8">#REF!</definedName>
    <definedName name="lllllll" localSheetId="7">#REF!</definedName>
    <definedName name="lllllll" localSheetId="13">#REF!</definedName>
    <definedName name="lllllll" localSheetId="18">#REF!</definedName>
    <definedName name="lllllll" localSheetId="6">#REF!</definedName>
    <definedName name="lllllll" localSheetId="10">#REF!</definedName>
    <definedName name="lllllll" localSheetId="22">#REF!</definedName>
    <definedName name="lllllll">#REF!</definedName>
    <definedName name="LUAS" localSheetId="16">#REF!</definedName>
    <definedName name="LUAS" localSheetId="8">#REF!</definedName>
    <definedName name="LUAS" localSheetId="7">#REF!</definedName>
    <definedName name="LUAS" localSheetId="13">#REF!</definedName>
    <definedName name="LUAS" localSheetId="18">#REF!</definedName>
    <definedName name="LUAS" localSheetId="6">#REF!</definedName>
    <definedName name="LUAS" localSheetId="10">#REF!</definedName>
    <definedName name="LUAS" localSheetId="22">#REF!</definedName>
    <definedName name="LUAS">#REF!</definedName>
    <definedName name="M" localSheetId="16">#REF!</definedName>
    <definedName name="M" localSheetId="8">#REF!</definedName>
    <definedName name="M" localSheetId="7">#REF!</definedName>
    <definedName name="M" localSheetId="13">#REF!</definedName>
    <definedName name="M" localSheetId="18">#REF!</definedName>
    <definedName name="M" localSheetId="6">#REF!</definedName>
    <definedName name="M" localSheetId="10">#REF!</definedName>
    <definedName name="M" localSheetId="22">#REF!</definedName>
    <definedName name="M">#REF!</definedName>
    <definedName name="MASA" localSheetId="16">#REF!</definedName>
    <definedName name="MASA" localSheetId="8">#REF!</definedName>
    <definedName name="MASA" localSheetId="7">#REF!</definedName>
    <definedName name="MASA" localSheetId="13">#REF!</definedName>
    <definedName name="MASA" localSheetId="18">#REF!</definedName>
    <definedName name="MASA" localSheetId="6">#REF!</definedName>
    <definedName name="MASA" localSheetId="10">#REF!</definedName>
    <definedName name="MASA" localSheetId="22">#REF!</definedName>
    <definedName name="MASA">#REF!</definedName>
    <definedName name="MASAMANFAAT" localSheetId="15">'[7]KODE BARANG MASTER DISDIK'!$B$4:$E$102</definedName>
    <definedName name="MASAMANFAAT" localSheetId="10">'[7]KODE BARANG MASTER DISDIK'!$B$4:$E$102</definedName>
    <definedName name="MASAMANFAAT" localSheetId="20">'[8]kode barang'!$B$4:$E$101</definedName>
    <definedName name="MASAMANFAAT">'[9]kode barang'!$B$4:$E$105</definedName>
    <definedName name="MATA" localSheetId="16">#REF!</definedName>
    <definedName name="MATA" localSheetId="8">#REF!</definedName>
    <definedName name="MATA" localSheetId="7">#REF!</definedName>
    <definedName name="MATA" localSheetId="13">#REF!</definedName>
    <definedName name="MATA" localSheetId="18">#REF!</definedName>
    <definedName name="MATA" localSheetId="6">#REF!</definedName>
    <definedName name="MATA" localSheetId="10">#REF!</definedName>
    <definedName name="MATA" localSheetId="22">#REF!</definedName>
    <definedName name="MATA">#REF!</definedName>
    <definedName name="mawar" localSheetId="16">'[11]B. PELTN MSIN '!#REF!</definedName>
    <definedName name="mawar" localSheetId="8">'[11]B. PELTN MSIN '!#REF!</definedName>
    <definedName name="mawar" localSheetId="7">'[11]B. PELTN MSIN '!#REF!</definedName>
    <definedName name="mawar" localSheetId="13">'[11]B. PELTN MSIN '!#REF!</definedName>
    <definedName name="mawar" localSheetId="18">'[11]B. PELTN MSIN '!#REF!</definedName>
    <definedName name="mawar" localSheetId="6">'[11]B. PELTN MSIN '!#REF!</definedName>
    <definedName name="mawar" localSheetId="10">'[11]B. PELTN MSIN '!#REF!</definedName>
    <definedName name="mawar" localSheetId="22">'[11]B. PELTN MSIN '!#REF!</definedName>
    <definedName name="mawar">'[11]B. PELTN MSIN '!#REF!</definedName>
    <definedName name="mesin" localSheetId="16">'[1]A. TANAH'!#REF!</definedName>
    <definedName name="mesin" localSheetId="8">'[1]A. TANAH'!#REF!</definedName>
    <definedName name="mesin" localSheetId="7">'[1]A. TANAH'!#REF!</definedName>
    <definedName name="mesin" localSheetId="13">'[1]A. TANAH'!#REF!</definedName>
    <definedName name="mesin" localSheetId="18">'[1]A. TANAH'!#REF!</definedName>
    <definedName name="mesin" localSheetId="6">'[1]A. TANAH'!#REF!</definedName>
    <definedName name="mesin" localSheetId="10">'[1]A. TANAH'!#REF!</definedName>
    <definedName name="mesin" localSheetId="22">'[1]A. TANAH'!#REF!</definedName>
    <definedName name="mesin">'[1]A. TANAH'!#REF!</definedName>
    <definedName name="METODE" localSheetId="16">#REF!</definedName>
    <definedName name="METODE" localSheetId="8">#REF!</definedName>
    <definedName name="METODE" localSheetId="7">#REF!</definedName>
    <definedName name="METODE" localSheetId="13">#REF!</definedName>
    <definedName name="METODE" localSheetId="18">#REF!</definedName>
    <definedName name="METODE" localSheetId="6">#REF!</definedName>
    <definedName name="METODE" localSheetId="10">#REF!</definedName>
    <definedName name="METODE" localSheetId="22">#REF!</definedName>
    <definedName name="METODE">#REF!</definedName>
    <definedName name="MM" localSheetId="16">#REF!</definedName>
    <definedName name="MM" localSheetId="8">#REF!</definedName>
    <definedName name="MM" localSheetId="7">#REF!</definedName>
    <definedName name="MM" localSheetId="13">#REF!</definedName>
    <definedName name="MM" localSheetId="18">#REF!</definedName>
    <definedName name="MM" localSheetId="6">#REF!</definedName>
    <definedName name="MM" localSheetId="10">#REF!</definedName>
    <definedName name="MM" localSheetId="22">#REF!</definedName>
    <definedName name="MM">#REF!</definedName>
    <definedName name="MMMMMMMMMMMM" localSheetId="16">#REF!</definedName>
    <definedName name="MMMMMMMMMMMM" localSheetId="8">#REF!</definedName>
    <definedName name="MMMMMMMMMMMM" localSheetId="7">#REF!</definedName>
    <definedName name="MMMMMMMMMMMM" localSheetId="13">#REF!</definedName>
    <definedName name="MMMMMMMMMMMM" localSheetId="18">#REF!</definedName>
    <definedName name="MMMMMMMMMMMM" localSheetId="6">#REF!</definedName>
    <definedName name="MMMMMMMMMMMM" localSheetId="10">#REF!</definedName>
    <definedName name="MMMMMMMMMMMM" localSheetId="22">#REF!</definedName>
    <definedName name="MMMMMMMMMMMM">#REF!</definedName>
    <definedName name="NAMA" localSheetId="16">#REF!</definedName>
    <definedName name="NAMA" localSheetId="8">#REF!</definedName>
    <definedName name="NAMA" localSheetId="7">#REF!</definedName>
    <definedName name="NAMA" localSheetId="13">#REF!</definedName>
    <definedName name="NAMA" localSheetId="18">#REF!</definedName>
    <definedName name="NAMA" localSheetId="6">#REF!</definedName>
    <definedName name="NAMA" localSheetId="10">#REF!</definedName>
    <definedName name="NAMA" localSheetId="22">#REF!</definedName>
    <definedName name="NAMA">#REF!</definedName>
    <definedName name="NILAI" localSheetId="16">'[1]A. TANAH'!#REF!</definedName>
    <definedName name="NILAI" localSheetId="8">'[1]A. TANAH'!#REF!</definedName>
    <definedName name="NILAI" localSheetId="7">'[1]A. TANAH'!#REF!</definedName>
    <definedName name="NILAI" localSheetId="13">'[1]A. TANAH'!#REF!</definedName>
    <definedName name="NILAI" localSheetId="18">'[1]A. TANAH'!#REF!</definedName>
    <definedName name="NILAI" localSheetId="6">'[1]A. TANAH'!#REF!</definedName>
    <definedName name="NILAI" localSheetId="10">'[1]A. TANAH'!#REF!</definedName>
    <definedName name="NILAI" localSheetId="22">'[1]A. TANAH'!#REF!</definedName>
    <definedName name="NILAI">'[1]A. TANAH'!#REF!</definedName>
    <definedName name="NINJA" localSheetId="16">#REF!</definedName>
    <definedName name="NINJA" localSheetId="8">#REF!</definedName>
    <definedName name="NINJA" localSheetId="7">#REF!</definedName>
    <definedName name="NINJA" localSheetId="13">#REF!</definedName>
    <definedName name="NINJA" localSheetId="18">#REF!</definedName>
    <definedName name="NINJA" localSheetId="6">#REF!</definedName>
    <definedName name="NINJA" localSheetId="10">#REF!</definedName>
    <definedName name="NINJA" localSheetId="22">#REF!</definedName>
    <definedName name="NINJA">#REF!</definedName>
    <definedName name="ol" localSheetId="16">'[5]A. TANAH'!#REF!</definedName>
    <definedName name="ol" localSheetId="8">'[5]A. TANAH'!#REF!</definedName>
    <definedName name="ol" localSheetId="7">'[5]A. TANAH'!#REF!</definedName>
    <definedName name="ol" localSheetId="13">'[5]A. TANAH'!#REF!</definedName>
    <definedName name="ol" localSheetId="18">'[5]A. TANAH'!#REF!</definedName>
    <definedName name="ol" localSheetId="6">'[5]A. TANAH'!#REF!</definedName>
    <definedName name="ol" localSheetId="10">'[5]A. TANAH'!#REF!</definedName>
    <definedName name="ol" localSheetId="22">'[5]A. TANAH'!#REF!</definedName>
    <definedName name="ol">'[5]A. TANAH'!#REF!</definedName>
    <definedName name="orang" localSheetId="16">#REF!</definedName>
    <definedName name="orang" localSheetId="8">#REF!</definedName>
    <definedName name="orang" localSheetId="7">#REF!</definedName>
    <definedName name="orang" localSheetId="13">#REF!</definedName>
    <definedName name="orang" localSheetId="18">#REF!</definedName>
    <definedName name="orang" localSheetId="6">#REF!</definedName>
    <definedName name="orang" localSheetId="10">#REF!</definedName>
    <definedName name="orang" localSheetId="22">#REF!</definedName>
    <definedName name="orang">#REF!</definedName>
    <definedName name="p" localSheetId="16">#REF!</definedName>
    <definedName name="p" localSheetId="8">#REF!</definedName>
    <definedName name="p" localSheetId="7">#REF!</definedName>
    <definedName name="p" localSheetId="13">#REF!</definedName>
    <definedName name="p" localSheetId="18">#REF!</definedName>
    <definedName name="p" localSheetId="6">#REF!</definedName>
    <definedName name="p" localSheetId="10">#REF!</definedName>
    <definedName name="p" localSheetId="22">#REF!</definedName>
    <definedName name="p">#REF!</definedName>
    <definedName name="PANGKAT" localSheetId="16">#REF!</definedName>
    <definedName name="PANGKAT" localSheetId="8">#REF!</definedName>
    <definedName name="PANGKAT" localSheetId="7">#REF!</definedName>
    <definedName name="PANGKAT" localSheetId="13">#REF!</definedName>
    <definedName name="PANGKAT" localSheetId="18">#REF!</definedName>
    <definedName name="PANGKAT" localSheetId="6">#REF!</definedName>
    <definedName name="PANGKAT" localSheetId="10">#REF!</definedName>
    <definedName name="PANGKAT" localSheetId="22">#REF!</definedName>
    <definedName name="PANGKAT">#REF!</definedName>
    <definedName name="PASAR" localSheetId="16">#REF!</definedName>
    <definedName name="PASAR" localSheetId="8">#REF!</definedName>
    <definedName name="PASAR" localSheetId="7">#REF!</definedName>
    <definedName name="PASAR" localSheetId="13">#REF!</definedName>
    <definedName name="PASAR" localSheetId="18">#REF!</definedName>
    <definedName name="PASAR" localSheetId="6">#REF!</definedName>
    <definedName name="PASAR" localSheetId="10">#REF!</definedName>
    <definedName name="PASAR" localSheetId="22">#REF!</definedName>
    <definedName name="PASAR">#REF!</definedName>
    <definedName name="PENYUSAN" localSheetId="16">#REF!</definedName>
    <definedName name="PENYUSAN" localSheetId="8">#REF!</definedName>
    <definedName name="PENYUSAN" localSheetId="7">#REF!</definedName>
    <definedName name="PENYUSAN" localSheetId="13">#REF!</definedName>
    <definedName name="PENYUSAN" localSheetId="18">#REF!</definedName>
    <definedName name="PENYUSAN" localSheetId="6">#REF!</definedName>
    <definedName name="PENYUSAN" localSheetId="10">#REF!</definedName>
    <definedName name="PENYUSAN" localSheetId="22">#REF!</definedName>
    <definedName name="PENYUSAN">#REF!</definedName>
    <definedName name="peranap" localSheetId="16">#REF!</definedName>
    <definedName name="peranap" localSheetId="8">#REF!</definedName>
    <definedName name="peranap" localSheetId="7">#REF!</definedName>
    <definedName name="peranap" localSheetId="13">#REF!</definedName>
    <definedName name="peranap" localSheetId="18">#REF!</definedName>
    <definedName name="peranap" localSheetId="6">#REF!</definedName>
    <definedName name="peranap" localSheetId="10">#REF!</definedName>
    <definedName name="peranap" localSheetId="22">#REF!</definedName>
    <definedName name="peranap">#REF!</definedName>
    <definedName name="PISAH" localSheetId="16">#REF!</definedName>
    <definedName name="PISAH" localSheetId="8">#REF!</definedName>
    <definedName name="PISAH" localSheetId="7">#REF!</definedName>
    <definedName name="PISAH" localSheetId="13">#REF!</definedName>
    <definedName name="PISAH" localSheetId="18">#REF!</definedName>
    <definedName name="PISAH" localSheetId="6">#REF!</definedName>
    <definedName name="PISAH" localSheetId="10">#REF!</definedName>
    <definedName name="PISAH" localSheetId="22">#REF!</definedName>
    <definedName name="PISAH">#REF!</definedName>
    <definedName name="PISTON" localSheetId="16">'[1]A. TANAH'!#REF!</definedName>
    <definedName name="PISTON" localSheetId="8">'[1]A. TANAH'!#REF!</definedName>
    <definedName name="PISTON" localSheetId="7">'[1]A. TANAH'!#REF!</definedName>
    <definedName name="PISTON" localSheetId="13">'[1]A. TANAH'!#REF!</definedName>
    <definedName name="PISTON" localSheetId="18">'[1]A. TANAH'!#REF!</definedName>
    <definedName name="PISTON" localSheetId="6">'[1]A. TANAH'!#REF!</definedName>
    <definedName name="PISTON" localSheetId="10">'[1]A. TANAH'!#REF!</definedName>
    <definedName name="PISTON" localSheetId="22">'[1]A. TANAH'!#REF!</definedName>
    <definedName name="PISTON">'[1]A. TANAH'!#REF!</definedName>
    <definedName name="POT" localSheetId="16">#REF!</definedName>
    <definedName name="POT" localSheetId="8">#REF!</definedName>
    <definedName name="POT" localSheetId="7">#REF!</definedName>
    <definedName name="POT" localSheetId="13">#REF!</definedName>
    <definedName name="POT" localSheetId="18">#REF!</definedName>
    <definedName name="POT" localSheetId="6">#REF!</definedName>
    <definedName name="POT" localSheetId="10">#REF!</definedName>
    <definedName name="POT" localSheetId="22">#REF!</definedName>
    <definedName name="POT">#REF!</definedName>
    <definedName name="PPPP" localSheetId="16">#REF!</definedName>
    <definedName name="PPPP" localSheetId="8">#REF!</definedName>
    <definedName name="PPPP" localSheetId="7">#REF!</definedName>
    <definedName name="PPPP" localSheetId="13">#REF!</definedName>
    <definedName name="PPPP" localSheetId="18">#REF!</definedName>
    <definedName name="PPPP" localSheetId="6">#REF!</definedName>
    <definedName name="PPPP" localSheetId="10">#REF!</definedName>
    <definedName name="PPPP" localSheetId="22">#REF!</definedName>
    <definedName name="PPPP">#REF!</definedName>
    <definedName name="PPPPP" localSheetId="16">#REF!</definedName>
    <definedName name="PPPPP" localSheetId="8">#REF!</definedName>
    <definedName name="PPPPP" localSheetId="7">#REF!</definedName>
    <definedName name="PPPPP" localSheetId="13">#REF!</definedName>
    <definedName name="PPPPP" localSheetId="18">#REF!</definedName>
    <definedName name="PPPPP" localSheetId="6">#REF!</definedName>
    <definedName name="PPPPP" localSheetId="10">#REF!</definedName>
    <definedName name="PPPPP" localSheetId="22">#REF!</definedName>
    <definedName name="PPPPP">#REF!</definedName>
    <definedName name="PRESTASI" localSheetId="16">'[1]A. TANAH'!#REF!</definedName>
    <definedName name="PRESTASI" localSheetId="8">'[1]A. TANAH'!#REF!</definedName>
    <definedName name="PRESTASI" localSheetId="7">'[1]A. TANAH'!#REF!</definedName>
    <definedName name="PRESTASI" localSheetId="13">'[1]A. TANAH'!#REF!</definedName>
    <definedName name="PRESTASI" localSheetId="18">'[1]A. TANAH'!#REF!</definedName>
    <definedName name="PRESTASI" localSheetId="6">'[1]A. TANAH'!#REF!</definedName>
    <definedName name="PRESTASI" localSheetId="10">'[1]A. TANAH'!#REF!</definedName>
    <definedName name="PRESTASI" localSheetId="22">'[1]A. TANAH'!#REF!</definedName>
    <definedName name="PRESTASI">'[1]A. TANAH'!#REF!</definedName>
    <definedName name="_xlnm.Print_Area" localSheetId="8">'BM Reklas ke aset'!$D$6:$U$18</definedName>
    <definedName name="_xlnm.Print_Area" localSheetId="21">'Format KIB'!$A$1:$G$309</definedName>
    <definedName name="_xlnm.Print_Area" localSheetId="2">'KIB A'!$A$1:$N$555</definedName>
    <definedName name="_xlnm.Print_Area" localSheetId="3">'KIB B'!$B$3:$T$338</definedName>
    <definedName name="_xlnm.Print_Area" localSheetId="1">'KIB B_di bawah kaptl.'!$B$1:$AJ$98</definedName>
    <definedName name="_xlnm.Print_Area" localSheetId="0">'KIB B_koreksi'!$B$1:$AJ$380</definedName>
    <definedName name="_xlnm.Print_Area" localSheetId="9">'KIB C'!$C$2:$S$294</definedName>
    <definedName name="_xlnm.Print_Area" localSheetId="7">'KIB C OK (2)'!$D$6:$U$355</definedName>
    <definedName name="_xlnm.Print_Area" localSheetId="14">'KIB D'!$D$2:$U$1149</definedName>
    <definedName name="_xlnm.Print_Area" localSheetId="17">'KIB E'!$A$1:$P$29</definedName>
    <definedName name="_xlnm.Print_Area" localSheetId="19">'KIB F'!$A$2:$O$79</definedName>
    <definedName name="_xlnm.Print_Area" localSheetId="18">'KIB F (2)'!$A$1:$O$119</definedName>
    <definedName name="_xlnm.Print_Area" localSheetId="6">PENGELOMPOKAN_C!$D$6:$T$350</definedName>
    <definedName name="_xlnm.Print_Titles" localSheetId="16">'Aset Renovasi'!$6:$9</definedName>
    <definedName name="_xlnm.Print_Titles" localSheetId="8">'BM Reklas ke aset'!$6:$9</definedName>
    <definedName name="_xlnm.Print_Titles" localSheetId="21">'Format KIB'!#REF!</definedName>
    <definedName name="_xlnm.Print_Titles" localSheetId="11">'KAPITALISASI D'!$6:$9</definedName>
    <definedName name="_xlnm.Print_Titles" localSheetId="2">'KIB A'!$6:$9</definedName>
    <definedName name="_xlnm.Print_Titles" localSheetId="3">'KIB B'!$7:$10</definedName>
    <definedName name="_xlnm.Print_Titles" localSheetId="1">'KIB B_di bawah kaptl.'!$7:$10</definedName>
    <definedName name="_xlnm.Print_Titles" localSheetId="0">'KIB B_koreksi'!$7:$10</definedName>
    <definedName name="_xlnm.Print_Titles" localSheetId="9">'KIB C'!$6:$8</definedName>
    <definedName name="_xlnm.Print_Titles" localSheetId="4">'KIB C di bawah kapitl.'!$6:$9</definedName>
    <definedName name="_xlnm.Print_Titles" localSheetId="5">'KIB C Final'!$6:$9</definedName>
    <definedName name="_xlnm.Print_Titles" localSheetId="7">'KIB C OK (2)'!$6:$9</definedName>
    <definedName name="_xlnm.Print_Titles" localSheetId="14">'KIB D'!$6:$8</definedName>
    <definedName name="_xlnm.Print_Titles" localSheetId="13">'KIB D OK (2)'!$6:$9</definedName>
    <definedName name="_xlnm.Print_Titles" localSheetId="19">'KIB F'!$6:$9</definedName>
    <definedName name="_xlnm.Print_Titles" localSheetId="12">PENGELOMPOKAN!$6:$9</definedName>
    <definedName name="_xlnm.Print_Titles" localSheetId="6">PENGELOMPOKAN_C!$6:$9</definedName>
    <definedName name="_xlnm.Print_Titles" localSheetId="22">rincian!$6:$9</definedName>
    <definedName name="q" localSheetId="16">#REF!</definedName>
    <definedName name="q" localSheetId="8">#REF!</definedName>
    <definedName name="q" localSheetId="7">#REF!</definedName>
    <definedName name="q" localSheetId="13">#REF!</definedName>
    <definedName name="q" localSheetId="18">#REF!</definedName>
    <definedName name="q" localSheetId="6">#REF!</definedName>
    <definedName name="q" localSheetId="10">#REF!</definedName>
    <definedName name="q" localSheetId="22">#REF!</definedName>
    <definedName name="q">#REF!</definedName>
    <definedName name="qnqnqhqnqhnqhqnqhn" localSheetId="16">#REF!</definedName>
    <definedName name="qnqnqhqnqhnqhqnqhn" localSheetId="8">#REF!</definedName>
    <definedName name="qnqnqhqnqhnqhqnqhn" localSheetId="7">#REF!</definedName>
    <definedName name="qnqnqhqnqhnqhqnqhn" localSheetId="13">#REF!</definedName>
    <definedName name="qnqnqhqnqhnqhqnqhn" localSheetId="18">#REF!</definedName>
    <definedName name="qnqnqhqnqhnqhqnqhn" localSheetId="6">#REF!</definedName>
    <definedName name="qnqnqhqnqhnqhqnqhn" localSheetId="10">#REF!</definedName>
    <definedName name="qnqnqhqnqhnqhqnqhn" localSheetId="22">#REF!</definedName>
    <definedName name="qnqnqhqnqhnqhqnqhn">#REF!</definedName>
    <definedName name="RAHARJA" localSheetId="16">'[1]A. TANAH'!#REF!</definedName>
    <definedName name="RAHARJA" localSheetId="8">'[1]A. TANAH'!#REF!</definedName>
    <definedName name="RAHARJA" localSheetId="7">'[1]A. TANAH'!#REF!</definedName>
    <definedName name="RAHARJA" localSheetId="13">'[1]A. TANAH'!#REF!</definedName>
    <definedName name="RAHARJA" localSheetId="18">'[1]A. TANAH'!#REF!</definedName>
    <definedName name="RAHARJA" localSheetId="6">'[1]A. TANAH'!#REF!</definedName>
    <definedName name="RAHARJA" localSheetId="10">'[1]A. TANAH'!#REF!</definedName>
    <definedName name="RAHARJA" localSheetId="22">'[1]A. TANAH'!#REF!</definedName>
    <definedName name="RAHARJA">'[1]A. TANAH'!#REF!</definedName>
    <definedName name="RANGKA" localSheetId="16">'[1]A. TANAH'!#REF!</definedName>
    <definedName name="RANGKA" localSheetId="8">'[1]A. TANAH'!#REF!</definedName>
    <definedName name="RANGKA" localSheetId="7">'[1]A. TANAH'!#REF!</definedName>
    <definedName name="RANGKA" localSheetId="13">'[1]A. TANAH'!#REF!</definedName>
    <definedName name="RANGKA" localSheetId="18">'[1]A. TANAH'!#REF!</definedName>
    <definedName name="RANGKA" localSheetId="6">'[1]A. TANAH'!#REF!</definedName>
    <definedName name="RANGKA" localSheetId="10">'[1]A. TANAH'!#REF!</definedName>
    <definedName name="RANGKA" localSheetId="22">'[1]A. TANAH'!#REF!</definedName>
    <definedName name="RANGKA">'[1]A. TANAH'!#REF!</definedName>
    <definedName name="register" localSheetId="16">#REF!</definedName>
    <definedName name="register" localSheetId="8">#REF!</definedName>
    <definedName name="register" localSheetId="7">#REF!</definedName>
    <definedName name="register" localSheetId="13">#REF!</definedName>
    <definedName name="register" localSheetId="18">#REF!</definedName>
    <definedName name="register" localSheetId="6">#REF!</definedName>
    <definedName name="register" localSheetId="10">#REF!</definedName>
    <definedName name="register" localSheetId="22">#REF!</definedName>
    <definedName name="register">#REF!</definedName>
    <definedName name="rekap" localSheetId="16">#REF!</definedName>
    <definedName name="rekap" localSheetId="8">#REF!</definedName>
    <definedName name="rekap" localSheetId="7">#REF!</definedName>
    <definedName name="rekap" localSheetId="13">#REF!</definedName>
    <definedName name="rekap" localSheetId="18">#REF!</definedName>
    <definedName name="rekap" localSheetId="6">#REF!</definedName>
    <definedName name="rekap" localSheetId="10">#REF!</definedName>
    <definedName name="rekap" localSheetId="22">#REF!</definedName>
    <definedName name="rekap">#REF!</definedName>
    <definedName name="REKAPITULASI" localSheetId="16">#REF!</definedName>
    <definedName name="REKAPITULASI" localSheetId="8">#REF!</definedName>
    <definedName name="REKAPITULASI" localSheetId="7">#REF!</definedName>
    <definedName name="REKAPITULASI" localSheetId="13">#REF!</definedName>
    <definedName name="REKAPITULASI" localSheetId="18">#REF!</definedName>
    <definedName name="REKAPITULASI" localSheetId="6">#REF!</definedName>
    <definedName name="REKAPITULASI" localSheetId="10">#REF!</definedName>
    <definedName name="REKAPITULASI" localSheetId="22">#REF!</definedName>
    <definedName name="REKAPITULASI">#REF!</definedName>
    <definedName name="rinal" localSheetId="16">#REF!</definedName>
    <definedName name="rinal" localSheetId="8">#REF!</definedName>
    <definedName name="rinal" localSheetId="7">#REF!</definedName>
    <definedName name="rinal" localSheetId="13">#REF!</definedName>
    <definedName name="rinal" localSheetId="18">#REF!</definedName>
    <definedName name="rinal" localSheetId="6">#REF!</definedName>
    <definedName name="rinal" localSheetId="10">#REF!</definedName>
    <definedName name="rinal" localSheetId="22">#REF!</definedName>
    <definedName name="rinal">#REF!</definedName>
    <definedName name="rrrrrrrrrr" localSheetId="16">#REF!</definedName>
    <definedName name="rrrrrrrrrr" localSheetId="8">#REF!</definedName>
    <definedName name="rrrrrrrrrr" localSheetId="7">#REF!</definedName>
    <definedName name="rrrrrrrrrr" localSheetId="13">#REF!</definedName>
    <definedName name="rrrrrrrrrr" localSheetId="18">#REF!</definedName>
    <definedName name="rrrrrrrrrr" localSheetId="6">#REF!</definedName>
    <definedName name="rrrrrrrrrr" localSheetId="10">#REF!</definedName>
    <definedName name="rrrrrrrrrr" localSheetId="22">#REF!</definedName>
    <definedName name="rrrrrrrrrr">#REF!</definedName>
    <definedName name="RUANG" localSheetId="16">#REF!</definedName>
    <definedName name="RUANG" localSheetId="8">#REF!</definedName>
    <definedName name="RUANG" localSheetId="7">#REF!</definedName>
    <definedName name="RUANG" localSheetId="13">#REF!</definedName>
    <definedName name="RUANG" localSheetId="18">#REF!</definedName>
    <definedName name="RUANG" localSheetId="6">#REF!</definedName>
    <definedName name="RUANG" localSheetId="10">#REF!</definedName>
    <definedName name="RUANG" localSheetId="22">#REF!</definedName>
    <definedName name="RUANG">#REF!</definedName>
    <definedName name="RUAS">'Format KIB'!$A$4:$B$307</definedName>
    <definedName name="RUSAK" localSheetId="16">#REF!</definedName>
    <definedName name="RUSAK" localSheetId="8">#REF!</definedName>
    <definedName name="RUSAK" localSheetId="7">#REF!</definedName>
    <definedName name="RUSAK" localSheetId="13">#REF!</definedName>
    <definedName name="RUSAK" localSheetId="18">#REF!</definedName>
    <definedName name="RUSAK" localSheetId="6">#REF!</definedName>
    <definedName name="RUSAK" localSheetId="10">#REF!</definedName>
    <definedName name="RUSAK" localSheetId="22">#REF!</definedName>
    <definedName name="RUSAK">#REF!</definedName>
    <definedName name="s" localSheetId="16">#REF!</definedName>
    <definedName name="s" localSheetId="8">#REF!</definedName>
    <definedName name="s" localSheetId="7">#REF!</definedName>
    <definedName name="s" localSheetId="13">#REF!</definedName>
    <definedName name="s" localSheetId="18">#REF!</definedName>
    <definedName name="s" localSheetId="6">#REF!</definedName>
    <definedName name="s" localSheetId="10">#REF!</definedName>
    <definedName name="s" localSheetId="22">#REF!</definedName>
    <definedName name="s">#REF!</definedName>
    <definedName name="SARI" localSheetId="16">#REF!</definedName>
    <definedName name="SARI" localSheetId="8">#REF!</definedName>
    <definedName name="SARI" localSheetId="7">#REF!</definedName>
    <definedName name="SARI" localSheetId="13">#REF!</definedName>
    <definedName name="SARI" localSheetId="18">#REF!</definedName>
    <definedName name="SARI" localSheetId="6">#REF!</definedName>
    <definedName name="SARI" localSheetId="10">#REF!</definedName>
    <definedName name="SARI" localSheetId="22">#REF!</definedName>
    <definedName name="SARI">#REF!</definedName>
    <definedName name="SEKRETARIAT_DPRD" localSheetId="16">#REF!</definedName>
    <definedName name="SEKRETARIAT_DPRD" localSheetId="8">#REF!</definedName>
    <definedName name="SEKRETARIAT_DPRD" localSheetId="7">#REF!</definedName>
    <definedName name="SEKRETARIAT_DPRD" localSheetId="13">#REF!</definedName>
    <definedName name="SEKRETARIAT_DPRD" localSheetId="18">#REF!</definedName>
    <definedName name="SEKRETARIAT_DPRD" localSheetId="6">#REF!</definedName>
    <definedName name="SEKRETARIAT_DPRD" localSheetId="10">#REF!</definedName>
    <definedName name="SEKRETARIAT_DPRD" localSheetId="22">#REF!</definedName>
    <definedName name="SEKRETARIAT_DPRD">#REF!</definedName>
    <definedName name="sfsfSFS" localSheetId="16">#REF!</definedName>
    <definedName name="sfsfSFS" localSheetId="8">#REF!</definedName>
    <definedName name="sfsfSFS" localSheetId="7">#REF!</definedName>
    <definedName name="sfsfSFS" localSheetId="13">#REF!</definedName>
    <definedName name="sfsfSFS" localSheetId="18">#REF!</definedName>
    <definedName name="sfsfSFS" localSheetId="6">#REF!</definedName>
    <definedName name="sfsfSFS" localSheetId="10">#REF!</definedName>
    <definedName name="sfsfSFS" localSheetId="22">#REF!</definedName>
    <definedName name="sfsfSFS">#REF!</definedName>
    <definedName name="SIMBOL" localSheetId="16">#REF!</definedName>
    <definedName name="SIMBOL" localSheetId="8">#REF!</definedName>
    <definedName name="SIMBOL" localSheetId="7">#REF!</definedName>
    <definedName name="SIMBOL" localSheetId="13">#REF!</definedName>
    <definedName name="SIMBOL" localSheetId="18">#REF!</definedName>
    <definedName name="SIMBOL" localSheetId="6">#REF!</definedName>
    <definedName name="SIMBOL" localSheetId="10">#REF!</definedName>
    <definedName name="SIMBOL" localSheetId="22">#REF!</definedName>
    <definedName name="SIMBOL">#REF!</definedName>
    <definedName name="sssss">[12]DIKBUDPAR!$J$5</definedName>
    <definedName name="STRATEGI" localSheetId="16">#REF!</definedName>
    <definedName name="STRATEGI" localSheetId="8">#REF!</definedName>
    <definedName name="STRATEGI" localSheetId="7">#REF!</definedName>
    <definedName name="STRATEGI" localSheetId="13">#REF!</definedName>
    <definedName name="STRATEGI" localSheetId="18">#REF!</definedName>
    <definedName name="STRATEGI" localSheetId="6">#REF!</definedName>
    <definedName name="STRATEGI" localSheetId="10">#REF!</definedName>
    <definedName name="STRATEGI" localSheetId="22">#REF!</definedName>
    <definedName name="STRATEGI">#REF!</definedName>
    <definedName name="TAHUN" localSheetId="2">#REF!</definedName>
    <definedName name="TAHUN" localSheetId="17">#REF!</definedName>
    <definedName name="TAHUN" localSheetId="19">#REF!</definedName>
    <definedName name="TAHUN" localSheetId="18">#REF!</definedName>
    <definedName name="TAHUN" localSheetId="15">[13]Sheet4!$D$4:$E$591</definedName>
    <definedName name="TAHUN" localSheetId="10">[13]Sheet4!$D$4:$E$591</definedName>
    <definedName name="TAHUN">[13]Sheet4!$D$4:$E$1339</definedName>
    <definedName name="TANDA" localSheetId="16">#REF!</definedName>
    <definedName name="TANDA" localSheetId="8">#REF!</definedName>
    <definedName name="TANDA" localSheetId="7">#REF!</definedName>
    <definedName name="TANDA" localSheetId="13">#REF!</definedName>
    <definedName name="TANDA" localSheetId="18">#REF!</definedName>
    <definedName name="TANDA" localSheetId="6">#REF!</definedName>
    <definedName name="TANDA" localSheetId="10">#REF!</definedName>
    <definedName name="TANDA" localSheetId="22">#REF!</definedName>
    <definedName name="TANDA">#REF!</definedName>
    <definedName name="TANDATANDA" localSheetId="16">'[1]A. TANAH'!#REF!</definedName>
    <definedName name="TANDATANDA" localSheetId="8">'[1]A. TANAH'!#REF!</definedName>
    <definedName name="TANDATANDA" localSheetId="7">'[1]A. TANAH'!#REF!</definedName>
    <definedName name="TANDATANDA" localSheetId="13">'[1]A. TANAH'!#REF!</definedName>
    <definedName name="TANDATANDA" localSheetId="18">'[1]A. TANAH'!#REF!</definedName>
    <definedName name="TANDATANDA" localSheetId="6">'[1]A. TANAH'!#REF!</definedName>
    <definedName name="TANDATANDA" localSheetId="10">'[1]A. TANAH'!#REF!</definedName>
    <definedName name="TANDATANDA" localSheetId="22">'[1]A. TANAH'!#REF!</definedName>
    <definedName name="TANDATANDA">'[1]A. TANAH'!#REF!</definedName>
    <definedName name="TERMINATOR" localSheetId="16">'[1]A. TANAH'!#REF!</definedName>
    <definedName name="TERMINATOR" localSheetId="8">'[1]A. TANAH'!#REF!</definedName>
    <definedName name="TERMINATOR" localSheetId="7">'[1]A. TANAH'!#REF!</definedName>
    <definedName name="TERMINATOR" localSheetId="13">'[1]A. TANAH'!#REF!</definedName>
    <definedName name="TERMINATOR" localSheetId="18">'[1]A. TANAH'!#REF!</definedName>
    <definedName name="TERMINATOR" localSheetId="6">'[1]A. TANAH'!#REF!</definedName>
    <definedName name="TERMINATOR" localSheetId="10">'[1]A. TANAH'!#REF!</definedName>
    <definedName name="TERMINATOR" localSheetId="22">'[1]A. TANAH'!#REF!</definedName>
    <definedName name="TERMINATOR">'[1]A. TANAH'!#REF!</definedName>
    <definedName name="TIDAK" localSheetId="16">#REF!</definedName>
    <definedName name="TIDAK" localSheetId="8">#REF!</definedName>
    <definedName name="TIDAK" localSheetId="7">#REF!</definedName>
    <definedName name="TIDAK" localSheetId="13">#REF!</definedName>
    <definedName name="TIDAK" localSheetId="18">#REF!</definedName>
    <definedName name="TIDAK" localSheetId="6">#REF!</definedName>
    <definedName name="TIDAK" localSheetId="10">#REF!</definedName>
    <definedName name="TIDAK" localSheetId="22">#REF!</definedName>
    <definedName name="TIDAK">#REF!</definedName>
    <definedName name="TINGKAT" localSheetId="16">#REF!</definedName>
    <definedName name="TINGKAT" localSheetId="8">#REF!</definedName>
    <definedName name="TINGKAT" localSheetId="7">#REF!</definedName>
    <definedName name="TINGKAT" localSheetId="13">#REF!</definedName>
    <definedName name="TINGKAT" localSheetId="18">#REF!</definedName>
    <definedName name="TINGKAT" localSheetId="6">#REF!</definedName>
    <definedName name="TINGKAT" localSheetId="10">#REF!</definedName>
    <definedName name="TINGKAT" localSheetId="22">#REF!</definedName>
    <definedName name="TINGKAT">#REF!</definedName>
    <definedName name="tm_2415921492" localSheetId="16">#REF!</definedName>
    <definedName name="tm_2415921492" localSheetId="8">#REF!</definedName>
    <definedName name="tm_2415921492" localSheetId="7">#REF!</definedName>
    <definedName name="tm_2415921492" localSheetId="13">#REF!</definedName>
    <definedName name="tm_2415921492" localSheetId="18">#REF!</definedName>
    <definedName name="tm_2415921492" localSheetId="6">#REF!</definedName>
    <definedName name="tm_2415921492" localSheetId="10">#REF!</definedName>
    <definedName name="tm_2415921492" localSheetId="22">#REF!</definedName>
    <definedName name="tm_2415921492">#REF!</definedName>
    <definedName name="u" localSheetId="16">#REF!</definedName>
    <definedName name="u" localSheetId="8">#REF!</definedName>
    <definedName name="u" localSheetId="7">#REF!</definedName>
    <definedName name="u" localSheetId="13">#REF!</definedName>
    <definedName name="u" localSheetId="18">#REF!</definedName>
    <definedName name="u" localSheetId="6">#REF!</definedName>
    <definedName name="u" localSheetId="10">#REF!</definedName>
    <definedName name="u" localSheetId="22">#REF!</definedName>
    <definedName name="u">#REF!</definedName>
    <definedName name="UBAH" localSheetId="16">#REF!</definedName>
    <definedName name="UBAH" localSheetId="8">#REF!</definedName>
    <definedName name="UBAH" localSheetId="7">#REF!</definedName>
    <definedName name="UBAH" localSheetId="13">#REF!</definedName>
    <definedName name="UBAH" localSheetId="18">#REF!</definedName>
    <definedName name="UBAH" localSheetId="6">#REF!</definedName>
    <definedName name="UBAH" localSheetId="10">#REF!</definedName>
    <definedName name="UBAH" localSheetId="22">#REF!</definedName>
    <definedName name="UBAH">#REF!</definedName>
    <definedName name="UE">UE!$C$4:$F$76</definedName>
    <definedName name="UJANG" localSheetId="16">#REF!</definedName>
    <definedName name="UJANG" localSheetId="8">#REF!</definedName>
    <definedName name="UJANG" localSheetId="7">#REF!</definedName>
    <definedName name="UJANG" localSheetId="13">#REF!</definedName>
    <definedName name="UJANG" localSheetId="18">#REF!</definedName>
    <definedName name="UJANG" localSheetId="6">#REF!</definedName>
    <definedName name="UJANG" localSheetId="10">#REF!</definedName>
    <definedName name="UJANG" localSheetId="22">#REF!</definedName>
    <definedName name="UJANG">#REF!</definedName>
    <definedName name="UNIT" localSheetId="16">#REF!</definedName>
    <definedName name="UNIT" localSheetId="8">#REF!</definedName>
    <definedName name="UNIT" localSheetId="7">#REF!</definedName>
    <definedName name="UNIT" localSheetId="13">#REF!</definedName>
    <definedName name="UNIT" localSheetId="18">#REF!</definedName>
    <definedName name="UNIT" localSheetId="6">#REF!</definedName>
    <definedName name="UNIT" localSheetId="10">#REF!</definedName>
    <definedName name="UNIT" localSheetId="22">#REF!</definedName>
    <definedName name="UNIT">#REF!</definedName>
    <definedName name="VALUE" localSheetId="16">'[1]A. TANAH'!#REF!</definedName>
    <definedName name="VALUE" localSheetId="8">'[1]A. TANAH'!#REF!</definedName>
    <definedName name="VALUE" localSheetId="7">'[1]A. TANAH'!#REF!</definedName>
    <definedName name="VALUE" localSheetId="13">'[1]A. TANAH'!#REF!</definedName>
    <definedName name="VALUE" localSheetId="18">'[1]A. TANAH'!#REF!</definedName>
    <definedName name="VALUE" localSheetId="6">'[1]A. TANAH'!#REF!</definedName>
    <definedName name="VALUE" localSheetId="10">'[1]A. TANAH'!#REF!</definedName>
    <definedName name="VALUE" localSheetId="22">'[1]A. TANAH'!#REF!</definedName>
    <definedName name="VALUE">'[1]A. TANAH'!#REF!</definedName>
    <definedName name="VAlue_1" localSheetId="16">'[5]A. TANAH'!#REF!</definedName>
    <definedName name="VAlue_1" localSheetId="8">'[5]A. TANAH'!#REF!</definedName>
    <definedName name="VAlue_1" localSheetId="7">'[5]A. TANAH'!#REF!</definedName>
    <definedName name="VAlue_1" localSheetId="13">'[5]A. TANAH'!#REF!</definedName>
    <definedName name="VAlue_1" localSheetId="18">'[5]A. TANAH'!#REF!</definedName>
    <definedName name="VAlue_1" localSheetId="6">'[5]A. TANAH'!#REF!</definedName>
    <definedName name="VAlue_1" localSheetId="10">'[5]A. TANAH'!#REF!</definedName>
    <definedName name="VAlue_1" localSheetId="22">'[5]A. TANAH'!#REF!</definedName>
    <definedName name="VAlue_1">'[5]A. TANAH'!#REF!</definedName>
    <definedName name="WAKTU" localSheetId="16">#REF!</definedName>
    <definedName name="WAKTU" localSheetId="8">#REF!</definedName>
    <definedName name="WAKTU" localSheetId="7">#REF!</definedName>
    <definedName name="WAKTU" localSheetId="13">#REF!</definedName>
    <definedName name="WAKTU" localSheetId="18">#REF!</definedName>
    <definedName name="WAKTU" localSheetId="6">#REF!</definedName>
    <definedName name="WAKTU" localSheetId="10">#REF!</definedName>
    <definedName name="WAKTU" localSheetId="22">#REF!</definedName>
    <definedName name="WAKTU">#REF!</definedName>
    <definedName name="WATI" localSheetId="16">#REF!</definedName>
    <definedName name="WATI" localSheetId="8">#REF!</definedName>
    <definedName name="WATI" localSheetId="7">#REF!</definedName>
    <definedName name="WATI" localSheetId="13">#REF!</definedName>
    <definedName name="WATI" localSheetId="18">#REF!</definedName>
    <definedName name="WATI" localSheetId="6">#REF!</definedName>
    <definedName name="WATI" localSheetId="10">#REF!</definedName>
    <definedName name="WATI" localSheetId="22">#REF!</definedName>
    <definedName name="WATI">#REF!</definedName>
    <definedName name="WWE" localSheetId="16">#REF!</definedName>
    <definedName name="WWE" localSheetId="8">#REF!</definedName>
    <definedName name="WWE" localSheetId="7">#REF!</definedName>
    <definedName name="WWE" localSheetId="13">#REF!</definedName>
    <definedName name="WWE" localSheetId="18">#REF!</definedName>
    <definedName name="WWE" localSheetId="6">#REF!</definedName>
    <definedName name="WWE" localSheetId="10">#REF!</definedName>
    <definedName name="WWE" localSheetId="22">#REF!</definedName>
    <definedName name="WWE">#REF!</definedName>
    <definedName name="x" localSheetId="16">#REF!</definedName>
    <definedName name="x" localSheetId="8">#REF!</definedName>
    <definedName name="x" localSheetId="7">#REF!</definedName>
    <definedName name="x" localSheetId="13">#REF!</definedName>
    <definedName name="x" localSheetId="18">#REF!</definedName>
    <definedName name="x" localSheetId="6">#REF!</definedName>
    <definedName name="x" localSheetId="10">#REF!</definedName>
    <definedName name="x" localSheetId="22">#REF!</definedName>
    <definedName name="x">#REF!</definedName>
    <definedName name="xccxc" localSheetId="16">#REF!</definedName>
    <definedName name="xccxc" localSheetId="8">#REF!</definedName>
    <definedName name="xccxc" localSheetId="7">#REF!</definedName>
    <definedName name="xccxc" localSheetId="13">#REF!</definedName>
    <definedName name="xccxc" localSheetId="18">#REF!</definedName>
    <definedName name="xccxc" localSheetId="6">#REF!</definedName>
    <definedName name="xccxc" localSheetId="10">#REF!</definedName>
    <definedName name="xccxc" localSheetId="22">#REF!</definedName>
    <definedName name="xccxc">#REF!</definedName>
    <definedName name="xx" localSheetId="16">#REF!</definedName>
    <definedName name="xx" localSheetId="8">#REF!</definedName>
    <definedName name="xx" localSheetId="7">#REF!</definedName>
    <definedName name="xx" localSheetId="13">#REF!</definedName>
    <definedName name="xx" localSheetId="18">#REF!</definedName>
    <definedName name="xx" localSheetId="6">#REF!</definedName>
    <definedName name="xx" localSheetId="10">#REF!</definedName>
    <definedName name="xx" localSheetId="22">#REF!</definedName>
    <definedName name="xx">#REF!</definedName>
    <definedName name="XXX" localSheetId="16">#REF!</definedName>
    <definedName name="XXX" localSheetId="8">#REF!</definedName>
    <definedName name="XXX" localSheetId="7">#REF!</definedName>
    <definedName name="XXX" localSheetId="13">#REF!</definedName>
    <definedName name="XXX" localSheetId="18">#REF!</definedName>
    <definedName name="XXX" localSheetId="6">#REF!</definedName>
    <definedName name="XXX" localSheetId="10">#REF!</definedName>
    <definedName name="XXX" localSheetId="22">#REF!</definedName>
    <definedName name="XXX">#REF!</definedName>
    <definedName name="xxxxx" localSheetId="16">#REF!</definedName>
    <definedName name="xxxxx" localSheetId="8">#REF!</definedName>
    <definedName name="xxxxx" localSheetId="7">#REF!</definedName>
    <definedName name="xxxxx" localSheetId="13">#REF!</definedName>
    <definedName name="xxxxx" localSheetId="18">#REF!</definedName>
    <definedName name="xxxxx" localSheetId="6">#REF!</definedName>
    <definedName name="xxxxx" localSheetId="10">#REF!</definedName>
    <definedName name="xxxxx" localSheetId="22">#REF!</definedName>
    <definedName name="xxxxx">#REF!</definedName>
    <definedName name="YUDI" localSheetId="16">#REF!</definedName>
    <definedName name="YUDI" localSheetId="8">#REF!</definedName>
    <definedName name="YUDI" localSheetId="7">#REF!</definedName>
    <definedName name="YUDI" localSheetId="13">#REF!</definedName>
    <definedName name="YUDI" localSheetId="18">#REF!</definedName>
    <definedName name="YUDI" localSheetId="6">#REF!</definedName>
    <definedName name="YUDI" localSheetId="10">#REF!</definedName>
    <definedName name="YUDI" localSheetId="22">#REF!</definedName>
    <definedName name="YUDI">#REF!</definedName>
    <definedName name="YYY" localSheetId="16">#REF!</definedName>
    <definedName name="YYY" localSheetId="8">#REF!</definedName>
    <definedName name="YYY" localSheetId="7">#REF!</definedName>
    <definedName name="YYY" localSheetId="13">#REF!</definedName>
    <definedName name="YYY" localSheetId="18">#REF!</definedName>
    <definedName name="YYY" localSheetId="6">#REF!</definedName>
    <definedName name="YYY" localSheetId="10">#REF!</definedName>
    <definedName name="YYY" localSheetId="22">#REF!</definedName>
    <definedName name="YYY">#REF!</definedName>
    <definedName name="Z" localSheetId="16">#REF!</definedName>
    <definedName name="Z" localSheetId="8">#REF!</definedName>
    <definedName name="Z" localSheetId="7">#REF!</definedName>
    <definedName name="Z" localSheetId="13">#REF!</definedName>
    <definedName name="Z" localSheetId="18">#REF!</definedName>
    <definedName name="Z" localSheetId="6">#REF!</definedName>
    <definedName name="Z" localSheetId="10">#REF!</definedName>
    <definedName name="Z" localSheetId="22">#REF!</definedName>
    <definedName name="Z">#REF!</definedName>
    <definedName name="zzz" localSheetId="16">#REF!</definedName>
    <definedName name="zzz" localSheetId="8">#REF!</definedName>
    <definedName name="zzz" localSheetId="7">#REF!</definedName>
    <definedName name="zzz" localSheetId="13">#REF!</definedName>
    <definedName name="zzz" localSheetId="18">#REF!</definedName>
    <definedName name="zzz" localSheetId="6">#REF!</definedName>
    <definedName name="zzz" localSheetId="10">#REF!</definedName>
    <definedName name="zzz" localSheetId="22">#REF!</definedName>
    <definedName name="zzz">#REF!</definedName>
    <definedName name="zzzzzzzzzzzzzzzzzz" localSheetId="16">#REF!</definedName>
    <definedName name="zzzzzzzzzzzzzzzzzz" localSheetId="8">#REF!</definedName>
    <definedName name="zzzzzzzzzzzzzzzzzz" localSheetId="7">#REF!</definedName>
    <definedName name="zzzzzzzzzzzzzzzzzz" localSheetId="13">#REF!</definedName>
    <definedName name="zzzzzzzzzzzzzzzzzz" localSheetId="18">#REF!</definedName>
    <definedName name="zzzzzzzzzzzzzzzzzz" localSheetId="6">#REF!</definedName>
    <definedName name="zzzzzzzzzzzzzzzzzz" localSheetId="10">#REF!</definedName>
    <definedName name="zzzzzzzzzzzzzzzzzz" localSheetId="22">#REF!</definedName>
    <definedName name="zzzzzzzzzzzzzzzzzz">#REF!</definedName>
    <definedName name="ZZZZZZZZZZZZZZZZZZZZZZZ" localSheetId="16">#REF!</definedName>
    <definedName name="ZZZZZZZZZZZZZZZZZZZZZZZ" localSheetId="8">#REF!</definedName>
    <definedName name="ZZZZZZZZZZZZZZZZZZZZZZZ" localSheetId="7">#REF!</definedName>
    <definedName name="ZZZZZZZZZZZZZZZZZZZZZZZ" localSheetId="13">#REF!</definedName>
    <definedName name="ZZZZZZZZZZZZZZZZZZZZZZZ" localSheetId="18">#REF!</definedName>
    <definedName name="ZZZZZZZZZZZZZZZZZZZZZZZ" localSheetId="6">#REF!</definedName>
    <definedName name="ZZZZZZZZZZZZZZZZZZZZZZZ" localSheetId="10">#REF!</definedName>
    <definedName name="ZZZZZZZZZZZZZZZZZZZZZZZ" localSheetId="22">#REF!</definedName>
    <definedName name="ZZZZZZZZZZZZZZZZZZZZZZZ">#REF!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516" i="27" l="1"/>
  <c r="E516" i="27"/>
  <c r="M515" i="27"/>
  <c r="E515" i="27"/>
  <c r="D525" i="27" l="1"/>
  <c r="S1685" i="23" l="1"/>
  <c r="V1685" i="23"/>
  <c r="S1686" i="23"/>
  <c r="V1686" i="23"/>
  <c r="S1687" i="23"/>
  <c r="V1687" i="23"/>
  <c r="S1688" i="23"/>
  <c r="T1688" i="23" s="1"/>
  <c r="V1688" i="23"/>
  <c r="S1689" i="23"/>
  <c r="V1689" i="23"/>
  <c r="S1690" i="23"/>
  <c r="T1690" i="23" s="1"/>
  <c r="V1690" i="23"/>
  <c r="S1691" i="23"/>
  <c r="V1691" i="23"/>
  <c r="K1683" i="23"/>
  <c r="L1683" i="23" s="1"/>
  <c r="K1684" i="23"/>
  <c r="L1684" i="23" s="1"/>
  <c r="K1681" i="23"/>
  <c r="L1681" i="23" s="1"/>
  <c r="S1681" i="23"/>
  <c r="V1681" i="23"/>
  <c r="K1682" i="23"/>
  <c r="L1682" i="23" s="1"/>
  <c r="S1682" i="23"/>
  <c r="T1682" i="23" s="1"/>
  <c r="V1682" i="23"/>
  <c r="S1683" i="23"/>
  <c r="V1683" i="23"/>
  <c r="T1686" i="23" l="1"/>
  <c r="T1683" i="23"/>
  <c r="U1683" i="23" s="1"/>
  <c r="T1691" i="23"/>
  <c r="T1689" i="23"/>
  <c r="T1687" i="23"/>
  <c r="Q29" i="27"/>
  <c r="Q12" i="27"/>
  <c r="W431" i="22" l="1"/>
  <c r="Y431" i="22" s="1"/>
  <c r="W275" i="22"/>
  <c r="Y275" i="22" s="1"/>
  <c r="W216" i="22"/>
  <c r="Y216" i="22" s="1"/>
  <c r="X431" i="22" l="1"/>
  <c r="X275" i="22"/>
  <c r="X216" i="22"/>
  <c r="F459" i="22"/>
  <c r="F415" i="22"/>
  <c r="S1040" i="22" l="1"/>
  <c r="P292" i="10" l="1"/>
  <c r="A38" i="10" l="1"/>
  <c r="A40" i="10"/>
  <c r="A15" i="10"/>
  <c r="A16" i="10"/>
  <c r="A41" i="10"/>
  <c r="A17" i="10"/>
  <c r="A18" i="10"/>
  <c r="A42" i="10"/>
  <c r="A19" i="10"/>
  <c r="A43" i="10"/>
  <c r="A20" i="10"/>
  <c r="A21" i="10"/>
  <c r="A22" i="10"/>
  <c r="A23" i="10"/>
  <c r="A24" i="10"/>
  <c r="A25" i="10"/>
  <c r="A26" i="10"/>
  <c r="A27" i="10"/>
  <c r="A28" i="10"/>
  <c r="A29" i="10"/>
  <c r="A30" i="10"/>
  <c r="A31" i="10"/>
  <c r="A32" i="10"/>
  <c r="A33" i="10"/>
  <c r="A34" i="10"/>
  <c r="A35" i="10"/>
  <c r="A36" i="10"/>
  <c r="A37" i="10"/>
  <c r="A39"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100" i="10"/>
  <c r="A101" i="10"/>
  <c r="A102" i="10"/>
  <c r="A103" i="10"/>
  <c r="A104" i="10"/>
  <c r="A105" i="10"/>
  <c r="A106" i="10"/>
  <c r="A107" i="10"/>
  <c r="A108" i="10"/>
  <c r="A109" i="10"/>
  <c r="A110" i="10"/>
  <c r="A111" i="10"/>
  <c r="A112" i="10"/>
  <c r="A113" i="10"/>
  <c r="A114" i="10"/>
  <c r="A115" i="10"/>
  <c r="A116" i="10"/>
  <c r="A117" i="10"/>
  <c r="A118" i="10"/>
  <c r="A119"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54" i="10"/>
  <c r="A155" i="10"/>
  <c r="A156" i="10"/>
  <c r="A157" i="10"/>
  <c r="A158" i="10"/>
  <c r="A159" i="10"/>
  <c r="A160" i="10"/>
  <c r="A161" i="10"/>
  <c r="A162" i="10"/>
  <c r="A163" i="10"/>
  <c r="A164" i="10"/>
  <c r="A165" i="10"/>
  <c r="A166" i="10"/>
  <c r="A167" i="10"/>
  <c r="A168" i="10"/>
  <c r="A169" i="10"/>
  <c r="A170" i="10"/>
  <c r="A171" i="10"/>
  <c r="A172" i="10"/>
  <c r="A173" i="10"/>
  <c r="A174" i="10"/>
  <c r="A175" i="10"/>
  <c r="A176" i="10"/>
  <c r="A177" i="10"/>
  <c r="A178" i="10"/>
  <c r="A179" i="10"/>
  <c r="A180" i="10"/>
  <c r="A181" i="10"/>
  <c r="A182" i="10"/>
  <c r="A183" i="10"/>
  <c r="A184" i="10"/>
  <c r="A185"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44" i="10"/>
  <c r="A245" i="10"/>
  <c r="A246" i="10"/>
  <c r="A247" i="10"/>
  <c r="A248" i="10"/>
  <c r="A249" i="10"/>
  <c r="A250" i="10"/>
  <c r="A251" i="10"/>
  <c r="A293" i="10"/>
  <c r="A252" i="10"/>
  <c r="A253" i="10"/>
  <c r="A254" i="10"/>
  <c r="A255" i="10"/>
  <c r="A256" i="10"/>
  <c r="A257" i="10"/>
  <c r="A258" i="10"/>
  <c r="A259" i="10"/>
  <c r="A260" i="10"/>
  <c r="A261" i="10"/>
  <c r="A262" i="10"/>
  <c r="A263" i="10"/>
  <c r="A264" i="10"/>
  <c r="A265" i="10"/>
  <c r="A266" i="10"/>
  <c r="A267" i="10"/>
  <c r="A268" i="10"/>
  <c r="A269" i="10"/>
  <c r="A270" i="10"/>
  <c r="A271" i="10"/>
  <c r="A272" i="10"/>
  <c r="A273" i="10"/>
  <c r="A274" i="10"/>
  <c r="A275" i="10"/>
  <c r="A276" i="10"/>
  <c r="A277" i="10"/>
  <c r="A278" i="10"/>
  <c r="A279" i="10"/>
  <c r="A280" i="10"/>
  <c r="A281" i="10"/>
  <c r="A282" i="10"/>
  <c r="A283" i="10"/>
  <c r="A284" i="10"/>
  <c r="A285" i="10"/>
  <c r="A286" i="10"/>
  <c r="A287" i="10"/>
  <c r="A288" i="10"/>
  <c r="A289" i="10"/>
  <c r="A290" i="10"/>
  <c r="A291" i="10"/>
  <c r="A292" i="10"/>
  <c r="A294" i="10"/>
  <c r="A295" i="10"/>
  <c r="A296" i="10"/>
  <c r="A297" i="10"/>
  <c r="A298" i="10"/>
  <c r="A299" i="10"/>
  <c r="A300" i="10"/>
  <c r="A301" i="10"/>
  <c r="A302" i="10"/>
  <c r="A303" i="10"/>
  <c r="A304" i="10"/>
  <c r="A305" i="10"/>
  <c r="A306" i="10"/>
  <c r="A307" i="10"/>
  <c r="A308" i="10"/>
  <c r="A309" i="10"/>
  <c r="A310" i="10"/>
  <c r="A311" i="10"/>
  <c r="A312" i="10"/>
  <c r="A313" i="10"/>
  <c r="A314" i="10"/>
  <c r="A315" i="10"/>
  <c r="A316" i="10"/>
  <c r="A317" i="10"/>
  <c r="A318" i="10"/>
  <c r="A319" i="10"/>
  <c r="A320" i="10"/>
  <c r="A321" i="10"/>
  <c r="A322" i="10"/>
  <c r="A323" i="10"/>
  <c r="A324" i="10"/>
  <c r="A325" i="10"/>
  <c r="A14" i="10"/>
  <c r="W1046" i="22" l="1"/>
  <c r="X1046" i="22" s="1"/>
  <c r="S951" i="22"/>
  <c r="K938" i="23"/>
  <c r="L938" i="23" s="1"/>
  <c r="S938" i="23"/>
  <c r="V938" i="23"/>
  <c r="S939" i="23"/>
  <c r="V939" i="23"/>
  <c r="K940" i="23"/>
  <c r="L940" i="23" s="1"/>
  <c r="S940" i="23"/>
  <c r="V940" i="23"/>
  <c r="K941" i="23"/>
  <c r="L941" i="23" s="1"/>
  <c r="S941" i="23"/>
  <c r="V941" i="23"/>
  <c r="K942" i="23"/>
  <c r="L942" i="23" s="1"/>
  <c r="S942" i="23"/>
  <c r="T942" i="23" s="1"/>
  <c r="V942" i="23"/>
  <c r="K943" i="23"/>
  <c r="L943" i="23" s="1"/>
  <c r="S943" i="23"/>
  <c r="V943" i="23"/>
  <c r="K944" i="23"/>
  <c r="L944" i="23" s="1"/>
  <c r="S944" i="23"/>
  <c r="V944" i="23"/>
  <c r="S945" i="23"/>
  <c r="V945" i="23"/>
  <c r="K946" i="23"/>
  <c r="L946" i="23" s="1"/>
  <c r="S946" i="23"/>
  <c r="V946" i="23"/>
  <c r="S947" i="23"/>
  <c r="V947" i="23"/>
  <c r="K948" i="23"/>
  <c r="L948" i="23" s="1"/>
  <c r="S948" i="23"/>
  <c r="V948" i="23"/>
  <c r="K949" i="23"/>
  <c r="L949" i="23" s="1"/>
  <c r="S949" i="23"/>
  <c r="V949" i="23"/>
  <c r="K950" i="23"/>
  <c r="L950" i="23" s="1"/>
  <c r="S950" i="23"/>
  <c r="V950" i="23"/>
  <c r="H94" i="23"/>
  <c r="K88" i="23"/>
  <c r="L88" i="23" s="1"/>
  <c r="S88" i="23"/>
  <c r="V88" i="23"/>
  <c r="S89" i="23"/>
  <c r="V89" i="23"/>
  <c r="K90" i="23"/>
  <c r="L90" i="23" s="1"/>
  <c r="S90" i="23"/>
  <c r="V90" i="23"/>
  <c r="K91" i="23"/>
  <c r="L91" i="23" s="1"/>
  <c r="S91" i="23"/>
  <c r="V91" i="23"/>
  <c r="K92" i="23"/>
  <c r="L92" i="23" s="1"/>
  <c r="S92" i="23"/>
  <c r="V92" i="23"/>
  <c r="K93" i="23"/>
  <c r="L93" i="23" s="1"/>
  <c r="S93" i="23"/>
  <c r="V93" i="23"/>
  <c r="S94" i="23"/>
  <c r="V94" i="23"/>
  <c r="S95" i="23"/>
  <c r="V95" i="23"/>
  <c r="K96" i="23"/>
  <c r="L96" i="23" s="1"/>
  <c r="S96" i="23"/>
  <c r="V96" i="23"/>
  <c r="K97" i="23"/>
  <c r="L97" i="23" s="1"/>
  <c r="S97" i="23"/>
  <c r="V97" i="23"/>
  <c r="K98" i="23"/>
  <c r="L98" i="23" s="1"/>
  <c r="S98" i="23"/>
  <c r="T98" i="23" s="1"/>
  <c r="V98" i="23"/>
  <c r="S99" i="23"/>
  <c r="V99" i="23"/>
  <c r="K100" i="23"/>
  <c r="L100" i="23" s="1"/>
  <c r="S100" i="23"/>
  <c r="V100" i="23"/>
  <c r="K101" i="23"/>
  <c r="L101" i="23" s="1"/>
  <c r="S101" i="23"/>
  <c r="T101" i="23" s="1"/>
  <c r="V101" i="23"/>
  <c r="S102" i="23"/>
  <c r="V102" i="23"/>
  <c r="S103" i="23"/>
  <c r="V103" i="23"/>
  <c r="K104" i="23"/>
  <c r="L104" i="23" s="1"/>
  <c r="S104" i="23"/>
  <c r="V104" i="23"/>
  <c r="S105" i="23"/>
  <c r="V105" i="23"/>
  <c r="T941" i="23" l="1"/>
  <c r="T93" i="23"/>
  <c r="T943" i="23"/>
  <c r="T97" i="23"/>
  <c r="T950" i="23"/>
  <c r="T946" i="23"/>
  <c r="T947" i="23"/>
  <c r="T91" i="23"/>
  <c r="T944" i="23"/>
  <c r="T105" i="23"/>
  <c r="T103" i="23"/>
  <c r="T948" i="23"/>
  <c r="T949" i="23"/>
  <c r="T939" i="23"/>
  <c r="T102" i="23"/>
  <c r="T945" i="23"/>
  <c r="T940" i="23"/>
  <c r="T94" i="23"/>
  <c r="T89" i="23"/>
  <c r="Y1046" i="22"/>
  <c r="T99" i="23"/>
  <c r="T95" i="23"/>
  <c r="T90" i="23"/>
  <c r="T100" i="23"/>
  <c r="T96" i="23"/>
  <c r="T104" i="23"/>
  <c r="T92" i="23"/>
  <c r="AA1046" i="22" l="1"/>
  <c r="Z1046" i="22"/>
  <c r="AH1046" i="22" s="1"/>
  <c r="AI1046" i="22" s="1"/>
  <c r="AJ1046" i="22" s="1"/>
  <c r="K94" i="23" l="1"/>
  <c r="L94" i="23" s="1"/>
  <c r="U121" i="17" l="1"/>
  <c r="V121" i="17" s="1"/>
  <c r="U94" i="17"/>
  <c r="W94" i="17" s="1"/>
  <c r="Y94" i="17" s="1"/>
  <c r="W121" i="17" l="1"/>
  <c r="Y121" i="17" s="1"/>
  <c r="V94" i="17"/>
  <c r="X94" i="17"/>
  <c r="Z94" i="17" s="1"/>
  <c r="AA94" i="17" l="1"/>
  <c r="X121" i="17"/>
  <c r="Z121" i="17" s="1"/>
  <c r="AB94" i="17" l="1"/>
  <c r="AA121" i="17"/>
  <c r="AC94" i="17" l="1"/>
  <c r="AD94" i="17" s="1"/>
  <c r="AB121" i="17"/>
  <c r="AC121" i="17" s="1"/>
  <c r="AD121" i="17" s="1"/>
  <c r="AE94" i="17" l="1"/>
  <c r="AF94" i="17" s="1"/>
  <c r="AG94" i="17" s="1"/>
  <c r="AH94" i="17" s="1"/>
  <c r="AE121" i="17"/>
  <c r="AF121" i="17" s="1"/>
  <c r="AJ94" i="17" l="1"/>
  <c r="AJ121" i="17"/>
  <c r="AG121" i="17"/>
  <c r="AH121" i="17" s="1"/>
  <c r="U257" i="17" l="1"/>
  <c r="V257" i="17" s="1"/>
  <c r="U258" i="17"/>
  <c r="V258" i="17" s="1"/>
  <c r="U259" i="17"/>
  <c r="V259" i="17" s="1"/>
  <c r="U260" i="17"/>
  <c r="V260" i="17" s="1"/>
  <c r="U261" i="17"/>
  <c r="V261" i="17" s="1"/>
  <c r="U262" i="17"/>
  <c r="V262" i="17" s="1"/>
  <c r="U263" i="17"/>
  <c r="W263" i="17" s="1"/>
  <c r="U264" i="17"/>
  <c r="W264" i="17" s="1"/>
  <c r="Y264" i="17" s="1"/>
  <c r="U265" i="17"/>
  <c r="V265" i="17" s="1"/>
  <c r="X263" i="17" l="1"/>
  <c r="Y263" i="17"/>
  <c r="V263" i="17"/>
  <c r="V264" i="17"/>
  <c r="W258" i="17"/>
  <c r="W262" i="17"/>
  <c r="W259" i="17"/>
  <c r="X264" i="17"/>
  <c r="W265" i="17"/>
  <c r="Y265" i="17" s="1"/>
  <c r="W261" i="17"/>
  <c r="Y261" i="17" s="1"/>
  <c r="W257" i="17"/>
  <c r="Y257" i="17" s="1"/>
  <c r="W260" i="17"/>
  <c r="Y260" i="17" s="1"/>
  <c r="AF264" i="17" l="1"/>
  <c r="AG264" i="17" s="1"/>
  <c r="AH264" i="17" s="1"/>
  <c r="AF263" i="17"/>
  <c r="AG263" i="17" s="1"/>
  <c r="AH263" i="17" s="1"/>
  <c r="X262" i="17"/>
  <c r="AE262" i="17" s="1"/>
  <c r="AF262" i="17" s="1"/>
  <c r="AG262" i="17" s="1"/>
  <c r="AH262" i="17" s="1"/>
  <c r="Y262" i="17"/>
  <c r="X259" i="17"/>
  <c r="Y259" i="17"/>
  <c r="X258" i="17"/>
  <c r="Y258" i="17"/>
  <c r="X265" i="17"/>
  <c r="X257" i="17"/>
  <c r="Z257" i="17" s="1"/>
  <c r="X260" i="17"/>
  <c r="X261" i="17"/>
  <c r="AE261" i="17" s="1"/>
  <c r="AF261" i="17" s="1"/>
  <c r="AG261" i="17" s="1"/>
  <c r="AK262" i="17" l="1"/>
  <c r="AF265" i="17"/>
  <c r="AG265" i="17" s="1"/>
  <c r="AH265" i="17" s="1"/>
  <c r="AE260" i="17"/>
  <c r="AF260" i="17" s="1"/>
  <c r="AG260" i="17" s="1"/>
  <c r="AH260" i="17" s="1"/>
  <c r="Z258" i="17"/>
  <c r="AC258" i="17" s="1"/>
  <c r="AD258" i="17" s="1"/>
  <c r="AE258" i="17" s="1"/>
  <c r="AF258" i="17" s="1"/>
  <c r="Z259" i="17"/>
  <c r="AC257" i="17"/>
  <c r="AH261" i="17"/>
  <c r="AK261" i="17"/>
  <c r="AK260" i="17" l="1"/>
  <c r="AD259" i="17"/>
  <c r="AE259" i="17" s="1"/>
  <c r="AK258" i="17"/>
  <c r="AG258" i="17"/>
  <c r="AH258" i="17" s="1"/>
  <c r="AD257" i="17"/>
  <c r="AE257" i="17" s="1"/>
  <c r="AF259" i="17" l="1"/>
  <c r="AG259" i="17" s="1"/>
  <c r="AH259" i="17" s="1"/>
  <c r="AK259" i="17"/>
  <c r="AF257" i="17"/>
  <c r="AG257" i="17" s="1"/>
  <c r="AH257" i="17" s="1"/>
  <c r="AK257" i="17"/>
  <c r="AI502" i="22" l="1"/>
  <c r="N11" i="29" l="1"/>
  <c r="W1109" i="22" l="1"/>
  <c r="X1109" i="22" s="1"/>
  <c r="W1108" i="22"/>
  <c r="W1107" i="22"/>
  <c r="X1107" i="22" s="1"/>
  <c r="W1106" i="22"/>
  <c r="W1105" i="22"/>
  <c r="W1104" i="22"/>
  <c r="W1103" i="22"/>
  <c r="X1103" i="22" s="1"/>
  <c r="W1102" i="22"/>
  <c r="W1101" i="22"/>
  <c r="W1100" i="22"/>
  <c r="X1100" i="22" s="1"/>
  <c r="W1099" i="22"/>
  <c r="X1099" i="22" s="1"/>
  <c r="W1098" i="22"/>
  <c r="X1098" i="22" s="1"/>
  <c r="W1097" i="22"/>
  <c r="W1096" i="22"/>
  <c r="X1096" i="22" s="1"/>
  <c r="W1095" i="22"/>
  <c r="X1095" i="22" s="1"/>
  <c r="W1094" i="22"/>
  <c r="X1094" i="22" s="1"/>
  <c r="W1090" i="22"/>
  <c r="W1089" i="22"/>
  <c r="X1089" i="22" s="1"/>
  <c r="W1088" i="22"/>
  <c r="X1088" i="22" s="1"/>
  <c r="W1087" i="22"/>
  <c r="W1086" i="22"/>
  <c r="W1085" i="22"/>
  <c r="W1084" i="22"/>
  <c r="X1084" i="22" s="1"/>
  <c r="W1083" i="22"/>
  <c r="X1083" i="22" s="1"/>
  <c r="W1082" i="22"/>
  <c r="W800" i="22"/>
  <c r="W799" i="22"/>
  <c r="W798" i="22"/>
  <c r="W797" i="22"/>
  <c r="W1081" i="22"/>
  <c r="W791" i="22"/>
  <c r="W1080" i="22"/>
  <c r="W1079" i="22"/>
  <c r="W790" i="22"/>
  <c r="W789" i="22"/>
  <c r="W796" i="22"/>
  <c r="W795" i="22"/>
  <c r="Y795" i="22" s="1"/>
  <c r="W794" i="22"/>
  <c r="X794" i="22" s="1"/>
  <c r="W793" i="22"/>
  <c r="W1078" i="22"/>
  <c r="X1078" i="22" s="1"/>
  <c r="W788" i="22"/>
  <c r="W1077" i="22"/>
  <c r="X1077" i="22" s="1"/>
  <c r="W1076" i="22"/>
  <c r="W787" i="22"/>
  <c r="W786" i="22"/>
  <c r="W792" i="22"/>
  <c r="W785" i="22"/>
  <c r="X785" i="22" s="1"/>
  <c r="W1075" i="22"/>
  <c r="W1074" i="22"/>
  <c r="X1074" i="22" s="1"/>
  <c r="W1073" i="22"/>
  <c r="X1073" i="22" s="1"/>
  <c r="W783" i="22"/>
  <c r="X783" i="22" s="1"/>
  <c r="W782" i="22"/>
  <c r="W781" i="22"/>
  <c r="X781" i="22" s="1"/>
  <c r="W780" i="22"/>
  <c r="X780" i="22" s="1"/>
  <c r="W784" i="22"/>
  <c r="W1072" i="22"/>
  <c r="X1072" i="22" s="1"/>
  <c r="W1071" i="22"/>
  <c r="Y1071" i="22" s="1"/>
  <c r="W1068" i="22"/>
  <c r="W773" i="22"/>
  <c r="Y773" i="22" s="1"/>
  <c r="W1067" i="22"/>
  <c r="X1067" i="22" s="1"/>
  <c r="W779" i="22"/>
  <c r="Y779" i="22" s="1"/>
  <c r="Z779" i="22" s="1"/>
  <c r="W778" i="22"/>
  <c r="X778" i="22" s="1"/>
  <c r="W777" i="22"/>
  <c r="W776" i="22"/>
  <c r="X776" i="22" s="1"/>
  <c r="W775" i="22"/>
  <c r="Y775" i="22" s="1"/>
  <c r="Z775" i="22" s="1"/>
  <c r="W1066" i="22"/>
  <c r="X1066" i="22" s="1"/>
  <c r="W774" i="22"/>
  <c r="W1061" i="22"/>
  <c r="X1061" i="22" s="1"/>
  <c r="W1060" i="22"/>
  <c r="W1059" i="22"/>
  <c r="X1059" i="22" s="1"/>
  <c r="W1058" i="22"/>
  <c r="W1057" i="22"/>
  <c r="X1057" i="22" s="1"/>
  <c r="W819" i="22"/>
  <c r="Y819" i="22" s="1"/>
  <c r="Z819" i="22" s="1"/>
  <c r="W818" i="22"/>
  <c r="X818" i="22" s="1"/>
  <c r="W817" i="22"/>
  <c r="Y817" i="22" s="1"/>
  <c r="Z817" i="22" s="1"/>
  <c r="W816" i="22"/>
  <c r="X816" i="22" s="1"/>
  <c r="W815" i="22"/>
  <c r="Y815" i="22" s="1"/>
  <c r="Z815" i="22" s="1"/>
  <c r="W814" i="22"/>
  <c r="X814" i="22" s="1"/>
  <c r="W813" i="22"/>
  <c r="W812" i="22"/>
  <c r="W811" i="22"/>
  <c r="Y811" i="22" s="1"/>
  <c r="W810" i="22"/>
  <c r="X810" i="22" s="1"/>
  <c r="W809" i="22"/>
  <c r="W808" i="22"/>
  <c r="X808" i="22" s="1"/>
  <c r="W807" i="22"/>
  <c r="Y807" i="22" s="1"/>
  <c r="W806" i="22"/>
  <c r="X806" i="22" s="1"/>
  <c r="W805" i="22"/>
  <c r="W804" i="22"/>
  <c r="W803" i="22"/>
  <c r="Y803" i="22" s="1"/>
  <c r="W802" i="22"/>
  <c r="X802" i="22" s="1"/>
  <c r="W801" i="22"/>
  <c r="W1091" i="22"/>
  <c r="X1091" i="22" s="1"/>
  <c r="W1070" i="22"/>
  <c r="Y1070" i="22" s="1"/>
  <c r="W1069" i="22"/>
  <c r="X1069" i="22" s="1"/>
  <c r="W772" i="22"/>
  <c r="W771" i="22"/>
  <c r="W770" i="22"/>
  <c r="W769" i="22"/>
  <c r="Y769" i="22" s="1"/>
  <c r="W768" i="22"/>
  <c r="Y768" i="22" s="1"/>
  <c r="AA768" i="22" s="1"/>
  <c r="W767" i="22"/>
  <c r="Y767" i="22" s="1"/>
  <c r="W766" i="22"/>
  <c r="Y766" i="22" s="1"/>
  <c r="AA766" i="22" s="1"/>
  <c r="W765" i="22"/>
  <c r="Y765" i="22" s="1"/>
  <c r="W764" i="22"/>
  <c r="Y764" i="22" s="1"/>
  <c r="AA764" i="22" s="1"/>
  <c r="W763" i="22"/>
  <c r="W762" i="22"/>
  <c r="W761" i="22"/>
  <c r="Y761" i="22" s="1"/>
  <c r="W760" i="22"/>
  <c r="Y760" i="22" s="1"/>
  <c r="AA760" i="22" s="1"/>
  <c r="W759" i="22"/>
  <c r="X759" i="22" s="1"/>
  <c r="W758" i="22"/>
  <c r="Y758" i="22" s="1"/>
  <c r="AA758" i="22" s="1"/>
  <c r="W757" i="22"/>
  <c r="Y757" i="22" s="1"/>
  <c r="W756" i="22"/>
  <c r="Y756" i="22" s="1"/>
  <c r="AA756" i="22" s="1"/>
  <c r="W755" i="22"/>
  <c r="W742" i="22"/>
  <c r="W741" i="22"/>
  <c r="Y741" i="22" s="1"/>
  <c r="W740" i="22"/>
  <c r="Y740" i="22" s="1"/>
  <c r="AA740" i="22" s="1"/>
  <c r="W739" i="22"/>
  <c r="X739" i="22" s="1"/>
  <c r="W738" i="22"/>
  <c r="Y738" i="22" s="1"/>
  <c r="AA738" i="22" s="1"/>
  <c r="W737" i="22"/>
  <c r="Y737" i="22" s="1"/>
  <c r="W736" i="22"/>
  <c r="Y736" i="22" s="1"/>
  <c r="AA736" i="22" s="1"/>
  <c r="W735" i="22"/>
  <c r="W734" i="22"/>
  <c r="W733" i="22"/>
  <c r="Y733" i="22" s="1"/>
  <c r="W732" i="22"/>
  <c r="Y732" i="22" s="1"/>
  <c r="AA732" i="22" s="1"/>
  <c r="W731" i="22"/>
  <c r="Y731" i="22" s="1"/>
  <c r="W730" i="22"/>
  <c r="Y730" i="22" s="1"/>
  <c r="AA730" i="22" s="1"/>
  <c r="W729" i="22"/>
  <c r="W728" i="22"/>
  <c r="W727" i="22"/>
  <c r="W726" i="22"/>
  <c r="Y726" i="22" s="1"/>
  <c r="W725" i="22"/>
  <c r="Y725" i="22" s="1"/>
  <c r="W724" i="22"/>
  <c r="W723" i="22"/>
  <c r="X723" i="22" s="1"/>
  <c r="W721" i="22"/>
  <c r="Y721" i="22" s="1"/>
  <c r="W720" i="22"/>
  <c r="X720" i="22" s="1"/>
  <c r="W719" i="22"/>
  <c r="W718" i="22"/>
  <c r="X718" i="22" s="1"/>
  <c r="W717" i="22"/>
  <c r="W716" i="22"/>
  <c r="Y716" i="22" s="1"/>
  <c r="W715" i="22"/>
  <c r="W714" i="22"/>
  <c r="X714" i="22" s="1"/>
  <c r="W713" i="22"/>
  <c r="Y713" i="22" s="1"/>
  <c r="W712" i="22"/>
  <c r="W711" i="22"/>
  <c r="W710" i="22"/>
  <c r="W709" i="22"/>
  <c r="Y709" i="22" s="1"/>
  <c r="W708" i="22"/>
  <c r="Y708" i="22" s="1"/>
  <c r="W707" i="22"/>
  <c r="W706" i="22"/>
  <c r="X706" i="22" s="1"/>
  <c r="W705" i="22"/>
  <c r="Y705" i="22" s="1"/>
  <c r="W704" i="22"/>
  <c r="X704" i="22" s="1"/>
  <c r="W703" i="22"/>
  <c r="W702" i="22"/>
  <c r="X702" i="22" s="1"/>
  <c r="W701" i="22"/>
  <c r="W700" i="22"/>
  <c r="Y700" i="22" s="1"/>
  <c r="W699" i="22"/>
  <c r="Y699" i="22" s="1"/>
  <c r="W698" i="22"/>
  <c r="X698" i="22" s="1"/>
  <c r="W697" i="22"/>
  <c r="W696" i="22"/>
  <c r="Y696" i="22" s="1"/>
  <c r="AA696" i="22" s="1"/>
  <c r="W695" i="22"/>
  <c r="Y695" i="22" s="1"/>
  <c r="AA695" i="22" s="1"/>
  <c r="W694" i="22"/>
  <c r="X694" i="22" s="1"/>
  <c r="W693" i="22"/>
  <c r="W692" i="22"/>
  <c r="Y692" i="22" s="1"/>
  <c r="AA692" i="22" s="1"/>
  <c r="W691" i="22"/>
  <c r="Y691" i="22" s="1"/>
  <c r="AA691" i="22" s="1"/>
  <c r="W690" i="22"/>
  <c r="Y690" i="22" s="1"/>
  <c r="W689" i="22"/>
  <c r="W688" i="22"/>
  <c r="X688" i="22" s="1"/>
  <c r="W687" i="22"/>
  <c r="Y687" i="22" s="1"/>
  <c r="AA687" i="22" s="1"/>
  <c r="W686" i="22"/>
  <c r="Y686" i="22" s="1"/>
  <c r="AA686" i="22" s="1"/>
  <c r="W685" i="22"/>
  <c r="W684" i="22"/>
  <c r="X684" i="22" s="1"/>
  <c r="W683" i="22"/>
  <c r="Y683" i="22" s="1"/>
  <c r="AA683" i="22" s="1"/>
  <c r="W682" i="22"/>
  <c r="X682" i="22" s="1"/>
  <c r="W681" i="22"/>
  <c r="W680" i="22"/>
  <c r="X680" i="22" s="1"/>
  <c r="W584" i="22"/>
  <c r="Y584" i="22" s="1"/>
  <c r="AA584" i="22" s="1"/>
  <c r="W583" i="22"/>
  <c r="Y583" i="22" s="1"/>
  <c r="W582" i="22"/>
  <c r="W581" i="22"/>
  <c r="Y581" i="22" s="1"/>
  <c r="W580" i="22"/>
  <c r="W579" i="22"/>
  <c r="Y579" i="22" s="1"/>
  <c r="AA579" i="22" s="1"/>
  <c r="W578" i="22"/>
  <c r="W577" i="22"/>
  <c r="Y577" i="22" s="1"/>
  <c r="W576" i="22"/>
  <c r="W575" i="22"/>
  <c r="Y575" i="22" s="1"/>
  <c r="AA575" i="22" s="1"/>
  <c r="W574" i="22"/>
  <c r="W573" i="22"/>
  <c r="W572" i="22"/>
  <c r="W571" i="22"/>
  <c r="Y571" i="22" s="1"/>
  <c r="W570" i="22"/>
  <c r="W569" i="22"/>
  <c r="X569" i="22" s="1"/>
  <c r="W568" i="22"/>
  <c r="W567" i="22"/>
  <c r="X567" i="22" s="1"/>
  <c r="W566" i="22"/>
  <c r="W565" i="22"/>
  <c r="Y565" i="22" s="1"/>
  <c r="AA565" i="22" s="1"/>
  <c r="W564" i="22"/>
  <c r="W563" i="22"/>
  <c r="Y563" i="22" s="1"/>
  <c r="W562" i="22"/>
  <c r="Y562" i="22" s="1"/>
  <c r="AA562" i="22" s="1"/>
  <c r="W561" i="22"/>
  <c r="X561" i="22" s="1"/>
  <c r="W560" i="22"/>
  <c r="W559" i="22"/>
  <c r="W558" i="22"/>
  <c r="W557" i="22"/>
  <c r="X557" i="22" s="1"/>
  <c r="W556" i="22"/>
  <c r="W555" i="22"/>
  <c r="X555" i="22" s="1"/>
  <c r="W554" i="22"/>
  <c r="Y554" i="22" s="1"/>
  <c r="AA554" i="22" s="1"/>
  <c r="W553" i="22"/>
  <c r="Y553" i="22" s="1"/>
  <c r="W552" i="22"/>
  <c r="W551" i="22"/>
  <c r="W550" i="22"/>
  <c r="W549" i="22"/>
  <c r="W548" i="22"/>
  <c r="Y548" i="22" s="1"/>
  <c r="W547" i="22"/>
  <c r="W546" i="22"/>
  <c r="Y546" i="22" s="1"/>
  <c r="W545" i="22"/>
  <c r="W544" i="22"/>
  <c r="Y544" i="22" s="1"/>
  <c r="W541" i="22"/>
  <c r="W540" i="22"/>
  <c r="Y540" i="22" s="1"/>
  <c r="W539" i="22"/>
  <c r="W534" i="22"/>
  <c r="Y534" i="22" s="1"/>
  <c r="W533" i="22"/>
  <c r="W532" i="22"/>
  <c r="Y532" i="22" s="1"/>
  <c r="W520" i="22"/>
  <c r="W519" i="22"/>
  <c r="Y519" i="22" s="1"/>
  <c r="W518" i="22"/>
  <c r="W517" i="22"/>
  <c r="Y517" i="22" s="1"/>
  <c r="W509" i="22"/>
  <c r="W508" i="22"/>
  <c r="Y508" i="22" s="1"/>
  <c r="W496" i="22"/>
  <c r="W490" i="22"/>
  <c r="Y490" i="22" s="1"/>
  <c r="W489" i="22"/>
  <c r="W488" i="22"/>
  <c r="Y488" i="22" s="1"/>
  <c r="W479" i="22"/>
  <c r="W478" i="22"/>
  <c r="Y478" i="22" s="1"/>
  <c r="W477" i="22"/>
  <c r="W476" i="22"/>
  <c r="Y476" i="22" s="1"/>
  <c r="W475" i="22"/>
  <c r="Y475" i="22" s="1"/>
  <c r="W446" i="22"/>
  <c r="Y446" i="22" s="1"/>
  <c r="W445" i="22"/>
  <c r="Y445" i="22" s="1"/>
  <c r="W444" i="22"/>
  <c r="Y444" i="22" s="1"/>
  <c r="W443" i="22"/>
  <c r="Y443" i="22" s="1"/>
  <c r="W403" i="22"/>
  <c r="Y403" i="22" s="1"/>
  <c r="W393" i="22"/>
  <c r="Y393" i="22" s="1"/>
  <c r="W380" i="22"/>
  <c r="Y380" i="22" s="1"/>
  <c r="W379" i="22"/>
  <c r="Y379" i="22" s="1"/>
  <c r="W378" i="22"/>
  <c r="Y378" i="22" s="1"/>
  <c r="W377" i="22"/>
  <c r="Y377" i="22" s="1"/>
  <c r="W376" i="22"/>
  <c r="Y376" i="22" s="1"/>
  <c r="W373" i="22"/>
  <c r="Y373" i="22" s="1"/>
  <c r="W372" i="22"/>
  <c r="Y372" i="22" s="1"/>
  <c r="W371" i="22"/>
  <c r="Y371" i="22" s="1"/>
  <c r="W361" i="22"/>
  <c r="Y361" i="22" s="1"/>
  <c r="W360" i="22"/>
  <c r="W354" i="22"/>
  <c r="W345" i="22"/>
  <c r="Y345" i="22" s="1"/>
  <c r="AA345" i="22" s="1"/>
  <c r="W338" i="22"/>
  <c r="X338" i="22" s="1"/>
  <c r="W337" i="22"/>
  <c r="Y337" i="22" s="1"/>
  <c r="AA337" i="22" s="1"/>
  <c r="W334" i="22"/>
  <c r="W333" i="22"/>
  <c r="Y333" i="22" s="1"/>
  <c r="AA333" i="22" s="1"/>
  <c r="W330" i="22"/>
  <c r="Y330" i="22" s="1"/>
  <c r="W327" i="22"/>
  <c r="Y327" i="22" s="1"/>
  <c r="AA327" i="22" s="1"/>
  <c r="W325" i="22"/>
  <c r="X325" i="22" s="1"/>
  <c r="W722" i="22"/>
  <c r="Y722" i="22" s="1"/>
  <c r="AA722" i="22" s="1"/>
  <c r="W283" i="22"/>
  <c r="Y283" i="22" s="1"/>
  <c r="W281" i="22"/>
  <c r="Y281" i="22" s="1"/>
  <c r="AA281" i="22" s="1"/>
  <c r="W280" i="22"/>
  <c r="Y280" i="22" s="1"/>
  <c r="W261" i="22"/>
  <c r="Y261" i="22" s="1"/>
  <c r="W245" i="22"/>
  <c r="W244" i="22"/>
  <c r="Y244" i="22" s="1"/>
  <c r="AA244" i="22" s="1"/>
  <c r="W231" i="22"/>
  <c r="Y231" i="22" s="1"/>
  <c r="W227" i="22"/>
  <c r="Y227" i="22" s="1"/>
  <c r="AA227" i="22" s="1"/>
  <c r="W226" i="22"/>
  <c r="X226" i="22" s="1"/>
  <c r="W225" i="22"/>
  <c r="Y225" i="22" s="1"/>
  <c r="AA225" i="22" s="1"/>
  <c r="W224" i="22"/>
  <c r="W192" i="22"/>
  <c r="Y192" i="22" s="1"/>
  <c r="AA192" i="22" s="1"/>
  <c r="W177" i="22"/>
  <c r="Y177" i="22" s="1"/>
  <c r="W176" i="22"/>
  <c r="Y176" i="22" s="1"/>
  <c r="AA176" i="22" s="1"/>
  <c r="W175" i="22"/>
  <c r="X175" i="22" s="1"/>
  <c r="W174" i="22"/>
  <c r="Y174" i="22" s="1"/>
  <c r="AA174" i="22" s="1"/>
  <c r="W173" i="22"/>
  <c r="Y173" i="22" s="1"/>
  <c r="W172" i="22"/>
  <c r="Y172" i="22" s="1"/>
  <c r="AA172" i="22" s="1"/>
  <c r="W171" i="22"/>
  <c r="X171" i="22" s="1"/>
  <c r="W170" i="22"/>
  <c r="Y170" i="22" s="1"/>
  <c r="W165" i="22"/>
  <c r="W164" i="22"/>
  <c r="Y164" i="22" s="1"/>
  <c r="AA164" i="22" s="1"/>
  <c r="W163" i="22"/>
  <c r="Y163" i="22" s="1"/>
  <c r="W162" i="22"/>
  <c r="Y162" i="22" s="1"/>
  <c r="AA162" i="22" s="1"/>
  <c r="W161" i="22"/>
  <c r="X161" i="22" s="1"/>
  <c r="W160" i="22"/>
  <c r="Y160" i="22" s="1"/>
  <c r="AA160" i="22" s="1"/>
  <c r="W159" i="22"/>
  <c r="W158" i="22"/>
  <c r="Y158" i="22" s="1"/>
  <c r="AA158" i="22" s="1"/>
  <c r="W157" i="22"/>
  <c r="Y157" i="22" s="1"/>
  <c r="W156" i="22"/>
  <c r="Y156" i="22" s="1"/>
  <c r="AA156" i="22" s="1"/>
  <c r="W155" i="22"/>
  <c r="X155" i="22" s="1"/>
  <c r="W154" i="22"/>
  <c r="Y154" i="22" s="1"/>
  <c r="AA154" i="22" s="1"/>
  <c r="W139" i="22"/>
  <c r="Y139" i="22" s="1"/>
  <c r="W138" i="22"/>
  <c r="Y138" i="22" s="1"/>
  <c r="AA138" i="22" s="1"/>
  <c r="W135" i="22"/>
  <c r="Y135" i="22" s="1"/>
  <c r="W134" i="22"/>
  <c r="Y134" i="22" s="1"/>
  <c r="AA134" i="22" s="1"/>
  <c r="W133" i="22"/>
  <c r="Y133" i="22" s="1"/>
  <c r="AA133" i="22" s="1"/>
  <c r="W132" i="22"/>
  <c r="Y132" i="22" s="1"/>
  <c r="AA132" i="22" s="1"/>
  <c r="W131" i="22"/>
  <c r="Y131" i="22" s="1"/>
  <c r="W130" i="22"/>
  <c r="Y130" i="22" s="1"/>
  <c r="W127" i="22"/>
  <c r="X127" i="22" s="1"/>
  <c r="W124" i="22"/>
  <c r="Y124" i="22" s="1"/>
  <c r="W123" i="22"/>
  <c r="W122" i="22"/>
  <c r="Y122" i="22" s="1"/>
  <c r="W121" i="22"/>
  <c r="X121" i="22" s="1"/>
  <c r="W120" i="22"/>
  <c r="Y120" i="22" s="1"/>
  <c r="W119" i="22"/>
  <c r="X119" i="22" s="1"/>
  <c r="W118" i="22"/>
  <c r="Y118" i="22" s="1"/>
  <c r="W114" i="22"/>
  <c r="X114" i="22" s="1"/>
  <c r="W113" i="22"/>
  <c r="Y113" i="22" s="1"/>
  <c r="W92" i="22"/>
  <c r="W88" i="22"/>
  <c r="Y88" i="22" s="1"/>
  <c r="W87" i="22"/>
  <c r="X87" i="22" s="1"/>
  <c r="W86" i="22"/>
  <c r="Y86" i="22" s="1"/>
  <c r="W85" i="22"/>
  <c r="X85" i="22" s="1"/>
  <c r="W84" i="22"/>
  <c r="Y84" i="22" s="1"/>
  <c r="W76" i="22"/>
  <c r="X76" i="22" s="1"/>
  <c r="W63" i="22"/>
  <c r="Y63" i="22" s="1"/>
  <c r="W58" i="22"/>
  <c r="X58" i="22" s="1"/>
  <c r="W57" i="22"/>
  <c r="Y57" i="22" s="1"/>
  <c r="X546" i="22" l="1"/>
  <c r="X553" i="22"/>
  <c r="X157" i="22"/>
  <c r="Y325" i="22"/>
  <c r="AA325" i="22" s="1"/>
  <c r="X333" i="22"/>
  <c r="X376" i="22"/>
  <c r="Y171" i="22"/>
  <c r="AA171" i="22" s="1"/>
  <c r="Z174" i="22"/>
  <c r="AB174" i="22" s="1"/>
  <c r="X177" i="22"/>
  <c r="X534" i="22"/>
  <c r="X575" i="22"/>
  <c r="X577" i="22"/>
  <c r="X579" i="22"/>
  <c r="X581" i="22"/>
  <c r="X583" i="22"/>
  <c r="Y569" i="22"/>
  <c r="AA569" i="22" s="1"/>
  <c r="Z579" i="22"/>
  <c r="AB579" i="22" s="1"/>
  <c r="Y704" i="22"/>
  <c r="AA704" i="22" s="1"/>
  <c r="Y119" i="22"/>
  <c r="AA119" i="22" s="1"/>
  <c r="Y555" i="22"/>
  <c r="AA555" i="22" s="1"/>
  <c r="Z687" i="22"/>
  <c r="AB687" i="22" s="1"/>
  <c r="X690" i="22"/>
  <c r="Y720" i="22"/>
  <c r="AA720" i="22" s="1"/>
  <c r="X532" i="22"/>
  <c r="X544" i="22"/>
  <c r="X563" i="22"/>
  <c r="X741" i="22"/>
  <c r="X758" i="22"/>
  <c r="Y1069" i="22"/>
  <c r="Z1069" i="22" s="1"/>
  <c r="X1071" i="22"/>
  <c r="Y1073" i="22"/>
  <c r="Z1073" i="22" s="1"/>
  <c r="Y1103" i="22"/>
  <c r="AA1103" i="22" s="1"/>
  <c r="Y87" i="22"/>
  <c r="AA87" i="22" s="1"/>
  <c r="Z158" i="22"/>
  <c r="AB158" i="22" s="1"/>
  <c r="Y161" i="22"/>
  <c r="AA161" i="22" s="1"/>
  <c r="Z337" i="22"/>
  <c r="AB337" i="22" s="1"/>
  <c r="X445" i="22"/>
  <c r="X508" i="22"/>
  <c r="Y561" i="22"/>
  <c r="AA561" i="22" s="1"/>
  <c r="Y680" i="22"/>
  <c r="AA680" i="22" s="1"/>
  <c r="Z683" i="22"/>
  <c r="AB683" i="22" s="1"/>
  <c r="X692" i="22"/>
  <c r="Z695" i="22"/>
  <c r="AB695" i="22" s="1"/>
  <c r="X732" i="22"/>
  <c r="Y739" i="22"/>
  <c r="AA739" i="22" s="1"/>
  <c r="X756" i="22"/>
  <c r="X761" i="22"/>
  <c r="X767" i="22"/>
  <c r="Y810" i="22"/>
  <c r="AA810" i="22" s="1"/>
  <c r="Y706" i="22"/>
  <c r="AA706" i="22" s="1"/>
  <c r="X713" i="22"/>
  <c r="X716" i="22"/>
  <c r="Y723" i="22"/>
  <c r="AA723" i="22" s="1"/>
  <c r="X730" i="22"/>
  <c r="Y759" i="22"/>
  <c r="AA759" i="22" s="1"/>
  <c r="X765" i="22"/>
  <c r="Y1066" i="22"/>
  <c r="AA1066" i="22" s="1"/>
  <c r="Y58" i="22"/>
  <c r="AA58" i="22" s="1"/>
  <c r="Y155" i="22"/>
  <c r="AA155" i="22" s="1"/>
  <c r="Z192" i="22"/>
  <c r="AB192" i="22" s="1"/>
  <c r="Y226" i="22"/>
  <c r="X280" i="22"/>
  <c r="X283" i="22"/>
  <c r="X372" i="22"/>
  <c r="X446" i="22"/>
  <c r="X476" i="22"/>
  <c r="X490" i="22"/>
  <c r="X519" i="22"/>
  <c r="X562" i="22"/>
  <c r="X686" i="22"/>
  <c r="X705" i="22"/>
  <c r="X733" i="22"/>
  <c r="X738" i="22"/>
  <c r="X760" i="22"/>
  <c r="X768" i="22"/>
  <c r="Y808" i="22"/>
  <c r="AA808" i="22" s="1"/>
  <c r="X817" i="22"/>
  <c r="AA775" i="22"/>
  <c r="AB775" i="22" s="1"/>
  <c r="AC775" i="22" s="1"/>
  <c r="X773" i="22"/>
  <c r="Y1077" i="22"/>
  <c r="AA1077" i="22" s="1"/>
  <c r="Y127" i="22"/>
  <c r="AA127" i="22" s="1"/>
  <c r="Z345" i="22"/>
  <c r="AB345" i="22" s="1"/>
  <c r="X361" i="22"/>
  <c r="X377" i="22"/>
  <c r="X488" i="22"/>
  <c r="X548" i="22"/>
  <c r="Z554" i="22"/>
  <c r="AB554" i="22" s="1"/>
  <c r="X571" i="22"/>
  <c r="Y682" i="22"/>
  <c r="AA682" i="22" s="1"/>
  <c r="Y684" i="22"/>
  <c r="AA684" i="22" s="1"/>
  <c r="Z691" i="22"/>
  <c r="AB691" i="22" s="1"/>
  <c r="X700" i="22"/>
  <c r="X721" i="22"/>
  <c r="X736" i="22"/>
  <c r="Z738" i="22"/>
  <c r="AB738" i="22" s="1"/>
  <c r="X757" i="22"/>
  <c r="Y1091" i="22"/>
  <c r="AA1091" i="22" s="1"/>
  <c r="X803" i="22"/>
  <c r="Y806" i="22"/>
  <c r="Z806" i="22" s="1"/>
  <c r="X815" i="22"/>
  <c r="X779" i="22"/>
  <c r="AA563" i="22"/>
  <c r="Z563" i="22"/>
  <c r="AA553" i="22"/>
  <c r="Z553" i="22"/>
  <c r="AA690" i="22"/>
  <c r="Z690" i="22"/>
  <c r="Y121" i="22"/>
  <c r="AA121" i="22" s="1"/>
  <c r="X131" i="22"/>
  <c r="X133" i="22"/>
  <c r="X135" i="22"/>
  <c r="X139" i="22"/>
  <c r="X163" i="22"/>
  <c r="Y175" i="22"/>
  <c r="AA175" i="22" s="1"/>
  <c r="X330" i="22"/>
  <c r="Y338" i="22"/>
  <c r="X378" i="22"/>
  <c r="X380" i="22"/>
  <c r="X403" i="22"/>
  <c r="X444" i="22"/>
  <c r="X478" i="22"/>
  <c r="X517" i="22"/>
  <c r="X540" i="22"/>
  <c r="Y557" i="22"/>
  <c r="Z557" i="22" s="1"/>
  <c r="Z562" i="22"/>
  <c r="AB562" i="22" s="1"/>
  <c r="Z565" i="22"/>
  <c r="AB565" i="22" s="1"/>
  <c r="AC565" i="22" s="1"/>
  <c r="Z584" i="22"/>
  <c r="AB584" i="22" s="1"/>
  <c r="Z680" i="22"/>
  <c r="AB680" i="22" s="1"/>
  <c r="Z686" i="22"/>
  <c r="AB686" i="22" s="1"/>
  <c r="Y688" i="22"/>
  <c r="AA688" i="22" s="1"/>
  <c r="Y694" i="22"/>
  <c r="Z694" i="22" s="1"/>
  <c r="X696" i="22"/>
  <c r="Y698" i="22"/>
  <c r="AA698" i="22" s="1"/>
  <c r="X708" i="22"/>
  <c r="Y714" i="22"/>
  <c r="AA714" i="22" s="1"/>
  <c r="X725" i="22"/>
  <c r="X731" i="22"/>
  <c r="X737" i="22"/>
  <c r="X740" i="22"/>
  <c r="Z758" i="22"/>
  <c r="AB758" i="22" s="1"/>
  <c r="X764" i="22"/>
  <c r="X766" i="22"/>
  <c r="X769" i="22"/>
  <c r="X1070" i="22"/>
  <c r="X811" i="22"/>
  <c r="Y814" i="22"/>
  <c r="AA814" i="22" s="1"/>
  <c r="Y816" i="22"/>
  <c r="Z816" i="22" s="1"/>
  <c r="Y1059" i="22"/>
  <c r="Y1061" i="22"/>
  <c r="Z1061" i="22" s="1"/>
  <c r="Y776" i="22"/>
  <c r="Y778" i="22"/>
  <c r="Y1072" i="22"/>
  <c r="Y780" i="22"/>
  <c r="Y785" i="22"/>
  <c r="AA785" i="22" s="1"/>
  <c r="Y794" i="22"/>
  <c r="Y1083" i="22"/>
  <c r="Z1083" i="22" s="1"/>
  <c r="Y1107" i="22"/>
  <c r="AA1107" i="22" s="1"/>
  <c r="Z133" i="22"/>
  <c r="AB133" i="22" s="1"/>
  <c r="Z696" i="22"/>
  <c r="AB696" i="22" s="1"/>
  <c r="Z766" i="22"/>
  <c r="AB766" i="22" s="1"/>
  <c r="AC766" i="22" s="1"/>
  <c r="AD766" i="22" s="1"/>
  <c r="Y802" i="22"/>
  <c r="AA802" i="22" s="1"/>
  <c r="X807" i="22"/>
  <c r="X819" i="22"/>
  <c r="Y1057" i="22"/>
  <c r="AA1057" i="22" s="1"/>
  <c r="X775" i="22"/>
  <c r="Y1067" i="22"/>
  <c r="AA1067" i="22" s="1"/>
  <c r="Y783" i="22"/>
  <c r="Z783" i="22" s="1"/>
  <c r="Y1078" i="22"/>
  <c r="Z1078" i="22" s="1"/>
  <c r="Y1098" i="22"/>
  <c r="AA1098" i="22" s="1"/>
  <c r="AA819" i="22"/>
  <c r="AB819" i="22" s="1"/>
  <c r="AA380" i="22"/>
  <c r="Z380" i="22"/>
  <c r="Y509" i="22"/>
  <c r="X509" i="22"/>
  <c r="AA544" i="22"/>
  <c r="Z544" i="22"/>
  <c r="AA571" i="22"/>
  <c r="Z571" i="22"/>
  <c r="AA767" i="22"/>
  <c r="Z767" i="22"/>
  <c r="Y772" i="22"/>
  <c r="AA772" i="22" s="1"/>
  <c r="X772" i="22"/>
  <c r="Y85" i="22"/>
  <c r="AA85" i="22" s="1"/>
  <c r="X123" i="22"/>
  <c r="Y123" i="22"/>
  <c r="AA123" i="22" s="1"/>
  <c r="AA231" i="22"/>
  <c r="Z231" i="22"/>
  <c r="AA280" i="22"/>
  <c r="AA330" i="22"/>
  <c r="Z330" i="22"/>
  <c r="Y360" i="22"/>
  <c r="AA360" i="22" s="1"/>
  <c r="X360" i="22"/>
  <c r="AA371" i="22"/>
  <c r="Z371" i="22"/>
  <c r="AA372" i="22"/>
  <c r="Z372" i="22"/>
  <c r="X379" i="22"/>
  <c r="AA393" i="22"/>
  <c r="Z393" i="22"/>
  <c r="AA403" i="22"/>
  <c r="Z403" i="22"/>
  <c r="X475" i="22"/>
  <c r="AA478" i="22"/>
  <c r="Y496" i="22"/>
  <c r="X496" i="22"/>
  <c r="AA517" i="22"/>
  <c r="Z517" i="22"/>
  <c r="Y533" i="22"/>
  <c r="X533" i="22"/>
  <c r="AA540" i="22"/>
  <c r="Z540" i="22"/>
  <c r="Y547" i="22"/>
  <c r="X547" i="22"/>
  <c r="AA708" i="22"/>
  <c r="Z708" i="22"/>
  <c r="X727" i="22"/>
  <c r="Y727" i="22"/>
  <c r="Y762" i="22"/>
  <c r="X762" i="22"/>
  <c r="Y334" i="22"/>
  <c r="X334" i="22"/>
  <c r="AA379" i="22"/>
  <c r="Z379" i="22"/>
  <c r="AA475" i="22"/>
  <c r="Z475" i="22"/>
  <c r="AA488" i="22"/>
  <c r="Z488" i="22"/>
  <c r="Y539" i="22"/>
  <c r="X539" i="22"/>
  <c r="Y549" i="22"/>
  <c r="X549" i="22"/>
  <c r="Y559" i="22"/>
  <c r="X559" i="22"/>
  <c r="X710" i="22"/>
  <c r="Y710" i="22"/>
  <c r="X787" i="22"/>
  <c r="Y787" i="22"/>
  <c r="AA787" i="22" s="1"/>
  <c r="Y114" i="22"/>
  <c r="AA114" i="22" s="1"/>
  <c r="AA135" i="22"/>
  <c r="Z135" i="22"/>
  <c r="AA157" i="22"/>
  <c r="Z157" i="22"/>
  <c r="AA173" i="22"/>
  <c r="Z173" i="22"/>
  <c r="Y76" i="22"/>
  <c r="AA76" i="22" s="1"/>
  <c r="X92" i="22"/>
  <c r="Y92" i="22"/>
  <c r="AA92" i="22" s="1"/>
  <c r="Z134" i="22"/>
  <c r="AB134" i="22" s="1"/>
  <c r="Z154" i="22"/>
  <c r="AB154" i="22" s="1"/>
  <c r="Y165" i="22"/>
  <c r="X165" i="22"/>
  <c r="X173" i="22"/>
  <c r="Y224" i="22"/>
  <c r="X224" i="22"/>
  <c r="X231" i="22"/>
  <c r="AA261" i="22"/>
  <c r="Z261" i="22"/>
  <c r="Z722" i="22"/>
  <c r="AB722" i="22" s="1"/>
  <c r="X371" i="22"/>
  <c r="AA373" i="22"/>
  <c r="Z373" i="22"/>
  <c r="AA376" i="22"/>
  <c r="Z376" i="22"/>
  <c r="X393" i="22"/>
  <c r="AA443" i="22"/>
  <c r="Z443" i="22"/>
  <c r="AA444" i="22"/>
  <c r="Z444" i="22"/>
  <c r="AA476" i="22"/>
  <c r="Z476" i="22"/>
  <c r="Y489" i="22"/>
  <c r="X489" i="22"/>
  <c r="AA508" i="22"/>
  <c r="Z508" i="22"/>
  <c r="Y520" i="22"/>
  <c r="X520" i="22"/>
  <c r="AA534" i="22"/>
  <c r="Z534" i="22"/>
  <c r="Y545" i="22"/>
  <c r="X545" i="22"/>
  <c r="AA548" i="22"/>
  <c r="Z548" i="22"/>
  <c r="Y551" i="22"/>
  <c r="X551" i="22"/>
  <c r="AA583" i="22"/>
  <c r="Z583" i="22"/>
  <c r="AA699" i="22"/>
  <c r="Z699" i="22"/>
  <c r="Y701" i="22"/>
  <c r="Z701" i="22" s="1"/>
  <c r="X701" i="22"/>
  <c r="Y712" i="22"/>
  <c r="X712" i="22"/>
  <c r="AA725" i="22"/>
  <c r="Z725" i="22"/>
  <c r="AA131" i="22"/>
  <c r="Z131" i="22"/>
  <c r="Y159" i="22"/>
  <c r="X159" i="22"/>
  <c r="AA170" i="22"/>
  <c r="Z170" i="22"/>
  <c r="Y245" i="22"/>
  <c r="X245" i="22"/>
  <c r="AA361" i="22"/>
  <c r="Z361" i="22"/>
  <c r="Y477" i="22"/>
  <c r="X477" i="22"/>
  <c r="AA519" i="22"/>
  <c r="Z519" i="22"/>
  <c r="AA581" i="22"/>
  <c r="Z581" i="22"/>
  <c r="AA731" i="22"/>
  <c r="Z731" i="22"/>
  <c r="AA139" i="22"/>
  <c r="Z139" i="22"/>
  <c r="AA163" i="22"/>
  <c r="Z163" i="22"/>
  <c r="AA177" i="22"/>
  <c r="Z177" i="22"/>
  <c r="AA283" i="22"/>
  <c r="Z283" i="22"/>
  <c r="Y354" i="22"/>
  <c r="X354" i="22"/>
  <c r="X373" i="22"/>
  <c r="AA377" i="22"/>
  <c r="Z377" i="22"/>
  <c r="AA378" i="22"/>
  <c r="Z378" i="22"/>
  <c r="X443" i="22"/>
  <c r="AA445" i="22"/>
  <c r="Z445" i="22"/>
  <c r="AA446" i="22"/>
  <c r="Z446" i="22"/>
  <c r="Y479" i="22"/>
  <c r="X479" i="22"/>
  <c r="AA490" i="22"/>
  <c r="Z490" i="22"/>
  <c r="Y518" i="22"/>
  <c r="X518" i="22"/>
  <c r="AA532" i="22"/>
  <c r="Z532" i="22"/>
  <c r="Y541" i="22"/>
  <c r="X541" i="22"/>
  <c r="AA546" i="22"/>
  <c r="Z546" i="22"/>
  <c r="X573" i="22"/>
  <c r="Y573" i="22"/>
  <c r="Y715" i="22"/>
  <c r="Z715" i="22" s="1"/>
  <c r="X715" i="22"/>
  <c r="Y717" i="22"/>
  <c r="AA717" i="22" s="1"/>
  <c r="X717" i="22"/>
  <c r="Y729" i="22"/>
  <c r="X729" i="22"/>
  <c r="Y735" i="22"/>
  <c r="X735" i="22"/>
  <c r="Z692" i="22"/>
  <c r="AB692" i="22" s="1"/>
  <c r="Y703" i="22"/>
  <c r="AA703" i="22" s="1"/>
  <c r="X703" i="22"/>
  <c r="Y719" i="22"/>
  <c r="AA719" i="22" s="1"/>
  <c r="X719" i="22"/>
  <c r="Z730" i="22"/>
  <c r="AB730" i="22" s="1"/>
  <c r="Y763" i="22"/>
  <c r="X763" i="22"/>
  <c r="Y805" i="22"/>
  <c r="AA805" i="22" s="1"/>
  <c r="X805" i="22"/>
  <c r="X1068" i="22"/>
  <c r="Y1068" i="22"/>
  <c r="Y789" i="22"/>
  <c r="Z789" i="22" s="1"/>
  <c r="X789" i="22"/>
  <c r="Y791" i="22"/>
  <c r="AA791" i="22" s="1"/>
  <c r="X791" i="22"/>
  <c r="Y799" i="22"/>
  <c r="AA799" i="22" s="1"/>
  <c r="X799" i="22"/>
  <c r="X1087" i="22"/>
  <c r="Y1087" i="22"/>
  <c r="Y707" i="22"/>
  <c r="AA707" i="22" s="1"/>
  <c r="X707" i="22"/>
  <c r="Y724" i="22"/>
  <c r="AA724" i="22" s="1"/>
  <c r="X724" i="22"/>
  <c r="Y734" i="22"/>
  <c r="X734" i="22"/>
  <c r="Y742" i="22"/>
  <c r="X742" i="22"/>
  <c r="Y770" i="22"/>
  <c r="X770" i="22"/>
  <c r="Z803" i="22"/>
  <c r="AA803" i="22"/>
  <c r="Y813" i="22"/>
  <c r="AA813" i="22" s="1"/>
  <c r="X813" i="22"/>
  <c r="Y774" i="22"/>
  <c r="X774" i="22"/>
  <c r="X792" i="22"/>
  <c r="Y792" i="22"/>
  <c r="X1105" i="22"/>
  <c r="Y1105" i="22"/>
  <c r="Z1105" i="22" s="1"/>
  <c r="Z162" i="22"/>
  <c r="AB162" i="22" s="1"/>
  <c r="Z227" i="22"/>
  <c r="AB227" i="22" s="1"/>
  <c r="X337" i="22"/>
  <c r="X345" i="22"/>
  <c r="X554" i="22"/>
  <c r="X565" i="22"/>
  <c r="Y567" i="22"/>
  <c r="Z575" i="22"/>
  <c r="AB575" i="22" s="1"/>
  <c r="AA577" i="22"/>
  <c r="Z577" i="22"/>
  <c r="AA700" i="22"/>
  <c r="Z700" i="22"/>
  <c r="Y702" i="22"/>
  <c r="X709" i="22"/>
  <c r="Y711" i="22"/>
  <c r="AA711" i="22" s="1"/>
  <c r="X711" i="22"/>
  <c r="AA716" i="22"/>
  <c r="Z716" i="22"/>
  <c r="Y718" i="22"/>
  <c r="X726" i="22"/>
  <c r="Y728" i="22"/>
  <c r="AA728" i="22" s="1"/>
  <c r="X728" i="22"/>
  <c r="Y755" i="22"/>
  <c r="X755" i="22"/>
  <c r="Z811" i="22"/>
  <c r="AA811" i="22"/>
  <c r="Y1060" i="22"/>
  <c r="Z1060" i="22" s="1"/>
  <c r="X1060" i="22"/>
  <c r="X784" i="22"/>
  <c r="Y784" i="22"/>
  <c r="Z784" i="22" s="1"/>
  <c r="X793" i="22"/>
  <c r="Y793" i="22"/>
  <c r="Z793" i="22" s="1"/>
  <c r="Y1079" i="22"/>
  <c r="AA1079" i="22" s="1"/>
  <c r="X1079" i="22"/>
  <c r="Y797" i="22"/>
  <c r="Z797" i="22" s="1"/>
  <c r="X797" i="22"/>
  <c r="Y1082" i="22"/>
  <c r="AA1082" i="22" s="1"/>
  <c r="X1082" i="22"/>
  <c r="AA817" i="22"/>
  <c r="AB817" i="22" s="1"/>
  <c r="AC817" i="22" s="1"/>
  <c r="X795" i="22"/>
  <c r="Y818" i="22"/>
  <c r="Y1094" i="22"/>
  <c r="AA1094" i="22" s="1"/>
  <c r="Y1109" i="22"/>
  <c r="AA1109" i="22" s="1"/>
  <c r="Z86" i="22"/>
  <c r="AA86" i="22"/>
  <c r="AA120" i="22"/>
  <c r="Z57" i="22"/>
  <c r="AA57" i="22"/>
  <c r="Z84" i="22"/>
  <c r="AA84" i="22"/>
  <c r="Z118" i="22"/>
  <c r="AA118" i="22"/>
  <c r="Z130" i="22"/>
  <c r="AA130" i="22"/>
  <c r="Z88" i="22"/>
  <c r="AA88" i="22"/>
  <c r="Z122" i="22"/>
  <c r="AA122" i="22"/>
  <c r="Z63" i="22"/>
  <c r="AA63" i="22"/>
  <c r="Z113" i="22"/>
  <c r="AA113" i="22"/>
  <c r="Z124" i="22"/>
  <c r="AA124" i="22"/>
  <c r="Y689" i="22"/>
  <c r="X689" i="22"/>
  <c r="Y1102" i="22"/>
  <c r="X1102" i="22"/>
  <c r="X57" i="22"/>
  <c r="X63" i="22"/>
  <c r="X84" i="22"/>
  <c r="X86" i="22"/>
  <c r="X88" i="22"/>
  <c r="X113" i="22"/>
  <c r="X118" i="22"/>
  <c r="X120" i="22"/>
  <c r="X122" i="22"/>
  <c r="X124" i="22"/>
  <c r="X130" i="22"/>
  <c r="X132" i="22"/>
  <c r="X138" i="22"/>
  <c r="X156" i="22"/>
  <c r="X160" i="22"/>
  <c r="X164" i="22"/>
  <c r="X172" i="22"/>
  <c r="X176" i="22"/>
  <c r="X225" i="22"/>
  <c r="X244" i="22"/>
  <c r="X281" i="22"/>
  <c r="X327" i="22"/>
  <c r="Y566" i="22"/>
  <c r="X566" i="22"/>
  <c r="Y574" i="22"/>
  <c r="X574" i="22"/>
  <c r="Z132" i="22"/>
  <c r="AB132" i="22" s="1"/>
  <c r="Z138" i="22"/>
  <c r="AB138" i="22" s="1"/>
  <c r="Z156" i="22"/>
  <c r="AB156" i="22" s="1"/>
  <c r="Z164" i="22"/>
  <c r="AB164" i="22" s="1"/>
  <c r="Z172" i="22"/>
  <c r="AB172" i="22" s="1"/>
  <c r="Z176" i="22"/>
  <c r="AB176" i="22" s="1"/>
  <c r="Z225" i="22"/>
  <c r="AB225" i="22" s="1"/>
  <c r="Z244" i="22"/>
  <c r="AB244" i="22" s="1"/>
  <c r="Z281" i="22"/>
  <c r="AB281" i="22" s="1"/>
  <c r="Z327" i="22"/>
  <c r="AB327" i="22" s="1"/>
  <c r="Z333" i="22"/>
  <c r="AB333" i="22" s="1"/>
  <c r="Y550" i="22"/>
  <c r="X550" i="22"/>
  <c r="Y552" i="22"/>
  <c r="X552" i="22"/>
  <c r="Y681" i="22"/>
  <c r="X681" i="22"/>
  <c r="Y697" i="22"/>
  <c r="X697" i="22"/>
  <c r="Z160" i="22"/>
  <c r="AB160" i="22" s="1"/>
  <c r="X134" i="22"/>
  <c r="X154" i="22"/>
  <c r="X158" i="22"/>
  <c r="X162" i="22"/>
  <c r="X170" i="22"/>
  <c r="X174" i="22"/>
  <c r="X192" i="22"/>
  <c r="X227" i="22"/>
  <c r="X261" i="22"/>
  <c r="X722" i="22"/>
  <c r="Y558" i="22"/>
  <c r="X558" i="22"/>
  <c r="Y568" i="22"/>
  <c r="X568" i="22"/>
  <c r="Y576" i="22"/>
  <c r="X576" i="22"/>
  <c r="Y560" i="22"/>
  <c r="X560" i="22"/>
  <c r="Y570" i="22"/>
  <c r="X570" i="22"/>
  <c r="Y578" i="22"/>
  <c r="X578" i="22"/>
  <c r="Y582" i="22"/>
  <c r="X582" i="22"/>
  <c r="Y685" i="22"/>
  <c r="X685" i="22"/>
  <c r="Y693" i="22"/>
  <c r="X693" i="22"/>
  <c r="Y556" i="22"/>
  <c r="X556" i="22"/>
  <c r="Y564" i="22"/>
  <c r="X564" i="22"/>
  <c r="Y572" i="22"/>
  <c r="X572" i="22"/>
  <c r="Y580" i="22"/>
  <c r="X580" i="22"/>
  <c r="AA705" i="22"/>
  <c r="Z705" i="22"/>
  <c r="AA713" i="22"/>
  <c r="Z713" i="22"/>
  <c r="AA721" i="22"/>
  <c r="Z721" i="22"/>
  <c r="AA733" i="22"/>
  <c r="Z733" i="22"/>
  <c r="AA737" i="22"/>
  <c r="Z737" i="22"/>
  <c r="AA741" i="22"/>
  <c r="Z741" i="22"/>
  <c r="AA757" i="22"/>
  <c r="Z757" i="22"/>
  <c r="AA761" i="22"/>
  <c r="Z761" i="22"/>
  <c r="AA765" i="22"/>
  <c r="Z765" i="22"/>
  <c r="AA769" i="22"/>
  <c r="Z769" i="22"/>
  <c r="X584" i="22"/>
  <c r="X683" i="22"/>
  <c r="X687" i="22"/>
  <c r="X691" i="22"/>
  <c r="X695" i="22"/>
  <c r="X699" i="22"/>
  <c r="AA709" i="22"/>
  <c r="Z709" i="22"/>
  <c r="AA726" i="22"/>
  <c r="Z726" i="22"/>
  <c r="Z732" i="22"/>
  <c r="AB732" i="22" s="1"/>
  <c r="Z736" i="22"/>
  <c r="AB736" i="22" s="1"/>
  <c r="Z740" i="22"/>
  <c r="AB740" i="22" s="1"/>
  <c r="Z756" i="22"/>
  <c r="AB756" i="22" s="1"/>
  <c r="Z760" i="22"/>
  <c r="AB760" i="22" s="1"/>
  <c r="Z764" i="22"/>
  <c r="AB764" i="22" s="1"/>
  <c r="Z768" i="22"/>
  <c r="AB768" i="22" s="1"/>
  <c r="X771" i="22"/>
  <c r="Y771" i="22"/>
  <c r="X804" i="22"/>
  <c r="Y804" i="22"/>
  <c r="Z807" i="22"/>
  <c r="AA807" i="22"/>
  <c r="Y809" i="22"/>
  <c r="X809" i="22"/>
  <c r="X812" i="22"/>
  <c r="Y812" i="22"/>
  <c r="Y1058" i="22"/>
  <c r="X1058" i="22"/>
  <c r="X782" i="22"/>
  <c r="Y782" i="22"/>
  <c r="Z1070" i="22"/>
  <c r="AA1070" i="22"/>
  <c r="Y801" i="22"/>
  <c r="X801" i="22"/>
  <c r="Y777" i="22"/>
  <c r="X777" i="22"/>
  <c r="AA773" i="22"/>
  <c r="Z773" i="22"/>
  <c r="AA815" i="22"/>
  <c r="AB815" i="22" s="1"/>
  <c r="AA779" i="22"/>
  <c r="AB779" i="22" s="1"/>
  <c r="Y788" i="22"/>
  <c r="X788" i="22"/>
  <c r="AA795" i="22"/>
  <c r="Z795" i="22"/>
  <c r="AA1071" i="22"/>
  <c r="Z1071" i="22"/>
  <c r="Y1076" i="22"/>
  <c r="X1076" i="22"/>
  <c r="Y1081" i="22"/>
  <c r="X1081" i="22"/>
  <c r="X1075" i="22"/>
  <c r="Y1075" i="22"/>
  <c r="Y786" i="22"/>
  <c r="X786" i="22"/>
  <c r="Y781" i="22"/>
  <c r="Y1074" i="22"/>
  <c r="X1086" i="22"/>
  <c r="Y1086" i="22"/>
  <c r="Y1080" i="22"/>
  <c r="X1080" i="22"/>
  <c r="X1085" i="22"/>
  <c r="Y1085" i="22"/>
  <c r="X1097" i="22"/>
  <c r="Y1097" i="22"/>
  <c r="Y1108" i="22"/>
  <c r="X1108" i="22"/>
  <c r="Y790" i="22"/>
  <c r="X790" i="22"/>
  <c r="Y800" i="22"/>
  <c r="X800" i="22"/>
  <c r="Y1106" i="22"/>
  <c r="X1106" i="22"/>
  <c r="Y796" i="22"/>
  <c r="X796" i="22"/>
  <c r="Y798" i="22"/>
  <c r="X798" i="22"/>
  <c r="X1090" i="22"/>
  <c r="Y1090" i="22"/>
  <c r="X1101" i="22"/>
  <c r="Y1101" i="22"/>
  <c r="Y1104" i="22"/>
  <c r="X1104" i="22"/>
  <c r="Y1089" i="22"/>
  <c r="Y1096" i="22"/>
  <c r="Y1100" i="22"/>
  <c r="Y1084" i="22"/>
  <c r="Y1088" i="22"/>
  <c r="Y1095" i="22"/>
  <c r="Y1099" i="22"/>
  <c r="Z58" i="22" l="1"/>
  <c r="AB58" i="22" s="1"/>
  <c r="AC58" i="22" s="1"/>
  <c r="Z704" i="22"/>
  <c r="AB704" i="22" s="1"/>
  <c r="Z706" i="22"/>
  <c r="Z87" i="22"/>
  <c r="AB87" i="22" s="1"/>
  <c r="AC87" i="22" s="1"/>
  <c r="Z810" i="22"/>
  <c r="AB810" i="22" s="1"/>
  <c r="AC810" i="22" s="1"/>
  <c r="AD810" i="22" s="1"/>
  <c r="AA1069" i="22"/>
  <c r="AB1069" i="22" s="1"/>
  <c r="Z802" i="22"/>
  <c r="AB802" i="22" s="1"/>
  <c r="Z723" i="22"/>
  <c r="AB723" i="22" s="1"/>
  <c r="Z739" i="22"/>
  <c r="AB739" i="22" s="1"/>
  <c r="Z1066" i="22"/>
  <c r="AB1066" i="22" s="1"/>
  <c r="Z785" i="22"/>
  <c r="AB785" i="22" s="1"/>
  <c r="AA1061" i="22"/>
  <c r="AB1061" i="22" s="1"/>
  <c r="AC1061" i="22" s="1"/>
  <c r="AD1061" i="22" s="1"/>
  <c r="Z772" i="22"/>
  <c r="AB772" i="22" s="1"/>
  <c r="Z1098" i="22"/>
  <c r="AB1098" i="22" s="1"/>
  <c r="Z698" i="22"/>
  <c r="AB698" i="22" s="1"/>
  <c r="AC819" i="22"/>
  <c r="AD819" i="22" s="1"/>
  <c r="AE819" i="22" s="1"/>
  <c r="AF819" i="22" s="1"/>
  <c r="Z114" i="22"/>
  <c r="AB114" i="22" s="1"/>
  <c r="AC114" i="22" s="1"/>
  <c r="Z682" i="22"/>
  <c r="AB682" i="22" s="1"/>
  <c r="Z1107" i="22"/>
  <c r="AB1107" i="22" s="1"/>
  <c r="AC1107" i="22" s="1"/>
  <c r="AD1107" i="22" s="1"/>
  <c r="Z85" i="22"/>
  <c r="AB85" i="22" s="1"/>
  <c r="AC730" i="22"/>
  <c r="AD730" i="22" s="1"/>
  <c r="AC154" i="22"/>
  <c r="AD154" i="22" s="1"/>
  <c r="AC680" i="22"/>
  <c r="AD680" i="22" s="1"/>
  <c r="AE680" i="22" s="1"/>
  <c r="AC192" i="22"/>
  <c r="AD192" i="22" s="1"/>
  <c r="AE192" i="22" s="1"/>
  <c r="AF192" i="22" s="1"/>
  <c r="AC337" i="22"/>
  <c r="AD337" i="22" s="1"/>
  <c r="AE337" i="22" s="1"/>
  <c r="AF337" i="22" s="1"/>
  <c r="AC174" i="22"/>
  <c r="AD174" i="22" s="1"/>
  <c r="AC158" i="22"/>
  <c r="AD158" i="22" s="1"/>
  <c r="AC227" i="22"/>
  <c r="AD227" i="22" s="1"/>
  <c r="AC692" i="22"/>
  <c r="AD692" i="22" s="1"/>
  <c r="AE692" i="22" s="1"/>
  <c r="AC738" i="22"/>
  <c r="AD738" i="22" s="1"/>
  <c r="AC554" i="22"/>
  <c r="AD554" i="22" s="1"/>
  <c r="AC579" i="22"/>
  <c r="AD579" i="22" s="1"/>
  <c r="AC686" i="22"/>
  <c r="AD686" i="22" s="1"/>
  <c r="AE686" i="22" s="1"/>
  <c r="AC345" i="22"/>
  <c r="AD345" i="22" s="1"/>
  <c r="AE345" i="22" s="1"/>
  <c r="Z684" i="22"/>
  <c r="AB684" i="22" s="1"/>
  <c r="Z561" i="22"/>
  <c r="AB561" i="22" s="1"/>
  <c r="Z724" i="22"/>
  <c r="AB724" i="22" s="1"/>
  <c r="Z1079" i="22"/>
  <c r="AB1079" i="22" s="1"/>
  <c r="AC1079" i="22" s="1"/>
  <c r="AD1079" i="22" s="1"/>
  <c r="Z1082" i="22"/>
  <c r="AB1082" i="22" s="1"/>
  <c r="AC1082" i="22" s="1"/>
  <c r="Z805" i="22"/>
  <c r="AB805" i="22" s="1"/>
  <c r="AB475" i="22"/>
  <c r="AC475" i="22" s="1"/>
  <c r="AD475" i="22" s="1"/>
  <c r="AE475" i="22" s="1"/>
  <c r="Z76" i="22"/>
  <c r="AB76" i="22" s="1"/>
  <c r="AB371" i="22"/>
  <c r="AA789" i="22"/>
  <c r="AB789" i="22" s="1"/>
  <c r="Z717" i="22"/>
  <c r="AB717" i="22" s="1"/>
  <c r="AA701" i="22"/>
  <c r="AB701" i="22" s="1"/>
  <c r="Z161" i="22"/>
  <c r="AB161" i="22" s="1"/>
  <c r="Z1103" i="22"/>
  <c r="AB1103" i="22" s="1"/>
  <c r="AC1103" i="22" s="1"/>
  <c r="AD1103" i="22" s="1"/>
  <c r="AA1078" i="22"/>
  <c r="AB1078" i="22" s="1"/>
  <c r="Z569" i="22"/>
  <c r="AB569" i="22" s="1"/>
  <c r="Z555" i="22"/>
  <c r="AB555" i="22" s="1"/>
  <c r="Z92" i="22"/>
  <c r="AB92" i="22" s="1"/>
  <c r="Z1077" i="22"/>
  <c r="AB1077" i="22" s="1"/>
  <c r="AA1083" i="22"/>
  <c r="AB1083" i="22" s="1"/>
  <c r="AC1083" i="22" s="1"/>
  <c r="AD1083" i="22" s="1"/>
  <c r="Z808" i="22"/>
  <c r="AB808" i="22" s="1"/>
  <c r="AA557" i="22"/>
  <c r="AB557" i="22" s="1"/>
  <c r="Z325" i="22"/>
  <c r="AB325" i="22" s="1"/>
  <c r="AC325" i="22" s="1"/>
  <c r="Z1094" i="22"/>
  <c r="AB1094" i="22" s="1"/>
  <c r="AA797" i="22"/>
  <c r="AB797" i="22" s="1"/>
  <c r="AA783" i="22"/>
  <c r="AB783" i="22" s="1"/>
  <c r="Z119" i="22"/>
  <c r="AB119" i="22" s="1"/>
  <c r="Z171" i="22"/>
  <c r="AB171" i="22" s="1"/>
  <c r="AB373" i="22"/>
  <c r="AB708" i="22"/>
  <c r="Z720" i="22"/>
  <c r="AB720" i="22" s="1"/>
  <c r="AA1105" i="22"/>
  <c r="AB1105" i="22" s="1"/>
  <c r="AC1105" i="22" s="1"/>
  <c r="AD1105" i="22" s="1"/>
  <c r="Z123" i="22"/>
  <c r="AB123" i="22" s="1"/>
  <c r="Z719" i="22"/>
  <c r="AB719" i="22" s="1"/>
  <c r="AA806" i="22"/>
  <c r="AB806" i="22" s="1"/>
  <c r="AC806" i="22" s="1"/>
  <c r="AA694" i="22"/>
  <c r="AB694" i="22" s="1"/>
  <c r="Z155" i="22"/>
  <c r="AB155" i="22" s="1"/>
  <c r="AA793" i="22"/>
  <c r="AB793" i="22" s="1"/>
  <c r="AB445" i="22"/>
  <c r="AB403" i="22"/>
  <c r="AB135" i="22"/>
  <c r="AB563" i="22"/>
  <c r="Z799" i="22"/>
  <c r="AB799" i="22" s="1"/>
  <c r="AB706" i="22"/>
  <c r="AA1073" i="22"/>
  <c r="AB1073" i="22" s="1"/>
  <c r="AC1073" i="22" s="1"/>
  <c r="AB690" i="22"/>
  <c r="Z711" i="22"/>
  <c r="AB711" i="22" s="1"/>
  <c r="AA816" i="22"/>
  <c r="AB816" i="22" s="1"/>
  <c r="Z703" i="22"/>
  <c r="AB703" i="22" s="1"/>
  <c r="Z360" i="22"/>
  <c r="AB360" i="22" s="1"/>
  <c r="Z714" i="22"/>
  <c r="AB714" i="22" s="1"/>
  <c r="Z759" i="22"/>
  <c r="AB759" i="22" s="1"/>
  <c r="AC759" i="22" s="1"/>
  <c r="AB379" i="22"/>
  <c r="AB553" i="22"/>
  <c r="AA226" i="22"/>
  <c r="Z226" i="22"/>
  <c r="Z813" i="22"/>
  <c r="AB813" i="22" s="1"/>
  <c r="AA784" i="22"/>
  <c r="AB784" i="22" s="1"/>
  <c r="AC784" i="22" s="1"/>
  <c r="AD784" i="22" s="1"/>
  <c r="AB705" i="22"/>
  <c r="AC758" i="22"/>
  <c r="AD758" i="22" s="1"/>
  <c r="AA715" i="22"/>
  <c r="AB715" i="22" s="1"/>
  <c r="AB86" i="22"/>
  <c r="Z1091" i="22"/>
  <c r="AB1091" i="22" s="1"/>
  <c r="AB376" i="22"/>
  <c r="Z728" i="22"/>
  <c r="AB728" i="22" s="1"/>
  <c r="Z707" i="22"/>
  <c r="AB707" i="22" s="1"/>
  <c r="Z127" i="22"/>
  <c r="AB127" i="22" s="1"/>
  <c r="Z1057" i="22"/>
  <c r="AB1057" i="22" s="1"/>
  <c r="AC1057" i="22" s="1"/>
  <c r="Z688" i="22"/>
  <c r="AB688" i="22" s="1"/>
  <c r="Z814" i="22"/>
  <c r="AB814" i="22" s="1"/>
  <c r="AC814" i="22" s="1"/>
  <c r="AB393" i="22"/>
  <c r="AB716" i="22"/>
  <c r="AB700" i="22"/>
  <c r="Z175" i="22"/>
  <c r="AB175" i="22" s="1"/>
  <c r="AC562" i="22"/>
  <c r="AD562" i="22" s="1"/>
  <c r="AC162" i="22"/>
  <c r="AD162" i="22" s="1"/>
  <c r="AA1059" i="22"/>
  <c r="Z1059" i="22"/>
  <c r="AA338" i="22"/>
  <c r="Z338" i="22"/>
  <c r="AB1071" i="22"/>
  <c r="AC1071" i="22" s="1"/>
  <c r="AB721" i="22"/>
  <c r="Z121" i="22"/>
  <c r="AB121" i="22" s="1"/>
  <c r="AB378" i="22"/>
  <c r="AB163" i="22"/>
  <c r="AB731" i="22"/>
  <c r="AB519" i="22"/>
  <c r="AB361" i="22"/>
  <c r="AB170" i="22"/>
  <c r="AA778" i="22"/>
  <c r="Z778" i="22"/>
  <c r="Z794" i="22"/>
  <c r="AA794" i="22"/>
  <c r="AA1060" i="22"/>
  <c r="AB1060" i="22" s="1"/>
  <c r="AC1060" i="22" s="1"/>
  <c r="AD1060" i="22" s="1"/>
  <c r="AE1060" i="22" s="1"/>
  <c r="AC696" i="22"/>
  <c r="AD696" i="22" s="1"/>
  <c r="AE696" i="22" s="1"/>
  <c r="Z1067" i="22"/>
  <c r="AB1067" i="22" s="1"/>
  <c r="AB131" i="22"/>
  <c r="AB699" i="22"/>
  <c r="AB444" i="22"/>
  <c r="AB157" i="22"/>
  <c r="AA776" i="22"/>
  <c r="Z776" i="22"/>
  <c r="AA1072" i="22"/>
  <c r="Z1072" i="22"/>
  <c r="Z1109" i="22"/>
  <c r="AB1109" i="22" s="1"/>
  <c r="AC1109" i="22" s="1"/>
  <c r="AC134" i="22"/>
  <c r="AD134" i="22" s="1"/>
  <c r="AE134" i="22" s="1"/>
  <c r="AB377" i="22"/>
  <c r="AB177" i="22"/>
  <c r="AB139" i="22"/>
  <c r="AB725" i="22"/>
  <c r="AB443" i="22"/>
  <c r="AB571" i="22"/>
  <c r="Z780" i="22"/>
  <c r="AA780" i="22"/>
  <c r="AC575" i="22"/>
  <c r="AC722" i="22"/>
  <c r="AD722" i="22" s="1"/>
  <c r="AA718" i="22"/>
  <c r="Z718" i="22"/>
  <c r="AA477" i="22"/>
  <c r="Z477" i="22"/>
  <c r="AA727" i="22"/>
  <c r="Z727" i="22"/>
  <c r="Z791" i="22"/>
  <c r="AB791" i="22" s="1"/>
  <c r="AB773" i="22"/>
  <c r="AC133" i="22"/>
  <c r="AD133" i="22" s="1"/>
  <c r="AE133" i="22" s="1"/>
  <c r="AB118" i="22"/>
  <c r="AB577" i="22"/>
  <c r="Z792" i="22"/>
  <c r="AA792" i="22"/>
  <c r="AB803" i="22"/>
  <c r="AA729" i="22"/>
  <c r="Z729" i="22"/>
  <c r="AB546" i="22"/>
  <c r="AB532" i="22"/>
  <c r="AB490" i="22"/>
  <c r="AB446" i="22"/>
  <c r="AB283" i="22"/>
  <c r="AB583" i="22"/>
  <c r="AB548" i="22"/>
  <c r="AB534" i="22"/>
  <c r="AB508" i="22"/>
  <c r="AB476" i="22"/>
  <c r="AA224" i="22"/>
  <c r="Z224" i="22"/>
  <c r="AA165" i="22"/>
  <c r="Z165" i="22"/>
  <c r="AB173" i="22"/>
  <c r="AA549" i="22"/>
  <c r="Z549" i="22"/>
  <c r="AB488" i="22"/>
  <c r="AA762" i="22"/>
  <c r="Z762" i="22"/>
  <c r="AB540" i="22"/>
  <c r="AB517" i="22"/>
  <c r="AB372" i="22"/>
  <c r="AB231" i="22"/>
  <c r="AB767" i="22"/>
  <c r="AC767" i="22" s="1"/>
  <c r="AB544" i="22"/>
  <c r="AB380" i="22"/>
  <c r="AA818" i="22"/>
  <c r="Z818" i="22"/>
  <c r="AA567" i="22"/>
  <c r="Z567" i="22"/>
  <c r="AA763" i="22"/>
  <c r="Z763" i="22"/>
  <c r="AA159" i="22"/>
  <c r="Z159" i="22"/>
  <c r="Z787" i="22"/>
  <c r="AB787" i="22" s="1"/>
  <c r="AB124" i="22"/>
  <c r="AB811" i="22"/>
  <c r="AC811" i="22" s="1"/>
  <c r="AD811" i="22" s="1"/>
  <c r="AE811" i="22" s="1"/>
  <c r="Z774" i="22"/>
  <c r="AA774" i="22"/>
  <c r="Z770" i="22"/>
  <c r="AA770" i="22"/>
  <c r="AA742" i="22"/>
  <c r="Z742" i="22"/>
  <c r="AA573" i="22"/>
  <c r="Z573" i="22"/>
  <c r="AB261" i="22"/>
  <c r="AA710" i="22"/>
  <c r="Z710" i="22"/>
  <c r="AB330" i="22"/>
  <c r="Z734" i="22"/>
  <c r="AA734" i="22"/>
  <c r="AA245" i="22"/>
  <c r="Z245" i="22"/>
  <c r="AB63" i="22"/>
  <c r="AA755" i="22"/>
  <c r="Z755" i="22"/>
  <c r="AA702" i="22"/>
  <c r="Z702" i="22"/>
  <c r="Z1087" i="22"/>
  <c r="AA1087" i="22"/>
  <c r="AA1068" i="22"/>
  <c r="Z1068" i="22"/>
  <c r="AA735" i="22"/>
  <c r="Z735" i="22"/>
  <c r="AA541" i="22"/>
  <c r="Z541" i="22"/>
  <c r="AA518" i="22"/>
  <c r="Z518" i="22"/>
  <c r="AA479" i="22"/>
  <c r="Z479" i="22"/>
  <c r="AA354" i="22"/>
  <c r="Z354" i="22"/>
  <c r="AB581" i="22"/>
  <c r="AA712" i="22"/>
  <c r="Z712" i="22"/>
  <c r="AA551" i="22"/>
  <c r="Z551" i="22"/>
  <c r="AA545" i="22"/>
  <c r="Z545" i="22"/>
  <c r="AA520" i="22"/>
  <c r="Z520" i="22"/>
  <c r="AA489" i="22"/>
  <c r="Z489" i="22"/>
  <c r="AA559" i="22"/>
  <c r="Z559" i="22"/>
  <c r="AA539" i="22"/>
  <c r="Z539" i="22"/>
  <c r="AA334" i="22"/>
  <c r="Z334" i="22"/>
  <c r="AA547" i="22"/>
  <c r="Z547" i="22"/>
  <c r="AA533" i="22"/>
  <c r="Z533" i="22"/>
  <c r="AA496" i="22"/>
  <c r="Z496" i="22"/>
  <c r="AA509" i="22"/>
  <c r="Z509" i="22"/>
  <c r="AC160" i="22"/>
  <c r="AD160" i="22" s="1"/>
  <c r="AE160" i="22" s="1"/>
  <c r="AC736" i="22"/>
  <c r="AD736" i="22" s="1"/>
  <c r="AE736" i="22" s="1"/>
  <c r="AC327" i="22"/>
  <c r="AD327" i="22" s="1"/>
  <c r="AE327" i="22" s="1"/>
  <c r="AC176" i="22"/>
  <c r="AD176" i="22" s="1"/>
  <c r="AE176" i="22" s="1"/>
  <c r="AC768" i="22"/>
  <c r="AC225" i="22"/>
  <c r="AC732" i="22"/>
  <c r="AC281" i="22"/>
  <c r="AD281" i="22" s="1"/>
  <c r="AE281" i="22" s="1"/>
  <c r="AC172" i="22"/>
  <c r="AD172" i="22" s="1"/>
  <c r="AC132" i="22"/>
  <c r="AD132" i="22" s="1"/>
  <c r="AE132" i="22" s="1"/>
  <c r="AC333" i="22"/>
  <c r="AC156" i="22"/>
  <c r="AC760" i="22"/>
  <c r="AC756" i="22"/>
  <c r="AC244" i="22"/>
  <c r="AD244" i="22" s="1"/>
  <c r="AE244" i="22" s="1"/>
  <c r="AC164" i="22"/>
  <c r="Z1100" i="22"/>
  <c r="AA1100" i="22"/>
  <c r="AA798" i="22"/>
  <c r="Z798" i="22"/>
  <c r="AA1080" i="22"/>
  <c r="Z1080" i="22"/>
  <c r="AA804" i="22"/>
  <c r="Z804" i="22"/>
  <c r="AC695" i="22"/>
  <c r="AC740" i="22"/>
  <c r="AD740" i="22" s="1"/>
  <c r="AA570" i="22"/>
  <c r="Z570" i="22"/>
  <c r="AC138" i="22"/>
  <c r="Z1095" i="22"/>
  <c r="AA1095" i="22"/>
  <c r="Z1096" i="22"/>
  <c r="AA1096" i="22"/>
  <c r="AA1101" i="22"/>
  <c r="Z1101" i="22"/>
  <c r="Z1097" i="22"/>
  <c r="AA1097" i="22"/>
  <c r="Z1086" i="22"/>
  <c r="AA1086" i="22"/>
  <c r="Z781" i="22"/>
  <c r="AA781" i="22"/>
  <c r="Z786" i="22"/>
  <c r="AA786" i="22"/>
  <c r="Z788" i="22"/>
  <c r="AA788" i="22"/>
  <c r="AD817" i="22"/>
  <c r="AE817" i="22" s="1"/>
  <c r="AB1070" i="22"/>
  <c r="AB807" i="22"/>
  <c r="AB726" i="22"/>
  <c r="AB709" i="22"/>
  <c r="AB769" i="22"/>
  <c r="AB761" i="22"/>
  <c r="AB741" i="22"/>
  <c r="AB733" i="22"/>
  <c r="AC687" i="22"/>
  <c r="AA564" i="22"/>
  <c r="Z564" i="22"/>
  <c r="AA685" i="22"/>
  <c r="Z685" i="22"/>
  <c r="AA576" i="22"/>
  <c r="Z576" i="22"/>
  <c r="AA558" i="22"/>
  <c r="Z558" i="22"/>
  <c r="AA552" i="22"/>
  <c r="Z552" i="22"/>
  <c r="AA566" i="22"/>
  <c r="Z566" i="22"/>
  <c r="AD565" i="22"/>
  <c r="AE565" i="22" s="1"/>
  <c r="AF565" i="22" s="1"/>
  <c r="AB113" i="22"/>
  <c r="AB122" i="22"/>
  <c r="AB130" i="22"/>
  <c r="Z1104" i="22"/>
  <c r="AA1104" i="22"/>
  <c r="AA796" i="22"/>
  <c r="Z796" i="22"/>
  <c r="AA1081" i="22"/>
  <c r="Z1081" i="22"/>
  <c r="Z771" i="22"/>
  <c r="AA771" i="22"/>
  <c r="AA578" i="22"/>
  <c r="Z578" i="22"/>
  <c r="AA681" i="22"/>
  <c r="Z681" i="22"/>
  <c r="Z1088" i="22"/>
  <c r="AA1088" i="22"/>
  <c r="Z800" i="22"/>
  <c r="AA800" i="22"/>
  <c r="Z790" i="22"/>
  <c r="AA790" i="22"/>
  <c r="Z1075" i="22"/>
  <c r="AA1075" i="22"/>
  <c r="Z1076" i="22"/>
  <c r="AA1076" i="22"/>
  <c r="AC779" i="22"/>
  <c r="AC815" i="22"/>
  <c r="Z777" i="22"/>
  <c r="AA777" i="22"/>
  <c r="Z1058" i="22"/>
  <c r="AA1058" i="22"/>
  <c r="AC764" i="22"/>
  <c r="AC584" i="22"/>
  <c r="AD584" i="22" s="1"/>
  <c r="AA572" i="22"/>
  <c r="Z572" i="22"/>
  <c r="AA556" i="22"/>
  <c r="Z556" i="22"/>
  <c r="Z560" i="22"/>
  <c r="AA560" i="22"/>
  <c r="AC683" i="22"/>
  <c r="AA697" i="22"/>
  <c r="Z697" i="22"/>
  <c r="Z1099" i="22"/>
  <c r="AA1099" i="22"/>
  <c r="Z1108" i="22"/>
  <c r="AA1108" i="22"/>
  <c r="Z1074" i="22"/>
  <c r="AA1074" i="22"/>
  <c r="Z801" i="22"/>
  <c r="AA801" i="22"/>
  <c r="Z809" i="22"/>
  <c r="AA809" i="22"/>
  <c r="AC691" i="22"/>
  <c r="AD691" i="22" s="1"/>
  <c r="AA574" i="22"/>
  <c r="Z574" i="22"/>
  <c r="Z1102" i="22"/>
  <c r="AA1102" i="22"/>
  <c r="Z1089" i="22"/>
  <c r="AA1089" i="22"/>
  <c r="Z1106" i="22"/>
  <c r="AA1106" i="22"/>
  <c r="Z1084" i="22"/>
  <c r="AA1084" i="22"/>
  <c r="Z1090" i="22"/>
  <c r="AA1090" i="22"/>
  <c r="Z1085" i="22"/>
  <c r="AA1085" i="22"/>
  <c r="AB795" i="22"/>
  <c r="Z782" i="22"/>
  <c r="AA782" i="22"/>
  <c r="AA812" i="22"/>
  <c r="Z812" i="22"/>
  <c r="AD775" i="22"/>
  <c r="AE775" i="22" s="1"/>
  <c r="AB765" i="22"/>
  <c r="AB757" i="22"/>
  <c r="AB737" i="22"/>
  <c r="AB713" i="22"/>
  <c r="AA580" i="22"/>
  <c r="Z580" i="22"/>
  <c r="AA693" i="22"/>
  <c r="Z693" i="22"/>
  <c r="AA582" i="22"/>
  <c r="Z582" i="22"/>
  <c r="AA568" i="22"/>
  <c r="Z568" i="22"/>
  <c r="AA550" i="22"/>
  <c r="Z550" i="22"/>
  <c r="AE766" i="22"/>
  <c r="AA689" i="22"/>
  <c r="Z689" i="22"/>
  <c r="AB88" i="22"/>
  <c r="AB84" i="22"/>
  <c r="AB57" i="22"/>
  <c r="AC1066" i="22" l="1"/>
  <c r="AD1066" i="22" s="1"/>
  <c r="AC1069" i="22"/>
  <c r="AD1069" i="22" s="1"/>
  <c r="AE1069" i="22" s="1"/>
  <c r="AC1091" i="22"/>
  <c r="AD1091" i="22" s="1"/>
  <c r="AC793" i="22"/>
  <c r="AD793" i="22" s="1"/>
  <c r="AE793" i="22" s="1"/>
  <c r="AF793" i="22" s="1"/>
  <c r="AC797" i="22"/>
  <c r="AD797" i="22" s="1"/>
  <c r="AC799" i="22"/>
  <c r="AD799" i="22" s="1"/>
  <c r="AE799" i="22" s="1"/>
  <c r="AC773" i="22"/>
  <c r="AD773" i="22" s="1"/>
  <c r="AE738" i="22"/>
  <c r="AF738" i="22" s="1"/>
  <c r="AC808" i="22"/>
  <c r="AD808" i="22" s="1"/>
  <c r="AE808" i="22" s="1"/>
  <c r="AC813" i="22"/>
  <c r="AD813" i="22" s="1"/>
  <c r="AE813" i="22" s="1"/>
  <c r="AE158" i="22"/>
  <c r="AF158" i="22" s="1"/>
  <c r="AE730" i="22"/>
  <c r="AF730" i="22" s="1"/>
  <c r="AC444" i="22"/>
  <c r="AD444" i="22" s="1"/>
  <c r="AE444" i="22" s="1"/>
  <c r="AC361" i="22"/>
  <c r="AD361" i="22" s="1"/>
  <c r="AE361" i="22" s="1"/>
  <c r="AC378" i="22"/>
  <c r="AD378" i="22" s="1"/>
  <c r="AE378" i="22" s="1"/>
  <c r="AC393" i="22"/>
  <c r="AD393" i="22" s="1"/>
  <c r="AC127" i="22"/>
  <c r="AD127" i="22" s="1"/>
  <c r="AC705" i="22"/>
  <c r="AD705" i="22" s="1"/>
  <c r="AC714" i="22"/>
  <c r="AD714" i="22" s="1"/>
  <c r="AC403" i="22"/>
  <c r="AD403" i="22" s="1"/>
  <c r="AE403" i="22" s="1"/>
  <c r="AC719" i="22"/>
  <c r="AC708" i="22"/>
  <c r="AD708" i="22" s="1"/>
  <c r="AE708" i="22" s="1"/>
  <c r="AC557" i="22"/>
  <c r="AD557" i="22" s="1"/>
  <c r="AC92" i="22"/>
  <c r="AD92" i="22" s="1"/>
  <c r="AC561" i="22"/>
  <c r="AC63" i="22"/>
  <c r="AD63" i="22" s="1"/>
  <c r="AE63" i="22" s="1"/>
  <c r="AC124" i="22"/>
  <c r="AD124" i="22" s="1"/>
  <c r="AC380" i="22"/>
  <c r="AD380" i="22" s="1"/>
  <c r="AE380" i="22" s="1"/>
  <c r="AC372" i="22"/>
  <c r="AD372" i="22" s="1"/>
  <c r="AC682" i="22"/>
  <c r="AD682" i="22" s="1"/>
  <c r="AE682" i="22" s="1"/>
  <c r="AC508" i="22"/>
  <c r="AD508" i="22" s="1"/>
  <c r="AC546" i="22"/>
  <c r="AD546" i="22" s="1"/>
  <c r="AE546" i="22" s="1"/>
  <c r="AC443" i="22"/>
  <c r="AD443" i="22" s="1"/>
  <c r="AC377" i="22"/>
  <c r="AD377" i="22" s="1"/>
  <c r="AC581" i="22"/>
  <c r="AD581" i="22" s="1"/>
  <c r="AE581" i="22" s="1"/>
  <c r="AC261" i="22"/>
  <c r="AD261" i="22" s="1"/>
  <c r="AE261" i="22" s="1"/>
  <c r="AF261" i="22" s="1"/>
  <c r="AG261" i="22" s="1"/>
  <c r="AC544" i="22"/>
  <c r="AC517" i="22"/>
  <c r="AC488" i="22"/>
  <c r="AD488" i="22" s="1"/>
  <c r="AE488" i="22" s="1"/>
  <c r="AC534" i="22"/>
  <c r="AD534" i="22" s="1"/>
  <c r="AE534" i="22" s="1"/>
  <c r="AC446" i="22"/>
  <c r="AD446" i="22" s="1"/>
  <c r="AC725" i="22"/>
  <c r="AD725" i="22" s="1"/>
  <c r="AE725" i="22" s="1"/>
  <c r="AC704" i="22"/>
  <c r="AD704" i="22" s="1"/>
  <c r="AE704" i="22" s="1"/>
  <c r="AC519" i="22"/>
  <c r="AD519" i="22" s="1"/>
  <c r="AE519" i="22" s="1"/>
  <c r="AC121" i="22"/>
  <c r="AC175" i="22"/>
  <c r="AD175" i="22" s="1"/>
  <c r="AE175" i="22" s="1"/>
  <c r="AC86" i="22"/>
  <c r="AD86" i="22" s="1"/>
  <c r="AC553" i="22"/>
  <c r="AC360" i="22"/>
  <c r="AD360" i="22" s="1"/>
  <c r="AC690" i="22"/>
  <c r="AD690" i="22" s="1"/>
  <c r="AC155" i="22"/>
  <c r="AD155" i="22" s="1"/>
  <c r="AE155" i="22" s="1"/>
  <c r="AC445" i="22"/>
  <c r="AD445" i="22" s="1"/>
  <c r="AC123" i="22"/>
  <c r="AD123" i="22" s="1"/>
  <c r="AE123" i="22" s="1"/>
  <c r="AC373" i="22"/>
  <c r="AD373" i="22" s="1"/>
  <c r="AC161" i="22"/>
  <c r="AD161" i="22" s="1"/>
  <c r="AC371" i="22"/>
  <c r="AC698" i="22"/>
  <c r="AD698" i="22" s="1"/>
  <c r="AE698" i="22" s="1"/>
  <c r="AC577" i="22"/>
  <c r="AD577" i="22" s="1"/>
  <c r="AE577" i="22" s="1"/>
  <c r="AC131" i="22"/>
  <c r="AC739" i="22"/>
  <c r="AD739" i="22" s="1"/>
  <c r="AE739" i="22" s="1"/>
  <c r="AC731" i="22"/>
  <c r="AD731" i="22" s="1"/>
  <c r="AE731" i="22" s="1"/>
  <c r="AC721" i="22"/>
  <c r="AD721" i="22" s="1"/>
  <c r="AE721" i="22" s="1"/>
  <c r="AC700" i="22"/>
  <c r="AD700" i="22" s="1"/>
  <c r="AC688" i="22"/>
  <c r="AD688" i="22" s="1"/>
  <c r="AE688" i="22" s="1"/>
  <c r="AF688" i="22" s="1"/>
  <c r="AC715" i="22"/>
  <c r="AD715" i="22" s="1"/>
  <c r="AC379" i="22"/>
  <c r="AD379" i="22" s="1"/>
  <c r="AE379" i="22" s="1"/>
  <c r="AC703" i="22"/>
  <c r="AD703" i="22" s="1"/>
  <c r="AC563" i="22"/>
  <c r="AD563" i="22" s="1"/>
  <c r="AE563" i="22" s="1"/>
  <c r="AF563" i="22" s="1"/>
  <c r="AG563" i="22" s="1"/>
  <c r="AC171" i="22"/>
  <c r="AD171" i="22" s="1"/>
  <c r="AE171" i="22" s="1"/>
  <c r="AC76" i="22"/>
  <c r="AC330" i="22"/>
  <c r="AD330" i="22" s="1"/>
  <c r="AC569" i="22"/>
  <c r="AD569" i="22" s="1"/>
  <c r="AE569" i="22" s="1"/>
  <c r="AC540" i="22"/>
  <c r="AD540" i="22" s="1"/>
  <c r="AE540" i="22" s="1"/>
  <c r="AC173" i="22"/>
  <c r="AD173" i="22" s="1"/>
  <c r="AC548" i="22"/>
  <c r="AD548" i="22" s="1"/>
  <c r="AE548" i="22" s="1"/>
  <c r="AC490" i="22"/>
  <c r="AD490" i="22" s="1"/>
  <c r="AC139" i="22"/>
  <c r="AD139" i="22" s="1"/>
  <c r="AE139" i="22" s="1"/>
  <c r="AE174" i="22"/>
  <c r="AF174" i="22" s="1"/>
  <c r="AG174" i="22" s="1"/>
  <c r="AC85" i="22"/>
  <c r="AC231" i="22"/>
  <c r="AD231" i="22" s="1"/>
  <c r="AE231" i="22" s="1"/>
  <c r="AC476" i="22"/>
  <c r="AD476" i="22" s="1"/>
  <c r="AE476" i="22" s="1"/>
  <c r="AC532" i="22"/>
  <c r="AD532" i="22" s="1"/>
  <c r="AE532" i="22" s="1"/>
  <c r="AC118" i="22"/>
  <c r="AC177" i="22"/>
  <c r="AD177" i="22" s="1"/>
  <c r="AE177" i="22" s="1"/>
  <c r="AC157" i="22"/>
  <c r="AD157" i="22" s="1"/>
  <c r="AE157" i="22" s="1"/>
  <c r="AC163" i="22"/>
  <c r="AC716" i="22"/>
  <c r="AD716" i="22" s="1"/>
  <c r="AE716" i="22" s="1"/>
  <c r="AC376" i="22"/>
  <c r="AC135" i="22"/>
  <c r="AD135" i="22" s="1"/>
  <c r="AC684" i="22"/>
  <c r="AD684" i="22" s="1"/>
  <c r="AC119" i="22"/>
  <c r="AD119" i="22" s="1"/>
  <c r="AD553" i="22"/>
  <c r="AD544" i="22"/>
  <c r="AE544" i="22" s="1"/>
  <c r="AD767" i="22"/>
  <c r="AE767" i="22" s="1"/>
  <c r="AD1073" i="22"/>
  <c r="AE1073" i="22" s="1"/>
  <c r="AF1073" i="22" s="1"/>
  <c r="AE579" i="22"/>
  <c r="AF579" i="22" s="1"/>
  <c r="AD806" i="22"/>
  <c r="AE806" i="22" s="1"/>
  <c r="AB1076" i="22"/>
  <c r="AC1076" i="22" s="1"/>
  <c r="AB1081" i="22"/>
  <c r="AC1081" i="22" s="1"/>
  <c r="AD1081" i="22" s="1"/>
  <c r="AE1081" i="22" s="1"/>
  <c r="AB1072" i="22"/>
  <c r="AC1072" i="22" s="1"/>
  <c r="AB780" i="22"/>
  <c r="AC780" i="22" s="1"/>
  <c r="AD780" i="22" s="1"/>
  <c r="AB812" i="22"/>
  <c r="AC812" i="22" s="1"/>
  <c r="AD814" i="22"/>
  <c r="AE814" i="22" s="1"/>
  <c r="AB693" i="22"/>
  <c r="AC706" i="22"/>
  <c r="AD706" i="22" s="1"/>
  <c r="AB796" i="22"/>
  <c r="AE562" i="22"/>
  <c r="AF562" i="22" s="1"/>
  <c r="AE758" i="22"/>
  <c r="AF758" i="22" s="1"/>
  <c r="AB572" i="22"/>
  <c r="AB1097" i="22"/>
  <c r="AC1097" i="22" s="1"/>
  <c r="AB226" i="22"/>
  <c r="AB556" i="22"/>
  <c r="AB566" i="22"/>
  <c r="AE740" i="22"/>
  <c r="AF740" i="22" s="1"/>
  <c r="AG740" i="22" s="1"/>
  <c r="AB479" i="22"/>
  <c r="AB541" i="22"/>
  <c r="AB794" i="22"/>
  <c r="AE162" i="22"/>
  <c r="AF162" i="22" s="1"/>
  <c r="AG162" i="22" s="1"/>
  <c r="AH162" i="22" s="1"/>
  <c r="AC1067" i="22"/>
  <c r="AD1067" i="22" s="1"/>
  <c r="AD759" i="22"/>
  <c r="AE759" i="22" s="1"/>
  <c r="AB801" i="22"/>
  <c r="AB1108" i="22"/>
  <c r="AC1108" i="22" s="1"/>
  <c r="AB798" i="22"/>
  <c r="AE172" i="22"/>
  <c r="AF172" i="22" s="1"/>
  <c r="AG172" i="22" s="1"/>
  <c r="AB354" i="22"/>
  <c r="AB518" i="22"/>
  <c r="AB735" i="22"/>
  <c r="AB755" i="22"/>
  <c r="AB734" i="22"/>
  <c r="AB710" i="22"/>
  <c r="AB159" i="22"/>
  <c r="AB567" i="22"/>
  <c r="AB224" i="22"/>
  <c r="AB729" i="22"/>
  <c r="AB727" i="22"/>
  <c r="AB718" i="22"/>
  <c r="AB776" i="22"/>
  <c r="AB338" i="22"/>
  <c r="AF811" i="22"/>
  <c r="AG811" i="22" s="1"/>
  <c r="AF696" i="22"/>
  <c r="AG696" i="22" s="1"/>
  <c r="AC571" i="22"/>
  <c r="AC170" i="22"/>
  <c r="AD170" i="22" s="1"/>
  <c r="AC699" i="22"/>
  <c r="AD699" i="22" s="1"/>
  <c r="AE699" i="22" s="1"/>
  <c r="AB568" i="22"/>
  <c r="AB809" i="22"/>
  <c r="AC809" i="22" s="1"/>
  <c r="AD809" i="22" s="1"/>
  <c r="AB1074" i="22"/>
  <c r="AC1074" i="22" s="1"/>
  <c r="AD1074" i="22" s="1"/>
  <c r="AE1074" i="22" s="1"/>
  <c r="AD164" i="22"/>
  <c r="AE164" i="22" s="1"/>
  <c r="AB1068" i="22"/>
  <c r="AB702" i="22"/>
  <c r="AB245" i="22"/>
  <c r="AB742" i="22"/>
  <c r="AB763" i="22"/>
  <c r="AB818" i="22"/>
  <c r="AB762" i="22"/>
  <c r="AB165" i="22"/>
  <c r="AB792" i="22"/>
  <c r="AB477" i="22"/>
  <c r="AC720" i="22"/>
  <c r="AB778" i="22"/>
  <c r="AB1059" i="22"/>
  <c r="AC1059" i="22" s="1"/>
  <c r="AD1059" i="22" s="1"/>
  <c r="AE722" i="22"/>
  <c r="AC694" i="22"/>
  <c r="AB782" i="22"/>
  <c r="AE1107" i="22"/>
  <c r="AF1107" i="22" s="1"/>
  <c r="AF692" i="22"/>
  <c r="AG692" i="22" s="1"/>
  <c r="AH692" i="22" s="1"/>
  <c r="AD1082" i="22"/>
  <c r="AE1082" i="22" s="1"/>
  <c r="AC701" i="22"/>
  <c r="AD701" i="22" s="1"/>
  <c r="AB576" i="22"/>
  <c r="AB564" i="22"/>
  <c r="AB1096" i="22"/>
  <c r="AC1096" i="22" s="1"/>
  <c r="AD1096" i="22" s="1"/>
  <c r="AE1096" i="22" s="1"/>
  <c r="AB804" i="22"/>
  <c r="AB1080" i="22"/>
  <c r="AC1080" i="22" s="1"/>
  <c r="AB496" i="22"/>
  <c r="AB547" i="22"/>
  <c r="AB539" i="22"/>
  <c r="AB489" i="22"/>
  <c r="AB545" i="22"/>
  <c r="AB712" i="22"/>
  <c r="AB774" i="22"/>
  <c r="AB549" i="22"/>
  <c r="AC583" i="22"/>
  <c r="AD583" i="22" s="1"/>
  <c r="AC803" i="22"/>
  <c r="AD803" i="22" s="1"/>
  <c r="AD325" i="22"/>
  <c r="AF133" i="22"/>
  <c r="AC791" i="22"/>
  <c r="AD791" i="22" s="1"/>
  <c r="AD732" i="22"/>
  <c r="AE732" i="22" s="1"/>
  <c r="AD225" i="22"/>
  <c r="AC283" i="22"/>
  <c r="AD283" i="22" s="1"/>
  <c r="AG192" i="22"/>
  <c r="AH192" i="22" s="1"/>
  <c r="AB582" i="22"/>
  <c r="AE1103" i="22"/>
  <c r="AF1103" i="22" s="1"/>
  <c r="AG1103" i="22" s="1"/>
  <c r="AB574" i="22"/>
  <c r="AB1099" i="22"/>
  <c r="AC1099" i="22" s="1"/>
  <c r="AD1099" i="22" s="1"/>
  <c r="AE1061" i="22"/>
  <c r="AF1061" i="22" s="1"/>
  <c r="AB777" i="22"/>
  <c r="AB681" i="22"/>
  <c r="AG565" i="22"/>
  <c r="AH565" i="22" s="1"/>
  <c r="AB558" i="22"/>
  <c r="AB685" i="22"/>
  <c r="AB788" i="22"/>
  <c r="AB1095" i="22"/>
  <c r="AB509" i="22"/>
  <c r="AB533" i="22"/>
  <c r="AB334" i="22"/>
  <c r="AB559" i="22"/>
  <c r="AB520" i="22"/>
  <c r="AB551" i="22"/>
  <c r="AB1087" i="22"/>
  <c r="AB573" i="22"/>
  <c r="AB770" i="22"/>
  <c r="AC723" i="22"/>
  <c r="AD575" i="22"/>
  <c r="AC772" i="22"/>
  <c r="AD772" i="22" s="1"/>
  <c r="AE772" i="22" s="1"/>
  <c r="AC728" i="22"/>
  <c r="AD728" i="22" s="1"/>
  <c r="AC1094" i="22"/>
  <c r="AD1094" i="22" s="1"/>
  <c r="AC741" i="22"/>
  <c r="AD741" i="22" s="1"/>
  <c r="AB689" i="22"/>
  <c r="AG819" i="22"/>
  <c r="AH819" i="22" s="1"/>
  <c r="AI819" i="22" s="1"/>
  <c r="AJ819" i="22" s="1"/>
  <c r="AB550" i="22"/>
  <c r="AF686" i="22"/>
  <c r="AG686" i="22" s="1"/>
  <c r="AC713" i="22"/>
  <c r="AC765" i="22"/>
  <c r="AD765" i="22" s="1"/>
  <c r="AC795" i="22"/>
  <c r="AB1085" i="22"/>
  <c r="AB1090" i="22"/>
  <c r="AB1106" i="22"/>
  <c r="AD1109" i="22"/>
  <c r="AE1109" i="22" s="1"/>
  <c r="AG337" i="22"/>
  <c r="AH337" i="22" s="1"/>
  <c r="AB697" i="22"/>
  <c r="AF680" i="22"/>
  <c r="AB1058" i="22"/>
  <c r="AD1071" i="22"/>
  <c r="AE1071" i="22" s="1"/>
  <c r="AB790" i="22"/>
  <c r="AB1088" i="22"/>
  <c r="AB771" i="22"/>
  <c r="AF1060" i="22"/>
  <c r="AG1060" i="22" s="1"/>
  <c r="AC113" i="22"/>
  <c r="AD113" i="22" s="1"/>
  <c r="AE113" i="22" s="1"/>
  <c r="AF475" i="22"/>
  <c r="AG475" i="22" s="1"/>
  <c r="AC707" i="22"/>
  <c r="AD707" i="22" s="1"/>
  <c r="AC711" i="22"/>
  <c r="AC717" i="22"/>
  <c r="AD717" i="22" s="1"/>
  <c r="AC807" i="22"/>
  <c r="AD807" i="22" s="1"/>
  <c r="AC787" i="22"/>
  <c r="AB1086" i="22"/>
  <c r="AF345" i="22"/>
  <c r="AG345" i="22" s="1"/>
  <c r="AE1083" i="22"/>
  <c r="AF1083" i="22" s="1"/>
  <c r="AG1083" i="22" s="1"/>
  <c r="AB1100" i="22"/>
  <c r="AF244" i="22"/>
  <c r="AF132" i="22"/>
  <c r="AF281" i="22"/>
  <c r="AD768" i="22"/>
  <c r="AE768" i="22" s="1"/>
  <c r="AC802" i="22"/>
  <c r="AD802" i="22" s="1"/>
  <c r="AE802" i="22" s="1"/>
  <c r="AC1077" i="22"/>
  <c r="AC555" i="22"/>
  <c r="AC709" i="22"/>
  <c r="AD709" i="22" s="1"/>
  <c r="AC805" i="22"/>
  <c r="AD805" i="22" s="1"/>
  <c r="AC785" i="22"/>
  <c r="AD785" i="22" s="1"/>
  <c r="AE785" i="22" s="1"/>
  <c r="AC783" i="22"/>
  <c r="AD783" i="22" s="1"/>
  <c r="AF134" i="22"/>
  <c r="AG134" i="22" s="1"/>
  <c r="AF775" i="22"/>
  <c r="AF766" i="22"/>
  <c r="AG766" i="22" s="1"/>
  <c r="AC130" i="22"/>
  <c r="AE154" i="22"/>
  <c r="AD687" i="22"/>
  <c r="AC733" i="22"/>
  <c r="AD733" i="22" s="1"/>
  <c r="AE733" i="22" s="1"/>
  <c r="AC761" i="22"/>
  <c r="AD761" i="22" s="1"/>
  <c r="AE761" i="22" s="1"/>
  <c r="AC726" i="22"/>
  <c r="AD726" i="22" s="1"/>
  <c r="AC1070" i="22"/>
  <c r="AC1078" i="22"/>
  <c r="AD695" i="22"/>
  <c r="AF817" i="22"/>
  <c r="AD114" i="22"/>
  <c r="AC84" i="22"/>
  <c r="AD84" i="22" s="1"/>
  <c r="AE84" i="22" s="1"/>
  <c r="AC122" i="22"/>
  <c r="AC724" i="22"/>
  <c r="AD724" i="22" s="1"/>
  <c r="AC757" i="22"/>
  <c r="AE227" i="22"/>
  <c r="AC57" i="22"/>
  <c r="AC88" i="22"/>
  <c r="AE554" i="22"/>
  <c r="AF554" i="22" s="1"/>
  <c r="AB580" i="22"/>
  <c r="AC737" i="22"/>
  <c r="AC816" i="22"/>
  <c r="AC789" i="22"/>
  <c r="AD789" i="22" s="1"/>
  <c r="AB1084" i="22"/>
  <c r="AB1089" i="22"/>
  <c r="AB1102" i="22"/>
  <c r="AE691" i="22"/>
  <c r="AD683" i="22"/>
  <c r="AB560" i="22"/>
  <c r="AE584" i="22"/>
  <c r="AF584" i="22" s="1"/>
  <c r="AD764" i="22"/>
  <c r="AE784" i="22"/>
  <c r="AE810" i="22"/>
  <c r="AD815" i="22"/>
  <c r="AD779" i="22"/>
  <c r="AE779" i="22" s="1"/>
  <c r="AB1075" i="22"/>
  <c r="AB800" i="22"/>
  <c r="AE1079" i="22"/>
  <c r="AB578" i="22"/>
  <c r="AB1104" i="22"/>
  <c r="AB552" i="22"/>
  <c r="AC769" i="22"/>
  <c r="AD769" i="22" s="1"/>
  <c r="AD1057" i="22"/>
  <c r="AE1057" i="22" s="1"/>
  <c r="AB786" i="22"/>
  <c r="AB781" i="22"/>
  <c r="AC1098" i="22"/>
  <c r="AD1098" i="22" s="1"/>
  <c r="AB1101" i="22"/>
  <c r="AD138" i="22"/>
  <c r="AE138" i="22" s="1"/>
  <c r="AB570" i="22"/>
  <c r="AE1105" i="22"/>
  <c r="AF1105" i="22" s="1"/>
  <c r="AD756" i="22"/>
  <c r="AD760" i="22"/>
  <c r="AD156" i="22"/>
  <c r="AD333" i="22"/>
  <c r="AE333" i="22" s="1"/>
  <c r="AD87" i="22"/>
  <c r="AD58" i="22"/>
  <c r="AE58" i="22" s="1"/>
  <c r="AF176" i="22"/>
  <c r="AF327" i="22"/>
  <c r="AF736" i="22"/>
  <c r="AF160" i="22"/>
  <c r="AG160" i="22" s="1"/>
  <c r="AF123" i="22" l="1"/>
  <c r="AG123" i="22" s="1"/>
  <c r="AE360" i="22"/>
  <c r="AF360" i="22" s="1"/>
  <c r="AE797" i="22"/>
  <c r="AF797" i="22" s="1"/>
  <c r="AG797" i="22" s="1"/>
  <c r="AF808" i="22"/>
  <c r="AG808" i="22" s="1"/>
  <c r="AH808" i="22" s="1"/>
  <c r="AI808" i="22" s="1"/>
  <c r="AJ808" i="22" s="1"/>
  <c r="AE127" i="22"/>
  <c r="AF127" i="22" s="1"/>
  <c r="AG127" i="22" s="1"/>
  <c r="AF698" i="22"/>
  <c r="AG698" i="22" s="1"/>
  <c r="AE1091" i="22"/>
  <c r="AF1091" i="22" s="1"/>
  <c r="AF799" i="22"/>
  <c r="AG799" i="22" s="1"/>
  <c r="AL799" i="22" s="1"/>
  <c r="AE1066" i="22"/>
  <c r="AF1066" i="22" s="1"/>
  <c r="AE773" i="22"/>
  <c r="AF773" i="22" s="1"/>
  <c r="AG773" i="22" s="1"/>
  <c r="AC778" i="22"/>
  <c r="AD778" i="22" s="1"/>
  <c r="AC798" i="22"/>
  <c r="AD798" i="22" s="1"/>
  <c r="AC777" i="22"/>
  <c r="AD777" i="22" s="1"/>
  <c r="AC794" i="22"/>
  <c r="AD794" i="22" s="1"/>
  <c r="AE794" i="22" s="1"/>
  <c r="AC796" i="22"/>
  <c r="AD796" i="22" s="1"/>
  <c r="AC788" i="22"/>
  <c r="AD788" i="22" s="1"/>
  <c r="AE788" i="22" s="1"/>
  <c r="AE393" i="22"/>
  <c r="AF393" i="22" s="1"/>
  <c r="AG393" i="22" s="1"/>
  <c r="AH393" i="22" s="1"/>
  <c r="AG738" i="22"/>
  <c r="AH738" i="22" s="1"/>
  <c r="AI738" i="22" s="1"/>
  <c r="AJ738" i="22" s="1"/>
  <c r="AC782" i="22"/>
  <c r="AD782" i="22" s="1"/>
  <c r="AC801" i="22"/>
  <c r="AD801" i="22" s="1"/>
  <c r="AE801" i="22" s="1"/>
  <c r="AC818" i="22"/>
  <c r="AL819" i="22"/>
  <c r="AE373" i="22"/>
  <c r="AF373" i="22" s="1"/>
  <c r="AE135" i="22"/>
  <c r="AF135" i="22" s="1"/>
  <c r="AG135" i="22" s="1"/>
  <c r="AH135" i="22" s="1"/>
  <c r="AE377" i="22"/>
  <c r="AF377" i="22" s="1"/>
  <c r="AG377" i="22" s="1"/>
  <c r="AE553" i="22"/>
  <c r="AF553" i="22" s="1"/>
  <c r="AF139" i="22"/>
  <c r="AG139" i="22" s="1"/>
  <c r="AH139" i="22" s="1"/>
  <c r="AF569" i="22"/>
  <c r="AG569" i="22" s="1"/>
  <c r="AE690" i="22"/>
  <c r="AF690" i="22" s="1"/>
  <c r="AE705" i="22"/>
  <c r="AF705" i="22" s="1"/>
  <c r="AE445" i="22"/>
  <c r="AF445" i="22" s="1"/>
  <c r="AF63" i="22"/>
  <c r="AG63" i="22" s="1"/>
  <c r="AH63" i="22" s="1"/>
  <c r="AH261" i="22"/>
  <c r="AI261" i="22" s="1"/>
  <c r="AJ261" i="22" s="1"/>
  <c r="AF704" i="22"/>
  <c r="AG704" i="22" s="1"/>
  <c r="AF546" i="22"/>
  <c r="AG546" i="22" s="1"/>
  <c r="AE703" i="22"/>
  <c r="AF703" i="22" s="1"/>
  <c r="AE86" i="22"/>
  <c r="AF86" i="22" s="1"/>
  <c r="AF403" i="22"/>
  <c r="AG403" i="22" s="1"/>
  <c r="AE330" i="22"/>
  <c r="AF330" i="22" s="1"/>
  <c r="AF739" i="22"/>
  <c r="AG739" i="22" s="1"/>
  <c r="AH739" i="22" s="1"/>
  <c r="AF379" i="22"/>
  <c r="AG379" i="22" s="1"/>
  <c r="AH563" i="22"/>
  <c r="AI563" i="22" s="1"/>
  <c r="AJ563" i="22" s="1"/>
  <c r="AF155" i="22"/>
  <c r="AG155" i="22" s="1"/>
  <c r="AH155" i="22" s="1"/>
  <c r="AI692" i="22"/>
  <c r="AJ692" i="22" s="1"/>
  <c r="AG730" i="22"/>
  <c r="AH730" i="22" s="1"/>
  <c r="AI730" i="22" s="1"/>
  <c r="AE173" i="22"/>
  <c r="AF173" i="22" s="1"/>
  <c r="AG173" i="22" s="1"/>
  <c r="AH173" i="22" s="1"/>
  <c r="AI173" i="22" s="1"/>
  <c r="AE714" i="22"/>
  <c r="AF714" i="22" s="1"/>
  <c r="AE508" i="22"/>
  <c r="AF508" i="22" s="1"/>
  <c r="AG508" i="22" s="1"/>
  <c r="AE684" i="22"/>
  <c r="AF684" i="22" s="1"/>
  <c r="AG684" i="22" s="1"/>
  <c r="AD376" i="22"/>
  <c r="AE376" i="22" s="1"/>
  <c r="AE87" i="22"/>
  <c r="AF87" i="22" s="1"/>
  <c r="AG87" i="22" s="1"/>
  <c r="AC558" i="22"/>
  <c r="AD558" i="22" s="1"/>
  <c r="AE558" i="22" s="1"/>
  <c r="AC574" i="22"/>
  <c r="AD574" i="22" s="1"/>
  <c r="AE574" i="22" s="1"/>
  <c r="AD85" i="22"/>
  <c r="AE85" i="22" s="1"/>
  <c r="AE124" i="22"/>
  <c r="AF124" i="22" s="1"/>
  <c r="AG124" i="22" s="1"/>
  <c r="AC477" i="22"/>
  <c r="AD477" i="22" s="1"/>
  <c r="AE446" i="22"/>
  <c r="AF446" i="22" s="1"/>
  <c r="AG446" i="22" s="1"/>
  <c r="AD571" i="22"/>
  <c r="AE571" i="22" s="1"/>
  <c r="AF571" i="22" s="1"/>
  <c r="AG571" i="22" s="1"/>
  <c r="AC710" i="22"/>
  <c r="AD710" i="22" s="1"/>
  <c r="AC518" i="22"/>
  <c r="AD518" i="22" s="1"/>
  <c r="AE518" i="22" s="1"/>
  <c r="AF518" i="22" s="1"/>
  <c r="AG281" i="22"/>
  <c r="AH281" i="22" s="1"/>
  <c r="AE490" i="22"/>
  <c r="AF490" i="22" s="1"/>
  <c r="AG490" i="22" s="1"/>
  <c r="AH490" i="22" s="1"/>
  <c r="AE225" i="22"/>
  <c r="AF225" i="22" s="1"/>
  <c r="AG225" i="22" s="1"/>
  <c r="AH225" i="22" s="1"/>
  <c r="AI225" i="22" s="1"/>
  <c r="AG133" i="22"/>
  <c r="AH133" i="22" s="1"/>
  <c r="AE372" i="22"/>
  <c r="AF372" i="22" s="1"/>
  <c r="AG372" i="22" s="1"/>
  <c r="AD163" i="22"/>
  <c r="AE163" i="22" s="1"/>
  <c r="AD118" i="22"/>
  <c r="AE118" i="22" s="1"/>
  <c r="AF118" i="22" s="1"/>
  <c r="AD561" i="22"/>
  <c r="AE561" i="22" s="1"/>
  <c r="AF561" i="22" s="1"/>
  <c r="AE715" i="22"/>
  <c r="AF715" i="22" s="1"/>
  <c r="AG715" i="22" s="1"/>
  <c r="AH715" i="22" s="1"/>
  <c r="AD371" i="22"/>
  <c r="AE371" i="22" s="1"/>
  <c r="AC564" i="22"/>
  <c r="AD564" i="22" s="1"/>
  <c r="AE443" i="22"/>
  <c r="AF443" i="22" s="1"/>
  <c r="AG443" i="22" s="1"/>
  <c r="AC224" i="22"/>
  <c r="AD224" i="22" s="1"/>
  <c r="AC734" i="22"/>
  <c r="AD734" i="22" s="1"/>
  <c r="AC354" i="22"/>
  <c r="AD354" i="22" s="1"/>
  <c r="AE557" i="22"/>
  <c r="AF557" i="22" s="1"/>
  <c r="AC556" i="22"/>
  <c r="AD556" i="22" s="1"/>
  <c r="AC693" i="22"/>
  <c r="AD693" i="22" s="1"/>
  <c r="AE693" i="22" s="1"/>
  <c r="AD131" i="22"/>
  <c r="AE131" i="22" s="1"/>
  <c r="AD517" i="22"/>
  <c r="AE517" i="22" s="1"/>
  <c r="AI192" i="22"/>
  <c r="AJ192" i="22" s="1"/>
  <c r="AI162" i="22"/>
  <c r="AJ162" i="22" s="1"/>
  <c r="AE700" i="22"/>
  <c r="AF700" i="22" s="1"/>
  <c r="AG700" i="22" s="1"/>
  <c r="AH700" i="22" s="1"/>
  <c r="AC567" i="22"/>
  <c r="AD567" i="22" s="1"/>
  <c r="AC566" i="22"/>
  <c r="AD566" i="22" s="1"/>
  <c r="AC572" i="22"/>
  <c r="AD572" i="22" s="1"/>
  <c r="AI565" i="22"/>
  <c r="AJ565" i="22" s="1"/>
  <c r="AC551" i="22"/>
  <c r="AD551" i="22" s="1"/>
  <c r="AE551" i="22" s="1"/>
  <c r="AF551" i="22" s="1"/>
  <c r="AC549" i="22"/>
  <c r="AC576" i="22"/>
  <c r="AD576" i="22" s="1"/>
  <c r="AC568" i="22"/>
  <c r="AD568" i="22" s="1"/>
  <c r="AF731" i="22"/>
  <c r="AG731" i="22" s="1"/>
  <c r="AH731" i="22" s="1"/>
  <c r="AD719" i="22"/>
  <c r="AE719" i="22" s="1"/>
  <c r="AD76" i="22"/>
  <c r="AE76" i="22" s="1"/>
  <c r="AD121" i="22"/>
  <c r="AE121" i="22" s="1"/>
  <c r="AF121" i="22" s="1"/>
  <c r="AC509" i="22"/>
  <c r="AC685" i="22"/>
  <c r="AD685" i="22" s="1"/>
  <c r="AE685" i="22" s="1"/>
  <c r="AC681" i="22"/>
  <c r="AD681" i="22" s="1"/>
  <c r="AE681" i="22" s="1"/>
  <c r="AC582" i="22"/>
  <c r="AD582" i="22" s="1"/>
  <c r="AC539" i="22"/>
  <c r="AD539" i="22" s="1"/>
  <c r="AE539" i="22" s="1"/>
  <c r="AC159" i="22"/>
  <c r="AD159" i="22" s="1"/>
  <c r="AE159" i="22" s="1"/>
  <c r="AC735" i="22"/>
  <c r="AD735" i="22" s="1"/>
  <c r="AI337" i="22"/>
  <c r="AJ337" i="22" s="1"/>
  <c r="AF682" i="22"/>
  <c r="AG682" i="22" s="1"/>
  <c r="AH682" i="22" s="1"/>
  <c r="AF378" i="22"/>
  <c r="AG688" i="22"/>
  <c r="AH688" i="22" s="1"/>
  <c r="AF544" i="22"/>
  <c r="AG544" i="22" s="1"/>
  <c r="AF577" i="22"/>
  <c r="AG577" i="22" s="1"/>
  <c r="AH577" i="22" s="1"/>
  <c r="AH811" i="22"/>
  <c r="AI811" i="22" s="1"/>
  <c r="AJ811" i="22" s="1"/>
  <c r="AF767" i="22"/>
  <c r="AG767" i="22" s="1"/>
  <c r="AH767" i="22" s="1"/>
  <c r="AF806" i="22"/>
  <c r="AG806" i="22" s="1"/>
  <c r="AF488" i="22"/>
  <c r="AG488" i="22" s="1"/>
  <c r="AF361" i="22"/>
  <c r="AG361" i="22" s="1"/>
  <c r="AF476" i="22"/>
  <c r="AF532" i="22"/>
  <c r="AG532" i="22" s="1"/>
  <c r="AH696" i="22"/>
  <c r="AF759" i="22"/>
  <c r="AG759" i="22" s="1"/>
  <c r="AH759" i="22" s="1"/>
  <c r="AI759" i="22" s="1"/>
  <c r="AJ759" i="22" s="1"/>
  <c r="AF548" i="22"/>
  <c r="AF175" i="22"/>
  <c r="AG175" i="22" s="1"/>
  <c r="AF540" i="22"/>
  <c r="AD1072" i="22"/>
  <c r="AE1072" i="22" s="1"/>
  <c r="AG579" i="22"/>
  <c r="AF814" i="22"/>
  <c r="AG814" i="22" s="1"/>
  <c r="AE1059" i="22"/>
  <c r="AF1059" i="22" s="1"/>
  <c r="AE780" i="22"/>
  <c r="AF780" i="22" s="1"/>
  <c r="AF171" i="22"/>
  <c r="AG171" i="22" s="1"/>
  <c r="AH171" i="22" s="1"/>
  <c r="AF380" i="22"/>
  <c r="AG380" i="22" s="1"/>
  <c r="AG758" i="22"/>
  <c r="AH758" i="22" s="1"/>
  <c r="AI758" i="22" s="1"/>
  <c r="AJ758" i="22" s="1"/>
  <c r="AF231" i="22"/>
  <c r="AG231" i="22" s="1"/>
  <c r="AH231" i="22" s="1"/>
  <c r="AG562" i="22"/>
  <c r="AH562" i="22" s="1"/>
  <c r="AE706" i="22"/>
  <c r="AF581" i="22"/>
  <c r="AG581" i="22" s="1"/>
  <c r="AC755" i="22"/>
  <c r="AF534" i="22"/>
  <c r="AG534" i="22" s="1"/>
  <c r="AH534" i="22" s="1"/>
  <c r="AF444" i="22"/>
  <c r="AC541" i="22"/>
  <c r="AC479" i="22"/>
  <c r="AD479" i="22" s="1"/>
  <c r="AC226" i="22"/>
  <c r="AD1070" i="22"/>
  <c r="AE1070" i="22" s="1"/>
  <c r="AF1070" i="22" s="1"/>
  <c r="AG1070" i="22" s="1"/>
  <c r="AH1070" i="22" s="1"/>
  <c r="AH174" i="22"/>
  <c r="AC762" i="22"/>
  <c r="AD762" i="22" s="1"/>
  <c r="AE762" i="22" s="1"/>
  <c r="AF762" i="22" s="1"/>
  <c r="AC245" i="22"/>
  <c r="AC776" i="22"/>
  <c r="AD776" i="22" s="1"/>
  <c r="AF164" i="22"/>
  <c r="AG164" i="22" s="1"/>
  <c r="AC804" i="22"/>
  <c r="AD804" i="22" s="1"/>
  <c r="AE283" i="22"/>
  <c r="AF283" i="22" s="1"/>
  <c r="AG283" i="22" s="1"/>
  <c r="AH283" i="22" s="1"/>
  <c r="AC702" i="22"/>
  <c r="AD702" i="22" s="1"/>
  <c r="AF699" i="22"/>
  <c r="AG699" i="22" s="1"/>
  <c r="AC718" i="22"/>
  <c r="AD718" i="22" s="1"/>
  <c r="AF813" i="22"/>
  <c r="AG813" i="22" s="1"/>
  <c r="AC1095" i="22"/>
  <c r="AD1095" i="22" s="1"/>
  <c r="AE1095" i="22" s="1"/>
  <c r="AF1095" i="22" s="1"/>
  <c r="AE791" i="22"/>
  <c r="AF791" i="22" s="1"/>
  <c r="AC792" i="22"/>
  <c r="AC763" i="22"/>
  <c r="AC1068" i="22"/>
  <c r="AD1068" i="22" s="1"/>
  <c r="AE1068" i="22" s="1"/>
  <c r="AC727" i="22"/>
  <c r="AD727" i="22" s="1"/>
  <c r="AE727" i="22" s="1"/>
  <c r="AF519" i="22"/>
  <c r="AG519" i="22" s="1"/>
  <c r="AF1109" i="22"/>
  <c r="AG1109" i="22" s="1"/>
  <c r="AH1109" i="22" s="1"/>
  <c r="AD720" i="22"/>
  <c r="AC165" i="22"/>
  <c r="AD165" i="22" s="1"/>
  <c r="AC742" i="22"/>
  <c r="AD742" i="22" s="1"/>
  <c r="AE170" i="22"/>
  <c r="AF170" i="22" s="1"/>
  <c r="AG170" i="22" s="1"/>
  <c r="AC338" i="22"/>
  <c r="AC729" i="22"/>
  <c r="AD729" i="22" s="1"/>
  <c r="AE1067" i="22"/>
  <c r="AF1067" i="22" s="1"/>
  <c r="AE701" i="22"/>
  <c r="AF701" i="22" s="1"/>
  <c r="AE583" i="22"/>
  <c r="AF583" i="22" s="1"/>
  <c r="AC545" i="22"/>
  <c r="AD545" i="22" s="1"/>
  <c r="AC496" i="22"/>
  <c r="AD496" i="22" s="1"/>
  <c r="AE496" i="22" s="1"/>
  <c r="AG1061" i="22"/>
  <c r="AH1061" i="22" s="1"/>
  <c r="AE724" i="22"/>
  <c r="AE783" i="22"/>
  <c r="AF783" i="22" s="1"/>
  <c r="AE805" i="22"/>
  <c r="AF805" i="22" s="1"/>
  <c r="AG805" i="22" s="1"/>
  <c r="AG132" i="22"/>
  <c r="AH132" i="22" s="1"/>
  <c r="AE765" i="22"/>
  <c r="AF765" i="22" s="1"/>
  <c r="AF1071" i="22"/>
  <c r="AG1071" i="22" s="1"/>
  <c r="AH1071" i="22" s="1"/>
  <c r="AC770" i="22"/>
  <c r="AD770" i="22" s="1"/>
  <c r="AE770" i="22" s="1"/>
  <c r="AC520" i="22"/>
  <c r="AD520" i="22" s="1"/>
  <c r="AC489" i="22"/>
  <c r="AD489" i="22" s="1"/>
  <c r="AF722" i="22"/>
  <c r="AG722" i="22" s="1"/>
  <c r="AH722" i="22" s="1"/>
  <c r="AI722" i="22" s="1"/>
  <c r="AF732" i="22"/>
  <c r="AG732" i="22" s="1"/>
  <c r="AH732" i="22" s="1"/>
  <c r="AI732" i="22" s="1"/>
  <c r="AF1082" i="22"/>
  <c r="AG1082" i="22" s="1"/>
  <c r="AH1082" i="22" s="1"/>
  <c r="AC573" i="22"/>
  <c r="AD573" i="22" s="1"/>
  <c r="AE573" i="22" s="1"/>
  <c r="AC559" i="22"/>
  <c r="AD559" i="22" s="1"/>
  <c r="AE575" i="22"/>
  <c r="AE161" i="22"/>
  <c r="AF161" i="22" s="1"/>
  <c r="AG161" i="22" s="1"/>
  <c r="AH161" i="22" s="1"/>
  <c r="AC774" i="22"/>
  <c r="AD774" i="22" s="1"/>
  <c r="AD694" i="22"/>
  <c r="AF1069" i="22"/>
  <c r="AC533" i="22"/>
  <c r="AG736" i="22"/>
  <c r="AH736" i="22" s="1"/>
  <c r="AI736" i="22" s="1"/>
  <c r="AG176" i="22"/>
  <c r="AH176" i="22" s="1"/>
  <c r="AI176" i="22" s="1"/>
  <c r="AH686" i="22"/>
  <c r="AH740" i="22"/>
  <c r="AD723" i="22"/>
  <c r="AC1087" i="22"/>
  <c r="AD1087" i="22" s="1"/>
  <c r="AE1087" i="22" s="1"/>
  <c r="AC334" i="22"/>
  <c r="AD334" i="22" s="1"/>
  <c r="AE803" i="22"/>
  <c r="AC712" i="22"/>
  <c r="AD712" i="22" s="1"/>
  <c r="AE712" i="22" s="1"/>
  <c r="AC547" i="22"/>
  <c r="AD547" i="22" s="1"/>
  <c r="AE547" i="22" s="1"/>
  <c r="AE325" i="22"/>
  <c r="AG158" i="22"/>
  <c r="AE1099" i="22"/>
  <c r="AF1099" i="22" s="1"/>
  <c r="AG1099" i="22" s="1"/>
  <c r="AH1103" i="22"/>
  <c r="AI1103" i="22" s="1"/>
  <c r="AJ1103" i="22" s="1"/>
  <c r="AH1060" i="22"/>
  <c r="AI1060" i="22" s="1"/>
  <c r="AJ1060" i="22" s="1"/>
  <c r="AF708" i="22"/>
  <c r="AG708" i="22" s="1"/>
  <c r="AH708" i="22" s="1"/>
  <c r="AC697" i="22"/>
  <c r="AC1085" i="22"/>
  <c r="AD1085" i="22" s="1"/>
  <c r="AG817" i="22"/>
  <c r="AH817" i="22" s="1"/>
  <c r="AH160" i="22"/>
  <c r="AI160" i="22" s="1"/>
  <c r="AG327" i="22"/>
  <c r="AH327" i="22" s="1"/>
  <c r="AI327" i="22" s="1"/>
  <c r="AC781" i="22"/>
  <c r="AD781" i="22" s="1"/>
  <c r="AC800" i="22"/>
  <c r="AD800" i="22" s="1"/>
  <c r="AH134" i="22"/>
  <c r="AI134" i="22" s="1"/>
  <c r="AC1089" i="22"/>
  <c r="AC580" i="22"/>
  <c r="AD580" i="22" s="1"/>
  <c r="AF84" i="22"/>
  <c r="AG84" i="22" s="1"/>
  <c r="AH84" i="22" s="1"/>
  <c r="AF138" i="22"/>
  <c r="AG138" i="22" s="1"/>
  <c r="AE726" i="22"/>
  <c r="AF726" i="22" s="1"/>
  <c r="AG726" i="22" s="1"/>
  <c r="AH726" i="22" s="1"/>
  <c r="AF761" i="22"/>
  <c r="AG761" i="22" s="1"/>
  <c r="AF733" i="22"/>
  <c r="AG793" i="22"/>
  <c r="AH793" i="22" s="1"/>
  <c r="AF716" i="22"/>
  <c r="AG716" i="22" s="1"/>
  <c r="AF721" i="22"/>
  <c r="AG721" i="22" s="1"/>
  <c r="AH721" i="22" s="1"/>
  <c r="AG584" i="22"/>
  <c r="AD1108" i="22"/>
  <c r="AF691" i="22"/>
  <c r="AG691" i="22" s="1"/>
  <c r="AD1097" i="22"/>
  <c r="AE1097" i="22" s="1"/>
  <c r="AD555" i="22"/>
  <c r="AE555" i="22" s="1"/>
  <c r="AF802" i="22"/>
  <c r="AE119" i="22"/>
  <c r="AH172" i="22"/>
  <c r="AE92" i="22"/>
  <c r="AF92" i="22" s="1"/>
  <c r="AC1086" i="22"/>
  <c r="AD1086" i="22" s="1"/>
  <c r="AE1086" i="22" s="1"/>
  <c r="AE707" i="22"/>
  <c r="AH475" i="22"/>
  <c r="AI475" i="22" s="1"/>
  <c r="AF113" i="22"/>
  <c r="AC771" i="22"/>
  <c r="AD795" i="22"/>
  <c r="AD713" i="22"/>
  <c r="AE713" i="22" s="1"/>
  <c r="AF1096" i="22"/>
  <c r="AG1096" i="22" s="1"/>
  <c r="AF1081" i="22"/>
  <c r="AG1081" i="22" s="1"/>
  <c r="AH1081" i="22" s="1"/>
  <c r="AI1081" i="22" s="1"/>
  <c r="AJ1081" i="22" s="1"/>
  <c r="AF772" i="22"/>
  <c r="AE764" i="22"/>
  <c r="AF764" i="22" s="1"/>
  <c r="AE687" i="22"/>
  <c r="AF687" i="22" s="1"/>
  <c r="AE695" i="22"/>
  <c r="AF695" i="22" s="1"/>
  <c r="AC1075" i="22"/>
  <c r="AD1075" i="22" s="1"/>
  <c r="AE1075" i="22" s="1"/>
  <c r="AC1084" i="22"/>
  <c r="AD1084" i="22" s="1"/>
  <c r="AF1057" i="22"/>
  <c r="AG1057" i="22" s="1"/>
  <c r="AH1057" i="22" s="1"/>
  <c r="AC786" i="22"/>
  <c r="AH1083" i="22"/>
  <c r="AI1083" i="22" s="1"/>
  <c r="AJ1083" i="22" s="1"/>
  <c r="AF810" i="22"/>
  <c r="AG810" i="22" s="1"/>
  <c r="AF333" i="22"/>
  <c r="AG333" i="22" s="1"/>
  <c r="AF154" i="22"/>
  <c r="AG154" i="22" s="1"/>
  <c r="AF784" i="22"/>
  <c r="AF725" i="22"/>
  <c r="AG725" i="22" s="1"/>
  <c r="AC1100" i="22"/>
  <c r="AG554" i="22"/>
  <c r="AH554" i="22" s="1"/>
  <c r="AC790" i="22"/>
  <c r="AC1106" i="22"/>
  <c r="AC689" i="22"/>
  <c r="AD689" i="22" s="1"/>
  <c r="AE689" i="22" s="1"/>
  <c r="AF768" i="22"/>
  <c r="AG768" i="22" s="1"/>
  <c r="AE156" i="22"/>
  <c r="AF156" i="22" s="1"/>
  <c r="AG156" i="22" s="1"/>
  <c r="AH156" i="22" s="1"/>
  <c r="AI156" i="22" s="1"/>
  <c r="AF177" i="22"/>
  <c r="AE760" i="22"/>
  <c r="AH766" i="22"/>
  <c r="AI766" i="22" s="1"/>
  <c r="AJ766" i="22" s="1"/>
  <c r="AF227" i="22"/>
  <c r="AE815" i="22"/>
  <c r="AH123" i="22"/>
  <c r="AG775" i="22"/>
  <c r="AH775" i="22" s="1"/>
  <c r="AI775" i="22" s="1"/>
  <c r="AJ775" i="22" s="1"/>
  <c r="AC560" i="22"/>
  <c r="AD560" i="22" s="1"/>
  <c r="AG1107" i="22"/>
  <c r="AH1107" i="22" s="1"/>
  <c r="AC570" i="22"/>
  <c r="AD570" i="22" s="1"/>
  <c r="AC1101" i="22"/>
  <c r="AD1101" i="22" s="1"/>
  <c r="AE1098" i="22"/>
  <c r="AE769" i="22"/>
  <c r="AF769" i="22" s="1"/>
  <c r="AC552" i="22"/>
  <c r="AD552" i="22" s="1"/>
  <c r="AC1104" i="22"/>
  <c r="AC578" i="22"/>
  <c r="AE683" i="22"/>
  <c r="AF683" i="22" s="1"/>
  <c r="AC1102" i="22"/>
  <c r="AE789" i="22"/>
  <c r="AD816" i="22"/>
  <c r="AE816" i="22" s="1"/>
  <c r="AD737" i="22"/>
  <c r="AE737" i="22" s="1"/>
  <c r="AD88" i="22"/>
  <c r="AE88" i="22" s="1"/>
  <c r="AF88" i="22" s="1"/>
  <c r="AD57" i="22"/>
  <c r="AE57" i="22" s="1"/>
  <c r="AD757" i="22"/>
  <c r="AD122" i="22"/>
  <c r="AE122" i="22" s="1"/>
  <c r="AD1076" i="22"/>
  <c r="AE1076" i="22" s="1"/>
  <c r="AD812" i="22"/>
  <c r="AF58" i="22"/>
  <c r="AG58" i="22" s="1"/>
  <c r="AD1080" i="22"/>
  <c r="AE1080" i="22" s="1"/>
  <c r="AG1073" i="22"/>
  <c r="AH1073" i="22" s="1"/>
  <c r="AD1078" i="22"/>
  <c r="AD130" i="22"/>
  <c r="AF779" i="22"/>
  <c r="AG680" i="22"/>
  <c r="AH680" i="22" s="1"/>
  <c r="AF785" i="22"/>
  <c r="AE709" i="22"/>
  <c r="AF709" i="22" s="1"/>
  <c r="AF1074" i="22"/>
  <c r="AD1077" i="22"/>
  <c r="AE1077" i="22" s="1"/>
  <c r="AE114" i="22"/>
  <c r="AG244" i="22"/>
  <c r="AH244" i="22" s="1"/>
  <c r="AI244" i="22" s="1"/>
  <c r="AG1105" i="22"/>
  <c r="AH345" i="22"/>
  <c r="AF157" i="22"/>
  <c r="AD787" i="22"/>
  <c r="AE787" i="22" s="1"/>
  <c r="AE807" i="22"/>
  <c r="AE717" i="22"/>
  <c r="AD711" i="22"/>
  <c r="AE711" i="22" s="1"/>
  <c r="AC1088" i="22"/>
  <c r="AD1088" i="22" s="1"/>
  <c r="AF1079" i="22"/>
  <c r="AC1058" i="22"/>
  <c r="AD1058" i="22" s="1"/>
  <c r="AC1090" i="22"/>
  <c r="AC550" i="22"/>
  <c r="AE741" i="22"/>
  <c r="AF741" i="22" s="1"/>
  <c r="AE809" i="22"/>
  <c r="AF809" i="22" s="1"/>
  <c r="AE1094" i="22"/>
  <c r="AE728" i="22"/>
  <c r="AE756" i="22"/>
  <c r="AF756" i="22" s="1"/>
  <c r="AH698" i="22" l="1"/>
  <c r="AG360" i="22"/>
  <c r="AH360" i="22" s="1"/>
  <c r="AG1091" i="22"/>
  <c r="AL1091" i="22" s="1"/>
  <c r="AH799" i="22"/>
  <c r="AI799" i="22" s="1"/>
  <c r="AJ799" i="22" s="1"/>
  <c r="AE777" i="22"/>
  <c r="AF777" i="22" s="1"/>
  <c r="AG777" i="22" s="1"/>
  <c r="AH777" i="22" s="1"/>
  <c r="AF794" i="22"/>
  <c r="AG794" i="22" s="1"/>
  <c r="AH794" i="22" s="1"/>
  <c r="AI794" i="22" s="1"/>
  <c r="AJ794" i="22" s="1"/>
  <c r="AE778" i="22"/>
  <c r="AF778" i="22" s="1"/>
  <c r="AD755" i="22"/>
  <c r="AE755" i="22" s="1"/>
  <c r="AL1070" i="22"/>
  <c r="AL793" i="22"/>
  <c r="AL797" i="22"/>
  <c r="AL775" i="22"/>
  <c r="AE782" i="22"/>
  <c r="AF782" i="22" s="1"/>
  <c r="AL773" i="22"/>
  <c r="AI135" i="22"/>
  <c r="AJ135" i="22" s="1"/>
  <c r="AF801" i="22"/>
  <c r="AG801" i="22" s="1"/>
  <c r="AL801" i="22" s="1"/>
  <c r="AG557" i="22"/>
  <c r="AH557" i="22" s="1"/>
  <c r="AH684" i="22"/>
  <c r="AI684" i="22" s="1"/>
  <c r="AJ684" i="22" s="1"/>
  <c r="AH546" i="22"/>
  <c r="AI546" i="22" s="1"/>
  <c r="AJ546" i="22" s="1"/>
  <c r="AG373" i="22"/>
  <c r="AH373" i="22" s="1"/>
  <c r="AH569" i="22"/>
  <c r="AI569" i="22" s="1"/>
  <c r="AJ569" i="22" s="1"/>
  <c r="AL813" i="22"/>
  <c r="AF807" i="22"/>
  <c r="AD818" i="22"/>
  <c r="AE818" i="22" s="1"/>
  <c r="AL808" i="22"/>
  <c r="AG121" i="22"/>
  <c r="AH121" i="22" s="1"/>
  <c r="AG553" i="22"/>
  <c r="AH553" i="22" s="1"/>
  <c r="AH377" i="22"/>
  <c r="AI377" i="22" s="1"/>
  <c r="AJ377" i="22" s="1"/>
  <c r="AF574" i="22"/>
  <c r="AG574" i="22" s="1"/>
  <c r="AH574" i="22" s="1"/>
  <c r="AG690" i="22"/>
  <c r="AH690" i="22" s="1"/>
  <c r="AI690" i="22" s="1"/>
  <c r="AJ690" i="22" s="1"/>
  <c r="AG703" i="22"/>
  <c r="AH703" i="22" s="1"/>
  <c r="AI63" i="22"/>
  <c r="AJ63" i="22" s="1"/>
  <c r="AH704" i="22"/>
  <c r="AI704" i="22" s="1"/>
  <c r="AJ704" i="22" s="1"/>
  <c r="AF76" i="22"/>
  <c r="AG76" i="22" s="1"/>
  <c r="AG118" i="22"/>
  <c r="AH118" i="22" s="1"/>
  <c r="AE354" i="22"/>
  <c r="AF354" i="22" s="1"/>
  <c r="AG354" i="22" s="1"/>
  <c r="AH354" i="22" s="1"/>
  <c r="AH403" i="22"/>
  <c r="AI403" i="22" s="1"/>
  <c r="AJ403" i="22" s="1"/>
  <c r="AE568" i="22"/>
  <c r="AF568" i="22" s="1"/>
  <c r="AE734" i="22"/>
  <c r="AF734" i="22" s="1"/>
  <c r="AG734" i="22" s="1"/>
  <c r="AF685" i="22"/>
  <c r="AG685" i="22" s="1"/>
  <c r="AF719" i="22"/>
  <c r="AG719" i="22" s="1"/>
  <c r="AG714" i="22"/>
  <c r="AH714" i="22" s="1"/>
  <c r="AI139" i="22"/>
  <c r="AJ139" i="22" s="1"/>
  <c r="AG86" i="22"/>
  <c r="AH86" i="22" s="1"/>
  <c r="AE556" i="22"/>
  <c r="AF556" i="22" s="1"/>
  <c r="AG556" i="22" s="1"/>
  <c r="AE710" i="22"/>
  <c r="AF710" i="22" s="1"/>
  <c r="AF376" i="22"/>
  <c r="AG376" i="22" s="1"/>
  <c r="AE576" i="22"/>
  <c r="AF576" i="22" s="1"/>
  <c r="AG576" i="22" s="1"/>
  <c r="AH576" i="22" s="1"/>
  <c r="AF131" i="22"/>
  <c r="AG131" i="22" s="1"/>
  <c r="AF85" i="22"/>
  <c r="AG85" i="22" s="1"/>
  <c r="AH85" i="22" s="1"/>
  <c r="AF693" i="22"/>
  <c r="AG693" i="22" s="1"/>
  <c r="AH693" i="22" s="1"/>
  <c r="AF371" i="22"/>
  <c r="AG371" i="22" s="1"/>
  <c r="AH371" i="22" s="1"/>
  <c r="AE566" i="22"/>
  <c r="AF566" i="22" s="1"/>
  <c r="AG330" i="22"/>
  <c r="AH330" i="22" s="1"/>
  <c r="AI330" i="22" s="1"/>
  <c r="AJ330" i="22" s="1"/>
  <c r="AI715" i="22"/>
  <c r="AJ715" i="22" s="1"/>
  <c r="AF163" i="22"/>
  <c r="AG163" i="22" s="1"/>
  <c r="AI562" i="22"/>
  <c r="AJ562" i="22" s="1"/>
  <c r="AI714" i="22"/>
  <c r="AJ714" i="22" s="1"/>
  <c r="AI231" i="22"/>
  <c r="AJ231" i="22" s="1"/>
  <c r="AI283" i="22"/>
  <c r="AJ283" i="22" s="1"/>
  <c r="AE224" i="22"/>
  <c r="AF224" i="22" s="1"/>
  <c r="AG224" i="22" s="1"/>
  <c r="AH224" i="22" s="1"/>
  <c r="AE735" i="22"/>
  <c r="AF735" i="22" s="1"/>
  <c r="AE567" i="22"/>
  <c r="AF567" i="22" s="1"/>
  <c r="AG567" i="22" s="1"/>
  <c r="AH567" i="22" s="1"/>
  <c r="AF724" i="22"/>
  <c r="AG724" i="22" s="1"/>
  <c r="AH724" i="22" s="1"/>
  <c r="AG540" i="22"/>
  <c r="AH540" i="22" s="1"/>
  <c r="AI393" i="22"/>
  <c r="AJ393" i="22" s="1"/>
  <c r="AI161" i="22"/>
  <c r="AJ161" i="22" s="1"/>
  <c r="AI680" i="22"/>
  <c r="AJ680" i="22" s="1"/>
  <c r="AI696" i="22"/>
  <c r="AJ696" i="22" s="1"/>
  <c r="AG445" i="22"/>
  <c r="AH445" i="22" s="1"/>
  <c r="AE723" i="22"/>
  <c r="AF723" i="22" s="1"/>
  <c r="AG723" i="22" s="1"/>
  <c r="AG476" i="22"/>
  <c r="AH476" i="22" s="1"/>
  <c r="AI554" i="22"/>
  <c r="AJ554" i="22" s="1"/>
  <c r="AI698" i="22"/>
  <c r="AJ698" i="22" s="1"/>
  <c r="AI682" i="22"/>
  <c r="AJ682" i="22" s="1"/>
  <c r="AI345" i="22"/>
  <c r="AJ345" i="22" s="1"/>
  <c r="AG561" i="22"/>
  <c r="AH561" i="22" s="1"/>
  <c r="AI133" i="22"/>
  <c r="AJ133" i="22" s="1"/>
  <c r="AI490" i="22"/>
  <c r="AJ490" i="22" s="1"/>
  <c r="AI577" i="22"/>
  <c r="AJ577" i="22" s="1"/>
  <c r="AJ327" i="22"/>
  <c r="AI686" i="22"/>
  <c r="AJ686" i="22" s="1"/>
  <c r="AD549" i="22"/>
  <c r="AE549" i="22" s="1"/>
  <c r="AJ722" i="22"/>
  <c r="AG444" i="22"/>
  <c r="AH444" i="22" s="1"/>
  <c r="AI444" i="22" s="1"/>
  <c r="AG548" i="22"/>
  <c r="AH548" i="22" s="1"/>
  <c r="AF517" i="22"/>
  <c r="AG517" i="22" s="1"/>
  <c r="AG378" i="22"/>
  <c r="AH378" i="22" s="1"/>
  <c r="AI378" i="22" s="1"/>
  <c r="AI731" i="22"/>
  <c r="AJ731" i="22" s="1"/>
  <c r="AI534" i="22"/>
  <c r="AJ534" i="22" s="1"/>
  <c r="AI123" i="22"/>
  <c r="AJ123" i="22" s="1"/>
  <c r="AI84" i="22"/>
  <c r="AJ84" i="22" s="1"/>
  <c r="AI708" i="22"/>
  <c r="AJ708" i="22" s="1"/>
  <c r="AI721" i="22"/>
  <c r="AJ721" i="22" s="1"/>
  <c r="AI155" i="22"/>
  <c r="AJ155" i="22" s="1"/>
  <c r="AI174" i="22"/>
  <c r="AJ174" i="22" s="1"/>
  <c r="AI739" i="22"/>
  <c r="AJ739" i="22" s="1"/>
  <c r="AJ134" i="22"/>
  <c r="AJ730" i="22"/>
  <c r="AI740" i="22"/>
  <c r="AJ740" i="22" s="1"/>
  <c r="AH579" i="22"/>
  <c r="AI579" i="22" s="1"/>
  <c r="AJ244" i="22"/>
  <c r="AF681" i="22"/>
  <c r="AJ475" i="22"/>
  <c r="AJ160" i="22"/>
  <c r="AE477" i="22"/>
  <c r="AF477" i="22" s="1"/>
  <c r="AG477" i="22" s="1"/>
  <c r="AD509" i="22"/>
  <c r="AI700" i="22"/>
  <c r="AJ700" i="22" s="1"/>
  <c r="AI726" i="22"/>
  <c r="AJ726" i="22" s="1"/>
  <c r="AI171" i="22"/>
  <c r="AJ171" i="22" s="1"/>
  <c r="AI172" i="22"/>
  <c r="AJ172" i="22" s="1"/>
  <c r="AI132" i="22"/>
  <c r="AJ132" i="22" s="1"/>
  <c r="AI281" i="22"/>
  <c r="AJ281" i="22" s="1"/>
  <c r="AI688" i="22"/>
  <c r="AJ688" i="22" s="1"/>
  <c r="AJ173" i="22"/>
  <c r="AH508" i="22"/>
  <c r="AH544" i="22"/>
  <c r="AH806" i="22"/>
  <c r="AI806" i="22" s="1"/>
  <c r="AJ806" i="22" s="1"/>
  <c r="AH446" i="22"/>
  <c r="AH361" i="22"/>
  <c r="AF159" i="22"/>
  <c r="AG159" i="22" s="1"/>
  <c r="AH532" i="22"/>
  <c r="AI532" i="22" s="1"/>
  <c r="AH175" i="22"/>
  <c r="AH488" i="22"/>
  <c r="AF1072" i="22"/>
  <c r="AG1072" i="22" s="1"/>
  <c r="AH1072" i="22" s="1"/>
  <c r="AI1072" i="22" s="1"/>
  <c r="AJ1072" i="22" s="1"/>
  <c r="AH814" i="22"/>
  <c r="AI814" i="22" s="1"/>
  <c r="AJ814" i="22" s="1"/>
  <c r="AJ732" i="22"/>
  <c r="AG780" i="22"/>
  <c r="AH780" i="22" s="1"/>
  <c r="AI780" i="22" s="1"/>
  <c r="AJ780" i="22" s="1"/>
  <c r="AG1059" i="22"/>
  <c r="AH1059" i="22" s="1"/>
  <c r="AI1059" i="22" s="1"/>
  <c r="AJ1059" i="22" s="1"/>
  <c r="AH380" i="22"/>
  <c r="AH581" i="22"/>
  <c r="AF706" i="22"/>
  <c r="AG706" i="22" s="1"/>
  <c r="AH706" i="22" s="1"/>
  <c r="AF539" i="22"/>
  <c r="AG539" i="22" s="1"/>
  <c r="AH699" i="22"/>
  <c r="AG791" i="22"/>
  <c r="AH791" i="22" s="1"/>
  <c r="AI791" i="22" s="1"/>
  <c r="AJ791" i="22" s="1"/>
  <c r="AE479" i="22"/>
  <c r="AH519" i="22"/>
  <c r="AE165" i="22"/>
  <c r="AF165" i="22" s="1"/>
  <c r="AH372" i="22"/>
  <c r="AI372" i="22" s="1"/>
  <c r="AH813" i="22"/>
  <c r="AI813" i="22" s="1"/>
  <c r="AJ813" i="22" s="1"/>
  <c r="AH571" i="22"/>
  <c r="AH170" i="22"/>
  <c r="AI170" i="22" s="1"/>
  <c r="AD226" i="22"/>
  <c r="AD541" i="22"/>
  <c r="AE541" i="22" s="1"/>
  <c r="AF541" i="22" s="1"/>
  <c r="AE804" i="22"/>
  <c r="AF804" i="22" s="1"/>
  <c r="AG804" i="22" s="1"/>
  <c r="AE718" i="22"/>
  <c r="AF718" i="22" s="1"/>
  <c r="AG1067" i="22"/>
  <c r="AH1067" i="22" s="1"/>
  <c r="AI1067" i="22" s="1"/>
  <c r="AJ1067" i="22" s="1"/>
  <c r="AE1088" i="22"/>
  <c r="AF1088" i="22" s="1"/>
  <c r="AF555" i="22"/>
  <c r="AG555" i="22" s="1"/>
  <c r="AF727" i="22"/>
  <c r="AD763" i="22"/>
  <c r="AH725" i="22"/>
  <c r="AI725" i="22" s="1"/>
  <c r="AI793" i="22"/>
  <c r="AJ793" i="22" s="1"/>
  <c r="AE729" i="22"/>
  <c r="AE776" i="22"/>
  <c r="AG762" i="22"/>
  <c r="AH762" i="22" s="1"/>
  <c r="AI762" i="22" s="1"/>
  <c r="AJ762" i="22" s="1"/>
  <c r="AI1061" i="22"/>
  <c r="AJ1061" i="22" s="1"/>
  <c r="AE798" i="22"/>
  <c r="AG785" i="22"/>
  <c r="AH785" i="22" s="1"/>
  <c r="AI785" i="22" s="1"/>
  <c r="AJ785" i="22" s="1"/>
  <c r="AH379" i="22"/>
  <c r="AG518" i="22"/>
  <c r="AD338" i="22"/>
  <c r="AE338" i="22" s="1"/>
  <c r="AE742" i="22"/>
  <c r="AE720" i="22"/>
  <c r="AF1068" i="22"/>
  <c r="AD792" i="22"/>
  <c r="AE702" i="22"/>
  <c r="AH164" i="22"/>
  <c r="AD245" i="22"/>
  <c r="AG551" i="22"/>
  <c r="AH551" i="22" s="1"/>
  <c r="AG583" i="22"/>
  <c r="AE545" i="22"/>
  <c r="AF545" i="22" s="1"/>
  <c r="AG545" i="22" s="1"/>
  <c r="AG701" i="22"/>
  <c r="AF816" i="22"/>
  <c r="AG816" i="22" s="1"/>
  <c r="AG802" i="22"/>
  <c r="AH802" i="22" s="1"/>
  <c r="AI802" i="22" s="1"/>
  <c r="AJ802" i="22" s="1"/>
  <c r="AH127" i="22"/>
  <c r="AI127" i="22" s="1"/>
  <c r="AH761" i="22"/>
  <c r="AI761" i="22" s="1"/>
  <c r="AJ761" i="22" s="1"/>
  <c r="AD1089" i="22"/>
  <c r="AE1089" i="22" s="1"/>
  <c r="AF1089" i="22" s="1"/>
  <c r="AG1089" i="22" s="1"/>
  <c r="AH1089" i="22" s="1"/>
  <c r="AE800" i="22"/>
  <c r="AF800" i="22" s="1"/>
  <c r="AG800" i="22" s="1"/>
  <c r="AH800" i="22" s="1"/>
  <c r="AI800" i="22" s="1"/>
  <c r="AJ800" i="22" s="1"/>
  <c r="AF547" i="22"/>
  <c r="AG547" i="22" s="1"/>
  <c r="AH547" i="22" s="1"/>
  <c r="AF1087" i="22"/>
  <c r="AG1087" i="22" s="1"/>
  <c r="AD533" i="22"/>
  <c r="AF496" i="22"/>
  <c r="AG496" i="22" s="1"/>
  <c r="AH496" i="22" s="1"/>
  <c r="AJ225" i="22"/>
  <c r="AF1076" i="22"/>
  <c r="AF713" i="22"/>
  <c r="AG713" i="22" s="1"/>
  <c r="AE694" i="22"/>
  <c r="AF694" i="22" s="1"/>
  <c r="AF803" i="22"/>
  <c r="AG803" i="22" s="1"/>
  <c r="AH803" i="22" s="1"/>
  <c r="AI803" i="22" s="1"/>
  <c r="AJ803" i="22" s="1"/>
  <c r="AG1069" i="22"/>
  <c r="AH1069" i="22" s="1"/>
  <c r="AE774" i="22"/>
  <c r="AF774" i="22" s="1"/>
  <c r="AF770" i="22"/>
  <c r="AH443" i="22"/>
  <c r="AJ736" i="22"/>
  <c r="AF712" i="22"/>
  <c r="AE334" i="22"/>
  <c r="AF573" i="22"/>
  <c r="AH1099" i="22"/>
  <c r="AI1099" i="22" s="1"/>
  <c r="AJ1099" i="22" s="1"/>
  <c r="AD1104" i="22"/>
  <c r="AE1104" i="22" s="1"/>
  <c r="AE1101" i="22"/>
  <c r="AF1101" i="22" s="1"/>
  <c r="AH805" i="22"/>
  <c r="AI805" i="22" s="1"/>
  <c r="AJ805" i="22" s="1"/>
  <c r="AI1082" i="22"/>
  <c r="AJ1082" i="22" s="1"/>
  <c r="AG113" i="22"/>
  <c r="AH113" i="22" s="1"/>
  <c r="AE812" i="22"/>
  <c r="AF812" i="22" s="1"/>
  <c r="AG812" i="22" s="1"/>
  <c r="AH812" i="22" s="1"/>
  <c r="AI812" i="22" s="1"/>
  <c r="AJ812" i="22" s="1"/>
  <c r="AH768" i="22"/>
  <c r="AI768" i="22" s="1"/>
  <c r="AJ768" i="22" s="1"/>
  <c r="AJ176" i="22"/>
  <c r="AH158" i="22"/>
  <c r="AE559" i="22"/>
  <c r="AF575" i="22"/>
  <c r="AE489" i="22"/>
  <c r="AF489" i="22" s="1"/>
  <c r="AE520" i="22"/>
  <c r="AF325" i="22"/>
  <c r="AH810" i="22"/>
  <c r="AI810" i="22" s="1"/>
  <c r="AJ810" i="22" s="1"/>
  <c r="AI1070" i="22"/>
  <c r="AJ1070" i="22" s="1"/>
  <c r="AE570" i="22"/>
  <c r="AF570" i="22" s="1"/>
  <c r="AJ156" i="22"/>
  <c r="AE560" i="22"/>
  <c r="AF560" i="22" s="1"/>
  <c r="AH691" i="22"/>
  <c r="AG92" i="22"/>
  <c r="AH92" i="22" s="1"/>
  <c r="AG1095" i="22"/>
  <c r="AH1095" i="22" s="1"/>
  <c r="AI1095" i="22" s="1"/>
  <c r="AJ1095" i="22" s="1"/>
  <c r="AH773" i="22"/>
  <c r="AI773" i="22" s="1"/>
  <c r="AJ773" i="22" s="1"/>
  <c r="AH154" i="22"/>
  <c r="AH138" i="22"/>
  <c r="AE582" i="22"/>
  <c r="AF582" i="22" s="1"/>
  <c r="AI1109" i="22"/>
  <c r="AJ1109" i="22" s="1"/>
  <c r="AE130" i="22"/>
  <c r="AF130" i="22" s="1"/>
  <c r="AG765" i="22"/>
  <c r="AH765" i="22" s="1"/>
  <c r="AI765" i="22" s="1"/>
  <c r="AJ765" i="22" s="1"/>
  <c r="AF707" i="22"/>
  <c r="AG707" i="22" s="1"/>
  <c r="AG1074" i="22"/>
  <c r="AH1074" i="22" s="1"/>
  <c r="AI1074" i="22" s="1"/>
  <c r="AJ1074" i="22" s="1"/>
  <c r="AG783" i="22"/>
  <c r="AH783" i="22" s="1"/>
  <c r="AI1073" i="22"/>
  <c r="AJ1073" i="22" s="1"/>
  <c r="AH333" i="22"/>
  <c r="AE552" i="22"/>
  <c r="AF552" i="22" s="1"/>
  <c r="AF1098" i="22"/>
  <c r="AG1098" i="22" s="1"/>
  <c r="AG1079" i="22"/>
  <c r="AH1079" i="22" s="1"/>
  <c r="AG741" i="22"/>
  <c r="AH741" i="22" s="1"/>
  <c r="AE795" i="22"/>
  <c r="AF795" i="22" s="1"/>
  <c r="AD1106" i="22"/>
  <c r="AE1106" i="22" s="1"/>
  <c r="AF787" i="22"/>
  <c r="AG787" i="22" s="1"/>
  <c r="AL787" i="22" s="1"/>
  <c r="AF815" i="22"/>
  <c r="AG815" i="22" s="1"/>
  <c r="AL815" i="22" s="1"/>
  <c r="AD786" i="22"/>
  <c r="AG705" i="22"/>
  <c r="AH705" i="22" s="1"/>
  <c r="AG88" i="22"/>
  <c r="AH88" i="22" s="1"/>
  <c r="AI88" i="22" s="1"/>
  <c r="AE1084" i="22"/>
  <c r="AF1084" i="22" s="1"/>
  <c r="AF1075" i="22"/>
  <c r="AG772" i="22"/>
  <c r="AH772" i="22" s="1"/>
  <c r="AH1096" i="22"/>
  <c r="AI1096" i="22" s="1"/>
  <c r="AJ1096" i="22" s="1"/>
  <c r="AF717" i="22"/>
  <c r="AG717" i="22" s="1"/>
  <c r="AF1086" i="22"/>
  <c r="AG709" i="22"/>
  <c r="AH709" i="22" s="1"/>
  <c r="AG695" i="22"/>
  <c r="AH695" i="22" s="1"/>
  <c r="AI695" i="22" s="1"/>
  <c r="AG784" i="22"/>
  <c r="AH784" i="22" s="1"/>
  <c r="AI784" i="22" s="1"/>
  <c r="AJ784" i="22" s="1"/>
  <c r="AG733" i="22"/>
  <c r="AH733" i="22" s="1"/>
  <c r="AF789" i="22"/>
  <c r="AG789" i="22" s="1"/>
  <c r="AL789" i="22" s="1"/>
  <c r="AI1107" i="22"/>
  <c r="AJ1107" i="22" s="1"/>
  <c r="AD697" i="22"/>
  <c r="AF1097" i="22"/>
  <c r="AH584" i="22"/>
  <c r="AH797" i="22"/>
  <c r="AI797" i="22" s="1"/>
  <c r="AJ797" i="22" s="1"/>
  <c r="AH1105" i="22"/>
  <c r="AI1105" i="22" s="1"/>
  <c r="AJ1105" i="22" s="1"/>
  <c r="AG779" i="22"/>
  <c r="AL779" i="22" s="1"/>
  <c r="AE1078" i="22"/>
  <c r="AF1078" i="22" s="1"/>
  <c r="AG1078" i="22" s="1"/>
  <c r="AG687" i="22"/>
  <c r="AH687" i="22" s="1"/>
  <c r="AI687" i="22" s="1"/>
  <c r="AG756" i="22"/>
  <c r="AH756" i="22" s="1"/>
  <c r="AH124" i="22"/>
  <c r="AI124" i="22" s="1"/>
  <c r="AH87" i="22"/>
  <c r="AG683" i="22"/>
  <c r="AH683" i="22" s="1"/>
  <c r="AI683" i="22" s="1"/>
  <c r="AI817" i="22"/>
  <c r="AJ817" i="22" s="1"/>
  <c r="AF1094" i="22"/>
  <c r="AD790" i="22"/>
  <c r="AE790" i="22" s="1"/>
  <c r="AF790" i="22" s="1"/>
  <c r="AG177" i="22"/>
  <c r="AE1108" i="22"/>
  <c r="AF558" i="22"/>
  <c r="AG558" i="22" s="1"/>
  <c r="AF788" i="22"/>
  <c r="AG788" i="22" s="1"/>
  <c r="AH788" i="22" s="1"/>
  <c r="AI788" i="22" s="1"/>
  <c r="AJ788" i="22" s="1"/>
  <c r="AF57" i="22"/>
  <c r="AG57" i="22" s="1"/>
  <c r="AI1057" i="22"/>
  <c r="AJ1057" i="22" s="1"/>
  <c r="AG809" i="22"/>
  <c r="AH809" i="22" s="1"/>
  <c r="AF114" i="22"/>
  <c r="AG114" i="22" s="1"/>
  <c r="AH114" i="22" s="1"/>
  <c r="AI114" i="22" s="1"/>
  <c r="AF119" i="22"/>
  <c r="AG119" i="22" s="1"/>
  <c r="AE757" i="22"/>
  <c r="AF757" i="22" s="1"/>
  <c r="AG769" i="22"/>
  <c r="AH769" i="22" s="1"/>
  <c r="AE781" i="22"/>
  <c r="AE1085" i="22"/>
  <c r="AI1071" i="22"/>
  <c r="AJ1071" i="22" s="1"/>
  <c r="AG764" i="22"/>
  <c r="AF760" i="22"/>
  <c r="AG760" i="22" s="1"/>
  <c r="AI767" i="22"/>
  <c r="AJ767" i="22" s="1"/>
  <c r="AF1077" i="22"/>
  <c r="AG1077" i="22" s="1"/>
  <c r="AE564" i="22"/>
  <c r="AF564" i="22" s="1"/>
  <c r="AE1058" i="22"/>
  <c r="AF1058" i="22" s="1"/>
  <c r="AE572" i="22"/>
  <c r="AD578" i="22"/>
  <c r="AD550" i="22"/>
  <c r="AD1090" i="22"/>
  <c r="AE1090" i="22" s="1"/>
  <c r="AG157" i="22"/>
  <c r="AH157" i="22" s="1"/>
  <c r="AE796" i="22"/>
  <c r="AF796" i="22" s="1"/>
  <c r="AD1102" i="22"/>
  <c r="AE1102" i="22" s="1"/>
  <c r="AF737" i="22"/>
  <c r="AF689" i="22"/>
  <c r="AF711" i="22"/>
  <c r="AG711" i="22" s="1"/>
  <c r="AD1100" i="22"/>
  <c r="AE1100" i="22" s="1"/>
  <c r="AF1100" i="22" s="1"/>
  <c r="AF1080" i="22"/>
  <c r="AG1080" i="22" s="1"/>
  <c r="AF122" i="22"/>
  <c r="AG122" i="22" s="1"/>
  <c r="AF728" i="22"/>
  <c r="AG728" i="22" s="1"/>
  <c r="AD771" i="22"/>
  <c r="AH716" i="22"/>
  <c r="AG1066" i="22"/>
  <c r="AH58" i="22"/>
  <c r="AG227" i="22"/>
  <c r="AE580" i="22"/>
  <c r="AH1091" i="22" l="1"/>
  <c r="AI1091" i="22" s="1"/>
  <c r="AJ1091" i="22" s="1"/>
  <c r="AI360" i="22"/>
  <c r="AJ360" i="22" s="1"/>
  <c r="AL777" i="22"/>
  <c r="AL794" i="22"/>
  <c r="AI777" i="22"/>
  <c r="AJ777" i="22" s="1"/>
  <c r="AG782" i="22"/>
  <c r="AH782" i="22" s="1"/>
  <c r="AI782" i="22" s="1"/>
  <c r="AJ782" i="22" s="1"/>
  <c r="AI118" i="22"/>
  <c r="AJ118" i="22" s="1"/>
  <c r="AG778" i="22"/>
  <c r="AH778" i="22" s="1"/>
  <c r="AI778" i="22" s="1"/>
  <c r="AJ778" i="22" s="1"/>
  <c r="AH1066" i="22"/>
  <c r="AI1066" i="22" s="1"/>
  <c r="AF755" i="22"/>
  <c r="AG755" i="22" s="1"/>
  <c r="AL1069" i="22"/>
  <c r="AL800" i="22"/>
  <c r="AH801" i="22"/>
  <c r="AI801" i="22" s="1"/>
  <c r="AJ801" i="22" s="1"/>
  <c r="AL785" i="22"/>
  <c r="AL791" i="22"/>
  <c r="AL788" i="22"/>
  <c r="AI557" i="22"/>
  <c r="AJ557" i="22" s="1"/>
  <c r="AL783" i="22"/>
  <c r="AF818" i="22"/>
  <c r="AG818" i="22" s="1"/>
  <c r="AH818" i="22" s="1"/>
  <c r="AI553" i="22"/>
  <c r="AJ553" i="22" s="1"/>
  <c r="AI703" i="22"/>
  <c r="AJ703" i="22" s="1"/>
  <c r="AG807" i="22"/>
  <c r="AH807" i="22" s="1"/>
  <c r="AI807" i="22" s="1"/>
  <c r="AJ807" i="22" s="1"/>
  <c r="AI121" i="22"/>
  <c r="AJ121" i="22" s="1"/>
  <c r="AH477" i="22"/>
  <c r="AI477" i="22" s="1"/>
  <c r="AJ477" i="22" s="1"/>
  <c r="AI574" i="22"/>
  <c r="AJ574" i="22" s="1"/>
  <c r="AH719" i="22"/>
  <c r="AI719" i="22" s="1"/>
  <c r="AJ719" i="22" s="1"/>
  <c r="AH131" i="22"/>
  <c r="AI131" i="22" s="1"/>
  <c r="AI85" i="22"/>
  <c r="AJ85" i="22" s="1"/>
  <c r="AH76" i="22"/>
  <c r="AI76" i="22" s="1"/>
  <c r="AJ76" i="22" s="1"/>
  <c r="AG568" i="22"/>
  <c r="AH568" i="22" s="1"/>
  <c r="AH556" i="22"/>
  <c r="AI556" i="22" s="1"/>
  <c r="AJ556" i="22" s="1"/>
  <c r="AI354" i="22"/>
  <c r="AJ354" i="22" s="1"/>
  <c r="AH376" i="22"/>
  <c r="AI376" i="22" s="1"/>
  <c r="AJ376" i="22" s="1"/>
  <c r="AF549" i="22"/>
  <c r="AG549" i="22" s="1"/>
  <c r="AH549" i="22" s="1"/>
  <c r="AI86" i="22"/>
  <c r="AJ86" i="22" s="1"/>
  <c r="AH685" i="22"/>
  <c r="AI685" i="22" s="1"/>
  <c r="AJ685" i="22" s="1"/>
  <c r="AG710" i="22"/>
  <c r="AH710" i="22" s="1"/>
  <c r="AI710" i="22" s="1"/>
  <c r="AJ710" i="22" s="1"/>
  <c r="AH159" i="22"/>
  <c r="AI159" i="22" s="1"/>
  <c r="AJ159" i="22" s="1"/>
  <c r="AI576" i="22"/>
  <c r="AJ576" i="22" s="1"/>
  <c r="AI561" i="22"/>
  <c r="AJ561" i="22" s="1"/>
  <c r="AG566" i="22"/>
  <c r="AH566" i="22" s="1"/>
  <c r="AH517" i="22"/>
  <c r="AI517" i="22" s="1"/>
  <c r="AJ517" i="22" s="1"/>
  <c r="AG735" i="22"/>
  <c r="AH735" i="22" s="1"/>
  <c r="AI735" i="22" s="1"/>
  <c r="AJ735" i="22" s="1"/>
  <c r="AI706" i="22"/>
  <c r="AJ706" i="22" s="1"/>
  <c r="AI724" i="22"/>
  <c r="AJ724" i="22" s="1"/>
  <c r="AI547" i="22"/>
  <c r="AJ547" i="22" s="1"/>
  <c r="AI445" i="22"/>
  <c r="AJ445" i="22" s="1"/>
  <c r="AI224" i="22"/>
  <c r="AJ224" i="22" s="1"/>
  <c r="AH163" i="22"/>
  <c r="AI163" i="22" s="1"/>
  <c r="AJ163" i="22" s="1"/>
  <c r="AF720" i="22"/>
  <c r="AG720" i="22" s="1"/>
  <c r="AH720" i="22" s="1"/>
  <c r="AI720" i="22" s="1"/>
  <c r="AJ720" i="22" s="1"/>
  <c r="AE226" i="22"/>
  <c r="AF226" i="22" s="1"/>
  <c r="AG226" i="22" s="1"/>
  <c r="AE509" i="22"/>
  <c r="AF509" i="22" s="1"/>
  <c r="AG712" i="22"/>
  <c r="AH712" i="22" s="1"/>
  <c r="AI87" i="22"/>
  <c r="AJ87" i="22" s="1"/>
  <c r="AI691" i="22"/>
  <c r="AJ691" i="22" s="1"/>
  <c r="AG681" i="22"/>
  <c r="AH681" i="22" s="1"/>
  <c r="AF729" i="22"/>
  <c r="AG729" i="22" s="1"/>
  <c r="AH729" i="22" s="1"/>
  <c r="AI699" i="22"/>
  <c r="AJ699" i="22" s="1"/>
  <c r="AJ131" i="22"/>
  <c r="AJ378" i="22"/>
  <c r="AI693" i="22"/>
  <c r="AJ693" i="22" s="1"/>
  <c r="AI709" i="22"/>
  <c r="AJ709" i="22" s="1"/>
  <c r="AI581" i="22"/>
  <c r="AJ581" i="22" s="1"/>
  <c r="AI496" i="22"/>
  <c r="AJ496" i="22" s="1"/>
  <c r="AI716" i="22"/>
  <c r="AJ716" i="22" s="1"/>
  <c r="AI157" i="22"/>
  <c r="AJ157" i="22" s="1"/>
  <c r="AF334" i="22"/>
  <c r="AG334" i="22" s="1"/>
  <c r="AI164" i="22"/>
  <c r="AJ164" i="22" s="1"/>
  <c r="AI488" i="22"/>
  <c r="AJ488" i="22" s="1"/>
  <c r="AI333" i="22"/>
  <c r="AJ333" i="22" s="1"/>
  <c r="AH583" i="22"/>
  <c r="AI583" i="22" s="1"/>
  <c r="AJ583" i="22" s="1"/>
  <c r="AI58" i="22"/>
  <c r="AJ58" i="22" s="1"/>
  <c r="AJ88" i="22"/>
  <c r="AI138" i="22"/>
  <c r="AJ138" i="22" s="1"/>
  <c r="AG573" i="22"/>
  <c r="AH573" i="22" s="1"/>
  <c r="AH701" i="22"/>
  <c r="AI701" i="22" s="1"/>
  <c r="AJ701" i="22" s="1"/>
  <c r="AH518" i="22"/>
  <c r="AI518" i="22" s="1"/>
  <c r="AG727" i="22"/>
  <c r="AH727" i="22" s="1"/>
  <c r="AJ444" i="22"/>
  <c r="AI380" i="22"/>
  <c r="AJ380" i="22" s="1"/>
  <c r="AI175" i="22"/>
  <c r="AJ175" i="22" s="1"/>
  <c r="AJ579" i="22"/>
  <c r="AI519" i="22"/>
  <c r="AJ519" i="22" s="1"/>
  <c r="AI443" i="22"/>
  <c r="AJ443" i="22" s="1"/>
  <c r="AI371" i="22"/>
  <c r="AJ371" i="22" s="1"/>
  <c r="AI544" i="22"/>
  <c r="AJ544" i="22" s="1"/>
  <c r="AI373" i="22"/>
  <c r="AJ373" i="22" s="1"/>
  <c r="AI540" i="22"/>
  <c r="AJ540" i="22" s="1"/>
  <c r="AI584" i="22"/>
  <c r="AJ584" i="22" s="1"/>
  <c r="AI551" i="22"/>
  <c r="AJ551" i="22" s="1"/>
  <c r="AI154" i="22"/>
  <c r="AJ154" i="22" s="1"/>
  <c r="AI361" i="22"/>
  <c r="AJ361" i="22" s="1"/>
  <c r="AI571" i="22"/>
  <c r="AJ571" i="22" s="1"/>
  <c r="AJ124" i="22"/>
  <c r="AI158" i="22"/>
  <c r="AJ158" i="22" s="1"/>
  <c r="AJ127" i="22"/>
  <c r="AJ532" i="22"/>
  <c r="AJ725" i="22"/>
  <c r="AJ170" i="22"/>
  <c r="AJ372" i="22"/>
  <c r="AI508" i="22"/>
  <c r="AJ508" i="22" s="1"/>
  <c r="AI92" i="22"/>
  <c r="AJ92" i="22" s="1"/>
  <c r="AI741" i="22"/>
  <c r="AJ741" i="22" s="1"/>
  <c r="AI548" i="22"/>
  <c r="AJ548" i="22" s="1"/>
  <c r="AI476" i="22"/>
  <c r="AJ476" i="22" s="1"/>
  <c r="AI446" i="22"/>
  <c r="AJ446" i="22" s="1"/>
  <c r="AI567" i="22"/>
  <c r="AJ567" i="22" s="1"/>
  <c r="AI113" i="22"/>
  <c r="AJ113" i="22" s="1"/>
  <c r="AI733" i="22"/>
  <c r="AJ733" i="22" s="1"/>
  <c r="AI705" i="22"/>
  <c r="AJ705" i="22" s="1"/>
  <c r="AI379" i="22"/>
  <c r="AJ379" i="22" s="1"/>
  <c r="AH539" i="22"/>
  <c r="AI539" i="22" s="1"/>
  <c r="AH1098" i="22"/>
  <c r="AI1098" i="22" s="1"/>
  <c r="AJ1098" i="22" s="1"/>
  <c r="AF479" i="22"/>
  <c r="AG479" i="22" s="1"/>
  <c r="AH479" i="22" s="1"/>
  <c r="AH555" i="22"/>
  <c r="AH816" i="22"/>
  <c r="AI816" i="22" s="1"/>
  <c r="AJ816" i="22" s="1"/>
  <c r="AG541" i="22"/>
  <c r="AH541" i="22" s="1"/>
  <c r="AI541" i="22" s="1"/>
  <c r="AH558" i="22"/>
  <c r="AI558" i="22" s="1"/>
  <c r="AH804" i="22"/>
  <c r="AI804" i="22" s="1"/>
  <c r="AJ804" i="22" s="1"/>
  <c r="AF520" i="22"/>
  <c r="AG520" i="22" s="1"/>
  <c r="AI1069" i="22"/>
  <c r="AJ1069" i="22" s="1"/>
  <c r="AE245" i="22"/>
  <c r="AF245" i="22" s="1"/>
  <c r="AG245" i="22" s="1"/>
  <c r="AH245" i="22" s="1"/>
  <c r="AI245" i="22" s="1"/>
  <c r="AF776" i="22"/>
  <c r="AG776" i="22" s="1"/>
  <c r="AL776" i="22" s="1"/>
  <c r="AG165" i="22"/>
  <c r="AE763" i="22"/>
  <c r="AF798" i="22"/>
  <c r="AG798" i="22" s="1"/>
  <c r="AH798" i="22" s="1"/>
  <c r="AI798" i="22" s="1"/>
  <c r="AJ798" i="22" s="1"/>
  <c r="AG1076" i="22"/>
  <c r="AH1076" i="22" s="1"/>
  <c r="AI1076" i="22" s="1"/>
  <c r="AJ1076" i="22" s="1"/>
  <c r="AF1106" i="22"/>
  <c r="AG1106" i="22" s="1"/>
  <c r="AH1106" i="22" s="1"/>
  <c r="AE792" i="22"/>
  <c r="AF792" i="22" s="1"/>
  <c r="AG792" i="22" s="1"/>
  <c r="AH792" i="22" s="1"/>
  <c r="AI792" i="22" s="1"/>
  <c r="AJ792" i="22" s="1"/>
  <c r="AF742" i="22"/>
  <c r="AG742" i="22" s="1"/>
  <c r="AH742" i="22" s="1"/>
  <c r="AI742" i="22" s="1"/>
  <c r="AE786" i="22"/>
  <c r="AF786" i="22" s="1"/>
  <c r="AG786" i="22" s="1"/>
  <c r="AL786" i="22" s="1"/>
  <c r="AG489" i="22"/>
  <c r="AH489" i="22" s="1"/>
  <c r="AF702" i="22"/>
  <c r="AG1068" i="22"/>
  <c r="AH1068" i="22" s="1"/>
  <c r="AI1068" i="22" s="1"/>
  <c r="AJ1068" i="22" s="1"/>
  <c r="AG718" i="22"/>
  <c r="AF338" i="22"/>
  <c r="AG338" i="22" s="1"/>
  <c r="AF1104" i="22"/>
  <c r="AG1104" i="22" s="1"/>
  <c r="AG694" i="22"/>
  <c r="AH694" i="22" s="1"/>
  <c r="AJ695" i="22"/>
  <c r="AG552" i="22"/>
  <c r="AH552" i="22" s="1"/>
  <c r="AF559" i="22"/>
  <c r="AG325" i="22"/>
  <c r="AH325" i="22" s="1"/>
  <c r="AI325" i="22" s="1"/>
  <c r="AJ325" i="22" s="1"/>
  <c r="AG575" i="22"/>
  <c r="AH575" i="22" s="1"/>
  <c r="AH723" i="22"/>
  <c r="AG757" i="22"/>
  <c r="AH757" i="22" s="1"/>
  <c r="AI757" i="22" s="1"/>
  <c r="AJ757" i="22" s="1"/>
  <c r="AH713" i="22"/>
  <c r="AH711" i="22"/>
  <c r="AG582" i="22"/>
  <c r="AH582" i="22" s="1"/>
  <c r="AE771" i="22"/>
  <c r="AF771" i="22" s="1"/>
  <c r="AG770" i="22"/>
  <c r="AH770" i="22" s="1"/>
  <c r="AI770" i="22" s="1"/>
  <c r="AJ770" i="22" s="1"/>
  <c r="AE533" i="22"/>
  <c r="AF533" i="22" s="1"/>
  <c r="AH545" i="22"/>
  <c r="AI545" i="22" s="1"/>
  <c r="AG689" i="22"/>
  <c r="AG570" i="22"/>
  <c r="AI769" i="22"/>
  <c r="AJ769" i="22" s="1"/>
  <c r="AJ683" i="22"/>
  <c r="AI756" i="22"/>
  <c r="AJ756" i="22" s="1"/>
  <c r="AG774" i="22"/>
  <c r="AH774" i="22" s="1"/>
  <c r="AH734" i="22"/>
  <c r="AI734" i="22" s="1"/>
  <c r="AJ734" i="22" s="1"/>
  <c r="AF781" i="22"/>
  <c r="AG781" i="22" s="1"/>
  <c r="AI772" i="22"/>
  <c r="AJ772" i="22" s="1"/>
  <c r="AH815" i="22"/>
  <c r="AI815" i="22" s="1"/>
  <c r="AJ815" i="22" s="1"/>
  <c r="AG795" i="22"/>
  <c r="AH1087" i="22"/>
  <c r="AI1087" i="22" s="1"/>
  <c r="AJ1087" i="22" s="1"/>
  <c r="AH1078" i="22"/>
  <c r="AI1078" i="22" s="1"/>
  <c r="AJ1078" i="22" s="1"/>
  <c r="AH717" i="22"/>
  <c r="AH1077" i="22"/>
  <c r="AI1077" i="22" s="1"/>
  <c r="AJ1077" i="22" s="1"/>
  <c r="AG1058" i="22"/>
  <c r="AH1058" i="22" s="1"/>
  <c r="AI1058" i="22" s="1"/>
  <c r="AJ1058" i="22" s="1"/>
  <c r="AG560" i="22"/>
  <c r="AH560" i="22" s="1"/>
  <c r="AF1102" i="22"/>
  <c r="AG1102" i="22" s="1"/>
  <c r="AF580" i="22"/>
  <c r="AG580" i="22" s="1"/>
  <c r="AJ114" i="22"/>
  <c r="AI783" i="22"/>
  <c r="AJ783" i="22" s="1"/>
  <c r="AH122" i="22"/>
  <c r="AH760" i="22"/>
  <c r="AI760" i="22" s="1"/>
  <c r="AJ760" i="22" s="1"/>
  <c r="AG130" i="22"/>
  <c r="AH130" i="22" s="1"/>
  <c r="AG1094" i="22"/>
  <c r="AH1094" i="22" s="1"/>
  <c r="AI1094" i="22" s="1"/>
  <c r="AJ1094" i="22" s="1"/>
  <c r="AE578" i="22"/>
  <c r="AF578" i="22" s="1"/>
  <c r="AG1088" i="22"/>
  <c r="AH1088" i="22" s="1"/>
  <c r="AI1088" i="22" s="1"/>
  <c r="AJ1088" i="22" s="1"/>
  <c r="AI1089" i="22"/>
  <c r="AJ1089" i="22" s="1"/>
  <c r="AH789" i="22"/>
  <c r="AI789" i="22" s="1"/>
  <c r="AJ789" i="22" s="1"/>
  <c r="AH1080" i="22"/>
  <c r="AI1080" i="22" s="1"/>
  <c r="AJ1080" i="22" s="1"/>
  <c r="AG564" i="22"/>
  <c r="AH564" i="22" s="1"/>
  <c r="AG1101" i="22"/>
  <c r="AG1084" i="22"/>
  <c r="AH1084" i="22" s="1"/>
  <c r="AF1108" i="22"/>
  <c r="AG1108" i="22" s="1"/>
  <c r="AH1108" i="22" s="1"/>
  <c r="AI1108" i="22" s="1"/>
  <c r="AJ1108" i="22" s="1"/>
  <c r="AH227" i="22"/>
  <c r="AI809" i="22"/>
  <c r="AJ809" i="22" s="1"/>
  <c r="AF1085" i="22"/>
  <c r="AJ687" i="22"/>
  <c r="AG1086" i="22"/>
  <c r="AH1086" i="22" s="1"/>
  <c r="AG1075" i="22"/>
  <c r="AH1075" i="22" s="1"/>
  <c r="AH764" i="22"/>
  <c r="AI764" i="22" s="1"/>
  <c r="AJ764" i="22" s="1"/>
  <c r="AH707" i="22"/>
  <c r="AG737" i="22"/>
  <c r="AH737" i="22" s="1"/>
  <c r="AG796" i="22"/>
  <c r="AH796" i="22" s="1"/>
  <c r="AE550" i="22"/>
  <c r="AF550" i="22" s="1"/>
  <c r="AG1097" i="22"/>
  <c r="AG790" i="22"/>
  <c r="AH790" i="22" s="1"/>
  <c r="AI790" i="22" s="1"/>
  <c r="AJ790" i="22" s="1"/>
  <c r="AI1079" i="22"/>
  <c r="AJ1079" i="22" s="1"/>
  <c r="AE697" i="22"/>
  <c r="AF697" i="22" s="1"/>
  <c r="AF1090" i="22"/>
  <c r="AH119" i="22"/>
  <c r="AH57" i="22"/>
  <c r="AG1100" i="22"/>
  <c r="AH1100" i="22" s="1"/>
  <c r="AF572" i="22"/>
  <c r="AG572" i="22" s="1"/>
  <c r="AH787" i="22"/>
  <c r="AI787" i="22" s="1"/>
  <c r="AJ787" i="22" s="1"/>
  <c r="AH177" i="22"/>
  <c r="AH779" i="22"/>
  <c r="AI779" i="22" s="1"/>
  <c r="AJ779" i="22" s="1"/>
  <c r="AH728" i="22"/>
  <c r="AL782" i="22" l="1"/>
  <c r="AL778" i="22"/>
  <c r="AH755" i="22"/>
  <c r="AI755" i="22" s="1"/>
  <c r="AJ755" i="22" s="1"/>
  <c r="AJ1066" i="22"/>
  <c r="AH795" i="22"/>
  <c r="AI795" i="22" s="1"/>
  <c r="AJ795" i="22" s="1"/>
  <c r="AL795" i="22"/>
  <c r="AL796" i="22"/>
  <c r="AL798" i="22"/>
  <c r="AL792" i="22"/>
  <c r="AI568" i="22"/>
  <c r="AJ568" i="22" s="1"/>
  <c r="AI549" i="22"/>
  <c r="AJ549" i="22" s="1"/>
  <c r="AL774" i="22"/>
  <c r="AL790" i="22"/>
  <c r="AI818" i="22"/>
  <c r="AJ818" i="22" s="1"/>
  <c r="AL818" i="22"/>
  <c r="AL807" i="22"/>
  <c r="AI566" i="22"/>
  <c r="AJ566" i="22" s="1"/>
  <c r="AH334" i="22"/>
  <c r="AI334" i="22" s="1"/>
  <c r="AJ334" i="22" s="1"/>
  <c r="AI681" i="22"/>
  <c r="AJ681" i="22" s="1"/>
  <c r="AI729" i="22"/>
  <c r="AJ729" i="22" s="1"/>
  <c r="AI573" i="22"/>
  <c r="AJ573" i="22" s="1"/>
  <c r="AG509" i="22"/>
  <c r="AH509" i="22" s="1"/>
  <c r="AI509" i="22" s="1"/>
  <c r="AI711" i="22"/>
  <c r="AJ711" i="22" s="1"/>
  <c r="AH718" i="22"/>
  <c r="AI718" i="22" s="1"/>
  <c r="AI489" i="22"/>
  <c r="AJ489" i="22" s="1"/>
  <c r="AI727" i="22"/>
  <c r="AJ727" i="22" s="1"/>
  <c r="AI564" i="22"/>
  <c r="AJ564" i="22" s="1"/>
  <c r="AI728" i="22"/>
  <c r="AJ728" i="22" s="1"/>
  <c r="AI122" i="22"/>
  <c r="AJ122" i="22" s="1"/>
  <c r="AI582" i="22"/>
  <c r="AJ582" i="22" s="1"/>
  <c r="AI479" i="22"/>
  <c r="AJ479" i="22" s="1"/>
  <c r="AI723" i="22"/>
  <c r="AJ723" i="22" s="1"/>
  <c r="AI130" i="22"/>
  <c r="AJ130" i="22" s="1"/>
  <c r="AI717" i="22"/>
  <c r="AJ717" i="22" s="1"/>
  <c r="AI713" i="22"/>
  <c r="AJ713" i="22" s="1"/>
  <c r="AJ558" i="22"/>
  <c r="AJ539" i="22"/>
  <c r="AI552" i="22"/>
  <c r="AJ552" i="22" s="1"/>
  <c r="AI560" i="22"/>
  <c r="AJ560" i="22" s="1"/>
  <c r="AI712" i="22"/>
  <c r="AJ712" i="22" s="1"/>
  <c r="AI57" i="22"/>
  <c r="AJ57" i="22" s="1"/>
  <c r="AI119" i="22"/>
  <c r="AJ119" i="22" s="1"/>
  <c r="AI737" i="22"/>
  <c r="AJ737" i="22" s="1"/>
  <c r="AI227" i="22"/>
  <c r="AJ227" i="22" s="1"/>
  <c r="AJ545" i="22"/>
  <c r="AI575" i="22"/>
  <c r="AJ575" i="22" s="1"/>
  <c r="AH165" i="22"/>
  <c r="AI165" i="22" s="1"/>
  <c r="AJ541" i="22"/>
  <c r="AI555" i="22"/>
  <c r="AJ555" i="22" s="1"/>
  <c r="AI707" i="22"/>
  <c r="AJ707" i="22" s="1"/>
  <c r="AJ518" i="22"/>
  <c r="AI694" i="22"/>
  <c r="AJ694" i="22" s="1"/>
  <c r="AI177" i="22"/>
  <c r="AJ177" i="22" s="1"/>
  <c r="AH776" i="22"/>
  <c r="AI776" i="22" s="1"/>
  <c r="AJ776" i="22" s="1"/>
  <c r="AH520" i="22"/>
  <c r="AH226" i="22"/>
  <c r="AG533" i="22"/>
  <c r="AH338" i="22"/>
  <c r="AF763" i="22"/>
  <c r="AG763" i="22" s="1"/>
  <c r="AJ245" i="22"/>
  <c r="AI1086" i="22"/>
  <c r="AJ1086" i="22" s="1"/>
  <c r="AG702" i="22"/>
  <c r="AH702" i="22" s="1"/>
  <c r="AJ742" i="22"/>
  <c r="AH781" i="22"/>
  <c r="AI781" i="22" s="1"/>
  <c r="AJ781" i="22" s="1"/>
  <c r="AG771" i="22"/>
  <c r="AH771" i="22" s="1"/>
  <c r="AH1104" i="22"/>
  <c r="AI1104" i="22" s="1"/>
  <c r="AJ1104" i="22" s="1"/>
  <c r="AI774" i="22"/>
  <c r="AJ774" i="22" s="1"/>
  <c r="AG578" i="22"/>
  <c r="AH578" i="22" s="1"/>
  <c r="AH570" i="22"/>
  <c r="AG559" i="22"/>
  <c r="AH786" i="22"/>
  <c r="AI786" i="22" s="1"/>
  <c r="AJ786" i="22" s="1"/>
  <c r="AH689" i="22"/>
  <c r="AH533" i="22"/>
  <c r="AH1101" i="22"/>
  <c r="AI1101" i="22" s="1"/>
  <c r="AJ1101" i="22" s="1"/>
  <c r="AI1100" i="22"/>
  <c r="AJ1100" i="22" s="1"/>
  <c r="AH1097" i="22"/>
  <c r="AI1097" i="22" s="1"/>
  <c r="AJ1097" i="22" s="1"/>
  <c r="AG550" i="22"/>
  <c r="AH550" i="22" s="1"/>
  <c r="AG1090" i="22"/>
  <c r="AH1090" i="22" s="1"/>
  <c r="AI1090" i="22" s="1"/>
  <c r="AJ1090" i="22" s="1"/>
  <c r="AG697" i="22"/>
  <c r="AI1075" i="22"/>
  <c r="AJ1075" i="22" s="1"/>
  <c r="AG1085" i="22"/>
  <c r="AH1085" i="22" s="1"/>
  <c r="AI1085" i="22" s="1"/>
  <c r="AJ1085" i="22" s="1"/>
  <c r="AH572" i="22"/>
  <c r="AI572" i="22" s="1"/>
  <c r="AI1084" i="22"/>
  <c r="AJ1084" i="22" s="1"/>
  <c r="AI796" i="22"/>
  <c r="AJ796" i="22" s="1"/>
  <c r="AH580" i="22"/>
  <c r="AH1102" i="22"/>
  <c r="AI1102" i="22" s="1"/>
  <c r="AJ1102" i="22" s="1"/>
  <c r="AI1106" i="22"/>
  <c r="AJ1106" i="22" s="1"/>
  <c r="AI550" i="22" l="1"/>
  <c r="AJ550" i="22" s="1"/>
  <c r="AJ165" i="22"/>
  <c r="AI702" i="22"/>
  <c r="AJ702" i="22" s="1"/>
  <c r="AJ509" i="22"/>
  <c r="AJ572" i="22"/>
  <c r="AI338" i="22"/>
  <c r="AJ338" i="22" s="1"/>
  <c r="AI689" i="22"/>
  <c r="AJ689" i="22" s="1"/>
  <c r="AI578" i="22"/>
  <c r="AJ578" i="22" s="1"/>
  <c r="AI580" i="22"/>
  <c r="AJ580" i="22" s="1"/>
  <c r="AJ718" i="22"/>
  <c r="AI533" i="22"/>
  <c r="AJ533" i="22" s="1"/>
  <c r="AI520" i="22"/>
  <c r="AJ520" i="22" s="1"/>
  <c r="AI226" i="22"/>
  <c r="AJ226" i="22" s="1"/>
  <c r="AI570" i="22"/>
  <c r="AJ570" i="22" s="1"/>
  <c r="AH763" i="22"/>
  <c r="AI771" i="22"/>
  <c r="AJ771" i="22" s="1"/>
  <c r="AH559" i="22"/>
  <c r="AH697" i="22"/>
  <c r="AI763" i="22" l="1"/>
  <c r="AJ763" i="22" s="1"/>
  <c r="AI697" i="22"/>
  <c r="AJ697" i="22" s="1"/>
  <c r="AI559" i="22"/>
  <c r="AJ559" i="22" s="1"/>
  <c r="W662" i="22"/>
  <c r="X662" i="22" s="1"/>
  <c r="W663" i="22"/>
  <c r="X663" i="22" s="1"/>
  <c r="W664" i="22"/>
  <c r="X664" i="22" s="1"/>
  <c r="W665" i="22"/>
  <c r="X665" i="22" s="1"/>
  <c r="W666" i="22"/>
  <c r="X666" i="22" s="1"/>
  <c r="W1027" i="22"/>
  <c r="X1027" i="22" s="1"/>
  <c r="W1028" i="22"/>
  <c r="X1028" i="22" s="1"/>
  <c r="W1029" i="22"/>
  <c r="X1029" i="22" s="1"/>
  <c r="W1030" i="22"/>
  <c r="Y1030" i="22" s="1"/>
  <c r="W1031" i="22"/>
  <c r="X1031" i="22" s="1"/>
  <c r="W1032" i="22"/>
  <c r="X1032" i="22" s="1"/>
  <c r="W1033" i="22"/>
  <c r="X1033" i="22" s="1"/>
  <c r="W1034" i="22"/>
  <c r="X1034" i="22" s="1"/>
  <c r="W1035" i="22"/>
  <c r="X1035" i="22" s="1"/>
  <c r="W1036" i="22"/>
  <c r="X1036" i="22" s="1"/>
  <c r="W1037" i="22"/>
  <c r="X1037" i="22" s="1"/>
  <c r="W1038" i="22"/>
  <c r="X1038" i="22" s="1"/>
  <c r="Y1038" i="22" l="1"/>
  <c r="Z1038" i="22" s="1"/>
  <c r="Y1037" i="22"/>
  <c r="Z1037" i="22" s="1"/>
  <c r="AH1037" i="22" s="1"/>
  <c r="AI1037" i="22" s="1"/>
  <c r="AJ1037" i="22" s="1"/>
  <c r="Y663" i="22"/>
  <c r="Z663" i="22" s="1"/>
  <c r="AH663" i="22" s="1"/>
  <c r="Y1034" i="22"/>
  <c r="Y664" i="22"/>
  <c r="AA664" i="22" s="1"/>
  <c r="X1030" i="22"/>
  <c r="Y1032" i="22"/>
  <c r="AA1032" i="22" s="1"/>
  <c r="Y1029" i="22"/>
  <c r="Z1029" i="22" s="1"/>
  <c r="AH1029" i="22" s="1"/>
  <c r="AI1029" i="22" s="1"/>
  <c r="AJ1029" i="22" s="1"/>
  <c r="Z1030" i="22"/>
  <c r="AH1030" i="22" s="1"/>
  <c r="AI1030" i="22" s="1"/>
  <c r="AJ1030" i="22" s="1"/>
  <c r="AA1030" i="22"/>
  <c r="Y1028" i="22"/>
  <c r="Y1033" i="22"/>
  <c r="Z1033" i="22" s="1"/>
  <c r="AH1033" i="22" s="1"/>
  <c r="AI1033" i="22" s="1"/>
  <c r="AJ1033" i="22" s="1"/>
  <c r="Y665" i="22"/>
  <c r="Z665" i="22" s="1"/>
  <c r="AH665" i="22" s="1"/>
  <c r="Y1036" i="22"/>
  <c r="Y662" i="22"/>
  <c r="Y666" i="22"/>
  <c r="Y1027" i="22"/>
  <c r="Y1031" i="22"/>
  <c r="Y1035" i="22"/>
  <c r="S870" i="22"/>
  <c r="S908" i="22"/>
  <c r="S919" i="22"/>
  <c r="S1001" i="22"/>
  <c r="S999" i="22"/>
  <c r="S997" i="22"/>
  <c r="S980" i="22"/>
  <c r="S946" i="22"/>
  <c r="S995" i="22"/>
  <c r="S1023" i="22"/>
  <c r="AA1037" i="22" l="1"/>
  <c r="AI665" i="22"/>
  <c r="AJ665" i="22" s="1"/>
  <c r="AI663" i="22"/>
  <c r="AJ663" i="22" s="1"/>
  <c r="Z664" i="22"/>
  <c r="AH664" i="22" s="1"/>
  <c r="AA1038" i="22"/>
  <c r="AA663" i="22"/>
  <c r="AA1029" i="22"/>
  <c r="AA665" i="22"/>
  <c r="Z1034" i="22"/>
  <c r="AH1034" i="22" s="1"/>
  <c r="AI1034" i="22" s="1"/>
  <c r="AJ1034" i="22" s="1"/>
  <c r="AA1034" i="22"/>
  <c r="Z1032" i="22"/>
  <c r="AH1032" i="22" s="1"/>
  <c r="AI1032" i="22" s="1"/>
  <c r="AJ1032" i="22" s="1"/>
  <c r="AA1036" i="22"/>
  <c r="Z1036" i="22"/>
  <c r="AH1036" i="22" s="1"/>
  <c r="AI1036" i="22" s="1"/>
  <c r="AJ1036" i="22" s="1"/>
  <c r="Z1028" i="22"/>
  <c r="AH1028" i="22" s="1"/>
  <c r="AI1028" i="22" s="1"/>
  <c r="AJ1028" i="22" s="1"/>
  <c r="AA1028" i="22"/>
  <c r="AA1033" i="22"/>
  <c r="AA662" i="22"/>
  <c r="Z662" i="22"/>
  <c r="AH662" i="22" s="1"/>
  <c r="Z666" i="22"/>
  <c r="AH666" i="22" s="1"/>
  <c r="AI666" i="22" s="1"/>
  <c r="AJ666" i="22" s="1"/>
  <c r="AA666" i="22"/>
  <c r="Z1035" i="22"/>
  <c r="AH1035" i="22" s="1"/>
  <c r="AI1035" i="22" s="1"/>
  <c r="AJ1035" i="22" s="1"/>
  <c r="AA1035" i="22"/>
  <c r="Z1031" i="22"/>
  <c r="AH1031" i="22" s="1"/>
  <c r="AI1031" i="22" s="1"/>
  <c r="AJ1031" i="22" s="1"/>
  <c r="AA1031" i="22"/>
  <c r="AA1027" i="22"/>
  <c r="Z1027" i="22"/>
  <c r="AH1027" i="22" s="1"/>
  <c r="AI1027" i="22" s="1"/>
  <c r="AJ1027" i="22" s="1"/>
  <c r="S840" i="22"/>
  <c r="AI662" i="22" l="1"/>
  <c r="AJ662" i="22" s="1"/>
  <c r="AI664" i="22"/>
  <c r="AJ664" i="22" s="1"/>
  <c r="K1961" i="23"/>
  <c r="L1961" i="23" s="1"/>
  <c r="S1961" i="23"/>
  <c r="A1961" i="23" s="1"/>
  <c r="V1961" i="23"/>
  <c r="H1954" i="23"/>
  <c r="K1944" i="23"/>
  <c r="L1944" i="23" s="1"/>
  <c r="S1944" i="23"/>
  <c r="A1944" i="23" s="1"/>
  <c r="V1944" i="23"/>
  <c r="H1938" i="23"/>
  <c r="K1919" i="23"/>
  <c r="L1919" i="23" s="1"/>
  <c r="S1919" i="23"/>
  <c r="V1919" i="23"/>
  <c r="K1920" i="23"/>
  <c r="L1920" i="23" s="1"/>
  <c r="S1920" i="23"/>
  <c r="A1920" i="23" s="1"/>
  <c r="V1920" i="23"/>
  <c r="S1921" i="23"/>
  <c r="V1921" i="23"/>
  <c r="K1922" i="23"/>
  <c r="L1922" i="23" s="1"/>
  <c r="S1922" i="23"/>
  <c r="A1922" i="23" s="1"/>
  <c r="V1922" i="23"/>
  <c r="K1923" i="23"/>
  <c r="L1923" i="23" s="1"/>
  <c r="S1923" i="23"/>
  <c r="A1923" i="23" s="1"/>
  <c r="V1923" i="23"/>
  <c r="K1924" i="23"/>
  <c r="L1924" i="23" s="1"/>
  <c r="S1924" i="23"/>
  <c r="V1924" i="23"/>
  <c r="K1925" i="23"/>
  <c r="L1925" i="23" s="1"/>
  <c r="S1925" i="23"/>
  <c r="V1925" i="23"/>
  <c r="K1926" i="23"/>
  <c r="L1926" i="23" s="1"/>
  <c r="S1926" i="23"/>
  <c r="V1926" i="23"/>
  <c r="K1927" i="23"/>
  <c r="L1927" i="23" s="1"/>
  <c r="S1927" i="23"/>
  <c r="V1927" i="23"/>
  <c r="K1928" i="23"/>
  <c r="L1928" i="23" s="1"/>
  <c r="S1928" i="23"/>
  <c r="A1928" i="23" s="1"/>
  <c r="V1928" i="23"/>
  <c r="H1917" i="23"/>
  <c r="K1908" i="23"/>
  <c r="L1908" i="23" s="1"/>
  <c r="S1908" i="23"/>
  <c r="A1908" i="23" s="1"/>
  <c r="V1908" i="23"/>
  <c r="H1899" i="23"/>
  <c r="H1865" i="23"/>
  <c r="K1861" i="23"/>
  <c r="L1861" i="23" s="1"/>
  <c r="S1861" i="23"/>
  <c r="V1861" i="23"/>
  <c r="K1862" i="23"/>
  <c r="L1862" i="23" s="1"/>
  <c r="S1862" i="23"/>
  <c r="V1862" i="23"/>
  <c r="K1863" i="23"/>
  <c r="L1863" i="23" s="1"/>
  <c r="S1863" i="23"/>
  <c r="V1863" i="23"/>
  <c r="K1864" i="23"/>
  <c r="L1864" i="23" s="1"/>
  <c r="S1864" i="23"/>
  <c r="V1864" i="23"/>
  <c r="S1865" i="23"/>
  <c r="V1865" i="23"/>
  <c r="K1866" i="23"/>
  <c r="L1866" i="23" s="1"/>
  <c r="S1866" i="23"/>
  <c r="V1866" i="23"/>
  <c r="K1867" i="23"/>
  <c r="L1867" i="23" s="1"/>
  <c r="S1867" i="23"/>
  <c r="V1867" i="23"/>
  <c r="K1868" i="23"/>
  <c r="L1868" i="23" s="1"/>
  <c r="S1868" i="23"/>
  <c r="V1868" i="23"/>
  <c r="K1869" i="23"/>
  <c r="L1869" i="23" s="1"/>
  <c r="S1869" i="23"/>
  <c r="V1869" i="23"/>
  <c r="H1859" i="23"/>
  <c r="K1837" i="23"/>
  <c r="L1837" i="23" s="1"/>
  <c r="S1837" i="23"/>
  <c r="V1837" i="23"/>
  <c r="S1838" i="23"/>
  <c r="V1838" i="23"/>
  <c r="K1839" i="23"/>
  <c r="L1839" i="23" s="1"/>
  <c r="S1839" i="23"/>
  <c r="V1839" i="23"/>
  <c r="K1840" i="23"/>
  <c r="L1840" i="23" s="1"/>
  <c r="S1840" i="23"/>
  <c r="V1840" i="23"/>
  <c r="K1841" i="23"/>
  <c r="L1841" i="23" s="1"/>
  <c r="S1841" i="23"/>
  <c r="V1841" i="23"/>
  <c r="S1842" i="23"/>
  <c r="V1842" i="23"/>
  <c r="K1843" i="23"/>
  <c r="L1843" i="23" s="1"/>
  <c r="S1843" i="23"/>
  <c r="V1843" i="23"/>
  <c r="K1844" i="23"/>
  <c r="L1844" i="23" s="1"/>
  <c r="S1844" i="23"/>
  <c r="V1844" i="23"/>
  <c r="K1845" i="23"/>
  <c r="L1845" i="23" s="1"/>
  <c r="S1845" i="23"/>
  <c r="V1845" i="23"/>
  <c r="K1846" i="23"/>
  <c r="L1846" i="23" s="1"/>
  <c r="S1846" i="23"/>
  <c r="V1846" i="23"/>
  <c r="S1847" i="23"/>
  <c r="V1847" i="23"/>
  <c r="K1848" i="23"/>
  <c r="L1848" i="23" s="1"/>
  <c r="S1848" i="23"/>
  <c r="V1848" i="23"/>
  <c r="K1849" i="23"/>
  <c r="L1849" i="23" s="1"/>
  <c r="S1849" i="23"/>
  <c r="V1849" i="23"/>
  <c r="K1850" i="23"/>
  <c r="L1850" i="23" s="1"/>
  <c r="S1850" i="23"/>
  <c r="V1850" i="23"/>
  <c r="H1835" i="23"/>
  <c r="T1921" i="23" l="1"/>
  <c r="T1925" i="23"/>
  <c r="T1926" i="23"/>
  <c r="T1924" i="23"/>
  <c r="T1927" i="23"/>
  <c r="T1928" i="23"/>
  <c r="A1921" i="23"/>
  <c r="T1923" i="23"/>
  <c r="T1920" i="23"/>
  <c r="A1919" i="23"/>
  <c r="T1922" i="23"/>
  <c r="T1866" i="23"/>
  <c r="T1863" i="23"/>
  <c r="T1838" i="23"/>
  <c r="T1867" i="23"/>
  <c r="T1844" i="23"/>
  <c r="T1841" i="23"/>
  <c r="T1868" i="23"/>
  <c r="T1843" i="23"/>
  <c r="T1869" i="23"/>
  <c r="T1862" i="23"/>
  <c r="T1849" i="23"/>
  <c r="T1845" i="23"/>
  <c r="T1864" i="23"/>
  <c r="T1846" i="23"/>
  <c r="T1865" i="23"/>
  <c r="T1847" i="23"/>
  <c r="T1850" i="23"/>
  <c r="T1840" i="23"/>
  <c r="T1848" i="23"/>
  <c r="T1839" i="23"/>
  <c r="T1842" i="23"/>
  <c r="H1821" i="23"/>
  <c r="K1817" i="23"/>
  <c r="L1817" i="23" s="1"/>
  <c r="S1817" i="23"/>
  <c r="V1817" i="23"/>
  <c r="K1818" i="23"/>
  <c r="L1818" i="23" s="1"/>
  <c r="S1818" i="23"/>
  <c r="V1818" i="23"/>
  <c r="K1819" i="23"/>
  <c r="L1819" i="23" s="1"/>
  <c r="S1819" i="23"/>
  <c r="V1819" i="23"/>
  <c r="K1820" i="23"/>
  <c r="L1820" i="23" s="1"/>
  <c r="S1820" i="23"/>
  <c r="V1820" i="23"/>
  <c r="S1821" i="23"/>
  <c r="V1821" i="23"/>
  <c r="K1822" i="23"/>
  <c r="L1822" i="23" s="1"/>
  <c r="S1822" i="23"/>
  <c r="V1822" i="23"/>
  <c r="S1823" i="23"/>
  <c r="V1823" i="23"/>
  <c r="S1824" i="23"/>
  <c r="V1824" i="23"/>
  <c r="K1825" i="23"/>
  <c r="L1825" i="23" s="1"/>
  <c r="S1825" i="23"/>
  <c r="V1825" i="23"/>
  <c r="H1815" i="23"/>
  <c r="K1793" i="23"/>
  <c r="L1793" i="23" s="1"/>
  <c r="S1793" i="23"/>
  <c r="V1793" i="23"/>
  <c r="S1794" i="23"/>
  <c r="V1794" i="23"/>
  <c r="K1795" i="23"/>
  <c r="L1795" i="23" s="1"/>
  <c r="S1795" i="23"/>
  <c r="V1795" i="23"/>
  <c r="K1796" i="23"/>
  <c r="L1796" i="23" s="1"/>
  <c r="S1796" i="23"/>
  <c r="V1796" i="23"/>
  <c r="K1797" i="23"/>
  <c r="L1797" i="23" s="1"/>
  <c r="S1797" i="23"/>
  <c r="V1797" i="23"/>
  <c r="K1798" i="23"/>
  <c r="L1798" i="23" s="1"/>
  <c r="S1798" i="23"/>
  <c r="V1798" i="23"/>
  <c r="K1799" i="23"/>
  <c r="L1799" i="23" s="1"/>
  <c r="S1799" i="23"/>
  <c r="V1799" i="23"/>
  <c r="K1800" i="23"/>
  <c r="L1800" i="23" s="1"/>
  <c r="S1800" i="23"/>
  <c r="V1800" i="23"/>
  <c r="K1801" i="23"/>
  <c r="L1801" i="23" s="1"/>
  <c r="S1801" i="23"/>
  <c r="V1801" i="23"/>
  <c r="S1802" i="23"/>
  <c r="V1802" i="23"/>
  <c r="S1803" i="23"/>
  <c r="V1803" i="23"/>
  <c r="K1804" i="23"/>
  <c r="L1804" i="23" s="1"/>
  <c r="S1804" i="23"/>
  <c r="V1804" i="23"/>
  <c r="S1805" i="23"/>
  <c r="V1805" i="23"/>
  <c r="K1806" i="23"/>
  <c r="L1806" i="23" s="1"/>
  <c r="S1806" i="23"/>
  <c r="V1806" i="23"/>
  <c r="H1791" i="23"/>
  <c r="H1781" i="23"/>
  <c r="K1781" i="23" s="1"/>
  <c r="L1781" i="23" s="1"/>
  <c r="S1781" i="23"/>
  <c r="V1781" i="23"/>
  <c r="K1782" i="23"/>
  <c r="L1782" i="23" s="1"/>
  <c r="S1782" i="23"/>
  <c r="V1782" i="23"/>
  <c r="H1772" i="23"/>
  <c r="K1750" i="23"/>
  <c r="L1750" i="23" s="1"/>
  <c r="S1750" i="23"/>
  <c r="V1750" i="23"/>
  <c r="S1751" i="23"/>
  <c r="V1751" i="23"/>
  <c r="K1752" i="23"/>
  <c r="L1752" i="23" s="1"/>
  <c r="S1752" i="23"/>
  <c r="V1752" i="23"/>
  <c r="K1753" i="23"/>
  <c r="L1753" i="23" s="1"/>
  <c r="S1753" i="23"/>
  <c r="V1753" i="23"/>
  <c r="S1754" i="23"/>
  <c r="V1754" i="23"/>
  <c r="K1755" i="23"/>
  <c r="L1755" i="23" s="1"/>
  <c r="S1755" i="23"/>
  <c r="V1755" i="23"/>
  <c r="K1756" i="23"/>
  <c r="L1756" i="23" s="1"/>
  <c r="S1756" i="23"/>
  <c r="V1756" i="23"/>
  <c r="S1757" i="23"/>
  <c r="V1757" i="23"/>
  <c r="K1758" i="23"/>
  <c r="L1758" i="23" s="1"/>
  <c r="S1758" i="23"/>
  <c r="V1758" i="23"/>
  <c r="K1759" i="23"/>
  <c r="L1759" i="23" s="1"/>
  <c r="S1759" i="23"/>
  <c r="V1759" i="23"/>
  <c r="S1760" i="23"/>
  <c r="V1760" i="23"/>
  <c r="K1761" i="23"/>
  <c r="L1761" i="23" s="1"/>
  <c r="S1761" i="23"/>
  <c r="V1761" i="23"/>
  <c r="K1762" i="23"/>
  <c r="L1762" i="23" s="1"/>
  <c r="S1762" i="23"/>
  <c r="V1762" i="23"/>
  <c r="S1763" i="23"/>
  <c r="V1763" i="23"/>
  <c r="K1739" i="23"/>
  <c r="L1739" i="23" s="1"/>
  <c r="S1739" i="23"/>
  <c r="V1739" i="23"/>
  <c r="H1724" i="23"/>
  <c r="H1687" i="23"/>
  <c r="S1684" i="23"/>
  <c r="T1685" i="23" s="1"/>
  <c r="V1684" i="23"/>
  <c r="K1685" i="23"/>
  <c r="L1685" i="23" s="1"/>
  <c r="K1686" i="23"/>
  <c r="L1686" i="23" s="1"/>
  <c r="K1688" i="23"/>
  <c r="L1688" i="23" s="1"/>
  <c r="K1689" i="23"/>
  <c r="L1689" i="23" s="1"/>
  <c r="K1690" i="23"/>
  <c r="L1690" i="23" s="1"/>
  <c r="K1691" i="23"/>
  <c r="L1691" i="23" s="1"/>
  <c r="H1679" i="23"/>
  <c r="K1647" i="23"/>
  <c r="L1647" i="23" s="1"/>
  <c r="S1647" i="23"/>
  <c r="V1647" i="23"/>
  <c r="H1642" i="23"/>
  <c r="H1635" i="23"/>
  <c r="K1625" i="23"/>
  <c r="L1625" i="23" s="1"/>
  <c r="S1625" i="23"/>
  <c r="V1625" i="23"/>
  <c r="H1618" i="23"/>
  <c r="H1613" i="23"/>
  <c r="R1862" i="23" l="1"/>
  <c r="T1819" i="23"/>
  <c r="T1796" i="23"/>
  <c r="T1825" i="23"/>
  <c r="T1820" i="23"/>
  <c r="T1821" i="23"/>
  <c r="T1824" i="23"/>
  <c r="T1822" i="23"/>
  <c r="T1823" i="23"/>
  <c r="T1818" i="23"/>
  <c r="T1805" i="23"/>
  <c r="T1806" i="23"/>
  <c r="T1803" i="23"/>
  <c r="R1818" i="23"/>
  <c r="T1801" i="23"/>
  <c r="T1797" i="23"/>
  <c r="T1798" i="23"/>
  <c r="T1802" i="23"/>
  <c r="T1799" i="23"/>
  <c r="T1804" i="23"/>
  <c r="T1800" i="23"/>
  <c r="T1795" i="23"/>
  <c r="T1762" i="23"/>
  <c r="T1794" i="23"/>
  <c r="T1754" i="23"/>
  <c r="T1755" i="23"/>
  <c r="T1752" i="23"/>
  <c r="T1782" i="23"/>
  <c r="T1756" i="23"/>
  <c r="T1760" i="23"/>
  <c r="T1757" i="23"/>
  <c r="T1763" i="23"/>
  <c r="T1758" i="23"/>
  <c r="T1761" i="23"/>
  <c r="T1753" i="23"/>
  <c r="T1759" i="23"/>
  <c r="T1751" i="23"/>
  <c r="T1684" i="23"/>
  <c r="S478" i="22"/>
  <c r="K1604" i="23"/>
  <c r="L1604" i="23" s="1"/>
  <c r="S1604" i="23"/>
  <c r="V1604" i="23"/>
  <c r="H1602" i="23"/>
  <c r="H1590" i="23"/>
  <c r="K1581" i="23"/>
  <c r="L1581" i="23" s="1"/>
  <c r="S1581" i="23"/>
  <c r="V1581" i="23"/>
  <c r="H1575" i="23"/>
  <c r="H1567" i="23"/>
  <c r="K1543" i="23"/>
  <c r="L1543" i="23" s="1"/>
  <c r="S1543" i="23"/>
  <c r="V1543" i="23"/>
  <c r="S1544" i="23"/>
  <c r="V1544" i="23"/>
  <c r="S1545" i="23"/>
  <c r="V1545" i="23"/>
  <c r="K1546" i="23"/>
  <c r="L1546" i="23" s="1"/>
  <c r="S1546" i="23"/>
  <c r="V1546" i="23"/>
  <c r="K1547" i="23"/>
  <c r="L1547" i="23" s="1"/>
  <c r="S1547" i="23"/>
  <c r="V1547" i="23"/>
  <c r="K1548" i="23"/>
  <c r="L1548" i="23" s="1"/>
  <c r="S1548" i="23"/>
  <c r="V1548" i="23"/>
  <c r="K1549" i="23"/>
  <c r="L1549" i="23" s="1"/>
  <c r="S1549" i="23"/>
  <c r="V1549" i="23"/>
  <c r="K1550" i="23"/>
  <c r="L1550" i="23" s="1"/>
  <c r="S1550" i="23"/>
  <c r="V1550" i="23"/>
  <c r="S1551" i="23"/>
  <c r="V1551" i="23"/>
  <c r="K1552" i="23"/>
  <c r="L1552" i="23" s="1"/>
  <c r="S1552" i="23"/>
  <c r="V1552" i="23"/>
  <c r="K1553" i="23"/>
  <c r="L1553" i="23" s="1"/>
  <c r="S1553" i="23"/>
  <c r="V1553" i="23"/>
  <c r="S1554" i="23"/>
  <c r="V1554" i="23"/>
  <c r="K1555" i="23"/>
  <c r="L1555" i="23" s="1"/>
  <c r="S1555" i="23"/>
  <c r="V1555" i="23"/>
  <c r="K1556" i="23"/>
  <c r="L1556" i="23" s="1"/>
  <c r="S1556" i="23"/>
  <c r="V1556" i="23"/>
  <c r="K1557" i="23"/>
  <c r="L1557" i="23" s="1"/>
  <c r="S1557" i="23"/>
  <c r="V1557" i="23"/>
  <c r="H1541" i="23"/>
  <c r="K1531" i="23"/>
  <c r="L1531" i="23" s="1"/>
  <c r="S1531" i="23"/>
  <c r="V1531" i="23"/>
  <c r="H1527" i="23"/>
  <c r="H1519" i="23"/>
  <c r="H1505" i="23"/>
  <c r="K1454" i="23"/>
  <c r="L1454" i="23" s="1"/>
  <c r="S1454" i="23"/>
  <c r="V1454" i="23"/>
  <c r="K1455" i="23"/>
  <c r="L1455" i="23" s="1"/>
  <c r="S1455" i="23"/>
  <c r="V1455" i="23"/>
  <c r="S1456" i="23"/>
  <c r="V1456" i="23"/>
  <c r="S1457" i="23"/>
  <c r="V1457" i="23"/>
  <c r="K1458" i="23"/>
  <c r="L1458" i="23" s="1"/>
  <c r="S1458" i="23"/>
  <c r="V1458" i="23"/>
  <c r="K1459" i="23"/>
  <c r="L1459" i="23" s="1"/>
  <c r="S1459" i="23"/>
  <c r="V1459" i="23"/>
  <c r="K1460" i="23"/>
  <c r="L1460" i="23" s="1"/>
  <c r="S1460" i="23"/>
  <c r="V1460" i="23"/>
  <c r="S1461" i="23"/>
  <c r="V1461" i="23"/>
  <c r="K1462" i="23"/>
  <c r="L1462" i="23" s="1"/>
  <c r="S1462" i="23"/>
  <c r="V1462" i="23"/>
  <c r="K1463" i="23"/>
  <c r="L1463" i="23" s="1"/>
  <c r="S1463" i="23"/>
  <c r="V1463" i="23"/>
  <c r="K1464" i="23"/>
  <c r="L1464" i="23" s="1"/>
  <c r="S1464" i="23"/>
  <c r="V1464" i="23"/>
  <c r="K1465" i="23"/>
  <c r="L1465" i="23" s="1"/>
  <c r="S1465" i="23"/>
  <c r="V1465" i="23"/>
  <c r="S1466" i="23"/>
  <c r="V1466" i="23"/>
  <c r="K1467" i="23"/>
  <c r="L1467" i="23" s="1"/>
  <c r="S1467" i="23"/>
  <c r="V1467" i="23"/>
  <c r="K1468" i="23"/>
  <c r="L1468" i="23" s="1"/>
  <c r="S1468" i="23"/>
  <c r="V1468" i="23"/>
  <c r="H1452" i="23"/>
  <c r="K1379" i="23"/>
  <c r="L1379" i="23" s="1"/>
  <c r="S1379" i="23"/>
  <c r="V1379" i="23"/>
  <c r="S1380" i="23"/>
  <c r="V1380" i="23"/>
  <c r="S1381" i="23"/>
  <c r="V1381" i="23"/>
  <c r="S1382" i="23"/>
  <c r="V1382" i="23"/>
  <c r="K1383" i="23"/>
  <c r="L1383" i="23" s="1"/>
  <c r="S1383" i="23"/>
  <c r="V1383" i="23"/>
  <c r="K1384" i="23"/>
  <c r="L1384" i="23" s="1"/>
  <c r="S1384" i="23"/>
  <c r="V1384" i="23"/>
  <c r="S1385" i="23"/>
  <c r="V1385" i="23"/>
  <c r="K1386" i="23"/>
  <c r="L1386" i="23" s="1"/>
  <c r="S1386" i="23"/>
  <c r="V1386" i="23"/>
  <c r="S1387" i="23"/>
  <c r="V1387" i="23"/>
  <c r="K1388" i="23"/>
  <c r="L1388" i="23" s="1"/>
  <c r="S1388" i="23"/>
  <c r="V1388" i="23"/>
  <c r="K1389" i="23"/>
  <c r="L1389" i="23" s="1"/>
  <c r="S1389" i="23"/>
  <c r="V1389" i="23"/>
  <c r="S1390" i="23"/>
  <c r="V1390" i="23"/>
  <c r="S1391" i="23"/>
  <c r="V1391" i="23"/>
  <c r="S1392" i="23"/>
  <c r="V1392" i="23"/>
  <c r="K1354" i="23"/>
  <c r="L1354" i="23" s="1"/>
  <c r="S1354" i="23"/>
  <c r="V1354" i="23"/>
  <c r="S1355" i="23"/>
  <c r="V1355" i="23"/>
  <c r="K1356" i="23"/>
  <c r="L1356" i="23" s="1"/>
  <c r="S1356" i="23"/>
  <c r="V1356" i="23"/>
  <c r="K1357" i="23"/>
  <c r="L1357" i="23" s="1"/>
  <c r="S1357" i="23"/>
  <c r="V1357" i="23"/>
  <c r="K1358" i="23"/>
  <c r="L1358" i="23" s="1"/>
  <c r="S1358" i="23"/>
  <c r="V1358" i="23"/>
  <c r="K1359" i="23"/>
  <c r="L1359" i="23" s="1"/>
  <c r="S1359" i="23"/>
  <c r="V1359" i="23"/>
  <c r="K1360" i="23"/>
  <c r="L1360" i="23" s="1"/>
  <c r="S1360" i="23"/>
  <c r="V1360" i="23"/>
  <c r="K1361" i="23"/>
  <c r="L1361" i="23" s="1"/>
  <c r="S1361" i="23"/>
  <c r="V1361" i="23"/>
  <c r="K1362" i="23"/>
  <c r="L1362" i="23" s="1"/>
  <c r="S1362" i="23"/>
  <c r="V1362" i="23"/>
  <c r="K1363" i="23"/>
  <c r="L1363" i="23" s="1"/>
  <c r="S1363" i="23"/>
  <c r="V1363" i="23"/>
  <c r="K1364" i="23"/>
  <c r="L1364" i="23" s="1"/>
  <c r="S1364" i="23"/>
  <c r="V1364" i="23"/>
  <c r="K1365" i="23"/>
  <c r="L1365" i="23" s="1"/>
  <c r="S1365" i="23"/>
  <c r="V1365" i="23"/>
  <c r="K1366" i="23"/>
  <c r="L1366" i="23" s="1"/>
  <c r="S1366" i="23"/>
  <c r="V1366" i="23"/>
  <c r="K1367" i="23"/>
  <c r="L1367" i="23" s="1"/>
  <c r="S1367" i="23"/>
  <c r="V1367" i="23"/>
  <c r="H1352" i="23"/>
  <c r="K1330" i="23"/>
  <c r="L1330" i="23" s="1"/>
  <c r="S1330" i="23"/>
  <c r="V1330" i="23"/>
  <c r="S1331" i="23"/>
  <c r="V1331" i="23"/>
  <c r="S1332" i="23"/>
  <c r="V1332" i="23"/>
  <c r="K1333" i="23"/>
  <c r="L1333" i="23" s="1"/>
  <c r="S1333" i="23"/>
  <c r="V1333" i="23"/>
  <c r="K1334" i="23"/>
  <c r="L1334" i="23" s="1"/>
  <c r="S1334" i="23"/>
  <c r="V1334" i="23"/>
  <c r="K1335" i="23"/>
  <c r="L1335" i="23" s="1"/>
  <c r="S1335" i="23"/>
  <c r="V1335" i="23"/>
  <c r="K1336" i="23"/>
  <c r="L1336" i="23" s="1"/>
  <c r="S1336" i="23"/>
  <c r="V1336" i="23"/>
  <c r="K1337" i="23"/>
  <c r="L1337" i="23" s="1"/>
  <c r="S1337" i="23"/>
  <c r="V1337" i="23"/>
  <c r="K1338" i="23"/>
  <c r="L1338" i="23" s="1"/>
  <c r="S1338" i="23"/>
  <c r="V1338" i="23"/>
  <c r="K1339" i="23"/>
  <c r="L1339" i="23" s="1"/>
  <c r="S1339" i="23"/>
  <c r="V1339" i="23"/>
  <c r="K1340" i="23"/>
  <c r="L1340" i="23" s="1"/>
  <c r="S1340" i="23"/>
  <c r="V1340" i="23"/>
  <c r="K1341" i="23"/>
  <c r="L1341" i="23" s="1"/>
  <c r="S1341" i="23"/>
  <c r="V1341" i="23"/>
  <c r="K1342" i="23"/>
  <c r="L1342" i="23" s="1"/>
  <c r="S1342" i="23"/>
  <c r="V1342" i="23"/>
  <c r="K1343" i="23"/>
  <c r="L1343" i="23" s="1"/>
  <c r="S1343" i="23"/>
  <c r="V1343" i="23"/>
  <c r="H1328" i="23"/>
  <c r="K1318" i="23"/>
  <c r="L1318" i="23" s="1"/>
  <c r="S1318" i="23"/>
  <c r="V1318" i="23"/>
  <c r="H1311" i="23"/>
  <c r="H1308" i="23"/>
  <c r="K1297" i="23"/>
  <c r="L1297" i="23" s="1"/>
  <c r="S1297" i="23"/>
  <c r="V1297" i="23"/>
  <c r="H1292" i="23"/>
  <c r="Z478" i="22" l="1"/>
  <c r="AB478" i="22" s="1"/>
  <c r="U1862" i="23"/>
  <c r="R1863" i="23"/>
  <c r="R1819" i="23"/>
  <c r="U1818" i="23"/>
  <c r="T1544" i="23"/>
  <c r="T1550" i="23"/>
  <c r="T1462" i="23"/>
  <c r="T1463" i="23"/>
  <c r="T1464" i="23"/>
  <c r="T1555" i="23"/>
  <c r="T1552" i="23"/>
  <c r="T1548" i="23"/>
  <c r="T1465" i="23"/>
  <c r="T1546" i="23"/>
  <c r="T1556" i="23"/>
  <c r="T1553" i="23"/>
  <c r="T1357" i="23"/>
  <c r="T1388" i="23"/>
  <c r="T1466" i="23"/>
  <c r="T1557" i="23"/>
  <c r="T1547" i="23"/>
  <c r="T1554" i="23"/>
  <c r="T1549" i="23"/>
  <c r="T1551" i="23"/>
  <c r="T1545" i="23"/>
  <c r="T1363" i="23"/>
  <c r="T1384" i="23"/>
  <c r="T1468" i="23"/>
  <c r="T1362" i="23"/>
  <c r="T1358" i="23"/>
  <c r="T1467" i="23"/>
  <c r="T1459" i="23"/>
  <c r="T1460" i="23"/>
  <c r="T1364" i="23"/>
  <c r="T1457" i="23"/>
  <c r="T1455" i="23"/>
  <c r="T1366" i="23"/>
  <c r="T1461" i="23"/>
  <c r="T1385" i="23"/>
  <c r="T1382" i="23"/>
  <c r="T1380" i="23"/>
  <c r="T1389" i="23"/>
  <c r="T1386" i="23"/>
  <c r="T1456" i="23"/>
  <c r="T1458" i="23"/>
  <c r="T1359" i="23"/>
  <c r="T1387" i="23"/>
  <c r="T1383" i="23"/>
  <c r="T1365" i="23"/>
  <c r="T1360" i="23"/>
  <c r="T1381" i="23"/>
  <c r="T1392" i="23"/>
  <c r="T1390" i="23"/>
  <c r="T1361" i="23"/>
  <c r="T1391" i="23"/>
  <c r="T1367" i="23"/>
  <c r="T1355" i="23"/>
  <c r="T1356" i="23"/>
  <c r="T1343" i="23"/>
  <c r="T1340" i="23"/>
  <c r="T1336" i="23"/>
  <c r="T1334" i="23"/>
  <c r="T1339" i="23"/>
  <c r="T1335" i="23"/>
  <c r="T1337" i="23"/>
  <c r="T1338" i="23"/>
  <c r="T1342" i="23"/>
  <c r="T1341" i="23"/>
  <c r="T1333" i="23"/>
  <c r="T1331" i="23"/>
  <c r="T1332" i="23"/>
  <c r="S1256" i="23"/>
  <c r="V1256" i="23"/>
  <c r="K1257" i="23"/>
  <c r="L1257" i="23" s="1"/>
  <c r="S1257" i="23"/>
  <c r="V1257" i="23"/>
  <c r="K1258" i="23"/>
  <c r="L1258" i="23" s="1"/>
  <c r="S1258" i="23"/>
  <c r="V1258" i="23"/>
  <c r="S1259" i="23"/>
  <c r="V1259" i="23"/>
  <c r="S1260" i="23"/>
  <c r="V1260" i="23"/>
  <c r="K1261" i="23"/>
  <c r="L1261" i="23" s="1"/>
  <c r="S1261" i="23"/>
  <c r="V1261" i="23"/>
  <c r="S1262" i="23"/>
  <c r="V1262" i="23"/>
  <c r="K1263" i="23"/>
  <c r="L1263" i="23" s="1"/>
  <c r="S1263" i="23"/>
  <c r="V1263" i="23"/>
  <c r="K1264" i="23"/>
  <c r="L1264" i="23" s="1"/>
  <c r="S1264" i="23"/>
  <c r="V1264" i="23"/>
  <c r="K1265" i="23"/>
  <c r="L1265" i="23" s="1"/>
  <c r="S1265" i="23"/>
  <c r="V1265" i="23"/>
  <c r="S1266" i="23"/>
  <c r="V1266" i="23"/>
  <c r="K1267" i="23"/>
  <c r="L1267" i="23" s="1"/>
  <c r="S1267" i="23"/>
  <c r="V1267" i="23"/>
  <c r="H1254" i="23"/>
  <c r="K1245" i="23"/>
  <c r="L1245" i="23" s="1"/>
  <c r="S1245" i="23"/>
  <c r="V1245" i="23"/>
  <c r="H1233" i="23"/>
  <c r="K1221" i="23"/>
  <c r="L1221" i="23" s="1"/>
  <c r="S1221" i="23"/>
  <c r="V1221" i="23"/>
  <c r="K1222" i="23"/>
  <c r="L1222" i="23" s="1"/>
  <c r="S1222" i="23"/>
  <c r="V1222" i="23"/>
  <c r="K1223" i="23"/>
  <c r="L1223" i="23" s="1"/>
  <c r="S1223" i="23"/>
  <c r="V1223" i="23"/>
  <c r="K1224" i="23"/>
  <c r="L1224" i="23" s="1"/>
  <c r="S1224" i="23"/>
  <c r="V1224" i="23"/>
  <c r="K1211" i="23"/>
  <c r="L1211" i="23" s="1"/>
  <c r="S1211" i="23"/>
  <c r="V1211" i="23"/>
  <c r="S1212" i="23"/>
  <c r="V1212" i="23"/>
  <c r="K1213" i="23"/>
  <c r="L1213" i="23" s="1"/>
  <c r="S1213" i="23"/>
  <c r="V1213" i="23"/>
  <c r="K1214" i="23"/>
  <c r="L1214" i="23" s="1"/>
  <c r="S1214" i="23"/>
  <c r="V1214" i="23"/>
  <c r="K1215" i="23"/>
  <c r="L1215" i="23" s="1"/>
  <c r="S1215" i="23"/>
  <c r="V1215" i="23"/>
  <c r="K1216" i="23"/>
  <c r="L1216" i="23" s="1"/>
  <c r="S1216" i="23"/>
  <c r="V1216" i="23"/>
  <c r="K1217" i="23"/>
  <c r="L1217" i="23" s="1"/>
  <c r="S1217" i="23"/>
  <c r="V1217" i="23"/>
  <c r="K1218" i="23"/>
  <c r="L1218" i="23" s="1"/>
  <c r="S1218" i="23"/>
  <c r="V1218" i="23"/>
  <c r="K1219" i="23"/>
  <c r="L1219" i="23" s="1"/>
  <c r="S1219" i="23"/>
  <c r="V1219" i="23"/>
  <c r="K1220" i="23"/>
  <c r="L1220" i="23" s="1"/>
  <c r="S1220" i="23"/>
  <c r="V1220" i="23"/>
  <c r="H1209" i="23"/>
  <c r="K1200" i="23"/>
  <c r="L1200" i="23" s="1"/>
  <c r="S1200" i="23"/>
  <c r="V1200" i="23"/>
  <c r="H1187" i="23"/>
  <c r="K1178" i="23"/>
  <c r="L1178" i="23" s="1"/>
  <c r="S1178" i="23"/>
  <c r="V1178" i="23"/>
  <c r="H1167" i="23"/>
  <c r="H1110" i="23"/>
  <c r="K1113" i="23"/>
  <c r="L1113" i="23" s="1"/>
  <c r="S1113" i="23"/>
  <c r="V1113" i="23"/>
  <c r="H1105" i="23"/>
  <c r="K1096" i="23"/>
  <c r="L1096" i="23" s="1"/>
  <c r="S1096" i="23"/>
  <c r="V1096" i="23"/>
  <c r="H1090" i="23"/>
  <c r="K1088" i="23"/>
  <c r="L1088" i="23" s="1"/>
  <c r="S1088" i="23"/>
  <c r="V1088" i="23"/>
  <c r="K1089" i="23"/>
  <c r="L1089" i="23" s="1"/>
  <c r="S1089" i="23"/>
  <c r="V1089" i="23"/>
  <c r="S1090" i="23"/>
  <c r="V1090" i="23"/>
  <c r="K1091" i="23"/>
  <c r="L1091" i="23" s="1"/>
  <c r="S1091" i="23"/>
  <c r="V1091" i="23"/>
  <c r="K1092" i="23"/>
  <c r="L1092" i="23" s="1"/>
  <c r="S1092" i="23"/>
  <c r="V1092" i="23"/>
  <c r="K1093" i="23"/>
  <c r="L1093" i="23" s="1"/>
  <c r="S1093" i="23"/>
  <c r="V1093" i="23"/>
  <c r="K1094" i="23"/>
  <c r="L1094" i="23" s="1"/>
  <c r="S1094" i="23"/>
  <c r="V1094" i="23"/>
  <c r="K1095" i="23"/>
  <c r="L1095" i="23" s="1"/>
  <c r="S1095" i="23"/>
  <c r="V1095" i="23"/>
  <c r="H1086" i="23"/>
  <c r="H1076" i="23"/>
  <c r="K1076" i="23" s="1"/>
  <c r="L1076" i="23" s="1"/>
  <c r="S1076" i="23"/>
  <c r="V1076" i="23"/>
  <c r="K1077" i="23"/>
  <c r="L1077" i="23" s="1"/>
  <c r="S1077" i="23"/>
  <c r="V1077" i="23"/>
  <c r="H1068" i="23"/>
  <c r="K1058" i="23"/>
  <c r="L1058" i="23" s="1"/>
  <c r="S1058" i="23"/>
  <c r="V1058" i="23"/>
  <c r="H1052" i="23"/>
  <c r="K1043" i="23"/>
  <c r="L1043" i="23" s="1"/>
  <c r="S1043" i="23"/>
  <c r="V1043" i="23"/>
  <c r="H1039" i="23"/>
  <c r="H1034" i="23"/>
  <c r="K997" i="23"/>
  <c r="L997" i="23" s="1"/>
  <c r="S997" i="23"/>
  <c r="V997" i="23"/>
  <c r="H981" i="23"/>
  <c r="K972" i="23"/>
  <c r="L972" i="23" s="1"/>
  <c r="S972" i="23"/>
  <c r="V972" i="23"/>
  <c r="H959" i="23"/>
  <c r="H936" i="23"/>
  <c r="K896" i="23"/>
  <c r="L896" i="23" s="1"/>
  <c r="S896" i="23"/>
  <c r="V896" i="23"/>
  <c r="H889" i="23"/>
  <c r="K879" i="23"/>
  <c r="L879" i="23" s="1"/>
  <c r="S879" i="23"/>
  <c r="V879" i="23"/>
  <c r="H864" i="23"/>
  <c r="K855" i="23"/>
  <c r="L855" i="23" s="1"/>
  <c r="S855" i="23"/>
  <c r="V855" i="23"/>
  <c r="H840" i="23"/>
  <c r="K808" i="23"/>
  <c r="L808" i="23" s="1"/>
  <c r="S808" i="23"/>
  <c r="V808" i="23"/>
  <c r="H803" i="23"/>
  <c r="H798" i="23"/>
  <c r="K789" i="23"/>
  <c r="L789" i="23" s="1"/>
  <c r="S789" i="23"/>
  <c r="V789" i="23"/>
  <c r="H784" i="23"/>
  <c r="H779" i="23"/>
  <c r="K751" i="23"/>
  <c r="L751" i="23" s="1"/>
  <c r="S751" i="23"/>
  <c r="V751" i="23"/>
  <c r="H745" i="23"/>
  <c r="H741" i="23"/>
  <c r="K732" i="23"/>
  <c r="L732" i="23" s="1"/>
  <c r="S732" i="23"/>
  <c r="V732" i="23"/>
  <c r="H719" i="23"/>
  <c r="K710" i="23"/>
  <c r="L710" i="23" s="1"/>
  <c r="S710" i="23"/>
  <c r="V710" i="23"/>
  <c r="H695" i="23"/>
  <c r="K686" i="23"/>
  <c r="L686" i="23" s="1"/>
  <c r="S686" i="23"/>
  <c r="V686" i="23"/>
  <c r="H673" i="23"/>
  <c r="K661" i="23"/>
  <c r="L661" i="23" s="1"/>
  <c r="S661" i="23"/>
  <c r="V661" i="23"/>
  <c r="H657" i="23"/>
  <c r="H653" i="23"/>
  <c r="K617" i="23"/>
  <c r="L617" i="23" s="1"/>
  <c r="S617" i="23"/>
  <c r="V617" i="23"/>
  <c r="H610" i="23"/>
  <c r="K600" i="23"/>
  <c r="L600" i="23" s="1"/>
  <c r="S600" i="23"/>
  <c r="V600" i="23"/>
  <c r="H588" i="23"/>
  <c r="K578" i="23"/>
  <c r="L578" i="23" s="1"/>
  <c r="S578" i="23"/>
  <c r="V578" i="23"/>
  <c r="H564" i="23"/>
  <c r="K555" i="23"/>
  <c r="L555" i="23" s="1"/>
  <c r="S555" i="23"/>
  <c r="V555" i="23"/>
  <c r="H543" i="23"/>
  <c r="K534" i="23"/>
  <c r="L534" i="23" s="1"/>
  <c r="S534" i="23"/>
  <c r="V534" i="23"/>
  <c r="H520" i="23"/>
  <c r="K510" i="23"/>
  <c r="L510" i="23" s="1"/>
  <c r="S510" i="23"/>
  <c r="V510" i="23"/>
  <c r="H496" i="23"/>
  <c r="K485" i="23"/>
  <c r="L485" i="23" s="1"/>
  <c r="S485" i="23"/>
  <c r="V485" i="23"/>
  <c r="H474" i="23"/>
  <c r="K464" i="23"/>
  <c r="L464" i="23" s="1"/>
  <c r="S464" i="23"/>
  <c r="V464" i="23"/>
  <c r="H455" i="23"/>
  <c r="K446" i="23"/>
  <c r="L446" i="23" s="1"/>
  <c r="S446" i="23"/>
  <c r="V446" i="23"/>
  <c r="H442" i="23"/>
  <c r="H436" i="23"/>
  <c r="K427" i="23"/>
  <c r="L427" i="23" s="1"/>
  <c r="S427" i="23"/>
  <c r="V427" i="23"/>
  <c r="H410" i="23"/>
  <c r="H397" i="23"/>
  <c r="K393" i="23"/>
  <c r="L393" i="23" s="1"/>
  <c r="S393" i="23"/>
  <c r="V393" i="23"/>
  <c r="K394" i="23"/>
  <c r="L394" i="23" s="1"/>
  <c r="S394" i="23"/>
  <c r="V394" i="23"/>
  <c r="K395" i="23"/>
  <c r="L395" i="23" s="1"/>
  <c r="S395" i="23"/>
  <c r="V395" i="23"/>
  <c r="K396" i="23"/>
  <c r="L396" i="23" s="1"/>
  <c r="S396" i="23"/>
  <c r="V396" i="23"/>
  <c r="S397" i="23"/>
  <c r="V397" i="23"/>
  <c r="K398" i="23"/>
  <c r="L398" i="23" s="1"/>
  <c r="S398" i="23"/>
  <c r="V398" i="23"/>
  <c r="K399" i="23"/>
  <c r="L399" i="23" s="1"/>
  <c r="S399" i="23"/>
  <c r="V399" i="23"/>
  <c r="K400" i="23"/>
  <c r="L400" i="23" s="1"/>
  <c r="S400" i="23"/>
  <c r="V400" i="23"/>
  <c r="K401" i="23"/>
  <c r="L401" i="23" s="1"/>
  <c r="S401" i="23"/>
  <c r="V401" i="23"/>
  <c r="H390" i="23"/>
  <c r="AA431" i="22"/>
  <c r="AA275" i="22"/>
  <c r="AA216" i="22"/>
  <c r="K380" i="23"/>
  <c r="L380" i="23" s="1"/>
  <c r="S380" i="23"/>
  <c r="V380" i="23"/>
  <c r="H375" i="23"/>
  <c r="K372" i="23"/>
  <c r="L372" i="23" s="1"/>
  <c r="S372" i="23"/>
  <c r="V372" i="23"/>
  <c r="K373" i="23"/>
  <c r="L373" i="23" s="1"/>
  <c r="S373" i="23"/>
  <c r="V373" i="23"/>
  <c r="K374" i="23"/>
  <c r="L374" i="23" s="1"/>
  <c r="S374" i="23"/>
  <c r="V374" i="23"/>
  <c r="S375" i="23"/>
  <c r="V375" i="23"/>
  <c r="K376" i="23"/>
  <c r="L376" i="23" s="1"/>
  <c r="S376" i="23"/>
  <c r="V376" i="23"/>
  <c r="K377" i="23"/>
  <c r="L377" i="23" s="1"/>
  <c r="S377" i="23"/>
  <c r="V377" i="23"/>
  <c r="K378" i="23"/>
  <c r="L378" i="23" s="1"/>
  <c r="S378" i="23"/>
  <c r="V378" i="23"/>
  <c r="K379" i="23"/>
  <c r="L379" i="23" s="1"/>
  <c r="S379" i="23"/>
  <c r="V379" i="23"/>
  <c r="H369" i="23"/>
  <c r="K359" i="23"/>
  <c r="L359" i="23" s="1"/>
  <c r="S359" i="23"/>
  <c r="V359" i="23"/>
  <c r="H350" i="23"/>
  <c r="S330" i="23"/>
  <c r="V330" i="23"/>
  <c r="K331" i="23"/>
  <c r="L331" i="23" s="1"/>
  <c r="S331" i="23"/>
  <c r="V331" i="23"/>
  <c r="K332" i="23"/>
  <c r="L332" i="23" s="1"/>
  <c r="S332" i="23"/>
  <c r="V332" i="23"/>
  <c r="K333" i="23"/>
  <c r="L333" i="23" s="1"/>
  <c r="S333" i="23"/>
  <c r="V333" i="23"/>
  <c r="K334" i="23"/>
  <c r="L334" i="23" s="1"/>
  <c r="S334" i="23"/>
  <c r="V334" i="23"/>
  <c r="K335" i="23"/>
  <c r="L335" i="23" s="1"/>
  <c r="S335" i="23"/>
  <c r="V335" i="23"/>
  <c r="K336" i="23"/>
  <c r="L336" i="23" s="1"/>
  <c r="S336" i="23"/>
  <c r="V336" i="23"/>
  <c r="K337" i="23"/>
  <c r="L337" i="23" s="1"/>
  <c r="S337" i="23"/>
  <c r="V337" i="23"/>
  <c r="K338" i="23"/>
  <c r="L338" i="23" s="1"/>
  <c r="S338" i="23"/>
  <c r="V338" i="23"/>
  <c r="K339" i="23"/>
  <c r="L339" i="23" s="1"/>
  <c r="K340" i="23"/>
  <c r="L340" i="23" s="1"/>
  <c r="K341" i="23"/>
  <c r="L341" i="23" s="1"/>
  <c r="S341" i="23"/>
  <c r="V341" i="23"/>
  <c r="H327" i="23"/>
  <c r="K318" i="23"/>
  <c r="L318" i="23" s="1"/>
  <c r="S318" i="23"/>
  <c r="V318" i="23"/>
  <c r="H306" i="23"/>
  <c r="H285" i="23"/>
  <c r="K273" i="23"/>
  <c r="L273" i="23" s="1"/>
  <c r="S273" i="23"/>
  <c r="V273" i="23"/>
  <c r="H259" i="23"/>
  <c r="K250" i="23"/>
  <c r="L250" i="23" s="1"/>
  <c r="S250" i="23"/>
  <c r="V250" i="23"/>
  <c r="H239" i="23"/>
  <c r="K228" i="23"/>
  <c r="L228" i="23" s="1"/>
  <c r="S228" i="23"/>
  <c r="V228" i="23"/>
  <c r="H224" i="23"/>
  <c r="H218" i="23"/>
  <c r="M210" i="23"/>
  <c r="K209" i="23"/>
  <c r="L209" i="23" s="1"/>
  <c r="S209" i="23"/>
  <c r="V209" i="23"/>
  <c r="H197" i="23"/>
  <c r="K187" i="23"/>
  <c r="L187" i="23" s="1"/>
  <c r="S187" i="23"/>
  <c r="V187" i="23"/>
  <c r="H175" i="23"/>
  <c r="K164" i="23"/>
  <c r="L164" i="23" s="1"/>
  <c r="S164" i="23"/>
  <c r="V164" i="23"/>
  <c r="H159" i="23"/>
  <c r="H155" i="23"/>
  <c r="AC478" i="22" l="1"/>
  <c r="AD478" i="22" s="1"/>
  <c r="AE478" i="22" s="1"/>
  <c r="U1863" i="23"/>
  <c r="R1864" i="23"/>
  <c r="U1864" i="23" s="1"/>
  <c r="U1819" i="23"/>
  <c r="R1820" i="23"/>
  <c r="U1820" i="23" s="1"/>
  <c r="R1684" i="23"/>
  <c r="R1685" i="23" s="1"/>
  <c r="T1258" i="23"/>
  <c r="T1222" i="23"/>
  <c r="T1265" i="23"/>
  <c r="T1220" i="23"/>
  <c r="T1219" i="23"/>
  <c r="T1224" i="23"/>
  <c r="T1263" i="23"/>
  <c r="T1260" i="23"/>
  <c r="T1267" i="23"/>
  <c r="T1264" i="23"/>
  <c r="T1261" i="23"/>
  <c r="T1266" i="23"/>
  <c r="T1257" i="23"/>
  <c r="T1259" i="23"/>
  <c r="T1262" i="23"/>
  <c r="T1223" i="23"/>
  <c r="T1221" i="23"/>
  <c r="T1212" i="23"/>
  <c r="T1213" i="23"/>
  <c r="T1215" i="23"/>
  <c r="T1077" i="23"/>
  <c r="T1214" i="23"/>
  <c r="T1217" i="23"/>
  <c r="T1218" i="23"/>
  <c r="T1216" i="23"/>
  <c r="T1095" i="23"/>
  <c r="T1092" i="23"/>
  <c r="T1089" i="23"/>
  <c r="T1093" i="23"/>
  <c r="T1094" i="23"/>
  <c r="T1090" i="23"/>
  <c r="T1091" i="23"/>
  <c r="T1096" i="23"/>
  <c r="T401" i="23"/>
  <c r="T394" i="23"/>
  <c r="T377" i="23"/>
  <c r="T397" i="23"/>
  <c r="R510" i="23"/>
  <c r="T398" i="23"/>
  <c r="T395" i="23"/>
  <c r="T376" i="23"/>
  <c r="T399" i="23"/>
  <c r="T396" i="23"/>
  <c r="T378" i="23"/>
  <c r="T374" i="23"/>
  <c r="T400" i="23"/>
  <c r="T379" i="23"/>
  <c r="R394" i="23"/>
  <c r="T338" i="23"/>
  <c r="T375" i="23"/>
  <c r="T373" i="23"/>
  <c r="T380" i="23"/>
  <c r="T335" i="23"/>
  <c r="T331" i="23"/>
  <c r="T332" i="23"/>
  <c r="T334" i="23"/>
  <c r="T337" i="23"/>
  <c r="T333" i="23"/>
  <c r="T336" i="23"/>
  <c r="U1685" i="23" l="1"/>
  <c r="R1686" i="23"/>
  <c r="U1686" i="23" s="1"/>
  <c r="AF478" i="22"/>
  <c r="AG478" i="22" s="1"/>
  <c r="U1684" i="23"/>
  <c r="R1089" i="23"/>
  <c r="U1089" i="23" s="1"/>
  <c r="U394" i="23"/>
  <c r="R395" i="23"/>
  <c r="R373" i="23"/>
  <c r="AH478" i="22" l="1"/>
  <c r="U395" i="23"/>
  <c r="R396" i="23"/>
  <c r="U396" i="23" s="1"/>
  <c r="U373" i="23"/>
  <c r="R374" i="23"/>
  <c r="U374" i="23" s="1"/>
  <c r="AI478" i="22" l="1"/>
  <c r="AJ478" i="22" s="1"/>
  <c r="K1090" i="23"/>
  <c r="L1090" i="23" s="1"/>
  <c r="K1865" i="23" l="1"/>
  <c r="L1865" i="23" s="1"/>
  <c r="K375" i="23"/>
  <c r="L375" i="23" s="1"/>
  <c r="U335" i="23"/>
  <c r="R336" i="23"/>
  <c r="K1821" i="23" l="1"/>
  <c r="L1821" i="23" s="1"/>
  <c r="U336" i="23"/>
  <c r="R337" i="23"/>
  <c r="K397" i="23" l="1"/>
  <c r="L397" i="23" s="1"/>
  <c r="U337" i="23"/>
  <c r="R338" i="23"/>
  <c r="K1687" i="23" l="1"/>
  <c r="L1687" i="23" s="1"/>
  <c r="U338" i="23"/>
  <c r="R339" i="23"/>
  <c r="U1218" i="23" l="1"/>
  <c r="R1219" i="23"/>
  <c r="R340" i="23"/>
  <c r="U1219" i="23" l="1"/>
  <c r="R1220" i="23"/>
  <c r="R341" i="23"/>
  <c r="U1220" i="23" l="1"/>
  <c r="R1221" i="23"/>
  <c r="U1364" i="23" l="1"/>
  <c r="R1365" i="23"/>
  <c r="U1221" i="23"/>
  <c r="R1222" i="23"/>
  <c r="U1365" i="23" l="1"/>
  <c r="R1366" i="23"/>
  <c r="R1223" i="23"/>
  <c r="U1222" i="23"/>
  <c r="U1366" i="23" l="1"/>
  <c r="R1367" i="23"/>
  <c r="U1367" i="23" s="1"/>
  <c r="U1223" i="23"/>
  <c r="R1224" i="23"/>
  <c r="U1224" i="23" s="1"/>
  <c r="U1342" i="23" l="1"/>
  <c r="R1343" i="23"/>
  <c r="U1343" i="23" s="1"/>
  <c r="H122" i="23" l="1"/>
  <c r="S116" i="23"/>
  <c r="V116" i="23"/>
  <c r="K117" i="23"/>
  <c r="L117" i="23" s="1"/>
  <c r="S117" i="23"/>
  <c r="V117" i="23"/>
  <c r="K118" i="23"/>
  <c r="L118" i="23" s="1"/>
  <c r="S118" i="23"/>
  <c r="V118" i="23"/>
  <c r="K119" i="23"/>
  <c r="L119" i="23" s="1"/>
  <c r="S119" i="23"/>
  <c r="V119" i="23"/>
  <c r="K120" i="23"/>
  <c r="L120" i="23" s="1"/>
  <c r="S120" i="23"/>
  <c r="V120" i="23"/>
  <c r="K121" i="23"/>
  <c r="L121" i="23" s="1"/>
  <c r="S121" i="23"/>
  <c r="V121" i="23"/>
  <c r="S122" i="23"/>
  <c r="V122" i="23"/>
  <c r="K123" i="23"/>
  <c r="L123" i="23" s="1"/>
  <c r="S123" i="23"/>
  <c r="V123" i="23"/>
  <c r="K124" i="23"/>
  <c r="L124" i="23" s="1"/>
  <c r="S124" i="23"/>
  <c r="V124" i="23"/>
  <c r="H86" i="23"/>
  <c r="M94" i="23" s="1"/>
  <c r="N94" i="23" s="1"/>
  <c r="H114" i="23"/>
  <c r="K77" i="23"/>
  <c r="L77" i="23" s="1"/>
  <c r="S77" i="23"/>
  <c r="V77" i="23"/>
  <c r="H59" i="23"/>
  <c r="K49" i="23"/>
  <c r="L49" i="23" s="1"/>
  <c r="S49" i="23"/>
  <c r="V49" i="23"/>
  <c r="O94" i="23" l="1"/>
  <c r="H95" i="23"/>
  <c r="J94" i="23"/>
  <c r="T117" i="23"/>
  <c r="T118" i="23"/>
  <c r="T120" i="23"/>
  <c r="T123" i="23"/>
  <c r="T119" i="23"/>
  <c r="T124" i="23"/>
  <c r="T122" i="23"/>
  <c r="T121" i="23"/>
  <c r="S30" i="23" l="1"/>
  <c r="V30" i="23"/>
  <c r="H8" i="23"/>
  <c r="S12" i="22"/>
  <c r="M1821" i="23" l="1"/>
  <c r="N1821" i="23" s="1"/>
  <c r="H1822" i="23" s="1"/>
  <c r="M1822" i="23" s="1"/>
  <c r="N1822" i="23" s="1"/>
  <c r="M1865" i="23"/>
  <c r="N1865" i="23" s="1"/>
  <c r="M1687" i="23"/>
  <c r="N1687" i="23" s="1"/>
  <c r="J1687" i="23" s="1"/>
  <c r="M1781" i="23"/>
  <c r="N1781" i="23" s="1"/>
  <c r="M1076" i="23"/>
  <c r="N1076" i="23" s="1"/>
  <c r="J1076" i="23" s="1"/>
  <c r="M1090" i="23"/>
  <c r="N1090" i="23" s="1"/>
  <c r="M375" i="23"/>
  <c r="N375" i="23" s="1"/>
  <c r="H376" i="23" s="1"/>
  <c r="M397" i="23"/>
  <c r="N397" i="23" s="1"/>
  <c r="O1821" i="23" l="1"/>
  <c r="J1821" i="23"/>
  <c r="J1865" i="23"/>
  <c r="H1866" i="23"/>
  <c r="M1866" i="23" s="1"/>
  <c r="N1866" i="23" s="1"/>
  <c r="O1865" i="23"/>
  <c r="J1822" i="23"/>
  <c r="O1822" i="23"/>
  <c r="H1823" i="23"/>
  <c r="H1688" i="23"/>
  <c r="M1688" i="23" s="1"/>
  <c r="N1688" i="23" s="1"/>
  <c r="O1688" i="23" s="1"/>
  <c r="O1687" i="23"/>
  <c r="O1781" i="23"/>
  <c r="J1781" i="23"/>
  <c r="H1782" i="23"/>
  <c r="M1782" i="23" s="1"/>
  <c r="N1782" i="23" s="1"/>
  <c r="H1077" i="23"/>
  <c r="M1077" i="23" s="1"/>
  <c r="N1077" i="23" s="1"/>
  <c r="J1077" i="23" s="1"/>
  <c r="O1076" i="23"/>
  <c r="O1090" i="23"/>
  <c r="J1090" i="23"/>
  <c r="H1091" i="23"/>
  <c r="M1091" i="23" s="1"/>
  <c r="N1091" i="23" s="1"/>
  <c r="J375" i="23"/>
  <c r="O375" i="23"/>
  <c r="J397" i="23"/>
  <c r="O397" i="23"/>
  <c r="H398" i="23"/>
  <c r="M398" i="23" s="1"/>
  <c r="N398" i="23" s="1"/>
  <c r="M376" i="23"/>
  <c r="N376" i="23" s="1"/>
  <c r="S501" i="22"/>
  <c r="H1715" i="23"/>
  <c r="K1715" i="23" s="1"/>
  <c r="L1715" i="23" s="1"/>
  <c r="S1715" i="23"/>
  <c r="V1715" i="23"/>
  <c r="H1700" i="23"/>
  <c r="B752" i="22"/>
  <c r="W752" i="22"/>
  <c r="S1510" i="23"/>
  <c r="V1510" i="23"/>
  <c r="H1496" i="23"/>
  <c r="S452" i="22"/>
  <c r="L459" i="22"/>
  <c r="B459" i="22"/>
  <c r="H1377" i="23"/>
  <c r="S406" i="22"/>
  <c r="L415" i="22"/>
  <c r="B415" i="22"/>
  <c r="L666" i="22"/>
  <c r="L665" i="22"/>
  <c r="B665" i="22"/>
  <c r="L664" i="22"/>
  <c r="B664" i="22"/>
  <c r="L663" i="22"/>
  <c r="B663" i="22"/>
  <c r="L662" i="22"/>
  <c r="B662" i="22"/>
  <c r="X752" i="22" l="1"/>
  <c r="Y752" i="22"/>
  <c r="J1866" i="23"/>
  <c r="O1866" i="23"/>
  <c r="H1867" i="23"/>
  <c r="M1867" i="23" s="1"/>
  <c r="N1867" i="23" s="1"/>
  <c r="J1688" i="23"/>
  <c r="H1689" i="23"/>
  <c r="M1689" i="23" s="1"/>
  <c r="N1689" i="23" s="1"/>
  <c r="O1689" i="23" s="1"/>
  <c r="J1782" i="23"/>
  <c r="O1782" i="23"/>
  <c r="O1077" i="23"/>
  <c r="H1092" i="23"/>
  <c r="M1092" i="23" s="1"/>
  <c r="N1092" i="23" s="1"/>
  <c r="O1091" i="23"/>
  <c r="J1091" i="23"/>
  <c r="J398" i="23"/>
  <c r="O398" i="23"/>
  <c r="H399" i="23"/>
  <c r="M399" i="23" s="1"/>
  <c r="N399" i="23" s="1"/>
  <c r="H377" i="23"/>
  <c r="M377" i="23" s="1"/>
  <c r="N377" i="23" s="1"/>
  <c r="J376" i="23"/>
  <c r="O376" i="23"/>
  <c r="M1715" i="23"/>
  <c r="N1715" i="23" s="1"/>
  <c r="Z752" i="22" l="1"/>
  <c r="AA752" i="22"/>
  <c r="O1867" i="23"/>
  <c r="J1867" i="23"/>
  <c r="H1868" i="23"/>
  <c r="M1868" i="23" s="1"/>
  <c r="N1868" i="23" s="1"/>
  <c r="J1689" i="23"/>
  <c r="H1690" i="23"/>
  <c r="M1690" i="23" s="1"/>
  <c r="N1690" i="23" s="1"/>
  <c r="J1690" i="23" s="1"/>
  <c r="O1092" i="23"/>
  <c r="J1092" i="23"/>
  <c r="H1093" i="23"/>
  <c r="M1093" i="23" s="1"/>
  <c r="N1093" i="23" s="1"/>
  <c r="J399" i="23"/>
  <c r="O399" i="23"/>
  <c r="H400" i="23"/>
  <c r="M400" i="23" s="1"/>
  <c r="N400" i="23" s="1"/>
  <c r="J377" i="23"/>
  <c r="O377" i="23"/>
  <c r="H378" i="23"/>
  <c r="M378" i="23" s="1"/>
  <c r="N378" i="23" s="1"/>
  <c r="J1715" i="23"/>
  <c r="O1715" i="23"/>
  <c r="H1869" i="23" l="1"/>
  <c r="J1868" i="23"/>
  <c r="O1868" i="23"/>
  <c r="H1691" i="23"/>
  <c r="M1691" i="23" s="1"/>
  <c r="N1691" i="23" s="1"/>
  <c r="O1691" i="23" s="1"/>
  <c r="O1690" i="23"/>
  <c r="J1093" i="23"/>
  <c r="H1094" i="23"/>
  <c r="M1094" i="23" s="1"/>
  <c r="N1094" i="23" s="1"/>
  <c r="O1093" i="23"/>
  <c r="O400" i="23"/>
  <c r="H401" i="23"/>
  <c r="M401" i="23" s="1"/>
  <c r="N401" i="23" s="1"/>
  <c r="J400" i="23"/>
  <c r="O378" i="23"/>
  <c r="H379" i="23"/>
  <c r="M379" i="23" s="1"/>
  <c r="N379" i="23" s="1"/>
  <c r="H380" i="23" s="1"/>
  <c r="M380" i="23" s="1"/>
  <c r="N380" i="23" s="1"/>
  <c r="J378" i="23"/>
  <c r="AB752" i="22"/>
  <c r="AH752" i="22" l="1"/>
  <c r="AI752" i="22" s="1"/>
  <c r="AJ752" i="22" s="1"/>
  <c r="M1869" i="23"/>
  <c r="N1869" i="23" s="1"/>
  <c r="J1691" i="23"/>
  <c r="O1094" i="23"/>
  <c r="H1095" i="23"/>
  <c r="M1095" i="23" s="1"/>
  <c r="N1095" i="23" s="1"/>
  <c r="H1096" i="23" s="1"/>
  <c r="M1096" i="23" s="1"/>
  <c r="N1096" i="23" s="1"/>
  <c r="J1094" i="23"/>
  <c r="J401" i="23"/>
  <c r="O401" i="23"/>
  <c r="J380" i="23"/>
  <c r="O380" i="23"/>
  <c r="O379" i="23"/>
  <c r="J379" i="23"/>
  <c r="J1869" i="23" l="1"/>
  <c r="O1869" i="23"/>
  <c r="O1096" i="23"/>
  <c r="J1096" i="23"/>
  <c r="J1095" i="23"/>
  <c r="O1095" i="23"/>
  <c r="H137" i="23"/>
  <c r="K135" i="23"/>
  <c r="L135" i="23" s="1"/>
  <c r="S135" i="23"/>
  <c r="V135" i="23"/>
  <c r="K136" i="23"/>
  <c r="L136" i="23" s="1"/>
  <c r="S136" i="23"/>
  <c r="V136" i="23"/>
  <c r="S137" i="23"/>
  <c r="V137" i="23"/>
  <c r="S138" i="23"/>
  <c r="V138" i="23"/>
  <c r="K139" i="23"/>
  <c r="L139" i="23" s="1"/>
  <c r="S139" i="23"/>
  <c r="V139" i="23"/>
  <c r="K140" i="23"/>
  <c r="L140" i="23" s="1"/>
  <c r="S140" i="23"/>
  <c r="V140" i="23"/>
  <c r="S141" i="23"/>
  <c r="V141" i="23"/>
  <c r="K142" i="23"/>
  <c r="L142" i="23" s="1"/>
  <c r="S142" i="23"/>
  <c r="V142" i="23"/>
  <c r="K143" i="23"/>
  <c r="L143" i="23" s="1"/>
  <c r="S143" i="23"/>
  <c r="V143" i="23"/>
  <c r="S144" i="23"/>
  <c r="V144" i="23"/>
  <c r="H133" i="23"/>
  <c r="S296" i="23"/>
  <c r="V296" i="23"/>
  <c r="M297" i="23"/>
  <c r="S104" i="22"/>
  <c r="L109" i="22"/>
  <c r="B109" i="22"/>
  <c r="K1008" i="23"/>
  <c r="L1008" i="23" s="1"/>
  <c r="S1008" i="23"/>
  <c r="V1008" i="23"/>
  <c r="S1009" i="23"/>
  <c r="V1009" i="23"/>
  <c r="K1010" i="23"/>
  <c r="L1010" i="23" s="1"/>
  <c r="S1010" i="23"/>
  <c r="V1010" i="23"/>
  <c r="K1011" i="23"/>
  <c r="L1011" i="23" s="1"/>
  <c r="S1011" i="23"/>
  <c r="V1011" i="23"/>
  <c r="S1012" i="23"/>
  <c r="V1012" i="23"/>
  <c r="K1013" i="23"/>
  <c r="L1013" i="23" s="1"/>
  <c r="S1013" i="23"/>
  <c r="V1013" i="23"/>
  <c r="S1014" i="23"/>
  <c r="V1014" i="23"/>
  <c r="K1015" i="23"/>
  <c r="L1015" i="23" s="1"/>
  <c r="S1015" i="23"/>
  <c r="V1015" i="23"/>
  <c r="S1016" i="23"/>
  <c r="V1016" i="23"/>
  <c r="K1017" i="23"/>
  <c r="L1017" i="23" s="1"/>
  <c r="S1017" i="23"/>
  <c r="V1017" i="23"/>
  <c r="K1018" i="23"/>
  <c r="L1018" i="23" s="1"/>
  <c r="S1018" i="23"/>
  <c r="V1018" i="23"/>
  <c r="S1019" i="23"/>
  <c r="V1019" i="23"/>
  <c r="K1020" i="23"/>
  <c r="L1020" i="23" s="1"/>
  <c r="S1020" i="23"/>
  <c r="V1020" i="23"/>
  <c r="S1021" i="23"/>
  <c r="V1021" i="23"/>
  <c r="S1022" i="23"/>
  <c r="V1022" i="23"/>
  <c r="K1023" i="23"/>
  <c r="L1023" i="23" s="1"/>
  <c r="S1023" i="23"/>
  <c r="V1023" i="23"/>
  <c r="S1024" i="23"/>
  <c r="V1024" i="23"/>
  <c r="H1006" i="23"/>
  <c r="S307" i="22"/>
  <c r="L319" i="22"/>
  <c r="B319" i="22"/>
  <c r="W661" i="22"/>
  <c r="L661" i="22"/>
  <c r="B661" i="22"/>
  <c r="W23" i="22"/>
  <c r="X23" i="22" s="1"/>
  <c r="L23" i="22"/>
  <c r="B23" i="22"/>
  <c r="W660" i="22"/>
  <c r="L660" i="22"/>
  <c r="B660" i="22"/>
  <c r="S1880" i="23"/>
  <c r="A1880" i="23" s="1"/>
  <c r="V1880" i="23"/>
  <c r="H1878" i="23"/>
  <c r="G1887" i="23"/>
  <c r="AD1882" i="23" s="1"/>
  <c r="A1886" i="23"/>
  <c r="A1885" i="23"/>
  <c r="A1884" i="23"/>
  <c r="A1883" i="23"/>
  <c r="A1882" i="23"/>
  <c r="V1879" i="23"/>
  <c r="S1879" i="23"/>
  <c r="A1879" i="23" s="1"/>
  <c r="K1879" i="23"/>
  <c r="L1879" i="23" s="1"/>
  <c r="V1878" i="23"/>
  <c r="S1878" i="23"/>
  <c r="P1878" i="23"/>
  <c r="A1874" i="23"/>
  <c r="L627" i="22"/>
  <c r="S627" i="22"/>
  <c r="X660" i="22" l="1"/>
  <c r="Y660" i="22"/>
  <c r="X661" i="22"/>
  <c r="Y661" i="22"/>
  <c r="T1014" i="23"/>
  <c r="T1013" i="23"/>
  <c r="T1020" i="23"/>
  <c r="T1017" i="23"/>
  <c r="T1018" i="23"/>
  <c r="T1015" i="23"/>
  <c r="T143" i="23"/>
  <c r="T140" i="23"/>
  <c r="T137" i="23"/>
  <c r="T1021" i="23"/>
  <c r="T1879" i="23"/>
  <c r="T1022" i="23"/>
  <c r="T1019" i="23"/>
  <c r="T141" i="23"/>
  <c r="T142" i="23"/>
  <c r="T1023" i="23"/>
  <c r="T1012" i="23"/>
  <c r="T1009" i="23"/>
  <c r="T139" i="23"/>
  <c r="T136" i="23"/>
  <c r="T1010" i="23"/>
  <c r="A1878" i="23"/>
  <c r="T1880" i="23"/>
  <c r="T144" i="23"/>
  <c r="T138" i="23"/>
  <c r="T1011" i="23"/>
  <c r="T1016" i="23"/>
  <c r="T1024" i="23"/>
  <c r="Y23" i="22"/>
  <c r="AA23" i="22" s="1"/>
  <c r="M1878" i="23"/>
  <c r="N1878" i="23" s="1"/>
  <c r="AA661" i="22" l="1"/>
  <c r="Z661" i="22"/>
  <c r="AA660" i="22"/>
  <c r="Z660" i="22"/>
  <c r="R136" i="23"/>
  <c r="U136" i="23" s="1"/>
  <c r="Z23" i="22"/>
  <c r="AB23" i="22" s="1"/>
  <c r="H1879" i="23"/>
  <c r="M1879" i="23" s="1"/>
  <c r="O1878" i="23"/>
  <c r="R1878" i="23"/>
  <c r="J1878" i="23"/>
  <c r="AH23" i="22" l="1"/>
  <c r="AI23" i="22" s="1"/>
  <c r="AJ23" i="22" s="1"/>
  <c r="AB660" i="22"/>
  <c r="AB661" i="22"/>
  <c r="U1878" i="23"/>
  <c r="W1878" i="23"/>
  <c r="P1879" i="23" s="1"/>
  <c r="Q1879" i="23" s="1"/>
  <c r="R1879" i="23"/>
  <c r="U1879" i="23" s="1"/>
  <c r="AH660" i="22" l="1"/>
  <c r="AI660" i="22" s="1"/>
  <c r="AH661" i="22"/>
  <c r="K137" i="23"/>
  <c r="L137" i="23" s="1"/>
  <c r="M137" i="23" s="1"/>
  <c r="N137" i="23" s="1"/>
  <c r="W1879" i="23"/>
  <c r="P1880" i="23" s="1"/>
  <c r="Q1880" i="23" s="1"/>
  <c r="AJ660" i="22" l="1"/>
  <c r="AI661" i="22"/>
  <c r="AJ661" i="22" s="1"/>
  <c r="O137" i="23"/>
  <c r="J137" i="23"/>
  <c r="H138" i="23"/>
  <c r="W659" i="22" l="1"/>
  <c r="L659" i="22"/>
  <c r="B659" i="22"/>
  <c r="S922" i="23"/>
  <c r="V922" i="23"/>
  <c r="H912" i="23"/>
  <c r="S275" i="22"/>
  <c r="L277" i="22"/>
  <c r="B277" i="22"/>
  <c r="W658" i="22"/>
  <c r="L658" i="22"/>
  <c r="B658" i="22"/>
  <c r="W628" i="22"/>
  <c r="X628" i="22" s="1"/>
  <c r="W657" i="22"/>
  <c r="L657" i="22"/>
  <c r="B657" i="22"/>
  <c r="H1144" i="23"/>
  <c r="S1158" i="23"/>
  <c r="V1158" i="23"/>
  <c r="S346" i="22"/>
  <c r="L353" i="22"/>
  <c r="B353" i="22"/>
  <c r="S1487" i="23"/>
  <c r="V1487" i="23"/>
  <c r="H1483" i="23"/>
  <c r="H1478" i="23"/>
  <c r="X657" i="22" l="1"/>
  <c r="Y657" i="22"/>
  <c r="X658" i="22"/>
  <c r="Y658" i="22"/>
  <c r="X659" i="22"/>
  <c r="Y659" i="22"/>
  <c r="Y628" i="22"/>
  <c r="Z658" i="22" l="1"/>
  <c r="AA658" i="22"/>
  <c r="Z659" i="22"/>
  <c r="AA659" i="22"/>
  <c r="Z657" i="22"/>
  <c r="AA657" i="22"/>
  <c r="AA628" i="22"/>
  <c r="Z628" i="22"/>
  <c r="AB657" i="22" l="1"/>
  <c r="AB658" i="22"/>
  <c r="AB659" i="22"/>
  <c r="AB628" i="22"/>
  <c r="AH658" i="22" l="1"/>
  <c r="AI658" i="22" s="1"/>
  <c r="AH657" i="22"/>
  <c r="AH659" i="22"/>
  <c r="AH628" i="22"/>
  <c r="AI628" i="22" s="1"/>
  <c r="AJ628" i="22" s="1"/>
  <c r="AJ658" i="22" l="1"/>
  <c r="AI657" i="22"/>
  <c r="AJ657" i="22" s="1"/>
  <c r="AI659" i="22"/>
  <c r="AJ659" i="22" s="1"/>
  <c r="H770" i="23"/>
  <c r="K762" i="23"/>
  <c r="L762" i="23" s="1"/>
  <c r="S762" i="23"/>
  <c r="V762" i="23"/>
  <c r="K763" i="23"/>
  <c r="L763" i="23" s="1"/>
  <c r="S763" i="23"/>
  <c r="V763" i="23"/>
  <c r="K764" i="23"/>
  <c r="L764" i="23" s="1"/>
  <c r="S764" i="23"/>
  <c r="V764" i="23"/>
  <c r="K765" i="23"/>
  <c r="L765" i="23" s="1"/>
  <c r="S765" i="23"/>
  <c r="V765" i="23"/>
  <c r="K766" i="23"/>
  <c r="L766" i="23" s="1"/>
  <c r="S766" i="23"/>
  <c r="V766" i="23"/>
  <c r="K767" i="23"/>
  <c r="L767" i="23" s="1"/>
  <c r="S767" i="23"/>
  <c r="V767" i="23"/>
  <c r="K768" i="23"/>
  <c r="L768" i="23" s="1"/>
  <c r="S768" i="23"/>
  <c r="V768" i="23"/>
  <c r="K769" i="23"/>
  <c r="L769" i="23" s="1"/>
  <c r="S769" i="23"/>
  <c r="V769" i="23"/>
  <c r="S770" i="23"/>
  <c r="V770" i="23"/>
  <c r="H760" i="23"/>
  <c r="A771" i="23"/>
  <c r="V761" i="23"/>
  <c r="S761" i="23"/>
  <c r="K761" i="23"/>
  <c r="L761" i="23" s="1"/>
  <c r="V760" i="23"/>
  <c r="S760" i="23"/>
  <c r="G772" i="23"/>
  <c r="AD767" i="23" s="1"/>
  <c r="D756" i="23"/>
  <c r="A756" i="23"/>
  <c r="S246" i="22"/>
  <c r="L247" i="22"/>
  <c r="B247" i="22"/>
  <c r="S1669" i="23"/>
  <c r="V1669" i="23"/>
  <c r="H1667" i="23"/>
  <c r="H1657" i="23"/>
  <c r="T768" i="23" l="1"/>
  <c r="T764" i="23"/>
  <c r="A764" i="23"/>
  <c r="T767" i="23"/>
  <c r="T766" i="23"/>
  <c r="T769" i="23"/>
  <c r="T770" i="23"/>
  <c r="T765" i="23"/>
  <c r="T762" i="23"/>
  <c r="T763" i="23"/>
  <c r="A760" i="23"/>
  <c r="A767" i="23"/>
  <c r="A763" i="23"/>
  <c r="A770" i="23"/>
  <c r="A766" i="23"/>
  <c r="A762" i="23"/>
  <c r="A769" i="23"/>
  <c r="A765" i="23"/>
  <c r="A761" i="23"/>
  <c r="A768" i="23"/>
  <c r="U762" i="23"/>
  <c r="P760" i="23"/>
  <c r="T761" i="23"/>
  <c r="M760" i="23"/>
  <c r="N760" i="23" s="1"/>
  <c r="R763" i="23" l="1"/>
  <c r="H761" i="23"/>
  <c r="M761" i="23" s="1"/>
  <c r="O760" i="23"/>
  <c r="J760" i="23"/>
  <c r="R760" i="23"/>
  <c r="U763" i="23" l="1"/>
  <c r="R764" i="23"/>
  <c r="U760" i="23"/>
  <c r="W760" i="23"/>
  <c r="P761" i="23" s="1"/>
  <c r="Q761" i="23" s="1"/>
  <c r="R761" i="23"/>
  <c r="U761" i="23" s="1"/>
  <c r="U764" i="23" l="1"/>
  <c r="AB246" i="22" s="1"/>
  <c r="R765" i="23"/>
  <c r="W761" i="23"/>
  <c r="P762" i="23" s="1"/>
  <c r="Q762" i="23" s="1"/>
  <c r="W762" i="23" s="1"/>
  <c r="P763" i="23" s="1"/>
  <c r="Q763" i="23" s="1"/>
  <c r="W763" i="23" s="1"/>
  <c r="P764" i="23" s="1"/>
  <c r="Q764" i="23" s="1"/>
  <c r="L505" i="22"/>
  <c r="B505" i="22"/>
  <c r="H1748" i="23"/>
  <c r="S510" i="22"/>
  <c r="L516" i="22"/>
  <c r="B516" i="22"/>
  <c r="S1282" i="23"/>
  <c r="V1282" i="23"/>
  <c r="H1276" i="23"/>
  <c r="S388" i="22"/>
  <c r="L390" i="22"/>
  <c r="B390" i="22"/>
  <c r="L628" i="22"/>
  <c r="W764" i="23" l="1"/>
  <c r="P765" i="23" s="1"/>
  <c r="Q765" i="23" s="1"/>
  <c r="U765" i="23"/>
  <c r="R766" i="23"/>
  <c r="W765" i="23" l="1"/>
  <c r="P766" i="23" s="1"/>
  <c r="Q766" i="23" s="1"/>
  <c r="U766" i="23"/>
  <c r="R767" i="23"/>
  <c r="W766" i="23" l="1"/>
  <c r="P767" i="23" s="1"/>
  <c r="Q767" i="23" s="1"/>
  <c r="U767" i="23"/>
  <c r="R768" i="23"/>
  <c r="W767" i="23" l="1"/>
  <c r="P768" i="23" s="1"/>
  <c r="Q768" i="23" s="1"/>
  <c r="U768" i="23"/>
  <c r="R769" i="23"/>
  <c r="U769" i="23" s="1"/>
  <c r="W768" i="23" l="1"/>
  <c r="P769" i="23" s="1"/>
  <c r="Q769" i="23" s="1"/>
  <c r="W769" i="23" s="1"/>
  <c r="P770" i="23" s="1"/>
  <c r="Q770" i="23" s="1"/>
  <c r="K770" i="23" l="1"/>
  <c r="L770" i="23" s="1"/>
  <c r="M770" i="23" s="1"/>
  <c r="N770" i="23" l="1"/>
  <c r="J770" i="23" l="1"/>
  <c r="O770" i="23"/>
  <c r="R770" i="23"/>
  <c r="U770" i="23" s="1"/>
  <c r="W770" i="23" s="1"/>
  <c r="S829" i="23" l="1"/>
  <c r="V829" i="23"/>
  <c r="H817" i="23"/>
  <c r="S254" i="22"/>
  <c r="B260" i="22"/>
  <c r="S1135" i="23"/>
  <c r="V1135" i="23"/>
  <c r="H1129" i="23"/>
  <c r="K1125" i="23"/>
  <c r="L1125" i="23" s="1"/>
  <c r="S1125" i="23"/>
  <c r="V1125" i="23"/>
  <c r="K1126" i="23"/>
  <c r="L1126" i="23" s="1"/>
  <c r="S1126" i="23"/>
  <c r="V1126" i="23"/>
  <c r="K1127" i="23"/>
  <c r="L1127" i="23" s="1"/>
  <c r="S1127" i="23"/>
  <c r="V1127" i="23"/>
  <c r="K1128" i="23"/>
  <c r="L1128" i="23" s="1"/>
  <c r="S1128" i="23"/>
  <c r="V1128" i="23"/>
  <c r="S1129" i="23"/>
  <c r="V1129" i="23"/>
  <c r="K1130" i="23"/>
  <c r="L1130" i="23" s="1"/>
  <c r="S1130" i="23"/>
  <c r="V1130" i="23"/>
  <c r="S1131" i="23"/>
  <c r="V1131" i="23"/>
  <c r="K1132" i="23"/>
  <c r="L1132" i="23" s="1"/>
  <c r="S1132" i="23"/>
  <c r="V1132" i="23"/>
  <c r="K1133" i="23"/>
  <c r="L1133" i="23" s="1"/>
  <c r="S1133" i="23"/>
  <c r="V1133" i="23"/>
  <c r="K1134" i="23"/>
  <c r="L1134" i="23" s="1"/>
  <c r="S1134" i="23"/>
  <c r="V1134" i="23"/>
  <c r="H1123" i="23"/>
  <c r="S339" i="22"/>
  <c r="L344" i="22"/>
  <c r="B344" i="22"/>
  <c r="S43" i="22"/>
  <c r="L55" i="22"/>
  <c r="B55" i="22"/>
  <c r="W656" i="22"/>
  <c r="L656" i="22"/>
  <c r="B656" i="22"/>
  <c r="X656" i="22" l="1"/>
  <c r="Y656" i="22"/>
  <c r="T1134" i="23"/>
  <c r="T1132" i="23"/>
  <c r="T1133" i="23"/>
  <c r="T1127" i="23"/>
  <c r="T1131" i="23"/>
  <c r="T1128" i="23"/>
  <c r="T1135" i="23"/>
  <c r="T1130" i="23"/>
  <c r="T1126" i="23"/>
  <c r="T1129" i="23"/>
  <c r="Z656" i="22" l="1"/>
  <c r="AA656" i="22"/>
  <c r="U1126" i="23"/>
  <c r="R1127" i="23"/>
  <c r="AB656" i="22" l="1"/>
  <c r="U1127" i="23"/>
  <c r="R1128" i="23"/>
  <c r="U1128" i="23" s="1"/>
  <c r="AH656" i="22" l="1"/>
  <c r="AI656" i="22" s="1"/>
  <c r="S1438" i="23"/>
  <c r="V1438" i="23"/>
  <c r="H1427" i="23"/>
  <c r="S431" i="22"/>
  <c r="L437" i="22"/>
  <c r="B437" i="22"/>
  <c r="L221" i="22"/>
  <c r="B430" i="22"/>
  <c r="S416" i="22"/>
  <c r="L430" i="22"/>
  <c r="S1417" i="23"/>
  <c r="V1417" i="23"/>
  <c r="H1402" i="23"/>
  <c r="S641" i="23"/>
  <c r="V641" i="23"/>
  <c r="H630" i="23"/>
  <c r="S216" i="22"/>
  <c r="AJ656" i="22" l="1"/>
  <c r="B221" i="22"/>
  <c r="U249" i="17" l="1"/>
  <c r="V249" i="17" s="1"/>
  <c r="U250" i="17"/>
  <c r="V250" i="17" s="1"/>
  <c r="U251" i="17"/>
  <c r="V251" i="17" s="1"/>
  <c r="U252" i="17"/>
  <c r="V252" i="17" s="1"/>
  <c r="U253" i="17"/>
  <c r="V253" i="17" s="1"/>
  <c r="U254" i="17"/>
  <c r="V254" i="17" s="1"/>
  <c r="U255" i="17"/>
  <c r="V255" i="17" s="1"/>
  <c r="U256" i="17"/>
  <c r="V256" i="17" s="1"/>
  <c r="W256" i="17" l="1"/>
  <c r="W255" i="17"/>
  <c r="Y255" i="17" s="1"/>
  <c r="W254" i="17"/>
  <c r="Y254" i="17" s="1"/>
  <c r="W253" i="17"/>
  <c r="Y253" i="17" s="1"/>
  <c r="W252" i="17"/>
  <c r="Y252" i="17" s="1"/>
  <c r="W251" i="17"/>
  <c r="Y251" i="17" s="1"/>
  <c r="W250" i="17"/>
  <c r="Y250" i="17" s="1"/>
  <c r="W249" i="17"/>
  <c r="Y249" i="17" s="1"/>
  <c r="X253" i="17" l="1"/>
  <c r="X250" i="17"/>
  <c r="AF250" i="17" s="1"/>
  <c r="AG250" i="17" s="1"/>
  <c r="X254" i="17"/>
  <c r="X249" i="17"/>
  <c r="AF249" i="17" s="1"/>
  <c r="AG249" i="17" s="1"/>
  <c r="X255" i="17"/>
  <c r="Z255" i="17" s="1"/>
  <c r="X251" i="17"/>
  <c r="X252" i="17"/>
  <c r="Y256" i="17"/>
  <c r="X256" i="17"/>
  <c r="AF252" i="17" l="1"/>
  <c r="AG252" i="17" s="1"/>
  <c r="AH252" i="17" s="1"/>
  <c r="AF254" i="17"/>
  <c r="AG254" i="17" s="1"/>
  <c r="AH254" i="17" s="1"/>
  <c r="AF251" i="17"/>
  <c r="AG251" i="17" s="1"/>
  <c r="AH251" i="17" s="1"/>
  <c r="AF253" i="17"/>
  <c r="AG253" i="17" s="1"/>
  <c r="AH253" i="17" s="1"/>
  <c r="AD255" i="17"/>
  <c r="AE255" i="17" s="1"/>
  <c r="K640" i="24"/>
  <c r="L640" i="24" s="1"/>
  <c r="S640" i="24"/>
  <c r="A640" i="24" s="1"/>
  <c r="V640" i="24"/>
  <c r="AF255" i="17" l="1"/>
  <c r="AG255" i="17" s="1"/>
  <c r="K619" i="24"/>
  <c r="L619" i="24" s="1"/>
  <c r="S619" i="24"/>
  <c r="A619" i="24" s="1"/>
  <c r="V619" i="24"/>
  <c r="K602" i="24"/>
  <c r="L602" i="24" s="1"/>
  <c r="S602" i="24"/>
  <c r="V602" i="24"/>
  <c r="A602" i="24" l="1"/>
  <c r="K586" i="24"/>
  <c r="L586" i="24" s="1"/>
  <c r="S586" i="24"/>
  <c r="A586" i="24" s="1"/>
  <c r="V586" i="24"/>
  <c r="K566" i="24"/>
  <c r="L566" i="24" s="1"/>
  <c r="S566" i="24"/>
  <c r="A566" i="24" s="1"/>
  <c r="V566" i="24"/>
  <c r="K549" i="24"/>
  <c r="L549" i="24" s="1"/>
  <c r="S549" i="24"/>
  <c r="A549" i="24" s="1"/>
  <c r="V549" i="24"/>
  <c r="K532" i="24"/>
  <c r="L532" i="24" s="1"/>
  <c r="S532" i="24"/>
  <c r="A532" i="24" s="1"/>
  <c r="V532" i="24"/>
  <c r="K515" i="24"/>
  <c r="L515" i="24" s="1"/>
  <c r="S515" i="24"/>
  <c r="A515" i="24" s="1"/>
  <c r="V515" i="24"/>
  <c r="K495" i="24"/>
  <c r="L495" i="24" s="1"/>
  <c r="S495" i="24"/>
  <c r="A495" i="24" s="1"/>
  <c r="V495" i="24"/>
  <c r="K477" i="24"/>
  <c r="L477" i="24" s="1"/>
  <c r="S477" i="24"/>
  <c r="A477" i="24" s="1"/>
  <c r="V477" i="24"/>
  <c r="K457" i="24"/>
  <c r="L457" i="24" s="1"/>
  <c r="S457" i="24"/>
  <c r="A457" i="24" s="1"/>
  <c r="V457" i="24"/>
  <c r="K439" i="24"/>
  <c r="L439" i="24" s="1"/>
  <c r="S439" i="24"/>
  <c r="A439" i="24" s="1"/>
  <c r="V439" i="24"/>
  <c r="K421" i="24"/>
  <c r="L421" i="24" s="1"/>
  <c r="S421" i="24"/>
  <c r="A421" i="24" s="1"/>
  <c r="V421" i="24"/>
  <c r="K406" i="24"/>
  <c r="L406" i="24" s="1"/>
  <c r="S406" i="24"/>
  <c r="A406" i="24" s="1"/>
  <c r="V406" i="24"/>
  <c r="K388" i="24"/>
  <c r="L388" i="24" s="1"/>
  <c r="S388" i="24"/>
  <c r="A388" i="24" s="1"/>
  <c r="V388" i="24"/>
  <c r="K371" i="24"/>
  <c r="L371" i="24" s="1"/>
  <c r="S371" i="24"/>
  <c r="A371" i="24" s="1"/>
  <c r="V371" i="24"/>
  <c r="K354" i="24"/>
  <c r="L354" i="24" s="1"/>
  <c r="S354" i="24"/>
  <c r="A354" i="24" s="1"/>
  <c r="V354" i="24"/>
  <c r="K337" i="24"/>
  <c r="L337" i="24" s="1"/>
  <c r="S337" i="24"/>
  <c r="A337" i="24" s="1"/>
  <c r="V337" i="24"/>
  <c r="K320" i="24"/>
  <c r="L320" i="24" s="1"/>
  <c r="S320" i="24"/>
  <c r="A320" i="24" s="1"/>
  <c r="V320" i="24"/>
  <c r="K303" i="24" l="1"/>
  <c r="L303" i="24" s="1"/>
  <c r="S303" i="24"/>
  <c r="A303" i="24" s="1"/>
  <c r="V303" i="24"/>
  <c r="K286" i="24"/>
  <c r="L286" i="24" s="1"/>
  <c r="S286" i="24"/>
  <c r="A286" i="24" s="1"/>
  <c r="V286" i="24"/>
  <c r="K269" i="24"/>
  <c r="L269" i="24" s="1"/>
  <c r="S269" i="24"/>
  <c r="A269" i="24" s="1"/>
  <c r="V269" i="24"/>
  <c r="K251" i="24"/>
  <c r="L251" i="24" s="1"/>
  <c r="S251" i="24"/>
  <c r="A251" i="24" s="1"/>
  <c r="V251" i="24"/>
  <c r="K233" i="24"/>
  <c r="L233" i="24" s="1"/>
  <c r="S233" i="24"/>
  <c r="A233" i="24" s="1"/>
  <c r="V233" i="24"/>
  <c r="K214" i="24"/>
  <c r="L214" i="24" s="1"/>
  <c r="S214" i="24"/>
  <c r="A214" i="24" s="1"/>
  <c r="V214" i="24"/>
  <c r="K176" i="24"/>
  <c r="L176" i="24" s="1"/>
  <c r="S176" i="24"/>
  <c r="A176" i="24" s="1"/>
  <c r="V176" i="24"/>
  <c r="K157" i="24"/>
  <c r="L157" i="24" s="1"/>
  <c r="S157" i="24"/>
  <c r="A157" i="24" s="1"/>
  <c r="V157" i="24"/>
  <c r="K135" i="24"/>
  <c r="L135" i="24" s="1"/>
  <c r="S135" i="24"/>
  <c r="A135" i="24" s="1"/>
  <c r="V135" i="24"/>
  <c r="A98" i="24"/>
  <c r="H632" i="24"/>
  <c r="H614" i="24"/>
  <c r="H596" i="24"/>
  <c r="H578" i="24"/>
  <c r="H560" i="24"/>
  <c r="H543" i="24"/>
  <c r="H526" i="24"/>
  <c r="H509" i="24"/>
  <c r="H487" i="24"/>
  <c r="H469" i="24"/>
  <c r="H451" i="24"/>
  <c r="H433" i="24"/>
  <c r="H415" i="24"/>
  <c r="H397" i="24"/>
  <c r="H380" i="24"/>
  <c r="H363" i="24"/>
  <c r="H346" i="24"/>
  <c r="H329" i="24"/>
  <c r="H312" i="24"/>
  <c r="H295" i="24"/>
  <c r="H278" i="24"/>
  <c r="H261" i="24"/>
  <c r="H243" i="24"/>
  <c r="H225" i="24"/>
  <c r="H205" i="24"/>
  <c r="H186" i="24"/>
  <c r="H168" i="24"/>
  <c r="H146" i="24"/>
  <c r="H127" i="24"/>
  <c r="H108" i="24"/>
  <c r="H89" i="24"/>
  <c r="H70" i="24"/>
  <c r="H50" i="24"/>
  <c r="H27" i="24"/>
  <c r="K97" i="24"/>
  <c r="L97" i="24" s="1"/>
  <c r="S97" i="24"/>
  <c r="A97" i="24" s="1"/>
  <c r="V97" i="24"/>
  <c r="K78" i="24"/>
  <c r="L78" i="24" s="1"/>
  <c r="S78" i="24"/>
  <c r="A78" i="24" s="1"/>
  <c r="V78" i="24"/>
  <c r="H8" i="24"/>
  <c r="K60" i="24"/>
  <c r="L60" i="24" s="1"/>
  <c r="S60" i="24"/>
  <c r="A60" i="24" s="1"/>
  <c r="V60" i="24"/>
  <c r="K38" i="24" l="1"/>
  <c r="L38" i="24" s="1"/>
  <c r="S38" i="24"/>
  <c r="A38" i="24" s="1"/>
  <c r="V38" i="24"/>
  <c r="S116" i="24" l="1"/>
  <c r="A116" i="24" s="1"/>
  <c r="V116" i="24"/>
  <c r="S194" i="24"/>
  <c r="A194" i="24" s="1"/>
  <c r="V194" i="24"/>
  <c r="S17" i="24" l="1"/>
  <c r="A17" i="24" s="1"/>
  <c r="V17" i="24"/>
  <c r="L1030" i="22" l="1"/>
  <c r="L1028" i="22"/>
  <c r="L1027" i="22"/>
  <c r="L1031" i="22"/>
  <c r="L1029" i="22"/>
  <c r="L1032" i="22"/>
  <c r="L1033" i="22"/>
  <c r="W1133" i="22"/>
  <c r="Y1133" i="22" s="1"/>
  <c r="W1134" i="22"/>
  <c r="W1135" i="22"/>
  <c r="S1135" i="22"/>
  <c r="S1134" i="22"/>
  <c r="S1133" i="22"/>
  <c r="S1065" i="22" l="1"/>
  <c r="Z1133" i="22"/>
  <c r="AA1133" i="22"/>
  <c r="X1135" i="22"/>
  <c r="Y1135" i="22"/>
  <c r="X1134" i="22"/>
  <c r="Y1134" i="22"/>
  <c r="X1133" i="22"/>
  <c r="Z1135" i="22" l="1"/>
  <c r="AA1135" i="22"/>
  <c r="Z1134" i="22"/>
  <c r="AA1134" i="22"/>
  <c r="AB1133" i="22"/>
  <c r="AH1133" i="22" s="1"/>
  <c r="AI1133" i="22" s="1"/>
  <c r="AJ1133" i="22" s="1"/>
  <c r="AB1135" i="22" l="1"/>
  <c r="AH1135" i="22" s="1"/>
  <c r="AI1135" i="22" s="1"/>
  <c r="AJ1135" i="22" s="1"/>
  <c r="AB1134" i="22"/>
  <c r="AH1134" i="22" s="1"/>
  <c r="AI1134" i="22" s="1"/>
  <c r="AJ1134" i="22" s="1"/>
  <c r="L1037" i="22" l="1"/>
  <c r="W1052" i="22"/>
  <c r="W1053" i="22"/>
  <c r="W1054" i="22"/>
  <c r="Y1054" i="22" s="1"/>
  <c r="L1050" i="22"/>
  <c r="L1051" i="22"/>
  <c r="L1052" i="22"/>
  <c r="W1051" i="22"/>
  <c r="W1050" i="22"/>
  <c r="W1048" i="22"/>
  <c r="W1049" i="22"/>
  <c r="Y1049" i="22" s="1"/>
  <c r="S1049" i="22"/>
  <c r="L1048" i="22"/>
  <c r="L1049" i="22"/>
  <c r="W1047" i="22"/>
  <c r="L1047" i="22"/>
  <c r="L1045" i="22"/>
  <c r="W1043" i="22"/>
  <c r="W1044" i="22"/>
  <c r="W1045" i="22"/>
  <c r="Y1045" i="22" s="1"/>
  <c r="Z1054" i="22" l="1"/>
  <c r="AH1054" i="22" s="1"/>
  <c r="AA1054" i="22"/>
  <c r="Z1049" i="22"/>
  <c r="AH1049" i="22" s="1"/>
  <c r="AI1049" i="22" s="1"/>
  <c r="AJ1049" i="22" s="1"/>
  <c r="AA1049" i="22"/>
  <c r="X1053" i="22"/>
  <c r="Y1053" i="22"/>
  <c r="X1051" i="22"/>
  <c r="Y1051" i="22"/>
  <c r="X1044" i="22"/>
  <c r="Y1044" i="22"/>
  <c r="X1043" i="22"/>
  <c r="Y1043" i="22"/>
  <c r="X1048" i="22"/>
  <c r="Y1048" i="22"/>
  <c r="X1052" i="22"/>
  <c r="Y1052" i="22"/>
  <c r="Z1045" i="22"/>
  <c r="AH1045" i="22" s="1"/>
  <c r="AI1045" i="22" s="1"/>
  <c r="AJ1045" i="22" s="1"/>
  <c r="AA1045" i="22"/>
  <c r="X1047" i="22"/>
  <c r="Y1047" i="22"/>
  <c r="X1050" i="22"/>
  <c r="Y1050" i="22"/>
  <c r="X1054" i="22"/>
  <c r="X1049" i="22"/>
  <c r="X1045" i="22"/>
  <c r="L1044" i="22"/>
  <c r="L1035" i="22"/>
  <c r="L1042" i="22"/>
  <c r="L1043" i="22"/>
  <c r="W1042" i="22"/>
  <c r="W1040" i="22"/>
  <c r="W1041" i="22"/>
  <c r="L1041" i="22"/>
  <c r="L1034" i="22"/>
  <c r="L1040" i="22"/>
  <c r="W1039" i="22"/>
  <c r="L1039" i="22"/>
  <c r="L1038" i="22"/>
  <c r="L1026" i="22"/>
  <c r="AI1054" i="22" l="1"/>
  <c r="X1040" i="22"/>
  <c r="Y1040" i="22"/>
  <c r="X1039" i="22"/>
  <c r="Y1039" i="22"/>
  <c r="X1041" i="22"/>
  <c r="Y1041" i="22"/>
  <c r="Z1047" i="22"/>
  <c r="AH1047" i="22" s="1"/>
  <c r="AI1047" i="22" s="1"/>
  <c r="AJ1047" i="22" s="1"/>
  <c r="AA1047" i="22"/>
  <c r="Z1052" i="22"/>
  <c r="AH1052" i="22" s="1"/>
  <c r="AI1052" i="22" s="1"/>
  <c r="AJ1052" i="22" s="1"/>
  <c r="AA1052" i="22"/>
  <c r="Z1043" i="22"/>
  <c r="AH1043" i="22" s="1"/>
  <c r="AI1043" i="22" s="1"/>
  <c r="AJ1043" i="22" s="1"/>
  <c r="AA1043" i="22"/>
  <c r="AA1051" i="22"/>
  <c r="Z1051" i="22"/>
  <c r="AH1051" i="22" s="1"/>
  <c r="AI1051" i="22" s="1"/>
  <c r="AJ1051" i="22" s="1"/>
  <c r="Z1050" i="22"/>
  <c r="AH1050" i="22" s="1"/>
  <c r="AI1050" i="22" s="1"/>
  <c r="AJ1050" i="22" s="1"/>
  <c r="AA1050" i="22"/>
  <c r="AA1048" i="22"/>
  <c r="Z1048" i="22"/>
  <c r="AH1048" i="22" s="1"/>
  <c r="AI1048" i="22" s="1"/>
  <c r="AJ1048" i="22" s="1"/>
  <c r="AA1044" i="22"/>
  <c r="Z1044" i="22"/>
  <c r="AH1044" i="22" s="1"/>
  <c r="AI1044" i="22" s="1"/>
  <c r="AJ1044" i="22" s="1"/>
  <c r="Z1053" i="22"/>
  <c r="AH1053" i="22" s="1"/>
  <c r="AI1053" i="22" s="1"/>
  <c r="AJ1053" i="22" s="1"/>
  <c r="AA1053" i="22"/>
  <c r="X1042" i="22"/>
  <c r="Y1042" i="22"/>
  <c r="AJ1054" i="22" l="1"/>
  <c r="Z1042" i="22"/>
  <c r="AA1042" i="22"/>
  <c r="Z1039" i="22"/>
  <c r="AA1039" i="22"/>
  <c r="Z1041" i="22"/>
  <c r="AA1041" i="22"/>
  <c r="Z1040" i="22"/>
  <c r="AA1040" i="22"/>
  <c r="AB1041" i="22" l="1"/>
  <c r="AH1041" i="22" s="1"/>
  <c r="AI1041" i="22" s="1"/>
  <c r="AJ1041" i="22" s="1"/>
  <c r="AB1042" i="22"/>
  <c r="AB1038" i="22"/>
  <c r="AB1040" i="22"/>
  <c r="AB1039" i="22"/>
  <c r="AH1040" i="22" l="1"/>
  <c r="AI1040" i="22" s="1"/>
  <c r="AJ1040" i="22" s="1"/>
  <c r="AH1038" i="22"/>
  <c r="AI1038" i="22" s="1"/>
  <c r="AJ1038" i="22" s="1"/>
  <c r="AH1042" i="22"/>
  <c r="AI1042" i="22" s="1"/>
  <c r="AJ1042" i="22" s="1"/>
  <c r="AH1039" i="22"/>
  <c r="AI1039" i="22" s="1"/>
  <c r="AJ1039" i="22" s="1"/>
  <c r="W1026" i="22" l="1"/>
  <c r="X1026" i="22" l="1"/>
  <c r="Y1026" i="22"/>
  <c r="AA1026" i="22" l="1"/>
  <c r="Z1026" i="22"/>
  <c r="AB1026" i="22" l="1"/>
  <c r="AH1026" i="22" s="1"/>
  <c r="AI1026" i="22" s="1"/>
  <c r="AJ1026" i="22" s="1"/>
  <c r="W651" i="22" l="1"/>
  <c r="X651" i="22" s="1"/>
  <c r="W652" i="22"/>
  <c r="X652" i="22" s="1"/>
  <c r="W653" i="22"/>
  <c r="W654" i="22"/>
  <c r="W655" i="22"/>
  <c r="X655" i="22" s="1"/>
  <c r="W1025" i="22"/>
  <c r="Y1025" i="22" s="1"/>
  <c r="X654" i="22" l="1"/>
  <c r="Y654" i="22"/>
  <c r="X653" i="22"/>
  <c r="Y653" i="22"/>
  <c r="Z1025" i="22"/>
  <c r="AA1025" i="22"/>
  <c r="Y652" i="22"/>
  <c r="Z652" i="22" s="1"/>
  <c r="X1025" i="22"/>
  <c r="Y655" i="22"/>
  <c r="Y651" i="22"/>
  <c r="AA653" i="22" l="1"/>
  <c r="Z653" i="22"/>
  <c r="Z654" i="22"/>
  <c r="AA654" i="22"/>
  <c r="AA652" i="22"/>
  <c r="AB652" i="22" s="1"/>
  <c r="AA651" i="22"/>
  <c r="Z651" i="22"/>
  <c r="Z655" i="22"/>
  <c r="AA655" i="22"/>
  <c r="AB1025" i="22"/>
  <c r="AH1025" i="22" s="1"/>
  <c r="AI1025" i="22" s="1"/>
  <c r="AB654" i="22" l="1"/>
  <c r="AH652" i="22"/>
  <c r="AI652" i="22" s="1"/>
  <c r="AB651" i="22"/>
  <c r="AH651" i="22" s="1"/>
  <c r="AI651" i="22" s="1"/>
  <c r="AJ651" i="22" s="1"/>
  <c r="AB655" i="22"/>
  <c r="AH655" i="22" s="1"/>
  <c r="AI655" i="22" s="1"/>
  <c r="AJ655" i="22" s="1"/>
  <c r="AB653" i="22"/>
  <c r="AH653" i="22" l="1"/>
  <c r="AI653" i="22" s="1"/>
  <c r="AJ653" i="22" s="1"/>
  <c r="AJ652" i="22"/>
  <c r="AH654" i="22"/>
  <c r="AI654" i="22" s="1"/>
  <c r="AJ654" i="22" l="1"/>
  <c r="AJ1025" i="22"/>
  <c r="P37" i="10" l="1"/>
  <c r="V55" i="10" l="1"/>
  <c r="W55" i="10" s="1"/>
  <c r="AI55" i="10"/>
  <c r="X55" i="10" l="1"/>
  <c r="Z55" i="10" l="1"/>
  <c r="Y55" i="10"/>
  <c r="AA55" i="10" l="1"/>
  <c r="AC55" i="10" s="1"/>
  <c r="AD55" i="10" l="1"/>
  <c r="AE55" i="10" l="1"/>
  <c r="AF55" i="10" s="1"/>
  <c r="AG55" i="10" l="1"/>
  <c r="AH55" i="10" s="1"/>
  <c r="AJ55" i="10" s="1"/>
  <c r="V54" i="10" l="1"/>
  <c r="W54" i="10" s="1"/>
  <c r="AI54" i="10"/>
  <c r="V53" i="10"/>
  <c r="W53" i="10" s="1"/>
  <c r="AI53" i="10"/>
  <c r="V52" i="10"/>
  <c r="W52" i="10" s="1"/>
  <c r="AI52" i="10"/>
  <c r="X54" i="10" l="1"/>
  <c r="X53" i="10"/>
  <c r="X52" i="10"/>
  <c r="Y54" i="10" l="1"/>
  <c r="Z54" i="10"/>
  <c r="Z53" i="10"/>
  <c r="Y53" i="10"/>
  <c r="Z52" i="10"/>
  <c r="Y52" i="10"/>
  <c r="U243" i="17"/>
  <c r="V243" i="17" s="1"/>
  <c r="U244" i="17"/>
  <c r="V244" i="17" s="1"/>
  <c r="U245" i="17"/>
  <c r="V245" i="17" s="1"/>
  <c r="U246" i="17"/>
  <c r="V246" i="17" s="1"/>
  <c r="U247" i="17"/>
  <c r="V247" i="17" s="1"/>
  <c r="U248" i="17"/>
  <c r="V248" i="17" s="1"/>
  <c r="AA54" i="10" l="1"/>
  <c r="AC54" i="10" s="1"/>
  <c r="AA53" i="10"/>
  <c r="AA52" i="10"/>
  <c r="AB52" i="10" s="1"/>
  <c r="AE256" i="17"/>
  <c r="AK256" i="17" s="1"/>
  <c r="AH250" i="17"/>
  <c r="AH249" i="17"/>
  <c r="W248" i="17"/>
  <c r="Y248" i="17" s="1"/>
  <c r="W247" i="17"/>
  <c r="Y247" i="17" s="1"/>
  <c r="W246" i="17"/>
  <c r="Y246" i="17" s="1"/>
  <c r="W245" i="17"/>
  <c r="Y245" i="17" s="1"/>
  <c r="W244" i="17"/>
  <c r="Y244" i="17" s="1"/>
  <c r="W243" i="17"/>
  <c r="AD54" i="10" l="1"/>
  <c r="AE54" i="10" s="1"/>
  <c r="AC52" i="10"/>
  <c r="AD52" i="10" s="1"/>
  <c r="AE52" i="10" s="1"/>
  <c r="AF52" i="10" s="1"/>
  <c r="X245" i="17"/>
  <c r="X246" i="17"/>
  <c r="X243" i="17"/>
  <c r="AF243" i="17" s="1"/>
  <c r="AG243" i="17" s="1"/>
  <c r="AH243" i="17" s="1"/>
  <c r="Y243" i="17"/>
  <c r="X247" i="17"/>
  <c r="X244" i="17"/>
  <c r="X248" i="17"/>
  <c r="AF256" i="17"/>
  <c r="AG256" i="17" s="1"/>
  <c r="AH256" i="17" s="1"/>
  <c r="AK255" i="17"/>
  <c r="AC53" i="10"/>
  <c r="AD53" i="10" s="1"/>
  <c r="P89" i="10"/>
  <c r="AF246" i="17" l="1"/>
  <c r="AG246" i="17" s="1"/>
  <c r="AH246" i="17" s="1"/>
  <c r="AF248" i="17"/>
  <c r="AG248" i="17" s="1"/>
  <c r="AH248" i="17" s="1"/>
  <c r="AF244" i="17"/>
  <c r="AG244" i="17" s="1"/>
  <c r="AH244" i="17" s="1"/>
  <c r="AF247" i="17"/>
  <c r="AG247" i="17" s="1"/>
  <c r="AH247" i="17" s="1"/>
  <c r="AF245" i="17"/>
  <c r="AG245" i="17" s="1"/>
  <c r="AH245" i="17" s="1"/>
  <c r="AH255" i="17"/>
  <c r="AF54" i="10"/>
  <c r="AE53" i="10"/>
  <c r="AF53" i="10" s="1"/>
  <c r="AG52" i="10"/>
  <c r="AH52" i="10" s="1"/>
  <c r="AJ52" i="10" s="1"/>
  <c r="P63" i="29"/>
  <c r="L655" i="22"/>
  <c r="B655" i="22"/>
  <c r="P62" i="29"/>
  <c r="L654" i="22"/>
  <c r="B654" i="22"/>
  <c r="L653" i="22"/>
  <c r="B653" i="22"/>
  <c r="P61" i="29"/>
  <c r="L652" i="22"/>
  <c r="B652" i="22"/>
  <c r="B651" i="22"/>
  <c r="L651" i="22"/>
  <c r="S64" i="22"/>
  <c r="B69" i="22"/>
  <c r="AG54" i="10" l="1"/>
  <c r="AH54" i="10" s="1"/>
  <c r="AJ54" i="10" s="1"/>
  <c r="AG53" i="10"/>
  <c r="AH53" i="10" s="1"/>
  <c r="AJ53" i="10" s="1"/>
  <c r="S447" i="22"/>
  <c r="B451" i="22"/>
  <c r="S491" i="22"/>
  <c r="B495" i="22"/>
  <c r="V278" i="10" l="1"/>
  <c r="W278" i="10" s="1"/>
  <c r="V279" i="10"/>
  <c r="X279" i="10" s="1"/>
  <c r="V280" i="10"/>
  <c r="X280" i="10" s="1"/>
  <c r="V281" i="10"/>
  <c r="X281" i="10" s="1"/>
  <c r="V282" i="10"/>
  <c r="W282" i="10" s="1"/>
  <c r="V283" i="10"/>
  <c r="X283" i="10" s="1"/>
  <c r="V284" i="10"/>
  <c r="X284" i="10" s="1"/>
  <c r="V285" i="10"/>
  <c r="X285" i="10" s="1"/>
  <c r="V286" i="10"/>
  <c r="W286" i="10" s="1"/>
  <c r="V287" i="10"/>
  <c r="X287" i="10" s="1"/>
  <c r="V288" i="10"/>
  <c r="X288" i="10" s="1"/>
  <c r="V289" i="10"/>
  <c r="X289" i="10" s="1"/>
  <c r="V290" i="10"/>
  <c r="W290" i="10" s="1"/>
  <c r="X290" i="10" l="1"/>
  <c r="Z290" i="10" s="1"/>
  <c r="X282" i="10"/>
  <c r="Z282" i="10" s="1"/>
  <c r="W288" i="10"/>
  <c r="W285" i="10"/>
  <c r="W283" i="10"/>
  <c r="W280" i="10"/>
  <c r="X286" i="10"/>
  <c r="X278" i="10"/>
  <c r="W289" i="10"/>
  <c r="W287" i="10"/>
  <c r="W284" i="10"/>
  <c r="W281" i="10"/>
  <c r="W279" i="10"/>
  <c r="Z288" i="10"/>
  <c r="Y288" i="10"/>
  <c r="Z280" i="10"/>
  <c r="Y280" i="10"/>
  <c r="Z284" i="10"/>
  <c r="Y284" i="10"/>
  <c r="Y289" i="10"/>
  <c r="Z289" i="10"/>
  <c r="Y285" i="10"/>
  <c r="Z285" i="10"/>
  <c r="Y281" i="10"/>
  <c r="Z281" i="10"/>
  <c r="Y287" i="10"/>
  <c r="Z287" i="10"/>
  <c r="Y283" i="10"/>
  <c r="Z283" i="10"/>
  <c r="Y279" i="10"/>
  <c r="Z279" i="10"/>
  <c r="Y282" i="10" l="1"/>
  <c r="AA282" i="10" s="1"/>
  <c r="AG282" i="10" s="1"/>
  <c r="Y290" i="10"/>
  <c r="AA290" i="10" s="1"/>
  <c r="AG290" i="10" s="1"/>
  <c r="AA279" i="10"/>
  <c r="AA287" i="10"/>
  <c r="AA285" i="10"/>
  <c r="Z278" i="10"/>
  <c r="Y278" i="10"/>
  <c r="AA283" i="10"/>
  <c r="AA281" i="10"/>
  <c r="AA289" i="10"/>
  <c r="Z286" i="10"/>
  <c r="Y286" i="10"/>
  <c r="AA280" i="10"/>
  <c r="AA284" i="10"/>
  <c r="AA288" i="10"/>
  <c r="AA278" i="10" l="1"/>
  <c r="AG278" i="10" s="1"/>
  <c r="AH278" i="10" s="1"/>
  <c r="AH290" i="10"/>
  <c r="AJ290" i="10" s="1"/>
  <c r="AH282" i="10"/>
  <c r="AJ282" i="10" s="1"/>
  <c r="AG280" i="10"/>
  <c r="AH280" i="10" s="1"/>
  <c r="AG283" i="10"/>
  <c r="AH283" i="10" s="1"/>
  <c r="AG287" i="10"/>
  <c r="AH287" i="10" s="1"/>
  <c r="AG284" i="10"/>
  <c r="AG289" i="10"/>
  <c r="AG281" i="10"/>
  <c r="AH281" i="10" s="1"/>
  <c r="AG285" i="10"/>
  <c r="AG288" i="10"/>
  <c r="AH288" i="10" s="1"/>
  <c r="AJ288" i="10" s="1"/>
  <c r="AG279" i="10"/>
  <c r="AA286" i="10"/>
  <c r="AI278" i="10"/>
  <c r="AJ278" i="10" l="1"/>
  <c r="AJ287" i="10"/>
  <c r="AH289" i="10"/>
  <c r="AJ289" i="10" s="1"/>
  <c r="AJ280" i="10"/>
  <c r="AJ281" i="10"/>
  <c r="AJ283" i="10"/>
  <c r="AH279" i="10"/>
  <c r="AJ279" i="10" s="1"/>
  <c r="AH285" i="10"/>
  <c r="AJ285" i="10" s="1"/>
  <c r="AH284" i="10"/>
  <c r="AJ284" i="10" s="1"/>
  <c r="AG286" i="10"/>
  <c r="AH286" i="10" s="1"/>
  <c r="P112" i="40"/>
  <c r="P109" i="40"/>
  <c r="Q85" i="40"/>
  <c r="R85" i="40" s="1"/>
  <c r="R82" i="40"/>
  <c r="R81" i="40"/>
  <c r="Q26" i="40"/>
  <c r="Q13" i="40" s="1"/>
  <c r="N11" i="40"/>
  <c r="AJ286" i="10" l="1"/>
  <c r="W16" i="39"/>
  <c r="Y16" i="39" s="1"/>
  <c r="Z16" i="39" s="1"/>
  <c r="W15" i="39"/>
  <c r="AI14" i="39"/>
  <c r="W14" i="39"/>
  <c r="W13" i="39"/>
  <c r="T13" i="39"/>
  <c r="AF3" i="39"/>
  <c r="W353" i="37"/>
  <c r="Y353" i="37" s="1"/>
  <c r="W352" i="37"/>
  <c r="X352" i="37" s="1"/>
  <c r="W351" i="37"/>
  <c r="Y351" i="37" s="1"/>
  <c r="W350" i="37"/>
  <c r="X350" i="37" s="1"/>
  <c r="W349" i="37"/>
  <c r="W348" i="37"/>
  <c r="Y348" i="37" s="1"/>
  <c r="W347" i="37"/>
  <c r="X347" i="37" s="1"/>
  <c r="W346" i="37"/>
  <c r="X346" i="37" s="1"/>
  <c r="W345" i="37"/>
  <c r="T344" i="37"/>
  <c r="W342" i="37"/>
  <c r="Y342" i="37" s="1"/>
  <c r="W341" i="37"/>
  <c r="Y341" i="37" s="1"/>
  <c r="AA341" i="37" s="1"/>
  <c r="W340" i="37"/>
  <c r="X340" i="37" s="1"/>
  <c r="W339" i="37"/>
  <c r="Y339" i="37" s="1"/>
  <c r="W338" i="37"/>
  <c r="Y338" i="37" s="1"/>
  <c r="AI337" i="37"/>
  <c r="W337" i="37"/>
  <c r="Y337" i="37" s="1"/>
  <c r="W336" i="37"/>
  <c r="Y336" i="37" s="1"/>
  <c r="T336" i="37"/>
  <c r="W335" i="37"/>
  <c r="W334" i="37"/>
  <c r="W333" i="37"/>
  <c r="Y333" i="37" s="1"/>
  <c r="W332" i="37"/>
  <c r="X332" i="37" s="1"/>
  <c r="W330" i="37"/>
  <c r="X330" i="37" s="1"/>
  <c r="T330" i="37"/>
  <c r="W329" i="37"/>
  <c r="Y329" i="37" s="1"/>
  <c r="W328" i="37"/>
  <c r="Y328" i="37" s="1"/>
  <c r="W327" i="37"/>
  <c r="Y327" i="37" s="1"/>
  <c r="W326" i="37"/>
  <c r="W325" i="37"/>
  <c r="W324" i="37"/>
  <c r="Y324" i="37" s="1"/>
  <c r="W323" i="37"/>
  <c r="Y323" i="37" s="1"/>
  <c r="Z323" i="37" s="1"/>
  <c r="W322" i="37"/>
  <c r="W321" i="37"/>
  <c r="Y321" i="37" s="1"/>
  <c r="W320" i="37"/>
  <c r="Y320" i="37" s="1"/>
  <c r="W319" i="37"/>
  <c r="W318" i="37"/>
  <c r="W317" i="37"/>
  <c r="W316" i="37"/>
  <c r="AI315" i="37"/>
  <c r="W315" i="37"/>
  <c r="AI314" i="37"/>
  <c r="W314" i="37"/>
  <c r="W313" i="37"/>
  <c r="Y313" i="37" s="1"/>
  <c r="T313" i="37"/>
  <c r="W312" i="37"/>
  <c r="Y312" i="37" s="1"/>
  <c r="AA312" i="37" s="1"/>
  <c r="W311" i="37"/>
  <c r="X311" i="37" s="1"/>
  <c r="W310" i="37"/>
  <c r="W309" i="37"/>
  <c r="X309" i="37" s="1"/>
  <c r="Y308" i="37"/>
  <c r="W308" i="37"/>
  <c r="X308" i="37" s="1"/>
  <c r="W307" i="37"/>
  <c r="X307" i="37" s="1"/>
  <c r="W306" i="37"/>
  <c r="W305" i="37"/>
  <c r="Y305" i="37" s="1"/>
  <c r="W304" i="37"/>
  <c r="Y304" i="37" s="1"/>
  <c r="W303" i="37"/>
  <c r="X303" i="37" s="1"/>
  <c r="W302" i="37"/>
  <c r="W301" i="37"/>
  <c r="Y301" i="37" s="1"/>
  <c r="W300" i="37"/>
  <c r="Y300" i="37" s="1"/>
  <c r="W299" i="37"/>
  <c r="X299" i="37" s="1"/>
  <c r="AI298" i="37"/>
  <c r="W298" i="37"/>
  <c r="X298" i="37" s="1"/>
  <c r="W297" i="37"/>
  <c r="Y297" i="37" s="1"/>
  <c r="T297" i="37"/>
  <c r="W296" i="37"/>
  <c r="X296" i="37" s="1"/>
  <c r="W295" i="37"/>
  <c r="W294" i="37"/>
  <c r="X294" i="37" s="1"/>
  <c r="W293" i="37"/>
  <c r="Y293" i="37" s="1"/>
  <c r="W292" i="37"/>
  <c r="X292" i="37" s="1"/>
  <c r="W291" i="37"/>
  <c r="W290" i="37"/>
  <c r="Y290" i="37" s="1"/>
  <c r="W289" i="37"/>
  <c r="Y289" i="37" s="1"/>
  <c r="AA289" i="37" s="1"/>
  <c r="W288" i="37"/>
  <c r="X288" i="37" s="1"/>
  <c r="W287" i="37"/>
  <c r="W286" i="37"/>
  <c r="AI285" i="37"/>
  <c r="W285" i="37"/>
  <c r="AI284" i="37"/>
  <c r="W284" i="37"/>
  <c r="W283" i="37"/>
  <c r="X283" i="37" s="1"/>
  <c r="T283" i="37"/>
  <c r="AI282" i="37"/>
  <c r="W282" i="37"/>
  <c r="Y282" i="37" s="1"/>
  <c r="W281" i="37"/>
  <c r="Y281" i="37" s="1"/>
  <c r="T281" i="37"/>
  <c r="W280" i="37"/>
  <c r="Y280" i="37" s="1"/>
  <c r="W279" i="37"/>
  <c r="Y279" i="37" s="1"/>
  <c r="Z279" i="37" s="1"/>
  <c r="AI278" i="37"/>
  <c r="W278" i="37"/>
  <c r="Y278" i="37" s="1"/>
  <c r="W277" i="37"/>
  <c r="X277" i="37" s="1"/>
  <c r="T277" i="37"/>
  <c r="W276" i="37"/>
  <c r="W275" i="37"/>
  <c r="Y275" i="37" s="1"/>
  <c r="W274" i="37"/>
  <c r="W273" i="37"/>
  <c r="Y273" i="37" s="1"/>
  <c r="AA273" i="37" s="1"/>
  <c r="W272" i="37"/>
  <c r="X272" i="37" s="1"/>
  <c r="AI271" i="37"/>
  <c r="W271" i="37"/>
  <c r="X271" i="37" s="1"/>
  <c r="W270" i="37"/>
  <c r="T270" i="37"/>
  <c r="W269" i="37"/>
  <c r="X269" i="37" s="1"/>
  <c r="W268" i="37"/>
  <c r="Y268" i="37" s="1"/>
  <c r="W267" i="37"/>
  <c r="W266" i="37"/>
  <c r="X266" i="37" s="1"/>
  <c r="W265" i="37"/>
  <c r="X265" i="37" s="1"/>
  <c r="W264" i="37"/>
  <c r="W263" i="37"/>
  <c r="Y263" i="37" s="1"/>
  <c r="W262" i="37"/>
  <c r="Y262" i="37" s="1"/>
  <c r="AI261" i="37"/>
  <c r="W261" i="37"/>
  <c r="Y261" i="37" s="1"/>
  <c r="W260" i="37"/>
  <c r="T260" i="37"/>
  <c r="W259" i="37"/>
  <c r="Y259" i="37" s="1"/>
  <c r="AI258" i="37"/>
  <c r="W258" i="37"/>
  <c r="Y258" i="37" s="1"/>
  <c r="W257" i="37"/>
  <c r="T257" i="37"/>
  <c r="W256" i="37"/>
  <c r="Y256" i="37" s="1"/>
  <c r="W255" i="37"/>
  <c r="X255" i="37" s="1"/>
  <c r="W254" i="37"/>
  <c r="Y254" i="37" s="1"/>
  <c r="AA254" i="37" s="1"/>
  <c r="W253" i="37"/>
  <c r="W252" i="37"/>
  <c r="Y252" i="37" s="1"/>
  <c r="W251" i="37"/>
  <c r="Y251" i="37" s="1"/>
  <c r="AA251" i="37" s="1"/>
  <c r="W250" i="37"/>
  <c r="W249" i="37"/>
  <c r="Y249" i="37" s="1"/>
  <c r="Z249" i="37" s="1"/>
  <c r="W248" i="37"/>
  <c r="Y248" i="37" s="1"/>
  <c r="W247" i="37"/>
  <c r="Y247" i="37" s="1"/>
  <c r="AA247" i="37" s="1"/>
  <c r="W246" i="37"/>
  <c r="W245" i="37"/>
  <c r="Y245" i="37" s="1"/>
  <c r="Z245" i="37" s="1"/>
  <c r="W244" i="37"/>
  <c r="Y244" i="37" s="1"/>
  <c r="W243" i="37"/>
  <c r="X243" i="37" s="1"/>
  <c r="W242" i="37"/>
  <c r="W241" i="37"/>
  <c r="AI240" i="37"/>
  <c r="W240" i="37"/>
  <c r="Y240" i="37" s="1"/>
  <c r="AI239" i="37"/>
  <c r="W239" i="37"/>
  <c r="Y239" i="37" s="1"/>
  <c r="W238" i="37"/>
  <c r="Y238" i="37" s="1"/>
  <c r="T238" i="37"/>
  <c r="AI237" i="37"/>
  <c r="W237" i="37"/>
  <c r="W236" i="37"/>
  <c r="Y236" i="37" s="1"/>
  <c r="T236" i="37"/>
  <c r="AI235" i="37"/>
  <c r="W235" i="37"/>
  <c r="Y235" i="37" s="1"/>
  <c r="AI234" i="37"/>
  <c r="W234" i="37"/>
  <c r="Y234" i="37" s="1"/>
  <c r="W233" i="37"/>
  <c r="Y233" i="37" s="1"/>
  <c r="T233" i="37"/>
  <c r="AI232" i="37"/>
  <c r="X232" i="37"/>
  <c r="W232" i="37"/>
  <c r="Y232" i="37" s="1"/>
  <c r="W231" i="37"/>
  <c r="T231" i="37"/>
  <c r="AI230" i="37"/>
  <c r="W230" i="37"/>
  <c r="Y230" i="37" s="1"/>
  <c r="W229" i="37"/>
  <c r="Y229" i="37" s="1"/>
  <c r="T229" i="37"/>
  <c r="W228" i="37"/>
  <c r="Y228" i="37" s="1"/>
  <c r="Z228" i="37" s="1"/>
  <c r="W227" i="37"/>
  <c r="X227" i="37" s="1"/>
  <c r="W226" i="37"/>
  <c r="Y226" i="37" s="1"/>
  <c r="AA226" i="37" s="1"/>
  <c r="W225" i="37"/>
  <c r="W224" i="37"/>
  <c r="Y224" i="37" s="1"/>
  <c r="Z224" i="37" s="1"/>
  <c r="Y223" i="37"/>
  <c r="X223" i="37"/>
  <c r="W223" i="37"/>
  <c r="AI222" i="37"/>
  <c r="Y222" i="37"/>
  <c r="X222" i="37"/>
  <c r="W222" i="37"/>
  <c r="AI221" i="37"/>
  <c r="Y221" i="37"/>
  <c r="X221" i="37"/>
  <c r="W221" i="37"/>
  <c r="AI220" i="37"/>
  <c r="Y220" i="37"/>
  <c r="X220" i="37"/>
  <c r="W220" i="37"/>
  <c r="W219" i="37"/>
  <c r="T219" i="37"/>
  <c r="AI218" i="37"/>
  <c r="W218" i="37"/>
  <c r="Y218" i="37" s="1"/>
  <c r="W217" i="37"/>
  <c r="Y217" i="37" s="1"/>
  <c r="T217" i="37"/>
  <c r="X216" i="37"/>
  <c r="W216" i="37"/>
  <c r="Y216" i="37" s="1"/>
  <c r="AI215" i="37"/>
  <c r="W215" i="37"/>
  <c r="Y215" i="37" s="1"/>
  <c r="AA215" i="37" s="1"/>
  <c r="W214" i="37"/>
  <c r="Y214" i="37" s="1"/>
  <c r="AA214" i="37" s="1"/>
  <c r="T214" i="37"/>
  <c r="AH213" i="37"/>
  <c r="AI213" i="37" s="1"/>
  <c r="W213" i="37"/>
  <c r="X213" i="37" s="1"/>
  <c r="W212" i="37"/>
  <c r="Y212" i="37" s="1"/>
  <c r="AA212" i="37" s="1"/>
  <c r="T212" i="37"/>
  <c r="AI211" i="37"/>
  <c r="W211" i="37"/>
  <c r="Y211" i="37" s="1"/>
  <c r="AA211" i="37" s="1"/>
  <c r="AB211" i="37" s="1"/>
  <c r="W210" i="37"/>
  <c r="Y210" i="37" s="1"/>
  <c r="AA210" i="37" s="1"/>
  <c r="AB210" i="37" s="1"/>
  <c r="T210" i="37"/>
  <c r="AI209" i="37"/>
  <c r="W209" i="37"/>
  <c r="Y209" i="37" s="1"/>
  <c r="W208" i="37"/>
  <c r="Y208" i="37" s="1"/>
  <c r="T208" i="37"/>
  <c r="W207" i="37"/>
  <c r="Y207" i="37" s="1"/>
  <c r="W206" i="37"/>
  <c r="W205" i="37"/>
  <c r="Y205" i="37" s="1"/>
  <c r="AA205" i="37" s="1"/>
  <c r="W204" i="37"/>
  <c r="W203" i="37"/>
  <c r="Y203" i="37" s="1"/>
  <c r="W202" i="37"/>
  <c r="W201" i="37"/>
  <c r="Y201" i="37" s="1"/>
  <c r="AA201" i="37" s="1"/>
  <c r="W200" i="37"/>
  <c r="W199" i="37"/>
  <c r="X199" i="37" s="1"/>
  <c r="W198" i="37"/>
  <c r="W197" i="37"/>
  <c r="Y197" i="37" s="1"/>
  <c r="AA197" i="37" s="1"/>
  <c r="W196" i="37"/>
  <c r="W195" i="37"/>
  <c r="Y195" i="37" s="1"/>
  <c r="W194" i="37"/>
  <c r="W193" i="37"/>
  <c r="Y193" i="37" s="1"/>
  <c r="W192" i="37"/>
  <c r="W191" i="37"/>
  <c r="Y191" i="37" s="1"/>
  <c r="W190" i="37"/>
  <c r="W189" i="37"/>
  <c r="Y189" i="37" s="1"/>
  <c r="AA189" i="37" s="1"/>
  <c r="W188" i="37"/>
  <c r="W187" i="37"/>
  <c r="W186" i="37"/>
  <c r="Y186" i="37" s="1"/>
  <c r="W185" i="37"/>
  <c r="X185" i="37" s="1"/>
  <c r="W184" i="37"/>
  <c r="Y184" i="37" s="1"/>
  <c r="W183" i="37"/>
  <c r="X183" i="37" s="1"/>
  <c r="W182" i="37"/>
  <c r="Y182" i="37" s="1"/>
  <c r="AA182" i="37" s="1"/>
  <c r="W181" i="37"/>
  <c r="X181" i="37" s="1"/>
  <c r="W180" i="37"/>
  <c r="Y180" i="37" s="1"/>
  <c r="W179" i="37"/>
  <c r="Y179" i="37" s="1"/>
  <c r="W178" i="37"/>
  <c r="Y178" i="37" s="1"/>
  <c r="AA178" i="37" s="1"/>
  <c r="W177" i="37"/>
  <c r="X177" i="37" s="1"/>
  <c r="W176" i="37"/>
  <c r="Y176" i="37" s="1"/>
  <c r="W175" i="37"/>
  <c r="Y175" i="37" s="1"/>
  <c r="W174" i="37"/>
  <c r="Y174" i="37" s="1"/>
  <c r="W173" i="37"/>
  <c r="X173" i="37" s="1"/>
  <c r="W172" i="37"/>
  <c r="Y172" i="37" s="1"/>
  <c r="Z172" i="37" s="1"/>
  <c r="W171" i="37"/>
  <c r="Y171" i="37" s="1"/>
  <c r="W170" i="37"/>
  <c r="Y170" i="37" s="1"/>
  <c r="AA170" i="37" s="1"/>
  <c r="W169" i="37"/>
  <c r="X169" i="37" s="1"/>
  <c r="W168" i="37"/>
  <c r="Y168" i="37" s="1"/>
  <c r="AA168" i="37" s="1"/>
  <c r="W167" i="37"/>
  <c r="Y167" i="37" s="1"/>
  <c r="W166" i="37"/>
  <c r="X166" i="37" s="1"/>
  <c r="W165" i="37"/>
  <c r="X165" i="37" s="1"/>
  <c r="AI164" i="37"/>
  <c r="W164" i="37"/>
  <c r="X164" i="37" s="1"/>
  <c r="W163" i="37"/>
  <c r="Y163" i="37" s="1"/>
  <c r="T163" i="37"/>
  <c r="W162" i="37"/>
  <c r="X162" i="37" s="1"/>
  <c r="W161" i="37"/>
  <c r="W160" i="37"/>
  <c r="Y160" i="37" s="1"/>
  <c r="AI159" i="37"/>
  <c r="W159" i="37"/>
  <c r="Y159" i="37" s="1"/>
  <c r="W158" i="37"/>
  <c r="X158" i="37" s="1"/>
  <c r="T158" i="37"/>
  <c r="AI157" i="37"/>
  <c r="W157" i="37"/>
  <c r="W156" i="37"/>
  <c r="Y156" i="37" s="1"/>
  <c r="T156" i="37"/>
  <c r="AI155" i="37"/>
  <c r="W155" i="37"/>
  <c r="X155" i="37" s="1"/>
  <c r="W154" i="37"/>
  <c r="Y154" i="37" s="1"/>
  <c r="T154" i="37"/>
  <c r="AI153" i="37"/>
  <c r="W153" i="37"/>
  <c r="Y153" i="37" s="1"/>
  <c r="W152" i="37"/>
  <c r="T152" i="37"/>
  <c r="AI151" i="37"/>
  <c r="W151" i="37"/>
  <c r="Y151" i="37" s="1"/>
  <c r="W150" i="37"/>
  <c r="X150" i="37" s="1"/>
  <c r="T150" i="37"/>
  <c r="AI149" i="37"/>
  <c r="W149" i="37"/>
  <c r="W148" i="37"/>
  <c r="Y148" i="37" s="1"/>
  <c r="T148" i="37"/>
  <c r="W147" i="37"/>
  <c r="W146" i="37"/>
  <c r="Y146" i="37" s="1"/>
  <c r="Z146" i="37" s="1"/>
  <c r="W145" i="37"/>
  <c r="Y145" i="37" s="1"/>
  <c r="W144" i="37"/>
  <c r="X144" i="37" s="1"/>
  <c r="W143" i="37"/>
  <c r="W142" i="37"/>
  <c r="Y142" i="37" s="1"/>
  <c r="W141" i="37"/>
  <c r="Y141" i="37" s="1"/>
  <c r="W140" i="37"/>
  <c r="X140" i="37" s="1"/>
  <c r="W139" i="37"/>
  <c r="W138" i="37"/>
  <c r="Y138" i="37" s="1"/>
  <c r="Z138" i="37" s="1"/>
  <c r="W137" i="37"/>
  <c r="Y137" i="37" s="1"/>
  <c r="W136" i="37"/>
  <c r="X136" i="37" s="1"/>
  <c r="W135" i="37"/>
  <c r="W134" i="37"/>
  <c r="Y134" i="37" s="1"/>
  <c r="AI133" i="37"/>
  <c r="W133" i="37"/>
  <c r="Y133" i="37" s="1"/>
  <c r="W132" i="37"/>
  <c r="X132" i="37" s="1"/>
  <c r="T132" i="37"/>
  <c r="W131" i="37"/>
  <c r="Y131" i="37" s="1"/>
  <c r="Z131" i="37" s="1"/>
  <c r="AI130" i="37"/>
  <c r="W130" i="37"/>
  <c r="Y130" i="37" s="1"/>
  <c r="W129" i="37"/>
  <c r="X129" i="37" s="1"/>
  <c r="T129" i="37"/>
  <c r="W128" i="37"/>
  <c r="Y128" i="37" s="1"/>
  <c r="W127" i="37"/>
  <c r="Y127" i="37" s="1"/>
  <c r="W126" i="37"/>
  <c r="X126" i="37" s="1"/>
  <c r="W125" i="37"/>
  <c r="W124" i="37"/>
  <c r="Y124" i="37" s="1"/>
  <c r="Z124" i="37" s="1"/>
  <c r="AI123" i="37"/>
  <c r="W123" i="37"/>
  <c r="Y123" i="37" s="1"/>
  <c r="W122" i="37"/>
  <c r="X122" i="37" s="1"/>
  <c r="T122" i="37"/>
  <c r="W121" i="37"/>
  <c r="Y121" i="37" s="1"/>
  <c r="Z121" i="37" s="1"/>
  <c r="X120" i="37"/>
  <c r="W120" i="37"/>
  <c r="Y120" i="37" s="1"/>
  <c r="W119" i="37"/>
  <c r="X119" i="37" s="1"/>
  <c r="W118" i="37"/>
  <c r="X117" i="37"/>
  <c r="W117" i="37"/>
  <c r="Y117" i="37" s="1"/>
  <c r="Z117" i="37" s="1"/>
  <c r="W116" i="37"/>
  <c r="Y116" i="37" s="1"/>
  <c r="W115" i="37"/>
  <c r="Y115" i="37" s="1"/>
  <c r="W114" i="37"/>
  <c r="Y114" i="37" s="1"/>
  <c r="W113" i="37"/>
  <c r="X113" i="37" s="1"/>
  <c r="W112" i="37"/>
  <c r="W111" i="37"/>
  <c r="Y111" i="37" s="1"/>
  <c r="Z111" i="37" s="1"/>
  <c r="W110" i="37"/>
  <c r="Y110" i="37" s="1"/>
  <c r="W109" i="37"/>
  <c r="X109" i="37" s="1"/>
  <c r="W108" i="37"/>
  <c r="W107" i="37"/>
  <c r="Y107" i="37" s="1"/>
  <c r="W106" i="37"/>
  <c r="Y106" i="37" s="1"/>
  <c r="W105" i="37"/>
  <c r="X105" i="37" s="1"/>
  <c r="W104" i="37"/>
  <c r="W103" i="37"/>
  <c r="Y103" i="37" s="1"/>
  <c r="Z103" i="37" s="1"/>
  <c r="X102" i="37"/>
  <c r="W102" i="37"/>
  <c r="Y102" i="37" s="1"/>
  <c r="W101" i="37"/>
  <c r="X101" i="37" s="1"/>
  <c r="W100" i="37"/>
  <c r="W99" i="37"/>
  <c r="Y99" i="37" s="1"/>
  <c r="W98" i="37"/>
  <c r="Y98" i="37" s="1"/>
  <c r="W97" i="37"/>
  <c r="X97" i="37" s="1"/>
  <c r="AI96" i="37"/>
  <c r="W96" i="37"/>
  <c r="X96" i="37" s="1"/>
  <c r="AI95" i="37"/>
  <c r="W95" i="37"/>
  <c r="X95" i="37" s="1"/>
  <c r="AI94" i="37"/>
  <c r="W94" i="37"/>
  <c r="X94" i="37" s="1"/>
  <c r="AI93" i="37"/>
  <c r="Y93" i="37"/>
  <c r="W93" i="37"/>
  <c r="X93" i="37" s="1"/>
  <c r="W92" i="37"/>
  <c r="Y92" i="37" s="1"/>
  <c r="T92" i="37"/>
  <c r="AI91" i="37"/>
  <c r="W91" i="37"/>
  <c r="X91" i="37" s="1"/>
  <c r="AI90" i="37"/>
  <c r="W90" i="37"/>
  <c r="X90" i="37" s="1"/>
  <c r="AI89" i="37"/>
  <c r="W89" i="37"/>
  <c r="X89" i="37" s="1"/>
  <c r="AI88" i="37"/>
  <c r="W88" i="37"/>
  <c r="X88" i="37" s="1"/>
  <c r="AI87" i="37"/>
  <c r="W87" i="37"/>
  <c r="X87" i="37" s="1"/>
  <c r="W86" i="37"/>
  <c r="T86" i="37"/>
  <c r="AI85" i="37"/>
  <c r="W85" i="37"/>
  <c r="Y85" i="37" s="1"/>
  <c r="W84" i="37"/>
  <c r="X84" i="37" s="1"/>
  <c r="T84" i="37"/>
  <c r="W83" i="37"/>
  <c r="Y83" i="37" s="1"/>
  <c r="Z83" i="37" s="1"/>
  <c r="W82" i="37"/>
  <c r="X82" i="37" s="1"/>
  <c r="W81" i="37"/>
  <c r="Y81" i="37" s="1"/>
  <c r="AA81" i="37" s="1"/>
  <c r="W80" i="37"/>
  <c r="W79" i="37"/>
  <c r="Y79" i="37" s="1"/>
  <c r="Z79" i="37" s="1"/>
  <c r="W78" i="37"/>
  <c r="X78" i="37" s="1"/>
  <c r="W77" i="37"/>
  <c r="Y77" i="37" s="1"/>
  <c r="AA77" i="37" s="1"/>
  <c r="W76" i="37"/>
  <c r="W75" i="37"/>
  <c r="Y75" i="37" s="1"/>
  <c r="Z75" i="37" s="1"/>
  <c r="Y74" i="37"/>
  <c r="W74" i="37"/>
  <c r="X74" i="37" s="1"/>
  <c r="W73" i="37"/>
  <c r="Y73" i="37" s="1"/>
  <c r="W72" i="37"/>
  <c r="Y72" i="37" s="1"/>
  <c r="T72" i="37"/>
  <c r="AI71" i="37"/>
  <c r="W71" i="37"/>
  <c r="W70" i="37"/>
  <c r="X70" i="37" s="1"/>
  <c r="T70" i="37"/>
  <c r="AI69" i="37"/>
  <c r="W69" i="37"/>
  <c r="Y69" i="37" s="1"/>
  <c r="W68" i="37"/>
  <c r="X68" i="37" s="1"/>
  <c r="W67" i="37"/>
  <c r="T67" i="37"/>
  <c r="AI66" i="37"/>
  <c r="W66" i="37"/>
  <c r="Y66" i="37" s="1"/>
  <c r="W65" i="37"/>
  <c r="X65" i="37" s="1"/>
  <c r="T65" i="37"/>
  <c r="W64" i="37"/>
  <c r="Y64" i="37" s="1"/>
  <c r="Z64" i="37" s="1"/>
  <c r="W63" i="37"/>
  <c r="Y63" i="37" s="1"/>
  <c r="W62" i="37"/>
  <c r="X62" i="37" s="1"/>
  <c r="AI61" i="37"/>
  <c r="Y61" i="37"/>
  <c r="W61" i="37"/>
  <c r="X61" i="37" s="1"/>
  <c r="W60" i="37"/>
  <c r="Y60" i="37" s="1"/>
  <c r="T60" i="37"/>
  <c r="AI59" i="37"/>
  <c r="W59" i="37"/>
  <c r="Y59" i="37" s="1"/>
  <c r="W58" i="37"/>
  <c r="T58" i="37"/>
  <c r="AI57" i="37"/>
  <c r="W57" i="37"/>
  <c r="Y57" i="37" s="1"/>
  <c r="W56" i="37"/>
  <c r="Y56" i="37" s="1"/>
  <c r="T56" i="37"/>
  <c r="W55" i="37"/>
  <c r="Y55" i="37" s="1"/>
  <c r="W54" i="37"/>
  <c r="Y54" i="37" s="1"/>
  <c r="W53" i="37"/>
  <c r="Y53" i="37" s="1"/>
  <c r="AA53" i="37" s="1"/>
  <c r="W52" i="37"/>
  <c r="X52" i="37" s="1"/>
  <c r="W51" i="37"/>
  <c r="Y51" i="37" s="1"/>
  <c r="AA51" i="37" s="1"/>
  <c r="W50" i="37"/>
  <c r="Y50" i="37" s="1"/>
  <c r="AI49" i="37"/>
  <c r="W49" i="37"/>
  <c r="X49" i="37" s="1"/>
  <c r="AI48" i="37"/>
  <c r="W48" i="37"/>
  <c r="X48" i="37" s="1"/>
  <c r="W47" i="37"/>
  <c r="Y47" i="37" s="1"/>
  <c r="T47" i="37"/>
  <c r="W46" i="37"/>
  <c r="X46" i="37" s="1"/>
  <c r="W45" i="37"/>
  <c r="Y45" i="37" s="1"/>
  <c r="AA45" i="37" s="1"/>
  <c r="W44" i="37"/>
  <c r="AI43" i="37"/>
  <c r="W43" i="37"/>
  <c r="AI42" i="37"/>
  <c r="W42" i="37"/>
  <c r="W41" i="37"/>
  <c r="T41" i="37"/>
  <c r="W40" i="37"/>
  <c r="Y40" i="37" s="1"/>
  <c r="Z40" i="37" s="1"/>
  <c r="W39" i="37"/>
  <c r="X39" i="37" s="1"/>
  <c r="W38" i="37"/>
  <c r="X38" i="37" s="1"/>
  <c r="AI37" i="37"/>
  <c r="W37" i="37"/>
  <c r="X37" i="37" s="1"/>
  <c r="AI36" i="37"/>
  <c r="W36" i="37"/>
  <c r="X36" i="37" s="1"/>
  <c r="AI35" i="37"/>
  <c r="W35" i="37"/>
  <c r="W34" i="37"/>
  <c r="X34" i="37" s="1"/>
  <c r="T34" i="37"/>
  <c r="W33" i="37"/>
  <c r="W32" i="37"/>
  <c r="Y32" i="37" s="1"/>
  <c r="AA32" i="37" s="1"/>
  <c r="W31" i="37"/>
  <c r="W30" i="37"/>
  <c r="Y30" i="37" s="1"/>
  <c r="W29" i="37"/>
  <c r="W28" i="37"/>
  <c r="Y28" i="37" s="1"/>
  <c r="AA28" i="37" s="1"/>
  <c r="AI27" i="37"/>
  <c r="W27" i="37"/>
  <c r="Y27" i="37" s="1"/>
  <c r="AI26" i="37"/>
  <c r="W26" i="37"/>
  <c r="AI25" i="37"/>
  <c r="W25" i="37"/>
  <c r="AI24" i="37"/>
  <c r="W24" i="37"/>
  <c r="AI23" i="37"/>
  <c r="W23" i="37"/>
  <c r="W22" i="37"/>
  <c r="X22" i="37" s="1"/>
  <c r="T22" i="37"/>
  <c r="W21" i="37"/>
  <c r="W20" i="37"/>
  <c r="Y20" i="37" s="1"/>
  <c r="W19" i="37"/>
  <c r="X19" i="37" s="1"/>
  <c r="W18" i="37"/>
  <c r="Y18" i="37" s="1"/>
  <c r="AA18" i="37" s="1"/>
  <c r="W17" i="37"/>
  <c r="W16" i="37"/>
  <c r="Y16" i="37" s="1"/>
  <c r="AA16" i="37" s="1"/>
  <c r="W15" i="37"/>
  <c r="X15" i="37" s="1"/>
  <c r="W14" i="37"/>
  <c r="Y14" i="37" s="1"/>
  <c r="AA14" i="37" s="1"/>
  <c r="AF3" i="37"/>
  <c r="X20" i="37" l="1"/>
  <c r="Y62" i="37"/>
  <c r="AA62" i="37" s="1"/>
  <c r="Y140" i="37"/>
  <c r="AA140" i="37" s="1"/>
  <c r="Y34" i="37"/>
  <c r="Y52" i="37"/>
  <c r="Z52" i="37" s="1"/>
  <c r="X66" i="37"/>
  <c r="Y89" i="37"/>
  <c r="X258" i="37"/>
  <c r="X289" i="37"/>
  <c r="X30" i="37"/>
  <c r="Y39" i="37"/>
  <c r="Y68" i="37"/>
  <c r="X73" i="37"/>
  <c r="X85" i="37"/>
  <c r="Y105" i="37"/>
  <c r="AA105" i="37" s="1"/>
  <c r="X131" i="37"/>
  <c r="Y136" i="37"/>
  <c r="AA136" i="37" s="1"/>
  <c r="X138" i="37"/>
  <c r="Y166" i="37"/>
  <c r="AA166" i="37" s="1"/>
  <c r="Y169" i="37"/>
  <c r="AA169" i="37" s="1"/>
  <c r="X215" i="37"/>
  <c r="X278" i="37"/>
  <c r="X328" i="37"/>
  <c r="X336" i="37"/>
  <c r="X342" i="37"/>
  <c r="Y19" i="37"/>
  <c r="Y65" i="37"/>
  <c r="Y78" i="37"/>
  <c r="AA78" i="37" s="1"/>
  <c r="Y87" i="37"/>
  <c r="Y91" i="37"/>
  <c r="X92" i="37"/>
  <c r="Y101" i="37"/>
  <c r="AA101" i="37" s="1"/>
  <c r="X103" i="37"/>
  <c r="Y109" i="37"/>
  <c r="AA109" i="37" s="1"/>
  <c r="Y162" i="37"/>
  <c r="AA162" i="37" s="1"/>
  <c r="Y227" i="37"/>
  <c r="AA227" i="37" s="1"/>
  <c r="X229" i="37"/>
  <c r="X247" i="37"/>
  <c r="Y266" i="37"/>
  <c r="AA266" i="37" s="1"/>
  <c r="Y269" i="37"/>
  <c r="Z269" i="37" s="1"/>
  <c r="Y271" i="37"/>
  <c r="Y288" i="37"/>
  <c r="X290" i="37"/>
  <c r="Y303" i="37"/>
  <c r="AA303" i="37" s="1"/>
  <c r="X351" i="37"/>
  <c r="T13" i="37"/>
  <c r="T11" i="37" s="1"/>
  <c r="Y88" i="37"/>
  <c r="Y129" i="37"/>
  <c r="Y144" i="37"/>
  <c r="AA144" i="37" s="1"/>
  <c r="X153" i="37"/>
  <c r="X182" i="37"/>
  <c r="Y243" i="37"/>
  <c r="Z243" i="37" s="1"/>
  <c r="X262" i="37"/>
  <c r="Y296" i="37"/>
  <c r="X300" i="37"/>
  <c r="X313" i="37"/>
  <c r="X40" i="37"/>
  <c r="X47" i="37"/>
  <c r="Y49" i="37"/>
  <c r="AB49" i="37" s="1"/>
  <c r="X64" i="37"/>
  <c r="X69" i="37"/>
  <c r="Y70" i="37"/>
  <c r="Y82" i="37"/>
  <c r="Z82" i="37" s="1"/>
  <c r="Y84" i="37"/>
  <c r="Y90" i="37"/>
  <c r="Y96" i="37"/>
  <c r="Y113" i="37"/>
  <c r="AA113" i="37" s="1"/>
  <c r="X137" i="37"/>
  <c r="Y150" i="37"/>
  <c r="X170" i="37"/>
  <c r="Y181" i="37"/>
  <c r="Y199" i="37"/>
  <c r="AA199" i="37" s="1"/>
  <c r="X209" i="37"/>
  <c r="X212" i="37"/>
  <c r="X251" i="37"/>
  <c r="X259" i="37"/>
  <c r="Y277" i="37"/>
  <c r="Y299" i="37"/>
  <c r="AA299" i="37" s="1"/>
  <c r="X301" i="37"/>
  <c r="Y309" i="37"/>
  <c r="X320" i="37"/>
  <c r="X327" i="37"/>
  <c r="Y332" i="37"/>
  <c r="Y15" i="37"/>
  <c r="Z15" i="37" s="1"/>
  <c r="X27" i="37"/>
  <c r="Y36" i="37"/>
  <c r="X54" i="37"/>
  <c r="X77" i="37"/>
  <c r="X81" i="37"/>
  <c r="Y97" i="37"/>
  <c r="AA97" i="37" s="1"/>
  <c r="X99" i="37"/>
  <c r="AA103" i="37"/>
  <c r="AB103" i="37" s="1"/>
  <c r="AC103" i="37" s="1"/>
  <c r="X111" i="37"/>
  <c r="X116" i="37"/>
  <c r="X127" i="37"/>
  <c r="Y132" i="37"/>
  <c r="X134" i="37"/>
  <c r="AA138" i="37"/>
  <c r="AB138" i="37" s="1"/>
  <c r="X146" i="37"/>
  <c r="X148" i="37"/>
  <c r="Y155" i="37"/>
  <c r="X156" i="37"/>
  <c r="X159" i="37"/>
  <c r="X163" i="37"/>
  <c r="Y165" i="37"/>
  <c r="AA165" i="37" s="1"/>
  <c r="X174" i="37"/>
  <c r="Y185" i="37"/>
  <c r="X191" i="37"/>
  <c r="X207" i="37"/>
  <c r="Y213" i="37"/>
  <c r="AA213" i="37" s="1"/>
  <c r="X217" i="37"/>
  <c r="X226" i="37"/>
  <c r="X236" i="37"/>
  <c r="X248" i="37"/>
  <c r="X252" i="37"/>
  <c r="X254" i="37"/>
  <c r="X256" i="37"/>
  <c r="Y294" i="37"/>
  <c r="AA294" i="37" s="1"/>
  <c r="X312" i="37"/>
  <c r="X324" i="37"/>
  <c r="Y330" i="37"/>
  <c r="Y340" i="37"/>
  <c r="Z340" i="37" s="1"/>
  <c r="Y346" i="37"/>
  <c r="AA346" i="37" s="1"/>
  <c r="X50" i="37"/>
  <c r="X55" i="37"/>
  <c r="X59" i="37"/>
  <c r="Y95" i="37"/>
  <c r="X98" i="37"/>
  <c r="X107" i="37"/>
  <c r="X115" i="37"/>
  <c r="X121" i="37"/>
  <c r="Y126" i="37"/>
  <c r="AA126" i="37" s="1"/>
  <c r="X142" i="37"/>
  <c r="Y158" i="37"/>
  <c r="Y173" i="37"/>
  <c r="AA173" i="37" s="1"/>
  <c r="X184" i="37"/>
  <c r="X186" i="37"/>
  <c r="X238" i="37"/>
  <c r="X245" i="37"/>
  <c r="Y255" i="37"/>
  <c r="AA255" i="37" s="1"/>
  <c r="X261" i="37"/>
  <c r="Y272" i="37"/>
  <c r="Z272" i="37" s="1"/>
  <c r="X279" i="37"/>
  <c r="X293" i="37"/>
  <c r="Y311" i="37"/>
  <c r="AA311" i="37" s="1"/>
  <c r="X323" i="37"/>
  <c r="X339" i="37"/>
  <c r="Y347" i="37"/>
  <c r="AA347" i="37" s="1"/>
  <c r="Y352" i="37"/>
  <c r="AA352" i="37" s="1"/>
  <c r="AA304" i="37"/>
  <c r="Z304" i="37"/>
  <c r="X16" i="37"/>
  <c r="Y22" i="37"/>
  <c r="Y38" i="37"/>
  <c r="AA38" i="37" s="1"/>
  <c r="X51" i="37"/>
  <c r="X53" i="37"/>
  <c r="X56" i="37"/>
  <c r="X63" i="37"/>
  <c r="X72" i="37"/>
  <c r="X79" i="37"/>
  <c r="Y94" i="37"/>
  <c r="X106" i="37"/>
  <c r="X110" i="37"/>
  <c r="X114" i="37"/>
  <c r="Y119" i="37"/>
  <c r="AA119" i="37" s="1"/>
  <c r="Y122" i="37"/>
  <c r="X124" i="37"/>
  <c r="X128" i="37"/>
  <c r="X141" i="37"/>
  <c r="X145" i="37"/>
  <c r="X160" i="37"/>
  <c r="Y164" i="37"/>
  <c r="X167" i="37"/>
  <c r="X171" i="37"/>
  <c r="X175" i="37"/>
  <c r="X178" i="37"/>
  <c r="X195" i="37"/>
  <c r="X203" i="37"/>
  <c r="X210" i="37"/>
  <c r="X218" i="37"/>
  <c r="X224" i="37"/>
  <c r="X234" i="37"/>
  <c r="X235" i="37"/>
  <c r="X240" i="37"/>
  <c r="X244" i="37"/>
  <c r="Y265" i="37"/>
  <c r="AA265" i="37" s="1"/>
  <c r="X273" i="37"/>
  <c r="X275" i="37"/>
  <c r="X281" i="37"/>
  <c r="X297" i="37"/>
  <c r="X304" i="37"/>
  <c r="X305" i="37"/>
  <c r="Y307" i="37"/>
  <c r="AA307" i="37" s="1"/>
  <c r="X333" i="37"/>
  <c r="X337" i="37"/>
  <c r="X338" i="37"/>
  <c r="X341" i="37"/>
  <c r="X348" i="37"/>
  <c r="Y350" i="37"/>
  <c r="Z350" i="37" s="1"/>
  <c r="Z51" i="37"/>
  <c r="AB51" i="37" s="1"/>
  <c r="AC51" i="37" s="1"/>
  <c r="AA124" i="37"/>
  <c r="AB124" i="37" s="1"/>
  <c r="AC124" i="37" s="1"/>
  <c r="AD124" i="37" s="1"/>
  <c r="Z166" i="37"/>
  <c r="Z168" i="37"/>
  <c r="Z254" i="37"/>
  <c r="AB254" i="37" s="1"/>
  <c r="Z201" i="37"/>
  <c r="AB201" i="37" s="1"/>
  <c r="AA16" i="39"/>
  <c r="AB16" i="39" s="1"/>
  <c r="AG16" i="39" s="1"/>
  <c r="AH16" i="39" s="1"/>
  <c r="AI16" i="39" s="1"/>
  <c r="T12" i="39"/>
  <c r="T11" i="39" s="1"/>
  <c r="Y14" i="39"/>
  <c r="X14" i="39"/>
  <c r="Y15" i="39"/>
  <c r="X15" i="39"/>
  <c r="X16" i="39"/>
  <c r="Z45" i="37"/>
  <c r="AB45" i="37" s="1"/>
  <c r="Z140" i="37"/>
  <c r="AB168" i="37"/>
  <c r="Z226" i="37"/>
  <c r="AB226" i="37" s="1"/>
  <c r="Z28" i="37"/>
  <c r="AB28" i="37" s="1"/>
  <c r="AC28" i="37" s="1"/>
  <c r="AD28" i="37" s="1"/>
  <c r="AA83" i="37"/>
  <c r="AB83" i="37" s="1"/>
  <c r="AC83" i="37" s="1"/>
  <c r="AD83" i="37" s="1"/>
  <c r="AE83" i="37" s="1"/>
  <c r="AA111" i="37"/>
  <c r="AB111" i="37" s="1"/>
  <c r="AC111" i="37" s="1"/>
  <c r="AD111" i="37" s="1"/>
  <c r="AE111" i="37" s="1"/>
  <c r="AA172" i="37"/>
  <c r="AB172" i="37" s="1"/>
  <c r="AC172" i="37" s="1"/>
  <c r="AD172" i="37" s="1"/>
  <c r="Z205" i="37"/>
  <c r="AB205" i="37" s="1"/>
  <c r="AA228" i="37"/>
  <c r="AB228" i="37" s="1"/>
  <c r="Z247" i="37"/>
  <c r="AB247" i="37" s="1"/>
  <c r="Z312" i="37"/>
  <c r="AB312" i="37" s="1"/>
  <c r="AD312" i="37" s="1"/>
  <c r="AE312" i="37" s="1"/>
  <c r="Z32" i="37"/>
  <c r="AB32" i="37" s="1"/>
  <c r="AC32" i="37" s="1"/>
  <c r="AD32" i="37" s="1"/>
  <c r="AA146" i="37"/>
  <c r="AB146" i="37" s="1"/>
  <c r="AC146" i="37" s="1"/>
  <c r="Z341" i="37"/>
  <c r="AB341" i="37" s="1"/>
  <c r="AF341" i="37" s="1"/>
  <c r="Y13" i="39"/>
  <c r="X13" i="39"/>
  <c r="Z134" i="37"/>
  <c r="AA134" i="37"/>
  <c r="Z160" i="37"/>
  <c r="AA160" i="37"/>
  <c r="AA176" i="37"/>
  <c r="Z176" i="37"/>
  <c r="AA186" i="37"/>
  <c r="Z186" i="37"/>
  <c r="Z197" i="37"/>
  <c r="AB197" i="37" s="1"/>
  <c r="AA52" i="37"/>
  <c r="AB52" i="37" s="1"/>
  <c r="Z53" i="37"/>
  <c r="AB53" i="37" s="1"/>
  <c r="AC53" i="37" s="1"/>
  <c r="Z128" i="37"/>
  <c r="AA128" i="37"/>
  <c r="AA174" i="37"/>
  <c r="Z174" i="37"/>
  <c r="AA193" i="37"/>
  <c r="Z193" i="37"/>
  <c r="Z216" i="37"/>
  <c r="AA216" i="37"/>
  <c r="AA333" i="37"/>
  <c r="Z333" i="37"/>
  <c r="AA351" i="37"/>
  <c r="Z351" i="37"/>
  <c r="AA39" i="37"/>
  <c r="Z39" i="37"/>
  <c r="AA300" i="37"/>
  <c r="Z300" i="37"/>
  <c r="Z38" i="37"/>
  <c r="AA55" i="37"/>
  <c r="Z55" i="37"/>
  <c r="Z107" i="37"/>
  <c r="AA107" i="37"/>
  <c r="Z182" i="37"/>
  <c r="AA249" i="37"/>
  <c r="AB249" i="37" s="1"/>
  <c r="AC249" i="37" s="1"/>
  <c r="AD249" i="37" s="1"/>
  <c r="AA20" i="37"/>
  <c r="Z20" i="37"/>
  <c r="Z99" i="37"/>
  <c r="AA99" i="37"/>
  <c r="Z142" i="37"/>
  <c r="AA142" i="37"/>
  <c r="AA180" i="37"/>
  <c r="Z180" i="37"/>
  <c r="AA308" i="37"/>
  <c r="Z308" i="37"/>
  <c r="AA339" i="37"/>
  <c r="Z339" i="37"/>
  <c r="Z280" i="37"/>
  <c r="AA280" i="37"/>
  <c r="Z81" i="37"/>
  <c r="AB81" i="37" s="1"/>
  <c r="Z170" i="37"/>
  <c r="AB170" i="37" s="1"/>
  <c r="Z189" i="37"/>
  <c r="AB189" i="37" s="1"/>
  <c r="AC189" i="37" s="1"/>
  <c r="Y24" i="37"/>
  <c r="X24" i="37"/>
  <c r="X29" i="37"/>
  <c r="Y29" i="37"/>
  <c r="X35" i="37"/>
  <c r="Y35" i="37"/>
  <c r="AA30" i="37"/>
  <c r="Z30" i="37"/>
  <c r="AA19" i="37"/>
  <c r="Z19" i="37"/>
  <c r="Y23" i="37"/>
  <c r="X23" i="37"/>
  <c r="Y25" i="37"/>
  <c r="X25" i="37"/>
  <c r="X41" i="37"/>
  <c r="Y41" i="37"/>
  <c r="Z50" i="37"/>
  <c r="AA50" i="37"/>
  <c r="Y26" i="37"/>
  <c r="X26" i="37"/>
  <c r="Z14" i="37"/>
  <c r="AB14" i="37" s="1"/>
  <c r="AA15" i="37"/>
  <c r="Y17" i="37"/>
  <c r="X17" i="37"/>
  <c r="X33" i="37"/>
  <c r="Y33" i="37"/>
  <c r="Y43" i="37"/>
  <c r="X43" i="37"/>
  <c r="Z18" i="37"/>
  <c r="AB18" i="37" s="1"/>
  <c r="Y21" i="37"/>
  <c r="X21" i="37"/>
  <c r="Y31" i="37"/>
  <c r="X31" i="37"/>
  <c r="AA40" i="37"/>
  <c r="AB40" i="37" s="1"/>
  <c r="Y42" i="37"/>
  <c r="X42" i="37"/>
  <c r="Y44" i="37"/>
  <c r="X44" i="37"/>
  <c r="Z54" i="37"/>
  <c r="AA54" i="37"/>
  <c r="Y157" i="37"/>
  <c r="X157" i="37"/>
  <c r="Z179" i="37"/>
  <c r="AA179" i="37"/>
  <c r="Y196" i="37"/>
  <c r="X196" i="37"/>
  <c r="T355" i="37"/>
  <c r="T357" i="37" s="1"/>
  <c r="Y46" i="37"/>
  <c r="Y48" i="37"/>
  <c r="AB48" i="37" s="1"/>
  <c r="Z62" i="37"/>
  <c r="AB62" i="37" s="1"/>
  <c r="Y67" i="37"/>
  <c r="X67" i="37"/>
  <c r="X75" i="37"/>
  <c r="Z77" i="37"/>
  <c r="AB77" i="37" s="1"/>
  <c r="AA82" i="37"/>
  <c r="Y86" i="37"/>
  <c r="X86" i="37"/>
  <c r="AA115" i="37"/>
  <c r="Z115" i="37"/>
  <c r="X123" i="37"/>
  <c r="X133" i="37"/>
  <c r="X151" i="37"/>
  <c r="X154" i="37"/>
  <c r="Z162" i="37"/>
  <c r="AB162" i="37" s="1"/>
  <c r="Z175" i="37"/>
  <c r="AA175" i="37"/>
  <c r="Y177" i="37"/>
  <c r="Z178" i="37"/>
  <c r="AB178" i="37" s="1"/>
  <c r="X179" i="37"/>
  <c r="AA63" i="37"/>
  <c r="Z63" i="37"/>
  <c r="X14" i="37"/>
  <c r="AA75" i="37"/>
  <c r="AB75" i="37" s="1"/>
  <c r="Y104" i="37"/>
  <c r="X104" i="37"/>
  <c r="AA106" i="37"/>
  <c r="Z106" i="37"/>
  <c r="Y108" i="37"/>
  <c r="X108" i="37"/>
  <c r="AA110" i="37"/>
  <c r="Z110" i="37"/>
  <c r="Y112" i="37"/>
  <c r="X112" i="37"/>
  <c r="AA114" i="37"/>
  <c r="Z114" i="37"/>
  <c r="AA137" i="37"/>
  <c r="Z137" i="37"/>
  <c r="Y139" i="37"/>
  <c r="X139" i="37"/>
  <c r="AB140" i="37"/>
  <c r="AA141" i="37"/>
  <c r="Z141" i="37"/>
  <c r="Y143" i="37"/>
  <c r="X143" i="37"/>
  <c r="AA145" i="37"/>
  <c r="Z145" i="37"/>
  <c r="Y147" i="37"/>
  <c r="X147" i="37"/>
  <c r="Y149" i="37"/>
  <c r="X149" i="37"/>
  <c r="Z171" i="37"/>
  <c r="AA171" i="37"/>
  <c r="Z173" i="37"/>
  <c r="AA184" i="37"/>
  <c r="Z184" i="37"/>
  <c r="Y71" i="37"/>
  <c r="X71" i="37"/>
  <c r="Z78" i="37"/>
  <c r="Y80" i="37"/>
  <c r="X80" i="37"/>
  <c r="AA116" i="37"/>
  <c r="Z116" i="37"/>
  <c r="Y118" i="37"/>
  <c r="X118" i="37"/>
  <c r="AA120" i="37"/>
  <c r="Z120" i="37"/>
  <c r="Y152" i="37"/>
  <c r="X152" i="37"/>
  <c r="Y161" i="37"/>
  <c r="X161" i="37"/>
  <c r="AA181" i="37"/>
  <c r="Z181" i="37"/>
  <c r="Z199" i="37"/>
  <c r="Z16" i="37"/>
  <c r="AB16" i="37" s="1"/>
  <c r="X18" i="37"/>
  <c r="Y58" i="37"/>
  <c r="X58" i="37"/>
  <c r="AA98" i="37"/>
  <c r="Z98" i="37"/>
  <c r="Y100" i="37"/>
  <c r="X100" i="37"/>
  <c r="AA102" i="37"/>
  <c r="Z102" i="37"/>
  <c r="Y125" i="37"/>
  <c r="X125" i="37"/>
  <c r="AA127" i="37"/>
  <c r="Z127" i="37"/>
  <c r="Y135" i="37"/>
  <c r="X135" i="37"/>
  <c r="AC138" i="37"/>
  <c r="X28" i="37"/>
  <c r="X32" i="37"/>
  <c r="Y37" i="37"/>
  <c r="X45" i="37"/>
  <c r="X57" i="37"/>
  <c r="X60" i="37"/>
  <c r="AA64" i="37"/>
  <c r="AB64" i="37" s="1"/>
  <c r="AA74" i="37"/>
  <c r="Z74" i="37"/>
  <c r="Y76" i="37"/>
  <c r="X76" i="37"/>
  <c r="AA79" i="37"/>
  <c r="AB79" i="37" s="1"/>
  <c r="X83" i="37"/>
  <c r="Z101" i="37"/>
  <c r="AB101" i="37" s="1"/>
  <c r="Z105" i="37"/>
  <c r="AB105" i="37" s="1"/>
  <c r="Z109" i="37"/>
  <c r="AB109" i="37" s="1"/>
  <c r="Z113" i="37"/>
  <c r="AB113" i="37" s="1"/>
  <c r="AA117" i="37"/>
  <c r="AB117" i="37" s="1"/>
  <c r="AA121" i="37"/>
  <c r="AB121" i="37" s="1"/>
  <c r="X130" i="37"/>
  <c r="AA131" i="37"/>
  <c r="AB131" i="37" s="1"/>
  <c r="AB166" i="37"/>
  <c r="Z167" i="37"/>
  <c r="AA167" i="37"/>
  <c r="AC168" i="37"/>
  <c r="AD168" i="37" s="1"/>
  <c r="AB182" i="37"/>
  <c r="X190" i="37"/>
  <c r="Y190" i="37"/>
  <c r="Y204" i="37"/>
  <c r="X204" i="37"/>
  <c r="AA207" i="37"/>
  <c r="Z207" i="37"/>
  <c r="Y284" i="37"/>
  <c r="X284" i="37"/>
  <c r="Y286" i="37"/>
  <c r="X286" i="37"/>
  <c r="AA191" i="37"/>
  <c r="Z191" i="37"/>
  <c r="X194" i="37"/>
  <c r="Y194" i="37"/>
  <c r="X202" i="37"/>
  <c r="Y202" i="37"/>
  <c r="AA223" i="37"/>
  <c r="Z223" i="37"/>
  <c r="AA185" i="37"/>
  <c r="Z185" i="37"/>
  <c r="Y188" i="37"/>
  <c r="X188" i="37"/>
  <c r="AA195" i="37"/>
  <c r="Z195" i="37"/>
  <c r="Y200" i="37"/>
  <c r="X200" i="37"/>
  <c r="AA203" i="37"/>
  <c r="Z203" i="37"/>
  <c r="Y225" i="37"/>
  <c r="X225" i="37"/>
  <c r="AC228" i="37"/>
  <c r="AA243" i="37"/>
  <c r="AA244" i="37"/>
  <c r="Z244" i="37"/>
  <c r="Z327" i="37"/>
  <c r="AA327" i="37"/>
  <c r="X168" i="37"/>
  <c r="X172" i="37"/>
  <c r="X176" i="37"/>
  <c r="X180" i="37"/>
  <c r="Y183" i="37"/>
  <c r="Y187" i="37"/>
  <c r="X187" i="37"/>
  <c r="Y192" i="37"/>
  <c r="X192" i="37"/>
  <c r="X198" i="37"/>
  <c r="Y198" i="37"/>
  <c r="X206" i="37"/>
  <c r="Y206" i="37"/>
  <c r="Y241" i="37"/>
  <c r="X241" i="37"/>
  <c r="Y246" i="37"/>
  <c r="X246" i="37"/>
  <c r="AA268" i="37"/>
  <c r="Z268" i="37"/>
  <c r="AA248" i="37"/>
  <c r="Z248" i="37"/>
  <c r="Y250" i="37"/>
  <c r="X250" i="37"/>
  <c r="Z255" i="37"/>
  <c r="Y270" i="37"/>
  <c r="X270" i="37"/>
  <c r="AA296" i="37"/>
  <c r="Z296" i="37"/>
  <c r="X208" i="37"/>
  <c r="X211" i="37"/>
  <c r="Y231" i="37"/>
  <c r="X231" i="37"/>
  <c r="AA252" i="37"/>
  <c r="Z252" i="37"/>
  <c r="Y253" i="37"/>
  <c r="X253" i="37"/>
  <c r="AA256" i="37"/>
  <c r="Z256" i="37"/>
  <c r="Z263" i="37"/>
  <c r="AA263" i="37"/>
  <c r="Y267" i="37"/>
  <c r="X267" i="37"/>
  <c r="AA275" i="37"/>
  <c r="Z275" i="37"/>
  <c r="AA293" i="37"/>
  <c r="Z293" i="37"/>
  <c r="Y318" i="37"/>
  <c r="X318" i="37"/>
  <c r="X189" i="37"/>
  <c r="X193" i="37"/>
  <c r="X197" i="37"/>
  <c r="X201" i="37"/>
  <c r="X205" i="37"/>
  <c r="X214" i="37"/>
  <c r="Y219" i="37"/>
  <c r="X219" i="37"/>
  <c r="AA224" i="37"/>
  <c r="AB224" i="37" s="1"/>
  <c r="X228" i="37"/>
  <c r="X230" i="37"/>
  <c r="X233" i="37"/>
  <c r="Y237" i="37"/>
  <c r="X237" i="37"/>
  <c r="X239" i="37"/>
  <c r="Y242" i="37"/>
  <c r="X242" i="37"/>
  <c r="AA245" i="37"/>
  <c r="AB245" i="37" s="1"/>
  <c r="X249" i="37"/>
  <c r="Z251" i="37"/>
  <c r="AB251" i="37" s="1"/>
  <c r="AA259" i="37"/>
  <c r="Z259" i="37"/>
  <c r="X263" i="37"/>
  <c r="AA269" i="37"/>
  <c r="Y260" i="37"/>
  <c r="X260" i="37"/>
  <c r="Y276" i="37"/>
  <c r="X276" i="37"/>
  <c r="AA288" i="37"/>
  <c r="Z288" i="37"/>
  <c r="Y257" i="37"/>
  <c r="X257" i="37"/>
  <c r="AA262" i="37"/>
  <c r="Z262" i="37"/>
  <c r="Y264" i="37"/>
  <c r="X264" i="37"/>
  <c r="AA272" i="37"/>
  <c r="X274" i="37"/>
  <c r="Y274" i="37"/>
  <c r="Y285" i="37"/>
  <c r="X285" i="37"/>
  <c r="Y287" i="37"/>
  <c r="X287" i="37"/>
  <c r="Z294" i="37"/>
  <c r="Y325" i="37"/>
  <c r="X325" i="37"/>
  <c r="Y335" i="37"/>
  <c r="X335" i="37"/>
  <c r="Z290" i="37"/>
  <c r="AA290" i="37"/>
  <c r="Y314" i="37"/>
  <c r="X314" i="37"/>
  <c r="Y316" i="37"/>
  <c r="X316" i="37"/>
  <c r="Z320" i="37"/>
  <c r="AA320" i="37"/>
  <c r="Y322" i="37"/>
  <c r="X322" i="37"/>
  <c r="AA340" i="37"/>
  <c r="Z266" i="37"/>
  <c r="AB266" i="37" s="1"/>
  <c r="X268" i="37"/>
  <c r="Z273" i="37"/>
  <c r="AB273" i="37" s="1"/>
  <c r="AA279" i="37"/>
  <c r="AB279" i="37" s="1"/>
  <c r="X280" i="37"/>
  <c r="X282" i="37"/>
  <c r="Y283" i="37"/>
  <c r="Z289" i="37"/>
  <c r="AB289" i="37" s="1"/>
  <c r="Y295" i="37"/>
  <c r="X295" i="37"/>
  <c r="Y298" i="37"/>
  <c r="Z299" i="37"/>
  <c r="AB299" i="37" s="1"/>
  <c r="Z321" i="37"/>
  <c r="AA321" i="37"/>
  <c r="X334" i="37"/>
  <c r="Y334" i="37"/>
  <c r="Z353" i="37"/>
  <c r="AA353" i="37"/>
  <c r="Y291" i="37"/>
  <c r="X291" i="37"/>
  <c r="Y292" i="37"/>
  <c r="Z301" i="37"/>
  <c r="AA301" i="37"/>
  <c r="Y302" i="37"/>
  <c r="X302" i="37"/>
  <c r="Z305" i="37"/>
  <c r="AA305" i="37"/>
  <c r="Y306" i="37"/>
  <c r="X306" i="37"/>
  <c r="Z309" i="37"/>
  <c r="AA309" i="37"/>
  <c r="Y310" i="37"/>
  <c r="X310" i="37"/>
  <c r="X321" i="37"/>
  <c r="AA323" i="37"/>
  <c r="AB323" i="37" s="1"/>
  <c r="Z346" i="37"/>
  <c r="AB346" i="37" s="1"/>
  <c r="X353" i="37"/>
  <c r="Y315" i="37"/>
  <c r="X315" i="37"/>
  <c r="Y317" i="37"/>
  <c r="X317" i="37"/>
  <c r="Y319" i="37"/>
  <c r="X319" i="37"/>
  <c r="Z324" i="37"/>
  <c r="AA324" i="37"/>
  <c r="Y326" i="37"/>
  <c r="X326" i="37"/>
  <c r="Z329" i="37"/>
  <c r="AA329" i="37"/>
  <c r="Z332" i="37"/>
  <c r="AA332" i="37"/>
  <c r="Y345" i="37"/>
  <c r="X345" i="37"/>
  <c r="Z348" i="37"/>
  <c r="AA348" i="37"/>
  <c r="Y349" i="37"/>
  <c r="X349" i="37"/>
  <c r="Z328" i="37"/>
  <c r="AA328" i="37"/>
  <c r="X329" i="37"/>
  <c r="AA338" i="37"/>
  <c r="Z338" i="37"/>
  <c r="AA342" i="37"/>
  <c r="Z342" i="37"/>
  <c r="Z144" i="37" l="1"/>
  <c r="AB144" i="37" s="1"/>
  <c r="AA350" i="37"/>
  <c r="Z311" i="37"/>
  <c r="AB311" i="37" s="1"/>
  <c r="Z136" i="37"/>
  <c r="AB136" i="37" s="1"/>
  <c r="AB167" i="37"/>
  <c r="Z265" i="37"/>
  <c r="AB265" i="37" s="1"/>
  <c r="AB160" i="37"/>
  <c r="AC160" i="37" s="1"/>
  <c r="Z352" i="37"/>
  <c r="Z307" i="37"/>
  <c r="AB307" i="37" s="1"/>
  <c r="Z303" i="37"/>
  <c r="AB303" i="37" s="1"/>
  <c r="AC303" i="37" s="1"/>
  <c r="AD303" i="37" s="1"/>
  <c r="Z227" i="37"/>
  <c r="AB227" i="37" s="1"/>
  <c r="Z169" i="37"/>
  <c r="Z347" i="37"/>
  <c r="AB347" i="37" s="1"/>
  <c r="AC347" i="37" s="1"/>
  <c r="AD347" i="37" s="1"/>
  <c r="AE347" i="37" s="1"/>
  <c r="Z126" i="37"/>
  <c r="AB126" i="37" s="1"/>
  <c r="Z165" i="37"/>
  <c r="AB165" i="37" s="1"/>
  <c r="AC165" i="37" s="1"/>
  <c r="AB38" i="37"/>
  <c r="AB320" i="37"/>
  <c r="AB350" i="37"/>
  <c r="AC350" i="37" s="1"/>
  <c r="AB308" i="37"/>
  <c r="AC308" i="37" s="1"/>
  <c r="AD308" i="37" s="1"/>
  <c r="AE308" i="37" s="1"/>
  <c r="AB142" i="37"/>
  <c r="AC142" i="37" s="1"/>
  <c r="AB107" i="37"/>
  <c r="AB128" i="37"/>
  <c r="AC128" i="37" s="1"/>
  <c r="AD128" i="37" s="1"/>
  <c r="AB304" i="37"/>
  <c r="AC304" i="37" s="1"/>
  <c r="AD304" i="37" s="1"/>
  <c r="AE304" i="37" s="1"/>
  <c r="Z97" i="37"/>
  <c r="AB97" i="37" s="1"/>
  <c r="AB50" i="37"/>
  <c r="AB280" i="37"/>
  <c r="AC280" i="37" s="1"/>
  <c r="AD280" i="37" s="1"/>
  <c r="AB339" i="37"/>
  <c r="AF339" i="37" s="1"/>
  <c r="AG339" i="37" s="1"/>
  <c r="AH339" i="37" s="1"/>
  <c r="AI339" i="37" s="1"/>
  <c r="AB351" i="37"/>
  <c r="AB176" i="37"/>
  <c r="AB120" i="37"/>
  <c r="AC120" i="37" s="1"/>
  <c r="AD120" i="37" s="1"/>
  <c r="AB116" i="37"/>
  <c r="AC116" i="37" s="1"/>
  <c r="AD116" i="37" s="1"/>
  <c r="Z119" i="37"/>
  <c r="AB119" i="37" s="1"/>
  <c r="AC119" i="37" s="1"/>
  <c r="AD119" i="37" s="1"/>
  <c r="AB309" i="37"/>
  <c r="AB305" i="37"/>
  <c r="AC305" i="37" s="1"/>
  <c r="AD305" i="37" s="1"/>
  <c r="AB301" i="37"/>
  <c r="AC301" i="37" s="1"/>
  <c r="AB179" i="37"/>
  <c r="AB174" i="37"/>
  <c r="AA15" i="39"/>
  <c r="Z15" i="39"/>
  <c r="AC45" i="37"/>
  <c r="AD45" i="37" s="1"/>
  <c r="AG341" i="37"/>
  <c r="AD142" i="37"/>
  <c r="AB329" i="37"/>
  <c r="AC329" i="37" s="1"/>
  <c r="AB324" i="37"/>
  <c r="AB353" i="37"/>
  <c r="AB290" i="37"/>
  <c r="AB263" i="37"/>
  <c r="AC263" i="37" s="1"/>
  <c r="AD263" i="37" s="1"/>
  <c r="AB327" i="37"/>
  <c r="AC107" i="37"/>
  <c r="AD107" i="37" s="1"/>
  <c r="AE107" i="37" s="1"/>
  <c r="AB134" i="37"/>
  <c r="AC134" i="37" s="1"/>
  <c r="AB99" i="37"/>
  <c r="AC99" i="37" s="1"/>
  <c r="AB216" i="37"/>
  <c r="AC216" i="37" s="1"/>
  <c r="AD216" i="37" s="1"/>
  <c r="AB255" i="37"/>
  <c r="AC255" i="37" s="1"/>
  <c r="AB114" i="37"/>
  <c r="AD114" i="37" s="1"/>
  <c r="AE114" i="37" s="1"/>
  <c r="AB110" i="37"/>
  <c r="AB180" i="37"/>
  <c r="AC180" i="37" s="1"/>
  <c r="AD180" i="37" s="1"/>
  <c r="AH341" i="37"/>
  <c r="AI341" i="37" s="1"/>
  <c r="AB248" i="37"/>
  <c r="AC248" i="37" s="1"/>
  <c r="AB203" i="37"/>
  <c r="AC203" i="37" s="1"/>
  <c r="AB195" i="37"/>
  <c r="AC195" i="37" s="1"/>
  <c r="AD189" i="37"/>
  <c r="AB169" i="37"/>
  <c r="AC169" i="37" s="1"/>
  <c r="AB39" i="37"/>
  <c r="AC39" i="37" s="1"/>
  <c r="AD39" i="37" s="1"/>
  <c r="AB186" i="37"/>
  <c r="AB332" i="37"/>
  <c r="AE332" i="37" s="1"/>
  <c r="AF332" i="37" s="1"/>
  <c r="AG332" i="37" s="1"/>
  <c r="AH332" i="37" s="1"/>
  <c r="AI332" i="37" s="1"/>
  <c r="AB321" i="37"/>
  <c r="AD321" i="37" s="1"/>
  <c r="AB294" i="37"/>
  <c r="AC294" i="37" s="1"/>
  <c r="AB293" i="37"/>
  <c r="AC293" i="37" s="1"/>
  <c r="AD293" i="37" s="1"/>
  <c r="AB106" i="37"/>
  <c r="AC106" i="37" s="1"/>
  <c r="AD106" i="37" s="1"/>
  <c r="AB20" i="37"/>
  <c r="AB55" i="37"/>
  <c r="AC55" i="37" s="1"/>
  <c r="AB300" i="37"/>
  <c r="AC300" i="37" s="1"/>
  <c r="AB333" i="37"/>
  <c r="AE333" i="37" s="1"/>
  <c r="AF333" i="37" s="1"/>
  <c r="AB193" i="37"/>
  <c r="AC193" i="37" s="1"/>
  <c r="AC346" i="37"/>
  <c r="AC113" i="37"/>
  <c r="AD113" i="37" s="1"/>
  <c r="AE113" i="37" s="1"/>
  <c r="AC101" i="37"/>
  <c r="AD101" i="37" s="1"/>
  <c r="AE101" i="37" s="1"/>
  <c r="AC126" i="37"/>
  <c r="AC97" i="37"/>
  <c r="AD97" i="37" s="1"/>
  <c r="AC162" i="37"/>
  <c r="AC311" i="37"/>
  <c r="AC109" i="37"/>
  <c r="AC16" i="37"/>
  <c r="AD16" i="37" s="1"/>
  <c r="AC307" i="37"/>
  <c r="AC105" i="37"/>
  <c r="AD105" i="37" s="1"/>
  <c r="AE105" i="37" s="1"/>
  <c r="AC18" i="37"/>
  <c r="AC14" i="37"/>
  <c r="AB54" i="37"/>
  <c r="AC40" i="37"/>
  <c r="AD40" i="37" s="1"/>
  <c r="AE28" i="37"/>
  <c r="AF28" i="37" s="1"/>
  <c r="AD53" i="37"/>
  <c r="AE53" i="37" s="1"/>
  <c r="AC38" i="37"/>
  <c r="AD38" i="37" s="1"/>
  <c r="AE38" i="37" s="1"/>
  <c r="AD146" i="37"/>
  <c r="AA29" i="37"/>
  <c r="Z29" i="37"/>
  <c r="AC351" i="37"/>
  <c r="AD351" i="37" s="1"/>
  <c r="Z310" i="37"/>
  <c r="AA310" i="37"/>
  <c r="Z306" i="37"/>
  <c r="AA306" i="37"/>
  <c r="Z302" i="37"/>
  <c r="AA302" i="37"/>
  <c r="Z334" i="37"/>
  <c r="AA334" i="37"/>
  <c r="AD320" i="37"/>
  <c r="AC289" i="37"/>
  <c r="Z267" i="37"/>
  <c r="AA267" i="37"/>
  <c r="Z241" i="37"/>
  <c r="AA241" i="37"/>
  <c r="AA198" i="37"/>
  <c r="Z198" i="37"/>
  <c r="AD327" i="37"/>
  <c r="AA190" i="37"/>
  <c r="Z190" i="37"/>
  <c r="Z76" i="37"/>
  <c r="AA76" i="37"/>
  <c r="Z100" i="37"/>
  <c r="AA100" i="37"/>
  <c r="AC178" i="37"/>
  <c r="AC62" i="37"/>
  <c r="AD62" i="37" s="1"/>
  <c r="AE62" i="37" s="1"/>
  <c r="Z143" i="37"/>
  <c r="AA143" i="37"/>
  <c r="AC136" i="37"/>
  <c r="AD136" i="37" s="1"/>
  <c r="AE136" i="37" s="1"/>
  <c r="AC81" i="37"/>
  <c r="AD81" i="37" s="1"/>
  <c r="Z196" i="37"/>
  <c r="AA196" i="37"/>
  <c r="Z21" i="37"/>
  <c r="AA21" i="37"/>
  <c r="AC50" i="37"/>
  <c r="AD50" i="37" s="1"/>
  <c r="AE50" i="37" s="1"/>
  <c r="AB338" i="37"/>
  <c r="Z326" i="37"/>
  <c r="AA326" i="37"/>
  <c r="Z319" i="37"/>
  <c r="AA319" i="37"/>
  <c r="AD323" i="37"/>
  <c r="AE323" i="37" s="1"/>
  <c r="AC309" i="37"/>
  <c r="AA291" i="37"/>
  <c r="Z291" i="37"/>
  <c r="AC273" i="37"/>
  <c r="AD273" i="37" s="1"/>
  <c r="AB340" i="37"/>
  <c r="AC299" i="37"/>
  <c r="Z335" i="37"/>
  <c r="AA335" i="37"/>
  <c r="Z264" i="37"/>
  <c r="AA264" i="37"/>
  <c r="Z276" i="37"/>
  <c r="AA276" i="37"/>
  <c r="AB259" i="37"/>
  <c r="AC245" i="37"/>
  <c r="AD245" i="37" s="1"/>
  <c r="AA318" i="37"/>
  <c r="Z318" i="37"/>
  <c r="AF312" i="37"/>
  <c r="AB256" i="37"/>
  <c r="AB252" i="37"/>
  <c r="AC247" i="37"/>
  <c r="AA206" i="37"/>
  <c r="Z206" i="37"/>
  <c r="AB243" i="37"/>
  <c r="AA225" i="37"/>
  <c r="Z225" i="37"/>
  <c r="AB223" i="37"/>
  <c r="AC197" i="37"/>
  <c r="AD197" i="37" s="1"/>
  <c r="AE197" i="37" s="1"/>
  <c r="AB191" i="37"/>
  <c r="Z286" i="37"/>
  <c r="AA286" i="37"/>
  <c r="AB207" i="37"/>
  <c r="AC167" i="37"/>
  <c r="AC131" i="37"/>
  <c r="AE124" i="37"/>
  <c r="AF124" i="37" s="1"/>
  <c r="AG124" i="37" s="1"/>
  <c r="AH124" i="37" s="1"/>
  <c r="AI124" i="37" s="1"/>
  <c r="Z135" i="37"/>
  <c r="AA135" i="37"/>
  <c r="Z125" i="37"/>
  <c r="AA125" i="37"/>
  <c r="AB199" i="37"/>
  <c r="AB78" i="37"/>
  <c r="AC52" i="37"/>
  <c r="AD52" i="37" s="1"/>
  <c r="AE172" i="37"/>
  <c r="AF172" i="37" s="1"/>
  <c r="AC170" i="37"/>
  <c r="AB145" i="37"/>
  <c r="Z139" i="37"/>
  <c r="AA139" i="37"/>
  <c r="AC75" i="37"/>
  <c r="AC77" i="37"/>
  <c r="AD77" i="37" s="1"/>
  <c r="AB63" i="37"/>
  <c r="AA177" i="37"/>
  <c r="Z177" i="37"/>
  <c r="AC174" i="37"/>
  <c r="AA46" i="37"/>
  <c r="Z46" i="37"/>
  <c r="AC179" i="37"/>
  <c r="AD179" i="37" s="1"/>
  <c r="AD51" i="37"/>
  <c r="AE51" i="37" s="1"/>
  <c r="Z31" i="37"/>
  <c r="AA31" i="37"/>
  <c r="AB15" i="37"/>
  <c r="AF83" i="37"/>
  <c r="AB30" i="37"/>
  <c r="AE142" i="37"/>
  <c r="AF142" i="37" s="1"/>
  <c r="Z349" i="37"/>
  <c r="AA349" i="37"/>
  <c r="Z345" i="37"/>
  <c r="AA345" i="37"/>
  <c r="AD324" i="37"/>
  <c r="AE324" i="37" s="1"/>
  <c r="AC353" i="37"/>
  <c r="Z295" i="37"/>
  <c r="AA295" i="37"/>
  <c r="AC290" i="37"/>
  <c r="AB272" i="37"/>
  <c r="AD300" i="37"/>
  <c r="AE300" i="37" s="1"/>
  <c r="AB288" i="37"/>
  <c r="AB269" i="37"/>
  <c r="AC254" i="37"/>
  <c r="AD254" i="37" s="1"/>
  <c r="AC224" i="37"/>
  <c r="AG312" i="37"/>
  <c r="AB275" i="37"/>
  <c r="AC251" i="37"/>
  <c r="AC266" i="37"/>
  <c r="AA250" i="37"/>
  <c r="Z250" i="37"/>
  <c r="AB268" i="37"/>
  <c r="AA246" i="37"/>
  <c r="Z246" i="37"/>
  <c r="Z187" i="37"/>
  <c r="AA187" i="37"/>
  <c r="AD228" i="37"/>
  <c r="Z200" i="37"/>
  <c r="AA200" i="37"/>
  <c r="AB185" i="37"/>
  <c r="AC205" i="37"/>
  <c r="AD205" i="37" s="1"/>
  <c r="AE205" i="37" s="1"/>
  <c r="AA194" i="37"/>
  <c r="Z194" i="37"/>
  <c r="AC182" i="37"/>
  <c r="AD182" i="37" s="1"/>
  <c r="AE182" i="37" s="1"/>
  <c r="AF182" i="37" s="1"/>
  <c r="AC121" i="37"/>
  <c r="AD121" i="37" s="1"/>
  <c r="AC79" i="37"/>
  <c r="AD79" i="37" s="1"/>
  <c r="AB74" i="37"/>
  <c r="AD138" i="37"/>
  <c r="AB102" i="37"/>
  <c r="AB98" i="37"/>
  <c r="AA161" i="37"/>
  <c r="Z161" i="37"/>
  <c r="AA118" i="37"/>
  <c r="Z118" i="37"/>
  <c r="AB173" i="37"/>
  <c r="AC144" i="37"/>
  <c r="AB141" i="37"/>
  <c r="Z112" i="37"/>
  <c r="AA112" i="37"/>
  <c r="Z108" i="37"/>
  <c r="AA108" i="37"/>
  <c r="Z104" i="37"/>
  <c r="AA104" i="37"/>
  <c r="AC176" i="37"/>
  <c r="AD176" i="37" s="1"/>
  <c r="AE176" i="37" s="1"/>
  <c r="AB115" i="37"/>
  <c r="AB352" i="37"/>
  <c r="AB342" i="37"/>
  <c r="AB328" i="37"/>
  <c r="AB348" i="37"/>
  <c r="Z317" i="37"/>
  <c r="AA317" i="37"/>
  <c r="AA292" i="37"/>
  <c r="Z292" i="37"/>
  <c r="AC279" i="37"/>
  <c r="AD279" i="37" s="1"/>
  <c r="Z322" i="37"/>
  <c r="AA322" i="37"/>
  <c r="AA316" i="37"/>
  <c r="Z316" i="37"/>
  <c r="Z325" i="37"/>
  <c r="AA325" i="37"/>
  <c r="AA287" i="37"/>
  <c r="Z287" i="37"/>
  <c r="AA274" i="37"/>
  <c r="Z274" i="37"/>
  <c r="AC265" i="37"/>
  <c r="AB262" i="37"/>
  <c r="AA242" i="37"/>
  <c r="Z242" i="37"/>
  <c r="Z253" i="37"/>
  <c r="AA253" i="37"/>
  <c r="AB296" i="37"/>
  <c r="AC226" i="37"/>
  <c r="AE249" i="37"/>
  <c r="AF249" i="37" s="1"/>
  <c r="AC201" i="37"/>
  <c r="AD201" i="37" s="1"/>
  <c r="AE201" i="37" s="1"/>
  <c r="Z192" i="37"/>
  <c r="AA192" i="37"/>
  <c r="Z183" i="37"/>
  <c r="AA183" i="37"/>
  <c r="AB244" i="37"/>
  <c r="Z188" i="37"/>
  <c r="AA188" i="37"/>
  <c r="AA202" i="37"/>
  <c r="Z202" i="37"/>
  <c r="Z204" i="37"/>
  <c r="AA204" i="37"/>
  <c r="AE168" i="37"/>
  <c r="AC166" i="37"/>
  <c r="AE128" i="37"/>
  <c r="AC117" i="37"/>
  <c r="AD117" i="37" s="1"/>
  <c r="AC64" i="37"/>
  <c r="AD64" i="37" s="1"/>
  <c r="AE64" i="37" s="1"/>
  <c r="AB127" i="37"/>
  <c r="AF111" i="37"/>
  <c r="AG111" i="37" s="1"/>
  <c r="AD103" i="37"/>
  <c r="AB181" i="37"/>
  <c r="AA80" i="37"/>
  <c r="Z80" i="37"/>
  <c r="AB184" i="37"/>
  <c r="AB171" i="37"/>
  <c r="Z147" i="37"/>
  <c r="AA147" i="37"/>
  <c r="AC140" i="37"/>
  <c r="AD140" i="37" s="1"/>
  <c r="AB137" i="37"/>
  <c r="AF107" i="37"/>
  <c r="AG107" i="37" s="1"/>
  <c r="AB175" i="37"/>
  <c r="AB82" i="37"/>
  <c r="Z44" i="37"/>
  <c r="AA44" i="37"/>
  <c r="AA33" i="37"/>
  <c r="Z33" i="37"/>
  <c r="Z17" i="37"/>
  <c r="AA17" i="37"/>
  <c r="AE32" i="37"/>
  <c r="AB19" i="37"/>
  <c r="AE45" i="37"/>
  <c r="AD160" i="37" l="1"/>
  <c r="AE160" i="37" s="1"/>
  <c r="AF160" i="37" s="1"/>
  <c r="AB326" i="37"/>
  <c r="AB334" i="37"/>
  <c r="AF347" i="37"/>
  <c r="AG347" i="37" s="1"/>
  <c r="AH347" i="37" s="1"/>
  <c r="AI347" i="37" s="1"/>
  <c r="AB135" i="37"/>
  <c r="AC135" i="37" s="1"/>
  <c r="AC110" i="37"/>
  <c r="AD110" i="37" s="1"/>
  <c r="AE110" i="37" s="1"/>
  <c r="AE39" i="37"/>
  <c r="AF39" i="37" s="1"/>
  <c r="AD55" i="37"/>
  <c r="AE55" i="37" s="1"/>
  <c r="AB76" i="37"/>
  <c r="AC76" i="37" s="1"/>
  <c r="AB196" i="37"/>
  <c r="AD99" i="37"/>
  <c r="AE99" i="37" s="1"/>
  <c r="AD134" i="37"/>
  <c r="AE134" i="37" s="1"/>
  <c r="AF304" i="37"/>
  <c r="AG304" i="37" s="1"/>
  <c r="AH304" i="37" s="1"/>
  <c r="AI304" i="37" s="1"/>
  <c r="AF308" i="37"/>
  <c r="AG308" i="37" s="1"/>
  <c r="AH308" i="37" s="1"/>
  <c r="AI308" i="37" s="1"/>
  <c r="AB306" i="37"/>
  <c r="AE216" i="37"/>
  <c r="AF216" i="37" s="1"/>
  <c r="AG216" i="37" s="1"/>
  <c r="AB345" i="37"/>
  <c r="AC345" i="37" s="1"/>
  <c r="AD193" i="37"/>
  <c r="AE193" i="37" s="1"/>
  <c r="AB192" i="37"/>
  <c r="AC192" i="37" s="1"/>
  <c r="AD192" i="37" s="1"/>
  <c r="AB286" i="37"/>
  <c r="AC286" i="37" s="1"/>
  <c r="AD286" i="37" s="1"/>
  <c r="AB241" i="37"/>
  <c r="AB267" i="37"/>
  <c r="AC267" i="37" s="1"/>
  <c r="AD267" i="37" s="1"/>
  <c r="AB264" i="37"/>
  <c r="AC264" i="37" s="1"/>
  <c r="AB242" i="37"/>
  <c r="AC242" i="37" s="1"/>
  <c r="AB15" i="39"/>
  <c r="AF15" i="39" s="1"/>
  <c r="AG15" i="39" s="1"/>
  <c r="AB147" i="37"/>
  <c r="AC147" i="37" s="1"/>
  <c r="AB253" i="37"/>
  <c r="AC253" i="37" s="1"/>
  <c r="AD253" i="37" s="1"/>
  <c r="AE121" i="37"/>
  <c r="AF121" i="37" s="1"/>
  <c r="AG121" i="37" s="1"/>
  <c r="AE245" i="37"/>
  <c r="AF245" i="37" s="1"/>
  <c r="AG245" i="37" s="1"/>
  <c r="AH245" i="37" s="1"/>
  <c r="AI245" i="37" s="1"/>
  <c r="AE180" i="37"/>
  <c r="AF180" i="37" s="1"/>
  <c r="AD294" i="37"/>
  <c r="AE294" i="37" s="1"/>
  <c r="AF294" i="37" s="1"/>
  <c r="AG294" i="37" s="1"/>
  <c r="AE321" i="37"/>
  <c r="AF321" i="37" s="1"/>
  <c r="AB317" i="37"/>
  <c r="AB31" i="37"/>
  <c r="AC31" i="37" s="1"/>
  <c r="AD31" i="37" s="1"/>
  <c r="AB139" i="37"/>
  <c r="AC139" i="37" s="1"/>
  <c r="AD139" i="37" s="1"/>
  <c r="AD255" i="37"/>
  <c r="AE255" i="37" s="1"/>
  <c r="AF255" i="37" s="1"/>
  <c r="AG255" i="37" s="1"/>
  <c r="AB287" i="37"/>
  <c r="AC287" i="37" s="1"/>
  <c r="AD287" i="37" s="1"/>
  <c r="AH107" i="37"/>
  <c r="AI107" i="37" s="1"/>
  <c r="AF128" i="37"/>
  <c r="AG128" i="37" s="1"/>
  <c r="AD353" i="37"/>
  <c r="AE353" i="37" s="1"/>
  <c r="AD131" i="37"/>
  <c r="AE131" i="37" s="1"/>
  <c r="AF131" i="37" s="1"/>
  <c r="AG131" i="37" s="1"/>
  <c r="AH131" i="37" s="1"/>
  <c r="AI131" i="37" s="1"/>
  <c r="AF193" i="37"/>
  <c r="AG28" i="37"/>
  <c r="AH28" i="37" s="1"/>
  <c r="AI28" i="37" s="1"/>
  <c r="AG142" i="37"/>
  <c r="AH142" i="37" s="1"/>
  <c r="AI142" i="37" s="1"/>
  <c r="AB17" i="37"/>
  <c r="AB80" i="37"/>
  <c r="AC80" i="37" s="1"/>
  <c r="AD80" i="37" s="1"/>
  <c r="AB202" i="37"/>
  <c r="AC202" i="37" s="1"/>
  <c r="AD202" i="37" s="1"/>
  <c r="AE202" i="37" s="1"/>
  <c r="AB325" i="37"/>
  <c r="AD325" i="37" s="1"/>
  <c r="AE325" i="37" s="1"/>
  <c r="AB322" i="37"/>
  <c r="AD322" i="37" s="1"/>
  <c r="AB108" i="37"/>
  <c r="AC108" i="37" s="1"/>
  <c r="AB187" i="37"/>
  <c r="AC187" i="37" s="1"/>
  <c r="AD290" i="37"/>
  <c r="AE290" i="37" s="1"/>
  <c r="AB349" i="37"/>
  <c r="AB125" i="37"/>
  <c r="AC125" i="37" s="1"/>
  <c r="AB335" i="37"/>
  <c r="AE335" i="37" s="1"/>
  <c r="AF335" i="37" s="1"/>
  <c r="AG335" i="37" s="1"/>
  <c r="AB319" i="37"/>
  <c r="AD319" i="37" s="1"/>
  <c r="AE116" i="37"/>
  <c r="AF116" i="37" s="1"/>
  <c r="AG116" i="37" s="1"/>
  <c r="AB100" i="37"/>
  <c r="AC100" i="37" s="1"/>
  <c r="AD100" i="37" s="1"/>
  <c r="AE293" i="37"/>
  <c r="AF38" i="37"/>
  <c r="AG38" i="37" s="1"/>
  <c r="AH38" i="37" s="1"/>
  <c r="AI38" i="37" s="1"/>
  <c r="AD14" i="37"/>
  <c r="AE14" i="37" s="1"/>
  <c r="AE189" i="37"/>
  <c r="AF189" i="37" s="1"/>
  <c r="AE146" i="37"/>
  <c r="AF146" i="37" s="1"/>
  <c r="AG146" i="37" s="1"/>
  <c r="AH146" i="37" s="1"/>
  <c r="AI146" i="37" s="1"/>
  <c r="AD265" i="37"/>
  <c r="AE265" i="37" s="1"/>
  <c r="AB316" i="37"/>
  <c r="AD316" i="37" s="1"/>
  <c r="AE316" i="37" s="1"/>
  <c r="AB291" i="37"/>
  <c r="AC291" i="37" s="1"/>
  <c r="AF50" i="37"/>
  <c r="AG50" i="37" s="1"/>
  <c r="AH50" i="37" s="1"/>
  <c r="AI50" i="37" s="1"/>
  <c r="AG333" i="37"/>
  <c r="AH333" i="37" s="1"/>
  <c r="AI333" i="37" s="1"/>
  <c r="AC186" i="37"/>
  <c r="AD186" i="37" s="1"/>
  <c r="AB204" i="37"/>
  <c r="AC204" i="37" s="1"/>
  <c r="AD204" i="37" s="1"/>
  <c r="AB188" i="37"/>
  <c r="AC188" i="37" s="1"/>
  <c r="AD188" i="37" s="1"/>
  <c r="AE188" i="37" s="1"/>
  <c r="AB183" i="37"/>
  <c r="AC183" i="37" s="1"/>
  <c r="AB104" i="37"/>
  <c r="AC104" i="37" s="1"/>
  <c r="AB200" i="37"/>
  <c r="AC200" i="37" s="1"/>
  <c r="AD200" i="37" s="1"/>
  <c r="AB295" i="37"/>
  <c r="AC295" i="37" s="1"/>
  <c r="AH312" i="37"/>
  <c r="AI312" i="37" s="1"/>
  <c r="AE81" i="37"/>
  <c r="AF81" i="37" s="1"/>
  <c r="AB302" i="37"/>
  <c r="AC302" i="37" s="1"/>
  <c r="AD302" i="37" s="1"/>
  <c r="AB310" i="37"/>
  <c r="AC310" i="37" s="1"/>
  <c r="AC20" i="37"/>
  <c r="AD20" i="37" s="1"/>
  <c r="AF113" i="37"/>
  <c r="AG113" i="37" s="1"/>
  <c r="AH113" i="37" s="1"/>
  <c r="AI113" i="37" s="1"/>
  <c r="AE77" i="37"/>
  <c r="AE305" i="37"/>
  <c r="AE280" i="37"/>
  <c r="AF280" i="37" s="1"/>
  <c r="AF300" i="37"/>
  <c r="AF114" i="37"/>
  <c r="AG114" i="37" s="1"/>
  <c r="AH114" i="37" s="1"/>
  <c r="AI114" i="37" s="1"/>
  <c r="AE279" i="37"/>
  <c r="AF279" i="37" s="1"/>
  <c r="AG279" i="37" s="1"/>
  <c r="AF176" i="37"/>
  <c r="AG176" i="37" s="1"/>
  <c r="AH176" i="37" s="1"/>
  <c r="AI176" i="37" s="1"/>
  <c r="AF53" i="37"/>
  <c r="AG53" i="37" s="1"/>
  <c r="AH53" i="37" s="1"/>
  <c r="AI53" i="37" s="1"/>
  <c r="AE140" i="37"/>
  <c r="AF140" i="37" s="1"/>
  <c r="AG140" i="37" s="1"/>
  <c r="AH140" i="37" s="1"/>
  <c r="AI140" i="37" s="1"/>
  <c r="AC171" i="37"/>
  <c r="AF168" i="37"/>
  <c r="AG168" i="37" s="1"/>
  <c r="AH168" i="37" s="1"/>
  <c r="AI168" i="37" s="1"/>
  <c r="AG342" i="37"/>
  <c r="AH342" i="37" s="1"/>
  <c r="AI342" i="37" s="1"/>
  <c r="AC98" i="37"/>
  <c r="AG182" i="37"/>
  <c r="AH182" i="37" s="1"/>
  <c r="AI182" i="37" s="1"/>
  <c r="AC185" i="37"/>
  <c r="AC227" i="37"/>
  <c r="AC288" i="37"/>
  <c r="AD329" i="37"/>
  <c r="AD174" i="37"/>
  <c r="AE174" i="37" s="1"/>
  <c r="AF174" i="37" s="1"/>
  <c r="AC145" i="37"/>
  <c r="AC199" i="37"/>
  <c r="AD199" i="37" s="1"/>
  <c r="AE199" i="37" s="1"/>
  <c r="AC207" i="37"/>
  <c r="AD207" i="37" s="1"/>
  <c r="AE207" i="37" s="1"/>
  <c r="AC243" i="37"/>
  <c r="AF340" i="37"/>
  <c r="AG340" i="37" s="1"/>
  <c r="AH340" i="37" s="1"/>
  <c r="AI340" i="37" s="1"/>
  <c r="AF338" i="37"/>
  <c r="AC241" i="37"/>
  <c r="AD241" i="37" s="1"/>
  <c r="AC19" i="37"/>
  <c r="AD19" i="37" s="1"/>
  <c r="AC82" i="37"/>
  <c r="AC181" i="37"/>
  <c r="AC127" i="37"/>
  <c r="AF64" i="37"/>
  <c r="AG64" i="37" s="1"/>
  <c r="AH64" i="37" s="1"/>
  <c r="AI64" i="37" s="1"/>
  <c r="AC244" i="37"/>
  <c r="AD226" i="37"/>
  <c r="AE226" i="37" s="1"/>
  <c r="AD317" i="37"/>
  <c r="AE317" i="37" s="1"/>
  <c r="AF317" i="37" s="1"/>
  <c r="AC352" i="37"/>
  <c r="AD352" i="37" s="1"/>
  <c r="AE352" i="37" s="1"/>
  <c r="AB118" i="37"/>
  <c r="AC102" i="37"/>
  <c r="AD102" i="37" s="1"/>
  <c r="AB194" i="37"/>
  <c r="AE228" i="37"/>
  <c r="AF228" i="37" s="1"/>
  <c r="AB246" i="37"/>
  <c r="AE254" i="37"/>
  <c r="AF254" i="37" s="1"/>
  <c r="AE179" i="37"/>
  <c r="AF179" i="37" s="1"/>
  <c r="AG179" i="37" s="1"/>
  <c r="AD170" i="37"/>
  <c r="AE52" i="37"/>
  <c r="AF52" i="37" s="1"/>
  <c r="AF197" i="37"/>
  <c r="AG197" i="37" s="1"/>
  <c r="AH197" i="37" s="1"/>
  <c r="AI197" i="37" s="1"/>
  <c r="AC252" i="37"/>
  <c r="AD301" i="37"/>
  <c r="AE301" i="37" s="1"/>
  <c r="AD309" i="37"/>
  <c r="AE309" i="37" s="1"/>
  <c r="AC196" i="37"/>
  <c r="AD196" i="37" s="1"/>
  <c r="AE119" i="37"/>
  <c r="AF119" i="37" s="1"/>
  <c r="AE106" i="37"/>
  <c r="AD169" i="37"/>
  <c r="AD195" i="37"/>
  <c r="AE195" i="37" s="1"/>
  <c r="AE327" i="37"/>
  <c r="AD248" i="37"/>
  <c r="AE248" i="37" s="1"/>
  <c r="AE320" i="37"/>
  <c r="AF320" i="37" s="1"/>
  <c r="AB29" i="37"/>
  <c r="AF51" i="37"/>
  <c r="AG51" i="37" s="1"/>
  <c r="AG83" i="37"/>
  <c r="AH83" i="37" s="1"/>
  <c r="AI83" i="37" s="1"/>
  <c r="AD18" i="37"/>
  <c r="AE18" i="37" s="1"/>
  <c r="AF45" i="37"/>
  <c r="AG45" i="37" s="1"/>
  <c r="AD162" i="37"/>
  <c r="AE162" i="37" s="1"/>
  <c r="AE97" i="37"/>
  <c r="AF101" i="37"/>
  <c r="AG101" i="37" s="1"/>
  <c r="AC184" i="37"/>
  <c r="AE103" i="37"/>
  <c r="AF103" i="37" s="1"/>
  <c r="AD166" i="37"/>
  <c r="AE166" i="37" s="1"/>
  <c r="AF166" i="37" s="1"/>
  <c r="AC262" i="37"/>
  <c r="AD262" i="37" s="1"/>
  <c r="AE262" i="37" s="1"/>
  <c r="AB274" i="37"/>
  <c r="AB292" i="37"/>
  <c r="AC348" i="37"/>
  <c r="AD115" i="37"/>
  <c r="AE115" i="37" s="1"/>
  <c r="AC141" i="37"/>
  <c r="AG172" i="37"/>
  <c r="AH172" i="37" s="1"/>
  <c r="AI172" i="37" s="1"/>
  <c r="AC74" i="37"/>
  <c r="AD74" i="37" s="1"/>
  <c r="AG249" i="37"/>
  <c r="AH249" i="37" s="1"/>
  <c r="AI249" i="37" s="1"/>
  <c r="AB250" i="37"/>
  <c r="AD266" i="37"/>
  <c r="AE266" i="37" s="1"/>
  <c r="AF266" i="37" s="1"/>
  <c r="AD251" i="37"/>
  <c r="AE251" i="37" s="1"/>
  <c r="AF251" i="37" s="1"/>
  <c r="AD224" i="37"/>
  <c r="AC269" i="37"/>
  <c r="AC15" i="37"/>
  <c r="AD15" i="37" s="1"/>
  <c r="AG160" i="37"/>
  <c r="AH160" i="37" s="1"/>
  <c r="AI160" i="37" s="1"/>
  <c r="AB46" i="37"/>
  <c r="AB177" i="37"/>
  <c r="AD75" i="37"/>
  <c r="AD167" i="37"/>
  <c r="AC223" i="37"/>
  <c r="AB225" i="37"/>
  <c r="AD326" i="37"/>
  <c r="AE326" i="37" s="1"/>
  <c r="AE334" i="37"/>
  <c r="AE40" i="37"/>
  <c r="AF40" i="37" s="1"/>
  <c r="AB206" i="37"/>
  <c r="AC256" i="37"/>
  <c r="AD256" i="37" s="1"/>
  <c r="AE256" i="37" s="1"/>
  <c r="AF256" i="37" s="1"/>
  <c r="AC259" i="37"/>
  <c r="AE273" i="37"/>
  <c r="AF136" i="37"/>
  <c r="AG136" i="37" s="1"/>
  <c r="AH136" i="37" s="1"/>
  <c r="AI136" i="37" s="1"/>
  <c r="AF62" i="37"/>
  <c r="AE120" i="37"/>
  <c r="AD289" i="37"/>
  <c r="AE289" i="37" s="1"/>
  <c r="AC306" i="37"/>
  <c r="AE351" i="37"/>
  <c r="AF351" i="37" s="1"/>
  <c r="AC54" i="37"/>
  <c r="AD54" i="37" s="1"/>
  <c r="AF32" i="37"/>
  <c r="AG32" i="37" s="1"/>
  <c r="AF105" i="37"/>
  <c r="AE16" i="37"/>
  <c r="AD311" i="37"/>
  <c r="AD346" i="37"/>
  <c r="AB33" i="37"/>
  <c r="AB44" i="37"/>
  <c r="AC175" i="37"/>
  <c r="AC137" i="37"/>
  <c r="AE117" i="37"/>
  <c r="AF117" i="37" s="1"/>
  <c r="AF201" i="37"/>
  <c r="AG201" i="37" s="1"/>
  <c r="AC296" i="37"/>
  <c r="AD350" i="37"/>
  <c r="AD328" i="37"/>
  <c r="AE328" i="37" s="1"/>
  <c r="AB112" i="37"/>
  <c r="AD144" i="37"/>
  <c r="AC173" i="37"/>
  <c r="AB161" i="37"/>
  <c r="AE79" i="37"/>
  <c r="AE138" i="37"/>
  <c r="AF138" i="37" s="1"/>
  <c r="AF205" i="37"/>
  <c r="AC268" i="37"/>
  <c r="AD268" i="37" s="1"/>
  <c r="AC275" i="37"/>
  <c r="AC272" i="37"/>
  <c r="AD272" i="37" s="1"/>
  <c r="AF324" i="37"/>
  <c r="AG324" i="37" s="1"/>
  <c r="AC30" i="37"/>
  <c r="AD30" i="37" s="1"/>
  <c r="AE30" i="37" s="1"/>
  <c r="AC63" i="37"/>
  <c r="AC78" i="37"/>
  <c r="AD78" i="37" s="1"/>
  <c r="AC191" i="37"/>
  <c r="AD247" i="37"/>
  <c r="AE247" i="37" s="1"/>
  <c r="AE263" i="37"/>
  <c r="AB318" i="37"/>
  <c r="AB276" i="37"/>
  <c r="AD299" i="37"/>
  <c r="AF323" i="37"/>
  <c r="AG323" i="37" s="1"/>
  <c r="AH323" i="37" s="1"/>
  <c r="AI323" i="37" s="1"/>
  <c r="AB21" i="37"/>
  <c r="AB143" i="37"/>
  <c r="AD178" i="37"/>
  <c r="AD165" i="37"/>
  <c r="AB190" i="37"/>
  <c r="AD203" i="37"/>
  <c r="AB198" i="37"/>
  <c r="AE303" i="37"/>
  <c r="AF303" i="37" s="1"/>
  <c r="AG303" i="37" s="1"/>
  <c r="AH111" i="37"/>
  <c r="AI111" i="37" s="1"/>
  <c r="AD307" i="37"/>
  <c r="AE307" i="37" s="1"/>
  <c r="AF307" i="37" s="1"/>
  <c r="AD109" i="37"/>
  <c r="AD126" i="37"/>
  <c r="AG39" i="37" l="1"/>
  <c r="AH39" i="37" s="1"/>
  <c r="AI39" i="37" s="1"/>
  <c r="AG193" i="37"/>
  <c r="AH193" i="37" s="1"/>
  <c r="AI193" i="37" s="1"/>
  <c r="AH216" i="37"/>
  <c r="AI216" i="37" s="1"/>
  <c r="AF290" i="37"/>
  <c r="AG290" i="37" s="1"/>
  <c r="AH290" i="37" s="1"/>
  <c r="AI290" i="37" s="1"/>
  <c r="AB13" i="37"/>
  <c r="AH15" i="39"/>
  <c r="AI15" i="39" s="1"/>
  <c r="AB12" i="39"/>
  <c r="AB11" i="39" s="1"/>
  <c r="AE54" i="37"/>
  <c r="AF54" i="37" s="1"/>
  <c r="AG54" i="37" s="1"/>
  <c r="AC349" i="37"/>
  <c r="AD349" i="37" s="1"/>
  <c r="AC17" i="37"/>
  <c r="AD17" i="37" s="1"/>
  <c r="AH116" i="37"/>
  <c r="AI116" i="37" s="1"/>
  <c r="AG180" i="37"/>
  <c r="AH180" i="37" s="1"/>
  <c r="AI180" i="37" s="1"/>
  <c r="AB344" i="37"/>
  <c r="AB11" i="37" s="1"/>
  <c r="AG320" i="37"/>
  <c r="AH320" i="37" s="1"/>
  <c r="AI320" i="37" s="1"/>
  <c r="AF14" i="37"/>
  <c r="AG14" i="37" s="1"/>
  <c r="AE322" i="37"/>
  <c r="AF322" i="37" s="1"/>
  <c r="AG322" i="37" s="1"/>
  <c r="AF265" i="37"/>
  <c r="AG265" i="37" s="1"/>
  <c r="AH265" i="37" s="1"/>
  <c r="AI265" i="37" s="1"/>
  <c r="AG62" i="37"/>
  <c r="AH62" i="37" s="1"/>
  <c r="AI62" i="37" s="1"/>
  <c r="AG205" i="37"/>
  <c r="AH205" i="37" s="1"/>
  <c r="AI205" i="37" s="1"/>
  <c r="AD137" i="37"/>
  <c r="AE137" i="37" s="1"/>
  <c r="AD259" i="37"/>
  <c r="AE259" i="37" s="1"/>
  <c r="AE139" i="37"/>
  <c r="AF139" i="37" s="1"/>
  <c r="AD295" i="37"/>
  <c r="AE295" i="37" s="1"/>
  <c r="AF295" i="37" s="1"/>
  <c r="AE224" i="37"/>
  <c r="AD141" i="37"/>
  <c r="AD147" i="37"/>
  <c r="AE147" i="37" s="1"/>
  <c r="AE319" i="37"/>
  <c r="AD227" i="37"/>
  <c r="AG300" i="37"/>
  <c r="AH300" i="37" s="1"/>
  <c r="AI300" i="37" s="1"/>
  <c r="AE186" i="37"/>
  <c r="AF186" i="37" s="1"/>
  <c r="AG186" i="37" s="1"/>
  <c r="AH186" i="37" s="1"/>
  <c r="AI186" i="37" s="1"/>
  <c r="AF110" i="37"/>
  <c r="AG110" i="37" s="1"/>
  <c r="AH51" i="37"/>
  <c r="AI51" i="37" s="1"/>
  <c r="AG81" i="37"/>
  <c r="AH81" i="37" s="1"/>
  <c r="AI81" i="37" s="1"/>
  <c r="AG228" i="37"/>
  <c r="AH228" i="37" s="1"/>
  <c r="AI228" i="37" s="1"/>
  <c r="AF327" i="37"/>
  <c r="AG327" i="37" s="1"/>
  <c r="AH327" i="37" s="1"/>
  <c r="AI327" i="37" s="1"/>
  <c r="AD125" i="37"/>
  <c r="AE125" i="37" s="1"/>
  <c r="AF125" i="37" s="1"/>
  <c r="AC344" i="37"/>
  <c r="AD104" i="37"/>
  <c r="AE104" i="37" s="1"/>
  <c r="AD82" i="37"/>
  <c r="AE82" i="37" s="1"/>
  <c r="AD76" i="37"/>
  <c r="AE76" i="37" s="1"/>
  <c r="AF76" i="37" s="1"/>
  <c r="AG76" i="37" s="1"/>
  <c r="AH76" i="37" s="1"/>
  <c r="AI76" i="37" s="1"/>
  <c r="AD291" i="37"/>
  <c r="AD135" i="37"/>
  <c r="AF293" i="37"/>
  <c r="AG293" i="37" s="1"/>
  <c r="AF289" i="37"/>
  <c r="AG289" i="37" s="1"/>
  <c r="AH289" i="37" s="1"/>
  <c r="AI289" i="37" s="1"/>
  <c r="AE299" i="37"/>
  <c r="AF299" i="37" s="1"/>
  <c r="AD223" i="37"/>
  <c r="AE223" i="37" s="1"/>
  <c r="AF353" i="37"/>
  <c r="AG353" i="37" s="1"/>
  <c r="AH101" i="37"/>
  <c r="AI101" i="37" s="1"/>
  <c r="AF162" i="37"/>
  <c r="AG162" i="37" s="1"/>
  <c r="AH162" i="37" s="1"/>
  <c r="AI162" i="37" s="1"/>
  <c r="AE102" i="37"/>
  <c r="AF102" i="37" s="1"/>
  <c r="AG102" i="37" s="1"/>
  <c r="AH102" i="37" s="1"/>
  <c r="AI102" i="37" s="1"/>
  <c r="AF263" i="37"/>
  <c r="AG263" i="37" s="1"/>
  <c r="AH263" i="37" s="1"/>
  <c r="AI263" i="37" s="1"/>
  <c r="AE20" i="37"/>
  <c r="AG189" i="37"/>
  <c r="AH189" i="37" s="1"/>
  <c r="AI189" i="37" s="1"/>
  <c r="AH128" i="37"/>
  <c r="AI128" i="37" s="1"/>
  <c r="AG254" i="37"/>
  <c r="AH254" i="37" s="1"/>
  <c r="AI254" i="37" s="1"/>
  <c r="AG317" i="37"/>
  <c r="AH317" i="37" s="1"/>
  <c r="AI317" i="37" s="1"/>
  <c r="AF325" i="37"/>
  <c r="AG280" i="37"/>
  <c r="AH280" i="37" s="1"/>
  <c r="AI280" i="37" s="1"/>
  <c r="AF328" i="37"/>
  <c r="AE286" i="37"/>
  <c r="AF286" i="37" s="1"/>
  <c r="AH179" i="37"/>
  <c r="AI179" i="37" s="1"/>
  <c r="AE287" i="37"/>
  <c r="AG138" i="37"/>
  <c r="AH138" i="37" s="1"/>
  <c r="AI138" i="37" s="1"/>
  <c r="AG119" i="37"/>
  <c r="AH119" i="37" s="1"/>
  <c r="AI119" i="37" s="1"/>
  <c r="AG256" i="37"/>
  <c r="AH256" i="37" s="1"/>
  <c r="AI256" i="37" s="1"/>
  <c r="AF248" i="37"/>
  <c r="AG248" i="37" s="1"/>
  <c r="AF188" i="37"/>
  <c r="AH255" i="37"/>
  <c r="AI255" i="37" s="1"/>
  <c r="AF30" i="37"/>
  <c r="AG30" i="37" s="1"/>
  <c r="AH30" i="37" s="1"/>
  <c r="AI30" i="37" s="1"/>
  <c r="AD175" i="37"/>
  <c r="AC292" i="37"/>
  <c r="AD183" i="37"/>
  <c r="AE183" i="37" s="1"/>
  <c r="AF273" i="37"/>
  <c r="AG273" i="37" s="1"/>
  <c r="AH273" i="37" s="1"/>
  <c r="AI273" i="37" s="1"/>
  <c r="AC194" i="37"/>
  <c r="AD194" i="37" s="1"/>
  <c r="AE194" i="37" s="1"/>
  <c r="AD171" i="37"/>
  <c r="AF79" i="37"/>
  <c r="AG79" i="37" s="1"/>
  <c r="AH79" i="37" s="1"/>
  <c r="AI79" i="37" s="1"/>
  <c r="AE109" i="37"/>
  <c r="AE169" i="37"/>
  <c r="AF169" i="37" s="1"/>
  <c r="AE144" i="37"/>
  <c r="AF144" i="37" s="1"/>
  <c r="AG144" i="37" s="1"/>
  <c r="AE165" i="37"/>
  <c r="AF165" i="37" s="1"/>
  <c r="AG165" i="37" s="1"/>
  <c r="AD318" i="37"/>
  <c r="AE78" i="37"/>
  <c r="AF78" i="37" s="1"/>
  <c r="AC112" i="37"/>
  <c r="AD296" i="37"/>
  <c r="AE296" i="37" s="1"/>
  <c r="AF115" i="37"/>
  <c r="AG115" i="37" s="1"/>
  <c r="AC274" i="37"/>
  <c r="AD274" i="37" s="1"/>
  <c r="AD243" i="37"/>
  <c r="AF207" i="37"/>
  <c r="AG207" i="37" s="1"/>
  <c r="AF199" i="37"/>
  <c r="AG199" i="37" s="1"/>
  <c r="AD145" i="37"/>
  <c r="AE145" i="37" s="1"/>
  <c r="AD288" i="37"/>
  <c r="AE288" i="37" s="1"/>
  <c r="AD185" i="37"/>
  <c r="AE185" i="37" s="1"/>
  <c r="AD98" i="37"/>
  <c r="AE98" i="37" s="1"/>
  <c r="AH45" i="37"/>
  <c r="AI45" i="37" s="1"/>
  <c r="AG52" i="37"/>
  <c r="AH52" i="37" s="1"/>
  <c r="AI52" i="37" s="1"/>
  <c r="AG321" i="37"/>
  <c r="AH321" i="37" s="1"/>
  <c r="AI321" i="37" s="1"/>
  <c r="AG105" i="37"/>
  <c r="AH105" i="37" s="1"/>
  <c r="AI105" i="37" s="1"/>
  <c r="AF120" i="37"/>
  <c r="AG120" i="37" s="1"/>
  <c r="AE126" i="37"/>
  <c r="AF126" i="37" s="1"/>
  <c r="AH294" i="37"/>
  <c r="AI294" i="37" s="1"/>
  <c r="AC198" i="37"/>
  <c r="AE178" i="37"/>
  <c r="AF178" i="37" s="1"/>
  <c r="AG178" i="37" s="1"/>
  <c r="AH178" i="37" s="1"/>
  <c r="AI178" i="37" s="1"/>
  <c r="AE75" i="37"/>
  <c r="AF75" i="37" s="1"/>
  <c r="AD63" i="37"/>
  <c r="AE272" i="37"/>
  <c r="AE268" i="37"/>
  <c r="AF268" i="37" s="1"/>
  <c r="AG268" i="37" s="1"/>
  <c r="AD173" i="37"/>
  <c r="AE173" i="37" s="1"/>
  <c r="AC44" i="37"/>
  <c r="AD44" i="37" s="1"/>
  <c r="AF16" i="37"/>
  <c r="AD306" i="37"/>
  <c r="AF195" i="37"/>
  <c r="AG195" i="37" s="1"/>
  <c r="AC206" i="37"/>
  <c r="AD206" i="37" s="1"/>
  <c r="AE206" i="37" s="1"/>
  <c r="AF334" i="37"/>
  <c r="AG334" i="37" s="1"/>
  <c r="AF326" i="37"/>
  <c r="AD264" i="37"/>
  <c r="AE264" i="37" s="1"/>
  <c r="AE329" i="37"/>
  <c r="AD269" i="37"/>
  <c r="AD187" i="37"/>
  <c r="AE200" i="37"/>
  <c r="AF200" i="37" s="1"/>
  <c r="AG103" i="37"/>
  <c r="AH103" i="37" s="1"/>
  <c r="AI103" i="37" s="1"/>
  <c r="AD348" i="37"/>
  <c r="AE348" i="37" s="1"/>
  <c r="AF226" i="37"/>
  <c r="AG226" i="37" s="1"/>
  <c r="AH226" i="37" s="1"/>
  <c r="AI226" i="37" s="1"/>
  <c r="AE311" i="37"/>
  <c r="AC29" i="37"/>
  <c r="AD29" i="37" s="1"/>
  <c r="AE29" i="37" s="1"/>
  <c r="AE100" i="37"/>
  <c r="AF100" i="37" s="1"/>
  <c r="AE196" i="37"/>
  <c r="AF196" i="37" s="1"/>
  <c r="AG174" i="37"/>
  <c r="AH174" i="37" s="1"/>
  <c r="AI174" i="37" s="1"/>
  <c r="AC246" i="37"/>
  <c r="AE253" i="37"/>
  <c r="AD244" i="37"/>
  <c r="AE244" i="37" s="1"/>
  <c r="AE19" i="37"/>
  <c r="AD310" i="37"/>
  <c r="AE310" i="37" s="1"/>
  <c r="AG338" i="37"/>
  <c r="AH338" i="37" s="1"/>
  <c r="AI338" i="37" s="1"/>
  <c r="AH335" i="37"/>
  <c r="AI335" i="37" s="1"/>
  <c r="AF316" i="37"/>
  <c r="AG316" i="37" s="1"/>
  <c r="AH316" i="37" s="1"/>
  <c r="AI316" i="37" s="1"/>
  <c r="AD242" i="37"/>
  <c r="AE242" i="37" s="1"/>
  <c r="AF202" i="37"/>
  <c r="AG202" i="37" s="1"/>
  <c r="AH279" i="37"/>
  <c r="AI279" i="37" s="1"/>
  <c r="AF305" i="37"/>
  <c r="AG305" i="37" s="1"/>
  <c r="AH305" i="37" s="1"/>
  <c r="AI305" i="37" s="1"/>
  <c r="AF77" i="37"/>
  <c r="AG251" i="37"/>
  <c r="AH251" i="37" s="1"/>
  <c r="AI251" i="37" s="1"/>
  <c r="AH201" i="37"/>
  <c r="AI201" i="37" s="1"/>
  <c r="AG40" i="37"/>
  <c r="AH40" i="37" s="1"/>
  <c r="AI40" i="37" s="1"/>
  <c r="AF106" i="37"/>
  <c r="AG106" i="37" s="1"/>
  <c r="AF99" i="37"/>
  <c r="AG99" i="37" s="1"/>
  <c r="AH99" i="37" s="1"/>
  <c r="AI99" i="37" s="1"/>
  <c r="AC190" i="37"/>
  <c r="AD190" i="37" s="1"/>
  <c r="AC276" i="37"/>
  <c r="AD276" i="37" s="1"/>
  <c r="AE276" i="37" s="1"/>
  <c r="AF276" i="37" s="1"/>
  <c r="AH32" i="37"/>
  <c r="AI32" i="37" s="1"/>
  <c r="AC225" i="37"/>
  <c r="AD225" i="37" s="1"/>
  <c r="AC46" i="37"/>
  <c r="AC250" i="37"/>
  <c r="AD250" i="37" s="1"/>
  <c r="AE250" i="37" s="1"/>
  <c r="AG117" i="37"/>
  <c r="AH117" i="37" s="1"/>
  <c r="AI117" i="37" s="1"/>
  <c r="AF134" i="37"/>
  <c r="AG134" i="37" s="1"/>
  <c r="AD108" i="37"/>
  <c r="AE108" i="37" s="1"/>
  <c r="AH303" i="37"/>
  <c r="AI303" i="37" s="1"/>
  <c r="AG307" i="37"/>
  <c r="AH307" i="37" s="1"/>
  <c r="AI307" i="37" s="1"/>
  <c r="AC21" i="37"/>
  <c r="AD21" i="37" s="1"/>
  <c r="AD191" i="37"/>
  <c r="AD275" i="37"/>
  <c r="AE275" i="37" s="1"/>
  <c r="AF275" i="37" s="1"/>
  <c r="AC161" i="37"/>
  <c r="AD161" i="37" s="1"/>
  <c r="AF55" i="37"/>
  <c r="AG55" i="37" s="1"/>
  <c r="AE31" i="37"/>
  <c r="AE15" i="37"/>
  <c r="AD345" i="37"/>
  <c r="AE345" i="37" s="1"/>
  <c r="AE74" i="37"/>
  <c r="AF74" i="37" s="1"/>
  <c r="AD184" i="37"/>
  <c r="AG266" i="37"/>
  <c r="AH266" i="37" s="1"/>
  <c r="AI266" i="37" s="1"/>
  <c r="AE204" i="37"/>
  <c r="AD127" i="37"/>
  <c r="AE127" i="37" s="1"/>
  <c r="AD181" i="37"/>
  <c r="AE181" i="37" s="1"/>
  <c r="AE302" i="37"/>
  <c r="AE192" i="37"/>
  <c r="AF192" i="37" s="1"/>
  <c r="AE346" i="37"/>
  <c r="AF346" i="37" s="1"/>
  <c r="AE203" i="37"/>
  <c r="AF203" i="37" s="1"/>
  <c r="AG203" i="37" s="1"/>
  <c r="AH203" i="37" s="1"/>
  <c r="AI203" i="37" s="1"/>
  <c r="AC143" i="37"/>
  <c r="AD143" i="37" s="1"/>
  <c r="AE143" i="37" s="1"/>
  <c r="AF247" i="37"/>
  <c r="AG247" i="37" s="1"/>
  <c r="AE350" i="37"/>
  <c r="AF350" i="37" s="1"/>
  <c r="AG350" i="37" s="1"/>
  <c r="AC33" i="37"/>
  <c r="AD33" i="37" s="1"/>
  <c r="AE33" i="37" s="1"/>
  <c r="AE267" i="37"/>
  <c r="AF267" i="37" s="1"/>
  <c r="AE167" i="37"/>
  <c r="AE170" i="37"/>
  <c r="AF170" i="37" s="1"/>
  <c r="AC177" i="37"/>
  <c r="AD177" i="37" s="1"/>
  <c r="AE177" i="37" s="1"/>
  <c r="AH324" i="37"/>
  <c r="AI324" i="37" s="1"/>
  <c r="AF262" i="37"/>
  <c r="AG262" i="37" s="1"/>
  <c r="AG166" i="37"/>
  <c r="AH166" i="37" s="1"/>
  <c r="AI166" i="37" s="1"/>
  <c r="AD252" i="37"/>
  <c r="AC118" i="37"/>
  <c r="AD118" i="37" s="1"/>
  <c r="AE118" i="37" s="1"/>
  <c r="AF352" i="37"/>
  <c r="AG352" i="37" s="1"/>
  <c r="AH352" i="37" s="1"/>
  <c r="AI352" i="37" s="1"/>
  <c r="AE241" i="37"/>
  <c r="AF241" i="37" s="1"/>
  <c r="AE80" i="37"/>
  <c r="AE17" i="37"/>
  <c r="AF17" i="37" s="1"/>
  <c r="AG351" i="37"/>
  <c r="AH351" i="37" s="1"/>
  <c r="AI351" i="37" s="1"/>
  <c r="AF309" i="37"/>
  <c r="AF301" i="37"/>
  <c r="AF18" i="37"/>
  <c r="AG18" i="37" s="1"/>
  <c r="AH18" i="37" s="1"/>
  <c r="AI18" i="37" s="1"/>
  <c r="AF97" i="37"/>
  <c r="AG97" i="37" s="1"/>
  <c r="AH121" i="37"/>
  <c r="AI121" i="37" s="1"/>
  <c r="AF287" i="37" l="1"/>
  <c r="AG287" i="37" s="1"/>
  <c r="AH287" i="37" s="1"/>
  <c r="AI287" i="37" s="1"/>
  <c r="AE349" i="37"/>
  <c r="AE344" i="37" s="1"/>
  <c r="AF82" i="37"/>
  <c r="AG82" i="37" s="1"/>
  <c r="AH82" i="37" s="1"/>
  <c r="AI82" i="37" s="1"/>
  <c r="AF173" i="37"/>
  <c r="AG173" i="37" s="1"/>
  <c r="AH173" i="37" s="1"/>
  <c r="AI173" i="37" s="1"/>
  <c r="AH293" i="37"/>
  <c r="AI293" i="37" s="1"/>
  <c r="AH14" i="37"/>
  <c r="AI14" i="37" s="1"/>
  <c r="AG170" i="37"/>
  <c r="AH170" i="37" s="1"/>
  <c r="AI170" i="37" s="1"/>
  <c r="AH110" i="37"/>
  <c r="AI110" i="37" s="1"/>
  <c r="AG301" i="37"/>
  <c r="AH301" i="37" s="1"/>
  <c r="AI301" i="37" s="1"/>
  <c r="AH322" i="37"/>
  <c r="AI322" i="37" s="1"/>
  <c r="AC12" i="39"/>
  <c r="AC11" i="39" s="1"/>
  <c r="AG192" i="37"/>
  <c r="AH192" i="37" s="1"/>
  <c r="AI192" i="37" s="1"/>
  <c r="AG196" i="37"/>
  <c r="AH196" i="37" s="1"/>
  <c r="AI196" i="37" s="1"/>
  <c r="AF259" i="37"/>
  <c r="AG259" i="37" s="1"/>
  <c r="AH259" i="37" s="1"/>
  <c r="AI259" i="37" s="1"/>
  <c r="AF137" i="37"/>
  <c r="AH54" i="37"/>
  <c r="AI54" i="37" s="1"/>
  <c r="AH202" i="37"/>
  <c r="AI202" i="37" s="1"/>
  <c r="AG295" i="37"/>
  <c r="AH295" i="37" s="1"/>
  <c r="AI295" i="37" s="1"/>
  <c r="AH353" i="37"/>
  <c r="AI353" i="37" s="1"/>
  <c r="AH165" i="37"/>
  <c r="AI165" i="37" s="1"/>
  <c r="AD292" i="37"/>
  <c r="AF272" i="37"/>
  <c r="AG272" i="37" s="1"/>
  <c r="AF224" i="37"/>
  <c r="AF104" i="37"/>
  <c r="AG104" i="37" s="1"/>
  <c r="AH104" i="37" s="1"/>
  <c r="AI104" i="37" s="1"/>
  <c r="AF147" i="37"/>
  <c r="AG147" i="37" s="1"/>
  <c r="AH147" i="37" s="1"/>
  <c r="AI147" i="37" s="1"/>
  <c r="AF143" i="37"/>
  <c r="AG143" i="37" s="1"/>
  <c r="AH143" i="37" s="1"/>
  <c r="AI143" i="37" s="1"/>
  <c r="AH268" i="37"/>
  <c r="AI268" i="37" s="1"/>
  <c r="AF250" i="37"/>
  <c r="AG250" i="37" s="1"/>
  <c r="AH250" i="37" s="1"/>
  <c r="AI250" i="37" s="1"/>
  <c r="AE292" i="37"/>
  <c r="AF223" i="37"/>
  <c r="AG223" i="37" s="1"/>
  <c r="AH223" i="37" s="1"/>
  <c r="AI223" i="37" s="1"/>
  <c r="AE141" i="37"/>
  <c r="AF20" i="37"/>
  <c r="AG20" i="37" s="1"/>
  <c r="AE135" i="37"/>
  <c r="AF135" i="37" s="1"/>
  <c r="AG16" i="37"/>
  <c r="AH16" i="37" s="1"/>
  <c r="AI16" i="37" s="1"/>
  <c r="AF253" i="37"/>
  <c r="AG253" i="37" s="1"/>
  <c r="AH253" i="37" s="1"/>
  <c r="AI253" i="37" s="1"/>
  <c r="AF118" i="37"/>
  <c r="AG118" i="37" s="1"/>
  <c r="AH118" i="37" s="1"/>
  <c r="AI118" i="37" s="1"/>
  <c r="AG299" i="37"/>
  <c r="AH299" i="37" s="1"/>
  <c r="AI299" i="37" s="1"/>
  <c r="AG74" i="37"/>
  <c r="AH74" i="37" s="1"/>
  <c r="AI74" i="37" s="1"/>
  <c r="AE161" i="37"/>
  <c r="AG275" i="37"/>
  <c r="AH275" i="37" s="1"/>
  <c r="AI275" i="37" s="1"/>
  <c r="AG17" i="37"/>
  <c r="AH17" i="37" s="1"/>
  <c r="AI17" i="37" s="1"/>
  <c r="AF204" i="37"/>
  <c r="AG204" i="37" s="1"/>
  <c r="AF29" i="37"/>
  <c r="AG29" i="37" s="1"/>
  <c r="AH29" i="37" s="1"/>
  <c r="AI29" i="37" s="1"/>
  <c r="AF31" i="37"/>
  <c r="AG31" i="37" s="1"/>
  <c r="AH31" i="37" s="1"/>
  <c r="AI31" i="37" s="1"/>
  <c r="AE175" i="37"/>
  <c r="AF185" i="37"/>
  <c r="AG185" i="37" s="1"/>
  <c r="AH185" i="37" s="1"/>
  <c r="AI185" i="37" s="1"/>
  <c r="AH199" i="37"/>
  <c r="AI199" i="37" s="1"/>
  <c r="AF109" i="37"/>
  <c r="AG109" i="37" s="1"/>
  <c r="AH109" i="37" s="1"/>
  <c r="AI109" i="37" s="1"/>
  <c r="AD112" i="37"/>
  <c r="AE112" i="37" s="1"/>
  <c r="AG78" i="37"/>
  <c r="AH78" i="37" s="1"/>
  <c r="AI78" i="37" s="1"/>
  <c r="AH144" i="37"/>
  <c r="AI144" i="37" s="1"/>
  <c r="AG286" i="37"/>
  <c r="AH286" i="37" s="1"/>
  <c r="AI286" i="37" s="1"/>
  <c r="AG139" i="37"/>
  <c r="AH139" i="37" s="1"/>
  <c r="AI139" i="37" s="1"/>
  <c r="AE227" i="37"/>
  <c r="AG224" i="37"/>
  <c r="AF319" i="37"/>
  <c r="AE291" i="37"/>
  <c r="AF291" i="37" s="1"/>
  <c r="AG291" i="37" s="1"/>
  <c r="AH291" i="37" s="1"/>
  <c r="AI291" i="37" s="1"/>
  <c r="AF98" i="37"/>
  <c r="AG98" i="37" s="1"/>
  <c r="AF145" i="37"/>
  <c r="AG145" i="37" s="1"/>
  <c r="AF296" i="37"/>
  <c r="AG296" i="37" s="1"/>
  <c r="AH296" i="37" s="1"/>
  <c r="AI296" i="37" s="1"/>
  <c r="AG126" i="37"/>
  <c r="AH126" i="37" s="1"/>
  <c r="AI126" i="37" s="1"/>
  <c r="AE44" i="37"/>
  <c r="AF44" i="37" s="1"/>
  <c r="AG44" i="37" s="1"/>
  <c r="AH44" i="37" s="1"/>
  <c r="AI44" i="37" s="1"/>
  <c r="AE21" i="37"/>
  <c r="AF311" i="37"/>
  <c r="AH207" i="37"/>
  <c r="AI207" i="37" s="1"/>
  <c r="AH247" i="37"/>
  <c r="AI247" i="37" s="1"/>
  <c r="AF310" i="37"/>
  <c r="AG310" i="37" s="1"/>
  <c r="AE269" i="37"/>
  <c r="AF269" i="37" s="1"/>
  <c r="AG269" i="37" s="1"/>
  <c r="AH269" i="37" s="1"/>
  <c r="AI269" i="37" s="1"/>
  <c r="AG276" i="37"/>
  <c r="AH276" i="37" s="1"/>
  <c r="AI276" i="37" s="1"/>
  <c r="AE171" i="37"/>
  <c r="AH97" i="37"/>
  <c r="AI97" i="37" s="1"/>
  <c r="AF183" i="37"/>
  <c r="AG183" i="37" s="1"/>
  <c r="AG188" i="37"/>
  <c r="AH188" i="37" s="1"/>
  <c r="AI188" i="37" s="1"/>
  <c r="AG200" i="37"/>
  <c r="AH200" i="37" s="1"/>
  <c r="AI200" i="37" s="1"/>
  <c r="AH195" i="37"/>
  <c r="AI195" i="37" s="1"/>
  <c r="AF288" i="37"/>
  <c r="AG288" i="37" s="1"/>
  <c r="AH288" i="37" s="1"/>
  <c r="AI288" i="37" s="1"/>
  <c r="AE252" i="37"/>
  <c r="AF177" i="37"/>
  <c r="AG177" i="37" s="1"/>
  <c r="AG326" i="37"/>
  <c r="AH326" i="37" s="1"/>
  <c r="AI326" i="37" s="1"/>
  <c r="AC13" i="37"/>
  <c r="AC11" i="37" s="1"/>
  <c r="AF33" i="37"/>
  <c r="AG125" i="37"/>
  <c r="AH125" i="37" s="1"/>
  <c r="AI125" i="37" s="1"/>
  <c r="AE190" i="37"/>
  <c r="AE243" i="37"/>
  <c r="AF243" i="37" s="1"/>
  <c r="AG243" i="37" s="1"/>
  <c r="AD246" i="37"/>
  <c r="AE246" i="37" s="1"/>
  <c r="AE184" i="37"/>
  <c r="AF184" i="37" s="1"/>
  <c r="AE187" i="37"/>
  <c r="AF187" i="37" s="1"/>
  <c r="AF329" i="37"/>
  <c r="AG329" i="37" s="1"/>
  <c r="AH329" i="37" s="1"/>
  <c r="AI329" i="37" s="1"/>
  <c r="AF206" i="37"/>
  <c r="AG206" i="37" s="1"/>
  <c r="AG267" i="37"/>
  <c r="AH267" i="37" s="1"/>
  <c r="AI267" i="37" s="1"/>
  <c r="AH55" i="37"/>
  <c r="AI55" i="37" s="1"/>
  <c r="AD198" i="37"/>
  <c r="AE198" i="37" s="1"/>
  <c r="AF198" i="37" s="1"/>
  <c r="AE274" i="37"/>
  <c r="AE318" i="37"/>
  <c r="AF318" i="37" s="1"/>
  <c r="AF194" i="37"/>
  <c r="AG194" i="37" s="1"/>
  <c r="AG346" i="37"/>
  <c r="AH346" i="37" s="1"/>
  <c r="AI346" i="37" s="1"/>
  <c r="AF19" i="37"/>
  <c r="AG19" i="37" s="1"/>
  <c r="AH106" i="37"/>
  <c r="AI106" i="37" s="1"/>
  <c r="AH248" i="37"/>
  <c r="AI248" i="37" s="1"/>
  <c r="AH262" i="37"/>
  <c r="AI262" i="37" s="1"/>
  <c r="AG328" i="37"/>
  <c r="AH328" i="37" s="1"/>
  <c r="AI328" i="37" s="1"/>
  <c r="AG325" i="37"/>
  <c r="AH325" i="37" s="1"/>
  <c r="AI325" i="37" s="1"/>
  <c r="AG241" i="37"/>
  <c r="AH241" i="37" s="1"/>
  <c r="AI241" i="37" s="1"/>
  <c r="AE63" i="37"/>
  <c r="AF63" i="37" s="1"/>
  <c r="AF80" i="37"/>
  <c r="AE306" i="37"/>
  <c r="AF167" i="37"/>
  <c r="AG167" i="37" s="1"/>
  <c r="AH167" i="37" s="1"/>
  <c r="AI167" i="37" s="1"/>
  <c r="AH134" i="37"/>
  <c r="AI134" i="37" s="1"/>
  <c r="AD344" i="37"/>
  <c r="AE225" i="37"/>
  <c r="AF302" i="37"/>
  <c r="AG302" i="37" s="1"/>
  <c r="AG309" i="37"/>
  <c r="AH309" i="37" s="1"/>
  <c r="AI309" i="37" s="1"/>
  <c r="AF244" i="37"/>
  <c r="AG244" i="37" s="1"/>
  <c r="AF108" i="37"/>
  <c r="AF345" i="37"/>
  <c r="AH350" i="37"/>
  <c r="AI350" i="37" s="1"/>
  <c r="AF181" i="37"/>
  <c r="AD46" i="37"/>
  <c r="AF242" i="37"/>
  <c r="AG242" i="37" s="1"/>
  <c r="AH242" i="37" s="1"/>
  <c r="AI242" i="37" s="1"/>
  <c r="AF127" i="37"/>
  <c r="AG100" i="37"/>
  <c r="AH100" i="37" s="1"/>
  <c r="AI100" i="37" s="1"/>
  <c r="AF348" i="37"/>
  <c r="AG348" i="37" s="1"/>
  <c r="AH348" i="37" s="1"/>
  <c r="AI348" i="37" s="1"/>
  <c r="AF15" i="37"/>
  <c r="AF264" i="37"/>
  <c r="AG264" i="37" s="1"/>
  <c r="AH334" i="37"/>
  <c r="AI334" i="37" s="1"/>
  <c r="AE191" i="37"/>
  <c r="AG77" i="37"/>
  <c r="AH77" i="37" s="1"/>
  <c r="AI77" i="37" s="1"/>
  <c r="AG169" i="37"/>
  <c r="AH169" i="37" s="1"/>
  <c r="AI169" i="37" s="1"/>
  <c r="AG75" i="37"/>
  <c r="AH75" i="37" s="1"/>
  <c r="AI75" i="37" s="1"/>
  <c r="AH120" i="37"/>
  <c r="AI120" i="37" s="1"/>
  <c r="AH115" i="37"/>
  <c r="AI115" i="37" s="1"/>
  <c r="AF349" i="37" l="1"/>
  <c r="AG349" i="37" s="1"/>
  <c r="AH349" i="37" s="1"/>
  <c r="AI349" i="37" s="1"/>
  <c r="AD12" i="39"/>
  <c r="AD11" i="39" s="1"/>
  <c r="AF292" i="37"/>
  <c r="AG80" i="37"/>
  <c r="AH80" i="37" s="1"/>
  <c r="AI80" i="37" s="1"/>
  <c r="AF246" i="37"/>
  <c r="AG246" i="37" s="1"/>
  <c r="AH224" i="37"/>
  <c r="AI224" i="37" s="1"/>
  <c r="AH20" i="37"/>
  <c r="AI20" i="37" s="1"/>
  <c r="AG127" i="37"/>
  <c r="AH127" i="37" s="1"/>
  <c r="AI127" i="37" s="1"/>
  <c r="AH183" i="37"/>
  <c r="AI183" i="37" s="1"/>
  <c r="AG135" i="37"/>
  <c r="AH135" i="37" s="1"/>
  <c r="AI135" i="37" s="1"/>
  <c r="AG292" i="37"/>
  <c r="AH292" i="37" s="1"/>
  <c r="AI292" i="37" s="1"/>
  <c r="AF112" i="37"/>
  <c r="AG112" i="37" s="1"/>
  <c r="AH112" i="37" s="1"/>
  <c r="AI112" i="37" s="1"/>
  <c r="AF161" i="37"/>
  <c r="AG161" i="37" s="1"/>
  <c r="AG137" i="37"/>
  <c r="AH137" i="37" s="1"/>
  <c r="AI137" i="37" s="1"/>
  <c r="AH194" i="37"/>
  <c r="AI194" i="37" s="1"/>
  <c r="AH206" i="37"/>
  <c r="AI206" i="37" s="1"/>
  <c r="AG311" i="37"/>
  <c r="AH311" i="37" s="1"/>
  <c r="AI311" i="37" s="1"/>
  <c r="AH98" i="37"/>
  <c r="AI98" i="37" s="1"/>
  <c r="AH204" i="37"/>
  <c r="AI204" i="37" s="1"/>
  <c r="AF227" i="37"/>
  <c r="AG227" i="37" s="1"/>
  <c r="AH264" i="37"/>
  <c r="AI264" i="37" s="1"/>
  <c r="AH19" i="37"/>
  <c r="AI19" i="37" s="1"/>
  <c r="AF141" i="37"/>
  <c r="AG141" i="37" s="1"/>
  <c r="AG319" i="37"/>
  <c r="AH319" i="37" s="1"/>
  <c r="AI319" i="37" s="1"/>
  <c r="AH272" i="37"/>
  <c r="AI272" i="37" s="1"/>
  <c r="AF175" i="37"/>
  <c r="AG175" i="37" s="1"/>
  <c r="AF274" i="37"/>
  <c r="AG274" i="37" s="1"/>
  <c r="AE46" i="37"/>
  <c r="AG63" i="37"/>
  <c r="AH63" i="37" s="1"/>
  <c r="AI63" i="37" s="1"/>
  <c r="AF171" i="37"/>
  <c r="AD13" i="37"/>
  <c r="AD11" i="37" s="1"/>
  <c r="AG171" i="37"/>
  <c r="AH171" i="37" s="1"/>
  <c r="AI171" i="37" s="1"/>
  <c r="AH310" i="37"/>
  <c r="AI310" i="37" s="1"/>
  <c r="AG15" i="37"/>
  <c r="AF344" i="37"/>
  <c r="AG181" i="37"/>
  <c r="AH181" i="37" s="1"/>
  <c r="AI181" i="37" s="1"/>
  <c r="AF21" i="37"/>
  <c r="AG21" i="37" s="1"/>
  <c r="AG184" i="37"/>
  <c r="AH184" i="37" s="1"/>
  <c r="AI184" i="37" s="1"/>
  <c r="AH302" i="37"/>
  <c r="AI302" i="37" s="1"/>
  <c r="AG318" i="37"/>
  <c r="AH318" i="37" s="1"/>
  <c r="AI318" i="37" s="1"/>
  <c r="AH244" i="37"/>
  <c r="AI244" i="37" s="1"/>
  <c r="AF225" i="37"/>
  <c r="AG225" i="37" s="1"/>
  <c r="AH225" i="37" s="1"/>
  <c r="AI225" i="37" s="1"/>
  <c r="AG345" i="37"/>
  <c r="AG108" i="37"/>
  <c r="AH108" i="37" s="1"/>
  <c r="AI108" i="37" s="1"/>
  <c r="AH145" i="37"/>
  <c r="AI145" i="37" s="1"/>
  <c r="AG33" i="37"/>
  <c r="AH33" i="37" s="1"/>
  <c r="AI33" i="37" s="1"/>
  <c r="AF190" i="37"/>
  <c r="AG190" i="37" s="1"/>
  <c r="AH190" i="37" s="1"/>
  <c r="AI190" i="37" s="1"/>
  <c r="AH177" i="37"/>
  <c r="AI177" i="37" s="1"/>
  <c r="AH243" i="37"/>
  <c r="AI243" i="37" s="1"/>
  <c r="AG198" i="37"/>
  <c r="AH198" i="37" s="1"/>
  <c r="AI198" i="37" s="1"/>
  <c r="AF191" i="37"/>
  <c r="AG191" i="37" s="1"/>
  <c r="AH191" i="37" s="1"/>
  <c r="AI191" i="37" s="1"/>
  <c r="AG187" i="37"/>
  <c r="AH187" i="37" s="1"/>
  <c r="AI187" i="37" s="1"/>
  <c r="AF306" i="37"/>
  <c r="AG306" i="37" s="1"/>
  <c r="AH306" i="37" s="1"/>
  <c r="AI306" i="37" s="1"/>
  <c r="AF252" i="37"/>
  <c r="AG252" i="37" s="1"/>
  <c r="AH252" i="37" s="1"/>
  <c r="AI252" i="37" s="1"/>
  <c r="AH246" i="37" l="1"/>
  <c r="AI246" i="37" s="1"/>
  <c r="AF12" i="39"/>
  <c r="AF11" i="39" s="1"/>
  <c r="AE12" i="39"/>
  <c r="AE11" i="39" s="1"/>
  <c r="AH141" i="37"/>
  <c r="AI141" i="37" s="1"/>
  <c r="AH274" i="37"/>
  <c r="AI274" i="37" s="1"/>
  <c r="AH175" i="37"/>
  <c r="AI175" i="37" s="1"/>
  <c r="AH227" i="37"/>
  <c r="AI227" i="37" s="1"/>
  <c r="AH161" i="37"/>
  <c r="AI161" i="37" s="1"/>
  <c r="AE13" i="37"/>
  <c r="AE11" i="37" s="1"/>
  <c r="AG344" i="37"/>
  <c r="AH345" i="37"/>
  <c r="AH21" i="37"/>
  <c r="AI21" i="37" s="1"/>
  <c r="AF46" i="37"/>
  <c r="AG46" i="37" s="1"/>
  <c r="AH15" i="37"/>
  <c r="AI15" i="37" l="1"/>
  <c r="AF13" i="37"/>
  <c r="AF11" i="37" s="1"/>
  <c r="AH46" i="37"/>
  <c r="AI46" i="37" s="1"/>
  <c r="AH344" i="37"/>
  <c r="AI345" i="37"/>
  <c r="AI344" i="37" s="1"/>
  <c r="A1950" i="23" l="1"/>
  <c r="A1934" i="23"/>
  <c r="A1913" i="23"/>
  <c r="A1895" i="23"/>
  <c r="A1855" i="23"/>
  <c r="A1831" i="23"/>
  <c r="A1811" i="23"/>
  <c r="A1787" i="23"/>
  <c r="A1768" i="23"/>
  <c r="A1744" i="23"/>
  <c r="A1720" i="23"/>
  <c r="A1696" i="23"/>
  <c r="A1675" i="23"/>
  <c r="A1653" i="23"/>
  <c r="A1631" i="23"/>
  <c r="A1609" i="23"/>
  <c r="A1586" i="23"/>
  <c r="A1563" i="23"/>
  <c r="A1537" i="23"/>
  <c r="A1515" i="23"/>
  <c r="A1492" i="23"/>
  <c r="A1474" i="23"/>
  <c r="A1448" i="23"/>
  <c r="A1423" i="23"/>
  <c r="A1398" i="23"/>
  <c r="A1373" i="23"/>
  <c r="A1348" i="23"/>
  <c r="A1324" i="23"/>
  <c r="A1304" i="23"/>
  <c r="A1288" i="23"/>
  <c r="A1272" i="23"/>
  <c r="A1250" i="23"/>
  <c r="A1229" i="23"/>
  <c r="A1205" i="23"/>
  <c r="A1183" i="23"/>
  <c r="A1163" i="23"/>
  <c r="A1140" i="23"/>
  <c r="A1119" i="23"/>
  <c r="A1101" i="23"/>
  <c r="A1082" i="23"/>
  <c r="A1064" i="23"/>
  <c r="A1048" i="23"/>
  <c r="A1030" i="23"/>
  <c r="A1002" i="23"/>
  <c r="A977" i="23"/>
  <c r="A955" i="23"/>
  <c r="A932" i="23"/>
  <c r="A908" i="23"/>
  <c r="A885" i="23"/>
  <c r="A860" i="23"/>
  <c r="A836" i="23"/>
  <c r="A813" i="23"/>
  <c r="A794" i="23"/>
  <c r="A775" i="23"/>
  <c r="A737" i="23"/>
  <c r="A715" i="23"/>
  <c r="A691" i="23"/>
  <c r="A669" i="23"/>
  <c r="A649" i="23"/>
  <c r="A626" i="23"/>
  <c r="A606" i="23"/>
  <c r="A584" i="23"/>
  <c r="A560" i="23"/>
  <c r="A539" i="23"/>
  <c r="A516" i="23"/>
  <c r="A492" i="23"/>
  <c r="A470" i="23"/>
  <c r="A451" i="23"/>
  <c r="A432" i="23"/>
  <c r="A406" i="23"/>
  <c r="A386" i="23"/>
  <c r="A365" i="23"/>
  <c r="A346" i="23"/>
  <c r="A323" i="23"/>
  <c r="A302" i="23"/>
  <c r="A281" i="23"/>
  <c r="A255" i="23"/>
  <c r="A235" i="23"/>
  <c r="A214" i="23"/>
  <c r="A193" i="23"/>
  <c r="A171" i="23"/>
  <c r="A151" i="23"/>
  <c r="A129" i="23"/>
  <c r="A110" i="23"/>
  <c r="A82" i="23"/>
  <c r="A55" i="23"/>
  <c r="A35" i="23"/>
  <c r="A4" i="23"/>
  <c r="M10" i="27" l="1"/>
  <c r="M430" i="27"/>
  <c r="E430" i="27"/>
  <c r="G1478" i="23" l="1"/>
  <c r="S523" i="22" l="1"/>
  <c r="S93" i="22"/>
  <c r="R12" i="36" l="1"/>
  <c r="R11" i="36" s="1"/>
  <c r="T74" i="36"/>
  <c r="T63" i="36"/>
  <c r="T47" i="36"/>
  <c r="T34" i="36"/>
  <c r="T13" i="36"/>
  <c r="X49" i="33" l="1"/>
  <c r="Y49" i="33" s="1"/>
  <c r="X48" i="33"/>
  <c r="Z48" i="33" s="1"/>
  <c r="AA48" i="33" s="1"/>
  <c r="X47" i="33"/>
  <c r="Y47" i="33" s="1"/>
  <c r="X46" i="33"/>
  <c r="Y46" i="33" s="1"/>
  <c r="X45" i="33"/>
  <c r="X44" i="33"/>
  <c r="X43" i="33"/>
  <c r="Y43" i="33" s="1"/>
  <c r="X42" i="33"/>
  <c r="Z42" i="33" s="1"/>
  <c r="X41" i="33"/>
  <c r="Y41" i="33" s="1"/>
  <c r="X40" i="33"/>
  <c r="Z40" i="33" s="1"/>
  <c r="X39" i="33"/>
  <c r="X38" i="33"/>
  <c r="Y38" i="33" s="1"/>
  <c r="X37" i="33"/>
  <c r="Y37" i="33" s="1"/>
  <c r="X36" i="33"/>
  <c r="X35" i="33"/>
  <c r="Y35" i="33" s="1"/>
  <c r="X30" i="33"/>
  <c r="Z30" i="33" s="1"/>
  <c r="X29" i="33"/>
  <c r="Y29" i="33" s="1"/>
  <c r="X28" i="33"/>
  <c r="Z28" i="33" s="1"/>
  <c r="X27" i="33"/>
  <c r="X26" i="33"/>
  <c r="Y26" i="33" s="1"/>
  <c r="X25" i="33"/>
  <c r="Y25" i="33" s="1"/>
  <c r="X24" i="33"/>
  <c r="X23" i="33"/>
  <c r="Y23" i="33" s="1"/>
  <c r="X22" i="33"/>
  <c r="Z22" i="33" s="1"/>
  <c r="X21" i="33"/>
  <c r="Z21" i="33" s="1"/>
  <c r="X20" i="33"/>
  <c r="X19" i="33"/>
  <c r="Z19" i="33" s="1"/>
  <c r="X18" i="33"/>
  <c r="X17" i="33"/>
  <c r="Z17" i="33" s="1"/>
  <c r="X16" i="33"/>
  <c r="X15" i="33"/>
  <c r="Z15" i="33" s="1"/>
  <c r="X31" i="33"/>
  <c r="Y31" i="33" s="1"/>
  <c r="X32" i="33"/>
  <c r="Y32" i="33" s="1"/>
  <c r="R80" i="36"/>
  <c r="V74" i="36"/>
  <c r="B74" i="36"/>
  <c r="A74" i="36"/>
  <c r="V63" i="36"/>
  <c r="X63" i="36" s="1"/>
  <c r="B63" i="36"/>
  <c r="A63" i="36"/>
  <c r="V47" i="36"/>
  <c r="X47" i="36" s="1"/>
  <c r="Y47" i="36" s="1"/>
  <c r="B47" i="36"/>
  <c r="A47" i="36"/>
  <c r="V34" i="36"/>
  <c r="W34" i="36" s="1"/>
  <c r="B34" i="36"/>
  <c r="V13" i="36"/>
  <c r="B13" i="36"/>
  <c r="A13" i="36"/>
  <c r="B572" i="22"/>
  <c r="B571" i="22"/>
  <c r="B570" i="22"/>
  <c r="B569" i="22"/>
  <c r="B568" i="22"/>
  <c r="B566" i="22"/>
  <c r="B565" i="22"/>
  <c r="B564" i="22"/>
  <c r="L563" i="22"/>
  <c r="B563" i="22"/>
  <c r="S506" i="22"/>
  <c r="G1741" i="23"/>
  <c r="AD1728" i="23" s="1"/>
  <c r="A1740" i="23"/>
  <c r="V1738" i="23"/>
  <c r="S1738" i="23"/>
  <c r="T1739" i="23" s="1"/>
  <c r="K1738" i="23"/>
  <c r="L1738" i="23" s="1"/>
  <c r="V1737" i="23"/>
  <c r="S1737" i="23"/>
  <c r="K1737" i="23"/>
  <c r="L1737" i="23" s="1"/>
  <c r="V1736" i="23"/>
  <c r="S1736" i="23"/>
  <c r="K1736" i="23"/>
  <c r="L1736" i="23" s="1"/>
  <c r="V1735" i="23"/>
  <c r="S1735" i="23"/>
  <c r="K1735" i="23"/>
  <c r="L1735" i="23" s="1"/>
  <c r="V1734" i="23"/>
  <c r="S1734" i="23"/>
  <c r="K1734" i="23"/>
  <c r="L1734" i="23" s="1"/>
  <c r="V1733" i="23"/>
  <c r="S1733" i="23"/>
  <c r="K1733" i="23"/>
  <c r="L1733" i="23" s="1"/>
  <c r="V1732" i="23"/>
  <c r="S1732" i="23"/>
  <c r="K1732" i="23"/>
  <c r="L1732" i="23" s="1"/>
  <c r="V1731" i="23"/>
  <c r="S1731" i="23"/>
  <c r="K1731" i="23"/>
  <c r="L1731" i="23" s="1"/>
  <c r="V1730" i="23"/>
  <c r="S1730" i="23"/>
  <c r="K1730" i="23"/>
  <c r="L1730" i="23" s="1"/>
  <c r="V1729" i="23"/>
  <c r="S1729" i="23"/>
  <c r="K1729" i="23"/>
  <c r="L1729" i="23" s="1"/>
  <c r="V1728" i="23"/>
  <c r="S1728" i="23"/>
  <c r="V1727" i="23"/>
  <c r="S1727" i="23"/>
  <c r="V1726" i="23"/>
  <c r="S1726" i="23"/>
  <c r="K1726" i="23"/>
  <c r="L1726" i="23" s="1"/>
  <c r="V1725" i="23"/>
  <c r="S1725" i="23"/>
  <c r="K1725" i="23"/>
  <c r="L1725" i="23" s="1"/>
  <c r="V1724" i="23"/>
  <c r="S1724" i="23"/>
  <c r="P1724" i="23"/>
  <c r="D1720" i="23"/>
  <c r="A1739" i="23" s="1"/>
  <c r="B507" i="22"/>
  <c r="K1702" i="23"/>
  <c r="L1702" i="23" s="1"/>
  <c r="S1702" i="23"/>
  <c r="V1702" i="23"/>
  <c r="S1703" i="23"/>
  <c r="V1703" i="23"/>
  <c r="S1704" i="23"/>
  <c r="V1704" i="23"/>
  <c r="K1705" i="23"/>
  <c r="L1705" i="23" s="1"/>
  <c r="S1705" i="23"/>
  <c r="V1705" i="23"/>
  <c r="K1706" i="23"/>
  <c r="L1706" i="23" s="1"/>
  <c r="S1706" i="23"/>
  <c r="V1706" i="23"/>
  <c r="K1707" i="23"/>
  <c r="L1707" i="23" s="1"/>
  <c r="S1707" i="23"/>
  <c r="V1707" i="23"/>
  <c r="K1708" i="23"/>
  <c r="L1708" i="23" s="1"/>
  <c r="S1708" i="23"/>
  <c r="V1708" i="23"/>
  <c r="K1709" i="23"/>
  <c r="L1709" i="23" s="1"/>
  <c r="S1709" i="23"/>
  <c r="V1709" i="23"/>
  <c r="K1710" i="23"/>
  <c r="L1710" i="23" s="1"/>
  <c r="S1710" i="23"/>
  <c r="V1710" i="23"/>
  <c r="K1711" i="23"/>
  <c r="L1711" i="23" s="1"/>
  <c r="S1711" i="23"/>
  <c r="V1711" i="23"/>
  <c r="K1712" i="23"/>
  <c r="L1712" i="23" s="1"/>
  <c r="S1712" i="23"/>
  <c r="V1712" i="23"/>
  <c r="K1713" i="23"/>
  <c r="L1713" i="23" s="1"/>
  <c r="S1713" i="23"/>
  <c r="V1713" i="23"/>
  <c r="K1714" i="23"/>
  <c r="L1714" i="23" s="1"/>
  <c r="S1714" i="23"/>
  <c r="T1715" i="23" s="1"/>
  <c r="V1714" i="23"/>
  <c r="B504" i="22"/>
  <c r="K1498" i="23"/>
  <c r="L1498" i="23" s="1"/>
  <c r="S1498" i="23"/>
  <c r="V1498" i="23"/>
  <c r="S1499" i="23"/>
  <c r="V1499" i="23"/>
  <c r="S1500" i="23"/>
  <c r="V1500" i="23"/>
  <c r="K1501" i="23"/>
  <c r="L1501" i="23" s="1"/>
  <c r="S1501" i="23"/>
  <c r="V1501" i="23"/>
  <c r="K1502" i="23"/>
  <c r="L1502" i="23" s="1"/>
  <c r="S1502" i="23"/>
  <c r="V1502" i="23"/>
  <c r="K1503" i="23"/>
  <c r="L1503" i="23" s="1"/>
  <c r="S1503" i="23"/>
  <c r="V1503" i="23"/>
  <c r="K1504" i="23"/>
  <c r="L1504" i="23" s="1"/>
  <c r="S1504" i="23"/>
  <c r="V1504" i="23"/>
  <c r="S1505" i="23"/>
  <c r="V1505" i="23"/>
  <c r="S1506" i="23"/>
  <c r="V1506" i="23"/>
  <c r="S1507" i="23"/>
  <c r="V1507" i="23"/>
  <c r="K1508" i="23"/>
  <c r="L1508" i="23" s="1"/>
  <c r="S1508" i="23"/>
  <c r="V1508" i="23"/>
  <c r="K1509" i="23"/>
  <c r="L1509" i="23" s="1"/>
  <c r="S1509" i="23"/>
  <c r="T1510" i="23" s="1"/>
  <c r="V1509" i="23"/>
  <c r="B454" i="22"/>
  <c r="S1521" i="23"/>
  <c r="V1521" i="23"/>
  <c r="S1522" i="23"/>
  <c r="V1522" i="23"/>
  <c r="K1523" i="23"/>
  <c r="L1523" i="23" s="1"/>
  <c r="S1523" i="23"/>
  <c r="V1523" i="23"/>
  <c r="K1524" i="23"/>
  <c r="L1524" i="23" s="1"/>
  <c r="S1524" i="23"/>
  <c r="V1524" i="23"/>
  <c r="K1525" i="23"/>
  <c r="L1525" i="23" s="1"/>
  <c r="S1525" i="23"/>
  <c r="V1525" i="23"/>
  <c r="K1526" i="23"/>
  <c r="L1526" i="23" s="1"/>
  <c r="S1526" i="23"/>
  <c r="V1526" i="23"/>
  <c r="S1527" i="23"/>
  <c r="V1527" i="23"/>
  <c r="K1528" i="23"/>
  <c r="L1528" i="23" s="1"/>
  <c r="S1528" i="23"/>
  <c r="V1528" i="23"/>
  <c r="S1529" i="23"/>
  <c r="V1529" i="23"/>
  <c r="K1530" i="23"/>
  <c r="L1530" i="23" s="1"/>
  <c r="S1530" i="23"/>
  <c r="T1531" i="23" s="1"/>
  <c r="V1530" i="23"/>
  <c r="S460" i="22"/>
  <c r="B462" i="22"/>
  <c r="B461" i="22"/>
  <c r="S438" i="22"/>
  <c r="B440" i="22"/>
  <c r="S1429" i="23"/>
  <c r="V1429" i="23"/>
  <c r="S1430" i="23"/>
  <c r="V1430" i="23"/>
  <c r="S1431" i="23"/>
  <c r="V1431" i="23"/>
  <c r="K1432" i="23"/>
  <c r="L1432" i="23" s="1"/>
  <c r="S1432" i="23"/>
  <c r="V1432" i="23"/>
  <c r="K1433" i="23"/>
  <c r="L1433" i="23" s="1"/>
  <c r="S1433" i="23"/>
  <c r="V1433" i="23"/>
  <c r="S1434" i="23"/>
  <c r="V1434" i="23"/>
  <c r="K1435" i="23"/>
  <c r="L1435" i="23" s="1"/>
  <c r="S1435" i="23"/>
  <c r="V1435" i="23"/>
  <c r="K1436" i="23"/>
  <c r="L1436" i="23" s="1"/>
  <c r="S1436" i="23"/>
  <c r="V1436" i="23"/>
  <c r="S1437" i="23"/>
  <c r="T1438" i="23" s="1"/>
  <c r="V1437" i="23"/>
  <c r="B433" i="22"/>
  <c r="B432" i="22"/>
  <c r="B409" i="22"/>
  <c r="B420" i="22"/>
  <c r="B410" i="22"/>
  <c r="S400" i="22"/>
  <c r="B402" i="22"/>
  <c r="G1403" i="23"/>
  <c r="B419" i="22"/>
  <c r="S362" i="22"/>
  <c r="B364" i="22"/>
  <c r="S1189" i="23"/>
  <c r="V1189" i="23"/>
  <c r="K1190" i="23"/>
  <c r="L1190" i="23" s="1"/>
  <c r="S1190" i="23"/>
  <c r="V1190" i="23"/>
  <c r="S1191" i="23"/>
  <c r="V1191" i="23"/>
  <c r="K1192" i="23"/>
  <c r="L1192" i="23" s="1"/>
  <c r="S1192" i="23"/>
  <c r="V1192" i="23"/>
  <c r="S1193" i="23"/>
  <c r="V1193" i="23"/>
  <c r="K1194" i="23"/>
  <c r="L1194" i="23" s="1"/>
  <c r="S1194" i="23"/>
  <c r="V1194" i="23"/>
  <c r="K1195" i="23"/>
  <c r="L1195" i="23" s="1"/>
  <c r="S1195" i="23"/>
  <c r="V1195" i="23"/>
  <c r="K1196" i="23"/>
  <c r="L1196" i="23" s="1"/>
  <c r="S1196" i="23"/>
  <c r="V1196" i="23"/>
  <c r="S1197" i="23"/>
  <c r="V1197" i="23"/>
  <c r="K1198" i="23"/>
  <c r="L1198" i="23" s="1"/>
  <c r="S1198" i="23"/>
  <c r="V1198" i="23"/>
  <c r="K1199" i="23"/>
  <c r="L1199" i="23" s="1"/>
  <c r="S1199" i="23"/>
  <c r="T1200" i="23" s="1"/>
  <c r="V1199" i="23"/>
  <c r="B365" i="22"/>
  <c r="B283" i="22"/>
  <c r="T1731" i="23" l="1"/>
  <c r="A1725" i="23"/>
  <c r="A1729" i="23"/>
  <c r="A1733" i="23"/>
  <c r="A1737" i="23"/>
  <c r="A1726" i="23"/>
  <c r="A1730" i="23"/>
  <c r="A1734" i="23"/>
  <c r="A1738" i="23"/>
  <c r="A1727" i="23"/>
  <c r="A1731" i="23"/>
  <c r="A1735" i="23"/>
  <c r="A1724" i="23"/>
  <c r="A1728" i="23"/>
  <c r="A1732" i="23"/>
  <c r="A1736" i="23"/>
  <c r="T1436" i="23"/>
  <c r="T1709" i="23"/>
  <c r="T1735" i="23"/>
  <c r="T1736" i="23"/>
  <c r="U1736" i="23" s="1"/>
  <c r="T1526" i="23"/>
  <c r="T1711" i="23"/>
  <c r="T1707" i="23"/>
  <c r="T1706" i="23"/>
  <c r="T1198" i="23"/>
  <c r="T1192" i="23"/>
  <c r="T1708" i="23"/>
  <c r="T1704" i="23"/>
  <c r="T1710" i="23"/>
  <c r="T1728" i="23"/>
  <c r="T1199" i="23"/>
  <c r="T1437" i="23"/>
  <c r="T1433" i="23"/>
  <c r="T1527" i="23"/>
  <c r="T1523" i="23"/>
  <c r="T1508" i="23"/>
  <c r="T1712" i="23"/>
  <c r="T1528" i="23"/>
  <c r="T1506" i="23"/>
  <c r="T1500" i="23"/>
  <c r="T1499" i="23"/>
  <c r="T1727" i="23"/>
  <c r="T1705" i="23"/>
  <c r="T1524" i="23"/>
  <c r="T1713" i="23"/>
  <c r="T1733" i="23"/>
  <c r="T1738" i="23"/>
  <c r="T1529" i="23"/>
  <c r="T1501" i="23"/>
  <c r="T1714" i="23"/>
  <c r="T1703" i="23"/>
  <c r="T1505" i="23"/>
  <c r="T1502" i="23"/>
  <c r="T1725" i="23"/>
  <c r="T1729" i="23"/>
  <c r="T1732" i="23"/>
  <c r="Y28" i="33"/>
  <c r="Y30" i="33"/>
  <c r="X34" i="36"/>
  <c r="Z34" i="36" s="1"/>
  <c r="W63" i="36"/>
  <c r="S5" i="36"/>
  <c r="Y15" i="33"/>
  <c r="Y17" i="33"/>
  <c r="Y19" i="33"/>
  <c r="Y21" i="33"/>
  <c r="Z23" i="33"/>
  <c r="AB23" i="33" s="1"/>
  <c r="Z26" i="33"/>
  <c r="AA26" i="33" s="1"/>
  <c r="Z35" i="33"/>
  <c r="AB35" i="33" s="1"/>
  <c r="Y40" i="33"/>
  <c r="Y48" i="33"/>
  <c r="Z43" i="33"/>
  <c r="AB43" i="33" s="1"/>
  <c r="Z46" i="33"/>
  <c r="AA46" i="33" s="1"/>
  <c r="Z38" i="33"/>
  <c r="Z18" i="33"/>
  <c r="Y18" i="33"/>
  <c r="AB21" i="33"/>
  <c r="AA21" i="33"/>
  <c r="Z16" i="33"/>
  <c r="Y16" i="33"/>
  <c r="AA22" i="33"/>
  <c r="AB22" i="33"/>
  <c r="AA23" i="33"/>
  <c r="AA28" i="33"/>
  <c r="AB28" i="33"/>
  <c r="Z37" i="33"/>
  <c r="AC23" i="33"/>
  <c r="Y39" i="33"/>
  <c r="Z39" i="33"/>
  <c r="AB19" i="33"/>
  <c r="AA19" i="33"/>
  <c r="Z24" i="33"/>
  <c r="Y24" i="33"/>
  <c r="AA42" i="33"/>
  <c r="AB42" i="33"/>
  <c r="Z44" i="33"/>
  <c r="Y44" i="33"/>
  <c r="AB17" i="33"/>
  <c r="AA17" i="33"/>
  <c r="Y22" i="33"/>
  <c r="Y27" i="33"/>
  <c r="Z27" i="33"/>
  <c r="Y42" i="33"/>
  <c r="Y45" i="33"/>
  <c r="Z45" i="33"/>
  <c r="AB15" i="33"/>
  <c r="AA15" i="33"/>
  <c r="Z20" i="33"/>
  <c r="Y20" i="33"/>
  <c r="Z25" i="33"/>
  <c r="AA30" i="33"/>
  <c r="AB30" i="33"/>
  <c r="Z36" i="33"/>
  <c r="Y36" i="33"/>
  <c r="AA40" i="33"/>
  <c r="AB40" i="33"/>
  <c r="Z47" i="33"/>
  <c r="AB48" i="33"/>
  <c r="AC48" i="33" s="1"/>
  <c r="Z29" i="33"/>
  <c r="Z41" i="33"/>
  <c r="Z49" i="33"/>
  <c r="Z32" i="33"/>
  <c r="AA32" i="33" s="1"/>
  <c r="Z31" i="33"/>
  <c r="AA31" i="33" s="1"/>
  <c r="X74" i="36"/>
  <c r="Z74" i="36" s="1"/>
  <c r="W74" i="36"/>
  <c r="X13" i="36"/>
  <c r="W13" i="36"/>
  <c r="Z47" i="36"/>
  <c r="AA47" i="36" s="1"/>
  <c r="Z63" i="36"/>
  <c r="Y63" i="36"/>
  <c r="W47" i="36"/>
  <c r="M1724" i="23"/>
  <c r="N1724" i="23" s="1"/>
  <c r="R1737" i="23"/>
  <c r="T1726" i="23"/>
  <c r="T1435" i="23"/>
  <c r="T1432" i="23"/>
  <c r="T1530" i="23"/>
  <c r="T1509" i="23"/>
  <c r="T1503" i="23"/>
  <c r="T1734" i="23"/>
  <c r="T1737" i="23"/>
  <c r="T1430" i="23"/>
  <c r="T1522" i="23"/>
  <c r="T1730" i="23"/>
  <c r="T1196" i="23"/>
  <c r="T1504" i="23"/>
  <c r="T1507" i="23"/>
  <c r="T1197" i="23"/>
  <c r="T1191" i="23"/>
  <c r="T1525" i="23"/>
  <c r="T1434" i="23"/>
  <c r="T1431" i="23"/>
  <c r="T1193" i="23"/>
  <c r="T1194" i="23"/>
  <c r="T1190" i="23"/>
  <c r="T1195" i="23"/>
  <c r="Y34" i="36" l="1"/>
  <c r="AA34" i="36" s="1"/>
  <c r="AB26" i="33"/>
  <c r="AC26" i="33" s="1"/>
  <c r="U1737" i="23"/>
  <c r="AA35" i="33"/>
  <c r="AC35" i="33" s="1"/>
  <c r="AD35" i="33" s="1"/>
  <c r="AE35" i="33" s="1"/>
  <c r="AF35" i="33" s="1"/>
  <c r="AB46" i="33"/>
  <c r="AC46" i="33" s="1"/>
  <c r="AC19" i="33"/>
  <c r="AD19" i="33" s="1"/>
  <c r="AE19" i="33" s="1"/>
  <c r="AF19" i="33" s="1"/>
  <c r="AC30" i="33"/>
  <c r="Y74" i="36"/>
  <c r="AA74" i="36" s="1"/>
  <c r="AB74" i="36" s="1"/>
  <c r="AA43" i="33"/>
  <c r="AC43" i="33" s="1"/>
  <c r="AD43" i="33" s="1"/>
  <c r="AC42" i="33"/>
  <c r="AA38" i="33"/>
  <c r="AB38" i="33"/>
  <c r="AC40" i="33"/>
  <c r="AD40" i="33" s="1"/>
  <c r="AE40" i="33" s="1"/>
  <c r="AC28" i="33"/>
  <c r="AD48" i="33"/>
  <c r="AE48" i="33" s="1"/>
  <c r="AB20" i="33"/>
  <c r="AA20" i="33"/>
  <c r="AA44" i="33"/>
  <c r="AB44" i="33"/>
  <c r="AB49" i="33"/>
  <c r="AA49" i="33"/>
  <c r="AB45" i="33"/>
  <c r="AA45" i="33"/>
  <c r="AB41" i="33"/>
  <c r="AA41" i="33"/>
  <c r="AA36" i="33"/>
  <c r="AB36" i="33"/>
  <c r="AB25" i="33"/>
  <c r="AA25" i="33"/>
  <c r="AC15" i="33"/>
  <c r="AC17" i="33"/>
  <c r="AA24" i="33"/>
  <c r="AB24" i="33"/>
  <c r="AD23" i="33"/>
  <c r="AE23" i="33" s="1"/>
  <c r="AB16" i="33"/>
  <c r="AA16" i="33"/>
  <c r="AA47" i="33"/>
  <c r="AB47" i="33"/>
  <c r="AA27" i="33"/>
  <c r="AB27" i="33"/>
  <c r="AA39" i="33"/>
  <c r="AB39" i="33"/>
  <c r="AC21" i="33"/>
  <c r="AA29" i="33"/>
  <c r="AB29" i="33"/>
  <c r="AD26" i="33"/>
  <c r="AB37" i="33"/>
  <c r="AA37" i="33"/>
  <c r="AC22" i="33"/>
  <c r="AB18" i="33"/>
  <c r="AA18" i="33"/>
  <c r="AB34" i="36"/>
  <c r="AB47" i="36"/>
  <c r="AC47" i="36" s="1"/>
  <c r="Y13" i="36"/>
  <c r="Z13" i="36"/>
  <c r="AA63" i="36"/>
  <c r="J1724" i="23"/>
  <c r="H1725" i="23"/>
  <c r="O1724" i="23"/>
  <c r="R1724" i="23"/>
  <c r="R1738" i="23"/>
  <c r="R1739" i="23" s="1"/>
  <c r="U1739" i="23" s="1"/>
  <c r="AD42" i="33" l="1"/>
  <c r="AE42" i="33" s="1"/>
  <c r="AC29" i="33"/>
  <c r="AD29" i="33" s="1"/>
  <c r="AC24" i="33"/>
  <c r="AD24" i="33" s="1"/>
  <c r="AE24" i="33" s="1"/>
  <c r="AD30" i="33"/>
  <c r="AE30" i="33" s="1"/>
  <c r="AC27" i="33"/>
  <c r="AD27" i="33" s="1"/>
  <c r="AE27" i="33" s="1"/>
  <c r="AF27" i="33" s="1"/>
  <c r="AD28" i="33"/>
  <c r="AE28" i="33" s="1"/>
  <c r="AC38" i="33"/>
  <c r="AD38" i="33" s="1"/>
  <c r="AE38" i="33" s="1"/>
  <c r="AC37" i="33"/>
  <c r="AD37" i="33" s="1"/>
  <c r="AE37" i="33" s="1"/>
  <c r="AC41" i="33"/>
  <c r="AD41" i="33" s="1"/>
  <c r="AC49" i="33"/>
  <c r="AD49" i="33" s="1"/>
  <c r="AC36" i="33"/>
  <c r="AD36" i="33" s="1"/>
  <c r="AE36" i="33" s="1"/>
  <c r="AF36" i="33" s="1"/>
  <c r="AC39" i="33"/>
  <c r="AC47" i="33"/>
  <c r="AD47" i="33" s="1"/>
  <c r="AC18" i="33"/>
  <c r="AF23" i="33"/>
  <c r="AD15" i="33"/>
  <c r="AD46" i="33"/>
  <c r="AE46" i="33" s="1"/>
  <c r="AF46" i="33" s="1"/>
  <c r="AD17" i="33"/>
  <c r="AD22" i="33"/>
  <c r="AE22" i="33" s="1"/>
  <c r="AE26" i="33"/>
  <c r="AF26" i="33" s="1"/>
  <c r="AF40" i="33"/>
  <c r="AC45" i="33"/>
  <c r="AF48" i="33"/>
  <c r="AG48" i="33" s="1"/>
  <c r="AE43" i="33"/>
  <c r="AF43" i="33" s="1"/>
  <c r="AG43" i="33" s="1"/>
  <c r="AD21" i="33"/>
  <c r="AC16" i="33"/>
  <c r="AC25" i="33"/>
  <c r="AF28" i="33"/>
  <c r="AG19" i="33"/>
  <c r="AK19" i="33" s="1"/>
  <c r="AC44" i="33"/>
  <c r="AG35" i="33"/>
  <c r="AH35" i="33" s="1"/>
  <c r="AC20" i="33"/>
  <c r="AA13" i="36"/>
  <c r="AB13" i="36" s="1"/>
  <c r="AB63" i="36"/>
  <c r="AC63" i="36" s="1"/>
  <c r="AD47" i="36"/>
  <c r="AC74" i="36"/>
  <c r="AD74" i="36" s="1"/>
  <c r="AC34" i="36"/>
  <c r="U1738" i="23"/>
  <c r="W1724" i="23"/>
  <c r="P1725" i="23" s="1"/>
  <c r="Q1725" i="23" s="1"/>
  <c r="U1724" i="23"/>
  <c r="R1725" i="23"/>
  <c r="AF42" i="33" l="1"/>
  <c r="AG42" i="33" s="1"/>
  <c r="AK42" i="33" s="1"/>
  <c r="AG23" i="33"/>
  <c r="AK23" i="33" s="1"/>
  <c r="AD39" i="33"/>
  <c r="AE39" i="33" s="1"/>
  <c r="AF39" i="33" s="1"/>
  <c r="AG39" i="33" s="1"/>
  <c r="AF38" i="33"/>
  <c r="AG38" i="33" s="1"/>
  <c r="AK38" i="33" s="1"/>
  <c r="AI35" i="33"/>
  <c r="AJ35" i="33" s="1"/>
  <c r="AH19" i="33"/>
  <c r="AI19" i="33" s="1"/>
  <c r="AJ19" i="33" s="1"/>
  <c r="AF37" i="33"/>
  <c r="AG37" i="33" s="1"/>
  <c r="AG40" i="33"/>
  <c r="AH40" i="33" s="1"/>
  <c r="AI40" i="33" s="1"/>
  <c r="AJ40" i="33" s="1"/>
  <c r="AK48" i="33"/>
  <c r="AD16" i="33"/>
  <c r="AH43" i="33"/>
  <c r="AI43" i="33" s="1"/>
  <c r="AJ43" i="33" s="1"/>
  <c r="AG28" i="33"/>
  <c r="AH28" i="33" s="1"/>
  <c r="AH48" i="33"/>
  <c r="AI48" i="33" s="1"/>
  <c r="AJ48" i="33" s="1"/>
  <c r="AG26" i="33"/>
  <c r="AK26" i="33" s="1"/>
  <c r="AD44" i="33"/>
  <c r="AE44" i="33" s="1"/>
  <c r="AE49" i="33"/>
  <c r="AF49" i="33" s="1"/>
  <c r="AE17" i="33"/>
  <c r="AF17" i="33" s="1"/>
  <c r="AK35" i="33"/>
  <c r="AK43" i="33"/>
  <c r="AD20" i="33"/>
  <c r="AE20" i="33" s="1"/>
  <c r="AE21" i="33"/>
  <c r="AG36" i="33"/>
  <c r="AK36" i="33" s="1"/>
  <c r="AD45" i="33"/>
  <c r="AG27" i="33"/>
  <c r="AH27" i="33" s="1"/>
  <c r="AF22" i="33"/>
  <c r="AG46" i="33"/>
  <c r="AE15" i="33"/>
  <c r="AF24" i="33"/>
  <c r="AE29" i="33"/>
  <c r="AD18" i="33"/>
  <c r="AE18" i="33" s="1"/>
  <c r="AE41" i="33"/>
  <c r="AE47" i="33"/>
  <c r="AF30" i="33"/>
  <c r="AD25" i="33"/>
  <c r="AE25" i="33" s="1"/>
  <c r="AK40" i="33"/>
  <c r="AD63" i="36"/>
  <c r="AE63" i="36" s="1"/>
  <c r="AF63" i="36" s="1"/>
  <c r="AG63" i="36" s="1"/>
  <c r="AH63" i="36" s="1"/>
  <c r="AA12" i="36"/>
  <c r="AD34" i="36"/>
  <c r="AE34" i="36" s="1"/>
  <c r="AE74" i="36"/>
  <c r="AC13" i="36"/>
  <c r="AD13" i="36" s="1"/>
  <c r="AE47" i="36"/>
  <c r="U1725" i="23"/>
  <c r="W1725" i="23" s="1"/>
  <c r="P1726" i="23" s="1"/>
  <c r="Q1726" i="23" s="1"/>
  <c r="R1726" i="23"/>
  <c r="U1726" i="23" s="1"/>
  <c r="G985" i="23"/>
  <c r="S296" i="22"/>
  <c r="B300" i="22"/>
  <c r="G1012" i="23"/>
  <c r="B311" i="22"/>
  <c r="B310" i="22"/>
  <c r="S961" i="23"/>
  <c r="V961" i="23"/>
  <c r="S962" i="23"/>
  <c r="V962" i="23"/>
  <c r="K963" i="23"/>
  <c r="L963" i="23" s="1"/>
  <c r="S963" i="23"/>
  <c r="V963" i="23"/>
  <c r="K964" i="23"/>
  <c r="L964" i="23" s="1"/>
  <c r="S964" i="23"/>
  <c r="V964" i="23"/>
  <c r="S965" i="23"/>
  <c r="V965" i="23"/>
  <c r="K966" i="23"/>
  <c r="L966" i="23" s="1"/>
  <c r="S966" i="23"/>
  <c r="V966" i="23"/>
  <c r="K967" i="23"/>
  <c r="L967" i="23" s="1"/>
  <c r="S967" i="23"/>
  <c r="V967" i="23"/>
  <c r="K968" i="23"/>
  <c r="L968" i="23" s="1"/>
  <c r="S968" i="23"/>
  <c r="V968" i="23"/>
  <c r="S969" i="23"/>
  <c r="V969" i="23"/>
  <c r="K970" i="23"/>
  <c r="L970" i="23" s="1"/>
  <c r="S970" i="23"/>
  <c r="V970" i="23"/>
  <c r="K971" i="23"/>
  <c r="L971" i="23" s="1"/>
  <c r="S971" i="23"/>
  <c r="T972" i="23" s="1"/>
  <c r="V971" i="23"/>
  <c r="S291" i="22"/>
  <c r="B293" i="22"/>
  <c r="S983" i="23"/>
  <c r="V983" i="23"/>
  <c r="K984" i="23"/>
  <c r="L984" i="23" s="1"/>
  <c r="S984" i="23"/>
  <c r="V984" i="23"/>
  <c r="S985" i="23"/>
  <c r="V985" i="23"/>
  <c r="K986" i="23"/>
  <c r="L986" i="23" s="1"/>
  <c r="S986" i="23"/>
  <c r="V986" i="23"/>
  <c r="S987" i="23"/>
  <c r="V987" i="23"/>
  <c r="K988" i="23"/>
  <c r="L988" i="23" s="1"/>
  <c r="S988" i="23"/>
  <c r="V988" i="23"/>
  <c r="K989" i="23"/>
  <c r="L989" i="23" s="1"/>
  <c r="S989" i="23"/>
  <c r="V989" i="23"/>
  <c r="S990" i="23"/>
  <c r="V990" i="23"/>
  <c r="K991" i="23"/>
  <c r="L991" i="23" s="1"/>
  <c r="S991" i="23"/>
  <c r="V991" i="23"/>
  <c r="S992" i="23"/>
  <c r="V992" i="23"/>
  <c r="S993" i="23"/>
  <c r="V993" i="23"/>
  <c r="K994" i="23"/>
  <c r="L994" i="23" s="1"/>
  <c r="S994" i="23"/>
  <c r="V994" i="23"/>
  <c r="S995" i="23"/>
  <c r="V995" i="23"/>
  <c r="K996" i="23"/>
  <c r="L996" i="23" s="1"/>
  <c r="S996" i="23"/>
  <c r="T997" i="23" s="1"/>
  <c r="V996" i="23"/>
  <c r="B301" i="22"/>
  <c r="B299" i="22"/>
  <c r="B281" i="22"/>
  <c r="S265" i="22"/>
  <c r="B270" i="22"/>
  <c r="B268" i="22"/>
  <c r="K842" i="23"/>
  <c r="L842" i="23" s="1"/>
  <c r="S842" i="23"/>
  <c r="V842" i="23"/>
  <c r="K843" i="23"/>
  <c r="L843" i="23" s="1"/>
  <c r="S843" i="23"/>
  <c r="V843" i="23"/>
  <c r="S844" i="23"/>
  <c r="V844" i="23"/>
  <c r="S845" i="23"/>
  <c r="V845" i="23"/>
  <c r="K846" i="23"/>
  <c r="L846" i="23" s="1"/>
  <c r="S846" i="23"/>
  <c r="V846" i="23"/>
  <c r="K847" i="23"/>
  <c r="L847" i="23" s="1"/>
  <c r="S847" i="23"/>
  <c r="V847" i="23"/>
  <c r="K848" i="23"/>
  <c r="L848" i="23" s="1"/>
  <c r="S848" i="23"/>
  <c r="V848" i="23"/>
  <c r="K849" i="23"/>
  <c r="L849" i="23" s="1"/>
  <c r="S849" i="23"/>
  <c r="V849" i="23"/>
  <c r="K850" i="23"/>
  <c r="L850" i="23" s="1"/>
  <c r="S850" i="23"/>
  <c r="V850" i="23"/>
  <c r="K851" i="23"/>
  <c r="L851" i="23" s="1"/>
  <c r="S851" i="23"/>
  <c r="V851" i="23"/>
  <c r="K852" i="23"/>
  <c r="L852" i="23" s="1"/>
  <c r="S852" i="23"/>
  <c r="V852" i="23"/>
  <c r="K853" i="23"/>
  <c r="L853" i="23" s="1"/>
  <c r="S853" i="23"/>
  <c r="V853" i="23"/>
  <c r="K854" i="23"/>
  <c r="L854" i="23" s="1"/>
  <c r="S854" i="23"/>
  <c r="T855" i="23" s="1"/>
  <c r="U855" i="23" s="1"/>
  <c r="V854" i="23"/>
  <c r="S262" i="22"/>
  <c r="B263" i="22"/>
  <c r="B261" i="22"/>
  <c r="K819" i="23"/>
  <c r="L819" i="23" s="1"/>
  <c r="S819" i="23"/>
  <c r="V819" i="23"/>
  <c r="S820" i="23"/>
  <c r="V820" i="23"/>
  <c r="S821" i="23"/>
  <c r="V821" i="23"/>
  <c r="K822" i="23"/>
  <c r="L822" i="23" s="1"/>
  <c r="S822" i="23"/>
  <c r="V822" i="23"/>
  <c r="K823" i="23"/>
  <c r="L823" i="23" s="1"/>
  <c r="S823" i="23"/>
  <c r="V823" i="23"/>
  <c r="K824" i="23"/>
  <c r="L824" i="23" s="1"/>
  <c r="S824" i="23"/>
  <c r="V824" i="23"/>
  <c r="K825" i="23"/>
  <c r="L825" i="23" s="1"/>
  <c r="S825" i="23"/>
  <c r="V825" i="23"/>
  <c r="S826" i="23"/>
  <c r="V826" i="23"/>
  <c r="K827" i="23"/>
  <c r="L827" i="23" s="1"/>
  <c r="S827" i="23"/>
  <c r="V827" i="23"/>
  <c r="S828" i="23"/>
  <c r="T829" i="23" s="1"/>
  <c r="V828" i="23"/>
  <c r="B257" i="22"/>
  <c r="K697" i="23"/>
  <c r="L697" i="23" s="1"/>
  <c r="S697" i="23"/>
  <c r="V697" i="23"/>
  <c r="K698" i="23"/>
  <c r="L698" i="23" s="1"/>
  <c r="S698" i="23"/>
  <c r="V698" i="23"/>
  <c r="S699" i="23"/>
  <c r="V699" i="23"/>
  <c r="S700" i="23"/>
  <c r="V700" i="23"/>
  <c r="K701" i="23"/>
  <c r="L701" i="23" s="1"/>
  <c r="S701" i="23"/>
  <c r="V701" i="23"/>
  <c r="K702" i="23"/>
  <c r="L702" i="23" s="1"/>
  <c r="S702" i="23"/>
  <c r="V702" i="23"/>
  <c r="K703" i="23"/>
  <c r="L703" i="23" s="1"/>
  <c r="S703" i="23"/>
  <c r="V703" i="23"/>
  <c r="K704" i="23"/>
  <c r="L704" i="23" s="1"/>
  <c r="S704" i="23"/>
  <c r="V704" i="23"/>
  <c r="K705" i="23"/>
  <c r="L705" i="23" s="1"/>
  <c r="S705" i="23"/>
  <c r="V705" i="23"/>
  <c r="S706" i="23"/>
  <c r="V706" i="23"/>
  <c r="K707" i="23"/>
  <c r="L707" i="23" s="1"/>
  <c r="S707" i="23"/>
  <c r="V707" i="23"/>
  <c r="K708" i="23"/>
  <c r="L708" i="23" s="1"/>
  <c r="S708" i="23"/>
  <c r="V708" i="23"/>
  <c r="S709" i="23"/>
  <c r="T710" i="23" s="1"/>
  <c r="V709" i="23"/>
  <c r="G700" i="23"/>
  <c r="S232" i="22"/>
  <c r="B234" i="22"/>
  <c r="B233" i="22"/>
  <c r="B226" i="22"/>
  <c r="K632" i="23"/>
  <c r="L632" i="23" s="1"/>
  <c r="S632" i="23"/>
  <c r="V632" i="23"/>
  <c r="K633" i="23"/>
  <c r="L633" i="23" s="1"/>
  <c r="S633" i="23"/>
  <c r="V633" i="23"/>
  <c r="K634" i="23"/>
  <c r="L634" i="23" s="1"/>
  <c r="S634" i="23"/>
  <c r="V634" i="23"/>
  <c r="S635" i="23"/>
  <c r="V635" i="23"/>
  <c r="K636" i="23"/>
  <c r="L636" i="23" s="1"/>
  <c r="S636" i="23"/>
  <c r="V636" i="23"/>
  <c r="S637" i="23"/>
  <c r="V637" i="23"/>
  <c r="S638" i="23"/>
  <c r="V638" i="23"/>
  <c r="K639" i="23"/>
  <c r="L639" i="23" s="1"/>
  <c r="S639" i="23"/>
  <c r="V639" i="23"/>
  <c r="K640" i="23"/>
  <c r="L640" i="23" s="1"/>
  <c r="S640" i="23"/>
  <c r="T641" i="23" s="1"/>
  <c r="V640" i="23"/>
  <c r="B217" i="22"/>
  <c r="G568" i="23"/>
  <c r="G567" i="23"/>
  <c r="S198" i="22"/>
  <c r="B205" i="22"/>
  <c r="B203" i="22"/>
  <c r="B202" i="22"/>
  <c r="B201" i="22"/>
  <c r="S193" i="22"/>
  <c r="B195" i="22"/>
  <c r="S522" i="23"/>
  <c r="V522" i="23"/>
  <c r="S523" i="23"/>
  <c r="V523" i="23"/>
  <c r="S524" i="23"/>
  <c r="V524" i="23"/>
  <c r="K525" i="23"/>
  <c r="L525" i="23" s="1"/>
  <c r="S525" i="23"/>
  <c r="V525" i="23"/>
  <c r="K526" i="23"/>
  <c r="L526" i="23" s="1"/>
  <c r="S526" i="23"/>
  <c r="V526" i="23"/>
  <c r="K527" i="23"/>
  <c r="L527" i="23" s="1"/>
  <c r="S527" i="23"/>
  <c r="V527" i="23"/>
  <c r="K528" i="23"/>
  <c r="L528" i="23" s="1"/>
  <c r="S528" i="23"/>
  <c r="V528" i="23"/>
  <c r="S529" i="23"/>
  <c r="V529" i="23"/>
  <c r="K530" i="23"/>
  <c r="L530" i="23" s="1"/>
  <c r="S530" i="23"/>
  <c r="V530" i="23"/>
  <c r="S531" i="23"/>
  <c r="V531" i="23"/>
  <c r="K532" i="23"/>
  <c r="L532" i="23" s="1"/>
  <c r="S532" i="23"/>
  <c r="V532" i="23"/>
  <c r="K533" i="23"/>
  <c r="L533" i="23" s="1"/>
  <c r="S533" i="23"/>
  <c r="T534" i="23" s="1"/>
  <c r="V533" i="23"/>
  <c r="S185" i="22"/>
  <c r="B189" i="22"/>
  <c r="B188" i="22"/>
  <c r="K498" i="23"/>
  <c r="L498" i="23" s="1"/>
  <c r="S498" i="23"/>
  <c r="V498" i="23"/>
  <c r="S499" i="23"/>
  <c r="V499" i="23"/>
  <c r="K500" i="23"/>
  <c r="L500" i="23" s="1"/>
  <c r="S500" i="23"/>
  <c r="V500" i="23"/>
  <c r="K501" i="23"/>
  <c r="L501" i="23" s="1"/>
  <c r="S501" i="23"/>
  <c r="V501" i="23"/>
  <c r="K502" i="23"/>
  <c r="L502" i="23" s="1"/>
  <c r="S502" i="23"/>
  <c r="V502" i="23"/>
  <c r="K503" i="23"/>
  <c r="L503" i="23" s="1"/>
  <c r="S503" i="23"/>
  <c r="V503" i="23"/>
  <c r="K504" i="23"/>
  <c r="L504" i="23" s="1"/>
  <c r="S504" i="23"/>
  <c r="V504" i="23"/>
  <c r="K505" i="23"/>
  <c r="L505" i="23" s="1"/>
  <c r="S505" i="23"/>
  <c r="V505" i="23"/>
  <c r="K506" i="23"/>
  <c r="L506" i="23" s="1"/>
  <c r="S506" i="23"/>
  <c r="V506" i="23"/>
  <c r="K507" i="23"/>
  <c r="L507" i="23" s="1"/>
  <c r="S507" i="23"/>
  <c r="V507" i="23"/>
  <c r="K508" i="23"/>
  <c r="L508" i="23" s="1"/>
  <c r="S508" i="23"/>
  <c r="V508" i="23"/>
  <c r="K509" i="23"/>
  <c r="L509" i="23" s="1"/>
  <c r="S509" i="23"/>
  <c r="T510" i="23" s="1"/>
  <c r="U510" i="23" s="1"/>
  <c r="V509" i="23"/>
  <c r="S181" i="22"/>
  <c r="G512" i="23"/>
  <c r="AD504" i="23" s="1"/>
  <c r="X511" i="23"/>
  <c r="W511" i="23"/>
  <c r="V511" i="23"/>
  <c r="U511" i="23"/>
  <c r="S511" i="23"/>
  <c r="R511" i="23"/>
  <c r="Q511" i="23"/>
  <c r="P511" i="23"/>
  <c r="O511" i="23"/>
  <c r="N511" i="23"/>
  <c r="M511" i="23"/>
  <c r="L511" i="23"/>
  <c r="J511" i="23"/>
  <c r="I511" i="23"/>
  <c r="H511" i="23"/>
  <c r="V497" i="23"/>
  <c r="S497" i="23"/>
  <c r="K497" i="23"/>
  <c r="L497" i="23" s="1"/>
  <c r="V496" i="23"/>
  <c r="S496" i="23"/>
  <c r="P496" i="23"/>
  <c r="D492" i="23"/>
  <c r="A510" i="23" s="1"/>
  <c r="L182" i="22"/>
  <c r="B182" i="22"/>
  <c r="B155" i="22"/>
  <c r="AH23" i="33" l="1"/>
  <c r="AI23" i="33" s="1"/>
  <c r="AJ23" i="33" s="1"/>
  <c r="A497" i="23"/>
  <c r="A501" i="23"/>
  <c r="A505" i="23"/>
  <c r="A509" i="23"/>
  <c r="A498" i="23"/>
  <c r="A502" i="23"/>
  <c r="A506" i="23"/>
  <c r="A496" i="23"/>
  <c r="A504" i="23"/>
  <c r="A499" i="23"/>
  <c r="A503" i="23"/>
  <c r="A507" i="23"/>
  <c r="A500" i="23"/>
  <c r="A508" i="23"/>
  <c r="W1726" i="23"/>
  <c r="P1727" i="23" s="1"/>
  <c r="Q1727" i="23" s="1"/>
  <c r="T507" i="23"/>
  <c r="T827" i="23"/>
  <c r="T989" i="23"/>
  <c r="T962" i="23"/>
  <c r="AK28" i="33"/>
  <c r="AH42" i="33"/>
  <c r="AI42" i="33" s="1"/>
  <c r="AJ42" i="33" s="1"/>
  <c r="AK27" i="33"/>
  <c r="AI28" i="33"/>
  <c r="AJ28" i="33" s="1"/>
  <c r="AG49" i="33"/>
  <c r="AK49" i="33" s="1"/>
  <c r="AK37" i="33"/>
  <c r="AH37" i="33"/>
  <c r="AI37" i="33" s="1"/>
  <c r="AJ37" i="33" s="1"/>
  <c r="AF25" i="33"/>
  <c r="AG25" i="33" s="1"/>
  <c r="AH25" i="33" s="1"/>
  <c r="AI25" i="33" s="1"/>
  <c r="AJ25" i="33" s="1"/>
  <c r="AH36" i="33"/>
  <c r="AI36" i="33" s="1"/>
  <c r="AJ36" i="33" s="1"/>
  <c r="AE16" i="33"/>
  <c r="AF16" i="33" s="1"/>
  <c r="AG24" i="33"/>
  <c r="AK24" i="33" s="1"/>
  <c r="AG22" i="33"/>
  <c r="AK22" i="33" s="1"/>
  <c r="AH38" i="33"/>
  <c r="AI38" i="33" s="1"/>
  <c r="AJ38" i="33" s="1"/>
  <c r="AF18" i="33"/>
  <c r="AF47" i="33"/>
  <c r="AG30" i="33"/>
  <c r="AK30" i="33" s="1"/>
  <c r="AF44" i="33"/>
  <c r="AG44" i="33" s="1"/>
  <c r="AK44" i="33" s="1"/>
  <c r="AH39" i="33"/>
  <c r="AI39" i="33" s="1"/>
  <c r="AJ39" i="33" s="1"/>
  <c r="AK39" i="33"/>
  <c r="AF41" i="33"/>
  <c r="AG41" i="33" s="1"/>
  <c r="AF21" i="33"/>
  <c r="AG21" i="33" s="1"/>
  <c r="AG17" i="33"/>
  <c r="AK17" i="33" s="1"/>
  <c r="AH46" i="33"/>
  <c r="AI46" i="33" s="1"/>
  <c r="AJ46" i="33" s="1"/>
  <c r="AE45" i="33"/>
  <c r="AF20" i="33"/>
  <c r="AH26" i="33"/>
  <c r="AI26" i="33" s="1"/>
  <c r="AJ26" i="33" s="1"/>
  <c r="AG47" i="33"/>
  <c r="AK46" i="33"/>
  <c r="AF15" i="33"/>
  <c r="AF29" i="33"/>
  <c r="AG29" i="33" s="1"/>
  <c r="AI27" i="33"/>
  <c r="AJ27" i="33" s="1"/>
  <c r="AA11" i="36"/>
  <c r="AF47" i="36"/>
  <c r="AG47" i="36" s="1"/>
  <c r="AH47" i="36" s="1"/>
  <c r="AF74" i="36"/>
  <c r="AG74" i="36" s="1"/>
  <c r="AH74" i="36" s="1"/>
  <c r="AB12" i="36"/>
  <c r="AB11" i="36" s="1"/>
  <c r="AF34" i="36"/>
  <c r="AG34" i="36" s="1"/>
  <c r="AH34" i="36" s="1"/>
  <c r="AE13" i="36"/>
  <c r="AF13" i="36" s="1"/>
  <c r="T996" i="23"/>
  <c r="T991" i="23"/>
  <c r="T988" i="23"/>
  <c r="T995" i="23"/>
  <c r="T984" i="23"/>
  <c r="T971" i="23"/>
  <c r="T968" i="23"/>
  <c r="T990" i="23"/>
  <c r="T986" i="23"/>
  <c r="T967" i="23"/>
  <c r="T964" i="23"/>
  <c r="T993" i="23"/>
  <c r="T828" i="23"/>
  <c r="T985" i="23"/>
  <c r="T966" i="23"/>
  <c r="T963" i="23"/>
  <c r="T994" i="23"/>
  <c r="T640" i="23"/>
  <c r="T847" i="23"/>
  <c r="T992" i="23"/>
  <c r="T987" i="23"/>
  <c r="T969" i="23"/>
  <c r="T825" i="23"/>
  <c r="T849" i="23"/>
  <c r="T701" i="23"/>
  <c r="T822" i="23"/>
  <c r="T854" i="23"/>
  <c r="T850" i="23"/>
  <c r="T965" i="23"/>
  <c r="T820" i="23"/>
  <c r="T970" i="23"/>
  <c r="T844" i="23"/>
  <c r="T702" i="23"/>
  <c r="T843" i="23"/>
  <c r="T636" i="23"/>
  <c r="T824" i="23"/>
  <c r="T852" i="23"/>
  <c r="T846" i="23"/>
  <c r="T823" i="23"/>
  <c r="T851" i="23"/>
  <c r="T638" i="23"/>
  <c r="T705" i="23"/>
  <c r="T848" i="23"/>
  <c r="T639" i="23"/>
  <c r="T709" i="23"/>
  <c r="T853" i="23"/>
  <c r="T523" i="23"/>
  <c r="T704" i="23"/>
  <c r="T826" i="23"/>
  <c r="T821" i="23"/>
  <c r="T699" i="23"/>
  <c r="T845" i="23"/>
  <c r="T526" i="23"/>
  <c r="T634" i="23"/>
  <c r="T708" i="23"/>
  <c r="T637" i="23"/>
  <c r="T706" i="23"/>
  <c r="T700" i="23"/>
  <c r="T633" i="23"/>
  <c r="T707" i="23"/>
  <c r="T703" i="23"/>
  <c r="T698" i="23"/>
  <c r="T530" i="23"/>
  <c r="T527" i="23"/>
  <c r="T635" i="23"/>
  <c r="T528" i="23"/>
  <c r="T505" i="23"/>
  <c r="T532" i="23"/>
  <c r="T502" i="23"/>
  <c r="T533" i="23"/>
  <c r="T529" i="23"/>
  <c r="T525" i="23"/>
  <c r="T531" i="23"/>
  <c r="T524" i="23"/>
  <c r="T508" i="23"/>
  <c r="T503" i="23"/>
  <c r="T497" i="23"/>
  <c r="T504" i="23"/>
  <c r="T500" i="23"/>
  <c r="T506" i="23"/>
  <c r="T501" i="23"/>
  <c r="T509" i="23"/>
  <c r="T499" i="23"/>
  <c r="T498" i="23"/>
  <c r="M496" i="23"/>
  <c r="N496" i="23" s="1"/>
  <c r="AH49" i="33" l="1"/>
  <c r="AI49" i="33" s="1"/>
  <c r="AJ49" i="33" s="1"/>
  <c r="AH17" i="33"/>
  <c r="AI17" i="33" s="1"/>
  <c r="AJ17" i="33" s="1"/>
  <c r="AK25" i="33"/>
  <c r="AK21" i="33"/>
  <c r="AG18" i="33"/>
  <c r="AK18" i="33" s="1"/>
  <c r="AK29" i="33"/>
  <c r="AG16" i="33"/>
  <c r="AK16" i="33" s="1"/>
  <c r="AH22" i="33"/>
  <c r="AI22" i="33" s="1"/>
  <c r="AJ22" i="33" s="1"/>
  <c r="AH44" i="33"/>
  <c r="AI44" i="33" s="1"/>
  <c r="AJ44" i="33" s="1"/>
  <c r="AH24" i="33"/>
  <c r="AI24" i="33" s="1"/>
  <c r="AJ24" i="33" s="1"/>
  <c r="AH21" i="33"/>
  <c r="AI21" i="33" s="1"/>
  <c r="AJ21" i="33" s="1"/>
  <c r="AH41" i="33"/>
  <c r="AI41" i="33" s="1"/>
  <c r="AJ41" i="33" s="1"/>
  <c r="AF45" i="33"/>
  <c r="AG45" i="33" s="1"/>
  <c r="AK45" i="33" s="1"/>
  <c r="AH29" i="33"/>
  <c r="AI29" i="33" s="1"/>
  <c r="AJ29" i="33" s="1"/>
  <c r="AH30" i="33"/>
  <c r="AI30" i="33" s="1"/>
  <c r="AJ30" i="33" s="1"/>
  <c r="AG15" i="33"/>
  <c r="AK41" i="33"/>
  <c r="AH47" i="33"/>
  <c r="AI47" i="33" s="1"/>
  <c r="AJ47" i="33" s="1"/>
  <c r="AK47" i="33"/>
  <c r="AG20" i="33"/>
  <c r="AK20" i="33" s="1"/>
  <c r="AG13" i="36"/>
  <c r="AH13" i="36" s="1"/>
  <c r="AC12" i="36"/>
  <c r="U1524" i="23"/>
  <c r="R1525" i="23"/>
  <c r="J496" i="23"/>
  <c r="H497" i="23"/>
  <c r="O496" i="23"/>
  <c r="R496" i="23"/>
  <c r="AH18" i="33" l="1"/>
  <c r="AI18" i="33" s="1"/>
  <c r="AJ18" i="33" s="1"/>
  <c r="AH15" i="33"/>
  <c r="AI15" i="33" s="1"/>
  <c r="AJ15" i="33" s="1"/>
  <c r="AK15" i="33"/>
  <c r="AH16" i="33"/>
  <c r="AI16" i="33" s="1"/>
  <c r="AJ16" i="33" s="1"/>
  <c r="AH45" i="33"/>
  <c r="AI45" i="33" s="1"/>
  <c r="AJ45" i="33" s="1"/>
  <c r="AH20" i="33"/>
  <c r="AI20" i="33" s="1"/>
  <c r="AJ20" i="33" s="1"/>
  <c r="AC11" i="36"/>
  <c r="AE12" i="36"/>
  <c r="U1525" i="23"/>
  <c r="R1526" i="23"/>
  <c r="U1526" i="23" s="1"/>
  <c r="W496" i="23"/>
  <c r="P497" i="23" s="1"/>
  <c r="Q497" i="23" s="1"/>
  <c r="U496" i="23"/>
  <c r="R497" i="23"/>
  <c r="AE11" i="36" l="1"/>
  <c r="AD12" i="36"/>
  <c r="U497" i="23"/>
  <c r="W497" i="23" s="1"/>
  <c r="P498" i="23" s="1"/>
  <c r="Q498" i="23" s="1"/>
  <c r="R498" i="23"/>
  <c r="U498" i="23" s="1"/>
  <c r="AG79" i="36" l="1"/>
  <c r="AD11" i="36"/>
  <c r="AD3" i="36"/>
  <c r="W498" i="23"/>
  <c r="P499" i="23" s="1"/>
  <c r="Q499" i="23" s="1"/>
  <c r="U1711" i="23" l="1"/>
  <c r="R1712" i="23"/>
  <c r="U1712" i="23" l="1"/>
  <c r="R1713" i="23"/>
  <c r="U1713" i="23" l="1"/>
  <c r="R1714" i="23"/>
  <c r="U1714" i="23" l="1"/>
  <c r="U509" i="23" l="1"/>
  <c r="K412" i="23" l="1"/>
  <c r="L412" i="23" s="1"/>
  <c r="S412" i="23"/>
  <c r="V412" i="23"/>
  <c r="K413" i="23"/>
  <c r="L413" i="23" s="1"/>
  <c r="S413" i="23"/>
  <c r="V413" i="23"/>
  <c r="S414" i="23"/>
  <c r="V414" i="23"/>
  <c r="S415" i="23"/>
  <c r="V415" i="23"/>
  <c r="S416" i="23"/>
  <c r="V416" i="23"/>
  <c r="S417" i="23"/>
  <c r="V417" i="23"/>
  <c r="K418" i="23"/>
  <c r="L418" i="23" s="1"/>
  <c r="S418" i="23"/>
  <c r="V418" i="23"/>
  <c r="S419" i="23"/>
  <c r="V419" i="23"/>
  <c r="S420" i="23"/>
  <c r="V420" i="23"/>
  <c r="K421" i="23"/>
  <c r="L421" i="23" s="1"/>
  <c r="S421" i="23"/>
  <c r="V421" i="23"/>
  <c r="S422" i="23"/>
  <c r="V422" i="23"/>
  <c r="K423" i="23"/>
  <c r="L423" i="23" s="1"/>
  <c r="S423" i="23"/>
  <c r="V423" i="23"/>
  <c r="K424" i="23"/>
  <c r="L424" i="23" s="1"/>
  <c r="S424" i="23"/>
  <c r="V424" i="23"/>
  <c r="K425" i="23"/>
  <c r="L425" i="23" s="1"/>
  <c r="S425" i="23"/>
  <c r="V425" i="23"/>
  <c r="K426" i="23"/>
  <c r="L426" i="23" s="1"/>
  <c r="S426" i="23"/>
  <c r="T427" i="23" s="1"/>
  <c r="V426" i="23"/>
  <c r="G415" i="23"/>
  <c r="S140" i="22"/>
  <c r="B144" i="22"/>
  <c r="L142" i="22"/>
  <c r="B142" i="22"/>
  <c r="J141" i="22"/>
  <c r="L141" i="22" s="1"/>
  <c r="B141" i="22"/>
  <c r="K329" i="23"/>
  <c r="L329" i="23" s="1"/>
  <c r="S329" i="23"/>
  <c r="T330" i="23" s="1"/>
  <c r="V329" i="23"/>
  <c r="G327" i="23"/>
  <c r="P327" i="23" s="1"/>
  <c r="X342" i="23"/>
  <c r="W342" i="23"/>
  <c r="V342" i="23"/>
  <c r="U342" i="23"/>
  <c r="S342" i="23"/>
  <c r="R342" i="23"/>
  <c r="Q342" i="23"/>
  <c r="P342" i="23"/>
  <c r="O342" i="23"/>
  <c r="N342" i="23"/>
  <c r="M342" i="23"/>
  <c r="L342" i="23"/>
  <c r="J342" i="23"/>
  <c r="I342" i="23"/>
  <c r="H342" i="23"/>
  <c r="F339" i="23"/>
  <c r="V328" i="23"/>
  <c r="S328" i="23"/>
  <c r="K328" i="23"/>
  <c r="L328" i="23" s="1"/>
  <c r="V327" i="23"/>
  <c r="S327" i="23"/>
  <c r="D323" i="23"/>
  <c r="S115" i="22"/>
  <c r="J117" i="22"/>
  <c r="B117" i="22"/>
  <c r="S308" i="23"/>
  <c r="V308" i="23"/>
  <c r="K309" i="23"/>
  <c r="L309" i="23" s="1"/>
  <c r="S309" i="23"/>
  <c r="V309" i="23"/>
  <c r="K310" i="23"/>
  <c r="L310" i="23" s="1"/>
  <c r="S310" i="23"/>
  <c r="V310" i="23"/>
  <c r="K311" i="23"/>
  <c r="L311" i="23" s="1"/>
  <c r="S311" i="23"/>
  <c r="V311" i="23"/>
  <c r="K312" i="23"/>
  <c r="L312" i="23" s="1"/>
  <c r="S312" i="23"/>
  <c r="V312" i="23"/>
  <c r="K313" i="23"/>
  <c r="L313" i="23" s="1"/>
  <c r="S313" i="23"/>
  <c r="V313" i="23"/>
  <c r="K314" i="23"/>
  <c r="L314" i="23" s="1"/>
  <c r="S314" i="23"/>
  <c r="V314" i="23"/>
  <c r="S315" i="23"/>
  <c r="V315" i="23"/>
  <c r="K316" i="23"/>
  <c r="L316" i="23" s="1"/>
  <c r="K317" i="23"/>
  <c r="L317" i="23" s="1"/>
  <c r="S110" i="22"/>
  <c r="B111" i="22"/>
  <c r="S287" i="23"/>
  <c r="V287" i="23"/>
  <c r="K288" i="23"/>
  <c r="L288" i="23" s="1"/>
  <c r="S288" i="23"/>
  <c r="V288" i="23"/>
  <c r="K289" i="23"/>
  <c r="L289" i="23" s="1"/>
  <c r="S289" i="23"/>
  <c r="V289" i="23"/>
  <c r="K290" i="23"/>
  <c r="L290" i="23" s="1"/>
  <c r="S290" i="23"/>
  <c r="V290" i="23"/>
  <c r="S291" i="23"/>
  <c r="V291" i="23"/>
  <c r="K292" i="23"/>
  <c r="L292" i="23" s="1"/>
  <c r="S292" i="23"/>
  <c r="V292" i="23"/>
  <c r="S293" i="23"/>
  <c r="V293" i="23"/>
  <c r="K294" i="23"/>
  <c r="L294" i="23" s="1"/>
  <c r="K295" i="23"/>
  <c r="L295" i="23" s="1"/>
  <c r="B106" i="22"/>
  <c r="B96" i="22"/>
  <c r="B88" i="22"/>
  <c r="K199" i="23"/>
  <c r="L199" i="23" s="1"/>
  <c r="S199" i="23"/>
  <c r="V199" i="23"/>
  <c r="S200" i="23"/>
  <c r="V200" i="23"/>
  <c r="S201" i="23"/>
  <c r="V201" i="23"/>
  <c r="K202" i="23"/>
  <c r="L202" i="23" s="1"/>
  <c r="S202" i="23"/>
  <c r="V202" i="23"/>
  <c r="K203" i="23"/>
  <c r="L203" i="23" s="1"/>
  <c r="S203" i="23"/>
  <c r="V203" i="23"/>
  <c r="S204" i="23"/>
  <c r="V204" i="23"/>
  <c r="S205" i="23"/>
  <c r="V205" i="23"/>
  <c r="K206" i="23"/>
  <c r="L206" i="23" s="1"/>
  <c r="K207" i="23"/>
  <c r="L207" i="23" s="1"/>
  <c r="K208" i="23"/>
  <c r="L208" i="23" s="1"/>
  <c r="S208" i="23"/>
  <c r="T209" i="23" s="1"/>
  <c r="V208" i="23"/>
  <c r="S77" i="22"/>
  <c r="B78" i="22"/>
  <c r="S177" i="23"/>
  <c r="V177" i="23"/>
  <c r="S178" i="23"/>
  <c r="V178" i="23"/>
  <c r="K179" i="23"/>
  <c r="L179" i="23" s="1"/>
  <c r="S179" i="23"/>
  <c r="V179" i="23"/>
  <c r="K180" i="23"/>
  <c r="L180" i="23" s="1"/>
  <c r="S180" i="23"/>
  <c r="V180" i="23"/>
  <c r="K181" i="23"/>
  <c r="L181" i="23" s="1"/>
  <c r="S181" i="23"/>
  <c r="V181" i="23"/>
  <c r="K182" i="23"/>
  <c r="L182" i="23" s="1"/>
  <c r="S182" i="23"/>
  <c r="V182" i="23"/>
  <c r="K183" i="23"/>
  <c r="L183" i="23" s="1"/>
  <c r="S183" i="23"/>
  <c r="V183" i="23"/>
  <c r="K184" i="23"/>
  <c r="L184" i="23" s="1"/>
  <c r="S184" i="23"/>
  <c r="V184" i="23"/>
  <c r="K185" i="23"/>
  <c r="L185" i="23" s="1"/>
  <c r="S185" i="23"/>
  <c r="V185" i="23"/>
  <c r="K186" i="23"/>
  <c r="L186" i="23" s="1"/>
  <c r="S186" i="23"/>
  <c r="T187" i="23" s="1"/>
  <c r="U187" i="23" s="1"/>
  <c r="V186" i="23"/>
  <c r="V176" i="23"/>
  <c r="S176" i="23"/>
  <c r="K176" i="23"/>
  <c r="L176" i="23" s="1"/>
  <c r="X188" i="23"/>
  <c r="W188" i="23"/>
  <c r="V188" i="23"/>
  <c r="U188" i="23"/>
  <c r="S188" i="23"/>
  <c r="R188" i="23"/>
  <c r="Q188" i="23"/>
  <c r="P188" i="23"/>
  <c r="O188" i="23"/>
  <c r="N188" i="23"/>
  <c r="M188" i="23"/>
  <c r="L188" i="23"/>
  <c r="J188" i="23"/>
  <c r="I188" i="23"/>
  <c r="H188" i="23"/>
  <c r="G189" i="23"/>
  <c r="AD178" i="23" s="1"/>
  <c r="V175" i="23"/>
  <c r="S175" i="23"/>
  <c r="P175" i="23"/>
  <c r="D171" i="23"/>
  <c r="S74" i="22"/>
  <c r="B75" i="22"/>
  <c r="B44" i="22"/>
  <c r="S61" i="23"/>
  <c r="V61" i="23"/>
  <c r="K62" i="23"/>
  <c r="L62" i="23" s="1"/>
  <c r="S62" i="23"/>
  <c r="V62" i="23"/>
  <c r="S63" i="23"/>
  <c r="V63" i="23"/>
  <c r="K64" i="23"/>
  <c r="L64" i="23" s="1"/>
  <c r="S64" i="23"/>
  <c r="V64" i="23"/>
  <c r="S65" i="23"/>
  <c r="V65" i="23"/>
  <c r="S66" i="23"/>
  <c r="V66" i="23"/>
  <c r="S67" i="23"/>
  <c r="V67" i="23"/>
  <c r="K68" i="23"/>
  <c r="L68" i="23" s="1"/>
  <c r="S68" i="23"/>
  <c r="V68" i="23"/>
  <c r="K69" i="23"/>
  <c r="L69" i="23" s="1"/>
  <c r="S69" i="23"/>
  <c r="V69" i="23"/>
  <c r="S70" i="23"/>
  <c r="V70" i="23"/>
  <c r="K71" i="23"/>
  <c r="L71" i="23" s="1"/>
  <c r="S71" i="23"/>
  <c r="V71" i="23"/>
  <c r="K72" i="23"/>
  <c r="L72" i="23" s="1"/>
  <c r="S72" i="23"/>
  <c r="V72" i="23"/>
  <c r="K73" i="23"/>
  <c r="L73" i="23" s="1"/>
  <c r="S73" i="23"/>
  <c r="V73" i="23"/>
  <c r="S74" i="23"/>
  <c r="V74" i="23"/>
  <c r="K75" i="23"/>
  <c r="L75" i="23" s="1"/>
  <c r="S75" i="23"/>
  <c r="V75" i="23"/>
  <c r="K76" i="23"/>
  <c r="L76" i="23" s="1"/>
  <c r="S76" i="23"/>
  <c r="T77" i="23" s="1"/>
  <c r="V76" i="23"/>
  <c r="V60" i="23"/>
  <c r="S60" i="23"/>
  <c r="K60" i="23"/>
  <c r="L60" i="23" s="1"/>
  <c r="S30" i="22"/>
  <c r="B35" i="22"/>
  <c r="B34" i="22"/>
  <c r="G343" i="23" l="1"/>
  <c r="AD328" i="23" s="1"/>
  <c r="A331" i="23"/>
  <c r="A333" i="23"/>
  <c r="F340" i="23"/>
  <c r="V339" i="23"/>
  <c r="S339" i="23"/>
  <c r="T339" i="23" s="1"/>
  <c r="U339" i="23" s="1"/>
  <c r="T328" i="23"/>
  <c r="A328" i="23"/>
  <c r="A334" i="23"/>
  <c r="A338" i="23"/>
  <c r="A329" i="23"/>
  <c r="A335" i="23"/>
  <c r="A330" i="23"/>
  <c r="A336" i="23"/>
  <c r="A332" i="23"/>
  <c r="A337" i="23"/>
  <c r="A327" i="23"/>
  <c r="A179" i="23"/>
  <c r="A183" i="23"/>
  <c r="A175" i="23"/>
  <c r="A182" i="23"/>
  <c r="A176" i="23"/>
  <c r="A180" i="23"/>
  <c r="A184" i="23"/>
  <c r="A178" i="23"/>
  <c r="A186" i="23"/>
  <c r="A177" i="23"/>
  <c r="A181" i="23"/>
  <c r="A185" i="23"/>
  <c r="T413" i="23"/>
  <c r="T293" i="23"/>
  <c r="T416" i="23"/>
  <c r="T181" i="23"/>
  <c r="T312" i="23"/>
  <c r="T418" i="23"/>
  <c r="T414" i="23"/>
  <c r="T425" i="23"/>
  <c r="T422" i="23"/>
  <c r="T182" i="23"/>
  <c r="T313" i="23"/>
  <c r="T424" i="23"/>
  <c r="T421" i="23"/>
  <c r="T419" i="23"/>
  <c r="T426" i="23"/>
  <c r="T415" i="23"/>
  <c r="T423" i="23"/>
  <c r="T420" i="23"/>
  <c r="T417" i="23"/>
  <c r="T314" i="23"/>
  <c r="T309" i="23"/>
  <c r="T183" i="23"/>
  <c r="T184" i="23"/>
  <c r="T203" i="23"/>
  <c r="T310" i="23"/>
  <c r="T311" i="23"/>
  <c r="T329" i="23"/>
  <c r="T292" i="23"/>
  <c r="T289" i="23"/>
  <c r="T291" i="23"/>
  <c r="M327" i="23"/>
  <c r="N327" i="23" s="1"/>
  <c r="T204" i="23"/>
  <c r="T201" i="23"/>
  <c r="T290" i="23"/>
  <c r="T315" i="23"/>
  <c r="T288" i="23"/>
  <c r="T186" i="23"/>
  <c r="T180" i="23"/>
  <c r="T200" i="23"/>
  <c r="T185" i="23"/>
  <c r="T205" i="23"/>
  <c r="T202" i="23"/>
  <c r="T178" i="23"/>
  <c r="T177" i="23"/>
  <c r="T176" i="23"/>
  <c r="T179" i="23"/>
  <c r="T75" i="23"/>
  <c r="T69" i="23"/>
  <c r="T70" i="23"/>
  <c r="M175" i="23"/>
  <c r="N175" i="23" s="1"/>
  <c r="H176" i="23" s="1"/>
  <c r="M176" i="23" s="1"/>
  <c r="T66" i="23"/>
  <c r="T61" i="23"/>
  <c r="T73" i="23"/>
  <c r="T62" i="23"/>
  <c r="T63" i="23"/>
  <c r="T76" i="23"/>
  <c r="T71" i="23"/>
  <c r="T64" i="23"/>
  <c r="T72" i="23"/>
  <c r="T67" i="23"/>
  <c r="T65" i="23"/>
  <c r="T74" i="23"/>
  <c r="T68" i="23"/>
  <c r="V340" i="23" l="1"/>
  <c r="S340" i="23"/>
  <c r="A340" i="23" s="1"/>
  <c r="A339" i="23"/>
  <c r="H328" i="23"/>
  <c r="O327" i="23"/>
  <c r="J327" i="23"/>
  <c r="R327" i="23"/>
  <c r="O175" i="23"/>
  <c r="J175" i="23"/>
  <c r="R175" i="23"/>
  <c r="R176" i="23" s="1"/>
  <c r="U176" i="23" s="1"/>
  <c r="T340" i="23" l="1"/>
  <c r="U340" i="23" s="1"/>
  <c r="T341" i="23"/>
  <c r="U341" i="23" s="1"/>
  <c r="U327" i="23"/>
  <c r="W327" i="23"/>
  <c r="P328" i="23" s="1"/>
  <c r="Q328" i="23" s="1"/>
  <c r="R328" i="23"/>
  <c r="U175" i="23"/>
  <c r="W175" i="23"/>
  <c r="P176" i="23" s="1"/>
  <c r="Q176" i="23" s="1"/>
  <c r="W176" i="23" s="1"/>
  <c r="P177" i="23" s="1"/>
  <c r="Q177" i="23" s="1"/>
  <c r="U328" i="23" l="1"/>
  <c r="W328" i="23" s="1"/>
  <c r="P329" i="23" s="1"/>
  <c r="Q329" i="23" s="1"/>
  <c r="R329" i="23"/>
  <c r="U329" i="23" s="1"/>
  <c r="W329" i="23" l="1"/>
  <c r="P330" i="23" s="1"/>
  <c r="Q330" i="23" s="1"/>
  <c r="B14" i="22" l="1"/>
  <c r="G1256" i="23" l="1"/>
  <c r="S1404" i="23" l="1"/>
  <c r="V1404" i="23"/>
  <c r="K1405" i="23"/>
  <c r="L1405" i="23" s="1"/>
  <c r="S1405" i="23"/>
  <c r="V1405" i="23"/>
  <c r="K1406" i="23"/>
  <c r="L1406" i="23" s="1"/>
  <c r="S1406" i="23"/>
  <c r="V1406" i="23"/>
  <c r="S1407" i="23"/>
  <c r="V1407" i="23"/>
  <c r="K1408" i="23"/>
  <c r="L1408" i="23" s="1"/>
  <c r="S1408" i="23"/>
  <c r="V1408" i="23"/>
  <c r="S1409" i="23"/>
  <c r="V1409" i="23"/>
  <c r="S1410" i="23"/>
  <c r="V1410" i="23"/>
  <c r="K1411" i="23"/>
  <c r="L1411" i="23" s="1"/>
  <c r="S1411" i="23"/>
  <c r="V1411" i="23"/>
  <c r="S1412" i="23"/>
  <c r="V1412" i="23"/>
  <c r="S1413" i="23"/>
  <c r="V1413" i="23"/>
  <c r="K1414" i="23"/>
  <c r="L1414" i="23" s="1"/>
  <c r="S1414" i="23"/>
  <c r="V1414" i="23"/>
  <c r="S1415" i="23"/>
  <c r="V1415" i="23"/>
  <c r="K1416" i="23"/>
  <c r="L1416" i="23" s="1"/>
  <c r="S1416" i="23"/>
  <c r="T1417" i="23" s="1"/>
  <c r="V1416" i="23"/>
  <c r="G1402" i="23"/>
  <c r="T1414" i="23" l="1"/>
  <c r="T1410" i="23"/>
  <c r="T1408" i="23"/>
  <c r="T1405" i="23"/>
  <c r="T1413" i="23"/>
  <c r="T1407" i="23"/>
  <c r="T1411" i="23"/>
  <c r="T1415" i="23"/>
  <c r="T1412" i="23"/>
  <c r="T1416" i="23"/>
  <c r="T1409" i="23"/>
  <c r="T1406" i="23"/>
  <c r="B383" i="22" l="1"/>
  <c r="B431" i="22" l="1"/>
  <c r="B439" i="22"/>
  <c r="B556" i="22"/>
  <c r="K914" i="23"/>
  <c r="L914" i="23" s="1"/>
  <c r="S914" i="23"/>
  <c r="V914" i="23"/>
  <c r="K915" i="23"/>
  <c r="L915" i="23" s="1"/>
  <c r="S915" i="23"/>
  <c r="V915" i="23"/>
  <c r="K916" i="23"/>
  <c r="L916" i="23" s="1"/>
  <c r="S916" i="23"/>
  <c r="V916" i="23"/>
  <c r="S917" i="23"/>
  <c r="V917" i="23"/>
  <c r="K918" i="23"/>
  <c r="L918" i="23" s="1"/>
  <c r="S918" i="23"/>
  <c r="V918" i="23"/>
  <c r="K919" i="23"/>
  <c r="L919" i="23" s="1"/>
  <c r="S919" i="23"/>
  <c r="V919" i="23"/>
  <c r="K920" i="23"/>
  <c r="L920" i="23" s="1"/>
  <c r="S920" i="23"/>
  <c r="V920" i="23"/>
  <c r="K921" i="23"/>
  <c r="L921" i="23" s="1"/>
  <c r="S921" i="23"/>
  <c r="T922" i="23" s="1"/>
  <c r="V921" i="23"/>
  <c r="G928" i="23"/>
  <c r="AD919" i="23" s="1"/>
  <c r="A927" i="23"/>
  <c r="V913" i="23"/>
  <c r="S913" i="23"/>
  <c r="K913" i="23"/>
  <c r="L913" i="23" s="1"/>
  <c r="V912" i="23"/>
  <c r="S912" i="23"/>
  <c r="P912" i="23"/>
  <c r="D908" i="23"/>
  <c r="G867" i="23"/>
  <c r="A914" i="23" l="1"/>
  <c r="A918" i="23"/>
  <c r="A922" i="23"/>
  <c r="A913" i="23"/>
  <c r="A917" i="23"/>
  <c r="A921" i="23"/>
  <c r="A915" i="23"/>
  <c r="A919" i="23"/>
  <c r="A912" i="23"/>
  <c r="A916" i="23"/>
  <c r="A920" i="23"/>
  <c r="T918" i="23"/>
  <c r="T915" i="23"/>
  <c r="T920" i="23"/>
  <c r="T919" i="23"/>
  <c r="T916" i="23"/>
  <c r="T921" i="23"/>
  <c r="T914" i="23"/>
  <c r="T917" i="23"/>
  <c r="T913" i="23"/>
  <c r="M912" i="23"/>
  <c r="N912" i="23" s="1"/>
  <c r="J912" i="23" l="1"/>
  <c r="O912" i="23"/>
  <c r="H913" i="23"/>
  <c r="M913" i="23" s="1"/>
  <c r="R912" i="23"/>
  <c r="W912" i="23" l="1"/>
  <c r="P913" i="23" s="1"/>
  <c r="Q913" i="23" s="1"/>
  <c r="U912" i="23"/>
  <c r="R913" i="23"/>
  <c r="R914" i="23" s="1"/>
  <c r="U914" i="23" l="1"/>
  <c r="R915" i="23"/>
  <c r="U913" i="23"/>
  <c r="W913" i="23" s="1"/>
  <c r="P914" i="23" s="1"/>
  <c r="Q914" i="23" s="1"/>
  <c r="W914" i="23" l="1"/>
  <c r="P915" i="23" s="1"/>
  <c r="Q915" i="23" s="1"/>
  <c r="U915" i="23"/>
  <c r="R916" i="23"/>
  <c r="U916" i="23" s="1"/>
  <c r="B275" i="22"/>
  <c r="V411" i="23"/>
  <c r="S411" i="23"/>
  <c r="T412" i="23" s="1"/>
  <c r="K866" i="23"/>
  <c r="L866" i="23" s="1"/>
  <c r="S866" i="23"/>
  <c r="V866" i="23"/>
  <c r="S867" i="23"/>
  <c r="V867" i="23"/>
  <c r="S868" i="23"/>
  <c r="V868" i="23"/>
  <c r="S869" i="23"/>
  <c r="V869" i="23"/>
  <c r="S870" i="23"/>
  <c r="V870" i="23"/>
  <c r="S871" i="23"/>
  <c r="V871" i="23"/>
  <c r="S872" i="23"/>
  <c r="V872" i="23"/>
  <c r="K873" i="23"/>
  <c r="L873" i="23" s="1"/>
  <c r="S873" i="23"/>
  <c r="V873" i="23"/>
  <c r="K874" i="23"/>
  <c r="L874" i="23" s="1"/>
  <c r="S874" i="23"/>
  <c r="V874" i="23"/>
  <c r="K875" i="23"/>
  <c r="L875" i="23" s="1"/>
  <c r="S875" i="23"/>
  <c r="V875" i="23"/>
  <c r="K876" i="23"/>
  <c r="L876" i="23" s="1"/>
  <c r="S876" i="23"/>
  <c r="V876" i="23"/>
  <c r="K877" i="23"/>
  <c r="L877" i="23" s="1"/>
  <c r="S877" i="23"/>
  <c r="V877" i="23"/>
  <c r="K878" i="23"/>
  <c r="L878" i="23" s="1"/>
  <c r="S878" i="23"/>
  <c r="T879" i="23" s="1"/>
  <c r="V878" i="23"/>
  <c r="S566" i="23"/>
  <c r="V566" i="23"/>
  <c r="S567" i="23"/>
  <c r="V567" i="23"/>
  <c r="S568" i="23"/>
  <c r="V568" i="23"/>
  <c r="S569" i="23"/>
  <c r="V569" i="23"/>
  <c r="S570" i="23"/>
  <c r="V570" i="23"/>
  <c r="K571" i="23"/>
  <c r="L571" i="23" s="1"/>
  <c r="S571" i="23"/>
  <c r="V571" i="23"/>
  <c r="K572" i="23"/>
  <c r="L572" i="23" s="1"/>
  <c r="S572" i="23"/>
  <c r="V572" i="23"/>
  <c r="K573" i="23"/>
  <c r="L573" i="23" s="1"/>
  <c r="S573" i="23"/>
  <c r="V573" i="23"/>
  <c r="S574" i="23"/>
  <c r="V574" i="23"/>
  <c r="S575" i="23"/>
  <c r="V575" i="23"/>
  <c r="K576" i="23"/>
  <c r="L576" i="23" s="1"/>
  <c r="S576" i="23"/>
  <c r="V576" i="23"/>
  <c r="S577" i="23"/>
  <c r="T578" i="23" s="1"/>
  <c r="V577" i="23"/>
  <c r="X856" i="23"/>
  <c r="W856" i="23"/>
  <c r="V856" i="23"/>
  <c r="U856" i="23"/>
  <c r="S856" i="23"/>
  <c r="R856" i="23"/>
  <c r="Q856" i="23"/>
  <c r="P856" i="23"/>
  <c r="O856" i="23"/>
  <c r="N856" i="23"/>
  <c r="M856" i="23"/>
  <c r="L856" i="23"/>
  <c r="J856" i="23"/>
  <c r="I856" i="23"/>
  <c r="H856" i="23"/>
  <c r="V841" i="23"/>
  <c r="S841" i="23"/>
  <c r="T842" i="23" s="1"/>
  <c r="K841" i="23"/>
  <c r="L841" i="23" s="1"/>
  <c r="V840" i="23"/>
  <c r="S840" i="23"/>
  <c r="P840" i="23"/>
  <c r="G857" i="23"/>
  <c r="AD848" i="23" s="1"/>
  <c r="D836" i="23"/>
  <c r="A855" i="23" s="1"/>
  <c r="B143" i="22"/>
  <c r="B269" i="22"/>
  <c r="B235" i="22"/>
  <c r="S465" i="22"/>
  <c r="B421" i="22"/>
  <c r="B411" i="22"/>
  <c r="K590" i="23"/>
  <c r="L590" i="23" s="1"/>
  <c r="S590" i="23"/>
  <c r="V590" i="23"/>
  <c r="K591" i="23"/>
  <c r="L591" i="23" s="1"/>
  <c r="S591" i="23"/>
  <c r="V591" i="23"/>
  <c r="S592" i="23"/>
  <c r="V592" i="23"/>
  <c r="K593" i="23"/>
  <c r="L593" i="23" s="1"/>
  <c r="S593" i="23"/>
  <c r="V593" i="23"/>
  <c r="K594" i="23"/>
  <c r="L594" i="23" s="1"/>
  <c r="S594" i="23"/>
  <c r="V594" i="23"/>
  <c r="K595" i="23"/>
  <c r="L595" i="23" s="1"/>
  <c r="S595" i="23"/>
  <c r="V595" i="23"/>
  <c r="K596" i="23"/>
  <c r="L596" i="23" s="1"/>
  <c r="S596" i="23"/>
  <c r="V596" i="23"/>
  <c r="K597" i="23"/>
  <c r="L597" i="23" s="1"/>
  <c r="S597" i="23"/>
  <c r="V597" i="23"/>
  <c r="K598" i="23"/>
  <c r="L598" i="23" s="1"/>
  <c r="S598" i="23"/>
  <c r="V598" i="23"/>
  <c r="K599" i="23"/>
  <c r="L599" i="23" s="1"/>
  <c r="S599" i="23"/>
  <c r="T600" i="23" s="1"/>
  <c r="V599" i="23"/>
  <c r="S211" i="22"/>
  <c r="X602" i="23"/>
  <c r="W602" i="23"/>
  <c r="V602" i="23"/>
  <c r="U602" i="23"/>
  <c r="S602" i="23"/>
  <c r="R602" i="23"/>
  <c r="Q602" i="23"/>
  <c r="P602" i="23"/>
  <c r="O602" i="23"/>
  <c r="N602" i="23"/>
  <c r="M602" i="23"/>
  <c r="L602" i="23"/>
  <c r="J602" i="23"/>
  <c r="I602" i="23"/>
  <c r="H602" i="23"/>
  <c r="V589" i="23"/>
  <c r="S589" i="23"/>
  <c r="K589" i="23"/>
  <c r="L589" i="23" s="1"/>
  <c r="V588" i="23"/>
  <c r="S588" i="23"/>
  <c r="P588" i="23"/>
  <c r="D584" i="23"/>
  <c r="S262" i="23"/>
  <c r="V262" i="23"/>
  <c r="S263" i="23"/>
  <c r="V263" i="23"/>
  <c r="K264" i="23"/>
  <c r="L264" i="23" s="1"/>
  <c r="S264" i="23"/>
  <c r="V264" i="23"/>
  <c r="S265" i="23"/>
  <c r="V265" i="23"/>
  <c r="K266" i="23"/>
  <c r="L266" i="23" s="1"/>
  <c r="S266" i="23"/>
  <c r="V266" i="23"/>
  <c r="S267" i="23"/>
  <c r="V267" i="23"/>
  <c r="K268" i="23"/>
  <c r="L268" i="23" s="1"/>
  <c r="S268" i="23"/>
  <c r="V268" i="23"/>
  <c r="S269" i="23"/>
  <c r="V269" i="23"/>
  <c r="S270" i="23"/>
  <c r="V270" i="23"/>
  <c r="K271" i="23"/>
  <c r="L271" i="23" s="1"/>
  <c r="S271" i="23"/>
  <c r="V271" i="23"/>
  <c r="S272" i="23"/>
  <c r="T273" i="23" s="1"/>
  <c r="V272" i="23"/>
  <c r="B212" i="22"/>
  <c r="A841" i="23" l="1"/>
  <c r="A845" i="23"/>
  <c r="A849" i="23"/>
  <c r="A853" i="23"/>
  <c r="A848" i="23"/>
  <c r="A842" i="23"/>
  <c r="A846" i="23"/>
  <c r="A850" i="23"/>
  <c r="A854" i="23"/>
  <c r="A843" i="23"/>
  <c r="A847" i="23"/>
  <c r="A851" i="23"/>
  <c r="A840" i="23"/>
  <c r="A844" i="23"/>
  <c r="A852" i="23"/>
  <c r="A589" i="23"/>
  <c r="A593" i="23"/>
  <c r="A597" i="23"/>
  <c r="A588" i="23"/>
  <c r="A592" i="23"/>
  <c r="A596" i="23"/>
  <c r="A600" i="23"/>
  <c r="A590" i="23"/>
  <c r="A594" i="23"/>
  <c r="A598" i="23"/>
  <c r="A591" i="23"/>
  <c r="A595" i="23"/>
  <c r="A599" i="23"/>
  <c r="AB275" i="22"/>
  <c r="T870" i="23"/>
  <c r="T868" i="23"/>
  <c r="T875" i="23"/>
  <c r="T872" i="23"/>
  <c r="T869" i="23"/>
  <c r="T573" i="23"/>
  <c r="T876" i="23"/>
  <c r="T878" i="23"/>
  <c r="T575" i="23"/>
  <c r="W915" i="23"/>
  <c r="P916" i="23" s="1"/>
  <c r="Q916" i="23" s="1"/>
  <c r="W916" i="23" s="1"/>
  <c r="P917" i="23" s="1"/>
  <c r="Q917" i="23" s="1"/>
  <c r="T877" i="23"/>
  <c r="T873" i="23"/>
  <c r="T874" i="23"/>
  <c r="T871" i="23"/>
  <c r="T867" i="23"/>
  <c r="T567" i="23"/>
  <c r="T571" i="23"/>
  <c r="T569" i="23"/>
  <c r="T576" i="23"/>
  <c r="T577" i="23"/>
  <c r="T572" i="23"/>
  <c r="T574" i="23"/>
  <c r="T568" i="23"/>
  <c r="T570" i="23"/>
  <c r="T841" i="23"/>
  <c r="M840" i="23"/>
  <c r="N840" i="23" s="1"/>
  <c r="T594" i="23"/>
  <c r="T599" i="23"/>
  <c r="T595" i="23"/>
  <c r="T592" i="23"/>
  <c r="T597" i="23"/>
  <c r="T268" i="23"/>
  <c r="T598" i="23"/>
  <c r="T593" i="23"/>
  <c r="T596" i="23"/>
  <c r="T272" i="23"/>
  <c r="T267" i="23"/>
  <c r="T590" i="23"/>
  <c r="T591" i="23"/>
  <c r="T270" i="23"/>
  <c r="T265" i="23"/>
  <c r="T589" i="23"/>
  <c r="M588" i="23"/>
  <c r="N588" i="23" s="1"/>
  <c r="T271" i="23"/>
  <c r="T266" i="23"/>
  <c r="T263" i="23"/>
  <c r="G603" i="23"/>
  <c r="AD592" i="23" s="1"/>
  <c r="T269" i="23"/>
  <c r="T264" i="23"/>
  <c r="B204" i="22"/>
  <c r="G261" i="23"/>
  <c r="G939" i="23"/>
  <c r="S285" i="22"/>
  <c r="G1545" i="23"/>
  <c r="B418" i="22"/>
  <c r="B95" i="22"/>
  <c r="B287" i="22"/>
  <c r="S261" i="23"/>
  <c r="T262" i="23" s="1"/>
  <c r="V261" i="23"/>
  <c r="B94" i="22"/>
  <c r="H841" i="23" l="1"/>
  <c r="O840" i="23"/>
  <c r="J840" i="23"/>
  <c r="R840" i="23"/>
  <c r="R588" i="23"/>
  <c r="H589" i="23"/>
  <c r="J588" i="23"/>
  <c r="O588" i="23"/>
  <c r="B286" i="22"/>
  <c r="G1667" i="23"/>
  <c r="U840" i="23" l="1"/>
  <c r="W840" i="23"/>
  <c r="P841" i="23" s="1"/>
  <c r="Q841" i="23" s="1"/>
  <c r="R841" i="23"/>
  <c r="R842" i="23" s="1"/>
  <c r="W588" i="23"/>
  <c r="P589" i="23" s="1"/>
  <c r="Q589" i="23" s="1"/>
  <c r="U588" i="23"/>
  <c r="R589" i="23"/>
  <c r="S486" i="22"/>
  <c r="G1650" i="23"/>
  <c r="AD1645" i="23" s="1"/>
  <c r="A1649" i="23"/>
  <c r="A1648" i="23"/>
  <c r="V1646" i="23"/>
  <c r="S1646" i="23"/>
  <c r="T1647" i="23" s="1"/>
  <c r="K1646" i="23"/>
  <c r="L1646" i="23" s="1"/>
  <c r="V1645" i="23"/>
  <c r="S1645" i="23"/>
  <c r="K1645" i="23"/>
  <c r="L1645" i="23" s="1"/>
  <c r="V1644" i="23"/>
  <c r="S1644" i="23"/>
  <c r="K1644" i="23"/>
  <c r="L1644" i="23" s="1"/>
  <c r="V1643" i="23"/>
  <c r="S1643" i="23"/>
  <c r="V1642" i="23"/>
  <c r="S1642" i="23"/>
  <c r="V1641" i="23"/>
  <c r="S1641" i="23"/>
  <c r="V1640" i="23"/>
  <c r="S1640" i="23"/>
  <c r="K1640" i="23"/>
  <c r="L1640" i="23" s="1"/>
  <c r="V1639" i="23"/>
  <c r="S1639" i="23"/>
  <c r="K1639" i="23"/>
  <c r="L1639" i="23" s="1"/>
  <c r="V1638" i="23"/>
  <c r="S1638" i="23"/>
  <c r="K1638" i="23"/>
  <c r="L1638" i="23" s="1"/>
  <c r="V1637" i="23"/>
  <c r="S1637" i="23"/>
  <c r="K1637" i="23"/>
  <c r="L1637" i="23" s="1"/>
  <c r="V1636" i="23"/>
  <c r="S1636" i="23"/>
  <c r="K1636" i="23"/>
  <c r="L1636" i="23" s="1"/>
  <c r="V1635" i="23"/>
  <c r="S1635" i="23"/>
  <c r="P1635" i="23"/>
  <c r="D1631" i="23"/>
  <c r="S1235" i="23"/>
  <c r="V1235" i="23"/>
  <c r="K1236" i="23"/>
  <c r="L1236" i="23" s="1"/>
  <c r="S1236" i="23"/>
  <c r="V1236" i="23"/>
  <c r="K1237" i="23"/>
  <c r="L1237" i="23" s="1"/>
  <c r="S1237" i="23"/>
  <c r="V1237" i="23"/>
  <c r="K1238" i="23"/>
  <c r="L1238" i="23" s="1"/>
  <c r="S1238" i="23"/>
  <c r="V1238" i="23"/>
  <c r="K1239" i="23"/>
  <c r="L1239" i="23" s="1"/>
  <c r="S1239" i="23"/>
  <c r="V1239" i="23"/>
  <c r="K1240" i="23"/>
  <c r="L1240" i="23" s="1"/>
  <c r="S1240" i="23"/>
  <c r="V1240" i="23"/>
  <c r="K1241" i="23"/>
  <c r="L1241" i="23" s="1"/>
  <c r="S1241" i="23"/>
  <c r="V1241" i="23"/>
  <c r="K1242" i="23"/>
  <c r="L1242" i="23" s="1"/>
  <c r="S1242" i="23"/>
  <c r="V1242" i="23"/>
  <c r="K1243" i="23"/>
  <c r="L1243" i="23" s="1"/>
  <c r="S1243" i="23"/>
  <c r="V1243" i="23"/>
  <c r="K1244" i="23"/>
  <c r="L1244" i="23" s="1"/>
  <c r="S1244" i="23"/>
  <c r="T1245" i="23" s="1"/>
  <c r="V1244" i="23"/>
  <c r="S374" i="22"/>
  <c r="G1247" i="23"/>
  <c r="AD1237" i="23" s="1"/>
  <c r="A1246" i="23"/>
  <c r="V1234" i="23"/>
  <c r="S1234" i="23"/>
  <c r="K1234" i="23"/>
  <c r="L1234" i="23" s="1"/>
  <c r="V1233" i="23"/>
  <c r="S1233" i="23"/>
  <c r="P1233" i="23"/>
  <c r="D1229" i="23"/>
  <c r="T1636" i="23" l="1"/>
  <c r="T1638" i="23"/>
  <c r="A1638" i="23"/>
  <c r="A1642" i="23"/>
  <c r="A1646" i="23"/>
  <c r="A1639" i="23"/>
  <c r="A1643" i="23"/>
  <c r="A1647" i="23"/>
  <c r="A1637" i="23"/>
  <c r="A1641" i="23"/>
  <c r="A1645" i="23"/>
  <c r="A1636" i="23"/>
  <c r="A1640" i="23"/>
  <c r="A1644" i="23"/>
  <c r="A1635" i="23"/>
  <c r="A1234" i="23"/>
  <c r="A1238" i="23"/>
  <c r="A1242" i="23"/>
  <c r="A1245" i="23"/>
  <c r="A1237" i="23"/>
  <c r="A1241" i="23"/>
  <c r="A1233" i="23"/>
  <c r="A1235" i="23"/>
  <c r="A1239" i="23"/>
  <c r="A1243" i="23"/>
  <c r="A1236" i="23"/>
  <c r="A1240" i="23"/>
  <c r="A1244" i="23"/>
  <c r="T1642" i="23"/>
  <c r="T1641" i="23"/>
  <c r="T1640" i="23"/>
  <c r="T1645" i="23"/>
  <c r="T1644" i="23"/>
  <c r="U842" i="23"/>
  <c r="R843" i="23"/>
  <c r="U843" i="23" s="1"/>
  <c r="T1240" i="23"/>
  <c r="T1637" i="23"/>
  <c r="T1639" i="23"/>
  <c r="U1639" i="23" s="1"/>
  <c r="T1643" i="23"/>
  <c r="T1646" i="23"/>
  <c r="T1239" i="23"/>
  <c r="T1243" i="23"/>
  <c r="U841" i="23"/>
  <c r="W841" i="23" s="1"/>
  <c r="P842" i="23" s="1"/>
  <c r="Q842" i="23" s="1"/>
  <c r="T1236" i="23"/>
  <c r="T1242" i="23"/>
  <c r="T1237" i="23"/>
  <c r="T1244" i="23"/>
  <c r="T1238" i="23"/>
  <c r="T1241" i="23"/>
  <c r="T1235" i="23"/>
  <c r="U589" i="23"/>
  <c r="W589" i="23" s="1"/>
  <c r="P590" i="23" s="1"/>
  <c r="Q590" i="23" s="1"/>
  <c r="R590" i="23"/>
  <c r="M1635" i="23"/>
  <c r="N1635" i="23" s="1"/>
  <c r="T1234" i="23"/>
  <c r="M1233" i="23"/>
  <c r="N1233" i="23" s="1"/>
  <c r="W842" i="23" l="1"/>
  <c r="P843" i="23" s="1"/>
  <c r="Q843" i="23" s="1"/>
  <c r="W843" i="23" s="1"/>
  <c r="P844" i="23" s="1"/>
  <c r="Q844" i="23" s="1"/>
  <c r="U590" i="23"/>
  <c r="R591" i="23"/>
  <c r="U591" i="23" s="1"/>
  <c r="R1635" i="23"/>
  <c r="J1635" i="23"/>
  <c r="H1637" i="23"/>
  <c r="H1636" i="23"/>
  <c r="O1635" i="23"/>
  <c r="O1233" i="23"/>
  <c r="J1233" i="23"/>
  <c r="H1234" i="23"/>
  <c r="R1233" i="23"/>
  <c r="W590" i="23" l="1"/>
  <c r="P591" i="23" s="1"/>
  <c r="Q591" i="23" s="1"/>
  <c r="W591" i="23" s="1"/>
  <c r="P592" i="23" s="1"/>
  <c r="Q592" i="23" s="1"/>
  <c r="W1635" i="23"/>
  <c r="P1636" i="23" s="1"/>
  <c r="Q1636" i="23" s="1"/>
  <c r="U1635" i="23"/>
  <c r="R1636" i="23"/>
  <c r="U1233" i="23"/>
  <c r="W1233" i="23"/>
  <c r="P1234" i="23" s="1"/>
  <c r="Q1234" i="23" s="1"/>
  <c r="R1234" i="23"/>
  <c r="U1234" i="23" s="1"/>
  <c r="U1636" i="23" l="1"/>
  <c r="W1636" i="23" s="1"/>
  <c r="P1637" i="23" s="1"/>
  <c r="Q1637" i="23" s="1"/>
  <c r="R1637" i="23"/>
  <c r="W1234" i="23"/>
  <c r="P1235" i="23" s="1"/>
  <c r="Q1235" i="23" s="1"/>
  <c r="U1637" i="23" l="1"/>
  <c r="R1638" i="23"/>
  <c r="U1638" i="23" s="1"/>
  <c r="W1637" i="23" l="1"/>
  <c r="P1638" i="23" s="1"/>
  <c r="Q1638" i="23" s="1"/>
  <c r="W1638" i="23" s="1"/>
  <c r="P1639" i="23" s="1"/>
  <c r="Q1639" i="23" s="1"/>
  <c r="W1639" i="23" s="1"/>
  <c r="P1640" i="23" s="1"/>
  <c r="Q1640" i="23" s="1"/>
  <c r="U1243" i="23" l="1"/>
  <c r="R1244" i="23"/>
  <c r="R1245" i="23" s="1"/>
  <c r="U1245" i="23" s="1"/>
  <c r="U1244" i="23" l="1"/>
  <c r="T34" i="33" l="1"/>
  <c r="T13" i="33"/>
  <c r="T12" i="33" l="1"/>
  <c r="X12" i="33" s="1"/>
  <c r="S331" i="22" l="1"/>
  <c r="G1098" i="23"/>
  <c r="AD1091" i="23" s="1"/>
  <c r="A1097" i="23"/>
  <c r="V1087" i="23"/>
  <c r="S1087" i="23"/>
  <c r="T1088" i="23" s="1"/>
  <c r="U1088" i="23" s="1"/>
  <c r="K1087" i="23"/>
  <c r="L1087" i="23" s="1"/>
  <c r="V1086" i="23"/>
  <c r="S1086" i="23"/>
  <c r="P1086" i="23"/>
  <c r="D1082" i="23"/>
  <c r="A1096" i="23" s="1"/>
  <c r="A1087" i="23" l="1"/>
  <c r="A1091" i="23"/>
  <c r="A1095" i="23"/>
  <c r="A1088" i="23"/>
  <c r="A1092" i="23"/>
  <c r="A1086" i="23"/>
  <c r="A1089" i="23"/>
  <c r="A1093" i="23"/>
  <c r="A1090" i="23"/>
  <c r="A1094" i="23"/>
  <c r="T1087" i="23"/>
  <c r="M1086" i="23"/>
  <c r="N1086" i="23" s="1"/>
  <c r="H1087" i="23" l="1"/>
  <c r="O1086" i="23"/>
  <c r="R1086" i="23"/>
  <c r="J1086" i="23"/>
  <c r="R1087" i="23" l="1"/>
  <c r="U1087" i="23" s="1"/>
  <c r="U1086" i="23"/>
  <c r="W1086" i="23"/>
  <c r="P1087" i="23" s="1"/>
  <c r="Q1087" i="23" s="1"/>
  <c r="W1087" i="23" l="1"/>
  <c r="P1088" i="23" s="1"/>
  <c r="Q1088" i="23" s="1"/>
  <c r="W1088" i="23" s="1"/>
  <c r="P1089" i="23" s="1"/>
  <c r="Q1089" i="23" s="1"/>
  <c r="W1089" i="23" s="1"/>
  <c r="P1090" i="23" s="1"/>
  <c r="Q1090" i="23" s="1"/>
  <c r="R1090" i="23" s="1"/>
  <c r="D19" i="33"/>
  <c r="B19" i="33"/>
  <c r="G566" i="23"/>
  <c r="B681" i="22"/>
  <c r="C681" i="22"/>
  <c r="W623" i="22"/>
  <c r="X623" i="22" s="1"/>
  <c r="U1090" i="23" l="1"/>
  <c r="R1091" i="23"/>
  <c r="Y623" i="22"/>
  <c r="W622" i="22"/>
  <c r="X622" i="22" s="1"/>
  <c r="S280" i="22"/>
  <c r="G1657" i="23"/>
  <c r="Z280" i="22" l="1"/>
  <c r="AB280" i="22" s="1"/>
  <c r="W1090" i="23"/>
  <c r="P1091" i="23" s="1"/>
  <c r="Q1091" i="23" s="1"/>
  <c r="AB331" i="22"/>
  <c r="R1092" i="23"/>
  <c r="U1091" i="23"/>
  <c r="Z623" i="22"/>
  <c r="AA623" i="22"/>
  <c r="Y622" i="22"/>
  <c r="G61" i="23"/>
  <c r="G522" i="23"/>
  <c r="B256" i="22"/>
  <c r="B33" i="22"/>
  <c r="K1169" i="23"/>
  <c r="L1169" i="23" s="1"/>
  <c r="S1169" i="23"/>
  <c r="V1169" i="23"/>
  <c r="K1170" i="23"/>
  <c r="L1170" i="23" s="1"/>
  <c r="S1170" i="23"/>
  <c r="V1170" i="23"/>
  <c r="K1171" i="23"/>
  <c r="L1171" i="23" s="1"/>
  <c r="S1171" i="23"/>
  <c r="V1171" i="23"/>
  <c r="S1172" i="23"/>
  <c r="V1172" i="23"/>
  <c r="K1173" i="23"/>
  <c r="L1173" i="23" s="1"/>
  <c r="S1173" i="23"/>
  <c r="V1173" i="23"/>
  <c r="S1174" i="23"/>
  <c r="V1174" i="23"/>
  <c r="K1175" i="23"/>
  <c r="L1175" i="23" s="1"/>
  <c r="S1175" i="23"/>
  <c r="V1175" i="23"/>
  <c r="K1176" i="23"/>
  <c r="L1176" i="23" s="1"/>
  <c r="S1176" i="23"/>
  <c r="V1176" i="23"/>
  <c r="K1177" i="23"/>
  <c r="L1177" i="23" s="1"/>
  <c r="S1177" i="23"/>
  <c r="T1178" i="23" s="1"/>
  <c r="V1177" i="23"/>
  <c r="S355" i="22"/>
  <c r="AC280" i="22" l="1"/>
  <c r="AD280" i="22" s="1"/>
  <c r="AE280" i="22" s="1"/>
  <c r="AF280" i="22" s="1"/>
  <c r="W1091" i="23"/>
  <c r="P1092" i="23" s="1"/>
  <c r="Q1092" i="23" s="1"/>
  <c r="U1092" i="23"/>
  <c r="R1093" i="23"/>
  <c r="T1175" i="23"/>
  <c r="T1173" i="23"/>
  <c r="T1170" i="23"/>
  <c r="T1177" i="23"/>
  <c r="T1176" i="23"/>
  <c r="T1171" i="23"/>
  <c r="T1172" i="23"/>
  <c r="T1174" i="23"/>
  <c r="AB623" i="22"/>
  <c r="AA622" i="22"/>
  <c r="Z622" i="22"/>
  <c r="B200" i="22"/>
  <c r="K1480" i="23"/>
  <c r="L1480" i="23" s="1"/>
  <c r="S1480" i="23"/>
  <c r="V1480" i="23"/>
  <c r="K1481" i="23"/>
  <c r="L1481" i="23" s="1"/>
  <c r="S1481" i="23"/>
  <c r="V1481" i="23"/>
  <c r="K1482" i="23"/>
  <c r="L1482" i="23" s="1"/>
  <c r="S1482" i="23"/>
  <c r="V1482" i="23"/>
  <c r="S1483" i="23"/>
  <c r="V1483" i="23"/>
  <c r="K1484" i="23"/>
  <c r="L1484" i="23" s="1"/>
  <c r="S1484" i="23"/>
  <c r="V1484" i="23"/>
  <c r="K1485" i="23"/>
  <c r="L1485" i="23" s="1"/>
  <c r="S1485" i="23"/>
  <c r="V1485" i="23"/>
  <c r="K1486" i="23"/>
  <c r="L1486" i="23" s="1"/>
  <c r="S1486" i="23"/>
  <c r="T1487" i="23" s="1"/>
  <c r="V1486" i="23"/>
  <c r="V1479" i="23"/>
  <c r="S1479" i="23"/>
  <c r="T1480" i="23" s="1"/>
  <c r="K1479" i="23"/>
  <c r="L1479" i="23" s="1"/>
  <c r="AG280" i="22" l="1"/>
  <c r="AH280" i="22" s="1"/>
  <c r="AD623" i="22"/>
  <c r="AE623" i="22" s="1"/>
  <c r="W1092" i="23"/>
  <c r="P1093" i="23" s="1"/>
  <c r="Q1093" i="23" s="1"/>
  <c r="R1094" i="23"/>
  <c r="U1093" i="23"/>
  <c r="T1484" i="23"/>
  <c r="T1481" i="23"/>
  <c r="T1486" i="23"/>
  <c r="T1483" i="23"/>
  <c r="T1485" i="23"/>
  <c r="T1482" i="23"/>
  <c r="AB622" i="22"/>
  <c r="U1170" i="23"/>
  <c r="R1171" i="23"/>
  <c r="U1171" i="23" s="1"/>
  <c r="AI280" i="22" l="1"/>
  <c r="AJ280" i="22" s="1"/>
  <c r="AD622" i="22"/>
  <c r="AF623" i="22"/>
  <c r="W1093" i="23"/>
  <c r="P1094" i="23" s="1"/>
  <c r="Q1094" i="23" s="1"/>
  <c r="U1094" i="23"/>
  <c r="R1095" i="23"/>
  <c r="AK697" i="22"/>
  <c r="AK688" i="22"/>
  <c r="AK681" i="22"/>
  <c r="AG623" i="22" l="1"/>
  <c r="AH623" i="22" s="1"/>
  <c r="AE622" i="22"/>
  <c r="W1094" i="23"/>
  <c r="P1095" i="23" s="1"/>
  <c r="Q1095" i="23" s="1"/>
  <c r="U1095" i="23"/>
  <c r="R1096" i="23"/>
  <c r="U1096" i="23" s="1"/>
  <c r="AK683" i="22"/>
  <c r="AK623" i="22"/>
  <c r="U1481" i="23"/>
  <c r="R1482" i="23"/>
  <c r="U1482" i="23" s="1"/>
  <c r="AI623" i="22" l="1"/>
  <c r="AJ623" i="22" s="1"/>
  <c r="AF622" i="22"/>
  <c r="AG622" i="22" s="1"/>
  <c r="W1095" i="23"/>
  <c r="P1096" i="23" s="1"/>
  <c r="Q1096" i="23" s="1"/>
  <c r="W1096" i="23" s="1"/>
  <c r="AK556" i="22"/>
  <c r="AH622" i="22" l="1"/>
  <c r="S482" i="22"/>
  <c r="AI622" i="22" l="1"/>
  <c r="AJ622" i="22" s="1"/>
  <c r="G141" i="23"/>
  <c r="S238" i="22"/>
  <c r="K726" i="23"/>
  <c r="L726" i="23" s="1"/>
  <c r="S726" i="23"/>
  <c r="V726" i="23"/>
  <c r="K727" i="23"/>
  <c r="L727" i="23" s="1"/>
  <c r="S727" i="23"/>
  <c r="V727" i="23"/>
  <c r="K728" i="23"/>
  <c r="L728" i="23" s="1"/>
  <c r="S728" i="23"/>
  <c r="V728" i="23"/>
  <c r="K729" i="23"/>
  <c r="L729" i="23" s="1"/>
  <c r="S729" i="23"/>
  <c r="V729" i="23"/>
  <c r="K730" i="23"/>
  <c r="L730" i="23" s="1"/>
  <c r="S730" i="23"/>
  <c r="V730" i="23"/>
  <c r="K731" i="23"/>
  <c r="L731" i="23" s="1"/>
  <c r="S731" i="23"/>
  <c r="T732" i="23" s="1"/>
  <c r="V731" i="23"/>
  <c r="G719" i="23"/>
  <c r="G734" i="23" s="1"/>
  <c r="AD725" i="23" s="1"/>
  <c r="X733" i="23"/>
  <c r="W733" i="23"/>
  <c r="V733" i="23"/>
  <c r="U733" i="23"/>
  <c r="S733" i="23"/>
  <c r="R733" i="23"/>
  <c r="Q733" i="23"/>
  <c r="P733" i="23"/>
  <c r="O733" i="23"/>
  <c r="N733" i="23"/>
  <c r="M733" i="23"/>
  <c r="L733" i="23"/>
  <c r="J733" i="23"/>
  <c r="I733" i="23"/>
  <c r="H733" i="23"/>
  <c r="V725" i="23"/>
  <c r="S725" i="23"/>
  <c r="K725" i="23"/>
  <c r="L725" i="23" s="1"/>
  <c r="R725" i="23" s="1"/>
  <c r="V724" i="23"/>
  <c r="S724" i="23"/>
  <c r="K724" i="23"/>
  <c r="L724" i="23" s="1"/>
  <c r="V723" i="23"/>
  <c r="S723" i="23"/>
  <c r="K723" i="23"/>
  <c r="L723" i="23" s="1"/>
  <c r="V722" i="23"/>
  <c r="S722" i="23"/>
  <c r="K722" i="23"/>
  <c r="L722" i="23" s="1"/>
  <c r="V721" i="23"/>
  <c r="S721" i="23"/>
  <c r="K721" i="23"/>
  <c r="L721" i="23" s="1"/>
  <c r="V720" i="23"/>
  <c r="S720" i="23"/>
  <c r="K720" i="23"/>
  <c r="L720" i="23" s="1"/>
  <c r="V719" i="23"/>
  <c r="S719" i="23"/>
  <c r="P719" i="23"/>
  <c r="D715" i="23"/>
  <c r="A732" i="23" s="1"/>
  <c r="S228" i="22"/>
  <c r="T720" i="23" l="1"/>
  <c r="A720" i="23"/>
  <c r="A724" i="23"/>
  <c r="A728" i="23"/>
  <c r="A719" i="23"/>
  <c r="A731" i="23"/>
  <c r="A721" i="23"/>
  <c r="A725" i="23"/>
  <c r="A729" i="23"/>
  <c r="A723" i="23"/>
  <c r="A722" i="23"/>
  <c r="A726" i="23"/>
  <c r="A730" i="23"/>
  <c r="A727" i="23"/>
  <c r="T730" i="23"/>
  <c r="T731" i="23"/>
  <c r="T727" i="23"/>
  <c r="T724" i="23"/>
  <c r="U724" i="23" s="1"/>
  <c r="T722" i="23"/>
  <c r="T728" i="23"/>
  <c r="T725" i="23"/>
  <c r="U725" i="23" s="1"/>
  <c r="T729" i="23"/>
  <c r="T726" i="23"/>
  <c r="T723" i="23"/>
  <c r="T721" i="23"/>
  <c r="R726" i="23"/>
  <c r="M719" i="23"/>
  <c r="N719" i="23" s="1"/>
  <c r="U726" i="23" l="1"/>
  <c r="R727" i="23"/>
  <c r="J719" i="23"/>
  <c r="H720" i="23"/>
  <c r="O719" i="23"/>
  <c r="R719" i="23"/>
  <c r="U727" i="23" l="1"/>
  <c r="R728" i="23"/>
  <c r="W719" i="23"/>
  <c r="P720" i="23" s="1"/>
  <c r="Q720" i="23" s="1"/>
  <c r="R720" i="23"/>
  <c r="U719" i="23"/>
  <c r="U728" i="23" l="1"/>
  <c r="R729" i="23"/>
  <c r="U720" i="23"/>
  <c r="W720" i="23" s="1"/>
  <c r="P721" i="23" s="1"/>
  <c r="Q721" i="23" s="1"/>
  <c r="R721" i="23"/>
  <c r="U729" i="23" l="1"/>
  <c r="R730" i="23"/>
  <c r="U721" i="23"/>
  <c r="R722" i="23"/>
  <c r="U730" i="23" l="1"/>
  <c r="R731" i="23"/>
  <c r="R732" i="23" s="1"/>
  <c r="U732" i="23" s="1"/>
  <c r="U722" i="23"/>
  <c r="R723" i="23"/>
  <c r="U723" i="23" s="1"/>
  <c r="AB238" i="22" s="1"/>
  <c r="W721" i="23"/>
  <c r="P722" i="23" s="1"/>
  <c r="Q722" i="23" s="1"/>
  <c r="W722" i="23" l="1"/>
  <c r="P723" i="23" s="1"/>
  <c r="Q723" i="23" s="1"/>
  <c r="W723" i="23" s="1"/>
  <c r="P724" i="23" s="1"/>
  <c r="Q724" i="23" s="1"/>
  <c r="W724" i="23" s="1"/>
  <c r="P725" i="23" s="1"/>
  <c r="Q725" i="23" s="1"/>
  <c r="W725" i="23" s="1"/>
  <c r="P726" i="23" s="1"/>
  <c r="Q726" i="23" s="1"/>
  <c r="W726" i="23" s="1"/>
  <c r="P727" i="23" s="1"/>
  <c r="Q727" i="23" s="1"/>
  <c r="W727" i="23" s="1"/>
  <c r="P728" i="23" s="1"/>
  <c r="Q728" i="23" s="1"/>
  <c r="W728" i="23" s="1"/>
  <c r="P729" i="23" s="1"/>
  <c r="Q729" i="23" s="1"/>
  <c r="W729" i="23" s="1"/>
  <c r="P730" i="23" s="1"/>
  <c r="Q730" i="23" s="1"/>
  <c r="W730" i="23" s="1"/>
  <c r="P731" i="23" s="1"/>
  <c r="Q731" i="23" s="1"/>
  <c r="U731" i="23"/>
  <c r="W731" i="23" l="1"/>
  <c r="P732" i="23" s="1"/>
  <c r="Q732" i="23" s="1"/>
  <c r="W732" i="23" s="1"/>
  <c r="K220" i="23" l="1"/>
  <c r="K221" i="23"/>
  <c r="L221" i="23" s="1"/>
  <c r="K222" i="23"/>
  <c r="L222" i="23" s="1"/>
  <c r="K223" i="23"/>
  <c r="K225" i="23"/>
  <c r="L225" i="23" s="1"/>
  <c r="K226" i="23"/>
  <c r="L226" i="23" s="1"/>
  <c r="K227" i="23"/>
  <c r="L227" i="23" s="1"/>
  <c r="K224" i="23"/>
  <c r="S82" i="22"/>
  <c r="G230" i="23"/>
  <c r="X229" i="23"/>
  <c r="W229" i="23"/>
  <c r="V229" i="23"/>
  <c r="U229" i="23"/>
  <c r="S229" i="23"/>
  <c r="R229" i="23"/>
  <c r="Q229" i="23"/>
  <c r="P229" i="23"/>
  <c r="O229" i="23"/>
  <c r="N229" i="23"/>
  <c r="M229" i="23"/>
  <c r="L229" i="23"/>
  <c r="J229" i="23"/>
  <c r="I229" i="23"/>
  <c r="H229" i="23"/>
  <c r="V227" i="23"/>
  <c r="S227" i="23"/>
  <c r="T228" i="23" s="1"/>
  <c r="F225" i="23"/>
  <c r="F226" i="23" s="1"/>
  <c r="V224" i="23"/>
  <c r="S224" i="23"/>
  <c r="V223" i="23"/>
  <c r="S223" i="23"/>
  <c r="V222" i="23"/>
  <c r="S222" i="23"/>
  <c r="V221" i="23"/>
  <c r="S221" i="23"/>
  <c r="V220" i="23"/>
  <c r="S220" i="23"/>
  <c r="AD219" i="23"/>
  <c r="V219" i="23"/>
  <c r="S219" i="23"/>
  <c r="K219" i="23"/>
  <c r="L219" i="23" s="1"/>
  <c r="V218" i="23"/>
  <c r="S218" i="23"/>
  <c r="P218" i="23"/>
  <c r="D214" i="23"/>
  <c r="A228" i="23" s="1"/>
  <c r="S136" i="22"/>
  <c r="G403" i="23"/>
  <c r="AD391" i="23" s="1"/>
  <c r="X402" i="23"/>
  <c r="W402" i="23"/>
  <c r="V402" i="23"/>
  <c r="U402" i="23"/>
  <c r="S402" i="23"/>
  <c r="R402" i="23"/>
  <c r="Q402" i="23"/>
  <c r="P402" i="23"/>
  <c r="O402" i="23"/>
  <c r="N402" i="23"/>
  <c r="M402" i="23"/>
  <c r="L402" i="23"/>
  <c r="J402" i="23"/>
  <c r="I402" i="23"/>
  <c r="H402" i="23"/>
  <c r="V392" i="23"/>
  <c r="S392" i="23"/>
  <c r="T393" i="23" s="1"/>
  <c r="U393" i="23" s="1"/>
  <c r="K392" i="23"/>
  <c r="L392" i="23" s="1"/>
  <c r="V391" i="23"/>
  <c r="S391" i="23"/>
  <c r="K391" i="23"/>
  <c r="L391" i="23" s="1"/>
  <c r="V390" i="23"/>
  <c r="S390" i="23"/>
  <c r="P390" i="23"/>
  <c r="D386" i="23"/>
  <c r="G1410" i="23"/>
  <c r="K441" i="23"/>
  <c r="L441" i="23" s="1"/>
  <c r="S441" i="23"/>
  <c r="V441" i="23"/>
  <c r="S442" i="23"/>
  <c r="V442" i="23"/>
  <c r="K443" i="23"/>
  <c r="L443" i="23" s="1"/>
  <c r="S443" i="23"/>
  <c r="V443" i="23"/>
  <c r="S444" i="23"/>
  <c r="V444" i="23"/>
  <c r="K445" i="23"/>
  <c r="L445" i="23" s="1"/>
  <c r="S445" i="23"/>
  <c r="T446" i="23" s="1"/>
  <c r="V445" i="23"/>
  <c r="K438" i="23"/>
  <c r="K439" i="23"/>
  <c r="K440" i="23"/>
  <c r="L440" i="23" s="1"/>
  <c r="S440" i="23"/>
  <c r="V440" i="23"/>
  <c r="S151" i="22"/>
  <c r="S159" i="23"/>
  <c r="V159" i="23"/>
  <c r="K160" i="23"/>
  <c r="L160" i="23" s="1"/>
  <c r="S160" i="23"/>
  <c r="V160" i="23"/>
  <c r="K161" i="23"/>
  <c r="L161" i="23" s="1"/>
  <c r="S161" i="23"/>
  <c r="V161" i="23"/>
  <c r="S162" i="23"/>
  <c r="V162" i="23"/>
  <c r="K163" i="23"/>
  <c r="L163" i="23" s="1"/>
  <c r="G159" i="23"/>
  <c r="S70" i="22"/>
  <c r="S273" i="22"/>
  <c r="G905" i="23"/>
  <c r="A904" i="23"/>
  <c r="A899" i="23"/>
  <c r="A898" i="23"/>
  <c r="A897" i="23"/>
  <c r="V895" i="23"/>
  <c r="S895" i="23"/>
  <c r="T896" i="23" s="1"/>
  <c r="V894" i="23"/>
  <c r="S894" i="23"/>
  <c r="K894" i="23"/>
  <c r="L894" i="23" s="1"/>
  <c r="V893" i="23"/>
  <c r="S893" i="23"/>
  <c r="V892" i="23"/>
  <c r="S892" i="23"/>
  <c r="V891" i="23"/>
  <c r="S891" i="23"/>
  <c r="K891" i="23"/>
  <c r="L891" i="23" s="1"/>
  <c r="V890" i="23"/>
  <c r="S890" i="23"/>
  <c r="K890" i="23"/>
  <c r="L890" i="23" s="1"/>
  <c r="V889" i="23"/>
  <c r="S889" i="23"/>
  <c r="P889" i="23"/>
  <c r="M889" i="23"/>
  <c r="D885" i="23"/>
  <c r="A392" i="23" l="1"/>
  <c r="A391" i="23"/>
  <c r="A393" i="23"/>
  <c r="A394" i="23"/>
  <c r="A395" i="23"/>
  <c r="AD896" i="23"/>
  <c r="A893" i="23"/>
  <c r="A889" i="23"/>
  <c r="A896" i="23"/>
  <c r="A890" i="23"/>
  <c r="A894" i="23"/>
  <c r="A891" i="23"/>
  <c r="A895" i="23"/>
  <c r="A892" i="23"/>
  <c r="A396" i="23"/>
  <c r="A400" i="23"/>
  <c r="A399" i="23"/>
  <c r="A397" i="23"/>
  <c r="A401" i="23"/>
  <c r="A398" i="23"/>
  <c r="A390" i="23"/>
  <c r="A219" i="23"/>
  <c r="A223" i="23"/>
  <c r="A227" i="23"/>
  <c r="A220" i="23"/>
  <c r="A224" i="23"/>
  <c r="A218" i="23"/>
  <c r="A221" i="23"/>
  <c r="A222" i="23"/>
  <c r="L220" i="23"/>
  <c r="T224" i="23"/>
  <c r="T223" i="23"/>
  <c r="T444" i="23"/>
  <c r="T392" i="23"/>
  <c r="T221" i="23"/>
  <c r="T219" i="23"/>
  <c r="S225" i="23"/>
  <c r="T225" i="23" s="1"/>
  <c r="T220" i="23"/>
  <c r="T445" i="23"/>
  <c r="T442" i="23"/>
  <c r="S226" i="23"/>
  <c r="A226" i="23" s="1"/>
  <c r="V226" i="23"/>
  <c r="M218" i="23"/>
  <c r="N218" i="23" s="1"/>
  <c r="V225" i="23"/>
  <c r="T222" i="23"/>
  <c r="M390" i="23"/>
  <c r="N390" i="23" s="1"/>
  <c r="T391" i="23"/>
  <c r="T443" i="23"/>
  <c r="T161" i="23"/>
  <c r="T441" i="23"/>
  <c r="T162" i="23"/>
  <c r="T894" i="23"/>
  <c r="T891" i="23"/>
  <c r="T160" i="23"/>
  <c r="T892" i="23"/>
  <c r="T895" i="23"/>
  <c r="T890" i="23"/>
  <c r="N889" i="23"/>
  <c r="T893" i="23"/>
  <c r="G1413" i="23"/>
  <c r="K1453" i="23"/>
  <c r="K1147" i="23"/>
  <c r="K1148" i="23"/>
  <c r="K1151" i="23"/>
  <c r="K1153" i="23"/>
  <c r="K1154" i="23"/>
  <c r="K1156" i="23"/>
  <c r="L1156" i="23" s="1"/>
  <c r="K1157" i="23"/>
  <c r="L1157" i="23" s="1"/>
  <c r="S1156" i="23"/>
  <c r="V1156" i="23"/>
  <c r="S1157" i="23"/>
  <c r="T1158" i="23" s="1"/>
  <c r="V1157" i="23"/>
  <c r="G1155" i="23"/>
  <c r="G1760" i="23"/>
  <c r="K1592" i="23"/>
  <c r="L1592" i="23" s="1"/>
  <c r="K1593" i="23"/>
  <c r="L1593" i="23" s="1"/>
  <c r="K1594" i="23"/>
  <c r="L1594" i="23" s="1"/>
  <c r="K1595" i="23"/>
  <c r="L1595" i="23" s="1"/>
  <c r="K1596" i="23"/>
  <c r="L1596" i="23" s="1"/>
  <c r="K1597" i="23"/>
  <c r="L1597" i="23" s="1"/>
  <c r="R1597" i="23" s="1"/>
  <c r="K1598" i="23"/>
  <c r="L1598" i="23" s="1"/>
  <c r="K1599" i="23"/>
  <c r="L1599" i="23" s="1"/>
  <c r="K1600" i="23"/>
  <c r="K1601" i="23"/>
  <c r="L1601" i="23" s="1"/>
  <c r="K1603" i="23"/>
  <c r="L1603" i="23" s="1"/>
  <c r="G1606" i="23"/>
  <c r="AD1600" i="23" s="1"/>
  <c r="A1605" i="23"/>
  <c r="V1603" i="23"/>
  <c r="S1603" i="23"/>
  <c r="T1604" i="23" s="1"/>
  <c r="V1602" i="23"/>
  <c r="S1602" i="23"/>
  <c r="V1601" i="23"/>
  <c r="S1601" i="23"/>
  <c r="V1600" i="23"/>
  <c r="S1600" i="23"/>
  <c r="V1599" i="23"/>
  <c r="S1599" i="23"/>
  <c r="V1598" i="23"/>
  <c r="S1598" i="23"/>
  <c r="V1597" i="23"/>
  <c r="S1597" i="23"/>
  <c r="V1596" i="23"/>
  <c r="S1596" i="23"/>
  <c r="V1595" i="23"/>
  <c r="S1595" i="23"/>
  <c r="V1594" i="23"/>
  <c r="S1594" i="23"/>
  <c r="V1593" i="23"/>
  <c r="S1593" i="23"/>
  <c r="V1592" i="23"/>
  <c r="S1592" i="23"/>
  <c r="V1591" i="23"/>
  <c r="S1591" i="23"/>
  <c r="K1591" i="23"/>
  <c r="L1591" i="23" s="1"/>
  <c r="V1590" i="23"/>
  <c r="S1590" i="23"/>
  <c r="P1590" i="23"/>
  <c r="D1586" i="23"/>
  <c r="S480" i="22"/>
  <c r="G122" i="23"/>
  <c r="K122" i="23" s="1"/>
  <c r="L122" i="23" s="1"/>
  <c r="M122" i="23" s="1"/>
  <c r="N122" i="23" s="1"/>
  <c r="S59" i="22"/>
  <c r="K442" i="23"/>
  <c r="L442" i="23" s="1"/>
  <c r="X447" i="23"/>
  <c r="W447" i="23"/>
  <c r="V447" i="23"/>
  <c r="U447" i="23"/>
  <c r="S447" i="23"/>
  <c r="R447" i="23"/>
  <c r="Q447" i="23"/>
  <c r="P447" i="23"/>
  <c r="O447" i="23"/>
  <c r="N447" i="23"/>
  <c r="M447" i="23"/>
  <c r="L447" i="23"/>
  <c r="J447" i="23"/>
  <c r="I447" i="23"/>
  <c r="H447" i="23"/>
  <c r="V439" i="23"/>
  <c r="S439" i="23"/>
  <c r="T440" i="23" s="1"/>
  <c r="V438" i="23"/>
  <c r="S438" i="23"/>
  <c r="L438" i="23"/>
  <c r="V437" i="23"/>
  <c r="S437" i="23"/>
  <c r="K437" i="23"/>
  <c r="L437" i="23" s="1"/>
  <c r="V436" i="23"/>
  <c r="S436" i="23"/>
  <c r="P436" i="23"/>
  <c r="D432" i="23"/>
  <c r="S240" i="22"/>
  <c r="K1659" i="23"/>
  <c r="K1660" i="23"/>
  <c r="K1661" i="23"/>
  <c r="K1662" i="23"/>
  <c r="K1663" i="23"/>
  <c r="K1664" i="23"/>
  <c r="K1665" i="23"/>
  <c r="K1666" i="23"/>
  <c r="K1658" i="23"/>
  <c r="A1593" i="23" l="1"/>
  <c r="A1597" i="23"/>
  <c r="A1601" i="23"/>
  <c r="A1590" i="23"/>
  <c r="A1594" i="23"/>
  <c r="A1598" i="23"/>
  <c r="A1602" i="23"/>
  <c r="A1591" i="23"/>
  <c r="A1595" i="23"/>
  <c r="A1599" i="23"/>
  <c r="A1603" i="23"/>
  <c r="A1592" i="23"/>
  <c r="A1596" i="23"/>
  <c r="A1600" i="23"/>
  <c r="A1604" i="23"/>
  <c r="O122" i="23"/>
  <c r="J122" i="23"/>
  <c r="H123" i="23"/>
  <c r="M123" i="23" s="1"/>
  <c r="N123" i="23" s="1"/>
  <c r="A445" i="23"/>
  <c r="A446" i="23"/>
  <c r="A437" i="23"/>
  <c r="A441" i="23"/>
  <c r="A436" i="23"/>
  <c r="A438" i="23"/>
  <c r="A442" i="23"/>
  <c r="A439" i="23"/>
  <c r="A443" i="23"/>
  <c r="A440" i="23"/>
  <c r="A444" i="23"/>
  <c r="A225" i="23"/>
  <c r="T1595" i="23"/>
  <c r="T226" i="23"/>
  <c r="T227" i="23"/>
  <c r="R390" i="23"/>
  <c r="R391" i="23" s="1"/>
  <c r="R392" i="23" s="1"/>
  <c r="U392" i="23" s="1"/>
  <c r="H391" i="23"/>
  <c r="J390" i="23"/>
  <c r="O390" i="23"/>
  <c r="H219" i="23"/>
  <c r="M219" i="23" s="1"/>
  <c r="O218" i="23"/>
  <c r="J218" i="23"/>
  <c r="R218" i="23"/>
  <c r="T1592" i="23"/>
  <c r="T1599" i="23"/>
  <c r="T1601" i="23"/>
  <c r="T1157" i="23"/>
  <c r="T1596" i="23"/>
  <c r="U1596" i="23" s="1"/>
  <c r="T1593" i="23"/>
  <c r="O889" i="23"/>
  <c r="J889" i="23"/>
  <c r="H890" i="23"/>
  <c r="R889" i="23"/>
  <c r="T439" i="23"/>
  <c r="T1591" i="23"/>
  <c r="T1603" i="23"/>
  <c r="T1594" i="23"/>
  <c r="T1597" i="23"/>
  <c r="U1597" i="23" s="1"/>
  <c r="T1602" i="23"/>
  <c r="M1590" i="23"/>
  <c r="N1590" i="23" s="1"/>
  <c r="T1598" i="23"/>
  <c r="T1600" i="23"/>
  <c r="T437" i="23"/>
  <c r="T438" i="23"/>
  <c r="M436" i="23"/>
  <c r="N436" i="23" s="1"/>
  <c r="G448" i="23"/>
  <c r="AD437" i="23" s="1"/>
  <c r="G1415" i="23"/>
  <c r="S248" i="22"/>
  <c r="K1070" i="23"/>
  <c r="L1070" i="23" s="1"/>
  <c r="S1070" i="23"/>
  <c r="V1070" i="23"/>
  <c r="K1071" i="23"/>
  <c r="L1071" i="23" s="1"/>
  <c r="S1071" i="23"/>
  <c r="V1071" i="23"/>
  <c r="K1072" i="23"/>
  <c r="L1072" i="23" s="1"/>
  <c r="S1072" i="23"/>
  <c r="V1072" i="23"/>
  <c r="K1073" i="23"/>
  <c r="L1073" i="23" s="1"/>
  <c r="S1073" i="23"/>
  <c r="V1073" i="23"/>
  <c r="K1074" i="23"/>
  <c r="L1074" i="23" s="1"/>
  <c r="S1074" i="23"/>
  <c r="V1074" i="23"/>
  <c r="K1075" i="23"/>
  <c r="L1075" i="23" s="1"/>
  <c r="S1075" i="23"/>
  <c r="T1076" i="23" s="1"/>
  <c r="V1075" i="23"/>
  <c r="S328" i="22"/>
  <c r="G1079" i="23"/>
  <c r="AD1072" i="23" s="1"/>
  <c r="A1078" i="23"/>
  <c r="V1069" i="23"/>
  <c r="S1069" i="23"/>
  <c r="K1069" i="23"/>
  <c r="L1069" i="23" s="1"/>
  <c r="V1068" i="23"/>
  <c r="S1068" i="23"/>
  <c r="P1068" i="23"/>
  <c r="D1064" i="23"/>
  <c r="A1077" i="23" s="1"/>
  <c r="X711" i="23"/>
  <c r="W711" i="23"/>
  <c r="V711" i="23"/>
  <c r="U711" i="23"/>
  <c r="S711" i="23"/>
  <c r="R711" i="23"/>
  <c r="Q711" i="23"/>
  <c r="P711" i="23"/>
  <c r="O711" i="23"/>
  <c r="N711" i="23"/>
  <c r="M711" i="23"/>
  <c r="L711" i="23"/>
  <c r="J711" i="23"/>
  <c r="I711" i="23"/>
  <c r="H711" i="23"/>
  <c r="V696" i="23"/>
  <c r="S696" i="23"/>
  <c r="T697" i="23" s="1"/>
  <c r="K696" i="23"/>
  <c r="L696" i="23" s="1"/>
  <c r="V695" i="23"/>
  <c r="S695" i="23"/>
  <c r="P695" i="23"/>
  <c r="D691" i="23"/>
  <c r="A710" i="23" s="1"/>
  <c r="K29" i="23"/>
  <c r="L29" i="23" s="1"/>
  <c r="S29" i="23"/>
  <c r="T30" i="23" s="1"/>
  <c r="V29" i="23"/>
  <c r="G27" i="23"/>
  <c r="G267" i="23"/>
  <c r="K1428" i="23"/>
  <c r="S472" i="22"/>
  <c r="A1069" i="23" l="1"/>
  <c r="A1073" i="23"/>
  <c r="A1068" i="23"/>
  <c r="A1070" i="23"/>
  <c r="A1074" i="23"/>
  <c r="A1071" i="23"/>
  <c r="A1075" i="23"/>
  <c r="A1072" i="23"/>
  <c r="A1076" i="23"/>
  <c r="H124" i="23"/>
  <c r="M124" i="23" s="1"/>
  <c r="N124" i="23" s="1"/>
  <c r="J123" i="23"/>
  <c r="O123" i="23"/>
  <c r="A696" i="23"/>
  <c r="A700" i="23"/>
  <c r="A704" i="23"/>
  <c r="A708" i="23"/>
  <c r="A707" i="23"/>
  <c r="A697" i="23"/>
  <c r="A701" i="23"/>
  <c r="A705" i="23"/>
  <c r="A709" i="23"/>
  <c r="A703" i="23"/>
  <c r="A698" i="23"/>
  <c r="A702" i="23"/>
  <c r="A706" i="23"/>
  <c r="A695" i="23"/>
  <c r="A699" i="23"/>
  <c r="U391" i="23"/>
  <c r="W390" i="23"/>
  <c r="P391" i="23" s="1"/>
  <c r="Q391" i="23" s="1"/>
  <c r="U390" i="23"/>
  <c r="U218" i="23"/>
  <c r="W218" i="23"/>
  <c r="P219" i="23" s="1"/>
  <c r="Q219" i="23" s="1"/>
  <c r="R219" i="23"/>
  <c r="U219" i="23" s="1"/>
  <c r="T1070" i="23"/>
  <c r="U1070" i="23" s="1"/>
  <c r="T1072" i="23"/>
  <c r="T1071" i="23"/>
  <c r="W889" i="23"/>
  <c r="P890" i="23" s="1"/>
  <c r="Q890" i="23" s="1"/>
  <c r="U889" i="23"/>
  <c r="R890" i="23"/>
  <c r="T1074" i="23"/>
  <c r="H1591" i="23"/>
  <c r="O1590" i="23"/>
  <c r="J1590" i="23"/>
  <c r="R1590" i="23"/>
  <c r="H437" i="23"/>
  <c r="O436" i="23"/>
  <c r="J436" i="23"/>
  <c r="R436" i="23"/>
  <c r="T1075" i="23"/>
  <c r="T1073" i="23"/>
  <c r="T1069" i="23"/>
  <c r="M1068" i="23"/>
  <c r="N1068" i="23" s="1"/>
  <c r="T696" i="23"/>
  <c r="M695" i="23"/>
  <c r="N695" i="23" s="1"/>
  <c r="G712" i="23"/>
  <c r="AD703" i="23" s="1"/>
  <c r="J124" i="23" l="1"/>
  <c r="O124" i="23"/>
  <c r="AB136" i="22"/>
  <c r="W391" i="23"/>
  <c r="P392" i="23" s="1"/>
  <c r="Q392" i="23" s="1"/>
  <c r="W392" i="23" s="1"/>
  <c r="P393" i="23" s="1"/>
  <c r="Q393" i="23" s="1"/>
  <c r="W393" i="23" s="1"/>
  <c r="P394" i="23" s="1"/>
  <c r="Q394" i="23" s="1"/>
  <c r="W394" i="23" s="1"/>
  <c r="P395" i="23" s="1"/>
  <c r="Q395" i="23" s="1"/>
  <c r="W395" i="23" s="1"/>
  <c r="P396" i="23" s="1"/>
  <c r="Q396" i="23" s="1"/>
  <c r="W396" i="23" s="1"/>
  <c r="P397" i="23" s="1"/>
  <c r="Q397" i="23" s="1"/>
  <c r="R397" i="23" s="1"/>
  <c r="W219" i="23"/>
  <c r="P220" i="23" s="1"/>
  <c r="Q220" i="23" s="1"/>
  <c r="U890" i="23"/>
  <c r="W890" i="23" s="1"/>
  <c r="P891" i="23" s="1"/>
  <c r="Q891" i="23" s="1"/>
  <c r="R891" i="23"/>
  <c r="U891" i="23" s="1"/>
  <c r="U1590" i="23"/>
  <c r="W1590" i="23"/>
  <c r="P1591" i="23" s="1"/>
  <c r="Q1591" i="23" s="1"/>
  <c r="R1591" i="23"/>
  <c r="U436" i="23"/>
  <c r="W436" i="23"/>
  <c r="P437" i="23" s="1"/>
  <c r="Q437" i="23" s="1"/>
  <c r="R437" i="23"/>
  <c r="U437" i="23" s="1"/>
  <c r="R1071" i="23"/>
  <c r="R1068" i="23"/>
  <c r="O1068" i="23"/>
  <c r="J1068" i="23"/>
  <c r="H1069" i="23"/>
  <c r="J695" i="23"/>
  <c r="H696" i="23"/>
  <c r="O695" i="23"/>
  <c r="R695" i="23"/>
  <c r="K1620" i="23"/>
  <c r="L1620" i="23" s="1"/>
  <c r="S1620" i="23"/>
  <c r="V1620" i="23"/>
  <c r="S1621" i="23"/>
  <c r="V1621" i="23"/>
  <c r="K1622" i="23"/>
  <c r="L1622" i="23" s="1"/>
  <c r="S1622" i="23"/>
  <c r="V1622" i="23"/>
  <c r="K1623" i="23"/>
  <c r="L1623" i="23" s="1"/>
  <c r="S1623" i="23"/>
  <c r="V1623" i="23"/>
  <c r="K1624" i="23"/>
  <c r="L1624" i="23" s="1"/>
  <c r="S1624" i="23"/>
  <c r="T1625" i="23" s="1"/>
  <c r="V1624" i="23"/>
  <c r="K1618" i="23"/>
  <c r="L1618" i="23" s="1"/>
  <c r="G1628" i="23"/>
  <c r="AD1623" i="23" s="1"/>
  <c r="A1627" i="23"/>
  <c r="A1626" i="23"/>
  <c r="V1619" i="23"/>
  <c r="S1619" i="23"/>
  <c r="V1618" i="23"/>
  <c r="S1618" i="23"/>
  <c r="V1617" i="23"/>
  <c r="S1617" i="23"/>
  <c r="K1617" i="23"/>
  <c r="L1617" i="23" s="1"/>
  <c r="V1616" i="23"/>
  <c r="S1616" i="23"/>
  <c r="K1616" i="23"/>
  <c r="L1616" i="23" s="1"/>
  <c r="V1615" i="23"/>
  <c r="S1615" i="23"/>
  <c r="K1615" i="23"/>
  <c r="L1615" i="23" s="1"/>
  <c r="V1614" i="23"/>
  <c r="S1614" i="23"/>
  <c r="K1614" i="23"/>
  <c r="L1614" i="23" s="1"/>
  <c r="V1613" i="23"/>
  <c r="S1613" i="23"/>
  <c r="P1613" i="23"/>
  <c r="D1609" i="23"/>
  <c r="S128" i="22"/>
  <c r="X382" i="23"/>
  <c r="W382" i="23"/>
  <c r="V382" i="23"/>
  <c r="U382" i="23"/>
  <c r="S382" i="23"/>
  <c r="R382" i="23"/>
  <c r="Q382" i="23"/>
  <c r="P382" i="23"/>
  <c r="O382" i="23"/>
  <c r="N382" i="23"/>
  <c r="M382" i="23"/>
  <c r="L382" i="23"/>
  <c r="J382" i="23"/>
  <c r="I382" i="23"/>
  <c r="H382" i="23"/>
  <c r="V371" i="23"/>
  <c r="S371" i="23"/>
  <c r="T372" i="23" s="1"/>
  <c r="U372" i="23" s="1"/>
  <c r="K371" i="23"/>
  <c r="L371" i="23" s="1"/>
  <c r="V370" i="23"/>
  <c r="S370" i="23"/>
  <c r="K370" i="23"/>
  <c r="L370" i="23" s="1"/>
  <c r="V369" i="23"/>
  <c r="S369" i="23"/>
  <c r="D365" i="23"/>
  <c r="G420" i="23"/>
  <c r="S391" i="22"/>
  <c r="G1301" i="23"/>
  <c r="AD1296" i="23" s="1"/>
  <c r="A1300" i="23"/>
  <c r="A1299" i="23"/>
  <c r="A1298" i="23"/>
  <c r="V1296" i="23"/>
  <c r="S1296" i="23"/>
  <c r="T1297" i="23" s="1"/>
  <c r="K1296" i="23"/>
  <c r="L1296" i="23" s="1"/>
  <c r="V1295" i="23"/>
  <c r="S1295" i="23"/>
  <c r="V1294" i="23"/>
  <c r="S1294" i="23"/>
  <c r="K1294" i="23"/>
  <c r="L1294" i="23" s="1"/>
  <c r="V1293" i="23"/>
  <c r="S1293" i="23"/>
  <c r="V1292" i="23"/>
  <c r="S1292" i="23"/>
  <c r="P1292" i="23"/>
  <c r="D1288" i="23"/>
  <c r="G1129" i="23"/>
  <c r="K1129" i="23" s="1"/>
  <c r="L1129" i="23" s="1"/>
  <c r="M1129" i="23" s="1"/>
  <c r="N1129" i="23" s="1"/>
  <c r="S1577" i="23"/>
  <c r="V1577" i="23"/>
  <c r="K1578" i="23"/>
  <c r="L1578" i="23" s="1"/>
  <c r="S1578" i="23"/>
  <c r="V1578" i="23"/>
  <c r="K1579" i="23"/>
  <c r="L1579" i="23" s="1"/>
  <c r="S1579" i="23"/>
  <c r="V1579" i="23"/>
  <c r="K1580" i="23"/>
  <c r="L1580" i="23" s="1"/>
  <c r="S1580" i="23"/>
  <c r="T1581" i="23" s="1"/>
  <c r="V1580" i="23"/>
  <c r="V1576" i="23"/>
  <c r="S1576" i="23"/>
  <c r="K1576" i="23"/>
  <c r="L1576" i="23" s="1"/>
  <c r="K1569" i="23"/>
  <c r="L1569" i="23" s="1"/>
  <c r="K1570" i="23"/>
  <c r="L1570" i="23" s="1"/>
  <c r="K1571" i="23"/>
  <c r="L1571" i="23" s="1"/>
  <c r="K1572" i="23"/>
  <c r="L1572" i="23" s="1"/>
  <c r="K1573" i="23"/>
  <c r="L1573" i="23" s="1"/>
  <c r="K1574" i="23"/>
  <c r="L1574" i="23" s="1"/>
  <c r="S1575" i="23"/>
  <c r="V1575" i="23"/>
  <c r="K1575" i="23"/>
  <c r="L1575" i="23" s="1"/>
  <c r="G1583" i="23"/>
  <c r="AD1577" i="23" s="1"/>
  <c r="A1582" i="23"/>
  <c r="V1574" i="23"/>
  <c r="S1574" i="23"/>
  <c r="V1573" i="23"/>
  <c r="S1573" i="23"/>
  <c r="V1572" i="23"/>
  <c r="S1572" i="23"/>
  <c r="V1571" i="23"/>
  <c r="S1571" i="23"/>
  <c r="V1570" i="23"/>
  <c r="S1570" i="23"/>
  <c r="V1569" i="23"/>
  <c r="S1569" i="23"/>
  <c r="V1568" i="23"/>
  <c r="S1568" i="23"/>
  <c r="K1568" i="23"/>
  <c r="L1568" i="23" s="1"/>
  <c r="V1567" i="23"/>
  <c r="S1567" i="23"/>
  <c r="P1567" i="23"/>
  <c r="D1563" i="23"/>
  <c r="A1581" i="23" s="1"/>
  <c r="A1615" i="23" l="1"/>
  <c r="A1619" i="23"/>
  <c r="A1623" i="23"/>
  <c r="A1616" i="23"/>
  <c r="A1620" i="23"/>
  <c r="A1624" i="23"/>
  <c r="A1617" i="23"/>
  <c r="A1621" i="23"/>
  <c r="A1625" i="23"/>
  <c r="A1614" i="23"/>
  <c r="A1618" i="23"/>
  <c r="A1622" i="23"/>
  <c r="A1613" i="23"/>
  <c r="A1568" i="23"/>
  <c r="A1572" i="23"/>
  <c r="A1576" i="23"/>
  <c r="A1580" i="23"/>
  <c r="A1575" i="23"/>
  <c r="A1569" i="23"/>
  <c r="A1573" i="23"/>
  <c r="A1577" i="23"/>
  <c r="A1567" i="23"/>
  <c r="A1571" i="23"/>
  <c r="A1570" i="23"/>
  <c r="A1574" i="23"/>
  <c r="A1578" i="23"/>
  <c r="A1579" i="23"/>
  <c r="A1293" i="23"/>
  <c r="A1297" i="23"/>
  <c r="A1295" i="23"/>
  <c r="A1296" i="23"/>
  <c r="A1294" i="23"/>
  <c r="A1292" i="23"/>
  <c r="AB273" i="22"/>
  <c r="U397" i="23"/>
  <c r="W397" i="23" s="1"/>
  <c r="P398" i="23" s="1"/>
  <c r="Q398" i="23" s="1"/>
  <c r="R398" i="23"/>
  <c r="A372" i="23"/>
  <c r="A376" i="23"/>
  <c r="A380" i="23"/>
  <c r="A373" i="23"/>
  <c r="A377" i="23"/>
  <c r="A369" i="23"/>
  <c r="A371" i="23"/>
  <c r="A375" i="23"/>
  <c r="A379" i="23"/>
  <c r="A370" i="23"/>
  <c r="A374" i="23"/>
  <c r="A378" i="23"/>
  <c r="T1623" i="23"/>
  <c r="J1129" i="23"/>
  <c r="O1129" i="23"/>
  <c r="H1130" i="23"/>
  <c r="M1130" i="23" s="1"/>
  <c r="N1130" i="23" s="1"/>
  <c r="T1622" i="23"/>
  <c r="W891" i="23"/>
  <c r="P892" i="23" s="1"/>
  <c r="Q892" i="23" s="1"/>
  <c r="T1624" i="23"/>
  <c r="T1620" i="23"/>
  <c r="T1617" i="23"/>
  <c r="U1617" i="23" s="1"/>
  <c r="T1621" i="23"/>
  <c r="T1579" i="23"/>
  <c r="T1615" i="23"/>
  <c r="T1614" i="23"/>
  <c r="T1618" i="23"/>
  <c r="T1580" i="23"/>
  <c r="W437" i="23"/>
  <c r="P438" i="23" s="1"/>
  <c r="Q438" i="23" s="1"/>
  <c r="U1591" i="23"/>
  <c r="W1591" i="23" s="1"/>
  <c r="P1592" i="23" s="1"/>
  <c r="Q1592" i="23" s="1"/>
  <c r="R1592" i="23"/>
  <c r="T1571" i="23"/>
  <c r="U1071" i="23"/>
  <c r="R1072" i="23"/>
  <c r="W1068" i="23"/>
  <c r="P1069" i="23" s="1"/>
  <c r="Q1069" i="23" s="1"/>
  <c r="R1069" i="23"/>
  <c r="U1069" i="23" s="1"/>
  <c r="U1068" i="23"/>
  <c r="U695" i="23"/>
  <c r="W695" i="23"/>
  <c r="P696" i="23" s="1"/>
  <c r="Q696" i="23" s="1"/>
  <c r="R696" i="23"/>
  <c r="R697" i="23" s="1"/>
  <c r="T370" i="23"/>
  <c r="M1613" i="23"/>
  <c r="N1613" i="23" s="1"/>
  <c r="T371" i="23"/>
  <c r="T1578" i="23"/>
  <c r="T1616" i="23"/>
  <c r="T1619" i="23"/>
  <c r="T1575" i="23"/>
  <c r="M369" i="23"/>
  <c r="N369" i="23" s="1"/>
  <c r="T1293" i="23"/>
  <c r="T1296" i="23"/>
  <c r="G383" i="23"/>
  <c r="AD370" i="23" s="1"/>
  <c r="P369" i="23"/>
  <c r="T1295" i="23"/>
  <c r="T1294" i="23"/>
  <c r="M1292" i="23"/>
  <c r="N1292" i="23" s="1"/>
  <c r="T1576" i="23"/>
  <c r="T1577" i="23"/>
  <c r="T1568" i="23"/>
  <c r="T1569" i="23"/>
  <c r="T1572" i="23"/>
  <c r="T1573" i="23"/>
  <c r="T1574" i="23"/>
  <c r="T1570" i="23"/>
  <c r="M1567" i="23"/>
  <c r="N1567" i="23" s="1"/>
  <c r="R1567" i="23" s="1"/>
  <c r="Y1023" i="34"/>
  <c r="Y1022" i="34"/>
  <c r="Y1021" i="34"/>
  <c r="Z1021" i="34" s="1"/>
  <c r="Y1020" i="34"/>
  <c r="Y1019" i="34"/>
  <c r="AA1019" i="34" s="1"/>
  <c r="AB1019" i="34" s="1"/>
  <c r="Y1018" i="34"/>
  <c r="Y1017" i="34"/>
  <c r="Y1016" i="34"/>
  <c r="Y1015" i="34"/>
  <c r="Y1014" i="34"/>
  <c r="Z1014" i="34" s="1"/>
  <c r="Y1013" i="34"/>
  <c r="Y1012" i="34"/>
  <c r="Y1011" i="34"/>
  <c r="AA1011" i="34" s="1"/>
  <c r="Y1010" i="34"/>
  <c r="Y1009" i="34"/>
  <c r="Y1008" i="34"/>
  <c r="Y1007" i="34"/>
  <c r="Y1006" i="34"/>
  <c r="Y1005" i="34"/>
  <c r="Y1004" i="34"/>
  <c r="Y1003" i="34"/>
  <c r="AA1003" i="34" s="1"/>
  <c r="Y1002" i="34"/>
  <c r="Y1001" i="34"/>
  <c r="Y1000" i="34"/>
  <c r="Y999" i="34"/>
  <c r="Y998" i="34"/>
  <c r="Z998" i="34" s="1"/>
  <c r="Y997" i="34"/>
  <c r="Y996" i="34"/>
  <c r="Y995" i="34"/>
  <c r="Y994" i="34"/>
  <c r="AA994" i="34" s="1"/>
  <c r="AC994" i="34" s="1"/>
  <c r="Y993" i="34"/>
  <c r="Y992" i="34"/>
  <c r="AA992" i="34" s="1"/>
  <c r="AB992" i="34" s="1"/>
  <c r="Y991" i="34"/>
  <c r="Y990" i="34"/>
  <c r="Z990" i="34" s="1"/>
  <c r="Y989" i="34"/>
  <c r="Y988" i="34"/>
  <c r="AA988" i="34" s="1"/>
  <c r="AB988" i="34" s="1"/>
  <c r="Y987" i="34"/>
  <c r="AA987" i="34" s="1"/>
  <c r="AB987" i="34" s="1"/>
  <c r="Y986" i="34"/>
  <c r="AA986" i="34" s="1"/>
  <c r="Y985" i="34"/>
  <c r="Z985" i="34" s="1"/>
  <c r="Y984" i="34"/>
  <c r="AA984" i="34" s="1"/>
  <c r="AB984" i="34" s="1"/>
  <c r="Y983" i="34"/>
  <c r="Y982" i="34"/>
  <c r="Y981" i="34"/>
  <c r="Y980" i="34"/>
  <c r="Y979" i="34"/>
  <c r="Y978" i="34"/>
  <c r="AA978" i="34" s="1"/>
  <c r="Y977" i="34"/>
  <c r="Z977" i="34" s="1"/>
  <c r="Y976" i="34"/>
  <c r="Y975" i="34"/>
  <c r="AA975" i="34" s="1"/>
  <c r="AB975" i="34" s="1"/>
  <c r="Y974" i="34"/>
  <c r="Y973" i="34"/>
  <c r="Z973" i="34" s="1"/>
  <c r="Y972" i="34"/>
  <c r="Y971" i="34"/>
  <c r="AA971" i="34" s="1"/>
  <c r="Y970" i="34"/>
  <c r="Z970" i="34" s="1"/>
  <c r="Y969" i="34"/>
  <c r="Z969" i="34" s="1"/>
  <c r="Y968" i="34"/>
  <c r="Y967" i="34"/>
  <c r="Y966" i="34"/>
  <c r="Z966" i="34" s="1"/>
  <c r="Y965" i="34"/>
  <c r="Y964" i="34"/>
  <c r="Y963" i="34"/>
  <c r="Y962" i="34"/>
  <c r="AA962" i="34" s="1"/>
  <c r="Y961" i="34"/>
  <c r="Z961" i="34" s="1"/>
  <c r="Y960" i="34"/>
  <c r="Y959" i="34"/>
  <c r="AA959" i="34" s="1"/>
  <c r="AB959" i="34" s="1"/>
  <c r="Y958" i="34"/>
  <c r="Y957" i="34"/>
  <c r="Z957" i="34" s="1"/>
  <c r="Y956" i="34"/>
  <c r="Y955" i="34"/>
  <c r="AA955" i="34" s="1"/>
  <c r="AB955" i="34" s="1"/>
  <c r="Y954" i="34"/>
  <c r="AA954" i="34" s="1"/>
  <c r="Y953" i="34"/>
  <c r="Z953" i="34" s="1"/>
  <c r="Y952" i="34"/>
  <c r="AA952" i="34" s="1"/>
  <c r="AB952" i="34" s="1"/>
  <c r="Y951" i="34"/>
  <c r="Y950" i="34"/>
  <c r="AA950" i="34" s="1"/>
  <c r="Y949" i="34"/>
  <c r="Y948" i="34"/>
  <c r="Y947" i="34"/>
  <c r="Y946" i="34"/>
  <c r="Y945" i="34"/>
  <c r="Y944" i="34"/>
  <c r="AA944" i="34" s="1"/>
  <c r="AC944" i="34" s="1"/>
  <c r="Y943" i="34"/>
  <c r="Y942" i="34"/>
  <c r="AA942" i="34" s="1"/>
  <c r="Y941" i="34"/>
  <c r="AA941" i="34" s="1"/>
  <c r="Y940" i="34"/>
  <c r="Z940" i="34" s="1"/>
  <c r="Y939" i="34"/>
  <c r="Y938" i="34"/>
  <c r="AA938" i="34" s="1"/>
  <c r="AB938" i="34" s="1"/>
  <c r="Y937" i="34"/>
  <c r="Y936" i="34"/>
  <c r="AA936" i="34" s="1"/>
  <c r="Y935" i="34"/>
  <c r="Y934" i="34"/>
  <c r="Y933" i="34"/>
  <c r="AA933" i="34" s="1"/>
  <c r="Y932" i="34"/>
  <c r="AA932" i="34" s="1"/>
  <c r="Y931" i="34"/>
  <c r="Z931" i="34" s="1"/>
  <c r="Y930" i="34"/>
  <c r="U930" i="34"/>
  <c r="AJ929" i="34"/>
  <c r="Y929" i="34"/>
  <c r="AJ928" i="34"/>
  <c r="Y928" i="34"/>
  <c r="Y927" i="34"/>
  <c r="Y926" i="34"/>
  <c r="Z926" i="34" s="1"/>
  <c r="Y925" i="34"/>
  <c r="Y924" i="34"/>
  <c r="Y923" i="34"/>
  <c r="AA923" i="34" s="1"/>
  <c r="AC923" i="34" s="1"/>
  <c r="Y922" i="34"/>
  <c r="Z922" i="34" s="1"/>
  <c r="Y921" i="34"/>
  <c r="Y920" i="34"/>
  <c r="U920" i="34"/>
  <c r="AJ919" i="34"/>
  <c r="Y919" i="34"/>
  <c r="Y918" i="34"/>
  <c r="Y917" i="34"/>
  <c r="Z917" i="34" s="1"/>
  <c r="Y916" i="34"/>
  <c r="Y915" i="34"/>
  <c r="Z915" i="34" s="1"/>
  <c r="Y914" i="34"/>
  <c r="Z914" i="34" s="1"/>
  <c r="Y913" i="34"/>
  <c r="Y912" i="34"/>
  <c r="AA912" i="34" s="1"/>
  <c r="Y911" i="34"/>
  <c r="Y910" i="34"/>
  <c r="AA910" i="34" s="1"/>
  <c r="AC910" i="34" s="1"/>
  <c r="Y909" i="34"/>
  <c r="Y908" i="34"/>
  <c r="AA908" i="34" s="1"/>
  <c r="Y907" i="34"/>
  <c r="Y906" i="34"/>
  <c r="Y905" i="34"/>
  <c r="Y904" i="34"/>
  <c r="AA904" i="34" s="1"/>
  <c r="Y903" i="34"/>
  <c r="Y902" i="34"/>
  <c r="Y901" i="34"/>
  <c r="Y900" i="34"/>
  <c r="Y899" i="34"/>
  <c r="Z899" i="34" s="1"/>
  <c r="Y898" i="34"/>
  <c r="Z898" i="34" s="1"/>
  <c r="Y897" i="34"/>
  <c r="Z897" i="34" s="1"/>
  <c r="Y896" i="34"/>
  <c r="Y895" i="34"/>
  <c r="Z895" i="34" s="1"/>
  <c r="Y894" i="34"/>
  <c r="Y893" i="34"/>
  <c r="Y892" i="34"/>
  <c r="AA892" i="34" s="1"/>
  <c r="AC892" i="34" s="1"/>
  <c r="Y891" i="34"/>
  <c r="Z891" i="34" s="1"/>
  <c r="Y890" i="34"/>
  <c r="AA890" i="34" s="1"/>
  <c r="AC890" i="34" s="1"/>
  <c r="Y889" i="34"/>
  <c r="Z889" i="34" s="1"/>
  <c r="Y888" i="34"/>
  <c r="Y887" i="34"/>
  <c r="AA887" i="34" s="1"/>
  <c r="AB887" i="34" s="1"/>
  <c r="Y886" i="34"/>
  <c r="Z886" i="34" s="1"/>
  <c r="Y885" i="34"/>
  <c r="Z885" i="34" s="1"/>
  <c r="Y884" i="34"/>
  <c r="Y883" i="34"/>
  <c r="Z883" i="34" s="1"/>
  <c r="Y882" i="34"/>
  <c r="Y881" i="34"/>
  <c r="Y880" i="34"/>
  <c r="Z880" i="34" s="1"/>
  <c r="Y879" i="34"/>
  <c r="AA879" i="34" s="1"/>
  <c r="Y878" i="34"/>
  <c r="Y877" i="34"/>
  <c r="AA877" i="34" s="1"/>
  <c r="Y876" i="34"/>
  <c r="Z876" i="34" s="1"/>
  <c r="Y875" i="34"/>
  <c r="Z875" i="34" s="1"/>
  <c r="Y874" i="34"/>
  <c r="Y873" i="34"/>
  <c r="Y872" i="34"/>
  <c r="Z872" i="34" s="1"/>
  <c r="Y871" i="34"/>
  <c r="AA871" i="34" s="1"/>
  <c r="AB871" i="34" s="1"/>
  <c r="Y870" i="34"/>
  <c r="Y869" i="34"/>
  <c r="Y868" i="34"/>
  <c r="Z868" i="34" s="1"/>
  <c r="Y867" i="34"/>
  <c r="Y866" i="34"/>
  <c r="Y865" i="34"/>
  <c r="Y864" i="34"/>
  <c r="Y863" i="34"/>
  <c r="Z863" i="34" s="1"/>
  <c r="Y862" i="34"/>
  <c r="Y861" i="34"/>
  <c r="Z861" i="34" s="1"/>
  <c r="Y860" i="34"/>
  <c r="Y859" i="34"/>
  <c r="Z859" i="34" s="1"/>
  <c r="Y858" i="34"/>
  <c r="Y857" i="34"/>
  <c r="Y856" i="34"/>
  <c r="Y855" i="34"/>
  <c r="Z855" i="34" s="1"/>
  <c r="Y854" i="34"/>
  <c r="Y853" i="34"/>
  <c r="Z853" i="34" s="1"/>
  <c r="Y852" i="34"/>
  <c r="Y851" i="34"/>
  <c r="Y850" i="34"/>
  <c r="Y849" i="34"/>
  <c r="Y848" i="34"/>
  <c r="Y847" i="34"/>
  <c r="Y846" i="34"/>
  <c r="Y845" i="34"/>
  <c r="AA845" i="34" s="1"/>
  <c r="Y844" i="34"/>
  <c r="Y843" i="34"/>
  <c r="Z843" i="34" s="1"/>
  <c r="Y842" i="34"/>
  <c r="Z842" i="34" s="1"/>
  <c r="Y841" i="34"/>
  <c r="Y840" i="34"/>
  <c r="Y839" i="34"/>
  <c r="Z839" i="34" s="1"/>
  <c r="Y838" i="34"/>
  <c r="Z838" i="34" s="1"/>
  <c r="Y837" i="34"/>
  <c r="AA837" i="34" s="1"/>
  <c r="Y836" i="34"/>
  <c r="Y835" i="34"/>
  <c r="AA835" i="34" s="1"/>
  <c r="Y834" i="34"/>
  <c r="Y833" i="34"/>
  <c r="AA833" i="34" s="1"/>
  <c r="Y832" i="34"/>
  <c r="Y831" i="34"/>
  <c r="Y830" i="34"/>
  <c r="Y829" i="34"/>
  <c r="Y828" i="34"/>
  <c r="AA828" i="34" s="1"/>
  <c r="Y827" i="34"/>
  <c r="Y826" i="34"/>
  <c r="Y825" i="34"/>
  <c r="Y824" i="34"/>
  <c r="Y823" i="34"/>
  <c r="Y822" i="34"/>
  <c r="Y821" i="34"/>
  <c r="AA821" i="34" s="1"/>
  <c r="AC821" i="34" s="1"/>
  <c r="Y820" i="34"/>
  <c r="Y819" i="34"/>
  <c r="AA819" i="34" s="1"/>
  <c r="Y818" i="34"/>
  <c r="Y817" i="34"/>
  <c r="Y816" i="34"/>
  <c r="Y815" i="34"/>
  <c r="Y814" i="34"/>
  <c r="U814" i="34"/>
  <c r="Y813" i="34"/>
  <c r="Z813" i="34" s="1"/>
  <c r="U813" i="34"/>
  <c r="Y812" i="34"/>
  <c r="AA812" i="34" s="1"/>
  <c r="AC812" i="34" s="1"/>
  <c r="U812" i="34"/>
  <c r="Y811" i="34"/>
  <c r="U811" i="34"/>
  <c r="Y810" i="34"/>
  <c r="U810" i="34"/>
  <c r="Y809" i="34"/>
  <c r="U809" i="34"/>
  <c r="Y808" i="34"/>
  <c r="U808" i="34"/>
  <c r="Y807" i="34"/>
  <c r="Z807" i="34" s="1"/>
  <c r="U807" i="34"/>
  <c r="Y806" i="34"/>
  <c r="U806" i="34"/>
  <c r="Y805" i="34"/>
  <c r="U805" i="34"/>
  <c r="Y804" i="34"/>
  <c r="Z804" i="34" s="1"/>
  <c r="U804" i="34"/>
  <c r="Y803" i="34"/>
  <c r="U803" i="34"/>
  <c r="Y802" i="34"/>
  <c r="U802" i="34"/>
  <c r="Y801" i="34"/>
  <c r="U801" i="34"/>
  <c r="Y800" i="34"/>
  <c r="U800" i="34"/>
  <c r="Y799" i="34"/>
  <c r="U799" i="34"/>
  <c r="Y798" i="34"/>
  <c r="U798" i="34"/>
  <c r="Y797" i="34"/>
  <c r="U797" i="34"/>
  <c r="Y796" i="34"/>
  <c r="Z796" i="34" s="1"/>
  <c r="U796" i="34"/>
  <c r="Y795" i="34"/>
  <c r="U795" i="34"/>
  <c r="Y794" i="34"/>
  <c r="Y793" i="34"/>
  <c r="Y792" i="34"/>
  <c r="AA792" i="34" s="1"/>
  <c r="Y791" i="34"/>
  <c r="Y790" i="34"/>
  <c r="Y789" i="34"/>
  <c r="Y788" i="34"/>
  <c r="Y787" i="34"/>
  <c r="Y786" i="34"/>
  <c r="AA786" i="34" s="1"/>
  <c r="AB786" i="34" s="1"/>
  <c r="Y785" i="34"/>
  <c r="Y784" i="34"/>
  <c r="Y783" i="34"/>
  <c r="Y782" i="34"/>
  <c r="AA782" i="34" s="1"/>
  <c r="Y781" i="34"/>
  <c r="Y780" i="34"/>
  <c r="Y779" i="34"/>
  <c r="Y778" i="34"/>
  <c r="AA777" i="34"/>
  <c r="Y777" i="34"/>
  <c r="Z777" i="34" s="1"/>
  <c r="Y776" i="34"/>
  <c r="AA776" i="34" s="1"/>
  <c r="Z775" i="34"/>
  <c r="Y775" i="34"/>
  <c r="AA775" i="34" s="1"/>
  <c r="Y774" i="34"/>
  <c r="AA774" i="34" s="1"/>
  <c r="Y773" i="34"/>
  <c r="Y772" i="34"/>
  <c r="AA772" i="34" s="1"/>
  <c r="Y771" i="34"/>
  <c r="Y770" i="34"/>
  <c r="Y769" i="34"/>
  <c r="Z769" i="34" s="1"/>
  <c r="Y768" i="34"/>
  <c r="Y767" i="34"/>
  <c r="Y766" i="34"/>
  <c r="Y765" i="34"/>
  <c r="Y764" i="34"/>
  <c r="Y763" i="34"/>
  <c r="Y762" i="34"/>
  <c r="AA762" i="34" s="1"/>
  <c r="Y761" i="34"/>
  <c r="Y760" i="34"/>
  <c r="AA760" i="34" s="1"/>
  <c r="AC760" i="34" s="1"/>
  <c r="Y759" i="34"/>
  <c r="Y758" i="34"/>
  <c r="Y757" i="34"/>
  <c r="Y756" i="34"/>
  <c r="Y755" i="34"/>
  <c r="AA755" i="34" s="1"/>
  <c r="AC755" i="34" s="1"/>
  <c r="Y754" i="34"/>
  <c r="Y753" i="34"/>
  <c r="AA753" i="34" s="1"/>
  <c r="Y752" i="34"/>
  <c r="Y751" i="34"/>
  <c r="AA751" i="34" s="1"/>
  <c r="AC751" i="34" s="1"/>
  <c r="Y750" i="34"/>
  <c r="Y749" i="34"/>
  <c r="Z749" i="34" s="1"/>
  <c r="Y748" i="34"/>
  <c r="Y747" i="34"/>
  <c r="AA747" i="34" s="1"/>
  <c r="AC747" i="34" s="1"/>
  <c r="Y746" i="34"/>
  <c r="Y745" i="34"/>
  <c r="AA745" i="34" s="1"/>
  <c r="Y744" i="34"/>
  <c r="Y743" i="34"/>
  <c r="Y742" i="34"/>
  <c r="Y741" i="34"/>
  <c r="Y740" i="34"/>
  <c r="Y739" i="34"/>
  <c r="AA739" i="34" s="1"/>
  <c r="AC739" i="34" s="1"/>
  <c r="Y738" i="34"/>
  <c r="Z737" i="34"/>
  <c r="Y737" i="34"/>
  <c r="AA737" i="34" s="1"/>
  <c r="Y736" i="34"/>
  <c r="Y735" i="34"/>
  <c r="AA735" i="34" s="1"/>
  <c r="AC735" i="34" s="1"/>
  <c r="Y734" i="34"/>
  <c r="Y733" i="34"/>
  <c r="AA733" i="34" s="1"/>
  <c r="Y732" i="34"/>
  <c r="Y731" i="34"/>
  <c r="AA731" i="34" s="1"/>
  <c r="AC731" i="34" s="1"/>
  <c r="Y730" i="34"/>
  <c r="Y729" i="34"/>
  <c r="Z729" i="34" s="1"/>
  <c r="Y728" i="34"/>
  <c r="U728" i="34"/>
  <c r="Y727" i="34"/>
  <c r="Y726" i="34"/>
  <c r="AA726" i="34" s="1"/>
  <c r="Y725" i="34"/>
  <c r="Y724" i="34"/>
  <c r="AA724" i="34" s="1"/>
  <c r="AC724" i="34" s="1"/>
  <c r="Y723" i="34"/>
  <c r="Z722" i="34"/>
  <c r="Y722" i="34"/>
  <c r="AA722" i="34" s="1"/>
  <c r="Y721" i="34"/>
  <c r="Y720" i="34"/>
  <c r="Y719" i="34"/>
  <c r="Y718" i="34"/>
  <c r="AA718" i="34" s="1"/>
  <c r="Y717" i="34"/>
  <c r="Y716" i="34"/>
  <c r="AA716" i="34" s="1"/>
  <c r="AC716" i="34" s="1"/>
  <c r="Y715" i="34"/>
  <c r="Y714" i="34"/>
  <c r="AA714" i="34" s="1"/>
  <c r="Y713" i="34"/>
  <c r="Y712" i="34"/>
  <c r="Y711" i="34"/>
  <c r="Y710" i="34"/>
  <c r="AA710" i="34" s="1"/>
  <c r="Y709" i="34"/>
  <c r="Y708" i="34"/>
  <c r="AA708" i="34" s="1"/>
  <c r="AC708" i="34" s="1"/>
  <c r="Y707" i="34"/>
  <c r="Y706" i="34"/>
  <c r="AA706" i="34" s="1"/>
  <c r="Y705" i="34"/>
  <c r="Y704" i="34"/>
  <c r="Y703" i="34"/>
  <c r="Y702" i="34"/>
  <c r="AA702" i="34" s="1"/>
  <c r="Y701" i="34"/>
  <c r="Y700" i="34"/>
  <c r="AA700" i="34" s="1"/>
  <c r="AC700" i="34" s="1"/>
  <c r="Y699" i="34"/>
  <c r="Y698" i="34"/>
  <c r="AA698" i="34" s="1"/>
  <c r="Y697" i="34"/>
  <c r="Y696" i="34"/>
  <c r="Y695" i="34"/>
  <c r="Y694" i="34"/>
  <c r="AA694" i="34" s="1"/>
  <c r="Y693" i="34"/>
  <c r="Y692" i="34"/>
  <c r="AA692" i="34" s="1"/>
  <c r="AC692" i="34" s="1"/>
  <c r="Y691" i="34"/>
  <c r="Y690" i="34"/>
  <c r="AA690" i="34" s="1"/>
  <c r="Y689" i="34"/>
  <c r="Y688" i="34"/>
  <c r="Y687" i="34"/>
  <c r="Y686" i="34"/>
  <c r="AA686" i="34" s="1"/>
  <c r="Y685" i="34"/>
  <c r="AJ684" i="34"/>
  <c r="Y683" i="34"/>
  <c r="E683" i="34"/>
  <c r="B683" i="34"/>
  <c r="Y682" i="34"/>
  <c r="AA682" i="34" s="1"/>
  <c r="AB682" i="34" s="1"/>
  <c r="E682" i="34"/>
  <c r="B682" i="34"/>
  <c r="Y681" i="34"/>
  <c r="E681" i="34"/>
  <c r="B681" i="34"/>
  <c r="Y680" i="34"/>
  <c r="E680" i="34"/>
  <c r="B680" i="34"/>
  <c r="Y679" i="34"/>
  <c r="E679" i="34"/>
  <c r="B679" i="34"/>
  <c r="Y678" i="34"/>
  <c r="AA678" i="34" s="1"/>
  <c r="E678" i="34"/>
  <c r="B678" i="34"/>
  <c r="Y677" i="34"/>
  <c r="E677" i="34"/>
  <c r="B677" i="34"/>
  <c r="Y676" i="34"/>
  <c r="E676" i="34"/>
  <c r="B676" i="34"/>
  <c r="Y675" i="34"/>
  <c r="AA675" i="34" s="1"/>
  <c r="E675" i="34"/>
  <c r="B675" i="34"/>
  <c r="Y674" i="34"/>
  <c r="AA674" i="34" s="1"/>
  <c r="E674" i="34"/>
  <c r="B674" i="34"/>
  <c r="Y673" i="34"/>
  <c r="E673" i="34"/>
  <c r="B673" i="34"/>
  <c r="Y672" i="34"/>
  <c r="E672" i="34"/>
  <c r="B672" i="34"/>
  <c r="Y671" i="34"/>
  <c r="AA671" i="34" s="1"/>
  <c r="AB671" i="34" s="1"/>
  <c r="E671" i="34"/>
  <c r="B671" i="34"/>
  <c r="Y670" i="34"/>
  <c r="AA670" i="34" s="1"/>
  <c r="AB670" i="34" s="1"/>
  <c r="E670" i="34"/>
  <c r="B670" i="34"/>
  <c r="Y669" i="34"/>
  <c r="E669" i="34"/>
  <c r="B669" i="34"/>
  <c r="Y668" i="34"/>
  <c r="AA668" i="34" s="1"/>
  <c r="AB668" i="34" s="1"/>
  <c r="E668" i="34"/>
  <c r="B668" i="34"/>
  <c r="Y667" i="34"/>
  <c r="AA667" i="34" s="1"/>
  <c r="AB667" i="34" s="1"/>
  <c r="E667" i="34"/>
  <c r="B667" i="34"/>
  <c r="Y666" i="34"/>
  <c r="AA666" i="34" s="1"/>
  <c r="AB666" i="34" s="1"/>
  <c r="E666" i="34"/>
  <c r="B666" i="34"/>
  <c r="Y665" i="34"/>
  <c r="E665" i="34"/>
  <c r="B665" i="34"/>
  <c r="Y664" i="34"/>
  <c r="AA664" i="34" s="1"/>
  <c r="AB664" i="34" s="1"/>
  <c r="E664" i="34"/>
  <c r="B664" i="34"/>
  <c r="Y663" i="34"/>
  <c r="AA663" i="34" s="1"/>
  <c r="AB663" i="34" s="1"/>
  <c r="E663" i="34"/>
  <c r="B663" i="34"/>
  <c r="Y662" i="34"/>
  <c r="E662" i="34"/>
  <c r="B662" i="34"/>
  <c r="Y661" i="34"/>
  <c r="E661" i="34"/>
  <c r="B661" i="34"/>
  <c r="Y660" i="34"/>
  <c r="AA660" i="34" s="1"/>
  <c r="AB660" i="34" s="1"/>
  <c r="E660" i="34"/>
  <c r="B660" i="34"/>
  <c r="Y659" i="34"/>
  <c r="E659" i="34"/>
  <c r="B659" i="34"/>
  <c r="Y658" i="34"/>
  <c r="AA658" i="34" s="1"/>
  <c r="AB658" i="34" s="1"/>
  <c r="E658" i="34"/>
  <c r="B658" i="34"/>
  <c r="Y657" i="34"/>
  <c r="E657" i="34"/>
  <c r="B657" i="34"/>
  <c r="Y656" i="34"/>
  <c r="E656" i="34"/>
  <c r="B656" i="34"/>
  <c r="Y655" i="34"/>
  <c r="E655" i="34"/>
  <c r="B655" i="34"/>
  <c r="Y654" i="34"/>
  <c r="AA654" i="34" s="1"/>
  <c r="AB654" i="34" s="1"/>
  <c r="E654" i="34"/>
  <c r="B654" i="34"/>
  <c r="Y653" i="34"/>
  <c r="E653" i="34"/>
  <c r="B653" i="34"/>
  <c r="Y652" i="34"/>
  <c r="E652" i="34"/>
  <c r="B652" i="34"/>
  <c r="Y651" i="34"/>
  <c r="AA651" i="34" s="1"/>
  <c r="AB651" i="34" s="1"/>
  <c r="E651" i="34"/>
  <c r="B651" i="34"/>
  <c r="Y650" i="34"/>
  <c r="AA650" i="34" s="1"/>
  <c r="AB650" i="34" s="1"/>
  <c r="E650" i="34"/>
  <c r="B650" i="34"/>
  <c r="Y649" i="34"/>
  <c r="E649" i="34"/>
  <c r="B649" i="34"/>
  <c r="Y648" i="34"/>
  <c r="AA648" i="34" s="1"/>
  <c r="E648" i="34"/>
  <c r="B648" i="34"/>
  <c r="Y647" i="34"/>
  <c r="AA647" i="34" s="1"/>
  <c r="AB647" i="34" s="1"/>
  <c r="E647" i="34"/>
  <c r="B647" i="34"/>
  <c r="Y646" i="34"/>
  <c r="AA646" i="34" s="1"/>
  <c r="AB646" i="34" s="1"/>
  <c r="E646" i="34"/>
  <c r="B646" i="34"/>
  <c r="Y645" i="34"/>
  <c r="E645" i="34"/>
  <c r="B645" i="34"/>
  <c r="Y644" i="34"/>
  <c r="Z644" i="34" s="1"/>
  <c r="E644" i="34"/>
  <c r="B644" i="34"/>
  <c r="Y643" i="34"/>
  <c r="E643" i="34"/>
  <c r="B643" i="34"/>
  <c r="Y642" i="34"/>
  <c r="Z642" i="34" s="1"/>
  <c r="E642" i="34"/>
  <c r="B642" i="34"/>
  <c r="Y641" i="34"/>
  <c r="E641" i="34"/>
  <c r="B641" i="34"/>
  <c r="Y640" i="34"/>
  <c r="Z640" i="34" s="1"/>
  <c r="E640" i="34"/>
  <c r="B640" i="34"/>
  <c r="Y639" i="34"/>
  <c r="E639" i="34"/>
  <c r="B639" i="34"/>
  <c r="Y638" i="34"/>
  <c r="Z638" i="34" s="1"/>
  <c r="E638" i="34"/>
  <c r="B638" i="34"/>
  <c r="Y637" i="34"/>
  <c r="E637" i="34"/>
  <c r="B637" i="34"/>
  <c r="Y636" i="34"/>
  <c r="Z636" i="34" s="1"/>
  <c r="E636" i="34"/>
  <c r="B636" i="34"/>
  <c r="Y635" i="34"/>
  <c r="Z635" i="34" s="1"/>
  <c r="E635" i="34"/>
  <c r="B635" i="34"/>
  <c r="Y634" i="34"/>
  <c r="E634" i="34"/>
  <c r="B634" i="34"/>
  <c r="Y633" i="34"/>
  <c r="E633" i="34"/>
  <c r="B633" i="34"/>
  <c r="Y632" i="34"/>
  <c r="Z632" i="34" s="1"/>
  <c r="E632" i="34"/>
  <c r="B632" i="34"/>
  <c r="Y631" i="34"/>
  <c r="Z631" i="34" s="1"/>
  <c r="E631" i="34"/>
  <c r="B631" i="34"/>
  <c r="Y630" i="34"/>
  <c r="AA630" i="34" s="1"/>
  <c r="E630" i="34"/>
  <c r="B630" i="34"/>
  <c r="Y629" i="34"/>
  <c r="AA629" i="34" s="1"/>
  <c r="AC629" i="34" s="1"/>
  <c r="E629" i="34"/>
  <c r="B629" i="34"/>
  <c r="Y628" i="34"/>
  <c r="E628" i="34"/>
  <c r="B628" i="34"/>
  <c r="Y627" i="34"/>
  <c r="AA627" i="34" s="1"/>
  <c r="E627" i="34"/>
  <c r="B627" i="34"/>
  <c r="Y626" i="34"/>
  <c r="E626" i="34"/>
  <c r="B626" i="34"/>
  <c r="Y625" i="34"/>
  <c r="AA625" i="34" s="1"/>
  <c r="E625" i="34"/>
  <c r="B625" i="34"/>
  <c r="Y624" i="34"/>
  <c r="E624" i="34"/>
  <c r="B624" i="34"/>
  <c r="Y623" i="34"/>
  <c r="E623" i="34"/>
  <c r="B623" i="34"/>
  <c r="Y622" i="34"/>
  <c r="E622" i="34"/>
  <c r="B622" i="34"/>
  <c r="Y621" i="34"/>
  <c r="Z621" i="34" s="1"/>
  <c r="E621" i="34"/>
  <c r="B621" i="34"/>
  <c r="Y620" i="34"/>
  <c r="E620" i="34"/>
  <c r="B620" i="34"/>
  <c r="Y619" i="34"/>
  <c r="E619" i="34"/>
  <c r="B619" i="34"/>
  <c r="Y618" i="34"/>
  <c r="E618" i="34"/>
  <c r="B618" i="34"/>
  <c r="Y617" i="34"/>
  <c r="Z617" i="34" s="1"/>
  <c r="E617" i="34"/>
  <c r="B617" i="34"/>
  <c r="Y616" i="34"/>
  <c r="E616" i="34"/>
  <c r="B616" i="34"/>
  <c r="Y615" i="34"/>
  <c r="Z615" i="34" s="1"/>
  <c r="E615" i="34"/>
  <c r="B615" i="34"/>
  <c r="Y614" i="34"/>
  <c r="E614" i="34"/>
  <c r="B614" i="34"/>
  <c r="Y613" i="34"/>
  <c r="Z613" i="34" s="1"/>
  <c r="E613" i="34"/>
  <c r="B613" i="34"/>
  <c r="Y612" i="34"/>
  <c r="E612" i="34"/>
  <c r="B612" i="34"/>
  <c r="Y611" i="34"/>
  <c r="E611" i="34"/>
  <c r="B611" i="34"/>
  <c r="Y610" i="34"/>
  <c r="E610" i="34"/>
  <c r="B610" i="34"/>
  <c r="Y609" i="34"/>
  <c r="Z609" i="34" s="1"/>
  <c r="E609" i="34"/>
  <c r="B609" i="34"/>
  <c r="Y608" i="34"/>
  <c r="E608" i="34"/>
  <c r="B608" i="34"/>
  <c r="Y607" i="34"/>
  <c r="Z607" i="34" s="1"/>
  <c r="E607" i="34"/>
  <c r="B607" i="34"/>
  <c r="Y606" i="34"/>
  <c r="E606" i="34"/>
  <c r="B606" i="34"/>
  <c r="Y605" i="34"/>
  <c r="Z605" i="34" s="1"/>
  <c r="E605" i="34"/>
  <c r="B605" i="34"/>
  <c r="Y604" i="34"/>
  <c r="E604" i="34"/>
  <c r="B604" i="34"/>
  <c r="Y603" i="34"/>
  <c r="E603" i="34"/>
  <c r="B603" i="34"/>
  <c r="Y602" i="34"/>
  <c r="E602" i="34"/>
  <c r="B602" i="34"/>
  <c r="Y601" i="34"/>
  <c r="Z601" i="34" s="1"/>
  <c r="E601" i="34"/>
  <c r="B601" i="34"/>
  <c r="Y600" i="34"/>
  <c r="E600" i="34"/>
  <c r="B600" i="34"/>
  <c r="Y599" i="34"/>
  <c r="Z599" i="34" s="1"/>
  <c r="E599" i="34"/>
  <c r="B599" i="34"/>
  <c r="Y598" i="34"/>
  <c r="E598" i="34"/>
  <c r="B598" i="34"/>
  <c r="Y597" i="34"/>
  <c r="Z597" i="34" s="1"/>
  <c r="E597" i="34"/>
  <c r="B597" i="34"/>
  <c r="Y596" i="34"/>
  <c r="E596" i="34"/>
  <c r="B596" i="34"/>
  <c r="Y595" i="34"/>
  <c r="E595" i="34"/>
  <c r="B595" i="34"/>
  <c r="Y594" i="34"/>
  <c r="E594" i="34"/>
  <c r="B594" i="34"/>
  <c r="Y593" i="34"/>
  <c r="Z593" i="34" s="1"/>
  <c r="E593" i="34"/>
  <c r="B593" i="34"/>
  <c r="Y592" i="34"/>
  <c r="E592" i="34"/>
  <c r="B592" i="34"/>
  <c r="Y591" i="34"/>
  <c r="Z591" i="34" s="1"/>
  <c r="E591" i="34"/>
  <c r="B591" i="34"/>
  <c r="Y590" i="34"/>
  <c r="E590" i="34"/>
  <c r="B590" i="34"/>
  <c r="Y589" i="34"/>
  <c r="Z589" i="34" s="1"/>
  <c r="E589" i="34"/>
  <c r="B589" i="34"/>
  <c r="Y588" i="34"/>
  <c r="E588" i="34"/>
  <c r="B588" i="34"/>
  <c r="Y587" i="34"/>
  <c r="E587" i="34"/>
  <c r="B587" i="34"/>
  <c r="Y586" i="34"/>
  <c r="E586" i="34"/>
  <c r="B586" i="34"/>
  <c r="Y585" i="34"/>
  <c r="Z585" i="34" s="1"/>
  <c r="E585" i="34"/>
  <c r="B585" i="34"/>
  <c r="Y584" i="34"/>
  <c r="E584" i="34"/>
  <c r="B584" i="34"/>
  <c r="Y583" i="34"/>
  <c r="E583" i="34"/>
  <c r="B583" i="34"/>
  <c r="Y582" i="34"/>
  <c r="E582" i="34"/>
  <c r="B582" i="34"/>
  <c r="Y581" i="34"/>
  <c r="E581" i="34"/>
  <c r="B581" i="34"/>
  <c r="Y580" i="34"/>
  <c r="E580" i="34"/>
  <c r="B580" i="34"/>
  <c r="Y579" i="34"/>
  <c r="E579" i="34"/>
  <c r="B579" i="34"/>
  <c r="Y578" i="34"/>
  <c r="E578" i="34"/>
  <c r="B578" i="34"/>
  <c r="Y577" i="34"/>
  <c r="E577" i="34"/>
  <c r="B577" i="34"/>
  <c r="Y576" i="34"/>
  <c r="AA576" i="34" s="1"/>
  <c r="AB576" i="34" s="1"/>
  <c r="E576" i="34"/>
  <c r="B576" i="34"/>
  <c r="Y575" i="34"/>
  <c r="E575" i="34"/>
  <c r="B575" i="34"/>
  <c r="Y574" i="34"/>
  <c r="E574" i="34"/>
  <c r="B574" i="34"/>
  <c r="Y573" i="34"/>
  <c r="Z573" i="34" s="1"/>
  <c r="E573" i="34"/>
  <c r="B573" i="34"/>
  <c r="Y572" i="34"/>
  <c r="E572" i="34"/>
  <c r="B572" i="34"/>
  <c r="Y571" i="34"/>
  <c r="E571" i="34"/>
  <c r="B571" i="34"/>
  <c r="Y570" i="34"/>
  <c r="Z570" i="34" s="1"/>
  <c r="E570" i="34"/>
  <c r="B570" i="34"/>
  <c r="Y569" i="34"/>
  <c r="E569" i="34"/>
  <c r="B569" i="34"/>
  <c r="Y568" i="34"/>
  <c r="E568" i="34"/>
  <c r="B568" i="34"/>
  <c r="Y567" i="34"/>
  <c r="E567" i="34"/>
  <c r="B567" i="34"/>
  <c r="Y566" i="34"/>
  <c r="E566" i="34"/>
  <c r="B566" i="34"/>
  <c r="Y565" i="34"/>
  <c r="AA565" i="34" s="1"/>
  <c r="E565" i="34"/>
  <c r="B565" i="34"/>
  <c r="Y564" i="34"/>
  <c r="AA564" i="34" s="1"/>
  <c r="AB564" i="34" s="1"/>
  <c r="E564" i="34"/>
  <c r="B564" i="34"/>
  <c r="Y563" i="34"/>
  <c r="E563" i="34"/>
  <c r="B563" i="34"/>
  <c r="Y562" i="34"/>
  <c r="E562" i="34"/>
  <c r="B562" i="34"/>
  <c r="Y561" i="34"/>
  <c r="AA561" i="34" s="1"/>
  <c r="E561" i="34"/>
  <c r="B561" i="34"/>
  <c r="Y560" i="34"/>
  <c r="AA560" i="34" s="1"/>
  <c r="AB560" i="34" s="1"/>
  <c r="E560" i="34"/>
  <c r="B560" i="34"/>
  <c r="Y559" i="34"/>
  <c r="E559" i="34"/>
  <c r="B559" i="34"/>
  <c r="Y558" i="34"/>
  <c r="Z558" i="34" s="1"/>
  <c r="E558" i="34"/>
  <c r="B558" i="34"/>
  <c r="Y557" i="34"/>
  <c r="AA557" i="34" s="1"/>
  <c r="E557" i="34"/>
  <c r="B557" i="34"/>
  <c r="Y556" i="34"/>
  <c r="E556" i="34"/>
  <c r="B556" i="34"/>
  <c r="Y555" i="34"/>
  <c r="E555" i="34"/>
  <c r="B555" i="34"/>
  <c r="Y554" i="34"/>
  <c r="AA554" i="34" s="1"/>
  <c r="AC554" i="34" s="1"/>
  <c r="E554" i="34"/>
  <c r="B554" i="34"/>
  <c r="Y553" i="34"/>
  <c r="E553" i="34"/>
  <c r="B553" i="34"/>
  <c r="Y552" i="34"/>
  <c r="AA552" i="34" s="1"/>
  <c r="AB552" i="34" s="1"/>
  <c r="E552" i="34"/>
  <c r="B552" i="34"/>
  <c r="Y551" i="34"/>
  <c r="E551" i="34"/>
  <c r="B551" i="34"/>
  <c r="Y550" i="34"/>
  <c r="E550" i="34"/>
  <c r="B550" i="34"/>
  <c r="Y549" i="34"/>
  <c r="AA549" i="34" s="1"/>
  <c r="E549" i="34"/>
  <c r="B549" i="34"/>
  <c r="Y548" i="34"/>
  <c r="E548" i="34"/>
  <c r="B548" i="34"/>
  <c r="Y547" i="34"/>
  <c r="E547" i="34"/>
  <c r="B547" i="34"/>
  <c r="Y546" i="34"/>
  <c r="E546" i="34"/>
  <c r="B546" i="34"/>
  <c r="Y545" i="34"/>
  <c r="AA545" i="34" s="1"/>
  <c r="E545" i="34"/>
  <c r="B545" i="34"/>
  <c r="Y544" i="34"/>
  <c r="AA544" i="34" s="1"/>
  <c r="AB544" i="34" s="1"/>
  <c r="E544" i="34"/>
  <c r="B544" i="34"/>
  <c r="Y543" i="34"/>
  <c r="E543" i="34"/>
  <c r="B543" i="34"/>
  <c r="Y542" i="34"/>
  <c r="E542" i="34"/>
  <c r="B542" i="34"/>
  <c r="Y541" i="34"/>
  <c r="AA541" i="34" s="1"/>
  <c r="E541" i="34"/>
  <c r="B541" i="34"/>
  <c r="Y540" i="34"/>
  <c r="E540" i="34"/>
  <c r="B540" i="34"/>
  <c r="Y539" i="34"/>
  <c r="E539" i="34"/>
  <c r="B539" i="34"/>
  <c r="Y538" i="34"/>
  <c r="AA538" i="34" s="1"/>
  <c r="AC538" i="34" s="1"/>
  <c r="E538" i="34"/>
  <c r="B538" i="34"/>
  <c r="Y537" i="34"/>
  <c r="Z537" i="34" s="1"/>
  <c r="E537" i="34"/>
  <c r="B537" i="34"/>
  <c r="Y536" i="34"/>
  <c r="AA536" i="34" s="1"/>
  <c r="AB536" i="34" s="1"/>
  <c r="E536" i="34"/>
  <c r="B536" i="34"/>
  <c r="Y535" i="34"/>
  <c r="E535" i="34"/>
  <c r="B535" i="34"/>
  <c r="Y534" i="34"/>
  <c r="E534" i="34"/>
  <c r="B534" i="34"/>
  <c r="Y533" i="34"/>
  <c r="Z533" i="34" s="1"/>
  <c r="E533" i="34"/>
  <c r="B533" i="34"/>
  <c r="Y532" i="34"/>
  <c r="AA532" i="34" s="1"/>
  <c r="E532" i="34"/>
  <c r="B532" i="34"/>
  <c r="Y531" i="34"/>
  <c r="E531" i="34"/>
  <c r="B531" i="34"/>
  <c r="Y530" i="34"/>
  <c r="AA530" i="34" s="1"/>
  <c r="AC530" i="34" s="1"/>
  <c r="E530" i="34"/>
  <c r="B530" i="34"/>
  <c r="Y529" i="34"/>
  <c r="AA529" i="34" s="1"/>
  <c r="AB529" i="34" s="1"/>
  <c r="E529" i="34"/>
  <c r="B529" i="34"/>
  <c r="Y528" i="34"/>
  <c r="AA528" i="34" s="1"/>
  <c r="AB528" i="34" s="1"/>
  <c r="E528" i="34"/>
  <c r="B528" i="34"/>
  <c r="Y527" i="34"/>
  <c r="Z527" i="34" s="1"/>
  <c r="E527" i="34"/>
  <c r="B527" i="34"/>
  <c r="Y526" i="34"/>
  <c r="AA526" i="34" s="1"/>
  <c r="AC526" i="34" s="1"/>
  <c r="E526" i="34"/>
  <c r="B526" i="34"/>
  <c r="Y525" i="34"/>
  <c r="AA525" i="34" s="1"/>
  <c r="AB525" i="34" s="1"/>
  <c r="E525" i="34"/>
  <c r="B525" i="34"/>
  <c r="Y524" i="34"/>
  <c r="AA524" i="34" s="1"/>
  <c r="AB524" i="34" s="1"/>
  <c r="E524" i="34"/>
  <c r="B524" i="34"/>
  <c r="Y523" i="34"/>
  <c r="Z523" i="34" s="1"/>
  <c r="E523" i="34"/>
  <c r="B523" i="34"/>
  <c r="Y522" i="34"/>
  <c r="E522" i="34"/>
  <c r="B522" i="34"/>
  <c r="Y521" i="34"/>
  <c r="AA521" i="34" s="1"/>
  <c r="AB521" i="34" s="1"/>
  <c r="E521" i="34"/>
  <c r="B521" i="34"/>
  <c r="Y520" i="34"/>
  <c r="AA520" i="34" s="1"/>
  <c r="AB520" i="34" s="1"/>
  <c r="E520" i="34"/>
  <c r="B520" i="34"/>
  <c r="Y519" i="34"/>
  <c r="Z519" i="34" s="1"/>
  <c r="E519" i="34"/>
  <c r="B519" i="34"/>
  <c r="Y518" i="34"/>
  <c r="E518" i="34"/>
  <c r="B518" i="34"/>
  <c r="Y517" i="34"/>
  <c r="AA517" i="34" s="1"/>
  <c r="E517" i="34"/>
  <c r="B517" i="34"/>
  <c r="Y516" i="34"/>
  <c r="AA516" i="34" s="1"/>
  <c r="E516" i="34"/>
  <c r="B516" i="34"/>
  <c r="Y515" i="34"/>
  <c r="Z515" i="34" s="1"/>
  <c r="E515" i="34"/>
  <c r="B515" i="34"/>
  <c r="Y514" i="34"/>
  <c r="Z514" i="34" s="1"/>
  <c r="E514" i="34"/>
  <c r="B514" i="34"/>
  <c r="Y513" i="34"/>
  <c r="AA513" i="34" s="1"/>
  <c r="AB513" i="34" s="1"/>
  <c r="E513" i="34"/>
  <c r="B513" i="34"/>
  <c r="Y512" i="34"/>
  <c r="AA512" i="34" s="1"/>
  <c r="E512" i="34"/>
  <c r="B512" i="34"/>
  <c r="Y511" i="34"/>
  <c r="Z511" i="34" s="1"/>
  <c r="E511" i="34"/>
  <c r="B511" i="34"/>
  <c r="Y510" i="34"/>
  <c r="AA510" i="34" s="1"/>
  <c r="E510" i="34"/>
  <c r="B510" i="34"/>
  <c r="Y509" i="34"/>
  <c r="AA509" i="34" s="1"/>
  <c r="AB509" i="34" s="1"/>
  <c r="E509" i="34"/>
  <c r="B509" i="34"/>
  <c r="Y508" i="34"/>
  <c r="AA508" i="34" s="1"/>
  <c r="AB508" i="34" s="1"/>
  <c r="E508" i="34"/>
  <c r="B508" i="34"/>
  <c r="Y507" i="34"/>
  <c r="Z507" i="34" s="1"/>
  <c r="E507" i="34"/>
  <c r="B507" i="34"/>
  <c r="Y506" i="34"/>
  <c r="E506" i="34"/>
  <c r="B506" i="34"/>
  <c r="Y505" i="34"/>
  <c r="AA505" i="34" s="1"/>
  <c r="AB505" i="34" s="1"/>
  <c r="E505" i="34"/>
  <c r="B505" i="34"/>
  <c r="Y504" i="34"/>
  <c r="AA504" i="34" s="1"/>
  <c r="AB504" i="34" s="1"/>
  <c r="E504" i="34"/>
  <c r="B504" i="34"/>
  <c r="Y503" i="34"/>
  <c r="Z503" i="34" s="1"/>
  <c r="E503" i="34"/>
  <c r="B503" i="34"/>
  <c r="Y502" i="34"/>
  <c r="Z502" i="34" s="1"/>
  <c r="E502" i="34"/>
  <c r="B502" i="34"/>
  <c r="Y501" i="34"/>
  <c r="AA501" i="34" s="1"/>
  <c r="AB501" i="34" s="1"/>
  <c r="E501" i="34"/>
  <c r="B501" i="34"/>
  <c r="Y500" i="34"/>
  <c r="AA500" i="34" s="1"/>
  <c r="AB500" i="34" s="1"/>
  <c r="E500" i="34"/>
  <c r="B500" i="34"/>
  <c r="Y499" i="34"/>
  <c r="Z499" i="34" s="1"/>
  <c r="E499" i="34"/>
  <c r="B499" i="34"/>
  <c r="Y498" i="34"/>
  <c r="Z498" i="34" s="1"/>
  <c r="E498" i="34"/>
  <c r="B498" i="34"/>
  <c r="Y497" i="34"/>
  <c r="AA497" i="34" s="1"/>
  <c r="AB497" i="34" s="1"/>
  <c r="E497" i="34"/>
  <c r="B497" i="34"/>
  <c r="Y496" i="34"/>
  <c r="AA496" i="34" s="1"/>
  <c r="E496" i="34"/>
  <c r="B496" i="34"/>
  <c r="Y495" i="34"/>
  <c r="Z495" i="34" s="1"/>
  <c r="E495" i="34"/>
  <c r="B495" i="34"/>
  <c r="Y494" i="34"/>
  <c r="Z494" i="34" s="1"/>
  <c r="E494" i="34"/>
  <c r="B494" i="34"/>
  <c r="Y493" i="34"/>
  <c r="AA493" i="34" s="1"/>
  <c r="AB493" i="34" s="1"/>
  <c r="E493" i="34"/>
  <c r="B493" i="34"/>
  <c r="Y492" i="34"/>
  <c r="AA492" i="34" s="1"/>
  <c r="AB492" i="34" s="1"/>
  <c r="E492" i="34"/>
  <c r="B492" i="34"/>
  <c r="Y491" i="34"/>
  <c r="Z491" i="34" s="1"/>
  <c r="E491" i="34"/>
  <c r="B491" i="34"/>
  <c r="Y490" i="34"/>
  <c r="Z490" i="34" s="1"/>
  <c r="E490" i="34"/>
  <c r="B490" i="34"/>
  <c r="Y489" i="34"/>
  <c r="AA489" i="34" s="1"/>
  <c r="AB489" i="34" s="1"/>
  <c r="E489" i="34"/>
  <c r="B489" i="34"/>
  <c r="Y488" i="34"/>
  <c r="AA488" i="34" s="1"/>
  <c r="E488" i="34"/>
  <c r="B488" i="34"/>
  <c r="Y487" i="34"/>
  <c r="Z487" i="34" s="1"/>
  <c r="E487" i="34"/>
  <c r="B487" i="34"/>
  <c r="Y486" i="34"/>
  <c r="E486" i="34"/>
  <c r="B486" i="34"/>
  <c r="Y485" i="34"/>
  <c r="AA485" i="34" s="1"/>
  <c r="AB485" i="34" s="1"/>
  <c r="E485" i="34"/>
  <c r="B485" i="34"/>
  <c r="Y484" i="34"/>
  <c r="AA484" i="34" s="1"/>
  <c r="AB484" i="34" s="1"/>
  <c r="E484" i="34"/>
  <c r="B484" i="34"/>
  <c r="Y483" i="34"/>
  <c r="Z483" i="34" s="1"/>
  <c r="E483" i="34"/>
  <c r="B483" i="34"/>
  <c r="Y482" i="34"/>
  <c r="Z482" i="34" s="1"/>
  <c r="E482" i="34"/>
  <c r="B482" i="34"/>
  <c r="Y481" i="34"/>
  <c r="AA481" i="34" s="1"/>
  <c r="AB481" i="34" s="1"/>
  <c r="E481" i="34"/>
  <c r="B481" i="34"/>
  <c r="Y480" i="34"/>
  <c r="AA480" i="34" s="1"/>
  <c r="AB480" i="34" s="1"/>
  <c r="E480" i="34"/>
  <c r="B480" i="34"/>
  <c r="Y479" i="34"/>
  <c r="Z479" i="34" s="1"/>
  <c r="E479" i="34"/>
  <c r="B479" i="34"/>
  <c r="Y478" i="34"/>
  <c r="E478" i="34"/>
  <c r="B478" i="34"/>
  <c r="Y477" i="34"/>
  <c r="E477" i="34"/>
  <c r="B477" i="34"/>
  <c r="Y476" i="34"/>
  <c r="E476" i="34"/>
  <c r="B476" i="34"/>
  <c r="Y475" i="34"/>
  <c r="E475" i="34"/>
  <c r="B475" i="34"/>
  <c r="Y474" i="34"/>
  <c r="Z474" i="34" s="1"/>
  <c r="E474" i="34"/>
  <c r="B474" i="34"/>
  <c r="Y473" i="34"/>
  <c r="E473" i="34"/>
  <c r="B473" i="34"/>
  <c r="Y472" i="34"/>
  <c r="E472" i="34"/>
  <c r="B472" i="34"/>
  <c r="Y471" i="34"/>
  <c r="E471" i="34"/>
  <c r="B471" i="34"/>
  <c r="Y470" i="34"/>
  <c r="AA470" i="34" s="1"/>
  <c r="E470" i="34"/>
  <c r="B470" i="34"/>
  <c r="Y469" i="34"/>
  <c r="E469" i="34"/>
  <c r="B469" i="34"/>
  <c r="Y468" i="34"/>
  <c r="E468" i="34"/>
  <c r="B468" i="34"/>
  <c r="Y467" i="34"/>
  <c r="E467" i="34"/>
  <c r="B467" i="34"/>
  <c r="Y466" i="34"/>
  <c r="E466" i="34"/>
  <c r="B466" i="34"/>
  <c r="Y465" i="34"/>
  <c r="E465" i="34"/>
  <c r="B465" i="34"/>
  <c r="AM464" i="34"/>
  <c r="Y464" i="34"/>
  <c r="E464" i="34"/>
  <c r="B464" i="34"/>
  <c r="Y463" i="34"/>
  <c r="E463" i="34"/>
  <c r="B463" i="34"/>
  <c r="Y462" i="34"/>
  <c r="E462" i="34"/>
  <c r="B462" i="34"/>
  <c r="Y461" i="34"/>
  <c r="E461" i="34"/>
  <c r="B461" i="34"/>
  <c r="Y460" i="34"/>
  <c r="AA460" i="34" s="1"/>
  <c r="E460" i="34"/>
  <c r="B460" i="34"/>
  <c r="Y459" i="34"/>
  <c r="Z459" i="34" s="1"/>
  <c r="E459" i="34"/>
  <c r="B459" i="34"/>
  <c r="Y458" i="34"/>
  <c r="AA458" i="34" s="1"/>
  <c r="E458" i="34"/>
  <c r="B458" i="34"/>
  <c r="Y457" i="34"/>
  <c r="E457" i="34"/>
  <c r="B457" i="34"/>
  <c r="Y456" i="34"/>
  <c r="AA456" i="34" s="1"/>
  <c r="E456" i="34"/>
  <c r="B456" i="34"/>
  <c r="Y455" i="34"/>
  <c r="Z455" i="34" s="1"/>
  <c r="E455" i="34"/>
  <c r="B455" i="34"/>
  <c r="Y454" i="34"/>
  <c r="E454" i="34"/>
  <c r="B454" i="34"/>
  <c r="Y453" i="34"/>
  <c r="E453" i="34"/>
  <c r="Y452" i="34"/>
  <c r="E452" i="34"/>
  <c r="B452" i="34"/>
  <c r="Y451" i="34"/>
  <c r="B451" i="34"/>
  <c r="Y450" i="34"/>
  <c r="E450" i="34"/>
  <c r="B450" i="34"/>
  <c r="Y449" i="34"/>
  <c r="AA449" i="34" s="1"/>
  <c r="E449" i="34"/>
  <c r="B449" i="34"/>
  <c r="Y448" i="34"/>
  <c r="AA448" i="34" s="1"/>
  <c r="E448" i="34"/>
  <c r="B448" i="34"/>
  <c r="Y447" i="34"/>
  <c r="E447" i="34"/>
  <c r="B447" i="34"/>
  <c r="Y446" i="34"/>
  <c r="AA446" i="34" s="1"/>
  <c r="AC446" i="34" s="1"/>
  <c r="E446" i="34"/>
  <c r="B446" i="34"/>
  <c r="Y445" i="34"/>
  <c r="E445" i="34"/>
  <c r="B445" i="34"/>
  <c r="Y444" i="34"/>
  <c r="AA444" i="34" s="1"/>
  <c r="AB444" i="34" s="1"/>
  <c r="E444" i="34"/>
  <c r="B444" i="34"/>
  <c r="Y443" i="34"/>
  <c r="E443" i="34"/>
  <c r="B443" i="34"/>
  <c r="Y442" i="34"/>
  <c r="AA442" i="34" s="1"/>
  <c r="E442" i="34"/>
  <c r="B442" i="34"/>
  <c r="Y441" i="34"/>
  <c r="Z441" i="34" s="1"/>
  <c r="E441" i="34"/>
  <c r="B441" i="34"/>
  <c r="Y440" i="34"/>
  <c r="AA440" i="34" s="1"/>
  <c r="AB440" i="34" s="1"/>
  <c r="E440" i="34"/>
  <c r="B440" i="34"/>
  <c r="Y439" i="34"/>
  <c r="E439" i="34"/>
  <c r="B439" i="34"/>
  <c r="Y438" i="34"/>
  <c r="E438" i="34"/>
  <c r="B438" i="34"/>
  <c r="Y437" i="34"/>
  <c r="E437" i="34"/>
  <c r="B437" i="34"/>
  <c r="Y436" i="34"/>
  <c r="AA436" i="34" s="1"/>
  <c r="AB436" i="34" s="1"/>
  <c r="E436" i="34"/>
  <c r="B436" i="34"/>
  <c r="Y435" i="34"/>
  <c r="E435" i="34"/>
  <c r="B435" i="34"/>
  <c r="Y434" i="34"/>
  <c r="AA434" i="34" s="1"/>
  <c r="AC434" i="34" s="1"/>
  <c r="E434" i="34"/>
  <c r="B434" i="34"/>
  <c r="Y433" i="34"/>
  <c r="Z433" i="34" s="1"/>
  <c r="E433" i="34"/>
  <c r="B433" i="34"/>
  <c r="Y432" i="34"/>
  <c r="AA432" i="34" s="1"/>
  <c r="AB432" i="34" s="1"/>
  <c r="E432" i="34"/>
  <c r="B432" i="34"/>
  <c r="Y431" i="34"/>
  <c r="E431" i="34"/>
  <c r="B431" i="34"/>
  <c r="Y430" i="34"/>
  <c r="E430" i="34"/>
  <c r="B430" i="34"/>
  <c r="Y429" i="34"/>
  <c r="E429" i="34"/>
  <c r="B429" i="34"/>
  <c r="Y428" i="34"/>
  <c r="AA428" i="34" s="1"/>
  <c r="AB428" i="34" s="1"/>
  <c r="E428" i="34"/>
  <c r="B428" i="34"/>
  <c r="Y427" i="34"/>
  <c r="E427" i="34"/>
  <c r="B427" i="34"/>
  <c r="Y426" i="34"/>
  <c r="Z426" i="34" s="1"/>
  <c r="E426" i="34"/>
  <c r="B426" i="34"/>
  <c r="Y425" i="34"/>
  <c r="E425" i="34"/>
  <c r="B425" i="34"/>
  <c r="Y424" i="34"/>
  <c r="E424" i="34"/>
  <c r="B424" i="34"/>
  <c r="Y423" i="34"/>
  <c r="E423" i="34"/>
  <c r="B423" i="34"/>
  <c r="Y422" i="34"/>
  <c r="AA422" i="34" s="1"/>
  <c r="E422" i="34"/>
  <c r="B422" i="34"/>
  <c r="Y421" i="34"/>
  <c r="E421" i="34"/>
  <c r="B421" i="34"/>
  <c r="Y420" i="34"/>
  <c r="AA420" i="34" s="1"/>
  <c r="E420" i="34"/>
  <c r="B420" i="34"/>
  <c r="Y419" i="34"/>
  <c r="E419" i="34"/>
  <c r="B419" i="34"/>
  <c r="Y418" i="34"/>
  <c r="Z418" i="34" s="1"/>
  <c r="E418" i="34"/>
  <c r="B418" i="34"/>
  <c r="Y417" i="34"/>
  <c r="E417" i="34"/>
  <c r="B417" i="34"/>
  <c r="Y416" i="34"/>
  <c r="AA416" i="34" s="1"/>
  <c r="AB416" i="34" s="1"/>
  <c r="E416" i="34"/>
  <c r="B416" i="34"/>
  <c r="Y415" i="34"/>
  <c r="E415" i="34"/>
  <c r="B415" i="34"/>
  <c r="Y414" i="34"/>
  <c r="E414" i="34"/>
  <c r="B414" i="34"/>
  <c r="Y413" i="34"/>
  <c r="B413" i="34"/>
  <c r="Y412" i="34"/>
  <c r="E412" i="34"/>
  <c r="B412" i="34"/>
  <c r="Y411" i="34"/>
  <c r="Z411" i="34" s="1"/>
  <c r="E411" i="34"/>
  <c r="B411" i="34"/>
  <c r="Y410" i="34"/>
  <c r="E410" i="34"/>
  <c r="B410" i="34"/>
  <c r="Y409" i="34"/>
  <c r="AA409" i="34" s="1"/>
  <c r="AB409" i="34" s="1"/>
  <c r="E409" i="34"/>
  <c r="B409" i="34"/>
  <c r="Y408" i="34"/>
  <c r="E408" i="34"/>
  <c r="B408" i="34"/>
  <c r="Y407" i="34"/>
  <c r="Z407" i="34" s="1"/>
  <c r="E407" i="34"/>
  <c r="B407" i="34"/>
  <c r="Y406" i="34"/>
  <c r="E406" i="34"/>
  <c r="B406" i="34"/>
  <c r="Y405" i="34"/>
  <c r="AA405" i="34" s="1"/>
  <c r="AB405" i="34" s="1"/>
  <c r="E405" i="34"/>
  <c r="B405" i="34"/>
  <c r="Y404" i="34"/>
  <c r="E404" i="34"/>
  <c r="B404" i="34"/>
  <c r="Y403" i="34"/>
  <c r="E403" i="34"/>
  <c r="B403" i="34"/>
  <c r="Y402" i="34"/>
  <c r="AA402" i="34" s="1"/>
  <c r="E402" i="34"/>
  <c r="B402" i="34"/>
  <c r="Y401" i="34"/>
  <c r="AA401" i="34" s="1"/>
  <c r="AB401" i="34" s="1"/>
  <c r="E401" i="34"/>
  <c r="B401" i="34"/>
  <c r="Y400" i="34"/>
  <c r="E400" i="34"/>
  <c r="B400" i="34"/>
  <c r="Y399" i="34"/>
  <c r="Z399" i="34" s="1"/>
  <c r="E399" i="34"/>
  <c r="B399" i="34"/>
  <c r="Y398" i="34"/>
  <c r="E398" i="34"/>
  <c r="B398" i="34"/>
  <c r="Y397" i="34"/>
  <c r="AA397" i="34" s="1"/>
  <c r="E397" i="34"/>
  <c r="B397" i="34"/>
  <c r="Y396" i="34"/>
  <c r="E396" i="34"/>
  <c r="B396" i="34"/>
  <c r="Y395" i="34"/>
  <c r="U395" i="34"/>
  <c r="B395" i="34"/>
  <c r="Y394" i="34"/>
  <c r="E394" i="34"/>
  <c r="B394" i="34"/>
  <c r="Y393" i="34"/>
  <c r="AA393" i="34" s="1"/>
  <c r="AC393" i="34" s="1"/>
  <c r="U393" i="34"/>
  <c r="B393" i="34"/>
  <c r="Y392" i="34"/>
  <c r="B392" i="34"/>
  <c r="Y391" i="34"/>
  <c r="AA391" i="34" s="1"/>
  <c r="B391" i="34"/>
  <c r="Y390" i="34"/>
  <c r="E390" i="34"/>
  <c r="B390" i="34"/>
  <c r="Y389" i="34"/>
  <c r="AA389" i="34" s="1"/>
  <c r="AC389" i="34" s="1"/>
  <c r="U389" i="34"/>
  <c r="B389" i="34"/>
  <c r="Y388" i="34"/>
  <c r="E388" i="34"/>
  <c r="B388" i="34"/>
  <c r="Y387" i="34"/>
  <c r="E387" i="34"/>
  <c r="B387" i="34"/>
  <c r="Y386" i="34"/>
  <c r="Z386" i="34" s="1"/>
  <c r="E386" i="34"/>
  <c r="B386" i="34"/>
  <c r="Y385" i="34"/>
  <c r="AA385" i="34" s="1"/>
  <c r="AB385" i="34" s="1"/>
  <c r="E385" i="34"/>
  <c r="B385" i="34"/>
  <c r="Y384" i="34"/>
  <c r="E384" i="34"/>
  <c r="B384" i="34"/>
  <c r="Y383" i="34"/>
  <c r="AA383" i="34" s="1"/>
  <c r="AC383" i="34" s="1"/>
  <c r="U383" i="34"/>
  <c r="B383" i="34"/>
  <c r="Y382" i="34"/>
  <c r="E382" i="34"/>
  <c r="B382" i="34"/>
  <c r="Y381" i="34"/>
  <c r="AA381" i="34" s="1"/>
  <c r="AC381" i="34" s="1"/>
  <c r="E381" i="34"/>
  <c r="B381" i="34"/>
  <c r="Y380" i="34"/>
  <c r="Z380" i="34" s="1"/>
  <c r="E380" i="34"/>
  <c r="B380" i="34"/>
  <c r="AK379" i="34"/>
  <c r="Y379" i="34"/>
  <c r="AA379" i="34" s="1"/>
  <c r="AC379" i="34" s="1"/>
  <c r="B379" i="34"/>
  <c r="Y378" i="34"/>
  <c r="U378" i="34"/>
  <c r="B378" i="34"/>
  <c r="Y377" i="34"/>
  <c r="E377" i="34"/>
  <c r="B377" i="34"/>
  <c r="Y376" i="34"/>
  <c r="E376" i="34"/>
  <c r="B376" i="34"/>
  <c r="Y375" i="34"/>
  <c r="E375" i="34"/>
  <c r="B375" i="34"/>
  <c r="AK374" i="34"/>
  <c r="Y374" i="34"/>
  <c r="AA374" i="34" s="1"/>
  <c r="AC374" i="34" s="1"/>
  <c r="B374" i="34"/>
  <c r="AK373" i="34"/>
  <c r="Y373" i="34"/>
  <c r="B373" i="34"/>
  <c r="AK372" i="34"/>
  <c r="Y372" i="34"/>
  <c r="AA372" i="34" s="1"/>
  <c r="AC372" i="34" s="1"/>
  <c r="B372" i="34"/>
  <c r="Y371" i="34"/>
  <c r="AA371" i="34" s="1"/>
  <c r="AC371" i="34" s="1"/>
  <c r="U371" i="34"/>
  <c r="B371" i="34"/>
  <c r="Y370" i="34"/>
  <c r="E370" i="34"/>
  <c r="B370" i="34"/>
  <c r="Z369" i="34"/>
  <c r="Y369" i="34"/>
  <c r="AA369" i="34" s="1"/>
  <c r="AC369" i="34" s="1"/>
  <c r="E369" i="34"/>
  <c r="B369" i="34"/>
  <c r="AA368" i="34"/>
  <c r="Y368" i="34"/>
  <c r="Z368" i="34" s="1"/>
  <c r="E368" i="34"/>
  <c r="B368" i="34"/>
  <c r="Y367" i="34"/>
  <c r="B367" i="34"/>
  <c r="AK366" i="34"/>
  <c r="Y366" i="34"/>
  <c r="B366" i="34"/>
  <c r="AK365" i="34"/>
  <c r="Y365" i="34"/>
  <c r="B365" i="34"/>
  <c r="Y364" i="34"/>
  <c r="U364" i="34"/>
  <c r="B364" i="34"/>
  <c r="AK363" i="34"/>
  <c r="AA363" i="34"/>
  <c r="AC363" i="34" s="1"/>
  <c r="Y363" i="34"/>
  <c r="Z363" i="34" s="1"/>
  <c r="B363" i="34"/>
  <c r="AK362" i="34"/>
  <c r="Y362" i="34"/>
  <c r="AA362" i="34" s="1"/>
  <c r="AC362" i="34" s="1"/>
  <c r="B362" i="34"/>
  <c r="AK361" i="34"/>
  <c r="Y361" i="34"/>
  <c r="E361" i="34"/>
  <c r="B361" i="34"/>
  <c r="Y360" i="34"/>
  <c r="Z360" i="34" s="1"/>
  <c r="U360" i="34"/>
  <c r="B360" i="34"/>
  <c r="AK359" i="34"/>
  <c r="Y359" i="34"/>
  <c r="AA359" i="34" s="1"/>
  <c r="E359" i="34"/>
  <c r="B359" i="34"/>
  <c r="Y358" i="34"/>
  <c r="AA358" i="34" s="1"/>
  <c r="U358" i="34"/>
  <c r="E358" i="34"/>
  <c r="B358" i="34"/>
  <c r="Y357" i="34"/>
  <c r="AA357" i="34" s="1"/>
  <c r="AB357" i="34" s="1"/>
  <c r="E357" i="34"/>
  <c r="B357" i="34"/>
  <c r="Y356" i="34"/>
  <c r="E356" i="34"/>
  <c r="B356" i="34"/>
  <c r="Y355" i="34"/>
  <c r="Z355" i="34" s="1"/>
  <c r="E355" i="34"/>
  <c r="B355" i="34"/>
  <c r="Y354" i="34"/>
  <c r="Z354" i="34" s="1"/>
  <c r="E354" i="34"/>
  <c r="B354" i="34"/>
  <c r="Y353" i="34"/>
  <c r="B353" i="34"/>
  <c r="AK352" i="34"/>
  <c r="Y352" i="34"/>
  <c r="B352" i="34"/>
  <c r="AK351" i="34"/>
  <c r="Y351" i="34"/>
  <c r="B351" i="34"/>
  <c r="AK350" i="34"/>
  <c r="Y350" i="34"/>
  <c r="AA350" i="34" s="1"/>
  <c r="E350" i="34"/>
  <c r="B350" i="34"/>
  <c r="Y349" i="34"/>
  <c r="Z349" i="34" s="1"/>
  <c r="U349" i="34"/>
  <c r="B349" i="34"/>
  <c r="Y348" i="34"/>
  <c r="AA348" i="34" s="1"/>
  <c r="AB348" i="34" s="1"/>
  <c r="E348" i="34"/>
  <c r="B348" i="34"/>
  <c r="Y347" i="34"/>
  <c r="E347" i="34"/>
  <c r="B347" i="34"/>
  <c r="Y346" i="34"/>
  <c r="Z346" i="34" s="1"/>
  <c r="E346" i="34"/>
  <c r="B346" i="34"/>
  <c r="AK345" i="34"/>
  <c r="Y345" i="34"/>
  <c r="E345" i="34"/>
  <c r="B345" i="34"/>
  <c r="AK344" i="34"/>
  <c r="Y344" i="34"/>
  <c r="AA344" i="34" s="1"/>
  <c r="E344" i="34"/>
  <c r="B344" i="34"/>
  <c r="Y343" i="34"/>
  <c r="Z343" i="34" s="1"/>
  <c r="U343" i="34"/>
  <c r="E343" i="34"/>
  <c r="B343" i="34"/>
  <c r="Y342" i="34"/>
  <c r="E342" i="34"/>
  <c r="B342" i="34"/>
  <c r="AK341" i="34"/>
  <c r="Y341" i="34"/>
  <c r="AA341" i="34" s="1"/>
  <c r="AC341" i="34" s="1"/>
  <c r="B341" i="34"/>
  <c r="AK340" i="34"/>
  <c r="Y340" i="34"/>
  <c r="AA340" i="34" s="1"/>
  <c r="AB340" i="34" s="1"/>
  <c r="E340" i="34"/>
  <c r="B340" i="34"/>
  <c r="Y339" i="34"/>
  <c r="AA339" i="34" s="1"/>
  <c r="AC339" i="34" s="1"/>
  <c r="U339" i="34"/>
  <c r="B339" i="34"/>
  <c r="Y338" i="34"/>
  <c r="AA338" i="34" s="1"/>
  <c r="AB338" i="34" s="1"/>
  <c r="E338" i="34"/>
  <c r="B338" i="34"/>
  <c r="AK337" i="34"/>
  <c r="Y337" i="34"/>
  <c r="Z337" i="34" s="1"/>
  <c r="E337" i="34"/>
  <c r="B337" i="34"/>
  <c r="Y336" i="34"/>
  <c r="Z336" i="34" s="1"/>
  <c r="U336" i="34"/>
  <c r="E336" i="34"/>
  <c r="B336" i="34"/>
  <c r="Y335" i="34"/>
  <c r="E335" i="34"/>
  <c r="B335" i="34"/>
  <c r="Y334" i="34"/>
  <c r="E334" i="34"/>
  <c r="B334" i="34"/>
  <c r="Y333" i="34"/>
  <c r="AA333" i="34" s="1"/>
  <c r="AB333" i="34" s="1"/>
  <c r="E333" i="34"/>
  <c r="B333" i="34"/>
  <c r="Y332" i="34"/>
  <c r="E332" i="34"/>
  <c r="B332" i="34"/>
  <c r="Y331" i="34"/>
  <c r="Z331" i="34" s="1"/>
  <c r="E331" i="34"/>
  <c r="B331" i="34"/>
  <c r="Y330" i="34"/>
  <c r="B330" i="34"/>
  <c r="Y329" i="34"/>
  <c r="B329" i="34"/>
  <c r="Y328" i="34"/>
  <c r="AA328" i="34" s="1"/>
  <c r="E328" i="34"/>
  <c r="B328" i="34"/>
  <c r="Y327" i="34"/>
  <c r="AA327" i="34" s="1"/>
  <c r="AB327" i="34" s="1"/>
  <c r="E327" i="34"/>
  <c r="B327" i="34"/>
  <c r="Y326" i="34"/>
  <c r="E326" i="34"/>
  <c r="B326" i="34"/>
  <c r="Y325" i="34"/>
  <c r="Z325" i="34" s="1"/>
  <c r="E325" i="34"/>
  <c r="B325" i="34"/>
  <c r="Y324" i="34"/>
  <c r="Z324" i="34" s="1"/>
  <c r="E324" i="34"/>
  <c r="B324" i="34"/>
  <c r="Y323" i="34"/>
  <c r="AA323" i="34" s="1"/>
  <c r="E323" i="34"/>
  <c r="B323" i="34"/>
  <c r="Y322" i="34"/>
  <c r="Z322" i="34" s="1"/>
  <c r="B322" i="34"/>
  <c r="AK321" i="34"/>
  <c r="Y321" i="34"/>
  <c r="AA321" i="34" s="1"/>
  <c r="AC321" i="34" s="1"/>
  <c r="B321" i="34"/>
  <c r="AK320" i="34"/>
  <c r="Y320" i="34"/>
  <c r="AA320" i="34" s="1"/>
  <c r="AC320" i="34" s="1"/>
  <c r="B320" i="34"/>
  <c r="Y319" i="34"/>
  <c r="AA319" i="34" s="1"/>
  <c r="AC319" i="34" s="1"/>
  <c r="U319" i="34"/>
  <c r="B319" i="34"/>
  <c r="AK318" i="34"/>
  <c r="Y318" i="34"/>
  <c r="B318" i="34"/>
  <c r="AK317" i="34"/>
  <c r="Y317" i="34"/>
  <c r="B317" i="34"/>
  <c r="Y316" i="34"/>
  <c r="U316" i="34"/>
  <c r="B316" i="34"/>
  <c r="AK315" i="34"/>
  <c r="Y315" i="34"/>
  <c r="Z315" i="34" s="1"/>
  <c r="B315" i="34"/>
  <c r="AK314" i="34"/>
  <c r="Y314" i="34"/>
  <c r="AA314" i="34" s="1"/>
  <c r="AC314" i="34" s="1"/>
  <c r="B314" i="34"/>
  <c r="AK313" i="34"/>
  <c r="Y313" i="34"/>
  <c r="B313" i="34"/>
  <c r="AK312" i="34"/>
  <c r="Y312" i="34"/>
  <c r="AA312" i="34" s="1"/>
  <c r="AC312" i="34" s="1"/>
  <c r="B312" i="34"/>
  <c r="Y311" i="34"/>
  <c r="Z311" i="34" s="1"/>
  <c r="B311" i="34"/>
  <c r="Y310" i="34"/>
  <c r="U310" i="34"/>
  <c r="B310" i="34"/>
  <c r="AK309" i="34"/>
  <c r="Y309" i="34"/>
  <c r="Z309" i="34" s="1"/>
  <c r="B309" i="34"/>
  <c r="Y308" i="34"/>
  <c r="Z308" i="34" s="1"/>
  <c r="U308" i="34"/>
  <c r="B308" i="34"/>
  <c r="Y307" i="34"/>
  <c r="AA307" i="34" s="1"/>
  <c r="AB307" i="34" s="1"/>
  <c r="E307" i="34"/>
  <c r="B307" i="34"/>
  <c r="Y306" i="34"/>
  <c r="E306" i="34"/>
  <c r="B306" i="34"/>
  <c r="Y305" i="34"/>
  <c r="Z305" i="34" s="1"/>
  <c r="E305" i="34"/>
  <c r="B305" i="34"/>
  <c r="Y304" i="34"/>
  <c r="Z304" i="34" s="1"/>
  <c r="E304" i="34"/>
  <c r="B304" i="34"/>
  <c r="AK303" i="34"/>
  <c r="Y303" i="34"/>
  <c r="E303" i="34"/>
  <c r="B303" i="34"/>
  <c r="Y302" i="34"/>
  <c r="U302" i="34"/>
  <c r="E302" i="34"/>
  <c r="B302" i="34"/>
  <c r="AK301" i="34"/>
  <c r="Y301" i="34"/>
  <c r="AA301" i="34" s="1"/>
  <c r="E301" i="34"/>
  <c r="B301" i="34"/>
  <c r="Y300" i="34"/>
  <c r="AA300" i="34" s="1"/>
  <c r="U300" i="34"/>
  <c r="E300" i="34"/>
  <c r="B300" i="34"/>
  <c r="Y299" i="34"/>
  <c r="B299" i="34"/>
  <c r="AK298" i="34"/>
  <c r="Y298" i="34"/>
  <c r="B298" i="34"/>
  <c r="AK297" i="34"/>
  <c r="Y297" i="34"/>
  <c r="B297" i="34"/>
  <c r="AK296" i="34"/>
  <c r="Y296" i="34"/>
  <c r="B296" i="34"/>
  <c r="AK295" i="34"/>
  <c r="Y295" i="34"/>
  <c r="B295" i="34"/>
  <c r="Y294" i="34"/>
  <c r="U294" i="34"/>
  <c r="B294" i="34"/>
  <c r="AK293" i="34"/>
  <c r="Y293" i="34"/>
  <c r="AA293" i="34" s="1"/>
  <c r="AC293" i="34" s="1"/>
  <c r="B293" i="34"/>
  <c r="AK292" i="34"/>
  <c r="Y292" i="34"/>
  <c r="Z292" i="34" s="1"/>
  <c r="B292" i="34"/>
  <c r="AK291" i="34"/>
  <c r="Y291" i="34"/>
  <c r="E291" i="34"/>
  <c r="B291" i="34"/>
  <c r="Y290" i="34"/>
  <c r="AA290" i="34" s="1"/>
  <c r="AC290" i="34" s="1"/>
  <c r="U290" i="34"/>
  <c r="B290" i="34"/>
  <c r="Y289" i="34"/>
  <c r="Z289" i="34" s="1"/>
  <c r="B289" i="34"/>
  <c r="Y288" i="34"/>
  <c r="U288" i="34"/>
  <c r="B288" i="34"/>
  <c r="Y287" i="34"/>
  <c r="AA287" i="34" s="1"/>
  <c r="E287" i="34"/>
  <c r="B287" i="34"/>
  <c r="AK286" i="34"/>
  <c r="Y286" i="34"/>
  <c r="AA286" i="34" s="1"/>
  <c r="AC286" i="34" s="1"/>
  <c r="B286" i="34"/>
  <c r="Y285" i="34"/>
  <c r="AA285" i="34" s="1"/>
  <c r="AC285" i="34" s="1"/>
  <c r="U285" i="34"/>
  <c r="B285" i="34"/>
  <c r="Y284" i="34"/>
  <c r="Z284" i="34" s="1"/>
  <c r="B284" i="34"/>
  <c r="Y283" i="34"/>
  <c r="B283" i="34"/>
  <c r="Y282" i="34"/>
  <c r="AA282" i="34" s="1"/>
  <c r="AC282" i="34" s="1"/>
  <c r="B282" i="34"/>
  <c r="Y281" i="34"/>
  <c r="Z281" i="34" s="1"/>
  <c r="B281" i="34"/>
  <c r="AK280" i="34"/>
  <c r="Y280" i="34"/>
  <c r="Z280" i="34" s="1"/>
  <c r="B280" i="34"/>
  <c r="Y279" i="34"/>
  <c r="Z279" i="34" s="1"/>
  <c r="U279" i="34"/>
  <c r="E279" i="34"/>
  <c r="B279" i="34"/>
  <c r="Y278" i="34"/>
  <c r="AA278" i="34" s="1"/>
  <c r="E278" i="34"/>
  <c r="B278" i="34"/>
  <c r="Y277" i="34"/>
  <c r="E277" i="34"/>
  <c r="B277" i="34"/>
  <c r="AK276" i="34"/>
  <c r="Y276" i="34"/>
  <c r="AA276" i="34" s="1"/>
  <c r="B276" i="34"/>
  <c r="Y275" i="34"/>
  <c r="AA275" i="34" s="1"/>
  <c r="U275" i="34"/>
  <c r="B275" i="34"/>
  <c r="AK274" i="34"/>
  <c r="Y274" i="34"/>
  <c r="Z274" i="34" s="1"/>
  <c r="B274" i="34"/>
  <c r="AK273" i="34"/>
  <c r="Y273" i="34"/>
  <c r="H273" i="34"/>
  <c r="U270" i="34" s="1"/>
  <c r="B273" i="34"/>
  <c r="AK272" i="34"/>
  <c r="Y272" i="34"/>
  <c r="E272" i="34"/>
  <c r="B272" i="34"/>
  <c r="AK271" i="34"/>
  <c r="Y271" i="34"/>
  <c r="E271" i="34"/>
  <c r="B271" i="34"/>
  <c r="Y270" i="34"/>
  <c r="AA270" i="34" s="1"/>
  <c r="AC270" i="34" s="1"/>
  <c r="B270" i="34"/>
  <c r="Y269" i="34"/>
  <c r="E269" i="34"/>
  <c r="B269" i="34"/>
  <c r="Y268" i="34"/>
  <c r="E268" i="34"/>
  <c r="B268" i="34"/>
  <c r="Y267" i="34"/>
  <c r="E267" i="34"/>
  <c r="B267" i="34"/>
  <c r="Y266" i="34"/>
  <c r="AA266" i="34" s="1"/>
  <c r="AB266" i="34" s="1"/>
  <c r="E266" i="34"/>
  <c r="B266" i="34"/>
  <c r="Y265" i="34"/>
  <c r="Z265" i="34" s="1"/>
  <c r="E265" i="34"/>
  <c r="B265" i="34"/>
  <c r="Y264" i="34"/>
  <c r="AA264" i="34" s="1"/>
  <c r="AC264" i="34" s="1"/>
  <c r="B264" i="34"/>
  <c r="Y263" i="34"/>
  <c r="U263" i="34"/>
  <c r="B263" i="34"/>
  <c r="Y262" i="34"/>
  <c r="E262" i="34"/>
  <c r="B262" i="34"/>
  <c r="AK261" i="34"/>
  <c r="Y261" i="34"/>
  <c r="AA261" i="34" s="1"/>
  <c r="B261" i="34"/>
  <c r="AK260" i="34"/>
  <c r="Y260" i="34"/>
  <c r="B260" i="34"/>
  <c r="AK259" i="34"/>
  <c r="Y259" i="34"/>
  <c r="Z259" i="34" s="1"/>
  <c r="B259" i="34"/>
  <c r="Y258" i="34"/>
  <c r="AA258" i="34" s="1"/>
  <c r="U258" i="34"/>
  <c r="B258" i="34"/>
  <c r="Y257" i="34"/>
  <c r="E257" i="34"/>
  <c r="B257" i="34"/>
  <c r="Y256" i="34"/>
  <c r="E256" i="34"/>
  <c r="B256" i="34"/>
  <c r="Y255" i="34"/>
  <c r="B255" i="34"/>
  <c r="AK254" i="34"/>
  <c r="Y254" i="34"/>
  <c r="AA254" i="34" s="1"/>
  <c r="B254" i="34"/>
  <c r="AK253" i="34"/>
  <c r="Y253" i="34"/>
  <c r="B253" i="34"/>
  <c r="Y252" i="34"/>
  <c r="U252" i="34"/>
  <c r="B252" i="34"/>
  <c r="Y251" i="34"/>
  <c r="AA251" i="34" s="1"/>
  <c r="E251" i="34"/>
  <c r="B251" i="34"/>
  <c r="Y250" i="34"/>
  <c r="B250" i="34"/>
  <c r="AK249" i="34"/>
  <c r="Y249" i="34"/>
  <c r="B249" i="34"/>
  <c r="AK248" i="34"/>
  <c r="Y248" i="34"/>
  <c r="AA248" i="34" s="1"/>
  <c r="B248" i="34"/>
  <c r="Y247" i="34"/>
  <c r="U247" i="34"/>
  <c r="B247" i="34"/>
  <c r="Y246" i="34"/>
  <c r="E246" i="34"/>
  <c r="B246" i="34"/>
  <c r="Y245" i="34"/>
  <c r="Z245" i="34" s="1"/>
  <c r="B245" i="34"/>
  <c r="AK244" i="34"/>
  <c r="Y244" i="34"/>
  <c r="B244" i="34"/>
  <c r="AK243" i="34"/>
  <c r="Y243" i="34"/>
  <c r="E243" i="34"/>
  <c r="B243" i="34"/>
  <c r="Y242" i="34"/>
  <c r="AA242" i="34" s="1"/>
  <c r="AC242" i="34" s="1"/>
  <c r="U242" i="34"/>
  <c r="B242" i="34"/>
  <c r="Y241" i="34"/>
  <c r="AA241" i="34" s="1"/>
  <c r="AB241" i="34" s="1"/>
  <c r="E241" i="34"/>
  <c r="B241" i="34"/>
  <c r="Y240" i="34"/>
  <c r="Z240" i="34" s="1"/>
  <c r="E240" i="34"/>
  <c r="B240" i="34"/>
  <c r="AK239" i="34"/>
  <c r="Y239" i="34"/>
  <c r="AA239" i="34" s="1"/>
  <c r="AC239" i="34" s="1"/>
  <c r="B239" i="34"/>
  <c r="Y238" i="34"/>
  <c r="AA238" i="34" s="1"/>
  <c r="AC238" i="34" s="1"/>
  <c r="U238" i="34"/>
  <c r="B238" i="34"/>
  <c r="Y237" i="34"/>
  <c r="Z237" i="34" s="1"/>
  <c r="E237" i="34"/>
  <c r="B237" i="34"/>
  <c r="Y236" i="34"/>
  <c r="AA236" i="34" s="1"/>
  <c r="E236" i="34"/>
  <c r="B236" i="34"/>
  <c r="Y235" i="34"/>
  <c r="Z235" i="34" s="1"/>
  <c r="E235" i="34"/>
  <c r="B235" i="34"/>
  <c r="Y234" i="34"/>
  <c r="Z234" i="34" s="1"/>
  <c r="E234" i="34"/>
  <c r="B234" i="34"/>
  <c r="Y233" i="34"/>
  <c r="AA233" i="34" s="1"/>
  <c r="AB233" i="34" s="1"/>
  <c r="E233" i="34"/>
  <c r="B233" i="34"/>
  <c r="Y232" i="34"/>
  <c r="AA232" i="34" s="1"/>
  <c r="AC232" i="34" s="1"/>
  <c r="E232" i="34"/>
  <c r="B232" i="34"/>
  <c r="AK231" i="34"/>
  <c r="Y231" i="34"/>
  <c r="Z231" i="34" s="1"/>
  <c r="B231" i="34"/>
  <c r="AK230" i="34"/>
  <c r="Y230" i="34"/>
  <c r="AA230" i="34" s="1"/>
  <c r="AC230" i="34" s="1"/>
  <c r="B230" i="34"/>
  <c r="Y229" i="34"/>
  <c r="AA229" i="34" s="1"/>
  <c r="AC229" i="34" s="1"/>
  <c r="U229" i="34"/>
  <c r="B229" i="34"/>
  <c r="AK228" i="34"/>
  <c r="Y228" i="34"/>
  <c r="AA228" i="34" s="1"/>
  <c r="AC228" i="34" s="1"/>
  <c r="B228" i="34"/>
  <c r="Y227" i="34"/>
  <c r="AA227" i="34" s="1"/>
  <c r="AC227" i="34" s="1"/>
  <c r="U227" i="34"/>
  <c r="B227" i="34"/>
  <c r="Y226" i="34"/>
  <c r="Z226" i="34" s="1"/>
  <c r="E226" i="34"/>
  <c r="B226" i="34"/>
  <c r="Y225" i="34"/>
  <c r="AA225" i="34" s="1"/>
  <c r="AC225" i="34" s="1"/>
  <c r="B225" i="34"/>
  <c r="AK224" i="34"/>
  <c r="Y224" i="34"/>
  <c r="Z224" i="34" s="1"/>
  <c r="B224" i="34"/>
  <c r="AK223" i="34"/>
  <c r="Y223" i="34"/>
  <c r="AA223" i="34" s="1"/>
  <c r="AC223" i="34" s="1"/>
  <c r="B223" i="34"/>
  <c r="AK222" i="34"/>
  <c r="Y222" i="34"/>
  <c r="Z222" i="34" s="1"/>
  <c r="B222" i="34"/>
  <c r="AK221" i="34"/>
  <c r="Y221" i="34"/>
  <c r="Z221" i="34" s="1"/>
  <c r="B221" i="34"/>
  <c r="AK220" i="34"/>
  <c r="Y220" i="34"/>
  <c r="Z220" i="34" s="1"/>
  <c r="B220" i="34"/>
  <c r="AK219" i="34"/>
  <c r="Y219" i="34"/>
  <c r="AA219" i="34" s="1"/>
  <c r="AC219" i="34" s="1"/>
  <c r="B219" i="34"/>
  <c r="AK218" i="34"/>
  <c r="Y218" i="34"/>
  <c r="Z218" i="34" s="1"/>
  <c r="B218" i="34"/>
  <c r="Y217" i="34"/>
  <c r="Z217" i="34" s="1"/>
  <c r="U217" i="34"/>
  <c r="B217" i="34"/>
  <c r="Y216" i="34"/>
  <c r="AA216" i="34" s="1"/>
  <c r="AC216" i="34" s="1"/>
  <c r="B216" i="34"/>
  <c r="Y215" i="34"/>
  <c r="Z215" i="34" s="1"/>
  <c r="B215" i="34"/>
  <c r="Y214" i="34"/>
  <c r="Z214" i="34" s="1"/>
  <c r="B214" i="34"/>
  <c r="Y213" i="34"/>
  <c r="B213" i="34"/>
  <c r="Y212" i="34"/>
  <c r="AA212" i="34" s="1"/>
  <c r="AC212" i="34" s="1"/>
  <c r="B212" i="34"/>
  <c r="Y211" i="34"/>
  <c r="AA211" i="34" s="1"/>
  <c r="AC211" i="34" s="1"/>
  <c r="B211" i="34"/>
  <c r="Y210" i="34"/>
  <c r="AA210" i="34" s="1"/>
  <c r="AC210" i="34" s="1"/>
  <c r="U210" i="34"/>
  <c r="B210" i="34"/>
  <c r="AK209" i="34"/>
  <c r="Y209" i="34"/>
  <c r="Z209" i="34" s="1"/>
  <c r="B209" i="34"/>
  <c r="AK208" i="34"/>
  <c r="Y208" i="34"/>
  <c r="Z208" i="34" s="1"/>
  <c r="B208" i="34"/>
  <c r="AK207" i="34"/>
  <c r="Y207" i="34"/>
  <c r="AA207" i="34" s="1"/>
  <c r="E207" i="34"/>
  <c r="B207" i="34"/>
  <c r="Y206" i="34"/>
  <c r="AA206" i="34" s="1"/>
  <c r="AC206" i="34" s="1"/>
  <c r="U206" i="34"/>
  <c r="B206" i="34"/>
  <c r="Y205" i="34"/>
  <c r="AA205" i="34" s="1"/>
  <c r="AC205" i="34" s="1"/>
  <c r="E205" i="34"/>
  <c r="B205" i="34"/>
  <c r="AK204" i="34"/>
  <c r="Y204" i="34"/>
  <c r="Z204" i="34" s="1"/>
  <c r="B204" i="34"/>
  <c r="AK203" i="34"/>
  <c r="Y203" i="34"/>
  <c r="AA203" i="34" s="1"/>
  <c r="AC203" i="34" s="1"/>
  <c r="B203" i="34"/>
  <c r="AK202" i="34"/>
  <c r="Y202" i="34"/>
  <c r="Z202" i="34" s="1"/>
  <c r="B202" i="34"/>
  <c r="Y201" i="34"/>
  <c r="Z201" i="34" s="1"/>
  <c r="U201" i="34"/>
  <c r="B201" i="34"/>
  <c r="Y200" i="34"/>
  <c r="Z200" i="34" s="1"/>
  <c r="E200" i="34"/>
  <c r="B200" i="34"/>
  <c r="Y199" i="34"/>
  <c r="AA199" i="34" s="1"/>
  <c r="AC199" i="34" s="1"/>
  <c r="E199" i="34"/>
  <c r="B199" i="34"/>
  <c r="Y198" i="34"/>
  <c r="AA198" i="34" s="1"/>
  <c r="E198" i="34"/>
  <c r="B198" i="34"/>
  <c r="Y197" i="34"/>
  <c r="AA197" i="34" s="1"/>
  <c r="AC197" i="34" s="1"/>
  <c r="E197" i="34"/>
  <c r="B197" i="34"/>
  <c r="Y196" i="34"/>
  <c r="Z196" i="34" s="1"/>
  <c r="E196" i="34"/>
  <c r="B196" i="34"/>
  <c r="Y195" i="34"/>
  <c r="AA195" i="34" s="1"/>
  <c r="AC195" i="34" s="1"/>
  <c r="B195" i="34"/>
  <c r="AK194" i="34"/>
  <c r="Y194" i="34"/>
  <c r="Z194" i="34" s="1"/>
  <c r="B194" i="34"/>
  <c r="AK193" i="34"/>
  <c r="Y193" i="34"/>
  <c r="AA193" i="34" s="1"/>
  <c r="AC193" i="34" s="1"/>
  <c r="B193" i="34"/>
  <c r="Y192" i="34"/>
  <c r="AA192" i="34" s="1"/>
  <c r="U192" i="34"/>
  <c r="E192" i="34"/>
  <c r="B192" i="34"/>
  <c r="Z191" i="34"/>
  <c r="Y191" i="34"/>
  <c r="AA191" i="34" s="1"/>
  <c r="AC191" i="34" s="1"/>
  <c r="E191" i="34"/>
  <c r="B191" i="34"/>
  <c r="AK190" i="34"/>
  <c r="Y190" i="34"/>
  <c r="Z190" i="34" s="1"/>
  <c r="B190" i="34"/>
  <c r="AK189" i="34"/>
  <c r="Z189" i="34"/>
  <c r="Y189" i="34"/>
  <c r="AA189" i="34" s="1"/>
  <c r="AC189" i="34" s="1"/>
  <c r="B189" i="34"/>
  <c r="AK188" i="34"/>
  <c r="Y188" i="34"/>
  <c r="Z188" i="34" s="1"/>
  <c r="B188" i="34"/>
  <c r="Y187" i="34"/>
  <c r="Z187" i="34" s="1"/>
  <c r="U187" i="34"/>
  <c r="B187" i="34"/>
  <c r="AK186" i="34"/>
  <c r="Y186" i="34"/>
  <c r="Z186" i="34" s="1"/>
  <c r="E186" i="34"/>
  <c r="B186" i="34"/>
  <c r="Y185" i="34"/>
  <c r="AA185" i="34" s="1"/>
  <c r="U185" i="34"/>
  <c r="E185" i="34"/>
  <c r="B185" i="34"/>
  <c r="AK184" i="34"/>
  <c r="Y184" i="34"/>
  <c r="Z184" i="34" s="1"/>
  <c r="E184" i="34"/>
  <c r="B184" i="34"/>
  <c r="Y183" i="34"/>
  <c r="Z183" i="34" s="1"/>
  <c r="U183" i="34"/>
  <c r="E183" i="34"/>
  <c r="B183" i="34"/>
  <c r="Y182" i="34"/>
  <c r="Z182" i="34" s="1"/>
  <c r="E182" i="34"/>
  <c r="B182" i="34"/>
  <c r="Y181" i="34"/>
  <c r="AA181" i="34" s="1"/>
  <c r="E181" i="34"/>
  <c r="B181" i="34"/>
  <c r="Y180" i="34"/>
  <c r="AA180" i="34" s="1"/>
  <c r="E180" i="34"/>
  <c r="B180" i="34"/>
  <c r="AK179" i="34"/>
  <c r="Y179" i="34"/>
  <c r="B179" i="34"/>
  <c r="AK178" i="34"/>
  <c r="Y178" i="34"/>
  <c r="AA178" i="34" s="1"/>
  <c r="E178" i="34"/>
  <c r="B178" i="34"/>
  <c r="Y177" i="34"/>
  <c r="Z177" i="34" s="1"/>
  <c r="U177" i="34"/>
  <c r="B177" i="34"/>
  <c r="Y176" i="34"/>
  <c r="AA176" i="34" s="1"/>
  <c r="E176" i="34"/>
  <c r="B176" i="34"/>
  <c r="Y175" i="34"/>
  <c r="AA175" i="34" s="1"/>
  <c r="AC175" i="34" s="1"/>
  <c r="E175" i="34"/>
  <c r="B175" i="34"/>
  <c r="Y174" i="34"/>
  <c r="Z174" i="34" s="1"/>
  <c r="E174" i="34"/>
  <c r="B174" i="34"/>
  <c r="Y173" i="34"/>
  <c r="Z173" i="34" s="1"/>
  <c r="E173" i="34"/>
  <c r="B173" i="34"/>
  <c r="AK172" i="34"/>
  <c r="Y172" i="34"/>
  <c r="AA172" i="34" s="1"/>
  <c r="E172" i="34"/>
  <c r="B172" i="34"/>
  <c r="AK171" i="34"/>
  <c r="Y171" i="34"/>
  <c r="Z171" i="34" s="1"/>
  <c r="E171" i="34"/>
  <c r="B171" i="34"/>
  <c r="Y170" i="34"/>
  <c r="AA170" i="34" s="1"/>
  <c r="U170" i="34"/>
  <c r="E170" i="34"/>
  <c r="B170" i="34"/>
  <c r="Y169" i="34"/>
  <c r="AA169" i="34" s="1"/>
  <c r="AC169" i="34" s="1"/>
  <c r="E169" i="34"/>
  <c r="B169" i="34"/>
  <c r="Y168" i="34"/>
  <c r="AA168" i="34" s="1"/>
  <c r="E168" i="34"/>
  <c r="B168" i="34"/>
  <c r="Y167" i="34"/>
  <c r="AA167" i="34" s="1"/>
  <c r="AC167" i="34" s="1"/>
  <c r="E167" i="34"/>
  <c r="B167" i="34"/>
  <c r="AK166" i="34"/>
  <c r="Y166" i="34"/>
  <c r="B166" i="34"/>
  <c r="Y165" i="34"/>
  <c r="U165" i="34"/>
  <c r="B165" i="34"/>
  <c r="AK164" i="34"/>
  <c r="Y164" i="34"/>
  <c r="AA164" i="34" s="1"/>
  <c r="AC164" i="34" s="1"/>
  <c r="B164" i="34"/>
  <c r="Y163" i="34"/>
  <c r="Z163" i="34" s="1"/>
  <c r="U163" i="34"/>
  <c r="B163" i="34"/>
  <c r="AK162" i="34"/>
  <c r="Y162" i="34"/>
  <c r="AA162" i="34" s="1"/>
  <c r="AC162" i="34" s="1"/>
  <c r="B162" i="34"/>
  <c r="AK161" i="34"/>
  <c r="Y161" i="34"/>
  <c r="Z161" i="34" s="1"/>
  <c r="B161" i="34"/>
  <c r="Y160" i="34"/>
  <c r="Z160" i="34" s="1"/>
  <c r="U160" i="34"/>
  <c r="B160" i="34"/>
  <c r="Y159" i="34"/>
  <c r="AA159" i="34" s="1"/>
  <c r="AC159" i="34" s="1"/>
  <c r="E159" i="34"/>
  <c r="B159" i="34"/>
  <c r="AK158" i="34"/>
  <c r="Y158" i="34"/>
  <c r="AA158" i="34" s="1"/>
  <c r="E158" i="34"/>
  <c r="B158" i="34"/>
  <c r="AK157" i="34"/>
  <c r="Y157" i="34"/>
  <c r="Z157" i="34" s="1"/>
  <c r="B157" i="34"/>
  <c r="Y156" i="34"/>
  <c r="AA156" i="34" s="1"/>
  <c r="AC156" i="34" s="1"/>
  <c r="E156" i="34"/>
  <c r="B156" i="34"/>
  <c r="AK155" i="34"/>
  <c r="Y155" i="34"/>
  <c r="Z155" i="34" s="1"/>
  <c r="B155" i="34"/>
  <c r="AK154" i="34"/>
  <c r="Y154" i="34"/>
  <c r="E154" i="34"/>
  <c r="B154" i="34"/>
  <c r="Y153" i="34"/>
  <c r="Z153" i="34" s="1"/>
  <c r="U153" i="34"/>
  <c r="E153" i="34"/>
  <c r="B153" i="34"/>
  <c r="Y152" i="34"/>
  <c r="Z152" i="34" s="1"/>
  <c r="B152" i="34"/>
  <c r="AK151" i="34"/>
  <c r="Y151" i="34"/>
  <c r="AA151" i="34" s="1"/>
  <c r="AC151" i="34" s="1"/>
  <c r="B151" i="34"/>
  <c r="AK150" i="34"/>
  <c r="Y150" i="34"/>
  <c r="Z150" i="34" s="1"/>
  <c r="B150" i="34"/>
  <c r="Y149" i="34"/>
  <c r="AA149" i="34" s="1"/>
  <c r="AC149" i="34" s="1"/>
  <c r="U149" i="34"/>
  <c r="B149" i="34"/>
  <c r="Y148" i="34"/>
  <c r="AA148" i="34" s="1"/>
  <c r="E148" i="34"/>
  <c r="B148" i="34"/>
  <c r="AK147" i="34"/>
  <c r="Y147" i="34"/>
  <c r="E147" i="34"/>
  <c r="B147" i="34"/>
  <c r="AK146" i="34"/>
  <c r="Y146" i="34"/>
  <c r="AA146" i="34" s="1"/>
  <c r="E146" i="34"/>
  <c r="B146" i="34"/>
  <c r="Y145" i="34"/>
  <c r="AA145" i="34" s="1"/>
  <c r="U145" i="34"/>
  <c r="E145" i="34"/>
  <c r="B145" i="34"/>
  <c r="Y144" i="34"/>
  <c r="E144" i="34"/>
  <c r="B144" i="34"/>
  <c r="Y143" i="34"/>
  <c r="Z143" i="34" s="1"/>
  <c r="E143" i="34"/>
  <c r="B143" i="34"/>
  <c r="AJ142" i="34"/>
  <c r="AK142" i="34" s="1"/>
  <c r="Y142" i="34"/>
  <c r="B142" i="34"/>
  <c r="Y141" i="34"/>
  <c r="Z141" i="34" s="1"/>
  <c r="U141" i="34"/>
  <c r="B141" i="34"/>
  <c r="Y140" i="34"/>
  <c r="AA140" i="34" s="1"/>
  <c r="E140" i="34"/>
  <c r="B140" i="34"/>
  <c r="Y139" i="34"/>
  <c r="AA139" i="34" s="1"/>
  <c r="AB139" i="34" s="1"/>
  <c r="E139" i="34"/>
  <c r="B139" i="34"/>
  <c r="Y138" i="34"/>
  <c r="AA138" i="34" s="1"/>
  <c r="AB138" i="34" s="1"/>
  <c r="E138" i="34"/>
  <c r="B138" i="34"/>
  <c r="Y137" i="34"/>
  <c r="Z137" i="34" s="1"/>
  <c r="E137" i="34"/>
  <c r="B137" i="34"/>
  <c r="Y136" i="34"/>
  <c r="AA136" i="34" s="1"/>
  <c r="E136" i="34"/>
  <c r="B136" i="34"/>
  <c r="Y135" i="34"/>
  <c r="AA135" i="34" s="1"/>
  <c r="AB135" i="34" s="1"/>
  <c r="E135" i="34"/>
  <c r="B135" i="34"/>
  <c r="Y134" i="34"/>
  <c r="AA134" i="34" s="1"/>
  <c r="AB134" i="34" s="1"/>
  <c r="E134" i="34"/>
  <c r="B134" i="34"/>
  <c r="Y133" i="34"/>
  <c r="Z133" i="34" s="1"/>
  <c r="E133" i="34"/>
  <c r="B133" i="34"/>
  <c r="Y132" i="34"/>
  <c r="AA132" i="34" s="1"/>
  <c r="E132" i="34"/>
  <c r="B132" i="34"/>
  <c r="AK131" i="34"/>
  <c r="Y131" i="34"/>
  <c r="AA131" i="34" s="1"/>
  <c r="AC131" i="34" s="1"/>
  <c r="B131" i="34"/>
  <c r="AK130" i="34"/>
  <c r="Y130" i="34"/>
  <c r="B130" i="34"/>
  <c r="AK129" i="34"/>
  <c r="Y129" i="34"/>
  <c r="AA129" i="34" s="1"/>
  <c r="AC129" i="34" s="1"/>
  <c r="B129" i="34"/>
  <c r="Y128" i="34"/>
  <c r="AA128" i="34" s="1"/>
  <c r="AC128" i="34" s="1"/>
  <c r="U128" i="34"/>
  <c r="B128" i="34"/>
  <c r="Y127" i="34"/>
  <c r="AA127" i="34" s="1"/>
  <c r="AC127" i="34" s="1"/>
  <c r="E127" i="34"/>
  <c r="B127" i="34"/>
  <c r="Y126" i="34"/>
  <c r="Z126" i="34" s="1"/>
  <c r="E126" i="34"/>
  <c r="B126" i="34"/>
  <c r="Y125" i="34"/>
  <c r="Z125" i="34" s="1"/>
  <c r="E125" i="34"/>
  <c r="B125" i="34"/>
  <c r="Y124" i="34"/>
  <c r="AA124" i="34" s="1"/>
  <c r="AB124" i="34" s="1"/>
  <c r="E124" i="34"/>
  <c r="B124" i="34"/>
  <c r="Y123" i="34"/>
  <c r="AA123" i="34" s="1"/>
  <c r="AC123" i="34" s="1"/>
  <c r="E123" i="34"/>
  <c r="B123" i="34"/>
  <c r="Y122" i="34"/>
  <c r="Z122" i="34" s="1"/>
  <c r="E122" i="34"/>
  <c r="B122" i="34"/>
  <c r="Y121" i="34"/>
  <c r="Z121" i="34" s="1"/>
  <c r="E121" i="34"/>
  <c r="B121" i="34"/>
  <c r="Y120" i="34"/>
  <c r="AA120" i="34" s="1"/>
  <c r="AB120" i="34" s="1"/>
  <c r="E120" i="34"/>
  <c r="B120" i="34"/>
  <c r="Y119" i="34"/>
  <c r="AA119" i="34" s="1"/>
  <c r="AC119" i="34" s="1"/>
  <c r="E119" i="34"/>
  <c r="B119" i="34"/>
  <c r="Y118" i="34"/>
  <c r="Z118" i="34" s="1"/>
  <c r="E118" i="34"/>
  <c r="B118" i="34"/>
  <c r="Y117" i="34"/>
  <c r="Z117" i="34" s="1"/>
  <c r="E117" i="34"/>
  <c r="B117" i="34"/>
  <c r="Y116" i="34"/>
  <c r="AA116" i="34" s="1"/>
  <c r="AB116" i="34" s="1"/>
  <c r="E116" i="34"/>
  <c r="B116" i="34"/>
  <c r="AK115" i="34"/>
  <c r="Y115" i="34"/>
  <c r="AA115" i="34" s="1"/>
  <c r="AC115" i="34" s="1"/>
  <c r="B115" i="34"/>
  <c r="AK114" i="34"/>
  <c r="Y114" i="34"/>
  <c r="AA114" i="34" s="1"/>
  <c r="AC114" i="34" s="1"/>
  <c r="B114" i="34"/>
  <c r="AK113" i="34"/>
  <c r="Y113" i="34"/>
  <c r="AA113" i="34" s="1"/>
  <c r="AC113" i="34" s="1"/>
  <c r="B113" i="34"/>
  <c r="AK112" i="34"/>
  <c r="Y112" i="34"/>
  <c r="AA112" i="34" s="1"/>
  <c r="E112" i="34"/>
  <c r="B112" i="34"/>
  <c r="AK111" i="34"/>
  <c r="Y111" i="34"/>
  <c r="Z111" i="34" s="1"/>
  <c r="E111" i="34"/>
  <c r="B111" i="34"/>
  <c r="Y110" i="34"/>
  <c r="AA110" i="34" s="1"/>
  <c r="AC110" i="34" s="1"/>
  <c r="U110" i="34"/>
  <c r="B110" i="34"/>
  <c r="Y109" i="34"/>
  <c r="Z109" i="34" s="1"/>
  <c r="E109" i="34"/>
  <c r="B109" i="34"/>
  <c r="Y108" i="34"/>
  <c r="AA108" i="34" s="1"/>
  <c r="AC108" i="34" s="1"/>
  <c r="E108" i="34"/>
  <c r="B108" i="34"/>
  <c r="Y107" i="34"/>
  <c r="AA107" i="34" s="1"/>
  <c r="E107" i="34"/>
  <c r="B107" i="34"/>
  <c r="Y106" i="34"/>
  <c r="AA106" i="34" s="1"/>
  <c r="AC106" i="34" s="1"/>
  <c r="E106" i="34"/>
  <c r="B106" i="34"/>
  <c r="Y105" i="34"/>
  <c r="Z105" i="34" s="1"/>
  <c r="E105" i="34"/>
  <c r="B105" i="34"/>
  <c r="Y104" i="34"/>
  <c r="AA104" i="34" s="1"/>
  <c r="AC104" i="34" s="1"/>
  <c r="E104" i="34"/>
  <c r="B104" i="34"/>
  <c r="Y103" i="34"/>
  <c r="AA103" i="34" s="1"/>
  <c r="E103" i="34"/>
  <c r="B103" i="34"/>
  <c r="Y102" i="34"/>
  <c r="AA102" i="34" s="1"/>
  <c r="AC102" i="34" s="1"/>
  <c r="E102" i="34"/>
  <c r="B102" i="34"/>
  <c r="Y101" i="34"/>
  <c r="Z101" i="34" s="1"/>
  <c r="E101" i="34"/>
  <c r="B101" i="34"/>
  <c r="Y100" i="34"/>
  <c r="AA100" i="34" s="1"/>
  <c r="AC100" i="34" s="1"/>
  <c r="E100" i="34"/>
  <c r="B100" i="34"/>
  <c r="Y99" i="34"/>
  <c r="AA99" i="34" s="1"/>
  <c r="E99" i="34"/>
  <c r="B99" i="34"/>
  <c r="AK98" i="34"/>
  <c r="Y98" i="34"/>
  <c r="Z98" i="34" s="1"/>
  <c r="E98" i="34"/>
  <c r="B98" i="34"/>
  <c r="Y97" i="34"/>
  <c r="Z97" i="34" s="1"/>
  <c r="U97" i="34"/>
  <c r="E97" i="34"/>
  <c r="B97" i="34"/>
  <c r="Y96" i="34"/>
  <c r="Z96" i="34" s="1"/>
  <c r="E96" i="34"/>
  <c r="B96" i="34"/>
  <c r="Y95" i="34"/>
  <c r="Z95" i="34" s="1"/>
  <c r="E95" i="34"/>
  <c r="B95" i="34"/>
  <c r="Y94" i="34"/>
  <c r="AA94" i="34" s="1"/>
  <c r="E94" i="34"/>
  <c r="B94" i="34"/>
  <c r="Y93" i="34"/>
  <c r="AA93" i="34" s="1"/>
  <c r="E93" i="34"/>
  <c r="B93" i="34"/>
  <c r="Y92" i="34"/>
  <c r="Z92" i="34" s="1"/>
  <c r="U92" i="34"/>
  <c r="B92" i="34"/>
  <c r="Y91" i="34"/>
  <c r="Z91" i="34" s="1"/>
  <c r="E91" i="34"/>
  <c r="B91" i="34"/>
  <c r="Y90" i="34"/>
  <c r="AA90" i="34" s="1"/>
  <c r="E90" i="34"/>
  <c r="B90" i="34"/>
  <c r="Y89" i="34"/>
  <c r="AA89" i="34" s="1"/>
  <c r="E89" i="34"/>
  <c r="B89" i="34"/>
  <c r="Y88" i="34"/>
  <c r="AA88" i="34" s="1"/>
  <c r="E88" i="34"/>
  <c r="B88" i="34"/>
  <c r="Y87" i="34"/>
  <c r="Z87" i="34" s="1"/>
  <c r="E87" i="34"/>
  <c r="B87" i="34"/>
  <c r="Y86" i="34"/>
  <c r="AA86" i="34" s="1"/>
  <c r="E86" i="34"/>
  <c r="B86" i="34"/>
  <c r="AK85" i="34"/>
  <c r="Y85" i="34"/>
  <c r="AA85" i="34" s="1"/>
  <c r="E85" i="34"/>
  <c r="B85" i="34"/>
  <c r="Y84" i="34"/>
  <c r="AA84" i="34" s="1"/>
  <c r="U84" i="34"/>
  <c r="E84" i="34"/>
  <c r="B84" i="34"/>
  <c r="AK83" i="34"/>
  <c r="Y83" i="34"/>
  <c r="AA83" i="34" s="1"/>
  <c r="AC83" i="34" s="1"/>
  <c r="B83" i="34"/>
  <c r="AK82" i="34"/>
  <c r="Y82" i="34"/>
  <c r="AA82" i="34" s="1"/>
  <c r="AC82" i="34" s="1"/>
  <c r="B82" i="34"/>
  <c r="AK81" i="34"/>
  <c r="Y81" i="34"/>
  <c r="AA81" i="34" s="1"/>
  <c r="AC81" i="34" s="1"/>
  <c r="B81" i="34"/>
  <c r="Y80" i="34"/>
  <c r="AA80" i="34" s="1"/>
  <c r="AC80" i="34" s="1"/>
  <c r="U80" i="34"/>
  <c r="B80" i="34"/>
  <c r="AK79" i="34"/>
  <c r="Y79" i="34"/>
  <c r="Z79" i="34" s="1"/>
  <c r="B79" i="34"/>
  <c r="AK78" i="34"/>
  <c r="Y78" i="34"/>
  <c r="AA78" i="34" s="1"/>
  <c r="AC78" i="34" s="1"/>
  <c r="B78" i="34"/>
  <c r="AK77" i="34"/>
  <c r="Y77" i="34"/>
  <c r="Z77" i="34" s="1"/>
  <c r="B77" i="34"/>
  <c r="AK76" i="34"/>
  <c r="Y76" i="34"/>
  <c r="Z76" i="34" s="1"/>
  <c r="E76" i="34"/>
  <c r="B76" i="34"/>
  <c r="Y75" i="34"/>
  <c r="AA75" i="34" s="1"/>
  <c r="AC75" i="34" s="1"/>
  <c r="U75" i="34"/>
  <c r="B75" i="34"/>
  <c r="Y74" i="34"/>
  <c r="Z74" i="34" s="1"/>
  <c r="E74" i="34"/>
  <c r="B74" i="34"/>
  <c r="AK73" i="34"/>
  <c r="Y73" i="34"/>
  <c r="AA73" i="34" s="1"/>
  <c r="E73" i="34"/>
  <c r="B73" i="34"/>
  <c r="AK72" i="34"/>
  <c r="Y72" i="34"/>
  <c r="AA72" i="34" s="1"/>
  <c r="E72" i="34"/>
  <c r="B72" i="34"/>
  <c r="Y71" i="34"/>
  <c r="AA71" i="34" s="1"/>
  <c r="U71" i="34"/>
  <c r="E71" i="34"/>
  <c r="B71" i="34"/>
  <c r="Y70" i="34"/>
  <c r="AA70" i="34" s="1"/>
  <c r="AC70" i="34" s="1"/>
  <c r="E70" i="34"/>
  <c r="B70" i="34"/>
  <c r="Y69" i="34"/>
  <c r="AA69" i="34" s="1"/>
  <c r="AC69" i="34" s="1"/>
  <c r="E69" i="34"/>
  <c r="B69" i="34"/>
  <c r="Y68" i="34"/>
  <c r="AA68" i="34" s="1"/>
  <c r="E68" i="34"/>
  <c r="B68" i="34"/>
  <c r="Y67" i="34"/>
  <c r="AA67" i="34" s="1"/>
  <c r="E67" i="34"/>
  <c r="B67" i="34"/>
  <c r="Y66" i="34"/>
  <c r="AA66" i="34" s="1"/>
  <c r="E66" i="34"/>
  <c r="B66" i="34"/>
  <c r="Y65" i="34"/>
  <c r="AA65" i="34" s="1"/>
  <c r="AC65" i="34" s="1"/>
  <c r="B65" i="34"/>
  <c r="Y64" i="34"/>
  <c r="AA64" i="34" s="1"/>
  <c r="AC64" i="34" s="1"/>
  <c r="B64" i="34"/>
  <c r="AK63" i="34"/>
  <c r="Y63" i="34"/>
  <c r="AA63" i="34" s="1"/>
  <c r="AC63" i="34" s="1"/>
  <c r="B63" i="34"/>
  <c r="Y62" i="34"/>
  <c r="AA62" i="34" s="1"/>
  <c r="AC62" i="34" s="1"/>
  <c r="U62" i="34"/>
  <c r="B62" i="34"/>
  <c r="Y61" i="34"/>
  <c r="AA61" i="34" s="1"/>
  <c r="AC61" i="34" s="1"/>
  <c r="E61" i="34"/>
  <c r="B61" i="34"/>
  <c r="Y60" i="34"/>
  <c r="AA60" i="34" s="1"/>
  <c r="AC60" i="34" s="1"/>
  <c r="E60" i="34"/>
  <c r="B60" i="34"/>
  <c r="Y59" i="34"/>
  <c r="AA59" i="34" s="1"/>
  <c r="AC59" i="34" s="1"/>
  <c r="B59" i="34"/>
  <c r="AK58" i="34"/>
  <c r="Y58" i="34"/>
  <c r="AA58" i="34" s="1"/>
  <c r="AC58" i="34" s="1"/>
  <c r="B58" i="34"/>
  <c r="Y57" i="34"/>
  <c r="AA57" i="34" s="1"/>
  <c r="AC57" i="34" s="1"/>
  <c r="U57" i="34"/>
  <c r="B57" i="34"/>
  <c r="AJ56" i="34"/>
  <c r="AK56" i="34" s="1"/>
  <c r="Y56" i="34"/>
  <c r="AA56" i="34" s="1"/>
  <c r="AC56" i="34" s="1"/>
  <c r="B56" i="34"/>
  <c r="AK55" i="34"/>
  <c r="Y55" i="34"/>
  <c r="AA55" i="34" s="1"/>
  <c r="E55" i="34"/>
  <c r="B55" i="34"/>
  <c r="Y54" i="34"/>
  <c r="U54" i="34"/>
  <c r="B54" i="34"/>
  <c r="Y53" i="34"/>
  <c r="AA53" i="34" s="1"/>
  <c r="AC53" i="34" s="1"/>
  <c r="E53" i="34"/>
  <c r="B53" i="34"/>
  <c r="AK52" i="34"/>
  <c r="Y52" i="34"/>
  <c r="AA52" i="34" s="1"/>
  <c r="E52" i="34"/>
  <c r="B52" i="34"/>
  <c r="Y51" i="34"/>
  <c r="AA51" i="34" s="1"/>
  <c r="U51" i="34"/>
  <c r="E51" i="34"/>
  <c r="B51" i="34"/>
  <c r="Y50" i="34"/>
  <c r="AA50" i="34" s="1"/>
  <c r="AB50" i="34" s="1"/>
  <c r="E50" i="34"/>
  <c r="B50" i="34"/>
  <c r="Y49" i="34"/>
  <c r="E49" i="34"/>
  <c r="B49" i="34"/>
  <c r="Y48" i="34"/>
  <c r="AA48" i="34" s="1"/>
  <c r="E48" i="34"/>
  <c r="B48" i="34"/>
  <c r="Y47" i="34"/>
  <c r="AA47" i="34" s="1"/>
  <c r="AC47" i="34" s="1"/>
  <c r="B47" i="34"/>
  <c r="Y46" i="34"/>
  <c r="Z46" i="34" s="1"/>
  <c r="B46" i="34"/>
  <c r="Y45" i="34"/>
  <c r="Z45" i="34" s="1"/>
  <c r="B45" i="34"/>
  <c r="Y44" i="34"/>
  <c r="Z44" i="34" s="1"/>
  <c r="B44" i="34"/>
  <c r="AK43" i="34"/>
  <c r="Y43" i="34"/>
  <c r="AA43" i="34" s="1"/>
  <c r="AC43" i="34" s="1"/>
  <c r="B43" i="34"/>
  <c r="AK42" i="34"/>
  <c r="Y42" i="34"/>
  <c r="Z42" i="34" s="1"/>
  <c r="B42" i="34"/>
  <c r="AK41" i="34"/>
  <c r="Y41" i="34"/>
  <c r="Z41" i="34" s="1"/>
  <c r="B41" i="34"/>
  <c r="AK40" i="34"/>
  <c r="Y40" i="34"/>
  <c r="Z40" i="34" s="1"/>
  <c r="B40" i="34"/>
  <c r="AK39" i="34"/>
  <c r="Y39" i="34"/>
  <c r="AA39" i="34" s="1"/>
  <c r="AC39" i="34" s="1"/>
  <c r="B39" i="34"/>
  <c r="AK38" i="34"/>
  <c r="Y38" i="34"/>
  <c r="Z38" i="34" s="1"/>
  <c r="B38" i="34"/>
  <c r="Y37" i="34"/>
  <c r="Z37" i="34" s="1"/>
  <c r="U37" i="34"/>
  <c r="B37" i="34"/>
  <c r="Y36" i="34"/>
  <c r="AA36" i="34" s="1"/>
  <c r="AC36" i="34" s="1"/>
  <c r="B36" i="34"/>
  <c r="Y35" i="34"/>
  <c r="AA35" i="34" s="1"/>
  <c r="AC35" i="34" s="1"/>
  <c r="B35" i="34"/>
  <c r="Y34" i="34"/>
  <c r="Z34" i="34" s="1"/>
  <c r="B34" i="34"/>
  <c r="AJ33" i="34"/>
  <c r="AK33" i="34" s="1"/>
  <c r="Y33" i="34"/>
  <c r="AA33" i="34" s="1"/>
  <c r="AC33" i="34" s="1"/>
  <c r="B33" i="34"/>
  <c r="AJ32" i="34"/>
  <c r="AK32" i="34" s="1"/>
  <c r="Y32" i="34"/>
  <c r="Z32" i="34" s="1"/>
  <c r="B32" i="34"/>
  <c r="AJ31" i="34"/>
  <c r="AK31" i="34" s="1"/>
  <c r="Y31" i="34"/>
  <c r="AA31" i="34" s="1"/>
  <c r="AC31" i="34" s="1"/>
  <c r="B31" i="34"/>
  <c r="AJ30" i="34"/>
  <c r="AK30" i="34" s="1"/>
  <c r="Y30" i="34"/>
  <c r="Z30" i="34" s="1"/>
  <c r="B30" i="34"/>
  <c r="AJ29" i="34"/>
  <c r="AK29" i="34" s="1"/>
  <c r="Y29" i="34"/>
  <c r="Z29" i="34" s="1"/>
  <c r="B29" i="34"/>
  <c r="AJ28" i="34"/>
  <c r="AK28" i="34" s="1"/>
  <c r="Y28" i="34"/>
  <c r="Z28" i="34" s="1"/>
  <c r="B28" i="34"/>
  <c r="Y27" i="34"/>
  <c r="AA27" i="34" s="1"/>
  <c r="AC27" i="34" s="1"/>
  <c r="U27" i="34"/>
  <c r="B27" i="34"/>
  <c r="AJ26" i="34"/>
  <c r="AK26" i="34" s="1"/>
  <c r="Y26" i="34"/>
  <c r="AA26" i="34" s="1"/>
  <c r="AC26" i="34" s="1"/>
  <c r="B26" i="34"/>
  <c r="AJ25" i="34"/>
  <c r="AK25" i="34" s="1"/>
  <c r="Y25" i="34"/>
  <c r="AA25" i="34" s="1"/>
  <c r="AC25" i="34" s="1"/>
  <c r="B25" i="34"/>
  <c r="AJ24" i="34"/>
  <c r="AK24" i="34" s="1"/>
  <c r="Y24" i="34"/>
  <c r="Z24" i="34" s="1"/>
  <c r="B24" i="34"/>
  <c r="AJ23" i="34"/>
  <c r="AK23" i="34" s="1"/>
  <c r="Y23" i="34"/>
  <c r="Z23" i="34" s="1"/>
  <c r="B23" i="34"/>
  <c r="AJ22" i="34"/>
  <c r="AK22" i="34" s="1"/>
  <c r="Y22" i="34"/>
  <c r="AA22" i="34" s="1"/>
  <c r="AC22" i="34" s="1"/>
  <c r="B22" i="34"/>
  <c r="Y21" i="34"/>
  <c r="AA21" i="34" s="1"/>
  <c r="AC21" i="34" s="1"/>
  <c r="U21" i="34"/>
  <c r="B21" i="34"/>
  <c r="Y20" i="34"/>
  <c r="Z20" i="34" s="1"/>
  <c r="B20" i="34"/>
  <c r="Y19" i="34"/>
  <c r="AA19" i="34" s="1"/>
  <c r="AC19" i="34" s="1"/>
  <c r="B19" i="34"/>
  <c r="Y18" i="34"/>
  <c r="AA18" i="34" s="1"/>
  <c r="AC18" i="34" s="1"/>
  <c r="B18" i="34"/>
  <c r="AJ17" i="34"/>
  <c r="AK17" i="34" s="1"/>
  <c r="Y17" i="34"/>
  <c r="AA17" i="34" s="1"/>
  <c r="AC17" i="34" s="1"/>
  <c r="B17" i="34"/>
  <c r="AJ16" i="34"/>
  <c r="AK16" i="34" s="1"/>
  <c r="Y16" i="34"/>
  <c r="Z16" i="34" s="1"/>
  <c r="B16" i="34"/>
  <c r="AL15" i="34"/>
  <c r="AJ15" i="34"/>
  <c r="AK15" i="34" s="1"/>
  <c r="Y15" i="34"/>
  <c r="Z15" i="34" s="1"/>
  <c r="B15" i="34"/>
  <c r="AJ14" i="34"/>
  <c r="AK14" i="34" s="1"/>
  <c r="Y14" i="34"/>
  <c r="AA14" i="34" s="1"/>
  <c r="AC14" i="34" s="1"/>
  <c r="B14" i="34"/>
  <c r="Y13" i="34"/>
  <c r="AA13" i="34" s="1"/>
  <c r="AC13" i="34" s="1"/>
  <c r="U13" i="34"/>
  <c r="B13" i="34"/>
  <c r="AA613" i="34" l="1"/>
  <c r="AA349" i="34"/>
  <c r="AC349" i="34" s="1"/>
  <c r="Z350" i="34"/>
  <c r="Z552" i="34"/>
  <c r="Z565" i="34"/>
  <c r="AA570" i="34"/>
  <c r="Z877" i="34"/>
  <c r="Z904" i="34"/>
  <c r="Z950" i="34"/>
  <c r="AB328" i="22"/>
  <c r="R399" i="23"/>
  <c r="U398" i="23"/>
  <c r="W398" i="23" s="1"/>
  <c r="P399" i="23" s="1"/>
  <c r="Q399" i="23" s="1"/>
  <c r="J1130" i="23"/>
  <c r="H1131" i="23"/>
  <c r="O1130" i="23"/>
  <c r="AA360" i="34"/>
  <c r="AC360" i="34" s="1"/>
  <c r="AA346" i="34"/>
  <c r="AC346" i="34" s="1"/>
  <c r="Z541" i="34"/>
  <c r="AA807" i="34"/>
  <c r="AC807" i="34" s="1"/>
  <c r="Z932" i="34"/>
  <c r="AA970" i="34"/>
  <c r="Z545" i="34"/>
  <c r="AA573" i="34"/>
  <c r="AB573" i="34" s="1"/>
  <c r="Z698" i="34"/>
  <c r="Z774" i="34"/>
  <c r="Z776" i="34"/>
  <c r="Z786" i="34"/>
  <c r="Z663" i="34"/>
  <c r="Z668" i="34"/>
  <c r="AA355" i="34"/>
  <c r="AA502" i="34"/>
  <c r="AC502" i="34" s="1"/>
  <c r="AA642" i="34"/>
  <c r="AB642" i="34" s="1"/>
  <c r="Z647" i="34"/>
  <c r="Z660" i="34"/>
  <c r="Z71" i="34"/>
  <c r="AA95" i="34"/>
  <c r="AC95" i="34" s="1"/>
  <c r="AA97" i="34"/>
  <c r="AA98" i="34"/>
  <c r="Z100" i="34"/>
  <c r="Z139" i="34"/>
  <c r="Z167" i="34"/>
  <c r="AA308" i="34"/>
  <c r="AC308" i="34" s="1"/>
  <c r="AA418" i="34"/>
  <c r="AC418" i="34" s="1"/>
  <c r="AA494" i="34"/>
  <c r="AC494" i="34" s="1"/>
  <c r="Z625" i="34"/>
  <c r="AA638" i="34"/>
  <c r="AC638" i="34" s="1"/>
  <c r="Z690" i="34"/>
  <c r="AA729" i="34"/>
  <c r="AC729" i="34" s="1"/>
  <c r="Z755" i="34"/>
  <c r="AA838" i="34"/>
  <c r="AB838" i="34" s="1"/>
  <c r="Z61" i="34"/>
  <c r="AA91" i="34"/>
  <c r="AC91" i="34" s="1"/>
  <c r="AA92" i="34"/>
  <c r="AC92" i="34" s="1"/>
  <c r="AA157" i="34"/>
  <c r="AA160" i="34"/>
  <c r="AC160" i="34" s="1"/>
  <c r="AA204" i="34"/>
  <c r="AC204" i="34" s="1"/>
  <c r="Z251" i="34"/>
  <c r="AA305" i="34"/>
  <c r="AB305" i="34" s="1"/>
  <c r="AA597" i="34"/>
  <c r="AC597" i="34" s="1"/>
  <c r="Z710" i="34"/>
  <c r="Z760" i="34"/>
  <c r="AA796" i="34"/>
  <c r="AC796" i="34" s="1"/>
  <c r="AA843" i="34"/>
  <c r="AC843" i="34" s="1"/>
  <c r="Z912" i="34"/>
  <c r="Z944" i="34"/>
  <c r="Z954" i="34"/>
  <c r="Z942" i="34"/>
  <c r="AA966" i="34"/>
  <c r="AB966" i="34" s="1"/>
  <c r="AA969" i="34"/>
  <c r="AC969" i="34" s="1"/>
  <c r="U12" i="34"/>
  <c r="AA40" i="34"/>
  <c r="AC40" i="34" s="1"/>
  <c r="AA41" i="34"/>
  <c r="AC41" i="34" s="1"/>
  <c r="AA42" i="34"/>
  <c r="AC42" i="34" s="1"/>
  <c r="Z128" i="34"/>
  <c r="AA137" i="34"/>
  <c r="AC137" i="34" s="1"/>
  <c r="Z170" i="34"/>
  <c r="Z211" i="34"/>
  <c r="AA234" i="34"/>
  <c r="AC234" i="34" s="1"/>
  <c r="AA235" i="34"/>
  <c r="AC235" i="34" s="1"/>
  <c r="Z276" i="34"/>
  <c r="AA279" i="34"/>
  <c r="AA322" i="34"/>
  <c r="AC322" i="34" s="1"/>
  <c r="Z328" i="34"/>
  <c r="Z383" i="34"/>
  <c r="AA399" i="34"/>
  <c r="AC399" i="34" s="1"/>
  <c r="Z436" i="34"/>
  <c r="AA441" i="34"/>
  <c r="AB441" i="34" s="1"/>
  <c r="Z442" i="34"/>
  <c r="AA474" i="34"/>
  <c r="AB474" i="34" s="1"/>
  <c r="Z510" i="34"/>
  <c r="Z536" i="34"/>
  <c r="AA537" i="34"/>
  <c r="AB537" i="34" s="1"/>
  <c r="Z538" i="34"/>
  <c r="AA605" i="34"/>
  <c r="AB605" i="34" s="1"/>
  <c r="Z654" i="34"/>
  <c r="Z674" i="34"/>
  <c r="Z675" i="34"/>
  <c r="Z706" i="34"/>
  <c r="Z726" i="34"/>
  <c r="AA749" i="34"/>
  <c r="AC749" i="34" s="1"/>
  <c r="Z762" i="34"/>
  <c r="Z792" i="34"/>
  <c r="AA804" i="34"/>
  <c r="AC804" i="34" s="1"/>
  <c r="AA813" i="34"/>
  <c r="AC813" i="34" s="1"/>
  <c r="AA861" i="34"/>
  <c r="AC861" i="34" s="1"/>
  <c r="AA868" i="34"/>
  <c r="AB868" i="34" s="1"/>
  <c r="AA875" i="34"/>
  <c r="AB875" i="34" s="1"/>
  <c r="AA940" i="34"/>
  <c r="AC940" i="34" s="1"/>
  <c r="Z962" i="34"/>
  <c r="Z978" i="34"/>
  <c r="AA985" i="34"/>
  <c r="AB985" i="34" s="1"/>
  <c r="Z1003" i="34"/>
  <c r="Z90" i="34"/>
  <c r="Z148" i="34"/>
  <c r="Z149" i="34"/>
  <c r="Z199" i="34"/>
  <c r="Z238" i="34"/>
  <c r="AA281" i="34"/>
  <c r="AC281" i="34" s="1"/>
  <c r="Z287" i="34"/>
  <c r="AA325" i="34"/>
  <c r="AB325" i="34" s="1"/>
  <c r="AA386" i="34"/>
  <c r="AC386" i="34" s="1"/>
  <c r="AA498" i="34"/>
  <c r="AC498" i="34" s="1"/>
  <c r="AA533" i="34"/>
  <c r="AC533" i="34" s="1"/>
  <c r="AA589" i="34"/>
  <c r="AC589" i="34" s="1"/>
  <c r="AA617" i="34"/>
  <c r="AC617" i="34" s="1"/>
  <c r="AA640" i="34"/>
  <c r="AC640" i="34" s="1"/>
  <c r="Z651" i="34"/>
  <c r="Z682" i="34"/>
  <c r="Z694" i="34"/>
  <c r="Z714" i="34"/>
  <c r="Z733" i="34"/>
  <c r="Z910" i="34"/>
  <c r="AA990" i="34"/>
  <c r="AC990" i="34" s="1"/>
  <c r="AC952" i="34"/>
  <c r="AD952" i="34" s="1"/>
  <c r="AE952" i="34" s="1"/>
  <c r="AF952" i="34" s="1"/>
  <c r="AC138" i="34"/>
  <c r="AD138" i="34" s="1"/>
  <c r="AE138" i="34" s="1"/>
  <c r="AB731" i="34"/>
  <c r="AD731" i="34" s="1"/>
  <c r="AB910" i="34"/>
  <c r="AD910" i="34" s="1"/>
  <c r="AB538" i="34"/>
  <c r="AD538" i="34" s="1"/>
  <c r="AC650" i="34"/>
  <c r="AD650" i="34" s="1"/>
  <c r="AH650" i="34" s="1"/>
  <c r="AC663" i="34"/>
  <c r="AD663" i="34" s="1"/>
  <c r="AH663" i="34" s="1"/>
  <c r="AC564" i="34"/>
  <c r="AD564" i="34" s="1"/>
  <c r="AE564" i="34" s="1"/>
  <c r="AF564" i="34" s="1"/>
  <c r="AG564" i="34" s="1"/>
  <c r="AC484" i="34"/>
  <c r="AD484" i="34" s="1"/>
  <c r="AC508" i="34"/>
  <c r="AD508" i="34" s="1"/>
  <c r="AC509" i="34"/>
  <c r="AD509" i="34" s="1"/>
  <c r="AE509" i="34" s="1"/>
  <c r="AF509" i="34" s="1"/>
  <c r="AC667" i="34"/>
  <c r="AD667" i="34" s="1"/>
  <c r="AH667" i="34" s="1"/>
  <c r="AI667" i="34" s="1"/>
  <c r="AJ667" i="34" s="1"/>
  <c r="AK667" i="34" s="1"/>
  <c r="AB526" i="34"/>
  <c r="AD526" i="34" s="1"/>
  <c r="AC646" i="34"/>
  <c r="AD646" i="34" s="1"/>
  <c r="AB944" i="34"/>
  <c r="AD944" i="34" s="1"/>
  <c r="AE944" i="34" s="1"/>
  <c r="U697" i="23"/>
  <c r="R698" i="23"/>
  <c r="U698" i="23" s="1"/>
  <c r="AC986" i="34"/>
  <c r="AB986" i="34"/>
  <c r="U1026" i="34"/>
  <c r="Z14" i="34"/>
  <c r="AA24" i="34"/>
  <c r="AC24" i="34" s="1"/>
  <c r="Z56" i="34"/>
  <c r="Z72" i="34"/>
  <c r="Z80" i="34"/>
  <c r="Z104" i="34"/>
  <c r="Z120" i="34"/>
  <c r="AA121" i="34"/>
  <c r="AC121" i="34" s="1"/>
  <c r="AA133" i="34"/>
  <c r="AC133" i="34" s="1"/>
  <c r="AC134" i="34"/>
  <c r="Z135" i="34"/>
  <c r="Z193" i="34"/>
  <c r="Z210" i="34"/>
  <c r="AA226" i="34"/>
  <c r="AC226" i="34" s="1"/>
  <c r="AA274" i="34"/>
  <c r="AA284" i="34"/>
  <c r="AC284" i="34" s="1"/>
  <c r="AA292" i="34"/>
  <c r="AC292" i="34" s="1"/>
  <c r="AA309" i="34"/>
  <c r="AC309" i="34" s="1"/>
  <c r="Z319" i="34"/>
  <c r="AA337" i="34"/>
  <c r="Z401" i="34"/>
  <c r="AA411" i="34"/>
  <c r="AC411" i="34" s="1"/>
  <c r="AA433" i="34"/>
  <c r="AC433" i="34" s="1"/>
  <c r="Z434" i="34"/>
  <c r="AA459" i="34"/>
  <c r="AC459" i="34" s="1"/>
  <c r="Z460" i="34"/>
  <c r="AC480" i="34"/>
  <c r="AD480" i="34" s="1"/>
  <c r="AA490" i="34"/>
  <c r="AC490" i="34" s="1"/>
  <c r="AA514" i="34"/>
  <c r="AC514" i="34" s="1"/>
  <c r="AA558" i="34"/>
  <c r="AC558" i="34" s="1"/>
  <c r="AA593" i="34"/>
  <c r="AB593" i="34" s="1"/>
  <c r="AA609" i="34"/>
  <c r="AB609" i="34" s="1"/>
  <c r="AA615" i="34"/>
  <c r="AC615" i="34" s="1"/>
  <c r="AA621" i="34"/>
  <c r="AC621" i="34" s="1"/>
  <c r="Z627" i="34"/>
  <c r="AA636" i="34"/>
  <c r="AC636" i="34" s="1"/>
  <c r="AA644" i="34"/>
  <c r="AB644" i="34" s="1"/>
  <c r="Z658" i="34"/>
  <c r="Z666" i="34"/>
  <c r="AC670" i="34"/>
  <c r="AD670" i="34" s="1"/>
  <c r="AH670" i="34" s="1"/>
  <c r="AI670" i="34" s="1"/>
  <c r="AJ670" i="34" s="1"/>
  <c r="AK670" i="34" s="1"/>
  <c r="Z671" i="34"/>
  <c r="Z678" i="34"/>
  <c r="Z686" i="34"/>
  <c r="Z702" i="34"/>
  <c r="Z718" i="34"/>
  <c r="Z735" i="34"/>
  <c r="Z745" i="34"/>
  <c r="Z747" i="34"/>
  <c r="AB751" i="34"/>
  <c r="AD751" i="34" s="1"/>
  <c r="Z837" i="34"/>
  <c r="AA839" i="34"/>
  <c r="AB839" i="34" s="1"/>
  <c r="AA842" i="34"/>
  <c r="AC842" i="34" s="1"/>
  <c r="AA876" i="34"/>
  <c r="AC876" i="34" s="1"/>
  <c r="Z892" i="34"/>
  <c r="AA895" i="34"/>
  <c r="AB895" i="34" s="1"/>
  <c r="AA898" i="34"/>
  <c r="AB898" i="34" s="1"/>
  <c r="Z938" i="34"/>
  <c r="AA953" i="34"/>
  <c r="AC953" i="34" s="1"/>
  <c r="AC955" i="34"/>
  <c r="AD955" i="34" s="1"/>
  <c r="AE955" i="34" s="1"/>
  <c r="AA961" i="34"/>
  <c r="AC961" i="34" s="1"/>
  <c r="Z975" i="34"/>
  <c r="AA977" i="34"/>
  <c r="AC977" i="34" s="1"/>
  <c r="Z994" i="34"/>
  <c r="Z1011" i="34"/>
  <c r="AC401" i="34"/>
  <c r="AD401" i="34" s="1"/>
  <c r="AC666" i="34"/>
  <c r="AD666" i="34" s="1"/>
  <c r="AB747" i="34"/>
  <c r="AA853" i="34"/>
  <c r="AC853" i="34" s="1"/>
  <c r="Z887" i="34"/>
  <c r="Z890" i="34"/>
  <c r="AA914" i="34"/>
  <c r="AC914" i="34" s="1"/>
  <c r="Z923" i="34"/>
  <c r="AA931" i="34"/>
  <c r="AC931" i="34" s="1"/>
  <c r="Z933" i="34"/>
  <c r="Z936" i="34"/>
  <c r="Z952" i="34"/>
  <c r="Z959" i="34"/>
  <c r="AC975" i="34"/>
  <c r="AD975" i="34" s="1"/>
  <c r="AE975" i="34" s="1"/>
  <c r="AC984" i="34"/>
  <c r="AD984" i="34" s="1"/>
  <c r="Z986" i="34"/>
  <c r="Z987" i="34"/>
  <c r="AC992" i="34"/>
  <c r="AD992" i="34" s="1"/>
  <c r="AE992" i="34" s="1"/>
  <c r="AF992" i="34" s="1"/>
  <c r="AG992" i="34" s="1"/>
  <c r="AA38" i="34"/>
  <c r="AC38" i="34" s="1"/>
  <c r="Z53" i="34"/>
  <c r="Z94" i="34"/>
  <c r="Z124" i="34"/>
  <c r="Z129" i="34"/>
  <c r="AA141" i="34"/>
  <c r="AC141" i="34" s="1"/>
  <c r="Z169" i="34"/>
  <c r="AA201" i="34"/>
  <c r="AC201" i="34" s="1"/>
  <c r="Z212" i="34"/>
  <c r="Z239" i="34"/>
  <c r="AA289" i="34"/>
  <c r="AC289" i="34" s="1"/>
  <c r="Z300" i="34"/>
  <c r="AA304" i="34"/>
  <c r="AC304" i="34" s="1"/>
  <c r="AA315" i="34"/>
  <c r="AC315" i="34" s="1"/>
  <c r="AA343" i="34"/>
  <c r="Z344" i="34"/>
  <c r="AA354" i="34"/>
  <c r="AC354" i="34" s="1"/>
  <c r="Z371" i="34"/>
  <c r="AA380" i="34"/>
  <c r="AB380" i="34" s="1"/>
  <c r="Z381" i="34"/>
  <c r="Z422" i="34"/>
  <c r="AA455" i="34"/>
  <c r="AB455" i="34" s="1"/>
  <c r="Z456" i="34"/>
  <c r="AC504" i="34"/>
  <c r="AD504" i="34" s="1"/>
  <c r="AE504" i="34" s="1"/>
  <c r="AA585" i="34"/>
  <c r="AB585" i="34" s="1"/>
  <c r="AA601" i="34"/>
  <c r="AB601" i="34" s="1"/>
  <c r="AA144" i="34"/>
  <c r="Z144" i="34"/>
  <c r="Z147" i="34"/>
  <c r="AA147" i="34"/>
  <c r="Z165" i="34"/>
  <c r="AA165" i="34"/>
  <c r="AC165" i="34" s="1"/>
  <c r="Z313" i="34"/>
  <c r="AA313" i="34"/>
  <c r="AC313" i="34" s="1"/>
  <c r="Z352" i="34"/>
  <c r="AA352" i="34"/>
  <c r="AC352" i="34" s="1"/>
  <c r="AA378" i="34"/>
  <c r="AC378" i="34" s="1"/>
  <c r="Z378" i="34"/>
  <c r="AB420" i="34"/>
  <c r="AC420" i="34"/>
  <c r="AB496" i="34"/>
  <c r="AC496" i="34"/>
  <c r="AA659" i="34"/>
  <c r="Z659" i="34"/>
  <c r="AA679" i="34"/>
  <c r="AC679" i="34" s="1"/>
  <c r="Z679" i="34"/>
  <c r="AA801" i="34"/>
  <c r="AC801" i="34" s="1"/>
  <c r="Z801" i="34"/>
  <c r="AA848" i="34"/>
  <c r="AC848" i="34" s="1"/>
  <c r="Z848" i="34"/>
  <c r="AA869" i="34"/>
  <c r="AB869" i="34" s="1"/>
  <c r="Z869" i="34"/>
  <c r="AB971" i="34"/>
  <c r="AC971" i="34"/>
  <c r="Z991" i="34"/>
  <c r="AA991" i="34"/>
  <c r="AB991" i="34" s="1"/>
  <c r="Z1007" i="34"/>
  <c r="AA1007" i="34"/>
  <c r="AC1007" i="34" s="1"/>
  <c r="AA28" i="34"/>
  <c r="AC28" i="34" s="1"/>
  <c r="AA30" i="34"/>
  <c r="AC30" i="34" s="1"/>
  <c r="AA32" i="34"/>
  <c r="AC32" i="34" s="1"/>
  <c r="Z33" i="34"/>
  <c r="Z142" i="34"/>
  <c r="AA142" i="34"/>
  <c r="AC142" i="34" s="1"/>
  <c r="Z154" i="34"/>
  <c r="AA154" i="34"/>
  <c r="AA155" i="34"/>
  <c r="AA171" i="34"/>
  <c r="AA179" i="34"/>
  <c r="AC179" i="34" s="1"/>
  <c r="Z179" i="34"/>
  <c r="AA213" i="34"/>
  <c r="AC213" i="34" s="1"/>
  <c r="Z213" i="34"/>
  <c r="AA260" i="34"/>
  <c r="Z260" i="34"/>
  <c r="AA268" i="34"/>
  <c r="AC268" i="34" s="1"/>
  <c r="Z268" i="34"/>
  <c r="AA335" i="34"/>
  <c r="AB335" i="34" s="1"/>
  <c r="Z335" i="34"/>
  <c r="Z366" i="34"/>
  <c r="AA366" i="34"/>
  <c r="AC366" i="34" s="1"/>
  <c r="Z414" i="34"/>
  <c r="AA414" i="34"/>
  <c r="AC414" i="34" s="1"/>
  <c r="Z506" i="34"/>
  <c r="AA506" i="34"/>
  <c r="AC506" i="34" s="1"/>
  <c r="Z582" i="34"/>
  <c r="AA582" i="34"/>
  <c r="AC582" i="34" s="1"/>
  <c r="Z587" i="34"/>
  <c r="AA587" i="34"/>
  <c r="Z603" i="34"/>
  <c r="AA603" i="34"/>
  <c r="AB603" i="34" s="1"/>
  <c r="AB621" i="34"/>
  <c r="AA243" i="34"/>
  <c r="Z243" i="34"/>
  <c r="Z429" i="34"/>
  <c r="AA429" i="34"/>
  <c r="AC429" i="34" s="1"/>
  <c r="Z486" i="34"/>
  <c r="AA486" i="34"/>
  <c r="AA672" i="34"/>
  <c r="AC672" i="34" s="1"/>
  <c r="Z672" i="34"/>
  <c r="AA808" i="34"/>
  <c r="AC808" i="34" s="1"/>
  <c r="Z808" i="34"/>
  <c r="AA829" i="34"/>
  <c r="Z829" i="34"/>
  <c r="Z935" i="34"/>
  <c r="AA935" i="34"/>
  <c r="AC935" i="34" s="1"/>
  <c r="Z68" i="34"/>
  <c r="Z69" i="34"/>
  <c r="AA76" i="34"/>
  <c r="Z85" i="34"/>
  <c r="Z70" i="34"/>
  <c r="AA74" i="34"/>
  <c r="AC74" i="34" s="1"/>
  <c r="Z81" i="34"/>
  <c r="Z116" i="34"/>
  <c r="AA117" i="34"/>
  <c r="AC117" i="34" s="1"/>
  <c r="AA125" i="34"/>
  <c r="AC125" i="34" s="1"/>
  <c r="Z130" i="34"/>
  <c r="AA130" i="34"/>
  <c r="AC130" i="34" s="1"/>
  <c r="AA163" i="34"/>
  <c r="AC163" i="34" s="1"/>
  <c r="AA173" i="34"/>
  <c r="AC173" i="34" s="1"/>
  <c r="Z267" i="34"/>
  <c r="AA267" i="34"/>
  <c r="AC267" i="34" s="1"/>
  <c r="Z334" i="34"/>
  <c r="AA334" i="34"/>
  <c r="AB334" i="34" s="1"/>
  <c r="AA376" i="34"/>
  <c r="AC376" i="34" s="1"/>
  <c r="Z376" i="34"/>
  <c r="Z388" i="34"/>
  <c r="AA388" i="34"/>
  <c r="AC388" i="34" s="1"/>
  <c r="AA445" i="34"/>
  <c r="AC445" i="34" s="1"/>
  <c r="Z445" i="34"/>
  <c r="Z478" i="34"/>
  <c r="AA478" i="34"/>
  <c r="AC478" i="34" s="1"/>
  <c r="AB488" i="34"/>
  <c r="AC488" i="34"/>
  <c r="Z577" i="34"/>
  <c r="AA577" i="34"/>
  <c r="AC577" i="34" s="1"/>
  <c r="Z619" i="34"/>
  <c r="AA619" i="34"/>
  <c r="AB619" i="34" s="1"/>
  <c r="Z108" i="34"/>
  <c r="Z166" i="34"/>
  <c r="AA166" i="34"/>
  <c r="AC166" i="34" s="1"/>
  <c r="AA177" i="34"/>
  <c r="AC177" i="34" s="1"/>
  <c r="Z244" i="34"/>
  <c r="AA244" i="34"/>
  <c r="AC244" i="34" s="1"/>
  <c r="Z375" i="34"/>
  <c r="AA375" i="34"/>
  <c r="AC375" i="34" s="1"/>
  <c r="AA421" i="34"/>
  <c r="AC421" i="34" s="1"/>
  <c r="Z421" i="34"/>
  <c r="AA430" i="34"/>
  <c r="AC430" i="34" s="1"/>
  <c r="Z430" i="34"/>
  <c r="AA437" i="34"/>
  <c r="AB437" i="34" s="1"/>
  <c r="Z437" i="34"/>
  <c r="AC510" i="34"/>
  <c r="AB510" i="34"/>
  <c r="Z595" i="34"/>
  <c r="AA595" i="34"/>
  <c r="Z611" i="34"/>
  <c r="AA611" i="34"/>
  <c r="AB611" i="34" s="1"/>
  <c r="AC436" i="34"/>
  <c r="AD436" i="34" s="1"/>
  <c r="AE436" i="34" s="1"/>
  <c r="Z550" i="34"/>
  <c r="AA550" i="34"/>
  <c r="AC550" i="34" s="1"/>
  <c r="AA581" i="34"/>
  <c r="AC581" i="34" s="1"/>
  <c r="Z581" i="34"/>
  <c r="AA624" i="34"/>
  <c r="Z624" i="34"/>
  <c r="AA652" i="34"/>
  <c r="AB652" i="34" s="1"/>
  <c r="Z652" i="34"/>
  <c r="AA683" i="34"/>
  <c r="Z683" i="34"/>
  <c r="AA696" i="34"/>
  <c r="AC696" i="34" s="1"/>
  <c r="Z696" i="34"/>
  <c r="AA712" i="34"/>
  <c r="AC712" i="34" s="1"/>
  <c r="Z712" i="34"/>
  <c r="AA768" i="34"/>
  <c r="AB768" i="34" s="1"/>
  <c r="Z768" i="34"/>
  <c r="Z805" i="34"/>
  <c r="AA805" i="34"/>
  <c r="AC805" i="34" s="1"/>
  <c r="AA818" i="34"/>
  <c r="AC818" i="34" s="1"/>
  <c r="Z818" i="34"/>
  <c r="AA826" i="34"/>
  <c r="Z826" i="34"/>
  <c r="Z834" i="34"/>
  <c r="AA834" i="34"/>
  <c r="AB834" i="34" s="1"/>
  <c r="Z867" i="34"/>
  <c r="AA867" i="34"/>
  <c r="AB867" i="34" s="1"/>
  <c r="AA902" i="34"/>
  <c r="Z902" i="34"/>
  <c r="Z911" i="34"/>
  <c r="AA911" i="34"/>
  <c r="AB911" i="34" s="1"/>
  <c r="AB933" i="34"/>
  <c r="AC933" i="34"/>
  <c r="AB941" i="34"/>
  <c r="AC941" i="34"/>
  <c r="AA967" i="34"/>
  <c r="AB967" i="34" s="1"/>
  <c r="Z967" i="34"/>
  <c r="Z1002" i="34"/>
  <c r="AA1002" i="34"/>
  <c r="AC1002" i="34" s="1"/>
  <c r="AB532" i="34"/>
  <c r="AC532" i="34"/>
  <c r="Z569" i="34"/>
  <c r="AA569" i="34"/>
  <c r="AC569" i="34" s="1"/>
  <c r="AC570" i="34"/>
  <c r="AB570" i="34"/>
  <c r="AA662" i="34"/>
  <c r="Z662" i="34"/>
  <c r="Z676" i="34"/>
  <c r="AA676" i="34"/>
  <c r="AB676" i="34" s="1"/>
  <c r="Z765" i="34"/>
  <c r="AA765" i="34"/>
  <c r="AB777" i="34"/>
  <c r="AC777" i="34"/>
  <c r="AA800" i="34"/>
  <c r="AC800" i="34" s="1"/>
  <c r="Z800" i="34"/>
  <c r="AA802" i="34"/>
  <c r="AC802" i="34" s="1"/>
  <c r="Z802" i="34"/>
  <c r="AA827" i="34"/>
  <c r="AC827" i="34" s="1"/>
  <c r="Z827" i="34"/>
  <c r="AA831" i="34"/>
  <c r="Z831" i="34"/>
  <c r="AA846" i="34"/>
  <c r="Z846" i="34"/>
  <c r="AA884" i="34"/>
  <c r="Z884" i="34"/>
  <c r="AA896" i="34"/>
  <c r="Z896" i="34"/>
  <c r="Z903" i="34"/>
  <c r="AA903" i="34"/>
  <c r="AC903" i="34" s="1"/>
  <c r="AA995" i="34"/>
  <c r="AC995" i="34" s="1"/>
  <c r="Z995" i="34"/>
  <c r="AA1020" i="34"/>
  <c r="AC1020" i="34" s="1"/>
  <c r="Z1020" i="34"/>
  <c r="AB167" i="34"/>
  <c r="AD167" i="34" s="1"/>
  <c r="AE167" i="34" s="1"/>
  <c r="AB191" i="34"/>
  <c r="AD191" i="34" s="1"/>
  <c r="AE191" i="34" s="1"/>
  <c r="AA220" i="34"/>
  <c r="AC220" i="34" s="1"/>
  <c r="Z264" i="34"/>
  <c r="Z275" i="34"/>
  <c r="Z278" i="34"/>
  <c r="AA280" i="34"/>
  <c r="Z286" i="34"/>
  <c r="Z293" i="34"/>
  <c r="Z301" i="34"/>
  <c r="AA311" i="34"/>
  <c r="AC311" i="34" s="1"/>
  <c r="AA324" i="34"/>
  <c r="AC324" i="34" s="1"/>
  <c r="AA331" i="34"/>
  <c r="AC331" i="34" s="1"/>
  <c r="AA336" i="34"/>
  <c r="Z397" i="34"/>
  <c r="Z402" i="34"/>
  <c r="AA407" i="34"/>
  <c r="AC407" i="34" s="1"/>
  <c r="AA426" i="34"/>
  <c r="AC426" i="34" s="1"/>
  <c r="AA482" i="34"/>
  <c r="AC482" i="34" s="1"/>
  <c r="AC492" i="34"/>
  <c r="AD492" i="34" s="1"/>
  <c r="AE492" i="34" s="1"/>
  <c r="AF492" i="34" s="1"/>
  <c r="AC500" i="34"/>
  <c r="AD500" i="34" s="1"/>
  <c r="AE500" i="34" s="1"/>
  <c r="AF500" i="34" s="1"/>
  <c r="AB502" i="34"/>
  <c r="AD502" i="34" s="1"/>
  <c r="AE502" i="34" s="1"/>
  <c r="AF502" i="34" s="1"/>
  <c r="AC525" i="34"/>
  <c r="AD525" i="34" s="1"/>
  <c r="Z526" i="34"/>
  <c r="Z562" i="34"/>
  <c r="AA562" i="34"/>
  <c r="AC562" i="34" s="1"/>
  <c r="AA568" i="34"/>
  <c r="AB568" i="34" s="1"/>
  <c r="Z568" i="34"/>
  <c r="AA591" i="34"/>
  <c r="AB591" i="34" s="1"/>
  <c r="AA599" i="34"/>
  <c r="AC599" i="34" s="1"/>
  <c r="AA607" i="34"/>
  <c r="AA655" i="34"/>
  <c r="Z655" i="34"/>
  <c r="AA688" i="34"/>
  <c r="AC688" i="34" s="1"/>
  <c r="Z688" i="34"/>
  <c r="AA704" i="34"/>
  <c r="AC704" i="34" s="1"/>
  <c r="Z704" i="34"/>
  <c r="AA720" i="34"/>
  <c r="AC720" i="34" s="1"/>
  <c r="Z720" i="34"/>
  <c r="AA766" i="34"/>
  <c r="Z766" i="34"/>
  <c r="AA770" i="34"/>
  <c r="Z770" i="34"/>
  <c r="AC774" i="34"/>
  <c r="AB774" i="34"/>
  <c r="AA820" i="34"/>
  <c r="AC820" i="34" s="1"/>
  <c r="Z820" i="34"/>
  <c r="Z832" i="34"/>
  <c r="AA832" i="34"/>
  <c r="AC832" i="34" s="1"/>
  <c r="Z851" i="34"/>
  <c r="AA851" i="34"/>
  <c r="AA894" i="34"/>
  <c r="AC894" i="34" s="1"/>
  <c r="Z894" i="34"/>
  <c r="AC932" i="34"/>
  <c r="AB932" i="34"/>
  <c r="AA937" i="34"/>
  <c r="Z937" i="34"/>
  <c r="AA982" i="34"/>
  <c r="Z982" i="34"/>
  <c r="Z993" i="34"/>
  <c r="AA993" i="34"/>
  <c r="AC993" i="34" s="1"/>
  <c r="Z1010" i="34"/>
  <c r="AA1010" i="34"/>
  <c r="AC1010" i="34" s="1"/>
  <c r="AC647" i="34"/>
  <c r="AD647" i="34" s="1"/>
  <c r="AH647" i="34" s="1"/>
  <c r="AC651" i="34"/>
  <c r="AD651" i="34" s="1"/>
  <c r="AH651" i="34" s="1"/>
  <c r="AI651" i="34" s="1"/>
  <c r="AJ651" i="34" s="1"/>
  <c r="AK651" i="34" s="1"/>
  <c r="AC654" i="34"/>
  <c r="AD654" i="34" s="1"/>
  <c r="AH654" i="34" s="1"/>
  <c r="AI654" i="34" s="1"/>
  <c r="AJ654" i="34" s="1"/>
  <c r="AK654" i="34" s="1"/>
  <c r="AC658" i="34"/>
  <c r="AD658" i="34" s="1"/>
  <c r="AC671" i="34"/>
  <c r="AD671" i="34" s="1"/>
  <c r="AI671" i="34" s="1"/>
  <c r="AJ671" i="34" s="1"/>
  <c r="AK671" i="34" s="1"/>
  <c r="AB735" i="34"/>
  <c r="AB760" i="34"/>
  <c r="AD760" i="34" s="1"/>
  <c r="AE760" i="34" s="1"/>
  <c r="AC786" i="34"/>
  <c r="AD786" i="34" s="1"/>
  <c r="AC959" i="34"/>
  <c r="AD959" i="34" s="1"/>
  <c r="AE959" i="34" s="1"/>
  <c r="AC552" i="34"/>
  <c r="AD552" i="34" s="1"/>
  <c r="Z629" i="34"/>
  <c r="Z630" i="34"/>
  <c r="AA631" i="34"/>
  <c r="AC631" i="34" s="1"/>
  <c r="Z646" i="34"/>
  <c r="Z650" i="34"/>
  <c r="Z664" i="34"/>
  <c r="Z667" i="34"/>
  <c r="Z670" i="34"/>
  <c r="Z692" i="34"/>
  <c r="Z700" i="34"/>
  <c r="Z708" i="34"/>
  <c r="Z716" i="34"/>
  <c r="Z724" i="34"/>
  <c r="Z731" i="34"/>
  <c r="Z739" i="34"/>
  <c r="Z751" i="34"/>
  <c r="Z753" i="34"/>
  <c r="AA769" i="34"/>
  <c r="Z782" i="34"/>
  <c r="Z812" i="34"/>
  <c r="Z819" i="34"/>
  <c r="Z821" i="34"/>
  <c r="Z828" i="34"/>
  <c r="Z833" i="34"/>
  <c r="Z835" i="34"/>
  <c r="Z845" i="34"/>
  <c r="AA859" i="34"/>
  <c r="AC859" i="34" s="1"/>
  <c r="AA883" i="34"/>
  <c r="AB883" i="34" s="1"/>
  <c r="AC48" i="34"/>
  <c r="AD48" i="34" s="1"/>
  <c r="AB48" i="34"/>
  <c r="AC66" i="34"/>
  <c r="AB66" i="34"/>
  <c r="AC132" i="34"/>
  <c r="AB132" i="34"/>
  <c r="AC136" i="34"/>
  <c r="AB136" i="34"/>
  <c r="AC140" i="34"/>
  <c r="AB140" i="34"/>
  <c r="AB168" i="34"/>
  <c r="AC168" i="34"/>
  <c r="AC88" i="34"/>
  <c r="AB88" i="34"/>
  <c r="AC181" i="34"/>
  <c r="AB181" i="34"/>
  <c r="AD134" i="34"/>
  <c r="AE134" i="34" s="1"/>
  <c r="AF134" i="34" s="1"/>
  <c r="AC236" i="34"/>
  <c r="AB236" i="34"/>
  <c r="AA255" i="34"/>
  <c r="Z255" i="34"/>
  <c r="AA417" i="34"/>
  <c r="AC417" i="34" s="1"/>
  <c r="Z417" i="34"/>
  <c r="AA548" i="34"/>
  <c r="Z548" i="34"/>
  <c r="AA578" i="34"/>
  <c r="AC578" i="34" s="1"/>
  <c r="Z578" i="34"/>
  <c r="AB137" i="34"/>
  <c r="AD137" i="34" s="1"/>
  <c r="AA194" i="34"/>
  <c r="AC194" i="34" s="1"/>
  <c r="AA200" i="34"/>
  <c r="AA330" i="34"/>
  <c r="AC330" i="34" s="1"/>
  <c r="Z330" i="34"/>
  <c r="AC355" i="34"/>
  <c r="AB355" i="34"/>
  <c r="AB323" i="34"/>
  <c r="AC323" i="34"/>
  <c r="AA466" i="34"/>
  <c r="Z466" i="34"/>
  <c r="AC474" i="34"/>
  <c r="AA542" i="34"/>
  <c r="AB542" i="34" s="1"/>
  <c r="Z542" i="34"/>
  <c r="AA634" i="34"/>
  <c r="Z634" i="34"/>
  <c r="AA757" i="34"/>
  <c r="AC757" i="34" s="1"/>
  <c r="Z757" i="34"/>
  <c r="Z783" i="34"/>
  <c r="AA783" i="34"/>
  <c r="Z27" i="34"/>
  <c r="Z35" i="34"/>
  <c r="Z48" i="34"/>
  <c r="AB53" i="34"/>
  <c r="AD53" i="34" s="1"/>
  <c r="AB61" i="34"/>
  <c r="AD61" i="34" s="1"/>
  <c r="AA111" i="34"/>
  <c r="AA118" i="34"/>
  <c r="AA122" i="34"/>
  <c r="AA126" i="34"/>
  <c r="Z131" i="34"/>
  <c r="AA143" i="34"/>
  <c r="Z164" i="34"/>
  <c r="Z192" i="34"/>
  <c r="AA217" i="34"/>
  <c r="AC217" i="34" s="1"/>
  <c r="AA218" i="34"/>
  <c r="AC218" i="34" s="1"/>
  <c r="AA224" i="34"/>
  <c r="AC224" i="34" s="1"/>
  <c r="Z228" i="34"/>
  <c r="Z230" i="34"/>
  <c r="Z232" i="34"/>
  <c r="Z248" i="34"/>
  <c r="Z261" i="34"/>
  <c r="Z262" i="34"/>
  <c r="AA262" i="34"/>
  <c r="AA310" i="34"/>
  <c r="AC310" i="34" s="1"/>
  <c r="Z310" i="34"/>
  <c r="Z320" i="34"/>
  <c r="Z323" i="34"/>
  <c r="AA373" i="34"/>
  <c r="AC373" i="34" s="1"/>
  <c r="Z373" i="34"/>
  <c r="AA395" i="34"/>
  <c r="AC395" i="34" s="1"/>
  <c r="Z395" i="34"/>
  <c r="AA425" i="34"/>
  <c r="AC425" i="34" s="1"/>
  <c r="Z425" i="34"/>
  <c r="AB458" i="34"/>
  <c r="AC458" i="34"/>
  <c r="AC470" i="34"/>
  <c r="AB470" i="34"/>
  <c r="AB482" i="34"/>
  <c r="AD482" i="34" s="1"/>
  <c r="AE482" i="34" s="1"/>
  <c r="AB512" i="34"/>
  <c r="AC512" i="34"/>
  <c r="AA534" i="34"/>
  <c r="Z534" i="34"/>
  <c r="Z623" i="34"/>
  <c r="AA623" i="34"/>
  <c r="AC623" i="34" s="1"/>
  <c r="AA633" i="34"/>
  <c r="AB633" i="34" s="1"/>
  <c r="Z633" i="34"/>
  <c r="AA656" i="34"/>
  <c r="Z656" i="34"/>
  <c r="Z13" i="34"/>
  <c r="AA16" i="34"/>
  <c r="AC16" i="34" s="1"/>
  <c r="Z21" i="34"/>
  <c r="AA23" i="34"/>
  <c r="AC23" i="34" s="1"/>
  <c r="AA29" i="34"/>
  <c r="AC29" i="34" s="1"/>
  <c r="AA34" i="34"/>
  <c r="AC34" i="34" s="1"/>
  <c r="AA44" i="34"/>
  <c r="AC44" i="34" s="1"/>
  <c r="AA45" i="34"/>
  <c r="AC45" i="34" s="1"/>
  <c r="AA46" i="34"/>
  <c r="AC46" i="34" s="1"/>
  <c r="AC50" i="34"/>
  <c r="AD50" i="34" s="1"/>
  <c r="AE50" i="34" s="1"/>
  <c r="Z52" i="34"/>
  <c r="Z55" i="34"/>
  <c r="Z57" i="34"/>
  <c r="Z58" i="34"/>
  <c r="Z60" i="34"/>
  <c r="Z64" i="34"/>
  <c r="Z65" i="34"/>
  <c r="Z66" i="34"/>
  <c r="AB70" i="34"/>
  <c r="AD70" i="34" s="1"/>
  <c r="AE70" i="34" s="1"/>
  <c r="Z73" i="34"/>
  <c r="AA77" i="34"/>
  <c r="AC77" i="34" s="1"/>
  <c r="AA79" i="34"/>
  <c r="AC79" i="34" s="1"/>
  <c r="Z82" i="34"/>
  <c r="Z83" i="34"/>
  <c r="Z84" i="34"/>
  <c r="AA87" i="34"/>
  <c r="AC87" i="34" s="1"/>
  <c r="Z88" i="34"/>
  <c r="AA96" i="34"/>
  <c r="AB100" i="34"/>
  <c r="AD100" i="34" s="1"/>
  <c r="AE100" i="34" s="1"/>
  <c r="AB104" i="34"/>
  <c r="AD104" i="34" s="1"/>
  <c r="AE104" i="34" s="1"/>
  <c r="AB108" i="34"/>
  <c r="AD108" i="34" s="1"/>
  <c r="AE108" i="34" s="1"/>
  <c r="Z114" i="34"/>
  <c r="Z119" i="34"/>
  <c r="Z123" i="34"/>
  <c r="Z127" i="34"/>
  <c r="Z132" i="34"/>
  <c r="Z134" i="34"/>
  <c r="AC135" i="34"/>
  <c r="AD135" i="34" s="1"/>
  <c r="AE135" i="34" s="1"/>
  <c r="AF135" i="34" s="1"/>
  <c r="Z136" i="34"/>
  <c r="Z138" i="34"/>
  <c r="AC139" i="34"/>
  <c r="AD139" i="34" s="1"/>
  <c r="AE139" i="34" s="1"/>
  <c r="AF139" i="34" s="1"/>
  <c r="Z140" i="34"/>
  <c r="Z145" i="34"/>
  <c r="AA150" i="34"/>
  <c r="AC150" i="34" s="1"/>
  <c r="AA152" i="34"/>
  <c r="AC152" i="34" s="1"/>
  <c r="Z159" i="34"/>
  <c r="Z162" i="34"/>
  <c r="Z168" i="34"/>
  <c r="AB169" i="34"/>
  <c r="AD169" i="34" s="1"/>
  <c r="AE169" i="34" s="1"/>
  <c r="Z172" i="34"/>
  <c r="Z180" i="34"/>
  <c r="Z181" i="34"/>
  <c r="AA182" i="34"/>
  <c r="AC182" i="34" s="1"/>
  <c r="AA184" i="34"/>
  <c r="AA188" i="34"/>
  <c r="AC188" i="34" s="1"/>
  <c r="Z195" i="34"/>
  <c r="Z203" i="34"/>
  <c r="AA209" i="34"/>
  <c r="AC209" i="34" s="1"/>
  <c r="AA214" i="34"/>
  <c r="AC214" i="34" s="1"/>
  <c r="AA215" i="34"/>
  <c r="AC215" i="34" s="1"/>
  <c r="AA221" i="34"/>
  <c r="AC221" i="34" s="1"/>
  <c r="AA222" i="34"/>
  <c r="AC222" i="34" s="1"/>
  <c r="Z225" i="34"/>
  <c r="AB232" i="34"/>
  <c r="AD232" i="34" s="1"/>
  <c r="Z233" i="34"/>
  <c r="Z241" i="34"/>
  <c r="AA247" i="34"/>
  <c r="Z247" i="34"/>
  <c r="Z258" i="34"/>
  <c r="AA272" i="34"/>
  <c r="Z272" i="34"/>
  <c r="AA295" i="34"/>
  <c r="AC295" i="34" s="1"/>
  <c r="Z295" i="34"/>
  <c r="AA299" i="34"/>
  <c r="AC299" i="34" s="1"/>
  <c r="Z299" i="34"/>
  <c r="AC305" i="34"/>
  <c r="AC325" i="34"/>
  <c r="Z339" i="34"/>
  <c r="Z391" i="34"/>
  <c r="AA410" i="34"/>
  <c r="AB410" i="34" s="1"/>
  <c r="Z410" i="34"/>
  <c r="AA424" i="34"/>
  <c r="AB424" i="34" s="1"/>
  <c r="Z424" i="34"/>
  <c r="Z446" i="34"/>
  <c r="AA451" i="34"/>
  <c r="AB451" i="34" s="1"/>
  <c r="Z451" i="34"/>
  <c r="Z458" i="34"/>
  <c r="AA461" i="34"/>
  <c r="Z461" i="34"/>
  <c r="AA463" i="34"/>
  <c r="AC463" i="34" s="1"/>
  <c r="Z463" i="34"/>
  <c r="Z470" i="34"/>
  <c r="AB478" i="34"/>
  <c r="AD478" i="34" s="1"/>
  <c r="AE478" i="34" s="1"/>
  <c r="AB506" i="34"/>
  <c r="AA518" i="34"/>
  <c r="Z518" i="34"/>
  <c r="AA522" i="34"/>
  <c r="Z522" i="34"/>
  <c r="AB530" i="34"/>
  <c r="AD530" i="34" s="1"/>
  <c r="AE530" i="34" s="1"/>
  <c r="AA546" i="34"/>
  <c r="AC546" i="34" s="1"/>
  <c r="Z546" i="34"/>
  <c r="AA553" i="34"/>
  <c r="AB553" i="34" s="1"/>
  <c r="Z553" i="34"/>
  <c r="AB554" i="34"/>
  <c r="AD554" i="34" s="1"/>
  <c r="AA574" i="34"/>
  <c r="AC574" i="34" s="1"/>
  <c r="Z574" i="34"/>
  <c r="AA580" i="34"/>
  <c r="Z580" i="34"/>
  <c r="AB582" i="34"/>
  <c r="AC627" i="34"/>
  <c r="AB627" i="34"/>
  <c r="AC835" i="34"/>
  <c r="AB835" i="34"/>
  <c r="AA294" i="34"/>
  <c r="AC294" i="34" s="1"/>
  <c r="Z294" i="34"/>
  <c r="AA297" i="34"/>
  <c r="AC297" i="34" s="1"/>
  <c r="Z297" i="34"/>
  <c r="AA318" i="34"/>
  <c r="AC318" i="34" s="1"/>
  <c r="Z318" i="34"/>
  <c r="AA450" i="34"/>
  <c r="AC450" i="34" s="1"/>
  <c r="Z450" i="34"/>
  <c r="AB516" i="34"/>
  <c r="AC516" i="34"/>
  <c r="AA657" i="34"/>
  <c r="Z657" i="34"/>
  <c r="AA771" i="34"/>
  <c r="AC771" i="34" s="1"/>
  <c r="Z771" i="34"/>
  <c r="AA15" i="34"/>
  <c r="AC15" i="34" s="1"/>
  <c r="AA37" i="34"/>
  <c r="AC37" i="34" s="1"/>
  <c r="AB74" i="34"/>
  <c r="AD74" i="34" s="1"/>
  <c r="AE74" i="34" s="1"/>
  <c r="Z86" i="34"/>
  <c r="Z113" i="34"/>
  <c r="Z158" i="34"/>
  <c r="AB173" i="34"/>
  <c r="AD173" i="34" s="1"/>
  <c r="AB199" i="34"/>
  <c r="AD199" i="34" s="1"/>
  <c r="AE199" i="34" s="1"/>
  <c r="Z236" i="34"/>
  <c r="AA237" i="34"/>
  <c r="AB237" i="34" s="1"/>
  <c r="Z254" i="34"/>
  <c r="Z341" i="34"/>
  <c r="AA406" i="34"/>
  <c r="AB406" i="34" s="1"/>
  <c r="Z406" i="34"/>
  <c r="Z448" i="34"/>
  <c r="Z449" i="34"/>
  <c r="AA452" i="34"/>
  <c r="AC452" i="34" s="1"/>
  <c r="Z452" i="34"/>
  <c r="AA464" i="34"/>
  <c r="AB464" i="34" s="1"/>
  <c r="Z464" i="34"/>
  <c r="AB119" i="34"/>
  <c r="AD119" i="34" s="1"/>
  <c r="AE119" i="34" s="1"/>
  <c r="AB123" i="34"/>
  <c r="AD123" i="34" s="1"/>
  <c r="AE123" i="34" s="1"/>
  <c r="AB127" i="34"/>
  <c r="AD127" i="34" s="1"/>
  <c r="AE127" i="34" s="1"/>
  <c r="Z246" i="34"/>
  <c r="AA246" i="34"/>
  <c r="AB246" i="34" s="1"/>
  <c r="AA288" i="34"/>
  <c r="AC288" i="34" s="1"/>
  <c r="Z288" i="34"/>
  <c r="AA345" i="34"/>
  <c r="Z345" i="34"/>
  <c r="AA361" i="34"/>
  <c r="Z361" i="34"/>
  <c r="AB397" i="34"/>
  <c r="AC397" i="34"/>
  <c r="AA398" i="34"/>
  <c r="AC398" i="34" s="1"/>
  <c r="Z398" i="34"/>
  <c r="AA403" i="34"/>
  <c r="Z403" i="34"/>
  <c r="AA413" i="34"/>
  <c r="AC413" i="34" s="1"/>
  <c r="Z413" i="34"/>
  <c r="AC422" i="34"/>
  <c r="AB422" i="34"/>
  <c r="AA438" i="34"/>
  <c r="Z438" i="34"/>
  <c r="AC442" i="34"/>
  <c r="AB442" i="34"/>
  <c r="AC460" i="34"/>
  <c r="AB460" i="34"/>
  <c r="Z462" i="34"/>
  <c r="AA462" i="34"/>
  <c r="AC462" i="34" s="1"/>
  <c r="AB517" i="34"/>
  <c r="AC517" i="34"/>
  <c r="AA566" i="34"/>
  <c r="Z566" i="34"/>
  <c r="Z803" i="34"/>
  <c r="AA803" i="34"/>
  <c r="AC803" i="34" s="1"/>
  <c r="AA622" i="34"/>
  <c r="AB622" i="34" s="1"/>
  <c r="Z622" i="34"/>
  <c r="AB629" i="34"/>
  <c r="AD629" i="34" s="1"/>
  <c r="AF629" i="34" s="1"/>
  <c r="AA661" i="34"/>
  <c r="Z661" i="34"/>
  <c r="AA741" i="34"/>
  <c r="AB741" i="34" s="1"/>
  <c r="Z741" i="34"/>
  <c r="Z781" i="34"/>
  <c r="AA781" i="34"/>
  <c r="AA790" i="34"/>
  <c r="Z790" i="34"/>
  <c r="AA798" i="34"/>
  <c r="Z798" i="34"/>
  <c r="Z811" i="34"/>
  <c r="AA811" i="34"/>
  <c r="AC811" i="34" s="1"/>
  <c r="AA814" i="34"/>
  <c r="AC814" i="34" s="1"/>
  <c r="Z814" i="34"/>
  <c r="Z849" i="34"/>
  <c r="AA849" i="34"/>
  <c r="AB849" i="34" s="1"/>
  <c r="Z865" i="34"/>
  <c r="AA865" i="34"/>
  <c r="AB865" i="34" s="1"/>
  <c r="Z939" i="34"/>
  <c r="AA939" i="34"/>
  <c r="AC939" i="34" s="1"/>
  <c r="AA948" i="34"/>
  <c r="Z948" i="34"/>
  <c r="Z965" i="34"/>
  <c r="AA965" i="34"/>
  <c r="AC965" i="34" s="1"/>
  <c r="AA979" i="34"/>
  <c r="Z979" i="34"/>
  <c r="Z989" i="34"/>
  <c r="AA989" i="34"/>
  <c r="AC989" i="34" s="1"/>
  <c r="AC520" i="34"/>
  <c r="AD520" i="34" s="1"/>
  <c r="AE520" i="34" s="1"/>
  <c r="AC524" i="34"/>
  <c r="AD524" i="34" s="1"/>
  <c r="Z530" i="34"/>
  <c r="Z549" i="34"/>
  <c r="Z554" i="34"/>
  <c r="Z557" i="34"/>
  <c r="Z561" i="34"/>
  <c r="AA626" i="34"/>
  <c r="Z626" i="34"/>
  <c r="AB648" i="34"/>
  <c r="AC648" i="34"/>
  <c r="AA649" i="34"/>
  <c r="Z649" i="34"/>
  <c r="AA665" i="34"/>
  <c r="Z665" i="34"/>
  <c r="AA763" i="34"/>
  <c r="Z763" i="34"/>
  <c r="Z773" i="34"/>
  <c r="AA773" i="34"/>
  <c r="Z778" i="34"/>
  <c r="AA778" i="34"/>
  <c r="AC782" i="34"/>
  <c r="AB782" i="34"/>
  <c r="AA787" i="34"/>
  <c r="Z787" i="34"/>
  <c r="Z847" i="34"/>
  <c r="AA847" i="34"/>
  <c r="AB847" i="34" s="1"/>
  <c r="AA900" i="34"/>
  <c r="AC900" i="34" s="1"/>
  <c r="Z900" i="34"/>
  <c r="Z907" i="34"/>
  <c r="AA907" i="34"/>
  <c r="AB907" i="34" s="1"/>
  <c r="AB914" i="34"/>
  <c r="AA918" i="34"/>
  <c r="AB918" i="34" s="1"/>
  <c r="Z918" i="34"/>
  <c r="AA927" i="34"/>
  <c r="AC927" i="34" s="1"/>
  <c r="Z927" i="34"/>
  <c r="AC936" i="34"/>
  <c r="AB936" i="34"/>
  <c r="Z321" i="34"/>
  <c r="Z333" i="34"/>
  <c r="Z348" i="34"/>
  <c r="Z362" i="34"/>
  <c r="AC385" i="34"/>
  <c r="AD385" i="34" s="1"/>
  <c r="AE385" i="34" s="1"/>
  <c r="Z420" i="34"/>
  <c r="Z440" i="34"/>
  <c r="AC528" i="34"/>
  <c r="AD528" i="34" s="1"/>
  <c r="AE528" i="34" s="1"/>
  <c r="Z532" i="34"/>
  <c r="AC536" i="34"/>
  <c r="AD536" i="34" s="1"/>
  <c r="AE536" i="34" s="1"/>
  <c r="AF536" i="34" s="1"/>
  <c r="AG536" i="34" s="1"/>
  <c r="Z564" i="34"/>
  <c r="AC568" i="34"/>
  <c r="AD568" i="34" s="1"/>
  <c r="AE568" i="34" s="1"/>
  <c r="AF568" i="34" s="1"/>
  <c r="AG568" i="34" s="1"/>
  <c r="AA584" i="34"/>
  <c r="Z584" i="34"/>
  <c r="AC625" i="34"/>
  <c r="AB625" i="34"/>
  <c r="AA632" i="34"/>
  <c r="Z648" i="34"/>
  <c r="AA653" i="34"/>
  <c r="Z653" i="34"/>
  <c r="AA669" i="34"/>
  <c r="Z669" i="34"/>
  <c r="AB674" i="34"/>
  <c r="AC674" i="34"/>
  <c r="AA743" i="34"/>
  <c r="Z743" i="34"/>
  <c r="AA767" i="34"/>
  <c r="Z767" i="34"/>
  <c r="AB775" i="34"/>
  <c r="AC775" i="34"/>
  <c r="AA779" i="34"/>
  <c r="AB779" i="34" s="1"/>
  <c r="Z779" i="34"/>
  <c r="AA794" i="34"/>
  <c r="Z794" i="34"/>
  <c r="AA810" i="34"/>
  <c r="Z810" i="34"/>
  <c r="AA823" i="34"/>
  <c r="AC823" i="34" s="1"/>
  <c r="Z823" i="34"/>
  <c r="AA841" i="34"/>
  <c r="Z841" i="34"/>
  <c r="Z857" i="34"/>
  <c r="AA857" i="34"/>
  <c r="AB857" i="34" s="1"/>
  <c r="AC660" i="34"/>
  <c r="AD660" i="34" s="1"/>
  <c r="AH660" i="34" s="1"/>
  <c r="AI660" i="34" s="1"/>
  <c r="AJ660" i="34" s="1"/>
  <c r="AK660" i="34" s="1"/>
  <c r="AC664" i="34"/>
  <c r="AD664" i="34" s="1"/>
  <c r="AH664" i="34" s="1"/>
  <c r="AI664" i="34" s="1"/>
  <c r="AC668" i="34"/>
  <c r="AD668" i="34" s="1"/>
  <c r="AH668" i="34" s="1"/>
  <c r="AI668" i="34" s="1"/>
  <c r="AJ668" i="34" s="1"/>
  <c r="AK668" i="34" s="1"/>
  <c r="AB692" i="34"/>
  <c r="AD692" i="34" s="1"/>
  <c r="AB700" i="34"/>
  <c r="AD700" i="34" s="1"/>
  <c r="AB708" i="34"/>
  <c r="AD708" i="34" s="1"/>
  <c r="AB712" i="34"/>
  <c r="AD712" i="34" s="1"/>
  <c r="AE712" i="34" s="1"/>
  <c r="AB716" i="34"/>
  <c r="AD716" i="34" s="1"/>
  <c r="AB724" i="34"/>
  <c r="AB739" i="34"/>
  <c r="AD739" i="34" s="1"/>
  <c r="AB755" i="34"/>
  <c r="AD755" i="34" s="1"/>
  <c r="AA815" i="34"/>
  <c r="AC815" i="34" s="1"/>
  <c r="Z815" i="34"/>
  <c r="AA824" i="34"/>
  <c r="AB824" i="34" s="1"/>
  <c r="Z824" i="34"/>
  <c r="AB832" i="34"/>
  <c r="Z870" i="34"/>
  <c r="AA870" i="34"/>
  <c r="Z878" i="34"/>
  <c r="AA878" i="34"/>
  <c r="Z924" i="34"/>
  <c r="AA924" i="34"/>
  <c r="AC924" i="34" s="1"/>
  <c r="AA934" i="34"/>
  <c r="Z934" i="34"/>
  <c r="AA958" i="34"/>
  <c r="AC958" i="34" s="1"/>
  <c r="Z958" i="34"/>
  <c r="AA999" i="34"/>
  <c r="AC999" i="34" s="1"/>
  <c r="Z999" i="34"/>
  <c r="AA816" i="34"/>
  <c r="AC816" i="34" s="1"/>
  <c r="Z816" i="34"/>
  <c r="AA822" i="34"/>
  <c r="Z822" i="34"/>
  <c r="AA825" i="34"/>
  <c r="Z825" i="34"/>
  <c r="AC834" i="34"/>
  <c r="AA855" i="34"/>
  <c r="AB855" i="34" s="1"/>
  <c r="AA863" i="34"/>
  <c r="AC863" i="34" s="1"/>
  <c r="AA916" i="34"/>
  <c r="AC916" i="34" s="1"/>
  <c r="Z916" i="34"/>
  <c r="AA946" i="34"/>
  <c r="AB946" i="34" s="1"/>
  <c r="Z946" i="34"/>
  <c r="AA963" i="34"/>
  <c r="Z963" i="34"/>
  <c r="Z981" i="34"/>
  <c r="AA981" i="34"/>
  <c r="AB990" i="34"/>
  <c r="AA784" i="34"/>
  <c r="AB784" i="34" s="1"/>
  <c r="Z784" i="34"/>
  <c r="AA791" i="34"/>
  <c r="Z791" i="34"/>
  <c r="AA817" i="34"/>
  <c r="Z817" i="34"/>
  <c r="Z836" i="34"/>
  <c r="AA836" i="34"/>
  <c r="Z840" i="34"/>
  <c r="AA840" i="34"/>
  <c r="AB840" i="34" s="1"/>
  <c r="AA886" i="34"/>
  <c r="AA888" i="34"/>
  <c r="Z888" i="34"/>
  <c r="AB890" i="34"/>
  <c r="AD890" i="34" s="1"/>
  <c r="AI890" i="34" s="1"/>
  <c r="AJ890" i="34" s="1"/>
  <c r="AK890" i="34" s="1"/>
  <c r="AA906" i="34"/>
  <c r="Z906" i="34"/>
  <c r="AA974" i="34"/>
  <c r="AC974" i="34" s="1"/>
  <c r="Z974" i="34"/>
  <c r="AA983" i="34"/>
  <c r="AB983" i="34" s="1"/>
  <c r="Z983" i="34"/>
  <c r="AB994" i="34"/>
  <c r="AD994" i="34" s="1"/>
  <c r="AE994" i="34" s="1"/>
  <c r="Z1006" i="34"/>
  <c r="AA1006" i="34"/>
  <c r="AC1006" i="34" s="1"/>
  <c r="AA1015" i="34"/>
  <c r="Z1015" i="34"/>
  <c r="AB821" i="34"/>
  <c r="AD821" i="34" s="1"/>
  <c r="AA891" i="34"/>
  <c r="AB892" i="34"/>
  <c r="AD892" i="34" s="1"/>
  <c r="AA899" i="34"/>
  <c r="AC899" i="34" s="1"/>
  <c r="Z908" i="34"/>
  <c r="AA915" i="34"/>
  <c r="AB915" i="34" s="1"/>
  <c r="AA917" i="34"/>
  <c r="AC917" i="34" s="1"/>
  <c r="AC938" i="34"/>
  <c r="AD938" i="34" s="1"/>
  <c r="Z955" i="34"/>
  <c r="AA957" i="34"/>
  <c r="AC957" i="34" s="1"/>
  <c r="Z971" i="34"/>
  <c r="AA973" i="34"/>
  <c r="AC973" i="34" s="1"/>
  <c r="AC988" i="34"/>
  <c r="AD988" i="34" s="1"/>
  <c r="AA998" i="34"/>
  <c r="AC998" i="34" s="1"/>
  <c r="AA1014" i="34"/>
  <c r="AC1014" i="34" s="1"/>
  <c r="AA1021" i="34"/>
  <c r="AB1021" i="34" s="1"/>
  <c r="U1592" i="23"/>
  <c r="W1592" i="23" s="1"/>
  <c r="P1593" i="23" s="1"/>
  <c r="Q1593" i="23" s="1"/>
  <c r="R1593" i="23"/>
  <c r="U1072" i="23"/>
  <c r="R1073" i="23"/>
  <c r="W1069" i="23"/>
  <c r="U696" i="23"/>
  <c r="W696" i="23" s="1"/>
  <c r="P697" i="23" s="1"/>
  <c r="Q697" i="23" s="1"/>
  <c r="H1615" i="23"/>
  <c r="J1613" i="23"/>
  <c r="O1613" i="23"/>
  <c r="H1614" i="23"/>
  <c r="R1613" i="23"/>
  <c r="J369" i="23"/>
  <c r="H370" i="23"/>
  <c r="O369" i="23"/>
  <c r="R369" i="23"/>
  <c r="J1292" i="23"/>
  <c r="O1292" i="23"/>
  <c r="R1292" i="23"/>
  <c r="H1293" i="23"/>
  <c r="H1568" i="23"/>
  <c r="O1567" i="23"/>
  <c r="J1567" i="23"/>
  <c r="W1567" i="23"/>
  <c r="P1568" i="23" s="1"/>
  <c r="Q1568" i="23" s="1"/>
  <c r="R1568" i="23"/>
  <c r="U1568" i="23" s="1"/>
  <c r="U1567" i="23"/>
  <c r="Z17" i="34"/>
  <c r="Z25" i="34"/>
  <c r="Z47" i="34"/>
  <c r="Z50" i="34"/>
  <c r="AC68" i="34"/>
  <c r="AB68" i="34"/>
  <c r="AC90" i="34"/>
  <c r="AB90" i="34"/>
  <c r="AB180" i="34"/>
  <c r="AC180" i="34"/>
  <c r="Z18" i="34"/>
  <c r="Z19" i="34"/>
  <c r="AA20" i="34"/>
  <c r="AC20" i="34" s="1"/>
  <c r="Z22" i="34"/>
  <c r="Z26" i="34"/>
  <c r="Z31" i="34"/>
  <c r="Z36" i="34"/>
  <c r="Z39" i="34"/>
  <c r="Z43" i="34"/>
  <c r="AA49" i="34"/>
  <c r="Z49" i="34"/>
  <c r="Z51" i="34"/>
  <c r="AA54" i="34"/>
  <c r="AC54" i="34" s="1"/>
  <c r="Z54" i="34"/>
  <c r="AB67" i="34"/>
  <c r="AC67" i="34"/>
  <c r="AC89" i="34"/>
  <c r="AB89" i="34"/>
  <c r="AC94" i="34"/>
  <c r="AB94" i="34"/>
  <c r="AC86" i="34"/>
  <c r="AB86" i="34"/>
  <c r="AC93" i="34"/>
  <c r="AB93" i="34"/>
  <c r="AB99" i="34"/>
  <c r="AC99" i="34"/>
  <c r="AB103" i="34"/>
  <c r="AC103" i="34"/>
  <c r="AB107" i="34"/>
  <c r="AC107" i="34"/>
  <c r="AB148" i="34"/>
  <c r="AC148" i="34"/>
  <c r="AB176" i="34"/>
  <c r="AC176" i="34"/>
  <c r="AB198" i="34"/>
  <c r="AC198" i="34"/>
  <c r="Z59" i="34"/>
  <c r="AB60" i="34"/>
  <c r="AD60" i="34" s="1"/>
  <c r="Z62" i="34"/>
  <c r="Z63" i="34"/>
  <c r="Z67" i="34"/>
  <c r="AB69" i="34"/>
  <c r="AD69" i="34" s="1"/>
  <c r="Z75" i="34"/>
  <c r="Z78" i="34"/>
  <c r="Z89" i="34"/>
  <c r="AB91" i="34"/>
  <c r="AD91" i="34" s="1"/>
  <c r="Z93" i="34"/>
  <c r="Z99" i="34"/>
  <c r="AA101" i="34"/>
  <c r="Z102" i="34"/>
  <c r="Z103" i="34"/>
  <c r="AA105" i="34"/>
  <c r="Z106" i="34"/>
  <c r="Z107" i="34"/>
  <c r="AA109" i="34"/>
  <c r="Z110" i="34"/>
  <c r="Z112" i="34"/>
  <c r="Z115" i="34"/>
  <c r="AC116" i="34"/>
  <c r="AD116" i="34" s="1"/>
  <c r="AB117" i="34"/>
  <c r="AD117" i="34" s="1"/>
  <c r="AC120" i="34"/>
  <c r="AD120" i="34" s="1"/>
  <c r="AC124" i="34"/>
  <c r="AD124" i="34" s="1"/>
  <c r="Z146" i="34"/>
  <c r="Z151" i="34"/>
  <c r="AA153" i="34"/>
  <c r="Z156" i="34"/>
  <c r="AB159" i="34"/>
  <c r="AD159" i="34" s="1"/>
  <c r="AA161" i="34"/>
  <c r="AC161" i="34" s="1"/>
  <c r="AA174" i="34"/>
  <c r="Z175" i="34"/>
  <c r="Z176" i="34"/>
  <c r="Z178" i="34"/>
  <c r="AA183" i="34"/>
  <c r="Z185" i="34"/>
  <c r="AA187" i="34"/>
  <c r="AC187" i="34" s="1"/>
  <c r="AA190" i="34"/>
  <c r="AC190" i="34" s="1"/>
  <c r="AA196" i="34"/>
  <c r="Z197" i="34"/>
  <c r="Z198" i="34"/>
  <c r="AA202" i="34"/>
  <c r="AC202" i="34" s="1"/>
  <c r="Z205" i="34"/>
  <c r="Z206" i="34"/>
  <c r="Z207" i="34"/>
  <c r="AA208" i="34"/>
  <c r="AC208" i="34" s="1"/>
  <c r="Z216" i="34"/>
  <c r="Z219" i="34"/>
  <c r="Z223" i="34"/>
  <c r="AB226" i="34"/>
  <c r="AD226" i="34" s="1"/>
  <c r="Z227" i="34"/>
  <c r="Z229" i="34"/>
  <c r="AA231" i="34"/>
  <c r="AC231" i="34" s="1"/>
  <c r="AC233" i="34"/>
  <c r="AD233" i="34" s="1"/>
  <c r="AA240" i="34"/>
  <c r="Z242" i="34"/>
  <c r="Z252" i="34"/>
  <c r="AA252" i="34"/>
  <c r="AC252" i="34" s="1"/>
  <c r="Z253" i="34"/>
  <c r="AA253" i="34"/>
  <c r="AA256" i="34"/>
  <c r="Z256" i="34"/>
  <c r="Z263" i="34"/>
  <c r="AA263" i="34"/>
  <c r="AC263" i="34" s="1"/>
  <c r="AB102" i="34"/>
  <c r="AD102" i="34" s="1"/>
  <c r="AB106" i="34"/>
  <c r="AD106" i="34" s="1"/>
  <c r="AB156" i="34"/>
  <c r="AD156" i="34" s="1"/>
  <c r="AB175" i="34"/>
  <c r="AD175" i="34" s="1"/>
  <c r="AB197" i="34"/>
  <c r="AD197" i="34" s="1"/>
  <c r="AB205" i="34"/>
  <c r="AD205" i="34" s="1"/>
  <c r="Z250" i="34"/>
  <c r="AA250" i="34"/>
  <c r="AA249" i="34"/>
  <c r="Z249" i="34"/>
  <c r="AC251" i="34"/>
  <c r="AB251" i="34"/>
  <c r="AB92" i="34"/>
  <c r="AD92" i="34" s="1"/>
  <c r="AC241" i="34"/>
  <c r="AD241" i="34" s="1"/>
  <c r="AA245" i="34"/>
  <c r="AC245" i="34" s="1"/>
  <c r="Z257" i="34"/>
  <c r="AA257" i="34"/>
  <c r="AC266" i="34"/>
  <c r="AD266" i="34" s="1"/>
  <c r="AA271" i="34"/>
  <c r="Z271" i="34"/>
  <c r="AC278" i="34"/>
  <c r="AB278" i="34"/>
  <c r="AA291" i="34"/>
  <c r="Z291" i="34"/>
  <c r="AB304" i="34"/>
  <c r="AC307" i="34"/>
  <c r="AD307" i="34" s="1"/>
  <c r="AA332" i="34"/>
  <c r="Z332" i="34"/>
  <c r="AC334" i="34"/>
  <c r="AC338" i="34"/>
  <c r="AD338" i="34" s="1"/>
  <c r="AA347" i="34"/>
  <c r="Z347" i="34"/>
  <c r="AC357" i="34"/>
  <c r="AD357" i="34" s="1"/>
  <c r="AA382" i="34"/>
  <c r="Z382" i="34"/>
  <c r="AB388" i="34"/>
  <c r="Z389" i="34"/>
  <c r="AA394" i="34"/>
  <c r="Z394" i="34"/>
  <c r="AA400" i="34"/>
  <c r="Z400" i="34"/>
  <c r="AC402" i="34"/>
  <c r="AB402" i="34"/>
  <c r="AC405" i="34"/>
  <c r="AD405" i="34" s="1"/>
  <c r="Z409" i="34"/>
  <c r="Z416" i="34"/>
  <c r="AB418" i="34"/>
  <c r="AD418" i="34" s="1"/>
  <c r="AA423" i="34"/>
  <c r="Z423" i="34"/>
  <c r="AC428" i="34"/>
  <c r="AD428" i="34" s="1"/>
  <c r="Z432" i="34"/>
  <c r="AB434" i="34"/>
  <c r="AD434" i="34" s="1"/>
  <c r="AA439" i="34"/>
  <c r="Z439" i="34"/>
  <c r="AC441" i="34"/>
  <c r="AC444" i="34"/>
  <c r="AD444" i="34" s="1"/>
  <c r="AA453" i="34"/>
  <c r="Z453" i="34"/>
  <c r="AA259" i="34"/>
  <c r="AA283" i="34"/>
  <c r="AC283" i="34" s="1"/>
  <c r="Z283" i="34"/>
  <c r="AA296" i="34"/>
  <c r="AC296" i="34" s="1"/>
  <c r="Z296" i="34"/>
  <c r="AA302" i="34"/>
  <c r="Z302" i="34"/>
  <c r="AA306" i="34"/>
  <c r="Z306" i="34"/>
  <c r="Z314" i="34"/>
  <c r="Z327" i="34"/>
  <c r="AA329" i="34"/>
  <c r="Z329" i="34"/>
  <c r="AB331" i="34"/>
  <c r="AD331" i="34" s="1"/>
  <c r="AA342" i="34"/>
  <c r="Z342" i="34"/>
  <c r="AB346" i="34"/>
  <c r="AD346" i="34" s="1"/>
  <c r="AA351" i="34"/>
  <c r="AC351" i="34" s="1"/>
  <c r="Z351" i="34"/>
  <c r="AA356" i="34"/>
  <c r="Z356" i="34"/>
  <c r="Z358" i="34"/>
  <c r="AC368" i="34"/>
  <c r="AB368" i="34"/>
  <c r="Z372" i="34"/>
  <c r="AB375" i="34"/>
  <c r="Z379" i="34"/>
  <c r="AB381" i="34"/>
  <c r="AD381" i="34" s="1"/>
  <c r="Z385" i="34"/>
  <c r="AA390" i="34"/>
  <c r="Z390" i="34"/>
  <c r="AA392" i="34"/>
  <c r="Z392" i="34"/>
  <c r="AA404" i="34"/>
  <c r="Z404" i="34"/>
  <c r="AC409" i="34"/>
  <c r="AD409" i="34" s="1"/>
  <c r="AC416" i="34"/>
  <c r="AD416" i="34" s="1"/>
  <c r="AA427" i="34"/>
  <c r="Z427" i="34"/>
  <c r="AC432" i="34"/>
  <c r="AD432" i="34" s="1"/>
  <c r="AA443" i="34"/>
  <c r="Z443" i="34"/>
  <c r="AA269" i="34"/>
  <c r="Z269" i="34"/>
  <c r="AA273" i="34"/>
  <c r="Z273" i="34"/>
  <c r="AA277" i="34"/>
  <c r="Z277" i="34"/>
  <c r="AC287" i="34"/>
  <c r="AB287" i="34"/>
  <c r="AA298" i="34"/>
  <c r="AC298" i="34" s="1"/>
  <c r="Z298" i="34"/>
  <c r="AA303" i="34"/>
  <c r="Z303" i="34"/>
  <c r="AC327" i="34"/>
  <c r="AD327" i="34" s="1"/>
  <c r="AA353" i="34"/>
  <c r="AC353" i="34" s="1"/>
  <c r="Z353" i="34"/>
  <c r="AA364" i="34"/>
  <c r="AC364" i="34" s="1"/>
  <c r="Z364" i="34"/>
  <c r="AA365" i="34"/>
  <c r="AC365" i="34" s="1"/>
  <c r="Z365" i="34"/>
  <c r="AA370" i="34"/>
  <c r="Z370" i="34"/>
  <c r="AA377" i="34"/>
  <c r="Z377" i="34"/>
  <c r="AA387" i="34"/>
  <c r="Z387" i="34"/>
  <c r="AA408" i="34"/>
  <c r="Z408" i="34"/>
  <c r="AA415" i="34"/>
  <c r="Z415" i="34"/>
  <c r="AA431" i="34"/>
  <c r="Z431" i="34"/>
  <c r="AA447" i="34"/>
  <c r="Z447" i="34"/>
  <c r="AB448" i="34"/>
  <c r="AC448" i="34"/>
  <c r="AC456" i="34"/>
  <c r="AB456" i="34"/>
  <c r="AA457" i="34"/>
  <c r="Z457" i="34"/>
  <c r="AB459" i="34"/>
  <c r="AA265" i="34"/>
  <c r="Z266" i="34"/>
  <c r="Z270" i="34"/>
  <c r="Z282" i="34"/>
  <c r="Z285" i="34"/>
  <c r="Z290" i="34"/>
  <c r="Z307" i="34"/>
  <c r="Z312" i="34"/>
  <c r="AA316" i="34"/>
  <c r="AC316" i="34" s="1"/>
  <c r="Z316" i="34"/>
  <c r="AA317" i="34"/>
  <c r="AC317" i="34" s="1"/>
  <c r="Z317" i="34"/>
  <c r="AA326" i="34"/>
  <c r="Z326" i="34"/>
  <c r="AC328" i="34"/>
  <c r="AB328" i="34"/>
  <c r="AC333" i="34"/>
  <c r="AD333" i="34" s="1"/>
  <c r="Z338" i="34"/>
  <c r="Z340" i="34"/>
  <c r="AC348" i="34"/>
  <c r="AD348" i="34" s="1"/>
  <c r="Z357" i="34"/>
  <c r="Z359" i="34"/>
  <c r="AA367" i="34"/>
  <c r="AC367" i="34" s="1"/>
  <c r="Z367" i="34"/>
  <c r="AB369" i="34"/>
  <c r="AD369" i="34" s="1"/>
  <c r="Z374" i="34"/>
  <c r="AA384" i="34"/>
  <c r="Z384" i="34"/>
  <c r="AB386" i="34"/>
  <c r="AC391" i="34"/>
  <c r="AB391" i="34"/>
  <c r="Z393" i="34"/>
  <c r="AA396" i="34"/>
  <c r="Z396" i="34"/>
  <c r="Z405" i="34"/>
  <c r="AA412" i="34"/>
  <c r="Z412" i="34"/>
  <c r="AA419" i="34"/>
  <c r="Z419" i="34"/>
  <c r="AC424" i="34"/>
  <c r="AD424" i="34" s="1"/>
  <c r="Z428" i="34"/>
  <c r="AA435" i="34"/>
  <c r="Z435" i="34"/>
  <c r="AC437" i="34"/>
  <c r="AC440" i="34"/>
  <c r="AD440" i="34" s="1"/>
  <c r="Z444" i="34"/>
  <c r="AB446" i="34"/>
  <c r="AD446" i="34" s="1"/>
  <c r="AC449" i="34"/>
  <c r="AB449" i="34"/>
  <c r="AA454" i="34"/>
  <c r="Z454" i="34"/>
  <c r="AA465" i="34"/>
  <c r="Z465" i="34"/>
  <c r="Z467" i="34"/>
  <c r="AA467" i="34"/>
  <c r="AA473" i="34"/>
  <c r="Z473" i="34"/>
  <c r="Z475" i="34"/>
  <c r="AA475" i="34"/>
  <c r="AE480" i="34"/>
  <c r="AA540" i="34"/>
  <c r="Z540" i="34"/>
  <c r="AC542" i="34"/>
  <c r="AA543" i="34"/>
  <c r="Z543" i="34"/>
  <c r="AA556" i="34"/>
  <c r="Z556" i="34"/>
  <c r="AB558" i="34"/>
  <c r="AA559" i="34"/>
  <c r="Z559" i="34"/>
  <c r="AA572" i="34"/>
  <c r="Z572" i="34"/>
  <c r="AA575" i="34"/>
  <c r="Z575" i="34"/>
  <c r="AA600" i="34"/>
  <c r="Z600" i="34"/>
  <c r="AB623" i="34"/>
  <c r="AB678" i="34"/>
  <c r="AC678" i="34"/>
  <c r="AC690" i="34"/>
  <c r="AB690" i="34"/>
  <c r="AA715" i="34"/>
  <c r="Z715" i="34"/>
  <c r="AA730" i="34"/>
  <c r="Z730" i="34"/>
  <c r="AA472" i="34"/>
  <c r="Z472" i="34"/>
  <c r="AC481" i="34"/>
  <c r="AD481" i="34" s="1"/>
  <c r="AC489" i="34"/>
  <c r="AD489" i="34" s="1"/>
  <c r="AC497" i="34"/>
  <c r="AD497" i="34" s="1"/>
  <c r="AC505" i="34"/>
  <c r="AD505" i="34" s="1"/>
  <c r="AC513" i="34"/>
  <c r="AD513" i="34" s="1"/>
  <c r="AC521" i="34"/>
  <c r="AD521" i="34" s="1"/>
  <c r="AC529" i="34"/>
  <c r="AD529" i="34" s="1"/>
  <c r="AA608" i="34"/>
  <c r="Z608" i="34"/>
  <c r="AA699" i="34"/>
  <c r="Z699" i="34"/>
  <c r="Z732" i="34"/>
  <c r="AA732" i="34"/>
  <c r="AC753" i="34"/>
  <c r="AB753" i="34"/>
  <c r="AA469" i="34"/>
  <c r="Z469" i="34"/>
  <c r="Z471" i="34"/>
  <c r="AA471" i="34"/>
  <c r="AA477" i="34"/>
  <c r="Z477" i="34"/>
  <c r="AE484" i="34"/>
  <c r="AF484" i="34" s="1"/>
  <c r="AE508" i="34"/>
  <c r="AE526" i="34"/>
  <c r="AC545" i="34"/>
  <c r="AB545" i="34"/>
  <c r="AE552" i="34"/>
  <c r="AF552" i="34" s="1"/>
  <c r="AG552" i="34" s="1"/>
  <c r="AC561" i="34"/>
  <c r="AB561" i="34"/>
  <c r="AB577" i="34"/>
  <c r="AC605" i="34"/>
  <c r="AA616" i="34"/>
  <c r="Z616" i="34"/>
  <c r="AA639" i="34"/>
  <c r="Z639" i="34"/>
  <c r="AC722" i="34"/>
  <c r="AB722" i="34"/>
  <c r="AA746" i="34"/>
  <c r="Z746" i="34"/>
  <c r="AC769" i="34"/>
  <c r="AB769" i="34"/>
  <c r="AA468" i="34"/>
  <c r="Z468" i="34"/>
  <c r="AA476" i="34"/>
  <c r="Z476" i="34"/>
  <c r="AC485" i="34"/>
  <c r="AD485" i="34" s="1"/>
  <c r="AC493" i="34"/>
  <c r="AD493" i="34" s="1"/>
  <c r="AC501" i="34"/>
  <c r="AD501" i="34" s="1"/>
  <c r="AE525" i="34"/>
  <c r="AF525" i="34" s="1"/>
  <c r="AA592" i="34"/>
  <c r="Z592" i="34"/>
  <c r="AC613" i="34"/>
  <c r="AB613" i="34"/>
  <c r="AB640" i="34"/>
  <c r="AC706" i="34"/>
  <c r="AB706" i="34"/>
  <c r="AC737" i="34"/>
  <c r="AB737" i="34"/>
  <c r="Z748" i="34"/>
  <c r="AA748" i="34"/>
  <c r="AA531" i="34"/>
  <c r="Z531" i="34"/>
  <c r="AB533" i="34"/>
  <c r="AA547" i="34"/>
  <c r="Z547" i="34"/>
  <c r="AC549" i="34"/>
  <c r="AB549" i="34"/>
  <c r="AA563" i="34"/>
  <c r="Z563" i="34"/>
  <c r="AC565" i="34"/>
  <c r="AB565" i="34"/>
  <c r="AA579" i="34"/>
  <c r="Z579" i="34"/>
  <c r="AA586" i="34"/>
  <c r="Z586" i="34"/>
  <c r="AC591" i="34"/>
  <c r="AA594" i="34"/>
  <c r="Z594" i="34"/>
  <c r="AA602" i="34"/>
  <c r="Z602" i="34"/>
  <c r="AC607" i="34"/>
  <c r="AB607" i="34"/>
  <c r="AA610" i="34"/>
  <c r="Z610" i="34"/>
  <c r="AB615" i="34"/>
  <c r="AA618" i="34"/>
  <c r="Z618" i="34"/>
  <c r="AA641" i="34"/>
  <c r="Z641" i="34"/>
  <c r="AC642" i="34"/>
  <c r="AB679" i="34"/>
  <c r="Z680" i="34"/>
  <c r="AA680" i="34"/>
  <c r="Z693" i="34"/>
  <c r="AA693" i="34"/>
  <c r="Z709" i="34"/>
  <c r="AA709" i="34"/>
  <c r="Z725" i="34"/>
  <c r="AA725" i="34"/>
  <c r="Z728" i="34"/>
  <c r="AA728" i="34"/>
  <c r="AC728" i="34" s="1"/>
  <c r="AC733" i="34"/>
  <c r="AB733" i="34"/>
  <c r="AA742" i="34"/>
  <c r="Z742" i="34"/>
  <c r="Z744" i="34"/>
  <c r="AA744" i="34"/>
  <c r="AA758" i="34"/>
  <c r="Z758" i="34"/>
  <c r="AA789" i="34"/>
  <c r="Z789" i="34"/>
  <c r="AA809" i="34"/>
  <c r="AC809" i="34" s="1"/>
  <c r="Z809" i="34"/>
  <c r="Z893" i="34"/>
  <c r="AA893" i="34"/>
  <c r="AA479" i="34"/>
  <c r="Z480" i="34"/>
  <c r="Z481" i="34"/>
  <c r="AA483" i="34"/>
  <c r="Z484" i="34"/>
  <c r="Z485" i="34"/>
  <c r="AA487" i="34"/>
  <c r="Z488" i="34"/>
  <c r="Z489" i="34"/>
  <c r="AA491" i="34"/>
  <c r="Z492" i="34"/>
  <c r="Z493" i="34"/>
  <c r="AA495" i="34"/>
  <c r="Z496" i="34"/>
  <c r="Z497" i="34"/>
  <c r="AA499" i="34"/>
  <c r="Z500" i="34"/>
  <c r="Z501" i="34"/>
  <c r="AA503" i="34"/>
  <c r="Z504" i="34"/>
  <c r="Z505" i="34"/>
  <c r="AA507" i="34"/>
  <c r="Z508" i="34"/>
  <c r="Z509" i="34"/>
  <c r="AA511" i="34"/>
  <c r="Z512" i="34"/>
  <c r="Z513" i="34"/>
  <c r="AA515" i="34"/>
  <c r="Z516" i="34"/>
  <c r="Z517" i="34"/>
  <c r="AA519" i="34"/>
  <c r="Z520" i="34"/>
  <c r="Z521" i="34"/>
  <c r="AA523" i="34"/>
  <c r="Z524" i="34"/>
  <c r="Z525" i="34"/>
  <c r="AA527" i="34"/>
  <c r="Z528" i="34"/>
  <c r="Z529" i="34"/>
  <c r="AA535" i="34"/>
  <c r="Z535" i="34"/>
  <c r="AC537" i="34"/>
  <c r="Z544" i="34"/>
  <c r="AA551" i="34"/>
  <c r="Z551" i="34"/>
  <c r="Z560" i="34"/>
  <c r="AA567" i="34"/>
  <c r="Z567" i="34"/>
  <c r="Z576" i="34"/>
  <c r="AB578" i="34"/>
  <c r="AD578" i="34" s="1"/>
  <c r="AA583" i="34"/>
  <c r="Z583" i="34"/>
  <c r="AC585" i="34"/>
  <c r="AA588" i="34"/>
  <c r="Z588" i="34"/>
  <c r="AC593" i="34"/>
  <c r="AA596" i="34"/>
  <c r="Z596" i="34"/>
  <c r="AA604" i="34"/>
  <c r="Z604" i="34"/>
  <c r="AA612" i="34"/>
  <c r="Z612" i="34"/>
  <c r="AA620" i="34"/>
  <c r="Z620" i="34"/>
  <c r="AA628" i="34"/>
  <c r="Z628" i="34"/>
  <c r="AA635" i="34"/>
  <c r="AA643" i="34"/>
  <c r="Z643" i="34"/>
  <c r="AC644" i="34"/>
  <c r="AB672" i="34"/>
  <c r="AA673" i="34"/>
  <c r="Z673" i="34"/>
  <c r="AC683" i="34"/>
  <c r="AB683" i="34"/>
  <c r="AA691" i="34"/>
  <c r="Z691" i="34"/>
  <c r="AC698" i="34"/>
  <c r="AB698" i="34"/>
  <c r="AA707" i="34"/>
  <c r="Z707" i="34"/>
  <c r="AC714" i="34"/>
  <c r="AB714" i="34"/>
  <c r="AA723" i="34"/>
  <c r="Z723" i="34"/>
  <c r="AB729" i="34"/>
  <c r="AA738" i="34"/>
  <c r="Z738" i="34"/>
  <c r="Z740" i="34"/>
  <c r="AA740" i="34"/>
  <c r="AC745" i="34"/>
  <c r="AB745" i="34"/>
  <c r="AA754" i="34"/>
  <c r="Z754" i="34"/>
  <c r="Z756" i="34"/>
  <c r="AA756" i="34"/>
  <c r="Z795" i="34"/>
  <c r="AA795" i="34"/>
  <c r="AC795" i="34" s="1"/>
  <c r="AC869" i="34"/>
  <c r="AA539" i="34"/>
  <c r="Z539" i="34"/>
  <c r="AC541" i="34"/>
  <c r="AB541" i="34"/>
  <c r="AC544" i="34"/>
  <c r="AD544" i="34" s="1"/>
  <c r="AA555" i="34"/>
  <c r="Z555" i="34"/>
  <c r="AC557" i="34"/>
  <c r="AB557" i="34"/>
  <c r="AC560" i="34"/>
  <c r="AD560" i="34" s="1"/>
  <c r="AA571" i="34"/>
  <c r="Z571" i="34"/>
  <c r="AC573" i="34"/>
  <c r="AC576" i="34"/>
  <c r="AD576" i="34" s="1"/>
  <c r="AC587" i="34"/>
  <c r="AB587" i="34"/>
  <c r="AA590" i="34"/>
  <c r="Z590" i="34"/>
  <c r="AC595" i="34"/>
  <c r="AB595" i="34"/>
  <c r="AA598" i="34"/>
  <c r="Z598" i="34"/>
  <c r="AA606" i="34"/>
  <c r="Z606" i="34"/>
  <c r="AC611" i="34"/>
  <c r="AA614" i="34"/>
  <c r="Z614" i="34"/>
  <c r="AC622" i="34"/>
  <c r="AC630" i="34"/>
  <c r="AB630" i="34"/>
  <c r="AA637" i="34"/>
  <c r="Z637" i="34"/>
  <c r="AB638" i="34"/>
  <c r="AA645" i="34"/>
  <c r="Z645" i="34"/>
  <c r="AH646" i="34"/>
  <c r="AI646" i="34" s="1"/>
  <c r="AJ646" i="34" s="1"/>
  <c r="AK646" i="34" s="1"/>
  <c r="AH658" i="34"/>
  <c r="AH666" i="34"/>
  <c r="AC676" i="34"/>
  <c r="Z701" i="34"/>
  <c r="AA701" i="34"/>
  <c r="Z717" i="34"/>
  <c r="AA717" i="34"/>
  <c r="AA734" i="34"/>
  <c r="Z734" i="34"/>
  <c r="Z736" i="34"/>
  <c r="AA736" i="34"/>
  <c r="AA750" i="34"/>
  <c r="Z750" i="34"/>
  <c r="Z752" i="34"/>
  <c r="AA752" i="34"/>
  <c r="Z759" i="34"/>
  <c r="AA759" i="34"/>
  <c r="AC762" i="34"/>
  <c r="AB762" i="34"/>
  <c r="AB771" i="34"/>
  <c r="U685" i="34"/>
  <c r="AA844" i="34"/>
  <c r="Z844" i="34"/>
  <c r="AA677" i="34"/>
  <c r="Z677" i="34"/>
  <c r="Z689" i="34"/>
  <c r="AA689" i="34"/>
  <c r="Z697" i="34"/>
  <c r="AA697" i="34"/>
  <c r="Z705" i="34"/>
  <c r="AA705" i="34"/>
  <c r="Z713" i="34"/>
  <c r="AA713" i="34"/>
  <c r="Z721" i="34"/>
  <c r="AA721" i="34"/>
  <c r="AD724" i="34"/>
  <c r="AD735" i="34"/>
  <c r="AD747" i="34"/>
  <c r="AA764" i="34"/>
  <c r="Z764" i="34"/>
  <c r="AB772" i="34"/>
  <c r="AC772" i="34"/>
  <c r="AC675" i="34"/>
  <c r="AB675" i="34"/>
  <c r="AA681" i="34"/>
  <c r="Z681" i="34"/>
  <c r="AC682" i="34"/>
  <c r="AD682" i="34" s="1"/>
  <c r="AC686" i="34"/>
  <c r="AB686" i="34"/>
  <c r="AA687" i="34"/>
  <c r="Z687" i="34"/>
  <c r="AC694" i="34"/>
  <c r="AB694" i="34"/>
  <c r="AA695" i="34"/>
  <c r="Z695" i="34"/>
  <c r="AC702" i="34"/>
  <c r="AB702" i="34"/>
  <c r="AA703" i="34"/>
  <c r="Z703" i="34"/>
  <c r="AC710" i="34"/>
  <c r="AB710" i="34"/>
  <c r="AA711" i="34"/>
  <c r="Z711" i="34"/>
  <c r="AC718" i="34"/>
  <c r="AB718" i="34"/>
  <c r="AA719" i="34"/>
  <c r="Z719" i="34"/>
  <c r="AC726" i="34"/>
  <c r="AB726" i="34"/>
  <c r="AA727" i="34"/>
  <c r="Z727" i="34"/>
  <c r="Z772" i="34"/>
  <c r="AA788" i="34"/>
  <c r="Z788" i="34"/>
  <c r="AB812" i="34"/>
  <c r="AD812" i="34" s="1"/>
  <c r="AC819" i="34"/>
  <c r="AB819" i="34"/>
  <c r="AC833" i="34"/>
  <c r="AB833" i="34"/>
  <c r="AC896" i="34"/>
  <c r="AB896" i="34"/>
  <c r="AA780" i="34"/>
  <c r="Z780" i="34"/>
  <c r="AF786" i="34"/>
  <c r="AC792" i="34"/>
  <c r="AB792" i="34"/>
  <c r="AA793" i="34"/>
  <c r="Z793" i="34"/>
  <c r="Z761" i="34"/>
  <c r="AA761" i="34"/>
  <c r="AB776" i="34"/>
  <c r="AC776" i="34"/>
  <c r="AA785" i="34"/>
  <c r="Z785" i="34"/>
  <c r="AA806" i="34"/>
  <c r="AC806" i="34" s="1"/>
  <c r="Z806" i="34"/>
  <c r="AA860" i="34"/>
  <c r="Z860" i="34"/>
  <c r="AA862" i="34"/>
  <c r="Z862" i="34"/>
  <c r="AA797" i="34"/>
  <c r="AC797" i="34" s="1"/>
  <c r="Z797" i="34"/>
  <c r="Z799" i="34"/>
  <c r="AA799" i="34"/>
  <c r="AC799" i="34" s="1"/>
  <c r="AC837" i="34"/>
  <c r="AB837" i="34"/>
  <c r="AC868" i="34"/>
  <c r="AA873" i="34"/>
  <c r="Z873" i="34"/>
  <c r="AC828" i="34"/>
  <c r="AB828" i="34"/>
  <c r="Z830" i="34"/>
  <c r="AA830" i="34"/>
  <c r="AC846" i="34"/>
  <c r="AB846" i="34"/>
  <c r="AA852" i="34"/>
  <c r="Z852" i="34"/>
  <c r="AA854" i="34"/>
  <c r="Z854" i="34"/>
  <c r="AC871" i="34"/>
  <c r="AD871" i="34" s="1"/>
  <c r="AB879" i="34"/>
  <c r="AC879" i="34"/>
  <c r="Z882" i="34"/>
  <c r="AA882" i="34"/>
  <c r="AB800" i="34"/>
  <c r="AD800" i="34" s="1"/>
  <c r="AC847" i="34"/>
  <c r="AA850" i="34"/>
  <c r="Z850" i="34"/>
  <c r="AA858" i="34"/>
  <c r="Z858" i="34"/>
  <c r="AB861" i="34"/>
  <c r="Z866" i="34"/>
  <c r="AA866" i="34"/>
  <c r="AB877" i="34"/>
  <c r="AC877" i="34"/>
  <c r="AA881" i="34"/>
  <c r="Z881" i="34"/>
  <c r="AC904" i="34"/>
  <c r="AB904" i="34"/>
  <c r="AC845" i="34"/>
  <c r="AB845" i="34"/>
  <c r="AC851" i="34"/>
  <c r="AB851" i="34"/>
  <c r="AA856" i="34"/>
  <c r="Z856" i="34"/>
  <c r="AA864" i="34"/>
  <c r="Z864" i="34"/>
  <c r="Z874" i="34"/>
  <c r="AA874" i="34"/>
  <c r="AC895" i="34"/>
  <c r="AC912" i="34"/>
  <c r="AB912" i="34"/>
  <c r="AB805" i="34"/>
  <c r="AD805" i="34" s="1"/>
  <c r="AA901" i="34"/>
  <c r="Z901" i="34"/>
  <c r="AA909" i="34"/>
  <c r="Z909" i="34"/>
  <c r="AA921" i="34"/>
  <c r="Z921" i="34"/>
  <c r="AB924" i="34"/>
  <c r="AC950" i="34"/>
  <c r="AB950" i="34"/>
  <c r="Z871" i="34"/>
  <c r="AA872" i="34"/>
  <c r="Z879" i="34"/>
  <c r="AA880" i="34"/>
  <c r="AC883" i="34"/>
  <c r="AD883" i="34" s="1"/>
  <c r="AA885" i="34"/>
  <c r="AC887" i="34"/>
  <c r="AD887" i="34" s="1"/>
  <c r="AA889" i="34"/>
  <c r="AA897" i="34"/>
  <c r="AB903" i="34"/>
  <c r="AC908" i="34"/>
  <c r="AB908" i="34"/>
  <c r="AC911" i="34"/>
  <c r="AC918" i="34"/>
  <c r="AA905" i="34"/>
  <c r="Z905" i="34"/>
  <c r="AA913" i="34"/>
  <c r="Z913" i="34"/>
  <c r="AA925" i="34"/>
  <c r="Z925" i="34"/>
  <c r="Z945" i="34"/>
  <c r="AA945" i="34"/>
  <c r="AB940" i="34"/>
  <c r="AC942" i="34"/>
  <c r="AB942" i="34"/>
  <c r="AA943" i="34"/>
  <c r="Z943" i="34"/>
  <c r="AA951" i="34"/>
  <c r="Z951" i="34"/>
  <c r="AA922" i="34"/>
  <c r="AB923" i="34"/>
  <c r="AD923" i="34" s="1"/>
  <c r="AA926" i="34"/>
  <c r="Z941" i="34"/>
  <c r="AA947" i="34"/>
  <c r="Z947" i="34"/>
  <c r="Z949" i="34"/>
  <c r="AA949" i="34"/>
  <c r="AC985" i="34"/>
  <c r="AC954" i="34"/>
  <c r="AB954" i="34"/>
  <c r="AA956" i="34"/>
  <c r="Z956" i="34"/>
  <c r="AA960" i="34"/>
  <c r="Z960" i="34"/>
  <c r="AC962" i="34"/>
  <c r="AB962" i="34"/>
  <c r="AA964" i="34"/>
  <c r="Z964" i="34"/>
  <c r="AC966" i="34"/>
  <c r="AA968" i="34"/>
  <c r="Z968" i="34"/>
  <c r="AC970" i="34"/>
  <c r="AB970" i="34"/>
  <c r="AA972" i="34"/>
  <c r="Z972" i="34"/>
  <c r="AA976" i="34"/>
  <c r="Z976" i="34"/>
  <c r="AC978" i="34"/>
  <c r="AB978" i="34"/>
  <c r="AA980" i="34"/>
  <c r="Z980" i="34"/>
  <c r="AA1009" i="34"/>
  <c r="Z1009" i="34"/>
  <c r="AB969" i="34"/>
  <c r="AD969" i="34" s="1"/>
  <c r="AB977" i="34"/>
  <c r="AD977" i="34" s="1"/>
  <c r="AA1022" i="34"/>
  <c r="Z1022" i="34"/>
  <c r="AA1001" i="34"/>
  <c r="Z1001" i="34"/>
  <c r="AB1014" i="34"/>
  <c r="AA1017" i="34"/>
  <c r="Z1017" i="34"/>
  <c r="AA996" i="34"/>
  <c r="Z996" i="34"/>
  <c r="AC1003" i="34"/>
  <c r="AB1003" i="34"/>
  <c r="AA1004" i="34"/>
  <c r="Z1004" i="34"/>
  <c r="AC1011" i="34"/>
  <c r="AB1011" i="34"/>
  <c r="AA1012" i="34"/>
  <c r="Z1012" i="34"/>
  <c r="Z984" i="34"/>
  <c r="AC987" i="34"/>
  <c r="AD987" i="34" s="1"/>
  <c r="Z988" i="34"/>
  <c r="AC991" i="34"/>
  <c r="AD991" i="34" s="1"/>
  <c r="Z992" i="34"/>
  <c r="AA997" i="34"/>
  <c r="Z997" i="34"/>
  <c r="AA1005" i="34"/>
  <c r="Z1005" i="34"/>
  <c r="AA1013" i="34"/>
  <c r="Z1013" i="34"/>
  <c r="Z1019" i="34"/>
  <c r="AB999" i="34"/>
  <c r="AA1000" i="34"/>
  <c r="Z1000" i="34"/>
  <c r="AA1008" i="34"/>
  <c r="Z1008" i="34"/>
  <c r="AB1010" i="34"/>
  <c r="AD1010" i="34" s="1"/>
  <c r="AC1015" i="34"/>
  <c r="AB1015" i="34"/>
  <c r="AA1016" i="34"/>
  <c r="Z1016" i="34"/>
  <c r="AC1019" i="34"/>
  <c r="AD1019" i="34" s="1"/>
  <c r="AA1018" i="34"/>
  <c r="Z1018" i="34"/>
  <c r="AA1023" i="34"/>
  <c r="Z1023" i="34"/>
  <c r="AD621" i="34" l="1"/>
  <c r="AF621" i="34" s="1"/>
  <c r="R400" i="23"/>
  <c r="U399" i="23"/>
  <c r="W399" i="23" s="1"/>
  <c r="P400" i="23" s="1"/>
  <c r="Q400" i="23" s="1"/>
  <c r="AB953" i="34"/>
  <c r="AD953" i="34" s="1"/>
  <c r="AB808" i="34"/>
  <c r="AD808" i="34" s="1"/>
  <c r="AF808" i="34" s="1"/>
  <c r="AC839" i="34"/>
  <c r="AB843" i="34"/>
  <c r="AD843" i="34" s="1"/>
  <c r="AG843" i="34" s="1"/>
  <c r="AH843" i="34" s="1"/>
  <c r="AB989" i="34"/>
  <c r="AD989" i="34" s="1"/>
  <c r="AE989" i="34" s="1"/>
  <c r="AF989" i="34" s="1"/>
  <c r="AG989" i="34" s="1"/>
  <c r="AB757" i="34"/>
  <c r="AC464" i="34"/>
  <c r="AB589" i="34"/>
  <c r="AB993" i="34"/>
  <c r="AB848" i="34"/>
  <c r="AB804" i="34"/>
  <c r="AD804" i="34" s="1"/>
  <c r="AB827" i="34"/>
  <c r="AD827" i="34" s="1"/>
  <c r="AF827" i="34" s="1"/>
  <c r="AB807" i="34"/>
  <c r="AB749" i="34"/>
  <c r="AB597" i="34"/>
  <c r="AB398" i="34"/>
  <c r="AD398" i="34" s="1"/>
  <c r="AE398" i="34" s="1"/>
  <c r="AB433" i="34"/>
  <c r="AB429" i="34"/>
  <c r="AB425" i="34"/>
  <c r="AB354" i="34"/>
  <c r="AD354" i="34" s="1"/>
  <c r="AB125" i="34"/>
  <c r="AD125" i="34" s="1"/>
  <c r="AB95" i="34"/>
  <c r="AD95" i="34" s="1"/>
  <c r="AB1002" i="34"/>
  <c r="AD1002" i="34" s="1"/>
  <c r="AC875" i="34"/>
  <c r="AD875" i="34" s="1"/>
  <c r="AH875" i="34" s="1"/>
  <c r="AI875" i="34" s="1"/>
  <c r="AB813" i="34"/>
  <c r="AD813" i="34" s="1"/>
  <c r="AC907" i="34"/>
  <c r="AC849" i="34"/>
  <c r="AB823" i="34"/>
  <c r="AD823" i="34" s="1"/>
  <c r="AC741" i="34"/>
  <c r="AD741" i="34" s="1"/>
  <c r="AE741" i="34" s="1"/>
  <c r="AF741" i="34" s="1"/>
  <c r="AG741" i="34" s="1"/>
  <c r="AB411" i="34"/>
  <c r="AD411" i="34" s="1"/>
  <c r="AB235" i="34"/>
  <c r="AD235" i="34" s="1"/>
  <c r="AB494" i="34"/>
  <c r="AD494" i="34" s="1"/>
  <c r="AE494" i="34" s="1"/>
  <c r="AF494" i="34" s="1"/>
  <c r="AB859" i="34"/>
  <c r="AB876" i="34"/>
  <c r="AC855" i="34"/>
  <c r="AD855" i="34" s="1"/>
  <c r="AH855" i="34" s="1"/>
  <c r="AI855" i="34" s="1"/>
  <c r="AB796" i="34"/>
  <c r="AD796" i="34" s="1"/>
  <c r="AF796" i="34" s="1"/>
  <c r="U11" i="34"/>
  <c r="AC824" i="34"/>
  <c r="AB463" i="34"/>
  <c r="AD463" i="34" s="1"/>
  <c r="AE463" i="34" s="1"/>
  <c r="AF463" i="34" s="1"/>
  <c r="AG463" i="34" s="1"/>
  <c r="AB421" i="34"/>
  <c r="AD421" i="34" s="1"/>
  <c r="AC380" i="34"/>
  <c r="AB417" i="34"/>
  <c r="AC410" i="34"/>
  <c r="AD410" i="34" s="1"/>
  <c r="AE410" i="34" s="1"/>
  <c r="AB324" i="34"/>
  <c r="AD570" i="34"/>
  <c r="AB234" i="34"/>
  <c r="AD234" i="34" s="1"/>
  <c r="AC838" i="34"/>
  <c r="AB133" i="34"/>
  <c r="AD133" i="34" s="1"/>
  <c r="AB546" i="34"/>
  <c r="AD546" i="34" s="1"/>
  <c r="AD625" i="34"/>
  <c r="AD422" i="34"/>
  <c r="AE422" i="34" s="1"/>
  <c r="AF422" i="34" s="1"/>
  <c r="AB498" i="34"/>
  <c r="AD498" i="34" s="1"/>
  <c r="AE498" i="34" s="1"/>
  <c r="AC619" i="34"/>
  <c r="AB820" i="34"/>
  <c r="AB617" i="34"/>
  <c r="AD617" i="34" s="1"/>
  <c r="AF617" i="34" s="1"/>
  <c r="AG617" i="34" s="1"/>
  <c r="AC609" i="34"/>
  <c r="AD609" i="34" s="1"/>
  <c r="AF609" i="34" s="1"/>
  <c r="AG609" i="34" s="1"/>
  <c r="AC455" i="34"/>
  <c r="AB816" i="34"/>
  <c r="AB1006" i="34"/>
  <c r="AD1006" i="34" s="1"/>
  <c r="AE1006" i="34" s="1"/>
  <c r="AF1006" i="34" s="1"/>
  <c r="AG1006" i="34" s="1"/>
  <c r="AB998" i="34"/>
  <c r="AD998" i="34" s="1"/>
  <c r="AC915" i="34"/>
  <c r="AD915" i="34" s="1"/>
  <c r="AI915" i="34" s="1"/>
  <c r="AJ915" i="34" s="1"/>
  <c r="AK915" i="34" s="1"/>
  <c r="AB399" i="34"/>
  <c r="AD399" i="34" s="1"/>
  <c r="AE399" i="34" s="1"/>
  <c r="AF399" i="34" s="1"/>
  <c r="AB958" i="34"/>
  <c r="AD958" i="34" s="1"/>
  <c r="AB916" i="34"/>
  <c r="AD916" i="34" s="1"/>
  <c r="AI916" i="34" s="1"/>
  <c r="AJ916" i="34" s="1"/>
  <c r="AK916" i="34" s="1"/>
  <c r="AC865" i="34"/>
  <c r="AD865" i="34" s="1"/>
  <c r="AH865" i="34" s="1"/>
  <c r="AI865" i="34" s="1"/>
  <c r="AJ865" i="34" s="1"/>
  <c r="AK865" i="34" s="1"/>
  <c r="AC857" i="34"/>
  <c r="AC601" i="34"/>
  <c r="AD601" i="34" s="1"/>
  <c r="AF601" i="34" s="1"/>
  <c r="AC967" i="34"/>
  <c r="AD967" i="34" s="1"/>
  <c r="AE967" i="34" s="1"/>
  <c r="AC898" i="34"/>
  <c r="AC1021" i="34"/>
  <c r="AB802" i="34"/>
  <c r="AD802" i="34" s="1"/>
  <c r="AF802" i="34" s="1"/>
  <c r="AC840" i="34"/>
  <c r="AC603" i="34"/>
  <c r="AD603" i="34" s="1"/>
  <c r="AF603" i="34" s="1"/>
  <c r="AG603" i="34" s="1"/>
  <c r="AC983" i="34"/>
  <c r="AD983" i="34" s="1"/>
  <c r="AC946" i="34"/>
  <c r="AD946" i="34" s="1"/>
  <c r="AE946" i="34" s="1"/>
  <c r="AB574" i="34"/>
  <c r="AB87" i="34"/>
  <c r="AD87" i="34" s="1"/>
  <c r="AB973" i="34"/>
  <c r="AD973" i="34" s="1"/>
  <c r="AE973" i="34" s="1"/>
  <c r="AC784" i="34"/>
  <c r="AB562" i="34"/>
  <c r="AD562" i="34" s="1"/>
  <c r="AB688" i="34"/>
  <c r="AD688" i="34" s="1"/>
  <c r="AD582" i="34"/>
  <c r="AE582" i="34" s="1"/>
  <c r="AD180" i="34"/>
  <c r="AE180" i="34" s="1"/>
  <c r="AF180" i="34" s="1"/>
  <c r="AG180" i="34" s="1"/>
  <c r="AB1020" i="34"/>
  <c r="AD690" i="34"/>
  <c r="AC246" i="34"/>
  <c r="AD246" i="34" s="1"/>
  <c r="AB121" i="34"/>
  <c r="AD121" i="34" s="1"/>
  <c r="AE121" i="34" s="1"/>
  <c r="AB720" i="34"/>
  <c r="AD720" i="34" s="1"/>
  <c r="AE720" i="34" s="1"/>
  <c r="AD442" i="34"/>
  <c r="AB426" i="34"/>
  <c r="AD426" i="34" s="1"/>
  <c r="AE426" i="34" s="1"/>
  <c r="AF426" i="34" s="1"/>
  <c r="AG426" i="34" s="1"/>
  <c r="AD784" i="34"/>
  <c r="AF784" i="34" s="1"/>
  <c r="AG784" i="34" s="1"/>
  <c r="AB1007" i="34"/>
  <c r="AB636" i="34"/>
  <c r="AD636" i="34" s="1"/>
  <c r="AB452" i="34"/>
  <c r="AD452" i="34" s="1"/>
  <c r="AE452" i="34" s="1"/>
  <c r="AD589" i="34"/>
  <c r="AF589" i="34" s="1"/>
  <c r="AD574" i="34"/>
  <c r="AD542" i="34"/>
  <c r="AB935" i="34"/>
  <c r="AB917" i="34"/>
  <c r="AB853" i="34"/>
  <c r="AB815" i="34"/>
  <c r="AB842" i="34"/>
  <c r="AD842" i="34" s="1"/>
  <c r="AG842" i="34" s="1"/>
  <c r="AC553" i="34"/>
  <c r="AB599" i="34"/>
  <c r="AD599" i="34" s="1"/>
  <c r="AF599" i="34" s="1"/>
  <c r="AB581" i="34"/>
  <c r="AB462" i="34"/>
  <c r="AD462" i="34" s="1"/>
  <c r="AE462" i="34" s="1"/>
  <c r="AC406" i="34"/>
  <c r="AD406" i="34" s="1"/>
  <c r="AB267" i="34"/>
  <c r="AD267" i="34" s="1"/>
  <c r="AE267" i="34" s="1"/>
  <c r="AC768" i="34"/>
  <c r="AB696" i="34"/>
  <c r="AD696" i="34" s="1"/>
  <c r="AE696" i="34" s="1"/>
  <c r="AF696" i="34" s="1"/>
  <c r="AC652" i="34"/>
  <c r="AB311" i="34"/>
  <c r="AD311" i="34" s="1"/>
  <c r="AE311" i="34" s="1"/>
  <c r="AF311" i="34" s="1"/>
  <c r="AC335" i="34"/>
  <c r="AD335" i="34" s="1"/>
  <c r="AE335" i="34" s="1"/>
  <c r="AF335" i="34" s="1"/>
  <c r="AD236" i="34"/>
  <c r="AE236" i="34" s="1"/>
  <c r="AD66" i="34"/>
  <c r="AE66" i="34" s="1"/>
  <c r="AD774" i="34"/>
  <c r="AE774" i="34" s="1"/>
  <c r="AB974" i="34"/>
  <c r="AD623" i="34"/>
  <c r="AF623" i="34" s="1"/>
  <c r="AG623" i="34" s="1"/>
  <c r="AB961" i="34"/>
  <c r="AD961" i="34" s="1"/>
  <c r="AE961" i="34" s="1"/>
  <c r="AF961" i="34" s="1"/>
  <c r="AG961" i="34" s="1"/>
  <c r="AB814" i="34"/>
  <c r="AD814" i="34" s="1"/>
  <c r="AF814" i="34" s="1"/>
  <c r="AC633" i="34"/>
  <c r="AB414" i="34"/>
  <c r="AD414" i="34" s="1"/>
  <c r="AE414" i="34" s="1"/>
  <c r="AF414" i="34" s="1"/>
  <c r="AB407" i="34"/>
  <c r="AD407" i="34" s="1"/>
  <c r="AE407" i="34" s="1"/>
  <c r="AB818" i="34"/>
  <c r="AD818" i="34" s="1"/>
  <c r="AF818" i="34" s="1"/>
  <c r="AG818" i="34" s="1"/>
  <c r="AB490" i="34"/>
  <c r="AD490" i="34" s="1"/>
  <c r="AE490" i="34" s="1"/>
  <c r="AF959" i="34"/>
  <c r="AD328" i="34"/>
  <c r="AD990" i="34"/>
  <c r="AE990" i="34" s="1"/>
  <c r="AF990" i="34" s="1"/>
  <c r="AD834" i="34"/>
  <c r="AG834" i="34" s="1"/>
  <c r="AH834" i="34" s="1"/>
  <c r="AI834" i="34" s="1"/>
  <c r="AB550" i="34"/>
  <c r="AD550" i="34" s="1"/>
  <c r="AE550" i="34" s="1"/>
  <c r="AD325" i="34"/>
  <c r="AD355" i="34"/>
  <c r="AE355" i="34" s="1"/>
  <c r="AF355" i="34" s="1"/>
  <c r="AB795" i="34"/>
  <c r="AD795" i="34" s="1"/>
  <c r="AB728" i="34"/>
  <c r="AD729" i="34"/>
  <c r="AD683" i="34"/>
  <c r="AI683" i="34" s="1"/>
  <c r="AJ683" i="34" s="1"/>
  <c r="AK683" i="34" s="1"/>
  <c r="AD672" i="34"/>
  <c r="AI672" i="34" s="1"/>
  <c r="AJ672" i="34" s="1"/>
  <c r="AK672" i="34" s="1"/>
  <c r="AB330" i="34"/>
  <c r="AD330" i="34" s="1"/>
  <c r="AE330" i="34" s="1"/>
  <c r="AB450" i="34"/>
  <c r="AD450" i="34" s="1"/>
  <c r="AD971" i="34"/>
  <c r="AE971" i="34" s="1"/>
  <c r="AD496" i="34"/>
  <c r="AE496" i="34" s="1"/>
  <c r="W697" i="23"/>
  <c r="P698" i="23" s="1"/>
  <c r="Q698" i="23" s="1"/>
  <c r="W698" i="23" s="1"/>
  <c r="P699" i="23" s="1"/>
  <c r="Q699" i="23" s="1"/>
  <c r="AB965" i="34"/>
  <c r="AD965" i="34" s="1"/>
  <c r="AD966" i="34"/>
  <c r="AE966" i="34" s="1"/>
  <c r="AF966" i="34" s="1"/>
  <c r="AD954" i="34"/>
  <c r="AE954" i="34" s="1"/>
  <c r="AF954" i="34" s="1"/>
  <c r="AB931" i="34"/>
  <c r="AD931" i="34" s="1"/>
  <c r="AE931" i="34" s="1"/>
  <c r="AF931" i="34" s="1"/>
  <c r="AB939" i="34"/>
  <c r="AD939" i="34" s="1"/>
  <c r="AE939" i="34" s="1"/>
  <c r="AF939" i="34" s="1"/>
  <c r="AB801" i="34"/>
  <c r="AD801" i="34" s="1"/>
  <c r="AF801" i="34" s="1"/>
  <c r="AD907" i="34"/>
  <c r="AI907" i="34" s="1"/>
  <c r="AJ907" i="34" s="1"/>
  <c r="AK907" i="34" s="1"/>
  <c r="AB863" i="34"/>
  <c r="AD863" i="34" s="1"/>
  <c r="AH863" i="34" s="1"/>
  <c r="AI863" i="34" s="1"/>
  <c r="AD619" i="34"/>
  <c r="AD611" i="34"/>
  <c r="AF611" i="34" s="1"/>
  <c r="AD595" i="34"/>
  <c r="AD587" i="34"/>
  <c r="AD733" i="34"/>
  <c r="AD679" i="34"/>
  <c r="AI679" i="34" s="1"/>
  <c r="AJ679" i="34" s="1"/>
  <c r="AK679" i="34" s="1"/>
  <c r="AD549" i="34"/>
  <c r="AD533" i="34"/>
  <c r="AD706" i="34"/>
  <c r="AE706" i="34" s="1"/>
  <c r="AC779" i="34"/>
  <c r="AD779" i="34" s="1"/>
  <c r="AD449" i="34"/>
  <c r="AB376" i="34"/>
  <c r="AD376" i="34" s="1"/>
  <c r="AB268" i="34"/>
  <c r="AD268" i="34" s="1"/>
  <c r="AE268" i="34" s="1"/>
  <c r="AF268" i="34" s="1"/>
  <c r="AB445" i="34"/>
  <c r="AD445" i="34" s="1"/>
  <c r="AE445" i="34" s="1"/>
  <c r="AB413" i="34"/>
  <c r="AD413" i="34" s="1"/>
  <c r="AB894" i="34"/>
  <c r="AD894" i="34" s="1"/>
  <c r="AI894" i="34" s="1"/>
  <c r="AJ894" i="34" s="1"/>
  <c r="AK894" i="34" s="1"/>
  <c r="AD305" i="34"/>
  <c r="AE305" i="34" s="1"/>
  <c r="AF305" i="34" s="1"/>
  <c r="AB514" i="34"/>
  <c r="AD514" i="34" s="1"/>
  <c r="AE514" i="34" s="1"/>
  <c r="AB995" i="34"/>
  <c r="AB900" i="34"/>
  <c r="AC867" i="34"/>
  <c r="AD867" i="34" s="1"/>
  <c r="AH867" i="34" s="1"/>
  <c r="AB899" i="34"/>
  <c r="AD899" i="34" s="1"/>
  <c r="AB811" i="34"/>
  <c r="AD811" i="34" s="1"/>
  <c r="AD846" i="34"/>
  <c r="AF846" i="34" s="1"/>
  <c r="AB569" i="34"/>
  <c r="AD569" i="34" s="1"/>
  <c r="AE569" i="34" s="1"/>
  <c r="AD558" i="34"/>
  <c r="AE558" i="34" s="1"/>
  <c r="AF558" i="34" s="1"/>
  <c r="AB430" i="34"/>
  <c r="AD430" i="34" s="1"/>
  <c r="AE401" i="34"/>
  <c r="AF401" i="34" s="1"/>
  <c r="AD832" i="34"/>
  <c r="AG832" i="34" s="1"/>
  <c r="AH832" i="34" s="1"/>
  <c r="AI832" i="34" s="1"/>
  <c r="AD88" i="34"/>
  <c r="AE88" i="34" s="1"/>
  <c r="AD140" i="34"/>
  <c r="AE140" i="34" s="1"/>
  <c r="AD132" i="34"/>
  <c r="AE132" i="34" s="1"/>
  <c r="AD777" i="34"/>
  <c r="AE777" i="34" s="1"/>
  <c r="AD532" i="34"/>
  <c r="AE532" i="34" s="1"/>
  <c r="AF532" i="34" s="1"/>
  <c r="AG532" i="34" s="1"/>
  <c r="AD933" i="34"/>
  <c r="AD986" i="34"/>
  <c r="AE986" i="34" s="1"/>
  <c r="AB927" i="34"/>
  <c r="AD927" i="34" s="1"/>
  <c r="AB809" i="34"/>
  <c r="AD809" i="34" s="1"/>
  <c r="AD868" i="34"/>
  <c r="AB803" i="34"/>
  <c r="AD803" i="34" s="1"/>
  <c r="AC451" i="34"/>
  <c r="AD451" i="34" s="1"/>
  <c r="AC237" i="34"/>
  <c r="AD237" i="34" s="1"/>
  <c r="AE237" i="34" s="1"/>
  <c r="AD460" i="34"/>
  <c r="AD420" i="34"/>
  <c r="AE420" i="34" s="1"/>
  <c r="AF482" i="34"/>
  <c r="AG482" i="34" s="1"/>
  <c r="AH482" i="34" s="1"/>
  <c r="AI482" i="34" s="1"/>
  <c r="AE688" i="34"/>
  <c r="AF688" i="34" s="1"/>
  <c r="AG688" i="34" s="1"/>
  <c r="AB182" i="34"/>
  <c r="AD182" i="34" s="1"/>
  <c r="AE182" i="34" s="1"/>
  <c r="AC982" i="34"/>
  <c r="AB982" i="34"/>
  <c r="AC770" i="34"/>
  <c r="AB770" i="34"/>
  <c r="AD903" i="34"/>
  <c r="AD950" i="34"/>
  <c r="AE950" i="34" s="1"/>
  <c r="AF950" i="34" s="1"/>
  <c r="AG950" i="34" s="1"/>
  <c r="AD904" i="34"/>
  <c r="AI904" i="34" s="1"/>
  <c r="AJ904" i="34" s="1"/>
  <c r="AK904" i="34" s="1"/>
  <c r="AD876" i="34"/>
  <c r="AH876" i="34" s="1"/>
  <c r="AI876" i="34" s="1"/>
  <c r="AD857" i="34"/>
  <c r="AD714" i="34"/>
  <c r="AE714" i="34" s="1"/>
  <c r="AF714" i="34" s="1"/>
  <c r="AD448" i="34"/>
  <c r="AD148" i="34"/>
  <c r="AE148" i="34" s="1"/>
  <c r="AF148" i="34" s="1"/>
  <c r="AB704" i="34"/>
  <c r="AD704" i="34" s="1"/>
  <c r="AD782" i="34"/>
  <c r="AD517" i="34"/>
  <c r="AD458" i="34"/>
  <c r="AE458" i="34" s="1"/>
  <c r="AD168" i="34"/>
  <c r="AE168" i="34" s="1"/>
  <c r="AC884" i="34"/>
  <c r="AB884" i="34"/>
  <c r="AC831" i="34"/>
  <c r="AB831" i="34"/>
  <c r="AC902" i="34"/>
  <c r="AB902" i="34"/>
  <c r="AC829" i="34"/>
  <c r="AB829" i="34"/>
  <c r="AB937" i="34"/>
  <c r="AC937" i="34"/>
  <c r="AC766" i="34"/>
  <c r="AB766" i="34"/>
  <c r="AB655" i="34"/>
  <c r="AC655" i="34"/>
  <c r="AC765" i="34"/>
  <c r="AB765" i="34"/>
  <c r="AD941" i="34"/>
  <c r="AE941" i="34" s="1"/>
  <c r="AD510" i="34"/>
  <c r="AE510" i="34" s="1"/>
  <c r="AF510" i="34" s="1"/>
  <c r="AD488" i="34"/>
  <c r="AE488" i="34" s="1"/>
  <c r="AC486" i="34"/>
  <c r="AB486" i="34"/>
  <c r="AB957" i="34"/>
  <c r="AD957" i="34" s="1"/>
  <c r="AE957" i="34" s="1"/>
  <c r="AF957" i="34" s="1"/>
  <c r="AG957" i="34" s="1"/>
  <c r="AD942" i="34"/>
  <c r="AE942" i="34" s="1"/>
  <c r="AF942" i="34" s="1"/>
  <c r="AG942" i="34" s="1"/>
  <c r="AD848" i="34"/>
  <c r="AD896" i="34"/>
  <c r="AI896" i="34" s="1"/>
  <c r="AJ896" i="34" s="1"/>
  <c r="AK896" i="34" s="1"/>
  <c r="AD819" i="34"/>
  <c r="AD557" i="34"/>
  <c r="AD593" i="34"/>
  <c r="AF593" i="34" s="1"/>
  <c r="AD585" i="34"/>
  <c r="AF585" i="34" s="1"/>
  <c r="AG585" i="34" s="1"/>
  <c r="AD898" i="34"/>
  <c r="AI898" i="34" s="1"/>
  <c r="AJ898" i="34" s="1"/>
  <c r="AK898" i="34" s="1"/>
  <c r="AD775" i="34"/>
  <c r="AD652" i="34"/>
  <c r="AH652" i="34" s="1"/>
  <c r="AI652" i="34" s="1"/>
  <c r="AJ652" i="34" s="1"/>
  <c r="AK652" i="34" s="1"/>
  <c r="AB631" i="34"/>
  <c r="AD631" i="34" s="1"/>
  <c r="AG631" i="34" s="1"/>
  <c r="AD835" i="34"/>
  <c r="AG835" i="34" s="1"/>
  <c r="AD512" i="34"/>
  <c r="AE512" i="34" s="1"/>
  <c r="AD470" i="34"/>
  <c r="AE470" i="34" s="1"/>
  <c r="AD932" i="34"/>
  <c r="AE932" i="34" s="1"/>
  <c r="AB662" i="34"/>
  <c r="AC662" i="34"/>
  <c r="AC826" i="34"/>
  <c r="AB826" i="34"/>
  <c r="AC624" i="34"/>
  <c r="AB624" i="34"/>
  <c r="AB659" i="34"/>
  <c r="AC659" i="34"/>
  <c r="AC144" i="34"/>
  <c r="AB144" i="34"/>
  <c r="AI892" i="34"/>
  <c r="AJ892" i="34" s="1"/>
  <c r="AK892" i="34" s="1"/>
  <c r="AE235" i="34"/>
  <c r="AF235" i="34" s="1"/>
  <c r="AE137" i="34"/>
  <c r="AE232" i="34"/>
  <c r="AF232" i="34" s="1"/>
  <c r="AE133" i="34"/>
  <c r="AF133" i="34" s="1"/>
  <c r="AG133" i="34" s="1"/>
  <c r="AH133" i="34" s="1"/>
  <c r="AE173" i="34"/>
  <c r="AF173" i="34" s="1"/>
  <c r="AE61" i="34"/>
  <c r="AE53" i="34"/>
  <c r="AF53" i="34" s="1"/>
  <c r="AD918" i="34"/>
  <c r="AD861" i="34"/>
  <c r="AD853" i="34"/>
  <c r="AH853" i="34" s="1"/>
  <c r="AI853" i="34" s="1"/>
  <c r="AJ853" i="34" s="1"/>
  <c r="AK853" i="34" s="1"/>
  <c r="AD847" i="34"/>
  <c r="AD622" i="34"/>
  <c r="AD824" i="34"/>
  <c r="AD553" i="34"/>
  <c r="AE553" i="34" s="1"/>
  <c r="AF553" i="34" s="1"/>
  <c r="AC886" i="34"/>
  <c r="AB886" i="34"/>
  <c r="AC791" i="34"/>
  <c r="AB791" i="34"/>
  <c r="AC981" i="34"/>
  <c r="AB981" i="34"/>
  <c r="AD839" i="34"/>
  <c r="AG839" i="34" s="1"/>
  <c r="AD838" i="34"/>
  <c r="AG838" i="34" s="1"/>
  <c r="AH838" i="34" s="1"/>
  <c r="AI838" i="34" s="1"/>
  <c r="AD674" i="34"/>
  <c r="AB665" i="34"/>
  <c r="AC665" i="34"/>
  <c r="AC790" i="34"/>
  <c r="AB790" i="34"/>
  <c r="AD397" i="34"/>
  <c r="AE397" i="34" s="1"/>
  <c r="AD506" i="34"/>
  <c r="AE506" i="34" s="1"/>
  <c r="AC461" i="34"/>
  <c r="AB461" i="34"/>
  <c r="AC534" i="34"/>
  <c r="AB534" i="34"/>
  <c r="AD136" i="34"/>
  <c r="AE136" i="34" s="1"/>
  <c r="AD1021" i="34"/>
  <c r="AD1011" i="34"/>
  <c r="AD1003" i="34"/>
  <c r="AD995" i="34"/>
  <c r="AE995" i="34" s="1"/>
  <c r="AD993" i="34"/>
  <c r="AF975" i="34"/>
  <c r="AG975" i="34" s="1"/>
  <c r="AH975" i="34" s="1"/>
  <c r="AD935" i="34"/>
  <c r="AE935" i="34" s="1"/>
  <c r="AF935" i="34" s="1"/>
  <c r="AG935" i="34" s="1"/>
  <c r="AD908" i="34"/>
  <c r="AB797" i="34"/>
  <c r="AD877" i="34"/>
  <c r="AH877" i="34" s="1"/>
  <c r="AI877" i="34" s="1"/>
  <c r="AJ877" i="34" s="1"/>
  <c r="AK877" i="34" s="1"/>
  <c r="AD837" i="34"/>
  <c r="AD833" i="34"/>
  <c r="AB799" i="34"/>
  <c r="AD762" i="34"/>
  <c r="AE762" i="34" s="1"/>
  <c r="AF762" i="34" s="1"/>
  <c r="AD757" i="34"/>
  <c r="AE757" i="34" s="1"/>
  <c r="AD676" i="34"/>
  <c r="AD630" i="34"/>
  <c r="AG630" i="34" s="1"/>
  <c r="AD869" i="34"/>
  <c r="AH869" i="34" s="1"/>
  <c r="AI869" i="34" s="1"/>
  <c r="AD749" i="34"/>
  <c r="AI663" i="34"/>
  <c r="AJ663" i="34" s="1"/>
  <c r="AK663" i="34" s="1"/>
  <c r="AI647" i="34"/>
  <c r="AJ647" i="34" s="1"/>
  <c r="AK647" i="34" s="1"/>
  <c r="AD615" i="34"/>
  <c r="AF615" i="34" s="1"/>
  <c r="AD607" i="34"/>
  <c r="AF607" i="34" s="1"/>
  <c r="AG607" i="34" s="1"/>
  <c r="AD591" i="34"/>
  <c r="AF591" i="34" s="1"/>
  <c r="AG591" i="34" s="1"/>
  <c r="AD581" i="34"/>
  <c r="AE581" i="34" s="1"/>
  <c r="AF526" i="34"/>
  <c r="AG526" i="34" s="1"/>
  <c r="AH526" i="34" s="1"/>
  <c r="AI526" i="34" s="1"/>
  <c r="AJ526" i="34" s="1"/>
  <c r="AK526" i="34" s="1"/>
  <c r="AG484" i="34"/>
  <c r="AH484" i="34" s="1"/>
  <c r="AI484" i="34" s="1"/>
  <c r="AJ484" i="34" s="1"/>
  <c r="AK484" i="34" s="1"/>
  <c r="AD633" i="34"/>
  <c r="AG633" i="34" s="1"/>
  <c r="AD597" i="34"/>
  <c r="AF597" i="34" s="1"/>
  <c r="AD429" i="34"/>
  <c r="AE429" i="34" s="1"/>
  <c r="AD334" i="34"/>
  <c r="AE334" i="34" s="1"/>
  <c r="AF436" i="34"/>
  <c r="AG436" i="34" s="1"/>
  <c r="AF50" i="34"/>
  <c r="AG50" i="34" s="1"/>
  <c r="AC825" i="34"/>
  <c r="AB825" i="34"/>
  <c r="AC870" i="34"/>
  <c r="AB870" i="34"/>
  <c r="AB810" i="34"/>
  <c r="AC810" i="34"/>
  <c r="AB767" i="34"/>
  <c r="AC767" i="34"/>
  <c r="AB653" i="34"/>
  <c r="AC653" i="34"/>
  <c r="AC632" i="34"/>
  <c r="AB632" i="34"/>
  <c r="AC778" i="34"/>
  <c r="AB778" i="34"/>
  <c r="AC781" i="34"/>
  <c r="AB781" i="34"/>
  <c r="AC403" i="34"/>
  <c r="AB403" i="34"/>
  <c r="AB657" i="34"/>
  <c r="AC657" i="34"/>
  <c r="AC522" i="34"/>
  <c r="AB522" i="34"/>
  <c r="AC96" i="34"/>
  <c r="AB96" i="34"/>
  <c r="AC126" i="34"/>
  <c r="AB126" i="34"/>
  <c r="AC466" i="34"/>
  <c r="AB466" i="34"/>
  <c r="AD1015" i="34"/>
  <c r="AE1015" i="34" s="1"/>
  <c r="AF1015" i="34" s="1"/>
  <c r="AD999" i="34"/>
  <c r="AE999" i="34" s="1"/>
  <c r="AD970" i="34"/>
  <c r="AE970" i="34" s="1"/>
  <c r="AG959" i="34"/>
  <c r="AH959" i="34" s="1"/>
  <c r="AI959" i="34" s="1"/>
  <c r="AD771" i="34"/>
  <c r="AE771" i="34" s="1"/>
  <c r="AJ664" i="34"/>
  <c r="AK664" i="34" s="1"/>
  <c r="AG492" i="34"/>
  <c r="AH492" i="34" s="1"/>
  <c r="AI492" i="34" s="1"/>
  <c r="AJ492" i="34" s="1"/>
  <c r="AK492" i="34" s="1"/>
  <c r="AD433" i="34"/>
  <c r="AD375" i="34"/>
  <c r="AF478" i="34"/>
  <c r="AG478" i="34" s="1"/>
  <c r="AH478" i="34" s="1"/>
  <c r="AI478" i="34" s="1"/>
  <c r="AJ478" i="34" s="1"/>
  <c r="AK478" i="34" s="1"/>
  <c r="AD388" i="34"/>
  <c r="AG388" i="34" s="1"/>
  <c r="AD304" i="34"/>
  <c r="AE304" i="34" s="1"/>
  <c r="AD251" i="34"/>
  <c r="AE251" i="34" s="1"/>
  <c r="AF251" i="34" s="1"/>
  <c r="AG134" i="34"/>
  <c r="AD93" i="34"/>
  <c r="AG135" i="34"/>
  <c r="AH135" i="34" s="1"/>
  <c r="AI135" i="34" s="1"/>
  <c r="AC817" i="34"/>
  <c r="AB817" i="34"/>
  <c r="AB584" i="34"/>
  <c r="AC584" i="34"/>
  <c r="AD914" i="34"/>
  <c r="AC787" i="34"/>
  <c r="AB787" i="34"/>
  <c r="AB763" i="34"/>
  <c r="AC763" i="34"/>
  <c r="AB649" i="34"/>
  <c r="AC649" i="34"/>
  <c r="AB979" i="34"/>
  <c r="AC979" i="34"/>
  <c r="AC948" i="34"/>
  <c r="AB948" i="34"/>
  <c r="AC798" i="34"/>
  <c r="AB798" i="34"/>
  <c r="AB661" i="34"/>
  <c r="AC661" i="34"/>
  <c r="AC566" i="34"/>
  <c r="AB566" i="34"/>
  <c r="AD516" i="34"/>
  <c r="AD627" i="34"/>
  <c r="AF627" i="34" s="1"/>
  <c r="AB656" i="34"/>
  <c r="AC656" i="34"/>
  <c r="AC122" i="34"/>
  <c r="AB122" i="34"/>
  <c r="AB783" i="34"/>
  <c r="AC783" i="34"/>
  <c r="AD474" i="34"/>
  <c r="AD323" i="34"/>
  <c r="AE323" i="34" s="1"/>
  <c r="AC200" i="34"/>
  <c r="AB200" i="34"/>
  <c r="AD924" i="34"/>
  <c r="AE924" i="34" s="1"/>
  <c r="AD776" i="34"/>
  <c r="AE776" i="34" s="1"/>
  <c r="AF776" i="34" s="1"/>
  <c r="AF508" i="34"/>
  <c r="AG508" i="34" s="1"/>
  <c r="AH508" i="34" s="1"/>
  <c r="AI508" i="34" s="1"/>
  <c r="AJ508" i="34" s="1"/>
  <c r="AK508" i="34" s="1"/>
  <c r="AG500" i="34"/>
  <c r="AF138" i="34"/>
  <c r="AG138" i="34" s="1"/>
  <c r="AH138" i="34" s="1"/>
  <c r="AI138" i="34" s="1"/>
  <c r="AJ138" i="34" s="1"/>
  <c r="AK138" i="34" s="1"/>
  <c r="AB891" i="34"/>
  <c r="AC891" i="34"/>
  <c r="AC906" i="34"/>
  <c r="AB906" i="34"/>
  <c r="AC888" i="34"/>
  <c r="AB888" i="34"/>
  <c r="AB836" i="34"/>
  <c r="AC836" i="34"/>
  <c r="AD768" i="34"/>
  <c r="AE768" i="34" s="1"/>
  <c r="AB963" i="34"/>
  <c r="AC963" i="34"/>
  <c r="AC822" i="34"/>
  <c r="AB822" i="34"/>
  <c r="AB934" i="34"/>
  <c r="AC934" i="34"/>
  <c r="AC878" i="34"/>
  <c r="AB878" i="34"/>
  <c r="AC841" i="34"/>
  <c r="AB841" i="34"/>
  <c r="AC794" i="34"/>
  <c r="AB794" i="34"/>
  <c r="AC743" i="34"/>
  <c r="AB743" i="34"/>
  <c r="AB669" i="34"/>
  <c r="AC669" i="34"/>
  <c r="AD936" i="34"/>
  <c r="AE936" i="34" s="1"/>
  <c r="AC773" i="34"/>
  <c r="AB773" i="34"/>
  <c r="AD648" i="34"/>
  <c r="AB626" i="34"/>
  <c r="AC626" i="34"/>
  <c r="AC438" i="34"/>
  <c r="AB438" i="34"/>
  <c r="AB580" i="34"/>
  <c r="AC580" i="34"/>
  <c r="AC518" i="34"/>
  <c r="AB518" i="34"/>
  <c r="AB262" i="34"/>
  <c r="AC262" i="34"/>
  <c r="AC143" i="34"/>
  <c r="AB143" i="34"/>
  <c r="AC118" i="34"/>
  <c r="AB118" i="34"/>
  <c r="AC634" i="34"/>
  <c r="AB634" i="34"/>
  <c r="AB548" i="34"/>
  <c r="AC548" i="34"/>
  <c r="AD181" i="34"/>
  <c r="U1593" i="23"/>
  <c r="W1593" i="23" s="1"/>
  <c r="P1594" i="23" s="1"/>
  <c r="Q1594" i="23" s="1"/>
  <c r="R1594" i="23"/>
  <c r="P1070" i="23"/>
  <c r="Q1070" i="23" s="1"/>
  <c r="W1070" i="23" s="1"/>
  <c r="P1071" i="23" s="1"/>
  <c r="Q1071" i="23" s="1"/>
  <c r="W1071" i="23" s="1"/>
  <c r="P1072" i="23" s="1"/>
  <c r="Q1072" i="23" s="1"/>
  <c r="W1072" i="23" s="1"/>
  <c r="P1073" i="23" s="1"/>
  <c r="Q1073" i="23" s="1"/>
  <c r="R1074" i="23"/>
  <c r="U1073" i="23"/>
  <c r="W1613" i="23"/>
  <c r="P1614" i="23" s="1"/>
  <c r="Q1614" i="23" s="1"/>
  <c r="U1613" i="23"/>
  <c r="R1614" i="23"/>
  <c r="U369" i="23"/>
  <c r="R370" i="23"/>
  <c r="W369" i="23"/>
  <c r="P370" i="23" s="1"/>
  <c r="Q370" i="23" s="1"/>
  <c r="U1292" i="23"/>
  <c r="W1292" i="23"/>
  <c r="P1293" i="23" s="1"/>
  <c r="Q1293" i="23" s="1"/>
  <c r="W1568" i="23"/>
  <c r="P1569" i="23" s="1"/>
  <c r="Q1569" i="23" s="1"/>
  <c r="AE1002" i="34"/>
  <c r="AE578" i="34"/>
  <c r="AG510" i="34"/>
  <c r="AE369" i="34"/>
  <c r="AE234" i="34"/>
  <c r="AE69" i="34"/>
  <c r="AF69" i="34" s="1"/>
  <c r="AE965" i="34"/>
  <c r="AF805" i="34"/>
  <c r="AG805" i="34" s="1"/>
  <c r="AF800" i="34"/>
  <c r="AF812" i="34"/>
  <c r="AG636" i="34"/>
  <c r="AE381" i="34"/>
  <c r="AF381" i="34" s="1"/>
  <c r="AE92" i="34"/>
  <c r="AF92" i="34" s="1"/>
  <c r="AE197" i="34"/>
  <c r="AF197" i="34" s="1"/>
  <c r="AG197" i="34" s="1"/>
  <c r="AE159" i="34"/>
  <c r="AF159" i="34" s="1"/>
  <c r="AG159" i="34" s="1"/>
  <c r="AE117" i="34"/>
  <c r="AF117" i="34" s="1"/>
  <c r="AG117" i="34" s="1"/>
  <c r="AE95" i="34"/>
  <c r="AE87" i="34"/>
  <c r="AE977" i="34"/>
  <c r="AF977" i="34" s="1"/>
  <c r="AG977" i="34" s="1"/>
  <c r="AF803" i="34"/>
  <c r="AG803" i="34" s="1"/>
  <c r="AE546" i="34"/>
  <c r="AF546" i="34" s="1"/>
  <c r="AG546" i="34" s="1"/>
  <c r="AG494" i="34"/>
  <c r="AE376" i="34"/>
  <c r="AF376" i="34" s="1"/>
  <c r="AG376" i="34" s="1"/>
  <c r="AE331" i="34"/>
  <c r="AF331" i="34" s="1"/>
  <c r="AE175" i="34"/>
  <c r="AF175" i="34" s="1"/>
  <c r="AE1010" i="34"/>
  <c r="AF1010" i="34" s="1"/>
  <c r="AF813" i="34"/>
  <c r="AG813" i="34" s="1"/>
  <c r="AF811" i="34"/>
  <c r="AG502" i="34"/>
  <c r="AH502" i="34" s="1"/>
  <c r="AI502" i="34" s="1"/>
  <c r="AE430" i="34"/>
  <c r="AF430" i="34" s="1"/>
  <c r="AE450" i="34"/>
  <c r="AF450" i="34" s="1"/>
  <c r="AE205" i="34"/>
  <c r="AF205" i="34" s="1"/>
  <c r="AE156" i="34"/>
  <c r="AF156" i="34" s="1"/>
  <c r="AE106" i="34"/>
  <c r="AF106" i="34" s="1"/>
  <c r="AE91" i="34"/>
  <c r="AF91" i="34" s="1"/>
  <c r="AG91" i="34" s="1"/>
  <c r="AG1019" i="34"/>
  <c r="AB1000" i="34"/>
  <c r="AC1000" i="34"/>
  <c r="AC1005" i="34"/>
  <c r="AB1005" i="34"/>
  <c r="AB1022" i="34"/>
  <c r="AC1022" i="34"/>
  <c r="AC1009" i="34"/>
  <c r="AB1009" i="34"/>
  <c r="AC976" i="34"/>
  <c r="AB976" i="34"/>
  <c r="AE969" i="34"/>
  <c r="AC960" i="34"/>
  <c r="AB960" i="34"/>
  <c r="AE953" i="34"/>
  <c r="AF953" i="34" s="1"/>
  <c r="AB913" i="34"/>
  <c r="AC913" i="34"/>
  <c r="AI908" i="34"/>
  <c r="AJ908" i="34" s="1"/>
  <c r="AK908" i="34" s="1"/>
  <c r="AI887" i="34"/>
  <c r="AJ887" i="34" s="1"/>
  <c r="AK887" i="34" s="1"/>
  <c r="AC874" i="34"/>
  <c r="AB874" i="34"/>
  <c r="AC866" i="34"/>
  <c r="AB866" i="34"/>
  <c r="AC882" i="34"/>
  <c r="AB882" i="34"/>
  <c r="AH871" i="34"/>
  <c r="AI871" i="34" s="1"/>
  <c r="AB852" i="34"/>
  <c r="AC852" i="34"/>
  <c r="AB862" i="34"/>
  <c r="AC862" i="34"/>
  <c r="AH835" i="34"/>
  <c r="AI835" i="34" s="1"/>
  <c r="AJ835" i="34" s="1"/>
  <c r="AK835" i="34" s="1"/>
  <c r="AF819" i="34"/>
  <c r="AB681" i="34"/>
  <c r="AC681" i="34"/>
  <c r="AH857" i="34"/>
  <c r="AI857" i="34" s="1"/>
  <c r="AJ857" i="34" s="1"/>
  <c r="AK857" i="34" s="1"/>
  <c r="AF774" i="34"/>
  <c r="AG774" i="34" s="1"/>
  <c r="AB764" i="34"/>
  <c r="AC764" i="34"/>
  <c r="AE724" i="34"/>
  <c r="AF724" i="34" s="1"/>
  <c r="AG724" i="34" s="1"/>
  <c r="AB713" i="34"/>
  <c r="AC713" i="34"/>
  <c r="AE692" i="34"/>
  <c r="AB677" i="34"/>
  <c r="AC677" i="34"/>
  <c r="AB750" i="34"/>
  <c r="AC750" i="34"/>
  <c r="AI676" i="34"/>
  <c r="AJ676" i="34" s="1"/>
  <c r="AK676" i="34" s="1"/>
  <c r="AC614" i="34"/>
  <c r="AB614" i="34"/>
  <c r="AC606" i="34"/>
  <c r="AB606" i="34"/>
  <c r="AC598" i="34"/>
  <c r="AB598" i="34"/>
  <c r="AC590" i="34"/>
  <c r="AB590" i="34"/>
  <c r="AE570" i="34"/>
  <c r="AE538" i="34"/>
  <c r="AF824" i="34"/>
  <c r="AG824" i="34" s="1"/>
  <c r="AC756" i="34"/>
  <c r="AB756" i="34"/>
  <c r="AB707" i="34"/>
  <c r="AC707" i="34"/>
  <c r="AB643" i="34"/>
  <c r="AC643" i="34"/>
  <c r="AB551" i="34"/>
  <c r="AC551" i="34"/>
  <c r="AB515" i="34"/>
  <c r="AC515" i="34"/>
  <c r="AB499" i="34"/>
  <c r="AC499" i="34"/>
  <c r="AB483" i="34"/>
  <c r="AC483" i="34"/>
  <c r="AB893" i="34"/>
  <c r="AC893" i="34"/>
  <c r="AE749" i="34"/>
  <c r="AB742" i="34"/>
  <c r="AC742" i="34"/>
  <c r="AB641" i="34"/>
  <c r="AC641" i="34"/>
  <c r="AG621" i="34"/>
  <c r="AE562" i="34"/>
  <c r="AF562" i="34" s="1"/>
  <c r="AC547" i="34"/>
  <c r="AB547" i="34"/>
  <c r="AE485" i="34"/>
  <c r="AB468" i="34"/>
  <c r="AC468" i="34"/>
  <c r="AB477" i="34"/>
  <c r="AC477" i="34"/>
  <c r="AB469" i="34"/>
  <c r="AC469" i="34"/>
  <c r="AC732" i="34"/>
  <c r="AB732" i="34"/>
  <c r="AC608" i="34"/>
  <c r="AB608" i="34"/>
  <c r="AE521" i="34"/>
  <c r="AE489" i="34"/>
  <c r="AB715" i="34"/>
  <c r="AC715" i="34"/>
  <c r="AC600" i="34"/>
  <c r="AB600" i="34"/>
  <c r="AC575" i="34"/>
  <c r="AB575" i="34"/>
  <c r="AB572" i="34"/>
  <c r="AC572" i="34"/>
  <c r="AC543" i="34"/>
  <c r="AB543" i="34"/>
  <c r="AB540" i="34"/>
  <c r="AC540" i="34"/>
  <c r="AB473" i="34"/>
  <c r="AC473" i="34"/>
  <c r="AB465" i="34"/>
  <c r="AC465" i="34"/>
  <c r="AB454" i="34"/>
  <c r="AC454" i="34"/>
  <c r="AE449" i="34"/>
  <c r="AE434" i="34"/>
  <c r="AE418" i="34"/>
  <c r="AE411" i="34"/>
  <c r="AC326" i="34"/>
  <c r="AB326" i="34"/>
  <c r="AE448" i="34"/>
  <c r="AE446" i="34"/>
  <c r="AF446" i="34" s="1"/>
  <c r="AB431" i="34"/>
  <c r="AC431" i="34"/>
  <c r="AC443" i="34"/>
  <c r="AB443" i="34"/>
  <c r="AE416" i="34"/>
  <c r="AF416" i="34" s="1"/>
  <c r="AC329" i="34"/>
  <c r="AB329" i="34"/>
  <c r="AC306" i="34"/>
  <c r="AB306" i="34"/>
  <c r="AE346" i="34"/>
  <c r="AF346" i="34" s="1"/>
  <c r="AE307" i="34"/>
  <c r="AF307" i="34" s="1"/>
  <c r="AE241" i="34"/>
  <c r="AF241" i="34" s="1"/>
  <c r="AC256" i="34"/>
  <c r="AB256" i="34"/>
  <c r="AC105" i="34"/>
  <c r="AB105" i="34"/>
  <c r="AI226" i="34"/>
  <c r="AJ226" i="34" s="1"/>
  <c r="AK226" i="34" s="1"/>
  <c r="AE60" i="34"/>
  <c r="AF60" i="34" s="1"/>
  <c r="AE48" i="34"/>
  <c r="AF48" i="34" s="1"/>
  <c r="AE125" i="34"/>
  <c r="AE102" i="34"/>
  <c r="AC1023" i="34"/>
  <c r="AB1023" i="34"/>
  <c r="AD1007" i="34"/>
  <c r="AC1013" i="34"/>
  <c r="AB1013" i="34"/>
  <c r="AE991" i="34"/>
  <c r="AE983" i="34"/>
  <c r="AB1012" i="34"/>
  <c r="AC1012" i="34"/>
  <c r="AB1004" i="34"/>
  <c r="AC1004" i="34"/>
  <c r="AB996" i="34"/>
  <c r="AC996" i="34"/>
  <c r="AD1020" i="34"/>
  <c r="AD1014" i="34"/>
  <c r="AH992" i="34"/>
  <c r="AE984" i="34"/>
  <c r="AF984" i="34" s="1"/>
  <c r="AG984" i="34" s="1"/>
  <c r="AD978" i="34"/>
  <c r="AC972" i="34"/>
  <c r="AB972" i="34"/>
  <c r="AD962" i="34"/>
  <c r="AC956" i="34"/>
  <c r="AB956" i="34"/>
  <c r="AF955" i="34"/>
  <c r="AC926" i="34"/>
  <c r="AB926" i="34"/>
  <c r="AB951" i="34"/>
  <c r="AC951" i="34"/>
  <c r="AD940" i="34"/>
  <c r="AD917" i="34"/>
  <c r="AD911" i="34"/>
  <c r="AD900" i="34"/>
  <c r="AB885" i="34"/>
  <c r="AC885" i="34"/>
  <c r="AB909" i="34"/>
  <c r="AC909" i="34"/>
  <c r="AD912" i="34"/>
  <c r="AD859" i="34"/>
  <c r="AD851" i="34"/>
  <c r="AD845" i="34"/>
  <c r="AF804" i="34"/>
  <c r="AB858" i="34"/>
  <c r="AC858" i="34"/>
  <c r="AB850" i="34"/>
  <c r="AC850" i="34"/>
  <c r="AB830" i="34"/>
  <c r="AC830" i="34"/>
  <c r="AD828" i="34"/>
  <c r="AB873" i="34"/>
  <c r="AC873" i="34"/>
  <c r="AJ832" i="34"/>
  <c r="AK832" i="34" s="1"/>
  <c r="AD797" i="34"/>
  <c r="AB761" i="34"/>
  <c r="AC761" i="34"/>
  <c r="AD792" i="34"/>
  <c r="AB780" i="34"/>
  <c r="AC780" i="34"/>
  <c r="AD815" i="34"/>
  <c r="AC788" i="34"/>
  <c r="AB788" i="34"/>
  <c r="AD726" i="34"/>
  <c r="AD718" i="34"/>
  <c r="AD710" i="34"/>
  <c r="AD702" i="34"/>
  <c r="AD694" i="34"/>
  <c r="AD686" i="34"/>
  <c r="AE755" i="34"/>
  <c r="AE739" i="34"/>
  <c r="AB721" i="34"/>
  <c r="AC721" i="34"/>
  <c r="AE700" i="34"/>
  <c r="AF700" i="34" s="1"/>
  <c r="AB689" i="34"/>
  <c r="AC689" i="34"/>
  <c r="AD820" i="34"/>
  <c r="AB759" i="34"/>
  <c r="AC759" i="34"/>
  <c r="AC752" i="34"/>
  <c r="AB752" i="34"/>
  <c r="AB701" i="34"/>
  <c r="AC701" i="34"/>
  <c r="AI666" i="34"/>
  <c r="AJ666" i="34" s="1"/>
  <c r="AK666" i="34" s="1"/>
  <c r="AI658" i="34"/>
  <c r="AJ658" i="34" s="1"/>
  <c r="AK658" i="34" s="1"/>
  <c r="AI650" i="34"/>
  <c r="AJ650" i="34" s="1"/>
  <c r="AK650" i="34" s="1"/>
  <c r="AB645" i="34"/>
  <c r="AC645" i="34"/>
  <c r="AB637" i="34"/>
  <c r="AC637" i="34"/>
  <c r="AF625" i="34"/>
  <c r="AG625" i="34" s="1"/>
  <c r="AD573" i="34"/>
  <c r="AE560" i="34"/>
  <c r="AF560" i="34" s="1"/>
  <c r="AG560" i="34" s="1"/>
  <c r="AC555" i="34"/>
  <c r="AB555" i="34"/>
  <c r="AD541" i="34"/>
  <c r="AD745" i="34"/>
  <c r="AB738" i="34"/>
  <c r="AC738" i="34"/>
  <c r="AB723" i="34"/>
  <c r="AC723" i="34"/>
  <c r="AD698" i="34"/>
  <c r="AD644" i="34"/>
  <c r="AB567" i="34"/>
  <c r="AC567" i="34"/>
  <c r="AD537" i="34"/>
  <c r="AB519" i="34"/>
  <c r="AC519" i="34"/>
  <c r="AB503" i="34"/>
  <c r="AC503" i="34"/>
  <c r="AB487" i="34"/>
  <c r="AC487" i="34"/>
  <c r="AC744" i="34"/>
  <c r="AB744" i="34"/>
  <c r="AB725" i="34"/>
  <c r="AC725" i="34"/>
  <c r="AB693" i="34"/>
  <c r="AC693" i="34"/>
  <c r="AD642" i="34"/>
  <c r="AD565" i="34"/>
  <c r="AC531" i="34"/>
  <c r="AB531" i="34"/>
  <c r="AD737" i="34"/>
  <c r="AC592" i="34"/>
  <c r="AB592" i="34"/>
  <c r="AD464" i="34"/>
  <c r="AD769" i="34"/>
  <c r="AD722" i="34"/>
  <c r="AC616" i="34"/>
  <c r="AB616" i="34"/>
  <c r="AD577" i="34"/>
  <c r="AH552" i="34"/>
  <c r="AI552" i="34" s="1"/>
  <c r="AJ552" i="34" s="1"/>
  <c r="AK552" i="34" s="1"/>
  <c r="AD545" i="34"/>
  <c r="AB471" i="34"/>
  <c r="AC471" i="34"/>
  <c r="AE513" i="34"/>
  <c r="AE481" i="34"/>
  <c r="AB475" i="34"/>
  <c r="AC475" i="34"/>
  <c r="AB467" i="34"/>
  <c r="AC467" i="34"/>
  <c r="AE451" i="34"/>
  <c r="AF451" i="34" s="1"/>
  <c r="AG451" i="34" s="1"/>
  <c r="AD437" i="34"/>
  <c r="AD391" i="34"/>
  <c r="AC384" i="34"/>
  <c r="AB384" i="34"/>
  <c r="AE325" i="34"/>
  <c r="AC265" i="34"/>
  <c r="AB265" i="34"/>
  <c r="AC457" i="34"/>
  <c r="AB457" i="34"/>
  <c r="AB415" i="34"/>
  <c r="AC415" i="34"/>
  <c r="AB377" i="34"/>
  <c r="AC377" i="34"/>
  <c r="AB370" i="34"/>
  <c r="AC370" i="34"/>
  <c r="AE327" i="34"/>
  <c r="AF327" i="34" s="1"/>
  <c r="AG327" i="34" s="1"/>
  <c r="AD287" i="34"/>
  <c r="AE442" i="34"/>
  <c r="AC390" i="34"/>
  <c r="AB390" i="34"/>
  <c r="AD368" i="34"/>
  <c r="AC356" i="34"/>
  <c r="AB356" i="34"/>
  <c r="AE444" i="34"/>
  <c r="AC439" i="34"/>
  <c r="AB439" i="34"/>
  <c r="AE428" i="34"/>
  <c r="AF428" i="34" s="1"/>
  <c r="AC423" i="34"/>
  <c r="AB423" i="34"/>
  <c r="AD402" i="34"/>
  <c r="AC382" i="34"/>
  <c r="AB382" i="34"/>
  <c r="AB257" i="34"/>
  <c r="AC257" i="34"/>
  <c r="AF385" i="34"/>
  <c r="AG385" i="34" s="1"/>
  <c r="AF397" i="34"/>
  <c r="AE246" i="34"/>
  <c r="AE120" i="34"/>
  <c r="AC101" i="34"/>
  <c r="AB101" i="34"/>
  <c r="AD176" i="34"/>
  <c r="AD103" i="34"/>
  <c r="AD86" i="34"/>
  <c r="AF108" i="34"/>
  <c r="AD94" i="34"/>
  <c r="AD67" i="34"/>
  <c r="AD68" i="34"/>
  <c r="AF168" i="34"/>
  <c r="AG168" i="34" s="1"/>
  <c r="AF127" i="34"/>
  <c r="AF70" i="34"/>
  <c r="AB1016" i="34"/>
  <c r="AC1016" i="34"/>
  <c r="AE993" i="34"/>
  <c r="AD974" i="34"/>
  <c r="AC968" i="34"/>
  <c r="AB968" i="34"/>
  <c r="AD985" i="34"/>
  <c r="AB947" i="34"/>
  <c r="AC947" i="34"/>
  <c r="AE923" i="34"/>
  <c r="AF994" i="34"/>
  <c r="AG994" i="34" s="1"/>
  <c r="AB943" i="34"/>
  <c r="AC943" i="34"/>
  <c r="AG952" i="34"/>
  <c r="AC945" i="34"/>
  <c r="AB945" i="34"/>
  <c r="AC925" i="34"/>
  <c r="AB925" i="34"/>
  <c r="AB905" i="34"/>
  <c r="AC905" i="34"/>
  <c r="AI910" i="34"/>
  <c r="AJ910" i="34" s="1"/>
  <c r="AK910" i="34" s="1"/>
  <c r="AI903" i="34"/>
  <c r="AJ903" i="34" s="1"/>
  <c r="AK903" i="34" s="1"/>
  <c r="AB897" i="34"/>
  <c r="AC897" i="34"/>
  <c r="AI883" i="34"/>
  <c r="AJ883" i="34" s="1"/>
  <c r="AK883" i="34" s="1"/>
  <c r="AB872" i="34"/>
  <c r="AC872" i="34"/>
  <c r="AF932" i="34"/>
  <c r="AG932" i="34" s="1"/>
  <c r="AF936" i="34"/>
  <c r="AG936" i="34" s="1"/>
  <c r="AD895" i="34"/>
  <c r="AD879" i="34"/>
  <c r="AB854" i="34"/>
  <c r="AC854" i="34"/>
  <c r="AD849" i="34"/>
  <c r="AD799" i="34"/>
  <c r="AB860" i="34"/>
  <c r="AC860" i="34"/>
  <c r="AG814" i="34"/>
  <c r="AB785" i="34"/>
  <c r="AC785" i="34"/>
  <c r="AB806" i="34"/>
  <c r="AD806" i="34" s="1"/>
  <c r="AG833" i="34"/>
  <c r="AI682" i="34"/>
  <c r="AJ682" i="34" s="1"/>
  <c r="AK682" i="34" s="1"/>
  <c r="AD675" i="34"/>
  <c r="AD772" i="34"/>
  <c r="AE751" i="34"/>
  <c r="AF751" i="34" s="1"/>
  <c r="AE735" i="34"/>
  <c r="AF735" i="34" s="1"/>
  <c r="AE708" i="34"/>
  <c r="AB697" i="34"/>
  <c r="AC697" i="34"/>
  <c r="AB844" i="34"/>
  <c r="AC844" i="34"/>
  <c r="AG808" i="34"/>
  <c r="AB734" i="34"/>
  <c r="AC734" i="34"/>
  <c r="AD638" i="34"/>
  <c r="AF619" i="34"/>
  <c r="AG619" i="34" s="1"/>
  <c r="AF595" i="34"/>
  <c r="AG595" i="34" s="1"/>
  <c r="AF587" i="34"/>
  <c r="AG587" i="34" s="1"/>
  <c r="AE554" i="34"/>
  <c r="AD807" i="34"/>
  <c r="AC740" i="34"/>
  <c r="AB740" i="34"/>
  <c r="AF720" i="34"/>
  <c r="AB673" i="34"/>
  <c r="AC673" i="34"/>
  <c r="AC635" i="34"/>
  <c r="AB635" i="34"/>
  <c r="AB628" i="34"/>
  <c r="AC628" i="34"/>
  <c r="AB620" i="34"/>
  <c r="AC620" i="34"/>
  <c r="AB612" i="34"/>
  <c r="AC612" i="34"/>
  <c r="AB604" i="34"/>
  <c r="AC604" i="34"/>
  <c r="AB596" i="34"/>
  <c r="AC596" i="34"/>
  <c r="AB588" i="34"/>
  <c r="AC588" i="34"/>
  <c r="AB583" i="34"/>
  <c r="AC583" i="34"/>
  <c r="AB523" i="34"/>
  <c r="AC523" i="34"/>
  <c r="AB507" i="34"/>
  <c r="AC507" i="34"/>
  <c r="AB491" i="34"/>
  <c r="AC491" i="34"/>
  <c r="AC758" i="34"/>
  <c r="AB758" i="34"/>
  <c r="AE733" i="34"/>
  <c r="AF733" i="34" s="1"/>
  <c r="AC618" i="34"/>
  <c r="AB618" i="34"/>
  <c r="AC610" i="34"/>
  <c r="AB610" i="34"/>
  <c r="AC602" i="34"/>
  <c r="AB602" i="34"/>
  <c r="AC594" i="34"/>
  <c r="AB594" i="34"/>
  <c r="AC586" i="34"/>
  <c r="AB586" i="34"/>
  <c r="AC579" i="34"/>
  <c r="AB579" i="34"/>
  <c r="AE549" i="34"/>
  <c r="AF549" i="34" s="1"/>
  <c r="AC748" i="34"/>
  <c r="AB748" i="34"/>
  <c r="AE501" i="34"/>
  <c r="AB476" i="34"/>
  <c r="AC476" i="34"/>
  <c r="AE524" i="34"/>
  <c r="AH500" i="34"/>
  <c r="AI500" i="34" s="1"/>
  <c r="AJ500" i="34" s="1"/>
  <c r="AK500" i="34" s="1"/>
  <c r="AH631" i="34"/>
  <c r="AI631" i="34" s="1"/>
  <c r="AJ631" i="34" s="1"/>
  <c r="AK631" i="34" s="1"/>
  <c r="AE505" i="34"/>
  <c r="AF505" i="34" s="1"/>
  <c r="AG505" i="34" s="1"/>
  <c r="AE460" i="34"/>
  <c r="AF460" i="34" s="1"/>
  <c r="AH839" i="34"/>
  <c r="AI839" i="34" s="1"/>
  <c r="AB730" i="34"/>
  <c r="AC730" i="34"/>
  <c r="AF712" i="34"/>
  <c r="AE690" i="34"/>
  <c r="AF690" i="34" s="1"/>
  <c r="AG690" i="34" s="1"/>
  <c r="AE574" i="34"/>
  <c r="AC559" i="34"/>
  <c r="AB559" i="34"/>
  <c r="AB556" i="34"/>
  <c r="AC556" i="34"/>
  <c r="AE542" i="34"/>
  <c r="AF528" i="34"/>
  <c r="AG528" i="34" s="1"/>
  <c r="AF520" i="34"/>
  <c r="AF512" i="34"/>
  <c r="AG512" i="34" s="1"/>
  <c r="AF504" i="34"/>
  <c r="AG504" i="34" s="1"/>
  <c r="AF480" i="34"/>
  <c r="AC396" i="34"/>
  <c r="AB396" i="34"/>
  <c r="AE333" i="34"/>
  <c r="AE328" i="34"/>
  <c r="AF328" i="34" s="1"/>
  <c r="AE433" i="34"/>
  <c r="AB408" i="34"/>
  <c r="AC408" i="34"/>
  <c r="AB387" i="34"/>
  <c r="AC387" i="34"/>
  <c r="AE432" i="34"/>
  <c r="AF432" i="34" s="1"/>
  <c r="AC427" i="34"/>
  <c r="AB427" i="34"/>
  <c r="AE375" i="34"/>
  <c r="AF375" i="34" s="1"/>
  <c r="AE338" i="34"/>
  <c r="AC332" i="34"/>
  <c r="AB332" i="34"/>
  <c r="AE266" i="34"/>
  <c r="AF266" i="34" s="1"/>
  <c r="AE233" i="34"/>
  <c r="AF233" i="34" s="1"/>
  <c r="AC196" i="34"/>
  <c r="AB196" i="34"/>
  <c r="AH134" i="34"/>
  <c r="AI134" i="34" s="1"/>
  <c r="AJ134" i="34" s="1"/>
  <c r="AK134" i="34" s="1"/>
  <c r="AE93" i="34"/>
  <c r="AF167" i="34"/>
  <c r="AG167" i="34" s="1"/>
  <c r="AF104" i="34"/>
  <c r="AG104" i="34" s="1"/>
  <c r="AD90" i="34"/>
  <c r="AF123" i="34"/>
  <c r="AC1018" i="34"/>
  <c r="AB1018" i="34"/>
  <c r="AB1008" i="34"/>
  <c r="AC1008" i="34"/>
  <c r="AC997" i="34"/>
  <c r="AB997" i="34"/>
  <c r="AE987" i="34"/>
  <c r="AH1021" i="34"/>
  <c r="AE1011" i="34"/>
  <c r="AE1003" i="34"/>
  <c r="AC1017" i="34"/>
  <c r="AB1017" i="34"/>
  <c r="AC1001" i="34"/>
  <c r="AB1001" i="34"/>
  <c r="AE988" i="34"/>
  <c r="AB980" i="34"/>
  <c r="AC980" i="34"/>
  <c r="AC964" i="34"/>
  <c r="AB964" i="34"/>
  <c r="AG955" i="34"/>
  <c r="AC949" i="34"/>
  <c r="AB949" i="34"/>
  <c r="AC922" i="34"/>
  <c r="AB922" i="34"/>
  <c r="AF944" i="34"/>
  <c r="AE938" i="34"/>
  <c r="AI918" i="34"/>
  <c r="AJ918" i="34" s="1"/>
  <c r="AK918" i="34" s="1"/>
  <c r="AB889" i="34"/>
  <c r="AC889" i="34"/>
  <c r="AB880" i="34"/>
  <c r="AC880" i="34"/>
  <c r="AC921" i="34"/>
  <c r="AB921" i="34"/>
  <c r="AB901" i="34"/>
  <c r="AC901" i="34"/>
  <c r="AB864" i="34"/>
  <c r="AC864" i="34"/>
  <c r="AB856" i="34"/>
  <c r="AC856" i="34"/>
  <c r="AF848" i="34"/>
  <c r="AB881" i="34"/>
  <c r="AC881" i="34"/>
  <c r="AH861" i="34"/>
  <c r="AF847" i="34"/>
  <c r="AH868" i="34"/>
  <c r="AI868" i="34" s="1"/>
  <c r="AJ868" i="34" s="1"/>
  <c r="AK868" i="34" s="1"/>
  <c r="AG837" i="34"/>
  <c r="AF821" i="34"/>
  <c r="AG821" i="34" s="1"/>
  <c r="AD840" i="34"/>
  <c r="AB793" i="34"/>
  <c r="AC793" i="34"/>
  <c r="AG786" i="34"/>
  <c r="AH786" i="34" s="1"/>
  <c r="AB727" i="34"/>
  <c r="AC727" i="34"/>
  <c r="AB719" i="34"/>
  <c r="AC719" i="34"/>
  <c r="AB711" i="34"/>
  <c r="AC711" i="34"/>
  <c r="AB703" i="34"/>
  <c r="AC703" i="34"/>
  <c r="AB695" i="34"/>
  <c r="AC695" i="34"/>
  <c r="AB687" i="34"/>
  <c r="AC687" i="34"/>
  <c r="AH818" i="34"/>
  <c r="AI818" i="34" s="1"/>
  <c r="AE747" i="34"/>
  <c r="AF747" i="34" s="1"/>
  <c r="AE731" i="34"/>
  <c r="AF731" i="34" s="1"/>
  <c r="AE716" i="34"/>
  <c r="AB705" i="34"/>
  <c r="AC705" i="34"/>
  <c r="AC736" i="34"/>
  <c r="AB736" i="34"/>
  <c r="AB717" i="34"/>
  <c r="AC717" i="34"/>
  <c r="AF622" i="34"/>
  <c r="AG622" i="34" s="1"/>
  <c r="AE576" i="34"/>
  <c r="AC571" i="34"/>
  <c r="AB571" i="34"/>
  <c r="AE557" i="34"/>
  <c r="AE544" i="34"/>
  <c r="AC539" i="34"/>
  <c r="AB539" i="34"/>
  <c r="AB754" i="34"/>
  <c r="AC754" i="34"/>
  <c r="AE729" i="34"/>
  <c r="AF729" i="34" s="1"/>
  <c r="AB691" i="34"/>
  <c r="AC691" i="34"/>
  <c r="AB535" i="34"/>
  <c r="AC535" i="34"/>
  <c r="AB527" i="34"/>
  <c r="AC527" i="34"/>
  <c r="AB511" i="34"/>
  <c r="AC511" i="34"/>
  <c r="AB495" i="34"/>
  <c r="AC495" i="34"/>
  <c r="AB479" i="34"/>
  <c r="AC479" i="34"/>
  <c r="AB789" i="34"/>
  <c r="AC789" i="34"/>
  <c r="AF760" i="34"/>
  <c r="AG760" i="34" s="1"/>
  <c r="AD728" i="34"/>
  <c r="AB709" i="34"/>
  <c r="AC709" i="34"/>
  <c r="AC680" i="34"/>
  <c r="AB680" i="34"/>
  <c r="AG629" i="34"/>
  <c r="AC563" i="34"/>
  <c r="AB563" i="34"/>
  <c r="AE533" i="34"/>
  <c r="AD640" i="34"/>
  <c r="AD613" i="34"/>
  <c r="AG525" i="34"/>
  <c r="AG509" i="34"/>
  <c r="AE493" i="34"/>
  <c r="AD455" i="34"/>
  <c r="AB746" i="34"/>
  <c r="AC746" i="34"/>
  <c r="AB639" i="34"/>
  <c r="AC639" i="34"/>
  <c r="AD605" i="34"/>
  <c r="AH568" i="34"/>
  <c r="AI568" i="34" s="1"/>
  <c r="AH564" i="34"/>
  <c r="AD561" i="34"/>
  <c r="AH536" i="34"/>
  <c r="AD816" i="34"/>
  <c r="AD753" i="34"/>
  <c r="AB699" i="34"/>
  <c r="AC699" i="34"/>
  <c r="AE529" i="34"/>
  <c r="AF529" i="34" s="1"/>
  <c r="AE497" i="34"/>
  <c r="AF497" i="34" s="1"/>
  <c r="AB472" i="34"/>
  <c r="AC472" i="34"/>
  <c r="AD678" i="34"/>
  <c r="AF530" i="34"/>
  <c r="AG520" i="34"/>
  <c r="AF514" i="34"/>
  <c r="AF506" i="34"/>
  <c r="AF490" i="34"/>
  <c r="AG480" i="34"/>
  <c r="AE440" i="34"/>
  <c r="AC435" i="34"/>
  <c r="AB435" i="34"/>
  <c r="AE424" i="34"/>
  <c r="AC419" i="34"/>
  <c r="AB419" i="34"/>
  <c r="AC412" i="34"/>
  <c r="AB412" i="34"/>
  <c r="AD386" i="34"/>
  <c r="AD380" i="34"/>
  <c r="AE348" i="34"/>
  <c r="AD459" i="34"/>
  <c r="AD456" i="34"/>
  <c r="AB447" i="34"/>
  <c r="AC447" i="34"/>
  <c r="AD417" i="34"/>
  <c r="AD324" i="34"/>
  <c r="AB277" i="34"/>
  <c r="AC277" i="34"/>
  <c r="AB269" i="34"/>
  <c r="AC269" i="34"/>
  <c r="AF458" i="34"/>
  <c r="AE409" i="34"/>
  <c r="AC404" i="34"/>
  <c r="AB404" i="34"/>
  <c r="AC392" i="34"/>
  <c r="AB392" i="34"/>
  <c r="AC342" i="34"/>
  <c r="AB342" i="34"/>
  <c r="AC453" i="34"/>
  <c r="AB453" i="34"/>
  <c r="AD441" i="34"/>
  <c r="AD425" i="34"/>
  <c r="AE405" i="34"/>
  <c r="AF405" i="34" s="1"/>
  <c r="AG405" i="34" s="1"/>
  <c r="AC400" i="34"/>
  <c r="AB400" i="34"/>
  <c r="AC394" i="34"/>
  <c r="AB394" i="34"/>
  <c r="AE357" i="34"/>
  <c r="AF357" i="34" s="1"/>
  <c r="AC347" i="34"/>
  <c r="AB347" i="34"/>
  <c r="AD278" i="34"/>
  <c r="AG397" i="34"/>
  <c r="AB240" i="34"/>
  <c r="AC240" i="34"/>
  <c r="AC174" i="34"/>
  <c r="AB174" i="34"/>
  <c r="AE124" i="34"/>
  <c r="AF124" i="34" s="1"/>
  <c r="AG124" i="34" s="1"/>
  <c r="AE116" i="34"/>
  <c r="AF116" i="34" s="1"/>
  <c r="AG116" i="34" s="1"/>
  <c r="AC109" i="34"/>
  <c r="AB109" i="34"/>
  <c r="AD198" i="34"/>
  <c r="AD107" i="34"/>
  <c r="AD99" i="34"/>
  <c r="AF74" i="34"/>
  <c r="AF191" i="34"/>
  <c r="AF140" i="34"/>
  <c r="AF100" i="34"/>
  <c r="AD89" i="34"/>
  <c r="AF66" i="34"/>
  <c r="AG66" i="34" s="1"/>
  <c r="AB49" i="34"/>
  <c r="AC49" i="34"/>
  <c r="AF169" i="34"/>
  <c r="AG169" i="34" s="1"/>
  <c r="AG139" i="34"/>
  <c r="AF199" i="34"/>
  <c r="AG199" i="34" s="1"/>
  <c r="AG123" i="34"/>
  <c r="AF119" i="34"/>
  <c r="AG70" i="34"/>
  <c r="AD461" i="34" l="1"/>
  <c r="AF768" i="34"/>
  <c r="AG768" i="34" s="1"/>
  <c r="AD765" i="34"/>
  <c r="AE765" i="34" s="1"/>
  <c r="AF765" i="34" s="1"/>
  <c r="AD829" i="34"/>
  <c r="AG829" i="34" s="1"/>
  <c r="AD831" i="34"/>
  <c r="AG831" i="34" s="1"/>
  <c r="AH831" i="34" s="1"/>
  <c r="AD370" i="34"/>
  <c r="U400" i="23"/>
  <c r="W400" i="23" s="1"/>
  <c r="P401" i="23" s="1"/>
  <c r="Q401" i="23" s="1"/>
  <c r="R401" i="23"/>
  <c r="U401" i="23" s="1"/>
  <c r="AH494" i="34"/>
  <c r="AI494" i="34" s="1"/>
  <c r="AJ494" i="34" s="1"/>
  <c r="AK494" i="34" s="1"/>
  <c r="AG796" i="34"/>
  <c r="AF498" i="34"/>
  <c r="AH510" i="34"/>
  <c r="AD144" i="34"/>
  <c r="AF144" i="34" s="1"/>
  <c r="AD624" i="34"/>
  <c r="AF624" i="34" s="1"/>
  <c r="AG624" i="34" s="1"/>
  <c r="AH532" i="34"/>
  <c r="AI532" i="34" s="1"/>
  <c r="AF496" i="34"/>
  <c r="AG496" i="34" s="1"/>
  <c r="AF967" i="34"/>
  <c r="AJ834" i="34"/>
  <c r="AK834" i="34" s="1"/>
  <c r="AF136" i="34"/>
  <c r="AF986" i="34"/>
  <c r="AG986" i="34" s="1"/>
  <c r="AD951" i="34"/>
  <c r="AE951" i="34" s="1"/>
  <c r="AG802" i="34"/>
  <c r="AH802" i="34" s="1"/>
  <c r="AF88" i="34"/>
  <c r="AG88" i="34" s="1"/>
  <c r="AF488" i="34"/>
  <c r="AG488" i="34" s="1"/>
  <c r="AD486" i="34"/>
  <c r="AE486" i="34" s="1"/>
  <c r="AF486" i="34" s="1"/>
  <c r="AD583" i="34"/>
  <c r="AF420" i="34"/>
  <c r="AD713" i="34"/>
  <c r="AE713" i="34" s="1"/>
  <c r="AG696" i="34"/>
  <c r="AH696" i="34" s="1"/>
  <c r="AI696" i="34" s="1"/>
  <c r="AG990" i="34"/>
  <c r="AG420" i="34"/>
  <c r="AF323" i="34"/>
  <c r="AG323" i="34" s="1"/>
  <c r="AH323" i="34" s="1"/>
  <c r="AI323" i="34" s="1"/>
  <c r="AH168" i="34"/>
  <c r="AI168" i="34" s="1"/>
  <c r="AF132" i="34"/>
  <c r="AD754" i="34"/>
  <c r="AE754" i="34" s="1"/>
  <c r="AG627" i="34"/>
  <c r="AH627" i="34" s="1"/>
  <c r="AF971" i="34"/>
  <c r="AG971" i="34" s="1"/>
  <c r="AF236" i="34"/>
  <c r="AD49" i="34"/>
  <c r="AE49" i="34" s="1"/>
  <c r="AD889" i="34"/>
  <c r="AI889" i="34" s="1"/>
  <c r="AJ889" i="34" s="1"/>
  <c r="AK889" i="34" s="1"/>
  <c r="AD579" i="34"/>
  <c r="AD200" i="34"/>
  <c r="AD566" i="34"/>
  <c r="AE566" i="34" s="1"/>
  <c r="AF566" i="34" s="1"/>
  <c r="AD798" i="34"/>
  <c r="AF798" i="34" s="1"/>
  <c r="AD885" i="34"/>
  <c r="AI885" i="34" s="1"/>
  <c r="AJ885" i="34" s="1"/>
  <c r="AK885" i="34" s="1"/>
  <c r="AD329" i="34"/>
  <c r="AD913" i="34"/>
  <c r="AI913" i="34" s="1"/>
  <c r="AJ913" i="34" s="1"/>
  <c r="AK913" i="34" s="1"/>
  <c r="AD415" i="34"/>
  <c r="AE415" i="34" s="1"/>
  <c r="AF415" i="34" s="1"/>
  <c r="AD949" i="34"/>
  <c r="AE949" i="34" s="1"/>
  <c r="AD888" i="34"/>
  <c r="AI888" i="34" s="1"/>
  <c r="AJ888" i="34" s="1"/>
  <c r="AK888" i="34" s="1"/>
  <c r="AE704" i="34"/>
  <c r="AD858" i="34"/>
  <c r="AH858" i="34" s="1"/>
  <c r="AI858" i="34" s="1"/>
  <c r="AJ858" i="34" s="1"/>
  <c r="AK858" i="34" s="1"/>
  <c r="AD982" i="34"/>
  <c r="AD844" i="34"/>
  <c r="AD1008" i="34"/>
  <c r="AD390" i="34"/>
  <c r="AE390" i="34" s="1"/>
  <c r="AD866" i="34"/>
  <c r="AH866" i="34" s="1"/>
  <c r="AI866" i="34" s="1"/>
  <c r="AJ866" i="34" s="1"/>
  <c r="AK866" i="34" s="1"/>
  <c r="AG827" i="34"/>
  <c r="AD326" i="34"/>
  <c r="AE326" i="34" s="1"/>
  <c r="AF326" i="34" s="1"/>
  <c r="AD543" i="34"/>
  <c r="AE543" i="34" s="1"/>
  <c r="AF543" i="34" s="1"/>
  <c r="AD548" i="34"/>
  <c r="AE548" i="34" s="1"/>
  <c r="AD262" i="34"/>
  <c r="AF262" i="34" s="1"/>
  <c r="AG262" i="34" s="1"/>
  <c r="AD580" i="34"/>
  <c r="AD626" i="34"/>
  <c r="AF626" i="34" s="1"/>
  <c r="AG626" i="34" s="1"/>
  <c r="AD841" i="34"/>
  <c r="AG841" i="34" s="1"/>
  <c r="AH841" i="34" s="1"/>
  <c r="AI841" i="34" s="1"/>
  <c r="AD934" i="34"/>
  <c r="AE934" i="34" s="1"/>
  <c r="AD1017" i="34"/>
  <c r="AF1017" i="34" s="1"/>
  <c r="AG1017" i="34" s="1"/>
  <c r="AD196" i="34"/>
  <c r="AE196" i="34" s="1"/>
  <c r="AD476" i="34"/>
  <c r="AE476" i="34" s="1"/>
  <c r="AD947" i="34"/>
  <c r="AD435" i="34"/>
  <c r="AE435" i="34" s="1"/>
  <c r="AF435" i="34" s="1"/>
  <c r="AD699" i="34"/>
  <c r="AD680" i="34"/>
  <c r="AD556" i="34"/>
  <c r="AD491" i="34"/>
  <c r="AE491" i="34" s="1"/>
  <c r="AD523" i="34"/>
  <c r="AE523" i="34" s="1"/>
  <c r="AD854" i="34"/>
  <c r="AH854" i="34" s="1"/>
  <c r="AI854" i="34" s="1"/>
  <c r="AJ854" i="34" s="1"/>
  <c r="AK854" i="34" s="1"/>
  <c r="AD873" i="34"/>
  <c r="AD584" i="34"/>
  <c r="AE584" i="34" s="1"/>
  <c r="AF584" i="34" s="1"/>
  <c r="AG584" i="34" s="1"/>
  <c r="AD96" i="34"/>
  <c r="AE96" i="34" s="1"/>
  <c r="AD781" i="34"/>
  <c r="AE781" i="34" s="1"/>
  <c r="AD632" i="34"/>
  <c r="AG632" i="34" s="1"/>
  <c r="AH632" i="34" s="1"/>
  <c r="AD870" i="34"/>
  <c r="AH870" i="34" s="1"/>
  <c r="W1073" i="23"/>
  <c r="P1074" i="23" s="1"/>
  <c r="Q1074" i="23" s="1"/>
  <c r="AE413" i="34"/>
  <c r="AF413" i="34" s="1"/>
  <c r="AG413" i="34" s="1"/>
  <c r="AH413" i="34" s="1"/>
  <c r="AG401" i="34"/>
  <c r="AH401" i="34" s="1"/>
  <c r="AI401" i="34" s="1"/>
  <c r="AJ401" i="34" s="1"/>
  <c r="AK401" i="34" s="1"/>
  <c r="AD687" i="34"/>
  <c r="AE687" i="34" s="1"/>
  <c r="AF687" i="34" s="1"/>
  <c r="AD703" i="34"/>
  <c r="AE703" i="34" s="1"/>
  <c r="AF703" i="34" s="1"/>
  <c r="AD864" i="34"/>
  <c r="AH864" i="34" s="1"/>
  <c r="AD980" i="34"/>
  <c r="AD387" i="34"/>
  <c r="AD740" i="34"/>
  <c r="AD257" i="34"/>
  <c r="AD725" i="34"/>
  <c r="AD637" i="34"/>
  <c r="AH637" i="34" s="1"/>
  <c r="AI637" i="34" s="1"/>
  <c r="AJ637" i="34" s="1"/>
  <c r="AK637" i="34" s="1"/>
  <c r="AD431" i="34"/>
  <c r="AE431" i="34" s="1"/>
  <c r="AF431" i="34" s="1"/>
  <c r="AG431" i="34" s="1"/>
  <c r="AD590" i="34"/>
  <c r="AF590" i="34" s="1"/>
  <c r="AG590" i="34" s="1"/>
  <c r="AD606" i="34"/>
  <c r="AD634" i="34"/>
  <c r="AG634" i="34" s="1"/>
  <c r="AH634" i="34" s="1"/>
  <c r="AI634" i="34" s="1"/>
  <c r="AD143" i="34"/>
  <c r="AE143" i="34" s="1"/>
  <c r="AD438" i="34"/>
  <c r="AE438" i="34" s="1"/>
  <c r="AF438" i="34" s="1"/>
  <c r="AD794" i="34"/>
  <c r="AF794" i="34" s="1"/>
  <c r="AG794" i="34" s="1"/>
  <c r="AD878" i="34"/>
  <c r="AH878" i="34" s="1"/>
  <c r="AI878" i="34" s="1"/>
  <c r="AD822" i="34"/>
  <c r="AF822" i="34" s="1"/>
  <c r="AD836" i="34"/>
  <c r="AG836" i="34" s="1"/>
  <c r="AH836" i="34" s="1"/>
  <c r="AI836" i="34" s="1"/>
  <c r="AJ836" i="34" s="1"/>
  <c r="AK836" i="34" s="1"/>
  <c r="AD661" i="34"/>
  <c r="AD649" i="34"/>
  <c r="AD522" i="34"/>
  <c r="AD653" i="34"/>
  <c r="AH653" i="34" s="1"/>
  <c r="AD810" i="34"/>
  <c r="AD665" i="34"/>
  <c r="AG798" i="34"/>
  <c r="AH798" i="34" s="1"/>
  <c r="AF777" i="34"/>
  <c r="AG777" i="34" s="1"/>
  <c r="AH777" i="34" s="1"/>
  <c r="AF927" i="34"/>
  <c r="AG927" i="34" s="1"/>
  <c r="AH927" i="34" s="1"/>
  <c r="AI927" i="34" s="1"/>
  <c r="AJ927" i="34" s="1"/>
  <c r="AK927" i="34" s="1"/>
  <c r="AE933" i="34"/>
  <c r="AF933" i="34" s="1"/>
  <c r="AG933" i="34" s="1"/>
  <c r="AD342" i="34"/>
  <c r="AD404" i="34"/>
  <c r="AE404" i="34" s="1"/>
  <c r="AF404" i="34" s="1"/>
  <c r="AD269" i="34"/>
  <c r="AE269" i="34" s="1"/>
  <c r="AF269" i="34" s="1"/>
  <c r="AG269" i="34" s="1"/>
  <c r="AD472" i="34"/>
  <c r="AE472" i="34" s="1"/>
  <c r="AD746" i="34"/>
  <c r="AD705" i="34"/>
  <c r="AE705" i="34" s="1"/>
  <c r="AD997" i="34"/>
  <c r="AE997" i="34" s="1"/>
  <c r="AF997" i="34" s="1"/>
  <c r="AF941" i="34"/>
  <c r="AG941" i="34" s="1"/>
  <c r="AD635" i="34"/>
  <c r="AF781" i="34"/>
  <c r="AG781" i="34" s="1"/>
  <c r="AD872" i="34"/>
  <c r="AH872" i="34" s="1"/>
  <c r="AI872" i="34" s="1"/>
  <c r="AJ872" i="34" s="1"/>
  <c r="AK872" i="34" s="1"/>
  <c r="AD475" i="34"/>
  <c r="AD723" i="34"/>
  <c r="AD645" i="34"/>
  <c r="AH645" i="34" s="1"/>
  <c r="AD761" i="34"/>
  <c r="AD909" i="34"/>
  <c r="AI909" i="34" s="1"/>
  <c r="AJ909" i="34" s="1"/>
  <c r="AK909" i="34" s="1"/>
  <c r="AD996" i="34"/>
  <c r="AD1012" i="34"/>
  <c r="AE1012" i="34" s="1"/>
  <c r="AD454" i="34"/>
  <c r="AE454" i="34" s="1"/>
  <c r="AD483" i="34"/>
  <c r="AE483" i="34" s="1"/>
  <c r="AD515" i="34"/>
  <c r="AD681" i="34"/>
  <c r="AI681" i="34" s="1"/>
  <c r="AJ681" i="34" s="1"/>
  <c r="AK681" i="34" s="1"/>
  <c r="AG331" i="34"/>
  <c r="AH331" i="34" s="1"/>
  <c r="AI331" i="34" s="1"/>
  <c r="AF470" i="34"/>
  <c r="AG470" i="34" s="1"/>
  <c r="AH470" i="34" s="1"/>
  <c r="AI470" i="34" s="1"/>
  <c r="AJ470" i="34" s="1"/>
  <c r="AK470" i="34" s="1"/>
  <c r="AD659" i="34"/>
  <c r="AD655" i="34"/>
  <c r="AD937" i="34"/>
  <c r="AD770" i="34"/>
  <c r="AE770" i="34" s="1"/>
  <c r="AF770" i="34" s="1"/>
  <c r="AG770" i="34" s="1"/>
  <c r="AG173" i="34"/>
  <c r="AH173" i="34" s="1"/>
  <c r="AI173" i="34" s="1"/>
  <c r="AJ173" i="34" s="1"/>
  <c r="AK173" i="34" s="1"/>
  <c r="AH88" i="34"/>
  <c r="AI88" i="34" s="1"/>
  <c r="AJ88" i="34" s="1"/>
  <c r="AK88" i="34" s="1"/>
  <c r="AD347" i="34"/>
  <c r="AE347" i="34" s="1"/>
  <c r="AF347" i="34" s="1"/>
  <c r="AD922" i="34"/>
  <c r="AE922" i="34" s="1"/>
  <c r="AD964" i="34"/>
  <c r="AD396" i="34"/>
  <c r="AE396" i="34" s="1"/>
  <c r="AD423" i="34"/>
  <c r="AD439" i="34"/>
  <c r="AE439" i="34" s="1"/>
  <c r="AF439" i="34" s="1"/>
  <c r="AG439" i="34" s="1"/>
  <c r="AD384" i="34"/>
  <c r="AD1023" i="34"/>
  <c r="AI1023" i="34" s="1"/>
  <c r="AJ1023" i="34" s="1"/>
  <c r="AK1023" i="34" s="1"/>
  <c r="AD105" i="34"/>
  <c r="AE105" i="34" s="1"/>
  <c r="AD575" i="34"/>
  <c r="AE575" i="34" s="1"/>
  <c r="AF575" i="34" s="1"/>
  <c r="AD732" i="34"/>
  <c r="AD547" i="34"/>
  <c r="AE547" i="34" s="1"/>
  <c r="AD874" i="34"/>
  <c r="AH874" i="34" s="1"/>
  <c r="AD963" i="34"/>
  <c r="AD826" i="34"/>
  <c r="AF826" i="34" s="1"/>
  <c r="AD902" i="34"/>
  <c r="AI902" i="34" s="1"/>
  <c r="AJ902" i="34" s="1"/>
  <c r="AK902" i="34" s="1"/>
  <c r="AD884" i="34"/>
  <c r="AI884" i="34" s="1"/>
  <c r="AJ884" i="34" s="1"/>
  <c r="AK884" i="34" s="1"/>
  <c r="AE782" i="34"/>
  <c r="AF782" i="34" s="1"/>
  <c r="AG782" i="34" s="1"/>
  <c r="AD479" i="34"/>
  <c r="AD511" i="34"/>
  <c r="AE511" i="34" s="1"/>
  <c r="AF511" i="34" s="1"/>
  <c r="AG511" i="34" s="1"/>
  <c r="AD535" i="34"/>
  <c r="AE535" i="34" s="1"/>
  <c r="AD695" i="34"/>
  <c r="AE695" i="34" s="1"/>
  <c r="AD711" i="34"/>
  <c r="AD793" i="34"/>
  <c r="AF793" i="34" s="1"/>
  <c r="AG793" i="34" s="1"/>
  <c r="AD1016" i="34"/>
  <c r="AE1016" i="34" s="1"/>
  <c r="AF1016" i="34" s="1"/>
  <c r="AD101" i="34"/>
  <c r="AE101" i="34" s="1"/>
  <c r="AF101" i="34" s="1"/>
  <c r="AG101" i="34" s="1"/>
  <c r="AD471" i="34"/>
  <c r="AD487" i="34"/>
  <c r="AE487" i="34" s="1"/>
  <c r="AF487" i="34" s="1"/>
  <c r="AD519" i="34"/>
  <c r="AD780" i="34"/>
  <c r="AD972" i="34"/>
  <c r="AD572" i="34"/>
  <c r="AE572" i="34" s="1"/>
  <c r="AF572" i="34" s="1"/>
  <c r="AD608" i="34"/>
  <c r="AF608" i="34" s="1"/>
  <c r="AG608" i="34" s="1"/>
  <c r="AD469" i="34"/>
  <c r="AD981" i="34"/>
  <c r="AE981" i="34" s="1"/>
  <c r="AD886" i="34"/>
  <c r="AI886" i="34" s="1"/>
  <c r="AJ886" i="34" s="1"/>
  <c r="AK886" i="34" s="1"/>
  <c r="AD662" i="34"/>
  <c r="AH662" i="34" s="1"/>
  <c r="AI662" i="34" s="1"/>
  <c r="AJ662" i="34" s="1"/>
  <c r="AK662" i="34" s="1"/>
  <c r="AE775" i="34"/>
  <c r="AF775" i="34" s="1"/>
  <c r="AG775" i="34" s="1"/>
  <c r="AD766" i="34"/>
  <c r="AD830" i="34"/>
  <c r="AG830" i="34" s="1"/>
  <c r="AD473" i="34"/>
  <c r="AE473" i="34" s="1"/>
  <c r="AD750" i="34"/>
  <c r="AE750" i="34" s="1"/>
  <c r="AF750" i="34" s="1"/>
  <c r="AG750" i="34" s="1"/>
  <c r="AG233" i="34"/>
  <c r="AH233" i="34" s="1"/>
  <c r="AI233" i="34" s="1"/>
  <c r="AJ233" i="34" s="1"/>
  <c r="AK233" i="34" s="1"/>
  <c r="AG53" i="34"/>
  <c r="AH53" i="34" s="1"/>
  <c r="AH659" i="34"/>
  <c r="AI659" i="34" s="1"/>
  <c r="AJ659" i="34" s="1"/>
  <c r="AK659" i="34" s="1"/>
  <c r="AE517" i="34"/>
  <c r="AH50" i="34"/>
  <c r="AI50" i="34" s="1"/>
  <c r="AH436" i="34"/>
  <c r="AD856" i="34"/>
  <c r="AH856" i="34" s="1"/>
  <c r="AI856" i="34" s="1"/>
  <c r="AJ856" i="34" s="1"/>
  <c r="AK856" i="34" s="1"/>
  <c r="AJ959" i="34"/>
  <c r="AK959" i="34" s="1"/>
  <c r="AG954" i="34"/>
  <c r="AH954" i="34" s="1"/>
  <c r="AI954" i="34" s="1"/>
  <c r="AD592" i="34"/>
  <c r="AD531" i="34"/>
  <c r="AD752" i="34"/>
  <c r="AE752" i="34" s="1"/>
  <c r="AD788" i="34"/>
  <c r="AF788" i="34" s="1"/>
  <c r="AG788" i="34" s="1"/>
  <c r="AD1004" i="34"/>
  <c r="AG251" i="34"/>
  <c r="AD756" i="34"/>
  <c r="AE756" i="34" s="1"/>
  <c r="AF756" i="34" s="1"/>
  <c r="AD882" i="34"/>
  <c r="AH882" i="34" s="1"/>
  <c r="AI882" i="34" s="1"/>
  <c r="AJ882" i="34" s="1"/>
  <c r="AK882" i="34" s="1"/>
  <c r="AD976" i="34"/>
  <c r="AD1005" i="34"/>
  <c r="AE580" i="34"/>
  <c r="AF580" i="34" s="1"/>
  <c r="AD773" i="34"/>
  <c r="AE963" i="34"/>
  <c r="AD906" i="34"/>
  <c r="AI906" i="34" s="1"/>
  <c r="AJ906" i="34" s="1"/>
  <c r="AK906" i="34" s="1"/>
  <c r="AE474" i="34"/>
  <c r="AF474" i="34" s="1"/>
  <c r="AD122" i="34"/>
  <c r="AE516" i="34"/>
  <c r="AF516" i="34" s="1"/>
  <c r="AD948" i="34"/>
  <c r="AE948" i="34" s="1"/>
  <c r="AD787" i="34"/>
  <c r="AF787" i="34" s="1"/>
  <c r="AG787" i="34" s="1"/>
  <c r="AD126" i="34"/>
  <c r="AD403" i="34"/>
  <c r="AD778" i="34"/>
  <c r="AD825" i="34"/>
  <c r="AD791" i="34"/>
  <c r="AI510" i="34"/>
  <c r="AJ510" i="34" s="1"/>
  <c r="AK510" i="34" s="1"/>
  <c r="AI536" i="34"/>
  <c r="AJ536" i="34" s="1"/>
  <c r="AK536" i="34" s="1"/>
  <c r="AI564" i="34"/>
  <c r="AJ564" i="34" s="1"/>
  <c r="AK564" i="34" s="1"/>
  <c r="AD559" i="34"/>
  <c r="AD748" i="34"/>
  <c r="AE748" i="34" s="1"/>
  <c r="AF748" i="34" s="1"/>
  <c r="AG733" i="34"/>
  <c r="AD596" i="34"/>
  <c r="AF596" i="34" s="1"/>
  <c r="AG596" i="34" s="1"/>
  <c r="AD612" i="34"/>
  <c r="AD628" i="34"/>
  <c r="AF628" i="34" s="1"/>
  <c r="AG628" i="34" s="1"/>
  <c r="AD673" i="34"/>
  <c r="AI673" i="34" s="1"/>
  <c r="AJ673" i="34" s="1"/>
  <c r="AK673" i="34" s="1"/>
  <c r="AJ841" i="34"/>
  <c r="AK841" i="34" s="1"/>
  <c r="AD785" i="34"/>
  <c r="AH936" i="34"/>
  <c r="AD897" i="34"/>
  <c r="AI897" i="34" s="1"/>
  <c r="AJ897" i="34" s="1"/>
  <c r="AK897" i="34" s="1"/>
  <c r="AG305" i="34"/>
  <c r="AH305" i="34" s="1"/>
  <c r="AI305" i="34" s="1"/>
  <c r="AD356" i="34"/>
  <c r="AE356" i="34" s="1"/>
  <c r="AD265" i="34"/>
  <c r="AF513" i="34"/>
  <c r="AG513" i="34" s="1"/>
  <c r="AH513" i="34" s="1"/>
  <c r="AI513" i="34" s="1"/>
  <c r="AD555" i="34"/>
  <c r="AE555" i="34" s="1"/>
  <c r="AD701" i="34"/>
  <c r="AE701" i="34" s="1"/>
  <c r="AF701" i="34" s="1"/>
  <c r="AG701" i="34" s="1"/>
  <c r="AD759" i="34"/>
  <c r="AE759" i="34" s="1"/>
  <c r="AF759" i="34" s="1"/>
  <c r="AD689" i="34"/>
  <c r="AD721" i="34"/>
  <c r="AE721" i="34" s="1"/>
  <c r="AF721" i="34" s="1"/>
  <c r="AG721" i="34" s="1"/>
  <c r="AD850" i="34"/>
  <c r="AH850" i="34" s="1"/>
  <c r="AI850" i="34" s="1"/>
  <c r="AJ850" i="34" s="1"/>
  <c r="AK850" i="34" s="1"/>
  <c r="AF448" i="34"/>
  <c r="AG448" i="34" s="1"/>
  <c r="AH448" i="34" s="1"/>
  <c r="AI448" i="34" s="1"/>
  <c r="AJ448" i="34" s="1"/>
  <c r="AK448" i="34" s="1"/>
  <c r="AD715" i="34"/>
  <c r="AD477" i="34"/>
  <c r="AE477" i="34" s="1"/>
  <c r="AF477" i="34" s="1"/>
  <c r="AD468" i="34"/>
  <c r="AE468" i="34" s="1"/>
  <c r="AD893" i="34"/>
  <c r="AI893" i="34" s="1"/>
  <c r="AJ893" i="34" s="1"/>
  <c r="AK893" i="34" s="1"/>
  <c r="AD499" i="34"/>
  <c r="AD643" i="34"/>
  <c r="AH643" i="34" s="1"/>
  <c r="AI643" i="34" s="1"/>
  <c r="AJ643" i="34" s="1"/>
  <c r="AK643" i="34" s="1"/>
  <c r="AD707" i="34"/>
  <c r="AE707" i="34" s="1"/>
  <c r="AD598" i="34"/>
  <c r="AD677" i="34"/>
  <c r="AD764" i="34"/>
  <c r="AE764" i="34" s="1"/>
  <c r="AI802" i="34"/>
  <c r="AJ802" i="34" s="1"/>
  <c r="AK802" i="34" s="1"/>
  <c r="AF924" i="34"/>
  <c r="AG924" i="34" s="1"/>
  <c r="AD1022" i="34"/>
  <c r="AD1000" i="34"/>
  <c r="AG69" i="34"/>
  <c r="AH69" i="34" s="1"/>
  <c r="AI69" i="34" s="1"/>
  <c r="AJ69" i="34" s="1"/>
  <c r="AK69" i="34" s="1"/>
  <c r="AD118" i="34"/>
  <c r="AD743" i="34"/>
  <c r="AE743" i="34" s="1"/>
  <c r="AD891" i="34"/>
  <c r="AD783" i="34"/>
  <c r="AD656" i="34"/>
  <c r="AD979" i="34"/>
  <c r="AD763" i="34"/>
  <c r="AI914" i="34"/>
  <c r="AJ914" i="34" s="1"/>
  <c r="AK914" i="34" s="1"/>
  <c r="AD817" i="34"/>
  <c r="AF817" i="34" s="1"/>
  <c r="AD466" i="34"/>
  <c r="AD657" i="34"/>
  <c r="AD767" i="34"/>
  <c r="AD534" i="34"/>
  <c r="AE534" i="34" s="1"/>
  <c r="AF61" i="34"/>
  <c r="AG61" i="34" s="1"/>
  <c r="AG232" i="34"/>
  <c r="AH232" i="34" s="1"/>
  <c r="AG235" i="34"/>
  <c r="AH235" i="34" s="1"/>
  <c r="AG357" i="34"/>
  <c r="AD277" i="34"/>
  <c r="AD447" i="34"/>
  <c r="AE447" i="34" s="1"/>
  <c r="AF447" i="34" s="1"/>
  <c r="AD412" i="34"/>
  <c r="AE412" i="34" s="1"/>
  <c r="AF424" i="34"/>
  <c r="AG424" i="34" s="1"/>
  <c r="AH424" i="34" s="1"/>
  <c r="AJ568" i="34"/>
  <c r="AK568" i="34" s="1"/>
  <c r="AD639" i="34"/>
  <c r="AH639" i="34" s="1"/>
  <c r="AI639" i="34" s="1"/>
  <c r="AJ639" i="34" s="1"/>
  <c r="AK639" i="34" s="1"/>
  <c r="AD921" i="34"/>
  <c r="AH123" i="34"/>
  <c r="AD427" i="34"/>
  <c r="AD586" i="34"/>
  <c r="AF586" i="34" s="1"/>
  <c r="AG586" i="34" s="1"/>
  <c r="AD602" i="34"/>
  <c r="AD465" i="34"/>
  <c r="AE465" i="34" s="1"/>
  <c r="AD540" i="34"/>
  <c r="AD551" i="34"/>
  <c r="AE551" i="34" s="1"/>
  <c r="AF551" i="34" s="1"/>
  <c r="AG551" i="34" s="1"/>
  <c r="AD518" i="34"/>
  <c r="AH648" i="34"/>
  <c r="AD669" i="34"/>
  <c r="AH200" i="34"/>
  <c r="AI200" i="34" s="1"/>
  <c r="AI674" i="34"/>
  <c r="AJ674" i="34" s="1"/>
  <c r="AK674" i="34" s="1"/>
  <c r="AD495" i="34"/>
  <c r="AD527" i="34"/>
  <c r="AE527" i="34" s="1"/>
  <c r="AF527" i="34" s="1"/>
  <c r="AG527" i="34" s="1"/>
  <c r="AD691" i="34"/>
  <c r="AG729" i="34"/>
  <c r="AH729" i="34" s="1"/>
  <c r="AI729" i="34" s="1"/>
  <c r="AJ729" i="34" s="1"/>
  <c r="AK729" i="34" s="1"/>
  <c r="AD539" i="34"/>
  <c r="AD571" i="34"/>
  <c r="AE571" i="34" s="1"/>
  <c r="AF571" i="34" s="1"/>
  <c r="AJ818" i="34"/>
  <c r="AK818" i="34" s="1"/>
  <c r="AJ876" i="34"/>
  <c r="AK876" i="34" s="1"/>
  <c r="AD901" i="34"/>
  <c r="AD408" i="34"/>
  <c r="AE408" i="34" s="1"/>
  <c r="AD507" i="34"/>
  <c r="AD588" i="34"/>
  <c r="AF588" i="34" s="1"/>
  <c r="AG588" i="34" s="1"/>
  <c r="AD604" i="34"/>
  <c r="AD905" i="34"/>
  <c r="AI905" i="34" s="1"/>
  <c r="AJ905" i="34" s="1"/>
  <c r="AK905" i="34" s="1"/>
  <c r="AD968" i="34"/>
  <c r="AE968" i="34" s="1"/>
  <c r="AG335" i="34"/>
  <c r="AH335" i="34" s="1"/>
  <c r="AD457" i="34"/>
  <c r="AF481" i="34"/>
  <c r="AG481" i="34" s="1"/>
  <c r="AH481" i="34" s="1"/>
  <c r="AD616" i="34"/>
  <c r="AF616" i="34" s="1"/>
  <c r="AG616" i="34" s="1"/>
  <c r="AD744" i="34"/>
  <c r="AE744" i="34" s="1"/>
  <c r="AF744" i="34" s="1"/>
  <c r="AD1013" i="34"/>
  <c r="AE181" i="34"/>
  <c r="AF181" i="34" s="1"/>
  <c r="AH661" i="34"/>
  <c r="AE461" i="34"/>
  <c r="AF461" i="34" s="1"/>
  <c r="AD790" i="34"/>
  <c r="AF137" i="34"/>
  <c r="U1594" i="23"/>
  <c r="W1594" i="23" s="1"/>
  <c r="P1595" i="23" s="1"/>
  <c r="Q1595" i="23" s="1"/>
  <c r="R1595" i="23"/>
  <c r="U1595" i="23" s="1"/>
  <c r="U1074" i="23"/>
  <c r="R1075" i="23"/>
  <c r="U1075" i="23" s="1"/>
  <c r="U1614" i="23"/>
  <c r="W1614" i="23" s="1"/>
  <c r="P1615" i="23" s="1"/>
  <c r="Q1615" i="23" s="1"/>
  <c r="R1615" i="23"/>
  <c r="U370" i="23"/>
  <c r="W370" i="23" s="1"/>
  <c r="P371" i="23" s="1"/>
  <c r="Q371" i="23" s="1"/>
  <c r="R371" i="23"/>
  <c r="U371" i="23" s="1"/>
  <c r="K1293" i="23"/>
  <c r="L1293" i="23" s="1"/>
  <c r="AG266" i="34"/>
  <c r="AH266" i="34" s="1"/>
  <c r="AI266" i="34" s="1"/>
  <c r="AG432" i="34"/>
  <c r="AH432" i="34" s="1"/>
  <c r="AI432" i="34" s="1"/>
  <c r="AG553" i="34"/>
  <c r="AH553" i="34" s="1"/>
  <c r="AI553" i="34" s="1"/>
  <c r="AG414" i="34"/>
  <c r="AH414" i="34" s="1"/>
  <c r="AG566" i="34"/>
  <c r="AH566" i="34" s="1"/>
  <c r="AI566" i="34" s="1"/>
  <c r="AH768" i="34"/>
  <c r="AI768" i="34" s="1"/>
  <c r="AJ768" i="34" s="1"/>
  <c r="AK768" i="34" s="1"/>
  <c r="AG148" i="34"/>
  <c r="AH148" i="34" s="1"/>
  <c r="AI148" i="34" s="1"/>
  <c r="AG346" i="34"/>
  <c r="AG430" i="34"/>
  <c r="AH430" i="34" s="1"/>
  <c r="AI430" i="34" s="1"/>
  <c r="AG422" i="34"/>
  <c r="AG241" i="34"/>
  <c r="AH241" i="34" s="1"/>
  <c r="AG399" i="34"/>
  <c r="AG416" i="34"/>
  <c r="AH416" i="34" s="1"/>
  <c r="AJ502" i="34"/>
  <c r="AK502" i="34" s="1"/>
  <c r="AG549" i="34"/>
  <c r="AH549" i="34" s="1"/>
  <c r="AI549" i="34" s="1"/>
  <c r="AF806" i="34"/>
  <c r="AG307" i="34"/>
  <c r="AH307" i="34" s="1"/>
  <c r="AI307" i="34" s="1"/>
  <c r="AG558" i="34"/>
  <c r="AE89" i="34"/>
  <c r="AF89" i="34" s="1"/>
  <c r="AG140" i="34"/>
  <c r="AH140" i="34" s="1"/>
  <c r="AI140" i="34" s="1"/>
  <c r="AG74" i="34"/>
  <c r="AH74" i="34" s="1"/>
  <c r="AI74" i="34" s="1"/>
  <c r="AD400" i="34"/>
  <c r="AD453" i="34"/>
  <c r="AE380" i="34"/>
  <c r="AG498" i="34"/>
  <c r="AG514" i="34"/>
  <c r="AG530" i="34"/>
  <c r="AH530" i="34" s="1"/>
  <c r="AI530" i="34" s="1"/>
  <c r="AF816" i="34"/>
  <c r="AG816" i="34" s="1"/>
  <c r="AE746" i="34"/>
  <c r="AF746" i="34" s="1"/>
  <c r="AE479" i="34"/>
  <c r="AF479" i="34" s="1"/>
  <c r="AG479" i="34" s="1"/>
  <c r="AF557" i="34"/>
  <c r="AG557" i="34" s="1"/>
  <c r="AE921" i="34"/>
  <c r="AF921" i="34" s="1"/>
  <c r="AE964" i="34"/>
  <c r="AF964" i="34" s="1"/>
  <c r="AD1018" i="34"/>
  <c r="AH180" i="34"/>
  <c r="AI180" i="34" s="1"/>
  <c r="AJ180" i="34" s="1"/>
  <c r="AK180" i="34" s="1"/>
  <c r="AF93" i="34"/>
  <c r="AG93" i="34" s="1"/>
  <c r="AH104" i="34"/>
  <c r="AI104" i="34" s="1"/>
  <c r="AJ104" i="34" s="1"/>
  <c r="AK104" i="34" s="1"/>
  <c r="AH388" i="34"/>
  <c r="AI388" i="34" s="1"/>
  <c r="AE559" i="34"/>
  <c r="AF559" i="34" s="1"/>
  <c r="AH623" i="34"/>
  <c r="AH690" i="34"/>
  <c r="AI690" i="34" s="1"/>
  <c r="AJ690" i="34" s="1"/>
  <c r="AK690" i="34" s="1"/>
  <c r="AD730" i="34"/>
  <c r="AH505" i="34"/>
  <c r="AI505" i="34" s="1"/>
  <c r="AJ505" i="34" s="1"/>
  <c r="AK505" i="34" s="1"/>
  <c r="AF524" i="34"/>
  <c r="AG524" i="34" s="1"/>
  <c r="AE579" i="34"/>
  <c r="AF579" i="34" s="1"/>
  <c r="AG579" i="34" s="1"/>
  <c r="AD594" i="34"/>
  <c r="AD610" i="34"/>
  <c r="AH587" i="34"/>
  <c r="AI587" i="34" s="1"/>
  <c r="AH619" i="34"/>
  <c r="AD734" i="34"/>
  <c r="AD697" i="34"/>
  <c r="AH833" i="34"/>
  <c r="AI833" i="34" s="1"/>
  <c r="AJ833" i="34" s="1"/>
  <c r="AK833" i="34" s="1"/>
  <c r="AD860" i="34"/>
  <c r="AH849" i="34"/>
  <c r="AI849" i="34" s="1"/>
  <c r="AH950" i="34"/>
  <c r="AD925" i="34"/>
  <c r="AG967" i="34"/>
  <c r="AF923" i="34"/>
  <c r="AG923" i="34" s="1"/>
  <c r="AF993" i="34"/>
  <c r="AG993" i="34" s="1"/>
  <c r="AF981" i="34"/>
  <c r="AG981" i="34" s="1"/>
  <c r="AE67" i="34"/>
  <c r="AF67" i="34" s="1"/>
  <c r="AG67" i="34" s="1"/>
  <c r="AG108" i="34"/>
  <c r="AH108" i="34" s="1"/>
  <c r="AI108" i="34" s="1"/>
  <c r="AE176" i="34"/>
  <c r="AE402" i="34"/>
  <c r="AF402" i="34" s="1"/>
  <c r="AH327" i="34"/>
  <c r="AE265" i="34"/>
  <c r="AF265" i="34" s="1"/>
  <c r="AG265" i="34" s="1"/>
  <c r="AE421" i="34"/>
  <c r="AF421" i="34" s="1"/>
  <c r="AD467" i="34"/>
  <c r="AE464" i="34"/>
  <c r="AE737" i="34"/>
  <c r="AF737" i="34" s="1"/>
  <c r="AG737" i="34" s="1"/>
  <c r="AH642" i="34"/>
  <c r="AD693" i="34"/>
  <c r="AF809" i="34"/>
  <c r="AG809" i="34" s="1"/>
  <c r="AD503" i="34"/>
  <c r="AE537" i="34"/>
  <c r="AE698" i="34"/>
  <c r="AD738" i="34"/>
  <c r="AF795" i="34"/>
  <c r="AE541" i="34"/>
  <c r="AH560" i="34"/>
  <c r="AI560" i="34" s="1"/>
  <c r="AJ560" i="34" s="1"/>
  <c r="AK560" i="34" s="1"/>
  <c r="AF820" i="34"/>
  <c r="AG820" i="34" s="1"/>
  <c r="AG700" i="34"/>
  <c r="AH700" i="34" s="1"/>
  <c r="AI700" i="34" s="1"/>
  <c r="AF823" i="34"/>
  <c r="AG823" i="34" s="1"/>
  <c r="AE710" i="34"/>
  <c r="AF710" i="34" s="1"/>
  <c r="AF828" i="34"/>
  <c r="AG828" i="34" s="1"/>
  <c r="AI912" i="34"/>
  <c r="AJ912" i="34" s="1"/>
  <c r="AK912" i="34" s="1"/>
  <c r="AI917" i="34"/>
  <c r="AJ917" i="34" s="1"/>
  <c r="AK917" i="34" s="1"/>
  <c r="AH952" i="34"/>
  <c r="AE940" i="34"/>
  <c r="AE962" i="34"/>
  <c r="AE1014" i="34"/>
  <c r="AF1014" i="34" s="1"/>
  <c r="AE1004" i="34"/>
  <c r="AI123" i="34"/>
  <c r="AJ123" i="34" s="1"/>
  <c r="AK123" i="34" s="1"/>
  <c r="AH167" i="34"/>
  <c r="AI167" i="34" s="1"/>
  <c r="AF237" i="34"/>
  <c r="AG237" i="34" s="1"/>
  <c r="AH397" i="34"/>
  <c r="AH420" i="34"/>
  <c r="AI420" i="34" s="1"/>
  <c r="AF411" i="34"/>
  <c r="AF418" i="34"/>
  <c r="AF434" i="34"/>
  <c r="AG434" i="34" s="1"/>
  <c r="AH480" i="34"/>
  <c r="AI480" i="34" s="1"/>
  <c r="AH512" i="34"/>
  <c r="AI512" i="34" s="1"/>
  <c r="AH528" i="34"/>
  <c r="AI528" i="34" s="1"/>
  <c r="AE469" i="34"/>
  <c r="AF485" i="34"/>
  <c r="AG485" i="34" s="1"/>
  <c r="AH485" i="34" s="1"/>
  <c r="AH760" i="34"/>
  <c r="AE499" i="34"/>
  <c r="AF499" i="34" s="1"/>
  <c r="AG499" i="34" s="1"/>
  <c r="AH629" i="34"/>
  <c r="AI629" i="34" s="1"/>
  <c r="AF606" i="34"/>
  <c r="AG606" i="34" s="1"/>
  <c r="AH724" i="34"/>
  <c r="AI724" i="34" s="1"/>
  <c r="AJ724" i="34" s="1"/>
  <c r="AK724" i="34" s="1"/>
  <c r="AI786" i="34"/>
  <c r="AJ786" i="34" s="1"/>
  <c r="AK786" i="34" s="1"/>
  <c r="AJ863" i="34"/>
  <c r="AK863" i="34" s="1"/>
  <c r="AD862" i="34"/>
  <c r="AD852" i="34"/>
  <c r="AJ855" i="34"/>
  <c r="AK855" i="34" s="1"/>
  <c r="AH932" i="34"/>
  <c r="AI932" i="34" s="1"/>
  <c r="AI867" i="34"/>
  <c r="AJ867" i="34" s="1"/>
  <c r="AK867" i="34" s="1"/>
  <c r="AH942" i="34"/>
  <c r="AI942" i="34" s="1"/>
  <c r="AJ942" i="34" s="1"/>
  <c r="AK942" i="34" s="1"/>
  <c r="AH971" i="34"/>
  <c r="AI971" i="34" s="1"/>
  <c r="AF969" i="34"/>
  <c r="AH989" i="34"/>
  <c r="AI989" i="34" s="1"/>
  <c r="AJ989" i="34" s="1"/>
  <c r="AK989" i="34" s="1"/>
  <c r="AF407" i="34"/>
  <c r="AG407" i="34" s="1"/>
  <c r="AJ482" i="34"/>
  <c r="AK482" i="34" s="1"/>
  <c r="AH957" i="34"/>
  <c r="AI957" i="34" s="1"/>
  <c r="AJ957" i="34" s="1"/>
  <c r="AK957" i="34" s="1"/>
  <c r="AF182" i="34"/>
  <c r="AG182" i="34" s="1"/>
  <c r="AH546" i="34"/>
  <c r="AI546" i="34" s="1"/>
  <c r="AJ546" i="34" s="1"/>
  <c r="AK546" i="34" s="1"/>
  <c r="AH961" i="34"/>
  <c r="AI961" i="34" s="1"/>
  <c r="AH977" i="34"/>
  <c r="AI977" i="34" s="1"/>
  <c r="AJ977" i="34" s="1"/>
  <c r="AK977" i="34" s="1"/>
  <c r="AG92" i="34"/>
  <c r="AJ839" i="34"/>
  <c r="AK839" i="34" s="1"/>
  <c r="AF965" i="34"/>
  <c r="AG965" i="34" s="1"/>
  <c r="AH965" i="34" s="1"/>
  <c r="AF234" i="34"/>
  <c r="AG234" i="34" s="1"/>
  <c r="AJ532" i="34"/>
  <c r="AK532" i="34" s="1"/>
  <c r="AF1002" i="34"/>
  <c r="AG100" i="34"/>
  <c r="AH100" i="34" s="1"/>
  <c r="AI100" i="34" s="1"/>
  <c r="AE99" i="34"/>
  <c r="AI198" i="34"/>
  <c r="AJ198" i="34" s="1"/>
  <c r="AK198" i="34" s="1"/>
  <c r="AD109" i="34"/>
  <c r="AD174" i="34"/>
  <c r="AE425" i="34"/>
  <c r="AD392" i="34"/>
  <c r="AE324" i="34"/>
  <c r="AE456" i="34"/>
  <c r="AF386" i="34"/>
  <c r="AG386" i="34" s="1"/>
  <c r="AD419" i="34"/>
  <c r="AI678" i="34"/>
  <c r="AJ678" i="34" s="1"/>
  <c r="AK678" i="34" s="1"/>
  <c r="AE699" i="34"/>
  <c r="AF605" i="34"/>
  <c r="AG605" i="34" s="1"/>
  <c r="AH640" i="34"/>
  <c r="AE728" i="34"/>
  <c r="AD789" i="34"/>
  <c r="AF544" i="34"/>
  <c r="AH630" i="34"/>
  <c r="AD736" i="34"/>
  <c r="AD719" i="34"/>
  <c r="AG847" i="34"/>
  <c r="AG848" i="34"/>
  <c r="AH848" i="34" s="1"/>
  <c r="AI901" i="34"/>
  <c r="AJ901" i="34" s="1"/>
  <c r="AK901" i="34" s="1"/>
  <c r="AF973" i="34"/>
  <c r="AG973" i="34" s="1"/>
  <c r="AE980" i="34"/>
  <c r="AF980" i="34" s="1"/>
  <c r="AF988" i="34"/>
  <c r="AG988" i="34" s="1"/>
  <c r="AD1001" i="34"/>
  <c r="AF995" i="34"/>
  <c r="AG995" i="34" s="1"/>
  <c r="AF1003" i="34"/>
  <c r="AG1003" i="34" s="1"/>
  <c r="AF1011" i="34"/>
  <c r="AI1021" i="34"/>
  <c r="AJ1021" i="34" s="1"/>
  <c r="AK1021" i="34" s="1"/>
  <c r="AF987" i="34"/>
  <c r="AG987" i="34" s="1"/>
  <c r="AE1008" i="34"/>
  <c r="AH139" i="34"/>
  <c r="AI139" i="34" s="1"/>
  <c r="AJ139" i="34" s="1"/>
  <c r="AK139" i="34" s="1"/>
  <c r="AE427" i="34"/>
  <c r="AF427" i="34" s="1"/>
  <c r="AG427" i="34" s="1"/>
  <c r="AF387" i="34"/>
  <c r="AG387" i="34" s="1"/>
  <c r="AE556" i="34"/>
  <c r="AH509" i="34"/>
  <c r="AI509" i="34" s="1"/>
  <c r="AH525" i="34"/>
  <c r="AI525" i="34" s="1"/>
  <c r="AJ525" i="34" s="1"/>
  <c r="AK525" i="34" s="1"/>
  <c r="AF604" i="34"/>
  <c r="AG604" i="34" s="1"/>
  <c r="AD620" i="34"/>
  <c r="AI675" i="34"/>
  <c r="AJ675" i="34" s="1"/>
  <c r="AK675" i="34" s="1"/>
  <c r="AF785" i="34"/>
  <c r="AG785" i="34" s="1"/>
  <c r="AD943" i="34"/>
  <c r="AH1006" i="34"/>
  <c r="AI1006" i="34" s="1"/>
  <c r="AJ1006" i="34" s="1"/>
  <c r="AK1006" i="34" s="1"/>
  <c r="AH199" i="34"/>
  <c r="AI199" i="34" s="1"/>
  <c r="AJ199" i="34" s="1"/>
  <c r="AK199" i="34" s="1"/>
  <c r="AI133" i="34"/>
  <c r="AE354" i="34"/>
  <c r="AE287" i="34"/>
  <c r="AD377" i="34"/>
  <c r="AE437" i="34"/>
  <c r="AH514" i="34"/>
  <c r="AI514" i="34" s="1"/>
  <c r="AG712" i="34"/>
  <c r="AH712" i="34" s="1"/>
  <c r="AE545" i="34"/>
  <c r="AE722" i="34"/>
  <c r="AD567" i="34"/>
  <c r="AJ869" i="34"/>
  <c r="AK869" i="34" s="1"/>
  <c r="AE689" i="34"/>
  <c r="AE686" i="34"/>
  <c r="AE718" i="34"/>
  <c r="AF815" i="34"/>
  <c r="AG815" i="34" s="1"/>
  <c r="AF792" i="34"/>
  <c r="AG792" i="34" s="1"/>
  <c r="AH814" i="34"/>
  <c r="AF797" i="34"/>
  <c r="AI843" i="34"/>
  <c r="AJ843" i="34" s="1"/>
  <c r="AK843" i="34" s="1"/>
  <c r="AG845" i="34"/>
  <c r="AI952" i="34"/>
  <c r="AJ952" i="34" s="1"/>
  <c r="AK952" i="34" s="1"/>
  <c r="AG1020" i="34"/>
  <c r="AE1013" i="34"/>
  <c r="AH70" i="34"/>
  <c r="AI70" i="34" s="1"/>
  <c r="AE329" i="34"/>
  <c r="AF329" i="34" s="1"/>
  <c r="AG329" i="34" s="1"/>
  <c r="AF452" i="34"/>
  <c r="AG452" i="34" s="1"/>
  <c r="AG562" i="34"/>
  <c r="AH607" i="34"/>
  <c r="AI607" i="34" s="1"/>
  <c r="AG615" i="34"/>
  <c r="AH615" i="34" s="1"/>
  <c r="AD742" i="34"/>
  <c r="AI760" i="34"/>
  <c r="AG720" i="34"/>
  <c r="AH824" i="34"/>
  <c r="AI824" i="34" s="1"/>
  <c r="AJ824" i="34" s="1"/>
  <c r="AK824" i="34" s="1"/>
  <c r="AF538" i="34"/>
  <c r="AG538" i="34" s="1"/>
  <c r="AF570" i="34"/>
  <c r="AG570" i="34" s="1"/>
  <c r="AI677" i="34"/>
  <c r="AJ677" i="34" s="1"/>
  <c r="AK677" i="34" s="1"/>
  <c r="AH774" i="34"/>
  <c r="AJ878" i="34"/>
  <c r="AK878" i="34" s="1"/>
  <c r="AG939" i="34"/>
  <c r="AH994" i="34"/>
  <c r="AI994" i="34" s="1"/>
  <c r="AG953" i="34"/>
  <c r="AH953" i="34" s="1"/>
  <c r="AE976" i="34"/>
  <c r="AE1005" i="34"/>
  <c r="AH1019" i="34"/>
  <c r="AI1019" i="34" s="1"/>
  <c r="AG450" i="34"/>
  <c r="AH796" i="34"/>
  <c r="AG1010" i="34"/>
  <c r="AJ133" i="34"/>
  <c r="AK133" i="34" s="1"/>
  <c r="AJ135" i="34"/>
  <c r="AK135" i="34" s="1"/>
  <c r="AH808" i="34"/>
  <c r="AI808" i="34" s="1"/>
  <c r="AH805" i="34"/>
  <c r="AI805" i="34" s="1"/>
  <c r="AJ805" i="34" s="1"/>
  <c r="AK805" i="34" s="1"/>
  <c r="AG132" i="34"/>
  <c r="AH132" i="34" s="1"/>
  <c r="AG191" i="34"/>
  <c r="AE107" i="34"/>
  <c r="AF107" i="34" s="1"/>
  <c r="AG107" i="34" s="1"/>
  <c r="AH116" i="34"/>
  <c r="AH124" i="34"/>
  <c r="AD240" i="34"/>
  <c r="AE278" i="34"/>
  <c r="AF278" i="34" s="1"/>
  <c r="AH357" i="34"/>
  <c r="AD394" i="34"/>
  <c r="AH405" i="34"/>
  <c r="AE441" i="34"/>
  <c r="AF409" i="34"/>
  <c r="AH426" i="34"/>
  <c r="AE417" i="34"/>
  <c r="AF417" i="34" s="1"/>
  <c r="AE459" i="34"/>
  <c r="AF459" i="34" s="1"/>
  <c r="AF348" i="34"/>
  <c r="AF440" i="34"/>
  <c r="AG440" i="34" s="1"/>
  <c r="AG490" i="34"/>
  <c r="AH490" i="34" s="1"/>
  <c r="AG506" i="34"/>
  <c r="AE561" i="34"/>
  <c r="AF493" i="34"/>
  <c r="AI680" i="34"/>
  <c r="AJ680" i="34" s="1"/>
  <c r="AK680" i="34" s="1"/>
  <c r="AE495" i="34"/>
  <c r="AI632" i="34"/>
  <c r="AJ632" i="34" s="1"/>
  <c r="AK632" i="34" s="1"/>
  <c r="AE539" i="34"/>
  <c r="AH622" i="34"/>
  <c r="AI622" i="34" s="1"/>
  <c r="AJ622" i="34" s="1"/>
  <c r="AK622" i="34" s="1"/>
  <c r="AD717" i="34"/>
  <c r="AF716" i="34"/>
  <c r="AG716" i="34" s="1"/>
  <c r="AG731" i="34"/>
  <c r="AG747" i="34"/>
  <c r="AG840" i="34"/>
  <c r="AH821" i="34"/>
  <c r="AI821" i="34" s="1"/>
  <c r="AJ821" i="34" s="1"/>
  <c r="AK821" i="34" s="1"/>
  <c r="AJ838" i="34"/>
  <c r="AK838" i="34" s="1"/>
  <c r="AH837" i="34"/>
  <c r="AI837" i="34" s="1"/>
  <c r="AH829" i="34"/>
  <c r="AI861" i="34"/>
  <c r="AJ861" i="34" s="1"/>
  <c r="AK861" i="34" s="1"/>
  <c r="AF938" i="34"/>
  <c r="AI975" i="34"/>
  <c r="AJ975" i="34" s="1"/>
  <c r="AK975" i="34" s="1"/>
  <c r="AF970" i="34"/>
  <c r="AE90" i="34"/>
  <c r="AF90" i="34" s="1"/>
  <c r="AH262" i="34"/>
  <c r="AI262" i="34" s="1"/>
  <c r="AF338" i="34"/>
  <c r="AF433" i="34"/>
  <c r="AG433" i="34" s="1"/>
  <c r="AF333" i="34"/>
  <c r="AG460" i="34"/>
  <c r="AH460" i="34" s="1"/>
  <c r="AG597" i="34"/>
  <c r="AF602" i="34"/>
  <c r="AG602" i="34" s="1"/>
  <c r="AD618" i="34"/>
  <c r="AH733" i="34"/>
  <c r="AI733" i="34" s="1"/>
  <c r="AJ733" i="34" s="1"/>
  <c r="AK733" i="34" s="1"/>
  <c r="AD758" i="34"/>
  <c r="AG635" i="34"/>
  <c r="AH688" i="34"/>
  <c r="AI688" i="34" s="1"/>
  <c r="AJ688" i="34" s="1"/>
  <c r="AK688" i="34" s="1"/>
  <c r="AE740" i="34"/>
  <c r="AF740" i="34" s="1"/>
  <c r="AF554" i="34"/>
  <c r="AH603" i="34"/>
  <c r="AI603" i="34" s="1"/>
  <c r="AG844" i="34"/>
  <c r="AF708" i="34"/>
  <c r="AG708" i="34" s="1"/>
  <c r="AG735" i="34"/>
  <c r="AG751" i="34"/>
  <c r="AH879" i="34"/>
  <c r="AI879" i="34" s="1"/>
  <c r="AE947" i="34"/>
  <c r="AE985" i="34"/>
  <c r="AF985" i="34" s="1"/>
  <c r="AG985" i="34" s="1"/>
  <c r="AE974" i="34"/>
  <c r="AE86" i="34"/>
  <c r="AE257" i="34"/>
  <c r="AE423" i="34"/>
  <c r="AF423" i="34" s="1"/>
  <c r="AE406" i="34"/>
  <c r="AE457" i="34"/>
  <c r="AF457" i="34" s="1"/>
  <c r="AE384" i="34"/>
  <c r="AF384" i="34" s="1"/>
  <c r="AE475" i="34"/>
  <c r="AE577" i="34"/>
  <c r="AE769" i="34"/>
  <c r="AF769" i="34" s="1"/>
  <c r="AF592" i="34"/>
  <c r="AG592" i="34" s="1"/>
  <c r="AE531" i="34"/>
  <c r="AE725" i="34"/>
  <c r="AE519" i="34"/>
  <c r="AF550" i="34"/>
  <c r="AG550" i="34" s="1"/>
  <c r="AE723" i="34"/>
  <c r="AE745" i="34"/>
  <c r="AF745" i="34" s="1"/>
  <c r="AG745" i="34" s="1"/>
  <c r="AH625" i="34"/>
  <c r="AF771" i="34"/>
  <c r="AG771" i="34" s="1"/>
  <c r="AE694" i="34"/>
  <c r="AF694" i="34" s="1"/>
  <c r="AE726" i="34"/>
  <c r="AF726" i="34" s="1"/>
  <c r="AE780" i="34"/>
  <c r="AE761" i="34"/>
  <c r="AH873" i="34"/>
  <c r="AI899" i="34"/>
  <c r="AJ899" i="34" s="1"/>
  <c r="AK899" i="34" s="1"/>
  <c r="AH851" i="34"/>
  <c r="AI851" i="34" s="1"/>
  <c r="AJ875" i="34"/>
  <c r="AK875" i="34" s="1"/>
  <c r="AI900" i="34"/>
  <c r="AJ900" i="34" s="1"/>
  <c r="AK900" i="34" s="1"/>
  <c r="AE972" i="34"/>
  <c r="AF972" i="34" s="1"/>
  <c r="AG972" i="34" s="1"/>
  <c r="AI992" i="34"/>
  <c r="AJ992" i="34" s="1"/>
  <c r="AK992" i="34" s="1"/>
  <c r="AE996" i="34"/>
  <c r="AF983" i="34"/>
  <c r="AG983" i="34" s="1"/>
  <c r="AF991" i="34"/>
  <c r="AG991" i="34" s="1"/>
  <c r="AE1007" i="34"/>
  <c r="AH385" i="34"/>
  <c r="AH504" i="34"/>
  <c r="AI504" i="34" s="1"/>
  <c r="AH520" i="34"/>
  <c r="AI520" i="34" s="1"/>
  <c r="AJ520" i="34" s="1"/>
  <c r="AK520" i="34" s="1"/>
  <c r="AE540" i="34"/>
  <c r="AE715" i="34"/>
  <c r="AF715" i="34" s="1"/>
  <c r="AE732" i="34"/>
  <c r="AF732" i="34" s="1"/>
  <c r="AF706" i="34"/>
  <c r="AG706" i="34" s="1"/>
  <c r="AE515" i="34"/>
  <c r="AH585" i="34"/>
  <c r="AI585" i="34" s="1"/>
  <c r="AJ585" i="34" s="1"/>
  <c r="AK585" i="34" s="1"/>
  <c r="AG601" i="34"/>
  <c r="AH601" i="34" s="1"/>
  <c r="AH617" i="34"/>
  <c r="AI617" i="34" s="1"/>
  <c r="AJ617" i="34" s="1"/>
  <c r="AK617" i="34" s="1"/>
  <c r="AH621" i="34"/>
  <c r="AI621" i="34" s="1"/>
  <c r="AH720" i="34"/>
  <c r="AF598" i="34"/>
  <c r="AG598" i="34" s="1"/>
  <c r="AD614" i="34"/>
  <c r="AG762" i="34"/>
  <c r="AH794" i="34"/>
  <c r="AI794" i="34" s="1"/>
  <c r="AJ794" i="34" s="1"/>
  <c r="AK794" i="34" s="1"/>
  <c r="AJ871" i="34"/>
  <c r="AK871" i="34" s="1"/>
  <c r="AG944" i="34"/>
  <c r="AH955" i="34"/>
  <c r="AI1022" i="34"/>
  <c r="AJ1022" i="34" s="1"/>
  <c r="AK1022" i="34" s="1"/>
  <c r="AE1000" i="34"/>
  <c r="AF1000" i="34" s="1"/>
  <c r="AG127" i="34"/>
  <c r="AG106" i="34"/>
  <c r="AG156" i="34"/>
  <c r="AG205" i="34"/>
  <c r="AG458" i="34"/>
  <c r="AH92" i="34"/>
  <c r="AI92" i="34" s="1"/>
  <c r="AJ92" i="34" s="1"/>
  <c r="AK92" i="34" s="1"/>
  <c r="AJ634" i="34"/>
  <c r="AK634" i="34" s="1"/>
  <c r="AG800" i="34"/>
  <c r="AH800" i="34" s="1"/>
  <c r="AG119" i="34"/>
  <c r="AH119" i="34" s="1"/>
  <c r="AG136" i="34"/>
  <c r="AH136" i="34" s="1"/>
  <c r="AI136" i="34" s="1"/>
  <c r="AH342" i="34"/>
  <c r="AI342" i="34" s="1"/>
  <c r="AF277" i="34"/>
  <c r="AG277" i="34" s="1"/>
  <c r="AE779" i="34"/>
  <c r="AF779" i="34" s="1"/>
  <c r="AG779" i="34" s="1"/>
  <c r="AG497" i="34"/>
  <c r="AG529" i="34"/>
  <c r="AE753" i="34"/>
  <c r="AF753" i="34" s="1"/>
  <c r="AG753" i="34" s="1"/>
  <c r="AE455" i="34"/>
  <c r="AF613" i="34"/>
  <c r="AF533" i="34"/>
  <c r="AG533" i="34" s="1"/>
  <c r="AD563" i="34"/>
  <c r="AD709" i="34"/>
  <c r="AF569" i="34"/>
  <c r="AF582" i="34"/>
  <c r="AG582" i="34" s="1"/>
  <c r="AH624" i="34"/>
  <c r="AE691" i="34"/>
  <c r="AF691" i="34" s="1"/>
  <c r="AG544" i="34"/>
  <c r="AF576" i="34"/>
  <c r="AG576" i="34" s="1"/>
  <c r="AE711" i="34"/>
  <c r="AD727" i="34"/>
  <c r="AH827" i="34"/>
  <c r="AI827" i="34" s="1"/>
  <c r="AD881" i="34"/>
  <c r="AD880" i="34"/>
  <c r="AG938" i="34"/>
  <c r="AF946" i="34"/>
  <c r="AG1011" i="34"/>
  <c r="AH66" i="34"/>
  <c r="AI66" i="34" s="1"/>
  <c r="AF304" i="34"/>
  <c r="AG304" i="34" s="1"/>
  <c r="AD332" i="34"/>
  <c r="AH422" i="34"/>
  <c r="AG355" i="34"/>
  <c r="AG375" i="34"/>
  <c r="AF445" i="34"/>
  <c r="AG445" i="34" s="1"/>
  <c r="AG328" i="34"/>
  <c r="AF462" i="34"/>
  <c r="AF542" i="34"/>
  <c r="AF574" i="34"/>
  <c r="AG574" i="34" s="1"/>
  <c r="AG589" i="34"/>
  <c r="AF501" i="34"/>
  <c r="AG501" i="34" s="1"/>
  <c r="AE507" i="34"/>
  <c r="AE583" i="34"/>
  <c r="AF583" i="34" s="1"/>
  <c r="AF612" i="34"/>
  <c r="AG612" i="34" s="1"/>
  <c r="AG714" i="34"/>
  <c r="AF807" i="34"/>
  <c r="AG554" i="34"/>
  <c r="AH595" i="34"/>
  <c r="AG611" i="34"/>
  <c r="AH611" i="34" s="1"/>
  <c r="AH638" i="34"/>
  <c r="AI638" i="34" s="1"/>
  <c r="AH741" i="34"/>
  <c r="AI741" i="34" s="1"/>
  <c r="AE772" i="34"/>
  <c r="AF799" i="34"/>
  <c r="AI895" i="34"/>
  <c r="AJ895" i="34" s="1"/>
  <c r="AK895" i="34" s="1"/>
  <c r="AH935" i="34"/>
  <c r="AI935" i="34" s="1"/>
  <c r="AD945" i="34"/>
  <c r="AE958" i="34"/>
  <c r="AF999" i="34"/>
  <c r="AE68" i="34"/>
  <c r="AH169" i="34"/>
  <c r="AE94" i="34"/>
  <c r="AE103" i="34"/>
  <c r="AF103" i="34" s="1"/>
  <c r="AF120" i="34"/>
  <c r="AG120" i="34" s="1"/>
  <c r="AF246" i="34"/>
  <c r="AG246" i="34" s="1"/>
  <c r="AD382" i="34"/>
  <c r="AG428" i="34"/>
  <c r="AH428" i="34" s="1"/>
  <c r="AF444" i="34"/>
  <c r="AE368" i="34"/>
  <c r="AF442" i="34"/>
  <c r="AG442" i="34" s="1"/>
  <c r="AE370" i="34"/>
  <c r="AF370" i="34" s="1"/>
  <c r="AF325" i="34"/>
  <c r="AE391" i="34"/>
  <c r="AH451" i="34"/>
  <c r="AH498" i="34"/>
  <c r="AI498" i="34" s="1"/>
  <c r="AE471" i="34"/>
  <c r="AE565" i="34"/>
  <c r="AH644" i="34"/>
  <c r="AI644" i="34" s="1"/>
  <c r="AE573" i="34"/>
  <c r="AF739" i="34"/>
  <c r="AF755" i="34"/>
  <c r="AE702" i="34"/>
  <c r="AG765" i="34"/>
  <c r="AG804" i="34"/>
  <c r="AH804" i="34" s="1"/>
  <c r="AI804" i="34" s="1"/>
  <c r="AH859" i="34"/>
  <c r="AI911" i="34"/>
  <c r="AJ911" i="34" s="1"/>
  <c r="AK911" i="34" s="1"/>
  <c r="AH967" i="34"/>
  <c r="AI967" i="34" s="1"/>
  <c r="AD926" i="34"/>
  <c r="AD956" i="34"/>
  <c r="AE978" i="34"/>
  <c r="AF978" i="34" s="1"/>
  <c r="AH984" i="34"/>
  <c r="AE998" i="34"/>
  <c r="AF998" i="34" s="1"/>
  <c r="AF102" i="34"/>
  <c r="AF125" i="34"/>
  <c r="AG48" i="34"/>
  <c r="AH48" i="34" s="1"/>
  <c r="AG60" i="34"/>
  <c r="AH60" i="34" s="1"/>
  <c r="AD256" i="34"/>
  <c r="AH251" i="34"/>
  <c r="AF334" i="34"/>
  <c r="AH346" i="34"/>
  <c r="AI346" i="34" s="1"/>
  <c r="AH399" i="34"/>
  <c r="AI399" i="34" s="1"/>
  <c r="AF267" i="34"/>
  <c r="AD306" i="34"/>
  <c r="AF429" i="34"/>
  <c r="AG429" i="34" s="1"/>
  <c r="AD443" i="34"/>
  <c r="AG268" i="34"/>
  <c r="AH268" i="34" s="1"/>
  <c r="AF410" i="34"/>
  <c r="AG410" i="34" s="1"/>
  <c r="AG446" i="34"/>
  <c r="AG311" i="34"/>
  <c r="AH311" i="34" s="1"/>
  <c r="AF330" i="34"/>
  <c r="AF398" i="34"/>
  <c r="AG398" i="34" s="1"/>
  <c r="AF449" i="34"/>
  <c r="AH558" i="34"/>
  <c r="AI558" i="34" s="1"/>
  <c r="AD600" i="34"/>
  <c r="AF489" i="34"/>
  <c r="AG489" i="34" s="1"/>
  <c r="AF521" i="34"/>
  <c r="AH633" i="34"/>
  <c r="AI633" i="34" s="1"/>
  <c r="AH463" i="34"/>
  <c r="AF581" i="34"/>
  <c r="AH591" i="34"/>
  <c r="AG599" i="34"/>
  <c r="AD641" i="34"/>
  <c r="AF749" i="34"/>
  <c r="AG749" i="34" s="1"/>
  <c r="AG593" i="34"/>
  <c r="AH593" i="34" s="1"/>
  <c r="AH609" i="34"/>
  <c r="AG801" i="34"/>
  <c r="AF757" i="34"/>
  <c r="AH842" i="34"/>
  <c r="AF692" i="34"/>
  <c r="AG692" i="34" s="1"/>
  <c r="AF743" i="34"/>
  <c r="AG819" i="34"/>
  <c r="AH819" i="34" s="1"/>
  <c r="AG776" i="34"/>
  <c r="AH784" i="34"/>
  <c r="AI784" i="34" s="1"/>
  <c r="AG846" i="34"/>
  <c r="AH846" i="34" s="1"/>
  <c r="AG931" i="34"/>
  <c r="AF934" i="34"/>
  <c r="AD960" i="34"/>
  <c r="AG966" i="34"/>
  <c r="AH966" i="34" s="1"/>
  <c r="AG969" i="34"/>
  <c r="AH969" i="34" s="1"/>
  <c r="AD1009" i="34"/>
  <c r="AG1015" i="34"/>
  <c r="AH91" i="34"/>
  <c r="AI91" i="34" s="1"/>
  <c r="AF121" i="34"/>
  <c r="AG121" i="34" s="1"/>
  <c r="AG811" i="34"/>
  <c r="AH813" i="34"/>
  <c r="AI813" i="34" s="1"/>
  <c r="AG175" i="34"/>
  <c r="AH175" i="34" s="1"/>
  <c r="AH376" i="34"/>
  <c r="AH803" i="34"/>
  <c r="AI803" i="34" s="1"/>
  <c r="AF87" i="34"/>
  <c r="AG87" i="34" s="1"/>
  <c r="AF95" i="34"/>
  <c r="AG95" i="34" s="1"/>
  <c r="AH117" i="34"/>
  <c r="AH159" i="34"/>
  <c r="AI159" i="34" s="1"/>
  <c r="AH197" i="34"/>
  <c r="AI197" i="34" s="1"/>
  <c r="AG381" i="34"/>
  <c r="AH381" i="34" s="1"/>
  <c r="AH636" i="34"/>
  <c r="AI636" i="34" s="1"/>
  <c r="AG812" i="34"/>
  <c r="AF369" i="34"/>
  <c r="AF578" i="34"/>
  <c r="AG578" i="34" s="1"/>
  <c r="AG1002" i="34"/>
  <c r="AJ168" i="34" l="1"/>
  <c r="AK168" i="34" s="1"/>
  <c r="AI831" i="34"/>
  <c r="AJ831" i="34" s="1"/>
  <c r="AK831" i="34" s="1"/>
  <c r="AJ696" i="34"/>
  <c r="AK696" i="34" s="1"/>
  <c r="W401" i="23"/>
  <c r="AB128" i="22"/>
  <c r="AF96" i="34"/>
  <c r="AG96" i="34" s="1"/>
  <c r="AH488" i="34"/>
  <c r="AI488" i="34" s="1"/>
  <c r="AJ488" i="34" s="1"/>
  <c r="AK488" i="34" s="1"/>
  <c r="AH986" i="34"/>
  <c r="AI986" i="34" s="1"/>
  <c r="AI627" i="34"/>
  <c r="AJ627" i="34" s="1"/>
  <c r="AK627" i="34" s="1"/>
  <c r="AH496" i="34"/>
  <c r="AI496" i="34" s="1"/>
  <c r="AJ760" i="34"/>
  <c r="AK760" i="34" s="1"/>
  <c r="AH96" i="34"/>
  <c r="AI798" i="34"/>
  <c r="AJ798" i="34" s="1"/>
  <c r="AK798" i="34" s="1"/>
  <c r="AG486" i="34"/>
  <c r="AH486" i="34" s="1"/>
  <c r="AI486" i="34" s="1"/>
  <c r="AH787" i="34"/>
  <c r="AI787" i="34" s="1"/>
  <c r="AJ787" i="34" s="1"/>
  <c r="AK787" i="34" s="1"/>
  <c r="AI870" i="34"/>
  <c r="AJ870" i="34" s="1"/>
  <c r="AK870" i="34" s="1"/>
  <c r="AH781" i="34"/>
  <c r="AI781" i="34" s="1"/>
  <c r="AJ781" i="34" s="1"/>
  <c r="AK781" i="34" s="1"/>
  <c r="AG236" i="34"/>
  <c r="AH236" i="34" s="1"/>
  <c r="AH987" i="34"/>
  <c r="AI987" i="34" s="1"/>
  <c r="AI96" i="34"/>
  <c r="AJ96" i="34" s="1"/>
  <c r="AK96" i="34" s="1"/>
  <c r="AH990" i="34"/>
  <c r="AI990" i="34" s="1"/>
  <c r="AI53" i="34"/>
  <c r="AJ53" i="34" s="1"/>
  <c r="AK53" i="34" s="1"/>
  <c r="AF948" i="34"/>
  <c r="AF534" i="34"/>
  <c r="AG534" i="34" s="1"/>
  <c r="AF704" i="34"/>
  <c r="AE982" i="34"/>
  <c r="AF982" i="34" s="1"/>
  <c r="AG982" i="34" s="1"/>
  <c r="W1074" i="23"/>
  <c r="P1075" i="23" s="1"/>
  <c r="Q1075" i="23" s="1"/>
  <c r="W1075" i="23" s="1"/>
  <c r="P1076" i="23" s="1"/>
  <c r="Q1076" i="23" s="1"/>
  <c r="R1076" i="23" s="1"/>
  <c r="AH941" i="34"/>
  <c r="AI941" i="34" s="1"/>
  <c r="AJ941" i="34" s="1"/>
  <c r="AK941" i="34" s="1"/>
  <c r="AH655" i="34"/>
  <c r="AI655" i="34" s="1"/>
  <c r="AJ655" i="34" s="1"/>
  <c r="AK655" i="34" s="1"/>
  <c r="AJ961" i="34"/>
  <c r="AK961" i="34" s="1"/>
  <c r="AH506" i="34"/>
  <c r="AI506" i="34" s="1"/>
  <c r="AJ506" i="34" s="1"/>
  <c r="AK506" i="34" s="1"/>
  <c r="AF468" i="34"/>
  <c r="AG468" i="34" s="1"/>
  <c r="AH468" i="34" s="1"/>
  <c r="AI468" i="34" s="1"/>
  <c r="AE522" i="34"/>
  <c r="AF522" i="34" s="1"/>
  <c r="AG822" i="34"/>
  <c r="AH822" i="34" s="1"/>
  <c r="AF752" i="34"/>
  <c r="AI936" i="34"/>
  <c r="AJ936" i="34" s="1"/>
  <c r="AK936" i="34" s="1"/>
  <c r="AH933" i="34"/>
  <c r="AI933" i="34" s="1"/>
  <c r="AJ933" i="34" s="1"/>
  <c r="AK933" i="34" s="1"/>
  <c r="AH665" i="34"/>
  <c r="AI665" i="34" s="1"/>
  <c r="AJ665" i="34" s="1"/>
  <c r="AK665" i="34" s="1"/>
  <c r="AH649" i="34"/>
  <c r="AI649" i="34" s="1"/>
  <c r="AJ649" i="34" s="1"/>
  <c r="AK649" i="34" s="1"/>
  <c r="AJ603" i="34"/>
  <c r="AK603" i="34" s="1"/>
  <c r="AG438" i="34"/>
  <c r="AH438" i="34" s="1"/>
  <c r="AI438" i="34" s="1"/>
  <c r="AE937" i="34"/>
  <c r="AF937" i="34" s="1"/>
  <c r="AF810" i="34"/>
  <c r="AF725" i="34"/>
  <c r="AG725" i="34" s="1"/>
  <c r="AG826" i="34"/>
  <c r="AH826" i="34" s="1"/>
  <c r="AI826" i="34" s="1"/>
  <c r="AG487" i="34"/>
  <c r="AG580" i="34"/>
  <c r="AI436" i="34"/>
  <c r="AJ436" i="34" s="1"/>
  <c r="AK436" i="34" s="1"/>
  <c r="AH770" i="34"/>
  <c r="AI770" i="34" s="1"/>
  <c r="AJ770" i="34" s="1"/>
  <c r="AK770" i="34" s="1"/>
  <c r="AG144" i="34"/>
  <c r="AH144" i="34" s="1"/>
  <c r="AE766" i="34"/>
  <c r="AF766" i="34" s="1"/>
  <c r="AH782" i="34"/>
  <c r="AI782" i="34" s="1"/>
  <c r="AF517" i="34"/>
  <c r="AH775" i="34"/>
  <c r="AI775" i="34" s="1"/>
  <c r="AH924" i="34"/>
  <c r="AI924" i="34" s="1"/>
  <c r="AJ924" i="34" s="1"/>
  <c r="AK924" i="34" s="1"/>
  <c r="AG474" i="34"/>
  <c r="AH474" i="34" s="1"/>
  <c r="AG181" i="34"/>
  <c r="AH181" i="34" s="1"/>
  <c r="AI181" i="34" s="1"/>
  <c r="AJ181" i="34" s="1"/>
  <c r="AK181" i="34" s="1"/>
  <c r="AI235" i="34"/>
  <c r="AJ235" i="34" s="1"/>
  <c r="AK235" i="34" s="1"/>
  <c r="AI232" i="34"/>
  <c r="AJ232" i="34" s="1"/>
  <c r="AK232" i="34" s="1"/>
  <c r="AF713" i="34"/>
  <c r="AG713" i="34" s="1"/>
  <c r="AG477" i="34"/>
  <c r="AH477" i="34" s="1"/>
  <c r="AF780" i="34"/>
  <c r="AG780" i="34" s="1"/>
  <c r="AH780" i="34" s="1"/>
  <c r="AG759" i="34"/>
  <c r="AH759" i="34" s="1"/>
  <c r="AF519" i="34"/>
  <c r="AG519" i="34" s="1"/>
  <c r="AH519" i="34" s="1"/>
  <c r="AI519" i="34" s="1"/>
  <c r="AJ519" i="34" s="1"/>
  <c r="AK519" i="34" s="1"/>
  <c r="AF495" i="34"/>
  <c r="AG495" i="34" s="1"/>
  <c r="AH495" i="34" s="1"/>
  <c r="AI495" i="34" s="1"/>
  <c r="AJ495" i="34" s="1"/>
  <c r="AK495" i="34" s="1"/>
  <c r="AH538" i="34"/>
  <c r="AI538" i="34" s="1"/>
  <c r="AJ538" i="34" s="1"/>
  <c r="AK538" i="34" s="1"/>
  <c r="AF105" i="34"/>
  <c r="AG105" i="34" s="1"/>
  <c r="AH105" i="34" s="1"/>
  <c r="AI105" i="34" s="1"/>
  <c r="AJ105" i="34" s="1"/>
  <c r="AK105" i="34" s="1"/>
  <c r="AG980" i="34"/>
  <c r="AH980" i="34" s="1"/>
  <c r="AI980" i="34" s="1"/>
  <c r="AJ496" i="34"/>
  <c r="AK496" i="34" s="1"/>
  <c r="AJ167" i="34"/>
  <c r="AK167" i="34" s="1"/>
  <c r="AJ700" i="34"/>
  <c r="AK700" i="34" s="1"/>
  <c r="AD920" i="34"/>
  <c r="AJ849" i="34"/>
  <c r="AK849" i="34" s="1"/>
  <c r="AG571" i="34"/>
  <c r="AH571" i="34" s="1"/>
  <c r="AI571" i="34" s="1"/>
  <c r="AF49" i="34"/>
  <c r="AG49" i="34" s="1"/>
  <c r="AJ432" i="34"/>
  <c r="AK432" i="34" s="1"/>
  <c r="AH584" i="34"/>
  <c r="AI584" i="34" s="1"/>
  <c r="AG817" i="34"/>
  <c r="AH817" i="34" s="1"/>
  <c r="AE979" i="34"/>
  <c r="AF979" i="34" s="1"/>
  <c r="AF791" i="34"/>
  <c r="AG791" i="34" s="1"/>
  <c r="AE126" i="34"/>
  <c r="AF126" i="34" s="1"/>
  <c r="AG516" i="34"/>
  <c r="AH516" i="34" s="1"/>
  <c r="AI516" i="34" s="1"/>
  <c r="AJ516" i="34" s="1"/>
  <c r="AK516" i="34" s="1"/>
  <c r="AE773" i="34"/>
  <c r="AF773" i="34" s="1"/>
  <c r="AG773" i="34" s="1"/>
  <c r="AH580" i="34"/>
  <c r="AI580" i="34" s="1"/>
  <c r="AJ580" i="34" s="1"/>
  <c r="AK580" i="34" s="1"/>
  <c r="AJ159" i="34"/>
  <c r="AK159" i="34" s="1"/>
  <c r="AJ813" i="34"/>
  <c r="AK813" i="34" s="1"/>
  <c r="AJ399" i="34"/>
  <c r="AK399" i="34" s="1"/>
  <c r="AJ804" i="34"/>
  <c r="AK804" i="34" s="1"/>
  <c r="AF565" i="34"/>
  <c r="AG565" i="34" s="1"/>
  <c r="AJ305" i="34"/>
  <c r="AK305" i="34" s="1"/>
  <c r="AF68" i="34"/>
  <c r="AG68" i="34" s="1"/>
  <c r="AJ638" i="34"/>
  <c r="AK638" i="34" s="1"/>
  <c r="AJ553" i="34"/>
  <c r="AK553" i="34" s="1"/>
  <c r="AG435" i="34"/>
  <c r="AJ342" i="34"/>
  <c r="AK342" i="34" s="1"/>
  <c r="AF540" i="34"/>
  <c r="AG540" i="34" s="1"/>
  <c r="AG384" i="34"/>
  <c r="AG1016" i="34"/>
  <c r="AJ262" i="34"/>
  <c r="AK262" i="34" s="1"/>
  <c r="AJ837" i="34"/>
  <c r="AK837" i="34" s="1"/>
  <c r="AG459" i="34"/>
  <c r="AI116" i="34"/>
  <c r="AJ116" i="34" s="1"/>
  <c r="AK116" i="34" s="1"/>
  <c r="AF976" i="34"/>
  <c r="AG976" i="34" s="1"/>
  <c r="AH976" i="34" s="1"/>
  <c r="AJ514" i="34"/>
  <c r="AK514" i="34" s="1"/>
  <c r="AJ100" i="34"/>
  <c r="AK100" i="34" s="1"/>
  <c r="AF1004" i="34"/>
  <c r="AG1004" i="34" s="1"/>
  <c r="AH1004" i="34" s="1"/>
  <c r="AI1004" i="34" s="1"/>
  <c r="AF940" i="34"/>
  <c r="AG940" i="34" s="1"/>
  <c r="AH940" i="34" s="1"/>
  <c r="AI940" i="34" s="1"/>
  <c r="AI642" i="34"/>
  <c r="AJ642" i="34" s="1"/>
  <c r="AK642" i="34" s="1"/>
  <c r="AG421" i="34"/>
  <c r="AH421" i="34" s="1"/>
  <c r="AI421" i="34" s="1"/>
  <c r="AG402" i="34"/>
  <c r="AJ74" i="34"/>
  <c r="AK74" i="34" s="1"/>
  <c r="AJ307" i="34"/>
  <c r="AK307" i="34" s="1"/>
  <c r="AJ148" i="34"/>
  <c r="AK148" i="34" s="1"/>
  <c r="AJ566" i="34"/>
  <c r="AK566" i="34" s="1"/>
  <c r="AF790" i="34"/>
  <c r="AG790" i="34" s="1"/>
  <c r="AI653" i="34"/>
  <c r="AJ653" i="34" s="1"/>
  <c r="AK653" i="34" s="1"/>
  <c r="AF143" i="34"/>
  <c r="AG137" i="34"/>
  <c r="AJ200" i="34"/>
  <c r="AK200" i="34" s="1"/>
  <c r="AI648" i="34"/>
  <c r="AJ648" i="34" s="1"/>
  <c r="AK648" i="34" s="1"/>
  <c r="AE767" i="34"/>
  <c r="AF767" i="34" s="1"/>
  <c r="AH656" i="34"/>
  <c r="AI656" i="34" s="1"/>
  <c r="AE118" i="34"/>
  <c r="AF118" i="34" s="1"/>
  <c r="AF825" i="34"/>
  <c r="AG825" i="34" s="1"/>
  <c r="AE122" i="34"/>
  <c r="AF122" i="34" s="1"/>
  <c r="AJ50" i="34"/>
  <c r="AK50" i="34" s="1"/>
  <c r="AG978" i="34"/>
  <c r="AH978" i="34" s="1"/>
  <c r="AJ266" i="34"/>
  <c r="AK266" i="34" s="1"/>
  <c r="AG572" i="34"/>
  <c r="AH572" i="34" s="1"/>
  <c r="AI572" i="34" s="1"/>
  <c r="AI132" i="34"/>
  <c r="AJ132" i="34" s="1"/>
  <c r="AK132" i="34" s="1"/>
  <c r="AH544" i="34"/>
  <c r="AI544" i="34" s="1"/>
  <c r="AJ544" i="34" s="1"/>
  <c r="AK544" i="34" s="1"/>
  <c r="AJ932" i="34"/>
  <c r="AK932" i="34" s="1"/>
  <c r="AJ629" i="34"/>
  <c r="AK629" i="34" s="1"/>
  <c r="AJ528" i="34"/>
  <c r="AK528" i="34" s="1"/>
  <c r="AG89" i="34"/>
  <c r="AH89" i="34" s="1"/>
  <c r="AE518" i="34"/>
  <c r="AH657" i="34"/>
  <c r="AI657" i="34" s="1"/>
  <c r="AJ657" i="34" s="1"/>
  <c r="AK657" i="34" s="1"/>
  <c r="AE783" i="34"/>
  <c r="AF783" i="34" s="1"/>
  <c r="AE778" i="34"/>
  <c r="AF778" i="34" s="1"/>
  <c r="AG778" i="34" s="1"/>
  <c r="AH626" i="34"/>
  <c r="AI626" i="34" s="1"/>
  <c r="AJ626" i="34" s="1"/>
  <c r="AK626" i="34" s="1"/>
  <c r="AJ741" i="34"/>
  <c r="AK741" i="34" s="1"/>
  <c r="AJ879" i="34"/>
  <c r="AK879" i="34" s="1"/>
  <c r="AG90" i="34"/>
  <c r="AH90" i="34" s="1"/>
  <c r="AI90" i="34" s="1"/>
  <c r="AG417" i="34"/>
  <c r="AH417" i="34" s="1"/>
  <c r="AI417" i="34" s="1"/>
  <c r="AG278" i="34"/>
  <c r="AH278" i="34" s="1"/>
  <c r="AI278" i="34" s="1"/>
  <c r="AH570" i="34"/>
  <c r="AG326" i="34"/>
  <c r="AH326" i="34" s="1"/>
  <c r="AI326" i="34" s="1"/>
  <c r="AF437" i="34"/>
  <c r="AG437" i="34" s="1"/>
  <c r="AH437" i="34" s="1"/>
  <c r="AH1003" i="34"/>
  <c r="AI640" i="34"/>
  <c r="AJ640" i="34" s="1"/>
  <c r="AK640" i="34" s="1"/>
  <c r="AI864" i="34"/>
  <c r="AJ864" i="34" s="1"/>
  <c r="AK864" i="34" s="1"/>
  <c r="AF380" i="34"/>
  <c r="AG380" i="34" s="1"/>
  <c r="AH380" i="34" s="1"/>
  <c r="AJ549" i="34"/>
  <c r="AK549" i="34" s="1"/>
  <c r="AJ430" i="34"/>
  <c r="AK430" i="34" s="1"/>
  <c r="AG461" i="34"/>
  <c r="AH461" i="34" s="1"/>
  <c r="AI661" i="34"/>
  <c r="AJ661" i="34" s="1"/>
  <c r="AK661" i="34" s="1"/>
  <c r="AH669" i="34"/>
  <c r="AI669" i="34" s="1"/>
  <c r="AH61" i="34"/>
  <c r="AI61" i="34" s="1"/>
  <c r="AJ61" i="34" s="1"/>
  <c r="AK61" i="34" s="1"/>
  <c r="AE466" i="34"/>
  <c r="AF466" i="34" s="1"/>
  <c r="AE763" i="34"/>
  <c r="AF763" i="34" s="1"/>
  <c r="AG763" i="34" s="1"/>
  <c r="AI891" i="34"/>
  <c r="AJ891" i="34" s="1"/>
  <c r="AK891" i="34" s="1"/>
  <c r="AE403" i="34"/>
  <c r="AF403" i="34" s="1"/>
  <c r="AG403" i="34" s="1"/>
  <c r="AF963" i="34"/>
  <c r="AF548" i="34"/>
  <c r="W1595" i="23"/>
  <c r="P1596" i="23" s="1"/>
  <c r="Q1596" i="23" s="1"/>
  <c r="W1596" i="23" s="1"/>
  <c r="P1597" i="23" s="1"/>
  <c r="Q1597" i="23" s="1"/>
  <c r="W1597" i="23" s="1"/>
  <c r="P1598" i="23" s="1"/>
  <c r="Q1598" i="23" s="1"/>
  <c r="R1616" i="23"/>
  <c r="U1616" i="23" s="1"/>
  <c r="U1615" i="23"/>
  <c r="W1615" i="23" s="1"/>
  <c r="P1616" i="23" s="1"/>
  <c r="Q1616" i="23" s="1"/>
  <c r="W371" i="23"/>
  <c r="P372" i="23" s="1"/>
  <c r="Q372" i="23" s="1"/>
  <c r="W372" i="23" s="1"/>
  <c r="P373" i="23" s="1"/>
  <c r="Q373" i="23" s="1"/>
  <c r="W373" i="23" s="1"/>
  <c r="P374" i="23" s="1"/>
  <c r="Q374" i="23" s="1"/>
  <c r="W374" i="23" s="1"/>
  <c r="P375" i="23" s="1"/>
  <c r="Q375" i="23" s="1"/>
  <c r="R375" i="23" s="1"/>
  <c r="AG769" i="34"/>
  <c r="AG423" i="34"/>
  <c r="AH423" i="34" s="1"/>
  <c r="AI423" i="34" s="1"/>
  <c r="AH988" i="34"/>
  <c r="AI988" i="34" s="1"/>
  <c r="AJ988" i="34" s="1"/>
  <c r="AK988" i="34" s="1"/>
  <c r="AH407" i="34"/>
  <c r="AI407" i="34" s="1"/>
  <c r="AJ407" i="34" s="1"/>
  <c r="AK407" i="34" s="1"/>
  <c r="AG710" i="34"/>
  <c r="AJ108" i="34"/>
  <c r="AK108" i="34" s="1"/>
  <c r="AJ967" i="34"/>
  <c r="AK967" i="34" s="1"/>
  <c r="AH182" i="34"/>
  <c r="AI182" i="34" s="1"/>
  <c r="AH434" i="34"/>
  <c r="AI434" i="34" s="1"/>
  <c r="AJ434" i="34" s="1"/>
  <c r="AK434" i="34" s="1"/>
  <c r="AH981" i="34"/>
  <c r="AI981" i="34" s="1"/>
  <c r="AJ981" i="34" s="1"/>
  <c r="AK981" i="34" s="1"/>
  <c r="AH524" i="34"/>
  <c r="AI524" i="34" s="1"/>
  <c r="AJ530" i="34"/>
  <c r="AK530" i="34" s="1"/>
  <c r="AG998" i="34"/>
  <c r="AH234" i="34"/>
  <c r="AI234" i="34" s="1"/>
  <c r="AJ234" i="34" s="1"/>
  <c r="AK234" i="34" s="1"/>
  <c r="AH993" i="34"/>
  <c r="AI993" i="34" s="1"/>
  <c r="AJ558" i="34"/>
  <c r="AK558" i="34" s="1"/>
  <c r="AJ346" i="34"/>
  <c r="AK346" i="34" s="1"/>
  <c r="AH973" i="34"/>
  <c r="AI973" i="34" s="1"/>
  <c r="AJ973" i="34" s="1"/>
  <c r="AK973" i="34" s="1"/>
  <c r="AH923" i="34"/>
  <c r="AI923" i="34" s="1"/>
  <c r="AH93" i="34"/>
  <c r="AI93" i="34" s="1"/>
  <c r="AG921" i="34"/>
  <c r="AH557" i="34"/>
  <c r="AI557" i="34" s="1"/>
  <c r="AJ557" i="34" s="1"/>
  <c r="AK557" i="34" s="1"/>
  <c r="AJ498" i="34"/>
  <c r="AK498" i="34" s="1"/>
  <c r="AJ140" i="34"/>
  <c r="AK140" i="34" s="1"/>
  <c r="AI117" i="34"/>
  <c r="AJ117" i="34" s="1"/>
  <c r="AK117" i="34" s="1"/>
  <c r="AI376" i="34"/>
  <c r="AJ376" i="34" s="1"/>
  <c r="AK376" i="34" s="1"/>
  <c r="AE960" i="34"/>
  <c r="AH801" i="34"/>
  <c r="AF707" i="34"/>
  <c r="AI609" i="34"/>
  <c r="AJ609" i="34" s="1"/>
  <c r="AK609" i="34" s="1"/>
  <c r="AI463" i="34"/>
  <c r="AJ463" i="34" s="1"/>
  <c r="AK463" i="34" s="1"/>
  <c r="AG521" i="34"/>
  <c r="AE443" i="34"/>
  <c r="AF443" i="34" s="1"/>
  <c r="AI251" i="34"/>
  <c r="AJ251" i="34" s="1"/>
  <c r="AK251" i="34" s="1"/>
  <c r="AI48" i="34"/>
  <c r="AJ48" i="34" s="1"/>
  <c r="AK48" i="34" s="1"/>
  <c r="AI984" i="34"/>
  <c r="AJ984" i="34" s="1"/>
  <c r="AK984" i="34" s="1"/>
  <c r="AG948" i="34"/>
  <c r="AI859" i="34"/>
  <c r="AJ859" i="34" s="1"/>
  <c r="AK859" i="34" s="1"/>
  <c r="AH721" i="34"/>
  <c r="AI721" i="34" s="1"/>
  <c r="AJ721" i="34" s="1"/>
  <c r="AK721" i="34" s="1"/>
  <c r="AF471" i="34"/>
  <c r="AG471" i="34" s="1"/>
  <c r="AG415" i="34"/>
  <c r="AH415" i="34" s="1"/>
  <c r="AI415" i="34" s="1"/>
  <c r="AG370" i="34"/>
  <c r="AH370" i="34" s="1"/>
  <c r="AI370" i="34" s="1"/>
  <c r="AI335" i="34"/>
  <c r="AJ335" i="34" s="1"/>
  <c r="AK335" i="34" s="1"/>
  <c r="AG103" i="34"/>
  <c r="AE945" i="34"/>
  <c r="AF772" i="34"/>
  <c r="AG772" i="34" s="1"/>
  <c r="AG807" i="34"/>
  <c r="AH807" i="34" s="1"/>
  <c r="AI807" i="34" s="1"/>
  <c r="AG583" i="34"/>
  <c r="AI422" i="34"/>
  <c r="AJ422" i="34" s="1"/>
  <c r="AK422" i="34" s="1"/>
  <c r="AF196" i="34"/>
  <c r="AG196" i="34" s="1"/>
  <c r="AH881" i="34"/>
  <c r="AI881" i="34" s="1"/>
  <c r="AF711" i="34"/>
  <c r="AG711" i="34" s="1"/>
  <c r="AH711" i="34" s="1"/>
  <c r="AF695" i="34"/>
  <c r="AG695" i="34" s="1"/>
  <c r="AE709" i="34"/>
  <c r="AF455" i="34"/>
  <c r="AG455" i="34" s="1"/>
  <c r="AH753" i="34"/>
  <c r="AI753" i="34" s="1"/>
  <c r="AJ753" i="34" s="1"/>
  <c r="AK753" i="34" s="1"/>
  <c r="AG447" i="34"/>
  <c r="AH447" i="34" s="1"/>
  <c r="AI447" i="34" s="1"/>
  <c r="AG404" i="34"/>
  <c r="AH404" i="34" s="1"/>
  <c r="AI404" i="34" s="1"/>
  <c r="AJ136" i="34"/>
  <c r="AK136" i="34" s="1"/>
  <c r="AH1002" i="34"/>
  <c r="AI1002" i="34" s="1"/>
  <c r="AJ1002" i="34" s="1"/>
  <c r="AK1002" i="34" s="1"/>
  <c r="AH95" i="34"/>
  <c r="AI95" i="34" s="1"/>
  <c r="AJ95" i="34" s="1"/>
  <c r="AK95" i="34" s="1"/>
  <c r="AG1000" i="34"/>
  <c r="AH1000" i="34" s="1"/>
  <c r="AI1000" i="34" s="1"/>
  <c r="AI874" i="34"/>
  <c r="AJ874" i="34" s="1"/>
  <c r="AK874" i="34" s="1"/>
  <c r="AH598" i="34"/>
  <c r="AI598" i="34" s="1"/>
  <c r="AJ598" i="34" s="1"/>
  <c r="AK598" i="34" s="1"/>
  <c r="AF515" i="34"/>
  <c r="AG515" i="34" s="1"/>
  <c r="AF483" i="34"/>
  <c r="AG483" i="34" s="1"/>
  <c r="AJ621" i="34"/>
  <c r="AK621" i="34" s="1"/>
  <c r="AI485" i="34"/>
  <c r="AJ485" i="34" s="1"/>
  <c r="AK485" i="34" s="1"/>
  <c r="AG732" i="34"/>
  <c r="AH732" i="34" s="1"/>
  <c r="AI732" i="34" s="1"/>
  <c r="AH431" i="34"/>
  <c r="AI431" i="34" s="1"/>
  <c r="AF1007" i="34"/>
  <c r="AG1007" i="34" s="1"/>
  <c r="AJ851" i="34"/>
  <c r="AK851" i="34" s="1"/>
  <c r="AI873" i="34"/>
  <c r="AJ873" i="34" s="1"/>
  <c r="AK873" i="34" s="1"/>
  <c r="AF761" i="34"/>
  <c r="AG726" i="34"/>
  <c r="AH726" i="34" s="1"/>
  <c r="AI726" i="34" s="1"/>
  <c r="AJ726" i="34" s="1"/>
  <c r="AK726" i="34" s="1"/>
  <c r="AG694" i="34"/>
  <c r="AH694" i="34" s="1"/>
  <c r="AI694" i="34" s="1"/>
  <c r="AJ694" i="34" s="1"/>
  <c r="AK694" i="34" s="1"/>
  <c r="AI625" i="34"/>
  <c r="AJ625" i="34" s="1"/>
  <c r="AK625" i="34" s="1"/>
  <c r="AF555" i="34"/>
  <c r="AH745" i="34"/>
  <c r="AI745" i="34" s="1"/>
  <c r="AJ745" i="34" s="1"/>
  <c r="AK745" i="34" s="1"/>
  <c r="AH487" i="34"/>
  <c r="AI487" i="34" s="1"/>
  <c r="AJ487" i="34" s="1"/>
  <c r="AK487" i="34" s="1"/>
  <c r="AF531" i="34"/>
  <c r="AG531" i="34" s="1"/>
  <c r="AH531" i="34" s="1"/>
  <c r="AI531" i="34" s="1"/>
  <c r="AF577" i="34"/>
  <c r="AG577" i="34" s="1"/>
  <c r="AF475" i="34"/>
  <c r="AG475" i="34" s="1"/>
  <c r="AH475" i="34" s="1"/>
  <c r="AI475" i="34" s="1"/>
  <c r="AG457" i="34"/>
  <c r="AH457" i="34" s="1"/>
  <c r="AI457" i="34" s="1"/>
  <c r="AF356" i="34"/>
  <c r="AF257" i="34"/>
  <c r="AG257" i="34" s="1"/>
  <c r="AH101" i="34"/>
  <c r="AI101" i="34" s="1"/>
  <c r="AJ101" i="34" s="1"/>
  <c r="AK101" i="34" s="1"/>
  <c r="AI169" i="34"/>
  <c r="AJ169" i="34" s="1"/>
  <c r="AK169" i="34" s="1"/>
  <c r="AH985" i="34"/>
  <c r="AI985" i="34" s="1"/>
  <c r="AJ985" i="34" s="1"/>
  <c r="AK985" i="34" s="1"/>
  <c r="AF947" i="34"/>
  <c r="AH844" i="34"/>
  <c r="AI844" i="34" s="1"/>
  <c r="AG740" i="34"/>
  <c r="AE758" i="34"/>
  <c r="AF758" i="34" s="1"/>
  <c r="AH586" i="34"/>
  <c r="AI586" i="34" s="1"/>
  <c r="AJ586" i="34" s="1"/>
  <c r="AK586" i="34" s="1"/>
  <c r="AH589" i="34"/>
  <c r="AH304" i="34"/>
  <c r="AI304" i="34" s="1"/>
  <c r="AJ304" i="34" s="1"/>
  <c r="AK304" i="34" s="1"/>
  <c r="AF922" i="34"/>
  <c r="AH527" i="34"/>
  <c r="AI527" i="34" s="1"/>
  <c r="AJ527" i="34" s="1"/>
  <c r="AK527" i="34" s="1"/>
  <c r="AG348" i="34"/>
  <c r="AI357" i="34"/>
  <c r="AJ357" i="34" s="1"/>
  <c r="AK357" i="34" s="1"/>
  <c r="AI124" i="34"/>
  <c r="AJ124" i="34" s="1"/>
  <c r="AK124" i="34" s="1"/>
  <c r="AH107" i="34"/>
  <c r="AI107" i="34" s="1"/>
  <c r="AJ66" i="34"/>
  <c r="AK66" i="34" s="1"/>
  <c r="AI800" i="34"/>
  <c r="AJ800" i="34" s="1"/>
  <c r="AK800" i="34" s="1"/>
  <c r="AI381" i="34"/>
  <c r="AJ381" i="34" s="1"/>
  <c r="AK381" i="34" s="1"/>
  <c r="AI175" i="34"/>
  <c r="AJ175" i="34" s="1"/>
  <c r="AK175" i="34" s="1"/>
  <c r="AH121" i="34"/>
  <c r="AF1005" i="34"/>
  <c r="AG1005" i="34" s="1"/>
  <c r="AH1005" i="34" s="1"/>
  <c r="AI1005" i="34" s="1"/>
  <c r="AI846" i="34"/>
  <c r="AJ846" i="34" s="1"/>
  <c r="AK846" i="34" s="1"/>
  <c r="AF764" i="34"/>
  <c r="AG764" i="34" s="1"/>
  <c r="AG756" i="34"/>
  <c r="AF547" i="34"/>
  <c r="AG547" i="34" s="1"/>
  <c r="AH547" i="34" s="1"/>
  <c r="AI547" i="34" s="1"/>
  <c r="AH706" i="34"/>
  <c r="AI706" i="34" s="1"/>
  <c r="AJ706" i="34" s="1"/>
  <c r="AK706" i="34" s="1"/>
  <c r="AG575" i="34"/>
  <c r="AH575" i="34" s="1"/>
  <c r="AI575" i="34" s="1"/>
  <c r="AG543" i="34"/>
  <c r="AF1013" i="34"/>
  <c r="AG1013" i="34" s="1"/>
  <c r="AH1013" i="34" s="1"/>
  <c r="AI1013" i="34" s="1"/>
  <c r="AH1020" i="34"/>
  <c r="AI1020" i="34" s="1"/>
  <c r="AJ1020" i="34" s="1"/>
  <c r="AK1020" i="34" s="1"/>
  <c r="AH845" i="34"/>
  <c r="AG797" i="34"/>
  <c r="AF718" i="34"/>
  <c r="AG718" i="34" s="1"/>
  <c r="AF686" i="34"/>
  <c r="AG686" i="34" s="1"/>
  <c r="AG755" i="34"/>
  <c r="AF689" i="34"/>
  <c r="AG689" i="34" s="1"/>
  <c r="AI645" i="34"/>
  <c r="AJ645" i="34" s="1"/>
  <c r="AK645" i="34" s="1"/>
  <c r="AH550" i="34"/>
  <c r="AI550" i="34" s="1"/>
  <c r="AF722" i="34"/>
  <c r="AG722" i="34" s="1"/>
  <c r="AJ504" i="34"/>
  <c r="AK504" i="34" s="1"/>
  <c r="AF390" i="34"/>
  <c r="AF968" i="34"/>
  <c r="AG968" i="34" s="1"/>
  <c r="AE943" i="34"/>
  <c r="AH735" i="34"/>
  <c r="AH554" i="34"/>
  <c r="AI554" i="34" s="1"/>
  <c r="AJ554" i="34" s="1"/>
  <c r="AK554" i="34" s="1"/>
  <c r="AH588" i="34"/>
  <c r="AI588" i="34" s="1"/>
  <c r="AJ588" i="34" s="1"/>
  <c r="AK588" i="34" s="1"/>
  <c r="AF523" i="34"/>
  <c r="AG523" i="34" s="1"/>
  <c r="AF491" i="34"/>
  <c r="AG491" i="34" s="1"/>
  <c r="AH501" i="34"/>
  <c r="AI501" i="34" s="1"/>
  <c r="AJ501" i="34" s="1"/>
  <c r="AK501" i="34" s="1"/>
  <c r="AH597" i="34"/>
  <c r="AI597" i="34" s="1"/>
  <c r="AJ597" i="34" s="1"/>
  <c r="AK597" i="34" s="1"/>
  <c r="AF396" i="34"/>
  <c r="AH387" i="34"/>
  <c r="AI387" i="34" s="1"/>
  <c r="AJ387" i="34" s="1"/>
  <c r="AK387" i="34" s="1"/>
  <c r="AE1001" i="34"/>
  <c r="AF1001" i="34" s="1"/>
  <c r="AH747" i="34"/>
  <c r="AI747" i="34" s="1"/>
  <c r="AJ747" i="34" s="1"/>
  <c r="AK747" i="34" s="1"/>
  <c r="AH716" i="34"/>
  <c r="AI716" i="34" s="1"/>
  <c r="AJ716" i="34" s="1"/>
  <c r="AK716" i="34" s="1"/>
  <c r="AI630" i="34"/>
  <c r="AJ630" i="34" s="1"/>
  <c r="AK630" i="34" s="1"/>
  <c r="AE419" i="34"/>
  <c r="AF419" i="34" s="1"/>
  <c r="AH348" i="34"/>
  <c r="AI348" i="34" s="1"/>
  <c r="AF456" i="34"/>
  <c r="AG456" i="34" s="1"/>
  <c r="AF99" i="34"/>
  <c r="AH812" i="34"/>
  <c r="AI812" i="34" s="1"/>
  <c r="AJ812" i="34" s="1"/>
  <c r="AK812" i="34" s="1"/>
  <c r="AI814" i="34"/>
  <c r="AJ814" i="34" s="1"/>
  <c r="AK814" i="34" s="1"/>
  <c r="AH156" i="34"/>
  <c r="AI156" i="34" s="1"/>
  <c r="AJ156" i="34" s="1"/>
  <c r="AK156" i="34" s="1"/>
  <c r="AI966" i="34"/>
  <c r="AH776" i="34"/>
  <c r="AI776" i="34" s="1"/>
  <c r="AJ776" i="34" s="1"/>
  <c r="AK776" i="34" s="1"/>
  <c r="AI819" i="34"/>
  <c r="AJ819" i="34" s="1"/>
  <c r="AK819" i="34" s="1"/>
  <c r="AH590" i="34"/>
  <c r="AI590" i="34" s="1"/>
  <c r="AJ590" i="34" s="1"/>
  <c r="AK590" i="34" s="1"/>
  <c r="AI601" i="34"/>
  <c r="AH499" i="34"/>
  <c r="AI499" i="34" s="1"/>
  <c r="AJ499" i="34" s="1"/>
  <c r="AK499" i="34" s="1"/>
  <c r="AI615" i="34"/>
  <c r="AJ615" i="34" s="1"/>
  <c r="AK615" i="34" s="1"/>
  <c r="AH562" i="34"/>
  <c r="AF469" i="34"/>
  <c r="AG469" i="34" s="1"/>
  <c r="AF465" i="34"/>
  <c r="AG465" i="34" s="1"/>
  <c r="AI268" i="34"/>
  <c r="AJ268" i="34" s="1"/>
  <c r="AK268" i="34" s="1"/>
  <c r="AI60" i="34"/>
  <c r="AG1014" i="34"/>
  <c r="AH1014" i="34" s="1"/>
  <c r="AI1014" i="34" s="1"/>
  <c r="AF962" i="34"/>
  <c r="AG962" i="34" s="1"/>
  <c r="AH948" i="34"/>
  <c r="AH765" i="34"/>
  <c r="AI765" i="34" s="1"/>
  <c r="AJ765" i="34" s="1"/>
  <c r="AK765" i="34" s="1"/>
  <c r="AF541" i="34"/>
  <c r="AG541" i="34" s="1"/>
  <c r="AG795" i="34"/>
  <c r="AF537" i="34"/>
  <c r="AG537" i="34" s="1"/>
  <c r="AH737" i="34"/>
  <c r="AI737" i="34" s="1"/>
  <c r="AJ737" i="34" s="1"/>
  <c r="AK737" i="34" s="1"/>
  <c r="AH616" i="34"/>
  <c r="AI616" i="34" s="1"/>
  <c r="AJ616" i="34" s="1"/>
  <c r="AK616" i="34" s="1"/>
  <c r="AJ480" i="34"/>
  <c r="AK480" i="34" s="1"/>
  <c r="AH265" i="34"/>
  <c r="AI265" i="34" s="1"/>
  <c r="AJ265" i="34" s="1"/>
  <c r="AK265" i="34" s="1"/>
  <c r="AI327" i="34"/>
  <c r="AJ327" i="34" s="1"/>
  <c r="AK327" i="34" s="1"/>
  <c r="AI428" i="34"/>
  <c r="AJ428" i="34" s="1"/>
  <c r="AK428" i="34" s="1"/>
  <c r="AH191" i="34"/>
  <c r="AI191" i="34" s="1"/>
  <c r="AH67" i="34"/>
  <c r="AI950" i="34"/>
  <c r="AJ950" i="34" s="1"/>
  <c r="AK950" i="34" s="1"/>
  <c r="AH860" i="34"/>
  <c r="AI860" i="34" s="1"/>
  <c r="AI619" i="34"/>
  <c r="AJ619" i="34" s="1"/>
  <c r="AK619" i="34" s="1"/>
  <c r="AF610" i="34"/>
  <c r="AG610" i="34" s="1"/>
  <c r="AG559" i="34"/>
  <c r="AI413" i="34"/>
  <c r="AJ413" i="34" s="1"/>
  <c r="AK413" i="34" s="1"/>
  <c r="AG997" i="34"/>
  <c r="AH1011" i="34"/>
  <c r="AH995" i="34"/>
  <c r="AI995" i="34" s="1"/>
  <c r="AG964" i="34"/>
  <c r="AH964" i="34" s="1"/>
  <c r="AI964" i="34" s="1"/>
  <c r="AI848" i="34"/>
  <c r="AJ848" i="34" s="1"/>
  <c r="AK848" i="34" s="1"/>
  <c r="AH793" i="34"/>
  <c r="AI793" i="34" s="1"/>
  <c r="AJ793" i="34" s="1"/>
  <c r="AK793" i="34" s="1"/>
  <c r="AF705" i="34"/>
  <c r="AG705" i="34" s="1"/>
  <c r="AF535" i="34"/>
  <c r="AG535" i="34" s="1"/>
  <c r="AH511" i="34"/>
  <c r="AI511" i="34" s="1"/>
  <c r="AJ511" i="34" s="1"/>
  <c r="AK511" i="34" s="1"/>
  <c r="AH479" i="34"/>
  <c r="AI479" i="34" s="1"/>
  <c r="AJ479" i="34" s="1"/>
  <c r="AK479" i="34" s="1"/>
  <c r="AF472" i="34"/>
  <c r="AE400" i="34"/>
  <c r="AF400" i="34" s="1"/>
  <c r="AG267" i="34"/>
  <c r="AH267" i="34" s="1"/>
  <c r="AJ935" i="34"/>
  <c r="AK935" i="34" s="1"/>
  <c r="AJ1019" i="34"/>
  <c r="AK1019" i="34" s="1"/>
  <c r="AJ607" i="34"/>
  <c r="AK607" i="34" s="1"/>
  <c r="AI385" i="34"/>
  <c r="AJ385" i="34" s="1"/>
  <c r="AK385" i="34" s="1"/>
  <c r="AJ70" i="34"/>
  <c r="AK70" i="34" s="1"/>
  <c r="AG125" i="34"/>
  <c r="AH125" i="34" s="1"/>
  <c r="AJ513" i="34"/>
  <c r="AK513" i="34" s="1"/>
  <c r="AI397" i="34"/>
  <c r="AJ397" i="34" s="1"/>
  <c r="AK397" i="34" s="1"/>
  <c r="AJ587" i="34"/>
  <c r="AK587" i="34" s="1"/>
  <c r="AI712" i="34"/>
  <c r="AG970" i="34"/>
  <c r="AI490" i="34"/>
  <c r="AJ490" i="34" s="1"/>
  <c r="AK490" i="34" s="1"/>
  <c r="AG334" i="34"/>
  <c r="AJ803" i="34"/>
  <c r="AK803" i="34" s="1"/>
  <c r="AI414" i="34"/>
  <c r="AJ414" i="34" s="1"/>
  <c r="AK414" i="34" s="1"/>
  <c r="AE1009" i="34"/>
  <c r="AF1009" i="34" s="1"/>
  <c r="AI801" i="34"/>
  <c r="AJ801" i="34" s="1"/>
  <c r="AK801" i="34" s="1"/>
  <c r="AI591" i="34"/>
  <c r="AJ591" i="34" s="1"/>
  <c r="AK591" i="34" s="1"/>
  <c r="AE306" i="34"/>
  <c r="AF306" i="34" s="1"/>
  <c r="AH998" i="34"/>
  <c r="AI998" i="34" s="1"/>
  <c r="AE956" i="34"/>
  <c r="AF956" i="34" s="1"/>
  <c r="AG956" i="34" s="1"/>
  <c r="AF573" i="34"/>
  <c r="AJ644" i="34"/>
  <c r="AK644" i="34" s="1"/>
  <c r="AI481" i="34"/>
  <c r="AJ481" i="34" s="1"/>
  <c r="AK481" i="34" s="1"/>
  <c r="AI451" i="34"/>
  <c r="AJ451" i="34" s="1"/>
  <c r="AK451" i="34" s="1"/>
  <c r="AF368" i="34"/>
  <c r="AF94" i="34"/>
  <c r="AI595" i="34"/>
  <c r="AJ595" i="34" s="1"/>
  <c r="AK595" i="34" s="1"/>
  <c r="AH596" i="34"/>
  <c r="AF507" i="34"/>
  <c r="AG507" i="34" s="1"/>
  <c r="AF476" i="34"/>
  <c r="AG476" i="34" s="1"/>
  <c r="AE727" i="34"/>
  <c r="AG691" i="34"/>
  <c r="AH691" i="34" s="1"/>
  <c r="AI624" i="34"/>
  <c r="AJ624" i="34" s="1"/>
  <c r="AK624" i="34" s="1"/>
  <c r="AE563" i="34"/>
  <c r="AG613" i="34"/>
  <c r="AH779" i="34"/>
  <c r="AH435" i="34"/>
  <c r="AI435" i="34" s="1"/>
  <c r="AF412" i="34"/>
  <c r="AG412" i="34" s="1"/>
  <c r="AH277" i="34"/>
  <c r="AI277" i="34" s="1"/>
  <c r="AI965" i="34"/>
  <c r="AJ965" i="34" s="1"/>
  <c r="AK965" i="34" s="1"/>
  <c r="AH811" i="34"/>
  <c r="AI811" i="34" s="1"/>
  <c r="AJ811" i="34" s="1"/>
  <c r="AK811" i="34" s="1"/>
  <c r="AG757" i="34"/>
  <c r="AH757" i="34" s="1"/>
  <c r="AG715" i="34"/>
  <c r="AF473" i="34"/>
  <c r="AG473" i="34" s="1"/>
  <c r="AF454" i="34"/>
  <c r="AH398" i="34"/>
  <c r="AI398" i="34" s="1"/>
  <c r="AJ398" i="34" s="1"/>
  <c r="AK398" i="34" s="1"/>
  <c r="AH410" i="34"/>
  <c r="AH972" i="34"/>
  <c r="AI972" i="34" s="1"/>
  <c r="AH701" i="34"/>
  <c r="AF723" i="34"/>
  <c r="AH592" i="34"/>
  <c r="AI592" i="34" s="1"/>
  <c r="AH769" i="34"/>
  <c r="AI769" i="34" s="1"/>
  <c r="AH384" i="34"/>
  <c r="AI384" i="34" s="1"/>
  <c r="AF406" i="34"/>
  <c r="AH1016" i="34"/>
  <c r="AH602" i="34"/>
  <c r="AI602" i="34" s="1"/>
  <c r="AG748" i="34"/>
  <c r="AH458" i="34"/>
  <c r="AI458" i="34" s="1"/>
  <c r="AJ458" i="34" s="1"/>
  <c r="AK458" i="34" s="1"/>
  <c r="AH355" i="34"/>
  <c r="AI355" i="34" s="1"/>
  <c r="AJ355" i="34" s="1"/>
  <c r="AK355" i="34" s="1"/>
  <c r="AG946" i="34"/>
  <c r="AH946" i="34" s="1"/>
  <c r="AI829" i="34"/>
  <c r="AJ829" i="34" s="1"/>
  <c r="AK829" i="34" s="1"/>
  <c r="AH576" i="34"/>
  <c r="AI576" i="34" s="1"/>
  <c r="AJ576" i="34" s="1"/>
  <c r="AK576" i="34" s="1"/>
  <c r="AF539" i="34"/>
  <c r="AH582" i="34"/>
  <c r="AI582" i="34" s="1"/>
  <c r="AJ582" i="34" s="1"/>
  <c r="AK582" i="34" s="1"/>
  <c r="AF561" i="34"/>
  <c r="AH529" i="34"/>
  <c r="AH459" i="34"/>
  <c r="AI459" i="34" s="1"/>
  <c r="AI426" i="34"/>
  <c r="AJ426" i="34" s="1"/>
  <c r="AK426" i="34" s="1"/>
  <c r="AF441" i="34"/>
  <c r="AI405" i="34"/>
  <c r="AJ405" i="34" s="1"/>
  <c r="AK405" i="34" s="1"/>
  <c r="AE240" i="34"/>
  <c r="AI121" i="34"/>
  <c r="AJ121" i="34" s="1"/>
  <c r="AK121" i="34" s="1"/>
  <c r="AH750" i="34"/>
  <c r="AI750" i="34" s="1"/>
  <c r="AJ601" i="34"/>
  <c r="AK601" i="34" s="1"/>
  <c r="AH489" i="34"/>
  <c r="AI489" i="34" s="1"/>
  <c r="AJ489" i="34" s="1"/>
  <c r="AK489" i="34" s="1"/>
  <c r="AH329" i="34"/>
  <c r="AF951" i="34"/>
  <c r="AH830" i="34"/>
  <c r="AI830" i="34" s="1"/>
  <c r="AH792" i="34"/>
  <c r="AI792" i="34" s="1"/>
  <c r="AH815" i="34"/>
  <c r="AI815" i="34" s="1"/>
  <c r="AG739" i="34"/>
  <c r="AG752" i="34"/>
  <c r="AH752" i="34" s="1"/>
  <c r="AG744" i="34"/>
  <c r="AE377" i="34"/>
  <c r="AF377" i="34" s="1"/>
  <c r="AF354" i="34"/>
  <c r="AH246" i="34"/>
  <c r="AI246" i="34" s="1"/>
  <c r="AJ246" i="34" s="1"/>
  <c r="AK246" i="34" s="1"/>
  <c r="AH785" i="34"/>
  <c r="AI785" i="34" s="1"/>
  <c r="AI611" i="34"/>
  <c r="AJ611" i="34" s="1"/>
  <c r="AK611" i="34" s="1"/>
  <c r="AH714" i="34"/>
  <c r="AI714" i="34" s="1"/>
  <c r="AJ714" i="34" s="1"/>
  <c r="AK714" i="34" s="1"/>
  <c r="AH604" i="34"/>
  <c r="AI604" i="34" s="1"/>
  <c r="AI460" i="34"/>
  <c r="AJ460" i="34" s="1"/>
  <c r="AK460" i="34" s="1"/>
  <c r="AF556" i="34"/>
  <c r="AH433" i="34"/>
  <c r="AI433" i="34" s="1"/>
  <c r="AH427" i="34"/>
  <c r="AI427" i="34" s="1"/>
  <c r="AF1008" i="34"/>
  <c r="AJ954" i="34"/>
  <c r="AK954" i="34" s="1"/>
  <c r="AG703" i="34"/>
  <c r="AG687" i="34"/>
  <c r="AF754" i="34"/>
  <c r="AF728" i="34"/>
  <c r="AG728" i="34" s="1"/>
  <c r="AH605" i="34"/>
  <c r="AI605" i="34" s="1"/>
  <c r="AF699" i="34"/>
  <c r="AH440" i="34"/>
  <c r="AI440" i="34" s="1"/>
  <c r="AH386" i="34"/>
  <c r="AI386" i="34" s="1"/>
  <c r="AH269" i="34"/>
  <c r="AI269" i="34" s="1"/>
  <c r="AE392" i="34"/>
  <c r="AH1010" i="34"/>
  <c r="AI1010" i="34" s="1"/>
  <c r="AJ1010" i="34" s="1"/>
  <c r="AK1010" i="34" s="1"/>
  <c r="AJ509" i="34"/>
  <c r="AK509" i="34" s="1"/>
  <c r="AH450" i="34"/>
  <c r="AI450" i="34" s="1"/>
  <c r="AJ450" i="34" s="1"/>
  <c r="AK450" i="34" s="1"/>
  <c r="AH1015" i="34"/>
  <c r="AI953" i="34"/>
  <c r="AJ953" i="34" s="1"/>
  <c r="AK953" i="34" s="1"/>
  <c r="AH762" i="34"/>
  <c r="AI762" i="34" s="1"/>
  <c r="AJ762" i="34" s="1"/>
  <c r="AK762" i="34" s="1"/>
  <c r="AH606" i="34"/>
  <c r="AH551" i="34"/>
  <c r="AH446" i="34"/>
  <c r="AI446" i="34" s="1"/>
  <c r="AH991" i="34"/>
  <c r="AI991" i="34" s="1"/>
  <c r="AJ986" i="34"/>
  <c r="AK986" i="34" s="1"/>
  <c r="AH710" i="34"/>
  <c r="AI710" i="34" s="1"/>
  <c r="AH823" i="34"/>
  <c r="AI823" i="34" s="1"/>
  <c r="AH820" i="34"/>
  <c r="AI820" i="34" s="1"/>
  <c r="AF698" i="34"/>
  <c r="AH809" i="34"/>
  <c r="AI809" i="34" s="1"/>
  <c r="AF464" i="34"/>
  <c r="AG464" i="34" s="1"/>
  <c r="AJ512" i="34"/>
  <c r="AK512" i="34" s="1"/>
  <c r="AE467" i="34"/>
  <c r="AF467" i="34" s="1"/>
  <c r="AH402" i="34"/>
  <c r="AI402" i="34" s="1"/>
  <c r="AF176" i="34"/>
  <c r="AE697" i="34"/>
  <c r="AF697" i="34" s="1"/>
  <c r="AG697" i="34" s="1"/>
  <c r="AF594" i="34"/>
  <c r="AH579" i="34"/>
  <c r="AI579" i="34" s="1"/>
  <c r="AI623" i="34"/>
  <c r="AJ623" i="34" s="1"/>
  <c r="AK623" i="34" s="1"/>
  <c r="AH328" i="34"/>
  <c r="AI328" i="34" s="1"/>
  <c r="AJ328" i="34" s="1"/>
  <c r="AK328" i="34" s="1"/>
  <c r="AH375" i="34"/>
  <c r="AI1003" i="34"/>
  <c r="AJ1003" i="34" s="1"/>
  <c r="AK1003" i="34" s="1"/>
  <c r="AF949" i="34"/>
  <c r="AG949" i="34" s="1"/>
  <c r="AH938" i="34"/>
  <c r="AI938" i="34" s="1"/>
  <c r="AH847" i="34"/>
  <c r="AG746" i="34"/>
  <c r="AH816" i="34"/>
  <c r="AI816" i="34" s="1"/>
  <c r="AG347" i="34"/>
  <c r="AG330" i="34"/>
  <c r="AH330" i="34" s="1"/>
  <c r="AI720" i="34"/>
  <c r="AJ720" i="34" s="1"/>
  <c r="AK720" i="34" s="1"/>
  <c r="AG333" i="34"/>
  <c r="AH333" i="34" s="1"/>
  <c r="AI119" i="34"/>
  <c r="AJ119" i="34" s="1"/>
  <c r="AK119" i="34" s="1"/>
  <c r="AJ966" i="34"/>
  <c r="AK966" i="34" s="1"/>
  <c r="AG581" i="34"/>
  <c r="AG462" i="34"/>
  <c r="AI955" i="34"/>
  <c r="AJ955" i="34" s="1"/>
  <c r="AK955" i="34" s="1"/>
  <c r="AH944" i="34"/>
  <c r="AG934" i="34"/>
  <c r="AH934" i="34" s="1"/>
  <c r="AG449" i="34"/>
  <c r="AG102" i="34"/>
  <c r="AG444" i="34"/>
  <c r="AI777" i="34"/>
  <c r="AJ777" i="34" s="1"/>
  <c r="AK777" i="34" s="1"/>
  <c r="AG569" i="34"/>
  <c r="AH569" i="34" s="1"/>
  <c r="AJ91" i="34"/>
  <c r="AK91" i="34" s="1"/>
  <c r="AH641" i="34"/>
  <c r="AI641" i="34" s="1"/>
  <c r="AE256" i="34"/>
  <c r="AJ60" i="34"/>
  <c r="AK60" i="34" s="1"/>
  <c r="AE926" i="34"/>
  <c r="AE382" i="34"/>
  <c r="AH612" i="34"/>
  <c r="AI612" i="34" s="1"/>
  <c r="AH583" i="34"/>
  <c r="AI583" i="34" s="1"/>
  <c r="AH880" i="34"/>
  <c r="AH87" i="34"/>
  <c r="AI969" i="34"/>
  <c r="AJ969" i="34" s="1"/>
  <c r="AK969" i="34" s="1"/>
  <c r="AD930" i="34"/>
  <c r="AH692" i="34"/>
  <c r="AI692" i="34" s="1"/>
  <c r="AF614" i="34"/>
  <c r="AG614" i="34" s="1"/>
  <c r="AH599" i="34"/>
  <c r="AI599" i="34" s="1"/>
  <c r="AJ599" i="34" s="1"/>
  <c r="AK599" i="34" s="1"/>
  <c r="AH608" i="34"/>
  <c r="AI608" i="34" s="1"/>
  <c r="AJ608" i="34" s="1"/>
  <c r="AK608" i="34" s="1"/>
  <c r="AI410" i="34"/>
  <c r="AJ410" i="34" s="1"/>
  <c r="AK410" i="34" s="1"/>
  <c r="AH237" i="34"/>
  <c r="AI237" i="34" s="1"/>
  <c r="AJ237" i="34" s="1"/>
  <c r="AK237" i="34" s="1"/>
  <c r="AH635" i="34"/>
  <c r="AI635" i="34" s="1"/>
  <c r="AJ635" i="34" s="1"/>
  <c r="AK635" i="34" s="1"/>
  <c r="AH574" i="34"/>
  <c r="AI574" i="34" s="1"/>
  <c r="AJ574" i="34" s="1"/>
  <c r="AK574" i="34" s="1"/>
  <c r="AH445" i="34"/>
  <c r="AI445" i="34" s="1"/>
  <c r="AJ445" i="34" s="1"/>
  <c r="AK445" i="34" s="1"/>
  <c r="AE717" i="34"/>
  <c r="AH533" i="34"/>
  <c r="AI533" i="34" s="1"/>
  <c r="AI529" i="34"/>
  <c r="AJ529" i="34" s="1"/>
  <c r="AK529" i="34" s="1"/>
  <c r="AE394" i="34"/>
  <c r="AF394" i="34" s="1"/>
  <c r="AI593" i="34"/>
  <c r="AJ593" i="34" s="1"/>
  <c r="AK593" i="34" s="1"/>
  <c r="AI311" i="34"/>
  <c r="AJ311" i="34" s="1"/>
  <c r="AK311" i="34" s="1"/>
  <c r="AJ994" i="34"/>
  <c r="AK994" i="34" s="1"/>
  <c r="AH797" i="34"/>
  <c r="AI797" i="34" s="1"/>
  <c r="AD685" i="34"/>
  <c r="AE567" i="34"/>
  <c r="AJ712" i="34"/>
  <c r="AK712" i="34" s="1"/>
  <c r="AH751" i="34"/>
  <c r="AH708" i="34"/>
  <c r="AI708" i="34" s="1"/>
  <c r="AH731" i="34"/>
  <c r="AI731" i="34" s="1"/>
  <c r="AE736" i="34"/>
  <c r="AF736" i="34" s="1"/>
  <c r="AG736" i="34" s="1"/>
  <c r="AE174" i="34"/>
  <c r="AH205" i="34"/>
  <c r="AH106" i="34"/>
  <c r="AI106" i="34" s="1"/>
  <c r="AH939" i="34"/>
  <c r="AI939" i="34" s="1"/>
  <c r="AJ939" i="34" s="1"/>
  <c r="AK939" i="34" s="1"/>
  <c r="AH852" i="34"/>
  <c r="AI852" i="34" s="1"/>
  <c r="AI570" i="34"/>
  <c r="AJ570" i="34" s="1"/>
  <c r="AK570" i="34" s="1"/>
  <c r="AH749" i="34"/>
  <c r="AH788" i="34"/>
  <c r="AI788" i="34" s="1"/>
  <c r="AE738" i="34"/>
  <c r="AF738" i="34" s="1"/>
  <c r="AG325" i="34"/>
  <c r="AH325" i="34" s="1"/>
  <c r="AH439" i="34"/>
  <c r="AE925" i="34"/>
  <c r="AE730" i="34"/>
  <c r="AI375" i="34"/>
  <c r="AJ375" i="34" s="1"/>
  <c r="AK375" i="34" s="1"/>
  <c r="AG1018" i="34"/>
  <c r="AH997" i="34"/>
  <c r="AI997" i="34" s="1"/>
  <c r="AE453" i="34"/>
  <c r="AJ987" i="34"/>
  <c r="AK987" i="34" s="1"/>
  <c r="AJ420" i="34"/>
  <c r="AK420" i="34" s="1"/>
  <c r="AJ784" i="34"/>
  <c r="AK784" i="34" s="1"/>
  <c r="AG418" i="34"/>
  <c r="AI796" i="34"/>
  <c r="AJ796" i="34" s="1"/>
  <c r="AK796" i="34" s="1"/>
  <c r="AG411" i="34"/>
  <c r="AG369" i="34"/>
  <c r="AG999" i="34"/>
  <c r="AG338" i="34"/>
  <c r="AJ971" i="34"/>
  <c r="AK971" i="34" s="1"/>
  <c r="AJ636" i="34"/>
  <c r="AK636" i="34" s="1"/>
  <c r="AJ197" i="34"/>
  <c r="AK197" i="34" s="1"/>
  <c r="AJ331" i="34"/>
  <c r="AK331" i="34" s="1"/>
  <c r="AG743" i="34"/>
  <c r="AI842" i="34"/>
  <c r="AJ842" i="34" s="1"/>
  <c r="AK842" i="34" s="1"/>
  <c r="AG707" i="34"/>
  <c r="AH707" i="34" s="1"/>
  <c r="AJ633" i="34"/>
  <c r="AK633" i="34" s="1"/>
  <c r="AF600" i="34"/>
  <c r="AG600" i="34" s="1"/>
  <c r="AI416" i="34"/>
  <c r="AJ416" i="34" s="1"/>
  <c r="AK416" i="34" s="1"/>
  <c r="AI241" i="34"/>
  <c r="AJ241" i="34" s="1"/>
  <c r="AK241" i="34" s="1"/>
  <c r="AF702" i="34"/>
  <c r="AF391" i="34"/>
  <c r="AG391" i="34" s="1"/>
  <c r="AH103" i="34"/>
  <c r="AI103" i="34" s="1"/>
  <c r="AF958" i="34"/>
  <c r="AG799" i="34"/>
  <c r="AH628" i="34"/>
  <c r="AI628" i="34" s="1"/>
  <c r="AF408" i="34"/>
  <c r="AE332" i="34"/>
  <c r="AF332" i="34" s="1"/>
  <c r="AH1017" i="34"/>
  <c r="AI1017" i="34" s="1"/>
  <c r="AJ827" i="34"/>
  <c r="AK827" i="34" s="1"/>
  <c r="AI424" i="34"/>
  <c r="AJ424" i="34" s="1"/>
  <c r="AK424" i="34" s="1"/>
  <c r="AI87" i="34"/>
  <c r="AH127" i="34"/>
  <c r="AI127" i="34" s="1"/>
  <c r="AJ127" i="34" s="1"/>
  <c r="AK127" i="34" s="1"/>
  <c r="AH429" i="34"/>
  <c r="AI429" i="34" s="1"/>
  <c r="AF1012" i="34"/>
  <c r="AG1012" i="34" s="1"/>
  <c r="AF996" i="34"/>
  <c r="AG761" i="34"/>
  <c r="AH761" i="34" s="1"/>
  <c r="AH257" i="34"/>
  <c r="AI257" i="34" s="1"/>
  <c r="AF86" i="34"/>
  <c r="AF974" i="34"/>
  <c r="AG947" i="34"/>
  <c r="AH740" i="34"/>
  <c r="AI740" i="34" s="1"/>
  <c r="AF618" i="34"/>
  <c r="AI589" i="34"/>
  <c r="AH840" i="34"/>
  <c r="AI840" i="34" s="1"/>
  <c r="AH497" i="34"/>
  <c r="AI497" i="34" s="1"/>
  <c r="AJ497" i="34" s="1"/>
  <c r="AK497" i="34" s="1"/>
  <c r="AG409" i="34"/>
  <c r="AH409" i="34" s="1"/>
  <c r="AH578" i="34"/>
  <c r="AI578" i="34" s="1"/>
  <c r="AH756" i="34"/>
  <c r="AE742" i="34"/>
  <c r="AH521" i="34"/>
  <c r="AI521" i="34" s="1"/>
  <c r="AH543" i="34"/>
  <c r="AD12" i="34"/>
  <c r="AF545" i="34"/>
  <c r="AG545" i="34" s="1"/>
  <c r="AF287" i="34"/>
  <c r="AG287" i="34" s="1"/>
  <c r="AH442" i="34"/>
  <c r="AH120" i="34"/>
  <c r="AF620" i="34"/>
  <c r="AG620" i="34" s="1"/>
  <c r="AE719" i="34"/>
  <c r="AF789" i="34"/>
  <c r="AG789" i="34" s="1"/>
  <c r="AG493" i="34"/>
  <c r="AF324" i="34"/>
  <c r="AF425" i="34"/>
  <c r="AE109" i="34"/>
  <c r="AG99" i="34"/>
  <c r="AH931" i="34"/>
  <c r="AH862" i="34"/>
  <c r="AI862" i="34" s="1"/>
  <c r="AI749" i="34"/>
  <c r="AH452" i="34"/>
  <c r="AI452" i="34" s="1"/>
  <c r="AJ323" i="34"/>
  <c r="AK323" i="34" s="1"/>
  <c r="AH983" i="34"/>
  <c r="AH828" i="34"/>
  <c r="AI828" i="34" s="1"/>
  <c r="AH755" i="34"/>
  <c r="AH771" i="34"/>
  <c r="AH795" i="34"/>
  <c r="AI795" i="34" s="1"/>
  <c r="AE503" i="34"/>
  <c r="AE693" i="34"/>
  <c r="AE734" i="34"/>
  <c r="AF734" i="34" s="1"/>
  <c r="AH559" i="34"/>
  <c r="AJ388" i="34"/>
  <c r="AK388" i="34" s="1"/>
  <c r="AH921" i="34"/>
  <c r="AI921" i="34" s="1"/>
  <c r="AG806" i="34"/>
  <c r="AH806" i="34" s="1"/>
  <c r="AG542" i="34"/>
  <c r="AH542" i="34" s="1"/>
  <c r="AJ808" i="34"/>
  <c r="AK808" i="34" s="1"/>
  <c r="AI774" i="34"/>
  <c r="AJ774" i="34" s="1"/>
  <c r="AK774" i="34" s="1"/>
  <c r="AE920" i="34" l="1"/>
  <c r="U1076" i="23"/>
  <c r="W1076" i="23" s="1"/>
  <c r="P1077" i="23" s="1"/>
  <c r="Q1077" i="23" s="1"/>
  <c r="R1077" i="23"/>
  <c r="U1077" i="23" s="1"/>
  <c r="U375" i="23"/>
  <c r="W375" i="23" s="1"/>
  <c r="P376" i="23" s="1"/>
  <c r="Q376" i="23" s="1"/>
  <c r="R376" i="23"/>
  <c r="AH465" i="34"/>
  <c r="AI465" i="34" s="1"/>
  <c r="AI236" i="34"/>
  <c r="AJ236" i="34" s="1"/>
  <c r="AK236" i="34" s="1"/>
  <c r="AD11" i="34"/>
  <c r="AJ486" i="34"/>
  <c r="AK486" i="34" s="1"/>
  <c r="AH469" i="34"/>
  <c r="AI469" i="34" s="1"/>
  <c r="AG390" i="34"/>
  <c r="AH534" i="34"/>
  <c r="AI534" i="34" s="1"/>
  <c r="AJ534" i="34" s="1"/>
  <c r="AK534" i="34" s="1"/>
  <c r="AJ990" i="34"/>
  <c r="AK990" i="34" s="1"/>
  <c r="AH718" i="34"/>
  <c r="AI718" i="34" s="1"/>
  <c r="AI569" i="34"/>
  <c r="AJ569" i="34" s="1"/>
  <c r="AK569" i="34" s="1"/>
  <c r="AI757" i="34"/>
  <c r="AH968" i="34"/>
  <c r="AI968" i="34" s="1"/>
  <c r="AH982" i="34"/>
  <c r="AI982" i="34" s="1"/>
  <c r="AJ982" i="34" s="1"/>
  <c r="AK982" i="34" s="1"/>
  <c r="AG704" i="34"/>
  <c r="AH704" i="34" s="1"/>
  <c r="AI704" i="34" s="1"/>
  <c r="AJ704" i="34" s="1"/>
  <c r="AK704" i="34" s="1"/>
  <c r="AI948" i="34"/>
  <c r="AI461" i="34"/>
  <c r="AJ461" i="34" s="1"/>
  <c r="AK461" i="34" s="1"/>
  <c r="AG443" i="34"/>
  <c r="AH443" i="34" s="1"/>
  <c r="AI443" i="34" s="1"/>
  <c r="AG522" i="34"/>
  <c r="AH522" i="34" s="1"/>
  <c r="AI522" i="34" s="1"/>
  <c r="AJ522" i="34" s="1"/>
  <c r="AK522" i="34" s="1"/>
  <c r="AJ438" i="34"/>
  <c r="AK438" i="34" s="1"/>
  <c r="AG937" i="34"/>
  <c r="AH937" i="34" s="1"/>
  <c r="AG466" i="34"/>
  <c r="AH466" i="34" s="1"/>
  <c r="AI466" i="34" s="1"/>
  <c r="AJ466" i="34" s="1"/>
  <c r="AK466" i="34" s="1"/>
  <c r="AJ782" i="34"/>
  <c r="AK782" i="34" s="1"/>
  <c r="AG810" i="34"/>
  <c r="AH810" i="34" s="1"/>
  <c r="AI822" i="34"/>
  <c r="AJ822" i="34" s="1"/>
  <c r="AK822" i="34" s="1"/>
  <c r="AH725" i="34"/>
  <c r="AI725" i="34" s="1"/>
  <c r="AJ725" i="34" s="1"/>
  <c r="AK725" i="34" s="1"/>
  <c r="AF503" i="34"/>
  <c r="AG503" i="34" s="1"/>
  <c r="AH503" i="34" s="1"/>
  <c r="AI503" i="34" s="1"/>
  <c r="AE12" i="34"/>
  <c r="AG1009" i="34"/>
  <c r="AH1009" i="34" s="1"/>
  <c r="AI1009" i="34" s="1"/>
  <c r="AI144" i="34"/>
  <c r="AJ144" i="34" s="1"/>
  <c r="AK144" i="34" s="1"/>
  <c r="AF960" i="34"/>
  <c r="AG960" i="34" s="1"/>
  <c r="AH960" i="34" s="1"/>
  <c r="AI960" i="34" s="1"/>
  <c r="AI817" i="34"/>
  <c r="AJ817" i="34" s="1"/>
  <c r="AK817" i="34" s="1"/>
  <c r="AG766" i="34"/>
  <c r="AH766" i="34" s="1"/>
  <c r="AI766" i="34" s="1"/>
  <c r="AI474" i="34"/>
  <c r="AJ474" i="34" s="1"/>
  <c r="AK474" i="34" s="1"/>
  <c r="AG517" i="34"/>
  <c r="AH517" i="34" s="1"/>
  <c r="AJ826" i="34"/>
  <c r="AK826" i="34" s="1"/>
  <c r="AG1001" i="34"/>
  <c r="AH1001" i="34" s="1"/>
  <c r="AI1001" i="34" s="1"/>
  <c r="AJ1001" i="34" s="1"/>
  <c r="AK1001" i="34" s="1"/>
  <c r="AJ775" i="34"/>
  <c r="AK775" i="34" s="1"/>
  <c r="AG122" i="34"/>
  <c r="AH122" i="34" s="1"/>
  <c r="AI122" i="34" s="1"/>
  <c r="AH565" i="34"/>
  <c r="AI565" i="34" s="1"/>
  <c r="AH540" i="34"/>
  <c r="AI540" i="34" s="1"/>
  <c r="AH49" i="34"/>
  <c r="AI49" i="34" s="1"/>
  <c r="AJ49" i="34" s="1"/>
  <c r="AK49" i="34" s="1"/>
  <c r="AH68" i="34"/>
  <c r="AI68" i="34" s="1"/>
  <c r="AG126" i="34"/>
  <c r="AH126" i="34" s="1"/>
  <c r="AI126" i="34" s="1"/>
  <c r="AJ126" i="34" s="1"/>
  <c r="AK126" i="34" s="1"/>
  <c r="AH713" i="34"/>
  <c r="AI713" i="34" s="1"/>
  <c r="AJ862" i="34"/>
  <c r="AK862" i="34" s="1"/>
  <c r="AJ628" i="34"/>
  <c r="AK628" i="34" s="1"/>
  <c r="AJ749" i="34"/>
  <c r="AK749" i="34" s="1"/>
  <c r="AJ852" i="34"/>
  <c r="AK852" i="34" s="1"/>
  <c r="AJ823" i="34"/>
  <c r="AK823" i="34" s="1"/>
  <c r="AJ792" i="34"/>
  <c r="AK792" i="34" s="1"/>
  <c r="AJ277" i="34"/>
  <c r="AK277" i="34" s="1"/>
  <c r="AJ860" i="34"/>
  <c r="AK860" i="34" s="1"/>
  <c r="AJ589" i="34"/>
  <c r="AK589" i="34" s="1"/>
  <c r="AJ475" i="34"/>
  <c r="AK475" i="34" s="1"/>
  <c r="AJ431" i="34"/>
  <c r="AK431" i="34" s="1"/>
  <c r="AH763" i="34"/>
  <c r="AI763" i="34" s="1"/>
  <c r="AJ763" i="34" s="1"/>
  <c r="AK763" i="34" s="1"/>
  <c r="AH778" i="34"/>
  <c r="AI778" i="34" s="1"/>
  <c r="AJ778" i="34" s="1"/>
  <c r="AK778" i="34" s="1"/>
  <c r="AH790" i="34"/>
  <c r="AI790" i="34" s="1"/>
  <c r="AJ790" i="34" s="1"/>
  <c r="AK790" i="34" s="1"/>
  <c r="AJ584" i="34"/>
  <c r="AK584" i="34" s="1"/>
  <c r="AF109" i="34"/>
  <c r="AG109" i="34" s="1"/>
  <c r="AH109" i="34" s="1"/>
  <c r="AI109" i="34" s="1"/>
  <c r="AF174" i="34"/>
  <c r="AG174" i="34" s="1"/>
  <c r="AJ533" i="34"/>
  <c r="AK533" i="34" s="1"/>
  <c r="AJ938" i="34"/>
  <c r="AK938" i="34" s="1"/>
  <c r="AJ278" i="34"/>
  <c r="AK278" i="34" s="1"/>
  <c r="AI125" i="34"/>
  <c r="AJ125" i="34" s="1"/>
  <c r="AK125" i="34" s="1"/>
  <c r="AG419" i="34"/>
  <c r="AI755" i="34"/>
  <c r="AJ755" i="34" s="1"/>
  <c r="AK755" i="34" s="1"/>
  <c r="AJ1005" i="34"/>
  <c r="AK1005" i="34" s="1"/>
  <c r="AJ404" i="34"/>
  <c r="AK404" i="34" s="1"/>
  <c r="AJ993" i="34"/>
  <c r="AK993" i="34" s="1"/>
  <c r="AJ524" i="34"/>
  <c r="AK524" i="34" s="1"/>
  <c r="AJ423" i="34"/>
  <c r="AK423" i="34" s="1"/>
  <c r="AG963" i="34"/>
  <c r="AH963" i="34" s="1"/>
  <c r="AG783" i="34"/>
  <c r="AH783" i="34" s="1"/>
  <c r="AI783" i="34" s="1"/>
  <c r="AJ783" i="34" s="1"/>
  <c r="AK783" i="34" s="1"/>
  <c r="AG118" i="34"/>
  <c r="AH118" i="34" s="1"/>
  <c r="AI118" i="34" s="1"/>
  <c r="AJ118" i="34" s="1"/>
  <c r="AK118" i="34" s="1"/>
  <c r="AG767" i="34"/>
  <c r="AH791" i="34"/>
  <c r="AI791" i="34" s="1"/>
  <c r="AJ791" i="34" s="1"/>
  <c r="AK791" i="34" s="1"/>
  <c r="AH137" i="34"/>
  <c r="AI137" i="34" s="1"/>
  <c r="AJ137" i="34" s="1"/>
  <c r="AK137" i="34" s="1"/>
  <c r="AG548" i="34"/>
  <c r="AH548" i="34" s="1"/>
  <c r="AI548" i="34" s="1"/>
  <c r="AJ548" i="34" s="1"/>
  <c r="AK548" i="34" s="1"/>
  <c r="AJ840" i="34"/>
  <c r="AK840" i="34" s="1"/>
  <c r="AJ1014" i="34"/>
  <c r="AK1014" i="34" s="1"/>
  <c r="AI543" i="34"/>
  <c r="AJ543" i="34" s="1"/>
  <c r="AK543" i="34" s="1"/>
  <c r="AJ447" i="34"/>
  <c r="AK447" i="34" s="1"/>
  <c r="AJ421" i="34"/>
  <c r="AK421" i="34" s="1"/>
  <c r="AJ692" i="34"/>
  <c r="AK692" i="34" s="1"/>
  <c r="AJ87" i="34"/>
  <c r="AK87" i="34" s="1"/>
  <c r="AH739" i="34"/>
  <c r="AI739" i="34" s="1"/>
  <c r="AJ739" i="34" s="1"/>
  <c r="AK739" i="34" s="1"/>
  <c r="AJ997" i="34"/>
  <c r="AK997" i="34" s="1"/>
  <c r="AJ795" i="34"/>
  <c r="AK795" i="34" s="1"/>
  <c r="AJ550" i="34"/>
  <c r="AK550" i="34" s="1"/>
  <c r="AF709" i="34"/>
  <c r="AG709" i="34" s="1"/>
  <c r="AJ881" i="34"/>
  <c r="AK881" i="34" s="1"/>
  <c r="AJ415" i="34"/>
  <c r="AK415" i="34" s="1"/>
  <c r="AJ948" i="34"/>
  <c r="AK948" i="34" s="1"/>
  <c r="AJ669" i="34"/>
  <c r="AK669" i="34" s="1"/>
  <c r="AH825" i="34"/>
  <c r="AI825" i="34" s="1"/>
  <c r="AJ825" i="34" s="1"/>
  <c r="AK825" i="34" s="1"/>
  <c r="AJ656" i="34"/>
  <c r="AK656" i="34" s="1"/>
  <c r="AH773" i="34"/>
  <c r="AJ940" i="34"/>
  <c r="AK940" i="34" s="1"/>
  <c r="AJ612" i="34"/>
  <c r="AK612" i="34" s="1"/>
  <c r="AJ269" i="34"/>
  <c r="AK269" i="34" s="1"/>
  <c r="AJ386" i="34"/>
  <c r="AK386" i="34" s="1"/>
  <c r="AJ605" i="34"/>
  <c r="AK605" i="34" s="1"/>
  <c r="AJ980" i="34"/>
  <c r="AK980" i="34" s="1"/>
  <c r="AJ433" i="34"/>
  <c r="AK433" i="34" s="1"/>
  <c r="AJ785" i="34"/>
  <c r="AK785" i="34" s="1"/>
  <c r="AJ815" i="34"/>
  <c r="AK815" i="34" s="1"/>
  <c r="AJ459" i="34"/>
  <c r="AK459" i="34" s="1"/>
  <c r="AJ602" i="34"/>
  <c r="AK602" i="34" s="1"/>
  <c r="AJ384" i="34"/>
  <c r="AK384" i="34" s="1"/>
  <c r="AJ972" i="34"/>
  <c r="AK972" i="34" s="1"/>
  <c r="AJ757" i="34"/>
  <c r="AK757" i="34" s="1"/>
  <c r="AJ435" i="34"/>
  <c r="AK435" i="34" s="1"/>
  <c r="AI267" i="34"/>
  <c r="AJ267" i="34" s="1"/>
  <c r="AK267" i="34" s="1"/>
  <c r="AJ107" i="34"/>
  <c r="AK107" i="34" s="1"/>
  <c r="AJ348" i="34"/>
  <c r="AK348" i="34" s="1"/>
  <c r="AJ457" i="34"/>
  <c r="AK457" i="34" s="1"/>
  <c r="AJ807" i="34"/>
  <c r="AK807" i="34" s="1"/>
  <c r="AH403" i="34"/>
  <c r="AI403" i="34" s="1"/>
  <c r="AJ403" i="34" s="1"/>
  <c r="AK403" i="34" s="1"/>
  <c r="AF518" i="34"/>
  <c r="AG518" i="34" s="1"/>
  <c r="AH518" i="34" s="1"/>
  <c r="AI518" i="34" s="1"/>
  <c r="AG979" i="34"/>
  <c r="AH979" i="34" s="1"/>
  <c r="AG143" i="34"/>
  <c r="AH143" i="34" s="1"/>
  <c r="W1616" i="23"/>
  <c r="P1617" i="23" s="1"/>
  <c r="Q1617" i="23" s="1"/>
  <c r="W1617" i="23" s="1"/>
  <c r="P1618" i="23" s="1"/>
  <c r="Q1618" i="23" s="1"/>
  <c r="AG394" i="34"/>
  <c r="AH476" i="34"/>
  <c r="AI476" i="34" s="1"/>
  <c r="AJ476" i="34" s="1"/>
  <c r="AK476" i="34" s="1"/>
  <c r="AH705" i="34"/>
  <c r="AJ964" i="34"/>
  <c r="AK964" i="34" s="1"/>
  <c r="AH541" i="34"/>
  <c r="AI541" i="34" s="1"/>
  <c r="AJ1013" i="34"/>
  <c r="AK1013" i="34" s="1"/>
  <c r="AH1007" i="34"/>
  <c r="AI1007" i="34" s="1"/>
  <c r="AJ103" i="34"/>
  <c r="AK103" i="34" s="1"/>
  <c r="AH471" i="34"/>
  <c r="AI471" i="34" s="1"/>
  <c r="AJ710" i="34"/>
  <c r="AK710" i="34" s="1"/>
  <c r="AH728" i="34"/>
  <c r="AI728" i="34" s="1"/>
  <c r="AJ728" i="34" s="1"/>
  <c r="AK728" i="34" s="1"/>
  <c r="AH507" i="34"/>
  <c r="AI507" i="34" s="1"/>
  <c r="AJ507" i="34" s="1"/>
  <c r="AK507" i="34" s="1"/>
  <c r="AH491" i="34"/>
  <c r="AI491" i="34" s="1"/>
  <c r="AJ491" i="34" s="1"/>
  <c r="AK491" i="34" s="1"/>
  <c r="AH689" i="34"/>
  <c r="AI689" i="34" s="1"/>
  <c r="AJ797" i="34"/>
  <c r="AK797" i="34" s="1"/>
  <c r="AJ547" i="34"/>
  <c r="AK547" i="34" s="1"/>
  <c r="AJ740" i="34"/>
  <c r="AK740" i="34" s="1"/>
  <c r="AH455" i="34"/>
  <c r="AI455" i="34" s="1"/>
  <c r="AJ455" i="34" s="1"/>
  <c r="AK455" i="34" s="1"/>
  <c r="AH196" i="34"/>
  <c r="AH772" i="34"/>
  <c r="AI772" i="34" s="1"/>
  <c r="AJ772" i="34" s="1"/>
  <c r="AK772" i="34" s="1"/>
  <c r="AG332" i="34"/>
  <c r="AH473" i="34"/>
  <c r="AI473" i="34" s="1"/>
  <c r="AJ473" i="34" s="1"/>
  <c r="AK473" i="34" s="1"/>
  <c r="AH535" i="34"/>
  <c r="AI535" i="34" s="1"/>
  <c r="AJ535" i="34" s="1"/>
  <c r="AK535" i="34" s="1"/>
  <c r="AH537" i="34"/>
  <c r="AI537" i="34" s="1"/>
  <c r="AH523" i="34"/>
  <c r="AI523" i="34" s="1"/>
  <c r="AH722" i="34"/>
  <c r="AI722" i="34" s="1"/>
  <c r="AJ722" i="34" s="1"/>
  <c r="AK722" i="34" s="1"/>
  <c r="AH577" i="34"/>
  <c r="AI577" i="34" s="1"/>
  <c r="AJ577" i="34" s="1"/>
  <c r="AK577" i="34" s="1"/>
  <c r="AH483" i="34"/>
  <c r="AI483" i="34" s="1"/>
  <c r="AJ1000" i="34"/>
  <c r="AK1000" i="34" s="1"/>
  <c r="AJ370" i="34"/>
  <c r="AK370" i="34" s="1"/>
  <c r="AJ521" i="34"/>
  <c r="AK521" i="34" s="1"/>
  <c r="AH949" i="34"/>
  <c r="AI949" i="34" s="1"/>
  <c r="AJ949" i="34" s="1"/>
  <c r="AK949" i="34" s="1"/>
  <c r="AH464" i="34"/>
  <c r="AI464" i="34" s="1"/>
  <c r="AJ464" i="34" s="1"/>
  <c r="AK464" i="34" s="1"/>
  <c r="AH412" i="34"/>
  <c r="AI412" i="34" s="1"/>
  <c r="AJ412" i="34" s="1"/>
  <c r="AK412" i="34" s="1"/>
  <c r="AH962" i="34"/>
  <c r="AH456" i="34"/>
  <c r="AI456" i="34" s="1"/>
  <c r="AJ456" i="34" s="1"/>
  <c r="AK456" i="34" s="1"/>
  <c r="AH764" i="34"/>
  <c r="AI764" i="34" s="1"/>
  <c r="AJ764" i="34" s="1"/>
  <c r="AK764" i="34" s="1"/>
  <c r="AJ531" i="34"/>
  <c r="AK531" i="34" s="1"/>
  <c r="AJ732" i="34"/>
  <c r="AK732" i="34" s="1"/>
  <c r="AH515" i="34"/>
  <c r="AI515" i="34" s="1"/>
  <c r="AJ583" i="34"/>
  <c r="AK583" i="34" s="1"/>
  <c r="AJ998" i="34"/>
  <c r="AK998" i="34" s="1"/>
  <c r="AJ769" i="34"/>
  <c r="AK769" i="34" s="1"/>
  <c r="AI559" i="34"/>
  <c r="AJ559" i="34" s="1"/>
  <c r="AK559" i="34" s="1"/>
  <c r="AF693" i="34"/>
  <c r="AG693" i="34" s="1"/>
  <c r="AH693" i="34" s="1"/>
  <c r="AI693" i="34" s="1"/>
  <c r="AJ452" i="34"/>
  <c r="AK452" i="34" s="1"/>
  <c r="AI756" i="34"/>
  <c r="AJ756" i="34" s="1"/>
  <c r="AK756" i="34" s="1"/>
  <c r="AI806" i="34"/>
  <c r="AJ806" i="34" s="1"/>
  <c r="AK806" i="34" s="1"/>
  <c r="AH493" i="34"/>
  <c r="AI493" i="34" s="1"/>
  <c r="AJ493" i="34" s="1"/>
  <c r="AK493" i="34" s="1"/>
  <c r="AH947" i="34"/>
  <c r="AI947" i="34" s="1"/>
  <c r="AJ947" i="34" s="1"/>
  <c r="AK947" i="34" s="1"/>
  <c r="AI761" i="34"/>
  <c r="AJ761" i="34" s="1"/>
  <c r="AK761" i="34" s="1"/>
  <c r="AH1012" i="34"/>
  <c r="AI1012" i="34" s="1"/>
  <c r="AJ1012" i="34" s="1"/>
  <c r="AK1012" i="34" s="1"/>
  <c r="AI711" i="34"/>
  <c r="AJ711" i="34" s="1"/>
  <c r="AK711" i="34" s="1"/>
  <c r="AI707" i="34"/>
  <c r="AJ707" i="34" s="1"/>
  <c r="AK707" i="34" s="1"/>
  <c r="AJ106" i="34"/>
  <c r="AK106" i="34" s="1"/>
  <c r="AJ440" i="34"/>
  <c r="AK440" i="34" s="1"/>
  <c r="AG441" i="34"/>
  <c r="AH441" i="34" s="1"/>
  <c r="AI441" i="34" s="1"/>
  <c r="AG368" i="34"/>
  <c r="AH368" i="34" s="1"/>
  <c r="AI368" i="34" s="1"/>
  <c r="AJ731" i="34"/>
  <c r="AK731" i="34" s="1"/>
  <c r="AI946" i="34"/>
  <c r="AJ946" i="34" s="1"/>
  <c r="AK946" i="34" s="1"/>
  <c r="AG176" i="34"/>
  <c r="AG699" i="34"/>
  <c r="AH703" i="34"/>
  <c r="AI703" i="34" s="1"/>
  <c r="AJ703" i="34" s="1"/>
  <c r="AK703" i="34" s="1"/>
  <c r="AI333" i="34"/>
  <c r="AJ333" i="34" s="1"/>
  <c r="AK333" i="34" s="1"/>
  <c r="AE930" i="34"/>
  <c r="AG408" i="34"/>
  <c r="AH408" i="34" s="1"/>
  <c r="AJ579" i="34"/>
  <c r="AK579" i="34" s="1"/>
  <c r="AJ820" i="34"/>
  <c r="AK820" i="34" s="1"/>
  <c r="AJ750" i="34"/>
  <c r="AK750" i="34" s="1"/>
  <c r="AJ592" i="34"/>
  <c r="AK592" i="34" s="1"/>
  <c r="AJ571" i="34"/>
  <c r="AK571" i="34" s="1"/>
  <c r="AG425" i="34"/>
  <c r="AH581" i="34"/>
  <c r="AI1015" i="34"/>
  <c r="AJ1015" i="34" s="1"/>
  <c r="AK1015" i="34" s="1"/>
  <c r="AJ468" i="34"/>
  <c r="AK468" i="34" s="1"/>
  <c r="AJ604" i="34"/>
  <c r="AK604" i="34" s="1"/>
  <c r="AJ718" i="34"/>
  <c r="AK718" i="34" s="1"/>
  <c r="AJ90" i="34"/>
  <c r="AK90" i="34" s="1"/>
  <c r="AG974" i="34"/>
  <c r="AH974" i="34" s="1"/>
  <c r="AJ572" i="34"/>
  <c r="AK572" i="34" s="1"/>
  <c r="AI205" i="34"/>
  <c r="AJ205" i="34" s="1"/>
  <c r="AK205" i="34" s="1"/>
  <c r="AJ995" i="34"/>
  <c r="AK995" i="34" s="1"/>
  <c r="AG702" i="34"/>
  <c r="AH702" i="34" s="1"/>
  <c r="AJ326" i="34"/>
  <c r="AK326" i="34" s="1"/>
  <c r="AI409" i="34"/>
  <c r="AJ409" i="34" s="1"/>
  <c r="AK409" i="34" s="1"/>
  <c r="AG86" i="34"/>
  <c r="AF719" i="34"/>
  <c r="AE685" i="34"/>
  <c r="AI542" i="34"/>
  <c r="AJ542" i="34" s="1"/>
  <c r="AK542" i="34" s="1"/>
  <c r="AH600" i="34"/>
  <c r="AI600" i="34" s="1"/>
  <c r="AJ600" i="34" s="1"/>
  <c r="AK600" i="34" s="1"/>
  <c r="AH418" i="34"/>
  <c r="AI418" i="34" s="1"/>
  <c r="AJ418" i="34" s="1"/>
  <c r="AK418" i="34" s="1"/>
  <c r="AI442" i="34"/>
  <c r="AJ442" i="34" s="1"/>
  <c r="AK442" i="34" s="1"/>
  <c r="AI325" i="34"/>
  <c r="AJ325" i="34" s="1"/>
  <c r="AK325" i="34" s="1"/>
  <c r="AH695" i="34"/>
  <c r="AI695" i="34" s="1"/>
  <c r="AJ695" i="34" s="1"/>
  <c r="AK695" i="34" s="1"/>
  <c r="AH799" i="34"/>
  <c r="AI799" i="34" s="1"/>
  <c r="AJ799" i="34" s="1"/>
  <c r="AK799" i="34" s="1"/>
  <c r="AH391" i="34"/>
  <c r="AI391" i="34" s="1"/>
  <c r="AJ391" i="34" s="1"/>
  <c r="AK391" i="34" s="1"/>
  <c r="AJ708" i="34"/>
  <c r="AK708" i="34" s="1"/>
  <c r="AI380" i="34"/>
  <c r="AJ380" i="34" s="1"/>
  <c r="AK380" i="34" s="1"/>
  <c r="AG467" i="34"/>
  <c r="AH467" i="34" s="1"/>
  <c r="AI467" i="34" s="1"/>
  <c r="AG698" i="34"/>
  <c r="AH698" i="34" s="1"/>
  <c r="AI606" i="34"/>
  <c r="AJ606" i="34" s="1"/>
  <c r="AK606" i="34" s="1"/>
  <c r="AG1008" i="34"/>
  <c r="AG377" i="34"/>
  <c r="AH377" i="34" s="1"/>
  <c r="AI377" i="34" s="1"/>
  <c r="AI437" i="34"/>
  <c r="AJ437" i="34" s="1"/>
  <c r="AK437" i="34" s="1"/>
  <c r="AI329" i="34"/>
  <c r="AJ329" i="34" s="1"/>
  <c r="AK329" i="34" s="1"/>
  <c r="AJ575" i="34"/>
  <c r="AK575" i="34" s="1"/>
  <c r="AI1016" i="34"/>
  <c r="AJ1016" i="34" s="1"/>
  <c r="AK1016" i="34" s="1"/>
  <c r="AI759" i="34"/>
  <c r="AJ759" i="34" s="1"/>
  <c r="AK759" i="34" s="1"/>
  <c r="AH102" i="34"/>
  <c r="AI102" i="34" s="1"/>
  <c r="AJ102" i="34" s="1"/>
  <c r="AK102" i="34" s="1"/>
  <c r="AG454" i="34"/>
  <c r="AI477" i="34"/>
  <c r="AJ477" i="34" s="1"/>
  <c r="AK477" i="34" s="1"/>
  <c r="AI978" i="34"/>
  <c r="AJ978" i="34" s="1"/>
  <c r="AK978" i="34" s="1"/>
  <c r="AJ446" i="34"/>
  <c r="AK446" i="34" s="1"/>
  <c r="AH347" i="34"/>
  <c r="AH746" i="34"/>
  <c r="AI746" i="34" s="1"/>
  <c r="AJ746" i="34" s="1"/>
  <c r="AK746" i="34" s="1"/>
  <c r="AJ828" i="34"/>
  <c r="AK828" i="34" s="1"/>
  <c r="AJ427" i="34"/>
  <c r="AK427" i="34" s="1"/>
  <c r="AI120" i="34"/>
  <c r="AJ120" i="34" s="1"/>
  <c r="AK120" i="34" s="1"/>
  <c r="AI934" i="34"/>
  <c r="AJ934" i="34" s="1"/>
  <c r="AK934" i="34" s="1"/>
  <c r="AH748" i="34"/>
  <c r="AI748" i="34" s="1"/>
  <c r="AJ748" i="34" s="1"/>
  <c r="AK748" i="34" s="1"/>
  <c r="AH444" i="34"/>
  <c r="AI444" i="34" s="1"/>
  <c r="AJ444" i="34" s="1"/>
  <c r="AK444" i="34" s="1"/>
  <c r="AG723" i="34"/>
  <c r="AI780" i="34"/>
  <c r="AJ780" i="34" s="1"/>
  <c r="AK780" i="34" s="1"/>
  <c r="AH334" i="34"/>
  <c r="AI330" i="34"/>
  <c r="AJ330" i="34" s="1"/>
  <c r="AK330" i="34" s="1"/>
  <c r="AH613" i="34"/>
  <c r="AI613" i="34" s="1"/>
  <c r="AJ1017" i="34"/>
  <c r="AK1017" i="34" s="1"/>
  <c r="AJ816" i="34"/>
  <c r="AK816" i="34" s="1"/>
  <c r="AJ788" i="34"/>
  <c r="AK788" i="34" s="1"/>
  <c r="AH970" i="34"/>
  <c r="AI970" i="34" s="1"/>
  <c r="AH462" i="34"/>
  <c r="AI462" i="34" s="1"/>
  <c r="AJ462" i="34" s="1"/>
  <c r="AK462" i="34" s="1"/>
  <c r="AG324" i="34"/>
  <c r="AG958" i="34"/>
  <c r="AH958" i="34" s="1"/>
  <c r="AJ417" i="34"/>
  <c r="AK417" i="34" s="1"/>
  <c r="AJ257" i="34"/>
  <c r="AK257" i="34" s="1"/>
  <c r="AJ809" i="34"/>
  <c r="AK809" i="34" s="1"/>
  <c r="AJ465" i="34"/>
  <c r="AK465" i="34" s="1"/>
  <c r="AI1011" i="34"/>
  <c r="AJ1011" i="34" s="1"/>
  <c r="AK1011" i="34" s="1"/>
  <c r="AG734" i="34"/>
  <c r="AH620" i="34"/>
  <c r="AI620" i="34" s="1"/>
  <c r="AH686" i="34"/>
  <c r="AF742" i="34"/>
  <c r="AG742" i="34" s="1"/>
  <c r="AH1018" i="34"/>
  <c r="AI1018" i="34" s="1"/>
  <c r="AF925" i="34"/>
  <c r="AI439" i="34"/>
  <c r="AJ439" i="34" s="1"/>
  <c r="AK439" i="34" s="1"/>
  <c r="AJ429" i="34"/>
  <c r="AK429" i="34" s="1"/>
  <c r="AH99" i="34"/>
  <c r="AI99" i="34" s="1"/>
  <c r="AJ99" i="34" s="1"/>
  <c r="AK99" i="34" s="1"/>
  <c r="AH287" i="34"/>
  <c r="AI287" i="34" s="1"/>
  <c r="AH545" i="34"/>
  <c r="AF717" i="34"/>
  <c r="AG717" i="34" s="1"/>
  <c r="AH369" i="34"/>
  <c r="AI369" i="34" s="1"/>
  <c r="AJ369" i="34" s="1"/>
  <c r="AK369" i="34" s="1"/>
  <c r="AI880" i="34"/>
  <c r="AJ880" i="34" s="1"/>
  <c r="AK880" i="34" s="1"/>
  <c r="AJ641" i="34"/>
  <c r="AK641" i="34" s="1"/>
  <c r="AI89" i="34"/>
  <c r="AJ89" i="34" s="1"/>
  <c r="AK89" i="34" s="1"/>
  <c r="AH697" i="34"/>
  <c r="AI697" i="34" s="1"/>
  <c r="AJ697" i="34" s="1"/>
  <c r="AK697" i="34" s="1"/>
  <c r="AJ991" i="34"/>
  <c r="AK991" i="34" s="1"/>
  <c r="AI551" i="34"/>
  <c r="AJ551" i="34" s="1"/>
  <c r="AK551" i="34" s="1"/>
  <c r="AG556" i="34"/>
  <c r="AG354" i="34"/>
  <c r="AH354" i="34" s="1"/>
  <c r="AI354" i="34" s="1"/>
  <c r="AJ830" i="34"/>
  <c r="AK830" i="34" s="1"/>
  <c r="AG406" i="34"/>
  <c r="AH406" i="34" s="1"/>
  <c r="AI701" i="34"/>
  <c r="AJ701" i="34" s="1"/>
  <c r="AK701" i="34" s="1"/>
  <c r="AI779" i="34"/>
  <c r="AJ779" i="34" s="1"/>
  <c r="AK779" i="34" s="1"/>
  <c r="AF563" i="34"/>
  <c r="AG563" i="34" s="1"/>
  <c r="AF727" i="34"/>
  <c r="AG573" i="34"/>
  <c r="AG306" i="34"/>
  <c r="AH306" i="34" s="1"/>
  <c r="AI347" i="34"/>
  <c r="AJ347" i="34" s="1"/>
  <c r="AK347" i="34" s="1"/>
  <c r="AH610" i="34"/>
  <c r="AI610" i="34" s="1"/>
  <c r="AJ610" i="34" s="1"/>
  <c r="AK610" i="34" s="1"/>
  <c r="AI67" i="34"/>
  <c r="AJ67" i="34" s="1"/>
  <c r="AK67" i="34" s="1"/>
  <c r="AJ1004" i="34"/>
  <c r="AK1004" i="34" s="1"/>
  <c r="AH743" i="34"/>
  <c r="AI743" i="34" s="1"/>
  <c r="AG754" i="34"/>
  <c r="AH687" i="34"/>
  <c r="AI687" i="34" s="1"/>
  <c r="AF943" i="34"/>
  <c r="AI752" i="34"/>
  <c r="AJ752" i="34" s="1"/>
  <c r="AK752" i="34" s="1"/>
  <c r="AI845" i="34"/>
  <c r="AJ845" i="34" s="1"/>
  <c r="AK845" i="34" s="1"/>
  <c r="AJ844" i="34"/>
  <c r="AK844" i="34" s="1"/>
  <c r="AH449" i="34"/>
  <c r="AH715" i="34"/>
  <c r="AI715" i="34" s="1"/>
  <c r="AI691" i="34"/>
  <c r="AJ691" i="34" s="1"/>
  <c r="AK691" i="34" s="1"/>
  <c r="AJ921" i="34"/>
  <c r="AK921" i="34" s="1"/>
  <c r="AJ93" i="34"/>
  <c r="AK93" i="34" s="1"/>
  <c r="AJ923" i="34"/>
  <c r="AK923" i="34" s="1"/>
  <c r="AJ402" i="34"/>
  <c r="AK402" i="34" s="1"/>
  <c r="AJ469" i="34"/>
  <c r="AK469" i="34" s="1"/>
  <c r="AG356" i="34"/>
  <c r="AG396" i="34"/>
  <c r="AG539" i="34"/>
  <c r="AJ182" i="34"/>
  <c r="AK182" i="34" s="1"/>
  <c r="AG996" i="34"/>
  <c r="AG555" i="34"/>
  <c r="AH789" i="34"/>
  <c r="AI789" i="34" s="1"/>
  <c r="AG618" i="34"/>
  <c r="AH332" i="34"/>
  <c r="AI332" i="34" s="1"/>
  <c r="AH411" i="34"/>
  <c r="AI411" i="34" s="1"/>
  <c r="AJ411" i="34" s="1"/>
  <c r="AK411" i="34" s="1"/>
  <c r="AJ578" i="34"/>
  <c r="AK578" i="34" s="1"/>
  <c r="AF453" i="34"/>
  <c r="AF730" i="34"/>
  <c r="AG925" i="34"/>
  <c r="AG738" i="34"/>
  <c r="AH738" i="34" s="1"/>
  <c r="AI931" i="34"/>
  <c r="AJ931" i="34" s="1"/>
  <c r="AK931" i="34" s="1"/>
  <c r="AH736" i="34"/>
  <c r="AH338" i="34"/>
  <c r="AF567" i="34"/>
  <c r="AH394" i="34"/>
  <c r="AI394" i="34" s="1"/>
  <c r="AH614" i="34"/>
  <c r="AI614" i="34" s="1"/>
  <c r="AF382" i="34"/>
  <c r="AF926" i="34"/>
  <c r="AG926" i="34" s="1"/>
  <c r="AF256" i="34"/>
  <c r="AG594" i="34"/>
  <c r="AF392" i="34"/>
  <c r="AF240" i="34"/>
  <c r="AG561" i="34"/>
  <c r="AH561" i="34" s="1"/>
  <c r="AI596" i="34"/>
  <c r="AJ596" i="34" s="1"/>
  <c r="AK596" i="34" s="1"/>
  <c r="AG94" i="34"/>
  <c r="AH94" i="34" s="1"/>
  <c r="AH956" i="34"/>
  <c r="AG400" i="34"/>
  <c r="AJ191" i="34"/>
  <c r="AK191" i="34" s="1"/>
  <c r="AI771" i="34"/>
  <c r="AJ771" i="34" s="1"/>
  <c r="AK771" i="34" s="1"/>
  <c r="AI983" i="34"/>
  <c r="AJ983" i="34" s="1"/>
  <c r="AK983" i="34" s="1"/>
  <c r="AH419" i="34"/>
  <c r="AI419" i="34" s="1"/>
  <c r="AH1008" i="34"/>
  <c r="AH744" i="34"/>
  <c r="AI744" i="34" s="1"/>
  <c r="AJ744" i="34" s="1"/>
  <c r="AK744" i="34" s="1"/>
  <c r="AG951" i="34"/>
  <c r="AI976" i="34"/>
  <c r="AJ976" i="34" s="1"/>
  <c r="AK976" i="34" s="1"/>
  <c r="AG758" i="34"/>
  <c r="AH758" i="34" s="1"/>
  <c r="AH999" i="34"/>
  <c r="AI999" i="34" s="1"/>
  <c r="AJ999" i="34" s="1"/>
  <c r="AK999" i="34" s="1"/>
  <c r="AH454" i="34"/>
  <c r="AF945" i="34"/>
  <c r="AI847" i="34"/>
  <c r="AJ847" i="34" s="1"/>
  <c r="AK847" i="34" s="1"/>
  <c r="AI735" i="34"/>
  <c r="AJ735" i="34" s="1"/>
  <c r="AK735" i="34" s="1"/>
  <c r="AI562" i="34"/>
  <c r="AJ562" i="34" s="1"/>
  <c r="AK562" i="34" s="1"/>
  <c r="AI751" i="34"/>
  <c r="AJ751" i="34" s="1"/>
  <c r="AK751" i="34" s="1"/>
  <c r="AI944" i="34"/>
  <c r="AJ944" i="34" s="1"/>
  <c r="AK944" i="34" s="1"/>
  <c r="AG472" i="34"/>
  <c r="AG922" i="34"/>
  <c r="W1077" i="23" l="1"/>
  <c r="R377" i="23"/>
  <c r="U376" i="23"/>
  <c r="W376" i="23" s="1"/>
  <c r="P377" i="23" s="1"/>
  <c r="Q377" i="23" s="1"/>
  <c r="AJ968" i="34"/>
  <c r="AK968" i="34" s="1"/>
  <c r="AH390" i="34"/>
  <c r="AI390" i="34" s="1"/>
  <c r="AI810" i="34"/>
  <c r="AJ810" i="34" s="1"/>
  <c r="AK810" i="34" s="1"/>
  <c r="AI974" i="34"/>
  <c r="AJ974" i="34" s="1"/>
  <c r="AK974" i="34" s="1"/>
  <c r="AH174" i="34"/>
  <c r="AI174" i="34" s="1"/>
  <c r="AJ174" i="34" s="1"/>
  <c r="AK174" i="34" s="1"/>
  <c r="AI937" i="34"/>
  <c r="AJ937" i="34" s="1"/>
  <c r="AK937" i="34" s="1"/>
  <c r="AE11" i="34"/>
  <c r="AJ766" i="34"/>
  <c r="AK766" i="34" s="1"/>
  <c r="AI517" i="34"/>
  <c r="AJ517" i="34" s="1"/>
  <c r="AK517" i="34" s="1"/>
  <c r="AF920" i="34"/>
  <c r="AI979" i="34"/>
  <c r="AJ979" i="34" s="1"/>
  <c r="AK979" i="34" s="1"/>
  <c r="AH709" i="34"/>
  <c r="AI709" i="34" s="1"/>
  <c r="AI963" i="34"/>
  <c r="AJ963" i="34" s="1"/>
  <c r="AK963" i="34" s="1"/>
  <c r="AJ443" i="34"/>
  <c r="AK443" i="34" s="1"/>
  <c r="AF685" i="34"/>
  <c r="AJ789" i="34"/>
  <c r="AK789" i="34" s="1"/>
  <c r="AI406" i="34"/>
  <c r="AH717" i="34"/>
  <c r="AI717" i="34" s="1"/>
  <c r="AJ717" i="34" s="1"/>
  <c r="AK717" i="34" s="1"/>
  <c r="AI454" i="34"/>
  <c r="AJ454" i="34" s="1"/>
  <c r="AK454" i="34" s="1"/>
  <c r="AI1008" i="34"/>
  <c r="AJ1008" i="34" s="1"/>
  <c r="AK1008" i="34" s="1"/>
  <c r="AI408" i="34"/>
  <c r="AJ408" i="34" s="1"/>
  <c r="AK408" i="34" s="1"/>
  <c r="AJ483" i="34"/>
  <c r="AK483" i="34" s="1"/>
  <c r="AJ518" i="34"/>
  <c r="AK518" i="34" s="1"/>
  <c r="AI143" i="34"/>
  <c r="AJ143" i="34" s="1"/>
  <c r="AK143" i="34" s="1"/>
  <c r="AJ540" i="34"/>
  <c r="AK540" i="34" s="1"/>
  <c r="AI94" i="34"/>
  <c r="AH767" i="34"/>
  <c r="AI767" i="34" s="1"/>
  <c r="AJ122" i="34"/>
  <c r="AK122" i="34" s="1"/>
  <c r="AG920" i="34"/>
  <c r="AJ960" i="34"/>
  <c r="AK960" i="34" s="1"/>
  <c r="AI736" i="34"/>
  <c r="AJ736" i="34" s="1"/>
  <c r="AK736" i="34" s="1"/>
  <c r="AJ687" i="34"/>
  <c r="AK687" i="34" s="1"/>
  <c r="AJ970" i="34"/>
  <c r="AK970" i="34" s="1"/>
  <c r="AI698" i="34"/>
  <c r="AJ698" i="34" s="1"/>
  <c r="AK698" i="34" s="1"/>
  <c r="AJ523" i="34"/>
  <c r="AK523" i="34" s="1"/>
  <c r="AJ1007" i="34"/>
  <c r="AK1007" i="34" s="1"/>
  <c r="AJ68" i="34"/>
  <c r="AK68" i="34" s="1"/>
  <c r="AJ94" i="34"/>
  <c r="AK94" i="34" s="1"/>
  <c r="AJ368" i="34"/>
  <c r="AK368" i="34" s="1"/>
  <c r="AJ1009" i="34"/>
  <c r="AK1009" i="34" s="1"/>
  <c r="AI702" i="34"/>
  <c r="AJ702" i="34" s="1"/>
  <c r="AK702" i="34" s="1"/>
  <c r="AJ441" i="34"/>
  <c r="AK441" i="34" s="1"/>
  <c r="AI773" i="34"/>
  <c r="AJ773" i="34" s="1"/>
  <c r="AK773" i="34" s="1"/>
  <c r="AJ713" i="34"/>
  <c r="AK713" i="34" s="1"/>
  <c r="AJ565" i="34"/>
  <c r="AK565" i="34" s="1"/>
  <c r="AJ287" i="34"/>
  <c r="AK287" i="34" s="1"/>
  <c r="AJ394" i="34"/>
  <c r="AK394" i="34" s="1"/>
  <c r="AJ377" i="34"/>
  <c r="AK377" i="34" s="1"/>
  <c r="AJ467" i="34"/>
  <c r="AK467" i="34" s="1"/>
  <c r="AJ332" i="34"/>
  <c r="AK332" i="34" s="1"/>
  <c r="AJ693" i="34"/>
  <c r="AK693" i="34" s="1"/>
  <c r="AH951" i="34"/>
  <c r="AI951" i="34" s="1"/>
  <c r="AJ951" i="34" s="1"/>
  <c r="AK951" i="34" s="1"/>
  <c r="AI956" i="34"/>
  <c r="AJ956" i="34" s="1"/>
  <c r="AK956" i="34" s="1"/>
  <c r="AG567" i="34"/>
  <c r="AH396" i="34"/>
  <c r="AI396" i="34" s="1"/>
  <c r="AJ396" i="34" s="1"/>
  <c r="AK396" i="34" s="1"/>
  <c r="AH556" i="34"/>
  <c r="AI556" i="34" s="1"/>
  <c r="AJ406" i="34"/>
  <c r="AK406" i="34" s="1"/>
  <c r="AH567" i="34"/>
  <c r="AH324" i="34"/>
  <c r="AI324" i="34" s="1"/>
  <c r="AJ324" i="34" s="1"/>
  <c r="AK324" i="34" s="1"/>
  <c r="AI686" i="34"/>
  <c r="AJ109" i="34"/>
  <c r="AK109" i="34" s="1"/>
  <c r="AJ613" i="34"/>
  <c r="AK613" i="34" s="1"/>
  <c r="AH573" i="34"/>
  <c r="AI561" i="34"/>
  <c r="AJ561" i="34" s="1"/>
  <c r="AK561" i="34" s="1"/>
  <c r="AH699" i="34"/>
  <c r="AI306" i="34"/>
  <c r="AJ306" i="34" s="1"/>
  <c r="AK306" i="34" s="1"/>
  <c r="AJ515" i="34"/>
  <c r="AK515" i="34" s="1"/>
  <c r="AJ537" i="34"/>
  <c r="AK537" i="34" s="1"/>
  <c r="AI196" i="34"/>
  <c r="AJ196" i="34" s="1"/>
  <c r="AK196" i="34" s="1"/>
  <c r="AJ689" i="34"/>
  <c r="AK689" i="34" s="1"/>
  <c r="AJ541" i="34"/>
  <c r="AK541" i="34" s="1"/>
  <c r="AI705" i="34"/>
  <c r="AJ705" i="34" s="1"/>
  <c r="AK705" i="34" s="1"/>
  <c r="AI338" i="34"/>
  <c r="AJ338" i="34" s="1"/>
  <c r="AK338" i="34" s="1"/>
  <c r="AG392" i="34"/>
  <c r="AH754" i="34"/>
  <c r="AI754" i="34" s="1"/>
  <c r="AJ754" i="34" s="1"/>
  <c r="AK754" i="34" s="1"/>
  <c r="AH996" i="34"/>
  <c r="AI996" i="34" s="1"/>
  <c r="AJ996" i="34" s="1"/>
  <c r="AK996" i="34" s="1"/>
  <c r="AI738" i="34"/>
  <c r="AJ738" i="34" s="1"/>
  <c r="AK738" i="34" s="1"/>
  <c r="AG730" i="34"/>
  <c r="AG727" i="34"/>
  <c r="AG382" i="34"/>
  <c r="AH594" i="34"/>
  <c r="AI594" i="34" s="1"/>
  <c r="AJ594" i="34" s="1"/>
  <c r="AK594" i="34" s="1"/>
  <c r="AG945" i="34"/>
  <c r="AH945" i="34" s="1"/>
  <c r="AI581" i="34"/>
  <c r="AJ581" i="34" s="1"/>
  <c r="AK581" i="34" s="1"/>
  <c r="AJ419" i="34"/>
  <c r="AK419" i="34" s="1"/>
  <c r="AI449" i="34"/>
  <c r="AJ449" i="34" s="1"/>
  <c r="AK449" i="34" s="1"/>
  <c r="AH425" i="34"/>
  <c r="AH922" i="34"/>
  <c r="AI922" i="34" s="1"/>
  <c r="AG240" i="34"/>
  <c r="AH240" i="34" s="1"/>
  <c r="AJ743" i="34"/>
  <c r="AK743" i="34" s="1"/>
  <c r="AJ715" i="34"/>
  <c r="AK715" i="34" s="1"/>
  <c r="AH400" i="34"/>
  <c r="AI400" i="34" s="1"/>
  <c r="AJ400" i="34" s="1"/>
  <c r="AK400" i="34" s="1"/>
  <c r="AJ354" i="34"/>
  <c r="AK354" i="34" s="1"/>
  <c r="AH392" i="34"/>
  <c r="AG256" i="34"/>
  <c r="AJ1018" i="34"/>
  <c r="AK1018" i="34" s="1"/>
  <c r="AJ620" i="34"/>
  <c r="AK620" i="34" s="1"/>
  <c r="AI758" i="34"/>
  <c r="AJ758" i="34" s="1"/>
  <c r="AK758" i="34" s="1"/>
  <c r="AH563" i="34"/>
  <c r="AI563" i="34" s="1"/>
  <c r="AI545" i="34"/>
  <c r="AJ545" i="34" s="1"/>
  <c r="AK545" i="34" s="1"/>
  <c r="AH734" i="34"/>
  <c r="AI734" i="34" s="1"/>
  <c r="AJ734" i="34" s="1"/>
  <c r="AK734" i="34" s="1"/>
  <c r="AH256" i="34"/>
  <c r="AI958" i="34"/>
  <c r="AJ958" i="34" s="1"/>
  <c r="AK958" i="34" s="1"/>
  <c r="AG719" i="34"/>
  <c r="AI962" i="34"/>
  <c r="AJ962" i="34" s="1"/>
  <c r="AK962" i="34" s="1"/>
  <c r="AG453" i="34"/>
  <c r="AJ471" i="34"/>
  <c r="AK471" i="34" s="1"/>
  <c r="AH472" i="34"/>
  <c r="AI472" i="34" s="1"/>
  <c r="AJ472" i="34" s="1"/>
  <c r="AK472" i="34" s="1"/>
  <c r="AJ614" i="34"/>
  <c r="AK614" i="34" s="1"/>
  <c r="AH555" i="34"/>
  <c r="AI555" i="34" s="1"/>
  <c r="AJ555" i="34" s="1"/>
  <c r="AK555" i="34" s="1"/>
  <c r="AH539" i="34"/>
  <c r="AI539" i="34" s="1"/>
  <c r="AJ539" i="34" s="1"/>
  <c r="AK539" i="34" s="1"/>
  <c r="AH356" i="34"/>
  <c r="AI356" i="34" s="1"/>
  <c r="AJ356" i="34" s="1"/>
  <c r="AK356" i="34" s="1"/>
  <c r="AG943" i="34"/>
  <c r="AF930" i="34"/>
  <c r="AI392" i="34"/>
  <c r="AJ503" i="34"/>
  <c r="AK503" i="34" s="1"/>
  <c r="AF12" i="34"/>
  <c r="AF11" i="34" s="1"/>
  <c r="AH723" i="34"/>
  <c r="AI723" i="34" s="1"/>
  <c r="AJ723" i="34" s="1"/>
  <c r="AK723" i="34" s="1"/>
  <c r="AH926" i="34"/>
  <c r="AI926" i="34" s="1"/>
  <c r="AH176" i="34"/>
  <c r="AI176" i="34" s="1"/>
  <c r="AJ176" i="34" s="1"/>
  <c r="AK176" i="34" s="1"/>
  <c r="AH86" i="34"/>
  <c r="AI86" i="34" s="1"/>
  <c r="AH925" i="34"/>
  <c r="AI925" i="34" s="1"/>
  <c r="AH618" i="34"/>
  <c r="AI618" i="34" s="1"/>
  <c r="AH742" i="34"/>
  <c r="AI334" i="34"/>
  <c r="AJ334" i="34" s="1"/>
  <c r="AK334" i="34" s="1"/>
  <c r="AI567" i="34" l="1"/>
  <c r="AJ567" i="34" s="1"/>
  <c r="AK567" i="34" s="1"/>
  <c r="U377" i="23"/>
  <c r="W377" i="23" s="1"/>
  <c r="P378" i="23" s="1"/>
  <c r="Q378" i="23" s="1"/>
  <c r="R378" i="23"/>
  <c r="AJ390" i="34"/>
  <c r="AK390" i="34" s="1"/>
  <c r="AG12" i="34"/>
  <c r="AG3" i="34" s="1"/>
  <c r="AM920" i="34"/>
  <c r="AG685" i="34"/>
  <c r="AJ563" i="34"/>
  <c r="AK563" i="34" s="1"/>
  <c r="AJ392" i="34"/>
  <c r="AK392" i="34" s="1"/>
  <c r="AJ767" i="34"/>
  <c r="AK767" i="34" s="1"/>
  <c r="AJ709" i="34"/>
  <c r="AK709" i="34" s="1"/>
  <c r="AI920" i="34"/>
  <c r="AJ922" i="34"/>
  <c r="AK922" i="34" s="1"/>
  <c r="AJ926" i="34"/>
  <c r="AK926" i="34" s="1"/>
  <c r="AG930" i="34"/>
  <c r="AM930" i="34" s="1"/>
  <c r="AI742" i="34"/>
  <c r="AJ742" i="34" s="1"/>
  <c r="AK742" i="34" s="1"/>
  <c r="AH453" i="34"/>
  <c r="AI453" i="34" s="1"/>
  <c r="AJ453" i="34" s="1"/>
  <c r="AK453" i="34" s="1"/>
  <c r="AH730" i="34"/>
  <c r="AJ618" i="34"/>
  <c r="AK618" i="34" s="1"/>
  <c r="AH382" i="34"/>
  <c r="AI382" i="34" s="1"/>
  <c r="AJ382" i="34" s="1"/>
  <c r="AK382" i="34" s="1"/>
  <c r="AI699" i="34"/>
  <c r="AJ699" i="34" s="1"/>
  <c r="AK699" i="34" s="1"/>
  <c r="AJ925" i="34"/>
  <c r="AK925" i="34" s="1"/>
  <c r="AI256" i="34"/>
  <c r="AJ256" i="34" s="1"/>
  <c r="AK256" i="34" s="1"/>
  <c r="AI240" i="34"/>
  <c r="AJ240" i="34" s="1"/>
  <c r="AK240" i="34" s="1"/>
  <c r="AH920" i="34"/>
  <c r="AH943" i="34"/>
  <c r="AH930" i="34" s="1"/>
  <c r="AJ686" i="34"/>
  <c r="AK686" i="34" s="1"/>
  <c r="AI425" i="34"/>
  <c r="AJ425" i="34" s="1"/>
  <c r="AK425" i="34" s="1"/>
  <c r="AI945" i="34"/>
  <c r="AJ945" i="34" s="1"/>
  <c r="AK945" i="34" s="1"/>
  <c r="AJ556" i="34"/>
  <c r="AK556" i="34" s="1"/>
  <c r="AJ86" i="34"/>
  <c r="AK86" i="34" s="1"/>
  <c r="AH719" i="34"/>
  <c r="AI719" i="34" s="1"/>
  <c r="AH727" i="34"/>
  <c r="AI727" i="34" s="1"/>
  <c r="AJ727" i="34" s="1"/>
  <c r="AK727" i="34" s="1"/>
  <c r="AI573" i="34"/>
  <c r="AJ573" i="34" s="1"/>
  <c r="AK573" i="34" s="1"/>
  <c r="R379" i="23" l="1"/>
  <c r="U378" i="23"/>
  <c r="W378" i="23" s="1"/>
  <c r="P379" i="23" s="1"/>
  <c r="Q379" i="23" s="1"/>
  <c r="AH12" i="34"/>
  <c r="AG11" i="34"/>
  <c r="AJ920" i="34"/>
  <c r="AI943" i="34"/>
  <c r="AI930" i="34" s="1"/>
  <c r="AJ930" i="34" s="1"/>
  <c r="AJ719" i="34"/>
  <c r="AK719" i="34" s="1"/>
  <c r="AH685" i="34"/>
  <c r="AI730" i="34"/>
  <c r="AI685" i="34" s="1"/>
  <c r="AK920" i="34"/>
  <c r="U379" i="23" l="1"/>
  <c r="W379" i="23" s="1"/>
  <c r="P380" i="23" s="1"/>
  <c r="Q380" i="23" s="1"/>
  <c r="R380" i="23"/>
  <c r="U380" i="23" s="1"/>
  <c r="AJ685" i="34"/>
  <c r="AH11" i="34"/>
  <c r="AJ943" i="34"/>
  <c r="AK943" i="34" s="1"/>
  <c r="AK930" i="34" s="1"/>
  <c r="AJ730" i="34"/>
  <c r="AK730" i="34" s="1"/>
  <c r="AK685" i="34" s="1"/>
  <c r="W380" i="23" l="1"/>
  <c r="D32" i="33"/>
  <c r="B32" i="33"/>
  <c r="D31" i="33"/>
  <c r="B31" i="33"/>
  <c r="D30" i="33"/>
  <c r="B30" i="33"/>
  <c r="D29" i="33"/>
  <c r="B29" i="33"/>
  <c r="D28" i="33"/>
  <c r="B28" i="33"/>
  <c r="D27" i="33"/>
  <c r="B27" i="33"/>
  <c r="D26" i="33"/>
  <c r="B26" i="33"/>
  <c r="D18" i="33"/>
  <c r="B18" i="33"/>
  <c r="D17" i="33"/>
  <c r="B17" i="33"/>
  <c r="D16" i="33"/>
  <c r="B16" i="33"/>
  <c r="D36" i="33"/>
  <c r="B36" i="33"/>
  <c r="D46" i="33"/>
  <c r="B46" i="33"/>
  <c r="D42" i="33"/>
  <c r="D35" i="33"/>
  <c r="B35" i="33"/>
  <c r="X14" i="33"/>
  <c r="Z14" i="33" s="1"/>
  <c r="AB14" i="33" s="1"/>
  <c r="D14" i="33"/>
  <c r="B14" i="33"/>
  <c r="D43" i="33"/>
  <c r="B43" i="33"/>
  <c r="T11" i="33" l="1"/>
  <c r="T52" i="33"/>
  <c r="Y14" i="33"/>
  <c r="AA14" i="33"/>
  <c r="AC14" i="33" s="1"/>
  <c r="AB32" i="33"/>
  <c r="AB31" i="33" l="1"/>
  <c r="AC31" i="33" s="1"/>
  <c r="AD14" i="33"/>
  <c r="AE14" i="33" s="1"/>
  <c r="AF14" i="33" s="1"/>
  <c r="AC32" i="33"/>
  <c r="AE31" i="33" l="1"/>
  <c r="AF31" i="33" s="1"/>
  <c r="AE32" i="33"/>
  <c r="AG14" i="33"/>
  <c r="AK14" i="33" s="1"/>
  <c r="AC34" i="33" l="1"/>
  <c r="AC12" i="33" s="1"/>
  <c r="AC11" i="33" s="1"/>
  <c r="AH14" i="33"/>
  <c r="AF32" i="33"/>
  <c r="AG32" i="33" s="1"/>
  <c r="AG31" i="33"/>
  <c r="AH31" i="33" s="1"/>
  <c r="AI31" i="33" s="1"/>
  <c r="AJ31" i="33" s="1"/>
  <c r="G570" i="23"/>
  <c r="AK31" i="33" l="1"/>
  <c r="AK32" i="33"/>
  <c r="AI14" i="33"/>
  <c r="AD34" i="33"/>
  <c r="AD12" i="33" s="1"/>
  <c r="AD11" i="33" s="1"/>
  <c r="AE34" i="33"/>
  <c r="AH32" i="33"/>
  <c r="AI32" i="33" s="1"/>
  <c r="AJ32" i="33" s="1"/>
  <c r="G1445" i="23"/>
  <c r="AD1438" i="23" s="1"/>
  <c r="A1444" i="23"/>
  <c r="A1441" i="23"/>
  <c r="A1440" i="23"/>
  <c r="A1439" i="23"/>
  <c r="V1428" i="23"/>
  <c r="S1428" i="23"/>
  <c r="T1429" i="23" s="1"/>
  <c r="L1428" i="23"/>
  <c r="V1427" i="23"/>
  <c r="S1427" i="23"/>
  <c r="P1427" i="23"/>
  <c r="D1423" i="23"/>
  <c r="G1022" i="23"/>
  <c r="A1431" i="23" l="1"/>
  <c r="A1435" i="23"/>
  <c r="A1427" i="23"/>
  <c r="A1428" i="23"/>
  <c r="A1432" i="23"/>
  <c r="A1436" i="23"/>
  <c r="A1429" i="23"/>
  <c r="A1433" i="23"/>
  <c r="A1437" i="23"/>
  <c r="A1430" i="23"/>
  <c r="A1434" i="23"/>
  <c r="A1438" i="23"/>
  <c r="AF34" i="33"/>
  <c r="AJ14" i="33"/>
  <c r="AE12" i="33"/>
  <c r="AE11" i="33" s="1"/>
  <c r="T1428" i="23"/>
  <c r="M1427" i="23"/>
  <c r="N1427" i="23" s="1"/>
  <c r="AG34" i="33" l="1"/>
  <c r="AK34" i="33"/>
  <c r="AF12" i="33"/>
  <c r="AK13" i="33"/>
  <c r="O1427" i="23"/>
  <c r="H1428" i="23"/>
  <c r="M1428" i="23" s="1"/>
  <c r="J1427" i="23"/>
  <c r="R1427" i="23"/>
  <c r="AK12" i="33" l="1"/>
  <c r="AK11" i="33" s="1"/>
  <c r="AH34" i="33"/>
  <c r="AF3" i="33"/>
  <c r="AF11" i="33"/>
  <c r="AG12" i="33"/>
  <c r="AG11" i="33" s="1"/>
  <c r="U1427" i="23"/>
  <c r="W1427" i="23"/>
  <c r="P1428" i="23" s="1"/>
  <c r="Q1428" i="23" s="1"/>
  <c r="R1428" i="23"/>
  <c r="AH13" i="33" l="1"/>
  <c r="AH12" i="33" s="1"/>
  <c r="AJ34" i="33"/>
  <c r="AI34" i="33"/>
  <c r="U1428" i="23"/>
  <c r="W1428" i="23" s="1"/>
  <c r="P1429" i="23" s="1"/>
  <c r="Q1429" i="23" s="1"/>
  <c r="AJ13" i="33" l="1"/>
  <c r="AJ12" i="33" s="1"/>
  <c r="AI13" i="33"/>
  <c r="AI12" i="33" s="1"/>
  <c r="B325" i="22"/>
  <c r="F316" i="23" l="1"/>
  <c r="X319" i="23"/>
  <c r="W319" i="23"/>
  <c r="V319" i="23"/>
  <c r="U319" i="23"/>
  <c r="S319" i="23"/>
  <c r="R319" i="23"/>
  <c r="Q319" i="23"/>
  <c r="P319" i="23"/>
  <c r="O319" i="23"/>
  <c r="N319" i="23"/>
  <c r="M319" i="23"/>
  <c r="L319" i="23"/>
  <c r="J319" i="23"/>
  <c r="I319" i="23"/>
  <c r="H319" i="23"/>
  <c r="V307" i="23"/>
  <c r="S307" i="23"/>
  <c r="T308" i="23" s="1"/>
  <c r="K307" i="23"/>
  <c r="L307" i="23" s="1"/>
  <c r="V306" i="23"/>
  <c r="S306" i="23"/>
  <c r="D302" i="23"/>
  <c r="A318" i="23" s="1"/>
  <c r="A790" i="23"/>
  <c r="V788" i="23"/>
  <c r="S788" i="23"/>
  <c r="T789" i="23" s="1"/>
  <c r="V787" i="23"/>
  <c r="S787" i="23"/>
  <c r="K787" i="23"/>
  <c r="L787" i="23" s="1"/>
  <c r="V786" i="23"/>
  <c r="S786" i="23"/>
  <c r="V785" i="23"/>
  <c r="S785" i="23"/>
  <c r="K785" i="23"/>
  <c r="L785" i="23" s="1"/>
  <c r="V784" i="23"/>
  <c r="S784" i="23"/>
  <c r="V783" i="23"/>
  <c r="S783" i="23"/>
  <c r="K783" i="23"/>
  <c r="L783" i="23" s="1"/>
  <c r="V782" i="23"/>
  <c r="S782" i="23"/>
  <c r="K782" i="23"/>
  <c r="L782" i="23" s="1"/>
  <c r="R782" i="23" s="1"/>
  <c r="V781" i="23"/>
  <c r="S781" i="23"/>
  <c r="K781" i="23"/>
  <c r="L781" i="23" s="1"/>
  <c r="V780" i="23"/>
  <c r="S780" i="23"/>
  <c r="K780" i="23"/>
  <c r="L780" i="23" s="1"/>
  <c r="V779" i="23"/>
  <c r="S779" i="23"/>
  <c r="P779" i="23"/>
  <c r="G791" i="23"/>
  <c r="AD786" i="23" s="1"/>
  <c r="D775" i="23"/>
  <c r="A789" i="23" s="1"/>
  <c r="B723" i="22"/>
  <c r="B467" i="22"/>
  <c r="B724" i="22"/>
  <c r="B468" i="22"/>
  <c r="B511" i="22"/>
  <c r="B557" i="22"/>
  <c r="B725" i="22"/>
  <c r="B558" i="22"/>
  <c r="B559" i="22"/>
  <c r="B726" i="22"/>
  <c r="B560" i="22"/>
  <c r="B561" i="22"/>
  <c r="B727" i="22"/>
  <c r="B728" i="22"/>
  <c r="B562" i="22"/>
  <c r="B729" i="22"/>
  <c r="B567" i="22"/>
  <c r="B264" i="22"/>
  <c r="B730" i="22"/>
  <c r="B731" i="22"/>
  <c r="B573" i="22"/>
  <c r="B145" i="22"/>
  <c r="B207" i="22"/>
  <c r="B733" i="22"/>
  <c r="B732" i="22"/>
  <c r="B734" i="22"/>
  <c r="B384" i="22"/>
  <c r="B574" i="22"/>
  <c r="B575" i="22"/>
  <c r="B97" i="22"/>
  <c r="B739" i="22"/>
  <c r="B740" i="22"/>
  <c r="B87" i="22"/>
  <c r="B576" i="22"/>
  <c r="B577" i="22"/>
  <c r="B578" i="22"/>
  <c r="B579" i="22"/>
  <c r="B580" i="22"/>
  <c r="B584" i="22"/>
  <c r="B581" i="22"/>
  <c r="B582" i="22"/>
  <c r="B483" i="22"/>
  <c r="B583" i="22"/>
  <c r="B736" i="22"/>
  <c r="B738" i="22"/>
  <c r="B741" i="22"/>
  <c r="B737" i="22"/>
  <c r="B742" i="22"/>
  <c r="B385" i="22"/>
  <c r="B146" i="22"/>
  <c r="B65" i="22"/>
  <c r="B484" i="22"/>
  <c r="B332" i="22"/>
  <c r="B473" i="22"/>
  <c r="B585" i="22"/>
  <c r="B586" i="22"/>
  <c r="B348" i="22"/>
  <c r="B743" i="22"/>
  <c r="B744" i="22"/>
  <c r="B745" i="22"/>
  <c r="B588" i="22"/>
  <c r="B587" i="22"/>
  <c r="B589" i="22"/>
  <c r="B341" i="22"/>
  <c r="B15" i="22"/>
  <c r="B469" i="22"/>
  <c r="B391" i="22"/>
  <c r="B190" i="22"/>
  <c r="B590" i="22"/>
  <c r="B591" i="22"/>
  <c r="B592" i="22"/>
  <c r="B593" i="22"/>
  <c r="B594" i="22"/>
  <c r="B595" i="22"/>
  <c r="B596" i="22"/>
  <c r="B597" i="22"/>
  <c r="B598" i="22"/>
  <c r="B148" i="22"/>
  <c r="B599" i="22"/>
  <c r="B600" i="22"/>
  <c r="B601" i="22"/>
  <c r="B129" i="22"/>
  <c r="B602" i="22"/>
  <c r="B603" i="22"/>
  <c r="B249" i="22"/>
  <c r="B604" i="22"/>
  <c r="B184" i="22"/>
  <c r="B485" i="22"/>
  <c r="B474" i="22"/>
  <c r="B605" i="22"/>
  <c r="B278" i="22"/>
  <c r="B435" i="22"/>
  <c r="B606" i="22"/>
  <c r="B607" i="22"/>
  <c r="B749" i="22"/>
  <c r="B747" i="22"/>
  <c r="B219" i="22"/>
  <c r="B750" i="22"/>
  <c r="B748" i="22"/>
  <c r="B99" i="22"/>
  <c r="B83" i="22"/>
  <c r="B236" i="22"/>
  <c r="B608" i="22"/>
  <c r="B609" i="22"/>
  <c r="B610" i="22"/>
  <c r="B137" i="22"/>
  <c r="B424" i="22"/>
  <c r="B611" i="22"/>
  <c r="B622" i="22"/>
  <c r="B612" i="22"/>
  <c r="B152" i="22"/>
  <c r="B613" i="22"/>
  <c r="B614" i="22"/>
  <c r="B72" i="22"/>
  <c r="B615" i="22"/>
  <c r="B616" i="22"/>
  <c r="B617" i="22"/>
  <c r="B618" i="22"/>
  <c r="B746" i="22"/>
  <c r="B619" i="22"/>
  <c r="B620" i="22"/>
  <c r="B621" i="22"/>
  <c r="B191" i="22"/>
  <c r="B250" i="22"/>
  <c r="B112" i="22"/>
  <c r="B326" i="22"/>
  <c r="B209" i="22"/>
  <c r="B100" i="22"/>
  <c r="B751" i="22"/>
  <c r="B624" i="22"/>
  <c r="B625" i="22"/>
  <c r="B274" i="22"/>
  <c r="B493" i="22"/>
  <c r="B626" i="22"/>
  <c r="B68" i="22"/>
  <c r="B629" i="22"/>
  <c r="B427" i="22"/>
  <c r="B442" i="22"/>
  <c r="B351" i="22"/>
  <c r="B352" i="22"/>
  <c r="B67" i="22"/>
  <c r="B630" i="22"/>
  <c r="B631" i="22"/>
  <c r="B306" i="22"/>
  <c r="B632" i="22"/>
  <c r="B633" i="22"/>
  <c r="B282" i="22"/>
  <c r="B413" i="22"/>
  <c r="B634" i="22"/>
  <c r="B635" i="22"/>
  <c r="B636" i="22"/>
  <c r="B637" i="22"/>
  <c r="B638" i="22"/>
  <c r="B639" i="22"/>
  <c r="B515" i="22"/>
  <c r="B640" i="22"/>
  <c r="B641" i="22"/>
  <c r="B642" i="22"/>
  <c r="B643" i="22"/>
  <c r="B481" i="22"/>
  <c r="B644" i="22"/>
  <c r="B62" i="22"/>
  <c r="B61" i="22"/>
  <c r="B153" i="22"/>
  <c r="B645" i="22"/>
  <c r="B243" i="22"/>
  <c r="B494" i="22"/>
  <c r="B646" i="22"/>
  <c r="B429" i="22"/>
  <c r="B251" i="22"/>
  <c r="B647" i="22"/>
  <c r="B329" i="22"/>
  <c r="B237" i="22"/>
  <c r="B436" i="22"/>
  <c r="B648" i="22"/>
  <c r="B22" i="22"/>
  <c r="B649" i="22"/>
  <c r="B650" i="22"/>
  <c r="B318" i="22"/>
  <c r="B210" i="22"/>
  <c r="B527" i="22"/>
  <c r="A780" i="23" l="1"/>
  <c r="A784" i="23"/>
  <c r="A788" i="23"/>
  <c r="A781" i="23"/>
  <c r="A785" i="23"/>
  <c r="A779" i="23"/>
  <c r="A787" i="23"/>
  <c r="A782" i="23"/>
  <c r="A786" i="23"/>
  <c r="A783" i="23"/>
  <c r="A307" i="23"/>
  <c r="A311" i="23"/>
  <c r="A315" i="23"/>
  <c r="A310" i="23"/>
  <c r="A314" i="23"/>
  <c r="A306" i="23"/>
  <c r="A308" i="23"/>
  <c r="A312" i="23"/>
  <c r="A309" i="23"/>
  <c r="A313" i="23"/>
  <c r="F317" i="23"/>
  <c r="S316" i="23"/>
  <c r="T316" i="23" s="1"/>
  <c r="V316" i="23"/>
  <c r="T785" i="23"/>
  <c r="T783" i="23"/>
  <c r="T782" i="23"/>
  <c r="U782" i="23" s="1"/>
  <c r="T784" i="23"/>
  <c r="T788" i="23"/>
  <c r="T307" i="23"/>
  <c r="T780" i="23"/>
  <c r="T781" i="23"/>
  <c r="U781" i="23" s="1"/>
  <c r="T787" i="23"/>
  <c r="T786" i="23"/>
  <c r="M306" i="23"/>
  <c r="N306" i="23" s="1"/>
  <c r="G320" i="23"/>
  <c r="AD307" i="23" s="1"/>
  <c r="P306" i="23"/>
  <c r="M779" i="23"/>
  <c r="N779" i="23" s="1"/>
  <c r="A316" i="23" l="1"/>
  <c r="S317" i="23"/>
  <c r="T318" i="23" s="1"/>
  <c r="V317" i="23"/>
  <c r="R306" i="23"/>
  <c r="J306" i="23"/>
  <c r="H307" i="23"/>
  <c r="M307" i="23" s="1"/>
  <c r="O306" i="23"/>
  <c r="H780" i="23"/>
  <c r="O779" i="23"/>
  <c r="J779" i="23"/>
  <c r="R779" i="23"/>
  <c r="T317" i="23" l="1"/>
  <c r="A317" i="23"/>
  <c r="U306" i="23"/>
  <c r="W306" i="23"/>
  <c r="P307" i="23" s="1"/>
  <c r="Q307" i="23" s="1"/>
  <c r="R307" i="23"/>
  <c r="U779" i="23"/>
  <c r="W779" i="23"/>
  <c r="P780" i="23" s="1"/>
  <c r="Q780" i="23" s="1"/>
  <c r="R780" i="23"/>
  <c r="U780" i="23" s="1"/>
  <c r="U307" i="23" l="1"/>
  <c r="W307" i="23" s="1"/>
  <c r="P308" i="23" s="1"/>
  <c r="Q308" i="23" s="1"/>
  <c r="W780" i="23"/>
  <c r="P781" i="23" s="1"/>
  <c r="Q781" i="23" s="1"/>
  <c r="W781" i="23" s="1"/>
  <c r="P782" i="23" s="1"/>
  <c r="Q782" i="23" s="1"/>
  <c r="W782" i="23" s="1"/>
  <c r="P783" i="23" s="1"/>
  <c r="Q783" i="23" s="1"/>
  <c r="A1716" i="23" l="1"/>
  <c r="V1701" i="23"/>
  <c r="S1701" i="23"/>
  <c r="T1702" i="23" s="1"/>
  <c r="K1701" i="23"/>
  <c r="L1701" i="23" s="1"/>
  <c r="V1700" i="23"/>
  <c r="S1700" i="23"/>
  <c r="D1696" i="23"/>
  <c r="K685" i="23"/>
  <c r="L685" i="23" s="1"/>
  <c r="S685" i="23"/>
  <c r="T686" i="23" s="1"/>
  <c r="V685" i="23"/>
  <c r="K683" i="23"/>
  <c r="L683" i="23" s="1"/>
  <c r="S683" i="23"/>
  <c r="V683" i="23"/>
  <c r="K684" i="23"/>
  <c r="L684" i="23" s="1"/>
  <c r="S684" i="23"/>
  <c r="V684" i="23"/>
  <c r="G536" i="23"/>
  <c r="AD524" i="23" s="1"/>
  <c r="X535" i="23"/>
  <c r="W535" i="23"/>
  <c r="V535" i="23"/>
  <c r="U535" i="23"/>
  <c r="S535" i="23"/>
  <c r="R535" i="23"/>
  <c r="Q535" i="23"/>
  <c r="P535" i="23"/>
  <c r="O535" i="23"/>
  <c r="N535" i="23"/>
  <c r="M535" i="23"/>
  <c r="L535" i="23"/>
  <c r="J535" i="23"/>
  <c r="I535" i="23"/>
  <c r="H535" i="23"/>
  <c r="V521" i="23"/>
  <c r="S521" i="23"/>
  <c r="T522" i="23" s="1"/>
  <c r="K521" i="23"/>
  <c r="L521" i="23" s="1"/>
  <c r="V520" i="23"/>
  <c r="S520" i="23"/>
  <c r="P520" i="23"/>
  <c r="D516" i="23"/>
  <c r="B186" i="22"/>
  <c r="B199" i="22"/>
  <c r="B551" i="22"/>
  <c r="B292" i="22"/>
  <c r="B280" i="22"/>
  <c r="B503" i="22"/>
  <c r="B230" i="22"/>
  <c r="B445" i="22"/>
  <c r="B382" i="22"/>
  <c r="B722" i="22"/>
  <c r="B717" i="22"/>
  <c r="B718" i="22"/>
  <c r="B98" i="22"/>
  <c r="B417" i="22"/>
  <c r="B408" i="22"/>
  <c r="B356" i="22"/>
  <c r="B267" i="22"/>
  <c r="B187" i="22"/>
  <c r="B552" i="22"/>
  <c r="B524" i="22"/>
  <c r="B553" i="22"/>
  <c r="B719" i="22"/>
  <c r="B554" i="22"/>
  <c r="B555" i="22"/>
  <c r="B720" i="22"/>
  <c r="B721" i="22"/>
  <c r="G126" i="23"/>
  <c r="AD119" i="23" s="1"/>
  <c r="X125" i="23"/>
  <c r="W125" i="23"/>
  <c r="V125" i="23"/>
  <c r="U125" i="23"/>
  <c r="S125" i="23"/>
  <c r="R125" i="23"/>
  <c r="Q125" i="23"/>
  <c r="P125" i="23"/>
  <c r="O125" i="23"/>
  <c r="N125" i="23"/>
  <c r="M125" i="23"/>
  <c r="L125" i="23"/>
  <c r="J125" i="23"/>
  <c r="I125" i="23"/>
  <c r="H125" i="23"/>
  <c r="V115" i="23"/>
  <c r="S115" i="23"/>
  <c r="T116" i="23" s="1"/>
  <c r="K115" i="23"/>
  <c r="L115" i="23" s="1"/>
  <c r="V114" i="23"/>
  <c r="S114" i="23"/>
  <c r="P114" i="23"/>
  <c r="D110" i="23"/>
  <c r="K248" i="23"/>
  <c r="L248" i="23" s="1"/>
  <c r="K249" i="23"/>
  <c r="L249" i="23" s="1"/>
  <c r="S89" i="22"/>
  <c r="G241" i="23"/>
  <c r="G252" i="23" s="1"/>
  <c r="AD240" i="23" s="1"/>
  <c r="X251" i="23"/>
  <c r="W251" i="23"/>
  <c r="V251" i="23"/>
  <c r="U251" i="23"/>
  <c r="S251" i="23"/>
  <c r="R251" i="23"/>
  <c r="Q251" i="23"/>
  <c r="P251" i="23"/>
  <c r="O251" i="23"/>
  <c r="N251" i="23"/>
  <c r="M251" i="23"/>
  <c r="L251" i="23"/>
  <c r="J251" i="23"/>
  <c r="I251" i="23"/>
  <c r="H251" i="23"/>
  <c r="K247" i="23"/>
  <c r="L247" i="23" s="1"/>
  <c r="K246" i="23"/>
  <c r="L246" i="23" s="1"/>
  <c r="F246" i="23"/>
  <c r="F247" i="23" s="1"/>
  <c r="F248" i="23" s="1"/>
  <c r="V245" i="23"/>
  <c r="S245" i="23"/>
  <c r="V244" i="23"/>
  <c r="S244" i="23"/>
  <c r="V243" i="23"/>
  <c r="S243" i="23"/>
  <c r="K243" i="23"/>
  <c r="L243" i="23" s="1"/>
  <c r="V242" i="23"/>
  <c r="S242" i="23"/>
  <c r="V241" i="23"/>
  <c r="S241" i="23"/>
  <c r="V240" i="23"/>
  <c r="S240" i="23"/>
  <c r="K240" i="23"/>
  <c r="L240" i="23" s="1"/>
  <c r="V239" i="23"/>
  <c r="S239" i="23"/>
  <c r="P239" i="23"/>
  <c r="D235" i="23"/>
  <c r="B91" i="22"/>
  <c r="B90" i="22"/>
  <c r="B60" i="22"/>
  <c r="B375" i="22"/>
  <c r="B444" i="22"/>
  <c r="B709" i="22"/>
  <c r="B712" i="22"/>
  <c r="B685" i="22"/>
  <c r="B698" i="22"/>
  <c r="B700" i="22"/>
  <c r="B691" i="22"/>
  <c r="B686" i="22"/>
  <c r="B687" i="22"/>
  <c r="B702" i="22"/>
  <c r="B684" i="22"/>
  <c r="B701" i="22"/>
  <c r="B708" i="22"/>
  <c r="B707" i="22"/>
  <c r="B703" i="22"/>
  <c r="B714" i="22"/>
  <c r="B689" i="22"/>
  <c r="B711" i="22"/>
  <c r="B699" i="22"/>
  <c r="B693" i="22"/>
  <c r="B696" i="22"/>
  <c r="B695" i="22"/>
  <c r="K1315" i="23"/>
  <c r="L1315" i="23" s="1"/>
  <c r="S1315" i="23"/>
  <c r="V1315" i="23"/>
  <c r="S1316" i="23"/>
  <c r="V1316" i="23"/>
  <c r="S1317" i="23"/>
  <c r="T1318" i="23" s="1"/>
  <c r="V1317" i="23"/>
  <c r="S394" i="22"/>
  <c r="S252" i="22"/>
  <c r="A809" i="23"/>
  <c r="V807" i="23"/>
  <c r="S807" i="23"/>
  <c r="T808" i="23" s="1"/>
  <c r="K807" i="23"/>
  <c r="L807" i="23" s="1"/>
  <c r="V806" i="23"/>
  <c r="S806" i="23"/>
  <c r="K806" i="23"/>
  <c r="L806" i="23" s="1"/>
  <c r="V805" i="23"/>
  <c r="S805" i="23"/>
  <c r="K805" i="23"/>
  <c r="L805" i="23" s="1"/>
  <c r="V804" i="23"/>
  <c r="S804" i="23"/>
  <c r="K804" i="23"/>
  <c r="L804" i="23" s="1"/>
  <c r="V803" i="23"/>
  <c r="S803" i="23"/>
  <c r="K803" i="23"/>
  <c r="L803" i="23" s="1"/>
  <c r="V802" i="23"/>
  <c r="S802" i="23"/>
  <c r="K802" i="23"/>
  <c r="L802" i="23" s="1"/>
  <c r="V801" i="23"/>
  <c r="S801" i="23"/>
  <c r="K801" i="23"/>
  <c r="L801" i="23" s="1"/>
  <c r="R801" i="23" s="1"/>
  <c r="V800" i="23"/>
  <c r="S800" i="23"/>
  <c r="K800" i="23"/>
  <c r="L800" i="23" s="1"/>
  <c r="V799" i="23"/>
  <c r="S799" i="23"/>
  <c r="V798" i="23"/>
  <c r="S798" i="23"/>
  <c r="P798" i="23"/>
  <c r="G810" i="23"/>
  <c r="AD805" i="23" s="1"/>
  <c r="D794" i="23"/>
  <c r="A808" i="23" s="1"/>
  <c r="A799" i="23" l="1"/>
  <c r="A803" i="23"/>
  <c r="A807" i="23"/>
  <c r="A800" i="23"/>
  <c r="A804" i="23"/>
  <c r="A798" i="23"/>
  <c r="A801" i="23"/>
  <c r="A805" i="23"/>
  <c r="A802" i="23"/>
  <c r="A806" i="23"/>
  <c r="A523" i="23"/>
  <c r="A527" i="23"/>
  <c r="A531" i="23"/>
  <c r="A522" i="23"/>
  <c r="A520" i="23"/>
  <c r="A524" i="23"/>
  <c r="A528" i="23"/>
  <c r="A532" i="23"/>
  <c r="A526" i="23"/>
  <c r="A521" i="23"/>
  <c r="A525" i="23"/>
  <c r="A529" i="23"/>
  <c r="A533" i="23"/>
  <c r="A530" i="23"/>
  <c r="A534" i="23"/>
  <c r="T240" i="23"/>
  <c r="A240" i="23"/>
  <c r="A244" i="23"/>
  <c r="A241" i="23"/>
  <c r="A245" i="23"/>
  <c r="A242" i="23"/>
  <c r="A239" i="23"/>
  <c r="A243" i="23"/>
  <c r="A117" i="23"/>
  <c r="A122" i="23"/>
  <c r="A118" i="23"/>
  <c r="A123" i="23"/>
  <c r="A114" i="23"/>
  <c r="A115" i="23"/>
  <c r="A121" i="23"/>
  <c r="A119" i="23"/>
  <c r="A116" i="23"/>
  <c r="A120" i="23"/>
  <c r="A124" i="23"/>
  <c r="A1703" i="23"/>
  <c r="A1707" i="23"/>
  <c r="A1711" i="23"/>
  <c r="A1715" i="23"/>
  <c r="A1704" i="23"/>
  <c r="A1708" i="23"/>
  <c r="A1712" i="23"/>
  <c r="A1700" i="23"/>
  <c r="A1701" i="23"/>
  <c r="A1705" i="23"/>
  <c r="A1709" i="23"/>
  <c r="A1713" i="23"/>
  <c r="A1702" i="23"/>
  <c r="A1706" i="23"/>
  <c r="A1710" i="23"/>
  <c r="A1714" i="23"/>
  <c r="T1317" i="23"/>
  <c r="T1701" i="23"/>
  <c r="T684" i="23"/>
  <c r="T806" i="23"/>
  <c r="T1316" i="23"/>
  <c r="T685" i="23"/>
  <c r="M1700" i="23"/>
  <c r="N1700" i="23" s="1"/>
  <c r="T521" i="23"/>
  <c r="G1717" i="23"/>
  <c r="AD1704" i="23" s="1"/>
  <c r="P1700" i="23"/>
  <c r="R685" i="23"/>
  <c r="R686" i="23" s="1"/>
  <c r="U686" i="23" s="1"/>
  <c r="T799" i="23"/>
  <c r="T804" i="23"/>
  <c r="T807" i="23"/>
  <c r="T241" i="23"/>
  <c r="F249" i="23"/>
  <c r="S248" i="23"/>
  <c r="A248" i="23" s="1"/>
  <c r="V248" i="23"/>
  <c r="M520" i="23"/>
  <c r="N520" i="23" s="1"/>
  <c r="T115" i="23"/>
  <c r="M114" i="23"/>
  <c r="N114" i="23" s="1"/>
  <c r="T244" i="23"/>
  <c r="S246" i="23"/>
  <c r="T246" i="23" s="1"/>
  <c r="T245" i="23"/>
  <c r="T242" i="23"/>
  <c r="S247" i="23"/>
  <c r="A247" i="23" s="1"/>
  <c r="V247" i="23"/>
  <c r="M239" i="23"/>
  <c r="N239" i="23" s="1"/>
  <c r="V246" i="23"/>
  <c r="T243" i="23"/>
  <c r="T800" i="23"/>
  <c r="U800" i="23" s="1"/>
  <c r="T805" i="23"/>
  <c r="T801" i="23"/>
  <c r="U801" i="23" s="1"/>
  <c r="T803" i="23"/>
  <c r="T802" i="23"/>
  <c r="M798" i="23"/>
  <c r="N798" i="23" s="1"/>
  <c r="A246" i="23" l="1"/>
  <c r="AI170" i="34"/>
  <c r="R1700" i="23"/>
  <c r="U1700" i="23" s="1"/>
  <c r="U685" i="23"/>
  <c r="J1700" i="23"/>
  <c r="H1701" i="23"/>
  <c r="M1701" i="23" s="1"/>
  <c r="O1700" i="23"/>
  <c r="H521" i="23"/>
  <c r="J520" i="23"/>
  <c r="O520" i="23"/>
  <c r="R520" i="23"/>
  <c r="S249" i="23"/>
  <c r="T250" i="23" s="1"/>
  <c r="V249" i="23"/>
  <c r="R114" i="23"/>
  <c r="J114" i="23"/>
  <c r="O114" i="23"/>
  <c r="H115" i="23"/>
  <c r="M115" i="23" s="1"/>
  <c r="T247" i="23"/>
  <c r="T248" i="23"/>
  <c r="H240" i="23"/>
  <c r="M240" i="23" s="1"/>
  <c r="O239" i="23"/>
  <c r="J239" i="23"/>
  <c r="R239" i="23"/>
  <c r="H799" i="23"/>
  <c r="O798" i="23"/>
  <c r="J798" i="23"/>
  <c r="R798" i="23"/>
  <c r="T249" i="23" l="1"/>
  <c r="A249" i="23"/>
  <c r="W1700" i="23"/>
  <c r="P1701" i="23" s="1"/>
  <c r="Q1701" i="23" s="1"/>
  <c r="R1701" i="23"/>
  <c r="W520" i="23"/>
  <c r="P521" i="23" s="1"/>
  <c r="Q521" i="23" s="1"/>
  <c r="U520" i="23"/>
  <c r="R521" i="23"/>
  <c r="U521" i="23" s="1"/>
  <c r="W114" i="23"/>
  <c r="P115" i="23" s="1"/>
  <c r="Q115" i="23" s="1"/>
  <c r="U114" i="23"/>
  <c r="R115" i="23"/>
  <c r="U115" i="23" s="1"/>
  <c r="U239" i="23"/>
  <c r="W239" i="23"/>
  <c r="P240" i="23" s="1"/>
  <c r="Q240" i="23" s="1"/>
  <c r="R240" i="23"/>
  <c r="U240" i="23" s="1"/>
  <c r="U798" i="23"/>
  <c r="W798" i="23"/>
  <c r="U1701" i="23" l="1"/>
  <c r="R1702" i="23"/>
  <c r="U1702" i="23" s="1"/>
  <c r="W521" i="23"/>
  <c r="P522" i="23" s="1"/>
  <c r="Q522" i="23" s="1"/>
  <c r="W240" i="23"/>
  <c r="P241" i="23" s="1"/>
  <c r="Q241" i="23" s="1"/>
  <c r="W115" i="23"/>
  <c r="P116" i="23" s="1"/>
  <c r="Q116" i="23" s="1"/>
  <c r="P799" i="23"/>
  <c r="Q799" i="23" s="1"/>
  <c r="K799" i="23"/>
  <c r="L799" i="23" s="1"/>
  <c r="G1123" i="23"/>
  <c r="G1377" i="23"/>
  <c r="G1679" i="23"/>
  <c r="S497" i="22"/>
  <c r="K1667" i="23"/>
  <c r="G1672" i="23"/>
  <c r="AD1667" i="23" s="1"/>
  <c r="A1671" i="23"/>
  <c r="A1670" i="23"/>
  <c r="V1668" i="23"/>
  <c r="S1668" i="23"/>
  <c r="T1669" i="23" s="1"/>
  <c r="V1667" i="23"/>
  <c r="S1667" i="23"/>
  <c r="V1666" i="23"/>
  <c r="S1666" i="23"/>
  <c r="L1666" i="23"/>
  <c r="R1666" i="23" s="1"/>
  <c r="V1665" i="23"/>
  <c r="S1665" i="23"/>
  <c r="L1665" i="23"/>
  <c r="V1664" i="23"/>
  <c r="S1664" i="23"/>
  <c r="L1664" i="23"/>
  <c r="V1663" i="23"/>
  <c r="S1663" i="23"/>
  <c r="L1663" i="23"/>
  <c r="V1662" i="23"/>
  <c r="S1662" i="23"/>
  <c r="L1662" i="23"/>
  <c r="V1661" i="23"/>
  <c r="S1661" i="23"/>
  <c r="L1661" i="23"/>
  <c r="V1660" i="23"/>
  <c r="S1660" i="23"/>
  <c r="L1660" i="23"/>
  <c r="V1659" i="23"/>
  <c r="S1659" i="23"/>
  <c r="V1658" i="23"/>
  <c r="S1658" i="23"/>
  <c r="V1657" i="23"/>
  <c r="S1657" i="23"/>
  <c r="P1657" i="23"/>
  <c r="D1653" i="23"/>
  <c r="S125" i="22"/>
  <c r="K357" i="23"/>
  <c r="L357" i="23" s="1"/>
  <c r="S357" i="23"/>
  <c r="V357" i="23"/>
  <c r="K358" i="23"/>
  <c r="L358" i="23" s="1"/>
  <c r="S358" i="23"/>
  <c r="T359" i="23" s="1"/>
  <c r="V358" i="23"/>
  <c r="G350" i="23"/>
  <c r="X361" i="23"/>
  <c r="W361" i="23"/>
  <c r="V361" i="23"/>
  <c r="U361" i="23"/>
  <c r="S361" i="23"/>
  <c r="R361" i="23"/>
  <c r="Q361" i="23"/>
  <c r="P361" i="23"/>
  <c r="O361" i="23"/>
  <c r="N361" i="23"/>
  <c r="M361" i="23"/>
  <c r="L361" i="23"/>
  <c r="J361" i="23"/>
  <c r="I361" i="23"/>
  <c r="H361" i="23"/>
  <c r="K356" i="23"/>
  <c r="L356" i="23" s="1"/>
  <c r="V355" i="23"/>
  <c r="S355" i="23"/>
  <c r="V354" i="23"/>
  <c r="S354" i="23"/>
  <c r="K354" i="23"/>
  <c r="L354" i="23" s="1"/>
  <c r="V353" i="23"/>
  <c r="S353" i="23"/>
  <c r="V352" i="23"/>
  <c r="S352" i="23"/>
  <c r="K352" i="23"/>
  <c r="L352" i="23" s="1"/>
  <c r="V351" i="23"/>
  <c r="S351" i="23"/>
  <c r="V350" i="23"/>
  <c r="S350" i="23"/>
  <c r="D346" i="23"/>
  <c r="A359" i="23" s="1"/>
  <c r="A351" i="23" l="1"/>
  <c r="A355" i="23"/>
  <c r="A350" i="23"/>
  <c r="A352" i="23"/>
  <c r="A353" i="23"/>
  <c r="A357" i="23"/>
  <c r="A354" i="23"/>
  <c r="A358" i="23"/>
  <c r="W1701" i="23"/>
  <c r="P1702" i="23" s="1"/>
  <c r="Q1702" i="23" s="1"/>
  <c r="W1702" i="23" s="1"/>
  <c r="P1703" i="23" s="1"/>
  <c r="Q1703" i="23" s="1"/>
  <c r="A1659" i="23"/>
  <c r="A1663" i="23"/>
  <c r="A1667" i="23"/>
  <c r="A1660" i="23"/>
  <c r="A1664" i="23"/>
  <c r="A1668" i="23"/>
  <c r="A1661" i="23"/>
  <c r="A1665" i="23"/>
  <c r="A1669" i="23"/>
  <c r="A1658" i="23"/>
  <c r="A1662" i="23"/>
  <c r="A1666" i="23"/>
  <c r="A1657" i="23"/>
  <c r="T1658" i="23"/>
  <c r="T1662" i="23"/>
  <c r="T1666" i="23"/>
  <c r="U1666" i="23" s="1"/>
  <c r="T358" i="23"/>
  <c r="T1668" i="23"/>
  <c r="T1665" i="23"/>
  <c r="U1665" i="23" s="1"/>
  <c r="T1667" i="23"/>
  <c r="T1664" i="23"/>
  <c r="T1663" i="23"/>
  <c r="T1660" i="23"/>
  <c r="T1659" i="23"/>
  <c r="M1657" i="23"/>
  <c r="N1657" i="23" s="1"/>
  <c r="T1661" i="23"/>
  <c r="L1667" i="23"/>
  <c r="M1667" i="23" s="1"/>
  <c r="T354" i="23"/>
  <c r="S356" i="23"/>
  <c r="A356" i="23" s="1"/>
  <c r="T355" i="23"/>
  <c r="V356" i="23"/>
  <c r="T353" i="23"/>
  <c r="T352" i="23"/>
  <c r="T351" i="23"/>
  <c r="M350" i="23"/>
  <c r="N350" i="23" s="1"/>
  <c r="G362" i="23"/>
  <c r="AD351" i="23" s="1"/>
  <c r="P350" i="23"/>
  <c r="H1659" i="23" l="1"/>
  <c r="H1658" i="23"/>
  <c r="J1657" i="23"/>
  <c r="O1657" i="23"/>
  <c r="R1657" i="23"/>
  <c r="T356" i="23"/>
  <c r="T357" i="23"/>
  <c r="J350" i="23"/>
  <c r="H351" i="23"/>
  <c r="K351" i="23" s="1"/>
  <c r="L351" i="23" s="1"/>
  <c r="O350" i="23"/>
  <c r="R350" i="23"/>
  <c r="W1657" i="23" l="1"/>
  <c r="U1657" i="23"/>
  <c r="L1659" i="23"/>
  <c r="M1659" i="23" s="1"/>
  <c r="U350" i="23"/>
  <c r="W350" i="23"/>
  <c r="P351" i="23" s="1"/>
  <c r="Q351" i="23" s="1"/>
  <c r="P1658" i="23" l="1"/>
  <c r="Q1658" i="23" s="1"/>
  <c r="L1658" i="23"/>
  <c r="M1658" i="23" s="1"/>
  <c r="O10" i="30" l="1"/>
  <c r="P72" i="29"/>
  <c r="P69" i="29"/>
  <c r="Q39" i="29"/>
  <c r="R39" i="29" s="1"/>
  <c r="R36" i="29"/>
  <c r="R35" i="29"/>
  <c r="Q12" i="29"/>
  <c r="Q11" i="29"/>
  <c r="B518" i="22" l="1"/>
  <c r="B252" i="22"/>
  <c r="B539" i="22"/>
  <c r="B337" i="22"/>
  <c r="B394" i="22"/>
  <c r="B477" i="22"/>
  <c r="B548" i="22"/>
  <c r="B378" i="22"/>
  <c r="B379" i="22"/>
  <c r="B549" i="22"/>
  <c r="B371" i="22"/>
  <c r="B376" i="22"/>
  <c r="B377" i="22"/>
  <c r="B374" i="22"/>
  <c r="B372" i="22"/>
  <c r="B239" i="22"/>
  <c r="B373" i="22"/>
  <c r="B704" i="22"/>
  <c r="B690" i="22"/>
  <c r="B692" i="22"/>
  <c r="B715" i="22"/>
  <c r="B706" i="22"/>
  <c r="B710" i="22"/>
  <c r="B680" i="22"/>
  <c r="B682" i="22"/>
  <c r="B694" i="22"/>
  <c r="S521" i="22"/>
  <c r="G1784" i="23"/>
  <c r="AD1778" i="23" s="1"/>
  <c r="A1783" i="23"/>
  <c r="V1780" i="23"/>
  <c r="S1780" i="23"/>
  <c r="T1781" i="23" s="1"/>
  <c r="V1779" i="23"/>
  <c r="S1779" i="23"/>
  <c r="K1779" i="23"/>
  <c r="L1779" i="23" s="1"/>
  <c r="V1778" i="23"/>
  <c r="S1778" i="23"/>
  <c r="K1778" i="23"/>
  <c r="L1778" i="23" s="1"/>
  <c r="V1777" i="23"/>
  <c r="S1777" i="23"/>
  <c r="V1776" i="23"/>
  <c r="S1776" i="23"/>
  <c r="K1776" i="23"/>
  <c r="L1776" i="23" s="1"/>
  <c r="V1775" i="23"/>
  <c r="S1775" i="23"/>
  <c r="K1775" i="23"/>
  <c r="L1775" i="23" s="1"/>
  <c r="V1774" i="23"/>
  <c r="S1774" i="23"/>
  <c r="V1773" i="23"/>
  <c r="S1773" i="23"/>
  <c r="K1773" i="23"/>
  <c r="L1773" i="23" s="1"/>
  <c r="V1772" i="23"/>
  <c r="S1772" i="23"/>
  <c r="P1772" i="23"/>
  <c r="D1768" i="23"/>
  <c r="B265" i="22"/>
  <c r="B198" i="22"/>
  <c r="B502" i="22"/>
  <c r="B521" i="22"/>
  <c r="G741" i="23"/>
  <c r="B713" i="22"/>
  <c r="K680" i="23"/>
  <c r="L680" i="23" s="1"/>
  <c r="S680" i="23"/>
  <c r="V680" i="23"/>
  <c r="K681" i="23"/>
  <c r="L681" i="23" s="1"/>
  <c r="S681" i="23"/>
  <c r="V681" i="23"/>
  <c r="K682" i="23"/>
  <c r="L682" i="23" s="1"/>
  <c r="S682" i="23"/>
  <c r="T683" i="23" s="1"/>
  <c r="V682" i="23"/>
  <c r="G673" i="23"/>
  <c r="G688" i="23" s="1"/>
  <c r="AD679" i="23" s="1"/>
  <c r="X687" i="23"/>
  <c r="W687" i="23"/>
  <c r="V687" i="23"/>
  <c r="U687" i="23"/>
  <c r="S687" i="23"/>
  <c r="R687" i="23"/>
  <c r="Q687" i="23"/>
  <c r="P687" i="23"/>
  <c r="O687" i="23"/>
  <c r="N687" i="23"/>
  <c r="M687" i="23"/>
  <c r="L687" i="23"/>
  <c r="J687" i="23"/>
  <c r="I687" i="23"/>
  <c r="H687" i="23"/>
  <c r="V679" i="23"/>
  <c r="S679" i="23"/>
  <c r="K679" i="23"/>
  <c r="L679" i="23" s="1"/>
  <c r="V678" i="23"/>
  <c r="S678" i="23"/>
  <c r="K678" i="23"/>
  <c r="L678" i="23" s="1"/>
  <c r="V677" i="23"/>
  <c r="S677" i="23"/>
  <c r="V676" i="23"/>
  <c r="S676" i="23"/>
  <c r="V675" i="23"/>
  <c r="S675" i="23"/>
  <c r="V674" i="23"/>
  <c r="S674" i="23"/>
  <c r="V673" i="23"/>
  <c r="S673" i="23"/>
  <c r="D669" i="23"/>
  <c r="A686" i="23" s="1"/>
  <c r="G1470" i="23"/>
  <c r="AD1461" i="23" s="1"/>
  <c r="A1469" i="23"/>
  <c r="V1453" i="23"/>
  <c r="S1453" i="23"/>
  <c r="T1454" i="23" s="1"/>
  <c r="L1453" i="23"/>
  <c r="V1452" i="23"/>
  <c r="S1452" i="23"/>
  <c r="P1452" i="23"/>
  <c r="D1448" i="23"/>
  <c r="T1773" i="23" l="1"/>
  <c r="A1776" i="23"/>
  <c r="A1780" i="23"/>
  <c r="A1773" i="23"/>
  <c r="A1777" i="23"/>
  <c r="A1781" i="23"/>
  <c r="A1774" i="23"/>
  <c r="A1778" i="23"/>
  <c r="A1782" i="23"/>
  <c r="A1775" i="23"/>
  <c r="A1779" i="23"/>
  <c r="A1772" i="23"/>
  <c r="A1468" i="23"/>
  <c r="A1455" i="23"/>
  <c r="A1456" i="23"/>
  <c r="A1454" i="23"/>
  <c r="A1453" i="23"/>
  <c r="A1458" i="23"/>
  <c r="A1462" i="23"/>
  <c r="A1466" i="23"/>
  <c r="A1459" i="23"/>
  <c r="A1463" i="23"/>
  <c r="A1467" i="23"/>
  <c r="A1461" i="23"/>
  <c r="A1460" i="23"/>
  <c r="A1464" i="23"/>
  <c r="A1452" i="23"/>
  <c r="A1457" i="23"/>
  <c r="A1465" i="23"/>
  <c r="A674" i="23"/>
  <c r="A678" i="23"/>
  <c r="A682" i="23"/>
  <c r="A673" i="23"/>
  <c r="A675" i="23"/>
  <c r="A679" i="23"/>
  <c r="A683" i="23"/>
  <c r="A676" i="23"/>
  <c r="A680" i="23"/>
  <c r="A684" i="23"/>
  <c r="A677" i="23"/>
  <c r="A681" i="23"/>
  <c r="A685" i="23"/>
  <c r="P673" i="23"/>
  <c r="T1775" i="23"/>
  <c r="T1777" i="23"/>
  <c r="T1780" i="23"/>
  <c r="T1778" i="23"/>
  <c r="T1779" i="23"/>
  <c r="T1776" i="23"/>
  <c r="T1774" i="23"/>
  <c r="T681" i="23"/>
  <c r="T682" i="23"/>
  <c r="T680" i="23"/>
  <c r="K1774" i="23"/>
  <c r="L1774" i="23" s="1"/>
  <c r="M1772" i="23"/>
  <c r="N1772" i="23" s="1"/>
  <c r="T679" i="23"/>
  <c r="T678" i="23"/>
  <c r="T676" i="23"/>
  <c r="T675" i="23"/>
  <c r="T674" i="23"/>
  <c r="M673" i="23"/>
  <c r="N673" i="23" s="1"/>
  <c r="K677" i="23"/>
  <c r="L677" i="23" s="1"/>
  <c r="T677" i="23"/>
  <c r="M1452" i="23"/>
  <c r="N1452" i="23" s="1"/>
  <c r="T1453" i="23"/>
  <c r="R1772" i="23" l="1"/>
  <c r="J1772" i="23"/>
  <c r="H1773" i="23"/>
  <c r="O1772" i="23"/>
  <c r="R673" i="23"/>
  <c r="H674" i="23"/>
  <c r="O673" i="23"/>
  <c r="J673" i="23"/>
  <c r="O1452" i="23"/>
  <c r="J1452" i="23"/>
  <c r="H1453" i="23"/>
  <c r="R1452" i="23"/>
  <c r="S1150" i="23"/>
  <c r="V1150" i="23"/>
  <c r="L1151" i="23"/>
  <c r="S1151" i="23"/>
  <c r="V1151" i="23"/>
  <c r="S1152" i="23"/>
  <c r="V1152" i="23"/>
  <c r="L1153" i="23"/>
  <c r="S1153" i="23"/>
  <c r="V1153" i="23"/>
  <c r="L1154" i="23"/>
  <c r="S1154" i="23"/>
  <c r="V1154" i="23"/>
  <c r="S1155" i="23"/>
  <c r="T1156" i="23" s="1"/>
  <c r="V1155" i="23"/>
  <c r="K1146" i="23"/>
  <c r="L1146" i="23" s="1"/>
  <c r="S1146" i="23"/>
  <c r="V1146" i="23"/>
  <c r="L1147" i="23"/>
  <c r="S1147" i="23"/>
  <c r="V1147" i="23"/>
  <c r="L1148" i="23"/>
  <c r="S1148" i="23"/>
  <c r="V1148" i="23"/>
  <c r="S1149" i="23"/>
  <c r="V1149" i="23"/>
  <c r="V865" i="23"/>
  <c r="S865" i="23"/>
  <c r="T866" i="23" s="1"/>
  <c r="K865" i="23"/>
  <c r="L865" i="23" s="1"/>
  <c r="T1152" i="23" l="1"/>
  <c r="T1153" i="23"/>
  <c r="W1772" i="23"/>
  <c r="P1773" i="23" s="1"/>
  <c r="Q1773" i="23" s="1"/>
  <c r="U1772" i="23"/>
  <c r="R1773" i="23"/>
  <c r="U1773" i="23" s="1"/>
  <c r="W673" i="23"/>
  <c r="U673" i="23"/>
  <c r="U1452" i="23"/>
  <c r="W1452" i="23"/>
  <c r="P1453" i="23" s="1"/>
  <c r="Q1453" i="23" s="1"/>
  <c r="R1453" i="23"/>
  <c r="R1454" i="23" s="1"/>
  <c r="T1154" i="23"/>
  <c r="T1148" i="23"/>
  <c r="T1155" i="23"/>
  <c r="T1149" i="23"/>
  <c r="T1151" i="23"/>
  <c r="T1150" i="23"/>
  <c r="T1147" i="23"/>
  <c r="V1188" i="23"/>
  <c r="S1188" i="23"/>
  <c r="T1189" i="23" s="1"/>
  <c r="K1188" i="23"/>
  <c r="L1188" i="23" s="1"/>
  <c r="V1187" i="23"/>
  <c r="S1187" i="23"/>
  <c r="G1187" i="23"/>
  <c r="P1187" i="23" s="1"/>
  <c r="G581" i="23"/>
  <c r="AD570" i="23" s="1"/>
  <c r="X580" i="23"/>
  <c r="W580" i="23"/>
  <c r="V580" i="23"/>
  <c r="U580" i="23"/>
  <c r="S580" i="23"/>
  <c r="R580" i="23"/>
  <c r="Q580" i="23"/>
  <c r="P580" i="23"/>
  <c r="O580" i="23"/>
  <c r="N580" i="23"/>
  <c r="M580" i="23"/>
  <c r="L580" i="23"/>
  <c r="J580" i="23"/>
  <c r="I580" i="23"/>
  <c r="H580" i="23"/>
  <c r="V565" i="23"/>
  <c r="S565" i="23"/>
  <c r="T566" i="23" s="1"/>
  <c r="V564" i="23"/>
  <c r="S564" i="23"/>
  <c r="P564" i="23"/>
  <c r="D560" i="23"/>
  <c r="U1454" i="23" l="1"/>
  <c r="R1455" i="23"/>
  <c r="U1455" i="23" s="1"/>
  <c r="A566" i="23"/>
  <c r="A570" i="23"/>
  <c r="A574" i="23"/>
  <c r="A578" i="23"/>
  <c r="A569" i="23"/>
  <c r="A577" i="23"/>
  <c r="A567" i="23"/>
  <c r="A571" i="23"/>
  <c r="A575" i="23"/>
  <c r="A564" i="23"/>
  <c r="A565" i="23"/>
  <c r="A573" i="23"/>
  <c r="A568" i="23"/>
  <c r="A572" i="23"/>
  <c r="A576" i="23"/>
  <c r="W1773" i="23"/>
  <c r="P1774" i="23" s="1"/>
  <c r="Q1774" i="23" s="1"/>
  <c r="P674" i="23"/>
  <c r="Q674" i="23" s="1"/>
  <c r="K674" i="23"/>
  <c r="L674" i="23" s="1"/>
  <c r="U1453" i="23"/>
  <c r="W1453" i="23" s="1"/>
  <c r="P1454" i="23" s="1"/>
  <c r="Q1454" i="23" s="1"/>
  <c r="T1188" i="23"/>
  <c r="T565" i="23"/>
  <c r="M564" i="23"/>
  <c r="N564" i="23" s="1"/>
  <c r="W1454" i="23" l="1"/>
  <c r="P1455" i="23" s="1"/>
  <c r="Q1455" i="23" s="1"/>
  <c r="W1455" i="23" s="1"/>
  <c r="P1456" i="23" s="1"/>
  <c r="Q1456" i="23" s="1"/>
  <c r="H565" i="23"/>
  <c r="R564" i="23"/>
  <c r="O564" i="23"/>
  <c r="J564" i="23"/>
  <c r="G462" i="24"/>
  <c r="V456" i="24"/>
  <c r="S456" i="24"/>
  <c r="K456" i="24"/>
  <c r="L456" i="24" s="1"/>
  <c r="V455" i="24"/>
  <c r="S455" i="24"/>
  <c r="A455" i="24" s="1"/>
  <c r="K455" i="24"/>
  <c r="L455" i="24" s="1"/>
  <c r="V454" i="24"/>
  <c r="S454" i="24"/>
  <c r="A454" i="24" s="1"/>
  <c r="K454" i="24"/>
  <c r="L454" i="24" s="1"/>
  <c r="V453" i="24"/>
  <c r="S453" i="24"/>
  <c r="A453" i="24" s="1"/>
  <c r="K453" i="24"/>
  <c r="L453" i="24" s="1"/>
  <c r="V452" i="24"/>
  <c r="S452" i="24"/>
  <c r="A452" i="24" s="1"/>
  <c r="V451" i="24"/>
  <c r="S451" i="24"/>
  <c r="A451" i="24" s="1"/>
  <c r="P451" i="24"/>
  <c r="G444" i="24"/>
  <c r="V438" i="24"/>
  <c r="S438" i="24"/>
  <c r="K438" i="24"/>
  <c r="L438" i="24" s="1"/>
  <c r="V437" i="24"/>
  <c r="S437" i="24"/>
  <c r="A437" i="24" s="1"/>
  <c r="K437" i="24"/>
  <c r="L437" i="24" s="1"/>
  <c r="V436" i="24"/>
  <c r="S436" i="24"/>
  <c r="A436" i="24" s="1"/>
  <c r="K436" i="24"/>
  <c r="L436" i="24" s="1"/>
  <c r="V435" i="24"/>
  <c r="S435" i="24"/>
  <c r="A435" i="24" s="1"/>
  <c r="K435" i="24"/>
  <c r="L435" i="24" s="1"/>
  <c r="V434" i="24"/>
  <c r="S434" i="24"/>
  <c r="A434" i="24" s="1"/>
  <c r="V433" i="24"/>
  <c r="S433" i="24"/>
  <c r="A433" i="24" s="1"/>
  <c r="P433" i="24"/>
  <c r="G426" i="24"/>
  <c r="AD419" i="24" s="1"/>
  <c r="V420" i="24"/>
  <c r="S420" i="24"/>
  <c r="K420" i="24"/>
  <c r="L420" i="24" s="1"/>
  <c r="V419" i="24"/>
  <c r="S419" i="24"/>
  <c r="A419" i="24" s="1"/>
  <c r="K419" i="24"/>
  <c r="L419" i="24" s="1"/>
  <c r="V418" i="24"/>
  <c r="S418" i="24"/>
  <c r="A418" i="24" s="1"/>
  <c r="K418" i="24"/>
  <c r="L418" i="24" s="1"/>
  <c r="V417" i="24"/>
  <c r="S417" i="24"/>
  <c r="A417" i="24" s="1"/>
  <c r="V416" i="24"/>
  <c r="S416" i="24"/>
  <c r="A416" i="24" s="1"/>
  <c r="V415" i="24"/>
  <c r="S415" i="24"/>
  <c r="A415" i="24" s="1"/>
  <c r="P415" i="24"/>
  <c r="U148" i="17"/>
  <c r="W148" i="17" s="1"/>
  <c r="U147" i="17"/>
  <c r="V147" i="17" s="1"/>
  <c r="A438" i="24" l="1"/>
  <c r="T439" i="24"/>
  <c r="T421" i="24"/>
  <c r="A420" i="24"/>
  <c r="T457" i="24"/>
  <c r="A456" i="24"/>
  <c r="AD455" i="24"/>
  <c r="AD437" i="24"/>
  <c r="T434" i="24"/>
  <c r="T456" i="24"/>
  <c r="T435" i="24"/>
  <c r="T437" i="24"/>
  <c r="T452" i="24"/>
  <c r="T453" i="24"/>
  <c r="T454" i="24"/>
  <c r="T455" i="24"/>
  <c r="W564" i="23"/>
  <c r="U564" i="23"/>
  <c r="T438" i="24"/>
  <c r="M451" i="24"/>
  <c r="N451" i="24" s="1"/>
  <c r="T436" i="24"/>
  <c r="T417" i="24"/>
  <c r="T420" i="24"/>
  <c r="M433" i="24"/>
  <c r="N433" i="24" s="1"/>
  <c r="T418" i="24"/>
  <c r="T416" i="24"/>
  <c r="M415" i="24"/>
  <c r="N415" i="24" s="1"/>
  <c r="T419" i="24"/>
  <c r="W147" i="17"/>
  <c r="Y147" i="17" s="1"/>
  <c r="Y148" i="17"/>
  <c r="V148" i="17"/>
  <c r="W1132" i="22"/>
  <c r="Y1132" i="22" s="1"/>
  <c r="W1131" i="22"/>
  <c r="W1130" i="22"/>
  <c r="Y1130" i="22" s="1"/>
  <c r="AA1130" i="22" s="1"/>
  <c r="W1129" i="22"/>
  <c r="W1128" i="22"/>
  <c r="W1127" i="22"/>
  <c r="X1127" i="22" s="1"/>
  <c r="W1124" i="22"/>
  <c r="X1124" i="22" s="1"/>
  <c r="W1123" i="22"/>
  <c r="W1122" i="22"/>
  <c r="Y1122" i="22" s="1"/>
  <c r="AA1122" i="22" s="1"/>
  <c r="W1121" i="22"/>
  <c r="Y1121" i="22" s="1"/>
  <c r="W1120" i="22"/>
  <c r="W1119" i="22"/>
  <c r="X1119" i="22" s="1"/>
  <c r="W1118" i="22"/>
  <c r="Y1118" i="22" s="1"/>
  <c r="Z1118" i="22" s="1"/>
  <c r="W1117" i="22"/>
  <c r="W1116" i="22"/>
  <c r="W1115" i="22"/>
  <c r="X1115" i="22" s="1"/>
  <c r="W1114" i="22"/>
  <c r="Y1114" i="22" s="1"/>
  <c r="AA1114" i="22" s="1"/>
  <c r="W1113" i="22"/>
  <c r="Y1113" i="22" s="1"/>
  <c r="W1112" i="22"/>
  <c r="Y1112" i="22" s="1"/>
  <c r="W1111" i="22"/>
  <c r="X1111" i="22" s="1"/>
  <c r="W1110" i="22"/>
  <c r="Y1110" i="22" s="1"/>
  <c r="W837" i="22"/>
  <c r="X837" i="22" s="1"/>
  <c r="W836" i="22"/>
  <c r="X836" i="22" s="1"/>
  <c r="W1093" i="22"/>
  <c r="W1092" i="22"/>
  <c r="Y1092" i="22" s="1"/>
  <c r="W838" i="22"/>
  <c r="Y838" i="22" s="1"/>
  <c r="W1063" i="22"/>
  <c r="W1062" i="22"/>
  <c r="Y1062" i="22" s="1"/>
  <c r="AA1062" i="22" s="1"/>
  <c r="W1024" i="22"/>
  <c r="Y1024" i="22" s="1"/>
  <c r="W1023" i="22"/>
  <c r="X1023" i="22" s="1"/>
  <c r="W1022" i="22"/>
  <c r="X1022" i="22" s="1"/>
  <c r="W1021" i="22"/>
  <c r="W1020" i="22"/>
  <c r="Y1020" i="22" s="1"/>
  <c r="W1019" i="22"/>
  <c r="W1018" i="22"/>
  <c r="X1018" i="22" s="1"/>
  <c r="W1017" i="22"/>
  <c r="W1016" i="22"/>
  <c r="Y1016" i="22" s="1"/>
  <c r="Z1016" i="22" s="1"/>
  <c r="W1015" i="22"/>
  <c r="W1014" i="22"/>
  <c r="X1014" i="22" s="1"/>
  <c r="W1013" i="22"/>
  <c r="W1012" i="22"/>
  <c r="Y1012" i="22" s="1"/>
  <c r="Z1012" i="22" s="1"/>
  <c r="W1011" i="22"/>
  <c r="Y1011" i="22" s="1"/>
  <c r="Z1011" i="22" s="1"/>
  <c r="W1010" i="22"/>
  <c r="W1009" i="22"/>
  <c r="X1009" i="22" s="1"/>
  <c r="W1008" i="22"/>
  <c r="Y1008" i="22" s="1"/>
  <c r="W1007" i="22"/>
  <c r="W1006" i="22"/>
  <c r="W1005" i="22"/>
  <c r="X1005" i="22" s="1"/>
  <c r="W1004" i="22"/>
  <c r="Y1004" i="22" s="1"/>
  <c r="W1003" i="22"/>
  <c r="Y1003" i="22" s="1"/>
  <c r="Z1003" i="22" s="1"/>
  <c r="W1002" i="22"/>
  <c r="Y1002" i="22" s="1"/>
  <c r="AA1002" i="22" s="1"/>
  <c r="W1001" i="22"/>
  <c r="Y1001" i="22" s="1"/>
  <c r="W1000" i="22"/>
  <c r="X1000" i="22" s="1"/>
  <c r="W999" i="22"/>
  <c r="W998" i="22"/>
  <c r="X998" i="22" s="1"/>
  <c r="W997" i="22"/>
  <c r="W996" i="22"/>
  <c r="W995" i="22"/>
  <c r="W994" i="22"/>
  <c r="W993" i="22"/>
  <c r="X993" i="22" s="1"/>
  <c r="W992" i="22"/>
  <c r="Y992" i="22" s="1"/>
  <c r="Z992" i="22" s="1"/>
  <c r="W991" i="22"/>
  <c r="X991" i="22" s="1"/>
  <c r="W990" i="22"/>
  <c r="X990" i="22" s="1"/>
  <c r="W989" i="22"/>
  <c r="W988" i="22"/>
  <c r="Y988" i="22" s="1"/>
  <c r="W987" i="22"/>
  <c r="W986" i="22"/>
  <c r="W985" i="22"/>
  <c r="W984" i="22"/>
  <c r="Y984" i="22" s="1"/>
  <c r="W983" i="22"/>
  <c r="W982" i="22"/>
  <c r="W981" i="22"/>
  <c r="W980" i="22"/>
  <c r="Y980" i="22" s="1"/>
  <c r="W979" i="22"/>
  <c r="X979" i="22" s="1"/>
  <c r="W978" i="22"/>
  <c r="Y978" i="22" s="1"/>
  <c r="W977" i="22"/>
  <c r="W976" i="22"/>
  <c r="W975" i="22"/>
  <c r="X975" i="22" s="1"/>
  <c r="W974" i="22"/>
  <c r="W973" i="22"/>
  <c r="W972" i="22"/>
  <c r="Y972" i="22" s="1"/>
  <c r="W971" i="22"/>
  <c r="X971" i="22" s="1"/>
  <c r="W970" i="22"/>
  <c r="Y970" i="22" s="1"/>
  <c r="AA970" i="22" s="1"/>
  <c r="W969" i="22"/>
  <c r="W968" i="22"/>
  <c r="W967" i="22"/>
  <c r="W966" i="22"/>
  <c r="W965" i="22"/>
  <c r="Y965" i="22" s="1"/>
  <c r="W964" i="22"/>
  <c r="W963" i="22"/>
  <c r="Y963" i="22" s="1"/>
  <c r="W962" i="22"/>
  <c r="W961" i="22"/>
  <c r="Y961" i="22" s="1"/>
  <c r="W960" i="22"/>
  <c r="W959" i="22"/>
  <c r="X959" i="22" s="1"/>
  <c r="W1126" i="22"/>
  <c r="W941" i="22"/>
  <c r="Y941" i="22" s="1"/>
  <c r="AA941" i="22" s="1"/>
  <c r="W1125" i="22"/>
  <c r="X1125" i="22" s="1"/>
  <c r="W958" i="22"/>
  <c r="X958" i="22" s="1"/>
  <c r="W957" i="22"/>
  <c r="W956" i="22"/>
  <c r="W955" i="22"/>
  <c r="W954" i="22"/>
  <c r="Y954" i="22" s="1"/>
  <c r="W953" i="22"/>
  <c r="W952" i="22"/>
  <c r="W951" i="22"/>
  <c r="W950" i="22"/>
  <c r="W949" i="22"/>
  <c r="X949" i="22" s="1"/>
  <c r="W948" i="22"/>
  <c r="W947" i="22"/>
  <c r="Y947" i="22" s="1"/>
  <c r="Z947" i="22" s="1"/>
  <c r="W946" i="22"/>
  <c r="W945" i="22"/>
  <c r="W944" i="22"/>
  <c r="W937" i="22"/>
  <c r="X937" i="22" s="1"/>
  <c r="W936" i="22"/>
  <c r="W935" i="22"/>
  <c r="W934" i="22"/>
  <c r="W933" i="22"/>
  <c r="X933" i="22" s="1"/>
  <c r="W932" i="22"/>
  <c r="W931" i="22"/>
  <c r="W930" i="22"/>
  <c r="W929" i="22"/>
  <c r="X929" i="22" s="1"/>
  <c r="W928" i="22"/>
  <c r="W927" i="22"/>
  <c r="W926" i="22"/>
  <c r="W925" i="22"/>
  <c r="X925" i="22" s="1"/>
  <c r="W924" i="22"/>
  <c r="W923" i="22"/>
  <c r="W922" i="22"/>
  <c r="W921" i="22"/>
  <c r="X921" i="22" s="1"/>
  <c r="W920" i="22"/>
  <c r="W919" i="22"/>
  <c r="W918" i="22"/>
  <c r="W917" i="22"/>
  <c r="X917" i="22" s="1"/>
  <c r="W916" i="22"/>
  <c r="X916" i="22" s="1"/>
  <c r="W915" i="22"/>
  <c r="W914" i="22"/>
  <c r="Y914" i="22" s="1"/>
  <c r="W913" i="22"/>
  <c r="W912" i="22"/>
  <c r="Y912" i="22" s="1"/>
  <c r="W911" i="22"/>
  <c r="W910" i="22"/>
  <c r="W909" i="22"/>
  <c r="X909" i="22" s="1"/>
  <c r="W908" i="22"/>
  <c r="W907" i="22"/>
  <c r="W906" i="22"/>
  <c r="Y906" i="22" s="1"/>
  <c r="W905" i="22"/>
  <c r="X905" i="22" s="1"/>
  <c r="W904" i="22"/>
  <c r="W903" i="22"/>
  <c r="W902" i="22"/>
  <c r="W901" i="22"/>
  <c r="Y901" i="22" s="1"/>
  <c r="W893" i="22"/>
  <c r="W900" i="22"/>
  <c r="W899" i="22"/>
  <c r="Y899" i="22" s="1"/>
  <c r="Z899" i="22" s="1"/>
  <c r="W898" i="22"/>
  <c r="X898" i="22" s="1"/>
  <c r="W897" i="22"/>
  <c r="W896" i="22"/>
  <c r="W895" i="22"/>
  <c r="W894" i="22"/>
  <c r="W882" i="22"/>
  <c r="X882" i="22" s="1"/>
  <c r="W881" i="22"/>
  <c r="W880" i="22"/>
  <c r="W879" i="22"/>
  <c r="X879" i="22" s="1"/>
  <c r="W878" i="22"/>
  <c r="X878" i="22" s="1"/>
  <c r="W877" i="22"/>
  <c r="W876" i="22"/>
  <c r="W875" i="22"/>
  <c r="W874" i="22"/>
  <c r="X874" i="22" s="1"/>
  <c r="W873" i="22"/>
  <c r="W872" i="22"/>
  <c r="W871" i="22"/>
  <c r="W870" i="22"/>
  <c r="X870" i="22" s="1"/>
  <c r="W869" i="22"/>
  <c r="W868" i="22"/>
  <c r="W867" i="22"/>
  <c r="Y867" i="22" s="1"/>
  <c r="W866" i="22"/>
  <c r="W865" i="22"/>
  <c r="X865" i="22" s="1"/>
  <c r="W864" i="22"/>
  <c r="W863" i="22"/>
  <c r="W862" i="22"/>
  <c r="W861" i="22"/>
  <c r="X861" i="22" s="1"/>
  <c r="W860" i="22"/>
  <c r="W859" i="22"/>
  <c r="Y859" i="22" s="1"/>
  <c r="W858" i="22"/>
  <c r="W857" i="22"/>
  <c r="X857" i="22" s="1"/>
  <c r="W856" i="22"/>
  <c r="W855" i="22"/>
  <c r="W854" i="22"/>
  <c r="Y854" i="22" s="1"/>
  <c r="W853" i="22"/>
  <c r="W852" i="22"/>
  <c r="W851" i="22"/>
  <c r="Y851" i="22" s="1"/>
  <c r="W850" i="22"/>
  <c r="W849" i="22"/>
  <c r="X849" i="22" s="1"/>
  <c r="W848" i="22"/>
  <c r="W847" i="22"/>
  <c r="X847" i="22" s="1"/>
  <c r="W846" i="22"/>
  <c r="W845" i="22"/>
  <c r="X845" i="22" s="1"/>
  <c r="W844" i="22"/>
  <c r="W843" i="22"/>
  <c r="W842" i="22"/>
  <c r="W841" i="22"/>
  <c r="X841" i="22" s="1"/>
  <c r="W840" i="22"/>
  <c r="W839" i="22"/>
  <c r="X839" i="22" s="1"/>
  <c r="W833" i="22"/>
  <c r="W832" i="22"/>
  <c r="X832" i="22" s="1"/>
  <c r="W831" i="22"/>
  <c r="W830" i="22"/>
  <c r="X830" i="22" s="1"/>
  <c r="W829" i="22"/>
  <c r="W828" i="22"/>
  <c r="X828" i="22" s="1"/>
  <c r="W827" i="22"/>
  <c r="W826" i="22"/>
  <c r="W825" i="22"/>
  <c r="W824" i="22"/>
  <c r="Y824" i="22" s="1"/>
  <c r="W823" i="22"/>
  <c r="W822" i="22"/>
  <c r="X822" i="22" s="1"/>
  <c r="W821" i="22"/>
  <c r="W820" i="22"/>
  <c r="Y820" i="22" s="1"/>
  <c r="W604" i="22"/>
  <c r="X604" i="22" s="1"/>
  <c r="W184" i="22"/>
  <c r="X184" i="22" s="1"/>
  <c r="W485" i="22"/>
  <c r="W474" i="22"/>
  <c r="W605" i="22"/>
  <c r="X605" i="22" s="1"/>
  <c r="W278" i="22"/>
  <c r="W435" i="22"/>
  <c r="Y435" i="22" s="1"/>
  <c r="W606" i="22"/>
  <c r="W607" i="22"/>
  <c r="W749" i="22"/>
  <c r="X749" i="22" s="1"/>
  <c r="W747" i="22"/>
  <c r="Y747" i="22" s="1"/>
  <c r="W219" i="22"/>
  <c r="Y219" i="22" s="1"/>
  <c r="Z219" i="22" s="1"/>
  <c r="W750" i="22"/>
  <c r="W748" i="22"/>
  <c r="X748" i="22" s="1"/>
  <c r="W99" i="22"/>
  <c r="Y99" i="22" s="1"/>
  <c r="W83" i="22"/>
  <c r="Y83" i="22" s="1"/>
  <c r="W236" i="22"/>
  <c r="X236" i="22" s="1"/>
  <c r="W608" i="22"/>
  <c r="Y608" i="22" s="1"/>
  <c r="W609" i="22"/>
  <c r="W610" i="22"/>
  <c r="W137" i="22"/>
  <c r="W424" i="22"/>
  <c r="Y424" i="22" s="1"/>
  <c r="W611" i="22"/>
  <c r="Y611" i="22" s="1"/>
  <c r="W612" i="22"/>
  <c r="X612" i="22" s="1"/>
  <c r="W152" i="22"/>
  <c r="W613" i="22"/>
  <c r="W614" i="22"/>
  <c r="Y614" i="22" s="1"/>
  <c r="W72" i="22"/>
  <c r="W615" i="22"/>
  <c r="W616" i="22"/>
  <c r="Y616" i="22" s="1"/>
  <c r="W617" i="22"/>
  <c r="Y617" i="22" s="1"/>
  <c r="Z617" i="22" s="1"/>
  <c r="W618" i="22"/>
  <c r="W746" i="22"/>
  <c r="X746" i="22" s="1"/>
  <c r="W619" i="22"/>
  <c r="Y619" i="22" s="1"/>
  <c r="Z619" i="22" s="1"/>
  <c r="W620" i="22"/>
  <c r="W621" i="22"/>
  <c r="X621" i="22" s="1"/>
  <c r="W942" i="22"/>
  <c r="W938" i="22"/>
  <c r="W939" i="22"/>
  <c r="W940" i="22"/>
  <c r="X940" i="22" s="1"/>
  <c r="W943" i="22"/>
  <c r="Y943" i="22" s="1"/>
  <c r="W191" i="22"/>
  <c r="X191" i="22" s="1"/>
  <c r="W250" i="22"/>
  <c r="W112" i="22"/>
  <c r="Y112" i="22" s="1"/>
  <c r="W326" i="22"/>
  <c r="W209" i="22"/>
  <c r="W100" i="22"/>
  <c r="X100" i="22" s="1"/>
  <c r="W751" i="22"/>
  <c r="W624" i="22"/>
  <c r="W625" i="22"/>
  <c r="Y625" i="22" s="1"/>
  <c r="AA625" i="22" s="1"/>
  <c r="W274" i="22"/>
  <c r="X274" i="22" s="1"/>
  <c r="W493" i="22"/>
  <c r="Y493" i="22" s="1"/>
  <c r="W626" i="22"/>
  <c r="W627" i="22"/>
  <c r="X627" i="22" s="1"/>
  <c r="W68" i="22"/>
  <c r="W629" i="22"/>
  <c r="Y629" i="22" s="1"/>
  <c r="W427" i="22"/>
  <c r="W442" i="22"/>
  <c r="Y442" i="22" s="1"/>
  <c r="W351" i="22"/>
  <c r="X351" i="22" s="1"/>
  <c r="W352" i="22"/>
  <c r="Y352" i="22" s="1"/>
  <c r="W67" i="22"/>
  <c r="W630" i="22"/>
  <c r="X630" i="22" s="1"/>
  <c r="W631" i="22"/>
  <c r="Y631" i="22" s="1"/>
  <c r="W306" i="22"/>
  <c r="Y306" i="22" s="1"/>
  <c r="W632" i="22"/>
  <c r="W633" i="22"/>
  <c r="X633" i="22" s="1"/>
  <c r="W282" i="22"/>
  <c r="W413" i="22"/>
  <c r="Y413" i="22" s="1"/>
  <c r="Z413" i="22" s="1"/>
  <c r="W634" i="22"/>
  <c r="W635" i="22"/>
  <c r="Y635" i="22" s="1"/>
  <c r="W636" i="22"/>
  <c r="Y636" i="22" s="1"/>
  <c r="W637" i="22"/>
  <c r="W638" i="22"/>
  <c r="X638" i="22" s="1"/>
  <c r="W639" i="22"/>
  <c r="X639" i="22" s="1"/>
  <c r="W515" i="22"/>
  <c r="Y515" i="22" s="1"/>
  <c r="W640" i="22"/>
  <c r="W641" i="22"/>
  <c r="X641" i="22" s="1"/>
  <c r="W642" i="22"/>
  <c r="X642" i="22" s="1"/>
  <c r="W643" i="22"/>
  <c r="W481" i="22"/>
  <c r="W644" i="22"/>
  <c r="X644" i="22" s="1"/>
  <c r="W62" i="22"/>
  <c r="W61" i="22"/>
  <c r="Y61" i="22" s="1"/>
  <c r="W153" i="22"/>
  <c r="W645" i="22"/>
  <c r="X645" i="22" s="1"/>
  <c r="W243" i="22"/>
  <c r="W494" i="22"/>
  <c r="X494" i="22" s="1"/>
  <c r="W646" i="22"/>
  <c r="Y646" i="22" s="1"/>
  <c r="W429" i="22"/>
  <c r="W251" i="22"/>
  <c r="X251" i="22" s="1"/>
  <c r="W647" i="22"/>
  <c r="W329" i="22"/>
  <c r="Y329" i="22" s="1"/>
  <c r="W237" i="22"/>
  <c r="Y237" i="22" s="1"/>
  <c r="W436" i="22"/>
  <c r="X436" i="22" s="1"/>
  <c r="W648" i="22"/>
  <c r="W22" i="22"/>
  <c r="Y22" i="22" s="1"/>
  <c r="W649" i="22"/>
  <c r="Y649" i="22" s="1"/>
  <c r="Z649" i="22" s="1"/>
  <c r="W650" i="22"/>
  <c r="X650" i="22" s="1"/>
  <c r="W318" i="22"/>
  <c r="W210" i="22"/>
  <c r="Y210" i="22" s="1"/>
  <c r="W527" i="22"/>
  <c r="Y527" i="22" s="1"/>
  <c r="Z527" i="22" s="1"/>
  <c r="AG527" i="22" s="1"/>
  <c r="AI527" i="22" s="1"/>
  <c r="AJ527" i="22" s="1"/>
  <c r="P565" i="23" l="1"/>
  <c r="Q565" i="23" s="1"/>
  <c r="K565" i="23"/>
  <c r="L565" i="23" s="1"/>
  <c r="O451" i="24"/>
  <c r="H452" i="24"/>
  <c r="J451" i="24"/>
  <c r="R451" i="24"/>
  <c r="O433" i="24"/>
  <c r="H434" i="24"/>
  <c r="J433" i="24"/>
  <c r="R433" i="24"/>
  <c r="H416" i="24"/>
  <c r="J415" i="24"/>
  <c r="O415" i="24"/>
  <c r="R415" i="24"/>
  <c r="X619" i="22"/>
  <c r="Y650" i="22"/>
  <c r="AA650" i="22" s="1"/>
  <c r="Y905" i="22"/>
  <c r="X329" i="22"/>
  <c r="Y351" i="22"/>
  <c r="Y1023" i="22"/>
  <c r="AA1023" i="22" s="1"/>
  <c r="Y822" i="22"/>
  <c r="AA822" i="22" s="1"/>
  <c r="Y949" i="22"/>
  <c r="Z949" i="22" s="1"/>
  <c r="Y642" i="22"/>
  <c r="AA642" i="22" s="1"/>
  <c r="X631" i="22"/>
  <c r="Y898" i="22"/>
  <c r="AA898" i="22" s="1"/>
  <c r="X947" i="22"/>
  <c r="Y993" i="22"/>
  <c r="Z993" i="22" s="1"/>
  <c r="X493" i="22"/>
  <c r="Z625" i="22"/>
  <c r="AB625" i="22" s="1"/>
  <c r="X820" i="22"/>
  <c r="Y839" i="22"/>
  <c r="Z839" i="22" s="1"/>
  <c r="Y882" i="22"/>
  <c r="Z882" i="22" s="1"/>
  <c r="Y933" i="22"/>
  <c r="AA933" i="22" s="1"/>
  <c r="AA947" i="22"/>
  <c r="AB947" i="22" s="1"/>
  <c r="Y979" i="22"/>
  <c r="AA979" i="22" s="1"/>
  <c r="Y1018" i="22"/>
  <c r="AA1018" i="22" s="1"/>
  <c r="X61" i="22"/>
  <c r="X352" i="22"/>
  <c r="X442" i="22"/>
  <c r="Y191" i="22"/>
  <c r="X614" i="22"/>
  <c r="X611" i="22"/>
  <c r="Y748" i="22"/>
  <c r="AA748" i="22" s="1"/>
  <c r="X970" i="22"/>
  <c r="Y1111" i="22"/>
  <c r="AA1111" i="22" s="1"/>
  <c r="Z1114" i="22"/>
  <c r="AB1114" i="22" s="1"/>
  <c r="X413" i="22"/>
  <c r="Y630" i="22"/>
  <c r="AA630" i="22" s="1"/>
  <c r="Y274" i="22"/>
  <c r="Y251" i="22"/>
  <c r="Y633" i="22"/>
  <c r="AA633" i="22" s="1"/>
  <c r="X629" i="22"/>
  <c r="Y627" i="22"/>
  <c r="AA627" i="22" s="1"/>
  <c r="X625" i="22"/>
  <c r="Y100" i="22"/>
  <c r="Y621" i="22"/>
  <c r="Y236" i="22"/>
  <c r="X83" i="22"/>
  <c r="X435" i="22"/>
  <c r="Y958" i="22"/>
  <c r="AA958" i="22" s="1"/>
  <c r="Y971" i="22"/>
  <c r="AA971" i="22" s="1"/>
  <c r="Z1002" i="22"/>
  <c r="AB1002" i="22" s="1"/>
  <c r="X1092" i="22"/>
  <c r="X1121" i="22"/>
  <c r="Y1124" i="22"/>
  <c r="AA1124" i="22" s="1"/>
  <c r="X210" i="22"/>
  <c r="Y436" i="22"/>
  <c r="Y645" i="22"/>
  <c r="Z645" i="22" s="1"/>
  <c r="Y638" i="22"/>
  <c r="AA638" i="22" s="1"/>
  <c r="X635" i="22"/>
  <c r="Y940" i="22"/>
  <c r="AA940" i="22" s="1"/>
  <c r="X617" i="22"/>
  <c r="Y612" i="22"/>
  <c r="AA612" i="22" s="1"/>
  <c r="X219" i="22"/>
  <c r="Y184" i="22"/>
  <c r="Z184" i="22" s="1"/>
  <c r="Y991" i="22"/>
  <c r="Z991" i="22" s="1"/>
  <c r="X1001" i="22"/>
  <c r="Y209" i="22"/>
  <c r="X209" i="22"/>
  <c r="X278" i="22"/>
  <c r="Y278" i="22"/>
  <c r="Z278" i="22" s="1"/>
  <c r="X987" i="22"/>
  <c r="Y987" i="22"/>
  <c r="AA987" i="22" s="1"/>
  <c r="X1015" i="22"/>
  <c r="Y1015" i="22"/>
  <c r="Z1015" i="22" s="1"/>
  <c r="Y243" i="22"/>
  <c r="X243" i="22"/>
  <c r="X942" i="22"/>
  <c r="Y942" i="22"/>
  <c r="Z942" i="22" s="1"/>
  <c r="Z611" i="22"/>
  <c r="AA611" i="22"/>
  <c r="Y858" i="22"/>
  <c r="Z858" i="22" s="1"/>
  <c r="X858" i="22"/>
  <c r="X429" i="22"/>
  <c r="Y429" i="22"/>
  <c r="Y643" i="22"/>
  <c r="Z643" i="22" s="1"/>
  <c r="X643" i="22"/>
  <c r="Y641" i="22"/>
  <c r="AA641" i="22" s="1"/>
  <c r="X636" i="22"/>
  <c r="X608" i="22"/>
  <c r="X99" i="22"/>
  <c r="Y749" i="22"/>
  <c r="Z749" i="22" s="1"/>
  <c r="Y823" i="22"/>
  <c r="AA823" i="22" s="1"/>
  <c r="X823" i="22"/>
  <c r="X843" i="22"/>
  <c r="Y843" i="22"/>
  <c r="Z843" i="22" s="1"/>
  <c r="Y855" i="22"/>
  <c r="Z855" i="22" s="1"/>
  <c r="X855" i="22"/>
  <c r="X871" i="22"/>
  <c r="Y871" i="22"/>
  <c r="Z871" i="22" s="1"/>
  <c r="X875" i="22"/>
  <c r="Y875" i="22"/>
  <c r="Z875" i="22" s="1"/>
  <c r="X897" i="22"/>
  <c r="Y897" i="22"/>
  <c r="AA897" i="22" s="1"/>
  <c r="Y945" i="22"/>
  <c r="AA945" i="22" s="1"/>
  <c r="X945" i="22"/>
  <c r="X974" i="22"/>
  <c r="Y974" i="22"/>
  <c r="Z974" i="22" s="1"/>
  <c r="X999" i="22"/>
  <c r="Y999" i="22"/>
  <c r="Z999" i="22" s="1"/>
  <c r="X1017" i="22"/>
  <c r="Y1017" i="22"/>
  <c r="AA1017" i="22" s="1"/>
  <c r="X1131" i="22"/>
  <c r="Y1131" i="22"/>
  <c r="Z1131" i="22" s="1"/>
  <c r="X869" i="22"/>
  <c r="Y869" i="22"/>
  <c r="AA869" i="22" s="1"/>
  <c r="X873" i="22"/>
  <c r="Y873" i="22"/>
  <c r="AA873" i="22" s="1"/>
  <c r="X908" i="22"/>
  <c r="Y908" i="22"/>
  <c r="AA908" i="22" s="1"/>
  <c r="X997" i="22"/>
  <c r="Y997" i="22"/>
  <c r="AA997" i="22" s="1"/>
  <c r="X648" i="22"/>
  <c r="Y648" i="22"/>
  <c r="AA648" i="22" s="1"/>
  <c r="Y282" i="22"/>
  <c r="Z282" i="22" s="1"/>
  <c r="X282" i="22"/>
  <c r="Y606" i="22"/>
  <c r="Z606" i="22" s="1"/>
  <c r="X606" i="22"/>
  <c r="X866" i="22"/>
  <c r="Y866" i="22"/>
  <c r="Z866" i="22" s="1"/>
  <c r="AA965" i="22"/>
  <c r="Z965" i="22"/>
  <c r="Z1008" i="22"/>
  <c r="AA1008" i="22"/>
  <c r="X318" i="22"/>
  <c r="Y318" i="22"/>
  <c r="AA318" i="22" s="1"/>
  <c r="X22" i="22"/>
  <c r="X647" i="22"/>
  <c r="Y647" i="22"/>
  <c r="AA647" i="22" s="1"/>
  <c r="X62" i="22"/>
  <c r="Y62" i="22"/>
  <c r="Z62" i="22" s="1"/>
  <c r="X250" i="22"/>
  <c r="Y250" i="22"/>
  <c r="X943" i="22"/>
  <c r="X137" i="22"/>
  <c r="Y137" i="22"/>
  <c r="X485" i="22"/>
  <c r="Y485" i="22"/>
  <c r="Z485" i="22" s="1"/>
  <c r="Y880" i="22"/>
  <c r="Z880" i="22" s="1"/>
  <c r="X880" i="22"/>
  <c r="Y893" i="22"/>
  <c r="X893" i="22"/>
  <c r="X986" i="22"/>
  <c r="Y986" i="22"/>
  <c r="Y1010" i="22"/>
  <c r="AA1010" i="22" s="1"/>
  <c r="X1010" i="22"/>
  <c r="X1120" i="22"/>
  <c r="Y1120" i="22"/>
  <c r="AA1120" i="22" s="1"/>
  <c r="Y847" i="22"/>
  <c r="Z847" i="22" s="1"/>
  <c r="X854" i="22"/>
  <c r="Y861" i="22"/>
  <c r="AA861" i="22" s="1"/>
  <c r="Y878" i="22"/>
  <c r="Z878" i="22" s="1"/>
  <c r="AA899" i="22"/>
  <c r="AB899" i="22" s="1"/>
  <c r="X906" i="22"/>
  <c r="X912" i="22"/>
  <c r="X914" i="22"/>
  <c r="Y917" i="22"/>
  <c r="AA917" i="22" s="1"/>
  <c r="X954" i="22"/>
  <c r="X963" i="22"/>
  <c r="Z970" i="22"/>
  <c r="AB970" i="22" s="1"/>
  <c r="X972" i="22"/>
  <c r="X978" i="22"/>
  <c r="X980" i="22"/>
  <c r="Y990" i="22"/>
  <c r="AA990" i="22" s="1"/>
  <c r="AA992" i="22"/>
  <c r="AB992" i="22" s="1"/>
  <c r="AG992" i="22" s="1"/>
  <c r="AH992" i="22" s="1"/>
  <c r="AI992" i="22" s="1"/>
  <c r="X1002" i="22"/>
  <c r="X1003" i="22"/>
  <c r="Y1022" i="22"/>
  <c r="AA1022" i="22" s="1"/>
  <c r="X1024" i="22"/>
  <c r="X1062" i="22"/>
  <c r="X838" i="22"/>
  <c r="Y837" i="22"/>
  <c r="Z837" i="22" s="1"/>
  <c r="AA1118" i="22"/>
  <c r="AB1118" i="22" s="1"/>
  <c r="Y1127" i="22"/>
  <c r="Z1127" i="22" s="1"/>
  <c r="X1130" i="22"/>
  <c r="Y830" i="22"/>
  <c r="Z830" i="22" s="1"/>
  <c r="X859" i="22"/>
  <c r="Y865" i="22"/>
  <c r="AA865" i="22" s="1"/>
  <c r="Y870" i="22"/>
  <c r="AA870" i="22" s="1"/>
  <c r="Y874" i="22"/>
  <c r="AA874" i="22" s="1"/>
  <c r="X901" i="22"/>
  <c r="Y925" i="22"/>
  <c r="AA925" i="22" s="1"/>
  <c r="Z941" i="22"/>
  <c r="AB941" i="22" s="1"/>
  <c r="X988" i="22"/>
  <c r="Y998" i="22"/>
  <c r="AA998" i="22" s="1"/>
  <c r="Y1009" i="22"/>
  <c r="AA1009" i="22" s="1"/>
  <c r="X1011" i="22"/>
  <c r="Y1014" i="22"/>
  <c r="AA1014" i="22" s="1"/>
  <c r="AA1016" i="22"/>
  <c r="AB1016" i="22" s="1"/>
  <c r="X1020" i="22"/>
  <c r="Y836" i="22"/>
  <c r="AA635" i="22"/>
  <c r="Z635" i="22"/>
  <c r="Y751" i="22"/>
  <c r="Z751" i="22" s="1"/>
  <c r="X751" i="22"/>
  <c r="Y938" i="22"/>
  <c r="Z938" i="22" s="1"/>
  <c r="X938" i="22"/>
  <c r="Y152" i="22"/>
  <c r="X152" i="22"/>
  <c r="AA854" i="22"/>
  <c r="Z854" i="22"/>
  <c r="Y862" i="22"/>
  <c r="X862" i="22"/>
  <c r="X894" i="22"/>
  <c r="Y894" i="22"/>
  <c r="Z894" i="22" s="1"/>
  <c r="Y931" i="22"/>
  <c r="X931" i="22"/>
  <c r="AA1112" i="22"/>
  <c r="Z1112" i="22"/>
  <c r="Y833" i="22"/>
  <c r="X833" i="22"/>
  <c r="Y846" i="22"/>
  <c r="X846" i="22"/>
  <c r="X913" i="22"/>
  <c r="Y913" i="22"/>
  <c r="AA913" i="22" s="1"/>
  <c r="Y923" i="22"/>
  <c r="X923" i="22"/>
  <c r="Y1117" i="22"/>
  <c r="Z1117" i="22" s="1"/>
  <c r="X1117" i="22"/>
  <c r="Y639" i="22"/>
  <c r="X615" i="22"/>
  <c r="Y615" i="22"/>
  <c r="Y829" i="22"/>
  <c r="X829" i="22"/>
  <c r="Y842" i="22"/>
  <c r="X842" i="22"/>
  <c r="Y850" i="22"/>
  <c r="X850" i="22"/>
  <c r="X853" i="22"/>
  <c r="Y853" i="22"/>
  <c r="Y863" i="22"/>
  <c r="Z863" i="22" s="1"/>
  <c r="X863" i="22"/>
  <c r="X904" i="22"/>
  <c r="Y904" i="22"/>
  <c r="Y995" i="22"/>
  <c r="X995" i="22"/>
  <c r="Y1006" i="22"/>
  <c r="X1006" i="22"/>
  <c r="Y609" i="22"/>
  <c r="X609" i="22"/>
  <c r="Y494" i="22"/>
  <c r="Y644" i="22"/>
  <c r="X515" i="22"/>
  <c r="AA413" i="22"/>
  <c r="AB413" i="22" s="1"/>
  <c r="X68" i="22"/>
  <c r="Y68" i="22"/>
  <c r="X112" i="22"/>
  <c r="Y746" i="22"/>
  <c r="Z746" i="22" s="1"/>
  <c r="X616" i="22"/>
  <c r="X424" i="22"/>
  <c r="X747" i="22"/>
  <c r="Y826" i="22"/>
  <c r="X826" i="22"/>
  <c r="AA961" i="22"/>
  <c r="Z961" i="22"/>
  <c r="X967" i="22"/>
  <c r="Y967" i="22"/>
  <c r="AA967" i="22" s="1"/>
  <c r="Y902" i="22"/>
  <c r="X902" i="22"/>
  <c r="Y951" i="22"/>
  <c r="AA951" i="22" s="1"/>
  <c r="X951" i="22"/>
  <c r="Y976" i="22"/>
  <c r="AA976" i="22" s="1"/>
  <c r="X976" i="22"/>
  <c r="Y996" i="22"/>
  <c r="X996" i="22"/>
  <c r="Y1007" i="22"/>
  <c r="Z1007" i="22" s="1"/>
  <c r="X1007" i="22"/>
  <c r="AA1110" i="22"/>
  <c r="Z1110" i="22"/>
  <c r="X824" i="22"/>
  <c r="Y828" i="22"/>
  <c r="Y832" i="22"/>
  <c r="Y841" i="22"/>
  <c r="Y845" i="22"/>
  <c r="Y849" i="22"/>
  <c r="X851" i="22"/>
  <c r="Y857" i="22"/>
  <c r="X867" i="22"/>
  <c r="Y879" i="22"/>
  <c r="Z879" i="22" s="1"/>
  <c r="Y909" i="22"/>
  <c r="AA909" i="22" s="1"/>
  <c r="Y916" i="22"/>
  <c r="Y919" i="22"/>
  <c r="X919" i="22"/>
  <c r="Y921" i="22"/>
  <c r="AA921" i="22" s="1"/>
  <c r="Y927" i="22"/>
  <c r="X927" i="22"/>
  <c r="Y929" i="22"/>
  <c r="AA929" i="22" s="1"/>
  <c r="Y935" i="22"/>
  <c r="X935" i="22"/>
  <c r="Y937" i="22"/>
  <c r="Z937" i="22" s="1"/>
  <c r="Y959" i="22"/>
  <c r="AA959" i="22" s="1"/>
  <c r="Y982" i="22"/>
  <c r="X982" i="22"/>
  <c r="Z1004" i="22"/>
  <c r="AA1004" i="22"/>
  <c r="Y1063" i="22"/>
  <c r="AA1063" i="22" s="1"/>
  <c r="X1063" i="22"/>
  <c r="X1123" i="22"/>
  <c r="Y1123" i="22"/>
  <c r="AA1123" i="22" s="1"/>
  <c r="X952" i="22"/>
  <c r="Y952" i="22"/>
  <c r="AA952" i="22" s="1"/>
  <c r="AA978" i="22"/>
  <c r="Z978" i="22"/>
  <c r="X983" i="22"/>
  <c r="Y983" i="22"/>
  <c r="Z983" i="22" s="1"/>
  <c r="Y994" i="22"/>
  <c r="X994" i="22"/>
  <c r="X1013" i="22"/>
  <c r="Y1013" i="22"/>
  <c r="AA1013" i="22" s="1"/>
  <c r="Y1019" i="22"/>
  <c r="AA1019" i="22" s="1"/>
  <c r="X1019" i="22"/>
  <c r="Y1116" i="22"/>
  <c r="X1116" i="22"/>
  <c r="X1112" i="22"/>
  <c r="X1113" i="22"/>
  <c r="Y1119" i="22"/>
  <c r="AA1119" i="22" s="1"/>
  <c r="Z1122" i="22"/>
  <c r="AB1122" i="22" s="1"/>
  <c r="Z1130" i="22"/>
  <c r="AB1130" i="22" s="1"/>
  <c r="Y975" i="22"/>
  <c r="AA975" i="22" s="1"/>
  <c r="X984" i="22"/>
  <c r="X992" i="22"/>
  <c r="Y1005" i="22"/>
  <c r="Z1005" i="22" s="1"/>
  <c r="AA1012" i="22"/>
  <c r="AB1012" i="22" s="1"/>
  <c r="Y1115" i="22"/>
  <c r="Z1115" i="22" s="1"/>
  <c r="X1132" i="22"/>
  <c r="AA1092" i="22"/>
  <c r="Z1092" i="22"/>
  <c r="Y1093" i="22"/>
  <c r="X1093" i="22"/>
  <c r="Z1113" i="22"/>
  <c r="AA1113" i="22"/>
  <c r="AA838" i="22"/>
  <c r="Z838" i="22"/>
  <c r="Z1121" i="22"/>
  <c r="AA1121" i="22"/>
  <c r="AA1132" i="22"/>
  <c r="Z1132" i="22"/>
  <c r="Y1128" i="22"/>
  <c r="X1128" i="22"/>
  <c r="Y1129" i="22"/>
  <c r="X1129" i="22"/>
  <c r="X1110" i="22"/>
  <c r="X1114" i="22"/>
  <c r="X1118" i="22"/>
  <c r="X1122" i="22"/>
  <c r="Z1062" i="22"/>
  <c r="AB1062" i="22" s="1"/>
  <c r="Y831" i="22"/>
  <c r="X831" i="22"/>
  <c r="Y852" i="22"/>
  <c r="X852" i="22"/>
  <c r="Z859" i="22"/>
  <c r="AA859" i="22"/>
  <c r="Y868" i="22"/>
  <c r="X868" i="22"/>
  <c r="Y910" i="22"/>
  <c r="X910" i="22"/>
  <c r="Y840" i="22"/>
  <c r="X840" i="22"/>
  <c r="Y856" i="22"/>
  <c r="X856" i="22"/>
  <c r="Y872" i="22"/>
  <c r="X872" i="22"/>
  <c r="AA824" i="22"/>
  <c r="Z824" i="22"/>
  <c r="Y825" i="22"/>
  <c r="X825" i="22"/>
  <c r="Y844" i="22"/>
  <c r="X844" i="22"/>
  <c r="Z851" i="22"/>
  <c r="AA851" i="22"/>
  <c r="Y860" i="22"/>
  <c r="X860" i="22"/>
  <c r="Z867" i="22"/>
  <c r="AA867" i="22"/>
  <c r="Y876" i="22"/>
  <c r="X876" i="22"/>
  <c r="AA820" i="22"/>
  <c r="Z820" i="22"/>
  <c r="Y821" i="22"/>
  <c r="X821" i="22"/>
  <c r="Y827" i="22"/>
  <c r="X827" i="22"/>
  <c r="Y848" i="22"/>
  <c r="X848" i="22"/>
  <c r="Y864" i="22"/>
  <c r="X864" i="22"/>
  <c r="Y895" i="22"/>
  <c r="X895" i="22"/>
  <c r="Y900" i="22"/>
  <c r="X900" i="22"/>
  <c r="AA912" i="22"/>
  <c r="X920" i="22"/>
  <c r="Y920" i="22"/>
  <c r="X928" i="22"/>
  <c r="Y928" i="22"/>
  <c r="X936" i="22"/>
  <c r="Y936" i="22"/>
  <c r="AA954" i="22"/>
  <c r="Z954" i="22"/>
  <c r="Y960" i="22"/>
  <c r="X960" i="22"/>
  <c r="Y877" i="22"/>
  <c r="X877" i="22"/>
  <c r="AA901" i="22"/>
  <c r="Z901" i="22"/>
  <c r="Y903" i="22"/>
  <c r="X903" i="22"/>
  <c r="AA906" i="22"/>
  <c r="Y918" i="22"/>
  <c r="X918" i="22"/>
  <c r="Y926" i="22"/>
  <c r="X926" i="22"/>
  <c r="Y934" i="22"/>
  <c r="X934" i="22"/>
  <c r="Y950" i="22"/>
  <c r="X950" i="22"/>
  <c r="X955" i="22"/>
  <c r="Y955" i="22"/>
  <c r="X969" i="22"/>
  <c r="Y969" i="22"/>
  <c r="Y881" i="22"/>
  <c r="X881" i="22"/>
  <c r="X899" i="22"/>
  <c r="Y907" i="22"/>
  <c r="X907" i="22"/>
  <c r="X924" i="22"/>
  <c r="Y924" i="22"/>
  <c r="X932" i="22"/>
  <c r="Y932" i="22"/>
  <c r="Y946" i="22"/>
  <c r="X946" i="22"/>
  <c r="X948" i="22"/>
  <c r="Y948" i="22"/>
  <c r="Y896" i="22"/>
  <c r="X896" i="22"/>
  <c r="Y911" i="22"/>
  <c r="X911" i="22"/>
  <c r="AA914" i="22"/>
  <c r="Y915" i="22"/>
  <c r="X915" i="22"/>
  <c r="Y922" i="22"/>
  <c r="X922" i="22"/>
  <c r="Y930" i="22"/>
  <c r="X930" i="22"/>
  <c r="Y944" i="22"/>
  <c r="X944" i="22"/>
  <c r="X953" i="22"/>
  <c r="Y953" i="22"/>
  <c r="Y956" i="22"/>
  <c r="X956" i="22"/>
  <c r="X1126" i="22"/>
  <c r="Y1126" i="22"/>
  <c r="Y964" i="22"/>
  <c r="X964" i="22"/>
  <c r="Y985" i="22"/>
  <c r="X985" i="22"/>
  <c r="X957" i="22"/>
  <c r="Y957" i="22"/>
  <c r="Y1125" i="22"/>
  <c r="X962" i="22"/>
  <c r="Y962" i="22"/>
  <c r="Y968" i="22"/>
  <c r="X968" i="22"/>
  <c r="AA963" i="22"/>
  <c r="Z963" i="22"/>
  <c r="X966" i="22"/>
  <c r="Y966" i="22"/>
  <c r="Y977" i="22"/>
  <c r="X977" i="22"/>
  <c r="AA984" i="22"/>
  <c r="Z984" i="22"/>
  <c r="AA1001" i="22"/>
  <c r="Z1001" i="22"/>
  <c r="AA972" i="22"/>
  <c r="Z972" i="22"/>
  <c r="Y973" i="22"/>
  <c r="X973" i="22"/>
  <c r="AA980" i="22"/>
  <c r="Z980" i="22"/>
  <c r="Y981" i="22"/>
  <c r="X981" i="22"/>
  <c r="AA988" i="22"/>
  <c r="Z988" i="22"/>
  <c r="Y989" i="22"/>
  <c r="X989" i="22"/>
  <c r="X941" i="22"/>
  <c r="X961" i="22"/>
  <c r="X965" i="22"/>
  <c r="AA1024" i="22"/>
  <c r="Z1024" i="22"/>
  <c r="Y1000" i="22"/>
  <c r="AA1020" i="22"/>
  <c r="Z1020" i="22"/>
  <c r="Y1021" i="22"/>
  <c r="X1021" i="22"/>
  <c r="AA1003" i="22"/>
  <c r="AB1003" i="22" s="1"/>
  <c r="X1004" i="22"/>
  <c r="X1008" i="22"/>
  <c r="AA1011" i="22"/>
  <c r="AB1011" i="22" s="1"/>
  <c r="X1012" i="22"/>
  <c r="X1016" i="22"/>
  <c r="Z646" i="22"/>
  <c r="AA646" i="22"/>
  <c r="Y637" i="22"/>
  <c r="X637" i="22"/>
  <c r="X750" i="22"/>
  <c r="Y750" i="22"/>
  <c r="AA649" i="22"/>
  <c r="AB649" i="22" s="1"/>
  <c r="X326" i="22"/>
  <c r="Y326" i="22"/>
  <c r="Z636" i="22"/>
  <c r="AA636" i="22"/>
  <c r="X632" i="22"/>
  <c r="Y632" i="22"/>
  <c r="Y153" i="22"/>
  <c r="X153" i="22"/>
  <c r="Y481" i="22"/>
  <c r="X481" i="22"/>
  <c r="X527" i="22"/>
  <c r="X649" i="22"/>
  <c r="X237" i="22"/>
  <c r="X646" i="22"/>
  <c r="Z61" i="22"/>
  <c r="AA61" i="22"/>
  <c r="Y640" i="22"/>
  <c r="X640" i="22"/>
  <c r="Z631" i="22"/>
  <c r="AA631" i="22"/>
  <c r="X626" i="22"/>
  <c r="Y626" i="22"/>
  <c r="X67" i="22"/>
  <c r="Y67" i="22"/>
  <c r="X613" i="22"/>
  <c r="Y613" i="22"/>
  <c r="X306" i="22"/>
  <c r="X427" i="22"/>
  <c r="Y427" i="22"/>
  <c r="Z629" i="22"/>
  <c r="AA629" i="22"/>
  <c r="X624" i="22"/>
  <c r="Y624" i="22"/>
  <c r="X607" i="22"/>
  <c r="Y607" i="22"/>
  <c r="X634" i="22"/>
  <c r="Y634" i="22"/>
  <c r="Z608" i="22"/>
  <c r="AA608" i="22"/>
  <c r="X72" i="22"/>
  <c r="Y72" i="22"/>
  <c r="Z614" i="22"/>
  <c r="AA614" i="22"/>
  <c r="Z747" i="22"/>
  <c r="AA747" i="22"/>
  <c r="Z943" i="22"/>
  <c r="AA943" i="22"/>
  <c r="X939" i="22"/>
  <c r="Y939" i="22"/>
  <c r="X620" i="22"/>
  <c r="Y620" i="22"/>
  <c r="X618" i="22"/>
  <c r="Y618" i="22"/>
  <c r="Z616" i="22"/>
  <c r="AA616" i="22"/>
  <c r="X610" i="22"/>
  <c r="Y610" i="22"/>
  <c r="AA619" i="22"/>
  <c r="AB619" i="22" s="1"/>
  <c r="AA617" i="22"/>
  <c r="AB617" i="22" s="1"/>
  <c r="AA219" i="22"/>
  <c r="X474" i="22"/>
  <c r="Y474" i="22"/>
  <c r="Y605" i="22"/>
  <c r="Y604" i="22"/>
  <c r="AE947" i="22" l="1"/>
  <c r="AE625" i="22"/>
  <c r="AF625" i="22" s="1"/>
  <c r="AG625" i="22" s="1"/>
  <c r="AH625" i="22" s="1"/>
  <c r="AG1011" i="22"/>
  <c r="AG1016" i="22"/>
  <c r="AH1016" i="22" s="1"/>
  <c r="AI1016" i="22" s="1"/>
  <c r="AG649" i="22"/>
  <c r="AH649" i="22" s="1"/>
  <c r="AG1003" i="22"/>
  <c r="AH1003" i="22" s="1"/>
  <c r="AI1003" i="22" s="1"/>
  <c r="AG1012" i="22"/>
  <c r="AH1012" i="22" s="1"/>
  <c r="AI1012" i="22" s="1"/>
  <c r="AG1002" i="22"/>
  <c r="AH1002" i="22" s="1"/>
  <c r="AI1002" i="22" s="1"/>
  <c r="AF1130" i="22"/>
  <c r="AF970" i="22"/>
  <c r="AG970" i="22" s="1"/>
  <c r="AH970" i="22" s="1"/>
  <c r="AD617" i="22"/>
  <c r="AE617" i="22" s="1"/>
  <c r="AD619" i="22"/>
  <c r="AE619" i="22" s="1"/>
  <c r="AD899" i="22"/>
  <c r="AE899" i="22" s="1"/>
  <c r="AD941" i="22"/>
  <c r="AE941" i="22" s="1"/>
  <c r="AC1118" i="22"/>
  <c r="AD1118" i="22" s="1"/>
  <c r="AC1122" i="22"/>
  <c r="AD1122" i="22" s="1"/>
  <c r="AC1114" i="22"/>
  <c r="AA751" i="22"/>
  <c r="AB751" i="22" s="1"/>
  <c r="AA184" i="22"/>
  <c r="AB184" i="22" s="1"/>
  <c r="Z874" i="22"/>
  <c r="AB874" i="22" s="1"/>
  <c r="Z1017" i="22"/>
  <c r="AB1017" i="22" s="1"/>
  <c r="AG1017" i="22" s="1"/>
  <c r="AH1017" i="22" s="1"/>
  <c r="AI1017" i="22" s="1"/>
  <c r="Z979" i="22"/>
  <c r="AB979" i="22" s="1"/>
  <c r="Z873" i="22"/>
  <c r="AB873" i="22" s="1"/>
  <c r="AA749" i="22"/>
  <c r="AB749" i="22" s="1"/>
  <c r="AA839" i="22"/>
  <c r="AB839" i="22" s="1"/>
  <c r="Z633" i="22"/>
  <c r="AB633" i="22" s="1"/>
  <c r="Z929" i="22"/>
  <c r="AB929" i="22" s="1"/>
  <c r="Z1120" i="22"/>
  <c r="AB1120" i="22" s="1"/>
  <c r="Z748" i="22"/>
  <c r="AB748" i="22" s="1"/>
  <c r="AA882" i="22"/>
  <c r="AB882" i="22" s="1"/>
  <c r="Z898" i="22"/>
  <c r="AB898" i="22" s="1"/>
  <c r="AA1127" i="22"/>
  <c r="AB1127" i="22" s="1"/>
  <c r="Z630" i="22"/>
  <c r="AB630" i="22" s="1"/>
  <c r="AA974" i="22"/>
  <c r="AB974" i="22" s="1"/>
  <c r="AA746" i="22"/>
  <c r="AB746" i="22" s="1"/>
  <c r="Z971" i="22"/>
  <c r="AB971" i="22" s="1"/>
  <c r="Z933" i="22"/>
  <c r="AB933" i="22" s="1"/>
  <c r="AA837" i="22"/>
  <c r="AB837" i="22" s="1"/>
  <c r="AA645" i="22"/>
  <c r="AB645" i="22" s="1"/>
  <c r="Z976" i="22"/>
  <c r="AB976" i="22" s="1"/>
  <c r="Z1111" i="22"/>
  <c r="AB1111" i="22" s="1"/>
  <c r="AA949" i="22"/>
  <c r="AB949" i="22" s="1"/>
  <c r="AE949" i="22" s="1"/>
  <c r="Z990" i="22"/>
  <c r="AB990" i="22" s="1"/>
  <c r="AA858" i="22"/>
  <c r="AB858" i="22" s="1"/>
  <c r="AA894" i="22"/>
  <c r="AB894" i="22" s="1"/>
  <c r="Z870" i="22"/>
  <c r="Z641" i="22"/>
  <c r="AB641" i="22" s="1"/>
  <c r="AA878" i="22"/>
  <c r="AB878" i="22" s="1"/>
  <c r="Z997" i="22"/>
  <c r="U451" i="24"/>
  <c r="Z148" i="17" s="1"/>
  <c r="W451" i="24"/>
  <c r="P452" i="24" s="1"/>
  <c r="Q452" i="24" s="1"/>
  <c r="U433" i="24"/>
  <c r="Z147" i="17" s="1"/>
  <c r="W433" i="24"/>
  <c r="P434" i="24" s="1"/>
  <c r="Q434" i="24" s="1"/>
  <c r="W415" i="24"/>
  <c r="U415" i="24"/>
  <c r="Z146" i="17" s="1"/>
  <c r="Z1013" i="22"/>
  <c r="AB1013" i="22" s="1"/>
  <c r="AG1013" i="22" s="1"/>
  <c r="AH1013" i="22" s="1"/>
  <c r="AI1013" i="22" s="1"/>
  <c r="Z1022" i="22"/>
  <c r="AB1022" i="22" s="1"/>
  <c r="AA1007" i="22"/>
  <c r="AB1007" i="22" s="1"/>
  <c r="AA1115" i="22"/>
  <c r="AB1115" i="22" s="1"/>
  <c r="AA938" i="22"/>
  <c r="AB938" i="22" s="1"/>
  <c r="AD938" i="22" s="1"/>
  <c r="Z642" i="22"/>
  <c r="AB642" i="22" s="1"/>
  <c r="Z975" i="22"/>
  <c r="AB975" i="22" s="1"/>
  <c r="AA905" i="22"/>
  <c r="AA879" i="22"/>
  <c r="AB879" i="22" s="1"/>
  <c r="Z612" i="22"/>
  <c r="AB612" i="22" s="1"/>
  <c r="AA282" i="22"/>
  <c r="AB282" i="22" s="1"/>
  <c r="AA1015" i="22"/>
  <c r="AB1015" i="22" s="1"/>
  <c r="Z1023" i="22"/>
  <c r="AA1005" i="22"/>
  <c r="AB1005" i="22" s="1"/>
  <c r="AG1005" i="22" s="1"/>
  <c r="AH1005" i="22" s="1"/>
  <c r="AI1005" i="22" s="1"/>
  <c r="Z1124" i="22"/>
  <c r="AB1124" i="22" s="1"/>
  <c r="AA62" i="22"/>
  <c r="AB62" i="22" s="1"/>
  <c r="AB611" i="22"/>
  <c r="AA278" i="22"/>
  <c r="AB278" i="22" s="1"/>
  <c r="Z1009" i="22"/>
  <c r="AB1009" i="22" s="1"/>
  <c r="AG1009" i="22" s="1"/>
  <c r="AH1009" i="22" s="1"/>
  <c r="AI1009" i="22" s="1"/>
  <c r="AA863" i="22"/>
  <c r="AB863" i="22" s="1"/>
  <c r="AA993" i="22"/>
  <c r="AB993" i="22" s="1"/>
  <c r="AA866" i="22"/>
  <c r="AB866" i="22" s="1"/>
  <c r="Z869" i="22"/>
  <c r="AB869" i="22" s="1"/>
  <c r="Z650" i="22"/>
  <c r="AB650" i="22" s="1"/>
  <c r="Z1018" i="22"/>
  <c r="AB1018" i="22" s="1"/>
  <c r="AA871" i="22"/>
  <c r="AB871" i="22" s="1"/>
  <c r="AA843" i="22"/>
  <c r="AB843" i="22" s="1"/>
  <c r="AA606" i="22"/>
  <c r="AB606" i="22" s="1"/>
  <c r="Z1019" i="22"/>
  <c r="AB1019" i="22" s="1"/>
  <c r="AA937" i="22"/>
  <c r="AB937" i="22" s="1"/>
  <c r="Z967" i="22"/>
  <c r="AB967" i="22" s="1"/>
  <c r="Z897" i="22"/>
  <c r="AB897" i="22" s="1"/>
  <c r="AA830" i="22"/>
  <c r="AB830" i="22" s="1"/>
  <c r="AA847" i="22"/>
  <c r="AB847" i="22" s="1"/>
  <c r="Z1123" i="22"/>
  <c r="AB1123" i="22" s="1"/>
  <c r="Z940" i="22"/>
  <c r="AB940" i="22" s="1"/>
  <c r="Z987" i="22"/>
  <c r="AB987" i="22" s="1"/>
  <c r="Z958" i="22"/>
  <c r="AB958" i="22" s="1"/>
  <c r="Z952" i="22"/>
  <c r="AB952" i="22" s="1"/>
  <c r="AE952" i="22" s="1"/>
  <c r="AA880" i="22"/>
  <c r="AB880" i="22" s="1"/>
  <c r="Z1119" i="22"/>
  <c r="AB1119" i="22" s="1"/>
  <c r="AB1004" i="22"/>
  <c r="Z959" i="22"/>
  <c r="AB959" i="22" s="1"/>
  <c r="AA983" i="22"/>
  <c r="AB983" i="22" s="1"/>
  <c r="AB961" i="22"/>
  <c r="Z893" i="22"/>
  <c r="AD893" i="22" s="1"/>
  <c r="AA485" i="22"/>
  <c r="AA855" i="22"/>
  <c r="AB855" i="22" s="1"/>
  <c r="Z823" i="22"/>
  <c r="AB823" i="22" s="1"/>
  <c r="AA1131" i="22"/>
  <c r="AB1131" i="22" s="1"/>
  <c r="AG1131" i="22" s="1"/>
  <c r="AH1131" i="22" s="1"/>
  <c r="AI1131" i="22" s="1"/>
  <c r="Z638" i="22"/>
  <c r="AB638" i="22" s="1"/>
  <c r="Z945" i="22"/>
  <c r="AB945" i="22" s="1"/>
  <c r="AE945" i="22" s="1"/>
  <c r="AA1117" i="22"/>
  <c r="AB1117" i="22" s="1"/>
  <c r="AA991" i="22"/>
  <c r="AB991" i="22" s="1"/>
  <c r="Z648" i="22"/>
  <c r="AB648" i="22" s="1"/>
  <c r="AB965" i="22"/>
  <c r="AB61" i="22"/>
  <c r="AB646" i="22"/>
  <c r="Z1014" i="22"/>
  <c r="AB1014" i="22" s="1"/>
  <c r="AB1112" i="22"/>
  <c r="AB1008" i="22"/>
  <c r="Z627" i="22"/>
  <c r="AA621" i="22"/>
  <c r="Z621" i="22"/>
  <c r="AA999" i="22"/>
  <c r="Z861" i="22"/>
  <c r="AB861" i="22" s="1"/>
  <c r="AB1110" i="22"/>
  <c r="AA875" i="22"/>
  <c r="AB875" i="22" s="1"/>
  <c r="Z1063" i="22"/>
  <c r="AB1063" i="22" s="1"/>
  <c r="AB838" i="22"/>
  <c r="Z1010" i="22"/>
  <c r="AB1010" i="22" s="1"/>
  <c r="Z998" i="22"/>
  <c r="AB998" i="22" s="1"/>
  <c r="Z865" i="22"/>
  <c r="AB865" i="22" s="1"/>
  <c r="AB635" i="22"/>
  <c r="AA986" i="22"/>
  <c r="Z986" i="22"/>
  <c r="AA942" i="22"/>
  <c r="AB942" i="22" s="1"/>
  <c r="AA643" i="22"/>
  <c r="AB643" i="22" s="1"/>
  <c r="Z925" i="22"/>
  <c r="AB925" i="22" s="1"/>
  <c r="AB614" i="22"/>
  <c r="AB608" i="22"/>
  <c r="AB631" i="22"/>
  <c r="AB963" i="22"/>
  <c r="AB1092" i="22"/>
  <c r="Z647" i="22"/>
  <c r="AB647" i="22" s="1"/>
  <c r="Z318" i="22"/>
  <c r="AB318" i="22" s="1"/>
  <c r="AA836" i="22"/>
  <c r="Z836" i="22"/>
  <c r="AB616" i="22"/>
  <c r="AB851" i="22"/>
  <c r="AA857" i="22"/>
  <c r="Z857" i="22"/>
  <c r="AA841" i="22"/>
  <c r="Z841" i="22"/>
  <c r="Z996" i="22"/>
  <c r="AA996" i="22"/>
  <c r="Z951" i="22"/>
  <c r="AB951" i="22" s="1"/>
  <c r="AA826" i="22"/>
  <c r="Z826" i="22"/>
  <c r="Z609" i="22"/>
  <c r="AA609" i="22"/>
  <c r="AA1006" i="22"/>
  <c r="Z1006" i="22"/>
  <c r="Z995" i="22"/>
  <c r="AA995" i="22"/>
  <c r="AA850" i="22"/>
  <c r="Z850" i="22"/>
  <c r="AA829" i="22"/>
  <c r="Z829" i="22"/>
  <c r="AA1116" i="22"/>
  <c r="Z1116" i="22"/>
  <c r="AA919" i="22"/>
  <c r="AA832" i="22"/>
  <c r="Z832" i="22"/>
  <c r="AA904" i="22"/>
  <c r="AA853" i="22"/>
  <c r="Z853" i="22"/>
  <c r="AA639" i="22"/>
  <c r="Z639" i="22"/>
  <c r="AA846" i="22"/>
  <c r="Z846" i="22"/>
  <c r="AB854" i="22"/>
  <c r="AA927" i="22"/>
  <c r="Z927" i="22"/>
  <c r="AA916" i="22"/>
  <c r="AA849" i="22"/>
  <c r="Z849" i="22"/>
  <c r="AA828" i="22"/>
  <c r="Z828" i="22"/>
  <c r="Z902" i="22"/>
  <c r="AA902" i="22"/>
  <c r="AA842" i="22"/>
  <c r="Z842" i="22"/>
  <c r="AB943" i="22"/>
  <c r="AB747" i="22"/>
  <c r="AB1024" i="22"/>
  <c r="AB820" i="22"/>
  <c r="AB1113" i="22"/>
  <c r="AA994" i="22"/>
  <c r="Z994" i="22"/>
  <c r="AB978" i="22"/>
  <c r="AA982" i="22"/>
  <c r="Z982" i="22"/>
  <c r="AA935" i="22"/>
  <c r="Z935" i="22"/>
  <c r="AA845" i="22"/>
  <c r="Z845" i="22"/>
  <c r="AA644" i="22"/>
  <c r="Z644" i="22"/>
  <c r="AA615" i="22"/>
  <c r="Z615" i="22"/>
  <c r="AA923" i="22"/>
  <c r="AA833" i="22"/>
  <c r="Z833" i="22"/>
  <c r="AA931" i="22"/>
  <c r="Z931" i="22"/>
  <c r="AA862" i="22"/>
  <c r="Z862" i="22"/>
  <c r="Z1128" i="22"/>
  <c r="AA1128" i="22"/>
  <c r="AB1132" i="22"/>
  <c r="Z1093" i="22"/>
  <c r="AA1093" i="22"/>
  <c r="Z1129" i="22"/>
  <c r="AA1129" i="22"/>
  <c r="AB1121" i="22"/>
  <c r="AC1062" i="22"/>
  <c r="Z881" i="22"/>
  <c r="AA881" i="22"/>
  <c r="AA903" i="22"/>
  <c r="Z903" i="22"/>
  <c r="AA864" i="22"/>
  <c r="Z864" i="22"/>
  <c r="Z1021" i="22"/>
  <c r="AA1021" i="22"/>
  <c r="AB988" i="22"/>
  <c r="Z981" i="22"/>
  <c r="AA981" i="22"/>
  <c r="AB972" i="22"/>
  <c r="Z977" i="22"/>
  <c r="AA977" i="22"/>
  <c r="AA957" i="22"/>
  <c r="Z957" i="22"/>
  <c r="Z964" i="22"/>
  <c r="AA964" i="22"/>
  <c r="Z944" i="22"/>
  <c r="AA944" i="22"/>
  <c r="AA896" i="22"/>
  <c r="Z896" i="22"/>
  <c r="Z950" i="22"/>
  <c r="AA950" i="22"/>
  <c r="Z960" i="22"/>
  <c r="AA960" i="22"/>
  <c r="AA936" i="22"/>
  <c r="Z936" i="22"/>
  <c r="AA900" i="22"/>
  <c r="Z900" i="22"/>
  <c r="AA848" i="22"/>
  <c r="Z848" i="22"/>
  <c r="AA876" i="22"/>
  <c r="Z876" i="22"/>
  <c r="AA844" i="22"/>
  <c r="Z844" i="22"/>
  <c r="AB824" i="22"/>
  <c r="AA856" i="22"/>
  <c r="Z856" i="22"/>
  <c r="AA868" i="22"/>
  <c r="Z868" i="22"/>
  <c r="Z1125" i="22"/>
  <c r="AA1125" i="22"/>
  <c r="AA953" i="22"/>
  <c r="Z953" i="22"/>
  <c r="AA911" i="22"/>
  <c r="AA852" i="22"/>
  <c r="Z852" i="22"/>
  <c r="AA1000" i="22"/>
  <c r="Z1000" i="22"/>
  <c r="Z968" i="22"/>
  <c r="AA968" i="22"/>
  <c r="Z985" i="22"/>
  <c r="AA985" i="22"/>
  <c r="AA1126" i="22"/>
  <c r="Z1126" i="22"/>
  <c r="Z930" i="22"/>
  <c r="AA930" i="22"/>
  <c r="Z946" i="22"/>
  <c r="AA946" i="22"/>
  <c r="AA924" i="22"/>
  <c r="Z924" i="22"/>
  <c r="AA907" i="22"/>
  <c r="Z955" i="22"/>
  <c r="AA955" i="22"/>
  <c r="AB901" i="22"/>
  <c r="AA877" i="22"/>
  <c r="Z877" i="22"/>
  <c r="AA928" i="22"/>
  <c r="Z928" i="22"/>
  <c r="AA827" i="22"/>
  <c r="Z827" i="22"/>
  <c r="Z821" i="22"/>
  <c r="AA821" i="22"/>
  <c r="AA840" i="22"/>
  <c r="Z840" i="22"/>
  <c r="AA910" i="22"/>
  <c r="AB859" i="22"/>
  <c r="AA915" i="22"/>
  <c r="AA969" i="22"/>
  <c r="Z969" i="22"/>
  <c r="AA872" i="22"/>
  <c r="Z872" i="22"/>
  <c r="AB1020" i="22"/>
  <c r="Z989" i="22"/>
  <c r="AA989" i="22"/>
  <c r="Z973" i="22"/>
  <c r="AA973" i="22"/>
  <c r="AB984" i="22"/>
  <c r="AA966" i="22"/>
  <c r="Z966" i="22"/>
  <c r="AA962" i="22"/>
  <c r="Z962" i="22"/>
  <c r="AA956" i="22"/>
  <c r="Z956" i="22"/>
  <c r="AA922" i="22"/>
  <c r="AA948" i="22"/>
  <c r="Z948" i="22"/>
  <c r="AA932" i="22"/>
  <c r="Z932" i="22"/>
  <c r="Z934" i="22"/>
  <c r="AA934" i="22"/>
  <c r="Z926" i="22"/>
  <c r="AA926" i="22"/>
  <c r="AA918" i="22"/>
  <c r="AB954" i="22"/>
  <c r="AA920" i="22"/>
  <c r="Z895" i="22"/>
  <c r="AA895" i="22"/>
  <c r="AB867" i="22"/>
  <c r="AA860" i="22"/>
  <c r="Z860" i="22"/>
  <c r="Z825" i="22"/>
  <c r="AA825" i="22"/>
  <c r="AA831" i="22"/>
  <c r="Z831" i="22"/>
  <c r="AA605" i="22"/>
  <c r="Z605" i="22"/>
  <c r="Z620" i="22"/>
  <c r="AA620" i="22"/>
  <c r="Z939" i="22"/>
  <c r="AA939" i="22"/>
  <c r="Z613" i="22"/>
  <c r="AA613" i="22"/>
  <c r="Z632" i="22"/>
  <c r="AA632" i="22"/>
  <c r="AA604" i="22"/>
  <c r="Z604" i="22"/>
  <c r="Z481" i="22"/>
  <c r="AA481" i="22"/>
  <c r="AF413" i="22"/>
  <c r="Z326" i="22"/>
  <c r="AA326" i="22"/>
  <c r="Z637" i="22"/>
  <c r="AA637" i="22"/>
  <c r="Z624" i="22"/>
  <c r="AA624" i="22"/>
  <c r="Z640" i="22"/>
  <c r="AA640" i="22"/>
  <c r="Z607" i="22"/>
  <c r="AA607" i="22"/>
  <c r="Z610" i="22"/>
  <c r="AA610" i="22"/>
  <c r="Z618" i="22"/>
  <c r="AA618" i="22"/>
  <c r="Z634" i="22"/>
  <c r="AA634" i="22"/>
  <c r="AB629" i="22"/>
  <c r="Z626" i="22"/>
  <c r="AA626" i="22"/>
  <c r="AB636" i="22"/>
  <c r="Z750" i="22"/>
  <c r="AA750" i="22"/>
  <c r="AF947" i="22" l="1"/>
  <c r="AG947" i="22" s="1"/>
  <c r="AE951" i="22"/>
  <c r="AG647" i="22"/>
  <c r="AH647" i="22" s="1"/>
  <c r="AE751" i="22"/>
  <c r="AF751" i="22" s="1"/>
  <c r="AG751" i="22" s="1"/>
  <c r="AI649" i="22"/>
  <c r="AI625" i="22"/>
  <c r="AC823" i="22"/>
  <c r="AD823" i="22" s="1"/>
  <c r="AE823" i="22" s="1"/>
  <c r="AG1008" i="22"/>
  <c r="AH1008" i="22" s="1"/>
  <c r="AI1008" i="22" s="1"/>
  <c r="AG646" i="22"/>
  <c r="AH646" i="22" s="1"/>
  <c r="AG648" i="22"/>
  <c r="AH648" i="22" s="1"/>
  <c r="AG650" i="22"/>
  <c r="AH650" i="22" s="1"/>
  <c r="AG1022" i="22"/>
  <c r="AH1022" i="22" s="1"/>
  <c r="AG1004" i="22"/>
  <c r="AH1004" i="22" s="1"/>
  <c r="AI1004" i="22" s="1"/>
  <c r="AG1019" i="22"/>
  <c r="AH1019" i="22" s="1"/>
  <c r="AI1019" i="22" s="1"/>
  <c r="AH1011" i="22"/>
  <c r="AI1011" i="22" s="1"/>
  <c r="AG1020" i="22"/>
  <c r="AH1020" i="22" s="1"/>
  <c r="AI1020" i="22" s="1"/>
  <c r="AG998" i="22"/>
  <c r="AH998" i="22" s="1"/>
  <c r="AG1014" i="22"/>
  <c r="AH1014" i="22" s="1"/>
  <c r="AI1014" i="22" s="1"/>
  <c r="AG1007" i="22"/>
  <c r="AH1007" i="22" s="1"/>
  <c r="AI1007" i="22" s="1"/>
  <c r="AG1132" i="22"/>
  <c r="AH1132" i="22" s="1"/>
  <c r="AI1132" i="22" s="1"/>
  <c r="AG1024" i="22"/>
  <c r="AH1024" i="22" s="1"/>
  <c r="AI1024" i="22" s="1"/>
  <c r="AG1010" i="22"/>
  <c r="AG1018" i="22"/>
  <c r="AH1018" i="22" s="1"/>
  <c r="AI1018" i="22" s="1"/>
  <c r="AG993" i="22"/>
  <c r="AH993" i="22" s="1"/>
  <c r="AI993" i="22" s="1"/>
  <c r="AG1015" i="22"/>
  <c r="AH1015" i="22" s="1"/>
  <c r="AF967" i="22"/>
  <c r="AF645" i="22"/>
  <c r="AF971" i="22"/>
  <c r="AG971" i="22" s="1"/>
  <c r="AF630" i="22"/>
  <c r="AG630" i="22" s="1"/>
  <c r="AH630" i="22" s="1"/>
  <c r="AF984" i="22"/>
  <c r="AG984" i="22" s="1"/>
  <c r="AF635" i="22"/>
  <c r="AF991" i="22"/>
  <c r="AF638" i="22"/>
  <c r="AG638" i="22" s="1"/>
  <c r="AH638" i="22" s="1"/>
  <c r="AF959" i="22"/>
  <c r="AG959" i="22" s="1"/>
  <c r="AF987" i="22"/>
  <c r="AF990" i="22"/>
  <c r="AG990" i="22" s="1"/>
  <c r="AF633" i="22"/>
  <c r="AF629" i="22"/>
  <c r="AF636" i="22"/>
  <c r="AF963" i="22"/>
  <c r="AG963" i="22" s="1"/>
  <c r="AH963" i="22" s="1"/>
  <c r="AI963" i="22" s="1"/>
  <c r="AF983" i="22"/>
  <c r="AG983" i="22" s="1"/>
  <c r="AF975" i="22"/>
  <c r="AG975" i="22" s="1"/>
  <c r="AF641" i="22"/>
  <c r="AF976" i="22"/>
  <c r="AG976" i="22" s="1"/>
  <c r="AF974" i="22"/>
  <c r="AG974" i="22" s="1"/>
  <c r="AG1130" i="22"/>
  <c r="AH1130" i="22" s="1"/>
  <c r="AI1130" i="22" s="1"/>
  <c r="AF972" i="22"/>
  <c r="AF988" i="22"/>
  <c r="AF978" i="22"/>
  <c r="AG978" i="22" s="1"/>
  <c r="AF631" i="22"/>
  <c r="AG631" i="22" s="1"/>
  <c r="AF643" i="22"/>
  <c r="AF965" i="22"/>
  <c r="AF961" i="22"/>
  <c r="AG961" i="22" s="1"/>
  <c r="AH961" i="22" s="1"/>
  <c r="AI961" i="22" s="1"/>
  <c r="AF642" i="22"/>
  <c r="AG642" i="22" s="1"/>
  <c r="AF979" i="22"/>
  <c r="AI970" i="22"/>
  <c r="AH947" i="22"/>
  <c r="AI947" i="22" s="1"/>
  <c r="AE1127" i="22"/>
  <c r="AF1127" i="22" s="1"/>
  <c r="AG1127" i="22" s="1"/>
  <c r="AH1127" i="22" s="1"/>
  <c r="AF952" i="22"/>
  <c r="AG952" i="22" s="1"/>
  <c r="AE954" i="22"/>
  <c r="AF945" i="22"/>
  <c r="AG945" i="22" s="1"/>
  <c r="AE958" i="22"/>
  <c r="AF949" i="22"/>
  <c r="AG949" i="22" s="1"/>
  <c r="AD608" i="22"/>
  <c r="AD942" i="22"/>
  <c r="AE942" i="22" s="1"/>
  <c r="AD1063" i="22"/>
  <c r="AE1063" i="22" s="1"/>
  <c r="AD897" i="22"/>
  <c r="AD606" i="22"/>
  <c r="AD933" i="22"/>
  <c r="AD898" i="22"/>
  <c r="AE898" i="22" s="1"/>
  <c r="AD184" i="22"/>
  <c r="AE1122" i="22"/>
  <c r="AF1122" i="22" s="1"/>
  <c r="AG1122" i="22" s="1"/>
  <c r="AH1122" i="22" s="1"/>
  <c r="AF941" i="22"/>
  <c r="AG941" i="22" s="1"/>
  <c r="AH941" i="22" s="1"/>
  <c r="AF619" i="22"/>
  <c r="AD747" i="22"/>
  <c r="AD616" i="22"/>
  <c r="AD614" i="22"/>
  <c r="AD1124" i="22"/>
  <c r="AE1124" i="22" s="1"/>
  <c r="AF1124" i="22" s="1"/>
  <c r="AD929" i="22"/>
  <c r="AE929" i="22" s="1"/>
  <c r="AF929" i="22" s="1"/>
  <c r="AD901" i="22"/>
  <c r="AE901" i="22" s="1"/>
  <c r="AD943" i="22"/>
  <c r="AD925" i="22"/>
  <c r="AE925" i="22" s="1"/>
  <c r="AF925" i="22" s="1"/>
  <c r="AD937" i="22"/>
  <c r="AD278" i="22"/>
  <c r="AE278" i="22" s="1"/>
  <c r="AD746" i="22"/>
  <c r="AE746" i="22" s="1"/>
  <c r="AD748" i="22"/>
  <c r="AE748" i="22" s="1"/>
  <c r="AD749" i="22"/>
  <c r="AE749" i="22" s="1"/>
  <c r="AE1118" i="22"/>
  <c r="AF1118" i="22" s="1"/>
  <c r="AG1118" i="22" s="1"/>
  <c r="AH1118" i="22" s="1"/>
  <c r="AF899" i="22"/>
  <c r="AG899" i="22" s="1"/>
  <c r="AE893" i="22"/>
  <c r="AF893" i="22" s="1"/>
  <c r="AD611" i="22"/>
  <c r="AD612" i="22"/>
  <c r="AE612" i="22" s="1"/>
  <c r="AD894" i="22"/>
  <c r="AE894" i="22" s="1"/>
  <c r="AF617" i="22"/>
  <c r="AG617" i="22" s="1"/>
  <c r="AH617" i="22" s="1"/>
  <c r="AC854" i="22"/>
  <c r="AD854" i="22" s="1"/>
  <c r="AE854" i="22" s="1"/>
  <c r="AC865" i="22"/>
  <c r="AD865" i="22" s="1"/>
  <c r="AC1117" i="22"/>
  <c r="AD1117" i="22" s="1"/>
  <c r="AC880" i="22"/>
  <c r="AC843" i="22"/>
  <c r="AC869" i="22"/>
  <c r="AD869" i="22" s="1"/>
  <c r="AC873" i="22"/>
  <c r="AD873" i="22" s="1"/>
  <c r="AC874" i="22"/>
  <c r="AD874" i="22" s="1"/>
  <c r="AC851" i="22"/>
  <c r="AD851" i="22" s="1"/>
  <c r="AC871" i="22"/>
  <c r="AD871" i="22" s="1"/>
  <c r="AC866" i="22"/>
  <c r="AD866" i="22" s="1"/>
  <c r="AC863" i="22"/>
  <c r="AD863" i="22" s="1"/>
  <c r="AC1120" i="22"/>
  <c r="AD1120" i="22" s="1"/>
  <c r="AC839" i="22"/>
  <c r="AC867" i="22"/>
  <c r="AD867" i="22" s="1"/>
  <c r="AC1121" i="22"/>
  <c r="AC875" i="22"/>
  <c r="AD875" i="22" s="1"/>
  <c r="AC861" i="22"/>
  <c r="AD861" i="22" s="1"/>
  <c r="AC855" i="22"/>
  <c r="AD855" i="22" s="1"/>
  <c r="AE855" i="22" s="1"/>
  <c r="AC1123" i="22"/>
  <c r="AD1123" i="22" s="1"/>
  <c r="AE1123" i="22" s="1"/>
  <c r="AC879" i="22"/>
  <c r="AD879" i="22" s="1"/>
  <c r="AE879" i="22" s="1"/>
  <c r="AF879" i="22" s="1"/>
  <c r="AC858" i="22"/>
  <c r="AD858" i="22" s="1"/>
  <c r="AE858" i="22" s="1"/>
  <c r="AC882" i="22"/>
  <c r="AD882" i="22" s="1"/>
  <c r="AC859" i="22"/>
  <c r="AC1119" i="22"/>
  <c r="AD1119" i="22" s="1"/>
  <c r="AC847" i="22"/>
  <c r="AC878" i="22"/>
  <c r="AD878" i="22" s="1"/>
  <c r="AD1114" i="22"/>
  <c r="AE1114" i="22" s="1"/>
  <c r="AF1114" i="22" s="1"/>
  <c r="AG1114" i="22" s="1"/>
  <c r="AD1062" i="22"/>
  <c r="AE1062" i="22" s="1"/>
  <c r="AE938" i="22"/>
  <c r="AF938" i="22" s="1"/>
  <c r="AG938" i="22" s="1"/>
  <c r="AC820" i="22"/>
  <c r="AC838" i="22"/>
  <c r="AC1111" i="22"/>
  <c r="AC1110" i="22"/>
  <c r="AC1112" i="22"/>
  <c r="AC1113" i="22"/>
  <c r="AC1092" i="22"/>
  <c r="K452" i="24"/>
  <c r="L452" i="24" s="1"/>
  <c r="K434" i="24"/>
  <c r="L434" i="24" s="1"/>
  <c r="P416" i="24"/>
  <c r="Q416" i="24" s="1"/>
  <c r="K416" i="24"/>
  <c r="L416" i="24" s="1"/>
  <c r="AB640" i="22"/>
  <c r="AJ191" i="22"/>
  <c r="AB926" i="22"/>
  <c r="AB944" i="22"/>
  <c r="AB639" i="22"/>
  <c r="AB626" i="22"/>
  <c r="AB960" i="22"/>
  <c r="AB902" i="22"/>
  <c r="AB856" i="22"/>
  <c r="AB964" i="22"/>
  <c r="AB832" i="22"/>
  <c r="AB829" i="22"/>
  <c r="AB841" i="22"/>
  <c r="AB621" i="22"/>
  <c r="AB634" i="22"/>
  <c r="AB896" i="22"/>
  <c r="AJ442" i="22"/>
  <c r="AB864" i="22"/>
  <c r="AB853" i="22"/>
  <c r="AB850" i="22"/>
  <c r="AB826" i="22"/>
  <c r="AB857" i="22"/>
  <c r="AB876" i="22"/>
  <c r="AB900" i="22"/>
  <c r="AB750" i="22"/>
  <c r="AB618" i="22"/>
  <c r="AB610" i="22"/>
  <c r="AB624" i="22"/>
  <c r="AB825" i="22"/>
  <c r="AB934" i="22"/>
  <c r="AB1129" i="22"/>
  <c r="AE1129" i="22" s="1"/>
  <c r="AB1093" i="22"/>
  <c r="AB1128" i="22"/>
  <c r="AB326" i="22"/>
  <c r="AB613" i="22"/>
  <c r="AB620" i="22"/>
  <c r="AB1125" i="22"/>
  <c r="AB836" i="22"/>
  <c r="AB986" i="22"/>
  <c r="AB848" i="22"/>
  <c r="AB931" i="22"/>
  <c r="AB644" i="22"/>
  <c r="AB935" i="22"/>
  <c r="AB849" i="22"/>
  <c r="AB927" i="22"/>
  <c r="AB1006" i="22"/>
  <c r="AB609" i="22"/>
  <c r="AB969" i="22"/>
  <c r="AB827" i="22"/>
  <c r="AB957" i="22"/>
  <c r="AB903" i="22"/>
  <c r="AJ329" i="22"/>
  <c r="AF62" i="22"/>
  <c r="AG62" i="22" s="1"/>
  <c r="AI62" i="22" s="1"/>
  <c r="AJ62" i="22" s="1"/>
  <c r="AJ436" i="22"/>
  <c r="AB962" i="22"/>
  <c r="AB872" i="22"/>
  <c r="AB930" i="22"/>
  <c r="AB868" i="22"/>
  <c r="AB844" i="22"/>
  <c r="AB977" i="22"/>
  <c r="AB981" i="22"/>
  <c r="AB862" i="22"/>
  <c r="AB833" i="22"/>
  <c r="AB615" i="22"/>
  <c r="AB845" i="22"/>
  <c r="AB982" i="22"/>
  <c r="AB994" i="22"/>
  <c r="AB842" i="22"/>
  <c r="AB828" i="22"/>
  <c r="AB846" i="22"/>
  <c r="AB1116" i="22"/>
  <c r="AB996" i="22"/>
  <c r="AG996" i="22" s="1"/>
  <c r="AH996" i="22" s="1"/>
  <c r="AI996" i="22" s="1"/>
  <c r="AC1115" i="22"/>
  <c r="AC837" i="22"/>
  <c r="AJ1002" i="22"/>
  <c r="AB932" i="22"/>
  <c r="AB956" i="22"/>
  <c r="AE956" i="22" s="1"/>
  <c r="AB973" i="22"/>
  <c r="AB928" i="22"/>
  <c r="AB877" i="22"/>
  <c r="AB924" i="22"/>
  <c r="AB985" i="22"/>
  <c r="AB852" i="22"/>
  <c r="AB936" i="22"/>
  <c r="AB1021" i="22"/>
  <c r="AG1021" i="22" s="1"/>
  <c r="AH1021" i="22" s="1"/>
  <c r="AI1021" i="22" s="1"/>
  <c r="AB881" i="22"/>
  <c r="AB831" i="22"/>
  <c r="AC830" i="22"/>
  <c r="AB860" i="22"/>
  <c r="AB895" i="22"/>
  <c r="AB948" i="22"/>
  <c r="AB966" i="22"/>
  <c r="AB989" i="22"/>
  <c r="AB821" i="22"/>
  <c r="AB955" i="22"/>
  <c r="AB1126" i="22"/>
  <c r="AB968" i="22"/>
  <c r="AB1000" i="22"/>
  <c r="AG1000" i="22" s="1"/>
  <c r="AH1000" i="22" s="1"/>
  <c r="AI1000" i="22" s="1"/>
  <c r="AB953" i="22"/>
  <c r="AE953" i="22" s="1"/>
  <c r="AC824" i="22"/>
  <c r="AB950" i="22"/>
  <c r="AG413" i="22"/>
  <c r="AI413" i="22" s="1"/>
  <c r="AJ413" i="22" s="1"/>
  <c r="AD940" i="22"/>
  <c r="AF282" i="22"/>
  <c r="AB604" i="22"/>
  <c r="AB605" i="22"/>
  <c r="AB607" i="22"/>
  <c r="AB637" i="22"/>
  <c r="AB632" i="22"/>
  <c r="AB939" i="22"/>
  <c r="AB1065" i="22" l="1"/>
  <c r="AL978" i="22"/>
  <c r="AL971" i="22"/>
  <c r="AE948" i="22"/>
  <c r="AF948" i="22" s="1"/>
  <c r="AG948" i="22" s="1"/>
  <c r="AL947" i="22"/>
  <c r="AF951" i="22"/>
  <c r="AG951" i="22" s="1"/>
  <c r="AH951" i="22" s="1"/>
  <c r="AI648" i="22"/>
  <c r="AE624" i="22"/>
  <c r="AF624" i="22" s="1"/>
  <c r="AG624" i="22" s="1"/>
  <c r="AI646" i="22"/>
  <c r="AI638" i="22"/>
  <c r="AI647" i="22"/>
  <c r="AI650" i="22"/>
  <c r="AI630" i="22"/>
  <c r="AI617" i="22"/>
  <c r="AD820" i="22"/>
  <c r="AC827" i="22"/>
  <c r="AD827" i="22" s="1"/>
  <c r="AC825" i="22"/>
  <c r="AD825" i="22" s="1"/>
  <c r="AH978" i="22"/>
  <c r="AI978" i="22" s="1"/>
  <c r="AH983" i="22"/>
  <c r="AI983" i="22" s="1"/>
  <c r="AI941" i="22"/>
  <c r="AG988" i="22"/>
  <c r="AH988" i="22" s="1"/>
  <c r="AI988" i="22" s="1"/>
  <c r="AI1015" i="22"/>
  <c r="AI1022" i="22"/>
  <c r="AG994" i="22"/>
  <c r="AH994" i="22" s="1"/>
  <c r="AH975" i="22"/>
  <c r="AI975" i="22" s="1"/>
  <c r="AH1010" i="22"/>
  <c r="AI1010" i="22" s="1"/>
  <c r="AJ1010" i="22" s="1"/>
  <c r="AI998" i="22"/>
  <c r="AJ998" i="22" s="1"/>
  <c r="AH984" i="22"/>
  <c r="AI984" i="22" s="1"/>
  <c r="AG1006" i="22"/>
  <c r="AH1006" i="22" s="1"/>
  <c r="AI1006" i="22" s="1"/>
  <c r="AH959" i="22"/>
  <c r="AI959" i="22" s="1"/>
  <c r="AH990" i="22"/>
  <c r="AI990" i="22" s="1"/>
  <c r="AJ990" i="22" s="1"/>
  <c r="AH642" i="22"/>
  <c r="AI642" i="22" s="1"/>
  <c r="AF966" i="22"/>
  <c r="AG966" i="22" s="1"/>
  <c r="AH966" i="22" s="1"/>
  <c r="AF982" i="22"/>
  <c r="AG982" i="22" s="1"/>
  <c r="AG979" i="22"/>
  <c r="AH979" i="22" s="1"/>
  <c r="AI979" i="22" s="1"/>
  <c r="AG965" i="22"/>
  <c r="AH965" i="22" s="1"/>
  <c r="AI965" i="22" s="1"/>
  <c r="AG643" i="22"/>
  <c r="AH643" i="22" s="1"/>
  <c r="AH631" i="22"/>
  <c r="AI631" i="22" s="1"/>
  <c r="AG972" i="22"/>
  <c r="AH972" i="22" s="1"/>
  <c r="AH974" i="22"/>
  <c r="AI974" i="22" s="1"/>
  <c r="AH976" i="22"/>
  <c r="AI976" i="22" s="1"/>
  <c r="AG641" i="22"/>
  <c r="AH641" i="22" s="1"/>
  <c r="AG636" i="22"/>
  <c r="AH636" i="22" s="1"/>
  <c r="AG629" i="22"/>
  <c r="AH629" i="22" s="1"/>
  <c r="AG633" i="22"/>
  <c r="AH633" i="22" s="1"/>
  <c r="AG987" i="22"/>
  <c r="AG991" i="22"/>
  <c r="AG635" i="22"/>
  <c r="AH971" i="22"/>
  <c r="AI971" i="22" s="1"/>
  <c r="AG645" i="22"/>
  <c r="AH645" i="22" s="1"/>
  <c r="AG967" i="22"/>
  <c r="AH967" i="22" s="1"/>
  <c r="AF985" i="22"/>
  <c r="AG985" i="22" s="1"/>
  <c r="AH985" i="22" s="1"/>
  <c r="AF973" i="22"/>
  <c r="AG973" i="22" s="1"/>
  <c r="AH973" i="22" s="1"/>
  <c r="AF981" i="22"/>
  <c r="AG981" i="22" s="1"/>
  <c r="AF986" i="22"/>
  <c r="AG986" i="22" s="1"/>
  <c r="AF634" i="22"/>
  <c r="AG634" i="22" s="1"/>
  <c r="AF964" i="22"/>
  <c r="AG964" i="22" s="1"/>
  <c r="AF960" i="22"/>
  <c r="AH952" i="22"/>
  <c r="AI952" i="22" s="1"/>
  <c r="AF977" i="22"/>
  <c r="AG977" i="22" s="1"/>
  <c r="AH977" i="22" s="1"/>
  <c r="AI977" i="22" s="1"/>
  <c r="AF644" i="22"/>
  <c r="AG644" i="22" s="1"/>
  <c r="AF626" i="22"/>
  <c r="AF640" i="22"/>
  <c r="AF632" i="22"/>
  <c r="AG632" i="22" s="1"/>
  <c r="AH632" i="22" s="1"/>
  <c r="AF968" i="22"/>
  <c r="AG968" i="22" s="1"/>
  <c r="AF637" i="22"/>
  <c r="AG637" i="22" s="1"/>
  <c r="AH637" i="22" s="1"/>
  <c r="AF989" i="22"/>
  <c r="AG989" i="22" s="1"/>
  <c r="AH989" i="22" s="1"/>
  <c r="AF962" i="22"/>
  <c r="AG962" i="22" s="1"/>
  <c r="AF969" i="22"/>
  <c r="AG969" i="22" s="1"/>
  <c r="AH969" i="22" s="1"/>
  <c r="AF639" i="22"/>
  <c r="AI1127" i="22"/>
  <c r="AF953" i="22"/>
  <c r="AG953" i="22" s="1"/>
  <c r="AH953" i="22" s="1"/>
  <c r="AE955" i="22"/>
  <c r="AH949" i="22"/>
  <c r="AI949" i="22" s="1"/>
  <c r="AE957" i="22"/>
  <c r="AE326" i="22"/>
  <c r="AF326" i="22" s="1"/>
  <c r="AF1129" i="22"/>
  <c r="AG1129" i="22" s="1"/>
  <c r="AH1129" i="22" s="1"/>
  <c r="AJ617" i="22"/>
  <c r="AH751" i="22"/>
  <c r="AI751" i="22" s="1"/>
  <c r="AF956" i="22"/>
  <c r="AG956" i="22" s="1"/>
  <c r="AE950" i="22"/>
  <c r="AE1128" i="22"/>
  <c r="AE944" i="22"/>
  <c r="AD1121" i="22"/>
  <c r="AE1121" i="22" s="1"/>
  <c r="AF1121" i="22" s="1"/>
  <c r="AG1121" i="22" s="1"/>
  <c r="AH1121" i="22" s="1"/>
  <c r="AF958" i="22"/>
  <c r="AG958" i="22" s="1"/>
  <c r="AF954" i="22"/>
  <c r="AG954" i="22" s="1"/>
  <c r="AH945" i="22"/>
  <c r="AI945" i="22" s="1"/>
  <c r="AG893" i="22"/>
  <c r="AH893" i="22" s="1"/>
  <c r="AD604" i="22"/>
  <c r="AD1126" i="22"/>
  <c r="AE1126" i="22" s="1"/>
  <c r="AF1126" i="22" s="1"/>
  <c r="AD895" i="22"/>
  <c r="AE895" i="22" s="1"/>
  <c r="AF895" i="22" s="1"/>
  <c r="AD932" i="22"/>
  <c r="AE932" i="22" s="1"/>
  <c r="AF932" i="22" s="1"/>
  <c r="AD615" i="22"/>
  <c r="AE615" i="22" s="1"/>
  <c r="AD935" i="22"/>
  <c r="AE935" i="22" s="1"/>
  <c r="AD1125" i="22"/>
  <c r="AE1125" i="22" s="1"/>
  <c r="AF1125" i="22" s="1"/>
  <c r="AD750" i="22"/>
  <c r="AE750" i="22" s="1"/>
  <c r="AF750" i="22" s="1"/>
  <c r="AD621" i="22"/>
  <c r="AE621" i="22" s="1"/>
  <c r="AD902" i="22"/>
  <c r="AE902" i="22" s="1"/>
  <c r="AF612" i="22"/>
  <c r="AG612" i="22" s="1"/>
  <c r="AH612" i="22" s="1"/>
  <c r="AD607" i="22"/>
  <c r="AE607" i="22" s="1"/>
  <c r="AD928" i="22"/>
  <c r="AE928" i="22" s="1"/>
  <c r="AD927" i="22"/>
  <c r="AE927" i="22" s="1"/>
  <c r="AD620" i="22"/>
  <c r="AE620" i="22" s="1"/>
  <c r="AD900" i="22"/>
  <c r="AE900" i="22" s="1"/>
  <c r="AF900" i="22" s="1"/>
  <c r="AD926" i="22"/>
  <c r="AE926" i="22" s="1"/>
  <c r="AF748" i="22"/>
  <c r="AG748" i="22" s="1"/>
  <c r="AG1124" i="22"/>
  <c r="AH1124" i="22" s="1"/>
  <c r="AI1124" i="22" s="1"/>
  <c r="AE616" i="22"/>
  <c r="AF616" i="22" s="1"/>
  <c r="AF942" i="22"/>
  <c r="AG942" i="22" s="1"/>
  <c r="AH942" i="22" s="1"/>
  <c r="AD605" i="22"/>
  <c r="AE605" i="22" s="1"/>
  <c r="AD903" i="22"/>
  <c r="AE903" i="22" s="1"/>
  <c r="AF903" i="22" s="1"/>
  <c r="AD931" i="22"/>
  <c r="AE931" i="22" s="1"/>
  <c r="AF931" i="22" s="1"/>
  <c r="AD613" i="22"/>
  <c r="AE613" i="22" s="1"/>
  <c r="AD934" i="22"/>
  <c r="AE934" i="22" s="1"/>
  <c r="AF934" i="22" s="1"/>
  <c r="AD610" i="22"/>
  <c r="AE610" i="22" s="1"/>
  <c r="AD896" i="22"/>
  <c r="AE896" i="22" s="1"/>
  <c r="AF896" i="22" s="1"/>
  <c r="AH899" i="22"/>
  <c r="AI899" i="22" s="1"/>
  <c r="AJ899" i="22" s="1"/>
  <c r="AF749" i="22"/>
  <c r="AG749" i="22" s="1"/>
  <c r="AF278" i="22"/>
  <c r="AG278" i="22" s="1"/>
  <c r="AG925" i="22"/>
  <c r="AH925" i="22" s="1"/>
  <c r="AI925" i="22" s="1"/>
  <c r="AG929" i="22"/>
  <c r="AH929" i="22" s="1"/>
  <c r="AI929" i="22" s="1"/>
  <c r="AF898" i="22"/>
  <c r="AG898" i="22" s="1"/>
  <c r="AE606" i="22"/>
  <c r="AF606" i="22" s="1"/>
  <c r="AD936" i="22"/>
  <c r="AE936" i="22" s="1"/>
  <c r="AD924" i="22"/>
  <c r="AE924" i="22" s="1"/>
  <c r="AD930" i="22"/>
  <c r="AE930" i="22" s="1"/>
  <c r="AF930" i="22" s="1"/>
  <c r="AD609" i="22"/>
  <c r="AE609" i="22" s="1"/>
  <c r="AD618" i="22"/>
  <c r="AE618" i="22" s="1"/>
  <c r="AF894" i="22"/>
  <c r="AE611" i="22"/>
  <c r="AF611" i="22" s="1"/>
  <c r="AF746" i="22"/>
  <c r="AG746" i="22" s="1"/>
  <c r="AH746" i="22" s="1"/>
  <c r="AE937" i="22"/>
  <c r="AF937" i="22" s="1"/>
  <c r="AG937" i="22" s="1"/>
  <c r="AE943" i="22"/>
  <c r="AF901" i="22"/>
  <c r="AE614" i="22"/>
  <c r="AF614" i="22" s="1"/>
  <c r="AE747" i="22"/>
  <c r="AG619" i="22"/>
  <c r="AH619" i="22" s="1"/>
  <c r="AI619" i="22" s="1"/>
  <c r="AE184" i="22"/>
  <c r="AF184" i="22" s="1"/>
  <c r="AE933" i="22"/>
  <c r="AF933" i="22" s="1"/>
  <c r="AE897" i="22"/>
  <c r="AF897" i="22" s="1"/>
  <c r="AF1063" i="22"/>
  <c r="AG1063" i="22" s="1"/>
  <c r="AH1063" i="22" s="1"/>
  <c r="AE608" i="22"/>
  <c r="AF608" i="22" s="1"/>
  <c r="AG608" i="22" s="1"/>
  <c r="AE873" i="22"/>
  <c r="AF873" i="22" s="1"/>
  <c r="AG873" i="22" s="1"/>
  <c r="AH873" i="22" s="1"/>
  <c r="AE865" i="22"/>
  <c r="AF865" i="22" s="1"/>
  <c r="AI1118" i="22"/>
  <c r="AC846" i="22"/>
  <c r="AD846" i="22" s="1"/>
  <c r="AC844" i="22"/>
  <c r="AD844" i="22" s="1"/>
  <c r="AE844" i="22" s="1"/>
  <c r="AC860" i="22"/>
  <c r="AD860" i="22" s="1"/>
  <c r="AC877" i="22"/>
  <c r="AD877" i="22" s="1"/>
  <c r="AC862" i="22"/>
  <c r="AD862" i="22" s="1"/>
  <c r="AE862" i="22" s="1"/>
  <c r="AC868" i="22"/>
  <c r="AD868" i="22" s="1"/>
  <c r="AC849" i="22"/>
  <c r="AD849" i="22" s="1"/>
  <c r="AC876" i="22"/>
  <c r="AD876" i="22" s="1"/>
  <c r="AC864" i="22"/>
  <c r="AD864" i="22" s="1"/>
  <c r="AE864" i="22" s="1"/>
  <c r="AF855" i="22"/>
  <c r="AG855" i="22" s="1"/>
  <c r="AH855" i="22" s="1"/>
  <c r="AD839" i="22"/>
  <c r="AE839" i="22" s="1"/>
  <c r="AD843" i="22"/>
  <c r="AE843" i="22" s="1"/>
  <c r="AC850" i="22"/>
  <c r="AD850" i="22" s="1"/>
  <c r="AF858" i="22"/>
  <c r="AG858" i="22" s="1"/>
  <c r="AH858" i="22" s="1"/>
  <c r="AG879" i="22"/>
  <c r="AH879" i="22" s="1"/>
  <c r="AI879" i="22" s="1"/>
  <c r="AF1123" i="22"/>
  <c r="AC881" i="22"/>
  <c r="AD881" i="22" s="1"/>
  <c r="AC1116" i="22"/>
  <c r="AD1116" i="22" s="1"/>
  <c r="AE1116" i="22" s="1"/>
  <c r="AC845" i="22"/>
  <c r="AC842" i="22"/>
  <c r="AD842" i="22" s="1"/>
  <c r="AE842" i="22" s="1"/>
  <c r="AC872" i="22"/>
  <c r="AD872" i="22" s="1"/>
  <c r="AC848" i="22"/>
  <c r="AD848" i="22" s="1"/>
  <c r="AE848" i="22" s="1"/>
  <c r="AC857" i="22"/>
  <c r="AD857" i="22" s="1"/>
  <c r="AC856" i="22"/>
  <c r="AD856" i="22" s="1"/>
  <c r="AE856" i="22" s="1"/>
  <c r="AE878" i="22"/>
  <c r="AD847" i="22"/>
  <c r="AE1119" i="22"/>
  <c r="AD859" i="22"/>
  <c r="AE861" i="22"/>
  <c r="AE875" i="22"/>
  <c r="AE867" i="22"/>
  <c r="AF867" i="22" s="1"/>
  <c r="AG867" i="22" s="1"/>
  <c r="AE1120" i="22"/>
  <c r="AE863" i="22"/>
  <c r="AF863" i="22" s="1"/>
  <c r="AG863" i="22" s="1"/>
  <c r="AE866" i="22"/>
  <c r="AF866" i="22" s="1"/>
  <c r="AE871" i="22"/>
  <c r="AF871" i="22" s="1"/>
  <c r="AE851" i="22"/>
  <c r="AE874" i="22"/>
  <c r="AF874" i="22" s="1"/>
  <c r="AE869" i="22"/>
  <c r="AF869" i="22" s="1"/>
  <c r="AD880" i="22"/>
  <c r="AE880" i="22" s="1"/>
  <c r="AE1117" i="22"/>
  <c r="AC852" i="22"/>
  <c r="AD852" i="22" s="1"/>
  <c r="AE852" i="22" s="1"/>
  <c r="AF852" i="22" s="1"/>
  <c r="AC853" i="22"/>
  <c r="AD853" i="22" s="1"/>
  <c r="AC841" i="22"/>
  <c r="AD841" i="22" s="1"/>
  <c r="AE841" i="22" s="1"/>
  <c r="AE882" i="22"/>
  <c r="AF882" i="22" s="1"/>
  <c r="AF854" i="22"/>
  <c r="AI1122" i="22"/>
  <c r="AJ1122" i="22" s="1"/>
  <c r="AF1062" i="22"/>
  <c r="AH1114" i="22"/>
  <c r="AI1114" i="22" s="1"/>
  <c r="AJ947" i="22"/>
  <c r="AD1092" i="22"/>
  <c r="AD1110" i="22"/>
  <c r="AE1110" i="22" s="1"/>
  <c r="AF1110" i="22" s="1"/>
  <c r="AG1110" i="22" s="1"/>
  <c r="AH938" i="22"/>
  <c r="AI938" i="22" s="1"/>
  <c r="AJ938" i="22" s="1"/>
  <c r="AJ1004" i="22"/>
  <c r="AD830" i="22"/>
  <c r="AD1113" i="22"/>
  <c r="AJ970" i="22"/>
  <c r="AD837" i="22"/>
  <c r="AE837" i="22" s="1"/>
  <c r="AF837" i="22" s="1"/>
  <c r="AG837" i="22" s="1"/>
  <c r="AD1112" i="22"/>
  <c r="AE1112" i="22" s="1"/>
  <c r="AD1111" i="22"/>
  <c r="AE1111" i="22" s="1"/>
  <c r="AD838" i="22"/>
  <c r="AE838" i="22" s="1"/>
  <c r="AF838" i="22" s="1"/>
  <c r="AJ649" i="22"/>
  <c r="AJ625" i="22"/>
  <c r="AC1093" i="22"/>
  <c r="AF61" i="22"/>
  <c r="AG61" i="22" s="1"/>
  <c r="AC832" i="22"/>
  <c r="AG318" i="22"/>
  <c r="AI318" i="22" s="1"/>
  <c r="AJ318" i="22" s="1"/>
  <c r="AC829" i="22"/>
  <c r="AC836" i="22"/>
  <c r="AC826" i="22"/>
  <c r="AJ1012" i="22"/>
  <c r="AJ152" i="22"/>
  <c r="AJ83" i="22"/>
  <c r="AJ515" i="22"/>
  <c r="AF823" i="22"/>
  <c r="AJ22" i="22"/>
  <c r="AJ236" i="22"/>
  <c r="AJ306" i="22"/>
  <c r="AJ435" i="22"/>
  <c r="AD1115" i="22"/>
  <c r="AC828" i="22"/>
  <c r="AJ1019" i="22"/>
  <c r="AJ424" i="22"/>
  <c r="AC833" i="22"/>
  <c r="AC821" i="22"/>
  <c r="AD824" i="22"/>
  <c r="AC831" i="22"/>
  <c r="AJ250" i="22"/>
  <c r="AJ429" i="22"/>
  <c r="AJ351" i="22"/>
  <c r="AG282" i="22"/>
  <c r="AJ219" i="22"/>
  <c r="AJ352" i="22"/>
  <c r="AE940" i="22"/>
  <c r="AJ100" i="22"/>
  <c r="AJ210" i="22"/>
  <c r="AL942" i="22" l="1"/>
  <c r="AE1092" i="22"/>
  <c r="AF1092" i="22" s="1"/>
  <c r="AC1065" i="22"/>
  <c r="AL837" i="22"/>
  <c r="AL867" i="22"/>
  <c r="AL858" i="22"/>
  <c r="AL863" i="22"/>
  <c r="AL855" i="22"/>
  <c r="AL873" i="22"/>
  <c r="AL948" i="22"/>
  <c r="AL979" i="22"/>
  <c r="AI951" i="22"/>
  <c r="AJ951" i="22" s="1"/>
  <c r="AI942" i="22"/>
  <c r="AI636" i="22"/>
  <c r="AI746" i="22"/>
  <c r="AI632" i="22"/>
  <c r="AI612" i="22"/>
  <c r="AJ612" i="22" s="1"/>
  <c r="AI629" i="22"/>
  <c r="AI641" i="22"/>
  <c r="AJ641" i="22" s="1"/>
  <c r="AI643" i="22"/>
  <c r="AJ643" i="22" s="1"/>
  <c r="AI893" i="22"/>
  <c r="AI637" i="22"/>
  <c r="AI633" i="22"/>
  <c r="AI645" i="22"/>
  <c r="AJ645" i="22" s="1"/>
  <c r="AE820" i="22"/>
  <c r="AE830" i="22"/>
  <c r="AF830" i="22" s="1"/>
  <c r="AG830" i="22" s="1"/>
  <c r="AH830" i="22" s="1"/>
  <c r="AJ1114" i="22"/>
  <c r="AG1062" i="22"/>
  <c r="AH1062" i="22" s="1"/>
  <c r="AH962" i="22"/>
  <c r="AI962" i="22" s="1"/>
  <c r="AH986" i="22"/>
  <c r="AI986" i="22" s="1"/>
  <c r="AG640" i="22"/>
  <c r="AH640" i="22" s="1"/>
  <c r="AH634" i="22"/>
  <c r="AI634" i="22" s="1"/>
  <c r="AI994" i="22"/>
  <c r="AJ619" i="22"/>
  <c r="AI973" i="22"/>
  <c r="AI966" i="22"/>
  <c r="AH968" i="22"/>
  <c r="AI968" i="22" s="1"/>
  <c r="AH981" i="22"/>
  <c r="AI981" i="22" s="1"/>
  <c r="AG639" i="22"/>
  <c r="AH639" i="22" s="1"/>
  <c r="AI969" i="22"/>
  <c r="AH644" i="22"/>
  <c r="AI644" i="22" s="1"/>
  <c r="AH964" i="22"/>
  <c r="AI964" i="22" s="1"/>
  <c r="AI985" i="22"/>
  <c r="AH982" i="22"/>
  <c r="AI982" i="22" s="1"/>
  <c r="AH987" i="22"/>
  <c r="AI987" i="22" s="1"/>
  <c r="AG626" i="22"/>
  <c r="AH626" i="22" s="1"/>
  <c r="AG960" i="22"/>
  <c r="AI989" i="22"/>
  <c r="AH282" i="22"/>
  <c r="AH635" i="22"/>
  <c r="AI635" i="22" s="1"/>
  <c r="AI967" i="22"/>
  <c r="AI972" i="22"/>
  <c r="AH991" i="22"/>
  <c r="AI991" i="22" s="1"/>
  <c r="AE877" i="22"/>
  <c r="AF877" i="22" s="1"/>
  <c r="AG877" i="22" s="1"/>
  <c r="AH749" i="22"/>
  <c r="AI749" i="22" s="1"/>
  <c r="AH624" i="22"/>
  <c r="AI624" i="22" s="1"/>
  <c r="AH958" i="22"/>
  <c r="AI958" i="22" s="1"/>
  <c r="AJ958" i="22" s="1"/>
  <c r="AF944" i="22"/>
  <c r="AG944" i="22" s="1"/>
  <c r="AH944" i="22" s="1"/>
  <c r="AH948" i="22"/>
  <c r="AI948" i="22" s="1"/>
  <c r="AH956" i="22"/>
  <c r="AI956" i="22" s="1"/>
  <c r="AG616" i="22"/>
  <c r="AH616" i="22" s="1"/>
  <c r="AI616" i="22" s="1"/>
  <c r="AI1129" i="22"/>
  <c r="AF955" i="22"/>
  <c r="AG955" i="22" s="1"/>
  <c r="AH955" i="22" s="1"/>
  <c r="AH278" i="22"/>
  <c r="AF1128" i="22"/>
  <c r="AF957" i="22"/>
  <c r="AG957" i="22" s="1"/>
  <c r="AH957" i="22" s="1"/>
  <c r="AH954" i="22"/>
  <c r="AI954" i="22" s="1"/>
  <c r="AF950" i="22"/>
  <c r="AI953" i="22"/>
  <c r="AH748" i="22"/>
  <c r="AI748" i="22" s="1"/>
  <c r="AG933" i="22"/>
  <c r="AH933" i="22" s="1"/>
  <c r="AI933" i="22" s="1"/>
  <c r="AJ933" i="22" s="1"/>
  <c r="AE876" i="22"/>
  <c r="AF876" i="22" s="1"/>
  <c r="AG876" i="22" s="1"/>
  <c r="AI1063" i="22"/>
  <c r="AG901" i="22"/>
  <c r="AH901" i="22" s="1"/>
  <c r="AF618" i="22"/>
  <c r="AG618" i="22" s="1"/>
  <c r="AH608" i="22"/>
  <c r="AI608" i="22" s="1"/>
  <c r="AH898" i="22"/>
  <c r="AI898" i="22" s="1"/>
  <c r="AJ898" i="22" s="1"/>
  <c r="AG614" i="22"/>
  <c r="AH614" i="22" s="1"/>
  <c r="AI614" i="22" s="1"/>
  <c r="AF613" i="22"/>
  <c r="AG613" i="22" s="1"/>
  <c r="AG903" i="22"/>
  <c r="AH903" i="22" s="1"/>
  <c r="AI903" i="22" s="1"/>
  <c r="AG897" i="22"/>
  <c r="AH897" i="22" s="1"/>
  <c r="AI897" i="22" s="1"/>
  <c r="AG184" i="22"/>
  <c r="AH184" i="22" s="1"/>
  <c r="AF943" i="22"/>
  <c r="AG943" i="22" s="1"/>
  <c r="AF615" i="22"/>
  <c r="AG615" i="22" s="1"/>
  <c r="AG1126" i="22"/>
  <c r="AF747" i="22"/>
  <c r="AG747" i="22" s="1"/>
  <c r="AG894" i="22"/>
  <c r="AH894" i="22" s="1"/>
  <c r="AI894" i="22" s="1"/>
  <c r="AF924" i="22"/>
  <c r="AG924" i="22" s="1"/>
  <c r="AG896" i="22"/>
  <c r="AH896" i="22" s="1"/>
  <c r="AI896" i="22" s="1"/>
  <c r="AG900" i="22"/>
  <c r="AH900" i="22" s="1"/>
  <c r="AF927" i="22"/>
  <c r="AG927" i="22" s="1"/>
  <c r="AF607" i="22"/>
  <c r="AG607" i="22" s="1"/>
  <c r="AH937" i="22"/>
  <c r="AI937" i="22" s="1"/>
  <c r="AF621" i="22"/>
  <c r="AG621" i="22" s="1"/>
  <c r="AH621" i="22" s="1"/>
  <c r="AF935" i="22"/>
  <c r="AG935" i="22" s="1"/>
  <c r="AG895" i="22"/>
  <c r="AH895" i="22" s="1"/>
  <c r="AI895" i="22" s="1"/>
  <c r="AG865" i="22"/>
  <c r="AH865" i="22" s="1"/>
  <c r="AH867" i="22"/>
  <c r="AI867" i="22" s="1"/>
  <c r="AG930" i="22"/>
  <c r="AG934" i="22"/>
  <c r="AH934" i="22" s="1"/>
  <c r="AG931" i="22"/>
  <c r="AH931" i="22" s="1"/>
  <c r="AI931" i="22" s="1"/>
  <c r="AF605" i="22"/>
  <c r="AG605" i="22" s="1"/>
  <c r="AG606" i="22"/>
  <c r="AH606" i="22" s="1"/>
  <c r="AI606" i="22" s="1"/>
  <c r="AF926" i="22"/>
  <c r="AG926" i="22" s="1"/>
  <c r="AH926" i="22" s="1"/>
  <c r="AI926" i="22" s="1"/>
  <c r="AF620" i="22"/>
  <c r="AG620" i="22" s="1"/>
  <c r="AF902" i="22"/>
  <c r="AG902" i="22" s="1"/>
  <c r="AG1125" i="22"/>
  <c r="AH1125" i="22" s="1"/>
  <c r="AI1125" i="22" s="1"/>
  <c r="AE604" i="22"/>
  <c r="AF609" i="22"/>
  <c r="AF936" i="22"/>
  <c r="AG936" i="22" s="1"/>
  <c r="AH936" i="22" s="1"/>
  <c r="AI936" i="22" s="1"/>
  <c r="AF610" i="22"/>
  <c r="AG610" i="22" s="1"/>
  <c r="AF928" i="22"/>
  <c r="AG928" i="22" s="1"/>
  <c r="AG611" i="22"/>
  <c r="AH611" i="22" s="1"/>
  <c r="AI611" i="22" s="1"/>
  <c r="AG750" i="22"/>
  <c r="AH750" i="22" s="1"/>
  <c r="AG932" i="22"/>
  <c r="AH932" i="22" s="1"/>
  <c r="AE857" i="22"/>
  <c r="AF857" i="22" s="1"/>
  <c r="AG857" i="22" s="1"/>
  <c r="AH857" i="22" s="1"/>
  <c r="AE881" i="22"/>
  <c r="AF881" i="22" s="1"/>
  <c r="AG881" i="22" s="1"/>
  <c r="AI873" i="22"/>
  <c r="AE853" i="22"/>
  <c r="AE850" i="22"/>
  <c r="AF850" i="22" s="1"/>
  <c r="AE849" i="22"/>
  <c r="AF849" i="22" s="1"/>
  <c r="AG849" i="22" s="1"/>
  <c r="AH849" i="22" s="1"/>
  <c r="AF843" i="22"/>
  <c r="AG843" i="22" s="1"/>
  <c r="AL843" i="22" s="1"/>
  <c r="AF839" i="22"/>
  <c r="AG839" i="22" s="1"/>
  <c r="AH839" i="22" s="1"/>
  <c r="AF841" i="22"/>
  <c r="AG841" i="22" s="1"/>
  <c r="AH841" i="22" s="1"/>
  <c r="AI858" i="22"/>
  <c r="AJ858" i="22" s="1"/>
  <c r="AE847" i="22"/>
  <c r="AF847" i="22" s="1"/>
  <c r="AG847" i="22" s="1"/>
  <c r="AH847" i="22" s="1"/>
  <c r="AF848" i="22"/>
  <c r="AG848" i="22" s="1"/>
  <c r="AF842" i="22"/>
  <c r="AG842" i="22" s="1"/>
  <c r="AF1116" i="22"/>
  <c r="AG1116" i="22" s="1"/>
  <c r="AF1117" i="22"/>
  <c r="AG869" i="22"/>
  <c r="AG1123" i="22"/>
  <c r="AH1123" i="22" s="1"/>
  <c r="AG854" i="22"/>
  <c r="AH854" i="22" s="1"/>
  <c r="AI854" i="22" s="1"/>
  <c r="AH863" i="22"/>
  <c r="AI863" i="22" s="1"/>
  <c r="AF1120" i="22"/>
  <c r="AG1120" i="22" s="1"/>
  <c r="AF875" i="22"/>
  <c r="AG875" i="22" s="1"/>
  <c r="AH875" i="22" s="1"/>
  <c r="AI875" i="22" s="1"/>
  <c r="AJ875" i="22" s="1"/>
  <c r="AF864" i="22"/>
  <c r="AG864" i="22" s="1"/>
  <c r="AH864" i="22" s="1"/>
  <c r="AF844" i="22"/>
  <c r="AG844" i="22" s="1"/>
  <c r="AH844" i="22" s="1"/>
  <c r="AF878" i="22"/>
  <c r="AG878" i="22" s="1"/>
  <c r="AF861" i="22"/>
  <c r="AG861" i="22" s="1"/>
  <c r="AL861" i="22" s="1"/>
  <c r="AF851" i="22"/>
  <c r="AG851" i="22" s="1"/>
  <c r="AE846" i="22"/>
  <c r="AF846" i="22" s="1"/>
  <c r="AF853" i="22"/>
  <c r="AI1121" i="22"/>
  <c r="AE859" i="22"/>
  <c r="AF859" i="22" s="1"/>
  <c r="AG859" i="22" s="1"/>
  <c r="AH859" i="22" s="1"/>
  <c r="AE872" i="22"/>
  <c r="AD845" i="22"/>
  <c r="AF880" i="22"/>
  <c r="AG880" i="22" s="1"/>
  <c r="AI855" i="22"/>
  <c r="AG882" i="22"/>
  <c r="AH882" i="22" s="1"/>
  <c r="AG874" i="22"/>
  <c r="AH874" i="22" s="1"/>
  <c r="AG871" i="22"/>
  <c r="AH871" i="22" s="1"/>
  <c r="AE868" i="22"/>
  <c r="AF868" i="22" s="1"/>
  <c r="AE860" i="22"/>
  <c r="AF860" i="22" s="1"/>
  <c r="AG852" i="22"/>
  <c r="AH852" i="22" s="1"/>
  <c r="AF1119" i="22"/>
  <c r="AG1119" i="22" s="1"/>
  <c r="AF856" i="22"/>
  <c r="AG856" i="22" s="1"/>
  <c r="AH856" i="22" s="1"/>
  <c r="AG866" i="22"/>
  <c r="AF862" i="22"/>
  <c r="AJ1118" i="22"/>
  <c r="AF1111" i="22"/>
  <c r="AG1111" i="22" s="1"/>
  <c r="AF1112" i="22"/>
  <c r="AG1112" i="22" s="1"/>
  <c r="AH1112" i="22" s="1"/>
  <c r="AI1112" i="22" s="1"/>
  <c r="AH1110" i="22"/>
  <c r="AI1110" i="22" s="1"/>
  <c r="AE1113" i="22"/>
  <c r="AF1113" i="22" s="1"/>
  <c r="AG1113" i="22" s="1"/>
  <c r="AE825" i="22"/>
  <c r="AF825" i="22" s="1"/>
  <c r="AJ976" i="22"/>
  <c r="AE1115" i="22"/>
  <c r="AF1115" i="22" s="1"/>
  <c r="AG1115" i="22" s="1"/>
  <c r="AG823" i="22"/>
  <c r="AD826" i="22"/>
  <c r="AE826" i="22" s="1"/>
  <c r="AF826" i="22" s="1"/>
  <c r="AG826" i="22" s="1"/>
  <c r="AJ1018" i="22"/>
  <c r="AJ984" i="22"/>
  <c r="AJ1016" i="22"/>
  <c r="AJ978" i="22"/>
  <c r="AJ959" i="22"/>
  <c r="AJ1130" i="22"/>
  <c r="AD831" i="22"/>
  <c r="AD821" i="22"/>
  <c r="AE821" i="22" s="1"/>
  <c r="AJ1015" i="22"/>
  <c r="AJ974" i="22"/>
  <c r="AJ1124" i="22"/>
  <c r="AJ1008" i="22"/>
  <c r="AJ941" i="22"/>
  <c r="AJ925" i="22"/>
  <c r="AJ977" i="22"/>
  <c r="AJ965" i="22"/>
  <c r="AJ1007" i="22"/>
  <c r="AJ961" i="22"/>
  <c r="AJ945" i="22"/>
  <c r="AJ1011" i="22"/>
  <c r="AD1093" i="22"/>
  <c r="AE1093" i="22" s="1"/>
  <c r="AD829" i="22"/>
  <c r="AE829" i="22" s="1"/>
  <c r="AH837" i="22"/>
  <c r="AJ631" i="22"/>
  <c r="AJ646" i="22"/>
  <c r="AJ648" i="22"/>
  <c r="AJ647" i="22"/>
  <c r="AJ650" i="22"/>
  <c r="AJ630" i="22"/>
  <c r="AJ638" i="22"/>
  <c r="AJ642" i="22"/>
  <c r="AG838" i="22"/>
  <c r="AH838" i="22" s="1"/>
  <c r="AI838" i="22" s="1"/>
  <c r="AI61" i="22"/>
  <c r="AJ61" i="22" s="1"/>
  <c r="AJ993" i="22"/>
  <c r="AD832" i="22"/>
  <c r="AE832" i="22" s="1"/>
  <c r="AF832" i="22" s="1"/>
  <c r="AD836" i="22"/>
  <c r="AE836" i="22" s="1"/>
  <c r="AF836" i="22" s="1"/>
  <c r="AG836" i="22" s="1"/>
  <c r="AJ1017" i="22"/>
  <c r="AJ137" i="22"/>
  <c r="AJ494" i="22"/>
  <c r="AJ1020" i="22"/>
  <c r="AJ251" i="22"/>
  <c r="AJ274" i="22"/>
  <c r="AD833" i="22"/>
  <c r="AE833" i="22" s="1"/>
  <c r="AD828" i="22"/>
  <c r="AE828" i="22" s="1"/>
  <c r="AJ1022" i="22"/>
  <c r="AE827" i="22"/>
  <c r="AF827" i="22" s="1"/>
  <c r="AE824" i="22"/>
  <c r="AF824" i="22" s="1"/>
  <c r="AG824" i="22" s="1"/>
  <c r="AL824" i="22" s="1"/>
  <c r="AJ1009" i="22"/>
  <c r="AI474" i="22"/>
  <c r="AJ474" i="22" s="1"/>
  <c r="AJ427" i="22"/>
  <c r="AJ99" i="22"/>
  <c r="AJ112" i="22"/>
  <c r="AF940" i="22"/>
  <c r="AJ209" i="22"/>
  <c r="AJ481" i="22"/>
  <c r="AJ237" i="22"/>
  <c r="AD939" i="22"/>
  <c r="AJ72" i="22"/>
  <c r="AG326" i="22"/>
  <c r="AJ485" i="22"/>
  <c r="AL943" i="22" l="1"/>
  <c r="AD1065" i="22"/>
  <c r="AG1092" i="22"/>
  <c r="AE1065" i="22"/>
  <c r="AH1126" i="22"/>
  <c r="AI1126" i="22" s="1"/>
  <c r="AL1126" i="22"/>
  <c r="AL1125" i="22"/>
  <c r="AL838" i="22"/>
  <c r="AL836" i="22"/>
  <c r="AL1112" i="22"/>
  <c r="AL856" i="22"/>
  <c r="AL859" i="22"/>
  <c r="AG862" i="22"/>
  <c r="AL862" i="22" s="1"/>
  <c r="AH869" i="22"/>
  <c r="AI869" i="22" s="1"/>
  <c r="AJ869" i="22" s="1"/>
  <c r="AL869" i="22"/>
  <c r="AL854" i="22"/>
  <c r="AL857" i="22"/>
  <c r="AH866" i="22"/>
  <c r="AI866" i="22" s="1"/>
  <c r="AJ866" i="22" s="1"/>
  <c r="AL866" i="22"/>
  <c r="AL865" i="22"/>
  <c r="AL864" i="22"/>
  <c r="AL871" i="22"/>
  <c r="AL881" i="22"/>
  <c r="AL826" i="22"/>
  <c r="AL932" i="22"/>
  <c r="AL924" i="22"/>
  <c r="AL830" i="22"/>
  <c r="AI640" i="22"/>
  <c r="AI626" i="22"/>
  <c r="AJ626" i="22" s="1"/>
  <c r="AI621" i="22"/>
  <c r="AJ621" i="22" s="1"/>
  <c r="AI639" i="22"/>
  <c r="AJ639" i="22" s="1"/>
  <c r="AI750" i="22"/>
  <c r="AI184" i="22"/>
  <c r="AJ184" i="22" s="1"/>
  <c r="AJ616" i="22"/>
  <c r="AJ635" i="22"/>
  <c r="AI278" i="22"/>
  <c r="AJ278" i="22" s="1"/>
  <c r="AI282" i="22"/>
  <c r="AJ282" i="22" s="1"/>
  <c r="AF820" i="22"/>
  <c r="AI830" i="22"/>
  <c r="AJ830" i="22" s="1"/>
  <c r="AI1062" i="22"/>
  <c r="AJ1062" i="22" s="1"/>
  <c r="AI837" i="22"/>
  <c r="AJ837" i="22" s="1"/>
  <c r="AJ1110" i="22"/>
  <c r="AI874" i="22"/>
  <c r="AJ874" i="22" s="1"/>
  <c r="AH1120" i="22"/>
  <c r="AI1120" i="22" s="1"/>
  <c r="AJ1120" i="22" s="1"/>
  <c r="AH1111" i="22"/>
  <c r="AH960" i="22"/>
  <c r="AI960" i="22" s="1"/>
  <c r="AJ960" i="22" s="1"/>
  <c r="AI839" i="22"/>
  <c r="AH842" i="22"/>
  <c r="AI842" i="22" s="1"/>
  <c r="AH927" i="22"/>
  <c r="AI927" i="22" s="1"/>
  <c r="AH924" i="22"/>
  <c r="AI924" i="22" s="1"/>
  <c r="AG950" i="22"/>
  <c r="AH950" i="22" s="1"/>
  <c r="AI950" i="22" s="1"/>
  <c r="AI957" i="22"/>
  <c r="AJ957" i="22" s="1"/>
  <c r="AI944" i="22"/>
  <c r="AH861" i="22"/>
  <c r="AI861" i="22" s="1"/>
  <c r="AJ861" i="22" s="1"/>
  <c r="AH326" i="22"/>
  <c r="AI326" i="22" s="1"/>
  <c r="AI955" i="22"/>
  <c r="AH880" i="22"/>
  <c r="AI880" i="22" s="1"/>
  <c r="AJ880" i="22" s="1"/>
  <c r="AH848" i="22"/>
  <c r="AI848" i="22" s="1"/>
  <c r="AJ848" i="22" s="1"/>
  <c r="AH620" i="22"/>
  <c r="AI620" i="22" s="1"/>
  <c r="AH615" i="22"/>
  <c r="AI615" i="22" s="1"/>
  <c r="AG1128" i="22"/>
  <c r="AH1128" i="22" s="1"/>
  <c r="AG850" i="22"/>
  <c r="AH850" i="22" s="1"/>
  <c r="AH610" i="22"/>
  <c r="AI610" i="22" s="1"/>
  <c r="AH881" i="22"/>
  <c r="AI881" i="22" s="1"/>
  <c r="AI864" i="22"/>
  <c r="AJ864" i="22" s="1"/>
  <c r="AH747" i="22"/>
  <c r="AJ611" i="22"/>
  <c r="AI932" i="22"/>
  <c r="AI865" i="22"/>
  <c r="AJ865" i="22" s="1"/>
  <c r="AH613" i="22"/>
  <c r="AI613" i="22" s="1"/>
  <c r="AH935" i="22"/>
  <c r="AI935" i="22" s="1"/>
  <c r="AH843" i="22"/>
  <c r="AI843" i="22" s="1"/>
  <c r="AJ843" i="22" s="1"/>
  <c r="AH605" i="22"/>
  <c r="AF604" i="22"/>
  <c r="AH928" i="22"/>
  <c r="AI928" i="22" s="1"/>
  <c r="AJ928" i="22" s="1"/>
  <c r="AI849" i="22"/>
  <c r="AJ849" i="22" s="1"/>
  <c r="AI900" i="22"/>
  <c r="AJ900" i="22" s="1"/>
  <c r="AG609" i="22"/>
  <c r="AH609" i="22" s="1"/>
  <c r="AI609" i="22" s="1"/>
  <c r="AH902" i="22"/>
  <c r="AI902" i="22" s="1"/>
  <c r="AJ902" i="22" s="1"/>
  <c r="AH930" i="22"/>
  <c r="AI930" i="22" s="1"/>
  <c r="AH607" i="22"/>
  <c r="AH618" i="22"/>
  <c r="AI618" i="22" s="1"/>
  <c r="AI901" i="22"/>
  <c r="AJ901" i="22" s="1"/>
  <c r="AI934" i="22"/>
  <c r="AJ614" i="22"/>
  <c r="AH943" i="22"/>
  <c r="AI857" i="22"/>
  <c r="AJ857" i="22" s="1"/>
  <c r="AG846" i="22"/>
  <c r="AH846" i="22" s="1"/>
  <c r="AH878" i="22"/>
  <c r="AI878" i="22" s="1"/>
  <c r="AJ878" i="22" s="1"/>
  <c r="AF872" i="22"/>
  <c r="AI882" i="22"/>
  <c r="AJ882" i="22" s="1"/>
  <c r="AH877" i="22"/>
  <c r="AI877" i="22" s="1"/>
  <c r="AG868" i="22"/>
  <c r="AH868" i="22" s="1"/>
  <c r="AI868" i="22" s="1"/>
  <c r="AJ868" i="22" s="1"/>
  <c r="AH1116" i="22"/>
  <c r="AI1116" i="22" s="1"/>
  <c r="AI847" i="22"/>
  <c r="AG853" i="22"/>
  <c r="AH853" i="22" s="1"/>
  <c r="AI853" i="22" s="1"/>
  <c r="AJ853" i="22" s="1"/>
  <c r="AI856" i="22"/>
  <c r="AJ856" i="22" s="1"/>
  <c r="AG860" i="22"/>
  <c r="AH860" i="22" s="1"/>
  <c r="AI841" i="22"/>
  <c r="AJ841" i="22" s="1"/>
  <c r="AE845" i="22"/>
  <c r="AF845" i="22" s="1"/>
  <c r="AI871" i="22"/>
  <c r="AJ871" i="22" s="1"/>
  <c r="AI859" i="22"/>
  <c r="AJ859" i="22" s="1"/>
  <c r="AH876" i="22"/>
  <c r="AI876" i="22" s="1"/>
  <c r="AJ876" i="22" s="1"/>
  <c r="AH851" i="22"/>
  <c r="AI851" i="22" s="1"/>
  <c r="AJ851" i="22" s="1"/>
  <c r="AH1119" i="22"/>
  <c r="AI1119" i="22" s="1"/>
  <c r="AJ1119" i="22" s="1"/>
  <c r="AI1123" i="22"/>
  <c r="AJ1123" i="22" s="1"/>
  <c r="AG1117" i="22"/>
  <c r="AH1117" i="22" s="1"/>
  <c r="AI1117" i="22" s="1"/>
  <c r="AJ1117" i="22" s="1"/>
  <c r="AI852" i="22"/>
  <c r="AI844" i="22"/>
  <c r="AJ844" i="22" s="1"/>
  <c r="AF821" i="22"/>
  <c r="AF1093" i="22"/>
  <c r="AG1093" i="22" s="1"/>
  <c r="AH1093" i="22" s="1"/>
  <c r="AI1093" i="22" s="1"/>
  <c r="AJ937" i="22"/>
  <c r="AF829" i="22"/>
  <c r="AG829" i="22" s="1"/>
  <c r="AJ896" i="22"/>
  <c r="AH1092" i="22"/>
  <c r="AJ926" i="22"/>
  <c r="AH826" i="22"/>
  <c r="AJ873" i="22"/>
  <c r="AE831" i="22"/>
  <c r="AF831" i="22" s="1"/>
  <c r="AG831" i="22" s="1"/>
  <c r="AL831" i="22" s="1"/>
  <c r="AJ894" i="22"/>
  <c r="AH1115" i="22"/>
  <c r="AH1113" i="22"/>
  <c r="AI1113" i="22" s="1"/>
  <c r="AJ992" i="22"/>
  <c r="AJ1005" i="22"/>
  <c r="AJ879" i="22"/>
  <c r="AJ749" i="22"/>
  <c r="AJ975" i="22"/>
  <c r="AJ1132" i="22"/>
  <c r="AJ988" i="22"/>
  <c r="AJ1014" i="22"/>
  <c r="AJ952" i="22"/>
  <c r="AJ748" i="22"/>
  <c r="AJ1063" i="22"/>
  <c r="AH824" i="22"/>
  <c r="AJ751" i="22"/>
  <c r="AJ855" i="22"/>
  <c r="AJ981" i="22"/>
  <c r="AJ746" i="22"/>
  <c r="AJ1003" i="22"/>
  <c r="AJ983" i="22"/>
  <c r="AJ1013" i="22"/>
  <c r="AJ863" i="22"/>
  <c r="AJ903" i="22"/>
  <c r="AJ971" i="22"/>
  <c r="AJ854" i="22"/>
  <c r="AJ967" i="22"/>
  <c r="AJ838" i="22"/>
  <c r="AJ1112" i="22"/>
  <c r="AH836" i="22"/>
  <c r="AI836" i="22" s="1"/>
  <c r="AJ954" i="22"/>
  <c r="AJ1125" i="22"/>
  <c r="AJ942" i="22"/>
  <c r="AJ964" i="22"/>
  <c r="AJ963" i="22"/>
  <c r="AH823" i="22"/>
  <c r="AJ897" i="22"/>
  <c r="AJ606" i="22"/>
  <c r="AJ633" i="22"/>
  <c r="AJ629" i="22"/>
  <c r="AJ608" i="22"/>
  <c r="AJ634" i="22"/>
  <c r="AJ624" i="22"/>
  <c r="AJ1131" i="22"/>
  <c r="AG827" i="22"/>
  <c r="AH827" i="22" s="1"/>
  <c r="AG832" i="22"/>
  <c r="AL832" i="22" s="1"/>
  <c r="AF828" i="22"/>
  <c r="AJ994" i="22"/>
  <c r="AF833" i="22"/>
  <c r="AG833" i="22" s="1"/>
  <c r="AL833" i="22" s="1"/>
  <c r="AG825" i="22"/>
  <c r="AG940" i="22"/>
  <c r="AJ153" i="22"/>
  <c r="AE939" i="22"/>
  <c r="AF939" i="22" s="1"/>
  <c r="AG820" i="22" l="1"/>
  <c r="AL820" i="22" s="1"/>
  <c r="AG1065" i="22"/>
  <c r="AH1065" i="22"/>
  <c r="AF1065" i="22"/>
  <c r="AL860" i="22"/>
  <c r="AH862" i="22"/>
  <c r="AI862" i="22" s="1"/>
  <c r="AJ862" i="22" s="1"/>
  <c r="AL868" i="22"/>
  <c r="AL853" i="22"/>
  <c r="AI605" i="22"/>
  <c r="AJ605" i="22" s="1"/>
  <c r="AI607" i="22"/>
  <c r="AJ607" i="22" s="1"/>
  <c r="AI943" i="22"/>
  <c r="AJ943" i="22" s="1"/>
  <c r="AJ618" i="22"/>
  <c r="AI747" i="22"/>
  <c r="AJ747" i="22" s="1"/>
  <c r="AJ620" i="22"/>
  <c r="AJ326" i="22"/>
  <c r="AI1115" i="22"/>
  <c r="AJ1115" i="22" s="1"/>
  <c r="AI826" i="22"/>
  <c r="AJ826" i="22" s="1"/>
  <c r="AJ836" i="22"/>
  <c r="AI824" i="22"/>
  <c r="AJ824" i="22" s="1"/>
  <c r="AG821" i="22"/>
  <c r="AI827" i="22"/>
  <c r="AJ827" i="22" s="1"/>
  <c r="AI823" i="22"/>
  <c r="AJ823" i="22" s="1"/>
  <c r="AJ1113" i="22"/>
  <c r="AI1092" i="22"/>
  <c r="AI1111" i="22"/>
  <c r="AJ1111" i="22" s="1"/>
  <c r="AI1128" i="22"/>
  <c r="AJ1128" i="22" s="1"/>
  <c r="AI850" i="22"/>
  <c r="AJ850" i="22" s="1"/>
  <c r="AG604" i="22"/>
  <c r="AH604" i="22" s="1"/>
  <c r="AI860" i="22"/>
  <c r="AJ860" i="22" s="1"/>
  <c r="AG845" i="22"/>
  <c r="AH845" i="22" s="1"/>
  <c r="AI845" i="22" s="1"/>
  <c r="AJ845" i="22" s="1"/>
  <c r="AG872" i="22"/>
  <c r="AI846" i="22"/>
  <c r="AJ846" i="22" s="1"/>
  <c r="AJ877" i="22"/>
  <c r="AJ852" i="22"/>
  <c r="AJ935" i="22"/>
  <c r="AJ956" i="22"/>
  <c r="AH831" i="22"/>
  <c r="AJ1006" i="22"/>
  <c r="AH832" i="22"/>
  <c r="AJ1116" i="22"/>
  <c r="AJ991" i="22"/>
  <c r="AJ936" i="22"/>
  <c r="AJ924" i="22"/>
  <c r="AJ962" i="22"/>
  <c r="AJ1024" i="22"/>
  <c r="AJ931" i="22"/>
  <c r="AJ895" i="22"/>
  <c r="AJ950" i="22"/>
  <c r="AJ987" i="22"/>
  <c r="AJ927" i="22"/>
  <c r="AJ979" i="22"/>
  <c r="AJ1127" i="22"/>
  <c r="AJ867" i="22"/>
  <c r="AJ985" i="22"/>
  <c r="AH833" i="22"/>
  <c r="AJ1129" i="22"/>
  <c r="AJ934" i="22"/>
  <c r="AJ989" i="22"/>
  <c r="AH1056" i="22"/>
  <c r="AJ949" i="22"/>
  <c r="AJ944" i="22"/>
  <c r="AJ929" i="22"/>
  <c r="AJ986" i="22"/>
  <c r="AJ932" i="22"/>
  <c r="AJ839" i="22"/>
  <c r="AJ930" i="22"/>
  <c r="AJ847" i="22"/>
  <c r="AJ953" i="22"/>
  <c r="AH825" i="22"/>
  <c r="AH940" i="22"/>
  <c r="AI940" i="22" s="1"/>
  <c r="AJ940" i="22" s="1"/>
  <c r="AH829" i="22"/>
  <c r="AJ636" i="22"/>
  <c r="AJ644" i="22"/>
  <c r="AJ613" i="22"/>
  <c r="AJ640" i="22"/>
  <c r="AJ610" i="22"/>
  <c r="AJ637" i="22"/>
  <c r="AJ609" i="22"/>
  <c r="AJ1121" i="22"/>
  <c r="AJ1093" i="22"/>
  <c r="AG828" i="22"/>
  <c r="AL828" i="22" s="1"/>
  <c r="AG939" i="22"/>
  <c r="AH820" i="22" l="1"/>
  <c r="AI820" i="22" s="1"/>
  <c r="AJ1092" i="22"/>
  <c r="AI1065" i="22"/>
  <c r="AH872" i="22"/>
  <c r="AI872" i="22" s="1"/>
  <c r="AJ872" i="22" s="1"/>
  <c r="AL872" i="22"/>
  <c r="AH821" i="22"/>
  <c r="AI821" i="22" s="1"/>
  <c r="AL821" i="22"/>
  <c r="AI604" i="22"/>
  <c r="AJ604" i="22" s="1"/>
  <c r="AI833" i="22"/>
  <c r="AJ833" i="22" s="1"/>
  <c r="AI832" i="22"/>
  <c r="AJ832" i="22" s="1"/>
  <c r="AI829" i="22"/>
  <c r="AJ829" i="22" s="1"/>
  <c r="AI831" i="22"/>
  <c r="AJ831" i="22" s="1"/>
  <c r="AI825" i="22"/>
  <c r="AJ825" i="22" s="1"/>
  <c r="AJ948" i="22"/>
  <c r="AJ955" i="22"/>
  <c r="AJ1021" i="22"/>
  <c r="AJ750" i="22"/>
  <c r="AJ973" i="22"/>
  <c r="AJ1000" i="22"/>
  <c r="AH939" i="22"/>
  <c r="AI939" i="22" s="1"/>
  <c r="AJ939" i="22" s="1"/>
  <c r="AJ982" i="22"/>
  <c r="AJ969" i="22"/>
  <c r="AI1056" i="22"/>
  <c r="AJ1056" i="22"/>
  <c r="AH828" i="22"/>
  <c r="AJ881" i="22"/>
  <c r="AJ972" i="22"/>
  <c r="AJ842" i="22"/>
  <c r="AJ966" i="22"/>
  <c r="AJ968" i="22"/>
  <c r="AJ1126" i="22"/>
  <c r="AJ632" i="22"/>
  <c r="AJ615" i="22"/>
  <c r="AJ820" i="22" l="1"/>
  <c r="AJ1065" i="22"/>
  <c r="AJ821" i="22"/>
  <c r="AI828" i="22"/>
  <c r="AJ828" i="22" s="1"/>
  <c r="W1055" i="22"/>
  <c r="AI1055" i="22"/>
  <c r="W1056" i="22"/>
  <c r="AC1056" i="22"/>
  <c r="AD1056" i="22"/>
  <c r="AE1056" i="22"/>
  <c r="AF1056" i="22"/>
  <c r="W1064" i="22"/>
  <c r="W1065" i="22"/>
  <c r="G390" i="24" l="1"/>
  <c r="V387" i="24"/>
  <c r="S387" i="24"/>
  <c r="K387" i="24"/>
  <c r="L387" i="24" s="1"/>
  <c r="V386" i="24"/>
  <c r="S386" i="24"/>
  <c r="A386" i="24" s="1"/>
  <c r="V385" i="24"/>
  <c r="S385" i="24"/>
  <c r="A385" i="24" s="1"/>
  <c r="K385" i="24"/>
  <c r="L385" i="24" s="1"/>
  <c r="V384" i="24"/>
  <c r="S384" i="24"/>
  <c r="A384" i="24" s="1"/>
  <c r="K384" i="24"/>
  <c r="L384" i="24" s="1"/>
  <c r="V383" i="24"/>
  <c r="S383" i="24"/>
  <c r="A383" i="24" s="1"/>
  <c r="K383" i="24"/>
  <c r="L383" i="24" s="1"/>
  <c r="V382" i="24"/>
  <c r="S382" i="24"/>
  <c r="A382" i="24" s="1"/>
  <c r="K382" i="24"/>
  <c r="L382" i="24" s="1"/>
  <c r="V381" i="24"/>
  <c r="S381" i="24"/>
  <c r="A381" i="24" s="1"/>
  <c r="K381" i="24"/>
  <c r="L381" i="24" s="1"/>
  <c r="V380" i="24"/>
  <c r="S380" i="24"/>
  <c r="A380" i="24" s="1"/>
  <c r="P380" i="24"/>
  <c r="G373" i="24"/>
  <c r="V370" i="24"/>
  <c r="S370" i="24"/>
  <c r="K370" i="24"/>
  <c r="L370" i="24" s="1"/>
  <c r="V369" i="24"/>
  <c r="S369" i="24"/>
  <c r="A369" i="24" s="1"/>
  <c r="V368" i="24"/>
  <c r="S368" i="24"/>
  <c r="A368" i="24" s="1"/>
  <c r="K368" i="24"/>
  <c r="L368" i="24" s="1"/>
  <c r="V367" i="24"/>
  <c r="S367" i="24"/>
  <c r="A367" i="24" s="1"/>
  <c r="K367" i="24"/>
  <c r="L367" i="24" s="1"/>
  <c r="V366" i="24"/>
  <c r="S366" i="24"/>
  <c r="A366" i="24" s="1"/>
  <c r="K366" i="24"/>
  <c r="L366" i="24" s="1"/>
  <c r="V365" i="24"/>
  <c r="S365" i="24"/>
  <c r="A365" i="24" s="1"/>
  <c r="K365" i="24"/>
  <c r="L365" i="24" s="1"/>
  <c r="V364" i="24"/>
  <c r="S364" i="24"/>
  <c r="A364" i="24" s="1"/>
  <c r="K364" i="24"/>
  <c r="L364" i="24" s="1"/>
  <c r="V363" i="24"/>
  <c r="S363" i="24"/>
  <c r="A363" i="24" s="1"/>
  <c r="P363" i="24"/>
  <c r="G356" i="24"/>
  <c r="V353" i="24"/>
  <c r="S353" i="24"/>
  <c r="K353" i="24"/>
  <c r="L353" i="24" s="1"/>
  <c r="V352" i="24"/>
  <c r="S352" i="24"/>
  <c r="A352" i="24" s="1"/>
  <c r="V351" i="24"/>
  <c r="S351" i="24"/>
  <c r="A351" i="24" s="1"/>
  <c r="K351" i="24"/>
  <c r="L351" i="24" s="1"/>
  <c r="V350" i="24"/>
  <c r="S350" i="24"/>
  <c r="A350" i="24" s="1"/>
  <c r="K350" i="24"/>
  <c r="L350" i="24" s="1"/>
  <c r="V349" i="24"/>
  <c r="S349" i="24"/>
  <c r="A349" i="24" s="1"/>
  <c r="K349" i="24"/>
  <c r="L349" i="24" s="1"/>
  <c r="V348" i="24"/>
  <c r="S348" i="24"/>
  <c r="A348" i="24" s="1"/>
  <c r="K348" i="24"/>
  <c r="L348" i="24" s="1"/>
  <c r="V347" i="24"/>
  <c r="S347" i="24"/>
  <c r="K347" i="24"/>
  <c r="L347" i="24" s="1"/>
  <c r="V346" i="24"/>
  <c r="S346" i="24"/>
  <c r="A346" i="24" s="1"/>
  <c r="P346" i="24"/>
  <c r="U111" i="17"/>
  <c r="W111" i="17" s="1"/>
  <c r="U113" i="17"/>
  <c r="W113" i="17" s="1"/>
  <c r="G339" i="24"/>
  <c r="V336" i="24"/>
  <c r="S336" i="24"/>
  <c r="K336" i="24"/>
  <c r="L336" i="24" s="1"/>
  <c r="V335" i="24"/>
  <c r="S335" i="24"/>
  <c r="A335" i="24" s="1"/>
  <c r="V334" i="24"/>
  <c r="S334" i="24"/>
  <c r="A334" i="24" s="1"/>
  <c r="K334" i="24"/>
  <c r="L334" i="24" s="1"/>
  <c r="V333" i="24"/>
  <c r="S333" i="24"/>
  <c r="A333" i="24" s="1"/>
  <c r="K333" i="24"/>
  <c r="L333" i="24" s="1"/>
  <c r="V332" i="24"/>
  <c r="S332" i="24"/>
  <c r="A332" i="24" s="1"/>
  <c r="K332" i="24"/>
  <c r="L332" i="24" s="1"/>
  <c r="V331" i="24"/>
  <c r="S331" i="24"/>
  <c r="A331" i="24" s="1"/>
  <c r="K331" i="24"/>
  <c r="L331" i="24" s="1"/>
  <c r="V330" i="24"/>
  <c r="S330" i="24"/>
  <c r="A330" i="24" s="1"/>
  <c r="K330" i="24"/>
  <c r="L330" i="24" s="1"/>
  <c r="V329" i="24"/>
  <c r="S329" i="24"/>
  <c r="A329" i="24" s="1"/>
  <c r="P329" i="24"/>
  <c r="G322" i="24"/>
  <c r="V319" i="24"/>
  <c r="S319" i="24"/>
  <c r="K319" i="24"/>
  <c r="L319" i="24" s="1"/>
  <c r="V318" i="24"/>
  <c r="S318" i="24"/>
  <c r="A318" i="24" s="1"/>
  <c r="V317" i="24"/>
  <c r="S317" i="24"/>
  <c r="A317" i="24" s="1"/>
  <c r="K317" i="24"/>
  <c r="L317" i="24" s="1"/>
  <c r="V316" i="24"/>
  <c r="S316" i="24"/>
  <c r="A316" i="24" s="1"/>
  <c r="K316" i="24"/>
  <c r="L316" i="24" s="1"/>
  <c r="V315" i="24"/>
  <c r="S315" i="24"/>
  <c r="A315" i="24" s="1"/>
  <c r="K315" i="24"/>
  <c r="L315" i="24" s="1"/>
  <c r="V314" i="24"/>
  <c r="S314" i="24"/>
  <c r="A314" i="24" s="1"/>
  <c r="K314" i="24"/>
  <c r="L314" i="24" s="1"/>
  <c r="V313" i="24"/>
  <c r="S313" i="24"/>
  <c r="A313" i="24" s="1"/>
  <c r="K313" i="24"/>
  <c r="L313" i="24" s="1"/>
  <c r="V312" i="24"/>
  <c r="S312" i="24"/>
  <c r="A312" i="24" s="1"/>
  <c r="P312" i="24"/>
  <c r="U110" i="17"/>
  <c r="V110" i="17" s="1"/>
  <c r="AD383" i="24" l="1"/>
  <c r="AD332" i="24"/>
  <c r="AD366" i="24"/>
  <c r="AD315" i="24"/>
  <c r="AD349" i="24"/>
  <c r="T348" i="24"/>
  <c r="A347" i="24"/>
  <c r="T320" i="24"/>
  <c r="A319" i="24"/>
  <c r="T354" i="24"/>
  <c r="A353" i="24"/>
  <c r="A336" i="24"/>
  <c r="T337" i="24"/>
  <c r="T371" i="24"/>
  <c r="A370" i="24"/>
  <c r="T388" i="24"/>
  <c r="A387" i="24"/>
  <c r="T364" i="24"/>
  <c r="T347" i="24"/>
  <c r="T381" i="24"/>
  <c r="T335" i="24"/>
  <c r="T365" i="24"/>
  <c r="T366" i="24"/>
  <c r="T383" i="24"/>
  <c r="T382" i="24"/>
  <c r="T349" i="24"/>
  <c r="T386" i="24"/>
  <c r="T387" i="24"/>
  <c r="T384" i="24"/>
  <c r="T385" i="24"/>
  <c r="T369" i="24"/>
  <c r="T370" i="24"/>
  <c r="M380" i="24"/>
  <c r="N380" i="24" s="1"/>
  <c r="T317" i="24"/>
  <c r="T367" i="24"/>
  <c r="T368" i="24"/>
  <c r="T336" i="24"/>
  <c r="T353" i="24"/>
  <c r="M363" i="24"/>
  <c r="N363" i="24" s="1"/>
  <c r="T350" i="24"/>
  <c r="T352" i="24"/>
  <c r="T331" i="24"/>
  <c r="T332" i="24"/>
  <c r="M346" i="24"/>
  <c r="N346" i="24" s="1"/>
  <c r="T351" i="24"/>
  <c r="T330" i="24"/>
  <c r="T333" i="24"/>
  <c r="V111" i="17"/>
  <c r="V113" i="17"/>
  <c r="M329" i="24"/>
  <c r="N329" i="24" s="1"/>
  <c r="T313" i="24"/>
  <c r="T314" i="24"/>
  <c r="T315" i="24"/>
  <c r="T316" i="24"/>
  <c r="T334" i="24"/>
  <c r="T318" i="24"/>
  <c r="T319" i="24"/>
  <c r="M312" i="24"/>
  <c r="N312" i="24" s="1"/>
  <c r="W110" i="17"/>
  <c r="AG1056" i="22" l="1"/>
  <c r="AB1056" i="22"/>
  <c r="R380" i="24"/>
  <c r="J380" i="24"/>
  <c r="H381" i="24"/>
  <c r="O380" i="24"/>
  <c r="R363" i="24"/>
  <c r="J363" i="24"/>
  <c r="H364" i="24"/>
  <c r="O363" i="24"/>
  <c r="R346" i="24"/>
  <c r="J346" i="24"/>
  <c r="H347" i="24"/>
  <c r="O346" i="24"/>
  <c r="R329" i="24"/>
  <c r="J329" i="24"/>
  <c r="H330" i="24"/>
  <c r="M330" i="24" s="1"/>
  <c r="O329" i="24"/>
  <c r="H313" i="24"/>
  <c r="M313" i="24" s="1"/>
  <c r="O312" i="24"/>
  <c r="J312" i="24"/>
  <c r="R312" i="24"/>
  <c r="W380" i="24" l="1"/>
  <c r="P381" i="24" s="1"/>
  <c r="Q381" i="24" s="1"/>
  <c r="U380" i="24"/>
  <c r="R381" i="24"/>
  <c r="W363" i="24"/>
  <c r="P364" i="24" s="1"/>
  <c r="Q364" i="24" s="1"/>
  <c r="U363" i="24"/>
  <c r="R364" i="24"/>
  <c r="W346" i="24"/>
  <c r="P347" i="24" s="1"/>
  <c r="Q347" i="24" s="1"/>
  <c r="U346" i="24"/>
  <c r="R347" i="24"/>
  <c r="W329" i="24"/>
  <c r="P330" i="24" s="1"/>
  <c r="Q330" i="24" s="1"/>
  <c r="U329" i="24"/>
  <c r="R330" i="24"/>
  <c r="U312" i="24"/>
  <c r="W312" i="24"/>
  <c r="P313" i="24" s="1"/>
  <c r="Q313" i="24" s="1"/>
  <c r="R313" i="24"/>
  <c r="U381" i="24" l="1"/>
  <c r="W381" i="24" s="1"/>
  <c r="P382" i="24" s="1"/>
  <c r="Q382" i="24" s="1"/>
  <c r="R382" i="24"/>
  <c r="U364" i="24"/>
  <c r="R365" i="24"/>
  <c r="U347" i="24"/>
  <c r="R348" i="24"/>
  <c r="U330" i="24"/>
  <c r="W330" i="24" s="1"/>
  <c r="P331" i="24" s="1"/>
  <c r="Q331" i="24" s="1"/>
  <c r="R331" i="24"/>
  <c r="U313" i="24"/>
  <c r="W313" i="24" s="1"/>
  <c r="P314" i="24" s="1"/>
  <c r="Q314" i="24" s="1"/>
  <c r="R314" i="24"/>
  <c r="W347" i="24" l="1"/>
  <c r="P348" i="24" s="1"/>
  <c r="Q348" i="24" s="1"/>
  <c r="U382" i="24"/>
  <c r="W382" i="24" s="1"/>
  <c r="P383" i="24" s="1"/>
  <c r="Q383" i="24" s="1"/>
  <c r="R383" i="24"/>
  <c r="U365" i="24"/>
  <c r="Z112" i="17" s="1"/>
  <c r="R366" i="24"/>
  <c r="W364" i="24"/>
  <c r="P365" i="24" s="1"/>
  <c r="Q365" i="24" s="1"/>
  <c r="U348" i="24"/>
  <c r="Z111" i="17" s="1"/>
  <c r="R349" i="24"/>
  <c r="U331" i="24"/>
  <c r="W331" i="24" s="1"/>
  <c r="P332" i="24" s="1"/>
  <c r="Q332" i="24" s="1"/>
  <c r="R332" i="24"/>
  <c r="U314" i="24"/>
  <c r="R315" i="24"/>
  <c r="Z110" i="17" l="1"/>
  <c r="W314" i="24"/>
  <c r="P315" i="24" s="1"/>
  <c r="Q315" i="24" s="1"/>
  <c r="Z109" i="17"/>
  <c r="Z113" i="17"/>
  <c r="W348" i="24"/>
  <c r="P349" i="24" s="1"/>
  <c r="Q349" i="24" s="1"/>
  <c r="W365" i="24"/>
  <c r="P366" i="24" s="1"/>
  <c r="Q366" i="24" s="1"/>
  <c r="U383" i="24"/>
  <c r="W383" i="24" s="1"/>
  <c r="P384" i="24" s="1"/>
  <c r="Q384" i="24" s="1"/>
  <c r="R384" i="24"/>
  <c r="U366" i="24"/>
  <c r="R367" i="24"/>
  <c r="U349" i="24"/>
  <c r="R350" i="24"/>
  <c r="U332" i="24"/>
  <c r="W332" i="24" s="1"/>
  <c r="P333" i="24" s="1"/>
  <c r="Q333" i="24" s="1"/>
  <c r="R333" i="24"/>
  <c r="U315" i="24"/>
  <c r="R316" i="24"/>
  <c r="W315" i="24" l="1"/>
  <c r="P316" i="24" s="1"/>
  <c r="Q316" i="24" s="1"/>
  <c r="W366" i="24"/>
  <c r="P367" i="24" s="1"/>
  <c r="Q367" i="24" s="1"/>
  <c r="U384" i="24"/>
  <c r="W384" i="24" s="1"/>
  <c r="P385" i="24" s="1"/>
  <c r="Q385" i="24" s="1"/>
  <c r="R385" i="24"/>
  <c r="U385" i="24" s="1"/>
  <c r="U367" i="24"/>
  <c r="R368" i="24"/>
  <c r="U368" i="24" s="1"/>
  <c r="W349" i="24"/>
  <c r="P350" i="24" s="1"/>
  <c r="Q350" i="24" s="1"/>
  <c r="U350" i="24"/>
  <c r="R351" i="24"/>
  <c r="U351" i="24" s="1"/>
  <c r="U333" i="24"/>
  <c r="R334" i="24"/>
  <c r="U334" i="24" s="1"/>
  <c r="U316" i="24"/>
  <c r="R317" i="24"/>
  <c r="U317" i="24" s="1"/>
  <c r="W316" i="24" l="1"/>
  <c r="P317" i="24" s="1"/>
  <c r="Q317" i="24" s="1"/>
  <c r="W333" i="24"/>
  <c r="P334" i="24" s="1"/>
  <c r="Q334" i="24" s="1"/>
  <c r="W334" i="24" s="1"/>
  <c r="P335" i="24" s="1"/>
  <c r="Q335" i="24" s="1"/>
  <c r="W367" i="24"/>
  <c r="P368" i="24" s="1"/>
  <c r="Q368" i="24" s="1"/>
  <c r="W368" i="24" s="1"/>
  <c r="P369" i="24" s="1"/>
  <c r="Q369" i="24" s="1"/>
  <c r="W385" i="24"/>
  <c r="P386" i="24" s="1"/>
  <c r="Q386" i="24" s="1"/>
  <c r="W350" i="24"/>
  <c r="P351" i="24" s="1"/>
  <c r="Q351" i="24" s="1"/>
  <c r="W351" i="24" s="1"/>
  <c r="P352" i="24" s="1"/>
  <c r="Q352" i="24" s="1"/>
  <c r="W317" i="24"/>
  <c r="P318" i="24" s="1"/>
  <c r="Q318" i="24" s="1"/>
  <c r="V325" i="10" l="1"/>
  <c r="X325" i="10" s="1"/>
  <c r="V308" i="10"/>
  <c r="W308" i="10" s="1"/>
  <c r="V309" i="10"/>
  <c r="W309" i="10" s="1"/>
  <c r="V310" i="10"/>
  <c r="W310" i="10" s="1"/>
  <c r="V311" i="10"/>
  <c r="W311" i="10" s="1"/>
  <c r="V312" i="10"/>
  <c r="W312" i="10" s="1"/>
  <c r="V313" i="10"/>
  <c r="W313" i="10" s="1"/>
  <c r="V314" i="10"/>
  <c r="W314" i="10" s="1"/>
  <c r="V315" i="10"/>
  <c r="W315" i="10" s="1"/>
  <c r="V316" i="10"/>
  <c r="W316" i="10" s="1"/>
  <c r="V317" i="10"/>
  <c r="W317" i="10" s="1"/>
  <c r="V318" i="10"/>
  <c r="W318" i="10" s="1"/>
  <c r="V307" i="10"/>
  <c r="X307" i="10" s="1"/>
  <c r="V295" i="10"/>
  <c r="W295" i="10" s="1"/>
  <c r="V296" i="10"/>
  <c r="W296" i="10" s="1"/>
  <c r="V297" i="10"/>
  <c r="W297" i="10" s="1"/>
  <c r="V298" i="10"/>
  <c r="W298" i="10" s="1"/>
  <c r="V299" i="10"/>
  <c r="W299" i="10" s="1"/>
  <c r="V300" i="10"/>
  <c r="W300" i="10" s="1"/>
  <c r="V301" i="10"/>
  <c r="W301" i="10" s="1"/>
  <c r="V302" i="10"/>
  <c r="W302" i="10" s="1"/>
  <c r="V303" i="10"/>
  <c r="W303" i="10" s="1"/>
  <c r="V304" i="10"/>
  <c r="W304" i="10" s="1"/>
  <c r="V294" i="10"/>
  <c r="W294" i="10" s="1"/>
  <c r="V91" i="10"/>
  <c r="W91" i="10" s="1"/>
  <c r="V92" i="10"/>
  <c r="W92" i="10" s="1"/>
  <c r="V93" i="10"/>
  <c r="W93" i="10" s="1"/>
  <c r="V94" i="10"/>
  <c r="W94" i="10" s="1"/>
  <c r="V95" i="10"/>
  <c r="W95" i="10" s="1"/>
  <c r="V96" i="10"/>
  <c r="W96" i="10" s="1"/>
  <c r="V97" i="10"/>
  <c r="W97" i="10" s="1"/>
  <c r="V98" i="10"/>
  <c r="W98" i="10" s="1"/>
  <c r="V99" i="10"/>
  <c r="W99" i="10" s="1"/>
  <c r="V100" i="10"/>
  <c r="W100" i="10" s="1"/>
  <c r="V101" i="10"/>
  <c r="W101" i="10" s="1"/>
  <c r="V102" i="10"/>
  <c r="W102" i="10" s="1"/>
  <c r="V103" i="10"/>
  <c r="W103" i="10" s="1"/>
  <c r="V104" i="10"/>
  <c r="W104" i="10" s="1"/>
  <c r="V105" i="10"/>
  <c r="W105" i="10" s="1"/>
  <c r="V106" i="10"/>
  <c r="W106" i="10" s="1"/>
  <c r="V107" i="10"/>
  <c r="W107" i="10" s="1"/>
  <c r="V108" i="10"/>
  <c r="V109" i="10"/>
  <c r="W109" i="10" s="1"/>
  <c r="V110" i="10"/>
  <c r="W110" i="10" s="1"/>
  <c r="V111" i="10"/>
  <c r="W111" i="10" s="1"/>
  <c r="V112" i="10"/>
  <c r="V113" i="10"/>
  <c r="W113" i="10" s="1"/>
  <c r="V114" i="10"/>
  <c r="W114" i="10" s="1"/>
  <c r="V115" i="10"/>
  <c r="W115" i="10" s="1"/>
  <c r="V116" i="10"/>
  <c r="V117" i="10"/>
  <c r="W117" i="10" s="1"/>
  <c r="V118" i="10"/>
  <c r="W118" i="10" s="1"/>
  <c r="V119" i="10"/>
  <c r="W119" i="10" s="1"/>
  <c r="V120" i="10"/>
  <c r="V121" i="10"/>
  <c r="W121" i="10" s="1"/>
  <c r="V122" i="10"/>
  <c r="W122" i="10" s="1"/>
  <c r="V123" i="10"/>
  <c r="W123" i="10" s="1"/>
  <c r="V124" i="10"/>
  <c r="V125" i="10"/>
  <c r="W125" i="10" s="1"/>
  <c r="V126" i="10"/>
  <c r="W126" i="10" s="1"/>
  <c r="V127" i="10"/>
  <c r="W127" i="10" s="1"/>
  <c r="V128" i="10"/>
  <c r="V129" i="10"/>
  <c r="W129" i="10" s="1"/>
  <c r="V130" i="10"/>
  <c r="W130" i="10" s="1"/>
  <c r="V131" i="10"/>
  <c r="W131" i="10" s="1"/>
  <c r="V132" i="10"/>
  <c r="V133" i="10"/>
  <c r="W133" i="10" s="1"/>
  <c r="V134" i="10"/>
  <c r="W134" i="10" s="1"/>
  <c r="V135" i="10"/>
  <c r="W135" i="10" s="1"/>
  <c r="V136" i="10"/>
  <c r="V137" i="10"/>
  <c r="W137" i="10" s="1"/>
  <c r="V138" i="10"/>
  <c r="W138" i="10" s="1"/>
  <c r="V139" i="10"/>
  <c r="W139" i="10" s="1"/>
  <c r="V140" i="10"/>
  <c r="V141" i="10"/>
  <c r="W141" i="10" s="1"/>
  <c r="V142" i="10"/>
  <c r="W142" i="10" s="1"/>
  <c r="V143" i="10"/>
  <c r="W143" i="10" s="1"/>
  <c r="V144" i="10"/>
  <c r="V145" i="10"/>
  <c r="W145" i="10" s="1"/>
  <c r="V146" i="10"/>
  <c r="W146" i="10" s="1"/>
  <c r="V147" i="10"/>
  <c r="W147" i="10" s="1"/>
  <c r="V148" i="10"/>
  <c r="V149" i="10"/>
  <c r="W149" i="10" s="1"/>
  <c r="V150" i="10"/>
  <c r="W150" i="10" s="1"/>
  <c r="V151" i="10"/>
  <c r="W151" i="10" s="1"/>
  <c r="V152" i="10"/>
  <c r="V153" i="10"/>
  <c r="W153" i="10" s="1"/>
  <c r="V154" i="10"/>
  <c r="W154" i="10" s="1"/>
  <c r="V155" i="10"/>
  <c r="W155" i="10" s="1"/>
  <c r="V156" i="10"/>
  <c r="V157" i="10"/>
  <c r="W157" i="10" s="1"/>
  <c r="V158" i="10"/>
  <c r="W158" i="10" s="1"/>
  <c r="V159" i="10"/>
  <c r="W159" i="10" s="1"/>
  <c r="V160" i="10"/>
  <c r="V161" i="10"/>
  <c r="W161" i="10" s="1"/>
  <c r="V162" i="10"/>
  <c r="W162" i="10" s="1"/>
  <c r="V163" i="10"/>
  <c r="V164" i="10"/>
  <c r="V165" i="10"/>
  <c r="W165" i="10" s="1"/>
  <c r="V166" i="10"/>
  <c r="W166" i="10" s="1"/>
  <c r="V167" i="10"/>
  <c r="V168" i="10"/>
  <c r="V169" i="10"/>
  <c r="W169" i="10" s="1"/>
  <c r="V170" i="10"/>
  <c r="W170" i="10" s="1"/>
  <c r="V171" i="10"/>
  <c r="V172" i="10"/>
  <c r="V173" i="10"/>
  <c r="W173" i="10" s="1"/>
  <c r="V174" i="10"/>
  <c r="W174" i="10" s="1"/>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X244" i="10" s="1"/>
  <c r="V245" i="10"/>
  <c r="W245" i="10" s="1"/>
  <c r="V246" i="10"/>
  <c r="W246" i="10" s="1"/>
  <c r="V247" i="10"/>
  <c r="W247" i="10" s="1"/>
  <c r="V248" i="10"/>
  <c r="W248" i="10" s="1"/>
  <c r="V249" i="10"/>
  <c r="W249" i="10" s="1"/>
  <c r="V250" i="10"/>
  <c r="W250" i="10" s="1"/>
  <c r="V251" i="10"/>
  <c r="W251" i="10" s="1"/>
  <c r="V293" i="10"/>
  <c r="W293" i="10" s="1"/>
  <c r="V252" i="10"/>
  <c r="W252" i="10" s="1"/>
  <c r="V253" i="10"/>
  <c r="W253" i="10" s="1"/>
  <c r="V254" i="10"/>
  <c r="W254" i="10" s="1"/>
  <c r="V255" i="10"/>
  <c r="W255" i="10" s="1"/>
  <c r="V256" i="10"/>
  <c r="W256" i="10" s="1"/>
  <c r="V257" i="10"/>
  <c r="W257" i="10" s="1"/>
  <c r="V258" i="10"/>
  <c r="W258" i="10" s="1"/>
  <c r="V259" i="10"/>
  <c r="W259" i="10" s="1"/>
  <c r="V260" i="10"/>
  <c r="W260" i="10" s="1"/>
  <c r="V261" i="10"/>
  <c r="W261" i="10" s="1"/>
  <c r="V262" i="10"/>
  <c r="W262" i="10" s="1"/>
  <c r="V263" i="10"/>
  <c r="W263" i="10" s="1"/>
  <c r="V264" i="10"/>
  <c r="W264" i="10" s="1"/>
  <c r="V265" i="10"/>
  <c r="W265" i="10" s="1"/>
  <c r="V266" i="10"/>
  <c r="W266" i="10" s="1"/>
  <c r="V267" i="10"/>
  <c r="W267" i="10" s="1"/>
  <c r="V268" i="10"/>
  <c r="W268" i="10" s="1"/>
  <c r="V269" i="10"/>
  <c r="W269" i="10" s="1"/>
  <c r="V270" i="10"/>
  <c r="W270" i="10" s="1"/>
  <c r="V271" i="10"/>
  <c r="W271" i="10" s="1"/>
  <c r="V272" i="10"/>
  <c r="W272" i="10" s="1"/>
  <c r="V273" i="10"/>
  <c r="W273" i="10" s="1"/>
  <c r="V274" i="10"/>
  <c r="W274" i="10" s="1"/>
  <c r="V275" i="10"/>
  <c r="W275" i="10" s="1"/>
  <c r="V276" i="10"/>
  <c r="W276" i="10" s="1"/>
  <c r="V277" i="10"/>
  <c r="W277" i="10" s="1"/>
  <c r="V90" i="10"/>
  <c r="W90" i="10" s="1"/>
  <c r="W244" i="10" l="1"/>
  <c r="X271" i="10"/>
  <c r="X264" i="10"/>
  <c r="X256" i="10"/>
  <c r="X250" i="10"/>
  <c r="X248" i="10"/>
  <c r="X104" i="10"/>
  <c r="X113" i="10"/>
  <c r="X110" i="10"/>
  <c r="X262" i="10"/>
  <c r="X266" i="10"/>
  <c r="X258" i="10"/>
  <c r="X260" i="10"/>
  <c r="X98" i="10"/>
  <c r="X299" i="10"/>
  <c r="X273" i="10"/>
  <c r="X267" i="10"/>
  <c r="X265" i="10"/>
  <c r="X263" i="10"/>
  <c r="X261" i="10"/>
  <c r="X259" i="10"/>
  <c r="X257" i="10"/>
  <c r="X293" i="10"/>
  <c r="X94" i="10"/>
  <c r="X275" i="10"/>
  <c r="X102" i="10"/>
  <c r="X96" i="10"/>
  <c r="X90" i="10"/>
  <c r="X277" i="10"/>
  <c r="X269" i="10"/>
  <c r="X246" i="10"/>
  <c r="X106" i="10"/>
  <c r="X92" i="10"/>
  <c r="X297" i="10"/>
  <c r="X312" i="10"/>
  <c r="X276" i="10"/>
  <c r="X274" i="10"/>
  <c r="X272" i="10"/>
  <c r="X270" i="10"/>
  <c r="X268" i="10"/>
  <c r="X301" i="10"/>
  <c r="X314" i="10"/>
  <c r="X252" i="10"/>
  <c r="X251" i="10"/>
  <c r="X249" i="10"/>
  <c r="X247" i="10"/>
  <c r="X245" i="10"/>
  <c r="X97" i="10"/>
  <c r="X95" i="10"/>
  <c r="X93" i="10"/>
  <c r="X91" i="10"/>
  <c r="X303" i="10"/>
  <c r="X295" i="10"/>
  <c r="X254" i="10"/>
  <c r="X174" i="10"/>
  <c r="X161" i="10"/>
  <c r="X158" i="10"/>
  <c r="X145" i="10"/>
  <c r="X142" i="10"/>
  <c r="X129" i="10"/>
  <c r="X126" i="10"/>
  <c r="X316" i="10"/>
  <c r="X308" i="10"/>
  <c r="X169" i="10"/>
  <c r="X166" i="10"/>
  <c r="X153" i="10"/>
  <c r="X150" i="10"/>
  <c r="X137" i="10"/>
  <c r="X134" i="10"/>
  <c r="X121" i="10"/>
  <c r="X118" i="10"/>
  <c r="X100" i="10"/>
  <c r="X304" i="10"/>
  <c r="X302" i="10"/>
  <c r="X300" i="10"/>
  <c r="X298" i="10"/>
  <c r="X296" i="10"/>
  <c r="X310" i="10"/>
  <c r="X294" i="10"/>
  <c r="X255" i="10"/>
  <c r="X253" i="10"/>
  <c r="X107" i="10"/>
  <c r="X105" i="10"/>
  <c r="X103" i="10"/>
  <c r="X101" i="10"/>
  <c r="X99" i="10"/>
  <c r="X173" i="10"/>
  <c r="X170" i="10"/>
  <c r="X165" i="10"/>
  <c r="X162" i="10"/>
  <c r="X157" i="10"/>
  <c r="X154" i="10"/>
  <c r="X149" i="10"/>
  <c r="X146" i="10"/>
  <c r="X141" i="10"/>
  <c r="X138" i="10"/>
  <c r="X133" i="10"/>
  <c r="X130" i="10"/>
  <c r="X125" i="10"/>
  <c r="X122" i="10"/>
  <c r="X117" i="10"/>
  <c r="X114" i="10"/>
  <c r="X109" i="10"/>
  <c r="X315" i="10"/>
  <c r="X313" i="10"/>
  <c r="X311" i="10"/>
  <c r="X309" i="10"/>
  <c r="W325" i="10"/>
  <c r="X317" i="10"/>
  <c r="X318" i="10"/>
  <c r="W307" i="10"/>
  <c r="W243" i="10"/>
  <c r="X243" i="10"/>
  <c r="W237" i="10"/>
  <c r="X237" i="10"/>
  <c r="W231" i="10"/>
  <c r="X231" i="10"/>
  <c r="W227" i="10"/>
  <c r="X227" i="10"/>
  <c r="W219" i="10"/>
  <c r="X219" i="10"/>
  <c r="W213" i="10"/>
  <c r="X213" i="10"/>
  <c r="W207" i="10"/>
  <c r="X207" i="10"/>
  <c r="W201" i="10"/>
  <c r="X201" i="10"/>
  <c r="W195" i="10"/>
  <c r="X195" i="10"/>
  <c r="W189" i="10"/>
  <c r="X189" i="10"/>
  <c r="W185" i="10"/>
  <c r="X185" i="10"/>
  <c r="W181" i="10"/>
  <c r="X181" i="10"/>
  <c r="W177" i="10"/>
  <c r="X177" i="10"/>
  <c r="W175" i="10"/>
  <c r="X175" i="10"/>
  <c r="W172" i="10"/>
  <c r="X172" i="10"/>
  <c r="W148" i="10"/>
  <c r="X148" i="10"/>
  <c r="W132" i="10"/>
  <c r="X132" i="10"/>
  <c r="W116" i="10"/>
  <c r="X116" i="10"/>
  <c r="W108" i="10"/>
  <c r="X108" i="10"/>
  <c r="W239" i="10"/>
  <c r="X239" i="10"/>
  <c r="W233" i="10"/>
  <c r="X233" i="10"/>
  <c r="W225" i="10"/>
  <c r="X225" i="10"/>
  <c r="W221" i="10"/>
  <c r="X221" i="10"/>
  <c r="W215" i="10"/>
  <c r="X215" i="10"/>
  <c r="W209" i="10"/>
  <c r="X209" i="10"/>
  <c r="W203" i="10"/>
  <c r="X203" i="10"/>
  <c r="W197" i="10"/>
  <c r="X197" i="10"/>
  <c r="W191" i="10"/>
  <c r="X191" i="10"/>
  <c r="W183" i="10"/>
  <c r="X183" i="10"/>
  <c r="W167" i="10"/>
  <c r="X167" i="10"/>
  <c r="W164" i="10"/>
  <c r="X164" i="10"/>
  <c r="W156" i="10"/>
  <c r="X156" i="10"/>
  <c r="W140" i="10"/>
  <c r="X140" i="10"/>
  <c r="W124" i="10"/>
  <c r="X124" i="10"/>
  <c r="W242" i="10"/>
  <c r="X242" i="10"/>
  <c r="W240" i="10"/>
  <c r="X240" i="10"/>
  <c r="W238" i="10"/>
  <c r="X238" i="10"/>
  <c r="W236" i="10"/>
  <c r="X236" i="10"/>
  <c r="W234" i="10"/>
  <c r="X234" i="10"/>
  <c r="W232" i="10"/>
  <c r="X232" i="10"/>
  <c r="W230" i="10"/>
  <c r="X230" i="10"/>
  <c r="W228" i="10"/>
  <c r="X228" i="10"/>
  <c r="W226" i="10"/>
  <c r="X226" i="10"/>
  <c r="W224" i="10"/>
  <c r="X224" i="10"/>
  <c r="W222" i="10"/>
  <c r="X222" i="10"/>
  <c r="W220" i="10"/>
  <c r="X220" i="10"/>
  <c r="W218" i="10"/>
  <c r="X218" i="10"/>
  <c r="W216" i="10"/>
  <c r="X216" i="10"/>
  <c r="W214" i="10"/>
  <c r="X214" i="10"/>
  <c r="W212" i="10"/>
  <c r="X212" i="10"/>
  <c r="W210" i="10"/>
  <c r="X210" i="10"/>
  <c r="W208" i="10"/>
  <c r="X208" i="10"/>
  <c r="W206" i="10"/>
  <c r="X206" i="10"/>
  <c r="W204" i="10"/>
  <c r="X204" i="10"/>
  <c r="W202" i="10"/>
  <c r="X202" i="10"/>
  <c r="W200" i="10"/>
  <c r="X200" i="10"/>
  <c r="W198" i="10"/>
  <c r="X198" i="10"/>
  <c r="W196" i="10"/>
  <c r="X196" i="10"/>
  <c r="W194" i="10"/>
  <c r="X194" i="10"/>
  <c r="W192" i="10"/>
  <c r="X192" i="10"/>
  <c r="W190" i="10"/>
  <c r="X190" i="10"/>
  <c r="W188" i="10"/>
  <c r="X188" i="10"/>
  <c r="W186" i="10"/>
  <c r="X186" i="10"/>
  <c r="W184" i="10"/>
  <c r="X184" i="10"/>
  <c r="W182" i="10"/>
  <c r="X182" i="10"/>
  <c r="W180" i="10"/>
  <c r="X180" i="10"/>
  <c r="W178" i="10"/>
  <c r="X178" i="10"/>
  <c r="W176" i="10"/>
  <c r="X176" i="10"/>
  <c r="W171" i="10"/>
  <c r="X171" i="10"/>
  <c r="W168" i="10"/>
  <c r="X168" i="10"/>
  <c r="W163" i="10"/>
  <c r="X163" i="10"/>
  <c r="W160" i="10"/>
  <c r="X160" i="10"/>
  <c r="W152" i="10"/>
  <c r="X152" i="10"/>
  <c r="W144" i="10"/>
  <c r="X144" i="10"/>
  <c r="W136" i="10"/>
  <c r="X136" i="10"/>
  <c r="W128" i="10"/>
  <c r="X128" i="10"/>
  <c r="W120" i="10"/>
  <c r="X120" i="10"/>
  <c r="W112" i="10"/>
  <c r="X112" i="10"/>
  <c r="W241" i="10"/>
  <c r="X241" i="10"/>
  <c r="W235" i="10"/>
  <c r="X235" i="10"/>
  <c r="W229" i="10"/>
  <c r="X229" i="10"/>
  <c r="W223" i="10"/>
  <c r="X223" i="10"/>
  <c r="W217" i="10"/>
  <c r="X217" i="10"/>
  <c r="W211" i="10"/>
  <c r="X211" i="10"/>
  <c r="W205" i="10"/>
  <c r="X205" i="10"/>
  <c r="W199" i="10"/>
  <c r="X199" i="10"/>
  <c r="W193" i="10"/>
  <c r="X193" i="10"/>
  <c r="W187" i="10"/>
  <c r="X187" i="10"/>
  <c r="W179" i="10"/>
  <c r="X179" i="10"/>
  <c r="X159" i="10"/>
  <c r="X155" i="10"/>
  <c r="X151" i="10"/>
  <c r="X147" i="10"/>
  <c r="X143" i="10"/>
  <c r="X139" i="10"/>
  <c r="X135" i="10"/>
  <c r="X131" i="10"/>
  <c r="X127" i="10"/>
  <c r="X123" i="10"/>
  <c r="X119" i="10"/>
  <c r="X115" i="10"/>
  <c r="X111" i="10"/>
  <c r="G624" i="24"/>
  <c r="V618" i="24"/>
  <c r="S618" i="24"/>
  <c r="V617" i="24"/>
  <c r="S617" i="24"/>
  <c r="A617" i="24" s="1"/>
  <c r="K617" i="24"/>
  <c r="L617" i="24" s="1"/>
  <c r="V616" i="24"/>
  <c r="S616" i="24"/>
  <c r="A616" i="24" s="1"/>
  <c r="V615" i="24"/>
  <c r="S615" i="24"/>
  <c r="A615" i="24" s="1"/>
  <c r="V614" i="24"/>
  <c r="S614" i="24"/>
  <c r="A614" i="24" s="1"/>
  <c r="P614" i="24"/>
  <c r="K583" i="24"/>
  <c r="L583" i="24" s="1"/>
  <c r="S583" i="24"/>
  <c r="A583" i="24" s="1"/>
  <c r="V583" i="24"/>
  <c r="K584" i="24"/>
  <c r="L584" i="24" s="1"/>
  <c r="S584" i="24"/>
  <c r="A584" i="24" s="1"/>
  <c r="V584" i="24"/>
  <c r="K585" i="24"/>
  <c r="L585" i="24" s="1"/>
  <c r="S585" i="24"/>
  <c r="V585" i="24"/>
  <c r="G578" i="24"/>
  <c r="G589" i="24" s="1"/>
  <c r="AD581" i="24" s="1"/>
  <c r="V582" i="24"/>
  <c r="S582" i="24"/>
  <c r="A582" i="24" s="1"/>
  <c r="K582" i="24"/>
  <c r="L582" i="24" s="1"/>
  <c r="V581" i="24"/>
  <c r="S581" i="24"/>
  <c r="A581" i="24" s="1"/>
  <c r="K581" i="24"/>
  <c r="L581" i="24" s="1"/>
  <c r="V580" i="24"/>
  <c r="S580" i="24"/>
  <c r="A580" i="24" s="1"/>
  <c r="V579" i="24"/>
  <c r="S579" i="24"/>
  <c r="A579" i="24" s="1"/>
  <c r="V578" i="24"/>
  <c r="S578" i="24"/>
  <c r="A578" i="24" s="1"/>
  <c r="K634" i="24"/>
  <c r="L634" i="24" s="1"/>
  <c r="S634" i="24"/>
  <c r="A634" i="24" s="1"/>
  <c r="V634" i="24"/>
  <c r="K635" i="24"/>
  <c r="L635" i="24" s="1"/>
  <c r="S635" i="24"/>
  <c r="A635" i="24" s="1"/>
  <c r="V635" i="24"/>
  <c r="K636" i="24"/>
  <c r="L636" i="24" s="1"/>
  <c r="S636" i="24"/>
  <c r="A636" i="24" s="1"/>
  <c r="V636" i="24"/>
  <c r="K637" i="24"/>
  <c r="L637" i="24" s="1"/>
  <c r="S637" i="24"/>
  <c r="A637" i="24" s="1"/>
  <c r="V637" i="24"/>
  <c r="K638" i="24"/>
  <c r="L638" i="24" s="1"/>
  <c r="S638" i="24"/>
  <c r="A638" i="24" s="1"/>
  <c r="V638" i="24"/>
  <c r="K639" i="24"/>
  <c r="L639" i="24" s="1"/>
  <c r="S639" i="24"/>
  <c r="V639" i="24"/>
  <c r="G632" i="24"/>
  <c r="G642" i="24" s="1"/>
  <c r="V633" i="24"/>
  <c r="S633" i="24"/>
  <c r="A633" i="24" s="1"/>
  <c r="V632" i="24"/>
  <c r="S632" i="24"/>
  <c r="A632" i="24" s="1"/>
  <c r="AD634" i="24" l="1"/>
  <c r="A639" i="24"/>
  <c r="T640" i="24"/>
  <c r="T619" i="24"/>
  <c r="A618" i="24"/>
  <c r="A585" i="24"/>
  <c r="T586" i="24"/>
  <c r="AD617" i="24"/>
  <c r="T634" i="24"/>
  <c r="P578" i="24"/>
  <c r="T635" i="24"/>
  <c r="T636" i="24"/>
  <c r="T638" i="24"/>
  <c r="T585" i="24"/>
  <c r="T584" i="24"/>
  <c r="T583" i="24"/>
  <c r="T615" i="24"/>
  <c r="T618" i="24"/>
  <c r="T617" i="24"/>
  <c r="T616" i="24"/>
  <c r="M614" i="24"/>
  <c r="N614" i="24" s="1"/>
  <c r="T637" i="24"/>
  <c r="T639" i="24"/>
  <c r="P632" i="24"/>
  <c r="T579" i="24"/>
  <c r="T580" i="24"/>
  <c r="T582" i="24"/>
  <c r="M578" i="24"/>
  <c r="N578" i="24" s="1"/>
  <c r="H579" i="24" s="1"/>
  <c r="T581" i="24"/>
  <c r="T633" i="24"/>
  <c r="M632" i="24"/>
  <c r="N632" i="24" s="1"/>
  <c r="H633" i="24" s="1"/>
  <c r="J614" i="24" l="1"/>
  <c r="R614" i="24"/>
  <c r="H615" i="24"/>
  <c r="O614" i="24"/>
  <c r="O578" i="24"/>
  <c r="J578" i="24"/>
  <c r="R578" i="24"/>
  <c r="J632" i="24"/>
  <c r="O632" i="24"/>
  <c r="R632" i="24"/>
  <c r="K615" i="24" l="1"/>
  <c r="L615" i="24" s="1"/>
  <c r="U614" i="24"/>
  <c r="W614" i="24"/>
  <c r="P615" i="24" s="1"/>
  <c r="Q615" i="24" s="1"/>
  <c r="U578" i="24"/>
  <c r="W578" i="24"/>
  <c r="P579" i="24" s="1"/>
  <c r="Q579" i="24" s="1"/>
  <c r="K579" i="24"/>
  <c r="L579" i="24" s="1"/>
  <c r="W632" i="24"/>
  <c r="P633" i="24" s="1"/>
  <c r="Q633" i="24" s="1"/>
  <c r="U632" i="24"/>
  <c r="K633" i="24" l="1"/>
  <c r="L633" i="24" s="1"/>
  <c r="K148" i="24" l="1"/>
  <c r="L148" i="24" s="1"/>
  <c r="S148" i="24"/>
  <c r="A148" i="24" s="1"/>
  <c r="V148" i="24"/>
  <c r="K149" i="24"/>
  <c r="L149" i="24" s="1"/>
  <c r="S149" i="24"/>
  <c r="A149" i="24" s="1"/>
  <c r="V149" i="24"/>
  <c r="S150" i="24"/>
  <c r="A150" i="24" s="1"/>
  <c r="V150" i="24"/>
  <c r="K151" i="24"/>
  <c r="L151" i="24" s="1"/>
  <c r="S151" i="24"/>
  <c r="A151" i="24" s="1"/>
  <c r="V151" i="24"/>
  <c r="K152" i="24"/>
  <c r="L152" i="24" s="1"/>
  <c r="S152" i="24"/>
  <c r="A152" i="24" s="1"/>
  <c r="V152" i="24"/>
  <c r="K153" i="24"/>
  <c r="L153" i="24" s="1"/>
  <c r="S153" i="24"/>
  <c r="A153" i="24" s="1"/>
  <c r="V153" i="24"/>
  <c r="K154" i="24"/>
  <c r="L154" i="24" s="1"/>
  <c r="S154" i="24"/>
  <c r="A154" i="24" s="1"/>
  <c r="V154" i="24"/>
  <c r="K155" i="24"/>
  <c r="L155" i="24" s="1"/>
  <c r="S155" i="24"/>
  <c r="A155" i="24" s="1"/>
  <c r="V155" i="24"/>
  <c r="T155" i="24" l="1"/>
  <c r="T154" i="24"/>
  <c r="T151" i="24"/>
  <c r="T153" i="24"/>
  <c r="T152" i="24"/>
  <c r="T149" i="24"/>
  <c r="T150" i="24"/>
  <c r="V76" i="10"/>
  <c r="W76" i="10" s="1"/>
  <c r="V77" i="10"/>
  <c r="W77" i="10" s="1"/>
  <c r="V78" i="10"/>
  <c r="W78" i="10" s="1"/>
  <c r="V79" i="10"/>
  <c r="V80" i="10"/>
  <c r="W80" i="10" s="1"/>
  <c r="V81" i="10"/>
  <c r="W81" i="10" s="1"/>
  <c r="V82" i="10"/>
  <c r="W82" i="10" s="1"/>
  <c r="V83" i="10"/>
  <c r="V84" i="10"/>
  <c r="W84" i="10" s="1"/>
  <c r="V85" i="10"/>
  <c r="W85" i="10" s="1"/>
  <c r="V86" i="10"/>
  <c r="W86" i="10" s="1"/>
  <c r="V87" i="10"/>
  <c r="V75" i="10"/>
  <c r="W75" i="10" s="1"/>
  <c r="V59" i="10"/>
  <c r="W59" i="10" s="1"/>
  <c r="V60" i="10"/>
  <c r="X60" i="10" s="1"/>
  <c r="Z60" i="10" s="1"/>
  <c r="V61" i="10"/>
  <c r="V62" i="10"/>
  <c r="X62" i="10" s="1"/>
  <c r="V63" i="10"/>
  <c r="W63" i="10" s="1"/>
  <c r="V64" i="10"/>
  <c r="X64" i="10" s="1"/>
  <c r="Z64" i="10" s="1"/>
  <c r="V65" i="10"/>
  <c r="X65" i="10" s="1"/>
  <c r="Z65" i="10" s="1"/>
  <c r="V66" i="10"/>
  <c r="W66" i="10" s="1"/>
  <c r="V67" i="10"/>
  <c r="X67" i="10" s="1"/>
  <c r="Z67" i="10" s="1"/>
  <c r="V68" i="10"/>
  <c r="X68" i="10" s="1"/>
  <c r="Z68" i="10" s="1"/>
  <c r="V69" i="10"/>
  <c r="V70" i="10"/>
  <c r="X70" i="10" s="1"/>
  <c r="V71" i="10"/>
  <c r="W71" i="10" s="1"/>
  <c r="V72" i="10"/>
  <c r="X72" i="10" s="1"/>
  <c r="Z72" i="10" s="1"/>
  <c r="V58" i="10"/>
  <c r="V51" i="10"/>
  <c r="X51" i="10" s="1"/>
  <c r="V50" i="10"/>
  <c r="W50" i="10" s="1"/>
  <c r="V49" i="10"/>
  <c r="W49" i="10" s="1"/>
  <c r="V48" i="10"/>
  <c r="W48" i="10" s="1"/>
  <c r="V47" i="10"/>
  <c r="X47" i="10" s="1"/>
  <c r="V46" i="10"/>
  <c r="W46" i="10" s="1"/>
  <c r="V45" i="10"/>
  <c r="X45" i="10" s="1"/>
  <c r="Z45" i="10" s="1"/>
  <c r="V44" i="10"/>
  <c r="W44" i="10" s="1"/>
  <c r="V39" i="10"/>
  <c r="X39" i="10" s="1"/>
  <c r="V38" i="10"/>
  <c r="Y67" i="10" l="1"/>
  <c r="AA67" i="10" s="1"/>
  <c r="Z39" i="10"/>
  <c r="Y39" i="10"/>
  <c r="Z51" i="10"/>
  <c r="Y51" i="10"/>
  <c r="Z47" i="10"/>
  <c r="Y47" i="10"/>
  <c r="Z70" i="10"/>
  <c r="Y70" i="10"/>
  <c r="Z62" i="10"/>
  <c r="Y62" i="10"/>
  <c r="Y65" i="10"/>
  <c r="AA65" i="10" s="1"/>
  <c r="Y45" i="10"/>
  <c r="AA45" i="10" s="1"/>
  <c r="Y72" i="10"/>
  <c r="AA72" i="10" s="1"/>
  <c r="Y68" i="10"/>
  <c r="AA68" i="10" s="1"/>
  <c r="Y64" i="10"/>
  <c r="AA64" i="10" s="1"/>
  <c r="Y60" i="10"/>
  <c r="AA60" i="10" s="1"/>
  <c r="W67" i="10"/>
  <c r="X76" i="10"/>
  <c r="X71" i="10"/>
  <c r="X50" i="10"/>
  <c r="W47" i="10"/>
  <c r="X75" i="10"/>
  <c r="X49" i="10"/>
  <c r="W45" i="10"/>
  <c r="X59" i="10"/>
  <c r="X66" i="10"/>
  <c r="W70" i="10"/>
  <c r="X86" i="10"/>
  <c r="X80" i="10"/>
  <c r="W60" i="10"/>
  <c r="W51" i="10"/>
  <c r="W39" i="10"/>
  <c r="W64" i="10"/>
  <c r="X84" i="10"/>
  <c r="X82" i="10"/>
  <c r="W62" i="10"/>
  <c r="X63" i="10"/>
  <c r="W72" i="10"/>
  <c r="X78" i="10"/>
  <c r="W87" i="10"/>
  <c r="X87" i="10"/>
  <c r="W79" i="10"/>
  <c r="X79" i="10"/>
  <c r="W58" i="10"/>
  <c r="X58" i="10"/>
  <c r="W69" i="10"/>
  <c r="X69" i="10"/>
  <c r="W61" i="10"/>
  <c r="X61" i="10"/>
  <c r="W65" i="10"/>
  <c r="W83" i="10"/>
  <c r="X83" i="10"/>
  <c r="W38" i="10"/>
  <c r="X38" i="10"/>
  <c r="X46" i="10"/>
  <c r="W68" i="10"/>
  <c r="X85" i="10"/>
  <c r="X81" i="10"/>
  <c r="X77" i="10"/>
  <c r="X48" i="10"/>
  <c r="X44" i="10"/>
  <c r="AB67" i="10" l="1"/>
  <c r="AC67" i="10" s="1"/>
  <c r="AB45" i="10"/>
  <c r="AC45" i="10" s="1"/>
  <c r="AA62" i="10"/>
  <c r="AA47" i="10"/>
  <c r="AB47" i="10" s="1"/>
  <c r="AC47" i="10" s="1"/>
  <c r="AA39" i="10"/>
  <c r="AA70" i="10"/>
  <c r="AA51" i="10"/>
  <c r="AB68" i="10"/>
  <c r="AB72" i="10"/>
  <c r="AB64" i="10"/>
  <c r="AB65" i="10"/>
  <c r="AC65" i="10" s="1"/>
  <c r="AB60" i="10"/>
  <c r="AC60" i="10" s="1"/>
  <c r="Z50" i="10"/>
  <c r="Y50" i="10"/>
  <c r="Z46" i="10"/>
  <c r="Y46" i="10"/>
  <c r="Z69" i="10"/>
  <c r="Y69" i="10"/>
  <c r="Z78" i="10"/>
  <c r="Y78" i="10"/>
  <c r="Z82" i="10"/>
  <c r="Y82" i="10"/>
  <c r="Z49" i="10"/>
  <c r="Y49" i="10"/>
  <c r="Z71" i="10"/>
  <c r="Y71" i="10"/>
  <c r="Z83" i="10"/>
  <c r="Y83" i="10"/>
  <c r="Z86" i="10"/>
  <c r="Y86" i="10"/>
  <c r="Z77" i="10"/>
  <c r="Y77" i="10"/>
  <c r="Z79" i="10"/>
  <c r="Y79" i="10"/>
  <c r="Z81" i="10"/>
  <c r="Y81" i="10"/>
  <c r="Z38" i="10"/>
  <c r="Y38" i="10"/>
  <c r="Z84" i="10"/>
  <c r="Y84" i="10"/>
  <c r="Z66" i="10"/>
  <c r="Y66" i="10"/>
  <c r="Z75" i="10"/>
  <c r="Y75" i="10"/>
  <c r="Z76" i="10"/>
  <c r="Y76" i="10"/>
  <c r="Z48" i="10"/>
  <c r="Y48" i="10"/>
  <c r="Z44" i="10"/>
  <c r="Y44" i="10"/>
  <c r="Z85" i="10"/>
  <c r="Y85" i="10"/>
  <c r="Z61" i="10"/>
  <c r="Y61" i="10"/>
  <c r="Z58" i="10"/>
  <c r="Y58" i="10"/>
  <c r="Z87" i="10"/>
  <c r="Y87" i="10"/>
  <c r="Z63" i="10"/>
  <c r="Y63" i="10"/>
  <c r="Z80" i="10"/>
  <c r="Y80" i="10"/>
  <c r="Z59" i="10"/>
  <c r="Y59" i="10"/>
  <c r="AD45" i="10" l="1"/>
  <c r="AE45" i="10" s="1"/>
  <c r="AD67" i="10"/>
  <c r="AE67" i="10" s="1"/>
  <c r="AB70" i="10"/>
  <c r="AC70" i="10" s="1"/>
  <c r="AB62" i="10"/>
  <c r="AC62" i="10" s="1"/>
  <c r="AD62" i="10" s="1"/>
  <c r="AE62" i="10" s="1"/>
  <c r="AF62" i="10" s="1"/>
  <c r="AB51" i="10"/>
  <c r="AC51" i="10" s="1"/>
  <c r="AB39" i="10"/>
  <c r="AC39" i="10" s="1"/>
  <c r="AA59" i="10"/>
  <c r="AA58" i="10"/>
  <c r="AB58" i="10" s="1"/>
  <c r="AC58" i="10" s="1"/>
  <c r="AA48" i="10"/>
  <c r="AB48" i="10" s="1"/>
  <c r="AA84" i="10"/>
  <c r="AA81" i="10"/>
  <c r="AA83" i="10"/>
  <c r="AB83" i="10" s="1"/>
  <c r="AC83" i="10" s="1"/>
  <c r="AA78" i="10"/>
  <c r="AA46" i="10"/>
  <c r="AA63" i="10"/>
  <c r="AA85" i="10"/>
  <c r="AA75" i="10"/>
  <c r="AA77" i="10"/>
  <c r="AA49" i="10"/>
  <c r="AA44" i="10"/>
  <c r="AA66" i="10"/>
  <c r="AA38" i="10"/>
  <c r="AA79" i="10"/>
  <c r="AA86" i="10"/>
  <c r="AA71" i="10"/>
  <c r="AA82" i="10"/>
  <c r="AA69" i="10"/>
  <c r="AA50" i="10"/>
  <c r="AD65" i="10"/>
  <c r="AE65" i="10" s="1"/>
  <c r="AA80" i="10"/>
  <c r="AA61" i="10"/>
  <c r="AA76" i="10"/>
  <c r="AC64" i="10"/>
  <c r="AD47" i="10"/>
  <c r="AC72" i="10"/>
  <c r="AD60" i="10"/>
  <c r="AC68" i="10"/>
  <c r="AF67" i="10" l="1"/>
  <c r="AG67" i="10" s="1"/>
  <c r="AH67" i="10" s="1"/>
  <c r="AD70" i="10"/>
  <c r="AE70" i="10" s="1"/>
  <c r="AF45" i="10"/>
  <c r="AG45" i="10" s="1"/>
  <c r="AD51" i="10"/>
  <c r="AE51" i="10" s="1"/>
  <c r="AF51" i="10" s="1"/>
  <c r="AD39" i="10"/>
  <c r="AE39" i="10" s="1"/>
  <c r="AF39" i="10" s="1"/>
  <c r="AB76" i="10"/>
  <c r="AC76" i="10" s="1"/>
  <c r="AD76" i="10" s="1"/>
  <c r="AB86" i="10"/>
  <c r="AB75" i="10"/>
  <c r="AC75" i="10" s="1"/>
  <c r="AB84" i="10"/>
  <c r="AC84" i="10" s="1"/>
  <c r="AB61" i="10"/>
  <c r="AC61" i="10" s="1"/>
  <c r="AB69" i="10"/>
  <c r="AC69" i="10" s="1"/>
  <c r="AB85" i="10"/>
  <c r="AC85" i="10" s="1"/>
  <c r="AG62" i="10"/>
  <c r="AH62" i="10" s="1"/>
  <c r="AB80" i="10"/>
  <c r="AC80" i="10" s="1"/>
  <c r="AB82" i="10"/>
  <c r="AC82" i="10" s="1"/>
  <c r="AD82" i="10" s="1"/>
  <c r="AB63" i="10"/>
  <c r="AC63" i="10" s="1"/>
  <c r="AD63" i="10" s="1"/>
  <c r="AB78" i="10"/>
  <c r="AC78" i="10" s="1"/>
  <c r="AE60" i="10"/>
  <c r="AF60" i="10" s="1"/>
  <c r="AB71" i="10"/>
  <c r="AC71" i="10" s="1"/>
  <c r="AD71" i="10" s="1"/>
  <c r="AE71" i="10" s="1"/>
  <c r="AB66" i="10"/>
  <c r="AC66" i="10" s="1"/>
  <c r="AB77" i="10"/>
  <c r="AC77" i="10" s="1"/>
  <c r="AD77" i="10" s="1"/>
  <c r="AB81" i="10"/>
  <c r="AB59" i="10"/>
  <c r="AB49" i="10"/>
  <c r="AC49" i="10" s="1"/>
  <c r="AD49" i="10" s="1"/>
  <c r="AB38" i="10"/>
  <c r="AB50" i="10"/>
  <c r="AC50" i="10" s="1"/>
  <c r="AB44" i="10"/>
  <c r="AC44" i="10" s="1"/>
  <c r="AB46" i="10"/>
  <c r="AC46" i="10" s="1"/>
  <c r="AD46" i="10" s="1"/>
  <c r="AE46" i="10" s="1"/>
  <c r="AF46" i="10" s="1"/>
  <c r="AF65" i="10"/>
  <c r="AG65" i="10" s="1"/>
  <c r="AH65" i="10" s="1"/>
  <c r="AB79" i="10"/>
  <c r="AC79" i="10" s="1"/>
  <c r="AD83" i="10"/>
  <c r="AE83" i="10" s="1"/>
  <c r="AF83" i="10" s="1"/>
  <c r="AD64" i="10"/>
  <c r="AE64" i="10" s="1"/>
  <c r="AE47" i="10"/>
  <c r="AD58" i="10"/>
  <c r="AC48" i="10"/>
  <c r="AD48" i="10" s="1"/>
  <c r="AD68" i="10"/>
  <c r="AE68" i="10" s="1"/>
  <c r="AF68" i="10" s="1"/>
  <c r="AD72" i="10"/>
  <c r="AD85" i="10" l="1"/>
  <c r="AE85" i="10" s="1"/>
  <c r="AF85" i="10" s="1"/>
  <c r="AH45" i="10"/>
  <c r="AD66" i="10"/>
  <c r="AE66" i="10" s="1"/>
  <c r="AD80" i="10"/>
  <c r="AE80" i="10" s="1"/>
  <c r="AF71" i="10"/>
  <c r="AG71" i="10" s="1"/>
  <c r="AH71" i="10" s="1"/>
  <c r="AG51" i="10"/>
  <c r="AH51" i="10" s="1"/>
  <c r="AG60" i="10"/>
  <c r="AH60" i="10" s="1"/>
  <c r="AD75" i="10"/>
  <c r="AE75" i="10" s="1"/>
  <c r="AF75" i="10" s="1"/>
  <c r="AD50" i="10"/>
  <c r="AE50" i="10" s="1"/>
  <c r="AE82" i="10"/>
  <c r="AF82" i="10" s="1"/>
  <c r="AG82" i="10" s="1"/>
  <c r="AH82" i="10" s="1"/>
  <c r="AC81" i="10"/>
  <c r="AD81" i="10" s="1"/>
  <c r="AE81" i="10" s="1"/>
  <c r="AE72" i="10"/>
  <c r="AF72" i="10" s="1"/>
  <c r="AC59" i="10"/>
  <c r="AD59" i="10" s="1"/>
  <c r="AE59" i="10" s="1"/>
  <c r="AF59" i="10" s="1"/>
  <c r="AG83" i="10"/>
  <c r="AH83" i="10" s="1"/>
  <c r="AF70" i="10"/>
  <c r="AG70" i="10" s="1"/>
  <c r="AD69" i="10"/>
  <c r="AE69" i="10" s="1"/>
  <c r="AC86" i="10"/>
  <c r="AD86" i="10" s="1"/>
  <c r="AE86" i="10" s="1"/>
  <c r="AF86" i="10" s="1"/>
  <c r="AG68" i="10"/>
  <c r="AH68" i="10" s="1"/>
  <c r="AG46" i="10"/>
  <c r="AH46" i="10" s="1"/>
  <c r="AF47" i="10"/>
  <c r="AG47" i="10" s="1"/>
  <c r="AH47" i="10" s="1"/>
  <c r="AC38" i="10"/>
  <c r="AE49" i="10"/>
  <c r="AF49" i="10" s="1"/>
  <c r="AD44" i="10"/>
  <c r="AE44" i="10" s="1"/>
  <c r="AF44" i="10" s="1"/>
  <c r="AG44" i="10" s="1"/>
  <c r="AG39" i="10"/>
  <c r="AH39" i="10" s="1"/>
  <c r="AE77" i="10"/>
  <c r="AF77" i="10" s="1"/>
  <c r="AE63" i="10"/>
  <c r="AF63" i="10" s="1"/>
  <c r="AD78" i="10"/>
  <c r="AE76" i="10"/>
  <c r="AF76" i="10" s="1"/>
  <c r="AD79" i="10"/>
  <c r="AE79" i="10" s="1"/>
  <c r="AF79" i="10" s="1"/>
  <c r="AE58" i="10"/>
  <c r="AF58" i="10" s="1"/>
  <c r="AF64" i="10"/>
  <c r="AD61" i="10"/>
  <c r="AE48" i="10"/>
  <c r="AF48" i="10" s="1"/>
  <c r="AD84" i="10"/>
  <c r="AG85" i="10" l="1"/>
  <c r="AH85" i="10" s="1"/>
  <c r="AF66" i="10"/>
  <c r="AG66" i="10" s="1"/>
  <c r="AH66" i="10" s="1"/>
  <c r="AF80" i="10"/>
  <c r="AG80" i="10" s="1"/>
  <c r="AF50" i="10"/>
  <c r="AG50" i="10" s="1"/>
  <c r="AG86" i="10"/>
  <c r="AH86" i="10" s="1"/>
  <c r="AF69" i="10"/>
  <c r="AG69" i="10" s="1"/>
  <c r="AH69" i="10" s="1"/>
  <c r="AG58" i="10"/>
  <c r="AH58" i="10" s="1"/>
  <c r="AH70" i="10"/>
  <c r="AG76" i="10"/>
  <c r="AH76" i="10" s="1"/>
  <c r="AG59" i="10"/>
  <c r="AH59" i="10" s="1"/>
  <c r="AF81" i="10"/>
  <c r="AG81" i="10" s="1"/>
  <c r="AG75" i="10"/>
  <c r="AH75" i="10" s="1"/>
  <c r="AG79" i="10"/>
  <c r="AH79" i="10" s="1"/>
  <c r="AG64" i="10"/>
  <c r="AH64" i="10" s="1"/>
  <c r="AG72" i="10"/>
  <c r="AH72" i="10" s="1"/>
  <c r="AE84" i="10"/>
  <c r="AF84" i="10" s="1"/>
  <c r="AG84" i="10" s="1"/>
  <c r="AH84" i="10" s="1"/>
  <c r="AE78" i="10"/>
  <c r="AF78" i="10" s="1"/>
  <c r="AG77" i="10"/>
  <c r="AH77" i="10" s="1"/>
  <c r="AG63" i="10"/>
  <c r="AH63" i="10" s="1"/>
  <c r="AD38" i="10"/>
  <c r="AH44" i="10"/>
  <c r="AG48" i="10"/>
  <c r="AH48" i="10" s="1"/>
  <c r="AG49" i="10"/>
  <c r="AH49" i="10" s="1"/>
  <c r="AE61" i="10"/>
  <c r="AF61" i="10" s="1"/>
  <c r="AH50" i="10" l="1"/>
  <c r="AH80" i="10"/>
  <c r="AH81" i="10"/>
  <c r="AG78" i="10"/>
  <c r="AH78" i="10" s="1"/>
  <c r="AG61" i="10"/>
  <c r="AE38" i="10"/>
  <c r="V40" i="10"/>
  <c r="X40" i="10" s="1"/>
  <c r="V15" i="10"/>
  <c r="X15" i="10" s="1"/>
  <c r="V16" i="10"/>
  <c r="X16" i="10" s="1"/>
  <c r="V41" i="10"/>
  <c r="X41" i="10" s="1"/>
  <c r="V17" i="10"/>
  <c r="X17" i="10" s="1"/>
  <c r="V18" i="10"/>
  <c r="X18" i="10" s="1"/>
  <c r="V42" i="10"/>
  <c r="X42" i="10" s="1"/>
  <c r="V19" i="10"/>
  <c r="X19" i="10" s="1"/>
  <c r="V43" i="10"/>
  <c r="X43" i="10" s="1"/>
  <c r="V20" i="10"/>
  <c r="X20" i="10" s="1"/>
  <c r="V21" i="10"/>
  <c r="X21" i="10" s="1"/>
  <c r="V22" i="10"/>
  <c r="X22" i="10" s="1"/>
  <c r="V23" i="10"/>
  <c r="X23" i="10" s="1"/>
  <c r="V24" i="10"/>
  <c r="X24" i="10" s="1"/>
  <c r="V25" i="10"/>
  <c r="X25" i="10" s="1"/>
  <c r="V26" i="10"/>
  <c r="X26" i="10" s="1"/>
  <c r="V27" i="10"/>
  <c r="X27" i="10" s="1"/>
  <c r="V28" i="10"/>
  <c r="X28" i="10" s="1"/>
  <c r="V29" i="10"/>
  <c r="X29" i="10" s="1"/>
  <c r="V30" i="10"/>
  <c r="X30" i="10" s="1"/>
  <c r="V31" i="10"/>
  <c r="X31" i="10" s="1"/>
  <c r="V32" i="10"/>
  <c r="X32" i="10" s="1"/>
  <c r="V33" i="10"/>
  <c r="X33" i="10" s="1"/>
  <c r="V34" i="10"/>
  <c r="X34" i="10" s="1"/>
  <c r="V35" i="10"/>
  <c r="X35" i="10" s="1"/>
  <c r="V14" i="10"/>
  <c r="X14" i="10" s="1"/>
  <c r="P543" i="27"/>
  <c r="V11" i="27"/>
  <c r="AH61" i="10" l="1"/>
  <c r="AH57" i="10" s="1"/>
  <c r="AG57" i="10"/>
  <c r="AF38" i="10"/>
  <c r="Z33" i="10"/>
  <c r="Y33" i="10"/>
  <c r="Z42" i="10"/>
  <c r="Y42" i="10"/>
  <c r="Z14" i="10"/>
  <c r="Y14" i="10"/>
  <c r="Z28" i="10"/>
  <c r="Y28" i="10"/>
  <c r="Z18" i="10"/>
  <c r="Y18" i="10"/>
  <c r="Z25" i="10"/>
  <c r="Y25" i="10"/>
  <c r="Z21" i="10"/>
  <c r="Y21" i="10"/>
  <c r="Z41" i="10"/>
  <c r="Y41" i="10"/>
  <c r="Z32" i="10"/>
  <c r="Y32" i="10"/>
  <c r="Z24" i="10"/>
  <c r="Y24" i="10"/>
  <c r="Z20" i="10"/>
  <c r="Y20" i="10"/>
  <c r="Z16" i="10"/>
  <c r="Y16" i="10"/>
  <c r="Z35" i="10"/>
  <c r="Y35" i="10"/>
  <c r="Z31" i="10"/>
  <c r="Y31" i="10"/>
  <c r="Z27" i="10"/>
  <c r="Y27" i="10"/>
  <c r="Z23" i="10"/>
  <c r="Y23" i="10"/>
  <c r="Z43" i="10"/>
  <c r="Y43" i="10"/>
  <c r="Z17" i="10"/>
  <c r="Y17" i="10"/>
  <c r="Z15" i="10"/>
  <c r="Y15" i="10"/>
  <c r="Z29" i="10"/>
  <c r="Y29" i="10"/>
  <c r="Z34" i="10"/>
  <c r="Y34" i="10"/>
  <c r="Z30" i="10"/>
  <c r="Y30" i="10"/>
  <c r="Z26" i="10"/>
  <c r="Y26" i="10"/>
  <c r="Z22" i="10"/>
  <c r="Y22" i="10"/>
  <c r="Z19" i="10"/>
  <c r="Y19" i="10"/>
  <c r="Z40" i="10"/>
  <c r="Y40" i="10"/>
  <c r="W21" i="10"/>
  <c r="W42" i="10"/>
  <c r="W41" i="10"/>
  <c r="W20" i="10"/>
  <c r="W18" i="10"/>
  <c r="W16" i="10"/>
  <c r="W43" i="10"/>
  <c r="W17" i="10"/>
  <c r="W15" i="10"/>
  <c r="W14" i="10"/>
  <c r="W19" i="10"/>
  <c r="W40" i="10"/>
  <c r="W29" i="10"/>
  <c r="W34" i="10"/>
  <c r="W26" i="10"/>
  <c r="W30" i="10"/>
  <c r="W33" i="10"/>
  <c r="W25" i="10"/>
  <c r="W32" i="10"/>
  <c r="W28" i="10"/>
  <c r="W24" i="10"/>
  <c r="W35" i="10"/>
  <c r="W31" i="10"/>
  <c r="W27" i="10"/>
  <c r="W23" i="10"/>
  <c r="W22" i="10"/>
  <c r="AG38" i="10" l="1"/>
  <c r="AA18" i="10"/>
  <c r="AA40" i="10"/>
  <c r="AA19" i="10"/>
  <c r="AA26" i="10"/>
  <c r="AA15" i="10"/>
  <c r="AA43" i="10"/>
  <c r="AA27" i="10"/>
  <c r="AA20" i="10"/>
  <c r="AA22" i="10"/>
  <c r="AA29" i="10"/>
  <c r="AA17" i="10"/>
  <c r="AA23" i="10"/>
  <c r="AA16" i="10"/>
  <c r="AA24" i="10"/>
  <c r="AA41" i="10"/>
  <c r="AA25" i="10"/>
  <c r="AA28" i="10"/>
  <c r="AA42" i="10"/>
  <c r="AB40" i="10" l="1"/>
  <c r="AA37" i="10"/>
  <c r="AB18" i="10"/>
  <c r="AC18" i="10" s="1"/>
  <c r="AH38" i="10"/>
  <c r="AB20" i="10"/>
  <c r="AC20" i="10" s="1"/>
  <c r="AD20" i="10" s="1"/>
  <c r="AE20" i="10" s="1"/>
  <c r="AB26" i="10"/>
  <c r="AC26" i="10" s="1"/>
  <c r="AB27" i="10"/>
  <c r="AC27" i="10" s="1"/>
  <c r="AB19" i="10"/>
  <c r="AC19" i="10" s="1"/>
  <c r="AB43" i="10"/>
  <c r="AC43" i="10" s="1"/>
  <c r="AD43" i="10" s="1"/>
  <c r="AE43" i="10" s="1"/>
  <c r="AB15" i="10"/>
  <c r="AC15" i="10" s="1"/>
  <c r="AB41" i="10"/>
  <c r="AB17" i="10"/>
  <c r="AC17" i="10" s="1"/>
  <c r="AB42" i="10"/>
  <c r="AC42" i="10" s="1"/>
  <c r="AB24" i="10"/>
  <c r="AC24" i="10" s="1"/>
  <c r="AB29" i="10"/>
  <c r="AC29" i="10" s="1"/>
  <c r="AB28" i="10"/>
  <c r="AC28" i="10" s="1"/>
  <c r="AB16" i="10"/>
  <c r="AC16" i="10" s="1"/>
  <c r="AB22" i="10"/>
  <c r="AB25" i="10"/>
  <c r="AC25" i="10" s="1"/>
  <c r="AB23" i="10"/>
  <c r="AC23" i="10" s="1"/>
  <c r="AD23" i="10" s="1"/>
  <c r="AC40" i="10" l="1"/>
  <c r="AB37" i="10"/>
  <c r="AD18" i="10"/>
  <c r="AE18" i="10" s="1"/>
  <c r="AD26" i="10"/>
  <c r="AE26" i="10" s="1"/>
  <c r="AF26" i="10" s="1"/>
  <c r="AD19" i="10"/>
  <c r="AE19" i="10" s="1"/>
  <c r="AF19" i="10" s="1"/>
  <c r="AG19" i="10" s="1"/>
  <c r="AH19" i="10" s="1"/>
  <c r="AD27" i="10"/>
  <c r="AE27" i="10" s="1"/>
  <c r="AF27" i="10" s="1"/>
  <c r="AG27" i="10" s="1"/>
  <c r="AH27" i="10" s="1"/>
  <c r="AD15" i="10"/>
  <c r="AE15" i="10" s="1"/>
  <c r="AD29" i="10"/>
  <c r="AE29" i="10" s="1"/>
  <c r="AD25" i="10"/>
  <c r="AE25" i="10" s="1"/>
  <c r="AF25" i="10" s="1"/>
  <c r="AF43" i="10"/>
  <c r="AG43" i="10" s="1"/>
  <c r="AH43" i="10" s="1"/>
  <c r="AD16" i="10"/>
  <c r="AE23" i="10"/>
  <c r="AD42" i="10"/>
  <c r="AE42" i="10" s="1"/>
  <c r="AF42" i="10" s="1"/>
  <c r="AD17" i="10"/>
  <c r="AE17" i="10" s="1"/>
  <c r="AF17" i="10" s="1"/>
  <c r="AC41" i="10"/>
  <c r="AF20" i="10"/>
  <c r="AD28" i="10"/>
  <c r="AC22" i="10"/>
  <c r="AD24" i="10"/>
  <c r="AE24" i="10" s="1"/>
  <c r="AC37" i="10" l="1"/>
  <c r="AD40" i="10"/>
  <c r="AF18" i="10"/>
  <c r="AG18" i="10" s="1"/>
  <c r="AH18" i="10" s="1"/>
  <c r="AE28" i="10"/>
  <c r="AF28" i="10" s="1"/>
  <c r="AG28" i="10" s="1"/>
  <c r="AG26" i="10"/>
  <c r="AH26" i="10" s="1"/>
  <c r="AF15" i="10"/>
  <c r="AG15" i="10" s="1"/>
  <c r="AH15" i="10" s="1"/>
  <c r="AG17" i="10"/>
  <c r="AH17" i="10" s="1"/>
  <c r="AG42" i="10"/>
  <c r="AH42" i="10" s="1"/>
  <c r="AD22" i="10"/>
  <c r="AE22" i="10" s="1"/>
  <c r="AF22" i="10" s="1"/>
  <c r="AG25" i="10"/>
  <c r="AH25" i="10" s="1"/>
  <c r="AF23" i="10"/>
  <c r="AG20" i="10"/>
  <c r="AH20" i="10" s="1"/>
  <c r="AD41" i="10"/>
  <c r="AF29" i="10"/>
  <c r="AF24" i="10"/>
  <c r="AE16" i="10"/>
  <c r="AF16" i="10" s="1"/>
  <c r="AD37" i="10" l="1"/>
  <c r="AE40" i="10"/>
  <c r="AF40" i="10" s="1"/>
  <c r="AG22" i="10"/>
  <c r="AH22" i="10" s="1"/>
  <c r="AG29" i="10"/>
  <c r="AH29" i="10" s="1"/>
  <c r="AG16" i="10"/>
  <c r="AH16" i="10" s="1"/>
  <c r="AG23" i="10"/>
  <c r="AH23" i="10" s="1"/>
  <c r="AH28" i="10"/>
  <c r="AG24" i="10"/>
  <c r="AH24" i="10" s="1"/>
  <c r="AE41" i="10"/>
  <c r="AF41" i="10" s="1"/>
  <c r="U15" i="26"/>
  <c r="V15" i="26" s="1"/>
  <c r="AG15" i="26"/>
  <c r="U16" i="26"/>
  <c r="W16" i="26" s="1"/>
  <c r="X16" i="26" s="1"/>
  <c r="AG16" i="26"/>
  <c r="U17" i="26"/>
  <c r="V17" i="26" s="1"/>
  <c r="AG17" i="26"/>
  <c r="U18" i="26"/>
  <c r="W18" i="26" s="1"/>
  <c r="X18" i="26" s="1"/>
  <c r="AG18" i="26"/>
  <c r="U19" i="26"/>
  <c r="V19" i="26" s="1"/>
  <c r="AG19" i="26"/>
  <c r="U20" i="26"/>
  <c r="W20" i="26" s="1"/>
  <c r="X20" i="26" s="1"/>
  <c r="AG20" i="26"/>
  <c r="U21" i="26"/>
  <c r="AG21" i="26"/>
  <c r="U22" i="26"/>
  <c r="AG22" i="26"/>
  <c r="U23" i="26"/>
  <c r="V23" i="26" s="1"/>
  <c r="AG23" i="26"/>
  <c r="U24" i="26"/>
  <c r="W24" i="26" s="1"/>
  <c r="X24" i="26" s="1"/>
  <c r="AG24" i="26"/>
  <c r="U25" i="26"/>
  <c r="V25" i="26" s="1"/>
  <c r="AG25" i="26"/>
  <c r="U26" i="26"/>
  <c r="W26" i="26" s="1"/>
  <c r="X26" i="26" s="1"/>
  <c r="AG26" i="26"/>
  <c r="U27" i="26"/>
  <c r="V27" i="26" s="1"/>
  <c r="AG27" i="26"/>
  <c r="U28" i="26"/>
  <c r="W28" i="26" s="1"/>
  <c r="X28" i="26" s="1"/>
  <c r="AG28" i="26"/>
  <c r="U29" i="26"/>
  <c r="AG29" i="26"/>
  <c r="U30" i="26"/>
  <c r="AG30" i="26"/>
  <c r="U31" i="26"/>
  <c r="V31" i="26" s="1"/>
  <c r="AG31" i="26"/>
  <c r="U32" i="26"/>
  <c r="W32" i="26" s="1"/>
  <c r="X32" i="26" s="1"/>
  <c r="AG32" i="26"/>
  <c r="U33" i="26"/>
  <c r="V33" i="26" s="1"/>
  <c r="AG33" i="26"/>
  <c r="U34" i="26"/>
  <c r="W34" i="26" s="1"/>
  <c r="AG34" i="26"/>
  <c r="U35" i="26"/>
  <c r="V35" i="26" s="1"/>
  <c r="AG35" i="26"/>
  <c r="U36" i="26"/>
  <c r="W36" i="26" s="1"/>
  <c r="X36" i="26" s="1"/>
  <c r="AG36" i="26"/>
  <c r="U37" i="26"/>
  <c r="V37" i="26" s="1"/>
  <c r="AG37" i="26"/>
  <c r="U38" i="26"/>
  <c r="W38" i="26" s="1"/>
  <c r="X38" i="26" s="1"/>
  <c r="AG38" i="26"/>
  <c r="U39" i="26"/>
  <c r="V39" i="26" s="1"/>
  <c r="AG39" i="26"/>
  <c r="U40" i="26"/>
  <c r="AG40" i="26"/>
  <c r="U41" i="26"/>
  <c r="V41" i="26" s="1"/>
  <c r="AG41" i="26"/>
  <c r="U42" i="26"/>
  <c r="V42" i="26" s="1"/>
  <c r="AG42" i="26"/>
  <c r="U43" i="26"/>
  <c r="AG43" i="26"/>
  <c r="U44" i="26"/>
  <c r="W44" i="26" s="1"/>
  <c r="AG44" i="26"/>
  <c r="U45" i="26"/>
  <c r="V45" i="26" s="1"/>
  <c r="AG45" i="26"/>
  <c r="U46" i="26"/>
  <c r="W46" i="26" s="1"/>
  <c r="AG46" i="26"/>
  <c r="U47" i="26"/>
  <c r="AG47" i="26"/>
  <c r="U48" i="26"/>
  <c r="AG48" i="26"/>
  <c r="U49" i="26"/>
  <c r="V49" i="26" s="1"/>
  <c r="AG49" i="26"/>
  <c r="U50" i="26"/>
  <c r="AG50" i="26"/>
  <c r="U51" i="26"/>
  <c r="AG51" i="26"/>
  <c r="U52" i="26"/>
  <c r="AG52" i="26"/>
  <c r="U53" i="26"/>
  <c r="AG53" i="26"/>
  <c r="U54" i="26"/>
  <c r="W54" i="26" s="1"/>
  <c r="X54" i="26" s="1"/>
  <c r="AG54" i="26"/>
  <c r="U55" i="26"/>
  <c r="V55" i="26" s="1"/>
  <c r="AG55" i="26"/>
  <c r="U56" i="26"/>
  <c r="V56" i="26" s="1"/>
  <c r="AG56" i="26"/>
  <c r="U57" i="26"/>
  <c r="V57" i="26" s="1"/>
  <c r="AG57" i="26"/>
  <c r="U58" i="26"/>
  <c r="W58" i="26" s="1"/>
  <c r="AG58" i="26"/>
  <c r="U59" i="26"/>
  <c r="V59" i="26" s="1"/>
  <c r="AG59" i="26"/>
  <c r="U60" i="26"/>
  <c r="V60" i="26" s="1"/>
  <c r="AG60" i="26"/>
  <c r="U61" i="26"/>
  <c r="V61" i="26" s="1"/>
  <c r="AG61" i="26"/>
  <c r="U62" i="26"/>
  <c r="AG62" i="26"/>
  <c r="U63" i="26"/>
  <c r="AG63" i="26"/>
  <c r="U64" i="26"/>
  <c r="AG64" i="26"/>
  <c r="U65" i="26"/>
  <c r="V65" i="26" s="1"/>
  <c r="AG65" i="26"/>
  <c r="U66" i="26"/>
  <c r="W66" i="26" s="1"/>
  <c r="X66" i="26" s="1"/>
  <c r="AG66" i="26"/>
  <c r="U67" i="26"/>
  <c r="V67" i="26" s="1"/>
  <c r="AG67" i="26"/>
  <c r="U68" i="26"/>
  <c r="V68" i="26" s="1"/>
  <c r="AG68" i="26"/>
  <c r="U69" i="26"/>
  <c r="V69" i="26" s="1"/>
  <c r="AG69" i="26"/>
  <c r="U70" i="26"/>
  <c r="W70" i="26" s="1"/>
  <c r="AG70" i="26"/>
  <c r="U71" i="26"/>
  <c r="AG71" i="26"/>
  <c r="U72" i="26"/>
  <c r="W72" i="26" s="1"/>
  <c r="AG72" i="26"/>
  <c r="U73" i="26"/>
  <c r="AG73" i="26"/>
  <c r="U74" i="26"/>
  <c r="AG74" i="26"/>
  <c r="U75" i="26"/>
  <c r="AG75" i="26"/>
  <c r="U76" i="26"/>
  <c r="AG76" i="26"/>
  <c r="U77" i="26"/>
  <c r="V77" i="26" s="1"/>
  <c r="AG77" i="26"/>
  <c r="U78" i="26"/>
  <c r="W78" i="26" s="1"/>
  <c r="AG78" i="26"/>
  <c r="U79" i="26"/>
  <c r="AG79" i="26"/>
  <c r="U80" i="26"/>
  <c r="W80" i="26" s="1"/>
  <c r="AG80" i="26"/>
  <c r="U81" i="26"/>
  <c r="V81" i="26" s="1"/>
  <c r="AG81" i="26"/>
  <c r="U82" i="26"/>
  <c r="W82" i="26" s="1"/>
  <c r="AG82" i="26"/>
  <c r="U83" i="26"/>
  <c r="AG83" i="26"/>
  <c r="U84" i="26"/>
  <c r="V84" i="26" s="1"/>
  <c r="AG84" i="26"/>
  <c r="U85" i="26"/>
  <c r="AG85" i="26"/>
  <c r="U86" i="26"/>
  <c r="W86" i="26" s="1"/>
  <c r="AG86" i="26"/>
  <c r="U87" i="26"/>
  <c r="AG87" i="26"/>
  <c r="U88" i="26"/>
  <c r="W88" i="26" s="1"/>
  <c r="AG88" i="26"/>
  <c r="U89" i="26"/>
  <c r="W89" i="26" s="1"/>
  <c r="AG89" i="26"/>
  <c r="U90" i="26"/>
  <c r="W90" i="26" s="1"/>
  <c r="AG90" i="26"/>
  <c r="U91" i="26"/>
  <c r="V91" i="26" s="1"/>
  <c r="AG91" i="26"/>
  <c r="U92" i="26"/>
  <c r="W92" i="26" s="1"/>
  <c r="AG92" i="26"/>
  <c r="U93" i="26"/>
  <c r="AG93" i="26"/>
  <c r="U94" i="26"/>
  <c r="AG94" i="26"/>
  <c r="U95" i="26"/>
  <c r="V95" i="26" s="1"/>
  <c r="AG95" i="26"/>
  <c r="U96" i="26"/>
  <c r="AG96" i="26"/>
  <c r="U97" i="26"/>
  <c r="V97" i="26" s="1"/>
  <c r="AG97" i="26"/>
  <c r="U98" i="26"/>
  <c r="W98" i="26" s="1"/>
  <c r="Y98" i="26" s="1"/>
  <c r="AG98" i="26"/>
  <c r="U99" i="26"/>
  <c r="V99" i="26" s="1"/>
  <c r="AG99" i="26"/>
  <c r="U100" i="26"/>
  <c r="W100" i="26" s="1"/>
  <c r="X100" i="26" s="1"/>
  <c r="AG100" i="26"/>
  <c r="U101" i="26"/>
  <c r="V101" i="26" s="1"/>
  <c r="AG101" i="26"/>
  <c r="U102" i="26"/>
  <c r="AG102" i="26"/>
  <c r="U103" i="26"/>
  <c r="AG103" i="26"/>
  <c r="U104" i="26"/>
  <c r="W104" i="26" s="1"/>
  <c r="AG104" i="26"/>
  <c r="U105" i="26"/>
  <c r="AG105" i="26"/>
  <c r="U106" i="26"/>
  <c r="AG106" i="26"/>
  <c r="U107" i="26"/>
  <c r="V107" i="26" s="1"/>
  <c r="AG107" i="26"/>
  <c r="U108" i="26"/>
  <c r="W108" i="26" s="1"/>
  <c r="AG108" i="26"/>
  <c r="U109" i="26"/>
  <c r="AG109" i="26"/>
  <c r="U110" i="26"/>
  <c r="AG110" i="26"/>
  <c r="U111" i="26"/>
  <c r="AG111" i="26"/>
  <c r="U112" i="26"/>
  <c r="W112" i="26" s="1"/>
  <c r="AG112" i="26"/>
  <c r="U113" i="26"/>
  <c r="W113" i="26" s="1"/>
  <c r="AG113" i="26"/>
  <c r="U114" i="26"/>
  <c r="W114" i="26" s="1"/>
  <c r="AG114" i="26"/>
  <c r="U115" i="26"/>
  <c r="V115" i="26" s="1"/>
  <c r="AG115" i="26"/>
  <c r="U116" i="26"/>
  <c r="W116" i="26" s="1"/>
  <c r="AG116" i="26"/>
  <c r="U117" i="26"/>
  <c r="AG117" i="26"/>
  <c r="U118" i="26"/>
  <c r="W118" i="26" s="1"/>
  <c r="AG118" i="26"/>
  <c r="U119" i="26"/>
  <c r="AG119" i="26"/>
  <c r="U120" i="26"/>
  <c r="W120" i="26" s="1"/>
  <c r="AG120" i="26"/>
  <c r="U121" i="26"/>
  <c r="V121" i="26" s="1"/>
  <c r="AG121" i="26"/>
  <c r="U122" i="26"/>
  <c r="W122" i="26" s="1"/>
  <c r="AG122" i="26"/>
  <c r="U123" i="26"/>
  <c r="V123" i="26" s="1"/>
  <c r="AG123" i="26"/>
  <c r="U124" i="26"/>
  <c r="AG124" i="26"/>
  <c r="U125" i="26"/>
  <c r="V125" i="26" s="1"/>
  <c r="AG125" i="26"/>
  <c r="U126" i="26"/>
  <c r="V126" i="26" s="1"/>
  <c r="AG126" i="26"/>
  <c r="U127" i="26"/>
  <c r="AG127" i="26"/>
  <c r="U128" i="26"/>
  <c r="W128" i="26" s="1"/>
  <c r="AG128" i="26"/>
  <c r="U129" i="26"/>
  <c r="V129" i="26" s="1"/>
  <c r="AG129" i="26"/>
  <c r="U130" i="26"/>
  <c r="W130" i="26" s="1"/>
  <c r="AG130" i="26"/>
  <c r="U131" i="26"/>
  <c r="AG131" i="26"/>
  <c r="U132" i="26"/>
  <c r="AG132" i="26"/>
  <c r="U133" i="26"/>
  <c r="AG133" i="26"/>
  <c r="U134" i="26"/>
  <c r="W134" i="26" s="1"/>
  <c r="AG134" i="26"/>
  <c r="U135" i="26"/>
  <c r="AG135" i="26"/>
  <c r="U136" i="26"/>
  <c r="V136" i="26" s="1"/>
  <c r="AG136" i="26"/>
  <c r="U137" i="26"/>
  <c r="V137" i="26" s="1"/>
  <c r="AG137" i="26"/>
  <c r="U138" i="26"/>
  <c r="W138" i="26" s="1"/>
  <c r="X138" i="26" s="1"/>
  <c r="AG138" i="26"/>
  <c r="U139" i="26"/>
  <c r="V139" i="26" s="1"/>
  <c r="AG139" i="26"/>
  <c r="U140" i="26"/>
  <c r="V140" i="26" s="1"/>
  <c r="AG140" i="26"/>
  <c r="U141" i="26"/>
  <c r="V141" i="26" s="1"/>
  <c r="AG141" i="26"/>
  <c r="U142" i="26"/>
  <c r="AG142" i="26"/>
  <c r="U143" i="26"/>
  <c r="AG143" i="26"/>
  <c r="U144" i="26"/>
  <c r="AG144" i="26"/>
  <c r="U145" i="26"/>
  <c r="V145" i="26" s="1"/>
  <c r="AG145" i="26"/>
  <c r="U146" i="26"/>
  <c r="W146" i="26" s="1"/>
  <c r="AG146" i="26"/>
  <c r="U147" i="26"/>
  <c r="V147" i="26" s="1"/>
  <c r="AG147" i="26"/>
  <c r="U148" i="26"/>
  <c r="V148" i="26" s="1"/>
  <c r="AG148" i="26"/>
  <c r="U149" i="26"/>
  <c r="AG149" i="26"/>
  <c r="U150" i="26"/>
  <c r="AG150" i="26"/>
  <c r="U151" i="26"/>
  <c r="AG151" i="26"/>
  <c r="U152" i="26"/>
  <c r="W152" i="26" s="1"/>
  <c r="AG152" i="26"/>
  <c r="U153" i="26"/>
  <c r="AG153" i="26"/>
  <c r="U154" i="26"/>
  <c r="AG154" i="26"/>
  <c r="U155" i="26"/>
  <c r="AG155" i="26"/>
  <c r="U156" i="26"/>
  <c r="AG156" i="26"/>
  <c r="U157" i="26"/>
  <c r="V157" i="26" s="1"/>
  <c r="AG157" i="26"/>
  <c r="U158" i="26"/>
  <c r="AG158" i="26"/>
  <c r="U159" i="26"/>
  <c r="AG159" i="26"/>
  <c r="U160" i="26"/>
  <c r="W160" i="26" s="1"/>
  <c r="AG160" i="26"/>
  <c r="U161" i="26"/>
  <c r="AG161" i="26"/>
  <c r="U162" i="26"/>
  <c r="W162" i="26" s="1"/>
  <c r="AG162" i="26"/>
  <c r="U163" i="26"/>
  <c r="V163" i="26" s="1"/>
  <c r="AG163" i="26"/>
  <c r="U164" i="26"/>
  <c r="AG164" i="26"/>
  <c r="U165" i="26"/>
  <c r="AG165" i="26"/>
  <c r="U166" i="26"/>
  <c r="W166" i="26" s="1"/>
  <c r="X166" i="26" s="1"/>
  <c r="AG166" i="26"/>
  <c r="U167" i="26"/>
  <c r="AG167" i="26"/>
  <c r="U168" i="26"/>
  <c r="AG168" i="26"/>
  <c r="U169" i="26"/>
  <c r="V169" i="26" s="1"/>
  <c r="AG169" i="26"/>
  <c r="U170" i="26"/>
  <c r="W170" i="26" s="1"/>
  <c r="AG170" i="26"/>
  <c r="U171" i="26"/>
  <c r="V171" i="26" s="1"/>
  <c r="AG171" i="26"/>
  <c r="U172" i="26"/>
  <c r="V172" i="26" s="1"/>
  <c r="AG172" i="26"/>
  <c r="U173" i="26"/>
  <c r="V173" i="26" s="1"/>
  <c r="AG173" i="26"/>
  <c r="U174" i="26"/>
  <c r="V174" i="26" s="1"/>
  <c r="AG174" i="26"/>
  <c r="U175" i="26"/>
  <c r="AG175" i="26"/>
  <c r="U176" i="26"/>
  <c r="AG176" i="26"/>
  <c r="U177" i="26"/>
  <c r="V177" i="26" s="1"/>
  <c r="AG177" i="26"/>
  <c r="U178" i="26"/>
  <c r="W178" i="26" s="1"/>
  <c r="X178" i="26" s="1"/>
  <c r="AG178" i="26"/>
  <c r="U179" i="26"/>
  <c r="V179" i="26" s="1"/>
  <c r="AG179" i="26"/>
  <c r="U180" i="26"/>
  <c r="V180" i="26" s="1"/>
  <c r="AG180" i="26"/>
  <c r="U181" i="26"/>
  <c r="AG181" i="26"/>
  <c r="U182" i="26"/>
  <c r="AG182" i="26"/>
  <c r="U183" i="26"/>
  <c r="W183" i="26" s="1"/>
  <c r="Y183" i="26" s="1"/>
  <c r="AG183" i="26"/>
  <c r="U184" i="26"/>
  <c r="W184" i="26" s="1"/>
  <c r="AG184" i="26"/>
  <c r="U185" i="26"/>
  <c r="AG185" i="26"/>
  <c r="U186" i="26"/>
  <c r="AG186" i="26"/>
  <c r="U187" i="26"/>
  <c r="AG187" i="26"/>
  <c r="U188" i="26"/>
  <c r="W188" i="26" s="1"/>
  <c r="AG188" i="26"/>
  <c r="U189" i="26"/>
  <c r="AG189" i="26"/>
  <c r="U190" i="26"/>
  <c r="AG190" i="26"/>
  <c r="U191" i="26"/>
  <c r="AG191" i="26"/>
  <c r="U192" i="26"/>
  <c r="W192" i="26" s="1"/>
  <c r="AG192" i="26"/>
  <c r="U193" i="26"/>
  <c r="V193" i="26" s="1"/>
  <c r="AG193" i="26"/>
  <c r="U194" i="26"/>
  <c r="W194" i="26" s="1"/>
  <c r="Y194" i="26" s="1"/>
  <c r="AG194" i="26"/>
  <c r="U195" i="26"/>
  <c r="W195" i="26" s="1"/>
  <c r="AG195" i="26"/>
  <c r="U196" i="26"/>
  <c r="W196" i="26" s="1"/>
  <c r="AG196" i="26"/>
  <c r="U197" i="26"/>
  <c r="AG197" i="26"/>
  <c r="U198" i="26"/>
  <c r="AG198" i="26"/>
  <c r="U199" i="26"/>
  <c r="AG199" i="26"/>
  <c r="U200" i="26"/>
  <c r="AG200" i="26"/>
  <c r="U201" i="26"/>
  <c r="W201" i="26" s="1"/>
  <c r="AG201" i="26"/>
  <c r="U202" i="26"/>
  <c r="W202" i="26" s="1"/>
  <c r="X202" i="26" s="1"/>
  <c r="AG202" i="26"/>
  <c r="U203" i="26"/>
  <c r="V203" i="26" s="1"/>
  <c r="AG203" i="26"/>
  <c r="U204" i="26"/>
  <c r="W204" i="26" s="1"/>
  <c r="AG204" i="26"/>
  <c r="U205" i="26"/>
  <c r="AG205" i="26"/>
  <c r="U206" i="26"/>
  <c r="AG206" i="26"/>
  <c r="U207" i="26"/>
  <c r="W207" i="26" s="1"/>
  <c r="Y207" i="26" s="1"/>
  <c r="AG207" i="26"/>
  <c r="U208" i="26"/>
  <c r="W208" i="26" s="1"/>
  <c r="AG208" i="26"/>
  <c r="U209" i="26"/>
  <c r="V209" i="26" s="1"/>
  <c r="AG209" i="26"/>
  <c r="U210" i="26"/>
  <c r="AG210" i="26"/>
  <c r="U211" i="26"/>
  <c r="V211" i="26" s="1"/>
  <c r="AG211" i="26"/>
  <c r="U212" i="26"/>
  <c r="W212" i="26" s="1"/>
  <c r="Y212" i="26" s="1"/>
  <c r="AG212" i="26"/>
  <c r="U213" i="26"/>
  <c r="W213" i="26" s="1"/>
  <c r="AG213" i="26"/>
  <c r="U214" i="26"/>
  <c r="AG214" i="26"/>
  <c r="U215" i="26"/>
  <c r="V215" i="26" s="1"/>
  <c r="AG215" i="26"/>
  <c r="U216" i="26"/>
  <c r="W216" i="26" s="1"/>
  <c r="AG216" i="26"/>
  <c r="U217" i="26"/>
  <c r="AG217" i="26"/>
  <c r="U218" i="26"/>
  <c r="AG218" i="26"/>
  <c r="U219" i="26"/>
  <c r="V219" i="26" s="1"/>
  <c r="AG219" i="26"/>
  <c r="U220" i="26"/>
  <c r="W220" i="26" s="1"/>
  <c r="AG220" i="26"/>
  <c r="U221" i="26"/>
  <c r="W221" i="26" s="1"/>
  <c r="AG221" i="26"/>
  <c r="U222" i="26"/>
  <c r="AG222" i="26"/>
  <c r="U223" i="26"/>
  <c r="W223" i="26" s="1"/>
  <c r="Y223" i="26" s="1"/>
  <c r="AG223" i="26"/>
  <c r="U224" i="26"/>
  <c r="W224" i="26" s="1"/>
  <c r="AG224" i="26"/>
  <c r="U225" i="26"/>
  <c r="W225" i="26" s="1"/>
  <c r="AG225" i="26"/>
  <c r="U226" i="26"/>
  <c r="W226" i="26" s="1"/>
  <c r="X226" i="26" s="1"/>
  <c r="AG226" i="26"/>
  <c r="U227" i="26"/>
  <c r="V227" i="26" s="1"/>
  <c r="AG227" i="26"/>
  <c r="U228" i="26"/>
  <c r="W228" i="26" s="1"/>
  <c r="AG228" i="26"/>
  <c r="U229" i="26"/>
  <c r="V229" i="26" s="1"/>
  <c r="AG229" i="26"/>
  <c r="U230" i="26"/>
  <c r="AG230" i="26"/>
  <c r="U231" i="26"/>
  <c r="W231" i="26" s="1"/>
  <c r="Y231" i="26" s="1"/>
  <c r="AG231" i="26"/>
  <c r="U232" i="26"/>
  <c r="W232" i="26" s="1"/>
  <c r="AG232" i="26"/>
  <c r="U233" i="26"/>
  <c r="AG233" i="26"/>
  <c r="U234" i="26"/>
  <c r="W234" i="26" s="1"/>
  <c r="Y234" i="26" s="1"/>
  <c r="AG234" i="26"/>
  <c r="U235" i="26"/>
  <c r="W235" i="26" s="1"/>
  <c r="AG235" i="26"/>
  <c r="U236" i="26"/>
  <c r="W236" i="26" s="1"/>
  <c r="X236" i="26" s="1"/>
  <c r="AG236" i="26"/>
  <c r="U237" i="26"/>
  <c r="V237" i="26" s="1"/>
  <c r="AG237" i="26"/>
  <c r="U238" i="26"/>
  <c r="AG238" i="26"/>
  <c r="U239" i="26"/>
  <c r="V239" i="26" s="1"/>
  <c r="AG239" i="26"/>
  <c r="U240" i="26"/>
  <c r="W240" i="26" s="1"/>
  <c r="AG240" i="26"/>
  <c r="U241" i="26"/>
  <c r="AG241" i="26"/>
  <c r="U242" i="26"/>
  <c r="W242" i="26" s="1"/>
  <c r="X242" i="26" s="1"/>
  <c r="AG242" i="26"/>
  <c r="U243" i="26"/>
  <c r="V243" i="26" s="1"/>
  <c r="AG243" i="26"/>
  <c r="U244" i="26"/>
  <c r="W244" i="26" s="1"/>
  <c r="AG244" i="26"/>
  <c r="U245" i="26"/>
  <c r="AG245" i="26"/>
  <c r="U246" i="26"/>
  <c r="AG246" i="26"/>
  <c r="U247" i="26"/>
  <c r="V247" i="26" s="1"/>
  <c r="AG247" i="26"/>
  <c r="U248" i="26"/>
  <c r="W248" i="26" s="1"/>
  <c r="AG248" i="26"/>
  <c r="U249" i="26"/>
  <c r="V249" i="26" s="1"/>
  <c r="AG249" i="26"/>
  <c r="U250" i="26"/>
  <c r="W250" i="26" s="1"/>
  <c r="Y250" i="26" s="1"/>
  <c r="AG250" i="26"/>
  <c r="U251" i="26"/>
  <c r="V251" i="26" s="1"/>
  <c r="AG251" i="26"/>
  <c r="U252" i="26"/>
  <c r="W252" i="26" s="1"/>
  <c r="AG252" i="26"/>
  <c r="U253" i="26"/>
  <c r="V253" i="26" s="1"/>
  <c r="AG253" i="26"/>
  <c r="U254" i="26"/>
  <c r="AG254" i="26"/>
  <c r="U255" i="26"/>
  <c r="V255" i="26" s="1"/>
  <c r="AG255" i="26"/>
  <c r="U256" i="26"/>
  <c r="W256" i="26" s="1"/>
  <c r="AG256" i="26"/>
  <c r="U257" i="26"/>
  <c r="W257" i="26" s="1"/>
  <c r="AG257" i="26"/>
  <c r="U258" i="26"/>
  <c r="W258" i="26" s="1"/>
  <c r="Y258" i="26" s="1"/>
  <c r="AG258" i="26"/>
  <c r="U259" i="26"/>
  <c r="W259" i="26" s="1"/>
  <c r="AG259" i="26"/>
  <c r="U260" i="26"/>
  <c r="W260" i="26" s="1"/>
  <c r="X260" i="26" s="1"/>
  <c r="AG260" i="26"/>
  <c r="U261" i="26"/>
  <c r="V261" i="26" s="1"/>
  <c r="AG261" i="26"/>
  <c r="U262" i="26"/>
  <c r="AG262" i="26"/>
  <c r="U263" i="26"/>
  <c r="V263" i="26" s="1"/>
  <c r="AG263" i="26"/>
  <c r="U264" i="26"/>
  <c r="W264" i="26" s="1"/>
  <c r="AG264" i="26"/>
  <c r="U265" i="26"/>
  <c r="W265" i="26" s="1"/>
  <c r="AG265" i="26"/>
  <c r="U266" i="26"/>
  <c r="W266" i="26" s="1"/>
  <c r="Y266" i="26" s="1"/>
  <c r="AG266" i="26"/>
  <c r="U267" i="26"/>
  <c r="AG267" i="26"/>
  <c r="U268" i="26"/>
  <c r="W268" i="26" s="1"/>
  <c r="Y268" i="26" s="1"/>
  <c r="AG268" i="26"/>
  <c r="U269" i="26"/>
  <c r="W269" i="26" s="1"/>
  <c r="Y269" i="26" s="1"/>
  <c r="AG269" i="26"/>
  <c r="U270" i="26"/>
  <c r="AG270" i="26"/>
  <c r="U271" i="26"/>
  <c r="AG271" i="26"/>
  <c r="U272" i="26"/>
  <c r="W272" i="26" s="1"/>
  <c r="AG272" i="26"/>
  <c r="U273" i="26"/>
  <c r="W273" i="26" s="1"/>
  <c r="AG273" i="26"/>
  <c r="U274" i="26"/>
  <c r="W274" i="26" s="1"/>
  <c r="Y274" i="26" s="1"/>
  <c r="AG274" i="26"/>
  <c r="U275" i="26"/>
  <c r="W275" i="26" s="1"/>
  <c r="AG275" i="26"/>
  <c r="U276" i="26"/>
  <c r="W276" i="26" s="1"/>
  <c r="Y276" i="26" s="1"/>
  <c r="AG276" i="26"/>
  <c r="U277" i="26"/>
  <c r="V277" i="26" s="1"/>
  <c r="AG277" i="26"/>
  <c r="U278" i="26"/>
  <c r="AG278" i="26"/>
  <c r="U279" i="26"/>
  <c r="W279" i="26" s="1"/>
  <c r="Y279" i="26" s="1"/>
  <c r="AG279" i="26"/>
  <c r="U280" i="26"/>
  <c r="W280" i="26" s="1"/>
  <c r="AG280" i="26"/>
  <c r="U281" i="26"/>
  <c r="AG281" i="26"/>
  <c r="U282" i="26"/>
  <c r="W282" i="26" s="1"/>
  <c r="Y282" i="26" s="1"/>
  <c r="AG282" i="26"/>
  <c r="U283" i="26"/>
  <c r="W283" i="26" s="1"/>
  <c r="AG283" i="26"/>
  <c r="U284" i="26"/>
  <c r="W284" i="26" s="1"/>
  <c r="Y284" i="26" s="1"/>
  <c r="AG284" i="26"/>
  <c r="U285" i="26"/>
  <c r="V285" i="26" s="1"/>
  <c r="AG285" i="26"/>
  <c r="U286" i="26"/>
  <c r="AG286" i="26"/>
  <c r="U287" i="26"/>
  <c r="V287" i="26" s="1"/>
  <c r="AG287" i="26"/>
  <c r="U288" i="26"/>
  <c r="W288" i="26" s="1"/>
  <c r="X288" i="26" s="1"/>
  <c r="AG288" i="26"/>
  <c r="U289" i="26"/>
  <c r="W289" i="26" s="1"/>
  <c r="AG289" i="26"/>
  <c r="U290" i="26"/>
  <c r="W290" i="26" s="1"/>
  <c r="X290" i="26" s="1"/>
  <c r="AG290" i="26"/>
  <c r="U291" i="26"/>
  <c r="AG291" i="26"/>
  <c r="U292" i="26"/>
  <c r="AG292" i="26"/>
  <c r="U293" i="26"/>
  <c r="AG293" i="26"/>
  <c r="U294" i="26"/>
  <c r="W294" i="26" s="1"/>
  <c r="Y294" i="26" s="1"/>
  <c r="AG294" i="26"/>
  <c r="U295" i="26"/>
  <c r="W295" i="26" s="1"/>
  <c r="AG295" i="26"/>
  <c r="U296" i="26"/>
  <c r="W296" i="26" s="1"/>
  <c r="X296" i="26" s="1"/>
  <c r="AG296" i="26"/>
  <c r="U297" i="26"/>
  <c r="W297" i="26" s="1"/>
  <c r="AG297" i="26"/>
  <c r="U298" i="26"/>
  <c r="W298" i="26" s="1"/>
  <c r="X298" i="26" s="1"/>
  <c r="AG298" i="26"/>
  <c r="U299" i="26"/>
  <c r="V299" i="26" s="1"/>
  <c r="AG299" i="26"/>
  <c r="U300" i="26"/>
  <c r="AG300" i="26"/>
  <c r="U301" i="26"/>
  <c r="V301" i="26" s="1"/>
  <c r="AG301" i="26"/>
  <c r="U302" i="26"/>
  <c r="W302" i="26" s="1"/>
  <c r="Y302" i="26" s="1"/>
  <c r="AG302" i="26"/>
  <c r="U303" i="26"/>
  <c r="W303" i="26" s="1"/>
  <c r="AG303" i="26"/>
  <c r="U304" i="26"/>
  <c r="W304" i="26" s="1"/>
  <c r="X304" i="26" s="1"/>
  <c r="AG304" i="26"/>
  <c r="U305" i="26"/>
  <c r="AG305" i="26"/>
  <c r="U306" i="26"/>
  <c r="W306" i="26" s="1"/>
  <c r="X306" i="26" s="1"/>
  <c r="AG306" i="26"/>
  <c r="U307" i="26"/>
  <c r="V307" i="26" s="1"/>
  <c r="AG307" i="26"/>
  <c r="U308" i="26"/>
  <c r="AG308" i="26"/>
  <c r="U309" i="26"/>
  <c r="V309" i="26" s="1"/>
  <c r="AG309" i="26"/>
  <c r="U310" i="26"/>
  <c r="W310" i="26" s="1"/>
  <c r="Y310" i="26" s="1"/>
  <c r="AG310" i="26"/>
  <c r="U311" i="26"/>
  <c r="W311" i="26" s="1"/>
  <c r="AG311" i="26"/>
  <c r="U312" i="26"/>
  <c r="W312" i="26" s="1"/>
  <c r="X312" i="26" s="1"/>
  <c r="AG312" i="26"/>
  <c r="U313" i="26"/>
  <c r="AG313" i="26"/>
  <c r="U314" i="26"/>
  <c r="W314" i="26" s="1"/>
  <c r="X314" i="26" s="1"/>
  <c r="AG314" i="26"/>
  <c r="U315" i="26"/>
  <c r="V315" i="26" s="1"/>
  <c r="AG315" i="26"/>
  <c r="U316" i="26"/>
  <c r="AG316" i="26"/>
  <c r="U317" i="26"/>
  <c r="V317" i="26" s="1"/>
  <c r="AG317" i="26"/>
  <c r="U318" i="26"/>
  <c r="W318" i="26" s="1"/>
  <c r="Y318" i="26" s="1"/>
  <c r="AG318" i="26"/>
  <c r="U319" i="26"/>
  <c r="W319" i="26" s="1"/>
  <c r="AG319" i="26"/>
  <c r="U320" i="26"/>
  <c r="W320" i="26" s="1"/>
  <c r="X320" i="26" s="1"/>
  <c r="AG320" i="26"/>
  <c r="U321" i="26"/>
  <c r="AG321" i="26"/>
  <c r="U322" i="26"/>
  <c r="W322" i="26" s="1"/>
  <c r="X322" i="26" s="1"/>
  <c r="AG322" i="26"/>
  <c r="U323" i="26"/>
  <c r="V323" i="26" s="1"/>
  <c r="AG323" i="26"/>
  <c r="U324" i="26"/>
  <c r="AG324" i="26"/>
  <c r="U325" i="26"/>
  <c r="V325" i="26" s="1"/>
  <c r="AG325" i="26"/>
  <c r="U326" i="26"/>
  <c r="W326" i="26" s="1"/>
  <c r="Y326" i="26" s="1"/>
  <c r="AG326" i="26"/>
  <c r="U327" i="26"/>
  <c r="W327" i="26" s="1"/>
  <c r="AG327" i="26"/>
  <c r="U328" i="26"/>
  <c r="W328" i="26" s="1"/>
  <c r="X328" i="26" s="1"/>
  <c r="AG328" i="26"/>
  <c r="U329" i="26"/>
  <c r="AG329" i="26"/>
  <c r="U330" i="26"/>
  <c r="W330" i="26" s="1"/>
  <c r="X330" i="26" s="1"/>
  <c r="AG330" i="26"/>
  <c r="U331" i="26"/>
  <c r="W331" i="26" s="1"/>
  <c r="Y331" i="26" s="1"/>
  <c r="AG331" i="26"/>
  <c r="U332" i="26"/>
  <c r="W332" i="26" s="1"/>
  <c r="Y332" i="26" s="1"/>
  <c r="AG332" i="26"/>
  <c r="U333" i="26"/>
  <c r="W333" i="26" s="1"/>
  <c r="AG333" i="26"/>
  <c r="U334" i="26"/>
  <c r="W334" i="26" s="1"/>
  <c r="AG334" i="26"/>
  <c r="U335" i="26"/>
  <c r="W335" i="26" s="1"/>
  <c r="AG335" i="26"/>
  <c r="U336" i="26"/>
  <c r="W336" i="26" s="1"/>
  <c r="X336" i="26" s="1"/>
  <c r="AG336" i="26"/>
  <c r="U337" i="26"/>
  <c r="AG337" i="26"/>
  <c r="S329" i="26"/>
  <c r="S307" i="26"/>
  <c r="S291" i="26"/>
  <c r="S277" i="26"/>
  <c r="S273" i="26"/>
  <c r="S266" i="26"/>
  <c r="S252" i="26"/>
  <c r="S249" i="26"/>
  <c r="S230" i="26"/>
  <c r="S228" i="26"/>
  <c r="S225" i="26"/>
  <c r="S223" i="26"/>
  <c r="S221" i="26"/>
  <c r="S211" i="26"/>
  <c r="S209" i="26"/>
  <c r="S159" i="26"/>
  <c r="S148" i="26"/>
  <c r="S132" i="26"/>
  <c r="S129" i="26"/>
  <c r="S122" i="26"/>
  <c r="S90" i="26"/>
  <c r="S83" i="26"/>
  <c r="S81" i="26"/>
  <c r="S69" i="26"/>
  <c r="S67" i="26"/>
  <c r="S65" i="26"/>
  <c r="S60" i="26"/>
  <c r="S58" i="26"/>
  <c r="S56" i="26"/>
  <c r="S47" i="26"/>
  <c r="S41" i="26"/>
  <c r="S34" i="26"/>
  <c r="S22" i="26"/>
  <c r="S350" i="26" s="1"/>
  <c r="AG348" i="26"/>
  <c r="U348" i="26"/>
  <c r="AG347" i="26"/>
  <c r="U347" i="26"/>
  <c r="W347" i="26" s="1"/>
  <c r="AG346" i="26"/>
  <c r="U346" i="26"/>
  <c r="V346" i="26" s="1"/>
  <c r="AG345" i="26"/>
  <c r="U345" i="26"/>
  <c r="W345" i="26" s="1"/>
  <c r="AG344" i="26"/>
  <c r="U344" i="26"/>
  <c r="AG343" i="26"/>
  <c r="U343" i="26"/>
  <c r="W343" i="26" s="1"/>
  <c r="AG342" i="26"/>
  <c r="U342" i="26"/>
  <c r="V342" i="26" s="1"/>
  <c r="AG341" i="26"/>
  <c r="U341" i="26"/>
  <c r="AG340" i="26"/>
  <c r="U340" i="26"/>
  <c r="S339" i="26"/>
  <c r="AG14" i="26"/>
  <c r="U14" i="26"/>
  <c r="V14" i="26" s="1"/>
  <c r="AD3" i="26"/>
  <c r="S399" i="24"/>
  <c r="A399" i="24" s="1"/>
  <c r="V399" i="24"/>
  <c r="K400" i="24"/>
  <c r="L400" i="24" s="1"/>
  <c r="S400" i="24"/>
  <c r="A400" i="24" s="1"/>
  <c r="V400" i="24"/>
  <c r="K401" i="24"/>
  <c r="L401" i="24" s="1"/>
  <c r="S401" i="24"/>
  <c r="A401" i="24" s="1"/>
  <c r="V401" i="24"/>
  <c r="K402" i="24"/>
  <c r="L402" i="24" s="1"/>
  <c r="S402" i="24"/>
  <c r="A402" i="24" s="1"/>
  <c r="V402" i="24"/>
  <c r="K403" i="24"/>
  <c r="L403" i="24" s="1"/>
  <c r="S403" i="24"/>
  <c r="A403" i="24" s="1"/>
  <c r="V403" i="24"/>
  <c r="K404" i="24"/>
  <c r="L404" i="24" s="1"/>
  <c r="S404" i="24"/>
  <c r="A404" i="24" s="1"/>
  <c r="V404" i="24"/>
  <c r="K405" i="24"/>
  <c r="L405" i="24" s="1"/>
  <c r="S405" i="24"/>
  <c r="V405" i="24"/>
  <c r="V398" i="24"/>
  <c r="S398" i="24"/>
  <c r="A398" i="24" s="1"/>
  <c r="K398" i="24"/>
  <c r="L398" i="24" s="1"/>
  <c r="K245" i="24"/>
  <c r="L245" i="24" s="1"/>
  <c r="S245" i="24"/>
  <c r="A245" i="24" s="1"/>
  <c r="V245" i="24"/>
  <c r="K246" i="24"/>
  <c r="L246" i="24" s="1"/>
  <c r="S246" i="24"/>
  <c r="A246" i="24" s="1"/>
  <c r="V246" i="24"/>
  <c r="K247" i="24"/>
  <c r="L247" i="24" s="1"/>
  <c r="S247" i="24"/>
  <c r="A247" i="24" s="1"/>
  <c r="V247" i="24"/>
  <c r="K248" i="24"/>
  <c r="L248" i="24" s="1"/>
  <c r="S248" i="24"/>
  <c r="A248" i="24" s="1"/>
  <c r="V248" i="24"/>
  <c r="K249" i="24"/>
  <c r="L249" i="24" s="1"/>
  <c r="S249" i="24"/>
  <c r="A249" i="24" s="1"/>
  <c r="V249" i="24"/>
  <c r="K250" i="24"/>
  <c r="L250" i="24" s="1"/>
  <c r="S250" i="24"/>
  <c r="V250" i="24"/>
  <c r="V244" i="24"/>
  <c r="S244" i="24"/>
  <c r="A244" i="24" s="1"/>
  <c r="K244" i="24"/>
  <c r="L244" i="24" s="1"/>
  <c r="S227" i="24"/>
  <c r="A227" i="24" s="1"/>
  <c r="V227" i="24"/>
  <c r="K228" i="24"/>
  <c r="L228" i="24" s="1"/>
  <c r="S228" i="24"/>
  <c r="A228" i="24" s="1"/>
  <c r="V228" i="24"/>
  <c r="K229" i="24"/>
  <c r="L229" i="24" s="1"/>
  <c r="S229" i="24"/>
  <c r="A229" i="24" s="1"/>
  <c r="V229" i="24"/>
  <c r="K230" i="24"/>
  <c r="L230" i="24" s="1"/>
  <c r="S230" i="24"/>
  <c r="A230" i="24" s="1"/>
  <c r="V230" i="24"/>
  <c r="K231" i="24"/>
  <c r="L231" i="24" s="1"/>
  <c r="S231" i="24"/>
  <c r="A231" i="24" s="1"/>
  <c r="V231" i="24"/>
  <c r="K232" i="24"/>
  <c r="L232" i="24" s="1"/>
  <c r="S232" i="24"/>
  <c r="V232" i="24"/>
  <c r="V226" i="24"/>
  <c r="S226" i="24"/>
  <c r="A226" i="24" s="1"/>
  <c r="K226" i="24"/>
  <c r="L226" i="24" s="1"/>
  <c r="K207" i="24"/>
  <c r="L207" i="24" s="1"/>
  <c r="S207" i="24"/>
  <c r="A207" i="24" s="1"/>
  <c r="V207" i="24"/>
  <c r="S208" i="24"/>
  <c r="A208" i="24" s="1"/>
  <c r="V208" i="24"/>
  <c r="K209" i="24"/>
  <c r="L209" i="24" s="1"/>
  <c r="S209" i="24"/>
  <c r="A209" i="24" s="1"/>
  <c r="V209" i="24"/>
  <c r="K210" i="24"/>
  <c r="L210" i="24" s="1"/>
  <c r="S210" i="24"/>
  <c r="A210" i="24" s="1"/>
  <c r="V210" i="24"/>
  <c r="K211" i="24"/>
  <c r="L211" i="24" s="1"/>
  <c r="S211" i="24"/>
  <c r="A211" i="24" s="1"/>
  <c r="V211" i="24"/>
  <c r="K212" i="24"/>
  <c r="L212" i="24" s="1"/>
  <c r="S212" i="24"/>
  <c r="A212" i="24" s="1"/>
  <c r="V212" i="24"/>
  <c r="K213" i="24"/>
  <c r="L213" i="24" s="1"/>
  <c r="S213" i="24"/>
  <c r="V213" i="24"/>
  <c r="K173" i="24"/>
  <c r="L173" i="24" s="1"/>
  <c r="S173" i="24"/>
  <c r="A173" i="24" s="1"/>
  <c r="V173" i="24"/>
  <c r="K174" i="24"/>
  <c r="L174" i="24" s="1"/>
  <c r="S174" i="24"/>
  <c r="A174" i="24" s="1"/>
  <c r="V174" i="24"/>
  <c r="K175" i="24"/>
  <c r="L175" i="24" s="1"/>
  <c r="S175" i="24"/>
  <c r="V175" i="24"/>
  <c r="K156" i="24"/>
  <c r="L156" i="24" s="1"/>
  <c r="S156" i="24"/>
  <c r="V156" i="24"/>
  <c r="V147" i="24"/>
  <c r="S147" i="24"/>
  <c r="K52" i="24"/>
  <c r="L52" i="24" s="1"/>
  <c r="S52" i="24"/>
  <c r="A52" i="24" s="1"/>
  <c r="V52" i="24"/>
  <c r="S53" i="24"/>
  <c r="A53" i="24" s="1"/>
  <c r="V53" i="24"/>
  <c r="K54" i="24"/>
  <c r="L54" i="24" s="1"/>
  <c r="S54" i="24"/>
  <c r="A54" i="24" s="1"/>
  <c r="V54" i="24"/>
  <c r="K55" i="24"/>
  <c r="L55" i="24" s="1"/>
  <c r="S55" i="24"/>
  <c r="A55" i="24" s="1"/>
  <c r="V55" i="24"/>
  <c r="K56" i="24"/>
  <c r="L56" i="24" s="1"/>
  <c r="S56" i="24"/>
  <c r="A56" i="24" s="1"/>
  <c r="V56" i="24"/>
  <c r="K57" i="24"/>
  <c r="L57" i="24" s="1"/>
  <c r="S57" i="24"/>
  <c r="A57" i="24" s="1"/>
  <c r="V57" i="24"/>
  <c r="K58" i="24"/>
  <c r="L58" i="24" s="1"/>
  <c r="S58" i="24"/>
  <c r="A58" i="24" s="1"/>
  <c r="V58" i="24"/>
  <c r="K59" i="24"/>
  <c r="L59" i="24" s="1"/>
  <c r="S59" i="24"/>
  <c r="V59" i="24"/>
  <c r="K30" i="24"/>
  <c r="L30" i="24" s="1"/>
  <c r="S30" i="24"/>
  <c r="A30" i="24" s="1"/>
  <c r="V30" i="24"/>
  <c r="S31" i="24"/>
  <c r="A31" i="24" s="1"/>
  <c r="V31" i="24"/>
  <c r="AF37" i="10" l="1"/>
  <c r="AE37" i="10"/>
  <c r="AG40" i="10"/>
  <c r="T406" i="24"/>
  <c r="A405" i="24"/>
  <c r="T148" i="24"/>
  <c r="A147" i="24"/>
  <c r="T60" i="24"/>
  <c r="A59" i="24"/>
  <c r="T176" i="24"/>
  <c r="A175" i="24"/>
  <c r="T233" i="24"/>
  <c r="A232" i="24"/>
  <c r="A250" i="24"/>
  <c r="T251" i="24"/>
  <c r="A156" i="24"/>
  <c r="T157" i="24"/>
  <c r="A213" i="24"/>
  <c r="T214" i="24"/>
  <c r="AG41" i="10"/>
  <c r="AH41" i="10" s="1"/>
  <c r="X252" i="26"/>
  <c r="X58" i="26"/>
  <c r="X34" i="26"/>
  <c r="X228" i="26"/>
  <c r="T405" i="24"/>
  <c r="T401" i="24"/>
  <c r="T232" i="24"/>
  <c r="T228" i="24"/>
  <c r="T246" i="24"/>
  <c r="T403" i="24"/>
  <c r="T212" i="24"/>
  <c r="T174" i="24"/>
  <c r="T211" i="24"/>
  <c r="T231" i="24"/>
  <c r="T249" i="24"/>
  <c r="T208" i="24"/>
  <c r="T400" i="24"/>
  <c r="T404" i="24"/>
  <c r="T248" i="24"/>
  <c r="T213" i="24"/>
  <c r="T229" i="24"/>
  <c r="T402" i="24"/>
  <c r="T250" i="24"/>
  <c r="T57" i="24"/>
  <c r="T230" i="24"/>
  <c r="T399" i="24"/>
  <c r="T227" i="24"/>
  <c r="T56" i="24"/>
  <c r="V28" i="26"/>
  <c r="W325" i="26"/>
  <c r="X325" i="26" s="1"/>
  <c r="V266" i="26"/>
  <c r="V294" i="26"/>
  <c r="V221" i="26"/>
  <c r="V334" i="26"/>
  <c r="V311" i="26"/>
  <c r="V282" i="26"/>
  <c r="V235" i="26"/>
  <c r="V208" i="26"/>
  <c r="V331" i="26"/>
  <c r="V318" i="26"/>
  <c r="V303" i="26"/>
  <c r="X269" i="26"/>
  <c r="Z269" i="26" s="1"/>
  <c r="AA269" i="26" s="1"/>
  <c r="W173" i="26"/>
  <c r="X173" i="26" s="1"/>
  <c r="W285" i="26"/>
  <c r="Y285" i="26" s="1"/>
  <c r="V257" i="26"/>
  <c r="Y228" i="26"/>
  <c r="W211" i="26"/>
  <c r="Y211" i="26" s="1"/>
  <c r="W315" i="26"/>
  <c r="Y315" i="26" s="1"/>
  <c r="V310" i="26"/>
  <c r="W299" i="26"/>
  <c r="Y299" i="26" s="1"/>
  <c r="V269" i="26"/>
  <c r="V258" i="26"/>
  <c r="V234" i="26"/>
  <c r="V225" i="26"/>
  <c r="X212" i="26"/>
  <c r="Z212" i="26" s="1"/>
  <c r="W95" i="26"/>
  <c r="X95" i="26" s="1"/>
  <c r="Y38" i="26"/>
  <c r="Z38" i="26" s="1"/>
  <c r="AA38" i="26" s="1"/>
  <c r="AB38" i="26" s="1"/>
  <c r="V333" i="26"/>
  <c r="V326" i="26"/>
  <c r="V319" i="26"/>
  <c r="V289" i="26"/>
  <c r="W277" i="26"/>
  <c r="Y277" i="26" s="1"/>
  <c r="Y252" i="26"/>
  <c r="V207" i="26"/>
  <c r="Y138" i="26"/>
  <c r="Z138" i="26" s="1"/>
  <c r="AA138" i="26" s="1"/>
  <c r="AB138" i="26" s="1"/>
  <c r="Y34" i="26"/>
  <c r="Z34" i="26" s="1"/>
  <c r="AA34" i="26" s="1"/>
  <c r="V332" i="26"/>
  <c r="V327" i="26"/>
  <c r="W309" i="26"/>
  <c r="Y309" i="26" s="1"/>
  <c r="V302" i="26"/>
  <c r="V295" i="26"/>
  <c r="V290" i="26"/>
  <c r="W287" i="26"/>
  <c r="X287" i="26" s="1"/>
  <c r="V279" i="26"/>
  <c r="W251" i="26"/>
  <c r="Y251" i="26" s="1"/>
  <c r="X234" i="26"/>
  <c r="Z234" i="26" s="1"/>
  <c r="AA234" i="26" s="1"/>
  <c r="V231" i="26"/>
  <c r="W219" i="26"/>
  <c r="Y219" i="26" s="1"/>
  <c r="W101" i="26"/>
  <c r="Y101" i="26" s="1"/>
  <c r="W35" i="26"/>
  <c r="Y35" i="26" s="1"/>
  <c r="Y32" i="26"/>
  <c r="Z32" i="26" s="1"/>
  <c r="AA32" i="26" s="1"/>
  <c r="AB32" i="26" s="1"/>
  <c r="AC32" i="26" s="1"/>
  <c r="W174" i="26"/>
  <c r="X174" i="26" s="1"/>
  <c r="W136" i="26"/>
  <c r="X136" i="26" s="1"/>
  <c r="V89" i="26"/>
  <c r="Y58" i="26"/>
  <c r="V275" i="26"/>
  <c r="W253" i="26"/>
  <c r="Y253" i="26" s="1"/>
  <c r="W247" i="26"/>
  <c r="Y247" i="26" s="1"/>
  <c r="V242" i="26"/>
  <c r="V232" i="26"/>
  <c r="W229" i="26"/>
  <c r="Y229" i="26" s="1"/>
  <c r="Y226" i="26"/>
  <c r="Z226" i="26" s="1"/>
  <c r="AA226" i="26" s="1"/>
  <c r="AB226" i="26" s="1"/>
  <c r="AC226" i="26" s="1"/>
  <c r="V223" i="26"/>
  <c r="W215" i="26"/>
  <c r="Y215" i="26" s="1"/>
  <c r="W193" i="26"/>
  <c r="Y193" i="26" s="1"/>
  <c r="W126" i="26"/>
  <c r="X126" i="26" s="1"/>
  <c r="W123" i="26"/>
  <c r="X123" i="26" s="1"/>
  <c r="W99" i="26"/>
  <c r="Y99" i="26" s="1"/>
  <c r="W69" i="26"/>
  <c r="X69" i="26" s="1"/>
  <c r="W42" i="26"/>
  <c r="Y42" i="26" s="1"/>
  <c r="W39" i="26"/>
  <c r="Y39" i="26" s="1"/>
  <c r="Y36" i="26"/>
  <c r="Z36" i="26" s="1"/>
  <c r="AA36" i="26" s="1"/>
  <c r="AB36" i="26" s="1"/>
  <c r="AC36" i="26" s="1"/>
  <c r="V32" i="26"/>
  <c r="W31" i="26"/>
  <c r="Y24" i="26"/>
  <c r="Z24" i="26" s="1"/>
  <c r="AA24" i="26" s="1"/>
  <c r="W23" i="26"/>
  <c r="Y23" i="26" s="1"/>
  <c r="X332" i="26"/>
  <c r="Z332" i="26" s="1"/>
  <c r="V330" i="26"/>
  <c r="V322" i="26"/>
  <c r="V314" i="26"/>
  <c r="V306" i="26"/>
  <c r="V298" i="26"/>
  <c r="X279" i="26"/>
  <c r="Z279" i="26" s="1"/>
  <c r="AA279" i="26" s="1"/>
  <c r="V273" i="26"/>
  <c r="V259" i="26"/>
  <c r="V248" i="26"/>
  <c r="X194" i="26"/>
  <c r="Z194" i="26" s="1"/>
  <c r="AA194" i="26" s="1"/>
  <c r="V162" i="26"/>
  <c r="V113" i="26"/>
  <c r="Y100" i="26"/>
  <c r="Z100" i="26" s="1"/>
  <c r="AA100" i="26" s="1"/>
  <c r="AB100" i="26" s="1"/>
  <c r="V24" i="26"/>
  <c r="Y333" i="26"/>
  <c r="X333" i="26"/>
  <c r="W281" i="26"/>
  <c r="Y281" i="26" s="1"/>
  <c r="V281" i="26"/>
  <c r="V217" i="26"/>
  <c r="W217" i="26"/>
  <c r="Y217" i="26" s="1"/>
  <c r="W324" i="26"/>
  <c r="V324" i="26"/>
  <c r="W321" i="26"/>
  <c r="Y321" i="26" s="1"/>
  <c r="V321" i="26"/>
  <c r="W308" i="26"/>
  <c r="V308" i="26"/>
  <c r="W305" i="26"/>
  <c r="Y305" i="26" s="1"/>
  <c r="V305" i="26"/>
  <c r="V293" i="26"/>
  <c r="W293" i="26"/>
  <c r="V291" i="26"/>
  <c r="W291" i="26"/>
  <c r="Y291" i="26" s="1"/>
  <c r="V271" i="26"/>
  <c r="W271" i="26"/>
  <c r="V233" i="26"/>
  <c r="W233" i="26"/>
  <c r="Y233" i="26" s="1"/>
  <c r="X220" i="26"/>
  <c r="Y220" i="26"/>
  <c r="V187" i="26"/>
  <c r="W187" i="26"/>
  <c r="Y187" i="26" s="1"/>
  <c r="V181" i="26"/>
  <c r="W181" i="26"/>
  <c r="Y181" i="26" s="1"/>
  <c r="V153" i="26"/>
  <c r="W153" i="26"/>
  <c r="W337" i="26"/>
  <c r="Y337" i="26" s="1"/>
  <c r="V337" i="26"/>
  <c r="V335" i="26"/>
  <c r="Y334" i="26"/>
  <c r="X334" i="26"/>
  <c r="W241" i="26"/>
  <c r="Y241" i="26" s="1"/>
  <c r="V241" i="26"/>
  <c r="W218" i="26"/>
  <c r="V218" i="26"/>
  <c r="V245" i="26"/>
  <c r="W245" i="26"/>
  <c r="X204" i="26"/>
  <c r="Y204" i="26"/>
  <c r="V189" i="26"/>
  <c r="W189" i="26"/>
  <c r="Y189" i="26" s="1"/>
  <c r="V161" i="26"/>
  <c r="W161" i="26"/>
  <c r="X161" i="26" s="1"/>
  <c r="W329" i="26"/>
  <c r="Y329" i="26" s="1"/>
  <c r="V329" i="26"/>
  <c r="W323" i="26"/>
  <c r="Y323" i="26" s="1"/>
  <c r="W317" i="26"/>
  <c r="W316" i="26"/>
  <c r="V316" i="26"/>
  <c r="W313" i="26"/>
  <c r="Y313" i="26" s="1"/>
  <c r="V313" i="26"/>
  <c r="W307" i="26"/>
  <c r="Y307" i="26" s="1"/>
  <c r="W301" i="26"/>
  <c r="W300" i="26"/>
  <c r="V300" i="26"/>
  <c r="W292" i="26"/>
  <c r="V292" i="26"/>
  <c r="W267" i="26"/>
  <c r="Y267" i="26" s="1"/>
  <c r="V267" i="26"/>
  <c r="X244" i="26"/>
  <c r="Y244" i="26"/>
  <c r="V205" i="26"/>
  <c r="W205" i="26"/>
  <c r="X188" i="26"/>
  <c r="Y188" i="26"/>
  <c r="V158" i="26"/>
  <c r="W158" i="26"/>
  <c r="X158" i="26" s="1"/>
  <c r="W142" i="26"/>
  <c r="X142" i="26" s="1"/>
  <c r="V142" i="26"/>
  <c r="W203" i="26"/>
  <c r="Y203" i="26" s="1"/>
  <c r="V202" i="26"/>
  <c r="V184" i="26"/>
  <c r="V183" i="26"/>
  <c r="W169" i="26"/>
  <c r="Y169" i="26" s="1"/>
  <c r="V166" i="26"/>
  <c r="V152" i="26"/>
  <c r="W129" i="26"/>
  <c r="V128" i="26"/>
  <c r="W121" i="26"/>
  <c r="Y121" i="26" s="1"/>
  <c r="V120" i="26"/>
  <c r="W115" i="26"/>
  <c r="Y115" i="26" s="1"/>
  <c r="W107" i="26"/>
  <c r="Y107" i="26" s="1"/>
  <c r="W97" i="26"/>
  <c r="X97" i="26" s="1"/>
  <c r="W91" i="26"/>
  <c r="X91" i="26" s="1"/>
  <c r="W81" i="26"/>
  <c r="Y81" i="26" s="1"/>
  <c r="V80" i="26"/>
  <c r="W77" i="26"/>
  <c r="X77" i="26" s="1"/>
  <c r="W67" i="26"/>
  <c r="X67" i="26" s="1"/>
  <c r="W45" i="26"/>
  <c r="V44" i="26"/>
  <c r="Y26" i="26"/>
  <c r="Z26" i="26" s="1"/>
  <c r="W19" i="26"/>
  <c r="Y19" i="26" s="1"/>
  <c r="V18" i="26"/>
  <c r="W17" i="26"/>
  <c r="Y16" i="26"/>
  <c r="Z16" i="26" s="1"/>
  <c r="AA16" i="26" s="1"/>
  <c r="AB16" i="26" s="1"/>
  <c r="AC16" i="26" s="1"/>
  <c r="W125" i="26"/>
  <c r="Y125" i="26" s="1"/>
  <c r="V122" i="26"/>
  <c r="V116" i="26"/>
  <c r="V108" i="26"/>
  <c r="X98" i="26"/>
  <c r="Z98" i="26" s="1"/>
  <c r="AA98" i="26" s="1"/>
  <c r="V92" i="26"/>
  <c r="W84" i="26"/>
  <c r="X84" i="26" s="1"/>
  <c r="V78" i="26"/>
  <c r="W68" i="26"/>
  <c r="X68" i="26" s="1"/>
  <c r="W49" i="26"/>
  <c r="Y49" i="26" s="1"/>
  <c r="W41" i="26"/>
  <c r="X41" i="26" s="1"/>
  <c r="W27" i="26"/>
  <c r="Y27" i="26" s="1"/>
  <c r="V26" i="26"/>
  <c r="W25" i="26"/>
  <c r="V20" i="26"/>
  <c r="X326" i="26"/>
  <c r="Z326" i="26" s="1"/>
  <c r="X318" i="26"/>
  <c r="Z318" i="26" s="1"/>
  <c r="AB318" i="26" s="1"/>
  <c r="X310" i="26"/>
  <c r="Z310" i="26" s="1"/>
  <c r="AB310" i="26" s="1"/>
  <c r="AC310" i="26" s="1"/>
  <c r="X302" i="26"/>
  <c r="Z302" i="26" s="1"/>
  <c r="AA302" i="26" s="1"/>
  <c r="V297" i="26"/>
  <c r="X294" i="26"/>
  <c r="Z294" i="26" s="1"/>
  <c r="V283" i="26"/>
  <c r="V274" i="26"/>
  <c r="V265" i="26"/>
  <c r="X258" i="26"/>
  <c r="Z258" i="26" s="1"/>
  <c r="W227" i="26"/>
  <c r="V226" i="26"/>
  <c r="V213" i="26"/>
  <c r="W209" i="26"/>
  <c r="Y209" i="26" s="1"/>
  <c r="Y202" i="26"/>
  <c r="Z202" i="26" s="1"/>
  <c r="AA202" i="26" s="1"/>
  <c r="AB202" i="26" s="1"/>
  <c r="V195" i="26"/>
  <c r="V194" i="26"/>
  <c r="W177" i="26"/>
  <c r="W171" i="26"/>
  <c r="Y171" i="26" s="1"/>
  <c r="W163" i="26"/>
  <c r="Y163" i="26" s="1"/>
  <c r="W140" i="26"/>
  <c r="W139" i="26"/>
  <c r="V138" i="26"/>
  <c r="W137" i="26"/>
  <c r="V134" i="26"/>
  <c r="V70" i="26"/>
  <c r="V66" i="26"/>
  <c r="W65" i="26"/>
  <c r="V38" i="26"/>
  <c r="W37" i="26"/>
  <c r="V36" i="26"/>
  <c r="V34" i="26"/>
  <c r="W33" i="26"/>
  <c r="Y18" i="26"/>
  <c r="Z18" i="26" s="1"/>
  <c r="AA18" i="26" s="1"/>
  <c r="Y297" i="26"/>
  <c r="X297" i="26"/>
  <c r="Y283" i="26"/>
  <c r="X283" i="26"/>
  <c r="Y213" i="26"/>
  <c r="X213" i="26"/>
  <c r="Y327" i="26"/>
  <c r="X327" i="26"/>
  <c r="Y303" i="26"/>
  <c r="X303" i="26"/>
  <c r="Y295" i="26"/>
  <c r="X295" i="26"/>
  <c r="Y275" i="26"/>
  <c r="X275" i="26"/>
  <c r="Y335" i="26"/>
  <c r="X335" i="26"/>
  <c r="Y319" i="26"/>
  <c r="X319" i="26"/>
  <c r="Y311" i="26"/>
  <c r="X311" i="26"/>
  <c r="Y259" i="26"/>
  <c r="X259" i="26"/>
  <c r="Y235" i="26"/>
  <c r="X235" i="26"/>
  <c r="Y221" i="26"/>
  <c r="X221" i="26"/>
  <c r="V197" i="26"/>
  <c r="W197" i="26"/>
  <c r="X170" i="26"/>
  <c r="Y170" i="26"/>
  <c r="V216" i="26"/>
  <c r="V201" i="26"/>
  <c r="Y195" i="26"/>
  <c r="X195" i="26"/>
  <c r="V191" i="26"/>
  <c r="W191" i="26"/>
  <c r="Y191" i="26" s="1"/>
  <c r="V185" i="26"/>
  <c r="W185" i="26"/>
  <c r="X185" i="26" s="1"/>
  <c r="W172" i="26"/>
  <c r="V168" i="26"/>
  <c r="W168" i="26"/>
  <c r="X168" i="26" s="1"/>
  <c r="Y166" i="26"/>
  <c r="Z166" i="26" s="1"/>
  <c r="AA166" i="26" s="1"/>
  <c r="V150" i="26"/>
  <c r="W150" i="26"/>
  <c r="X150" i="26" s="1"/>
  <c r="X146" i="26"/>
  <c r="Y146" i="26"/>
  <c r="X134" i="26"/>
  <c r="Y134" i="26"/>
  <c r="X116" i="26"/>
  <c r="Y116" i="26"/>
  <c r="V112" i="26"/>
  <c r="V103" i="26"/>
  <c r="W103" i="26"/>
  <c r="X92" i="26"/>
  <c r="Y92" i="26"/>
  <c r="V88" i="26"/>
  <c r="X78" i="26"/>
  <c r="Y78" i="26"/>
  <c r="V53" i="26"/>
  <c r="W53" i="26"/>
  <c r="W22" i="26"/>
  <c r="V22" i="26"/>
  <c r="X118" i="26"/>
  <c r="Y118" i="26"/>
  <c r="X284" i="26"/>
  <c r="Z284" i="26" s="1"/>
  <c r="X276" i="26"/>
  <c r="Z276" i="26" s="1"/>
  <c r="AA276" i="26" s="1"/>
  <c r="X268" i="26"/>
  <c r="Z268" i="26" s="1"/>
  <c r="W263" i="26"/>
  <c r="Y263" i="26" s="1"/>
  <c r="W261" i="26"/>
  <c r="Y260" i="26"/>
  <c r="Z260" i="26" s="1"/>
  <c r="AA260" i="26" s="1"/>
  <c r="AB260" i="26" s="1"/>
  <c r="W255" i="26"/>
  <c r="X250" i="26"/>
  <c r="Z250" i="26" s="1"/>
  <c r="W249" i="26"/>
  <c r="Y249" i="26" s="1"/>
  <c r="W243" i="26"/>
  <c r="Y242" i="26"/>
  <c r="Z242" i="26" s="1"/>
  <c r="AA242" i="26" s="1"/>
  <c r="W239" i="26"/>
  <c r="Y239" i="26" s="1"/>
  <c r="W237" i="26"/>
  <c r="Y236" i="26"/>
  <c r="Z236" i="26" s="1"/>
  <c r="AA236" i="26" s="1"/>
  <c r="W210" i="26"/>
  <c r="V210" i="26"/>
  <c r="V199" i="26"/>
  <c r="W199" i="26"/>
  <c r="Y199" i="26" s="1"/>
  <c r="X196" i="26"/>
  <c r="Y196" i="26"/>
  <c r="V117" i="26"/>
  <c r="W117" i="26"/>
  <c r="Y117" i="26" s="1"/>
  <c r="X112" i="26"/>
  <c r="Y112" i="26"/>
  <c r="V111" i="26"/>
  <c r="W111" i="26"/>
  <c r="V93" i="26"/>
  <c r="W93" i="26"/>
  <c r="Y93" i="26" s="1"/>
  <c r="V62" i="26"/>
  <c r="W62" i="26"/>
  <c r="V47" i="26"/>
  <c r="W47" i="26"/>
  <c r="Y47" i="26" s="1"/>
  <c r="W30" i="26"/>
  <c r="V30" i="26"/>
  <c r="W200" i="26"/>
  <c r="X200" i="26" s="1"/>
  <c r="V200" i="26"/>
  <c r="V164" i="26"/>
  <c r="W164" i="26"/>
  <c r="V109" i="26"/>
  <c r="W109" i="26"/>
  <c r="X86" i="26"/>
  <c r="Y86" i="26"/>
  <c r="V73" i="26"/>
  <c r="W73" i="26"/>
  <c r="V29" i="26"/>
  <c r="W29" i="26"/>
  <c r="V284" i="26"/>
  <c r="X282" i="26"/>
  <c r="Z282" i="26" s="1"/>
  <c r="V280" i="26"/>
  <c r="V276" i="26"/>
  <c r="X274" i="26"/>
  <c r="Z274" i="26" s="1"/>
  <c r="V272" i="26"/>
  <c r="V268" i="26"/>
  <c r="X266" i="26"/>
  <c r="Z266" i="26" s="1"/>
  <c r="V264" i="26"/>
  <c r="V250" i="26"/>
  <c r="V240" i="26"/>
  <c r="W186" i="26"/>
  <c r="V186" i="26"/>
  <c r="Y178" i="26"/>
  <c r="Z178" i="26" s="1"/>
  <c r="V170" i="26"/>
  <c r="V160" i="26"/>
  <c r="V149" i="26"/>
  <c r="W149" i="26"/>
  <c r="W145" i="26"/>
  <c r="V131" i="26"/>
  <c r="W131" i="26"/>
  <c r="X131" i="26" s="1"/>
  <c r="V118" i="26"/>
  <c r="V114" i="26"/>
  <c r="X108" i="26"/>
  <c r="Y108" i="26"/>
  <c r="V105" i="26"/>
  <c r="W105" i="26"/>
  <c r="Y105" i="26" s="1"/>
  <c r="V90" i="26"/>
  <c r="V86" i="26"/>
  <c r="V50" i="26"/>
  <c r="W50" i="26"/>
  <c r="X50" i="26" s="1"/>
  <c r="V21" i="26"/>
  <c r="W21" i="26"/>
  <c r="V100" i="26"/>
  <c r="V98" i="26"/>
  <c r="V82" i="26"/>
  <c r="V72" i="26"/>
  <c r="W61" i="26"/>
  <c r="Y61" i="26" s="1"/>
  <c r="W60" i="26"/>
  <c r="W59" i="26"/>
  <c r="V58" i="26"/>
  <c r="W57" i="26"/>
  <c r="Y54" i="26"/>
  <c r="Z54" i="26" s="1"/>
  <c r="AA54" i="26" s="1"/>
  <c r="AB54" i="26" s="1"/>
  <c r="V16" i="26"/>
  <c r="W15" i="26"/>
  <c r="Y66" i="26"/>
  <c r="Z66" i="26" s="1"/>
  <c r="AA66" i="26" s="1"/>
  <c r="Y28" i="26"/>
  <c r="Z28" i="26" s="1"/>
  <c r="AA28" i="26" s="1"/>
  <c r="Y20" i="26"/>
  <c r="Z20" i="26" s="1"/>
  <c r="AA20" i="26" s="1"/>
  <c r="W286" i="26"/>
  <c r="V286" i="26"/>
  <c r="W278" i="26"/>
  <c r="V278" i="26"/>
  <c r="X256" i="26"/>
  <c r="Y256" i="26"/>
  <c r="W238" i="26"/>
  <c r="V238" i="26"/>
  <c r="Y225" i="26"/>
  <c r="X225" i="26"/>
  <c r="X224" i="26"/>
  <c r="Y224" i="26"/>
  <c r="Y114" i="26"/>
  <c r="X114" i="26"/>
  <c r="W270" i="26"/>
  <c r="V270" i="26"/>
  <c r="Y257" i="26"/>
  <c r="X257" i="26"/>
  <c r="W206" i="26"/>
  <c r="V206" i="26"/>
  <c r="X192" i="26"/>
  <c r="Y192" i="26"/>
  <c r="X160" i="26"/>
  <c r="Y160" i="26"/>
  <c r="V156" i="26"/>
  <c r="W156" i="26"/>
  <c r="V155" i="26"/>
  <c r="W155" i="26"/>
  <c r="W154" i="26"/>
  <c r="V154" i="26"/>
  <c r="V151" i="26"/>
  <c r="W151" i="26"/>
  <c r="X104" i="26"/>
  <c r="Y104" i="26"/>
  <c r="Y90" i="26"/>
  <c r="X90" i="26"/>
  <c r="V83" i="26"/>
  <c r="W83" i="26"/>
  <c r="V64" i="26"/>
  <c r="W64" i="26"/>
  <c r="Y336" i="26"/>
  <c r="Z336" i="26" s="1"/>
  <c r="Y328" i="26"/>
  <c r="Z328" i="26" s="1"/>
  <c r="Y320" i="26"/>
  <c r="Z320" i="26" s="1"/>
  <c r="Y312" i="26"/>
  <c r="Z312" i="26" s="1"/>
  <c r="Y304" i="26"/>
  <c r="Z304" i="26" s="1"/>
  <c r="Y296" i="26"/>
  <c r="Z296" i="26" s="1"/>
  <c r="X280" i="26"/>
  <c r="Y280" i="26"/>
  <c r="Y273" i="26"/>
  <c r="X273" i="26"/>
  <c r="X272" i="26"/>
  <c r="Y272" i="26"/>
  <c r="Y265" i="26"/>
  <c r="X265" i="26"/>
  <c r="X264" i="26"/>
  <c r="Y264" i="26"/>
  <c r="W246" i="26"/>
  <c r="V246" i="26"/>
  <c r="X232" i="26"/>
  <c r="Y232" i="26"/>
  <c r="W214" i="26"/>
  <c r="V214" i="26"/>
  <c r="Y201" i="26"/>
  <c r="X201" i="26"/>
  <c r="W182" i="26"/>
  <c r="V182" i="26"/>
  <c r="W141" i="26"/>
  <c r="Y113" i="26"/>
  <c r="X113" i="26"/>
  <c r="W96" i="26"/>
  <c r="V96" i="26"/>
  <c r="Y330" i="26"/>
  <c r="Z330" i="26" s="1"/>
  <c r="Y322" i="26"/>
  <c r="Z322" i="26" s="1"/>
  <c r="Y314" i="26"/>
  <c r="Z314" i="26" s="1"/>
  <c r="Y306" i="26"/>
  <c r="Z306" i="26" s="1"/>
  <c r="Y298" i="26"/>
  <c r="Z298" i="26" s="1"/>
  <c r="Y290" i="26"/>
  <c r="Z290" i="26" s="1"/>
  <c r="Y289" i="26"/>
  <c r="X289" i="26"/>
  <c r="Y288" i="26"/>
  <c r="Z288" i="26" s="1"/>
  <c r="W254" i="26"/>
  <c r="V254" i="26"/>
  <c r="X240" i="26"/>
  <c r="Y240" i="26"/>
  <c r="W222" i="26"/>
  <c r="V222" i="26"/>
  <c r="X208" i="26"/>
  <c r="Y208" i="26"/>
  <c r="W190" i="26"/>
  <c r="V190" i="26"/>
  <c r="V176" i="26"/>
  <c r="W176" i="26"/>
  <c r="V175" i="26"/>
  <c r="W175" i="26"/>
  <c r="V144" i="26"/>
  <c r="W144" i="26"/>
  <c r="V143" i="26"/>
  <c r="W143" i="26"/>
  <c r="V336" i="26"/>
  <c r="X331" i="26"/>
  <c r="Z331" i="26" s="1"/>
  <c r="V328" i="26"/>
  <c r="V320" i="26"/>
  <c r="V312" i="26"/>
  <c r="V304" i="26"/>
  <c r="V296" i="26"/>
  <c r="V288" i="26"/>
  <c r="W262" i="26"/>
  <c r="V262" i="26"/>
  <c r="V256" i="26"/>
  <c r="X248" i="26"/>
  <c r="Y248" i="26"/>
  <c r="W230" i="26"/>
  <c r="V230" i="26"/>
  <c r="V224" i="26"/>
  <c r="X216" i="26"/>
  <c r="Y216" i="26"/>
  <c r="W198" i="26"/>
  <c r="V198" i="26"/>
  <c r="V192" i="26"/>
  <c r="X184" i="26"/>
  <c r="Y184" i="26"/>
  <c r="V165" i="26"/>
  <c r="W165" i="26"/>
  <c r="X162" i="26"/>
  <c r="Y162" i="26"/>
  <c r="X152" i="26"/>
  <c r="Y152" i="26"/>
  <c r="V133" i="26"/>
  <c r="W133" i="26"/>
  <c r="V104" i="26"/>
  <c r="V85" i="26"/>
  <c r="W85" i="26"/>
  <c r="X70" i="26"/>
  <c r="Y70" i="26"/>
  <c r="V260" i="26"/>
  <c r="V252" i="26"/>
  <c r="V244" i="26"/>
  <c r="V236" i="26"/>
  <c r="X231" i="26"/>
  <c r="Z231" i="26" s="1"/>
  <c r="V228" i="26"/>
  <c r="X223" i="26"/>
  <c r="Z223" i="26" s="1"/>
  <c r="V220" i="26"/>
  <c r="V212" i="26"/>
  <c r="X207" i="26"/>
  <c r="Z207" i="26" s="1"/>
  <c r="V204" i="26"/>
  <c r="V196" i="26"/>
  <c r="V188" i="26"/>
  <c r="X183" i="26"/>
  <c r="Z183" i="26" s="1"/>
  <c r="W180" i="26"/>
  <c r="W179" i="26"/>
  <c r="V178" i="26"/>
  <c r="V159" i="26"/>
  <c r="W159" i="26"/>
  <c r="W157" i="26"/>
  <c r="W148" i="26"/>
  <c r="W147" i="26"/>
  <c r="V146" i="26"/>
  <c r="V130" i="26"/>
  <c r="W106" i="26"/>
  <c r="V106" i="26"/>
  <c r="W94" i="26"/>
  <c r="V94" i="26"/>
  <c r="Y89" i="26"/>
  <c r="X89" i="26"/>
  <c r="V71" i="26"/>
  <c r="W71" i="26"/>
  <c r="V167" i="26"/>
  <c r="W167" i="26"/>
  <c r="V135" i="26"/>
  <c r="W135" i="26"/>
  <c r="V132" i="26"/>
  <c r="W132" i="26"/>
  <c r="X130" i="26"/>
  <c r="Y130" i="26"/>
  <c r="X128" i="26"/>
  <c r="Y128" i="26"/>
  <c r="V127" i="26"/>
  <c r="W127" i="26"/>
  <c r="V124" i="26"/>
  <c r="W124" i="26"/>
  <c r="X122" i="26"/>
  <c r="Y122" i="26"/>
  <c r="X120" i="26"/>
  <c r="Y120" i="26"/>
  <c r="V119" i="26"/>
  <c r="W119" i="26"/>
  <c r="W102" i="26"/>
  <c r="V102" i="26"/>
  <c r="X88" i="26"/>
  <c r="Y88" i="26"/>
  <c r="X82" i="26"/>
  <c r="Y82" i="26"/>
  <c r="V63" i="26"/>
  <c r="W63" i="26"/>
  <c r="W110" i="26"/>
  <c r="V110" i="26"/>
  <c r="X80" i="26"/>
  <c r="Y80" i="26"/>
  <c r="V76" i="26"/>
  <c r="W76" i="26"/>
  <c r="V75" i="26"/>
  <c r="W75" i="26"/>
  <c r="W74" i="26"/>
  <c r="V74" i="26"/>
  <c r="X72" i="26"/>
  <c r="Y72" i="26"/>
  <c r="V79" i="26"/>
  <c r="W79" i="26"/>
  <c r="V52" i="26"/>
  <c r="W52" i="26"/>
  <c r="V51" i="26"/>
  <c r="W51" i="26"/>
  <c r="V87" i="26"/>
  <c r="W87" i="26"/>
  <c r="W56" i="26"/>
  <c r="W55" i="26"/>
  <c r="V54" i="26"/>
  <c r="V46" i="26"/>
  <c r="V48" i="26"/>
  <c r="W48" i="26"/>
  <c r="X46" i="26"/>
  <c r="Y46" i="26"/>
  <c r="X44" i="26"/>
  <c r="Y44" i="26"/>
  <c r="V43" i="26"/>
  <c r="W43" i="26"/>
  <c r="V40" i="26"/>
  <c r="W40" i="26"/>
  <c r="W346" i="26"/>
  <c r="Y346" i="26" s="1"/>
  <c r="AG339" i="26"/>
  <c r="W342" i="26"/>
  <c r="Y342" i="26" s="1"/>
  <c r="W340" i="26"/>
  <c r="Y340" i="26" s="1"/>
  <c r="V340" i="26"/>
  <c r="W344" i="26"/>
  <c r="Y344" i="26" s="1"/>
  <c r="V344" i="26"/>
  <c r="W348" i="26"/>
  <c r="Y348" i="26" s="1"/>
  <c r="V348" i="26"/>
  <c r="S352" i="26"/>
  <c r="S13" i="26"/>
  <c r="S11" i="26" s="1"/>
  <c r="W14" i="26"/>
  <c r="Y347" i="26"/>
  <c r="X347" i="26"/>
  <c r="Y345" i="26"/>
  <c r="X345" i="26"/>
  <c r="Y343" i="26"/>
  <c r="X343" i="26"/>
  <c r="W341" i="26"/>
  <c r="V341" i="26"/>
  <c r="V343" i="26"/>
  <c r="V345" i="26"/>
  <c r="V347" i="26"/>
  <c r="T55" i="24"/>
  <c r="T209" i="24"/>
  <c r="T247" i="24"/>
  <c r="T245" i="24"/>
  <c r="T31" i="24"/>
  <c r="T156" i="24"/>
  <c r="T210" i="24"/>
  <c r="T59" i="24"/>
  <c r="T175" i="24"/>
  <c r="T53" i="24"/>
  <c r="T58" i="24"/>
  <c r="T54" i="24"/>
  <c r="AH40" i="10" l="1"/>
  <c r="AH37" i="10" s="1"/>
  <c r="AG37" i="10"/>
  <c r="Z58" i="26"/>
  <c r="AA58" i="26" s="1"/>
  <c r="AB58" i="26" s="1"/>
  <c r="Z252" i="26"/>
  <c r="Z228" i="26"/>
  <c r="AA228" i="26" s="1"/>
  <c r="Y123" i="26"/>
  <c r="Z123" i="26" s="1"/>
  <c r="AA123" i="26" s="1"/>
  <c r="AB123" i="26" s="1"/>
  <c r="X81" i="26"/>
  <c r="Z81" i="26" s="1"/>
  <c r="X99" i="26"/>
  <c r="Y325" i="26"/>
  <c r="X253" i="26"/>
  <c r="Z253" i="26" s="1"/>
  <c r="AA253" i="26" s="1"/>
  <c r="AB253" i="26" s="1"/>
  <c r="X49" i="26"/>
  <c r="Z49" i="26" s="1"/>
  <c r="X291" i="26"/>
  <c r="Z291" i="26" s="1"/>
  <c r="AA291" i="26" s="1"/>
  <c r="X233" i="26"/>
  <c r="Z233" i="26" s="1"/>
  <c r="AA233" i="26" s="1"/>
  <c r="AB233" i="26" s="1"/>
  <c r="AC233" i="26" s="1"/>
  <c r="X267" i="26"/>
  <c r="Z267" i="26" s="1"/>
  <c r="AA267" i="26" s="1"/>
  <c r="AB267" i="26" s="1"/>
  <c r="X42" i="26"/>
  <c r="Z42" i="26" s="1"/>
  <c r="X35" i="26"/>
  <c r="Z35" i="26" s="1"/>
  <c r="AA35" i="26" s="1"/>
  <c r="AB35" i="26" s="1"/>
  <c r="AC35" i="26" s="1"/>
  <c r="X217" i="26"/>
  <c r="Z217" i="26" s="1"/>
  <c r="AA217" i="26" s="1"/>
  <c r="Y95" i="26"/>
  <c r="Z95" i="26" s="1"/>
  <c r="AA95" i="26" s="1"/>
  <c r="Y97" i="26"/>
  <c r="Z97" i="26" s="1"/>
  <c r="AA97" i="26" s="1"/>
  <c r="X315" i="26"/>
  <c r="Z315" i="26" s="1"/>
  <c r="Y126" i="26"/>
  <c r="Z126" i="26" s="1"/>
  <c r="AA126" i="26" s="1"/>
  <c r="AB126" i="26" s="1"/>
  <c r="X285" i="26"/>
  <c r="Z285" i="26" s="1"/>
  <c r="AA285" i="26" s="1"/>
  <c r="AB285" i="26" s="1"/>
  <c r="X47" i="26"/>
  <c r="Z47" i="26" s="1"/>
  <c r="AA47" i="26" s="1"/>
  <c r="AB47" i="26" s="1"/>
  <c r="X93" i="26"/>
  <c r="Z93" i="26" s="1"/>
  <c r="Y50" i="26"/>
  <c r="Z50" i="26" s="1"/>
  <c r="AA50" i="26" s="1"/>
  <c r="X247" i="26"/>
  <c r="Z247" i="26" s="1"/>
  <c r="AA247" i="26" s="1"/>
  <c r="AB247" i="26" s="1"/>
  <c r="Y67" i="26"/>
  <c r="Z67" i="26" s="1"/>
  <c r="AA67" i="26" s="1"/>
  <c r="Y91" i="26"/>
  <c r="Z91" i="26" s="1"/>
  <c r="AA91" i="26" s="1"/>
  <c r="AB91" i="26" s="1"/>
  <c r="X281" i="26"/>
  <c r="Z281" i="26" s="1"/>
  <c r="Y150" i="26"/>
  <c r="Z150" i="26" s="1"/>
  <c r="AA150" i="26" s="1"/>
  <c r="AB150" i="26" s="1"/>
  <c r="AC150" i="26" s="1"/>
  <c r="X27" i="26"/>
  <c r="Z27" i="26" s="1"/>
  <c r="Z333" i="26"/>
  <c r="Y287" i="26"/>
  <c r="Z287" i="26" s="1"/>
  <c r="X239" i="26"/>
  <c r="Z239" i="26" s="1"/>
  <c r="AA239" i="26" s="1"/>
  <c r="AB239" i="26" s="1"/>
  <c r="X187" i="26"/>
  <c r="Z187" i="26" s="1"/>
  <c r="AA187" i="26" s="1"/>
  <c r="X189" i="26"/>
  <c r="Z189" i="26" s="1"/>
  <c r="AA189" i="26" s="1"/>
  <c r="AB189" i="26" s="1"/>
  <c r="Y173" i="26"/>
  <c r="Z173" i="26" s="1"/>
  <c r="AA173" i="26" s="1"/>
  <c r="X229" i="26"/>
  <c r="Z229" i="26" s="1"/>
  <c r="AA229" i="26" s="1"/>
  <c r="AB229" i="26" s="1"/>
  <c r="Y84" i="26"/>
  <c r="Z84" i="26" s="1"/>
  <c r="X249" i="26"/>
  <c r="Z249" i="26" s="1"/>
  <c r="X211" i="26"/>
  <c r="Z211" i="26" s="1"/>
  <c r="AA211" i="26" s="1"/>
  <c r="AB211" i="26" s="1"/>
  <c r="AC211" i="26" s="1"/>
  <c r="X193" i="26"/>
  <c r="Z193" i="26" s="1"/>
  <c r="X171" i="26"/>
  <c r="Z171" i="26" s="1"/>
  <c r="AA171" i="26" s="1"/>
  <c r="AB171" i="26" s="1"/>
  <c r="X203" i="26"/>
  <c r="Z203" i="26" s="1"/>
  <c r="AA203" i="26" s="1"/>
  <c r="AB203" i="26" s="1"/>
  <c r="X39" i="26"/>
  <c r="Z39" i="26" s="1"/>
  <c r="X209" i="26"/>
  <c r="Z209" i="26" s="1"/>
  <c r="X309" i="26"/>
  <c r="Z309" i="26" s="1"/>
  <c r="X115" i="26"/>
  <c r="Z115" i="26" s="1"/>
  <c r="X321" i="26"/>
  <c r="Z321" i="26" s="1"/>
  <c r="X337" i="26"/>
  <c r="Z337" i="26" s="1"/>
  <c r="X215" i="26"/>
  <c r="Z215" i="26" s="1"/>
  <c r="AA215" i="26" s="1"/>
  <c r="AB215" i="26" s="1"/>
  <c r="X169" i="26"/>
  <c r="Z169" i="26" s="1"/>
  <c r="AA169" i="26" s="1"/>
  <c r="AB169" i="26" s="1"/>
  <c r="Z235" i="26"/>
  <c r="AA235" i="26" s="1"/>
  <c r="Y41" i="26"/>
  <c r="Z41" i="26" s="1"/>
  <c r="AA41" i="26" s="1"/>
  <c r="X299" i="26"/>
  <c r="Z299" i="26" s="1"/>
  <c r="AA299" i="26" s="1"/>
  <c r="X277" i="26"/>
  <c r="Z277" i="26" s="1"/>
  <c r="AA277" i="26" s="1"/>
  <c r="Y174" i="26"/>
  <c r="Z174" i="26" s="1"/>
  <c r="AA174" i="26" s="1"/>
  <c r="AB174" i="26" s="1"/>
  <c r="Y185" i="26"/>
  <c r="Z185" i="26" s="1"/>
  <c r="X329" i="26"/>
  <c r="Z329" i="26" s="1"/>
  <c r="Z244" i="26"/>
  <c r="AA244" i="26" s="1"/>
  <c r="AB244" i="26" s="1"/>
  <c r="AA252" i="26"/>
  <c r="AB252" i="26" s="1"/>
  <c r="X307" i="26"/>
  <c r="Z307" i="26" s="1"/>
  <c r="AA307" i="26" s="1"/>
  <c r="AB307" i="26" s="1"/>
  <c r="AB269" i="26"/>
  <c r="AC269" i="26" s="1"/>
  <c r="AD269" i="26" s="1"/>
  <c r="X101" i="26"/>
  <c r="Z101" i="26" s="1"/>
  <c r="Y136" i="26"/>
  <c r="Z136" i="26" s="1"/>
  <c r="AA136" i="26" s="1"/>
  <c r="AB136" i="26" s="1"/>
  <c r="X19" i="26"/>
  <c r="Z19" i="26" s="1"/>
  <c r="AA19" i="26" s="1"/>
  <c r="Y69" i="26"/>
  <c r="Z69" i="26" s="1"/>
  <c r="X305" i="26"/>
  <c r="Z305" i="26" s="1"/>
  <c r="Y200" i="26"/>
  <c r="Z200" i="26" s="1"/>
  <c r="AA200" i="26" s="1"/>
  <c r="X251" i="26"/>
  <c r="Z251" i="26" s="1"/>
  <c r="AA251" i="26" s="1"/>
  <c r="AB251" i="26" s="1"/>
  <c r="X181" i="26"/>
  <c r="Z181" i="26" s="1"/>
  <c r="AA181" i="26" s="1"/>
  <c r="X23" i="26"/>
  <c r="Z23" i="26" s="1"/>
  <c r="AA23" i="26" s="1"/>
  <c r="Z204" i="26"/>
  <c r="AA204" i="26" s="1"/>
  <c r="Z256" i="26"/>
  <c r="AA256" i="26" s="1"/>
  <c r="X121" i="26"/>
  <c r="Z121" i="26" s="1"/>
  <c r="AA121" i="26" s="1"/>
  <c r="AB121" i="26" s="1"/>
  <c r="X191" i="26"/>
  <c r="Z191" i="26" s="1"/>
  <c r="AA191" i="26" s="1"/>
  <c r="AB191" i="26" s="1"/>
  <c r="X263" i="26"/>
  <c r="Z263" i="26" s="1"/>
  <c r="AA263" i="26" s="1"/>
  <c r="X219" i="26"/>
  <c r="Z219" i="26" s="1"/>
  <c r="AA219" i="26" s="1"/>
  <c r="AB219" i="26" s="1"/>
  <c r="Z259" i="26"/>
  <c r="AA259" i="26" s="1"/>
  <c r="Z283" i="26"/>
  <c r="AA283" i="26" s="1"/>
  <c r="AB283" i="26" s="1"/>
  <c r="AC283" i="26" s="1"/>
  <c r="X348" i="26"/>
  <c r="Z348" i="26" s="1"/>
  <c r="AA348" i="26" s="1"/>
  <c r="AB348" i="26" s="1"/>
  <c r="X340" i="26"/>
  <c r="Z340" i="26" s="1"/>
  <c r="Z128" i="26"/>
  <c r="AA128" i="26" s="1"/>
  <c r="AB128" i="26" s="1"/>
  <c r="X323" i="26"/>
  <c r="Z323" i="26" s="1"/>
  <c r="AA323" i="26" s="1"/>
  <c r="X125" i="26"/>
  <c r="Z125" i="26" s="1"/>
  <c r="Z92" i="26"/>
  <c r="AA92" i="26" s="1"/>
  <c r="AB92" i="26" s="1"/>
  <c r="AC92" i="26" s="1"/>
  <c r="X107" i="26"/>
  <c r="Z107" i="26" s="1"/>
  <c r="AA107" i="26" s="1"/>
  <c r="AB107" i="26" s="1"/>
  <c r="Z116" i="26"/>
  <c r="AA116" i="26" s="1"/>
  <c r="AB116" i="26" s="1"/>
  <c r="Z334" i="26"/>
  <c r="Y31" i="26"/>
  <c r="X31" i="26"/>
  <c r="Y158" i="26"/>
  <c r="Z158" i="26" s="1"/>
  <c r="AA158" i="26" s="1"/>
  <c r="Z280" i="26"/>
  <c r="AA280" i="26" s="1"/>
  <c r="AB280" i="26" s="1"/>
  <c r="X61" i="26"/>
  <c r="Z61" i="26" s="1"/>
  <c r="Z195" i="26"/>
  <c r="AA195" i="26" s="1"/>
  <c r="Z275" i="26"/>
  <c r="AA275" i="26" s="1"/>
  <c r="X313" i="26"/>
  <c r="Z313" i="26" s="1"/>
  <c r="Z46" i="26"/>
  <c r="AA46" i="26" s="1"/>
  <c r="X163" i="26"/>
  <c r="Z163" i="26" s="1"/>
  <c r="Z220" i="26"/>
  <c r="AA220" i="26" s="1"/>
  <c r="Z325" i="26"/>
  <c r="AC325" i="26" s="1"/>
  <c r="AA258" i="26"/>
  <c r="AB258" i="26" s="1"/>
  <c r="AA294" i="26"/>
  <c r="AA274" i="26"/>
  <c r="AB274" i="26" s="1"/>
  <c r="AC274" i="26" s="1"/>
  <c r="AD274" i="26" s="1"/>
  <c r="AC326" i="26"/>
  <c r="AA284" i="26"/>
  <c r="AB284" i="26" s="1"/>
  <c r="AC284" i="26" s="1"/>
  <c r="AD284" i="26" s="1"/>
  <c r="X105" i="26"/>
  <c r="Z105" i="26" s="1"/>
  <c r="Z90" i="26"/>
  <c r="AA90" i="26" s="1"/>
  <c r="AB98" i="26"/>
  <c r="AC98" i="26" s="1"/>
  <c r="Y68" i="26"/>
  <c r="Z68" i="26" s="1"/>
  <c r="AA68" i="26" s="1"/>
  <c r="AB68" i="26" s="1"/>
  <c r="Z319" i="26"/>
  <c r="AB319" i="26" s="1"/>
  <c r="Z295" i="26"/>
  <c r="AA295" i="26" s="1"/>
  <c r="Z327" i="26"/>
  <c r="Y227" i="26"/>
  <c r="X227" i="26"/>
  <c r="Y17" i="26"/>
  <c r="X17" i="26"/>
  <c r="Y205" i="26"/>
  <c r="X205" i="26"/>
  <c r="Y300" i="26"/>
  <c r="X300" i="26"/>
  <c r="Y218" i="26"/>
  <c r="X218" i="26"/>
  <c r="Y308" i="26"/>
  <c r="X308" i="26"/>
  <c r="Y65" i="26"/>
  <c r="X65" i="26"/>
  <c r="Y137" i="26"/>
  <c r="X137" i="26"/>
  <c r="Y317" i="26"/>
  <c r="X317" i="26"/>
  <c r="Y271" i="26"/>
  <c r="X271" i="26"/>
  <c r="Y293" i="26"/>
  <c r="X293" i="26"/>
  <c r="Z99" i="26"/>
  <c r="AA99" i="26" s="1"/>
  <c r="AB99" i="26" s="1"/>
  <c r="AC100" i="26"/>
  <c r="AD100" i="26" s="1"/>
  <c r="X199" i="26"/>
  <c r="Z199" i="26" s="1"/>
  <c r="AA199" i="26" s="1"/>
  <c r="Y161" i="26"/>
  <c r="Z161" i="26" s="1"/>
  <c r="AB194" i="26"/>
  <c r="AC194" i="26" s="1"/>
  <c r="Y168" i="26"/>
  <c r="Z168" i="26" s="1"/>
  <c r="AA168" i="26" s="1"/>
  <c r="AB168" i="26" s="1"/>
  <c r="AC168" i="26" s="1"/>
  <c r="X241" i="26"/>
  <c r="Z241" i="26" s="1"/>
  <c r="AB279" i="26"/>
  <c r="AC279" i="26" s="1"/>
  <c r="AB302" i="26"/>
  <c r="AC302" i="26" s="1"/>
  <c r="AD302" i="26" s="1"/>
  <c r="Y77" i="26"/>
  <c r="Z77" i="26" s="1"/>
  <c r="Y37" i="26"/>
  <c r="X37" i="26"/>
  <c r="Y139" i="26"/>
  <c r="X139" i="26"/>
  <c r="Y177" i="26"/>
  <c r="X177" i="26"/>
  <c r="X45" i="26"/>
  <c r="Y45" i="26"/>
  <c r="X129" i="26"/>
  <c r="Y129" i="26"/>
  <c r="Y301" i="26"/>
  <c r="X301" i="26"/>
  <c r="Y245" i="26"/>
  <c r="X245" i="26"/>
  <c r="X153" i="26"/>
  <c r="Y153" i="26"/>
  <c r="Z82" i="26"/>
  <c r="AA82" i="26" s="1"/>
  <c r="AB82" i="26" s="1"/>
  <c r="AC82" i="26" s="1"/>
  <c r="Y142" i="26"/>
  <c r="Z142" i="26" s="1"/>
  <c r="AA142" i="26" s="1"/>
  <c r="Y131" i="26"/>
  <c r="Z131" i="26" s="1"/>
  <c r="Z160" i="26"/>
  <c r="AA160" i="26" s="1"/>
  <c r="X117" i="26"/>
  <c r="Z117" i="26" s="1"/>
  <c r="AA117" i="26" s="1"/>
  <c r="AB117" i="26" s="1"/>
  <c r="Z118" i="26"/>
  <c r="AA118" i="26" s="1"/>
  <c r="Z78" i="26"/>
  <c r="AA78" i="26" s="1"/>
  <c r="Z146" i="26"/>
  <c r="AA146" i="26" s="1"/>
  <c r="Z311" i="26"/>
  <c r="AB311" i="26" s="1"/>
  <c r="Z335" i="26"/>
  <c r="Y33" i="26"/>
  <c r="X33" i="26"/>
  <c r="X140" i="26"/>
  <c r="Y140" i="26"/>
  <c r="Y25" i="26"/>
  <c r="X25" i="26"/>
  <c r="Z188" i="26"/>
  <c r="Y292" i="26"/>
  <c r="X292" i="26"/>
  <c r="Y316" i="26"/>
  <c r="X316" i="26"/>
  <c r="Y324" i="26"/>
  <c r="X324" i="26"/>
  <c r="AA266" i="26"/>
  <c r="AA282" i="26"/>
  <c r="AB282" i="26" s="1"/>
  <c r="Y29" i="26"/>
  <c r="X29" i="26"/>
  <c r="X164" i="26"/>
  <c r="Y164" i="26"/>
  <c r="Y210" i="26"/>
  <c r="X210" i="26"/>
  <c r="Y255" i="26"/>
  <c r="X255" i="26"/>
  <c r="AA268" i="26"/>
  <c r="AB268" i="26" s="1"/>
  <c r="AC268" i="26" s="1"/>
  <c r="X53" i="26"/>
  <c r="Y53" i="26"/>
  <c r="Y15" i="26"/>
  <c r="X15" i="26"/>
  <c r="Y21" i="26"/>
  <c r="X21" i="26"/>
  <c r="AA178" i="26"/>
  <c r="AB178" i="26" s="1"/>
  <c r="X73" i="26"/>
  <c r="Y73" i="26"/>
  <c r="Y59" i="26"/>
  <c r="X59" i="26"/>
  <c r="X62" i="26"/>
  <c r="Y62" i="26"/>
  <c r="Y111" i="26"/>
  <c r="X111" i="26"/>
  <c r="Y243" i="26"/>
  <c r="X243" i="26"/>
  <c r="Z88" i="26"/>
  <c r="Z89" i="26"/>
  <c r="AA89" i="26" s="1"/>
  <c r="Z70" i="26"/>
  <c r="AA70" i="26" s="1"/>
  <c r="AC202" i="26"/>
  <c r="AD202" i="26" s="1"/>
  <c r="AE202" i="26" s="1"/>
  <c r="Z248" i="26"/>
  <c r="Z273" i="26"/>
  <c r="AA273" i="26" s="1"/>
  <c r="AB273" i="26" s="1"/>
  <c r="Z192" i="26"/>
  <c r="AA192" i="26" s="1"/>
  <c r="AB192" i="26" s="1"/>
  <c r="Z225" i="26"/>
  <c r="AA225" i="26" s="1"/>
  <c r="X60" i="26"/>
  <c r="Y60" i="26"/>
  <c r="Z108" i="26"/>
  <c r="AA108" i="26" s="1"/>
  <c r="X145" i="26"/>
  <c r="Y145" i="26"/>
  <c r="X186" i="26"/>
  <c r="Y186" i="26"/>
  <c r="Z86" i="26"/>
  <c r="Y109" i="26"/>
  <c r="X109" i="26"/>
  <c r="X30" i="26"/>
  <c r="Y30" i="26"/>
  <c r="Y237" i="26"/>
  <c r="X237" i="26"/>
  <c r="Y261" i="26"/>
  <c r="X261" i="26"/>
  <c r="Y103" i="26"/>
  <c r="X103" i="26"/>
  <c r="Z134" i="26"/>
  <c r="AA134" i="26" s="1"/>
  <c r="Y197" i="26"/>
  <c r="X197" i="26"/>
  <c r="Z303" i="26"/>
  <c r="Z213" i="26"/>
  <c r="AA213" i="26" s="1"/>
  <c r="AB213" i="26" s="1"/>
  <c r="Z297" i="26"/>
  <c r="Z122" i="26"/>
  <c r="Z184" i="26"/>
  <c r="AA184" i="26" s="1"/>
  <c r="Z264" i="26"/>
  <c r="AA264" i="26" s="1"/>
  <c r="Y57" i="26"/>
  <c r="X57" i="26"/>
  <c r="X149" i="26"/>
  <c r="Y149" i="26"/>
  <c r="Z112" i="26"/>
  <c r="AA112" i="26" s="1"/>
  <c r="AB112" i="26" s="1"/>
  <c r="AC112" i="26" s="1"/>
  <c r="Z196" i="26"/>
  <c r="X22" i="26"/>
  <c r="Y22" i="26"/>
  <c r="X172" i="26"/>
  <c r="Y172" i="26"/>
  <c r="Z170" i="26"/>
  <c r="Z221" i="26"/>
  <c r="AA221" i="26" s="1"/>
  <c r="AB221" i="26" s="1"/>
  <c r="AC38" i="26"/>
  <c r="AD38" i="26" s="1"/>
  <c r="AE38" i="26" s="1"/>
  <c r="AB18" i="26"/>
  <c r="AC18" i="26" s="1"/>
  <c r="AE26" i="26"/>
  <c r="X40" i="26"/>
  <c r="Y40" i="26"/>
  <c r="Z44" i="26"/>
  <c r="Y55" i="26"/>
  <c r="X55" i="26"/>
  <c r="Z72" i="26"/>
  <c r="Y75" i="26"/>
  <c r="X75" i="26"/>
  <c r="X110" i="26"/>
  <c r="Y110" i="26"/>
  <c r="X119" i="26"/>
  <c r="Y119" i="26"/>
  <c r="X132" i="26"/>
  <c r="Y132" i="26"/>
  <c r="X167" i="26"/>
  <c r="Y167" i="26"/>
  <c r="Y71" i="26"/>
  <c r="X71" i="26"/>
  <c r="Y106" i="26"/>
  <c r="X106" i="26"/>
  <c r="X159" i="26"/>
  <c r="Y159" i="26"/>
  <c r="Y179" i="26"/>
  <c r="X179" i="26"/>
  <c r="AA207" i="26"/>
  <c r="AB207" i="26" s="1"/>
  <c r="AA223" i="26"/>
  <c r="AB223" i="26" s="1"/>
  <c r="Z152" i="26"/>
  <c r="X165" i="26"/>
  <c r="Y165" i="26"/>
  <c r="Z216" i="26"/>
  <c r="X230" i="26"/>
  <c r="Y230" i="26"/>
  <c r="X144" i="26"/>
  <c r="Y144" i="26"/>
  <c r="X190" i="26"/>
  <c r="Y190" i="26"/>
  <c r="Z208" i="26"/>
  <c r="X254" i="26"/>
  <c r="Y254" i="26"/>
  <c r="AA288" i="26"/>
  <c r="AB288" i="26" s="1"/>
  <c r="AB66" i="26"/>
  <c r="AC66" i="26" s="1"/>
  <c r="AD66" i="26" s="1"/>
  <c r="AB24" i="26"/>
  <c r="AC24" i="26" s="1"/>
  <c r="AB28" i="26"/>
  <c r="AC28" i="26" s="1"/>
  <c r="X48" i="26"/>
  <c r="Y48" i="26"/>
  <c r="X56" i="26"/>
  <c r="Y56" i="26"/>
  <c r="X51" i="26"/>
  <c r="Y51" i="26"/>
  <c r="X63" i="26"/>
  <c r="Y63" i="26"/>
  <c r="X127" i="26"/>
  <c r="Y127" i="26"/>
  <c r="Y147" i="26"/>
  <c r="X147" i="26"/>
  <c r="X180" i="26"/>
  <c r="Y180" i="26"/>
  <c r="X85" i="26"/>
  <c r="Y85" i="26"/>
  <c r="X133" i="26"/>
  <c r="Y133" i="26"/>
  <c r="AA250" i="26"/>
  <c r="AB250" i="26" s="1"/>
  <c r="X262" i="26"/>
  <c r="Y262" i="26"/>
  <c r="X175" i="26"/>
  <c r="Y175" i="26"/>
  <c r="AB242" i="26"/>
  <c r="AC242" i="26" s="1"/>
  <c r="AA298" i="26"/>
  <c r="X182" i="26"/>
  <c r="Y182" i="26"/>
  <c r="AB234" i="26"/>
  <c r="AC234" i="26" s="1"/>
  <c r="AB20" i="26"/>
  <c r="AD16" i="26"/>
  <c r="AE16" i="26" s="1"/>
  <c r="X43" i="26"/>
  <c r="Y43" i="26"/>
  <c r="Y79" i="26"/>
  <c r="X79" i="26"/>
  <c r="X76" i="26"/>
  <c r="Y76" i="26"/>
  <c r="AC58" i="26"/>
  <c r="AD58" i="26" s="1"/>
  <c r="Z80" i="26"/>
  <c r="AD36" i="26"/>
  <c r="Y102" i="26"/>
  <c r="X102" i="26"/>
  <c r="Z120" i="26"/>
  <c r="Z130" i="26"/>
  <c r="X135" i="26"/>
  <c r="Y135" i="26"/>
  <c r="X148" i="26"/>
  <c r="Y148" i="26"/>
  <c r="AA183" i="26"/>
  <c r="AB183" i="26" s="1"/>
  <c r="AC183" i="26" s="1"/>
  <c r="AA231" i="26"/>
  <c r="Z162" i="26"/>
  <c r="AB166" i="26"/>
  <c r="X143" i="26"/>
  <c r="Y143" i="26"/>
  <c r="X222" i="26"/>
  <c r="Y222" i="26"/>
  <c r="AB236" i="26"/>
  <c r="Z240" i="26"/>
  <c r="AB276" i="26"/>
  <c r="Z289" i="26"/>
  <c r="X246" i="26"/>
  <c r="Y246" i="26"/>
  <c r="AD226" i="26"/>
  <c r="AE226" i="26" s="1"/>
  <c r="AD310" i="26"/>
  <c r="AE310" i="26" s="1"/>
  <c r="AF310" i="26" s="1"/>
  <c r="AH310" i="26" s="1"/>
  <c r="AB34" i="26"/>
  <c r="Y87" i="26"/>
  <c r="X87" i="26"/>
  <c r="X52" i="26"/>
  <c r="Y52" i="26"/>
  <c r="X74" i="26"/>
  <c r="Y74" i="26"/>
  <c r="X124" i="26"/>
  <c r="Y124" i="26"/>
  <c r="X94" i="26"/>
  <c r="Y94" i="26"/>
  <c r="X157" i="26"/>
  <c r="Y157" i="26"/>
  <c r="X198" i="26"/>
  <c r="Y198" i="26"/>
  <c r="AA212" i="26"/>
  <c r="AB212" i="26" s="1"/>
  <c r="X176" i="26"/>
  <c r="Y176" i="26"/>
  <c r="AA290" i="26"/>
  <c r="X141" i="26"/>
  <c r="Y141" i="26"/>
  <c r="AB228" i="26"/>
  <c r="AB314" i="26"/>
  <c r="Z113" i="26"/>
  <c r="X214" i="26"/>
  <c r="Y214" i="26"/>
  <c r="AC260" i="26"/>
  <c r="Z265" i="26"/>
  <c r="AA304" i="26"/>
  <c r="AB304" i="26" s="1"/>
  <c r="Y83" i="26"/>
  <c r="X83" i="26"/>
  <c r="Z104" i="26"/>
  <c r="Z257" i="26"/>
  <c r="X278" i="26"/>
  <c r="Y278" i="26"/>
  <c r="AC318" i="26"/>
  <c r="AD318" i="26" s="1"/>
  <c r="AA296" i="26"/>
  <c r="X156" i="26"/>
  <c r="Y156" i="26"/>
  <c r="X96" i="26"/>
  <c r="Y96" i="26"/>
  <c r="Z201" i="26"/>
  <c r="Z232" i="26"/>
  <c r="Z272" i="26"/>
  <c r="AB320" i="26"/>
  <c r="AD32" i="26"/>
  <c r="AE32" i="26" s="1"/>
  <c r="AF32" i="26" s="1"/>
  <c r="AH32" i="26" s="1"/>
  <c r="X64" i="26"/>
  <c r="Y64" i="26"/>
  <c r="X154" i="26"/>
  <c r="Y154" i="26"/>
  <c r="X206" i="26"/>
  <c r="Y206" i="26"/>
  <c r="AC54" i="26"/>
  <c r="AD54" i="26" s="1"/>
  <c r="Z114" i="26"/>
  <c r="AC138" i="26"/>
  <c r="AD138" i="26" s="1"/>
  <c r="Z224" i="26"/>
  <c r="X286" i="26"/>
  <c r="Y286" i="26"/>
  <c r="Y151" i="26"/>
  <c r="X151" i="26"/>
  <c r="Y155" i="26"/>
  <c r="X155" i="26"/>
  <c r="X270" i="26"/>
  <c r="Y270" i="26"/>
  <c r="X238" i="26"/>
  <c r="Y238" i="26"/>
  <c r="X344" i="26"/>
  <c r="Z344" i="26" s="1"/>
  <c r="AA344" i="26" s="1"/>
  <c r="X342" i="26"/>
  <c r="Z342" i="26" s="1"/>
  <c r="AA342" i="26" s="1"/>
  <c r="AB342" i="26" s="1"/>
  <c r="X346" i="26"/>
  <c r="Z346" i="26" s="1"/>
  <c r="AA346" i="26" s="1"/>
  <c r="AB346" i="26" s="1"/>
  <c r="Z343" i="26"/>
  <c r="AA343" i="26" s="1"/>
  <c r="AB343" i="26" s="1"/>
  <c r="AC343" i="26" s="1"/>
  <c r="AD343" i="26" s="1"/>
  <c r="Z345" i="26"/>
  <c r="Z347" i="26"/>
  <c r="AA347" i="26" s="1"/>
  <c r="AB347" i="26" s="1"/>
  <c r="X341" i="26"/>
  <c r="Y341" i="26"/>
  <c r="X14" i="26"/>
  <c r="Y14" i="26"/>
  <c r="AC285" i="26" l="1"/>
  <c r="AD285" i="26" s="1"/>
  <c r="AC189" i="26"/>
  <c r="Z85" i="26"/>
  <c r="AA85" i="26" s="1"/>
  <c r="Z15" i="26"/>
  <c r="AA15" i="26" s="1"/>
  <c r="AB146" i="26"/>
  <c r="AC146" i="26" s="1"/>
  <c r="AD146" i="26" s="1"/>
  <c r="AC221" i="26"/>
  <c r="AD221" i="26" s="1"/>
  <c r="AC247" i="26"/>
  <c r="AD247" i="26" s="1"/>
  <c r="AE247" i="26" s="1"/>
  <c r="Z218" i="26"/>
  <c r="AA218" i="26" s="1"/>
  <c r="AB218" i="26" s="1"/>
  <c r="AB204" i="26"/>
  <c r="AC204" i="26" s="1"/>
  <c r="AD204" i="26" s="1"/>
  <c r="AC252" i="26"/>
  <c r="AD252" i="26" s="1"/>
  <c r="AC280" i="26"/>
  <c r="AD280" i="26" s="1"/>
  <c r="AE280" i="26" s="1"/>
  <c r="AF280" i="26" s="1"/>
  <c r="Z286" i="26"/>
  <c r="AA286" i="26" s="1"/>
  <c r="Z157" i="26"/>
  <c r="AA157" i="26" s="1"/>
  <c r="Z153" i="26"/>
  <c r="Z45" i="26"/>
  <c r="AA45" i="26" s="1"/>
  <c r="AB45" i="26" s="1"/>
  <c r="AB181" i="26"/>
  <c r="AC181" i="26" s="1"/>
  <c r="AD181" i="26" s="1"/>
  <c r="Z140" i="26"/>
  <c r="AA140" i="26" s="1"/>
  <c r="AB140" i="26" s="1"/>
  <c r="Z31" i="26"/>
  <c r="AA31" i="26" s="1"/>
  <c r="AB118" i="26"/>
  <c r="AC118" i="26" s="1"/>
  <c r="AD118" i="26" s="1"/>
  <c r="AE118" i="26" s="1"/>
  <c r="Z245" i="26"/>
  <c r="AA245" i="26" s="1"/>
  <c r="Z177" i="26"/>
  <c r="AA177" i="26" s="1"/>
  <c r="Z37" i="26"/>
  <c r="AA37" i="26" s="1"/>
  <c r="Z293" i="26"/>
  <c r="AA293" i="26" s="1"/>
  <c r="AB293" i="26" s="1"/>
  <c r="AC293" i="26" s="1"/>
  <c r="Z317" i="26"/>
  <c r="Z65" i="26"/>
  <c r="AA65" i="26" s="1"/>
  <c r="AC215" i="26"/>
  <c r="AD215" i="26" s="1"/>
  <c r="AE215" i="26" s="1"/>
  <c r="AD24" i="26"/>
  <c r="AE24" i="26" s="1"/>
  <c r="AF24" i="26" s="1"/>
  <c r="AH24" i="26" s="1"/>
  <c r="Z324" i="26"/>
  <c r="AA324" i="26" s="1"/>
  <c r="Z292" i="26"/>
  <c r="AA292" i="26" s="1"/>
  <c r="AB292" i="26" s="1"/>
  <c r="Z25" i="26"/>
  <c r="AA25" i="26" s="1"/>
  <c r="Z33" i="26"/>
  <c r="AA33" i="26" s="1"/>
  <c r="Z205" i="26"/>
  <c r="AA205" i="26" s="1"/>
  <c r="AB205" i="26" s="1"/>
  <c r="Z227" i="26"/>
  <c r="AA209" i="26"/>
  <c r="AB41" i="26"/>
  <c r="AC41" i="26" s="1"/>
  <c r="AD41" i="26" s="1"/>
  <c r="AE41" i="26" s="1"/>
  <c r="AB95" i="26"/>
  <c r="AC95" i="26" s="1"/>
  <c r="AD95" i="26" s="1"/>
  <c r="AE95" i="26" s="1"/>
  <c r="AF95" i="26" s="1"/>
  <c r="AH95" i="26" s="1"/>
  <c r="AB160" i="26"/>
  <c r="AC160" i="26" s="1"/>
  <c r="AB220" i="26"/>
  <c r="AC220" i="26" s="1"/>
  <c r="AD220" i="26" s="1"/>
  <c r="Z94" i="26"/>
  <c r="AA94" i="26" s="1"/>
  <c r="AB94" i="26" s="1"/>
  <c r="Z73" i="26"/>
  <c r="AA77" i="26"/>
  <c r="AB77" i="26" s="1"/>
  <c r="AA241" i="26"/>
  <c r="AB241" i="26" s="1"/>
  <c r="AC258" i="26"/>
  <c r="AD258" i="26" s="1"/>
  <c r="AE258" i="26" s="1"/>
  <c r="AE332" i="26"/>
  <c r="AF332" i="26" s="1"/>
  <c r="AH332" i="26" s="1"/>
  <c r="AD326" i="26"/>
  <c r="AE326" i="26" s="1"/>
  <c r="Z87" i="26"/>
  <c r="AA87" i="26" s="1"/>
  <c r="Z179" i="26"/>
  <c r="AA179" i="26" s="1"/>
  <c r="AD18" i="26"/>
  <c r="AE18" i="26" s="1"/>
  <c r="AF18" i="26" s="1"/>
  <c r="AH18" i="26" s="1"/>
  <c r="Z57" i="26"/>
  <c r="AA57" i="26" s="1"/>
  <c r="AB57" i="26" s="1"/>
  <c r="Z109" i="26"/>
  <c r="Z29" i="26"/>
  <c r="AA29" i="26" s="1"/>
  <c r="Z301" i="26"/>
  <c r="Z271" i="26"/>
  <c r="Z137" i="26"/>
  <c r="AA137" i="26" s="1"/>
  <c r="AB137" i="26" s="1"/>
  <c r="Z308" i="26"/>
  <c r="Z300" i="26"/>
  <c r="AB294" i="26"/>
  <c r="AC294" i="26" s="1"/>
  <c r="Z151" i="26"/>
  <c r="AB78" i="26"/>
  <c r="AC78" i="26" s="1"/>
  <c r="AB158" i="26"/>
  <c r="AC158" i="26" s="1"/>
  <c r="AD268" i="26"/>
  <c r="AE268" i="26" s="1"/>
  <c r="AF268" i="26" s="1"/>
  <c r="AH268" i="26" s="1"/>
  <c r="AB108" i="26"/>
  <c r="AC108" i="26" s="1"/>
  <c r="AD108" i="26" s="1"/>
  <c r="AE108" i="26" s="1"/>
  <c r="AB295" i="26"/>
  <c r="AC295" i="26" s="1"/>
  <c r="AD295" i="26" s="1"/>
  <c r="AC250" i="26"/>
  <c r="AD250" i="26" s="1"/>
  <c r="AE250" i="26" s="1"/>
  <c r="AF250" i="26" s="1"/>
  <c r="AH250" i="26" s="1"/>
  <c r="AA122" i="26"/>
  <c r="AB122" i="26" s="1"/>
  <c r="AC213" i="26"/>
  <c r="AD213" i="26" s="1"/>
  <c r="AE213" i="26" s="1"/>
  <c r="Z149" i="26"/>
  <c r="Z30" i="26"/>
  <c r="AA30" i="26" s="1"/>
  <c r="AB30" i="26" s="1"/>
  <c r="AC30" i="26" s="1"/>
  <c r="Z145" i="26"/>
  <c r="AA145" i="26" s="1"/>
  <c r="Z60" i="26"/>
  <c r="AA60" i="26" s="1"/>
  <c r="AB60" i="26" s="1"/>
  <c r="AD98" i="26"/>
  <c r="AE98" i="26" s="1"/>
  <c r="AF98" i="26" s="1"/>
  <c r="AH98" i="26" s="1"/>
  <c r="Z111" i="26"/>
  <c r="AA111" i="26" s="1"/>
  <c r="Z59" i="26"/>
  <c r="AA59" i="26" s="1"/>
  <c r="AB59" i="26" s="1"/>
  <c r="Z255" i="26"/>
  <c r="AA255" i="26" s="1"/>
  <c r="AB255" i="26" s="1"/>
  <c r="Z164" i="26"/>
  <c r="AA164" i="26" s="1"/>
  <c r="Z316" i="26"/>
  <c r="AA188" i="26"/>
  <c r="AB188" i="26" s="1"/>
  <c r="AC188" i="26" s="1"/>
  <c r="AD188" i="26" s="1"/>
  <c r="Z129" i="26"/>
  <c r="AA129" i="26" s="1"/>
  <c r="AB129" i="26" s="1"/>
  <c r="AA287" i="26"/>
  <c r="Z17" i="26"/>
  <c r="AA17" i="26" s="1"/>
  <c r="Z237" i="26"/>
  <c r="Z210" i="26"/>
  <c r="Z139" i="26"/>
  <c r="AA139" i="26" s="1"/>
  <c r="AB277" i="26"/>
  <c r="AC277" i="26" s="1"/>
  <c r="AD277" i="26" s="1"/>
  <c r="AC253" i="26"/>
  <c r="AD253" i="26" s="1"/>
  <c r="AC126" i="26"/>
  <c r="AD126" i="26" s="1"/>
  <c r="AE126" i="26" s="1"/>
  <c r="AF126" i="26" s="1"/>
  <c r="AH126" i="26" s="1"/>
  <c r="AD194" i="26"/>
  <c r="AE194" i="26" s="1"/>
  <c r="AF194" i="26" s="1"/>
  <c r="AH194" i="26" s="1"/>
  <c r="AB134" i="26"/>
  <c r="AC134" i="26" s="1"/>
  <c r="AD112" i="26"/>
  <c r="AE112" i="26" s="1"/>
  <c r="AF112" i="26" s="1"/>
  <c r="AH112" i="26" s="1"/>
  <c r="AC327" i="26"/>
  <c r="AD327" i="26" s="1"/>
  <c r="AE100" i="26"/>
  <c r="AF100" i="26" s="1"/>
  <c r="AH100" i="26" s="1"/>
  <c r="Z172" i="26"/>
  <c r="Z62" i="26"/>
  <c r="AA62" i="26" s="1"/>
  <c r="AB62" i="26" s="1"/>
  <c r="AC62" i="26" s="1"/>
  <c r="AC229" i="26"/>
  <c r="AD229" i="26" s="1"/>
  <c r="AE229" i="26" s="1"/>
  <c r="AA305" i="26"/>
  <c r="AB305" i="26" s="1"/>
  <c r="AA170" i="26"/>
  <c r="AB170" i="26" s="1"/>
  <c r="AA303" i="26"/>
  <c r="AB303" i="26" s="1"/>
  <c r="AA86" i="26"/>
  <c r="AB46" i="26"/>
  <c r="AC46" i="26" s="1"/>
  <c r="AD46" i="26" s="1"/>
  <c r="AB264" i="26"/>
  <c r="AC264" i="26" s="1"/>
  <c r="AD264" i="26" s="1"/>
  <c r="AE264" i="26" s="1"/>
  <c r="AC282" i="26"/>
  <c r="AD282" i="26" s="1"/>
  <c r="AB315" i="26"/>
  <c r="AC315" i="26" s="1"/>
  <c r="AB235" i="26"/>
  <c r="AB200" i="26"/>
  <c r="AC200" i="26" s="1"/>
  <c r="AD200" i="26" s="1"/>
  <c r="AE200" i="26" s="1"/>
  <c r="AC178" i="26"/>
  <c r="AA88" i="26"/>
  <c r="AB88" i="26" s="1"/>
  <c r="AB256" i="26"/>
  <c r="AC256" i="26" s="1"/>
  <c r="AB19" i="26"/>
  <c r="AC19" i="26" s="1"/>
  <c r="AA248" i="26"/>
  <c r="AB248" i="26" s="1"/>
  <c r="AB266" i="26"/>
  <c r="AC266" i="26" s="1"/>
  <c r="AD266" i="26" s="1"/>
  <c r="AC203" i="26"/>
  <c r="AD203" i="26" s="1"/>
  <c r="AC307" i="26"/>
  <c r="AD307" i="26" s="1"/>
  <c r="AB313" i="26"/>
  <c r="AC313" i="26" s="1"/>
  <c r="Z238" i="26"/>
  <c r="AA238" i="26" s="1"/>
  <c r="AB238" i="26" s="1"/>
  <c r="Z155" i="26"/>
  <c r="Z278" i="26"/>
  <c r="AA278" i="26" s="1"/>
  <c r="Z83" i="26"/>
  <c r="AA83" i="26" s="1"/>
  <c r="AB83" i="26" s="1"/>
  <c r="AC314" i="26"/>
  <c r="AD314" i="26" s="1"/>
  <c r="Z176" i="26"/>
  <c r="AD168" i="26"/>
  <c r="AE168" i="26" s="1"/>
  <c r="AF168" i="26" s="1"/>
  <c r="AH168" i="26" s="1"/>
  <c r="Z79" i="26"/>
  <c r="Z262" i="26"/>
  <c r="AA262" i="26" s="1"/>
  <c r="AC219" i="26"/>
  <c r="AD219" i="26" s="1"/>
  <c r="AC288" i="26"/>
  <c r="AD288" i="26" s="1"/>
  <c r="Z230" i="26"/>
  <c r="AA230" i="26" s="1"/>
  <c r="Z71" i="26"/>
  <c r="AA71" i="26" s="1"/>
  <c r="AC91" i="26"/>
  <c r="AD91" i="26" s="1"/>
  <c r="AA297" i="26"/>
  <c r="Z197" i="26"/>
  <c r="AA69" i="26"/>
  <c r="AB69" i="26" s="1"/>
  <c r="AC69" i="26" s="1"/>
  <c r="Z186" i="26"/>
  <c r="Z243" i="26"/>
  <c r="Z21" i="26"/>
  <c r="AA21" i="26" s="1"/>
  <c r="Z53" i="26"/>
  <c r="AA196" i="26"/>
  <c r="Z103" i="26"/>
  <c r="Z261" i="26"/>
  <c r="AC117" i="26"/>
  <c r="AD117" i="26" s="1"/>
  <c r="AE117" i="26" s="1"/>
  <c r="AF117" i="26" s="1"/>
  <c r="AH117" i="26" s="1"/>
  <c r="AE54" i="26"/>
  <c r="AF54" i="26" s="1"/>
  <c r="AH54" i="26" s="1"/>
  <c r="Z154" i="26"/>
  <c r="AE334" i="26"/>
  <c r="AF334" i="26" s="1"/>
  <c r="AH334" i="26" s="1"/>
  <c r="AD233" i="26"/>
  <c r="AE233" i="26" s="1"/>
  <c r="AF233" i="26" s="1"/>
  <c r="AH233" i="26" s="1"/>
  <c r="Z141" i="26"/>
  <c r="AA141" i="26" s="1"/>
  <c r="AB141" i="26" s="1"/>
  <c r="AC141" i="26" s="1"/>
  <c r="Z198" i="26"/>
  <c r="AA198" i="26" s="1"/>
  <c r="AB198" i="26" s="1"/>
  <c r="AD35" i="26"/>
  <c r="AE35" i="26" s="1"/>
  <c r="Z246" i="26"/>
  <c r="AA246" i="26" s="1"/>
  <c r="AB246" i="26" s="1"/>
  <c r="Z135" i="26"/>
  <c r="AA135" i="26" s="1"/>
  <c r="AD28" i="26"/>
  <c r="AE28" i="26" s="1"/>
  <c r="AF28" i="26" s="1"/>
  <c r="AH28" i="26" s="1"/>
  <c r="Z133" i="26"/>
  <c r="AA133" i="26" s="1"/>
  <c r="Z180" i="26"/>
  <c r="AA180" i="26" s="1"/>
  <c r="AB180" i="26" s="1"/>
  <c r="Z254" i="26"/>
  <c r="AA254" i="26" s="1"/>
  <c r="Z144" i="26"/>
  <c r="AA144" i="26" s="1"/>
  <c r="AB144" i="26" s="1"/>
  <c r="AC68" i="26"/>
  <c r="AD68" i="26" s="1"/>
  <c r="Z22" i="26"/>
  <c r="AA42" i="26"/>
  <c r="AE138" i="26"/>
  <c r="AF138" i="26" s="1"/>
  <c r="AH138" i="26" s="1"/>
  <c r="AC171" i="26"/>
  <c r="AD171" i="26" s="1"/>
  <c r="AC267" i="26"/>
  <c r="AC320" i="26"/>
  <c r="AD320" i="26" s="1"/>
  <c r="AC107" i="26"/>
  <c r="AD107" i="26" s="1"/>
  <c r="AD92" i="26"/>
  <c r="AE92" i="26" s="1"/>
  <c r="AC136" i="26"/>
  <c r="AD136" i="26" s="1"/>
  <c r="AE136" i="26" s="1"/>
  <c r="AB114" i="26"/>
  <c r="AB312" i="26"/>
  <c r="AC312" i="26" s="1"/>
  <c r="AA125" i="26"/>
  <c r="AB125" i="26" s="1"/>
  <c r="AB195" i="26"/>
  <c r="AC195" i="26" s="1"/>
  <c r="AD195" i="26" s="1"/>
  <c r="AC192" i="26"/>
  <c r="AD192" i="26" s="1"/>
  <c r="AB296" i="26"/>
  <c r="AC296" i="26" s="1"/>
  <c r="AB90" i="26"/>
  <c r="AD189" i="26"/>
  <c r="AE189" i="26" s="1"/>
  <c r="AF189" i="26" s="1"/>
  <c r="AH189" i="26" s="1"/>
  <c r="Z64" i="26"/>
  <c r="AA272" i="26"/>
  <c r="AB272" i="26" s="1"/>
  <c r="AA201" i="26"/>
  <c r="AB201" i="26" s="1"/>
  <c r="Z96" i="26"/>
  <c r="AE274" i="26"/>
  <c r="AF274" i="26" s="1"/>
  <c r="AH274" i="26" s="1"/>
  <c r="AB225" i="26"/>
  <c r="AC225" i="26" s="1"/>
  <c r="Z156" i="26"/>
  <c r="AC123" i="26"/>
  <c r="AC328" i="26"/>
  <c r="AD328" i="26" s="1"/>
  <c r="AC273" i="26"/>
  <c r="AA193" i="26"/>
  <c r="AB193" i="26" s="1"/>
  <c r="AC193" i="26" s="1"/>
  <c r="AA61" i="26"/>
  <c r="AB61" i="26" s="1"/>
  <c r="AC61" i="26" s="1"/>
  <c r="AD260" i="26"/>
  <c r="AE260" i="26" s="1"/>
  <c r="Z214" i="26"/>
  <c r="AB322" i="26"/>
  <c r="AC322" i="26" s="1"/>
  <c r="AB290" i="26"/>
  <c r="AC290" i="26" s="1"/>
  <c r="AC212" i="26"/>
  <c r="AD212" i="26" s="1"/>
  <c r="AB184" i="26"/>
  <c r="AB70" i="26"/>
  <c r="AC70" i="26" s="1"/>
  <c r="AB142" i="26"/>
  <c r="AC47" i="26"/>
  <c r="AD47" i="26" s="1"/>
  <c r="Z124" i="26"/>
  <c r="AB97" i="26"/>
  <c r="Z74" i="26"/>
  <c r="AF202" i="26"/>
  <c r="AH202" i="26" s="1"/>
  <c r="AA289" i="26"/>
  <c r="AB289" i="26" s="1"/>
  <c r="Z222" i="26"/>
  <c r="Z143" i="26"/>
  <c r="AD211" i="26"/>
  <c r="AE211" i="26" s="1"/>
  <c r="AB263" i="26"/>
  <c r="AA39" i="26"/>
  <c r="AC239" i="26"/>
  <c r="AD239" i="26" s="1"/>
  <c r="AE239" i="26" s="1"/>
  <c r="AA163" i="26"/>
  <c r="AB163" i="26" s="1"/>
  <c r="AC163" i="26" s="1"/>
  <c r="AE318" i="26"/>
  <c r="AF318" i="26" s="1"/>
  <c r="AH318" i="26" s="1"/>
  <c r="AA130" i="26"/>
  <c r="AE36" i="26"/>
  <c r="AF36" i="26" s="1"/>
  <c r="AH36" i="26" s="1"/>
  <c r="AB50" i="26"/>
  <c r="AC50" i="26" s="1"/>
  <c r="AC223" i="26"/>
  <c r="AD223" i="26" s="1"/>
  <c r="AA101" i="26"/>
  <c r="AB101" i="26" s="1"/>
  <c r="AA104" i="26"/>
  <c r="AB104" i="26" s="1"/>
  <c r="Z270" i="26"/>
  <c r="AF226" i="26"/>
  <c r="AH226" i="26" s="1"/>
  <c r="Z206" i="26"/>
  <c r="AA281" i="26"/>
  <c r="AB281" i="26" s="1"/>
  <c r="AD150" i="26"/>
  <c r="AD325" i="26"/>
  <c r="AE325" i="26" s="1"/>
  <c r="AF325" i="26" s="1"/>
  <c r="AH325" i="26" s="1"/>
  <c r="AE302" i="26"/>
  <c r="AF302" i="26" s="1"/>
  <c r="AH302" i="26" s="1"/>
  <c r="AA257" i="26"/>
  <c r="AB257" i="26" s="1"/>
  <c r="AC304" i="26"/>
  <c r="AD304" i="26" s="1"/>
  <c r="AE269" i="26"/>
  <c r="AF269" i="26" s="1"/>
  <c r="AH269" i="26" s="1"/>
  <c r="AB259" i="26"/>
  <c r="AC259" i="26" s="1"/>
  <c r="AA113" i="26"/>
  <c r="AB113" i="26" s="1"/>
  <c r="AC228" i="26"/>
  <c r="AD228" i="26" s="1"/>
  <c r="AB306" i="26"/>
  <c r="AB217" i="26"/>
  <c r="AC128" i="26"/>
  <c r="AD82" i="26"/>
  <c r="AE82" i="26" s="1"/>
  <c r="Z52" i="26"/>
  <c r="AC34" i="26"/>
  <c r="AD34" i="26" s="1"/>
  <c r="AC319" i="26"/>
  <c r="AC276" i="26"/>
  <c r="AD276" i="26" s="1"/>
  <c r="AA240" i="26"/>
  <c r="AC251" i="26"/>
  <c r="AB199" i="26"/>
  <c r="AC174" i="26"/>
  <c r="AA105" i="26"/>
  <c r="AC207" i="26"/>
  <c r="AD207" i="26" s="1"/>
  <c r="AE207" i="26" s="1"/>
  <c r="AF207" i="26" s="1"/>
  <c r="AH207" i="26" s="1"/>
  <c r="AC121" i="26"/>
  <c r="AA224" i="26"/>
  <c r="AB224" i="26" s="1"/>
  <c r="AC224" i="26" s="1"/>
  <c r="AA232" i="26"/>
  <c r="AB232" i="26" s="1"/>
  <c r="AA265" i="26"/>
  <c r="AC311" i="26"/>
  <c r="AD311" i="26" s="1"/>
  <c r="AB173" i="26"/>
  <c r="AC236" i="26"/>
  <c r="AC166" i="26"/>
  <c r="AB231" i="26"/>
  <c r="AC231" i="26" s="1"/>
  <c r="AD183" i="26"/>
  <c r="AE183" i="26" s="1"/>
  <c r="AC191" i="26"/>
  <c r="AA162" i="26"/>
  <c r="AB162" i="26" s="1"/>
  <c r="Z148" i="26"/>
  <c r="AA81" i="26"/>
  <c r="AB81" i="26" s="1"/>
  <c r="Z102" i="26"/>
  <c r="AA80" i="26"/>
  <c r="AB80" i="26" s="1"/>
  <c r="Z76" i="26"/>
  <c r="AE27" i="26"/>
  <c r="Z182" i="26"/>
  <c r="AB298" i="26"/>
  <c r="AB275" i="26"/>
  <c r="AC275" i="26" s="1"/>
  <c r="AB89" i="26"/>
  <c r="AC89" i="26" s="1"/>
  <c r="Z63" i="26"/>
  <c r="AE58" i="26"/>
  <c r="AF58" i="26" s="1"/>
  <c r="AH58" i="26" s="1"/>
  <c r="Z51" i="26"/>
  <c r="Z48" i="26"/>
  <c r="AE284" i="26"/>
  <c r="AF284" i="26" s="1"/>
  <c r="AH284" i="26" s="1"/>
  <c r="AA208" i="26"/>
  <c r="AB208" i="26" s="1"/>
  <c r="AD283" i="26"/>
  <c r="AE283" i="26" s="1"/>
  <c r="AC244" i="26"/>
  <c r="AD244" i="26" s="1"/>
  <c r="Z165" i="26"/>
  <c r="AA131" i="26"/>
  <c r="Z132" i="26"/>
  <c r="Z119" i="26"/>
  <c r="Z110" i="26"/>
  <c r="Z75" i="26"/>
  <c r="Z55" i="26"/>
  <c r="AB23" i="26"/>
  <c r="AC23" i="26" s="1"/>
  <c r="AB299" i="26"/>
  <c r="AC299" i="26" s="1"/>
  <c r="AC99" i="26"/>
  <c r="AB115" i="26"/>
  <c r="AC115" i="26" s="1"/>
  <c r="AB67" i="26"/>
  <c r="AA216" i="26"/>
  <c r="AA49" i="26"/>
  <c r="AA72" i="26"/>
  <c r="AA44" i="26"/>
  <c r="AB44" i="26" s="1"/>
  <c r="AC44" i="26" s="1"/>
  <c r="AC20" i="26"/>
  <c r="AD234" i="26"/>
  <c r="AE234" i="26" s="1"/>
  <c r="AF26" i="26"/>
  <c r="AH26" i="26" s="1"/>
  <c r="AA185" i="26"/>
  <c r="AB185" i="26" s="1"/>
  <c r="AC185" i="26" s="1"/>
  <c r="AA120" i="26"/>
  <c r="AB120" i="26" s="1"/>
  <c r="Z43" i="26"/>
  <c r="AD242" i="26"/>
  <c r="Z175" i="26"/>
  <c r="Z147" i="26"/>
  <c r="Z127" i="26"/>
  <c r="Z56" i="26"/>
  <c r="AC169" i="26"/>
  <c r="AD169" i="26" s="1"/>
  <c r="AE66" i="26"/>
  <c r="AF66" i="26" s="1"/>
  <c r="AH66" i="26" s="1"/>
  <c r="Z190" i="26"/>
  <c r="AB323" i="26"/>
  <c r="AB291" i="26"/>
  <c r="AA249" i="26"/>
  <c r="AA161" i="26"/>
  <c r="Z159" i="26"/>
  <c r="Z106" i="26"/>
  <c r="Z167" i="26"/>
  <c r="AA84" i="26"/>
  <c r="AB84" i="26" s="1"/>
  <c r="Z40" i="26"/>
  <c r="AF16" i="26"/>
  <c r="AH16" i="26" s="1"/>
  <c r="AF38" i="26"/>
  <c r="AH38" i="26" s="1"/>
  <c r="AB187" i="26"/>
  <c r="AC187" i="26" s="1"/>
  <c r="AA152" i="26"/>
  <c r="AB152" i="26" s="1"/>
  <c r="AA93" i="26"/>
  <c r="AC116" i="26"/>
  <c r="AD279" i="26"/>
  <c r="Z14" i="26"/>
  <c r="AA14" i="26" s="1"/>
  <c r="AB14" i="26" s="1"/>
  <c r="AA345" i="26"/>
  <c r="AC347" i="26"/>
  <c r="AD347" i="26" s="1"/>
  <c r="AC346" i="26"/>
  <c r="AD346" i="26" s="1"/>
  <c r="AE346" i="26" s="1"/>
  <c r="Z341" i="26"/>
  <c r="AA341" i="26" s="1"/>
  <c r="AE343" i="26"/>
  <c r="AF343" i="26" s="1"/>
  <c r="AH343" i="26" s="1"/>
  <c r="AB344" i="26"/>
  <c r="AC344" i="26" s="1"/>
  <c r="AD344" i="26" s="1"/>
  <c r="AC348" i="26"/>
  <c r="AC342" i="26"/>
  <c r="AD342" i="26" s="1"/>
  <c r="AA340" i="26"/>
  <c r="AH280" i="26" l="1"/>
  <c r="AE285" i="26"/>
  <c r="AF285" i="26" s="1"/>
  <c r="AH285" i="26" s="1"/>
  <c r="AC45" i="26"/>
  <c r="AD45" i="26" s="1"/>
  <c r="AE45" i="26" s="1"/>
  <c r="AB164" i="26"/>
  <c r="AC164" i="26" s="1"/>
  <c r="AC218" i="26"/>
  <c r="AD218" i="26" s="1"/>
  <c r="AB15" i="26"/>
  <c r="AC15" i="26" s="1"/>
  <c r="AC137" i="26"/>
  <c r="AD137" i="26" s="1"/>
  <c r="AE137" i="26" s="1"/>
  <c r="AB65" i="26"/>
  <c r="AC65" i="26" s="1"/>
  <c r="AE252" i="26"/>
  <c r="AF252" i="26" s="1"/>
  <c r="AH252" i="26" s="1"/>
  <c r="AE146" i="26"/>
  <c r="AF146" i="26" s="1"/>
  <c r="AH146" i="26" s="1"/>
  <c r="AC129" i="26"/>
  <c r="AD129" i="26" s="1"/>
  <c r="AB25" i="26"/>
  <c r="AC25" i="26" s="1"/>
  <c r="AE253" i="26"/>
  <c r="AF253" i="26" s="1"/>
  <c r="AH253" i="26" s="1"/>
  <c r="AB31" i="26"/>
  <c r="AC31" i="26" s="1"/>
  <c r="AB17" i="26"/>
  <c r="AC17" i="26" s="1"/>
  <c r="AC59" i="26"/>
  <c r="AD59" i="26" s="1"/>
  <c r="AE59" i="26" s="1"/>
  <c r="AF59" i="26" s="1"/>
  <c r="AH59" i="26" s="1"/>
  <c r="AC170" i="26"/>
  <c r="AD170" i="26" s="1"/>
  <c r="AE170" i="26" s="1"/>
  <c r="AC140" i="26"/>
  <c r="AD140" i="26" s="1"/>
  <c r="AE140" i="26" s="1"/>
  <c r="AB33" i="26"/>
  <c r="AC33" i="26" s="1"/>
  <c r="AD33" i="26" s="1"/>
  <c r="AE33" i="26" s="1"/>
  <c r="AF33" i="26" s="1"/>
  <c r="AH33" i="26" s="1"/>
  <c r="AB145" i="26"/>
  <c r="AC145" i="26" s="1"/>
  <c r="AB177" i="26"/>
  <c r="AC177" i="26" s="1"/>
  <c r="AD177" i="26" s="1"/>
  <c r="AB324" i="26"/>
  <c r="AC324" i="26" s="1"/>
  <c r="AD324" i="26" s="1"/>
  <c r="AE314" i="26"/>
  <c r="AF314" i="26" s="1"/>
  <c r="AH314" i="26" s="1"/>
  <c r="AF326" i="26"/>
  <c r="AH326" i="26" s="1"/>
  <c r="AF247" i="26"/>
  <c r="AH247" i="26" s="1"/>
  <c r="AB37" i="26"/>
  <c r="AC37" i="26" s="1"/>
  <c r="AF215" i="26"/>
  <c r="AH215" i="26" s="1"/>
  <c r="AC57" i="26"/>
  <c r="AD57" i="26" s="1"/>
  <c r="AE57" i="26" s="1"/>
  <c r="AC60" i="26"/>
  <c r="AD60" i="26" s="1"/>
  <c r="AE60" i="26" s="1"/>
  <c r="AC205" i="26"/>
  <c r="AD205" i="26" s="1"/>
  <c r="AD78" i="26"/>
  <c r="AE78" i="26" s="1"/>
  <c r="AF78" i="26" s="1"/>
  <c r="AH78" i="26" s="1"/>
  <c r="AC255" i="26"/>
  <c r="AD255" i="26" s="1"/>
  <c r="AE255" i="26" s="1"/>
  <c r="AF255" i="26" s="1"/>
  <c r="AH255" i="26" s="1"/>
  <c r="AA79" i="26"/>
  <c r="AB79" i="26" s="1"/>
  <c r="AE91" i="26"/>
  <c r="AF91" i="26" s="1"/>
  <c r="AH91" i="26" s="1"/>
  <c r="AB179" i="26"/>
  <c r="AC179" i="26" s="1"/>
  <c r="AD179" i="26" s="1"/>
  <c r="AB209" i="26"/>
  <c r="AC209" i="26" s="1"/>
  <c r="AA73" i="26"/>
  <c r="AB73" i="26" s="1"/>
  <c r="AF213" i="26"/>
  <c r="AH213" i="26" s="1"/>
  <c r="AB111" i="26"/>
  <c r="AC111" i="26" s="1"/>
  <c r="AD111" i="26" s="1"/>
  <c r="AE111" i="26" s="1"/>
  <c r="AF111" i="26" s="1"/>
  <c r="AH111" i="26" s="1"/>
  <c r="AC77" i="26"/>
  <c r="AE223" i="26"/>
  <c r="AF223" i="26" s="1"/>
  <c r="AH223" i="26" s="1"/>
  <c r="AE107" i="26"/>
  <c r="AF107" i="26" s="1"/>
  <c r="AH107" i="26" s="1"/>
  <c r="AB262" i="26"/>
  <c r="AC262" i="26" s="1"/>
  <c r="AD262" i="26" s="1"/>
  <c r="AC292" i="26"/>
  <c r="AD292" i="26" s="1"/>
  <c r="AE292" i="26" s="1"/>
  <c r="AF292" i="26" s="1"/>
  <c r="AH292" i="26" s="1"/>
  <c r="AC122" i="26"/>
  <c r="AE288" i="26"/>
  <c r="AF288" i="26" s="1"/>
  <c r="AH288" i="26" s="1"/>
  <c r="AA176" i="26"/>
  <c r="AB176" i="26" s="1"/>
  <c r="AC176" i="26" s="1"/>
  <c r="AB157" i="26"/>
  <c r="AF35" i="26"/>
  <c r="AH35" i="26" s="1"/>
  <c r="AB139" i="26"/>
  <c r="AC139" i="26" s="1"/>
  <c r="AC241" i="26"/>
  <c r="AD241" i="26" s="1"/>
  <c r="AE241" i="26" s="1"/>
  <c r="AF241" i="26" s="1"/>
  <c r="AH241" i="26" s="1"/>
  <c r="AD158" i="26"/>
  <c r="AE158" i="26" s="1"/>
  <c r="AE149" i="26"/>
  <c r="AC305" i="26"/>
  <c r="AD305" i="26" s="1"/>
  <c r="AE305" i="26" s="1"/>
  <c r="AF305" i="26" s="1"/>
  <c r="AH305" i="26" s="1"/>
  <c r="AD293" i="26"/>
  <c r="AE293" i="26" s="1"/>
  <c r="AA210" i="26"/>
  <c r="AA109" i="26"/>
  <c r="AB316" i="26"/>
  <c r="AC316" i="26" s="1"/>
  <c r="AD294" i="26"/>
  <c r="AE294" i="26" s="1"/>
  <c r="AF294" i="26" s="1"/>
  <c r="AH294" i="26" s="1"/>
  <c r="AB29" i="26"/>
  <c r="AC29" i="26" s="1"/>
  <c r="AD29" i="26" s="1"/>
  <c r="AE29" i="26" s="1"/>
  <c r="AD70" i="26"/>
  <c r="AE70" i="26" s="1"/>
  <c r="AF70" i="26" s="1"/>
  <c r="AH70" i="26" s="1"/>
  <c r="AC114" i="26"/>
  <c r="AD114" i="26" s="1"/>
  <c r="AB254" i="26"/>
  <c r="AC254" i="26" s="1"/>
  <c r="AF229" i="26"/>
  <c r="AH229" i="26" s="1"/>
  <c r="AA172" i="26"/>
  <c r="AA237" i="26"/>
  <c r="AB237" i="26" s="1"/>
  <c r="AB287" i="26"/>
  <c r="AC287" i="26" s="1"/>
  <c r="AD287" i="26" s="1"/>
  <c r="AA271" i="26"/>
  <c r="AB271" i="26" s="1"/>
  <c r="AC271" i="26" s="1"/>
  <c r="AD89" i="26"/>
  <c r="AE89" i="26" s="1"/>
  <c r="AF89" i="26" s="1"/>
  <c r="AH89" i="26" s="1"/>
  <c r="AF258" i="26"/>
  <c r="AH258" i="26" s="1"/>
  <c r="AB21" i="26"/>
  <c r="AC21" i="26" s="1"/>
  <c r="AD21" i="26" s="1"/>
  <c r="AE21" i="26" s="1"/>
  <c r="AD178" i="26"/>
  <c r="AE178" i="26" s="1"/>
  <c r="AF178" i="26" s="1"/>
  <c r="AH178" i="26" s="1"/>
  <c r="AC303" i="26"/>
  <c r="AD303" i="26" s="1"/>
  <c r="AE303" i="26" s="1"/>
  <c r="AF303" i="26" s="1"/>
  <c r="AH303" i="26" s="1"/>
  <c r="AB317" i="26"/>
  <c r="AC317" i="26" s="1"/>
  <c r="AB245" i="26"/>
  <c r="AB321" i="26"/>
  <c r="AC321" i="26" s="1"/>
  <c r="AE188" i="26"/>
  <c r="AF188" i="26" s="1"/>
  <c r="AH188" i="26" s="1"/>
  <c r="AA300" i="26"/>
  <c r="AB300" i="26" s="1"/>
  <c r="AC300" i="26" s="1"/>
  <c r="AA301" i="26"/>
  <c r="AE68" i="26"/>
  <c r="AF68" i="26" s="1"/>
  <c r="AH68" i="26" s="1"/>
  <c r="AE329" i="26"/>
  <c r="AF329" i="26" s="1"/>
  <c r="AH329" i="26" s="1"/>
  <c r="AC88" i="26"/>
  <c r="AD88" i="26" s="1"/>
  <c r="AE88" i="26" s="1"/>
  <c r="AF88" i="26" s="1"/>
  <c r="AH88" i="26" s="1"/>
  <c r="AE307" i="26"/>
  <c r="AF307" i="26" s="1"/>
  <c r="AH307" i="26" s="1"/>
  <c r="AD256" i="26"/>
  <c r="AE256" i="26" s="1"/>
  <c r="AF256" i="26" s="1"/>
  <c r="AH256" i="26" s="1"/>
  <c r="AD315" i="26"/>
  <c r="AD50" i="26"/>
  <c r="AE50" i="26" s="1"/>
  <c r="AD313" i="26"/>
  <c r="AE313" i="26" s="1"/>
  <c r="AF313" i="26" s="1"/>
  <c r="AH313" i="26" s="1"/>
  <c r="AE333" i="26"/>
  <c r="AF333" i="26" s="1"/>
  <c r="AH333" i="26" s="1"/>
  <c r="AC180" i="26"/>
  <c r="AD180" i="26" s="1"/>
  <c r="AE180" i="26" s="1"/>
  <c r="AC84" i="26"/>
  <c r="AD84" i="26" s="1"/>
  <c r="AD187" i="26"/>
  <c r="AE187" i="26" s="1"/>
  <c r="AD20" i="26"/>
  <c r="AE20" i="26" s="1"/>
  <c r="AF20" i="26" s="1"/>
  <c r="AH20" i="26" s="1"/>
  <c r="AB230" i="26"/>
  <c r="AC230" i="26" s="1"/>
  <c r="AD299" i="26"/>
  <c r="AE299" i="26" s="1"/>
  <c r="AF299" i="26" s="1"/>
  <c r="AH299" i="26" s="1"/>
  <c r="AF239" i="26"/>
  <c r="AH239" i="26" s="1"/>
  <c r="AC208" i="26"/>
  <c r="AD208" i="26" s="1"/>
  <c r="AE208" i="26" s="1"/>
  <c r="AF208" i="26" s="1"/>
  <c r="AH208" i="26" s="1"/>
  <c r="AC81" i="26"/>
  <c r="AD81" i="26" s="1"/>
  <c r="AE81" i="26" s="1"/>
  <c r="AF81" i="26" s="1"/>
  <c r="AH81" i="26" s="1"/>
  <c r="AB265" i="26"/>
  <c r="AC265" i="26" s="1"/>
  <c r="AD265" i="26" s="1"/>
  <c r="AC104" i="26"/>
  <c r="AD104" i="26" s="1"/>
  <c r="AE104" i="26" s="1"/>
  <c r="AF104" i="26" s="1"/>
  <c r="AH104" i="26" s="1"/>
  <c r="AF211" i="26"/>
  <c r="AH211" i="26" s="1"/>
  <c r="AD193" i="26"/>
  <c r="AE193" i="26" s="1"/>
  <c r="AF193" i="26" s="1"/>
  <c r="AH193" i="26" s="1"/>
  <c r="AA22" i="26"/>
  <c r="AD62" i="26"/>
  <c r="AE62" i="26" s="1"/>
  <c r="AF62" i="26" s="1"/>
  <c r="AH62" i="26" s="1"/>
  <c r="AA103" i="26"/>
  <c r="AB103" i="26" s="1"/>
  <c r="AD69" i="26"/>
  <c r="AD19" i="26"/>
  <c r="AF118" i="26"/>
  <c r="AH118" i="26" s="1"/>
  <c r="AC235" i="26"/>
  <c r="AD235" i="26" s="1"/>
  <c r="AE235" i="26" s="1"/>
  <c r="AB86" i="26"/>
  <c r="AA53" i="26"/>
  <c r="AB53" i="26" s="1"/>
  <c r="AB240" i="26"/>
  <c r="AC240" i="26" s="1"/>
  <c r="AD240" i="26" s="1"/>
  <c r="AE240" i="26" s="1"/>
  <c r="AF240" i="26" s="1"/>
  <c r="AH240" i="26" s="1"/>
  <c r="AC113" i="26"/>
  <c r="AD113" i="26" s="1"/>
  <c r="AE113" i="26" s="1"/>
  <c r="AF113" i="26" s="1"/>
  <c r="AH113" i="26" s="1"/>
  <c r="AE204" i="26"/>
  <c r="AF204" i="26" s="1"/>
  <c r="AH204" i="26" s="1"/>
  <c r="AE282" i="26"/>
  <c r="AF282" i="26" s="1"/>
  <c r="AH282" i="26" s="1"/>
  <c r="AC272" i="26"/>
  <c r="AD272" i="26" s="1"/>
  <c r="AE272" i="26" s="1"/>
  <c r="AF272" i="26" s="1"/>
  <c r="AH272" i="26" s="1"/>
  <c r="AF264" i="26"/>
  <c r="AH264" i="26" s="1"/>
  <c r="AF200" i="26"/>
  <c r="AH200" i="26" s="1"/>
  <c r="AB42" i="26"/>
  <c r="AA243" i="26"/>
  <c r="AB243" i="26" s="1"/>
  <c r="AA197" i="26"/>
  <c r="AA261" i="26"/>
  <c r="AE169" i="26"/>
  <c r="AF169" i="26" s="1"/>
  <c r="AH169" i="26" s="1"/>
  <c r="AB85" i="26"/>
  <c r="AC85" i="26" s="1"/>
  <c r="AD85" i="26" s="1"/>
  <c r="AE85" i="26" s="1"/>
  <c r="AF85" i="26" s="1"/>
  <c r="AH85" i="26" s="1"/>
  <c r="AF27" i="26"/>
  <c r="AH27" i="26" s="1"/>
  <c r="AE311" i="26"/>
  <c r="AF311" i="26" s="1"/>
  <c r="AH311" i="26" s="1"/>
  <c r="AD267" i="26"/>
  <c r="AB196" i="26"/>
  <c r="AA186" i="26"/>
  <c r="AB297" i="26"/>
  <c r="AE266" i="26"/>
  <c r="AF266" i="26" s="1"/>
  <c r="AH266" i="26" s="1"/>
  <c r="AC248" i="26"/>
  <c r="AD248" i="26" s="1"/>
  <c r="AE248" i="26" s="1"/>
  <c r="AD116" i="26"/>
  <c r="AE116" i="26" s="1"/>
  <c r="AF116" i="26" s="1"/>
  <c r="AH116" i="26" s="1"/>
  <c r="AC291" i="26"/>
  <c r="AD23" i="26"/>
  <c r="AE23" i="26" s="1"/>
  <c r="AA106" i="26"/>
  <c r="AC120" i="26"/>
  <c r="AD120" i="26" s="1"/>
  <c r="AD99" i="26"/>
  <c r="AE99" i="26" s="1"/>
  <c r="AF99" i="26" s="1"/>
  <c r="AH99" i="26" s="1"/>
  <c r="AA55" i="26"/>
  <c r="AE244" i="26"/>
  <c r="AF244" i="26" s="1"/>
  <c r="AH244" i="26" s="1"/>
  <c r="AA51" i="26"/>
  <c r="AC162" i="26"/>
  <c r="AD162" i="26" s="1"/>
  <c r="AB87" i="26"/>
  <c r="AD61" i="26"/>
  <c r="AE61" i="26" s="1"/>
  <c r="AF309" i="26"/>
  <c r="AH309" i="26" s="1"/>
  <c r="AD312" i="26"/>
  <c r="AE312" i="26" s="1"/>
  <c r="AF312" i="26" s="1"/>
  <c r="AH312" i="26" s="1"/>
  <c r="AB93" i="26"/>
  <c r="AC152" i="26"/>
  <c r="AD152" i="26" s="1"/>
  <c r="AA159" i="26"/>
  <c r="AB249" i="26"/>
  <c r="AD30" i="26"/>
  <c r="AE30" i="26" s="1"/>
  <c r="AB216" i="26"/>
  <c r="AA132" i="26"/>
  <c r="AA182" i="26"/>
  <c r="AB182" i="26" s="1"/>
  <c r="AB105" i="26"/>
  <c r="AC238" i="26"/>
  <c r="AD238" i="26" s="1"/>
  <c r="AD290" i="26"/>
  <c r="AE290" i="26" s="1"/>
  <c r="AD296" i="26"/>
  <c r="AE296" i="26" s="1"/>
  <c r="AF296" i="26" s="1"/>
  <c r="AH296" i="26" s="1"/>
  <c r="AB161" i="26"/>
  <c r="AC161" i="26" s="1"/>
  <c r="AD161" i="26" s="1"/>
  <c r="AA190" i="26"/>
  <c r="AE279" i="26"/>
  <c r="AF279" i="26" s="1"/>
  <c r="AH279" i="26" s="1"/>
  <c r="AB71" i="26"/>
  <c r="AA40" i="26"/>
  <c r="AB72" i="26"/>
  <c r="AC67" i="26"/>
  <c r="AD67" i="26" s="1"/>
  <c r="AA63" i="26"/>
  <c r="AF283" i="26"/>
  <c r="AH283" i="26" s="1"/>
  <c r="AB135" i="26"/>
  <c r="AC135" i="26" s="1"/>
  <c r="AC232" i="26"/>
  <c r="AD322" i="26"/>
  <c r="AE322" i="26" s="1"/>
  <c r="AB133" i="26"/>
  <c r="AA147" i="26"/>
  <c r="AD185" i="26"/>
  <c r="AE185" i="26" s="1"/>
  <c r="AF185" i="26" s="1"/>
  <c r="AH185" i="26" s="1"/>
  <c r="AA110" i="26"/>
  <c r="AA165" i="26"/>
  <c r="AD191" i="26"/>
  <c r="AE191" i="26" s="1"/>
  <c r="AF191" i="26" s="1"/>
  <c r="AH191" i="26" s="1"/>
  <c r="AE219" i="26"/>
  <c r="AF219" i="26" s="1"/>
  <c r="AH219" i="26" s="1"/>
  <c r="AD236" i="26"/>
  <c r="AE236" i="26" s="1"/>
  <c r="AF236" i="26" s="1"/>
  <c r="AH236" i="26" s="1"/>
  <c r="AC246" i="26"/>
  <c r="AD141" i="26"/>
  <c r="AE276" i="26"/>
  <c r="AF276" i="26" s="1"/>
  <c r="AH276" i="26" s="1"/>
  <c r="AE34" i="26"/>
  <c r="AF34" i="26" s="1"/>
  <c r="AH34" i="26" s="1"/>
  <c r="AE171" i="26"/>
  <c r="AF171" i="26" s="1"/>
  <c r="AH171" i="26" s="1"/>
  <c r="AA167" i="26"/>
  <c r="AB167" i="26" s="1"/>
  <c r="AC167" i="26" s="1"/>
  <c r="AA56" i="26"/>
  <c r="AB56" i="26" s="1"/>
  <c r="AC56" i="26" s="1"/>
  <c r="AA43" i="26"/>
  <c r="AD44" i="26"/>
  <c r="AB49" i="26"/>
  <c r="AC49" i="26" s="1"/>
  <c r="AC144" i="26"/>
  <c r="AA119" i="26"/>
  <c r="AB119" i="26" s="1"/>
  <c r="AB131" i="26"/>
  <c r="AA48" i="26"/>
  <c r="AD115" i="26"/>
  <c r="AE115" i="26" s="1"/>
  <c r="AA76" i="26"/>
  <c r="AB76" i="26" s="1"/>
  <c r="AC76" i="26" s="1"/>
  <c r="AD224" i="26"/>
  <c r="AE224" i="26" s="1"/>
  <c r="AF224" i="26" s="1"/>
  <c r="AH224" i="26" s="1"/>
  <c r="AD121" i="26"/>
  <c r="AE121" i="26" s="1"/>
  <c r="AC298" i="26"/>
  <c r="AF108" i="26"/>
  <c r="AH108" i="26" s="1"/>
  <c r="AD174" i="26"/>
  <c r="AD319" i="26"/>
  <c r="AE319" i="26" s="1"/>
  <c r="AF82" i="26"/>
  <c r="AH82" i="26" s="1"/>
  <c r="AC101" i="26"/>
  <c r="AD101" i="26" s="1"/>
  <c r="AE295" i="26"/>
  <c r="AF295" i="26" s="1"/>
  <c r="AH295" i="26" s="1"/>
  <c r="AD166" i="26"/>
  <c r="AE166" i="26" s="1"/>
  <c r="AF166" i="26" s="1"/>
  <c r="AH166" i="26" s="1"/>
  <c r="AE181" i="26"/>
  <c r="AF181" i="26" s="1"/>
  <c r="AH181" i="26" s="1"/>
  <c r="AA222" i="26"/>
  <c r="AB222" i="26" s="1"/>
  <c r="AC289" i="26"/>
  <c r="AA124" i="26"/>
  <c r="AB124" i="26" s="1"/>
  <c r="AC124" i="26" s="1"/>
  <c r="AC142" i="26"/>
  <c r="AD142" i="26" s="1"/>
  <c r="AE142" i="26" s="1"/>
  <c r="AD134" i="26"/>
  <c r="AE134" i="26" s="1"/>
  <c r="AF134" i="26" s="1"/>
  <c r="AH134" i="26" s="1"/>
  <c r="AF260" i="26"/>
  <c r="AH260" i="26" s="1"/>
  <c r="AE192" i="26"/>
  <c r="AF192" i="26" s="1"/>
  <c r="AH192" i="26" s="1"/>
  <c r="AD273" i="26"/>
  <c r="AE273" i="26" s="1"/>
  <c r="AF273" i="26" s="1"/>
  <c r="AH273" i="26" s="1"/>
  <c r="AC125" i="26"/>
  <c r="AD125" i="26" s="1"/>
  <c r="AD231" i="26"/>
  <c r="AE150" i="26"/>
  <c r="AF150" i="26" s="1"/>
  <c r="AH150" i="26" s="1"/>
  <c r="AC173" i="26"/>
  <c r="AD173" i="26" s="1"/>
  <c r="AE212" i="26"/>
  <c r="AF212" i="26" s="1"/>
  <c r="AH212" i="26" s="1"/>
  <c r="AE320" i="26"/>
  <c r="AF320" i="26" s="1"/>
  <c r="AH320" i="26" s="1"/>
  <c r="AD160" i="26"/>
  <c r="AE160" i="26" s="1"/>
  <c r="AF160" i="26" s="1"/>
  <c r="AH160" i="26" s="1"/>
  <c r="AF92" i="26"/>
  <c r="AH92" i="26" s="1"/>
  <c r="AD123" i="26"/>
  <c r="AE123" i="26" s="1"/>
  <c r="AF123" i="26" s="1"/>
  <c r="AH123" i="26" s="1"/>
  <c r="AE221" i="26"/>
  <c r="AF221" i="26" s="1"/>
  <c r="AH221" i="26" s="1"/>
  <c r="AE228" i="26"/>
  <c r="AF228" i="26" s="1"/>
  <c r="AH228" i="26" s="1"/>
  <c r="AD225" i="26"/>
  <c r="AE225" i="26" s="1"/>
  <c r="AC257" i="26"/>
  <c r="AD257" i="26" s="1"/>
  <c r="AA270" i="26"/>
  <c r="AB270" i="26" s="1"/>
  <c r="AD163" i="26"/>
  <c r="AE163" i="26" s="1"/>
  <c r="AA143" i="26"/>
  <c r="AE304" i="26"/>
  <c r="AF304" i="26" s="1"/>
  <c r="AH304" i="26" s="1"/>
  <c r="AA64" i="26"/>
  <c r="AB64" i="26" s="1"/>
  <c r="AE277" i="26"/>
  <c r="AF277" i="26" s="1"/>
  <c r="AH277" i="26" s="1"/>
  <c r="AC90" i="26"/>
  <c r="AD90" i="26" s="1"/>
  <c r="AB278" i="26"/>
  <c r="AC278" i="26" s="1"/>
  <c r="AB286" i="26"/>
  <c r="AE335" i="26"/>
  <c r="AF335" i="26" s="1"/>
  <c r="AH335" i="26" s="1"/>
  <c r="AE46" i="26"/>
  <c r="AF46" i="26" s="1"/>
  <c r="AH46" i="26" s="1"/>
  <c r="AD128" i="26"/>
  <c r="AE128" i="26" s="1"/>
  <c r="AF136" i="26"/>
  <c r="AH136" i="26" s="1"/>
  <c r="AE195" i="26"/>
  <c r="AF195" i="26" s="1"/>
  <c r="AH195" i="26" s="1"/>
  <c r="AC323" i="26"/>
  <c r="AD323" i="26" s="1"/>
  <c r="AE323" i="26" s="1"/>
  <c r="AA127" i="26"/>
  <c r="AB127" i="26" s="1"/>
  <c r="AA175" i="26"/>
  <c r="AF234" i="26"/>
  <c r="AH234" i="26" s="1"/>
  <c r="AA75" i="26"/>
  <c r="AD275" i="26"/>
  <c r="AC80" i="26"/>
  <c r="AA148" i="26"/>
  <c r="AC83" i="26"/>
  <c r="AD83" i="26" s="1"/>
  <c r="AE327" i="26"/>
  <c r="AF327" i="26" s="1"/>
  <c r="AH327" i="26" s="1"/>
  <c r="AC306" i="26"/>
  <c r="AD306" i="26" s="1"/>
  <c r="AC281" i="26"/>
  <c r="AC94" i="26"/>
  <c r="AC198" i="26"/>
  <c r="AE203" i="26"/>
  <c r="AF203" i="26" s="1"/>
  <c r="AH203" i="26" s="1"/>
  <c r="AE242" i="26"/>
  <c r="AF242" i="26" s="1"/>
  <c r="AH242" i="26" s="1"/>
  <c r="AB130" i="26"/>
  <c r="AC130" i="26" s="1"/>
  <c r="AD251" i="26"/>
  <c r="AE251" i="26" s="1"/>
  <c r="AF251" i="26" s="1"/>
  <c r="AH251" i="26" s="1"/>
  <c r="AF41" i="26"/>
  <c r="AH41" i="26" s="1"/>
  <c r="AE47" i="26"/>
  <c r="AF47" i="26" s="1"/>
  <c r="AH47" i="26" s="1"/>
  <c r="AA214" i="26"/>
  <c r="AB214" i="26" s="1"/>
  <c r="AC214" i="26" s="1"/>
  <c r="AA156" i="26"/>
  <c r="AB156" i="26" s="1"/>
  <c r="AC156" i="26" s="1"/>
  <c r="AA96" i="26"/>
  <c r="AC201" i="26"/>
  <c r="AE220" i="26"/>
  <c r="AF220" i="26" s="1"/>
  <c r="AH220" i="26" s="1"/>
  <c r="AC199" i="26"/>
  <c r="AD199" i="26" s="1"/>
  <c r="AC97" i="26"/>
  <c r="AC217" i="26"/>
  <c r="AD217" i="26" s="1"/>
  <c r="AA102" i="26"/>
  <c r="AA52" i="26"/>
  <c r="AD259" i="26"/>
  <c r="AE259" i="26" s="1"/>
  <c r="AF259" i="26" s="1"/>
  <c r="AH259" i="26" s="1"/>
  <c r="AA206" i="26"/>
  <c r="AF183" i="26"/>
  <c r="AH183" i="26" s="1"/>
  <c r="AB39" i="26"/>
  <c r="AC39" i="26" s="1"/>
  <c r="AC263" i="26"/>
  <c r="AD263" i="26" s="1"/>
  <c r="AA74" i="26"/>
  <c r="AB74" i="26" s="1"/>
  <c r="AC74" i="26" s="1"/>
  <c r="AE328" i="26"/>
  <c r="AF328" i="26" s="1"/>
  <c r="AH328" i="26" s="1"/>
  <c r="AC184" i="26"/>
  <c r="Z13" i="26"/>
  <c r="AA339" i="26"/>
  <c r="AE347" i="26"/>
  <c r="AF347" i="26" s="1"/>
  <c r="AH347" i="26" s="1"/>
  <c r="AB345" i="26"/>
  <c r="AC345" i="26" s="1"/>
  <c r="AD345" i="26" s="1"/>
  <c r="AB341" i="26"/>
  <c r="AC341" i="26" s="1"/>
  <c r="Z339" i="26"/>
  <c r="AF346" i="26"/>
  <c r="AH346" i="26" s="1"/>
  <c r="AE342" i="26"/>
  <c r="AF342" i="26" s="1"/>
  <c r="AH342" i="26" s="1"/>
  <c r="AD348" i="26"/>
  <c r="AE348" i="26" s="1"/>
  <c r="AF348" i="26" s="1"/>
  <c r="AH348" i="26" s="1"/>
  <c r="AB340" i="26"/>
  <c r="AE344" i="26"/>
  <c r="AF344" i="26" s="1"/>
  <c r="AH344" i="26" s="1"/>
  <c r="AC14" i="26"/>
  <c r="AD14" i="26" s="1"/>
  <c r="AF352" i="26" l="1"/>
  <c r="AD164" i="26"/>
  <c r="AE164" i="26" s="1"/>
  <c r="AF164" i="26" s="1"/>
  <c r="AH164" i="26" s="1"/>
  <c r="AE218" i="26"/>
  <c r="AF218" i="26" s="1"/>
  <c r="AH218" i="26" s="1"/>
  <c r="AD31" i="26"/>
  <c r="AE31" i="26" s="1"/>
  <c r="AD65" i="26"/>
  <c r="AE65" i="26" s="1"/>
  <c r="AF65" i="26" s="1"/>
  <c r="AH65" i="26" s="1"/>
  <c r="AD25" i="26"/>
  <c r="AE25" i="26" s="1"/>
  <c r="AD139" i="26"/>
  <c r="AE139" i="26" s="1"/>
  <c r="AF170" i="26"/>
  <c r="AH170" i="26" s="1"/>
  <c r="AF57" i="26"/>
  <c r="AH57" i="26" s="1"/>
  <c r="AF227" i="26"/>
  <c r="AH227" i="26" s="1"/>
  <c r="AD145" i="26"/>
  <c r="AE145" i="26" s="1"/>
  <c r="AF145" i="26" s="1"/>
  <c r="AH145" i="26" s="1"/>
  <c r="AE324" i="26"/>
  <c r="AF324" i="26" s="1"/>
  <c r="AH324" i="26" s="1"/>
  <c r="AE205" i="26"/>
  <c r="AF205" i="26" s="1"/>
  <c r="AH205" i="26" s="1"/>
  <c r="AC79" i="26"/>
  <c r="AD79" i="26" s="1"/>
  <c r="AD209" i="26"/>
  <c r="AE209" i="26" s="1"/>
  <c r="AF149" i="26"/>
  <c r="AH149" i="26" s="1"/>
  <c r="AE287" i="26"/>
  <c r="AF287" i="26" s="1"/>
  <c r="AH287" i="26" s="1"/>
  <c r="AC73" i="26"/>
  <c r="AD73" i="26" s="1"/>
  <c r="AD122" i="26"/>
  <c r="AE122" i="26" s="1"/>
  <c r="AD77" i="26"/>
  <c r="AE77" i="26" s="1"/>
  <c r="AF77" i="26" s="1"/>
  <c r="AH77" i="26" s="1"/>
  <c r="AD271" i="26"/>
  <c r="AE271" i="26" s="1"/>
  <c r="AF271" i="26" s="1"/>
  <c r="AH271" i="26" s="1"/>
  <c r="AD300" i="26"/>
  <c r="AE300" i="26" s="1"/>
  <c r="AF300" i="26" s="1"/>
  <c r="AH300" i="26" s="1"/>
  <c r="AF337" i="26"/>
  <c r="AH337" i="26" s="1"/>
  <c r="AD317" i="26"/>
  <c r="AE317" i="26" s="1"/>
  <c r="AF317" i="26" s="1"/>
  <c r="AH317" i="26" s="1"/>
  <c r="AE19" i="26"/>
  <c r="AF19" i="26" s="1"/>
  <c r="AH19" i="26" s="1"/>
  <c r="AE154" i="26"/>
  <c r="AF154" i="26" s="1"/>
  <c r="AH154" i="26" s="1"/>
  <c r="AB172" i="26"/>
  <c r="AC172" i="26" s="1"/>
  <c r="AD172" i="26" s="1"/>
  <c r="AE172" i="26" s="1"/>
  <c r="AB308" i="26"/>
  <c r="AD321" i="26"/>
  <c r="AE321" i="26" s="1"/>
  <c r="AF293" i="26"/>
  <c r="AH293" i="26" s="1"/>
  <c r="AC157" i="26"/>
  <c r="AF180" i="26"/>
  <c r="AH180" i="26" s="1"/>
  <c r="AE69" i="26"/>
  <c r="AF69" i="26" s="1"/>
  <c r="AH69" i="26" s="1"/>
  <c r="AF140" i="26"/>
  <c r="AH140" i="26" s="1"/>
  <c r="AE315" i="26"/>
  <c r="AF315" i="26" s="1"/>
  <c r="AH315" i="26" s="1"/>
  <c r="AB301" i="26"/>
  <c r="AC245" i="26"/>
  <c r="AC237" i="26"/>
  <c r="AD316" i="26"/>
  <c r="AE316" i="26" s="1"/>
  <c r="AF316" i="26" s="1"/>
  <c r="AH316" i="26" s="1"/>
  <c r="AB109" i="26"/>
  <c r="AC109" i="26" s="1"/>
  <c r="AB210" i="26"/>
  <c r="AF158" i="26"/>
  <c r="AH158" i="26" s="1"/>
  <c r="AC182" i="26"/>
  <c r="AD182" i="26" s="1"/>
  <c r="AE182" i="26" s="1"/>
  <c r="AE90" i="26"/>
  <c r="AF90" i="26" s="1"/>
  <c r="AH90" i="26" s="1"/>
  <c r="AD156" i="26"/>
  <c r="AE156" i="26" s="1"/>
  <c r="AE275" i="26"/>
  <c r="AF275" i="26" s="1"/>
  <c r="AH275" i="26" s="1"/>
  <c r="AF142" i="26"/>
  <c r="AH142" i="26" s="1"/>
  <c r="AD76" i="26"/>
  <c r="AE76" i="26" s="1"/>
  <c r="AF76" i="26" s="1"/>
  <c r="AH76" i="26" s="1"/>
  <c r="AF235" i="26"/>
  <c r="AH235" i="26" s="1"/>
  <c r="AC249" i="26"/>
  <c r="AD249" i="26" s="1"/>
  <c r="AF23" i="26"/>
  <c r="AH23" i="26" s="1"/>
  <c r="AC42" i="26"/>
  <c r="AD42" i="26" s="1"/>
  <c r="AE267" i="26"/>
  <c r="AF267" i="26" s="1"/>
  <c r="AH267" i="26" s="1"/>
  <c r="AB261" i="26"/>
  <c r="AB197" i="26"/>
  <c r="AF50" i="26"/>
  <c r="AH50" i="26" s="1"/>
  <c r="AD230" i="26"/>
  <c r="AF187" i="26"/>
  <c r="AH187" i="26" s="1"/>
  <c r="AE125" i="26"/>
  <c r="AF125" i="26" s="1"/>
  <c r="AH125" i="26" s="1"/>
  <c r="AF45" i="26"/>
  <c r="AH45" i="26" s="1"/>
  <c r="AC103" i="26"/>
  <c r="AD103" i="26" s="1"/>
  <c r="AB22" i="26"/>
  <c r="AC22" i="26" s="1"/>
  <c r="AF248" i="26"/>
  <c r="AH248" i="26" s="1"/>
  <c r="AD56" i="26"/>
  <c r="AE56" i="26" s="1"/>
  <c r="AF56" i="26" s="1"/>
  <c r="AH56" i="26" s="1"/>
  <c r="AC196" i="26"/>
  <c r="AD74" i="26"/>
  <c r="AE74" i="26" s="1"/>
  <c r="AF74" i="26" s="1"/>
  <c r="AH74" i="26" s="1"/>
  <c r="AE199" i="26"/>
  <c r="AF199" i="26" s="1"/>
  <c r="AH199" i="26" s="1"/>
  <c r="AB75" i="26"/>
  <c r="AB175" i="26"/>
  <c r="AC175" i="26" s="1"/>
  <c r="AF319" i="26"/>
  <c r="AH319" i="26" s="1"/>
  <c r="AE262" i="26"/>
  <c r="AF262" i="26" s="1"/>
  <c r="AH262" i="26" s="1"/>
  <c r="AB165" i="26"/>
  <c r="AC165" i="26" s="1"/>
  <c r="AD232" i="26"/>
  <c r="AE232" i="26" s="1"/>
  <c r="AF232" i="26" s="1"/>
  <c r="AH232" i="26" s="1"/>
  <c r="AF290" i="26"/>
  <c r="AH290" i="26" s="1"/>
  <c r="AD291" i="26"/>
  <c r="AE291" i="26" s="1"/>
  <c r="AB186" i="26"/>
  <c r="AC186" i="26" s="1"/>
  <c r="AD186" i="26" s="1"/>
  <c r="AC297" i="26"/>
  <c r="AD297" i="26" s="1"/>
  <c r="AE297" i="26" s="1"/>
  <c r="AF297" i="26" s="1"/>
  <c r="AH297" i="26" s="1"/>
  <c r="AC243" i="26"/>
  <c r="AF60" i="26"/>
  <c r="AH60" i="26" s="1"/>
  <c r="AC53" i="26"/>
  <c r="AD53" i="26" s="1"/>
  <c r="AE53" i="26" s="1"/>
  <c r="AC86" i="26"/>
  <c r="AE129" i="26"/>
  <c r="AF129" i="26" s="1"/>
  <c r="AH129" i="26" s="1"/>
  <c r="AE306" i="26"/>
  <c r="AF306" i="26" s="1"/>
  <c r="AH306" i="26" s="1"/>
  <c r="AC127" i="26"/>
  <c r="AD127" i="26" s="1"/>
  <c r="AD167" i="26"/>
  <c r="AE167" i="26" s="1"/>
  <c r="AF167" i="26" s="1"/>
  <c r="AH167" i="26" s="1"/>
  <c r="AF323" i="26"/>
  <c r="AH323" i="26" s="1"/>
  <c r="AB206" i="26"/>
  <c r="AC206" i="26" s="1"/>
  <c r="AB102" i="26"/>
  <c r="AC102" i="26" s="1"/>
  <c r="AD37" i="26"/>
  <c r="AE37" i="26" s="1"/>
  <c r="AF37" i="26" s="1"/>
  <c r="AH37" i="26" s="1"/>
  <c r="AB96" i="26"/>
  <c r="AD214" i="26"/>
  <c r="AE214" i="26" s="1"/>
  <c r="AF214" i="26" s="1"/>
  <c r="AH214" i="26" s="1"/>
  <c r="AE83" i="26"/>
  <c r="AF83" i="26" s="1"/>
  <c r="AH83" i="26" s="1"/>
  <c r="AB148" i="26"/>
  <c r="AC148" i="26" s="1"/>
  <c r="AE174" i="26"/>
  <c r="AF174" i="26" s="1"/>
  <c r="AH174" i="26" s="1"/>
  <c r="AC64" i="26"/>
  <c r="AD64" i="26" s="1"/>
  <c r="AD201" i="26"/>
  <c r="AE201" i="26" s="1"/>
  <c r="AE217" i="26"/>
  <c r="AF217" i="26" s="1"/>
  <c r="AH217" i="26" s="1"/>
  <c r="AB143" i="26"/>
  <c r="AC143" i="26" s="1"/>
  <c r="AC270" i="26"/>
  <c r="AD270" i="26" s="1"/>
  <c r="AE270" i="26" s="1"/>
  <c r="AD281" i="26"/>
  <c r="AE281" i="26" s="1"/>
  <c r="AC286" i="26"/>
  <c r="AD286" i="26" s="1"/>
  <c r="AD97" i="26"/>
  <c r="AE97" i="26" s="1"/>
  <c r="AB48" i="26"/>
  <c r="AD130" i="26"/>
  <c r="AE130" i="26" s="1"/>
  <c r="AF130" i="26" s="1"/>
  <c r="AH130" i="26" s="1"/>
  <c r="AE141" i="26"/>
  <c r="AF141" i="26" s="1"/>
  <c r="AH141" i="26" s="1"/>
  <c r="AB110" i="26"/>
  <c r="AF115" i="26"/>
  <c r="AH115" i="26" s="1"/>
  <c r="AB147" i="26"/>
  <c r="AD15" i="26"/>
  <c r="AE15" i="26" s="1"/>
  <c r="AF15" i="26" s="1"/>
  <c r="AH15" i="26" s="1"/>
  <c r="AF128" i="26"/>
  <c r="AH128" i="26" s="1"/>
  <c r="AC72" i="26"/>
  <c r="AD72" i="26" s="1"/>
  <c r="AE120" i="26"/>
  <c r="AF120" i="26" s="1"/>
  <c r="AH120" i="26" s="1"/>
  <c r="AF29" i="26"/>
  <c r="AH29" i="26" s="1"/>
  <c r="AF137" i="26"/>
  <c r="AH137" i="26" s="1"/>
  <c r="AC105" i="26"/>
  <c r="AD105" i="26" s="1"/>
  <c r="AE151" i="26"/>
  <c r="AD135" i="26"/>
  <c r="AB132" i="26"/>
  <c r="AC132" i="26" s="1"/>
  <c r="AF30" i="26"/>
  <c r="AH30" i="26" s="1"/>
  <c r="AB159" i="26"/>
  <c r="AF61" i="26"/>
  <c r="AH61" i="26" s="1"/>
  <c r="AE257" i="26"/>
  <c r="AF257" i="26" s="1"/>
  <c r="AH257" i="26" s="1"/>
  <c r="AE173" i="26"/>
  <c r="AF173" i="26" s="1"/>
  <c r="AH173" i="26" s="1"/>
  <c r="AB51" i="26"/>
  <c r="AB106" i="26"/>
  <c r="AC93" i="26"/>
  <c r="AD93" i="26" s="1"/>
  <c r="AC216" i="26"/>
  <c r="AB52" i="26"/>
  <c r="AD184" i="26"/>
  <c r="AE184" i="26" s="1"/>
  <c r="AF21" i="26"/>
  <c r="AH21" i="26" s="1"/>
  <c r="AE231" i="26"/>
  <c r="AF231" i="26" s="1"/>
  <c r="AH231" i="26" s="1"/>
  <c r="AD124" i="26"/>
  <c r="AE124" i="26" s="1"/>
  <c r="AF124" i="26" s="1"/>
  <c r="AH124" i="26" s="1"/>
  <c r="AC222" i="26"/>
  <c r="AD222" i="26" s="1"/>
  <c r="AD198" i="26"/>
  <c r="AE198" i="26" s="1"/>
  <c r="AF198" i="26" s="1"/>
  <c r="AH198" i="26" s="1"/>
  <c r="AD298" i="26"/>
  <c r="AE298" i="26" s="1"/>
  <c r="AF298" i="26" s="1"/>
  <c r="AH298" i="26" s="1"/>
  <c r="AD80" i="26"/>
  <c r="AE80" i="26" s="1"/>
  <c r="AD144" i="26"/>
  <c r="AE144" i="26" s="1"/>
  <c r="AF144" i="26" s="1"/>
  <c r="AH144" i="26" s="1"/>
  <c r="AF336" i="26"/>
  <c r="AH336" i="26" s="1"/>
  <c r="AF322" i="26"/>
  <c r="AH322" i="26" s="1"/>
  <c r="AE263" i="26"/>
  <c r="AF263" i="26" s="1"/>
  <c r="AH263" i="26" s="1"/>
  <c r="AE153" i="26"/>
  <c r="AF153" i="26" s="1"/>
  <c r="AH153" i="26" s="1"/>
  <c r="AB40" i="26"/>
  <c r="AC40" i="26" s="1"/>
  <c r="AE152" i="26"/>
  <c r="AF152" i="26" s="1"/>
  <c r="AH152" i="26" s="1"/>
  <c r="AB190" i="26"/>
  <c r="AE238" i="26"/>
  <c r="AF238" i="26" s="1"/>
  <c r="AH238" i="26" s="1"/>
  <c r="AE265" i="26"/>
  <c r="AF265" i="26" s="1"/>
  <c r="AH265" i="26" s="1"/>
  <c r="AD39" i="26"/>
  <c r="AE39" i="26" s="1"/>
  <c r="AC87" i="26"/>
  <c r="AE162" i="26"/>
  <c r="AF162" i="26" s="1"/>
  <c r="AH162" i="26" s="1"/>
  <c r="AD17" i="26"/>
  <c r="AE17" i="26" s="1"/>
  <c r="AF17" i="26" s="1"/>
  <c r="AH17" i="26" s="1"/>
  <c r="AE84" i="26"/>
  <c r="AF84" i="26" s="1"/>
  <c r="AH84" i="26" s="1"/>
  <c r="AD278" i="26"/>
  <c r="AE278" i="26" s="1"/>
  <c r="AD94" i="26"/>
  <c r="AC131" i="26"/>
  <c r="AD131" i="26" s="1"/>
  <c r="AC119" i="26"/>
  <c r="AB43" i="26"/>
  <c r="AD246" i="26"/>
  <c r="AE246" i="26" s="1"/>
  <c r="AF246" i="26" s="1"/>
  <c r="AH246" i="26" s="1"/>
  <c r="AE179" i="26"/>
  <c r="AF179" i="26" s="1"/>
  <c r="AH179" i="26" s="1"/>
  <c r="AF163" i="26"/>
  <c r="AH163" i="26" s="1"/>
  <c r="AB63" i="26"/>
  <c r="AC63" i="26" s="1"/>
  <c r="AE101" i="26"/>
  <c r="AF101" i="26" s="1"/>
  <c r="AH101" i="26" s="1"/>
  <c r="AB55" i="26"/>
  <c r="AE44" i="26"/>
  <c r="AF44" i="26" s="1"/>
  <c r="AH44" i="26" s="1"/>
  <c r="AE161" i="26"/>
  <c r="AF161" i="26" s="1"/>
  <c r="AH161" i="26" s="1"/>
  <c r="AF225" i="26"/>
  <c r="AH225" i="26" s="1"/>
  <c r="AF121" i="26"/>
  <c r="AH121" i="26" s="1"/>
  <c r="AD49" i="26"/>
  <c r="AE114" i="26"/>
  <c r="AF114" i="26" s="1"/>
  <c r="AH114" i="26" s="1"/>
  <c r="AE177" i="26"/>
  <c r="AF177" i="26" s="1"/>
  <c r="AH177" i="26" s="1"/>
  <c r="AD176" i="26"/>
  <c r="AE176" i="26" s="1"/>
  <c r="AE67" i="26"/>
  <c r="AF67" i="26" s="1"/>
  <c r="AH67" i="26" s="1"/>
  <c r="AC71" i="26"/>
  <c r="AD289" i="26"/>
  <c r="AE289" i="26" s="1"/>
  <c r="AD254" i="26"/>
  <c r="AE254" i="26" s="1"/>
  <c r="AF254" i="26" s="1"/>
  <c r="AH254" i="26" s="1"/>
  <c r="AC133" i="26"/>
  <c r="AD133" i="26" s="1"/>
  <c r="AD341" i="26"/>
  <c r="AE341" i="26" s="1"/>
  <c r="AF341" i="26" s="1"/>
  <c r="AH341" i="26" s="1"/>
  <c r="AE345" i="26"/>
  <c r="AF345" i="26" s="1"/>
  <c r="AH345" i="26" s="1"/>
  <c r="Z11" i="26"/>
  <c r="AB339" i="26"/>
  <c r="AC340" i="26"/>
  <c r="AC339" i="26" s="1"/>
  <c r="AA13" i="26"/>
  <c r="AA11" i="26" s="1"/>
  <c r="AE14" i="26"/>
  <c r="AF31" i="26" l="1"/>
  <c r="AH31" i="26" s="1"/>
  <c r="AF139" i="26"/>
  <c r="AH139" i="26" s="1"/>
  <c r="AF25" i="26"/>
  <c r="AH25" i="26" s="1"/>
  <c r="AE79" i="26"/>
  <c r="AF79" i="26" s="1"/>
  <c r="AH79" i="26" s="1"/>
  <c r="AE64" i="26"/>
  <c r="AF64" i="26" s="1"/>
  <c r="AH64" i="26" s="1"/>
  <c r="AF122" i="26"/>
  <c r="AH122" i="26" s="1"/>
  <c r="AF209" i="26"/>
  <c r="AH209" i="26" s="1"/>
  <c r="AC308" i="26"/>
  <c r="AF172" i="26"/>
  <c r="AH172" i="26" s="1"/>
  <c r="AE73" i="26"/>
  <c r="AF73" i="26" s="1"/>
  <c r="AH73" i="26" s="1"/>
  <c r="AE72" i="26"/>
  <c r="AF72" i="26" s="1"/>
  <c r="AH72" i="26" s="1"/>
  <c r="AD157" i="26"/>
  <c r="AE157" i="26" s="1"/>
  <c r="AF157" i="26" s="1"/>
  <c r="AH157" i="26" s="1"/>
  <c r="AD109" i="26"/>
  <c r="AE109" i="26" s="1"/>
  <c r="AF109" i="26" s="1"/>
  <c r="AH109" i="26" s="1"/>
  <c r="AC48" i="26"/>
  <c r="AD48" i="26" s="1"/>
  <c r="AF156" i="26"/>
  <c r="AH156" i="26" s="1"/>
  <c r="AD245" i="26"/>
  <c r="AF53" i="26"/>
  <c r="AH53" i="26" s="1"/>
  <c r="AE103" i="26"/>
  <c r="AF103" i="26" s="1"/>
  <c r="AH103" i="26" s="1"/>
  <c r="AC210" i="26"/>
  <c r="AD210" i="26" s="1"/>
  <c r="AD237" i="26"/>
  <c r="AE237" i="26" s="1"/>
  <c r="AF237" i="26" s="1"/>
  <c r="AH237" i="26" s="1"/>
  <c r="AC301" i="26"/>
  <c r="AD301" i="26" s="1"/>
  <c r="AE105" i="26"/>
  <c r="AF105" i="26" s="1"/>
  <c r="AH105" i="26" s="1"/>
  <c r="AF321" i="26"/>
  <c r="AH321" i="26" s="1"/>
  <c r="AD22" i="26"/>
  <c r="AE22" i="26" s="1"/>
  <c r="AF22" i="26" s="1"/>
  <c r="AE249" i="26"/>
  <c r="AF249" i="26" s="1"/>
  <c r="AH249" i="26" s="1"/>
  <c r="AF278" i="26"/>
  <c r="AH278" i="26" s="1"/>
  <c r="AF97" i="26"/>
  <c r="AH97" i="26" s="1"/>
  <c r="AC197" i="26"/>
  <c r="AD165" i="26"/>
  <c r="AE165" i="26" s="1"/>
  <c r="AF165" i="26" s="1"/>
  <c r="AH165" i="26" s="1"/>
  <c r="AD175" i="26"/>
  <c r="AE175" i="26" s="1"/>
  <c r="AF175" i="26" s="1"/>
  <c r="AH175" i="26" s="1"/>
  <c r="AE230" i="26"/>
  <c r="AF230" i="26" s="1"/>
  <c r="AH230" i="26" s="1"/>
  <c r="AE155" i="26"/>
  <c r="AF155" i="26" s="1"/>
  <c r="AH155" i="26" s="1"/>
  <c r="AF182" i="26"/>
  <c r="AH182" i="26" s="1"/>
  <c r="AC261" i="26"/>
  <c r="AD261" i="26" s="1"/>
  <c r="AD196" i="26"/>
  <c r="AE196" i="26" s="1"/>
  <c r="AE42" i="26"/>
  <c r="AF42" i="26" s="1"/>
  <c r="AH42" i="26" s="1"/>
  <c r="AD86" i="26"/>
  <c r="AE86" i="26" s="1"/>
  <c r="AF86" i="26" s="1"/>
  <c r="AH86" i="26" s="1"/>
  <c r="AD243" i="26"/>
  <c r="AE243" i="26" s="1"/>
  <c r="AF243" i="26" s="1"/>
  <c r="AH243" i="26" s="1"/>
  <c r="AE186" i="26"/>
  <c r="AF186" i="26" s="1"/>
  <c r="AH186" i="26" s="1"/>
  <c r="AF291" i="26"/>
  <c r="AH291" i="26" s="1"/>
  <c r="AC75" i="26"/>
  <c r="AD206" i="26"/>
  <c r="AE206" i="26" s="1"/>
  <c r="AF206" i="26" s="1"/>
  <c r="AH206" i="26" s="1"/>
  <c r="AE127" i="26"/>
  <c r="AF127" i="26" s="1"/>
  <c r="AH127" i="26" s="1"/>
  <c r="AE49" i="26"/>
  <c r="AF49" i="26" s="1"/>
  <c r="AH49" i="26" s="1"/>
  <c r="AF176" i="26"/>
  <c r="AH176" i="26" s="1"/>
  <c r="AE131" i="26"/>
  <c r="AF131" i="26" s="1"/>
  <c r="AH131" i="26" s="1"/>
  <c r="AF289" i="26"/>
  <c r="AH289" i="26" s="1"/>
  <c r="AE133" i="26"/>
  <c r="AF133" i="26" s="1"/>
  <c r="AH133" i="26" s="1"/>
  <c r="AF80" i="26"/>
  <c r="AH80" i="26" s="1"/>
  <c r="AF184" i="26"/>
  <c r="AH184" i="26" s="1"/>
  <c r="AD71" i="26"/>
  <c r="AE71" i="26" s="1"/>
  <c r="AF71" i="26" s="1"/>
  <c r="AH71" i="26" s="1"/>
  <c r="AC106" i="26"/>
  <c r="AC51" i="26"/>
  <c r="AD51" i="26" s="1"/>
  <c r="AC110" i="26"/>
  <c r="AD119" i="26"/>
  <c r="AE119" i="26" s="1"/>
  <c r="AF119" i="26" s="1"/>
  <c r="AH119" i="26" s="1"/>
  <c r="AD148" i="26"/>
  <c r="AE148" i="26" s="1"/>
  <c r="AC159" i="26"/>
  <c r="AD159" i="26" s="1"/>
  <c r="AE222" i="26"/>
  <c r="AF222" i="26" s="1"/>
  <c r="AH222" i="26" s="1"/>
  <c r="AF270" i="26"/>
  <c r="AH270" i="26" s="1"/>
  <c r="AD102" i="26"/>
  <c r="AE102" i="26" s="1"/>
  <c r="AE135" i="26"/>
  <c r="AF135" i="26" s="1"/>
  <c r="AH135" i="26" s="1"/>
  <c r="AE94" i="26"/>
  <c r="AF94" i="26" s="1"/>
  <c r="AH94" i="26" s="1"/>
  <c r="AD132" i="26"/>
  <c r="AE132" i="26" s="1"/>
  <c r="AF132" i="26" s="1"/>
  <c r="AH132" i="26" s="1"/>
  <c r="AD40" i="26"/>
  <c r="AF201" i="26"/>
  <c r="AH201" i="26" s="1"/>
  <c r="AD216" i="26"/>
  <c r="AD63" i="26"/>
  <c r="AE63" i="26" s="1"/>
  <c r="AE331" i="26"/>
  <c r="AF331" i="26" s="1"/>
  <c r="AH331" i="26" s="1"/>
  <c r="AF39" i="26"/>
  <c r="AH39" i="26" s="1"/>
  <c r="AC55" i="26"/>
  <c r="AD55" i="26" s="1"/>
  <c r="AC43" i="26"/>
  <c r="AD43" i="26" s="1"/>
  <c r="AD87" i="26"/>
  <c r="AE87" i="26" s="1"/>
  <c r="AF87" i="26" s="1"/>
  <c r="AH87" i="26" s="1"/>
  <c r="AC190" i="26"/>
  <c r="AD190" i="26" s="1"/>
  <c r="AE190" i="26" s="1"/>
  <c r="AC147" i="26"/>
  <c r="AD143" i="26"/>
  <c r="AE143" i="26" s="1"/>
  <c r="AF151" i="26"/>
  <c r="AH151" i="26" s="1"/>
  <c r="AE93" i="26"/>
  <c r="AF93" i="26" s="1"/>
  <c r="AH93" i="26" s="1"/>
  <c r="AF281" i="26"/>
  <c r="AH281" i="26" s="1"/>
  <c r="AC96" i="26"/>
  <c r="AD96" i="26" s="1"/>
  <c r="AC52" i="26"/>
  <c r="AE286" i="26"/>
  <c r="AF286" i="26" s="1"/>
  <c r="AH286" i="26" s="1"/>
  <c r="AF330" i="26"/>
  <c r="AH330" i="26" s="1"/>
  <c r="AD340" i="26"/>
  <c r="AD339" i="26" s="1"/>
  <c r="AB13" i="26"/>
  <c r="AB11" i="26" s="1"/>
  <c r="AF14" i="26"/>
  <c r="AH22" i="26" l="1"/>
  <c r="AD308" i="26"/>
  <c r="AE308" i="26" s="1"/>
  <c r="AF308" i="26" s="1"/>
  <c r="AH308" i="26" s="1"/>
  <c r="AE210" i="26"/>
  <c r="AF210" i="26" s="1"/>
  <c r="AH210" i="26" s="1"/>
  <c r="AE48" i="26"/>
  <c r="AF48" i="26" s="1"/>
  <c r="AH48" i="26" s="1"/>
  <c r="AD106" i="26"/>
  <c r="AE106" i="26" s="1"/>
  <c r="AE245" i="26"/>
  <c r="AF245" i="26" s="1"/>
  <c r="AH245" i="26" s="1"/>
  <c r="AE301" i="26"/>
  <c r="AF301" i="26" s="1"/>
  <c r="AH301" i="26" s="1"/>
  <c r="AE261" i="26"/>
  <c r="AF261" i="26" s="1"/>
  <c r="AH261" i="26" s="1"/>
  <c r="AE51" i="26"/>
  <c r="AF51" i="26" s="1"/>
  <c r="AH51" i="26" s="1"/>
  <c r="AE216" i="26"/>
  <c r="AF216" i="26" s="1"/>
  <c r="AH216" i="26" s="1"/>
  <c r="AF190" i="26"/>
  <c r="AH190" i="26" s="1"/>
  <c r="AE96" i="26"/>
  <c r="AF96" i="26" s="1"/>
  <c r="AH96" i="26" s="1"/>
  <c r="AF196" i="26"/>
  <c r="AH196" i="26" s="1"/>
  <c r="AD197" i="26"/>
  <c r="AE197" i="26" s="1"/>
  <c r="AD75" i="26"/>
  <c r="AE75" i="26" s="1"/>
  <c r="AF75" i="26" s="1"/>
  <c r="AH75" i="26" s="1"/>
  <c r="AD52" i="26"/>
  <c r="AD147" i="26"/>
  <c r="AF63" i="26"/>
  <c r="AH63" i="26" s="1"/>
  <c r="AE55" i="26"/>
  <c r="AF55" i="26" s="1"/>
  <c r="AH55" i="26" s="1"/>
  <c r="AF148" i="26"/>
  <c r="AH148" i="26" s="1"/>
  <c r="AD110" i="26"/>
  <c r="AE40" i="26"/>
  <c r="AF40" i="26" s="1"/>
  <c r="AH40" i="26" s="1"/>
  <c r="AF102" i="26"/>
  <c r="AH102" i="26" s="1"/>
  <c r="AF143" i="26"/>
  <c r="AH143" i="26" s="1"/>
  <c r="AE43" i="26"/>
  <c r="AF43" i="26" s="1"/>
  <c r="AH43" i="26" s="1"/>
  <c r="AE159" i="26"/>
  <c r="AF159" i="26" s="1"/>
  <c r="AH159" i="26" s="1"/>
  <c r="AE340" i="26"/>
  <c r="AE339" i="26" s="1"/>
  <c r="AH14" i="26"/>
  <c r="AC13" i="26"/>
  <c r="AC11" i="26" s="1"/>
  <c r="AF106" i="26" l="1"/>
  <c r="AH106" i="26" s="1"/>
  <c r="AF197" i="26"/>
  <c r="AH197" i="26" s="1"/>
  <c r="AE110" i="26"/>
  <c r="AF110" i="26" s="1"/>
  <c r="AH110" i="26" s="1"/>
  <c r="AE147" i="26"/>
  <c r="AF147" i="26" s="1"/>
  <c r="AH147" i="26" s="1"/>
  <c r="AE52" i="26"/>
  <c r="AF52" i="26" s="1"/>
  <c r="AH52" i="26" s="1"/>
  <c r="AF340" i="26"/>
  <c r="AH340" i="26" s="1"/>
  <c r="AH339" i="26" s="1"/>
  <c r="AD13" i="26"/>
  <c r="AD11" i="26" s="1"/>
  <c r="AF351" i="26" l="1"/>
  <c r="AF339" i="26"/>
  <c r="B208" i="21" l="1"/>
  <c r="B209" i="21"/>
  <c r="B210" i="21"/>
  <c r="B211" i="21"/>
  <c r="S1956" i="23"/>
  <c r="A1956" i="23" s="1"/>
  <c r="V1956" i="23"/>
  <c r="K1957" i="23"/>
  <c r="L1957" i="23" s="1"/>
  <c r="S1957" i="23"/>
  <c r="A1957" i="23" s="1"/>
  <c r="V1957" i="23"/>
  <c r="K1958" i="23"/>
  <c r="L1958" i="23" s="1"/>
  <c r="S1958" i="23"/>
  <c r="A1958" i="23" s="1"/>
  <c r="V1958" i="23"/>
  <c r="K1959" i="23"/>
  <c r="L1959" i="23" s="1"/>
  <c r="S1959" i="23"/>
  <c r="A1959" i="23" s="1"/>
  <c r="V1959" i="23"/>
  <c r="K1960" i="23"/>
  <c r="L1960" i="23" s="1"/>
  <c r="S1960" i="23"/>
  <c r="V1960" i="23"/>
  <c r="V1955" i="23"/>
  <c r="S1955" i="23"/>
  <c r="A1955" i="23" s="1"/>
  <c r="K1955" i="23"/>
  <c r="L1955" i="23" s="1"/>
  <c r="K1940" i="23"/>
  <c r="L1940" i="23" s="1"/>
  <c r="S1940" i="23"/>
  <c r="A1940" i="23" s="1"/>
  <c r="V1940" i="23"/>
  <c r="K1941" i="23"/>
  <c r="L1941" i="23" s="1"/>
  <c r="S1941" i="23"/>
  <c r="A1941" i="23" s="1"/>
  <c r="V1941" i="23"/>
  <c r="K1942" i="23"/>
  <c r="L1942" i="23" s="1"/>
  <c r="S1942" i="23"/>
  <c r="A1942" i="23" s="1"/>
  <c r="V1942" i="23"/>
  <c r="K1943" i="23"/>
  <c r="L1943" i="23" s="1"/>
  <c r="S1943" i="23"/>
  <c r="V1943" i="23"/>
  <c r="A1924" i="23"/>
  <c r="A1925" i="23"/>
  <c r="A1926" i="23"/>
  <c r="V1918" i="23"/>
  <c r="S1918" i="23"/>
  <c r="T1919" i="23" s="1"/>
  <c r="K1918" i="23"/>
  <c r="L1918" i="23" s="1"/>
  <c r="K1906" i="23"/>
  <c r="L1906" i="23" s="1"/>
  <c r="S1906" i="23"/>
  <c r="A1906" i="23" s="1"/>
  <c r="V1906" i="23"/>
  <c r="K1907" i="23"/>
  <c r="L1907" i="23" s="1"/>
  <c r="S1907" i="23"/>
  <c r="V1907" i="23"/>
  <c r="S1901" i="23"/>
  <c r="A1901" i="23" s="1"/>
  <c r="V1901" i="23"/>
  <c r="S1902" i="23"/>
  <c r="A1902" i="23" s="1"/>
  <c r="V1902" i="23"/>
  <c r="S1903" i="23"/>
  <c r="A1903" i="23" s="1"/>
  <c r="V1903" i="23"/>
  <c r="K1904" i="23"/>
  <c r="L1904" i="23" s="1"/>
  <c r="S1904" i="23"/>
  <c r="A1904" i="23" s="1"/>
  <c r="V1904" i="23"/>
  <c r="S1905" i="23"/>
  <c r="A1905" i="23" s="1"/>
  <c r="V1905" i="23"/>
  <c r="V1900" i="23"/>
  <c r="S1900" i="23"/>
  <c r="K1900" i="23"/>
  <c r="L1900" i="23" s="1"/>
  <c r="K1520" i="23"/>
  <c r="L1520" i="23" s="1"/>
  <c r="S1520" i="23"/>
  <c r="T1521" i="23" s="1"/>
  <c r="V1520" i="23"/>
  <c r="V1353" i="23"/>
  <c r="S1353" i="23"/>
  <c r="T1354" i="23" s="1"/>
  <c r="K1353" i="23"/>
  <c r="L1353" i="23" s="1"/>
  <c r="AD1332" i="23"/>
  <c r="S1310" i="23"/>
  <c r="V1310" i="23"/>
  <c r="S1311" i="23"/>
  <c r="V1311" i="23"/>
  <c r="S1312" i="23"/>
  <c r="V1312" i="23"/>
  <c r="S1313" i="23"/>
  <c r="V1313" i="23"/>
  <c r="S1314" i="23"/>
  <c r="T1315" i="23" s="1"/>
  <c r="V1314" i="23"/>
  <c r="V1309" i="23"/>
  <c r="S1309" i="23"/>
  <c r="S1279" i="23"/>
  <c r="V1279" i="23"/>
  <c r="K1280" i="23"/>
  <c r="L1280" i="23" s="1"/>
  <c r="S1280" i="23"/>
  <c r="V1280" i="23"/>
  <c r="K1281" i="23"/>
  <c r="L1281" i="23" s="1"/>
  <c r="S1281" i="23"/>
  <c r="T1282" i="23" s="1"/>
  <c r="V1281" i="23"/>
  <c r="K1278" i="23"/>
  <c r="L1278" i="23" s="1"/>
  <c r="S1278" i="23"/>
  <c r="V1278" i="23"/>
  <c r="V1277" i="23"/>
  <c r="S1277" i="23"/>
  <c r="K1277" i="23"/>
  <c r="L1277" i="23" s="1"/>
  <c r="V1145" i="23"/>
  <c r="S1145" i="23"/>
  <c r="T1146" i="23" s="1"/>
  <c r="K1124" i="23"/>
  <c r="K1107" i="23"/>
  <c r="L1107" i="23" s="1"/>
  <c r="S1107" i="23"/>
  <c r="V1107" i="23"/>
  <c r="K1108" i="23"/>
  <c r="L1108" i="23" s="1"/>
  <c r="S1108" i="23"/>
  <c r="V1108" i="23"/>
  <c r="K1109" i="23"/>
  <c r="L1109" i="23" s="1"/>
  <c r="S1109" i="23"/>
  <c r="V1109" i="23"/>
  <c r="S1110" i="23"/>
  <c r="V1110" i="23"/>
  <c r="K1111" i="23"/>
  <c r="L1111" i="23" s="1"/>
  <c r="S1111" i="23"/>
  <c r="V1111" i="23"/>
  <c r="K1112" i="23"/>
  <c r="L1112" i="23" s="1"/>
  <c r="S1112" i="23"/>
  <c r="T1113" i="23" s="1"/>
  <c r="V1112" i="23"/>
  <c r="S1054" i="23"/>
  <c r="V1054" i="23"/>
  <c r="S1055" i="23"/>
  <c r="V1055" i="23"/>
  <c r="K1056" i="23"/>
  <c r="L1056" i="23" s="1"/>
  <c r="S1056" i="23"/>
  <c r="V1056" i="23"/>
  <c r="K1057" i="23"/>
  <c r="L1057" i="23" s="1"/>
  <c r="S1057" i="23"/>
  <c r="T1058" i="23" s="1"/>
  <c r="V1057" i="23"/>
  <c r="V1053" i="23"/>
  <c r="S1053" i="23"/>
  <c r="K1053" i="23"/>
  <c r="L1053" i="23" s="1"/>
  <c r="K1036" i="23"/>
  <c r="L1036" i="23" s="1"/>
  <c r="S1036" i="23"/>
  <c r="V1036" i="23"/>
  <c r="K1037" i="23"/>
  <c r="L1037" i="23" s="1"/>
  <c r="S1037" i="23"/>
  <c r="V1037" i="23"/>
  <c r="K1038" i="23"/>
  <c r="L1038" i="23" s="1"/>
  <c r="S1038" i="23"/>
  <c r="V1038" i="23"/>
  <c r="S1039" i="23"/>
  <c r="V1039" i="23"/>
  <c r="K1040" i="23"/>
  <c r="L1040" i="23" s="1"/>
  <c r="S1040" i="23"/>
  <c r="V1040" i="23"/>
  <c r="K1041" i="23"/>
  <c r="L1041" i="23" s="1"/>
  <c r="S1041" i="23"/>
  <c r="V1041" i="23"/>
  <c r="K1042" i="23"/>
  <c r="L1042" i="23" s="1"/>
  <c r="S1042" i="23"/>
  <c r="T1043" i="23" s="1"/>
  <c r="V1042" i="23"/>
  <c r="K1035" i="23"/>
  <c r="K1007" i="23"/>
  <c r="A1960" i="23" l="1"/>
  <c r="T1961" i="23"/>
  <c r="A1943" i="23"/>
  <c r="T1944" i="23"/>
  <c r="A1918" i="23"/>
  <c r="A1927" i="23"/>
  <c r="A1907" i="23"/>
  <c r="T1908" i="23"/>
  <c r="T1901" i="23"/>
  <c r="A1900" i="23"/>
  <c r="T1959" i="23"/>
  <c r="T1957" i="23"/>
  <c r="T1942" i="23"/>
  <c r="T1960" i="23"/>
  <c r="T1956" i="23"/>
  <c r="T1943" i="23"/>
  <c r="T1278" i="23"/>
  <c r="T1958" i="23"/>
  <c r="T1941" i="23"/>
  <c r="T1279" i="23"/>
  <c r="T1905" i="23"/>
  <c r="T1903" i="23"/>
  <c r="T1907" i="23"/>
  <c r="T1906" i="23"/>
  <c r="T1902" i="23"/>
  <c r="T1904" i="23"/>
  <c r="T1314" i="23"/>
  <c r="T1280" i="23"/>
  <c r="T1311" i="23"/>
  <c r="T1281" i="23"/>
  <c r="T1312" i="23"/>
  <c r="T1313" i="23"/>
  <c r="T1310" i="23"/>
  <c r="T1111" i="23"/>
  <c r="T1108" i="23"/>
  <c r="T1112" i="23"/>
  <c r="T1056" i="23"/>
  <c r="T1110" i="23"/>
  <c r="T1109" i="23"/>
  <c r="T1055" i="23"/>
  <c r="T1057" i="23"/>
  <c r="T1040" i="23"/>
  <c r="T1054" i="23"/>
  <c r="T1042" i="23"/>
  <c r="T1038" i="23"/>
  <c r="T1041" i="23"/>
  <c r="T1037" i="23"/>
  <c r="T1039" i="23"/>
  <c r="V982" i="23"/>
  <c r="S982" i="23"/>
  <c r="T983" i="23" s="1"/>
  <c r="K982" i="23"/>
  <c r="L982" i="23" s="1"/>
  <c r="K743" i="23"/>
  <c r="L743" i="23" s="1"/>
  <c r="S743" i="23"/>
  <c r="V743" i="23"/>
  <c r="K744" i="23"/>
  <c r="L744" i="23" s="1"/>
  <c r="S744" i="23"/>
  <c r="V744" i="23"/>
  <c r="S745" i="23"/>
  <c r="V745" i="23"/>
  <c r="K746" i="23"/>
  <c r="L746" i="23" s="1"/>
  <c r="S746" i="23"/>
  <c r="V746" i="23"/>
  <c r="K747" i="23"/>
  <c r="L747" i="23" s="1"/>
  <c r="S747" i="23"/>
  <c r="V747" i="23"/>
  <c r="K748" i="23"/>
  <c r="L748" i="23" s="1"/>
  <c r="S748" i="23"/>
  <c r="V748" i="23"/>
  <c r="K749" i="23"/>
  <c r="L749" i="23" s="1"/>
  <c r="S749" i="23"/>
  <c r="V749" i="23"/>
  <c r="S750" i="23"/>
  <c r="T751" i="23" s="1"/>
  <c r="V750" i="23"/>
  <c r="K655" i="23"/>
  <c r="L655" i="23" s="1"/>
  <c r="S655" i="23"/>
  <c r="V655" i="23"/>
  <c r="K656" i="23"/>
  <c r="L656" i="23" s="1"/>
  <c r="S656" i="23"/>
  <c r="V656" i="23"/>
  <c r="S657" i="23"/>
  <c r="V657" i="23"/>
  <c r="K658" i="23"/>
  <c r="L658" i="23" s="1"/>
  <c r="S658" i="23"/>
  <c r="V658" i="23"/>
  <c r="K659" i="23"/>
  <c r="L659" i="23" s="1"/>
  <c r="S659" i="23"/>
  <c r="V659" i="23"/>
  <c r="K660" i="23"/>
  <c r="L660" i="23" s="1"/>
  <c r="S660" i="23"/>
  <c r="T661" i="23" s="1"/>
  <c r="V660" i="23"/>
  <c r="V631" i="23"/>
  <c r="S631" i="23"/>
  <c r="T632" i="23" s="1"/>
  <c r="K612" i="23"/>
  <c r="L612" i="23" s="1"/>
  <c r="S612" i="23"/>
  <c r="V612" i="23"/>
  <c r="K613" i="23"/>
  <c r="L613" i="23" s="1"/>
  <c r="S613" i="23"/>
  <c r="V613" i="23"/>
  <c r="S614" i="23"/>
  <c r="V614" i="23"/>
  <c r="K615" i="23"/>
  <c r="L615" i="23" s="1"/>
  <c r="S615" i="23"/>
  <c r="V615" i="23"/>
  <c r="S616" i="23"/>
  <c r="T617" i="23" s="1"/>
  <c r="V616" i="23"/>
  <c r="V611" i="23"/>
  <c r="S611" i="23"/>
  <c r="K611" i="23"/>
  <c r="L611" i="23" s="1"/>
  <c r="R1108" i="23" l="1"/>
  <c r="R1037" i="23"/>
  <c r="T747" i="23"/>
  <c r="T744" i="23"/>
  <c r="T749" i="23"/>
  <c r="T748" i="23"/>
  <c r="R744" i="23"/>
  <c r="T745" i="23"/>
  <c r="T750" i="23"/>
  <c r="T746" i="23"/>
  <c r="T656" i="23"/>
  <c r="T660" i="23"/>
  <c r="T657" i="23"/>
  <c r="T613" i="23"/>
  <c r="T658" i="23"/>
  <c r="T659" i="23"/>
  <c r="T612" i="23"/>
  <c r="T615" i="23"/>
  <c r="T614" i="23"/>
  <c r="T616" i="23"/>
  <c r="U1108" i="23" l="1"/>
  <c r="R1109" i="23"/>
  <c r="U1109" i="23" s="1"/>
  <c r="U1037" i="23"/>
  <c r="R1038" i="23"/>
  <c r="U1038" i="23" s="1"/>
  <c r="U744" i="23"/>
  <c r="R656" i="23"/>
  <c r="U656" i="23" s="1"/>
  <c r="S545" i="23" l="1"/>
  <c r="V545" i="23"/>
  <c r="S546" i="23"/>
  <c r="V546" i="23"/>
  <c r="S547" i="23"/>
  <c r="V547" i="23"/>
  <c r="S548" i="23"/>
  <c r="V548" i="23"/>
  <c r="K549" i="23"/>
  <c r="L549" i="23" s="1"/>
  <c r="S549" i="23"/>
  <c r="V549" i="23"/>
  <c r="K550" i="23"/>
  <c r="L550" i="23" s="1"/>
  <c r="S550" i="23"/>
  <c r="V550" i="23"/>
  <c r="K551" i="23"/>
  <c r="L551" i="23" s="1"/>
  <c r="S551" i="23"/>
  <c r="V551" i="23"/>
  <c r="K552" i="23"/>
  <c r="L552" i="23" s="1"/>
  <c r="S552" i="23"/>
  <c r="V552" i="23"/>
  <c r="K553" i="23"/>
  <c r="L553" i="23" s="1"/>
  <c r="S553" i="23"/>
  <c r="V553" i="23"/>
  <c r="K554" i="23"/>
  <c r="L554" i="23" s="1"/>
  <c r="S554" i="23"/>
  <c r="T555" i="23" s="1"/>
  <c r="V554" i="23"/>
  <c r="V544" i="23"/>
  <c r="S544" i="23"/>
  <c r="K544" i="23"/>
  <c r="L544" i="23" s="1"/>
  <c r="K484" i="23"/>
  <c r="L484" i="23" s="1"/>
  <c r="S484" i="23"/>
  <c r="T485" i="23" s="1"/>
  <c r="U485" i="23" s="1"/>
  <c r="V484" i="23"/>
  <c r="K459" i="23"/>
  <c r="L459" i="23" s="1"/>
  <c r="S459" i="23"/>
  <c r="V459" i="23"/>
  <c r="S460" i="23"/>
  <c r="V460" i="23"/>
  <c r="S461" i="23"/>
  <c r="V461" i="23"/>
  <c r="K462" i="23"/>
  <c r="L462" i="23" s="1"/>
  <c r="S462" i="23"/>
  <c r="V462" i="23"/>
  <c r="K463" i="23"/>
  <c r="L463" i="23" s="1"/>
  <c r="S463" i="23"/>
  <c r="T464" i="23" s="1"/>
  <c r="V463" i="23"/>
  <c r="S457" i="23"/>
  <c r="V457" i="23"/>
  <c r="K458" i="23"/>
  <c r="L458" i="23" s="1"/>
  <c r="S458" i="23"/>
  <c r="V458" i="23"/>
  <c r="V456" i="23"/>
  <c r="S456" i="23"/>
  <c r="K456" i="23"/>
  <c r="L456" i="23" s="1"/>
  <c r="T547" i="23" l="1"/>
  <c r="T463" i="23"/>
  <c r="T554" i="23"/>
  <c r="T550" i="23"/>
  <c r="T551" i="23"/>
  <c r="T545" i="23"/>
  <c r="T553" i="23"/>
  <c r="T549" i="23"/>
  <c r="T552" i="23"/>
  <c r="T548" i="23"/>
  <c r="T546" i="23"/>
  <c r="T461" i="23"/>
  <c r="T460" i="23"/>
  <c r="T462" i="23"/>
  <c r="T457" i="23"/>
  <c r="T459" i="23"/>
  <c r="T458" i="23"/>
  <c r="AI263" i="34" l="1"/>
  <c r="AG145" i="13"/>
  <c r="AG180" i="13"/>
  <c r="AG198" i="13"/>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7" i="13"/>
  <c r="AG68" i="13"/>
  <c r="AG69" i="13"/>
  <c r="AG70" i="13"/>
  <c r="AG71" i="13"/>
  <c r="AG72" i="13"/>
  <c r="AG73" i="13"/>
  <c r="AG74" i="13"/>
  <c r="AG75" i="13"/>
  <c r="AG76" i="13"/>
  <c r="AG79" i="13"/>
  <c r="AG80" i="13"/>
  <c r="AG82" i="13"/>
  <c r="AG83" i="13"/>
  <c r="AG84" i="13"/>
  <c r="AG85" i="13"/>
  <c r="AG86" i="13"/>
  <c r="AG87" i="13"/>
  <c r="AG88" i="13"/>
  <c r="AG89" i="13"/>
  <c r="AG90" i="13"/>
  <c r="AG92" i="13"/>
  <c r="AG93" i="13"/>
  <c r="AG94" i="13"/>
  <c r="AG95" i="13"/>
  <c r="AG96" i="13"/>
  <c r="AG97" i="13"/>
  <c r="AG98" i="13"/>
  <c r="AG99" i="13"/>
  <c r="AG100" i="13"/>
  <c r="AG101" i="13"/>
  <c r="AG102" i="13"/>
  <c r="AG103" i="13"/>
  <c r="AG104" i="13"/>
  <c r="AG105" i="13"/>
  <c r="AG106" i="13"/>
  <c r="AG107" i="13"/>
  <c r="AG108" i="13"/>
  <c r="AG110" i="13"/>
  <c r="AG111" i="13"/>
  <c r="AG112" i="13"/>
  <c r="AG113" i="13"/>
  <c r="AG114" i="13"/>
  <c r="AG115" i="13"/>
  <c r="AG116" i="13"/>
  <c r="AG117" i="13"/>
  <c r="AG118" i="13"/>
  <c r="AG119" i="13"/>
  <c r="AG120" i="13"/>
  <c r="AG122" i="13"/>
  <c r="AG123" i="13"/>
  <c r="AG124" i="13"/>
  <c r="AG125" i="13"/>
  <c r="AG126" i="13"/>
  <c r="AG127" i="13"/>
  <c r="AG128" i="13"/>
  <c r="AG129" i="13"/>
  <c r="AG130" i="13"/>
  <c r="AG131" i="13"/>
  <c r="AG132" i="13"/>
  <c r="AG133" i="13"/>
  <c r="AG134" i="13"/>
  <c r="AG135" i="13"/>
  <c r="AG136" i="13"/>
  <c r="AG137" i="13"/>
  <c r="AG138" i="13"/>
  <c r="AG139" i="13"/>
  <c r="AG140" i="13"/>
  <c r="AG141" i="13"/>
  <c r="AG142" i="13"/>
  <c r="AG143" i="13"/>
  <c r="AG144" i="13"/>
  <c r="AG146" i="13"/>
  <c r="AG147" i="13"/>
  <c r="AG148" i="13"/>
  <c r="AG149" i="13"/>
  <c r="AG150" i="13"/>
  <c r="AG151" i="13"/>
  <c r="AG152" i="13"/>
  <c r="AG153" i="13"/>
  <c r="AG154" i="13"/>
  <c r="AG155" i="13"/>
  <c r="AG156" i="13"/>
  <c r="AG157" i="13"/>
  <c r="AG158" i="13"/>
  <c r="AG159" i="13"/>
  <c r="AG160" i="13"/>
  <c r="AG161" i="13"/>
  <c r="AG162" i="13"/>
  <c r="AG163" i="13"/>
  <c r="AG164" i="13"/>
  <c r="AG165" i="13"/>
  <c r="AG166" i="13"/>
  <c r="AG167" i="13"/>
  <c r="AG168" i="13"/>
  <c r="AG169" i="13"/>
  <c r="AG170" i="13"/>
  <c r="AG171" i="13"/>
  <c r="AG172" i="13"/>
  <c r="AG173" i="13"/>
  <c r="AG174" i="13"/>
  <c r="AG175" i="13"/>
  <c r="AG176" i="13"/>
  <c r="AG177" i="13"/>
  <c r="AG178" i="13"/>
  <c r="AG179" i="13"/>
  <c r="AG181" i="13"/>
  <c r="AG182" i="13"/>
  <c r="AG183" i="13"/>
  <c r="AG184" i="13"/>
  <c r="AG185" i="13"/>
  <c r="AG186" i="13"/>
  <c r="AG187" i="13"/>
  <c r="AG188" i="13"/>
  <c r="AG189" i="13"/>
  <c r="AG190" i="13"/>
  <c r="AG191" i="13"/>
  <c r="AG192" i="13"/>
  <c r="AG193" i="13"/>
  <c r="AG194" i="13"/>
  <c r="AG195" i="13"/>
  <c r="AG196" i="13"/>
  <c r="AG197" i="13"/>
  <c r="AG199" i="13"/>
  <c r="AG200" i="13"/>
  <c r="AG201" i="13"/>
  <c r="AG202" i="13"/>
  <c r="AG203" i="13"/>
  <c r="AG204" i="13"/>
  <c r="AG205" i="13"/>
  <c r="AG206" i="13"/>
  <c r="AG207" i="13"/>
  <c r="AG208" i="13"/>
  <c r="AG209" i="13"/>
  <c r="AG210" i="13"/>
  <c r="AG211" i="13"/>
  <c r="AG212" i="13"/>
  <c r="AG213" i="13"/>
  <c r="AG214" i="13"/>
  <c r="AG215" i="13"/>
  <c r="AG216" i="13"/>
  <c r="AG217" i="13"/>
  <c r="AG218" i="13"/>
  <c r="AG219" i="13"/>
  <c r="AG220" i="13"/>
  <c r="AG221" i="13"/>
  <c r="AG222" i="13"/>
  <c r="AG223" i="13"/>
  <c r="AG224" i="13"/>
  <c r="AG225" i="13"/>
  <c r="AG226" i="13"/>
  <c r="AG227" i="13"/>
  <c r="AG228" i="13"/>
  <c r="AG229" i="13"/>
  <c r="AG230" i="13"/>
  <c r="AG231" i="13"/>
  <c r="AG232" i="13"/>
  <c r="AG233" i="13"/>
  <c r="AG234" i="13"/>
  <c r="AG235" i="13"/>
  <c r="AG236" i="13"/>
  <c r="AG237" i="13"/>
  <c r="AG238" i="13"/>
  <c r="AG239" i="13"/>
  <c r="AG240" i="13"/>
  <c r="AG241" i="13"/>
  <c r="AG242" i="13"/>
  <c r="AG243" i="13"/>
  <c r="AG244" i="13"/>
  <c r="AG245" i="13"/>
  <c r="AG246" i="13"/>
  <c r="AG247" i="13"/>
  <c r="AG248" i="13"/>
  <c r="AG249" i="13"/>
  <c r="AG250" i="13"/>
  <c r="AG251" i="13"/>
  <c r="AG252" i="13"/>
  <c r="AG253" i="13"/>
  <c r="AG254" i="13"/>
  <c r="AG255" i="13"/>
  <c r="AG256" i="13"/>
  <c r="AG257" i="13"/>
  <c r="AG258" i="13"/>
  <c r="AG259" i="13"/>
  <c r="AG260" i="13"/>
  <c r="AG261" i="13"/>
  <c r="AG262" i="13"/>
  <c r="AG263" i="13"/>
  <c r="AG264" i="13"/>
  <c r="AG265" i="13"/>
  <c r="AG266" i="13"/>
  <c r="AG269" i="13"/>
  <c r="AG270" i="13"/>
  <c r="AG271" i="13"/>
  <c r="AG272" i="13"/>
  <c r="AG273" i="13"/>
  <c r="AG274" i="13"/>
  <c r="AG275" i="13"/>
  <c r="AG276" i="13"/>
  <c r="AG277" i="13"/>
  <c r="AG278" i="13"/>
  <c r="AG279" i="13"/>
  <c r="AG280" i="13"/>
  <c r="AG281" i="13"/>
  <c r="AG282" i="13"/>
  <c r="AG283" i="13"/>
  <c r="AG284" i="13"/>
  <c r="AG285" i="13"/>
  <c r="AG286" i="13"/>
  <c r="AG287" i="13"/>
  <c r="AG288" i="13"/>
  <c r="AG289" i="13"/>
  <c r="AG290" i="13"/>
  <c r="AG291" i="13"/>
  <c r="AG292" i="13"/>
  <c r="AG293" i="13"/>
  <c r="AG294" i="13"/>
  <c r="AG295" i="13"/>
  <c r="AG296" i="13"/>
  <c r="AG297" i="13"/>
  <c r="AG298" i="13"/>
  <c r="AG299" i="13"/>
  <c r="AG300" i="13"/>
  <c r="AG301" i="13"/>
  <c r="AG302" i="13"/>
  <c r="AG303" i="13"/>
  <c r="AG304" i="13"/>
  <c r="AG305" i="13"/>
  <c r="AG306" i="13"/>
  <c r="AG307" i="13"/>
  <c r="AG308" i="13"/>
  <c r="AG309" i="13"/>
  <c r="AG310" i="13"/>
  <c r="AG311" i="13"/>
  <c r="AG312" i="13"/>
  <c r="AG313" i="13"/>
  <c r="AG315" i="13"/>
  <c r="AG316" i="13"/>
  <c r="AG317" i="13"/>
  <c r="AG318" i="13"/>
  <c r="AG319" i="13"/>
  <c r="AG323" i="13"/>
  <c r="AG324" i="13"/>
  <c r="AG325" i="13"/>
  <c r="AG326" i="13"/>
  <c r="AG331" i="13"/>
  <c r="AG332" i="13"/>
  <c r="AG334" i="13"/>
  <c r="AG336" i="13"/>
  <c r="AG14" i="13"/>
  <c r="K286" i="23" l="1"/>
  <c r="K260" i="23"/>
  <c r="K198" i="23"/>
  <c r="K157" i="23"/>
  <c r="L157" i="23" s="1"/>
  <c r="S157" i="23"/>
  <c r="V157" i="23"/>
  <c r="K158" i="23"/>
  <c r="L158" i="23" s="1"/>
  <c r="S158" i="23"/>
  <c r="T159" i="23" s="1"/>
  <c r="V158" i="23"/>
  <c r="K156" i="23"/>
  <c r="K134" i="23"/>
  <c r="K87" i="23"/>
  <c r="T158" i="23" l="1"/>
  <c r="R158" i="23"/>
  <c r="U158" i="23" l="1"/>
  <c r="K41" i="23" l="1"/>
  <c r="L41" i="23" s="1"/>
  <c r="S41" i="23"/>
  <c r="V41" i="23"/>
  <c r="K42" i="23"/>
  <c r="L42" i="23" s="1"/>
  <c r="S42" i="23"/>
  <c r="V42" i="23"/>
  <c r="K43" i="23"/>
  <c r="L43" i="23" s="1"/>
  <c r="S43" i="23"/>
  <c r="V43" i="23"/>
  <c r="K44" i="23"/>
  <c r="L44" i="23" s="1"/>
  <c r="S44" i="23"/>
  <c r="V44" i="23"/>
  <c r="S46" i="23"/>
  <c r="V46" i="23"/>
  <c r="S47" i="23"/>
  <c r="V47" i="23"/>
  <c r="S48" i="23"/>
  <c r="T49" i="23" s="1"/>
  <c r="V48" i="23"/>
  <c r="K40" i="23"/>
  <c r="T43" i="23" l="1"/>
  <c r="T42" i="23"/>
  <c r="T48" i="23"/>
  <c r="T47" i="23"/>
  <c r="T44" i="23"/>
  <c r="K26" i="23"/>
  <c r="K28" i="23"/>
  <c r="K10" i="23"/>
  <c r="K11" i="23"/>
  <c r="K12" i="23"/>
  <c r="K13" i="23"/>
  <c r="K16" i="23"/>
  <c r="K17" i="23"/>
  <c r="K18" i="23"/>
  <c r="K19" i="23"/>
  <c r="K20" i="23"/>
  <c r="K23" i="23"/>
  <c r="K24" i="23"/>
  <c r="K9" i="23"/>
  <c r="G22" i="23"/>
  <c r="G25" i="23"/>
  <c r="K12" i="24"/>
  <c r="L12" i="24" s="1"/>
  <c r="S12" i="24"/>
  <c r="A12" i="24" s="1"/>
  <c r="V12" i="24"/>
  <c r="K13" i="24"/>
  <c r="L13" i="24" s="1"/>
  <c r="S13" i="24"/>
  <c r="A13" i="24" s="1"/>
  <c r="V13" i="24"/>
  <c r="S14" i="24"/>
  <c r="A14" i="24" s="1"/>
  <c r="V14" i="24"/>
  <c r="K15" i="24"/>
  <c r="L15" i="24" s="1"/>
  <c r="S15" i="24"/>
  <c r="A15" i="24" s="1"/>
  <c r="V15" i="24"/>
  <c r="K16" i="24"/>
  <c r="L16" i="24" s="1"/>
  <c r="S16" i="24"/>
  <c r="V16" i="24"/>
  <c r="K32" i="24"/>
  <c r="K33" i="24"/>
  <c r="L33" i="24" s="1"/>
  <c r="K34" i="24"/>
  <c r="L34" i="24" s="1"/>
  <c r="K35" i="24"/>
  <c r="L35" i="24" s="1"/>
  <c r="K36" i="24"/>
  <c r="L36" i="24" s="1"/>
  <c r="K37" i="24"/>
  <c r="L37" i="24" s="1"/>
  <c r="K28" i="24"/>
  <c r="S33" i="24"/>
  <c r="A33" i="24" s="1"/>
  <c r="V33" i="24"/>
  <c r="S34" i="24"/>
  <c r="A34" i="24" s="1"/>
  <c r="V34" i="24"/>
  <c r="S35" i="24"/>
  <c r="A35" i="24" s="1"/>
  <c r="V35" i="24"/>
  <c r="S36" i="24"/>
  <c r="A36" i="24" s="1"/>
  <c r="V36" i="24"/>
  <c r="S37" i="24"/>
  <c r="V37" i="24"/>
  <c r="K598" i="24"/>
  <c r="K599" i="24"/>
  <c r="K600" i="24"/>
  <c r="K601" i="24"/>
  <c r="K562" i="24"/>
  <c r="K563" i="24"/>
  <c r="K564" i="24"/>
  <c r="K565" i="24"/>
  <c r="K561" i="24"/>
  <c r="K545" i="24"/>
  <c r="K546" i="24"/>
  <c r="K547" i="24"/>
  <c r="K548" i="24"/>
  <c r="K528" i="24"/>
  <c r="K529" i="24"/>
  <c r="K530" i="24"/>
  <c r="K531" i="24"/>
  <c r="K511" i="24"/>
  <c r="K512" i="24"/>
  <c r="K513" i="24"/>
  <c r="K514" i="24"/>
  <c r="K489" i="24"/>
  <c r="K490" i="24"/>
  <c r="K491" i="24"/>
  <c r="K492" i="24"/>
  <c r="K493" i="24"/>
  <c r="K494" i="24"/>
  <c r="K488" i="24"/>
  <c r="K471" i="24"/>
  <c r="K472" i="24"/>
  <c r="K473" i="24"/>
  <c r="K474" i="24"/>
  <c r="K475" i="24"/>
  <c r="K476" i="24"/>
  <c r="K470" i="24"/>
  <c r="K297" i="24"/>
  <c r="K298" i="24"/>
  <c r="K299" i="24"/>
  <c r="K300" i="24"/>
  <c r="K302" i="24"/>
  <c r="K296" i="24"/>
  <c r="K280" i="24"/>
  <c r="K281" i="24"/>
  <c r="K282" i="24"/>
  <c r="K283" i="24"/>
  <c r="K284" i="24"/>
  <c r="K285" i="24"/>
  <c r="K263" i="24"/>
  <c r="K264" i="24"/>
  <c r="K265" i="24"/>
  <c r="K266" i="24"/>
  <c r="K267" i="24"/>
  <c r="K268" i="24"/>
  <c r="K188" i="24"/>
  <c r="K189" i="24"/>
  <c r="K190" i="24"/>
  <c r="K191" i="24"/>
  <c r="K192" i="24"/>
  <c r="K193" i="24"/>
  <c r="K170" i="24"/>
  <c r="L170" i="24" s="1"/>
  <c r="K171" i="24"/>
  <c r="L171" i="24" s="1"/>
  <c r="K172" i="24"/>
  <c r="L172" i="24" s="1"/>
  <c r="K129" i="24"/>
  <c r="L129" i="24" s="1"/>
  <c r="K130" i="24"/>
  <c r="L130" i="24" s="1"/>
  <c r="K131" i="24"/>
  <c r="L131" i="24" s="1"/>
  <c r="K132" i="24"/>
  <c r="L132" i="24" s="1"/>
  <c r="K133" i="24"/>
  <c r="L133" i="24" s="1"/>
  <c r="K134" i="24"/>
  <c r="L134" i="24" s="1"/>
  <c r="K110" i="24"/>
  <c r="L110" i="24" s="1"/>
  <c r="K111" i="24"/>
  <c r="L111" i="24" s="1"/>
  <c r="K112" i="24"/>
  <c r="L112" i="24" s="1"/>
  <c r="K113" i="24"/>
  <c r="L113" i="24" s="1"/>
  <c r="K114" i="24"/>
  <c r="L114" i="24" s="1"/>
  <c r="K115" i="24"/>
  <c r="L115" i="24" s="1"/>
  <c r="K91" i="24"/>
  <c r="L91" i="24" s="1"/>
  <c r="K92" i="24"/>
  <c r="L92" i="24" s="1"/>
  <c r="K93" i="24"/>
  <c r="L93" i="24" s="1"/>
  <c r="K94" i="24"/>
  <c r="L94" i="24" s="1"/>
  <c r="K95" i="24"/>
  <c r="L95" i="24" s="1"/>
  <c r="K96" i="24"/>
  <c r="L96" i="24" s="1"/>
  <c r="K72" i="24"/>
  <c r="L72" i="24" s="1"/>
  <c r="K73" i="24"/>
  <c r="L73" i="24" s="1"/>
  <c r="K74" i="24"/>
  <c r="L74" i="24" s="1"/>
  <c r="K75" i="24"/>
  <c r="L75" i="24" s="1"/>
  <c r="K76" i="24"/>
  <c r="L76" i="24" s="1"/>
  <c r="K77" i="24"/>
  <c r="L77" i="24" s="1"/>
  <c r="S72" i="24"/>
  <c r="A72" i="24" s="1"/>
  <c r="V72" i="24"/>
  <c r="S73" i="24"/>
  <c r="A73" i="24" s="1"/>
  <c r="V73" i="24"/>
  <c r="S74" i="24"/>
  <c r="A74" i="24" s="1"/>
  <c r="V74" i="24"/>
  <c r="S75" i="24"/>
  <c r="A75" i="24" s="1"/>
  <c r="V75" i="24"/>
  <c r="S76" i="24"/>
  <c r="A76" i="24" s="1"/>
  <c r="V76" i="24"/>
  <c r="S77" i="24"/>
  <c r="A77" i="24" s="1"/>
  <c r="V77" i="24"/>
  <c r="S91" i="24"/>
  <c r="A91" i="24" s="1"/>
  <c r="V91" i="24"/>
  <c r="S92" i="24"/>
  <c r="A92" i="24" s="1"/>
  <c r="V92" i="24"/>
  <c r="S93" i="24"/>
  <c r="A93" i="24" s="1"/>
  <c r="V93" i="24"/>
  <c r="S94" i="24"/>
  <c r="A94" i="24" s="1"/>
  <c r="V94" i="24"/>
  <c r="S95" i="24"/>
  <c r="A95" i="24" s="1"/>
  <c r="V95" i="24"/>
  <c r="S96" i="24"/>
  <c r="A96" i="24" s="1"/>
  <c r="V96" i="24"/>
  <c r="S110" i="24"/>
  <c r="A110" i="24" s="1"/>
  <c r="V110" i="24"/>
  <c r="S111" i="24"/>
  <c r="A111" i="24" s="1"/>
  <c r="V111" i="24"/>
  <c r="S112" i="24"/>
  <c r="A112" i="24" s="1"/>
  <c r="V112" i="24"/>
  <c r="S113" i="24"/>
  <c r="A113" i="24" s="1"/>
  <c r="V113" i="24"/>
  <c r="S114" i="24"/>
  <c r="A114" i="24" s="1"/>
  <c r="V114" i="24"/>
  <c r="S115" i="24"/>
  <c r="V115" i="24"/>
  <c r="S129" i="24"/>
  <c r="A129" i="24" s="1"/>
  <c r="V129" i="24"/>
  <c r="S130" i="24"/>
  <c r="A130" i="24" s="1"/>
  <c r="V130" i="24"/>
  <c r="S131" i="24"/>
  <c r="A131" i="24" s="1"/>
  <c r="V131" i="24"/>
  <c r="S132" i="24"/>
  <c r="A132" i="24" s="1"/>
  <c r="V132" i="24"/>
  <c r="S133" i="24"/>
  <c r="A133" i="24" s="1"/>
  <c r="V133" i="24"/>
  <c r="S134" i="24"/>
  <c r="V134" i="24"/>
  <c r="S170" i="24"/>
  <c r="A170" i="24" s="1"/>
  <c r="V170" i="24"/>
  <c r="S171" i="24"/>
  <c r="A171" i="24" s="1"/>
  <c r="V171" i="24"/>
  <c r="S172" i="24"/>
  <c r="V172" i="24"/>
  <c r="T38" i="24" l="1"/>
  <c r="A37" i="24"/>
  <c r="T17" i="24"/>
  <c r="A16" i="24"/>
  <c r="T173" i="24"/>
  <c r="A172" i="24"/>
  <c r="T135" i="24"/>
  <c r="A134" i="24"/>
  <c r="T116" i="24"/>
  <c r="A115" i="24"/>
  <c r="T97" i="24"/>
  <c r="T78" i="24"/>
  <c r="T16" i="24"/>
  <c r="T13" i="24"/>
  <c r="T114" i="24"/>
  <c r="T76" i="24"/>
  <c r="T74" i="24"/>
  <c r="T92" i="24"/>
  <c r="T37" i="24"/>
  <c r="T113" i="24"/>
  <c r="T111" i="24"/>
  <c r="T95" i="24"/>
  <c r="T93" i="24"/>
  <c r="T15" i="24"/>
  <c r="T34" i="24"/>
  <c r="T171" i="24"/>
  <c r="T133" i="24"/>
  <c r="T131" i="24"/>
  <c r="T115" i="24"/>
  <c r="T94" i="24"/>
  <c r="T75" i="24"/>
  <c r="T112" i="24"/>
  <c r="T35" i="24"/>
  <c r="T14" i="24"/>
  <c r="T96" i="24"/>
  <c r="T134" i="24"/>
  <c r="T172" i="24"/>
  <c r="T130" i="24"/>
  <c r="T73" i="24"/>
  <c r="T77" i="24"/>
  <c r="T132" i="24"/>
  <c r="T36" i="24"/>
  <c r="R42" i="23"/>
  <c r="U42" i="23" l="1"/>
  <c r="R43" i="23"/>
  <c r="U43" i="23" l="1"/>
  <c r="R44" i="23"/>
  <c r="U44" i="23" s="1"/>
  <c r="V32" i="24" l="1"/>
  <c r="S32" i="24"/>
  <c r="L32" i="24"/>
  <c r="T33" i="24" l="1"/>
  <c r="A32" i="24"/>
  <c r="U277" i="17"/>
  <c r="V277" i="17" s="1"/>
  <c r="U269" i="17"/>
  <c r="V269" i="17" s="1"/>
  <c r="U270" i="17"/>
  <c r="V270" i="17" s="1"/>
  <c r="U271" i="17"/>
  <c r="V271" i="17" s="1"/>
  <c r="U272" i="17"/>
  <c r="V272" i="17" s="1"/>
  <c r="U278" i="17"/>
  <c r="V278" i="17" s="1"/>
  <c r="U279" i="17"/>
  <c r="V279" i="17" s="1"/>
  <c r="U280" i="17"/>
  <c r="W280" i="17" s="1"/>
  <c r="Y280" i="17" s="1"/>
  <c r="U268" i="17"/>
  <c r="W268" i="17" s="1"/>
  <c r="Y268" i="17" s="1"/>
  <c r="U242" i="17"/>
  <c r="V242" i="17" s="1"/>
  <c r="U235" i="17"/>
  <c r="V235" i="17" s="1"/>
  <c r="U236" i="17"/>
  <c r="V236" i="17" s="1"/>
  <c r="U237" i="17"/>
  <c r="W237" i="17" s="1"/>
  <c r="Y237" i="17" s="1"/>
  <c r="U238" i="17"/>
  <c r="V238" i="17" s="1"/>
  <c r="U239" i="17"/>
  <c r="V239" i="17" s="1"/>
  <c r="U240" i="17"/>
  <c r="V240" i="17" s="1"/>
  <c r="U241" i="17"/>
  <c r="W241" i="17" s="1"/>
  <c r="Y241" i="17" s="1"/>
  <c r="U225" i="17"/>
  <c r="V225" i="17" s="1"/>
  <c r="U226" i="17"/>
  <c r="V226" i="17" s="1"/>
  <c r="U227" i="17"/>
  <c r="V227" i="17" s="1"/>
  <c r="U228" i="17"/>
  <c r="W228" i="17" s="1"/>
  <c r="Y228" i="17" s="1"/>
  <c r="U229" i="17"/>
  <c r="V229" i="17" s="1"/>
  <c r="U230" i="17"/>
  <c r="V230" i="17" s="1"/>
  <c r="U231" i="17"/>
  <c r="W231" i="17" s="1"/>
  <c r="Y231" i="17" s="1"/>
  <c r="U232" i="17"/>
  <c r="V232" i="17" s="1"/>
  <c r="U233" i="17"/>
  <c r="V233" i="17" s="1"/>
  <c r="U234" i="17"/>
  <c r="V234" i="17" s="1"/>
  <c r="U213" i="17"/>
  <c r="V213" i="17" s="1"/>
  <c r="U214" i="17"/>
  <c r="V214" i="17" s="1"/>
  <c r="U215" i="17"/>
  <c r="V215" i="17" s="1"/>
  <c r="U216" i="17"/>
  <c r="V216" i="17" s="1"/>
  <c r="U217" i="17"/>
  <c r="V217" i="17" s="1"/>
  <c r="U218" i="17"/>
  <c r="V218" i="17" s="1"/>
  <c r="U219" i="17"/>
  <c r="V219" i="17" s="1"/>
  <c r="U220" i="17"/>
  <c r="V220" i="17" s="1"/>
  <c r="U221" i="17"/>
  <c r="V221" i="17" s="1"/>
  <c r="U222" i="17"/>
  <c r="V222" i="17" s="1"/>
  <c r="U223" i="17"/>
  <c r="V223" i="17" s="1"/>
  <c r="U224" i="17"/>
  <c r="V224" i="17" s="1"/>
  <c r="U202" i="17"/>
  <c r="V202" i="17" s="1"/>
  <c r="U203" i="17"/>
  <c r="V203" i="17" s="1"/>
  <c r="U204" i="17"/>
  <c r="V204" i="17" s="1"/>
  <c r="U205" i="17"/>
  <c r="V205" i="17" s="1"/>
  <c r="U206" i="17"/>
  <c r="V206" i="17" s="1"/>
  <c r="U207" i="17"/>
  <c r="V207" i="17" s="1"/>
  <c r="U208" i="17"/>
  <c r="V208" i="17" s="1"/>
  <c r="U209" i="17"/>
  <c r="V209" i="17" s="1"/>
  <c r="U210" i="17"/>
  <c r="V210" i="17" s="1"/>
  <c r="U211" i="17"/>
  <c r="W211" i="17" s="1"/>
  <c r="Y211" i="17" s="1"/>
  <c r="U212" i="17"/>
  <c r="V212" i="17" s="1"/>
  <c r="U196" i="17"/>
  <c r="V196" i="17" s="1"/>
  <c r="U197" i="17"/>
  <c r="V197" i="17" s="1"/>
  <c r="U198" i="17"/>
  <c r="V198" i="17" s="1"/>
  <c r="U199" i="17"/>
  <c r="V199" i="17" s="1"/>
  <c r="U200" i="17"/>
  <c r="V200" i="17" s="1"/>
  <c r="U201" i="17"/>
  <c r="V201" i="17" s="1"/>
  <c r="U188" i="17"/>
  <c r="V188" i="17" s="1"/>
  <c r="U189" i="17"/>
  <c r="V189" i="17" s="1"/>
  <c r="U190" i="17"/>
  <c r="V190" i="17" s="1"/>
  <c r="U191" i="17"/>
  <c r="V191" i="17" s="1"/>
  <c r="U192" i="17"/>
  <c r="V192" i="17" s="1"/>
  <c r="U193" i="17"/>
  <c r="V193" i="17" s="1"/>
  <c r="U194" i="17"/>
  <c r="V194" i="17" s="1"/>
  <c r="U146" i="17"/>
  <c r="V146" i="17" s="1"/>
  <c r="U183" i="17"/>
  <c r="V183" i="17" s="1"/>
  <c r="U184" i="17"/>
  <c r="V184" i="17" s="1"/>
  <c r="U185" i="17"/>
  <c r="V185" i="17" s="1"/>
  <c r="U186" i="17"/>
  <c r="V186" i="17" s="1"/>
  <c r="U187" i="17"/>
  <c r="V187" i="17" s="1"/>
  <c r="U170" i="17"/>
  <c r="V170" i="17" s="1"/>
  <c r="U171" i="17"/>
  <c r="V171" i="17" s="1"/>
  <c r="U172" i="17"/>
  <c r="V172" i="17" s="1"/>
  <c r="U173" i="17"/>
  <c r="V173" i="17" s="1"/>
  <c r="U174" i="17"/>
  <c r="V174" i="17" s="1"/>
  <c r="U175" i="17"/>
  <c r="V175" i="17" s="1"/>
  <c r="U176" i="17"/>
  <c r="V176" i="17" s="1"/>
  <c r="U177" i="17"/>
  <c r="V177" i="17" s="1"/>
  <c r="U178" i="17"/>
  <c r="V178" i="17" s="1"/>
  <c r="U179" i="17"/>
  <c r="V179" i="17" s="1"/>
  <c r="U180" i="17"/>
  <c r="V180" i="17" s="1"/>
  <c r="U181" i="17"/>
  <c r="V181" i="17" s="1"/>
  <c r="U182" i="17"/>
  <c r="W182" i="17" s="1"/>
  <c r="Y182" i="17" s="1"/>
  <c r="U160" i="17"/>
  <c r="V160" i="17" s="1"/>
  <c r="U161" i="17"/>
  <c r="V161" i="17" s="1"/>
  <c r="U162" i="17"/>
  <c r="V162" i="17" s="1"/>
  <c r="U163" i="17"/>
  <c r="V163" i="17" s="1"/>
  <c r="U164" i="17"/>
  <c r="W164" i="17" s="1"/>
  <c r="Y164" i="17" s="1"/>
  <c r="U165" i="17"/>
  <c r="V165" i="17" s="1"/>
  <c r="U166" i="17"/>
  <c r="V166" i="17" s="1"/>
  <c r="U167" i="17"/>
  <c r="V167" i="17" s="1"/>
  <c r="U168" i="17"/>
  <c r="V168" i="17" s="1"/>
  <c r="U169" i="17"/>
  <c r="V169" i="17" s="1"/>
  <c r="U153" i="17"/>
  <c r="V153" i="17" s="1"/>
  <c r="U154" i="17"/>
  <c r="V154" i="17" s="1"/>
  <c r="U155" i="17"/>
  <c r="W155" i="17" s="1"/>
  <c r="Y155" i="17" s="1"/>
  <c r="U156" i="17"/>
  <c r="V156" i="17" s="1"/>
  <c r="U157" i="17"/>
  <c r="V157" i="17" s="1"/>
  <c r="U158" i="17"/>
  <c r="W158" i="17" s="1"/>
  <c r="Y158" i="17" s="1"/>
  <c r="U159" i="17"/>
  <c r="V159" i="17" s="1"/>
  <c r="U144" i="17"/>
  <c r="V144" i="17" s="1"/>
  <c r="U145" i="17"/>
  <c r="V145" i="17" s="1"/>
  <c r="U149" i="17"/>
  <c r="V149" i="17" s="1"/>
  <c r="U150" i="17"/>
  <c r="V150" i="17" s="1"/>
  <c r="U151" i="17"/>
  <c r="V151" i="17" s="1"/>
  <c r="U152" i="17"/>
  <c r="V152" i="17" s="1"/>
  <c r="U195" i="17"/>
  <c r="V195" i="17" s="1"/>
  <c r="U139" i="17"/>
  <c r="W139" i="17" s="1"/>
  <c r="Y139" i="17" s="1"/>
  <c r="U140" i="17"/>
  <c r="V140" i="17" s="1"/>
  <c r="U141" i="17"/>
  <c r="V141" i="17" s="1"/>
  <c r="U142" i="17"/>
  <c r="V142" i="17" s="1"/>
  <c r="U143" i="17"/>
  <c r="W143" i="17" s="1"/>
  <c r="Y143" i="17" s="1"/>
  <c r="U135" i="17"/>
  <c r="V135" i="17" s="1"/>
  <c r="U136" i="17"/>
  <c r="V136" i="17" s="1"/>
  <c r="U137" i="17"/>
  <c r="W137" i="17" s="1"/>
  <c r="Y137" i="17" s="1"/>
  <c r="U138" i="17"/>
  <c r="V138" i="17" s="1"/>
  <c r="U125" i="17"/>
  <c r="V125" i="17" s="1"/>
  <c r="U126" i="17"/>
  <c r="V126" i="17" s="1"/>
  <c r="U127" i="17"/>
  <c r="V127" i="17" s="1"/>
  <c r="U128" i="17"/>
  <c r="V128" i="17" s="1"/>
  <c r="U129" i="17"/>
  <c r="V129" i="17" s="1"/>
  <c r="U130" i="17"/>
  <c r="V130" i="17" s="1"/>
  <c r="U131" i="17"/>
  <c r="W131" i="17" s="1"/>
  <c r="Y131" i="17" s="1"/>
  <c r="U132" i="17"/>
  <c r="V132" i="17" s="1"/>
  <c r="U133" i="17"/>
  <c r="V133" i="17" s="1"/>
  <c r="U134" i="17"/>
  <c r="W134" i="17" s="1"/>
  <c r="Y134" i="17" s="1"/>
  <c r="U281" i="17"/>
  <c r="V281" i="17" s="1"/>
  <c r="U122" i="17"/>
  <c r="V122" i="17" s="1"/>
  <c r="U123" i="17"/>
  <c r="V123" i="17" s="1"/>
  <c r="U124" i="17"/>
  <c r="W124" i="17" s="1"/>
  <c r="Y124" i="17" s="1"/>
  <c r="U117" i="17"/>
  <c r="V117" i="17" s="1"/>
  <c r="U118" i="17"/>
  <c r="V118" i="17" s="1"/>
  <c r="U119" i="17"/>
  <c r="V119" i="17" s="1"/>
  <c r="U120" i="17"/>
  <c r="V120" i="17" s="1"/>
  <c r="U109" i="17"/>
  <c r="V109" i="17" s="1"/>
  <c r="U112" i="17"/>
  <c r="V112" i="17" s="1"/>
  <c r="U114" i="17"/>
  <c r="W114" i="17" s="1"/>
  <c r="Y114" i="17" s="1"/>
  <c r="U115" i="17"/>
  <c r="V115" i="17" s="1"/>
  <c r="U116" i="17"/>
  <c r="V116" i="17" s="1"/>
  <c r="U101" i="17"/>
  <c r="V101" i="17" s="1"/>
  <c r="U102" i="17"/>
  <c r="V102" i="17" s="1"/>
  <c r="U103" i="17"/>
  <c r="W103" i="17" s="1"/>
  <c r="Y103" i="17" s="1"/>
  <c r="U104" i="17"/>
  <c r="W104" i="17" s="1"/>
  <c r="Y104" i="17" s="1"/>
  <c r="U105" i="17"/>
  <c r="V105" i="17" s="1"/>
  <c r="U106" i="17"/>
  <c r="V106" i="17" s="1"/>
  <c r="U107" i="17"/>
  <c r="W107" i="17" s="1"/>
  <c r="Y107" i="17" s="1"/>
  <c r="U108" i="17"/>
  <c r="V108" i="17" s="1"/>
  <c r="U95" i="17"/>
  <c r="V95" i="17" s="1"/>
  <c r="U96" i="17"/>
  <c r="V96" i="17" s="1"/>
  <c r="U97" i="17"/>
  <c r="W97" i="17" s="1"/>
  <c r="Y97" i="17" s="1"/>
  <c r="U98" i="17"/>
  <c r="V98" i="17" s="1"/>
  <c r="U99" i="17"/>
  <c r="V99" i="17" s="1"/>
  <c r="U100" i="17"/>
  <c r="V100" i="17" s="1"/>
  <c r="U92" i="17"/>
  <c r="V92" i="17" s="1"/>
  <c r="U93" i="17"/>
  <c r="W93" i="17" s="1"/>
  <c r="U85" i="17"/>
  <c r="V85" i="17" s="1"/>
  <c r="U86" i="17"/>
  <c r="V86" i="17" s="1"/>
  <c r="U87" i="17"/>
  <c r="V87" i="17" s="1"/>
  <c r="U88" i="17"/>
  <c r="V88" i="17" s="1"/>
  <c r="U89" i="17"/>
  <c r="V89" i="17" s="1"/>
  <c r="U90" i="17"/>
  <c r="V90" i="17" s="1"/>
  <c r="U276" i="17"/>
  <c r="V276" i="17" s="1"/>
  <c r="U91" i="17"/>
  <c r="V91" i="17" s="1"/>
  <c r="U68" i="17"/>
  <c r="V68" i="17" s="1"/>
  <c r="U69" i="17"/>
  <c r="V69" i="17" s="1"/>
  <c r="U70" i="17"/>
  <c r="W70" i="17" s="1"/>
  <c r="Y70" i="17" s="1"/>
  <c r="U71" i="17"/>
  <c r="V71" i="17" s="1"/>
  <c r="U72" i="17"/>
  <c r="V72" i="17" s="1"/>
  <c r="U73" i="17"/>
  <c r="V73" i="17" s="1"/>
  <c r="U74" i="17"/>
  <c r="W74" i="17" s="1"/>
  <c r="Y74" i="17" s="1"/>
  <c r="U75" i="17"/>
  <c r="W75" i="17" s="1"/>
  <c r="Y75" i="17" s="1"/>
  <c r="U275" i="17"/>
  <c r="V275" i="17" s="1"/>
  <c r="U76" i="17"/>
  <c r="V76" i="17" s="1"/>
  <c r="U77" i="17"/>
  <c r="W77" i="17" s="1"/>
  <c r="Y77" i="17" s="1"/>
  <c r="U78" i="17"/>
  <c r="W78" i="17" s="1"/>
  <c r="Y78" i="17" s="1"/>
  <c r="U79" i="17"/>
  <c r="V79" i="17" s="1"/>
  <c r="U80" i="17"/>
  <c r="V80" i="17" s="1"/>
  <c r="U81" i="17"/>
  <c r="W81" i="17" s="1"/>
  <c r="Y81" i="17" s="1"/>
  <c r="U82" i="17"/>
  <c r="W82" i="17" s="1"/>
  <c r="Y82" i="17" s="1"/>
  <c r="U83" i="17"/>
  <c r="V83" i="17" s="1"/>
  <c r="U84" i="17"/>
  <c r="V84" i="17" s="1"/>
  <c r="U62" i="17"/>
  <c r="V62" i="17" s="1"/>
  <c r="U63" i="17"/>
  <c r="V63" i="17" s="1"/>
  <c r="U64" i="17"/>
  <c r="W64" i="17" s="1"/>
  <c r="Y64" i="17" s="1"/>
  <c r="U65" i="17"/>
  <c r="V65" i="17" s="1"/>
  <c r="U66" i="17"/>
  <c r="V66" i="17" s="1"/>
  <c r="U67" i="17"/>
  <c r="V67" i="17" s="1"/>
  <c r="U58" i="17"/>
  <c r="V58" i="17" s="1"/>
  <c r="U61" i="17"/>
  <c r="V61" i="17" s="1"/>
  <c r="U59" i="17"/>
  <c r="V59" i="17" s="1"/>
  <c r="U60" i="17"/>
  <c r="W60" i="17" s="1"/>
  <c r="U56" i="17"/>
  <c r="V56" i="17" s="1"/>
  <c r="U273" i="17"/>
  <c r="V273" i="17" s="1"/>
  <c r="U274" i="17"/>
  <c r="V274" i="17" s="1"/>
  <c r="U57" i="17"/>
  <c r="V57" i="17" s="1"/>
  <c r="U51" i="17"/>
  <c r="V51" i="17" s="1"/>
  <c r="U52" i="17"/>
  <c r="V52" i="17" s="1"/>
  <c r="U53" i="17"/>
  <c r="W53" i="17" s="1"/>
  <c r="Y53" i="17" s="1"/>
  <c r="U54" i="17"/>
  <c r="V54" i="17" s="1"/>
  <c r="U55" i="17"/>
  <c r="V55" i="17" s="1"/>
  <c r="U44" i="17"/>
  <c r="W44" i="17" s="1"/>
  <c r="U45" i="17"/>
  <c r="V45" i="17" s="1"/>
  <c r="U46" i="17"/>
  <c r="V46" i="17" s="1"/>
  <c r="U47" i="17"/>
  <c r="W47" i="17" s="1"/>
  <c r="Y47" i="17" s="1"/>
  <c r="U48" i="17"/>
  <c r="V48" i="17" s="1"/>
  <c r="U49" i="17"/>
  <c r="V49" i="17" s="1"/>
  <c r="U50" i="17"/>
  <c r="W50" i="17" s="1"/>
  <c r="U32" i="17"/>
  <c r="V32" i="17" s="1"/>
  <c r="U33" i="17"/>
  <c r="V33" i="17" s="1"/>
  <c r="U34" i="17"/>
  <c r="V34" i="17" s="1"/>
  <c r="U35" i="17"/>
  <c r="V35" i="17" s="1"/>
  <c r="U36" i="17"/>
  <c r="V36" i="17" s="1"/>
  <c r="U37" i="17"/>
  <c r="W37" i="17" s="1"/>
  <c r="Y37" i="17" s="1"/>
  <c r="U38" i="17"/>
  <c r="V38" i="17" s="1"/>
  <c r="U39" i="17"/>
  <c r="V39" i="17" s="1"/>
  <c r="U40" i="17"/>
  <c r="V40" i="17" s="1"/>
  <c r="U41" i="17"/>
  <c r="V41" i="17" s="1"/>
  <c r="U42" i="17"/>
  <c r="V42" i="17" s="1"/>
  <c r="U43" i="17"/>
  <c r="V43" i="17" s="1"/>
  <c r="U29" i="17"/>
  <c r="V29" i="17" s="1"/>
  <c r="U30" i="17"/>
  <c r="V30" i="17" s="1"/>
  <c r="U31" i="17"/>
  <c r="V31" i="17" s="1"/>
  <c r="U28" i="17"/>
  <c r="V28" i="17" s="1"/>
  <c r="U21" i="17"/>
  <c r="V21" i="17" s="1"/>
  <c r="U22" i="17"/>
  <c r="W22" i="17" s="1"/>
  <c r="Y22" i="17" s="1"/>
  <c r="U23" i="17"/>
  <c r="V23" i="17" s="1"/>
  <c r="U24" i="17"/>
  <c r="V24" i="17" s="1"/>
  <c r="U25" i="17"/>
  <c r="V25" i="17" s="1"/>
  <c r="U26" i="17"/>
  <c r="V26" i="17" s="1"/>
  <c r="U27" i="17"/>
  <c r="V27" i="17" s="1"/>
  <c r="U14" i="17"/>
  <c r="W14" i="17" s="1"/>
  <c r="Y14" i="17" s="1"/>
  <c r="U15" i="17"/>
  <c r="W15" i="17" s="1"/>
  <c r="Y15" i="17" s="1"/>
  <c r="U16" i="17"/>
  <c r="W16" i="17" s="1"/>
  <c r="Y16" i="17" s="1"/>
  <c r="U17" i="17"/>
  <c r="W17" i="17" s="1"/>
  <c r="Y17" i="17" s="1"/>
  <c r="U18" i="17"/>
  <c r="W18" i="17" s="1"/>
  <c r="Y18" i="17" s="1"/>
  <c r="U19" i="17"/>
  <c r="W19" i="17" s="1"/>
  <c r="Y19" i="17" s="1"/>
  <c r="U20" i="17"/>
  <c r="W20" i="17" s="1"/>
  <c r="Y20" i="17" s="1"/>
  <c r="U13" i="17"/>
  <c r="W13" i="17" s="1"/>
  <c r="G606" i="24"/>
  <c r="AD599" i="24" s="1"/>
  <c r="V601" i="24"/>
  <c r="S601" i="24"/>
  <c r="L601" i="24"/>
  <c r="V600" i="24"/>
  <c r="S600" i="24"/>
  <c r="A600" i="24" s="1"/>
  <c r="L600" i="24"/>
  <c r="V599" i="24"/>
  <c r="S599" i="24"/>
  <c r="A599" i="24" s="1"/>
  <c r="L599" i="24"/>
  <c r="V598" i="24"/>
  <c r="S598" i="24"/>
  <c r="A598" i="24" s="1"/>
  <c r="L598" i="24"/>
  <c r="V597" i="24"/>
  <c r="S597" i="24"/>
  <c r="A597" i="24" s="1"/>
  <c r="V596" i="24"/>
  <c r="S596" i="24"/>
  <c r="A596" i="24" s="1"/>
  <c r="P596" i="24"/>
  <c r="G560" i="24"/>
  <c r="G570" i="24" s="1"/>
  <c r="AD563" i="24" s="1"/>
  <c r="V565" i="24"/>
  <c r="S565" i="24"/>
  <c r="L565" i="24"/>
  <c r="V564" i="24"/>
  <c r="S564" i="24"/>
  <c r="A564" i="24" s="1"/>
  <c r="L564" i="24"/>
  <c r="V563" i="24"/>
  <c r="S563" i="24"/>
  <c r="A563" i="24" s="1"/>
  <c r="L563" i="24"/>
  <c r="V562" i="24"/>
  <c r="S562" i="24"/>
  <c r="A562" i="24" s="1"/>
  <c r="L562" i="24"/>
  <c r="V561" i="24"/>
  <c r="S561" i="24"/>
  <c r="A561" i="24" s="1"/>
  <c r="V560" i="24"/>
  <c r="S560" i="24"/>
  <c r="A560" i="24" s="1"/>
  <c r="G553" i="24"/>
  <c r="AD546" i="24" s="1"/>
  <c r="V548" i="24"/>
  <c r="S548" i="24"/>
  <c r="L548" i="24"/>
  <c r="V547" i="24"/>
  <c r="S547" i="24"/>
  <c r="A547" i="24" s="1"/>
  <c r="L547" i="24"/>
  <c r="V546" i="24"/>
  <c r="S546" i="24"/>
  <c r="A546" i="24" s="1"/>
  <c r="L546" i="24"/>
  <c r="V545" i="24"/>
  <c r="S545" i="24"/>
  <c r="A545" i="24" s="1"/>
  <c r="L545" i="24"/>
  <c r="V544" i="24"/>
  <c r="S544" i="24"/>
  <c r="A544" i="24" s="1"/>
  <c r="V543" i="24"/>
  <c r="S543" i="24"/>
  <c r="A543" i="24" s="1"/>
  <c r="P543" i="24"/>
  <c r="G536" i="24"/>
  <c r="AD529" i="24" s="1"/>
  <c r="V531" i="24"/>
  <c r="S531" i="24"/>
  <c r="L531" i="24"/>
  <c r="V530" i="24"/>
  <c r="S530" i="24"/>
  <c r="A530" i="24" s="1"/>
  <c r="L530" i="24"/>
  <c r="V529" i="24"/>
  <c r="S529" i="24"/>
  <c r="A529" i="24" s="1"/>
  <c r="L529" i="24"/>
  <c r="V528" i="24"/>
  <c r="S528" i="24"/>
  <c r="A528" i="24" s="1"/>
  <c r="L528" i="24"/>
  <c r="V527" i="24"/>
  <c r="S527" i="24"/>
  <c r="A527" i="24" s="1"/>
  <c r="V526" i="24"/>
  <c r="S526" i="24"/>
  <c r="A526" i="24" s="1"/>
  <c r="P526" i="24"/>
  <c r="V514" i="24"/>
  <c r="S514" i="24"/>
  <c r="L514" i="24"/>
  <c r="V513" i="24"/>
  <c r="S513" i="24"/>
  <c r="A513" i="24" s="1"/>
  <c r="L513" i="24"/>
  <c r="V512" i="24"/>
  <c r="S512" i="24"/>
  <c r="A512" i="24" s="1"/>
  <c r="L512" i="24"/>
  <c r="V511" i="24"/>
  <c r="S511" i="24"/>
  <c r="V510" i="24"/>
  <c r="S510" i="24"/>
  <c r="A510" i="24" s="1"/>
  <c r="V509" i="24"/>
  <c r="S509" i="24"/>
  <c r="A509" i="24" s="1"/>
  <c r="X13" i="17" l="1"/>
  <c r="Y13" i="17"/>
  <c r="T602" i="24"/>
  <c r="A601" i="24"/>
  <c r="T512" i="24"/>
  <c r="A511" i="24"/>
  <c r="A565" i="24"/>
  <c r="T566" i="24"/>
  <c r="A531" i="24"/>
  <c r="T532" i="24"/>
  <c r="T515" i="24"/>
  <c r="A514" i="24"/>
  <c r="T549" i="24"/>
  <c r="A548" i="24"/>
  <c r="T562" i="24"/>
  <c r="X20" i="17"/>
  <c r="Z20" i="17" s="1"/>
  <c r="X16" i="17"/>
  <c r="Z16" i="17" s="1"/>
  <c r="X22" i="17"/>
  <c r="Z22" i="17" s="1"/>
  <c r="X107" i="17"/>
  <c r="Z107" i="17" s="1"/>
  <c r="X103" i="17"/>
  <c r="Z103" i="17" s="1"/>
  <c r="X137" i="17"/>
  <c r="Z137" i="17" s="1"/>
  <c r="X211" i="17"/>
  <c r="Z211" i="17" s="1"/>
  <c r="X19" i="17"/>
  <c r="Z19" i="17" s="1"/>
  <c r="X15" i="17"/>
  <c r="Z15" i="17" s="1"/>
  <c r="X37" i="17"/>
  <c r="Z37" i="17" s="1"/>
  <c r="X64" i="17"/>
  <c r="Z64" i="17" s="1"/>
  <c r="X114" i="17"/>
  <c r="Z114" i="17" s="1"/>
  <c r="X131" i="17"/>
  <c r="Z131" i="17" s="1"/>
  <c r="X155" i="17"/>
  <c r="Z155" i="17" s="1"/>
  <c r="X164" i="17"/>
  <c r="Z164" i="17" s="1"/>
  <c r="X182" i="17"/>
  <c r="Z182" i="17" s="1"/>
  <c r="X228" i="17"/>
  <c r="Z228" i="17" s="1"/>
  <c r="X241" i="17"/>
  <c r="Z241" i="17" s="1"/>
  <c r="X237" i="17"/>
  <c r="Z237" i="17" s="1"/>
  <c r="X18" i="17"/>
  <c r="Z18" i="17" s="1"/>
  <c r="X14" i="17"/>
  <c r="Z14" i="17" s="1"/>
  <c r="X47" i="17"/>
  <c r="Z47" i="17" s="1"/>
  <c r="X53" i="17"/>
  <c r="Z53" i="17" s="1"/>
  <c r="X82" i="17"/>
  <c r="Z82" i="17" s="1"/>
  <c r="X78" i="17"/>
  <c r="X75" i="17"/>
  <c r="Z75" i="17" s="1"/>
  <c r="X124" i="17"/>
  <c r="Z124" i="17" s="1"/>
  <c r="X134" i="17"/>
  <c r="Z134" i="17" s="1"/>
  <c r="X158" i="17"/>
  <c r="Z158" i="17" s="1"/>
  <c r="X231" i="17"/>
  <c r="Z231" i="17" s="1"/>
  <c r="X268" i="17"/>
  <c r="Z268" i="17" s="1"/>
  <c r="X17" i="17"/>
  <c r="Z17" i="17" s="1"/>
  <c r="X81" i="17"/>
  <c r="Z81" i="17" s="1"/>
  <c r="X77" i="17"/>
  <c r="Z77" i="17" s="1"/>
  <c r="X74" i="17"/>
  <c r="Z74" i="17" s="1"/>
  <c r="X70" i="17"/>
  <c r="Z70" i="17" s="1"/>
  <c r="X97" i="17"/>
  <c r="Z97" i="17" s="1"/>
  <c r="X104" i="17"/>
  <c r="Z104" i="17" s="1"/>
  <c r="X143" i="17"/>
  <c r="Z143" i="17" s="1"/>
  <c r="X139" i="17"/>
  <c r="Z139" i="17" s="1"/>
  <c r="X280" i="17"/>
  <c r="Z280" i="17" s="1"/>
  <c r="P560" i="24"/>
  <c r="V82" i="17"/>
  <c r="W205" i="17"/>
  <c r="Y205" i="17" s="1"/>
  <c r="V139" i="17"/>
  <c r="V77" i="17"/>
  <c r="V75" i="17"/>
  <c r="W179" i="17"/>
  <c r="Y179" i="17" s="1"/>
  <c r="W65" i="17"/>
  <c r="Y65" i="17" s="1"/>
  <c r="W90" i="17"/>
  <c r="Y90" i="17" s="1"/>
  <c r="V97" i="17"/>
  <c r="V131" i="17"/>
  <c r="V137" i="17"/>
  <c r="V143" i="17"/>
  <c r="V155" i="17"/>
  <c r="V81" i="17"/>
  <c r="V78" i="17"/>
  <c r="V74" i="17"/>
  <c r="W108" i="17"/>
  <c r="W119" i="17"/>
  <c r="Y119" i="17" s="1"/>
  <c r="V182" i="17"/>
  <c r="W233" i="17"/>
  <c r="Y233" i="17" s="1"/>
  <c r="V44" i="17"/>
  <c r="W200" i="17"/>
  <c r="Y200" i="17" s="1"/>
  <c r="W67" i="17"/>
  <c r="Y67" i="17" s="1"/>
  <c r="V64" i="17"/>
  <c r="V164" i="17"/>
  <c r="W57" i="17"/>
  <c r="Y57" i="17" s="1"/>
  <c r="V70" i="17"/>
  <c r="V93" i="17"/>
  <c r="W26" i="17"/>
  <c r="Y26" i="17" s="1"/>
  <c r="V50" i="17"/>
  <c r="V103" i="17"/>
  <c r="W216" i="17"/>
  <c r="Y216" i="17" s="1"/>
  <c r="W27" i="17"/>
  <c r="Y27" i="17" s="1"/>
  <c r="W42" i="17"/>
  <c r="V53" i="17"/>
  <c r="V104" i="17"/>
  <c r="V114" i="17"/>
  <c r="W168" i="17"/>
  <c r="Y168" i="17" s="1"/>
  <c r="W190" i="17"/>
  <c r="Y190" i="17" s="1"/>
  <c r="W212" i="17"/>
  <c r="Y212" i="17" s="1"/>
  <c r="W227" i="17"/>
  <c r="Y227" i="17" s="1"/>
  <c r="V241" i="17"/>
  <c r="V22" i="17"/>
  <c r="V37" i="17"/>
  <c r="V60" i="17"/>
  <c r="W272" i="17"/>
  <c r="Y272" i="17" s="1"/>
  <c r="W41" i="17"/>
  <c r="Y41" i="17" s="1"/>
  <c r="W128" i="17"/>
  <c r="Y128" i="17" s="1"/>
  <c r="W167" i="17"/>
  <c r="Y167" i="17" s="1"/>
  <c r="W163" i="17"/>
  <c r="Y163" i="17" s="1"/>
  <c r="W208" i="17"/>
  <c r="Y208" i="17" s="1"/>
  <c r="W224" i="17"/>
  <c r="Y224" i="17" s="1"/>
  <c r="W215" i="17"/>
  <c r="Y215" i="17" s="1"/>
  <c r="V228" i="17"/>
  <c r="W38" i="17"/>
  <c r="Y38" i="17" s="1"/>
  <c r="W45" i="17"/>
  <c r="Y45" i="17" s="1"/>
  <c r="V107" i="17"/>
  <c r="W115" i="17"/>
  <c r="Y115" i="17" s="1"/>
  <c r="V124" i="17"/>
  <c r="W141" i="17"/>
  <c r="Y141" i="17" s="1"/>
  <c r="W159" i="17"/>
  <c r="W160" i="17"/>
  <c r="Y160" i="17" s="1"/>
  <c r="W172" i="17"/>
  <c r="Y172" i="17" s="1"/>
  <c r="W193" i="17"/>
  <c r="Y193" i="17" s="1"/>
  <c r="W199" i="17"/>
  <c r="Y199" i="17" s="1"/>
  <c r="V237" i="17"/>
  <c r="V19" i="17"/>
  <c r="V18" i="17"/>
  <c r="V14" i="17"/>
  <c r="W23" i="17"/>
  <c r="Y23" i="17" s="1"/>
  <c r="V47" i="17"/>
  <c r="W83" i="17"/>
  <c r="Y83" i="17" s="1"/>
  <c r="W79" i="17"/>
  <c r="Y79" i="17" s="1"/>
  <c r="W275" i="17"/>
  <c r="Y275" i="17" s="1"/>
  <c r="W87" i="17"/>
  <c r="Y87" i="17" s="1"/>
  <c r="W138" i="17"/>
  <c r="Y138" i="17" s="1"/>
  <c r="W151" i="17"/>
  <c r="Y151" i="17" s="1"/>
  <c r="W145" i="17"/>
  <c r="W185" i="17"/>
  <c r="Y185" i="17" s="1"/>
  <c r="W194" i="17"/>
  <c r="Y194" i="17" s="1"/>
  <c r="W191" i="17"/>
  <c r="Y191" i="17" s="1"/>
  <c r="W196" i="17"/>
  <c r="Y196" i="17" s="1"/>
  <c r="W219" i="17"/>
  <c r="Y219" i="17" s="1"/>
  <c r="V231" i="17"/>
  <c r="W238" i="17"/>
  <c r="Y238" i="17" s="1"/>
  <c r="V15" i="17"/>
  <c r="V13" i="17"/>
  <c r="V17" i="17"/>
  <c r="W29" i="17"/>
  <c r="Y29" i="17" s="1"/>
  <c r="W35" i="17"/>
  <c r="W48" i="17"/>
  <c r="W52" i="17"/>
  <c r="Y52" i="17" s="1"/>
  <c r="W274" i="17"/>
  <c r="Y274" i="17" s="1"/>
  <c r="W71" i="17"/>
  <c r="Y71" i="17" s="1"/>
  <c r="W112" i="17"/>
  <c r="W118" i="17"/>
  <c r="Y118" i="17" s="1"/>
  <c r="W123" i="17"/>
  <c r="Y123" i="17" s="1"/>
  <c r="W132" i="17"/>
  <c r="Y132" i="17" s="1"/>
  <c r="W127" i="17"/>
  <c r="Y127" i="17" s="1"/>
  <c r="W140" i="17"/>
  <c r="Y140" i="17" s="1"/>
  <c r="W152" i="17"/>
  <c r="Y152" i="17" s="1"/>
  <c r="W149" i="17"/>
  <c r="Y149" i="17" s="1"/>
  <c r="W154" i="17"/>
  <c r="Y154" i="17" s="1"/>
  <c r="W178" i="17"/>
  <c r="Y178" i="17" s="1"/>
  <c r="W173" i="17"/>
  <c r="Y173" i="17" s="1"/>
  <c r="W204" i="17"/>
  <c r="Y204" i="17" s="1"/>
  <c r="W232" i="17"/>
  <c r="Y232" i="17" s="1"/>
  <c r="W271" i="17"/>
  <c r="Y271" i="17" s="1"/>
  <c r="V20" i="17"/>
  <c r="V16" i="17"/>
  <c r="W32" i="17"/>
  <c r="Y32" i="17" s="1"/>
  <c r="W98" i="17"/>
  <c r="Y98" i="17" s="1"/>
  <c r="V134" i="17"/>
  <c r="V158" i="17"/>
  <c r="W176" i="17"/>
  <c r="Y176" i="17" s="1"/>
  <c r="W186" i="17"/>
  <c r="V211" i="17"/>
  <c r="W220" i="17"/>
  <c r="Y220" i="17" s="1"/>
  <c r="V280" i="17"/>
  <c r="W277" i="17"/>
  <c r="Y277" i="17" s="1"/>
  <c r="W278" i="17"/>
  <c r="Y278" i="17" s="1"/>
  <c r="W269" i="17"/>
  <c r="Y269" i="17" s="1"/>
  <c r="W279" i="17"/>
  <c r="Y279" i="17" s="1"/>
  <c r="W270" i="17"/>
  <c r="Y270" i="17" s="1"/>
  <c r="V268" i="17"/>
  <c r="W242" i="17"/>
  <c r="Y242" i="17" s="1"/>
  <c r="W240" i="17"/>
  <c r="Y240" i="17" s="1"/>
  <c r="W239" i="17"/>
  <c r="Y239" i="17" s="1"/>
  <c r="W235" i="17"/>
  <c r="W236" i="17"/>
  <c r="Y236" i="17" s="1"/>
  <c r="W229" i="17"/>
  <c r="Y229" i="17" s="1"/>
  <c r="W225" i="17"/>
  <c r="Y225" i="17" s="1"/>
  <c r="W234" i="17"/>
  <c r="Y234" i="17" s="1"/>
  <c r="W230" i="17"/>
  <c r="Y230" i="17" s="1"/>
  <c r="W226" i="17"/>
  <c r="Y226" i="17" s="1"/>
  <c r="W222" i="17"/>
  <c r="Y222" i="17" s="1"/>
  <c r="W221" i="17"/>
  <c r="Y221" i="17" s="1"/>
  <c r="W217" i="17"/>
  <c r="Y217" i="17" s="1"/>
  <c r="W213" i="17"/>
  <c r="Y213" i="17" s="1"/>
  <c r="W223" i="17"/>
  <c r="Y223" i="17" s="1"/>
  <c r="W218" i="17"/>
  <c r="Y218" i="17" s="1"/>
  <c r="W214" i="17"/>
  <c r="Y214" i="17" s="1"/>
  <c r="W209" i="17"/>
  <c r="Y209" i="17" s="1"/>
  <c r="W206" i="17"/>
  <c r="Y206" i="17" s="1"/>
  <c r="W202" i="17"/>
  <c r="Y202" i="17" s="1"/>
  <c r="W210" i="17"/>
  <c r="Y210" i="17" s="1"/>
  <c r="W207" i="17"/>
  <c r="W203" i="17"/>
  <c r="Y203" i="17" s="1"/>
  <c r="W201" i="17"/>
  <c r="Y201" i="17" s="1"/>
  <c r="W197" i="17"/>
  <c r="Y197" i="17" s="1"/>
  <c r="W198" i="17"/>
  <c r="Y198" i="17" s="1"/>
  <c r="W192" i="17"/>
  <c r="W188" i="17"/>
  <c r="Y188" i="17" s="1"/>
  <c r="W189" i="17"/>
  <c r="Y189" i="17" s="1"/>
  <c r="W183" i="17"/>
  <c r="Y183" i="17" s="1"/>
  <c r="W146" i="17"/>
  <c r="W187" i="17"/>
  <c r="Y187" i="17" s="1"/>
  <c r="W184" i="17"/>
  <c r="Y184" i="17" s="1"/>
  <c r="W180" i="17"/>
  <c r="Y180" i="17" s="1"/>
  <c r="W177" i="17"/>
  <c r="W174" i="17"/>
  <c r="Y174" i="17" s="1"/>
  <c r="W170" i="17"/>
  <c r="Y170" i="17" s="1"/>
  <c r="W181" i="17"/>
  <c r="Y181" i="17" s="1"/>
  <c r="W175" i="17"/>
  <c r="W171" i="17"/>
  <c r="Y171" i="17" s="1"/>
  <c r="W169" i="17"/>
  <c r="Y169" i="17" s="1"/>
  <c r="W165" i="17"/>
  <c r="Y165" i="17" s="1"/>
  <c r="W161" i="17"/>
  <c r="Y161" i="17" s="1"/>
  <c r="W166" i="17"/>
  <c r="Y166" i="17" s="1"/>
  <c r="W162" i="17"/>
  <c r="Y162" i="17" s="1"/>
  <c r="W156" i="17"/>
  <c r="Y156" i="17" s="1"/>
  <c r="W157" i="17"/>
  <c r="Y157" i="17" s="1"/>
  <c r="W153" i="17"/>
  <c r="Y153" i="17" s="1"/>
  <c r="W150" i="17"/>
  <c r="W144" i="17"/>
  <c r="Y144" i="17" s="1"/>
  <c r="W142" i="17"/>
  <c r="Y142" i="17" s="1"/>
  <c r="W195" i="17"/>
  <c r="W135" i="17"/>
  <c r="Y135" i="17" s="1"/>
  <c r="W136" i="17"/>
  <c r="Y136" i="17" s="1"/>
  <c r="W129" i="17"/>
  <c r="Y129" i="17" s="1"/>
  <c r="W125" i="17"/>
  <c r="Y125" i="17" s="1"/>
  <c r="W133" i="17"/>
  <c r="Y133" i="17" s="1"/>
  <c r="W130" i="17"/>
  <c r="Y130" i="17" s="1"/>
  <c r="W126" i="17"/>
  <c r="Y126" i="17" s="1"/>
  <c r="W281" i="17"/>
  <c r="Y281" i="17" s="1"/>
  <c r="W122" i="17"/>
  <c r="Y122" i="17" s="1"/>
  <c r="W120" i="17"/>
  <c r="Y120" i="17" s="1"/>
  <c r="W117" i="17"/>
  <c r="W116" i="17"/>
  <c r="Y116" i="17" s="1"/>
  <c r="W109" i="17"/>
  <c r="W105" i="17"/>
  <c r="Y105" i="17" s="1"/>
  <c r="W101" i="17"/>
  <c r="Y101" i="17" s="1"/>
  <c r="W106" i="17"/>
  <c r="Y106" i="17" s="1"/>
  <c r="W102" i="17"/>
  <c r="Y102" i="17" s="1"/>
  <c r="W99" i="17"/>
  <c r="Y99" i="17" s="1"/>
  <c r="W95" i="17"/>
  <c r="Y95" i="17" s="1"/>
  <c r="W100" i="17"/>
  <c r="Y100" i="17" s="1"/>
  <c r="W96" i="17"/>
  <c r="Y96" i="17" s="1"/>
  <c r="W92" i="17"/>
  <c r="Y92" i="17" s="1"/>
  <c r="W276" i="17"/>
  <c r="Y276" i="17" s="1"/>
  <c r="W91" i="17"/>
  <c r="W88" i="17"/>
  <c r="Y88" i="17" s="1"/>
  <c r="W85" i="17"/>
  <c r="Y85" i="17" s="1"/>
  <c r="W89" i="17"/>
  <c r="Y89" i="17" s="1"/>
  <c r="W86" i="17"/>
  <c r="W72" i="17"/>
  <c r="Y72" i="17" s="1"/>
  <c r="W68" i="17"/>
  <c r="Y68" i="17" s="1"/>
  <c r="W84" i="17"/>
  <c r="Y84" i="17" s="1"/>
  <c r="W80" i="17"/>
  <c r="Y80" i="17" s="1"/>
  <c r="W76" i="17"/>
  <c r="Y76" i="17" s="1"/>
  <c r="W73" i="17"/>
  <c r="Y73" i="17" s="1"/>
  <c r="W69" i="17"/>
  <c r="Y69" i="17" s="1"/>
  <c r="W66" i="17"/>
  <c r="Y66" i="17" s="1"/>
  <c r="W62" i="17"/>
  <c r="Y62" i="17" s="1"/>
  <c r="W63" i="17"/>
  <c r="Y63" i="17" s="1"/>
  <c r="W58" i="17"/>
  <c r="Y58" i="17" s="1"/>
  <c r="W61" i="17"/>
  <c r="W59" i="17"/>
  <c r="W56" i="17"/>
  <c r="Y56" i="17" s="1"/>
  <c r="W273" i="17"/>
  <c r="Y273" i="17" s="1"/>
  <c r="W54" i="17"/>
  <c r="Y54" i="17" s="1"/>
  <c r="W55" i="17"/>
  <c r="Y55" i="17" s="1"/>
  <c r="W51" i="17"/>
  <c r="Y51" i="17" s="1"/>
  <c r="W49" i="17"/>
  <c r="W46" i="17"/>
  <c r="Y46" i="17" s="1"/>
  <c r="W39" i="17"/>
  <c r="Y39" i="17" s="1"/>
  <c r="W33" i="17"/>
  <c r="Y33" i="17" s="1"/>
  <c r="W43" i="17"/>
  <c r="W40" i="17"/>
  <c r="Y40" i="17" s="1"/>
  <c r="W36" i="17"/>
  <c r="Y36" i="17" s="1"/>
  <c r="W34" i="17"/>
  <c r="Y34" i="17" s="1"/>
  <c r="W30" i="17"/>
  <c r="Y30" i="17" s="1"/>
  <c r="W31" i="17"/>
  <c r="Y31" i="17" s="1"/>
  <c r="W28" i="17"/>
  <c r="W24" i="17"/>
  <c r="Y24" i="17" s="1"/>
  <c r="W21" i="17"/>
  <c r="W25" i="17"/>
  <c r="Y25" i="17" s="1"/>
  <c r="T601" i="24"/>
  <c r="T600" i="24"/>
  <c r="T597" i="24"/>
  <c r="T598" i="24"/>
  <c r="M596" i="24"/>
  <c r="N596" i="24" s="1"/>
  <c r="T599" i="24"/>
  <c r="T565" i="24"/>
  <c r="T548" i="24"/>
  <c r="T564" i="24"/>
  <c r="T561" i="24"/>
  <c r="M560" i="24"/>
  <c r="N560" i="24" s="1"/>
  <c r="H561" i="24" s="1"/>
  <c r="T547" i="24"/>
  <c r="T563" i="24"/>
  <c r="T531" i="24"/>
  <c r="T544" i="24"/>
  <c r="T545" i="24"/>
  <c r="M543" i="24"/>
  <c r="N543" i="24" s="1"/>
  <c r="T510" i="24"/>
  <c r="T530" i="24"/>
  <c r="T546" i="24"/>
  <c r="T527" i="24"/>
  <c r="T528" i="24"/>
  <c r="M526" i="24"/>
  <c r="N526" i="24" s="1"/>
  <c r="T513" i="24"/>
  <c r="T529" i="24"/>
  <c r="T511" i="24"/>
  <c r="P509" i="24"/>
  <c r="T514" i="24"/>
  <c r="G519" i="24"/>
  <c r="M509" i="24"/>
  <c r="N509" i="24" s="1"/>
  <c r="G498" i="24"/>
  <c r="AD490" i="24" s="1"/>
  <c r="V494" i="24"/>
  <c r="S494" i="24"/>
  <c r="L494" i="24"/>
  <c r="V493" i="24"/>
  <c r="S493" i="24"/>
  <c r="L493" i="24"/>
  <c r="V492" i="24"/>
  <c r="S492" i="24"/>
  <c r="A492" i="24" s="1"/>
  <c r="L492" i="24"/>
  <c r="V491" i="24"/>
  <c r="S491" i="24"/>
  <c r="A491" i="24" s="1"/>
  <c r="L491" i="24"/>
  <c r="V490" i="24"/>
  <c r="S490" i="24"/>
  <c r="A490" i="24" s="1"/>
  <c r="L490" i="24"/>
  <c r="V489" i="24"/>
  <c r="S489" i="24"/>
  <c r="A489" i="24" s="1"/>
  <c r="L489" i="24"/>
  <c r="V488" i="24"/>
  <c r="S488" i="24"/>
  <c r="A488" i="24" s="1"/>
  <c r="L488" i="24"/>
  <c r="V487" i="24"/>
  <c r="S487" i="24"/>
  <c r="A487" i="24" s="1"/>
  <c r="P487" i="24"/>
  <c r="G469" i="24"/>
  <c r="P469" i="24" s="1"/>
  <c r="P397" i="24"/>
  <c r="P295" i="24"/>
  <c r="P278" i="24"/>
  <c r="P261" i="24"/>
  <c r="P225" i="24"/>
  <c r="P205" i="24"/>
  <c r="P186" i="24"/>
  <c r="P168" i="24"/>
  <c r="P146" i="24"/>
  <c r="P127" i="24"/>
  <c r="P108" i="24"/>
  <c r="P89" i="24"/>
  <c r="P70" i="24"/>
  <c r="P50" i="24"/>
  <c r="V476" i="24"/>
  <c r="S476" i="24"/>
  <c r="L476" i="24"/>
  <c r="V475" i="24"/>
  <c r="S475" i="24"/>
  <c r="A475" i="24" s="1"/>
  <c r="L475" i="24"/>
  <c r="V474" i="24"/>
  <c r="S474" i="24"/>
  <c r="A474" i="24" s="1"/>
  <c r="L474" i="24"/>
  <c r="V473" i="24"/>
  <c r="S473" i="24"/>
  <c r="A473" i="24" s="1"/>
  <c r="L473" i="24"/>
  <c r="V472" i="24"/>
  <c r="S472" i="24"/>
  <c r="A472" i="24" s="1"/>
  <c r="L472" i="24"/>
  <c r="V471" i="24"/>
  <c r="S471" i="24"/>
  <c r="A471" i="24" s="1"/>
  <c r="L471" i="24"/>
  <c r="V470" i="24"/>
  <c r="S470" i="24"/>
  <c r="V469" i="24"/>
  <c r="S469" i="24"/>
  <c r="A469" i="24" s="1"/>
  <c r="AD241" i="17" l="1"/>
  <c r="AE241" i="17" s="1"/>
  <c r="AC237" i="17"/>
  <c r="AD237" i="17" s="1"/>
  <c r="AE237" i="17" s="1"/>
  <c r="AB228" i="17"/>
  <c r="AC228" i="17" s="1"/>
  <c r="AB231" i="17"/>
  <c r="AC231" i="17" s="1"/>
  <c r="AA211" i="17"/>
  <c r="AB211" i="17" s="1"/>
  <c r="AA77" i="17"/>
  <c r="AB77" i="17" s="1"/>
  <c r="AA64" i="17"/>
  <c r="AB64" i="17" s="1"/>
  <c r="AA104" i="17"/>
  <c r="AB104" i="17" s="1"/>
  <c r="AC104" i="17" s="1"/>
  <c r="AA75" i="17"/>
  <c r="AA47" i="17"/>
  <c r="AA155" i="17"/>
  <c r="AA37" i="17"/>
  <c r="AA137" i="17"/>
  <c r="AA16" i="17"/>
  <c r="AB16" i="17" s="1"/>
  <c r="AA81" i="17"/>
  <c r="AB81" i="17" s="1"/>
  <c r="AC81" i="17" s="1"/>
  <c r="AA103" i="17"/>
  <c r="AB103" i="17" s="1"/>
  <c r="AA280" i="17"/>
  <c r="AB280" i="17" s="1"/>
  <c r="AA158" i="17"/>
  <c r="AA139" i="17"/>
  <c r="AA70" i="17"/>
  <c r="AB70" i="17" s="1"/>
  <c r="AC70" i="17" s="1"/>
  <c r="AA17" i="17"/>
  <c r="AA134" i="17"/>
  <c r="AB134" i="17" s="1"/>
  <c r="AA82" i="17"/>
  <c r="AB82" i="17" s="1"/>
  <c r="AA18" i="17"/>
  <c r="AB18" i="17" s="1"/>
  <c r="AA182" i="17"/>
  <c r="AA114" i="17"/>
  <c r="AB114" i="17" s="1"/>
  <c r="AA19" i="17"/>
  <c r="AB19" i="17" s="1"/>
  <c r="AA107" i="17"/>
  <c r="AA268" i="17"/>
  <c r="AA53" i="17"/>
  <c r="AB53" i="17" s="1"/>
  <c r="AC53" i="17" s="1"/>
  <c r="AA131" i="17"/>
  <c r="AB131" i="17" s="1"/>
  <c r="AA74" i="17"/>
  <c r="AA15" i="17"/>
  <c r="AB15" i="17" s="1"/>
  <c r="AA143" i="17"/>
  <c r="AB143" i="17" s="1"/>
  <c r="AA22" i="17"/>
  <c r="AA124" i="17"/>
  <c r="AA14" i="17"/>
  <c r="AA164" i="17"/>
  <c r="AB164" i="17" s="1"/>
  <c r="AA97" i="17"/>
  <c r="AB97" i="17" s="1"/>
  <c r="AA20" i="17"/>
  <c r="AB20" i="17" s="1"/>
  <c r="X152" i="17"/>
  <c r="Z152" i="17" s="1"/>
  <c r="X151" i="17"/>
  <c r="Z151" i="17" s="1"/>
  <c r="A494" i="24"/>
  <c r="T495" i="24"/>
  <c r="AD512" i="24"/>
  <c r="T494" i="24"/>
  <c r="A493" i="24"/>
  <c r="A476" i="24"/>
  <c r="T477" i="24"/>
  <c r="T471" i="24"/>
  <c r="A470" i="24"/>
  <c r="T472" i="24"/>
  <c r="Z78" i="17"/>
  <c r="X24" i="17"/>
  <c r="Z24" i="17" s="1"/>
  <c r="X36" i="17"/>
  <c r="Z36" i="17" s="1"/>
  <c r="X33" i="17"/>
  <c r="Z33" i="17" s="1"/>
  <c r="X55" i="17"/>
  <c r="Z55" i="17" s="1"/>
  <c r="X56" i="17"/>
  <c r="Z56" i="17" s="1"/>
  <c r="X66" i="17"/>
  <c r="Z66" i="17" s="1"/>
  <c r="X80" i="17"/>
  <c r="Z80" i="17" s="1"/>
  <c r="X99" i="17"/>
  <c r="Z99" i="17" s="1"/>
  <c r="X105" i="17"/>
  <c r="Z105" i="17" s="1"/>
  <c r="X126" i="17"/>
  <c r="Z126" i="17" s="1"/>
  <c r="X129" i="17"/>
  <c r="Z129" i="17" s="1"/>
  <c r="X144" i="17"/>
  <c r="Z144" i="17" s="1"/>
  <c r="X157" i="17"/>
  <c r="Z157" i="17" s="1"/>
  <c r="X171" i="17"/>
  <c r="Z171" i="17" s="1"/>
  <c r="X170" i="17"/>
  <c r="Z170" i="17" s="1"/>
  <c r="X183" i="17"/>
  <c r="Z183" i="17" s="1"/>
  <c r="X188" i="17"/>
  <c r="Z188" i="17" s="1"/>
  <c r="X209" i="17"/>
  <c r="Z209" i="17" s="1"/>
  <c r="X223" i="17"/>
  <c r="Z223" i="17" s="1"/>
  <c r="X222" i="17"/>
  <c r="Z222" i="17" s="1"/>
  <c r="X225" i="17"/>
  <c r="Z225" i="17" s="1"/>
  <c r="X279" i="17"/>
  <c r="Z279" i="17" s="1"/>
  <c r="X176" i="17"/>
  <c r="Z176" i="17" s="1"/>
  <c r="X204" i="17"/>
  <c r="Z204" i="17" s="1"/>
  <c r="X178" i="17"/>
  <c r="Z178" i="17" s="1"/>
  <c r="X149" i="17"/>
  <c r="Z149" i="17" s="1"/>
  <c r="X132" i="17"/>
  <c r="Z132" i="17" s="1"/>
  <c r="X52" i="17"/>
  <c r="Z52" i="17" s="1"/>
  <c r="X29" i="17"/>
  <c r="Z29" i="17" s="1"/>
  <c r="X219" i="17"/>
  <c r="Z219" i="17" s="1"/>
  <c r="X185" i="17"/>
  <c r="Z185" i="17" s="1"/>
  <c r="X79" i="17"/>
  <c r="Z79" i="17" s="1"/>
  <c r="X160" i="17"/>
  <c r="Z160" i="17" s="1"/>
  <c r="X115" i="17"/>
  <c r="Z115" i="17" s="1"/>
  <c r="X224" i="17"/>
  <c r="Z224" i="17" s="1"/>
  <c r="X128" i="17"/>
  <c r="Z128" i="17" s="1"/>
  <c r="X212" i="17"/>
  <c r="Z212" i="17" s="1"/>
  <c r="X200" i="17"/>
  <c r="Z200" i="17" s="1"/>
  <c r="X119" i="17"/>
  <c r="Z119" i="17" s="1"/>
  <c r="X25" i="17"/>
  <c r="Z25" i="17" s="1"/>
  <c r="X30" i="17"/>
  <c r="Z30" i="17" s="1"/>
  <c r="X40" i="17"/>
  <c r="Z40" i="17" s="1"/>
  <c r="X46" i="17"/>
  <c r="Z46" i="17" s="1"/>
  <c r="X63" i="17"/>
  <c r="Z63" i="17" s="1"/>
  <c r="X69" i="17"/>
  <c r="Z69" i="17" s="1"/>
  <c r="X84" i="17"/>
  <c r="Z84" i="17" s="1"/>
  <c r="X89" i="17"/>
  <c r="Z89" i="17" s="1"/>
  <c r="X276" i="17"/>
  <c r="Z276" i="17" s="1"/>
  <c r="X96" i="17"/>
  <c r="Z96" i="17" s="1"/>
  <c r="X102" i="17"/>
  <c r="Z102" i="17" s="1"/>
  <c r="X116" i="17"/>
  <c r="Z116" i="17" s="1"/>
  <c r="X122" i="17"/>
  <c r="Z122" i="17" s="1"/>
  <c r="X130" i="17"/>
  <c r="Z130" i="17" s="1"/>
  <c r="X136" i="17"/>
  <c r="Z136" i="17" s="1"/>
  <c r="X161" i="17"/>
  <c r="Z161" i="17" s="1"/>
  <c r="X174" i="17"/>
  <c r="Z174" i="17" s="1"/>
  <c r="X184" i="17"/>
  <c r="Z184" i="17" s="1"/>
  <c r="X197" i="17"/>
  <c r="Z197" i="17" s="1"/>
  <c r="X210" i="17"/>
  <c r="Z210" i="17" s="1"/>
  <c r="X214" i="17"/>
  <c r="Z214" i="17" s="1"/>
  <c r="X213" i="17"/>
  <c r="Z213" i="17" s="1"/>
  <c r="X226" i="17"/>
  <c r="Z226" i="17" s="1"/>
  <c r="X229" i="17"/>
  <c r="Z229" i="17" s="1"/>
  <c r="X242" i="17"/>
  <c r="Z242" i="17" s="1"/>
  <c r="X269" i="17"/>
  <c r="Z269" i="17" s="1"/>
  <c r="X220" i="17"/>
  <c r="Z220" i="17" s="1"/>
  <c r="X98" i="17"/>
  <c r="Z98" i="17" s="1"/>
  <c r="X271" i="17"/>
  <c r="Z271" i="17" s="1"/>
  <c r="X71" i="17"/>
  <c r="X238" i="17"/>
  <c r="Z238" i="17" s="1"/>
  <c r="X196" i="17"/>
  <c r="Z196" i="17" s="1"/>
  <c r="X138" i="17"/>
  <c r="Z138" i="17" s="1"/>
  <c r="X83" i="17"/>
  <c r="Z83" i="17" s="1"/>
  <c r="X199" i="17"/>
  <c r="Z199" i="17" s="1"/>
  <c r="X38" i="17"/>
  <c r="Z38" i="17" s="1"/>
  <c r="X208" i="17"/>
  <c r="Z208" i="17" s="1"/>
  <c r="X190" i="17"/>
  <c r="Z190" i="17" s="1"/>
  <c r="X216" i="17"/>
  <c r="Z216" i="17" s="1"/>
  <c r="X67" i="17"/>
  <c r="Z67" i="17" s="1"/>
  <c r="X205" i="17"/>
  <c r="Z205" i="17" s="1"/>
  <c r="X39" i="17"/>
  <c r="Z39" i="17" s="1"/>
  <c r="X54" i="17"/>
  <c r="Z54" i="17" s="1"/>
  <c r="X73" i="17"/>
  <c r="Z73" i="17" s="1"/>
  <c r="X68" i="17"/>
  <c r="Z68" i="17" s="1"/>
  <c r="X85" i="17"/>
  <c r="Z85" i="17" s="1"/>
  <c r="X92" i="17"/>
  <c r="Z92" i="17" s="1"/>
  <c r="X100" i="17"/>
  <c r="Z100" i="17" s="1"/>
  <c r="X106" i="17"/>
  <c r="Z106" i="17" s="1"/>
  <c r="X133" i="17"/>
  <c r="Z133" i="17" s="1"/>
  <c r="X162" i="17"/>
  <c r="Z162" i="17" s="1"/>
  <c r="X165" i="17"/>
  <c r="Z165" i="17" s="1"/>
  <c r="X187" i="17"/>
  <c r="Z187" i="17" s="1"/>
  <c r="X189" i="17"/>
  <c r="Z189" i="17" s="1"/>
  <c r="X201" i="17"/>
  <c r="Z201" i="17" s="1"/>
  <c r="X202" i="17"/>
  <c r="Z202" i="17" s="1"/>
  <c r="X218" i="17"/>
  <c r="Z218" i="17" s="1"/>
  <c r="X217" i="17"/>
  <c r="Z217" i="17" s="1"/>
  <c r="X230" i="17"/>
  <c r="Z230" i="17" s="1"/>
  <c r="X236" i="17"/>
  <c r="X239" i="17"/>
  <c r="Z239" i="17" s="1"/>
  <c r="X278" i="17"/>
  <c r="Z278" i="17" s="1"/>
  <c r="X32" i="17"/>
  <c r="Z32" i="17" s="1"/>
  <c r="X232" i="17"/>
  <c r="Z232" i="17" s="1"/>
  <c r="X140" i="17"/>
  <c r="Z140" i="17" s="1"/>
  <c r="X123" i="17"/>
  <c r="Z123" i="17" s="1"/>
  <c r="X191" i="17"/>
  <c r="Z191" i="17" s="1"/>
  <c r="X87" i="17"/>
  <c r="Z87" i="17" s="1"/>
  <c r="X193" i="17"/>
  <c r="Z193" i="17" s="1"/>
  <c r="X141" i="17"/>
  <c r="Z141" i="17" s="1"/>
  <c r="X163" i="17"/>
  <c r="Z163" i="17" s="1"/>
  <c r="X41" i="17"/>
  <c r="Z41" i="17" s="1"/>
  <c r="X168" i="17"/>
  <c r="Z168" i="17" s="1"/>
  <c r="X27" i="17"/>
  <c r="Z27" i="17" s="1"/>
  <c r="X26" i="17"/>
  <c r="Z26" i="17" s="1"/>
  <c r="X57" i="17"/>
  <c r="Z57" i="17" s="1"/>
  <c r="X233" i="17"/>
  <c r="Z233" i="17" s="1"/>
  <c r="X90" i="17"/>
  <c r="Z90" i="17" s="1"/>
  <c r="X179" i="17"/>
  <c r="Z179" i="17" s="1"/>
  <c r="X31" i="17"/>
  <c r="Z31" i="17" s="1"/>
  <c r="X34" i="17"/>
  <c r="Z34" i="17" s="1"/>
  <c r="X51" i="17"/>
  <c r="Z51" i="17" s="1"/>
  <c r="X273" i="17"/>
  <c r="Z273" i="17" s="1"/>
  <c r="X58" i="17"/>
  <c r="Z58" i="17" s="1"/>
  <c r="X62" i="17"/>
  <c r="Z62" i="17" s="1"/>
  <c r="X76" i="17"/>
  <c r="Z76" i="17" s="1"/>
  <c r="X72" i="17"/>
  <c r="Z72" i="17" s="1"/>
  <c r="X88" i="17"/>
  <c r="Z88" i="17" s="1"/>
  <c r="X95" i="17"/>
  <c r="Z95" i="17" s="1"/>
  <c r="X101" i="17"/>
  <c r="Z101" i="17" s="1"/>
  <c r="X120" i="17"/>
  <c r="Z120" i="17" s="1"/>
  <c r="X281" i="17"/>
  <c r="Z281" i="17" s="1"/>
  <c r="X125" i="17"/>
  <c r="Z125" i="17" s="1"/>
  <c r="X135" i="17"/>
  <c r="Z135" i="17" s="1"/>
  <c r="X142" i="17"/>
  <c r="Z142" i="17" s="1"/>
  <c r="X153" i="17"/>
  <c r="Z153" i="17" s="1"/>
  <c r="X156" i="17"/>
  <c r="Z156" i="17" s="1"/>
  <c r="X166" i="17"/>
  <c r="Z166" i="17" s="1"/>
  <c r="X169" i="17"/>
  <c r="Z169" i="17" s="1"/>
  <c r="X181" i="17"/>
  <c r="Z181" i="17" s="1"/>
  <c r="X180" i="17"/>
  <c r="Z180" i="17" s="1"/>
  <c r="Y146" i="17"/>
  <c r="X198" i="17"/>
  <c r="Z198" i="17" s="1"/>
  <c r="X203" i="17"/>
  <c r="Z203" i="17" s="1"/>
  <c r="X206" i="17"/>
  <c r="Z206" i="17" s="1"/>
  <c r="X221" i="17"/>
  <c r="Z221" i="17" s="1"/>
  <c r="X234" i="17"/>
  <c r="Z234" i="17" s="1"/>
  <c r="X240" i="17"/>
  <c r="X270" i="17"/>
  <c r="Z270" i="17" s="1"/>
  <c r="X277" i="17"/>
  <c r="Z277" i="17" s="1"/>
  <c r="X173" i="17"/>
  <c r="Z173" i="17" s="1"/>
  <c r="X154" i="17"/>
  <c r="Z154" i="17" s="1"/>
  <c r="X127" i="17"/>
  <c r="Z127" i="17" s="1"/>
  <c r="X118" i="17"/>
  <c r="Z118" i="17" s="1"/>
  <c r="X274" i="17"/>
  <c r="Z274" i="17" s="1"/>
  <c r="X194" i="17"/>
  <c r="Z194" i="17" s="1"/>
  <c r="X275" i="17"/>
  <c r="Z275" i="17" s="1"/>
  <c r="X23" i="17"/>
  <c r="Z23" i="17" s="1"/>
  <c r="X172" i="17"/>
  <c r="Z172" i="17" s="1"/>
  <c r="X45" i="17"/>
  <c r="Z45" i="17" s="1"/>
  <c r="X215" i="17"/>
  <c r="Z215" i="17" s="1"/>
  <c r="X167" i="17"/>
  <c r="Z167" i="17" s="1"/>
  <c r="X272" i="17"/>
  <c r="Z272" i="17" s="1"/>
  <c r="X227" i="17"/>
  <c r="Z227" i="17" s="1"/>
  <c r="X65" i="17"/>
  <c r="Z65" i="17" s="1"/>
  <c r="G479" i="24"/>
  <c r="H597" i="24"/>
  <c r="O596" i="24"/>
  <c r="J596" i="24"/>
  <c r="R596" i="24"/>
  <c r="O560" i="24"/>
  <c r="J560" i="24"/>
  <c r="R560" i="24"/>
  <c r="H544" i="24"/>
  <c r="O543" i="24"/>
  <c r="J543" i="24"/>
  <c r="R543" i="24"/>
  <c r="H527" i="24"/>
  <c r="O526" i="24"/>
  <c r="J526" i="24"/>
  <c r="R526" i="24"/>
  <c r="H510" i="24"/>
  <c r="O509" i="24"/>
  <c r="J509" i="24"/>
  <c r="R509" i="24"/>
  <c r="T475" i="24"/>
  <c r="T490" i="24"/>
  <c r="T488" i="24"/>
  <c r="T489" i="24"/>
  <c r="T476" i="24"/>
  <c r="T491" i="24"/>
  <c r="T493" i="24"/>
  <c r="M487" i="24"/>
  <c r="N487" i="24" s="1"/>
  <c r="H488" i="24" s="1"/>
  <c r="T473" i="24"/>
  <c r="T492" i="24"/>
  <c r="T470" i="24"/>
  <c r="M469" i="24"/>
  <c r="N469" i="24" s="1"/>
  <c r="H470" i="24" s="1"/>
  <c r="T474" i="24"/>
  <c r="G408" i="24"/>
  <c r="V397" i="24"/>
  <c r="S397" i="24"/>
  <c r="A397" i="24" s="1"/>
  <c r="G305" i="24"/>
  <c r="V302" i="24"/>
  <c r="S302" i="24"/>
  <c r="L302" i="24"/>
  <c r="V301" i="24"/>
  <c r="S301" i="24"/>
  <c r="A301" i="24" s="1"/>
  <c r="V300" i="24"/>
  <c r="S300" i="24"/>
  <c r="A300" i="24" s="1"/>
  <c r="L300" i="24"/>
  <c r="V299" i="24"/>
  <c r="S299" i="24"/>
  <c r="A299" i="24" s="1"/>
  <c r="L299" i="24"/>
  <c r="V298" i="24"/>
  <c r="S298" i="24"/>
  <c r="A298" i="24" s="1"/>
  <c r="L298" i="24"/>
  <c r="V297" i="24"/>
  <c r="S297" i="24"/>
  <c r="A297" i="24" s="1"/>
  <c r="L297" i="24"/>
  <c r="V296" i="24"/>
  <c r="S296" i="24"/>
  <c r="V295" i="24"/>
  <c r="S295" i="24"/>
  <c r="A295" i="24" s="1"/>
  <c r="G288" i="24"/>
  <c r="V285" i="24"/>
  <c r="S285" i="24"/>
  <c r="L285" i="24"/>
  <c r="V284" i="24"/>
  <c r="S284" i="24"/>
  <c r="A284" i="24" s="1"/>
  <c r="L284" i="24"/>
  <c r="V283" i="24"/>
  <c r="S283" i="24"/>
  <c r="A283" i="24" s="1"/>
  <c r="L283" i="24"/>
  <c r="V282" i="24"/>
  <c r="S282" i="24"/>
  <c r="A282" i="24" s="1"/>
  <c r="L282" i="24"/>
  <c r="V281" i="24"/>
  <c r="S281" i="24"/>
  <c r="A281" i="24" s="1"/>
  <c r="L281" i="24"/>
  <c r="V280" i="24"/>
  <c r="S280" i="24"/>
  <c r="A280" i="24" s="1"/>
  <c r="L280" i="24"/>
  <c r="V279" i="24"/>
  <c r="S279" i="24"/>
  <c r="A279" i="24" s="1"/>
  <c r="V278" i="24"/>
  <c r="S278" i="24"/>
  <c r="A278" i="24" s="1"/>
  <c r="L268" i="24"/>
  <c r="S268" i="24"/>
  <c r="V268" i="24"/>
  <c r="V267" i="24"/>
  <c r="S267" i="24"/>
  <c r="A267" i="24" s="1"/>
  <c r="L267" i="24"/>
  <c r="V266" i="24"/>
  <c r="S266" i="24"/>
  <c r="A266" i="24" s="1"/>
  <c r="L266" i="24"/>
  <c r="V265" i="24"/>
  <c r="S265" i="24"/>
  <c r="A265" i="24" s="1"/>
  <c r="L265" i="24"/>
  <c r="V264" i="24"/>
  <c r="S264" i="24"/>
  <c r="L264" i="24"/>
  <c r="V263" i="24"/>
  <c r="S263" i="24"/>
  <c r="L263" i="24"/>
  <c r="V262" i="24"/>
  <c r="S262" i="24"/>
  <c r="A262" i="24" s="1"/>
  <c r="V261" i="24"/>
  <c r="S261" i="24"/>
  <c r="A261" i="24" s="1"/>
  <c r="G243" i="24"/>
  <c r="P243" i="24" s="1"/>
  <c r="G14" i="24"/>
  <c r="G20" i="24" s="1"/>
  <c r="V11" i="24"/>
  <c r="S11" i="24"/>
  <c r="V10" i="24"/>
  <c r="S10" i="24"/>
  <c r="A10" i="24" s="1"/>
  <c r="V9" i="24"/>
  <c r="S9" i="24"/>
  <c r="A9" i="24" s="1"/>
  <c r="V8" i="24"/>
  <c r="S8" i="24"/>
  <c r="A8" i="24" s="1"/>
  <c r="P8" i="24"/>
  <c r="M8" i="24"/>
  <c r="V243" i="24"/>
  <c r="S243" i="24"/>
  <c r="A243" i="24" s="1"/>
  <c r="G227" i="24"/>
  <c r="G236" i="24" s="1"/>
  <c r="V225" i="24"/>
  <c r="S225" i="24"/>
  <c r="A225" i="24" s="1"/>
  <c r="G218" i="24"/>
  <c r="V206" i="24"/>
  <c r="S206" i="24"/>
  <c r="V205" i="24"/>
  <c r="S205" i="24"/>
  <c r="A205" i="24" s="1"/>
  <c r="L188" i="24"/>
  <c r="S188" i="24"/>
  <c r="A188" i="24" s="1"/>
  <c r="V188" i="24"/>
  <c r="L189" i="24"/>
  <c r="S189" i="24"/>
  <c r="A189" i="24" s="1"/>
  <c r="V189" i="24"/>
  <c r="L190" i="24"/>
  <c r="S190" i="24"/>
  <c r="A190" i="24" s="1"/>
  <c r="V190" i="24"/>
  <c r="L191" i="24"/>
  <c r="S191" i="24"/>
  <c r="A191" i="24" s="1"/>
  <c r="V191" i="24"/>
  <c r="L192" i="24"/>
  <c r="S192" i="24"/>
  <c r="A192" i="24" s="1"/>
  <c r="V192" i="24"/>
  <c r="L193" i="24"/>
  <c r="S193" i="24"/>
  <c r="V193" i="24"/>
  <c r="G198" i="24"/>
  <c r="V187" i="24"/>
  <c r="S187" i="24"/>
  <c r="A187" i="24" s="1"/>
  <c r="V186" i="24"/>
  <c r="S186" i="24"/>
  <c r="A186" i="24" s="1"/>
  <c r="G179" i="24"/>
  <c r="V169" i="24"/>
  <c r="S169" i="24"/>
  <c r="V168" i="24"/>
  <c r="S168" i="24"/>
  <c r="A168" i="24" s="1"/>
  <c r="G161" i="24"/>
  <c r="V146" i="24"/>
  <c r="S146" i="24"/>
  <c r="A146" i="24" s="1"/>
  <c r="G139" i="24"/>
  <c r="V128" i="24"/>
  <c r="S128" i="24"/>
  <c r="V127" i="24"/>
  <c r="S127" i="24"/>
  <c r="A127" i="24" s="1"/>
  <c r="G120" i="24"/>
  <c r="V109" i="24"/>
  <c r="S109" i="24"/>
  <c r="V108" i="24"/>
  <c r="S108" i="24"/>
  <c r="A108" i="24" s="1"/>
  <c r="G101" i="24"/>
  <c r="V90" i="24"/>
  <c r="S90" i="24"/>
  <c r="A90" i="24" s="1"/>
  <c r="V89" i="24"/>
  <c r="S89" i="24"/>
  <c r="A89" i="24" s="1"/>
  <c r="G82" i="24"/>
  <c r="V71" i="24"/>
  <c r="S71" i="24"/>
  <c r="A71" i="24" s="1"/>
  <c r="V70" i="24"/>
  <c r="S70" i="24"/>
  <c r="A70" i="24" s="1"/>
  <c r="G63" i="24"/>
  <c r="V51" i="24"/>
  <c r="S51" i="24"/>
  <c r="V50" i="24"/>
  <c r="S50" i="24"/>
  <c r="A50" i="24" s="1"/>
  <c r="G27" i="24"/>
  <c r="P27" i="24" s="1"/>
  <c r="L28" i="24"/>
  <c r="X41" i="24"/>
  <c r="W41" i="24"/>
  <c r="V41" i="24"/>
  <c r="U41" i="24"/>
  <c r="S41" i="24"/>
  <c r="R41" i="24"/>
  <c r="Q41" i="24"/>
  <c r="P41" i="24"/>
  <c r="O41" i="24"/>
  <c r="N41" i="24"/>
  <c r="M41" i="24"/>
  <c r="L41" i="24"/>
  <c r="J41" i="24"/>
  <c r="I41" i="24"/>
  <c r="H41" i="24"/>
  <c r="T32" i="24"/>
  <c r="V29" i="24"/>
  <c r="S29" i="24"/>
  <c r="V28" i="24"/>
  <c r="S28" i="24"/>
  <c r="A28" i="24" s="1"/>
  <c r="V27" i="24"/>
  <c r="S27" i="24"/>
  <c r="A27" i="24" s="1"/>
  <c r="AF241" i="17" l="1"/>
  <c r="AG241" i="17" s="1"/>
  <c r="AD242" i="17"/>
  <c r="AE242" i="17" s="1"/>
  <c r="AC238" i="17"/>
  <c r="AD238" i="17" s="1"/>
  <c r="AC239" i="17"/>
  <c r="AD231" i="17"/>
  <c r="AF237" i="17"/>
  <c r="AG237" i="17" s="1"/>
  <c r="AB221" i="17"/>
  <c r="AC221" i="17" s="1"/>
  <c r="AB225" i="17"/>
  <c r="AC225" i="17" s="1"/>
  <c r="AE231" i="17"/>
  <c r="AF231" i="17" s="1"/>
  <c r="AB233" i="17"/>
  <c r="AC233" i="17" s="1"/>
  <c r="AD233" i="17" s="1"/>
  <c r="AE233" i="17" s="1"/>
  <c r="AF233" i="17" s="1"/>
  <c r="AB79" i="17"/>
  <c r="AC79" i="17" s="1"/>
  <c r="AB222" i="17"/>
  <c r="AC222" i="17" s="1"/>
  <c r="AB227" i="17"/>
  <c r="AC227" i="17" s="1"/>
  <c r="AB232" i="17"/>
  <c r="AB229" i="17"/>
  <c r="AC229" i="17" s="1"/>
  <c r="AD229" i="17" s="1"/>
  <c r="AB224" i="17"/>
  <c r="AC224" i="17" s="1"/>
  <c r="AB223" i="17"/>
  <c r="AC223" i="17" s="1"/>
  <c r="AB234" i="17"/>
  <c r="AC234" i="17" s="1"/>
  <c r="AB230" i="17"/>
  <c r="AC230" i="17" s="1"/>
  <c r="AB226" i="17"/>
  <c r="AC226" i="17" s="1"/>
  <c r="AB124" i="17"/>
  <c r="AC124" i="17" s="1"/>
  <c r="AD228" i="17"/>
  <c r="AA201" i="17"/>
  <c r="AA216" i="17"/>
  <c r="AA220" i="17"/>
  <c r="AA219" i="17"/>
  <c r="AB219" i="17" s="1"/>
  <c r="AA209" i="17"/>
  <c r="AB209" i="17" s="1"/>
  <c r="AC209" i="17" s="1"/>
  <c r="AA76" i="17"/>
  <c r="AB76" i="17" s="1"/>
  <c r="AA217" i="17"/>
  <c r="AB217" i="17" s="1"/>
  <c r="AA213" i="17"/>
  <c r="AA212" i="17"/>
  <c r="AA215" i="17"/>
  <c r="AB215" i="17" s="1"/>
  <c r="AC215" i="17" s="1"/>
  <c r="AA206" i="17"/>
  <c r="AB206" i="17" s="1"/>
  <c r="AA218" i="17"/>
  <c r="AB218" i="17" s="1"/>
  <c r="AA205" i="17"/>
  <c r="AA208" i="17"/>
  <c r="AB208" i="17" s="1"/>
  <c r="AA214" i="17"/>
  <c r="AB214" i="17" s="1"/>
  <c r="AA204" i="17"/>
  <c r="AB204" i="17" s="1"/>
  <c r="AC204" i="17" s="1"/>
  <c r="AA203" i="17"/>
  <c r="AB203" i="17" s="1"/>
  <c r="AC203" i="17" s="1"/>
  <c r="AD203" i="17" s="1"/>
  <c r="AE203" i="17" s="1"/>
  <c r="AA202" i="17"/>
  <c r="AA210" i="17"/>
  <c r="AB210" i="17" s="1"/>
  <c r="AC134" i="17"/>
  <c r="AD134" i="17" s="1"/>
  <c r="AE134" i="17" s="1"/>
  <c r="AF134" i="17" s="1"/>
  <c r="AG134" i="17" s="1"/>
  <c r="AC280" i="17"/>
  <c r="AD280" i="17" s="1"/>
  <c r="AE280" i="17" s="1"/>
  <c r="AC19" i="17"/>
  <c r="AD19" i="17" s="1"/>
  <c r="AC16" i="17"/>
  <c r="AD16" i="17" s="1"/>
  <c r="AD104" i="17"/>
  <c r="AE104" i="17" s="1"/>
  <c r="AF104" i="17" s="1"/>
  <c r="AC211" i="17"/>
  <c r="AC20" i="17"/>
  <c r="AD20" i="17" s="1"/>
  <c r="AE20" i="17" s="1"/>
  <c r="AC164" i="17"/>
  <c r="AD164" i="17" s="1"/>
  <c r="AB158" i="17"/>
  <c r="AC158" i="17" s="1"/>
  <c r="AC77" i="17"/>
  <c r="AA275" i="17"/>
  <c r="AB275" i="17" s="1"/>
  <c r="AA270" i="17"/>
  <c r="AA156" i="17"/>
  <c r="AB156" i="17" s="1"/>
  <c r="AA95" i="17"/>
  <c r="AA34" i="17"/>
  <c r="AB34" i="17" s="1"/>
  <c r="AA27" i="17"/>
  <c r="AB27" i="17" s="1"/>
  <c r="AA123" i="17"/>
  <c r="AB123" i="17" s="1"/>
  <c r="AA189" i="17"/>
  <c r="AA85" i="17"/>
  <c r="AB85" i="17" s="1"/>
  <c r="AA190" i="17"/>
  <c r="AA269" i="17"/>
  <c r="AA184" i="17"/>
  <c r="AB184" i="17" s="1"/>
  <c r="AA96" i="17"/>
  <c r="AA30" i="17"/>
  <c r="AB30" i="17" s="1"/>
  <c r="AC30" i="17" s="1"/>
  <c r="AD30" i="17" s="1"/>
  <c r="AE30" i="17" s="1"/>
  <c r="AA29" i="17"/>
  <c r="AB29" i="17" s="1"/>
  <c r="AA188" i="17"/>
  <c r="AA157" i="17"/>
  <c r="AA56" i="17"/>
  <c r="AB56" i="17" s="1"/>
  <c r="AA45" i="17"/>
  <c r="AA194" i="17"/>
  <c r="AB194" i="17" s="1"/>
  <c r="AC194" i="17" s="1"/>
  <c r="AD194" i="17" s="1"/>
  <c r="AA154" i="17"/>
  <c r="AB154" i="17" s="1"/>
  <c r="AA153" i="17"/>
  <c r="AB153" i="17" s="1"/>
  <c r="AA281" i="17"/>
  <c r="AB281" i="17" s="1"/>
  <c r="AC281" i="17" s="1"/>
  <c r="AD281" i="17" s="1"/>
  <c r="AA88" i="17"/>
  <c r="AA31" i="17"/>
  <c r="AB31" i="17" s="1"/>
  <c r="AC31" i="17" s="1"/>
  <c r="AA193" i="17"/>
  <c r="AA140" i="17"/>
  <c r="AA187" i="17"/>
  <c r="AA106" i="17"/>
  <c r="AB106" i="17" s="1"/>
  <c r="AC106" i="17" s="1"/>
  <c r="AA138" i="17"/>
  <c r="AA271" i="17"/>
  <c r="AB271" i="17" s="1"/>
  <c r="AA174" i="17"/>
  <c r="AA122" i="17"/>
  <c r="AB122" i="17" s="1"/>
  <c r="AA276" i="17"/>
  <c r="AB276" i="17" s="1"/>
  <c r="AA63" i="17"/>
  <c r="AA25" i="17"/>
  <c r="AB25" i="17" s="1"/>
  <c r="AA128" i="17"/>
  <c r="AA52" i="17"/>
  <c r="AB52" i="17" s="1"/>
  <c r="AA183" i="17"/>
  <c r="AB183" i="17" s="1"/>
  <c r="AA144" i="17"/>
  <c r="AA272" i="17"/>
  <c r="AB272" i="17" s="1"/>
  <c r="AA173" i="17"/>
  <c r="AB173" i="17" s="1"/>
  <c r="AA169" i="17"/>
  <c r="AA72" i="17"/>
  <c r="AA87" i="17"/>
  <c r="AB87" i="17" s="1"/>
  <c r="AA73" i="17"/>
  <c r="AB73" i="17" s="1"/>
  <c r="AA196" i="17"/>
  <c r="AB196" i="17" s="1"/>
  <c r="AC196" i="17" s="1"/>
  <c r="AD196" i="17" s="1"/>
  <c r="AA89" i="17"/>
  <c r="AA185" i="17"/>
  <c r="AB185" i="17" s="1"/>
  <c r="AA170" i="17"/>
  <c r="AB170" i="17" s="1"/>
  <c r="AA33" i="17"/>
  <c r="AA172" i="17"/>
  <c r="AA274" i="17"/>
  <c r="AB274" i="17" s="1"/>
  <c r="AA198" i="17"/>
  <c r="AA142" i="17"/>
  <c r="AB142" i="17" s="1"/>
  <c r="AA120" i="17"/>
  <c r="AB120" i="17" s="1"/>
  <c r="AA273" i="17"/>
  <c r="AA57" i="17"/>
  <c r="AB57" i="17" s="1"/>
  <c r="AA41" i="17"/>
  <c r="AA165" i="17"/>
  <c r="AB165" i="17" s="1"/>
  <c r="AA100" i="17"/>
  <c r="AA67" i="17"/>
  <c r="AA38" i="17"/>
  <c r="AB38" i="17" s="1"/>
  <c r="AC38" i="17" s="1"/>
  <c r="AA98" i="17"/>
  <c r="AB98" i="17" s="1"/>
  <c r="AA161" i="17"/>
  <c r="AB161" i="17" s="1"/>
  <c r="AC161" i="17" s="1"/>
  <c r="AA116" i="17"/>
  <c r="AB116" i="17" s="1"/>
  <c r="AA46" i="17"/>
  <c r="AA119" i="17"/>
  <c r="AB119" i="17" s="1"/>
  <c r="AC119" i="17" s="1"/>
  <c r="AD119" i="17" s="1"/>
  <c r="AE119" i="17" s="1"/>
  <c r="AA132" i="17"/>
  <c r="AB132" i="17" s="1"/>
  <c r="AA176" i="17"/>
  <c r="AB176" i="17" s="1"/>
  <c r="AA129" i="17"/>
  <c r="AB129" i="17" s="1"/>
  <c r="AA80" i="17"/>
  <c r="AB80" i="17" s="1"/>
  <c r="AC80" i="17" s="1"/>
  <c r="AA152" i="17"/>
  <c r="AA167" i="17"/>
  <c r="AB167" i="17" s="1"/>
  <c r="AA23" i="17"/>
  <c r="AA118" i="17"/>
  <c r="AB118" i="17" s="1"/>
  <c r="AA277" i="17"/>
  <c r="AB277" i="17" s="1"/>
  <c r="AC277" i="17" s="1"/>
  <c r="AD277" i="17" s="1"/>
  <c r="AA166" i="17"/>
  <c r="AB166" i="17" s="1"/>
  <c r="AA135" i="17"/>
  <c r="AA101" i="17"/>
  <c r="AB101" i="17" s="1"/>
  <c r="AA51" i="17"/>
  <c r="AB51" i="17" s="1"/>
  <c r="AA179" i="17"/>
  <c r="AB179" i="17" s="1"/>
  <c r="AC179" i="17" s="1"/>
  <c r="AA26" i="17"/>
  <c r="AB26" i="17" s="1"/>
  <c r="AC26" i="17" s="1"/>
  <c r="AD26" i="17" s="1"/>
  <c r="AA32" i="17"/>
  <c r="AA199" i="17"/>
  <c r="AA102" i="17"/>
  <c r="AB102" i="17" s="1"/>
  <c r="AA84" i="17"/>
  <c r="AA279" i="17"/>
  <c r="AA171" i="17"/>
  <c r="AB171" i="17" s="1"/>
  <c r="AC171" i="17" s="1"/>
  <c r="AA126" i="17"/>
  <c r="AB126" i="17" s="1"/>
  <c r="AA66" i="17"/>
  <c r="AA65" i="17"/>
  <c r="AA127" i="17"/>
  <c r="AB127" i="17" s="1"/>
  <c r="AA180" i="17"/>
  <c r="AA125" i="17"/>
  <c r="AB125" i="17" s="1"/>
  <c r="AC125" i="17" s="1"/>
  <c r="AA62" i="17"/>
  <c r="AA90" i="17"/>
  <c r="AB90" i="17" s="1"/>
  <c r="AA141" i="17"/>
  <c r="AB141" i="17" s="1"/>
  <c r="AC141" i="17" s="1"/>
  <c r="AA278" i="17"/>
  <c r="AA133" i="17"/>
  <c r="AA39" i="17"/>
  <c r="AB39" i="17" s="1"/>
  <c r="AC39" i="17" s="1"/>
  <c r="AA83" i="17"/>
  <c r="AB83" i="17" s="1"/>
  <c r="AA130" i="17"/>
  <c r="AA69" i="17"/>
  <c r="AB69" i="17" s="1"/>
  <c r="AA160" i="17"/>
  <c r="AB160" i="17" s="1"/>
  <c r="AA178" i="17"/>
  <c r="AB178" i="17" s="1"/>
  <c r="AC178" i="17" s="1"/>
  <c r="AA105" i="17"/>
  <c r="AB105" i="17" s="1"/>
  <c r="AA24" i="17"/>
  <c r="AB24" i="17" s="1"/>
  <c r="AC114" i="17"/>
  <c r="AD81" i="17"/>
  <c r="AE81" i="17" s="1"/>
  <c r="AF81" i="17" s="1"/>
  <c r="AC64" i="17"/>
  <c r="AD64" i="17" s="1"/>
  <c r="AE64" i="17" s="1"/>
  <c r="AF64" i="17" s="1"/>
  <c r="AG64" i="17" s="1"/>
  <c r="AB14" i="17"/>
  <c r="AB22" i="17"/>
  <c r="AC22" i="17" s="1"/>
  <c r="AB74" i="17"/>
  <c r="AC74" i="17" s="1"/>
  <c r="AC131" i="17"/>
  <c r="AD53" i="17"/>
  <c r="AE53" i="17" s="1"/>
  <c r="AF53" i="17" s="1"/>
  <c r="AG53" i="17" s="1"/>
  <c r="AB268" i="17"/>
  <c r="AC268" i="17" s="1"/>
  <c r="AB107" i="17"/>
  <c r="AB182" i="17"/>
  <c r="AC182" i="17" s="1"/>
  <c r="AC18" i="17"/>
  <c r="AD18" i="17" s="1"/>
  <c r="AE18" i="17" s="1"/>
  <c r="AC82" i="17"/>
  <c r="AB17" i="17"/>
  <c r="AC103" i="17"/>
  <c r="AB137" i="17"/>
  <c r="AB37" i="17"/>
  <c r="AB155" i="17"/>
  <c r="AB47" i="17"/>
  <c r="AC47" i="17" s="1"/>
  <c r="AD47" i="17" s="1"/>
  <c r="AE47" i="17" s="1"/>
  <c r="AF47" i="17" s="1"/>
  <c r="AA163" i="17"/>
  <c r="AA181" i="17"/>
  <c r="AB181" i="17" s="1"/>
  <c r="AA136" i="17"/>
  <c r="AB136" i="17" s="1"/>
  <c r="AA99" i="17"/>
  <c r="AB99" i="17" s="1"/>
  <c r="AA58" i="17"/>
  <c r="AA168" i="17"/>
  <c r="AA149" i="17"/>
  <c r="AB149" i="17" s="1"/>
  <c r="AA68" i="17"/>
  <c r="AA36" i="17"/>
  <c r="AB36" i="17" s="1"/>
  <c r="AC143" i="17"/>
  <c r="AD143" i="17" s="1"/>
  <c r="AC97" i="17"/>
  <c r="AD97" i="17" s="1"/>
  <c r="AE97" i="17" s="1"/>
  <c r="AC15" i="17"/>
  <c r="AB139" i="17"/>
  <c r="AB75" i="17"/>
  <c r="AC75" i="17" s="1"/>
  <c r="AA151" i="17"/>
  <c r="AA197" i="17"/>
  <c r="AB197" i="17" s="1"/>
  <c r="AA162" i="17"/>
  <c r="AB162" i="17" s="1"/>
  <c r="AA40" i="17"/>
  <c r="AB40" i="17" s="1"/>
  <c r="AA200" i="17"/>
  <c r="AA115" i="17"/>
  <c r="AB115" i="17" s="1"/>
  <c r="AA191" i="17"/>
  <c r="AA92" i="17"/>
  <c r="AB92" i="17" s="1"/>
  <c r="AA54" i="17"/>
  <c r="AB54" i="17" s="1"/>
  <c r="AA55" i="17"/>
  <c r="AB55" i="17" s="1"/>
  <c r="AD70" i="17"/>
  <c r="R12" i="17"/>
  <c r="AD156" i="24"/>
  <c r="AD281" i="24"/>
  <c r="AD58" i="24"/>
  <c r="AD96" i="24"/>
  <c r="AD172" i="24"/>
  <c r="AD213" i="24"/>
  <c r="AD401" i="24"/>
  <c r="AD134" i="24"/>
  <c r="AD77" i="24"/>
  <c r="AD115" i="24"/>
  <c r="AD193" i="24"/>
  <c r="AD229" i="24"/>
  <c r="AD298" i="24"/>
  <c r="AD472" i="24"/>
  <c r="T297" i="24"/>
  <c r="A296" i="24"/>
  <c r="T194" i="24"/>
  <c r="A193" i="24"/>
  <c r="T12" i="24"/>
  <c r="A11" i="24"/>
  <c r="T269" i="24"/>
  <c r="A268" i="24"/>
  <c r="T52" i="24"/>
  <c r="A51" i="24"/>
  <c r="T110" i="24"/>
  <c r="A109" i="24"/>
  <c r="T30" i="24"/>
  <c r="A29" i="24"/>
  <c r="T170" i="24"/>
  <c r="A169" i="24"/>
  <c r="T207" i="24"/>
  <c r="A206" i="24"/>
  <c r="T129" i="24"/>
  <c r="A128" i="24"/>
  <c r="T264" i="24"/>
  <c r="A263" i="24"/>
  <c r="T265" i="24"/>
  <c r="A264" i="24"/>
  <c r="T286" i="24"/>
  <c r="A285" i="24"/>
  <c r="T303" i="24"/>
  <c r="A302" i="24"/>
  <c r="T244" i="24"/>
  <c r="T398" i="24"/>
  <c r="T147" i="24"/>
  <c r="T226" i="24"/>
  <c r="T72" i="24"/>
  <c r="T91" i="24"/>
  <c r="AB78" i="17"/>
  <c r="AC78" i="17" s="1"/>
  <c r="AD13" i="24"/>
  <c r="M434" i="24"/>
  <c r="N434" i="24" s="1"/>
  <c r="J434" i="24" s="1"/>
  <c r="M452" i="24"/>
  <c r="N452" i="24" s="1"/>
  <c r="M381" i="24"/>
  <c r="N381" i="24" s="1"/>
  <c r="O381" i="24" s="1"/>
  <c r="M416" i="24"/>
  <c r="N416" i="24" s="1"/>
  <c r="R416" i="24" s="1"/>
  <c r="U416" i="24" s="1"/>
  <c r="W416" i="24" s="1"/>
  <c r="P417" i="24" s="1"/>
  <c r="Q417" i="24" s="1"/>
  <c r="Z71" i="17"/>
  <c r="Z240" i="17"/>
  <c r="Z236" i="17"/>
  <c r="M347" i="24"/>
  <c r="N347" i="24" s="1"/>
  <c r="O347" i="24" s="1"/>
  <c r="M364" i="24"/>
  <c r="N364" i="24" s="1"/>
  <c r="N313" i="24"/>
  <c r="H314" i="24" s="1"/>
  <c r="M314" i="24" s="1"/>
  <c r="N330" i="24"/>
  <c r="M579" i="24"/>
  <c r="N579" i="24" s="1"/>
  <c r="H580" i="24" s="1"/>
  <c r="M615" i="24"/>
  <c r="N615" i="24" s="1"/>
  <c r="G254" i="24"/>
  <c r="R579" i="24"/>
  <c r="M633" i="24"/>
  <c r="T280" i="24"/>
  <c r="T268" i="24"/>
  <c r="U596" i="24"/>
  <c r="Z207" i="17" s="1"/>
  <c r="W596" i="24"/>
  <c r="P597" i="24" s="1"/>
  <c r="Q597" i="24" s="1"/>
  <c r="U560" i="24"/>
  <c r="Z192" i="17" s="1"/>
  <c r="W560" i="24"/>
  <c r="P561" i="24" s="1"/>
  <c r="Q561" i="24" s="1"/>
  <c r="L561" i="24"/>
  <c r="U543" i="24"/>
  <c r="Z186" i="17" s="1"/>
  <c r="W543" i="24"/>
  <c r="P544" i="24" s="1"/>
  <c r="Q544" i="24" s="1"/>
  <c r="U526" i="24"/>
  <c r="Z177" i="17" s="1"/>
  <c r="W526" i="24"/>
  <c r="P527" i="24" s="1"/>
  <c r="Q527" i="24" s="1"/>
  <c r="U509" i="24"/>
  <c r="Z175" i="17" s="1"/>
  <c r="W509" i="24"/>
  <c r="K510" i="24" s="1"/>
  <c r="T302" i="24"/>
  <c r="T301" i="24"/>
  <c r="R487" i="24"/>
  <c r="J487" i="24"/>
  <c r="O487" i="24"/>
  <c r="T298" i="24"/>
  <c r="R469" i="24"/>
  <c r="O469" i="24"/>
  <c r="J469" i="24"/>
  <c r="T262" i="24"/>
  <c r="T281" i="24"/>
  <c r="T285" i="24"/>
  <c r="T299" i="24"/>
  <c r="M397" i="24"/>
  <c r="N397" i="24" s="1"/>
  <c r="H398" i="24" s="1"/>
  <c r="T296" i="24"/>
  <c r="M295" i="24"/>
  <c r="N295" i="24" s="1"/>
  <c r="T282" i="24"/>
  <c r="T283" i="24"/>
  <c r="T284" i="24"/>
  <c r="T300" i="24"/>
  <c r="T279" i="24"/>
  <c r="M278" i="24"/>
  <c r="N278" i="24" s="1"/>
  <c r="T192" i="24"/>
  <c r="T267" i="24"/>
  <c r="T266" i="24"/>
  <c r="T263" i="24"/>
  <c r="T10" i="24"/>
  <c r="G271" i="24"/>
  <c r="M261" i="24"/>
  <c r="N261" i="24" s="1"/>
  <c r="N8" i="24"/>
  <c r="R8" i="24" s="1"/>
  <c r="T9" i="24"/>
  <c r="T11" i="24"/>
  <c r="M243" i="24"/>
  <c r="N243" i="24" s="1"/>
  <c r="H244" i="24" s="1"/>
  <c r="M244" i="24" s="1"/>
  <c r="N244" i="24" s="1"/>
  <c r="T190" i="24"/>
  <c r="M225" i="24"/>
  <c r="N225" i="24" s="1"/>
  <c r="H226" i="24" s="1"/>
  <c r="M226" i="24" s="1"/>
  <c r="N226" i="24" s="1"/>
  <c r="T193" i="24"/>
  <c r="T188" i="24"/>
  <c r="T189" i="24"/>
  <c r="T206" i="24"/>
  <c r="T191" i="24"/>
  <c r="M205" i="24"/>
  <c r="N205" i="24" s="1"/>
  <c r="T187" i="24"/>
  <c r="M186" i="24"/>
  <c r="N186" i="24" s="1"/>
  <c r="T169" i="24"/>
  <c r="M168" i="24"/>
  <c r="N168" i="24" s="1"/>
  <c r="M146" i="24"/>
  <c r="N146" i="24" s="1"/>
  <c r="H147" i="24" s="1"/>
  <c r="T128" i="24"/>
  <c r="T71" i="24"/>
  <c r="M127" i="24"/>
  <c r="N127" i="24" s="1"/>
  <c r="T109" i="24"/>
  <c r="M108" i="24"/>
  <c r="N108" i="24" s="1"/>
  <c r="T90" i="24"/>
  <c r="M89" i="24"/>
  <c r="N89" i="24" s="1"/>
  <c r="M70" i="24"/>
  <c r="N70" i="24" s="1"/>
  <c r="T51" i="24"/>
  <c r="M50" i="24"/>
  <c r="N50" i="24" s="1"/>
  <c r="R50" i="24" s="1"/>
  <c r="T28" i="24"/>
  <c r="T29" i="24"/>
  <c r="M27" i="24"/>
  <c r="N27" i="24" s="1"/>
  <c r="AE164" i="17" l="1"/>
  <c r="AF164" i="17" s="1"/>
  <c r="AG164" i="17" s="1"/>
  <c r="AF20" i="17"/>
  <c r="AG20" i="17" s="1"/>
  <c r="AD226" i="17"/>
  <c r="AE226" i="17" s="1"/>
  <c r="AF242" i="17"/>
  <c r="AG242" i="17" s="1"/>
  <c r="AD221" i="17"/>
  <c r="AE221" i="17" s="1"/>
  <c r="AF221" i="17" s="1"/>
  <c r="AC99" i="17"/>
  <c r="AD99" i="17" s="1"/>
  <c r="AE99" i="17" s="1"/>
  <c r="AD239" i="17"/>
  <c r="AD222" i="17"/>
  <c r="AE222" i="17" s="1"/>
  <c r="AF222" i="17" s="1"/>
  <c r="AE238" i="17"/>
  <c r="AF238" i="17" s="1"/>
  <c r="AD223" i="17"/>
  <c r="AE223" i="17" s="1"/>
  <c r="AD225" i="17"/>
  <c r="AE225" i="17" s="1"/>
  <c r="AF225" i="17" s="1"/>
  <c r="AD124" i="17"/>
  <c r="AE124" i="17" s="1"/>
  <c r="AF124" i="17" s="1"/>
  <c r="AG124" i="17" s="1"/>
  <c r="AE277" i="17"/>
  <c r="AF277" i="17" s="1"/>
  <c r="AG277" i="17" s="1"/>
  <c r="AB140" i="17"/>
  <c r="AC140" i="17" s="1"/>
  <c r="AD211" i="17"/>
  <c r="AE211" i="17" s="1"/>
  <c r="AF203" i="17"/>
  <c r="AG203" i="17" s="1"/>
  <c r="AC214" i="17"/>
  <c r="AD214" i="17" s="1"/>
  <c r="AC76" i="17"/>
  <c r="AD76" i="17" s="1"/>
  <c r="AE76" i="17" s="1"/>
  <c r="AF226" i="17"/>
  <c r="AC232" i="17"/>
  <c r="AD232" i="17" s="1"/>
  <c r="AC210" i="17"/>
  <c r="AD210" i="17" s="1"/>
  <c r="AE228" i="17"/>
  <c r="AF228" i="17" s="1"/>
  <c r="AD224" i="17"/>
  <c r="AE224" i="17" s="1"/>
  <c r="AF224" i="17" s="1"/>
  <c r="AE229" i="17"/>
  <c r="AF229" i="17" s="1"/>
  <c r="AD79" i="17"/>
  <c r="AE79" i="17" s="1"/>
  <c r="AF79" i="17" s="1"/>
  <c r="AC162" i="17"/>
  <c r="AD162" i="17" s="1"/>
  <c r="AE162" i="17" s="1"/>
  <c r="AF162" i="17" s="1"/>
  <c r="AG162" i="17" s="1"/>
  <c r="AB199" i="17"/>
  <c r="AC199" i="17" s="1"/>
  <c r="AD209" i="17"/>
  <c r="AE209" i="17" s="1"/>
  <c r="AF209" i="17" s="1"/>
  <c r="AG209" i="17" s="1"/>
  <c r="AD230" i="17"/>
  <c r="AE230" i="17" s="1"/>
  <c r="AF230" i="17" s="1"/>
  <c r="AD234" i="17"/>
  <c r="AD227" i="17"/>
  <c r="AE227" i="17" s="1"/>
  <c r="AE19" i="17"/>
  <c r="AF19" i="17" s="1"/>
  <c r="AG19" i="17" s="1"/>
  <c r="AC218" i="17"/>
  <c r="AD218" i="17" s="1"/>
  <c r="AC219" i="17"/>
  <c r="AD219" i="17" s="1"/>
  <c r="AE219" i="17" s="1"/>
  <c r="AF219" i="17" s="1"/>
  <c r="AD158" i="17"/>
  <c r="AE158" i="17" s="1"/>
  <c r="AD215" i="17"/>
  <c r="AE215" i="17" s="1"/>
  <c r="AF215" i="17" s="1"/>
  <c r="AC160" i="17"/>
  <c r="AD160" i="17" s="1"/>
  <c r="AC127" i="17"/>
  <c r="AD127" i="17" s="1"/>
  <c r="AD80" i="17"/>
  <c r="AE80" i="17" s="1"/>
  <c r="AB46" i="17"/>
  <c r="AC46" i="17" s="1"/>
  <c r="AD46" i="17" s="1"/>
  <c r="AE46" i="17" s="1"/>
  <c r="AF46" i="17" s="1"/>
  <c r="AG46" i="17" s="1"/>
  <c r="AB273" i="17"/>
  <c r="AC273" i="17" s="1"/>
  <c r="AB172" i="17"/>
  <c r="AC172" i="17" s="1"/>
  <c r="AD172" i="17" s="1"/>
  <c r="AE172" i="17" s="1"/>
  <c r="AB187" i="17"/>
  <c r="AC153" i="17"/>
  <c r="AD153" i="17" s="1"/>
  <c r="AE153" i="17" s="1"/>
  <c r="AF153" i="17" s="1"/>
  <c r="AG153" i="17" s="1"/>
  <c r="AC85" i="17"/>
  <c r="AD85" i="17" s="1"/>
  <c r="AE85" i="17" s="1"/>
  <c r="AB202" i="17"/>
  <c r="AD204" i="17"/>
  <c r="AE204" i="17" s="1"/>
  <c r="AF204" i="17" s="1"/>
  <c r="AG204" i="17" s="1"/>
  <c r="AC208" i="17"/>
  <c r="AD208" i="17" s="1"/>
  <c r="AC206" i="17"/>
  <c r="AB212" i="17"/>
  <c r="AC212" i="17" s="1"/>
  <c r="AD212" i="17" s="1"/>
  <c r="AB213" i="17"/>
  <c r="AC213" i="17" s="1"/>
  <c r="AC217" i="17"/>
  <c r="AD217" i="17" s="1"/>
  <c r="AB220" i="17"/>
  <c r="AB216" i="17"/>
  <c r="AC216" i="17" s="1"/>
  <c r="AE26" i="17"/>
  <c r="AF26" i="17" s="1"/>
  <c r="AG26" i="17" s="1"/>
  <c r="AC51" i="17"/>
  <c r="AD51" i="17" s="1"/>
  <c r="AC142" i="17"/>
  <c r="AD142" i="17" s="1"/>
  <c r="AC73" i="17"/>
  <c r="AD73" i="17" s="1"/>
  <c r="AC25" i="17"/>
  <c r="AD25" i="17" s="1"/>
  <c r="AC184" i="17"/>
  <c r="AD184" i="17" s="1"/>
  <c r="AD22" i="17"/>
  <c r="AE22" i="17" s="1"/>
  <c r="AC136" i="17"/>
  <c r="AD136" i="17" s="1"/>
  <c r="AE136" i="17" s="1"/>
  <c r="AD75" i="17"/>
  <c r="AE75" i="17" s="1"/>
  <c r="AF75" i="17" s="1"/>
  <c r="AG75" i="17" s="1"/>
  <c r="AC24" i="17"/>
  <c r="AD24" i="17" s="1"/>
  <c r="AC126" i="17"/>
  <c r="AD126" i="17" s="1"/>
  <c r="AC118" i="17"/>
  <c r="AD118" i="17" s="1"/>
  <c r="AC116" i="17"/>
  <c r="AD116" i="17" s="1"/>
  <c r="AE116" i="17" s="1"/>
  <c r="AF116" i="17" s="1"/>
  <c r="AC52" i="17"/>
  <c r="AD52" i="17" s="1"/>
  <c r="AE52" i="17" s="1"/>
  <c r="AD77" i="17"/>
  <c r="AB205" i="17"/>
  <c r="AC205" i="17" s="1"/>
  <c r="AB201" i="17"/>
  <c r="AC201" i="17" s="1"/>
  <c r="AC132" i="17"/>
  <c r="AD132" i="17" s="1"/>
  <c r="AC165" i="17"/>
  <c r="AD165" i="17" s="1"/>
  <c r="AC173" i="17"/>
  <c r="AD173" i="17" s="1"/>
  <c r="AE173" i="17" s="1"/>
  <c r="AF173" i="17" s="1"/>
  <c r="AG173" i="17" s="1"/>
  <c r="AC92" i="17"/>
  <c r="AD92" i="17" s="1"/>
  <c r="AD141" i="17"/>
  <c r="AE141" i="17" s="1"/>
  <c r="AF141" i="17" s="1"/>
  <c r="AG141" i="17" s="1"/>
  <c r="AD125" i="17"/>
  <c r="AE125" i="17" s="1"/>
  <c r="AF125" i="17" s="1"/>
  <c r="AG125" i="17" s="1"/>
  <c r="AC54" i="17"/>
  <c r="AD54" i="17" s="1"/>
  <c r="AC36" i="17"/>
  <c r="AD36" i="17" s="1"/>
  <c r="AE70" i="17"/>
  <c r="AF70" i="17" s="1"/>
  <c r="AC115" i="17"/>
  <c r="AD115" i="17" s="1"/>
  <c r="AD178" i="17"/>
  <c r="AE178" i="17" s="1"/>
  <c r="AF178" i="17" s="1"/>
  <c r="AG178" i="17" s="1"/>
  <c r="AC69" i="17"/>
  <c r="AD69" i="17" s="1"/>
  <c r="AE69" i="17" s="1"/>
  <c r="AC55" i="17"/>
  <c r="AD55" i="17" s="1"/>
  <c r="AD179" i="17"/>
  <c r="AE179" i="17" s="1"/>
  <c r="AC101" i="17"/>
  <c r="AD101" i="17" s="1"/>
  <c r="AB200" i="17"/>
  <c r="AC200" i="17" s="1"/>
  <c r="AC40" i="17"/>
  <c r="AD40" i="17" s="1"/>
  <c r="AC197" i="17"/>
  <c r="AD197" i="17" s="1"/>
  <c r="AB151" i="17"/>
  <c r="AC151" i="17" s="1"/>
  <c r="AB68" i="17"/>
  <c r="AC68" i="17" s="1"/>
  <c r="AC149" i="17"/>
  <c r="AD149" i="17" s="1"/>
  <c r="AB58" i="17"/>
  <c r="AC58" i="17" s="1"/>
  <c r="AD58" i="17" s="1"/>
  <c r="AE58" i="17" s="1"/>
  <c r="AC181" i="17"/>
  <c r="AD181" i="17" s="1"/>
  <c r="AC155" i="17"/>
  <c r="AD155" i="17" s="1"/>
  <c r="AG81" i="17"/>
  <c r="AD182" i="17"/>
  <c r="AE182" i="17" s="1"/>
  <c r="AF182" i="17" s="1"/>
  <c r="AD268" i="17"/>
  <c r="AD74" i="17"/>
  <c r="AF97" i="17"/>
  <c r="AG97" i="17" s="1"/>
  <c r="AH97" i="17" s="1"/>
  <c r="AC105" i="17"/>
  <c r="AD105" i="17" s="1"/>
  <c r="AB130" i="17"/>
  <c r="AB133" i="17"/>
  <c r="AC90" i="17"/>
  <c r="AD90" i="17" s="1"/>
  <c r="AE90" i="17" s="1"/>
  <c r="AF90" i="17" s="1"/>
  <c r="AB180" i="17"/>
  <c r="AC180" i="17" s="1"/>
  <c r="AD180" i="17" s="1"/>
  <c r="AG104" i="17"/>
  <c r="AD103" i="17"/>
  <c r="AE103" i="17" s="1"/>
  <c r="AB66" i="17"/>
  <c r="AC66" i="17" s="1"/>
  <c r="AD171" i="17"/>
  <c r="AB84" i="17"/>
  <c r="AC84" i="17" s="1"/>
  <c r="AC102" i="17"/>
  <c r="AD102" i="17" s="1"/>
  <c r="AB32" i="17"/>
  <c r="AC32" i="17" s="1"/>
  <c r="AD32" i="17" s="1"/>
  <c r="AC166" i="17"/>
  <c r="AD166" i="17" s="1"/>
  <c r="AB23" i="17"/>
  <c r="AC129" i="17"/>
  <c r="AD129" i="17" s="1"/>
  <c r="AC176" i="17"/>
  <c r="AD176" i="17" s="1"/>
  <c r="AB100" i="17"/>
  <c r="AC57" i="17"/>
  <c r="AD57" i="17" s="1"/>
  <c r="AC120" i="17"/>
  <c r="AB198" i="17"/>
  <c r="AC198" i="17" s="1"/>
  <c r="AC274" i="17"/>
  <c r="AF18" i="17"/>
  <c r="AG18" i="17" s="1"/>
  <c r="AB169" i="17"/>
  <c r="AB163" i="17"/>
  <c r="AC37" i="17"/>
  <c r="AD37" i="17" s="1"/>
  <c r="AC17" i="17"/>
  <c r="AD17" i="17" s="1"/>
  <c r="AE17" i="17" s="1"/>
  <c r="AF17" i="17" s="1"/>
  <c r="AG17" i="17" s="1"/>
  <c r="AC14" i="17"/>
  <c r="AD14" i="17" s="1"/>
  <c r="AE14" i="17" s="1"/>
  <c r="AC83" i="17"/>
  <c r="AD83" i="17" s="1"/>
  <c r="AB65" i="17"/>
  <c r="AC98" i="17"/>
  <c r="AD98" i="17" s="1"/>
  <c r="AB67" i="17"/>
  <c r="AC170" i="17"/>
  <c r="AD170" i="17" s="1"/>
  <c r="AF280" i="17"/>
  <c r="AG280" i="17" s="1"/>
  <c r="AC122" i="17"/>
  <c r="AD122" i="17" s="1"/>
  <c r="AC27" i="17"/>
  <c r="AD27" i="17" s="1"/>
  <c r="AE27" i="17" s="1"/>
  <c r="AF27" i="17" s="1"/>
  <c r="AD15" i="17"/>
  <c r="AE15" i="17" s="1"/>
  <c r="AF15" i="17" s="1"/>
  <c r="AB191" i="17"/>
  <c r="AB168" i="17"/>
  <c r="AG47" i="17"/>
  <c r="AC137" i="17"/>
  <c r="AD114" i="17"/>
  <c r="AE114" i="17" s="1"/>
  <c r="AD82" i="17"/>
  <c r="AE82" i="17" s="1"/>
  <c r="AD39" i="17"/>
  <c r="AE39" i="17" s="1"/>
  <c r="AF39" i="17" s="1"/>
  <c r="AB278" i="17"/>
  <c r="AB62" i="17"/>
  <c r="AB279" i="17"/>
  <c r="AB135" i="17"/>
  <c r="AC135" i="17" s="1"/>
  <c r="AC167" i="17"/>
  <c r="AD167" i="17" s="1"/>
  <c r="AB152" i="17"/>
  <c r="AC152" i="17" s="1"/>
  <c r="AD152" i="17" s="1"/>
  <c r="AF119" i="17"/>
  <c r="AG119" i="17" s="1"/>
  <c r="AD161" i="17"/>
  <c r="AE161" i="17" s="1"/>
  <c r="AD38" i="17"/>
  <c r="AE38" i="17" s="1"/>
  <c r="AB41" i="17"/>
  <c r="AC41" i="17" s="1"/>
  <c r="AC185" i="17"/>
  <c r="AD185" i="17" s="1"/>
  <c r="AB89" i="17"/>
  <c r="AE196" i="17"/>
  <c r="AF196" i="17" s="1"/>
  <c r="AC87" i="17"/>
  <c r="AD87" i="17" s="1"/>
  <c r="AB72" i="17"/>
  <c r="AC272" i="17"/>
  <c r="AD272" i="17" s="1"/>
  <c r="AD106" i="17"/>
  <c r="AE106" i="17" s="1"/>
  <c r="AF106" i="17" s="1"/>
  <c r="AG106" i="17" s="1"/>
  <c r="AC139" i="17"/>
  <c r="AD139" i="17" s="1"/>
  <c r="AC107" i="17"/>
  <c r="AD107" i="17" s="1"/>
  <c r="AD131" i="17"/>
  <c r="AE131" i="17" s="1"/>
  <c r="AE143" i="17"/>
  <c r="AF143" i="17" s="1"/>
  <c r="AG143" i="17" s="1"/>
  <c r="AE16" i="17"/>
  <c r="AF16" i="17" s="1"/>
  <c r="AG16" i="17" s="1"/>
  <c r="AH16" i="17" s="1"/>
  <c r="AB33" i="17"/>
  <c r="AC271" i="17"/>
  <c r="AD271" i="17" s="1"/>
  <c r="AE271" i="17" s="1"/>
  <c r="AB144" i="17"/>
  <c r="AC144" i="17" s="1"/>
  <c r="AD144" i="17" s="1"/>
  <c r="AE144" i="17" s="1"/>
  <c r="AB128" i="17"/>
  <c r="AB63" i="17"/>
  <c r="AB138" i="17"/>
  <c r="AB45" i="17"/>
  <c r="AB157" i="17"/>
  <c r="AC157" i="17" s="1"/>
  <c r="AB188" i="17"/>
  <c r="AB96" i="17"/>
  <c r="AB269" i="17"/>
  <c r="AB190" i="17"/>
  <c r="AB189" i="17"/>
  <c r="AC189" i="17" s="1"/>
  <c r="AC123" i="17"/>
  <c r="AD123" i="17" s="1"/>
  <c r="AB95" i="17"/>
  <c r="AB270" i="17"/>
  <c r="AC270" i="17" s="1"/>
  <c r="AD270" i="17" s="1"/>
  <c r="AC183" i="17"/>
  <c r="AD183" i="17" s="1"/>
  <c r="AC276" i="17"/>
  <c r="AD276" i="17" s="1"/>
  <c r="AB88" i="17"/>
  <c r="AE281" i="17"/>
  <c r="AF281" i="17" s="1"/>
  <c r="AC154" i="17"/>
  <c r="AE194" i="17"/>
  <c r="AF194" i="17" s="1"/>
  <c r="AG194" i="17" s="1"/>
  <c r="AC56" i="17"/>
  <c r="AD56" i="17" s="1"/>
  <c r="AC29" i="17"/>
  <c r="AF30" i="17"/>
  <c r="AG30" i="17" s="1"/>
  <c r="AC34" i="17"/>
  <c r="AD34" i="17" s="1"/>
  <c r="AC156" i="17"/>
  <c r="AD156" i="17" s="1"/>
  <c r="AC275" i="17"/>
  <c r="AB174" i="17"/>
  <c r="AB193" i="17"/>
  <c r="AD31" i="17"/>
  <c r="AE31" i="17" s="1"/>
  <c r="AF31" i="17" s="1"/>
  <c r="AD247" i="24"/>
  <c r="AD264" i="24"/>
  <c r="AB112" i="17"/>
  <c r="AB110" i="17"/>
  <c r="AC109" i="17"/>
  <c r="AA192" i="17"/>
  <c r="AB113" i="17"/>
  <c r="AC111" i="17"/>
  <c r="AA109" i="17"/>
  <c r="AA235" i="17"/>
  <c r="AC113" i="17"/>
  <c r="AC112" i="17"/>
  <c r="AB111" i="17"/>
  <c r="AA111" i="17"/>
  <c r="AA113" i="17"/>
  <c r="AA110" i="17"/>
  <c r="AA112" i="17"/>
  <c r="AB109" i="17"/>
  <c r="AC110" i="17"/>
  <c r="AA146" i="17"/>
  <c r="N633" i="24"/>
  <c r="J633" i="24" s="1"/>
  <c r="AG231" i="17"/>
  <c r="AH231" i="17" s="1"/>
  <c r="AA71" i="17"/>
  <c r="AB71" i="17" s="1"/>
  <c r="R434" i="24"/>
  <c r="U434" i="24" s="1"/>
  <c r="AA147" i="17" s="1"/>
  <c r="O434" i="24"/>
  <c r="H435" i="24"/>
  <c r="M435" i="24" s="1"/>
  <c r="N435" i="24" s="1"/>
  <c r="H382" i="24"/>
  <c r="M382" i="24" s="1"/>
  <c r="N382" i="24" s="1"/>
  <c r="J381" i="24"/>
  <c r="J452" i="24"/>
  <c r="H453" i="24"/>
  <c r="O452" i="24"/>
  <c r="R452" i="24"/>
  <c r="H417" i="24"/>
  <c r="O416" i="24"/>
  <c r="J416" i="24"/>
  <c r="AC236" i="17"/>
  <c r="AD78" i="17"/>
  <c r="AE78" i="17" s="1"/>
  <c r="H348" i="24"/>
  <c r="M348" i="24" s="1"/>
  <c r="N348" i="24" s="1"/>
  <c r="J347" i="24"/>
  <c r="O364" i="24"/>
  <c r="J364" i="24"/>
  <c r="H365" i="24"/>
  <c r="J579" i="24"/>
  <c r="O313" i="24"/>
  <c r="J313" i="24"/>
  <c r="O330" i="24"/>
  <c r="J330" i="24"/>
  <c r="H331" i="24"/>
  <c r="O579" i="24"/>
  <c r="N314" i="24"/>
  <c r="J615" i="24"/>
  <c r="O615" i="24"/>
  <c r="H616" i="24"/>
  <c r="R615" i="24"/>
  <c r="U579" i="24"/>
  <c r="R633" i="24"/>
  <c r="R634" i="24" s="1"/>
  <c r="M398" i="24"/>
  <c r="N398" i="24" s="1"/>
  <c r="H245" i="24"/>
  <c r="M245" i="24" s="1"/>
  <c r="N245" i="24" s="1"/>
  <c r="O244" i="24"/>
  <c r="J244" i="24"/>
  <c r="H227" i="24"/>
  <c r="O226" i="24"/>
  <c r="J226" i="24"/>
  <c r="K597" i="24"/>
  <c r="L597" i="24" s="1"/>
  <c r="M597" i="24" s="1"/>
  <c r="N597" i="24" s="1"/>
  <c r="H598" i="24" s="1"/>
  <c r="K527" i="24"/>
  <c r="L527" i="24" s="1"/>
  <c r="K544" i="24"/>
  <c r="L544" i="24" s="1"/>
  <c r="M561" i="24"/>
  <c r="N561" i="24" s="1"/>
  <c r="P510" i="24"/>
  <c r="Q510" i="24" s="1"/>
  <c r="L510" i="24"/>
  <c r="M488" i="24"/>
  <c r="N488" i="24" s="1"/>
  <c r="H489" i="24" s="1"/>
  <c r="W487" i="24"/>
  <c r="P488" i="24" s="1"/>
  <c r="Q488" i="24" s="1"/>
  <c r="U487" i="24"/>
  <c r="Z159" i="17" s="1"/>
  <c r="R488" i="24"/>
  <c r="W469" i="24"/>
  <c r="P470" i="24" s="1"/>
  <c r="Q470" i="24" s="1"/>
  <c r="U469" i="24"/>
  <c r="R397" i="24"/>
  <c r="R398" i="24" s="1"/>
  <c r="U398" i="24" s="1"/>
  <c r="J397" i="24"/>
  <c r="O397" i="24"/>
  <c r="R295" i="24"/>
  <c r="J295" i="24"/>
  <c r="H296" i="24"/>
  <c r="O295" i="24"/>
  <c r="R278" i="24"/>
  <c r="H279" i="24"/>
  <c r="O278" i="24"/>
  <c r="J278" i="24"/>
  <c r="J8" i="24"/>
  <c r="H262" i="24"/>
  <c r="O261" i="24"/>
  <c r="J261" i="24"/>
  <c r="H9" i="24"/>
  <c r="R261" i="24"/>
  <c r="O8" i="24"/>
  <c r="U8" i="24"/>
  <c r="W8" i="24"/>
  <c r="P9" i="24" s="1"/>
  <c r="Q9" i="24" s="1"/>
  <c r="O243" i="24"/>
  <c r="J243" i="24"/>
  <c r="R243" i="24"/>
  <c r="R244" i="24" s="1"/>
  <c r="R225" i="24"/>
  <c r="R226" i="24" s="1"/>
  <c r="U226" i="24" s="1"/>
  <c r="J225" i="24"/>
  <c r="O225" i="24"/>
  <c r="R205" i="24"/>
  <c r="H206" i="24"/>
  <c r="J205" i="24"/>
  <c r="O205" i="24"/>
  <c r="R186" i="24"/>
  <c r="J186" i="24"/>
  <c r="H187" i="24"/>
  <c r="O186" i="24"/>
  <c r="H169" i="24"/>
  <c r="J168" i="24"/>
  <c r="O168" i="24"/>
  <c r="R168" i="24"/>
  <c r="R146" i="24"/>
  <c r="J146" i="24"/>
  <c r="O146" i="24"/>
  <c r="R127" i="24"/>
  <c r="H128" i="24"/>
  <c r="O127" i="24"/>
  <c r="J127" i="24"/>
  <c r="R70" i="24"/>
  <c r="U70" i="24" s="1"/>
  <c r="J70" i="24"/>
  <c r="O70" i="24"/>
  <c r="R108" i="24"/>
  <c r="J108" i="24"/>
  <c r="H109" i="24"/>
  <c r="O108" i="24"/>
  <c r="J89" i="24"/>
  <c r="H90" i="24"/>
  <c r="O89" i="24"/>
  <c r="H71" i="24"/>
  <c r="R89" i="24"/>
  <c r="U50" i="24"/>
  <c r="W50" i="24"/>
  <c r="P51" i="24" s="1"/>
  <c r="Q51" i="24" s="1"/>
  <c r="O50" i="24"/>
  <c r="H51" i="24"/>
  <c r="J50" i="24"/>
  <c r="H28" i="24"/>
  <c r="J27" i="24"/>
  <c r="O27" i="24"/>
  <c r="AJ281" i="17" l="1"/>
  <c r="AE160" i="17"/>
  <c r="AE142" i="17"/>
  <c r="AF142" i="17" s="1"/>
  <c r="AE118" i="17"/>
  <c r="AF118" i="17" s="1"/>
  <c r="AG118" i="17" s="1"/>
  <c r="AE127" i="17"/>
  <c r="AF127" i="17" s="1"/>
  <c r="AG127" i="17" s="1"/>
  <c r="AE24" i="17"/>
  <c r="AF24" i="17" s="1"/>
  <c r="AE126" i="17"/>
  <c r="AF126" i="17" s="1"/>
  <c r="AG126" i="17" s="1"/>
  <c r="AF99" i="17"/>
  <c r="AG99" i="17" s="1"/>
  <c r="AF76" i="17"/>
  <c r="AG76" i="17" s="1"/>
  <c r="AE217" i="17"/>
  <c r="AF217" i="17" s="1"/>
  <c r="AG217" i="17" s="1"/>
  <c r="AE73" i="17"/>
  <c r="AF73" i="17" s="1"/>
  <c r="AG73" i="17" s="1"/>
  <c r="AD140" i="17"/>
  <c r="AE140" i="17" s="1"/>
  <c r="AF52" i="17"/>
  <c r="AG52" i="17" s="1"/>
  <c r="AE239" i="17"/>
  <c r="AF239" i="17" s="1"/>
  <c r="AG238" i="17"/>
  <c r="AD41" i="17"/>
  <c r="AE41" i="17" s="1"/>
  <c r="AE210" i="17"/>
  <c r="AF210" i="17" s="1"/>
  <c r="AG210" i="17" s="1"/>
  <c r="AE214" i="17"/>
  <c r="AF214" i="17" s="1"/>
  <c r="AF211" i="17"/>
  <c r="AG211" i="17" s="1"/>
  <c r="AE218" i="17"/>
  <c r="AF218" i="17" s="1"/>
  <c r="AG218" i="17" s="1"/>
  <c r="AF14" i="17"/>
  <c r="AG14" i="17" s="1"/>
  <c r="AE234" i="17"/>
  <c r="AF234" i="17" s="1"/>
  <c r="AE232" i="17"/>
  <c r="AF232" i="17" s="1"/>
  <c r="AD199" i="17"/>
  <c r="AE199" i="17" s="1"/>
  <c r="AF199" i="17" s="1"/>
  <c r="AF223" i="17"/>
  <c r="AD201" i="17"/>
  <c r="AE201" i="17" s="1"/>
  <c r="AF201" i="17" s="1"/>
  <c r="AG201" i="17" s="1"/>
  <c r="AE77" i="17"/>
  <c r="AF77" i="17" s="1"/>
  <c r="AG77" i="17" s="1"/>
  <c r="AH77" i="17" s="1"/>
  <c r="AF227" i="17"/>
  <c r="AE25" i="17"/>
  <c r="AF25" i="17" s="1"/>
  <c r="AE132" i="17"/>
  <c r="AF132" i="17" s="1"/>
  <c r="AG132" i="17" s="1"/>
  <c r="AD205" i="17"/>
  <c r="AE205" i="17" s="1"/>
  <c r="AF205" i="17" s="1"/>
  <c r="AG205" i="17" s="1"/>
  <c r="AD216" i="17"/>
  <c r="AE216" i="17" s="1"/>
  <c r="AF158" i="17"/>
  <c r="AG158" i="17" s="1"/>
  <c r="AE165" i="17"/>
  <c r="AF165" i="17" s="1"/>
  <c r="AG165" i="17" s="1"/>
  <c r="AD273" i="17"/>
  <c r="AE34" i="17"/>
  <c r="AF34" i="17" s="1"/>
  <c r="AG34" i="17" s="1"/>
  <c r="AE107" i="17"/>
  <c r="AF107" i="17" s="1"/>
  <c r="AG107" i="17" s="1"/>
  <c r="AG15" i="17"/>
  <c r="AH15" i="17" s="1"/>
  <c r="AG90" i="17"/>
  <c r="AF136" i="17"/>
  <c r="AG136" i="17" s="1"/>
  <c r="AD151" i="17"/>
  <c r="AE151" i="17" s="1"/>
  <c r="AF151" i="17" s="1"/>
  <c r="AD206" i="17"/>
  <c r="AE206" i="17" s="1"/>
  <c r="AF206" i="17" s="1"/>
  <c r="AG206" i="17" s="1"/>
  <c r="AC202" i="17"/>
  <c r="AE184" i="17"/>
  <c r="AF184" i="17" s="1"/>
  <c r="AG184" i="17" s="1"/>
  <c r="AE272" i="17"/>
  <c r="AF272" i="17" s="1"/>
  <c r="AG272" i="17" s="1"/>
  <c r="AE101" i="17"/>
  <c r="AF101" i="17" s="1"/>
  <c r="AG101" i="17" s="1"/>
  <c r="AC187" i="17"/>
  <c r="AD187" i="17" s="1"/>
  <c r="AC174" i="17"/>
  <c r="AD174" i="17" s="1"/>
  <c r="AG196" i="17"/>
  <c r="AF161" i="17"/>
  <c r="AG161" i="17" s="1"/>
  <c r="AE54" i="17"/>
  <c r="AF54" i="17" s="1"/>
  <c r="AG54" i="17" s="1"/>
  <c r="AC220" i="17"/>
  <c r="AD220" i="17" s="1"/>
  <c r="AF22" i="17"/>
  <c r="AG22" i="17" s="1"/>
  <c r="AE212" i="17"/>
  <c r="AF212" i="17" s="1"/>
  <c r="AG212" i="17" s="1"/>
  <c r="AE208" i="17"/>
  <c r="AF208" i="17" s="1"/>
  <c r="AG208" i="17" s="1"/>
  <c r="AF172" i="17"/>
  <c r="AG172" i="17" s="1"/>
  <c r="AG219" i="17"/>
  <c r="AG27" i="17"/>
  <c r="AD66" i="17"/>
  <c r="AE66" i="17" s="1"/>
  <c r="AF66" i="17" s="1"/>
  <c r="AE181" i="17"/>
  <c r="AF181" i="17" s="1"/>
  <c r="AE40" i="17"/>
  <c r="AF40" i="17" s="1"/>
  <c r="AG40" i="17" s="1"/>
  <c r="AG70" i="17"/>
  <c r="AH70" i="17" s="1"/>
  <c r="AG215" i="17"/>
  <c r="AD213" i="17"/>
  <c r="AE55" i="17"/>
  <c r="AF55" i="17" s="1"/>
  <c r="AG55" i="17" s="1"/>
  <c r="AE36" i="17"/>
  <c r="AF36" i="17" s="1"/>
  <c r="AE123" i="17"/>
  <c r="AF123" i="17" s="1"/>
  <c r="AG123" i="17" s="1"/>
  <c r="AE83" i="17"/>
  <c r="AF83" i="17" s="1"/>
  <c r="AG83" i="17" s="1"/>
  <c r="AF85" i="17"/>
  <c r="AG85" i="17" s="1"/>
  <c r="AE276" i="17"/>
  <c r="AJ276" i="17" s="1"/>
  <c r="AD189" i="17"/>
  <c r="AE189" i="17" s="1"/>
  <c r="AD68" i="17"/>
  <c r="AE68" i="17" s="1"/>
  <c r="AD200" i="17"/>
  <c r="AE200" i="17" s="1"/>
  <c r="AF200" i="17" s="1"/>
  <c r="AG200" i="17" s="1"/>
  <c r="AD157" i="17"/>
  <c r="AE157" i="17" s="1"/>
  <c r="AF157" i="17" s="1"/>
  <c r="AG157" i="17" s="1"/>
  <c r="AE270" i="17"/>
  <c r="AF270" i="17" s="1"/>
  <c r="AC190" i="17"/>
  <c r="AD190" i="17" s="1"/>
  <c r="AD154" i="17"/>
  <c r="AE154" i="17" s="1"/>
  <c r="AD275" i="17"/>
  <c r="AF271" i="17"/>
  <c r="AG271" i="17" s="1"/>
  <c r="AE56" i="17"/>
  <c r="AF56" i="17" s="1"/>
  <c r="AG56" i="17" s="1"/>
  <c r="AD137" i="17"/>
  <c r="AE137" i="17" s="1"/>
  <c r="AE37" i="17"/>
  <c r="AF37" i="17" s="1"/>
  <c r="AE185" i="17"/>
  <c r="AF185" i="17" s="1"/>
  <c r="AE156" i="17"/>
  <c r="AF156" i="17" s="1"/>
  <c r="AG156" i="17" s="1"/>
  <c r="AE183" i="17"/>
  <c r="AF183" i="17" s="1"/>
  <c r="AC169" i="17"/>
  <c r="AD169" i="17" s="1"/>
  <c r="AE169" i="17" s="1"/>
  <c r="AD198" i="17"/>
  <c r="AE198" i="17" s="1"/>
  <c r="AF198" i="17" s="1"/>
  <c r="AG198" i="17" s="1"/>
  <c r="AF80" i="17"/>
  <c r="AG80" i="17" s="1"/>
  <c r="AE166" i="17"/>
  <c r="AF166" i="17" s="1"/>
  <c r="AG166" i="17" s="1"/>
  <c r="AC279" i="17"/>
  <c r="AD279" i="17" s="1"/>
  <c r="AC278" i="17"/>
  <c r="AC130" i="17"/>
  <c r="AD130" i="17" s="1"/>
  <c r="AC168" i="17"/>
  <c r="AD168" i="17" s="1"/>
  <c r="AC33" i="17"/>
  <c r="AE115" i="17"/>
  <c r="AF115" i="17" s="1"/>
  <c r="AG115" i="17" s="1"/>
  <c r="AC191" i="17"/>
  <c r="AD191" i="17" s="1"/>
  <c r="AE51" i="17"/>
  <c r="AF51" i="17" s="1"/>
  <c r="AD135" i="17"/>
  <c r="AE135" i="17" s="1"/>
  <c r="AF135" i="17" s="1"/>
  <c r="AG135" i="17" s="1"/>
  <c r="AE102" i="17"/>
  <c r="AF102" i="17" s="1"/>
  <c r="AG102" i="17" s="1"/>
  <c r="AE105" i="17"/>
  <c r="AF105" i="17" s="1"/>
  <c r="AG105" i="17" s="1"/>
  <c r="AD29" i="17"/>
  <c r="AE29" i="17" s="1"/>
  <c r="AF29" i="17" s="1"/>
  <c r="AC63" i="17"/>
  <c r="AD63" i="17" s="1"/>
  <c r="AC95" i="17"/>
  <c r="AD95" i="17" s="1"/>
  <c r="AE95" i="17" s="1"/>
  <c r="AG281" i="17"/>
  <c r="AC65" i="17"/>
  <c r="AD65" i="17" s="1"/>
  <c r="AG182" i="17"/>
  <c r="AH182" i="17" s="1"/>
  <c r="AC100" i="17"/>
  <c r="AD100" i="17" s="1"/>
  <c r="AC23" i="17"/>
  <c r="AD23" i="17" s="1"/>
  <c r="AE23" i="17" s="1"/>
  <c r="AF23" i="17" s="1"/>
  <c r="AG23" i="17" s="1"/>
  <c r="AC62" i="17"/>
  <c r="AD62" i="17" s="1"/>
  <c r="AE74" i="17"/>
  <c r="AF74" i="17" s="1"/>
  <c r="AG74" i="17" s="1"/>
  <c r="AF131" i="17"/>
  <c r="AG131" i="17" s="1"/>
  <c r="AH131" i="17" s="1"/>
  <c r="AF38" i="17"/>
  <c r="AG38" i="17" s="1"/>
  <c r="AC163" i="17"/>
  <c r="AC67" i="17"/>
  <c r="AD67" i="17" s="1"/>
  <c r="AE171" i="17"/>
  <c r="AF171" i="17" s="1"/>
  <c r="AG171" i="17" s="1"/>
  <c r="AF114" i="17"/>
  <c r="AG114" i="17" s="1"/>
  <c r="AC269" i="17"/>
  <c r="AC188" i="17"/>
  <c r="AD188" i="17" s="1"/>
  <c r="AE188" i="17" s="1"/>
  <c r="AC45" i="17"/>
  <c r="AD45" i="17" s="1"/>
  <c r="AE45" i="17" s="1"/>
  <c r="AC193" i="17"/>
  <c r="AC138" i="17"/>
  <c r="AE152" i="17"/>
  <c r="AF152" i="17" s="1"/>
  <c r="AG152" i="17" s="1"/>
  <c r="AE167" i="17"/>
  <c r="AF167" i="17" s="1"/>
  <c r="AG167" i="17" s="1"/>
  <c r="AE139" i="17"/>
  <c r="AD120" i="17"/>
  <c r="AE120" i="17" s="1"/>
  <c r="AF120" i="17" s="1"/>
  <c r="AE57" i="17"/>
  <c r="AF57" i="17" s="1"/>
  <c r="AG57" i="17" s="1"/>
  <c r="AG116" i="17"/>
  <c r="AF179" i="17"/>
  <c r="AG179" i="17" s="1"/>
  <c r="AD84" i="17"/>
  <c r="AE84" i="17" s="1"/>
  <c r="AG39" i="17"/>
  <c r="AE268" i="17"/>
  <c r="AF268" i="17" s="1"/>
  <c r="AG268" i="17" s="1"/>
  <c r="AE155" i="17"/>
  <c r="AF155" i="17" s="1"/>
  <c r="AG155" i="17" s="1"/>
  <c r="AH155" i="17" s="1"/>
  <c r="AF58" i="17"/>
  <c r="AG58" i="17" s="1"/>
  <c r="AH58" i="17" s="1"/>
  <c r="AE149" i="17"/>
  <c r="AE129" i="17"/>
  <c r="AF129" i="17" s="1"/>
  <c r="AG129" i="17" s="1"/>
  <c r="AE170" i="17"/>
  <c r="AF170" i="17" s="1"/>
  <c r="AE98" i="17"/>
  <c r="AE92" i="17"/>
  <c r="AF92" i="17" s="1"/>
  <c r="AG92" i="17" s="1"/>
  <c r="AG31" i="17"/>
  <c r="AC96" i="17"/>
  <c r="AC128" i="17"/>
  <c r="AD128" i="17" s="1"/>
  <c r="AE128" i="17" s="1"/>
  <c r="AF128" i="17" s="1"/>
  <c r="AF144" i="17"/>
  <c r="AG144" i="17" s="1"/>
  <c r="AH144" i="17" s="1"/>
  <c r="AC72" i="17"/>
  <c r="AD72" i="17" s="1"/>
  <c r="AC89" i="17"/>
  <c r="AD89" i="17" s="1"/>
  <c r="AF82" i="17"/>
  <c r="AG82" i="17" s="1"/>
  <c r="AH82" i="17" s="1"/>
  <c r="AE122" i="17"/>
  <c r="AF122" i="17" s="1"/>
  <c r="AG122" i="17" s="1"/>
  <c r="AC88" i="17"/>
  <c r="AD88" i="17" s="1"/>
  <c r="AE32" i="17"/>
  <c r="AF32" i="17" s="1"/>
  <c r="AG32" i="17" s="1"/>
  <c r="AE180" i="17"/>
  <c r="AF180" i="17" s="1"/>
  <c r="AG180" i="17" s="1"/>
  <c r="AE87" i="17"/>
  <c r="AC133" i="17"/>
  <c r="AD133" i="17" s="1"/>
  <c r="AE133" i="17" s="1"/>
  <c r="AF133" i="17" s="1"/>
  <c r="AF69" i="17"/>
  <c r="AG69" i="17" s="1"/>
  <c r="AE197" i="17"/>
  <c r="AF197" i="17" s="1"/>
  <c r="AG197" i="17" s="1"/>
  <c r="AF160" i="17"/>
  <c r="AG160" i="17" s="1"/>
  <c r="AD274" i="17"/>
  <c r="AE176" i="17"/>
  <c r="AF103" i="17"/>
  <c r="AG103" i="17" s="1"/>
  <c r="AH103" i="17" s="1"/>
  <c r="AH20" i="17"/>
  <c r="AH64" i="17"/>
  <c r="AH124" i="17"/>
  <c r="AH75" i="17"/>
  <c r="O633" i="24"/>
  <c r="H634" i="24"/>
  <c r="M634" i="24" s="1"/>
  <c r="N634" i="24" s="1"/>
  <c r="H635" i="24" s="1"/>
  <c r="M635" i="24" s="1"/>
  <c r="N635" i="24" s="1"/>
  <c r="H636" i="24" s="1"/>
  <c r="AG225" i="17"/>
  <c r="AH225" i="17" s="1"/>
  <c r="AH53" i="17"/>
  <c r="AH47" i="17"/>
  <c r="AH153" i="17"/>
  <c r="AC71" i="17"/>
  <c r="AD71" i="17" s="1"/>
  <c r="AH81" i="17"/>
  <c r="AG228" i="17"/>
  <c r="AH228" i="17" s="1"/>
  <c r="AF78" i="17"/>
  <c r="AG78" i="17" s="1"/>
  <c r="AH78" i="17" s="1"/>
  <c r="AH241" i="17"/>
  <c r="AG224" i="17"/>
  <c r="AH224" i="17" s="1"/>
  <c r="AH143" i="17"/>
  <c r="R435" i="24"/>
  <c r="R436" i="24" s="1"/>
  <c r="M453" i="24"/>
  <c r="N453" i="24" s="1"/>
  <c r="U452" i="24"/>
  <c r="AA148" i="17" s="1"/>
  <c r="R453" i="24"/>
  <c r="J435" i="24"/>
  <c r="H436" i="24"/>
  <c r="O435" i="24"/>
  <c r="W434" i="24"/>
  <c r="P435" i="24" s="1"/>
  <c r="Q435" i="24" s="1"/>
  <c r="U435" i="24"/>
  <c r="AB147" i="17" s="1"/>
  <c r="K417" i="24"/>
  <c r="L417" i="24" s="1"/>
  <c r="AD240" i="17"/>
  <c r="AD236" i="17"/>
  <c r="AE236" i="17" s="1"/>
  <c r="O382" i="24"/>
  <c r="J382" i="24"/>
  <c r="H383" i="24"/>
  <c r="M365" i="24"/>
  <c r="N365" i="24" s="1"/>
  <c r="O348" i="24"/>
  <c r="J348" i="24"/>
  <c r="H349" i="24"/>
  <c r="M331" i="24"/>
  <c r="N331" i="24" s="1"/>
  <c r="H315" i="24"/>
  <c r="M315" i="24" s="1"/>
  <c r="J314" i="24"/>
  <c r="O314" i="24"/>
  <c r="U615" i="24"/>
  <c r="AB235" i="17" s="1"/>
  <c r="U634" i="24"/>
  <c r="R635" i="24"/>
  <c r="W579" i="24"/>
  <c r="U633" i="24"/>
  <c r="H399" i="24"/>
  <c r="J398" i="24"/>
  <c r="O398" i="24"/>
  <c r="U244" i="24"/>
  <c r="R245" i="24"/>
  <c r="J245" i="24"/>
  <c r="O245" i="24"/>
  <c r="H246" i="24"/>
  <c r="M246" i="24" s="1"/>
  <c r="N246" i="24" s="1"/>
  <c r="K9" i="24"/>
  <c r="L9" i="24" s="1"/>
  <c r="M9" i="24" s="1"/>
  <c r="K51" i="24"/>
  <c r="L51" i="24" s="1"/>
  <c r="M51" i="24" s="1"/>
  <c r="O597" i="24"/>
  <c r="R597" i="24"/>
  <c r="U597" i="24" s="1"/>
  <c r="AA207" i="17" s="1"/>
  <c r="J597" i="24"/>
  <c r="M598" i="24"/>
  <c r="N598" i="24" s="1"/>
  <c r="H562" i="24"/>
  <c r="J561" i="24"/>
  <c r="O561" i="24"/>
  <c r="R561" i="24"/>
  <c r="M544" i="24"/>
  <c r="N544" i="24" s="1"/>
  <c r="M527" i="24"/>
  <c r="N527" i="24" s="1"/>
  <c r="M510" i="24"/>
  <c r="N510" i="24" s="1"/>
  <c r="R510" i="24" s="1"/>
  <c r="U510" i="24" s="1"/>
  <c r="O488" i="24"/>
  <c r="J488" i="24"/>
  <c r="U488" i="24"/>
  <c r="W488" i="24" s="1"/>
  <c r="P489" i="24" s="1"/>
  <c r="Q489" i="24" s="1"/>
  <c r="R489" i="24"/>
  <c r="L470" i="24"/>
  <c r="W397" i="24"/>
  <c r="P398" i="24" s="1"/>
  <c r="Q398" i="24" s="1"/>
  <c r="W398" i="24" s="1"/>
  <c r="P399" i="24" s="1"/>
  <c r="Q399" i="24" s="1"/>
  <c r="U397" i="24"/>
  <c r="W295" i="24"/>
  <c r="P296" i="24" s="1"/>
  <c r="Q296" i="24" s="1"/>
  <c r="U295" i="24"/>
  <c r="W278" i="24"/>
  <c r="P279" i="24" s="1"/>
  <c r="Q279" i="24" s="1"/>
  <c r="U278" i="24"/>
  <c r="U261" i="24"/>
  <c r="W261" i="24"/>
  <c r="K262" i="24" s="1"/>
  <c r="U243" i="24"/>
  <c r="W243" i="24"/>
  <c r="P244" i="24" s="1"/>
  <c r="Q244" i="24" s="1"/>
  <c r="W225" i="24"/>
  <c r="P226" i="24" s="1"/>
  <c r="Q226" i="24" s="1"/>
  <c r="W226" i="24" s="1"/>
  <c r="P227" i="24" s="1"/>
  <c r="Q227" i="24" s="1"/>
  <c r="U225" i="24"/>
  <c r="W205" i="24"/>
  <c r="P206" i="24" s="1"/>
  <c r="Q206" i="24" s="1"/>
  <c r="U205" i="24"/>
  <c r="W186" i="24"/>
  <c r="P187" i="24" s="1"/>
  <c r="Q187" i="24" s="1"/>
  <c r="U186" i="24"/>
  <c r="W70" i="24"/>
  <c r="P71" i="24" s="1"/>
  <c r="Q71" i="24" s="1"/>
  <c r="W168" i="24"/>
  <c r="P169" i="24" s="1"/>
  <c r="Q169" i="24" s="1"/>
  <c r="U168" i="24"/>
  <c r="W146" i="24"/>
  <c r="U146" i="24"/>
  <c r="W127" i="24"/>
  <c r="P128" i="24" s="1"/>
  <c r="Q128" i="24" s="1"/>
  <c r="U127" i="24"/>
  <c r="W108" i="24"/>
  <c r="P109" i="24" s="1"/>
  <c r="Q109" i="24" s="1"/>
  <c r="U108" i="24"/>
  <c r="W89" i="24"/>
  <c r="P90" i="24" s="1"/>
  <c r="Q90" i="24" s="1"/>
  <c r="U89" i="24"/>
  <c r="AE273" i="17" l="1"/>
  <c r="AJ273" i="17" s="1"/>
  <c r="AG142" i="17"/>
  <c r="AG24" i="17"/>
  <c r="AG199" i="17"/>
  <c r="AH199" i="17" s="1"/>
  <c r="AF41" i="17"/>
  <c r="AG41" i="17" s="1"/>
  <c r="AG181" i="17"/>
  <c r="AH181" i="17" s="1"/>
  <c r="AG214" i="17"/>
  <c r="AH214" i="17" s="1"/>
  <c r="AG239" i="17"/>
  <c r="AH239" i="17" s="1"/>
  <c r="AE63" i="17"/>
  <c r="AF63" i="17" s="1"/>
  <c r="AG63" i="17" s="1"/>
  <c r="AF140" i="17"/>
  <c r="AG140" i="17" s="1"/>
  <c r="AH140" i="17" s="1"/>
  <c r="AF216" i="17"/>
  <c r="AG216" i="17" s="1"/>
  <c r="AF276" i="17"/>
  <c r="AG276" i="17" s="1"/>
  <c r="AH276" i="17" s="1"/>
  <c r="AG120" i="17"/>
  <c r="AE174" i="17"/>
  <c r="AF174" i="17" s="1"/>
  <c r="AG174" i="17" s="1"/>
  <c r="AH174" i="17" s="1"/>
  <c r="AE220" i="17"/>
  <c r="AF220" i="17" s="1"/>
  <c r="AG220" i="17" s="1"/>
  <c r="AF95" i="17"/>
  <c r="AG95" i="17" s="1"/>
  <c r="AF137" i="17"/>
  <c r="AG137" i="17" s="1"/>
  <c r="AH137" i="17" s="1"/>
  <c r="AD202" i="17"/>
  <c r="AE202" i="17" s="1"/>
  <c r="AF202" i="17" s="1"/>
  <c r="AE213" i="17"/>
  <c r="AF213" i="17" s="1"/>
  <c r="AE130" i="17"/>
  <c r="AF130" i="17" s="1"/>
  <c r="AG130" i="17" s="1"/>
  <c r="AF169" i="17"/>
  <c r="AG169" i="17" s="1"/>
  <c r="AG36" i="17"/>
  <c r="AH36" i="17" s="1"/>
  <c r="AE187" i="17"/>
  <c r="AF187" i="17" s="1"/>
  <c r="AG187" i="17" s="1"/>
  <c r="AH187" i="17" s="1"/>
  <c r="AE72" i="17"/>
  <c r="AF72" i="17" s="1"/>
  <c r="AG72" i="17" s="1"/>
  <c r="AG25" i="17"/>
  <c r="AH25" i="17" s="1"/>
  <c r="AF68" i="17"/>
  <c r="AG68" i="17" s="1"/>
  <c r="AE274" i="17"/>
  <c r="AG128" i="17"/>
  <c r="AE65" i="17"/>
  <c r="AF65" i="17" s="1"/>
  <c r="AF139" i="17"/>
  <c r="AG139" i="17" s="1"/>
  <c r="AH139" i="17" s="1"/>
  <c r="AF188" i="17"/>
  <c r="AG188" i="17" s="1"/>
  <c r="AE100" i="17"/>
  <c r="AF100" i="17" s="1"/>
  <c r="AG100" i="17" s="1"/>
  <c r="AH100" i="17" s="1"/>
  <c r="AG270" i="17"/>
  <c r="AG29" i="17"/>
  <c r="AH29" i="17" s="1"/>
  <c r="AG185" i="17"/>
  <c r="AG66" i="17"/>
  <c r="AH66" i="17" s="1"/>
  <c r="AF98" i="17"/>
  <c r="AG98" i="17" s="1"/>
  <c r="AH98" i="17" s="1"/>
  <c r="AG51" i="17"/>
  <c r="AH51" i="17" s="1"/>
  <c r="AG183" i="17"/>
  <c r="AF154" i="17"/>
  <c r="AG154" i="17" s="1"/>
  <c r="AE67" i="17"/>
  <c r="AD96" i="17"/>
  <c r="AE96" i="17" s="1"/>
  <c r="AF176" i="17"/>
  <c r="AG176" i="17" s="1"/>
  <c r="AE279" i="17"/>
  <c r="AF279" i="17" s="1"/>
  <c r="AF87" i="17"/>
  <c r="AG87" i="17" s="1"/>
  <c r="AH87" i="17" s="1"/>
  <c r="AF84" i="17"/>
  <c r="AG84" i="17" s="1"/>
  <c r="AH84" i="17" s="1"/>
  <c r="AG170" i="17"/>
  <c r="AH170" i="17" s="1"/>
  <c r="AD269" i="17"/>
  <c r="AE269" i="17" s="1"/>
  <c r="AE89" i="17"/>
  <c r="AF89" i="17" s="1"/>
  <c r="AG89" i="17" s="1"/>
  <c r="AG133" i="17"/>
  <c r="AH133" i="17" s="1"/>
  <c r="AE88" i="17"/>
  <c r="AF88" i="17" s="1"/>
  <c r="AE62" i="17"/>
  <c r="AF62" i="17" s="1"/>
  <c r="AG62" i="17" s="1"/>
  <c r="AH62" i="17" s="1"/>
  <c r="AD33" i="17"/>
  <c r="AE190" i="17"/>
  <c r="AG37" i="17"/>
  <c r="AH37" i="17" s="1"/>
  <c r="AE275" i="17"/>
  <c r="AF189" i="17"/>
  <c r="AG189" i="17" s="1"/>
  <c r="AH189" i="17" s="1"/>
  <c r="AE168" i="17"/>
  <c r="AF168" i="17" s="1"/>
  <c r="AG168" i="17" s="1"/>
  <c r="AD138" i="17"/>
  <c r="AF149" i="17"/>
  <c r="AG149" i="17" s="1"/>
  <c r="AH149" i="17" s="1"/>
  <c r="AD193" i="17"/>
  <c r="AE193" i="17" s="1"/>
  <c r="AF45" i="17"/>
  <c r="AG45" i="17" s="1"/>
  <c r="AH45" i="17" s="1"/>
  <c r="AG151" i="17"/>
  <c r="AD163" i="17"/>
  <c r="AE191" i="17"/>
  <c r="AF191" i="17" s="1"/>
  <c r="AG191" i="17" s="1"/>
  <c r="AH191" i="17" s="1"/>
  <c r="AD278" i="17"/>
  <c r="AE278" i="17" s="1"/>
  <c r="AF278" i="17" s="1"/>
  <c r="AG278" i="17" s="1"/>
  <c r="AH278" i="17" s="1"/>
  <c r="AH271" i="17"/>
  <c r="AH280" i="17"/>
  <c r="AH277" i="17"/>
  <c r="Z145" i="17"/>
  <c r="W510" i="24"/>
  <c r="P511" i="24" s="1"/>
  <c r="Q511" i="24" s="1"/>
  <c r="AA175" i="17"/>
  <c r="AH162" i="17"/>
  <c r="AH215" i="17"/>
  <c r="O635" i="24"/>
  <c r="J634" i="24"/>
  <c r="AH76" i="17"/>
  <c r="AH129" i="17"/>
  <c r="AH123" i="17"/>
  <c r="AH142" i="17"/>
  <c r="AH31" i="17"/>
  <c r="AH208" i="17"/>
  <c r="AG230" i="17"/>
  <c r="AH230" i="17" s="1"/>
  <c r="AH209" i="17"/>
  <c r="AH200" i="17"/>
  <c r="AH23" i="17"/>
  <c r="AH198" i="17"/>
  <c r="AH219" i="17"/>
  <c r="AH172" i="17"/>
  <c r="AH52" i="17"/>
  <c r="AH17" i="17"/>
  <c r="AH119" i="17"/>
  <c r="J635" i="24"/>
  <c r="O634" i="24"/>
  <c r="AH218" i="17"/>
  <c r="AH238" i="17"/>
  <c r="AH132" i="17"/>
  <c r="AH161" i="17"/>
  <c r="AH201" i="17"/>
  <c r="AH92" i="17"/>
  <c r="AH38" i="17"/>
  <c r="AH99" i="17"/>
  <c r="AH18" i="17"/>
  <c r="AH158" i="17"/>
  <c r="AH73" i="17"/>
  <c r="AH173" i="17"/>
  <c r="AH180" i="17"/>
  <c r="AH164" i="17"/>
  <c r="AH212" i="17"/>
  <c r="AH127" i="17"/>
  <c r="AH19" i="17"/>
  <c r="AG222" i="17"/>
  <c r="AH222" i="17" s="1"/>
  <c r="AH102" i="17"/>
  <c r="AH141" i="17"/>
  <c r="AH106" i="17"/>
  <c r="AF236" i="17"/>
  <c r="AG236" i="17" s="1"/>
  <c r="AH236" i="17" s="1"/>
  <c r="AH156" i="17"/>
  <c r="AH204" i="17"/>
  <c r="AH22" i="17"/>
  <c r="AH217" i="17"/>
  <c r="AH14" i="17"/>
  <c r="AG226" i="17"/>
  <c r="AH226" i="17" s="1"/>
  <c r="AE240" i="17"/>
  <c r="AF240" i="17" s="1"/>
  <c r="AG240" i="17" s="1"/>
  <c r="AH240" i="17" s="1"/>
  <c r="AH39" i="17"/>
  <c r="AH46" i="17"/>
  <c r="AH107" i="17"/>
  <c r="AH188" i="17"/>
  <c r="AH114" i="17"/>
  <c r="AH178" i="17"/>
  <c r="AH30" i="17"/>
  <c r="AH32" i="17"/>
  <c r="AH237" i="17"/>
  <c r="AH134" i="17"/>
  <c r="AH101" i="17"/>
  <c r="AH126" i="17"/>
  <c r="AH165" i="17"/>
  <c r="AG223" i="17"/>
  <c r="AH223" i="17" s="1"/>
  <c r="AH85" i="17"/>
  <c r="AH211" i="17"/>
  <c r="AG229" i="17"/>
  <c r="AH229" i="17" s="1"/>
  <c r="AH135" i="17"/>
  <c r="AH160" i="17"/>
  <c r="AG79" i="17"/>
  <c r="AH79" i="17" s="1"/>
  <c r="AG336" i="37"/>
  <c r="AG13" i="39"/>
  <c r="W435" i="24"/>
  <c r="P436" i="24" s="1"/>
  <c r="Q436" i="24" s="1"/>
  <c r="J453" i="24"/>
  <c r="H454" i="24"/>
  <c r="O453" i="24"/>
  <c r="U453" i="24"/>
  <c r="AB148" i="17" s="1"/>
  <c r="R454" i="24"/>
  <c r="W452" i="24"/>
  <c r="P453" i="24" s="1"/>
  <c r="Q453" i="24" s="1"/>
  <c r="U436" i="24"/>
  <c r="AC147" i="17" s="1"/>
  <c r="R437" i="24"/>
  <c r="M436" i="24"/>
  <c r="N436" i="24" s="1"/>
  <c r="M417" i="24"/>
  <c r="N417" i="24" s="1"/>
  <c r="AG232" i="17"/>
  <c r="AE71" i="17"/>
  <c r="AF71" i="17" s="1"/>
  <c r="AG71" i="17" s="1"/>
  <c r="M383" i="24"/>
  <c r="N383" i="24" s="1"/>
  <c r="O365" i="24"/>
  <c r="J365" i="24"/>
  <c r="H366" i="24"/>
  <c r="M349" i="24"/>
  <c r="N349" i="24" s="1"/>
  <c r="O331" i="24"/>
  <c r="J331" i="24"/>
  <c r="H332" i="24"/>
  <c r="N315" i="24"/>
  <c r="W615" i="24"/>
  <c r="P580" i="24"/>
  <c r="Q580" i="24" s="1"/>
  <c r="K580" i="24"/>
  <c r="L580" i="24" s="1"/>
  <c r="U635" i="24"/>
  <c r="AA145" i="17" s="1"/>
  <c r="R636" i="24"/>
  <c r="M636" i="24"/>
  <c r="N636" i="24" s="1"/>
  <c r="W633" i="24"/>
  <c r="P634" i="24" s="1"/>
  <c r="Q634" i="24" s="1"/>
  <c r="W634" i="24" s="1"/>
  <c r="P635" i="24" s="1"/>
  <c r="Q635" i="24" s="1"/>
  <c r="W244" i="24"/>
  <c r="P245" i="24" s="1"/>
  <c r="Q245" i="24" s="1"/>
  <c r="P147" i="24"/>
  <c r="Q147" i="24" s="1"/>
  <c r="K147" i="24"/>
  <c r="L147" i="24" s="1"/>
  <c r="M147" i="24" s="1"/>
  <c r="N147" i="24" s="1"/>
  <c r="H148" i="24" s="1"/>
  <c r="M148" i="24" s="1"/>
  <c r="N148" i="24" s="1"/>
  <c r="K399" i="24"/>
  <c r="L399" i="24" s="1"/>
  <c r="M399" i="24" s="1"/>
  <c r="N399" i="24" s="1"/>
  <c r="U245" i="24"/>
  <c r="Z86" i="17" s="1"/>
  <c r="R246" i="24"/>
  <c r="J246" i="24"/>
  <c r="O246" i="24"/>
  <c r="H247" i="24"/>
  <c r="M247" i="24" s="1"/>
  <c r="N247" i="24" s="1"/>
  <c r="K227" i="24"/>
  <c r="L227" i="24" s="1"/>
  <c r="M227" i="24" s="1"/>
  <c r="N227" i="24" s="1"/>
  <c r="K169" i="24"/>
  <c r="L169" i="24" s="1"/>
  <c r="K71" i="24"/>
  <c r="L71" i="24" s="1"/>
  <c r="M71" i="24" s="1"/>
  <c r="N71" i="24" s="1"/>
  <c r="H72" i="24" s="1"/>
  <c r="M72" i="24" s="1"/>
  <c r="N72" i="24" s="1"/>
  <c r="K128" i="24"/>
  <c r="L128" i="24" s="1"/>
  <c r="K279" i="24"/>
  <c r="L279" i="24" s="1"/>
  <c r="M279" i="24" s="1"/>
  <c r="N279" i="24" s="1"/>
  <c r="R279" i="24" s="1"/>
  <c r="K206" i="24"/>
  <c r="L206" i="24" s="1"/>
  <c r="K187" i="24"/>
  <c r="L187" i="24" s="1"/>
  <c r="M187" i="24" s="1"/>
  <c r="K90" i="24"/>
  <c r="L90" i="24" s="1"/>
  <c r="K109" i="24"/>
  <c r="L109" i="24" s="1"/>
  <c r="R598" i="24"/>
  <c r="U598" i="24" s="1"/>
  <c r="AB207" i="17" s="1"/>
  <c r="H599" i="24"/>
  <c r="J598" i="24"/>
  <c r="O598" i="24"/>
  <c r="W597" i="24"/>
  <c r="P598" i="24" s="1"/>
  <c r="Q598" i="24" s="1"/>
  <c r="U561" i="24"/>
  <c r="R562" i="24"/>
  <c r="M562" i="24"/>
  <c r="N562" i="24" s="1"/>
  <c r="H545" i="24"/>
  <c r="J544" i="24"/>
  <c r="O544" i="24"/>
  <c r="R544" i="24"/>
  <c r="H528" i="24"/>
  <c r="J527" i="24"/>
  <c r="O527" i="24"/>
  <c r="R527" i="24"/>
  <c r="H511" i="24"/>
  <c r="L511" i="24" s="1"/>
  <c r="O510" i="24"/>
  <c r="J510" i="24"/>
  <c r="U489" i="24"/>
  <c r="W489" i="24" s="1"/>
  <c r="P490" i="24" s="1"/>
  <c r="Q490" i="24" s="1"/>
  <c r="R490" i="24"/>
  <c r="M489" i="24"/>
  <c r="N489" i="24" s="1"/>
  <c r="M470" i="24"/>
  <c r="N470" i="24" s="1"/>
  <c r="R470" i="24" s="1"/>
  <c r="L296" i="24"/>
  <c r="M296" i="24" s="1"/>
  <c r="P262" i="24"/>
  <c r="Q262" i="24" s="1"/>
  <c r="L262" i="24"/>
  <c r="N9" i="24"/>
  <c r="N51" i="24"/>
  <c r="H52" i="24" s="1"/>
  <c r="AF273" i="17" l="1"/>
  <c r="AG273" i="17" s="1"/>
  <c r="AH273" i="17" s="1"/>
  <c r="AF275" i="17"/>
  <c r="AJ275" i="17"/>
  <c r="AF274" i="17"/>
  <c r="AG274" i="17" s="1"/>
  <c r="AJ274" i="17"/>
  <c r="AG202" i="17"/>
  <c r="AH202" i="17" s="1"/>
  <c r="AF67" i="17"/>
  <c r="AG67" i="17" s="1"/>
  <c r="AH67" i="17" s="1"/>
  <c r="AF269" i="17"/>
  <c r="AG269" i="17" s="1"/>
  <c r="AH269" i="17" s="1"/>
  <c r="AG213" i="17"/>
  <c r="AH213" i="17" s="1"/>
  <c r="AF190" i="17"/>
  <c r="AG190" i="17" s="1"/>
  <c r="AH190" i="17" s="1"/>
  <c r="AE33" i="17"/>
  <c r="AF33" i="17" s="1"/>
  <c r="AG33" i="17" s="1"/>
  <c r="AH33" i="17" s="1"/>
  <c r="AE163" i="17"/>
  <c r="AF163" i="17" s="1"/>
  <c r="AG163" i="17" s="1"/>
  <c r="AH163" i="17" s="1"/>
  <c r="AF193" i="17"/>
  <c r="AG193" i="17" s="1"/>
  <c r="AH193" i="17" s="1"/>
  <c r="AG275" i="17"/>
  <c r="AH275" i="17" s="1"/>
  <c r="AG65" i="17"/>
  <c r="AG88" i="17"/>
  <c r="AH88" i="17" s="1"/>
  <c r="AF96" i="17"/>
  <c r="AG96" i="17" s="1"/>
  <c r="AH96" i="17" s="1"/>
  <c r="AG279" i="17"/>
  <c r="AH279" i="17" s="1"/>
  <c r="AE138" i="17"/>
  <c r="AF138" i="17" s="1"/>
  <c r="AG138" i="17" s="1"/>
  <c r="AH138" i="17" s="1"/>
  <c r="AH272" i="17"/>
  <c r="AH152" i="17"/>
  <c r="AJ152" i="17"/>
  <c r="AH270" i="17"/>
  <c r="AJ185" i="17"/>
  <c r="M52" i="24"/>
  <c r="N52" i="24" s="1"/>
  <c r="M109" i="24"/>
  <c r="N109" i="24" s="1"/>
  <c r="AH120" i="17"/>
  <c r="AH56" i="17"/>
  <c r="AH176" i="17"/>
  <c r="AH136" i="17"/>
  <c r="AH24" i="17"/>
  <c r="AH27" i="17"/>
  <c r="AH68" i="17"/>
  <c r="AG233" i="17"/>
  <c r="AH233" i="17" s="1"/>
  <c r="AH242" i="17"/>
  <c r="AH216" i="17"/>
  <c r="AH54" i="17"/>
  <c r="AH34" i="17"/>
  <c r="AH166" i="17"/>
  <c r="AH210" i="17"/>
  <c r="AH69" i="17"/>
  <c r="AH57" i="17"/>
  <c r="AH157" i="17"/>
  <c r="AH205" i="17"/>
  <c r="AH196" i="17"/>
  <c r="AH105" i="17"/>
  <c r="AH71" i="17"/>
  <c r="AH179" i="17"/>
  <c r="AH185" i="17"/>
  <c r="AH232" i="17"/>
  <c r="AH116" i="17"/>
  <c r="AH169" i="17"/>
  <c r="AH90" i="17"/>
  <c r="AH83" i="17"/>
  <c r="AH115" i="17"/>
  <c r="AG234" i="17"/>
  <c r="AH234" i="17" s="1"/>
  <c r="AH203" i="17"/>
  <c r="AH63" i="17"/>
  <c r="AH220" i="17"/>
  <c r="AH274" i="17"/>
  <c r="AH95" i="17"/>
  <c r="AH183" i="17"/>
  <c r="AH122" i="17"/>
  <c r="AH168" i="17"/>
  <c r="AH167" i="17"/>
  <c r="AH80" i="17"/>
  <c r="AH171" i="17"/>
  <c r="AH184" i="17"/>
  <c r="AH281" i="17"/>
  <c r="AH130" i="17"/>
  <c r="AH41" i="17"/>
  <c r="AH128" i="17"/>
  <c r="AH104" i="17"/>
  <c r="AH55" i="17"/>
  <c r="W436" i="24"/>
  <c r="P437" i="24" s="1"/>
  <c r="Q437" i="24" s="1"/>
  <c r="W453" i="24"/>
  <c r="P454" i="24" s="1"/>
  <c r="Q454" i="24" s="1"/>
  <c r="M454" i="24"/>
  <c r="N454" i="24" s="1"/>
  <c r="U454" i="24"/>
  <c r="AC148" i="17" s="1"/>
  <c r="R455" i="24"/>
  <c r="J436" i="24"/>
  <c r="H437" i="24"/>
  <c r="O436" i="24"/>
  <c r="U437" i="24"/>
  <c r="AD147" i="17" s="1"/>
  <c r="R438" i="24"/>
  <c r="R439" i="24" s="1"/>
  <c r="U439" i="24" s="1"/>
  <c r="AF147" i="17" s="1"/>
  <c r="O417" i="24"/>
  <c r="J417" i="24"/>
  <c r="H418" i="24"/>
  <c r="R417" i="24"/>
  <c r="O383" i="24"/>
  <c r="H384" i="24"/>
  <c r="J383" i="24"/>
  <c r="M366" i="24"/>
  <c r="N366" i="24" s="1"/>
  <c r="O349" i="24"/>
  <c r="H350" i="24"/>
  <c r="J349" i="24"/>
  <c r="M332" i="24"/>
  <c r="N332" i="24" s="1"/>
  <c r="W635" i="24"/>
  <c r="P636" i="24" s="1"/>
  <c r="Q636" i="24" s="1"/>
  <c r="H316" i="24"/>
  <c r="M316" i="24" s="1"/>
  <c r="O315" i="24"/>
  <c r="J315" i="24"/>
  <c r="P616" i="24"/>
  <c r="Q616" i="24" s="1"/>
  <c r="K616" i="24"/>
  <c r="L616" i="24" s="1"/>
  <c r="M616" i="24" s="1"/>
  <c r="N616" i="24" s="1"/>
  <c r="M580" i="24"/>
  <c r="N580" i="24" s="1"/>
  <c r="J636" i="24"/>
  <c r="O636" i="24"/>
  <c r="H637" i="24"/>
  <c r="M637" i="24" s="1"/>
  <c r="N637" i="24" s="1"/>
  <c r="U636" i="24"/>
  <c r="AB145" i="17" s="1"/>
  <c r="R637" i="24"/>
  <c r="W245" i="24"/>
  <c r="P246" i="24" s="1"/>
  <c r="Q246" i="24" s="1"/>
  <c r="J148" i="24"/>
  <c r="O148" i="24"/>
  <c r="H149" i="24"/>
  <c r="M149" i="24" s="1"/>
  <c r="N149" i="24" s="1"/>
  <c r="R147" i="24"/>
  <c r="R148" i="24" s="1"/>
  <c r="O147" i="24"/>
  <c r="J147" i="24"/>
  <c r="O399" i="24"/>
  <c r="J399" i="24"/>
  <c r="H400" i="24"/>
  <c r="M400" i="24" s="1"/>
  <c r="N400" i="24" s="1"/>
  <c r="R399" i="24"/>
  <c r="O247" i="24"/>
  <c r="H248" i="24"/>
  <c r="M248" i="24" s="1"/>
  <c r="N248" i="24" s="1"/>
  <c r="J247" i="24"/>
  <c r="U246" i="24"/>
  <c r="AA86" i="17" s="1"/>
  <c r="R247" i="24"/>
  <c r="R227" i="24"/>
  <c r="O227" i="24"/>
  <c r="H228" i="24"/>
  <c r="M228" i="24" s="1"/>
  <c r="N228" i="24" s="1"/>
  <c r="J227" i="24"/>
  <c r="H73" i="24"/>
  <c r="J72" i="24"/>
  <c r="O72" i="24"/>
  <c r="R599" i="24"/>
  <c r="R600" i="24" s="1"/>
  <c r="M511" i="24"/>
  <c r="N511" i="24" s="1"/>
  <c r="O511" i="24" s="1"/>
  <c r="W598" i="24"/>
  <c r="P599" i="24" s="1"/>
  <c r="Q599" i="24" s="1"/>
  <c r="M599" i="24"/>
  <c r="N599" i="24" s="1"/>
  <c r="H563" i="24"/>
  <c r="J562" i="24"/>
  <c r="O562" i="24"/>
  <c r="U562" i="24"/>
  <c r="AB192" i="17" s="1"/>
  <c r="R563" i="24"/>
  <c r="W561" i="24"/>
  <c r="P562" i="24" s="1"/>
  <c r="Q562" i="24" s="1"/>
  <c r="U544" i="24"/>
  <c r="AA186" i="17" s="1"/>
  <c r="R545" i="24"/>
  <c r="M545" i="24"/>
  <c r="N545" i="24" s="1"/>
  <c r="U527" i="24"/>
  <c r="AA177" i="17" s="1"/>
  <c r="R528" i="24"/>
  <c r="M528" i="24"/>
  <c r="N528" i="24" s="1"/>
  <c r="R511" i="24"/>
  <c r="O489" i="24"/>
  <c r="J489" i="24"/>
  <c r="H490" i="24"/>
  <c r="U490" i="24"/>
  <c r="R491" i="24"/>
  <c r="H471" i="24"/>
  <c r="R471" i="24"/>
  <c r="O470" i="24"/>
  <c r="J470" i="24"/>
  <c r="N296" i="24"/>
  <c r="U279" i="24"/>
  <c r="R280" i="24"/>
  <c r="O279" i="24"/>
  <c r="H280" i="24"/>
  <c r="J279" i="24"/>
  <c r="M262" i="24"/>
  <c r="N262" i="24" s="1"/>
  <c r="R262" i="24" s="1"/>
  <c r="O9" i="24"/>
  <c r="J9" i="24"/>
  <c r="H10" i="24"/>
  <c r="R9" i="24"/>
  <c r="M206" i="24"/>
  <c r="N206" i="24" s="1"/>
  <c r="H207" i="24" s="1"/>
  <c r="M207" i="24" s="1"/>
  <c r="N207" i="24" s="1"/>
  <c r="N187" i="24"/>
  <c r="H188" i="24" s="1"/>
  <c r="M169" i="24"/>
  <c r="N169" i="24" s="1"/>
  <c r="H170" i="24" s="1"/>
  <c r="M170" i="24" s="1"/>
  <c r="N170" i="24" s="1"/>
  <c r="M128" i="24"/>
  <c r="N128" i="24" s="1"/>
  <c r="H129" i="24" s="1"/>
  <c r="M129" i="24" s="1"/>
  <c r="N129" i="24" s="1"/>
  <c r="M90" i="24"/>
  <c r="N90" i="24" s="1"/>
  <c r="H91" i="24" s="1"/>
  <c r="M91" i="24" s="1"/>
  <c r="N91" i="24" s="1"/>
  <c r="O71" i="24"/>
  <c r="J71" i="24"/>
  <c r="R71" i="24"/>
  <c r="R72" i="24" s="1"/>
  <c r="J51" i="24"/>
  <c r="O51" i="24"/>
  <c r="R51" i="24"/>
  <c r="AJ282" i="17" l="1"/>
  <c r="AF267" i="17"/>
  <c r="W490" i="24"/>
  <c r="P491" i="24" s="1"/>
  <c r="Q491" i="24" s="1"/>
  <c r="AA159" i="17"/>
  <c r="J52" i="24"/>
  <c r="O52" i="24"/>
  <c r="H53" i="24"/>
  <c r="AH26" i="17"/>
  <c r="H110" i="24"/>
  <c r="O109" i="24"/>
  <c r="J109" i="24"/>
  <c r="R109" i="24"/>
  <c r="R110" i="24" s="1"/>
  <c r="R111" i="24" s="1"/>
  <c r="M188" i="24"/>
  <c r="N188" i="24" s="1"/>
  <c r="AG221" i="17"/>
  <c r="AH221" i="17" s="1"/>
  <c r="W437" i="24"/>
  <c r="P438" i="24" s="1"/>
  <c r="Q438" i="24" s="1"/>
  <c r="AH89" i="17"/>
  <c r="AH194" i="17"/>
  <c r="AG227" i="17"/>
  <c r="AH227" i="17" s="1"/>
  <c r="AH154" i="17"/>
  <c r="AH40" i="17"/>
  <c r="AH65" i="17"/>
  <c r="AH72" i="17"/>
  <c r="AH74" i="17"/>
  <c r="AH197" i="17"/>
  <c r="AH118" i="17"/>
  <c r="AH125" i="17"/>
  <c r="AG212" i="37"/>
  <c r="J454" i="24"/>
  <c r="H455" i="24"/>
  <c r="O454" i="24"/>
  <c r="U438" i="24"/>
  <c r="AE147" i="17" s="1"/>
  <c r="AJ147" i="17" s="1"/>
  <c r="W636" i="24"/>
  <c r="P637" i="24" s="1"/>
  <c r="Q637" i="24" s="1"/>
  <c r="U455" i="24"/>
  <c r="AD148" i="17" s="1"/>
  <c r="R456" i="24"/>
  <c r="R457" i="24" s="1"/>
  <c r="U457" i="24" s="1"/>
  <c r="W454" i="24"/>
  <c r="P455" i="24" s="1"/>
  <c r="Q455" i="24" s="1"/>
  <c r="M437" i="24"/>
  <c r="N437" i="24" s="1"/>
  <c r="U417" i="24"/>
  <c r="AB146" i="17" s="1"/>
  <c r="R418" i="24"/>
  <c r="M418" i="24"/>
  <c r="N418" i="24" s="1"/>
  <c r="M384" i="24"/>
  <c r="N384" i="24" s="1"/>
  <c r="O366" i="24"/>
  <c r="H367" i="24"/>
  <c r="J366" i="24"/>
  <c r="M350" i="24"/>
  <c r="N350" i="24" s="1"/>
  <c r="O332" i="24"/>
  <c r="H333" i="24"/>
  <c r="J332" i="24"/>
  <c r="W246" i="24"/>
  <c r="P247" i="24" s="1"/>
  <c r="Q247" i="24" s="1"/>
  <c r="N316" i="24"/>
  <c r="J616" i="24"/>
  <c r="H617" i="24"/>
  <c r="M617" i="24" s="1"/>
  <c r="N617" i="24" s="1"/>
  <c r="H618" i="24" s="1"/>
  <c r="O616" i="24"/>
  <c r="R616" i="24"/>
  <c r="H581" i="24"/>
  <c r="M581" i="24" s="1"/>
  <c r="N581" i="24" s="1"/>
  <c r="J580" i="24"/>
  <c r="O580" i="24"/>
  <c r="R580" i="24"/>
  <c r="U637" i="24"/>
  <c r="AC145" i="17" s="1"/>
  <c r="R638" i="24"/>
  <c r="H638" i="24"/>
  <c r="M638" i="24" s="1"/>
  <c r="N638" i="24" s="1"/>
  <c r="J637" i="24"/>
  <c r="O637" i="24"/>
  <c r="U148" i="24"/>
  <c r="R149" i="24"/>
  <c r="U149" i="24" s="1"/>
  <c r="O149" i="24"/>
  <c r="H150" i="24"/>
  <c r="J149" i="24"/>
  <c r="U147" i="24"/>
  <c r="U399" i="24"/>
  <c r="R400" i="24"/>
  <c r="H401" i="24"/>
  <c r="M401" i="24" s="1"/>
  <c r="N401" i="24" s="1"/>
  <c r="J400" i="24"/>
  <c r="O400" i="24"/>
  <c r="H249" i="24"/>
  <c r="M249" i="24" s="1"/>
  <c r="N249" i="24" s="1"/>
  <c r="J248" i="24"/>
  <c r="O248" i="24"/>
  <c r="U247" i="24"/>
  <c r="AB86" i="17" s="1"/>
  <c r="R248" i="24"/>
  <c r="J228" i="24"/>
  <c r="O228" i="24"/>
  <c r="H229" i="24"/>
  <c r="U227" i="24"/>
  <c r="R228" i="24"/>
  <c r="J207" i="24"/>
  <c r="O207" i="24"/>
  <c r="H208" i="24"/>
  <c r="U51" i="24"/>
  <c r="R52" i="24"/>
  <c r="U52" i="24" s="1"/>
  <c r="H512" i="24"/>
  <c r="M512" i="24" s="1"/>
  <c r="N512" i="24" s="1"/>
  <c r="U72" i="24"/>
  <c r="R73" i="24"/>
  <c r="M73" i="24"/>
  <c r="N73" i="24" s="1"/>
  <c r="H92" i="24"/>
  <c r="J91" i="24"/>
  <c r="O91" i="24"/>
  <c r="J129" i="24"/>
  <c r="O129" i="24"/>
  <c r="H130" i="24"/>
  <c r="M130" i="24" s="1"/>
  <c r="N130" i="24" s="1"/>
  <c r="O170" i="24"/>
  <c r="J170" i="24"/>
  <c r="H171" i="24"/>
  <c r="M171" i="24" s="1"/>
  <c r="N171" i="24" s="1"/>
  <c r="J511" i="24"/>
  <c r="U71" i="24"/>
  <c r="U599" i="24"/>
  <c r="U600" i="24"/>
  <c r="AD207" i="17" s="1"/>
  <c r="R601" i="24"/>
  <c r="H600" i="24"/>
  <c r="O599" i="24"/>
  <c r="J599" i="24"/>
  <c r="W562" i="24"/>
  <c r="P563" i="24" s="1"/>
  <c r="Q563" i="24" s="1"/>
  <c r="U563" i="24"/>
  <c r="AC192" i="17" s="1"/>
  <c r="R564" i="24"/>
  <c r="M563" i="24"/>
  <c r="N563" i="24" s="1"/>
  <c r="H546" i="24"/>
  <c r="J545" i="24"/>
  <c r="O545" i="24"/>
  <c r="U545" i="24"/>
  <c r="AB186" i="17" s="1"/>
  <c r="R546" i="24"/>
  <c r="W544" i="24"/>
  <c r="P545" i="24" s="1"/>
  <c r="Q545" i="24" s="1"/>
  <c r="H529" i="24"/>
  <c r="O528" i="24"/>
  <c r="J528" i="24"/>
  <c r="U528" i="24"/>
  <c r="AB177" i="17" s="1"/>
  <c r="R529" i="24"/>
  <c r="W527" i="24"/>
  <c r="P528" i="24" s="1"/>
  <c r="Q528" i="24" s="1"/>
  <c r="U511" i="24"/>
  <c r="AB175" i="17" s="1"/>
  <c r="R512" i="24"/>
  <c r="M490" i="24"/>
  <c r="N490" i="24" s="1"/>
  <c r="U491" i="24"/>
  <c r="R492" i="24"/>
  <c r="M471" i="24"/>
  <c r="N471" i="24" s="1"/>
  <c r="H472" i="24" s="1"/>
  <c r="U470" i="24"/>
  <c r="O296" i="24"/>
  <c r="J296" i="24"/>
  <c r="H297" i="24"/>
  <c r="M297" i="24" s="1"/>
  <c r="R296" i="24"/>
  <c r="U280" i="24"/>
  <c r="Z93" i="17" s="1"/>
  <c r="R281" i="24"/>
  <c r="M280" i="24"/>
  <c r="N280" i="24" s="1"/>
  <c r="W279" i="24"/>
  <c r="P280" i="24" s="1"/>
  <c r="Q280" i="24" s="1"/>
  <c r="U262" i="24"/>
  <c r="R263" i="24"/>
  <c r="H263" i="24"/>
  <c r="M263" i="24" s="1"/>
  <c r="N263" i="24" s="1"/>
  <c r="O263" i="24" s="1"/>
  <c r="O262" i="24"/>
  <c r="J262" i="24"/>
  <c r="U9" i="24"/>
  <c r="O206" i="24"/>
  <c r="J206" i="24"/>
  <c r="R206" i="24"/>
  <c r="R207" i="24" s="1"/>
  <c r="U207" i="24" s="1"/>
  <c r="R187" i="24"/>
  <c r="R188" i="24" s="1"/>
  <c r="O187" i="24"/>
  <c r="J187" i="24"/>
  <c r="O169" i="24"/>
  <c r="J169" i="24"/>
  <c r="R169" i="24"/>
  <c r="R170" i="24" s="1"/>
  <c r="O128" i="24"/>
  <c r="J128" i="24"/>
  <c r="R128" i="24"/>
  <c r="R129" i="24" s="1"/>
  <c r="O90" i="24"/>
  <c r="J90" i="24"/>
  <c r="R90" i="24"/>
  <c r="R91" i="24" s="1"/>
  <c r="AJ151" i="17" l="1"/>
  <c r="W147" i="24"/>
  <c r="P148" i="24" s="1"/>
  <c r="Q148" i="24" s="1"/>
  <c r="W399" i="24"/>
  <c r="P400" i="24" s="1"/>
  <c r="Q400" i="24" s="1"/>
  <c r="Z42" i="17"/>
  <c r="W227" i="24"/>
  <c r="P228" i="24" s="1"/>
  <c r="Q228" i="24" s="1"/>
  <c r="Z61" i="17"/>
  <c r="U601" i="24"/>
  <c r="AE207" i="17" s="1"/>
  <c r="R602" i="24"/>
  <c r="U602" i="24" s="1"/>
  <c r="W599" i="24"/>
  <c r="P600" i="24" s="1"/>
  <c r="Q600" i="24" s="1"/>
  <c r="W600" i="24" s="1"/>
  <c r="P601" i="24" s="1"/>
  <c r="Q601" i="24" s="1"/>
  <c r="AC207" i="17"/>
  <c r="W491" i="24"/>
  <c r="P492" i="24" s="1"/>
  <c r="Q492" i="24" s="1"/>
  <c r="AB159" i="17"/>
  <c r="AF148" i="17"/>
  <c r="W262" i="24"/>
  <c r="P263" i="24" s="1"/>
  <c r="Q263" i="24" s="1"/>
  <c r="W71" i="24"/>
  <c r="P72" i="24" s="1"/>
  <c r="Q72" i="24" s="1"/>
  <c r="W72" i="24" s="1"/>
  <c r="P73" i="24" s="1"/>
  <c r="Q73" i="24" s="1"/>
  <c r="W51" i="24"/>
  <c r="P52" i="24" s="1"/>
  <c r="Q52" i="24" s="1"/>
  <c r="W52" i="24" s="1"/>
  <c r="P53" i="24" s="1"/>
  <c r="Q53" i="24" s="1"/>
  <c r="W438" i="24"/>
  <c r="P439" i="24" s="1"/>
  <c r="Q439" i="24" s="1"/>
  <c r="W439" i="24" s="1"/>
  <c r="U110" i="24"/>
  <c r="J188" i="24"/>
  <c r="O188" i="24"/>
  <c r="H189" i="24"/>
  <c r="M189" i="24" s="1"/>
  <c r="U109" i="24"/>
  <c r="Z44" i="17" s="1"/>
  <c r="M110" i="24"/>
  <c r="N110" i="24" s="1"/>
  <c r="AH206" i="17"/>
  <c r="W637" i="24"/>
  <c r="P638" i="24" s="1"/>
  <c r="Q638" i="24" s="1"/>
  <c r="AG214" i="37"/>
  <c r="U456" i="24"/>
  <c r="U444" i="24"/>
  <c r="W444" i="24" s="1"/>
  <c r="W455" i="24"/>
  <c r="P456" i="24" s="1"/>
  <c r="Q456" i="24" s="1"/>
  <c r="M455" i="24"/>
  <c r="N455" i="24" s="1"/>
  <c r="H438" i="24"/>
  <c r="J437" i="24"/>
  <c r="O437" i="24"/>
  <c r="H419" i="24"/>
  <c r="O418" i="24"/>
  <c r="J418" i="24"/>
  <c r="U418" i="24"/>
  <c r="AC146" i="17" s="1"/>
  <c r="R419" i="24"/>
  <c r="W417" i="24"/>
  <c r="P418" i="24" s="1"/>
  <c r="Q418" i="24" s="1"/>
  <c r="H385" i="24"/>
  <c r="J384" i="24"/>
  <c r="O384" i="24"/>
  <c r="M367" i="24"/>
  <c r="N367" i="24" s="1"/>
  <c r="H351" i="24"/>
  <c r="J350" i="24"/>
  <c r="O350" i="24"/>
  <c r="W247" i="24"/>
  <c r="P248" i="24" s="1"/>
  <c r="Q248" i="24" s="1"/>
  <c r="M333" i="24"/>
  <c r="N333" i="24" s="1"/>
  <c r="O316" i="24"/>
  <c r="H317" i="24"/>
  <c r="M317" i="24" s="1"/>
  <c r="J316" i="24"/>
  <c r="O617" i="24"/>
  <c r="J617" i="24"/>
  <c r="R617" i="24"/>
  <c r="U617" i="24" s="1"/>
  <c r="AD235" i="17" s="1"/>
  <c r="U616" i="24"/>
  <c r="U580" i="24"/>
  <c r="Z195" i="17" s="1"/>
  <c r="R581" i="24"/>
  <c r="O581" i="24"/>
  <c r="H582" i="24"/>
  <c r="M582" i="24" s="1"/>
  <c r="N582" i="24" s="1"/>
  <c r="J581" i="24"/>
  <c r="U638" i="24"/>
  <c r="AD145" i="17" s="1"/>
  <c r="R639" i="24"/>
  <c r="R640" i="24" s="1"/>
  <c r="U640" i="24" s="1"/>
  <c r="W148" i="24"/>
  <c r="P149" i="24" s="1"/>
  <c r="Q149" i="24" s="1"/>
  <c r="W149" i="24" s="1"/>
  <c r="P150" i="24" s="1"/>
  <c r="Q150" i="24" s="1"/>
  <c r="H639" i="24"/>
  <c r="J638" i="24"/>
  <c r="O638" i="24"/>
  <c r="J401" i="24"/>
  <c r="H402" i="24"/>
  <c r="M402" i="24" s="1"/>
  <c r="N402" i="24" s="1"/>
  <c r="O401" i="24"/>
  <c r="U400" i="24"/>
  <c r="R401" i="24"/>
  <c r="U248" i="24"/>
  <c r="AC86" i="17" s="1"/>
  <c r="R249" i="24"/>
  <c r="J249" i="24"/>
  <c r="O249" i="24"/>
  <c r="H250" i="24"/>
  <c r="M250" i="24" s="1"/>
  <c r="N250" i="24" s="1"/>
  <c r="H251" i="24" s="1"/>
  <c r="M251" i="24" s="1"/>
  <c r="N251" i="24" s="1"/>
  <c r="M229" i="24"/>
  <c r="N229" i="24" s="1"/>
  <c r="U228" i="24"/>
  <c r="AA61" i="17" s="1"/>
  <c r="R229" i="24"/>
  <c r="J73" i="24"/>
  <c r="O73" i="24"/>
  <c r="H74" i="24"/>
  <c r="M74" i="24" s="1"/>
  <c r="N74" i="24" s="1"/>
  <c r="U73" i="24"/>
  <c r="AA42" i="17" s="1"/>
  <c r="R74" i="24"/>
  <c r="U91" i="24"/>
  <c r="R92" i="24"/>
  <c r="M92" i="24"/>
  <c r="N92" i="24" s="1"/>
  <c r="U111" i="24"/>
  <c r="AA44" i="17" s="1"/>
  <c r="R112" i="24"/>
  <c r="U129" i="24"/>
  <c r="R130" i="24"/>
  <c r="J130" i="24"/>
  <c r="O130" i="24"/>
  <c r="H131" i="24"/>
  <c r="U170" i="24"/>
  <c r="R171" i="24"/>
  <c r="J171" i="24"/>
  <c r="O171" i="24"/>
  <c r="H172" i="24"/>
  <c r="M600" i="24"/>
  <c r="N600" i="24" s="1"/>
  <c r="H564" i="24"/>
  <c r="O563" i="24"/>
  <c r="J563" i="24"/>
  <c r="W563" i="24"/>
  <c r="P564" i="24" s="1"/>
  <c r="Q564" i="24" s="1"/>
  <c r="U564" i="24"/>
  <c r="AD192" i="17" s="1"/>
  <c r="R565" i="24"/>
  <c r="W545" i="24"/>
  <c r="P546" i="24" s="1"/>
  <c r="Q546" i="24" s="1"/>
  <c r="U546" i="24"/>
  <c r="AC186" i="17" s="1"/>
  <c r="R547" i="24"/>
  <c r="M546" i="24"/>
  <c r="N546" i="24" s="1"/>
  <c r="W528" i="24"/>
  <c r="P529" i="24" s="1"/>
  <c r="Q529" i="24" s="1"/>
  <c r="U529" i="24"/>
  <c r="AC177" i="17" s="1"/>
  <c r="R530" i="24"/>
  <c r="M529" i="24"/>
  <c r="N529" i="24" s="1"/>
  <c r="O512" i="24"/>
  <c r="H513" i="24"/>
  <c r="J512" i="24"/>
  <c r="U512" i="24"/>
  <c r="AC175" i="17" s="1"/>
  <c r="R513" i="24"/>
  <c r="W511" i="24"/>
  <c r="P512" i="24" s="1"/>
  <c r="Q512" i="24" s="1"/>
  <c r="O490" i="24"/>
  <c r="H491" i="24"/>
  <c r="J490" i="24"/>
  <c r="U492" i="24"/>
  <c r="R493" i="24"/>
  <c r="O471" i="24"/>
  <c r="J471" i="24"/>
  <c r="U471" i="24"/>
  <c r="Z150" i="17" s="1"/>
  <c r="R472" i="24"/>
  <c r="W470" i="24"/>
  <c r="P471" i="24" s="1"/>
  <c r="Q471" i="24" s="1"/>
  <c r="W280" i="24"/>
  <c r="P281" i="24" s="1"/>
  <c r="Q281" i="24" s="1"/>
  <c r="N297" i="24"/>
  <c r="U296" i="24"/>
  <c r="R297" i="24"/>
  <c r="O280" i="24"/>
  <c r="H281" i="24"/>
  <c r="J280" i="24"/>
  <c r="U281" i="24"/>
  <c r="AA93" i="17" s="1"/>
  <c r="R282" i="24"/>
  <c r="H264" i="24"/>
  <c r="M264" i="24" s="1"/>
  <c r="N264" i="24" s="1"/>
  <c r="J263" i="24"/>
  <c r="R264" i="24"/>
  <c r="U263" i="24"/>
  <c r="Z91" i="17" s="1"/>
  <c r="W9" i="24"/>
  <c r="K10" i="24" s="1"/>
  <c r="U206" i="24"/>
  <c r="U188" i="24"/>
  <c r="R189" i="24"/>
  <c r="U187" i="24"/>
  <c r="U169" i="24"/>
  <c r="U128" i="24"/>
  <c r="U90" i="24"/>
  <c r="W400" i="24" l="1"/>
  <c r="P401" i="24" s="1"/>
  <c r="Q401" i="24" s="1"/>
  <c r="AJ207" i="17"/>
  <c r="Z59" i="17"/>
  <c r="Z43" i="17"/>
  <c r="Z50" i="17"/>
  <c r="Z48" i="17"/>
  <c r="Z117" i="17"/>
  <c r="W601" i="24"/>
  <c r="P602" i="24" s="1"/>
  <c r="Q602" i="24" s="1"/>
  <c r="W602" i="24" s="1"/>
  <c r="W263" i="24"/>
  <c r="P264" i="24" s="1"/>
  <c r="Q264" i="24" s="1"/>
  <c r="AG297" i="37"/>
  <c r="U606" i="24"/>
  <c r="W606" i="24" s="1"/>
  <c r="AF145" i="17"/>
  <c r="W616" i="24"/>
  <c r="P617" i="24" s="1"/>
  <c r="Q617" i="24" s="1"/>
  <c r="W617" i="24" s="1"/>
  <c r="P618" i="24" s="1"/>
  <c r="Q618" i="24" s="1"/>
  <c r="AC235" i="17"/>
  <c r="AF207" i="17"/>
  <c r="AG207" i="17" s="1"/>
  <c r="U565" i="24"/>
  <c r="AE192" i="17" s="1"/>
  <c r="AJ192" i="17" s="1"/>
  <c r="R566" i="24"/>
  <c r="U566" i="24" s="1"/>
  <c r="W492" i="24"/>
  <c r="P493" i="24" s="1"/>
  <c r="Q493" i="24" s="1"/>
  <c r="AC159" i="17"/>
  <c r="U462" i="24"/>
  <c r="W462" i="24" s="1"/>
  <c r="AE148" i="17"/>
  <c r="AJ148" i="17" s="1"/>
  <c r="W228" i="24"/>
  <c r="P229" i="24" s="1"/>
  <c r="Q229" i="24" s="1"/>
  <c r="J251" i="24"/>
  <c r="O251" i="24"/>
  <c r="N189" i="24"/>
  <c r="O189" i="24" s="1"/>
  <c r="O110" i="24"/>
  <c r="H111" i="24"/>
  <c r="M111" i="24" s="1"/>
  <c r="N111" i="24" s="1"/>
  <c r="J110" i="24"/>
  <c r="W187" i="24"/>
  <c r="P188" i="24" s="1"/>
  <c r="Q188" i="24" s="1"/>
  <c r="W188" i="24" s="1"/>
  <c r="P189" i="24" s="1"/>
  <c r="Q189" i="24" s="1"/>
  <c r="W109" i="24"/>
  <c r="P110" i="24" s="1"/>
  <c r="Q110" i="24" s="1"/>
  <c r="W110" i="24" s="1"/>
  <c r="P111" i="24" s="1"/>
  <c r="Q111" i="24" s="1"/>
  <c r="W111" i="24" s="1"/>
  <c r="P112" i="24" s="1"/>
  <c r="Q112" i="24" s="1"/>
  <c r="W638" i="24"/>
  <c r="P639" i="24" s="1"/>
  <c r="Q639" i="24" s="1"/>
  <c r="AG208" i="37"/>
  <c r="AH212" i="37"/>
  <c r="AI212" i="37" s="1"/>
  <c r="W456" i="24"/>
  <c r="P457" i="24" s="1"/>
  <c r="Q457" i="24" s="1"/>
  <c r="W457" i="24" s="1"/>
  <c r="AD438" i="24"/>
  <c r="AD439" i="24" s="1"/>
  <c r="AD440" i="24" s="1"/>
  <c r="H456" i="24"/>
  <c r="J455" i="24"/>
  <c r="O455" i="24"/>
  <c r="M438" i="24"/>
  <c r="N438" i="24" s="1"/>
  <c r="H439" i="24" s="1"/>
  <c r="M439" i="24" s="1"/>
  <c r="N439" i="24" s="1"/>
  <c r="W418" i="24"/>
  <c r="P419" i="24" s="1"/>
  <c r="Q419" i="24" s="1"/>
  <c r="R420" i="24"/>
  <c r="R421" i="24" s="1"/>
  <c r="U421" i="24" s="1"/>
  <c r="U419" i="24"/>
  <c r="AD146" i="17" s="1"/>
  <c r="M419" i="24"/>
  <c r="N419" i="24" s="1"/>
  <c r="M385" i="24"/>
  <c r="N385" i="24" s="1"/>
  <c r="H368" i="24"/>
  <c r="J367" i="24"/>
  <c r="O367" i="24"/>
  <c r="W248" i="24"/>
  <c r="P249" i="24" s="1"/>
  <c r="Q249" i="24" s="1"/>
  <c r="M351" i="24"/>
  <c r="N351" i="24" s="1"/>
  <c r="H334" i="24"/>
  <c r="J333" i="24"/>
  <c r="O333" i="24"/>
  <c r="N317" i="24"/>
  <c r="J582" i="24"/>
  <c r="H583" i="24"/>
  <c r="M583" i="24" s="1"/>
  <c r="N583" i="24" s="1"/>
  <c r="O582" i="24"/>
  <c r="U581" i="24"/>
  <c r="AA195" i="17" s="1"/>
  <c r="R582" i="24"/>
  <c r="R583" i="24" s="1"/>
  <c r="W580" i="24"/>
  <c r="P581" i="24" s="1"/>
  <c r="Q581" i="24" s="1"/>
  <c r="M639" i="24"/>
  <c r="N639" i="24" s="1"/>
  <c r="H640" i="24" s="1"/>
  <c r="M640" i="24" s="1"/>
  <c r="N640" i="24" s="1"/>
  <c r="U639" i="24"/>
  <c r="AE145" i="17" s="1"/>
  <c r="AJ145" i="17" s="1"/>
  <c r="K150" i="24"/>
  <c r="L150" i="24" s="1"/>
  <c r="K53" i="24"/>
  <c r="L53" i="24" s="1"/>
  <c r="H403" i="24"/>
  <c r="M403" i="24" s="1"/>
  <c r="N403" i="24" s="1"/>
  <c r="O402" i="24"/>
  <c r="J402" i="24"/>
  <c r="R402" i="24"/>
  <c r="U401" i="24"/>
  <c r="U249" i="24"/>
  <c r="AD86" i="17" s="1"/>
  <c r="R250" i="24"/>
  <c r="J250" i="24"/>
  <c r="O250" i="24"/>
  <c r="R230" i="24"/>
  <c r="U229" i="24"/>
  <c r="AB61" i="17" s="1"/>
  <c r="O229" i="24"/>
  <c r="J229" i="24"/>
  <c r="H230" i="24"/>
  <c r="M230" i="24" s="1"/>
  <c r="N230" i="24" s="1"/>
  <c r="W73" i="24"/>
  <c r="P74" i="24" s="1"/>
  <c r="Q74" i="24" s="1"/>
  <c r="O74" i="24"/>
  <c r="H75" i="24"/>
  <c r="M75" i="24" s="1"/>
  <c r="N75" i="24" s="1"/>
  <c r="J74" i="24"/>
  <c r="R75" i="24"/>
  <c r="U74" i="24"/>
  <c r="AB42" i="17" s="1"/>
  <c r="J92" i="24"/>
  <c r="O92" i="24"/>
  <c r="H93" i="24"/>
  <c r="U92" i="24"/>
  <c r="AA43" i="17" s="1"/>
  <c r="R93" i="24"/>
  <c r="R113" i="24"/>
  <c r="U112" i="24"/>
  <c r="AB44" i="17" s="1"/>
  <c r="R131" i="24"/>
  <c r="U130" i="24"/>
  <c r="AA48" i="17" s="1"/>
  <c r="M131" i="24"/>
  <c r="N131" i="24" s="1"/>
  <c r="U171" i="24"/>
  <c r="AA50" i="17" s="1"/>
  <c r="R172" i="24"/>
  <c r="M172" i="24"/>
  <c r="N172" i="24" s="1"/>
  <c r="H173" i="24" s="1"/>
  <c r="M173" i="24" s="1"/>
  <c r="N173" i="24" s="1"/>
  <c r="AD600" i="24"/>
  <c r="AD601" i="24" s="1"/>
  <c r="AD602" i="24" s="1"/>
  <c r="O600" i="24"/>
  <c r="H601" i="24"/>
  <c r="J600" i="24"/>
  <c r="W564" i="24"/>
  <c r="P565" i="24" s="1"/>
  <c r="Q565" i="24" s="1"/>
  <c r="W546" i="24"/>
  <c r="P547" i="24" s="1"/>
  <c r="Q547" i="24" s="1"/>
  <c r="M564" i="24"/>
  <c r="N564" i="24" s="1"/>
  <c r="J546" i="24"/>
  <c r="O546" i="24"/>
  <c r="H547" i="24"/>
  <c r="U547" i="24"/>
  <c r="AD186" i="17" s="1"/>
  <c r="R548" i="24"/>
  <c r="W529" i="24"/>
  <c r="P530" i="24" s="1"/>
  <c r="Q530" i="24" s="1"/>
  <c r="U530" i="24"/>
  <c r="AD177" i="17" s="1"/>
  <c r="R531" i="24"/>
  <c r="O529" i="24"/>
  <c r="H530" i="24"/>
  <c r="J529" i="24"/>
  <c r="W512" i="24"/>
  <c r="P513" i="24" s="1"/>
  <c r="Q513" i="24" s="1"/>
  <c r="M513" i="24"/>
  <c r="N513" i="24" s="1"/>
  <c r="U513" i="24"/>
  <c r="AD175" i="17" s="1"/>
  <c r="R514" i="24"/>
  <c r="R515" i="24" s="1"/>
  <c r="U515" i="24" s="1"/>
  <c r="M491" i="24"/>
  <c r="N491" i="24" s="1"/>
  <c r="W281" i="24"/>
  <c r="P282" i="24" s="1"/>
  <c r="Q282" i="24" s="1"/>
  <c r="U493" i="24"/>
  <c r="R494" i="24"/>
  <c r="M472" i="24"/>
  <c r="N472" i="24" s="1"/>
  <c r="H473" i="24" s="1"/>
  <c r="W471" i="24"/>
  <c r="P472" i="24" s="1"/>
  <c r="Q472" i="24" s="1"/>
  <c r="U472" i="24"/>
  <c r="AA150" i="17" s="1"/>
  <c r="R473" i="24"/>
  <c r="O297" i="24"/>
  <c r="J297" i="24"/>
  <c r="H298" i="24"/>
  <c r="M298" i="24" s="1"/>
  <c r="W296" i="24"/>
  <c r="P297" i="24" s="1"/>
  <c r="Q297" i="24" s="1"/>
  <c r="U297" i="24"/>
  <c r="Z108" i="17" s="1"/>
  <c r="R298" i="24"/>
  <c r="U282" i="24"/>
  <c r="AB93" i="17" s="1"/>
  <c r="R283" i="24"/>
  <c r="M281" i="24"/>
  <c r="N281" i="24" s="1"/>
  <c r="U264" i="24"/>
  <c r="AA91" i="17" s="1"/>
  <c r="R265" i="24"/>
  <c r="O264" i="24"/>
  <c r="H265" i="24"/>
  <c r="J264" i="24"/>
  <c r="P10" i="24"/>
  <c r="Q10" i="24" s="1"/>
  <c r="L10" i="24"/>
  <c r="M10" i="24" s="1"/>
  <c r="W206" i="24"/>
  <c r="P207" i="24" s="1"/>
  <c r="Q207" i="24" s="1"/>
  <c r="W207" i="24" s="1"/>
  <c r="U189" i="24"/>
  <c r="AA59" i="17" s="1"/>
  <c r="R190" i="24"/>
  <c r="W169" i="24"/>
  <c r="P170" i="24" s="1"/>
  <c r="Q170" i="24" s="1"/>
  <c r="W170" i="24" s="1"/>
  <c r="P171" i="24" s="1"/>
  <c r="Q171" i="24" s="1"/>
  <c r="W128" i="24"/>
  <c r="P129" i="24" s="1"/>
  <c r="Q129" i="24" s="1"/>
  <c r="W129" i="24" s="1"/>
  <c r="P130" i="24" s="1"/>
  <c r="Q130" i="24" s="1"/>
  <c r="W90" i="24"/>
  <c r="P91" i="24" s="1"/>
  <c r="Q91" i="24" s="1"/>
  <c r="W91" i="24" s="1"/>
  <c r="P92" i="24" s="1"/>
  <c r="Q92" i="24" s="1"/>
  <c r="AH297" i="37" l="1"/>
  <c r="AI297" i="37" s="1"/>
  <c r="U570" i="24"/>
  <c r="W570" i="24" s="1"/>
  <c r="W92" i="24"/>
  <c r="P93" i="24" s="1"/>
  <c r="Q93" i="24" s="1"/>
  <c r="AG145" i="17"/>
  <c r="J189" i="24"/>
  <c r="W565" i="24"/>
  <c r="P566" i="24" s="1"/>
  <c r="Q566" i="24" s="1"/>
  <c r="W566" i="24" s="1"/>
  <c r="J640" i="24"/>
  <c r="O640" i="24"/>
  <c r="AD456" i="24"/>
  <c r="AD457" i="24" s="1"/>
  <c r="AD458" i="24" s="1"/>
  <c r="AH214" i="37"/>
  <c r="AI214" i="37" s="1"/>
  <c r="AG277" i="37"/>
  <c r="U531" i="24"/>
  <c r="AE177" i="17" s="1"/>
  <c r="AJ177" i="17" s="1"/>
  <c r="R532" i="24"/>
  <c r="U532" i="24" s="1"/>
  <c r="AF175" i="17"/>
  <c r="U494" i="24"/>
  <c r="AE159" i="17" s="1"/>
  <c r="R495" i="24"/>
  <c r="U495" i="24" s="1"/>
  <c r="U498" i="24" s="1"/>
  <c r="W498" i="24" s="1"/>
  <c r="U548" i="24"/>
  <c r="AE186" i="17" s="1"/>
  <c r="AJ186" i="17" s="1"/>
  <c r="R549" i="24"/>
  <c r="U549" i="24" s="1"/>
  <c r="AF192" i="17"/>
  <c r="AG192" i="17" s="1"/>
  <c r="W493" i="24"/>
  <c r="P494" i="24" s="1"/>
  <c r="Q494" i="24" s="1"/>
  <c r="W494" i="24" s="1"/>
  <c r="P495" i="24" s="1"/>
  <c r="Q495" i="24" s="1"/>
  <c r="AD159" i="17"/>
  <c r="J439" i="24"/>
  <c r="O439" i="24"/>
  <c r="AF146" i="17"/>
  <c r="W401" i="24"/>
  <c r="P402" i="24" s="1"/>
  <c r="Q402" i="24" s="1"/>
  <c r="AA117" i="17"/>
  <c r="U250" i="24"/>
  <c r="AE86" i="17" s="1"/>
  <c r="AJ86" i="17" s="1"/>
  <c r="R251" i="24"/>
  <c r="U251" i="24" s="1"/>
  <c r="AF86" i="17" s="1"/>
  <c r="W264" i="24"/>
  <c r="P265" i="24" s="1"/>
  <c r="Q265" i="24" s="1"/>
  <c r="W229" i="24"/>
  <c r="P230" i="24" s="1"/>
  <c r="Q230" i="24" s="1"/>
  <c r="H190" i="24"/>
  <c r="M190" i="24" s="1"/>
  <c r="N190" i="24" s="1"/>
  <c r="M53" i="24"/>
  <c r="N53" i="24" s="1"/>
  <c r="O111" i="24"/>
  <c r="H112" i="24"/>
  <c r="M112" i="24" s="1"/>
  <c r="N112" i="24" s="1"/>
  <c r="H113" i="24" s="1"/>
  <c r="J111" i="24"/>
  <c r="W639" i="24"/>
  <c r="AG231" i="37"/>
  <c r="AH277" i="37"/>
  <c r="AI277" i="37" s="1"/>
  <c r="AG210" i="37"/>
  <c r="K618" i="24"/>
  <c r="L618" i="24" s="1"/>
  <c r="M618" i="24" s="1"/>
  <c r="N618" i="24" s="1"/>
  <c r="M456" i="24"/>
  <c r="N456" i="24" s="1"/>
  <c r="H457" i="24" s="1"/>
  <c r="M457" i="24" s="1"/>
  <c r="N457" i="24" s="1"/>
  <c r="O438" i="24"/>
  <c r="J438" i="24"/>
  <c r="W249" i="24"/>
  <c r="P250" i="24" s="1"/>
  <c r="Q250" i="24" s="1"/>
  <c r="U420" i="24"/>
  <c r="AE146" i="17" s="1"/>
  <c r="AJ146" i="17" s="1"/>
  <c r="W419" i="24"/>
  <c r="P420" i="24" s="1"/>
  <c r="Q420" i="24" s="1"/>
  <c r="H420" i="24"/>
  <c r="O419" i="24"/>
  <c r="J419" i="24"/>
  <c r="H386" i="24"/>
  <c r="J385" i="24"/>
  <c r="O385" i="24"/>
  <c r="M368" i="24"/>
  <c r="N368" i="24" s="1"/>
  <c r="H352" i="24"/>
  <c r="O351" i="24"/>
  <c r="J351" i="24"/>
  <c r="M334" i="24"/>
  <c r="N334" i="24" s="1"/>
  <c r="O317" i="24"/>
  <c r="H318" i="24"/>
  <c r="J317" i="24"/>
  <c r="O583" i="24"/>
  <c r="J583" i="24"/>
  <c r="H584" i="24"/>
  <c r="M584" i="24" s="1"/>
  <c r="N584" i="24" s="1"/>
  <c r="W112" i="24"/>
  <c r="P113" i="24" s="1"/>
  <c r="Q113" i="24" s="1"/>
  <c r="U583" i="24"/>
  <c r="AC195" i="17" s="1"/>
  <c r="R584" i="24"/>
  <c r="W581" i="24"/>
  <c r="P582" i="24" s="1"/>
  <c r="Q582" i="24" s="1"/>
  <c r="U582" i="24"/>
  <c r="AB195" i="17" s="1"/>
  <c r="J639" i="24"/>
  <c r="O639" i="24"/>
  <c r="M150" i="24"/>
  <c r="N150" i="24" s="1"/>
  <c r="R150" i="24" s="1"/>
  <c r="U402" i="24"/>
  <c r="R403" i="24"/>
  <c r="H404" i="24"/>
  <c r="M404" i="24" s="1"/>
  <c r="N404" i="24" s="1"/>
  <c r="J403" i="24"/>
  <c r="O403" i="24"/>
  <c r="H231" i="24"/>
  <c r="O230" i="24"/>
  <c r="J230" i="24"/>
  <c r="U230" i="24"/>
  <c r="AC61" i="17" s="1"/>
  <c r="R231" i="24"/>
  <c r="P208" i="24"/>
  <c r="Q208" i="24" s="1"/>
  <c r="K208" i="24"/>
  <c r="L208" i="24" s="1"/>
  <c r="H174" i="24"/>
  <c r="M174" i="24" s="1"/>
  <c r="N174" i="24" s="1"/>
  <c r="J173" i="24"/>
  <c r="O173" i="24"/>
  <c r="U172" i="24"/>
  <c r="AB50" i="17" s="1"/>
  <c r="R173" i="24"/>
  <c r="W74" i="24"/>
  <c r="P75" i="24" s="1"/>
  <c r="Q75" i="24" s="1"/>
  <c r="U75" i="24"/>
  <c r="AC42" i="17" s="1"/>
  <c r="R76" i="24"/>
  <c r="H76" i="24"/>
  <c r="M76" i="24" s="1"/>
  <c r="N76" i="24" s="1"/>
  <c r="O75" i="24"/>
  <c r="J75" i="24"/>
  <c r="M93" i="24"/>
  <c r="N93" i="24" s="1"/>
  <c r="R94" i="24"/>
  <c r="U93" i="24"/>
  <c r="AB43" i="17" s="1"/>
  <c r="U113" i="24"/>
  <c r="AC44" i="17" s="1"/>
  <c r="R114" i="24"/>
  <c r="H132" i="24"/>
  <c r="M132" i="24" s="1"/>
  <c r="N132" i="24" s="1"/>
  <c r="J131" i="24"/>
  <c r="O131" i="24"/>
  <c r="W171" i="24"/>
  <c r="P172" i="24" s="1"/>
  <c r="Q172" i="24" s="1"/>
  <c r="W130" i="24"/>
  <c r="P131" i="24" s="1"/>
  <c r="Q131" i="24" s="1"/>
  <c r="R132" i="24"/>
  <c r="U131" i="24"/>
  <c r="AB48" i="17" s="1"/>
  <c r="O172" i="24"/>
  <c r="J172" i="24"/>
  <c r="W547" i="24"/>
  <c r="P548" i="24" s="1"/>
  <c r="Q548" i="24" s="1"/>
  <c r="AD564" i="24"/>
  <c r="AD565" i="24" s="1"/>
  <c r="AD566" i="24" s="1"/>
  <c r="M601" i="24"/>
  <c r="N601" i="24" s="1"/>
  <c r="H602" i="24" s="1"/>
  <c r="M602" i="24" s="1"/>
  <c r="N602" i="24" s="1"/>
  <c r="O564" i="24"/>
  <c r="H565" i="24"/>
  <c r="J564" i="24"/>
  <c r="W530" i="24"/>
  <c r="P531" i="24" s="1"/>
  <c r="Q531" i="24" s="1"/>
  <c r="M547" i="24"/>
  <c r="N547" i="24" s="1"/>
  <c r="M530" i="24"/>
  <c r="N530" i="24" s="1"/>
  <c r="W513" i="24"/>
  <c r="P514" i="24" s="1"/>
  <c r="Q514" i="24" s="1"/>
  <c r="O513" i="24"/>
  <c r="H514" i="24"/>
  <c r="J513" i="24"/>
  <c r="U514" i="24"/>
  <c r="AE175" i="17" s="1"/>
  <c r="AJ175" i="17" s="1"/>
  <c r="W282" i="24"/>
  <c r="P283" i="24" s="1"/>
  <c r="Q283" i="24" s="1"/>
  <c r="H492" i="24"/>
  <c r="J491" i="24"/>
  <c r="O491" i="24"/>
  <c r="W297" i="24"/>
  <c r="P298" i="24" s="1"/>
  <c r="Q298" i="24" s="1"/>
  <c r="W472" i="24"/>
  <c r="P473" i="24" s="1"/>
  <c r="Q473" i="24" s="1"/>
  <c r="U473" i="24"/>
  <c r="AB150" i="17" s="1"/>
  <c r="R474" i="24"/>
  <c r="O472" i="24"/>
  <c r="J472" i="24"/>
  <c r="U298" i="24"/>
  <c r="AA108" i="17" s="1"/>
  <c r="R299" i="24"/>
  <c r="N298" i="24"/>
  <c r="O281" i="24"/>
  <c r="H282" i="24"/>
  <c r="J281" i="24"/>
  <c r="U283" i="24"/>
  <c r="AC93" i="17" s="1"/>
  <c r="R284" i="24"/>
  <c r="U265" i="24"/>
  <c r="AB91" i="17" s="1"/>
  <c r="R266" i="24"/>
  <c r="M265" i="24"/>
  <c r="N265" i="24" s="1"/>
  <c r="N10" i="24"/>
  <c r="R10" i="24" s="1"/>
  <c r="U10" i="24" s="1"/>
  <c r="Z21" i="17" s="1"/>
  <c r="W189" i="24"/>
  <c r="P190" i="24" s="1"/>
  <c r="Q190" i="24" s="1"/>
  <c r="R191" i="24"/>
  <c r="U190" i="24"/>
  <c r="AB59" i="17" s="1"/>
  <c r="AJ159" i="17" l="1"/>
  <c r="AG229" i="37"/>
  <c r="W531" i="24"/>
  <c r="P532" i="24" s="1"/>
  <c r="Q532" i="24" s="1"/>
  <c r="W532" i="24" s="1"/>
  <c r="U536" i="24"/>
  <c r="W536" i="24" s="1"/>
  <c r="W548" i="24"/>
  <c r="P549" i="24" s="1"/>
  <c r="Q549" i="24" s="1"/>
  <c r="W549" i="24" s="1"/>
  <c r="U553" i="24"/>
  <c r="W553" i="24" s="1"/>
  <c r="AG260" i="37"/>
  <c r="W250" i="24"/>
  <c r="P251" i="24" s="1"/>
  <c r="Q251" i="24" s="1"/>
  <c r="W251" i="24" s="1"/>
  <c r="AG122" i="37"/>
  <c r="AG146" i="17"/>
  <c r="AG281" i="37"/>
  <c r="P640" i="24"/>
  <c r="Q640" i="24" s="1"/>
  <c r="W640" i="24" s="1"/>
  <c r="J602" i="24"/>
  <c r="O602" i="24"/>
  <c r="J618" i="24"/>
  <c r="H619" i="24"/>
  <c r="M619" i="24" s="1"/>
  <c r="N619" i="24" s="1"/>
  <c r="AG175" i="17"/>
  <c r="AG270" i="37"/>
  <c r="AF186" i="17"/>
  <c r="W495" i="24"/>
  <c r="AF159" i="17"/>
  <c r="AG159" i="17" s="1"/>
  <c r="AF177" i="17"/>
  <c r="AG177" i="17" s="1"/>
  <c r="O457" i="24"/>
  <c r="J457" i="24"/>
  <c r="W402" i="24"/>
  <c r="P403" i="24" s="1"/>
  <c r="Q403" i="24" s="1"/>
  <c r="AB117" i="17"/>
  <c r="AG147" i="17"/>
  <c r="AH147" i="17" s="1"/>
  <c r="AG238" i="37"/>
  <c r="W230" i="24"/>
  <c r="P231" i="24" s="1"/>
  <c r="Q231" i="24" s="1"/>
  <c r="W265" i="24"/>
  <c r="P266" i="24" s="1"/>
  <c r="Q266" i="24" s="1"/>
  <c r="R53" i="24"/>
  <c r="O53" i="24"/>
  <c r="J53" i="24"/>
  <c r="H54" i="24"/>
  <c r="J112" i="24"/>
  <c r="O112" i="24"/>
  <c r="W10" i="24"/>
  <c r="P11" i="24" s="1"/>
  <c r="Q11" i="24" s="1"/>
  <c r="M113" i="24"/>
  <c r="N113" i="24" s="1"/>
  <c r="O618" i="24"/>
  <c r="AH231" i="37"/>
  <c r="AI231" i="37" s="1"/>
  <c r="AH229" i="37"/>
  <c r="AI229" i="37" s="1"/>
  <c r="AG257" i="37"/>
  <c r="R618" i="24"/>
  <c r="J456" i="24"/>
  <c r="O456" i="24"/>
  <c r="W420" i="24"/>
  <c r="P421" i="24" s="1"/>
  <c r="Q421" i="24" s="1"/>
  <c r="W421" i="24" s="1"/>
  <c r="M420" i="24"/>
  <c r="N420" i="24" s="1"/>
  <c r="H421" i="24" s="1"/>
  <c r="M421" i="24" s="1"/>
  <c r="N421" i="24" s="1"/>
  <c r="K386" i="24"/>
  <c r="L386" i="24" s="1"/>
  <c r="M386" i="24" s="1"/>
  <c r="N386" i="24" s="1"/>
  <c r="H369" i="24"/>
  <c r="O368" i="24"/>
  <c r="J368" i="24"/>
  <c r="K352" i="24"/>
  <c r="L352" i="24" s="1"/>
  <c r="M352" i="24" s="1"/>
  <c r="N352" i="24" s="1"/>
  <c r="J334" i="24"/>
  <c r="H335" i="24"/>
  <c r="O334" i="24"/>
  <c r="W172" i="24"/>
  <c r="P173" i="24" s="1"/>
  <c r="Q173" i="24" s="1"/>
  <c r="W113" i="24"/>
  <c r="P114" i="24" s="1"/>
  <c r="Q114" i="24" s="1"/>
  <c r="K318" i="24"/>
  <c r="L318" i="24" s="1"/>
  <c r="M318" i="24" s="1"/>
  <c r="O584" i="24"/>
  <c r="H585" i="24"/>
  <c r="M585" i="24" s="1"/>
  <c r="N585" i="24" s="1"/>
  <c r="H586" i="24" s="1"/>
  <c r="M586" i="24" s="1"/>
  <c r="N586" i="24" s="1"/>
  <c r="J584" i="24"/>
  <c r="U584" i="24"/>
  <c r="AD195" i="17" s="1"/>
  <c r="R585" i="24"/>
  <c r="R586" i="24" s="1"/>
  <c r="U586" i="24" s="1"/>
  <c r="W582" i="24"/>
  <c r="U642" i="24"/>
  <c r="W642" i="24" s="1"/>
  <c r="U150" i="24"/>
  <c r="R151" i="24"/>
  <c r="O150" i="24"/>
  <c r="H151" i="24"/>
  <c r="J150" i="24"/>
  <c r="R404" i="24"/>
  <c r="U403" i="24"/>
  <c r="J404" i="24"/>
  <c r="O404" i="24"/>
  <c r="H405" i="24"/>
  <c r="M405" i="24" s="1"/>
  <c r="N405" i="24" s="1"/>
  <c r="H406" i="24" s="1"/>
  <c r="M406" i="24" s="1"/>
  <c r="N406" i="24" s="1"/>
  <c r="R232" i="24"/>
  <c r="U231" i="24"/>
  <c r="AD61" i="17" s="1"/>
  <c r="M231" i="24"/>
  <c r="N231" i="24" s="1"/>
  <c r="M208" i="24"/>
  <c r="N208" i="24" s="1"/>
  <c r="U173" i="24"/>
  <c r="AC50" i="17" s="1"/>
  <c r="R174" i="24"/>
  <c r="J174" i="24"/>
  <c r="O174" i="24"/>
  <c r="H175" i="24"/>
  <c r="M175" i="24" s="1"/>
  <c r="N175" i="24" s="1"/>
  <c r="H176" i="24" s="1"/>
  <c r="M176" i="24" s="1"/>
  <c r="N176" i="24" s="1"/>
  <c r="W75" i="24"/>
  <c r="P76" i="24" s="1"/>
  <c r="Q76" i="24" s="1"/>
  <c r="J76" i="24"/>
  <c r="H77" i="24"/>
  <c r="O76" i="24"/>
  <c r="R77" i="24"/>
  <c r="U76" i="24"/>
  <c r="AD42" i="17" s="1"/>
  <c r="W93" i="24"/>
  <c r="P94" i="24" s="1"/>
  <c r="Q94" i="24" s="1"/>
  <c r="R95" i="24"/>
  <c r="U94" i="24"/>
  <c r="AC43" i="17" s="1"/>
  <c r="O93" i="24"/>
  <c r="J93" i="24"/>
  <c r="H94" i="24"/>
  <c r="M94" i="24" s="1"/>
  <c r="N94" i="24" s="1"/>
  <c r="R115" i="24"/>
  <c r="U114" i="24"/>
  <c r="AD44" i="17" s="1"/>
  <c r="W131" i="24"/>
  <c r="P132" i="24" s="1"/>
  <c r="Q132" i="24" s="1"/>
  <c r="U132" i="24"/>
  <c r="AC48" i="17" s="1"/>
  <c r="R133" i="24"/>
  <c r="H133" i="24"/>
  <c r="M133" i="24" s="1"/>
  <c r="N133" i="24" s="1"/>
  <c r="O132" i="24"/>
  <c r="J132" i="24"/>
  <c r="W283" i="24"/>
  <c r="P284" i="24" s="1"/>
  <c r="Q284" i="24" s="1"/>
  <c r="W190" i="24"/>
  <c r="P191" i="24" s="1"/>
  <c r="Q191" i="24" s="1"/>
  <c r="AD491" i="24"/>
  <c r="AD492" i="24" s="1"/>
  <c r="AD493" i="24" s="1"/>
  <c r="O601" i="24"/>
  <c r="J601" i="24"/>
  <c r="M565" i="24"/>
  <c r="N565" i="24" s="1"/>
  <c r="H566" i="24" s="1"/>
  <c r="M566" i="24" s="1"/>
  <c r="N566" i="24" s="1"/>
  <c r="O547" i="24"/>
  <c r="H548" i="24"/>
  <c r="J547" i="24"/>
  <c r="O530" i="24"/>
  <c r="H531" i="24"/>
  <c r="J530" i="24"/>
  <c r="W514" i="24"/>
  <c r="P515" i="24" s="1"/>
  <c r="Q515" i="24" s="1"/>
  <c r="W515" i="24" s="1"/>
  <c r="U519" i="24"/>
  <c r="W519" i="24" s="1"/>
  <c r="M514" i="24"/>
  <c r="N514" i="24" s="1"/>
  <c r="H515" i="24" s="1"/>
  <c r="M515" i="24" s="1"/>
  <c r="N515" i="24" s="1"/>
  <c r="W298" i="24"/>
  <c r="P299" i="24" s="1"/>
  <c r="Q299" i="24" s="1"/>
  <c r="M492" i="24"/>
  <c r="N492" i="24" s="1"/>
  <c r="W473" i="24"/>
  <c r="P474" i="24" s="1"/>
  <c r="Q474" i="24" s="1"/>
  <c r="M473" i="24"/>
  <c r="N473" i="24" s="1"/>
  <c r="H474" i="24" s="1"/>
  <c r="U474" i="24"/>
  <c r="AC150" i="17" s="1"/>
  <c r="R475" i="24"/>
  <c r="O298" i="24"/>
  <c r="H299" i="24"/>
  <c r="M299" i="24" s="1"/>
  <c r="J298" i="24"/>
  <c r="U299" i="24"/>
  <c r="AB108" i="17" s="1"/>
  <c r="R300" i="24"/>
  <c r="M282" i="24"/>
  <c r="N282" i="24" s="1"/>
  <c r="U284" i="24"/>
  <c r="AD93" i="17" s="1"/>
  <c r="R285" i="24"/>
  <c r="U266" i="24"/>
  <c r="R267" i="24"/>
  <c r="O265" i="24"/>
  <c r="H266" i="24"/>
  <c r="J265" i="24"/>
  <c r="U254" i="24"/>
  <c r="W254" i="24" s="1"/>
  <c r="H11" i="24"/>
  <c r="O10" i="24"/>
  <c r="J10" i="24"/>
  <c r="O190" i="24"/>
  <c r="H191" i="24"/>
  <c r="J190" i="24"/>
  <c r="R192" i="24"/>
  <c r="U191" i="24"/>
  <c r="AC59" i="17" s="1"/>
  <c r="AH260" i="37" l="1"/>
  <c r="AI260" i="37" s="1"/>
  <c r="AD530" i="24"/>
  <c r="AD531" i="24" s="1"/>
  <c r="AD532" i="24" s="1"/>
  <c r="AH270" i="37"/>
  <c r="AI270" i="37" s="1"/>
  <c r="AD547" i="24"/>
  <c r="AD548" i="24" s="1"/>
  <c r="AD549" i="24" s="1"/>
  <c r="W150" i="24"/>
  <c r="P151" i="24" s="1"/>
  <c r="Q151" i="24" s="1"/>
  <c r="AH281" i="37"/>
  <c r="AI281" i="37" s="1"/>
  <c r="O586" i="24"/>
  <c r="J586" i="24"/>
  <c r="AF195" i="17"/>
  <c r="U618" i="24"/>
  <c r="W618" i="24" s="1"/>
  <c r="P619" i="24" s="1"/>
  <c r="Q619" i="24" s="1"/>
  <c r="R619" i="24"/>
  <c r="U619" i="24" s="1"/>
  <c r="O619" i="24"/>
  <c r="J619" i="24"/>
  <c r="O566" i="24"/>
  <c r="J566" i="24"/>
  <c r="O515" i="24"/>
  <c r="J515" i="24"/>
  <c r="J406" i="24"/>
  <c r="O406" i="24"/>
  <c r="AC91" i="17"/>
  <c r="J421" i="24"/>
  <c r="O421" i="24"/>
  <c r="W403" i="24"/>
  <c r="P404" i="24" s="1"/>
  <c r="Q404" i="24" s="1"/>
  <c r="AC117" i="17"/>
  <c r="W76" i="24"/>
  <c r="P77" i="24" s="1"/>
  <c r="Q77" i="24" s="1"/>
  <c r="U232" i="24"/>
  <c r="AE61" i="17" s="1"/>
  <c r="AJ61" i="17" s="1"/>
  <c r="R233" i="24"/>
  <c r="U233" i="24" s="1"/>
  <c r="AF61" i="17" s="1"/>
  <c r="W266" i="24"/>
  <c r="P267" i="24" s="1"/>
  <c r="Q267" i="24" s="1"/>
  <c r="J176" i="24"/>
  <c r="O176" i="24"/>
  <c r="U285" i="24"/>
  <c r="AE93" i="17" s="1"/>
  <c r="AJ93" i="17" s="1"/>
  <c r="R286" i="24"/>
  <c r="U286" i="24" s="1"/>
  <c r="W231" i="24"/>
  <c r="P232" i="24" s="1"/>
  <c r="Q232" i="24" s="1"/>
  <c r="U77" i="24"/>
  <c r="AE42" i="17" s="1"/>
  <c r="AJ42" i="17" s="1"/>
  <c r="R78" i="24"/>
  <c r="M54" i="24"/>
  <c r="N54" i="24" s="1"/>
  <c r="U53" i="24"/>
  <c r="R54" i="24"/>
  <c r="U115" i="24"/>
  <c r="AE44" i="17" s="1"/>
  <c r="AJ44" i="17" s="1"/>
  <c r="J113" i="24"/>
  <c r="H114" i="24"/>
  <c r="O113" i="24"/>
  <c r="M191" i="24"/>
  <c r="N191" i="24" s="1"/>
  <c r="K11" i="24"/>
  <c r="L11" i="24" s="1"/>
  <c r="AH336" i="37"/>
  <c r="AI336" i="37" s="1"/>
  <c r="AH13" i="39"/>
  <c r="AI13" i="39" s="1"/>
  <c r="AG283" i="37"/>
  <c r="AH122" i="37"/>
  <c r="AI122" i="37" s="1"/>
  <c r="AH238" i="37"/>
  <c r="AI238" i="37" s="1"/>
  <c r="AH208" i="37"/>
  <c r="AI208" i="37" s="1"/>
  <c r="AH257" i="37"/>
  <c r="AI257" i="37" s="1"/>
  <c r="AG330" i="37"/>
  <c r="W114" i="24"/>
  <c r="P115" i="24" s="1"/>
  <c r="Q115" i="24" s="1"/>
  <c r="U426" i="24"/>
  <c r="W426" i="24" s="1"/>
  <c r="J420" i="24"/>
  <c r="O420" i="24"/>
  <c r="O386" i="24"/>
  <c r="H387" i="24"/>
  <c r="J386" i="24"/>
  <c r="R386" i="24"/>
  <c r="K369" i="24"/>
  <c r="L369" i="24" s="1"/>
  <c r="M369" i="24" s="1"/>
  <c r="N369" i="24" s="1"/>
  <c r="O352" i="24"/>
  <c r="H353" i="24"/>
  <c r="J352" i="24"/>
  <c r="R352" i="24"/>
  <c r="K335" i="24"/>
  <c r="L335" i="24" s="1"/>
  <c r="M335" i="24" s="1"/>
  <c r="N335" i="24" s="1"/>
  <c r="N318" i="24"/>
  <c r="P583" i="24"/>
  <c r="Q583" i="24" s="1"/>
  <c r="W583" i="24" s="1"/>
  <c r="P584" i="24" s="1"/>
  <c r="Q584" i="24" s="1"/>
  <c r="W584" i="24" s="1"/>
  <c r="P585" i="24" s="1"/>
  <c r="Q585" i="24" s="1"/>
  <c r="J585" i="24"/>
  <c r="O585" i="24"/>
  <c r="U585" i="24"/>
  <c r="AD635" i="24"/>
  <c r="AD636" i="24" s="1"/>
  <c r="AD637" i="24" s="1"/>
  <c r="R152" i="24"/>
  <c r="U151" i="24"/>
  <c r="W151" i="24" s="1"/>
  <c r="P152" i="24" s="1"/>
  <c r="Q152" i="24" s="1"/>
  <c r="M151" i="24"/>
  <c r="N151" i="24" s="1"/>
  <c r="O405" i="24"/>
  <c r="J405" i="24"/>
  <c r="R405" i="24"/>
  <c r="U404" i="24"/>
  <c r="J231" i="24"/>
  <c r="H232" i="24"/>
  <c r="M232" i="24" s="1"/>
  <c r="N232" i="24" s="1"/>
  <c r="H233" i="24" s="1"/>
  <c r="M233" i="24" s="1"/>
  <c r="N233" i="24" s="1"/>
  <c r="O231" i="24"/>
  <c r="J208" i="24"/>
  <c r="O208" i="24"/>
  <c r="H209" i="24"/>
  <c r="M209" i="24" s="1"/>
  <c r="N209" i="24" s="1"/>
  <c r="R208" i="24"/>
  <c r="R175" i="24"/>
  <c r="U174" i="24"/>
  <c r="AD50" i="17" s="1"/>
  <c r="O175" i="24"/>
  <c r="J175" i="24"/>
  <c r="W173" i="24"/>
  <c r="P174" i="24" s="1"/>
  <c r="Q174" i="24" s="1"/>
  <c r="W284" i="24"/>
  <c r="P285" i="24" s="1"/>
  <c r="Q285" i="24" s="1"/>
  <c r="W94" i="24"/>
  <c r="P95" i="24" s="1"/>
  <c r="Q95" i="24" s="1"/>
  <c r="W132" i="24"/>
  <c r="P133" i="24" s="1"/>
  <c r="Q133" i="24" s="1"/>
  <c r="M77" i="24"/>
  <c r="N77" i="24" s="1"/>
  <c r="H78" i="24" s="1"/>
  <c r="M78" i="24" s="1"/>
  <c r="N78" i="24" s="1"/>
  <c r="H95" i="24"/>
  <c r="M95" i="24" s="1"/>
  <c r="N95" i="24" s="1"/>
  <c r="O94" i="24"/>
  <c r="J94" i="24"/>
  <c r="R96" i="24"/>
  <c r="U95" i="24"/>
  <c r="AD43" i="17" s="1"/>
  <c r="U133" i="24"/>
  <c r="AD48" i="17" s="1"/>
  <c r="R134" i="24"/>
  <c r="J133" i="24"/>
  <c r="O133" i="24"/>
  <c r="H134" i="24"/>
  <c r="O565" i="24"/>
  <c r="J565" i="24"/>
  <c r="M548" i="24"/>
  <c r="N548" i="24" s="1"/>
  <c r="H549" i="24" s="1"/>
  <c r="M549" i="24" s="1"/>
  <c r="N549" i="24" s="1"/>
  <c r="AD513" i="24"/>
  <c r="AD514" i="24" s="1"/>
  <c r="AD515" i="24" s="1"/>
  <c r="W474" i="24"/>
  <c r="P475" i="24" s="1"/>
  <c r="Q475" i="24" s="1"/>
  <c r="M531" i="24"/>
  <c r="N531" i="24" s="1"/>
  <c r="H532" i="24" s="1"/>
  <c r="M532" i="24" s="1"/>
  <c r="N532" i="24" s="1"/>
  <c r="J514" i="24"/>
  <c r="O514" i="24"/>
  <c r="W299" i="24"/>
  <c r="P300" i="24" s="1"/>
  <c r="Q300" i="24" s="1"/>
  <c r="O492" i="24"/>
  <c r="H493" i="24"/>
  <c r="J492" i="24"/>
  <c r="J473" i="24"/>
  <c r="O473" i="24"/>
  <c r="U475" i="24"/>
  <c r="AD150" i="17" s="1"/>
  <c r="R476" i="24"/>
  <c r="N299" i="24"/>
  <c r="U300" i="24"/>
  <c r="AC108" i="17" s="1"/>
  <c r="H283" i="24"/>
  <c r="J282" i="24"/>
  <c r="O282" i="24"/>
  <c r="U267" i="24"/>
  <c r="AD91" i="17" s="1"/>
  <c r="R268" i="24"/>
  <c r="AD248" i="24"/>
  <c r="AD249" i="24" s="1"/>
  <c r="AD250" i="24" s="1"/>
  <c r="M266" i="24"/>
  <c r="N266" i="24" s="1"/>
  <c r="R193" i="24"/>
  <c r="U192" i="24"/>
  <c r="AD59" i="17" s="1"/>
  <c r="W191" i="24"/>
  <c r="P192" i="24" s="1"/>
  <c r="Q192" i="24" s="1"/>
  <c r="M28" i="24"/>
  <c r="N28" i="24" s="1"/>
  <c r="H29" i="24" s="1"/>
  <c r="Z49" i="17" l="1"/>
  <c r="W232" i="24"/>
  <c r="P233" i="24" s="1"/>
  <c r="Q233" i="24" s="1"/>
  <c r="W285" i="24"/>
  <c r="P286" i="24" s="1"/>
  <c r="Q286" i="24" s="1"/>
  <c r="W286" i="24" s="1"/>
  <c r="AG132" i="37"/>
  <c r="W619" i="24"/>
  <c r="AF235" i="17"/>
  <c r="U624" i="24"/>
  <c r="AE235" i="17"/>
  <c r="AJ235" i="17" s="1"/>
  <c r="W77" i="24"/>
  <c r="P78" i="24" s="1"/>
  <c r="Q78" i="24" s="1"/>
  <c r="U589" i="24"/>
  <c r="W589" i="24" s="1"/>
  <c r="AE195" i="17"/>
  <c r="AJ195" i="17" s="1"/>
  <c r="O532" i="24"/>
  <c r="J532" i="24"/>
  <c r="J549" i="24"/>
  <c r="O549" i="24"/>
  <c r="AG92" i="37"/>
  <c r="W404" i="24"/>
  <c r="P405" i="24" s="1"/>
  <c r="Q405" i="24" s="1"/>
  <c r="AD117" i="17"/>
  <c r="U288" i="24"/>
  <c r="AF93" i="17"/>
  <c r="AG93" i="17" s="1"/>
  <c r="AG148" i="17"/>
  <c r="AH148" i="17" s="1"/>
  <c r="U405" i="24"/>
  <c r="AE117" i="17" s="1"/>
  <c r="R406" i="24"/>
  <c r="U406" i="24" s="1"/>
  <c r="AG61" i="17"/>
  <c r="U476" i="24"/>
  <c r="AE150" i="17" s="1"/>
  <c r="AJ150" i="17" s="1"/>
  <c r="R477" i="24"/>
  <c r="U477" i="24" s="1"/>
  <c r="AG56" i="37"/>
  <c r="AG236" i="37"/>
  <c r="U134" i="24"/>
  <c r="AE48" i="17" s="1"/>
  <c r="AJ48" i="17" s="1"/>
  <c r="R135" i="24"/>
  <c r="U135" i="24" s="1"/>
  <c r="AF48" i="17" s="1"/>
  <c r="U175" i="24"/>
  <c r="AE50" i="17" s="1"/>
  <c r="AJ50" i="17" s="1"/>
  <c r="R176" i="24"/>
  <c r="U176" i="24" s="1"/>
  <c r="AF50" i="17" s="1"/>
  <c r="AG86" i="17"/>
  <c r="W233" i="24"/>
  <c r="U268" i="24"/>
  <c r="AE91" i="17" s="1"/>
  <c r="AJ91" i="17" s="1"/>
  <c r="R269" i="24"/>
  <c r="U269" i="24" s="1"/>
  <c r="AF91" i="17" s="1"/>
  <c r="O233" i="24"/>
  <c r="J233" i="24"/>
  <c r="AG60" i="37"/>
  <c r="U96" i="24"/>
  <c r="AE43" i="17" s="1"/>
  <c r="AJ43" i="17" s="1"/>
  <c r="R97" i="24"/>
  <c r="J78" i="24"/>
  <c r="O78" i="24"/>
  <c r="U78" i="24"/>
  <c r="AF42" i="17" s="1"/>
  <c r="AG42" i="17" s="1"/>
  <c r="W115" i="24"/>
  <c r="P116" i="24" s="1"/>
  <c r="Q116" i="24" s="1"/>
  <c r="W53" i="24"/>
  <c r="P54" i="24" s="1"/>
  <c r="Q54" i="24" s="1"/>
  <c r="H55" i="24"/>
  <c r="O54" i="24"/>
  <c r="J54" i="24"/>
  <c r="U54" i="24"/>
  <c r="W54" i="24" s="1"/>
  <c r="P55" i="24" s="1"/>
  <c r="Q55" i="24" s="1"/>
  <c r="R55" i="24"/>
  <c r="U193" i="24"/>
  <c r="AE59" i="17" s="1"/>
  <c r="AJ59" i="17" s="1"/>
  <c r="M114" i="24"/>
  <c r="N114" i="24" s="1"/>
  <c r="J191" i="24"/>
  <c r="O191" i="24"/>
  <c r="H192" i="24"/>
  <c r="M11" i="24"/>
  <c r="N11" i="24" s="1"/>
  <c r="AH283" i="37"/>
  <c r="AI283" i="37" s="1"/>
  <c r="AH210" i="37"/>
  <c r="AI210" i="37" s="1"/>
  <c r="AG129" i="37"/>
  <c r="AD420" i="24"/>
  <c r="AD421" i="24" s="1"/>
  <c r="AD422" i="24" s="1"/>
  <c r="AH146" i="17"/>
  <c r="U386" i="24"/>
  <c r="R387" i="24"/>
  <c r="R388" i="24" s="1"/>
  <c r="U388" i="24" s="1"/>
  <c r="M387" i="24"/>
  <c r="N387" i="24" s="1"/>
  <c r="H388" i="24" s="1"/>
  <c r="M388" i="24" s="1"/>
  <c r="N388" i="24" s="1"/>
  <c r="O369" i="24"/>
  <c r="H370" i="24"/>
  <c r="J369" i="24"/>
  <c r="R369" i="24"/>
  <c r="U352" i="24"/>
  <c r="R353" i="24"/>
  <c r="R354" i="24" s="1"/>
  <c r="U354" i="24" s="1"/>
  <c r="W585" i="24"/>
  <c r="P586" i="24" s="1"/>
  <c r="Q586" i="24" s="1"/>
  <c r="W586" i="24" s="1"/>
  <c r="M353" i="24"/>
  <c r="N353" i="24" s="1"/>
  <c r="H354" i="24" s="1"/>
  <c r="M354" i="24" s="1"/>
  <c r="N354" i="24" s="1"/>
  <c r="O335" i="24"/>
  <c r="H336" i="24"/>
  <c r="J335" i="24"/>
  <c r="R335" i="24"/>
  <c r="H319" i="24"/>
  <c r="M319" i="24" s="1"/>
  <c r="J318" i="24"/>
  <c r="O318" i="24"/>
  <c r="R318" i="24"/>
  <c r="AD582" i="24"/>
  <c r="AD583" i="24" s="1"/>
  <c r="H152" i="24"/>
  <c r="M152" i="24" s="1"/>
  <c r="N152" i="24" s="1"/>
  <c r="J151" i="24"/>
  <c r="O151" i="24"/>
  <c r="U152" i="24"/>
  <c r="AA49" i="17" s="1"/>
  <c r="R153" i="24"/>
  <c r="U179" i="24"/>
  <c r="W179" i="24" s="1"/>
  <c r="J232" i="24"/>
  <c r="O232" i="24"/>
  <c r="U208" i="24"/>
  <c r="Z60" i="17" s="1"/>
  <c r="R209" i="24"/>
  <c r="O209" i="24"/>
  <c r="H210" i="24"/>
  <c r="M210" i="24" s="1"/>
  <c r="N210" i="24" s="1"/>
  <c r="J209" i="24"/>
  <c r="W174" i="24"/>
  <c r="P175" i="24" s="1"/>
  <c r="Q175" i="24" s="1"/>
  <c r="W175" i="24" s="1"/>
  <c r="P176" i="24" s="1"/>
  <c r="Q176" i="24" s="1"/>
  <c r="J77" i="24"/>
  <c r="O77" i="24"/>
  <c r="W95" i="24"/>
  <c r="P96" i="24" s="1"/>
  <c r="Q96" i="24" s="1"/>
  <c r="J95" i="24"/>
  <c r="O95" i="24"/>
  <c r="H96" i="24"/>
  <c r="M96" i="24" s="1"/>
  <c r="N96" i="24" s="1"/>
  <c r="H97" i="24" s="1"/>
  <c r="M97" i="24" s="1"/>
  <c r="N97" i="24" s="1"/>
  <c r="W133" i="24"/>
  <c r="P134" i="24" s="1"/>
  <c r="Q134" i="24" s="1"/>
  <c r="M134" i="24"/>
  <c r="N134" i="24" s="1"/>
  <c r="H135" i="24" s="1"/>
  <c r="M135" i="24" s="1"/>
  <c r="N135" i="24" s="1"/>
  <c r="W475" i="24"/>
  <c r="P476" i="24" s="1"/>
  <c r="Q476" i="24" s="1"/>
  <c r="W300" i="24"/>
  <c r="P301" i="24" s="1"/>
  <c r="Q301" i="24" s="1"/>
  <c r="O548" i="24"/>
  <c r="J548" i="24"/>
  <c r="O531" i="24"/>
  <c r="J531" i="24"/>
  <c r="M493" i="24"/>
  <c r="N493" i="24" s="1"/>
  <c r="M474" i="24"/>
  <c r="N474" i="24" s="1"/>
  <c r="H475" i="24" s="1"/>
  <c r="H300" i="24"/>
  <c r="M300" i="24" s="1"/>
  <c r="J299" i="24"/>
  <c r="O299" i="24"/>
  <c r="W267" i="24"/>
  <c r="P268" i="24" s="1"/>
  <c r="Q268" i="24" s="1"/>
  <c r="M283" i="24"/>
  <c r="N283" i="24" s="1"/>
  <c r="H267" i="24"/>
  <c r="J266" i="24"/>
  <c r="O266" i="24"/>
  <c r="W192" i="24"/>
  <c r="P193" i="24" s="1"/>
  <c r="Q193" i="24" s="1"/>
  <c r="O28" i="24"/>
  <c r="J28" i="24"/>
  <c r="AJ117" i="17" l="1"/>
  <c r="AD282" i="24"/>
  <c r="AD283" i="24" s="1"/>
  <c r="W288" i="24"/>
  <c r="Z35" i="17"/>
  <c r="AG65" i="37"/>
  <c r="W268" i="24"/>
  <c r="U479" i="24"/>
  <c r="W479" i="24" s="1"/>
  <c r="AG70" i="37"/>
  <c r="W193" i="24"/>
  <c r="P194" i="24" s="1"/>
  <c r="Q194" i="24" s="1"/>
  <c r="AG217" i="37"/>
  <c r="AH132" i="37"/>
  <c r="AI132" i="37" s="1"/>
  <c r="W405" i="24"/>
  <c r="P406" i="24" s="1"/>
  <c r="Q406" i="24" s="1"/>
  <c r="W406" i="24" s="1"/>
  <c r="AG163" i="37"/>
  <c r="W476" i="24"/>
  <c r="P477" i="24" s="1"/>
  <c r="Q477" i="24" s="1"/>
  <c r="W477" i="24" s="1"/>
  <c r="W624" i="24"/>
  <c r="AD618" i="24"/>
  <c r="AD619" i="24" s="1"/>
  <c r="AH330" i="37"/>
  <c r="AI330" i="37" s="1"/>
  <c r="U139" i="24"/>
  <c r="W96" i="24"/>
  <c r="P97" i="24" s="1"/>
  <c r="Q97" i="24" s="1"/>
  <c r="AG235" i="17"/>
  <c r="AF113" i="17"/>
  <c r="W386" i="24"/>
  <c r="P387" i="24" s="1"/>
  <c r="Q387" i="24" s="1"/>
  <c r="AD113" i="17"/>
  <c r="W352" i="24"/>
  <c r="P353" i="24" s="1"/>
  <c r="Q353" i="24" s="1"/>
  <c r="AD111" i="17"/>
  <c r="AF150" i="17"/>
  <c r="AG91" i="17"/>
  <c r="AF111" i="17"/>
  <c r="J354" i="24"/>
  <c r="O354" i="24"/>
  <c r="J388" i="24"/>
  <c r="O388" i="24"/>
  <c r="AF117" i="17"/>
  <c r="U271" i="24"/>
  <c r="AH129" i="37" s="1"/>
  <c r="AI129" i="37" s="1"/>
  <c r="AG84" i="37"/>
  <c r="W176" i="24"/>
  <c r="O135" i="24"/>
  <c r="J135" i="24"/>
  <c r="W208" i="24"/>
  <c r="P209" i="24" s="1"/>
  <c r="Q209" i="24" s="1"/>
  <c r="W134" i="24"/>
  <c r="P135" i="24" s="1"/>
  <c r="Q135" i="24" s="1"/>
  <c r="W135" i="24" s="1"/>
  <c r="AG58" i="37"/>
  <c r="P269" i="24"/>
  <c r="Q269" i="24" s="1"/>
  <c r="W269" i="24" s="1"/>
  <c r="W152" i="24"/>
  <c r="P153" i="24" s="1"/>
  <c r="Q153" i="24" s="1"/>
  <c r="W78" i="24"/>
  <c r="U82" i="24"/>
  <c r="W82" i="24" s="1"/>
  <c r="U97" i="24"/>
  <c r="AF43" i="17" s="1"/>
  <c r="AG43" i="17" s="1"/>
  <c r="O97" i="24"/>
  <c r="J97" i="24"/>
  <c r="R56" i="24"/>
  <c r="U55" i="24"/>
  <c r="AA35" i="17" s="1"/>
  <c r="M55" i="24"/>
  <c r="N55" i="24" s="1"/>
  <c r="H115" i="24"/>
  <c r="J114" i="24"/>
  <c r="O114" i="24"/>
  <c r="M192" i="24"/>
  <c r="N192" i="24" s="1"/>
  <c r="H12" i="24"/>
  <c r="R11" i="24"/>
  <c r="J11" i="24"/>
  <c r="O11" i="24"/>
  <c r="AH236" i="37"/>
  <c r="AI236" i="37" s="1"/>
  <c r="AG158" i="37"/>
  <c r="AG154" i="37"/>
  <c r="AH70" i="37"/>
  <c r="AI70" i="37" s="1"/>
  <c r="U387" i="24"/>
  <c r="O387" i="24"/>
  <c r="J387" i="24"/>
  <c r="U369" i="24"/>
  <c r="R370" i="24"/>
  <c r="R371" i="24" s="1"/>
  <c r="U371" i="24" s="1"/>
  <c r="U353" i="24"/>
  <c r="M370" i="24"/>
  <c r="N370" i="24" s="1"/>
  <c r="H371" i="24" s="1"/>
  <c r="M371" i="24" s="1"/>
  <c r="N371" i="24" s="1"/>
  <c r="O353" i="24"/>
  <c r="J353" i="24"/>
  <c r="M336" i="24"/>
  <c r="N336" i="24" s="1"/>
  <c r="H337" i="24" s="1"/>
  <c r="M337" i="24" s="1"/>
  <c r="N337" i="24" s="1"/>
  <c r="U335" i="24"/>
  <c r="AD110" i="17" s="1"/>
  <c r="R336" i="24"/>
  <c r="R337" i="24" s="1"/>
  <c r="U337" i="24" s="1"/>
  <c r="AD173" i="24"/>
  <c r="AD174" i="24" s="1"/>
  <c r="U318" i="24"/>
  <c r="R319" i="24"/>
  <c r="R320" i="24" s="1"/>
  <c r="U320" i="24" s="1"/>
  <c r="N319" i="24"/>
  <c r="H320" i="24" s="1"/>
  <c r="AD584" i="24"/>
  <c r="U153" i="24"/>
  <c r="AB49" i="17" s="1"/>
  <c r="R154" i="24"/>
  <c r="J152" i="24"/>
  <c r="H153" i="24"/>
  <c r="M153" i="24" s="1"/>
  <c r="N153" i="24" s="1"/>
  <c r="O152" i="24"/>
  <c r="O210" i="24"/>
  <c r="H211" i="24"/>
  <c r="J210" i="24"/>
  <c r="U209" i="24"/>
  <c r="AA60" i="17" s="1"/>
  <c r="R210" i="24"/>
  <c r="J96" i="24"/>
  <c r="O96" i="24"/>
  <c r="J134" i="24"/>
  <c r="O134" i="24"/>
  <c r="O493" i="24"/>
  <c r="H494" i="24"/>
  <c r="J493" i="24"/>
  <c r="O474" i="24"/>
  <c r="J474" i="24"/>
  <c r="N300" i="24"/>
  <c r="O283" i="24"/>
  <c r="H284" i="24"/>
  <c r="J283" i="24"/>
  <c r="M267" i="24"/>
  <c r="N267" i="24" s="1"/>
  <c r="H268" i="24" s="1"/>
  <c r="M268" i="24" s="1"/>
  <c r="N268" i="24" s="1"/>
  <c r="H269" i="24" s="1"/>
  <c r="M269" i="24" s="1"/>
  <c r="N269" i="24" s="1"/>
  <c r="AD284" i="24" l="1"/>
  <c r="AG219" i="37"/>
  <c r="W271" i="24"/>
  <c r="AD135" i="24"/>
  <c r="AD136" i="24" s="1"/>
  <c r="W139" i="24"/>
  <c r="AD473" i="24"/>
  <c r="AD474" i="24" s="1"/>
  <c r="AD475" i="24" s="1"/>
  <c r="AH217" i="37"/>
  <c r="AI217" i="37" s="1"/>
  <c r="AH65" i="37"/>
  <c r="AI65" i="37" s="1"/>
  <c r="AD175" i="24"/>
  <c r="AD265" i="24"/>
  <c r="AD266" i="24" s="1"/>
  <c r="AD620" i="24"/>
  <c r="J371" i="24"/>
  <c r="O371" i="24"/>
  <c r="AG150" i="17"/>
  <c r="J337" i="24"/>
  <c r="O337" i="24"/>
  <c r="U356" i="24"/>
  <c r="AE111" i="17"/>
  <c r="AG111" i="17" s="1"/>
  <c r="AH111" i="17" s="1"/>
  <c r="AF112" i="17"/>
  <c r="U390" i="24"/>
  <c r="AE113" i="17"/>
  <c r="AJ113" i="17" s="1"/>
  <c r="AF110" i="17"/>
  <c r="W369" i="24"/>
  <c r="P370" i="24" s="1"/>
  <c r="Q370" i="24" s="1"/>
  <c r="AD112" i="17"/>
  <c r="M320" i="24"/>
  <c r="N320" i="24" s="1"/>
  <c r="W318" i="24"/>
  <c r="P319" i="24" s="1"/>
  <c r="Q319" i="24" s="1"/>
  <c r="AD109" i="17"/>
  <c r="AF109" i="17"/>
  <c r="W153" i="24"/>
  <c r="P154" i="24" s="1"/>
  <c r="Q154" i="24" s="1"/>
  <c r="J269" i="24"/>
  <c r="O269" i="24"/>
  <c r="W209" i="24"/>
  <c r="P210" i="24" s="1"/>
  <c r="Q210" i="24" s="1"/>
  <c r="W55" i="24"/>
  <c r="P56" i="24" s="1"/>
  <c r="Q56" i="24" s="1"/>
  <c r="W335" i="24"/>
  <c r="P336" i="24" s="1"/>
  <c r="Q336" i="24" s="1"/>
  <c r="AG195" i="17"/>
  <c r="W97" i="24"/>
  <c r="U101" i="24"/>
  <c r="W101" i="24" s="1"/>
  <c r="AH56" i="37"/>
  <c r="AI56" i="37" s="1"/>
  <c r="AD78" i="24"/>
  <c r="AD79" i="24" s="1"/>
  <c r="AD80" i="24" s="1"/>
  <c r="U11" i="24"/>
  <c r="O55" i="24"/>
  <c r="H56" i="24"/>
  <c r="J55" i="24"/>
  <c r="U56" i="24"/>
  <c r="AB35" i="17" s="1"/>
  <c r="R57" i="24"/>
  <c r="R12" i="24"/>
  <c r="M115" i="24"/>
  <c r="N115" i="24" s="1"/>
  <c r="H116" i="24" s="1"/>
  <c r="J192" i="24"/>
  <c r="O192" i="24"/>
  <c r="H193" i="24"/>
  <c r="M12" i="24"/>
  <c r="N12" i="24" s="1"/>
  <c r="AG152" i="37"/>
  <c r="AG156" i="37"/>
  <c r="AG41" i="37"/>
  <c r="AG150" i="37"/>
  <c r="W353" i="24"/>
  <c r="P354" i="24" s="1"/>
  <c r="Q354" i="24" s="1"/>
  <c r="W354" i="24" s="1"/>
  <c r="W387" i="24"/>
  <c r="P388" i="24" s="1"/>
  <c r="Q388" i="24" s="1"/>
  <c r="W388" i="24" s="1"/>
  <c r="U370" i="24"/>
  <c r="O370" i="24"/>
  <c r="J370" i="24"/>
  <c r="U336" i="24"/>
  <c r="U319" i="24"/>
  <c r="O336" i="24"/>
  <c r="J336" i="24"/>
  <c r="O319" i="24"/>
  <c r="J319" i="24"/>
  <c r="U154" i="24"/>
  <c r="AC49" i="17" s="1"/>
  <c r="R155" i="24"/>
  <c r="U155" i="24" s="1"/>
  <c r="AD49" i="17" s="1"/>
  <c r="O153" i="24"/>
  <c r="H154" i="24"/>
  <c r="J153" i="24"/>
  <c r="M211" i="24"/>
  <c r="N211" i="24" s="1"/>
  <c r="U210" i="24"/>
  <c r="AB60" i="17" s="1"/>
  <c r="R211" i="24"/>
  <c r="M494" i="24"/>
  <c r="N494" i="24" s="1"/>
  <c r="H495" i="24" s="1"/>
  <c r="M495" i="24" s="1"/>
  <c r="N495" i="24" s="1"/>
  <c r="M475" i="24"/>
  <c r="N475" i="24" s="1"/>
  <c r="H476" i="24" s="1"/>
  <c r="H301" i="24"/>
  <c r="O300" i="24"/>
  <c r="J300" i="24"/>
  <c r="M284" i="24"/>
  <c r="N284" i="24" s="1"/>
  <c r="J268" i="24"/>
  <c r="O268" i="24"/>
  <c r="O267" i="24"/>
  <c r="J267" i="24"/>
  <c r="AD267" i="24" l="1"/>
  <c r="AJ111" i="17"/>
  <c r="AD137" i="24"/>
  <c r="AH219" i="37"/>
  <c r="AI219" i="37" s="1"/>
  <c r="AH154" i="37"/>
  <c r="AI154" i="37" s="1"/>
  <c r="W356" i="24"/>
  <c r="AH158" i="37"/>
  <c r="AI158" i="37" s="1"/>
  <c r="W390" i="24"/>
  <c r="AD350" i="24"/>
  <c r="AD351" i="24" s="1"/>
  <c r="AD384" i="24"/>
  <c r="AD385" i="24" s="1"/>
  <c r="J495" i="24"/>
  <c r="O495" i="24"/>
  <c r="U339" i="24"/>
  <c r="AE110" i="17"/>
  <c r="U373" i="24"/>
  <c r="AE112" i="17"/>
  <c r="AG112" i="17" s="1"/>
  <c r="O320" i="24"/>
  <c r="J320" i="24"/>
  <c r="W319" i="24"/>
  <c r="P320" i="24" s="1"/>
  <c r="Q320" i="24" s="1"/>
  <c r="W320" i="24" s="1"/>
  <c r="AE109" i="17"/>
  <c r="AG109" i="17" s="1"/>
  <c r="W154" i="24"/>
  <c r="P155" i="24" s="1"/>
  <c r="Q155" i="24" s="1"/>
  <c r="W210" i="24"/>
  <c r="P211" i="24" s="1"/>
  <c r="Q211" i="24" s="1"/>
  <c r="W336" i="24"/>
  <c r="P337" i="24" s="1"/>
  <c r="Q337" i="24" s="1"/>
  <c r="W337" i="24" s="1"/>
  <c r="W56" i="24"/>
  <c r="P57" i="24" s="1"/>
  <c r="Q57" i="24" s="1"/>
  <c r="W11" i="24"/>
  <c r="P12" i="24" s="1"/>
  <c r="Q12" i="24" s="1"/>
  <c r="AA21" i="17"/>
  <c r="AD97" i="24"/>
  <c r="AD98" i="24" s="1"/>
  <c r="AD99" i="24" s="1"/>
  <c r="AH58" i="37"/>
  <c r="AI58" i="37" s="1"/>
  <c r="R13" i="24"/>
  <c r="U13" i="24" s="1"/>
  <c r="AC21" i="17" s="1"/>
  <c r="U12" i="24"/>
  <c r="M56" i="24"/>
  <c r="N56" i="24" s="1"/>
  <c r="R58" i="24"/>
  <c r="U57" i="24"/>
  <c r="AC35" i="17" s="1"/>
  <c r="K116" i="24"/>
  <c r="L116" i="24" s="1"/>
  <c r="M116" i="24" s="1"/>
  <c r="N116" i="24" s="1"/>
  <c r="O115" i="24"/>
  <c r="J115" i="24"/>
  <c r="M193" i="24"/>
  <c r="N193" i="24" s="1"/>
  <c r="H194" i="24" s="1"/>
  <c r="O12" i="24"/>
  <c r="J12" i="24"/>
  <c r="H13" i="24"/>
  <c r="AG72" i="37"/>
  <c r="AG233" i="37"/>
  <c r="AG313" i="37"/>
  <c r="AD352" i="24"/>
  <c r="W370" i="24"/>
  <c r="P371" i="24" s="1"/>
  <c r="Q371" i="24" s="1"/>
  <c r="W371" i="24" s="1"/>
  <c r="AD386" i="24"/>
  <c r="W155" i="24"/>
  <c r="U322" i="24"/>
  <c r="M154" i="24"/>
  <c r="N154" i="24" s="1"/>
  <c r="J211" i="24"/>
  <c r="H212" i="24"/>
  <c r="M212" i="24" s="1"/>
  <c r="N212" i="24" s="1"/>
  <c r="O211" i="24"/>
  <c r="R212" i="24"/>
  <c r="U211" i="24"/>
  <c r="AC60" i="17" s="1"/>
  <c r="K301" i="24"/>
  <c r="L301" i="24" s="1"/>
  <c r="O494" i="24"/>
  <c r="J494" i="24"/>
  <c r="O475" i="24"/>
  <c r="J475" i="24"/>
  <c r="H285" i="24"/>
  <c r="J284" i="24"/>
  <c r="O284" i="24"/>
  <c r="AJ112" i="17" l="1"/>
  <c r="AG110" i="17"/>
  <c r="AH110" i="17" s="1"/>
  <c r="AJ110" i="17"/>
  <c r="AJ109" i="17"/>
  <c r="AH152" i="37"/>
  <c r="AI152" i="37" s="1"/>
  <c r="W339" i="24"/>
  <c r="AG186" i="17"/>
  <c r="W322" i="24"/>
  <c r="AH156" i="37"/>
  <c r="AI156" i="37" s="1"/>
  <c r="W373" i="24"/>
  <c r="AD367" i="24"/>
  <c r="AD368" i="24" s="1"/>
  <c r="AD333" i="24"/>
  <c r="AD334" i="24" s="1"/>
  <c r="AG113" i="17"/>
  <c r="AH113" i="17" s="1"/>
  <c r="M301" i="24"/>
  <c r="N301" i="24" s="1"/>
  <c r="W12" i="24"/>
  <c r="P13" i="24" s="1"/>
  <c r="Q13" i="24" s="1"/>
  <c r="AB21" i="17"/>
  <c r="W57" i="24"/>
  <c r="P58" i="24" s="1"/>
  <c r="Q58" i="24" s="1"/>
  <c r="W211" i="24"/>
  <c r="P212" i="24" s="1"/>
  <c r="Q212" i="24" s="1"/>
  <c r="W13" i="24"/>
  <c r="P14" i="24" s="1"/>
  <c r="Q14" i="24" s="1"/>
  <c r="U58" i="24"/>
  <c r="AD35" i="17" s="1"/>
  <c r="R59" i="24"/>
  <c r="J56" i="24"/>
  <c r="O56" i="24"/>
  <c r="H57" i="24"/>
  <c r="R116" i="24"/>
  <c r="J116" i="24"/>
  <c r="O116" i="24"/>
  <c r="K194" i="24"/>
  <c r="L194" i="24" s="1"/>
  <c r="M194" i="24" s="1"/>
  <c r="N194" i="24" s="1"/>
  <c r="O193" i="24"/>
  <c r="J193" i="24"/>
  <c r="M13" i="24"/>
  <c r="N13" i="24" s="1"/>
  <c r="AH72" i="37"/>
  <c r="AI72" i="37" s="1"/>
  <c r="AH233" i="37"/>
  <c r="AI233" i="37" s="1"/>
  <c r="AH313" i="37"/>
  <c r="AI313" i="37" s="1"/>
  <c r="AD316" i="24"/>
  <c r="AD317" i="24" s="1"/>
  <c r="AH150" i="37"/>
  <c r="AI150" i="37" s="1"/>
  <c r="AD369" i="24"/>
  <c r="O154" i="24"/>
  <c r="J154" i="24"/>
  <c r="H155" i="24"/>
  <c r="R156" i="24"/>
  <c r="P156" i="24"/>
  <c r="Q156" i="24" s="1"/>
  <c r="U212" i="24"/>
  <c r="AD60" i="17" s="1"/>
  <c r="R213" i="24"/>
  <c r="H213" i="24"/>
  <c r="M213" i="24" s="1"/>
  <c r="N213" i="24" s="1"/>
  <c r="H214" i="24" s="1"/>
  <c r="M214" i="24" s="1"/>
  <c r="N214" i="24" s="1"/>
  <c r="J212" i="24"/>
  <c r="O212" i="24"/>
  <c r="M476" i="24"/>
  <c r="N476" i="24" s="1"/>
  <c r="H477" i="24" s="1"/>
  <c r="M477" i="24" s="1"/>
  <c r="N477" i="24" s="1"/>
  <c r="U408" i="24"/>
  <c r="W408" i="24" s="1"/>
  <c r="M285" i="24"/>
  <c r="N285" i="24" s="1"/>
  <c r="H286" i="24" s="1"/>
  <c r="M286" i="24" s="1"/>
  <c r="N286" i="24" s="1"/>
  <c r="AD335" i="24" l="1"/>
  <c r="AD318" i="24"/>
  <c r="J477" i="24"/>
  <c r="O477" i="24"/>
  <c r="R301" i="24"/>
  <c r="O301" i="24"/>
  <c r="H302" i="24"/>
  <c r="M302" i="24" s="1"/>
  <c r="J301" i="24"/>
  <c r="U213" i="24"/>
  <c r="AE60" i="17" s="1"/>
  <c r="AJ60" i="17" s="1"/>
  <c r="R214" i="24"/>
  <c r="U214" i="24" s="1"/>
  <c r="AF60" i="17" s="1"/>
  <c r="W212" i="24"/>
  <c r="P213" i="24" s="1"/>
  <c r="Q213" i="24" s="1"/>
  <c r="J214" i="24"/>
  <c r="O214" i="24"/>
  <c r="U156" i="24"/>
  <c r="AE49" i="17" s="1"/>
  <c r="AJ49" i="17" s="1"/>
  <c r="R157" i="24"/>
  <c r="U157" i="24" s="1"/>
  <c r="AF49" i="17" s="1"/>
  <c r="O286" i="24"/>
  <c r="J286" i="24"/>
  <c r="AH41" i="37"/>
  <c r="AI41" i="37" s="1"/>
  <c r="U59" i="24"/>
  <c r="AE35" i="17" s="1"/>
  <c r="AJ35" i="17" s="1"/>
  <c r="R60" i="24"/>
  <c r="M57" i="24"/>
  <c r="N57" i="24" s="1"/>
  <c r="W58" i="24"/>
  <c r="P59" i="24" s="1"/>
  <c r="Q59" i="24" s="1"/>
  <c r="R194" i="24"/>
  <c r="J194" i="24"/>
  <c r="O194" i="24"/>
  <c r="U116" i="24"/>
  <c r="AF44" i="17" s="1"/>
  <c r="AG44" i="17" s="1"/>
  <c r="H14" i="24"/>
  <c r="J13" i="24"/>
  <c r="O13" i="24"/>
  <c r="AH163" i="37"/>
  <c r="AI163" i="37" s="1"/>
  <c r="AG67" i="37"/>
  <c r="M155" i="24"/>
  <c r="N155" i="24" s="1"/>
  <c r="O213" i="24"/>
  <c r="J213" i="24"/>
  <c r="O476" i="24"/>
  <c r="J476" i="24"/>
  <c r="AD402" i="24"/>
  <c r="AD403" i="24" s="1"/>
  <c r="AD404" i="24" s="1"/>
  <c r="N302" i="24"/>
  <c r="H303" i="24" s="1"/>
  <c r="O285" i="24"/>
  <c r="J285" i="24"/>
  <c r="W213" i="24" l="1"/>
  <c r="P214" i="24" s="1"/>
  <c r="Q214" i="24" s="1"/>
  <c r="W214" i="24" s="1"/>
  <c r="U218" i="24"/>
  <c r="W218" i="24" s="1"/>
  <c r="AG86" i="37"/>
  <c r="AG60" i="17"/>
  <c r="M303" i="24"/>
  <c r="N303" i="24" s="1"/>
  <c r="J303" i="24" s="1"/>
  <c r="R302" i="24"/>
  <c r="U301" i="24"/>
  <c r="AD108" i="17" s="1"/>
  <c r="W156" i="24"/>
  <c r="P157" i="24" s="1"/>
  <c r="Q157" i="24" s="1"/>
  <c r="W157" i="24" s="1"/>
  <c r="U161" i="24"/>
  <c r="AG117" i="17"/>
  <c r="AG49" i="17"/>
  <c r="AG48" i="17"/>
  <c r="W59" i="24"/>
  <c r="P60" i="24" s="1"/>
  <c r="Q60" i="24" s="1"/>
  <c r="U60" i="24"/>
  <c r="AF35" i="17" s="1"/>
  <c r="AG35" i="17" s="1"/>
  <c r="H58" i="24"/>
  <c r="J57" i="24"/>
  <c r="O57" i="24"/>
  <c r="AG47" i="37"/>
  <c r="W116" i="24"/>
  <c r="U120" i="24"/>
  <c r="U194" i="24"/>
  <c r="AF59" i="17" s="1"/>
  <c r="AG59" i="17" s="1"/>
  <c r="K14" i="24"/>
  <c r="L14" i="24" s="1"/>
  <c r="AH86" i="37"/>
  <c r="AI86" i="37" s="1"/>
  <c r="O155" i="24"/>
  <c r="J155" i="24"/>
  <c r="H156" i="24"/>
  <c r="M156" i="24" s="1"/>
  <c r="N156" i="24" s="1"/>
  <c r="H157" i="24" s="1"/>
  <c r="M157" i="24" s="1"/>
  <c r="N157" i="24" s="1"/>
  <c r="AD214" i="24"/>
  <c r="AD215" i="24" s="1"/>
  <c r="O302" i="24"/>
  <c r="J302" i="24"/>
  <c r="AG50" i="17" l="1"/>
  <c r="W120" i="24"/>
  <c r="AH67" i="37"/>
  <c r="AI67" i="37" s="1"/>
  <c r="W161" i="24"/>
  <c r="AD157" i="24"/>
  <c r="AD158" i="24" s="1"/>
  <c r="O303" i="24"/>
  <c r="W301" i="24"/>
  <c r="P302" i="24" s="1"/>
  <c r="Q302" i="24" s="1"/>
  <c r="U302" i="24"/>
  <c r="AE108" i="17" s="1"/>
  <c r="AJ108" i="17" s="1"/>
  <c r="R303" i="24"/>
  <c r="U303" i="24" s="1"/>
  <c r="AF108" i="17" s="1"/>
  <c r="W60" i="24"/>
  <c r="AD216" i="24"/>
  <c r="J157" i="24"/>
  <c r="O157" i="24"/>
  <c r="U63" i="24"/>
  <c r="M58" i="24"/>
  <c r="N58" i="24" s="1"/>
  <c r="W194" i="24"/>
  <c r="U198" i="24"/>
  <c r="W198" i="24" s="1"/>
  <c r="AD116" i="24"/>
  <c r="AD117" i="24" s="1"/>
  <c r="AD118" i="24" s="1"/>
  <c r="AH60" i="37"/>
  <c r="AI60" i="37" s="1"/>
  <c r="M14" i="24"/>
  <c r="N14" i="24" s="1"/>
  <c r="O156" i="24"/>
  <c r="J156" i="24"/>
  <c r="AD59" i="24" l="1"/>
  <c r="AD60" i="24" s="1"/>
  <c r="W63" i="24"/>
  <c r="AD159" i="24"/>
  <c r="W302" i="24"/>
  <c r="P303" i="24" s="1"/>
  <c r="Q303" i="24" s="1"/>
  <c r="W303" i="24" s="1"/>
  <c r="AG108" i="17"/>
  <c r="U305" i="24"/>
  <c r="W305" i="24" s="1"/>
  <c r="AG148" i="37"/>
  <c r="AH47" i="37"/>
  <c r="AI47" i="37" s="1"/>
  <c r="O58" i="24"/>
  <c r="H59" i="24"/>
  <c r="J58" i="24"/>
  <c r="AD194" i="24"/>
  <c r="AD195" i="24" s="1"/>
  <c r="AD196" i="24" s="1"/>
  <c r="AH84" i="37"/>
  <c r="AI84" i="37" s="1"/>
  <c r="R14" i="24"/>
  <c r="J14" i="24"/>
  <c r="O14" i="24"/>
  <c r="H15" i="24"/>
  <c r="AD61" i="24" l="1"/>
  <c r="AD299" i="24"/>
  <c r="AD300" i="24" s="1"/>
  <c r="AD301" i="24" s="1"/>
  <c r="AH148" i="37"/>
  <c r="AI148" i="37" s="1"/>
  <c r="M59" i="24"/>
  <c r="N59" i="24" s="1"/>
  <c r="M15" i="24"/>
  <c r="N15" i="24" s="1"/>
  <c r="U14" i="24"/>
  <c r="R15" i="24"/>
  <c r="U236" i="24"/>
  <c r="W236" i="24" s="1"/>
  <c r="H60" i="24" l="1"/>
  <c r="J59" i="24"/>
  <c r="O59" i="24"/>
  <c r="O15" i="24"/>
  <c r="J15" i="24"/>
  <c r="H16" i="24"/>
  <c r="U15" i="24"/>
  <c r="AD21" i="17" s="1"/>
  <c r="R16" i="24"/>
  <c r="W14" i="24"/>
  <c r="P15" i="24" s="1"/>
  <c r="Q15" i="24" s="1"/>
  <c r="AH92" i="37"/>
  <c r="AI92" i="37" s="1"/>
  <c r="AD230" i="24"/>
  <c r="AD231" i="24" s="1"/>
  <c r="AD232" i="24" s="1"/>
  <c r="M60" i="24" l="1"/>
  <c r="N60" i="24" s="1"/>
  <c r="W15" i="24"/>
  <c r="P16" i="24" s="1"/>
  <c r="Q16" i="24" s="1"/>
  <c r="U16" i="24"/>
  <c r="M16" i="24"/>
  <c r="N16" i="24" s="1"/>
  <c r="H17" i="24" s="1"/>
  <c r="S1056" i="22"/>
  <c r="S120" i="22"/>
  <c r="E156" i="20"/>
  <c r="B144" i="21"/>
  <c r="V1255" i="23"/>
  <c r="S1255" i="23"/>
  <c r="T1256" i="23" s="1"/>
  <c r="K1255" i="23"/>
  <c r="L1255" i="23" s="1"/>
  <c r="F386" i="22"/>
  <c r="F1137" i="22" s="1"/>
  <c r="C56" i="22"/>
  <c r="C57" i="22"/>
  <c r="C58" i="22"/>
  <c r="C59" i="22"/>
  <c r="C63" i="22"/>
  <c r="C74" i="22"/>
  <c r="C76" i="22"/>
  <c r="C82" i="22"/>
  <c r="C84" i="22"/>
  <c r="C85" i="22"/>
  <c r="C86" i="22"/>
  <c r="C89" i="22"/>
  <c r="C92" i="22"/>
  <c r="C110" i="22"/>
  <c r="C113" i="22"/>
  <c r="C114" i="22"/>
  <c r="C116" i="22"/>
  <c r="C118" i="22"/>
  <c r="C119" i="22"/>
  <c r="C121" i="22"/>
  <c r="C122" i="22"/>
  <c r="C123" i="22"/>
  <c r="C124" i="22"/>
  <c r="C126" i="22"/>
  <c r="C127" i="22"/>
  <c r="C128" i="22"/>
  <c r="C130" i="22"/>
  <c r="C131" i="22"/>
  <c r="C132" i="22"/>
  <c r="C133" i="22"/>
  <c r="C134" i="22"/>
  <c r="C135" i="22"/>
  <c r="C136" i="22"/>
  <c r="C138" i="22"/>
  <c r="C139" i="22"/>
  <c r="C151" i="22"/>
  <c r="C154" i="22"/>
  <c r="C156" i="22"/>
  <c r="C157" i="22"/>
  <c r="C158" i="22"/>
  <c r="C159" i="22"/>
  <c r="C160" i="22"/>
  <c r="C162" i="22"/>
  <c r="C163" i="22"/>
  <c r="C164" i="22"/>
  <c r="C165" i="22"/>
  <c r="C170" i="22"/>
  <c r="C171" i="22"/>
  <c r="C172" i="22"/>
  <c r="C173" i="22"/>
  <c r="C174" i="22"/>
  <c r="C175" i="22"/>
  <c r="C176" i="22"/>
  <c r="C177" i="22"/>
  <c r="C178" i="22"/>
  <c r="C183" i="22"/>
  <c r="C185" i="22"/>
  <c r="C192" i="22"/>
  <c r="C211" i="22"/>
  <c r="C224" i="22"/>
  <c r="C225" i="22"/>
  <c r="C227" i="22"/>
  <c r="C229" i="22"/>
  <c r="C231" i="22"/>
  <c r="C232" i="22"/>
  <c r="C238" i="22"/>
  <c r="C244" i="22"/>
  <c r="C245" i="22"/>
  <c r="C246" i="22"/>
  <c r="C248" i="22"/>
  <c r="C253" i="22"/>
  <c r="C262" i="22"/>
  <c r="C273" i="22"/>
  <c r="C276" i="22"/>
  <c r="C279" i="22"/>
  <c r="C284" i="22"/>
  <c r="C327" i="22"/>
  <c r="C328" i="22"/>
  <c r="C330" i="22"/>
  <c r="C331" i="22"/>
  <c r="C333" i="22"/>
  <c r="C334" i="22"/>
  <c r="C338" i="22"/>
  <c r="C345" i="22"/>
  <c r="C354" i="22"/>
  <c r="C361" i="22"/>
  <c r="C368" i="22"/>
  <c r="C392" i="22"/>
  <c r="C393" i="22"/>
  <c r="C403" i="22"/>
  <c r="C434" i="22"/>
  <c r="C441" i="22"/>
  <c r="C443" i="22"/>
  <c r="C475" i="22"/>
  <c r="C476" i="22"/>
  <c r="C480" i="22"/>
  <c r="C486" i="22"/>
  <c r="C487" i="22"/>
  <c r="C488" i="22"/>
  <c r="C489" i="22"/>
  <c r="C490" i="22"/>
  <c r="C492" i="22"/>
  <c r="C496" i="22"/>
  <c r="C500" i="22"/>
  <c r="C501" i="22"/>
  <c r="C506" i="22"/>
  <c r="C508" i="22"/>
  <c r="C509" i="22"/>
  <c r="C517" i="22"/>
  <c r="C520" i="22"/>
  <c r="C522" i="22"/>
  <c r="C532" i="22"/>
  <c r="C533" i="22"/>
  <c r="C534" i="22"/>
  <c r="C540" i="22"/>
  <c r="C541" i="22"/>
  <c r="C544" i="22"/>
  <c r="C545" i="22"/>
  <c r="C546" i="22"/>
  <c r="C669" i="22"/>
  <c r="C670" i="22"/>
  <c r="C671" i="22"/>
  <c r="C672" i="22"/>
  <c r="C673" i="22"/>
  <c r="C675" i="22"/>
  <c r="C677" i="22"/>
  <c r="C679" i="22"/>
  <c r="C449" i="22"/>
  <c r="C547" i="22"/>
  <c r="C550" i="22"/>
  <c r="C479" i="22"/>
  <c r="C125" i="22"/>
  <c r="C491" i="22"/>
  <c r="C498" i="22"/>
  <c r="C448" i="22"/>
  <c r="C472" i="22"/>
  <c r="C407" i="22"/>
  <c r="C446" i="22"/>
  <c r="C181" i="22"/>
  <c r="C735" i="22"/>
  <c r="C519" i="22"/>
  <c r="C478" i="22"/>
  <c r="C380" i="22"/>
  <c r="C161" i="22"/>
  <c r="C360" i="22"/>
  <c r="C115" i="22"/>
  <c r="C438" i="22"/>
  <c r="C228" i="22"/>
  <c r="C241" i="22"/>
  <c r="C340" i="22"/>
  <c r="C265" i="22"/>
  <c r="C198" i="22"/>
  <c r="C502" i="22"/>
  <c r="C521" i="22"/>
  <c r="C518" i="22"/>
  <c r="C252" i="22"/>
  <c r="C539" i="22"/>
  <c r="C337" i="22"/>
  <c r="C394" i="22"/>
  <c r="C477" i="22"/>
  <c r="C548" i="22"/>
  <c r="C378" i="22"/>
  <c r="C379" i="22"/>
  <c r="C549" i="22"/>
  <c r="C371" i="22"/>
  <c r="C376" i="22"/>
  <c r="C377" i="22"/>
  <c r="C374" i="22"/>
  <c r="C372" i="22"/>
  <c r="C239" i="22"/>
  <c r="C373" i="22"/>
  <c r="C704" i="22"/>
  <c r="C690" i="22"/>
  <c r="C692" i="22"/>
  <c r="C715" i="22"/>
  <c r="C706" i="22"/>
  <c r="C710" i="22"/>
  <c r="C680" i="22"/>
  <c r="C682" i="22"/>
  <c r="C694" i="22"/>
  <c r="C695" i="22"/>
  <c r="C699" i="22"/>
  <c r="C693" i="22"/>
  <c r="C696" i="22"/>
  <c r="C714" i="22"/>
  <c r="C689" i="22"/>
  <c r="C711" i="22"/>
  <c r="C702" i="22"/>
  <c r="C684" i="22"/>
  <c r="C701" i="22"/>
  <c r="C708" i="22"/>
  <c r="C707" i="22"/>
  <c r="C703" i="22"/>
  <c r="C691" i="22"/>
  <c r="C686" i="22"/>
  <c r="C687" i="22"/>
  <c r="C709" i="22"/>
  <c r="C712" i="22"/>
  <c r="C685" i="22"/>
  <c r="C698" i="22"/>
  <c r="C700" i="22"/>
  <c r="C91" i="22"/>
  <c r="C90" i="22"/>
  <c r="C60" i="22"/>
  <c r="C375" i="22"/>
  <c r="C444" i="22"/>
  <c r="C186" i="22"/>
  <c r="C199" i="22"/>
  <c r="C551" i="22"/>
  <c r="C292" i="22"/>
  <c r="C280" i="22"/>
  <c r="C503" i="22"/>
  <c r="C230" i="22"/>
  <c r="C445" i="22"/>
  <c r="C382" i="22"/>
  <c r="C722" i="22"/>
  <c r="C717" i="22"/>
  <c r="C718" i="22"/>
  <c r="C98" i="22"/>
  <c r="C417" i="22"/>
  <c r="C408" i="22"/>
  <c r="C356" i="22"/>
  <c r="C267" i="22"/>
  <c r="C187" i="22"/>
  <c r="C552" i="22"/>
  <c r="C524" i="22"/>
  <c r="C553" i="22"/>
  <c r="C719" i="22"/>
  <c r="C554" i="22"/>
  <c r="C555" i="22"/>
  <c r="C720" i="22"/>
  <c r="C721" i="22"/>
  <c r="C325" i="22"/>
  <c r="C723" i="22"/>
  <c r="C467" i="22"/>
  <c r="C724" i="22"/>
  <c r="C468" i="22"/>
  <c r="C511" i="22"/>
  <c r="C557" i="22"/>
  <c r="C725" i="22"/>
  <c r="C558" i="22"/>
  <c r="C559" i="22"/>
  <c r="C726" i="22"/>
  <c r="C560" i="22"/>
  <c r="C561" i="22"/>
  <c r="C727" i="22"/>
  <c r="C728" i="22"/>
  <c r="C562" i="22"/>
  <c r="C729" i="22"/>
  <c r="C567" i="22"/>
  <c r="C264" i="22"/>
  <c r="C730" i="22"/>
  <c r="C731" i="22"/>
  <c r="C573" i="22"/>
  <c r="C145" i="22"/>
  <c r="C207" i="22"/>
  <c r="C733" i="22"/>
  <c r="C732" i="22"/>
  <c r="C734" i="22"/>
  <c r="C384" i="22"/>
  <c r="C574" i="22"/>
  <c r="C575" i="22"/>
  <c r="C97" i="22"/>
  <c r="C739" i="22"/>
  <c r="C740" i="22"/>
  <c r="C87" i="22"/>
  <c r="C576" i="22"/>
  <c r="C577" i="22"/>
  <c r="C578" i="22"/>
  <c r="C579" i="22"/>
  <c r="C580" i="22"/>
  <c r="C584" i="22"/>
  <c r="C581" i="22"/>
  <c r="C582" i="22"/>
  <c r="C583" i="22"/>
  <c r="C736" i="22"/>
  <c r="C738" i="22"/>
  <c r="C741" i="22"/>
  <c r="C737" i="22"/>
  <c r="C742" i="22"/>
  <c r="C385" i="22"/>
  <c r="C146" i="22"/>
  <c r="C65" i="22"/>
  <c r="C484" i="22"/>
  <c r="C332" i="22"/>
  <c r="C473" i="22"/>
  <c r="C585" i="22"/>
  <c r="C586" i="22"/>
  <c r="C348" i="22"/>
  <c r="C743" i="22"/>
  <c r="C744" i="22"/>
  <c r="C745" i="22"/>
  <c r="C834" i="22"/>
  <c r="C588" i="22"/>
  <c r="C587" i="22"/>
  <c r="C835" i="22"/>
  <c r="C589" i="22"/>
  <c r="C892" i="22"/>
  <c r="C341" i="22"/>
  <c r="C15" i="22"/>
  <c r="C469" i="22"/>
  <c r="C391" i="22"/>
  <c r="C190" i="22"/>
  <c r="C590" i="22"/>
  <c r="C591" i="22"/>
  <c r="C592" i="22"/>
  <c r="C883" i="22"/>
  <c r="C884" i="22"/>
  <c r="C593" i="22"/>
  <c r="C594" i="22"/>
  <c r="C595" i="22"/>
  <c r="C596" i="22"/>
  <c r="C597" i="22"/>
  <c r="C598" i="22"/>
  <c r="C888" i="22"/>
  <c r="C889" i="22"/>
  <c r="C890" i="22"/>
  <c r="C891" i="22"/>
  <c r="C148" i="22"/>
  <c r="C599" i="22"/>
  <c r="C600" i="22"/>
  <c r="C601" i="22"/>
  <c r="C129" i="22"/>
  <c r="C602" i="22"/>
  <c r="C885" i="22"/>
  <c r="C886" i="22"/>
  <c r="C887" i="22"/>
  <c r="C603" i="22"/>
  <c r="C249" i="22"/>
  <c r="C604" i="22"/>
  <c r="C184" i="22"/>
  <c r="C485" i="22"/>
  <c r="C474" i="22"/>
  <c r="C605" i="22"/>
  <c r="C278" i="22"/>
  <c r="C435" i="22"/>
  <c r="C606" i="22"/>
  <c r="C607" i="22"/>
  <c r="C749" i="22"/>
  <c r="C747" i="22"/>
  <c r="C219" i="22"/>
  <c r="C750" i="22"/>
  <c r="C748" i="22"/>
  <c r="C99" i="22"/>
  <c r="C83" i="22"/>
  <c r="C236" i="22"/>
  <c r="C608" i="22"/>
  <c r="C609" i="22"/>
  <c r="C610" i="22"/>
  <c r="C137" i="22"/>
  <c r="C424" i="22"/>
  <c r="C611" i="22"/>
  <c r="C622" i="22"/>
  <c r="C612" i="22"/>
  <c r="C152" i="22"/>
  <c r="C613" i="22"/>
  <c r="C614" i="22"/>
  <c r="C72" i="22"/>
  <c r="C615" i="22"/>
  <c r="C616" i="22"/>
  <c r="C617" i="22"/>
  <c r="C618" i="22"/>
  <c r="C746" i="22"/>
  <c r="C619" i="22"/>
  <c r="C620" i="22"/>
  <c r="C621" i="22"/>
  <c r="C942" i="22"/>
  <c r="C938" i="22"/>
  <c r="C939" i="22"/>
  <c r="C940" i="22"/>
  <c r="C943" i="22"/>
  <c r="C191" i="22"/>
  <c r="C250" i="22"/>
  <c r="C112" i="22"/>
  <c r="C326" i="22"/>
  <c r="C209" i="22"/>
  <c r="C100" i="22"/>
  <c r="C751" i="22"/>
  <c r="C624" i="22"/>
  <c r="C625" i="22"/>
  <c r="C274" i="22"/>
  <c r="C493" i="22"/>
  <c r="C626" i="22"/>
  <c r="C627" i="22"/>
  <c r="C68" i="22"/>
  <c r="C629" i="22"/>
  <c r="C427" i="22"/>
  <c r="C442" i="22"/>
  <c r="C351" i="22"/>
  <c r="C352" i="22"/>
  <c r="C67" i="22"/>
  <c r="C630" i="22"/>
  <c r="C631" i="22"/>
  <c r="C306" i="22"/>
  <c r="C632" i="22"/>
  <c r="C633" i="22"/>
  <c r="C282" i="22"/>
  <c r="C413" i="22"/>
  <c r="C634" i="22"/>
  <c r="C635" i="22"/>
  <c r="C636" i="22"/>
  <c r="C637" i="22"/>
  <c r="C638" i="22"/>
  <c r="C639" i="22"/>
  <c r="C515" i="22"/>
  <c r="C640" i="22"/>
  <c r="C641" i="22"/>
  <c r="C642" i="22"/>
  <c r="C643" i="22"/>
  <c r="C481" i="22"/>
  <c r="C644" i="22"/>
  <c r="C62" i="22"/>
  <c r="C61" i="22"/>
  <c r="C153" i="22"/>
  <c r="C645" i="22"/>
  <c r="C243" i="22"/>
  <c r="C494" i="22"/>
  <c r="C646" i="22"/>
  <c r="C429" i="22"/>
  <c r="C251" i="22"/>
  <c r="C647" i="22"/>
  <c r="C329" i="22"/>
  <c r="C237" i="22"/>
  <c r="C436" i="22"/>
  <c r="C648" i="22"/>
  <c r="C22" i="22"/>
  <c r="C649" i="22"/>
  <c r="C650" i="22"/>
  <c r="C318" i="22"/>
  <c r="C210" i="22"/>
  <c r="C527" i="22"/>
  <c r="S678" i="22"/>
  <c r="S676" i="22"/>
  <c r="S674" i="22"/>
  <c r="S668" i="22"/>
  <c r="S542" i="22"/>
  <c r="S535" i="22"/>
  <c r="S528" i="22"/>
  <c r="S404" i="22"/>
  <c r="Z120" i="22" l="1"/>
  <c r="AB120" i="22" s="1"/>
  <c r="S381" i="22"/>
  <c r="AG22" i="37"/>
  <c r="AE21" i="17"/>
  <c r="AJ21" i="17" s="1"/>
  <c r="O60" i="24"/>
  <c r="J60" i="24"/>
  <c r="W16" i="24"/>
  <c r="P17" i="24" s="1"/>
  <c r="Q17" i="24" s="1"/>
  <c r="J16" i="24"/>
  <c r="O16" i="24"/>
  <c r="S369" i="22"/>
  <c r="V1210" i="23"/>
  <c r="S1210" i="23"/>
  <c r="T1211" i="23" s="1"/>
  <c r="K1210" i="23"/>
  <c r="L1210" i="23" s="1"/>
  <c r="V475" i="23"/>
  <c r="S475" i="23"/>
  <c r="K475" i="23"/>
  <c r="L475" i="23" s="1"/>
  <c r="K478" i="23"/>
  <c r="L478" i="23" s="1"/>
  <c r="S478" i="23"/>
  <c r="V478" i="23"/>
  <c r="K479" i="23"/>
  <c r="L479" i="23" s="1"/>
  <c r="S479" i="23"/>
  <c r="V479" i="23"/>
  <c r="K480" i="23"/>
  <c r="L480" i="23" s="1"/>
  <c r="S480" i="23"/>
  <c r="V480" i="23"/>
  <c r="K481" i="23"/>
  <c r="L481" i="23" s="1"/>
  <c r="S481" i="23"/>
  <c r="V481" i="23"/>
  <c r="K482" i="23"/>
  <c r="L482" i="23" s="1"/>
  <c r="S482" i="23"/>
  <c r="V482" i="23"/>
  <c r="K483" i="23"/>
  <c r="L483" i="23" s="1"/>
  <c r="S483" i="23"/>
  <c r="T484" i="23" s="1"/>
  <c r="U484" i="23" s="1"/>
  <c r="V483" i="23"/>
  <c r="K477" i="23"/>
  <c r="L477" i="23" s="1"/>
  <c r="S477" i="23"/>
  <c r="V477" i="23"/>
  <c r="W13" i="22"/>
  <c r="X13" i="22" s="1"/>
  <c r="W16" i="22"/>
  <c r="W17" i="22"/>
  <c r="X17" i="22" s="1"/>
  <c r="W18" i="22"/>
  <c r="W19" i="22"/>
  <c r="X19" i="22" s="1"/>
  <c r="W20" i="22"/>
  <c r="X20" i="22" s="1"/>
  <c r="W21" i="22"/>
  <c r="W24" i="22"/>
  <c r="W25" i="22"/>
  <c r="X25" i="22" s="1"/>
  <c r="W26" i="22"/>
  <c r="W27" i="22"/>
  <c r="Y27" i="22" s="1"/>
  <c r="W28" i="22"/>
  <c r="W29" i="22"/>
  <c r="X29" i="22" s="1"/>
  <c r="W30" i="22"/>
  <c r="W31" i="22"/>
  <c r="X31" i="22" s="1"/>
  <c r="W32" i="22"/>
  <c r="W36" i="22"/>
  <c r="X36" i="22" s="1"/>
  <c r="W37" i="22"/>
  <c r="X37" i="22" s="1"/>
  <c r="W38" i="22"/>
  <c r="W39" i="22"/>
  <c r="W40" i="22"/>
  <c r="W41" i="22"/>
  <c r="X41" i="22" s="1"/>
  <c r="W42" i="22"/>
  <c r="Y42" i="22" s="1"/>
  <c r="AA42" i="22" s="1"/>
  <c r="W43" i="22"/>
  <c r="W45" i="22"/>
  <c r="W46" i="22"/>
  <c r="X46" i="22" s="1"/>
  <c r="W47" i="22"/>
  <c r="W48" i="22"/>
  <c r="W49" i="22"/>
  <c r="W50" i="22"/>
  <c r="X50" i="22" s="1"/>
  <c r="W51" i="22"/>
  <c r="Y51" i="22" s="1"/>
  <c r="AA51" i="22" s="1"/>
  <c r="W52" i="22"/>
  <c r="W53" i="22"/>
  <c r="W54" i="22"/>
  <c r="X54" i="22" s="1"/>
  <c r="W56" i="22"/>
  <c r="W59" i="22"/>
  <c r="X59" i="22" s="1"/>
  <c r="W64" i="22"/>
  <c r="W66" i="22"/>
  <c r="W70" i="22"/>
  <c r="X70" i="22" s="1"/>
  <c r="W71" i="22"/>
  <c r="W73" i="22"/>
  <c r="W74" i="22"/>
  <c r="W77" i="22"/>
  <c r="W79" i="22"/>
  <c r="W80" i="22"/>
  <c r="W81" i="22"/>
  <c r="W82" i="22"/>
  <c r="Y82" i="22" s="1"/>
  <c r="AA82" i="22" s="1"/>
  <c r="W89" i="22"/>
  <c r="Y89" i="22" s="1"/>
  <c r="AA89" i="22" s="1"/>
  <c r="W93" i="22"/>
  <c r="W101" i="22"/>
  <c r="W102" i="22"/>
  <c r="Y102" i="22" s="1"/>
  <c r="AA102" i="22" s="1"/>
  <c r="W103" i="22"/>
  <c r="W104" i="22"/>
  <c r="W105" i="22"/>
  <c r="W107" i="22"/>
  <c r="W108" i="22"/>
  <c r="W110" i="22"/>
  <c r="W116" i="22"/>
  <c r="W126" i="22"/>
  <c r="W128" i="22"/>
  <c r="W136" i="22"/>
  <c r="W140" i="22"/>
  <c r="W147" i="22"/>
  <c r="W149" i="22"/>
  <c r="W150" i="22"/>
  <c r="W151" i="22"/>
  <c r="X151" i="22" s="1"/>
  <c r="W166" i="22"/>
  <c r="W167" i="22"/>
  <c r="W168" i="22"/>
  <c r="W169" i="22"/>
  <c r="W178" i="22"/>
  <c r="W179" i="22"/>
  <c r="Y179" i="22" s="1"/>
  <c r="AA179" i="22" s="1"/>
  <c r="W180" i="22"/>
  <c r="W183" i="22"/>
  <c r="W185" i="22"/>
  <c r="W193" i="22"/>
  <c r="W194" i="22"/>
  <c r="W196" i="22"/>
  <c r="W197" i="22"/>
  <c r="X197" i="22" s="1"/>
  <c r="W206" i="22"/>
  <c r="W208" i="22"/>
  <c r="Y208" i="22" s="1"/>
  <c r="W211" i="22"/>
  <c r="X211" i="22" s="1"/>
  <c r="W213" i="22"/>
  <c r="W214" i="22"/>
  <c r="W215" i="22"/>
  <c r="W218" i="22"/>
  <c r="W220" i="22"/>
  <c r="W222" i="22"/>
  <c r="X222" i="22" s="1"/>
  <c r="W223" i="22"/>
  <c r="W229" i="22"/>
  <c r="X229" i="22" s="1"/>
  <c r="W232" i="22"/>
  <c r="W238" i="22"/>
  <c r="X238" i="22" s="1"/>
  <c r="W240" i="22"/>
  <c r="W242" i="22"/>
  <c r="X242" i="22" s="1"/>
  <c r="W246" i="22"/>
  <c r="X246" i="22" s="1"/>
  <c r="W248" i="22"/>
  <c r="W253" i="22"/>
  <c r="W254" i="22"/>
  <c r="W255" i="22"/>
  <c r="W258" i="22"/>
  <c r="W259" i="22"/>
  <c r="W262" i="22"/>
  <c r="X262" i="22" s="1"/>
  <c r="W266" i="22"/>
  <c r="W271" i="22"/>
  <c r="W272" i="22"/>
  <c r="Y272" i="22" s="1"/>
  <c r="AA272" i="22" s="1"/>
  <c r="W273" i="22"/>
  <c r="W276" i="22"/>
  <c r="Y276" i="22" s="1"/>
  <c r="W279" i="22"/>
  <c r="W284" i="22"/>
  <c r="Y284" i="22" s="1"/>
  <c r="W285" i="22"/>
  <c r="W288" i="22"/>
  <c r="X288" i="22" s="1"/>
  <c r="W289" i="22"/>
  <c r="W290" i="22"/>
  <c r="W291" i="22"/>
  <c r="W294" i="22"/>
  <c r="X294" i="22" s="1"/>
  <c r="W295" i="22"/>
  <c r="W296" i="22"/>
  <c r="W297" i="22"/>
  <c r="W298" i="22"/>
  <c r="W302" i="22"/>
  <c r="Y302" i="22" s="1"/>
  <c r="AA302" i="22" s="1"/>
  <c r="W303" i="22"/>
  <c r="Y303" i="22" s="1"/>
  <c r="AA303" i="22" s="1"/>
  <c r="W304" i="22"/>
  <c r="W305" i="22"/>
  <c r="X305" i="22" s="1"/>
  <c r="W307" i="22"/>
  <c r="W308" i="22"/>
  <c r="Y308" i="22" s="1"/>
  <c r="AA308" i="22" s="1"/>
  <c r="W309" i="22"/>
  <c r="W312" i="22"/>
  <c r="W313" i="22"/>
  <c r="Y313" i="22" s="1"/>
  <c r="AA313" i="22" s="1"/>
  <c r="W314" i="22"/>
  <c r="Y314" i="22" s="1"/>
  <c r="AA314" i="22" s="1"/>
  <c r="W315" i="22"/>
  <c r="W316" i="22"/>
  <c r="W317" i="22"/>
  <c r="X317" i="22" s="1"/>
  <c r="W320" i="22"/>
  <c r="Y320" i="22" s="1"/>
  <c r="AA320" i="22" s="1"/>
  <c r="W321" i="22"/>
  <c r="W322" i="22"/>
  <c r="Y322" i="22" s="1"/>
  <c r="AA322" i="22" s="1"/>
  <c r="W323" i="22"/>
  <c r="W324" i="22"/>
  <c r="Y324" i="22" s="1"/>
  <c r="AA324" i="22" s="1"/>
  <c r="W328" i="22"/>
  <c r="W331" i="22"/>
  <c r="Y331" i="22" s="1"/>
  <c r="AA331" i="22" s="1"/>
  <c r="W335" i="22"/>
  <c r="W336" i="22"/>
  <c r="Y336" i="22" s="1"/>
  <c r="AA336" i="22" s="1"/>
  <c r="W339" i="22"/>
  <c r="W342" i="22"/>
  <c r="X342" i="22" s="1"/>
  <c r="W343" i="22"/>
  <c r="Y343" i="22" s="1"/>
  <c r="AA343" i="22" s="1"/>
  <c r="W346" i="22"/>
  <c r="Y346" i="22" s="1"/>
  <c r="AA346" i="22" s="1"/>
  <c r="W347" i="22"/>
  <c r="W349" i="22"/>
  <c r="Y349" i="22" s="1"/>
  <c r="W350" i="22"/>
  <c r="W355" i="22"/>
  <c r="X355" i="22" s="1"/>
  <c r="W357" i="22"/>
  <c r="Y357" i="22" s="1"/>
  <c r="W358" i="22"/>
  <c r="W359" i="22"/>
  <c r="Y359" i="22" s="1"/>
  <c r="W362" i="22"/>
  <c r="W366" i="22"/>
  <c r="W367" i="22"/>
  <c r="X367" i="22" s="1"/>
  <c r="W368" i="22"/>
  <c r="Y368" i="22" s="1"/>
  <c r="W369" i="22"/>
  <c r="W370" i="22"/>
  <c r="Y370" i="22" s="1"/>
  <c r="AA370" i="22" s="1"/>
  <c r="W386" i="22"/>
  <c r="W387" i="22"/>
  <c r="Y387" i="22" s="1"/>
  <c r="W388" i="22"/>
  <c r="W389" i="22"/>
  <c r="W392" i="22"/>
  <c r="X392" i="22" s="1"/>
  <c r="W395" i="22"/>
  <c r="W396" i="22"/>
  <c r="Y396" i="22" s="1"/>
  <c r="AA396" i="22" s="1"/>
  <c r="W397" i="22"/>
  <c r="W398" i="22"/>
  <c r="Y398" i="22" s="1"/>
  <c r="AA398" i="22" s="1"/>
  <c r="W399" i="22"/>
  <c r="W400" i="22"/>
  <c r="W401" i="22"/>
  <c r="X401" i="22" s="1"/>
  <c r="W404" i="22"/>
  <c r="W405" i="22"/>
  <c r="Y405" i="22" s="1"/>
  <c r="AA405" i="22" s="1"/>
  <c r="W406" i="22"/>
  <c r="X406" i="22" s="1"/>
  <c r="W412" i="22"/>
  <c r="X412" i="22" s="1"/>
  <c r="W414" i="22"/>
  <c r="Y414" i="22" s="1"/>
  <c r="AA414" i="22" s="1"/>
  <c r="W416" i="22"/>
  <c r="X416" i="22" s="1"/>
  <c r="W422" i="22"/>
  <c r="W423" i="22"/>
  <c r="X423" i="22" s="1"/>
  <c r="W425" i="22"/>
  <c r="Y425" i="22" s="1"/>
  <c r="AA425" i="22" s="1"/>
  <c r="W426" i="22"/>
  <c r="X426" i="22" s="1"/>
  <c r="W428" i="22"/>
  <c r="W434" i="22"/>
  <c r="X434" i="22" s="1"/>
  <c r="W441" i="22"/>
  <c r="Y441" i="22" s="1"/>
  <c r="W447" i="22"/>
  <c r="X447" i="22" s="1"/>
  <c r="W450" i="22"/>
  <c r="X450" i="22" s="1"/>
  <c r="W452" i="22"/>
  <c r="Y452" i="22" s="1"/>
  <c r="AA452" i="22" s="1"/>
  <c r="W453" i="22"/>
  <c r="X453" i="22" s="1"/>
  <c r="W455" i="22"/>
  <c r="Y455" i="22" s="1"/>
  <c r="AA455" i="22" s="1"/>
  <c r="W456" i="22"/>
  <c r="X456" i="22" s="1"/>
  <c r="W457" i="22"/>
  <c r="Y457" i="22" s="1"/>
  <c r="AA457" i="22" s="1"/>
  <c r="W458" i="22"/>
  <c r="X458" i="22" s="1"/>
  <c r="W460" i="22"/>
  <c r="W463" i="22"/>
  <c r="X463" i="22" s="1"/>
  <c r="W464" i="22"/>
  <c r="Y464" i="22" s="1"/>
  <c r="AA464" i="22" s="1"/>
  <c r="W465" i="22"/>
  <c r="X465" i="22" s="1"/>
  <c r="W466" i="22"/>
  <c r="Y466" i="22" s="1"/>
  <c r="W470" i="22"/>
  <c r="X470" i="22" s="1"/>
  <c r="W471" i="22"/>
  <c r="Y471" i="22" s="1"/>
  <c r="AA471" i="22" s="1"/>
  <c r="W480" i="22"/>
  <c r="X480" i="22" s="1"/>
  <c r="W482" i="22"/>
  <c r="Y482" i="22" s="1"/>
  <c r="AA482" i="22" s="1"/>
  <c r="W486" i="22"/>
  <c r="X486" i="22" s="1"/>
  <c r="W487" i="22"/>
  <c r="W492" i="22"/>
  <c r="W497" i="22"/>
  <c r="W499" i="22"/>
  <c r="W500" i="22"/>
  <c r="W501" i="22"/>
  <c r="W506" i="22"/>
  <c r="W510" i="22"/>
  <c r="W512" i="22"/>
  <c r="W513" i="22"/>
  <c r="W514" i="22"/>
  <c r="Y514" i="22" s="1"/>
  <c r="AA514" i="22" s="1"/>
  <c r="W522" i="22"/>
  <c r="W523" i="22"/>
  <c r="W525" i="22"/>
  <c r="W526" i="22"/>
  <c r="W528" i="22"/>
  <c r="W529" i="22"/>
  <c r="Y529" i="22" s="1"/>
  <c r="AA529" i="22" s="1"/>
  <c r="W530" i="22"/>
  <c r="W531" i="22"/>
  <c r="W535" i="22"/>
  <c r="W536" i="22"/>
  <c r="W537" i="22"/>
  <c r="X537" i="22" s="1"/>
  <c r="W538" i="22"/>
  <c r="W542" i="22"/>
  <c r="W543" i="22"/>
  <c r="W668" i="22"/>
  <c r="X668" i="22" s="1"/>
  <c r="W669" i="22"/>
  <c r="W670" i="22"/>
  <c r="W671" i="22"/>
  <c r="W672" i="22"/>
  <c r="W673" i="22"/>
  <c r="W674" i="22"/>
  <c r="W675" i="22"/>
  <c r="W676" i="22"/>
  <c r="X676" i="22" s="1"/>
  <c r="W677" i="22"/>
  <c r="Y677" i="22" s="1"/>
  <c r="W678" i="22"/>
  <c r="Y678" i="22" s="1"/>
  <c r="AA678" i="22" s="1"/>
  <c r="W679" i="22"/>
  <c r="W449" i="22"/>
  <c r="Y449" i="22" s="1"/>
  <c r="W125" i="22"/>
  <c r="W491" i="22"/>
  <c r="W498" i="22"/>
  <c r="Y498" i="22" s="1"/>
  <c r="W448" i="22"/>
  <c r="Y448" i="22" s="1"/>
  <c r="W472" i="22"/>
  <c r="Y472" i="22" s="1"/>
  <c r="AA472" i="22" s="1"/>
  <c r="W407" i="22"/>
  <c r="W181" i="22"/>
  <c r="W381" i="22"/>
  <c r="W115" i="22"/>
  <c r="W438" i="22"/>
  <c r="W228" i="22"/>
  <c r="W241" i="22"/>
  <c r="X241" i="22" s="1"/>
  <c r="W340" i="22"/>
  <c r="W265" i="22"/>
  <c r="Y265" i="22" s="1"/>
  <c r="AA265" i="22" s="1"/>
  <c r="W198" i="22"/>
  <c r="W502" i="22"/>
  <c r="Y502" i="22" s="1"/>
  <c r="W521" i="22"/>
  <c r="W252" i="22"/>
  <c r="W394" i="22"/>
  <c r="W374" i="22"/>
  <c r="W239" i="22"/>
  <c r="W91" i="22"/>
  <c r="W90" i="22"/>
  <c r="W60" i="22"/>
  <c r="W375" i="22"/>
  <c r="W186" i="22"/>
  <c r="W199" i="22"/>
  <c r="W292" i="22"/>
  <c r="W503" i="22"/>
  <c r="Y503" i="22" s="1"/>
  <c r="W230" i="22"/>
  <c r="W382" i="22"/>
  <c r="W98" i="22"/>
  <c r="W417" i="22"/>
  <c r="W408" i="22"/>
  <c r="W356" i="22"/>
  <c r="W267" i="22"/>
  <c r="W187" i="22"/>
  <c r="W524" i="22"/>
  <c r="W467" i="22"/>
  <c r="W468" i="22"/>
  <c r="W511" i="22"/>
  <c r="W264" i="22"/>
  <c r="W145" i="22"/>
  <c r="W207" i="22"/>
  <c r="W384" i="22"/>
  <c r="Y384" i="22" s="1"/>
  <c r="W97" i="22"/>
  <c r="W483" i="22"/>
  <c r="Y483" i="22" s="1"/>
  <c r="W385" i="22"/>
  <c r="W146" i="22"/>
  <c r="W65" i="22"/>
  <c r="W484" i="22"/>
  <c r="X484" i="22" s="1"/>
  <c r="W332" i="22"/>
  <c r="W473" i="22"/>
  <c r="W585" i="22"/>
  <c r="W586" i="22"/>
  <c r="W348" i="22"/>
  <c r="W743" i="22"/>
  <c r="W744" i="22"/>
  <c r="X744" i="22" s="1"/>
  <c r="W745" i="22"/>
  <c r="W834" i="22"/>
  <c r="W588" i="22"/>
  <c r="Y588" i="22" s="1"/>
  <c r="W587" i="22"/>
  <c r="W835" i="22"/>
  <c r="Y835" i="22" s="1"/>
  <c r="W589" i="22"/>
  <c r="W892" i="22"/>
  <c r="Y892" i="22" s="1"/>
  <c r="W341" i="22"/>
  <c r="X341" i="22" s="1"/>
  <c r="W15" i="22"/>
  <c r="W469" i="22"/>
  <c r="W391" i="22"/>
  <c r="W190" i="22"/>
  <c r="W590" i="22"/>
  <c r="X590" i="22" s="1"/>
  <c r="W591" i="22"/>
  <c r="W592" i="22"/>
  <c r="W883" i="22"/>
  <c r="X883" i="22" s="1"/>
  <c r="W884" i="22"/>
  <c r="X884" i="22" s="1"/>
  <c r="W593" i="22"/>
  <c r="W594" i="22"/>
  <c r="W595" i="22"/>
  <c r="W596" i="22"/>
  <c r="Y596" i="22" s="1"/>
  <c r="W597" i="22"/>
  <c r="W598" i="22"/>
  <c r="Y598" i="22" s="1"/>
  <c r="W888" i="22"/>
  <c r="W889" i="22"/>
  <c r="W890" i="22"/>
  <c r="W891" i="22"/>
  <c r="W148" i="22"/>
  <c r="W599" i="22"/>
  <c r="W600" i="22"/>
  <c r="W601" i="22"/>
  <c r="W129" i="22"/>
  <c r="X129" i="22" s="1"/>
  <c r="W602" i="22"/>
  <c r="W885" i="22"/>
  <c r="W886" i="22"/>
  <c r="W887" i="22"/>
  <c r="Y887" i="22" s="1"/>
  <c r="W603" i="22"/>
  <c r="W249" i="22"/>
  <c r="Y249" i="22" s="1"/>
  <c r="W754" i="22"/>
  <c r="G1964" i="23"/>
  <c r="A1963" i="23"/>
  <c r="V1954" i="23"/>
  <c r="S1954" i="23"/>
  <c r="P1954" i="23"/>
  <c r="G1947" i="23"/>
  <c r="AD1940" i="23" s="1"/>
  <c r="A1946" i="23"/>
  <c r="V1939" i="23"/>
  <c r="S1939" i="23"/>
  <c r="V1938" i="23"/>
  <c r="S1938" i="23"/>
  <c r="A1938" i="23" s="1"/>
  <c r="P1938" i="23"/>
  <c r="A1930" i="23"/>
  <c r="G1931" i="23"/>
  <c r="AD1922" i="23" s="1"/>
  <c r="V1917" i="23"/>
  <c r="S1917" i="23"/>
  <c r="P1917" i="23"/>
  <c r="G1903" i="23"/>
  <c r="G1910" i="23" s="1"/>
  <c r="AD1902" i="23" s="1"/>
  <c r="A1909" i="23"/>
  <c r="V1899" i="23"/>
  <c r="S1899" i="23"/>
  <c r="P1899" i="23"/>
  <c r="AC120" i="22" l="1"/>
  <c r="AD1957" i="23"/>
  <c r="T1955" i="23"/>
  <c r="A1954" i="23"/>
  <c r="T1940" i="23"/>
  <c r="A1939" i="23"/>
  <c r="T1918" i="23"/>
  <c r="A1917" i="23"/>
  <c r="T1900" i="23"/>
  <c r="A1899" i="23"/>
  <c r="K17" i="24"/>
  <c r="L17" i="24" s="1"/>
  <c r="M17" i="24" s="1"/>
  <c r="N17" i="24" s="1"/>
  <c r="R17" i="24" s="1"/>
  <c r="AJ996" i="22"/>
  <c r="Z588" i="22"/>
  <c r="AA588" i="22"/>
  <c r="AA449" i="22"/>
  <c r="Z449" i="22"/>
  <c r="Z448" i="22"/>
  <c r="AA448" i="22"/>
  <c r="X542" i="22"/>
  <c r="Y542" i="22"/>
  <c r="AA542" i="22" s="1"/>
  <c r="AI141" i="34"/>
  <c r="AA598" i="22"/>
  <c r="Z598" i="22"/>
  <c r="Z892" i="22"/>
  <c r="AA892" i="22"/>
  <c r="Z368" i="22"/>
  <c r="AA368" i="22"/>
  <c r="Z284" i="22"/>
  <c r="AA284" i="22"/>
  <c r="AA887" i="22"/>
  <c r="Z887" i="22"/>
  <c r="Z677" i="22"/>
  <c r="AA677" i="22"/>
  <c r="Z482" i="22"/>
  <c r="Z596" i="22"/>
  <c r="AA596" i="22"/>
  <c r="Z835" i="22"/>
  <c r="AA835" i="22"/>
  <c r="AA483" i="22"/>
  <c r="Z483" i="22"/>
  <c r="Z498" i="22"/>
  <c r="T480" i="23"/>
  <c r="T478" i="23"/>
  <c r="T482" i="23"/>
  <c r="T479" i="23"/>
  <c r="T481" i="23"/>
  <c r="T483" i="23"/>
  <c r="AA466" i="22"/>
  <c r="AA27" i="22"/>
  <c r="M1954" i="23"/>
  <c r="N1954" i="23" s="1"/>
  <c r="H1955" i="23" s="1"/>
  <c r="X483" i="22"/>
  <c r="X51" i="22"/>
  <c r="X598" i="22"/>
  <c r="Y537" i="22"/>
  <c r="X179" i="22"/>
  <c r="X588" i="22"/>
  <c r="Y744" i="22"/>
  <c r="X466" i="22"/>
  <c r="Y151" i="22"/>
  <c r="AA151" i="22" s="1"/>
  <c r="X42" i="22"/>
  <c r="Y20" i="22"/>
  <c r="AA20" i="22" s="1"/>
  <c r="Y17" i="22"/>
  <c r="AA17" i="22" s="1"/>
  <c r="X887" i="22"/>
  <c r="Y246" i="22"/>
  <c r="AA246" i="22" s="1"/>
  <c r="Y37" i="22"/>
  <c r="AA37" i="22" s="1"/>
  <c r="Y31" i="22"/>
  <c r="Y883" i="22"/>
  <c r="Y590" i="22"/>
  <c r="X892" i="22"/>
  <c r="X677" i="22"/>
  <c r="X529" i="22"/>
  <c r="X455" i="22"/>
  <c r="X396" i="22"/>
  <c r="Y392" i="22"/>
  <c r="X359" i="22"/>
  <c r="Y355" i="22"/>
  <c r="AA355" i="22" s="1"/>
  <c r="Y294" i="22"/>
  <c r="AA294" i="22" s="1"/>
  <c r="Y242" i="22"/>
  <c r="AA242" i="22" s="1"/>
  <c r="X102" i="22"/>
  <c r="Y447" i="22"/>
  <c r="AA447" i="22" s="1"/>
  <c r="Y305" i="22"/>
  <c r="AA305" i="22" s="1"/>
  <c r="Y884" i="22"/>
  <c r="Y341" i="22"/>
  <c r="X498" i="22"/>
  <c r="X370" i="22"/>
  <c r="Y367" i="22"/>
  <c r="X346" i="22"/>
  <c r="Y342" i="22"/>
  <c r="X322" i="22"/>
  <c r="Y317" i="22"/>
  <c r="AA317" i="22" s="1"/>
  <c r="X302" i="22"/>
  <c r="X276" i="22"/>
  <c r="Y197" i="22"/>
  <c r="AA197" i="22" s="1"/>
  <c r="X27" i="22"/>
  <c r="X385" i="22"/>
  <c r="Y385" i="22"/>
  <c r="X248" i="22"/>
  <c r="Y248" i="22"/>
  <c r="AA248" i="22" s="1"/>
  <c r="X603" i="22"/>
  <c r="Y603" i="22"/>
  <c r="Y601" i="22"/>
  <c r="X601" i="22"/>
  <c r="Y428" i="22"/>
  <c r="AA428" i="22" s="1"/>
  <c r="X428" i="22"/>
  <c r="X16" i="22"/>
  <c r="Y16" i="22"/>
  <c r="AA16" i="22" s="1"/>
  <c r="X190" i="22"/>
  <c r="Y190" i="22"/>
  <c r="X60" i="22"/>
  <c r="Y60" i="22"/>
  <c r="Y223" i="22"/>
  <c r="AA223" i="22" s="1"/>
  <c r="X223" i="22"/>
  <c r="Y65" i="22"/>
  <c r="X65" i="22"/>
  <c r="X521" i="22"/>
  <c r="Y521" i="22"/>
  <c r="AA521" i="22" s="1"/>
  <c r="Y670" i="22"/>
  <c r="X670" i="22"/>
  <c r="X312" i="22"/>
  <c r="Y312" i="22"/>
  <c r="X254" i="22"/>
  <c r="Y254" i="22"/>
  <c r="AA254" i="22" s="1"/>
  <c r="X26" i="22"/>
  <c r="Y26" i="22"/>
  <c r="AA26" i="22" s="1"/>
  <c r="X487" i="22"/>
  <c r="Y487" i="22"/>
  <c r="X602" i="22"/>
  <c r="Y602" i="22"/>
  <c r="X599" i="22"/>
  <c r="Y599" i="22"/>
  <c r="Y207" i="22"/>
  <c r="X207" i="22"/>
  <c r="X523" i="22"/>
  <c r="Y523" i="22"/>
  <c r="AA523" i="22" s="1"/>
  <c r="X218" i="22"/>
  <c r="Y218" i="22"/>
  <c r="AA218" i="22" s="1"/>
  <c r="Y167" i="22"/>
  <c r="AA167" i="22" s="1"/>
  <c r="X167" i="22"/>
  <c r="X249" i="22"/>
  <c r="Y129" i="22"/>
  <c r="X596" i="22"/>
  <c r="X835" i="22"/>
  <c r="X503" i="22"/>
  <c r="Y241" i="22"/>
  <c r="X405" i="22"/>
  <c r="X313" i="22"/>
  <c r="Y288" i="22"/>
  <c r="AA288" i="22" s="1"/>
  <c r="X284" i="22"/>
  <c r="Y238" i="22"/>
  <c r="AA238" i="22" s="1"/>
  <c r="Y229" i="22"/>
  <c r="X208" i="22"/>
  <c r="X89" i="22"/>
  <c r="X886" i="22"/>
  <c r="Y886" i="22"/>
  <c r="X148" i="22"/>
  <c r="Y148" i="22"/>
  <c r="Y594" i="22"/>
  <c r="X594" i="22"/>
  <c r="Y745" i="22"/>
  <c r="X745" i="22"/>
  <c r="Y743" i="22"/>
  <c r="X743" i="22"/>
  <c r="X888" i="22"/>
  <c r="Y888" i="22"/>
  <c r="X586" i="22"/>
  <c r="Y586" i="22"/>
  <c r="Y500" i="22"/>
  <c r="X500" i="22"/>
  <c r="X397" i="22"/>
  <c r="Y397" i="22"/>
  <c r="X335" i="22"/>
  <c r="Y335" i="22"/>
  <c r="AA335" i="22" s="1"/>
  <c r="Y271" i="22"/>
  <c r="AA271" i="22" s="1"/>
  <c r="X271" i="22"/>
  <c r="X215" i="22"/>
  <c r="Y215" i="22"/>
  <c r="X56" i="22"/>
  <c r="Y56" i="22"/>
  <c r="X38" i="22"/>
  <c r="Y38" i="22"/>
  <c r="Y885" i="22"/>
  <c r="X885" i="22"/>
  <c r="Y592" i="22"/>
  <c r="X592" i="22"/>
  <c r="X181" i="22"/>
  <c r="Y181" i="22"/>
  <c r="AA181" i="22" s="1"/>
  <c r="Y400" i="22"/>
  <c r="AA400" i="22" s="1"/>
  <c r="X400" i="22"/>
  <c r="Y366" i="22"/>
  <c r="X366" i="22"/>
  <c r="Y339" i="22"/>
  <c r="AA339" i="22" s="1"/>
  <c r="X339" i="22"/>
  <c r="Y316" i="22"/>
  <c r="X316" i="22"/>
  <c r="X291" i="22"/>
  <c r="Y291" i="22"/>
  <c r="AA291" i="22" s="1"/>
  <c r="X273" i="22"/>
  <c r="Y273" i="22"/>
  <c r="AA273" i="22" s="1"/>
  <c r="X255" i="22"/>
  <c r="Y255" i="22"/>
  <c r="Y220" i="22"/>
  <c r="AA220" i="22" s="1"/>
  <c r="X220" i="22"/>
  <c r="Y140" i="22"/>
  <c r="AA140" i="22" s="1"/>
  <c r="X140" i="22"/>
  <c r="Y107" i="22"/>
  <c r="AA107" i="22" s="1"/>
  <c r="X107" i="22"/>
  <c r="X384" i="22"/>
  <c r="X502" i="22"/>
  <c r="X514" i="22"/>
  <c r="X422" i="22"/>
  <c r="Y422" i="22"/>
  <c r="AA422" i="22" s="1"/>
  <c r="Y406" i="22"/>
  <c r="AA406" i="22" s="1"/>
  <c r="X386" i="22"/>
  <c r="Y386" i="22"/>
  <c r="X347" i="22"/>
  <c r="Y347" i="22"/>
  <c r="X323" i="22"/>
  <c r="Y323" i="22"/>
  <c r="X295" i="22"/>
  <c r="Y295" i="22"/>
  <c r="AA295" i="22" s="1"/>
  <c r="X279" i="22"/>
  <c r="Y279" i="22"/>
  <c r="Y232" i="22"/>
  <c r="AA232" i="22" s="1"/>
  <c r="X232" i="22"/>
  <c r="X47" i="22"/>
  <c r="Y47" i="22"/>
  <c r="AA47" i="22" s="1"/>
  <c r="X381" i="22"/>
  <c r="Y381" i="22"/>
  <c r="AA381" i="22" s="1"/>
  <c r="X672" i="22"/>
  <c r="Y672" i="22"/>
  <c r="X460" i="22"/>
  <c r="Y460" i="22"/>
  <c r="AA460" i="22" s="1"/>
  <c r="Y389" i="22"/>
  <c r="X389" i="22"/>
  <c r="Y328" i="22"/>
  <c r="AA328" i="22" s="1"/>
  <c r="X328" i="22"/>
  <c r="X289" i="22"/>
  <c r="Y289" i="22"/>
  <c r="Y259" i="22"/>
  <c r="AA259" i="22" s="1"/>
  <c r="X259" i="22"/>
  <c r="Y240" i="22"/>
  <c r="AA240" i="22" s="1"/>
  <c r="X240" i="22"/>
  <c r="Y128" i="22"/>
  <c r="AA128" i="22" s="1"/>
  <c r="X128" i="22"/>
  <c r="Y77" i="22"/>
  <c r="AA77" i="22" s="1"/>
  <c r="X77" i="22"/>
  <c r="X82" i="22"/>
  <c r="Y70" i="22"/>
  <c r="AA70" i="22" s="1"/>
  <c r="X889" i="22"/>
  <c r="Y889" i="22"/>
  <c r="Y585" i="22"/>
  <c r="X585" i="22"/>
  <c r="X468" i="22"/>
  <c r="Y468" i="22"/>
  <c r="X267" i="22"/>
  <c r="Y267" i="22"/>
  <c r="X199" i="22"/>
  <c r="Y199" i="22"/>
  <c r="X340" i="22"/>
  <c r="Y340" i="22"/>
  <c r="X669" i="22"/>
  <c r="Y669" i="22"/>
  <c r="X492" i="22"/>
  <c r="Y492" i="22"/>
  <c r="X30" i="22"/>
  <c r="Y30" i="22"/>
  <c r="AA30" i="22" s="1"/>
  <c r="X595" i="22"/>
  <c r="Y595" i="22"/>
  <c r="X15" i="22"/>
  <c r="Y15" i="22"/>
  <c r="X115" i="22"/>
  <c r="Y115" i="22"/>
  <c r="AA115" i="22" s="1"/>
  <c r="Y891" i="22"/>
  <c r="X891" i="22"/>
  <c r="X587" i="22"/>
  <c r="Y587" i="22"/>
  <c r="X332" i="22"/>
  <c r="Y332" i="22"/>
  <c r="X448" i="22"/>
  <c r="X673" i="22"/>
  <c r="Y673" i="22"/>
  <c r="Y391" i="22"/>
  <c r="AA391" i="22" s="1"/>
  <c r="X391" i="22"/>
  <c r="X449" i="22"/>
  <c r="X307" i="22"/>
  <c r="Y307" i="22"/>
  <c r="AA307" i="22" s="1"/>
  <c r="X298" i="22"/>
  <c r="Y298" i="22"/>
  <c r="AA298" i="22" s="1"/>
  <c r="X285" i="22"/>
  <c r="Y285" i="22"/>
  <c r="AA285" i="22" s="1"/>
  <c r="X253" i="22"/>
  <c r="X81" i="22"/>
  <c r="Y81" i="22"/>
  <c r="AA81" i="22" s="1"/>
  <c r="X21" i="22"/>
  <c r="Y21" i="22"/>
  <c r="AA21" i="22" s="1"/>
  <c r="X678" i="22"/>
  <c r="Y676" i="22"/>
  <c r="AA676" i="22" s="1"/>
  <c r="Y668" i="22"/>
  <c r="AA668" i="22" s="1"/>
  <c r="Y401" i="22"/>
  <c r="Y296" i="22"/>
  <c r="AA296" i="22" s="1"/>
  <c r="X296" i="22"/>
  <c r="Y290" i="22"/>
  <c r="AA290" i="22" s="1"/>
  <c r="X290" i="22"/>
  <c r="X266" i="22"/>
  <c r="Y266" i="22"/>
  <c r="X258" i="22"/>
  <c r="Y258" i="22"/>
  <c r="X105" i="22"/>
  <c r="Y105" i="22"/>
  <c r="AA105" i="22" s="1"/>
  <c r="X71" i="22"/>
  <c r="Y71" i="22"/>
  <c r="X101" i="22"/>
  <c r="Y101" i="22"/>
  <c r="AA101" i="22" s="1"/>
  <c r="X272" i="22"/>
  <c r="Y262" i="22"/>
  <c r="AA262" i="22" s="1"/>
  <c r="Y211" i="22"/>
  <c r="AA211" i="22" s="1"/>
  <c r="Y59" i="22"/>
  <c r="AA59" i="22" s="1"/>
  <c r="Y54" i="22"/>
  <c r="AA54" i="22" s="1"/>
  <c r="Y50" i="22"/>
  <c r="AA50" i="22" s="1"/>
  <c r="Y46" i="22"/>
  <c r="AA46" i="22" s="1"/>
  <c r="Y41" i="22"/>
  <c r="AA41" i="22" s="1"/>
  <c r="X597" i="22"/>
  <c r="Y597" i="22"/>
  <c r="X589" i="22"/>
  <c r="Y589" i="22"/>
  <c r="X97" i="22"/>
  <c r="Y97" i="22"/>
  <c r="X407" i="22"/>
  <c r="Y407" i="22"/>
  <c r="X304" i="22"/>
  <c r="Y304" i="22"/>
  <c r="AA304" i="22" s="1"/>
  <c r="X593" i="22"/>
  <c r="Y593" i="22"/>
  <c r="X834" i="22"/>
  <c r="Y834" i="22"/>
  <c r="X600" i="22"/>
  <c r="Y600" i="22"/>
  <c r="X591" i="22"/>
  <c r="Y591" i="22"/>
  <c r="X348" i="22"/>
  <c r="Y348" i="22"/>
  <c r="X145" i="22"/>
  <c r="Y145" i="22"/>
  <c r="X467" i="22"/>
  <c r="Y467" i="22"/>
  <c r="X524" i="22"/>
  <c r="Y524" i="22"/>
  <c r="X417" i="22"/>
  <c r="Y417" i="22"/>
  <c r="X98" i="22"/>
  <c r="Y98" i="22"/>
  <c r="X230" i="22"/>
  <c r="Y230" i="22"/>
  <c r="X375" i="22"/>
  <c r="Y375" i="22"/>
  <c r="X90" i="22"/>
  <c r="Y90" i="22"/>
  <c r="X239" i="22"/>
  <c r="Y239" i="22"/>
  <c r="Y394" i="22"/>
  <c r="AA394" i="22" s="1"/>
  <c r="X394" i="22"/>
  <c r="X198" i="22"/>
  <c r="Y198" i="22"/>
  <c r="AA198" i="22" s="1"/>
  <c r="X890" i="22"/>
  <c r="Y890" i="22"/>
  <c r="X469" i="22"/>
  <c r="Y469" i="22"/>
  <c r="X473" i="22"/>
  <c r="Y473" i="22"/>
  <c r="X146" i="22"/>
  <c r="Y146" i="22"/>
  <c r="Y484" i="22"/>
  <c r="Y292" i="22"/>
  <c r="X292" i="22"/>
  <c r="X374" i="22"/>
  <c r="Y374" i="22"/>
  <c r="AA374" i="22" s="1"/>
  <c r="X264" i="22"/>
  <c r="Y264" i="22"/>
  <c r="X511" i="22"/>
  <c r="Y511" i="22"/>
  <c r="X187" i="22"/>
  <c r="Y187" i="22"/>
  <c r="X356" i="22"/>
  <c r="Y356" i="22"/>
  <c r="X382" i="22"/>
  <c r="Y382" i="22"/>
  <c r="X186" i="22"/>
  <c r="Y186" i="22"/>
  <c r="X91" i="22"/>
  <c r="Y91" i="22"/>
  <c r="Y408" i="22"/>
  <c r="X408" i="22"/>
  <c r="Y438" i="22"/>
  <c r="AA438" i="22" s="1"/>
  <c r="X438" i="22"/>
  <c r="Y125" i="22"/>
  <c r="AA125" i="22" s="1"/>
  <c r="X125" i="22"/>
  <c r="Y674" i="22"/>
  <c r="AA674" i="22" s="1"/>
  <c r="X674" i="22"/>
  <c r="X228" i="22"/>
  <c r="Y228" i="22"/>
  <c r="AA228" i="22" s="1"/>
  <c r="X491" i="22"/>
  <c r="Y491" i="22"/>
  <c r="AA491" i="22" s="1"/>
  <c r="X675" i="22"/>
  <c r="Y675" i="22"/>
  <c r="X543" i="22"/>
  <c r="Y543" i="22"/>
  <c r="AA543" i="22" s="1"/>
  <c r="X536" i="22"/>
  <c r="Y536" i="22"/>
  <c r="AA536" i="22" s="1"/>
  <c r="Y531" i="22"/>
  <c r="AA531" i="22" s="1"/>
  <c r="X531" i="22"/>
  <c r="X528" i="22"/>
  <c r="Y528" i="22"/>
  <c r="AA528" i="22" s="1"/>
  <c r="X525" i="22"/>
  <c r="Y525" i="22"/>
  <c r="X513" i="22"/>
  <c r="Y513" i="22"/>
  <c r="AA513" i="22" s="1"/>
  <c r="X510" i="22"/>
  <c r="Y510" i="22"/>
  <c r="AA510" i="22" s="1"/>
  <c r="Y506" i="22"/>
  <c r="AA506" i="22" s="1"/>
  <c r="X506" i="22"/>
  <c r="X499" i="22"/>
  <c r="Y499" i="22"/>
  <c r="AA499" i="22" s="1"/>
  <c r="X297" i="22"/>
  <c r="Y297" i="22"/>
  <c r="AA297" i="22" s="1"/>
  <c r="X265" i="22"/>
  <c r="X472" i="22"/>
  <c r="X671" i="22"/>
  <c r="Y671" i="22"/>
  <c r="X404" i="22"/>
  <c r="Y404" i="22"/>
  <c r="AA404" i="22" s="1"/>
  <c r="X399" i="22"/>
  <c r="Y399" i="22"/>
  <c r="AA399" i="22" s="1"/>
  <c r="X395" i="22"/>
  <c r="Y395" i="22"/>
  <c r="X388" i="22"/>
  <c r="Y388" i="22"/>
  <c r="AA388" i="22" s="1"/>
  <c r="X369" i="22"/>
  <c r="Y369" i="22"/>
  <c r="AA369" i="22" s="1"/>
  <c r="X362" i="22"/>
  <c r="Y362" i="22"/>
  <c r="AA362" i="22" s="1"/>
  <c r="X358" i="22"/>
  <c r="Y358" i="22"/>
  <c r="X350" i="22"/>
  <c r="Y350" i="22"/>
  <c r="X321" i="22"/>
  <c r="Y321" i="22"/>
  <c r="AA321" i="22" s="1"/>
  <c r="X315" i="22"/>
  <c r="Y315" i="22"/>
  <c r="AA315" i="22" s="1"/>
  <c r="X252" i="22"/>
  <c r="Y252" i="22"/>
  <c r="AA252" i="22" s="1"/>
  <c r="X679" i="22"/>
  <c r="Y679" i="22"/>
  <c r="X538" i="22"/>
  <c r="Y538" i="22"/>
  <c r="AA538" i="22" s="1"/>
  <c r="Y535" i="22"/>
  <c r="AA535" i="22" s="1"/>
  <c r="X535" i="22"/>
  <c r="X530" i="22"/>
  <c r="Y530" i="22"/>
  <c r="AA530" i="22" s="1"/>
  <c r="Y526" i="22"/>
  <c r="X526" i="22"/>
  <c r="X522" i="22"/>
  <c r="Y522" i="22"/>
  <c r="Y512" i="22"/>
  <c r="AA512" i="22" s="1"/>
  <c r="X512" i="22"/>
  <c r="X501" i="22"/>
  <c r="Y501" i="22"/>
  <c r="AA501" i="22" s="1"/>
  <c r="Y497" i="22"/>
  <c r="AA497" i="22" s="1"/>
  <c r="X497" i="22"/>
  <c r="X309" i="22"/>
  <c r="Y309" i="22"/>
  <c r="AA309" i="22" s="1"/>
  <c r="Y480" i="22"/>
  <c r="AA480" i="22" s="1"/>
  <c r="Y470" i="22"/>
  <c r="AA470" i="22" s="1"/>
  <c r="Y463" i="22"/>
  <c r="AA463" i="22" s="1"/>
  <c r="Y456" i="22"/>
  <c r="AA456" i="22" s="1"/>
  <c r="Y450" i="22"/>
  <c r="AA450" i="22" s="1"/>
  <c r="Y434" i="22"/>
  <c r="Y423" i="22"/>
  <c r="AA423" i="22" s="1"/>
  <c r="Y412" i="22"/>
  <c r="AA412" i="22" s="1"/>
  <c r="Y194" i="22"/>
  <c r="AA194" i="22" s="1"/>
  <c r="X194" i="22"/>
  <c r="Y169" i="22"/>
  <c r="AA169" i="22" s="1"/>
  <c r="X169" i="22"/>
  <c r="Y149" i="22"/>
  <c r="AA149" i="22" s="1"/>
  <c r="X149" i="22"/>
  <c r="X110" i="22"/>
  <c r="Y110" i="22"/>
  <c r="AA110" i="22" s="1"/>
  <c r="X93" i="22"/>
  <c r="Y93" i="22"/>
  <c r="AA93" i="22" s="1"/>
  <c r="X80" i="22"/>
  <c r="Y80" i="22"/>
  <c r="AA80" i="22" s="1"/>
  <c r="Y73" i="22"/>
  <c r="AA73" i="22" s="1"/>
  <c r="X73" i="22"/>
  <c r="Y486" i="22"/>
  <c r="AA486" i="22" s="1"/>
  <c r="X482" i="22"/>
  <c r="X471" i="22"/>
  <c r="Y465" i="22"/>
  <c r="AA465" i="22" s="1"/>
  <c r="X464" i="22"/>
  <c r="Y458" i="22"/>
  <c r="AA458" i="22" s="1"/>
  <c r="X457" i="22"/>
  <c r="Y453" i="22"/>
  <c r="X452" i="22"/>
  <c r="X441" i="22"/>
  <c r="Y426" i="22"/>
  <c r="AA426" i="22" s="1"/>
  <c r="X425" i="22"/>
  <c r="Y416" i="22"/>
  <c r="AA416" i="22" s="1"/>
  <c r="X414" i="22"/>
  <c r="X398" i="22"/>
  <c r="X387" i="22"/>
  <c r="X368" i="22"/>
  <c r="X357" i="22"/>
  <c r="X349" i="22"/>
  <c r="X343" i="22"/>
  <c r="X336" i="22"/>
  <c r="X331" i="22"/>
  <c r="X324" i="22"/>
  <c r="X320" i="22"/>
  <c r="X314" i="22"/>
  <c r="X308" i="22"/>
  <c r="X303" i="22"/>
  <c r="Y213" i="22"/>
  <c r="AA213" i="22" s="1"/>
  <c r="X213" i="22"/>
  <c r="X193" i="22"/>
  <c r="Y193" i="22"/>
  <c r="AA193" i="22" s="1"/>
  <c r="X185" i="22"/>
  <c r="Y185" i="22"/>
  <c r="AA185" i="22" s="1"/>
  <c r="X168" i="22"/>
  <c r="Y168" i="22"/>
  <c r="AA168" i="22" s="1"/>
  <c r="X166" i="22"/>
  <c r="Y166" i="22"/>
  <c r="AA166" i="22" s="1"/>
  <c r="X147" i="22"/>
  <c r="Y147" i="22"/>
  <c r="AA147" i="22" s="1"/>
  <c r="Y116" i="22"/>
  <c r="X116" i="22"/>
  <c r="Y103" i="22"/>
  <c r="AA103" i="22" s="1"/>
  <c r="X103" i="22"/>
  <c r="Y222" i="22"/>
  <c r="AA222" i="22" s="1"/>
  <c r="X214" i="22"/>
  <c r="Y214" i="22"/>
  <c r="AA214" i="22" s="1"/>
  <c r="Y183" i="22"/>
  <c r="X183" i="22"/>
  <c r="X206" i="22"/>
  <c r="Y206" i="22"/>
  <c r="X196" i="22"/>
  <c r="Y196" i="22"/>
  <c r="AA196" i="22" s="1"/>
  <c r="X180" i="22"/>
  <c r="Y180" i="22"/>
  <c r="AA180" i="22" s="1"/>
  <c r="X178" i="22"/>
  <c r="Y178" i="22"/>
  <c r="X150" i="22"/>
  <c r="Y150" i="22"/>
  <c r="AA150" i="22" s="1"/>
  <c r="X136" i="22"/>
  <c r="Y136" i="22"/>
  <c r="AA136" i="22" s="1"/>
  <c r="X66" i="22"/>
  <c r="Y66" i="22"/>
  <c r="AA66" i="22" s="1"/>
  <c r="Y52" i="22"/>
  <c r="AA52" i="22" s="1"/>
  <c r="X52" i="22"/>
  <c r="Y48" i="22"/>
  <c r="AA48" i="22" s="1"/>
  <c r="X48" i="22"/>
  <c r="X18" i="22"/>
  <c r="Y18" i="22"/>
  <c r="AA18" i="22" s="1"/>
  <c r="X126" i="22"/>
  <c r="Y126" i="22"/>
  <c r="Y108" i="22"/>
  <c r="AA108" i="22" s="1"/>
  <c r="X108" i="22"/>
  <c r="X104" i="22"/>
  <c r="Y104" i="22"/>
  <c r="AA104" i="22" s="1"/>
  <c r="Y79" i="22"/>
  <c r="AA79" i="22" s="1"/>
  <c r="X79" i="22"/>
  <c r="X74" i="22"/>
  <c r="Y74" i="22"/>
  <c r="AA74" i="22" s="1"/>
  <c r="Y64" i="22"/>
  <c r="AA64" i="22" s="1"/>
  <c r="X64" i="22"/>
  <c r="Y43" i="22"/>
  <c r="AA43" i="22" s="1"/>
  <c r="X43" i="22"/>
  <c r="Y39" i="22"/>
  <c r="AA39" i="22" s="1"/>
  <c r="X39" i="22"/>
  <c r="X53" i="22"/>
  <c r="Y53" i="22"/>
  <c r="AA53" i="22" s="1"/>
  <c r="X49" i="22"/>
  <c r="Y49" i="22"/>
  <c r="AA49" i="22" s="1"/>
  <c r="X45" i="22"/>
  <c r="Y45" i="22"/>
  <c r="AA45" i="22" s="1"/>
  <c r="X40" i="22"/>
  <c r="Y40" i="22"/>
  <c r="AA40" i="22" s="1"/>
  <c r="X32" i="22"/>
  <c r="Y32" i="22"/>
  <c r="AA32" i="22" s="1"/>
  <c r="X28" i="22"/>
  <c r="Y28" i="22"/>
  <c r="AA28" i="22" s="1"/>
  <c r="X24" i="22"/>
  <c r="Y24" i="22"/>
  <c r="AA24" i="22" s="1"/>
  <c r="Y36" i="22"/>
  <c r="AA36" i="22" s="1"/>
  <c r="Y29" i="22"/>
  <c r="AA29" i="22" s="1"/>
  <c r="Y25" i="22"/>
  <c r="AA25" i="22" s="1"/>
  <c r="Y19" i="22"/>
  <c r="AA19" i="22" s="1"/>
  <c r="Y13" i="22"/>
  <c r="AA13" i="22" s="1"/>
  <c r="T1939" i="23"/>
  <c r="M1938" i="23"/>
  <c r="N1938" i="23" s="1"/>
  <c r="R1938" i="23" s="1"/>
  <c r="M1917" i="23"/>
  <c r="N1917" i="23" s="1"/>
  <c r="H1918" i="23" s="1"/>
  <c r="M1918" i="23" s="1"/>
  <c r="N1918" i="23" s="1"/>
  <c r="H1919" i="23" s="1"/>
  <c r="M1919" i="23" s="1"/>
  <c r="N1919" i="23" s="1"/>
  <c r="M1899" i="23"/>
  <c r="N1899" i="23" s="1"/>
  <c r="H1900" i="23" s="1"/>
  <c r="M1900" i="23" s="1"/>
  <c r="N1900" i="23" s="1"/>
  <c r="G1871" i="23"/>
  <c r="AD1865" i="23" s="1"/>
  <c r="A1870" i="23"/>
  <c r="V1860" i="23"/>
  <c r="S1860" i="23"/>
  <c r="T1861" i="23" s="1"/>
  <c r="U1861" i="23" s="1"/>
  <c r="K1860" i="23"/>
  <c r="L1860" i="23" s="1"/>
  <c r="V1859" i="23"/>
  <c r="S1859" i="23"/>
  <c r="P1859" i="23"/>
  <c r="D1855" i="23"/>
  <c r="K1836" i="23"/>
  <c r="L1836" i="23" s="1"/>
  <c r="S1836" i="23"/>
  <c r="T1837" i="23" s="1"/>
  <c r="V1836" i="23"/>
  <c r="G1852" i="23"/>
  <c r="AD1845" i="23" s="1"/>
  <c r="A1851" i="23"/>
  <c r="V1835" i="23"/>
  <c r="S1835" i="23"/>
  <c r="P1835" i="23"/>
  <c r="D1831" i="23"/>
  <c r="G1828" i="23"/>
  <c r="AD1822" i="23" s="1"/>
  <c r="A1827" i="23"/>
  <c r="A1826" i="23"/>
  <c r="V1816" i="23"/>
  <c r="S1816" i="23"/>
  <c r="T1817" i="23" s="1"/>
  <c r="U1817" i="23" s="1"/>
  <c r="V1815" i="23"/>
  <c r="S1815" i="23"/>
  <c r="P1815" i="23"/>
  <c r="D1811" i="23"/>
  <c r="G1808" i="23"/>
  <c r="AD1802" i="23" s="1"/>
  <c r="A1807" i="23"/>
  <c r="V1792" i="23"/>
  <c r="S1792" i="23"/>
  <c r="T1793" i="23" s="1"/>
  <c r="V1791" i="23"/>
  <c r="S1791" i="23"/>
  <c r="P1791" i="23"/>
  <c r="D1787" i="23"/>
  <c r="G1765" i="23"/>
  <c r="AD1758" i="23" s="1"/>
  <c r="A1764" i="23"/>
  <c r="V1749" i="23"/>
  <c r="S1749" i="23"/>
  <c r="T1750" i="23" s="1"/>
  <c r="V1748" i="23"/>
  <c r="S1748" i="23"/>
  <c r="P1748" i="23"/>
  <c r="D1744" i="23"/>
  <c r="G1693" i="23"/>
  <c r="AD1686" i="23" s="1"/>
  <c r="A1692" i="23"/>
  <c r="V1680" i="23"/>
  <c r="S1680" i="23"/>
  <c r="T1681" i="23" s="1"/>
  <c r="K1680" i="23"/>
  <c r="L1680" i="23" s="1"/>
  <c r="V1679" i="23"/>
  <c r="S1679" i="23"/>
  <c r="P1679" i="23"/>
  <c r="D1675" i="23"/>
  <c r="V1542" i="23"/>
  <c r="S1542" i="23"/>
  <c r="T1543" i="23" s="1"/>
  <c r="K1542" i="23"/>
  <c r="L1542" i="23" s="1"/>
  <c r="G1554" i="23"/>
  <c r="G1560" i="23" s="1"/>
  <c r="AD1554" i="23" s="1"/>
  <c r="A1559" i="23"/>
  <c r="A1558" i="23"/>
  <c r="V1541" i="23"/>
  <c r="S1541" i="23"/>
  <c r="P1541" i="23"/>
  <c r="D1537" i="23"/>
  <c r="A1533" i="23"/>
  <c r="A1532" i="23"/>
  <c r="V1519" i="23"/>
  <c r="S1519" i="23"/>
  <c r="T1520" i="23" s="1"/>
  <c r="P1519" i="23"/>
  <c r="D1515" i="23"/>
  <c r="A1531" i="23" s="1"/>
  <c r="G1507" i="23"/>
  <c r="G1512" i="23" s="1"/>
  <c r="AD1505" i="23" s="1"/>
  <c r="A1511" i="23"/>
  <c r="V1497" i="23"/>
  <c r="S1497" i="23"/>
  <c r="T1498" i="23" s="1"/>
  <c r="V1496" i="23"/>
  <c r="S1496" i="23"/>
  <c r="P1496" i="23"/>
  <c r="D1492" i="23"/>
  <c r="K1483" i="23"/>
  <c r="L1483" i="23" s="1"/>
  <c r="M1483" i="23" s="1"/>
  <c r="G1489" i="23"/>
  <c r="AD1483" i="23" s="1"/>
  <c r="A1488" i="23"/>
  <c r="V1478" i="23"/>
  <c r="S1478" i="23"/>
  <c r="T1479" i="23" s="1"/>
  <c r="P1478" i="23"/>
  <c r="D1474" i="23"/>
  <c r="V1403" i="23"/>
  <c r="S1403" i="23"/>
  <c r="T1404" i="23" s="1"/>
  <c r="G1420" i="23"/>
  <c r="AD1410" i="23" s="1"/>
  <c r="A1419" i="23"/>
  <c r="V1402" i="23"/>
  <c r="S1402" i="23"/>
  <c r="P1402" i="23"/>
  <c r="D1398" i="23"/>
  <c r="K1378" i="23"/>
  <c r="K1106" i="23"/>
  <c r="K960" i="23"/>
  <c r="K937" i="23"/>
  <c r="K818" i="23"/>
  <c r="K654" i="23"/>
  <c r="A1557" i="23" l="1"/>
  <c r="A1543" i="23"/>
  <c r="A1544" i="23"/>
  <c r="A1542" i="23"/>
  <c r="AD120" i="22"/>
  <c r="AE120" i="22" s="1"/>
  <c r="A1869" i="23"/>
  <c r="A1864" i="23"/>
  <c r="A1861" i="23"/>
  <c r="A1862" i="23"/>
  <c r="A1863" i="23"/>
  <c r="A1763" i="23"/>
  <c r="A1749" i="23"/>
  <c r="A1753" i="23"/>
  <c r="A1750" i="23"/>
  <c r="A1754" i="23"/>
  <c r="A1751" i="23"/>
  <c r="A1755" i="23"/>
  <c r="A1752" i="23"/>
  <c r="A1806" i="23"/>
  <c r="A1793" i="23"/>
  <c r="A1797" i="23"/>
  <c r="A1794" i="23"/>
  <c r="A1798" i="23"/>
  <c r="A1795" i="23"/>
  <c r="A1799" i="23"/>
  <c r="A1792" i="23"/>
  <c r="A1796" i="23"/>
  <c r="A1800" i="23"/>
  <c r="A1825" i="23"/>
  <c r="A1817" i="23"/>
  <c r="A1821" i="23"/>
  <c r="A1818" i="23"/>
  <c r="A1819" i="23"/>
  <c r="A1820" i="23"/>
  <c r="H1920" i="23"/>
  <c r="M1920" i="23" s="1"/>
  <c r="N1920" i="23" s="1"/>
  <c r="J1919" i="23"/>
  <c r="O1919" i="23"/>
  <c r="A1850" i="23"/>
  <c r="A1839" i="23"/>
  <c r="A1843" i="23"/>
  <c r="A1836" i="23"/>
  <c r="A1840" i="23"/>
  <c r="A1837" i="23"/>
  <c r="A1841" i="23"/>
  <c r="A1838" i="23"/>
  <c r="A1842" i="23"/>
  <c r="A1867" i="23"/>
  <c r="A1860" i="23"/>
  <c r="A1866" i="23"/>
  <c r="A1868" i="23"/>
  <c r="A1865" i="23"/>
  <c r="A1859" i="23"/>
  <c r="A1847" i="23"/>
  <c r="A1845" i="23"/>
  <c r="A1849" i="23"/>
  <c r="A1846" i="23"/>
  <c r="A1835" i="23"/>
  <c r="A1844" i="23"/>
  <c r="A1848" i="23"/>
  <c r="A1816" i="23"/>
  <c r="A1822" i="23"/>
  <c r="A1815" i="23"/>
  <c r="A1823" i="23"/>
  <c r="A1824" i="23"/>
  <c r="A1801" i="23"/>
  <c r="A1805" i="23"/>
  <c r="A1804" i="23"/>
  <c r="A1802" i="23"/>
  <c r="A1791" i="23"/>
  <c r="A1803" i="23"/>
  <c r="A1683" i="23"/>
  <c r="A1684" i="23"/>
  <c r="A1685" i="23"/>
  <c r="A1686" i="23"/>
  <c r="A1679" i="23"/>
  <c r="A1680" i="23"/>
  <c r="A1688" i="23"/>
  <c r="A1682" i="23"/>
  <c r="A1689" i="23"/>
  <c r="A1690" i="23"/>
  <c r="A1687" i="23"/>
  <c r="A1691" i="23"/>
  <c r="A1547" i="23"/>
  <c r="A1551" i="23"/>
  <c r="A1555" i="23"/>
  <c r="A1548" i="23"/>
  <c r="A1552" i="23"/>
  <c r="A1556" i="23"/>
  <c r="A1545" i="23"/>
  <c r="A1549" i="23"/>
  <c r="A1553" i="23"/>
  <c r="A1541" i="23"/>
  <c r="A1546" i="23"/>
  <c r="A1550" i="23"/>
  <c r="A1554" i="23"/>
  <c r="A1520" i="23"/>
  <c r="A1524" i="23"/>
  <c r="A1528" i="23"/>
  <c r="A1521" i="23"/>
  <c r="A1525" i="23"/>
  <c r="A1529" i="23"/>
  <c r="A1527" i="23"/>
  <c r="A1519" i="23"/>
  <c r="A1522" i="23"/>
  <c r="A1526" i="23"/>
  <c r="A1530" i="23"/>
  <c r="A1523" i="23"/>
  <c r="A1498" i="23"/>
  <c r="A1502" i="23"/>
  <c r="A1506" i="23"/>
  <c r="A1510" i="23"/>
  <c r="A1497" i="23"/>
  <c r="A1501" i="23"/>
  <c r="A1505" i="23"/>
  <c r="A1509" i="23"/>
  <c r="A1499" i="23"/>
  <c r="A1503" i="23"/>
  <c r="A1507" i="23"/>
  <c r="A1496" i="23"/>
  <c r="A1500" i="23"/>
  <c r="A1504" i="23"/>
  <c r="A1508" i="23"/>
  <c r="A1480" i="23"/>
  <c r="A1484" i="23"/>
  <c r="A1478" i="23"/>
  <c r="A1481" i="23"/>
  <c r="A1485" i="23"/>
  <c r="A1479" i="23"/>
  <c r="A1483" i="23"/>
  <c r="A1487" i="23"/>
  <c r="A1482" i="23"/>
  <c r="A1486" i="23"/>
  <c r="A1759" i="23"/>
  <c r="A1748" i="23"/>
  <c r="A1756" i="23"/>
  <c r="A1760" i="23"/>
  <c r="A1758" i="23"/>
  <c r="A1757" i="23"/>
  <c r="A1761" i="23"/>
  <c r="A1762" i="23"/>
  <c r="A1404" i="23"/>
  <c r="A1408" i="23"/>
  <c r="A1412" i="23"/>
  <c r="A1416" i="23"/>
  <c r="A1406" i="23"/>
  <c r="A1410" i="23"/>
  <c r="A1414" i="23"/>
  <c r="A1402" i="23"/>
  <c r="A1405" i="23"/>
  <c r="A1409" i="23"/>
  <c r="A1413" i="23"/>
  <c r="A1417" i="23"/>
  <c r="A1403" i="23"/>
  <c r="A1407" i="23"/>
  <c r="A1411" i="23"/>
  <c r="A1415" i="23"/>
  <c r="U17" i="24"/>
  <c r="J17" i="24"/>
  <c r="O17" i="24"/>
  <c r="T1860" i="23"/>
  <c r="AB588" i="22"/>
  <c r="AB449" i="22"/>
  <c r="AC449" i="22" s="1"/>
  <c r="T1403" i="23"/>
  <c r="AB892" i="22"/>
  <c r="AB598" i="22"/>
  <c r="AB677" i="22"/>
  <c r="AC677" i="22" s="1"/>
  <c r="AB887" i="22"/>
  <c r="AA129" i="22"/>
  <c r="Z129" i="22"/>
  <c r="AA884" i="22"/>
  <c r="Z884" i="22"/>
  <c r="AA744" i="22"/>
  <c r="Z744" i="22"/>
  <c r="AB596" i="22"/>
  <c r="AB368" i="22"/>
  <c r="AA675" i="22"/>
  <c r="Z675" i="22"/>
  <c r="Z484" i="22"/>
  <c r="AA484" i="22"/>
  <c r="Z891" i="22"/>
  <c r="AA891" i="22"/>
  <c r="AA888" i="22"/>
  <c r="Z888" i="22"/>
  <c r="Z890" i="22"/>
  <c r="AA890" i="22"/>
  <c r="Z591" i="22"/>
  <c r="AA591" i="22"/>
  <c r="AA593" i="22"/>
  <c r="Z593" i="22"/>
  <c r="AA589" i="22"/>
  <c r="Z589" i="22"/>
  <c r="AA673" i="22"/>
  <c r="Z673" i="22"/>
  <c r="AA587" i="22"/>
  <c r="Z587" i="22"/>
  <c r="AA595" i="22"/>
  <c r="Z595" i="22"/>
  <c r="AA889" i="22"/>
  <c r="Z889" i="22"/>
  <c r="AA279" i="22"/>
  <c r="Z279" i="22"/>
  <c r="AA592" i="22"/>
  <c r="Z592" i="22"/>
  <c r="AA594" i="22"/>
  <c r="Z594" i="22"/>
  <c r="AA599" i="22"/>
  <c r="Z599" i="22"/>
  <c r="AA601" i="22"/>
  <c r="Z601" i="22"/>
  <c r="Z246" i="22"/>
  <c r="AA585" i="22"/>
  <c r="Z585" i="22"/>
  <c r="Z480" i="22"/>
  <c r="AA679" i="22"/>
  <c r="Z679" i="22"/>
  <c r="Z56" i="22"/>
  <c r="AA56" i="22"/>
  <c r="AA586" i="22"/>
  <c r="Z586" i="22"/>
  <c r="AA886" i="22"/>
  <c r="Z886" i="22"/>
  <c r="Z670" i="22"/>
  <c r="AA670" i="22"/>
  <c r="AA603" i="22"/>
  <c r="Z603" i="22"/>
  <c r="AA590" i="22"/>
  <c r="Z590" i="22"/>
  <c r="AB835" i="22"/>
  <c r="AB284" i="22"/>
  <c r="AA183" i="22"/>
  <c r="Z183" i="22"/>
  <c r="AA671" i="22"/>
  <c r="Z671" i="22"/>
  <c r="Z178" i="22"/>
  <c r="AA178" i="22"/>
  <c r="Z453" i="22"/>
  <c r="AA453" i="22"/>
  <c r="AA469" i="22"/>
  <c r="Z469" i="22"/>
  <c r="AA600" i="22"/>
  <c r="Z600" i="22"/>
  <c r="AA834" i="22"/>
  <c r="Z834" i="22"/>
  <c r="AA597" i="22"/>
  <c r="Z597" i="22"/>
  <c r="AA266" i="22"/>
  <c r="AA669" i="22"/>
  <c r="Z669" i="22"/>
  <c r="AA267" i="22"/>
  <c r="Z267" i="22"/>
  <c r="Z672" i="22"/>
  <c r="AA672" i="22"/>
  <c r="AA885" i="22"/>
  <c r="Z885" i="22"/>
  <c r="Z500" i="22"/>
  <c r="AA500" i="22"/>
  <c r="AA743" i="22"/>
  <c r="Z743" i="22"/>
  <c r="AA745" i="22"/>
  <c r="Z745" i="22"/>
  <c r="Z602" i="22"/>
  <c r="AA602" i="22"/>
  <c r="AA883" i="22"/>
  <c r="Z883" i="22"/>
  <c r="M1955" i="23"/>
  <c r="N1955" i="23" s="1"/>
  <c r="O1918" i="23"/>
  <c r="J1918" i="23"/>
  <c r="H1901" i="23"/>
  <c r="J1900" i="23"/>
  <c r="O1900" i="23"/>
  <c r="T1542" i="23"/>
  <c r="AA258" i="22"/>
  <c r="AA401" i="22"/>
  <c r="AA312" i="22"/>
  <c r="AA342" i="22"/>
  <c r="AA537" i="22"/>
  <c r="AA71" i="22"/>
  <c r="AA323" i="22"/>
  <c r="AA316" i="22"/>
  <c r="AA31" i="22"/>
  <c r="AA289" i="22"/>
  <c r="AA38" i="22"/>
  <c r="AA215" i="22"/>
  <c r="AA397" i="22"/>
  <c r="R1954" i="23"/>
  <c r="J1954" i="23"/>
  <c r="O1954" i="23"/>
  <c r="U1938" i="23"/>
  <c r="AB676" i="22" s="1"/>
  <c r="W1938" i="23"/>
  <c r="P1939" i="23" s="1"/>
  <c r="Q1939" i="23" s="1"/>
  <c r="H1939" i="23"/>
  <c r="O1938" i="23"/>
  <c r="J1938" i="23"/>
  <c r="R1917" i="23"/>
  <c r="R1918" i="23" s="1"/>
  <c r="R1919" i="23" s="1"/>
  <c r="J1917" i="23"/>
  <c r="O1917" i="23"/>
  <c r="T1836" i="23"/>
  <c r="J1899" i="23"/>
  <c r="O1899" i="23"/>
  <c r="R1899" i="23"/>
  <c r="R1900" i="23" s="1"/>
  <c r="U1900" i="23" s="1"/>
  <c r="M1859" i="23"/>
  <c r="N1859" i="23" s="1"/>
  <c r="T1792" i="23"/>
  <c r="T1680" i="23"/>
  <c r="M1835" i="23"/>
  <c r="N1835" i="23" s="1"/>
  <c r="H1836" i="23" s="1"/>
  <c r="T1816" i="23"/>
  <c r="M1815" i="23"/>
  <c r="N1815" i="23" s="1"/>
  <c r="M1791" i="23"/>
  <c r="N1791" i="23" s="1"/>
  <c r="T1749" i="23"/>
  <c r="M1748" i="23"/>
  <c r="N1748" i="23" s="1"/>
  <c r="M1679" i="23"/>
  <c r="N1679" i="23" s="1"/>
  <c r="M1541" i="23"/>
  <c r="N1541" i="23" s="1"/>
  <c r="H1542" i="23" s="1"/>
  <c r="G1534" i="23"/>
  <c r="AD1527" i="23" s="1"/>
  <c r="M1519" i="23"/>
  <c r="N1519" i="23" s="1"/>
  <c r="T1497" i="23"/>
  <c r="M1496" i="23"/>
  <c r="N1496" i="23" s="1"/>
  <c r="M1478" i="23"/>
  <c r="N1478" i="23" s="1"/>
  <c r="H1479" i="23" s="1"/>
  <c r="M1479" i="23" s="1"/>
  <c r="M1402" i="23"/>
  <c r="N1402" i="23" s="1"/>
  <c r="G1395" i="23"/>
  <c r="AD1390" i="23" s="1"/>
  <c r="A1394" i="23"/>
  <c r="A1393" i="23"/>
  <c r="V1378" i="23"/>
  <c r="S1378" i="23"/>
  <c r="T1379" i="23" s="1"/>
  <c r="L1378" i="23"/>
  <c r="V1377" i="23"/>
  <c r="S1377" i="23"/>
  <c r="P1377" i="23"/>
  <c r="D1373" i="23"/>
  <c r="G1370" i="23"/>
  <c r="AD1358" i="23" s="1"/>
  <c r="A1369" i="23"/>
  <c r="V1352" i="23"/>
  <c r="S1352" i="23"/>
  <c r="T1353" i="23" s="1"/>
  <c r="P1352" i="23"/>
  <c r="D1348" i="23"/>
  <c r="G1345" i="23"/>
  <c r="AD1334" i="23" s="1"/>
  <c r="A1344" i="23"/>
  <c r="V1329" i="23"/>
  <c r="S1329" i="23"/>
  <c r="T1330" i="23" s="1"/>
  <c r="V1328" i="23"/>
  <c r="S1328" i="23"/>
  <c r="P1328" i="23"/>
  <c r="D1324" i="23"/>
  <c r="G1321" i="23"/>
  <c r="AD1312" i="23" s="1"/>
  <c r="A1320" i="23"/>
  <c r="V1308" i="23"/>
  <c r="S1308" i="23"/>
  <c r="T1309" i="23" s="1"/>
  <c r="P1308" i="23"/>
  <c r="D1304" i="23"/>
  <c r="A1318" i="23" s="1"/>
  <c r="G1285" i="23"/>
  <c r="AD1280" i="23" s="1"/>
  <c r="A1284" i="23"/>
  <c r="A1283" i="23"/>
  <c r="V1276" i="23"/>
  <c r="S1276" i="23"/>
  <c r="T1277" i="23" s="1"/>
  <c r="P1276" i="23"/>
  <c r="D1272" i="23"/>
  <c r="A1268" i="23"/>
  <c r="V1254" i="23"/>
  <c r="S1254" i="23"/>
  <c r="T1255" i="23" s="1"/>
  <c r="G1269" i="23"/>
  <c r="AD1264" i="23" s="1"/>
  <c r="D1250" i="23"/>
  <c r="A1225" i="23"/>
  <c r="V1209" i="23"/>
  <c r="S1209" i="23"/>
  <c r="T1210" i="23" s="1"/>
  <c r="G1226" i="23"/>
  <c r="AD1217" i="23" s="1"/>
  <c r="D1205" i="23"/>
  <c r="A1201" i="23"/>
  <c r="D1183" i="23"/>
  <c r="A1200" i="23" s="1"/>
  <c r="G1172" i="23"/>
  <c r="A1179" i="23"/>
  <c r="V1168" i="23"/>
  <c r="S1168" i="23"/>
  <c r="T1169" i="23" s="1"/>
  <c r="V1167" i="23"/>
  <c r="S1167" i="23"/>
  <c r="P1167" i="23"/>
  <c r="M1167" i="23"/>
  <c r="D1163" i="23"/>
  <c r="A1178" i="23" s="1"/>
  <c r="G1152" i="23"/>
  <c r="G1160" i="23" s="1"/>
  <c r="AD1153" i="23" s="1"/>
  <c r="A1159" i="23"/>
  <c r="V1144" i="23"/>
  <c r="S1144" i="23"/>
  <c r="T1145" i="23" s="1"/>
  <c r="P1144" i="23"/>
  <c r="D1140" i="23"/>
  <c r="G1137" i="23"/>
  <c r="AD1129" i="23" s="1"/>
  <c r="A1136" i="23"/>
  <c r="V1124" i="23"/>
  <c r="S1124" i="23"/>
  <c r="T1125" i="23" s="1"/>
  <c r="L1124" i="23"/>
  <c r="V1123" i="23"/>
  <c r="S1123" i="23"/>
  <c r="P1123" i="23"/>
  <c r="D1119" i="23"/>
  <c r="G1116" i="23"/>
  <c r="AD1110" i="23" s="1"/>
  <c r="A1115" i="23"/>
  <c r="A1114" i="23"/>
  <c r="V1106" i="23"/>
  <c r="S1106" i="23"/>
  <c r="T1107" i="23" s="1"/>
  <c r="U1107" i="23" s="1"/>
  <c r="L1106" i="23"/>
  <c r="V1105" i="23"/>
  <c r="S1105" i="23"/>
  <c r="P1105" i="23"/>
  <c r="D1101" i="23"/>
  <c r="A1113" i="23" s="1"/>
  <c r="G1061" i="23"/>
  <c r="AD1055" i="23" s="1"/>
  <c r="A1060" i="23"/>
  <c r="A1059" i="23"/>
  <c r="V1052" i="23"/>
  <c r="S1052" i="23"/>
  <c r="T1053" i="23" s="1"/>
  <c r="P1052" i="23"/>
  <c r="D1048" i="23"/>
  <c r="A1058" i="23" s="1"/>
  <c r="A1044" i="23"/>
  <c r="V1035" i="23"/>
  <c r="S1035" i="23"/>
  <c r="T1036" i="23" s="1"/>
  <c r="U1036" i="23" s="1"/>
  <c r="V1034" i="23"/>
  <c r="S1034" i="23"/>
  <c r="G1045" i="23"/>
  <c r="AD1039" i="23" s="1"/>
  <c r="D1030" i="23"/>
  <c r="A1043" i="23" s="1"/>
  <c r="G1014" i="23"/>
  <c r="G1006" i="23"/>
  <c r="L1007" i="23" s="1"/>
  <c r="A1026" i="23"/>
  <c r="V1007" i="23"/>
  <c r="S1007" i="23"/>
  <c r="T1008" i="23" s="1"/>
  <c r="V1006" i="23"/>
  <c r="S1006" i="23"/>
  <c r="D1002" i="23"/>
  <c r="G983" i="23"/>
  <c r="G993" i="23"/>
  <c r="A998" i="23"/>
  <c r="V981" i="23"/>
  <c r="S981" i="23"/>
  <c r="T982" i="23" s="1"/>
  <c r="P981" i="23"/>
  <c r="D977" i="23"/>
  <c r="A997" i="23" s="1"/>
  <c r="L960" i="23"/>
  <c r="A973" i="23"/>
  <c r="V960" i="23"/>
  <c r="S960" i="23"/>
  <c r="T961" i="23" s="1"/>
  <c r="V959" i="23"/>
  <c r="S959" i="23"/>
  <c r="P959" i="23"/>
  <c r="D955" i="23"/>
  <c r="A972" i="23" s="1"/>
  <c r="G945" i="23"/>
  <c r="A951" i="23"/>
  <c r="V937" i="23"/>
  <c r="S937" i="23"/>
  <c r="T938" i="23" s="1"/>
  <c r="L937" i="23"/>
  <c r="V936" i="23"/>
  <c r="S936" i="23"/>
  <c r="P936" i="23"/>
  <c r="M936" i="23"/>
  <c r="D932" i="23"/>
  <c r="A881" i="23"/>
  <c r="V864" i="23"/>
  <c r="S864" i="23"/>
  <c r="T865" i="23" s="1"/>
  <c r="D860" i="23"/>
  <c r="A879" i="23" s="1"/>
  <c r="G817" i="23"/>
  <c r="G833" i="23" s="1"/>
  <c r="AD826" i="23" s="1"/>
  <c r="X832" i="23"/>
  <c r="W832" i="23"/>
  <c r="V832" i="23"/>
  <c r="U832" i="23"/>
  <c r="S832" i="23"/>
  <c r="R832" i="23"/>
  <c r="Q832" i="23"/>
  <c r="P832" i="23"/>
  <c r="O832" i="23"/>
  <c r="N832" i="23"/>
  <c r="M832" i="23"/>
  <c r="L832" i="23"/>
  <c r="J832" i="23"/>
  <c r="I832" i="23"/>
  <c r="H832" i="23"/>
  <c r="A830" i="23"/>
  <c r="V818" i="23"/>
  <c r="S818" i="23"/>
  <c r="T819" i="23" s="1"/>
  <c r="V817" i="23"/>
  <c r="S817" i="23"/>
  <c r="D813" i="23"/>
  <c r="G753" i="23"/>
  <c r="AD748" i="23" s="1"/>
  <c r="A752" i="23"/>
  <c r="V742" i="23"/>
  <c r="S742" i="23"/>
  <c r="T743" i="23" s="1"/>
  <c r="U743" i="23" s="1"/>
  <c r="V741" i="23"/>
  <c r="S741" i="23"/>
  <c r="P741" i="23"/>
  <c r="D737" i="23"/>
  <c r="A751" i="23" s="1"/>
  <c r="G270" i="23"/>
  <c r="L198" i="23"/>
  <c r="AF21" i="17" l="1"/>
  <c r="AG21" i="17" s="1"/>
  <c r="A940" i="23"/>
  <c r="A938" i="23"/>
  <c r="A939" i="23"/>
  <c r="A937" i="23"/>
  <c r="AF120" i="22"/>
  <c r="AG120" i="22" s="1"/>
  <c r="AF284" i="22"/>
  <c r="AG284" i="22" s="1"/>
  <c r="AH284" i="22" s="1"/>
  <c r="AD368" i="22"/>
  <c r="AE368" i="22" s="1"/>
  <c r="AC596" i="22"/>
  <c r="AC887" i="22"/>
  <c r="AD887" i="22" s="1"/>
  <c r="AE887" i="22" s="1"/>
  <c r="AC598" i="22"/>
  <c r="AD598" i="22" s="1"/>
  <c r="AE598" i="22" s="1"/>
  <c r="AC892" i="22"/>
  <c r="AD892" i="22" s="1"/>
  <c r="AE892" i="22" s="1"/>
  <c r="J1920" i="23"/>
  <c r="O1920" i="23"/>
  <c r="H1921" i="23"/>
  <c r="U1919" i="23"/>
  <c r="R1920" i="23"/>
  <c r="U1920" i="23" s="1"/>
  <c r="U1918" i="23"/>
  <c r="A1379" i="23"/>
  <c r="A1380" i="23"/>
  <c r="A1381" i="23"/>
  <c r="A1382" i="23"/>
  <c r="A1336" i="23"/>
  <c r="A1330" i="23"/>
  <c r="A1333" i="23"/>
  <c r="A1331" i="23"/>
  <c r="A1332" i="23"/>
  <c r="A1329" i="23"/>
  <c r="A1353" i="23"/>
  <c r="A1357" i="23"/>
  <c r="A1361" i="23"/>
  <c r="A1365" i="23"/>
  <c r="A1364" i="23"/>
  <c r="A1354" i="23"/>
  <c r="A1358" i="23"/>
  <c r="A1362" i="23"/>
  <c r="A1366" i="23"/>
  <c r="A1355" i="23"/>
  <c r="A1359" i="23"/>
  <c r="A1363" i="23"/>
  <c r="A1367" i="23"/>
  <c r="A1356" i="23"/>
  <c r="A1360" i="23"/>
  <c r="A1211" i="23"/>
  <c r="A1215" i="23"/>
  <c r="A1212" i="23"/>
  <c r="A1216" i="23"/>
  <c r="A1213" i="23"/>
  <c r="A1217" i="23"/>
  <c r="A1210" i="23"/>
  <c r="A1214" i="23"/>
  <c r="A1257" i="23"/>
  <c r="A1258" i="23"/>
  <c r="A1259" i="23"/>
  <c r="A1256" i="23"/>
  <c r="A1135" i="23"/>
  <c r="A1124" i="23"/>
  <c r="A1128" i="23"/>
  <c r="A1125" i="23"/>
  <c r="A1129" i="23"/>
  <c r="A1126" i="23"/>
  <c r="A1130" i="23"/>
  <c r="A1127" i="23"/>
  <c r="A1352" i="23"/>
  <c r="A1335" i="23"/>
  <c r="A1337" i="23"/>
  <c r="A1341" i="23"/>
  <c r="A1338" i="23"/>
  <c r="A1342" i="23"/>
  <c r="A1340" i="23"/>
  <c r="A1339" i="23"/>
  <c r="A1343" i="23"/>
  <c r="A1334" i="23"/>
  <c r="A1328" i="23"/>
  <c r="A1309" i="23"/>
  <c r="A1313" i="23"/>
  <c r="A1317" i="23"/>
  <c r="A1315" i="23"/>
  <c r="A1312" i="23"/>
  <c r="A1310" i="23"/>
  <c r="A1314" i="23"/>
  <c r="A1308" i="23"/>
  <c r="A1311" i="23"/>
  <c r="A1316" i="23"/>
  <c r="A1262" i="23"/>
  <c r="A1266" i="23"/>
  <c r="A1261" i="23"/>
  <c r="A1265" i="23"/>
  <c r="A1267" i="23"/>
  <c r="A1263" i="23"/>
  <c r="A1254" i="23"/>
  <c r="A1255" i="23"/>
  <c r="A1260" i="23"/>
  <c r="A1264" i="23"/>
  <c r="A1222" i="23"/>
  <c r="A1223" i="23"/>
  <c r="A1224" i="23"/>
  <c r="A1221" i="23"/>
  <c r="A1218" i="23"/>
  <c r="A1219" i="23"/>
  <c r="A1209" i="23"/>
  <c r="A1220" i="23"/>
  <c r="A1188" i="23"/>
  <c r="A1192" i="23"/>
  <c r="A1196" i="23"/>
  <c r="A1187" i="23"/>
  <c r="A1189" i="23"/>
  <c r="A1193" i="23"/>
  <c r="A1197" i="23"/>
  <c r="A1190" i="23"/>
  <c r="A1194" i="23"/>
  <c r="A1198" i="23"/>
  <c r="A1191" i="23"/>
  <c r="A1195" i="23"/>
  <c r="A1199" i="23"/>
  <c r="A1168" i="23"/>
  <c r="A1172" i="23"/>
  <c r="A1176" i="23"/>
  <c r="A1174" i="23"/>
  <c r="A1167" i="23"/>
  <c r="A1169" i="23"/>
  <c r="A1173" i="23"/>
  <c r="A1177" i="23"/>
  <c r="A1170" i="23"/>
  <c r="A1171" i="23"/>
  <c r="A1175" i="23"/>
  <c r="A1106" i="23"/>
  <c r="A1110" i="23"/>
  <c r="A1107" i="23"/>
  <c r="A1111" i="23"/>
  <c r="A1105" i="23"/>
  <c r="A1108" i="23"/>
  <c r="A1112" i="23"/>
  <c r="A1109" i="23"/>
  <c r="A1053" i="23"/>
  <c r="A1057" i="23"/>
  <c r="A1054" i="23"/>
  <c r="A1052" i="23"/>
  <c r="A1055" i="23"/>
  <c r="A1056" i="23"/>
  <c r="A1035" i="23"/>
  <c r="A1039" i="23"/>
  <c r="A1036" i="23"/>
  <c r="A1040" i="23"/>
  <c r="A1034" i="23"/>
  <c r="A1037" i="23"/>
  <c r="A1041" i="23"/>
  <c r="A1038" i="23"/>
  <c r="A1042" i="23"/>
  <c r="A982" i="23"/>
  <c r="A986" i="23"/>
  <c r="A990" i="23"/>
  <c r="A994" i="23"/>
  <c r="A993" i="23"/>
  <c r="A983" i="23"/>
  <c r="A987" i="23"/>
  <c r="A991" i="23"/>
  <c r="A995" i="23"/>
  <c r="A985" i="23"/>
  <c r="A981" i="23"/>
  <c r="A984" i="23"/>
  <c r="A988" i="23"/>
  <c r="A992" i="23"/>
  <c r="A996" i="23"/>
  <c r="A989" i="23"/>
  <c r="A942" i="23"/>
  <c r="A941" i="23"/>
  <c r="A960" i="23"/>
  <c r="A964" i="23"/>
  <c r="A968" i="23"/>
  <c r="A959" i="23"/>
  <c r="A961" i="23"/>
  <c r="A965" i="23"/>
  <c r="A969" i="23"/>
  <c r="A962" i="23"/>
  <c r="A966" i="23"/>
  <c r="A970" i="23"/>
  <c r="A963" i="23"/>
  <c r="A967" i="23"/>
  <c r="A971" i="23"/>
  <c r="A950" i="23"/>
  <c r="A944" i="23"/>
  <c r="A945" i="23"/>
  <c r="A949" i="23"/>
  <c r="A946" i="23"/>
  <c r="A936" i="23"/>
  <c r="A947" i="23"/>
  <c r="A943" i="23"/>
  <c r="A948" i="23"/>
  <c r="A865" i="23"/>
  <c r="A869" i="23"/>
  <c r="A873" i="23"/>
  <c r="A877" i="23"/>
  <c r="A876" i="23"/>
  <c r="A866" i="23"/>
  <c r="A870" i="23"/>
  <c r="A874" i="23"/>
  <c r="A878" i="23"/>
  <c r="A867" i="23"/>
  <c r="A871" i="23"/>
  <c r="A875" i="23"/>
  <c r="A864" i="23"/>
  <c r="A868" i="23"/>
  <c r="A872" i="23"/>
  <c r="A742" i="23"/>
  <c r="A746" i="23"/>
  <c r="A750" i="23"/>
  <c r="A743" i="23"/>
  <c r="A747" i="23"/>
  <c r="A741" i="23"/>
  <c r="A745" i="23"/>
  <c r="A744" i="23"/>
  <c r="A748" i="23"/>
  <c r="A749" i="23"/>
  <c r="A1384" i="23"/>
  <c r="A1388" i="23"/>
  <c r="A1392" i="23"/>
  <c r="A1385" i="23"/>
  <c r="A1389" i="23"/>
  <c r="A1377" i="23"/>
  <c r="A1386" i="23"/>
  <c r="A1390" i="23"/>
  <c r="A1378" i="23"/>
  <c r="A1383" i="23"/>
  <c r="A1387" i="23"/>
  <c r="A1391" i="23"/>
  <c r="A1010" i="23"/>
  <c r="A1011" i="23"/>
  <c r="A1009" i="23"/>
  <c r="A1015" i="23"/>
  <c r="A1019" i="23"/>
  <c r="A1023" i="23"/>
  <c r="A1012" i="23"/>
  <c r="A1016" i="23"/>
  <c r="A1020" i="23"/>
  <c r="A1024" i="23"/>
  <c r="A1007" i="23"/>
  <c r="A1013" i="23"/>
  <c r="A1017" i="23"/>
  <c r="A1021" i="23"/>
  <c r="A1006" i="23"/>
  <c r="A1008" i="23"/>
  <c r="A1014" i="23"/>
  <c r="A1018" i="23"/>
  <c r="A1022" i="23"/>
  <c r="A1145" i="23"/>
  <c r="A1149" i="23"/>
  <c r="A1153" i="23"/>
  <c r="A1157" i="23"/>
  <c r="A1148" i="23"/>
  <c r="A1152" i="23"/>
  <c r="A1156" i="23"/>
  <c r="A1146" i="23"/>
  <c r="A1150" i="23"/>
  <c r="A1154" i="23"/>
  <c r="A1158" i="23"/>
  <c r="A1147" i="23"/>
  <c r="A1151" i="23"/>
  <c r="A1155" i="23"/>
  <c r="A1144" i="23"/>
  <c r="A819" i="23"/>
  <c r="A823" i="23"/>
  <c r="A827" i="23"/>
  <c r="A820" i="23"/>
  <c r="A824" i="23"/>
  <c r="A828" i="23"/>
  <c r="A818" i="23"/>
  <c r="A817" i="23"/>
  <c r="A821" i="23"/>
  <c r="A825" i="23"/>
  <c r="A829" i="23"/>
  <c r="A822" i="23"/>
  <c r="A826" i="23"/>
  <c r="A1279" i="23"/>
  <c r="A1276" i="23"/>
  <c r="A1278" i="23"/>
  <c r="A1282" i="23"/>
  <c r="A1280" i="23"/>
  <c r="A1277" i="23"/>
  <c r="A1281" i="23"/>
  <c r="A1131" i="23"/>
  <c r="A1123" i="23"/>
  <c r="A1133" i="23"/>
  <c r="A1134" i="23"/>
  <c r="A1132" i="23"/>
  <c r="W17" i="24"/>
  <c r="U20" i="24"/>
  <c r="W20" i="24" s="1"/>
  <c r="AC588" i="22"/>
  <c r="AD588" i="22" s="1"/>
  <c r="AD449" i="22"/>
  <c r="M1187" i="23"/>
  <c r="N1187" i="23" s="1"/>
  <c r="AB601" i="22"/>
  <c r="AB595" i="22"/>
  <c r="AB886" i="22"/>
  <c r="AB743" i="22"/>
  <c r="AB885" i="22"/>
  <c r="AB884" i="22"/>
  <c r="AB597" i="22"/>
  <c r="AB834" i="22"/>
  <c r="AB469" i="22"/>
  <c r="AC469" i="22" s="1"/>
  <c r="AB453" i="22"/>
  <c r="AC453" i="22" s="1"/>
  <c r="AD453" i="22" s="1"/>
  <c r="AE453" i="22" s="1"/>
  <c r="AB679" i="22"/>
  <c r="AC679" i="22" s="1"/>
  <c r="AB671" i="22"/>
  <c r="AD671" i="22" s="1"/>
  <c r="AB183" i="22"/>
  <c r="AB587" i="22"/>
  <c r="AB589" i="22"/>
  <c r="AB593" i="22"/>
  <c r="AB888" i="22"/>
  <c r="AB675" i="22"/>
  <c r="AC675" i="22" s="1"/>
  <c r="AD675" i="22" s="1"/>
  <c r="AE675" i="22" s="1"/>
  <c r="AB673" i="22"/>
  <c r="AE673" i="22" s="1"/>
  <c r="AB602" i="22"/>
  <c r="AB672" i="22"/>
  <c r="AB603" i="22"/>
  <c r="AB586" i="22"/>
  <c r="AD677" i="22"/>
  <c r="AE677" i="22" s="1"/>
  <c r="AB890" i="22"/>
  <c r="AB744" i="22"/>
  <c r="AJ249" i="22"/>
  <c r="AB883" i="22"/>
  <c r="AB745" i="22"/>
  <c r="AB500" i="22"/>
  <c r="AB267" i="22"/>
  <c r="AB600" i="22"/>
  <c r="AC835" i="22"/>
  <c r="AJ502" i="22"/>
  <c r="AB590" i="22"/>
  <c r="AB670" i="22"/>
  <c r="AB669" i="22"/>
  <c r="AB178" i="22"/>
  <c r="AB56" i="22"/>
  <c r="AB585" i="22"/>
  <c r="AB599" i="22"/>
  <c r="AB594" i="22"/>
  <c r="AB592" i="22"/>
  <c r="AB279" i="22"/>
  <c r="AB889" i="22"/>
  <c r="AB591" i="22"/>
  <c r="AB891" i="22"/>
  <c r="AB484" i="22"/>
  <c r="AJ441" i="22"/>
  <c r="H1956" i="23"/>
  <c r="J1955" i="23"/>
  <c r="O1955" i="23"/>
  <c r="U1954" i="23"/>
  <c r="R1955" i="23"/>
  <c r="U1955" i="23" s="1"/>
  <c r="K1039" i="23"/>
  <c r="L1039" i="23" s="1"/>
  <c r="W1954" i="23"/>
  <c r="P1955" i="23" s="1"/>
  <c r="Q1955" i="23" s="1"/>
  <c r="K1939" i="23"/>
  <c r="L1939" i="23" s="1"/>
  <c r="W1917" i="23"/>
  <c r="P1918" i="23" s="1"/>
  <c r="Q1918" i="23" s="1"/>
  <c r="U1917" i="23"/>
  <c r="U1899" i="23"/>
  <c r="W1899" i="23"/>
  <c r="P1900" i="23" s="1"/>
  <c r="Q1900" i="23" s="1"/>
  <c r="W1900" i="23" s="1"/>
  <c r="P1901" i="23" s="1"/>
  <c r="Q1901" i="23" s="1"/>
  <c r="R1859" i="23"/>
  <c r="J1859" i="23"/>
  <c r="H1860" i="23"/>
  <c r="O1859" i="23"/>
  <c r="R1835" i="23"/>
  <c r="R1836" i="23" s="1"/>
  <c r="J1835" i="23"/>
  <c r="O1835" i="23"/>
  <c r="J1815" i="23"/>
  <c r="H1816" i="23"/>
  <c r="O1815" i="23"/>
  <c r="R1815" i="23"/>
  <c r="J1791" i="23"/>
  <c r="H1792" i="23"/>
  <c r="O1791" i="23"/>
  <c r="R1791" i="23"/>
  <c r="R1748" i="23"/>
  <c r="J1748" i="23"/>
  <c r="H1749" i="23"/>
  <c r="O1748" i="23"/>
  <c r="R1679" i="23"/>
  <c r="H1680" i="23"/>
  <c r="O1679" i="23"/>
  <c r="J1679" i="23"/>
  <c r="R1541" i="23"/>
  <c r="R1542" i="23" s="1"/>
  <c r="J1541" i="23"/>
  <c r="O1541" i="23"/>
  <c r="R1519" i="23"/>
  <c r="R1520" i="23" s="1"/>
  <c r="J1519" i="23"/>
  <c r="H1520" i="23"/>
  <c r="M1520" i="23" s="1"/>
  <c r="N1520" i="23" s="1"/>
  <c r="H1521" i="23" s="1"/>
  <c r="O1519" i="23"/>
  <c r="H1497" i="23"/>
  <c r="O1496" i="23"/>
  <c r="J1496" i="23"/>
  <c r="R1496" i="23"/>
  <c r="O1478" i="23"/>
  <c r="J1478" i="23"/>
  <c r="R1478" i="23"/>
  <c r="R1479" i="23" s="1"/>
  <c r="H1403" i="23"/>
  <c r="P1006" i="23"/>
  <c r="G1027" i="23"/>
  <c r="AD1012" i="23" s="1"/>
  <c r="T1168" i="23"/>
  <c r="O1402" i="23"/>
  <c r="J1402" i="23"/>
  <c r="R1402" i="23"/>
  <c r="T1378" i="23"/>
  <c r="M1377" i="23"/>
  <c r="N1377" i="23" s="1"/>
  <c r="R1377" i="23" s="1"/>
  <c r="T1329" i="23"/>
  <c r="M1352" i="23"/>
  <c r="N1352" i="23" s="1"/>
  <c r="H1353" i="23" s="1"/>
  <c r="M1328" i="23"/>
  <c r="N1328" i="23" s="1"/>
  <c r="M1308" i="23"/>
  <c r="N1308" i="23" s="1"/>
  <c r="H1309" i="23" s="1"/>
  <c r="M1276" i="23"/>
  <c r="N1276" i="23" s="1"/>
  <c r="H1277" i="23" s="1"/>
  <c r="M1277" i="23" s="1"/>
  <c r="M1254" i="23"/>
  <c r="N1254" i="23" s="1"/>
  <c r="H1255" i="23" s="1"/>
  <c r="P1254" i="23"/>
  <c r="P1209" i="23"/>
  <c r="M1209" i="23"/>
  <c r="N1209" i="23" s="1"/>
  <c r="H1210" i="23" s="1"/>
  <c r="G1202" i="23"/>
  <c r="AD1196" i="23" s="1"/>
  <c r="N1167" i="23"/>
  <c r="J1167" i="23" s="1"/>
  <c r="G1180" i="23"/>
  <c r="AD1172" i="23" s="1"/>
  <c r="M1144" i="23"/>
  <c r="N1144" i="23" s="1"/>
  <c r="H1145" i="23" s="1"/>
  <c r="T1124" i="23"/>
  <c r="M1123" i="23"/>
  <c r="N1123" i="23" s="1"/>
  <c r="T1106" i="23"/>
  <c r="M1105" i="23"/>
  <c r="N1105" i="23" s="1"/>
  <c r="M1052" i="23"/>
  <c r="N1052" i="23" s="1"/>
  <c r="H1053" i="23" s="1"/>
  <c r="G999" i="23"/>
  <c r="AD990" i="23" s="1"/>
  <c r="G952" i="23"/>
  <c r="AD945" i="23" s="1"/>
  <c r="P1034" i="23"/>
  <c r="L1035" i="23"/>
  <c r="P817" i="23"/>
  <c r="L818" i="23"/>
  <c r="T1035" i="23"/>
  <c r="M1034" i="23"/>
  <c r="N1034" i="23" s="1"/>
  <c r="H1035" i="23" s="1"/>
  <c r="T1007" i="23"/>
  <c r="M1006" i="23"/>
  <c r="N1006" i="23" s="1"/>
  <c r="M981" i="23"/>
  <c r="N981" i="23" s="1"/>
  <c r="H982" i="23" s="1"/>
  <c r="M959" i="23"/>
  <c r="N959" i="23" s="1"/>
  <c r="T960" i="23"/>
  <c r="G974" i="23"/>
  <c r="AD966" i="23" s="1"/>
  <c r="N936" i="23"/>
  <c r="J936" i="23" s="1"/>
  <c r="T937" i="23"/>
  <c r="M864" i="23"/>
  <c r="N864" i="23" s="1"/>
  <c r="H865" i="23" s="1"/>
  <c r="G882" i="23"/>
  <c r="P864" i="23"/>
  <c r="T818" i="23"/>
  <c r="M817" i="23"/>
  <c r="N817" i="23" s="1"/>
  <c r="H818" i="23" s="1"/>
  <c r="T742" i="23"/>
  <c r="M741" i="23"/>
  <c r="N741" i="23" s="1"/>
  <c r="L654" i="23"/>
  <c r="D649" i="23"/>
  <c r="D626" i="23"/>
  <c r="D606" i="23"/>
  <c r="D539" i="23"/>
  <c r="A555" i="23" s="1"/>
  <c r="D470" i="23"/>
  <c r="D451" i="23"/>
  <c r="D406" i="23"/>
  <c r="A427" i="23" s="1"/>
  <c r="D281" i="23"/>
  <c r="D255" i="23"/>
  <c r="D193" i="23"/>
  <c r="A209" i="23" s="1"/>
  <c r="D151" i="23"/>
  <c r="D129" i="23"/>
  <c r="D82" i="23"/>
  <c r="A93" i="23" s="1"/>
  <c r="D55" i="23"/>
  <c r="D35" i="23"/>
  <c r="D4" i="23"/>
  <c r="G666" i="23"/>
  <c r="AD659" i="23" s="1"/>
  <c r="X665" i="23"/>
  <c r="W665" i="23"/>
  <c r="V665" i="23"/>
  <c r="U665" i="23"/>
  <c r="S665" i="23"/>
  <c r="R665" i="23"/>
  <c r="Q665" i="23"/>
  <c r="P665" i="23"/>
  <c r="O665" i="23"/>
  <c r="N665" i="23"/>
  <c r="M665" i="23"/>
  <c r="L665" i="23"/>
  <c r="J665" i="23"/>
  <c r="I665" i="23"/>
  <c r="H665" i="23"/>
  <c r="A663" i="23"/>
  <c r="A662" i="23"/>
  <c r="V654" i="23"/>
  <c r="S654" i="23"/>
  <c r="T655" i="23" s="1"/>
  <c r="U655" i="23" s="1"/>
  <c r="V653" i="23"/>
  <c r="S653" i="23"/>
  <c r="P653" i="23"/>
  <c r="G646" i="23"/>
  <c r="AD639" i="23" s="1"/>
  <c r="X645" i="23"/>
  <c r="W645" i="23"/>
  <c r="V645" i="23"/>
  <c r="U645" i="23"/>
  <c r="S645" i="23"/>
  <c r="R645" i="23"/>
  <c r="Q645" i="23"/>
  <c r="P645" i="23"/>
  <c r="O645" i="23"/>
  <c r="N645" i="23"/>
  <c r="M645" i="23"/>
  <c r="L645" i="23"/>
  <c r="J645" i="23"/>
  <c r="I645" i="23"/>
  <c r="H645" i="23"/>
  <c r="A643" i="23"/>
  <c r="A642" i="23"/>
  <c r="V630" i="23"/>
  <c r="S630" i="23"/>
  <c r="T631" i="23" s="1"/>
  <c r="P630" i="23"/>
  <c r="G623" i="23"/>
  <c r="AD616" i="23" s="1"/>
  <c r="X622" i="23"/>
  <c r="W622" i="23"/>
  <c r="V622" i="23"/>
  <c r="U622" i="23"/>
  <c r="S622" i="23"/>
  <c r="R622" i="23"/>
  <c r="Q622" i="23"/>
  <c r="P622" i="23"/>
  <c r="O622" i="23"/>
  <c r="N622" i="23"/>
  <c r="M622" i="23"/>
  <c r="L622" i="23"/>
  <c r="J622" i="23"/>
  <c r="I622" i="23"/>
  <c r="H622" i="23"/>
  <c r="A620" i="23"/>
  <c r="A619" i="23"/>
  <c r="A618" i="23"/>
  <c r="V610" i="23"/>
  <c r="S610" i="23"/>
  <c r="T611" i="23" s="1"/>
  <c r="P610" i="23"/>
  <c r="AH120" i="22" l="1"/>
  <c r="AI120" i="22" s="1"/>
  <c r="AJ120" i="22" s="1"/>
  <c r="AI284" i="22"/>
  <c r="AF500" i="22"/>
  <c r="AG500" i="22" s="1"/>
  <c r="AD183" i="22"/>
  <c r="AF368" i="22"/>
  <c r="AG368" i="22" s="1"/>
  <c r="AC891" i="22"/>
  <c r="AD891" i="22" s="1"/>
  <c r="AC883" i="22"/>
  <c r="AD883" i="22" s="1"/>
  <c r="AC603" i="22"/>
  <c r="AC888" i="22"/>
  <c r="AD888" i="22" s="1"/>
  <c r="AC597" i="22"/>
  <c r="AD597" i="22" s="1"/>
  <c r="AC884" i="22"/>
  <c r="AD884" i="22" s="1"/>
  <c r="AC595" i="22"/>
  <c r="AD595" i="22" s="1"/>
  <c r="AE595" i="22" s="1"/>
  <c r="AF598" i="22"/>
  <c r="AG598" i="22" s="1"/>
  <c r="AC591" i="22"/>
  <c r="AD591" i="22" s="1"/>
  <c r="AC592" i="22"/>
  <c r="AD592" i="22" s="1"/>
  <c r="AE592" i="22" s="1"/>
  <c r="AF592" i="22" s="1"/>
  <c r="AC890" i="22"/>
  <c r="AD890" i="22" s="1"/>
  <c r="AE890" i="22" s="1"/>
  <c r="AC601" i="22"/>
  <c r="AD601" i="22" s="1"/>
  <c r="AE601" i="22" s="1"/>
  <c r="AF601" i="22" s="1"/>
  <c r="AG601" i="22" s="1"/>
  <c r="AF892" i="22"/>
  <c r="AC594" i="22"/>
  <c r="AC590" i="22"/>
  <c r="AD590" i="22" s="1"/>
  <c r="AE590" i="22" s="1"/>
  <c r="AC602" i="22"/>
  <c r="AD602" i="22" s="1"/>
  <c r="AC593" i="22"/>
  <c r="AD593" i="22" s="1"/>
  <c r="AC885" i="22"/>
  <c r="AD885" i="22" s="1"/>
  <c r="AE885" i="22" s="1"/>
  <c r="AC889" i="22"/>
  <c r="AD889" i="22" s="1"/>
  <c r="AE889" i="22" s="1"/>
  <c r="AC599" i="22"/>
  <c r="AD599" i="22" s="1"/>
  <c r="AC600" i="22"/>
  <c r="AD600" i="22" s="1"/>
  <c r="AC589" i="22"/>
  <c r="AC886" i="22"/>
  <c r="AD886" i="22" s="1"/>
  <c r="AF887" i="22"/>
  <c r="AG887" i="22" s="1"/>
  <c r="AD596" i="22"/>
  <c r="AE596" i="22" s="1"/>
  <c r="W1918" i="23"/>
  <c r="P1919" i="23" s="1"/>
  <c r="Q1919" i="23" s="1"/>
  <c r="W1919" i="23" s="1"/>
  <c r="P1920" i="23" s="1"/>
  <c r="Q1920" i="23" s="1"/>
  <c r="W1920" i="23" s="1"/>
  <c r="P1921" i="23" s="1"/>
  <c r="Q1921" i="23" s="1"/>
  <c r="AB678" i="22"/>
  <c r="U1836" i="23"/>
  <c r="R1837" i="23"/>
  <c r="U1837" i="23" s="1"/>
  <c r="U1542" i="23"/>
  <c r="R1543" i="23"/>
  <c r="U1543" i="23" s="1"/>
  <c r="A135" i="23"/>
  <c r="A136" i="23"/>
  <c r="A137" i="23"/>
  <c r="AD872" i="23"/>
  <c r="A655" i="23"/>
  <c r="A659" i="23"/>
  <c r="A656" i="23"/>
  <c r="A660" i="23"/>
  <c r="A657" i="23"/>
  <c r="A661" i="23"/>
  <c r="A654" i="23"/>
  <c r="A658" i="23"/>
  <c r="A653" i="23"/>
  <c r="A613" i="23"/>
  <c r="A617" i="23"/>
  <c r="A614" i="23"/>
  <c r="A610" i="23"/>
  <c r="A611" i="23"/>
  <c r="A615" i="23"/>
  <c r="A612" i="23"/>
  <c r="A616" i="23"/>
  <c r="A544" i="23"/>
  <c r="A548" i="23"/>
  <c r="A552" i="23"/>
  <c r="A551" i="23"/>
  <c r="A545" i="23"/>
  <c r="A549" i="23"/>
  <c r="A553" i="23"/>
  <c r="A547" i="23"/>
  <c r="A546" i="23"/>
  <c r="A550" i="23"/>
  <c r="A554" i="23"/>
  <c r="A458" i="23"/>
  <c r="A462" i="23"/>
  <c r="A461" i="23"/>
  <c r="A464" i="23"/>
  <c r="A459" i="23"/>
  <c r="A463" i="23"/>
  <c r="A456" i="23"/>
  <c r="A460" i="23"/>
  <c r="A457" i="23"/>
  <c r="A480" i="23"/>
  <c r="A484" i="23"/>
  <c r="A483" i="23"/>
  <c r="A477" i="23"/>
  <c r="A481" i="23"/>
  <c r="A485" i="23"/>
  <c r="A475" i="23"/>
  <c r="A478" i="23"/>
  <c r="A482" i="23"/>
  <c r="A479" i="23"/>
  <c r="A411" i="23"/>
  <c r="A415" i="23"/>
  <c r="A419" i="23"/>
  <c r="A423" i="23"/>
  <c r="A422" i="23"/>
  <c r="A412" i="23"/>
  <c r="A416" i="23"/>
  <c r="A420" i="23"/>
  <c r="A424" i="23"/>
  <c r="A418" i="23"/>
  <c r="A426" i="23"/>
  <c r="A413" i="23"/>
  <c r="A417" i="23"/>
  <c r="A421" i="23"/>
  <c r="A425" i="23"/>
  <c r="A414" i="23"/>
  <c r="A263" i="23"/>
  <c r="A267" i="23"/>
  <c r="A271" i="23"/>
  <c r="A264" i="23"/>
  <c r="A268" i="23"/>
  <c r="A272" i="23"/>
  <c r="A262" i="23"/>
  <c r="A261" i="23"/>
  <c r="A265" i="23"/>
  <c r="A269" i="23"/>
  <c r="A266" i="23"/>
  <c r="A270" i="23"/>
  <c r="A273" i="23"/>
  <c r="A202" i="23"/>
  <c r="A199" i="23"/>
  <c r="A203" i="23"/>
  <c r="A200" i="23"/>
  <c r="A204" i="23"/>
  <c r="A208" i="23"/>
  <c r="A201" i="23"/>
  <c r="A205" i="23"/>
  <c r="A158" i="23"/>
  <c r="A162" i="23"/>
  <c r="A157" i="23"/>
  <c r="A161" i="23"/>
  <c r="A159" i="23"/>
  <c r="A160" i="23"/>
  <c r="A164" i="23"/>
  <c r="A63" i="23"/>
  <c r="A67" i="23"/>
  <c r="A71" i="23"/>
  <c r="A75" i="23"/>
  <c r="A66" i="23"/>
  <c r="A70" i="23"/>
  <c r="A60" i="23"/>
  <c r="A64" i="23"/>
  <c r="A68" i="23"/>
  <c r="A72" i="23"/>
  <c r="A76" i="23"/>
  <c r="A61" i="23"/>
  <c r="A65" i="23"/>
  <c r="A69" i="23"/>
  <c r="A73" i="23"/>
  <c r="A77" i="23"/>
  <c r="A62" i="23"/>
  <c r="A74" i="23"/>
  <c r="A29" i="23"/>
  <c r="A30" i="23"/>
  <c r="A41" i="23"/>
  <c r="A46" i="23"/>
  <c r="A43" i="23"/>
  <c r="A48" i="23"/>
  <c r="A44" i="23"/>
  <c r="A42" i="23"/>
  <c r="A47" i="23"/>
  <c r="A49" i="23"/>
  <c r="A139" i="23"/>
  <c r="A143" i="23"/>
  <c r="A138" i="23"/>
  <c r="A142" i="23"/>
  <c r="A140" i="23"/>
  <c r="A144" i="23"/>
  <c r="A141" i="23"/>
  <c r="A290" i="23"/>
  <c r="A287" i="23"/>
  <c r="A291" i="23"/>
  <c r="A288" i="23"/>
  <c r="A292" i="23"/>
  <c r="A296" i="23"/>
  <c r="A289" i="23"/>
  <c r="A293" i="23"/>
  <c r="M818" i="23"/>
  <c r="A105" i="23"/>
  <c r="A92" i="23"/>
  <c r="A94" i="23"/>
  <c r="A98" i="23"/>
  <c r="A102" i="23"/>
  <c r="A91" i="23"/>
  <c r="A97" i="23"/>
  <c r="A101" i="23"/>
  <c r="A89" i="23"/>
  <c r="A95" i="23"/>
  <c r="A99" i="23"/>
  <c r="A103" i="23"/>
  <c r="A90" i="23"/>
  <c r="A96" i="23"/>
  <c r="A100" i="23"/>
  <c r="A104" i="23"/>
  <c r="A633" i="23"/>
  <c r="A637" i="23"/>
  <c r="A641" i="23"/>
  <c r="A634" i="23"/>
  <c r="A638" i="23"/>
  <c r="A630" i="23"/>
  <c r="A631" i="23"/>
  <c r="A635" i="23"/>
  <c r="A639" i="23"/>
  <c r="A632" i="23"/>
  <c r="A636" i="23"/>
  <c r="A640" i="23"/>
  <c r="AH22" i="37"/>
  <c r="AI22" i="37" s="1"/>
  <c r="AD14" i="24"/>
  <c r="AD15" i="24" s="1"/>
  <c r="AD16" i="24" s="1"/>
  <c r="AC744" i="22"/>
  <c r="AD744" i="22" s="1"/>
  <c r="AC834" i="22"/>
  <c r="AC743" i="22"/>
  <c r="AE588" i="22"/>
  <c r="AF588" i="22" s="1"/>
  <c r="AG588" i="22" s="1"/>
  <c r="AC586" i="22"/>
  <c r="AD586" i="22" s="1"/>
  <c r="AE586" i="22" s="1"/>
  <c r="AC587" i="22"/>
  <c r="AD587" i="22" s="1"/>
  <c r="AE587" i="22" s="1"/>
  <c r="AE449" i="22"/>
  <c r="AF449" i="22" s="1"/>
  <c r="U1479" i="23"/>
  <c r="R1480" i="23"/>
  <c r="U1480" i="23" s="1"/>
  <c r="H1188" i="23"/>
  <c r="R1187" i="23"/>
  <c r="J1187" i="23"/>
  <c r="O1187" i="23"/>
  <c r="AD469" i="22"/>
  <c r="AE469" i="22" s="1"/>
  <c r="AF469" i="22" s="1"/>
  <c r="AG469" i="22" s="1"/>
  <c r="AI469" i="22" s="1"/>
  <c r="AJ469" i="22" s="1"/>
  <c r="AJ241" i="22"/>
  <c r="AF677" i="22"/>
  <c r="AG677" i="22" s="1"/>
  <c r="AE671" i="22"/>
  <c r="AF671" i="22" s="1"/>
  <c r="AC178" i="22"/>
  <c r="AD672" i="22"/>
  <c r="AE672" i="22" s="1"/>
  <c r="AC56" i="22"/>
  <c r="AF673" i="22"/>
  <c r="AG673" i="22" s="1"/>
  <c r="AJ186" i="22"/>
  <c r="AJ483" i="22"/>
  <c r="AC669" i="22"/>
  <c r="AD669" i="22" s="1"/>
  <c r="AE669" i="22" s="1"/>
  <c r="AF453" i="22"/>
  <c r="AG453" i="22" s="1"/>
  <c r="AI453" i="22" s="1"/>
  <c r="AJ453" i="22" s="1"/>
  <c r="AC267" i="22"/>
  <c r="AC745" i="22"/>
  <c r="AC670" i="22"/>
  <c r="AJ239" i="22"/>
  <c r="AC484" i="22"/>
  <c r="AD484" i="22" s="1"/>
  <c r="AD679" i="22"/>
  <c r="AE679" i="22" s="1"/>
  <c r="AF679" i="22" s="1"/>
  <c r="AF675" i="22"/>
  <c r="AG675" i="22" s="1"/>
  <c r="AJ473" i="22"/>
  <c r="AC585" i="22"/>
  <c r="AJ190" i="22"/>
  <c r="AJ276" i="22"/>
  <c r="AD835" i="22"/>
  <c r="AE835" i="22" s="1"/>
  <c r="W1955" i="23"/>
  <c r="P1956" i="23" s="1"/>
  <c r="Q1956" i="23" s="1"/>
  <c r="K1901" i="23"/>
  <c r="L1901" i="23" s="1"/>
  <c r="J1520" i="23"/>
  <c r="O1520" i="23"/>
  <c r="U1520" i="23"/>
  <c r="K657" i="23"/>
  <c r="L657" i="23" s="1"/>
  <c r="AJ464" i="22"/>
  <c r="M1939" i="23"/>
  <c r="N1939" i="23" s="1"/>
  <c r="H1940" i="23" s="1"/>
  <c r="M1940" i="23" s="1"/>
  <c r="N1940" i="23" s="1"/>
  <c r="W1859" i="23"/>
  <c r="P1860" i="23" s="1"/>
  <c r="Q1860" i="23" s="1"/>
  <c r="U1859" i="23"/>
  <c r="R1860" i="23"/>
  <c r="U1860" i="23" s="1"/>
  <c r="W1835" i="23"/>
  <c r="P1836" i="23" s="1"/>
  <c r="Q1836" i="23" s="1"/>
  <c r="U1835" i="23"/>
  <c r="W1815" i="23"/>
  <c r="U1815" i="23"/>
  <c r="W1791" i="23"/>
  <c r="U1791" i="23"/>
  <c r="W1748" i="23"/>
  <c r="U1748" i="23"/>
  <c r="W1679" i="23"/>
  <c r="P1680" i="23" s="1"/>
  <c r="Q1680" i="23" s="1"/>
  <c r="U1679" i="23"/>
  <c r="R1680" i="23"/>
  <c r="R1681" i="23" s="1"/>
  <c r="W1541" i="23"/>
  <c r="P1542" i="23" s="1"/>
  <c r="Q1542" i="23" s="1"/>
  <c r="W1542" i="23" s="1"/>
  <c r="P1543" i="23" s="1"/>
  <c r="Q1543" i="23" s="1"/>
  <c r="U1541" i="23"/>
  <c r="W1519" i="23"/>
  <c r="P1520" i="23" s="1"/>
  <c r="Q1520" i="23" s="1"/>
  <c r="U1519" i="23"/>
  <c r="U1496" i="23"/>
  <c r="W1496" i="23"/>
  <c r="U1478" i="23"/>
  <c r="W1478" i="23"/>
  <c r="P1479" i="23" s="1"/>
  <c r="Q1479" i="23" s="1"/>
  <c r="U1402" i="23"/>
  <c r="W1402" i="23"/>
  <c r="P1403" i="23" s="1"/>
  <c r="Q1403" i="23" s="1"/>
  <c r="H1168" i="23"/>
  <c r="W1377" i="23"/>
  <c r="P1378" i="23" s="1"/>
  <c r="Q1378" i="23" s="1"/>
  <c r="U1377" i="23"/>
  <c r="J1377" i="23"/>
  <c r="H1378" i="23"/>
  <c r="M1378" i="23" s="1"/>
  <c r="O1377" i="23"/>
  <c r="R1352" i="23"/>
  <c r="R1353" i="23" s="1"/>
  <c r="R1354" i="23" s="1"/>
  <c r="U1354" i="23" s="1"/>
  <c r="J1352" i="23"/>
  <c r="O1352" i="23"/>
  <c r="R1328" i="23"/>
  <c r="J1328" i="23"/>
  <c r="H1329" i="23"/>
  <c r="O1328" i="23"/>
  <c r="J1308" i="23"/>
  <c r="O1308" i="23"/>
  <c r="R1308" i="23"/>
  <c r="J1276" i="23"/>
  <c r="O1276" i="23"/>
  <c r="R1276" i="23"/>
  <c r="R1277" i="23" s="1"/>
  <c r="J1254" i="23"/>
  <c r="O1254" i="23"/>
  <c r="R1254" i="23"/>
  <c r="R1255" i="23" s="1"/>
  <c r="U1255" i="23" s="1"/>
  <c r="J1209" i="23"/>
  <c r="O1209" i="23"/>
  <c r="R1167" i="23"/>
  <c r="U1167" i="23" s="1"/>
  <c r="O1167" i="23"/>
  <c r="R1209" i="23"/>
  <c r="R1210" i="23" s="1"/>
  <c r="R1144" i="23"/>
  <c r="J1144" i="23"/>
  <c r="O1144" i="23"/>
  <c r="H1124" i="23"/>
  <c r="M1124" i="23" s="1"/>
  <c r="R1123" i="23"/>
  <c r="R1124" i="23" s="1"/>
  <c r="R1125" i="23" s="1"/>
  <c r="U1125" i="23" s="1"/>
  <c r="O1123" i="23"/>
  <c r="J1123" i="23"/>
  <c r="R1105" i="23"/>
  <c r="H1106" i="23"/>
  <c r="O1105" i="23"/>
  <c r="J1105" i="23"/>
  <c r="O1052" i="23"/>
  <c r="R1052" i="23"/>
  <c r="R1053" i="23" s="1"/>
  <c r="U1053" i="23" s="1"/>
  <c r="J1052" i="23"/>
  <c r="R1034" i="23"/>
  <c r="J1034" i="23"/>
  <c r="O1034" i="23"/>
  <c r="O1006" i="23"/>
  <c r="H1007" i="23"/>
  <c r="M1007" i="23" s="1"/>
  <c r="J1006" i="23"/>
  <c r="R1006" i="23"/>
  <c r="O936" i="23"/>
  <c r="H937" i="23"/>
  <c r="R981" i="23"/>
  <c r="R982" i="23" s="1"/>
  <c r="U982" i="23" s="1"/>
  <c r="J981" i="23"/>
  <c r="O981" i="23"/>
  <c r="H960" i="23"/>
  <c r="O959" i="23"/>
  <c r="J959" i="23"/>
  <c r="R959" i="23"/>
  <c r="R936" i="23"/>
  <c r="J864" i="23"/>
  <c r="O864" i="23"/>
  <c r="R864" i="23"/>
  <c r="R865" i="23" s="1"/>
  <c r="R866" i="23" s="1"/>
  <c r="U866" i="23" s="1"/>
  <c r="O817" i="23"/>
  <c r="J817" i="23"/>
  <c r="R817" i="23"/>
  <c r="J741" i="23"/>
  <c r="H742" i="23"/>
  <c r="K742" i="23" s="1"/>
  <c r="L742" i="23" s="1"/>
  <c r="O741" i="23"/>
  <c r="R741" i="23"/>
  <c r="T654" i="23"/>
  <c r="M653" i="23"/>
  <c r="N653" i="23" s="1"/>
  <c r="H654" i="23" s="1"/>
  <c r="M630" i="23"/>
  <c r="N630" i="23" s="1"/>
  <c r="H631" i="23" s="1"/>
  <c r="M610" i="23"/>
  <c r="N610" i="23" s="1"/>
  <c r="U1681" i="23" l="1"/>
  <c r="R1682" i="23"/>
  <c r="U1682" i="23" s="1"/>
  <c r="W1836" i="23"/>
  <c r="P1837" i="23" s="1"/>
  <c r="Q1837" i="23" s="1"/>
  <c r="AH500" i="22"/>
  <c r="AI500" i="22" s="1"/>
  <c r="AH368" i="22"/>
  <c r="AE593" i="22"/>
  <c r="AF593" i="22" s="1"/>
  <c r="AE602" i="22"/>
  <c r="AE891" i="22"/>
  <c r="AE886" i="22"/>
  <c r="AF886" i="22" s="1"/>
  <c r="AH598" i="22"/>
  <c r="AE883" i="22"/>
  <c r="AF883" i="22" s="1"/>
  <c r="AG883" i="22" s="1"/>
  <c r="AE183" i="22"/>
  <c r="AF183" i="22" s="1"/>
  <c r="AG183" i="22" s="1"/>
  <c r="AE599" i="22"/>
  <c r="AF599" i="22" s="1"/>
  <c r="AE884" i="22"/>
  <c r="AF884" i="22" s="1"/>
  <c r="AE600" i="22"/>
  <c r="AF600" i="22" s="1"/>
  <c r="AG600" i="22" s="1"/>
  <c r="AE591" i="22"/>
  <c r="AF591" i="22" s="1"/>
  <c r="AE888" i="22"/>
  <c r="AF888" i="22" s="1"/>
  <c r="AG888" i="22" s="1"/>
  <c r="AH888" i="22" s="1"/>
  <c r="AF889" i="22"/>
  <c r="AF885" i="22"/>
  <c r="AG885" i="22" s="1"/>
  <c r="AF596" i="22"/>
  <c r="AG596" i="22" s="1"/>
  <c r="AH596" i="22" s="1"/>
  <c r="AI596" i="22" s="1"/>
  <c r="AG892" i="22"/>
  <c r="AH892" i="22" s="1"/>
  <c r="AF595" i="22"/>
  <c r="AG595" i="22" s="1"/>
  <c r="AE597" i="22"/>
  <c r="AF597" i="22" s="1"/>
  <c r="AF891" i="22"/>
  <c r="AG891" i="22" s="1"/>
  <c r="AH887" i="22"/>
  <c r="AI887" i="22" s="1"/>
  <c r="AJ887" i="22" s="1"/>
  <c r="AD589" i="22"/>
  <c r="AD603" i="22"/>
  <c r="AE603" i="22" s="1"/>
  <c r="AF590" i="22"/>
  <c r="AG590" i="22" s="1"/>
  <c r="AH590" i="22" s="1"/>
  <c r="AD594" i="22"/>
  <c r="AH601" i="22"/>
  <c r="AI601" i="22" s="1"/>
  <c r="AF890" i="22"/>
  <c r="AG890" i="22" s="1"/>
  <c r="AG592" i="22"/>
  <c r="AH592" i="22" s="1"/>
  <c r="AB542" i="22"/>
  <c r="K1921" i="23"/>
  <c r="L1921" i="23" s="1"/>
  <c r="W1837" i="23"/>
  <c r="P1838" i="23" s="1"/>
  <c r="Q1838" i="23" s="1"/>
  <c r="U1680" i="23"/>
  <c r="AB497" i="22" s="1"/>
  <c r="W1543" i="23"/>
  <c r="P1544" i="23" s="1"/>
  <c r="Q1544" i="23" s="1"/>
  <c r="U1353" i="23"/>
  <c r="U1210" i="23"/>
  <c r="R1211" i="23"/>
  <c r="U1211" i="23" s="1"/>
  <c r="AB447" i="22"/>
  <c r="W1479" i="23"/>
  <c r="P1480" i="23" s="1"/>
  <c r="Q1480" i="23" s="1"/>
  <c r="W1480" i="23" s="1"/>
  <c r="P1481" i="23" s="1"/>
  <c r="Q1481" i="23" s="1"/>
  <c r="W1481" i="23" s="1"/>
  <c r="P1482" i="23" s="1"/>
  <c r="Q1482" i="23" s="1"/>
  <c r="W1482" i="23" s="1"/>
  <c r="P1483" i="23" s="1"/>
  <c r="Q1483" i="23" s="1"/>
  <c r="AD743" i="22"/>
  <c r="AD834" i="22"/>
  <c r="AE834" i="22" s="1"/>
  <c r="AF834" i="22" s="1"/>
  <c r="AD745" i="22"/>
  <c r="AE745" i="22" s="1"/>
  <c r="AH588" i="22"/>
  <c r="AI588" i="22" s="1"/>
  <c r="AD585" i="22"/>
  <c r="AE585" i="22" s="1"/>
  <c r="AF585" i="22" s="1"/>
  <c r="AG585" i="22" s="1"/>
  <c r="AD56" i="22"/>
  <c r="K1403" i="23"/>
  <c r="L1403" i="23" s="1"/>
  <c r="M1403" i="23" s="1"/>
  <c r="AG449" i="22"/>
  <c r="AI449" i="22" s="1"/>
  <c r="AJ449" i="22" s="1"/>
  <c r="U865" i="23"/>
  <c r="R1188" i="23"/>
  <c r="W1187" i="23"/>
  <c r="P1188" i="23" s="1"/>
  <c r="Q1188" i="23" s="1"/>
  <c r="U1187" i="23"/>
  <c r="K1956" i="23"/>
  <c r="L1956" i="23" s="1"/>
  <c r="M1956" i="23" s="1"/>
  <c r="N1956" i="23" s="1"/>
  <c r="H1957" i="23" s="1"/>
  <c r="M1957" i="23" s="1"/>
  <c r="N1957" i="23" s="1"/>
  <c r="AI673" i="22"/>
  <c r="AJ673" i="22" s="1"/>
  <c r="AJ148" i="22"/>
  <c r="AJ503" i="22"/>
  <c r="AJ498" i="22"/>
  <c r="AI677" i="22"/>
  <c r="AJ677" i="22" s="1"/>
  <c r="AJ230" i="22"/>
  <c r="AF586" i="22"/>
  <c r="AG586" i="22" s="1"/>
  <c r="AJ116" i="22"/>
  <c r="AJ207" i="22"/>
  <c r="AG679" i="22"/>
  <c r="AI679" i="22" s="1"/>
  <c r="AJ679" i="22" s="1"/>
  <c r="AJ264" i="22"/>
  <c r="AJ384" i="22"/>
  <c r="AF672" i="22"/>
  <c r="AG672" i="22" s="1"/>
  <c r="AI672" i="22" s="1"/>
  <c r="AJ672" i="22" s="1"/>
  <c r="AF587" i="22"/>
  <c r="AG587" i="22" s="1"/>
  <c r="AJ129" i="22"/>
  <c r="AJ524" i="22"/>
  <c r="AI675" i="22"/>
  <c r="AJ675" i="22" s="1"/>
  <c r="AF669" i="22"/>
  <c r="AG669" i="22" s="1"/>
  <c r="AJ468" i="22"/>
  <c r="AJ417" i="22"/>
  <c r="AJ382" i="22"/>
  <c r="AJ366" i="22"/>
  <c r="AJ340" i="22"/>
  <c r="AJ229" i="22"/>
  <c r="AD670" i="22"/>
  <c r="AE670" i="22" s="1"/>
  <c r="AE484" i="22"/>
  <c r="AE744" i="22"/>
  <c r="AF744" i="22" s="1"/>
  <c r="AG744" i="22" s="1"/>
  <c r="AD267" i="22"/>
  <c r="AF835" i="22"/>
  <c r="AG835" i="22" s="1"/>
  <c r="AJ91" i="22"/>
  <c r="AD178" i="22"/>
  <c r="AE178" i="22" s="1"/>
  <c r="AG671" i="22"/>
  <c r="AI671" i="22" s="1"/>
  <c r="AJ671" i="22" s="1"/>
  <c r="J1940" i="23"/>
  <c r="O1940" i="23"/>
  <c r="M1901" i="23"/>
  <c r="N1901" i="23" s="1"/>
  <c r="W1520" i="23"/>
  <c r="U1277" i="23"/>
  <c r="R1278" i="23"/>
  <c r="U1278" i="23" s="1"/>
  <c r="H611" i="23"/>
  <c r="O1939" i="23"/>
  <c r="J1939" i="23"/>
  <c r="R1939" i="23"/>
  <c r="R1940" i="23" s="1"/>
  <c r="W1860" i="23"/>
  <c r="P1861" i="23" s="1"/>
  <c r="Q1861" i="23" s="1"/>
  <c r="W1861" i="23" s="1"/>
  <c r="P1862" i="23" s="1"/>
  <c r="Q1862" i="23" s="1"/>
  <c r="W1862" i="23" s="1"/>
  <c r="P1863" i="23" s="1"/>
  <c r="Q1863" i="23" s="1"/>
  <c r="W1863" i="23" s="1"/>
  <c r="P1864" i="23" s="1"/>
  <c r="Q1864" i="23" s="1"/>
  <c r="W1864" i="23" s="1"/>
  <c r="P1865" i="23" s="1"/>
  <c r="Q1865" i="23" s="1"/>
  <c r="R1865" i="23" s="1"/>
  <c r="P1816" i="23"/>
  <c r="Q1816" i="23" s="1"/>
  <c r="K1816" i="23"/>
  <c r="L1816" i="23" s="1"/>
  <c r="P1792" i="23"/>
  <c r="Q1792" i="23" s="1"/>
  <c r="K1792" i="23"/>
  <c r="L1792" i="23" s="1"/>
  <c r="P1749" i="23"/>
  <c r="Q1749" i="23" s="1"/>
  <c r="K1749" i="23"/>
  <c r="L1749" i="23" s="1"/>
  <c r="M1749" i="23" s="1"/>
  <c r="P1497" i="23"/>
  <c r="Q1497" i="23" s="1"/>
  <c r="K1497" i="23"/>
  <c r="L1497" i="23" s="1"/>
  <c r="M1497" i="23" s="1"/>
  <c r="W1352" i="23"/>
  <c r="P1353" i="23" s="1"/>
  <c r="Q1353" i="23" s="1"/>
  <c r="U1352" i="23"/>
  <c r="W1328" i="23"/>
  <c r="P1329" i="23" s="1"/>
  <c r="Q1329" i="23" s="1"/>
  <c r="U1328" i="23"/>
  <c r="W1308" i="23"/>
  <c r="U1308" i="23"/>
  <c r="W1276" i="23"/>
  <c r="P1277" i="23" s="1"/>
  <c r="Q1277" i="23" s="1"/>
  <c r="U1276" i="23"/>
  <c r="AB388" i="22" s="1"/>
  <c r="W1167" i="23"/>
  <c r="P1168" i="23" s="1"/>
  <c r="Q1168" i="23" s="1"/>
  <c r="W1254" i="23"/>
  <c r="P1255" i="23" s="1"/>
  <c r="Q1255" i="23" s="1"/>
  <c r="W1255" i="23" s="1"/>
  <c r="P1256" i="23" s="1"/>
  <c r="Q1256" i="23" s="1"/>
  <c r="U1254" i="23"/>
  <c r="U1209" i="23"/>
  <c r="W1209" i="23"/>
  <c r="W1144" i="23"/>
  <c r="U1144" i="23"/>
  <c r="U1123" i="23"/>
  <c r="W1123" i="23"/>
  <c r="P1124" i="23" s="1"/>
  <c r="Q1124" i="23" s="1"/>
  <c r="W1105" i="23"/>
  <c r="P1106" i="23" s="1"/>
  <c r="Q1106" i="23" s="1"/>
  <c r="U1105" i="23"/>
  <c r="U1052" i="23"/>
  <c r="AB322" i="22" s="1"/>
  <c r="W1052" i="23"/>
  <c r="P1053" i="23" s="1"/>
  <c r="Q1053" i="23" s="1"/>
  <c r="W1053" i="23" s="1"/>
  <c r="P1054" i="23" s="1"/>
  <c r="Q1054" i="23" s="1"/>
  <c r="W1034" i="23"/>
  <c r="P1035" i="23" s="1"/>
  <c r="Q1035" i="23" s="1"/>
  <c r="U1034" i="23"/>
  <c r="U1006" i="23"/>
  <c r="W1006" i="23"/>
  <c r="P1007" i="23" s="1"/>
  <c r="Q1007" i="23" s="1"/>
  <c r="W981" i="23"/>
  <c r="P982" i="23" s="1"/>
  <c r="Q982" i="23" s="1"/>
  <c r="W982" i="23" s="1"/>
  <c r="P983" i="23" s="1"/>
  <c r="Q983" i="23" s="1"/>
  <c r="U981" i="23"/>
  <c r="W936" i="23"/>
  <c r="P937" i="23" s="1"/>
  <c r="Q937" i="23" s="1"/>
  <c r="U936" i="23"/>
  <c r="U959" i="23"/>
  <c r="W959" i="23"/>
  <c r="P960" i="23" s="1"/>
  <c r="Q960" i="23" s="1"/>
  <c r="U864" i="23"/>
  <c r="W864" i="23"/>
  <c r="P865" i="23" s="1"/>
  <c r="Q865" i="23" s="1"/>
  <c r="U817" i="23"/>
  <c r="W817" i="23"/>
  <c r="P818" i="23" s="1"/>
  <c r="Q818" i="23" s="1"/>
  <c r="W741" i="23"/>
  <c r="P742" i="23" s="1"/>
  <c r="Q742" i="23" s="1"/>
  <c r="U741" i="23"/>
  <c r="R653" i="23"/>
  <c r="J653" i="23"/>
  <c r="O653" i="23"/>
  <c r="J610" i="23"/>
  <c r="R610" i="23"/>
  <c r="O610" i="23"/>
  <c r="O630" i="23"/>
  <c r="J630" i="23"/>
  <c r="R630" i="23"/>
  <c r="AL892" i="22" l="1"/>
  <c r="AF602" i="22"/>
  <c r="AI892" i="22"/>
  <c r="AJ892" i="22" s="1"/>
  <c r="AE589" i="22"/>
  <c r="AF589" i="22" s="1"/>
  <c r="AG589" i="22" s="1"/>
  <c r="AI598" i="22"/>
  <c r="AJ598" i="22" s="1"/>
  <c r="AI590" i="22"/>
  <c r="AJ590" i="22" s="1"/>
  <c r="AI368" i="22"/>
  <c r="AJ368" i="22" s="1"/>
  <c r="AI592" i="22"/>
  <c r="W1353" i="23"/>
  <c r="P1354" i="23" s="1"/>
  <c r="Q1354" i="23" s="1"/>
  <c r="W1354" i="23" s="1"/>
  <c r="P1355" i="23" s="1"/>
  <c r="Q1355" i="23" s="1"/>
  <c r="AG593" i="22"/>
  <c r="AH593" i="22" s="1"/>
  <c r="AJ588" i="22"/>
  <c r="AH183" i="22"/>
  <c r="AI183" i="22" s="1"/>
  <c r="AG884" i="22"/>
  <c r="AH884" i="22" s="1"/>
  <c r="AJ596" i="22"/>
  <c r="AI888" i="22"/>
  <c r="AH600" i="22"/>
  <c r="AI600" i="22" s="1"/>
  <c r="AF603" i="22"/>
  <c r="AG603" i="22" s="1"/>
  <c r="AH885" i="22"/>
  <c r="AI885" i="22" s="1"/>
  <c r="AH891" i="22"/>
  <c r="AI891" i="22" s="1"/>
  <c r="AG597" i="22"/>
  <c r="AH597" i="22" s="1"/>
  <c r="AH883" i="22"/>
  <c r="AI883" i="22" s="1"/>
  <c r="AH595" i="22"/>
  <c r="AI595" i="22" s="1"/>
  <c r="AG599" i="22"/>
  <c r="AG889" i="22"/>
  <c r="AH889" i="22" s="1"/>
  <c r="AH890" i="22"/>
  <c r="AI890" i="22" s="1"/>
  <c r="AJ890" i="22" s="1"/>
  <c r="AG591" i="22"/>
  <c r="AH591" i="22" s="1"/>
  <c r="AE594" i="22"/>
  <c r="AF594" i="22" s="1"/>
  <c r="AG886" i="22"/>
  <c r="AH886" i="22" s="1"/>
  <c r="AI886" i="22" s="1"/>
  <c r="AJ886" i="22" s="1"/>
  <c r="W1680" i="23"/>
  <c r="M1921" i="23"/>
  <c r="N1921" i="23" s="1"/>
  <c r="U1865" i="23"/>
  <c r="W1865" i="23" s="1"/>
  <c r="P1866" i="23" s="1"/>
  <c r="Q1866" i="23" s="1"/>
  <c r="R1866" i="23"/>
  <c r="W865" i="23"/>
  <c r="P866" i="23" s="1"/>
  <c r="Q866" i="23" s="1"/>
  <c r="W866" i="23" s="1"/>
  <c r="P867" i="23" s="1"/>
  <c r="Q867" i="23" s="1"/>
  <c r="AG834" i="22"/>
  <c r="AH834" i="22" s="1"/>
  <c r="AI834" i="22" s="1"/>
  <c r="AJ834" i="22" s="1"/>
  <c r="AE743" i="22"/>
  <c r="AH835" i="22"/>
  <c r="AI835" i="22" s="1"/>
  <c r="AJ835" i="22" s="1"/>
  <c r="AH744" i="22"/>
  <c r="AI744" i="22" s="1"/>
  <c r="AH585" i="22"/>
  <c r="AI585" i="22" s="1"/>
  <c r="AH586" i="22"/>
  <c r="AI586" i="22" s="1"/>
  <c r="AH587" i="22"/>
  <c r="AI587" i="22" s="1"/>
  <c r="AE56" i="22"/>
  <c r="P1521" i="23"/>
  <c r="Q1521" i="23" s="1"/>
  <c r="K1521" i="23"/>
  <c r="L1521" i="23" s="1"/>
  <c r="K1168" i="23"/>
  <c r="L1168" i="23" s="1"/>
  <c r="P1309" i="23"/>
  <c r="Q1309" i="23" s="1"/>
  <c r="K1309" i="23"/>
  <c r="L1309" i="23" s="1"/>
  <c r="R1956" i="23"/>
  <c r="U1956" i="23" s="1"/>
  <c r="W1956" i="23" s="1"/>
  <c r="P1957" i="23" s="1"/>
  <c r="Q1957" i="23" s="1"/>
  <c r="P1145" i="23"/>
  <c r="Q1145" i="23" s="1"/>
  <c r="K1145" i="23"/>
  <c r="L1145" i="23" s="1"/>
  <c r="M1145" i="23" s="1"/>
  <c r="J1956" i="23"/>
  <c r="O1956" i="23"/>
  <c r="U1188" i="23"/>
  <c r="W1188" i="23" s="1"/>
  <c r="P1189" i="23" s="1"/>
  <c r="Q1189" i="23" s="1"/>
  <c r="AJ208" i="22"/>
  <c r="AJ487" i="22"/>
  <c r="AJ492" i="22"/>
  <c r="AJ407" i="22"/>
  <c r="AJ341" i="22"/>
  <c r="AJ511" i="22"/>
  <c r="AJ367" i="22"/>
  <c r="AJ392" i="22"/>
  <c r="AJ146" i="22"/>
  <c r="AE267" i="22"/>
  <c r="AF267" i="22" s="1"/>
  <c r="AJ292" i="22"/>
  <c r="AF484" i="22"/>
  <c r="AG484" i="22" s="1"/>
  <c r="AJ348" i="22"/>
  <c r="AJ98" i="22"/>
  <c r="AJ284" i="22"/>
  <c r="AJ332" i="22"/>
  <c r="AG279" i="22"/>
  <c r="AF670" i="22"/>
  <c r="AJ500" i="22"/>
  <c r="AJ60" i="22"/>
  <c r="AJ90" i="22"/>
  <c r="AF745" i="22"/>
  <c r="AG745" i="22" s="1"/>
  <c r="AI669" i="22"/>
  <c r="AJ669" i="22" s="1"/>
  <c r="AJ253" i="22"/>
  <c r="AJ126" i="22"/>
  <c r="AJ522" i="22"/>
  <c r="AF178" i="22"/>
  <c r="W1277" i="23"/>
  <c r="P1278" i="23" s="1"/>
  <c r="Q1278" i="23" s="1"/>
  <c r="W1278" i="23" s="1"/>
  <c r="P1279" i="23" s="1"/>
  <c r="Q1279" i="23" s="1"/>
  <c r="J1957" i="23"/>
  <c r="O1957" i="23"/>
  <c r="H1958" i="23"/>
  <c r="M1958" i="23" s="1"/>
  <c r="N1958" i="23" s="1"/>
  <c r="U1940" i="23"/>
  <c r="R1941" i="23"/>
  <c r="J1901" i="23"/>
  <c r="O1901" i="23"/>
  <c r="H1902" i="23"/>
  <c r="R1901" i="23"/>
  <c r="U1901" i="23" s="1"/>
  <c r="U610" i="23"/>
  <c r="R611" i="23"/>
  <c r="P1210" i="23"/>
  <c r="Q1210" i="23" s="1"/>
  <c r="W1210" i="23" s="1"/>
  <c r="P1211" i="23" s="1"/>
  <c r="Q1211" i="23" s="1"/>
  <c r="W1211" i="23" s="1"/>
  <c r="P1212" i="23" s="1"/>
  <c r="Q1212" i="23" s="1"/>
  <c r="U1939" i="23"/>
  <c r="H1941" i="23"/>
  <c r="K1329" i="23"/>
  <c r="L1329" i="23" s="1"/>
  <c r="W610" i="23"/>
  <c r="P611" i="23" s="1"/>
  <c r="Q611" i="23" s="1"/>
  <c r="W653" i="23"/>
  <c r="P654" i="23" s="1"/>
  <c r="Q654" i="23" s="1"/>
  <c r="U653" i="23"/>
  <c r="U630" i="23"/>
  <c r="W630" i="23"/>
  <c r="P1681" i="23" l="1"/>
  <c r="Q1681" i="23" s="1"/>
  <c r="W1681" i="23" s="1"/>
  <c r="P1682" i="23" s="1"/>
  <c r="Q1682" i="23" s="1"/>
  <c r="W1682" i="23" s="1"/>
  <c r="AI591" i="22"/>
  <c r="AJ591" i="22" s="1"/>
  <c r="AI593" i="22"/>
  <c r="AG602" i="22"/>
  <c r="AH602" i="22" s="1"/>
  <c r="AH599" i="22"/>
  <c r="AI599" i="22" s="1"/>
  <c r="AJ599" i="22" s="1"/>
  <c r="AJ183" i="22"/>
  <c r="AI597" i="22"/>
  <c r="AJ597" i="22" s="1"/>
  <c r="AJ595" i="22"/>
  <c r="AJ744" i="22"/>
  <c r="AJ587" i="22"/>
  <c r="AJ585" i="22"/>
  <c r="AJ586" i="22"/>
  <c r="AH603" i="22"/>
  <c r="AI603" i="22" s="1"/>
  <c r="AH279" i="22"/>
  <c r="AI279" i="22" s="1"/>
  <c r="AI884" i="22"/>
  <c r="AJ884" i="22" s="1"/>
  <c r="AG594" i="22"/>
  <c r="AH594" i="22" s="1"/>
  <c r="AH589" i="22"/>
  <c r="AI589" i="22" s="1"/>
  <c r="AI889" i="22"/>
  <c r="AJ889" i="22" s="1"/>
  <c r="O1921" i="23"/>
  <c r="H1922" i="23"/>
  <c r="J1921" i="23"/>
  <c r="R1921" i="23"/>
  <c r="W1901" i="23"/>
  <c r="P1902" i="23" s="1"/>
  <c r="Q1902" i="23" s="1"/>
  <c r="AB668" i="22"/>
  <c r="R1867" i="23"/>
  <c r="U1866" i="23"/>
  <c r="W1866" i="23" s="1"/>
  <c r="P1867" i="23" s="1"/>
  <c r="Q1867" i="23" s="1"/>
  <c r="AF743" i="22"/>
  <c r="AG743" i="22" s="1"/>
  <c r="AJ891" i="22"/>
  <c r="AJ885" i="22"/>
  <c r="AH745" i="22"/>
  <c r="AI745" i="22" s="1"/>
  <c r="AJ883" i="22"/>
  <c r="AJ888" i="22"/>
  <c r="AJ601" i="22"/>
  <c r="AJ600" i="22"/>
  <c r="AJ592" i="22"/>
  <c r="AF56" i="22"/>
  <c r="M1521" i="23"/>
  <c r="N1521" i="23" s="1"/>
  <c r="R1521" i="23" s="1"/>
  <c r="U1521" i="23" s="1"/>
  <c r="P631" i="23"/>
  <c r="Q631" i="23" s="1"/>
  <c r="K631" i="23"/>
  <c r="L631" i="23" s="1"/>
  <c r="M631" i="23" s="1"/>
  <c r="R1957" i="23"/>
  <c r="R1958" i="23" s="1"/>
  <c r="AG670" i="22"/>
  <c r="AI670" i="22" s="1"/>
  <c r="AJ670" i="22" s="1"/>
  <c r="AJ65" i="22"/>
  <c r="AJ385" i="22"/>
  <c r="AJ145" i="22"/>
  <c r="AJ15" i="22"/>
  <c r="AG267" i="22"/>
  <c r="AI267" i="22" s="1"/>
  <c r="AJ267" i="22" s="1"/>
  <c r="AJ199" i="22"/>
  <c r="AG178" i="22"/>
  <c r="AI484" i="22"/>
  <c r="AJ484" i="22" s="1"/>
  <c r="O1958" i="23"/>
  <c r="J1958" i="23"/>
  <c r="H1959" i="23"/>
  <c r="M1959" i="23" s="1"/>
  <c r="N1959" i="23" s="1"/>
  <c r="R1942" i="23"/>
  <c r="U1941" i="23"/>
  <c r="M1941" i="23"/>
  <c r="N1941" i="23" s="1"/>
  <c r="U611" i="23"/>
  <c r="W611" i="23" s="1"/>
  <c r="P612" i="23" s="1"/>
  <c r="Q612" i="23" s="1"/>
  <c r="R612" i="23"/>
  <c r="W1939" i="23"/>
  <c r="P1940" i="23" s="1"/>
  <c r="Q1940" i="23" s="1"/>
  <c r="W1940" i="23" s="1"/>
  <c r="P1941" i="23" s="1"/>
  <c r="Q1941" i="23" s="1"/>
  <c r="P1683" i="23" l="1"/>
  <c r="Q1683" i="23" s="1"/>
  <c r="W1683" i="23" s="1"/>
  <c r="P1684" i="23" s="1"/>
  <c r="Q1684" i="23" s="1"/>
  <c r="W1684" i="23" s="1"/>
  <c r="P1685" i="23" s="1"/>
  <c r="Q1685" i="23" s="1"/>
  <c r="AI602" i="22"/>
  <c r="AJ602" i="22" s="1"/>
  <c r="AI594" i="22"/>
  <c r="AJ594" i="22" s="1"/>
  <c r="AJ279" i="22"/>
  <c r="K1902" i="23"/>
  <c r="L1902" i="23" s="1"/>
  <c r="M1902" i="23" s="1"/>
  <c r="N1902" i="23" s="1"/>
  <c r="AJ745" i="22"/>
  <c r="AH178" i="22"/>
  <c r="U1921" i="23"/>
  <c r="R1922" i="23"/>
  <c r="M1922" i="23"/>
  <c r="N1922" i="23" s="1"/>
  <c r="U1867" i="23"/>
  <c r="W1867" i="23" s="1"/>
  <c r="P1868" i="23" s="1"/>
  <c r="Q1868" i="23" s="1"/>
  <c r="R1868" i="23"/>
  <c r="W1521" i="23"/>
  <c r="P1522" i="23" s="1"/>
  <c r="Q1522" i="23" s="1"/>
  <c r="AB213" i="22"/>
  <c r="AH743" i="22"/>
  <c r="AI743" i="22" s="1"/>
  <c r="AJ593" i="22"/>
  <c r="AJ589" i="22"/>
  <c r="AJ603" i="22"/>
  <c r="AG56" i="22"/>
  <c r="AH56" i="22" s="1"/>
  <c r="AI56" i="22" s="1"/>
  <c r="O1521" i="23"/>
  <c r="H1522" i="23"/>
  <c r="J1521" i="23"/>
  <c r="U1957" i="23"/>
  <c r="W1957" i="23" s="1"/>
  <c r="P1958" i="23" s="1"/>
  <c r="Q1958" i="23" s="1"/>
  <c r="H1960" i="23"/>
  <c r="M1960" i="23" s="1"/>
  <c r="N1960" i="23" s="1"/>
  <c r="H1961" i="23" s="1"/>
  <c r="M1961" i="23" s="1"/>
  <c r="N1961" i="23" s="1"/>
  <c r="J1959" i="23"/>
  <c r="O1959" i="23"/>
  <c r="U1958" i="23"/>
  <c r="R1959" i="23"/>
  <c r="W1941" i="23"/>
  <c r="P1942" i="23" s="1"/>
  <c r="Q1942" i="23" s="1"/>
  <c r="U1942" i="23"/>
  <c r="R1943" i="23"/>
  <c r="H1942" i="23"/>
  <c r="J1941" i="23"/>
  <c r="O1941" i="23"/>
  <c r="U612" i="23"/>
  <c r="W612" i="23" s="1"/>
  <c r="P613" i="23" s="1"/>
  <c r="Q613" i="23" s="1"/>
  <c r="R613" i="23"/>
  <c r="U613" i="23" s="1"/>
  <c r="W1685" i="23" l="1"/>
  <c r="P1686" i="23" s="1"/>
  <c r="Q1686" i="23" s="1"/>
  <c r="W1686" i="23" s="1"/>
  <c r="P1687" i="23" s="1"/>
  <c r="Q1687" i="23" s="1"/>
  <c r="AI178" i="22"/>
  <c r="AJ178" i="22" s="1"/>
  <c r="AJ743" i="22"/>
  <c r="J1961" i="23"/>
  <c r="O1961" i="23"/>
  <c r="U1943" i="23"/>
  <c r="AI393" i="34" s="1"/>
  <c r="R1944" i="23"/>
  <c r="U1944" i="23" s="1"/>
  <c r="H1923" i="23"/>
  <c r="O1922" i="23"/>
  <c r="J1922" i="23"/>
  <c r="W1921" i="23"/>
  <c r="P1922" i="23" s="1"/>
  <c r="Q1922" i="23" s="1"/>
  <c r="R1923" i="23"/>
  <c r="U1922" i="23"/>
  <c r="AB674" i="22" s="1"/>
  <c r="R1869" i="23"/>
  <c r="U1869" i="23" s="1"/>
  <c r="U1868" i="23"/>
  <c r="W1868" i="23" s="1"/>
  <c r="P1869" i="23" s="1"/>
  <c r="Q1869" i="23" s="1"/>
  <c r="K1522" i="23"/>
  <c r="L1522" i="23" s="1"/>
  <c r="M1522" i="23" s="1"/>
  <c r="N1522" i="23" s="1"/>
  <c r="J1960" i="23"/>
  <c r="O1960" i="23"/>
  <c r="W1958" i="23"/>
  <c r="P1959" i="23" s="1"/>
  <c r="Q1959" i="23" s="1"/>
  <c r="U1959" i="23"/>
  <c r="R1960" i="23"/>
  <c r="W1942" i="23"/>
  <c r="P1943" i="23" s="1"/>
  <c r="Q1943" i="23" s="1"/>
  <c r="M1942" i="23"/>
  <c r="N1942" i="23" s="1"/>
  <c r="O1902" i="23"/>
  <c r="J1902" i="23"/>
  <c r="H1903" i="23"/>
  <c r="R1902" i="23"/>
  <c r="U1902" i="23" s="1"/>
  <c r="W1902" i="23" s="1"/>
  <c r="P1903" i="23" s="1"/>
  <c r="Q1903" i="23" s="1"/>
  <c r="W613" i="23"/>
  <c r="P614" i="23" s="1"/>
  <c r="Q614" i="23" s="1"/>
  <c r="R1687" i="23" l="1"/>
  <c r="W1922" i="23"/>
  <c r="P1923" i="23" s="1"/>
  <c r="Q1923" i="23" s="1"/>
  <c r="W1943" i="23"/>
  <c r="P1944" i="23" s="1"/>
  <c r="Q1944" i="23" s="1"/>
  <c r="U1960" i="23"/>
  <c r="AI395" i="34" s="1"/>
  <c r="R1961" i="23"/>
  <c r="U1961" i="23" s="1"/>
  <c r="U1947" i="23"/>
  <c r="W1947" i="23" s="1"/>
  <c r="W1944" i="23"/>
  <c r="U1923" i="23"/>
  <c r="R1924" i="23"/>
  <c r="M1923" i="23"/>
  <c r="N1923" i="23" s="1"/>
  <c r="W1869" i="23"/>
  <c r="H1523" i="23"/>
  <c r="J1522" i="23"/>
  <c r="O1522" i="23"/>
  <c r="R1522" i="23"/>
  <c r="W1959" i="23"/>
  <c r="P1960" i="23" s="1"/>
  <c r="Q1960" i="23" s="1"/>
  <c r="J1942" i="23"/>
  <c r="O1942" i="23"/>
  <c r="H1943" i="23"/>
  <c r="K1903" i="23"/>
  <c r="L1903" i="23" s="1"/>
  <c r="W216" i="21"/>
  <c r="X216" i="21" s="1"/>
  <c r="AI216" i="21"/>
  <c r="W217" i="21"/>
  <c r="X217" i="21" s="1"/>
  <c r="AI217" i="21"/>
  <c r="W402" i="21"/>
  <c r="Y402" i="21" s="1"/>
  <c r="AA402" i="21" s="1"/>
  <c r="AI402" i="21"/>
  <c r="W403" i="21"/>
  <c r="Y403" i="21" s="1"/>
  <c r="AA403" i="21" s="1"/>
  <c r="AI403" i="21"/>
  <c r="W411" i="21"/>
  <c r="Y411" i="21" s="1"/>
  <c r="AA411" i="21" s="1"/>
  <c r="AI411" i="21"/>
  <c r="W412" i="21"/>
  <c r="AI412" i="21"/>
  <c r="W413" i="21"/>
  <c r="Y413" i="21" s="1"/>
  <c r="AA413" i="21" s="1"/>
  <c r="AI413" i="21"/>
  <c r="W507" i="21"/>
  <c r="X507" i="21" s="1"/>
  <c r="AI507" i="21"/>
  <c r="G557" i="23"/>
  <c r="AD547" i="23" s="1"/>
  <c r="X556" i="23"/>
  <c r="W556" i="23"/>
  <c r="V556" i="23"/>
  <c r="U556" i="23"/>
  <c r="S556" i="23"/>
  <c r="R556" i="23"/>
  <c r="Q556" i="23"/>
  <c r="P556" i="23"/>
  <c r="O556" i="23"/>
  <c r="N556" i="23"/>
  <c r="M556" i="23"/>
  <c r="L556" i="23"/>
  <c r="J556" i="23"/>
  <c r="I556" i="23"/>
  <c r="H556" i="23"/>
  <c r="V543" i="23"/>
  <c r="S543" i="23"/>
  <c r="P543" i="23"/>
  <c r="U1687" i="23" l="1"/>
  <c r="W1687" i="23" s="1"/>
  <c r="P1688" i="23" s="1"/>
  <c r="Q1688" i="23" s="1"/>
  <c r="R1688" i="23"/>
  <c r="W1960" i="23"/>
  <c r="P1961" i="23" s="1"/>
  <c r="Q1961" i="23" s="1"/>
  <c r="W1961" i="23" s="1"/>
  <c r="W1923" i="23"/>
  <c r="P1924" i="23" s="1"/>
  <c r="Q1924" i="23" s="1"/>
  <c r="U1964" i="23"/>
  <c r="W1964" i="23" s="1"/>
  <c r="AD1941" i="23"/>
  <c r="AD1942" i="23" s="1"/>
  <c r="AD1943" i="23" s="1"/>
  <c r="AJ393" i="34"/>
  <c r="AK393" i="34" s="1"/>
  <c r="H1924" i="23"/>
  <c r="M1924" i="23" s="1"/>
  <c r="N1924" i="23" s="1"/>
  <c r="J1923" i="23"/>
  <c r="O1923" i="23"/>
  <c r="U1924" i="23"/>
  <c r="W1924" i="23" s="1"/>
  <c r="P1925" i="23" s="1"/>
  <c r="Q1925" i="23" s="1"/>
  <c r="R1925" i="23"/>
  <c r="T544" i="23"/>
  <c r="A543" i="23"/>
  <c r="R1523" i="23"/>
  <c r="U1523" i="23" s="1"/>
  <c r="U1522" i="23"/>
  <c r="M1523" i="23"/>
  <c r="N1523" i="23" s="1"/>
  <c r="M1943" i="23"/>
  <c r="N1943" i="23" s="1"/>
  <c r="H1944" i="23" s="1"/>
  <c r="M1944" i="23" s="1"/>
  <c r="N1944" i="23" s="1"/>
  <c r="M1903" i="23"/>
  <c r="N1903" i="23" s="1"/>
  <c r="R1903" i="23" s="1"/>
  <c r="Y217" i="21"/>
  <c r="X402" i="21"/>
  <c r="Z411" i="21"/>
  <c r="AB411" i="21"/>
  <c r="AC411" i="21" s="1"/>
  <c r="AD411" i="21" s="1"/>
  <c r="AE411" i="21" s="1"/>
  <c r="AB403" i="21"/>
  <c r="AH403" i="21" s="1"/>
  <c r="AB402" i="21"/>
  <c r="Z402" i="21"/>
  <c r="X412" i="21"/>
  <c r="Y412" i="21"/>
  <c r="AB413" i="21"/>
  <c r="Y507" i="21"/>
  <c r="AA507" i="21" s="1"/>
  <c r="X411" i="21"/>
  <c r="X403" i="21"/>
  <c r="X413" i="21"/>
  <c r="Y216" i="21"/>
  <c r="AA216" i="21" s="1"/>
  <c r="M543" i="23"/>
  <c r="N543" i="23" s="1"/>
  <c r="H544" i="23" s="1"/>
  <c r="G489" i="23"/>
  <c r="AD482" i="23" s="1"/>
  <c r="X488" i="23"/>
  <c r="W488" i="23"/>
  <c r="V488" i="23"/>
  <c r="U488" i="23"/>
  <c r="S488" i="23"/>
  <c r="R488" i="23"/>
  <c r="Q488" i="23"/>
  <c r="P488" i="23"/>
  <c r="O488" i="23"/>
  <c r="N488" i="23"/>
  <c r="M488" i="23"/>
  <c r="L488" i="23"/>
  <c r="J488" i="23"/>
  <c r="I488" i="23"/>
  <c r="H488" i="23"/>
  <c r="A486" i="23"/>
  <c r="V476" i="23"/>
  <c r="S476" i="23"/>
  <c r="A476" i="23" s="1"/>
  <c r="V474" i="23"/>
  <c r="S474" i="23"/>
  <c r="P474" i="23"/>
  <c r="G422" i="23"/>
  <c r="G429" i="23" s="1"/>
  <c r="AD411" i="23" s="1"/>
  <c r="X428" i="23"/>
  <c r="W428" i="23"/>
  <c r="V428" i="23"/>
  <c r="U428" i="23"/>
  <c r="S428" i="23"/>
  <c r="R428" i="23"/>
  <c r="Q428" i="23"/>
  <c r="P428" i="23"/>
  <c r="O428" i="23"/>
  <c r="N428" i="23"/>
  <c r="M428" i="23"/>
  <c r="L428" i="23"/>
  <c r="J428" i="23"/>
  <c r="I428" i="23"/>
  <c r="H428" i="23"/>
  <c r="V410" i="23"/>
  <c r="S410" i="23"/>
  <c r="P410" i="23"/>
  <c r="X466" i="23"/>
  <c r="W466" i="23"/>
  <c r="V466" i="23"/>
  <c r="U466" i="23"/>
  <c r="S466" i="23"/>
  <c r="R466" i="23"/>
  <c r="Q466" i="23"/>
  <c r="P466" i="23"/>
  <c r="O466" i="23"/>
  <c r="N466" i="23"/>
  <c r="M466" i="23"/>
  <c r="L466" i="23"/>
  <c r="J466" i="23"/>
  <c r="I466" i="23"/>
  <c r="H466" i="23"/>
  <c r="G467" i="23"/>
  <c r="AD460" i="23" s="1"/>
  <c r="V455" i="23"/>
  <c r="S455" i="23"/>
  <c r="P455" i="23"/>
  <c r="G285" i="23"/>
  <c r="M197" i="23"/>
  <c r="N197" i="23" s="1"/>
  <c r="H198" i="23" s="1"/>
  <c r="M198" i="23" s="1"/>
  <c r="K159" i="23"/>
  <c r="L159" i="23" s="1"/>
  <c r="M159" i="23" s="1"/>
  <c r="U1688" i="23" l="1"/>
  <c r="R1689" i="23"/>
  <c r="W1688" i="23"/>
  <c r="P1689" i="23" s="1"/>
  <c r="Q1689" i="23" s="1"/>
  <c r="AD1958" i="23"/>
  <c r="AD1959" i="23" s="1"/>
  <c r="AD1960" i="23" s="1"/>
  <c r="AJ395" i="34"/>
  <c r="AK395" i="34" s="1"/>
  <c r="O1944" i="23"/>
  <c r="J1944" i="23"/>
  <c r="U1925" i="23"/>
  <c r="W1925" i="23" s="1"/>
  <c r="P1926" i="23" s="1"/>
  <c r="Q1926" i="23" s="1"/>
  <c r="R1926" i="23"/>
  <c r="J1924" i="23"/>
  <c r="H1925" i="23"/>
  <c r="O1924" i="23"/>
  <c r="W1522" i="23"/>
  <c r="P1523" i="23" s="1"/>
  <c r="Q1523" i="23" s="1"/>
  <c r="W1523" i="23" s="1"/>
  <c r="P1524" i="23" s="1"/>
  <c r="Q1524" i="23" s="1"/>
  <c r="W1524" i="23" s="1"/>
  <c r="P1525" i="23" s="1"/>
  <c r="Q1525" i="23" s="1"/>
  <c r="W1525" i="23" s="1"/>
  <c r="P1526" i="23" s="1"/>
  <c r="Q1526" i="23" s="1"/>
  <c r="W1526" i="23" s="1"/>
  <c r="AB460" i="22"/>
  <c r="T475" i="23"/>
  <c r="A474" i="23"/>
  <c r="T456" i="23"/>
  <c r="A455" i="23"/>
  <c r="T411" i="23"/>
  <c r="A410" i="23"/>
  <c r="J1523" i="23"/>
  <c r="O1523" i="23"/>
  <c r="H1524" i="23"/>
  <c r="AA412" i="21"/>
  <c r="AB412" i="21" s="1"/>
  <c r="AA217" i="21"/>
  <c r="AB217" i="21" s="1"/>
  <c r="AH217" i="21" s="1"/>
  <c r="J1943" i="23"/>
  <c r="O1943" i="23"/>
  <c r="U1903" i="23"/>
  <c r="W1903" i="23" s="1"/>
  <c r="P1904" i="23" s="1"/>
  <c r="Q1904" i="23" s="1"/>
  <c r="R1904" i="23"/>
  <c r="U1904" i="23" s="1"/>
  <c r="O1903" i="23"/>
  <c r="J1903" i="23"/>
  <c r="H1904" i="23"/>
  <c r="AH411" i="21"/>
  <c r="AJ411" i="21" s="1"/>
  <c r="T477" i="23"/>
  <c r="T476" i="23"/>
  <c r="Z412" i="21"/>
  <c r="J197" i="23"/>
  <c r="O197" i="23"/>
  <c r="J543" i="23"/>
  <c r="O543" i="23"/>
  <c r="AC402" i="21"/>
  <c r="AH402" i="21"/>
  <c r="AJ402" i="21" s="1"/>
  <c r="Z216" i="21"/>
  <c r="AB216" i="21"/>
  <c r="AH413" i="21"/>
  <c r="AB507" i="21"/>
  <c r="Z507" i="21"/>
  <c r="AF411" i="21"/>
  <c r="AG411" i="21" s="1"/>
  <c r="R543" i="23"/>
  <c r="R544" i="23" s="1"/>
  <c r="U544" i="23" s="1"/>
  <c r="M474" i="23"/>
  <c r="N474" i="23" s="1"/>
  <c r="M410" i="23"/>
  <c r="N410" i="23" s="1"/>
  <c r="H411" i="23" s="1"/>
  <c r="M455" i="23"/>
  <c r="N455" i="23" s="1"/>
  <c r="H456" i="23" s="1"/>
  <c r="G99" i="23"/>
  <c r="G95" i="23"/>
  <c r="V87" i="23"/>
  <c r="S87" i="23"/>
  <c r="T88" i="23" s="1"/>
  <c r="L87" i="23"/>
  <c r="G74" i="23"/>
  <c r="G70" i="23"/>
  <c r="G48" i="23"/>
  <c r="U1689" i="23" l="1"/>
  <c r="W1689" i="23" s="1"/>
  <c r="P1690" i="23" s="1"/>
  <c r="Q1690" i="23" s="1"/>
  <c r="R1690" i="23"/>
  <c r="R1927" i="23"/>
  <c r="U1926" i="23"/>
  <c r="W1926" i="23" s="1"/>
  <c r="P1927" i="23" s="1"/>
  <c r="Q1927" i="23" s="1"/>
  <c r="M1925" i="23"/>
  <c r="N1925" i="23" s="1"/>
  <c r="P1527" i="23"/>
  <c r="Q1527" i="23" s="1"/>
  <c r="K1527" i="23"/>
  <c r="L1527" i="23" s="1"/>
  <c r="M1527" i="23" s="1"/>
  <c r="N1527" i="23" s="1"/>
  <c r="A87" i="23"/>
  <c r="M1524" i="23"/>
  <c r="N1524" i="23" s="1"/>
  <c r="W1904" i="23"/>
  <c r="P1905" i="23" s="1"/>
  <c r="Q1905" i="23" s="1"/>
  <c r="AC412" i="21"/>
  <c r="AD412" i="21" s="1"/>
  <c r="AE412" i="21" s="1"/>
  <c r="AH412" i="21"/>
  <c r="AJ412" i="21" s="1"/>
  <c r="M1904" i="23"/>
  <c r="N1904" i="23" s="1"/>
  <c r="H476" i="23"/>
  <c r="H475" i="23"/>
  <c r="J455" i="23"/>
  <c r="O455" i="23"/>
  <c r="O474" i="23"/>
  <c r="J474" i="23"/>
  <c r="O410" i="23"/>
  <c r="J410" i="23"/>
  <c r="AD402" i="21"/>
  <c r="AE402" i="21" s="1"/>
  <c r="AC507" i="21"/>
  <c r="AD507" i="21" s="1"/>
  <c r="AE507" i="21" s="1"/>
  <c r="AH507" i="21"/>
  <c r="AJ507" i="21" s="1"/>
  <c r="AH216" i="21"/>
  <c r="AJ216" i="21" s="1"/>
  <c r="AC216" i="21"/>
  <c r="AD216" i="21" s="1"/>
  <c r="W543" i="23"/>
  <c r="P544" i="23" s="1"/>
  <c r="Q544" i="23" s="1"/>
  <c r="W544" i="23" s="1"/>
  <c r="P545" i="23" s="1"/>
  <c r="Q545" i="23" s="1"/>
  <c r="U543" i="23"/>
  <c r="R474" i="23"/>
  <c r="R475" i="23" s="1"/>
  <c r="U475" i="23" s="1"/>
  <c r="R410" i="23"/>
  <c r="R455" i="23"/>
  <c r="R456" i="23" s="1"/>
  <c r="U456" i="23" s="1"/>
  <c r="S335" i="22"/>
  <c r="S322" i="22"/>
  <c r="S320" i="22"/>
  <c r="U1690" i="23" l="1"/>
  <c r="W1690" i="23" s="1"/>
  <c r="P1691" i="23" s="1"/>
  <c r="Q1691" i="23" s="1"/>
  <c r="R1691" i="23"/>
  <c r="U1691" i="23" s="1"/>
  <c r="O1925" i="23"/>
  <c r="H1926" i="23"/>
  <c r="M1926" i="23" s="1"/>
  <c r="N1926" i="23" s="1"/>
  <c r="J1925" i="23"/>
  <c r="R1928" i="23"/>
  <c r="U1928" i="23" s="1"/>
  <c r="U1927" i="23"/>
  <c r="AI389" i="34" s="1"/>
  <c r="H1528" i="23"/>
  <c r="M1528" i="23" s="1"/>
  <c r="N1528" i="23" s="1"/>
  <c r="J1527" i="23"/>
  <c r="O1527" i="23"/>
  <c r="R1527" i="23"/>
  <c r="H1525" i="23"/>
  <c r="M1525" i="23" s="1"/>
  <c r="N1525" i="23" s="1"/>
  <c r="J1524" i="23"/>
  <c r="O1524" i="23"/>
  <c r="AF412" i="21"/>
  <c r="AG412" i="21" s="1"/>
  <c r="H1905" i="23"/>
  <c r="O1904" i="23"/>
  <c r="J1904" i="23"/>
  <c r="AF402" i="21"/>
  <c r="AG402" i="21" s="1"/>
  <c r="AE216" i="21"/>
  <c r="AF216" i="21" s="1"/>
  <c r="AF507" i="21"/>
  <c r="AG507" i="21" s="1"/>
  <c r="U474" i="23"/>
  <c r="W474" i="23"/>
  <c r="P475" i="23" s="1"/>
  <c r="Q475" i="23" s="1"/>
  <c r="W475" i="23" s="1"/>
  <c r="P476" i="23" s="1"/>
  <c r="Q476" i="23" s="1"/>
  <c r="U410" i="23"/>
  <c r="W410" i="23"/>
  <c r="U455" i="23"/>
  <c r="W455" i="23"/>
  <c r="P456" i="23" s="1"/>
  <c r="Q456" i="23" s="1"/>
  <c r="W456" i="23" s="1"/>
  <c r="P457" i="23" s="1"/>
  <c r="Q457" i="23" s="1"/>
  <c r="V40" i="23"/>
  <c r="S40" i="23"/>
  <c r="L40" i="23"/>
  <c r="W1691" i="23" l="1"/>
  <c r="W1927" i="23"/>
  <c r="P1928" i="23" s="1"/>
  <c r="Q1928" i="23" s="1"/>
  <c r="W1928" i="23" s="1"/>
  <c r="H1927" i="23"/>
  <c r="M1927" i="23" s="1"/>
  <c r="N1927" i="23" s="1"/>
  <c r="J1926" i="23"/>
  <c r="O1926" i="23"/>
  <c r="R1528" i="23"/>
  <c r="U1528" i="23" s="1"/>
  <c r="U1527" i="23"/>
  <c r="W1527" i="23" s="1"/>
  <c r="P1528" i="23" s="1"/>
  <c r="Q1528" i="23" s="1"/>
  <c r="O1528" i="23"/>
  <c r="H1529" i="23"/>
  <c r="J1528" i="23"/>
  <c r="T41" i="23"/>
  <c r="U41" i="23" s="1"/>
  <c r="A40" i="23"/>
  <c r="J1525" i="23"/>
  <c r="O1525" i="23"/>
  <c r="H1526" i="23"/>
  <c r="M1526" i="23" s="1"/>
  <c r="N1526" i="23" s="1"/>
  <c r="P411" i="23"/>
  <c r="Q411" i="23" s="1"/>
  <c r="K411" i="23"/>
  <c r="L411" i="23" s="1"/>
  <c r="K1905" i="23"/>
  <c r="L1905" i="23" s="1"/>
  <c r="M1905" i="23" s="1"/>
  <c r="N1905" i="23" s="1"/>
  <c r="H1906" i="23" s="1"/>
  <c r="M1906" i="23" s="1"/>
  <c r="N1906" i="23" s="1"/>
  <c r="K476" i="23"/>
  <c r="L476" i="23" s="1"/>
  <c r="AG216" i="21"/>
  <c r="D46" i="23"/>
  <c r="D47" i="23"/>
  <c r="D48" i="23"/>
  <c r="S222" i="22"/>
  <c r="S213" i="22"/>
  <c r="S179" i="22"/>
  <c r="S166" i="22"/>
  <c r="S24" i="22"/>
  <c r="S11" i="22" l="1"/>
  <c r="J1927" i="23"/>
  <c r="O1927" i="23"/>
  <c r="H1928" i="23"/>
  <c r="M1928" i="23" s="1"/>
  <c r="N1928" i="23" s="1"/>
  <c r="W1528" i="23"/>
  <c r="P1529" i="23" s="1"/>
  <c r="Q1529" i="23" s="1"/>
  <c r="J1526" i="23"/>
  <c r="O1526" i="23"/>
  <c r="J1906" i="23"/>
  <c r="O1906" i="23"/>
  <c r="H1907" i="23"/>
  <c r="M1907" i="23" s="1"/>
  <c r="N1907" i="23" s="1"/>
  <c r="H1908" i="23" s="1"/>
  <c r="M1908" i="23" s="1"/>
  <c r="N1908" i="23" s="1"/>
  <c r="J1905" i="23"/>
  <c r="O1905" i="23"/>
  <c r="R1905" i="23"/>
  <c r="R1906" i="23" s="1"/>
  <c r="F45" i="23"/>
  <c r="D45" i="23"/>
  <c r="H45" i="23" s="1"/>
  <c r="C45" i="23"/>
  <c r="F39" i="23"/>
  <c r="D39" i="23"/>
  <c r="H39" i="23" s="1"/>
  <c r="C39" i="23"/>
  <c r="W31" i="23"/>
  <c r="V10" i="23"/>
  <c r="V11" i="23"/>
  <c r="V12" i="23"/>
  <c r="V13" i="23"/>
  <c r="V14" i="23"/>
  <c r="V15" i="23"/>
  <c r="V16" i="23"/>
  <c r="V17" i="23"/>
  <c r="V18" i="23"/>
  <c r="V19" i="23"/>
  <c r="V20" i="23"/>
  <c r="V21" i="23"/>
  <c r="V22" i="23"/>
  <c r="V23" i="23"/>
  <c r="V24" i="23"/>
  <c r="V25" i="23"/>
  <c r="V26" i="23"/>
  <c r="V27" i="23"/>
  <c r="V28" i="23"/>
  <c r="S10" i="23"/>
  <c r="A10" i="23" s="1"/>
  <c r="S11" i="23"/>
  <c r="A11" i="23" s="1"/>
  <c r="S12" i="23"/>
  <c r="A12" i="23" s="1"/>
  <c r="S13" i="23"/>
  <c r="A13" i="23" s="1"/>
  <c r="S14" i="23"/>
  <c r="A14" i="23" s="1"/>
  <c r="S15" i="23"/>
  <c r="A15" i="23" s="1"/>
  <c r="S16" i="23"/>
  <c r="A16" i="23" s="1"/>
  <c r="S17" i="23"/>
  <c r="A17" i="23" s="1"/>
  <c r="S18" i="23"/>
  <c r="A18" i="23" s="1"/>
  <c r="S19" i="23"/>
  <c r="A19" i="23" s="1"/>
  <c r="S20" i="23"/>
  <c r="A20" i="23" s="1"/>
  <c r="S21" i="23"/>
  <c r="A21" i="23" s="1"/>
  <c r="S22" i="23"/>
  <c r="A22" i="23" s="1"/>
  <c r="S23" i="23"/>
  <c r="A23" i="23" s="1"/>
  <c r="S24" i="23"/>
  <c r="A24" i="23" s="1"/>
  <c r="S25" i="23"/>
  <c r="A25" i="23" s="1"/>
  <c r="S26" i="23"/>
  <c r="A26" i="23" s="1"/>
  <c r="S27" i="23"/>
  <c r="A27" i="23" s="1"/>
  <c r="S28" i="23"/>
  <c r="L24" i="23"/>
  <c r="L16" i="23"/>
  <c r="L17" i="23"/>
  <c r="L18" i="23"/>
  <c r="L19" i="23"/>
  <c r="L20" i="23"/>
  <c r="O1928" i="23" l="1"/>
  <c r="J1928" i="23"/>
  <c r="J1908" i="23"/>
  <c r="O1908" i="23"/>
  <c r="K1529" i="23"/>
  <c r="L1529" i="23" s="1"/>
  <c r="M1529" i="23" s="1"/>
  <c r="N1529" i="23" s="1"/>
  <c r="J1529" i="23" s="1"/>
  <c r="T29" i="23"/>
  <c r="A28" i="23"/>
  <c r="O1907" i="23"/>
  <c r="J1907" i="23"/>
  <c r="U1906" i="23"/>
  <c r="R1907" i="23"/>
  <c r="U1905" i="23"/>
  <c r="W1905" i="23" s="1"/>
  <c r="P1906" i="23" s="1"/>
  <c r="Q1906" i="23" s="1"/>
  <c r="V45" i="23"/>
  <c r="S45" i="23"/>
  <c r="A45" i="23" s="1"/>
  <c r="K45" i="23"/>
  <c r="L45" i="23" s="1"/>
  <c r="M45" i="23" s="1"/>
  <c r="T27" i="23"/>
  <c r="T23" i="23"/>
  <c r="T19" i="23"/>
  <c r="T15" i="23"/>
  <c r="T11" i="23"/>
  <c r="T28" i="23"/>
  <c r="T24" i="23"/>
  <c r="T20" i="23"/>
  <c r="T16" i="23"/>
  <c r="T12" i="23"/>
  <c r="T25" i="23"/>
  <c r="T21" i="23"/>
  <c r="T17" i="23"/>
  <c r="T13" i="23"/>
  <c r="T26" i="23"/>
  <c r="T22" i="23"/>
  <c r="T18" i="23"/>
  <c r="T14" i="23"/>
  <c r="U1907" i="23" l="1"/>
  <c r="AI383" i="34" s="1"/>
  <c r="R1908" i="23"/>
  <c r="U1908" i="23" s="1"/>
  <c r="H1530" i="23"/>
  <c r="M1530" i="23" s="1"/>
  <c r="N1530" i="23" s="1"/>
  <c r="H1531" i="23" s="1"/>
  <c r="M1531" i="23" s="1"/>
  <c r="N1531" i="23" s="1"/>
  <c r="J1531" i="23" s="1"/>
  <c r="O1529" i="23"/>
  <c r="R1529" i="23"/>
  <c r="U1529" i="23" s="1"/>
  <c r="W1529" i="23" s="1"/>
  <c r="P1530" i="23" s="1"/>
  <c r="Q1530" i="23" s="1"/>
  <c r="W1906" i="23"/>
  <c r="P1907" i="23" s="1"/>
  <c r="Q1907" i="23" s="1"/>
  <c r="T45" i="23"/>
  <c r="T46" i="23"/>
  <c r="U1931" i="23"/>
  <c r="W1931" i="23" s="1"/>
  <c r="V9" i="23"/>
  <c r="S9" i="23"/>
  <c r="L10" i="23"/>
  <c r="L11" i="23"/>
  <c r="L12" i="23"/>
  <c r="L13" i="23"/>
  <c r="L9" i="23"/>
  <c r="W1907" i="23" l="1"/>
  <c r="P1908" i="23" s="1"/>
  <c r="Q1908" i="23" s="1"/>
  <c r="W1908" i="23" s="1"/>
  <c r="R1530" i="23"/>
  <c r="R1531" i="23" s="1"/>
  <c r="U1531" i="23" s="1"/>
  <c r="O1531" i="23"/>
  <c r="O1530" i="23"/>
  <c r="J1530" i="23"/>
  <c r="U1530" i="23"/>
  <c r="W1530" i="23" s="1"/>
  <c r="P1531" i="23" s="1"/>
  <c r="Q1531" i="23" s="1"/>
  <c r="T10" i="23"/>
  <c r="A9" i="23"/>
  <c r="N1879" i="23"/>
  <c r="H1880" i="23" s="1"/>
  <c r="K1880" i="23" s="1"/>
  <c r="L1880" i="23" s="1"/>
  <c r="M1725" i="23"/>
  <c r="N1725" i="23" s="1"/>
  <c r="O1725" i="23" s="1"/>
  <c r="N761" i="23"/>
  <c r="H762" i="23" s="1"/>
  <c r="AJ389" i="34"/>
  <c r="AK389" i="34" s="1"/>
  <c r="M497" i="23"/>
  <c r="N497" i="23" s="1"/>
  <c r="H498" i="23" s="1"/>
  <c r="M498" i="23" s="1"/>
  <c r="N498" i="23" s="1"/>
  <c r="N176" i="23"/>
  <c r="H177" i="23" s="1"/>
  <c r="M328" i="23"/>
  <c r="N328" i="23" s="1"/>
  <c r="H329" i="23" s="1"/>
  <c r="M329" i="23" s="1"/>
  <c r="N329" i="23" s="1"/>
  <c r="H330" i="23" s="1"/>
  <c r="K330" i="23" s="1"/>
  <c r="L330" i="23" s="1"/>
  <c r="N913" i="23"/>
  <c r="H914" i="23" s="1"/>
  <c r="M841" i="23"/>
  <c r="N841" i="23" s="1"/>
  <c r="H842" i="23" s="1"/>
  <c r="M842" i="23" s="1"/>
  <c r="N842" i="23" s="1"/>
  <c r="M411" i="23"/>
  <c r="N411" i="23" s="1"/>
  <c r="H412" i="23" s="1"/>
  <c r="M412" i="23" s="1"/>
  <c r="N412" i="23" s="1"/>
  <c r="M589" i="23"/>
  <c r="N589" i="23" s="1"/>
  <c r="H590" i="23" s="1"/>
  <c r="M590" i="23" s="1"/>
  <c r="N590" i="23" s="1"/>
  <c r="O590" i="23" s="1"/>
  <c r="M1636" i="23"/>
  <c r="N1636" i="23" s="1"/>
  <c r="M1637" i="23"/>
  <c r="N1637" i="23" s="1"/>
  <c r="M1234" i="23"/>
  <c r="N1234" i="23" s="1"/>
  <c r="H1235" i="23" s="1"/>
  <c r="M1087" i="23"/>
  <c r="N1087" i="23" s="1"/>
  <c r="H1088" i="23" s="1"/>
  <c r="M1088" i="23" s="1"/>
  <c r="N1088" i="23" s="1"/>
  <c r="N1483" i="23"/>
  <c r="N1479" i="23"/>
  <c r="M720" i="23"/>
  <c r="N720" i="23" s="1"/>
  <c r="N219" i="23"/>
  <c r="H220" i="23" s="1"/>
  <c r="M442" i="23"/>
  <c r="N442" i="23" s="1"/>
  <c r="O442" i="23" s="1"/>
  <c r="M391" i="23"/>
  <c r="N391" i="23" s="1"/>
  <c r="M890" i="23"/>
  <c r="N890" i="23" s="1"/>
  <c r="H891" i="23" s="1"/>
  <c r="N159" i="23"/>
  <c r="M1591" i="23"/>
  <c r="N1591" i="23" s="1"/>
  <c r="M437" i="23"/>
  <c r="N437" i="23" s="1"/>
  <c r="M696" i="23"/>
  <c r="N696" i="23" s="1"/>
  <c r="H697" i="23" s="1"/>
  <c r="M697" i="23" s="1"/>
  <c r="N697" i="23" s="1"/>
  <c r="M1069" i="23"/>
  <c r="N1069" i="23" s="1"/>
  <c r="H1070" i="23" s="1"/>
  <c r="M1070" i="23" s="1"/>
  <c r="N1070" i="23" s="1"/>
  <c r="M370" i="23"/>
  <c r="N370" i="23" s="1"/>
  <c r="O370" i="23" s="1"/>
  <c r="M1614" i="23"/>
  <c r="N1614" i="23" s="1"/>
  <c r="M1615" i="23"/>
  <c r="N1615" i="23" s="1"/>
  <c r="M1575" i="23"/>
  <c r="N1575" i="23" s="1"/>
  <c r="H1576" i="23" s="1"/>
  <c r="M1576" i="23" s="1"/>
  <c r="N1576" i="23" s="1"/>
  <c r="H1577" i="23" s="1"/>
  <c r="M1293" i="23"/>
  <c r="N1293" i="23" s="1"/>
  <c r="R1293" i="23" s="1"/>
  <c r="M1568" i="23"/>
  <c r="N1568" i="23" s="1"/>
  <c r="H1569" i="23" s="1"/>
  <c r="M1569" i="23" s="1"/>
  <c r="N1569" i="23" s="1"/>
  <c r="N307" i="23"/>
  <c r="H308" i="23" s="1"/>
  <c r="N1428" i="23"/>
  <c r="H1429" i="23" s="1"/>
  <c r="M780" i="23"/>
  <c r="N780" i="23" s="1"/>
  <c r="M521" i="23"/>
  <c r="N521" i="23" s="1"/>
  <c r="N1701" i="23"/>
  <c r="H1702" i="23" s="1"/>
  <c r="N115" i="23"/>
  <c r="H116" i="23" s="1"/>
  <c r="K116" i="23" s="1"/>
  <c r="L116" i="23" s="1"/>
  <c r="N240" i="23"/>
  <c r="H241" i="23" s="1"/>
  <c r="M799" i="23"/>
  <c r="N799" i="23" s="1"/>
  <c r="R799" i="23" s="1"/>
  <c r="U799" i="23" s="1"/>
  <c r="M351" i="23"/>
  <c r="N351" i="23" s="1"/>
  <c r="R351" i="23" s="1"/>
  <c r="R352" i="23" s="1"/>
  <c r="U352" i="23" s="1"/>
  <c r="N1667" i="23"/>
  <c r="N1658" i="23"/>
  <c r="R1658" i="23" s="1"/>
  <c r="U1658" i="23" s="1"/>
  <c r="N1659" i="23"/>
  <c r="M1773" i="23"/>
  <c r="N1773" i="23" s="1"/>
  <c r="H1774" i="23" s="1"/>
  <c r="M1774" i="23" s="1"/>
  <c r="N1774" i="23" s="1"/>
  <c r="H1775" i="23" s="1"/>
  <c r="M674" i="23"/>
  <c r="N674" i="23" s="1"/>
  <c r="R674" i="23" s="1"/>
  <c r="M1453" i="23"/>
  <c r="N1453" i="23" s="1"/>
  <c r="H1454" i="23" s="1"/>
  <c r="M1454" i="23" s="1"/>
  <c r="N1454" i="23" s="1"/>
  <c r="M865" i="23"/>
  <c r="N865" i="23" s="1"/>
  <c r="H866" i="23" s="1"/>
  <c r="M866" i="23" s="1"/>
  <c r="N866" i="23" s="1"/>
  <c r="M565" i="23"/>
  <c r="N565" i="23" s="1"/>
  <c r="H566" i="23" s="1"/>
  <c r="M1188" i="23"/>
  <c r="N1188" i="23" s="1"/>
  <c r="H1189" i="23" s="1"/>
  <c r="M1309" i="23"/>
  <c r="N1309" i="23" s="1"/>
  <c r="M1353" i="23"/>
  <c r="N1353" i="23" s="1"/>
  <c r="H1354" i="23" s="1"/>
  <c r="M1354" i="23" s="1"/>
  <c r="N1354" i="23" s="1"/>
  <c r="N1277" i="23"/>
  <c r="N1145" i="23"/>
  <c r="M1039" i="23"/>
  <c r="N1039" i="23" s="1"/>
  <c r="J1039" i="23" s="1"/>
  <c r="M1053" i="23"/>
  <c r="N1053" i="23" s="1"/>
  <c r="M982" i="23"/>
  <c r="N982" i="23" s="1"/>
  <c r="H983" i="23" s="1"/>
  <c r="M657" i="23"/>
  <c r="N657" i="23" s="1"/>
  <c r="J657" i="23" s="1"/>
  <c r="M611" i="23"/>
  <c r="N611" i="23" s="1"/>
  <c r="H612" i="23" s="1"/>
  <c r="M612" i="23" s="1"/>
  <c r="N612" i="23" s="1"/>
  <c r="H613" i="23" s="1"/>
  <c r="M613" i="23" s="1"/>
  <c r="N613" i="23" s="1"/>
  <c r="N631" i="23"/>
  <c r="H632" i="23" s="1"/>
  <c r="M544" i="23"/>
  <c r="N544" i="23" s="1"/>
  <c r="M456" i="23"/>
  <c r="N456" i="23" s="1"/>
  <c r="N45" i="23"/>
  <c r="H46" i="23" s="1"/>
  <c r="M1255" i="23"/>
  <c r="N1255" i="23" s="1"/>
  <c r="H1256" i="23" s="1"/>
  <c r="AD1923" i="23"/>
  <c r="AD1924" i="23" s="1"/>
  <c r="AD1925" i="23" s="1"/>
  <c r="M475" i="23"/>
  <c r="N475" i="23" s="1"/>
  <c r="J475" i="23" s="1"/>
  <c r="M1210" i="23"/>
  <c r="N1210" i="23" s="1"/>
  <c r="H1211" i="23" s="1"/>
  <c r="M1211" i="23" s="1"/>
  <c r="N1211" i="23" s="1"/>
  <c r="M1836" i="23"/>
  <c r="N1836" i="23" s="1"/>
  <c r="H1837" i="23" s="1"/>
  <c r="M1837" i="23" s="1"/>
  <c r="N1837" i="23" s="1"/>
  <c r="M1860" i="23"/>
  <c r="N1860" i="23" s="1"/>
  <c r="H1861" i="23" s="1"/>
  <c r="M1861" i="23" s="1"/>
  <c r="N1861" i="23" s="1"/>
  <c r="M1816" i="23"/>
  <c r="N1816" i="23" s="1"/>
  <c r="H1817" i="23" s="1"/>
  <c r="M1817" i="23" s="1"/>
  <c r="N1817" i="23" s="1"/>
  <c r="M1792" i="23"/>
  <c r="N1792" i="23" s="1"/>
  <c r="H1793" i="23" s="1"/>
  <c r="M1793" i="23" s="1"/>
  <c r="N1793" i="23" s="1"/>
  <c r="N1749" i="23"/>
  <c r="H1750" i="23" s="1"/>
  <c r="M1750" i="23" s="1"/>
  <c r="N1750" i="23" s="1"/>
  <c r="M1542" i="23"/>
  <c r="N1542" i="23" s="1"/>
  <c r="H1543" i="23" s="1"/>
  <c r="M1543" i="23" s="1"/>
  <c r="N1543" i="23" s="1"/>
  <c r="M1680" i="23"/>
  <c r="N1680" i="23" s="1"/>
  <c r="H1681" i="23" s="1"/>
  <c r="M1681" i="23" s="1"/>
  <c r="N1681" i="23" s="1"/>
  <c r="N1497" i="23"/>
  <c r="H1498" i="23" s="1"/>
  <c r="N1403" i="23"/>
  <c r="N1378" i="23"/>
  <c r="H1379" i="23" s="1"/>
  <c r="M1379" i="23" s="1"/>
  <c r="N1379" i="23" s="1"/>
  <c r="R1378" i="23"/>
  <c r="M1329" i="23"/>
  <c r="N1329" i="23" s="1"/>
  <c r="H1330" i="23" s="1"/>
  <c r="M1330" i="23" s="1"/>
  <c r="N1330" i="23" s="1"/>
  <c r="M1168" i="23"/>
  <c r="N1168" i="23" s="1"/>
  <c r="H1169" i="23" s="1"/>
  <c r="M1169" i="23" s="1"/>
  <c r="N1169" i="23" s="1"/>
  <c r="M1106" i="23"/>
  <c r="N1106" i="23" s="1"/>
  <c r="N1124" i="23"/>
  <c r="H1125" i="23" s="1"/>
  <c r="M1125" i="23" s="1"/>
  <c r="N1125" i="23" s="1"/>
  <c r="R1106" i="23"/>
  <c r="U1106" i="23" s="1"/>
  <c r="AB335" i="22" s="1"/>
  <c r="N1007" i="23"/>
  <c r="H1008" i="23" s="1"/>
  <c r="M1008" i="23" s="1"/>
  <c r="N1008" i="23" s="1"/>
  <c r="M1035" i="23"/>
  <c r="N1035" i="23" s="1"/>
  <c r="H1036" i="23" s="1"/>
  <c r="M1036" i="23" s="1"/>
  <c r="N1036" i="23" s="1"/>
  <c r="R1007" i="23"/>
  <c r="R1008" i="23" s="1"/>
  <c r="U1008" i="23" s="1"/>
  <c r="M937" i="23"/>
  <c r="N937" i="23" s="1"/>
  <c r="H938" i="23" s="1"/>
  <c r="M938" i="23" s="1"/>
  <c r="N938" i="23" s="1"/>
  <c r="M960" i="23"/>
  <c r="N960" i="23" s="1"/>
  <c r="H961" i="23" s="1"/>
  <c r="R937" i="23"/>
  <c r="R938" i="23" s="1"/>
  <c r="U938" i="23" s="1"/>
  <c r="N818" i="23"/>
  <c r="H819" i="23" s="1"/>
  <c r="M654" i="23"/>
  <c r="N654" i="23" s="1"/>
  <c r="M742" i="23"/>
  <c r="N742" i="23" s="1"/>
  <c r="H743" i="23" s="1"/>
  <c r="M743" i="23" s="1"/>
  <c r="N743" i="23" s="1"/>
  <c r="R654" i="23"/>
  <c r="M476" i="23"/>
  <c r="N476" i="23" s="1"/>
  <c r="R476" i="23" s="1"/>
  <c r="R477" i="23" s="1"/>
  <c r="R478" i="23" s="1"/>
  <c r="R479" i="23" s="1"/>
  <c r="R480" i="23" s="1"/>
  <c r="R481" i="23" s="1"/>
  <c r="X297" i="23"/>
  <c r="W297" i="23"/>
  <c r="V297" i="23"/>
  <c r="U297" i="23"/>
  <c r="S297" i="23"/>
  <c r="R297" i="23"/>
  <c r="Q297" i="23"/>
  <c r="P297" i="23"/>
  <c r="O297" i="23"/>
  <c r="N297" i="23"/>
  <c r="L297" i="23"/>
  <c r="J297" i="23"/>
  <c r="I297" i="23"/>
  <c r="H297" i="23"/>
  <c r="M285" i="23"/>
  <c r="V285" i="23"/>
  <c r="X276" i="23"/>
  <c r="W276" i="23"/>
  <c r="V276" i="23"/>
  <c r="U276" i="23"/>
  <c r="S276" i="23"/>
  <c r="R276" i="23"/>
  <c r="Q276" i="23"/>
  <c r="P276" i="23"/>
  <c r="O276" i="23"/>
  <c r="N276" i="23"/>
  <c r="M276" i="23"/>
  <c r="L276" i="23"/>
  <c r="J276" i="23"/>
  <c r="I276" i="23"/>
  <c r="H276" i="23"/>
  <c r="P259" i="23"/>
  <c r="S260" i="23"/>
  <c r="X210" i="23"/>
  <c r="W210" i="23"/>
  <c r="V210" i="23"/>
  <c r="U210" i="23"/>
  <c r="S210" i="23"/>
  <c r="R210" i="23"/>
  <c r="Q210" i="23"/>
  <c r="P210" i="23"/>
  <c r="O210" i="23"/>
  <c r="N210" i="23"/>
  <c r="L210" i="23"/>
  <c r="J210" i="23"/>
  <c r="I210" i="23"/>
  <c r="H210" i="23"/>
  <c r="P197" i="23"/>
  <c r="X167" i="23"/>
  <c r="W167" i="23"/>
  <c r="V167" i="23"/>
  <c r="U167" i="23"/>
  <c r="S167" i="23"/>
  <c r="R167" i="23"/>
  <c r="Q167" i="23"/>
  <c r="P167" i="23"/>
  <c r="O167" i="23"/>
  <c r="N167" i="23"/>
  <c r="M167" i="23"/>
  <c r="L167" i="23"/>
  <c r="J167" i="23"/>
  <c r="I167" i="23"/>
  <c r="H167" i="23"/>
  <c r="P155" i="23"/>
  <c r="S156" i="23"/>
  <c r="X146" i="23"/>
  <c r="W146" i="23"/>
  <c r="V146" i="23"/>
  <c r="U146" i="23"/>
  <c r="S146" i="23"/>
  <c r="R146" i="23"/>
  <c r="Q146" i="23"/>
  <c r="P146" i="23"/>
  <c r="O146" i="23"/>
  <c r="N146" i="23"/>
  <c r="M146" i="23"/>
  <c r="L146" i="23"/>
  <c r="J146" i="23"/>
  <c r="I146" i="23"/>
  <c r="H146" i="23"/>
  <c r="S133" i="23"/>
  <c r="A133" i="23" s="1"/>
  <c r="X106" i="23"/>
  <c r="W106" i="23"/>
  <c r="V106" i="23"/>
  <c r="U106" i="23"/>
  <c r="S106" i="23"/>
  <c r="R106" i="23"/>
  <c r="Q106" i="23"/>
  <c r="P106" i="23"/>
  <c r="O106" i="23"/>
  <c r="N106" i="23"/>
  <c r="M106" i="23"/>
  <c r="L106" i="23"/>
  <c r="J106" i="23"/>
  <c r="I106" i="23"/>
  <c r="H106" i="23"/>
  <c r="M86" i="23"/>
  <c r="V86" i="23"/>
  <c r="X78" i="23"/>
  <c r="W78" i="23"/>
  <c r="V78" i="23"/>
  <c r="U78" i="23"/>
  <c r="S78" i="23"/>
  <c r="R78" i="23"/>
  <c r="Q78" i="23"/>
  <c r="P78" i="23"/>
  <c r="O78" i="23"/>
  <c r="N78" i="23"/>
  <c r="M78" i="23"/>
  <c r="L78" i="23"/>
  <c r="J78" i="23"/>
  <c r="I78" i="23"/>
  <c r="H78" i="23"/>
  <c r="M59" i="23"/>
  <c r="V59" i="23"/>
  <c r="X51" i="23"/>
  <c r="W51" i="23"/>
  <c r="V51" i="23"/>
  <c r="U51" i="23"/>
  <c r="S51" i="23"/>
  <c r="R51" i="23"/>
  <c r="Q51" i="23"/>
  <c r="P51" i="23"/>
  <c r="O51" i="23"/>
  <c r="N51" i="23"/>
  <c r="M51" i="23"/>
  <c r="L51" i="23"/>
  <c r="J51" i="23"/>
  <c r="I51" i="23"/>
  <c r="H51" i="23"/>
  <c r="V39" i="23"/>
  <c r="S39" i="23"/>
  <c r="X31" i="23"/>
  <c r="V31" i="23"/>
  <c r="U31" i="23"/>
  <c r="S31" i="23"/>
  <c r="R31" i="23"/>
  <c r="Q31" i="23"/>
  <c r="P31" i="23"/>
  <c r="O31" i="23"/>
  <c r="N31" i="23"/>
  <c r="M31" i="23"/>
  <c r="L31" i="23"/>
  <c r="J31" i="23"/>
  <c r="I31" i="23"/>
  <c r="H31" i="23"/>
  <c r="V8" i="23"/>
  <c r="S8" i="23"/>
  <c r="M8" i="23"/>
  <c r="N8" i="23" s="1"/>
  <c r="H1682" i="23" l="1"/>
  <c r="O1681" i="23"/>
  <c r="J1681" i="23"/>
  <c r="O938" i="23"/>
  <c r="J938" i="23"/>
  <c r="H939" i="23"/>
  <c r="O1861" i="23"/>
  <c r="H1862" i="23"/>
  <c r="M1862" i="23" s="1"/>
  <c r="N1862" i="23" s="1"/>
  <c r="J1861" i="23"/>
  <c r="H1838" i="23"/>
  <c r="O1837" i="23"/>
  <c r="J1837" i="23"/>
  <c r="J1817" i="23"/>
  <c r="O1817" i="23"/>
  <c r="H1818" i="23"/>
  <c r="H1794" i="23"/>
  <c r="J1793" i="23"/>
  <c r="O1793" i="23"/>
  <c r="J1750" i="23"/>
  <c r="H1751" i="23"/>
  <c r="O1750" i="23"/>
  <c r="J1543" i="23"/>
  <c r="O1543" i="23"/>
  <c r="H1544" i="23"/>
  <c r="W1531" i="23"/>
  <c r="H1455" i="23"/>
  <c r="M1455" i="23" s="1"/>
  <c r="N1455" i="23" s="1"/>
  <c r="J1454" i="23"/>
  <c r="O1454" i="23"/>
  <c r="U1378" i="23"/>
  <c r="W1378" i="23" s="1"/>
  <c r="P1379" i="23" s="1"/>
  <c r="Q1379" i="23" s="1"/>
  <c r="R1379" i="23"/>
  <c r="U1379" i="23" s="1"/>
  <c r="J1379" i="23"/>
  <c r="O1379" i="23"/>
  <c r="H1380" i="23"/>
  <c r="H1355" i="23"/>
  <c r="J1354" i="23"/>
  <c r="O1354" i="23"/>
  <c r="O1330" i="23"/>
  <c r="J1330" i="23"/>
  <c r="H1331" i="23"/>
  <c r="K1256" i="23"/>
  <c r="L1256" i="23" s="1"/>
  <c r="M1256" i="23" s="1"/>
  <c r="N1256" i="23" s="1"/>
  <c r="J1211" i="23"/>
  <c r="H1212" i="23"/>
  <c r="O1211" i="23"/>
  <c r="O1088" i="23"/>
  <c r="J1088" i="23"/>
  <c r="H1089" i="23"/>
  <c r="M1089" i="23" s="1"/>
  <c r="N1089" i="23" s="1"/>
  <c r="W799" i="23"/>
  <c r="P800" i="23" s="1"/>
  <c r="Q800" i="23" s="1"/>
  <c r="W800" i="23" s="1"/>
  <c r="P801" i="23" s="1"/>
  <c r="Q801" i="23" s="1"/>
  <c r="W801" i="23" s="1"/>
  <c r="P802" i="23" s="1"/>
  <c r="Q802" i="23" s="1"/>
  <c r="M330" i="23"/>
  <c r="N330" i="23" s="1"/>
  <c r="R330" i="23" s="1"/>
  <c r="K308" i="23"/>
  <c r="L308" i="23" s="1"/>
  <c r="M308" i="23" s="1"/>
  <c r="N308" i="23" s="1"/>
  <c r="R308" i="23" s="1"/>
  <c r="K241" i="23"/>
  <c r="L241" i="23" s="1"/>
  <c r="M241" i="23" s="1"/>
  <c r="N241" i="23" s="1"/>
  <c r="H242" i="23" s="1"/>
  <c r="T261" i="23"/>
  <c r="A260" i="23"/>
  <c r="M220" i="23"/>
  <c r="N220" i="23" s="1"/>
  <c r="T157" i="23"/>
  <c r="U157" i="23" s="1"/>
  <c r="A156" i="23"/>
  <c r="M116" i="23"/>
  <c r="N116" i="23" s="1"/>
  <c r="R116" i="23" s="1"/>
  <c r="T9" i="23"/>
  <c r="A8" i="23"/>
  <c r="T40" i="23"/>
  <c r="A39" i="23"/>
  <c r="M1702" i="23"/>
  <c r="N1702" i="23" s="1"/>
  <c r="M1498" i="23"/>
  <c r="N1498" i="23" s="1"/>
  <c r="O1008" i="23"/>
  <c r="J1008" i="23"/>
  <c r="H1009" i="23"/>
  <c r="M1880" i="23"/>
  <c r="N1880" i="23" s="1"/>
  <c r="R1880" i="23" s="1"/>
  <c r="U1880" i="23" s="1"/>
  <c r="W1880" i="23" s="1"/>
  <c r="M914" i="23"/>
  <c r="N914" i="23" s="1"/>
  <c r="J1725" i="23"/>
  <c r="O1879" i="23"/>
  <c r="J1879" i="23"/>
  <c r="M762" i="23"/>
  <c r="N762" i="23" s="1"/>
  <c r="H1726" i="23"/>
  <c r="M1726" i="23" s="1"/>
  <c r="N1726" i="23" s="1"/>
  <c r="W1658" i="23"/>
  <c r="P1659" i="23" s="1"/>
  <c r="Q1659" i="23" s="1"/>
  <c r="J761" i="23"/>
  <c r="O761" i="23"/>
  <c r="M819" i="23"/>
  <c r="N819" i="23" s="1"/>
  <c r="O1125" i="23"/>
  <c r="H1126" i="23"/>
  <c r="M1126" i="23" s="1"/>
  <c r="N1126" i="23" s="1"/>
  <c r="J1125" i="23"/>
  <c r="M632" i="23"/>
  <c r="N632" i="23" s="1"/>
  <c r="K1429" i="23"/>
  <c r="L1429" i="23" s="1"/>
  <c r="K1189" i="23"/>
  <c r="L1189" i="23" s="1"/>
  <c r="M1189" i="23" s="1"/>
  <c r="N1189" i="23" s="1"/>
  <c r="K983" i="23"/>
  <c r="L983" i="23" s="1"/>
  <c r="M983" i="23" s="1"/>
  <c r="N983" i="23" s="1"/>
  <c r="O842" i="23"/>
  <c r="J842" i="23"/>
  <c r="H843" i="23"/>
  <c r="M843" i="23" s="1"/>
  <c r="N843" i="23" s="1"/>
  <c r="H698" i="23"/>
  <c r="J697" i="23"/>
  <c r="O697" i="23"/>
  <c r="J521" i="23"/>
  <c r="H522" i="23"/>
  <c r="J498" i="23"/>
  <c r="O498" i="23"/>
  <c r="H499" i="23"/>
  <c r="K499" i="23" s="1"/>
  <c r="L499" i="23" s="1"/>
  <c r="J412" i="23"/>
  <c r="H413" i="23"/>
  <c r="M413" i="23" s="1"/>
  <c r="N413" i="23" s="1"/>
  <c r="O412" i="23"/>
  <c r="O497" i="23"/>
  <c r="J497" i="23"/>
  <c r="J176" i="23"/>
  <c r="J329" i="23"/>
  <c r="O329" i="23"/>
  <c r="O176" i="23"/>
  <c r="O328" i="23"/>
  <c r="J328" i="23"/>
  <c r="O913" i="23"/>
  <c r="K177" i="23"/>
  <c r="L177" i="23" s="1"/>
  <c r="J913" i="23"/>
  <c r="R1403" i="23"/>
  <c r="H1404" i="23"/>
  <c r="J841" i="23"/>
  <c r="O841" i="23"/>
  <c r="J411" i="23"/>
  <c r="O411" i="23"/>
  <c r="R411" i="23"/>
  <c r="R412" i="23" s="1"/>
  <c r="J866" i="23"/>
  <c r="H867" i="23"/>
  <c r="K867" i="23" s="1"/>
  <c r="L867" i="23" s="1"/>
  <c r="O866" i="23"/>
  <c r="J589" i="23"/>
  <c r="H591" i="23"/>
  <c r="M591" i="23" s="1"/>
  <c r="N591" i="23" s="1"/>
  <c r="J591" i="23" s="1"/>
  <c r="J590" i="23"/>
  <c r="O589" i="23"/>
  <c r="K1235" i="23"/>
  <c r="L1235" i="23" s="1"/>
  <c r="M1235" i="23" s="1"/>
  <c r="N1235" i="23" s="1"/>
  <c r="O1637" i="23"/>
  <c r="J1637" i="23"/>
  <c r="H1638" i="23"/>
  <c r="O1636" i="23"/>
  <c r="J1636" i="23"/>
  <c r="R1640" i="23"/>
  <c r="U1640" i="23" s="1"/>
  <c r="J1234" i="23"/>
  <c r="O1234" i="23"/>
  <c r="J1087" i="23"/>
  <c r="O1087" i="23"/>
  <c r="R565" i="23"/>
  <c r="U565" i="23" s="1"/>
  <c r="H1170" i="23"/>
  <c r="J1169" i="23"/>
  <c r="O1169" i="23"/>
  <c r="R1168" i="23"/>
  <c r="R1169" i="23" s="1"/>
  <c r="U1169" i="23" s="1"/>
  <c r="R631" i="23"/>
  <c r="R632" i="23" s="1"/>
  <c r="H1480" i="23"/>
  <c r="O1479" i="23"/>
  <c r="J1479" i="23"/>
  <c r="H1484" i="23"/>
  <c r="M1484" i="23" s="1"/>
  <c r="O1483" i="23"/>
  <c r="J1483" i="23"/>
  <c r="R1483" i="23"/>
  <c r="O307" i="23"/>
  <c r="J442" i="23"/>
  <c r="H721" i="23"/>
  <c r="O720" i="23"/>
  <c r="J720" i="23"/>
  <c r="O219" i="23"/>
  <c r="J219" i="23"/>
  <c r="H392" i="23"/>
  <c r="J391" i="23"/>
  <c r="O391" i="23"/>
  <c r="H438" i="23"/>
  <c r="M438" i="23" s="1"/>
  <c r="N438" i="23" s="1"/>
  <c r="O890" i="23"/>
  <c r="J890" i="23"/>
  <c r="O159" i="23"/>
  <c r="H160" i="23"/>
  <c r="J159" i="23"/>
  <c r="M891" i="23"/>
  <c r="N891" i="23" s="1"/>
  <c r="H1592" i="23"/>
  <c r="O1591" i="23"/>
  <c r="J1591" i="23"/>
  <c r="R1598" i="23"/>
  <c r="O437" i="23"/>
  <c r="J437" i="23"/>
  <c r="U438" i="23"/>
  <c r="H1071" i="23"/>
  <c r="M1071" i="23" s="1"/>
  <c r="N1071" i="23" s="1"/>
  <c r="J1070" i="23"/>
  <c r="O1070" i="23"/>
  <c r="H371" i="23"/>
  <c r="M371" i="23" s="1"/>
  <c r="N371" i="23" s="1"/>
  <c r="H372" i="23" s="1"/>
  <c r="M372" i="23" s="1"/>
  <c r="N372" i="23" s="1"/>
  <c r="O696" i="23"/>
  <c r="J696" i="23"/>
  <c r="J1069" i="23"/>
  <c r="O1069" i="23"/>
  <c r="J370" i="23"/>
  <c r="H1616" i="23"/>
  <c r="O1615" i="23"/>
  <c r="J1615" i="23"/>
  <c r="O1614" i="23"/>
  <c r="J1614" i="23"/>
  <c r="O1576" i="23"/>
  <c r="U1293" i="23"/>
  <c r="W1293" i="23" s="1"/>
  <c r="P1294" i="23" s="1"/>
  <c r="Q1294" i="23" s="1"/>
  <c r="R1294" i="23"/>
  <c r="U1294" i="23" s="1"/>
  <c r="J1576" i="23"/>
  <c r="J1575" i="23"/>
  <c r="O1575" i="23"/>
  <c r="O1293" i="23"/>
  <c r="J1293" i="23"/>
  <c r="H1294" i="23"/>
  <c r="O1569" i="23"/>
  <c r="J1569" i="23"/>
  <c r="H1570" i="23"/>
  <c r="M1570" i="23" s="1"/>
  <c r="N1570" i="23" s="1"/>
  <c r="R1569" i="23"/>
  <c r="J1568" i="23"/>
  <c r="O1568" i="23"/>
  <c r="R1749" i="23"/>
  <c r="R1750" i="23" s="1"/>
  <c r="U1750" i="23" s="1"/>
  <c r="J307" i="23"/>
  <c r="J1428" i="23"/>
  <c r="O1428" i="23"/>
  <c r="H781" i="23"/>
  <c r="J780" i="23"/>
  <c r="O780" i="23"/>
  <c r="R783" i="23"/>
  <c r="O521" i="23"/>
  <c r="O1701" i="23"/>
  <c r="J1701" i="23"/>
  <c r="O115" i="23"/>
  <c r="J115" i="23"/>
  <c r="O240" i="23"/>
  <c r="J240" i="23"/>
  <c r="U351" i="23"/>
  <c r="O351" i="23"/>
  <c r="H1310" i="23"/>
  <c r="R1309" i="23"/>
  <c r="U1309" i="23" s="1"/>
  <c r="J799" i="23"/>
  <c r="H800" i="23"/>
  <c r="O799" i="23"/>
  <c r="R802" i="23"/>
  <c r="H352" i="23"/>
  <c r="M352" i="23" s="1"/>
  <c r="N352" i="23" s="1"/>
  <c r="J351" i="23"/>
  <c r="O1659" i="23"/>
  <c r="H1664" i="23"/>
  <c r="M1664" i="23" s="1"/>
  <c r="H1660" i="23"/>
  <c r="M1660" i="23" s="1"/>
  <c r="J1659" i="23"/>
  <c r="R1659" i="23"/>
  <c r="O1658" i="23"/>
  <c r="J1658" i="23"/>
  <c r="H1668" i="23"/>
  <c r="J1667" i="23"/>
  <c r="O1667" i="23"/>
  <c r="U674" i="23"/>
  <c r="O1773" i="23"/>
  <c r="J1773" i="23"/>
  <c r="O1774" i="23"/>
  <c r="J1774" i="23"/>
  <c r="O674" i="23"/>
  <c r="J674" i="23"/>
  <c r="H675" i="23"/>
  <c r="J1453" i="23"/>
  <c r="O1453" i="23"/>
  <c r="J865" i="23"/>
  <c r="O865" i="23"/>
  <c r="R1145" i="23"/>
  <c r="R1146" i="23" s="1"/>
  <c r="H1146" i="23"/>
  <c r="O565" i="23"/>
  <c r="J565" i="23"/>
  <c r="J1188" i="23"/>
  <c r="O1188" i="23"/>
  <c r="R1816" i="23"/>
  <c r="R1792" i="23"/>
  <c r="R1497" i="23"/>
  <c r="R1498" i="23" s="1"/>
  <c r="U1498" i="23" s="1"/>
  <c r="O1378" i="23"/>
  <c r="J1309" i="23"/>
  <c r="O1309" i="23"/>
  <c r="O1353" i="23"/>
  <c r="J1353" i="23"/>
  <c r="O1329" i="23"/>
  <c r="K1310" i="23"/>
  <c r="L1310" i="23" s="1"/>
  <c r="H1278" i="23"/>
  <c r="O1277" i="23"/>
  <c r="J1277" i="23"/>
  <c r="O1168" i="23"/>
  <c r="J1145" i="23"/>
  <c r="O1145" i="23"/>
  <c r="U1124" i="23"/>
  <c r="O1106" i="23"/>
  <c r="H1107" i="23"/>
  <c r="M1107" i="23" s="1"/>
  <c r="N1107" i="23" s="1"/>
  <c r="O1039" i="23"/>
  <c r="H1054" i="23"/>
  <c r="J1053" i="23"/>
  <c r="O1053" i="23"/>
  <c r="J1036" i="23"/>
  <c r="H1037" i="23"/>
  <c r="M1037" i="23" s="1"/>
  <c r="N1037" i="23" s="1"/>
  <c r="O1036" i="23"/>
  <c r="O1007" i="23"/>
  <c r="O982" i="23"/>
  <c r="J982" i="23"/>
  <c r="J937" i="23"/>
  <c r="H658" i="23"/>
  <c r="M658" i="23" s="1"/>
  <c r="N658" i="23" s="1"/>
  <c r="H659" i="23" s="1"/>
  <c r="M659" i="23" s="1"/>
  <c r="N659" i="23" s="1"/>
  <c r="O743" i="23"/>
  <c r="H744" i="23"/>
  <c r="M744" i="23" s="1"/>
  <c r="N744" i="23" s="1"/>
  <c r="J743" i="23"/>
  <c r="O657" i="23"/>
  <c r="O654" i="23"/>
  <c r="H655" i="23"/>
  <c r="M655" i="23" s="1"/>
  <c r="N655" i="23" s="1"/>
  <c r="O611" i="23"/>
  <c r="O612" i="23"/>
  <c r="J612" i="23"/>
  <c r="J611" i="23"/>
  <c r="O631" i="23"/>
  <c r="J631" i="23"/>
  <c r="J613" i="23"/>
  <c r="O613" i="23"/>
  <c r="H614" i="23"/>
  <c r="K614" i="23" s="1"/>
  <c r="L614" i="23" s="1"/>
  <c r="J544" i="23"/>
  <c r="H545" i="23"/>
  <c r="O544" i="23"/>
  <c r="O456" i="23"/>
  <c r="J456" i="23"/>
  <c r="H457" i="23"/>
  <c r="J45" i="23"/>
  <c r="O45" i="23"/>
  <c r="O1255" i="23"/>
  <c r="J1255" i="23"/>
  <c r="O475" i="23"/>
  <c r="O1210" i="23"/>
  <c r="J1210" i="23"/>
  <c r="H477" i="23"/>
  <c r="M477" i="23" s="1"/>
  <c r="N477" i="23" s="1"/>
  <c r="J477" i="23" s="1"/>
  <c r="O1836" i="23"/>
  <c r="J1836" i="23"/>
  <c r="O1860" i="23"/>
  <c r="J1860" i="23"/>
  <c r="O1816" i="23"/>
  <c r="J1816" i="23"/>
  <c r="O1792" i="23"/>
  <c r="J1792" i="23"/>
  <c r="O1749" i="23"/>
  <c r="J1749" i="23"/>
  <c r="O1680" i="23"/>
  <c r="J1680" i="23"/>
  <c r="O1542" i="23"/>
  <c r="J1542" i="23"/>
  <c r="J1497" i="23"/>
  <c r="O1497" i="23"/>
  <c r="J1403" i="23"/>
  <c r="O1403" i="23"/>
  <c r="J1378" i="23"/>
  <c r="R1329" i="23"/>
  <c r="J1329" i="23"/>
  <c r="J1168" i="23"/>
  <c r="J1106" i="23"/>
  <c r="O1124" i="23"/>
  <c r="J1124" i="23"/>
  <c r="W1106" i="23"/>
  <c r="P1107" i="23" s="1"/>
  <c r="Q1107" i="23" s="1"/>
  <c r="W1107" i="23" s="1"/>
  <c r="P1108" i="23" s="1"/>
  <c r="Q1108" i="23" s="1"/>
  <c r="W1108" i="23" s="1"/>
  <c r="P1109" i="23" s="1"/>
  <c r="Q1109" i="23" s="1"/>
  <c r="W1109" i="23" s="1"/>
  <c r="H1040" i="23"/>
  <c r="R1035" i="23"/>
  <c r="U1035" i="23" s="1"/>
  <c r="J1007" i="23"/>
  <c r="O1035" i="23"/>
  <c r="J1035" i="23"/>
  <c r="U1007" i="23"/>
  <c r="O937" i="23"/>
  <c r="R960" i="23"/>
  <c r="U960" i="23" s="1"/>
  <c r="O960" i="23"/>
  <c r="J960" i="23"/>
  <c r="U937" i="23"/>
  <c r="R818" i="23"/>
  <c r="R819" i="23" s="1"/>
  <c r="U819" i="23" s="1"/>
  <c r="J654" i="23"/>
  <c r="O818" i="23"/>
  <c r="J818" i="23"/>
  <c r="R742" i="23"/>
  <c r="U742" i="23" s="1"/>
  <c r="O742" i="23"/>
  <c r="J742" i="23"/>
  <c r="O8" i="23"/>
  <c r="J8" i="23"/>
  <c r="H9" i="23"/>
  <c r="M9" i="23" s="1"/>
  <c r="N9" i="23" s="1"/>
  <c r="O476" i="23"/>
  <c r="J476" i="23"/>
  <c r="U654" i="23"/>
  <c r="AB222" i="22" s="1"/>
  <c r="L286" i="23"/>
  <c r="P39" i="23"/>
  <c r="N86" i="23"/>
  <c r="G277" i="23"/>
  <c r="S86" i="23"/>
  <c r="S59" i="23"/>
  <c r="V155" i="23"/>
  <c r="V197" i="23"/>
  <c r="V259" i="23"/>
  <c r="L260" i="23"/>
  <c r="S259" i="23"/>
  <c r="S155" i="23"/>
  <c r="V133" i="23"/>
  <c r="N285" i="23"/>
  <c r="H286" i="23" s="1"/>
  <c r="M39" i="23"/>
  <c r="N39" i="23" s="1"/>
  <c r="G107" i="23"/>
  <c r="AD94" i="23" s="1"/>
  <c r="P86" i="23"/>
  <c r="G52" i="23"/>
  <c r="AD45" i="23" s="1"/>
  <c r="P59" i="23"/>
  <c r="G79" i="23"/>
  <c r="AD61" i="23" s="1"/>
  <c r="M133" i="23"/>
  <c r="N133" i="23" s="1"/>
  <c r="H134" i="23" s="1"/>
  <c r="L134" i="23"/>
  <c r="N59" i="23"/>
  <c r="H60" i="23" s="1"/>
  <c r="P133" i="23"/>
  <c r="V260" i="23"/>
  <c r="G147" i="23"/>
  <c r="AD140" i="23" s="1"/>
  <c r="L156" i="23"/>
  <c r="M155" i="23"/>
  <c r="N155" i="23" s="1"/>
  <c r="H156" i="23" s="1"/>
  <c r="M259" i="23"/>
  <c r="N259" i="23" s="1"/>
  <c r="H260" i="23" s="1"/>
  <c r="P285" i="23"/>
  <c r="G298" i="23"/>
  <c r="AD286" i="23" s="1"/>
  <c r="G168" i="23"/>
  <c r="AD158" i="23" s="1"/>
  <c r="V156" i="23"/>
  <c r="S198" i="23"/>
  <c r="V198" i="23"/>
  <c r="S197" i="23"/>
  <c r="A197" i="23" s="1"/>
  <c r="G211" i="23"/>
  <c r="AD198" i="23" s="1"/>
  <c r="S285" i="23"/>
  <c r="A285" i="23" s="1"/>
  <c r="M1682" i="23" l="1"/>
  <c r="N1682" i="23" s="1"/>
  <c r="J1862" i="23"/>
  <c r="O1862" i="23"/>
  <c r="H1863" i="23"/>
  <c r="M1863" i="23" s="1"/>
  <c r="N1863" i="23" s="1"/>
  <c r="K1838" i="23"/>
  <c r="L1838" i="23" s="1"/>
  <c r="M1838" i="23" s="1"/>
  <c r="N1838" i="23" s="1"/>
  <c r="M1818" i="23"/>
  <c r="N1818" i="23" s="1"/>
  <c r="U1816" i="23"/>
  <c r="U1792" i="23"/>
  <c r="R1793" i="23"/>
  <c r="U1793" i="23" s="1"/>
  <c r="U1749" i="23"/>
  <c r="W1379" i="23"/>
  <c r="P1380" i="23" s="1"/>
  <c r="Q1380" i="23" s="1"/>
  <c r="K1544" i="23"/>
  <c r="L1544" i="23" s="1"/>
  <c r="M1544" i="23" s="1"/>
  <c r="N1544" i="23" s="1"/>
  <c r="J1455" i="23"/>
  <c r="O1455" i="23"/>
  <c r="H1456" i="23"/>
  <c r="K1456" i="23" s="1"/>
  <c r="L1456" i="23" s="1"/>
  <c r="K1355" i="23"/>
  <c r="L1355" i="23" s="1"/>
  <c r="M1355" i="23" s="1"/>
  <c r="N1355" i="23" s="1"/>
  <c r="U1329" i="23"/>
  <c r="W1329" i="23" s="1"/>
  <c r="P1330" i="23" s="1"/>
  <c r="Q1330" i="23" s="1"/>
  <c r="R1330" i="23"/>
  <c r="U1330" i="23" s="1"/>
  <c r="W1309" i="23"/>
  <c r="P1310" i="23" s="1"/>
  <c r="Q1310" i="23" s="1"/>
  <c r="J1256" i="23"/>
  <c r="H1257" i="23"/>
  <c r="M1257" i="23" s="1"/>
  <c r="N1257" i="23" s="1"/>
  <c r="O1256" i="23"/>
  <c r="R1256" i="23"/>
  <c r="K1212" i="23"/>
  <c r="L1212" i="23" s="1"/>
  <c r="M1212" i="23" s="1"/>
  <c r="N1212" i="23" s="1"/>
  <c r="P1110" i="23"/>
  <c r="Q1110" i="23" s="1"/>
  <c r="K1110" i="23"/>
  <c r="L1110" i="23" s="1"/>
  <c r="M1110" i="23" s="1"/>
  <c r="N1110" i="23" s="1"/>
  <c r="H1111" i="23" s="1"/>
  <c r="J1089" i="23"/>
  <c r="O1089" i="23"/>
  <c r="W1035" i="23"/>
  <c r="P1036" i="23" s="1"/>
  <c r="Q1036" i="23" s="1"/>
  <c r="W1036" i="23" s="1"/>
  <c r="P1037" i="23" s="1"/>
  <c r="Q1037" i="23" s="1"/>
  <c r="W1037" i="23" s="1"/>
  <c r="P1038" i="23" s="1"/>
  <c r="Q1038" i="23" s="1"/>
  <c r="W1038" i="23" s="1"/>
  <c r="P1039" i="23" s="1"/>
  <c r="Q1039" i="23" s="1"/>
  <c r="R1039" i="23" s="1"/>
  <c r="U1039" i="23" s="1"/>
  <c r="W1039" i="23" s="1"/>
  <c r="P1040" i="23" s="1"/>
  <c r="Q1040" i="23" s="1"/>
  <c r="AB320" i="22"/>
  <c r="W960" i="23"/>
  <c r="P961" i="23" s="1"/>
  <c r="Q961" i="23" s="1"/>
  <c r="W742" i="23"/>
  <c r="P743" i="23" s="1"/>
  <c r="Q743" i="23" s="1"/>
  <c r="W743" i="23" s="1"/>
  <c r="P744" i="23" s="1"/>
  <c r="Q744" i="23" s="1"/>
  <c r="W744" i="23" s="1"/>
  <c r="W674" i="23"/>
  <c r="P675" i="23" s="1"/>
  <c r="Q675" i="23" s="1"/>
  <c r="W565" i="23"/>
  <c r="P566" i="23" s="1"/>
  <c r="Q566" i="23" s="1"/>
  <c r="J372" i="23"/>
  <c r="H373" i="23"/>
  <c r="M373" i="23" s="1"/>
  <c r="N373" i="23" s="1"/>
  <c r="O372" i="23"/>
  <c r="W351" i="23"/>
  <c r="P352" i="23" s="1"/>
  <c r="Q352" i="23" s="1"/>
  <c r="W352" i="23" s="1"/>
  <c r="P353" i="23" s="1"/>
  <c r="Q353" i="23" s="1"/>
  <c r="U330" i="23"/>
  <c r="W330" i="23" s="1"/>
  <c r="P331" i="23" s="1"/>
  <c r="Q331" i="23" s="1"/>
  <c r="R331" i="23"/>
  <c r="O330" i="23"/>
  <c r="J330" i="23"/>
  <c r="H331" i="23"/>
  <c r="H221" i="23"/>
  <c r="M221" i="23" s="1"/>
  <c r="O220" i="23"/>
  <c r="J220" i="23"/>
  <c r="M260" i="23"/>
  <c r="T260" i="23"/>
  <c r="A259" i="23"/>
  <c r="M156" i="23"/>
  <c r="T199" i="23"/>
  <c r="A198" i="23"/>
  <c r="M177" i="23"/>
  <c r="N177" i="23" s="1"/>
  <c r="U116" i="23"/>
  <c r="R117" i="23"/>
  <c r="H117" i="23"/>
  <c r="M117" i="23" s="1"/>
  <c r="N117" i="23" s="1"/>
  <c r="O116" i="23"/>
  <c r="J116" i="23"/>
  <c r="T156" i="23"/>
  <c r="A155" i="23"/>
  <c r="M160" i="23"/>
  <c r="N160" i="23" s="1"/>
  <c r="T60" i="23"/>
  <c r="A59" i="23"/>
  <c r="M60" i="23"/>
  <c r="N60" i="23" s="1"/>
  <c r="H1703" i="23"/>
  <c r="K1703" i="23" s="1"/>
  <c r="L1703" i="23" s="1"/>
  <c r="O1702" i="23"/>
  <c r="J1702" i="23"/>
  <c r="M286" i="23"/>
  <c r="N286" i="23" s="1"/>
  <c r="H287" i="23" s="1"/>
  <c r="J1498" i="23"/>
  <c r="H1499" i="23"/>
  <c r="O1498" i="23"/>
  <c r="M134" i="23"/>
  <c r="O1880" i="23"/>
  <c r="J1880" i="23"/>
  <c r="H763" i="23"/>
  <c r="O762" i="23"/>
  <c r="O914" i="23"/>
  <c r="H915" i="23"/>
  <c r="M915" i="23" s="1"/>
  <c r="N915" i="23" s="1"/>
  <c r="J914" i="23"/>
  <c r="M1146" i="23"/>
  <c r="N1146" i="23" s="1"/>
  <c r="J762" i="23"/>
  <c r="M1480" i="23"/>
  <c r="N1480" i="23" s="1"/>
  <c r="M763" i="23"/>
  <c r="N763" i="23" s="1"/>
  <c r="W1749" i="23"/>
  <c r="P1750" i="23" s="1"/>
  <c r="Q1750" i="23" s="1"/>
  <c r="W1750" i="23" s="1"/>
  <c r="H820" i="23"/>
  <c r="J819" i="23"/>
  <c r="O819" i="23"/>
  <c r="J1126" i="23"/>
  <c r="H1127" i="23"/>
  <c r="M1127" i="23" s="1"/>
  <c r="N1127" i="23" s="1"/>
  <c r="O1126" i="23"/>
  <c r="W1124" i="23"/>
  <c r="P1125" i="23" s="1"/>
  <c r="Q1125" i="23" s="1"/>
  <c r="W1125" i="23" s="1"/>
  <c r="P1126" i="23" s="1"/>
  <c r="Q1126" i="23" s="1"/>
  <c r="W1126" i="23" s="1"/>
  <c r="P1127" i="23" s="1"/>
  <c r="Q1127" i="23" s="1"/>
  <c r="W1127" i="23" s="1"/>
  <c r="P1128" i="23" s="1"/>
  <c r="Q1128" i="23" s="1"/>
  <c r="W1128" i="23" s="1"/>
  <c r="P1129" i="23" s="1"/>
  <c r="Q1129" i="23" s="1"/>
  <c r="R1129" i="23" s="1"/>
  <c r="R1130" i="23" s="1"/>
  <c r="U1130" i="23" s="1"/>
  <c r="AB339" i="22"/>
  <c r="M1278" i="23"/>
  <c r="N1278" i="23" s="1"/>
  <c r="J632" i="23"/>
  <c r="H633" i="23"/>
  <c r="M633" i="23" s="1"/>
  <c r="O632" i="23"/>
  <c r="T87" i="23"/>
  <c r="A86" i="23"/>
  <c r="M1429" i="23"/>
  <c r="N1429" i="23" s="1"/>
  <c r="O1726" i="23"/>
  <c r="J1726" i="23"/>
  <c r="H1727" i="23"/>
  <c r="R1189" i="23"/>
  <c r="J1189" i="23"/>
  <c r="O1189" i="23"/>
  <c r="H1190" i="23"/>
  <c r="M1190" i="23" s="1"/>
  <c r="N1190" i="23" s="1"/>
  <c r="U1403" i="23"/>
  <c r="R983" i="23"/>
  <c r="J983" i="23"/>
  <c r="O983" i="23"/>
  <c r="H984" i="23"/>
  <c r="M984" i="23" s="1"/>
  <c r="N984" i="23" s="1"/>
  <c r="O843" i="23"/>
  <c r="H844" i="23"/>
  <c r="K844" i="23" s="1"/>
  <c r="L844" i="23" s="1"/>
  <c r="J843" i="23"/>
  <c r="U632" i="23"/>
  <c r="R633" i="23"/>
  <c r="M698" i="23"/>
  <c r="N698" i="23" s="1"/>
  <c r="K522" i="23"/>
  <c r="L522" i="23" s="1"/>
  <c r="M522" i="23" s="1"/>
  <c r="N522" i="23" s="1"/>
  <c r="M499" i="23"/>
  <c r="N499" i="23" s="1"/>
  <c r="R499" i="23" s="1"/>
  <c r="J413" i="23"/>
  <c r="O413" i="23"/>
  <c r="H414" i="23"/>
  <c r="U412" i="23"/>
  <c r="R413" i="23"/>
  <c r="U413" i="23" s="1"/>
  <c r="U308" i="23"/>
  <c r="R309" i="23"/>
  <c r="J308" i="23"/>
  <c r="O308" i="23"/>
  <c r="H309" i="23"/>
  <c r="R177" i="23"/>
  <c r="U177" i="23" s="1"/>
  <c r="U411" i="23"/>
  <c r="M867" i="23"/>
  <c r="N867" i="23" s="1"/>
  <c r="R867" i="23" s="1"/>
  <c r="O591" i="23"/>
  <c r="H592" i="23"/>
  <c r="K592" i="23" s="1"/>
  <c r="L592" i="23" s="1"/>
  <c r="R1235" i="23"/>
  <c r="J1235" i="23"/>
  <c r="O1235" i="23"/>
  <c r="H1236" i="23"/>
  <c r="M1236" i="23" s="1"/>
  <c r="N1236" i="23" s="1"/>
  <c r="W1640" i="23"/>
  <c r="P1641" i="23" s="1"/>
  <c r="Q1641" i="23" s="1"/>
  <c r="M1638" i="23"/>
  <c r="N1638" i="23" s="1"/>
  <c r="H1639" i="23" s="1"/>
  <c r="AD269" i="23"/>
  <c r="U1168" i="23"/>
  <c r="M1170" i="23"/>
  <c r="N1170" i="23" s="1"/>
  <c r="U631" i="23"/>
  <c r="U1483" i="23"/>
  <c r="W1483" i="23" s="1"/>
  <c r="P1484" i="23" s="1"/>
  <c r="Q1484" i="23" s="1"/>
  <c r="R1484" i="23"/>
  <c r="N1484" i="23"/>
  <c r="H439" i="23"/>
  <c r="O438" i="23"/>
  <c r="M721" i="23"/>
  <c r="N721" i="23" s="1"/>
  <c r="U220" i="23"/>
  <c r="R221" i="23"/>
  <c r="J438" i="23"/>
  <c r="M392" i="23"/>
  <c r="N392" i="23" s="1"/>
  <c r="H393" i="23" s="1"/>
  <c r="M393" i="23" s="1"/>
  <c r="N393" i="23" s="1"/>
  <c r="H892" i="23"/>
  <c r="O891" i="23"/>
  <c r="J891" i="23"/>
  <c r="U1598" i="23"/>
  <c r="R1599" i="23"/>
  <c r="U1599" i="23" s="1"/>
  <c r="M1592" i="23"/>
  <c r="N1592" i="23" s="1"/>
  <c r="W438" i="23"/>
  <c r="P439" i="23" s="1"/>
  <c r="Q439" i="23" s="1"/>
  <c r="H1072" i="23"/>
  <c r="J1071" i="23"/>
  <c r="O1071" i="23"/>
  <c r="L439" i="23"/>
  <c r="M1616" i="23"/>
  <c r="N1616" i="23" s="1"/>
  <c r="O371" i="23"/>
  <c r="J371" i="23"/>
  <c r="W1294" i="23"/>
  <c r="P1295" i="23" s="1"/>
  <c r="Q1295" i="23" s="1"/>
  <c r="M1294" i="23"/>
  <c r="N1294" i="23" s="1"/>
  <c r="J1570" i="23"/>
  <c r="H1571" i="23"/>
  <c r="M1571" i="23" s="1"/>
  <c r="N1571" i="23" s="1"/>
  <c r="O1570" i="23"/>
  <c r="U1569" i="23"/>
  <c r="R1570" i="23"/>
  <c r="U783" i="23"/>
  <c r="AB248" i="22" s="1"/>
  <c r="M781" i="23"/>
  <c r="N781" i="23" s="1"/>
  <c r="K675" i="23"/>
  <c r="L675" i="23" s="1"/>
  <c r="M675" i="23" s="1"/>
  <c r="N675" i="23" s="1"/>
  <c r="R675" i="23" s="1"/>
  <c r="O241" i="23"/>
  <c r="R241" i="23"/>
  <c r="U241" i="23" s="1"/>
  <c r="M1310" i="23"/>
  <c r="N1310" i="23" s="1"/>
  <c r="J1310" i="23" s="1"/>
  <c r="H243" i="23"/>
  <c r="J241" i="23"/>
  <c r="U802" i="23"/>
  <c r="AB252" i="22" s="1"/>
  <c r="M800" i="23"/>
  <c r="N800" i="23" s="1"/>
  <c r="M803" i="23"/>
  <c r="N803" i="23" s="1"/>
  <c r="N1660" i="23"/>
  <c r="N1664" i="23"/>
  <c r="U1659" i="23"/>
  <c r="R1660" i="23"/>
  <c r="O352" i="23"/>
  <c r="J352" i="23"/>
  <c r="H353" i="23"/>
  <c r="M1775" i="23"/>
  <c r="N1775" i="23" s="1"/>
  <c r="H1776" i="23" s="1"/>
  <c r="U1774" i="23"/>
  <c r="R1775" i="23"/>
  <c r="U1145" i="23"/>
  <c r="U1497" i="23"/>
  <c r="U1146" i="23"/>
  <c r="R1147" i="23"/>
  <c r="AI316" i="34"/>
  <c r="U1310" i="23"/>
  <c r="O1107" i="23"/>
  <c r="J1107" i="23"/>
  <c r="H1108" i="23"/>
  <c r="K1054" i="23"/>
  <c r="L1054" i="23" s="1"/>
  <c r="M1054" i="23" s="1"/>
  <c r="N1054" i="23" s="1"/>
  <c r="H1038" i="23"/>
  <c r="M1038" i="23" s="1"/>
  <c r="N1038" i="23" s="1"/>
  <c r="O1037" i="23"/>
  <c r="J1037" i="23"/>
  <c r="M1040" i="23"/>
  <c r="N1040" i="23" s="1"/>
  <c r="O658" i="23"/>
  <c r="U818" i="23"/>
  <c r="J658" i="23"/>
  <c r="J744" i="23"/>
  <c r="O744" i="23"/>
  <c r="J659" i="23"/>
  <c r="H660" i="23"/>
  <c r="M660" i="23" s="1"/>
  <c r="N660" i="23" s="1"/>
  <c r="H661" i="23" s="1"/>
  <c r="M661" i="23" s="1"/>
  <c r="N661" i="23" s="1"/>
  <c r="O659" i="23"/>
  <c r="H656" i="23"/>
  <c r="M656" i="23" s="1"/>
  <c r="N656" i="23" s="1"/>
  <c r="O655" i="23"/>
  <c r="J655" i="23"/>
  <c r="M614" i="23"/>
  <c r="N614" i="23" s="1"/>
  <c r="R614" i="23" s="1"/>
  <c r="K545" i="23"/>
  <c r="L545" i="23" s="1"/>
  <c r="M545" i="23" s="1"/>
  <c r="N545" i="23" s="1"/>
  <c r="K457" i="23"/>
  <c r="L457" i="23" s="1"/>
  <c r="M457" i="23" s="1"/>
  <c r="N457" i="23" s="1"/>
  <c r="H478" i="23"/>
  <c r="M478" i="23" s="1"/>
  <c r="N478" i="23" s="1"/>
  <c r="H479" i="23" s="1"/>
  <c r="M479" i="23" s="1"/>
  <c r="N479" i="23" s="1"/>
  <c r="H480" i="23" s="1"/>
  <c r="M480" i="23" s="1"/>
  <c r="N480" i="23" s="1"/>
  <c r="H481" i="23" s="1"/>
  <c r="O477" i="23"/>
  <c r="U477" i="23"/>
  <c r="U476" i="23"/>
  <c r="W1007" i="23"/>
  <c r="P1008" i="23" s="1"/>
  <c r="Q1008" i="23" s="1"/>
  <c r="W1008" i="23" s="1"/>
  <c r="P1009" i="23" s="1"/>
  <c r="Q1009" i="23" s="1"/>
  <c r="T198" i="23"/>
  <c r="W937" i="23"/>
  <c r="P938" i="23" s="1"/>
  <c r="Q938" i="23" s="1"/>
  <c r="W938" i="23" s="1"/>
  <c r="P939" i="23" s="1"/>
  <c r="Q939" i="23" s="1"/>
  <c r="O133" i="23"/>
  <c r="J133" i="23"/>
  <c r="R155" i="23"/>
  <c r="R156" i="23" s="1"/>
  <c r="O155" i="23"/>
  <c r="J155" i="23"/>
  <c r="J285" i="23"/>
  <c r="O285" i="23"/>
  <c r="O59" i="23"/>
  <c r="J59" i="23"/>
  <c r="O86" i="23"/>
  <c r="J86" i="23"/>
  <c r="H87" i="23"/>
  <c r="M87" i="23" s="1"/>
  <c r="R259" i="23"/>
  <c r="R260" i="23" s="1"/>
  <c r="O259" i="23"/>
  <c r="J259" i="23"/>
  <c r="H40" i="23"/>
  <c r="M40" i="23" s="1"/>
  <c r="O39" i="23"/>
  <c r="J39" i="23"/>
  <c r="H10" i="23"/>
  <c r="J9" i="23"/>
  <c r="O9" i="23"/>
  <c r="W654" i="23"/>
  <c r="P655" i="23" s="1"/>
  <c r="Q655" i="23" s="1"/>
  <c r="W655" i="23" s="1"/>
  <c r="P656" i="23" s="1"/>
  <c r="Q656" i="23" s="1"/>
  <c r="W656" i="23" s="1"/>
  <c r="P657" i="23" s="1"/>
  <c r="Q657" i="23" s="1"/>
  <c r="R657" i="23" s="1"/>
  <c r="R285" i="23"/>
  <c r="R286" i="23" s="1"/>
  <c r="R133" i="23"/>
  <c r="N198" i="23"/>
  <c r="H199" i="23" s="1"/>
  <c r="M199" i="23" s="1"/>
  <c r="R197" i="23"/>
  <c r="R198" i="23" s="1"/>
  <c r="R199" i="23" s="1"/>
  <c r="R59" i="23"/>
  <c r="R60" i="23" s="1"/>
  <c r="R86" i="23"/>
  <c r="R39" i="23"/>
  <c r="R40" i="23" s="1"/>
  <c r="V286" i="23"/>
  <c r="S286" i="23"/>
  <c r="S134" i="23"/>
  <c r="T135" i="23" s="1"/>
  <c r="U135" i="23" s="1"/>
  <c r="V134" i="23"/>
  <c r="H1683" i="23" l="1"/>
  <c r="M1683" i="23" s="1"/>
  <c r="N1683" i="23" s="1"/>
  <c r="J1682" i="23"/>
  <c r="O1682" i="23"/>
  <c r="K939" i="23"/>
  <c r="L939" i="23" s="1"/>
  <c r="H1864" i="23"/>
  <c r="M1864" i="23" s="1"/>
  <c r="N1864" i="23" s="1"/>
  <c r="O1863" i="23"/>
  <c r="J1863" i="23"/>
  <c r="J1838" i="23"/>
  <c r="O1838" i="23"/>
  <c r="H1839" i="23"/>
  <c r="R1838" i="23"/>
  <c r="J1818" i="23"/>
  <c r="O1818" i="23"/>
  <c r="H1819" i="23"/>
  <c r="M1819" i="23" s="1"/>
  <c r="N1819" i="23" s="1"/>
  <c r="W1816" i="23"/>
  <c r="P1817" i="23" s="1"/>
  <c r="Q1817" i="23" s="1"/>
  <c r="W1817" i="23" s="1"/>
  <c r="P1818" i="23" s="1"/>
  <c r="Q1818" i="23" s="1"/>
  <c r="W1818" i="23" s="1"/>
  <c r="P1819" i="23" s="1"/>
  <c r="Q1819" i="23" s="1"/>
  <c r="W1819" i="23" s="1"/>
  <c r="P1820" i="23" s="1"/>
  <c r="Q1820" i="23" s="1"/>
  <c r="W1820" i="23" s="1"/>
  <c r="P1821" i="23" s="1"/>
  <c r="Q1821" i="23" s="1"/>
  <c r="R1821" i="23" s="1"/>
  <c r="AB528" i="22"/>
  <c r="W1792" i="23"/>
  <c r="P1793" i="23" s="1"/>
  <c r="Q1793" i="23" s="1"/>
  <c r="W1793" i="23" s="1"/>
  <c r="P1751" i="23"/>
  <c r="Q1751" i="23" s="1"/>
  <c r="K1751" i="23"/>
  <c r="L1751" i="23" s="1"/>
  <c r="K1380" i="23"/>
  <c r="L1380" i="23" s="1"/>
  <c r="M1380" i="23" s="1"/>
  <c r="N1380" i="23" s="1"/>
  <c r="H1381" i="23" s="1"/>
  <c r="W1598" i="23"/>
  <c r="P1599" i="23" s="1"/>
  <c r="Q1599" i="23" s="1"/>
  <c r="W1599" i="23" s="1"/>
  <c r="P1600" i="23" s="1"/>
  <c r="Q1600" i="23" s="1"/>
  <c r="AB480" i="22"/>
  <c r="J1544" i="23"/>
  <c r="O1544" i="23"/>
  <c r="H1545" i="23"/>
  <c r="R1544" i="23"/>
  <c r="U1544" i="23" s="1"/>
  <c r="W1544" i="23" s="1"/>
  <c r="P1545" i="23" s="1"/>
  <c r="Q1545" i="23" s="1"/>
  <c r="M1456" i="23"/>
  <c r="N1456" i="23" s="1"/>
  <c r="R1456" i="23" s="1"/>
  <c r="U1456" i="23" s="1"/>
  <c r="W1456" i="23" s="1"/>
  <c r="P1457" i="23" s="1"/>
  <c r="Q1457" i="23" s="1"/>
  <c r="J1355" i="23"/>
  <c r="O1355" i="23"/>
  <c r="H1356" i="23"/>
  <c r="M1356" i="23" s="1"/>
  <c r="N1356" i="23" s="1"/>
  <c r="R1355" i="23"/>
  <c r="W1330" i="23"/>
  <c r="P1331" i="23" s="1"/>
  <c r="Q1331" i="23" s="1"/>
  <c r="K961" i="23"/>
  <c r="L961" i="23" s="1"/>
  <c r="M961" i="23" s="1"/>
  <c r="N961" i="23" s="1"/>
  <c r="R961" i="23" s="1"/>
  <c r="U961" i="23" s="1"/>
  <c r="W1310" i="23"/>
  <c r="P1311" i="23" s="1"/>
  <c r="Q1311" i="23" s="1"/>
  <c r="R1040" i="23"/>
  <c r="U1040" i="23" s="1"/>
  <c r="W1040" i="23" s="1"/>
  <c r="P1041" i="23" s="1"/>
  <c r="Q1041" i="23" s="1"/>
  <c r="U1256" i="23"/>
  <c r="W1256" i="23" s="1"/>
  <c r="P1257" i="23" s="1"/>
  <c r="Q1257" i="23" s="1"/>
  <c r="R1257" i="23"/>
  <c r="J1257" i="23"/>
  <c r="H1258" i="23"/>
  <c r="M1258" i="23" s="1"/>
  <c r="N1258" i="23" s="1"/>
  <c r="O1257" i="23"/>
  <c r="J1212" i="23"/>
  <c r="H1213" i="23"/>
  <c r="M1213" i="23" s="1"/>
  <c r="N1213" i="23" s="1"/>
  <c r="O1212" i="23"/>
  <c r="R1212" i="23"/>
  <c r="W1168" i="23"/>
  <c r="P1169" i="23" s="1"/>
  <c r="Q1169" i="23" s="1"/>
  <c r="W1169" i="23" s="1"/>
  <c r="P1170" i="23" s="1"/>
  <c r="Q1170" i="23" s="1"/>
  <c r="W1170" i="23" s="1"/>
  <c r="P1171" i="23" s="1"/>
  <c r="Q1171" i="23" s="1"/>
  <c r="W1171" i="23" s="1"/>
  <c r="P1172" i="23" s="1"/>
  <c r="Q1172" i="23" s="1"/>
  <c r="AB355" i="22"/>
  <c r="R1110" i="23"/>
  <c r="O1110" i="23"/>
  <c r="J1110" i="23"/>
  <c r="P745" i="23"/>
  <c r="Q745" i="23" s="1"/>
  <c r="K745" i="23"/>
  <c r="L745" i="23" s="1"/>
  <c r="M745" i="23" s="1"/>
  <c r="N745" i="23" s="1"/>
  <c r="K566" i="23"/>
  <c r="L566" i="23" s="1"/>
  <c r="M566" i="23" s="1"/>
  <c r="N566" i="23" s="1"/>
  <c r="U199" i="23"/>
  <c r="J661" i="23"/>
  <c r="O661" i="23"/>
  <c r="W476" i="23"/>
  <c r="P477" i="23" s="1"/>
  <c r="W411" i="23"/>
  <c r="P412" i="23" s="1"/>
  <c r="Q412" i="23" s="1"/>
  <c r="W412" i="23" s="1"/>
  <c r="P413" i="23" s="1"/>
  <c r="Q413" i="23" s="1"/>
  <c r="W413" i="23" s="1"/>
  <c r="O393" i="23"/>
  <c r="H394" i="23"/>
  <c r="M394" i="23" s="1"/>
  <c r="N394" i="23" s="1"/>
  <c r="J393" i="23"/>
  <c r="U60" i="23"/>
  <c r="J373" i="23"/>
  <c r="O373" i="23"/>
  <c r="H374" i="23"/>
  <c r="M374" i="23" s="1"/>
  <c r="N374" i="23" s="1"/>
  <c r="N221" i="23"/>
  <c r="H222" i="23" s="1"/>
  <c r="M222" i="23" s="1"/>
  <c r="N222" i="23" s="1"/>
  <c r="U331" i="23"/>
  <c r="W331" i="23" s="1"/>
  <c r="P332" i="23" s="1"/>
  <c r="Q332" i="23" s="1"/>
  <c r="R332" i="23"/>
  <c r="M331" i="23"/>
  <c r="N331" i="23" s="1"/>
  <c r="W308" i="23"/>
  <c r="P309" i="23" s="1"/>
  <c r="Q309" i="23" s="1"/>
  <c r="M309" i="23"/>
  <c r="N309" i="23" s="1"/>
  <c r="M243" i="23"/>
  <c r="N243" i="23" s="1"/>
  <c r="N199" i="23"/>
  <c r="O177" i="23"/>
  <c r="H178" i="23"/>
  <c r="J177" i="23"/>
  <c r="W177" i="23"/>
  <c r="P178" i="23" s="1"/>
  <c r="Q178" i="23" s="1"/>
  <c r="J117" i="23"/>
  <c r="H118" i="23"/>
  <c r="M118" i="23" s="1"/>
  <c r="N118" i="23" s="1"/>
  <c r="O117" i="23"/>
  <c r="R118" i="23"/>
  <c r="U117" i="23"/>
  <c r="W116" i="23"/>
  <c r="P117" i="23" s="1"/>
  <c r="Q117" i="23" s="1"/>
  <c r="J160" i="23"/>
  <c r="H161" i="23"/>
  <c r="O160" i="23"/>
  <c r="H61" i="23"/>
  <c r="J60" i="23"/>
  <c r="O60" i="23"/>
  <c r="N633" i="23"/>
  <c r="O633" i="23" s="1"/>
  <c r="M1703" i="23"/>
  <c r="N1703" i="23" s="1"/>
  <c r="W1497" i="23"/>
  <c r="P1498" i="23" s="1"/>
  <c r="Q1498" i="23" s="1"/>
  <c r="W1498" i="23" s="1"/>
  <c r="P1499" i="23" s="1"/>
  <c r="Q1499" i="23" s="1"/>
  <c r="T287" i="23"/>
  <c r="A286" i="23"/>
  <c r="A134" i="23"/>
  <c r="K1009" i="23"/>
  <c r="L1009" i="23" s="1"/>
  <c r="O1146" i="23"/>
  <c r="J1146" i="23"/>
  <c r="H1147" i="23"/>
  <c r="M1147" i="23" s="1"/>
  <c r="N1147" i="23" s="1"/>
  <c r="W1145" i="23"/>
  <c r="P1146" i="23" s="1"/>
  <c r="Q1146" i="23" s="1"/>
  <c r="W1146" i="23" s="1"/>
  <c r="P1147" i="23" s="1"/>
  <c r="Q1147" i="23" s="1"/>
  <c r="J915" i="23"/>
  <c r="O915" i="23"/>
  <c r="H916" i="23"/>
  <c r="H1481" i="23"/>
  <c r="M1481" i="23" s="1"/>
  <c r="N1481" i="23" s="1"/>
  <c r="J1480" i="23"/>
  <c r="O1480" i="23"/>
  <c r="H764" i="23"/>
  <c r="O763" i="23"/>
  <c r="J763" i="23"/>
  <c r="U1129" i="23"/>
  <c r="W1129" i="23" s="1"/>
  <c r="P1130" i="23" s="1"/>
  <c r="Q1130" i="23" s="1"/>
  <c r="W1130" i="23" s="1"/>
  <c r="P1131" i="23" s="1"/>
  <c r="Q1131" i="23" s="1"/>
  <c r="O1278" i="23"/>
  <c r="H1279" i="23"/>
  <c r="K1279" i="23" s="1"/>
  <c r="L1279" i="23" s="1"/>
  <c r="M1279" i="23" s="1"/>
  <c r="N1279" i="23" s="1"/>
  <c r="R1279" i="23" s="1"/>
  <c r="J1278" i="23"/>
  <c r="W818" i="23"/>
  <c r="P819" i="23" s="1"/>
  <c r="Q819" i="23" s="1"/>
  <c r="W819" i="23" s="1"/>
  <c r="P820" i="23" s="1"/>
  <c r="Q820" i="23" s="1"/>
  <c r="O1127" i="23"/>
  <c r="J1127" i="23"/>
  <c r="H1128" i="23"/>
  <c r="M1128" i="23" s="1"/>
  <c r="N1128" i="23" s="1"/>
  <c r="J1429" i="23"/>
  <c r="R1429" i="23"/>
  <c r="U1429" i="23" s="1"/>
  <c r="O1429" i="23"/>
  <c r="H1430" i="23"/>
  <c r="W1403" i="23"/>
  <c r="P1404" i="23" s="1"/>
  <c r="Q1404" i="23" s="1"/>
  <c r="W631" i="23"/>
  <c r="P632" i="23" s="1"/>
  <c r="Q632" i="23" s="1"/>
  <c r="W632" i="23" s="1"/>
  <c r="P633" i="23" s="1"/>
  <c r="Q633" i="23" s="1"/>
  <c r="K1727" i="23"/>
  <c r="L1727" i="23" s="1"/>
  <c r="M1727" i="23" s="1"/>
  <c r="N1727" i="23" s="1"/>
  <c r="U1189" i="23"/>
  <c r="R1190" i="23"/>
  <c r="U1190" i="23" s="1"/>
  <c r="J1190" i="23"/>
  <c r="O1190" i="23"/>
  <c r="H1191" i="23"/>
  <c r="J984" i="23"/>
  <c r="O984" i="23"/>
  <c r="H985" i="23"/>
  <c r="R984" i="23"/>
  <c r="U984" i="23" s="1"/>
  <c r="U983" i="23"/>
  <c r="M844" i="23"/>
  <c r="N844" i="23" s="1"/>
  <c r="R844" i="23" s="1"/>
  <c r="U844" i="23" s="1"/>
  <c r="J698" i="23"/>
  <c r="O698" i="23"/>
  <c r="H699" i="23"/>
  <c r="K699" i="23" s="1"/>
  <c r="L699" i="23" s="1"/>
  <c r="U633" i="23"/>
  <c r="R634" i="23"/>
  <c r="U634" i="23" s="1"/>
  <c r="R522" i="23"/>
  <c r="U522" i="23" s="1"/>
  <c r="J522" i="23"/>
  <c r="O522" i="23"/>
  <c r="H523" i="23"/>
  <c r="U499" i="23"/>
  <c r="R500" i="23"/>
  <c r="O499" i="23"/>
  <c r="H500" i="23"/>
  <c r="M500" i="23" s="1"/>
  <c r="N500" i="23" s="1"/>
  <c r="J499" i="23"/>
  <c r="U309" i="23"/>
  <c r="R310" i="23"/>
  <c r="U867" i="23"/>
  <c r="J867" i="23"/>
  <c r="H868" i="23"/>
  <c r="O867" i="23"/>
  <c r="M592" i="23"/>
  <c r="N592" i="23" s="1"/>
  <c r="K1641" i="23"/>
  <c r="L1641" i="23" s="1"/>
  <c r="O1638" i="23"/>
  <c r="J1638" i="23"/>
  <c r="J1236" i="23"/>
  <c r="O1236" i="23"/>
  <c r="H1237" i="23"/>
  <c r="M1237" i="23" s="1"/>
  <c r="N1237" i="23" s="1"/>
  <c r="U1235" i="23"/>
  <c r="R1236" i="23"/>
  <c r="J1170" i="23"/>
  <c r="O1170" i="23"/>
  <c r="H1171" i="23"/>
  <c r="M1171" i="23" s="1"/>
  <c r="N1171" i="23" s="1"/>
  <c r="H1485" i="23"/>
  <c r="J1484" i="23"/>
  <c r="O1484" i="23"/>
  <c r="R1485" i="23"/>
  <c r="U1484" i="23"/>
  <c r="W1484" i="23" s="1"/>
  <c r="P1485" i="23" s="1"/>
  <c r="Q1485" i="23" s="1"/>
  <c r="J721" i="23"/>
  <c r="H722" i="23"/>
  <c r="O721" i="23"/>
  <c r="R222" i="23"/>
  <c r="U222" i="23" s="1"/>
  <c r="U221" i="23"/>
  <c r="W220" i="23"/>
  <c r="P221" i="23" s="1"/>
  <c r="Q221" i="23" s="1"/>
  <c r="J392" i="23"/>
  <c r="O392" i="23"/>
  <c r="K892" i="23"/>
  <c r="L892" i="23" s="1"/>
  <c r="M892" i="23" s="1"/>
  <c r="N892" i="23" s="1"/>
  <c r="H1593" i="23"/>
  <c r="O1592" i="23"/>
  <c r="J1592" i="23"/>
  <c r="M1072" i="23"/>
  <c r="N1072" i="23" s="1"/>
  <c r="M439" i="23"/>
  <c r="N439" i="23" s="1"/>
  <c r="H440" i="23" s="1"/>
  <c r="H1617" i="23"/>
  <c r="J1616" i="23"/>
  <c r="O1616" i="23"/>
  <c r="O1294" i="23"/>
  <c r="J1294" i="23"/>
  <c r="H1295" i="23"/>
  <c r="H1572" i="23"/>
  <c r="M1572" i="23" s="1"/>
  <c r="N1572" i="23" s="1"/>
  <c r="J1571" i="23"/>
  <c r="O1571" i="23"/>
  <c r="U1570" i="23"/>
  <c r="R1571" i="23"/>
  <c r="W1569" i="23"/>
  <c r="P1570" i="23" s="1"/>
  <c r="Q1570" i="23" s="1"/>
  <c r="J781" i="23"/>
  <c r="H782" i="23"/>
  <c r="O781" i="23"/>
  <c r="W783" i="23"/>
  <c r="O1310" i="23"/>
  <c r="U675" i="23"/>
  <c r="W241" i="23"/>
  <c r="J800" i="23"/>
  <c r="H801" i="23"/>
  <c r="O800" i="23"/>
  <c r="O803" i="23"/>
  <c r="J803" i="23"/>
  <c r="H804" i="23"/>
  <c r="W802" i="23"/>
  <c r="P803" i="23" s="1"/>
  <c r="Q803" i="23" s="1"/>
  <c r="R803" i="23" s="1"/>
  <c r="J1664" i="23"/>
  <c r="O1664" i="23"/>
  <c r="U1660" i="23"/>
  <c r="W1659" i="23"/>
  <c r="P1660" i="23" s="1"/>
  <c r="Q1660" i="23" s="1"/>
  <c r="J1660" i="23"/>
  <c r="H1665" i="23"/>
  <c r="M1665" i="23" s="1"/>
  <c r="H1661" i="23"/>
  <c r="M1661" i="23" s="1"/>
  <c r="O1660" i="23"/>
  <c r="K353" i="23"/>
  <c r="L353" i="23" s="1"/>
  <c r="M353" i="23" s="1"/>
  <c r="N353" i="23" s="1"/>
  <c r="R1776" i="23"/>
  <c r="U1776" i="23" s="1"/>
  <c r="U1775" i="23"/>
  <c r="W1774" i="23"/>
  <c r="P1775" i="23" s="1"/>
  <c r="Q1775" i="23" s="1"/>
  <c r="O1775" i="23"/>
  <c r="J1775" i="23"/>
  <c r="J675" i="23"/>
  <c r="H676" i="23"/>
  <c r="O675" i="23"/>
  <c r="U1147" i="23"/>
  <c r="R1148" i="23"/>
  <c r="U1148" i="23" s="1"/>
  <c r="K1311" i="23"/>
  <c r="L1311" i="23" s="1"/>
  <c r="M1311" i="23" s="1"/>
  <c r="N1311" i="23" s="1"/>
  <c r="M1108" i="23"/>
  <c r="N1108" i="23" s="1"/>
  <c r="M1111" i="23"/>
  <c r="N1111" i="23" s="1"/>
  <c r="R1054" i="23"/>
  <c r="U1054" i="23" s="1"/>
  <c r="W1054" i="23" s="1"/>
  <c r="P1055" i="23" s="1"/>
  <c r="Q1055" i="23" s="1"/>
  <c r="J1054" i="23"/>
  <c r="O1054" i="23"/>
  <c r="H1055" i="23"/>
  <c r="J1038" i="23"/>
  <c r="O1038" i="23"/>
  <c r="R1041" i="23"/>
  <c r="J1040" i="23"/>
  <c r="O1040" i="23"/>
  <c r="H1041" i="23"/>
  <c r="J656" i="23"/>
  <c r="O656" i="23"/>
  <c r="J660" i="23"/>
  <c r="O660" i="23"/>
  <c r="U657" i="23"/>
  <c r="W657" i="23" s="1"/>
  <c r="P658" i="23" s="1"/>
  <c r="Q658" i="23" s="1"/>
  <c r="R658" i="23"/>
  <c r="U614" i="23"/>
  <c r="W614" i="23" s="1"/>
  <c r="P615" i="23" s="1"/>
  <c r="Q615" i="23" s="1"/>
  <c r="R615" i="23"/>
  <c r="U615" i="23" s="1"/>
  <c r="J614" i="23"/>
  <c r="O614" i="23"/>
  <c r="H615" i="23"/>
  <c r="H546" i="23"/>
  <c r="J545" i="23"/>
  <c r="O545" i="23"/>
  <c r="R545" i="23"/>
  <c r="J457" i="23"/>
  <c r="O457" i="23"/>
  <c r="H458" i="23"/>
  <c r="M458" i="23" s="1"/>
  <c r="N458" i="23" s="1"/>
  <c r="R457" i="23"/>
  <c r="T286" i="23"/>
  <c r="T134" i="23"/>
  <c r="R134" i="23"/>
  <c r="O478" i="23"/>
  <c r="J479" i="23"/>
  <c r="O479" i="23"/>
  <c r="J478" i="23"/>
  <c r="U478" i="23"/>
  <c r="O480" i="23"/>
  <c r="M481" i="23"/>
  <c r="N481" i="23" s="1"/>
  <c r="H482" i="23" s="1"/>
  <c r="J480" i="23"/>
  <c r="U285" i="23"/>
  <c r="U197" i="23"/>
  <c r="U86" i="23"/>
  <c r="R87" i="23"/>
  <c r="O286" i="23"/>
  <c r="J286" i="23"/>
  <c r="O198" i="23"/>
  <c r="J198" i="23"/>
  <c r="W197" i="23"/>
  <c r="P198" i="23" s="1"/>
  <c r="Q198" i="23" s="1"/>
  <c r="N87" i="23"/>
  <c r="H88" i="23" s="1"/>
  <c r="M88" i="23" s="1"/>
  <c r="N88" i="23" s="1"/>
  <c r="W86" i="23"/>
  <c r="W39" i="23"/>
  <c r="U39" i="23"/>
  <c r="N40" i="23"/>
  <c r="H41" i="23" s="1"/>
  <c r="M10" i="23"/>
  <c r="N10" i="23" s="1"/>
  <c r="W285" i="23"/>
  <c r="P286" i="23" s="1"/>
  <c r="Q286" i="23" s="1"/>
  <c r="N156" i="23"/>
  <c r="H157" i="23" s="1"/>
  <c r="U59" i="23"/>
  <c r="W59" i="23"/>
  <c r="P60" i="23" s="1"/>
  <c r="Q60" i="23" s="1"/>
  <c r="U133" i="23"/>
  <c r="W133" i="23"/>
  <c r="P134" i="23" s="1"/>
  <c r="Q134" i="23" s="1"/>
  <c r="F294" i="23"/>
  <c r="N134" i="23"/>
  <c r="H135" i="23" s="1"/>
  <c r="M135" i="23" s="1"/>
  <c r="N135" i="23" s="1"/>
  <c r="U155" i="23"/>
  <c r="W155" i="23"/>
  <c r="P156" i="23" s="1"/>
  <c r="Q156" i="23" s="1"/>
  <c r="U259" i="23"/>
  <c r="W259" i="23"/>
  <c r="P260" i="23" s="1"/>
  <c r="Q260" i="23" s="1"/>
  <c r="F163" i="23"/>
  <c r="N260" i="23"/>
  <c r="H261" i="23" s="1"/>
  <c r="O1683" i="23" l="1"/>
  <c r="H1684" i="23"/>
  <c r="M1684" i="23" s="1"/>
  <c r="N1684" i="23" s="1"/>
  <c r="J1683" i="23"/>
  <c r="M939" i="23"/>
  <c r="N939" i="23" s="1"/>
  <c r="R939" i="23" s="1"/>
  <c r="H89" i="23"/>
  <c r="O88" i="23"/>
  <c r="J88" i="23"/>
  <c r="U87" i="23"/>
  <c r="R88" i="23"/>
  <c r="U88" i="23" s="1"/>
  <c r="O1864" i="23"/>
  <c r="J1864" i="23"/>
  <c r="U1838" i="23"/>
  <c r="R1839" i="23"/>
  <c r="M1839" i="23"/>
  <c r="N1839" i="23" s="1"/>
  <c r="U1821" i="23"/>
  <c r="W1821" i="23" s="1"/>
  <c r="P1822" i="23" s="1"/>
  <c r="Q1822" i="23" s="1"/>
  <c r="R1822" i="23"/>
  <c r="U1822" i="23" s="1"/>
  <c r="O1819" i="23"/>
  <c r="H1820" i="23"/>
  <c r="M1820" i="23" s="1"/>
  <c r="N1820" i="23" s="1"/>
  <c r="J1819" i="23"/>
  <c r="P1794" i="23"/>
  <c r="Q1794" i="23" s="1"/>
  <c r="K1794" i="23"/>
  <c r="L1794" i="23" s="1"/>
  <c r="AB521" i="22"/>
  <c r="M1751" i="23"/>
  <c r="N1751" i="23" s="1"/>
  <c r="J1380" i="23"/>
  <c r="R1380" i="23"/>
  <c r="U1380" i="23" s="1"/>
  <c r="W1380" i="23" s="1"/>
  <c r="P1381" i="23" s="1"/>
  <c r="Q1381" i="23" s="1"/>
  <c r="O1380" i="23"/>
  <c r="K1545" i="23"/>
  <c r="L1545" i="23" s="1"/>
  <c r="O1456" i="23"/>
  <c r="J1456" i="23"/>
  <c r="H1457" i="23"/>
  <c r="U1355" i="23"/>
  <c r="W1355" i="23" s="1"/>
  <c r="P1356" i="23" s="1"/>
  <c r="Q1356" i="23" s="1"/>
  <c r="R1356" i="23"/>
  <c r="O1356" i="23"/>
  <c r="H1357" i="23"/>
  <c r="M1357" i="23" s="1"/>
  <c r="N1357" i="23" s="1"/>
  <c r="J1356" i="23"/>
  <c r="R1311" i="23"/>
  <c r="U1311" i="23" s="1"/>
  <c r="K1331" i="23"/>
  <c r="L1331" i="23" s="1"/>
  <c r="M1331" i="23" s="1"/>
  <c r="N1331" i="23" s="1"/>
  <c r="R1331" i="23" s="1"/>
  <c r="U1331" i="23" s="1"/>
  <c r="W1331" i="23" s="1"/>
  <c r="P1332" i="23" s="1"/>
  <c r="Q1332" i="23" s="1"/>
  <c r="O1258" i="23"/>
  <c r="H1259" i="23"/>
  <c r="J1258" i="23"/>
  <c r="U1257" i="23"/>
  <c r="W1257" i="23" s="1"/>
  <c r="P1258" i="23" s="1"/>
  <c r="Q1258" i="23" s="1"/>
  <c r="R1258" i="23"/>
  <c r="U1258" i="23" s="1"/>
  <c r="W1235" i="23"/>
  <c r="P1236" i="23" s="1"/>
  <c r="Q1236" i="23" s="1"/>
  <c r="U1212" i="23"/>
  <c r="R1213" i="23"/>
  <c r="O1213" i="23"/>
  <c r="H1214" i="23"/>
  <c r="J1213" i="23"/>
  <c r="W1189" i="23"/>
  <c r="P1190" i="23" s="1"/>
  <c r="Q1190" i="23" s="1"/>
  <c r="W1190" i="23" s="1"/>
  <c r="P1191" i="23" s="1"/>
  <c r="Q1191" i="23" s="1"/>
  <c r="R1111" i="23"/>
  <c r="U1110" i="23"/>
  <c r="W1110" i="23" s="1"/>
  <c r="P1111" i="23" s="1"/>
  <c r="Q1111" i="23" s="1"/>
  <c r="W983" i="23"/>
  <c r="P984" i="23" s="1"/>
  <c r="Q984" i="23" s="1"/>
  <c r="W984" i="23" s="1"/>
  <c r="P985" i="23" s="1"/>
  <c r="Q985" i="23" s="1"/>
  <c r="W961" i="23"/>
  <c r="P962" i="23" s="1"/>
  <c r="Q962" i="23" s="1"/>
  <c r="W867" i="23"/>
  <c r="P868" i="23" s="1"/>
  <c r="Q868" i="23" s="1"/>
  <c r="W844" i="23"/>
  <c r="P845" i="23" s="1"/>
  <c r="Q845" i="23" s="1"/>
  <c r="P784" i="23"/>
  <c r="Q784" i="23" s="1"/>
  <c r="K784" i="23"/>
  <c r="L784" i="23" s="1"/>
  <c r="J745" i="23"/>
  <c r="H746" i="23"/>
  <c r="M746" i="23" s="1"/>
  <c r="N746" i="23" s="1"/>
  <c r="O745" i="23"/>
  <c r="R745" i="23"/>
  <c r="W675" i="23"/>
  <c r="P676" i="23" s="1"/>
  <c r="Q676" i="23" s="1"/>
  <c r="J633" i="23"/>
  <c r="W60" i="23"/>
  <c r="P61" i="23" s="1"/>
  <c r="Q61" i="23" s="1"/>
  <c r="J221" i="23"/>
  <c r="W522" i="23"/>
  <c r="P523" i="23" s="1"/>
  <c r="Q523" i="23" s="1"/>
  <c r="W499" i="23"/>
  <c r="P500" i="23" s="1"/>
  <c r="Q500" i="23" s="1"/>
  <c r="J394" i="23"/>
  <c r="O394" i="23"/>
  <c r="H395" i="23"/>
  <c r="O221" i="23"/>
  <c r="W309" i="23"/>
  <c r="P310" i="23" s="1"/>
  <c r="Q310" i="23" s="1"/>
  <c r="O374" i="23"/>
  <c r="J374" i="23"/>
  <c r="J331" i="23"/>
  <c r="O331" i="23"/>
  <c r="H332" i="23"/>
  <c r="R333" i="23"/>
  <c r="U332" i="23"/>
  <c r="W332" i="23" s="1"/>
  <c r="P333" i="23" s="1"/>
  <c r="Q333" i="23" s="1"/>
  <c r="J309" i="23"/>
  <c r="O309" i="23"/>
  <c r="H310" i="23"/>
  <c r="K178" i="23"/>
  <c r="L178" i="23" s="1"/>
  <c r="M178" i="23" s="1"/>
  <c r="N178" i="23" s="1"/>
  <c r="AB82" i="22"/>
  <c r="O243" i="23"/>
  <c r="H244" i="23"/>
  <c r="J243" i="23"/>
  <c r="H223" i="23"/>
  <c r="O222" i="23"/>
  <c r="J222" i="23"/>
  <c r="J199" i="23"/>
  <c r="H200" i="23"/>
  <c r="O199" i="23"/>
  <c r="M157" i="23"/>
  <c r="N157" i="23" s="1"/>
  <c r="R119" i="23"/>
  <c r="U118" i="23"/>
  <c r="O118" i="23"/>
  <c r="H119" i="23"/>
  <c r="M119" i="23" s="1"/>
  <c r="N119" i="23" s="1"/>
  <c r="J118" i="23"/>
  <c r="W117" i="23"/>
  <c r="P118" i="23" s="1"/>
  <c r="Q118" i="23" s="1"/>
  <c r="M161" i="23"/>
  <c r="N161" i="23" s="1"/>
  <c r="H634" i="23"/>
  <c r="M634" i="23" s="1"/>
  <c r="N634" i="23" s="1"/>
  <c r="M41" i="23"/>
  <c r="N41" i="23" s="1"/>
  <c r="J1703" i="23"/>
  <c r="O1703" i="23"/>
  <c r="R1703" i="23"/>
  <c r="U1703" i="23" s="1"/>
  <c r="H1704" i="23"/>
  <c r="K1499" i="23"/>
  <c r="L1499" i="23" s="1"/>
  <c r="M1499" i="23" s="1"/>
  <c r="N1499" i="23" s="1"/>
  <c r="O135" i="23"/>
  <c r="J135" i="23"/>
  <c r="H136" i="23"/>
  <c r="M136" i="23" s="1"/>
  <c r="N136" i="23" s="1"/>
  <c r="M1009" i="23"/>
  <c r="N1009" i="23" s="1"/>
  <c r="M916" i="23"/>
  <c r="N916" i="23" s="1"/>
  <c r="H1148" i="23"/>
  <c r="M1148" i="23" s="1"/>
  <c r="N1148" i="23" s="1"/>
  <c r="O1147" i="23"/>
  <c r="J1147" i="23"/>
  <c r="H1482" i="23"/>
  <c r="O1481" i="23"/>
  <c r="J1481" i="23"/>
  <c r="M1485" i="23"/>
  <c r="N1485" i="23" s="1"/>
  <c r="J1485" i="23" s="1"/>
  <c r="M764" i="23"/>
  <c r="N764" i="23" s="1"/>
  <c r="K1131" i="23"/>
  <c r="L1131" i="23" s="1"/>
  <c r="M1131" i="23" s="1"/>
  <c r="N1131" i="23" s="1"/>
  <c r="R1131" i="23" s="1"/>
  <c r="K820" i="23"/>
  <c r="L820" i="23" s="1"/>
  <c r="M820" i="23" s="1"/>
  <c r="N820" i="23" s="1"/>
  <c r="R820" i="23" s="1"/>
  <c r="U820" i="23" s="1"/>
  <c r="J1128" i="23"/>
  <c r="O1128" i="23"/>
  <c r="K1404" i="23"/>
  <c r="L1404" i="23" s="1"/>
  <c r="M1404" i="23" s="1"/>
  <c r="N1404" i="23" s="1"/>
  <c r="W1429" i="23"/>
  <c r="O1727" i="23"/>
  <c r="J1727" i="23"/>
  <c r="H1728" i="23"/>
  <c r="R1727" i="23"/>
  <c r="U1727" i="23" s="1"/>
  <c r="O961" i="23"/>
  <c r="J961" i="23"/>
  <c r="H962" i="23"/>
  <c r="W633" i="23"/>
  <c r="P634" i="23" s="1"/>
  <c r="Q634" i="23" s="1"/>
  <c r="W634" i="23" s="1"/>
  <c r="P635" i="23" s="1"/>
  <c r="Q635" i="23" s="1"/>
  <c r="O844" i="23"/>
  <c r="J844" i="23"/>
  <c r="H845" i="23"/>
  <c r="M699" i="23"/>
  <c r="N699" i="23" s="1"/>
  <c r="R699" i="23" s="1"/>
  <c r="U699" i="23" s="1"/>
  <c r="O500" i="23"/>
  <c r="H501" i="23"/>
  <c r="M501" i="23" s="1"/>
  <c r="N501" i="23" s="1"/>
  <c r="J500" i="23"/>
  <c r="R501" i="23"/>
  <c r="U500" i="23"/>
  <c r="P414" i="23"/>
  <c r="Q414" i="23" s="1"/>
  <c r="K414" i="23"/>
  <c r="L414" i="23" s="1"/>
  <c r="U310" i="23"/>
  <c r="R311" i="23"/>
  <c r="V294" i="23"/>
  <c r="S294" i="23"/>
  <c r="J566" i="23"/>
  <c r="O566" i="23"/>
  <c r="H567" i="23"/>
  <c r="R566" i="23"/>
  <c r="H593" i="23"/>
  <c r="O592" i="23"/>
  <c r="J592" i="23"/>
  <c r="R592" i="23"/>
  <c r="R1641" i="23"/>
  <c r="U1641" i="23" s="1"/>
  <c r="M1639" i="23"/>
  <c r="N1639" i="23" s="1"/>
  <c r="H1640" i="23" s="1"/>
  <c r="M1640" i="23" s="1"/>
  <c r="N1640" i="23" s="1"/>
  <c r="U1236" i="23"/>
  <c r="R1237" i="23"/>
  <c r="J1237" i="23"/>
  <c r="O1237" i="23"/>
  <c r="H1238" i="23"/>
  <c r="M1238" i="23" s="1"/>
  <c r="N1238" i="23" s="1"/>
  <c r="O1171" i="23"/>
  <c r="J1171" i="23"/>
  <c r="H1172" i="23"/>
  <c r="U1485" i="23"/>
  <c r="W1485" i="23" s="1"/>
  <c r="P1486" i="23" s="1"/>
  <c r="Q1486" i="23" s="1"/>
  <c r="R1486" i="23"/>
  <c r="U1486" i="23" s="1"/>
  <c r="M722" i="23"/>
  <c r="N722" i="23" s="1"/>
  <c r="W221" i="23"/>
  <c r="P222" i="23" s="1"/>
  <c r="Q222" i="23" s="1"/>
  <c r="W222" i="23" s="1"/>
  <c r="P223" i="23" s="1"/>
  <c r="Q223" i="23" s="1"/>
  <c r="L223" i="23"/>
  <c r="M440" i="23"/>
  <c r="N440" i="23" s="1"/>
  <c r="H441" i="23" s="1"/>
  <c r="M441" i="23" s="1"/>
  <c r="N441" i="23" s="1"/>
  <c r="V163" i="23"/>
  <c r="S163" i="23"/>
  <c r="J892" i="23"/>
  <c r="H893" i="23"/>
  <c r="O892" i="23"/>
  <c r="R892" i="23"/>
  <c r="L1600" i="23"/>
  <c r="M1593" i="23"/>
  <c r="N1593" i="23" s="1"/>
  <c r="O439" i="23"/>
  <c r="J439" i="23"/>
  <c r="O1072" i="23"/>
  <c r="J1072" i="23"/>
  <c r="R439" i="23"/>
  <c r="W1570" i="23"/>
  <c r="P1571" i="23" s="1"/>
  <c r="Q1571" i="23" s="1"/>
  <c r="M1617" i="23"/>
  <c r="N1617" i="23" s="1"/>
  <c r="K1295" i="23"/>
  <c r="L1295" i="23" s="1"/>
  <c r="M1295" i="23" s="1"/>
  <c r="N1295" i="23" s="1"/>
  <c r="J1572" i="23"/>
  <c r="H1573" i="23"/>
  <c r="M1573" i="23" s="1"/>
  <c r="N1573" i="23" s="1"/>
  <c r="O1572" i="23"/>
  <c r="U1571" i="23"/>
  <c r="R1572" i="23"/>
  <c r="M782" i="23"/>
  <c r="N782" i="23" s="1"/>
  <c r="H783" i="23" s="1"/>
  <c r="M783" i="23" s="1"/>
  <c r="N783" i="23" s="1"/>
  <c r="W1775" i="23"/>
  <c r="P1776" i="23" s="1"/>
  <c r="Q1776" i="23" s="1"/>
  <c r="W1776" i="23" s="1"/>
  <c r="P1777" i="23" s="1"/>
  <c r="Q1777" i="23" s="1"/>
  <c r="W1660" i="23"/>
  <c r="P1661" i="23" s="1"/>
  <c r="Q1661" i="23" s="1"/>
  <c r="W1147" i="23"/>
  <c r="P1148" i="23" s="1"/>
  <c r="Q1148" i="23" s="1"/>
  <c r="W1148" i="23" s="1"/>
  <c r="P1149" i="23" s="1"/>
  <c r="Q1149" i="23" s="1"/>
  <c r="P242" i="23"/>
  <c r="Q242" i="23" s="1"/>
  <c r="K242" i="23"/>
  <c r="L242" i="23" s="1"/>
  <c r="M242" i="23" s="1"/>
  <c r="R804" i="23"/>
  <c r="U804" i="23" s="1"/>
  <c r="U803" i="23"/>
  <c r="W803" i="23" s="1"/>
  <c r="P804" i="23" s="1"/>
  <c r="Q804" i="23" s="1"/>
  <c r="M804" i="23"/>
  <c r="N804" i="23" s="1"/>
  <c r="M801" i="23"/>
  <c r="N801" i="23" s="1"/>
  <c r="H802" i="23" s="1"/>
  <c r="M802" i="23" s="1"/>
  <c r="N802" i="23" s="1"/>
  <c r="N1661" i="23"/>
  <c r="N1665" i="23"/>
  <c r="U1661" i="23"/>
  <c r="R1662" i="23"/>
  <c r="O353" i="23"/>
  <c r="J353" i="23"/>
  <c r="H354" i="23"/>
  <c r="K1777" i="23"/>
  <c r="L1777" i="23" s="1"/>
  <c r="M1776" i="23"/>
  <c r="N1776" i="23" s="1"/>
  <c r="H1777" i="23" s="1"/>
  <c r="J1311" i="23"/>
  <c r="O1311" i="23"/>
  <c r="H1312" i="23"/>
  <c r="U1279" i="23"/>
  <c r="R1280" i="23"/>
  <c r="O1279" i="23"/>
  <c r="J1279" i="23"/>
  <c r="H1280" i="23"/>
  <c r="H1109" i="23"/>
  <c r="M1109" i="23" s="1"/>
  <c r="N1109" i="23" s="1"/>
  <c r="O1108" i="23"/>
  <c r="J1108" i="23"/>
  <c r="J1111" i="23"/>
  <c r="H1112" i="23"/>
  <c r="O1111" i="23"/>
  <c r="K1055" i="23"/>
  <c r="L1055" i="23" s="1"/>
  <c r="U1041" i="23"/>
  <c r="W1041" i="23" s="1"/>
  <c r="P1042" i="23" s="1"/>
  <c r="Q1042" i="23" s="1"/>
  <c r="R1042" i="23"/>
  <c r="M1041" i="23"/>
  <c r="N1041" i="23" s="1"/>
  <c r="U658" i="23"/>
  <c r="W658" i="23" s="1"/>
  <c r="P659" i="23" s="1"/>
  <c r="Q659" i="23" s="1"/>
  <c r="R659" i="23"/>
  <c r="W615" i="23"/>
  <c r="P616" i="23" s="1"/>
  <c r="Q616" i="23" s="1"/>
  <c r="M615" i="23"/>
  <c r="N615" i="23" s="1"/>
  <c r="U545" i="23"/>
  <c r="J458" i="23"/>
  <c r="H459" i="23"/>
  <c r="M459" i="23" s="1"/>
  <c r="N459" i="23" s="1"/>
  <c r="U457" i="23"/>
  <c r="R458" i="23"/>
  <c r="O458" i="23"/>
  <c r="F295" i="23"/>
  <c r="P40" i="23"/>
  <c r="Q40" i="23" s="1"/>
  <c r="Q477" i="23"/>
  <c r="W477" i="23" s="1"/>
  <c r="P478" i="23" s="1"/>
  <c r="Q478" i="23" s="1"/>
  <c r="W478" i="23" s="1"/>
  <c r="P479" i="23" s="1"/>
  <c r="Q479" i="23" s="1"/>
  <c r="U479" i="23"/>
  <c r="AB179" i="22" s="1"/>
  <c r="M482" i="23"/>
  <c r="N482" i="23" s="1"/>
  <c r="H483" i="23" s="1"/>
  <c r="O481" i="23"/>
  <c r="J481" i="23"/>
  <c r="H11" i="23"/>
  <c r="M11" i="23" s="1"/>
  <c r="N11" i="23" s="1"/>
  <c r="J10" i="23"/>
  <c r="O10" i="23"/>
  <c r="O260" i="23"/>
  <c r="J260" i="23"/>
  <c r="O156" i="23"/>
  <c r="J156" i="23"/>
  <c r="O134" i="23"/>
  <c r="J134" i="23"/>
  <c r="J87" i="23"/>
  <c r="O87" i="23"/>
  <c r="O40" i="23"/>
  <c r="J40" i="23"/>
  <c r="U286" i="23"/>
  <c r="W286" i="23" s="1"/>
  <c r="P87" i="23"/>
  <c r="Q87" i="23" s="1"/>
  <c r="U40" i="23"/>
  <c r="AB24" i="22" s="1"/>
  <c r="U198" i="23"/>
  <c r="U156" i="23"/>
  <c r="W156" i="23" s="1"/>
  <c r="P157" i="23" s="1"/>
  <c r="Q157" i="23" s="1"/>
  <c r="W157" i="23" s="1"/>
  <c r="P158" i="23" s="1"/>
  <c r="Q158" i="23" s="1"/>
  <c r="W158" i="23" s="1"/>
  <c r="P159" i="23" s="1"/>
  <c r="Q159" i="23" s="1"/>
  <c r="F206" i="23"/>
  <c r="U134" i="23"/>
  <c r="W134" i="23" s="1"/>
  <c r="P135" i="23" s="1"/>
  <c r="Q135" i="23" s="1"/>
  <c r="W135" i="23" s="1"/>
  <c r="P136" i="23" s="1"/>
  <c r="Q136" i="23" s="1"/>
  <c r="W136" i="23" s="1"/>
  <c r="P137" i="23" s="1"/>
  <c r="Q137" i="23" s="1"/>
  <c r="R137" i="23" s="1"/>
  <c r="U137" i="23" s="1"/>
  <c r="W137" i="23" s="1"/>
  <c r="U260" i="23"/>
  <c r="W260" i="23" s="1"/>
  <c r="P261" i="23" s="1"/>
  <c r="Q261" i="23" s="1"/>
  <c r="W87" i="23" l="1"/>
  <c r="P88" i="23" s="1"/>
  <c r="Q88" i="23" s="1"/>
  <c r="O1684" i="23"/>
  <c r="J1684" i="23"/>
  <c r="H1685" i="23"/>
  <c r="M1685" i="23" s="1"/>
  <c r="N1685" i="23" s="1"/>
  <c r="J939" i="23"/>
  <c r="O939" i="23"/>
  <c r="H940" i="23"/>
  <c r="U939" i="23"/>
  <c r="W939" i="23" s="1"/>
  <c r="P940" i="23" s="1"/>
  <c r="Q940" i="23" s="1"/>
  <c r="R940" i="23"/>
  <c r="W88" i="23"/>
  <c r="P89" i="23" s="1"/>
  <c r="Q89" i="23" s="1"/>
  <c r="W1822" i="23"/>
  <c r="P1823" i="23" s="1"/>
  <c r="Q1823" i="23" s="1"/>
  <c r="O1839" i="23"/>
  <c r="J1839" i="23"/>
  <c r="H1840" i="23"/>
  <c r="M1840" i="23" s="1"/>
  <c r="N1840" i="23" s="1"/>
  <c r="R1840" i="23"/>
  <c r="U1839" i="23"/>
  <c r="W1838" i="23"/>
  <c r="P1839" i="23" s="1"/>
  <c r="Q1839" i="23" s="1"/>
  <c r="O1820" i="23"/>
  <c r="J1820" i="23"/>
  <c r="M1794" i="23"/>
  <c r="N1794" i="23" s="1"/>
  <c r="K1381" i="23"/>
  <c r="L1381" i="23" s="1"/>
  <c r="M1381" i="23" s="1"/>
  <c r="N1381" i="23" s="1"/>
  <c r="O1381" i="23" s="1"/>
  <c r="J1751" i="23"/>
  <c r="O1751" i="23"/>
  <c r="H1752" i="23"/>
  <c r="R1751" i="23"/>
  <c r="W1641" i="23"/>
  <c r="P1642" i="23" s="1"/>
  <c r="Q1642" i="23" s="1"/>
  <c r="AB486" i="22"/>
  <c r="M1545" i="23"/>
  <c r="N1545" i="23" s="1"/>
  <c r="R1545" i="23" s="1"/>
  <c r="K868" i="23"/>
  <c r="L868" i="23" s="1"/>
  <c r="M868" i="23" s="1"/>
  <c r="N868" i="23" s="1"/>
  <c r="R868" i="23" s="1"/>
  <c r="U868" i="23" s="1"/>
  <c r="W868" i="23" s="1"/>
  <c r="P869" i="23" s="1"/>
  <c r="Q869" i="23" s="1"/>
  <c r="K676" i="23"/>
  <c r="L676" i="23" s="1"/>
  <c r="M676" i="23" s="1"/>
  <c r="N676" i="23" s="1"/>
  <c r="H677" i="23" s="1"/>
  <c r="M677" i="23" s="1"/>
  <c r="N677" i="23" s="1"/>
  <c r="J677" i="23" s="1"/>
  <c r="K1457" i="23"/>
  <c r="L1457" i="23" s="1"/>
  <c r="M1457" i="23" s="1"/>
  <c r="N1457" i="23" s="1"/>
  <c r="H1358" i="23"/>
  <c r="M1358" i="23" s="1"/>
  <c r="N1358" i="23" s="1"/>
  <c r="O1357" i="23"/>
  <c r="J1357" i="23"/>
  <c r="R1357" i="23"/>
  <c r="U1356" i="23"/>
  <c r="W1356" i="23" s="1"/>
  <c r="P1357" i="23" s="1"/>
  <c r="Q1357" i="23" s="1"/>
  <c r="W1236" i="23"/>
  <c r="P1237" i="23" s="1"/>
  <c r="Q1237" i="23" s="1"/>
  <c r="K61" i="23"/>
  <c r="L61" i="23" s="1"/>
  <c r="M61" i="23" s="1"/>
  <c r="N61" i="23" s="1"/>
  <c r="R61" i="23" s="1"/>
  <c r="W310" i="23"/>
  <c r="P311" i="23" s="1"/>
  <c r="Q311" i="23" s="1"/>
  <c r="J1331" i="23"/>
  <c r="O1331" i="23"/>
  <c r="H1332" i="23"/>
  <c r="K1332" i="23" s="1"/>
  <c r="L1332" i="23" s="1"/>
  <c r="W1258" i="23"/>
  <c r="P1259" i="23" s="1"/>
  <c r="Q1259" i="23" s="1"/>
  <c r="W1311" i="23"/>
  <c r="P1312" i="23" s="1"/>
  <c r="Q1312" i="23" s="1"/>
  <c r="M1214" i="23"/>
  <c r="N1214" i="23" s="1"/>
  <c r="R1214" i="23"/>
  <c r="U1213" i="23"/>
  <c r="W1212" i="23"/>
  <c r="P1213" i="23" s="1"/>
  <c r="Q1213" i="23" s="1"/>
  <c r="R1112" i="23"/>
  <c r="U1111" i="23"/>
  <c r="U1042" i="23"/>
  <c r="W1042" i="23" s="1"/>
  <c r="P1043" i="23" s="1"/>
  <c r="Q1043" i="23" s="1"/>
  <c r="R1043" i="23"/>
  <c r="U1043" i="23" s="1"/>
  <c r="U745" i="23"/>
  <c r="R746" i="23"/>
  <c r="O746" i="23"/>
  <c r="J746" i="23"/>
  <c r="H747" i="23"/>
  <c r="M747" i="23" s="1"/>
  <c r="N747" i="23" s="1"/>
  <c r="W699" i="23"/>
  <c r="P700" i="23" s="1"/>
  <c r="Q700" i="23" s="1"/>
  <c r="W500" i="23"/>
  <c r="P501" i="23" s="1"/>
  <c r="Q501" i="23" s="1"/>
  <c r="W545" i="23"/>
  <c r="P546" i="23" s="1"/>
  <c r="Q546" i="23" s="1"/>
  <c r="K523" i="23"/>
  <c r="L523" i="23" s="1"/>
  <c r="M523" i="23" s="1"/>
  <c r="N523" i="23" s="1"/>
  <c r="J523" i="23" s="1"/>
  <c r="W457" i="23"/>
  <c r="P458" i="23" s="1"/>
  <c r="Q458" i="23" s="1"/>
  <c r="M395" i="23"/>
  <c r="N395" i="23" s="1"/>
  <c r="U333" i="23"/>
  <c r="W333" i="23" s="1"/>
  <c r="P334" i="23" s="1"/>
  <c r="Q334" i="23" s="1"/>
  <c r="R334" i="23"/>
  <c r="U334" i="23" s="1"/>
  <c r="M332" i="23"/>
  <c r="N332" i="23" s="1"/>
  <c r="M310" i="23"/>
  <c r="N310" i="23" s="1"/>
  <c r="M223" i="23"/>
  <c r="N223" i="23" s="1"/>
  <c r="H158" i="23"/>
  <c r="M158" i="23" s="1"/>
  <c r="N158" i="23" s="1"/>
  <c r="J158" i="23" s="1"/>
  <c r="J157" i="23"/>
  <c r="O157" i="23"/>
  <c r="R178" i="23"/>
  <c r="U178" i="23" s="1"/>
  <c r="H179" i="23"/>
  <c r="J178" i="23"/>
  <c r="O178" i="23"/>
  <c r="H120" i="23"/>
  <c r="J119" i="23"/>
  <c r="O119" i="23"/>
  <c r="R120" i="23"/>
  <c r="U119" i="23"/>
  <c r="T163" i="23"/>
  <c r="T164" i="23"/>
  <c r="A163" i="23"/>
  <c r="W118" i="23"/>
  <c r="P119" i="23" s="1"/>
  <c r="Q119" i="23" s="1"/>
  <c r="AB59" i="22"/>
  <c r="AB70" i="22"/>
  <c r="J161" i="23"/>
  <c r="H162" i="23"/>
  <c r="O161" i="23"/>
  <c r="H42" i="23"/>
  <c r="M42" i="23" s="1"/>
  <c r="N42" i="23" s="1"/>
  <c r="O41" i="23"/>
  <c r="J41" i="23"/>
  <c r="W1703" i="23"/>
  <c r="P1704" i="23" s="1"/>
  <c r="Q1704" i="23" s="1"/>
  <c r="AB64" i="22"/>
  <c r="P138" i="23"/>
  <c r="Q138" i="23" s="1"/>
  <c r="K138" i="23"/>
  <c r="L138" i="23" s="1"/>
  <c r="J136" i="23"/>
  <c r="O136" i="23"/>
  <c r="T294" i="23"/>
  <c r="A294" i="23"/>
  <c r="J1009" i="23"/>
  <c r="H1010" i="23"/>
  <c r="M1010" i="23" s="1"/>
  <c r="N1010" i="23" s="1"/>
  <c r="O1009" i="23"/>
  <c r="R1009" i="23"/>
  <c r="U1887" i="23"/>
  <c r="O916" i="23"/>
  <c r="J916" i="23"/>
  <c r="H917" i="23"/>
  <c r="O1485" i="23"/>
  <c r="H1486" i="23"/>
  <c r="M1482" i="23"/>
  <c r="N1482" i="23" s="1"/>
  <c r="J764" i="23"/>
  <c r="O764" i="23"/>
  <c r="H765" i="23"/>
  <c r="W820" i="23"/>
  <c r="P821" i="23" s="1"/>
  <c r="Q821" i="23" s="1"/>
  <c r="M1280" i="23"/>
  <c r="N1280" i="23" s="1"/>
  <c r="U1131" i="23"/>
  <c r="W1131" i="23" s="1"/>
  <c r="P1132" i="23" s="1"/>
  <c r="Q1132" i="23" s="1"/>
  <c r="R1132" i="23"/>
  <c r="O1131" i="23"/>
  <c r="H1132" i="23"/>
  <c r="M1132" i="23" s="1"/>
  <c r="N1132" i="23" s="1"/>
  <c r="J1131" i="23"/>
  <c r="H635" i="23"/>
  <c r="K635" i="23" s="1"/>
  <c r="L635" i="23" s="1"/>
  <c r="M635" i="23" s="1"/>
  <c r="O634" i="23"/>
  <c r="J634" i="23"/>
  <c r="H1405" i="23"/>
  <c r="M1405" i="23" s="1"/>
  <c r="N1405" i="23" s="1"/>
  <c r="O1404" i="23"/>
  <c r="J1404" i="23"/>
  <c r="R1404" i="23"/>
  <c r="U1404" i="23" s="1"/>
  <c r="P1430" i="23"/>
  <c r="Q1430" i="23" s="1"/>
  <c r="K1430" i="23"/>
  <c r="L1430" i="23" s="1"/>
  <c r="M1430" i="23" s="1"/>
  <c r="N1430" i="23" s="1"/>
  <c r="H1431" i="23" s="1"/>
  <c r="AI308" i="34"/>
  <c r="W1727" i="23"/>
  <c r="P1728" i="23" s="1"/>
  <c r="Q1728" i="23" s="1"/>
  <c r="J1499" i="23"/>
  <c r="O1499" i="23"/>
  <c r="H1500" i="23"/>
  <c r="R1499" i="23"/>
  <c r="U1499" i="23" s="1"/>
  <c r="K985" i="23"/>
  <c r="L985" i="23" s="1"/>
  <c r="M985" i="23" s="1"/>
  <c r="N985" i="23" s="1"/>
  <c r="J985" i="23" s="1"/>
  <c r="K1191" i="23"/>
  <c r="L1191" i="23" s="1"/>
  <c r="M1191" i="23" s="1"/>
  <c r="N1191" i="23" s="1"/>
  <c r="R1191" i="23" s="1"/>
  <c r="K962" i="23"/>
  <c r="L962" i="23" s="1"/>
  <c r="M962" i="23" s="1"/>
  <c r="N962" i="23" s="1"/>
  <c r="K845" i="23"/>
  <c r="L845" i="23" s="1"/>
  <c r="M845" i="23" s="1"/>
  <c r="N845" i="23" s="1"/>
  <c r="O820" i="23"/>
  <c r="H821" i="23"/>
  <c r="J820" i="23"/>
  <c r="O699" i="23"/>
  <c r="J699" i="23"/>
  <c r="H700" i="23"/>
  <c r="U501" i="23"/>
  <c r="R502" i="23"/>
  <c r="H502" i="23"/>
  <c r="J501" i="23"/>
  <c r="O501" i="23"/>
  <c r="M414" i="23"/>
  <c r="N414" i="23" s="1"/>
  <c r="R414" i="23" s="1"/>
  <c r="U414" i="23" s="1"/>
  <c r="R312" i="23"/>
  <c r="U311" i="23"/>
  <c r="P287" i="23"/>
  <c r="Q287" i="23" s="1"/>
  <c r="K287" i="23"/>
  <c r="L287" i="23" s="1"/>
  <c r="M287" i="23" s="1"/>
  <c r="S295" i="23"/>
  <c r="V295" i="23"/>
  <c r="S206" i="23"/>
  <c r="V206" i="23"/>
  <c r="U566" i="23"/>
  <c r="U592" i="23"/>
  <c r="R593" i="23"/>
  <c r="M593" i="23"/>
  <c r="N593" i="23" s="1"/>
  <c r="K261" i="23"/>
  <c r="L261" i="23" s="1"/>
  <c r="H1641" i="23"/>
  <c r="M1641" i="23" s="1"/>
  <c r="N1641" i="23" s="1"/>
  <c r="O1640" i="23"/>
  <c r="J1640" i="23"/>
  <c r="O1639" i="23"/>
  <c r="J1639" i="23"/>
  <c r="R1238" i="23"/>
  <c r="U1237" i="23"/>
  <c r="H1239" i="23"/>
  <c r="M1239" i="23" s="1"/>
  <c r="N1239" i="23" s="1"/>
  <c r="O1238" i="23"/>
  <c r="J1238" i="23"/>
  <c r="AI378" i="34"/>
  <c r="K1172" i="23"/>
  <c r="L1172" i="23" s="1"/>
  <c r="M1172" i="23" s="1"/>
  <c r="N1172" i="23" s="1"/>
  <c r="W1486" i="23"/>
  <c r="P1487" i="23" s="1"/>
  <c r="Q1487" i="23" s="1"/>
  <c r="J722" i="23"/>
  <c r="H723" i="23"/>
  <c r="O722" i="23"/>
  <c r="J441" i="23"/>
  <c r="O441" i="23"/>
  <c r="O440" i="23"/>
  <c r="J440" i="23"/>
  <c r="U439" i="23"/>
  <c r="R440" i="23"/>
  <c r="R159" i="23"/>
  <c r="U892" i="23"/>
  <c r="H1594" i="23"/>
  <c r="O1593" i="23"/>
  <c r="J1593" i="23"/>
  <c r="W1571" i="23"/>
  <c r="P1572" i="23" s="1"/>
  <c r="Q1572" i="23" s="1"/>
  <c r="J1617" i="23"/>
  <c r="O1617" i="23"/>
  <c r="O1295" i="23"/>
  <c r="J1295" i="23"/>
  <c r="H1296" i="23"/>
  <c r="R1295" i="23"/>
  <c r="J1573" i="23"/>
  <c r="O1573" i="23"/>
  <c r="H1574" i="23"/>
  <c r="M1574" i="23" s="1"/>
  <c r="N1574" i="23" s="1"/>
  <c r="U1572" i="23"/>
  <c r="M784" i="23"/>
  <c r="N784" i="23" s="1"/>
  <c r="R784" i="23" s="1"/>
  <c r="O783" i="23"/>
  <c r="J783" i="23"/>
  <c r="O782" i="23"/>
  <c r="J782" i="23"/>
  <c r="W1661" i="23"/>
  <c r="P1662" i="23" s="1"/>
  <c r="Q1662" i="23" s="1"/>
  <c r="R805" i="23"/>
  <c r="R806" i="23" s="1"/>
  <c r="N242" i="23"/>
  <c r="R242" i="23" s="1"/>
  <c r="K1312" i="23"/>
  <c r="L1312" i="23" s="1"/>
  <c r="M1312" i="23" s="1"/>
  <c r="N1312" i="23" s="1"/>
  <c r="O802" i="23"/>
  <c r="J802" i="23"/>
  <c r="W804" i="23"/>
  <c r="P805" i="23" s="1"/>
  <c r="Q805" i="23" s="1"/>
  <c r="O801" i="23"/>
  <c r="J801" i="23"/>
  <c r="H805" i="23"/>
  <c r="O804" i="23"/>
  <c r="J804" i="23"/>
  <c r="U1662" i="23"/>
  <c r="R1663" i="23"/>
  <c r="H1666" i="23"/>
  <c r="M1666" i="23" s="1"/>
  <c r="O1661" i="23"/>
  <c r="J1661" i="23"/>
  <c r="H1662" i="23"/>
  <c r="M1662" i="23" s="1"/>
  <c r="O1665" i="23"/>
  <c r="J1665" i="23"/>
  <c r="M354" i="23"/>
  <c r="N354" i="23" s="1"/>
  <c r="U353" i="23"/>
  <c r="AB125" i="22" s="1"/>
  <c r="R354" i="23"/>
  <c r="U354" i="23" s="1"/>
  <c r="J1776" i="23"/>
  <c r="O1776" i="23"/>
  <c r="R1777" i="23"/>
  <c r="M1777" i="23"/>
  <c r="N1777" i="23" s="1"/>
  <c r="H1778" i="23" s="1"/>
  <c r="O1148" i="23"/>
  <c r="H1149" i="23"/>
  <c r="J1148" i="23"/>
  <c r="R1281" i="23"/>
  <c r="U1281" i="23" s="1"/>
  <c r="U1280" i="23"/>
  <c r="W1279" i="23"/>
  <c r="P1280" i="23" s="1"/>
  <c r="Q1280" i="23" s="1"/>
  <c r="J1109" i="23"/>
  <c r="O1109" i="23"/>
  <c r="M1112" i="23"/>
  <c r="N1112" i="23" s="1"/>
  <c r="H1113" i="23" s="1"/>
  <c r="M1113" i="23" s="1"/>
  <c r="N1113" i="23" s="1"/>
  <c r="M1055" i="23"/>
  <c r="N1055" i="23" s="1"/>
  <c r="R1055" i="23" s="1"/>
  <c r="O1041" i="23"/>
  <c r="J1041" i="23"/>
  <c r="H1042" i="23"/>
  <c r="R660" i="23"/>
  <c r="U659" i="23"/>
  <c r="J615" i="23"/>
  <c r="H616" i="23"/>
  <c r="K616" i="23" s="1"/>
  <c r="L616" i="23" s="1"/>
  <c r="O615" i="23"/>
  <c r="U458" i="23"/>
  <c r="R459" i="23"/>
  <c r="U459" i="23" s="1"/>
  <c r="O459" i="23"/>
  <c r="H460" i="23"/>
  <c r="J459" i="23"/>
  <c r="W40" i="23"/>
  <c r="P41" i="23" s="1"/>
  <c r="Q41" i="23" s="1"/>
  <c r="W41" i="23" s="1"/>
  <c r="P42" i="23" s="1"/>
  <c r="Q42" i="23" s="1"/>
  <c r="W42" i="23" s="1"/>
  <c r="P43" i="23" s="1"/>
  <c r="Q43" i="23" s="1"/>
  <c r="W43" i="23" s="1"/>
  <c r="P44" i="23" s="1"/>
  <c r="Q44" i="23" s="1"/>
  <c r="W44" i="23" s="1"/>
  <c r="P45" i="23" s="1"/>
  <c r="Q45" i="23" s="1"/>
  <c r="R45" i="23" s="1"/>
  <c r="U45" i="23" s="1"/>
  <c r="W45" i="23" s="1"/>
  <c r="U480" i="23"/>
  <c r="O482" i="23"/>
  <c r="J482" i="23"/>
  <c r="H12" i="23"/>
  <c r="M12" i="23" s="1"/>
  <c r="N12" i="23" s="1"/>
  <c r="O11" i="23"/>
  <c r="J11" i="23"/>
  <c r="F207" i="23"/>
  <c r="W198" i="23"/>
  <c r="P199" i="23" s="1"/>
  <c r="Q199" i="23" s="1"/>
  <c r="W199" i="23" s="1"/>
  <c r="O676" i="23" l="1"/>
  <c r="H1686" i="23"/>
  <c r="M1686" i="23" s="1"/>
  <c r="N1686" i="23" s="1"/>
  <c r="O1685" i="23"/>
  <c r="J1685" i="23"/>
  <c r="H678" i="23"/>
  <c r="M678" i="23" s="1"/>
  <c r="N678" i="23" s="1"/>
  <c r="J676" i="23"/>
  <c r="O677" i="23"/>
  <c r="R676" i="23"/>
  <c r="U676" i="23" s="1"/>
  <c r="M940" i="23"/>
  <c r="N940" i="23" s="1"/>
  <c r="R941" i="23"/>
  <c r="U940" i="23"/>
  <c r="W940" i="23" s="1"/>
  <c r="P941" i="23" s="1"/>
  <c r="Q941" i="23" s="1"/>
  <c r="K89" i="23"/>
  <c r="L89" i="23" s="1"/>
  <c r="R1381" i="23"/>
  <c r="U1381" i="23" s="1"/>
  <c r="W1381" i="23" s="1"/>
  <c r="P1382" i="23" s="1"/>
  <c r="Q1382" i="23" s="1"/>
  <c r="K1823" i="23"/>
  <c r="L1823" i="23" s="1"/>
  <c r="M1823" i="23" s="1"/>
  <c r="N1823" i="23" s="1"/>
  <c r="H1824" i="23" s="1"/>
  <c r="H1382" i="23"/>
  <c r="J1381" i="23"/>
  <c r="R1841" i="23"/>
  <c r="U1841" i="23" s="1"/>
  <c r="U1840" i="23"/>
  <c r="H1841" i="23"/>
  <c r="O1840" i="23"/>
  <c r="J1840" i="23"/>
  <c r="W1839" i="23"/>
  <c r="P1840" i="23" s="1"/>
  <c r="Q1840" i="23" s="1"/>
  <c r="O868" i="23"/>
  <c r="J868" i="23"/>
  <c r="W1237" i="23"/>
  <c r="P1238" i="23" s="1"/>
  <c r="Q1238" i="23" s="1"/>
  <c r="H869" i="23"/>
  <c r="K869" i="23" s="1"/>
  <c r="L869" i="23" s="1"/>
  <c r="M869" i="23" s="1"/>
  <c r="N869" i="23" s="1"/>
  <c r="J1794" i="23"/>
  <c r="O1794" i="23"/>
  <c r="H1795" i="23"/>
  <c r="M1795" i="23" s="1"/>
  <c r="N1795" i="23" s="1"/>
  <c r="R1794" i="23"/>
  <c r="U1751" i="23"/>
  <c r="W1751" i="23" s="1"/>
  <c r="P1752" i="23" s="1"/>
  <c r="Q1752" i="23" s="1"/>
  <c r="R1752" i="23"/>
  <c r="M1752" i="23"/>
  <c r="N1752" i="23" s="1"/>
  <c r="U1545" i="23"/>
  <c r="W1545" i="23" s="1"/>
  <c r="P1546" i="23" s="1"/>
  <c r="Q1546" i="23" s="1"/>
  <c r="R1546" i="23"/>
  <c r="O1545" i="23"/>
  <c r="H1546" i="23"/>
  <c r="M1546" i="23" s="1"/>
  <c r="N1546" i="23" s="1"/>
  <c r="J1545" i="23"/>
  <c r="W311" i="23"/>
  <c r="P312" i="23" s="1"/>
  <c r="Q312" i="23" s="1"/>
  <c r="R1457" i="23"/>
  <c r="H1458" i="23"/>
  <c r="O1457" i="23"/>
  <c r="J1457" i="23"/>
  <c r="AI227" i="34"/>
  <c r="U1357" i="23"/>
  <c r="W1357" i="23" s="1"/>
  <c r="P1358" i="23" s="1"/>
  <c r="Q1358" i="23" s="1"/>
  <c r="R1358" i="23"/>
  <c r="H1359" i="23"/>
  <c r="M1359" i="23" s="1"/>
  <c r="N1359" i="23" s="1"/>
  <c r="J1358" i="23"/>
  <c r="O1358" i="23"/>
  <c r="M1332" i="23"/>
  <c r="N1332" i="23" s="1"/>
  <c r="R1332" i="23" s="1"/>
  <c r="K1259" i="23"/>
  <c r="L1259" i="23" s="1"/>
  <c r="M1259" i="23" s="1"/>
  <c r="N1259" i="23" s="1"/>
  <c r="H1260" i="23" s="1"/>
  <c r="W1213" i="23"/>
  <c r="P1214" i="23" s="1"/>
  <c r="Q1214" i="23" s="1"/>
  <c r="U1214" i="23"/>
  <c r="R1215" i="23"/>
  <c r="H1215" i="23"/>
  <c r="M1215" i="23" s="1"/>
  <c r="N1215" i="23" s="1"/>
  <c r="O1214" i="23"/>
  <c r="J1214" i="23"/>
  <c r="W501" i="23"/>
  <c r="P502" i="23" s="1"/>
  <c r="Q502" i="23" s="1"/>
  <c r="O1113" i="23"/>
  <c r="J1113" i="23"/>
  <c r="W1111" i="23"/>
  <c r="P1112" i="23" s="1"/>
  <c r="Q1112" i="23" s="1"/>
  <c r="U1112" i="23"/>
  <c r="AI238" i="34" s="1"/>
  <c r="R1113" i="23"/>
  <c r="U1113" i="23" s="1"/>
  <c r="H524" i="23"/>
  <c r="R523" i="23"/>
  <c r="U523" i="23" s="1"/>
  <c r="W523" i="23" s="1"/>
  <c r="P524" i="23" s="1"/>
  <c r="Q524" i="23" s="1"/>
  <c r="O523" i="23"/>
  <c r="W1043" i="23"/>
  <c r="W745" i="23"/>
  <c r="P746" i="23" s="1"/>
  <c r="Q746" i="23" s="1"/>
  <c r="AB240" i="22"/>
  <c r="R747" i="23"/>
  <c r="U746" i="23"/>
  <c r="J747" i="23"/>
  <c r="H748" i="23"/>
  <c r="M748" i="23" s="1"/>
  <c r="N748" i="23" s="1"/>
  <c r="O747" i="23"/>
  <c r="K546" i="23"/>
  <c r="L546" i="23" s="1"/>
  <c r="M546" i="23" s="1"/>
  <c r="N546" i="23" s="1"/>
  <c r="J546" i="23" s="1"/>
  <c r="AB115" i="22"/>
  <c r="W592" i="23"/>
  <c r="P593" i="23" s="1"/>
  <c r="Q593" i="23" s="1"/>
  <c r="W458" i="23"/>
  <c r="P459" i="23" s="1"/>
  <c r="Q459" i="23" s="1"/>
  <c r="W459" i="23" s="1"/>
  <c r="P460" i="23" s="1"/>
  <c r="Q460" i="23" s="1"/>
  <c r="U660" i="23"/>
  <c r="AI165" i="34" s="1"/>
  <c r="R661" i="23"/>
  <c r="U661" i="23" s="1"/>
  <c r="W566" i="23"/>
  <c r="P567" i="23" s="1"/>
  <c r="Q567" i="23" s="1"/>
  <c r="AB166" i="22"/>
  <c r="W439" i="23"/>
  <c r="P440" i="23" s="1"/>
  <c r="Q440" i="23" s="1"/>
  <c r="W414" i="23"/>
  <c r="P415" i="23" s="1"/>
  <c r="Q415" i="23" s="1"/>
  <c r="O395" i="23"/>
  <c r="H396" i="23"/>
  <c r="M396" i="23" s="1"/>
  <c r="N396" i="23" s="1"/>
  <c r="J395" i="23"/>
  <c r="W334" i="23"/>
  <c r="P335" i="23" s="1"/>
  <c r="Q335" i="23" s="1"/>
  <c r="W335" i="23" s="1"/>
  <c r="P336" i="23" s="1"/>
  <c r="Q336" i="23" s="1"/>
  <c r="W336" i="23" s="1"/>
  <c r="P337" i="23" s="1"/>
  <c r="Q337" i="23" s="1"/>
  <c r="W337" i="23" s="1"/>
  <c r="P338" i="23" s="1"/>
  <c r="Q338" i="23" s="1"/>
  <c r="W338" i="23" s="1"/>
  <c r="P339" i="23" s="1"/>
  <c r="Q339" i="23" s="1"/>
  <c r="W339" i="23" s="1"/>
  <c r="P340" i="23" s="1"/>
  <c r="Q340" i="23" s="1"/>
  <c r="W340" i="23" s="1"/>
  <c r="P341" i="23" s="1"/>
  <c r="Q341" i="23" s="1"/>
  <c r="W341" i="23" s="1"/>
  <c r="O332" i="23"/>
  <c r="J332" i="23"/>
  <c r="H333" i="23"/>
  <c r="M333" i="23" s="1"/>
  <c r="N333" i="23" s="1"/>
  <c r="R179" i="23"/>
  <c r="U179" i="23" s="1"/>
  <c r="O310" i="23"/>
  <c r="H311" i="23"/>
  <c r="J310" i="23"/>
  <c r="M261" i="23"/>
  <c r="N261" i="23" s="1"/>
  <c r="W178" i="23"/>
  <c r="P179" i="23" s="1"/>
  <c r="Q179" i="23" s="1"/>
  <c r="T206" i="23"/>
  <c r="A206" i="23"/>
  <c r="M179" i="23"/>
  <c r="N179" i="23" s="1"/>
  <c r="R121" i="23"/>
  <c r="U121" i="23" s="1"/>
  <c r="U120" i="23"/>
  <c r="W119" i="23"/>
  <c r="P120" i="23" s="1"/>
  <c r="Q120" i="23" s="1"/>
  <c r="M120" i="23"/>
  <c r="N120" i="23" s="1"/>
  <c r="O158" i="23"/>
  <c r="O42" i="23"/>
  <c r="J42" i="23"/>
  <c r="H43" i="23"/>
  <c r="K1704" i="23"/>
  <c r="L1704" i="23" s="1"/>
  <c r="M1704" i="23" s="1"/>
  <c r="N1704" i="23" s="1"/>
  <c r="O1704" i="23" s="1"/>
  <c r="W1499" i="23"/>
  <c r="P1500" i="23" s="1"/>
  <c r="Q1500" i="23" s="1"/>
  <c r="M138" i="23"/>
  <c r="N138" i="23" s="1"/>
  <c r="R138" i="23" s="1"/>
  <c r="T295" i="23"/>
  <c r="T296" i="23"/>
  <c r="A295" i="23"/>
  <c r="U1009" i="23"/>
  <c r="R1010" i="23"/>
  <c r="O1010" i="23"/>
  <c r="H1011" i="23"/>
  <c r="M1011" i="23" s="1"/>
  <c r="N1011" i="23" s="1"/>
  <c r="J1010" i="23"/>
  <c r="AD1883" i="23"/>
  <c r="AD1884" i="23" s="1"/>
  <c r="W1887" i="23"/>
  <c r="K917" i="23"/>
  <c r="L917" i="23" s="1"/>
  <c r="M917" i="23" s="1"/>
  <c r="K1149" i="23"/>
  <c r="L1149" i="23" s="1"/>
  <c r="O1482" i="23"/>
  <c r="J1482" i="23"/>
  <c r="M1486" i="23"/>
  <c r="N1486" i="23" s="1"/>
  <c r="M765" i="23"/>
  <c r="N765" i="23" s="1"/>
  <c r="R1405" i="23"/>
  <c r="U1405" i="23" s="1"/>
  <c r="J1280" i="23"/>
  <c r="O1280" i="23"/>
  <c r="H1281" i="23"/>
  <c r="M1281" i="23" s="1"/>
  <c r="K821" i="23"/>
  <c r="L821" i="23" s="1"/>
  <c r="M821" i="23" s="1"/>
  <c r="N821" i="23" s="1"/>
  <c r="R821" i="23" s="1"/>
  <c r="H1133" i="23"/>
  <c r="J1132" i="23"/>
  <c r="O1132" i="23"/>
  <c r="R1133" i="23"/>
  <c r="U1132" i="23"/>
  <c r="W1132" i="23" s="1"/>
  <c r="P1133" i="23" s="1"/>
  <c r="Q1133" i="23" s="1"/>
  <c r="H1406" i="23"/>
  <c r="M1406" i="23" s="1"/>
  <c r="J1405" i="23"/>
  <c r="O1430" i="23"/>
  <c r="R1430" i="23"/>
  <c r="U1430" i="23" s="1"/>
  <c r="J1430" i="23"/>
  <c r="O1405" i="23"/>
  <c r="W1404" i="23"/>
  <c r="P1405" i="23" s="1"/>
  <c r="Q1405" i="23" s="1"/>
  <c r="O985" i="23"/>
  <c r="R985" i="23"/>
  <c r="R986" i="23" s="1"/>
  <c r="U986" i="23" s="1"/>
  <c r="H986" i="23"/>
  <c r="M986" i="23" s="1"/>
  <c r="N986" i="23" s="1"/>
  <c r="H987" i="23" s="1"/>
  <c r="AI275" i="34"/>
  <c r="K1728" i="23"/>
  <c r="L1728" i="23" s="1"/>
  <c r="U1191" i="23"/>
  <c r="R1192" i="23"/>
  <c r="U1192" i="23" s="1"/>
  <c r="H1192" i="23"/>
  <c r="M1192" i="23" s="1"/>
  <c r="N1192" i="23" s="1"/>
  <c r="J1191" i="23"/>
  <c r="O1191" i="23"/>
  <c r="H963" i="23"/>
  <c r="M963" i="23" s="1"/>
  <c r="N963" i="23" s="1"/>
  <c r="J962" i="23"/>
  <c r="O962" i="23"/>
  <c r="R962" i="23"/>
  <c r="H846" i="23"/>
  <c r="M846" i="23" s="1"/>
  <c r="N846" i="23" s="1"/>
  <c r="J845" i="23"/>
  <c r="O845" i="23"/>
  <c r="R845" i="23"/>
  <c r="K700" i="23"/>
  <c r="L700" i="23" s="1"/>
  <c r="M700" i="23" s="1"/>
  <c r="N700" i="23" s="1"/>
  <c r="N635" i="23"/>
  <c r="R635" i="23" s="1"/>
  <c r="M502" i="23"/>
  <c r="N502" i="23" s="1"/>
  <c r="R503" i="23"/>
  <c r="U502" i="23"/>
  <c r="O414" i="23"/>
  <c r="H415" i="23"/>
  <c r="J414" i="23"/>
  <c r="R313" i="23"/>
  <c r="U312" i="23"/>
  <c r="N287" i="23"/>
  <c r="R287" i="23" s="1"/>
  <c r="P200" i="23"/>
  <c r="Q200" i="23" s="1"/>
  <c r="K200" i="23"/>
  <c r="L200" i="23" s="1"/>
  <c r="M200" i="23" s="1"/>
  <c r="S207" i="23"/>
  <c r="A207" i="23" s="1"/>
  <c r="V207" i="23"/>
  <c r="O61" i="23"/>
  <c r="J61" i="23"/>
  <c r="H62" i="23"/>
  <c r="U61" i="23"/>
  <c r="R62" i="23"/>
  <c r="U62" i="23" s="1"/>
  <c r="H594" i="23"/>
  <c r="M594" i="23" s="1"/>
  <c r="N594" i="23" s="1"/>
  <c r="J593" i="23"/>
  <c r="O593" i="23"/>
  <c r="R594" i="23"/>
  <c r="U593" i="23"/>
  <c r="O1641" i="23"/>
  <c r="J1641" i="23"/>
  <c r="U1238" i="23"/>
  <c r="R1239" i="23"/>
  <c r="H1240" i="23"/>
  <c r="M1240" i="23" s="1"/>
  <c r="N1240" i="23" s="1"/>
  <c r="J1239" i="23"/>
  <c r="O1239" i="23"/>
  <c r="K1643" i="23"/>
  <c r="L1643" i="23" s="1"/>
  <c r="H1173" i="23"/>
  <c r="J1172" i="23"/>
  <c r="O1172" i="23"/>
  <c r="R1172" i="23"/>
  <c r="M723" i="23"/>
  <c r="N723" i="23" s="1"/>
  <c r="U403" i="23"/>
  <c r="W403" i="23" s="1"/>
  <c r="J223" i="23"/>
  <c r="O223" i="23"/>
  <c r="R223" i="23"/>
  <c r="U223" i="23" s="1"/>
  <c r="W223" i="23" s="1"/>
  <c r="P224" i="23" s="1"/>
  <c r="Q224" i="23" s="1"/>
  <c r="U440" i="23"/>
  <c r="R441" i="23"/>
  <c r="U441" i="23" s="1"/>
  <c r="U159" i="23"/>
  <c r="W159" i="23" s="1"/>
  <c r="P160" i="23" s="1"/>
  <c r="Q160" i="23" s="1"/>
  <c r="R160" i="23"/>
  <c r="W892" i="23"/>
  <c r="M1594" i="23"/>
  <c r="N1594" i="23" s="1"/>
  <c r="W1572" i="23"/>
  <c r="P1573" i="23" s="1"/>
  <c r="Q1573" i="23" s="1"/>
  <c r="M1618" i="23"/>
  <c r="N1618" i="23" s="1"/>
  <c r="R1618" i="23" s="1"/>
  <c r="U784" i="23"/>
  <c r="W784" i="23" s="1"/>
  <c r="P785" i="23" s="1"/>
  <c r="Q785" i="23" s="1"/>
  <c r="R785" i="23"/>
  <c r="U785" i="23" s="1"/>
  <c r="U1295" i="23"/>
  <c r="R1296" i="23"/>
  <c r="R1297" i="23" s="1"/>
  <c r="U1297" i="23" s="1"/>
  <c r="M1296" i="23"/>
  <c r="N1296" i="23" s="1"/>
  <c r="H1297" i="23" s="1"/>
  <c r="M1297" i="23" s="1"/>
  <c r="N1297" i="23" s="1"/>
  <c r="J1574" i="23"/>
  <c r="O1574" i="23"/>
  <c r="U1573" i="23"/>
  <c r="R1574" i="23"/>
  <c r="U1574" i="23" s="1"/>
  <c r="W1662" i="23"/>
  <c r="P1663" i="23" s="1"/>
  <c r="Q1663" i="23" s="1"/>
  <c r="H785" i="23"/>
  <c r="M785" i="23" s="1"/>
  <c r="N785" i="23" s="1"/>
  <c r="H786" i="23" s="1"/>
  <c r="J784" i="23"/>
  <c r="O784" i="23"/>
  <c r="U805" i="23"/>
  <c r="W805" i="23" s="1"/>
  <c r="P806" i="23" s="1"/>
  <c r="Q806" i="23" s="1"/>
  <c r="R677" i="23"/>
  <c r="U242" i="23"/>
  <c r="R243" i="23"/>
  <c r="U243" i="23" s="1"/>
  <c r="O242" i="23"/>
  <c r="J242" i="23"/>
  <c r="O1312" i="23"/>
  <c r="J1312" i="23"/>
  <c r="H1313" i="23"/>
  <c r="R1312" i="23"/>
  <c r="U1312" i="23" s="1"/>
  <c r="M805" i="23"/>
  <c r="N805" i="23" s="1"/>
  <c r="U806" i="23"/>
  <c r="R807" i="23"/>
  <c r="R808" i="23" s="1"/>
  <c r="U808" i="23" s="1"/>
  <c r="N1662" i="23"/>
  <c r="U1663" i="23"/>
  <c r="AB491" i="22" s="1"/>
  <c r="R1664" i="23"/>
  <c r="U1664" i="23" s="1"/>
  <c r="N1666" i="23"/>
  <c r="O354" i="23"/>
  <c r="J354" i="23"/>
  <c r="H355" i="23"/>
  <c r="W353" i="23"/>
  <c r="P354" i="23" s="1"/>
  <c r="Q354" i="23" s="1"/>
  <c r="W354" i="23" s="1"/>
  <c r="P355" i="23" s="1"/>
  <c r="Q355" i="23" s="1"/>
  <c r="M1778" i="23"/>
  <c r="N1778" i="23" s="1"/>
  <c r="U1777" i="23"/>
  <c r="W1777" i="23" s="1"/>
  <c r="P1778" i="23" s="1"/>
  <c r="Q1778" i="23" s="1"/>
  <c r="R1778" i="23"/>
  <c r="J1777" i="23"/>
  <c r="O1777" i="23"/>
  <c r="O678" i="23"/>
  <c r="J678" i="23"/>
  <c r="H679" i="23"/>
  <c r="M679" i="23" s="1"/>
  <c r="N679" i="23" s="1"/>
  <c r="H680" i="23" s="1"/>
  <c r="M680" i="23" s="1"/>
  <c r="N680" i="23" s="1"/>
  <c r="W1280" i="23"/>
  <c r="P1281" i="23" s="1"/>
  <c r="Q1281" i="23" s="1"/>
  <c r="W1281" i="23" s="1"/>
  <c r="P1282" i="23" s="1"/>
  <c r="Q1282" i="23" s="1"/>
  <c r="O1112" i="23"/>
  <c r="J1112" i="23"/>
  <c r="U1055" i="23"/>
  <c r="R1056" i="23"/>
  <c r="J1055" i="23"/>
  <c r="O1055" i="23"/>
  <c r="H1056" i="23"/>
  <c r="M1056" i="23" s="1"/>
  <c r="N1056" i="23" s="1"/>
  <c r="M1042" i="23"/>
  <c r="N1042" i="23" s="1"/>
  <c r="H1043" i="23" s="1"/>
  <c r="M1043" i="23" s="1"/>
  <c r="N1043" i="23" s="1"/>
  <c r="W659" i="23"/>
  <c r="P660" i="23" s="1"/>
  <c r="Q660" i="23" s="1"/>
  <c r="M616" i="23"/>
  <c r="N616" i="23" s="1"/>
  <c r="P46" i="23"/>
  <c r="Q46" i="23" s="1"/>
  <c r="K46" i="23"/>
  <c r="L46" i="23" s="1"/>
  <c r="M46" i="23" s="1"/>
  <c r="U481" i="23"/>
  <c r="W479" i="23"/>
  <c r="M483" i="23"/>
  <c r="N483" i="23" s="1"/>
  <c r="H484" i="23" s="1"/>
  <c r="M484" i="23" s="1"/>
  <c r="N484" i="23" s="1"/>
  <c r="H485" i="23" s="1"/>
  <c r="M485" i="23" s="1"/>
  <c r="N485" i="23" s="1"/>
  <c r="H13" i="23"/>
  <c r="M13" i="23" s="1"/>
  <c r="N13" i="23" s="1"/>
  <c r="O12" i="23"/>
  <c r="J12" i="23"/>
  <c r="J1686" i="23" l="1"/>
  <c r="O1686" i="23"/>
  <c r="W1238" i="23"/>
  <c r="P1239" i="23" s="1"/>
  <c r="Q1239" i="23" s="1"/>
  <c r="O940" i="23"/>
  <c r="H941" i="23"/>
  <c r="M941" i="23" s="1"/>
  <c r="N941" i="23" s="1"/>
  <c r="J940" i="23"/>
  <c r="U941" i="23"/>
  <c r="W941" i="23" s="1"/>
  <c r="P942" i="23" s="1"/>
  <c r="Q942" i="23" s="1"/>
  <c r="R942" i="23"/>
  <c r="M89" i="23"/>
  <c r="N89" i="23" s="1"/>
  <c r="R89" i="23" s="1"/>
  <c r="K1382" i="23"/>
  <c r="L1382" i="23" s="1"/>
  <c r="M1382" i="23" s="1"/>
  <c r="N1382" i="23" s="1"/>
  <c r="H1383" i="23" s="1"/>
  <c r="O1823" i="23"/>
  <c r="R1823" i="23"/>
  <c r="U1823" i="23" s="1"/>
  <c r="W1823" i="23" s="1"/>
  <c r="P1824" i="23" s="1"/>
  <c r="Q1824" i="23" s="1"/>
  <c r="J1823" i="23"/>
  <c r="M1841" i="23"/>
  <c r="N1841" i="23" s="1"/>
  <c r="W1840" i="23"/>
  <c r="P1841" i="23" s="1"/>
  <c r="Q1841" i="23" s="1"/>
  <c r="W1841" i="23" s="1"/>
  <c r="P1842" i="23" s="1"/>
  <c r="Q1842" i="23" s="1"/>
  <c r="K1824" i="23"/>
  <c r="L1824" i="23" s="1"/>
  <c r="M1824" i="23" s="1"/>
  <c r="N1824" i="23" s="1"/>
  <c r="U1794" i="23"/>
  <c r="R1795" i="23"/>
  <c r="O1795" i="23"/>
  <c r="H1796" i="23"/>
  <c r="J1795" i="23"/>
  <c r="O1752" i="23"/>
  <c r="H1753" i="23"/>
  <c r="J1752" i="23"/>
  <c r="R1753" i="23"/>
  <c r="U1753" i="23" s="1"/>
  <c r="U1752" i="23"/>
  <c r="W1752" i="23" s="1"/>
  <c r="P1753" i="23" s="1"/>
  <c r="Q1753" i="23" s="1"/>
  <c r="H1547" i="23"/>
  <c r="M1547" i="23" s="1"/>
  <c r="N1547" i="23" s="1"/>
  <c r="J1546" i="23"/>
  <c r="O1546" i="23"/>
  <c r="R1547" i="23"/>
  <c r="U1546" i="23"/>
  <c r="W1546" i="23" s="1"/>
  <c r="P1547" i="23" s="1"/>
  <c r="Q1547" i="23" s="1"/>
  <c r="M1458" i="23"/>
  <c r="N1458" i="23" s="1"/>
  <c r="U1457" i="23"/>
  <c r="W1457" i="23" s="1"/>
  <c r="P1458" i="23" s="1"/>
  <c r="Q1458" i="23" s="1"/>
  <c r="R1458" i="23"/>
  <c r="J1359" i="23"/>
  <c r="O1359" i="23"/>
  <c r="H1360" i="23"/>
  <c r="R1359" i="23"/>
  <c r="U1358" i="23"/>
  <c r="W1358" i="23" s="1"/>
  <c r="P1359" i="23" s="1"/>
  <c r="Q1359" i="23" s="1"/>
  <c r="U1332" i="23"/>
  <c r="W1332" i="23" s="1"/>
  <c r="P1333" i="23" s="1"/>
  <c r="Q1333" i="23" s="1"/>
  <c r="R1333" i="23"/>
  <c r="O1332" i="23"/>
  <c r="H1333" i="23"/>
  <c r="J1332" i="23"/>
  <c r="W502" i="23"/>
  <c r="P503" i="23" s="1"/>
  <c r="Q503" i="23" s="1"/>
  <c r="R1259" i="23"/>
  <c r="U1259" i="23" s="1"/>
  <c r="W1259" i="23" s="1"/>
  <c r="P1260" i="23" s="1"/>
  <c r="Q1260" i="23" s="1"/>
  <c r="J1259" i="23"/>
  <c r="O1259" i="23"/>
  <c r="W1312" i="23"/>
  <c r="P1313" i="23" s="1"/>
  <c r="Q1313" i="23" s="1"/>
  <c r="AB394" i="22"/>
  <c r="J1297" i="23"/>
  <c r="O1297" i="23"/>
  <c r="W1214" i="23"/>
  <c r="P1215" i="23" s="1"/>
  <c r="Q1215" i="23" s="1"/>
  <c r="U1116" i="23"/>
  <c r="W1116" i="23" s="1"/>
  <c r="J1215" i="23"/>
  <c r="H1216" i="23"/>
  <c r="M1216" i="23" s="1"/>
  <c r="N1216" i="23" s="1"/>
  <c r="O1215" i="23"/>
  <c r="W1112" i="23"/>
  <c r="P1113" i="23" s="1"/>
  <c r="Q1113" i="23" s="1"/>
  <c r="W1113" i="23" s="1"/>
  <c r="R1216" i="23"/>
  <c r="U1215" i="23"/>
  <c r="K567" i="23"/>
  <c r="L567" i="23" s="1"/>
  <c r="M567" i="23" s="1"/>
  <c r="N567" i="23" s="1"/>
  <c r="W1191" i="23"/>
  <c r="P1192" i="23" s="1"/>
  <c r="Q1192" i="23" s="1"/>
  <c r="W1192" i="23" s="1"/>
  <c r="P1193" i="23" s="1"/>
  <c r="Q1193" i="23" s="1"/>
  <c r="H547" i="23"/>
  <c r="W593" i="23"/>
  <c r="P594" i="23" s="1"/>
  <c r="Q594" i="23" s="1"/>
  <c r="J1043" i="23"/>
  <c r="O1043" i="23"/>
  <c r="R546" i="23"/>
  <c r="U546" i="23" s="1"/>
  <c r="W660" i="23"/>
  <c r="P661" i="23" s="1"/>
  <c r="Q661" i="23" s="1"/>
  <c r="W661" i="23" s="1"/>
  <c r="O546" i="23"/>
  <c r="W746" i="23"/>
  <c r="P747" i="23" s="1"/>
  <c r="Q747" i="23" s="1"/>
  <c r="H749" i="23"/>
  <c r="M749" i="23" s="1"/>
  <c r="N749" i="23" s="1"/>
  <c r="O748" i="23"/>
  <c r="J748" i="23"/>
  <c r="R180" i="23"/>
  <c r="R181" i="23" s="1"/>
  <c r="R748" i="23"/>
  <c r="U747" i="23"/>
  <c r="W676" i="23"/>
  <c r="P677" i="23" s="1"/>
  <c r="Q677" i="23" s="1"/>
  <c r="U666" i="23"/>
  <c r="W666" i="23" s="1"/>
  <c r="W440" i="23"/>
  <c r="P441" i="23" s="1"/>
  <c r="Q441" i="23" s="1"/>
  <c r="R616" i="23"/>
  <c r="H617" i="23"/>
  <c r="M617" i="23" s="1"/>
  <c r="N617" i="23" s="1"/>
  <c r="W179" i="23"/>
  <c r="P180" i="23" s="1"/>
  <c r="Q180" i="23" s="1"/>
  <c r="W546" i="23"/>
  <c r="P547" i="23" s="1"/>
  <c r="Q547" i="23" s="1"/>
  <c r="K524" i="23"/>
  <c r="L524" i="23" s="1"/>
  <c r="M524" i="23" s="1"/>
  <c r="N524" i="23" s="1"/>
  <c r="J524" i="23" s="1"/>
  <c r="AB151" i="22"/>
  <c r="J485" i="23"/>
  <c r="O485" i="23"/>
  <c r="J396" i="23"/>
  <c r="O396" i="23"/>
  <c r="H334" i="23"/>
  <c r="O333" i="23"/>
  <c r="J333" i="23"/>
  <c r="AE997" i="22"/>
  <c r="H262" i="23"/>
  <c r="J261" i="23"/>
  <c r="O261" i="23"/>
  <c r="R261" i="23"/>
  <c r="W312" i="23"/>
  <c r="P313" i="23" s="1"/>
  <c r="Q313" i="23" s="1"/>
  <c r="AB110" i="22"/>
  <c r="M311" i="23"/>
  <c r="N311" i="23" s="1"/>
  <c r="W242" i="23"/>
  <c r="P243" i="23" s="1"/>
  <c r="Q243" i="23" s="1"/>
  <c r="W243" i="23" s="1"/>
  <c r="P244" i="23" s="1"/>
  <c r="Q244" i="23" s="1"/>
  <c r="W120" i="23"/>
  <c r="P121" i="23" s="1"/>
  <c r="Q121" i="23" s="1"/>
  <c r="W121" i="23" s="1"/>
  <c r="P122" i="23" s="1"/>
  <c r="Q122" i="23" s="1"/>
  <c r="R122" i="23" s="1"/>
  <c r="U122" i="23" s="1"/>
  <c r="W122" i="23" s="1"/>
  <c r="P123" i="23" s="1"/>
  <c r="Q123" i="23" s="1"/>
  <c r="N200" i="23"/>
  <c r="H180" i="23"/>
  <c r="J179" i="23"/>
  <c r="O179" i="23"/>
  <c r="O120" i="23"/>
  <c r="J120" i="23"/>
  <c r="H121" i="23"/>
  <c r="M121" i="23" s="1"/>
  <c r="N121" i="23" s="1"/>
  <c r="AE1001" i="22"/>
  <c r="AF391" i="22"/>
  <c r="W61" i="23"/>
  <c r="P62" i="23" s="1"/>
  <c r="Q62" i="23" s="1"/>
  <c r="W62" i="23" s="1"/>
  <c r="P63" i="23" s="1"/>
  <c r="Q63" i="23" s="1"/>
  <c r="AH627" i="22"/>
  <c r="AH374" i="22"/>
  <c r="AC521" i="22"/>
  <c r="AE252" i="22"/>
  <c r="AG374" i="22"/>
  <c r="AF627" i="22"/>
  <c r="K1500" i="23"/>
  <c r="L1500" i="23" s="1"/>
  <c r="M1500" i="23" s="1"/>
  <c r="N1500" i="23" s="1"/>
  <c r="R1500" i="23" s="1"/>
  <c r="AE980" i="22"/>
  <c r="AE627" i="22"/>
  <c r="AE391" i="22"/>
  <c r="AC627" i="22"/>
  <c r="AF252" i="22"/>
  <c r="AH252" i="22"/>
  <c r="AC391" i="22"/>
  <c r="AG627" i="22"/>
  <c r="AE995" i="22"/>
  <c r="AC252" i="22"/>
  <c r="AD391" i="22"/>
  <c r="AF374" i="22"/>
  <c r="AH391" i="22"/>
  <c r="AD627" i="22"/>
  <c r="AD252" i="22"/>
  <c r="M62" i="23"/>
  <c r="N62" i="23" s="1"/>
  <c r="M43" i="23"/>
  <c r="N43" i="23" s="1"/>
  <c r="AE999" i="22"/>
  <c r="AF995" i="22"/>
  <c r="AC1023" i="22"/>
  <c r="AB999" i="22"/>
  <c r="AE1023" i="22"/>
  <c r="AB1023" i="22"/>
  <c r="AB995" i="22"/>
  <c r="AD999" i="22"/>
  <c r="AC1001" i="22"/>
  <c r="AC999" i="22"/>
  <c r="AB908" i="22"/>
  <c r="AD995" i="22"/>
  <c r="AB946" i="22"/>
  <c r="AB840" i="22"/>
  <c r="AF1001" i="22"/>
  <c r="AC946" i="22"/>
  <c r="AB980" i="22"/>
  <c r="AB1001" i="22"/>
  <c r="AF1023" i="22"/>
  <c r="AC980" i="22"/>
  <c r="H1705" i="23"/>
  <c r="M1705" i="23" s="1"/>
  <c r="N1705" i="23" s="1"/>
  <c r="AF997" i="22"/>
  <c r="AD997" i="22"/>
  <c r="AF999" i="22"/>
  <c r="AD946" i="22"/>
  <c r="AD1023" i="22"/>
  <c r="AC997" i="22"/>
  <c r="AB997" i="22"/>
  <c r="AB870" i="22"/>
  <c r="AD980" i="22"/>
  <c r="AD1001" i="22"/>
  <c r="AC995" i="22"/>
  <c r="AC908" i="22"/>
  <c r="J1704" i="23"/>
  <c r="R1704" i="23"/>
  <c r="U138" i="23"/>
  <c r="W138" i="23" s="1"/>
  <c r="P139" i="23" s="1"/>
  <c r="Q139" i="23" s="1"/>
  <c r="R139" i="23"/>
  <c r="U985" i="23"/>
  <c r="R1406" i="23"/>
  <c r="U1406" i="23" s="1"/>
  <c r="H139" i="23"/>
  <c r="J138" i="23"/>
  <c r="O138" i="23"/>
  <c r="H1012" i="23"/>
  <c r="J1011" i="23"/>
  <c r="O1011" i="23"/>
  <c r="U1010" i="23"/>
  <c r="R1011" i="23"/>
  <c r="U1011" i="23" s="1"/>
  <c r="W1009" i="23"/>
  <c r="P1010" i="23" s="1"/>
  <c r="Q1010" i="23" s="1"/>
  <c r="AD1885" i="23"/>
  <c r="N917" i="23"/>
  <c r="R917" i="23" s="1"/>
  <c r="M1149" i="23"/>
  <c r="N1149" i="23" s="1"/>
  <c r="H1487" i="23"/>
  <c r="O1486" i="23"/>
  <c r="J1486" i="23"/>
  <c r="J765" i="23"/>
  <c r="O765" i="23"/>
  <c r="H766" i="23"/>
  <c r="W1405" i="23"/>
  <c r="P1406" i="23" s="1"/>
  <c r="Q1406" i="23" s="1"/>
  <c r="N1281" i="23"/>
  <c r="H1282" i="23" s="1"/>
  <c r="U1133" i="23"/>
  <c r="W1133" i="23" s="1"/>
  <c r="P1134" i="23" s="1"/>
  <c r="Q1134" i="23" s="1"/>
  <c r="R1134" i="23"/>
  <c r="U1134" i="23" s="1"/>
  <c r="M1133" i="23"/>
  <c r="N1133" i="23" s="1"/>
  <c r="N1406" i="23"/>
  <c r="O1406" i="23" s="1"/>
  <c r="W1430" i="23"/>
  <c r="O986" i="23"/>
  <c r="K547" i="23"/>
  <c r="L547" i="23" s="1"/>
  <c r="M547" i="23" s="1"/>
  <c r="N547" i="23" s="1"/>
  <c r="R547" i="23" s="1"/>
  <c r="U547" i="23" s="1"/>
  <c r="W547" i="23" s="1"/>
  <c r="P548" i="23" s="1"/>
  <c r="Q548" i="23" s="1"/>
  <c r="J986" i="23"/>
  <c r="AI185" i="34"/>
  <c r="M1728" i="23"/>
  <c r="N1728" i="23" s="1"/>
  <c r="H1193" i="23"/>
  <c r="J1192" i="23"/>
  <c r="O1192" i="23"/>
  <c r="U962" i="23"/>
  <c r="R963" i="23"/>
  <c r="O963" i="23"/>
  <c r="H964" i="23"/>
  <c r="M964" i="23" s="1"/>
  <c r="N964" i="23" s="1"/>
  <c r="J963" i="23"/>
  <c r="O821" i="23"/>
  <c r="J821" i="23"/>
  <c r="H822" i="23"/>
  <c r="U845" i="23"/>
  <c r="R846" i="23"/>
  <c r="U821" i="23"/>
  <c r="R822" i="23"/>
  <c r="J846" i="23"/>
  <c r="O846" i="23"/>
  <c r="H847" i="23"/>
  <c r="M847" i="23" s="1"/>
  <c r="N847" i="23" s="1"/>
  <c r="R567" i="23"/>
  <c r="U567" i="23" s="1"/>
  <c r="U635" i="23"/>
  <c r="R636" i="23"/>
  <c r="U636" i="23" s="1"/>
  <c r="AC216" i="22" s="1"/>
  <c r="H701" i="23"/>
  <c r="M701" i="23" s="1"/>
  <c r="N701" i="23" s="1"/>
  <c r="J700" i="23"/>
  <c r="O700" i="23"/>
  <c r="H636" i="23"/>
  <c r="J635" i="23"/>
  <c r="O635" i="23"/>
  <c r="R700" i="23"/>
  <c r="J567" i="23"/>
  <c r="O567" i="23"/>
  <c r="H568" i="23"/>
  <c r="O502" i="23"/>
  <c r="H503" i="23"/>
  <c r="M503" i="23" s="1"/>
  <c r="N503" i="23" s="1"/>
  <c r="J502" i="23"/>
  <c r="U503" i="23"/>
  <c r="W503" i="23" s="1"/>
  <c r="P504" i="23" s="1"/>
  <c r="Q504" i="23" s="1"/>
  <c r="R504" i="23"/>
  <c r="K415" i="23"/>
  <c r="L415" i="23" s="1"/>
  <c r="M415" i="23" s="1"/>
  <c r="N415" i="23" s="1"/>
  <c r="U313" i="23"/>
  <c r="R314" i="23"/>
  <c r="U314" i="23" s="1"/>
  <c r="U287" i="23"/>
  <c r="R288" i="23"/>
  <c r="O287" i="23"/>
  <c r="H288" i="23"/>
  <c r="J287" i="23"/>
  <c r="T207" i="23"/>
  <c r="T208" i="23"/>
  <c r="U180" i="23"/>
  <c r="W180" i="23" s="1"/>
  <c r="P181" i="23" s="1"/>
  <c r="Q181" i="23" s="1"/>
  <c r="R869" i="23"/>
  <c r="J869" i="23"/>
  <c r="O869" i="23"/>
  <c r="H870" i="23"/>
  <c r="U594" i="23"/>
  <c r="W594" i="23" s="1"/>
  <c r="P595" i="23" s="1"/>
  <c r="Q595" i="23" s="1"/>
  <c r="R595" i="23"/>
  <c r="H595" i="23"/>
  <c r="J594" i="23"/>
  <c r="O594" i="23"/>
  <c r="U261" i="23"/>
  <c r="K1642" i="23"/>
  <c r="L1642" i="23" s="1"/>
  <c r="M1642" i="23" s="1"/>
  <c r="N1642" i="23" s="1"/>
  <c r="U1239" i="23"/>
  <c r="R1240" i="23"/>
  <c r="J1240" i="23"/>
  <c r="O1240" i="23"/>
  <c r="H1241" i="23"/>
  <c r="M1241" i="23" s="1"/>
  <c r="N1241" i="23" s="1"/>
  <c r="U1172" i="23"/>
  <c r="W1172" i="23" s="1"/>
  <c r="P1173" i="23" s="1"/>
  <c r="Q1173" i="23" s="1"/>
  <c r="R1173" i="23"/>
  <c r="U1173" i="23" s="1"/>
  <c r="M1173" i="23"/>
  <c r="N1173" i="23" s="1"/>
  <c r="J723" i="23"/>
  <c r="H724" i="23"/>
  <c r="O723" i="23"/>
  <c r="AD395" i="23"/>
  <c r="AD397" i="23" s="1"/>
  <c r="L224" i="23"/>
  <c r="W441" i="23"/>
  <c r="P442" i="23" s="1"/>
  <c r="Q442" i="23" s="1"/>
  <c r="R442" i="23" s="1"/>
  <c r="R443" i="23" s="1"/>
  <c r="U443" i="23" s="1"/>
  <c r="R161" i="23"/>
  <c r="U161" i="23" s="1"/>
  <c r="U160" i="23"/>
  <c r="W160" i="23" s="1"/>
  <c r="P161" i="23" s="1"/>
  <c r="Q161" i="23" s="1"/>
  <c r="P893" i="23"/>
  <c r="Q893" i="23" s="1"/>
  <c r="K893" i="23"/>
  <c r="L893" i="23" s="1"/>
  <c r="M893" i="23" s="1"/>
  <c r="N893" i="23" s="1"/>
  <c r="W785" i="23"/>
  <c r="P786" i="23" s="1"/>
  <c r="Q786" i="23" s="1"/>
  <c r="H1595" i="23"/>
  <c r="O1594" i="23"/>
  <c r="J1594" i="23"/>
  <c r="W1573" i="23"/>
  <c r="P1574" i="23" s="1"/>
  <c r="Q1574" i="23" s="1"/>
  <c r="W1574" i="23" s="1"/>
  <c r="H1073" i="23"/>
  <c r="W1663" i="23"/>
  <c r="U1618" i="23"/>
  <c r="H1619" i="23"/>
  <c r="O1618" i="23"/>
  <c r="J1618" i="23"/>
  <c r="O1296" i="23"/>
  <c r="J1296" i="23"/>
  <c r="U1296" i="23"/>
  <c r="AG391" i="22" s="1"/>
  <c r="W1295" i="23"/>
  <c r="P1296" i="23" s="1"/>
  <c r="Q1296" i="23" s="1"/>
  <c r="J785" i="23"/>
  <c r="O785" i="23"/>
  <c r="R678" i="23"/>
  <c r="U677" i="23"/>
  <c r="W806" i="23"/>
  <c r="P807" i="23" s="1"/>
  <c r="Q807" i="23" s="1"/>
  <c r="K244" i="23"/>
  <c r="L244" i="23" s="1"/>
  <c r="K1313" i="23"/>
  <c r="L1313" i="23" s="1"/>
  <c r="M1313" i="23" s="1"/>
  <c r="N1313" i="23" s="1"/>
  <c r="J1313" i="23" s="1"/>
  <c r="U807" i="23"/>
  <c r="U810" i="23" s="1"/>
  <c r="W810" i="23" s="1"/>
  <c r="H806" i="23"/>
  <c r="J805" i="23"/>
  <c r="O805" i="23"/>
  <c r="H1663" i="23"/>
  <c r="M1663" i="23" s="1"/>
  <c r="J1662" i="23"/>
  <c r="O1662" i="23"/>
  <c r="O1666" i="23"/>
  <c r="J1666" i="23"/>
  <c r="K355" i="23"/>
  <c r="L355" i="23" s="1"/>
  <c r="M355" i="23" s="1"/>
  <c r="N355" i="23" s="1"/>
  <c r="H1779" i="23"/>
  <c r="M1779" i="23" s="1"/>
  <c r="N1779" i="23" s="1"/>
  <c r="H1780" i="23" s="1"/>
  <c r="J1778" i="23"/>
  <c r="O1778" i="23"/>
  <c r="U1778" i="23"/>
  <c r="W1778" i="23" s="1"/>
  <c r="P1779" i="23" s="1"/>
  <c r="Q1779" i="23" s="1"/>
  <c r="R1779" i="23"/>
  <c r="U1779" i="23" s="1"/>
  <c r="AE521" i="22" s="1"/>
  <c r="H681" i="23"/>
  <c r="M681" i="23" s="1"/>
  <c r="N681" i="23" s="1"/>
  <c r="O680" i="23"/>
  <c r="J680" i="23"/>
  <c r="O679" i="23"/>
  <c r="J679" i="23"/>
  <c r="U1056" i="23"/>
  <c r="R1057" i="23"/>
  <c r="O1056" i="23"/>
  <c r="H1057" i="23"/>
  <c r="M1057" i="23" s="1"/>
  <c r="N1057" i="23" s="1"/>
  <c r="H1058" i="23" s="1"/>
  <c r="M1058" i="23" s="1"/>
  <c r="N1058" i="23" s="1"/>
  <c r="J1056" i="23"/>
  <c r="W1055" i="23"/>
  <c r="P1056" i="23" s="1"/>
  <c r="Q1056" i="23" s="1"/>
  <c r="J1042" i="23"/>
  <c r="O1042" i="23"/>
  <c r="K460" i="23"/>
  <c r="L460" i="23" s="1"/>
  <c r="M460" i="23" s="1"/>
  <c r="N460" i="23" s="1"/>
  <c r="J460" i="23" s="1"/>
  <c r="J616" i="23"/>
  <c r="O616" i="23"/>
  <c r="J484" i="23"/>
  <c r="O484" i="23"/>
  <c r="N46" i="23"/>
  <c r="R46" i="23" s="1"/>
  <c r="U46" i="23" s="1"/>
  <c r="W46" i="23" s="1"/>
  <c r="P47" i="23" s="1"/>
  <c r="Q47" i="23" s="1"/>
  <c r="P480" i="23"/>
  <c r="Q480" i="23" s="1"/>
  <c r="W480" i="23" s="1"/>
  <c r="P481" i="23" s="1"/>
  <c r="Q481" i="23" s="1"/>
  <c r="U483" i="23"/>
  <c r="U482" i="23"/>
  <c r="J483" i="23"/>
  <c r="O483" i="23"/>
  <c r="U1534" i="23"/>
  <c r="W1534" i="23" s="1"/>
  <c r="H14" i="23"/>
  <c r="O13" i="23"/>
  <c r="J13" i="23"/>
  <c r="W313" i="23" l="1"/>
  <c r="P314" i="23" s="1"/>
  <c r="Q314" i="23" s="1"/>
  <c r="AJ165" i="34"/>
  <c r="AK165" i="34" s="1"/>
  <c r="AD660" i="23"/>
  <c r="H942" i="23"/>
  <c r="M942" i="23" s="1"/>
  <c r="N942" i="23" s="1"/>
  <c r="O941" i="23"/>
  <c r="J941" i="23"/>
  <c r="R943" i="23"/>
  <c r="U942" i="23"/>
  <c r="W942" i="23" s="1"/>
  <c r="P943" i="23" s="1"/>
  <c r="Q943" i="23" s="1"/>
  <c r="J89" i="23"/>
  <c r="O89" i="23"/>
  <c r="H90" i="23"/>
  <c r="U89" i="23"/>
  <c r="W89" i="23" s="1"/>
  <c r="P90" i="23" s="1"/>
  <c r="Q90" i="23" s="1"/>
  <c r="R90" i="23"/>
  <c r="R1382" i="23"/>
  <c r="J1382" i="23"/>
  <c r="W677" i="23"/>
  <c r="P678" i="23" s="1"/>
  <c r="Q678" i="23" s="1"/>
  <c r="O1382" i="23"/>
  <c r="AG1001" i="22"/>
  <c r="AH1001" i="22" s="1"/>
  <c r="AG995" i="22"/>
  <c r="AH995" i="22" s="1"/>
  <c r="AG999" i="22"/>
  <c r="AH999" i="22" s="1"/>
  <c r="AG997" i="22"/>
  <c r="AG1023" i="22"/>
  <c r="AF980" i="22"/>
  <c r="AG980" i="22" s="1"/>
  <c r="AH980" i="22" s="1"/>
  <c r="AE946" i="22"/>
  <c r="AF946" i="22" s="1"/>
  <c r="AC840" i="22"/>
  <c r="AD840" i="22" s="1"/>
  <c r="AC870" i="22"/>
  <c r="AD870" i="22" s="1"/>
  <c r="O524" i="23"/>
  <c r="H525" i="23"/>
  <c r="M525" i="23" s="1"/>
  <c r="N525" i="23" s="1"/>
  <c r="H526" i="23" s="1"/>
  <c r="M526" i="23" s="1"/>
  <c r="N526" i="23" s="1"/>
  <c r="R524" i="23"/>
  <c r="W1753" i="23"/>
  <c r="P1754" i="23" s="1"/>
  <c r="Q1754" i="23" s="1"/>
  <c r="J1841" i="23"/>
  <c r="O1841" i="23"/>
  <c r="H1842" i="23"/>
  <c r="K1842" i="23" s="1"/>
  <c r="L1842" i="23" s="1"/>
  <c r="H1825" i="23"/>
  <c r="M1825" i="23" s="1"/>
  <c r="N1825" i="23" s="1"/>
  <c r="O1824" i="23"/>
  <c r="J1824" i="23"/>
  <c r="R1824" i="23"/>
  <c r="M1796" i="23"/>
  <c r="N1796" i="23" s="1"/>
  <c r="U1795" i="23"/>
  <c r="R1796" i="23"/>
  <c r="W1794" i="23"/>
  <c r="P1795" i="23" s="1"/>
  <c r="Q1795" i="23" s="1"/>
  <c r="AD521" i="22"/>
  <c r="M1753" i="23"/>
  <c r="N1753" i="23" s="1"/>
  <c r="U1547" i="23"/>
  <c r="W1547" i="23" s="1"/>
  <c r="P1548" i="23" s="1"/>
  <c r="Q1548" i="23" s="1"/>
  <c r="R1548" i="23"/>
  <c r="J1547" i="23"/>
  <c r="O1547" i="23"/>
  <c r="H1548" i="23"/>
  <c r="U1458" i="23"/>
  <c r="W1458" i="23" s="1"/>
  <c r="P1459" i="23" s="1"/>
  <c r="Q1459" i="23" s="1"/>
  <c r="R1459" i="23"/>
  <c r="H1459" i="23"/>
  <c r="M1459" i="23" s="1"/>
  <c r="N1459" i="23" s="1"/>
  <c r="J1458" i="23"/>
  <c r="O1458" i="23"/>
  <c r="U1382" i="23"/>
  <c r="W1382" i="23" s="1"/>
  <c r="P1383" i="23" s="1"/>
  <c r="Q1383" i="23" s="1"/>
  <c r="R1383" i="23"/>
  <c r="M1383" i="23"/>
  <c r="N1383" i="23" s="1"/>
  <c r="R1360" i="23"/>
  <c r="U1359" i="23"/>
  <c r="M1360" i="23"/>
  <c r="N1360" i="23" s="1"/>
  <c r="AI288" i="34"/>
  <c r="K1260" i="23"/>
  <c r="L1260" i="23" s="1"/>
  <c r="M1260" i="23" s="1"/>
  <c r="N1260" i="23" s="1"/>
  <c r="J1260" i="23" s="1"/>
  <c r="M1333" i="23"/>
  <c r="N1333" i="23" s="1"/>
  <c r="R1334" i="23"/>
  <c r="U1333" i="23"/>
  <c r="W1333" i="23" s="1"/>
  <c r="P1334" i="23" s="1"/>
  <c r="Q1334" i="23" s="1"/>
  <c r="AJ238" i="34"/>
  <c r="AK238" i="34" s="1"/>
  <c r="W1239" i="23"/>
  <c r="P1240" i="23" s="1"/>
  <c r="Q1240" i="23" s="1"/>
  <c r="AB374" i="22"/>
  <c r="W1215" i="23"/>
  <c r="P1216" i="23" s="1"/>
  <c r="Q1216" i="23" s="1"/>
  <c r="AD1111" i="23"/>
  <c r="AD1112" i="23" s="1"/>
  <c r="AD1114" i="23" s="1"/>
  <c r="J1216" i="23"/>
  <c r="O1216" i="23"/>
  <c r="H1217" i="23"/>
  <c r="M1217" i="23" s="1"/>
  <c r="N1217" i="23" s="1"/>
  <c r="U1216" i="23"/>
  <c r="R1217" i="23"/>
  <c r="U1217" i="23" s="1"/>
  <c r="J1058" i="23"/>
  <c r="O1058" i="23"/>
  <c r="U1057" i="23"/>
  <c r="AI229" i="34" s="1"/>
  <c r="R1058" i="23"/>
  <c r="U1058" i="23" s="1"/>
  <c r="W985" i="23"/>
  <c r="P986" i="23" s="1"/>
  <c r="Q986" i="23" s="1"/>
  <c r="W986" i="23" s="1"/>
  <c r="P987" i="23" s="1"/>
  <c r="Q987" i="23" s="1"/>
  <c r="W962" i="23"/>
  <c r="P963" i="23" s="1"/>
  <c r="Q963" i="23" s="1"/>
  <c r="W747" i="23"/>
  <c r="P748" i="23" s="1"/>
  <c r="Q748" i="23" s="1"/>
  <c r="W845" i="23"/>
  <c r="P846" i="23" s="1"/>
  <c r="Q846" i="23" s="1"/>
  <c r="AG252" i="22"/>
  <c r="AI252" i="22" s="1"/>
  <c r="AJ252" i="22" s="1"/>
  <c r="U748" i="23"/>
  <c r="R749" i="23"/>
  <c r="U749" i="23" s="1"/>
  <c r="H750" i="23"/>
  <c r="J749" i="23"/>
  <c r="O749" i="23"/>
  <c r="R123" i="23"/>
  <c r="R124" i="23" s="1"/>
  <c r="U124" i="23" s="1"/>
  <c r="W567" i="23"/>
  <c r="P568" i="23" s="1"/>
  <c r="Q568" i="23" s="1"/>
  <c r="AB211" i="22"/>
  <c r="J617" i="23"/>
  <c r="O617" i="23"/>
  <c r="U616" i="23"/>
  <c r="R617" i="23"/>
  <c r="U617" i="23" s="1"/>
  <c r="M334" i="23"/>
  <c r="N334" i="23" s="1"/>
  <c r="O311" i="23"/>
  <c r="J311" i="23"/>
  <c r="H312" i="23"/>
  <c r="W261" i="23"/>
  <c r="P262" i="23" s="1"/>
  <c r="Q262" i="23" s="1"/>
  <c r="M244" i="23"/>
  <c r="N244" i="23" s="1"/>
  <c r="M224" i="23"/>
  <c r="N224" i="23" s="1"/>
  <c r="H201" i="23"/>
  <c r="R200" i="23"/>
  <c r="U200" i="23" s="1"/>
  <c r="J200" i="23"/>
  <c r="O200" i="23"/>
  <c r="M180" i="23"/>
  <c r="N180" i="23" s="1"/>
  <c r="J121" i="23"/>
  <c r="O121" i="23"/>
  <c r="J1281" i="23"/>
  <c r="J62" i="23"/>
  <c r="O62" i="23"/>
  <c r="H63" i="23"/>
  <c r="K63" i="23" s="1"/>
  <c r="L63" i="23" s="1"/>
  <c r="M63" i="23" s="1"/>
  <c r="O1281" i="23"/>
  <c r="AI391" i="22"/>
  <c r="AI627" i="22"/>
  <c r="AJ627" i="22" s="1"/>
  <c r="O43" i="23"/>
  <c r="J43" i="23"/>
  <c r="H44" i="23"/>
  <c r="W1406" i="23"/>
  <c r="P1407" i="23" s="1"/>
  <c r="Q1407" i="23" s="1"/>
  <c r="U1704" i="23"/>
  <c r="W1704" i="23" s="1"/>
  <c r="P1705" i="23" s="1"/>
  <c r="Q1705" i="23" s="1"/>
  <c r="R1705" i="23"/>
  <c r="O1705" i="23"/>
  <c r="J1705" i="23"/>
  <c r="H1706" i="23"/>
  <c r="R140" i="23"/>
  <c r="U140" i="23" s="1"/>
  <c r="U139" i="23"/>
  <c r="W139" i="23" s="1"/>
  <c r="P140" i="23" s="1"/>
  <c r="Q140" i="23" s="1"/>
  <c r="M139" i="23"/>
  <c r="N139" i="23" s="1"/>
  <c r="W287" i="23"/>
  <c r="P288" i="23" s="1"/>
  <c r="Q288" i="23" s="1"/>
  <c r="W1010" i="23"/>
  <c r="P1011" i="23" s="1"/>
  <c r="Q1011" i="23" s="1"/>
  <c r="W1011" i="23" s="1"/>
  <c r="P1012" i="23" s="1"/>
  <c r="Q1012" i="23" s="1"/>
  <c r="M288" i="23"/>
  <c r="N288" i="23" s="1"/>
  <c r="J288" i="23" s="1"/>
  <c r="U917" i="23"/>
  <c r="R918" i="23"/>
  <c r="H918" i="23"/>
  <c r="J917" i="23"/>
  <c r="O917" i="23"/>
  <c r="H1150" i="23"/>
  <c r="R1149" i="23"/>
  <c r="U1149" i="23" s="1"/>
  <c r="W1149" i="23" s="1"/>
  <c r="J1149" i="23"/>
  <c r="O1149" i="23"/>
  <c r="K1487" i="23"/>
  <c r="L1487" i="23" s="1"/>
  <c r="M766" i="23"/>
  <c r="N766" i="23" s="1"/>
  <c r="W1134" i="23"/>
  <c r="P1135" i="23" s="1"/>
  <c r="Q1135" i="23" s="1"/>
  <c r="W821" i="23"/>
  <c r="P822" i="23" s="1"/>
  <c r="Q822" i="23" s="1"/>
  <c r="K1282" i="23"/>
  <c r="L1282" i="23" s="1"/>
  <c r="M1282" i="23" s="1"/>
  <c r="N1282" i="23" s="1"/>
  <c r="M822" i="23"/>
  <c r="N822" i="23" s="1"/>
  <c r="J1133" i="23"/>
  <c r="O1133" i="23"/>
  <c r="H1134" i="23"/>
  <c r="M1134" i="23" s="1"/>
  <c r="N1134" i="23" s="1"/>
  <c r="H1135" i="23" s="1"/>
  <c r="H1407" i="23"/>
  <c r="J1406" i="23"/>
  <c r="P1431" i="23"/>
  <c r="Q1431" i="23" s="1"/>
  <c r="K1431" i="23"/>
  <c r="L1431" i="23" s="1"/>
  <c r="W635" i="23"/>
  <c r="P636" i="23" s="1"/>
  <c r="Q636" i="23" s="1"/>
  <c r="W636" i="23" s="1"/>
  <c r="P637" i="23" s="1"/>
  <c r="Q637" i="23" s="1"/>
  <c r="AB216" i="22"/>
  <c r="M636" i="23"/>
  <c r="N636" i="23" s="1"/>
  <c r="AJ185" i="34"/>
  <c r="AK185" i="34" s="1"/>
  <c r="AJ316" i="34"/>
  <c r="AK316" i="34" s="1"/>
  <c r="AI339" i="34"/>
  <c r="O1728" i="23"/>
  <c r="H1729" i="23"/>
  <c r="J1728" i="23"/>
  <c r="R1728" i="23"/>
  <c r="U1500" i="23"/>
  <c r="R1501" i="23"/>
  <c r="O1500" i="23"/>
  <c r="H1501" i="23"/>
  <c r="J1500" i="23"/>
  <c r="K1193" i="23"/>
  <c r="L1193" i="23" s="1"/>
  <c r="M1193" i="23" s="1"/>
  <c r="N1193" i="23" s="1"/>
  <c r="R964" i="23"/>
  <c r="U964" i="23" s="1"/>
  <c r="U963" i="23"/>
  <c r="H965" i="23"/>
  <c r="O964" i="23"/>
  <c r="J964" i="23"/>
  <c r="U822" i="23"/>
  <c r="R823" i="23"/>
  <c r="J847" i="23"/>
  <c r="H848" i="23"/>
  <c r="O847" i="23"/>
  <c r="R847" i="23"/>
  <c r="U846" i="23"/>
  <c r="O701" i="23"/>
  <c r="H702" i="23"/>
  <c r="M702" i="23" s="1"/>
  <c r="N702" i="23" s="1"/>
  <c r="J701" i="23"/>
  <c r="U700" i="23"/>
  <c r="R701" i="23"/>
  <c r="J525" i="23"/>
  <c r="R525" i="23"/>
  <c r="U524" i="23"/>
  <c r="J503" i="23"/>
  <c r="O503" i="23"/>
  <c r="H504" i="23"/>
  <c r="M504" i="23" s="1"/>
  <c r="N504" i="23" s="1"/>
  <c r="W314" i="23"/>
  <c r="P315" i="23" s="1"/>
  <c r="Q315" i="23" s="1"/>
  <c r="U504" i="23"/>
  <c r="R505" i="23"/>
  <c r="H416" i="23"/>
  <c r="O415" i="23"/>
  <c r="J415" i="23"/>
  <c r="R415" i="23"/>
  <c r="U415" i="23" s="1"/>
  <c r="U288" i="23"/>
  <c r="R289" i="23"/>
  <c r="U181" i="23"/>
  <c r="R182" i="23"/>
  <c r="U869" i="23"/>
  <c r="M595" i="23"/>
  <c r="N595" i="23" s="1"/>
  <c r="U595" i="23"/>
  <c r="W595" i="23" s="1"/>
  <c r="P596" i="23" s="1"/>
  <c r="Q596" i="23" s="1"/>
  <c r="R596" i="23"/>
  <c r="R1642" i="23"/>
  <c r="U1642" i="23" s="1"/>
  <c r="W1642" i="23" s="1"/>
  <c r="P1643" i="23" s="1"/>
  <c r="Q1643" i="23" s="1"/>
  <c r="H1643" i="23"/>
  <c r="M1643" i="23" s="1"/>
  <c r="N1643" i="23" s="1"/>
  <c r="O1642" i="23"/>
  <c r="J1642" i="23"/>
  <c r="U1240" i="23"/>
  <c r="AC374" i="22" s="1"/>
  <c r="R1241" i="23"/>
  <c r="O1241" i="23"/>
  <c r="H1242" i="23"/>
  <c r="M1242" i="23" s="1"/>
  <c r="N1242" i="23" s="1"/>
  <c r="J1241" i="23"/>
  <c r="W1173" i="23"/>
  <c r="P1174" i="23" s="1"/>
  <c r="Q1174" i="23" s="1"/>
  <c r="J1173" i="23"/>
  <c r="H1174" i="23"/>
  <c r="O1173" i="23"/>
  <c r="AD398" i="23"/>
  <c r="U734" i="23"/>
  <c r="W734" i="23" s="1"/>
  <c r="M724" i="23"/>
  <c r="N724" i="23" s="1"/>
  <c r="U442" i="23"/>
  <c r="W442" i="23" s="1"/>
  <c r="P443" i="23" s="1"/>
  <c r="Q443" i="23" s="1"/>
  <c r="W443" i="23" s="1"/>
  <c r="P444" i="23" s="1"/>
  <c r="Q444" i="23" s="1"/>
  <c r="W161" i="23"/>
  <c r="P162" i="23" s="1"/>
  <c r="Q162" i="23" s="1"/>
  <c r="R893" i="23"/>
  <c r="U893" i="23" s="1"/>
  <c r="W893" i="23" s="1"/>
  <c r="P894" i="23" s="1"/>
  <c r="Q894" i="23" s="1"/>
  <c r="H894" i="23"/>
  <c r="M894" i="23" s="1"/>
  <c r="N894" i="23" s="1"/>
  <c r="J894" i="23" s="1"/>
  <c r="O893" i="23"/>
  <c r="J893" i="23"/>
  <c r="K786" i="23"/>
  <c r="L786" i="23" s="1"/>
  <c r="M786" i="23" s="1"/>
  <c r="N786" i="23" s="1"/>
  <c r="R786" i="23" s="1"/>
  <c r="U786" i="23" s="1"/>
  <c r="W786" i="23" s="1"/>
  <c r="P787" i="23" s="1"/>
  <c r="Q787" i="23" s="1"/>
  <c r="M1595" i="23"/>
  <c r="N1595" i="23" s="1"/>
  <c r="P1664" i="23"/>
  <c r="Q1664" i="23" s="1"/>
  <c r="W1664" i="23" s="1"/>
  <c r="P1665" i="23" s="1"/>
  <c r="Q1665" i="23" s="1"/>
  <c r="W1665" i="23" s="1"/>
  <c r="P1666" i="23" s="1"/>
  <c r="Q1666" i="23" s="1"/>
  <c r="W1666" i="23" s="1"/>
  <c r="P1667" i="23" s="1"/>
  <c r="Q1667" i="23" s="1"/>
  <c r="R1667" i="23" s="1"/>
  <c r="M1073" i="23"/>
  <c r="N1073" i="23" s="1"/>
  <c r="W1618" i="23"/>
  <c r="P1619" i="23" s="1"/>
  <c r="Q1619" i="23" s="1"/>
  <c r="W1296" i="23"/>
  <c r="P1297" i="23" s="1"/>
  <c r="Q1297" i="23" s="1"/>
  <c r="W1297" i="23" s="1"/>
  <c r="U1301" i="23"/>
  <c r="W1301" i="23" s="1"/>
  <c r="P1575" i="23"/>
  <c r="Q1575" i="23" s="1"/>
  <c r="R1575" i="23" s="1"/>
  <c r="R1576" i="23" s="1"/>
  <c r="R679" i="23"/>
  <c r="U678" i="23"/>
  <c r="W807" i="23"/>
  <c r="P808" i="23" s="1"/>
  <c r="Q808" i="23" s="1"/>
  <c r="W808" i="23" s="1"/>
  <c r="R244" i="23"/>
  <c r="U244" i="23" s="1"/>
  <c r="H1314" i="23"/>
  <c r="O1313" i="23"/>
  <c r="R1313" i="23"/>
  <c r="U1313" i="23" s="1"/>
  <c r="AD806" i="23"/>
  <c r="AD807" i="23" s="1"/>
  <c r="M806" i="23"/>
  <c r="N806" i="23" s="1"/>
  <c r="N1663" i="23"/>
  <c r="O355" i="23"/>
  <c r="H356" i="23"/>
  <c r="J355" i="23"/>
  <c r="R355" i="23"/>
  <c r="J1779" i="23"/>
  <c r="O1779" i="23"/>
  <c r="W1779" i="23"/>
  <c r="P1780" i="23" s="1"/>
  <c r="Q1780" i="23" s="1"/>
  <c r="K1780" i="23"/>
  <c r="L1780" i="23" s="1"/>
  <c r="J681" i="23"/>
  <c r="H682" i="23"/>
  <c r="O681" i="23"/>
  <c r="AD1529" i="23"/>
  <c r="AD1530" i="23" s="1"/>
  <c r="AD1532" i="23" s="1"/>
  <c r="W1056" i="23"/>
  <c r="P1057" i="23" s="1"/>
  <c r="Q1057" i="23" s="1"/>
  <c r="W1057" i="23" s="1"/>
  <c r="P1058" i="23" s="1"/>
  <c r="Q1058" i="23" s="1"/>
  <c r="J1057" i="23"/>
  <c r="O1057" i="23"/>
  <c r="R460" i="23"/>
  <c r="U460" i="23" s="1"/>
  <c r="W460" i="23" s="1"/>
  <c r="P461" i="23" s="1"/>
  <c r="Q461" i="23" s="1"/>
  <c r="O460" i="23"/>
  <c r="H461" i="23"/>
  <c r="AD661" i="23"/>
  <c r="AD662" i="23" s="1"/>
  <c r="H548" i="23"/>
  <c r="O547" i="23"/>
  <c r="J547" i="23"/>
  <c r="J46" i="23"/>
  <c r="H47" i="23"/>
  <c r="O46" i="23"/>
  <c r="U489" i="23"/>
  <c r="W489" i="23" s="1"/>
  <c r="W481" i="23"/>
  <c r="O525" i="23" l="1"/>
  <c r="W678" i="23"/>
  <c r="P679" i="23" s="1"/>
  <c r="Q679" i="23" s="1"/>
  <c r="AH1023" i="22"/>
  <c r="AI1023" i="22" s="1"/>
  <c r="AJ1023" i="22" s="1"/>
  <c r="U943" i="23"/>
  <c r="R944" i="23"/>
  <c r="U944" i="23" s="1"/>
  <c r="J942" i="23"/>
  <c r="O942" i="23"/>
  <c r="H943" i="23"/>
  <c r="M943" i="23" s="1"/>
  <c r="N943" i="23" s="1"/>
  <c r="M90" i="23"/>
  <c r="N90" i="23" s="1"/>
  <c r="R91" i="23"/>
  <c r="U90" i="23"/>
  <c r="W90" i="23" s="1"/>
  <c r="P91" i="23" s="1"/>
  <c r="Q91" i="23" s="1"/>
  <c r="AI995" i="22"/>
  <c r="AJ995" i="22" s="1"/>
  <c r="AI980" i="22"/>
  <c r="AJ980" i="22" s="1"/>
  <c r="AI1001" i="22"/>
  <c r="AJ1001" i="22" s="1"/>
  <c r="AI999" i="22"/>
  <c r="AJ999" i="22" s="1"/>
  <c r="AH997" i="22"/>
  <c r="AG946" i="22"/>
  <c r="AH946" i="22" s="1"/>
  <c r="AE840" i="22"/>
  <c r="AF840" i="22" s="1"/>
  <c r="AG840" i="22" s="1"/>
  <c r="AE870" i="22"/>
  <c r="AF870" i="22" s="1"/>
  <c r="M1842" i="23"/>
  <c r="N1842" i="23" s="1"/>
  <c r="R1842" i="23" s="1"/>
  <c r="U1824" i="23"/>
  <c r="W1824" i="23" s="1"/>
  <c r="P1825" i="23" s="1"/>
  <c r="Q1825" i="23" s="1"/>
  <c r="R1825" i="23"/>
  <c r="U1825" i="23" s="1"/>
  <c r="J1825" i="23"/>
  <c r="O1825" i="23"/>
  <c r="H1797" i="23"/>
  <c r="M1797" i="23" s="1"/>
  <c r="N1797" i="23" s="1"/>
  <c r="O1796" i="23"/>
  <c r="J1796" i="23"/>
  <c r="U1796" i="23"/>
  <c r="R1797" i="23"/>
  <c r="W1795" i="23"/>
  <c r="P1796" i="23" s="1"/>
  <c r="Q1796" i="23" s="1"/>
  <c r="H1754" i="23"/>
  <c r="O1753" i="23"/>
  <c r="J1753" i="23"/>
  <c r="W963" i="23"/>
  <c r="P964" i="23" s="1"/>
  <c r="Q964" i="23" s="1"/>
  <c r="W964" i="23" s="1"/>
  <c r="P965" i="23" s="1"/>
  <c r="Q965" i="23" s="1"/>
  <c r="U1548" i="23"/>
  <c r="W1548" i="23" s="1"/>
  <c r="P1549" i="23" s="1"/>
  <c r="Q1549" i="23" s="1"/>
  <c r="R1549" i="23"/>
  <c r="M1548" i="23"/>
  <c r="N1548" i="23" s="1"/>
  <c r="J1459" i="23"/>
  <c r="O1459" i="23"/>
  <c r="H1460" i="23"/>
  <c r="M1460" i="23" s="1"/>
  <c r="N1460" i="23" s="1"/>
  <c r="U1459" i="23"/>
  <c r="W1459" i="23" s="1"/>
  <c r="P1460" i="23" s="1"/>
  <c r="Q1460" i="23" s="1"/>
  <c r="R1460" i="23"/>
  <c r="U1460" i="23" s="1"/>
  <c r="J1383" i="23"/>
  <c r="O1383" i="23"/>
  <c r="H1384" i="23"/>
  <c r="M1384" i="23" s="1"/>
  <c r="N1384" i="23" s="1"/>
  <c r="R1384" i="23"/>
  <c r="U1384" i="23" s="1"/>
  <c r="U1383" i="23"/>
  <c r="W1383" i="23" s="1"/>
  <c r="P1384" i="23" s="1"/>
  <c r="Q1384" i="23" s="1"/>
  <c r="O1360" i="23"/>
  <c r="H1361" i="23"/>
  <c r="M1361" i="23" s="1"/>
  <c r="N1361" i="23" s="1"/>
  <c r="J1360" i="23"/>
  <c r="W1359" i="23"/>
  <c r="P1360" i="23" s="1"/>
  <c r="Q1360" i="23" s="1"/>
  <c r="R1361" i="23"/>
  <c r="U1360" i="23"/>
  <c r="U1061" i="23"/>
  <c r="W1061" i="23" s="1"/>
  <c r="H1261" i="23"/>
  <c r="M1261" i="23" s="1"/>
  <c r="N1261" i="23" s="1"/>
  <c r="J1261" i="23" s="1"/>
  <c r="O1260" i="23"/>
  <c r="R1260" i="23"/>
  <c r="U1260" i="23" s="1"/>
  <c r="W1260" i="23" s="1"/>
  <c r="P1261" i="23" s="1"/>
  <c r="Q1261" i="23" s="1"/>
  <c r="U1334" i="23"/>
  <c r="W1334" i="23" s="1"/>
  <c r="P1335" i="23" s="1"/>
  <c r="Q1335" i="23" s="1"/>
  <c r="R1335" i="23"/>
  <c r="H1334" i="23"/>
  <c r="M1334" i="23" s="1"/>
  <c r="N1334" i="23" s="1"/>
  <c r="O1333" i="23"/>
  <c r="J1333" i="23"/>
  <c r="K987" i="23"/>
  <c r="L987" i="23" s="1"/>
  <c r="M987" i="23" s="1"/>
  <c r="N987" i="23" s="1"/>
  <c r="H988" i="23" s="1"/>
  <c r="M988" i="23" s="1"/>
  <c r="N988" i="23" s="1"/>
  <c r="H989" i="23" s="1"/>
  <c r="M989" i="23" s="1"/>
  <c r="N989" i="23" s="1"/>
  <c r="AB369" i="22"/>
  <c r="W1313" i="23"/>
  <c r="P1314" i="23" s="1"/>
  <c r="Q1314" i="23" s="1"/>
  <c r="AC394" i="22"/>
  <c r="U1226" i="23"/>
  <c r="W1226" i="23" s="1"/>
  <c r="W1216" i="23"/>
  <c r="P1217" i="23" s="1"/>
  <c r="Q1217" i="23" s="1"/>
  <c r="W1217" i="23" s="1"/>
  <c r="P1218" i="23" s="1"/>
  <c r="Q1218" i="23" s="1"/>
  <c r="W1218" i="23" s="1"/>
  <c r="P1219" i="23" s="1"/>
  <c r="Q1219" i="23" s="1"/>
  <c r="W1219" i="23" s="1"/>
  <c r="P1220" i="23" s="1"/>
  <c r="Q1220" i="23" s="1"/>
  <c r="W1220" i="23" s="1"/>
  <c r="P1221" i="23" s="1"/>
  <c r="Q1221" i="23" s="1"/>
  <c r="W1221" i="23" s="1"/>
  <c r="P1222" i="23" s="1"/>
  <c r="Q1222" i="23" s="1"/>
  <c r="W1222" i="23" s="1"/>
  <c r="P1223" i="23" s="1"/>
  <c r="Q1223" i="23" s="1"/>
  <c r="W1223" i="23" s="1"/>
  <c r="P1224" i="23" s="1"/>
  <c r="Q1224" i="23" s="1"/>
  <c r="W1224" i="23" s="1"/>
  <c r="O1217" i="23"/>
  <c r="J1217" i="23"/>
  <c r="H1218" i="23"/>
  <c r="W1058" i="23"/>
  <c r="W846" i="23"/>
  <c r="P847" i="23" s="1"/>
  <c r="Q847" i="23" s="1"/>
  <c r="W748" i="23"/>
  <c r="P749" i="23" s="1"/>
  <c r="Q749" i="23" s="1"/>
  <c r="W749" i="23" s="1"/>
  <c r="P750" i="23" s="1"/>
  <c r="Q750" i="23" s="1"/>
  <c r="W869" i="23"/>
  <c r="P870" i="23" s="1"/>
  <c r="Q870" i="23" s="1"/>
  <c r="U123" i="23"/>
  <c r="W123" i="23" s="1"/>
  <c r="P124" i="23" s="1"/>
  <c r="Q124" i="23" s="1"/>
  <c r="W124" i="23" s="1"/>
  <c r="W700" i="23"/>
  <c r="P701" i="23" s="1"/>
  <c r="Q701" i="23" s="1"/>
  <c r="K262" i="23"/>
  <c r="L262" i="23" s="1"/>
  <c r="M262" i="23" s="1"/>
  <c r="N262" i="23" s="1"/>
  <c r="U623" i="23"/>
  <c r="AI160" i="34"/>
  <c r="W616" i="23"/>
  <c r="P617" i="23" s="1"/>
  <c r="Q617" i="23" s="1"/>
  <c r="W617" i="23" s="1"/>
  <c r="K568" i="23"/>
  <c r="L568" i="23" s="1"/>
  <c r="W524" i="23"/>
  <c r="P525" i="23" s="1"/>
  <c r="Q525" i="23" s="1"/>
  <c r="W504" i="23"/>
  <c r="P505" i="23" s="1"/>
  <c r="Q505" i="23" s="1"/>
  <c r="AB181" i="22"/>
  <c r="W415" i="23"/>
  <c r="P416" i="23" s="1"/>
  <c r="Q416" i="23" s="1"/>
  <c r="O334" i="23"/>
  <c r="H335" i="23"/>
  <c r="M335" i="23" s="1"/>
  <c r="N335" i="23" s="1"/>
  <c r="J334" i="23"/>
  <c r="K1407" i="23"/>
  <c r="L1407" i="23" s="1"/>
  <c r="M1407" i="23" s="1"/>
  <c r="N1407" i="23" s="1"/>
  <c r="R1407" i="23" s="1"/>
  <c r="M312" i="23"/>
  <c r="N312" i="23" s="1"/>
  <c r="W244" i="23"/>
  <c r="P245" i="23" s="1"/>
  <c r="Q245" i="23" s="1"/>
  <c r="AB89" i="22"/>
  <c r="W288" i="23"/>
  <c r="P289" i="23" s="1"/>
  <c r="Q289" i="23" s="1"/>
  <c r="O244" i="23"/>
  <c r="J244" i="23"/>
  <c r="H245" i="23"/>
  <c r="W822" i="23"/>
  <c r="P823" i="23" s="1"/>
  <c r="Q823" i="23" s="1"/>
  <c r="H225" i="23"/>
  <c r="M225" i="23" s="1"/>
  <c r="R224" i="23"/>
  <c r="R225" i="23" s="1"/>
  <c r="O224" i="23"/>
  <c r="J224" i="23"/>
  <c r="W200" i="23"/>
  <c r="P201" i="23" s="1"/>
  <c r="Q201" i="23" s="1"/>
  <c r="W181" i="23"/>
  <c r="P182" i="23" s="1"/>
  <c r="Q182" i="23" s="1"/>
  <c r="AB74" i="22"/>
  <c r="O180" i="23"/>
  <c r="J180" i="23"/>
  <c r="H181" i="23"/>
  <c r="N63" i="23"/>
  <c r="R63" i="23" s="1"/>
  <c r="U63" i="23" s="1"/>
  <c r="M44" i="23"/>
  <c r="N44" i="23" s="1"/>
  <c r="R1706" i="23"/>
  <c r="U1705" i="23"/>
  <c r="W1705" i="23" s="1"/>
  <c r="P1706" i="23" s="1"/>
  <c r="Q1706" i="23" s="1"/>
  <c r="M1706" i="23"/>
  <c r="N1706" i="23" s="1"/>
  <c r="W140" i="23"/>
  <c r="P141" i="23" s="1"/>
  <c r="Q141" i="23" s="1"/>
  <c r="W1500" i="23"/>
  <c r="P1501" i="23" s="1"/>
  <c r="Q1501" i="23" s="1"/>
  <c r="M1501" i="23"/>
  <c r="N1501" i="23" s="1"/>
  <c r="K1150" i="23"/>
  <c r="L1150" i="23" s="1"/>
  <c r="M1150" i="23" s="1"/>
  <c r="H140" i="23"/>
  <c r="M140" i="23" s="1"/>
  <c r="N140" i="23" s="1"/>
  <c r="O139" i="23"/>
  <c r="J139" i="23"/>
  <c r="H289" i="23"/>
  <c r="M289" i="23" s="1"/>
  <c r="N289" i="23" s="1"/>
  <c r="K1012" i="23"/>
  <c r="L1012" i="23" s="1"/>
  <c r="O288" i="23"/>
  <c r="W917" i="23"/>
  <c r="P918" i="23" s="1"/>
  <c r="Q918" i="23" s="1"/>
  <c r="M918" i="23"/>
  <c r="N918" i="23" s="1"/>
  <c r="R919" i="23"/>
  <c r="U918" i="23"/>
  <c r="AD275" i="22" s="1"/>
  <c r="M1487" i="23"/>
  <c r="N1487" i="23" s="1"/>
  <c r="H767" i="23"/>
  <c r="J766" i="23"/>
  <c r="O766" i="23"/>
  <c r="K1135" i="23"/>
  <c r="L1135" i="23" s="1"/>
  <c r="M1135" i="23" s="1"/>
  <c r="N1135" i="23" s="1"/>
  <c r="R1135" i="23" s="1"/>
  <c r="U1135" i="23" s="1"/>
  <c r="J822" i="23"/>
  <c r="O822" i="23"/>
  <c r="R1282" i="23"/>
  <c r="U1282" i="23" s="1"/>
  <c r="J1282" i="23"/>
  <c r="O1282" i="23"/>
  <c r="H823" i="23"/>
  <c r="J1134" i="23"/>
  <c r="O1134" i="23"/>
  <c r="M1431" i="23"/>
  <c r="N1431" i="23" s="1"/>
  <c r="R1431" i="23" s="1"/>
  <c r="O636" i="23"/>
  <c r="J636" i="23"/>
  <c r="H637" i="23"/>
  <c r="AJ141" i="34"/>
  <c r="AK141" i="34" s="1"/>
  <c r="AJ229" i="34"/>
  <c r="AK229" i="34" s="1"/>
  <c r="AI242" i="34"/>
  <c r="U1728" i="23"/>
  <c r="W1728" i="23" s="1"/>
  <c r="P1729" i="23" s="1"/>
  <c r="Q1729" i="23" s="1"/>
  <c r="R1729" i="23"/>
  <c r="M1729" i="23"/>
  <c r="N1729" i="23" s="1"/>
  <c r="R1502" i="23"/>
  <c r="U1501" i="23"/>
  <c r="J1193" i="23"/>
  <c r="O1193" i="23"/>
  <c r="H1194" i="23"/>
  <c r="M1194" i="23" s="1"/>
  <c r="N1194" i="23" s="1"/>
  <c r="R1193" i="23"/>
  <c r="M848" i="23"/>
  <c r="N848" i="23" s="1"/>
  <c r="R848" i="23"/>
  <c r="U847" i="23"/>
  <c r="W847" i="23" s="1"/>
  <c r="P848" i="23" s="1"/>
  <c r="Q848" i="23" s="1"/>
  <c r="U823" i="23"/>
  <c r="R824" i="23"/>
  <c r="R702" i="23"/>
  <c r="U701" i="23"/>
  <c r="J702" i="23"/>
  <c r="O702" i="23"/>
  <c r="H703" i="23"/>
  <c r="U525" i="23"/>
  <c r="R526" i="23"/>
  <c r="J526" i="23"/>
  <c r="O526" i="23"/>
  <c r="H527" i="23"/>
  <c r="M527" i="23" s="1"/>
  <c r="N527" i="23" s="1"/>
  <c r="O504" i="23"/>
  <c r="H505" i="23"/>
  <c r="M505" i="23" s="1"/>
  <c r="N505" i="23" s="1"/>
  <c r="J504" i="23"/>
  <c r="U505" i="23"/>
  <c r="R506" i="23"/>
  <c r="U289" i="23"/>
  <c r="R290" i="23"/>
  <c r="U290" i="23" s="1"/>
  <c r="U182" i="23"/>
  <c r="R183" i="23"/>
  <c r="J595" i="23"/>
  <c r="O595" i="23"/>
  <c r="H596" i="23"/>
  <c r="M596" i="23" s="1"/>
  <c r="N596" i="23" s="1"/>
  <c r="U596" i="23"/>
  <c r="W596" i="23" s="1"/>
  <c r="P597" i="23" s="1"/>
  <c r="Q597" i="23" s="1"/>
  <c r="R597" i="23"/>
  <c r="R1643" i="23"/>
  <c r="O1643" i="23"/>
  <c r="J1643" i="23"/>
  <c r="H1644" i="23"/>
  <c r="M1644" i="23" s="1"/>
  <c r="N1644" i="23" s="1"/>
  <c r="H1645" i="23" s="1"/>
  <c r="H1243" i="23"/>
  <c r="M1243" i="23" s="1"/>
  <c r="N1243" i="23" s="1"/>
  <c r="J1242" i="23"/>
  <c r="O1242" i="23"/>
  <c r="U1241" i="23"/>
  <c r="AD374" i="22" s="1"/>
  <c r="R1242" i="23"/>
  <c r="U1242" i="23" s="1"/>
  <c r="AE374" i="22" s="1"/>
  <c r="W1240" i="23"/>
  <c r="P1241" i="23" s="1"/>
  <c r="Q1241" i="23" s="1"/>
  <c r="K1174" i="23"/>
  <c r="L1174" i="23" s="1"/>
  <c r="M1174" i="23" s="1"/>
  <c r="N1174" i="23" s="1"/>
  <c r="R1174" i="23" s="1"/>
  <c r="K162" i="23"/>
  <c r="L162" i="23" s="1"/>
  <c r="K1619" i="23"/>
  <c r="L1619" i="23" s="1"/>
  <c r="M1619" i="23" s="1"/>
  <c r="N1619" i="23" s="1"/>
  <c r="H1620" i="23" s="1"/>
  <c r="M1620" i="23" s="1"/>
  <c r="N1620" i="23" s="1"/>
  <c r="J1620" i="23" s="1"/>
  <c r="R894" i="23"/>
  <c r="U894" i="23" s="1"/>
  <c r="W894" i="23" s="1"/>
  <c r="P895" i="23" s="1"/>
  <c r="Q895" i="23" s="1"/>
  <c r="AD726" i="23"/>
  <c r="AD727" i="23" s="1"/>
  <c r="AD728" i="23" s="1"/>
  <c r="H725" i="23"/>
  <c r="O724" i="23"/>
  <c r="J724" i="23"/>
  <c r="O786" i="23"/>
  <c r="J786" i="23"/>
  <c r="O894" i="23"/>
  <c r="H787" i="23"/>
  <c r="M787" i="23" s="1"/>
  <c r="N787" i="23" s="1"/>
  <c r="O787" i="23" s="1"/>
  <c r="H895" i="23"/>
  <c r="R787" i="23"/>
  <c r="U787" i="23" s="1"/>
  <c r="W787" i="23" s="1"/>
  <c r="P788" i="23" s="1"/>
  <c r="Q788" i="23" s="1"/>
  <c r="K895" i="23"/>
  <c r="L895" i="23" s="1"/>
  <c r="K1602" i="23"/>
  <c r="L1602" i="23" s="1"/>
  <c r="H1596" i="23"/>
  <c r="O1595" i="23"/>
  <c r="J1595" i="23"/>
  <c r="J1073" i="23"/>
  <c r="O1073" i="23"/>
  <c r="H1074" i="23"/>
  <c r="U1079" i="23"/>
  <c r="W1079" i="23" s="1"/>
  <c r="AD1297" i="23"/>
  <c r="AD1298" i="23" s="1"/>
  <c r="AD1299" i="23" s="1"/>
  <c r="AJ391" i="22"/>
  <c r="P1150" i="23"/>
  <c r="Q1150" i="23" s="1"/>
  <c r="U1576" i="23"/>
  <c r="U1575" i="23"/>
  <c r="AD483" i="23"/>
  <c r="AD484" i="23" s="1"/>
  <c r="AD809" i="23"/>
  <c r="R680" i="23"/>
  <c r="U679" i="23"/>
  <c r="W679" i="23" s="1"/>
  <c r="P680" i="23" s="1"/>
  <c r="Q680" i="23" s="1"/>
  <c r="K245" i="23"/>
  <c r="L245" i="23" s="1"/>
  <c r="H807" i="23"/>
  <c r="O806" i="23"/>
  <c r="J806" i="23"/>
  <c r="U1693" i="23"/>
  <c r="O1663" i="23"/>
  <c r="J1663" i="23"/>
  <c r="U1667" i="23"/>
  <c r="U355" i="23"/>
  <c r="R356" i="23"/>
  <c r="R357" i="23" s="1"/>
  <c r="M356" i="23"/>
  <c r="N356" i="23" s="1"/>
  <c r="H357" i="23" s="1"/>
  <c r="M357" i="23" s="1"/>
  <c r="N357" i="23" s="1"/>
  <c r="M1780" i="23"/>
  <c r="N1780" i="23" s="1"/>
  <c r="R1780" i="23" s="1"/>
  <c r="M682" i="23"/>
  <c r="N682" i="23" s="1"/>
  <c r="H683" i="23" s="1"/>
  <c r="M683" i="23" s="1"/>
  <c r="N683" i="23" s="1"/>
  <c r="K461" i="23"/>
  <c r="L461" i="23" s="1"/>
  <c r="M461" i="23" s="1"/>
  <c r="N461" i="23" s="1"/>
  <c r="J461" i="23" s="1"/>
  <c r="K548" i="23"/>
  <c r="L548" i="23" s="1"/>
  <c r="M548" i="23" s="1"/>
  <c r="N548" i="23" s="1"/>
  <c r="K47" i="23"/>
  <c r="L47" i="23" s="1"/>
  <c r="P482" i="23"/>
  <c r="W1693" i="23" l="1"/>
  <c r="AB1694" i="23"/>
  <c r="J943" i="23"/>
  <c r="O943" i="23"/>
  <c r="H944" i="23"/>
  <c r="M944" i="23" s="1"/>
  <c r="N944" i="23" s="1"/>
  <c r="W943" i="23"/>
  <c r="P944" i="23" s="1"/>
  <c r="Q944" i="23" s="1"/>
  <c r="W944" i="23" s="1"/>
  <c r="P945" i="23" s="1"/>
  <c r="Q945" i="23" s="1"/>
  <c r="AB285" i="22"/>
  <c r="O90" i="23"/>
  <c r="H91" i="23"/>
  <c r="M91" i="23" s="1"/>
  <c r="N91" i="23" s="1"/>
  <c r="J90" i="23"/>
  <c r="U91" i="23"/>
  <c r="W91" i="23" s="1"/>
  <c r="P92" i="23" s="1"/>
  <c r="Q92" i="23" s="1"/>
  <c r="R92" i="23"/>
  <c r="AI946" i="22"/>
  <c r="AJ946" i="22" s="1"/>
  <c r="AI997" i="22"/>
  <c r="AJ997" i="22" s="1"/>
  <c r="AG870" i="22"/>
  <c r="AL870" i="22" s="1"/>
  <c r="AH840" i="22"/>
  <c r="AI840" i="22" s="1"/>
  <c r="W1825" i="23"/>
  <c r="R1843" i="23"/>
  <c r="U1842" i="23"/>
  <c r="J1842" i="23"/>
  <c r="O1842" i="23"/>
  <c r="H1843" i="23"/>
  <c r="AD1056" i="23"/>
  <c r="AD1057" i="23" s="1"/>
  <c r="AD1059" i="23" s="1"/>
  <c r="J988" i="23"/>
  <c r="W1796" i="23"/>
  <c r="P1797" i="23" s="1"/>
  <c r="Q1797" i="23" s="1"/>
  <c r="R1798" i="23"/>
  <c r="U1797" i="23"/>
  <c r="O987" i="23"/>
  <c r="O988" i="23"/>
  <c r="J1797" i="23"/>
  <c r="H1798" i="23"/>
  <c r="M1798" i="23" s="1"/>
  <c r="N1798" i="23" s="1"/>
  <c r="O1797" i="23"/>
  <c r="J987" i="23"/>
  <c r="R987" i="23"/>
  <c r="U987" i="23" s="1"/>
  <c r="W987" i="23" s="1"/>
  <c r="P988" i="23" s="1"/>
  <c r="Q988" i="23" s="1"/>
  <c r="K1754" i="23"/>
  <c r="L1754" i="23" s="1"/>
  <c r="M1754" i="23" s="1"/>
  <c r="N1754" i="23" s="1"/>
  <c r="W1575" i="23"/>
  <c r="P1576" i="23" s="1"/>
  <c r="Q1576" i="23" s="1"/>
  <c r="W1576" i="23" s="1"/>
  <c r="AB472" i="22"/>
  <c r="J1548" i="23"/>
  <c r="O1548" i="23"/>
  <c r="H1549" i="23"/>
  <c r="M1549" i="23" s="1"/>
  <c r="N1549" i="23" s="1"/>
  <c r="U1549" i="23"/>
  <c r="R1550" i="23"/>
  <c r="U1550" i="23" s="1"/>
  <c r="W1460" i="23"/>
  <c r="P1461" i="23" s="1"/>
  <c r="Q1461" i="23" s="1"/>
  <c r="W1384" i="23"/>
  <c r="P1385" i="23" s="1"/>
  <c r="Q1385" i="23" s="1"/>
  <c r="K1314" i="23"/>
  <c r="L1314" i="23" s="1"/>
  <c r="M1314" i="23" s="1"/>
  <c r="N1314" i="23" s="1"/>
  <c r="H1315" i="23" s="1"/>
  <c r="M1315" i="23" s="1"/>
  <c r="N1315" i="23" s="1"/>
  <c r="J1315" i="23" s="1"/>
  <c r="O1460" i="23"/>
  <c r="H1461" i="23"/>
  <c r="K1461" i="23" s="1"/>
  <c r="L1461" i="23" s="1"/>
  <c r="J1460" i="23"/>
  <c r="J1384" i="23"/>
  <c r="O1384" i="23"/>
  <c r="H1385" i="23"/>
  <c r="W1360" i="23"/>
  <c r="P1361" i="23" s="1"/>
  <c r="Q1361" i="23" s="1"/>
  <c r="U1361" i="23"/>
  <c r="R1362" i="23"/>
  <c r="H1362" i="23"/>
  <c r="J1361" i="23"/>
  <c r="O1361" i="23"/>
  <c r="H1262" i="23"/>
  <c r="K416" i="23"/>
  <c r="L416" i="23" s="1"/>
  <c r="M416" i="23" s="1"/>
  <c r="N416" i="23" s="1"/>
  <c r="H417" i="23" s="1"/>
  <c r="R1261" i="23"/>
  <c r="U1261" i="23" s="1"/>
  <c r="W1261" i="23" s="1"/>
  <c r="P1262" i="23" s="1"/>
  <c r="Q1262" i="23" s="1"/>
  <c r="O1261" i="23"/>
  <c r="H64" i="23"/>
  <c r="M64" i="23" s="1"/>
  <c r="N64" i="23" s="1"/>
  <c r="W289" i="23"/>
  <c r="P290" i="23" s="1"/>
  <c r="Q290" i="23" s="1"/>
  <c r="W290" i="23" s="1"/>
  <c r="P291" i="23" s="1"/>
  <c r="Q291" i="23" s="1"/>
  <c r="H1335" i="23"/>
  <c r="M1335" i="23" s="1"/>
  <c r="N1335" i="23" s="1"/>
  <c r="J1334" i="23"/>
  <c r="O1334" i="23"/>
  <c r="U1335" i="23"/>
  <c r="W1335" i="23" s="1"/>
  <c r="P1336" i="23" s="1"/>
  <c r="Q1336" i="23" s="1"/>
  <c r="R1336" i="23"/>
  <c r="AI374" i="22"/>
  <c r="AD1218" i="23"/>
  <c r="AD1219" i="23" s="1"/>
  <c r="AD1220" i="23" s="1"/>
  <c r="AJ263" i="34"/>
  <c r="AK263" i="34" s="1"/>
  <c r="M1218" i="23"/>
  <c r="N1218" i="23" s="1"/>
  <c r="N225" i="23"/>
  <c r="H226" i="23" s="1"/>
  <c r="M226" i="23" s="1"/>
  <c r="K870" i="23"/>
  <c r="L870" i="23" s="1"/>
  <c r="M870" i="23" s="1"/>
  <c r="N870" i="23" s="1"/>
  <c r="R870" i="23" s="1"/>
  <c r="U870" i="23" s="1"/>
  <c r="W870" i="23" s="1"/>
  <c r="P871" i="23" s="1"/>
  <c r="Q871" i="23" s="1"/>
  <c r="W505" i="23"/>
  <c r="P506" i="23" s="1"/>
  <c r="Q506" i="23" s="1"/>
  <c r="K750" i="23"/>
  <c r="L750" i="23" s="1"/>
  <c r="U224" i="23"/>
  <c r="W224" i="23" s="1"/>
  <c r="P225" i="23" s="1"/>
  <c r="Q225" i="23" s="1"/>
  <c r="W525" i="23"/>
  <c r="P526" i="23" s="1"/>
  <c r="Q526" i="23" s="1"/>
  <c r="W701" i="23"/>
  <c r="P702" i="23" s="1"/>
  <c r="Q702" i="23" s="1"/>
  <c r="W182" i="23"/>
  <c r="P183" i="23" s="1"/>
  <c r="Q183" i="23" s="1"/>
  <c r="M568" i="23"/>
  <c r="N568" i="23" s="1"/>
  <c r="R568" i="23" s="1"/>
  <c r="U568" i="23" s="1"/>
  <c r="W568" i="23" s="1"/>
  <c r="P569" i="23" s="1"/>
  <c r="Q569" i="23" s="1"/>
  <c r="W623" i="23"/>
  <c r="AJ160" i="34"/>
  <c r="AK160" i="34" s="1"/>
  <c r="AD617" i="23"/>
  <c r="AD618" i="23" s="1"/>
  <c r="H336" i="23"/>
  <c r="O335" i="23"/>
  <c r="J335" i="23"/>
  <c r="W1501" i="23"/>
  <c r="P1502" i="23" s="1"/>
  <c r="Q1502" i="23" s="1"/>
  <c r="O312" i="23"/>
  <c r="J312" i="23"/>
  <c r="H313" i="23"/>
  <c r="R262" i="23"/>
  <c r="U262" i="23" s="1"/>
  <c r="H263" i="23"/>
  <c r="O262" i="23"/>
  <c r="J262" i="23"/>
  <c r="M245" i="23"/>
  <c r="N245" i="23" s="1"/>
  <c r="K201" i="23"/>
  <c r="L201" i="23" s="1"/>
  <c r="M201" i="23" s="1"/>
  <c r="N201" i="23" s="1"/>
  <c r="J201" i="23" s="1"/>
  <c r="M181" i="23"/>
  <c r="N181" i="23" s="1"/>
  <c r="M162" i="23"/>
  <c r="N162" i="23" s="1"/>
  <c r="R162" i="23" s="1"/>
  <c r="W63" i="23"/>
  <c r="P64" i="23" s="1"/>
  <c r="Q64" i="23" s="1"/>
  <c r="O63" i="23"/>
  <c r="J63" i="23"/>
  <c r="J44" i="23"/>
  <c r="O44" i="23"/>
  <c r="M47" i="23"/>
  <c r="N47" i="23" s="1"/>
  <c r="R1707" i="23"/>
  <c r="U1706" i="23"/>
  <c r="W1706" i="23" s="1"/>
  <c r="P1707" i="23" s="1"/>
  <c r="Q1707" i="23" s="1"/>
  <c r="O1706" i="23"/>
  <c r="J1706" i="23"/>
  <c r="H1707" i="23"/>
  <c r="J1501" i="23"/>
  <c r="O1501" i="23"/>
  <c r="AB104" i="22"/>
  <c r="H1502" i="23"/>
  <c r="M1502" i="23" s="1"/>
  <c r="J140" i="23"/>
  <c r="O140" i="23"/>
  <c r="H141" i="23"/>
  <c r="M1012" i="23"/>
  <c r="N1012" i="23" s="1"/>
  <c r="H290" i="23"/>
  <c r="J289" i="23"/>
  <c r="O289" i="23"/>
  <c r="W918" i="23"/>
  <c r="P919" i="23" s="1"/>
  <c r="Q919" i="23" s="1"/>
  <c r="J918" i="23"/>
  <c r="O918" i="23"/>
  <c r="H919" i="23"/>
  <c r="R920" i="23"/>
  <c r="U919" i="23"/>
  <c r="AE275" i="22" s="1"/>
  <c r="J1487" i="23"/>
  <c r="O1487" i="23"/>
  <c r="R1487" i="23"/>
  <c r="U1487" i="23" s="1"/>
  <c r="M767" i="23"/>
  <c r="N767" i="23" s="1"/>
  <c r="W1667" i="23"/>
  <c r="K1668" i="23" s="1"/>
  <c r="L1668" i="23" s="1"/>
  <c r="M1668" i="23" s="1"/>
  <c r="W1135" i="23"/>
  <c r="U1137" i="23"/>
  <c r="W1137" i="23" s="1"/>
  <c r="W823" i="23"/>
  <c r="P824" i="23" s="1"/>
  <c r="Q824" i="23" s="1"/>
  <c r="AB254" i="22"/>
  <c r="U1285" i="23"/>
  <c r="W1282" i="23"/>
  <c r="J1135" i="23"/>
  <c r="O1135" i="23"/>
  <c r="M823" i="23"/>
  <c r="N823" i="23" s="1"/>
  <c r="R1432" i="23"/>
  <c r="U1431" i="23"/>
  <c r="W1431" i="23" s="1"/>
  <c r="P1432" i="23" s="1"/>
  <c r="Q1432" i="23" s="1"/>
  <c r="H1432" i="23"/>
  <c r="J1431" i="23"/>
  <c r="O1431" i="23"/>
  <c r="K637" i="23"/>
  <c r="L637" i="23" s="1"/>
  <c r="AJ339" i="34"/>
  <c r="AK339" i="34" s="1"/>
  <c r="K965" i="23"/>
  <c r="L965" i="23" s="1"/>
  <c r="M965" i="23" s="1"/>
  <c r="N965" i="23" s="1"/>
  <c r="J965" i="23" s="1"/>
  <c r="H1730" i="23"/>
  <c r="J1729" i="23"/>
  <c r="O1729" i="23"/>
  <c r="U1729" i="23"/>
  <c r="W1729" i="23" s="1"/>
  <c r="P1730" i="23" s="1"/>
  <c r="Q1730" i="23" s="1"/>
  <c r="R1730" i="23"/>
  <c r="U1502" i="23"/>
  <c r="R1503" i="23"/>
  <c r="U1193" i="23"/>
  <c r="W1193" i="23" s="1"/>
  <c r="P1194" i="23" s="1"/>
  <c r="Q1194" i="23" s="1"/>
  <c r="R1194" i="23"/>
  <c r="U1407" i="23"/>
  <c r="R1408" i="23"/>
  <c r="U1408" i="23" s="1"/>
  <c r="J1194" i="23"/>
  <c r="O1194" i="23"/>
  <c r="H1195" i="23"/>
  <c r="M1195" i="23" s="1"/>
  <c r="N1195" i="23" s="1"/>
  <c r="O1407" i="23"/>
  <c r="H1408" i="23"/>
  <c r="J1407" i="23"/>
  <c r="O989" i="23"/>
  <c r="H990" i="23"/>
  <c r="J989" i="23"/>
  <c r="O848" i="23"/>
  <c r="H849" i="23"/>
  <c r="J848" i="23"/>
  <c r="R849" i="23"/>
  <c r="U848" i="23"/>
  <c r="W848" i="23" s="1"/>
  <c r="P849" i="23" s="1"/>
  <c r="Q849" i="23" s="1"/>
  <c r="U824" i="23"/>
  <c r="R825" i="23"/>
  <c r="U825" i="23" s="1"/>
  <c r="M703" i="23"/>
  <c r="N703" i="23" s="1"/>
  <c r="U702" i="23"/>
  <c r="R703" i="23"/>
  <c r="R527" i="23"/>
  <c r="U526" i="23"/>
  <c r="J527" i="23"/>
  <c r="O527" i="23"/>
  <c r="H528" i="23"/>
  <c r="M528" i="23" s="1"/>
  <c r="N528" i="23" s="1"/>
  <c r="H506" i="23"/>
  <c r="M506" i="23" s="1"/>
  <c r="N506" i="23" s="1"/>
  <c r="J505" i="23"/>
  <c r="O505" i="23"/>
  <c r="R507" i="23"/>
  <c r="U506" i="23"/>
  <c r="R64" i="23"/>
  <c r="U64" i="23" s="1"/>
  <c r="R184" i="23"/>
  <c r="U183" i="23"/>
  <c r="J787" i="23"/>
  <c r="H788" i="23"/>
  <c r="K788" i="23" s="1"/>
  <c r="L788" i="23" s="1"/>
  <c r="O1620" i="23"/>
  <c r="O1619" i="23"/>
  <c r="H1621" i="23"/>
  <c r="O596" i="23"/>
  <c r="H597" i="23"/>
  <c r="J596" i="23"/>
  <c r="R598" i="23"/>
  <c r="U597" i="23"/>
  <c r="W597" i="23" s="1"/>
  <c r="P598" i="23" s="1"/>
  <c r="Q598" i="23" s="1"/>
  <c r="U1247" i="23"/>
  <c r="W1247" i="23" s="1"/>
  <c r="W1241" i="23"/>
  <c r="P1242" i="23" s="1"/>
  <c r="Q1242" i="23" s="1"/>
  <c r="W1242" i="23" s="1"/>
  <c r="P1243" i="23" s="1"/>
  <c r="Q1243" i="23" s="1"/>
  <c r="W1243" i="23" s="1"/>
  <c r="P1244" i="23" s="1"/>
  <c r="Q1244" i="23" s="1"/>
  <c r="W1244" i="23" s="1"/>
  <c r="P1245" i="23" s="1"/>
  <c r="Q1245" i="23" s="1"/>
  <c r="W1245" i="23" s="1"/>
  <c r="U1643" i="23"/>
  <c r="W1643" i="23" s="1"/>
  <c r="P1644" i="23" s="1"/>
  <c r="Q1644" i="23" s="1"/>
  <c r="R1644" i="23"/>
  <c r="J1644" i="23"/>
  <c r="O1644" i="23"/>
  <c r="M1645" i="23"/>
  <c r="N1645" i="23" s="1"/>
  <c r="J1243" i="23"/>
  <c r="O1243" i="23"/>
  <c r="H1244" i="23"/>
  <c r="M1244" i="23" s="1"/>
  <c r="N1244" i="23" s="1"/>
  <c r="H1245" i="23" s="1"/>
  <c r="M1245" i="23" s="1"/>
  <c r="N1245" i="23" s="1"/>
  <c r="U1098" i="23"/>
  <c r="W1098" i="23" s="1"/>
  <c r="J1619" i="23"/>
  <c r="U1174" i="23"/>
  <c r="W1174" i="23" s="1"/>
  <c r="P1175" i="23" s="1"/>
  <c r="Q1175" i="23" s="1"/>
  <c r="R1175" i="23"/>
  <c r="J1174" i="23"/>
  <c r="O1174" i="23"/>
  <c r="H1175" i="23"/>
  <c r="M1175" i="23" s="1"/>
  <c r="N1175" i="23" s="1"/>
  <c r="R1619" i="23"/>
  <c r="R1620" i="23" s="1"/>
  <c r="U1620" i="23" s="1"/>
  <c r="M725" i="23"/>
  <c r="N725" i="23" s="1"/>
  <c r="H726" i="23" s="1"/>
  <c r="M726" i="23" s="1"/>
  <c r="N726" i="23" s="1"/>
  <c r="U225" i="23"/>
  <c r="R226" i="23"/>
  <c r="R895" i="23"/>
  <c r="R896" i="23" s="1"/>
  <c r="U896" i="23" s="1"/>
  <c r="M895" i="23"/>
  <c r="N895" i="23" s="1"/>
  <c r="H896" i="23" s="1"/>
  <c r="M896" i="23" s="1"/>
  <c r="N896" i="23" s="1"/>
  <c r="M1602" i="23"/>
  <c r="N1602" i="23" s="1"/>
  <c r="J1602" i="23" s="1"/>
  <c r="M1596" i="23"/>
  <c r="N1596" i="23" s="1"/>
  <c r="AD1073" i="23"/>
  <c r="AD1074" i="23" s="1"/>
  <c r="AD1075" i="23" s="1"/>
  <c r="M1074" i="23"/>
  <c r="N1074" i="23" s="1"/>
  <c r="U383" i="23"/>
  <c r="W383" i="23" s="1"/>
  <c r="N1150" i="23"/>
  <c r="R1150" i="23" s="1"/>
  <c r="O1315" i="23"/>
  <c r="U680" i="23"/>
  <c r="R681" i="23"/>
  <c r="H684" i="23"/>
  <c r="M684" i="23" s="1"/>
  <c r="N684" i="23" s="1"/>
  <c r="H685" i="23" s="1"/>
  <c r="M685" i="23" s="1"/>
  <c r="N685" i="23" s="1"/>
  <c r="H686" i="23" s="1"/>
  <c r="M686" i="23" s="1"/>
  <c r="N686" i="23" s="1"/>
  <c r="J683" i="23"/>
  <c r="O683" i="23"/>
  <c r="R245" i="23"/>
  <c r="U245" i="23" s="1"/>
  <c r="W245" i="23" s="1"/>
  <c r="P246" i="23" s="1"/>
  <c r="Q246" i="23" s="1"/>
  <c r="M807" i="23"/>
  <c r="N807" i="23" s="1"/>
  <c r="H808" i="23" s="1"/>
  <c r="M808" i="23" s="1"/>
  <c r="N808" i="23" s="1"/>
  <c r="AD1687" i="23"/>
  <c r="AD1688" i="23" s="1"/>
  <c r="AD1689" i="23" s="1"/>
  <c r="O357" i="23"/>
  <c r="H358" i="23"/>
  <c r="M358" i="23" s="1"/>
  <c r="N358" i="23" s="1"/>
  <c r="H359" i="23" s="1"/>
  <c r="M359" i="23" s="1"/>
  <c r="N359" i="23" s="1"/>
  <c r="J357" i="23"/>
  <c r="U357" i="23"/>
  <c r="R358" i="23"/>
  <c r="R359" i="23" s="1"/>
  <c r="U359" i="23" s="1"/>
  <c r="J356" i="23"/>
  <c r="O356" i="23"/>
  <c r="U356" i="23"/>
  <c r="W355" i="23"/>
  <c r="P356" i="23" s="1"/>
  <c r="Q356" i="23" s="1"/>
  <c r="O1780" i="23"/>
  <c r="J1780" i="23"/>
  <c r="U1780" i="23"/>
  <c r="O682" i="23"/>
  <c r="J682" i="23"/>
  <c r="H462" i="23"/>
  <c r="M462" i="23" s="1"/>
  <c r="N462" i="23" s="1"/>
  <c r="J462" i="23" s="1"/>
  <c r="O461" i="23"/>
  <c r="R461" i="23"/>
  <c r="R462" i="23" s="1"/>
  <c r="R548" i="23"/>
  <c r="H549" i="23"/>
  <c r="M549" i="23" s="1"/>
  <c r="N549" i="23" s="1"/>
  <c r="O548" i="23"/>
  <c r="J548" i="23"/>
  <c r="U1871" i="23"/>
  <c r="W1871" i="23" s="1"/>
  <c r="Q482" i="23"/>
  <c r="W482" i="23" s="1"/>
  <c r="P483" i="23" s="1"/>
  <c r="R988" i="23" l="1"/>
  <c r="U988" i="23" s="1"/>
  <c r="H945" i="23"/>
  <c r="J944" i="23"/>
  <c r="O944" i="23"/>
  <c r="H92" i="23"/>
  <c r="J91" i="23"/>
  <c r="O91" i="23"/>
  <c r="R93" i="23"/>
  <c r="U93" i="23" s="1"/>
  <c r="U92" i="23"/>
  <c r="W92" i="23" s="1"/>
  <c r="P93" i="23" s="1"/>
  <c r="Q93" i="23" s="1"/>
  <c r="AJ840" i="22"/>
  <c r="AH870" i="22"/>
  <c r="AI870" i="22" s="1"/>
  <c r="AJ870" i="22" s="1"/>
  <c r="W1797" i="23"/>
  <c r="P1798" i="23" s="1"/>
  <c r="Q1798" i="23" s="1"/>
  <c r="W1842" i="23"/>
  <c r="P1843" i="23" s="1"/>
  <c r="Q1843" i="23" s="1"/>
  <c r="M1843" i="23"/>
  <c r="N1843" i="23" s="1"/>
  <c r="U1843" i="23"/>
  <c r="R1844" i="23"/>
  <c r="J416" i="23"/>
  <c r="J1798" i="23"/>
  <c r="O1798" i="23"/>
  <c r="H1799" i="23"/>
  <c r="M1799" i="23" s="1"/>
  <c r="N1799" i="23" s="1"/>
  <c r="U1798" i="23"/>
  <c r="R1799" i="23"/>
  <c r="W988" i="23"/>
  <c r="P989" i="23" s="1"/>
  <c r="Q989" i="23" s="1"/>
  <c r="W1780" i="23"/>
  <c r="P1781" i="23" s="1"/>
  <c r="Q1781" i="23" s="1"/>
  <c r="R1781" i="23" s="1"/>
  <c r="AF521" i="22"/>
  <c r="J1754" i="23"/>
  <c r="O1754" i="23"/>
  <c r="H1755" i="23"/>
  <c r="M1755" i="23" s="1"/>
  <c r="N1755" i="23" s="1"/>
  <c r="R1754" i="23"/>
  <c r="R416" i="23"/>
  <c r="U416" i="23" s="1"/>
  <c r="W416" i="23" s="1"/>
  <c r="P417" i="23" s="1"/>
  <c r="Q417" i="23" s="1"/>
  <c r="O416" i="23"/>
  <c r="H1316" i="23"/>
  <c r="O1314" i="23"/>
  <c r="J1314" i="23"/>
  <c r="R1314" i="23"/>
  <c r="U1314" i="23" s="1"/>
  <c r="AD394" i="22" s="1"/>
  <c r="W1549" i="23"/>
  <c r="P1550" i="23" s="1"/>
  <c r="Q1550" i="23" s="1"/>
  <c r="W1550" i="23" s="1"/>
  <c r="P1551" i="23" s="1"/>
  <c r="Q1551" i="23" s="1"/>
  <c r="AB465" i="22"/>
  <c r="O1549" i="23"/>
  <c r="H1550" i="23"/>
  <c r="J1549" i="23"/>
  <c r="M1461" i="23"/>
  <c r="N1461" i="23" s="1"/>
  <c r="R1461" i="23" s="1"/>
  <c r="K1385" i="23"/>
  <c r="L1385" i="23" s="1"/>
  <c r="M1385" i="23" s="1"/>
  <c r="N1385" i="23" s="1"/>
  <c r="M1362" i="23"/>
  <c r="N1362" i="23" s="1"/>
  <c r="U1362" i="23"/>
  <c r="R1363" i="23"/>
  <c r="U1363" i="23" s="1"/>
  <c r="W1361" i="23"/>
  <c r="P1362" i="23" s="1"/>
  <c r="Q1362" i="23" s="1"/>
  <c r="AB404" i="22"/>
  <c r="J225" i="23"/>
  <c r="U1336" i="23"/>
  <c r="W1336" i="23" s="1"/>
  <c r="P1337" i="23" s="1"/>
  <c r="Q1337" i="23" s="1"/>
  <c r="R1337" i="23"/>
  <c r="J1335" i="23"/>
  <c r="O1335" i="23"/>
  <c r="H1336" i="23"/>
  <c r="K1262" i="23"/>
  <c r="L1262" i="23" s="1"/>
  <c r="M1262" i="23" s="1"/>
  <c r="N1262" i="23" s="1"/>
  <c r="R1262" i="23" s="1"/>
  <c r="W1314" i="23"/>
  <c r="P1315" i="23" s="1"/>
  <c r="Q1315" i="23" s="1"/>
  <c r="O225" i="23"/>
  <c r="J1245" i="23"/>
  <c r="O1245" i="23"/>
  <c r="AB381" i="22"/>
  <c r="H1219" i="23"/>
  <c r="M1219" i="23" s="1"/>
  <c r="N1219" i="23" s="1"/>
  <c r="O1218" i="23"/>
  <c r="J1218" i="23"/>
  <c r="W225" i="23"/>
  <c r="P226" i="23" s="1"/>
  <c r="Q226" i="23" s="1"/>
  <c r="M750" i="23"/>
  <c r="N750" i="23" s="1"/>
  <c r="R750" i="23" s="1"/>
  <c r="J896" i="23"/>
  <c r="O896" i="23"/>
  <c r="J808" i="23"/>
  <c r="O808" i="23"/>
  <c r="AD619" i="23"/>
  <c r="W702" i="23"/>
  <c r="P703" i="23" s="1"/>
  <c r="Q703" i="23" s="1"/>
  <c r="P1668" i="23"/>
  <c r="Q1668" i="23" s="1"/>
  <c r="W526" i="23"/>
  <c r="P527" i="23" s="1"/>
  <c r="Q527" i="23" s="1"/>
  <c r="J686" i="23"/>
  <c r="O686" i="23"/>
  <c r="W680" i="23"/>
  <c r="P681" i="23" s="1"/>
  <c r="Q681" i="23" s="1"/>
  <c r="AB228" i="22"/>
  <c r="O568" i="23"/>
  <c r="J568" i="23"/>
  <c r="H569" i="23"/>
  <c r="K569" i="23" s="1"/>
  <c r="L569" i="23" s="1"/>
  <c r="W1502" i="23"/>
  <c r="P1503" i="23" s="1"/>
  <c r="Q1503" i="23" s="1"/>
  <c r="W64" i="23"/>
  <c r="P65" i="23" s="1"/>
  <c r="Q65" i="23" s="1"/>
  <c r="J359" i="23"/>
  <c r="O359" i="23"/>
  <c r="M336" i="23"/>
  <c r="N336" i="23" s="1"/>
  <c r="M313" i="23"/>
  <c r="N313" i="23" s="1"/>
  <c r="W262" i="23"/>
  <c r="H246" i="23"/>
  <c r="O245" i="23"/>
  <c r="J245" i="23"/>
  <c r="R201" i="23"/>
  <c r="H202" i="23"/>
  <c r="M202" i="23" s="1"/>
  <c r="O201" i="23"/>
  <c r="H182" i="23"/>
  <c r="J181" i="23"/>
  <c r="O181" i="23"/>
  <c r="H163" i="23"/>
  <c r="M163" i="23" s="1"/>
  <c r="O162" i="23"/>
  <c r="J162" i="23"/>
  <c r="J64" i="23"/>
  <c r="H65" i="23"/>
  <c r="O64" i="23"/>
  <c r="R47" i="23"/>
  <c r="U47" i="23" s="1"/>
  <c r="W47" i="23" s="1"/>
  <c r="P48" i="23" s="1"/>
  <c r="Q48" i="23" s="1"/>
  <c r="J47" i="23"/>
  <c r="O47" i="23"/>
  <c r="H48" i="23"/>
  <c r="R1708" i="23"/>
  <c r="U1707" i="23"/>
  <c r="W1707" i="23" s="1"/>
  <c r="P1708" i="23" s="1"/>
  <c r="Q1708" i="23" s="1"/>
  <c r="M1707" i="23"/>
  <c r="N1707" i="23" s="1"/>
  <c r="W824" i="23"/>
  <c r="P825" i="23" s="1"/>
  <c r="Q825" i="23" s="1"/>
  <c r="W825" i="23" s="1"/>
  <c r="P826" i="23" s="1"/>
  <c r="Q826" i="23" s="1"/>
  <c r="N1502" i="23"/>
  <c r="J1502" i="23" s="1"/>
  <c r="K141" i="23"/>
  <c r="L141" i="23" s="1"/>
  <c r="M141" i="23" s="1"/>
  <c r="N141" i="23" s="1"/>
  <c r="O1012" i="23"/>
  <c r="J1012" i="23"/>
  <c r="H1013" i="23"/>
  <c r="M1013" i="23" s="1"/>
  <c r="N1013" i="23" s="1"/>
  <c r="R1012" i="23"/>
  <c r="M290" i="23"/>
  <c r="N290" i="23" s="1"/>
  <c r="W919" i="23"/>
  <c r="P920" i="23" s="1"/>
  <c r="Q920" i="23" s="1"/>
  <c r="M919" i="23"/>
  <c r="N919" i="23" s="1"/>
  <c r="U920" i="23"/>
  <c r="AF275" i="22" s="1"/>
  <c r="R921" i="23"/>
  <c r="U921" i="23" s="1"/>
  <c r="AG275" i="22" s="1"/>
  <c r="AJ242" i="34"/>
  <c r="AK242" i="34" s="1"/>
  <c r="W1487" i="23"/>
  <c r="U1489" i="23"/>
  <c r="O767" i="23"/>
  <c r="J767" i="23"/>
  <c r="H768" i="23"/>
  <c r="AD1130" i="23"/>
  <c r="AD1131" i="23" s="1"/>
  <c r="AD1132" i="23" s="1"/>
  <c r="W1285" i="23"/>
  <c r="AJ275" i="34"/>
  <c r="AK275" i="34" s="1"/>
  <c r="AD1281" i="23"/>
  <c r="AD1282" i="23" s="1"/>
  <c r="J823" i="23"/>
  <c r="O823" i="23"/>
  <c r="H824" i="23"/>
  <c r="M1432" i="23"/>
  <c r="N1432" i="23" s="1"/>
  <c r="U1432" i="23"/>
  <c r="R1433" i="23"/>
  <c r="U1433" i="23" s="1"/>
  <c r="AC431" i="22" s="1"/>
  <c r="M1408" i="23"/>
  <c r="N1408" i="23" s="1"/>
  <c r="J1408" i="23" s="1"/>
  <c r="W1407" i="23"/>
  <c r="P1408" i="23" s="1"/>
  <c r="Q1408" i="23" s="1"/>
  <c r="W1408" i="23" s="1"/>
  <c r="P1409" i="23" s="1"/>
  <c r="Q1409" i="23" s="1"/>
  <c r="AB416" i="22"/>
  <c r="R989" i="23"/>
  <c r="U989" i="23" s="1"/>
  <c r="M637" i="23"/>
  <c r="N637" i="23" s="1"/>
  <c r="H966" i="23"/>
  <c r="M966" i="23" s="1"/>
  <c r="N966" i="23" s="1"/>
  <c r="O966" i="23" s="1"/>
  <c r="O965" i="23"/>
  <c r="R965" i="23"/>
  <c r="R966" i="23" s="1"/>
  <c r="AI97" i="34"/>
  <c r="U1730" i="23"/>
  <c r="W1730" i="23" s="1"/>
  <c r="P1731" i="23" s="1"/>
  <c r="Q1731" i="23" s="1"/>
  <c r="R1731" i="23"/>
  <c r="M1730" i="23"/>
  <c r="N1730" i="23" s="1"/>
  <c r="U1503" i="23"/>
  <c r="R1504" i="23"/>
  <c r="U1504" i="23" s="1"/>
  <c r="J1195" i="23"/>
  <c r="O1195" i="23"/>
  <c r="H1196" i="23"/>
  <c r="M1196" i="23" s="1"/>
  <c r="N1196" i="23" s="1"/>
  <c r="U1194" i="23"/>
  <c r="R1195" i="23"/>
  <c r="M849" i="23"/>
  <c r="N849" i="23" s="1"/>
  <c r="J870" i="23"/>
  <c r="O870" i="23"/>
  <c r="H871" i="23"/>
  <c r="K871" i="23" s="1"/>
  <c r="L871" i="23" s="1"/>
  <c r="M871" i="23" s="1"/>
  <c r="N871" i="23" s="1"/>
  <c r="H872" i="23" s="1"/>
  <c r="R850" i="23"/>
  <c r="U849" i="23"/>
  <c r="R704" i="23"/>
  <c r="U703" i="23"/>
  <c r="O703" i="23"/>
  <c r="J703" i="23"/>
  <c r="H704" i="23"/>
  <c r="O528" i="23"/>
  <c r="H529" i="23"/>
  <c r="J528" i="23"/>
  <c r="R528" i="23"/>
  <c r="U528" i="23" s="1"/>
  <c r="U527" i="23"/>
  <c r="J506" i="23"/>
  <c r="O506" i="23"/>
  <c r="H507" i="23"/>
  <c r="U507" i="23"/>
  <c r="R508" i="23"/>
  <c r="U508" i="23" s="1"/>
  <c r="W506" i="23"/>
  <c r="P507" i="23" s="1"/>
  <c r="Q507" i="23" s="1"/>
  <c r="W183" i="23"/>
  <c r="P184" i="23" s="1"/>
  <c r="Q184" i="23" s="1"/>
  <c r="U184" i="23"/>
  <c r="R185" i="23"/>
  <c r="M788" i="23"/>
  <c r="N788" i="23" s="1"/>
  <c r="AJ374" i="22"/>
  <c r="M597" i="23"/>
  <c r="N597" i="23" s="1"/>
  <c r="U598" i="23"/>
  <c r="W598" i="23" s="1"/>
  <c r="P599" i="23" s="1"/>
  <c r="Q599" i="23" s="1"/>
  <c r="R599" i="23"/>
  <c r="R600" i="23" s="1"/>
  <c r="U600" i="23" s="1"/>
  <c r="AD1238" i="23"/>
  <c r="AD1239" i="23" s="1"/>
  <c r="R1645" i="23"/>
  <c r="U1644" i="23"/>
  <c r="W1644" i="23" s="1"/>
  <c r="P1645" i="23" s="1"/>
  <c r="Q1645" i="23" s="1"/>
  <c r="J1244" i="23"/>
  <c r="O1244" i="23"/>
  <c r="AC1098" i="23"/>
  <c r="H1646" i="23"/>
  <c r="J1645" i="23"/>
  <c r="O1645" i="23"/>
  <c r="AD1092" i="23"/>
  <c r="AD1093" i="23" s="1"/>
  <c r="AJ378" i="34"/>
  <c r="AK378" i="34" s="1"/>
  <c r="O1175" i="23"/>
  <c r="H1176" i="23"/>
  <c r="M1176" i="23" s="1"/>
  <c r="N1176" i="23" s="1"/>
  <c r="J1175" i="23"/>
  <c r="R1176" i="23"/>
  <c r="U1175" i="23"/>
  <c r="W1175" i="23" s="1"/>
  <c r="P1176" i="23" s="1"/>
  <c r="Q1176" i="23" s="1"/>
  <c r="U1619" i="23"/>
  <c r="H727" i="23"/>
  <c r="M727" i="23" s="1"/>
  <c r="N727" i="23" s="1"/>
  <c r="O726" i="23"/>
  <c r="J726" i="23"/>
  <c r="O725" i="23"/>
  <c r="J725" i="23"/>
  <c r="N226" i="23"/>
  <c r="H227" i="23" s="1"/>
  <c r="M227" i="23" s="1"/>
  <c r="U226" i="23"/>
  <c r="R227" i="23"/>
  <c r="R228" i="23" s="1"/>
  <c r="U228" i="23" s="1"/>
  <c r="U162" i="23"/>
  <c r="W162" i="23" s="1"/>
  <c r="P163" i="23" s="1"/>
  <c r="Q163" i="23" s="1"/>
  <c r="R163" i="23"/>
  <c r="H443" i="23"/>
  <c r="U895" i="23"/>
  <c r="W895" i="23" s="1"/>
  <c r="P896" i="23" s="1"/>
  <c r="Q896" i="23" s="1"/>
  <c r="W896" i="23" s="1"/>
  <c r="O895" i="23"/>
  <c r="J895" i="23"/>
  <c r="O1602" i="23"/>
  <c r="H1603" i="23"/>
  <c r="M1603" i="23" s="1"/>
  <c r="N1603" i="23" s="1"/>
  <c r="H1604" i="23" s="1"/>
  <c r="M1604" i="23" s="1"/>
  <c r="N1604" i="23" s="1"/>
  <c r="H1597" i="23"/>
  <c r="O1596" i="23"/>
  <c r="J1596" i="23"/>
  <c r="N1668" i="23"/>
  <c r="O1074" i="23"/>
  <c r="J1074" i="23"/>
  <c r="H1075" i="23"/>
  <c r="P1577" i="23"/>
  <c r="Q1577" i="23" s="1"/>
  <c r="K1577" i="23"/>
  <c r="L1577" i="23" s="1"/>
  <c r="M1577" i="23" s="1"/>
  <c r="N1577" i="23" s="1"/>
  <c r="AD374" i="23"/>
  <c r="AD376" i="23" s="1"/>
  <c r="U1150" i="23"/>
  <c r="R1151" i="23"/>
  <c r="U1151" i="23" s="1"/>
  <c r="H1151" i="23"/>
  <c r="J1150" i="23"/>
  <c r="O1150" i="23"/>
  <c r="O685" i="23"/>
  <c r="J685" i="23"/>
  <c r="R682" i="23"/>
  <c r="U681" i="23"/>
  <c r="O684" i="23"/>
  <c r="J684" i="23"/>
  <c r="R246" i="23"/>
  <c r="R247" i="23" s="1"/>
  <c r="O807" i="23"/>
  <c r="J807" i="23"/>
  <c r="U358" i="23"/>
  <c r="U362" i="23" s="1"/>
  <c r="W362" i="23" s="1"/>
  <c r="J358" i="23"/>
  <c r="O358" i="23"/>
  <c r="W356" i="23"/>
  <c r="U461" i="23"/>
  <c r="W461" i="23" s="1"/>
  <c r="P462" i="23" s="1"/>
  <c r="Q462" i="23" s="1"/>
  <c r="O462" i="23"/>
  <c r="H463" i="23"/>
  <c r="M463" i="23" s="1"/>
  <c r="N463" i="23" s="1"/>
  <c r="O549" i="23"/>
  <c r="H550" i="23"/>
  <c r="M550" i="23" s="1"/>
  <c r="N550" i="23" s="1"/>
  <c r="J549" i="23"/>
  <c r="R549" i="23"/>
  <c r="U548" i="23"/>
  <c r="W548" i="23" s="1"/>
  <c r="P549" i="23" s="1"/>
  <c r="Q549" i="23" s="1"/>
  <c r="R463" i="23"/>
  <c r="U462" i="23"/>
  <c r="AD1866" i="23"/>
  <c r="AD1867" i="23" s="1"/>
  <c r="AD1868" i="23" s="1"/>
  <c r="Q483" i="23"/>
  <c r="W483" i="23" s="1"/>
  <c r="U1828" i="23"/>
  <c r="W1828" i="23" s="1"/>
  <c r="W93" i="23" l="1"/>
  <c r="P94" i="23" s="1"/>
  <c r="Q94" i="23" s="1"/>
  <c r="R94" i="23" s="1"/>
  <c r="U94" i="23" s="1"/>
  <c r="W94" i="23" s="1"/>
  <c r="P95" i="23" s="1"/>
  <c r="Q95" i="23" s="1"/>
  <c r="K945" i="23"/>
  <c r="L945" i="23" s="1"/>
  <c r="M92" i="23"/>
  <c r="N92" i="23" s="1"/>
  <c r="W1798" i="23"/>
  <c r="P1799" i="23" s="1"/>
  <c r="Q1799" i="23" s="1"/>
  <c r="O1843" i="23"/>
  <c r="J1843" i="23"/>
  <c r="H1844" i="23"/>
  <c r="M1844" i="23" s="1"/>
  <c r="N1844" i="23" s="1"/>
  <c r="U1844" i="23"/>
  <c r="R1845" i="23"/>
  <c r="W1843" i="23"/>
  <c r="P1844" i="23" s="1"/>
  <c r="Q1844" i="23" s="1"/>
  <c r="W989" i="23"/>
  <c r="P990" i="23" s="1"/>
  <c r="Q990" i="23" s="1"/>
  <c r="R1315" i="23"/>
  <c r="U1315" i="23" s="1"/>
  <c r="AE394" i="22" s="1"/>
  <c r="O1799" i="23"/>
  <c r="J1799" i="23"/>
  <c r="H1800" i="23"/>
  <c r="M1800" i="23" s="1"/>
  <c r="N1800" i="23" s="1"/>
  <c r="U1799" i="23"/>
  <c r="W1799" i="23" s="1"/>
  <c r="P1800" i="23" s="1"/>
  <c r="Q1800" i="23" s="1"/>
  <c r="R1800" i="23"/>
  <c r="H1503" i="23"/>
  <c r="K417" i="23"/>
  <c r="L417" i="23" s="1"/>
  <c r="M417" i="23" s="1"/>
  <c r="N417" i="23" s="1"/>
  <c r="O417" i="23" s="1"/>
  <c r="U1781" i="23"/>
  <c r="W1781" i="23" s="1"/>
  <c r="P1782" i="23" s="1"/>
  <c r="Q1782" i="23" s="1"/>
  <c r="R1782" i="23"/>
  <c r="U1782" i="23" s="1"/>
  <c r="AH521" i="22" s="1"/>
  <c r="U1754" i="23"/>
  <c r="R1755" i="23"/>
  <c r="J1755" i="23"/>
  <c r="O1755" i="23"/>
  <c r="H1756" i="23"/>
  <c r="M1756" i="23" s="1"/>
  <c r="N1756" i="23" s="1"/>
  <c r="W1362" i="23"/>
  <c r="P1363" i="23" s="1"/>
  <c r="Q1363" i="23" s="1"/>
  <c r="W1363" i="23" s="1"/>
  <c r="P1364" i="23" s="1"/>
  <c r="Q1364" i="23" s="1"/>
  <c r="W1364" i="23" s="1"/>
  <c r="P1365" i="23" s="1"/>
  <c r="Q1365" i="23" s="1"/>
  <c r="W1365" i="23" s="1"/>
  <c r="P1366" i="23" s="1"/>
  <c r="Q1366" i="23" s="1"/>
  <c r="W1366" i="23" s="1"/>
  <c r="P1367" i="23" s="1"/>
  <c r="Q1367" i="23" s="1"/>
  <c r="W1367" i="23" s="1"/>
  <c r="O1604" i="23"/>
  <c r="J1604" i="23"/>
  <c r="W1619" i="23"/>
  <c r="P1620" i="23" s="1"/>
  <c r="Q1620" i="23" s="1"/>
  <c r="W1620" i="23" s="1"/>
  <c r="P1621" i="23" s="1"/>
  <c r="Q1621" i="23" s="1"/>
  <c r="AB482" i="22"/>
  <c r="M1550" i="23"/>
  <c r="N1550" i="23" s="1"/>
  <c r="U1461" i="23"/>
  <c r="W1461" i="23" s="1"/>
  <c r="P1462" i="23" s="1"/>
  <c r="Q1462" i="23" s="1"/>
  <c r="R1462" i="23"/>
  <c r="H1462" i="23"/>
  <c r="O1461" i="23"/>
  <c r="J1461" i="23"/>
  <c r="O1385" i="23"/>
  <c r="H1386" i="23"/>
  <c r="J1385" i="23"/>
  <c r="R1385" i="23"/>
  <c r="J1362" i="23"/>
  <c r="H1363" i="23"/>
  <c r="O1362" i="23"/>
  <c r="U1370" i="23"/>
  <c r="U1337" i="23"/>
  <c r="AB400" i="22" s="1"/>
  <c r="R1338" i="23"/>
  <c r="M1336" i="23"/>
  <c r="N1336" i="23" s="1"/>
  <c r="U1262" i="23"/>
  <c r="W1262" i="23" s="1"/>
  <c r="P1263" i="23" s="1"/>
  <c r="Q1263" i="23" s="1"/>
  <c r="R1263" i="23"/>
  <c r="O1262" i="23"/>
  <c r="H1263" i="23"/>
  <c r="J1262" i="23"/>
  <c r="K65" i="23"/>
  <c r="L65" i="23" s="1"/>
  <c r="M65" i="23" s="1"/>
  <c r="N65" i="23" s="1"/>
  <c r="J65" i="23" s="1"/>
  <c r="J1219" i="23"/>
  <c r="O1219" i="23"/>
  <c r="H1220" i="23"/>
  <c r="M1220" i="23" s="1"/>
  <c r="N1220" i="23" s="1"/>
  <c r="H1221" i="23" s="1"/>
  <c r="M1221" i="23" s="1"/>
  <c r="N1221" i="23" s="1"/>
  <c r="W1194" i="23"/>
  <c r="P1195" i="23" s="1"/>
  <c r="Q1195" i="23" s="1"/>
  <c r="AB362" i="22"/>
  <c r="W226" i="23"/>
  <c r="P227" i="23" s="1"/>
  <c r="Q227" i="23" s="1"/>
  <c r="W703" i="23"/>
  <c r="P704" i="23" s="1"/>
  <c r="Q704" i="23" s="1"/>
  <c r="O1502" i="23"/>
  <c r="W527" i="23"/>
  <c r="P528" i="23" s="1"/>
  <c r="Q528" i="23" s="1"/>
  <c r="W528" i="23" s="1"/>
  <c r="P529" i="23" s="1"/>
  <c r="Q529" i="23" s="1"/>
  <c r="U750" i="23"/>
  <c r="R751" i="23"/>
  <c r="U751" i="23" s="1"/>
  <c r="N163" i="23"/>
  <c r="H164" i="23" s="1"/>
  <c r="M164" i="23" s="1"/>
  <c r="N164" i="23" s="1"/>
  <c r="J164" i="23" s="1"/>
  <c r="H751" i="23"/>
  <c r="M751" i="23" s="1"/>
  <c r="N751" i="23" s="1"/>
  <c r="J750" i="23"/>
  <c r="O750" i="23"/>
  <c r="W849" i="23"/>
  <c r="P850" i="23" s="1"/>
  <c r="Q850" i="23" s="1"/>
  <c r="AB262" i="22"/>
  <c r="R788" i="23"/>
  <c r="R789" i="23" s="1"/>
  <c r="U789" i="23" s="1"/>
  <c r="H789" i="23"/>
  <c r="M789" i="23" s="1"/>
  <c r="N789" i="23" s="1"/>
  <c r="M569" i="23"/>
  <c r="N569" i="23" s="1"/>
  <c r="R569" i="23" s="1"/>
  <c r="U569" i="23" s="1"/>
  <c r="W569" i="23" s="1"/>
  <c r="P570" i="23" s="1"/>
  <c r="Q570" i="23" s="1"/>
  <c r="AB185" i="22"/>
  <c r="O463" i="23"/>
  <c r="H464" i="23"/>
  <c r="M464" i="23" s="1"/>
  <c r="N464" i="23" s="1"/>
  <c r="U463" i="23"/>
  <c r="AI128" i="34" s="1"/>
  <c r="R464" i="23"/>
  <c r="U464" i="23" s="1"/>
  <c r="O336" i="23"/>
  <c r="J336" i="23"/>
  <c r="H337" i="23"/>
  <c r="H314" i="23"/>
  <c r="J313" i="23"/>
  <c r="O313" i="23"/>
  <c r="P263" i="23"/>
  <c r="Q263" i="23" s="1"/>
  <c r="K263" i="23"/>
  <c r="L263" i="23" s="1"/>
  <c r="M263" i="23" s="1"/>
  <c r="N263" i="23" s="1"/>
  <c r="O263" i="23" s="1"/>
  <c r="M246" i="23"/>
  <c r="N246" i="23" s="1"/>
  <c r="R202" i="23"/>
  <c r="U201" i="23"/>
  <c r="W201" i="23" s="1"/>
  <c r="P202" i="23" s="1"/>
  <c r="Q202" i="23" s="1"/>
  <c r="N202" i="23"/>
  <c r="J202" i="23" s="1"/>
  <c r="M182" i="23"/>
  <c r="N182" i="23" s="1"/>
  <c r="U163" i="23"/>
  <c r="AI57" i="34" s="1"/>
  <c r="R164" i="23"/>
  <c r="U164" i="23" s="1"/>
  <c r="K48" i="23"/>
  <c r="L48" i="23" s="1"/>
  <c r="M48" i="23" s="1"/>
  <c r="N48" i="23" s="1"/>
  <c r="R1709" i="23"/>
  <c r="U1708" i="23"/>
  <c r="W1708" i="23" s="1"/>
  <c r="P1709" i="23" s="1"/>
  <c r="Q1709" i="23" s="1"/>
  <c r="O1707" i="23"/>
  <c r="H1708" i="23"/>
  <c r="J1707" i="23"/>
  <c r="W1503" i="23"/>
  <c r="P1504" i="23" s="1"/>
  <c r="Q1504" i="23" s="1"/>
  <c r="W1504" i="23" s="1"/>
  <c r="P1505" i="23" s="1"/>
  <c r="Q1505" i="23" s="1"/>
  <c r="AB452" i="22"/>
  <c r="M1503" i="23"/>
  <c r="N1503" i="23" s="1"/>
  <c r="R141" i="23"/>
  <c r="J141" i="23"/>
  <c r="H142" i="23"/>
  <c r="O141" i="23"/>
  <c r="U1012" i="23"/>
  <c r="W1012" i="23" s="1"/>
  <c r="P1013" i="23" s="1"/>
  <c r="Q1013" i="23" s="1"/>
  <c r="R1013" i="23"/>
  <c r="U1013" i="23" s="1"/>
  <c r="J1013" i="23"/>
  <c r="H1014" i="23"/>
  <c r="O1013" i="23"/>
  <c r="H291" i="23"/>
  <c r="J290" i="23"/>
  <c r="O290" i="23"/>
  <c r="W1150" i="23"/>
  <c r="P1151" i="23" s="1"/>
  <c r="Q1151" i="23" s="1"/>
  <c r="W1151" i="23" s="1"/>
  <c r="P1152" i="23" s="1"/>
  <c r="Q1152" i="23" s="1"/>
  <c r="AB346" i="22"/>
  <c r="O919" i="23"/>
  <c r="J919" i="23"/>
  <c r="H920" i="23"/>
  <c r="W920" i="23"/>
  <c r="P921" i="23" s="1"/>
  <c r="Q921" i="23" s="1"/>
  <c r="W921" i="23" s="1"/>
  <c r="P922" i="23" s="1"/>
  <c r="Q922" i="23" s="1"/>
  <c r="M1151" i="23"/>
  <c r="N1151" i="23" s="1"/>
  <c r="AJ308" i="34"/>
  <c r="AK308" i="34" s="1"/>
  <c r="AD1485" i="23"/>
  <c r="AD1486" i="23" s="1"/>
  <c r="W1489" i="23"/>
  <c r="M768" i="23"/>
  <c r="N768" i="23" s="1"/>
  <c r="J966" i="23"/>
  <c r="R1668" i="23"/>
  <c r="AI336" i="34" s="1"/>
  <c r="H1669" i="23"/>
  <c r="U772" i="23"/>
  <c r="AD1283" i="23"/>
  <c r="M824" i="23"/>
  <c r="N824" i="23" s="1"/>
  <c r="O1408" i="23"/>
  <c r="W1432" i="23"/>
  <c r="P1433" i="23" s="1"/>
  <c r="Q1433" i="23" s="1"/>
  <c r="W1433" i="23" s="1"/>
  <c r="P1434" i="23" s="1"/>
  <c r="Q1434" i="23" s="1"/>
  <c r="AB431" i="22"/>
  <c r="H1409" i="23"/>
  <c r="K1409" i="23" s="1"/>
  <c r="L1409" i="23" s="1"/>
  <c r="M1409" i="23" s="1"/>
  <c r="O1432" i="23"/>
  <c r="H1433" i="23"/>
  <c r="J1432" i="23"/>
  <c r="H967" i="23"/>
  <c r="M967" i="23" s="1"/>
  <c r="N967" i="23" s="1"/>
  <c r="J637" i="23"/>
  <c r="R637" i="23"/>
  <c r="U637" i="23" s="1"/>
  <c r="O637" i="23"/>
  <c r="H638" i="23"/>
  <c r="U965" i="23"/>
  <c r="W965" i="23" s="1"/>
  <c r="P966" i="23" s="1"/>
  <c r="Q966" i="23" s="1"/>
  <c r="J871" i="23"/>
  <c r="AD1240" i="23"/>
  <c r="AJ97" i="34"/>
  <c r="AK97" i="34" s="1"/>
  <c r="AJ364" i="34"/>
  <c r="AK364" i="34" s="1"/>
  <c r="U1731" i="23"/>
  <c r="W1731" i="23" s="1"/>
  <c r="P1732" i="23" s="1"/>
  <c r="Q1732" i="23" s="1"/>
  <c r="R1732" i="23"/>
  <c r="J1730" i="23"/>
  <c r="O1730" i="23"/>
  <c r="H1731" i="23"/>
  <c r="O871" i="23"/>
  <c r="R871" i="23"/>
  <c r="U871" i="23" s="1"/>
  <c r="W871" i="23" s="1"/>
  <c r="P872" i="23" s="1"/>
  <c r="Q872" i="23" s="1"/>
  <c r="J1196" i="23"/>
  <c r="O1196" i="23"/>
  <c r="H1197" i="23"/>
  <c r="R1196" i="23"/>
  <c r="U1196" i="23" s="1"/>
  <c r="U1195" i="23"/>
  <c r="W1195" i="23" s="1"/>
  <c r="P1196" i="23" s="1"/>
  <c r="Q1196" i="23" s="1"/>
  <c r="R967" i="23"/>
  <c r="U966" i="23"/>
  <c r="K990" i="23"/>
  <c r="L990" i="23" s="1"/>
  <c r="O788" i="23"/>
  <c r="H850" i="23"/>
  <c r="J849" i="23"/>
  <c r="O849" i="23"/>
  <c r="R851" i="23"/>
  <c r="U850" i="23"/>
  <c r="M704" i="23"/>
  <c r="N704" i="23" s="1"/>
  <c r="R705" i="23"/>
  <c r="U705" i="23" s="1"/>
  <c r="U704" i="23"/>
  <c r="W507" i="23"/>
  <c r="P508" i="23" s="1"/>
  <c r="Q508" i="23" s="1"/>
  <c r="W508" i="23" s="1"/>
  <c r="P509" i="23" s="1"/>
  <c r="Q509" i="23" s="1"/>
  <c r="W509" i="23" s="1"/>
  <c r="P510" i="23" s="1"/>
  <c r="Q510" i="23" s="1"/>
  <c r="W510" i="23" s="1"/>
  <c r="U512" i="23"/>
  <c r="M507" i="23"/>
  <c r="N507" i="23" s="1"/>
  <c r="J417" i="23"/>
  <c r="J788" i="23"/>
  <c r="R186" i="23"/>
  <c r="U185" i="23"/>
  <c r="W184" i="23"/>
  <c r="P185" i="23" s="1"/>
  <c r="Q185" i="23" s="1"/>
  <c r="U599" i="23"/>
  <c r="W599" i="23" s="1"/>
  <c r="P600" i="23" s="1"/>
  <c r="Q600" i="23" s="1"/>
  <c r="W600" i="23" s="1"/>
  <c r="H598" i="23"/>
  <c r="J597" i="23"/>
  <c r="O597" i="23"/>
  <c r="AD1094" i="23"/>
  <c r="U1645" i="23"/>
  <c r="W1645" i="23" s="1"/>
  <c r="P1646" i="23" s="1"/>
  <c r="Q1646" i="23" s="1"/>
  <c r="R1646" i="23"/>
  <c r="R1647" i="23" s="1"/>
  <c r="U1647" i="23" s="1"/>
  <c r="M1646" i="23"/>
  <c r="N1646" i="23" s="1"/>
  <c r="H1647" i="23" s="1"/>
  <c r="M1647" i="23" s="1"/>
  <c r="N1647" i="23" s="1"/>
  <c r="H1177" i="23"/>
  <c r="M1177" i="23" s="1"/>
  <c r="N1177" i="23" s="1"/>
  <c r="H1178" i="23" s="1"/>
  <c r="M1178" i="23" s="1"/>
  <c r="N1178" i="23" s="1"/>
  <c r="J1176" i="23"/>
  <c r="O1176" i="23"/>
  <c r="U1176" i="23"/>
  <c r="W1176" i="23" s="1"/>
  <c r="P1177" i="23" s="1"/>
  <c r="Q1177" i="23" s="1"/>
  <c r="R1177" i="23"/>
  <c r="J727" i="23"/>
  <c r="O727" i="23"/>
  <c r="H728" i="23"/>
  <c r="M728" i="23" s="1"/>
  <c r="N728" i="23" s="1"/>
  <c r="U227" i="23"/>
  <c r="U230" i="23" s="1"/>
  <c r="W230" i="23" s="1"/>
  <c r="J226" i="23"/>
  <c r="O226" i="23"/>
  <c r="M443" i="23"/>
  <c r="N443" i="23" s="1"/>
  <c r="W1315" i="23"/>
  <c r="K1316" i="23" s="1"/>
  <c r="L1316" i="23" s="1"/>
  <c r="AD377" i="23"/>
  <c r="O1603" i="23"/>
  <c r="J1603" i="23"/>
  <c r="M1597" i="23"/>
  <c r="N1597" i="23" s="1"/>
  <c r="H1598" i="23" s="1"/>
  <c r="M1598" i="23" s="1"/>
  <c r="N1598" i="23" s="1"/>
  <c r="O1668" i="23"/>
  <c r="J1668" i="23"/>
  <c r="M1075" i="23"/>
  <c r="N1075" i="23" s="1"/>
  <c r="H1578" i="23"/>
  <c r="M1578" i="23" s="1"/>
  <c r="N1578" i="23" s="1"/>
  <c r="J1577" i="23"/>
  <c r="O1577" i="23"/>
  <c r="R1577" i="23"/>
  <c r="R683" i="23"/>
  <c r="U682" i="23"/>
  <c r="W681" i="23"/>
  <c r="P682" i="23" s="1"/>
  <c r="Q682" i="23" s="1"/>
  <c r="U248" i="23"/>
  <c r="R249" i="23"/>
  <c r="R250" i="23" s="1"/>
  <c r="U250" i="23" s="1"/>
  <c r="U246" i="23"/>
  <c r="W246" i="23" s="1"/>
  <c r="P247" i="23" s="1"/>
  <c r="Q247" i="23" s="1"/>
  <c r="U247" i="23"/>
  <c r="AD353" i="23"/>
  <c r="AD355" i="23" s="1"/>
  <c r="P357" i="23"/>
  <c r="Q357" i="23" s="1"/>
  <c r="W357" i="23" s="1"/>
  <c r="P358" i="23" s="1"/>
  <c r="Q358" i="23" s="1"/>
  <c r="W358" i="23" s="1"/>
  <c r="P359" i="23" s="1"/>
  <c r="Q359" i="23" s="1"/>
  <c r="W359" i="23" s="1"/>
  <c r="W462" i="23"/>
  <c r="P463" i="23" s="1"/>
  <c r="Q463" i="23" s="1"/>
  <c r="J463" i="23"/>
  <c r="J550" i="23"/>
  <c r="O550" i="23"/>
  <c r="H551" i="23"/>
  <c r="M551" i="23" s="1"/>
  <c r="N551" i="23" s="1"/>
  <c r="R550" i="23"/>
  <c r="U549" i="23"/>
  <c r="AD485" i="23"/>
  <c r="P484" i="23"/>
  <c r="Q484" i="23" s="1"/>
  <c r="W484" i="23" s="1"/>
  <c r="P485" i="23" s="1"/>
  <c r="Q485" i="23" s="1"/>
  <c r="W485" i="23" s="1"/>
  <c r="AD1823" i="23"/>
  <c r="K95" i="23" l="1"/>
  <c r="L95" i="23" s="1"/>
  <c r="M95" i="23" s="1"/>
  <c r="N95" i="23" s="1"/>
  <c r="R95" i="23" s="1"/>
  <c r="M945" i="23"/>
  <c r="N945" i="23" s="1"/>
  <c r="R945" i="23" s="1"/>
  <c r="J92" i="23"/>
  <c r="O92" i="23"/>
  <c r="H93" i="23"/>
  <c r="R417" i="23"/>
  <c r="U417" i="23" s="1"/>
  <c r="W417" i="23" s="1"/>
  <c r="P418" i="23" s="1"/>
  <c r="Q418" i="23" s="1"/>
  <c r="H418" i="23"/>
  <c r="W1844" i="23"/>
  <c r="P1845" i="23" s="1"/>
  <c r="Q1845" i="23" s="1"/>
  <c r="AB535" i="22"/>
  <c r="H1845" i="23"/>
  <c r="M1845" i="23" s="1"/>
  <c r="N1845" i="23" s="1"/>
  <c r="O1844" i="23"/>
  <c r="J1844" i="23"/>
  <c r="R1846" i="23"/>
  <c r="U1846" i="23" s="1"/>
  <c r="U1845" i="23"/>
  <c r="AI364" i="34"/>
  <c r="H1801" i="23"/>
  <c r="M1801" i="23" s="1"/>
  <c r="N1801" i="23" s="1"/>
  <c r="J1800" i="23"/>
  <c r="O1800" i="23"/>
  <c r="U1800" i="23"/>
  <c r="R1801" i="23"/>
  <c r="U1801" i="23" s="1"/>
  <c r="W1782" i="23"/>
  <c r="U788" i="23"/>
  <c r="U791" i="23" s="1"/>
  <c r="W791" i="23" s="1"/>
  <c r="R1756" i="23"/>
  <c r="U1756" i="23" s="1"/>
  <c r="U1755" i="23"/>
  <c r="O1756" i="23"/>
  <c r="H1757" i="23"/>
  <c r="J1756" i="23"/>
  <c r="W1754" i="23"/>
  <c r="P1755" i="23" s="1"/>
  <c r="Q1755" i="23" s="1"/>
  <c r="K1621" i="23"/>
  <c r="L1621" i="23" s="1"/>
  <c r="M1621" i="23" s="1"/>
  <c r="N1621" i="23" s="1"/>
  <c r="O1621" i="23" s="1"/>
  <c r="J1647" i="23"/>
  <c r="O1647" i="23"/>
  <c r="H1551" i="23"/>
  <c r="J1550" i="23"/>
  <c r="O1550" i="23"/>
  <c r="M1462" i="23"/>
  <c r="N1462" i="23" s="1"/>
  <c r="R1463" i="23"/>
  <c r="U1462" i="23"/>
  <c r="W1462" i="23" s="1"/>
  <c r="P1463" i="23" s="1"/>
  <c r="Q1463" i="23" s="1"/>
  <c r="U1385" i="23"/>
  <c r="W1385" i="23" s="1"/>
  <c r="P1386" i="23" s="1"/>
  <c r="Q1386" i="23" s="1"/>
  <c r="R1386" i="23"/>
  <c r="U1386" i="23" s="1"/>
  <c r="M1386" i="23"/>
  <c r="N1386" i="23" s="1"/>
  <c r="M1363" i="23"/>
  <c r="N1363" i="23" s="1"/>
  <c r="AD1361" i="23"/>
  <c r="AD1363" i="23" s="1"/>
  <c r="W1370" i="23"/>
  <c r="AJ288" i="34"/>
  <c r="AK288" i="34" s="1"/>
  <c r="W463" i="23"/>
  <c r="P464" i="23" s="1"/>
  <c r="Q464" i="23" s="1"/>
  <c r="W464" i="23" s="1"/>
  <c r="W1337" i="23"/>
  <c r="P1338" i="23" s="1"/>
  <c r="Q1338" i="23" s="1"/>
  <c r="O1336" i="23"/>
  <c r="J1336" i="23"/>
  <c r="H1337" i="23"/>
  <c r="M1337" i="23" s="1"/>
  <c r="N1337" i="23" s="1"/>
  <c r="U1338" i="23"/>
  <c r="R1339" i="23"/>
  <c r="O163" i="23"/>
  <c r="J163" i="23"/>
  <c r="M1263" i="23"/>
  <c r="N1263" i="23" s="1"/>
  <c r="U1263" i="23"/>
  <c r="W1263" i="23" s="1"/>
  <c r="P1264" i="23" s="1"/>
  <c r="Q1264" i="23" s="1"/>
  <c r="R1264" i="23"/>
  <c r="J263" i="23"/>
  <c r="H1222" i="23"/>
  <c r="J1221" i="23"/>
  <c r="O1221" i="23"/>
  <c r="J1220" i="23"/>
  <c r="O1220" i="23"/>
  <c r="AB291" i="22"/>
  <c r="U1177" i="23"/>
  <c r="W1177" i="23" s="1"/>
  <c r="P1178" i="23" s="1"/>
  <c r="Q1178" i="23" s="1"/>
  <c r="R1178" i="23"/>
  <c r="U1178" i="23" s="1"/>
  <c r="J1178" i="23"/>
  <c r="O1178" i="23"/>
  <c r="AI183" i="34"/>
  <c r="O164" i="23"/>
  <c r="J751" i="23"/>
  <c r="O751" i="23"/>
  <c r="W850" i="23"/>
  <c r="P851" i="23" s="1"/>
  <c r="Q851" i="23" s="1"/>
  <c r="U753" i="23"/>
  <c r="W750" i="23"/>
  <c r="P751" i="23" s="1"/>
  <c r="Q751" i="23" s="1"/>
  <c r="W751" i="23" s="1"/>
  <c r="AI177" i="34"/>
  <c r="J789" i="23"/>
  <c r="O789" i="23"/>
  <c r="U1668" i="23"/>
  <c r="W1668" i="23" s="1"/>
  <c r="P1669" i="23" s="1"/>
  <c r="Q1669" i="23" s="1"/>
  <c r="W704" i="23"/>
  <c r="P705" i="23" s="1"/>
  <c r="Q705" i="23" s="1"/>
  <c r="W705" i="23" s="1"/>
  <c r="P706" i="23" s="1"/>
  <c r="Q706" i="23" s="1"/>
  <c r="AB232" i="22"/>
  <c r="R65" i="23"/>
  <c r="U65" i="23" s="1"/>
  <c r="W65" i="23" s="1"/>
  <c r="P66" i="23" s="1"/>
  <c r="Q66" i="23" s="1"/>
  <c r="O65" i="23"/>
  <c r="W549" i="23"/>
  <c r="P550" i="23" s="1"/>
  <c r="Q550" i="23" s="1"/>
  <c r="AB193" i="22"/>
  <c r="H570" i="23"/>
  <c r="K570" i="23" s="1"/>
  <c r="L570" i="23" s="1"/>
  <c r="J569" i="23"/>
  <c r="O569" i="23"/>
  <c r="O464" i="23"/>
  <c r="J464" i="23"/>
  <c r="W163" i="23"/>
  <c r="P164" i="23" s="1"/>
  <c r="Q164" i="23" s="1"/>
  <c r="W164" i="23" s="1"/>
  <c r="H264" i="23"/>
  <c r="R263" i="23"/>
  <c r="M337" i="23"/>
  <c r="N337" i="23" s="1"/>
  <c r="M314" i="23"/>
  <c r="N314" i="23" s="1"/>
  <c r="M264" i="23"/>
  <c r="N264" i="23" s="1"/>
  <c r="J246" i="23"/>
  <c r="O246" i="23"/>
  <c r="H247" i="23"/>
  <c r="U202" i="23"/>
  <c r="W202" i="23" s="1"/>
  <c r="P203" i="23" s="1"/>
  <c r="Q203" i="23" s="1"/>
  <c r="R203" i="23"/>
  <c r="U203" i="23" s="1"/>
  <c r="H203" i="23"/>
  <c r="M203" i="23" s="1"/>
  <c r="N203" i="23" s="1"/>
  <c r="O202" i="23"/>
  <c r="J182" i="23"/>
  <c r="O182" i="23"/>
  <c r="H183" i="23"/>
  <c r="H66" i="23"/>
  <c r="R48" i="23"/>
  <c r="H49" i="23"/>
  <c r="M49" i="23" s="1"/>
  <c r="N49" i="23" s="1"/>
  <c r="J48" i="23"/>
  <c r="O48" i="23"/>
  <c r="R1710" i="23"/>
  <c r="U1710" i="23" s="1"/>
  <c r="U1709" i="23"/>
  <c r="AB501" i="22" s="1"/>
  <c r="M1708" i="23"/>
  <c r="N1708" i="23" s="1"/>
  <c r="J1503" i="23"/>
  <c r="O1503" i="23"/>
  <c r="H1504" i="23"/>
  <c r="M142" i="23"/>
  <c r="N142" i="23" s="1"/>
  <c r="W1013" i="23"/>
  <c r="P1014" i="23" s="1"/>
  <c r="Q1014" i="23" s="1"/>
  <c r="R142" i="23"/>
  <c r="U141" i="23"/>
  <c r="W141" i="23" s="1"/>
  <c r="P142" i="23" s="1"/>
  <c r="Q142" i="23" s="1"/>
  <c r="K291" i="23"/>
  <c r="L291" i="23" s="1"/>
  <c r="AD1487" i="23"/>
  <c r="M920" i="23"/>
  <c r="N920" i="23" s="1"/>
  <c r="H1152" i="23"/>
  <c r="K1152" i="23" s="1"/>
  <c r="L1152" i="23" s="1"/>
  <c r="J1151" i="23"/>
  <c r="O1151" i="23"/>
  <c r="J768" i="23"/>
  <c r="H769" i="23"/>
  <c r="O768" i="23"/>
  <c r="AD768" i="23"/>
  <c r="AD769" i="23" s="1"/>
  <c r="W772" i="23"/>
  <c r="J824" i="23"/>
  <c r="O824" i="23"/>
  <c r="H825" i="23"/>
  <c r="M1433" i="23"/>
  <c r="N1433" i="23" s="1"/>
  <c r="N1409" i="23"/>
  <c r="O1409" i="23" s="1"/>
  <c r="W966" i="23"/>
  <c r="P967" i="23" s="1"/>
  <c r="Q967" i="23" s="1"/>
  <c r="W637" i="23"/>
  <c r="P638" i="23" s="1"/>
  <c r="Q638" i="23" s="1"/>
  <c r="W1196" i="23"/>
  <c r="P1197" i="23" s="1"/>
  <c r="Q1197" i="23" s="1"/>
  <c r="K872" i="23"/>
  <c r="L872" i="23" s="1"/>
  <c r="M872" i="23" s="1"/>
  <c r="N872" i="23" s="1"/>
  <c r="H873" i="23" s="1"/>
  <c r="M873" i="23" s="1"/>
  <c r="N873" i="23" s="1"/>
  <c r="J873" i="23" s="1"/>
  <c r="AD505" i="23"/>
  <c r="AD506" i="23" s="1"/>
  <c r="AI358" i="34"/>
  <c r="U1732" i="23"/>
  <c r="W1732" i="23" s="1"/>
  <c r="P1733" i="23" s="1"/>
  <c r="Q1733" i="23" s="1"/>
  <c r="R1733" i="23"/>
  <c r="M1731" i="23"/>
  <c r="N1731" i="23" s="1"/>
  <c r="O967" i="23"/>
  <c r="H968" i="23"/>
  <c r="M968" i="23" s="1"/>
  <c r="N968" i="23" s="1"/>
  <c r="J967" i="23"/>
  <c r="R968" i="23"/>
  <c r="U968" i="23" s="1"/>
  <c r="U967" i="23"/>
  <c r="M990" i="23"/>
  <c r="N990" i="23" s="1"/>
  <c r="K529" i="23"/>
  <c r="L529" i="23" s="1"/>
  <c r="M529" i="23" s="1"/>
  <c r="N529" i="23" s="1"/>
  <c r="R529" i="23" s="1"/>
  <c r="R852" i="23"/>
  <c r="U851" i="23"/>
  <c r="M850" i="23"/>
  <c r="N850" i="23" s="1"/>
  <c r="H705" i="23"/>
  <c r="M705" i="23" s="1"/>
  <c r="N705" i="23" s="1"/>
  <c r="J704" i="23"/>
  <c r="O704" i="23"/>
  <c r="W512" i="23"/>
  <c r="J507" i="23"/>
  <c r="O507" i="23"/>
  <c r="H508" i="23"/>
  <c r="M418" i="23"/>
  <c r="N418" i="23" s="1"/>
  <c r="W185" i="23"/>
  <c r="P186" i="23" s="1"/>
  <c r="Q186" i="23" s="1"/>
  <c r="U186" i="23"/>
  <c r="U189" i="23" s="1"/>
  <c r="W189" i="23" s="1"/>
  <c r="M598" i="23"/>
  <c r="N598" i="23" s="1"/>
  <c r="P1316" i="23"/>
  <c r="Q1316" i="23" s="1"/>
  <c r="U1646" i="23"/>
  <c r="O1646" i="23"/>
  <c r="J1646" i="23"/>
  <c r="AI71" i="34"/>
  <c r="J1177" i="23"/>
  <c r="O1177" i="23"/>
  <c r="W227" i="23"/>
  <c r="P228" i="23" s="1"/>
  <c r="Q228" i="23" s="1"/>
  <c r="W228" i="23" s="1"/>
  <c r="O728" i="23"/>
  <c r="H729" i="23"/>
  <c r="M729" i="23" s="1"/>
  <c r="N729" i="23" s="1"/>
  <c r="J728" i="23"/>
  <c r="AD220" i="23"/>
  <c r="AD223" i="23" s="1"/>
  <c r="N227" i="23"/>
  <c r="H228" i="23" s="1"/>
  <c r="J443" i="23"/>
  <c r="O443" i="23"/>
  <c r="H1599" i="23"/>
  <c r="M1599" i="23" s="1"/>
  <c r="N1599" i="23" s="1"/>
  <c r="J1598" i="23"/>
  <c r="O1598" i="23"/>
  <c r="J1597" i="23"/>
  <c r="O1597" i="23"/>
  <c r="J1075" i="23"/>
  <c r="O1075" i="23"/>
  <c r="U1577" i="23"/>
  <c r="W1577" i="23" s="1"/>
  <c r="P1578" i="23" s="1"/>
  <c r="Q1578" i="23" s="1"/>
  <c r="R1578" i="23"/>
  <c r="J1578" i="23"/>
  <c r="H1579" i="23"/>
  <c r="M1579" i="23" s="1"/>
  <c r="N1579" i="23" s="1"/>
  <c r="O1578" i="23"/>
  <c r="AI343" i="34"/>
  <c r="W682" i="23"/>
  <c r="P683" i="23" s="1"/>
  <c r="Q683" i="23" s="1"/>
  <c r="U683" i="23"/>
  <c r="U684" i="23"/>
  <c r="U249" i="23"/>
  <c r="U252" i="23" s="1"/>
  <c r="W252" i="23" s="1"/>
  <c r="W247" i="23"/>
  <c r="P248" i="23" s="1"/>
  <c r="Q248" i="23" s="1"/>
  <c r="W248" i="23" s="1"/>
  <c r="P249" i="23" s="1"/>
  <c r="Q249" i="23" s="1"/>
  <c r="M1316" i="23"/>
  <c r="N1316" i="23" s="1"/>
  <c r="AD356" i="23"/>
  <c r="AD1824" i="23"/>
  <c r="U550" i="23"/>
  <c r="R551" i="23"/>
  <c r="H552" i="23"/>
  <c r="M552" i="23" s="1"/>
  <c r="N552" i="23" s="1"/>
  <c r="J551" i="23"/>
  <c r="O551" i="23"/>
  <c r="H946" i="23" l="1"/>
  <c r="O945" i="23"/>
  <c r="J945" i="23"/>
  <c r="U945" i="23"/>
  <c r="W945" i="23" s="1"/>
  <c r="P946" i="23" s="1"/>
  <c r="Q946" i="23" s="1"/>
  <c r="R946" i="23"/>
  <c r="U946" i="23" s="1"/>
  <c r="U95" i="23"/>
  <c r="W95" i="23" s="1"/>
  <c r="P96" i="23" s="1"/>
  <c r="Q96" i="23" s="1"/>
  <c r="R96" i="23"/>
  <c r="M93" i="23"/>
  <c r="N93" i="23" s="1"/>
  <c r="H96" i="23"/>
  <c r="J95" i="23"/>
  <c r="O95" i="23"/>
  <c r="R418" i="23"/>
  <c r="U418" i="23" s="1"/>
  <c r="J1621" i="23"/>
  <c r="W788" i="23"/>
  <c r="P789" i="23" s="1"/>
  <c r="Q789" i="23" s="1"/>
  <c r="W789" i="23" s="1"/>
  <c r="AD787" i="23"/>
  <c r="AD788" i="23" s="1"/>
  <c r="AD790" i="23" s="1"/>
  <c r="AJ183" i="34"/>
  <c r="AK183" i="34" s="1"/>
  <c r="W1845" i="23"/>
  <c r="P1846" i="23" s="1"/>
  <c r="Q1846" i="23" s="1"/>
  <c r="W1846" i="23" s="1"/>
  <c r="P1847" i="23" s="1"/>
  <c r="Q1847" i="23" s="1"/>
  <c r="H1846" i="23"/>
  <c r="M1846" i="23" s="1"/>
  <c r="N1846" i="23" s="1"/>
  <c r="J1845" i="23"/>
  <c r="O1845" i="23"/>
  <c r="AB510" i="22"/>
  <c r="H1622" i="23"/>
  <c r="M1622" i="23" s="1"/>
  <c r="N1622" i="23" s="1"/>
  <c r="O1622" i="23" s="1"/>
  <c r="R1621" i="23"/>
  <c r="U1621" i="23" s="1"/>
  <c r="AD1826" i="23"/>
  <c r="J1801" i="23"/>
  <c r="O1801" i="23"/>
  <c r="H1802" i="23"/>
  <c r="W1800" i="23"/>
  <c r="P1801" i="23" s="1"/>
  <c r="Q1801" i="23" s="1"/>
  <c r="W1801" i="23" s="1"/>
  <c r="P1802" i="23" s="1"/>
  <c r="Q1802" i="23" s="1"/>
  <c r="AB523" i="22"/>
  <c r="W550" i="23"/>
  <c r="P551" i="23" s="1"/>
  <c r="Q551" i="23" s="1"/>
  <c r="AG521" i="22"/>
  <c r="AI521" i="22" s="1"/>
  <c r="W1755" i="23"/>
  <c r="P1756" i="23" s="1"/>
  <c r="Q1756" i="23" s="1"/>
  <c r="W1756" i="23" s="1"/>
  <c r="P1757" i="23" s="1"/>
  <c r="Q1757" i="23" s="1"/>
  <c r="K1551" i="23"/>
  <c r="L1551" i="23" s="1"/>
  <c r="AB438" i="22"/>
  <c r="W1386" i="23"/>
  <c r="P1387" i="23" s="1"/>
  <c r="Q1387" i="23" s="1"/>
  <c r="J1462" i="23"/>
  <c r="O1462" i="23"/>
  <c r="H1463" i="23"/>
  <c r="M1463" i="23" s="1"/>
  <c r="N1463" i="23" s="1"/>
  <c r="R1464" i="23"/>
  <c r="U1463" i="23"/>
  <c r="W1463" i="23" s="1"/>
  <c r="P1464" i="23" s="1"/>
  <c r="Q1464" i="23" s="1"/>
  <c r="H1387" i="23"/>
  <c r="J1386" i="23"/>
  <c r="O1386" i="23"/>
  <c r="J1363" i="23"/>
  <c r="O1363" i="23"/>
  <c r="H1364" i="23"/>
  <c r="AD1366" i="23"/>
  <c r="AI252" i="34"/>
  <c r="U1180" i="23"/>
  <c r="W1180" i="23" s="1"/>
  <c r="W1338" i="23"/>
  <c r="P1339" i="23" s="1"/>
  <c r="Q1339" i="23" s="1"/>
  <c r="H1338" i="23"/>
  <c r="M1338" i="23" s="1"/>
  <c r="N1338" i="23" s="1"/>
  <c r="J1337" i="23"/>
  <c r="O1337" i="23"/>
  <c r="R1340" i="23"/>
  <c r="U1339" i="23"/>
  <c r="J1263" i="23"/>
  <c r="H1264" i="23"/>
  <c r="M1264" i="23" s="1"/>
  <c r="N1264" i="23" s="1"/>
  <c r="O1263" i="23"/>
  <c r="U1264" i="23"/>
  <c r="W1264" i="23" s="1"/>
  <c r="P1265" i="23" s="1"/>
  <c r="Q1265" i="23" s="1"/>
  <c r="R1265" i="23"/>
  <c r="U1265" i="23" s="1"/>
  <c r="M1222" i="23"/>
  <c r="N1222" i="23" s="1"/>
  <c r="W851" i="23"/>
  <c r="P852" i="23" s="1"/>
  <c r="Q852" i="23" s="1"/>
  <c r="W1178" i="23"/>
  <c r="K1014" i="23"/>
  <c r="L1014" i="23" s="1"/>
  <c r="M1014" i="23" s="1"/>
  <c r="N1014" i="23" s="1"/>
  <c r="R1014" i="23" s="1"/>
  <c r="W753" i="23"/>
  <c r="AD749" i="23"/>
  <c r="AD750" i="23" s="1"/>
  <c r="AJ177" i="34"/>
  <c r="AK177" i="34" s="1"/>
  <c r="M570" i="23"/>
  <c r="N570" i="23" s="1"/>
  <c r="R570" i="23" s="1"/>
  <c r="R264" i="23"/>
  <c r="U264" i="23" s="1"/>
  <c r="U263" i="23"/>
  <c r="W263" i="23" s="1"/>
  <c r="P264" i="23" s="1"/>
  <c r="Q264" i="23" s="1"/>
  <c r="J337" i="23"/>
  <c r="O337" i="23"/>
  <c r="H338" i="23"/>
  <c r="W1709" i="23"/>
  <c r="P1710" i="23" s="1"/>
  <c r="Q1710" i="23" s="1"/>
  <c r="W1710" i="23" s="1"/>
  <c r="P1711" i="23" s="1"/>
  <c r="Q1711" i="23" s="1"/>
  <c r="W1711" i="23" s="1"/>
  <c r="P1712" i="23" s="1"/>
  <c r="Q1712" i="23" s="1"/>
  <c r="W1712" i="23" s="1"/>
  <c r="P1713" i="23" s="1"/>
  <c r="Q1713" i="23" s="1"/>
  <c r="W1713" i="23" s="1"/>
  <c r="P1714" i="23" s="1"/>
  <c r="Q1714" i="23" s="1"/>
  <c r="W1714" i="23" s="1"/>
  <c r="P1715" i="23" s="1"/>
  <c r="Q1715" i="23" s="1"/>
  <c r="R1715" i="23" s="1"/>
  <c r="U1715" i="23" s="1"/>
  <c r="W203" i="23"/>
  <c r="P204" i="23" s="1"/>
  <c r="Q204" i="23" s="1"/>
  <c r="O314" i="23"/>
  <c r="H315" i="23"/>
  <c r="J314" i="23"/>
  <c r="J264" i="23"/>
  <c r="O264" i="23"/>
  <c r="H265" i="23"/>
  <c r="M247" i="23"/>
  <c r="N247" i="23" s="1"/>
  <c r="AB77" i="22"/>
  <c r="M228" i="23"/>
  <c r="N228" i="23" s="1"/>
  <c r="H204" i="23"/>
  <c r="O203" i="23"/>
  <c r="J203" i="23"/>
  <c r="M183" i="23"/>
  <c r="N183" i="23" s="1"/>
  <c r="K66" i="23"/>
  <c r="L66" i="23" s="1"/>
  <c r="M66" i="23" s="1"/>
  <c r="J49" i="23"/>
  <c r="O49" i="23"/>
  <c r="U48" i="23"/>
  <c r="R49" i="23"/>
  <c r="U49" i="23" s="1"/>
  <c r="J1708" i="23"/>
  <c r="O1708" i="23"/>
  <c r="H1709" i="23"/>
  <c r="M1504" i="23"/>
  <c r="N1504" i="23" s="1"/>
  <c r="O142" i="23"/>
  <c r="H143" i="23"/>
  <c r="M143" i="23" s="1"/>
  <c r="N143" i="23" s="1"/>
  <c r="J142" i="23"/>
  <c r="U142" i="23"/>
  <c r="W142" i="23" s="1"/>
  <c r="P143" i="23" s="1"/>
  <c r="Q143" i="23" s="1"/>
  <c r="R143" i="23"/>
  <c r="U143" i="23" s="1"/>
  <c r="K638" i="23"/>
  <c r="L638" i="23" s="1"/>
  <c r="M638" i="23" s="1"/>
  <c r="N638" i="23" s="1"/>
  <c r="R638" i="23" s="1"/>
  <c r="M291" i="23"/>
  <c r="N291" i="23" s="1"/>
  <c r="J1409" i="23"/>
  <c r="AD771" i="23"/>
  <c r="O920" i="23"/>
  <c r="H921" i="23"/>
  <c r="J920" i="23"/>
  <c r="M1152" i="23"/>
  <c r="N1152" i="23" s="1"/>
  <c r="M769" i="23"/>
  <c r="N769" i="23" s="1"/>
  <c r="K1669" i="23"/>
  <c r="L1669" i="23" s="1"/>
  <c r="M825" i="23"/>
  <c r="N825" i="23" s="1"/>
  <c r="W967" i="23"/>
  <c r="P968" i="23" s="1"/>
  <c r="Q968" i="23" s="1"/>
  <c r="W968" i="23" s="1"/>
  <c r="P969" i="23" s="1"/>
  <c r="Q969" i="23" s="1"/>
  <c r="O873" i="23"/>
  <c r="H1410" i="23"/>
  <c r="J1433" i="23"/>
  <c r="O1433" i="23"/>
  <c r="H1434" i="23"/>
  <c r="R1409" i="23"/>
  <c r="U1409" i="23" s="1"/>
  <c r="W1409" i="23" s="1"/>
  <c r="P1410" i="23" s="1"/>
  <c r="Q1410" i="23" s="1"/>
  <c r="K1197" i="23"/>
  <c r="L1197" i="23" s="1"/>
  <c r="M1197" i="23" s="1"/>
  <c r="N1197" i="23" s="1"/>
  <c r="J1197" i="23" s="1"/>
  <c r="J872" i="23"/>
  <c r="O872" i="23"/>
  <c r="AD507" i="23"/>
  <c r="H874" i="23"/>
  <c r="M874" i="23" s="1"/>
  <c r="N874" i="23" s="1"/>
  <c r="H875" i="23" s="1"/>
  <c r="M875" i="23" s="1"/>
  <c r="N875" i="23" s="1"/>
  <c r="R872" i="23"/>
  <c r="U872" i="23" s="1"/>
  <c r="W872" i="23" s="1"/>
  <c r="P873" i="23" s="1"/>
  <c r="Q873" i="23" s="1"/>
  <c r="AJ71" i="34"/>
  <c r="AK71" i="34" s="1"/>
  <c r="O1731" i="23"/>
  <c r="J1731" i="23"/>
  <c r="H1732" i="23"/>
  <c r="U1733" i="23"/>
  <c r="R1734" i="23"/>
  <c r="H969" i="23"/>
  <c r="O968" i="23"/>
  <c r="J968" i="23"/>
  <c r="H991" i="23"/>
  <c r="M991" i="23" s="1"/>
  <c r="N991" i="23" s="1"/>
  <c r="O990" i="23"/>
  <c r="J990" i="23"/>
  <c r="R990" i="23"/>
  <c r="O850" i="23"/>
  <c r="J850" i="23"/>
  <c r="H851" i="23"/>
  <c r="M851" i="23" s="1"/>
  <c r="N851" i="23" s="1"/>
  <c r="R853" i="23"/>
  <c r="U852" i="23"/>
  <c r="J705" i="23"/>
  <c r="O705" i="23"/>
  <c r="H706" i="23"/>
  <c r="U529" i="23"/>
  <c r="W529" i="23" s="1"/>
  <c r="P530" i="23" s="1"/>
  <c r="Q530" i="23" s="1"/>
  <c r="R530" i="23"/>
  <c r="U530" i="23" s="1"/>
  <c r="H530" i="23"/>
  <c r="M530" i="23" s="1"/>
  <c r="N530" i="23" s="1"/>
  <c r="O529" i="23"/>
  <c r="J529" i="23"/>
  <c r="M508" i="23"/>
  <c r="N508" i="23" s="1"/>
  <c r="O418" i="23"/>
  <c r="J418" i="23"/>
  <c r="H419" i="23"/>
  <c r="W418" i="23"/>
  <c r="P419" i="23" s="1"/>
  <c r="Q419" i="23" s="1"/>
  <c r="K265" i="23"/>
  <c r="L265" i="23" s="1"/>
  <c r="W186" i="23"/>
  <c r="P187" i="23" s="1"/>
  <c r="Q187" i="23" s="1"/>
  <c r="W187" i="23" s="1"/>
  <c r="AD179" i="23"/>
  <c r="AD182" i="23" s="1"/>
  <c r="J598" i="23"/>
  <c r="O598" i="23"/>
  <c r="H599" i="23"/>
  <c r="M599" i="23" s="1"/>
  <c r="N599" i="23" s="1"/>
  <c r="H600" i="23" s="1"/>
  <c r="M600" i="23" s="1"/>
  <c r="N600" i="23" s="1"/>
  <c r="U1650" i="23"/>
  <c r="W1650" i="23" s="1"/>
  <c r="W1646" i="23"/>
  <c r="P1647" i="23" s="1"/>
  <c r="Q1647" i="23" s="1"/>
  <c r="W1647" i="23" s="1"/>
  <c r="AD224" i="23"/>
  <c r="H730" i="23"/>
  <c r="J729" i="23"/>
  <c r="O729" i="23"/>
  <c r="O227" i="23"/>
  <c r="J227" i="23"/>
  <c r="H1600" i="23"/>
  <c r="M1600" i="23" s="1"/>
  <c r="N1600" i="23" s="1"/>
  <c r="O1599" i="23"/>
  <c r="J1599" i="23"/>
  <c r="H1580" i="23"/>
  <c r="M1580" i="23" s="1"/>
  <c r="N1580" i="23" s="1"/>
  <c r="H1581" i="23" s="1"/>
  <c r="M1581" i="23" s="1"/>
  <c r="N1581" i="23" s="1"/>
  <c r="J1579" i="23"/>
  <c r="O1579" i="23"/>
  <c r="U1578" i="23"/>
  <c r="R1579" i="23"/>
  <c r="R1622" i="23"/>
  <c r="H1623" i="23"/>
  <c r="M1623" i="23" s="1"/>
  <c r="N1623" i="23" s="1"/>
  <c r="W683" i="23"/>
  <c r="P684" i="23" s="1"/>
  <c r="Q684" i="23" s="1"/>
  <c r="W684" i="23" s="1"/>
  <c r="P685" i="23" s="1"/>
  <c r="Q685" i="23" s="1"/>
  <c r="W685" i="23" s="1"/>
  <c r="P686" i="23" s="1"/>
  <c r="Q686" i="23" s="1"/>
  <c r="W686" i="23" s="1"/>
  <c r="U688" i="23"/>
  <c r="W688" i="23" s="1"/>
  <c r="AD241" i="23"/>
  <c r="AD244" i="23" s="1"/>
  <c r="W249" i="23"/>
  <c r="J1316" i="23"/>
  <c r="H1317" i="23"/>
  <c r="O1316" i="23"/>
  <c r="R1316" i="23"/>
  <c r="U1316" i="23" s="1"/>
  <c r="AF394" i="22" s="1"/>
  <c r="U1784" i="23"/>
  <c r="W1784" i="23" s="1"/>
  <c r="AJ266" i="22"/>
  <c r="O552" i="23"/>
  <c r="H553" i="23"/>
  <c r="M553" i="23" s="1"/>
  <c r="N553" i="23" s="1"/>
  <c r="J552" i="23"/>
  <c r="R552" i="23"/>
  <c r="U551" i="23"/>
  <c r="U1910" i="23"/>
  <c r="W1910" i="23" s="1"/>
  <c r="S923" i="22"/>
  <c r="S922" i="22"/>
  <c r="S921" i="22"/>
  <c r="S920" i="22"/>
  <c r="S918" i="22"/>
  <c r="S917" i="22"/>
  <c r="S916" i="22"/>
  <c r="S915" i="22"/>
  <c r="S914" i="22"/>
  <c r="S913" i="22"/>
  <c r="S912" i="22"/>
  <c r="S911" i="22"/>
  <c r="S910" i="22"/>
  <c r="S909" i="22"/>
  <c r="S907" i="22"/>
  <c r="S906" i="22"/>
  <c r="S905" i="22"/>
  <c r="S904" i="22"/>
  <c r="S822" i="22"/>
  <c r="B340" i="22"/>
  <c r="B241" i="22"/>
  <c r="B228" i="22"/>
  <c r="B438" i="22"/>
  <c r="B115" i="22"/>
  <c r="B360" i="22"/>
  <c r="B161" i="22"/>
  <c r="B380" i="22"/>
  <c r="B381" i="22"/>
  <c r="B478" i="22"/>
  <c r="B519" i="22"/>
  <c r="B735" i="22"/>
  <c r="B181" i="22"/>
  <c r="B446" i="22"/>
  <c r="B407" i="22"/>
  <c r="B472" i="22"/>
  <c r="B448" i="22"/>
  <c r="B498" i="22"/>
  <c r="B491" i="22"/>
  <c r="B125" i="22"/>
  <c r="B479" i="22"/>
  <c r="B550" i="22"/>
  <c r="B547" i="22"/>
  <c r="B449" i="22"/>
  <c r="B679" i="22"/>
  <c r="B677" i="22"/>
  <c r="B716" i="22"/>
  <c r="B705" i="22"/>
  <c r="B675" i="22"/>
  <c r="B673" i="22"/>
  <c r="B672" i="22"/>
  <c r="B671" i="22"/>
  <c r="B670" i="22"/>
  <c r="B669" i="22"/>
  <c r="B546" i="22"/>
  <c r="B545" i="22"/>
  <c r="B544" i="22"/>
  <c r="B543" i="22"/>
  <c r="B542" i="22"/>
  <c r="B541" i="22"/>
  <c r="B540" i="22"/>
  <c r="B538" i="22"/>
  <c r="B537" i="22"/>
  <c r="B536" i="22"/>
  <c r="B535" i="22"/>
  <c r="B534" i="22"/>
  <c r="B533" i="22"/>
  <c r="B532" i="22"/>
  <c r="B531" i="22"/>
  <c r="B530" i="22"/>
  <c r="B529" i="22"/>
  <c r="B528" i="22"/>
  <c r="B526" i="22"/>
  <c r="B525" i="22"/>
  <c r="B523" i="22"/>
  <c r="B522" i="22"/>
  <c r="B520" i="22"/>
  <c r="B517" i="22"/>
  <c r="B514" i="22"/>
  <c r="B513" i="22"/>
  <c r="B512" i="22"/>
  <c r="B510" i="22"/>
  <c r="B509" i="22"/>
  <c r="B508" i="22"/>
  <c r="B506" i="22"/>
  <c r="B501" i="22"/>
  <c r="B500" i="22"/>
  <c r="B499" i="22"/>
  <c r="B497" i="22"/>
  <c r="B496" i="22"/>
  <c r="B492" i="22"/>
  <c r="B490" i="22"/>
  <c r="B489" i="22"/>
  <c r="B488" i="22"/>
  <c r="B487" i="22"/>
  <c r="B486" i="22"/>
  <c r="B482" i="22"/>
  <c r="B480" i="22"/>
  <c r="B476" i="22"/>
  <c r="B475" i="22"/>
  <c r="B471" i="22"/>
  <c r="B470" i="22"/>
  <c r="B466" i="22"/>
  <c r="B465" i="22"/>
  <c r="B464" i="22"/>
  <c r="B463" i="22"/>
  <c r="B460" i="22"/>
  <c r="B458" i="22"/>
  <c r="B457" i="22"/>
  <c r="B456" i="22"/>
  <c r="B455" i="22"/>
  <c r="B453" i="22"/>
  <c r="B452" i="22"/>
  <c r="B450" i="22"/>
  <c r="B447" i="22"/>
  <c r="B443" i="22"/>
  <c r="B441" i="22"/>
  <c r="B434" i="22"/>
  <c r="B428" i="22"/>
  <c r="B426" i="22"/>
  <c r="B425" i="22"/>
  <c r="B423" i="22"/>
  <c r="B422" i="22"/>
  <c r="B416" i="22"/>
  <c r="B414" i="22"/>
  <c r="B412" i="22"/>
  <c r="B406" i="22"/>
  <c r="B405" i="22"/>
  <c r="B404" i="22"/>
  <c r="B403" i="22"/>
  <c r="B401" i="22"/>
  <c r="B400" i="22"/>
  <c r="B399" i="22"/>
  <c r="B398" i="22"/>
  <c r="B397" i="22"/>
  <c r="B396" i="22"/>
  <c r="B395" i="22"/>
  <c r="B393" i="22"/>
  <c r="B392" i="22"/>
  <c r="B389" i="22"/>
  <c r="B388" i="22"/>
  <c r="B387" i="22"/>
  <c r="B386" i="22"/>
  <c r="B370" i="22"/>
  <c r="B369" i="22"/>
  <c r="B368" i="22"/>
  <c r="B367" i="22"/>
  <c r="B366" i="22"/>
  <c r="B362" i="22"/>
  <c r="B363" i="22"/>
  <c r="B361" i="22"/>
  <c r="B359" i="22"/>
  <c r="B358" i="22"/>
  <c r="B357" i="22"/>
  <c r="B355" i="22"/>
  <c r="B354" i="22"/>
  <c r="B350" i="22"/>
  <c r="B349" i="22"/>
  <c r="B347" i="22"/>
  <c r="B346" i="22"/>
  <c r="B345" i="22"/>
  <c r="B343" i="22"/>
  <c r="B342" i="22"/>
  <c r="B339" i="22"/>
  <c r="B338" i="22"/>
  <c r="B336" i="22"/>
  <c r="B335" i="22"/>
  <c r="B334" i="22"/>
  <c r="B333" i="22"/>
  <c r="B331" i="22"/>
  <c r="B330" i="22"/>
  <c r="B328" i="22"/>
  <c r="B327" i="22"/>
  <c r="B324" i="22"/>
  <c r="B323" i="22"/>
  <c r="B322" i="22"/>
  <c r="B321" i="22"/>
  <c r="B320" i="22"/>
  <c r="B317" i="22"/>
  <c r="B316" i="22"/>
  <c r="B315" i="22"/>
  <c r="B314" i="22"/>
  <c r="B313" i="22"/>
  <c r="B312" i="22"/>
  <c r="B309" i="22"/>
  <c r="B308" i="22"/>
  <c r="B307" i="22"/>
  <c r="B305" i="22"/>
  <c r="B304" i="22"/>
  <c r="B303" i="22"/>
  <c r="B302" i="22"/>
  <c r="B298" i="22"/>
  <c r="B297" i="22"/>
  <c r="B296" i="22"/>
  <c r="B295" i="22"/>
  <c r="B294" i="22"/>
  <c r="B291" i="22"/>
  <c r="B290" i="22"/>
  <c r="B289" i="22"/>
  <c r="B288" i="22"/>
  <c r="B285" i="22"/>
  <c r="B284" i="22"/>
  <c r="B279" i="22"/>
  <c r="B276" i="22"/>
  <c r="B273" i="22"/>
  <c r="B272" i="22"/>
  <c r="B271" i="22"/>
  <c r="B266" i="22"/>
  <c r="B262" i="22"/>
  <c r="B259" i="22"/>
  <c r="B258" i="22"/>
  <c r="B255" i="22"/>
  <c r="B254" i="22"/>
  <c r="B253" i="22"/>
  <c r="B248" i="22"/>
  <c r="B246" i="22"/>
  <c r="B245" i="22"/>
  <c r="B244" i="22"/>
  <c r="B242" i="22"/>
  <c r="B240" i="22"/>
  <c r="B238" i="22"/>
  <c r="B232" i="22"/>
  <c r="B231" i="22"/>
  <c r="B229" i="22"/>
  <c r="B227" i="22"/>
  <c r="B225" i="22"/>
  <c r="B224" i="22"/>
  <c r="B223" i="22"/>
  <c r="B222" i="22"/>
  <c r="AJ220" i="22"/>
  <c r="B220" i="22"/>
  <c r="B218" i="22"/>
  <c r="B215" i="22"/>
  <c r="B214" i="22"/>
  <c r="B213" i="22"/>
  <c r="B211" i="22"/>
  <c r="B208" i="22"/>
  <c r="B206" i="22"/>
  <c r="B197" i="22"/>
  <c r="B196" i="22"/>
  <c r="B194" i="22"/>
  <c r="B193" i="22"/>
  <c r="B192" i="22"/>
  <c r="B185" i="22"/>
  <c r="B183" i="22"/>
  <c r="B180" i="22"/>
  <c r="B179" i="22"/>
  <c r="B178" i="22"/>
  <c r="B177" i="22"/>
  <c r="B176" i="22"/>
  <c r="B175" i="22"/>
  <c r="B174" i="22"/>
  <c r="B173" i="22"/>
  <c r="B172" i="22"/>
  <c r="B171" i="22"/>
  <c r="B170" i="22"/>
  <c r="B169" i="22"/>
  <c r="B168" i="22"/>
  <c r="B167" i="22"/>
  <c r="B166" i="22"/>
  <c r="B165" i="22"/>
  <c r="B164" i="22"/>
  <c r="B163" i="22"/>
  <c r="B162" i="22"/>
  <c r="B160" i="22"/>
  <c r="B159" i="22"/>
  <c r="B158" i="22"/>
  <c r="B157" i="22"/>
  <c r="B156" i="22"/>
  <c r="B154" i="22"/>
  <c r="B151" i="22"/>
  <c r="B150" i="22"/>
  <c r="B149" i="22"/>
  <c r="B147" i="22"/>
  <c r="B140" i="22"/>
  <c r="B139" i="22"/>
  <c r="B138" i="22"/>
  <c r="B136" i="22"/>
  <c r="B135" i="22"/>
  <c r="B134" i="22"/>
  <c r="B133" i="22"/>
  <c r="B132" i="22"/>
  <c r="B131" i="22"/>
  <c r="B130" i="22"/>
  <c r="B128" i="22"/>
  <c r="B127" i="22"/>
  <c r="B126" i="22"/>
  <c r="B124" i="22"/>
  <c r="B123" i="22"/>
  <c r="B122" i="22"/>
  <c r="B121" i="22"/>
  <c r="B120" i="22"/>
  <c r="B119" i="22"/>
  <c r="B118" i="22"/>
  <c r="B116" i="22"/>
  <c r="B114" i="22"/>
  <c r="B113" i="22"/>
  <c r="B110" i="22"/>
  <c r="B108" i="22"/>
  <c r="B107" i="22"/>
  <c r="B105" i="22"/>
  <c r="B104" i="22"/>
  <c r="B103" i="22"/>
  <c r="B102" i="22"/>
  <c r="B101" i="22"/>
  <c r="B93" i="22"/>
  <c r="B92" i="22"/>
  <c r="B89" i="22"/>
  <c r="B86" i="22"/>
  <c r="B85" i="22"/>
  <c r="B84" i="22"/>
  <c r="B82" i="22"/>
  <c r="B81" i="22"/>
  <c r="B80" i="22"/>
  <c r="B79" i="22"/>
  <c r="B77" i="22"/>
  <c r="B76" i="22"/>
  <c r="B74" i="22"/>
  <c r="B73" i="22"/>
  <c r="B71" i="22"/>
  <c r="B70" i="22"/>
  <c r="B66" i="22"/>
  <c r="B64" i="22"/>
  <c r="B63" i="22"/>
  <c r="B59" i="22"/>
  <c r="B58" i="22"/>
  <c r="B57" i="22"/>
  <c r="B56" i="22"/>
  <c r="B54" i="22"/>
  <c r="B53" i="22"/>
  <c r="B52" i="22"/>
  <c r="B51" i="22"/>
  <c r="B50" i="22"/>
  <c r="B49" i="22"/>
  <c r="B48" i="22"/>
  <c r="B47" i="22"/>
  <c r="B46" i="22"/>
  <c r="B45" i="22"/>
  <c r="B43" i="22"/>
  <c r="B42" i="22"/>
  <c r="B41" i="22"/>
  <c r="B40" i="22"/>
  <c r="B39" i="22"/>
  <c r="B38" i="22"/>
  <c r="B37" i="22"/>
  <c r="B36" i="22"/>
  <c r="B32" i="22"/>
  <c r="B31" i="22"/>
  <c r="B30" i="22"/>
  <c r="B29" i="22"/>
  <c r="B28" i="22"/>
  <c r="B27" i="22"/>
  <c r="B26" i="22"/>
  <c r="B25" i="22"/>
  <c r="B24" i="22"/>
  <c r="B21" i="22"/>
  <c r="B20" i="22"/>
  <c r="B19" i="22"/>
  <c r="B18" i="22"/>
  <c r="B17" i="22"/>
  <c r="B16" i="22"/>
  <c r="B13" i="22"/>
  <c r="W12" i="22"/>
  <c r="X12" i="22" s="1"/>
  <c r="B12" i="22"/>
  <c r="E453" i="20"/>
  <c r="E423" i="20"/>
  <c r="E461" i="20"/>
  <c r="E450" i="20"/>
  <c r="E285" i="20"/>
  <c r="E241" i="20"/>
  <c r="E284" i="20"/>
  <c r="E280" i="20"/>
  <c r="E421" i="20"/>
  <c r="E346" i="20"/>
  <c r="E375" i="20"/>
  <c r="E376" i="20"/>
  <c r="E377" i="20"/>
  <c r="E378" i="20"/>
  <c r="E379" i="20"/>
  <c r="E374" i="20"/>
  <c r="W946" i="23" l="1"/>
  <c r="P947" i="23" s="1"/>
  <c r="Q947" i="23" s="1"/>
  <c r="S754" i="22"/>
  <c r="M946" i="23"/>
  <c r="N946" i="23" s="1"/>
  <c r="J93" i="23"/>
  <c r="O93" i="23"/>
  <c r="R97" i="23"/>
  <c r="U96" i="23"/>
  <c r="W96" i="23" s="1"/>
  <c r="P97" i="23" s="1"/>
  <c r="Q97" i="23" s="1"/>
  <c r="M96" i="23"/>
  <c r="N96" i="23" s="1"/>
  <c r="W551" i="23"/>
  <c r="P552" i="23" s="1"/>
  <c r="Q552" i="23" s="1"/>
  <c r="J1622" i="23"/>
  <c r="J1846" i="23"/>
  <c r="O1846" i="23"/>
  <c r="H1847" i="23"/>
  <c r="K1847" i="23" s="1"/>
  <c r="L1847" i="23" s="1"/>
  <c r="K1802" i="23"/>
  <c r="L1802" i="23" s="1"/>
  <c r="M1802" i="23" s="1"/>
  <c r="N1802" i="23" s="1"/>
  <c r="AD1173" i="23"/>
  <c r="AD1174" i="23" s="1"/>
  <c r="AD1175" i="23" s="1"/>
  <c r="AJ252" i="34"/>
  <c r="AK252" i="34" s="1"/>
  <c r="K1757" i="23"/>
  <c r="L1757" i="23" s="1"/>
  <c r="W1733" i="23"/>
  <c r="P1734" i="23" s="1"/>
  <c r="Q1734" i="23" s="1"/>
  <c r="AB506" i="22"/>
  <c r="J1581" i="23"/>
  <c r="O1581" i="23"/>
  <c r="M1551" i="23"/>
  <c r="N1551" i="23" s="1"/>
  <c r="W852" i="23"/>
  <c r="P853" i="23" s="1"/>
  <c r="Q853" i="23" s="1"/>
  <c r="R1465" i="23"/>
  <c r="U1465" i="23" s="1"/>
  <c r="U1464" i="23"/>
  <c r="W1464" i="23" s="1"/>
  <c r="P1465" i="23" s="1"/>
  <c r="Q1465" i="23" s="1"/>
  <c r="J1463" i="23"/>
  <c r="O1463" i="23"/>
  <c r="H1464" i="23"/>
  <c r="K1387" i="23"/>
  <c r="L1387" i="23" s="1"/>
  <c r="M1387" i="23" s="1"/>
  <c r="N1387" i="23" s="1"/>
  <c r="M1364" i="23"/>
  <c r="N1364" i="23" s="1"/>
  <c r="W1339" i="23"/>
  <c r="P1340" i="23" s="1"/>
  <c r="Q1340" i="23" s="1"/>
  <c r="H1339" i="23"/>
  <c r="M1339" i="23" s="1"/>
  <c r="N1339" i="23" s="1"/>
  <c r="O1338" i="23"/>
  <c r="J1338" i="23"/>
  <c r="U1340" i="23"/>
  <c r="W1340" i="23" s="1"/>
  <c r="P1341" i="23" s="1"/>
  <c r="Q1341" i="23" s="1"/>
  <c r="R1341" i="23"/>
  <c r="U1341" i="23" s="1"/>
  <c r="AI285" i="34"/>
  <c r="W1265" i="23"/>
  <c r="P1266" i="23" s="1"/>
  <c r="Q1266" i="23" s="1"/>
  <c r="J1264" i="23"/>
  <c r="H1265" i="23"/>
  <c r="M1265" i="23" s="1"/>
  <c r="N1265" i="23" s="1"/>
  <c r="O1264" i="23"/>
  <c r="J1222" i="23"/>
  <c r="O1222" i="23"/>
  <c r="H1223" i="23"/>
  <c r="AD752" i="23"/>
  <c r="R571" i="23"/>
  <c r="U570" i="23"/>
  <c r="W570" i="23" s="1"/>
  <c r="P571" i="23" s="1"/>
  <c r="Q571" i="23" s="1"/>
  <c r="J600" i="23"/>
  <c r="O600" i="23"/>
  <c r="H571" i="23"/>
  <c r="M571" i="23" s="1"/>
  <c r="N571" i="23" s="1"/>
  <c r="O570" i="23"/>
  <c r="J570" i="23"/>
  <c r="W264" i="23"/>
  <c r="P265" i="23" s="1"/>
  <c r="Q265" i="23" s="1"/>
  <c r="M338" i="23"/>
  <c r="N338" i="23" s="1"/>
  <c r="W1715" i="23"/>
  <c r="U1717" i="23"/>
  <c r="W1717" i="23" s="1"/>
  <c r="K315" i="23"/>
  <c r="L315" i="23" s="1"/>
  <c r="M265" i="23"/>
  <c r="N265" i="23" s="1"/>
  <c r="H248" i="23"/>
  <c r="J247" i="23"/>
  <c r="O247" i="23"/>
  <c r="P250" i="23"/>
  <c r="Q250" i="23" s="1"/>
  <c r="W250" i="23" s="1"/>
  <c r="J228" i="23"/>
  <c r="O228" i="23"/>
  <c r="K204" i="23"/>
  <c r="L204" i="23" s="1"/>
  <c r="M204" i="23" s="1"/>
  <c r="O183" i="23"/>
  <c r="J183" i="23"/>
  <c r="H184" i="23"/>
  <c r="AI51" i="34"/>
  <c r="AE24" i="22"/>
  <c r="AG24" i="22"/>
  <c r="AC24" i="22"/>
  <c r="AF24" i="22"/>
  <c r="AD24" i="22"/>
  <c r="AH24" i="22"/>
  <c r="AE64" i="22"/>
  <c r="AG64" i="22"/>
  <c r="AC64" i="22"/>
  <c r="AF64" i="22"/>
  <c r="AD64" i="22"/>
  <c r="AE151" i="22"/>
  <c r="AC151" i="22"/>
  <c r="AD151" i="22"/>
  <c r="AE179" i="22"/>
  <c r="AG179" i="22"/>
  <c r="AC179" i="22"/>
  <c r="AF179" i="22"/>
  <c r="AD179" i="22"/>
  <c r="AH179" i="22"/>
  <c r="AE213" i="22"/>
  <c r="AH213" i="22"/>
  <c r="AD213" i="22"/>
  <c r="AG213" i="22"/>
  <c r="AC213" i="22"/>
  <c r="AF213" i="22"/>
  <c r="AG238" i="22"/>
  <c r="AC238" i="22"/>
  <c r="AF238" i="22"/>
  <c r="AE238" i="22"/>
  <c r="AH238" i="22"/>
  <c r="AD238" i="22"/>
  <c r="AD254" i="22"/>
  <c r="AC254" i="22"/>
  <c r="AE262" i="22"/>
  <c r="AD262" i="22"/>
  <c r="AC262" i="22"/>
  <c r="AH262" i="22"/>
  <c r="AF273" i="22"/>
  <c r="AE273" i="22"/>
  <c r="AC273" i="22"/>
  <c r="AH273" i="22"/>
  <c r="AG273" i="22"/>
  <c r="AD273" i="22"/>
  <c r="AD285" i="22"/>
  <c r="AC285" i="22"/>
  <c r="AD291" i="22"/>
  <c r="AC291" i="22"/>
  <c r="AD362" i="22"/>
  <c r="AC362" i="22"/>
  <c r="AF369" i="22"/>
  <c r="AE369" i="22"/>
  <c r="AH369" i="22"/>
  <c r="AC369" i="22"/>
  <c r="AG369" i="22"/>
  <c r="AD369" i="22"/>
  <c r="AH388" i="22"/>
  <c r="AD388" i="22"/>
  <c r="AG388" i="22"/>
  <c r="AC388" i="22"/>
  <c r="AF388" i="22"/>
  <c r="AE388" i="22"/>
  <c r="AH404" i="22"/>
  <c r="AD404" i="22"/>
  <c r="AG404" i="22"/>
  <c r="AC404" i="22"/>
  <c r="AF404" i="22"/>
  <c r="AE404" i="22"/>
  <c r="AC452" i="22"/>
  <c r="AD482" i="22"/>
  <c r="AC482" i="22"/>
  <c r="AF497" i="22"/>
  <c r="AE497" i="22"/>
  <c r="AH497" i="22"/>
  <c r="AD497" i="22"/>
  <c r="AG497" i="22"/>
  <c r="AC497" i="22"/>
  <c r="AF506" i="22"/>
  <c r="AE506" i="22"/>
  <c r="AH506" i="22"/>
  <c r="AG506" i="22"/>
  <c r="AD535" i="22"/>
  <c r="AC535" i="22"/>
  <c r="AG181" i="22"/>
  <c r="AC181" i="22"/>
  <c r="AE181" i="22"/>
  <c r="AH181" i="22"/>
  <c r="AD181" i="22"/>
  <c r="AF181" i="22"/>
  <c r="AC381" i="22"/>
  <c r="AG115" i="22"/>
  <c r="AC115" i="22"/>
  <c r="AE115" i="22"/>
  <c r="AH115" i="22"/>
  <c r="AD115" i="22"/>
  <c r="AF115" i="22"/>
  <c r="AE74" i="22"/>
  <c r="AG74" i="22"/>
  <c r="AC74" i="22"/>
  <c r="AH74" i="22"/>
  <c r="AF74" i="22"/>
  <c r="AD74" i="22"/>
  <c r="AC110" i="22"/>
  <c r="AD110" i="22"/>
  <c r="AE136" i="22"/>
  <c r="AG136" i="22"/>
  <c r="AC136" i="22"/>
  <c r="AF136" i="22"/>
  <c r="AD136" i="22"/>
  <c r="AH136" i="22"/>
  <c r="AC193" i="22"/>
  <c r="AD193" i="22"/>
  <c r="AE240" i="22"/>
  <c r="AH240" i="22"/>
  <c r="AD240" i="22"/>
  <c r="AG240" i="22"/>
  <c r="AC240" i="22"/>
  <c r="AF240" i="22"/>
  <c r="AG246" i="22"/>
  <c r="AC246" i="22"/>
  <c r="AF246" i="22"/>
  <c r="AE246" i="22"/>
  <c r="AD246" i="22"/>
  <c r="AH246" i="22"/>
  <c r="AH322" i="22"/>
  <c r="AD322" i="22"/>
  <c r="AG322" i="22"/>
  <c r="AC322" i="22"/>
  <c r="AF322" i="22"/>
  <c r="AE322" i="22"/>
  <c r="AF328" i="22"/>
  <c r="AE328" i="22"/>
  <c r="AC328" i="22"/>
  <c r="AH328" i="22"/>
  <c r="AG328" i="22"/>
  <c r="AD328" i="22"/>
  <c r="AH339" i="22"/>
  <c r="AD339" i="22"/>
  <c r="AG339" i="22"/>
  <c r="AC339" i="22"/>
  <c r="AF339" i="22"/>
  <c r="AE339" i="22"/>
  <c r="AC346" i="22"/>
  <c r="AF400" i="22"/>
  <c r="AE400" i="22"/>
  <c r="AH400" i="22"/>
  <c r="AD400" i="22"/>
  <c r="AG400" i="22"/>
  <c r="AC400" i="22"/>
  <c r="AC416" i="22"/>
  <c r="AF486" i="22"/>
  <c r="AE486" i="22"/>
  <c r="AH486" i="22"/>
  <c r="AD486" i="22"/>
  <c r="AG486" i="22"/>
  <c r="AC486" i="22"/>
  <c r="AF528" i="22"/>
  <c r="AE528" i="22"/>
  <c r="AH528" i="22"/>
  <c r="AD528" i="22"/>
  <c r="AG528" i="22"/>
  <c r="AC528" i="22"/>
  <c r="AH674" i="22"/>
  <c r="AD674" i="22"/>
  <c r="AG674" i="22"/>
  <c r="AC674" i="22"/>
  <c r="AF674" i="22"/>
  <c r="AE674" i="22"/>
  <c r="AF676" i="22"/>
  <c r="AE676" i="22"/>
  <c r="AH676" i="22"/>
  <c r="AD676" i="22"/>
  <c r="AC676" i="22"/>
  <c r="AG676" i="22"/>
  <c r="AE125" i="22"/>
  <c r="AG125" i="22"/>
  <c r="AC125" i="22"/>
  <c r="AD125" i="22"/>
  <c r="AH125" i="22"/>
  <c r="AF125" i="22"/>
  <c r="AE472" i="22"/>
  <c r="AD472" i="22"/>
  <c r="AC472" i="22"/>
  <c r="AD438" i="22"/>
  <c r="AC438" i="22"/>
  <c r="AE438" i="22"/>
  <c r="AG59" i="22"/>
  <c r="AC59" i="22"/>
  <c r="AE59" i="22"/>
  <c r="AD59" i="22"/>
  <c r="AH59" i="22"/>
  <c r="AF59" i="22"/>
  <c r="AG70" i="22"/>
  <c r="AC70" i="22"/>
  <c r="AE70" i="22"/>
  <c r="AH70" i="22"/>
  <c r="AD70" i="22"/>
  <c r="AF70" i="22"/>
  <c r="AG128" i="22"/>
  <c r="AC128" i="22"/>
  <c r="AE128" i="22"/>
  <c r="AD128" i="22"/>
  <c r="AH128" i="22"/>
  <c r="AF128" i="22"/>
  <c r="AE248" i="22"/>
  <c r="AH248" i="22"/>
  <c r="AD248" i="22"/>
  <c r="AG248" i="22"/>
  <c r="AC248" i="22"/>
  <c r="AF248" i="22"/>
  <c r="AF335" i="22"/>
  <c r="AE335" i="22"/>
  <c r="AG335" i="22"/>
  <c r="AD335" i="22"/>
  <c r="AC335" i="22"/>
  <c r="AH335" i="22"/>
  <c r="AH355" i="22"/>
  <c r="AD355" i="22"/>
  <c r="AG355" i="22"/>
  <c r="AC355" i="22"/>
  <c r="AE355" i="22"/>
  <c r="AF355" i="22"/>
  <c r="AF447" i="22"/>
  <c r="AE447" i="22"/>
  <c r="AH447" i="22"/>
  <c r="AD447" i="22"/>
  <c r="AG447" i="22"/>
  <c r="AC447" i="22"/>
  <c r="AF460" i="22"/>
  <c r="AE460" i="22"/>
  <c r="AH460" i="22"/>
  <c r="AD460" i="22"/>
  <c r="AG460" i="22"/>
  <c r="AC460" i="22"/>
  <c r="AC523" i="22"/>
  <c r="AF542" i="22"/>
  <c r="AE542" i="22"/>
  <c r="AH542" i="22"/>
  <c r="AD542" i="22"/>
  <c r="AG542" i="22"/>
  <c r="AC542" i="22"/>
  <c r="AD491" i="22"/>
  <c r="AG491" i="22"/>
  <c r="AC491" i="22"/>
  <c r="AF491" i="22"/>
  <c r="AE491" i="22"/>
  <c r="AG228" i="22"/>
  <c r="AC228" i="22"/>
  <c r="AF228" i="22"/>
  <c r="AE228" i="22"/>
  <c r="AH228" i="22"/>
  <c r="AD228" i="22"/>
  <c r="AE82" i="22"/>
  <c r="AG82" i="22"/>
  <c r="AC82" i="22"/>
  <c r="AF82" i="22"/>
  <c r="AD82" i="22"/>
  <c r="AH82" i="22"/>
  <c r="AG89" i="22"/>
  <c r="AC89" i="22"/>
  <c r="AE89" i="22"/>
  <c r="AH89" i="22"/>
  <c r="AF89" i="22"/>
  <c r="AD89" i="22"/>
  <c r="AG166" i="22"/>
  <c r="AC166" i="22"/>
  <c r="AE166" i="22"/>
  <c r="AD166" i="22"/>
  <c r="AH166" i="22"/>
  <c r="AF166" i="22"/>
  <c r="AC185" i="22"/>
  <c r="AD185" i="22"/>
  <c r="AG211" i="22"/>
  <c r="AC211" i="22"/>
  <c r="AF211" i="22"/>
  <c r="AE211" i="22"/>
  <c r="AH211" i="22"/>
  <c r="AD211" i="22"/>
  <c r="AE222" i="22"/>
  <c r="AH222" i="22"/>
  <c r="AD222" i="22"/>
  <c r="AG222" i="22"/>
  <c r="AC222" i="22"/>
  <c r="AF222" i="22"/>
  <c r="AC232" i="22"/>
  <c r="AF320" i="22"/>
  <c r="AE320" i="22"/>
  <c r="AG320" i="22"/>
  <c r="AD320" i="22"/>
  <c r="AC320" i="22"/>
  <c r="AH320" i="22"/>
  <c r="AH331" i="22"/>
  <c r="AD331" i="22"/>
  <c r="AG331" i="22"/>
  <c r="AC331" i="22"/>
  <c r="AE331" i="22"/>
  <c r="AF331" i="22"/>
  <c r="AC480" i="22"/>
  <c r="AH501" i="22"/>
  <c r="AD501" i="22"/>
  <c r="AG501" i="22"/>
  <c r="AC501" i="22"/>
  <c r="AF501" i="22"/>
  <c r="AE501" i="22"/>
  <c r="AF668" i="22"/>
  <c r="AE668" i="22"/>
  <c r="AH668" i="22"/>
  <c r="AD668" i="22"/>
  <c r="AG668" i="22"/>
  <c r="AC668" i="22"/>
  <c r="AH678" i="22"/>
  <c r="AD678" i="22"/>
  <c r="AG678" i="22"/>
  <c r="AC678" i="22"/>
  <c r="AF678" i="22"/>
  <c r="AE678" i="22"/>
  <c r="N66" i="23"/>
  <c r="W48" i="23"/>
  <c r="P49" i="23" s="1"/>
  <c r="Q49" i="23" s="1"/>
  <c r="W49" i="23" s="1"/>
  <c r="AI21" i="34"/>
  <c r="U52" i="23"/>
  <c r="W143" i="23"/>
  <c r="P144" i="23" s="1"/>
  <c r="Q144" i="23" s="1"/>
  <c r="M1709" i="23"/>
  <c r="N1709" i="23" s="1"/>
  <c r="O1504" i="23"/>
  <c r="J1504" i="23"/>
  <c r="O143" i="23"/>
  <c r="J143" i="23"/>
  <c r="H144" i="23"/>
  <c r="U1014" i="23"/>
  <c r="W1014" i="23" s="1"/>
  <c r="P1015" i="23" s="1"/>
  <c r="Q1015" i="23" s="1"/>
  <c r="R1015" i="23"/>
  <c r="U1015" i="23" s="1"/>
  <c r="O1014" i="23"/>
  <c r="H1015" i="23"/>
  <c r="J1014" i="23"/>
  <c r="H292" i="23"/>
  <c r="J291" i="23"/>
  <c r="O291" i="23"/>
  <c r="R291" i="23"/>
  <c r="M921" i="23"/>
  <c r="N921" i="23" s="1"/>
  <c r="H922" i="23" s="1"/>
  <c r="K922" i="23" s="1"/>
  <c r="L922" i="23" s="1"/>
  <c r="O1152" i="23"/>
  <c r="R1152" i="23"/>
  <c r="U1152" i="23" s="1"/>
  <c r="W1152" i="23" s="1"/>
  <c r="P1153" i="23" s="1"/>
  <c r="Q1153" i="23" s="1"/>
  <c r="J1152" i="23"/>
  <c r="H1153" i="23"/>
  <c r="O769" i="23"/>
  <c r="J769" i="23"/>
  <c r="O1197" i="23"/>
  <c r="M1669" i="23"/>
  <c r="N1669" i="23" s="1"/>
  <c r="R1669" i="23" s="1"/>
  <c r="U1669" i="23" s="1"/>
  <c r="AH491" i="22" s="1"/>
  <c r="O825" i="23"/>
  <c r="J825" i="23"/>
  <c r="H826" i="23"/>
  <c r="H1198" i="23"/>
  <c r="M1198" i="23" s="1"/>
  <c r="N1198" i="23" s="1"/>
  <c r="O1198" i="23" s="1"/>
  <c r="AB43" i="22"/>
  <c r="K1434" i="23"/>
  <c r="L1434" i="23" s="1"/>
  <c r="M1434" i="23" s="1"/>
  <c r="N1434" i="23" s="1"/>
  <c r="K1410" i="23"/>
  <c r="L1410" i="23" s="1"/>
  <c r="R639" i="23"/>
  <c r="U638" i="23"/>
  <c r="O638" i="23"/>
  <c r="J638" i="23"/>
  <c r="H639" i="23"/>
  <c r="O874" i="23"/>
  <c r="J874" i="23"/>
  <c r="R1197" i="23"/>
  <c r="R1198" i="23" s="1"/>
  <c r="R873" i="23"/>
  <c r="U873" i="23" s="1"/>
  <c r="AJ170" i="34"/>
  <c r="AK170" i="34" s="1"/>
  <c r="AJ383" i="34"/>
  <c r="AK383" i="34" s="1"/>
  <c r="AJ358" i="34"/>
  <c r="AK358" i="34" s="1"/>
  <c r="U1734" i="23"/>
  <c r="AC506" i="22" s="1"/>
  <c r="R1735" i="23"/>
  <c r="U1735" i="23" s="1"/>
  <c r="AD506" i="22" s="1"/>
  <c r="AJ343" i="34"/>
  <c r="AK343" i="34" s="1"/>
  <c r="M1732" i="23"/>
  <c r="N1732" i="23" s="1"/>
  <c r="K969" i="23"/>
  <c r="L969" i="23" s="1"/>
  <c r="M969" i="23" s="1"/>
  <c r="N969" i="23" s="1"/>
  <c r="U990" i="23"/>
  <c r="R991" i="23"/>
  <c r="U991" i="23" s="1"/>
  <c r="AC296" i="22" s="1"/>
  <c r="O991" i="23"/>
  <c r="H992" i="23"/>
  <c r="J991" i="23"/>
  <c r="W530" i="23"/>
  <c r="P531" i="23" s="1"/>
  <c r="Q531" i="23" s="1"/>
  <c r="J851" i="23"/>
  <c r="O851" i="23"/>
  <c r="H852" i="23"/>
  <c r="U853" i="23"/>
  <c r="W853" i="23" s="1"/>
  <c r="P854" i="23" s="1"/>
  <c r="Q854" i="23" s="1"/>
  <c r="R854" i="23"/>
  <c r="K706" i="23"/>
  <c r="L706" i="23" s="1"/>
  <c r="M706" i="23" s="1"/>
  <c r="N706" i="23" s="1"/>
  <c r="H531" i="23"/>
  <c r="J530" i="23"/>
  <c r="O530" i="23"/>
  <c r="J508" i="23"/>
  <c r="H509" i="23"/>
  <c r="O508" i="23"/>
  <c r="K419" i="23"/>
  <c r="L419" i="23" s="1"/>
  <c r="AD183" i="23"/>
  <c r="O875" i="23"/>
  <c r="H876" i="23"/>
  <c r="M876" i="23" s="1"/>
  <c r="N876" i="23" s="1"/>
  <c r="J875" i="23"/>
  <c r="J599" i="23"/>
  <c r="O599" i="23"/>
  <c r="AD1646" i="23"/>
  <c r="AD1647" i="23" s="1"/>
  <c r="AD1648" i="23" s="1"/>
  <c r="M730" i="23"/>
  <c r="N730" i="23" s="1"/>
  <c r="R1600" i="23"/>
  <c r="H1601" i="23"/>
  <c r="M1601" i="23" s="1"/>
  <c r="N1601" i="23" s="1"/>
  <c r="J1600" i="23"/>
  <c r="O1600" i="23"/>
  <c r="H444" i="23"/>
  <c r="W1578" i="23"/>
  <c r="P1579" i="23" s="1"/>
  <c r="Q1579" i="23" s="1"/>
  <c r="U1579" i="23"/>
  <c r="AF472" i="22" s="1"/>
  <c r="R1580" i="23"/>
  <c r="R1581" i="23" s="1"/>
  <c r="U1581" i="23" s="1"/>
  <c r="O1580" i="23"/>
  <c r="J1580" i="23"/>
  <c r="R1623" i="23"/>
  <c r="U1622" i="23"/>
  <c r="AE482" i="22" s="1"/>
  <c r="H1624" i="23"/>
  <c r="O1623" i="23"/>
  <c r="J1623" i="23"/>
  <c r="W1621" i="23"/>
  <c r="P1622" i="23" s="1"/>
  <c r="Q1622" i="23" s="1"/>
  <c r="AD1779" i="23"/>
  <c r="AD1780" i="23" s="1"/>
  <c r="AD1781" i="23" s="1"/>
  <c r="AD1705" i="23"/>
  <c r="AD1706" i="23" s="1"/>
  <c r="AD680" i="23"/>
  <c r="AD681" i="23" s="1"/>
  <c r="AD682" i="23" s="1"/>
  <c r="AD245" i="23"/>
  <c r="W1316" i="23"/>
  <c r="P1317" i="23" s="1"/>
  <c r="Q1317" i="23" s="1"/>
  <c r="AJ521" i="22"/>
  <c r="Z905" i="22"/>
  <c r="AB905" i="22" s="1"/>
  <c r="Z909" i="22"/>
  <c r="AB909" i="22" s="1"/>
  <c r="Z913" i="22"/>
  <c r="AB913" i="22" s="1"/>
  <c r="Z917" i="22"/>
  <c r="AB917" i="22" s="1"/>
  <c r="Z921" i="22"/>
  <c r="AB921" i="22" s="1"/>
  <c r="Z906" i="22"/>
  <c r="AB906" i="22" s="1"/>
  <c r="Z910" i="22"/>
  <c r="AB910" i="22" s="1"/>
  <c r="Z914" i="22"/>
  <c r="AB914" i="22" s="1"/>
  <c r="Z918" i="22"/>
  <c r="AB918" i="22" s="1"/>
  <c r="Z922" i="22"/>
  <c r="AB922" i="22" s="1"/>
  <c r="Z822" i="22"/>
  <c r="AB822" i="22" s="1"/>
  <c r="Z907" i="22"/>
  <c r="AB907" i="22" s="1"/>
  <c r="Z911" i="22"/>
  <c r="AB911" i="22" s="1"/>
  <c r="Z915" i="22"/>
  <c r="AB915" i="22" s="1"/>
  <c r="Z919" i="22"/>
  <c r="AB919" i="22" s="1"/>
  <c r="Z923" i="22"/>
  <c r="AB923" i="22" s="1"/>
  <c r="Z904" i="22"/>
  <c r="AB904" i="22" s="1"/>
  <c r="Z908" i="22"/>
  <c r="AD908" i="22" s="1"/>
  <c r="Z912" i="22"/>
  <c r="AB912" i="22" s="1"/>
  <c r="Z916" i="22"/>
  <c r="AB916" i="22" s="1"/>
  <c r="Z920" i="22"/>
  <c r="AB920" i="22" s="1"/>
  <c r="U552" i="23"/>
  <c r="AE193" i="22" s="1"/>
  <c r="R553" i="23"/>
  <c r="H554" i="23"/>
  <c r="M554" i="23" s="1"/>
  <c r="N554" i="23" s="1"/>
  <c r="H555" i="23" s="1"/>
  <c r="M555" i="23" s="1"/>
  <c r="N555" i="23" s="1"/>
  <c r="O553" i="23"/>
  <c r="J553" i="23"/>
  <c r="AD1903" i="23"/>
  <c r="AD1904" i="23" s="1"/>
  <c r="AD1905" i="23" s="1"/>
  <c r="AI38" i="22"/>
  <c r="AJ38" i="22" s="1"/>
  <c r="AI180" i="22"/>
  <c r="AJ180" i="22" s="1"/>
  <c r="Y12" i="22"/>
  <c r="AA12" i="22" s="1"/>
  <c r="AB754" i="22" l="1"/>
  <c r="J946" i="23"/>
  <c r="H947" i="23"/>
  <c r="K947" i="23" s="1"/>
  <c r="L947" i="23" s="1"/>
  <c r="O946" i="23"/>
  <c r="O96" i="23"/>
  <c r="J96" i="23"/>
  <c r="H97" i="23"/>
  <c r="M97" i="23" s="1"/>
  <c r="N97" i="23" s="1"/>
  <c r="R98" i="23"/>
  <c r="U98" i="23" s="1"/>
  <c r="U97" i="23"/>
  <c r="W97" i="23" s="1"/>
  <c r="P98" i="23" s="1"/>
  <c r="Q98" i="23" s="1"/>
  <c r="W98" i="23" s="1"/>
  <c r="P99" i="23" s="1"/>
  <c r="Q99" i="23" s="1"/>
  <c r="AD919" i="22"/>
  <c r="AD922" i="22"/>
  <c r="AE922" i="22" s="1"/>
  <c r="AD904" i="22"/>
  <c r="AE904" i="22" s="1"/>
  <c r="AD918" i="22"/>
  <c r="AE918" i="22" s="1"/>
  <c r="AD905" i="22"/>
  <c r="AE905" i="22" s="1"/>
  <c r="AD916" i="22"/>
  <c r="AE916" i="22" s="1"/>
  <c r="AF916" i="22" s="1"/>
  <c r="AD923" i="22"/>
  <c r="AD907" i="22"/>
  <c r="AE907" i="22" s="1"/>
  <c r="AD914" i="22"/>
  <c r="AD917" i="22"/>
  <c r="AE917" i="22" s="1"/>
  <c r="AE908" i="22"/>
  <c r="AF908" i="22" s="1"/>
  <c r="AD915" i="22"/>
  <c r="AD906" i="22"/>
  <c r="AE906" i="22" s="1"/>
  <c r="AD909" i="22"/>
  <c r="AE909" i="22" s="1"/>
  <c r="AD912" i="22"/>
  <c r="AE912" i="22" s="1"/>
  <c r="AF912" i="22" s="1"/>
  <c r="AD910" i="22"/>
  <c r="AE910" i="22" s="1"/>
  <c r="AD913" i="22"/>
  <c r="AE913" i="22" s="1"/>
  <c r="AD920" i="22"/>
  <c r="AE920" i="22" s="1"/>
  <c r="AF920" i="22" s="1"/>
  <c r="AD911" i="22"/>
  <c r="AE911" i="22" s="1"/>
  <c r="AD921" i="22"/>
  <c r="AE921" i="22" s="1"/>
  <c r="M1847" i="23"/>
  <c r="N1847" i="23" s="1"/>
  <c r="R1847" i="23" s="1"/>
  <c r="J1802" i="23"/>
  <c r="O1802" i="23"/>
  <c r="H1803" i="23"/>
  <c r="R1802" i="23"/>
  <c r="U1802" i="23" s="1"/>
  <c r="M1757" i="23"/>
  <c r="N1757" i="23" s="1"/>
  <c r="AH472" i="22"/>
  <c r="J1551" i="23"/>
  <c r="O1551" i="23"/>
  <c r="H1552" i="23"/>
  <c r="M1552" i="23" s="1"/>
  <c r="N1552" i="23" s="1"/>
  <c r="R1551" i="23"/>
  <c r="W1465" i="23"/>
  <c r="P1466" i="23" s="1"/>
  <c r="Q1466" i="23" s="1"/>
  <c r="M1464" i="23"/>
  <c r="N1464" i="23" s="1"/>
  <c r="O1387" i="23"/>
  <c r="J1387" i="23"/>
  <c r="H1388" i="23"/>
  <c r="M1388" i="23" s="1"/>
  <c r="N1388" i="23" s="1"/>
  <c r="R1387" i="23"/>
  <c r="O1364" i="23"/>
  <c r="H1365" i="23"/>
  <c r="M1365" i="23" s="1"/>
  <c r="N1365" i="23" s="1"/>
  <c r="J1364" i="23"/>
  <c r="W1341" i="23"/>
  <c r="P1342" i="23" s="1"/>
  <c r="Q1342" i="23" s="1"/>
  <c r="W1342" i="23" s="1"/>
  <c r="P1343" i="23" s="1"/>
  <c r="Q1343" i="23" s="1"/>
  <c r="W1343" i="23" s="1"/>
  <c r="U1345" i="23"/>
  <c r="J1339" i="23"/>
  <c r="H1340" i="23"/>
  <c r="M1340" i="23" s="1"/>
  <c r="N1340" i="23" s="1"/>
  <c r="O1339" i="23"/>
  <c r="J1265" i="23"/>
  <c r="O1265" i="23"/>
  <c r="H1266" i="23"/>
  <c r="K1266" i="23" s="1"/>
  <c r="L1266" i="23" s="1"/>
  <c r="AD381" i="22"/>
  <c r="M1223" i="23"/>
  <c r="N1223" i="23" s="1"/>
  <c r="W990" i="23"/>
  <c r="P991" i="23" s="1"/>
  <c r="Q991" i="23" s="1"/>
  <c r="W991" i="23" s="1"/>
  <c r="P992" i="23" s="1"/>
  <c r="Q992" i="23" s="1"/>
  <c r="AB296" i="22"/>
  <c r="W873" i="23"/>
  <c r="P874" i="23" s="1"/>
  <c r="Q874" i="23" s="1"/>
  <c r="AB265" i="22"/>
  <c r="AF262" i="22"/>
  <c r="J555" i="23"/>
  <c r="O555" i="23"/>
  <c r="H572" i="23"/>
  <c r="M572" i="23" s="1"/>
  <c r="N572" i="23" s="1"/>
  <c r="O571" i="23"/>
  <c r="J571" i="23"/>
  <c r="R572" i="23"/>
  <c r="U571" i="23"/>
  <c r="W571" i="23" s="1"/>
  <c r="P572" i="23" s="1"/>
  <c r="Q572" i="23" s="1"/>
  <c r="O338" i="23"/>
  <c r="H339" i="23"/>
  <c r="M339" i="23" s="1"/>
  <c r="N339" i="23" s="1"/>
  <c r="J338" i="23"/>
  <c r="M315" i="23"/>
  <c r="N315" i="23" s="1"/>
  <c r="R265" i="23"/>
  <c r="J265" i="23"/>
  <c r="H266" i="23"/>
  <c r="O265" i="23"/>
  <c r="M248" i="23"/>
  <c r="N248" i="23" s="1"/>
  <c r="N204" i="23"/>
  <c r="M184" i="23"/>
  <c r="N184" i="23" s="1"/>
  <c r="U126" i="23"/>
  <c r="W126" i="23" s="1"/>
  <c r="AI322" i="22"/>
  <c r="AI506" i="22"/>
  <c r="AI335" i="22"/>
  <c r="AI328" i="22"/>
  <c r="AJ328" i="22" s="1"/>
  <c r="AI248" i="22"/>
  <c r="AJ248" i="22" s="1"/>
  <c r="AI125" i="22"/>
  <c r="AJ125" i="22" s="1"/>
  <c r="AI676" i="22"/>
  <c r="AI320" i="22"/>
  <c r="AI678" i="22"/>
  <c r="AI668" i="22"/>
  <c r="AI331" i="22"/>
  <c r="AJ331" i="22" s="1"/>
  <c r="AI211" i="22"/>
  <c r="AI166" i="22"/>
  <c r="AI228" i="22"/>
  <c r="AJ228" i="22" s="1"/>
  <c r="AI491" i="22"/>
  <c r="AJ491" i="22" s="1"/>
  <c r="AI542" i="22"/>
  <c r="AJ542" i="22" s="1"/>
  <c r="AI460" i="22"/>
  <c r="AI355" i="22"/>
  <c r="AI70" i="22"/>
  <c r="AI674" i="22"/>
  <c r="AI528" i="22"/>
  <c r="AI400" i="22"/>
  <c r="AI497" i="22"/>
  <c r="AI404" i="22"/>
  <c r="AI369" i="22"/>
  <c r="AI238" i="22"/>
  <c r="AJ238" i="22" s="1"/>
  <c r="AI240" i="22"/>
  <c r="AI273" i="22"/>
  <c r="AI24" i="22"/>
  <c r="AI501" i="22"/>
  <c r="AJ501" i="22" s="1"/>
  <c r="AI89" i="22"/>
  <c r="AJ89" i="22" s="1"/>
  <c r="AI447" i="22"/>
  <c r="AI128" i="22"/>
  <c r="AJ128" i="22" s="1"/>
  <c r="AI59" i="22"/>
  <c r="AJ59" i="22" s="1"/>
  <c r="AI486" i="22"/>
  <c r="AJ486" i="22" s="1"/>
  <c r="AI339" i="22"/>
  <c r="AI246" i="22"/>
  <c r="AJ246" i="22" s="1"/>
  <c r="AI115" i="22"/>
  <c r="AI181" i="22"/>
  <c r="AJ181" i="22" s="1"/>
  <c r="AI388" i="22"/>
  <c r="R1153" i="23"/>
  <c r="U1153" i="23" s="1"/>
  <c r="W1153" i="23" s="1"/>
  <c r="P1154" i="23" s="1"/>
  <c r="Q1154" i="23" s="1"/>
  <c r="K144" i="23"/>
  <c r="L144" i="23" s="1"/>
  <c r="M144" i="23" s="1"/>
  <c r="N144" i="23" s="1"/>
  <c r="R144" i="23" s="1"/>
  <c r="U144" i="23" s="1"/>
  <c r="AI222" i="22"/>
  <c r="AJ222" i="22" s="1"/>
  <c r="AI82" i="22"/>
  <c r="AJ82" i="22" s="1"/>
  <c r="AI136" i="22"/>
  <c r="AJ136" i="22" s="1"/>
  <c r="AI74" i="22"/>
  <c r="AJ74" i="22" s="1"/>
  <c r="AI213" i="22"/>
  <c r="AJ213" i="22" s="1"/>
  <c r="AI179" i="22"/>
  <c r="AJ179" i="22" s="1"/>
  <c r="H67" i="23"/>
  <c r="R66" i="23"/>
  <c r="U66" i="23" s="1"/>
  <c r="W66" i="23" s="1"/>
  <c r="P67" i="23" s="1"/>
  <c r="Q67" i="23" s="1"/>
  <c r="J66" i="23"/>
  <c r="O66" i="23"/>
  <c r="W52" i="23"/>
  <c r="AJ21" i="34"/>
  <c r="AK21" i="34" s="1"/>
  <c r="AD46" i="23"/>
  <c r="AD47" i="23" s="1"/>
  <c r="H1710" i="23"/>
  <c r="O1709" i="23"/>
  <c r="J1709" i="23"/>
  <c r="K1505" i="23"/>
  <c r="L1505" i="23" s="1"/>
  <c r="M1505" i="23" s="1"/>
  <c r="N1505" i="23" s="1"/>
  <c r="W1015" i="23"/>
  <c r="P1016" i="23" s="1"/>
  <c r="Q1016" i="23" s="1"/>
  <c r="M1015" i="23"/>
  <c r="N1015" i="23" s="1"/>
  <c r="R292" i="23"/>
  <c r="U292" i="23" s="1"/>
  <c r="AD104" i="22" s="1"/>
  <c r="U291" i="23"/>
  <c r="AC104" i="22" s="1"/>
  <c r="M292" i="23"/>
  <c r="N292" i="23" s="1"/>
  <c r="M922" i="23"/>
  <c r="N922" i="23" s="1"/>
  <c r="R922" i="23" s="1"/>
  <c r="U922" i="23" s="1"/>
  <c r="AH275" i="22" s="1"/>
  <c r="O921" i="23"/>
  <c r="J921" i="23"/>
  <c r="M1153" i="23"/>
  <c r="N1153" i="23" s="1"/>
  <c r="J1198" i="23"/>
  <c r="H1199" i="23"/>
  <c r="M1199" i="23" s="1"/>
  <c r="N1199" i="23" s="1"/>
  <c r="J1669" i="23"/>
  <c r="O1669" i="23"/>
  <c r="W1669" i="23"/>
  <c r="U1672" i="23"/>
  <c r="R874" i="23"/>
  <c r="R875" i="23" s="1"/>
  <c r="U875" i="23" s="1"/>
  <c r="AD265" i="22" s="1"/>
  <c r="K826" i="23"/>
  <c r="L826" i="23" s="1"/>
  <c r="M826" i="23" s="1"/>
  <c r="N826" i="23" s="1"/>
  <c r="K531" i="23"/>
  <c r="L531" i="23" s="1"/>
  <c r="M531" i="23" s="1"/>
  <c r="N531" i="23" s="1"/>
  <c r="R531" i="23" s="1"/>
  <c r="H1435" i="23"/>
  <c r="J1434" i="23"/>
  <c r="O1434" i="23"/>
  <c r="R1434" i="23"/>
  <c r="M1410" i="23"/>
  <c r="N1410" i="23" s="1"/>
  <c r="R1410" i="23" s="1"/>
  <c r="U1197" i="23"/>
  <c r="W638" i="23"/>
  <c r="P639" i="23" s="1"/>
  <c r="Q639" i="23" s="1"/>
  <c r="M639" i="23"/>
  <c r="N639" i="23" s="1"/>
  <c r="U639" i="23"/>
  <c r="R640" i="23"/>
  <c r="U1741" i="23"/>
  <c r="W1741" i="23" s="1"/>
  <c r="W1734" i="23"/>
  <c r="P1735" i="23" s="1"/>
  <c r="Q1735" i="23" s="1"/>
  <c r="W1735" i="23" s="1"/>
  <c r="P1736" i="23" s="1"/>
  <c r="Q1736" i="23" s="1"/>
  <c r="W1736" i="23" s="1"/>
  <c r="P1737" i="23" s="1"/>
  <c r="Q1737" i="23" s="1"/>
  <c r="W1737" i="23" s="1"/>
  <c r="P1738" i="23" s="1"/>
  <c r="Q1738" i="23" s="1"/>
  <c r="W1738" i="23" s="1"/>
  <c r="P1739" i="23" s="1"/>
  <c r="Q1739" i="23" s="1"/>
  <c r="W1739" i="23" s="1"/>
  <c r="AD1707" i="23"/>
  <c r="H1733" i="23"/>
  <c r="O1732" i="23"/>
  <c r="J1732" i="23"/>
  <c r="U1198" i="23"/>
  <c r="R1199" i="23"/>
  <c r="R1200" i="23" s="1"/>
  <c r="U1200" i="23" s="1"/>
  <c r="H970" i="23"/>
  <c r="M970" i="23" s="1"/>
  <c r="N970" i="23" s="1"/>
  <c r="O969" i="23"/>
  <c r="J969" i="23"/>
  <c r="R969" i="23"/>
  <c r="M852" i="23"/>
  <c r="N852" i="23" s="1"/>
  <c r="U854" i="23"/>
  <c r="H707" i="23"/>
  <c r="O706" i="23"/>
  <c r="J706" i="23"/>
  <c r="R706" i="23"/>
  <c r="M509" i="23"/>
  <c r="N509" i="23" s="1"/>
  <c r="H510" i="23" s="1"/>
  <c r="M510" i="23" s="1"/>
  <c r="N510" i="23" s="1"/>
  <c r="M419" i="23"/>
  <c r="N419" i="23" s="1"/>
  <c r="R419" i="23" s="1"/>
  <c r="U419" i="23" s="1"/>
  <c r="O876" i="23"/>
  <c r="H877" i="23"/>
  <c r="M877" i="23" s="1"/>
  <c r="N877" i="23" s="1"/>
  <c r="J876" i="23"/>
  <c r="AE381" i="22"/>
  <c r="AF381" i="22"/>
  <c r="H731" i="23"/>
  <c r="M731" i="23" s="1"/>
  <c r="N731" i="23" s="1"/>
  <c r="H732" i="23" s="1"/>
  <c r="M732" i="23" s="1"/>
  <c r="N732" i="23" s="1"/>
  <c r="J730" i="23"/>
  <c r="O730" i="23"/>
  <c r="K444" i="23"/>
  <c r="L444" i="23" s="1"/>
  <c r="M444" i="23" s="1"/>
  <c r="N444" i="23" s="1"/>
  <c r="O1601" i="23"/>
  <c r="J1601" i="23"/>
  <c r="U1600" i="23"/>
  <c r="AD480" i="22" s="1"/>
  <c r="R1601" i="23"/>
  <c r="U1601" i="23" s="1"/>
  <c r="AE480" i="22" s="1"/>
  <c r="U1580" i="23"/>
  <c r="W1579" i="23"/>
  <c r="P1580" i="23" s="1"/>
  <c r="Q1580" i="23" s="1"/>
  <c r="W1622" i="23"/>
  <c r="P1623" i="23" s="1"/>
  <c r="Q1623" i="23" s="1"/>
  <c r="U1623" i="23"/>
  <c r="AF482" i="22" s="1"/>
  <c r="R1624" i="23"/>
  <c r="R1625" i="23" s="1"/>
  <c r="U1625" i="23" s="1"/>
  <c r="M1624" i="23"/>
  <c r="N1624" i="23" s="1"/>
  <c r="H1625" i="23" s="1"/>
  <c r="M1625" i="23" s="1"/>
  <c r="N1625" i="23" s="1"/>
  <c r="K1317" i="23"/>
  <c r="L1317" i="23" s="1"/>
  <c r="AC822" i="22"/>
  <c r="AC754" i="22" s="1"/>
  <c r="J554" i="23"/>
  <c r="O554" i="23"/>
  <c r="U553" i="23"/>
  <c r="AF193" i="22" s="1"/>
  <c r="R554" i="23"/>
  <c r="W552" i="23"/>
  <c r="P553" i="23" s="1"/>
  <c r="Q553" i="23" s="1"/>
  <c r="U1045" i="23"/>
  <c r="W1045" i="23" s="1"/>
  <c r="AI39" i="22"/>
  <c r="AJ39" i="22" s="1"/>
  <c r="AJ294" i="22"/>
  <c r="AI37" i="22"/>
  <c r="AJ37" i="22" s="1"/>
  <c r="M947" i="23" l="1"/>
  <c r="N947" i="23" s="1"/>
  <c r="R947" i="23" s="1"/>
  <c r="J97" i="23"/>
  <c r="O97" i="23"/>
  <c r="H98" i="23"/>
  <c r="M98" i="23" s="1"/>
  <c r="N98" i="23" s="1"/>
  <c r="AE919" i="22"/>
  <c r="AF919" i="22" s="1"/>
  <c r="AF911" i="22"/>
  <c r="AF913" i="22"/>
  <c r="AG913" i="22" s="1"/>
  <c r="AH913" i="22" s="1"/>
  <c r="AI913" i="22" s="1"/>
  <c r="AJ913" i="22" s="1"/>
  <c r="AG912" i="22"/>
  <c r="AH912" i="22" s="1"/>
  <c r="AI912" i="22" s="1"/>
  <c r="AF905" i="22"/>
  <c r="AF904" i="22"/>
  <c r="AG904" i="22" s="1"/>
  <c r="AF921" i="22"/>
  <c r="AG921" i="22" s="1"/>
  <c r="AF906" i="22"/>
  <c r="AG906" i="22" s="1"/>
  <c r="AF917" i="22"/>
  <c r="AG917" i="22" s="1"/>
  <c r="AH917" i="22" s="1"/>
  <c r="AF907" i="22"/>
  <c r="AG907" i="22" s="1"/>
  <c r="AH907" i="22" s="1"/>
  <c r="AI907" i="22" s="1"/>
  <c r="AJ907" i="22" s="1"/>
  <c r="AG920" i="22"/>
  <c r="AH920" i="22" s="1"/>
  <c r="AF910" i="22"/>
  <c r="AG910" i="22" s="1"/>
  <c r="AH910" i="22" s="1"/>
  <c r="AI910" i="22" s="1"/>
  <c r="AF909" i="22"/>
  <c r="AG909" i="22" s="1"/>
  <c r="AE915" i="22"/>
  <c r="AF915" i="22" s="1"/>
  <c r="AG908" i="22"/>
  <c r="AH908" i="22" s="1"/>
  <c r="AI908" i="22" s="1"/>
  <c r="AE914" i="22"/>
  <c r="AE923" i="22"/>
  <c r="AF923" i="22" s="1"/>
  <c r="AG916" i="22"/>
  <c r="AH916" i="22" s="1"/>
  <c r="AF918" i="22"/>
  <c r="AG918" i="22" s="1"/>
  <c r="AF922" i="22"/>
  <c r="AG922" i="22" s="1"/>
  <c r="U1847" i="23"/>
  <c r="R1848" i="23"/>
  <c r="O1847" i="23"/>
  <c r="H1848" i="23"/>
  <c r="J1847" i="23"/>
  <c r="W1802" i="23"/>
  <c r="P1803" i="23" s="1"/>
  <c r="Q1803" i="23" s="1"/>
  <c r="AD523" i="22"/>
  <c r="H1758" i="23"/>
  <c r="O1757" i="23"/>
  <c r="J1757" i="23"/>
  <c r="R1757" i="23"/>
  <c r="J1625" i="23"/>
  <c r="O1625" i="23"/>
  <c r="AH482" i="22"/>
  <c r="U1583" i="23"/>
  <c r="W1583" i="23" s="1"/>
  <c r="AG472" i="22"/>
  <c r="AI472" i="22" s="1"/>
  <c r="AJ472" i="22" s="1"/>
  <c r="U1551" i="23"/>
  <c r="R1552" i="23"/>
  <c r="O1552" i="23"/>
  <c r="H1553" i="23"/>
  <c r="J1552" i="23"/>
  <c r="O1464" i="23"/>
  <c r="J1464" i="23"/>
  <c r="H1465" i="23"/>
  <c r="M1465" i="23" s="1"/>
  <c r="N1465" i="23" s="1"/>
  <c r="U1387" i="23"/>
  <c r="W1387" i="23" s="1"/>
  <c r="P1388" i="23" s="1"/>
  <c r="Q1388" i="23" s="1"/>
  <c r="R1388" i="23"/>
  <c r="J1388" i="23"/>
  <c r="H1389" i="23"/>
  <c r="M1389" i="23" s="1"/>
  <c r="N1389" i="23" s="1"/>
  <c r="O1388" i="23"/>
  <c r="H1366" i="23"/>
  <c r="M1366" i="23" s="1"/>
  <c r="N1366" i="23" s="1"/>
  <c r="O1365" i="23"/>
  <c r="J1365" i="23"/>
  <c r="O1340" i="23"/>
  <c r="H1341" i="23"/>
  <c r="M1341" i="23" s="1"/>
  <c r="N1341" i="23" s="1"/>
  <c r="J1340" i="23"/>
  <c r="W1345" i="23"/>
  <c r="AD1337" i="23"/>
  <c r="AD1338" i="23" s="1"/>
  <c r="AJ285" i="34"/>
  <c r="AK285" i="34" s="1"/>
  <c r="M1266" i="23"/>
  <c r="N1266" i="23" s="1"/>
  <c r="R1266" i="23" s="1"/>
  <c r="O1223" i="23"/>
  <c r="J1223" i="23"/>
  <c r="H1224" i="23"/>
  <c r="R1154" i="23"/>
  <c r="U1154" i="23" s="1"/>
  <c r="AE346" i="22" s="1"/>
  <c r="AH362" i="22"/>
  <c r="O1199" i="23"/>
  <c r="H1200" i="23"/>
  <c r="M1200" i="23" s="1"/>
  <c r="N1200" i="23" s="1"/>
  <c r="AF362" i="22"/>
  <c r="W1197" i="23"/>
  <c r="P1198" i="23" s="1"/>
  <c r="Q1198" i="23" s="1"/>
  <c r="W1198" i="23" s="1"/>
  <c r="P1199" i="23" s="1"/>
  <c r="Q1199" i="23" s="1"/>
  <c r="AE362" i="22"/>
  <c r="W854" i="23"/>
  <c r="P855" i="23" s="1"/>
  <c r="Q855" i="23" s="1"/>
  <c r="W855" i="23" s="1"/>
  <c r="AG262" i="22"/>
  <c r="AI262" i="22" s="1"/>
  <c r="J732" i="23"/>
  <c r="O732" i="23"/>
  <c r="O572" i="23"/>
  <c r="H573" i="23"/>
  <c r="M573" i="23" s="1"/>
  <c r="N573" i="23" s="1"/>
  <c r="J572" i="23"/>
  <c r="R573" i="23"/>
  <c r="U573" i="23" s="1"/>
  <c r="AC198" i="22" s="1"/>
  <c r="U572" i="23"/>
  <c r="AB198" i="22" s="1"/>
  <c r="U554" i="23"/>
  <c r="AG193" i="22" s="1"/>
  <c r="R555" i="23"/>
  <c r="U555" i="23" s="1"/>
  <c r="J510" i="23"/>
  <c r="O510" i="23"/>
  <c r="W419" i="23"/>
  <c r="P420" i="23" s="1"/>
  <c r="Q420" i="23" s="1"/>
  <c r="AB140" i="22"/>
  <c r="H340" i="23"/>
  <c r="M340" i="23" s="1"/>
  <c r="N340" i="23" s="1"/>
  <c r="J339" i="23"/>
  <c r="O339" i="23"/>
  <c r="O315" i="23"/>
  <c r="H316" i="23"/>
  <c r="J315" i="23"/>
  <c r="R315" i="23"/>
  <c r="M266" i="23"/>
  <c r="N266" i="23" s="1"/>
  <c r="R266" i="23"/>
  <c r="U266" i="23" s="1"/>
  <c r="AC93" i="22" s="1"/>
  <c r="U265" i="23"/>
  <c r="J248" i="23"/>
  <c r="H249" i="23"/>
  <c r="O248" i="23"/>
  <c r="J204" i="23"/>
  <c r="O204" i="23"/>
  <c r="H205" i="23"/>
  <c r="R204" i="23"/>
  <c r="U204" i="23" s="1"/>
  <c r="J184" i="23"/>
  <c r="O184" i="23"/>
  <c r="H185" i="23"/>
  <c r="AJ51" i="34"/>
  <c r="AK51" i="34" s="1"/>
  <c r="AD120" i="23"/>
  <c r="AD121" i="23" s="1"/>
  <c r="AD346" i="22"/>
  <c r="W144" i="23"/>
  <c r="AH64" i="22"/>
  <c r="AI64" i="22" s="1"/>
  <c r="K67" i="23"/>
  <c r="L67" i="23" s="1"/>
  <c r="M67" i="23" s="1"/>
  <c r="AD48" i="23"/>
  <c r="M1710" i="23"/>
  <c r="N1710" i="23" s="1"/>
  <c r="O1505" i="23"/>
  <c r="R1505" i="23"/>
  <c r="U1505" i="23" s="1"/>
  <c r="AD452" i="22" s="1"/>
  <c r="H1506" i="23"/>
  <c r="J1505" i="23"/>
  <c r="O144" i="23"/>
  <c r="J144" i="23"/>
  <c r="U874" i="23"/>
  <c r="R876" i="23"/>
  <c r="U876" i="23" s="1"/>
  <c r="AE265" i="22" s="1"/>
  <c r="W291" i="23"/>
  <c r="P292" i="23" s="1"/>
  <c r="Q292" i="23" s="1"/>
  <c r="W292" i="23" s="1"/>
  <c r="P293" i="23" s="1"/>
  <c r="Q293" i="23" s="1"/>
  <c r="H1016" i="23"/>
  <c r="J1015" i="23"/>
  <c r="O1015" i="23"/>
  <c r="J292" i="23"/>
  <c r="O292" i="23"/>
  <c r="H293" i="23"/>
  <c r="W1154" i="23"/>
  <c r="P1155" i="23" s="1"/>
  <c r="Q1155" i="23" s="1"/>
  <c r="J1199" i="23"/>
  <c r="W922" i="23"/>
  <c r="U928" i="23"/>
  <c r="J922" i="23"/>
  <c r="O922" i="23"/>
  <c r="J1153" i="23"/>
  <c r="H1154" i="23"/>
  <c r="O1153" i="23"/>
  <c r="W1672" i="23"/>
  <c r="AJ336" i="34"/>
  <c r="AK336" i="34" s="1"/>
  <c r="AD1668" i="23"/>
  <c r="AD1669" i="23" s="1"/>
  <c r="R826" i="23"/>
  <c r="O826" i="23"/>
  <c r="H827" i="23"/>
  <c r="J826" i="23"/>
  <c r="U1434" i="23"/>
  <c r="AD431" i="22" s="1"/>
  <c r="R1435" i="23"/>
  <c r="M1435" i="23"/>
  <c r="N1435" i="23" s="1"/>
  <c r="U1410" i="23"/>
  <c r="R1411" i="23"/>
  <c r="U1411" i="23" s="1"/>
  <c r="O1410" i="23"/>
  <c r="H1411" i="23"/>
  <c r="J1410" i="23"/>
  <c r="W639" i="23"/>
  <c r="P640" i="23" s="1"/>
  <c r="Q640" i="23" s="1"/>
  <c r="O639" i="23"/>
  <c r="J639" i="23"/>
  <c r="H640" i="23"/>
  <c r="U640" i="23"/>
  <c r="AJ506" i="22"/>
  <c r="AD1729" i="23"/>
  <c r="AD1730" i="23" s="1"/>
  <c r="AD1731" i="23" s="1"/>
  <c r="K992" i="23"/>
  <c r="L992" i="23" s="1"/>
  <c r="M992" i="23" s="1"/>
  <c r="N992" i="23" s="1"/>
  <c r="R992" i="23" s="1"/>
  <c r="U992" i="23" s="1"/>
  <c r="AD822" i="22"/>
  <c r="AD754" i="22" s="1"/>
  <c r="AJ227" i="34"/>
  <c r="AK227" i="34" s="1"/>
  <c r="M1733" i="23"/>
  <c r="N1733" i="23" s="1"/>
  <c r="U1199" i="23"/>
  <c r="AI258" i="34"/>
  <c r="U969" i="23"/>
  <c r="AE291" i="22" s="1"/>
  <c r="R970" i="23"/>
  <c r="J970" i="23"/>
  <c r="O970" i="23"/>
  <c r="H971" i="23"/>
  <c r="M971" i="23" s="1"/>
  <c r="N971" i="23" s="1"/>
  <c r="H972" i="23" s="1"/>
  <c r="M972" i="23" s="1"/>
  <c r="N972" i="23" s="1"/>
  <c r="O852" i="23"/>
  <c r="H853" i="23"/>
  <c r="M853" i="23" s="1"/>
  <c r="N853" i="23" s="1"/>
  <c r="J852" i="23"/>
  <c r="U706" i="23"/>
  <c r="R707" i="23"/>
  <c r="M707" i="23"/>
  <c r="N707" i="23" s="1"/>
  <c r="U531" i="23"/>
  <c r="R532" i="23"/>
  <c r="J531" i="23"/>
  <c r="O531" i="23"/>
  <c r="H532" i="23"/>
  <c r="M532" i="23" s="1"/>
  <c r="N532" i="23" s="1"/>
  <c r="O509" i="23"/>
  <c r="J509" i="23"/>
  <c r="H420" i="23"/>
  <c r="O419" i="23"/>
  <c r="J419" i="23"/>
  <c r="H878" i="23"/>
  <c r="M878" i="23" s="1"/>
  <c r="N878" i="23" s="1"/>
  <c r="H879" i="23" s="1"/>
  <c r="M879" i="23" s="1"/>
  <c r="N879" i="23" s="1"/>
  <c r="O877" i="23"/>
  <c r="J877" i="23"/>
  <c r="J731" i="23"/>
  <c r="O731" i="23"/>
  <c r="J444" i="23"/>
  <c r="O444" i="23"/>
  <c r="R444" i="23"/>
  <c r="W1580" i="23"/>
  <c r="P1581" i="23" s="1"/>
  <c r="Q1581" i="23" s="1"/>
  <c r="W1581" i="23" s="1"/>
  <c r="W1600" i="23"/>
  <c r="P1601" i="23" s="1"/>
  <c r="Q1601" i="23" s="1"/>
  <c r="W1601" i="23" s="1"/>
  <c r="P1602" i="23" s="1"/>
  <c r="Q1602" i="23" s="1"/>
  <c r="AD1578" i="23"/>
  <c r="AD1579" i="23" s="1"/>
  <c r="J1624" i="23"/>
  <c r="O1624" i="23"/>
  <c r="U1624" i="23"/>
  <c r="W1623" i="23"/>
  <c r="P1624" i="23" s="1"/>
  <c r="Q1624" i="23" s="1"/>
  <c r="M1317" i="23"/>
  <c r="N1317" i="23" s="1"/>
  <c r="W553" i="23"/>
  <c r="P554" i="23" s="1"/>
  <c r="Q554" i="23" s="1"/>
  <c r="AD1040" i="23"/>
  <c r="AD1041" i="23" s="1"/>
  <c r="AD1042" i="23" s="1"/>
  <c r="AJ425" i="22"/>
  <c r="AJ470" i="22"/>
  <c r="AJ215" i="22"/>
  <c r="AJ400" i="22"/>
  <c r="AJ388" i="22"/>
  <c r="AJ48" i="22"/>
  <c r="AJ103" i="22"/>
  <c r="AJ457" i="22"/>
  <c r="AJ497" i="22"/>
  <c r="AJ107" i="22"/>
  <c r="AJ79" i="22"/>
  <c r="AJ101" i="22"/>
  <c r="AJ455" i="22"/>
  <c r="AJ105" i="22"/>
  <c r="AJ169" i="22"/>
  <c r="AJ108" i="22"/>
  <c r="AI66" i="22"/>
  <c r="AJ66" i="22" s="1"/>
  <c r="AJ71" i="22"/>
  <c r="AJ422" i="22"/>
  <c r="AJ313" i="22"/>
  <c r="AJ240" i="22"/>
  <c r="AJ47" i="22"/>
  <c r="AJ322" i="22"/>
  <c r="AI32" i="22"/>
  <c r="AJ32" i="22" s="1"/>
  <c r="AL920" i="22" l="1"/>
  <c r="AL917" i="22"/>
  <c r="AL916" i="22"/>
  <c r="AL921" i="22"/>
  <c r="AL918" i="22"/>
  <c r="AL912" i="22"/>
  <c r="AL907" i="22"/>
  <c r="AL909" i="22"/>
  <c r="AL913" i="22"/>
  <c r="AL922" i="22"/>
  <c r="AL910" i="22"/>
  <c r="AL906" i="22"/>
  <c r="AL908" i="22"/>
  <c r="U947" i="23"/>
  <c r="R948" i="23"/>
  <c r="J947" i="23"/>
  <c r="O947" i="23"/>
  <c r="H948" i="23"/>
  <c r="M948" i="23" s="1"/>
  <c r="N948" i="23" s="1"/>
  <c r="O98" i="23"/>
  <c r="H99" i="23"/>
  <c r="J98" i="23"/>
  <c r="AG919" i="22"/>
  <c r="AH919" i="22" s="1"/>
  <c r="AH918" i="22"/>
  <c r="AI918" i="22" s="1"/>
  <c r="AJ918" i="22" s="1"/>
  <c r="AH921" i="22"/>
  <c r="AI921" i="22" s="1"/>
  <c r="AJ921" i="22" s="1"/>
  <c r="AH909" i="22"/>
  <c r="AI909" i="22" s="1"/>
  <c r="AJ909" i="22" s="1"/>
  <c r="AH904" i="22"/>
  <c r="AI904" i="22" s="1"/>
  <c r="AJ904" i="22" s="1"/>
  <c r="AH906" i="22"/>
  <c r="AI906" i="22" s="1"/>
  <c r="AJ906" i="22" s="1"/>
  <c r="AG911" i="22"/>
  <c r="AH911" i="22" s="1"/>
  <c r="AI917" i="22"/>
  <c r="AJ917" i="22" s="1"/>
  <c r="AH922" i="22"/>
  <c r="AI922" i="22" s="1"/>
  <c r="AJ922" i="22" s="1"/>
  <c r="AI920" i="22"/>
  <c r="AJ920" i="22" s="1"/>
  <c r="AI916" i="22"/>
  <c r="AJ916" i="22" s="1"/>
  <c r="AF914" i="22"/>
  <c r="AG914" i="22" s="1"/>
  <c r="AL914" i="22" s="1"/>
  <c r="AG905" i="22"/>
  <c r="AH905" i="22" s="1"/>
  <c r="AI905" i="22" s="1"/>
  <c r="AJ905" i="22" s="1"/>
  <c r="AG915" i="22"/>
  <c r="AH915" i="22" s="1"/>
  <c r="AI915" i="22" s="1"/>
  <c r="AJ915" i="22" s="1"/>
  <c r="AG923" i="22"/>
  <c r="AH923" i="22" s="1"/>
  <c r="AI923" i="22" s="1"/>
  <c r="AJ923" i="22" s="1"/>
  <c r="M1848" i="23"/>
  <c r="N1848" i="23" s="1"/>
  <c r="R1849" i="23"/>
  <c r="U1848" i="23"/>
  <c r="W1847" i="23"/>
  <c r="P1848" i="23" s="1"/>
  <c r="Q1848" i="23" s="1"/>
  <c r="AE535" i="22"/>
  <c r="K1803" i="23"/>
  <c r="L1803" i="23" s="1"/>
  <c r="M1803" i="23" s="1"/>
  <c r="N1803" i="23" s="1"/>
  <c r="O1803" i="23" s="1"/>
  <c r="U1757" i="23"/>
  <c r="R1758" i="23"/>
  <c r="M1758" i="23"/>
  <c r="N1758" i="23" s="1"/>
  <c r="U1628" i="23"/>
  <c r="W1628" i="23" s="1"/>
  <c r="AG482" i="22"/>
  <c r="AI482" i="22" s="1"/>
  <c r="AJ482" i="22" s="1"/>
  <c r="U1552" i="23"/>
  <c r="R1553" i="23"/>
  <c r="U1553" i="23" s="1"/>
  <c r="AE465" i="22" s="1"/>
  <c r="W1551" i="23"/>
  <c r="P1552" i="23" s="1"/>
  <c r="Q1552" i="23" s="1"/>
  <c r="AC465" i="22"/>
  <c r="M1553" i="23"/>
  <c r="N1553" i="23" s="1"/>
  <c r="H1466" i="23"/>
  <c r="O1465" i="23"/>
  <c r="J1465" i="23"/>
  <c r="O1389" i="23"/>
  <c r="H1390" i="23"/>
  <c r="J1389" i="23"/>
  <c r="U1388" i="23"/>
  <c r="W1388" i="23" s="1"/>
  <c r="P1389" i="23" s="1"/>
  <c r="Q1389" i="23" s="1"/>
  <c r="R1389" i="23"/>
  <c r="U1389" i="23" s="1"/>
  <c r="H1367" i="23"/>
  <c r="M1367" i="23" s="1"/>
  <c r="N1367" i="23" s="1"/>
  <c r="J1366" i="23"/>
  <c r="O1366" i="23"/>
  <c r="AD1339" i="23"/>
  <c r="O1341" i="23"/>
  <c r="J1341" i="23"/>
  <c r="H1342" i="23"/>
  <c r="R1317" i="23"/>
  <c r="R1318" i="23" s="1"/>
  <c r="U1318" i="23" s="1"/>
  <c r="H1318" i="23"/>
  <c r="M1318" i="23" s="1"/>
  <c r="N1318" i="23" s="1"/>
  <c r="U1266" i="23"/>
  <c r="W1266" i="23" s="1"/>
  <c r="P1267" i="23" s="1"/>
  <c r="Q1267" i="23" s="1"/>
  <c r="R1267" i="23"/>
  <c r="U1267" i="23" s="1"/>
  <c r="O1266" i="23"/>
  <c r="J1266" i="23"/>
  <c r="H1267" i="23"/>
  <c r="M1224" i="23"/>
  <c r="N1224" i="23" s="1"/>
  <c r="U557" i="23"/>
  <c r="W557" i="23" s="1"/>
  <c r="O1200" i="23"/>
  <c r="J1200" i="23"/>
  <c r="U1202" i="23"/>
  <c r="W1202" i="23" s="1"/>
  <c r="AG362" i="22"/>
  <c r="AI362" i="22" s="1"/>
  <c r="AJ362" i="22" s="1"/>
  <c r="W992" i="23"/>
  <c r="P993" i="23" s="1"/>
  <c r="Q993" i="23" s="1"/>
  <c r="AD296" i="22"/>
  <c r="W554" i="23"/>
  <c r="P555" i="23" s="1"/>
  <c r="Q555" i="23" s="1"/>
  <c r="W555" i="23" s="1"/>
  <c r="O972" i="23"/>
  <c r="J972" i="23"/>
  <c r="AI149" i="34"/>
  <c r="W572" i="23"/>
  <c r="P573" i="23" s="1"/>
  <c r="Q573" i="23" s="1"/>
  <c r="W573" i="23" s="1"/>
  <c r="P574" i="23" s="1"/>
  <c r="Q574" i="23" s="1"/>
  <c r="O879" i="23"/>
  <c r="J879" i="23"/>
  <c r="W874" i="23"/>
  <c r="P875" i="23" s="1"/>
  <c r="Q875" i="23" s="1"/>
  <c r="W875" i="23" s="1"/>
  <c r="P876" i="23" s="1"/>
  <c r="Q876" i="23" s="1"/>
  <c r="W876" i="23" s="1"/>
  <c r="P877" i="23" s="1"/>
  <c r="Q877" i="23" s="1"/>
  <c r="AC265" i="22"/>
  <c r="W706" i="23"/>
  <c r="P707" i="23" s="1"/>
  <c r="Q707" i="23" s="1"/>
  <c r="AD232" i="22"/>
  <c r="AH193" i="22"/>
  <c r="AI193" i="22" s="1"/>
  <c r="H574" i="23"/>
  <c r="J573" i="23"/>
  <c r="O573" i="23"/>
  <c r="W531" i="23"/>
  <c r="P532" i="23" s="1"/>
  <c r="Q532" i="23" s="1"/>
  <c r="AE185" i="22"/>
  <c r="H341" i="23"/>
  <c r="M341" i="23" s="1"/>
  <c r="N341" i="23" s="1"/>
  <c r="O340" i="23"/>
  <c r="J340" i="23"/>
  <c r="U315" i="23"/>
  <c r="R316" i="23"/>
  <c r="M316" i="23"/>
  <c r="N316" i="23" s="1"/>
  <c r="W265" i="23"/>
  <c r="P266" i="23" s="1"/>
  <c r="Q266" i="23" s="1"/>
  <c r="W266" i="23" s="1"/>
  <c r="P267" i="23" s="1"/>
  <c r="Q267" i="23" s="1"/>
  <c r="AB93" i="22"/>
  <c r="H267" i="23"/>
  <c r="O266" i="23"/>
  <c r="J266" i="23"/>
  <c r="M249" i="23"/>
  <c r="N249" i="23" s="1"/>
  <c r="W204" i="23"/>
  <c r="P205" i="23" s="1"/>
  <c r="Q205" i="23" s="1"/>
  <c r="AC77" i="22"/>
  <c r="M185" i="23"/>
  <c r="N185" i="23" s="1"/>
  <c r="R877" i="23"/>
  <c r="U877" i="23" s="1"/>
  <c r="AF265" i="22" s="1"/>
  <c r="AD122" i="23"/>
  <c r="W1410" i="23"/>
  <c r="P1411" i="23" s="1"/>
  <c r="Q1411" i="23" s="1"/>
  <c r="W1411" i="23" s="1"/>
  <c r="P1412" i="23" s="1"/>
  <c r="Q1412" i="23" s="1"/>
  <c r="AD416" i="22"/>
  <c r="N67" i="23"/>
  <c r="H1711" i="23"/>
  <c r="J1710" i="23"/>
  <c r="O1710" i="23"/>
  <c r="W1505" i="23"/>
  <c r="AB406" i="22"/>
  <c r="AI54" i="34"/>
  <c r="K1016" i="23"/>
  <c r="L1016" i="23" s="1"/>
  <c r="M1016" i="23" s="1"/>
  <c r="N1016" i="23" s="1"/>
  <c r="K293" i="23"/>
  <c r="L293" i="23" s="1"/>
  <c r="W640" i="23"/>
  <c r="P641" i="23" s="1"/>
  <c r="Q641" i="23" s="1"/>
  <c r="AD1670" i="23"/>
  <c r="W928" i="23"/>
  <c r="AD920" i="23"/>
  <c r="AD921" i="23" s="1"/>
  <c r="M1154" i="23"/>
  <c r="N1154" i="23" s="1"/>
  <c r="M827" i="23"/>
  <c r="N827" i="23" s="1"/>
  <c r="U826" i="23"/>
  <c r="AE254" i="22" s="1"/>
  <c r="R827" i="23"/>
  <c r="U827" i="23" s="1"/>
  <c r="AF254" i="22" s="1"/>
  <c r="O1435" i="23"/>
  <c r="H1436" i="23"/>
  <c r="M1436" i="23" s="1"/>
  <c r="N1436" i="23" s="1"/>
  <c r="J1436" i="23" s="1"/>
  <c r="J1435" i="23"/>
  <c r="R1436" i="23"/>
  <c r="U1436" i="23" s="1"/>
  <c r="AF431" i="22" s="1"/>
  <c r="U1435" i="23"/>
  <c r="AE431" i="22" s="1"/>
  <c r="W1434" i="23"/>
  <c r="P1435" i="23" s="1"/>
  <c r="Q1435" i="23" s="1"/>
  <c r="M1411" i="23"/>
  <c r="N1411" i="23" s="1"/>
  <c r="AI163" i="34"/>
  <c r="M640" i="23"/>
  <c r="N640" i="23" s="1"/>
  <c r="AJ908" i="22"/>
  <c r="J992" i="23"/>
  <c r="H993" i="23"/>
  <c r="K993" i="23" s="1"/>
  <c r="L993" i="23" s="1"/>
  <c r="AE822" i="22"/>
  <c r="AE754" i="22" s="1"/>
  <c r="O992" i="23"/>
  <c r="J1733" i="23"/>
  <c r="H1734" i="23"/>
  <c r="O1733" i="23"/>
  <c r="W1199" i="23"/>
  <c r="P1200" i="23" s="1"/>
  <c r="Q1200" i="23" s="1"/>
  <c r="W1200" i="23" s="1"/>
  <c r="U970" i="23"/>
  <c r="AF291" i="22" s="1"/>
  <c r="R971" i="23"/>
  <c r="O971" i="23"/>
  <c r="J971" i="23"/>
  <c r="W969" i="23"/>
  <c r="P970" i="23" s="1"/>
  <c r="Q970" i="23" s="1"/>
  <c r="W970" i="23" s="1"/>
  <c r="P971" i="23" s="1"/>
  <c r="Q971" i="23" s="1"/>
  <c r="AI206" i="34"/>
  <c r="H854" i="23"/>
  <c r="J853" i="23"/>
  <c r="O853" i="23"/>
  <c r="J707" i="23"/>
  <c r="H708" i="23"/>
  <c r="O707" i="23"/>
  <c r="U707" i="23"/>
  <c r="R708" i="23"/>
  <c r="U708" i="23" s="1"/>
  <c r="AF232" i="22" s="1"/>
  <c r="R533" i="23"/>
  <c r="R534" i="23" s="1"/>
  <c r="U534" i="23" s="1"/>
  <c r="U532" i="23"/>
  <c r="AF185" i="22" s="1"/>
  <c r="O532" i="23"/>
  <c r="H533" i="23"/>
  <c r="J532" i="23"/>
  <c r="K420" i="23"/>
  <c r="L420" i="23" s="1"/>
  <c r="M420" i="23" s="1"/>
  <c r="N420" i="23" s="1"/>
  <c r="J878" i="23"/>
  <c r="O878" i="23"/>
  <c r="AD1580" i="23"/>
  <c r="U444" i="23"/>
  <c r="R445" i="23"/>
  <c r="R446" i="23" s="1"/>
  <c r="U446" i="23" s="1"/>
  <c r="H445" i="23"/>
  <c r="R1602" i="23"/>
  <c r="W1624" i="23"/>
  <c r="P1625" i="23" s="1"/>
  <c r="Q1625" i="23" s="1"/>
  <c r="W1625" i="23" s="1"/>
  <c r="O1317" i="23"/>
  <c r="J1317" i="23"/>
  <c r="AJ56" i="22"/>
  <c r="AJ512" i="22"/>
  <c r="AJ255" i="22"/>
  <c r="AJ290" i="22"/>
  <c r="AJ314" i="22"/>
  <c r="AJ147" i="22"/>
  <c r="AJ168" i="22"/>
  <c r="AJ288" i="22"/>
  <c r="AJ423" i="22"/>
  <c r="AJ395" i="22"/>
  <c r="AJ309" i="22"/>
  <c r="AJ46" i="22"/>
  <c r="AJ259" i="22"/>
  <c r="AJ676" i="22"/>
  <c r="AJ426" i="22"/>
  <c r="AJ414" i="22"/>
  <c r="AJ357" i="22"/>
  <c r="AJ528" i="22"/>
  <c r="AJ674" i="22"/>
  <c r="AJ387" i="22"/>
  <c r="AJ149" i="22"/>
  <c r="AJ102" i="22"/>
  <c r="AJ389" i="22"/>
  <c r="AJ347" i="22"/>
  <c r="AJ543" i="22"/>
  <c r="AJ321" i="22"/>
  <c r="AJ458" i="22"/>
  <c r="AJ49" i="22"/>
  <c r="AJ242" i="22"/>
  <c r="AJ339" i="22"/>
  <c r="AJ668" i="22"/>
  <c r="AJ358" i="22"/>
  <c r="AJ349" i="22"/>
  <c r="AJ223" i="22"/>
  <c r="AJ45" i="22"/>
  <c r="AJ412" i="22"/>
  <c r="AJ335" i="22"/>
  <c r="AI26" i="22"/>
  <c r="AJ26" i="22" s="1"/>
  <c r="AI28" i="22"/>
  <c r="AJ28" i="22" s="1"/>
  <c r="AJ24" i="22"/>
  <c r="AI13" i="22"/>
  <c r="AJ456" i="22"/>
  <c r="AI25" i="22"/>
  <c r="AJ25" i="22" s="1"/>
  <c r="AI18" i="22"/>
  <c r="AJ18" i="22" s="1"/>
  <c r="AJ537" i="22"/>
  <c r="AJ194" i="22"/>
  <c r="AJ167" i="22"/>
  <c r="AL905" i="22" l="1"/>
  <c r="AL911" i="22"/>
  <c r="AL923" i="22"/>
  <c r="AL915" i="22"/>
  <c r="AL919" i="22"/>
  <c r="R949" i="23"/>
  <c r="U948" i="23"/>
  <c r="O948" i="23"/>
  <c r="H949" i="23"/>
  <c r="M949" i="23" s="1"/>
  <c r="N949" i="23" s="1"/>
  <c r="J948" i="23"/>
  <c r="W947" i="23"/>
  <c r="P948" i="23" s="1"/>
  <c r="Q948" i="23" s="1"/>
  <c r="AE285" i="22"/>
  <c r="K99" i="23"/>
  <c r="L99" i="23" s="1"/>
  <c r="M99" i="23" s="1"/>
  <c r="N99" i="23" s="1"/>
  <c r="AI919" i="22"/>
  <c r="AJ919" i="22" s="1"/>
  <c r="AH914" i="22"/>
  <c r="AI914" i="22" s="1"/>
  <c r="AJ914" i="22" s="1"/>
  <c r="AI911" i="22"/>
  <c r="AJ911" i="22" s="1"/>
  <c r="AI279" i="34"/>
  <c r="AD1197" i="23"/>
  <c r="AD1198" i="23" s="1"/>
  <c r="W1848" i="23"/>
  <c r="P1849" i="23" s="1"/>
  <c r="Q1849" i="23" s="1"/>
  <c r="H1849" i="23"/>
  <c r="M1849" i="23" s="1"/>
  <c r="N1849" i="23" s="1"/>
  <c r="J1848" i="23"/>
  <c r="O1848" i="23"/>
  <c r="AF535" i="22"/>
  <c r="U1849" i="23"/>
  <c r="R1850" i="23"/>
  <c r="U1850" i="23" s="1"/>
  <c r="AH535" i="22" s="1"/>
  <c r="R1803" i="23"/>
  <c r="U1803" i="23" s="1"/>
  <c r="J1803" i="23"/>
  <c r="H1804" i="23"/>
  <c r="M1804" i="23" s="1"/>
  <c r="N1804" i="23" s="1"/>
  <c r="O1804" i="23" s="1"/>
  <c r="AD1624" i="23"/>
  <c r="AD1625" i="23" s="1"/>
  <c r="H1759" i="23"/>
  <c r="M1759" i="23" s="1"/>
  <c r="N1759" i="23" s="1"/>
  <c r="O1758" i="23"/>
  <c r="J1758" i="23"/>
  <c r="U1317" i="23"/>
  <c r="AG394" i="22" s="1"/>
  <c r="AJ149" i="34"/>
  <c r="AK149" i="34" s="1"/>
  <c r="R1759" i="23"/>
  <c r="U1759" i="23" s="1"/>
  <c r="AE510" i="22" s="1"/>
  <c r="U1758" i="23"/>
  <c r="AD548" i="23"/>
  <c r="AD549" i="23" s="1"/>
  <c r="AD550" i="23" s="1"/>
  <c r="W1757" i="23"/>
  <c r="P1758" i="23" s="1"/>
  <c r="Q1758" i="23" s="1"/>
  <c r="AC510" i="22"/>
  <c r="O1553" i="23"/>
  <c r="H1554" i="23"/>
  <c r="J1553" i="23"/>
  <c r="W1552" i="23"/>
  <c r="P1553" i="23" s="1"/>
  <c r="Q1553" i="23" s="1"/>
  <c r="W1553" i="23" s="1"/>
  <c r="P1554" i="23" s="1"/>
  <c r="Q1554" i="23" s="1"/>
  <c r="AD465" i="22"/>
  <c r="K1466" i="23"/>
  <c r="L1466" i="23" s="1"/>
  <c r="W1389" i="23"/>
  <c r="P1390" i="23" s="1"/>
  <c r="Q1390" i="23" s="1"/>
  <c r="J1367" i="23"/>
  <c r="O1367" i="23"/>
  <c r="M1342" i="23"/>
  <c r="N1342" i="23" s="1"/>
  <c r="J1318" i="23"/>
  <c r="O1318" i="23"/>
  <c r="AH394" i="22"/>
  <c r="U1321" i="23"/>
  <c r="W1321" i="23" s="1"/>
  <c r="M1267" i="23"/>
  <c r="N1267" i="23" s="1"/>
  <c r="W1267" i="23"/>
  <c r="J1224" i="23"/>
  <c r="O1224" i="23"/>
  <c r="AJ258" i="34"/>
  <c r="AK258" i="34" s="1"/>
  <c r="U971" i="23"/>
  <c r="AG291" i="22" s="1"/>
  <c r="R972" i="23"/>
  <c r="U972" i="23" s="1"/>
  <c r="W532" i="23"/>
  <c r="P533" i="23" s="1"/>
  <c r="Q533" i="23" s="1"/>
  <c r="K574" i="23"/>
  <c r="L574" i="23" s="1"/>
  <c r="M574" i="23" s="1"/>
  <c r="N574" i="23" s="1"/>
  <c r="R574" i="23" s="1"/>
  <c r="U574" i="23" s="1"/>
  <c r="W707" i="23"/>
  <c r="P708" i="23" s="1"/>
  <c r="Q708" i="23" s="1"/>
  <c r="W708" i="23" s="1"/>
  <c r="P709" i="23" s="1"/>
  <c r="Q709" i="23" s="1"/>
  <c r="AE232" i="22"/>
  <c r="AH185" i="22"/>
  <c r="AH151" i="22"/>
  <c r="W444" i="23"/>
  <c r="P445" i="23" s="1"/>
  <c r="Q445" i="23" s="1"/>
  <c r="AF151" i="22"/>
  <c r="R878" i="23"/>
  <c r="AI192" i="34" s="1"/>
  <c r="J341" i="23"/>
  <c r="O341" i="23"/>
  <c r="H317" i="23"/>
  <c r="J316" i="23"/>
  <c r="O316" i="23"/>
  <c r="U316" i="23"/>
  <c r="R317" i="23"/>
  <c r="W315" i="23"/>
  <c r="P316" i="23" s="1"/>
  <c r="Q316" i="23" s="1"/>
  <c r="AE110" i="22"/>
  <c r="K267" i="23"/>
  <c r="L267" i="23" s="1"/>
  <c r="M267" i="23" s="1"/>
  <c r="H250" i="23"/>
  <c r="J249" i="23"/>
  <c r="O249" i="23"/>
  <c r="K205" i="23"/>
  <c r="L205" i="23" s="1"/>
  <c r="M205" i="23" s="1"/>
  <c r="O185" i="23"/>
  <c r="J185" i="23"/>
  <c r="H186" i="23"/>
  <c r="R67" i="23"/>
  <c r="O67" i="23"/>
  <c r="H68" i="23"/>
  <c r="J67" i="23"/>
  <c r="M1711" i="23"/>
  <c r="N1711" i="23" s="1"/>
  <c r="P1506" i="23"/>
  <c r="Q1506" i="23" s="1"/>
  <c r="K1506" i="23"/>
  <c r="L1506" i="23" s="1"/>
  <c r="J1016" i="23"/>
  <c r="O1016" i="23"/>
  <c r="H1017" i="23"/>
  <c r="M1017" i="23" s="1"/>
  <c r="N1017" i="23" s="1"/>
  <c r="R1016" i="23"/>
  <c r="M293" i="23"/>
  <c r="N293" i="23" s="1"/>
  <c r="AD922" i="23"/>
  <c r="J1154" i="23"/>
  <c r="O1154" i="23"/>
  <c r="H1155" i="23"/>
  <c r="H1437" i="23"/>
  <c r="W826" i="23"/>
  <c r="P827" i="23" s="1"/>
  <c r="Q827" i="23" s="1"/>
  <c r="W827" i="23" s="1"/>
  <c r="P828" i="23" s="1"/>
  <c r="Q828" i="23" s="1"/>
  <c r="O1436" i="23"/>
  <c r="O827" i="23"/>
  <c r="J827" i="23"/>
  <c r="H828" i="23"/>
  <c r="W1435" i="23"/>
  <c r="P1436" i="23" s="1"/>
  <c r="Q1436" i="23" s="1"/>
  <c r="W1436" i="23" s="1"/>
  <c r="P1437" i="23" s="1"/>
  <c r="Q1437" i="23" s="1"/>
  <c r="O1411" i="23"/>
  <c r="H1412" i="23"/>
  <c r="J1411" i="23"/>
  <c r="H641" i="23"/>
  <c r="J640" i="23"/>
  <c r="O640" i="23"/>
  <c r="M993" i="23"/>
  <c r="N993" i="23" s="1"/>
  <c r="R993" i="23" s="1"/>
  <c r="R994" i="23" s="1"/>
  <c r="U994" i="23" s="1"/>
  <c r="AF822" i="22"/>
  <c r="AF754" i="22" s="1"/>
  <c r="AJ910" i="22"/>
  <c r="AJ912" i="22"/>
  <c r="AJ13" i="22"/>
  <c r="U445" i="23"/>
  <c r="U533" i="23"/>
  <c r="M1734" i="23"/>
  <c r="N1734" i="23" s="1"/>
  <c r="W877" i="23"/>
  <c r="P878" i="23" s="1"/>
  <c r="Q878" i="23" s="1"/>
  <c r="AD1199" i="23"/>
  <c r="M854" i="23"/>
  <c r="N854" i="23" s="1"/>
  <c r="H855" i="23" s="1"/>
  <c r="M855" i="23" s="1"/>
  <c r="N855" i="23" s="1"/>
  <c r="M708" i="23"/>
  <c r="N708" i="23" s="1"/>
  <c r="M533" i="23"/>
  <c r="N533" i="23" s="1"/>
  <c r="H534" i="23" s="1"/>
  <c r="M534" i="23" s="1"/>
  <c r="N534" i="23" s="1"/>
  <c r="J420" i="23"/>
  <c r="H421" i="23"/>
  <c r="M421" i="23" s="1"/>
  <c r="N421" i="23" s="1"/>
  <c r="O420" i="23"/>
  <c r="R420" i="23"/>
  <c r="M445" i="23"/>
  <c r="N445" i="23" s="1"/>
  <c r="H446" i="23" s="1"/>
  <c r="M446" i="23" s="1"/>
  <c r="N446" i="23" s="1"/>
  <c r="U1602" i="23"/>
  <c r="AF480" i="22" s="1"/>
  <c r="R1603" i="23"/>
  <c r="R1604" i="23" s="1"/>
  <c r="U1604" i="23" s="1"/>
  <c r="AD1626" i="23"/>
  <c r="AJ404" i="22"/>
  <c r="AJ466" i="22"/>
  <c r="AJ214" i="22"/>
  <c r="AJ50" i="22"/>
  <c r="AJ295" i="22"/>
  <c r="AJ196" i="22"/>
  <c r="AJ538" i="22"/>
  <c r="AJ289" i="22"/>
  <c r="AJ460" i="22"/>
  <c r="AJ450" i="22"/>
  <c r="AJ342" i="22"/>
  <c r="AJ678" i="22"/>
  <c r="AJ324" i="22"/>
  <c r="AJ308" i="22"/>
  <c r="AJ529" i="22"/>
  <c r="AJ271" i="22"/>
  <c r="AJ258" i="22"/>
  <c r="AJ513" i="22"/>
  <c r="AI16" i="22"/>
  <c r="AJ16" i="22" s="1"/>
  <c r="AI36" i="22"/>
  <c r="AJ36" i="22" s="1"/>
  <c r="AI27" i="22"/>
  <c r="AJ27" i="22" s="1"/>
  <c r="AI31" i="22"/>
  <c r="AJ31" i="22" s="1"/>
  <c r="AI17" i="22"/>
  <c r="AJ17" i="22" s="1"/>
  <c r="AL1137" i="22" l="1"/>
  <c r="H950" i="23"/>
  <c r="O949" i="23"/>
  <c r="J949" i="23"/>
  <c r="W948" i="23"/>
  <c r="P949" i="23" s="1"/>
  <c r="Q949" i="23" s="1"/>
  <c r="AF285" i="22"/>
  <c r="U949" i="23"/>
  <c r="R950" i="23"/>
  <c r="U950" i="23" s="1"/>
  <c r="AH285" i="22" s="1"/>
  <c r="H100" i="23"/>
  <c r="J99" i="23"/>
  <c r="O99" i="23"/>
  <c r="R99" i="23"/>
  <c r="AD1313" i="23"/>
  <c r="AD1314" i="23" s="1"/>
  <c r="U1852" i="23"/>
  <c r="AJ371" i="34" s="1"/>
  <c r="AK371" i="34" s="1"/>
  <c r="R1804" i="23"/>
  <c r="U1804" i="23" s="1"/>
  <c r="AF523" i="22" s="1"/>
  <c r="W1849" i="23"/>
  <c r="P1850" i="23" s="1"/>
  <c r="Q1850" i="23" s="1"/>
  <c r="W1850" i="23" s="1"/>
  <c r="AG535" i="22"/>
  <c r="AI535" i="22" s="1"/>
  <c r="AJ535" i="22" s="1"/>
  <c r="AI371" i="34"/>
  <c r="J1849" i="23"/>
  <c r="O1849" i="23"/>
  <c r="H1850" i="23"/>
  <c r="M1850" i="23" s="1"/>
  <c r="N1850" i="23" s="1"/>
  <c r="H1805" i="23"/>
  <c r="J1804" i="23"/>
  <c r="W1803" i="23"/>
  <c r="P1804" i="23" s="1"/>
  <c r="Q1804" i="23" s="1"/>
  <c r="AE523" i="22"/>
  <c r="W1317" i="23"/>
  <c r="P1318" i="23" s="1"/>
  <c r="Q1318" i="23" s="1"/>
  <c r="W1318" i="23" s="1"/>
  <c r="AJ279" i="34"/>
  <c r="AK279" i="34" s="1"/>
  <c r="W1758" i="23"/>
  <c r="P1759" i="23" s="1"/>
  <c r="Q1759" i="23" s="1"/>
  <c r="W1759" i="23" s="1"/>
  <c r="P1760" i="23" s="1"/>
  <c r="Q1760" i="23" s="1"/>
  <c r="AD510" i="22"/>
  <c r="J1759" i="23"/>
  <c r="O1759" i="23"/>
  <c r="H1760" i="23"/>
  <c r="AH480" i="22"/>
  <c r="K1554" i="23"/>
  <c r="L1554" i="23" s="1"/>
  <c r="M1554" i="23" s="1"/>
  <c r="N1554" i="23" s="1"/>
  <c r="M1466" i="23"/>
  <c r="N1466" i="23" s="1"/>
  <c r="R1466" i="23" s="1"/>
  <c r="K1390" i="23"/>
  <c r="L1390" i="23" s="1"/>
  <c r="M1390" i="23" s="1"/>
  <c r="N1390" i="23" s="1"/>
  <c r="W971" i="23"/>
  <c r="P972" i="23" s="1"/>
  <c r="Q972" i="23" s="1"/>
  <c r="W972" i="23" s="1"/>
  <c r="J1342" i="23"/>
  <c r="O1342" i="23"/>
  <c r="H1343" i="23"/>
  <c r="M1343" i="23" s="1"/>
  <c r="N1343" i="23" s="1"/>
  <c r="AI394" i="22"/>
  <c r="AJ394" i="22" s="1"/>
  <c r="J1267" i="23"/>
  <c r="O1267" i="23"/>
  <c r="U974" i="23"/>
  <c r="W974" i="23" s="1"/>
  <c r="AC43" i="22"/>
  <c r="AH291" i="22"/>
  <c r="AI291" i="22" s="1"/>
  <c r="AJ291" i="22" s="1"/>
  <c r="U878" i="23"/>
  <c r="W878" i="23" s="1"/>
  <c r="P879" i="23" s="1"/>
  <c r="Q879" i="23" s="1"/>
  <c r="R879" i="23"/>
  <c r="U879" i="23" s="1"/>
  <c r="O855" i="23"/>
  <c r="J855" i="23"/>
  <c r="AG265" i="22"/>
  <c r="W574" i="23"/>
  <c r="P575" i="23" s="1"/>
  <c r="Q575" i="23" s="1"/>
  <c r="AD198" i="22"/>
  <c r="J574" i="23"/>
  <c r="H575" i="23"/>
  <c r="O574" i="23"/>
  <c r="O534" i="23"/>
  <c r="J534" i="23"/>
  <c r="W533" i="23"/>
  <c r="P534" i="23" s="1"/>
  <c r="Q534" i="23" s="1"/>
  <c r="W534" i="23" s="1"/>
  <c r="AG185" i="22"/>
  <c r="AI185" i="22" s="1"/>
  <c r="J446" i="23"/>
  <c r="O446" i="23"/>
  <c r="U448" i="23"/>
  <c r="W448" i="23" s="1"/>
  <c r="AG151" i="22"/>
  <c r="AI151" i="22" s="1"/>
  <c r="AJ151" i="22" s="1"/>
  <c r="W316" i="23"/>
  <c r="P317" i="23" s="1"/>
  <c r="Q317" i="23" s="1"/>
  <c r="AF110" i="22"/>
  <c r="R318" i="23"/>
  <c r="U318" i="23" s="1"/>
  <c r="AH110" i="22" s="1"/>
  <c r="U317" i="23"/>
  <c r="AI84" i="34"/>
  <c r="M317" i="23"/>
  <c r="N317" i="23" s="1"/>
  <c r="N267" i="23"/>
  <c r="R267" i="23" s="1"/>
  <c r="M250" i="23"/>
  <c r="N250" i="23" s="1"/>
  <c r="N205" i="23"/>
  <c r="M186" i="23"/>
  <c r="N186" i="23" s="1"/>
  <c r="K1437" i="23"/>
  <c r="L1437" i="23" s="1"/>
  <c r="M1437" i="23" s="1"/>
  <c r="N1437" i="23" s="1"/>
  <c r="H1438" i="23" s="1"/>
  <c r="R68" i="23"/>
  <c r="U67" i="23"/>
  <c r="W67" i="23" s="1"/>
  <c r="P68" i="23" s="1"/>
  <c r="Q68" i="23" s="1"/>
  <c r="M68" i="23"/>
  <c r="N68" i="23" s="1"/>
  <c r="O1711" i="23"/>
  <c r="H1712" i="23"/>
  <c r="J1711" i="23"/>
  <c r="M1506" i="23"/>
  <c r="N1506" i="23" s="1"/>
  <c r="R1506" i="23" s="1"/>
  <c r="U1506" i="23" s="1"/>
  <c r="AE452" i="22" s="1"/>
  <c r="U1016" i="23"/>
  <c r="W1016" i="23" s="1"/>
  <c r="P1017" i="23" s="1"/>
  <c r="Q1017" i="23" s="1"/>
  <c r="R1017" i="23"/>
  <c r="J1017" i="23"/>
  <c r="O1017" i="23"/>
  <c r="H1018" i="23"/>
  <c r="R293" i="23"/>
  <c r="O293" i="23"/>
  <c r="J293" i="23"/>
  <c r="H294" i="23"/>
  <c r="K1155" i="23"/>
  <c r="L1155" i="23" s="1"/>
  <c r="M1155" i="23" s="1"/>
  <c r="K828" i="23"/>
  <c r="L828" i="23" s="1"/>
  <c r="W445" i="23"/>
  <c r="P446" i="23" s="1"/>
  <c r="Q446" i="23" s="1"/>
  <c r="W446" i="23" s="1"/>
  <c r="J993" i="23"/>
  <c r="U993" i="23"/>
  <c r="K1412" i="23"/>
  <c r="L1412" i="23" s="1"/>
  <c r="M1412" i="23" s="1"/>
  <c r="K641" i="23"/>
  <c r="L641" i="23" s="1"/>
  <c r="H994" i="23"/>
  <c r="M994" i="23" s="1"/>
  <c r="N994" i="23" s="1"/>
  <c r="O994" i="23" s="1"/>
  <c r="O993" i="23"/>
  <c r="AG822" i="22"/>
  <c r="AG754" i="22" s="1"/>
  <c r="J1734" i="23"/>
  <c r="O1734" i="23"/>
  <c r="H1735" i="23"/>
  <c r="J854" i="23"/>
  <c r="O854" i="23"/>
  <c r="O708" i="23"/>
  <c r="J708" i="23"/>
  <c r="H709" i="23"/>
  <c r="J533" i="23"/>
  <c r="O533" i="23"/>
  <c r="U420" i="23"/>
  <c r="R421" i="23"/>
  <c r="U421" i="23" s="1"/>
  <c r="J421" i="23"/>
  <c r="O421" i="23"/>
  <c r="H422" i="23"/>
  <c r="U857" i="23"/>
  <c r="W857" i="23" s="1"/>
  <c r="AG381" i="22"/>
  <c r="AI270" i="34"/>
  <c r="J445" i="23"/>
  <c r="O445" i="23"/>
  <c r="U905" i="23"/>
  <c r="W905" i="23" s="1"/>
  <c r="W1602" i="23"/>
  <c r="P1603" i="23" s="1"/>
  <c r="Q1603" i="23" s="1"/>
  <c r="U1603" i="23"/>
  <c r="AD1315" i="23"/>
  <c r="AI145" i="34"/>
  <c r="AJ206" i="22"/>
  <c r="AL1056" i="22"/>
  <c r="AJ401" i="22"/>
  <c r="AJ355" i="22"/>
  <c r="AJ369" i="22"/>
  <c r="AJ499" i="22"/>
  <c r="AJ530" i="22"/>
  <c r="AJ323" i="22"/>
  <c r="AJ536" i="22"/>
  <c r="AJ312" i="22"/>
  <c r="AJ336" i="22"/>
  <c r="AJ316" i="22"/>
  <c r="AJ150" i="22"/>
  <c r="AJ193" i="22"/>
  <c r="AJ315" i="22"/>
  <c r="AJ463" i="22"/>
  <c r="AJ386" i="22"/>
  <c r="AJ447" i="22"/>
  <c r="AL822" i="22" l="1"/>
  <c r="W1852" i="23"/>
  <c r="W949" i="23"/>
  <c r="P950" i="23" s="1"/>
  <c r="Q950" i="23" s="1"/>
  <c r="W950" i="23" s="1"/>
  <c r="U952" i="23"/>
  <c r="AI201" i="34"/>
  <c r="AG285" i="22"/>
  <c r="AI285" i="22" s="1"/>
  <c r="AJ285" i="22" s="1"/>
  <c r="M950" i="23"/>
  <c r="N950" i="23" s="1"/>
  <c r="U99" i="23"/>
  <c r="W99" i="23" s="1"/>
  <c r="P100" i="23" s="1"/>
  <c r="Q100" i="23" s="1"/>
  <c r="R100" i="23"/>
  <c r="M100" i="23"/>
  <c r="N100" i="23" s="1"/>
  <c r="AD1846" i="23"/>
  <c r="AD1847" i="23" s="1"/>
  <c r="AD1849" i="23" s="1"/>
  <c r="J1850" i="23"/>
  <c r="O1850" i="23"/>
  <c r="W1804" i="23"/>
  <c r="P1805" i="23" s="1"/>
  <c r="Q1805" i="23" s="1"/>
  <c r="K1760" i="23"/>
  <c r="L1760" i="23" s="1"/>
  <c r="M1760" i="23" s="1"/>
  <c r="N1760" i="23" s="1"/>
  <c r="U1606" i="23"/>
  <c r="W1606" i="23" s="1"/>
  <c r="AG480" i="22"/>
  <c r="AI480" i="22" s="1"/>
  <c r="AJ480" i="22" s="1"/>
  <c r="H1555" i="23"/>
  <c r="M1555" i="23" s="1"/>
  <c r="N1555" i="23" s="1"/>
  <c r="J1554" i="23"/>
  <c r="O1554" i="23"/>
  <c r="R1554" i="23"/>
  <c r="J1466" i="23"/>
  <c r="O1466" i="23"/>
  <c r="H1467" i="23"/>
  <c r="M1467" i="23" s="1"/>
  <c r="N1467" i="23" s="1"/>
  <c r="U1466" i="23"/>
  <c r="R1467" i="23"/>
  <c r="AD440" i="23"/>
  <c r="AD442" i="23" s="1"/>
  <c r="H1391" i="23"/>
  <c r="J1390" i="23"/>
  <c r="O1390" i="23"/>
  <c r="R1390" i="23"/>
  <c r="U1390" i="23" s="1"/>
  <c r="W1390" i="23" s="1"/>
  <c r="P1391" i="23" s="1"/>
  <c r="Q1391" i="23" s="1"/>
  <c r="AJ206" i="34"/>
  <c r="AK206" i="34" s="1"/>
  <c r="AD967" i="23"/>
  <c r="AD968" i="23" s="1"/>
  <c r="AD969" i="23" s="1"/>
  <c r="J1343" i="23"/>
  <c r="O1343" i="23"/>
  <c r="AH381" i="22"/>
  <c r="AI381" i="22" s="1"/>
  <c r="W993" i="23"/>
  <c r="P994" i="23" s="1"/>
  <c r="Q994" i="23" s="1"/>
  <c r="W994" i="23" s="1"/>
  <c r="P995" i="23" s="1"/>
  <c r="Q995" i="23" s="1"/>
  <c r="AE296" i="22"/>
  <c r="W879" i="23"/>
  <c r="AH265" i="22"/>
  <c r="AI265" i="22" s="1"/>
  <c r="AJ265" i="22" s="1"/>
  <c r="U882" i="23"/>
  <c r="K575" i="23"/>
  <c r="L575" i="23" s="1"/>
  <c r="M575" i="23" s="1"/>
  <c r="N575" i="23" s="1"/>
  <c r="H576" i="23" s="1"/>
  <c r="M576" i="23" s="1"/>
  <c r="N576" i="23" s="1"/>
  <c r="W420" i="23"/>
  <c r="P421" i="23" s="1"/>
  <c r="Q421" i="23" s="1"/>
  <c r="W421" i="23" s="1"/>
  <c r="P422" i="23" s="1"/>
  <c r="Q422" i="23" s="1"/>
  <c r="AC140" i="22"/>
  <c r="H318" i="23"/>
  <c r="J317" i="23"/>
  <c r="O317" i="23"/>
  <c r="U320" i="23"/>
  <c r="AG110" i="22"/>
  <c r="AI110" i="22" s="1"/>
  <c r="AJ110" i="22" s="1"/>
  <c r="W317" i="23"/>
  <c r="P318" i="23" s="1"/>
  <c r="Q318" i="23" s="1"/>
  <c r="W318" i="23" s="1"/>
  <c r="U267" i="23"/>
  <c r="R268" i="23"/>
  <c r="U268" i="23" s="1"/>
  <c r="J267" i="23"/>
  <c r="H268" i="23"/>
  <c r="O267" i="23"/>
  <c r="O250" i="23"/>
  <c r="J250" i="23"/>
  <c r="J205" i="23"/>
  <c r="H206" i="23"/>
  <c r="M206" i="23" s="1"/>
  <c r="O205" i="23"/>
  <c r="R205" i="23"/>
  <c r="H187" i="23"/>
  <c r="O186" i="23"/>
  <c r="J186" i="23"/>
  <c r="H69" i="23"/>
  <c r="J68" i="23"/>
  <c r="O68" i="23"/>
  <c r="U68" i="23"/>
  <c r="R69" i="23"/>
  <c r="U69" i="23" s="1"/>
  <c r="AC30" i="22" s="1"/>
  <c r="M1712" i="23"/>
  <c r="N1712" i="23" s="1"/>
  <c r="W1506" i="23"/>
  <c r="P1507" i="23" s="1"/>
  <c r="Q1507" i="23" s="1"/>
  <c r="J1506" i="23"/>
  <c r="O1506" i="23"/>
  <c r="H1507" i="23"/>
  <c r="AC406" i="22"/>
  <c r="R1018" i="23"/>
  <c r="U1018" i="23" s="1"/>
  <c r="AC307" i="22" s="1"/>
  <c r="U1017" i="23"/>
  <c r="M1018" i="23"/>
  <c r="N1018" i="23" s="1"/>
  <c r="U293" i="23"/>
  <c r="AE104" i="22" s="1"/>
  <c r="R294" i="23"/>
  <c r="M294" i="23"/>
  <c r="N294" i="23" s="1"/>
  <c r="N1155" i="23"/>
  <c r="R1155" i="23" s="1"/>
  <c r="J994" i="23"/>
  <c r="H995" i="23"/>
  <c r="M828" i="23"/>
  <c r="N828" i="23" s="1"/>
  <c r="H829" i="23" s="1"/>
  <c r="J1437" i="23"/>
  <c r="O1437" i="23"/>
  <c r="R1437" i="23"/>
  <c r="N1412" i="23"/>
  <c r="M641" i="23"/>
  <c r="N641" i="23" s="1"/>
  <c r="AH822" i="22"/>
  <c r="AH754" i="22" s="1"/>
  <c r="AJ273" i="22"/>
  <c r="M1735" i="23"/>
  <c r="N1735" i="23" s="1"/>
  <c r="K709" i="23"/>
  <c r="L709" i="23" s="1"/>
  <c r="M709" i="23" s="1"/>
  <c r="N709" i="23" s="1"/>
  <c r="H710" i="23" s="1"/>
  <c r="M710" i="23" s="1"/>
  <c r="N710" i="23" s="1"/>
  <c r="AD849" i="23"/>
  <c r="AD850" i="23" s="1"/>
  <c r="AJ262" i="22"/>
  <c r="U1269" i="23"/>
  <c r="W1269" i="23" s="1"/>
  <c r="AD897" i="23"/>
  <c r="AD898" i="23" s="1"/>
  <c r="W1603" i="23"/>
  <c r="P1604" i="23" s="1"/>
  <c r="Q1604" i="23" s="1"/>
  <c r="W1604" i="23" s="1"/>
  <c r="AD1601" i="23"/>
  <c r="AD1602" i="23" s="1"/>
  <c r="AI29" i="22"/>
  <c r="O950" i="23" l="1"/>
  <c r="J950" i="23"/>
  <c r="W952" i="23"/>
  <c r="AJ201" i="34"/>
  <c r="AK201" i="34" s="1"/>
  <c r="AD946" i="23"/>
  <c r="AD947" i="23" s="1"/>
  <c r="J100" i="23"/>
  <c r="H101" i="23"/>
  <c r="M101" i="23" s="1"/>
  <c r="N101" i="23" s="1"/>
  <c r="O100" i="23"/>
  <c r="R101" i="23"/>
  <c r="U101" i="23" s="1"/>
  <c r="U100" i="23"/>
  <c r="W100" i="23" s="1"/>
  <c r="P101" i="23" s="1"/>
  <c r="Q101" i="23" s="1"/>
  <c r="AI822" i="22"/>
  <c r="AI754" i="22" s="1"/>
  <c r="K1805" i="23"/>
  <c r="L1805" i="23" s="1"/>
  <c r="M1805" i="23" s="1"/>
  <c r="N1805" i="23" s="1"/>
  <c r="O1760" i="23"/>
  <c r="H1761" i="23"/>
  <c r="M1761" i="23" s="1"/>
  <c r="N1761" i="23" s="1"/>
  <c r="J1760" i="23"/>
  <c r="R1760" i="23"/>
  <c r="U1554" i="23"/>
  <c r="R1555" i="23"/>
  <c r="J1555" i="23"/>
  <c r="H1556" i="23"/>
  <c r="M1556" i="23" s="1"/>
  <c r="N1556" i="23" s="1"/>
  <c r="O1555" i="23"/>
  <c r="W1466" i="23"/>
  <c r="P1467" i="23" s="1"/>
  <c r="Q1467" i="23" s="1"/>
  <c r="AF438" i="22"/>
  <c r="J1467" i="23"/>
  <c r="O1467" i="23"/>
  <c r="H1468" i="23"/>
  <c r="M1468" i="23" s="1"/>
  <c r="N1468" i="23" s="1"/>
  <c r="U1467" i="23"/>
  <c r="R1468" i="23"/>
  <c r="U1468" i="23" s="1"/>
  <c r="AH438" i="22" s="1"/>
  <c r="AI302" i="34"/>
  <c r="K1391" i="23"/>
  <c r="L1391" i="23" s="1"/>
  <c r="M1391" i="23" s="1"/>
  <c r="N1391" i="23" s="1"/>
  <c r="K995" i="23"/>
  <c r="L995" i="23" s="1"/>
  <c r="W882" i="23"/>
  <c r="AJ192" i="34"/>
  <c r="AK192" i="34" s="1"/>
  <c r="AD873" i="23"/>
  <c r="AD874" i="23" s="1"/>
  <c r="J575" i="23"/>
  <c r="O575" i="23"/>
  <c r="R575" i="23"/>
  <c r="R576" i="23" s="1"/>
  <c r="U576" i="23" s="1"/>
  <c r="AF198" i="22" s="1"/>
  <c r="J710" i="23"/>
  <c r="O710" i="23"/>
  <c r="H577" i="23"/>
  <c r="O576" i="23"/>
  <c r="J576" i="23"/>
  <c r="M318" i="23"/>
  <c r="N318" i="23" s="1"/>
  <c r="W320" i="23"/>
  <c r="AJ84" i="34"/>
  <c r="AK84" i="34" s="1"/>
  <c r="AD312" i="23"/>
  <c r="AD314" i="23" s="1"/>
  <c r="W267" i="23"/>
  <c r="P268" i="23" s="1"/>
  <c r="Q268" i="23" s="1"/>
  <c r="W268" i="23" s="1"/>
  <c r="P269" i="23" s="1"/>
  <c r="Q269" i="23" s="1"/>
  <c r="AD93" i="22"/>
  <c r="M268" i="23"/>
  <c r="N268" i="23" s="1"/>
  <c r="U205" i="23"/>
  <c r="R206" i="23"/>
  <c r="N206" i="23"/>
  <c r="M187" i="23"/>
  <c r="N187" i="23" s="1"/>
  <c r="W68" i="23"/>
  <c r="P69" i="23" s="1"/>
  <c r="Q69" i="23" s="1"/>
  <c r="W69" i="23" s="1"/>
  <c r="P70" i="23" s="1"/>
  <c r="Q70" i="23" s="1"/>
  <c r="AB30" i="22"/>
  <c r="M69" i="23"/>
  <c r="N69" i="23" s="1"/>
  <c r="J1712" i="23"/>
  <c r="O1712" i="23"/>
  <c r="H1713" i="23"/>
  <c r="K1507" i="23"/>
  <c r="L1507" i="23" s="1"/>
  <c r="M1507" i="23" s="1"/>
  <c r="N1507" i="23" s="1"/>
  <c r="AD406" i="22"/>
  <c r="AE406" i="22"/>
  <c r="W293" i="23"/>
  <c r="P294" i="23" s="1"/>
  <c r="Q294" i="23" s="1"/>
  <c r="O1018" i="23"/>
  <c r="H1019" i="23"/>
  <c r="J1018" i="23"/>
  <c r="W1017" i="23"/>
  <c r="P1018" i="23" s="1"/>
  <c r="Q1018" i="23" s="1"/>
  <c r="W1018" i="23" s="1"/>
  <c r="P1019" i="23" s="1"/>
  <c r="Q1019" i="23" s="1"/>
  <c r="AB307" i="22"/>
  <c r="J294" i="23"/>
  <c r="O294" i="23"/>
  <c r="H295" i="23"/>
  <c r="R295" i="23"/>
  <c r="U295" i="23" s="1"/>
  <c r="AG104" i="22" s="1"/>
  <c r="U294" i="23"/>
  <c r="AF104" i="22" s="1"/>
  <c r="U1155" i="23"/>
  <c r="R1156" i="23"/>
  <c r="H1156" i="23"/>
  <c r="J1155" i="23"/>
  <c r="O1155" i="23"/>
  <c r="O828" i="23"/>
  <c r="J828" i="23"/>
  <c r="R828" i="23"/>
  <c r="U828" i="23" s="1"/>
  <c r="AG254" i="22" s="1"/>
  <c r="U1437" i="23"/>
  <c r="AI300" i="34"/>
  <c r="R1412" i="23"/>
  <c r="U1412" i="23" s="1"/>
  <c r="AE416" i="22" s="1"/>
  <c r="O1412" i="23"/>
  <c r="H1413" i="23"/>
  <c r="J1412" i="23"/>
  <c r="O641" i="23"/>
  <c r="J641" i="23"/>
  <c r="R641" i="23"/>
  <c r="U641" i="23" s="1"/>
  <c r="AH216" i="22" s="1"/>
  <c r="AJ822" i="22"/>
  <c r="AJ754" i="22" s="1"/>
  <c r="AJ29" i="22"/>
  <c r="H1736" i="23"/>
  <c r="O1735" i="23"/>
  <c r="J1735" i="23"/>
  <c r="M995" i="23"/>
  <c r="N995" i="23" s="1"/>
  <c r="K422" i="23"/>
  <c r="L422" i="23" s="1"/>
  <c r="M422" i="23" s="1"/>
  <c r="N422" i="23" s="1"/>
  <c r="R422" i="23" s="1"/>
  <c r="O709" i="23"/>
  <c r="J709" i="23"/>
  <c r="R709" i="23"/>
  <c r="R710" i="23" s="1"/>
  <c r="U710" i="23" s="1"/>
  <c r="U343" i="23"/>
  <c r="W343" i="23" s="1"/>
  <c r="AD851" i="23"/>
  <c r="AJ270" i="34"/>
  <c r="AK270" i="34" s="1"/>
  <c r="AJ381" i="22"/>
  <c r="AD1265" i="23"/>
  <c r="AD1266" i="23" s="1"/>
  <c r="AD1267" i="23" s="1"/>
  <c r="AD1603" i="23"/>
  <c r="AD899" i="23"/>
  <c r="U536" i="23"/>
  <c r="W536" i="23" s="1"/>
  <c r="AJ320" i="22"/>
  <c r="W101" i="23" l="1"/>
  <c r="P102" i="23" s="1"/>
  <c r="Q102" i="23" s="1"/>
  <c r="AD949" i="23"/>
  <c r="J101" i="23"/>
  <c r="H102" i="23"/>
  <c r="O101" i="23"/>
  <c r="J1805" i="23"/>
  <c r="H1806" i="23"/>
  <c r="M1806" i="23" s="1"/>
  <c r="N1806" i="23" s="1"/>
  <c r="O1805" i="23"/>
  <c r="R1805" i="23"/>
  <c r="U1760" i="23"/>
  <c r="R1761" i="23"/>
  <c r="H1762" i="23"/>
  <c r="O1761" i="23"/>
  <c r="J1761" i="23"/>
  <c r="J1556" i="23"/>
  <c r="O1556" i="23"/>
  <c r="H1557" i="23"/>
  <c r="M1557" i="23" s="1"/>
  <c r="N1557" i="23" s="1"/>
  <c r="R1556" i="23"/>
  <c r="U1555" i="23"/>
  <c r="W1554" i="23"/>
  <c r="P1555" i="23" s="1"/>
  <c r="Q1555" i="23" s="1"/>
  <c r="AF465" i="22"/>
  <c r="U1470" i="23"/>
  <c r="AG438" i="22"/>
  <c r="AI438" i="22" s="1"/>
  <c r="AJ438" i="22" s="1"/>
  <c r="O1468" i="23"/>
  <c r="J1468" i="23"/>
  <c r="W1467" i="23"/>
  <c r="P1468" i="23" s="1"/>
  <c r="Q1468" i="23" s="1"/>
  <c r="W1468" i="23" s="1"/>
  <c r="R1391" i="23"/>
  <c r="U1391" i="23" s="1"/>
  <c r="W1391" i="23" s="1"/>
  <c r="P1392" i="23" s="1"/>
  <c r="Q1392" i="23" s="1"/>
  <c r="J1391" i="23"/>
  <c r="O1391" i="23"/>
  <c r="H1392" i="23"/>
  <c r="AD875" i="23"/>
  <c r="U575" i="23"/>
  <c r="W575" i="23" s="1"/>
  <c r="P576" i="23" s="1"/>
  <c r="Q576" i="23" s="1"/>
  <c r="W576" i="23" s="1"/>
  <c r="P577" i="23" s="1"/>
  <c r="Q577" i="23" s="1"/>
  <c r="AH232" i="22"/>
  <c r="AD315" i="23"/>
  <c r="O318" i="23"/>
  <c r="J318" i="23"/>
  <c r="H269" i="23"/>
  <c r="J268" i="23"/>
  <c r="O268" i="23"/>
  <c r="O206" i="23"/>
  <c r="J206" i="23"/>
  <c r="H207" i="23"/>
  <c r="M207" i="23" s="1"/>
  <c r="U206" i="23"/>
  <c r="AE77" i="22" s="1"/>
  <c r="R207" i="23"/>
  <c r="W205" i="23"/>
  <c r="P206" i="23" s="1"/>
  <c r="Q206" i="23" s="1"/>
  <c r="AD77" i="22"/>
  <c r="J187" i="23"/>
  <c r="O187" i="23"/>
  <c r="J69" i="23"/>
  <c r="O69" i="23"/>
  <c r="H70" i="23"/>
  <c r="M1713" i="23"/>
  <c r="N1713" i="23" s="1"/>
  <c r="O1507" i="23"/>
  <c r="H1508" i="23"/>
  <c r="J1507" i="23"/>
  <c r="R1507" i="23"/>
  <c r="W294" i="23"/>
  <c r="P295" i="23" s="1"/>
  <c r="Q295" i="23" s="1"/>
  <c r="W295" i="23" s="1"/>
  <c r="P296" i="23" s="1"/>
  <c r="Q296" i="23" s="1"/>
  <c r="K1019" i="23"/>
  <c r="L1019" i="23" s="1"/>
  <c r="M295" i="23"/>
  <c r="N295" i="23" s="1"/>
  <c r="H296" i="23" s="1"/>
  <c r="W1155" i="23"/>
  <c r="P1156" i="23" s="1"/>
  <c r="Q1156" i="23" s="1"/>
  <c r="M1156" i="23"/>
  <c r="N1156" i="23" s="1"/>
  <c r="U1156" i="23"/>
  <c r="AF346" i="22" s="1"/>
  <c r="R1157" i="23"/>
  <c r="U1157" i="23" s="1"/>
  <c r="AG346" i="22" s="1"/>
  <c r="AI247" i="34"/>
  <c r="AI187" i="34"/>
  <c r="W828" i="23"/>
  <c r="W1437" i="23"/>
  <c r="W1412" i="23"/>
  <c r="P1413" i="23" s="1"/>
  <c r="Q1413" i="23" s="1"/>
  <c r="W641" i="23"/>
  <c r="U646" i="23"/>
  <c r="U709" i="23"/>
  <c r="AJ145" i="34"/>
  <c r="AK145" i="34" s="1"/>
  <c r="M1736" i="23"/>
  <c r="N1736" i="23" s="1"/>
  <c r="H996" i="23"/>
  <c r="M996" i="23" s="1"/>
  <c r="N996" i="23" s="1"/>
  <c r="H997" i="23" s="1"/>
  <c r="M997" i="23" s="1"/>
  <c r="N997" i="23" s="1"/>
  <c r="J995" i="23"/>
  <c r="O995" i="23"/>
  <c r="R995" i="23"/>
  <c r="O422" i="23"/>
  <c r="H423" i="23"/>
  <c r="M423" i="23" s="1"/>
  <c r="N423" i="23" s="1"/>
  <c r="J422" i="23"/>
  <c r="U422" i="23"/>
  <c r="R423" i="23"/>
  <c r="AD335" i="23"/>
  <c r="AD337" i="23" s="1"/>
  <c r="AD338" i="23" s="1"/>
  <c r="AJ115" i="22"/>
  <c r="U603" i="23"/>
  <c r="W603" i="23" s="1"/>
  <c r="AJ185" i="22"/>
  <c r="AD527" i="23"/>
  <c r="AD528" i="23" s="1"/>
  <c r="AD529" i="23" s="1"/>
  <c r="B133" i="21"/>
  <c r="B56" i="21"/>
  <c r="E457" i="20"/>
  <c r="B157" i="21"/>
  <c r="B44" i="21"/>
  <c r="B45" i="21"/>
  <c r="B46" i="21"/>
  <c r="B47" i="21"/>
  <c r="K102" i="23" l="1"/>
  <c r="L102" i="23" s="1"/>
  <c r="M102" i="23" s="1"/>
  <c r="N102" i="23" s="1"/>
  <c r="R102" i="23" s="1"/>
  <c r="U102" i="23" s="1"/>
  <c r="W102" i="23" s="1"/>
  <c r="P103" i="23" s="1"/>
  <c r="Q103" i="23" s="1"/>
  <c r="U1805" i="23"/>
  <c r="R1806" i="23"/>
  <c r="U1806" i="23" s="1"/>
  <c r="AH523" i="22" s="1"/>
  <c r="J1806" i="23"/>
  <c r="O1806" i="23"/>
  <c r="M1762" i="23"/>
  <c r="N1762" i="23" s="1"/>
  <c r="U1761" i="23"/>
  <c r="AF510" i="22" s="1"/>
  <c r="R1762" i="23"/>
  <c r="U1762" i="23" s="1"/>
  <c r="W1760" i="23"/>
  <c r="P1761" i="23" s="1"/>
  <c r="Q1761" i="23" s="1"/>
  <c r="U1556" i="23"/>
  <c r="R1557" i="23"/>
  <c r="U1557" i="23" s="1"/>
  <c r="AH465" i="22" s="1"/>
  <c r="O1557" i="23"/>
  <c r="J1557" i="23"/>
  <c r="AE198" i="22"/>
  <c r="W1555" i="23"/>
  <c r="P1556" i="23" s="1"/>
  <c r="Q1556" i="23" s="1"/>
  <c r="W1556" i="23" s="1"/>
  <c r="P1557" i="23" s="1"/>
  <c r="Q1557" i="23" s="1"/>
  <c r="W1557" i="23" s="1"/>
  <c r="W1470" i="23"/>
  <c r="AJ302" i="34"/>
  <c r="AK302" i="34" s="1"/>
  <c r="AD1462" i="23"/>
  <c r="AD1463" i="23" s="1"/>
  <c r="K1392" i="23"/>
  <c r="L1392" i="23" s="1"/>
  <c r="M1392" i="23" s="1"/>
  <c r="N1392" i="23" s="1"/>
  <c r="O997" i="23"/>
  <c r="J997" i="23"/>
  <c r="W709" i="23"/>
  <c r="P710" i="23" s="1"/>
  <c r="Q710" i="23" s="1"/>
  <c r="W710" i="23" s="1"/>
  <c r="AG232" i="22"/>
  <c r="AI232" i="22" s="1"/>
  <c r="K577" i="23"/>
  <c r="L577" i="23" s="1"/>
  <c r="W422" i="23"/>
  <c r="P423" i="23" s="1"/>
  <c r="Q423" i="23" s="1"/>
  <c r="K269" i="23"/>
  <c r="L269" i="23" s="1"/>
  <c r="M269" i="23" s="1"/>
  <c r="N269" i="23" s="1"/>
  <c r="W206" i="23"/>
  <c r="P207" i="23" s="1"/>
  <c r="Q207" i="23" s="1"/>
  <c r="N207" i="23"/>
  <c r="R208" i="23"/>
  <c r="U207" i="23"/>
  <c r="AF77" i="22" s="1"/>
  <c r="K70" i="23"/>
  <c r="L70" i="23" s="1"/>
  <c r="M70" i="23" s="1"/>
  <c r="J1713" i="23"/>
  <c r="O1713" i="23"/>
  <c r="H1714" i="23"/>
  <c r="R1508" i="23"/>
  <c r="U1507" i="23"/>
  <c r="M1508" i="23"/>
  <c r="N1508" i="23" s="1"/>
  <c r="K296" i="23"/>
  <c r="L296" i="23" s="1"/>
  <c r="M296" i="23" s="1"/>
  <c r="N296" i="23" s="1"/>
  <c r="M1019" i="23"/>
  <c r="N1019" i="23" s="1"/>
  <c r="J295" i="23"/>
  <c r="O295" i="23"/>
  <c r="W1156" i="23"/>
  <c r="P1157" i="23" s="1"/>
  <c r="Q1157" i="23" s="1"/>
  <c r="W1157" i="23" s="1"/>
  <c r="P1158" i="23" s="1"/>
  <c r="Q1158" i="23" s="1"/>
  <c r="J1156" i="23"/>
  <c r="O1156" i="23"/>
  <c r="H1157" i="23"/>
  <c r="P829" i="23"/>
  <c r="Q829" i="23" s="1"/>
  <c r="K829" i="23"/>
  <c r="L829" i="23" s="1"/>
  <c r="M829" i="23" s="1"/>
  <c r="N829" i="23" s="1"/>
  <c r="K1413" i="23"/>
  <c r="L1413" i="23" s="1"/>
  <c r="M1413" i="23" s="1"/>
  <c r="N1413" i="23" s="1"/>
  <c r="O1413" i="23" s="1"/>
  <c r="P1438" i="23"/>
  <c r="Q1438" i="23" s="1"/>
  <c r="K1438" i="23"/>
  <c r="L1438" i="23" s="1"/>
  <c r="AD640" i="23"/>
  <c r="AD641" i="23" s="1"/>
  <c r="AJ163" i="34"/>
  <c r="AK163" i="34" s="1"/>
  <c r="W646" i="23"/>
  <c r="U712" i="23"/>
  <c r="H1737" i="23"/>
  <c r="O1736" i="23"/>
  <c r="J1736" i="23"/>
  <c r="U995" i="23"/>
  <c r="AF296" i="22" s="1"/>
  <c r="R996" i="23"/>
  <c r="J996" i="23"/>
  <c r="O996" i="23"/>
  <c r="H424" i="23"/>
  <c r="O423" i="23"/>
  <c r="J423" i="23"/>
  <c r="U423" i="23"/>
  <c r="AD140" i="22" s="1"/>
  <c r="R424" i="23"/>
  <c r="AD593" i="23"/>
  <c r="AD594" i="23" s="1"/>
  <c r="AD595" i="23" s="1"/>
  <c r="AJ211" i="22"/>
  <c r="AI153" i="34"/>
  <c r="B130" i="21"/>
  <c r="E466" i="20"/>
  <c r="B120" i="21"/>
  <c r="B97" i="21"/>
  <c r="E315" i="20"/>
  <c r="E631" i="20"/>
  <c r="O102" i="23" l="1"/>
  <c r="H103" i="23"/>
  <c r="J102" i="23"/>
  <c r="W1761" i="23"/>
  <c r="P1762" i="23" s="1"/>
  <c r="Q1762" i="23" s="1"/>
  <c r="W1762" i="23" s="1"/>
  <c r="P1763" i="23" s="1"/>
  <c r="Q1763" i="23" s="1"/>
  <c r="W1805" i="23"/>
  <c r="P1806" i="23" s="1"/>
  <c r="Q1806" i="23" s="1"/>
  <c r="W1806" i="23" s="1"/>
  <c r="AG523" i="22"/>
  <c r="AI523" i="22" s="1"/>
  <c r="AJ523" i="22" s="1"/>
  <c r="AI360" i="34"/>
  <c r="U1808" i="23"/>
  <c r="H1763" i="23"/>
  <c r="J1762" i="23"/>
  <c r="O1762" i="23"/>
  <c r="AG510" i="22"/>
  <c r="AI349" i="34"/>
  <c r="U1560" i="23"/>
  <c r="AG465" i="22"/>
  <c r="AI465" i="22" s="1"/>
  <c r="AJ465" i="22" s="1"/>
  <c r="AI319" i="34"/>
  <c r="AD1464" i="23"/>
  <c r="R1392" i="23"/>
  <c r="U1392" i="23" s="1"/>
  <c r="W1392" i="23" s="1"/>
  <c r="J1392" i="23"/>
  <c r="O1392" i="23"/>
  <c r="U996" i="23"/>
  <c r="AG296" i="22" s="1"/>
  <c r="R997" i="23"/>
  <c r="U997" i="23" s="1"/>
  <c r="W423" i="23"/>
  <c r="P424" i="23" s="1"/>
  <c r="Q424" i="23" s="1"/>
  <c r="AD704" i="23"/>
  <c r="AD705" i="23" s="1"/>
  <c r="W712" i="23"/>
  <c r="M577" i="23"/>
  <c r="N577" i="23" s="1"/>
  <c r="R577" i="23" s="1"/>
  <c r="R269" i="23"/>
  <c r="U269" i="23" s="1"/>
  <c r="O269" i="23"/>
  <c r="J269" i="23"/>
  <c r="H270" i="23"/>
  <c r="H208" i="23"/>
  <c r="M208" i="23" s="1"/>
  <c r="O207" i="23"/>
  <c r="J207" i="23"/>
  <c r="U208" i="23"/>
  <c r="AG77" i="22" s="1"/>
  <c r="R209" i="23"/>
  <c r="U209" i="23" s="1"/>
  <c r="AH77" i="22" s="1"/>
  <c r="W207" i="23"/>
  <c r="P208" i="23" s="1"/>
  <c r="Q208" i="23" s="1"/>
  <c r="AD43" i="22"/>
  <c r="N70" i="23"/>
  <c r="M1714" i="23"/>
  <c r="N1714" i="23" s="1"/>
  <c r="O1508" i="23"/>
  <c r="J1508" i="23"/>
  <c r="H1509" i="23"/>
  <c r="W1507" i="23"/>
  <c r="P1508" i="23" s="1"/>
  <c r="Q1508" i="23" s="1"/>
  <c r="U1508" i="23"/>
  <c r="AF452" i="22" s="1"/>
  <c r="R1509" i="23"/>
  <c r="U1509" i="23" s="1"/>
  <c r="AG452" i="22" s="1"/>
  <c r="J296" i="23"/>
  <c r="O296" i="23"/>
  <c r="R296" i="23"/>
  <c r="U296" i="23" s="1"/>
  <c r="AH104" i="22" s="1"/>
  <c r="AI104" i="22" s="1"/>
  <c r="H1020" i="23"/>
  <c r="J1019" i="23"/>
  <c r="O1019" i="23"/>
  <c r="R1019" i="23"/>
  <c r="M1157" i="23"/>
  <c r="N1157" i="23" s="1"/>
  <c r="R829" i="23"/>
  <c r="U829" i="23" s="1"/>
  <c r="AH254" i="22" s="1"/>
  <c r="AI254" i="22" s="1"/>
  <c r="J829" i="23"/>
  <c r="O829" i="23"/>
  <c r="W829" i="23"/>
  <c r="H1414" i="23"/>
  <c r="R1413" i="23"/>
  <c r="U1413" i="23" s="1"/>
  <c r="M1438" i="23"/>
  <c r="N1438" i="23" s="1"/>
  <c r="J1413" i="23"/>
  <c r="M1414" i="23"/>
  <c r="N1414" i="23" s="1"/>
  <c r="AD642" i="23"/>
  <c r="AJ232" i="22"/>
  <c r="M1737" i="23"/>
  <c r="N1737" i="23" s="1"/>
  <c r="AI210" i="34"/>
  <c r="W995" i="23"/>
  <c r="P996" i="23" s="1"/>
  <c r="Q996" i="23" s="1"/>
  <c r="U999" i="23"/>
  <c r="W999" i="23" s="1"/>
  <c r="U424" i="23"/>
  <c r="R425" i="23"/>
  <c r="M424" i="23"/>
  <c r="N424" i="23" s="1"/>
  <c r="B80" i="21"/>
  <c r="E320" i="20"/>
  <c r="E535" i="20"/>
  <c r="B143" i="21"/>
  <c r="B137" i="21"/>
  <c r="B141" i="21"/>
  <c r="B34" i="21"/>
  <c r="B35" i="21"/>
  <c r="B36" i="21"/>
  <c r="B55" i="21"/>
  <c r="E551" i="20"/>
  <c r="B186" i="21"/>
  <c r="E638" i="20"/>
  <c r="K103" i="23" l="1"/>
  <c r="L103" i="23" s="1"/>
  <c r="M103" i="23" s="1"/>
  <c r="N103" i="23" s="1"/>
  <c r="W996" i="23"/>
  <c r="P997" i="23" s="1"/>
  <c r="Q997" i="23" s="1"/>
  <c r="AD1803" i="23"/>
  <c r="AD1804" i="23" s="1"/>
  <c r="W1808" i="23"/>
  <c r="AJ360" i="34"/>
  <c r="AK360" i="34" s="1"/>
  <c r="K1763" i="23"/>
  <c r="L1763" i="23" s="1"/>
  <c r="M1763" i="23" s="1"/>
  <c r="N1763" i="23" s="1"/>
  <c r="W1560" i="23"/>
  <c r="AD1555" i="23"/>
  <c r="AD1556" i="23" s="1"/>
  <c r="AJ319" i="34"/>
  <c r="AK319" i="34" s="1"/>
  <c r="W997" i="23"/>
  <c r="AH296" i="22"/>
  <c r="AI296" i="22" s="1"/>
  <c r="AJ296" i="22" s="1"/>
  <c r="AD706" i="23"/>
  <c r="U577" i="23"/>
  <c r="R578" i="23"/>
  <c r="U578" i="23" s="1"/>
  <c r="O577" i="23"/>
  <c r="H578" i="23"/>
  <c r="M578" i="23" s="1"/>
  <c r="N578" i="23" s="1"/>
  <c r="J577" i="23"/>
  <c r="W424" i="23"/>
  <c r="P425" i="23" s="1"/>
  <c r="Q425" i="23" s="1"/>
  <c r="AE140" i="22"/>
  <c r="AE93" i="22"/>
  <c r="W269" i="23"/>
  <c r="P270" i="23" s="1"/>
  <c r="Q270" i="23" s="1"/>
  <c r="W208" i="23"/>
  <c r="P209" i="23" s="1"/>
  <c r="Q209" i="23" s="1"/>
  <c r="W209" i="23" s="1"/>
  <c r="AI77" i="22"/>
  <c r="N208" i="23"/>
  <c r="H71" i="23"/>
  <c r="J70" i="23"/>
  <c r="O70" i="23"/>
  <c r="R70" i="23"/>
  <c r="W1508" i="23"/>
  <c r="P1509" i="23" s="1"/>
  <c r="Q1509" i="23" s="1"/>
  <c r="W1509" i="23" s="1"/>
  <c r="P1510" i="23" s="1"/>
  <c r="Q1510" i="23" s="1"/>
  <c r="O1714" i="23"/>
  <c r="J1714" i="23"/>
  <c r="AI310" i="34"/>
  <c r="M1509" i="23"/>
  <c r="N1509" i="23" s="1"/>
  <c r="W296" i="23"/>
  <c r="U1019" i="23"/>
  <c r="AD307" i="22" s="1"/>
  <c r="R1020" i="23"/>
  <c r="U1020" i="23" s="1"/>
  <c r="AE307" i="22" s="1"/>
  <c r="M1020" i="23"/>
  <c r="N1020" i="23" s="1"/>
  <c r="H1158" i="23"/>
  <c r="J1157" i="23"/>
  <c r="O1157" i="23"/>
  <c r="AJ254" i="22"/>
  <c r="U833" i="23"/>
  <c r="R1414" i="23"/>
  <c r="U1414" i="23" s="1"/>
  <c r="AF416" i="22" s="1"/>
  <c r="J1438" i="23"/>
  <c r="O1438" i="23"/>
  <c r="R1438" i="23"/>
  <c r="U1438" i="23" s="1"/>
  <c r="J1414" i="23"/>
  <c r="O1414" i="23"/>
  <c r="H1415" i="23"/>
  <c r="W1413" i="23"/>
  <c r="P1414" i="23" s="1"/>
  <c r="Q1414" i="23" s="1"/>
  <c r="J1737" i="23"/>
  <c r="O1737" i="23"/>
  <c r="H1738" i="23"/>
  <c r="AJ210" i="34"/>
  <c r="AK210" i="34" s="1"/>
  <c r="AD991" i="23"/>
  <c r="AD992" i="23" s="1"/>
  <c r="AD993" i="23" s="1"/>
  <c r="O424" i="23"/>
  <c r="J424" i="23"/>
  <c r="H425" i="23"/>
  <c r="M425" i="23" s="1"/>
  <c r="N425" i="23" s="1"/>
  <c r="U425" i="23"/>
  <c r="R426" i="23"/>
  <c r="R427" i="23" s="1"/>
  <c r="U427" i="23" s="1"/>
  <c r="B20" i="21"/>
  <c r="E677" i="20"/>
  <c r="B166" i="21"/>
  <c r="E633" i="20"/>
  <c r="B153" i="21"/>
  <c r="E619" i="20"/>
  <c r="B193" i="21"/>
  <c r="E616" i="20"/>
  <c r="B176" i="21"/>
  <c r="E644" i="20"/>
  <c r="B52" i="21"/>
  <c r="E575" i="20"/>
  <c r="B18" i="21"/>
  <c r="B19" i="21"/>
  <c r="E624" i="20"/>
  <c r="E568" i="20"/>
  <c r="B152" i="21"/>
  <c r="B180" i="21"/>
  <c r="B151" i="21"/>
  <c r="E471" i="20"/>
  <c r="B150" i="21"/>
  <c r="E662" i="20"/>
  <c r="E402" i="20"/>
  <c r="B105" i="21"/>
  <c r="B106" i="21"/>
  <c r="B107" i="21"/>
  <c r="B108" i="21"/>
  <c r="B109" i="21"/>
  <c r="B110" i="21"/>
  <c r="B111" i="21"/>
  <c r="E593" i="20"/>
  <c r="E592" i="20"/>
  <c r="E513" i="20"/>
  <c r="E435" i="20"/>
  <c r="E330" i="20"/>
  <c r="E304" i="20"/>
  <c r="E149" i="20"/>
  <c r="E666" i="20"/>
  <c r="E192" i="20"/>
  <c r="E1032" i="20"/>
  <c r="E88" i="20"/>
  <c r="H104" i="23" l="1"/>
  <c r="M104" i="23" s="1"/>
  <c r="N104" i="23" s="1"/>
  <c r="J103" i="23"/>
  <c r="O103" i="23"/>
  <c r="R103" i="23"/>
  <c r="AD1805" i="23"/>
  <c r="U581" i="23"/>
  <c r="W581" i="23" s="1"/>
  <c r="J1763" i="23"/>
  <c r="O1763" i="23"/>
  <c r="R1763" i="23"/>
  <c r="U1763" i="23" s="1"/>
  <c r="AD1558" i="23"/>
  <c r="O578" i="23"/>
  <c r="J578" i="23"/>
  <c r="AH198" i="22"/>
  <c r="W577" i="23"/>
  <c r="P578" i="23" s="1"/>
  <c r="Q578" i="23" s="1"/>
  <c r="W578" i="23" s="1"/>
  <c r="AG198" i="22"/>
  <c r="AH140" i="22"/>
  <c r="W425" i="23"/>
  <c r="P426" i="23" s="1"/>
  <c r="Q426" i="23" s="1"/>
  <c r="AF140" i="22"/>
  <c r="K270" i="23"/>
  <c r="L270" i="23" s="1"/>
  <c r="H209" i="23"/>
  <c r="M209" i="23" s="1"/>
  <c r="J208" i="23"/>
  <c r="O208" i="23"/>
  <c r="M71" i="23"/>
  <c r="N71" i="23" s="1"/>
  <c r="R71" i="23"/>
  <c r="U70" i="23"/>
  <c r="H1510" i="23"/>
  <c r="O1509" i="23"/>
  <c r="J1509" i="23"/>
  <c r="H1021" i="23"/>
  <c r="J1020" i="23"/>
  <c r="O1020" i="23"/>
  <c r="W1019" i="23"/>
  <c r="P1020" i="23" s="1"/>
  <c r="Q1020" i="23" s="1"/>
  <c r="W1020" i="23" s="1"/>
  <c r="P1021" i="23" s="1"/>
  <c r="Q1021" i="23" s="1"/>
  <c r="K1158" i="23"/>
  <c r="L1158" i="23" s="1"/>
  <c r="M1158" i="23" s="1"/>
  <c r="W1414" i="23"/>
  <c r="P1415" i="23" s="1"/>
  <c r="Q1415" i="23" s="1"/>
  <c r="W833" i="23"/>
  <c r="AD827" i="23"/>
  <c r="AD828" i="23" s="1"/>
  <c r="AJ187" i="34"/>
  <c r="AK187" i="34" s="1"/>
  <c r="W1438" i="23"/>
  <c r="U1445" i="23"/>
  <c r="AJ153" i="34"/>
  <c r="AK153" i="34" s="1"/>
  <c r="U426" i="23"/>
  <c r="M1738" i="23"/>
  <c r="N1738" i="23" s="1"/>
  <c r="H1739" i="23" s="1"/>
  <c r="M1739" i="23" s="1"/>
  <c r="N1739" i="23" s="1"/>
  <c r="O425" i="23"/>
  <c r="H426" i="23"/>
  <c r="J425" i="23"/>
  <c r="AD571" i="23"/>
  <c r="AD572" i="23" s="1"/>
  <c r="E147" i="20"/>
  <c r="E148" i="20"/>
  <c r="E139" i="20"/>
  <c r="E141" i="20"/>
  <c r="E140" i="20"/>
  <c r="E199" i="20"/>
  <c r="E202" i="20"/>
  <c r="E599" i="20"/>
  <c r="E371" i="20"/>
  <c r="E303" i="20"/>
  <c r="E200" i="20"/>
  <c r="U103" i="23" l="1"/>
  <c r="W103" i="23" s="1"/>
  <c r="P104" i="23" s="1"/>
  <c r="Q104" i="23" s="1"/>
  <c r="R104" i="23"/>
  <c r="U104" i="23" s="1"/>
  <c r="J104" i="23"/>
  <c r="O104" i="23"/>
  <c r="H105" i="23"/>
  <c r="W1763" i="23"/>
  <c r="AH510" i="22"/>
  <c r="AI510" i="22" s="1"/>
  <c r="AJ510" i="22" s="1"/>
  <c r="U1765" i="23"/>
  <c r="O1739" i="23"/>
  <c r="J1739" i="23"/>
  <c r="K1415" i="23"/>
  <c r="L1415" i="23" s="1"/>
  <c r="M1415" i="23" s="1"/>
  <c r="N1415" i="23" s="1"/>
  <c r="AI198" i="22"/>
  <c r="AJ198" i="22" s="1"/>
  <c r="W426" i="23"/>
  <c r="P427" i="23" s="1"/>
  <c r="Q427" i="23" s="1"/>
  <c r="W427" i="23" s="1"/>
  <c r="AG140" i="22"/>
  <c r="AI140" i="22" s="1"/>
  <c r="M270" i="23"/>
  <c r="N270" i="23" s="1"/>
  <c r="N209" i="23"/>
  <c r="W70" i="23"/>
  <c r="P71" i="23" s="1"/>
  <c r="Q71" i="23" s="1"/>
  <c r="AE43" i="22"/>
  <c r="J71" i="23"/>
  <c r="O71" i="23"/>
  <c r="H72" i="23"/>
  <c r="U71" i="23"/>
  <c r="W71" i="23" s="1"/>
  <c r="P72" i="23" s="1"/>
  <c r="Q72" i="23" s="1"/>
  <c r="R72" i="23"/>
  <c r="K1510" i="23"/>
  <c r="L1510" i="23" s="1"/>
  <c r="M1510" i="23" s="1"/>
  <c r="N1510" i="23" s="1"/>
  <c r="AF406" i="22"/>
  <c r="K1021" i="23"/>
  <c r="L1021" i="23" s="1"/>
  <c r="M1021" i="23" s="1"/>
  <c r="N1021" i="23" s="1"/>
  <c r="N1158" i="23"/>
  <c r="R1158" i="23" s="1"/>
  <c r="U1158" i="23" s="1"/>
  <c r="AD829" i="23"/>
  <c r="W1445" i="23"/>
  <c r="AJ300" i="34"/>
  <c r="AK300" i="34" s="1"/>
  <c r="AD1439" i="23"/>
  <c r="AD1440" i="23" s="1"/>
  <c r="O1738" i="23"/>
  <c r="J1738" i="23"/>
  <c r="M426" i="23"/>
  <c r="N426" i="23" s="1"/>
  <c r="H427" i="23" s="1"/>
  <c r="M427" i="23" s="1"/>
  <c r="N427" i="23" s="1"/>
  <c r="AD573" i="23"/>
  <c r="E137" i="20"/>
  <c r="E136" i="20"/>
  <c r="E667" i="20"/>
  <c r="E522" i="20"/>
  <c r="E198" i="20"/>
  <c r="E603" i="20"/>
  <c r="E524" i="20"/>
  <c r="E186" i="20"/>
  <c r="E138" i="20"/>
  <c r="B190" i="21"/>
  <c r="B191" i="21"/>
  <c r="B192" i="21"/>
  <c r="B194" i="21"/>
  <c r="B195" i="21"/>
  <c r="B196" i="21"/>
  <c r="B197" i="21"/>
  <c r="B198" i="21"/>
  <c r="B199" i="21"/>
  <c r="B200" i="21"/>
  <c r="B201" i="21"/>
  <c r="B202" i="21"/>
  <c r="B203" i="21"/>
  <c r="B204" i="21"/>
  <c r="B205" i="21"/>
  <c r="B206" i="21"/>
  <c r="B207" i="21"/>
  <c r="B212" i="21"/>
  <c r="B213" i="21"/>
  <c r="B214" i="21"/>
  <c r="B215" i="21"/>
  <c r="E675" i="20"/>
  <c r="E184" i="20"/>
  <c r="E456" i="20"/>
  <c r="E369" i="20"/>
  <c r="E188" i="20"/>
  <c r="E197" i="20"/>
  <c r="E187" i="20"/>
  <c r="E191" i="20"/>
  <c r="E190" i="20"/>
  <c r="E14" i="20"/>
  <c r="E655" i="20"/>
  <c r="E534" i="20"/>
  <c r="E488" i="20"/>
  <c r="E22" i="20"/>
  <c r="E21" i="20"/>
  <c r="E656" i="20"/>
  <c r="E27" i="20"/>
  <c r="E208" i="20"/>
  <c r="E32" i="20"/>
  <c r="E25" i="20"/>
  <c r="E24" i="20"/>
  <c r="E29" i="20"/>
  <c r="E31" i="20"/>
  <c r="E30" i="20"/>
  <c r="E37" i="20"/>
  <c r="E38" i="20"/>
  <c r="E39" i="20"/>
  <c r="E40" i="20"/>
  <c r="E512" i="20"/>
  <c r="E328" i="20"/>
  <c r="E36" i="20"/>
  <c r="E612" i="20"/>
  <c r="E610" i="20"/>
  <c r="E596" i="20"/>
  <c r="E539" i="20"/>
  <c r="E521" i="20"/>
  <c r="E490" i="20"/>
  <c r="E35" i="20"/>
  <c r="E168" i="20"/>
  <c r="E15" i="20"/>
  <c r="E413" i="20"/>
  <c r="E390" i="20"/>
  <c r="B163" i="21"/>
  <c r="B164" i="21"/>
  <c r="B165" i="21"/>
  <c r="B167" i="21"/>
  <c r="B168" i="21"/>
  <c r="B169" i="21"/>
  <c r="B170" i="21"/>
  <c r="B171" i="21"/>
  <c r="B172" i="21"/>
  <c r="B173" i="21"/>
  <c r="B174" i="21"/>
  <c r="B175" i="21"/>
  <c r="B177" i="21"/>
  <c r="B178" i="21"/>
  <c r="B179" i="21"/>
  <c r="B181" i="21"/>
  <c r="B182" i="21"/>
  <c r="B183" i="21"/>
  <c r="B184" i="21"/>
  <c r="B185" i="21"/>
  <c r="B187" i="21"/>
  <c r="B188" i="21"/>
  <c r="B189" i="21"/>
  <c r="E685" i="20"/>
  <c r="E684" i="20"/>
  <c r="E605" i="20"/>
  <c r="E527" i="20"/>
  <c r="E455" i="20"/>
  <c r="E454" i="20"/>
  <c r="E296" i="20"/>
  <c r="E164" i="20"/>
  <c r="E161" i="20"/>
  <c r="E309" i="20"/>
  <c r="E162" i="20"/>
  <c r="E326" i="20"/>
  <c r="E163" i="20"/>
  <c r="E552" i="20"/>
  <c r="E152" i="20"/>
  <c r="E529" i="20"/>
  <c r="E669" i="20"/>
  <c r="E588" i="20"/>
  <c r="E470" i="20"/>
  <c r="E440" i="20"/>
  <c r="B146" i="21"/>
  <c r="B147" i="21"/>
  <c r="B148" i="21"/>
  <c r="B149" i="21"/>
  <c r="B154" i="21"/>
  <c r="B155" i="21"/>
  <c r="B156" i="21"/>
  <c r="B158" i="21"/>
  <c r="B159" i="21"/>
  <c r="B160" i="21"/>
  <c r="B161" i="21"/>
  <c r="B162" i="21"/>
  <c r="E312" i="20"/>
  <c r="E153" i="20"/>
  <c r="E586" i="20"/>
  <c r="E397" i="20"/>
  <c r="E325" i="20"/>
  <c r="E313" i="20"/>
  <c r="E155" i="20"/>
  <c r="E569" i="20"/>
  <c r="E502" i="20"/>
  <c r="E452" i="20"/>
  <c r="E178" i="20"/>
  <c r="E175" i="20"/>
  <c r="E557" i="20"/>
  <c r="E509" i="20"/>
  <c r="E441" i="20"/>
  <c r="E412" i="20"/>
  <c r="E308" i="20"/>
  <c r="E172" i="20"/>
  <c r="E571" i="20"/>
  <c r="E176" i="20"/>
  <c r="E146" i="20"/>
  <c r="E602" i="20"/>
  <c r="E211" i="20"/>
  <c r="E210" i="20"/>
  <c r="E215" i="20"/>
  <c r="E201" i="20"/>
  <c r="E206" i="20"/>
  <c r="E205" i="20"/>
  <c r="E204" i="20"/>
  <c r="E594" i="20"/>
  <c r="E559" i="20"/>
  <c r="E518" i="20"/>
  <c r="E432" i="20"/>
  <c r="E519" i="20"/>
  <c r="E411" i="20"/>
  <c r="E389" i="20"/>
  <c r="E388" i="20"/>
  <c r="E209" i="20"/>
  <c r="E664" i="20"/>
  <c r="E643" i="20"/>
  <c r="E587" i="20"/>
  <c r="E416" i="20"/>
  <c r="E311" i="20"/>
  <c r="E207" i="20"/>
  <c r="E151" i="20"/>
  <c r="E150" i="20"/>
  <c r="E143" i="20"/>
  <c r="E144" i="20"/>
  <c r="E145" i="20"/>
  <c r="E142" i="20"/>
  <c r="E467" i="20"/>
  <c r="E414" i="20"/>
  <c r="E417" i="20"/>
  <c r="E373" i="20"/>
  <c r="E686" i="20"/>
  <c r="E585" i="20"/>
  <c r="E475" i="20"/>
  <c r="E196" i="20"/>
  <c r="E195" i="20"/>
  <c r="E45" i="20"/>
  <c r="E44" i="20"/>
  <c r="E193" i="20"/>
  <c r="E166" i="20"/>
  <c r="E446" i="20"/>
  <c r="E229" i="20"/>
  <c r="E171" i="20"/>
  <c r="E228" i="20"/>
  <c r="B90" i="21"/>
  <c r="B91" i="21"/>
  <c r="B92" i="21"/>
  <c r="B93" i="21"/>
  <c r="B94" i="21"/>
  <c r="B95" i="21"/>
  <c r="B96" i="21"/>
  <c r="B98" i="21"/>
  <c r="B99" i="21"/>
  <c r="B100" i="21"/>
  <c r="B101" i="21"/>
  <c r="B102" i="21"/>
  <c r="B103" i="21"/>
  <c r="B104" i="21"/>
  <c r="B112" i="21"/>
  <c r="B113" i="21"/>
  <c r="B114" i="21"/>
  <c r="B115" i="21"/>
  <c r="B116" i="21"/>
  <c r="B117" i="21"/>
  <c r="B118" i="21"/>
  <c r="B119" i="21"/>
  <c r="B121" i="21"/>
  <c r="B122" i="21"/>
  <c r="B123" i="21"/>
  <c r="B124" i="21"/>
  <c r="B125" i="21"/>
  <c r="B126" i="21"/>
  <c r="B127" i="21"/>
  <c r="B128" i="21"/>
  <c r="B129" i="21"/>
  <c r="B131" i="21"/>
  <c r="B132" i="21"/>
  <c r="B134" i="21"/>
  <c r="B135" i="21"/>
  <c r="B136" i="21"/>
  <c r="B138" i="21"/>
  <c r="B139" i="21"/>
  <c r="B140" i="21"/>
  <c r="B142" i="21"/>
  <c r="B145" i="21"/>
  <c r="E169" i="20"/>
  <c r="E226" i="20"/>
  <c r="E183" i="20"/>
  <c r="E180" i="20"/>
  <c r="E179" i="20"/>
  <c r="E683" i="20"/>
  <c r="E598" i="20"/>
  <c r="E582" i="20"/>
  <c r="E525" i="20"/>
  <c r="E438" i="20"/>
  <c r="E419" i="20"/>
  <c r="E182" i="20"/>
  <c r="B87" i="21"/>
  <c r="B88" i="21"/>
  <c r="B89" i="21"/>
  <c r="E299" i="20"/>
  <c r="E526" i="20"/>
  <c r="E409" i="20"/>
  <c r="E393" i="20"/>
  <c r="E391" i="20"/>
  <c r="E333" i="20"/>
  <c r="E319" i="20"/>
  <c r="E135" i="20"/>
  <c r="E134" i="20"/>
  <c r="E41" i="20"/>
  <c r="E550" i="20"/>
  <c r="E287" i="20"/>
  <c r="E49" i="20"/>
  <c r="E465" i="20"/>
  <c r="E48" i="20"/>
  <c r="E47" i="20"/>
  <c r="E52" i="20"/>
  <c r="E51" i="20"/>
  <c r="E50" i="20"/>
  <c r="E55" i="20"/>
  <c r="E54" i="20"/>
  <c r="E53" i="20"/>
  <c r="E589" i="20"/>
  <c r="E507" i="20"/>
  <c r="E479" i="20"/>
  <c r="E289" i="20"/>
  <c r="E58" i="20"/>
  <c r="E57" i="20"/>
  <c r="B71" i="21"/>
  <c r="B72" i="21"/>
  <c r="B73" i="21"/>
  <c r="B74" i="21"/>
  <c r="B75" i="21"/>
  <c r="B76" i="21"/>
  <c r="B77" i="21"/>
  <c r="B78" i="21"/>
  <c r="B79" i="21"/>
  <c r="B81" i="21"/>
  <c r="B82" i="21"/>
  <c r="B83" i="21"/>
  <c r="B84" i="21"/>
  <c r="B85" i="21"/>
  <c r="B86" i="21"/>
  <c r="E56" i="20"/>
  <c r="E61" i="20"/>
  <c r="E60" i="20"/>
  <c r="E59" i="20"/>
  <c r="E64" i="20"/>
  <c r="E63" i="20"/>
  <c r="E62" i="20"/>
  <c r="E67" i="20"/>
  <c r="E66" i="20"/>
  <c r="E65" i="20"/>
  <c r="E546" i="20"/>
  <c r="E514" i="20"/>
  <c r="E506" i="20"/>
  <c r="E69" i="20"/>
  <c r="B69" i="21"/>
  <c r="B70" i="21"/>
  <c r="E68" i="20"/>
  <c r="E71" i="20"/>
  <c r="E70" i="20"/>
  <c r="E74" i="20"/>
  <c r="E73" i="20"/>
  <c r="E72" i="20"/>
  <c r="E77" i="20"/>
  <c r="E76" i="20"/>
  <c r="E75" i="20"/>
  <c r="E80" i="20"/>
  <c r="E79" i="20"/>
  <c r="E78" i="20"/>
  <c r="E83" i="20"/>
  <c r="E82" i="20"/>
  <c r="E81" i="20"/>
  <c r="E86" i="20"/>
  <c r="E85" i="20"/>
  <c r="E84" i="20"/>
  <c r="E89" i="20"/>
  <c r="E87" i="20"/>
  <c r="B65" i="21"/>
  <c r="B66" i="21"/>
  <c r="B67" i="21"/>
  <c r="B68" i="21"/>
  <c r="E91" i="20"/>
  <c r="E90" i="20"/>
  <c r="E93" i="20"/>
  <c r="E606" i="20"/>
  <c r="E482" i="20"/>
  <c r="E318" i="20"/>
  <c r="E294" i="20"/>
  <c r="E682" i="20"/>
  <c r="E611" i="20"/>
  <c r="E609" i="20"/>
  <c r="E96" i="20"/>
  <c r="E92" i="20"/>
  <c r="E95" i="20"/>
  <c r="E94" i="20"/>
  <c r="E99" i="20"/>
  <c r="E98" i="20"/>
  <c r="E97" i="20"/>
  <c r="B57" i="21"/>
  <c r="B58" i="21"/>
  <c r="B59" i="21"/>
  <c r="B60" i="21"/>
  <c r="B61" i="21"/>
  <c r="B62" i="21"/>
  <c r="B63" i="21"/>
  <c r="B64" i="21"/>
  <c r="E385" i="20"/>
  <c r="E102" i="20"/>
  <c r="E101" i="20"/>
  <c r="E100" i="20"/>
  <c r="E640" i="20"/>
  <c r="E504" i="20"/>
  <c r="E105" i="20"/>
  <c r="E104" i="20"/>
  <c r="E103" i="20"/>
  <c r="E108" i="20"/>
  <c r="B48" i="21"/>
  <c r="B49" i="21"/>
  <c r="B50" i="21"/>
  <c r="B51" i="21"/>
  <c r="B53" i="21"/>
  <c r="B54" i="21"/>
  <c r="E107" i="20"/>
  <c r="E106" i="20"/>
  <c r="B43" i="21"/>
  <c r="B42" i="21"/>
  <c r="B41" i="21"/>
  <c r="B40" i="21"/>
  <c r="B39" i="21"/>
  <c r="B38" i="21"/>
  <c r="B37" i="21"/>
  <c r="E109" i="20"/>
  <c r="E110" i="20"/>
  <c r="E635" i="20"/>
  <c r="E591" i="20"/>
  <c r="E558" i="20"/>
  <c r="E541" i="20"/>
  <c r="E511" i="20"/>
  <c r="E487" i="20"/>
  <c r="E469" i="20"/>
  <c r="E464" i="20"/>
  <c r="E463" i="20"/>
  <c r="E451" i="20"/>
  <c r="E449" i="20"/>
  <c r="B27" i="21"/>
  <c r="B28" i="21"/>
  <c r="B29" i="21"/>
  <c r="B30" i="21"/>
  <c r="B31" i="21"/>
  <c r="B32" i="21"/>
  <c r="B33" i="21"/>
  <c r="W104" i="23" l="1"/>
  <c r="P105" i="23" s="1"/>
  <c r="Q105" i="23" s="1"/>
  <c r="W1765" i="23"/>
  <c r="AJ349" i="34"/>
  <c r="AK349" i="34" s="1"/>
  <c r="AD1759" i="23"/>
  <c r="AD1760" i="23" s="1"/>
  <c r="J427" i="23"/>
  <c r="O427" i="23"/>
  <c r="H271" i="23"/>
  <c r="J270" i="23"/>
  <c r="O270" i="23"/>
  <c r="R270" i="23"/>
  <c r="J209" i="23"/>
  <c r="O209" i="23"/>
  <c r="AH346" i="22"/>
  <c r="AI346" i="22" s="1"/>
  <c r="AJ346" i="22" s="1"/>
  <c r="M72" i="23"/>
  <c r="N72" i="23" s="1"/>
  <c r="R73" i="23"/>
  <c r="U73" i="23" s="1"/>
  <c r="AE30" i="22" s="1"/>
  <c r="U72" i="23"/>
  <c r="W72" i="23" s="1"/>
  <c r="P73" i="23" s="1"/>
  <c r="Q73" i="23" s="1"/>
  <c r="R1510" i="23"/>
  <c r="U1510" i="23" s="1"/>
  <c r="AH452" i="22" s="1"/>
  <c r="AI452" i="22" s="1"/>
  <c r="O1510" i="23"/>
  <c r="J1510" i="23"/>
  <c r="J1021" i="23"/>
  <c r="H1022" i="23"/>
  <c r="O1021" i="23"/>
  <c r="R1021" i="23"/>
  <c r="U1021" i="23" s="1"/>
  <c r="AF307" i="22" s="1"/>
  <c r="U1160" i="23"/>
  <c r="W1158" i="23"/>
  <c r="J1158" i="23"/>
  <c r="O1158" i="23"/>
  <c r="AD1441" i="23"/>
  <c r="J1415" i="23"/>
  <c r="O1415" i="23"/>
  <c r="H1416" i="23"/>
  <c r="R1415" i="23"/>
  <c r="J426" i="23"/>
  <c r="O426" i="23"/>
  <c r="G180" i="21"/>
  <c r="K180" i="21"/>
  <c r="O180" i="21"/>
  <c r="S180" i="21"/>
  <c r="N180" i="21"/>
  <c r="H180" i="21"/>
  <c r="W180" i="21" s="1"/>
  <c r="L180" i="21"/>
  <c r="P180" i="21"/>
  <c r="T180" i="21"/>
  <c r="J180" i="21"/>
  <c r="R180" i="21"/>
  <c r="I180" i="21"/>
  <c r="M180" i="21"/>
  <c r="Q180" i="21"/>
  <c r="U180" i="21"/>
  <c r="V180" i="21"/>
  <c r="I37" i="21"/>
  <c r="J37" i="21"/>
  <c r="P37" i="21"/>
  <c r="H37" i="21"/>
  <c r="W37" i="21" s="1"/>
  <c r="U37" i="21"/>
  <c r="M37" i="21"/>
  <c r="T37" i="21"/>
  <c r="L37" i="21"/>
  <c r="Q37" i="21"/>
  <c r="S37" i="21"/>
  <c r="O37" i="21"/>
  <c r="K37" i="21"/>
  <c r="G37" i="21"/>
  <c r="V37" i="21"/>
  <c r="R37" i="21"/>
  <c r="N37" i="21"/>
  <c r="E127" i="20"/>
  <c r="E126" i="20"/>
  <c r="E125" i="20"/>
  <c r="E124" i="20"/>
  <c r="E123" i="20"/>
  <c r="E122" i="20"/>
  <c r="E121" i="20"/>
  <c r="E120" i="20"/>
  <c r="E119" i="20"/>
  <c r="E118" i="20"/>
  <c r="B21" i="21"/>
  <c r="B22" i="21"/>
  <c r="B23" i="21"/>
  <c r="B24" i="21"/>
  <c r="B25" i="21"/>
  <c r="B26" i="21"/>
  <c r="B13" i="21"/>
  <c r="B14" i="21"/>
  <c r="B15" i="21"/>
  <c r="B16" i="21"/>
  <c r="B17" i="21"/>
  <c r="E116" i="20"/>
  <c r="E117" i="20"/>
  <c r="E115" i="20"/>
  <c r="E114" i="20"/>
  <c r="E113" i="20"/>
  <c r="E112" i="20"/>
  <c r="E111" i="20"/>
  <c r="E129" i="20"/>
  <c r="E130" i="20"/>
  <c r="E131" i="20"/>
  <c r="E132" i="20"/>
  <c r="E128" i="20"/>
  <c r="AI526" i="21"/>
  <c r="W526" i="21"/>
  <c r="Y526" i="21" s="1"/>
  <c r="Z526" i="21" s="1"/>
  <c r="AG526" i="21" s="1"/>
  <c r="AH526" i="21" s="1"/>
  <c r="AJ526" i="21" s="1"/>
  <c r="AI525" i="21"/>
  <c r="W525" i="21"/>
  <c r="Y525" i="21" s="1"/>
  <c r="Z525" i="21" s="1"/>
  <c r="AG525" i="21" s="1"/>
  <c r="AH525" i="21" s="1"/>
  <c r="AJ525" i="21" s="1"/>
  <c r="AI524" i="21"/>
  <c r="W524" i="21"/>
  <c r="K105" i="23" l="1"/>
  <c r="L105" i="23" s="1"/>
  <c r="M105" i="23" s="1"/>
  <c r="N105" i="23" s="1"/>
  <c r="R105" i="23" s="1"/>
  <c r="U105" i="23" s="1"/>
  <c r="W105" i="23" s="1"/>
  <c r="AD1762" i="23"/>
  <c r="AG43" i="22"/>
  <c r="U270" i="23"/>
  <c r="R271" i="23"/>
  <c r="U271" i="23" s="1"/>
  <c r="M271" i="23"/>
  <c r="N271" i="23" s="1"/>
  <c r="AD30" i="22"/>
  <c r="J72" i="23"/>
  <c r="H73" i="23"/>
  <c r="O72" i="23"/>
  <c r="W73" i="23"/>
  <c r="P74" i="23" s="1"/>
  <c r="Q74" i="23" s="1"/>
  <c r="AJ452" i="22"/>
  <c r="U1512" i="23"/>
  <c r="W1510" i="23"/>
  <c r="W1021" i="23"/>
  <c r="P1022" i="23" s="1"/>
  <c r="Q1022" i="23" s="1"/>
  <c r="AJ247" i="34"/>
  <c r="AK247" i="34" s="1"/>
  <c r="AD1154" i="23"/>
  <c r="AD1155" i="23" s="1"/>
  <c r="W1160" i="23"/>
  <c r="U1415" i="23"/>
  <c r="R1416" i="23"/>
  <c r="U1416" i="23" s="1"/>
  <c r="M1416" i="23"/>
  <c r="N1416" i="23" s="1"/>
  <c r="S407" i="21"/>
  <c r="G405" i="21"/>
  <c r="I211" i="21"/>
  <c r="I208" i="21"/>
  <c r="L210" i="21"/>
  <c r="J210" i="21"/>
  <c r="S208" i="21"/>
  <c r="V407" i="21"/>
  <c r="U409" i="21"/>
  <c r="Q406" i="21"/>
  <c r="P410" i="21"/>
  <c r="P408" i="21"/>
  <c r="P405" i="21"/>
  <c r="J404" i="21"/>
  <c r="S409" i="21"/>
  <c r="S405" i="21"/>
  <c r="R210" i="21"/>
  <c r="U211" i="21"/>
  <c r="U210" i="21"/>
  <c r="U209" i="21"/>
  <c r="U208" i="21"/>
  <c r="V211" i="21"/>
  <c r="R208" i="21"/>
  <c r="H211" i="21"/>
  <c r="W211" i="21" s="1"/>
  <c r="H210" i="21"/>
  <c r="W210" i="21" s="1"/>
  <c r="H209" i="21"/>
  <c r="W209" i="21" s="1"/>
  <c r="H208" i="21"/>
  <c r="W208" i="21" s="1"/>
  <c r="N209" i="21"/>
  <c r="O211" i="21"/>
  <c r="O210" i="21"/>
  <c r="O209" i="21"/>
  <c r="O208" i="21"/>
  <c r="K404" i="21"/>
  <c r="N410" i="21"/>
  <c r="V408" i="21"/>
  <c r="N407" i="21"/>
  <c r="V405" i="21"/>
  <c r="P404" i="21"/>
  <c r="Q409" i="21"/>
  <c r="M408" i="21"/>
  <c r="M407" i="21"/>
  <c r="M406" i="21"/>
  <c r="M405" i="21"/>
  <c r="Q404" i="21"/>
  <c r="L410" i="21"/>
  <c r="L409" i="21"/>
  <c r="L408" i="21"/>
  <c r="L407" i="21"/>
  <c r="L406" i="21"/>
  <c r="L405" i="21"/>
  <c r="J409" i="21"/>
  <c r="R406" i="21"/>
  <c r="Q410" i="21"/>
  <c r="N404" i="21"/>
  <c r="O410" i="21"/>
  <c r="AI410" i="21" s="1"/>
  <c r="O409" i="21"/>
  <c r="O408" i="21"/>
  <c r="O407" i="21"/>
  <c r="O406" i="21"/>
  <c r="O405" i="21"/>
  <c r="N211" i="21"/>
  <c r="I210" i="21"/>
  <c r="R209" i="21"/>
  <c r="L209" i="21"/>
  <c r="S211" i="21"/>
  <c r="S209" i="21"/>
  <c r="R410" i="21"/>
  <c r="L404" i="21"/>
  <c r="Q408" i="21"/>
  <c r="Q405" i="21"/>
  <c r="P409" i="21"/>
  <c r="P406" i="21"/>
  <c r="J407" i="21"/>
  <c r="S410" i="21"/>
  <c r="S406" i="21"/>
  <c r="V209" i="21"/>
  <c r="Q211" i="21"/>
  <c r="Q210" i="21"/>
  <c r="Q209" i="21"/>
  <c r="Q208" i="21"/>
  <c r="J211" i="21"/>
  <c r="T211" i="21"/>
  <c r="T210" i="21"/>
  <c r="T209" i="21"/>
  <c r="T208" i="21"/>
  <c r="R211" i="21"/>
  <c r="J209" i="21"/>
  <c r="K211" i="21"/>
  <c r="K210" i="21"/>
  <c r="K209" i="21"/>
  <c r="K208" i="21"/>
  <c r="O404" i="21"/>
  <c r="V409" i="21"/>
  <c r="R408" i="21"/>
  <c r="V406" i="21"/>
  <c r="R405" i="21"/>
  <c r="U410" i="21"/>
  <c r="I409" i="21"/>
  <c r="I408" i="21"/>
  <c r="I407" i="21"/>
  <c r="I406" i="21"/>
  <c r="I405" i="21"/>
  <c r="U404" i="21"/>
  <c r="H410" i="21"/>
  <c r="W410" i="21" s="1"/>
  <c r="H409" i="21"/>
  <c r="W409" i="21" s="1"/>
  <c r="H408" i="21"/>
  <c r="W408" i="21" s="1"/>
  <c r="H407" i="21"/>
  <c r="W407" i="21" s="1"/>
  <c r="H406" i="21"/>
  <c r="W406" i="21" s="1"/>
  <c r="H405" i="21"/>
  <c r="W405" i="21" s="1"/>
  <c r="N408" i="21"/>
  <c r="N405" i="21"/>
  <c r="I410" i="21"/>
  <c r="R404" i="21"/>
  <c r="K410" i="21"/>
  <c r="K409" i="21"/>
  <c r="K408" i="21"/>
  <c r="K407" i="21"/>
  <c r="K406" i="21"/>
  <c r="K405" i="21"/>
  <c r="J208" i="21"/>
  <c r="I209" i="21"/>
  <c r="L211" i="21"/>
  <c r="L208" i="21"/>
  <c r="S210" i="21"/>
  <c r="G404" i="21"/>
  <c r="N409" i="21"/>
  <c r="J406" i="21"/>
  <c r="Q407" i="21"/>
  <c r="M404" i="21"/>
  <c r="P407" i="21"/>
  <c r="J410" i="21"/>
  <c r="T404" i="21"/>
  <c r="S408" i="21"/>
  <c r="V208" i="21"/>
  <c r="M211" i="21"/>
  <c r="M210" i="21"/>
  <c r="M209" i="21"/>
  <c r="M208" i="21"/>
  <c r="N210" i="21"/>
  <c r="P211" i="21"/>
  <c r="P210" i="21"/>
  <c r="P209" i="21"/>
  <c r="P208" i="21"/>
  <c r="V210" i="21"/>
  <c r="N208" i="21"/>
  <c r="G211" i="21"/>
  <c r="G210" i="21"/>
  <c r="G209" i="21"/>
  <c r="G208" i="21"/>
  <c r="V410" i="21"/>
  <c r="R409" i="21"/>
  <c r="J408" i="21"/>
  <c r="N406" i="21"/>
  <c r="J405" i="21"/>
  <c r="M410" i="21"/>
  <c r="U408" i="21"/>
  <c r="U407" i="21"/>
  <c r="U406" i="21"/>
  <c r="U405" i="21"/>
  <c r="I404" i="21"/>
  <c r="T410" i="21"/>
  <c r="T409" i="21"/>
  <c r="T408" i="21"/>
  <c r="T407" i="21"/>
  <c r="T406" i="21"/>
  <c r="T405" i="21"/>
  <c r="S404" i="21"/>
  <c r="R407" i="21"/>
  <c r="H404" i="21"/>
  <c r="W404" i="21" s="1"/>
  <c r="M409" i="21"/>
  <c r="V404" i="21"/>
  <c r="G410" i="21"/>
  <c r="G409" i="21"/>
  <c r="G408" i="21"/>
  <c r="G407" i="21"/>
  <c r="G406" i="21"/>
  <c r="AI37" i="21"/>
  <c r="AI180" i="21"/>
  <c r="S144" i="21"/>
  <c r="I144" i="21"/>
  <c r="L144" i="21"/>
  <c r="O144" i="21"/>
  <c r="N144" i="21"/>
  <c r="Q144" i="21"/>
  <c r="R144" i="21"/>
  <c r="K144" i="21"/>
  <c r="J144" i="21"/>
  <c r="M144" i="21"/>
  <c r="H144" i="21"/>
  <c r="W144" i="21" s="1"/>
  <c r="P144" i="21"/>
  <c r="T144" i="21"/>
  <c r="J415" i="21"/>
  <c r="J416" i="21"/>
  <c r="J417" i="21"/>
  <c r="J418" i="21"/>
  <c r="J419" i="21"/>
  <c r="J420" i="21"/>
  <c r="J421" i="21"/>
  <c r="J422" i="21"/>
  <c r="J423" i="21"/>
  <c r="J424" i="21"/>
  <c r="J425" i="21"/>
  <c r="J426" i="21"/>
  <c r="J427" i="21"/>
  <c r="J428" i="21"/>
  <c r="J429" i="21"/>
  <c r="J430" i="21"/>
  <c r="J431" i="21"/>
  <c r="J432" i="21"/>
  <c r="J433" i="21"/>
  <c r="G415" i="21"/>
  <c r="G416" i="21"/>
  <c r="G417" i="21"/>
  <c r="G418" i="21"/>
  <c r="G419" i="21"/>
  <c r="G420" i="21"/>
  <c r="G421" i="21"/>
  <c r="G422" i="21"/>
  <c r="G423" i="21"/>
  <c r="G424" i="21"/>
  <c r="G425" i="21"/>
  <c r="G426" i="21"/>
  <c r="G427" i="21"/>
  <c r="G428" i="21"/>
  <c r="G429" i="21"/>
  <c r="G430" i="21"/>
  <c r="G431" i="21"/>
  <c r="G432" i="21"/>
  <c r="G433" i="21"/>
  <c r="G434" i="21"/>
  <c r="G435" i="21"/>
  <c r="G436" i="21"/>
  <c r="T415" i="21"/>
  <c r="T416" i="21"/>
  <c r="T417" i="21"/>
  <c r="T418" i="21"/>
  <c r="T419" i="21"/>
  <c r="T420" i="21"/>
  <c r="T421" i="21"/>
  <c r="T422" i="21"/>
  <c r="T423" i="21"/>
  <c r="T424" i="21"/>
  <c r="T425" i="21"/>
  <c r="T426" i="21"/>
  <c r="T427" i="21"/>
  <c r="T428" i="21"/>
  <c r="T429" i="21"/>
  <c r="T430" i="21"/>
  <c r="T431" i="21"/>
  <c r="T432" i="21"/>
  <c r="T433" i="21"/>
  <c r="T434" i="21"/>
  <c r="T435" i="21"/>
  <c r="U417" i="21"/>
  <c r="U421" i="21"/>
  <c r="U425" i="21"/>
  <c r="U429" i="21"/>
  <c r="U433" i="21"/>
  <c r="V435" i="21"/>
  <c r="H437" i="21"/>
  <c r="W437" i="21" s="1"/>
  <c r="H438" i="21"/>
  <c r="W438" i="21" s="1"/>
  <c r="H439" i="21"/>
  <c r="W439" i="21" s="1"/>
  <c r="H440" i="21"/>
  <c r="W440" i="21" s="1"/>
  <c r="H441" i="21"/>
  <c r="W441" i="21" s="1"/>
  <c r="H442" i="21"/>
  <c r="W442" i="21" s="1"/>
  <c r="H443" i="21"/>
  <c r="W443" i="21" s="1"/>
  <c r="H444" i="21"/>
  <c r="W444" i="21" s="1"/>
  <c r="H445" i="21"/>
  <c r="W445" i="21" s="1"/>
  <c r="H446" i="21"/>
  <c r="W446" i="21" s="1"/>
  <c r="H447" i="21"/>
  <c r="W447" i="21" s="1"/>
  <c r="H448" i="21"/>
  <c r="W448" i="21" s="1"/>
  <c r="H449" i="21"/>
  <c r="W449" i="21" s="1"/>
  <c r="H450" i="21"/>
  <c r="W450" i="21" s="1"/>
  <c r="H451" i="21"/>
  <c r="W451" i="21" s="1"/>
  <c r="I416" i="21"/>
  <c r="I420" i="21"/>
  <c r="I424" i="21"/>
  <c r="I428" i="21"/>
  <c r="I432" i="21"/>
  <c r="I435" i="21"/>
  <c r="Q436" i="21"/>
  <c r="Q437" i="21"/>
  <c r="Q438" i="21"/>
  <c r="Q439" i="21"/>
  <c r="Q440" i="21"/>
  <c r="Q441" i="21"/>
  <c r="Q442" i="21"/>
  <c r="Q443" i="21"/>
  <c r="Q444" i="21"/>
  <c r="Q445" i="21"/>
  <c r="Q446" i="21"/>
  <c r="Q447" i="21"/>
  <c r="Q448" i="21"/>
  <c r="Q449" i="21"/>
  <c r="Q450" i="21"/>
  <c r="M415" i="21"/>
  <c r="M419" i="21"/>
  <c r="M423" i="21"/>
  <c r="M427" i="21"/>
  <c r="M431" i="21"/>
  <c r="R434" i="21"/>
  <c r="N436" i="21"/>
  <c r="N437" i="21"/>
  <c r="N438" i="21"/>
  <c r="N439" i="21"/>
  <c r="N440" i="21"/>
  <c r="N441" i="21"/>
  <c r="N442" i="21"/>
  <c r="N443" i="21"/>
  <c r="N444" i="21"/>
  <c r="N445" i="21"/>
  <c r="N446" i="21"/>
  <c r="N447" i="21"/>
  <c r="N448" i="21"/>
  <c r="N449" i="21"/>
  <c r="N450" i="21"/>
  <c r="N451" i="21"/>
  <c r="Q418" i="21"/>
  <c r="Q422" i="21"/>
  <c r="Q426" i="21"/>
  <c r="Q430" i="21"/>
  <c r="M434" i="21"/>
  <c r="K436" i="21"/>
  <c r="K437" i="21"/>
  <c r="K438" i="21"/>
  <c r="K439" i="21"/>
  <c r="K440" i="21"/>
  <c r="K441" i="21"/>
  <c r="K442" i="21"/>
  <c r="K443" i="21"/>
  <c r="K444" i="21"/>
  <c r="K445" i="21"/>
  <c r="K446" i="21"/>
  <c r="K447" i="21"/>
  <c r="K448" i="21"/>
  <c r="K449" i="21"/>
  <c r="K450" i="21"/>
  <c r="K451" i="21"/>
  <c r="L452" i="21"/>
  <c r="L453" i="21"/>
  <c r="L454" i="21"/>
  <c r="L455" i="21"/>
  <c r="L456" i="21"/>
  <c r="L457" i="21"/>
  <c r="L458" i="21"/>
  <c r="L459" i="21"/>
  <c r="L460" i="21"/>
  <c r="L461" i="21"/>
  <c r="L462" i="21"/>
  <c r="L463" i="21"/>
  <c r="L464" i="21"/>
  <c r="L465" i="21"/>
  <c r="L466" i="21"/>
  <c r="L467" i="21"/>
  <c r="L468" i="21"/>
  <c r="L469" i="21"/>
  <c r="L470" i="21"/>
  <c r="L471" i="21"/>
  <c r="L472" i="21"/>
  <c r="U451" i="21"/>
  <c r="U452" i="21"/>
  <c r="U453" i="21"/>
  <c r="U454" i="21"/>
  <c r="U455" i="21"/>
  <c r="U456" i="21"/>
  <c r="U457" i="21"/>
  <c r="U458" i="21"/>
  <c r="U459" i="21"/>
  <c r="U460" i="21"/>
  <c r="U461" i="21"/>
  <c r="U462" i="21"/>
  <c r="U463" i="21"/>
  <c r="U464" i="21"/>
  <c r="U465" i="21"/>
  <c r="U466" i="21"/>
  <c r="U467" i="21"/>
  <c r="V451" i="21"/>
  <c r="V452" i="21"/>
  <c r="V453" i="21"/>
  <c r="V454" i="21"/>
  <c r="V455" i="21"/>
  <c r="V456" i="21"/>
  <c r="V457" i="21"/>
  <c r="K452" i="21"/>
  <c r="K453" i="21"/>
  <c r="K454" i="21"/>
  <c r="K455" i="21"/>
  <c r="K456" i="21"/>
  <c r="K457" i="21"/>
  <c r="K458" i="21"/>
  <c r="K459" i="21"/>
  <c r="K460" i="21"/>
  <c r="K461" i="21"/>
  <c r="K462" i="21"/>
  <c r="K463" i="21"/>
  <c r="K464" i="21"/>
  <c r="K465" i="21"/>
  <c r="K466" i="21"/>
  <c r="K467" i="21"/>
  <c r="K468" i="21"/>
  <c r="K469" i="21"/>
  <c r="K470" i="21"/>
  <c r="K471" i="21"/>
  <c r="K472" i="21"/>
  <c r="J460" i="21"/>
  <c r="J464" i="21"/>
  <c r="J468" i="21"/>
  <c r="M470" i="21"/>
  <c r="M472" i="21"/>
  <c r="Q473" i="21"/>
  <c r="Q474" i="21"/>
  <c r="Q475" i="21"/>
  <c r="Q476" i="21"/>
  <c r="Q477" i="21"/>
  <c r="Q478" i="21"/>
  <c r="Q479" i="21"/>
  <c r="Q480" i="21"/>
  <c r="Q481" i="21"/>
  <c r="Q482" i="21"/>
  <c r="Q483" i="21"/>
  <c r="Q484" i="21"/>
  <c r="Q485" i="21"/>
  <c r="Q486" i="21"/>
  <c r="Q487" i="21"/>
  <c r="Q488" i="21"/>
  <c r="Q489" i="21"/>
  <c r="Q490" i="21"/>
  <c r="Q491" i="21"/>
  <c r="Q492" i="21"/>
  <c r="Q493" i="21"/>
  <c r="Q494" i="21"/>
  <c r="Q495" i="21"/>
  <c r="Q496" i="21"/>
  <c r="Q497" i="21"/>
  <c r="Q498" i="21"/>
  <c r="Q499" i="21"/>
  <c r="Q500" i="21"/>
  <c r="Q501" i="21"/>
  <c r="Q502" i="21"/>
  <c r="Q503" i="21"/>
  <c r="Q504" i="21"/>
  <c r="Q505" i="21"/>
  <c r="Q506" i="21"/>
  <c r="L414" i="21"/>
  <c r="Q219" i="21"/>
  <c r="Q220" i="21"/>
  <c r="Q221" i="21"/>
  <c r="N461" i="21"/>
  <c r="N465" i="21"/>
  <c r="V468" i="21"/>
  <c r="V470" i="21"/>
  <c r="V472" i="21"/>
  <c r="V473" i="21"/>
  <c r="V474" i="21"/>
  <c r="V475" i="21"/>
  <c r="V476" i="21"/>
  <c r="V477" i="21"/>
  <c r="V478" i="21"/>
  <c r="V479" i="21"/>
  <c r="V480" i="21"/>
  <c r="V481" i="21"/>
  <c r="V482" i="21"/>
  <c r="V483" i="21"/>
  <c r="V484" i="21"/>
  <c r="V485" i="21"/>
  <c r="V486" i="21"/>
  <c r="V487" i="21"/>
  <c r="V488" i="21"/>
  <c r="V489" i="21"/>
  <c r="V490" i="21"/>
  <c r="V491" i="21"/>
  <c r="V492" i="21"/>
  <c r="V493" i="21"/>
  <c r="V494" i="21"/>
  <c r="V495" i="21"/>
  <c r="V496" i="21"/>
  <c r="V497" i="21"/>
  <c r="V498" i="21"/>
  <c r="V499" i="21"/>
  <c r="V500" i="21"/>
  <c r="V501" i="21"/>
  <c r="V502" i="21"/>
  <c r="V503" i="21"/>
  <c r="V504" i="21"/>
  <c r="V505" i="21"/>
  <c r="V506" i="21"/>
  <c r="G414" i="21"/>
  <c r="V219" i="21"/>
  <c r="V220" i="21"/>
  <c r="R459" i="21"/>
  <c r="R463" i="21"/>
  <c r="R467" i="21"/>
  <c r="I470" i="21"/>
  <c r="I472" i="21"/>
  <c r="O473" i="21"/>
  <c r="O474" i="21"/>
  <c r="O475" i="21"/>
  <c r="O476" i="21"/>
  <c r="O477" i="21"/>
  <c r="O478" i="21"/>
  <c r="O479" i="21"/>
  <c r="O480" i="21"/>
  <c r="O481" i="21"/>
  <c r="O482" i="21"/>
  <c r="O483" i="21"/>
  <c r="O484" i="21"/>
  <c r="O485" i="21"/>
  <c r="O486" i="21"/>
  <c r="O487" i="21"/>
  <c r="O488" i="21"/>
  <c r="O489" i="21"/>
  <c r="O490" i="21"/>
  <c r="O491" i="21"/>
  <c r="O492" i="21"/>
  <c r="O493" i="21"/>
  <c r="O494" i="21"/>
  <c r="O495" i="21"/>
  <c r="O496" i="21"/>
  <c r="O497" i="21"/>
  <c r="O498" i="21"/>
  <c r="O499" i="21"/>
  <c r="O500" i="21"/>
  <c r="O501" i="21"/>
  <c r="O502" i="21"/>
  <c r="O503" i="21"/>
  <c r="O504" i="21"/>
  <c r="O505" i="21"/>
  <c r="O506" i="21"/>
  <c r="J471" i="21"/>
  <c r="H476" i="21"/>
  <c r="W476" i="21" s="1"/>
  <c r="H480" i="21"/>
  <c r="W480" i="21" s="1"/>
  <c r="H484" i="21"/>
  <c r="W484" i="21" s="1"/>
  <c r="N415" i="21"/>
  <c r="N416" i="21"/>
  <c r="N417" i="21"/>
  <c r="N418" i="21"/>
  <c r="N419" i="21"/>
  <c r="N420" i="21"/>
  <c r="N421" i="21"/>
  <c r="N422" i="21"/>
  <c r="N423" i="21"/>
  <c r="N424" i="21"/>
  <c r="N425" i="21"/>
  <c r="N426" i="21"/>
  <c r="N427" i="21"/>
  <c r="N428" i="21"/>
  <c r="N429" i="21"/>
  <c r="N430" i="21"/>
  <c r="N431" i="21"/>
  <c r="N432" i="21"/>
  <c r="N433" i="21"/>
  <c r="K415" i="21"/>
  <c r="K416" i="21"/>
  <c r="K417" i="21"/>
  <c r="K418" i="21"/>
  <c r="K419" i="21"/>
  <c r="K420" i="21"/>
  <c r="K421" i="21"/>
  <c r="K422" i="21"/>
  <c r="K423" i="21"/>
  <c r="K424" i="21"/>
  <c r="K425" i="21"/>
  <c r="K426" i="21"/>
  <c r="K427" i="21"/>
  <c r="K428" i="21"/>
  <c r="K429" i="21"/>
  <c r="K430" i="21"/>
  <c r="K431" i="21"/>
  <c r="K432" i="21"/>
  <c r="K433" i="21"/>
  <c r="K434" i="21"/>
  <c r="K435" i="21"/>
  <c r="H415" i="21"/>
  <c r="W415" i="21" s="1"/>
  <c r="H416" i="21"/>
  <c r="W416" i="21" s="1"/>
  <c r="H417" i="21"/>
  <c r="W417" i="21" s="1"/>
  <c r="H418" i="21"/>
  <c r="W418" i="21" s="1"/>
  <c r="H419" i="21"/>
  <c r="W419" i="21" s="1"/>
  <c r="H420" i="21"/>
  <c r="W420" i="21" s="1"/>
  <c r="H421" i="21"/>
  <c r="W421" i="21" s="1"/>
  <c r="H422" i="21"/>
  <c r="W422" i="21" s="1"/>
  <c r="H423" i="21"/>
  <c r="W423" i="21" s="1"/>
  <c r="H424" i="21"/>
  <c r="W424" i="21" s="1"/>
  <c r="H425" i="21"/>
  <c r="W425" i="21" s="1"/>
  <c r="H426" i="21"/>
  <c r="W426" i="21" s="1"/>
  <c r="H427" i="21"/>
  <c r="W427" i="21" s="1"/>
  <c r="H428" i="21"/>
  <c r="W428" i="21" s="1"/>
  <c r="H429" i="21"/>
  <c r="W429" i="21" s="1"/>
  <c r="H430" i="21"/>
  <c r="W430" i="21" s="1"/>
  <c r="H431" i="21"/>
  <c r="W431" i="21" s="1"/>
  <c r="H432" i="21"/>
  <c r="W432" i="21" s="1"/>
  <c r="H433" i="21"/>
  <c r="W433" i="21" s="1"/>
  <c r="H434" i="21"/>
  <c r="W434" i="21" s="1"/>
  <c r="H435" i="21"/>
  <c r="W435" i="21" s="1"/>
  <c r="H436" i="21"/>
  <c r="W436" i="21" s="1"/>
  <c r="U418" i="21"/>
  <c r="U422" i="21"/>
  <c r="U426" i="21"/>
  <c r="U430" i="21"/>
  <c r="N434" i="21"/>
  <c r="L436" i="21"/>
  <c r="L437" i="21"/>
  <c r="L438" i="21"/>
  <c r="L439" i="21"/>
  <c r="L440" i="21"/>
  <c r="L441" i="21"/>
  <c r="L442" i="21"/>
  <c r="L443" i="21"/>
  <c r="L444" i="21"/>
  <c r="L445" i="21"/>
  <c r="L446" i="21"/>
  <c r="L447" i="21"/>
  <c r="L448" i="21"/>
  <c r="L449" i="21"/>
  <c r="L450" i="21"/>
  <c r="L451" i="21"/>
  <c r="I417" i="21"/>
  <c r="I421" i="21"/>
  <c r="I425" i="21"/>
  <c r="I429" i="21"/>
  <c r="I433" i="21"/>
  <c r="Q435" i="21"/>
  <c r="U436" i="21"/>
  <c r="U437" i="21"/>
  <c r="U438" i="21"/>
  <c r="U439" i="21"/>
  <c r="U440" i="21"/>
  <c r="U441" i="21"/>
  <c r="U442" i="21"/>
  <c r="U443" i="21"/>
  <c r="U444" i="21"/>
  <c r="U445" i="21"/>
  <c r="U446" i="21"/>
  <c r="U447" i="21"/>
  <c r="U448" i="21"/>
  <c r="U449" i="21"/>
  <c r="U450" i="21"/>
  <c r="M416" i="21"/>
  <c r="M420" i="21"/>
  <c r="M424" i="21"/>
  <c r="M428" i="21"/>
  <c r="M432" i="21"/>
  <c r="J435" i="21"/>
  <c r="R436" i="21"/>
  <c r="R437" i="21"/>
  <c r="R438" i="21"/>
  <c r="R415" i="21"/>
  <c r="R416" i="21"/>
  <c r="R417" i="21"/>
  <c r="R418" i="21"/>
  <c r="R419" i="21"/>
  <c r="R420" i="21"/>
  <c r="R421" i="21"/>
  <c r="R422" i="21"/>
  <c r="R423" i="21"/>
  <c r="R424" i="21"/>
  <c r="R425" i="21"/>
  <c r="R426" i="21"/>
  <c r="R427" i="21"/>
  <c r="R428" i="21"/>
  <c r="R429" i="21"/>
  <c r="R430" i="21"/>
  <c r="R431" i="21"/>
  <c r="R432" i="21"/>
  <c r="R433" i="21"/>
  <c r="O415" i="21"/>
  <c r="O416" i="21"/>
  <c r="O417" i="21"/>
  <c r="O418" i="21"/>
  <c r="O419" i="21"/>
  <c r="O420" i="21"/>
  <c r="O421" i="21"/>
  <c r="O422" i="21"/>
  <c r="O423" i="21"/>
  <c r="O424" i="21"/>
  <c r="O425" i="21"/>
  <c r="O426" i="21"/>
  <c r="O427" i="21"/>
  <c r="O428" i="21"/>
  <c r="O429" i="21"/>
  <c r="O430" i="21"/>
  <c r="O431" i="21"/>
  <c r="O432" i="21"/>
  <c r="O433" i="21"/>
  <c r="O434" i="21"/>
  <c r="O435" i="21"/>
  <c r="L415" i="21"/>
  <c r="L416" i="21"/>
  <c r="L417" i="21"/>
  <c r="L418" i="21"/>
  <c r="L419" i="21"/>
  <c r="L420" i="21"/>
  <c r="L421" i="21"/>
  <c r="L422" i="21"/>
  <c r="L423" i="21"/>
  <c r="L424" i="21"/>
  <c r="L425" i="21"/>
  <c r="L426" i="21"/>
  <c r="L427" i="21"/>
  <c r="L428" i="21"/>
  <c r="L429" i="21"/>
  <c r="L430" i="21"/>
  <c r="L431" i="21"/>
  <c r="L432" i="21"/>
  <c r="L433" i="21"/>
  <c r="L434" i="21"/>
  <c r="L435" i="21"/>
  <c r="U415" i="21"/>
  <c r="U419" i="21"/>
  <c r="U423" i="21"/>
  <c r="U427" i="21"/>
  <c r="U431" i="21"/>
  <c r="V434" i="21"/>
  <c r="P436" i="21"/>
  <c r="P437" i="21"/>
  <c r="P438" i="21"/>
  <c r="P439" i="21"/>
  <c r="P440" i="21"/>
  <c r="P441" i="21"/>
  <c r="P442" i="21"/>
  <c r="P443" i="21"/>
  <c r="P444" i="21"/>
  <c r="P445" i="21"/>
  <c r="P446" i="21"/>
  <c r="P447" i="21"/>
  <c r="P448" i="21"/>
  <c r="P449" i="21"/>
  <c r="P450" i="21"/>
  <c r="P451" i="21"/>
  <c r="I418" i="21"/>
  <c r="I422" i="21"/>
  <c r="I426" i="21"/>
  <c r="I430" i="21"/>
  <c r="I434" i="21"/>
  <c r="I436" i="21"/>
  <c r="I437" i="21"/>
  <c r="I438" i="21"/>
  <c r="I439" i="21"/>
  <c r="I440" i="21"/>
  <c r="I441" i="21"/>
  <c r="I442" i="21"/>
  <c r="I443" i="21"/>
  <c r="I444" i="21"/>
  <c r="I445" i="21"/>
  <c r="I446" i="21"/>
  <c r="I447" i="21"/>
  <c r="I448" i="21"/>
  <c r="I449" i="21"/>
  <c r="I450" i="21"/>
  <c r="I451" i="21"/>
  <c r="M417" i="21"/>
  <c r="M421" i="21"/>
  <c r="M425" i="21"/>
  <c r="M429" i="21"/>
  <c r="M433" i="21"/>
  <c r="R435" i="21"/>
  <c r="V436" i="21"/>
  <c r="V437" i="21"/>
  <c r="V438" i="21"/>
  <c r="V439" i="21"/>
  <c r="V440" i="21"/>
  <c r="V441" i="21"/>
  <c r="V442" i="21"/>
  <c r="V443" i="21"/>
  <c r="V444" i="21"/>
  <c r="V445" i="21"/>
  <c r="V446" i="21"/>
  <c r="V447" i="21"/>
  <c r="V448" i="21"/>
  <c r="V449" i="21"/>
  <c r="V450" i="21"/>
  <c r="Q416" i="21"/>
  <c r="Q420" i="21"/>
  <c r="Q424" i="21"/>
  <c r="Q428" i="21"/>
  <c r="Q432" i="21"/>
  <c r="M435" i="21"/>
  <c r="S436" i="21"/>
  <c r="S437" i="21"/>
  <c r="S438" i="21"/>
  <c r="S439" i="21"/>
  <c r="S440" i="21"/>
  <c r="S441" i="21"/>
  <c r="S442" i="21"/>
  <c r="S443" i="21"/>
  <c r="S444" i="21"/>
  <c r="S445" i="21"/>
  <c r="S446" i="21"/>
  <c r="S447" i="21"/>
  <c r="S448" i="21"/>
  <c r="S449" i="21"/>
  <c r="S450" i="21"/>
  <c r="T451" i="21"/>
  <c r="T452" i="21"/>
  <c r="T453" i="21"/>
  <c r="T454" i="21"/>
  <c r="T455" i="21"/>
  <c r="T456" i="21"/>
  <c r="T457" i="21"/>
  <c r="T458" i="21"/>
  <c r="T459" i="21"/>
  <c r="T460" i="21"/>
  <c r="T461" i="21"/>
  <c r="T462" i="21"/>
  <c r="T463" i="21"/>
  <c r="T464" i="21"/>
  <c r="T465" i="21"/>
  <c r="T466" i="21"/>
  <c r="T467" i="21"/>
  <c r="T468" i="21"/>
  <c r="T469" i="21"/>
  <c r="T470" i="21"/>
  <c r="T471" i="21"/>
  <c r="T472" i="21"/>
  <c r="M452" i="21"/>
  <c r="M453" i="21"/>
  <c r="M454" i="21"/>
  <c r="M455" i="21"/>
  <c r="M456" i="21"/>
  <c r="M457" i="21"/>
  <c r="M458" i="21"/>
  <c r="M459" i="21"/>
  <c r="M460" i="21"/>
  <c r="M461" i="21"/>
  <c r="M462" i="21"/>
  <c r="M463" i="21"/>
  <c r="M464" i="21"/>
  <c r="M465" i="21"/>
  <c r="M466" i="21"/>
  <c r="M467" i="21"/>
  <c r="M468" i="21"/>
  <c r="N452" i="21"/>
  <c r="N453" i="21"/>
  <c r="N454" i="21"/>
  <c r="N455" i="21"/>
  <c r="N456" i="21"/>
  <c r="N457" i="21"/>
  <c r="S451" i="21"/>
  <c r="S452" i="21"/>
  <c r="S453" i="21"/>
  <c r="S454" i="21"/>
  <c r="S455" i="21"/>
  <c r="S456" i="21"/>
  <c r="S457" i="21"/>
  <c r="S458" i="21"/>
  <c r="S459" i="21"/>
  <c r="S460" i="21"/>
  <c r="S461" i="21"/>
  <c r="S462" i="21"/>
  <c r="S463" i="21"/>
  <c r="S464" i="21"/>
  <c r="S465" i="21"/>
  <c r="S466" i="21"/>
  <c r="S467" i="21"/>
  <c r="V415" i="21"/>
  <c r="V419" i="21"/>
  <c r="V423" i="21"/>
  <c r="V427" i="21"/>
  <c r="V431" i="21"/>
  <c r="S416" i="21"/>
  <c r="S420" i="21"/>
  <c r="S424" i="21"/>
  <c r="S428" i="21"/>
  <c r="S432" i="21"/>
  <c r="P415" i="21"/>
  <c r="P419" i="21"/>
  <c r="P423" i="21"/>
  <c r="P427" i="21"/>
  <c r="P431" i="21"/>
  <c r="P435" i="21"/>
  <c r="U428" i="21"/>
  <c r="T437" i="21"/>
  <c r="T441" i="21"/>
  <c r="T445" i="21"/>
  <c r="T449" i="21"/>
  <c r="I423" i="21"/>
  <c r="M436" i="21"/>
  <c r="M440" i="21"/>
  <c r="M444" i="21"/>
  <c r="M448" i="21"/>
  <c r="M418" i="21"/>
  <c r="J434" i="21"/>
  <c r="J439" i="21"/>
  <c r="J441" i="21"/>
  <c r="J443" i="21"/>
  <c r="J445" i="21"/>
  <c r="J447" i="21"/>
  <c r="J449" i="21"/>
  <c r="J451" i="21"/>
  <c r="Q421" i="21"/>
  <c r="Q429" i="21"/>
  <c r="U435" i="21"/>
  <c r="G438" i="21"/>
  <c r="G440" i="21"/>
  <c r="G442" i="21"/>
  <c r="G444" i="21"/>
  <c r="G446" i="21"/>
  <c r="G448" i="21"/>
  <c r="G450" i="21"/>
  <c r="H452" i="21"/>
  <c r="W452" i="21" s="1"/>
  <c r="H454" i="21"/>
  <c r="W454" i="21" s="1"/>
  <c r="H456" i="21"/>
  <c r="W456" i="21" s="1"/>
  <c r="H458" i="21"/>
  <c r="W458" i="21" s="1"/>
  <c r="H460" i="21"/>
  <c r="W460" i="21" s="1"/>
  <c r="H462" i="21"/>
  <c r="W462" i="21" s="1"/>
  <c r="H464" i="21"/>
  <c r="W464" i="21" s="1"/>
  <c r="H466" i="21"/>
  <c r="W466" i="21" s="1"/>
  <c r="H468" i="21"/>
  <c r="W468" i="21" s="1"/>
  <c r="H470" i="21"/>
  <c r="W470" i="21" s="1"/>
  <c r="H472" i="21"/>
  <c r="W472" i="21" s="1"/>
  <c r="Q452" i="21"/>
  <c r="Q454" i="21"/>
  <c r="Q456" i="21"/>
  <c r="Q458" i="21"/>
  <c r="Q460" i="21"/>
  <c r="Q462" i="21"/>
  <c r="Q464" i="21"/>
  <c r="Q466" i="21"/>
  <c r="R451" i="21"/>
  <c r="R453" i="21"/>
  <c r="R455" i="21"/>
  <c r="R457" i="21"/>
  <c r="G453" i="21"/>
  <c r="G455" i="21"/>
  <c r="G457" i="21"/>
  <c r="G459" i="21"/>
  <c r="G461" i="21"/>
  <c r="G463" i="21"/>
  <c r="G465" i="21"/>
  <c r="G467" i="21"/>
  <c r="S468" i="21"/>
  <c r="G470" i="21"/>
  <c r="O471" i="21"/>
  <c r="S472" i="21"/>
  <c r="J463" i="21"/>
  <c r="U468" i="21"/>
  <c r="M471" i="21"/>
  <c r="M473" i="21"/>
  <c r="U474" i="21"/>
  <c r="I476" i="21"/>
  <c r="M477" i="21"/>
  <c r="U478" i="21"/>
  <c r="I480" i="21"/>
  <c r="M481" i="21"/>
  <c r="U482" i="21"/>
  <c r="I484" i="21"/>
  <c r="M485" i="21"/>
  <c r="U486" i="21"/>
  <c r="I488" i="21"/>
  <c r="M489" i="21"/>
  <c r="U490" i="21"/>
  <c r="I492" i="21"/>
  <c r="M493" i="21"/>
  <c r="U494" i="21"/>
  <c r="I496" i="21"/>
  <c r="M497" i="21"/>
  <c r="U498" i="21"/>
  <c r="I500" i="21"/>
  <c r="M501" i="21"/>
  <c r="U502" i="21"/>
  <c r="I504" i="21"/>
  <c r="M505" i="21"/>
  <c r="U506" i="21"/>
  <c r="I219" i="21"/>
  <c r="M220" i="21"/>
  <c r="N458" i="21"/>
  <c r="N463" i="21"/>
  <c r="N468" i="21"/>
  <c r="N471" i="21"/>
  <c r="N473" i="21"/>
  <c r="R474" i="21"/>
  <c r="J476" i="21"/>
  <c r="N477" i="21"/>
  <c r="R478" i="21"/>
  <c r="J480" i="21"/>
  <c r="N481" i="21"/>
  <c r="R482" i="21"/>
  <c r="J484" i="21"/>
  <c r="N485" i="21"/>
  <c r="R486" i="21"/>
  <c r="J488" i="21"/>
  <c r="N489" i="21"/>
  <c r="R490" i="21"/>
  <c r="J492" i="21"/>
  <c r="N493" i="21"/>
  <c r="R494" i="21"/>
  <c r="J496" i="21"/>
  <c r="N497" i="21"/>
  <c r="R498" i="21"/>
  <c r="J500" i="21"/>
  <c r="N501" i="21"/>
  <c r="R502" i="21"/>
  <c r="J504" i="21"/>
  <c r="N505" i="21"/>
  <c r="R506" i="21"/>
  <c r="J219" i="21"/>
  <c r="N220" i="21"/>
  <c r="R458" i="21"/>
  <c r="R464" i="21"/>
  <c r="I469" i="21"/>
  <c r="Q471" i="21"/>
  <c r="S473" i="21"/>
  <c r="G475" i="21"/>
  <c r="K476" i="21"/>
  <c r="S477" i="21"/>
  <c r="G479" i="21"/>
  <c r="K480" i="21"/>
  <c r="S481" i="21"/>
  <c r="G483" i="21"/>
  <c r="K484" i="21"/>
  <c r="S485" i="21"/>
  <c r="G487" i="21"/>
  <c r="K488" i="21"/>
  <c r="S489" i="21"/>
  <c r="G491" i="21"/>
  <c r="K492" i="21"/>
  <c r="S493" i="21"/>
  <c r="G495" i="21"/>
  <c r="K496" i="21"/>
  <c r="S497" i="21"/>
  <c r="G499" i="21"/>
  <c r="K500" i="21"/>
  <c r="S501" i="21"/>
  <c r="G503" i="21"/>
  <c r="K504" i="21"/>
  <c r="S505" i="21"/>
  <c r="V465" i="21"/>
  <c r="H475" i="21"/>
  <c r="W475" i="21" s="1"/>
  <c r="H481" i="21"/>
  <c r="W481" i="21" s="1"/>
  <c r="H486" i="21"/>
  <c r="W486" i="21" s="1"/>
  <c r="H490" i="21"/>
  <c r="W490" i="21" s="1"/>
  <c r="H494" i="21"/>
  <c r="W494" i="21" s="1"/>
  <c r="H498" i="21"/>
  <c r="W498" i="21" s="1"/>
  <c r="H502" i="21"/>
  <c r="W502" i="21" s="1"/>
  <c r="H506" i="21"/>
  <c r="W506" i="21" s="1"/>
  <c r="L219" i="21"/>
  <c r="L221" i="21"/>
  <c r="O222" i="21"/>
  <c r="O223" i="21"/>
  <c r="O224" i="21"/>
  <c r="O225" i="21"/>
  <c r="O226" i="21"/>
  <c r="O227" i="21"/>
  <c r="O228" i="21"/>
  <c r="O229" i="21"/>
  <c r="O230" i="21"/>
  <c r="O231" i="21"/>
  <c r="O232" i="21"/>
  <c r="O233" i="21"/>
  <c r="O234" i="21"/>
  <c r="O235" i="21"/>
  <c r="O236" i="21"/>
  <c r="O237" i="21"/>
  <c r="O238" i="21"/>
  <c r="O239" i="21"/>
  <c r="O240" i="21"/>
  <c r="O241" i="21"/>
  <c r="O242" i="21"/>
  <c r="O243" i="21"/>
  <c r="O244" i="21"/>
  <c r="O245" i="21"/>
  <c r="O246" i="21"/>
  <c r="O247" i="21"/>
  <c r="O248" i="21"/>
  <c r="O249" i="21"/>
  <c r="O250" i="21"/>
  <c r="O251" i="21"/>
  <c r="O252" i="21"/>
  <c r="O253" i="21"/>
  <c r="V466" i="21"/>
  <c r="L474" i="21"/>
  <c r="L478" i="21"/>
  <c r="L482" i="21"/>
  <c r="L486" i="21"/>
  <c r="L490" i="21"/>
  <c r="L494" i="21"/>
  <c r="L498" i="21"/>
  <c r="L502" i="21"/>
  <c r="L506" i="21"/>
  <c r="O219" i="21"/>
  <c r="O221" i="21"/>
  <c r="P222" i="21"/>
  <c r="P223" i="21"/>
  <c r="P224" i="21"/>
  <c r="P225" i="21"/>
  <c r="P226" i="21"/>
  <c r="P227" i="21"/>
  <c r="P228" i="21"/>
  <c r="P229" i="21"/>
  <c r="P230" i="21"/>
  <c r="P231" i="21"/>
  <c r="P232" i="21"/>
  <c r="P233" i="21"/>
  <c r="P234" i="21"/>
  <c r="P235" i="21"/>
  <c r="P236" i="21"/>
  <c r="P237" i="21"/>
  <c r="P238" i="21"/>
  <c r="P239" i="21"/>
  <c r="P240" i="21"/>
  <c r="J470" i="21"/>
  <c r="P475" i="21"/>
  <c r="P479" i="21"/>
  <c r="P483" i="21"/>
  <c r="P487" i="21"/>
  <c r="P491" i="21"/>
  <c r="P495" i="21"/>
  <c r="P499" i="21"/>
  <c r="P503" i="21"/>
  <c r="U414" i="21"/>
  <c r="H220" i="21"/>
  <c r="W220" i="21" s="1"/>
  <c r="U221" i="21"/>
  <c r="U222" i="21"/>
  <c r="U223" i="21"/>
  <c r="U224" i="21"/>
  <c r="U225" i="21"/>
  <c r="U226" i="21"/>
  <c r="U227" i="21"/>
  <c r="U228" i="21"/>
  <c r="U229" i="21"/>
  <c r="U230" i="21"/>
  <c r="U231" i="21"/>
  <c r="U232" i="21"/>
  <c r="U233" i="21"/>
  <c r="U234" i="21"/>
  <c r="U235" i="21"/>
  <c r="U236" i="21"/>
  <c r="U237" i="21"/>
  <c r="U238" i="21"/>
  <c r="U239" i="21"/>
  <c r="U240" i="21"/>
  <c r="U241" i="21"/>
  <c r="U242" i="21"/>
  <c r="U243" i="21"/>
  <c r="U244" i="21"/>
  <c r="U245" i="21"/>
  <c r="U246" i="21"/>
  <c r="U247" i="21"/>
  <c r="U248" i="21"/>
  <c r="U249" i="21"/>
  <c r="R470" i="21"/>
  <c r="T475" i="21"/>
  <c r="T479" i="21"/>
  <c r="T483" i="21"/>
  <c r="T487" i="21"/>
  <c r="T491" i="21"/>
  <c r="T495" i="21"/>
  <c r="T499" i="21"/>
  <c r="T503" i="21"/>
  <c r="R414" i="21"/>
  <c r="K220" i="21"/>
  <c r="V221" i="21"/>
  <c r="V222" i="21"/>
  <c r="V223" i="21"/>
  <c r="V224" i="21"/>
  <c r="V225" i="21"/>
  <c r="V226" i="21"/>
  <c r="V227" i="21"/>
  <c r="V228" i="21"/>
  <c r="V229" i="21"/>
  <c r="V230" i="21"/>
  <c r="J234" i="21"/>
  <c r="J238" i="21"/>
  <c r="N241" i="21"/>
  <c r="N243" i="21"/>
  <c r="N245" i="21"/>
  <c r="N247" i="21"/>
  <c r="N249" i="21"/>
  <c r="V250" i="21"/>
  <c r="L252" i="21"/>
  <c r="Q253" i="21"/>
  <c r="R254" i="21"/>
  <c r="R255" i="21"/>
  <c r="R256" i="21"/>
  <c r="R257" i="21"/>
  <c r="R258" i="21"/>
  <c r="R259" i="21"/>
  <c r="R260" i="21"/>
  <c r="R261" i="21"/>
  <c r="R262" i="21"/>
  <c r="R263" i="21"/>
  <c r="R264" i="21"/>
  <c r="R265" i="21"/>
  <c r="R266" i="21"/>
  <c r="R267" i="21"/>
  <c r="R268" i="21"/>
  <c r="R269" i="21"/>
  <c r="R270" i="21"/>
  <c r="R271" i="21"/>
  <c r="R272" i="21"/>
  <c r="V416" i="21"/>
  <c r="V420" i="21"/>
  <c r="V424" i="21"/>
  <c r="V428" i="21"/>
  <c r="V432" i="21"/>
  <c r="S417" i="21"/>
  <c r="S421" i="21"/>
  <c r="S425" i="21"/>
  <c r="S429" i="21"/>
  <c r="S433" i="21"/>
  <c r="P416" i="21"/>
  <c r="P420" i="21"/>
  <c r="P424" i="21"/>
  <c r="P428" i="21"/>
  <c r="P432" i="21"/>
  <c r="U416" i="21"/>
  <c r="U432" i="21"/>
  <c r="T438" i="21"/>
  <c r="T442" i="21"/>
  <c r="T446" i="21"/>
  <c r="T450" i="21"/>
  <c r="I427" i="21"/>
  <c r="M437" i="21"/>
  <c r="M441" i="21"/>
  <c r="M445" i="21"/>
  <c r="M449" i="21"/>
  <c r="M422" i="21"/>
  <c r="J436" i="21"/>
  <c r="R439" i="21"/>
  <c r="R441" i="21"/>
  <c r="R443" i="21"/>
  <c r="R445" i="21"/>
  <c r="R447" i="21"/>
  <c r="R449" i="21"/>
  <c r="Q415" i="21"/>
  <c r="Q423" i="21"/>
  <c r="Q431" i="21"/>
  <c r="O436" i="21"/>
  <c r="O438" i="21"/>
  <c r="O440" i="21"/>
  <c r="O442" i="21"/>
  <c r="O444" i="21"/>
  <c r="O446" i="21"/>
  <c r="O448" i="21"/>
  <c r="O450" i="21"/>
  <c r="P452" i="21"/>
  <c r="P454" i="21"/>
  <c r="P456" i="21"/>
  <c r="P458" i="21"/>
  <c r="P460" i="21"/>
  <c r="P462" i="21"/>
  <c r="P464" i="21"/>
  <c r="P466" i="21"/>
  <c r="P468" i="21"/>
  <c r="P470" i="21"/>
  <c r="P472" i="21"/>
  <c r="I453" i="21"/>
  <c r="I455" i="21"/>
  <c r="I457" i="21"/>
  <c r="I459" i="21"/>
  <c r="I461" i="21"/>
  <c r="I463" i="21"/>
  <c r="I465" i="21"/>
  <c r="I467" i="21"/>
  <c r="J452" i="21"/>
  <c r="J454" i="21"/>
  <c r="J456" i="21"/>
  <c r="J458" i="21"/>
  <c r="O453" i="21"/>
  <c r="O455" i="21"/>
  <c r="O457" i="21"/>
  <c r="O459" i="21"/>
  <c r="O461" i="21"/>
  <c r="O463" i="21"/>
  <c r="O465" i="21"/>
  <c r="O467" i="21"/>
  <c r="G469" i="21"/>
  <c r="O470" i="21"/>
  <c r="S471" i="21"/>
  <c r="J459" i="21"/>
  <c r="J465" i="21"/>
  <c r="M469" i="21"/>
  <c r="U471" i="21"/>
  <c r="U473" i="21"/>
  <c r="I475" i="21"/>
  <c r="M476" i="21"/>
  <c r="U477" i="21"/>
  <c r="I479" i="21"/>
  <c r="M480" i="21"/>
  <c r="U481" i="21"/>
  <c r="I483" i="21"/>
  <c r="M484" i="21"/>
  <c r="U485" i="21"/>
  <c r="I487" i="21"/>
  <c r="M488" i="21"/>
  <c r="U489" i="21"/>
  <c r="I491" i="21"/>
  <c r="M492" i="21"/>
  <c r="U493" i="21"/>
  <c r="I495" i="21"/>
  <c r="M496" i="21"/>
  <c r="U497" i="21"/>
  <c r="I499" i="21"/>
  <c r="M500" i="21"/>
  <c r="U501" i="21"/>
  <c r="I503" i="21"/>
  <c r="M504" i="21"/>
  <c r="U505" i="21"/>
  <c r="T414" i="21"/>
  <c r="M219" i="21"/>
  <c r="U220" i="21"/>
  <c r="N459" i="21"/>
  <c r="N464" i="21"/>
  <c r="N469" i="21"/>
  <c r="V471" i="21"/>
  <c r="R473" i="21"/>
  <c r="J475" i="21"/>
  <c r="N476" i="21"/>
  <c r="R477" i="21"/>
  <c r="J479" i="21"/>
  <c r="N480" i="21"/>
  <c r="R481" i="21"/>
  <c r="J483" i="21"/>
  <c r="N484" i="21"/>
  <c r="R485" i="21"/>
  <c r="J487" i="21"/>
  <c r="N488" i="21"/>
  <c r="R489" i="21"/>
  <c r="J491" i="21"/>
  <c r="N492" i="21"/>
  <c r="R493" i="21"/>
  <c r="J495" i="21"/>
  <c r="N496" i="21"/>
  <c r="R497" i="21"/>
  <c r="J499" i="21"/>
  <c r="N500" i="21"/>
  <c r="R501" i="21"/>
  <c r="J503" i="21"/>
  <c r="N504" i="21"/>
  <c r="R505" i="21"/>
  <c r="S414" i="21"/>
  <c r="N219" i="21"/>
  <c r="R220" i="21"/>
  <c r="R460" i="21"/>
  <c r="R465" i="21"/>
  <c r="Q469" i="21"/>
  <c r="Q472" i="21"/>
  <c r="G474" i="21"/>
  <c r="K475" i="21"/>
  <c r="S476" i="21"/>
  <c r="G478" i="21"/>
  <c r="K479" i="21"/>
  <c r="S480" i="21"/>
  <c r="G482" i="21"/>
  <c r="K483" i="21"/>
  <c r="S484" i="21"/>
  <c r="G486" i="21"/>
  <c r="K487" i="21"/>
  <c r="S488" i="21"/>
  <c r="G490" i="21"/>
  <c r="K491" i="21"/>
  <c r="S492" i="21"/>
  <c r="G494" i="21"/>
  <c r="K495" i="21"/>
  <c r="S496" i="21"/>
  <c r="G498" i="21"/>
  <c r="K499" i="21"/>
  <c r="S500" i="21"/>
  <c r="G502" i="21"/>
  <c r="K503" i="21"/>
  <c r="S504" i="21"/>
  <c r="G506" i="21"/>
  <c r="J469" i="21"/>
  <c r="H477" i="21"/>
  <c r="W477" i="21" s="1"/>
  <c r="H482" i="21"/>
  <c r="W482" i="21" s="1"/>
  <c r="H487" i="21"/>
  <c r="W487" i="21" s="1"/>
  <c r="H491" i="21"/>
  <c r="W491" i="21" s="1"/>
  <c r="H495" i="21"/>
  <c r="W495" i="21" s="1"/>
  <c r="H499" i="21"/>
  <c r="W499" i="21" s="1"/>
  <c r="H503" i="21"/>
  <c r="W503" i="21" s="1"/>
  <c r="T506" i="21"/>
  <c r="T219"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R469" i="21"/>
  <c r="L475" i="21"/>
  <c r="L479" i="21"/>
  <c r="L483" i="21"/>
  <c r="L487" i="21"/>
  <c r="L491" i="21"/>
  <c r="L495" i="21"/>
  <c r="L499" i="21"/>
  <c r="L503" i="21"/>
  <c r="V414" i="21"/>
  <c r="G220" i="21"/>
  <c r="T221" i="21"/>
  <c r="T222" i="21"/>
  <c r="T223" i="21"/>
  <c r="T224" i="21"/>
  <c r="T225" i="21"/>
  <c r="T226" i="21"/>
  <c r="T227" i="21"/>
  <c r="T228" i="21"/>
  <c r="T229" i="21"/>
  <c r="T230" i="21"/>
  <c r="T231" i="21"/>
  <c r="T232" i="21"/>
  <c r="T233" i="21"/>
  <c r="T234" i="21"/>
  <c r="T235" i="21"/>
  <c r="T236" i="21"/>
  <c r="T237" i="21"/>
  <c r="T238" i="21"/>
  <c r="T239" i="21"/>
  <c r="V459" i="21"/>
  <c r="J472" i="21"/>
  <c r="P476" i="21"/>
  <c r="P480" i="21"/>
  <c r="P484" i="21"/>
  <c r="P488" i="21"/>
  <c r="P492" i="21"/>
  <c r="P496" i="21"/>
  <c r="P500" i="21"/>
  <c r="P504" i="21"/>
  <c r="M414" i="21"/>
  <c r="P220" i="21"/>
  <c r="I222" i="21"/>
  <c r="I223" i="21"/>
  <c r="I224" i="21"/>
  <c r="I225" i="21"/>
  <c r="I226" i="21"/>
  <c r="I227" i="21"/>
  <c r="I228" i="21"/>
  <c r="I229" i="21"/>
  <c r="I230" i="21"/>
  <c r="I231" i="21"/>
  <c r="I232" i="21"/>
  <c r="I233" i="21"/>
  <c r="I234" i="21"/>
  <c r="I235" i="21"/>
  <c r="I236" i="21"/>
  <c r="I237" i="21"/>
  <c r="I238" i="21"/>
  <c r="I239" i="21"/>
  <c r="I240" i="21"/>
  <c r="I241" i="21"/>
  <c r="I242" i="21"/>
  <c r="I243" i="21"/>
  <c r="I244" i="21"/>
  <c r="I245" i="21"/>
  <c r="I246" i="21"/>
  <c r="I247" i="21"/>
  <c r="I248" i="21"/>
  <c r="I249" i="21"/>
  <c r="V460" i="21"/>
  <c r="R472" i="21"/>
  <c r="T476" i="21"/>
  <c r="T480" i="21"/>
  <c r="T484" i="21"/>
  <c r="T488" i="21"/>
  <c r="T492" i="21"/>
  <c r="T496" i="21"/>
  <c r="T500" i="21"/>
  <c r="T504" i="21"/>
  <c r="J414" i="21"/>
  <c r="S220" i="21"/>
  <c r="J222" i="21"/>
  <c r="J223" i="21"/>
  <c r="J224" i="21"/>
  <c r="J225" i="21"/>
  <c r="J226" i="21"/>
  <c r="J227" i="21"/>
  <c r="J228" i="21"/>
  <c r="J229" i="21"/>
  <c r="J230" i="21"/>
  <c r="J231" i="21"/>
  <c r="J235" i="21"/>
  <c r="J239" i="21"/>
  <c r="V241" i="21"/>
  <c r="V243" i="21"/>
  <c r="V245" i="21"/>
  <c r="V247" i="21"/>
  <c r="V249" i="21"/>
  <c r="L251" i="21"/>
  <c r="Q252" i="21"/>
  <c r="V253" i="21"/>
  <c r="V254" i="21"/>
  <c r="V255" i="21"/>
  <c r="V256" i="21"/>
  <c r="V257" i="21"/>
  <c r="V258" i="21"/>
  <c r="V259" i="21"/>
  <c r="V260" i="21"/>
  <c r="V261" i="21"/>
  <c r="V262" i="21"/>
  <c r="V263" i="21"/>
  <c r="V264" i="21"/>
  <c r="V265" i="21"/>
  <c r="V266" i="21"/>
  <c r="V267" i="21"/>
  <c r="V268" i="21"/>
  <c r="V269" i="21"/>
  <c r="V270" i="21"/>
  <c r="V271" i="21"/>
  <c r="V272" i="21"/>
  <c r="V273" i="21"/>
  <c r="V274" i="21"/>
  <c r="V275" i="21"/>
  <c r="V276" i="21"/>
  <c r="V277" i="21"/>
  <c r="V417" i="21"/>
  <c r="V421" i="21"/>
  <c r="V425" i="21"/>
  <c r="V429" i="21"/>
  <c r="V433" i="21"/>
  <c r="S418" i="21"/>
  <c r="S422" i="21"/>
  <c r="S426" i="21"/>
  <c r="S430" i="21"/>
  <c r="S434" i="21"/>
  <c r="P417" i="21"/>
  <c r="P421" i="21"/>
  <c r="P425" i="21"/>
  <c r="P429" i="21"/>
  <c r="P433" i="21"/>
  <c r="U420" i="21"/>
  <c r="N435" i="21"/>
  <c r="T439" i="21"/>
  <c r="T443" i="21"/>
  <c r="T447" i="21"/>
  <c r="I415" i="21"/>
  <c r="I431" i="21"/>
  <c r="M438" i="21"/>
  <c r="M442" i="21"/>
  <c r="M446" i="21"/>
  <c r="M450" i="21"/>
  <c r="M426" i="21"/>
  <c r="J437" i="21"/>
  <c r="J440" i="21"/>
  <c r="J442" i="21"/>
  <c r="J444" i="21"/>
  <c r="J446" i="21"/>
  <c r="J448" i="21"/>
  <c r="J450" i="21"/>
  <c r="Q417" i="21"/>
  <c r="Q425" i="21"/>
  <c r="Q433" i="21"/>
  <c r="G437" i="21"/>
  <c r="G439" i="21"/>
  <c r="G441" i="21"/>
  <c r="G443" i="21"/>
  <c r="G445" i="21"/>
  <c r="G447" i="21"/>
  <c r="G449" i="21"/>
  <c r="G451" i="21"/>
  <c r="H453" i="21"/>
  <c r="W453" i="21" s="1"/>
  <c r="H455" i="21"/>
  <c r="W455" i="21" s="1"/>
  <c r="H457" i="21"/>
  <c r="W457" i="21" s="1"/>
  <c r="H459" i="21"/>
  <c r="W459" i="21" s="1"/>
  <c r="H461" i="21"/>
  <c r="W461" i="21" s="1"/>
  <c r="H463" i="21"/>
  <c r="W463" i="21" s="1"/>
  <c r="H465" i="21"/>
  <c r="W465" i="21" s="1"/>
  <c r="H467" i="21"/>
  <c r="W467" i="21" s="1"/>
  <c r="H469" i="21"/>
  <c r="W469" i="21" s="1"/>
  <c r="H471" i="21"/>
  <c r="W471" i="21" s="1"/>
  <c r="Q451" i="21"/>
  <c r="Q453" i="21"/>
  <c r="Q455" i="21"/>
  <c r="Q457" i="21"/>
  <c r="Q459" i="21"/>
  <c r="Q461" i="21"/>
  <c r="Q463" i="21"/>
  <c r="Q465" i="21"/>
  <c r="Q467" i="21"/>
  <c r="R452" i="21"/>
  <c r="R454" i="21"/>
  <c r="R456" i="21"/>
  <c r="G452" i="21"/>
  <c r="G454" i="21"/>
  <c r="G456" i="21"/>
  <c r="G458" i="21"/>
  <c r="G460" i="21"/>
  <c r="G462" i="21"/>
  <c r="G464" i="21"/>
  <c r="G466" i="21"/>
  <c r="G468" i="21"/>
  <c r="O469" i="21"/>
  <c r="S470" i="21"/>
  <c r="G472" i="21"/>
  <c r="J461" i="21"/>
  <c r="J466" i="21"/>
  <c r="U469" i="21"/>
  <c r="U472" i="21"/>
  <c r="I474" i="21"/>
  <c r="M475" i="21"/>
  <c r="U476" i="21"/>
  <c r="I478" i="21"/>
  <c r="M479" i="21"/>
  <c r="U480" i="21"/>
  <c r="I482" i="21"/>
  <c r="M483" i="21"/>
  <c r="U484" i="21"/>
  <c r="I486" i="21"/>
  <c r="M487" i="21"/>
  <c r="U488" i="21"/>
  <c r="I490" i="21"/>
  <c r="M491" i="21"/>
  <c r="U492" i="21"/>
  <c r="I494" i="21"/>
  <c r="M495" i="21"/>
  <c r="U496" i="21"/>
  <c r="I498" i="21"/>
  <c r="M499" i="21"/>
  <c r="U500" i="21"/>
  <c r="I502" i="21"/>
  <c r="M503" i="21"/>
  <c r="U504" i="21"/>
  <c r="I506" i="21"/>
  <c r="P414" i="21"/>
  <c r="U219" i="21"/>
  <c r="I221" i="21"/>
  <c r="N460" i="21"/>
  <c r="N466" i="21"/>
  <c r="V469" i="21"/>
  <c r="N472" i="21"/>
  <c r="J474" i="21"/>
  <c r="N475" i="21"/>
  <c r="R476" i="21"/>
  <c r="J478" i="21"/>
  <c r="N479" i="21"/>
  <c r="R480" i="21"/>
  <c r="J482" i="21"/>
  <c r="N483" i="21"/>
  <c r="R484" i="21"/>
  <c r="J486" i="21"/>
  <c r="N487" i="21"/>
  <c r="R488" i="21"/>
  <c r="J490" i="21"/>
  <c r="N491" i="21"/>
  <c r="R492" i="21"/>
  <c r="J494" i="21"/>
  <c r="N495" i="21"/>
  <c r="R496" i="21"/>
  <c r="J498" i="21"/>
  <c r="N499" i="21"/>
  <c r="R500" i="21"/>
  <c r="J502" i="21"/>
  <c r="N503" i="21"/>
  <c r="R504" i="21"/>
  <c r="J506" i="21"/>
  <c r="O414" i="21"/>
  <c r="R219" i="21"/>
  <c r="J221" i="21"/>
  <c r="R461" i="21"/>
  <c r="R466" i="21"/>
  <c r="Q470" i="21"/>
  <c r="G473" i="21"/>
  <c r="K474" i="21"/>
  <c r="S475" i="21"/>
  <c r="G477" i="21"/>
  <c r="K478" i="21"/>
  <c r="S479" i="21"/>
  <c r="G481" i="21"/>
  <c r="K482" i="21"/>
  <c r="S483" i="21"/>
  <c r="G485" i="21"/>
  <c r="K486" i="21"/>
  <c r="S487" i="21"/>
  <c r="G489" i="21"/>
  <c r="K490" i="21"/>
  <c r="S491" i="21"/>
  <c r="G493" i="21"/>
  <c r="K494" i="21"/>
  <c r="S495" i="21"/>
  <c r="G497" i="21"/>
  <c r="K498" i="21"/>
  <c r="S499" i="21"/>
  <c r="G501" i="21"/>
  <c r="K502" i="21"/>
  <c r="S503" i="21"/>
  <c r="G505" i="21"/>
  <c r="K506" i="21"/>
  <c r="H473" i="21"/>
  <c r="W473" i="21" s="1"/>
  <c r="H478" i="21"/>
  <c r="W478" i="21" s="1"/>
  <c r="H483" i="21"/>
  <c r="W483" i="21" s="1"/>
  <c r="H488" i="21"/>
  <c r="W488" i="21" s="1"/>
  <c r="H492" i="21"/>
  <c r="W492" i="21" s="1"/>
  <c r="H496" i="21"/>
  <c r="W496" i="21" s="1"/>
  <c r="H500" i="21"/>
  <c r="W500" i="21" s="1"/>
  <c r="H504" i="21"/>
  <c r="W504" i="21" s="1"/>
  <c r="Q414" i="21"/>
  <c r="L220"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V458" i="21"/>
  <c r="R471" i="21"/>
  <c r="L476" i="21"/>
  <c r="L480" i="21"/>
  <c r="L484" i="21"/>
  <c r="L488" i="21"/>
  <c r="L492" i="21"/>
  <c r="L496" i="21"/>
  <c r="L500" i="21"/>
  <c r="L504" i="21"/>
  <c r="N414" i="21"/>
  <c r="O220" i="21"/>
  <c r="H222" i="21"/>
  <c r="W222" i="21" s="1"/>
  <c r="H223" i="21"/>
  <c r="W223" i="21" s="1"/>
  <c r="H224" i="21"/>
  <c r="W224" i="21" s="1"/>
  <c r="H225" i="21"/>
  <c r="W225" i="21" s="1"/>
  <c r="H226" i="21"/>
  <c r="W226" i="21" s="1"/>
  <c r="H227" i="21"/>
  <c r="W227" i="21" s="1"/>
  <c r="H228" i="21"/>
  <c r="W228" i="21" s="1"/>
  <c r="H229" i="21"/>
  <c r="W229" i="21" s="1"/>
  <c r="H230" i="21"/>
  <c r="W230" i="21" s="1"/>
  <c r="H231" i="21"/>
  <c r="W231" i="21" s="1"/>
  <c r="H232" i="21"/>
  <c r="W232" i="21" s="1"/>
  <c r="H233" i="21"/>
  <c r="W233" i="21" s="1"/>
  <c r="H234" i="21"/>
  <c r="W234" i="21" s="1"/>
  <c r="H235" i="21"/>
  <c r="W235" i="21" s="1"/>
  <c r="H236" i="21"/>
  <c r="W236" i="21" s="1"/>
  <c r="H237" i="21"/>
  <c r="W237" i="21" s="1"/>
  <c r="H238" i="21"/>
  <c r="W238" i="21" s="1"/>
  <c r="H239" i="21"/>
  <c r="W239" i="21" s="1"/>
  <c r="H240" i="21"/>
  <c r="W240" i="21" s="1"/>
  <c r="V463" i="21"/>
  <c r="P473" i="21"/>
  <c r="P477" i="21"/>
  <c r="P481" i="21"/>
  <c r="P485" i="21"/>
  <c r="P489" i="21"/>
  <c r="P493" i="21"/>
  <c r="P497" i="21"/>
  <c r="P501" i="21"/>
  <c r="P505" i="21"/>
  <c r="H219" i="21"/>
  <c r="W219" i="21" s="1"/>
  <c r="H221" i="21"/>
  <c r="W221" i="21" s="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V464" i="21"/>
  <c r="T473" i="21"/>
  <c r="T477" i="21"/>
  <c r="T481" i="21"/>
  <c r="T485" i="21"/>
  <c r="T489" i="21"/>
  <c r="T493" i="21"/>
  <c r="T497" i="21"/>
  <c r="T501" i="21"/>
  <c r="T505" i="21"/>
  <c r="K219" i="21"/>
  <c r="K221" i="21"/>
  <c r="N222" i="21"/>
  <c r="N223" i="21"/>
  <c r="N224" i="21"/>
  <c r="N225" i="21"/>
  <c r="N226" i="21"/>
  <c r="N227" i="21"/>
  <c r="N228" i="21"/>
  <c r="N229" i="21"/>
  <c r="N230" i="21"/>
  <c r="J232" i="21"/>
  <c r="J236" i="21"/>
  <c r="J240" i="21"/>
  <c r="N242" i="21"/>
  <c r="N244" i="21"/>
  <c r="N246" i="21"/>
  <c r="N248" i="21"/>
  <c r="L250" i="21"/>
  <c r="Q251" i="21"/>
  <c r="V252" i="21"/>
  <c r="J254" i="21"/>
  <c r="J255" i="21"/>
  <c r="J256" i="21"/>
  <c r="J257" i="21"/>
  <c r="J258" i="21"/>
  <c r="J259" i="21"/>
  <c r="J260" i="21"/>
  <c r="J261" i="21"/>
  <c r="J262" i="21"/>
  <c r="J263" i="21"/>
  <c r="J264" i="21"/>
  <c r="J265" i="21"/>
  <c r="J266" i="21"/>
  <c r="J267" i="21"/>
  <c r="J268" i="21"/>
  <c r="J269" i="21"/>
  <c r="J270" i="21"/>
  <c r="J271" i="21"/>
  <c r="J272" i="21"/>
  <c r="J273" i="21"/>
  <c r="J274" i="21"/>
  <c r="J275" i="21"/>
  <c r="J276" i="21"/>
  <c r="J277" i="21"/>
  <c r="J278" i="21"/>
  <c r="V418" i="21"/>
  <c r="V422" i="21"/>
  <c r="V426" i="21"/>
  <c r="V430" i="21"/>
  <c r="S415" i="21"/>
  <c r="S419" i="21"/>
  <c r="S423" i="21"/>
  <c r="S427" i="21"/>
  <c r="S431" i="21"/>
  <c r="S435" i="21"/>
  <c r="P418" i="21"/>
  <c r="P422" i="21"/>
  <c r="P426" i="21"/>
  <c r="P430" i="21"/>
  <c r="P434" i="21"/>
  <c r="U424" i="21"/>
  <c r="T436" i="21"/>
  <c r="T440" i="21"/>
  <c r="T444" i="21"/>
  <c r="T448" i="21"/>
  <c r="I419" i="21"/>
  <c r="Q434" i="21"/>
  <c r="M439" i="21"/>
  <c r="M443" i="21"/>
  <c r="M447" i="21"/>
  <c r="M451" i="21"/>
  <c r="M430" i="21"/>
  <c r="J438" i="21"/>
  <c r="R440" i="21"/>
  <c r="R442" i="21"/>
  <c r="R444" i="21"/>
  <c r="R446" i="21"/>
  <c r="R448" i="21"/>
  <c r="R450" i="21"/>
  <c r="Q419" i="21"/>
  <c r="Q427" i="21"/>
  <c r="U434" i="21"/>
  <c r="O437" i="21"/>
  <c r="O439" i="21"/>
  <c r="O441" i="21"/>
  <c r="O443" i="21"/>
  <c r="O445" i="21"/>
  <c r="O447" i="21"/>
  <c r="O449" i="21"/>
  <c r="O451" i="21"/>
  <c r="P453" i="21"/>
  <c r="P455" i="21"/>
  <c r="P457" i="21"/>
  <c r="P459" i="21"/>
  <c r="P461" i="21"/>
  <c r="P463" i="21"/>
  <c r="P465" i="21"/>
  <c r="P467" i="21"/>
  <c r="P469" i="21"/>
  <c r="P471" i="21"/>
  <c r="I452" i="21"/>
  <c r="I454" i="21"/>
  <c r="I456" i="21"/>
  <c r="I458" i="21"/>
  <c r="I460" i="21"/>
  <c r="I462" i="21"/>
  <c r="I464" i="21"/>
  <c r="I466" i="21"/>
  <c r="I468" i="21"/>
  <c r="J453" i="21"/>
  <c r="J455" i="21"/>
  <c r="J457" i="21"/>
  <c r="O452" i="21"/>
  <c r="O454" i="21"/>
  <c r="O456" i="21"/>
  <c r="O458" i="21"/>
  <c r="O460" i="21"/>
  <c r="O462" i="21"/>
  <c r="O464" i="21"/>
  <c r="O466" i="21"/>
  <c r="O468" i="21"/>
  <c r="S469" i="21"/>
  <c r="G471" i="21"/>
  <c r="O472" i="21"/>
  <c r="J462" i="21"/>
  <c r="J467" i="21"/>
  <c r="U470" i="21"/>
  <c r="I473" i="21"/>
  <c r="M474" i="21"/>
  <c r="U475" i="21"/>
  <c r="I477" i="21"/>
  <c r="M478" i="21"/>
  <c r="U479" i="21"/>
  <c r="I481" i="21"/>
  <c r="M482" i="21"/>
  <c r="U483" i="21"/>
  <c r="I485" i="21"/>
  <c r="M486" i="21"/>
  <c r="U487" i="21"/>
  <c r="I489" i="21"/>
  <c r="M490" i="21"/>
  <c r="U491" i="21"/>
  <c r="I493" i="21"/>
  <c r="M494" i="21"/>
  <c r="U495" i="21"/>
  <c r="I497" i="21"/>
  <c r="M498" i="21"/>
  <c r="U499" i="21"/>
  <c r="I501" i="21"/>
  <c r="M502" i="21"/>
  <c r="U503" i="21"/>
  <c r="I505" i="21"/>
  <c r="M506" i="21"/>
  <c r="H414" i="21"/>
  <c r="W414" i="21" s="1"/>
  <c r="I220" i="21"/>
  <c r="M221" i="21"/>
  <c r="N462" i="21"/>
  <c r="N467" i="21"/>
  <c r="N470" i="21"/>
  <c r="J473" i="21"/>
  <c r="N474" i="21"/>
  <c r="R475" i="21"/>
  <c r="J477" i="21"/>
  <c r="N478" i="21"/>
  <c r="R479" i="21"/>
  <c r="J481" i="21"/>
  <c r="N482" i="21"/>
  <c r="R483" i="21"/>
  <c r="J485" i="21"/>
  <c r="N486" i="21"/>
  <c r="R487" i="21"/>
  <c r="J489" i="21"/>
  <c r="N490" i="21"/>
  <c r="R491" i="21"/>
  <c r="J493" i="21"/>
  <c r="N494" i="21"/>
  <c r="R495" i="21"/>
  <c r="J497" i="21"/>
  <c r="N498" i="21"/>
  <c r="R499" i="21"/>
  <c r="J501" i="21"/>
  <c r="N502" i="21"/>
  <c r="R503" i="21"/>
  <c r="J505" i="21"/>
  <c r="N506" i="21"/>
  <c r="K414" i="21"/>
  <c r="J220" i="21"/>
  <c r="N221" i="21"/>
  <c r="R462" i="21"/>
  <c r="Q468" i="21"/>
  <c r="I471" i="21"/>
  <c r="K473" i="21"/>
  <c r="S474" i="21"/>
  <c r="G476" i="21"/>
  <c r="K477" i="21"/>
  <c r="S478" i="21"/>
  <c r="G480" i="21"/>
  <c r="K481" i="21"/>
  <c r="S482" i="21"/>
  <c r="G484" i="21"/>
  <c r="K485" i="21"/>
  <c r="S486" i="21"/>
  <c r="G488" i="21"/>
  <c r="K489" i="21"/>
  <c r="S490" i="21"/>
  <c r="G492" i="21"/>
  <c r="K493" i="21"/>
  <c r="S494" i="21"/>
  <c r="G496" i="21"/>
  <c r="K497" i="21"/>
  <c r="S498" i="21"/>
  <c r="G500" i="21"/>
  <c r="K501" i="21"/>
  <c r="S502" i="21"/>
  <c r="G504" i="21"/>
  <c r="K505" i="21"/>
  <c r="V461" i="21"/>
  <c r="H474" i="21"/>
  <c r="W474" i="21" s="1"/>
  <c r="H479" i="21"/>
  <c r="W479" i="21" s="1"/>
  <c r="H485" i="21"/>
  <c r="W485" i="21" s="1"/>
  <c r="H489" i="21"/>
  <c r="W489" i="21" s="1"/>
  <c r="H493" i="21"/>
  <c r="W493" i="21" s="1"/>
  <c r="H497" i="21"/>
  <c r="W497" i="21" s="1"/>
  <c r="H501" i="21"/>
  <c r="W501" i="21" s="1"/>
  <c r="H505" i="21"/>
  <c r="W505" i="21" s="1"/>
  <c r="I414" i="21"/>
  <c r="T220" i="21"/>
  <c r="K222" i="21"/>
  <c r="K223" i="21"/>
  <c r="K224" i="21"/>
  <c r="K225" i="21"/>
  <c r="K226" i="21"/>
  <c r="K227" i="21"/>
  <c r="K228" i="21"/>
  <c r="K229" i="21"/>
  <c r="K230" i="21"/>
  <c r="K231" i="21"/>
  <c r="K232" i="21"/>
  <c r="K233" i="21"/>
  <c r="K234" i="21"/>
  <c r="K235" i="21"/>
  <c r="K236" i="21"/>
  <c r="K237" i="21"/>
  <c r="K238" i="21"/>
  <c r="K239" i="21"/>
  <c r="K240" i="21"/>
  <c r="K241" i="21"/>
  <c r="K242" i="21"/>
  <c r="K243" i="21"/>
  <c r="K244" i="21"/>
  <c r="K245" i="21"/>
  <c r="K246" i="21"/>
  <c r="K247" i="21"/>
  <c r="K248" i="21"/>
  <c r="K249" i="21"/>
  <c r="K250" i="21"/>
  <c r="K251" i="21"/>
  <c r="K252" i="21"/>
  <c r="K253" i="21"/>
  <c r="V462" i="21"/>
  <c r="L473" i="21"/>
  <c r="L477" i="21"/>
  <c r="L481" i="21"/>
  <c r="L485" i="21"/>
  <c r="L489" i="21"/>
  <c r="L493" i="21"/>
  <c r="L497" i="21"/>
  <c r="L501" i="21"/>
  <c r="L505" i="21"/>
  <c r="G219" i="21"/>
  <c r="G221" i="21"/>
  <c r="L222" i="21"/>
  <c r="L223" i="21"/>
  <c r="L224" i="21"/>
  <c r="L225" i="21"/>
  <c r="L226" i="21"/>
  <c r="L227" i="21"/>
  <c r="L228" i="21"/>
  <c r="L229" i="21"/>
  <c r="L230" i="21"/>
  <c r="L231" i="21"/>
  <c r="L232" i="21"/>
  <c r="L233" i="21"/>
  <c r="L234" i="21"/>
  <c r="L235" i="21"/>
  <c r="L236" i="21"/>
  <c r="L237" i="21"/>
  <c r="L238" i="21"/>
  <c r="L239" i="21"/>
  <c r="L240" i="21"/>
  <c r="V467" i="21"/>
  <c r="P474" i="21"/>
  <c r="P478" i="21"/>
  <c r="P482" i="21"/>
  <c r="P486" i="21"/>
  <c r="P490" i="21"/>
  <c r="P494" i="21"/>
  <c r="P498" i="21"/>
  <c r="P502" i="21"/>
  <c r="P506" i="21"/>
  <c r="P219" i="21"/>
  <c r="P221" i="21"/>
  <c r="Q222" i="21"/>
  <c r="Q223" i="21"/>
  <c r="Q224" i="21"/>
  <c r="Q225" i="21"/>
  <c r="Q226" i="21"/>
  <c r="Q227" i="21"/>
  <c r="Q228" i="21"/>
  <c r="Q229" i="21"/>
  <c r="Q230" i="21"/>
  <c r="Q231" i="21"/>
  <c r="Q232" i="21"/>
  <c r="Q233" i="21"/>
  <c r="Q234" i="21"/>
  <c r="Q235" i="21"/>
  <c r="Q236" i="21"/>
  <c r="Q237" i="21"/>
  <c r="Q238" i="21"/>
  <c r="Q239" i="21"/>
  <c r="Q240" i="21"/>
  <c r="Q241" i="21"/>
  <c r="Q242" i="21"/>
  <c r="Q243" i="21"/>
  <c r="Q244" i="21"/>
  <c r="Q245" i="21"/>
  <c r="Q246" i="21"/>
  <c r="Q247" i="21"/>
  <c r="Q248" i="21"/>
  <c r="Q249" i="21"/>
  <c r="R468" i="21"/>
  <c r="T474" i="21"/>
  <c r="T478" i="21"/>
  <c r="T482" i="21"/>
  <c r="T486" i="21"/>
  <c r="T490" i="21"/>
  <c r="T494" i="21"/>
  <c r="T498" i="21"/>
  <c r="T502" i="21"/>
  <c r="S506" i="21"/>
  <c r="S219" i="21"/>
  <c r="R221" i="21"/>
  <c r="R222" i="21"/>
  <c r="R223" i="21"/>
  <c r="R224" i="21"/>
  <c r="R225" i="21"/>
  <c r="R226" i="21"/>
  <c r="R227" i="21"/>
  <c r="R228" i="21"/>
  <c r="R229" i="21"/>
  <c r="R230" i="21"/>
  <c r="J233" i="21"/>
  <c r="J237" i="21"/>
  <c r="V240" i="21"/>
  <c r="V242" i="21"/>
  <c r="V244" i="21"/>
  <c r="V246" i="21"/>
  <c r="V248" i="21"/>
  <c r="Q250" i="21"/>
  <c r="V251" i="21"/>
  <c r="L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R273" i="21"/>
  <c r="R277" i="21"/>
  <c r="N279" i="21"/>
  <c r="N280" i="21"/>
  <c r="N281" i="21"/>
  <c r="N282" i="21"/>
  <c r="N283" i="21"/>
  <c r="N284" i="21"/>
  <c r="N285" i="21"/>
  <c r="N286" i="21"/>
  <c r="N233" i="21"/>
  <c r="N237" i="21"/>
  <c r="H241" i="21"/>
  <c r="W241" i="21" s="1"/>
  <c r="H243" i="21"/>
  <c r="W243" i="21" s="1"/>
  <c r="H245" i="21"/>
  <c r="W245" i="21" s="1"/>
  <c r="H247" i="21"/>
  <c r="W247" i="21" s="1"/>
  <c r="H249" i="21"/>
  <c r="W249" i="21" s="1"/>
  <c r="R250" i="21"/>
  <c r="H252" i="21"/>
  <c r="W252" i="21" s="1"/>
  <c r="M253" i="21"/>
  <c r="O254" i="21"/>
  <c r="O255" i="21"/>
  <c r="O256" i="21"/>
  <c r="O257" i="21"/>
  <c r="O258" i="21"/>
  <c r="O259" i="21"/>
  <c r="O260" i="21"/>
  <c r="O261" i="21"/>
  <c r="O262" i="21"/>
  <c r="O263" i="21"/>
  <c r="O264" i="21"/>
  <c r="O265" i="21"/>
  <c r="O266" i="21"/>
  <c r="O267" i="21"/>
  <c r="O268" i="21"/>
  <c r="O269" i="21"/>
  <c r="O270" i="21"/>
  <c r="O271" i="21"/>
  <c r="O272" i="21"/>
  <c r="O273" i="21"/>
  <c r="O274" i="21"/>
  <c r="O275" i="21"/>
  <c r="O276" i="21"/>
  <c r="O277" i="21"/>
  <c r="O278" i="21"/>
  <c r="O279" i="21"/>
  <c r="O280" i="21"/>
  <c r="R234" i="21"/>
  <c r="R238" i="21"/>
  <c r="R241" i="21"/>
  <c r="R243" i="21"/>
  <c r="R245" i="21"/>
  <c r="R247" i="21"/>
  <c r="R249" i="21"/>
  <c r="I251" i="21"/>
  <c r="N252" i="21"/>
  <c r="T253" i="21"/>
  <c r="T254" i="21"/>
  <c r="T255" i="21"/>
  <c r="T256" i="21"/>
  <c r="T257" i="21"/>
  <c r="T258" i="21"/>
  <c r="V231" i="21"/>
  <c r="V235" i="21"/>
  <c r="V239" i="21"/>
  <c r="L242" i="21"/>
  <c r="L244" i="21"/>
  <c r="L246" i="21"/>
  <c r="L248" i="21"/>
  <c r="J250" i="21"/>
  <c r="P251" i="21"/>
  <c r="U252" i="21"/>
  <c r="I254" i="21"/>
  <c r="I255" i="21"/>
  <c r="I256" i="21"/>
  <c r="I257" i="21"/>
  <c r="I258" i="21"/>
  <c r="I259" i="21"/>
  <c r="I260" i="21"/>
  <c r="I261" i="21"/>
  <c r="I262" i="21"/>
  <c r="I263" i="21"/>
  <c r="I264" i="21"/>
  <c r="I265" i="21"/>
  <c r="I266" i="21"/>
  <c r="I267" i="21"/>
  <c r="I268" i="21"/>
  <c r="I269" i="21"/>
  <c r="I270" i="21"/>
  <c r="I271" i="21"/>
  <c r="I272" i="21"/>
  <c r="I273" i="21"/>
  <c r="I274" i="21"/>
  <c r="I275" i="21"/>
  <c r="I276" i="21"/>
  <c r="I277" i="21"/>
  <c r="I278" i="21"/>
  <c r="I279" i="21"/>
  <c r="I280" i="21"/>
  <c r="I281" i="21"/>
  <c r="I282" i="21"/>
  <c r="I283" i="21"/>
  <c r="I284" i="21"/>
  <c r="I285" i="21"/>
  <c r="I286" i="21"/>
  <c r="P262" i="21"/>
  <c r="P266" i="21"/>
  <c r="P270" i="21"/>
  <c r="P274" i="21"/>
  <c r="P278" i="21"/>
  <c r="P281" i="21"/>
  <c r="P283" i="21"/>
  <c r="P285" i="21"/>
  <c r="I287" i="21"/>
  <c r="I288" i="21"/>
  <c r="I289" i="21"/>
  <c r="I290" i="21"/>
  <c r="I291" i="21"/>
  <c r="I292" i="21"/>
  <c r="I293" i="21"/>
  <c r="I294" i="21"/>
  <c r="I295" i="21"/>
  <c r="I296" i="21"/>
  <c r="I297" i="21"/>
  <c r="I298" i="21"/>
  <c r="I299" i="21"/>
  <c r="I300" i="21"/>
  <c r="I301" i="21"/>
  <c r="I302" i="21"/>
  <c r="I303" i="21"/>
  <c r="I304" i="21"/>
  <c r="I305" i="21"/>
  <c r="I306" i="21"/>
  <c r="I307" i="21"/>
  <c r="I308" i="21"/>
  <c r="I309" i="21"/>
  <c r="I310" i="21"/>
  <c r="I311" i="21"/>
  <c r="I312" i="21"/>
  <c r="I313" i="21"/>
  <c r="I314" i="21"/>
  <c r="I315" i="21"/>
  <c r="I316" i="21"/>
  <c r="I317" i="21"/>
  <c r="I318" i="21"/>
  <c r="I319" i="21"/>
  <c r="I320" i="21"/>
  <c r="I321" i="21"/>
  <c r="I322" i="21"/>
  <c r="I323" i="21"/>
  <c r="I324" i="21"/>
  <c r="I325" i="21"/>
  <c r="T259" i="21"/>
  <c r="T263" i="21"/>
  <c r="T267" i="21"/>
  <c r="T271" i="21"/>
  <c r="T275" i="21"/>
  <c r="T279" i="21"/>
  <c r="K282" i="21"/>
  <c r="K284" i="21"/>
  <c r="K286" i="21"/>
  <c r="N287" i="21"/>
  <c r="N288" i="21"/>
  <c r="N289" i="21"/>
  <c r="N290" i="21"/>
  <c r="N291" i="21"/>
  <c r="N292" i="21"/>
  <c r="N293" i="21"/>
  <c r="N294" i="21"/>
  <c r="N295" i="21"/>
  <c r="N296" i="21"/>
  <c r="N297" i="21"/>
  <c r="N298" i="21"/>
  <c r="N299" i="21"/>
  <c r="N300" i="21"/>
  <c r="N301" i="21"/>
  <c r="N302" i="21"/>
  <c r="N303" i="21"/>
  <c r="N304" i="21"/>
  <c r="N305" i="21"/>
  <c r="N306" i="21"/>
  <c r="N307" i="21"/>
  <c r="N308" i="21"/>
  <c r="N309" i="21"/>
  <c r="N310" i="21"/>
  <c r="N311" i="21"/>
  <c r="N312" i="21"/>
  <c r="N313" i="21"/>
  <c r="N314" i="21"/>
  <c r="N315" i="21"/>
  <c r="N316" i="21"/>
  <c r="N317" i="21"/>
  <c r="N318" i="21"/>
  <c r="N319" i="21"/>
  <c r="N320" i="21"/>
  <c r="H262" i="21"/>
  <c r="W262" i="21" s="1"/>
  <c r="H266" i="21"/>
  <c r="W266" i="21" s="1"/>
  <c r="H270" i="21"/>
  <c r="W270" i="21" s="1"/>
  <c r="H274" i="21"/>
  <c r="W274" i="21" s="1"/>
  <c r="H278" i="21"/>
  <c r="W278" i="21" s="1"/>
  <c r="L281" i="21"/>
  <c r="L283" i="21"/>
  <c r="L285"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317" i="21"/>
  <c r="L261" i="21"/>
  <c r="L265" i="21"/>
  <c r="L269" i="21"/>
  <c r="L273" i="21"/>
  <c r="L277" i="21"/>
  <c r="G281" i="21"/>
  <c r="G283" i="21"/>
  <c r="G285" i="21"/>
  <c r="T286" i="21"/>
  <c r="T287" i="21"/>
  <c r="T288" i="21"/>
  <c r="T289" i="21"/>
  <c r="T290" i="21"/>
  <c r="T291" i="21"/>
  <c r="T292" i="21"/>
  <c r="T293" i="21"/>
  <c r="T294" i="21"/>
  <c r="T295" i="21"/>
  <c r="T296" i="21"/>
  <c r="T297" i="21"/>
  <c r="T298" i="21"/>
  <c r="T299" i="21"/>
  <c r="T300" i="21"/>
  <c r="T301" i="21"/>
  <c r="T302" i="21"/>
  <c r="T303" i="21"/>
  <c r="T304" i="21"/>
  <c r="T305" i="21"/>
  <c r="T306" i="21"/>
  <c r="T307" i="21"/>
  <c r="T308" i="21"/>
  <c r="T309" i="21"/>
  <c r="T310" i="21"/>
  <c r="T311" i="21"/>
  <c r="T312" i="21"/>
  <c r="T313" i="21"/>
  <c r="T314" i="21"/>
  <c r="T315" i="21"/>
  <c r="L318" i="21"/>
  <c r="L320" i="21"/>
  <c r="T321" i="21"/>
  <c r="J323" i="21"/>
  <c r="O324" i="21"/>
  <c r="T325" i="21"/>
  <c r="U326" i="21"/>
  <c r="U327" i="21"/>
  <c r="U328" i="21"/>
  <c r="U329" i="21"/>
  <c r="U330" i="21"/>
  <c r="U331" i="21"/>
  <c r="U332" i="21"/>
  <c r="U333" i="21"/>
  <c r="U334" i="21"/>
  <c r="U335" i="21"/>
  <c r="U336" i="21"/>
  <c r="U337" i="21"/>
  <c r="U338" i="21"/>
  <c r="U339" i="21"/>
  <c r="U340" i="21"/>
  <c r="U341" i="21"/>
  <c r="U342" i="21"/>
  <c r="U343" i="21"/>
  <c r="U344" i="21"/>
  <c r="U345" i="21"/>
  <c r="U346" i="21"/>
  <c r="U347" i="21"/>
  <c r="U348" i="21"/>
  <c r="U349" i="21"/>
  <c r="U350" i="21"/>
  <c r="U351" i="21"/>
  <c r="U352" i="21"/>
  <c r="U353" i="21"/>
  <c r="U354" i="21"/>
  <c r="U355" i="21"/>
  <c r="U356" i="21"/>
  <c r="U357" i="21"/>
  <c r="U358" i="21"/>
  <c r="U359" i="21"/>
  <c r="U360" i="21"/>
  <c r="U361" i="21"/>
  <c r="U362" i="21"/>
  <c r="U363" i="21"/>
  <c r="U364" i="21"/>
  <c r="U365" i="21"/>
  <c r="U366" i="21"/>
  <c r="U367" i="21"/>
  <c r="U368" i="21"/>
  <c r="U369" i="21"/>
  <c r="U370" i="21"/>
  <c r="U371" i="21"/>
  <c r="U372" i="21"/>
  <c r="U373" i="21"/>
  <c r="U374" i="21"/>
  <c r="L316" i="21"/>
  <c r="G319" i="21"/>
  <c r="V320" i="21"/>
  <c r="K322" i="21"/>
  <c r="P323" i="21"/>
  <c r="V324" i="21"/>
  <c r="J326" i="21"/>
  <c r="J327" i="21"/>
  <c r="J328" i="21"/>
  <c r="J329" i="21"/>
  <c r="J330" i="21"/>
  <c r="J331" i="21"/>
  <c r="J332" i="21"/>
  <c r="J333" i="21"/>
  <c r="R274" i="21"/>
  <c r="R278" i="21"/>
  <c r="R279" i="21"/>
  <c r="R280" i="21"/>
  <c r="R281" i="21"/>
  <c r="R282" i="21"/>
  <c r="R283" i="21"/>
  <c r="R284" i="21"/>
  <c r="R285" i="21"/>
  <c r="R286" i="21"/>
  <c r="N234" i="21"/>
  <c r="N238" i="21"/>
  <c r="P241" i="21"/>
  <c r="P243" i="21"/>
  <c r="P245" i="21"/>
  <c r="P247" i="21"/>
  <c r="P249" i="21"/>
  <c r="H251" i="21"/>
  <c r="W251" i="21" s="1"/>
  <c r="M252" i="21"/>
  <c r="R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R231" i="21"/>
  <c r="R235" i="21"/>
  <c r="R239" i="21"/>
  <c r="J242" i="21"/>
  <c r="J244" i="21"/>
  <c r="J246" i="21"/>
  <c r="J248" i="21"/>
  <c r="I250" i="21"/>
  <c r="N251" i="21"/>
  <c r="T252" i="21"/>
  <c r="H254" i="21"/>
  <c r="W254" i="21" s="1"/>
  <c r="H255" i="21"/>
  <c r="W255" i="21" s="1"/>
  <c r="H256" i="21"/>
  <c r="W256" i="21" s="1"/>
  <c r="H257" i="21"/>
  <c r="W257" i="21" s="1"/>
  <c r="H258" i="21"/>
  <c r="W258" i="21" s="1"/>
  <c r="H259" i="21"/>
  <c r="W259" i="21" s="1"/>
  <c r="V232" i="21"/>
  <c r="V236" i="21"/>
  <c r="T240" i="21"/>
  <c r="T242" i="21"/>
  <c r="T244" i="21"/>
  <c r="T246" i="21"/>
  <c r="T248" i="21"/>
  <c r="P250" i="21"/>
  <c r="U251" i="21"/>
  <c r="J253" i="21"/>
  <c r="M254" i="21"/>
  <c r="M255" i="21"/>
  <c r="M256" i="21"/>
  <c r="M257" i="21"/>
  <c r="M258" i="21"/>
  <c r="M259" i="21"/>
  <c r="M260" i="21"/>
  <c r="M261" i="21"/>
  <c r="M262" i="21"/>
  <c r="M263" i="21"/>
  <c r="M264" i="21"/>
  <c r="M265" i="21"/>
  <c r="M266" i="21"/>
  <c r="M267" i="21"/>
  <c r="M268" i="21"/>
  <c r="M269" i="21"/>
  <c r="M270" i="21"/>
  <c r="M271" i="21"/>
  <c r="M272" i="21"/>
  <c r="M273" i="21"/>
  <c r="M274" i="21"/>
  <c r="M275" i="21"/>
  <c r="M276" i="21"/>
  <c r="M277" i="21"/>
  <c r="M278" i="21"/>
  <c r="M279" i="21"/>
  <c r="M280" i="21"/>
  <c r="M281" i="21"/>
  <c r="M282" i="21"/>
  <c r="M283" i="21"/>
  <c r="M284" i="21"/>
  <c r="M285" i="21"/>
  <c r="M286" i="21"/>
  <c r="P263" i="21"/>
  <c r="P267" i="21"/>
  <c r="P271" i="21"/>
  <c r="P275" i="21"/>
  <c r="P279" i="21"/>
  <c r="H282" i="21"/>
  <c r="W282" i="21" s="1"/>
  <c r="H284" i="21"/>
  <c r="W284" i="21" s="1"/>
  <c r="H286" i="21"/>
  <c r="W286" i="21" s="1"/>
  <c r="M287" i="21"/>
  <c r="M288" i="21"/>
  <c r="M289" i="21"/>
  <c r="M290" i="21"/>
  <c r="M291" i="21"/>
  <c r="M292" i="21"/>
  <c r="M293" i="21"/>
  <c r="M294" i="21"/>
  <c r="M295" i="21"/>
  <c r="M296" i="21"/>
  <c r="M297" i="21"/>
  <c r="M298" i="21"/>
  <c r="M299" i="21"/>
  <c r="M300" i="21"/>
  <c r="M301" i="21"/>
  <c r="M302" i="21"/>
  <c r="M303" i="21"/>
  <c r="M304" i="21"/>
  <c r="M305" i="21"/>
  <c r="M306" i="21"/>
  <c r="M307" i="21"/>
  <c r="M308" i="21"/>
  <c r="M309" i="21"/>
  <c r="M310" i="21"/>
  <c r="M311" i="21"/>
  <c r="M312" i="21"/>
  <c r="M313" i="21"/>
  <c r="M314" i="21"/>
  <c r="M315" i="21"/>
  <c r="M316" i="21"/>
  <c r="M317" i="21"/>
  <c r="M318" i="21"/>
  <c r="M319" i="21"/>
  <c r="M320" i="21"/>
  <c r="M321" i="21"/>
  <c r="M322" i="21"/>
  <c r="M323" i="21"/>
  <c r="M324" i="21"/>
  <c r="M325" i="21"/>
  <c r="T260" i="21"/>
  <c r="T264" i="21"/>
  <c r="T268" i="21"/>
  <c r="T272" i="21"/>
  <c r="T276" i="21"/>
  <c r="S280" i="21"/>
  <c r="S282" i="21"/>
  <c r="S284" i="21"/>
  <c r="Q286" i="21"/>
  <c r="R287" i="21"/>
  <c r="R288" i="21"/>
  <c r="R289" i="21"/>
  <c r="R290" i="21"/>
  <c r="R291" i="21"/>
  <c r="R292" i="21"/>
  <c r="R293" i="21"/>
  <c r="R294" i="21"/>
  <c r="R295" i="21"/>
  <c r="R296" i="21"/>
  <c r="R297" i="21"/>
  <c r="R298" i="21"/>
  <c r="R299" i="21"/>
  <c r="R300" i="21"/>
  <c r="R301" i="21"/>
  <c r="R302" i="21"/>
  <c r="R303" i="21"/>
  <c r="R304" i="21"/>
  <c r="R305" i="21"/>
  <c r="R306" i="21"/>
  <c r="R307" i="21"/>
  <c r="R308" i="21"/>
  <c r="R309" i="21"/>
  <c r="R310" i="21"/>
  <c r="R311" i="21"/>
  <c r="R312" i="21"/>
  <c r="R313" i="21"/>
  <c r="R314" i="21"/>
  <c r="R315" i="21"/>
  <c r="R316" i="21"/>
  <c r="R317" i="21"/>
  <c r="R318" i="21"/>
  <c r="R319" i="21"/>
  <c r="R320" i="21"/>
  <c r="H263" i="21"/>
  <c r="W263" i="21" s="1"/>
  <c r="H267" i="21"/>
  <c r="W267" i="21" s="1"/>
  <c r="H271" i="21"/>
  <c r="W271" i="21" s="1"/>
  <c r="H275" i="21"/>
  <c r="W275" i="21" s="1"/>
  <c r="H279" i="21"/>
  <c r="W279" i="21" s="1"/>
  <c r="T281" i="21"/>
  <c r="T283" i="21"/>
  <c r="T285" i="21"/>
  <c r="K287" i="21"/>
  <c r="K288" i="21"/>
  <c r="K289" i="21"/>
  <c r="K290" i="21"/>
  <c r="K291" i="21"/>
  <c r="K292" i="21"/>
  <c r="K293" i="21"/>
  <c r="K294" i="21"/>
  <c r="K295" i="21"/>
  <c r="K296" i="21"/>
  <c r="K297" i="21"/>
  <c r="K298" i="21"/>
  <c r="K299" i="21"/>
  <c r="K300" i="21"/>
  <c r="K301" i="21"/>
  <c r="K302" i="21"/>
  <c r="K303" i="21"/>
  <c r="K304" i="21"/>
  <c r="K305" i="21"/>
  <c r="K306" i="21"/>
  <c r="K307" i="21"/>
  <c r="K308" i="21"/>
  <c r="K309" i="21"/>
  <c r="K310" i="21"/>
  <c r="K311" i="21"/>
  <c r="K312" i="21"/>
  <c r="K313" i="21"/>
  <c r="K314" i="21"/>
  <c r="K315" i="21"/>
  <c r="K316" i="21"/>
  <c r="K317" i="21"/>
  <c r="L262" i="21"/>
  <c r="L266" i="21"/>
  <c r="L270" i="21"/>
  <c r="L274" i="21"/>
  <c r="L278" i="21"/>
  <c r="O281" i="21"/>
  <c r="O283" i="21"/>
  <c r="O285" i="21"/>
  <c r="H287" i="21"/>
  <c r="W287" i="21" s="1"/>
  <c r="H288" i="21"/>
  <c r="W288" i="21" s="1"/>
  <c r="H289" i="21"/>
  <c r="W289" i="21" s="1"/>
  <c r="H290" i="21"/>
  <c r="W290" i="21" s="1"/>
  <c r="H291" i="21"/>
  <c r="W291" i="21" s="1"/>
  <c r="H292" i="21"/>
  <c r="W292" i="21" s="1"/>
  <c r="H293" i="21"/>
  <c r="W293" i="21" s="1"/>
  <c r="H294" i="21"/>
  <c r="W294" i="21" s="1"/>
  <c r="H295" i="21"/>
  <c r="W295" i="21" s="1"/>
  <c r="H296" i="21"/>
  <c r="W296" i="21" s="1"/>
  <c r="H297" i="21"/>
  <c r="W297" i="21" s="1"/>
  <c r="H298" i="21"/>
  <c r="W298" i="21" s="1"/>
  <c r="H299" i="21"/>
  <c r="W299" i="21" s="1"/>
  <c r="H300" i="21"/>
  <c r="W300" i="21" s="1"/>
  <c r="H301" i="21"/>
  <c r="W301" i="21" s="1"/>
  <c r="H302" i="21"/>
  <c r="W302" i="21" s="1"/>
  <c r="H303" i="21"/>
  <c r="W303" i="21" s="1"/>
  <c r="H304" i="21"/>
  <c r="W304" i="21" s="1"/>
  <c r="H305" i="21"/>
  <c r="W305" i="21" s="1"/>
  <c r="H306" i="21"/>
  <c r="W306" i="21" s="1"/>
  <c r="H307" i="21"/>
  <c r="W307" i="21" s="1"/>
  <c r="H308" i="21"/>
  <c r="W308" i="21" s="1"/>
  <c r="H309" i="21"/>
  <c r="W309" i="21" s="1"/>
  <c r="H310" i="21"/>
  <c r="W310" i="21" s="1"/>
  <c r="H311" i="21"/>
  <c r="W311" i="21" s="1"/>
  <c r="H312" i="21"/>
  <c r="W312" i="21" s="1"/>
  <c r="H313" i="21"/>
  <c r="W313" i="21" s="1"/>
  <c r="H314" i="21"/>
  <c r="W314" i="21" s="1"/>
  <c r="H315" i="21"/>
  <c r="W315" i="21" s="1"/>
  <c r="H316" i="21"/>
  <c r="W316" i="21" s="1"/>
  <c r="T318" i="21"/>
  <c r="T320" i="21"/>
  <c r="J322" i="21"/>
  <c r="O323" i="21"/>
  <c r="T324" i="21"/>
  <c r="I326" i="21"/>
  <c r="I327" i="21"/>
  <c r="I328" i="21"/>
  <c r="I329" i="21"/>
  <c r="I330" i="21"/>
  <c r="I331" i="21"/>
  <c r="I332" i="21"/>
  <c r="I333" i="21"/>
  <c r="I334" i="21"/>
  <c r="I335" i="21"/>
  <c r="I336" i="21"/>
  <c r="I337" i="21"/>
  <c r="I338" i="21"/>
  <c r="I339" i="21"/>
  <c r="I340" i="21"/>
  <c r="I341" i="21"/>
  <c r="I342" i="21"/>
  <c r="I343" i="21"/>
  <c r="I344" i="21"/>
  <c r="I345" i="21"/>
  <c r="I346" i="21"/>
  <c r="I347" i="21"/>
  <c r="I348" i="21"/>
  <c r="I349" i="21"/>
  <c r="I350" i="21"/>
  <c r="I351" i="21"/>
  <c r="I352" i="21"/>
  <c r="I353" i="21"/>
  <c r="I354" i="21"/>
  <c r="I355" i="21"/>
  <c r="I356" i="21"/>
  <c r="I357" i="21"/>
  <c r="I358" i="21"/>
  <c r="I359" i="21"/>
  <c r="I360" i="21"/>
  <c r="I361" i="21"/>
  <c r="I362" i="21"/>
  <c r="I363" i="21"/>
  <c r="I364" i="21"/>
  <c r="I365" i="21"/>
  <c r="I366" i="21"/>
  <c r="I367" i="21"/>
  <c r="I368" i="21"/>
  <c r="I369" i="21"/>
  <c r="I370" i="21"/>
  <c r="I371" i="21"/>
  <c r="I372" i="21"/>
  <c r="I373" i="21"/>
  <c r="I374" i="21"/>
  <c r="I375" i="21"/>
  <c r="L317" i="21"/>
  <c r="O319" i="21"/>
  <c r="K321" i="21"/>
  <c r="P322" i="21"/>
  <c r="V323" i="21"/>
  <c r="K325" i="21"/>
  <c r="N326" i="21"/>
  <c r="N327" i="21"/>
  <c r="N328" i="21"/>
  <c r="N329" i="21"/>
  <c r="N330" i="21"/>
  <c r="N331" i="21"/>
  <c r="N332" i="21"/>
  <c r="N333" i="21"/>
  <c r="R275" i="21"/>
  <c r="V278" i="21"/>
  <c r="V279" i="21"/>
  <c r="V280" i="21"/>
  <c r="V281" i="21"/>
  <c r="V282" i="21"/>
  <c r="V283" i="21"/>
  <c r="V284" i="21"/>
  <c r="V285" i="21"/>
  <c r="N231" i="21"/>
  <c r="N235" i="21"/>
  <c r="N239" i="21"/>
  <c r="H242" i="21"/>
  <c r="W242" i="21" s="1"/>
  <c r="H244" i="21"/>
  <c r="W244" i="21" s="1"/>
  <c r="H246" i="21"/>
  <c r="W246" i="21" s="1"/>
  <c r="H248" i="21"/>
  <c r="W248" i="21" s="1"/>
  <c r="H250" i="21"/>
  <c r="W250" i="21" s="1"/>
  <c r="M251" i="21"/>
  <c r="R252"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R232" i="21"/>
  <c r="R236" i="21"/>
  <c r="R240" i="21"/>
  <c r="R242" i="21"/>
  <c r="R244" i="21"/>
  <c r="R246" i="21"/>
  <c r="R248" i="21"/>
  <c r="N250" i="21"/>
  <c r="T251" i="21"/>
  <c r="I253" i="21"/>
  <c r="L254" i="21"/>
  <c r="L255" i="21"/>
  <c r="L256" i="21"/>
  <c r="L257" i="21"/>
  <c r="L258" i="21"/>
  <c r="L259" i="21"/>
  <c r="V233" i="21"/>
  <c r="V237" i="21"/>
  <c r="L241" i="21"/>
  <c r="L243" i="21"/>
  <c r="L245" i="21"/>
  <c r="L247" i="21"/>
  <c r="L249" i="21"/>
  <c r="U250" i="21"/>
  <c r="J252" i="21"/>
  <c r="P253" i="21"/>
  <c r="Q254" i="21"/>
  <c r="Q255" i="21"/>
  <c r="Q256" i="21"/>
  <c r="Q257" i="21"/>
  <c r="Q258" i="21"/>
  <c r="Q259" i="21"/>
  <c r="Q260" i="21"/>
  <c r="Q261" i="21"/>
  <c r="Q262" i="21"/>
  <c r="Q263" i="21"/>
  <c r="Q264" i="21"/>
  <c r="Q265" i="21"/>
  <c r="Q266" i="21"/>
  <c r="Q267" i="21"/>
  <c r="Q268" i="21"/>
  <c r="Q269" i="21"/>
  <c r="Q270" i="21"/>
  <c r="Q271" i="21"/>
  <c r="Q272" i="21"/>
  <c r="Q273" i="21"/>
  <c r="Q274" i="21"/>
  <c r="Q275" i="21"/>
  <c r="Q276" i="21"/>
  <c r="Q277" i="21"/>
  <c r="Q278" i="21"/>
  <c r="Q279" i="21"/>
  <c r="Q280" i="21"/>
  <c r="Q281" i="21"/>
  <c r="Q282" i="21"/>
  <c r="Q283" i="21"/>
  <c r="Q284" i="21"/>
  <c r="Q285" i="21"/>
  <c r="P260" i="21"/>
  <c r="P264" i="21"/>
  <c r="P268" i="21"/>
  <c r="P272" i="21"/>
  <c r="P276" i="21"/>
  <c r="P280" i="21"/>
  <c r="P282" i="21"/>
  <c r="P284" i="21"/>
  <c r="P286" i="21"/>
  <c r="Q287" i="21"/>
  <c r="Q288" i="21"/>
  <c r="Q289" i="21"/>
  <c r="Q290" i="21"/>
  <c r="Q291" i="21"/>
  <c r="Q292" i="21"/>
  <c r="Q293" i="21"/>
  <c r="Q294" i="21"/>
  <c r="Q295" i="21"/>
  <c r="Q296" i="21"/>
  <c r="Q297" i="21"/>
  <c r="Q298" i="21"/>
  <c r="Q299" i="21"/>
  <c r="Q300" i="21"/>
  <c r="Q301" i="21"/>
  <c r="Q302" i="21"/>
  <c r="Q303" i="21"/>
  <c r="Q304" i="21"/>
  <c r="Q305" i="21"/>
  <c r="Q306" i="21"/>
  <c r="Q307" i="21"/>
  <c r="Q308" i="21"/>
  <c r="Q309" i="21"/>
  <c r="Q310" i="21"/>
  <c r="Q311" i="21"/>
  <c r="Q312" i="21"/>
  <c r="Q313" i="21"/>
  <c r="Q314" i="21"/>
  <c r="Q315" i="21"/>
  <c r="Q316" i="21"/>
  <c r="Q317" i="21"/>
  <c r="Q318" i="21"/>
  <c r="Q319" i="21"/>
  <c r="Q320" i="21"/>
  <c r="Q321" i="21"/>
  <c r="Q322" i="21"/>
  <c r="Q323" i="21"/>
  <c r="Q324" i="21"/>
  <c r="Q325" i="21"/>
  <c r="T261" i="21"/>
  <c r="T265" i="21"/>
  <c r="T269" i="21"/>
  <c r="T273" i="21"/>
  <c r="T277" i="21"/>
  <c r="K281" i="21"/>
  <c r="K283" i="21"/>
  <c r="K285" i="21"/>
  <c r="V286" i="21"/>
  <c r="V287" i="21"/>
  <c r="V288" i="21"/>
  <c r="V289" i="21"/>
  <c r="V290" i="21"/>
  <c r="V291" i="21"/>
  <c r="V292" i="21"/>
  <c r="V293" i="21"/>
  <c r="V294" i="21"/>
  <c r="V295" i="21"/>
  <c r="V296" i="21"/>
  <c r="V297" i="21"/>
  <c r="V298" i="21"/>
  <c r="V299" i="21"/>
  <c r="V300" i="21"/>
  <c r="V301" i="21"/>
  <c r="V302" i="21"/>
  <c r="V303" i="21"/>
  <c r="V304" i="21"/>
  <c r="V305" i="21"/>
  <c r="V306" i="21"/>
  <c r="V307" i="21"/>
  <c r="V308" i="21"/>
  <c r="V309" i="21"/>
  <c r="V310" i="21"/>
  <c r="V311" i="21"/>
  <c r="V312" i="21"/>
  <c r="V313" i="21"/>
  <c r="V314" i="21"/>
  <c r="V315" i="21"/>
  <c r="V316" i="21"/>
  <c r="V317" i="21"/>
  <c r="V318" i="21"/>
  <c r="V319" i="21"/>
  <c r="H260" i="21"/>
  <c r="W260" i="21" s="1"/>
  <c r="H264" i="21"/>
  <c r="W264" i="21" s="1"/>
  <c r="H268" i="21"/>
  <c r="W268" i="21" s="1"/>
  <c r="H272" i="21"/>
  <c r="W272" i="21" s="1"/>
  <c r="H276" i="21"/>
  <c r="W276" i="21" s="1"/>
  <c r="H280" i="21"/>
  <c r="W280" i="21" s="1"/>
  <c r="L282" i="21"/>
  <c r="L284" i="21"/>
  <c r="L286" i="21"/>
  <c r="O287" i="21"/>
  <c r="O288" i="21"/>
  <c r="O289" i="21"/>
  <c r="O290" i="21"/>
  <c r="O291" i="21"/>
  <c r="O292" i="21"/>
  <c r="O293" i="21"/>
  <c r="O294" i="21"/>
  <c r="O295" i="21"/>
  <c r="O296" i="21"/>
  <c r="O297" i="21"/>
  <c r="O298" i="21"/>
  <c r="O299" i="21"/>
  <c r="O300" i="21"/>
  <c r="O301" i="21"/>
  <c r="O302" i="21"/>
  <c r="O303" i="21"/>
  <c r="O304" i="21"/>
  <c r="O305" i="21"/>
  <c r="O306" i="21"/>
  <c r="O307" i="21"/>
  <c r="O308" i="21"/>
  <c r="O309" i="21"/>
  <c r="O310" i="21"/>
  <c r="O311" i="21"/>
  <c r="O312" i="21"/>
  <c r="O313" i="21"/>
  <c r="O314" i="21"/>
  <c r="O315" i="21"/>
  <c r="O316" i="21"/>
  <c r="O317" i="21"/>
  <c r="L263" i="21"/>
  <c r="L267" i="21"/>
  <c r="L271" i="21"/>
  <c r="L275" i="21"/>
  <c r="L279" i="21"/>
  <c r="G282" i="21"/>
  <c r="G284" i="21"/>
  <c r="G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314" i="21"/>
  <c r="L315" i="21"/>
  <c r="H317" i="21"/>
  <c r="W317" i="21" s="1"/>
  <c r="L319" i="21"/>
  <c r="J321" i="21"/>
  <c r="O322" i="21"/>
  <c r="T323" i="21"/>
  <c r="J325" i="21"/>
  <c r="M326" i="21"/>
  <c r="M327" i="21"/>
  <c r="M328" i="21"/>
  <c r="M329" i="21"/>
  <c r="M330" i="21"/>
  <c r="M331" i="21"/>
  <c r="M332" i="21"/>
  <c r="M333" i="21"/>
  <c r="M334" i="21"/>
  <c r="M335" i="21"/>
  <c r="M336" i="21"/>
  <c r="M337" i="21"/>
  <c r="M338" i="21"/>
  <c r="M339" i="21"/>
  <c r="M340" i="21"/>
  <c r="M341" i="21"/>
  <c r="M342" i="21"/>
  <c r="M343" i="21"/>
  <c r="M344" i="21"/>
  <c r="M345" i="21"/>
  <c r="M346" i="21"/>
  <c r="M347"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G318" i="21"/>
  <c r="G320" i="21"/>
  <c r="P321" i="21"/>
  <c r="V322" i="21"/>
  <c r="K324" i="21"/>
  <c r="P325" i="21"/>
  <c r="R326" i="21"/>
  <c r="R327" i="21"/>
  <c r="R328" i="21"/>
  <c r="R329" i="21"/>
  <c r="R330" i="21"/>
  <c r="R331" i="21"/>
  <c r="R332" i="21"/>
  <c r="R333" i="21"/>
  <c r="R276" i="21"/>
  <c r="J279" i="21"/>
  <c r="J280" i="21"/>
  <c r="J281" i="21"/>
  <c r="J282" i="21"/>
  <c r="J283" i="21"/>
  <c r="J284" i="21"/>
  <c r="J285" i="21"/>
  <c r="J286" i="21"/>
  <c r="N232" i="21"/>
  <c r="N236" i="21"/>
  <c r="N240" i="21"/>
  <c r="P242" i="21"/>
  <c r="P244" i="21"/>
  <c r="P246" i="21"/>
  <c r="P248" i="21"/>
  <c r="M250" i="21"/>
  <c r="R251" i="21"/>
  <c r="H253" i="21"/>
  <c r="W253" i="21" s="1"/>
  <c r="K254" i="21"/>
  <c r="K255" i="21"/>
  <c r="K256" i="21"/>
  <c r="K257" i="21"/>
  <c r="K258" i="21"/>
  <c r="K259" i="21"/>
  <c r="K260" i="21"/>
  <c r="K261" i="21"/>
  <c r="K262" i="21"/>
  <c r="K263" i="21"/>
  <c r="K264" i="21"/>
  <c r="K265" i="21"/>
  <c r="K266" i="21"/>
  <c r="K267" i="21"/>
  <c r="K268" i="21"/>
  <c r="K269" i="21"/>
  <c r="K270" i="21"/>
  <c r="K271" i="21"/>
  <c r="K272" i="21"/>
  <c r="K273" i="21"/>
  <c r="K274" i="21"/>
  <c r="K275" i="21"/>
  <c r="K276" i="21"/>
  <c r="K277" i="21"/>
  <c r="K278" i="21"/>
  <c r="K279" i="21"/>
  <c r="K280" i="21"/>
  <c r="R233" i="21"/>
  <c r="R237" i="21"/>
  <c r="J241" i="21"/>
  <c r="J243" i="21"/>
  <c r="J245" i="21"/>
  <c r="J247" i="21"/>
  <c r="J249" i="21"/>
  <c r="T250" i="21"/>
  <c r="I252" i="21"/>
  <c r="N253" i="21"/>
  <c r="P254" i="21"/>
  <c r="P255" i="21"/>
  <c r="P256" i="21"/>
  <c r="P257" i="21"/>
  <c r="P258" i="21"/>
  <c r="P259" i="21"/>
  <c r="V234" i="21"/>
  <c r="V238" i="21"/>
  <c r="T241" i="21"/>
  <c r="T243" i="21"/>
  <c r="T245" i="21"/>
  <c r="T247" i="21"/>
  <c r="T249" i="21"/>
  <c r="J251" i="21"/>
  <c r="P252" i="21"/>
  <c r="U253" i="21"/>
  <c r="U254" i="21"/>
  <c r="U255" i="21"/>
  <c r="U256" i="21"/>
  <c r="U257" i="21"/>
  <c r="U258" i="21"/>
  <c r="U259" i="21"/>
  <c r="U260" i="21"/>
  <c r="U261" i="21"/>
  <c r="U262" i="21"/>
  <c r="U263" i="21"/>
  <c r="U264" i="21"/>
  <c r="U265" i="21"/>
  <c r="U266" i="21"/>
  <c r="U267" i="21"/>
  <c r="U268" i="21"/>
  <c r="U269" i="21"/>
  <c r="U270" i="21"/>
  <c r="U271" i="21"/>
  <c r="U272" i="21"/>
  <c r="U273" i="21"/>
  <c r="U274" i="21"/>
  <c r="U275" i="21"/>
  <c r="U276" i="21"/>
  <c r="U277" i="21"/>
  <c r="U278" i="21"/>
  <c r="U279" i="21"/>
  <c r="U280" i="21"/>
  <c r="U281" i="21"/>
  <c r="U282" i="21"/>
  <c r="U283" i="21"/>
  <c r="U284" i="21"/>
  <c r="U285" i="21"/>
  <c r="P261" i="21"/>
  <c r="P265" i="21"/>
  <c r="P269" i="21"/>
  <c r="P273" i="21"/>
  <c r="P277" i="21"/>
  <c r="H281" i="21"/>
  <c r="W281" i="21" s="1"/>
  <c r="H283" i="21"/>
  <c r="W283" i="21" s="1"/>
  <c r="H285" i="21"/>
  <c r="W285" i="21" s="1"/>
  <c r="U286" i="21"/>
  <c r="U287" i="21"/>
  <c r="U288" i="21"/>
  <c r="U289" i="21"/>
  <c r="U290" i="21"/>
  <c r="U291" i="21"/>
  <c r="U292" i="21"/>
  <c r="U293" i="21"/>
  <c r="U294" i="21"/>
  <c r="U295" i="21"/>
  <c r="U296" i="21"/>
  <c r="U297" i="21"/>
  <c r="U298" i="21"/>
  <c r="U299" i="21"/>
  <c r="U300" i="21"/>
  <c r="U301" i="21"/>
  <c r="U302" i="21"/>
  <c r="U303" i="21"/>
  <c r="U304" i="21"/>
  <c r="U305" i="21"/>
  <c r="U306" i="21"/>
  <c r="U307" i="21"/>
  <c r="U308" i="21"/>
  <c r="U309" i="21"/>
  <c r="U310" i="21"/>
  <c r="U311" i="21"/>
  <c r="U312" i="21"/>
  <c r="U313" i="21"/>
  <c r="U314" i="21"/>
  <c r="U315" i="21"/>
  <c r="U316" i="21"/>
  <c r="U317" i="21"/>
  <c r="U318" i="21"/>
  <c r="U319" i="21"/>
  <c r="U320" i="21"/>
  <c r="U321" i="21"/>
  <c r="U322" i="21"/>
  <c r="U323" i="21"/>
  <c r="U324" i="21"/>
  <c r="U325" i="21"/>
  <c r="T262" i="21"/>
  <c r="T266" i="21"/>
  <c r="T270" i="21"/>
  <c r="T274" i="21"/>
  <c r="T278" i="21"/>
  <c r="S281" i="21"/>
  <c r="S283" i="21"/>
  <c r="S285" i="21"/>
  <c r="J287" i="21"/>
  <c r="J288" i="21"/>
  <c r="J289" i="21"/>
  <c r="J290" i="21"/>
  <c r="J291" i="21"/>
  <c r="J292" i="21"/>
  <c r="J293" i="21"/>
  <c r="J294" i="21"/>
  <c r="J295" i="21"/>
  <c r="J296" i="21"/>
  <c r="J297" i="21"/>
  <c r="J298" i="21"/>
  <c r="J299" i="21"/>
  <c r="J300" i="21"/>
  <c r="J301" i="21"/>
  <c r="J302" i="21"/>
  <c r="J303" i="21"/>
  <c r="J304" i="21"/>
  <c r="J305" i="21"/>
  <c r="J306" i="21"/>
  <c r="J307" i="21"/>
  <c r="J308" i="21"/>
  <c r="J309" i="21"/>
  <c r="J310" i="21"/>
  <c r="J311" i="21"/>
  <c r="J312" i="21"/>
  <c r="J313" i="21"/>
  <c r="J314" i="21"/>
  <c r="J315" i="21"/>
  <c r="J316" i="21"/>
  <c r="J317" i="21"/>
  <c r="J318" i="21"/>
  <c r="J319" i="21"/>
  <c r="J320" i="21"/>
  <c r="H261" i="21"/>
  <c r="W261" i="21" s="1"/>
  <c r="H265" i="21"/>
  <c r="W265" i="21" s="1"/>
  <c r="H269" i="21"/>
  <c r="W269" i="21" s="1"/>
  <c r="H273" i="21"/>
  <c r="W273" i="21" s="1"/>
  <c r="H277" i="21"/>
  <c r="W277" i="21" s="1"/>
  <c r="T280" i="21"/>
  <c r="T282" i="21"/>
  <c r="T284"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L260" i="21"/>
  <c r="L264" i="21"/>
  <c r="L268" i="21"/>
  <c r="L272" i="21"/>
  <c r="L276" i="21"/>
  <c r="L280" i="21"/>
  <c r="O282" i="21"/>
  <c r="O284" i="21"/>
  <c r="O286" i="21"/>
  <c r="P287" i="21"/>
  <c r="P288" i="21"/>
  <c r="P289" i="21"/>
  <c r="P290" i="21"/>
  <c r="P291" i="21"/>
  <c r="P292" i="21"/>
  <c r="P293" i="21"/>
  <c r="P294" i="21"/>
  <c r="P295" i="21"/>
  <c r="P296" i="21"/>
  <c r="P297" i="21"/>
  <c r="P298" i="21"/>
  <c r="P299" i="21"/>
  <c r="P300" i="21"/>
  <c r="P301" i="21"/>
  <c r="P302" i="21"/>
  <c r="P303" i="21"/>
  <c r="P304" i="21"/>
  <c r="P305" i="21"/>
  <c r="P306" i="21"/>
  <c r="P307" i="21"/>
  <c r="P308" i="21"/>
  <c r="P309" i="21"/>
  <c r="P310" i="21"/>
  <c r="P311" i="21"/>
  <c r="P312" i="21"/>
  <c r="P313" i="21"/>
  <c r="P314" i="21"/>
  <c r="P315" i="21"/>
  <c r="T317" i="21"/>
  <c r="T319" i="21"/>
  <c r="O321" i="21"/>
  <c r="T322" i="21"/>
  <c r="J324" i="21"/>
  <c r="O325" i="21"/>
  <c r="Q326" i="21"/>
  <c r="Q327" i="21"/>
  <c r="Q328" i="21"/>
  <c r="Q329" i="21"/>
  <c r="Q330" i="21"/>
  <c r="Q331" i="21"/>
  <c r="Q332" i="21"/>
  <c r="Q333" i="21"/>
  <c r="Q334" i="21"/>
  <c r="Q335" i="21"/>
  <c r="Q336" i="21"/>
  <c r="Q337" i="21"/>
  <c r="Q338" i="21"/>
  <c r="Q339" i="21"/>
  <c r="Q340" i="21"/>
  <c r="Q341" i="21"/>
  <c r="Q342" i="21"/>
  <c r="Q343" i="21"/>
  <c r="Q344" i="21"/>
  <c r="Q345" i="21"/>
  <c r="Q346" i="21"/>
  <c r="Q347" i="21"/>
  <c r="Q348" i="21"/>
  <c r="Q349" i="21"/>
  <c r="Q350" i="21"/>
  <c r="Q351" i="21"/>
  <c r="Q352" i="21"/>
  <c r="Q353" i="21"/>
  <c r="Q354" i="21"/>
  <c r="Q355" i="21"/>
  <c r="Q356" i="21"/>
  <c r="Q357" i="21"/>
  <c r="Q358" i="21"/>
  <c r="Q359" i="21"/>
  <c r="Q360" i="21"/>
  <c r="Q361" i="21"/>
  <c r="Q362" i="21"/>
  <c r="Q363" i="21"/>
  <c r="Q364" i="21"/>
  <c r="Q365" i="21"/>
  <c r="Q366" i="21"/>
  <c r="Q367" i="21"/>
  <c r="Q368" i="21"/>
  <c r="Q369" i="21"/>
  <c r="Q370" i="21"/>
  <c r="Q371" i="21"/>
  <c r="Q372" i="21"/>
  <c r="Q373" i="21"/>
  <c r="Q374" i="21"/>
  <c r="Q375" i="21"/>
  <c r="O318" i="21"/>
  <c r="O320" i="21"/>
  <c r="V321" i="21"/>
  <c r="K323" i="21"/>
  <c r="P324" i="21"/>
  <c r="V325" i="21"/>
  <c r="V326" i="21"/>
  <c r="V327" i="21"/>
  <c r="V328" i="21"/>
  <c r="V329" i="21"/>
  <c r="V330" i="21"/>
  <c r="V331" i="21"/>
  <c r="V332" i="21"/>
  <c r="L218" i="21"/>
  <c r="Q398" i="21"/>
  <c r="Q394" i="21"/>
  <c r="U390" i="21"/>
  <c r="Q386" i="21"/>
  <c r="Q382" i="21"/>
  <c r="U378" i="21"/>
  <c r="P374" i="21"/>
  <c r="G371" i="21"/>
  <c r="O367" i="21"/>
  <c r="O365" i="21"/>
  <c r="O363" i="21"/>
  <c r="L360" i="21"/>
  <c r="M401" i="21"/>
  <c r="M397" i="21"/>
  <c r="I393" i="21"/>
  <c r="I389" i="21"/>
  <c r="I385" i="21"/>
  <c r="U380" i="21"/>
  <c r="Q376" i="21"/>
  <c r="O369" i="21"/>
  <c r="T399" i="21"/>
  <c r="P396" i="21"/>
  <c r="T393" i="21"/>
  <c r="P392" i="21"/>
  <c r="P391" i="21"/>
  <c r="P390" i="21"/>
  <c r="P389" i="21"/>
  <c r="P388" i="21"/>
  <c r="P387" i="21"/>
  <c r="P386" i="21"/>
  <c r="P385" i="21"/>
  <c r="P384" i="21"/>
  <c r="P383" i="21"/>
  <c r="P382" i="21"/>
  <c r="P381" i="21"/>
  <c r="P380" i="21"/>
  <c r="P379" i="21"/>
  <c r="P378" i="21"/>
  <c r="P377" i="21"/>
  <c r="P376" i="21"/>
  <c r="O375" i="21"/>
  <c r="J374" i="21"/>
  <c r="T372" i="21"/>
  <c r="T370" i="21"/>
  <c r="T368" i="21"/>
  <c r="T366" i="21"/>
  <c r="T364" i="21"/>
  <c r="T362" i="21"/>
  <c r="H359" i="21"/>
  <c r="W359" i="21" s="1"/>
  <c r="U400" i="21"/>
  <c r="U396" i="21"/>
  <c r="U392" i="21"/>
  <c r="M388" i="21"/>
  <c r="Q384" i="21"/>
  <c r="M380" i="21"/>
  <c r="I376" i="21"/>
  <c r="M218" i="21"/>
  <c r="L399" i="21"/>
  <c r="H396" i="21"/>
  <c r="W396" i="21" s="1"/>
  <c r="V218" i="21"/>
  <c r="K400" i="21"/>
  <c r="K399" i="21"/>
  <c r="K398" i="21"/>
  <c r="K397" i="21"/>
  <c r="K396" i="21"/>
  <c r="K395" i="21"/>
  <c r="K394" i="21"/>
  <c r="K393" i="21"/>
  <c r="K392" i="21"/>
  <c r="K391" i="21"/>
  <c r="K390" i="21"/>
  <c r="K389" i="21"/>
  <c r="K388" i="21"/>
  <c r="K387" i="21"/>
  <c r="K386" i="21"/>
  <c r="K385" i="21"/>
  <c r="K384" i="21"/>
  <c r="K383" i="21"/>
  <c r="K382" i="21"/>
  <c r="K381" i="21"/>
  <c r="K380" i="21"/>
  <c r="K379" i="21"/>
  <c r="K378" i="21"/>
  <c r="K377" i="21"/>
  <c r="K376" i="21"/>
  <c r="H375" i="21"/>
  <c r="W375" i="21" s="1"/>
  <c r="S373" i="21"/>
  <c r="K372" i="21"/>
  <c r="K370" i="21"/>
  <c r="K368" i="21"/>
  <c r="K366" i="21"/>
  <c r="K364" i="21"/>
  <c r="T361" i="21"/>
  <c r="T357" i="21"/>
  <c r="I399" i="21"/>
  <c r="I395" i="21"/>
  <c r="M391" i="21"/>
  <c r="U387" i="21"/>
  <c r="U383" i="21"/>
  <c r="I380" i="21"/>
  <c r="M376" i="21"/>
  <c r="O370" i="21"/>
  <c r="H401" i="21"/>
  <c r="W401" i="21" s="1"/>
  <c r="L398" i="21"/>
  <c r="P395" i="21"/>
  <c r="N218" i="21"/>
  <c r="S400" i="21"/>
  <c r="S218" i="21"/>
  <c r="J401" i="21"/>
  <c r="J400" i="21"/>
  <c r="J399" i="21"/>
  <c r="J398" i="21"/>
  <c r="J397" i="21"/>
  <c r="J396" i="21"/>
  <c r="J395" i="21"/>
  <c r="J394" i="21"/>
  <c r="J393" i="21"/>
  <c r="J392" i="21"/>
  <c r="J391" i="21"/>
  <c r="J390" i="21"/>
  <c r="J389" i="21"/>
  <c r="J388" i="21"/>
  <c r="J387" i="21"/>
  <c r="J386" i="21"/>
  <c r="J385" i="21"/>
  <c r="J384" i="21"/>
  <c r="J383" i="21"/>
  <c r="J382" i="21"/>
  <c r="J381" i="21"/>
  <c r="J380" i="21"/>
  <c r="J379" i="21"/>
  <c r="J378" i="21"/>
  <c r="J377" i="21"/>
  <c r="J376" i="21"/>
  <c r="G375" i="21"/>
  <c r="R373" i="21"/>
  <c r="H372" i="21"/>
  <c r="W372" i="21" s="1"/>
  <c r="H370" i="21"/>
  <c r="W370" i="21" s="1"/>
  <c r="H368" i="21"/>
  <c r="W368" i="21" s="1"/>
  <c r="H366" i="21"/>
  <c r="W366" i="21" s="1"/>
  <c r="H364" i="21"/>
  <c r="W364" i="21" s="1"/>
  <c r="P361" i="21"/>
  <c r="P357" i="21"/>
  <c r="P356" i="21"/>
  <c r="P355" i="21"/>
  <c r="P354" i="21"/>
  <c r="P353" i="21"/>
  <c r="P352" i="21"/>
  <c r="P351" i="21"/>
  <c r="P350" i="21"/>
  <c r="P349" i="21"/>
  <c r="P348" i="21"/>
  <c r="P347" i="21"/>
  <c r="P346" i="21"/>
  <c r="P345" i="21"/>
  <c r="P344" i="21"/>
  <c r="P343" i="21"/>
  <c r="P342" i="21"/>
  <c r="P341" i="21"/>
  <c r="P340" i="21"/>
  <c r="P339" i="21"/>
  <c r="P338" i="21"/>
  <c r="P337" i="21"/>
  <c r="P336" i="21"/>
  <c r="P335" i="21"/>
  <c r="P334" i="21"/>
  <c r="P333" i="21"/>
  <c r="P332" i="21"/>
  <c r="P331" i="21"/>
  <c r="P330" i="21"/>
  <c r="P329" i="21"/>
  <c r="P328" i="21"/>
  <c r="P327" i="21"/>
  <c r="P326" i="21"/>
  <c r="N325" i="21"/>
  <c r="H324" i="21"/>
  <c r="W324" i="21" s="1"/>
  <c r="S322" i="21"/>
  <c r="N321" i="21"/>
  <c r="S319" i="21"/>
  <c r="S317"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R324" i="21"/>
  <c r="L323" i="21"/>
  <c r="G322" i="21"/>
  <c r="P320" i="21"/>
  <c r="P318" i="21"/>
  <c r="R372" i="21"/>
  <c r="R371" i="21"/>
  <c r="R370" i="21"/>
  <c r="R369" i="21"/>
  <c r="R368" i="21"/>
  <c r="R367" i="21"/>
  <c r="R366" i="21"/>
  <c r="R365" i="21"/>
  <c r="R364" i="21"/>
  <c r="R363" i="21"/>
  <c r="R362" i="21"/>
  <c r="R361" i="21"/>
  <c r="R360" i="21"/>
  <c r="R359" i="21"/>
  <c r="R358" i="21"/>
  <c r="R357" i="21"/>
  <c r="R356" i="21"/>
  <c r="R355" i="21"/>
  <c r="R354" i="21"/>
  <c r="R353" i="21"/>
  <c r="R352" i="21"/>
  <c r="R351" i="21"/>
  <c r="R350" i="21"/>
  <c r="R349" i="21"/>
  <c r="R348" i="21"/>
  <c r="R347" i="21"/>
  <c r="R346" i="21"/>
  <c r="R345" i="21"/>
  <c r="R344" i="21"/>
  <c r="R343" i="21"/>
  <c r="R342" i="21"/>
  <c r="R341" i="21"/>
  <c r="R340" i="21"/>
  <c r="R339" i="21"/>
  <c r="R338" i="21"/>
  <c r="R337" i="21"/>
  <c r="R336" i="21"/>
  <c r="R335" i="21"/>
  <c r="R334" i="21"/>
  <c r="Q401" i="21"/>
  <c r="Q397" i="21"/>
  <c r="Q393" i="21"/>
  <c r="U389" i="21"/>
  <c r="M385" i="21"/>
  <c r="Q381" i="21"/>
  <c r="U377" i="21"/>
  <c r="K373" i="21"/>
  <c r="G369" i="21"/>
  <c r="G367" i="21"/>
  <c r="G365" i="21"/>
  <c r="G363" i="21"/>
  <c r="L359" i="21"/>
  <c r="M400" i="21"/>
  <c r="M396" i="21"/>
  <c r="I392" i="21"/>
  <c r="I388" i="21"/>
  <c r="I384" i="21"/>
  <c r="U379" i="21"/>
  <c r="P375" i="21"/>
  <c r="U218" i="21"/>
  <c r="H399" i="21"/>
  <c r="W399" i="21" s="1"/>
  <c r="T395" i="21"/>
  <c r="L393" i="21"/>
  <c r="L392" i="21"/>
  <c r="L391" i="21"/>
  <c r="L390" i="21"/>
  <c r="L389" i="21"/>
  <c r="L388" i="21"/>
  <c r="L387" i="21"/>
  <c r="L386" i="21"/>
  <c r="L385" i="21"/>
  <c r="L384" i="21"/>
  <c r="L383" i="21"/>
  <c r="L382" i="21"/>
  <c r="L381" i="21"/>
  <c r="L380" i="21"/>
  <c r="L379" i="21"/>
  <c r="L378" i="21"/>
  <c r="L377" i="21"/>
  <c r="L376" i="21"/>
  <c r="J375" i="21"/>
  <c r="T373" i="21"/>
  <c r="L372" i="21"/>
  <c r="L370" i="21"/>
  <c r="L368" i="21"/>
  <c r="L366" i="21"/>
  <c r="L364" i="21"/>
  <c r="H362" i="21"/>
  <c r="W362" i="21" s="1"/>
  <c r="H358" i="21"/>
  <c r="W358" i="21" s="1"/>
  <c r="U399" i="21"/>
  <c r="U395" i="21"/>
  <c r="U391" i="21"/>
  <c r="M387" i="21"/>
  <c r="M383" i="21"/>
  <c r="M379" i="21"/>
  <c r="V374" i="21"/>
  <c r="T401" i="21"/>
  <c r="P398" i="21"/>
  <c r="L395" i="21"/>
  <c r="O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S374" i="21"/>
  <c r="N373" i="21"/>
  <c r="S371" i="21"/>
  <c r="S369" i="21"/>
  <c r="S367" i="21"/>
  <c r="S365" i="21"/>
  <c r="S363" i="21"/>
  <c r="T360" i="21"/>
  <c r="T218" i="21"/>
  <c r="T217" i="21" s="1"/>
  <c r="I398" i="21"/>
  <c r="M394" i="21"/>
  <c r="M390" i="21"/>
  <c r="U386" i="21"/>
  <c r="U382" i="21"/>
  <c r="I379" i="21"/>
  <c r="K375" i="21"/>
  <c r="I218" i="21"/>
  <c r="L400" i="21"/>
  <c r="T397" i="21"/>
  <c r="H395" i="21"/>
  <c r="W395" i="21" s="1"/>
  <c r="R218" i="21"/>
  <c r="G218" i="21"/>
  <c r="V401" i="21"/>
  <c r="V400" i="21"/>
  <c r="V399" i="21"/>
  <c r="V398" i="21"/>
  <c r="V397" i="21"/>
  <c r="V396" i="21"/>
  <c r="V395" i="21"/>
  <c r="V394" i="21"/>
  <c r="V393" i="21"/>
  <c r="V392" i="21"/>
  <c r="V391" i="21"/>
  <c r="V390" i="21"/>
  <c r="V389" i="21"/>
  <c r="V388" i="21"/>
  <c r="V387" i="21"/>
  <c r="V386" i="21"/>
  <c r="V385" i="21"/>
  <c r="V384" i="21"/>
  <c r="V383" i="21"/>
  <c r="V382" i="21"/>
  <c r="V381" i="21"/>
  <c r="V380" i="21"/>
  <c r="V379" i="21"/>
  <c r="V378" i="21"/>
  <c r="V377" i="21"/>
  <c r="V376" i="21"/>
  <c r="V375" i="21"/>
  <c r="R374" i="21"/>
  <c r="L373" i="21"/>
  <c r="P371" i="21"/>
  <c r="P369" i="21"/>
  <c r="P367" i="21"/>
  <c r="P365" i="21"/>
  <c r="P363" i="21"/>
  <c r="P360" i="21"/>
  <c r="L357" i="21"/>
  <c r="L356" i="21"/>
  <c r="L355" i="21"/>
  <c r="L354" i="21"/>
  <c r="L353" i="21"/>
  <c r="L352" i="21"/>
  <c r="L351" i="21"/>
  <c r="L350" i="21"/>
  <c r="L349" i="21"/>
  <c r="L348" i="21"/>
  <c r="L347" i="21"/>
  <c r="L346" i="21"/>
  <c r="L345" i="21"/>
  <c r="L344" i="21"/>
  <c r="L343" i="21"/>
  <c r="L342" i="21"/>
  <c r="L341" i="21"/>
  <c r="L340" i="21"/>
  <c r="L339" i="21"/>
  <c r="L338" i="21"/>
  <c r="L337" i="21"/>
  <c r="L336" i="21"/>
  <c r="L335" i="21"/>
  <c r="L334" i="21"/>
  <c r="L333" i="21"/>
  <c r="L332" i="21"/>
  <c r="L331" i="21"/>
  <c r="L330" i="21"/>
  <c r="L329" i="21"/>
  <c r="L328" i="21"/>
  <c r="L327" i="21"/>
  <c r="L326" i="21"/>
  <c r="H325" i="21"/>
  <c r="W325" i="21" s="1"/>
  <c r="S323" i="21"/>
  <c r="N322" i="21"/>
  <c r="H321" i="21"/>
  <c r="W321" i="21" s="1"/>
  <c r="K319" i="21"/>
  <c r="T316" i="21"/>
  <c r="S361" i="21"/>
  <c r="S360" i="21"/>
  <c r="S359" i="21"/>
  <c r="S358" i="21"/>
  <c r="S357" i="21"/>
  <c r="S356" i="21"/>
  <c r="S355" i="21"/>
  <c r="S354" i="21"/>
  <c r="S353" i="21"/>
  <c r="S352" i="21"/>
  <c r="S351" i="21"/>
  <c r="S350" i="21"/>
  <c r="S349" i="21"/>
  <c r="S348" i="21"/>
  <c r="S347" i="21"/>
  <c r="S346" i="21"/>
  <c r="S345" i="21"/>
  <c r="S344" i="21"/>
  <c r="S343" i="21"/>
  <c r="S342" i="21"/>
  <c r="S341" i="21"/>
  <c r="S340" i="21"/>
  <c r="S339" i="21"/>
  <c r="S338" i="21"/>
  <c r="S337" i="21"/>
  <c r="S336" i="21"/>
  <c r="S335" i="21"/>
  <c r="S334" i="21"/>
  <c r="S333" i="21"/>
  <c r="S332" i="21"/>
  <c r="S331" i="21"/>
  <c r="S330" i="21"/>
  <c r="S329" i="21"/>
  <c r="S328" i="21"/>
  <c r="S327" i="21"/>
  <c r="S326" i="21"/>
  <c r="R325" i="21"/>
  <c r="L324" i="21"/>
  <c r="G323" i="21"/>
  <c r="R321" i="21"/>
  <c r="H320" i="21"/>
  <c r="W320" i="21" s="1"/>
  <c r="H318" i="21"/>
  <c r="W318" i="21" s="1"/>
  <c r="N372" i="21"/>
  <c r="N371" i="21"/>
  <c r="N370" i="21"/>
  <c r="N369" i="21"/>
  <c r="N368" i="21"/>
  <c r="N367" i="21"/>
  <c r="N366" i="21"/>
  <c r="N365" i="21"/>
  <c r="N364" i="21"/>
  <c r="N363" i="21"/>
  <c r="N362" i="21"/>
  <c r="N361" i="21"/>
  <c r="N360" i="21"/>
  <c r="N359" i="21"/>
  <c r="N358" i="21"/>
  <c r="N357" i="21"/>
  <c r="N356" i="21"/>
  <c r="N355" i="21"/>
  <c r="N354" i="21"/>
  <c r="N353" i="21"/>
  <c r="N352" i="21"/>
  <c r="N351" i="21"/>
  <c r="N350" i="21"/>
  <c r="N349" i="21"/>
  <c r="N348" i="21"/>
  <c r="N347" i="21"/>
  <c r="N346" i="21"/>
  <c r="N345" i="21"/>
  <c r="N344" i="21"/>
  <c r="N343" i="21"/>
  <c r="N342" i="21"/>
  <c r="N341" i="21"/>
  <c r="N340" i="21"/>
  <c r="N339" i="21"/>
  <c r="N338" i="21"/>
  <c r="N337" i="21"/>
  <c r="N336" i="21"/>
  <c r="N335" i="21"/>
  <c r="N334" i="21"/>
  <c r="Q400" i="21"/>
  <c r="Q396" i="21"/>
  <c r="Q392" i="21"/>
  <c r="Q388" i="21"/>
  <c r="M384" i="21"/>
  <c r="Q380" i="21"/>
  <c r="U376" i="21"/>
  <c r="G372" i="21"/>
  <c r="O368" i="21"/>
  <c r="O366" i="21"/>
  <c r="O364" i="21"/>
  <c r="L362" i="21"/>
  <c r="L358" i="21"/>
  <c r="M399" i="21"/>
  <c r="M395" i="21"/>
  <c r="I391" i="21"/>
  <c r="I387" i="21"/>
  <c r="I383" i="21"/>
  <c r="Q378" i="21"/>
  <c r="K374" i="21"/>
  <c r="L401" i="21"/>
  <c r="H398" i="21"/>
  <c r="W398" i="21" s="1"/>
  <c r="T394" i="21"/>
  <c r="H393" i="21"/>
  <c r="W393" i="21" s="1"/>
  <c r="H392" i="21"/>
  <c r="W392" i="21" s="1"/>
  <c r="H391" i="21"/>
  <c r="W391" i="21" s="1"/>
  <c r="H390" i="21"/>
  <c r="W390" i="21" s="1"/>
  <c r="H389" i="21"/>
  <c r="W389" i="21" s="1"/>
  <c r="H388" i="21"/>
  <c r="W388" i="21" s="1"/>
  <c r="H387" i="21"/>
  <c r="W387" i="21" s="1"/>
  <c r="H386" i="21"/>
  <c r="W386" i="21" s="1"/>
  <c r="H385" i="21"/>
  <c r="W385" i="21" s="1"/>
  <c r="H384" i="21"/>
  <c r="W384" i="21" s="1"/>
  <c r="H383" i="21"/>
  <c r="W383" i="21" s="1"/>
  <c r="H382" i="21"/>
  <c r="W382" i="21" s="1"/>
  <c r="H381" i="21"/>
  <c r="W381" i="21" s="1"/>
  <c r="H380" i="21"/>
  <c r="W380" i="21" s="1"/>
  <c r="H379" i="21"/>
  <c r="W379" i="21" s="1"/>
  <c r="H378" i="21"/>
  <c r="W378" i="21" s="1"/>
  <c r="H377" i="21"/>
  <c r="W377" i="21" s="1"/>
  <c r="H376" i="21"/>
  <c r="W376" i="21" s="1"/>
  <c r="T374" i="21"/>
  <c r="O373" i="21"/>
  <c r="T371" i="21"/>
  <c r="T369" i="21"/>
  <c r="T367" i="21"/>
  <c r="T365" i="21"/>
  <c r="T363" i="21"/>
  <c r="H361" i="21"/>
  <c r="W361" i="21" s="1"/>
  <c r="H218" i="21"/>
  <c r="W218" i="21" s="1"/>
  <c r="U398" i="21"/>
  <c r="U394" i="21"/>
  <c r="Q390" i="21"/>
  <c r="M386" i="21"/>
  <c r="M382" i="21"/>
  <c r="M378" i="21"/>
  <c r="P373" i="21"/>
  <c r="T400" i="21"/>
  <c r="P397" i="21"/>
  <c r="H394" i="21"/>
  <c r="W394" i="21" s="1"/>
  <c r="G401" i="21"/>
  <c r="S399" i="21"/>
  <c r="S398" i="21"/>
  <c r="S397" i="21"/>
  <c r="S396" i="21"/>
  <c r="S395" i="21"/>
  <c r="S394" i="21"/>
  <c r="S393" i="21"/>
  <c r="S392" i="21"/>
  <c r="S391" i="21"/>
  <c r="S390" i="21"/>
  <c r="S389" i="21"/>
  <c r="S388" i="21"/>
  <c r="S387" i="21"/>
  <c r="S386" i="21"/>
  <c r="S385" i="21"/>
  <c r="S384" i="21"/>
  <c r="S383" i="21"/>
  <c r="S382" i="21"/>
  <c r="S381" i="21"/>
  <c r="S380" i="21"/>
  <c r="S379" i="21"/>
  <c r="S378" i="21"/>
  <c r="S377" i="21"/>
  <c r="S376" i="21"/>
  <c r="S375" i="21"/>
  <c r="N374" i="21"/>
  <c r="H373" i="21"/>
  <c r="W373" i="21" s="1"/>
  <c r="K371" i="21"/>
  <c r="K369" i="21"/>
  <c r="K367" i="21"/>
  <c r="K365" i="21"/>
  <c r="K363" i="21"/>
  <c r="T359" i="21"/>
  <c r="I401" i="21"/>
  <c r="I397" i="21"/>
  <c r="M393" i="21"/>
  <c r="Q389" i="21"/>
  <c r="U385" i="21"/>
  <c r="I382" i="21"/>
  <c r="I378" i="21"/>
  <c r="V373" i="21"/>
  <c r="Q218" i="21"/>
  <c r="P399" i="21"/>
  <c r="H397" i="21"/>
  <c r="W397" i="21" s="1"/>
  <c r="P394" i="21"/>
  <c r="S401" i="21"/>
  <c r="K218" i="21"/>
  <c r="R401" i="21"/>
  <c r="R400" i="21"/>
  <c r="R399" i="21"/>
  <c r="R398" i="21"/>
  <c r="R397" i="21"/>
  <c r="R396" i="21"/>
  <c r="R395" i="21"/>
  <c r="R394" i="21"/>
  <c r="R393" i="21"/>
  <c r="R392" i="21"/>
  <c r="R391" i="21"/>
  <c r="R390" i="21"/>
  <c r="R389" i="21"/>
  <c r="R388" i="21"/>
  <c r="R387" i="21"/>
  <c r="R386" i="21"/>
  <c r="R385" i="21"/>
  <c r="R384" i="21"/>
  <c r="R383" i="21"/>
  <c r="R382" i="21"/>
  <c r="R381" i="21"/>
  <c r="R380" i="21"/>
  <c r="R379" i="21"/>
  <c r="R378" i="21"/>
  <c r="R377" i="21"/>
  <c r="R376" i="21"/>
  <c r="R375" i="21"/>
  <c r="L374" i="21"/>
  <c r="G373" i="21"/>
  <c r="H371" i="21"/>
  <c r="W371" i="21" s="1"/>
  <c r="H369" i="21"/>
  <c r="W369" i="21" s="1"/>
  <c r="H367" i="21"/>
  <c r="W367" i="21" s="1"/>
  <c r="H365" i="21"/>
  <c r="W365" i="21" s="1"/>
  <c r="H363" i="21"/>
  <c r="W363" i="21" s="1"/>
  <c r="P359" i="21"/>
  <c r="H357" i="21"/>
  <c r="W357" i="21" s="1"/>
  <c r="H356" i="21"/>
  <c r="W356" i="21" s="1"/>
  <c r="H355" i="21"/>
  <c r="W355" i="21" s="1"/>
  <c r="H354" i="21"/>
  <c r="W354" i="21" s="1"/>
  <c r="H353" i="21"/>
  <c r="W353" i="21" s="1"/>
  <c r="H352" i="21"/>
  <c r="W352" i="21" s="1"/>
  <c r="H351" i="21"/>
  <c r="W351" i="21" s="1"/>
  <c r="H350" i="21"/>
  <c r="W350" i="21" s="1"/>
  <c r="H349" i="21"/>
  <c r="W349" i="21" s="1"/>
  <c r="H348" i="21"/>
  <c r="W348" i="21" s="1"/>
  <c r="H347" i="21"/>
  <c r="W347" i="21" s="1"/>
  <c r="H346" i="21"/>
  <c r="W346" i="21" s="1"/>
  <c r="H345" i="21"/>
  <c r="W345" i="21" s="1"/>
  <c r="H344" i="21"/>
  <c r="W344" i="21" s="1"/>
  <c r="H343" i="21"/>
  <c r="W343" i="21" s="1"/>
  <c r="H342" i="21"/>
  <c r="W342" i="21" s="1"/>
  <c r="H341" i="21"/>
  <c r="W341" i="21" s="1"/>
  <c r="H340" i="21"/>
  <c r="W340" i="21" s="1"/>
  <c r="H339" i="21"/>
  <c r="W339" i="21" s="1"/>
  <c r="H338" i="21"/>
  <c r="W338" i="21" s="1"/>
  <c r="H337" i="21"/>
  <c r="W337" i="21" s="1"/>
  <c r="H336" i="21"/>
  <c r="W336" i="21" s="1"/>
  <c r="H335" i="21"/>
  <c r="W335" i="21" s="1"/>
  <c r="H334" i="21"/>
  <c r="W334" i="21" s="1"/>
  <c r="H333" i="21"/>
  <c r="W333" i="21" s="1"/>
  <c r="H332" i="21"/>
  <c r="W332" i="21" s="1"/>
  <c r="H331" i="21"/>
  <c r="W331" i="21" s="1"/>
  <c r="H330" i="21"/>
  <c r="W330" i="21" s="1"/>
  <c r="H329" i="21"/>
  <c r="W329" i="21" s="1"/>
  <c r="H328" i="21"/>
  <c r="W328" i="21" s="1"/>
  <c r="H327" i="21"/>
  <c r="W327" i="21" s="1"/>
  <c r="H326" i="21"/>
  <c r="W326" i="21" s="1"/>
  <c r="S324" i="21"/>
  <c r="N323" i="21"/>
  <c r="H322" i="21"/>
  <c r="W322" i="21" s="1"/>
  <c r="S320" i="21"/>
  <c r="S318" i="21"/>
  <c r="O362" i="21"/>
  <c r="O361" i="21"/>
  <c r="O360" i="21"/>
  <c r="O359" i="21"/>
  <c r="O358" i="21"/>
  <c r="O357" i="21"/>
  <c r="O356" i="21"/>
  <c r="O355" i="21"/>
  <c r="O354" i="21"/>
  <c r="O353" i="21"/>
  <c r="O352" i="21"/>
  <c r="O351" i="21"/>
  <c r="O350" i="21"/>
  <c r="O349" i="21"/>
  <c r="O348" i="21"/>
  <c r="O347" i="21"/>
  <c r="O346" i="21"/>
  <c r="O345" i="21"/>
  <c r="O344" i="21"/>
  <c r="O343" i="21"/>
  <c r="O342" i="21"/>
  <c r="O341" i="21"/>
  <c r="O340" i="21"/>
  <c r="O339" i="21"/>
  <c r="O338" i="21"/>
  <c r="O337" i="21"/>
  <c r="O336" i="21"/>
  <c r="O335" i="21"/>
  <c r="O334" i="21"/>
  <c r="O333" i="21"/>
  <c r="O332" i="21"/>
  <c r="O331" i="21"/>
  <c r="O330" i="21"/>
  <c r="O329" i="21"/>
  <c r="O328" i="21"/>
  <c r="O327" i="21"/>
  <c r="O326" i="21"/>
  <c r="L325" i="21"/>
  <c r="G324" i="21"/>
  <c r="R322" i="21"/>
  <c r="L321" i="21"/>
  <c r="P319" i="21"/>
  <c r="P317" i="21"/>
  <c r="J372" i="21"/>
  <c r="J371" i="21"/>
  <c r="J370" i="21"/>
  <c r="J369" i="21"/>
  <c r="J368" i="21"/>
  <c r="J367" i="21"/>
  <c r="J366" i="21"/>
  <c r="J365" i="21"/>
  <c r="J364" i="21"/>
  <c r="J363" i="21"/>
  <c r="J362" i="21"/>
  <c r="J361" i="21"/>
  <c r="J360" i="21"/>
  <c r="J359" i="21"/>
  <c r="J358" i="21"/>
  <c r="J357" i="21"/>
  <c r="J356" i="21"/>
  <c r="J355" i="21"/>
  <c r="J354" i="21"/>
  <c r="J353" i="21"/>
  <c r="J352" i="21"/>
  <c r="J351" i="21"/>
  <c r="J350" i="21"/>
  <c r="J349" i="21"/>
  <c r="J348" i="21"/>
  <c r="J347" i="21"/>
  <c r="J346" i="21"/>
  <c r="J345" i="21"/>
  <c r="J344" i="21"/>
  <c r="J343" i="21"/>
  <c r="J342" i="21"/>
  <c r="J341" i="21"/>
  <c r="J340" i="21"/>
  <c r="J339" i="21"/>
  <c r="J338" i="21"/>
  <c r="J337" i="21"/>
  <c r="J336" i="21"/>
  <c r="J335" i="21"/>
  <c r="J334" i="21"/>
  <c r="Q399" i="21"/>
  <c r="Q395" i="21"/>
  <c r="Q391" i="21"/>
  <c r="Q387" i="21"/>
  <c r="Q383" i="21"/>
  <c r="Q379" i="21"/>
  <c r="U375" i="21"/>
  <c r="O371" i="21"/>
  <c r="G368" i="21"/>
  <c r="G366" i="21"/>
  <c r="G364" i="21"/>
  <c r="L361" i="21"/>
  <c r="P218" i="21"/>
  <c r="M398" i="21"/>
  <c r="I394" i="21"/>
  <c r="I390" i="21"/>
  <c r="I386" i="21"/>
  <c r="U381" i="21"/>
  <c r="Q377" i="21"/>
  <c r="V372" i="21"/>
  <c r="P400" i="21"/>
  <c r="L397" i="21"/>
  <c r="L394" i="21"/>
  <c r="T392" i="21"/>
  <c r="T391" i="21"/>
  <c r="T390" i="21"/>
  <c r="T389" i="21"/>
  <c r="T388" i="21"/>
  <c r="T387" i="21"/>
  <c r="T386" i="21"/>
  <c r="T385" i="21"/>
  <c r="T384" i="21"/>
  <c r="T383" i="21"/>
  <c r="T382" i="21"/>
  <c r="T381" i="21"/>
  <c r="T380" i="21"/>
  <c r="T379" i="21"/>
  <c r="T378" i="21"/>
  <c r="T377" i="21"/>
  <c r="T376" i="21"/>
  <c r="T375" i="21"/>
  <c r="O374" i="21"/>
  <c r="J373" i="21"/>
  <c r="L371" i="21"/>
  <c r="L369" i="21"/>
  <c r="L367" i="21"/>
  <c r="L365" i="21"/>
  <c r="L363" i="21"/>
  <c r="H360" i="21"/>
  <c r="W360" i="21" s="1"/>
  <c r="U401" i="21"/>
  <c r="U397" i="21"/>
  <c r="U393" i="21"/>
  <c r="M389" i="21"/>
  <c r="Q385" i="21"/>
  <c r="M381" i="21"/>
  <c r="I377" i="21"/>
  <c r="G370" i="21"/>
  <c r="H400" i="21"/>
  <c r="W400" i="21" s="1"/>
  <c r="T396" i="21"/>
  <c r="J218" i="21"/>
  <c r="O400" i="21"/>
  <c r="O399" i="21"/>
  <c r="O398" i="21"/>
  <c r="O397" i="21"/>
  <c r="O396" i="21"/>
  <c r="O395" i="21"/>
  <c r="O394" i="21"/>
  <c r="O393" i="21"/>
  <c r="O392" i="21"/>
  <c r="O391" i="21"/>
  <c r="O390" i="21"/>
  <c r="O389" i="21"/>
  <c r="O388" i="21"/>
  <c r="O387" i="21"/>
  <c r="O386" i="21"/>
  <c r="O385" i="21"/>
  <c r="O384" i="21"/>
  <c r="O383" i="21"/>
  <c r="O382" i="21"/>
  <c r="O381" i="21"/>
  <c r="O380" i="21"/>
  <c r="O379" i="21"/>
  <c r="O378" i="21"/>
  <c r="O377" i="21"/>
  <c r="O376" i="21"/>
  <c r="N375" i="21"/>
  <c r="H374" i="21"/>
  <c r="W374" i="21" s="1"/>
  <c r="S372" i="21"/>
  <c r="S370" i="21"/>
  <c r="S368" i="21"/>
  <c r="S366" i="21"/>
  <c r="S364" i="21"/>
  <c r="S362" i="21"/>
  <c r="T358" i="21"/>
  <c r="I400" i="21"/>
  <c r="I396" i="21"/>
  <c r="M392" i="21"/>
  <c r="U388" i="21"/>
  <c r="U384" i="21"/>
  <c r="I381" i="21"/>
  <c r="M377" i="21"/>
  <c r="O372" i="21"/>
  <c r="P401" i="21"/>
  <c r="T398" i="21"/>
  <c r="L396" i="21"/>
  <c r="P393" i="21"/>
  <c r="K401" i="21"/>
  <c r="O218" i="21"/>
  <c r="N401" i="21"/>
  <c r="N400" i="21"/>
  <c r="N399" i="21"/>
  <c r="N398" i="21"/>
  <c r="N397" i="21"/>
  <c r="N396" i="21"/>
  <c r="N395" i="21"/>
  <c r="N394" i="21"/>
  <c r="N393" i="21"/>
  <c r="N392" i="21"/>
  <c r="N391" i="21"/>
  <c r="N390" i="21"/>
  <c r="N389" i="21"/>
  <c r="N388" i="21"/>
  <c r="N387" i="21"/>
  <c r="N386" i="21"/>
  <c r="N385" i="21"/>
  <c r="N384" i="21"/>
  <c r="N383" i="21"/>
  <c r="N382" i="21"/>
  <c r="N381" i="21"/>
  <c r="N380" i="21"/>
  <c r="N379" i="21"/>
  <c r="N378" i="21"/>
  <c r="N377" i="21"/>
  <c r="N376" i="21"/>
  <c r="L375" i="21"/>
  <c r="G374" i="21"/>
  <c r="P372" i="21"/>
  <c r="P370" i="21"/>
  <c r="P368" i="21"/>
  <c r="P366" i="21"/>
  <c r="P364" i="21"/>
  <c r="P362" i="21"/>
  <c r="P358" i="21"/>
  <c r="T356" i="21"/>
  <c r="T355" i="21"/>
  <c r="T354" i="21"/>
  <c r="T353" i="21"/>
  <c r="T352" i="21"/>
  <c r="T351" i="21"/>
  <c r="T350" i="21"/>
  <c r="T349" i="21"/>
  <c r="T348" i="21"/>
  <c r="T347" i="21"/>
  <c r="T346" i="21"/>
  <c r="T345" i="21"/>
  <c r="T344" i="21"/>
  <c r="T343" i="21"/>
  <c r="T342" i="21"/>
  <c r="T341" i="21"/>
  <c r="T340" i="21"/>
  <c r="T339" i="21"/>
  <c r="T338" i="21"/>
  <c r="T337" i="21"/>
  <c r="T336" i="21"/>
  <c r="T335" i="21"/>
  <c r="T334" i="21"/>
  <c r="T333" i="21"/>
  <c r="T332" i="21"/>
  <c r="T331" i="21"/>
  <c r="T330" i="21"/>
  <c r="T329" i="21"/>
  <c r="T328" i="21"/>
  <c r="T327" i="21"/>
  <c r="T326" i="21"/>
  <c r="S325" i="21"/>
  <c r="N324" i="21"/>
  <c r="H323" i="21"/>
  <c r="W323" i="21" s="1"/>
  <c r="S321" i="21"/>
  <c r="K320" i="21"/>
  <c r="K318" i="21"/>
  <c r="K362" i="21"/>
  <c r="K361" i="21"/>
  <c r="K360" i="21"/>
  <c r="K359" i="21"/>
  <c r="K358" i="21"/>
  <c r="K357" i="21"/>
  <c r="K356" i="21"/>
  <c r="K355" i="21"/>
  <c r="K354" i="21"/>
  <c r="K353" i="21"/>
  <c r="K352" i="21"/>
  <c r="K351" i="21"/>
  <c r="K350" i="21"/>
  <c r="K349" i="21"/>
  <c r="K348" i="21"/>
  <c r="K347" i="21"/>
  <c r="K346" i="21"/>
  <c r="K345" i="21"/>
  <c r="K344" i="21"/>
  <c r="K343" i="21"/>
  <c r="K342" i="21"/>
  <c r="K341" i="21"/>
  <c r="K340" i="21"/>
  <c r="K339" i="21"/>
  <c r="K338" i="21"/>
  <c r="K337" i="21"/>
  <c r="K336" i="21"/>
  <c r="K335" i="21"/>
  <c r="K334" i="21"/>
  <c r="K333" i="21"/>
  <c r="K332" i="21"/>
  <c r="K331" i="21"/>
  <c r="K330" i="21"/>
  <c r="K329" i="21"/>
  <c r="K328" i="21"/>
  <c r="K327" i="21"/>
  <c r="K326" i="21"/>
  <c r="G325" i="21"/>
  <c r="R323" i="21"/>
  <c r="L322" i="21"/>
  <c r="G321" i="21"/>
  <c r="H319" i="21"/>
  <c r="W319" i="21" s="1"/>
  <c r="P316" i="21"/>
  <c r="V371" i="21"/>
  <c r="V370" i="21"/>
  <c r="V369" i="21"/>
  <c r="V368" i="21"/>
  <c r="V367" i="21"/>
  <c r="V366" i="21"/>
  <c r="V365" i="21"/>
  <c r="V364" i="21"/>
  <c r="V363" i="21"/>
  <c r="V362" i="21"/>
  <c r="V361" i="21"/>
  <c r="V360" i="21"/>
  <c r="V359" i="21"/>
  <c r="V358" i="21"/>
  <c r="V357" i="21"/>
  <c r="V356" i="21"/>
  <c r="V355" i="21"/>
  <c r="V354" i="21"/>
  <c r="V353" i="21"/>
  <c r="V352" i="21"/>
  <c r="V351" i="21"/>
  <c r="V350" i="21"/>
  <c r="V349" i="21"/>
  <c r="V348" i="21"/>
  <c r="V347" i="21"/>
  <c r="V346" i="21"/>
  <c r="V345" i="21"/>
  <c r="V344" i="21"/>
  <c r="V343" i="21"/>
  <c r="V342" i="21"/>
  <c r="V341" i="21"/>
  <c r="V340" i="21"/>
  <c r="V339" i="21"/>
  <c r="V338" i="21"/>
  <c r="V337" i="21"/>
  <c r="V336" i="21"/>
  <c r="V335" i="21"/>
  <c r="V334" i="21"/>
  <c r="V333" i="21"/>
  <c r="X526" i="21"/>
  <c r="Y37" i="21"/>
  <c r="AA37" i="21" s="1"/>
  <c r="X37" i="21"/>
  <c r="X180" i="21"/>
  <c r="Y180" i="21"/>
  <c r="AA180" i="21" s="1"/>
  <c r="R133" i="21"/>
  <c r="G133" i="21"/>
  <c r="S133" i="21"/>
  <c r="Q133" i="21"/>
  <c r="N133" i="21"/>
  <c r="H133" i="21"/>
  <c r="W133" i="21" s="1"/>
  <c r="O133" i="21"/>
  <c r="L133" i="21"/>
  <c r="M133" i="21"/>
  <c r="T133" i="21"/>
  <c r="V133" i="21"/>
  <c r="K133" i="21"/>
  <c r="U133" i="21"/>
  <c r="I133" i="21"/>
  <c r="P133" i="21"/>
  <c r="J133" i="21"/>
  <c r="P157" i="21"/>
  <c r="G56" i="21"/>
  <c r="S56" i="21"/>
  <c r="J56" i="21"/>
  <c r="I56" i="21"/>
  <c r="H56" i="21"/>
  <c r="W56" i="21" s="1"/>
  <c r="O56" i="21"/>
  <c r="M56" i="21"/>
  <c r="U56" i="21"/>
  <c r="T56" i="21"/>
  <c r="V56" i="21"/>
  <c r="K56" i="21"/>
  <c r="R56" i="21"/>
  <c r="L56" i="21"/>
  <c r="Q56" i="21"/>
  <c r="P56" i="21"/>
  <c r="N56" i="21"/>
  <c r="G157" i="21"/>
  <c r="S157" i="21"/>
  <c r="J157" i="21"/>
  <c r="I157" i="21"/>
  <c r="L157" i="21"/>
  <c r="O157" i="21"/>
  <c r="V157" i="21"/>
  <c r="M157" i="21"/>
  <c r="U157" i="21"/>
  <c r="N157" i="21"/>
  <c r="W157" i="21"/>
  <c r="K157" i="21"/>
  <c r="Q157" i="21"/>
  <c r="T157" i="21"/>
  <c r="R157" i="21"/>
  <c r="R45" i="21"/>
  <c r="G44" i="21"/>
  <c r="N47" i="21"/>
  <c r="I47" i="21"/>
  <c r="I45" i="21"/>
  <c r="I44" i="21"/>
  <c r="P47" i="21"/>
  <c r="P46" i="21"/>
  <c r="P45" i="21"/>
  <c r="P44" i="21"/>
  <c r="V46" i="21"/>
  <c r="S47" i="21"/>
  <c r="S46" i="21"/>
  <c r="S45" i="21"/>
  <c r="S44" i="21"/>
  <c r="R46" i="21"/>
  <c r="U47" i="21"/>
  <c r="U46" i="21"/>
  <c r="U45" i="21"/>
  <c r="U44" i="21"/>
  <c r="V47" i="21"/>
  <c r="V44" i="21"/>
  <c r="L47" i="21"/>
  <c r="L46" i="21"/>
  <c r="L45" i="21"/>
  <c r="L44" i="21"/>
  <c r="J46" i="21"/>
  <c r="O47" i="21"/>
  <c r="O46" i="21"/>
  <c r="O45" i="21"/>
  <c r="O44" i="21"/>
  <c r="V45" i="21"/>
  <c r="Q47" i="21"/>
  <c r="Q46" i="21"/>
  <c r="Q45" i="21"/>
  <c r="Q44" i="21"/>
  <c r="J47" i="21"/>
  <c r="J44" i="21"/>
  <c r="H47" i="21"/>
  <c r="W47" i="21" s="1"/>
  <c r="H46" i="21"/>
  <c r="W46" i="21" s="1"/>
  <c r="H45" i="21"/>
  <c r="W45" i="21" s="1"/>
  <c r="H44" i="21"/>
  <c r="W44" i="21" s="1"/>
  <c r="J45" i="21"/>
  <c r="K47" i="21"/>
  <c r="K46" i="21"/>
  <c r="K45" i="21"/>
  <c r="K44" i="21"/>
  <c r="N44" i="21"/>
  <c r="I46" i="21"/>
  <c r="N45" i="21"/>
  <c r="M47" i="21"/>
  <c r="M46" i="21"/>
  <c r="M45" i="21"/>
  <c r="M44" i="21"/>
  <c r="N46" i="21"/>
  <c r="T47" i="21"/>
  <c r="T46" i="21"/>
  <c r="T44" i="21"/>
  <c r="R47" i="21"/>
  <c r="R44" i="21"/>
  <c r="G47" i="21"/>
  <c r="G46" i="21"/>
  <c r="G45" i="21"/>
  <c r="G130" i="21"/>
  <c r="R130" i="21"/>
  <c r="Q130" i="21"/>
  <c r="S130" i="21"/>
  <c r="P130" i="21"/>
  <c r="N130" i="21"/>
  <c r="M130" i="21"/>
  <c r="O130" i="21"/>
  <c r="L130" i="21"/>
  <c r="J130" i="21"/>
  <c r="I130" i="21"/>
  <c r="K130" i="21"/>
  <c r="V130" i="21"/>
  <c r="U130" i="21"/>
  <c r="H130" i="21"/>
  <c r="W130" i="21" s="1"/>
  <c r="G120" i="21"/>
  <c r="I120" i="21"/>
  <c r="S120" i="21"/>
  <c r="U120" i="21"/>
  <c r="V120" i="21"/>
  <c r="L120" i="21"/>
  <c r="O120" i="21"/>
  <c r="J120" i="21"/>
  <c r="P120" i="21"/>
  <c r="Q120" i="21"/>
  <c r="N120" i="21"/>
  <c r="H120" i="21"/>
  <c r="W120" i="21" s="1"/>
  <c r="K120" i="21"/>
  <c r="M120" i="21"/>
  <c r="T120" i="21"/>
  <c r="R120" i="21"/>
  <c r="G97" i="21"/>
  <c r="V97" i="21"/>
  <c r="Q97" i="21"/>
  <c r="P97" i="21"/>
  <c r="S97" i="21"/>
  <c r="R97" i="21"/>
  <c r="M97" i="21"/>
  <c r="L97" i="21"/>
  <c r="O97" i="21"/>
  <c r="J97" i="21"/>
  <c r="I97" i="21"/>
  <c r="H97" i="21"/>
  <c r="W97" i="21" s="1"/>
  <c r="K97" i="21"/>
  <c r="U97" i="21"/>
  <c r="T97" i="21"/>
  <c r="N97" i="21"/>
  <c r="P80" i="21"/>
  <c r="G80" i="21"/>
  <c r="V80" i="21"/>
  <c r="M80" i="21"/>
  <c r="S80" i="21"/>
  <c r="J80" i="21"/>
  <c r="I80" i="21"/>
  <c r="L80" i="21"/>
  <c r="O80" i="21"/>
  <c r="U80" i="21"/>
  <c r="N80" i="21"/>
  <c r="H80" i="21"/>
  <c r="W80" i="21" s="1"/>
  <c r="K80" i="21"/>
  <c r="Q80" i="21"/>
  <c r="T80" i="21"/>
  <c r="R80" i="21"/>
  <c r="P143" i="21"/>
  <c r="G143" i="21"/>
  <c r="J143" i="21"/>
  <c r="S143" i="21"/>
  <c r="U143" i="21"/>
  <c r="V143" i="21"/>
  <c r="L143" i="21"/>
  <c r="O143" i="21"/>
  <c r="I143" i="21"/>
  <c r="Q143" i="21"/>
  <c r="N143" i="21"/>
  <c r="W143" i="21"/>
  <c r="K143" i="21"/>
  <c r="M143" i="21"/>
  <c r="T143" i="21"/>
  <c r="R143" i="21"/>
  <c r="I137" i="21"/>
  <c r="G137" i="21"/>
  <c r="S137" i="21"/>
  <c r="U137" i="21"/>
  <c r="V137" i="21"/>
  <c r="L137" i="21"/>
  <c r="O137" i="21"/>
  <c r="J137" i="21"/>
  <c r="P137" i="21"/>
  <c r="Q137" i="21"/>
  <c r="N137" i="21"/>
  <c r="H137" i="21"/>
  <c r="W137" i="21" s="1"/>
  <c r="K137" i="21"/>
  <c r="M137" i="21"/>
  <c r="T137" i="21"/>
  <c r="R137" i="21"/>
  <c r="I141" i="21"/>
  <c r="G141" i="21"/>
  <c r="J141" i="21"/>
  <c r="S141" i="21"/>
  <c r="U141" i="21"/>
  <c r="N141" i="21"/>
  <c r="H141" i="21"/>
  <c r="W141" i="21" s="1"/>
  <c r="O141" i="21"/>
  <c r="L141" i="21"/>
  <c r="Q141" i="21"/>
  <c r="T141" i="21"/>
  <c r="V141" i="21"/>
  <c r="K141" i="21"/>
  <c r="M141" i="21"/>
  <c r="P141" i="21"/>
  <c r="R141" i="21"/>
  <c r="G34" i="21"/>
  <c r="S34" i="21"/>
  <c r="S36" i="21"/>
  <c r="N36" i="21"/>
  <c r="J34" i="21"/>
  <c r="I35" i="21"/>
  <c r="L36" i="21"/>
  <c r="L35" i="21"/>
  <c r="L34" i="21"/>
  <c r="R35" i="21"/>
  <c r="U36" i="21"/>
  <c r="U34" i="21"/>
  <c r="O36" i="21"/>
  <c r="O35" i="21"/>
  <c r="O34" i="21"/>
  <c r="Q35" i="21"/>
  <c r="P36" i="21"/>
  <c r="P34" i="21"/>
  <c r="M35" i="21"/>
  <c r="S35" i="21"/>
  <c r="V35" i="21"/>
  <c r="Q36" i="21"/>
  <c r="I34" i="21"/>
  <c r="H36" i="21"/>
  <c r="W36" i="21" s="1"/>
  <c r="H35" i="21"/>
  <c r="W35" i="21" s="1"/>
  <c r="H34" i="21"/>
  <c r="W34" i="21" s="1"/>
  <c r="V34" i="21"/>
  <c r="M36" i="21"/>
  <c r="Q34" i="21"/>
  <c r="K36" i="21"/>
  <c r="K35" i="21"/>
  <c r="K34" i="21"/>
  <c r="V36" i="21"/>
  <c r="J35" i="21"/>
  <c r="P35" i="21"/>
  <c r="J36" i="21"/>
  <c r="N34" i="21"/>
  <c r="N35" i="21"/>
  <c r="I36" i="21"/>
  <c r="T36" i="21"/>
  <c r="T35" i="21"/>
  <c r="T34" i="21"/>
  <c r="R36" i="21"/>
  <c r="R34" i="21"/>
  <c r="U35" i="21"/>
  <c r="M34" i="21"/>
  <c r="G36" i="21"/>
  <c r="G35" i="21"/>
  <c r="P186" i="21"/>
  <c r="G55" i="21"/>
  <c r="J55" i="21"/>
  <c r="I55" i="21"/>
  <c r="L55" i="21"/>
  <c r="O55" i="21"/>
  <c r="V55" i="21"/>
  <c r="M55" i="21"/>
  <c r="P55" i="21"/>
  <c r="S55" i="21"/>
  <c r="U55" i="21"/>
  <c r="N55" i="21"/>
  <c r="H55" i="21"/>
  <c r="W55" i="21" s="1"/>
  <c r="K55" i="21"/>
  <c r="Q55" i="21"/>
  <c r="T55" i="21"/>
  <c r="R55" i="21"/>
  <c r="G186" i="21"/>
  <c r="S186" i="21"/>
  <c r="J186" i="21"/>
  <c r="I186" i="21"/>
  <c r="L186" i="21"/>
  <c r="O186" i="21"/>
  <c r="M186" i="21"/>
  <c r="U186" i="21"/>
  <c r="N186" i="21"/>
  <c r="H186" i="21"/>
  <c r="W186" i="21" s="1"/>
  <c r="K186" i="21"/>
  <c r="V186" i="21"/>
  <c r="Q186" i="21"/>
  <c r="T186" i="21"/>
  <c r="R186" i="21"/>
  <c r="P20" i="21"/>
  <c r="G20" i="21"/>
  <c r="S20" i="21"/>
  <c r="U20" i="21"/>
  <c r="V20" i="21"/>
  <c r="L20" i="21"/>
  <c r="O20" i="21"/>
  <c r="I20" i="21"/>
  <c r="Q20" i="21"/>
  <c r="J20" i="21"/>
  <c r="H20" i="21"/>
  <c r="W20" i="21" s="1"/>
  <c r="K20" i="21"/>
  <c r="R20" i="21"/>
  <c r="M20" i="21"/>
  <c r="T20" i="21"/>
  <c r="N20" i="21"/>
  <c r="G166" i="21"/>
  <c r="V166" i="21"/>
  <c r="U166" i="21"/>
  <c r="T166" i="21"/>
  <c r="S166" i="21"/>
  <c r="R166" i="21"/>
  <c r="Q166" i="21"/>
  <c r="P166" i="21"/>
  <c r="O166" i="21"/>
  <c r="N166" i="21"/>
  <c r="M166" i="21"/>
  <c r="L166" i="21"/>
  <c r="K166" i="21"/>
  <c r="J166" i="21"/>
  <c r="I166" i="21"/>
  <c r="H166" i="21"/>
  <c r="W166" i="21" s="1"/>
  <c r="G153" i="21"/>
  <c r="R153" i="21"/>
  <c r="S153" i="21"/>
  <c r="U153" i="21"/>
  <c r="V153" i="21"/>
  <c r="L153" i="21"/>
  <c r="O153" i="21"/>
  <c r="I153" i="21"/>
  <c r="P153" i="21"/>
  <c r="Q153" i="21"/>
  <c r="J153" i="21"/>
  <c r="H153" i="21"/>
  <c r="W153" i="21" s="1"/>
  <c r="K153" i="21"/>
  <c r="M153" i="21"/>
  <c r="T153" i="21"/>
  <c r="N153" i="21"/>
  <c r="G193" i="21"/>
  <c r="P176" i="21"/>
  <c r="V193" i="21"/>
  <c r="U193" i="21"/>
  <c r="T193" i="21"/>
  <c r="S193" i="21"/>
  <c r="R193" i="21"/>
  <c r="Q193" i="21"/>
  <c r="P193" i="21"/>
  <c r="O193" i="21"/>
  <c r="N193" i="21"/>
  <c r="M193" i="21"/>
  <c r="L193" i="21"/>
  <c r="K193" i="21"/>
  <c r="J193" i="21"/>
  <c r="I193" i="21"/>
  <c r="H193" i="21"/>
  <c r="W193" i="21" s="1"/>
  <c r="G176" i="21"/>
  <c r="S176" i="21"/>
  <c r="J176" i="21"/>
  <c r="I176" i="21"/>
  <c r="L176" i="21"/>
  <c r="O176" i="21"/>
  <c r="M176" i="21"/>
  <c r="U176" i="21"/>
  <c r="N176" i="21"/>
  <c r="H176" i="21"/>
  <c r="W176" i="21" s="1"/>
  <c r="K176" i="21"/>
  <c r="V176" i="21"/>
  <c r="Q176" i="21"/>
  <c r="T176" i="21"/>
  <c r="R176" i="21"/>
  <c r="K52" i="21"/>
  <c r="G52" i="21"/>
  <c r="V52" i="21"/>
  <c r="U52" i="21"/>
  <c r="T52" i="21"/>
  <c r="S52" i="21"/>
  <c r="I52" i="21"/>
  <c r="R52" i="21"/>
  <c r="Q52" i="21"/>
  <c r="P52" i="21"/>
  <c r="O52" i="21"/>
  <c r="J52" i="21"/>
  <c r="H52" i="21"/>
  <c r="W52" i="21" s="1"/>
  <c r="N52" i="21"/>
  <c r="M52" i="21"/>
  <c r="L52" i="21"/>
  <c r="S19" i="21"/>
  <c r="G18" i="21"/>
  <c r="M18" i="21"/>
  <c r="S18" i="21"/>
  <c r="R18" i="21"/>
  <c r="I19" i="21"/>
  <c r="I18" i="21"/>
  <c r="T19" i="21"/>
  <c r="T18" i="21"/>
  <c r="V19" i="21"/>
  <c r="O19" i="21"/>
  <c r="O18" i="21"/>
  <c r="M19" i="21"/>
  <c r="J18" i="21"/>
  <c r="H18" i="21"/>
  <c r="W18" i="21" s="1"/>
  <c r="U19" i="21"/>
  <c r="U18" i="21"/>
  <c r="R19" i="21"/>
  <c r="P19" i="21"/>
  <c r="P18" i="21"/>
  <c r="J19" i="21"/>
  <c r="K19" i="21"/>
  <c r="K18" i="21"/>
  <c r="N19" i="21"/>
  <c r="H19" i="21"/>
  <c r="W19" i="21" s="1"/>
  <c r="Q19" i="21"/>
  <c r="Q18" i="21"/>
  <c r="V18" i="21"/>
  <c r="L19" i="21"/>
  <c r="L18" i="21"/>
  <c r="N18" i="21"/>
  <c r="G19" i="21"/>
  <c r="H152" i="21"/>
  <c r="W152" i="21" s="1"/>
  <c r="G152" i="21"/>
  <c r="S152" i="21"/>
  <c r="J152" i="21"/>
  <c r="T152" i="21"/>
  <c r="V152" i="21"/>
  <c r="O152" i="21"/>
  <c r="I152" i="21"/>
  <c r="U152" i="21"/>
  <c r="P152" i="21"/>
  <c r="N152" i="21"/>
  <c r="K152" i="21"/>
  <c r="R152" i="21"/>
  <c r="Q152" i="21"/>
  <c r="L152" i="21"/>
  <c r="M152" i="21"/>
  <c r="P151" i="21"/>
  <c r="G151" i="21"/>
  <c r="S151" i="21"/>
  <c r="J151" i="21"/>
  <c r="I151" i="21"/>
  <c r="L151" i="21"/>
  <c r="O151" i="21"/>
  <c r="V151" i="21"/>
  <c r="M151" i="21"/>
  <c r="U151" i="21"/>
  <c r="N151" i="21"/>
  <c r="H151" i="21"/>
  <c r="W151" i="21" s="1"/>
  <c r="K151" i="21"/>
  <c r="Q151" i="21"/>
  <c r="T151" i="21"/>
  <c r="R151" i="21"/>
  <c r="K150" i="21"/>
  <c r="V150" i="21"/>
  <c r="S150" i="21"/>
  <c r="U150" i="21"/>
  <c r="R150" i="21"/>
  <c r="L150" i="21"/>
  <c r="O150" i="21"/>
  <c r="P150" i="21"/>
  <c r="Q150" i="21"/>
  <c r="J150" i="21"/>
  <c r="H150" i="21"/>
  <c r="W150" i="21" s="1"/>
  <c r="I150" i="21"/>
  <c r="G105" i="21"/>
  <c r="M150" i="21"/>
  <c r="T150" i="21"/>
  <c r="N150" i="21"/>
  <c r="G150" i="21"/>
  <c r="V111" i="21"/>
  <c r="V108" i="21"/>
  <c r="N106" i="21"/>
  <c r="U111" i="21"/>
  <c r="U109" i="21"/>
  <c r="U107" i="21"/>
  <c r="U105" i="21"/>
  <c r="N111" i="21"/>
  <c r="P111" i="21"/>
  <c r="P110" i="21"/>
  <c r="P109" i="21"/>
  <c r="P108" i="21"/>
  <c r="P107" i="21"/>
  <c r="P106" i="21"/>
  <c r="P105" i="21"/>
  <c r="V110" i="21"/>
  <c r="V107" i="21"/>
  <c r="S111" i="21"/>
  <c r="S110" i="21"/>
  <c r="S109" i="21"/>
  <c r="S108" i="21"/>
  <c r="S107" i="21"/>
  <c r="S105" i="21"/>
  <c r="N108" i="21"/>
  <c r="Q110" i="21"/>
  <c r="Q108" i="21"/>
  <c r="Q106" i="21"/>
  <c r="R110" i="21"/>
  <c r="L111" i="21"/>
  <c r="L109" i="21"/>
  <c r="L107" i="21"/>
  <c r="L105" i="21"/>
  <c r="J107" i="21"/>
  <c r="O109" i="21"/>
  <c r="O107" i="21"/>
  <c r="O105" i="21"/>
  <c r="N110" i="21"/>
  <c r="R107" i="21"/>
  <c r="N105" i="21"/>
  <c r="M111" i="21"/>
  <c r="M110" i="21"/>
  <c r="M109" i="21"/>
  <c r="M108" i="21"/>
  <c r="M107" i="21"/>
  <c r="M106" i="21"/>
  <c r="M105" i="21"/>
  <c r="V109" i="21"/>
  <c r="J106" i="21"/>
  <c r="H111" i="21"/>
  <c r="W111" i="21" s="1"/>
  <c r="H110" i="21"/>
  <c r="W110" i="21" s="1"/>
  <c r="H109" i="21"/>
  <c r="W109" i="21" s="1"/>
  <c r="H108" i="21"/>
  <c r="W108" i="21" s="1"/>
  <c r="H107" i="21"/>
  <c r="W107" i="21" s="1"/>
  <c r="H106" i="21"/>
  <c r="W106" i="21" s="1"/>
  <c r="H105" i="21"/>
  <c r="W105" i="21" s="1"/>
  <c r="N109" i="21"/>
  <c r="R106" i="21"/>
  <c r="K111" i="21"/>
  <c r="K110" i="21"/>
  <c r="K109" i="21"/>
  <c r="K108" i="21"/>
  <c r="K107" i="21"/>
  <c r="K106" i="21"/>
  <c r="K105" i="21"/>
  <c r="U110" i="21"/>
  <c r="U108" i="21"/>
  <c r="U106" i="21"/>
  <c r="J108" i="21"/>
  <c r="S106" i="21"/>
  <c r="J111" i="21"/>
  <c r="R105" i="21"/>
  <c r="Q111" i="21"/>
  <c r="Q109" i="21"/>
  <c r="Q107" i="21"/>
  <c r="Q105" i="21"/>
  <c r="N107" i="21"/>
  <c r="L110" i="21"/>
  <c r="L108" i="21"/>
  <c r="L106" i="21"/>
  <c r="J110" i="21"/>
  <c r="O111" i="21"/>
  <c r="O110" i="21"/>
  <c r="O108" i="21"/>
  <c r="O106" i="21"/>
  <c r="R109" i="21"/>
  <c r="V106" i="21"/>
  <c r="J105" i="21"/>
  <c r="I111" i="21"/>
  <c r="I110" i="21"/>
  <c r="I109" i="21"/>
  <c r="I108" i="21"/>
  <c r="I107" i="21"/>
  <c r="I106" i="21"/>
  <c r="I105" i="21"/>
  <c r="J109" i="21"/>
  <c r="T111" i="21"/>
  <c r="T110" i="21"/>
  <c r="T108" i="21"/>
  <c r="T107" i="21"/>
  <c r="T106" i="21"/>
  <c r="T105" i="21"/>
  <c r="R111" i="21"/>
  <c r="R108" i="21"/>
  <c r="V105" i="21"/>
  <c r="G111" i="21"/>
  <c r="G110" i="21"/>
  <c r="G109" i="21"/>
  <c r="G108" i="21"/>
  <c r="G107" i="21"/>
  <c r="G106" i="21"/>
  <c r="V43" i="21"/>
  <c r="J43" i="21"/>
  <c r="G39" i="21"/>
  <c r="G40" i="21"/>
  <c r="G41" i="21"/>
  <c r="G42" i="21"/>
  <c r="G43" i="21"/>
  <c r="H38" i="21"/>
  <c r="W38" i="21" s="1"/>
  <c r="H39" i="21"/>
  <c r="W39" i="21" s="1"/>
  <c r="H40" i="21"/>
  <c r="W40" i="21" s="1"/>
  <c r="H41" i="21"/>
  <c r="W41" i="21" s="1"/>
  <c r="H42" i="21"/>
  <c r="W42" i="21" s="1"/>
  <c r="H43" i="21"/>
  <c r="W43" i="21" s="1"/>
  <c r="I38" i="21"/>
  <c r="I39" i="21"/>
  <c r="I40" i="21"/>
  <c r="I41" i="21"/>
  <c r="I42" i="21"/>
  <c r="I43" i="21"/>
  <c r="V39" i="21"/>
  <c r="J39" i="21"/>
  <c r="N40" i="21"/>
  <c r="N42" i="21"/>
  <c r="R38" i="21"/>
  <c r="R40" i="21"/>
  <c r="R43" i="21"/>
  <c r="N39" i="21"/>
  <c r="N41" i="21"/>
  <c r="N43" i="21"/>
  <c r="R39" i="21"/>
  <c r="R41" i="21"/>
  <c r="N38" i="21"/>
  <c r="R42" i="21"/>
  <c r="K38" i="21"/>
  <c r="K39" i="21"/>
  <c r="K40" i="21"/>
  <c r="K41" i="21"/>
  <c r="K42" i="21"/>
  <c r="K43" i="21"/>
  <c r="L38" i="21"/>
  <c r="L39" i="21"/>
  <c r="L40" i="21"/>
  <c r="L41" i="21"/>
  <c r="L42" i="21"/>
  <c r="L43" i="21"/>
  <c r="M38" i="21"/>
  <c r="M39" i="21"/>
  <c r="M40" i="21"/>
  <c r="M41" i="21"/>
  <c r="M42" i="21"/>
  <c r="M43" i="21"/>
  <c r="V40" i="21"/>
  <c r="J40" i="21"/>
  <c r="O38" i="21"/>
  <c r="O39" i="21"/>
  <c r="O40" i="21"/>
  <c r="O41" i="21"/>
  <c r="O42" i="21"/>
  <c r="O43" i="21"/>
  <c r="P38" i="21"/>
  <c r="P39" i="21"/>
  <c r="P40" i="21"/>
  <c r="P41" i="21"/>
  <c r="P42" i="21"/>
  <c r="P43" i="21"/>
  <c r="Q38" i="21"/>
  <c r="Q39" i="21"/>
  <c r="Q40" i="21"/>
  <c r="Q41" i="21"/>
  <c r="Q42" i="21"/>
  <c r="Q43" i="21"/>
  <c r="V41" i="21"/>
  <c r="J41" i="21"/>
  <c r="S38" i="21"/>
  <c r="S39" i="21"/>
  <c r="S40" i="21"/>
  <c r="S41" i="21"/>
  <c r="S42" i="21"/>
  <c r="S43" i="21"/>
  <c r="T38" i="21"/>
  <c r="T39" i="21"/>
  <c r="T40" i="21"/>
  <c r="T41" i="21"/>
  <c r="T42" i="21"/>
  <c r="U38" i="21"/>
  <c r="U39" i="21"/>
  <c r="U40" i="21"/>
  <c r="U41" i="21"/>
  <c r="U42" i="21"/>
  <c r="U43" i="21"/>
  <c r="V38" i="21"/>
  <c r="V42" i="21"/>
  <c r="J38" i="21"/>
  <c r="J42" i="21"/>
  <c r="G38" i="21"/>
  <c r="G21" i="21"/>
  <c r="G31" i="21"/>
  <c r="K31" i="21"/>
  <c r="O31" i="21"/>
  <c r="S31" i="21"/>
  <c r="G32" i="21"/>
  <c r="K32" i="21"/>
  <c r="O32" i="21"/>
  <c r="S32" i="21"/>
  <c r="G33" i="21"/>
  <c r="K33" i="21"/>
  <c r="O33" i="21"/>
  <c r="S33" i="21"/>
  <c r="G48" i="21"/>
  <c r="K48" i="21"/>
  <c r="O48" i="21"/>
  <c r="S48" i="21"/>
  <c r="G49" i="21"/>
  <c r="K49" i="21"/>
  <c r="O49" i="21"/>
  <c r="S49" i="21"/>
  <c r="G50" i="21"/>
  <c r="K50" i="21"/>
  <c r="O50" i="21"/>
  <c r="S50" i="21"/>
  <c r="G51" i="21"/>
  <c r="K51" i="21"/>
  <c r="O51" i="21"/>
  <c r="S51" i="21"/>
  <c r="G53" i="21"/>
  <c r="K53" i="21"/>
  <c r="O53" i="21"/>
  <c r="S53" i="21"/>
  <c r="G54" i="21"/>
  <c r="H31" i="21"/>
  <c r="W31" i="21" s="1"/>
  <c r="L31" i="21"/>
  <c r="P31" i="21"/>
  <c r="T31" i="21"/>
  <c r="H32" i="21"/>
  <c r="W32" i="21" s="1"/>
  <c r="L32" i="21"/>
  <c r="P32" i="21"/>
  <c r="T32" i="21"/>
  <c r="H33" i="21"/>
  <c r="W33" i="21" s="1"/>
  <c r="L33" i="21"/>
  <c r="P33" i="21"/>
  <c r="T33" i="21"/>
  <c r="I31" i="21"/>
  <c r="M31" i="21"/>
  <c r="Q31" i="21"/>
  <c r="U31" i="21"/>
  <c r="I32" i="21"/>
  <c r="M32" i="21"/>
  <c r="Q32" i="21"/>
  <c r="U32" i="21"/>
  <c r="I33" i="21"/>
  <c r="M33" i="21"/>
  <c r="Q33" i="21"/>
  <c r="U33" i="21"/>
  <c r="I48" i="21"/>
  <c r="M48" i="21"/>
  <c r="Q48" i="21"/>
  <c r="U48" i="21"/>
  <c r="I49" i="21"/>
  <c r="M49" i="21"/>
  <c r="Q49" i="21"/>
  <c r="U49" i="21"/>
  <c r="I50" i="21"/>
  <c r="M50" i="21"/>
  <c r="Q50" i="21"/>
  <c r="U50" i="21"/>
  <c r="I51" i="21"/>
  <c r="M51" i="21"/>
  <c r="Q51" i="21"/>
  <c r="U51" i="21"/>
  <c r="J31" i="21"/>
  <c r="J32" i="21"/>
  <c r="J33" i="21"/>
  <c r="L48" i="21"/>
  <c r="T48" i="21"/>
  <c r="L49" i="21"/>
  <c r="T49" i="21"/>
  <c r="L50" i="21"/>
  <c r="T50" i="21"/>
  <c r="L51" i="21"/>
  <c r="T51" i="21"/>
  <c r="H53" i="21"/>
  <c r="W53" i="21" s="1"/>
  <c r="M53" i="21"/>
  <c r="R53" i="21"/>
  <c r="H54" i="21"/>
  <c r="W54" i="21" s="1"/>
  <c r="L54" i="21"/>
  <c r="P54" i="21"/>
  <c r="T54" i="21"/>
  <c r="H57" i="21"/>
  <c r="W57" i="21" s="1"/>
  <c r="L57" i="21"/>
  <c r="P57" i="21"/>
  <c r="T57" i="21"/>
  <c r="H58" i="21"/>
  <c r="W58" i="21" s="1"/>
  <c r="L58" i="21"/>
  <c r="P58" i="21"/>
  <c r="T58" i="21"/>
  <c r="H59" i="21"/>
  <c r="W59" i="21" s="1"/>
  <c r="L59" i="21"/>
  <c r="P59" i="21"/>
  <c r="T59" i="21"/>
  <c r="H60" i="21"/>
  <c r="W60" i="21" s="1"/>
  <c r="L60" i="21"/>
  <c r="P60" i="21"/>
  <c r="T60" i="21"/>
  <c r="H61" i="21"/>
  <c r="W61" i="21" s="1"/>
  <c r="L61" i="21"/>
  <c r="P61" i="21"/>
  <c r="T61" i="21"/>
  <c r="H62" i="21"/>
  <c r="W62" i="21" s="1"/>
  <c r="L62" i="21"/>
  <c r="P62" i="21"/>
  <c r="T62" i="21"/>
  <c r="H63" i="21"/>
  <c r="W63" i="21" s="1"/>
  <c r="N31" i="21"/>
  <c r="N32" i="21"/>
  <c r="N33" i="21"/>
  <c r="N48" i="21"/>
  <c r="V48" i="21"/>
  <c r="N49" i="21"/>
  <c r="V49" i="21"/>
  <c r="N50" i="21"/>
  <c r="V50" i="21"/>
  <c r="N51" i="21"/>
  <c r="V51" i="21"/>
  <c r="I53" i="21"/>
  <c r="N53" i="21"/>
  <c r="T53" i="21"/>
  <c r="I54" i="21"/>
  <c r="M54" i="21"/>
  <c r="Q54" i="21"/>
  <c r="U54" i="21"/>
  <c r="R31" i="21"/>
  <c r="R32" i="21"/>
  <c r="R33" i="21"/>
  <c r="H48" i="21"/>
  <c r="W48" i="21" s="1"/>
  <c r="P48" i="21"/>
  <c r="H49" i="21"/>
  <c r="W49" i="21" s="1"/>
  <c r="P49" i="21"/>
  <c r="H50" i="21"/>
  <c r="W50" i="21" s="1"/>
  <c r="P50" i="21"/>
  <c r="H51" i="21"/>
  <c r="W51" i="21" s="1"/>
  <c r="P51" i="21"/>
  <c r="J53" i="21"/>
  <c r="P53" i="21"/>
  <c r="U53" i="21"/>
  <c r="J54" i="21"/>
  <c r="N54" i="21"/>
  <c r="R54" i="21"/>
  <c r="V54" i="21"/>
  <c r="J57" i="21"/>
  <c r="N57" i="21"/>
  <c r="R57" i="21"/>
  <c r="V57" i="21"/>
  <c r="J58" i="21"/>
  <c r="N58" i="21"/>
  <c r="R58" i="21"/>
  <c r="V58" i="21"/>
  <c r="J59" i="21"/>
  <c r="N59" i="21"/>
  <c r="R59" i="21"/>
  <c r="V59" i="21"/>
  <c r="J60" i="21"/>
  <c r="N60" i="21"/>
  <c r="R60" i="21"/>
  <c r="V60" i="21"/>
  <c r="J61" i="21"/>
  <c r="N61" i="21"/>
  <c r="R61" i="21"/>
  <c r="V61" i="21"/>
  <c r="J62" i="21"/>
  <c r="N62" i="21"/>
  <c r="R62" i="21"/>
  <c r="V62" i="21"/>
  <c r="J63" i="21"/>
  <c r="V31" i="21"/>
  <c r="R48" i="21"/>
  <c r="R50" i="21"/>
  <c r="K54" i="21"/>
  <c r="M57" i="21"/>
  <c r="U57" i="21"/>
  <c r="M58" i="21"/>
  <c r="U58" i="21"/>
  <c r="M59" i="21"/>
  <c r="U59" i="21"/>
  <c r="M60" i="21"/>
  <c r="U60" i="21"/>
  <c r="M61" i="21"/>
  <c r="U61" i="21"/>
  <c r="M62" i="21"/>
  <c r="U62" i="21"/>
  <c r="L63" i="21"/>
  <c r="P63" i="21"/>
  <c r="T63" i="21"/>
  <c r="H64" i="21"/>
  <c r="W64" i="21" s="1"/>
  <c r="L64" i="21"/>
  <c r="P64" i="21"/>
  <c r="T64" i="21"/>
  <c r="H65" i="21"/>
  <c r="W65" i="21" s="1"/>
  <c r="L65" i="21"/>
  <c r="P65" i="21"/>
  <c r="T65" i="21"/>
  <c r="H66" i="21"/>
  <c r="W66" i="21" s="1"/>
  <c r="L66" i="21"/>
  <c r="P66" i="21"/>
  <c r="T66" i="21"/>
  <c r="V32" i="21"/>
  <c r="J49" i="21"/>
  <c r="J51" i="21"/>
  <c r="L53" i="21"/>
  <c r="O54" i="21"/>
  <c r="G57" i="21"/>
  <c r="O57" i="21"/>
  <c r="G58" i="21"/>
  <c r="O58" i="21"/>
  <c r="G59" i="21"/>
  <c r="O59" i="21"/>
  <c r="G60" i="21"/>
  <c r="O60" i="21"/>
  <c r="G61" i="21"/>
  <c r="O61" i="21"/>
  <c r="G62" i="21"/>
  <c r="O62" i="21"/>
  <c r="G63" i="21"/>
  <c r="M63" i="21"/>
  <c r="Q63" i="21"/>
  <c r="U63" i="21"/>
  <c r="I64" i="21"/>
  <c r="M64" i="21"/>
  <c r="Q64" i="21"/>
  <c r="U64" i="21"/>
  <c r="I65" i="21"/>
  <c r="M65" i="21"/>
  <c r="Q65" i="21"/>
  <c r="U65" i="21"/>
  <c r="I66" i="21"/>
  <c r="M66" i="21"/>
  <c r="Q66" i="21"/>
  <c r="U66" i="21"/>
  <c r="V33" i="21"/>
  <c r="R49" i="21"/>
  <c r="R51" i="21"/>
  <c r="Q53" i="21"/>
  <c r="S54" i="21"/>
  <c r="I57" i="21"/>
  <c r="Q57" i="21"/>
  <c r="I58" i="21"/>
  <c r="Q58" i="21"/>
  <c r="I59" i="21"/>
  <c r="Q59" i="21"/>
  <c r="I60" i="21"/>
  <c r="Q60" i="21"/>
  <c r="J50" i="21"/>
  <c r="S58" i="21"/>
  <c r="S60" i="21"/>
  <c r="S61" i="21"/>
  <c r="S62" i="21"/>
  <c r="O63" i="21"/>
  <c r="G64" i="21"/>
  <c r="O64" i="21"/>
  <c r="G65" i="21"/>
  <c r="O65" i="21"/>
  <c r="G66" i="21"/>
  <c r="O66" i="21"/>
  <c r="H67" i="21"/>
  <c r="W67" i="21" s="1"/>
  <c r="L67" i="21"/>
  <c r="P67" i="21"/>
  <c r="T67" i="21"/>
  <c r="H68" i="21"/>
  <c r="W68" i="21" s="1"/>
  <c r="L68" i="21"/>
  <c r="P68" i="21"/>
  <c r="T68" i="21"/>
  <c r="H69" i="21"/>
  <c r="W69" i="21" s="1"/>
  <c r="L69" i="21"/>
  <c r="P69" i="21"/>
  <c r="T69" i="21"/>
  <c r="H70" i="21"/>
  <c r="W70" i="21" s="1"/>
  <c r="L70" i="21"/>
  <c r="P70" i="21"/>
  <c r="T70" i="21"/>
  <c r="H71" i="21"/>
  <c r="W71" i="21" s="1"/>
  <c r="L71" i="21"/>
  <c r="P71" i="21"/>
  <c r="T71" i="21"/>
  <c r="H72" i="21"/>
  <c r="W72" i="21" s="1"/>
  <c r="L72" i="21"/>
  <c r="P72" i="21"/>
  <c r="T72" i="21"/>
  <c r="H73" i="21"/>
  <c r="W73" i="21" s="1"/>
  <c r="L73" i="21"/>
  <c r="P73" i="21"/>
  <c r="T73" i="21"/>
  <c r="H74" i="21"/>
  <c r="W74" i="21" s="1"/>
  <c r="L74" i="21"/>
  <c r="P74" i="21"/>
  <c r="T74" i="21"/>
  <c r="K57" i="21"/>
  <c r="K59" i="21"/>
  <c r="I61" i="21"/>
  <c r="I62" i="21"/>
  <c r="I63" i="21"/>
  <c r="R63" i="21"/>
  <c r="J64" i="21"/>
  <c r="R64" i="21"/>
  <c r="J65" i="21"/>
  <c r="R65" i="21"/>
  <c r="J66" i="21"/>
  <c r="R66" i="21"/>
  <c r="I67" i="21"/>
  <c r="M67" i="21"/>
  <c r="Q67" i="21"/>
  <c r="U67" i="21"/>
  <c r="I68" i="21"/>
  <c r="M68" i="21"/>
  <c r="Q68" i="21"/>
  <c r="U68" i="21"/>
  <c r="I69" i="21"/>
  <c r="M69" i="21"/>
  <c r="Q69" i="21"/>
  <c r="U69" i="21"/>
  <c r="I70" i="21"/>
  <c r="M70" i="21"/>
  <c r="Q70" i="21"/>
  <c r="U70" i="21"/>
  <c r="I71" i="21"/>
  <c r="M71" i="21"/>
  <c r="Q71" i="21"/>
  <c r="U71" i="21"/>
  <c r="I72" i="21"/>
  <c r="M72" i="21"/>
  <c r="Q72" i="21"/>
  <c r="U72" i="21"/>
  <c r="I73" i="21"/>
  <c r="M73" i="21"/>
  <c r="Q73" i="21"/>
  <c r="U73" i="21"/>
  <c r="I74" i="21"/>
  <c r="M74" i="21"/>
  <c r="Q74" i="21"/>
  <c r="U74" i="21"/>
  <c r="S57" i="21"/>
  <c r="S59" i="21"/>
  <c r="K61" i="21"/>
  <c r="K62" i="21"/>
  <c r="K63" i="21"/>
  <c r="S63" i="21"/>
  <c r="K64" i="21"/>
  <c r="S64" i="21"/>
  <c r="K65" i="21"/>
  <c r="S65" i="21"/>
  <c r="K66" i="21"/>
  <c r="S66" i="21"/>
  <c r="J67" i="21"/>
  <c r="N67" i="21"/>
  <c r="R67" i="21"/>
  <c r="V67" i="21"/>
  <c r="J68" i="21"/>
  <c r="N68" i="21"/>
  <c r="R68" i="21"/>
  <c r="V68" i="21"/>
  <c r="J69" i="21"/>
  <c r="N69" i="21"/>
  <c r="R69" i="21"/>
  <c r="V69" i="21"/>
  <c r="J70" i="21"/>
  <c r="N70" i="21"/>
  <c r="R70" i="21"/>
  <c r="V70" i="21"/>
  <c r="J48" i="21"/>
  <c r="K58" i="21"/>
  <c r="N63" i="21"/>
  <c r="N66" i="21"/>
  <c r="G67" i="21"/>
  <c r="G68" i="21"/>
  <c r="G69" i="21"/>
  <c r="G70" i="21"/>
  <c r="G71" i="21"/>
  <c r="O71" i="21"/>
  <c r="G72" i="21"/>
  <c r="O72" i="21"/>
  <c r="G73" i="21"/>
  <c r="O73" i="21"/>
  <c r="G74" i="21"/>
  <c r="O74" i="21"/>
  <c r="I75" i="21"/>
  <c r="M75" i="21"/>
  <c r="Q75" i="21"/>
  <c r="U75" i="21"/>
  <c r="I76" i="21"/>
  <c r="M76" i="21"/>
  <c r="Q76" i="21"/>
  <c r="U76" i="21"/>
  <c r="I77" i="21"/>
  <c r="M77" i="21"/>
  <c r="Q77" i="21"/>
  <c r="U77" i="21"/>
  <c r="I78" i="21"/>
  <c r="M78" i="21"/>
  <c r="Q78" i="21"/>
  <c r="U78" i="21"/>
  <c r="I79" i="21"/>
  <c r="M79" i="21"/>
  <c r="Q79" i="21"/>
  <c r="U79" i="21"/>
  <c r="I81" i="21"/>
  <c r="M81" i="21"/>
  <c r="Q81" i="21"/>
  <c r="U81" i="21"/>
  <c r="I82" i="21"/>
  <c r="M82" i="21"/>
  <c r="Q82" i="21"/>
  <c r="U82" i="21"/>
  <c r="I83" i="21"/>
  <c r="M83" i="21"/>
  <c r="Q83" i="21"/>
  <c r="U83" i="21"/>
  <c r="I84" i="21"/>
  <c r="M84" i="21"/>
  <c r="Q84" i="21"/>
  <c r="U84" i="21"/>
  <c r="I85" i="21"/>
  <c r="M85" i="21"/>
  <c r="Q85" i="21"/>
  <c r="U85" i="21"/>
  <c r="I86" i="21"/>
  <c r="M86" i="21"/>
  <c r="Q86" i="21"/>
  <c r="U86" i="21"/>
  <c r="I87" i="21"/>
  <c r="M87" i="21"/>
  <c r="Q87" i="21"/>
  <c r="U87" i="21"/>
  <c r="I88" i="21"/>
  <c r="M88" i="21"/>
  <c r="Q88" i="21"/>
  <c r="U88" i="21"/>
  <c r="I89" i="21"/>
  <c r="M89" i="21"/>
  <c r="Q89" i="21"/>
  <c r="U89" i="21"/>
  <c r="V53" i="21"/>
  <c r="K60" i="21"/>
  <c r="V63" i="21"/>
  <c r="V66" i="21"/>
  <c r="K67" i="21"/>
  <c r="K68" i="21"/>
  <c r="K69" i="21"/>
  <c r="K70" i="21"/>
  <c r="J71" i="21"/>
  <c r="R71" i="21"/>
  <c r="J72" i="21"/>
  <c r="R72" i="21"/>
  <c r="J73" i="21"/>
  <c r="R73" i="21"/>
  <c r="J74" i="21"/>
  <c r="R74" i="21"/>
  <c r="J75" i="21"/>
  <c r="N75" i="21"/>
  <c r="R75" i="21"/>
  <c r="V75" i="21"/>
  <c r="J76" i="21"/>
  <c r="N76" i="21"/>
  <c r="R76" i="21"/>
  <c r="V76" i="21"/>
  <c r="J77" i="21"/>
  <c r="N77" i="21"/>
  <c r="R77" i="21"/>
  <c r="V77" i="21"/>
  <c r="J78" i="21"/>
  <c r="N78" i="21"/>
  <c r="R78" i="21"/>
  <c r="V78" i="21"/>
  <c r="J79" i="21"/>
  <c r="N79" i="21"/>
  <c r="R79" i="21"/>
  <c r="V79" i="21"/>
  <c r="J81" i="21"/>
  <c r="N81" i="21"/>
  <c r="R81" i="21"/>
  <c r="V81" i="21"/>
  <c r="J82" i="21"/>
  <c r="N82" i="21"/>
  <c r="R82" i="21"/>
  <c r="V82" i="21"/>
  <c r="J83" i="21"/>
  <c r="N83" i="21"/>
  <c r="R83" i="21"/>
  <c r="V83" i="21"/>
  <c r="J84" i="21"/>
  <c r="Q61" i="21"/>
  <c r="N64" i="21"/>
  <c r="N65" i="21"/>
  <c r="O67" i="21"/>
  <c r="O68" i="21"/>
  <c r="O69" i="21"/>
  <c r="O70" i="21"/>
  <c r="K71" i="21"/>
  <c r="S71" i="21"/>
  <c r="K72" i="21"/>
  <c r="S72" i="21"/>
  <c r="K73" i="21"/>
  <c r="S73" i="21"/>
  <c r="K74" i="21"/>
  <c r="S74" i="21"/>
  <c r="G75" i="21"/>
  <c r="K75" i="21"/>
  <c r="O75" i="21"/>
  <c r="S75" i="21"/>
  <c r="G76" i="21"/>
  <c r="K76" i="21"/>
  <c r="O76" i="21"/>
  <c r="S76" i="21"/>
  <c r="G77" i="21"/>
  <c r="K77" i="21"/>
  <c r="O77" i="21"/>
  <c r="S77" i="21"/>
  <c r="G78" i="21"/>
  <c r="K78" i="21"/>
  <c r="O78" i="21"/>
  <c r="S78" i="21"/>
  <c r="G79" i="21"/>
  <c r="K79" i="21"/>
  <c r="O79" i="21"/>
  <c r="S79" i="21"/>
  <c r="G81" i="21"/>
  <c r="K81" i="21"/>
  <c r="O81" i="21"/>
  <c r="S81" i="21"/>
  <c r="G82" i="21"/>
  <c r="K82" i="21"/>
  <c r="O82" i="21"/>
  <c r="S82" i="21"/>
  <c r="G83" i="21"/>
  <c r="K83" i="21"/>
  <c r="O83" i="21"/>
  <c r="S83" i="21"/>
  <c r="G84" i="21"/>
  <c r="K84" i="21"/>
  <c r="O84" i="21"/>
  <c r="S84" i="21"/>
  <c r="G85" i="21"/>
  <c r="K85" i="21"/>
  <c r="O85" i="21"/>
  <c r="S85" i="21"/>
  <c r="G86" i="21"/>
  <c r="K86" i="21"/>
  <c r="O86" i="21"/>
  <c r="S86" i="21"/>
  <c r="G87" i="21"/>
  <c r="K87" i="21"/>
  <c r="Q62" i="21"/>
  <c r="V64" i="21"/>
  <c r="V65" i="21"/>
  <c r="S67" i="21"/>
  <c r="S68" i="21"/>
  <c r="S69" i="21"/>
  <c r="S70" i="21"/>
  <c r="N71" i="21"/>
  <c r="V71" i="21"/>
  <c r="N72" i="21"/>
  <c r="V72" i="21"/>
  <c r="N73" i="21"/>
  <c r="V73" i="21"/>
  <c r="N74" i="21"/>
  <c r="V74" i="21"/>
  <c r="P75" i="21"/>
  <c r="P76" i="21"/>
  <c r="P77" i="21"/>
  <c r="P78" i="21"/>
  <c r="P79" i="21"/>
  <c r="P81" i="21"/>
  <c r="P82" i="21"/>
  <c r="P83" i="21"/>
  <c r="N84" i="21"/>
  <c r="V84" i="21"/>
  <c r="N85" i="21"/>
  <c r="V85" i="21"/>
  <c r="N86" i="21"/>
  <c r="V86" i="21"/>
  <c r="N87" i="21"/>
  <c r="S87" i="21"/>
  <c r="H88" i="21"/>
  <c r="W88" i="21" s="1"/>
  <c r="N88" i="21"/>
  <c r="S88" i="21"/>
  <c r="H89" i="21"/>
  <c r="W89" i="21" s="1"/>
  <c r="N89" i="21"/>
  <c r="S89" i="21"/>
  <c r="J90" i="21"/>
  <c r="N90" i="21"/>
  <c r="R90" i="21"/>
  <c r="V90" i="21"/>
  <c r="J91" i="21"/>
  <c r="N91" i="21"/>
  <c r="R91" i="21"/>
  <c r="V91" i="21"/>
  <c r="J92" i="21"/>
  <c r="N92" i="21"/>
  <c r="R92" i="21"/>
  <c r="V92" i="21"/>
  <c r="J93" i="21"/>
  <c r="N93" i="21"/>
  <c r="R93" i="21"/>
  <c r="V93" i="21"/>
  <c r="J94" i="21"/>
  <c r="N94" i="21"/>
  <c r="R94" i="21"/>
  <c r="V94" i="21"/>
  <c r="J95" i="21"/>
  <c r="N95" i="21"/>
  <c r="R95" i="21"/>
  <c r="V95" i="21"/>
  <c r="J96" i="21"/>
  <c r="N96" i="21"/>
  <c r="R96" i="21"/>
  <c r="V96" i="21"/>
  <c r="J98" i="21"/>
  <c r="N98" i="21"/>
  <c r="R98" i="21"/>
  <c r="V98" i="21"/>
  <c r="J99" i="21"/>
  <c r="N99" i="21"/>
  <c r="R99" i="21"/>
  <c r="V99" i="21"/>
  <c r="J100" i="21"/>
  <c r="N100" i="21"/>
  <c r="R100" i="21"/>
  <c r="V100" i="21"/>
  <c r="J101" i="21"/>
  <c r="N101" i="21"/>
  <c r="R101" i="21"/>
  <c r="V101" i="21"/>
  <c r="J102" i="21"/>
  <c r="N102" i="21"/>
  <c r="R102" i="21"/>
  <c r="V102" i="21"/>
  <c r="J103" i="21"/>
  <c r="N103" i="21"/>
  <c r="R103" i="21"/>
  <c r="V103" i="21"/>
  <c r="J104" i="21"/>
  <c r="N104" i="21"/>
  <c r="R104" i="21"/>
  <c r="V104" i="21"/>
  <c r="J112" i="21"/>
  <c r="N112" i="21"/>
  <c r="R112" i="21"/>
  <c r="V112" i="21"/>
  <c r="J113" i="21"/>
  <c r="N113" i="21"/>
  <c r="R113" i="21"/>
  <c r="V113" i="21"/>
  <c r="J114" i="21"/>
  <c r="N114" i="21"/>
  <c r="R114" i="21"/>
  <c r="V114" i="21"/>
  <c r="J115" i="21"/>
  <c r="N115" i="21"/>
  <c r="R115" i="21"/>
  <c r="V115" i="21"/>
  <c r="J116" i="21"/>
  <c r="N116" i="21"/>
  <c r="R116" i="21"/>
  <c r="V116" i="21"/>
  <c r="J117" i="21"/>
  <c r="N117" i="21"/>
  <c r="R117" i="21"/>
  <c r="V117" i="21"/>
  <c r="J118" i="21"/>
  <c r="T75" i="21"/>
  <c r="T76" i="21"/>
  <c r="T77" i="21"/>
  <c r="T78" i="21"/>
  <c r="T79" i="21"/>
  <c r="T81" i="21"/>
  <c r="T83" i="21"/>
  <c r="P84" i="21"/>
  <c r="H85" i="21"/>
  <c r="W85" i="21" s="1"/>
  <c r="P85" i="21"/>
  <c r="H86" i="21"/>
  <c r="W86" i="21" s="1"/>
  <c r="P86" i="21"/>
  <c r="H87" i="21"/>
  <c r="W87" i="21" s="1"/>
  <c r="O87" i="21"/>
  <c r="T87" i="21"/>
  <c r="J88" i="21"/>
  <c r="O88" i="21"/>
  <c r="T88" i="21"/>
  <c r="J89" i="21"/>
  <c r="O89" i="21"/>
  <c r="T89" i="21"/>
  <c r="G90" i="21"/>
  <c r="K90" i="21"/>
  <c r="O90" i="21"/>
  <c r="S90" i="21"/>
  <c r="G91" i="21"/>
  <c r="K91" i="21"/>
  <c r="O91" i="21"/>
  <c r="S91" i="21"/>
  <c r="G92" i="21"/>
  <c r="K92" i="21"/>
  <c r="O92" i="21"/>
  <c r="S92" i="21"/>
  <c r="G93" i="21"/>
  <c r="K93" i="21"/>
  <c r="O93" i="21"/>
  <c r="S93" i="21"/>
  <c r="G94" i="21"/>
  <c r="K94" i="21"/>
  <c r="O94" i="21"/>
  <c r="S94" i="21"/>
  <c r="G95" i="21"/>
  <c r="K95" i="21"/>
  <c r="O95" i="21"/>
  <c r="S95" i="21"/>
  <c r="G96" i="21"/>
  <c r="K96" i="21"/>
  <c r="O96" i="21"/>
  <c r="S96" i="21"/>
  <c r="G98" i="21"/>
  <c r="K98" i="21"/>
  <c r="O98" i="21"/>
  <c r="S98" i="21"/>
  <c r="G99" i="21"/>
  <c r="K99" i="21"/>
  <c r="O99" i="21"/>
  <c r="S99" i="21"/>
  <c r="G100" i="21"/>
  <c r="K100" i="21"/>
  <c r="O100" i="21"/>
  <c r="S100" i="21"/>
  <c r="G101" i="21"/>
  <c r="K101" i="21"/>
  <c r="O101" i="21"/>
  <c r="S101" i="21"/>
  <c r="G102" i="21"/>
  <c r="K102" i="21"/>
  <c r="O102" i="21"/>
  <c r="S102" i="21"/>
  <c r="G103" i="21"/>
  <c r="K103" i="21"/>
  <c r="O103" i="21"/>
  <c r="S103" i="21"/>
  <c r="G104" i="21"/>
  <c r="K104" i="21"/>
  <c r="O104" i="21"/>
  <c r="S104" i="21"/>
  <c r="G112" i="21"/>
  <c r="K112" i="21"/>
  <c r="O112" i="21"/>
  <c r="S112" i="21"/>
  <c r="G113" i="21"/>
  <c r="K113" i="21"/>
  <c r="O113" i="21"/>
  <c r="S113" i="21"/>
  <c r="G114" i="21"/>
  <c r="K114" i="21"/>
  <c r="O114" i="21"/>
  <c r="S114" i="21"/>
  <c r="G115" i="21"/>
  <c r="K115" i="21"/>
  <c r="O115" i="21"/>
  <c r="S115" i="21"/>
  <c r="G116" i="21"/>
  <c r="K116" i="21"/>
  <c r="O116" i="21"/>
  <c r="H75" i="21"/>
  <c r="W75" i="21" s="1"/>
  <c r="H76" i="21"/>
  <c r="W76" i="21" s="1"/>
  <c r="H77" i="21"/>
  <c r="W77" i="21" s="1"/>
  <c r="H78" i="21"/>
  <c r="W78" i="21" s="1"/>
  <c r="H79" i="21"/>
  <c r="W79" i="21" s="1"/>
  <c r="H81" i="21"/>
  <c r="W81" i="21" s="1"/>
  <c r="H82" i="21"/>
  <c r="W82" i="21" s="1"/>
  <c r="H83" i="21"/>
  <c r="W83" i="21" s="1"/>
  <c r="H84" i="21"/>
  <c r="W84" i="21" s="1"/>
  <c r="R84" i="21"/>
  <c r="J85" i="21"/>
  <c r="R85" i="21"/>
  <c r="J86" i="21"/>
  <c r="R86" i="21"/>
  <c r="J87" i="21"/>
  <c r="P87" i="21"/>
  <c r="V87" i="21"/>
  <c r="K88" i="21"/>
  <c r="P88" i="21"/>
  <c r="V88" i="21"/>
  <c r="K89" i="21"/>
  <c r="P89" i="21"/>
  <c r="V89" i="21"/>
  <c r="H90" i="21"/>
  <c r="W90" i="21" s="1"/>
  <c r="L90" i="21"/>
  <c r="P90" i="21"/>
  <c r="T90" i="21"/>
  <c r="H91" i="21"/>
  <c r="W91" i="21" s="1"/>
  <c r="L91" i="21"/>
  <c r="P91" i="21"/>
  <c r="T91" i="21"/>
  <c r="H92" i="21"/>
  <c r="W92" i="21" s="1"/>
  <c r="L92" i="21"/>
  <c r="P92" i="21"/>
  <c r="T92" i="21"/>
  <c r="H93" i="21"/>
  <c r="W93" i="21" s="1"/>
  <c r="L93" i="21"/>
  <c r="P93" i="21"/>
  <c r="T93" i="21"/>
  <c r="H94" i="21"/>
  <c r="W94" i="21" s="1"/>
  <c r="L94" i="21"/>
  <c r="P94" i="21"/>
  <c r="T94" i="21"/>
  <c r="H95" i="21"/>
  <c r="W95" i="21" s="1"/>
  <c r="L95" i="21"/>
  <c r="P95" i="21"/>
  <c r="T95" i="21"/>
  <c r="H96" i="21"/>
  <c r="W96" i="21" s="1"/>
  <c r="L96" i="21"/>
  <c r="P96" i="21"/>
  <c r="T96" i="21"/>
  <c r="H98" i="21"/>
  <c r="W98" i="21" s="1"/>
  <c r="L98" i="21"/>
  <c r="P98" i="21"/>
  <c r="T98" i="21"/>
  <c r="H99" i="21"/>
  <c r="W99" i="21" s="1"/>
  <c r="L99" i="21"/>
  <c r="P99" i="21"/>
  <c r="T99" i="21"/>
  <c r="H100" i="21"/>
  <c r="W100" i="21" s="1"/>
  <c r="L100" i="21"/>
  <c r="P100" i="21"/>
  <c r="T100" i="21"/>
  <c r="H101" i="21"/>
  <c r="W101" i="21" s="1"/>
  <c r="L101" i="21"/>
  <c r="P101" i="21"/>
  <c r="T101" i="21"/>
  <c r="H102" i="21"/>
  <c r="W102" i="21" s="1"/>
  <c r="L102" i="21"/>
  <c r="P102" i="21"/>
  <c r="T102" i="21"/>
  <c r="H103" i="21"/>
  <c r="W103" i="21" s="1"/>
  <c r="L103" i="21"/>
  <c r="P103" i="21"/>
  <c r="T103" i="21"/>
  <c r="H104" i="21"/>
  <c r="W104" i="21" s="1"/>
  <c r="L104" i="21"/>
  <c r="P104" i="21"/>
  <c r="T104" i="21"/>
  <c r="H112" i="21"/>
  <c r="W112" i="21" s="1"/>
  <c r="L112" i="21"/>
  <c r="P112" i="21"/>
  <c r="T112" i="21"/>
  <c r="H113" i="21"/>
  <c r="W113" i="21" s="1"/>
  <c r="L113" i="21"/>
  <c r="P113" i="21"/>
  <c r="T113" i="21"/>
  <c r="W114" i="21"/>
  <c r="L114" i="21"/>
  <c r="P114" i="21"/>
  <c r="T114" i="21"/>
  <c r="H115" i="21"/>
  <c r="W115" i="21" s="1"/>
  <c r="L115" i="21"/>
  <c r="P115" i="21"/>
  <c r="T115" i="21"/>
  <c r="H116" i="21"/>
  <c r="W116" i="21" s="1"/>
  <c r="L116" i="21"/>
  <c r="P116" i="21"/>
  <c r="T116" i="21"/>
  <c r="H117" i="21"/>
  <c r="W117" i="21" s="1"/>
  <c r="L117" i="21"/>
  <c r="P117" i="21"/>
  <c r="T117" i="21"/>
  <c r="H118" i="21"/>
  <c r="W118" i="21" s="1"/>
  <c r="L118" i="21"/>
  <c r="L75" i="21"/>
  <c r="L76" i="21"/>
  <c r="L77" i="21"/>
  <c r="L78" i="21"/>
  <c r="L79" i="21"/>
  <c r="L81" i="21"/>
  <c r="L82" i="21"/>
  <c r="L83" i="21"/>
  <c r="L84" i="21"/>
  <c r="T84" i="21"/>
  <c r="L85" i="21"/>
  <c r="T85" i="21"/>
  <c r="L86" i="21"/>
  <c r="T86" i="21"/>
  <c r="L87" i="21"/>
  <c r="R87" i="21"/>
  <c r="G88" i="21"/>
  <c r="L88" i="21"/>
  <c r="R88" i="21"/>
  <c r="G89" i="21"/>
  <c r="L89" i="21"/>
  <c r="R89" i="21"/>
  <c r="M90" i="21"/>
  <c r="M91" i="21"/>
  <c r="M92" i="21"/>
  <c r="M93" i="21"/>
  <c r="M94" i="21"/>
  <c r="M95" i="21"/>
  <c r="M96" i="21"/>
  <c r="M98" i="21"/>
  <c r="M99" i="21"/>
  <c r="M100" i="21"/>
  <c r="M101" i="21"/>
  <c r="M102" i="21"/>
  <c r="M103" i="21"/>
  <c r="M104" i="21"/>
  <c r="M112" i="21"/>
  <c r="M113" i="21"/>
  <c r="M114" i="21"/>
  <c r="M115" i="21"/>
  <c r="M116" i="21"/>
  <c r="G117" i="21"/>
  <c r="O117" i="21"/>
  <c r="G118" i="21"/>
  <c r="N118" i="21"/>
  <c r="R118" i="21"/>
  <c r="V118" i="21"/>
  <c r="J119" i="21"/>
  <c r="N119" i="21"/>
  <c r="R119" i="21"/>
  <c r="V119" i="21"/>
  <c r="J121" i="21"/>
  <c r="N121" i="21"/>
  <c r="R121" i="21"/>
  <c r="V121" i="21"/>
  <c r="J122" i="21"/>
  <c r="N122" i="21"/>
  <c r="R122" i="21"/>
  <c r="V122" i="21"/>
  <c r="J123" i="21"/>
  <c r="N123" i="21"/>
  <c r="R123" i="21"/>
  <c r="V123" i="21"/>
  <c r="J124" i="21"/>
  <c r="N124" i="21"/>
  <c r="R124" i="21"/>
  <c r="V124" i="21"/>
  <c r="J125" i="21"/>
  <c r="N125" i="21"/>
  <c r="R125" i="21"/>
  <c r="V125" i="21"/>
  <c r="J126" i="21"/>
  <c r="N126" i="21"/>
  <c r="R126" i="21"/>
  <c r="V126" i="21"/>
  <c r="J127" i="21"/>
  <c r="N127" i="21"/>
  <c r="R127" i="21"/>
  <c r="V127" i="21"/>
  <c r="J128" i="21"/>
  <c r="N128" i="21"/>
  <c r="R128" i="21"/>
  <c r="V128" i="21"/>
  <c r="J129" i="21"/>
  <c r="N129" i="21"/>
  <c r="R129" i="21"/>
  <c r="V129" i="21"/>
  <c r="J131" i="21"/>
  <c r="N131" i="21"/>
  <c r="R131" i="21"/>
  <c r="V131" i="21"/>
  <c r="J132" i="21"/>
  <c r="N132" i="21"/>
  <c r="R132" i="21"/>
  <c r="V132" i="21"/>
  <c r="J134" i="21"/>
  <c r="N134" i="21"/>
  <c r="R134" i="21"/>
  <c r="V134" i="21"/>
  <c r="J135" i="21"/>
  <c r="N135" i="21"/>
  <c r="R135" i="21"/>
  <c r="V135" i="21"/>
  <c r="J136" i="21"/>
  <c r="N136" i="21"/>
  <c r="R136" i="21"/>
  <c r="V136" i="21"/>
  <c r="J138" i="21"/>
  <c r="N138" i="21"/>
  <c r="R138" i="21"/>
  <c r="V138" i="21"/>
  <c r="J139" i="21"/>
  <c r="N139" i="21"/>
  <c r="R139" i="21"/>
  <c r="V139" i="21"/>
  <c r="J140" i="21"/>
  <c r="N140" i="21"/>
  <c r="R140" i="21"/>
  <c r="V140" i="21"/>
  <c r="J142" i="21"/>
  <c r="N142" i="21"/>
  <c r="R142" i="21"/>
  <c r="V142" i="21"/>
  <c r="J145" i="21"/>
  <c r="N145" i="21"/>
  <c r="R145" i="21"/>
  <c r="V145" i="21"/>
  <c r="J146" i="21"/>
  <c r="N146" i="21"/>
  <c r="R146" i="21"/>
  <c r="V146" i="21"/>
  <c r="J147" i="21"/>
  <c r="N147" i="21"/>
  <c r="R147" i="21"/>
  <c r="V147" i="21"/>
  <c r="J148" i="21"/>
  <c r="N148" i="21"/>
  <c r="R148" i="21"/>
  <c r="V148" i="21"/>
  <c r="J149" i="21"/>
  <c r="N149" i="21"/>
  <c r="R149" i="21"/>
  <c r="V149" i="21"/>
  <c r="J154" i="21"/>
  <c r="N154" i="21"/>
  <c r="R154" i="21"/>
  <c r="V154" i="21"/>
  <c r="J155" i="21"/>
  <c r="N155" i="21"/>
  <c r="R155" i="21"/>
  <c r="V155" i="21"/>
  <c r="J156" i="21"/>
  <c r="N156" i="21"/>
  <c r="R156" i="21"/>
  <c r="V156" i="21"/>
  <c r="J158" i="21"/>
  <c r="N158" i="21"/>
  <c r="R158" i="21"/>
  <c r="V158" i="21"/>
  <c r="J159" i="21"/>
  <c r="N159" i="21"/>
  <c r="R159" i="21"/>
  <c r="V159" i="21"/>
  <c r="J160" i="21"/>
  <c r="N160" i="21"/>
  <c r="R160" i="21"/>
  <c r="V160" i="21"/>
  <c r="J161" i="21"/>
  <c r="N161" i="21"/>
  <c r="R161" i="21"/>
  <c r="V161" i="21"/>
  <c r="J162" i="21"/>
  <c r="N162" i="21"/>
  <c r="R162" i="21"/>
  <c r="V162" i="21"/>
  <c r="J163" i="21"/>
  <c r="N163" i="21"/>
  <c r="R163" i="21"/>
  <c r="V163" i="21"/>
  <c r="J164" i="21"/>
  <c r="N164" i="21"/>
  <c r="R164" i="21"/>
  <c r="V164" i="21"/>
  <c r="J165" i="21"/>
  <c r="N165" i="21"/>
  <c r="R165" i="21"/>
  <c r="V165" i="21"/>
  <c r="J167" i="21"/>
  <c r="N167" i="21"/>
  <c r="R167" i="21"/>
  <c r="V167" i="21"/>
  <c r="J168" i="21"/>
  <c r="N168" i="21"/>
  <c r="R168" i="21"/>
  <c r="V168" i="21"/>
  <c r="J169" i="21"/>
  <c r="N169" i="21"/>
  <c r="R169" i="21"/>
  <c r="V169" i="21"/>
  <c r="J170" i="21"/>
  <c r="N170" i="21"/>
  <c r="R170" i="21"/>
  <c r="V170" i="21"/>
  <c r="J171" i="21"/>
  <c r="N171" i="21"/>
  <c r="R171" i="21"/>
  <c r="V171" i="21"/>
  <c r="J172" i="21"/>
  <c r="N172" i="21"/>
  <c r="R172" i="21"/>
  <c r="V172" i="21"/>
  <c r="J173" i="21"/>
  <c r="N173" i="21"/>
  <c r="R173" i="21"/>
  <c r="V173" i="21"/>
  <c r="J174" i="21"/>
  <c r="N174" i="21"/>
  <c r="R174" i="21"/>
  <c r="V174" i="21"/>
  <c r="J175" i="21"/>
  <c r="N175" i="21"/>
  <c r="R175" i="21"/>
  <c r="V175" i="21"/>
  <c r="J177" i="21"/>
  <c r="N177" i="21"/>
  <c r="R177" i="21"/>
  <c r="V177" i="21"/>
  <c r="J178" i="21"/>
  <c r="N178" i="21"/>
  <c r="R178" i="21"/>
  <c r="V178" i="21"/>
  <c r="J179" i="21"/>
  <c r="N179" i="21"/>
  <c r="R179" i="21"/>
  <c r="V179" i="21"/>
  <c r="J181" i="21"/>
  <c r="N181" i="21"/>
  <c r="R181" i="21"/>
  <c r="Q90" i="21"/>
  <c r="Q91" i="21"/>
  <c r="Q92" i="21"/>
  <c r="Q93" i="21"/>
  <c r="Q94" i="21"/>
  <c r="Q95" i="21"/>
  <c r="Q96" i="21"/>
  <c r="Q98" i="21"/>
  <c r="Q99" i="21"/>
  <c r="Q100" i="21"/>
  <c r="Q101" i="21"/>
  <c r="Q102" i="21"/>
  <c r="Q103" i="21"/>
  <c r="Q104" i="21"/>
  <c r="Q112" i="21"/>
  <c r="Q113" i="21"/>
  <c r="Q114" i="21"/>
  <c r="Q115" i="21"/>
  <c r="Q116" i="21"/>
  <c r="I117" i="21"/>
  <c r="Q117" i="21"/>
  <c r="I118" i="21"/>
  <c r="O118" i="21"/>
  <c r="S118" i="21"/>
  <c r="G119" i="21"/>
  <c r="K119" i="21"/>
  <c r="O119" i="21"/>
  <c r="S119" i="21"/>
  <c r="G121" i="21"/>
  <c r="K121" i="21"/>
  <c r="O121" i="21"/>
  <c r="S121" i="21"/>
  <c r="G122" i="21"/>
  <c r="K122" i="21"/>
  <c r="O122" i="21"/>
  <c r="S122" i="21"/>
  <c r="G123" i="21"/>
  <c r="K123" i="21"/>
  <c r="O123" i="21"/>
  <c r="S123" i="21"/>
  <c r="G124" i="21"/>
  <c r="K124" i="21"/>
  <c r="O124" i="21"/>
  <c r="S124" i="21"/>
  <c r="G125" i="21"/>
  <c r="K125" i="21"/>
  <c r="O125" i="21"/>
  <c r="S125" i="21"/>
  <c r="G126" i="21"/>
  <c r="K126" i="21"/>
  <c r="O126" i="21"/>
  <c r="S126" i="21"/>
  <c r="G127" i="21"/>
  <c r="K127" i="21"/>
  <c r="O127" i="21"/>
  <c r="S127" i="21"/>
  <c r="G128" i="21"/>
  <c r="K128" i="21"/>
  <c r="O128" i="21"/>
  <c r="S128" i="21"/>
  <c r="G129" i="21"/>
  <c r="K129" i="21"/>
  <c r="O129" i="21"/>
  <c r="S129" i="21"/>
  <c r="G131" i="21"/>
  <c r="K131" i="21"/>
  <c r="O131" i="21"/>
  <c r="S131" i="21"/>
  <c r="G132" i="21"/>
  <c r="K132" i="21"/>
  <c r="O132" i="21"/>
  <c r="S132" i="21"/>
  <c r="G134" i="21"/>
  <c r="K134" i="21"/>
  <c r="O134" i="21"/>
  <c r="S134" i="21"/>
  <c r="G135" i="21"/>
  <c r="K135" i="21"/>
  <c r="O135" i="21"/>
  <c r="S135" i="21"/>
  <c r="G136" i="21"/>
  <c r="K136" i="21"/>
  <c r="O136" i="21"/>
  <c r="S136" i="21"/>
  <c r="G138" i="21"/>
  <c r="K138" i="21"/>
  <c r="O138" i="21"/>
  <c r="S138" i="21"/>
  <c r="G139" i="21"/>
  <c r="K139" i="21"/>
  <c r="O139" i="21"/>
  <c r="S139" i="21"/>
  <c r="G140" i="21"/>
  <c r="K140" i="21"/>
  <c r="O140" i="21"/>
  <c r="S140" i="21"/>
  <c r="G142" i="21"/>
  <c r="K142" i="21"/>
  <c r="O142" i="21"/>
  <c r="S142" i="21"/>
  <c r="G145" i="21"/>
  <c r="K145" i="21"/>
  <c r="O145" i="21"/>
  <c r="S145" i="21"/>
  <c r="G146" i="21"/>
  <c r="K146" i="21"/>
  <c r="O146" i="21"/>
  <c r="S146" i="21"/>
  <c r="G147" i="21"/>
  <c r="K147" i="21"/>
  <c r="O147" i="21"/>
  <c r="S147" i="21"/>
  <c r="G148" i="21"/>
  <c r="K148" i="21"/>
  <c r="O148" i="21"/>
  <c r="S148" i="21"/>
  <c r="G149" i="21"/>
  <c r="K149" i="21"/>
  <c r="O149" i="21"/>
  <c r="S149" i="21"/>
  <c r="G154" i="21"/>
  <c r="K154" i="21"/>
  <c r="O154" i="21"/>
  <c r="S154" i="21"/>
  <c r="G155" i="21"/>
  <c r="K155" i="21"/>
  <c r="O155" i="21"/>
  <c r="S155" i="21"/>
  <c r="G156" i="21"/>
  <c r="K156" i="21"/>
  <c r="O156" i="21"/>
  <c r="S156" i="21"/>
  <c r="G158" i="21"/>
  <c r="K158" i="21"/>
  <c r="O158" i="21"/>
  <c r="S158" i="21"/>
  <c r="G159" i="21"/>
  <c r="K159" i="21"/>
  <c r="O159" i="21"/>
  <c r="S159" i="21"/>
  <c r="G160" i="21"/>
  <c r="K160" i="21"/>
  <c r="O160" i="21"/>
  <c r="S160" i="21"/>
  <c r="G161" i="21"/>
  <c r="K161" i="21"/>
  <c r="O161" i="21"/>
  <c r="S161" i="21"/>
  <c r="G162" i="21"/>
  <c r="U90" i="21"/>
  <c r="U91" i="21"/>
  <c r="U92" i="21"/>
  <c r="U93" i="21"/>
  <c r="U94" i="21"/>
  <c r="U95" i="21"/>
  <c r="U96" i="21"/>
  <c r="U98" i="21"/>
  <c r="U99" i="21"/>
  <c r="U100" i="21"/>
  <c r="U101" i="21"/>
  <c r="U102" i="21"/>
  <c r="U103" i="21"/>
  <c r="U104" i="21"/>
  <c r="U112" i="21"/>
  <c r="U113" i="21"/>
  <c r="U114" i="21"/>
  <c r="U115" i="21"/>
  <c r="S116" i="21"/>
  <c r="K117" i="21"/>
  <c r="S117" i="21"/>
  <c r="K118" i="21"/>
  <c r="P118" i="21"/>
  <c r="H119" i="21"/>
  <c r="W119" i="21" s="1"/>
  <c r="L119" i="21"/>
  <c r="P119" i="21"/>
  <c r="T119" i="21"/>
  <c r="H121" i="21"/>
  <c r="W121" i="21" s="1"/>
  <c r="L121" i="21"/>
  <c r="P121" i="21"/>
  <c r="T121" i="21"/>
  <c r="H122" i="21"/>
  <c r="W122" i="21" s="1"/>
  <c r="L122" i="21"/>
  <c r="P122" i="21"/>
  <c r="T122" i="21"/>
  <c r="H123" i="21"/>
  <c r="W123" i="21" s="1"/>
  <c r="L123" i="21"/>
  <c r="P123" i="21"/>
  <c r="T123" i="21"/>
  <c r="H124" i="21"/>
  <c r="W124" i="21" s="1"/>
  <c r="L124" i="21"/>
  <c r="P124" i="21"/>
  <c r="T124" i="21"/>
  <c r="H125" i="21"/>
  <c r="W125" i="21" s="1"/>
  <c r="L125" i="21"/>
  <c r="P125" i="21"/>
  <c r="T125" i="21"/>
  <c r="H126" i="21"/>
  <c r="W126" i="21" s="1"/>
  <c r="L126" i="21"/>
  <c r="P126" i="21"/>
  <c r="T126" i="21"/>
  <c r="H127" i="21"/>
  <c r="W127" i="21" s="1"/>
  <c r="L127" i="21"/>
  <c r="P127" i="21"/>
  <c r="T127" i="21"/>
  <c r="H128" i="21"/>
  <c r="W128" i="21" s="1"/>
  <c r="L128" i="21"/>
  <c r="P128" i="21"/>
  <c r="T128" i="21"/>
  <c r="H129" i="21"/>
  <c r="W129" i="21" s="1"/>
  <c r="L129" i="21"/>
  <c r="P129" i="21"/>
  <c r="T129" i="21"/>
  <c r="H131" i="21"/>
  <c r="W131" i="21" s="1"/>
  <c r="L131" i="21"/>
  <c r="P131" i="21"/>
  <c r="T131" i="21"/>
  <c r="H132" i="21"/>
  <c r="W132" i="21" s="1"/>
  <c r="L132" i="21"/>
  <c r="P132" i="21"/>
  <c r="T132" i="21"/>
  <c r="H134" i="21"/>
  <c r="W134" i="21" s="1"/>
  <c r="L134" i="21"/>
  <c r="P134" i="21"/>
  <c r="T134" i="21"/>
  <c r="H135" i="21"/>
  <c r="W135" i="21" s="1"/>
  <c r="L135" i="21"/>
  <c r="P135" i="21"/>
  <c r="T135" i="21"/>
  <c r="H136" i="21"/>
  <c r="W136" i="21" s="1"/>
  <c r="L136" i="21"/>
  <c r="P136" i="21"/>
  <c r="T136" i="21"/>
  <c r="W138" i="21"/>
  <c r="L138" i="21"/>
  <c r="P138" i="21"/>
  <c r="T138" i="21"/>
  <c r="H139" i="21"/>
  <c r="W139" i="21" s="1"/>
  <c r="L139" i="21"/>
  <c r="P139" i="21"/>
  <c r="T139" i="21"/>
  <c r="H140" i="21"/>
  <c r="W140" i="21" s="1"/>
  <c r="L140" i="21"/>
  <c r="P140" i="21"/>
  <c r="T140" i="21"/>
  <c r="H142" i="21"/>
  <c r="W142" i="21" s="1"/>
  <c r="L142" i="21"/>
  <c r="P142" i="21"/>
  <c r="T142" i="21"/>
  <c r="H145" i="21"/>
  <c r="L145" i="21"/>
  <c r="P145" i="21"/>
  <c r="T145" i="21"/>
  <c r="H146" i="21"/>
  <c r="W146" i="21" s="1"/>
  <c r="L146" i="21"/>
  <c r="P146" i="21"/>
  <c r="T146" i="21"/>
  <c r="H147" i="21"/>
  <c r="W147" i="21" s="1"/>
  <c r="L147" i="21"/>
  <c r="P147" i="21"/>
  <c r="T147" i="21"/>
  <c r="H148" i="21"/>
  <c r="W148" i="21" s="1"/>
  <c r="L148" i="21"/>
  <c r="P148" i="21"/>
  <c r="T148" i="21"/>
  <c r="H149" i="21"/>
  <c r="W149" i="21" s="1"/>
  <c r="L149" i="21"/>
  <c r="P149" i="21"/>
  <c r="T149" i="21"/>
  <c r="I90" i="21"/>
  <c r="I91" i="21"/>
  <c r="I93" i="21"/>
  <c r="I96" i="21"/>
  <c r="I99" i="21"/>
  <c r="I103" i="21"/>
  <c r="I114" i="21"/>
  <c r="M117" i="21"/>
  <c r="U118" i="21"/>
  <c r="U119" i="21"/>
  <c r="U121" i="21"/>
  <c r="U122" i="21"/>
  <c r="U123" i="21"/>
  <c r="U124" i="21"/>
  <c r="U125" i="21"/>
  <c r="U126" i="21"/>
  <c r="U127" i="21"/>
  <c r="U128" i="21"/>
  <c r="U129" i="21"/>
  <c r="U131" i="21"/>
  <c r="U132" i="21"/>
  <c r="U134" i="21"/>
  <c r="U135" i="21"/>
  <c r="U136" i="21"/>
  <c r="U138" i="21"/>
  <c r="U139" i="21"/>
  <c r="U140" i="21"/>
  <c r="U142" i="21"/>
  <c r="U145" i="21"/>
  <c r="U146" i="21"/>
  <c r="U147" i="21"/>
  <c r="U148" i="21"/>
  <c r="U149" i="21"/>
  <c r="M154" i="21"/>
  <c r="U154" i="21"/>
  <c r="M155" i="21"/>
  <c r="U155" i="21"/>
  <c r="M156" i="21"/>
  <c r="U156" i="21"/>
  <c r="M158" i="21"/>
  <c r="U158" i="21"/>
  <c r="M159" i="21"/>
  <c r="U159" i="21"/>
  <c r="M160" i="21"/>
  <c r="U160" i="21"/>
  <c r="M161" i="21"/>
  <c r="U161" i="21"/>
  <c r="L162" i="21"/>
  <c r="Q162" i="21"/>
  <c r="G163" i="21"/>
  <c r="L163" i="21"/>
  <c r="Q163" i="21"/>
  <c r="G164" i="21"/>
  <c r="L164" i="21"/>
  <c r="Q164" i="21"/>
  <c r="G165" i="21"/>
  <c r="L165" i="21"/>
  <c r="Q165" i="21"/>
  <c r="G167" i="21"/>
  <c r="L167" i="21"/>
  <c r="Q167" i="21"/>
  <c r="G168" i="21"/>
  <c r="I94" i="21"/>
  <c r="I100" i="21"/>
  <c r="I104" i="21"/>
  <c r="I115" i="21"/>
  <c r="U117" i="21"/>
  <c r="I119" i="21"/>
  <c r="I121" i="21"/>
  <c r="I122" i="21"/>
  <c r="I123" i="21"/>
  <c r="I124" i="21"/>
  <c r="I125" i="21"/>
  <c r="I126" i="21"/>
  <c r="I127" i="21"/>
  <c r="I128" i="21"/>
  <c r="I129" i="21"/>
  <c r="I131" i="21"/>
  <c r="I132" i="21"/>
  <c r="I134" i="21"/>
  <c r="I135" i="21"/>
  <c r="I136" i="21"/>
  <c r="I138" i="21"/>
  <c r="I139" i="21"/>
  <c r="I140" i="21"/>
  <c r="I142" i="21"/>
  <c r="I145" i="21"/>
  <c r="I146" i="21"/>
  <c r="I147" i="21"/>
  <c r="I148" i="21"/>
  <c r="I149" i="21"/>
  <c r="H154" i="21"/>
  <c r="W154" i="21" s="1"/>
  <c r="P154" i="21"/>
  <c r="H155" i="21"/>
  <c r="W155" i="21" s="1"/>
  <c r="P155" i="21"/>
  <c r="H156" i="21"/>
  <c r="W156" i="21" s="1"/>
  <c r="P156" i="21"/>
  <c r="H158" i="21"/>
  <c r="W158" i="21" s="1"/>
  <c r="P158" i="21"/>
  <c r="H159" i="21"/>
  <c r="W159" i="21" s="1"/>
  <c r="P159" i="21"/>
  <c r="H160" i="21"/>
  <c r="W160" i="21" s="1"/>
  <c r="P160" i="21"/>
  <c r="H161" i="21"/>
  <c r="W161" i="21" s="1"/>
  <c r="P161" i="21"/>
  <c r="H162" i="21"/>
  <c r="W162" i="21" s="1"/>
  <c r="M162" i="21"/>
  <c r="S162" i="21"/>
  <c r="H163" i="21"/>
  <c r="W163" i="21" s="1"/>
  <c r="M163" i="21"/>
  <c r="S163" i="21"/>
  <c r="H164" i="21"/>
  <c r="W164" i="21" s="1"/>
  <c r="M164" i="21"/>
  <c r="S164" i="21"/>
  <c r="H165" i="21"/>
  <c r="W165" i="21" s="1"/>
  <c r="M165" i="21"/>
  <c r="S165" i="21"/>
  <c r="H167" i="21"/>
  <c r="W167" i="21" s="1"/>
  <c r="M167" i="21"/>
  <c r="S167" i="21"/>
  <c r="H168" i="21"/>
  <c r="W168" i="21" s="1"/>
  <c r="I95" i="21"/>
  <c r="I101" i="21"/>
  <c r="I112" i="21"/>
  <c r="I116" i="21"/>
  <c r="M118" i="21"/>
  <c r="M119" i="21"/>
  <c r="M121" i="21"/>
  <c r="M122" i="21"/>
  <c r="M123" i="21"/>
  <c r="M124" i="21"/>
  <c r="M125" i="21"/>
  <c r="M126" i="21"/>
  <c r="M127" i="21"/>
  <c r="M128" i="21"/>
  <c r="M129" i="21"/>
  <c r="M131" i="21"/>
  <c r="M132" i="21"/>
  <c r="M134" i="21"/>
  <c r="M135" i="21"/>
  <c r="M136" i="21"/>
  <c r="M138" i="21"/>
  <c r="M139" i="21"/>
  <c r="M140" i="21"/>
  <c r="M142" i="21"/>
  <c r="M145" i="21"/>
  <c r="M146" i="21"/>
  <c r="M147" i="21"/>
  <c r="M148" i="21"/>
  <c r="M149" i="21"/>
  <c r="I154" i="21"/>
  <c r="Q154" i="21"/>
  <c r="I155" i="21"/>
  <c r="Q155" i="21"/>
  <c r="I156" i="21"/>
  <c r="Q156" i="21"/>
  <c r="I158" i="21"/>
  <c r="Q158" i="21"/>
  <c r="I159" i="21"/>
  <c r="Q159" i="21"/>
  <c r="I160" i="21"/>
  <c r="Q160" i="21"/>
  <c r="I161" i="21"/>
  <c r="Q161" i="21"/>
  <c r="I162" i="21"/>
  <c r="O162" i="21"/>
  <c r="T162" i="21"/>
  <c r="I163" i="21"/>
  <c r="O163" i="21"/>
  <c r="T163" i="21"/>
  <c r="I164" i="21"/>
  <c r="O164" i="21"/>
  <c r="T164" i="21"/>
  <c r="I165" i="21"/>
  <c r="O165" i="21"/>
  <c r="T165" i="21"/>
  <c r="I167" i="21"/>
  <c r="O167" i="21"/>
  <c r="T167" i="21"/>
  <c r="I168" i="21"/>
  <c r="I92" i="21"/>
  <c r="I98" i="21"/>
  <c r="I102" i="21"/>
  <c r="I113" i="21"/>
  <c r="U116" i="21"/>
  <c r="Q118" i="21"/>
  <c r="Q119" i="21"/>
  <c r="Q121" i="21"/>
  <c r="Q122" i="21"/>
  <c r="Q123" i="21"/>
  <c r="Q124" i="21"/>
  <c r="Q125" i="21"/>
  <c r="Q126" i="21"/>
  <c r="Q127" i="21"/>
  <c r="Q128" i="21"/>
  <c r="Q129" i="21"/>
  <c r="Q131" i="21"/>
  <c r="Q132" i="21"/>
  <c r="Q134" i="21"/>
  <c r="Q135" i="21"/>
  <c r="Q136" i="21"/>
  <c r="Q138" i="21"/>
  <c r="Q139" i="21"/>
  <c r="Q140" i="21"/>
  <c r="Q142" i="21"/>
  <c r="Q145" i="21"/>
  <c r="Q146" i="21"/>
  <c r="Q147" i="21"/>
  <c r="Q148" i="21"/>
  <c r="Q149" i="21"/>
  <c r="L154" i="21"/>
  <c r="T154" i="21"/>
  <c r="L155" i="21"/>
  <c r="T155" i="21"/>
  <c r="L156" i="21"/>
  <c r="T156" i="21"/>
  <c r="L158" i="21"/>
  <c r="T158" i="21"/>
  <c r="L159" i="21"/>
  <c r="T159" i="21"/>
  <c r="L160" i="21"/>
  <c r="T160" i="21"/>
  <c r="L161" i="21"/>
  <c r="T161" i="21"/>
  <c r="K162" i="21"/>
  <c r="P162" i="21"/>
  <c r="U162" i="21"/>
  <c r="K163" i="21"/>
  <c r="P163" i="21"/>
  <c r="U163" i="21"/>
  <c r="K164" i="21"/>
  <c r="P164" i="21"/>
  <c r="U164" i="21"/>
  <c r="K165" i="21"/>
  <c r="P165" i="21"/>
  <c r="U165" i="21"/>
  <c r="K167" i="21"/>
  <c r="P167" i="21"/>
  <c r="U167" i="21"/>
  <c r="K168" i="21"/>
  <c r="L168" i="21"/>
  <c r="Q168" i="21"/>
  <c r="G169" i="21"/>
  <c r="L169" i="21"/>
  <c r="Q169" i="21"/>
  <c r="G170" i="21"/>
  <c r="L170" i="21"/>
  <c r="Q170" i="21"/>
  <c r="G171" i="21"/>
  <c r="L171" i="21"/>
  <c r="Q171" i="21"/>
  <c r="G172" i="21"/>
  <c r="L172" i="21"/>
  <c r="Q172" i="21"/>
  <c r="G173" i="21"/>
  <c r="L173" i="21"/>
  <c r="Q173" i="21"/>
  <c r="G174" i="21"/>
  <c r="L174" i="21"/>
  <c r="Q174" i="21"/>
  <c r="G175" i="21"/>
  <c r="L175" i="21"/>
  <c r="Q175" i="21"/>
  <c r="G177" i="21"/>
  <c r="L177" i="21"/>
  <c r="Q177" i="21"/>
  <c r="G178" i="21"/>
  <c r="L178" i="21"/>
  <c r="Q178" i="21"/>
  <c r="G179" i="21"/>
  <c r="L179" i="21"/>
  <c r="Q179" i="21"/>
  <c r="G181" i="21"/>
  <c r="L181" i="21"/>
  <c r="Q181" i="21"/>
  <c r="V181" i="21"/>
  <c r="J182" i="21"/>
  <c r="N182" i="21"/>
  <c r="R182" i="21"/>
  <c r="V182" i="21"/>
  <c r="J183" i="21"/>
  <c r="N183" i="21"/>
  <c r="R183" i="21"/>
  <c r="V183" i="21"/>
  <c r="J184" i="21"/>
  <c r="N184" i="21"/>
  <c r="R184" i="21"/>
  <c r="V184" i="21"/>
  <c r="J185" i="21"/>
  <c r="N185" i="21"/>
  <c r="R185" i="21"/>
  <c r="V185" i="21"/>
  <c r="J187" i="21"/>
  <c r="N187" i="21"/>
  <c r="R187" i="21"/>
  <c r="V187" i="21"/>
  <c r="J188" i="21"/>
  <c r="N188" i="21"/>
  <c r="R188" i="21"/>
  <c r="V188" i="21"/>
  <c r="J189" i="21"/>
  <c r="N189" i="21"/>
  <c r="R189" i="21"/>
  <c r="V189" i="21"/>
  <c r="J190" i="21"/>
  <c r="N190" i="21"/>
  <c r="R190" i="21"/>
  <c r="V190" i="21"/>
  <c r="J191" i="21"/>
  <c r="N191" i="21"/>
  <c r="R191" i="21"/>
  <c r="V191" i="21"/>
  <c r="J192" i="21"/>
  <c r="N192" i="21"/>
  <c r="R192" i="21"/>
  <c r="V192" i="21"/>
  <c r="J194" i="21"/>
  <c r="N194" i="21"/>
  <c r="R194" i="21"/>
  <c r="V194" i="21"/>
  <c r="M168" i="21"/>
  <c r="S168" i="21"/>
  <c r="H169" i="21"/>
  <c r="W169" i="21" s="1"/>
  <c r="M169" i="21"/>
  <c r="S169" i="21"/>
  <c r="H170" i="21"/>
  <c r="W170" i="21" s="1"/>
  <c r="M170" i="21"/>
  <c r="S170" i="21"/>
  <c r="H171" i="21"/>
  <c r="W171" i="21" s="1"/>
  <c r="M171" i="21"/>
  <c r="S171" i="21"/>
  <c r="H172" i="21"/>
  <c r="W172" i="21" s="1"/>
  <c r="M172" i="21"/>
  <c r="S172" i="21"/>
  <c r="H173" i="21"/>
  <c r="W173" i="21" s="1"/>
  <c r="M173" i="21"/>
  <c r="S173" i="21"/>
  <c r="H174" i="21"/>
  <c r="W174" i="21" s="1"/>
  <c r="M174" i="21"/>
  <c r="S174" i="21"/>
  <c r="H175" i="21"/>
  <c r="W175" i="21" s="1"/>
  <c r="M175" i="21"/>
  <c r="S175" i="21"/>
  <c r="H177" i="21"/>
  <c r="W177" i="21" s="1"/>
  <c r="M177" i="21"/>
  <c r="S177" i="21"/>
  <c r="W178" i="21"/>
  <c r="M178" i="21"/>
  <c r="S178" i="21"/>
  <c r="H179" i="21"/>
  <c r="W179" i="21" s="1"/>
  <c r="M179" i="21"/>
  <c r="S179" i="21"/>
  <c r="H181" i="21"/>
  <c r="W181" i="21" s="1"/>
  <c r="M181" i="21"/>
  <c r="S181" i="21"/>
  <c r="G182" i="21"/>
  <c r="K182" i="21"/>
  <c r="O182" i="21"/>
  <c r="S182" i="21"/>
  <c r="G183" i="21"/>
  <c r="K183" i="21"/>
  <c r="O183" i="21"/>
  <c r="S183" i="21"/>
  <c r="G184" i="21"/>
  <c r="K184" i="21"/>
  <c r="O184" i="21"/>
  <c r="S184" i="21"/>
  <c r="G185" i="21"/>
  <c r="K185" i="21"/>
  <c r="O185" i="21"/>
  <c r="S185" i="21"/>
  <c r="G187" i="21"/>
  <c r="K187" i="21"/>
  <c r="O187" i="21"/>
  <c r="S187" i="21"/>
  <c r="G188" i="21"/>
  <c r="K188" i="21"/>
  <c r="O188" i="21"/>
  <c r="S188" i="21"/>
  <c r="G189" i="21"/>
  <c r="K189" i="21"/>
  <c r="O189" i="21"/>
  <c r="S189" i="21"/>
  <c r="G190" i="21"/>
  <c r="K190" i="21"/>
  <c r="O190" i="21"/>
  <c r="S190" i="21"/>
  <c r="G191" i="21"/>
  <c r="K191" i="21"/>
  <c r="O191" i="21"/>
  <c r="S191" i="21"/>
  <c r="G192" i="21"/>
  <c r="K192" i="21"/>
  <c r="O192" i="21"/>
  <c r="S192" i="21"/>
  <c r="G194" i="21"/>
  <c r="K194" i="21"/>
  <c r="O194" i="21"/>
  <c r="S194" i="21"/>
  <c r="G195" i="21"/>
  <c r="O168" i="21"/>
  <c r="T168" i="21"/>
  <c r="I169" i="21"/>
  <c r="O169" i="21"/>
  <c r="T169" i="21"/>
  <c r="I170" i="21"/>
  <c r="O170" i="21"/>
  <c r="T170" i="21"/>
  <c r="I171" i="21"/>
  <c r="O171" i="21"/>
  <c r="T171" i="21"/>
  <c r="I172" i="21"/>
  <c r="O172" i="21"/>
  <c r="T172" i="21"/>
  <c r="I173" i="21"/>
  <c r="O173" i="21"/>
  <c r="T173" i="21"/>
  <c r="I174" i="21"/>
  <c r="O174" i="21"/>
  <c r="T174" i="21"/>
  <c r="I175" i="21"/>
  <c r="O175" i="21"/>
  <c r="T175" i="21"/>
  <c r="I177" i="21"/>
  <c r="O177" i="21"/>
  <c r="T177" i="21"/>
  <c r="I178" i="21"/>
  <c r="O178" i="21"/>
  <c r="T178" i="21"/>
  <c r="I179" i="21"/>
  <c r="O179" i="21"/>
  <c r="T179" i="21"/>
  <c r="I181" i="21"/>
  <c r="O181" i="21"/>
  <c r="T181" i="21"/>
  <c r="H182" i="21"/>
  <c r="W182" i="21" s="1"/>
  <c r="L182" i="21"/>
  <c r="P182" i="21"/>
  <c r="H183" i="21"/>
  <c r="W183" i="21" s="1"/>
  <c r="L183" i="21"/>
  <c r="P183" i="21"/>
  <c r="T183" i="21"/>
  <c r="H184" i="21"/>
  <c r="W184" i="21" s="1"/>
  <c r="L184" i="21"/>
  <c r="P184" i="21"/>
  <c r="T184" i="21"/>
  <c r="H185" i="21"/>
  <c r="W185" i="21" s="1"/>
  <c r="L185" i="21"/>
  <c r="P185" i="21"/>
  <c r="T185" i="21"/>
  <c r="H187" i="21"/>
  <c r="W187" i="21" s="1"/>
  <c r="L187" i="21"/>
  <c r="P187" i="21"/>
  <c r="T187" i="21"/>
  <c r="H188" i="21"/>
  <c r="W188" i="21" s="1"/>
  <c r="L188" i="21"/>
  <c r="P188" i="21"/>
  <c r="H189" i="21"/>
  <c r="W189" i="21" s="1"/>
  <c r="L189" i="21"/>
  <c r="P189" i="21"/>
  <c r="T189" i="21"/>
  <c r="H190" i="21"/>
  <c r="W190" i="21" s="1"/>
  <c r="L190" i="21"/>
  <c r="P190" i="21"/>
  <c r="T190" i="21"/>
  <c r="H191" i="21"/>
  <c r="W191" i="21" s="1"/>
  <c r="L191" i="21"/>
  <c r="P191" i="21"/>
  <c r="T191" i="21"/>
  <c r="H192" i="21"/>
  <c r="W192" i="21" s="1"/>
  <c r="L192" i="21"/>
  <c r="P192" i="21"/>
  <c r="T192" i="21"/>
  <c r="H194" i="21"/>
  <c r="W194" i="21" s="1"/>
  <c r="L194" i="21"/>
  <c r="P194" i="21"/>
  <c r="T194" i="21"/>
  <c r="H195" i="21"/>
  <c r="W195" i="21" s="1"/>
  <c r="L195" i="21"/>
  <c r="P195" i="21"/>
  <c r="T195" i="21"/>
  <c r="H196" i="21"/>
  <c r="W196" i="21" s="1"/>
  <c r="L196" i="21"/>
  <c r="P196" i="21"/>
  <c r="T196" i="21"/>
  <c r="H197" i="21"/>
  <c r="W197" i="21" s="1"/>
  <c r="L197" i="21"/>
  <c r="P197" i="21"/>
  <c r="T197" i="21"/>
  <c r="P168" i="21"/>
  <c r="U168" i="21"/>
  <c r="K169" i="21"/>
  <c r="P169" i="21"/>
  <c r="U169" i="21"/>
  <c r="K170" i="21"/>
  <c r="P170" i="21"/>
  <c r="U170" i="21"/>
  <c r="K171" i="21"/>
  <c r="P171" i="21"/>
  <c r="U171" i="21"/>
  <c r="K172" i="21"/>
  <c r="P172" i="21"/>
  <c r="U172" i="21"/>
  <c r="K173" i="21"/>
  <c r="P173" i="21"/>
  <c r="U173" i="21"/>
  <c r="K174" i="21"/>
  <c r="P174" i="21"/>
  <c r="U174" i="21"/>
  <c r="K175" i="21"/>
  <c r="P175" i="21"/>
  <c r="U175" i="21"/>
  <c r="K177" i="21"/>
  <c r="P177" i="21"/>
  <c r="U177" i="21"/>
  <c r="K178" i="21"/>
  <c r="P178" i="21"/>
  <c r="U178" i="21"/>
  <c r="K179" i="21"/>
  <c r="P179" i="21"/>
  <c r="U179" i="21"/>
  <c r="K181" i="21"/>
  <c r="P181" i="21"/>
  <c r="U181" i="21"/>
  <c r="I182" i="21"/>
  <c r="M182" i="21"/>
  <c r="Q182" i="21"/>
  <c r="U182" i="21"/>
  <c r="I183" i="21"/>
  <c r="M183" i="21"/>
  <c r="Q183" i="21"/>
  <c r="U183" i="21"/>
  <c r="I184" i="21"/>
  <c r="M184" i="21"/>
  <c r="Q184" i="21"/>
  <c r="U184" i="21"/>
  <c r="I185" i="21"/>
  <c r="M185" i="21"/>
  <c r="Q185" i="21"/>
  <c r="U185" i="21"/>
  <c r="I187" i="21"/>
  <c r="M187" i="21"/>
  <c r="Q187" i="21"/>
  <c r="U187" i="21"/>
  <c r="I188" i="21"/>
  <c r="M188" i="21"/>
  <c r="Q188" i="21"/>
  <c r="U188" i="21"/>
  <c r="I189" i="21"/>
  <c r="M189" i="21"/>
  <c r="Q189" i="21"/>
  <c r="U189" i="21"/>
  <c r="I190" i="21"/>
  <c r="M190" i="21"/>
  <c r="Q190" i="21"/>
  <c r="U190" i="21"/>
  <c r="I191" i="21"/>
  <c r="M191" i="21"/>
  <c r="Q191" i="21"/>
  <c r="U191" i="21"/>
  <c r="I192" i="21"/>
  <c r="M192" i="21"/>
  <c r="Q192" i="21"/>
  <c r="U192" i="21"/>
  <c r="I194" i="21"/>
  <c r="M194" i="21"/>
  <c r="Q194" i="21"/>
  <c r="U194" i="21"/>
  <c r="I195" i="21"/>
  <c r="M195" i="21"/>
  <c r="Q195" i="21"/>
  <c r="U195" i="21"/>
  <c r="I196" i="21"/>
  <c r="M196" i="21"/>
  <c r="Q196" i="21"/>
  <c r="U196" i="21"/>
  <c r="I197" i="21"/>
  <c r="M197" i="21"/>
  <c r="Q197" i="21"/>
  <c r="J195" i="21"/>
  <c r="R195" i="21"/>
  <c r="J196" i="21"/>
  <c r="R196" i="21"/>
  <c r="J197" i="21"/>
  <c r="R197" i="21"/>
  <c r="G198" i="21"/>
  <c r="K198" i="21"/>
  <c r="O198" i="21"/>
  <c r="S198" i="21"/>
  <c r="G199" i="21"/>
  <c r="K199" i="21"/>
  <c r="O199" i="21"/>
  <c r="S199" i="21"/>
  <c r="G200" i="21"/>
  <c r="K200" i="21"/>
  <c r="O200" i="21"/>
  <c r="S200" i="21"/>
  <c r="G201" i="21"/>
  <c r="K201" i="21"/>
  <c r="O201" i="21"/>
  <c r="S201" i="21"/>
  <c r="G202" i="21"/>
  <c r="K202" i="21"/>
  <c r="O202" i="21"/>
  <c r="S202" i="21"/>
  <c r="G203" i="21"/>
  <c r="K203" i="21"/>
  <c r="O203" i="21"/>
  <c r="S203" i="21"/>
  <c r="G204" i="21"/>
  <c r="K204" i="21"/>
  <c r="O204" i="21"/>
  <c r="S204" i="21"/>
  <c r="G205" i="21"/>
  <c r="K205" i="21"/>
  <c r="O205" i="21"/>
  <c r="S205" i="21"/>
  <c r="G206" i="21"/>
  <c r="K206" i="21"/>
  <c r="O206" i="21"/>
  <c r="S206" i="21"/>
  <c r="G207" i="21"/>
  <c r="K207" i="21"/>
  <c r="O207" i="21"/>
  <c r="S207" i="21"/>
  <c r="G212" i="21"/>
  <c r="K212" i="21"/>
  <c r="O212" i="21"/>
  <c r="S212" i="21"/>
  <c r="G213" i="21"/>
  <c r="K213" i="21"/>
  <c r="O213" i="21"/>
  <c r="S213" i="21"/>
  <c r="G214" i="21"/>
  <c r="K214" i="21"/>
  <c r="O214" i="21"/>
  <c r="S214" i="21"/>
  <c r="G215" i="21"/>
  <c r="K215" i="21"/>
  <c r="O215" i="21"/>
  <c r="S215" i="21"/>
  <c r="K195" i="21"/>
  <c r="S195" i="21"/>
  <c r="K196" i="21"/>
  <c r="S196" i="21"/>
  <c r="K197" i="21"/>
  <c r="S197" i="21"/>
  <c r="H198" i="21"/>
  <c r="W198" i="21" s="1"/>
  <c r="L198" i="21"/>
  <c r="P198" i="21"/>
  <c r="T198" i="21"/>
  <c r="H199" i="21"/>
  <c r="W199" i="21" s="1"/>
  <c r="L199" i="21"/>
  <c r="P199" i="21"/>
  <c r="T199" i="21"/>
  <c r="H200" i="21"/>
  <c r="W200" i="21" s="1"/>
  <c r="L200" i="21"/>
  <c r="P200" i="21"/>
  <c r="T200" i="21"/>
  <c r="H201" i="21"/>
  <c r="W201" i="21" s="1"/>
  <c r="L201" i="21"/>
  <c r="P201" i="21"/>
  <c r="T201" i="21"/>
  <c r="H202" i="21"/>
  <c r="W202" i="21" s="1"/>
  <c r="L202" i="21"/>
  <c r="P202" i="21"/>
  <c r="T202" i="21"/>
  <c r="H203" i="21"/>
  <c r="W203" i="21" s="1"/>
  <c r="L203" i="21"/>
  <c r="P203" i="21"/>
  <c r="T203" i="21"/>
  <c r="H204" i="21"/>
  <c r="W204" i="21" s="1"/>
  <c r="L204" i="21"/>
  <c r="P204" i="21"/>
  <c r="T204" i="21"/>
  <c r="H205" i="21"/>
  <c r="W205" i="21" s="1"/>
  <c r="L205" i="21"/>
  <c r="P205" i="21"/>
  <c r="T205" i="21"/>
  <c r="H206" i="21"/>
  <c r="W206" i="21" s="1"/>
  <c r="L206" i="21"/>
  <c r="P206" i="21"/>
  <c r="T206" i="21"/>
  <c r="H207" i="21"/>
  <c r="W207" i="21" s="1"/>
  <c r="L207" i="21"/>
  <c r="P207" i="21"/>
  <c r="T207" i="21"/>
  <c r="H212" i="21"/>
  <c r="W212" i="21" s="1"/>
  <c r="L212" i="21"/>
  <c r="P212" i="21"/>
  <c r="T212" i="21"/>
  <c r="H213" i="21"/>
  <c r="W213" i="21" s="1"/>
  <c r="L213" i="21"/>
  <c r="P213" i="21"/>
  <c r="T213" i="21"/>
  <c r="H214" i="21"/>
  <c r="W214" i="21" s="1"/>
  <c r="L214" i="21"/>
  <c r="P214" i="21"/>
  <c r="T214" i="21"/>
  <c r="H215" i="21"/>
  <c r="W215" i="21" s="1"/>
  <c r="L215" i="21"/>
  <c r="P215" i="21"/>
  <c r="T215" i="21"/>
  <c r="N195" i="21"/>
  <c r="V195" i="21"/>
  <c r="N196" i="21"/>
  <c r="V196" i="21"/>
  <c r="N197" i="21"/>
  <c r="U197" i="21"/>
  <c r="I198" i="21"/>
  <c r="M198" i="21"/>
  <c r="Q198" i="21"/>
  <c r="U198" i="21"/>
  <c r="I199" i="21"/>
  <c r="M199" i="21"/>
  <c r="Q199" i="21"/>
  <c r="U199" i="21"/>
  <c r="I200" i="21"/>
  <c r="M200" i="21"/>
  <c r="Q200" i="21"/>
  <c r="U200" i="21"/>
  <c r="I201" i="21"/>
  <c r="M201" i="21"/>
  <c r="Q201" i="21"/>
  <c r="U201" i="21"/>
  <c r="I202" i="21"/>
  <c r="M202" i="21"/>
  <c r="Q202" i="21"/>
  <c r="U202" i="21"/>
  <c r="I203" i="21"/>
  <c r="M203" i="21"/>
  <c r="Q203" i="21"/>
  <c r="U203" i="21"/>
  <c r="I204" i="21"/>
  <c r="M204" i="21"/>
  <c r="Q204" i="21"/>
  <c r="U204" i="21"/>
  <c r="I205" i="21"/>
  <c r="M205" i="21"/>
  <c r="Q205" i="21"/>
  <c r="U205" i="21"/>
  <c r="I206" i="21"/>
  <c r="M206" i="21"/>
  <c r="Q206" i="21"/>
  <c r="U206" i="21"/>
  <c r="I207" i="21"/>
  <c r="M207" i="21"/>
  <c r="Q207" i="21"/>
  <c r="U207" i="21"/>
  <c r="I212" i="21"/>
  <c r="M212" i="21"/>
  <c r="Q212" i="21"/>
  <c r="U212" i="21"/>
  <c r="I213" i="21"/>
  <c r="M213" i="21"/>
  <c r="Q213" i="21"/>
  <c r="U213" i="21"/>
  <c r="I214" i="21"/>
  <c r="M214" i="21"/>
  <c r="Q214" i="21"/>
  <c r="U214" i="21"/>
  <c r="I215" i="21"/>
  <c r="M215" i="21"/>
  <c r="Q215" i="21"/>
  <c r="U215" i="21"/>
  <c r="O195" i="21"/>
  <c r="G196" i="21"/>
  <c r="O196" i="21"/>
  <c r="G197" i="21"/>
  <c r="O197" i="21"/>
  <c r="V197" i="21"/>
  <c r="J198" i="21"/>
  <c r="N198" i="21"/>
  <c r="R198" i="21"/>
  <c r="V198" i="21"/>
  <c r="J199" i="21"/>
  <c r="N199" i="21"/>
  <c r="R199" i="21"/>
  <c r="V199" i="21"/>
  <c r="J200" i="21"/>
  <c r="N200" i="21"/>
  <c r="R200" i="21"/>
  <c r="V200" i="21"/>
  <c r="J201" i="21"/>
  <c r="N201" i="21"/>
  <c r="R201" i="21"/>
  <c r="V201" i="21"/>
  <c r="J202" i="21"/>
  <c r="N202" i="21"/>
  <c r="R202" i="21"/>
  <c r="V202" i="21"/>
  <c r="J203" i="21"/>
  <c r="N203" i="21"/>
  <c r="R203" i="21"/>
  <c r="V203" i="21"/>
  <c r="J204" i="21"/>
  <c r="N204" i="21"/>
  <c r="R204" i="21"/>
  <c r="V204" i="21"/>
  <c r="J205" i="21"/>
  <c r="N205" i="21"/>
  <c r="R205" i="21"/>
  <c r="V205" i="21"/>
  <c r="J206" i="21"/>
  <c r="N206" i="21"/>
  <c r="R206" i="21"/>
  <c r="V206" i="21"/>
  <c r="J207" i="21"/>
  <c r="N207" i="21"/>
  <c r="R207" i="21"/>
  <c r="V207" i="21"/>
  <c r="J212" i="21"/>
  <c r="N212" i="21"/>
  <c r="R212" i="21"/>
  <c r="V212" i="21"/>
  <c r="J213" i="21"/>
  <c r="N213" i="21"/>
  <c r="R213" i="21"/>
  <c r="V213" i="21"/>
  <c r="J214" i="21"/>
  <c r="N214" i="21"/>
  <c r="R214" i="21"/>
  <c r="V214" i="21"/>
  <c r="J215" i="21"/>
  <c r="N215" i="21"/>
  <c r="R215" i="21"/>
  <c r="V215" i="21"/>
  <c r="G29" i="21"/>
  <c r="G28" i="21"/>
  <c r="G30" i="21"/>
  <c r="S15" i="21"/>
  <c r="G24" i="21"/>
  <c r="G27" i="21"/>
  <c r="G23" i="21"/>
  <c r="G26" i="21"/>
  <c r="G22" i="21"/>
  <c r="G25" i="21"/>
  <c r="H15" i="21"/>
  <c r="W15" i="21" s="1"/>
  <c r="P13" i="21"/>
  <c r="P14" i="21"/>
  <c r="K15" i="21"/>
  <c r="G14" i="21"/>
  <c r="S13" i="21"/>
  <c r="O14" i="21"/>
  <c r="K13" i="21"/>
  <c r="H13" i="21"/>
  <c r="W13" i="21" s="1"/>
  <c r="Y13" i="21" s="1"/>
  <c r="L13" i="21"/>
  <c r="T13" i="21"/>
  <c r="O15" i="21"/>
  <c r="T14" i="21"/>
  <c r="L14" i="21"/>
  <c r="P15" i="21"/>
  <c r="G13" i="21"/>
  <c r="O13" i="21"/>
  <c r="T15" i="21"/>
  <c r="L15" i="21"/>
  <c r="S14" i="21"/>
  <c r="K14" i="21"/>
  <c r="G16" i="21"/>
  <c r="N16" i="21"/>
  <c r="V16" i="21"/>
  <c r="N17" i="21"/>
  <c r="V17" i="21"/>
  <c r="L21" i="21"/>
  <c r="T21" i="21"/>
  <c r="L22" i="21"/>
  <c r="T22" i="21"/>
  <c r="J23" i="21"/>
  <c r="R23" i="21"/>
  <c r="J24" i="21"/>
  <c r="R24" i="21"/>
  <c r="H25" i="21"/>
  <c r="W25" i="21" s="1"/>
  <c r="P25" i="21"/>
  <c r="H26" i="21"/>
  <c r="W26" i="21" s="1"/>
  <c r="P26" i="21"/>
  <c r="J27" i="21"/>
  <c r="J16" i="21"/>
  <c r="R16" i="21"/>
  <c r="J17" i="21"/>
  <c r="R17" i="21"/>
  <c r="H21" i="21"/>
  <c r="W21" i="21" s="1"/>
  <c r="P21" i="21"/>
  <c r="H22" i="21"/>
  <c r="W22" i="21" s="1"/>
  <c r="P22" i="21"/>
  <c r="N23" i="21"/>
  <c r="V23" i="21"/>
  <c r="N24" i="21"/>
  <c r="V24" i="21"/>
  <c r="L25" i="21"/>
  <c r="T25" i="21"/>
  <c r="L26" i="21"/>
  <c r="T26" i="21"/>
  <c r="P30" i="21"/>
  <c r="H30" i="21"/>
  <c r="W30" i="21" s="1"/>
  <c r="P29" i="21"/>
  <c r="H29" i="21"/>
  <c r="W29" i="21" s="1"/>
  <c r="R28" i="21"/>
  <c r="J28" i="21"/>
  <c r="R27" i="21"/>
  <c r="I26" i="21"/>
  <c r="I25" i="21"/>
  <c r="K24" i="21"/>
  <c r="K23" i="21"/>
  <c r="M22" i="21"/>
  <c r="M21" i="21"/>
  <c r="O17" i="21"/>
  <c r="O16" i="21"/>
  <c r="U30" i="21"/>
  <c r="M30" i="21"/>
  <c r="U29" i="21"/>
  <c r="M29" i="21"/>
  <c r="O28" i="21"/>
  <c r="O27" i="21"/>
  <c r="U26" i="21"/>
  <c r="U25" i="21"/>
  <c r="I22" i="21"/>
  <c r="I21" i="21"/>
  <c r="K17" i="21"/>
  <c r="K16" i="21"/>
  <c r="T30" i="21"/>
  <c r="L30" i="21"/>
  <c r="T29" i="21"/>
  <c r="L29" i="21"/>
  <c r="V28" i="21"/>
  <c r="N28" i="21"/>
  <c r="V27" i="21"/>
  <c r="N27" i="21"/>
  <c r="Q26" i="21"/>
  <c r="Q25" i="21"/>
  <c r="S24" i="21"/>
  <c r="S23" i="21"/>
  <c r="U22" i="21"/>
  <c r="U21" i="21"/>
  <c r="Q30" i="21"/>
  <c r="I30" i="21"/>
  <c r="Q29" i="21"/>
  <c r="I29" i="21"/>
  <c r="S28" i="21"/>
  <c r="K28" i="21"/>
  <c r="S27" i="21"/>
  <c r="K27" i="21"/>
  <c r="M26" i="21"/>
  <c r="M25" i="21"/>
  <c r="O24" i="21"/>
  <c r="O23" i="21"/>
  <c r="Q22" i="21"/>
  <c r="Q21" i="21"/>
  <c r="S17" i="21"/>
  <c r="S16" i="21"/>
  <c r="I13" i="21"/>
  <c r="M13" i="21"/>
  <c r="Q13" i="21"/>
  <c r="U13" i="21"/>
  <c r="S30" i="21"/>
  <c r="O30" i="21"/>
  <c r="K30" i="21"/>
  <c r="S29" i="21"/>
  <c r="O29" i="21"/>
  <c r="K29" i="21"/>
  <c r="U28" i="21"/>
  <c r="Q28" i="21"/>
  <c r="M28" i="21"/>
  <c r="I28" i="21"/>
  <c r="U27" i="21"/>
  <c r="Q27" i="21"/>
  <c r="M27" i="21"/>
  <c r="I27" i="21"/>
  <c r="S26" i="21"/>
  <c r="O26" i="21"/>
  <c r="K26" i="21"/>
  <c r="S25" i="21"/>
  <c r="O25" i="21"/>
  <c r="K25" i="21"/>
  <c r="U24" i="21"/>
  <c r="Q24" i="21"/>
  <c r="M24" i="21"/>
  <c r="I24" i="21"/>
  <c r="U23" i="21"/>
  <c r="Q23" i="21"/>
  <c r="M23" i="21"/>
  <c r="I23" i="21"/>
  <c r="S22" i="21"/>
  <c r="O22" i="21"/>
  <c r="K22" i="21"/>
  <c r="S21" i="21"/>
  <c r="O21" i="21"/>
  <c r="K21" i="21"/>
  <c r="U17" i="21"/>
  <c r="Q17" i="21"/>
  <c r="M17" i="21"/>
  <c r="I17" i="21"/>
  <c r="U16" i="21"/>
  <c r="Q16" i="21"/>
  <c r="M16" i="21"/>
  <c r="I16" i="21"/>
  <c r="V15" i="21"/>
  <c r="R15" i="21"/>
  <c r="N15" i="21"/>
  <c r="J15" i="21"/>
  <c r="V14" i="21"/>
  <c r="R14" i="21"/>
  <c r="N14" i="21"/>
  <c r="J14" i="21"/>
  <c r="J13" i="21"/>
  <c r="N13" i="21"/>
  <c r="R13" i="21"/>
  <c r="V13" i="21"/>
  <c r="V30" i="21"/>
  <c r="R30" i="21"/>
  <c r="N30" i="21"/>
  <c r="J30" i="21"/>
  <c r="V29" i="21"/>
  <c r="R29" i="21"/>
  <c r="N29" i="21"/>
  <c r="J29" i="21"/>
  <c r="T28" i="21"/>
  <c r="P28" i="21"/>
  <c r="L28" i="21"/>
  <c r="W28" i="21"/>
  <c r="T27" i="21"/>
  <c r="P27" i="21"/>
  <c r="L27" i="21"/>
  <c r="H27" i="21"/>
  <c r="W27" i="21" s="1"/>
  <c r="V26" i="21"/>
  <c r="R26" i="21"/>
  <c r="N26" i="21"/>
  <c r="J26" i="21"/>
  <c r="V25" i="21"/>
  <c r="R25" i="21"/>
  <c r="N25" i="21"/>
  <c r="J25" i="21"/>
  <c r="T24" i="21"/>
  <c r="P24" i="21"/>
  <c r="L24" i="21"/>
  <c r="H24" i="21"/>
  <c r="W24" i="21" s="1"/>
  <c r="T23" i="21"/>
  <c r="P23" i="21"/>
  <c r="L23" i="21"/>
  <c r="H23" i="21"/>
  <c r="W23" i="21" s="1"/>
  <c r="V22" i="21"/>
  <c r="R22" i="21"/>
  <c r="N22" i="21"/>
  <c r="J22" i="21"/>
  <c r="V21" i="21"/>
  <c r="R21" i="21"/>
  <c r="N21" i="21"/>
  <c r="J21" i="21"/>
  <c r="T17" i="21"/>
  <c r="P17" i="21"/>
  <c r="L17" i="21"/>
  <c r="H17" i="21"/>
  <c r="W17" i="21" s="1"/>
  <c r="T16" i="21"/>
  <c r="P16" i="21"/>
  <c r="L16" i="21"/>
  <c r="H16" i="21"/>
  <c r="W16" i="21" s="1"/>
  <c r="U15" i="21"/>
  <c r="Q15" i="21"/>
  <c r="M15" i="21"/>
  <c r="I15" i="21"/>
  <c r="U14" i="21"/>
  <c r="Q14" i="21"/>
  <c r="M14" i="21"/>
  <c r="I14" i="21"/>
  <c r="H14" i="21"/>
  <c r="W14" i="21" s="1"/>
  <c r="X525" i="21"/>
  <c r="G17" i="21"/>
  <c r="G15" i="21"/>
  <c r="Y524" i="21"/>
  <c r="Z524" i="21" s="1"/>
  <c r="AG524" i="21" s="1"/>
  <c r="AH524" i="21" s="1"/>
  <c r="AJ524" i="21" s="1"/>
  <c r="X524" i="21"/>
  <c r="O105" i="23" l="1"/>
  <c r="J105" i="23"/>
  <c r="AG416" i="22"/>
  <c r="J271" i="23"/>
  <c r="O271" i="23"/>
  <c r="H272" i="23"/>
  <c r="W270" i="23"/>
  <c r="P271" i="23" s="1"/>
  <c r="Q271" i="23" s="1"/>
  <c r="W271" i="23" s="1"/>
  <c r="P272" i="23" s="1"/>
  <c r="Q272" i="23" s="1"/>
  <c r="AF93" i="22"/>
  <c r="AF43" i="22"/>
  <c r="M73" i="23"/>
  <c r="N73" i="23" s="1"/>
  <c r="W1512" i="23"/>
  <c r="AD1506" i="23"/>
  <c r="AD1507" i="23" s="1"/>
  <c r="AJ310" i="34"/>
  <c r="AK310" i="34" s="1"/>
  <c r="AG406" i="22"/>
  <c r="K1022" i="23"/>
  <c r="L1022" i="23" s="1"/>
  <c r="AD1156" i="23"/>
  <c r="H1417" i="23"/>
  <c r="O1416" i="23"/>
  <c r="J1416" i="23"/>
  <c r="AI294" i="34"/>
  <c r="W1415" i="23"/>
  <c r="P1416" i="23" s="1"/>
  <c r="Q1416" i="23" s="1"/>
  <c r="W1416" i="23" s="1"/>
  <c r="P1417" i="23" s="1"/>
  <c r="Q1417" i="23" s="1"/>
  <c r="Y408" i="21"/>
  <c r="Z408" i="21" s="1"/>
  <c r="X408" i="21"/>
  <c r="AI407" i="21"/>
  <c r="X209" i="21"/>
  <c r="Y209" i="21"/>
  <c r="Z209" i="21" s="1"/>
  <c r="Y404" i="21"/>
  <c r="AA404" i="21" s="1"/>
  <c r="AB404" i="21" s="1"/>
  <c r="AH404" i="21" s="1"/>
  <c r="AJ404" i="21" s="1"/>
  <c r="X404" i="21"/>
  <c r="Y405" i="21"/>
  <c r="Z405" i="21" s="1"/>
  <c r="X405" i="21"/>
  <c r="Y409" i="21"/>
  <c r="Z409" i="21" s="1"/>
  <c r="X409" i="21"/>
  <c r="AI408" i="21"/>
  <c r="AA408" i="21"/>
  <c r="AB408" i="21" s="1"/>
  <c r="AH408" i="21" s="1"/>
  <c r="AJ408" i="21" s="1"/>
  <c r="X210" i="21"/>
  <c r="Y210" i="21"/>
  <c r="Z210" i="21" s="1"/>
  <c r="T403" i="21"/>
  <c r="X406" i="21"/>
  <c r="Y406" i="21"/>
  <c r="AA406" i="21" s="1"/>
  <c r="AB406" i="21" s="1"/>
  <c r="AH406" i="21" s="1"/>
  <c r="AJ406" i="21" s="1"/>
  <c r="Y410" i="21"/>
  <c r="AA410" i="21" s="1"/>
  <c r="AB410" i="21" s="1"/>
  <c r="X410" i="21"/>
  <c r="AI404" i="21"/>
  <c r="AI405" i="21"/>
  <c r="AI409" i="21"/>
  <c r="Y211" i="21"/>
  <c r="Z211" i="21" s="1"/>
  <c r="X211" i="21"/>
  <c r="Y407" i="21"/>
  <c r="AA407" i="21" s="1"/>
  <c r="AB407" i="21" s="1"/>
  <c r="X407" i="21"/>
  <c r="AI406" i="21"/>
  <c r="X208" i="21"/>
  <c r="Y208" i="21"/>
  <c r="Z208" i="21" s="1"/>
  <c r="AA13" i="21"/>
  <c r="AI178" i="21"/>
  <c r="AI169" i="21"/>
  <c r="AI174" i="21"/>
  <c r="AI170" i="21"/>
  <c r="AI165" i="21"/>
  <c r="AI74" i="21"/>
  <c r="AI72" i="21"/>
  <c r="AI39" i="21"/>
  <c r="AI109" i="21"/>
  <c r="AI52" i="21"/>
  <c r="AI176" i="21"/>
  <c r="AI153" i="21"/>
  <c r="AI186" i="21"/>
  <c r="AI157" i="21"/>
  <c r="AI56" i="21"/>
  <c r="AI376" i="21"/>
  <c r="AI384" i="21"/>
  <c r="AI352" i="21"/>
  <c r="AI356" i="21"/>
  <c r="AI360" i="21"/>
  <c r="AI370" i="21"/>
  <c r="AI432" i="21"/>
  <c r="AI424" i="21"/>
  <c r="AI420" i="21"/>
  <c r="AI196" i="21"/>
  <c r="AI215" i="21"/>
  <c r="AI213" i="21"/>
  <c r="AI207" i="21"/>
  <c r="AI205" i="21"/>
  <c r="AI203" i="21"/>
  <c r="AI202" i="21"/>
  <c r="AI201" i="21"/>
  <c r="AI200" i="21"/>
  <c r="AI198" i="21"/>
  <c r="AI181" i="21"/>
  <c r="AI194" i="21"/>
  <c r="AI192" i="21"/>
  <c r="AI191" i="21"/>
  <c r="AI190" i="21"/>
  <c r="AI189" i="21"/>
  <c r="AI187" i="21"/>
  <c r="AI184" i="21"/>
  <c r="AI182" i="21"/>
  <c r="AI167" i="21"/>
  <c r="AI162" i="21"/>
  <c r="AI160" i="21"/>
  <c r="AI158" i="21"/>
  <c r="AI156" i="21"/>
  <c r="AI155" i="21"/>
  <c r="AI85" i="21"/>
  <c r="AI83" i="21"/>
  <c r="AI82" i="21"/>
  <c r="AI81" i="21"/>
  <c r="AI78" i="21"/>
  <c r="AI62" i="21"/>
  <c r="AI54" i="21"/>
  <c r="AI42" i="21"/>
  <c r="AI193" i="21"/>
  <c r="AI45" i="21"/>
  <c r="AI377" i="21"/>
  <c r="AI381" i="21"/>
  <c r="AI385" i="21"/>
  <c r="AI389" i="21"/>
  <c r="AI393" i="21"/>
  <c r="AI397" i="21"/>
  <c r="AI361" i="21"/>
  <c r="AI314" i="21"/>
  <c r="AI310" i="21"/>
  <c r="AI306" i="21"/>
  <c r="AI323" i="21"/>
  <c r="AI456" i="21"/>
  <c r="AI440" i="21"/>
  <c r="AI177" i="21"/>
  <c r="AI172" i="21"/>
  <c r="AI73" i="21"/>
  <c r="AI71" i="21"/>
  <c r="AI105" i="21"/>
  <c r="AI166" i="21"/>
  <c r="AI80" i="21"/>
  <c r="AI378" i="21"/>
  <c r="AI386" i="21"/>
  <c r="AI326" i="21"/>
  <c r="AI354" i="21"/>
  <c r="AI362" i="21"/>
  <c r="AI368" i="21"/>
  <c r="AI320" i="21"/>
  <c r="AI430" i="21"/>
  <c r="AI426" i="21"/>
  <c r="AI164" i="21"/>
  <c r="AI117" i="21"/>
  <c r="AI115" i="21"/>
  <c r="AI113" i="21"/>
  <c r="AI101" i="21"/>
  <c r="AI100" i="21"/>
  <c r="AI99" i="21"/>
  <c r="AI95" i="21"/>
  <c r="AI93" i="21"/>
  <c r="AI89" i="21"/>
  <c r="AI67" i="21"/>
  <c r="AI61" i="21"/>
  <c r="AI57" i="21"/>
  <c r="AI48" i="21"/>
  <c r="AI107" i="21"/>
  <c r="AI47" i="21"/>
  <c r="AI372" i="21"/>
  <c r="AI383" i="21"/>
  <c r="AI391" i="21"/>
  <c r="AI399" i="21"/>
  <c r="AI331" i="21"/>
  <c r="AI347" i="21"/>
  <c r="AI351" i="21"/>
  <c r="AI363" i="21"/>
  <c r="AI414" i="21"/>
  <c r="AI444" i="21"/>
  <c r="AI34" i="21"/>
  <c r="AI35" i="21"/>
  <c r="X144" i="21"/>
  <c r="Y144" i="21"/>
  <c r="AA144" i="21" s="1"/>
  <c r="Y319" i="21"/>
  <c r="Z319" i="21" s="1"/>
  <c r="X319" i="21"/>
  <c r="AI379" i="21"/>
  <c r="AI387" i="21"/>
  <c r="AI395" i="21"/>
  <c r="Y400" i="21"/>
  <c r="Z400" i="21" s="1"/>
  <c r="X400" i="21"/>
  <c r="AI374" i="21"/>
  <c r="AI327" i="21"/>
  <c r="AI335" i="21"/>
  <c r="AI339" i="21"/>
  <c r="AI343" i="21"/>
  <c r="AI355" i="21"/>
  <c r="AI359" i="21"/>
  <c r="Y329" i="21"/>
  <c r="Z329" i="21" s="1"/>
  <c r="X329" i="21"/>
  <c r="Y333" i="21"/>
  <c r="Z333" i="21" s="1"/>
  <c r="X333" i="21"/>
  <c r="Y337" i="21"/>
  <c r="Z337" i="21" s="1"/>
  <c r="X337" i="21"/>
  <c r="Y341" i="21"/>
  <c r="Z341" i="21" s="1"/>
  <c r="X341" i="21"/>
  <c r="Y345" i="21"/>
  <c r="Z345" i="21" s="1"/>
  <c r="X345" i="21"/>
  <c r="Y349" i="21"/>
  <c r="Z349" i="21" s="1"/>
  <c r="X349" i="21"/>
  <c r="Y353" i="21"/>
  <c r="AA353" i="21" s="1"/>
  <c r="AB353" i="21" s="1"/>
  <c r="X353" i="21"/>
  <c r="X357" i="21"/>
  <c r="Y357" i="21"/>
  <c r="AA357" i="21" s="1"/>
  <c r="AB357" i="21" s="1"/>
  <c r="AH357" i="21" s="1"/>
  <c r="AJ357" i="21" s="1"/>
  <c r="Y367" i="21"/>
  <c r="AA367" i="21" s="1"/>
  <c r="AB367" i="21" s="1"/>
  <c r="AH367" i="21" s="1"/>
  <c r="AJ367" i="21" s="1"/>
  <c r="X367" i="21"/>
  <c r="X373" i="21"/>
  <c r="Y373" i="21"/>
  <c r="AA373" i="21" s="1"/>
  <c r="AB373" i="21" s="1"/>
  <c r="Y394" i="21"/>
  <c r="AA394" i="21" s="1"/>
  <c r="AB394" i="21" s="1"/>
  <c r="AC394" i="21" s="1"/>
  <c r="AD394" i="21" s="1"/>
  <c r="AE394" i="21" s="1"/>
  <c r="X394" i="21"/>
  <c r="X377" i="21"/>
  <c r="Y377" i="21"/>
  <c r="AA377" i="21" s="1"/>
  <c r="Y381" i="21"/>
  <c r="AA381" i="21" s="1"/>
  <c r="X381" i="21"/>
  <c r="Y385" i="21"/>
  <c r="AA385" i="21" s="1"/>
  <c r="X385" i="21"/>
  <c r="X389" i="21"/>
  <c r="Y389" i="21"/>
  <c r="AA389" i="21" s="1"/>
  <c r="X393" i="21"/>
  <c r="Y393" i="21"/>
  <c r="AA393" i="21" s="1"/>
  <c r="Y320" i="21"/>
  <c r="X320" i="21"/>
  <c r="X395" i="21"/>
  <c r="Y395" i="21"/>
  <c r="AA395" i="21" s="1"/>
  <c r="Y358" i="21"/>
  <c r="Z358" i="21" s="1"/>
  <c r="X358" i="21"/>
  <c r="Y399" i="21"/>
  <c r="AA399" i="21" s="1"/>
  <c r="X399" i="21"/>
  <c r="Y368" i="21"/>
  <c r="AA368" i="21" s="1"/>
  <c r="X368" i="21"/>
  <c r="X401" i="21"/>
  <c r="Y401" i="21"/>
  <c r="Z401" i="21" s="1"/>
  <c r="Y396" i="21"/>
  <c r="Z396" i="21" s="1"/>
  <c r="X396" i="21"/>
  <c r="AI318" i="21"/>
  <c r="AI282" i="21"/>
  <c r="X265" i="21"/>
  <c r="Y265" i="21"/>
  <c r="Z265" i="21" s="1"/>
  <c r="X285" i="21"/>
  <c r="Y285" i="21"/>
  <c r="AA285" i="21" s="1"/>
  <c r="AI316" i="21"/>
  <c r="AI312" i="21"/>
  <c r="AI308" i="21"/>
  <c r="AI304" i="21"/>
  <c r="AI300" i="21"/>
  <c r="AI296" i="21"/>
  <c r="AI292" i="21"/>
  <c r="AI288" i="21"/>
  <c r="X268" i="21"/>
  <c r="Y268" i="21"/>
  <c r="X250" i="21"/>
  <c r="Y250" i="21"/>
  <c r="AA250" i="21" s="1"/>
  <c r="AB250" i="21" s="1"/>
  <c r="AH250" i="21" s="1"/>
  <c r="AJ250" i="21" s="1"/>
  <c r="X242" i="21"/>
  <c r="Y242" i="21"/>
  <c r="Z242" i="21" s="1"/>
  <c r="X314" i="21"/>
  <c r="Y314" i="21"/>
  <c r="AA314" i="21" s="1"/>
  <c r="X310" i="21"/>
  <c r="Y310" i="21"/>
  <c r="Y306" i="21"/>
  <c r="AA306" i="21" s="1"/>
  <c r="X306" i="21"/>
  <c r="X302" i="21"/>
  <c r="Y302" i="21"/>
  <c r="Z302" i="21" s="1"/>
  <c r="X298" i="21"/>
  <c r="Y298" i="21"/>
  <c r="Z298" i="21" s="1"/>
  <c r="X294" i="21"/>
  <c r="Y294" i="21"/>
  <c r="Z294" i="21" s="1"/>
  <c r="X290" i="21"/>
  <c r="Y290" i="21"/>
  <c r="Z290" i="21" s="1"/>
  <c r="AI285" i="21"/>
  <c r="X271" i="21"/>
  <c r="Y271" i="21"/>
  <c r="Z271" i="21" s="1"/>
  <c r="X259" i="21"/>
  <c r="Y259" i="21"/>
  <c r="Z259" i="21" s="1"/>
  <c r="X255" i="21"/>
  <c r="Y255" i="21"/>
  <c r="Z255" i="21" s="1"/>
  <c r="X251" i="21"/>
  <c r="Y251" i="21"/>
  <c r="Z251" i="21" s="1"/>
  <c r="X274" i="21"/>
  <c r="Y274" i="21"/>
  <c r="Z274" i="21" s="1"/>
  <c r="AI280" i="21"/>
  <c r="AI276" i="21"/>
  <c r="AI272" i="21"/>
  <c r="AI268" i="21"/>
  <c r="AI264" i="21"/>
  <c r="AI260" i="21"/>
  <c r="AI256" i="21"/>
  <c r="X252" i="21"/>
  <c r="Y252" i="21"/>
  <c r="Z252" i="21" s="1"/>
  <c r="X245" i="21"/>
  <c r="Y245" i="21"/>
  <c r="Z245" i="21" s="1"/>
  <c r="X505" i="21"/>
  <c r="Y505" i="21"/>
  <c r="AA505" i="21" s="1"/>
  <c r="X489" i="21"/>
  <c r="Y489" i="21"/>
  <c r="Z489" i="21" s="1"/>
  <c r="AI468" i="21"/>
  <c r="AI460" i="21"/>
  <c r="AI452" i="21"/>
  <c r="AI449" i="21"/>
  <c r="AI441" i="21"/>
  <c r="Y221" i="21"/>
  <c r="Z221" i="21" s="1"/>
  <c r="X221" i="21"/>
  <c r="X240" i="21"/>
  <c r="Y240" i="21"/>
  <c r="AA240" i="21" s="1"/>
  <c r="X236" i="21"/>
  <c r="Y236" i="21"/>
  <c r="X232" i="21"/>
  <c r="Y232" i="21"/>
  <c r="Z232" i="21" s="1"/>
  <c r="X228" i="21"/>
  <c r="Y228" i="21"/>
  <c r="Z228" i="21" s="1"/>
  <c r="X224" i="21"/>
  <c r="Y224" i="21"/>
  <c r="Z224" i="21" s="1"/>
  <c r="X492" i="21"/>
  <c r="Y492" i="21"/>
  <c r="Z492" i="21" s="1"/>
  <c r="X473" i="21"/>
  <c r="Y473" i="21"/>
  <c r="AA473" i="21" s="1"/>
  <c r="AI469" i="21"/>
  <c r="X467" i="21"/>
  <c r="Y467" i="21"/>
  <c r="X459" i="21"/>
  <c r="Y459" i="21"/>
  <c r="Z459" i="21" s="1"/>
  <c r="Z236" i="21"/>
  <c r="X495" i="21"/>
  <c r="Y495" i="21"/>
  <c r="Z495" i="21" s="1"/>
  <c r="X477" i="21"/>
  <c r="Y477" i="21"/>
  <c r="Z477" i="21" s="1"/>
  <c r="AI470" i="21"/>
  <c r="AI463" i="21"/>
  <c r="AI455" i="21"/>
  <c r="AI436" i="21"/>
  <c r="AI219" i="21"/>
  <c r="AI252" i="21"/>
  <c r="AI248" i="21"/>
  <c r="AI244" i="21"/>
  <c r="AI240" i="21"/>
  <c r="AI236" i="21"/>
  <c r="AI232" i="21"/>
  <c r="AI228" i="21"/>
  <c r="AI224" i="21"/>
  <c r="X494" i="21"/>
  <c r="Y494" i="21"/>
  <c r="Z494" i="21" s="1"/>
  <c r="X475" i="21"/>
  <c r="Y475" i="21"/>
  <c r="Z475" i="21" s="1"/>
  <c r="X468" i="21"/>
  <c r="Y468" i="21"/>
  <c r="Z468" i="21" s="1"/>
  <c r="X460" i="21"/>
  <c r="Y460" i="21"/>
  <c r="Z460" i="21" s="1"/>
  <c r="Y452" i="21"/>
  <c r="Z452" i="21" s="1"/>
  <c r="X452" i="21"/>
  <c r="AI433" i="21"/>
  <c r="AI429" i="21"/>
  <c r="AI425" i="21"/>
  <c r="AI421" i="21"/>
  <c r="AI417" i="21"/>
  <c r="Y433" i="21"/>
  <c r="Z433" i="21" s="1"/>
  <c r="X433" i="21"/>
  <c r="Y429" i="21"/>
  <c r="Z429" i="21" s="1"/>
  <c r="X429" i="21"/>
  <c r="Y425" i="21"/>
  <c r="X425" i="21"/>
  <c r="Y421" i="21"/>
  <c r="Z421" i="21" s="1"/>
  <c r="X421" i="21"/>
  <c r="Y417" i="21"/>
  <c r="Z417" i="21" s="1"/>
  <c r="X417" i="21"/>
  <c r="X480" i="21"/>
  <c r="Y480" i="21"/>
  <c r="Z480" i="21" s="1"/>
  <c r="AI505" i="21"/>
  <c r="AI501" i="21"/>
  <c r="AI497" i="21"/>
  <c r="AI493" i="21"/>
  <c r="AI489" i="21"/>
  <c r="AI485" i="21"/>
  <c r="AI481" i="21"/>
  <c r="AI477" i="21"/>
  <c r="AI473" i="21"/>
  <c r="Y448" i="21"/>
  <c r="Z448" i="21" s="1"/>
  <c r="X448" i="21"/>
  <c r="X444" i="21"/>
  <c r="Y444" i="21"/>
  <c r="AA444" i="21" s="1"/>
  <c r="X440" i="21"/>
  <c r="Y440" i="21"/>
  <c r="AA440" i="21" s="1"/>
  <c r="AI382" i="21"/>
  <c r="Y323" i="21"/>
  <c r="AA323" i="21" s="1"/>
  <c r="X323" i="21"/>
  <c r="AI380" i="21"/>
  <c r="AI388" i="21"/>
  <c r="AI392" i="21"/>
  <c r="AI396" i="21"/>
  <c r="AI400" i="21"/>
  <c r="Y360" i="21"/>
  <c r="X360" i="21"/>
  <c r="AI328" i="21"/>
  <c r="AI332" i="21"/>
  <c r="AI336" i="21"/>
  <c r="AI340" i="21"/>
  <c r="AI344" i="21"/>
  <c r="AI348" i="21"/>
  <c r="Y326" i="21"/>
  <c r="AA326" i="21" s="1"/>
  <c r="X326" i="21"/>
  <c r="Y330" i="21"/>
  <c r="Z330" i="21" s="1"/>
  <c r="X330" i="21"/>
  <c r="X334" i="21"/>
  <c r="Y334" i="21"/>
  <c r="Z334" i="21" s="1"/>
  <c r="X338" i="21"/>
  <c r="Y338" i="21"/>
  <c r="Z338" i="21" s="1"/>
  <c r="X342" i="21"/>
  <c r="Y342" i="21"/>
  <c r="Z342" i="21" s="1"/>
  <c r="Y346" i="21"/>
  <c r="Z346" i="21" s="1"/>
  <c r="X346" i="21"/>
  <c r="X350" i="21"/>
  <c r="Y350" i="21"/>
  <c r="Z350" i="21" s="1"/>
  <c r="Y354" i="21"/>
  <c r="X354" i="21"/>
  <c r="Y369" i="21"/>
  <c r="X369" i="21"/>
  <c r="AI373" i="21"/>
  <c r="Y378" i="21"/>
  <c r="AA378" i="21" s="1"/>
  <c r="X378" i="21"/>
  <c r="Y382" i="21"/>
  <c r="Z382" i="21" s="1"/>
  <c r="X382" i="21"/>
  <c r="Y386" i="21"/>
  <c r="AA386" i="21" s="1"/>
  <c r="X386" i="21"/>
  <c r="Y390" i="21"/>
  <c r="Z390" i="21" s="1"/>
  <c r="X390" i="21"/>
  <c r="AI364" i="21"/>
  <c r="AI401" i="21"/>
  <c r="Y362" i="21"/>
  <c r="X362" i="21"/>
  <c r="X370" i="21"/>
  <c r="Y370" i="21"/>
  <c r="AA370" i="21" s="1"/>
  <c r="X375" i="21"/>
  <c r="Y375" i="21"/>
  <c r="Z375" i="21" s="1"/>
  <c r="AI365" i="21"/>
  <c r="Y277" i="21"/>
  <c r="Z277" i="21" s="1"/>
  <c r="X277" i="21"/>
  <c r="Y261" i="21"/>
  <c r="Z261" i="21" s="1"/>
  <c r="X261" i="21"/>
  <c r="X283" i="21"/>
  <c r="Y283" i="21"/>
  <c r="Z283" i="21" s="1"/>
  <c r="X253" i="21"/>
  <c r="Y253" i="21"/>
  <c r="AA253" i="21" s="1"/>
  <c r="AB253" i="21" s="1"/>
  <c r="AH253" i="21" s="1"/>
  <c r="AJ253" i="21" s="1"/>
  <c r="Y317" i="21"/>
  <c r="Z317" i="21" s="1"/>
  <c r="X317" i="21"/>
  <c r="AI315" i="21"/>
  <c r="AI311" i="21"/>
  <c r="AI307" i="21"/>
  <c r="AI303" i="21"/>
  <c r="AI299" i="21"/>
  <c r="AI295" i="21"/>
  <c r="AI291" i="21"/>
  <c r="AI287" i="21"/>
  <c r="X280" i="21"/>
  <c r="Y280" i="21"/>
  <c r="Z280" i="21" s="1"/>
  <c r="X264" i="21"/>
  <c r="Y264" i="21"/>
  <c r="X248" i="21"/>
  <c r="Y248" i="21"/>
  <c r="AA248" i="21" s="1"/>
  <c r="AI319" i="21"/>
  <c r="Y313" i="21"/>
  <c r="X313" i="21"/>
  <c r="Y309" i="21"/>
  <c r="Z309" i="21" s="1"/>
  <c r="X309" i="21"/>
  <c r="Y305" i="21"/>
  <c r="Z305" i="21" s="1"/>
  <c r="X305" i="21"/>
  <c r="Y301" i="21"/>
  <c r="Z301" i="21" s="1"/>
  <c r="X301" i="21"/>
  <c r="Y297" i="21"/>
  <c r="X297" i="21"/>
  <c r="X293" i="21"/>
  <c r="Y293" i="21"/>
  <c r="Z293" i="21" s="1"/>
  <c r="X289" i="21"/>
  <c r="Y289" i="21"/>
  <c r="Z289" i="21" s="1"/>
  <c r="AI283" i="21"/>
  <c r="X267" i="21"/>
  <c r="Y267" i="21"/>
  <c r="Z267" i="21" s="1"/>
  <c r="X286" i="21"/>
  <c r="Y286" i="21"/>
  <c r="Z286" i="21" s="1"/>
  <c r="X258" i="21"/>
  <c r="Y258" i="21"/>
  <c r="Z258" i="21" s="1"/>
  <c r="X254" i="21"/>
  <c r="Y254" i="21"/>
  <c r="Z254" i="21" s="1"/>
  <c r="X270" i="21"/>
  <c r="Y270" i="21"/>
  <c r="Z270" i="21" s="1"/>
  <c r="AI279" i="21"/>
  <c r="AI275" i="21"/>
  <c r="AI271" i="21"/>
  <c r="AI267" i="21"/>
  <c r="AI263" i="21"/>
  <c r="AI259" i="21"/>
  <c r="AI255" i="21"/>
  <c r="X243" i="21"/>
  <c r="Y243" i="21"/>
  <c r="Z243" i="21" s="1"/>
  <c r="X501" i="21"/>
  <c r="Y501" i="21"/>
  <c r="Z501" i="21" s="1"/>
  <c r="X485" i="21"/>
  <c r="Y485" i="21"/>
  <c r="AI472" i="21"/>
  <c r="AI466" i="21"/>
  <c r="AI458" i="21"/>
  <c r="AI447" i="21"/>
  <c r="AI439" i="21"/>
  <c r="X219" i="21"/>
  <c r="Y219" i="21"/>
  <c r="Z219" i="21" s="1"/>
  <c r="X239" i="21"/>
  <c r="Y239" i="21"/>
  <c r="Z239" i="21" s="1"/>
  <c r="X235" i="21"/>
  <c r="Y235" i="21"/>
  <c r="Z235" i="21" s="1"/>
  <c r="X231" i="21"/>
  <c r="Y231" i="21"/>
  <c r="Z231" i="21" s="1"/>
  <c r="X227" i="21"/>
  <c r="Y227" i="21"/>
  <c r="Z227" i="21" s="1"/>
  <c r="X223" i="21"/>
  <c r="Y223" i="21"/>
  <c r="Z223" i="21" s="1"/>
  <c r="X504" i="21"/>
  <c r="Y504" i="21"/>
  <c r="Z504" i="21" s="1"/>
  <c r="X488" i="21"/>
  <c r="Y488" i="21"/>
  <c r="Z488" i="21" s="1"/>
  <c r="X465" i="21"/>
  <c r="Y465" i="21"/>
  <c r="Z465" i="21" s="1"/>
  <c r="Y457" i="21"/>
  <c r="Z457" i="21" s="1"/>
  <c r="X457" i="21"/>
  <c r="X491" i="21"/>
  <c r="Y491" i="21"/>
  <c r="AA491" i="21" s="1"/>
  <c r="AB491" i="21" s="1"/>
  <c r="AC491" i="21" s="1"/>
  <c r="AD491" i="21" s="1"/>
  <c r="T413" i="21"/>
  <c r="AI461" i="21"/>
  <c r="AI453" i="21"/>
  <c r="AI450" i="21"/>
  <c r="AI442" i="21"/>
  <c r="X220" i="21"/>
  <c r="Y220" i="21"/>
  <c r="Z220" i="21" s="1"/>
  <c r="AI251" i="21"/>
  <c r="AI247" i="21"/>
  <c r="AI243" i="21"/>
  <c r="AI239" i="21"/>
  <c r="AI235" i="21"/>
  <c r="AI231" i="21"/>
  <c r="AI227" i="21"/>
  <c r="AI223" i="21"/>
  <c r="X506" i="21"/>
  <c r="Y506" i="21"/>
  <c r="Z506" i="21" s="1"/>
  <c r="X490" i="21"/>
  <c r="Y490" i="21"/>
  <c r="Z490" i="21" s="1"/>
  <c r="X466" i="21"/>
  <c r="Y466" i="21"/>
  <c r="Z466" i="21" s="1"/>
  <c r="X458" i="21"/>
  <c r="Y458" i="21"/>
  <c r="Z458" i="21" s="1"/>
  <c r="AI428" i="21"/>
  <c r="AI416" i="21"/>
  <c r="Y436" i="21"/>
  <c r="X436" i="21"/>
  <c r="X432" i="21"/>
  <c r="Y432" i="21"/>
  <c r="AA432" i="21" s="1"/>
  <c r="X428" i="21"/>
  <c r="Y428" i="21"/>
  <c r="AA428" i="21" s="1"/>
  <c r="X424" i="21"/>
  <c r="Y424" i="21"/>
  <c r="AA424" i="21" s="1"/>
  <c r="X420" i="21"/>
  <c r="Y420" i="21"/>
  <c r="AA420" i="21" s="1"/>
  <c r="Y416" i="21"/>
  <c r="X416" i="21"/>
  <c r="X476" i="21"/>
  <c r="Y476" i="21"/>
  <c r="Z476" i="21" s="1"/>
  <c r="AI504" i="21"/>
  <c r="AI500" i="21"/>
  <c r="AI496" i="21"/>
  <c r="AI492" i="21"/>
  <c r="AI488" i="21"/>
  <c r="AI484" i="21"/>
  <c r="AI480" i="21"/>
  <c r="AI476" i="21"/>
  <c r="Y451" i="21"/>
  <c r="Z451" i="21" s="1"/>
  <c r="X451" i="21"/>
  <c r="Y447" i="21"/>
  <c r="Z447" i="21" s="1"/>
  <c r="X447" i="21"/>
  <c r="Y443" i="21"/>
  <c r="Z443" i="21" s="1"/>
  <c r="X443" i="21"/>
  <c r="X439" i="21"/>
  <c r="Y439" i="21"/>
  <c r="Z439" i="21" s="1"/>
  <c r="AI218" i="21"/>
  <c r="AI371" i="21"/>
  <c r="AI329" i="21"/>
  <c r="AI333" i="21"/>
  <c r="AI337" i="21"/>
  <c r="AI341" i="21"/>
  <c r="AI345" i="21"/>
  <c r="AI349" i="21"/>
  <c r="AI353" i="21"/>
  <c r="AI357" i="21"/>
  <c r="Y322" i="21"/>
  <c r="Z322" i="21" s="1"/>
  <c r="X322" i="21"/>
  <c r="Y327" i="21"/>
  <c r="Z327" i="21" s="1"/>
  <c r="X327" i="21"/>
  <c r="X331" i="21"/>
  <c r="Y331" i="21"/>
  <c r="AA331" i="21" s="1"/>
  <c r="Y335" i="21"/>
  <c r="Z335" i="21" s="1"/>
  <c r="X335" i="21"/>
  <c r="X339" i="21"/>
  <c r="Y339" i="21"/>
  <c r="Z339" i="21" s="1"/>
  <c r="Y343" i="21"/>
  <c r="Z343" i="21" s="1"/>
  <c r="X343" i="21"/>
  <c r="Y347" i="21"/>
  <c r="AA347" i="21" s="1"/>
  <c r="X347" i="21"/>
  <c r="X351" i="21"/>
  <c r="Y351" i="21"/>
  <c r="Y355" i="21"/>
  <c r="AA355" i="21" s="1"/>
  <c r="X355" i="21"/>
  <c r="X363" i="21"/>
  <c r="Y363" i="21"/>
  <c r="Y371" i="21"/>
  <c r="Z371" i="21" s="1"/>
  <c r="X371" i="21"/>
  <c r="X218" i="21"/>
  <c r="Y218" i="21"/>
  <c r="Y379" i="21"/>
  <c r="X379" i="21"/>
  <c r="X383" i="21"/>
  <c r="Y383" i="21"/>
  <c r="AA383" i="21" s="1"/>
  <c r="Y387" i="21"/>
  <c r="X387" i="21"/>
  <c r="X391" i="21"/>
  <c r="Y391" i="21"/>
  <c r="AA391" i="21" s="1"/>
  <c r="Y398" i="21"/>
  <c r="Z398" i="21" s="1"/>
  <c r="X398" i="21"/>
  <c r="AI366" i="21"/>
  <c r="Y325" i="21"/>
  <c r="Z325" i="21" s="1"/>
  <c r="X325" i="21"/>
  <c r="Y364" i="21"/>
  <c r="X364" i="21"/>
  <c r="Y372" i="21"/>
  <c r="X372" i="21"/>
  <c r="X359" i="21"/>
  <c r="Y359" i="21"/>
  <c r="Z359" i="21" s="1"/>
  <c r="AI375" i="21"/>
  <c r="AI367" i="21"/>
  <c r="AI321" i="21"/>
  <c r="AI286" i="21"/>
  <c r="X273" i="21"/>
  <c r="Y273" i="21"/>
  <c r="Z273" i="21" s="1"/>
  <c r="X281" i="21"/>
  <c r="Y281" i="21"/>
  <c r="Z281" i="21" s="1"/>
  <c r="AI322" i="21"/>
  <c r="AI302" i="21"/>
  <c r="AI298" i="21"/>
  <c r="AI294" i="21"/>
  <c r="AI290" i="21"/>
  <c r="X276" i="21"/>
  <c r="Y276" i="21"/>
  <c r="Z276" i="21" s="1"/>
  <c r="X260" i="21"/>
  <c r="Y260" i="21"/>
  <c r="Z260" i="21" s="1"/>
  <c r="X246" i="21"/>
  <c r="Y246" i="21"/>
  <c r="Z246" i="21" s="1"/>
  <c r="X316" i="21"/>
  <c r="Y316" i="21"/>
  <c r="AA316" i="21" s="1"/>
  <c r="X312" i="21"/>
  <c r="Y312" i="21"/>
  <c r="Y308" i="21"/>
  <c r="X308" i="21"/>
  <c r="X304" i="21"/>
  <c r="Y304" i="21"/>
  <c r="Z304" i="21" s="1"/>
  <c r="X300" i="21"/>
  <c r="Y300" i="21"/>
  <c r="AA300" i="21" s="1"/>
  <c r="Y296" i="21"/>
  <c r="X296" i="21"/>
  <c r="X292" i="21"/>
  <c r="Y292" i="21"/>
  <c r="AA292" i="21" s="1"/>
  <c r="X288" i="21"/>
  <c r="Y288" i="21"/>
  <c r="Z288" i="21" s="1"/>
  <c r="AI281" i="21"/>
  <c r="X279" i="21"/>
  <c r="Y279" i="21"/>
  <c r="Z279" i="21" s="1"/>
  <c r="X263" i="21"/>
  <c r="Y263" i="21"/>
  <c r="Z263" i="21" s="1"/>
  <c r="X284" i="21"/>
  <c r="Y284" i="21"/>
  <c r="Z284" i="21" s="1"/>
  <c r="X257" i="21"/>
  <c r="Y257" i="21"/>
  <c r="Z257" i="21" s="1"/>
  <c r="AI324" i="21"/>
  <c r="X266" i="21"/>
  <c r="Y266" i="21"/>
  <c r="Z266" i="21" s="1"/>
  <c r="AI278" i="21"/>
  <c r="AI274" i="21"/>
  <c r="AI270" i="21"/>
  <c r="AI266" i="21"/>
  <c r="AI262" i="21"/>
  <c r="AI258" i="21"/>
  <c r="AI254" i="21"/>
  <c r="X249" i="21"/>
  <c r="Y249" i="21"/>
  <c r="Z249" i="21" s="1"/>
  <c r="X241" i="21"/>
  <c r="Y241" i="21"/>
  <c r="Z241" i="21" s="1"/>
  <c r="X497" i="21"/>
  <c r="Y497" i="21"/>
  <c r="AA497" i="21" s="1"/>
  <c r="X479" i="21"/>
  <c r="Y479" i="21"/>
  <c r="Z479" i="21" s="1"/>
  <c r="AI464" i="21"/>
  <c r="AI445" i="21"/>
  <c r="AI437" i="21"/>
  <c r="Z505" i="21"/>
  <c r="X238" i="21"/>
  <c r="Y238" i="21"/>
  <c r="X234" i="21"/>
  <c r="Y234" i="21"/>
  <c r="Z234" i="21" s="1"/>
  <c r="X230" i="21"/>
  <c r="Y230" i="21"/>
  <c r="Z230" i="21" s="1"/>
  <c r="X226" i="21"/>
  <c r="Y226" i="21"/>
  <c r="Z226" i="21" s="1"/>
  <c r="X222" i="21"/>
  <c r="Y222" i="21"/>
  <c r="Z222" i="21" s="1"/>
  <c r="X500" i="21"/>
  <c r="Y500" i="21"/>
  <c r="Z500" i="21" s="1"/>
  <c r="X483" i="21"/>
  <c r="Y483" i="21"/>
  <c r="Z483" i="21" s="1"/>
  <c r="X471" i="21"/>
  <c r="Y471" i="21"/>
  <c r="Z471" i="21" s="1"/>
  <c r="X463" i="21"/>
  <c r="Y463" i="21"/>
  <c r="Z463" i="21" s="1"/>
  <c r="Y455" i="21"/>
  <c r="Z455" i="21" s="1"/>
  <c r="X455" i="21"/>
  <c r="X503" i="21"/>
  <c r="Y503" i="21"/>
  <c r="AA503" i="21" s="1"/>
  <c r="X487" i="21"/>
  <c r="Y487" i="21"/>
  <c r="AA487" i="21" s="1"/>
  <c r="AI467" i="21"/>
  <c r="AI459" i="21"/>
  <c r="AI448" i="21"/>
  <c r="AI250" i="21"/>
  <c r="AI246" i="21"/>
  <c r="AI242" i="21"/>
  <c r="AI238" i="21"/>
  <c r="AI234" i="21"/>
  <c r="AI230" i="21"/>
  <c r="AI226" i="21"/>
  <c r="AI222" i="21"/>
  <c r="X502" i="21"/>
  <c r="Y502" i="21"/>
  <c r="Z502" i="21" s="1"/>
  <c r="X486" i="21"/>
  <c r="Y486" i="21"/>
  <c r="Z486" i="21" s="1"/>
  <c r="Y472" i="21"/>
  <c r="Z472" i="21" s="1"/>
  <c r="X472" i="21"/>
  <c r="Y464" i="21"/>
  <c r="Z464" i="21" s="1"/>
  <c r="X464" i="21"/>
  <c r="X456" i="21"/>
  <c r="Y456" i="21"/>
  <c r="AA456" i="21" s="1"/>
  <c r="AI435" i="21"/>
  <c r="AI431" i="21"/>
  <c r="AI427" i="21"/>
  <c r="AI423" i="21"/>
  <c r="AI419" i="21"/>
  <c r="AI415" i="21"/>
  <c r="Y435" i="21"/>
  <c r="Z435" i="21" s="1"/>
  <c r="X435" i="21"/>
  <c r="Y431" i="21"/>
  <c r="Z431" i="21" s="1"/>
  <c r="X431" i="21"/>
  <c r="Y427" i="21"/>
  <c r="Z427" i="21" s="1"/>
  <c r="X427" i="21"/>
  <c r="Y423" i="21"/>
  <c r="Z423" i="21" s="1"/>
  <c r="X423" i="21"/>
  <c r="Y419" i="21"/>
  <c r="AA419" i="21" s="1"/>
  <c r="X419" i="21"/>
  <c r="Y415" i="21"/>
  <c r="Z415" i="21" s="1"/>
  <c r="X415" i="21"/>
  <c r="AI503" i="21"/>
  <c r="AI499" i="21"/>
  <c r="AI495" i="21"/>
  <c r="AI491" i="21"/>
  <c r="AI487" i="21"/>
  <c r="AI483" i="21"/>
  <c r="AI479" i="21"/>
  <c r="AI475" i="21"/>
  <c r="X450" i="21"/>
  <c r="Y450" i="21"/>
  <c r="X446" i="21"/>
  <c r="Y446" i="21"/>
  <c r="Z446" i="21" s="1"/>
  <c r="Y442" i="21"/>
  <c r="X442" i="21"/>
  <c r="Y438" i="21"/>
  <c r="Z438" i="21" s="1"/>
  <c r="X438" i="21"/>
  <c r="Y374" i="21"/>
  <c r="X374" i="21"/>
  <c r="AI390" i="21"/>
  <c r="AI394" i="21"/>
  <c r="AI398" i="21"/>
  <c r="Z385" i="21"/>
  <c r="AI330" i="21"/>
  <c r="AI334" i="21"/>
  <c r="AI338" i="21"/>
  <c r="AI342" i="21"/>
  <c r="AI346" i="21"/>
  <c r="AI350" i="21"/>
  <c r="AI358" i="21"/>
  <c r="X328" i="21"/>
  <c r="Y328" i="21"/>
  <c r="Z328" i="21" s="1"/>
  <c r="X332" i="21"/>
  <c r="Y332" i="21"/>
  <c r="Z332" i="21" s="1"/>
  <c r="X336" i="21"/>
  <c r="Y336" i="21"/>
  <c r="Z336" i="21" s="1"/>
  <c r="X340" i="21"/>
  <c r="Y340" i="21"/>
  <c r="Z340" i="21" s="1"/>
  <c r="Y344" i="21"/>
  <c r="Z344" i="21" s="1"/>
  <c r="X344" i="21"/>
  <c r="Y348" i="21"/>
  <c r="AA348" i="21" s="1"/>
  <c r="X348" i="21"/>
  <c r="Y352" i="21"/>
  <c r="X352" i="21"/>
  <c r="Y356" i="21"/>
  <c r="AA356" i="21" s="1"/>
  <c r="X356" i="21"/>
  <c r="Y365" i="21"/>
  <c r="Z365" i="21" s="1"/>
  <c r="X365" i="21"/>
  <c r="Y397" i="21"/>
  <c r="AA397" i="21" s="1"/>
  <c r="X397" i="21"/>
  <c r="X361" i="21"/>
  <c r="Y361" i="21"/>
  <c r="Y376" i="21"/>
  <c r="AA376" i="21" s="1"/>
  <c r="X376" i="21"/>
  <c r="Y380" i="21"/>
  <c r="Z380" i="21" s="1"/>
  <c r="X380" i="21"/>
  <c r="Y384" i="21"/>
  <c r="AA384" i="21" s="1"/>
  <c r="X384" i="21"/>
  <c r="Y388" i="21"/>
  <c r="Z388" i="21" s="1"/>
  <c r="X388" i="21"/>
  <c r="X392" i="21"/>
  <c r="Y392" i="21"/>
  <c r="AA392" i="21" s="1"/>
  <c r="X318" i="21"/>
  <c r="Y318" i="21"/>
  <c r="Z318" i="21" s="1"/>
  <c r="Y321" i="21"/>
  <c r="AA321" i="21" s="1"/>
  <c r="X321" i="21"/>
  <c r="Z218" i="21"/>
  <c r="X324" i="21"/>
  <c r="Y324" i="21"/>
  <c r="Z324" i="21" s="1"/>
  <c r="Y366" i="21"/>
  <c r="X366" i="21"/>
  <c r="AI369" i="21"/>
  <c r="AI325" i="21"/>
  <c r="AI284" i="21"/>
  <c r="X269" i="21"/>
  <c r="Y269" i="21"/>
  <c r="Z269" i="21" s="1"/>
  <c r="AI317" i="21"/>
  <c r="AI313" i="21"/>
  <c r="AI309" i="21"/>
  <c r="AI305" i="21"/>
  <c r="AI301" i="21"/>
  <c r="AI297" i="21"/>
  <c r="AI293" i="21"/>
  <c r="AI289" i="21"/>
  <c r="X272" i="21"/>
  <c r="Y272" i="21"/>
  <c r="X244" i="21"/>
  <c r="Y244" i="21"/>
  <c r="Y315" i="21"/>
  <c r="AA315" i="21" s="1"/>
  <c r="X315" i="21"/>
  <c r="Y311" i="21"/>
  <c r="X311" i="21"/>
  <c r="Y307" i="21"/>
  <c r="X307" i="21"/>
  <c r="Y303" i="21"/>
  <c r="X303" i="21"/>
  <c r="Y299" i="21"/>
  <c r="AA299" i="21" s="1"/>
  <c r="X299" i="21"/>
  <c r="Y295" i="21"/>
  <c r="X295" i="21"/>
  <c r="X291" i="21"/>
  <c r="Y291" i="21"/>
  <c r="Z291" i="21" s="1"/>
  <c r="Y287" i="21"/>
  <c r="X287" i="21"/>
  <c r="Z285" i="21"/>
  <c r="X275" i="21"/>
  <c r="Y275" i="21"/>
  <c r="Z275" i="21" s="1"/>
  <c r="X282" i="21"/>
  <c r="Y282" i="21"/>
  <c r="AA282" i="21" s="1"/>
  <c r="X256" i="21"/>
  <c r="Y256" i="21"/>
  <c r="X278" i="21"/>
  <c r="Y278" i="21"/>
  <c r="Z278" i="21" s="1"/>
  <c r="X262" i="21"/>
  <c r="Y262" i="21"/>
  <c r="Z262" i="21" s="1"/>
  <c r="AI277" i="21"/>
  <c r="AI273" i="21"/>
  <c r="AI269" i="21"/>
  <c r="AI265" i="21"/>
  <c r="AI261" i="21"/>
  <c r="AI257" i="21"/>
  <c r="X247" i="21"/>
  <c r="Y247" i="21"/>
  <c r="Z247" i="21" s="1"/>
  <c r="X493" i="21"/>
  <c r="Y493" i="21"/>
  <c r="X474" i="21"/>
  <c r="Y474" i="21"/>
  <c r="Z474" i="21" s="1"/>
  <c r="Y414" i="21"/>
  <c r="X414" i="21"/>
  <c r="AI462" i="21"/>
  <c r="AI454" i="21"/>
  <c r="AI451" i="21"/>
  <c r="AI443" i="21"/>
  <c r="Y237" i="21"/>
  <c r="Z237" i="21" s="1"/>
  <c r="X237" i="21"/>
  <c r="X233" i="21"/>
  <c r="Y233" i="21"/>
  <c r="Z233" i="21" s="1"/>
  <c r="X229" i="21"/>
  <c r="Y229" i="21"/>
  <c r="Z229" i="21" s="1"/>
  <c r="X225" i="21"/>
  <c r="Y225" i="21"/>
  <c r="Z225" i="21" s="1"/>
  <c r="AI220" i="21"/>
  <c r="Y496" i="21"/>
  <c r="Z496" i="21" s="1"/>
  <c r="X496" i="21"/>
  <c r="X478" i="21"/>
  <c r="Y478" i="21"/>
  <c r="Z478" i="21" s="1"/>
  <c r="X469" i="21"/>
  <c r="Y469" i="21"/>
  <c r="Z469" i="21" s="1"/>
  <c r="X461" i="21"/>
  <c r="Y461" i="21"/>
  <c r="Y453" i="21"/>
  <c r="Z453" i="21" s="1"/>
  <c r="X453" i="21"/>
  <c r="X499" i="21"/>
  <c r="Y499" i="21"/>
  <c r="Z499" i="21" s="1"/>
  <c r="X482" i="21"/>
  <c r="Y482" i="21"/>
  <c r="Z482" i="21" s="1"/>
  <c r="AI465" i="21"/>
  <c r="AI457" i="21"/>
  <c r="AI446" i="21"/>
  <c r="AI438" i="21"/>
  <c r="AI221" i="21"/>
  <c r="AI253" i="21"/>
  <c r="AI249" i="21"/>
  <c r="AI245" i="21"/>
  <c r="AI241" i="21"/>
  <c r="AI237" i="21"/>
  <c r="AI233" i="21"/>
  <c r="AI229" i="21"/>
  <c r="AI225" i="21"/>
  <c r="X498" i="21"/>
  <c r="Y498" i="21"/>
  <c r="Z498" i="21" s="1"/>
  <c r="X481" i="21"/>
  <c r="Y481" i="21"/>
  <c r="AI471" i="21"/>
  <c r="X470" i="21"/>
  <c r="Y470" i="21"/>
  <c r="Z470" i="21" s="1"/>
  <c r="X462" i="21"/>
  <c r="Y462" i="21"/>
  <c r="Z462" i="21" s="1"/>
  <c r="X454" i="21"/>
  <c r="Y454" i="21"/>
  <c r="AI434" i="21"/>
  <c r="AI422" i="21"/>
  <c r="AI418" i="21"/>
  <c r="X434" i="21"/>
  <c r="Y434" i="21"/>
  <c r="Z434" i="21" s="1"/>
  <c r="X430" i="21"/>
  <c r="Y430" i="21"/>
  <c r="AA430" i="21" s="1"/>
  <c r="X426" i="21"/>
  <c r="Y426" i="21"/>
  <c r="AA426" i="21" s="1"/>
  <c r="X422" i="21"/>
  <c r="Y422" i="21"/>
  <c r="AA422" i="21" s="1"/>
  <c r="Y418" i="21"/>
  <c r="Z418" i="21" s="1"/>
  <c r="X418" i="21"/>
  <c r="X484" i="21"/>
  <c r="Y484" i="21"/>
  <c r="Z484" i="21" s="1"/>
  <c r="AI506" i="21"/>
  <c r="AI502" i="21"/>
  <c r="AI498" i="21"/>
  <c r="AI494" i="21"/>
  <c r="AI490" i="21"/>
  <c r="AI486" i="21"/>
  <c r="AI482" i="21"/>
  <c r="AI478" i="21"/>
  <c r="AI474" i="21"/>
  <c r="Y449" i="21"/>
  <c r="Z449" i="21" s="1"/>
  <c r="X449" i="21"/>
  <c r="Y445" i="21"/>
  <c r="Z445" i="21" s="1"/>
  <c r="X445" i="21"/>
  <c r="Y441" i="21"/>
  <c r="AA441" i="21" s="1"/>
  <c r="X441" i="21"/>
  <c r="Y437" i="21"/>
  <c r="Z437" i="21" s="1"/>
  <c r="X437" i="21"/>
  <c r="W145" i="21"/>
  <c r="X145" i="21" s="1"/>
  <c r="Z180" i="21"/>
  <c r="AB180" i="21" s="1"/>
  <c r="AI26" i="21"/>
  <c r="AI24" i="21"/>
  <c r="X29" i="21"/>
  <c r="Y29" i="21"/>
  <c r="Z29" i="21" s="1"/>
  <c r="X16" i="21"/>
  <c r="Y16" i="21"/>
  <c r="Z16" i="21" s="1"/>
  <c r="Y23" i="21"/>
  <c r="AA23" i="21" s="1"/>
  <c r="X23" i="21"/>
  <c r="Y27" i="21"/>
  <c r="AA27" i="21" s="1"/>
  <c r="X27" i="21"/>
  <c r="AI22" i="21"/>
  <c r="AI197" i="21"/>
  <c r="AI195" i="21"/>
  <c r="AI173" i="21"/>
  <c r="Y175" i="21"/>
  <c r="Z175" i="21" s="1"/>
  <c r="X175" i="21"/>
  <c r="Y171" i="21"/>
  <c r="Z171" i="21" s="1"/>
  <c r="X171" i="21"/>
  <c r="Y163" i="21"/>
  <c r="Z163" i="21" s="1"/>
  <c r="X163" i="21"/>
  <c r="Y149" i="21"/>
  <c r="Z149" i="21" s="1"/>
  <c r="X149" i="21"/>
  <c r="Y148" i="21"/>
  <c r="AA148" i="21" s="1"/>
  <c r="X148" i="21"/>
  <c r="Y147" i="21"/>
  <c r="Z147" i="21" s="1"/>
  <c r="X147" i="21"/>
  <c r="Y146" i="21"/>
  <c r="Z146" i="21" s="1"/>
  <c r="X146" i="21"/>
  <c r="Y142" i="21"/>
  <c r="Z142" i="21" s="1"/>
  <c r="X142" i="21"/>
  <c r="X140" i="21"/>
  <c r="Y140" i="21"/>
  <c r="Z140" i="21" s="1"/>
  <c r="Y139" i="21"/>
  <c r="Z139" i="21" s="1"/>
  <c r="X139" i="21"/>
  <c r="Y138" i="21"/>
  <c r="Z138" i="21" s="1"/>
  <c r="X138" i="21"/>
  <c r="Y136" i="21"/>
  <c r="Z136" i="21" s="1"/>
  <c r="X136" i="21"/>
  <c r="X135" i="21"/>
  <c r="Y135" i="21"/>
  <c r="AA135" i="21" s="1"/>
  <c r="X134" i="21"/>
  <c r="Y134" i="21"/>
  <c r="Z134" i="21" s="1"/>
  <c r="Y132" i="21"/>
  <c r="Z132" i="21" s="1"/>
  <c r="X132" i="21"/>
  <c r="X131" i="21"/>
  <c r="Y131" i="21"/>
  <c r="Z131" i="21" s="1"/>
  <c r="X129" i="21"/>
  <c r="Y129" i="21"/>
  <c r="AA129" i="21" s="1"/>
  <c r="X128" i="21"/>
  <c r="Y128" i="21"/>
  <c r="Z128" i="21" s="1"/>
  <c r="X127" i="21"/>
  <c r="Y127" i="21"/>
  <c r="AA127" i="21" s="1"/>
  <c r="X126" i="21"/>
  <c r="Y126" i="21"/>
  <c r="AA126" i="21" s="1"/>
  <c r="X125" i="21"/>
  <c r="Y125" i="21"/>
  <c r="AA125" i="21" s="1"/>
  <c r="X124" i="21"/>
  <c r="Y124" i="21"/>
  <c r="AA124" i="21" s="1"/>
  <c r="X123" i="21"/>
  <c r="Y123" i="21"/>
  <c r="Z123" i="21" s="1"/>
  <c r="Y122" i="21"/>
  <c r="AA122" i="21" s="1"/>
  <c r="X122" i="21"/>
  <c r="X121" i="21"/>
  <c r="Y121" i="21"/>
  <c r="AA121" i="21" s="1"/>
  <c r="X119" i="21"/>
  <c r="Y119" i="21"/>
  <c r="AA119" i="21" s="1"/>
  <c r="AI161" i="21"/>
  <c r="AI159" i="21"/>
  <c r="AI154" i="21"/>
  <c r="AI149" i="21"/>
  <c r="AI148" i="21"/>
  <c r="AI147" i="21"/>
  <c r="AI146" i="21"/>
  <c r="AI145" i="21"/>
  <c r="AI142" i="21"/>
  <c r="AI140" i="21"/>
  <c r="AI139" i="21"/>
  <c r="AI138" i="21"/>
  <c r="AI136" i="21"/>
  <c r="AI135" i="21"/>
  <c r="AI134" i="21"/>
  <c r="AI132" i="21"/>
  <c r="AI131" i="21"/>
  <c r="AI129" i="21"/>
  <c r="AI128" i="21"/>
  <c r="AI127" i="21"/>
  <c r="AI126" i="21"/>
  <c r="AI125" i="21"/>
  <c r="AI124" i="21"/>
  <c r="AI123" i="21"/>
  <c r="AI122" i="21"/>
  <c r="AI121" i="21"/>
  <c r="AI119" i="21"/>
  <c r="AI118" i="21"/>
  <c r="X79" i="21"/>
  <c r="Y79" i="21"/>
  <c r="Z79" i="21" s="1"/>
  <c r="AI116" i="21"/>
  <c r="AI114" i="21"/>
  <c r="AI112" i="21"/>
  <c r="AI104" i="21"/>
  <c r="AI103" i="21"/>
  <c r="AI102" i="21"/>
  <c r="AI98" i="21"/>
  <c r="AI96" i="21"/>
  <c r="AI94" i="21"/>
  <c r="AI92" i="21"/>
  <c r="AI91" i="21"/>
  <c r="AI90" i="21"/>
  <c r="X74" i="21"/>
  <c r="Y74" i="21"/>
  <c r="AA74" i="21" s="1"/>
  <c r="Y73" i="21"/>
  <c r="AA73" i="21" s="1"/>
  <c r="X73" i="21"/>
  <c r="X72" i="21"/>
  <c r="Y72" i="21"/>
  <c r="AA72" i="21" s="1"/>
  <c r="Y71" i="21"/>
  <c r="AA71" i="21" s="1"/>
  <c r="X71" i="21"/>
  <c r="X70" i="21"/>
  <c r="Y70" i="21"/>
  <c r="Z70" i="21" s="1"/>
  <c r="Y69" i="21"/>
  <c r="AA69" i="21" s="1"/>
  <c r="X69" i="21"/>
  <c r="Y68" i="21"/>
  <c r="Z68" i="21" s="1"/>
  <c r="X68" i="21"/>
  <c r="X67" i="21"/>
  <c r="Y67" i="21"/>
  <c r="AA67" i="21" s="1"/>
  <c r="AI66" i="21"/>
  <c r="AI63" i="21"/>
  <c r="AI60" i="21"/>
  <c r="AI58" i="21"/>
  <c r="X50" i="21"/>
  <c r="Y50" i="21"/>
  <c r="Z50" i="21" s="1"/>
  <c r="X48" i="21"/>
  <c r="Y48" i="21"/>
  <c r="AA48" i="21" s="1"/>
  <c r="AI41" i="21"/>
  <c r="Y42" i="21"/>
  <c r="AA42" i="21" s="1"/>
  <c r="X42" i="21"/>
  <c r="Y38" i="21"/>
  <c r="Z38" i="21" s="1"/>
  <c r="X38" i="21"/>
  <c r="AI108" i="21"/>
  <c r="X105" i="21"/>
  <c r="Y105" i="21"/>
  <c r="AA105" i="21" s="1"/>
  <c r="X109" i="21"/>
  <c r="Y109" i="21"/>
  <c r="AA109" i="21" s="1"/>
  <c r="X152" i="21"/>
  <c r="Y152" i="21"/>
  <c r="Z152" i="21" s="1"/>
  <c r="Y19" i="21"/>
  <c r="Z19" i="21" s="1"/>
  <c r="X19" i="21"/>
  <c r="X52" i="21"/>
  <c r="Y52" i="21"/>
  <c r="AA52" i="21" s="1"/>
  <c r="X193" i="21"/>
  <c r="Y193" i="21"/>
  <c r="AA193" i="21" s="1"/>
  <c r="Y55" i="21"/>
  <c r="Z55" i="21" s="1"/>
  <c r="X55" i="21"/>
  <c r="X35" i="21"/>
  <c r="Y35" i="21"/>
  <c r="AA35" i="21" s="1"/>
  <c r="AI36" i="21"/>
  <c r="AI97" i="21"/>
  <c r="AI130" i="21"/>
  <c r="X45" i="21"/>
  <c r="Y45" i="21"/>
  <c r="AA45" i="21" s="1"/>
  <c r="AI46" i="21"/>
  <c r="AI23" i="21"/>
  <c r="AI27" i="21"/>
  <c r="Z217" i="21"/>
  <c r="AC217" i="21"/>
  <c r="AD217" i="21" s="1"/>
  <c r="AJ217" i="21"/>
  <c r="AI25" i="21"/>
  <c r="AI28" i="21"/>
  <c r="AI14" i="21"/>
  <c r="X17" i="21"/>
  <c r="Y17" i="21"/>
  <c r="Z17" i="21" s="1"/>
  <c r="Y24" i="21"/>
  <c r="Z24" i="21" s="1"/>
  <c r="X24" i="21"/>
  <c r="Y28" i="21"/>
  <c r="AA28" i="21" s="1"/>
  <c r="X28" i="21"/>
  <c r="AI30" i="21"/>
  <c r="AI16" i="21"/>
  <c r="X22" i="21"/>
  <c r="Y22" i="21"/>
  <c r="AA22" i="21" s="1"/>
  <c r="AI21" i="21"/>
  <c r="AI29" i="21"/>
  <c r="AI17" i="21"/>
  <c r="X30" i="21"/>
  <c r="Y30" i="21"/>
  <c r="Z30" i="21" s="1"/>
  <c r="X26" i="21"/>
  <c r="Y26" i="21"/>
  <c r="AA26" i="21" s="1"/>
  <c r="Y15" i="21"/>
  <c r="Z15" i="21" s="1"/>
  <c r="X15" i="21"/>
  <c r="AI179" i="21"/>
  <c r="AI188" i="21"/>
  <c r="AI185" i="21"/>
  <c r="AI183" i="21"/>
  <c r="Y177" i="21"/>
  <c r="AA177" i="21" s="1"/>
  <c r="X177" i="21"/>
  <c r="X172" i="21"/>
  <c r="Y172" i="21"/>
  <c r="AA172" i="21" s="1"/>
  <c r="Y169" i="21"/>
  <c r="AA169" i="21" s="1"/>
  <c r="X169" i="21"/>
  <c r="X164" i="21"/>
  <c r="Y164" i="21"/>
  <c r="AA164" i="21" s="1"/>
  <c r="Y161" i="21"/>
  <c r="Z161" i="21" s="1"/>
  <c r="X161" i="21"/>
  <c r="Y159" i="21"/>
  <c r="AA159" i="21" s="1"/>
  <c r="X159" i="21"/>
  <c r="X156" i="21"/>
  <c r="Y156" i="21"/>
  <c r="AA156" i="21" s="1"/>
  <c r="X155" i="21"/>
  <c r="Y155" i="21"/>
  <c r="AA155" i="21" s="1"/>
  <c r="X82" i="21"/>
  <c r="Y82" i="21"/>
  <c r="AA82" i="21" s="1"/>
  <c r="X78" i="21"/>
  <c r="Y78" i="21"/>
  <c r="AA78" i="21" s="1"/>
  <c r="Y86" i="21"/>
  <c r="Z86" i="21" s="1"/>
  <c r="X86" i="21"/>
  <c r="AI86" i="21"/>
  <c r="AI84" i="21"/>
  <c r="AI79" i="21"/>
  <c r="AI77" i="21"/>
  <c r="AI76" i="21"/>
  <c r="AI75" i="21"/>
  <c r="AI70" i="21"/>
  <c r="Y53" i="21"/>
  <c r="AA53" i="21" s="1"/>
  <c r="X53" i="21"/>
  <c r="AI53" i="21"/>
  <c r="AI51" i="21"/>
  <c r="AI50" i="21"/>
  <c r="AI49" i="21"/>
  <c r="AI33" i="21"/>
  <c r="AI32" i="21"/>
  <c r="AI31" i="21"/>
  <c r="AI40" i="21"/>
  <c r="X41" i="21"/>
  <c r="Y41" i="21"/>
  <c r="Z41" i="21" s="1"/>
  <c r="AI110" i="21"/>
  <c r="Y106" i="21"/>
  <c r="Z106" i="21" s="1"/>
  <c r="X106" i="21"/>
  <c r="Y110" i="21"/>
  <c r="AA110" i="21" s="1"/>
  <c r="X110" i="21"/>
  <c r="Y150" i="21"/>
  <c r="Z150" i="21" s="1"/>
  <c r="X150" i="21"/>
  <c r="AI150" i="21"/>
  <c r="X151" i="21"/>
  <c r="Y151" i="21"/>
  <c r="Z151" i="21" s="1"/>
  <c r="AI18" i="21"/>
  <c r="Y153" i="21"/>
  <c r="AA153" i="21" s="1"/>
  <c r="X153" i="21"/>
  <c r="X166" i="21"/>
  <c r="Y166" i="21"/>
  <c r="AA166" i="21" s="1"/>
  <c r="Y36" i="21"/>
  <c r="AA36" i="21" s="1"/>
  <c r="X36" i="21"/>
  <c r="AI141" i="21"/>
  <c r="Y137" i="21"/>
  <c r="AA137" i="21" s="1"/>
  <c r="X137" i="21"/>
  <c r="Y143" i="21"/>
  <c r="Z143" i="21" s="1"/>
  <c r="X143" i="21"/>
  <c r="AI143" i="21"/>
  <c r="X80" i="21"/>
  <c r="Y80" i="21"/>
  <c r="AA80" i="21" s="1"/>
  <c r="X97" i="21"/>
  <c r="Y97" i="21"/>
  <c r="Z97" i="21" s="1"/>
  <c r="X120" i="21"/>
  <c r="Y120" i="21"/>
  <c r="Z120" i="21" s="1"/>
  <c r="X130" i="21"/>
  <c r="Y130" i="21"/>
  <c r="AA130" i="21" s="1"/>
  <c r="Y46" i="21"/>
  <c r="Z46" i="21" s="1"/>
  <c r="X46" i="21"/>
  <c r="Y157" i="21"/>
  <c r="AA157" i="21" s="1"/>
  <c r="X157" i="21"/>
  <c r="X21" i="21"/>
  <c r="Y21" i="21"/>
  <c r="AA21" i="21" s="1"/>
  <c r="AI15" i="21"/>
  <c r="X215" i="21"/>
  <c r="Y215" i="21"/>
  <c r="AA215" i="21" s="1"/>
  <c r="Y214" i="21"/>
  <c r="Z214" i="21" s="1"/>
  <c r="X214" i="21"/>
  <c r="Y213" i="21"/>
  <c r="AA213" i="21" s="1"/>
  <c r="X213" i="21"/>
  <c r="Y212" i="21"/>
  <c r="Z212" i="21" s="1"/>
  <c r="X212" i="21"/>
  <c r="X207" i="21"/>
  <c r="Y207" i="21"/>
  <c r="AA207" i="21" s="1"/>
  <c r="Y206" i="21"/>
  <c r="Z206" i="21" s="1"/>
  <c r="X206" i="21"/>
  <c r="X205" i="21"/>
  <c r="Y205" i="21"/>
  <c r="AA205" i="21" s="1"/>
  <c r="Y204" i="21"/>
  <c r="Z204" i="21" s="1"/>
  <c r="X204" i="21"/>
  <c r="Y203" i="21"/>
  <c r="AA203" i="21" s="1"/>
  <c r="X203" i="21"/>
  <c r="Y202" i="21"/>
  <c r="AA202" i="21" s="1"/>
  <c r="X202" i="21"/>
  <c r="X201" i="21"/>
  <c r="Y201" i="21"/>
  <c r="AA201" i="21" s="1"/>
  <c r="Y200" i="21"/>
  <c r="AA200" i="21" s="1"/>
  <c r="X200" i="21"/>
  <c r="Y199" i="21"/>
  <c r="Z199" i="21" s="1"/>
  <c r="X199" i="21"/>
  <c r="X198" i="21"/>
  <c r="Y198" i="21"/>
  <c r="AA198" i="21" s="1"/>
  <c r="Y197" i="21"/>
  <c r="AA197" i="21" s="1"/>
  <c r="X197" i="21"/>
  <c r="Y196" i="21"/>
  <c r="AA196" i="21" s="1"/>
  <c r="X196" i="21"/>
  <c r="Y195" i="21"/>
  <c r="Z195" i="21" s="1"/>
  <c r="X195" i="21"/>
  <c r="X194" i="21"/>
  <c r="Y194" i="21"/>
  <c r="AA194" i="21" s="1"/>
  <c r="Y192" i="21"/>
  <c r="AA192" i="21" s="1"/>
  <c r="X192" i="21"/>
  <c r="X191" i="21"/>
  <c r="Y191" i="21"/>
  <c r="AA191" i="21" s="1"/>
  <c r="Y190" i="21"/>
  <c r="AA190" i="21" s="1"/>
  <c r="X190" i="21"/>
  <c r="X189" i="21"/>
  <c r="Y189" i="21"/>
  <c r="AA189" i="21" s="1"/>
  <c r="Y188" i="21"/>
  <c r="AA188" i="21" s="1"/>
  <c r="X188" i="21"/>
  <c r="X187" i="21"/>
  <c r="Y187" i="21"/>
  <c r="AA187" i="21" s="1"/>
  <c r="Y185" i="21"/>
  <c r="AA185" i="21" s="1"/>
  <c r="X185" i="21"/>
  <c r="X184" i="21"/>
  <c r="Y184" i="21"/>
  <c r="AA184" i="21" s="1"/>
  <c r="Y183" i="21"/>
  <c r="AA183" i="21" s="1"/>
  <c r="X183" i="21"/>
  <c r="Y182" i="21"/>
  <c r="AA182" i="21" s="1"/>
  <c r="X182" i="21"/>
  <c r="AI175" i="21"/>
  <c r="AI171" i="21"/>
  <c r="AI168" i="21"/>
  <c r="Y181" i="21"/>
  <c r="AA181" i="21" s="1"/>
  <c r="X181" i="21"/>
  <c r="X178" i="21"/>
  <c r="Y178" i="21"/>
  <c r="AA178" i="21" s="1"/>
  <c r="Y173" i="21"/>
  <c r="Z173" i="21" s="1"/>
  <c r="X173" i="21"/>
  <c r="AI163" i="21"/>
  <c r="X167" i="21"/>
  <c r="Y167" i="21"/>
  <c r="AA167" i="21" s="1"/>
  <c r="Y165" i="21"/>
  <c r="AA165" i="21" s="1"/>
  <c r="X165" i="21"/>
  <c r="Y84" i="21"/>
  <c r="AA84" i="21" s="1"/>
  <c r="X84" i="21"/>
  <c r="Y81" i="21"/>
  <c r="Z81" i="21" s="1"/>
  <c r="X81" i="21"/>
  <c r="Y77" i="21"/>
  <c r="AA77" i="21" s="1"/>
  <c r="X77" i="21"/>
  <c r="Y76" i="21"/>
  <c r="Z76" i="21" s="1"/>
  <c r="X76" i="21"/>
  <c r="AI87" i="21"/>
  <c r="Y88" i="21"/>
  <c r="Z88" i="21" s="1"/>
  <c r="X88" i="21"/>
  <c r="AI69" i="21"/>
  <c r="AI65" i="21"/>
  <c r="AI64" i="21"/>
  <c r="AI59" i="21"/>
  <c r="Y51" i="21"/>
  <c r="AA51" i="21" s="1"/>
  <c r="X51" i="21"/>
  <c r="Y49" i="21"/>
  <c r="Z49" i="21" s="1"/>
  <c r="X49" i="21"/>
  <c r="X63" i="21"/>
  <c r="Y63" i="21"/>
  <c r="Z63" i="21" s="1"/>
  <c r="Y62" i="21"/>
  <c r="AA62" i="21" s="1"/>
  <c r="X62" i="21"/>
  <c r="X61" i="21"/>
  <c r="Y61" i="21"/>
  <c r="AA61" i="21" s="1"/>
  <c r="X60" i="21"/>
  <c r="Y60" i="21"/>
  <c r="AA60" i="21" s="1"/>
  <c r="X59" i="21"/>
  <c r="Y59" i="21"/>
  <c r="AA59" i="21" s="1"/>
  <c r="Y58" i="21"/>
  <c r="Z58" i="21" s="1"/>
  <c r="X58" i="21"/>
  <c r="Y57" i="21"/>
  <c r="AA57" i="21" s="1"/>
  <c r="X57" i="21"/>
  <c r="X54" i="21"/>
  <c r="Y54" i="21"/>
  <c r="AA54" i="21" s="1"/>
  <c r="X33" i="21"/>
  <c r="Y33" i="21"/>
  <c r="AA33" i="21" s="1"/>
  <c r="Y32" i="21"/>
  <c r="AA32" i="21" s="1"/>
  <c r="X32" i="21"/>
  <c r="Y31" i="21"/>
  <c r="Z31" i="21" s="1"/>
  <c r="X31" i="21"/>
  <c r="AI43" i="21"/>
  <c r="Y40" i="21"/>
  <c r="Z40" i="21" s="1"/>
  <c r="X40" i="21"/>
  <c r="AI111" i="21"/>
  <c r="X107" i="21"/>
  <c r="Y107" i="21"/>
  <c r="AA107" i="21" s="1"/>
  <c r="X111" i="21"/>
  <c r="Y111" i="21"/>
  <c r="AA111" i="21" s="1"/>
  <c r="AI151" i="21"/>
  <c r="AI152" i="21"/>
  <c r="X18" i="21"/>
  <c r="Y18" i="21"/>
  <c r="Z18" i="21" s="1"/>
  <c r="AI19" i="21"/>
  <c r="Y176" i="21"/>
  <c r="AA176" i="21" s="1"/>
  <c r="X176" i="21"/>
  <c r="Y20" i="21"/>
  <c r="Z20" i="21" s="1"/>
  <c r="X20" i="21"/>
  <c r="AI20" i="21"/>
  <c r="X186" i="21"/>
  <c r="Y186" i="21"/>
  <c r="AA186" i="21" s="1"/>
  <c r="X141" i="21"/>
  <c r="Y141" i="21"/>
  <c r="AA141" i="21" s="1"/>
  <c r="AI137" i="21"/>
  <c r="AI120" i="21"/>
  <c r="X47" i="21"/>
  <c r="Y47" i="21"/>
  <c r="AA47" i="21" s="1"/>
  <c r="AI44" i="21"/>
  <c r="AI133" i="21"/>
  <c r="Z37" i="21"/>
  <c r="AB37" i="21" s="1"/>
  <c r="X14" i="21"/>
  <c r="Y14" i="21"/>
  <c r="AA14" i="21" s="1"/>
  <c r="X25" i="21"/>
  <c r="Y25" i="21"/>
  <c r="AA25" i="21" s="1"/>
  <c r="AI214" i="21"/>
  <c r="AI212" i="21"/>
  <c r="AI206" i="21"/>
  <c r="AI204" i="21"/>
  <c r="AI199" i="21"/>
  <c r="Y179" i="21"/>
  <c r="AA179" i="21" s="1"/>
  <c r="X179" i="21"/>
  <c r="X174" i="21"/>
  <c r="Y174" i="21"/>
  <c r="AA174" i="21" s="1"/>
  <c r="X170" i="21"/>
  <c r="Y170" i="21"/>
  <c r="AA170" i="21" s="1"/>
  <c r="Y168" i="21"/>
  <c r="AA168" i="21" s="1"/>
  <c r="X168" i="21"/>
  <c r="X162" i="21"/>
  <c r="Y162" i="21"/>
  <c r="AA162" i="21" s="1"/>
  <c r="Y160" i="21"/>
  <c r="AA160" i="21" s="1"/>
  <c r="X160" i="21"/>
  <c r="X158" i="21"/>
  <c r="Y158" i="21"/>
  <c r="AA158" i="21" s="1"/>
  <c r="Y154" i="21"/>
  <c r="AA154" i="21" s="1"/>
  <c r="X154" i="21"/>
  <c r="Y118" i="21"/>
  <c r="AA118" i="21" s="1"/>
  <c r="X118" i="21"/>
  <c r="X117" i="21"/>
  <c r="Y117" i="21"/>
  <c r="AA117" i="21" s="1"/>
  <c r="Y116" i="21"/>
  <c r="AA116" i="21" s="1"/>
  <c r="X116" i="21"/>
  <c r="X115" i="21"/>
  <c r="Y115" i="21"/>
  <c r="AA115" i="21" s="1"/>
  <c r="Y114" i="21"/>
  <c r="AA114" i="21" s="1"/>
  <c r="X114" i="21"/>
  <c r="X113" i="21"/>
  <c r="Y113" i="21"/>
  <c r="AA113" i="21" s="1"/>
  <c r="Y112" i="21"/>
  <c r="AA112" i="21" s="1"/>
  <c r="X112" i="21"/>
  <c r="Y104" i="21"/>
  <c r="AA104" i="21" s="1"/>
  <c r="X104" i="21"/>
  <c r="X103" i="21"/>
  <c r="Y103" i="21"/>
  <c r="AA103" i="21" s="1"/>
  <c r="Y102" i="21"/>
  <c r="AA102" i="21" s="1"/>
  <c r="X102" i="21"/>
  <c r="X101" i="21"/>
  <c r="Y101" i="21"/>
  <c r="AA101" i="21" s="1"/>
  <c r="Y100" i="21"/>
  <c r="AA100" i="21" s="1"/>
  <c r="X100" i="21"/>
  <c r="X99" i="21"/>
  <c r="Y99" i="21"/>
  <c r="AA99" i="21" s="1"/>
  <c r="Y98" i="21"/>
  <c r="AA98" i="21" s="1"/>
  <c r="X98" i="21"/>
  <c r="Y96" i="21"/>
  <c r="AA96" i="21" s="1"/>
  <c r="X96" i="21"/>
  <c r="X95" i="21"/>
  <c r="Y95" i="21"/>
  <c r="AA95" i="21" s="1"/>
  <c r="Y94" i="21"/>
  <c r="AA94" i="21" s="1"/>
  <c r="X94" i="21"/>
  <c r="Y93" i="21"/>
  <c r="AA93" i="21" s="1"/>
  <c r="X93" i="21"/>
  <c r="Y92" i="21"/>
  <c r="AA92" i="21" s="1"/>
  <c r="X92" i="21"/>
  <c r="Y91" i="21"/>
  <c r="AA91" i="21" s="1"/>
  <c r="X91" i="21"/>
  <c r="X90" i="21"/>
  <c r="Y90" i="21"/>
  <c r="AA90" i="21" s="1"/>
  <c r="Y83" i="21"/>
  <c r="AA83" i="21" s="1"/>
  <c r="X83" i="21"/>
  <c r="Y75" i="21"/>
  <c r="AA75" i="21" s="1"/>
  <c r="X75" i="21"/>
  <c r="AI88" i="21"/>
  <c r="X87" i="21"/>
  <c r="Y87" i="21"/>
  <c r="AA87" i="21" s="1"/>
  <c r="Y85" i="21"/>
  <c r="AA85" i="21" s="1"/>
  <c r="X85" i="21"/>
  <c r="Y89" i="21"/>
  <c r="AA89" i="21" s="1"/>
  <c r="X89" i="21"/>
  <c r="AI68" i="21"/>
  <c r="Y66" i="21"/>
  <c r="AA66" i="21" s="1"/>
  <c r="X66" i="21"/>
  <c r="X65" i="21"/>
  <c r="Y65" i="21"/>
  <c r="AA65" i="21" s="1"/>
  <c r="X64" i="21"/>
  <c r="Y64" i="21"/>
  <c r="AA64" i="21" s="1"/>
  <c r="AI38" i="21"/>
  <c r="X43" i="21"/>
  <c r="Y43" i="21"/>
  <c r="AA43" i="21" s="1"/>
  <c r="Y39" i="21"/>
  <c r="AA39" i="21" s="1"/>
  <c r="X39" i="21"/>
  <c r="AI106" i="21"/>
  <c r="Y108" i="21"/>
  <c r="AA108" i="21" s="1"/>
  <c r="X108" i="21"/>
  <c r="AI55" i="21"/>
  <c r="Y34" i="21"/>
  <c r="AA34" i="21" s="1"/>
  <c r="X34" i="21"/>
  <c r="Y44" i="21"/>
  <c r="AA44" i="21" s="1"/>
  <c r="X44" i="21"/>
  <c r="Y56" i="21"/>
  <c r="AA56" i="21" s="1"/>
  <c r="X56" i="21"/>
  <c r="Y133" i="21"/>
  <c r="AA133" i="21" s="1"/>
  <c r="X133" i="21"/>
  <c r="AI13" i="21"/>
  <c r="Z13" i="21"/>
  <c r="X13" i="21"/>
  <c r="V5" i="21"/>
  <c r="K272" i="23" l="1"/>
  <c r="L272" i="23" s="1"/>
  <c r="O73" i="23"/>
  <c r="H74" i="23"/>
  <c r="J73" i="23"/>
  <c r="AD1508" i="23"/>
  <c r="AI290" i="34"/>
  <c r="M1022" i="23"/>
  <c r="N1022" i="23" s="1"/>
  <c r="K1417" i="23"/>
  <c r="L1417" i="23" s="1"/>
  <c r="Z240" i="21"/>
  <c r="Z487" i="21"/>
  <c r="Z353" i="21"/>
  <c r="Z394" i="21"/>
  <c r="Z491" i="21"/>
  <c r="Z253" i="21"/>
  <c r="Z368" i="21"/>
  <c r="Z367" i="21"/>
  <c r="Z381" i="21"/>
  <c r="Z357" i="21"/>
  <c r="Z48" i="21"/>
  <c r="AB48" i="21" s="1"/>
  <c r="Z395" i="21"/>
  <c r="Z377" i="21"/>
  <c r="Z473" i="21"/>
  <c r="Z373" i="21"/>
  <c r="Z250" i="21"/>
  <c r="AA209" i="21"/>
  <c r="AB209" i="21" s="1"/>
  <c r="AC209" i="21" s="1"/>
  <c r="AD209" i="21" s="1"/>
  <c r="AE209" i="21" s="1"/>
  <c r="AF209" i="21" s="1"/>
  <c r="Z404" i="21"/>
  <c r="AA405" i="21"/>
  <c r="AB405" i="21" s="1"/>
  <c r="AH405" i="21" s="1"/>
  <c r="AJ405" i="21" s="1"/>
  <c r="AC408" i="21"/>
  <c r="AD408" i="21" s="1"/>
  <c r="AE408" i="21" s="1"/>
  <c r="Z406" i="21"/>
  <c r="AH407" i="21"/>
  <c r="AJ407" i="21" s="1"/>
  <c r="AC407" i="21"/>
  <c r="AD407" i="21" s="1"/>
  <c r="AE407" i="21" s="1"/>
  <c r="AF407" i="21" s="1"/>
  <c r="AG407" i="21" s="1"/>
  <c r="AF408" i="21"/>
  <c r="AG408" i="21" s="1"/>
  <c r="AC410" i="21"/>
  <c r="AH410" i="21"/>
  <c r="AJ410" i="21" s="1"/>
  <c r="AA211" i="21"/>
  <c r="AB211" i="21" s="1"/>
  <c r="Z410" i="21"/>
  <c r="AA210" i="21"/>
  <c r="AB210" i="21" s="1"/>
  <c r="AA208" i="21"/>
  <c r="AB208" i="21" s="1"/>
  <c r="AC208" i="21" s="1"/>
  <c r="AC404" i="21"/>
  <c r="Z407" i="21"/>
  <c r="AA409" i="21"/>
  <c r="AB409" i="21" s="1"/>
  <c r="AC406" i="21"/>
  <c r="AD406" i="21" s="1"/>
  <c r="AC405" i="21"/>
  <c r="AD405" i="21" s="1"/>
  <c r="AE405" i="21" s="1"/>
  <c r="AJ403" i="21"/>
  <c r="AC403" i="21"/>
  <c r="Z403" i="21"/>
  <c r="Z74" i="21"/>
  <c r="AB74" i="21" s="1"/>
  <c r="Z370" i="21"/>
  <c r="Z444" i="21"/>
  <c r="AH373" i="21"/>
  <c r="AJ373" i="21" s="1"/>
  <c r="AC373" i="21"/>
  <c r="AD373" i="21" s="1"/>
  <c r="AB381" i="21"/>
  <c r="AH381" i="21" s="1"/>
  <c r="AJ381" i="21" s="1"/>
  <c r="AA489" i="21"/>
  <c r="AB489" i="21" s="1"/>
  <c r="AC489" i="21" s="1"/>
  <c r="AA429" i="21"/>
  <c r="AB429" i="21" s="1"/>
  <c r="AC429" i="21" s="1"/>
  <c r="AD429" i="21" s="1"/>
  <c r="AA232" i="21"/>
  <c r="AB232" i="21" s="1"/>
  <c r="AC232" i="21" s="1"/>
  <c r="AD232" i="21" s="1"/>
  <c r="AA470" i="21"/>
  <c r="AB470" i="21" s="1"/>
  <c r="AA468" i="21"/>
  <c r="AA268" i="21"/>
  <c r="AB268" i="21" s="1"/>
  <c r="AA339" i="21"/>
  <c r="AB339" i="21" s="1"/>
  <c r="AA327" i="21"/>
  <c r="AB327" i="21" s="1"/>
  <c r="AA50" i="21"/>
  <c r="AA482" i="21"/>
  <c r="AB482" i="21" s="1"/>
  <c r="AC482" i="21" s="1"/>
  <c r="AD482" i="21" s="1"/>
  <c r="AA498" i="21"/>
  <c r="AB498" i="21" s="1"/>
  <c r="AC498" i="21" s="1"/>
  <c r="AA229" i="21"/>
  <c r="AB229" i="21" s="1"/>
  <c r="AH229" i="21" s="1"/>
  <c r="AJ229" i="21" s="1"/>
  <c r="AA245" i="21"/>
  <c r="AA438" i="21"/>
  <c r="AB438" i="21" s="1"/>
  <c r="AC438" i="21" s="1"/>
  <c r="AD438" i="21" s="1"/>
  <c r="AA220" i="21"/>
  <c r="AB220" i="21" s="1"/>
  <c r="AC220" i="21" s="1"/>
  <c r="AA462" i="21"/>
  <c r="AB462" i="21" s="1"/>
  <c r="AA269" i="21"/>
  <c r="AA293" i="21"/>
  <c r="AB293" i="21" s="1"/>
  <c r="AH293" i="21" s="1"/>
  <c r="AJ293" i="21" s="1"/>
  <c r="AA309" i="21"/>
  <c r="AB309" i="21" s="1"/>
  <c r="AC309" i="21" s="1"/>
  <c r="AA325" i="21"/>
  <c r="AB325" i="21" s="1"/>
  <c r="AA358" i="21"/>
  <c r="AB358" i="21" s="1"/>
  <c r="AH358" i="21" s="1"/>
  <c r="AJ358" i="21" s="1"/>
  <c r="AA346" i="21"/>
  <c r="AB346" i="21" s="1"/>
  <c r="AH346" i="21" s="1"/>
  <c r="AJ346" i="21" s="1"/>
  <c r="AA330" i="21"/>
  <c r="AB330" i="21" s="1"/>
  <c r="AH330" i="21" s="1"/>
  <c r="AJ330" i="21" s="1"/>
  <c r="AA382" i="21"/>
  <c r="AA427" i="21"/>
  <c r="AA226" i="21"/>
  <c r="AB226" i="21" s="1"/>
  <c r="AC226" i="21" s="1"/>
  <c r="AA242" i="21"/>
  <c r="AB242" i="21" s="1"/>
  <c r="AH242" i="21" s="1"/>
  <c r="AJ242" i="21" s="1"/>
  <c r="AA437" i="21"/>
  <c r="AB437" i="21" s="1"/>
  <c r="AA464" i="21"/>
  <c r="AA266" i="21"/>
  <c r="AB266" i="21" s="1"/>
  <c r="AA324" i="21"/>
  <c r="AA290" i="21"/>
  <c r="AB290" i="21" s="1"/>
  <c r="AH290" i="21" s="1"/>
  <c r="AJ290" i="21" s="1"/>
  <c r="AA361" i="21"/>
  <c r="AB361" i="21" s="1"/>
  <c r="AA349" i="21"/>
  <c r="AB349" i="21" s="1"/>
  <c r="AH349" i="21" s="1"/>
  <c r="AJ349" i="21" s="1"/>
  <c r="AA333" i="21"/>
  <c r="AB333" i="21" s="1"/>
  <c r="AH333" i="21" s="1"/>
  <c r="AJ333" i="21" s="1"/>
  <c r="AA58" i="21"/>
  <c r="AB58" i="21" s="1"/>
  <c r="AA86" i="21"/>
  <c r="AA140" i="21"/>
  <c r="AB140" i="21" s="1"/>
  <c r="AA147" i="21"/>
  <c r="AA204" i="21"/>
  <c r="AB204" i="21" s="1"/>
  <c r="AA480" i="21"/>
  <c r="AA496" i="21"/>
  <c r="AB496" i="21" s="1"/>
  <c r="AA227" i="21"/>
  <c r="AB227" i="21" s="1"/>
  <c r="AC227" i="21" s="1"/>
  <c r="AA243" i="21"/>
  <c r="AB243" i="21" s="1"/>
  <c r="AA450" i="21"/>
  <c r="AB450" i="21" s="1"/>
  <c r="AA447" i="21"/>
  <c r="AB447" i="21" s="1"/>
  <c r="AC447" i="21" s="1"/>
  <c r="AA255" i="21"/>
  <c r="AB255" i="21" s="1"/>
  <c r="AA271" i="21"/>
  <c r="AB271" i="21" s="1"/>
  <c r="AA319" i="21"/>
  <c r="AA401" i="21"/>
  <c r="AB401" i="21" s="1"/>
  <c r="AC401" i="21" s="1"/>
  <c r="AA336" i="21"/>
  <c r="AB336" i="21" s="1"/>
  <c r="AA396" i="21"/>
  <c r="AB396" i="21" s="1"/>
  <c r="AH396" i="21" s="1"/>
  <c r="AJ396" i="21" s="1"/>
  <c r="AA151" i="21"/>
  <c r="AA29" i="21"/>
  <c r="AB29" i="21" s="1"/>
  <c r="AB503" i="21"/>
  <c r="AH503" i="21" s="1"/>
  <c r="AJ503" i="21" s="1"/>
  <c r="AB444" i="21"/>
  <c r="AB368" i="21"/>
  <c r="AA477" i="21"/>
  <c r="AB477" i="21" s="1"/>
  <c r="AA493" i="21"/>
  <c r="AB493" i="21" s="1"/>
  <c r="AA417" i="21"/>
  <c r="AA433" i="21"/>
  <c r="AA236" i="21"/>
  <c r="AB236" i="21" s="1"/>
  <c r="AA252" i="21"/>
  <c r="AB252" i="21" s="1"/>
  <c r="AH252" i="21" s="1"/>
  <c r="AJ252" i="21" s="1"/>
  <c r="AA469" i="21"/>
  <c r="AA449" i="21"/>
  <c r="AA256" i="21"/>
  <c r="AB256" i="21" s="1"/>
  <c r="AA272" i="21"/>
  <c r="AB272" i="21" s="1"/>
  <c r="AA288" i="21"/>
  <c r="AA304" i="21"/>
  <c r="AB304" i="21" s="1"/>
  <c r="AA359" i="21"/>
  <c r="AB359" i="21" s="1"/>
  <c r="AA335" i="21"/>
  <c r="AB335" i="21" s="1"/>
  <c r="AA374" i="21"/>
  <c r="AB374" i="21" s="1"/>
  <c r="AA18" i="21"/>
  <c r="AB18" i="21" s="1"/>
  <c r="AA40" i="21"/>
  <c r="AB40" i="21" s="1"/>
  <c r="AA486" i="21"/>
  <c r="AB486" i="21" s="1"/>
  <c r="AA502" i="21"/>
  <c r="AA434" i="21"/>
  <c r="AB434" i="21" s="1"/>
  <c r="AC434" i="21" s="1"/>
  <c r="AA233" i="21"/>
  <c r="AB233" i="21" s="1"/>
  <c r="AC233" i="21" s="1"/>
  <c r="AA249" i="21"/>
  <c r="AB249" i="21" s="1"/>
  <c r="AC249" i="21" s="1"/>
  <c r="AA446" i="21"/>
  <c r="AA443" i="21"/>
  <c r="AB443" i="21" s="1"/>
  <c r="AC443" i="21" s="1"/>
  <c r="AA257" i="21"/>
  <c r="AB257" i="21" s="1"/>
  <c r="AH257" i="21" s="1"/>
  <c r="AJ257" i="21" s="1"/>
  <c r="AA273" i="21"/>
  <c r="AB273" i="21" s="1"/>
  <c r="AH273" i="21" s="1"/>
  <c r="AJ273" i="21" s="1"/>
  <c r="AA297" i="21"/>
  <c r="AB297" i="21" s="1"/>
  <c r="AA313" i="21"/>
  <c r="AB313" i="21" s="1"/>
  <c r="AA320" i="21"/>
  <c r="AB320" i="21" s="1"/>
  <c r="AA354" i="21"/>
  <c r="AB354" i="21" s="1"/>
  <c r="AA342" i="21"/>
  <c r="AA390" i="21"/>
  <c r="AA97" i="21"/>
  <c r="AB97" i="21" s="1"/>
  <c r="AA106" i="21"/>
  <c r="AB106" i="21" s="1"/>
  <c r="AA68" i="21"/>
  <c r="AA475" i="21"/>
  <c r="AB475" i="21" s="1"/>
  <c r="AA415" i="21"/>
  <c r="AB415" i="21" s="1"/>
  <c r="AA431" i="21"/>
  <c r="AB431" i="21" s="1"/>
  <c r="AC431" i="21" s="1"/>
  <c r="AA230" i="21"/>
  <c r="AA246" i="21"/>
  <c r="AA448" i="21"/>
  <c r="AB448" i="21" s="1"/>
  <c r="AH448" i="21" s="1"/>
  <c r="AJ448" i="21" s="1"/>
  <c r="AA445" i="21"/>
  <c r="AB445" i="21" s="1"/>
  <c r="AA254" i="21"/>
  <c r="AA270" i="21"/>
  <c r="AB270" i="21" s="1"/>
  <c r="AA281" i="21"/>
  <c r="AB281" i="21" s="1"/>
  <c r="AH281" i="21" s="1"/>
  <c r="AJ281" i="21" s="1"/>
  <c r="AA294" i="21"/>
  <c r="AB294" i="21" s="1"/>
  <c r="AA345" i="21"/>
  <c r="AB345" i="21" s="1"/>
  <c r="AH345" i="21" s="1"/>
  <c r="AJ345" i="21" s="1"/>
  <c r="AA329" i="21"/>
  <c r="AB329" i="21" s="1"/>
  <c r="AH329" i="21" s="1"/>
  <c r="AJ329" i="21" s="1"/>
  <c r="AA131" i="21"/>
  <c r="AB131" i="21" s="1"/>
  <c r="AA136" i="21"/>
  <c r="AB136" i="21" s="1"/>
  <c r="AA142" i="21"/>
  <c r="AA161" i="21"/>
  <c r="AB161" i="21" s="1"/>
  <c r="AA171" i="21"/>
  <c r="AB171" i="21" s="1"/>
  <c r="AA214" i="21"/>
  <c r="AB214" i="21" s="1"/>
  <c r="AA484" i="21"/>
  <c r="AA500" i="21"/>
  <c r="AA231" i="21"/>
  <c r="AB231" i="21" s="1"/>
  <c r="AC231" i="21" s="1"/>
  <c r="AA247" i="21"/>
  <c r="AB247" i="21" s="1"/>
  <c r="AA453" i="21"/>
  <c r="AA458" i="21"/>
  <c r="AB458" i="21" s="1"/>
  <c r="AA259" i="21"/>
  <c r="AB259" i="21" s="1"/>
  <c r="AC259" i="21" s="1"/>
  <c r="AA275" i="21"/>
  <c r="AB275" i="21" s="1"/>
  <c r="AA287" i="21"/>
  <c r="AB287" i="21" s="1"/>
  <c r="AA303" i="21"/>
  <c r="AB303" i="21" s="1"/>
  <c r="AA365" i="21"/>
  <c r="AB365" i="21" s="1"/>
  <c r="AA364" i="21"/>
  <c r="AB364" i="21" s="1"/>
  <c r="AA332" i="21"/>
  <c r="AA380" i="21"/>
  <c r="AA150" i="21"/>
  <c r="AB150" i="21" s="1"/>
  <c r="AA24" i="21"/>
  <c r="AB24" i="21" s="1"/>
  <c r="AA173" i="21"/>
  <c r="AA17" i="21"/>
  <c r="AB441" i="21"/>
  <c r="AC441" i="21" s="1"/>
  <c r="AD441" i="21" s="1"/>
  <c r="AE441" i="21" s="1"/>
  <c r="AB422" i="21"/>
  <c r="AC422" i="21" s="1"/>
  <c r="AB282" i="21"/>
  <c r="AB299" i="21"/>
  <c r="AC299" i="21" s="1"/>
  <c r="AB315" i="21"/>
  <c r="AH315" i="21" s="1"/>
  <c r="AJ315" i="21" s="1"/>
  <c r="AB392" i="21"/>
  <c r="AC392" i="21" s="1"/>
  <c r="AB378" i="21"/>
  <c r="AH378" i="21" s="1"/>
  <c r="AJ378" i="21" s="1"/>
  <c r="AB326" i="21"/>
  <c r="AH326" i="21" s="1"/>
  <c r="AJ326" i="21" s="1"/>
  <c r="AB505" i="21"/>
  <c r="AC505" i="21" s="1"/>
  <c r="AB314" i="21"/>
  <c r="AH314" i="21" s="1"/>
  <c r="AJ314" i="21" s="1"/>
  <c r="AB285" i="21"/>
  <c r="AC285" i="21" s="1"/>
  <c r="AD285" i="21" s="1"/>
  <c r="AE285" i="21" s="1"/>
  <c r="AB395" i="21"/>
  <c r="AC395" i="21" s="1"/>
  <c r="AB377" i="21"/>
  <c r="AA481" i="21"/>
  <c r="AB481" i="21" s="1"/>
  <c r="AC481" i="21" s="1"/>
  <c r="AA421" i="21"/>
  <c r="AA224" i="21"/>
  <c r="AB224" i="21" s="1"/>
  <c r="AC224" i="21" s="1"/>
  <c r="AD224" i="21" s="1"/>
  <c r="AA219" i="21"/>
  <c r="AB219" i="21" s="1"/>
  <c r="AA455" i="21"/>
  <c r="AB455" i="21" s="1"/>
  <c r="AA414" i="21"/>
  <c r="AB414" i="21" s="1"/>
  <c r="AA452" i="21"/>
  <c r="AB452" i="21" s="1"/>
  <c r="AC452" i="21" s="1"/>
  <c r="AD452" i="21" s="1"/>
  <c r="AE452" i="21" s="1"/>
  <c r="AA260" i="21"/>
  <c r="AB260" i="21" s="1"/>
  <c r="AA276" i="21"/>
  <c r="AB276" i="21" s="1"/>
  <c r="AA308" i="21"/>
  <c r="AB308" i="21" s="1"/>
  <c r="AA318" i="21"/>
  <c r="AB318" i="21" s="1"/>
  <c r="AA379" i="21"/>
  <c r="AB379" i="21" s="1"/>
  <c r="AA31" i="21"/>
  <c r="AB31" i="21" s="1"/>
  <c r="AA474" i="21"/>
  <c r="AA490" i="21"/>
  <c r="AA506" i="21"/>
  <c r="AB506" i="21" s="1"/>
  <c r="AC506" i="21" s="1"/>
  <c r="AA471" i="21"/>
  <c r="AB471" i="21" s="1"/>
  <c r="AA237" i="21"/>
  <c r="AA457" i="21"/>
  <c r="AB457" i="21" s="1"/>
  <c r="AC457" i="21" s="1"/>
  <c r="AD457" i="21" s="1"/>
  <c r="AA451" i="21"/>
  <c r="AB451" i="21" s="1"/>
  <c r="AA261" i="21"/>
  <c r="AB261" i="21" s="1"/>
  <c r="AC261" i="21" s="1"/>
  <c r="AD261" i="21" s="1"/>
  <c r="AE261" i="21" s="1"/>
  <c r="AA277" i="21"/>
  <c r="AA301" i="21"/>
  <c r="AB301" i="21" s="1"/>
  <c r="AC301" i="21" s="1"/>
  <c r="AA317" i="21"/>
  <c r="AB317" i="21" s="1"/>
  <c r="AH317" i="21" s="1"/>
  <c r="AJ317" i="21" s="1"/>
  <c r="AA362" i="21"/>
  <c r="AB362" i="21" s="1"/>
  <c r="AA338" i="21"/>
  <c r="AB338" i="21" s="1"/>
  <c r="AH338" i="21" s="1"/>
  <c r="AJ338" i="21" s="1"/>
  <c r="AA41" i="21"/>
  <c r="AB41" i="21" s="1"/>
  <c r="AA88" i="21"/>
  <c r="AB88" i="21" s="1"/>
  <c r="AA479" i="21"/>
  <c r="AB479" i="21" s="1"/>
  <c r="AC479" i="21" s="1"/>
  <c r="AA495" i="21"/>
  <c r="AB495" i="21" s="1"/>
  <c r="AH495" i="21" s="1"/>
  <c r="AJ495" i="21" s="1"/>
  <c r="AA435" i="21"/>
  <c r="AA234" i="21"/>
  <c r="AB234" i="21" s="1"/>
  <c r="AC234" i="21" s="1"/>
  <c r="AA459" i="21"/>
  <c r="AB459" i="21" s="1"/>
  <c r="AA258" i="21"/>
  <c r="AA274" i="21"/>
  <c r="AB274" i="21" s="1"/>
  <c r="AA298" i="21"/>
  <c r="AB298" i="21" s="1"/>
  <c r="AH298" i="21" s="1"/>
  <c r="AJ298" i="21" s="1"/>
  <c r="AA310" i="21"/>
  <c r="AB310" i="21" s="1"/>
  <c r="AA322" i="21"/>
  <c r="AB322" i="21" s="1"/>
  <c r="AH322" i="21" s="1"/>
  <c r="AJ322" i="21" s="1"/>
  <c r="AA375" i="21"/>
  <c r="AB375" i="21" s="1"/>
  <c r="AH375" i="21" s="1"/>
  <c r="AJ375" i="21" s="1"/>
  <c r="AA341" i="21"/>
  <c r="AB341" i="21" s="1"/>
  <c r="AH341" i="21" s="1"/>
  <c r="AJ341" i="21" s="1"/>
  <c r="AA371" i="21"/>
  <c r="AB371" i="21" s="1"/>
  <c r="AA76" i="21"/>
  <c r="AA79" i="21"/>
  <c r="AA123" i="21"/>
  <c r="AB123" i="21" s="1"/>
  <c r="AA132" i="21"/>
  <c r="AB132" i="21" s="1"/>
  <c r="AA138" i="21"/>
  <c r="AA149" i="21"/>
  <c r="AA175" i="21"/>
  <c r="AB175" i="21" s="1"/>
  <c r="AA212" i="21"/>
  <c r="AB212" i="21" s="1"/>
  <c r="AA488" i="21"/>
  <c r="AA504" i="21"/>
  <c r="AA235" i="21"/>
  <c r="AB235" i="21" s="1"/>
  <c r="AC235" i="21" s="1"/>
  <c r="AA251" i="21"/>
  <c r="AB251" i="21" s="1"/>
  <c r="AH251" i="21" s="1"/>
  <c r="AJ251" i="21" s="1"/>
  <c r="AA461" i="21"/>
  <c r="AB461" i="21" s="1"/>
  <c r="AA466" i="21"/>
  <c r="AB466" i="21" s="1"/>
  <c r="AA263" i="21"/>
  <c r="AB263" i="21" s="1"/>
  <c r="AA279" i="21"/>
  <c r="AB279" i="21" s="1"/>
  <c r="AA291" i="21"/>
  <c r="AA307" i="21"/>
  <c r="AB307" i="21" s="1"/>
  <c r="AA344" i="21"/>
  <c r="AB344" i="21" s="1"/>
  <c r="AA328" i="21"/>
  <c r="AB328" i="21" s="1"/>
  <c r="AA388" i="21"/>
  <c r="AA120" i="21"/>
  <c r="AB120" i="21" s="1"/>
  <c r="AA19" i="21"/>
  <c r="AB19" i="21" s="1"/>
  <c r="AA70" i="21"/>
  <c r="AB70" i="21" s="1"/>
  <c r="AA15" i="21"/>
  <c r="AA30" i="21"/>
  <c r="AB30" i="21" s="1"/>
  <c r="AB321" i="21"/>
  <c r="AH321" i="21" s="1"/>
  <c r="AJ321" i="21" s="1"/>
  <c r="AB376" i="21"/>
  <c r="AH376" i="21" s="1"/>
  <c r="AJ376" i="21" s="1"/>
  <c r="AB356" i="21"/>
  <c r="AH356" i="21" s="1"/>
  <c r="AJ356" i="21" s="1"/>
  <c r="AB348" i="21"/>
  <c r="AH348" i="21" s="1"/>
  <c r="AJ348" i="21" s="1"/>
  <c r="AB385" i="21"/>
  <c r="AH385" i="21" s="1"/>
  <c r="AJ385" i="21" s="1"/>
  <c r="AB419" i="21"/>
  <c r="AH419" i="21" s="1"/>
  <c r="AJ419" i="21" s="1"/>
  <c r="AB456" i="21"/>
  <c r="AB487" i="21"/>
  <c r="AC487" i="21" s="1"/>
  <c r="AB497" i="21"/>
  <c r="AH497" i="21" s="1"/>
  <c r="AJ497" i="21" s="1"/>
  <c r="AB292" i="21"/>
  <c r="AC292" i="21" s="1"/>
  <c r="AD292" i="21" s="1"/>
  <c r="AE292" i="21" s="1"/>
  <c r="AF292" i="21" s="1"/>
  <c r="AB300" i="21"/>
  <c r="AB316" i="21"/>
  <c r="AH316" i="21" s="1"/>
  <c r="AJ316" i="21" s="1"/>
  <c r="AB355" i="21"/>
  <c r="AC355" i="21" s="1"/>
  <c r="AB347" i="21"/>
  <c r="AH347" i="21" s="1"/>
  <c r="AJ347" i="21" s="1"/>
  <c r="AB428" i="21"/>
  <c r="AB248" i="21"/>
  <c r="AH248" i="21" s="1"/>
  <c r="AJ248" i="21" s="1"/>
  <c r="AB370" i="21"/>
  <c r="AC370" i="21" s="1"/>
  <c r="AB323" i="21"/>
  <c r="AH323" i="21" s="1"/>
  <c r="AJ323" i="21" s="1"/>
  <c r="AB473" i="21"/>
  <c r="AB240" i="21"/>
  <c r="AH240" i="21" s="1"/>
  <c r="AJ240" i="21" s="1"/>
  <c r="AB306" i="21"/>
  <c r="AH306" i="21" s="1"/>
  <c r="AJ306" i="21" s="1"/>
  <c r="AA485" i="21"/>
  <c r="AB485" i="21" s="1"/>
  <c r="AA501" i="21"/>
  <c r="AB501" i="21" s="1"/>
  <c r="AC501" i="21" s="1"/>
  <c r="AD501" i="21" s="1"/>
  <c r="AE501" i="21" s="1"/>
  <c r="AF501" i="21" s="1"/>
  <c r="AA425" i="21"/>
  <c r="AB425" i="21" s="1"/>
  <c r="AA228" i="21"/>
  <c r="AB228" i="21" s="1"/>
  <c r="AC228" i="21" s="1"/>
  <c r="AA244" i="21"/>
  <c r="AB244" i="21" s="1"/>
  <c r="AA436" i="21"/>
  <c r="AB436" i="21" s="1"/>
  <c r="AA463" i="21"/>
  <c r="AB463" i="21" s="1"/>
  <c r="AC463" i="21" s="1"/>
  <c r="AA460" i="21"/>
  <c r="AB460" i="21" s="1"/>
  <c r="AA264" i="21"/>
  <c r="AB264" i="21" s="1"/>
  <c r="AA280" i="21"/>
  <c r="AA296" i="21"/>
  <c r="AB296" i="21" s="1"/>
  <c r="AA312" i="21"/>
  <c r="AB312" i="21" s="1"/>
  <c r="AA363" i="21"/>
  <c r="AB363" i="21" s="1"/>
  <c r="AA351" i="21"/>
  <c r="AB351" i="21" s="1"/>
  <c r="AA343" i="21"/>
  <c r="AA387" i="21"/>
  <c r="AB387" i="21" s="1"/>
  <c r="AA372" i="21"/>
  <c r="AB372" i="21" s="1"/>
  <c r="AA143" i="21"/>
  <c r="AA49" i="21"/>
  <c r="AA478" i="21"/>
  <c r="AB478" i="21" s="1"/>
  <c r="AC478" i="21" s="1"/>
  <c r="AD478" i="21" s="1"/>
  <c r="AA494" i="21"/>
  <c r="AB494" i="21" s="1"/>
  <c r="AC494" i="21" s="1"/>
  <c r="AA418" i="21"/>
  <c r="AA225" i="21"/>
  <c r="AB225" i="21" s="1"/>
  <c r="AC225" i="21" s="1"/>
  <c r="AA241" i="21"/>
  <c r="AB241" i="21" s="1"/>
  <c r="AC241" i="21" s="1"/>
  <c r="AA221" i="21"/>
  <c r="AB221" i="21" s="1"/>
  <c r="AC221" i="21" s="1"/>
  <c r="AA465" i="21"/>
  <c r="AB465" i="21" s="1"/>
  <c r="AH465" i="21" s="1"/>
  <c r="AJ465" i="21" s="1"/>
  <c r="AA454" i="21"/>
  <c r="AB454" i="21" s="1"/>
  <c r="AA265" i="21"/>
  <c r="AB265" i="21" s="1"/>
  <c r="AH265" i="21" s="1"/>
  <c r="AJ265" i="21" s="1"/>
  <c r="AA289" i="21"/>
  <c r="AB289" i="21" s="1"/>
  <c r="AA305" i="21"/>
  <c r="AB305" i="21" s="1"/>
  <c r="AC305" i="21" s="1"/>
  <c r="AA284" i="21"/>
  <c r="AA369" i="21"/>
  <c r="AB369" i="21" s="1"/>
  <c r="AA350" i="21"/>
  <c r="AB350" i="21" s="1"/>
  <c r="AA334" i="21"/>
  <c r="AB334" i="21" s="1"/>
  <c r="AH334" i="21" s="1"/>
  <c r="AJ334" i="21" s="1"/>
  <c r="AA398" i="21"/>
  <c r="AB398" i="21" s="1"/>
  <c r="AA46" i="21"/>
  <c r="AB46" i="21" s="1"/>
  <c r="AA63" i="21"/>
  <c r="AB63" i="21" s="1"/>
  <c r="AA163" i="21"/>
  <c r="AA483" i="21"/>
  <c r="AB483" i="21" s="1"/>
  <c r="AH483" i="21" s="1"/>
  <c r="AJ483" i="21" s="1"/>
  <c r="AA499" i="21"/>
  <c r="AB499" i="21" s="1"/>
  <c r="AA423" i="21"/>
  <c r="AB423" i="21" s="1"/>
  <c r="AC423" i="21" s="1"/>
  <c r="AA222" i="21"/>
  <c r="AB222" i="21" s="1"/>
  <c r="AC222" i="21" s="1"/>
  <c r="AA238" i="21"/>
  <c r="AB238" i="21" s="1"/>
  <c r="AA467" i="21"/>
  <c r="AB467" i="21" s="1"/>
  <c r="AA262" i="21"/>
  <c r="AB262" i="21" s="1"/>
  <c r="AA278" i="21"/>
  <c r="AA302" i="21"/>
  <c r="AB302" i="21" s="1"/>
  <c r="AA286" i="21"/>
  <c r="AB286" i="21" s="1"/>
  <c r="AC286" i="21" s="1"/>
  <c r="AA366" i="21"/>
  <c r="AB366" i="21" s="1"/>
  <c r="AA337" i="21"/>
  <c r="AB337" i="21" s="1"/>
  <c r="AA218" i="21"/>
  <c r="AB218" i="21" s="1"/>
  <c r="AC218" i="21" s="1"/>
  <c r="AD218" i="21" s="1"/>
  <c r="AE218" i="21" s="1"/>
  <c r="AA55" i="21"/>
  <c r="AB55" i="21" s="1"/>
  <c r="AC55" i="21" s="1"/>
  <c r="AD55" i="21" s="1"/>
  <c r="AE55" i="21" s="1"/>
  <c r="AA38" i="21"/>
  <c r="AB38" i="21" s="1"/>
  <c r="AA81" i="21"/>
  <c r="AA128" i="21"/>
  <c r="AA134" i="21"/>
  <c r="AA139" i="21"/>
  <c r="AB139" i="21" s="1"/>
  <c r="AA146" i="21"/>
  <c r="AA199" i="21"/>
  <c r="AB199" i="21" s="1"/>
  <c r="AA206" i="21"/>
  <c r="AB206" i="21" s="1"/>
  <c r="AA476" i="21"/>
  <c r="AB476" i="21" s="1"/>
  <c r="AA492" i="21"/>
  <c r="AB492" i="21" s="1"/>
  <c r="AA416" i="21"/>
  <c r="AB416" i="21" s="1"/>
  <c r="AC416" i="21" s="1"/>
  <c r="AD416" i="21" s="1"/>
  <c r="AE416" i="21" s="1"/>
  <c r="AA223" i="21"/>
  <c r="AB223" i="21" s="1"/>
  <c r="AC223" i="21" s="1"/>
  <c r="AA239" i="21"/>
  <c r="AB239" i="21" s="1"/>
  <c r="AH239" i="21" s="1"/>
  <c r="AJ239" i="21" s="1"/>
  <c r="AA442" i="21"/>
  <c r="AB442" i="21" s="1"/>
  <c r="AA439" i="21"/>
  <c r="AB439" i="21" s="1"/>
  <c r="AA472" i="21"/>
  <c r="AB472" i="21" s="1"/>
  <c r="AA267" i="21"/>
  <c r="AB267" i="21" s="1"/>
  <c r="AA283" i="21"/>
  <c r="AA295" i="21"/>
  <c r="AB295" i="21" s="1"/>
  <c r="AA311" i="21"/>
  <c r="AB311" i="21" s="1"/>
  <c r="AA360" i="21"/>
  <c r="AB360" i="21" s="1"/>
  <c r="AA352" i="21"/>
  <c r="AB352" i="21" s="1"/>
  <c r="AA340" i="21"/>
  <c r="AB340" i="21" s="1"/>
  <c r="AA400" i="21"/>
  <c r="AB400" i="21" s="1"/>
  <c r="AH400" i="21" s="1"/>
  <c r="AJ400" i="21" s="1"/>
  <c r="AA20" i="21"/>
  <c r="AB20" i="21" s="1"/>
  <c r="AA152" i="21"/>
  <c r="AA195" i="21"/>
  <c r="AB195" i="21" s="1"/>
  <c r="AA16" i="21"/>
  <c r="AB16" i="21" s="1"/>
  <c r="Z238" i="21"/>
  <c r="Z308" i="21"/>
  <c r="Z323" i="21"/>
  <c r="AB342" i="21"/>
  <c r="AH342" i="21" s="1"/>
  <c r="AJ342" i="21" s="1"/>
  <c r="Z467" i="21"/>
  <c r="AB245" i="21"/>
  <c r="AC245" i="21" s="1"/>
  <c r="AD245" i="21" s="1"/>
  <c r="AE245" i="21" s="1"/>
  <c r="AB258" i="21"/>
  <c r="AH258" i="21" s="1"/>
  <c r="AJ258" i="21" s="1"/>
  <c r="Z169" i="21"/>
  <c r="AB169" i="21" s="1"/>
  <c r="Z393" i="21"/>
  <c r="AB393" i="21" s="1"/>
  <c r="AC393" i="21" s="1"/>
  <c r="Z428" i="21"/>
  <c r="AB488" i="21"/>
  <c r="AC488" i="21" s="1"/>
  <c r="AD488" i="21" s="1"/>
  <c r="AB284" i="21"/>
  <c r="AH284" i="21" s="1"/>
  <c r="AJ284" i="21" s="1"/>
  <c r="Z315" i="21"/>
  <c r="Z442" i="21"/>
  <c r="AH285" i="21"/>
  <c r="AJ285" i="21" s="1"/>
  <c r="Z126" i="21"/>
  <c r="AB126" i="21" s="1"/>
  <c r="Z424" i="21"/>
  <c r="AB424" i="21" s="1"/>
  <c r="AC424" i="21" s="1"/>
  <c r="Z320" i="21"/>
  <c r="Y145" i="21"/>
  <c r="AA145" i="21" s="1"/>
  <c r="AB246" i="21"/>
  <c r="AH246" i="21" s="1"/>
  <c r="AJ246" i="21" s="1"/>
  <c r="AB230" i="21"/>
  <c r="AC230" i="21" s="1"/>
  <c r="AD230" i="21" s="1"/>
  <c r="AE230" i="21" s="1"/>
  <c r="Z416" i="21"/>
  <c r="Z299" i="21"/>
  <c r="Z312" i="21"/>
  <c r="Z420" i="21"/>
  <c r="AB420" i="21" s="1"/>
  <c r="AC420" i="21" s="1"/>
  <c r="AB504" i="21"/>
  <c r="AC504" i="21" s="1"/>
  <c r="Z307" i="21"/>
  <c r="Z432" i="21"/>
  <c r="AB432" i="21" s="1"/>
  <c r="AC432" i="21" s="1"/>
  <c r="Z137" i="21"/>
  <c r="Z389" i="21"/>
  <c r="AB389" i="21" s="1"/>
  <c r="AC389" i="21" s="1"/>
  <c r="AB254" i="21"/>
  <c r="AH254" i="21" s="1"/>
  <c r="AJ254" i="21" s="1"/>
  <c r="AB480" i="21"/>
  <c r="AC480" i="21" s="1"/>
  <c r="AB446" i="21"/>
  <c r="AC446" i="21" s="1"/>
  <c r="AD446" i="21" s="1"/>
  <c r="Z485" i="21"/>
  <c r="AB390" i="21"/>
  <c r="AH390" i="21" s="1"/>
  <c r="AJ390" i="21" s="1"/>
  <c r="Z306" i="21"/>
  <c r="Z194" i="21"/>
  <c r="AB194" i="21" s="1"/>
  <c r="AB151" i="21"/>
  <c r="Z144" i="21"/>
  <c r="AB144" i="21" s="1"/>
  <c r="Z313" i="21"/>
  <c r="Z314" i="21"/>
  <c r="Z248" i="21"/>
  <c r="AB283" i="21"/>
  <c r="AH283" i="21" s="1"/>
  <c r="AJ283" i="21" s="1"/>
  <c r="Z310" i="21"/>
  <c r="Z422" i="21"/>
  <c r="Z430" i="21"/>
  <c r="AB430" i="21" s="1"/>
  <c r="AC430" i="21" s="1"/>
  <c r="AD430" i="21" s="1"/>
  <c r="AB433" i="21"/>
  <c r="AC433" i="21" s="1"/>
  <c r="Z178" i="21"/>
  <c r="AB178" i="21" s="1"/>
  <c r="Z156" i="21"/>
  <c r="AB156" i="21" s="1"/>
  <c r="AB474" i="21"/>
  <c r="AC474" i="21" s="1"/>
  <c r="AD474" i="21" s="1"/>
  <c r="AB490" i="21"/>
  <c r="AC490" i="21" s="1"/>
  <c r="AD490" i="21" s="1"/>
  <c r="Z503" i="21"/>
  <c r="Z303" i="21"/>
  <c r="Z362" i="21"/>
  <c r="Z369" i="21"/>
  <c r="Z297" i="21"/>
  <c r="AB319" i="21"/>
  <c r="AH319" i="21" s="1"/>
  <c r="AJ319" i="21" s="1"/>
  <c r="Z184" i="21"/>
  <c r="AB184" i="21" s="1"/>
  <c r="Z119" i="21"/>
  <c r="AB119" i="21" s="1"/>
  <c r="AB502" i="21"/>
  <c r="AC502" i="21" s="1"/>
  <c r="AD502" i="21" s="1"/>
  <c r="Z287" i="21"/>
  <c r="Z268" i="21"/>
  <c r="Z296" i="21"/>
  <c r="Z399" i="21"/>
  <c r="AB399" i="21" s="1"/>
  <c r="AC399" i="21" s="1"/>
  <c r="Z189" i="21"/>
  <c r="AB189" i="21" s="1"/>
  <c r="Z124" i="21"/>
  <c r="AB124" i="21" s="1"/>
  <c r="AB237" i="21"/>
  <c r="AH237" i="21" s="1"/>
  <c r="AJ237" i="21" s="1"/>
  <c r="Z436" i="21"/>
  <c r="AB277" i="21"/>
  <c r="AH277" i="21" s="1"/>
  <c r="AJ277" i="21" s="1"/>
  <c r="Z295" i="21"/>
  <c r="Z311" i="21"/>
  <c r="Z440" i="21"/>
  <c r="AB440" i="21" s="1"/>
  <c r="AC440" i="21" s="1"/>
  <c r="AD440" i="21" s="1"/>
  <c r="Z425" i="21"/>
  <c r="AB417" i="21"/>
  <c r="AC417" i="21" s="1"/>
  <c r="AB269" i="21"/>
  <c r="AC269" i="21" s="1"/>
  <c r="AD269" i="21" s="1"/>
  <c r="AE269" i="21" s="1"/>
  <c r="Z244" i="21"/>
  <c r="Z419" i="21"/>
  <c r="Z300" i="21"/>
  <c r="AB421" i="21"/>
  <c r="Z456" i="21"/>
  <c r="Z441" i="21"/>
  <c r="AC456" i="21"/>
  <c r="AD456" i="21" s="1"/>
  <c r="AE456" i="21" s="1"/>
  <c r="AF456" i="21" s="1"/>
  <c r="AG456" i="21" s="1"/>
  <c r="AH456" i="21" s="1"/>
  <c r="AJ456" i="21" s="1"/>
  <c r="Z292" i="21"/>
  <c r="AH282" i="21"/>
  <c r="AJ282" i="21" s="1"/>
  <c r="AC282" i="21"/>
  <c r="AH299" i="21"/>
  <c r="AJ299" i="21" s="1"/>
  <c r="AC348" i="21"/>
  <c r="AD348" i="21" s="1"/>
  <c r="AE348" i="21" s="1"/>
  <c r="AF348" i="21" s="1"/>
  <c r="AG348" i="21" s="1"/>
  <c r="AH300" i="21"/>
  <c r="AJ300" i="21" s="1"/>
  <c r="AC300" i="21"/>
  <c r="AD300" i="21" s="1"/>
  <c r="AC316" i="21"/>
  <c r="AD316" i="21" s="1"/>
  <c r="AC428" i="21"/>
  <c r="AD220" i="21"/>
  <c r="AE220" i="21" s="1"/>
  <c r="Z282" i="21"/>
  <c r="AB464" i="21"/>
  <c r="AB278" i="21"/>
  <c r="Z374" i="21"/>
  <c r="AC356" i="21"/>
  <c r="AD356" i="21" s="1"/>
  <c r="AE356" i="21" s="1"/>
  <c r="AC465" i="21"/>
  <c r="Z450" i="21"/>
  <c r="Z414" i="21"/>
  <c r="Z493" i="21"/>
  <c r="AB291" i="21"/>
  <c r="AC357" i="21"/>
  <c r="AF394" i="21"/>
  <c r="AG394" i="21" s="1"/>
  <c r="AH394" i="21" s="1"/>
  <c r="AJ394" i="21" s="1"/>
  <c r="Z387" i="21"/>
  <c r="Z379" i="21"/>
  <c r="AB388" i="21"/>
  <c r="AB469" i="21"/>
  <c r="Z481" i="21"/>
  <c r="Z321" i="21"/>
  <c r="Z372" i="21"/>
  <c r="Z364" i="21"/>
  <c r="Z363" i="21"/>
  <c r="AB343" i="21"/>
  <c r="Z378" i="21"/>
  <c r="AC358" i="21"/>
  <c r="Z354" i="21"/>
  <c r="Z326" i="21"/>
  <c r="Z392" i="21"/>
  <c r="Z384" i="21"/>
  <c r="AB384" i="21" s="1"/>
  <c r="Z376" i="21"/>
  <c r="Z348" i="21"/>
  <c r="AB484" i="21"/>
  <c r="AB500" i="21"/>
  <c r="AC500" i="21" s="1"/>
  <c r="Z461" i="21"/>
  <c r="AC495" i="21"/>
  <c r="AB453" i="21"/>
  <c r="AC413" i="21"/>
  <c r="AJ413" i="21"/>
  <c r="Z413" i="21"/>
  <c r="Z366" i="21"/>
  <c r="Z316" i="21"/>
  <c r="AB332" i="21"/>
  <c r="Z383" i="21"/>
  <c r="AB383" i="21" s="1"/>
  <c r="Z347" i="21"/>
  <c r="Z454" i="21"/>
  <c r="AB449" i="21"/>
  <c r="Z264" i="21"/>
  <c r="AB288" i="21"/>
  <c r="Z360" i="21"/>
  <c r="AC338" i="21"/>
  <c r="Z426" i="21"/>
  <c r="AB426" i="21" s="1"/>
  <c r="AB418" i="21"/>
  <c r="Z256" i="21"/>
  <c r="AE491" i="21"/>
  <c r="AF491" i="21" s="1"/>
  <c r="AB324" i="21"/>
  <c r="Z272" i="21"/>
  <c r="AC250" i="21"/>
  <c r="AD250" i="21" s="1"/>
  <c r="AE250" i="21" s="1"/>
  <c r="AF250" i="21" s="1"/>
  <c r="AG250" i="21" s="1"/>
  <c r="Z361" i="21"/>
  <c r="AC367" i="21"/>
  <c r="AB331" i="21"/>
  <c r="Z331" i="21"/>
  <c r="AC353" i="21"/>
  <c r="AH353" i="21"/>
  <c r="AJ353" i="21" s="1"/>
  <c r="AH337" i="21"/>
  <c r="AJ337" i="21" s="1"/>
  <c r="AC337" i="21"/>
  <c r="Z352" i="21"/>
  <c r="AC444" i="21"/>
  <c r="AH444" i="21"/>
  <c r="AJ444" i="21" s="1"/>
  <c r="Z391" i="21"/>
  <c r="AB391" i="21" s="1"/>
  <c r="AC400" i="21"/>
  <c r="AB380" i="21"/>
  <c r="Z355" i="21"/>
  <c r="Z351" i="21"/>
  <c r="AC342" i="21"/>
  <c r="AC345" i="21"/>
  <c r="Z497" i="21"/>
  <c r="AB280" i="21"/>
  <c r="AE430" i="21"/>
  <c r="AF430" i="21" s="1"/>
  <c r="AG430" i="21" s="1"/>
  <c r="AH430" i="21" s="1"/>
  <c r="AJ430" i="21" s="1"/>
  <c r="AB427" i="21"/>
  <c r="AB435" i="21"/>
  <c r="AC253" i="21"/>
  <c r="Z356" i="21"/>
  <c r="Z397" i="21"/>
  <c r="AB397" i="21" s="1"/>
  <c r="AB382" i="21"/>
  <c r="AC473" i="21"/>
  <c r="AH473" i="21"/>
  <c r="AJ473" i="21" s="1"/>
  <c r="AB468" i="21"/>
  <c r="Z386" i="21"/>
  <c r="AB386" i="21" s="1"/>
  <c r="AC386" i="21" s="1"/>
  <c r="AC378" i="21"/>
  <c r="AD378" i="21" s="1"/>
  <c r="AE378" i="21" s="1"/>
  <c r="Z53" i="21"/>
  <c r="AB53" i="21" s="1"/>
  <c r="Z57" i="21"/>
  <c r="AB57" i="21" s="1"/>
  <c r="Z213" i="21"/>
  <c r="AB213" i="21" s="1"/>
  <c r="Z110" i="21"/>
  <c r="AB110" i="21" s="1"/>
  <c r="Z135" i="21"/>
  <c r="AB135" i="21" s="1"/>
  <c r="Z42" i="21"/>
  <c r="AB42" i="21" s="1"/>
  <c r="Z27" i="21"/>
  <c r="AB27" i="21" s="1"/>
  <c r="Z129" i="21"/>
  <c r="AB129" i="21" s="1"/>
  <c r="Z28" i="21"/>
  <c r="P8" i="23"/>
  <c r="R8" i="23" s="1"/>
  <c r="Z78" i="21"/>
  <c r="AB78" i="21" s="1"/>
  <c r="Z165" i="21"/>
  <c r="AB165" i="21" s="1"/>
  <c r="Z201" i="21"/>
  <c r="AB201" i="21" s="1"/>
  <c r="Z125" i="21"/>
  <c r="AB125" i="21" s="1"/>
  <c r="Z205" i="21"/>
  <c r="AB205" i="21" s="1"/>
  <c r="Z215" i="21"/>
  <c r="AB215" i="21" s="1"/>
  <c r="Z121" i="21"/>
  <c r="AB121" i="21" s="1"/>
  <c r="Z127" i="21"/>
  <c r="AB127" i="21" s="1"/>
  <c r="AB128" i="21"/>
  <c r="Z198" i="21"/>
  <c r="AB198" i="21" s="1"/>
  <c r="Z207" i="21"/>
  <c r="AB207" i="21" s="1"/>
  <c r="Z177" i="21"/>
  <c r="AB177" i="21" s="1"/>
  <c r="Z60" i="21"/>
  <c r="AB60" i="21" s="1"/>
  <c r="Z80" i="21"/>
  <c r="AB80" i="21" s="1"/>
  <c r="Z153" i="21"/>
  <c r="AB153" i="21" s="1"/>
  <c r="Z159" i="21"/>
  <c r="AB159" i="21" s="1"/>
  <c r="G42" i="24"/>
  <c r="AB68" i="21"/>
  <c r="Z196" i="21"/>
  <c r="AB196" i="21" s="1"/>
  <c r="Z155" i="21"/>
  <c r="AB155" i="21" s="1"/>
  <c r="Z73" i="21"/>
  <c r="AB73" i="21" s="1"/>
  <c r="AB138" i="21"/>
  <c r="Z107" i="21"/>
  <c r="AB107" i="21" s="1"/>
  <c r="Z54" i="21"/>
  <c r="AB54" i="21" s="1"/>
  <c r="Z190" i="21"/>
  <c r="AB190" i="21" s="1"/>
  <c r="Z203" i="21"/>
  <c r="AB203" i="21" s="1"/>
  <c r="AB163" i="21"/>
  <c r="Z32" i="21"/>
  <c r="AB32" i="21" s="1"/>
  <c r="Z62" i="21"/>
  <c r="AB62" i="21" s="1"/>
  <c r="Z23" i="21"/>
  <c r="AB23" i="21" s="1"/>
  <c r="Z71" i="21"/>
  <c r="AB71" i="21" s="1"/>
  <c r="Z167" i="21"/>
  <c r="AB167" i="21" s="1"/>
  <c r="Z192" i="21"/>
  <c r="AB192" i="21" s="1"/>
  <c r="AB142" i="21"/>
  <c r="AB146" i="21"/>
  <c r="AB50" i="21"/>
  <c r="Z67" i="21"/>
  <c r="AB67" i="21" s="1"/>
  <c r="Z72" i="21"/>
  <c r="AB72" i="21" s="1"/>
  <c r="Z187" i="21"/>
  <c r="AB187" i="21" s="1"/>
  <c r="Z191" i="21"/>
  <c r="AB191" i="21" s="1"/>
  <c r="Z105" i="21"/>
  <c r="AB105" i="21" s="1"/>
  <c r="Z69" i="21"/>
  <c r="AB69" i="21" s="1"/>
  <c r="Z122" i="21"/>
  <c r="AB122" i="21" s="1"/>
  <c r="AB147" i="21"/>
  <c r="AB149" i="21"/>
  <c r="Z111" i="21"/>
  <c r="AB111" i="21" s="1"/>
  <c r="Z59" i="21"/>
  <c r="AB59" i="21" s="1"/>
  <c r="Z185" i="21"/>
  <c r="AB185" i="21" s="1"/>
  <c r="Z200" i="21"/>
  <c r="AB200" i="21" s="1"/>
  <c r="AB15" i="21"/>
  <c r="Z181" i="21"/>
  <c r="AB181" i="21" s="1"/>
  <c r="AB79" i="21"/>
  <c r="Z148" i="21"/>
  <c r="AB148" i="21" s="1"/>
  <c r="Z33" i="21"/>
  <c r="AB33" i="21" s="1"/>
  <c r="AB86" i="21"/>
  <c r="Z51" i="21"/>
  <c r="AB51" i="21" s="1"/>
  <c r="Z61" i="21"/>
  <c r="AB61" i="21" s="1"/>
  <c r="Z84" i="21"/>
  <c r="AB84" i="21" s="1"/>
  <c r="Z183" i="21"/>
  <c r="AB183" i="21" s="1"/>
  <c r="Z197" i="21"/>
  <c r="AB197" i="21" s="1"/>
  <c r="Z202" i="21"/>
  <c r="AB202" i="21" s="1"/>
  <c r="Z157" i="21"/>
  <c r="AB157" i="21" s="1"/>
  <c r="Z164" i="21"/>
  <c r="AB164" i="21" s="1"/>
  <c r="Z172" i="21"/>
  <c r="AB172" i="21" s="1"/>
  <c r="AB17" i="21"/>
  <c r="Z36" i="21"/>
  <c r="AB36" i="21" s="1"/>
  <c r="AB143" i="21"/>
  <c r="G32" i="23"/>
  <c r="Z34" i="21"/>
  <c r="AB34" i="21" s="1"/>
  <c r="Z56" i="21"/>
  <c r="AB56" i="21" s="1"/>
  <c r="AB137" i="21"/>
  <c r="Z186" i="21"/>
  <c r="AB186" i="21" s="1"/>
  <c r="Z141" i="21"/>
  <c r="AB141" i="21" s="1"/>
  <c r="Z21" i="21"/>
  <c r="AB21" i="21" s="1"/>
  <c r="Z44" i="21"/>
  <c r="Z39" i="21"/>
  <c r="Z64" i="21"/>
  <c r="Z65" i="21"/>
  <c r="Z83" i="21"/>
  <c r="Z93" i="21"/>
  <c r="Z96" i="21"/>
  <c r="Z112" i="21"/>
  <c r="Z114" i="21"/>
  <c r="Z116" i="21"/>
  <c r="Z154" i="21"/>
  <c r="Z168" i="21"/>
  <c r="Z170" i="21"/>
  <c r="Z133" i="21"/>
  <c r="AB133" i="21" s="1"/>
  <c r="Z108" i="21"/>
  <c r="Z85" i="21"/>
  <c r="Z113" i="21"/>
  <c r="Z115" i="21"/>
  <c r="Z117" i="21"/>
  <c r="Z179" i="21"/>
  <c r="Z87" i="21"/>
  <c r="Z89" i="21"/>
  <c r="AB89" i="21" s="1"/>
  <c r="Z75" i="21"/>
  <c r="Z91" i="21"/>
  <c r="Z92" i="21"/>
  <c r="Z94" i="21"/>
  <c r="Z98" i="21"/>
  <c r="Z100" i="21"/>
  <c r="Z102" i="21"/>
  <c r="Z104" i="21"/>
  <c r="Z160" i="21"/>
  <c r="Z174" i="21"/>
  <c r="Z14" i="21"/>
  <c r="Z66" i="21"/>
  <c r="Z90" i="21"/>
  <c r="Z95" i="21"/>
  <c r="Z99" i="21"/>
  <c r="Z101" i="21"/>
  <c r="Z103" i="21"/>
  <c r="Z158" i="21"/>
  <c r="Z162" i="21"/>
  <c r="Z25" i="21"/>
  <c r="AC37" i="21"/>
  <c r="AE217" i="21"/>
  <c r="AF217" i="21" s="1"/>
  <c r="AG217" i="21" s="1"/>
  <c r="Z47" i="21"/>
  <c r="AB47" i="21" s="1"/>
  <c r="AB134" i="21"/>
  <c r="Z176" i="21"/>
  <c r="AB176" i="21" s="1"/>
  <c r="AB76" i="21"/>
  <c r="AB81" i="21"/>
  <c r="Z22" i="21"/>
  <c r="AB22" i="21" s="1"/>
  <c r="Z52" i="21"/>
  <c r="AB52" i="21" s="1"/>
  <c r="AB152" i="21"/>
  <c r="Z166" i="21"/>
  <c r="AB166" i="21" s="1"/>
  <c r="Z26" i="21"/>
  <c r="AB26" i="21" s="1"/>
  <c r="Z193" i="21"/>
  <c r="AB193" i="21" s="1"/>
  <c r="Z77" i="21"/>
  <c r="AB77" i="21" s="1"/>
  <c r="AB49" i="21"/>
  <c r="Z35" i="21"/>
  <c r="AB35" i="21" s="1"/>
  <c r="AB173" i="21"/>
  <c r="AB13" i="21"/>
  <c r="AC13" i="21" s="1"/>
  <c r="AD13" i="21" s="1"/>
  <c r="AD21" i="23" l="1"/>
  <c r="M272" i="23"/>
  <c r="N272" i="23" s="1"/>
  <c r="AH43" i="22"/>
  <c r="AI43" i="22" s="1"/>
  <c r="K74" i="23"/>
  <c r="L74" i="23" s="1"/>
  <c r="M74" i="23" s="1"/>
  <c r="H1023" i="23"/>
  <c r="M1023" i="23" s="1"/>
  <c r="N1023" i="23" s="1"/>
  <c r="O1022" i="23"/>
  <c r="J1022" i="23"/>
  <c r="R1022" i="23"/>
  <c r="M1417" i="23"/>
  <c r="N1417" i="23" s="1"/>
  <c r="AH255" i="21"/>
  <c r="AJ255" i="21" s="1"/>
  <c r="AC255" i="21"/>
  <c r="AC315" i="21"/>
  <c r="AC323" i="21"/>
  <c r="AD323" i="21" s="1"/>
  <c r="AE373" i="21"/>
  <c r="AF373" i="21" s="1"/>
  <c r="AH261" i="21"/>
  <c r="AJ261" i="21" s="1"/>
  <c r="AC321" i="21"/>
  <c r="AD506" i="21"/>
  <c r="AE506" i="21" s="1"/>
  <c r="AF506" i="21" s="1"/>
  <c r="AG506" i="21" s="1"/>
  <c r="AD231" i="21"/>
  <c r="AE231" i="21" s="1"/>
  <c r="AC497" i="21"/>
  <c r="AH355" i="21"/>
  <c r="AJ355" i="21" s="1"/>
  <c r="AH505" i="21"/>
  <c r="AJ505" i="21" s="1"/>
  <c r="AH370" i="21"/>
  <c r="AJ370" i="21" s="1"/>
  <c r="AD223" i="21"/>
  <c r="AE223" i="21" s="1"/>
  <c r="AF223" i="21" s="1"/>
  <c r="AC319" i="21"/>
  <c r="AH506" i="21"/>
  <c r="AJ506" i="21" s="1"/>
  <c r="AC385" i="21"/>
  <c r="AD385" i="21" s="1"/>
  <c r="AE385" i="21" s="1"/>
  <c r="AF385" i="21" s="1"/>
  <c r="AG385" i="21" s="1"/>
  <c r="AC281" i="21"/>
  <c r="AC448" i="21"/>
  <c r="AD448" i="21" s="1"/>
  <c r="AE448" i="21" s="1"/>
  <c r="AH274" i="21"/>
  <c r="AJ274" i="21" s="1"/>
  <c r="AC274" i="21"/>
  <c r="AD274" i="21" s="1"/>
  <c r="AE274" i="21" s="1"/>
  <c r="AH270" i="21"/>
  <c r="AJ270" i="21" s="1"/>
  <c r="AC270" i="21"/>
  <c r="AD270" i="21" s="1"/>
  <c r="AE270" i="21" s="1"/>
  <c r="AC475" i="21"/>
  <c r="AD475" i="21" s="1"/>
  <c r="AC326" i="21"/>
  <c r="AE457" i="21"/>
  <c r="AF457" i="21" s="1"/>
  <c r="AG457" i="21" s="1"/>
  <c r="AH457" i="21" s="1"/>
  <c r="AJ457" i="21" s="1"/>
  <c r="AE446" i="21"/>
  <c r="AF446" i="21" s="1"/>
  <c r="AG446" i="21" s="1"/>
  <c r="AH446" i="21" s="1"/>
  <c r="AJ446" i="21" s="1"/>
  <c r="AD395" i="21"/>
  <c r="AE395" i="21" s="1"/>
  <c r="AH487" i="21"/>
  <c r="AJ487" i="21" s="1"/>
  <c r="AC293" i="21"/>
  <c r="AD293" i="21" s="1"/>
  <c r="AE293" i="21" s="1"/>
  <c r="AC329" i="21"/>
  <c r="AC248" i="21"/>
  <c r="AD248" i="21" s="1"/>
  <c r="AC240" i="21"/>
  <c r="AD240" i="21" s="1"/>
  <c r="AD227" i="21"/>
  <c r="AE227" i="21" s="1"/>
  <c r="AF227" i="21" s="1"/>
  <c r="AE482" i="21"/>
  <c r="AF482" i="21" s="1"/>
  <c r="AD401" i="21"/>
  <c r="AE401" i="21" s="1"/>
  <c r="AF401" i="21" s="1"/>
  <c r="AC254" i="21"/>
  <c r="AD254" i="21" s="1"/>
  <c r="AE254" i="21" s="1"/>
  <c r="AD35" i="24"/>
  <c r="AD389" i="21"/>
  <c r="AE389" i="21" s="1"/>
  <c r="AE490" i="21"/>
  <c r="AF490" i="21" s="1"/>
  <c r="AD433" i="21"/>
  <c r="AE433" i="21" s="1"/>
  <c r="AF433" i="21" s="1"/>
  <c r="AC265" i="21"/>
  <c r="AC283" i="21"/>
  <c r="AD283" i="21" s="1"/>
  <c r="AE283" i="21" s="1"/>
  <c r="AH309" i="21"/>
  <c r="AJ309" i="21" s="1"/>
  <c r="AD494" i="21"/>
  <c r="AE494" i="21" s="1"/>
  <c r="AF494" i="21" s="1"/>
  <c r="AC284" i="21"/>
  <c r="AD284" i="21" s="1"/>
  <c r="AE284" i="21" s="1"/>
  <c r="AC251" i="21"/>
  <c r="AD251" i="21" s="1"/>
  <c r="AE251" i="21" s="1"/>
  <c r="AC381" i="21"/>
  <c r="AD381" i="21" s="1"/>
  <c r="AE381" i="21" s="1"/>
  <c r="AF381" i="21" s="1"/>
  <c r="AG381" i="21" s="1"/>
  <c r="AC396" i="21"/>
  <c r="AD396" i="21" s="1"/>
  <c r="AH301" i="21"/>
  <c r="AJ301" i="21" s="1"/>
  <c r="Z145" i="21"/>
  <c r="AB145" i="21" s="1"/>
  <c r="AC145" i="21" s="1"/>
  <c r="AD443" i="21"/>
  <c r="AE443" i="21" s="1"/>
  <c r="AD422" i="21"/>
  <c r="AE422" i="21" s="1"/>
  <c r="AC298" i="21"/>
  <c r="AD298" i="21" s="1"/>
  <c r="AE298" i="21" s="1"/>
  <c r="AE440" i="21"/>
  <c r="AF440" i="21" s="1"/>
  <c r="AG440" i="21" s="1"/>
  <c r="AH440" i="21" s="1"/>
  <c r="AJ440" i="21" s="1"/>
  <c r="AC277" i="21"/>
  <c r="AD277" i="21" s="1"/>
  <c r="AE277" i="21" s="1"/>
  <c r="AD420" i="21"/>
  <c r="AE420" i="21" s="1"/>
  <c r="AF420" i="21" s="1"/>
  <c r="AH292" i="21"/>
  <c r="AJ292" i="21" s="1"/>
  <c r="AC317" i="21"/>
  <c r="AD226" i="21"/>
  <c r="AE226" i="21" s="1"/>
  <c r="AF226" i="21" s="1"/>
  <c r="AC306" i="21"/>
  <c r="AD306" i="21" s="1"/>
  <c r="AE488" i="21"/>
  <c r="AF488" i="21" s="1"/>
  <c r="AH350" i="21"/>
  <c r="AJ350" i="21" s="1"/>
  <c r="AC350" i="21"/>
  <c r="AD350" i="21" s="1"/>
  <c r="AE350" i="21" s="1"/>
  <c r="AC257" i="21"/>
  <c r="AD257" i="21" s="1"/>
  <c r="AE257" i="21" s="1"/>
  <c r="AC471" i="21"/>
  <c r="AC486" i="21"/>
  <c r="AD486" i="21" s="1"/>
  <c r="AH486" i="21"/>
  <c r="AJ486" i="21" s="1"/>
  <c r="AH325" i="21"/>
  <c r="AJ325" i="21" s="1"/>
  <c r="AC325" i="21"/>
  <c r="AD325" i="21" s="1"/>
  <c r="AE325" i="21" s="1"/>
  <c r="AC267" i="21"/>
  <c r="AD267" i="21" s="1"/>
  <c r="AE267" i="21" s="1"/>
  <c r="AH267" i="21"/>
  <c r="AJ267" i="21" s="1"/>
  <c r="AH476" i="21"/>
  <c r="AJ476" i="21" s="1"/>
  <c r="AC476" i="21"/>
  <c r="AD476" i="21" s="1"/>
  <c r="AE476" i="21" s="1"/>
  <c r="AF476" i="21" s="1"/>
  <c r="AG476" i="21" s="1"/>
  <c r="AH294" i="21"/>
  <c r="AJ294" i="21" s="1"/>
  <c r="AC294" i="21"/>
  <c r="AD294" i="21" s="1"/>
  <c r="AC239" i="21"/>
  <c r="AC347" i="21"/>
  <c r="AD347" i="21" s="1"/>
  <c r="AE347" i="21" s="1"/>
  <c r="AF347" i="21" s="1"/>
  <c r="AH269" i="21"/>
  <c r="AJ269" i="21" s="1"/>
  <c r="AH249" i="21"/>
  <c r="AJ249" i="21" s="1"/>
  <c r="AC333" i="21"/>
  <c r="AD480" i="21"/>
  <c r="AE480" i="21" s="1"/>
  <c r="AH286" i="21"/>
  <c r="AJ286" i="21" s="1"/>
  <c r="AH423" i="21"/>
  <c r="AJ423" i="21" s="1"/>
  <c r="AE232" i="21"/>
  <c r="AF232" i="21" s="1"/>
  <c r="AG232" i="21" s="1"/>
  <c r="AH232" i="21" s="1"/>
  <c r="AJ232" i="21" s="1"/>
  <c r="AH432" i="21"/>
  <c r="AJ432" i="21" s="1"/>
  <c r="AC419" i="21"/>
  <c r="AD419" i="21" s="1"/>
  <c r="AE419" i="21" s="1"/>
  <c r="AF419" i="21" s="1"/>
  <c r="AG419" i="21" s="1"/>
  <c r="AD233" i="21"/>
  <c r="AE233" i="21" s="1"/>
  <c r="AC314" i="21"/>
  <c r="AD314" i="21" s="1"/>
  <c r="AC252" i="21"/>
  <c r="AD252" i="21" s="1"/>
  <c r="AC503" i="21"/>
  <c r="AD503" i="21" s="1"/>
  <c r="AC376" i="21"/>
  <c r="AD431" i="21"/>
  <c r="AC390" i="21"/>
  <c r="AD390" i="21" s="1"/>
  <c r="AE438" i="21"/>
  <c r="AF438" i="21" s="1"/>
  <c r="AH245" i="21"/>
  <c r="AJ245" i="21" s="1"/>
  <c r="AC483" i="21"/>
  <c r="AD483" i="21" s="1"/>
  <c r="AD399" i="21"/>
  <c r="AE399" i="21" s="1"/>
  <c r="AH409" i="21"/>
  <c r="AJ409" i="21" s="1"/>
  <c r="AC409" i="21"/>
  <c r="AD404" i="21"/>
  <c r="AE404" i="21" s="1"/>
  <c r="AC211" i="21"/>
  <c r="AD211" i="21" s="1"/>
  <c r="AD208" i="21"/>
  <c r="AE208" i="21" s="1"/>
  <c r="AF208" i="21" s="1"/>
  <c r="AD403" i="21"/>
  <c r="AE403" i="21" s="1"/>
  <c r="AF405" i="21"/>
  <c r="AG405" i="21" s="1"/>
  <c r="AE406" i="21"/>
  <c r="AF406" i="21" s="1"/>
  <c r="AG406" i="21" s="1"/>
  <c r="AC210" i="21"/>
  <c r="AD210" i="21" s="1"/>
  <c r="AE210" i="21" s="1"/>
  <c r="AD410" i="21"/>
  <c r="AE410" i="21" s="1"/>
  <c r="AG209" i="21"/>
  <c r="AH209" i="21" s="1"/>
  <c r="AJ209" i="21" s="1"/>
  <c r="AC206" i="21"/>
  <c r="AD206" i="21" s="1"/>
  <c r="AE206" i="21" s="1"/>
  <c r="AC181" i="21"/>
  <c r="AD181" i="21" s="1"/>
  <c r="AC72" i="21"/>
  <c r="AC169" i="21"/>
  <c r="AD169" i="21" s="1"/>
  <c r="AE169" i="21" s="1"/>
  <c r="AC21" i="21"/>
  <c r="AD21" i="21" s="1"/>
  <c r="AC67" i="21"/>
  <c r="AD67" i="21" s="1"/>
  <c r="AE67" i="21" s="1"/>
  <c r="AC80" i="21"/>
  <c r="AC78" i="21"/>
  <c r="AD78" i="21" s="1"/>
  <c r="AC53" i="21"/>
  <c r="AD53" i="21" s="1"/>
  <c r="AE53" i="21" s="1"/>
  <c r="AC48" i="21"/>
  <c r="AC76" i="21"/>
  <c r="AC29" i="21"/>
  <c r="AD29" i="21" s="1"/>
  <c r="AE29" i="21" s="1"/>
  <c r="AF29" i="21" s="1"/>
  <c r="AG29" i="21" s="1"/>
  <c r="AC214" i="21"/>
  <c r="AD214" i="21" s="1"/>
  <c r="AC50" i="21"/>
  <c r="AD50" i="21" s="1"/>
  <c r="AC106" i="21"/>
  <c r="AD106" i="21" s="1"/>
  <c r="AE106" i="21" s="1"/>
  <c r="AC212" i="21"/>
  <c r="AD212" i="21" s="1"/>
  <c r="AC88" i="21"/>
  <c r="AD88" i="21" s="1"/>
  <c r="AE88" i="21" s="1"/>
  <c r="AC38" i="21"/>
  <c r="AD38" i="21" s="1"/>
  <c r="AE38" i="21" s="1"/>
  <c r="AC79" i="21"/>
  <c r="AC200" i="21"/>
  <c r="AD200" i="21" s="1"/>
  <c r="AE200" i="21" s="1"/>
  <c r="AC54" i="21"/>
  <c r="AC68" i="21"/>
  <c r="AD68" i="21" s="1"/>
  <c r="AE68" i="21" s="1"/>
  <c r="AC159" i="21"/>
  <c r="AD159" i="21" s="1"/>
  <c r="AE159" i="21" s="1"/>
  <c r="AD199" i="21"/>
  <c r="AE199" i="21" s="1"/>
  <c r="AC198" i="21"/>
  <c r="AD198" i="21" s="1"/>
  <c r="AE198" i="21" s="1"/>
  <c r="AC201" i="21"/>
  <c r="AD201" i="21" s="1"/>
  <c r="AE201" i="21" s="1"/>
  <c r="AC213" i="21"/>
  <c r="AD213" i="21" s="1"/>
  <c r="AE213" i="21" s="1"/>
  <c r="AF213" i="21" s="1"/>
  <c r="AC156" i="21"/>
  <c r="AC379" i="21"/>
  <c r="AD379" i="21" s="1"/>
  <c r="AE379" i="21" s="1"/>
  <c r="AH379" i="21"/>
  <c r="AJ379" i="21" s="1"/>
  <c r="AD489" i="21"/>
  <c r="AE489" i="21" s="1"/>
  <c r="AH364" i="21"/>
  <c r="AJ364" i="21" s="1"/>
  <c r="AC364" i="21"/>
  <c r="AD364" i="21" s="1"/>
  <c r="AE364" i="21" s="1"/>
  <c r="AC493" i="21"/>
  <c r="AD493" i="21" s="1"/>
  <c r="AH302" i="21"/>
  <c r="AJ302" i="21" s="1"/>
  <c r="AC302" i="21"/>
  <c r="AD302" i="21" s="1"/>
  <c r="AE302" i="21" s="1"/>
  <c r="AF302" i="21" s="1"/>
  <c r="AG302" i="21" s="1"/>
  <c r="AH414" i="21"/>
  <c r="AJ414" i="21" s="1"/>
  <c r="AC414" i="21"/>
  <c r="AD414" i="21" s="1"/>
  <c r="AE414" i="21" s="1"/>
  <c r="AF414" i="21" s="1"/>
  <c r="AG414" i="21" s="1"/>
  <c r="AH313" i="21"/>
  <c r="AJ313" i="21" s="1"/>
  <c r="AC313" i="21"/>
  <c r="AD313" i="21" s="1"/>
  <c r="AE313" i="21" s="1"/>
  <c r="AH363" i="21"/>
  <c r="AJ363" i="21" s="1"/>
  <c r="AC363" i="21"/>
  <c r="AD363" i="21" s="1"/>
  <c r="AE363" i="21" s="1"/>
  <c r="AF363" i="21" s="1"/>
  <c r="AC311" i="21"/>
  <c r="AH311" i="21"/>
  <c r="AJ311" i="21" s="1"/>
  <c r="AC467" i="21"/>
  <c r="AC369" i="21"/>
  <c r="AD369" i="21" s="1"/>
  <c r="AH369" i="21"/>
  <c r="AJ369" i="21" s="1"/>
  <c r="AC387" i="21"/>
  <c r="AD387" i="21" s="1"/>
  <c r="AH387" i="21"/>
  <c r="AJ387" i="21" s="1"/>
  <c r="AC312" i="21"/>
  <c r="AD312" i="21" s="1"/>
  <c r="AH312" i="21"/>
  <c r="AJ312" i="21" s="1"/>
  <c r="AH451" i="21"/>
  <c r="AJ451" i="21" s="1"/>
  <c r="AC451" i="21"/>
  <c r="AD451" i="21" s="1"/>
  <c r="AE451" i="21" s="1"/>
  <c r="AH287" i="21"/>
  <c r="AJ287" i="21" s="1"/>
  <c r="AC287" i="21"/>
  <c r="AD287" i="21" s="1"/>
  <c r="AE287" i="21" s="1"/>
  <c r="AC297" i="21"/>
  <c r="AH297" i="21"/>
  <c r="AJ297" i="21" s="1"/>
  <c r="AH374" i="21"/>
  <c r="AJ374" i="21" s="1"/>
  <c r="AC374" i="21"/>
  <c r="AH295" i="21"/>
  <c r="AJ295" i="21" s="1"/>
  <c r="AC295" i="21"/>
  <c r="AD295" i="21" s="1"/>
  <c r="AE295" i="21" s="1"/>
  <c r="AH238" i="21"/>
  <c r="AJ238" i="21" s="1"/>
  <c r="AC238" i="21"/>
  <c r="AD238" i="21" s="1"/>
  <c r="AC398" i="21"/>
  <c r="AD398" i="21" s="1"/>
  <c r="AE398" i="21" s="1"/>
  <c r="AF398" i="21" s="1"/>
  <c r="AH454" i="21"/>
  <c r="AJ454" i="21" s="1"/>
  <c r="AC454" i="21"/>
  <c r="AD454" i="21" s="1"/>
  <c r="AE454" i="21" s="1"/>
  <c r="AH296" i="21"/>
  <c r="AJ296" i="21" s="1"/>
  <c r="AC296" i="21"/>
  <c r="AD296" i="21" s="1"/>
  <c r="AH425" i="21"/>
  <c r="AJ425" i="21" s="1"/>
  <c r="AC425" i="21"/>
  <c r="AD425" i="21" s="1"/>
  <c r="AE425" i="21" s="1"/>
  <c r="AF425" i="21" s="1"/>
  <c r="AG425" i="21" s="1"/>
  <c r="AH307" i="21"/>
  <c r="AJ307" i="21" s="1"/>
  <c r="AC307" i="21"/>
  <c r="AD307" i="21" s="1"/>
  <c r="AE307" i="21" s="1"/>
  <c r="AF307" i="21" s="1"/>
  <c r="AH354" i="21"/>
  <c r="AJ354" i="21" s="1"/>
  <c r="AC354" i="21"/>
  <c r="AD354" i="21" s="1"/>
  <c r="AE354" i="21" s="1"/>
  <c r="AH272" i="21"/>
  <c r="AJ272" i="21" s="1"/>
  <c r="AC272" i="21"/>
  <c r="AD272" i="21" s="1"/>
  <c r="AH352" i="21"/>
  <c r="AJ352" i="21" s="1"/>
  <c r="AC352" i="21"/>
  <c r="AD352" i="21" s="1"/>
  <c r="AE352" i="21" s="1"/>
  <c r="AH442" i="21"/>
  <c r="AJ442" i="21" s="1"/>
  <c r="AC442" i="21"/>
  <c r="AD442" i="21" s="1"/>
  <c r="AH351" i="21"/>
  <c r="AJ351" i="21" s="1"/>
  <c r="AC351" i="21"/>
  <c r="AD351" i="21" s="1"/>
  <c r="AH436" i="21"/>
  <c r="AJ436" i="21" s="1"/>
  <c r="AC436" i="21"/>
  <c r="AD436" i="21" s="1"/>
  <c r="AC461" i="21"/>
  <c r="AD461" i="21" s="1"/>
  <c r="AE461" i="21" s="1"/>
  <c r="AF461" i="21" s="1"/>
  <c r="AG461" i="21" s="1"/>
  <c r="AH461" i="21" s="1"/>
  <c r="AJ461" i="21" s="1"/>
  <c r="AH308" i="21"/>
  <c r="AJ308" i="21" s="1"/>
  <c r="AC308" i="21"/>
  <c r="AD308" i="21" s="1"/>
  <c r="AH320" i="21"/>
  <c r="AJ320" i="21" s="1"/>
  <c r="AC320" i="21"/>
  <c r="AD320" i="21" s="1"/>
  <c r="AC256" i="21"/>
  <c r="AD256" i="21" s="1"/>
  <c r="AH256" i="21"/>
  <c r="AJ256" i="21" s="1"/>
  <c r="AH236" i="21"/>
  <c r="AJ236" i="21" s="1"/>
  <c r="AC236" i="21"/>
  <c r="AD236" i="21" s="1"/>
  <c r="AH477" i="21"/>
  <c r="AJ477" i="21" s="1"/>
  <c r="AC477" i="21"/>
  <c r="AD477" i="21" s="1"/>
  <c r="AC268" i="21"/>
  <c r="AD268" i="21" s="1"/>
  <c r="AH268" i="21"/>
  <c r="AJ268" i="21" s="1"/>
  <c r="AH360" i="21"/>
  <c r="AJ360" i="21" s="1"/>
  <c r="AC360" i="21"/>
  <c r="AD360" i="21" s="1"/>
  <c r="AE360" i="21" s="1"/>
  <c r="AH366" i="21"/>
  <c r="AJ366" i="21" s="1"/>
  <c r="AC366" i="21"/>
  <c r="AD366" i="21" s="1"/>
  <c r="AE366" i="21" s="1"/>
  <c r="AC289" i="21"/>
  <c r="AD289" i="21" s="1"/>
  <c r="AH289" i="21"/>
  <c r="AJ289" i="21" s="1"/>
  <c r="AH372" i="21"/>
  <c r="AJ372" i="21" s="1"/>
  <c r="AC372" i="21"/>
  <c r="AD372" i="21" s="1"/>
  <c r="AE372" i="21" s="1"/>
  <c r="AC264" i="21"/>
  <c r="AD264" i="21" s="1"/>
  <c r="AE264" i="21" s="1"/>
  <c r="AH264" i="21"/>
  <c r="AJ264" i="21" s="1"/>
  <c r="AH244" i="21"/>
  <c r="AJ244" i="21" s="1"/>
  <c r="AC244" i="21"/>
  <c r="AD244" i="21" s="1"/>
  <c r="AE244" i="21" s="1"/>
  <c r="AF244" i="21" s="1"/>
  <c r="AH485" i="21"/>
  <c r="AJ485" i="21" s="1"/>
  <c r="AC485" i="21"/>
  <c r="AD485" i="21" s="1"/>
  <c r="AE485" i="21" s="1"/>
  <c r="AH310" i="21"/>
  <c r="AJ310" i="21" s="1"/>
  <c r="AC310" i="21"/>
  <c r="AD310" i="21" s="1"/>
  <c r="AH362" i="21"/>
  <c r="AJ362" i="21" s="1"/>
  <c r="AC362" i="21"/>
  <c r="AD362" i="21" s="1"/>
  <c r="AE362" i="21" s="1"/>
  <c r="AC303" i="21"/>
  <c r="AD303" i="21" s="1"/>
  <c r="AE303" i="21" s="1"/>
  <c r="AF303" i="21" s="1"/>
  <c r="AH303" i="21"/>
  <c r="AJ303" i="21" s="1"/>
  <c r="AC450" i="21"/>
  <c r="AD450" i="21" s="1"/>
  <c r="AH450" i="21"/>
  <c r="AJ450" i="21" s="1"/>
  <c r="AC361" i="21"/>
  <c r="AD361" i="21" s="1"/>
  <c r="AE361" i="21" s="1"/>
  <c r="AH361" i="21"/>
  <c r="AJ361" i="21" s="1"/>
  <c r="AD498" i="21"/>
  <c r="AE498" i="21" s="1"/>
  <c r="AH377" i="21"/>
  <c r="AJ377" i="21" s="1"/>
  <c r="AC377" i="21"/>
  <c r="AH368" i="21"/>
  <c r="AJ368" i="21" s="1"/>
  <c r="AC368" i="21"/>
  <c r="AC258" i="21"/>
  <c r="AD258" i="21" s="1"/>
  <c r="AE258" i="21" s="1"/>
  <c r="AD225" i="21"/>
  <c r="AE225" i="21" s="1"/>
  <c r="AF225" i="21" s="1"/>
  <c r="AH230" i="21"/>
  <c r="AJ230" i="21" s="1"/>
  <c r="AC330" i="21"/>
  <c r="AD330" i="21" s="1"/>
  <c r="AE330" i="21" s="1"/>
  <c r="AF330" i="21" s="1"/>
  <c r="AG330" i="21" s="1"/>
  <c r="AH259" i="21"/>
  <c r="AJ259" i="21" s="1"/>
  <c r="AC334" i="21"/>
  <c r="AD334" i="21" s="1"/>
  <c r="AE334" i="21" s="1"/>
  <c r="AF334" i="21" s="1"/>
  <c r="AG334" i="21" s="1"/>
  <c r="AG488" i="21"/>
  <c r="AH488" i="21" s="1"/>
  <c r="AJ488" i="21" s="1"/>
  <c r="AG373" i="21"/>
  <c r="AE478" i="21"/>
  <c r="AF478" i="21" s="1"/>
  <c r="AH224" i="21"/>
  <c r="AJ224" i="21" s="1"/>
  <c r="AD235" i="21"/>
  <c r="AD424" i="21"/>
  <c r="AE424" i="21" s="1"/>
  <c r="AC242" i="21"/>
  <c r="AD242" i="21" s="1"/>
  <c r="AE242" i="21" s="1"/>
  <c r="AB28" i="21"/>
  <c r="AC28" i="21" s="1"/>
  <c r="AD156" i="21"/>
  <c r="AE156" i="21" s="1"/>
  <c r="AD393" i="21"/>
  <c r="AE393" i="21" s="1"/>
  <c r="AF393" i="21" s="1"/>
  <c r="AC346" i="21"/>
  <c r="AD346" i="21" s="1"/>
  <c r="AE346" i="21" s="1"/>
  <c r="AD222" i="21"/>
  <c r="AE222" i="21" s="1"/>
  <c r="AF222" i="21" s="1"/>
  <c r="AC322" i="21"/>
  <c r="AD322" i="21" s="1"/>
  <c r="AH221" i="21"/>
  <c r="AJ221" i="21" s="1"/>
  <c r="AH241" i="21"/>
  <c r="AJ241" i="21" s="1"/>
  <c r="AC229" i="21"/>
  <c r="AD229" i="21" s="1"/>
  <c r="AC246" i="21"/>
  <c r="AD246" i="21" s="1"/>
  <c r="AC237" i="21"/>
  <c r="AD237" i="21" s="1"/>
  <c r="AE237" i="21" s="1"/>
  <c r="AD241" i="21"/>
  <c r="AE241" i="21" s="1"/>
  <c r="AD417" i="21"/>
  <c r="AE417" i="21" s="1"/>
  <c r="AF417" i="21" s="1"/>
  <c r="AC349" i="21"/>
  <c r="AD349" i="21" s="1"/>
  <c r="AE349" i="21" s="1"/>
  <c r="AC375" i="21"/>
  <c r="AD375" i="21" s="1"/>
  <c r="AC273" i="21"/>
  <c r="AD273" i="21" s="1"/>
  <c r="AE273" i="21" s="1"/>
  <c r="AD234" i="21"/>
  <c r="AE234" i="21" s="1"/>
  <c r="AD163" i="21"/>
  <c r="AE163" i="21" s="1"/>
  <c r="AD504" i="21"/>
  <c r="AE504" i="21" s="1"/>
  <c r="AH243" i="21"/>
  <c r="AJ243" i="21" s="1"/>
  <c r="AC243" i="21"/>
  <c r="AH459" i="21"/>
  <c r="AJ459" i="21" s="1"/>
  <c r="AC459" i="21"/>
  <c r="AH305" i="21"/>
  <c r="AJ305" i="21" s="1"/>
  <c r="AE474" i="21"/>
  <c r="AF474" i="21" s="1"/>
  <c r="AG474" i="21" s="1"/>
  <c r="AH474" i="21" s="1"/>
  <c r="AJ474" i="21" s="1"/>
  <c r="AE502" i="21"/>
  <c r="AF502" i="21" s="1"/>
  <c r="AG502" i="21" s="1"/>
  <c r="AH502" i="21" s="1"/>
  <c r="AJ502" i="21" s="1"/>
  <c r="AE429" i="21"/>
  <c r="AF429" i="21" s="1"/>
  <c r="AC341" i="21"/>
  <c r="AD341" i="21" s="1"/>
  <c r="AE341" i="21" s="1"/>
  <c r="AF341" i="21" s="1"/>
  <c r="AG341" i="21" s="1"/>
  <c r="AC290" i="21"/>
  <c r="AD290" i="21" s="1"/>
  <c r="AD228" i="21"/>
  <c r="AE228" i="21" s="1"/>
  <c r="AF228" i="21" s="1"/>
  <c r="AG228" i="21" s="1"/>
  <c r="AH228" i="21" s="1"/>
  <c r="AJ228" i="21" s="1"/>
  <c r="AC144" i="21"/>
  <c r="AD144" i="21" s="1"/>
  <c r="AE144" i="21" s="1"/>
  <c r="U8" i="23"/>
  <c r="R9" i="23"/>
  <c r="R10" i="23" s="1"/>
  <c r="R11" i="23" s="1"/>
  <c r="R12" i="23" s="1"/>
  <c r="R13" i="23" s="1"/>
  <c r="AH271" i="21"/>
  <c r="AJ271" i="21" s="1"/>
  <c r="AC271" i="21"/>
  <c r="AD271" i="21" s="1"/>
  <c r="AE271" i="21" s="1"/>
  <c r="AC492" i="21"/>
  <c r="AD492" i="21" s="1"/>
  <c r="AF220" i="21"/>
  <c r="AG220" i="21" s="1"/>
  <c r="AH220" i="21" s="1"/>
  <c r="AJ220" i="21" s="1"/>
  <c r="AE300" i="21"/>
  <c r="AF300" i="21" s="1"/>
  <c r="AG300" i="21" s="1"/>
  <c r="AC415" i="21"/>
  <c r="AD415" i="21" s="1"/>
  <c r="AE415" i="21" s="1"/>
  <c r="AF415" i="21" s="1"/>
  <c r="AH421" i="21"/>
  <c r="AJ421" i="21" s="1"/>
  <c r="AC421" i="21"/>
  <c r="AD421" i="21" s="1"/>
  <c r="AF395" i="21"/>
  <c r="AG395" i="21" s="1"/>
  <c r="AH395" i="21" s="1"/>
  <c r="AJ395" i="21" s="1"/>
  <c r="AF424" i="21"/>
  <c r="AG424" i="21" s="1"/>
  <c r="AH424" i="21" s="1"/>
  <c r="AJ424" i="21" s="1"/>
  <c r="AF285" i="21"/>
  <c r="AG285" i="21" s="1"/>
  <c r="AD326" i="21"/>
  <c r="AE326" i="21" s="1"/>
  <c r="AF326" i="21" s="1"/>
  <c r="AD386" i="21"/>
  <c r="AE386" i="21" s="1"/>
  <c r="AH336" i="21"/>
  <c r="AJ336" i="21" s="1"/>
  <c r="AC336" i="21"/>
  <c r="AD336" i="21" s="1"/>
  <c r="AE336" i="21" s="1"/>
  <c r="AF336" i="21" s="1"/>
  <c r="AG336" i="21" s="1"/>
  <c r="AD370" i="21"/>
  <c r="AE370" i="21" s="1"/>
  <c r="AF370" i="21" s="1"/>
  <c r="AC439" i="21"/>
  <c r="AD439" i="21" s="1"/>
  <c r="AE439" i="21" s="1"/>
  <c r="AC427" i="21"/>
  <c r="AD337" i="21"/>
  <c r="AE337" i="21" s="1"/>
  <c r="AF337" i="21" s="1"/>
  <c r="AG337" i="21" s="1"/>
  <c r="AH324" i="21"/>
  <c r="AJ324" i="21" s="1"/>
  <c r="AC324" i="21"/>
  <c r="AD324" i="21" s="1"/>
  <c r="AH445" i="21"/>
  <c r="AJ445" i="21" s="1"/>
  <c r="AC445" i="21"/>
  <c r="AD445" i="21" s="1"/>
  <c r="AE445" i="21" s="1"/>
  <c r="AF230" i="21"/>
  <c r="AG230" i="21" s="1"/>
  <c r="AD297" i="21"/>
  <c r="AE297" i="21" s="1"/>
  <c r="AH304" i="21"/>
  <c r="AJ304" i="21" s="1"/>
  <c r="AC304" i="21"/>
  <c r="AD304" i="21" s="1"/>
  <c r="AE224" i="21"/>
  <c r="AF224" i="21" s="1"/>
  <c r="AG224" i="21" s="1"/>
  <c r="AC219" i="21"/>
  <c r="AD219" i="21" s="1"/>
  <c r="AH219" i="21"/>
  <c r="AJ219" i="21" s="1"/>
  <c r="AC466" i="21"/>
  <c r="AH466" i="21"/>
  <c r="AJ466" i="21" s="1"/>
  <c r="AD413" i="21"/>
  <c r="AE413" i="21" s="1"/>
  <c r="AC384" i="21"/>
  <c r="AD384" i="21" s="1"/>
  <c r="AH384" i="21"/>
  <c r="AJ384" i="21" s="1"/>
  <c r="AD358" i="21"/>
  <c r="AE358" i="21" s="1"/>
  <c r="AH343" i="21"/>
  <c r="AJ343" i="21" s="1"/>
  <c r="AC343" i="21"/>
  <c r="AD343" i="21" s="1"/>
  <c r="AC318" i="21"/>
  <c r="AH318" i="21"/>
  <c r="AJ318" i="21" s="1"/>
  <c r="AC388" i="21"/>
  <c r="AD388" i="21" s="1"/>
  <c r="AE388" i="21" s="1"/>
  <c r="AD357" i="21"/>
  <c r="AE357" i="21" s="1"/>
  <c r="AH291" i="21"/>
  <c r="AJ291" i="21" s="1"/>
  <c r="AC291" i="21"/>
  <c r="AH279" i="21"/>
  <c r="AJ279" i="21" s="1"/>
  <c r="AC279" i="21"/>
  <c r="AF356" i="21"/>
  <c r="AG356" i="21" s="1"/>
  <c r="AH278" i="21"/>
  <c r="AJ278" i="21" s="1"/>
  <c r="AC278" i="21"/>
  <c r="AD278" i="21" s="1"/>
  <c r="AE278" i="21" s="1"/>
  <c r="AF278" i="21" s="1"/>
  <c r="AG278" i="21" s="1"/>
  <c r="AD317" i="21"/>
  <c r="AE317" i="21" s="1"/>
  <c r="AD301" i="21"/>
  <c r="AE301" i="21" s="1"/>
  <c r="AG501" i="21"/>
  <c r="AH501" i="21" s="1"/>
  <c r="AJ501" i="21" s="1"/>
  <c r="AF231" i="21"/>
  <c r="AG231" i="21" s="1"/>
  <c r="AH231" i="21" s="1"/>
  <c r="AJ231" i="21" s="1"/>
  <c r="AD463" i="21"/>
  <c r="AE463" i="21" s="1"/>
  <c r="AD392" i="21"/>
  <c r="AE392" i="21" s="1"/>
  <c r="AD479" i="21"/>
  <c r="AE479" i="21" s="1"/>
  <c r="AD315" i="21"/>
  <c r="AE315" i="21" s="1"/>
  <c r="AF315" i="21" s="1"/>
  <c r="AD473" i="21"/>
  <c r="AE473" i="21" s="1"/>
  <c r="AH344" i="21"/>
  <c r="AJ344" i="21" s="1"/>
  <c r="AC344" i="21"/>
  <c r="AD344" i="21" s="1"/>
  <c r="AH280" i="21"/>
  <c r="AJ280" i="21" s="1"/>
  <c r="AC280" i="21"/>
  <c r="AD400" i="21"/>
  <c r="AE400" i="21" s="1"/>
  <c r="AH331" i="21"/>
  <c r="AJ331" i="21" s="1"/>
  <c r="AC331" i="21"/>
  <c r="AF269" i="21"/>
  <c r="AG269" i="21" s="1"/>
  <c r="AD434" i="21"/>
  <c r="AE434" i="21" s="1"/>
  <c r="AC426" i="21"/>
  <c r="AD426" i="21" s="1"/>
  <c r="AH288" i="21"/>
  <c r="AJ288" i="21" s="1"/>
  <c r="AC288" i="21"/>
  <c r="AC460" i="21"/>
  <c r="AH460" i="21"/>
  <c r="AJ460" i="21" s="1"/>
  <c r="AC470" i="21"/>
  <c r="AH470" i="21"/>
  <c r="AJ470" i="21" s="1"/>
  <c r="AC383" i="21"/>
  <c r="AD383" i="21" s="1"/>
  <c r="AE383" i="21" s="1"/>
  <c r="AD447" i="21"/>
  <c r="AE447" i="21" s="1"/>
  <c r="AH453" i="21"/>
  <c r="AJ453" i="21" s="1"/>
  <c r="AC453" i="21"/>
  <c r="AD453" i="21" s="1"/>
  <c r="AD500" i="21"/>
  <c r="AE500" i="21" s="1"/>
  <c r="AD423" i="21"/>
  <c r="AE423" i="21" s="1"/>
  <c r="AF423" i="21" s="1"/>
  <c r="AG423" i="21" s="1"/>
  <c r="AH359" i="21"/>
  <c r="AJ359" i="21" s="1"/>
  <c r="AC359" i="21"/>
  <c r="AD359" i="21" s="1"/>
  <c r="AH276" i="21"/>
  <c r="AJ276" i="21" s="1"/>
  <c r="AC276" i="21"/>
  <c r="AD329" i="21"/>
  <c r="AE329" i="21" s="1"/>
  <c r="AF329" i="21" s="1"/>
  <c r="AG329" i="21" s="1"/>
  <c r="AC365" i="21"/>
  <c r="AD365" i="21" s="1"/>
  <c r="AE365" i="21" s="1"/>
  <c r="AH365" i="21"/>
  <c r="AJ365" i="21" s="1"/>
  <c r="AH263" i="21"/>
  <c r="AJ263" i="21" s="1"/>
  <c r="AC263" i="21"/>
  <c r="AD432" i="21"/>
  <c r="AE432" i="21" s="1"/>
  <c r="AH262" i="21"/>
  <c r="AJ262" i="21" s="1"/>
  <c r="AC262" i="21"/>
  <c r="AD262" i="21" s="1"/>
  <c r="AE262" i="21" s="1"/>
  <c r="AE238" i="21"/>
  <c r="AF238" i="21" s="1"/>
  <c r="AG238" i="21" s="1"/>
  <c r="AD311" i="21"/>
  <c r="AE311" i="21" s="1"/>
  <c r="AF311" i="21" s="1"/>
  <c r="AD355" i="21"/>
  <c r="AE355" i="21" s="1"/>
  <c r="AD282" i="21"/>
  <c r="AE282" i="21" s="1"/>
  <c r="AC468" i="21"/>
  <c r="AC382" i="21"/>
  <c r="AD382" i="21" s="1"/>
  <c r="AE382" i="21" s="1"/>
  <c r="AH397" i="21"/>
  <c r="AJ397" i="21" s="1"/>
  <c r="AC397" i="21"/>
  <c r="AD397" i="21" s="1"/>
  <c r="AE397" i="21" s="1"/>
  <c r="AF397" i="21" s="1"/>
  <c r="AG397" i="21" s="1"/>
  <c r="AC472" i="21"/>
  <c r="AD253" i="21"/>
  <c r="AE253" i="21" s="1"/>
  <c r="AD487" i="21"/>
  <c r="AE487" i="21" s="1"/>
  <c r="AF487" i="21" s="1"/>
  <c r="AG487" i="21" s="1"/>
  <c r="AH327" i="21"/>
  <c r="AJ327" i="21" s="1"/>
  <c r="AC327" i="21"/>
  <c r="AD345" i="21"/>
  <c r="AE345" i="21" s="1"/>
  <c r="AF345" i="21" s="1"/>
  <c r="AG345" i="21" s="1"/>
  <c r="AD444" i="21"/>
  <c r="AE444" i="21" s="1"/>
  <c r="AD367" i="21"/>
  <c r="AE367" i="21" s="1"/>
  <c r="AH266" i="21"/>
  <c r="AJ266" i="21" s="1"/>
  <c r="AC266" i="21"/>
  <c r="AD266" i="21" s="1"/>
  <c r="AE431" i="21"/>
  <c r="AF431" i="21" s="1"/>
  <c r="AG431" i="21" s="1"/>
  <c r="AH431" i="21" s="1"/>
  <c r="AJ431" i="21" s="1"/>
  <c r="AD305" i="21"/>
  <c r="AE305" i="21" s="1"/>
  <c r="AC418" i="21"/>
  <c r="AD418" i="21" s="1"/>
  <c r="AD338" i="21"/>
  <c r="AE338" i="21" s="1"/>
  <c r="AF338" i="21" s="1"/>
  <c r="AG338" i="21" s="1"/>
  <c r="AC449" i="21"/>
  <c r="AD449" i="21" s="1"/>
  <c r="AC455" i="21"/>
  <c r="AD455" i="21" s="1"/>
  <c r="AE455" i="21" s="1"/>
  <c r="AH455" i="21"/>
  <c r="AJ455" i="21" s="1"/>
  <c r="AH332" i="21"/>
  <c r="AJ332" i="21" s="1"/>
  <c r="AC332" i="21"/>
  <c r="AD332" i="21" s="1"/>
  <c r="AC484" i="21"/>
  <c r="AC499" i="21"/>
  <c r="AD499" i="21" s="1"/>
  <c r="AH499" i="21"/>
  <c r="AJ499" i="21" s="1"/>
  <c r="AH260" i="21"/>
  <c r="AJ260" i="21" s="1"/>
  <c r="AC260" i="21"/>
  <c r="AD260" i="21" s="1"/>
  <c r="AC469" i="21"/>
  <c r="AD469" i="21" s="1"/>
  <c r="AF270" i="21"/>
  <c r="AG270" i="21" s="1"/>
  <c r="AD319" i="21"/>
  <c r="AH371" i="21"/>
  <c r="AJ371" i="21" s="1"/>
  <c r="AC371" i="21"/>
  <c r="AC464" i="21"/>
  <c r="AD464" i="21" s="1"/>
  <c r="AD309" i="21"/>
  <c r="AE309" i="21" s="1"/>
  <c r="AG482" i="21"/>
  <c r="AH482" i="21" s="1"/>
  <c r="AJ482" i="21" s="1"/>
  <c r="AF245" i="21"/>
  <c r="AG245" i="21" s="1"/>
  <c r="AD321" i="21"/>
  <c r="AE321" i="21" s="1"/>
  <c r="AF441" i="21"/>
  <c r="AG441" i="21" s="1"/>
  <c r="AH441" i="21" s="1"/>
  <c r="AJ441" i="21" s="1"/>
  <c r="AD497" i="21"/>
  <c r="AE497" i="21" s="1"/>
  <c r="AD374" i="21"/>
  <c r="AE374" i="21" s="1"/>
  <c r="AD481" i="21"/>
  <c r="AE481" i="21" s="1"/>
  <c r="AF481" i="21" s="1"/>
  <c r="AF218" i="21"/>
  <c r="AG218" i="21" s="1"/>
  <c r="AH218" i="21" s="1"/>
  <c r="AJ218" i="21" s="1"/>
  <c r="AF389" i="21"/>
  <c r="AG389" i="21" s="1"/>
  <c r="AH389" i="21" s="1"/>
  <c r="AJ389" i="21" s="1"/>
  <c r="AG494" i="21"/>
  <c r="AH494" i="21" s="1"/>
  <c r="AJ494" i="21" s="1"/>
  <c r="AD299" i="21"/>
  <c r="AE299" i="21" s="1"/>
  <c r="AF299" i="21" s="1"/>
  <c r="AF378" i="21"/>
  <c r="AG378" i="21" s="1"/>
  <c r="AD505" i="21"/>
  <c r="AE505" i="21" s="1"/>
  <c r="AH328" i="21"/>
  <c r="AJ328" i="21" s="1"/>
  <c r="AC328" i="21"/>
  <c r="AD328" i="21" s="1"/>
  <c r="AC458" i="21"/>
  <c r="AD458" i="21" s="1"/>
  <c r="AE458" i="21" s="1"/>
  <c r="AC496" i="21"/>
  <c r="AH435" i="21"/>
  <c r="AJ435" i="21" s="1"/>
  <c r="AC435" i="21"/>
  <c r="AD435" i="21" s="1"/>
  <c r="AH339" i="21"/>
  <c r="AJ339" i="21" s="1"/>
  <c r="AC339" i="21"/>
  <c r="AD342" i="21"/>
  <c r="AE342" i="21" s="1"/>
  <c r="AF342" i="21" s="1"/>
  <c r="AG342" i="21" s="1"/>
  <c r="AC380" i="21"/>
  <c r="AD380" i="21" s="1"/>
  <c r="AH380" i="21"/>
  <c r="AJ380" i="21" s="1"/>
  <c r="AC391" i="21"/>
  <c r="AH391" i="21"/>
  <c r="AJ391" i="21" s="1"/>
  <c r="AH275" i="21"/>
  <c r="AJ275" i="21" s="1"/>
  <c r="AC275" i="21"/>
  <c r="AD259" i="21"/>
  <c r="AE259" i="21" s="1"/>
  <c r="AD239" i="21"/>
  <c r="AE239" i="21" s="1"/>
  <c r="AH247" i="21"/>
  <c r="AJ247" i="21" s="1"/>
  <c r="AC247" i="21"/>
  <c r="AD247" i="21" s="1"/>
  <c r="AE247" i="21" s="1"/>
  <c r="AD376" i="21"/>
  <c r="AE376" i="21" s="1"/>
  <c r="AD353" i="21"/>
  <c r="AE353" i="21" s="1"/>
  <c r="AF353" i="21" s="1"/>
  <c r="AD265" i="21"/>
  <c r="AE265" i="21" s="1"/>
  <c r="AF261" i="21"/>
  <c r="AG261" i="21" s="1"/>
  <c r="AD221" i="21"/>
  <c r="AE221" i="21" s="1"/>
  <c r="AD333" i="21"/>
  <c r="AE333" i="21" s="1"/>
  <c r="AF333" i="21" s="1"/>
  <c r="AG333" i="21" s="1"/>
  <c r="AD255" i="21"/>
  <c r="AE255" i="21" s="1"/>
  <c r="AF448" i="21"/>
  <c r="AG448" i="21" s="1"/>
  <c r="AH340" i="21"/>
  <c r="AJ340" i="21" s="1"/>
  <c r="AC340" i="21"/>
  <c r="AD340" i="21" s="1"/>
  <c r="AD281" i="21"/>
  <c r="AE281" i="21" s="1"/>
  <c r="AD286" i="21"/>
  <c r="AE286" i="21" s="1"/>
  <c r="AG491" i="21"/>
  <c r="AH491" i="21" s="1"/>
  <c r="AJ491" i="21" s="1"/>
  <c r="AH335" i="21"/>
  <c r="AJ335" i="21" s="1"/>
  <c r="AC335" i="21"/>
  <c r="AD495" i="21"/>
  <c r="AE495" i="21" s="1"/>
  <c r="AD465" i="21"/>
  <c r="AE465" i="21" s="1"/>
  <c r="AH437" i="21"/>
  <c r="AJ437" i="21" s="1"/>
  <c r="AC437" i="21"/>
  <c r="AD437" i="21" s="1"/>
  <c r="AH462" i="21"/>
  <c r="AJ462" i="21" s="1"/>
  <c r="AC462" i="21"/>
  <c r="AF452" i="21"/>
  <c r="AG452" i="21" s="1"/>
  <c r="AH452" i="21" s="1"/>
  <c r="AJ452" i="21" s="1"/>
  <c r="AD249" i="21"/>
  <c r="AE249" i="21" s="1"/>
  <c r="AD428" i="21"/>
  <c r="AE428" i="21" s="1"/>
  <c r="AF416" i="21"/>
  <c r="AG416" i="21" s="1"/>
  <c r="AH416" i="21" s="1"/>
  <c r="AJ416" i="21" s="1"/>
  <c r="AE316" i="21"/>
  <c r="AF316" i="21" s="1"/>
  <c r="AG316" i="21" s="1"/>
  <c r="AG292" i="21"/>
  <c r="AD80" i="21"/>
  <c r="AE80" i="21" s="1"/>
  <c r="AF80" i="21" s="1"/>
  <c r="AG80" i="21" s="1"/>
  <c r="AG172" i="21"/>
  <c r="AD73" i="21"/>
  <c r="AE73" i="21" s="1"/>
  <c r="AF73" i="21" s="1"/>
  <c r="AD72" i="21"/>
  <c r="AE72" i="21" s="1"/>
  <c r="W8" i="23"/>
  <c r="P9" i="23" s="1"/>
  <c r="Q9" i="23" s="1"/>
  <c r="R27" i="24"/>
  <c r="AD69" i="21"/>
  <c r="AD204" i="21"/>
  <c r="AE204" i="21" s="1"/>
  <c r="AE164" i="21"/>
  <c r="AF164" i="21" s="1"/>
  <c r="AB108" i="21"/>
  <c r="AB160" i="21"/>
  <c r="AB100" i="21"/>
  <c r="AB101" i="21"/>
  <c r="AB168" i="21"/>
  <c r="AB117" i="21"/>
  <c r="AB114" i="21"/>
  <c r="AB96" i="21"/>
  <c r="AB87" i="21"/>
  <c r="AB39" i="21"/>
  <c r="AE181" i="21"/>
  <c r="AF181" i="21" s="1"/>
  <c r="AG181" i="21" s="1"/>
  <c r="AB162" i="21"/>
  <c r="AB95" i="21"/>
  <c r="AB14" i="21"/>
  <c r="AB170" i="21"/>
  <c r="AB116" i="21"/>
  <c r="AB93" i="21"/>
  <c r="AB65" i="21"/>
  <c r="AB64" i="21"/>
  <c r="AD37" i="21"/>
  <c r="AE37" i="21" s="1"/>
  <c r="AB66" i="21"/>
  <c r="AB102" i="21"/>
  <c r="AB44" i="21"/>
  <c r="AD89" i="21"/>
  <c r="AC77" i="21"/>
  <c r="AC49" i="21"/>
  <c r="AD49" i="21" s="1"/>
  <c r="AD15" i="21"/>
  <c r="AE15" i="21" s="1"/>
  <c r="AD191" i="21"/>
  <c r="AE191" i="21" s="1"/>
  <c r="AC178" i="21"/>
  <c r="AD178" i="21" s="1"/>
  <c r="AE178" i="21" s="1"/>
  <c r="AC121" i="21"/>
  <c r="AD121" i="21" s="1"/>
  <c r="AE121" i="21" s="1"/>
  <c r="AC41" i="21"/>
  <c r="AC42" i="21"/>
  <c r="AD42" i="21" s="1"/>
  <c r="AE42" i="21" s="1"/>
  <c r="AD70" i="21"/>
  <c r="AE70" i="21" s="1"/>
  <c r="AF70" i="21" s="1"/>
  <c r="AC167" i="21"/>
  <c r="AD167" i="21" s="1"/>
  <c r="AC149" i="21"/>
  <c r="AC140" i="21"/>
  <c r="AC126" i="21"/>
  <c r="AC40" i="21"/>
  <c r="AC202" i="21"/>
  <c r="AD202" i="21" s="1"/>
  <c r="AE202" i="21" s="1"/>
  <c r="AC61" i="21"/>
  <c r="AD61" i="21" s="1"/>
  <c r="AE61" i="21" s="1"/>
  <c r="AF61" i="21" s="1"/>
  <c r="AE110" i="21"/>
  <c r="AB158" i="21"/>
  <c r="AF106" i="21"/>
  <c r="AG106" i="21" s="1"/>
  <c r="AC183" i="21"/>
  <c r="AB174" i="21"/>
  <c r="AB104" i="21"/>
  <c r="AB92" i="21"/>
  <c r="AB91" i="21"/>
  <c r="AB75" i="21"/>
  <c r="AF55" i="21"/>
  <c r="AG55" i="21" s="1"/>
  <c r="AB113" i="21"/>
  <c r="AB85" i="21"/>
  <c r="AF159" i="21"/>
  <c r="AG159" i="21" s="1"/>
  <c r="AB83" i="21"/>
  <c r="AC131" i="21"/>
  <c r="AC71" i="21"/>
  <c r="AD71" i="21" s="1"/>
  <c r="AE13" i="21"/>
  <c r="AF13" i="21" s="1"/>
  <c r="AC155" i="21"/>
  <c r="AD155" i="21" s="1"/>
  <c r="AE155" i="21" s="1"/>
  <c r="AF155" i="21" s="1"/>
  <c r="AC195" i="21"/>
  <c r="AD195" i="21" s="1"/>
  <c r="AE195" i="21" s="1"/>
  <c r="AC135" i="21"/>
  <c r="AC128" i="21"/>
  <c r="AC196" i="21"/>
  <c r="AD196" i="21" s="1"/>
  <c r="AC157" i="21"/>
  <c r="AD157" i="21" s="1"/>
  <c r="AE157" i="21" s="1"/>
  <c r="AC194" i="21"/>
  <c r="AD194" i="21" s="1"/>
  <c r="AE194" i="21" s="1"/>
  <c r="AC57" i="21"/>
  <c r="AC138" i="21"/>
  <c r="AD138" i="21" s="1"/>
  <c r="AE138" i="21" s="1"/>
  <c r="AC150" i="21"/>
  <c r="AD150" i="21" s="1"/>
  <c r="AE150" i="21" s="1"/>
  <c r="AC86" i="21"/>
  <c r="AD86" i="21" s="1"/>
  <c r="AE86" i="21" s="1"/>
  <c r="AC97" i="21"/>
  <c r="AD97" i="21" s="1"/>
  <c r="AE97" i="21" s="1"/>
  <c r="AB25" i="21"/>
  <c r="AB103" i="21"/>
  <c r="AB99" i="21"/>
  <c r="AB90" i="21"/>
  <c r="AE111" i="21"/>
  <c r="AB98" i="21"/>
  <c r="AB94" i="21"/>
  <c r="AB115" i="21"/>
  <c r="AB154" i="21"/>
  <c r="AB112" i="21"/>
  <c r="AE74" i="21"/>
  <c r="AC27" i="21"/>
  <c r="AD27" i="21" s="1"/>
  <c r="AE27" i="21" s="1"/>
  <c r="AC143" i="21"/>
  <c r="AD143" i="21" s="1"/>
  <c r="AC187" i="21"/>
  <c r="AD187" i="21" s="1"/>
  <c r="AE187" i="21" s="1"/>
  <c r="AC161" i="21"/>
  <c r="AD161" i="21" s="1"/>
  <c r="AE161" i="21" s="1"/>
  <c r="AC142" i="21"/>
  <c r="AD142" i="21" s="1"/>
  <c r="AC30" i="21"/>
  <c r="AC190" i="21"/>
  <c r="AD190" i="21" s="1"/>
  <c r="AE190" i="21" s="1"/>
  <c r="AC63" i="21"/>
  <c r="AC81" i="21"/>
  <c r="AD81" i="21" s="1"/>
  <c r="AE81" i="21" s="1"/>
  <c r="AC215" i="21"/>
  <c r="AC184" i="21"/>
  <c r="AC147" i="21"/>
  <c r="AC136" i="21"/>
  <c r="AC129" i="21"/>
  <c r="AD129" i="21" s="1"/>
  <c r="AC105" i="21"/>
  <c r="AD105" i="21" s="1"/>
  <c r="AE105" i="21" s="1"/>
  <c r="AE50" i="21"/>
  <c r="AF50" i="21" s="1"/>
  <c r="AG50" i="21" s="1"/>
  <c r="AC107" i="21"/>
  <c r="AD175" i="21"/>
  <c r="AE175" i="21" s="1"/>
  <c r="AC62" i="21"/>
  <c r="AD62" i="21" s="1"/>
  <c r="AB179" i="21"/>
  <c r="AC31" i="21"/>
  <c r="AD31" i="21" s="1"/>
  <c r="AE31" i="21" s="1"/>
  <c r="AG213" i="21"/>
  <c r="AC139" i="21"/>
  <c r="AC123" i="21"/>
  <c r="AD123" i="21" s="1"/>
  <c r="AE123" i="21" s="1"/>
  <c r="AD76" i="21"/>
  <c r="AE76" i="21" s="1"/>
  <c r="AC207" i="21"/>
  <c r="AD207" i="21" s="1"/>
  <c r="AE207" i="21" s="1"/>
  <c r="AC134" i="21"/>
  <c r="AD134" i="21" s="1"/>
  <c r="AE134" i="21" s="1"/>
  <c r="AC177" i="21"/>
  <c r="AD177" i="21" s="1"/>
  <c r="AE177" i="21" s="1"/>
  <c r="AE171" i="21"/>
  <c r="AD79" i="21"/>
  <c r="AC185" i="21"/>
  <c r="AD185" i="21" s="1"/>
  <c r="AE185" i="21" s="1"/>
  <c r="AD32" i="21"/>
  <c r="AE32" i="21" s="1"/>
  <c r="AF32" i="21" s="1"/>
  <c r="AD137" i="21"/>
  <c r="AE137" i="21" s="1"/>
  <c r="AD203" i="21"/>
  <c r="AE203" i="21" s="1"/>
  <c r="AF203" i="21" s="1"/>
  <c r="AD56" i="21"/>
  <c r="AE56" i="21" s="1"/>
  <c r="AL403" i="21"/>
  <c r="AF480" i="21" l="1"/>
  <c r="AG480" i="21" s="1"/>
  <c r="AH480" i="21" s="1"/>
  <c r="AJ480" i="21" s="1"/>
  <c r="AE390" i="21"/>
  <c r="AF390" i="21" s="1"/>
  <c r="AG390" i="21" s="1"/>
  <c r="AE312" i="21"/>
  <c r="AF312" i="21" s="1"/>
  <c r="AG312" i="21" s="1"/>
  <c r="H273" i="23"/>
  <c r="J272" i="23"/>
  <c r="O272" i="23"/>
  <c r="R272" i="23"/>
  <c r="N74" i="23"/>
  <c r="R74" i="23" s="1"/>
  <c r="AH406" i="22"/>
  <c r="AI406" i="22" s="1"/>
  <c r="U1022" i="23"/>
  <c r="R1023" i="23"/>
  <c r="U1023" i="23" s="1"/>
  <c r="H1024" i="23"/>
  <c r="J1023" i="23"/>
  <c r="O1023" i="23"/>
  <c r="J1417" i="23"/>
  <c r="O1417" i="23"/>
  <c r="R1417" i="23"/>
  <c r="U1417" i="23" s="1"/>
  <c r="AH416" i="22" s="1"/>
  <c r="AI416" i="22" s="1"/>
  <c r="AF163" i="21"/>
  <c r="AF366" i="21"/>
  <c r="AG366" i="21" s="1"/>
  <c r="AF267" i="21"/>
  <c r="AG267" i="21" s="1"/>
  <c r="AG401" i="21"/>
  <c r="AH401" i="21" s="1"/>
  <c r="AJ401" i="21" s="1"/>
  <c r="AE323" i="21"/>
  <c r="AF323" i="21" s="1"/>
  <c r="AF443" i="21"/>
  <c r="AG443" i="21" s="1"/>
  <c r="AH443" i="21" s="1"/>
  <c r="AJ443" i="21" s="1"/>
  <c r="AF277" i="21"/>
  <c r="AG277" i="21" s="1"/>
  <c r="AF350" i="21"/>
  <c r="AG350" i="21" s="1"/>
  <c r="AE252" i="21"/>
  <c r="AF252" i="21" s="1"/>
  <c r="AG252" i="21" s="1"/>
  <c r="AF379" i="21"/>
  <c r="AG379" i="21" s="1"/>
  <c r="AG490" i="21"/>
  <c r="AH490" i="21" s="1"/>
  <c r="AJ490" i="21" s="1"/>
  <c r="AG226" i="21"/>
  <c r="AH226" i="21" s="1"/>
  <c r="AJ226" i="21" s="1"/>
  <c r="AE240" i="21"/>
  <c r="AF240" i="21" s="1"/>
  <c r="AG240" i="21" s="1"/>
  <c r="AD54" i="21"/>
  <c r="AE54" i="21" s="1"/>
  <c r="AE475" i="21"/>
  <c r="AF475" i="21" s="1"/>
  <c r="AF88" i="21"/>
  <c r="AG88" i="21" s="1"/>
  <c r="AE21" i="21"/>
  <c r="AF21" i="21" s="1"/>
  <c r="AG21" i="21" s="1"/>
  <c r="AF295" i="21"/>
  <c r="AG295" i="21" s="1"/>
  <c r="AE236" i="21"/>
  <c r="AF236" i="21" s="1"/>
  <c r="AG236" i="21" s="1"/>
  <c r="AF241" i="21"/>
  <c r="AG241" i="21" s="1"/>
  <c r="AF257" i="21"/>
  <c r="AG257" i="21" s="1"/>
  <c r="AE306" i="21"/>
  <c r="AF306" i="21" s="1"/>
  <c r="AE214" i="21"/>
  <c r="AF214" i="21" s="1"/>
  <c r="AG214" i="21" s="1"/>
  <c r="AF53" i="21"/>
  <c r="AG53" i="21" s="1"/>
  <c r="AF422" i="21"/>
  <c r="AG422" i="21" s="1"/>
  <c r="AH422" i="21" s="1"/>
  <c r="AJ422" i="21" s="1"/>
  <c r="AE503" i="21"/>
  <c r="AF503" i="21" s="1"/>
  <c r="AG503" i="21" s="1"/>
  <c r="AF485" i="21"/>
  <c r="AG485" i="21" s="1"/>
  <c r="AE308" i="21"/>
  <c r="AF308" i="21" s="1"/>
  <c r="AG308" i="21" s="1"/>
  <c r="AE314" i="21"/>
  <c r="AF314" i="21" s="1"/>
  <c r="AG314" i="21" s="1"/>
  <c r="AE477" i="21"/>
  <c r="AF477" i="21" s="1"/>
  <c r="AG477" i="21" s="1"/>
  <c r="AE483" i="21"/>
  <c r="AF483" i="21" s="1"/>
  <c r="AG483" i="21" s="1"/>
  <c r="AE486" i="21"/>
  <c r="AF486" i="21" s="1"/>
  <c r="AG486" i="21" s="1"/>
  <c r="AF169" i="21"/>
  <c r="AG169" i="21" s="1"/>
  <c r="AF254" i="21"/>
  <c r="AG254" i="21" s="1"/>
  <c r="AF399" i="21"/>
  <c r="AG399" i="21" s="1"/>
  <c r="AH399" i="21" s="1"/>
  <c r="AJ399" i="21" s="1"/>
  <c r="AG420" i="21"/>
  <c r="AH420" i="21" s="1"/>
  <c r="AJ420" i="21" s="1"/>
  <c r="AG323" i="21"/>
  <c r="AF200" i="21"/>
  <c r="AG200" i="21" s="1"/>
  <c r="AE78" i="21"/>
  <c r="AE396" i="21"/>
  <c r="AF396" i="21" s="1"/>
  <c r="AG396" i="21" s="1"/>
  <c r="AF206" i="21"/>
  <c r="AG206" i="21" s="1"/>
  <c r="AF199" i="21"/>
  <c r="AG199" i="21" s="1"/>
  <c r="AG438" i="21"/>
  <c r="AH438" i="21" s="1"/>
  <c r="AJ438" i="21" s="1"/>
  <c r="AF362" i="21"/>
  <c r="AG362" i="21" s="1"/>
  <c r="AE294" i="21"/>
  <c r="AF294" i="21" s="1"/>
  <c r="AG294" i="21" s="1"/>
  <c r="AF233" i="21"/>
  <c r="AG233" i="21" s="1"/>
  <c r="AH233" i="21" s="1"/>
  <c r="AJ233" i="21" s="1"/>
  <c r="AE310" i="21"/>
  <c r="AF310" i="21" s="1"/>
  <c r="AD471" i="21"/>
  <c r="AE471" i="21" s="1"/>
  <c r="AF38" i="21"/>
  <c r="AG38" i="21" s="1"/>
  <c r="AE256" i="21"/>
  <c r="AF256" i="21" s="1"/>
  <c r="AG256" i="21" s="1"/>
  <c r="AE450" i="21"/>
  <c r="AF450" i="21" s="1"/>
  <c r="AG450" i="21" s="1"/>
  <c r="AF68" i="21"/>
  <c r="AG68" i="21" s="1"/>
  <c r="AF498" i="21"/>
  <c r="AG498" i="21" s="1"/>
  <c r="AH498" i="21" s="1"/>
  <c r="AJ498" i="21" s="1"/>
  <c r="AG478" i="21"/>
  <c r="AH478" i="21" s="1"/>
  <c r="AJ478" i="21" s="1"/>
  <c r="AE211" i="21"/>
  <c r="AF211" i="21" s="1"/>
  <c r="AG211" i="21" s="1"/>
  <c r="AF403" i="21"/>
  <c r="AG403" i="21" s="1"/>
  <c r="AF404" i="21"/>
  <c r="AG404" i="21" s="1"/>
  <c r="AF210" i="21"/>
  <c r="AG210" i="21" s="1"/>
  <c r="AH210" i="21" s="1"/>
  <c r="AJ210" i="21" s="1"/>
  <c r="AF410" i="21"/>
  <c r="AG410" i="21" s="1"/>
  <c r="AG208" i="21"/>
  <c r="AH208" i="21" s="1"/>
  <c r="AJ208" i="21" s="1"/>
  <c r="AD409" i="21"/>
  <c r="AE409" i="21" s="1"/>
  <c r="AH80" i="21"/>
  <c r="AJ80" i="21" s="1"/>
  <c r="AC102" i="21"/>
  <c r="AD102" i="21" s="1"/>
  <c r="AE102" i="21" s="1"/>
  <c r="AF102" i="21" s="1"/>
  <c r="AG102" i="21" s="1"/>
  <c r="AD170" i="21"/>
  <c r="AE170" i="21" s="1"/>
  <c r="AC96" i="21"/>
  <c r="AD96" i="21" s="1"/>
  <c r="AC108" i="21"/>
  <c r="AD108" i="21" s="1"/>
  <c r="AH159" i="21"/>
  <c r="AJ159" i="21" s="1"/>
  <c r="AH214" i="21"/>
  <c r="AJ214" i="21" s="1"/>
  <c r="AH55" i="21"/>
  <c r="AJ55" i="21" s="1"/>
  <c r="AC66" i="21"/>
  <c r="AC65" i="21"/>
  <c r="AD65" i="21" s="1"/>
  <c r="AE65" i="21" s="1"/>
  <c r="AF65" i="21" s="1"/>
  <c r="AC14" i="21"/>
  <c r="AD14" i="21" s="1"/>
  <c r="AC39" i="21"/>
  <c r="AD39" i="21" s="1"/>
  <c r="AC114" i="21"/>
  <c r="AD114" i="21" s="1"/>
  <c r="AE114" i="21" s="1"/>
  <c r="AH50" i="21"/>
  <c r="AJ50" i="21" s="1"/>
  <c r="AH181" i="21"/>
  <c r="AJ181" i="21" s="1"/>
  <c r="AC93" i="21"/>
  <c r="AD93" i="21" s="1"/>
  <c r="AC117" i="21"/>
  <c r="AD117" i="21" s="1"/>
  <c r="AE117" i="21" s="1"/>
  <c r="AD100" i="21"/>
  <c r="AE100" i="21" s="1"/>
  <c r="AF100" i="21" s="1"/>
  <c r="AH213" i="21"/>
  <c r="AJ213" i="21" s="1"/>
  <c r="AH106" i="21"/>
  <c r="AC116" i="21"/>
  <c r="AD116" i="21" s="1"/>
  <c r="AE116" i="21" s="1"/>
  <c r="AC162" i="21"/>
  <c r="AD162" i="21" s="1"/>
  <c r="AH172" i="21"/>
  <c r="AJ172" i="21" s="1"/>
  <c r="AH29" i="21"/>
  <c r="AJ29" i="21" s="1"/>
  <c r="AD48" i="21"/>
  <c r="AE48" i="21" s="1"/>
  <c r="AF271" i="21"/>
  <c r="AG271" i="21" s="1"/>
  <c r="AE442" i="21"/>
  <c r="AF442" i="21" s="1"/>
  <c r="AG442" i="21" s="1"/>
  <c r="AG225" i="21"/>
  <c r="AH225" i="21" s="1"/>
  <c r="AJ225" i="21" s="1"/>
  <c r="AE272" i="21"/>
  <c r="AF272" i="21" s="1"/>
  <c r="AG272" i="21" s="1"/>
  <c r="AE387" i="21"/>
  <c r="AF387" i="21" s="1"/>
  <c r="AG387" i="21" s="1"/>
  <c r="AF156" i="21"/>
  <c r="AG156" i="21" s="1"/>
  <c r="AE436" i="21"/>
  <c r="AF436" i="21" s="1"/>
  <c r="AG436" i="21" s="1"/>
  <c r="AE296" i="21"/>
  <c r="AF296" i="21" s="1"/>
  <c r="AG296" i="21" s="1"/>
  <c r="AE369" i="21"/>
  <c r="AF369" i="21" s="1"/>
  <c r="AE268" i="21"/>
  <c r="AF268" i="21" s="1"/>
  <c r="AG268" i="21" s="1"/>
  <c r="AE493" i="21"/>
  <c r="AF493" i="21" s="1"/>
  <c r="AG493" i="21" s="1"/>
  <c r="AH493" i="21" s="1"/>
  <c r="AJ493" i="21" s="1"/>
  <c r="AE289" i="21"/>
  <c r="AF289" i="21" s="1"/>
  <c r="AG289" i="21" s="1"/>
  <c r="AF489" i="21"/>
  <c r="AG489" i="21" s="1"/>
  <c r="AH489" i="21" s="1"/>
  <c r="AJ489" i="21" s="1"/>
  <c r="AD368" i="21"/>
  <c r="AE368" i="21" s="1"/>
  <c r="AF368" i="21" s="1"/>
  <c r="AG368" i="21" s="1"/>
  <c r="AE320" i="21"/>
  <c r="AF320" i="21" s="1"/>
  <c r="AG320" i="21" s="1"/>
  <c r="AD377" i="21"/>
  <c r="AE377" i="21" s="1"/>
  <c r="AD467" i="21"/>
  <c r="AE467" i="21" s="1"/>
  <c r="AE290" i="21"/>
  <c r="AF290" i="21" s="1"/>
  <c r="AG290" i="21" s="1"/>
  <c r="AE235" i="21"/>
  <c r="AF235" i="21" s="1"/>
  <c r="AE229" i="21"/>
  <c r="AF229" i="21" s="1"/>
  <c r="AG229" i="21" s="1"/>
  <c r="AE375" i="21"/>
  <c r="AF375" i="21" s="1"/>
  <c r="AG375" i="21" s="1"/>
  <c r="AF237" i="21"/>
  <c r="AG237" i="21" s="1"/>
  <c r="AF234" i="21"/>
  <c r="AG234" i="21" s="1"/>
  <c r="AH234" i="21" s="1"/>
  <c r="AJ234" i="21" s="1"/>
  <c r="AE246" i="21"/>
  <c r="AF246" i="21" s="1"/>
  <c r="AE322" i="21"/>
  <c r="AF322" i="21" s="1"/>
  <c r="AG322" i="21" s="1"/>
  <c r="AG310" i="21"/>
  <c r="AG429" i="21"/>
  <c r="AH429" i="21" s="1"/>
  <c r="AJ429" i="21" s="1"/>
  <c r="AF504" i="21"/>
  <c r="AG504" i="21" s="1"/>
  <c r="AH504" i="21" s="1"/>
  <c r="AJ504" i="21" s="1"/>
  <c r="AD459" i="21"/>
  <c r="AE459" i="21" s="1"/>
  <c r="AF459" i="21" s="1"/>
  <c r="AG459" i="21" s="1"/>
  <c r="AD243" i="21"/>
  <c r="AE243" i="21" s="1"/>
  <c r="AF67" i="21"/>
  <c r="AG67" i="21" s="1"/>
  <c r="AH19" i="21"/>
  <c r="AF144" i="21"/>
  <c r="AG144" i="21" s="1"/>
  <c r="AF198" i="21"/>
  <c r="AG198" i="21" s="1"/>
  <c r="AF201" i="21"/>
  <c r="AG201" i="21" s="1"/>
  <c r="AF72" i="21"/>
  <c r="AG72" i="21" s="1"/>
  <c r="AG192" i="21"/>
  <c r="AF505" i="21"/>
  <c r="AG505" i="21" s="1"/>
  <c r="AF434" i="21"/>
  <c r="AG434" i="21" s="1"/>
  <c r="AH434" i="21" s="1"/>
  <c r="AJ434" i="21" s="1"/>
  <c r="AF400" i="21"/>
  <c r="AG400" i="21" s="1"/>
  <c r="AE492" i="21"/>
  <c r="AF492" i="21" s="1"/>
  <c r="AG492" i="21" s="1"/>
  <c r="AH492" i="21" s="1"/>
  <c r="AJ492" i="21" s="1"/>
  <c r="AF251" i="21"/>
  <c r="AG251" i="21" s="1"/>
  <c r="AE219" i="21"/>
  <c r="AF219" i="21" s="1"/>
  <c r="AG219" i="21" s="1"/>
  <c r="AF444" i="21"/>
  <c r="AG444" i="21" s="1"/>
  <c r="AF413" i="21"/>
  <c r="AG413" i="21" s="1"/>
  <c r="AE421" i="21"/>
  <c r="AF421" i="21" s="1"/>
  <c r="AG421" i="21" s="1"/>
  <c r="AG415" i="21"/>
  <c r="AH415" i="21" s="1"/>
  <c r="AJ415" i="21" s="1"/>
  <c r="AF392" i="21"/>
  <c r="AG392" i="21" s="1"/>
  <c r="AH392" i="21" s="1"/>
  <c r="AJ392" i="21" s="1"/>
  <c r="AG307" i="21"/>
  <c r="AE499" i="21"/>
  <c r="AF499" i="21" s="1"/>
  <c r="AG499" i="21" s="1"/>
  <c r="AF352" i="21"/>
  <c r="AG352" i="21" s="1"/>
  <c r="AF274" i="21"/>
  <c r="AG274" i="21" s="1"/>
  <c r="AE359" i="21"/>
  <c r="AF359" i="21" s="1"/>
  <c r="AG359" i="21" s="1"/>
  <c r="AF283" i="21"/>
  <c r="AG283" i="21" s="1"/>
  <c r="AE343" i="21"/>
  <c r="AF343" i="21" s="1"/>
  <c r="AG343" i="21" s="1"/>
  <c r="AE384" i="21"/>
  <c r="AF384" i="21" s="1"/>
  <c r="AG384" i="21" s="1"/>
  <c r="AF297" i="21"/>
  <c r="AG297" i="21" s="1"/>
  <c r="AF298" i="21"/>
  <c r="AG298" i="21" s="1"/>
  <c r="AE332" i="21"/>
  <c r="AF332" i="21" s="1"/>
  <c r="AG332" i="21" s="1"/>
  <c r="AG311" i="21"/>
  <c r="AF451" i="21"/>
  <c r="AG451" i="21" s="1"/>
  <c r="AF479" i="21"/>
  <c r="AE304" i="21"/>
  <c r="AF304" i="21" s="1"/>
  <c r="AG304" i="21" s="1"/>
  <c r="AF313" i="21"/>
  <c r="AG313" i="21" s="1"/>
  <c r="AE324" i="21"/>
  <c r="AF324" i="21" s="1"/>
  <c r="AG324" i="21" s="1"/>
  <c r="AF286" i="21"/>
  <c r="AG286" i="21" s="1"/>
  <c r="AF355" i="21"/>
  <c r="AG355" i="21" s="1"/>
  <c r="AE344" i="21"/>
  <c r="AF344" i="21" s="1"/>
  <c r="AG344" i="21" s="1"/>
  <c r="AF372" i="21"/>
  <c r="AG372" i="21" s="1"/>
  <c r="AG303" i="21"/>
  <c r="AF301" i="21"/>
  <c r="AG301" i="21" s="1"/>
  <c r="AF357" i="21"/>
  <c r="AG357" i="21" s="1"/>
  <c r="AG347" i="21"/>
  <c r="AG326" i="21"/>
  <c r="AF265" i="21"/>
  <c r="AG265" i="21" s="1"/>
  <c r="AF465" i="21"/>
  <c r="AG465" i="21" s="1"/>
  <c r="AE351" i="21"/>
  <c r="AF351" i="21" s="1"/>
  <c r="AG393" i="21"/>
  <c r="AH393" i="21" s="1"/>
  <c r="AJ393" i="21" s="1"/>
  <c r="AF255" i="21"/>
  <c r="AG255" i="21" s="1"/>
  <c r="AF247" i="21"/>
  <c r="AG247" i="21" s="1"/>
  <c r="AF259" i="21"/>
  <c r="AG259" i="21" s="1"/>
  <c r="AD391" i="21"/>
  <c r="AE391" i="21" s="1"/>
  <c r="AE435" i="21"/>
  <c r="AF435" i="21" s="1"/>
  <c r="AG435" i="21" s="1"/>
  <c r="AE328" i="21"/>
  <c r="AF328" i="21" s="1"/>
  <c r="AG328" i="21" s="1"/>
  <c r="AG299" i="21"/>
  <c r="AF497" i="21"/>
  <c r="AG497" i="21" s="1"/>
  <c r="AE464" i="21"/>
  <c r="AD371" i="21"/>
  <c r="AE371" i="21" s="1"/>
  <c r="AE469" i="21"/>
  <c r="AF469" i="21" s="1"/>
  <c r="AG469" i="21" s="1"/>
  <c r="AH469" i="21" s="1"/>
  <c r="AJ469" i="21" s="1"/>
  <c r="AF495" i="21"/>
  <c r="AG495" i="21" s="1"/>
  <c r="AF455" i="21"/>
  <c r="AG455" i="21" s="1"/>
  <c r="AF305" i="21"/>
  <c r="AG305" i="21" s="1"/>
  <c r="AF262" i="21"/>
  <c r="AG262" i="21" s="1"/>
  <c r="AF432" i="21"/>
  <c r="AG432" i="21" s="1"/>
  <c r="AF242" i="21"/>
  <c r="AG242" i="21" s="1"/>
  <c r="AE453" i="21"/>
  <c r="AF453" i="21" s="1"/>
  <c r="AG453" i="21" s="1"/>
  <c r="AF447" i="21"/>
  <c r="AG447" i="21" s="1"/>
  <c r="AH447" i="21" s="1"/>
  <c r="AJ447" i="21" s="1"/>
  <c r="AF383" i="21"/>
  <c r="AG383" i="21" s="1"/>
  <c r="AH383" i="21" s="1"/>
  <c r="AJ383" i="21" s="1"/>
  <c r="AD280" i="21"/>
  <c r="AE280" i="21" s="1"/>
  <c r="AF280" i="21" s="1"/>
  <c r="AG222" i="21"/>
  <c r="AH222" i="21" s="1"/>
  <c r="AJ222" i="21" s="1"/>
  <c r="AF287" i="21"/>
  <c r="AG287" i="21" s="1"/>
  <c r="AG479" i="21"/>
  <c r="AH479" i="21" s="1"/>
  <c r="AJ479" i="21" s="1"/>
  <c r="AD291" i="21"/>
  <c r="AE291" i="21" s="1"/>
  <c r="AF284" i="21"/>
  <c r="AG284" i="21" s="1"/>
  <c r="AF386" i="21"/>
  <c r="AG386" i="21" s="1"/>
  <c r="AH386" i="21" s="1"/>
  <c r="AJ386" i="21" s="1"/>
  <c r="AE248" i="21"/>
  <c r="AF248" i="21" s="1"/>
  <c r="AE437" i="21"/>
  <c r="AF437" i="21" s="1"/>
  <c r="AG437" i="21" s="1"/>
  <c r="AG433" i="21"/>
  <c r="AH433" i="21" s="1"/>
  <c r="AJ433" i="21" s="1"/>
  <c r="AD335" i="21"/>
  <c r="AF221" i="21"/>
  <c r="AG221" i="21" s="1"/>
  <c r="AF376" i="21"/>
  <c r="AG376" i="21" s="1"/>
  <c r="AD275" i="21"/>
  <c r="AE275" i="21" s="1"/>
  <c r="AE380" i="21"/>
  <c r="AF380" i="21" s="1"/>
  <c r="AG380" i="21" s="1"/>
  <c r="AF458" i="21"/>
  <c r="AG458" i="21" s="1"/>
  <c r="AH458" i="21" s="1"/>
  <c r="AJ458" i="21" s="1"/>
  <c r="AG244" i="21"/>
  <c r="AF428" i="21"/>
  <c r="AG428" i="21" s="1"/>
  <c r="AH428" i="21" s="1"/>
  <c r="AJ428" i="21" s="1"/>
  <c r="AF321" i="21"/>
  <c r="AG321" i="21" s="1"/>
  <c r="AE319" i="21"/>
  <c r="AF319" i="21" s="1"/>
  <c r="AE260" i="21"/>
  <c r="AF260" i="21" s="1"/>
  <c r="AG260" i="21" s="1"/>
  <c r="AF361" i="21"/>
  <c r="AG361" i="21" s="1"/>
  <c r="AF273" i="21"/>
  <c r="AG273" i="21" s="1"/>
  <c r="AE449" i="21"/>
  <c r="AF449" i="21" s="1"/>
  <c r="AG449" i="21" s="1"/>
  <c r="AH449" i="21" s="1"/>
  <c r="AJ449" i="21" s="1"/>
  <c r="AG363" i="21"/>
  <c r="AE418" i="21"/>
  <c r="AF418" i="21" s="1"/>
  <c r="AF367" i="21"/>
  <c r="AG367" i="21" s="1"/>
  <c r="AD327" i="21"/>
  <c r="AE327" i="21" s="1"/>
  <c r="AF327" i="21" s="1"/>
  <c r="AF253" i="21"/>
  <c r="AG253" i="21" s="1"/>
  <c r="AF354" i="21"/>
  <c r="AG354" i="21" s="1"/>
  <c r="AF282" i="21"/>
  <c r="AG282" i="21" s="1"/>
  <c r="AD276" i="21"/>
  <c r="AE276" i="21" s="1"/>
  <c r="AF276" i="21" s="1"/>
  <c r="AF349" i="21"/>
  <c r="AG349" i="21" s="1"/>
  <c r="AF500" i="21"/>
  <c r="AG500" i="21" s="1"/>
  <c r="AH500" i="21" s="1"/>
  <c r="AJ500" i="21" s="1"/>
  <c r="AD460" i="21"/>
  <c r="AE460" i="21" s="1"/>
  <c r="AE426" i="21"/>
  <c r="AF426" i="21" s="1"/>
  <c r="AG426" i="21" s="1"/>
  <c r="AH426" i="21" s="1"/>
  <c r="AJ426" i="21" s="1"/>
  <c r="AF249" i="21"/>
  <c r="AG249" i="21" s="1"/>
  <c r="AG417" i="21"/>
  <c r="AH417" i="21" s="1"/>
  <c r="AJ417" i="21" s="1"/>
  <c r="AF239" i="21"/>
  <c r="AG239" i="21" s="1"/>
  <c r="AF473" i="21"/>
  <c r="AG473" i="21" s="1"/>
  <c r="AF264" i="21"/>
  <c r="AG264" i="21" s="1"/>
  <c r="AF463" i="21"/>
  <c r="AG463" i="21" s="1"/>
  <c r="AH463" i="21" s="1"/>
  <c r="AJ463" i="21" s="1"/>
  <c r="AF317" i="21"/>
  <c r="AG317" i="21" s="1"/>
  <c r="AF388" i="21"/>
  <c r="AG388" i="21" s="1"/>
  <c r="AH388" i="21" s="1"/>
  <c r="AJ388" i="21" s="1"/>
  <c r="AD318" i="21"/>
  <c r="AE318" i="21" s="1"/>
  <c r="AF358" i="21"/>
  <c r="AG358" i="21" s="1"/>
  <c r="AF445" i="21"/>
  <c r="AG445" i="21" s="1"/>
  <c r="AF439" i="21"/>
  <c r="AG439" i="21" s="1"/>
  <c r="AH439" i="21" s="1"/>
  <c r="AJ439" i="21" s="1"/>
  <c r="AG223" i="21"/>
  <c r="AH223" i="21" s="1"/>
  <c r="AJ223" i="21" s="1"/>
  <c r="AF364" i="21"/>
  <c r="AG364" i="21" s="1"/>
  <c r="AF454" i="21"/>
  <c r="AG454" i="21" s="1"/>
  <c r="AD462" i="21"/>
  <c r="AE462" i="21" s="1"/>
  <c r="AF360" i="21"/>
  <c r="AG360" i="21" s="1"/>
  <c r="AE340" i="21"/>
  <c r="AF340" i="21" s="1"/>
  <c r="AG340" i="21" s="1"/>
  <c r="AG353" i="21"/>
  <c r="AF258" i="21"/>
  <c r="AG258" i="21" s="1"/>
  <c r="AF346" i="21"/>
  <c r="AG346" i="21" s="1"/>
  <c r="AG481" i="21"/>
  <c r="AH481" i="21" s="1"/>
  <c r="AJ481" i="21" s="1"/>
  <c r="AF374" i="21"/>
  <c r="AG374" i="21" s="1"/>
  <c r="AF309" i="21"/>
  <c r="AG309" i="21" s="1"/>
  <c r="AF464" i="21"/>
  <c r="AG464" i="21" s="1"/>
  <c r="AH464" i="21" s="1"/>
  <c r="AJ464" i="21" s="1"/>
  <c r="AF325" i="21"/>
  <c r="AG325" i="21" s="1"/>
  <c r="AE266" i="21"/>
  <c r="AF266" i="21" s="1"/>
  <c r="AG266" i="21" s="1"/>
  <c r="AD472" i="21"/>
  <c r="AE472" i="21" s="1"/>
  <c r="AF472" i="21" s="1"/>
  <c r="AF382" i="21"/>
  <c r="AG382" i="21" s="1"/>
  <c r="AH382" i="21" s="1"/>
  <c r="AJ382" i="21" s="1"/>
  <c r="AD468" i="21"/>
  <c r="AD263" i="21"/>
  <c r="AE263" i="21" s="1"/>
  <c r="AF365" i="21"/>
  <c r="AG365" i="21" s="1"/>
  <c r="AF293" i="21"/>
  <c r="AG293" i="21" s="1"/>
  <c r="AD470" i="21"/>
  <c r="AE470" i="21" s="1"/>
  <c r="AF281" i="21"/>
  <c r="AG281" i="21" s="1"/>
  <c r="AG315" i="21"/>
  <c r="AD279" i="21"/>
  <c r="AE279" i="21" s="1"/>
  <c r="AD427" i="21"/>
  <c r="AE427" i="21" s="1"/>
  <c r="AF427" i="21" s="1"/>
  <c r="AG398" i="21"/>
  <c r="AH398" i="21" s="1"/>
  <c r="AJ398" i="21" s="1"/>
  <c r="AD339" i="21"/>
  <c r="AE339" i="21" s="1"/>
  <c r="AF339" i="21" s="1"/>
  <c r="AD496" i="21"/>
  <c r="AE496" i="21" s="1"/>
  <c r="AD484" i="21"/>
  <c r="AD288" i="21"/>
  <c r="AE288" i="21" s="1"/>
  <c r="AD331" i="21"/>
  <c r="AE331" i="21" s="1"/>
  <c r="AF331" i="21" s="1"/>
  <c r="AD466" i="21"/>
  <c r="AE466" i="21" s="1"/>
  <c r="AG370" i="21"/>
  <c r="AG227" i="21"/>
  <c r="AH227" i="21" s="1"/>
  <c r="AJ227" i="21" s="1"/>
  <c r="AG164" i="21"/>
  <c r="AG73" i="21"/>
  <c r="AH73" i="21" s="1"/>
  <c r="AG13" i="21"/>
  <c r="AH13" i="21" s="1"/>
  <c r="AJ13" i="21" s="1"/>
  <c r="U9" i="23"/>
  <c r="W9" i="23" s="1"/>
  <c r="P10" i="23" s="1"/>
  <c r="R28" i="24"/>
  <c r="W27" i="24"/>
  <c r="U27" i="24"/>
  <c r="AF204" i="21"/>
  <c r="AG204" i="21" s="1"/>
  <c r="AE69" i="21"/>
  <c r="AF69" i="21" s="1"/>
  <c r="AG69" i="21" s="1"/>
  <c r="AD66" i="21"/>
  <c r="AE66" i="21" s="1"/>
  <c r="AF37" i="21"/>
  <c r="AG37" i="21" s="1"/>
  <c r="AE125" i="21"/>
  <c r="AF125" i="21" s="1"/>
  <c r="AG125" i="21" s="1"/>
  <c r="AE148" i="21"/>
  <c r="AF148" i="21" s="1"/>
  <c r="AF56" i="21"/>
  <c r="AG56" i="21" s="1"/>
  <c r="AF110" i="21"/>
  <c r="AG110" i="21" s="1"/>
  <c r="AG180" i="21"/>
  <c r="AH180" i="21" s="1"/>
  <c r="AF78" i="21"/>
  <c r="AG78" i="21" s="1"/>
  <c r="AF177" i="21"/>
  <c r="AG177" i="21" s="1"/>
  <c r="AG152" i="21"/>
  <c r="AF31" i="21"/>
  <c r="AG31" i="21" s="1"/>
  <c r="AE129" i="21"/>
  <c r="AF129" i="21" s="1"/>
  <c r="AD215" i="21"/>
  <c r="AE215" i="21" s="1"/>
  <c r="AG59" i="21"/>
  <c r="AD133" i="21"/>
  <c r="AE133" i="21" s="1"/>
  <c r="AF111" i="21"/>
  <c r="AG111" i="21" s="1"/>
  <c r="AC90" i="21"/>
  <c r="AD33" i="21"/>
  <c r="AG47" i="21"/>
  <c r="AF175" i="21"/>
  <c r="AG175" i="21" s="1"/>
  <c r="AG203" i="21"/>
  <c r="AE84" i="21"/>
  <c r="AF84" i="21" s="1"/>
  <c r="AG84" i="21" s="1"/>
  <c r="AC92" i="21"/>
  <c r="AJ106" i="21"/>
  <c r="AC158" i="21"/>
  <c r="AG61" i="21"/>
  <c r="AD132" i="21"/>
  <c r="AE132" i="21" s="1"/>
  <c r="AF132" i="21" s="1"/>
  <c r="AD149" i="21"/>
  <c r="AE149" i="21" s="1"/>
  <c r="AF149" i="21" s="1"/>
  <c r="AG70" i="21"/>
  <c r="AH70" i="21" s="1"/>
  <c r="AF42" i="21"/>
  <c r="AG42" i="21" s="1"/>
  <c r="AF121" i="21"/>
  <c r="AG121" i="21" s="1"/>
  <c r="AF178" i="21"/>
  <c r="AG178" i="21" s="1"/>
  <c r="AE49" i="21"/>
  <c r="AF49" i="21" s="1"/>
  <c r="AG49" i="21" s="1"/>
  <c r="AD77" i="21"/>
  <c r="AE77" i="21" s="1"/>
  <c r="AE89" i="21"/>
  <c r="AF89" i="21" s="1"/>
  <c r="AF185" i="21"/>
  <c r="AG185" i="21" s="1"/>
  <c r="AD184" i="21"/>
  <c r="AE184" i="21" s="1"/>
  <c r="AF184" i="21" s="1"/>
  <c r="AF161" i="21"/>
  <c r="AG161" i="21" s="1"/>
  <c r="AE212" i="21"/>
  <c r="AF212" i="21" s="1"/>
  <c r="AC112" i="21"/>
  <c r="AC115" i="21"/>
  <c r="AD115" i="21" s="1"/>
  <c r="AE115" i="21" s="1"/>
  <c r="AG52" i="21"/>
  <c r="AD135" i="21"/>
  <c r="AE135" i="21" s="1"/>
  <c r="AE189" i="21"/>
  <c r="AF202" i="21"/>
  <c r="AG202" i="21" s="1"/>
  <c r="AD40" i="21"/>
  <c r="AE40" i="21" s="1"/>
  <c r="AE23" i="21"/>
  <c r="AF23" i="21" s="1"/>
  <c r="AD41" i="21"/>
  <c r="AE41" i="21" s="1"/>
  <c r="AE141" i="21"/>
  <c r="AF141" i="21" s="1"/>
  <c r="AD168" i="21"/>
  <c r="AE168" i="21" s="1"/>
  <c r="AE87" i="21"/>
  <c r="AF114" i="21"/>
  <c r="AG114" i="21" s="1"/>
  <c r="AE108" i="21"/>
  <c r="AG163" i="21"/>
  <c r="AH163" i="21" s="1"/>
  <c r="AG32" i="21"/>
  <c r="AH32" i="21" s="1"/>
  <c r="AE101" i="21"/>
  <c r="AF134" i="21"/>
  <c r="AG134" i="21" s="1"/>
  <c r="AD145" i="21"/>
  <c r="AF76" i="21"/>
  <c r="AG76" i="21" s="1"/>
  <c r="AE46" i="21"/>
  <c r="AF46" i="21" s="1"/>
  <c r="AG46" i="21" s="1"/>
  <c r="AF123" i="21"/>
  <c r="AG123" i="21" s="1"/>
  <c r="AD139" i="21"/>
  <c r="AE139" i="21" s="1"/>
  <c r="AD44" i="21"/>
  <c r="AE44" i="21" s="1"/>
  <c r="AE93" i="21"/>
  <c r="AE62" i="21"/>
  <c r="AE197" i="21"/>
  <c r="AF197" i="21" s="1"/>
  <c r="AG197" i="21" s="1"/>
  <c r="AF137" i="21"/>
  <c r="AG137" i="21" s="1"/>
  <c r="AD107" i="21"/>
  <c r="AE107" i="21" s="1"/>
  <c r="AF107" i="21" s="1"/>
  <c r="AF105" i="21"/>
  <c r="AG105" i="21" s="1"/>
  <c r="AD136" i="21"/>
  <c r="AE136" i="21" s="1"/>
  <c r="AF136" i="21" s="1"/>
  <c r="AD147" i="21"/>
  <c r="AF190" i="21"/>
  <c r="AG190" i="21" s="1"/>
  <c r="AF171" i="21"/>
  <c r="AG171" i="21" s="1"/>
  <c r="AD30" i="21"/>
  <c r="AE30" i="21" s="1"/>
  <c r="AE127" i="21"/>
  <c r="AF127" i="21" s="1"/>
  <c r="AG127" i="21" s="1"/>
  <c r="AE142" i="21"/>
  <c r="AF142" i="21" s="1"/>
  <c r="AE143" i="21"/>
  <c r="AF143" i="21" s="1"/>
  <c r="AF27" i="21"/>
  <c r="AG27" i="21" s="1"/>
  <c r="AF74" i="21"/>
  <c r="AG74" i="21" s="1"/>
  <c r="AC154" i="21"/>
  <c r="AD154" i="21" s="1"/>
  <c r="AE154" i="21" s="1"/>
  <c r="AC98" i="21"/>
  <c r="AD34" i="21"/>
  <c r="AF97" i="21"/>
  <c r="AG97" i="21" s="1"/>
  <c r="AF86" i="21"/>
  <c r="AD16" i="21"/>
  <c r="AD122" i="21"/>
  <c r="AE122" i="21" s="1"/>
  <c r="AF138" i="21"/>
  <c r="AF194" i="21"/>
  <c r="AG194" i="21" s="1"/>
  <c r="AF157" i="21"/>
  <c r="AG157" i="21" s="1"/>
  <c r="AE196" i="21"/>
  <c r="AD128" i="21"/>
  <c r="AD131" i="21"/>
  <c r="AC75" i="21"/>
  <c r="AC174" i="21"/>
  <c r="AD174" i="21" s="1"/>
  <c r="AE174" i="21" s="1"/>
  <c r="AF174" i="21" s="1"/>
  <c r="AD183" i="21"/>
  <c r="AE183" i="21" s="1"/>
  <c r="AD51" i="21"/>
  <c r="AE51" i="21" s="1"/>
  <c r="AF51" i="21" s="1"/>
  <c r="AD126" i="21"/>
  <c r="AE126" i="21" s="1"/>
  <c r="AD140" i="21"/>
  <c r="AE140" i="21" s="1"/>
  <c r="AF140" i="21" s="1"/>
  <c r="AG140" i="21" s="1"/>
  <c r="AE167" i="21"/>
  <c r="AF167" i="21" s="1"/>
  <c r="AF191" i="21"/>
  <c r="AG191" i="21" s="1"/>
  <c r="AF15" i="21"/>
  <c r="AG15" i="21" s="1"/>
  <c r="AD28" i="21"/>
  <c r="AD22" i="21"/>
  <c r="AE22" i="21" s="1"/>
  <c r="AE79" i="21"/>
  <c r="AD151" i="21"/>
  <c r="AG165" i="21"/>
  <c r="AF207" i="21"/>
  <c r="AG207" i="21" s="1"/>
  <c r="AE64" i="21"/>
  <c r="AF81" i="21"/>
  <c r="AG81" i="21" s="1"/>
  <c r="AD63" i="21"/>
  <c r="AE63" i="21" s="1"/>
  <c r="AF187" i="21"/>
  <c r="AG187" i="21" s="1"/>
  <c r="AC103" i="21"/>
  <c r="AD103" i="21" s="1"/>
  <c r="AF150" i="21"/>
  <c r="AG150" i="21" s="1"/>
  <c r="AD57" i="21"/>
  <c r="AF195" i="21"/>
  <c r="AG195" i="21" s="1"/>
  <c r="AG155" i="21"/>
  <c r="AE71" i="21"/>
  <c r="AC83" i="21"/>
  <c r="AD83" i="21" s="1"/>
  <c r="AC113" i="21"/>
  <c r="AD113" i="21" s="1"/>
  <c r="AC91" i="21"/>
  <c r="AD91" i="21" s="1"/>
  <c r="AG17" i="21"/>
  <c r="AD124" i="21"/>
  <c r="AE124" i="21" s="1"/>
  <c r="AF124" i="21" s="1"/>
  <c r="AG124" i="21" s="1"/>
  <c r="AE205" i="21"/>
  <c r="AL413" i="21"/>
  <c r="U272" i="23" l="1"/>
  <c r="R273" i="23"/>
  <c r="U273" i="23" s="1"/>
  <c r="AH93" i="22" s="1"/>
  <c r="M273" i="23"/>
  <c r="N273" i="23" s="1"/>
  <c r="AG307" i="22"/>
  <c r="R75" i="23"/>
  <c r="U74" i="23"/>
  <c r="J74" i="23"/>
  <c r="O74" i="23"/>
  <c r="H75" i="23"/>
  <c r="AJ406" i="22"/>
  <c r="U1395" i="23"/>
  <c r="W1022" i="23"/>
  <c r="P1023" i="23" s="1"/>
  <c r="Q1023" i="23" s="1"/>
  <c r="W1023" i="23" s="1"/>
  <c r="P1024" i="23" s="1"/>
  <c r="Q1024" i="23" s="1"/>
  <c r="AI217" i="34"/>
  <c r="AJ416" i="22"/>
  <c r="U1420" i="23"/>
  <c r="W1417" i="23"/>
  <c r="AH88" i="21"/>
  <c r="AJ88" i="21" s="1"/>
  <c r="AG306" i="21"/>
  <c r="AH53" i="21"/>
  <c r="AJ53" i="21" s="1"/>
  <c r="AF54" i="21"/>
  <c r="AH21" i="21"/>
  <c r="AJ21" i="21" s="1"/>
  <c r="AH206" i="21"/>
  <c r="AJ206" i="21" s="1"/>
  <c r="AG475" i="21"/>
  <c r="AH475" i="21" s="1"/>
  <c r="AJ475" i="21" s="1"/>
  <c r="AE162" i="21"/>
  <c r="AF162" i="21" s="1"/>
  <c r="AG162" i="21" s="1"/>
  <c r="AE96" i="21"/>
  <c r="AF96" i="21" s="1"/>
  <c r="AH200" i="21"/>
  <c r="AJ200" i="21" s="1"/>
  <c r="AH199" i="21"/>
  <c r="AJ199" i="21" s="1"/>
  <c r="P28" i="24"/>
  <c r="AH169" i="21"/>
  <c r="AJ169" i="21" s="1"/>
  <c r="AH38" i="21"/>
  <c r="AJ38" i="21" s="1"/>
  <c r="AE39" i="21"/>
  <c r="AF39" i="21" s="1"/>
  <c r="AH68" i="21"/>
  <c r="AJ68" i="21" s="1"/>
  <c r="AF170" i="21"/>
  <c r="AG170" i="21" s="1"/>
  <c r="AF471" i="21"/>
  <c r="AG471" i="21" s="1"/>
  <c r="AH471" i="21" s="1"/>
  <c r="AJ471" i="21" s="1"/>
  <c r="AF409" i="21"/>
  <c r="AG409" i="21" s="1"/>
  <c r="AH211" i="21"/>
  <c r="AJ211" i="21" s="1"/>
  <c r="AE34" i="21"/>
  <c r="AH161" i="21"/>
  <c r="AH175" i="21"/>
  <c r="AJ175" i="21" s="1"/>
  <c r="AH81" i="21"/>
  <c r="AJ81" i="21" s="1"/>
  <c r="AH67" i="21"/>
  <c r="AJ67" i="21" s="1"/>
  <c r="AH166" i="21"/>
  <c r="AJ166" i="21" s="1"/>
  <c r="AH171" i="21"/>
  <c r="AJ171" i="21" s="1"/>
  <c r="AH114" i="21"/>
  <c r="AJ114" i="21" s="1"/>
  <c r="AH185" i="21"/>
  <c r="AH155" i="21"/>
  <c r="AJ155" i="21" s="1"/>
  <c r="AH46" i="21"/>
  <c r="AJ46" i="21" s="1"/>
  <c r="AH110" i="21"/>
  <c r="AJ110" i="21" s="1"/>
  <c r="AH140" i="21"/>
  <c r="AJ140" i="21" s="1"/>
  <c r="AH15" i="21"/>
  <c r="AJ15" i="21" s="1"/>
  <c r="AH125" i="21"/>
  <c r="AJ125" i="21" s="1"/>
  <c r="AH164" i="21"/>
  <c r="AJ164" i="21" s="1"/>
  <c r="AF48" i="21"/>
  <c r="AG48" i="21" s="1"/>
  <c r="AH207" i="21"/>
  <c r="AJ207" i="21" s="1"/>
  <c r="AH111" i="21"/>
  <c r="AJ111" i="21" s="1"/>
  <c r="AH187" i="21"/>
  <c r="AJ187" i="21" s="1"/>
  <c r="AH47" i="21"/>
  <c r="AJ47" i="21" s="1"/>
  <c r="AH190" i="21"/>
  <c r="AJ190" i="21" s="1"/>
  <c r="AH74" i="21"/>
  <c r="AJ74" i="21" s="1"/>
  <c r="AH123" i="21"/>
  <c r="AJ123" i="21" s="1"/>
  <c r="AH150" i="21"/>
  <c r="AJ150" i="21" s="1"/>
  <c r="AH198" i="21"/>
  <c r="AJ198" i="21" s="1"/>
  <c r="AH56" i="21"/>
  <c r="AJ56" i="21" s="1"/>
  <c r="AH60" i="21"/>
  <c r="AJ60" i="21" s="1"/>
  <c r="AH124" i="21"/>
  <c r="AJ124" i="21" s="1"/>
  <c r="AJ32" i="21"/>
  <c r="AJ180" i="21"/>
  <c r="AJ19" i="21"/>
  <c r="AH177" i="21"/>
  <c r="AJ177" i="21" s="1"/>
  <c r="AH76" i="21"/>
  <c r="AJ76" i="21" s="1"/>
  <c r="AH144" i="21"/>
  <c r="AJ144" i="21" s="1"/>
  <c r="AH193" i="21"/>
  <c r="AJ193" i="21" s="1"/>
  <c r="AH157" i="21"/>
  <c r="AJ157" i="21" s="1"/>
  <c r="AH202" i="21"/>
  <c r="AJ202" i="21" s="1"/>
  <c r="AH194" i="21"/>
  <c r="AH134" i="21"/>
  <c r="AJ134" i="21" s="1"/>
  <c r="AH152" i="21"/>
  <c r="AJ152" i="21" s="1"/>
  <c r="AH49" i="21"/>
  <c r="AJ49" i="21" s="1"/>
  <c r="AH178" i="21"/>
  <c r="AJ178" i="21" s="1"/>
  <c r="AH27" i="21"/>
  <c r="AJ27" i="21" s="1"/>
  <c r="AH42" i="21"/>
  <c r="AH72" i="21"/>
  <c r="AJ72" i="21" s="1"/>
  <c r="AH17" i="21"/>
  <c r="AJ17" i="21" s="1"/>
  <c r="AH203" i="21"/>
  <c r="AJ203" i="21" s="1"/>
  <c r="AH52" i="21"/>
  <c r="AJ52" i="21" s="1"/>
  <c r="AH192" i="21"/>
  <c r="AJ192" i="21" s="1"/>
  <c r="AJ70" i="21"/>
  <c r="AJ163" i="21"/>
  <c r="AJ73" i="21"/>
  <c r="AH37" i="21"/>
  <c r="AJ37" i="21" s="1"/>
  <c r="AH165" i="21"/>
  <c r="AJ165" i="21" s="1"/>
  <c r="AH191" i="21"/>
  <c r="AJ191" i="21" s="1"/>
  <c r="AH195" i="21"/>
  <c r="AJ195" i="21" s="1"/>
  <c r="AH204" i="21"/>
  <c r="AJ204" i="21" s="1"/>
  <c r="AH121" i="21"/>
  <c r="AJ121" i="21" s="1"/>
  <c r="AH31" i="21"/>
  <c r="AJ31" i="21" s="1"/>
  <c r="AH59" i="21"/>
  <c r="AJ59" i="21" s="1"/>
  <c r="AH127" i="21"/>
  <c r="AJ127" i="21" s="1"/>
  <c r="AH197" i="21"/>
  <c r="AJ197" i="21" s="1"/>
  <c r="AH97" i="21"/>
  <c r="AJ97" i="21" s="1"/>
  <c r="AH84" i="21"/>
  <c r="AJ84" i="21" s="1"/>
  <c r="AH61" i="21"/>
  <c r="AJ61" i="21" s="1"/>
  <c r="AH105" i="21"/>
  <c r="AJ105" i="21" s="1"/>
  <c r="AH69" i="21"/>
  <c r="AJ69" i="21" s="1"/>
  <c r="AH156" i="21"/>
  <c r="AJ156" i="21" s="1"/>
  <c r="AH170" i="21"/>
  <c r="AJ170" i="21" s="1"/>
  <c r="AH102" i="21"/>
  <c r="AJ102" i="21" s="1"/>
  <c r="AH153" i="21"/>
  <c r="AJ153" i="21" s="1"/>
  <c r="AH201" i="21"/>
  <c r="AJ201" i="21" s="1"/>
  <c r="AH78" i="21"/>
  <c r="AJ78" i="21" s="1"/>
  <c r="AH137" i="21"/>
  <c r="AJ137" i="21" s="1"/>
  <c r="AH146" i="21"/>
  <c r="AJ146" i="21" s="1"/>
  <c r="AG369" i="21"/>
  <c r="AF377" i="21"/>
  <c r="AG377" i="21" s="1"/>
  <c r="AF467" i="21"/>
  <c r="AG467" i="21" s="1"/>
  <c r="AH467" i="21" s="1"/>
  <c r="AJ467" i="21" s="1"/>
  <c r="AG235" i="21"/>
  <c r="AH235" i="21" s="1"/>
  <c r="AJ235" i="21" s="1"/>
  <c r="AG246" i="21"/>
  <c r="AG418" i="21"/>
  <c r="AH418" i="21" s="1"/>
  <c r="AJ418" i="21" s="1"/>
  <c r="AF243" i="21"/>
  <c r="AG243" i="21" s="1"/>
  <c r="AF391" i="21"/>
  <c r="AG391" i="21" s="1"/>
  <c r="AF66" i="21"/>
  <c r="AG66" i="21" s="1"/>
  <c r="AG427" i="21"/>
  <c r="AH427" i="21" s="1"/>
  <c r="AJ427" i="21" s="1"/>
  <c r="AF291" i="21"/>
  <c r="AG291" i="21" s="1"/>
  <c r="AF496" i="21"/>
  <c r="AG496" i="21" s="1"/>
  <c r="AH496" i="21" s="1"/>
  <c r="AJ496" i="21" s="1"/>
  <c r="AG339" i="21"/>
  <c r="AF318" i="21"/>
  <c r="AG318" i="21" s="1"/>
  <c r="AG327" i="21"/>
  <c r="AG248" i="21"/>
  <c r="AE468" i="21"/>
  <c r="AF468" i="21" s="1"/>
  <c r="AG331" i="21"/>
  <c r="AF279" i="21"/>
  <c r="AG279" i="21" s="1"/>
  <c r="AF470" i="21"/>
  <c r="AG470" i="21" s="1"/>
  <c r="AF263" i="21"/>
  <c r="AG263" i="21" s="1"/>
  <c r="AF462" i="21"/>
  <c r="AG462" i="21" s="1"/>
  <c r="AE335" i="21"/>
  <c r="AF335" i="21" s="1"/>
  <c r="AG335" i="21" s="1"/>
  <c r="AE484" i="21"/>
  <c r="AF484" i="21" s="1"/>
  <c r="AF466" i="21"/>
  <c r="AG466" i="21" s="1"/>
  <c r="AF288" i="21"/>
  <c r="AG288" i="21" s="1"/>
  <c r="AG472" i="21"/>
  <c r="AH472" i="21" s="1"/>
  <c r="AJ472" i="21" s="1"/>
  <c r="AF460" i="21"/>
  <c r="AG460" i="21" s="1"/>
  <c r="AG276" i="21"/>
  <c r="AF275" i="21"/>
  <c r="AG275" i="21" s="1"/>
  <c r="AG280" i="21"/>
  <c r="AF371" i="21"/>
  <c r="AG371" i="21" s="1"/>
  <c r="AG319" i="21"/>
  <c r="AG351" i="21"/>
  <c r="AG148" i="21"/>
  <c r="AH148" i="21" s="1"/>
  <c r="U10" i="23"/>
  <c r="Q10" i="23"/>
  <c r="AC12" i="21"/>
  <c r="AF77" i="21"/>
  <c r="AG77" i="21" s="1"/>
  <c r="AH77" i="21" s="1"/>
  <c r="AJ77" i="21" s="1"/>
  <c r="AJ161" i="21"/>
  <c r="AG51" i="21"/>
  <c r="AH51" i="21" s="1"/>
  <c r="AF126" i="21"/>
  <c r="AG126" i="21" s="1"/>
  <c r="AE83" i="21"/>
  <c r="AF83" i="21" s="1"/>
  <c r="AG83" i="21" s="1"/>
  <c r="AG132" i="21"/>
  <c r="AF116" i="21"/>
  <c r="AG116" i="21" s="1"/>
  <c r="AF64" i="21"/>
  <c r="AG64" i="21" s="1"/>
  <c r="AG186" i="21"/>
  <c r="AH186" i="21" s="1"/>
  <c r="AG149" i="21"/>
  <c r="AH149" i="21" s="1"/>
  <c r="AF133" i="21"/>
  <c r="AG23" i="21"/>
  <c r="AH23" i="21" s="1"/>
  <c r="AF215" i="21"/>
  <c r="AG215" i="21" s="1"/>
  <c r="AF168" i="21"/>
  <c r="AG168" i="21" s="1"/>
  <c r="AF41" i="21"/>
  <c r="AG41" i="21" s="1"/>
  <c r="AH41" i="21" s="1"/>
  <c r="AF189" i="21"/>
  <c r="AG189" i="21" s="1"/>
  <c r="AH189" i="21" s="1"/>
  <c r="AG100" i="21"/>
  <c r="AG141" i="21"/>
  <c r="AF135" i="21"/>
  <c r="AG135" i="21" s="1"/>
  <c r="AH135" i="21" s="1"/>
  <c r="AF71" i="21"/>
  <c r="AG71" i="21" s="1"/>
  <c r="AE103" i="21"/>
  <c r="AF103" i="21" s="1"/>
  <c r="AG35" i="21"/>
  <c r="AH35" i="21" s="1"/>
  <c r="AF183" i="21"/>
  <c r="AG86" i="21"/>
  <c r="AD98" i="21"/>
  <c r="AG119" i="21"/>
  <c r="AE145" i="21"/>
  <c r="AF145" i="21" s="1"/>
  <c r="AG145" i="21" s="1"/>
  <c r="AH145" i="21" s="1"/>
  <c r="AF87" i="21"/>
  <c r="AG87" i="21" s="1"/>
  <c r="AF40" i="21"/>
  <c r="AF122" i="21"/>
  <c r="AG122" i="21" s="1"/>
  <c r="AH122" i="21" s="1"/>
  <c r="AE94" i="21"/>
  <c r="AD112" i="21"/>
  <c r="AE112" i="21" s="1"/>
  <c r="AG143" i="21"/>
  <c r="AF30" i="21"/>
  <c r="AG30" i="21" s="1"/>
  <c r="AH30" i="21" s="1"/>
  <c r="AG184" i="21"/>
  <c r="AG18" i="21"/>
  <c r="AH18" i="21" s="1"/>
  <c r="AG65" i="21"/>
  <c r="AD158" i="21"/>
  <c r="AE158" i="21" s="1"/>
  <c r="AD92" i="21"/>
  <c r="AE92" i="21" s="1"/>
  <c r="AF196" i="21"/>
  <c r="AG196" i="21" s="1"/>
  <c r="AG176" i="21"/>
  <c r="AH176" i="21" s="1"/>
  <c r="AE33" i="21"/>
  <c r="AF33" i="21" s="1"/>
  <c r="AG33" i="21" s="1"/>
  <c r="AG96" i="21"/>
  <c r="AH96" i="21" s="1"/>
  <c r="AD75" i="21"/>
  <c r="AE75" i="21" s="1"/>
  <c r="AE16" i="21"/>
  <c r="AF16" i="21" s="1"/>
  <c r="AG16" i="21" s="1"/>
  <c r="AH16" i="21" s="1"/>
  <c r="AF62" i="21"/>
  <c r="AG62" i="21" s="1"/>
  <c r="AF79" i="21"/>
  <c r="AG79" i="21" s="1"/>
  <c r="AH79" i="21" s="1"/>
  <c r="AF108" i="21"/>
  <c r="AF22" i="21"/>
  <c r="AG22" i="21" s="1"/>
  <c r="AH22" i="21" s="1"/>
  <c r="AG173" i="21"/>
  <c r="AE28" i="21"/>
  <c r="AF205" i="21"/>
  <c r="AG205" i="21" s="1"/>
  <c r="AF34" i="21"/>
  <c r="AG34" i="21" s="1"/>
  <c r="AF101" i="21"/>
  <c r="AG101" i="21" s="1"/>
  <c r="AE57" i="21"/>
  <c r="AE151" i="21"/>
  <c r="AF151" i="21" s="1"/>
  <c r="AE91" i="21"/>
  <c r="AF91" i="21" s="1"/>
  <c r="AG179" i="21"/>
  <c r="AG174" i="21"/>
  <c r="AE131" i="21"/>
  <c r="AF131" i="21" s="1"/>
  <c r="AG131" i="21" s="1"/>
  <c r="AH131" i="21" s="1"/>
  <c r="AG138" i="21"/>
  <c r="AH138" i="21" s="1"/>
  <c r="AF154" i="21"/>
  <c r="AG154" i="21" s="1"/>
  <c r="AF139" i="21"/>
  <c r="AG139" i="21" s="1"/>
  <c r="AG58" i="21"/>
  <c r="AG36" i="21"/>
  <c r="AF115" i="21"/>
  <c r="AG115" i="21" s="1"/>
  <c r="AG142" i="21"/>
  <c r="AH142" i="21" s="1"/>
  <c r="AF63" i="21"/>
  <c r="AG63" i="21" s="1"/>
  <c r="AH63" i="21" s="1"/>
  <c r="AJ185" i="21"/>
  <c r="AG89" i="21"/>
  <c r="AG167" i="21"/>
  <c r="AJ194" i="21"/>
  <c r="AD90" i="21"/>
  <c r="AG136" i="21"/>
  <c r="AG107" i="21"/>
  <c r="AF44" i="21"/>
  <c r="AE14" i="21"/>
  <c r="AF14" i="21" s="1"/>
  <c r="AE113" i="21"/>
  <c r="AF113" i="21" s="1"/>
  <c r="AE128" i="21"/>
  <c r="AF128" i="21" s="1"/>
  <c r="AD99" i="21"/>
  <c r="AE99" i="21" s="1"/>
  <c r="AE147" i="21"/>
  <c r="AF93" i="21"/>
  <c r="AG129" i="21"/>
  <c r="AH129" i="21" s="1"/>
  <c r="AF117" i="21"/>
  <c r="AG117" i="21" s="1"/>
  <c r="AG212" i="21"/>
  <c r="AJ42" i="21"/>
  <c r="O273" i="23" l="1"/>
  <c r="J273" i="23"/>
  <c r="AG93" i="22"/>
  <c r="AI93" i="22" s="1"/>
  <c r="W272" i="23"/>
  <c r="P273" i="23" s="1"/>
  <c r="Q273" i="23" s="1"/>
  <c r="W273" i="23" s="1"/>
  <c r="W74" i="23"/>
  <c r="P75" i="23" s="1"/>
  <c r="Q75" i="23" s="1"/>
  <c r="U75" i="23"/>
  <c r="AF30" i="22" s="1"/>
  <c r="R76" i="23"/>
  <c r="M75" i="23"/>
  <c r="N75" i="23" s="1"/>
  <c r="W1395" i="23"/>
  <c r="AJ290" i="34"/>
  <c r="AK290" i="34" s="1"/>
  <c r="AD1391" i="23"/>
  <c r="AD1392" i="23" s="1"/>
  <c r="K1024" i="23"/>
  <c r="L1024" i="23" s="1"/>
  <c r="AD1412" i="23"/>
  <c r="AD1413" i="23" s="1"/>
  <c r="AJ294" i="34"/>
  <c r="AK294" i="34" s="1"/>
  <c r="W1420" i="23"/>
  <c r="AH162" i="21"/>
  <c r="AJ162" i="21" s="1"/>
  <c r="AG54" i="21"/>
  <c r="AH54" i="21" s="1"/>
  <c r="AJ54" i="21" s="1"/>
  <c r="AG39" i="21"/>
  <c r="AH39" i="21" s="1"/>
  <c r="AJ39" i="21" s="1"/>
  <c r="AI144" i="21"/>
  <c r="AK144" i="21" s="1"/>
  <c r="AH139" i="21"/>
  <c r="AJ139" i="21" s="1"/>
  <c r="AH58" i="21"/>
  <c r="AJ58" i="21" s="1"/>
  <c r="AH141" i="21"/>
  <c r="AJ141" i="21" s="1"/>
  <c r="AH154" i="21"/>
  <c r="AJ154" i="21" s="1"/>
  <c r="AH101" i="21"/>
  <c r="AJ101" i="21" s="1"/>
  <c r="AH64" i="21"/>
  <c r="AJ64" i="21" s="1"/>
  <c r="AH36" i="21"/>
  <c r="AJ36" i="21" s="1"/>
  <c r="AH179" i="21"/>
  <c r="AJ179" i="21" s="1"/>
  <c r="AH83" i="21"/>
  <c r="AJ83" i="21" s="1"/>
  <c r="AH136" i="21"/>
  <c r="AJ136" i="21" s="1"/>
  <c r="AH120" i="21"/>
  <c r="AJ120" i="21" s="1"/>
  <c r="AH34" i="21"/>
  <c r="AJ34" i="21" s="1"/>
  <c r="AH117" i="21"/>
  <c r="AJ117" i="21" s="1"/>
  <c r="AH119" i="21"/>
  <c r="AJ119" i="21" s="1"/>
  <c r="AH173" i="21"/>
  <c r="AJ173" i="21" s="1"/>
  <c r="AH62" i="21"/>
  <c r="AJ62" i="21" s="1"/>
  <c r="AJ129" i="21"/>
  <c r="AJ96" i="21"/>
  <c r="AJ30" i="21"/>
  <c r="AJ149" i="21"/>
  <c r="AH132" i="21"/>
  <c r="AJ132" i="21" s="1"/>
  <c r="AH174" i="21"/>
  <c r="AJ174" i="21" s="1"/>
  <c r="AH212" i="21"/>
  <c r="AJ212" i="21" s="1"/>
  <c r="AH20" i="21"/>
  <c r="AJ20" i="21" s="1"/>
  <c r="AH126" i="21"/>
  <c r="AJ126" i="21" s="1"/>
  <c r="AH89" i="21"/>
  <c r="AJ89" i="21" s="1"/>
  <c r="AH116" i="21"/>
  <c r="AJ116" i="21" s="1"/>
  <c r="AH48" i="21"/>
  <c r="AJ48" i="21" s="1"/>
  <c r="AH115" i="21"/>
  <c r="AJ115" i="21" s="1"/>
  <c r="AH168" i="21"/>
  <c r="AJ168" i="21" s="1"/>
  <c r="AH205" i="21"/>
  <c r="AJ205" i="21" s="1"/>
  <c r="AJ142" i="21"/>
  <c r="AJ79" i="21"/>
  <c r="AJ23" i="21"/>
  <c r="AJ186" i="21"/>
  <c r="AJ51" i="21"/>
  <c r="AJ148" i="21"/>
  <c r="AH184" i="21"/>
  <c r="AJ184" i="21" s="1"/>
  <c r="AH33" i="21"/>
  <c r="AJ33" i="21" s="1"/>
  <c r="AH26" i="21"/>
  <c r="AJ26" i="21" s="1"/>
  <c r="AH100" i="21"/>
  <c r="AJ100" i="21" s="1"/>
  <c r="AH215" i="21"/>
  <c r="AJ215" i="21" s="1"/>
  <c r="AH107" i="21"/>
  <c r="AJ107" i="21" s="1"/>
  <c r="AH167" i="21"/>
  <c r="AJ167" i="21" s="1"/>
  <c r="AH143" i="21"/>
  <c r="AJ143" i="21" s="1"/>
  <c r="AH65" i="21"/>
  <c r="AJ65" i="21" s="1"/>
  <c r="AH87" i="21"/>
  <c r="AJ87" i="21" s="1"/>
  <c r="AH71" i="21"/>
  <c r="AJ71" i="21" s="1"/>
  <c r="AH196" i="21"/>
  <c r="AJ196" i="21" s="1"/>
  <c r="AH86" i="21"/>
  <c r="AJ86" i="21" s="1"/>
  <c r="AH66" i="21"/>
  <c r="AJ66" i="21" s="1"/>
  <c r="AJ138" i="21"/>
  <c r="AG468" i="21"/>
  <c r="AH468" i="21" s="1"/>
  <c r="AJ468" i="21" s="1"/>
  <c r="AG484" i="21"/>
  <c r="AH484" i="21" s="1"/>
  <c r="AJ484" i="21" s="1"/>
  <c r="AH25" i="21"/>
  <c r="AJ25" i="21" s="1"/>
  <c r="W10" i="23"/>
  <c r="P11" i="23" s="1"/>
  <c r="Q11" i="23" s="1"/>
  <c r="AF92" i="21"/>
  <c r="AG92" i="21" s="1"/>
  <c r="AF94" i="21"/>
  <c r="AG94" i="21" s="1"/>
  <c r="AJ135" i="21"/>
  <c r="AF75" i="21"/>
  <c r="AG75" i="21" s="1"/>
  <c r="AH75" i="21" s="1"/>
  <c r="AJ145" i="21"/>
  <c r="AJ41" i="21"/>
  <c r="AJ189" i="21"/>
  <c r="AG133" i="21"/>
  <c r="AJ176" i="21"/>
  <c r="AH95" i="21"/>
  <c r="AG151" i="21"/>
  <c r="AF158" i="21"/>
  <c r="AG158" i="21" s="1"/>
  <c r="AG128" i="21"/>
  <c r="AG103" i="21"/>
  <c r="AE90" i="21"/>
  <c r="AF90" i="21" s="1"/>
  <c r="AF99" i="21"/>
  <c r="AG99" i="21" s="1"/>
  <c r="AH99" i="21" s="1"/>
  <c r="AJ63" i="21"/>
  <c r="AG93" i="21"/>
  <c r="AF57" i="21"/>
  <c r="AG57" i="21" s="1"/>
  <c r="AG113" i="21"/>
  <c r="AH113" i="21" s="1"/>
  <c r="AJ122" i="21"/>
  <c r="AG40" i="21"/>
  <c r="AE104" i="21"/>
  <c r="AF104" i="21" s="1"/>
  <c r="AG104" i="21" s="1"/>
  <c r="AH104" i="21" s="1"/>
  <c r="AG44" i="21"/>
  <c r="AH44" i="21" s="1"/>
  <c r="AG91" i="21"/>
  <c r="AF28" i="21"/>
  <c r="AG28" i="21" s="1"/>
  <c r="AH28" i="21" s="1"/>
  <c r="AF147" i="21"/>
  <c r="AG147" i="21" s="1"/>
  <c r="AH147" i="21" s="1"/>
  <c r="AJ131" i="21"/>
  <c r="AJ22" i="21"/>
  <c r="AJ16" i="21"/>
  <c r="AF112" i="21"/>
  <c r="AG112" i="21" s="1"/>
  <c r="AH112" i="21" s="1"/>
  <c r="AJ35" i="21"/>
  <c r="AG24" i="21"/>
  <c r="AJ18" i="21"/>
  <c r="AE98" i="21"/>
  <c r="AF98" i="21" s="1"/>
  <c r="AG183" i="21"/>
  <c r="AG14" i="21"/>
  <c r="AG108" i="21"/>
  <c r="AK403" i="21"/>
  <c r="AI12" i="21" l="1"/>
  <c r="AI11" i="21" s="1"/>
  <c r="W75" i="23"/>
  <c r="P76" i="23" s="1"/>
  <c r="Q76" i="23" s="1"/>
  <c r="U76" i="23"/>
  <c r="AG30" i="22" s="1"/>
  <c r="R77" i="23"/>
  <c r="U77" i="23" s="1"/>
  <c r="O75" i="23"/>
  <c r="H76" i="23"/>
  <c r="J75" i="23"/>
  <c r="AD1393" i="23"/>
  <c r="M1024" i="23"/>
  <c r="N1024" i="23" s="1"/>
  <c r="AD1415" i="23"/>
  <c r="AH92" i="21"/>
  <c r="AJ92" i="21" s="1"/>
  <c r="AH183" i="21"/>
  <c r="AJ183" i="21" s="1"/>
  <c r="AH57" i="21"/>
  <c r="AJ57" i="21" s="1"/>
  <c r="AH40" i="21"/>
  <c r="AJ40" i="21" s="1"/>
  <c r="AH151" i="21"/>
  <c r="AJ151" i="21" s="1"/>
  <c r="AJ95" i="21"/>
  <c r="AJ75" i="21"/>
  <c r="AH91" i="21"/>
  <c r="AJ91" i="21" s="1"/>
  <c r="AH24" i="21"/>
  <c r="AJ24" i="21" s="1"/>
  <c r="AJ44" i="21"/>
  <c r="AJ113" i="21"/>
  <c r="AH128" i="21"/>
  <c r="AJ128" i="21" s="1"/>
  <c r="AH14" i="21"/>
  <c r="AJ14" i="21" s="1"/>
  <c r="AH158" i="21"/>
  <c r="AJ158" i="21" s="1"/>
  <c r="AH93" i="21"/>
  <c r="AJ93" i="21" s="1"/>
  <c r="AH133" i="21"/>
  <c r="AJ133" i="21" s="1"/>
  <c r="AH94" i="21"/>
  <c r="AJ94" i="21" s="1"/>
  <c r="AH103" i="21"/>
  <c r="AJ103" i="21" s="1"/>
  <c r="AH85" i="21"/>
  <c r="AJ85" i="21" s="1"/>
  <c r="AH108" i="21"/>
  <c r="AJ108" i="21" s="1"/>
  <c r="AI75" i="34"/>
  <c r="U11" i="23"/>
  <c r="W11" i="23" s="1"/>
  <c r="P12" i="23" s="1"/>
  <c r="Q12" i="23" s="1"/>
  <c r="Q28" i="24"/>
  <c r="AG90" i="21"/>
  <c r="AJ112" i="21"/>
  <c r="AJ28" i="21"/>
  <c r="AJ99" i="21"/>
  <c r="AJ147" i="21"/>
  <c r="AG98" i="21"/>
  <c r="AJ104" i="21"/>
  <c r="U168" i="23"/>
  <c r="W168" i="23" s="1"/>
  <c r="AK217" i="21"/>
  <c r="W76" i="23" l="1"/>
  <c r="P77" i="23" s="1"/>
  <c r="Q77" i="23" s="1"/>
  <c r="W77" i="23" s="1"/>
  <c r="AH30" i="22"/>
  <c r="AI30" i="22" s="1"/>
  <c r="M76" i="23"/>
  <c r="N76" i="23" s="1"/>
  <c r="H77" i="23" s="1"/>
  <c r="M77" i="23" s="1"/>
  <c r="N77" i="23" s="1"/>
  <c r="J1024" i="23"/>
  <c r="O1024" i="23"/>
  <c r="R1024" i="23"/>
  <c r="U1024" i="23" s="1"/>
  <c r="AH307" i="22" s="1"/>
  <c r="AI307" i="22" s="1"/>
  <c r="AJ57" i="34"/>
  <c r="AK57" i="34" s="1"/>
  <c r="AD159" i="23"/>
  <c r="AD162" i="23" s="1"/>
  <c r="AD163" i="23" s="1"/>
  <c r="AH90" i="21"/>
  <c r="AH160" i="21"/>
  <c r="AJ160" i="21" s="1"/>
  <c r="AH98" i="21"/>
  <c r="AJ98" i="21" s="1"/>
  <c r="AI80" i="34"/>
  <c r="U12" i="23"/>
  <c r="W12" i="23" s="1"/>
  <c r="P13" i="23" s="1"/>
  <c r="Q13" i="23" s="1"/>
  <c r="U28" i="24"/>
  <c r="AJ70" i="22"/>
  <c r="U277" i="23"/>
  <c r="W277" i="23" s="1"/>
  <c r="AK413" i="21"/>
  <c r="J77" i="23" l="1"/>
  <c r="O77" i="23"/>
  <c r="O76" i="23"/>
  <c r="J76" i="23"/>
  <c r="W1024" i="23"/>
  <c r="AJ307" i="22"/>
  <c r="U1027" i="23"/>
  <c r="W28" i="24"/>
  <c r="K29" i="24" s="1"/>
  <c r="L29" i="24" s="1"/>
  <c r="M29" i="24" s="1"/>
  <c r="N29" i="24" s="1"/>
  <c r="AJ75" i="34"/>
  <c r="AK75" i="34" s="1"/>
  <c r="AI110" i="34"/>
  <c r="AJ90" i="21"/>
  <c r="U298" i="23"/>
  <c r="W298" i="23" s="1"/>
  <c r="U13" i="23"/>
  <c r="W13" i="23" s="1"/>
  <c r="K14" i="23" s="1"/>
  <c r="AD270" i="23"/>
  <c r="AJ93" i="22"/>
  <c r="AC1027" i="23" l="1"/>
  <c r="W1027" i="23"/>
  <c r="AD1015" i="23"/>
  <c r="AJ217" i="34"/>
  <c r="AK217" i="34" s="1"/>
  <c r="AD1014" i="23"/>
  <c r="P29" i="24"/>
  <c r="Q29" i="24" s="1"/>
  <c r="R29" i="24" s="1"/>
  <c r="AJ80" i="34"/>
  <c r="AK80" i="34" s="1"/>
  <c r="U429" i="23"/>
  <c r="W429" i="23" s="1"/>
  <c r="AJ104" i="22"/>
  <c r="O29" i="24"/>
  <c r="H30" i="24"/>
  <c r="M30" i="24" s="1"/>
  <c r="N30" i="24" s="1"/>
  <c r="AD291" i="23"/>
  <c r="AD293" i="23" s="1"/>
  <c r="AD294" i="23" s="1"/>
  <c r="AD271" i="23"/>
  <c r="AD272" i="23" s="1"/>
  <c r="P14" i="23"/>
  <c r="L14" i="23"/>
  <c r="J29" i="24"/>
  <c r="U147" i="23"/>
  <c r="W147" i="23" s="1"/>
  <c r="B128" i="20"/>
  <c r="AD1016" i="23" l="1"/>
  <c r="AJ110" i="34"/>
  <c r="AK110" i="34" s="1"/>
  <c r="AD420" i="23"/>
  <c r="AD422" i="23" s="1"/>
  <c r="AD423" i="23" s="1"/>
  <c r="AJ140" i="22"/>
  <c r="AJ54" i="34"/>
  <c r="AK54" i="34" s="1"/>
  <c r="AD141" i="23"/>
  <c r="AD142" i="23" s="1"/>
  <c r="U29" i="24"/>
  <c r="R30" i="24"/>
  <c r="U30" i="24" s="1"/>
  <c r="H31" i="24"/>
  <c r="J30" i="24"/>
  <c r="O30" i="24"/>
  <c r="AI62" i="34"/>
  <c r="M14" i="23"/>
  <c r="N14" i="23" s="1"/>
  <c r="Q14" i="23"/>
  <c r="AJ64" i="22"/>
  <c r="B14" i="20"/>
  <c r="B15" i="20"/>
  <c r="B16" i="20"/>
  <c r="B17" i="20"/>
  <c r="B18" i="20"/>
  <c r="B19" i="20"/>
  <c r="B20" i="20"/>
  <c r="B21" i="20"/>
  <c r="B22" i="20"/>
  <c r="B23" i="20"/>
  <c r="B24" i="20"/>
  <c r="B25" i="20"/>
  <c r="B26" i="20"/>
  <c r="B27" i="20"/>
  <c r="B28" i="20"/>
  <c r="B29" i="20"/>
  <c r="B30" i="20"/>
  <c r="B31" i="20"/>
  <c r="B32" i="20"/>
  <c r="B33" i="20"/>
  <c r="B34" i="20"/>
  <c r="B35" i="20"/>
  <c r="B36" i="20"/>
  <c r="B37"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8" i="20"/>
  <c r="B133" i="20"/>
  <c r="B134" i="20"/>
  <c r="B135" i="20"/>
  <c r="B136" i="20"/>
  <c r="B137" i="20"/>
  <c r="B138" i="20"/>
  <c r="B139" i="20"/>
  <c r="B140" i="20"/>
  <c r="B142"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8" i="20"/>
  <c r="B311" i="20"/>
  <c r="B312" i="20"/>
  <c r="B313" i="20"/>
  <c r="B314" i="20"/>
  <c r="B315" i="20"/>
  <c r="B119" i="20"/>
  <c r="B120" i="20"/>
  <c r="B316" i="20"/>
  <c r="B317" i="20"/>
  <c r="B318" i="20"/>
  <c r="B319" i="20"/>
  <c r="B320" i="20"/>
  <c r="B321" i="20"/>
  <c r="B322" i="20"/>
  <c r="B129"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80" i="20"/>
  <c r="B381" i="20"/>
  <c r="B382" i="20"/>
  <c r="B383" i="20"/>
  <c r="B384" i="20"/>
  <c r="B385" i="20"/>
  <c r="B386" i="20"/>
  <c r="B387" i="20"/>
  <c r="B388" i="20"/>
  <c r="B389" i="20"/>
  <c r="B390" i="20"/>
  <c r="B391" i="20"/>
  <c r="B12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112" i="20"/>
  <c r="B423" i="20"/>
  <c r="B424" i="20"/>
  <c r="B425" i="20"/>
  <c r="B426" i="20"/>
  <c r="B427" i="20"/>
  <c r="B122"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130" i="20"/>
  <c r="B520" i="20"/>
  <c r="B521" i="20"/>
  <c r="B143" i="20"/>
  <c r="B522" i="20"/>
  <c r="B523" i="20"/>
  <c r="B524" i="20"/>
  <c r="B525" i="20"/>
  <c r="B526" i="20"/>
  <c r="B123" i="20"/>
  <c r="B527" i="20"/>
  <c r="B528" i="20"/>
  <c r="B529" i="20"/>
  <c r="B530" i="20"/>
  <c r="B531" i="20"/>
  <c r="B532" i="20"/>
  <c r="B533" i="20"/>
  <c r="B534" i="20"/>
  <c r="B535" i="20"/>
  <c r="B536" i="20"/>
  <c r="B537" i="20"/>
  <c r="B124" i="20"/>
  <c r="B538" i="20"/>
  <c r="B144" i="20"/>
  <c r="B539" i="20"/>
  <c r="B540" i="20"/>
  <c r="B541" i="20"/>
  <c r="B542" i="20"/>
  <c r="B543" i="20"/>
  <c r="B544" i="20"/>
  <c r="B545" i="20"/>
  <c r="B546" i="20"/>
  <c r="B547" i="20"/>
  <c r="B548" i="20"/>
  <c r="B549" i="20"/>
  <c r="B550" i="20"/>
  <c r="B551" i="20"/>
  <c r="B552" i="20"/>
  <c r="B553" i="20"/>
  <c r="B125" i="20"/>
  <c r="B554" i="20"/>
  <c r="B555" i="20"/>
  <c r="B556" i="20"/>
  <c r="B557" i="20"/>
  <c r="B558" i="20"/>
  <c r="B559" i="20"/>
  <c r="B113" i="20"/>
  <c r="B560" i="20"/>
  <c r="B561" i="20"/>
  <c r="B562" i="20"/>
  <c r="B563" i="20"/>
  <c r="B564" i="20"/>
  <c r="B565" i="20"/>
  <c r="B566" i="20"/>
  <c r="B567" i="20"/>
  <c r="B568" i="20"/>
  <c r="B569" i="20"/>
  <c r="B570" i="20"/>
  <c r="B571" i="20"/>
  <c r="B572" i="20"/>
  <c r="B377" i="20"/>
  <c r="B573" i="20"/>
  <c r="B574" i="20"/>
  <c r="B141"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145" i="20"/>
  <c r="B114" i="20"/>
  <c r="B601" i="20"/>
  <c r="B379" i="20"/>
  <c r="B602" i="20"/>
  <c r="B603" i="20"/>
  <c r="B604" i="20"/>
  <c r="B605" i="20"/>
  <c r="B606" i="20"/>
  <c r="B607" i="20"/>
  <c r="B608" i="20"/>
  <c r="B375" i="20"/>
  <c r="B376" i="20"/>
  <c r="B378" i="20"/>
  <c r="B609" i="20"/>
  <c r="B39" i="20"/>
  <c r="B610" i="20"/>
  <c r="B126" i="20"/>
  <c r="B127" i="20"/>
  <c r="B611" i="20"/>
  <c r="B40" i="20"/>
  <c r="B612" i="20"/>
  <c r="B131" i="20"/>
  <c r="B613" i="20"/>
  <c r="B614" i="20"/>
  <c r="B615" i="20"/>
  <c r="B616" i="20"/>
  <c r="B617" i="20"/>
  <c r="B618" i="20"/>
  <c r="B619" i="20"/>
  <c r="B620" i="20"/>
  <c r="B621" i="20"/>
  <c r="B622" i="20"/>
  <c r="B623" i="20"/>
  <c r="B624" i="20"/>
  <c r="B625" i="20"/>
  <c r="B626" i="20"/>
  <c r="B627" i="20"/>
  <c r="B628" i="20"/>
  <c r="B629" i="20"/>
  <c r="B630" i="20"/>
  <c r="B631" i="20"/>
  <c r="B632" i="20"/>
  <c r="B633" i="20"/>
  <c r="B634" i="20"/>
  <c r="B635" i="20"/>
  <c r="B636" i="20"/>
  <c r="B637" i="20"/>
  <c r="B638" i="20"/>
  <c r="B639" i="20"/>
  <c r="B640" i="20"/>
  <c r="B641" i="20"/>
  <c r="B642" i="20"/>
  <c r="B643" i="20"/>
  <c r="B644" i="20"/>
  <c r="B645" i="20"/>
  <c r="B115" i="20"/>
  <c r="B646" i="20"/>
  <c r="B647" i="20"/>
  <c r="B648" i="20"/>
  <c r="B649" i="20"/>
  <c r="B650" i="20"/>
  <c r="B651" i="20"/>
  <c r="B652" i="20"/>
  <c r="B653" i="20"/>
  <c r="B654" i="20"/>
  <c r="B655" i="20"/>
  <c r="B656" i="20"/>
  <c r="B657" i="20"/>
  <c r="B658" i="20"/>
  <c r="B659" i="20"/>
  <c r="B660" i="20"/>
  <c r="B661" i="20"/>
  <c r="B662" i="20"/>
  <c r="B663" i="20"/>
  <c r="B664" i="20"/>
  <c r="B665" i="20"/>
  <c r="B666" i="20"/>
  <c r="B667" i="20"/>
  <c r="B668" i="20"/>
  <c r="B669" i="20"/>
  <c r="B132" i="20"/>
  <c r="B670" i="20"/>
  <c r="B671" i="20"/>
  <c r="B672" i="20"/>
  <c r="B673" i="20"/>
  <c r="B674" i="20"/>
  <c r="B675" i="20"/>
  <c r="B676" i="20"/>
  <c r="B677" i="20"/>
  <c r="B678" i="20"/>
  <c r="B679" i="20"/>
  <c r="B680" i="20"/>
  <c r="B681" i="20"/>
  <c r="B682" i="20"/>
  <c r="B683" i="20"/>
  <c r="B116" i="20"/>
  <c r="B684" i="20"/>
  <c r="B685" i="20"/>
  <c r="B686" i="20"/>
  <c r="B117" i="20"/>
  <c r="B13" i="20"/>
  <c r="AJ1047" i="20"/>
  <c r="X1047" i="20"/>
  <c r="Z1047" i="20" s="1"/>
  <c r="AA1047" i="20" s="1"/>
  <c r="AH1047" i="20" s="1"/>
  <c r="AI1047" i="20" s="1"/>
  <c r="AK1047" i="20" s="1"/>
  <c r="AJ1046" i="20"/>
  <c r="X1046" i="20"/>
  <c r="Z1046" i="20" s="1"/>
  <c r="AA1046" i="20" s="1"/>
  <c r="AH1046" i="20" s="1"/>
  <c r="AI1046" i="20" s="1"/>
  <c r="AK1046" i="20" s="1"/>
  <c r="AJ1045" i="20"/>
  <c r="X1045" i="20"/>
  <c r="Z1045" i="20" s="1"/>
  <c r="AA1045" i="20" s="1"/>
  <c r="AH1045" i="20" s="1"/>
  <c r="AI1045" i="20" s="1"/>
  <c r="AK1045" i="20" s="1"/>
  <c r="AJ1027" i="20"/>
  <c r="AH1027" i="20"/>
  <c r="AI1027" i="20" s="1"/>
  <c r="AK1027" i="20" s="1"/>
  <c r="X1027" i="20"/>
  <c r="AJ1026" i="20"/>
  <c r="AH1026" i="20"/>
  <c r="AI1026" i="20" s="1"/>
  <c r="AK1026" i="20" s="1"/>
  <c r="X1026" i="20"/>
  <c r="AJ1025" i="20"/>
  <c r="X1025" i="20"/>
  <c r="Z1025" i="20" s="1"/>
  <c r="AA1025" i="20" s="1"/>
  <c r="AH1025" i="20" s="1"/>
  <c r="AI1025" i="20" s="1"/>
  <c r="AK1025" i="20" s="1"/>
  <c r="AJ1024" i="20"/>
  <c r="X1024" i="20"/>
  <c r="AJ1023" i="20"/>
  <c r="X1023" i="20"/>
  <c r="Z1023" i="20" s="1"/>
  <c r="AJ1022" i="20"/>
  <c r="X1022" i="20"/>
  <c r="AJ1021" i="20"/>
  <c r="X1021" i="20"/>
  <c r="Y1021" i="20" s="1"/>
  <c r="AJ1020" i="20"/>
  <c r="X1020" i="20"/>
  <c r="AJ1019" i="20"/>
  <c r="X1019" i="20"/>
  <c r="AJ1018" i="20"/>
  <c r="X1018" i="20"/>
  <c r="Z1018" i="20" s="1"/>
  <c r="AJ1017" i="20"/>
  <c r="X1017" i="20"/>
  <c r="AJ1016" i="20"/>
  <c r="X1016" i="20"/>
  <c r="AJ1015" i="20"/>
  <c r="X1015" i="20"/>
  <c r="AJ1014" i="20"/>
  <c r="X1014" i="20"/>
  <c r="AJ1013" i="20"/>
  <c r="X1013" i="20"/>
  <c r="AJ1012" i="20"/>
  <c r="AB1012" i="20" s="1"/>
  <c r="X1012" i="20"/>
  <c r="AJ1011" i="20"/>
  <c r="AB1011" i="20" s="1"/>
  <c r="X1011" i="20"/>
  <c r="Y1011" i="20" s="1"/>
  <c r="AJ1010" i="20"/>
  <c r="AB1010" i="20" s="1"/>
  <c r="X1010" i="20"/>
  <c r="Z1010" i="20" s="1"/>
  <c r="AJ1009" i="20"/>
  <c r="AB1009" i="20" s="1"/>
  <c r="X1009" i="20"/>
  <c r="Y1009" i="20" s="1"/>
  <c r="AJ1008" i="20"/>
  <c r="AB1008" i="20" s="1"/>
  <c r="X1008" i="20"/>
  <c r="AJ1007" i="20"/>
  <c r="AB1007" i="20" s="1"/>
  <c r="X1007" i="20"/>
  <c r="AJ1006" i="20"/>
  <c r="AB1006" i="20" s="1"/>
  <c r="X1006" i="20"/>
  <c r="AJ1005" i="20"/>
  <c r="AB1005" i="20" s="1"/>
  <c r="X1005" i="20"/>
  <c r="AJ1004" i="20"/>
  <c r="AB1004" i="20" s="1"/>
  <c r="X1004" i="20"/>
  <c r="AJ1003" i="20"/>
  <c r="AB1003" i="20" s="1"/>
  <c r="X1003" i="20"/>
  <c r="AJ1002" i="20"/>
  <c r="AB1002" i="20" s="1"/>
  <c r="X1002" i="20"/>
  <c r="Z1002" i="20" s="1"/>
  <c r="AJ1001" i="20"/>
  <c r="AB1001" i="20" s="1"/>
  <c r="X1001" i="20"/>
  <c r="AJ1000" i="20"/>
  <c r="AB1000" i="20" s="1"/>
  <c r="X1000" i="20"/>
  <c r="AJ999" i="20"/>
  <c r="AB999" i="20" s="1"/>
  <c r="X999" i="20"/>
  <c r="AJ998" i="20"/>
  <c r="AB998" i="20" s="1"/>
  <c r="X998" i="20"/>
  <c r="AJ997" i="20"/>
  <c r="AB997" i="20" s="1"/>
  <c r="X997" i="20"/>
  <c r="AJ996" i="20"/>
  <c r="AB996" i="20" s="1"/>
  <c r="X996" i="20"/>
  <c r="Y996" i="20" s="1"/>
  <c r="AJ995" i="20"/>
  <c r="AB995" i="20" s="1"/>
  <c r="X995" i="20"/>
  <c r="Z995" i="20" s="1"/>
  <c r="AA995" i="20" s="1"/>
  <c r="AJ994" i="20"/>
  <c r="AB994" i="20" s="1"/>
  <c r="X994" i="20"/>
  <c r="AJ993" i="20"/>
  <c r="AB993" i="20" s="1"/>
  <c r="X993" i="20"/>
  <c r="Z993" i="20" s="1"/>
  <c r="AA993" i="20" s="1"/>
  <c r="AJ992" i="20"/>
  <c r="AB992" i="20" s="1"/>
  <c r="X992" i="20"/>
  <c r="Z992" i="20" s="1"/>
  <c r="AA992" i="20" s="1"/>
  <c r="AJ991" i="20"/>
  <c r="AB991" i="20" s="1"/>
  <c r="X991" i="20"/>
  <c r="AJ990" i="20"/>
  <c r="AB990" i="20" s="1"/>
  <c r="X990" i="20"/>
  <c r="Y990" i="20" s="1"/>
  <c r="AJ989" i="20"/>
  <c r="AB989" i="20" s="1"/>
  <c r="X989" i="20"/>
  <c r="AJ988" i="20"/>
  <c r="AB988" i="20" s="1"/>
  <c r="X988" i="20"/>
  <c r="AJ987" i="20"/>
  <c r="AB987" i="20" s="1"/>
  <c r="X987" i="20"/>
  <c r="Z987" i="20" s="1"/>
  <c r="AA987" i="20" s="1"/>
  <c r="AJ986" i="20"/>
  <c r="AB986" i="20" s="1"/>
  <c r="X986" i="20"/>
  <c r="Y986" i="20" s="1"/>
  <c r="AJ985" i="20"/>
  <c r="AB985" i="20" s="1"/>
  <c r="X985" i="20"/>
  <c r="Z985" i="20" s="1"/>
  <c r="AA985" i="20" s="1"/>
  <c r="AJ984" i="20"/>
  <c r="AB984" i="20" s="1"/>
  <c r="X984" i="20"/>
  <c r="Z984" i="20" s="1"/>
  <c r="AA984" i="20" s="1"/>
  <c r="AJ983" i="20"/>
  <c r="AB983" i="20" s="1"/>
  <c r="X983" i="20"/>
  <c r="AJ982" i="20"/>
  <c r="AB982" i="20" s="1"/>
  <c r="X982" i="20"/>
  <c r="AJ981" i="20"/>
  <c r="AB981" i="20" s="1"/>
  <c r="X981" i="20"/>
  <c r="AJ980" i="20"/>
  <c r="AB980" i="20" s="1"/>
  <c r="X980" i="20"/>
  <c r="AJ979" i="20"/>
  <c r="AB979" i="20" s="1"/>
  <c r="X979" i="20"/>
  <c r="Z979" i="20" s="1"/>
  <c r="AA979" i="20" s="1"/>
  <c r="AJ978" i="20"/>
  <c r="AB978" i="20" s="1"/>
  <c r="X978" i="20"/>
  <c r="AJ977" i="20"/>
  <c r="AB977" i="20" s="1"/>
  <c r="X977" i="20"/>
  <c r="Z977" i="20" s="1"/>
  <c r="AA977" i="20" s="1"/>
  <c r="AJ976" i="20"/>
  <c r="AB976" i="20" s="1"/>
  <c r="X976" i="20"/>
  <c r="AJ975" i="20"/>
  <c r="AB975" i="20" s="1"/>
  <c r="X975" i="20"/>
  <c r="AJ974" i="20"/>
  <c r="AB974" i="20" s="1"/>
  <c r="X974" i="20"/>
  <c r="Y974" i="20" s="1"/>
  <c r="AJ973" i="20"/>
  <c r="AB973" i="20" s="1"/>
  <c r="X973" i="20"/>
  <c r="AJ972" i="20"/>
  <c r="AB972" i="20" s="1"/>
  <c r="X972" i="20"/>
  <c r="AJ971" i="20"/>
  <c r="AB971" i="20" s="1"/>
  <c r="X971" i="20"/>
  <c r="Z971" i="20" s="1"/>
  <c r="AA971" i="20" s="1"/>
  <c r="AJ970" i="20"/>
  <c r="AB970" i="20" s="1"/>
  <c r="X970" i="20"/>
  <c r="AJ969" i="20"/>
  <c r="AB969" i="20" s="1"/>
  <c r="X969" i="20"/>
  <c r="Z969" i="20" s="1"/>
  <c r="AA969" i="20" s="1"/>
  <c r="AJ968" i="20"/>
  <c r="AB968" i="20" s="1"/>
  <c r="X968" i="20"/>
  <c r="AJ967" i="20"/>
  <c r="AB967" i="20" s="1"/>
  <c r="X967" i="20"/>
  <c r="AJ966" i="20"/>
  <c r="AB966" i="20" s="1"/>
  <c r="X966" i="20"/>
  <c r="Y966" i="20" s="1"/>
  <c r="AJ965" i="20"/>
  <c r="AB965" i="20" s="1"/>
  <c r="X965" i="20"/>
  <c r="AJ964" i="20"/>
  <c r="AB964" i="20" s="1"/>
  <c r="X964" i="20"/>
  <c r="Y964" i="20" s="1"/>
  <c r="AJ963" i="20"/>
  <c r="AB963" i="20" s="1"/>
  <c r="X963" i="20"/>
  <c r="Z963" i="20" s="1"/>
  <c r="AA963" i="20" s="1"/>
  <c r="AJ962" i="20"/>
  <c r="AB962" i="20" s="1"/>
  <c r="X962" i="20"/>
  <c r="AJ961" i="20"/>
  <c r="AB961" i="20" s="1"/>
  <c r="X961" i="20"/>
  <c r="Z961" i="20" s="1"/>
  <c r="AA961" i="20" s="1"/>
  <c r="AJ960" i="20"/>
  <c r="AB960" i="20" s="1"/>
  <c r="X960" i="20"/>
  <c r="AJ959" i="20"/>
  <c r="AB959" i="20" s="1"/>
  <c r="X959" i="20"/>
  <c r="Z959" i="20" s="1"/>
  <c r="AA959" i="20" s="1"/>
  <c r="AJ958" i="20"/>
  <c r="AB958" i="20" s="1"/>
  <c r="X958" i="20"/>
  <c r="Y958" i="20" s="1"/>
  <c r="AJ957" i="20"/>
  <c r="AB957" i="20" s="1"/>
  <c r="X957" i="20"/>
  <c r="AJ956" i="20"/>
  <c r="AB956" i="20" s="1"/>
  <c r="X956" i="20"/>
  <c r="AJ955" i="20"/>
  <c r="AB955" i="20" s="1"/>
  <c r="X955" i="20"/>
  <c r="Z955" i="20" s="1"/>
  <c r="AA955" i="20" s="1"/>
  <c r="AJ954" i="20"/>
  <c r="AB954" i="20" s="1"/>
  <c r="X954" i="20"/>
  <c r="AJ953" i="20"/>
  <c r="AB953" i="20" s="1"/>
  <c r="X953" i="20"/>
  <c r="Z953" i="20" s="1"/>
  <c r="AA953" i="20" s="1"/>
  <c r="AJ952" i="20"/>
  <c r="AB952" i="20" s="1"/>
  <c r="X952" i="20"/>
  <c r="Y952" i="20" s="1"/>
  <c r="AJ951" i="20"/>
  <c r="AB951" i="20" s="1"/>
  <c r="X951" i="20"/>
  <c r="AJ950" i="20"/>
  <c r="AB950" i="20" s="1"/>
  <c r="X950" i="20"/>
  <c r="AJ949" i="20"/>
  <c r="AB949" i="20" s="1"/>
  <c r="X949" i="20"/>
  <c r="AJ948" i="20"/>
  <c r="AB948" i="20" s="1"/>
  <c r="X948" i="20"/>
  <c r="AJ947" i="20"/>
  <c r="AB947" i="20" s="1"/>
  <c r="X947" i="20"/>
  <c r="Z947" i="20" s="1"/>
  <c r="AA947" i="20" s="1"/>
  <c r="AJ946" i="20"/>
  <c r="AB946" i="20" s="1"/>
  <c r="X946" i="20"/>
  <c r="Z946" i="20" s="1"/>
  <c r="AJ945" i="20"/>
  <c r="AB945" i="20" s="1"/>
  <c r="X945" i="20"/>
  <c r="Z945" i="20" s="1"/>
  <c r="AA945" i="20" s="1"/>
  <c r="AJ944" i="20"/>
  <c r="X944" i="20"/>
  <c r="Z944" i="20" s="1"/>
  <c r="AA944" i="20" s="1"/>
  <c r="AJ943" i="20"/>
  <c r="AB943" i="20" s="1"/>
  <c r="X943" i="20"/>
  <c r="AJ942" i="20"/>
  <c r="AB942" i="20" s="1"/>
  <c r="X942" i="20"/>
  <c r="Y942" i="20" s="1"/>
  <c r="AJ941" i="20"/>
  <c r="AB941" i="20" s="1"/>
  <c r="X941" i="20"/>
  <c r="AJ940" i="20"/>
  <c r="AB940" i="20" s="1"/>
  <c r="X940" i="20"/>
  <c r="Z940" i="20" s="1"/>
  <c r="AJ939" i="20"/>
  <c r="AB939" i="20" s="1"/>
  <c r="X939" i="20"/>
  <c r="Z939" i="20" s="1"/>
  <c r="AA939" i="20" s="1"/>
  <c r="AJ938" i="20"/>
  <c r="AB938" i="20" s="1"/>
  <c r="X938" i="20"/>
  <c r="AJ937" i="20"/>
  <c r="AB937" i="20" s="1"/>
  <c r="X937" i="20"/>
  <c r="Z937" i="20" s="1"/>
  <c r="AA937" i="20" s="1"/>
  <c r="AJ936" i="20"/>
  <c r="AB936" i="20" s="1"/>
  <c r="X936" i="20"/>
  <c r="AJ935" i="20"/>
  <c r="AB935" i="20" s="1"/>
  <c r="X935" i="20"/>
  <c r="U934" i="20"/>
  <c r="AJ931" i="20"/>
  <c r="X931" i="20"/>
  <c r="AJ930" i="20"/>
  <c r="AB930" i="20" s="1"/>
  <c r="X930" i="20"/>
  <c r="Y930" i="20" s="1"/>
  <c r="AJ929" i="20"/>
  <c r="AB929" i="20" s="1"/>
  <c r="X929" i="20"/>
  <c r="AJ928" i="20"/>
  <c r="AB928" i="20" s="1"/>
  <c r="X928" i="20"/>
  <c r="AJ927" i="20"/>
  <c r="AB927" i="20" s="1"/>
  <c r="X927" i="20"/>
  <c r="Z927" i="20" s="1"/>
  <c r="AA927" i="20" s="1"/>
  <c r="AJ926" i="20"/>
  <c r="X926" i="20"/>
  <c r="AJ925" i="20"/>
  <c r="AB925" i="20" s="1"/>
  <c r="X925" i="20"/>
  <c r="U924" i="20"/>
  <c r="AJ922" i="20"/>
  <c r="AH922" i="20"/>
  <c r="AI922" i="20" s="1"/>
  <c r="AK922" i="20" s="1"/>
  <c r="X922" i="20"/>
  <c r="Y922" i="20" s="1"/>
  <c r="AJ921" i="20"/>
  <c r="AH921" i="20"/>
  <c r="AI921" i="20" s="1"/>
  <c r="AK921" i="20" s="1"/>
  <c r="X921" i="20"/>
  <c r="AJ920" i="20"/>
  <c r="AH920" i="20"/>
  <c r="AI920" i="20" s="1"/>
  <c r="AK920" i="20" s="1"/>
  <c r="X920" i="20"/>
  <c r="AJ919" i="20"/>
  <c r="AH919" i="20"/>
  <c r="AI919" i="20" s="1"/>
  <c r="AK919" i="20" s="1"/>
  <c r="X919" i="20"/>
  <c r="AJ918" i="20"/>
  <c r="AH918" i="20"/>
  <c r="AI918" i="20" s="1"/>
  <c r="AK918" i="20" s="1"/>
  <c r="X918" i="20"/>
  <c r="AJ917" i="20"/>
  <c r="AH917" i="20"/>
  <c r="AI917" i="20" s="1"/>
  <c r="AK917" i="20" s="1"/>
  <c r="X917" i="20"/>
  <c r="AJ916" i="20"/>
  <c r="AH916" i="20"/>
  <c r="AI916" i="20" s="1"/>
  <c r="AK916" i="20" s="1"/>
  <c r="X916" i="20"/>
  <c r="AJ915" i="20"/>
  <c r="AH915" i="20"/>
  <c r="AI915" i="20" s="1"/>
  <c r="AK915" i="20" s="1"/>
  <c r="X915" i="20"/>
  <c r="Y915" i="20" s="1"/>
  <c r="AJ914" i="20"/>
  <c r="AH914" i="20"/>
  <c r="AI914" i="20" s="1"/>
  <c r="AK914" i="20" s="1"/>
  <c r="X914" i="20"/>
  <c r="Y914" i="20" s="1"/>
  <c r="AJ913" i="20"/>
  <c r="AH913" i="20"/>
  <c r="AI913" i="20" s="1"/>
  <c r="AK913" i="20" s="1"/>
  <c r="X913" i="20"/>
  <c r="AJ912" i="20"/>
  <c r="AH912" i="20"/>
  <c r="AI912" i="20" s="1"/>
  <c r="AK912" i="20" s="1"/>
  <c r="X912" i="20"/>
  <c r="Y912" i="20" s="1"/>
  <c r="AJ911" i="20"/>
  <c r="AH911" i="20"/>
  <c r="AI911" i="20" s="1"/>
  <c r="AK911" i="20" s="1"/>
  <c r="X911" i="20"/>
  <c r="Y911" i="20" s="1"/>
  <c r="AJ910" i="20"/>
  <c r="AH910" i="20"/>
  <c r="AI910" i="20" s="1"/>
  <c r="AK910" i="20" s="1"/>
  <c r="X910" i="20"/>
  <c r="AJ909" i="20"/>
  <c r="AH909" i="20"/>
  <c r="AI909" i="20" s="1"/>
  <c r="AK909" i="20" s="1"/>
  <c r="X909" i="20"/>
  <c r="AJ908" i="20"/>
  <c r="AH908" i="20"/>
  <c r="AI908" i="20" s="1"/>
  <c r="AK908" i="20" s="1"/>
  <c r="X908" i="20"/>
  <c r="AJ907" i="20"/>
  <c r="AH907" i="20"/>
  <c r="AI907" i="20" s="1"/>
  <c r="AK907" i="20" s="1"/>
  <c r="X907" i="20"/>
  <c r="Y907" i="20" s="1"/>
  <c r="AJ906" i="20"/>
  <c r="AH906" i="20"/>
  <c r="AI906" i="20" s="1"/>
  <c r="AK906" i="20" s="1"/>
  <c r="X906" i="20"/>
  <c r="AJ905" i="20"/>
  <c r="AH905" i="20"/>
  <c r="AI905" i="20" s="1"/>
  <c r="AK905" i="20" s="1"/>
  <c r="X905" i="20"/>
  <c r="AJ904" i="20"/>
  <c r="AH904" i="20"/>
  <c r="AI904" i="20" s="1"/>
  <c r="AK904" i="20" s="1"/>
  <c r="X904" i="20"/>
  <c r="AJ903" i="20"/>
  <c r="AH903" i="20"/>
  <c r="AI903" i="20" s="1"/>
  <c r="AK903" i="20" s="1"/>
  <c r="X903" i="20"/>
  <c r="AJ902" i="20"/>
  <c r="AH902" i="20"/>
  <c r="AI902" i="20" s="1"/>
  <c r="AK902" i="20" s="1"/>
  <c r="X902" i="20"/>
  <c r="AJ901" i="20"/>
  <c r="AH901" i="20"/>
  <c r="AI901" i="20" s="1"/>
  <c r="AK901" i="20" s="1"/>
  <c r="X901" i="20"/>
  <c r="AJ900" i="20"/>
  <c r="AH900" i="20"/>
  <c r="AI900" i="20" s="1"/>
  <c r="AK900" i="20" s="1"/>
  <c r="X900" i="20"/>
  <c r="AJ899" i="20"/>
  <c r="AH899" i="20"/>
  <c r="AI899" i="20" s="1"/>
  <c r="AK899" i="20" s="1"/>
  <c r="X899" i="20"/>
  <c r="AJ898" i="20"/>
  <c r="AH898" i="20"/>
  <c r="AI898" i="20" s="1"/>
  <c r="AK898" i="20" s="1"/>
  <c r="X898" i="20"/>
  <c r="AJ897" i="20"/>
  <c r="AH897" i="20"/>
  <c r="AI897" i="20" s="1"/>
  <c r="AK897" i="20" s="1"/>
  <c r="X897" i="20"/>
  <c r="AJ896" i="20"/>
  <c r="AH896" i="20"/>
  <c r="AI896" i="20" s="1"/>
  <c r="AK896" i="20" s="1"/>
  <c r="X896" i="20"/>
  <c r="Y896" i="20" s="1"/>
  <c r="AJ895" i="20"/>
  <c r="AH895" i="20"/>
  <c r="AI895" i="20" s="1"/>
  <c r="AK895" i="20" s="1"/>
  <c r="X895" i="20"/>
  <c r="Y895" i="20" s="1"/>
  <c r="AJ894" i="20"/>
  <c r="AH894" i="20"/>
  <c r="AI894" i="20" s="1"/>
  <c r="AK894" i="20" s="1"/>
  <c r="X894" i="20"/>
  <c r="Z894" i="20" s="1"/>
  <c r="AJ893" i="20"/>
  <c r="AH893" i="20"/>
  <c r="AI893" i="20" s="1"/>
  <c r="AK893" i="20" s="1"/>
  <c r="X893" i="20"/>
  <c r="AJ892" i="20"/>
  <c r="AH892" i="20"/>
  <c r="AI892" i="20" s="1"/>
  <c r="AK892" i="20" s="1"/>
  <c r="X892" i="20"/>
  <c r="AJ891" i="20"/>
  <c r="AH891" i="20"/>
  <c r="AI891" i="20" s="1"/>
  <c r="AK891" i="20" s="1"/>
  <c r="X891" i="20"/>
  <c r="Y891" i="20" s="1"/>
  <c r="AJ890" i="20"/>
  <c r="AH890" i="20"/>
  <c r="AI890" i="20" s="1"/>
  <c r="AK890" i="20" s="1"/>
  <c r="X890" i="20"/>
  <c r="AJ889" i="20"/>
  <c r="AH889" i="20"/>
  <c r="AI889" i="20" s="1"/>
  <c r="AK889" i="20" s="1"/>
  <c r="X889" i="20"/>
  <c r="AJ888" i="20"/>
  <c r="AH888" i="20"/>
  <c r="AI888" i="20" s="1"/>
  <c r="AK888" i="20" s="1"/>
  <c r="X888" i="20"/>
  <c r="Y888" i="20" s="1"/>
  <c r="AJ887" i="20"/>
  <c r="AH887" i="20"/>
  <c r="AI887" i="20" s="1"/>
  <c r="AK887" i="20" s="1"/>
  <c r="X887" i="20"/>
  <c r="AJ886" i="20"/>
  <c r="X886" i="20"/>
  <c r="AJ885" i="20"/>
  <c r="X885" i="20"/>
  <c r="Z885" i="20" s="1"/>
  <c r="AA885" i="20" s="1"/>
  <c r="AH885" i="20" s="1"/>
  <c r="AI885" i="20" s="1"/>
  <c r="AK885" i="20" s="1"/>
  <c r="AJ884" i="20"/>
  <c r="X884" i="20"/>
  <c r="Z884" i="20" s="1"/>
  <c r="AA884" i="20" s="1"/>
  <c r="AH884" i="20" s="1"/>
  <c r="AI884" i="20" s="1"/>
  <c r="AK884" i="20" s="1"/>
  <c r="AJ883" i="20"/>
  <c r="X883" i="20"/>
  <c r="AJ882" i="20"/>
  <c r="X882" i="20"/>
  <c r="AJ881" i="20"/>
  <c r="X881" i="20"/>
  <c r="Y881" i="20" s="1"/>
  <c r="AJ880" i="20"/>
  <c r="X880" i="20"/>
  <c r="AJ879" i="20"/>
  <c r="X879" i="20"/>
  <c r="AJ878" i="20"/>
  <c r="X878" i="20"/>
  <c r="Z878" i="20" s="1"/>
  <c r="AA878" i="20" s="1"/>
  <c r="AH878" i="20" s="1"/>
  <c r="AI878" i="20" s="1"/>
  <c r="AK878" i="20" s="1"/>
  <c r="AJ877" i="20"/>
  <c r="X877" i="20"/>
  <c r="AJ876" i="20"/>
  <c r="X876" i="20"/>
  <c r="AJ875" i="20"/>
  <c r="X875" i="20"/>
  <c r="AJ874" i="20"/>
  <c r="X874" i="20"/>
  <c r="AJ873" i="20"/>
  <c r="X873" i="20"/>
  <c r="AJ872" i="20"/>
  <c r="X872" i="20"/>
  <c r="AJ871" i="20"/>
  <c r="X871" i="20"/>
  <c r="AJ870" i="20"/>
  <c r="X870" i="20"/>
  <c r="AJ869" i="20"/>
  <c r="X869" i="20"/>
  <c r="AJ868" i="20"/>
  <c r="X868" i="20"/>
  <c r="Z868" i="20" s="1"/>
  <c r="AA868" i="20" s="1"/>
  <c r="AH868" i="20" s="1"/>
  <c r="AI868" i="20" s="1"/>
  <c r="AK868" i="20" s="1"/>
  <c r="AJ867" i="20"/>
  <c r="X867" i="20"/>
  <c r="Y867" i="20" s="1"/>
  <c r="AJ866" i="20"/>
  <c r="X866" i="20"/>
  <c r="AJ865" i="20"/>
  <c r="X865" i="20"/>
  <c r="AJ864" i="20"/>
  <c r="X864" i="20"/>
  <c r="AJ863" i="20"/>
  <c r="X863" i="20"/>
  <c r="AJ862" i="20"/>
  <c r="X862" i="20"/>
  <c r="Z862" i="20" s="1"/>
  <c r="AA862" i="20" s="1"/>
  <c r="AH862" i="20" s="1"/>
  <c r="AI862" i="20" s="1"/>
  <c r="AK862" i="20" s="1"/>
  <c r="AJ861" i="20"/>
  <c r="X861" i="20"/>
  <c r="Y861" i="20" s="1"/>
  <c r="AJ860" i="20"/>
  <c r="X860" i="20"/>
  <c r="AJ859" i="20"/>
  <c r="X859" i="20"/>
  <c r="AJ858" i="20"/>
  <c r="X858" i="20"/>
  <c r="AJ857" i="20"/>
  <c r="X857" i="20"/>
  <c r="AJ856" i="20"/>
  <c r="X856" i="20"/>
  <c r="AJ855" i="20"/>
  <c r="X855" i="20"/>
  <c r="AJ854" i="20"/>
  <c r="X854" i="20"/>
  <c r="AJ853" i="20"/>
  <c r="X853" i="20"/>
  <c r="Y853" i="20" s="1"/>
  <c r="AJ852" i="20"/>
  <c r="X852" i="20"/>
  <c r="AJ851" i="20"/>
  <c r="X851" i="20"/>
  <c r="AJ850" i="20"/>
  <c r="X850" i="20"/>
  <c r="AJ849" i="20"/>
  <c r="X849" i="20"/>
  <c r="AJ848" i="20"/>
  <c r="X848" i="20"/>
  <c r="Y848" i="20" s="1"/>
  <c r="AJ847" i="20"/>
  <c r="X847" i="20"/>
  <c r="Z847" i="20" s="1"/>
  <c r="AA847" i="20" s="1"/>
  <c r="AJ846" i="20"/>
  <c r="X846" i="20"/>
  <c r="AJ845" i="20"/>
  <c r="X845" i="20"/>
  <c r="Z845" i="20" s="1"/>
  <c r="AJ844" i="20"/>
  <c r="X844" i="20"/>
  <c r="AJ843" i="20"/>
  <c r="X843" i="20"/>
  <c r="Z843" i="20" s="1"/>
  <c r="AA843" i="20" s="1"/>
  <c r="AJ842" i="20"/>
  <c r="X842" i="20"/>
  <c r="AJ841" i="20"/>
  <c r="X841" i="20"/>
  <c r="AJ840" i="20"/>
  <c r="X840" i="20"/>
  <c r="AJ839" i="20"/>
  <c r="X839" i="20"/>
  <c r="Y839" i="20" s="1"/>
  <c r="AJ838" i="20"/>
  <c r="X838" i="20"/>
  <c r="AJ837" i="20"/>
  <c r="X837" i="20"/>
  <c r="AJ836" i="20"/>
  <c r="X836" i="20"/>
  <c r="AJ835" i="20"/>
  <c r="X835" i="20"/>
  <c r="AJ834" i="20"/>
  <c r="X834" i="20"/>
  <c r="Y834" i="20" s="1"/>
  <c r="AJ833" i="20"/>
  <c r="X833" i="20"/>
  <c r="AJ832" i="20"/>
  <c r="X832" i="20"/>
  <c r="AJ831" i="20"/>
  <c r="X831" i="20"/>
  <c r="AJ830" i="20"/>
  <c r="X830" i="20"/>
  <c r="AJ829" i="20"/>
  <c r="X829" i="20"/>
  <c r="AJ828" i="20"/>
  <c r="X828" i="20"/>
  <c r="AJ827" i="20"/>
  <c r="X827" i="20"/>
  <c r="AJ826" i="20"/>
  <c r="X826" i="20"/>
  <c r="AJ825" i="20"/>
  <c r="X825" i="20"/>
  <c r="AJ824" i="20"/>
  <c r="X824" i="20"/>
  <c r="AJ823" i="20"/>
  <c r="X823" i="20"/>
  <c r="AJ822" i="20"/>
  <c r="X822" i="20"/>
  <c r="AJ821" i="20"/>
  <c r="X821" i="20"/>
  <c r="AJ820" i="20"/>
  <c r="X820" i="20"/>
  <c r="AJ819" i="20"/>
  <c r="X819" i="20"/>
  <c r="AJ818" i="20"/>
  <c r="X818" i="20"/>
  <c r="U818" i="20"/>
  <c r="AJ817" i="20"/>
  <c r="X817" i="20"/>
  <c r="Z817" i="20" s="1"/>
  <c r="U817" i="20"/>
  <c r="AJ816" i="20"/>
  <c r="X816" i="20"/>
  <c r="Y816" i="20" s="1"/>
  <c r="U816" i="20"/>
  <c r="AJ815" i="20"/>
  <c r="X815" i="20"/>
  <c r="Y815" i="20" s="1"/>
  <c r="U815" i="20"/>
  <c r="AJ814" i="20"/>
  <c r="X814" i="20"/>
  <c r="U814" i="20"/>
  <c r="AJ813" i="20"/>
  <c r="X813" i="20"/>
  <c r="U813" i="20"/>
  <c r="AJ812" i="20"/>
  <c r="X812" i="20"/>
  <c r="U812" i="20"/>
  <c r="AJ811" i="20"/>
  <c r="X811" i="20"/>
  <c r="Z811" i="20" s="1"/>
  <c r="U811" i="20"/>
  <c r="AJ810" i="20"/>
  <c r="X810" i="20"/>
  <c r="Y810" i="20" s="1"/>
  <c r="U810" i="20"/>
  <c r="AJ809" i="20"/>
  <c r="X809" i="20"/>
  <c r="U809" i="20"/>
  <c r="AJ808" i="20"/>
  <c r="X808" i="20"/>
  <c r="U808" i="20"/>
  <c r="AJ807" i="20"/>
  <c r="X807" i="20"/>
  <c r="U807" i="20"/>
  <c r="AJ806" i="20"/>
  <c r="X806" i="20"/>
  <c r="U806" i="20"/>
  <c r="AJ805" i="20"/>
  <c r="X805" i="20"/>
  <c r="U805" i="20"/>
  <c r="AJ804" i="20"/>
  <c r="X804" i="20"/>
  <c r="Y804" i="20" s="1"/>
  <c r="U804" i="20"/>
  <c r="AJ803" i="20"/>
  <c r="X803" i="20"/>
  <c r="Z803" i="20" s="1"/>
  <c r="U803" i="20"/>
  <c r="AJ802" i="20"/>
  <c r="X802" i="20"/>
  <c r="U802" i="20"/>
  <c r="AJ801" i="20"/>
  <c r="X801" i="20"/>
  <c r="Z801" i="20" s="1"/>
  <c r="U801" i="20"/>
  <c r="AJ800" i="20"/>
  <c r="X800" i="20"/>
  <c r="U800" i="20"/>
  <c r="AJ799" i="20"/>
  <c r="X799" i="20"/>
  <c r="U799" i="20"/>
  <c r="AJ798" i="20"/>
  <c r="X798" i="20"/>
  <c r="Z798" i="20" s="1"/>
  <c r="AJ797" i="20"/>
  <c r="X797" i="20"/>
  <c r="AJ796" i="20"/>
  <c r="X796" i="20"/>
  <c r="Z796" i="20" s="1"/>
  <c r="AA796" i="20" s="1"/>
  <c r="AJ795" i="20"/>
  <c r="X795" i="20"/>
  <c r="Z795" i="20" s="1"/>
  <c r="AA795" i="20" s="1"/>
  <c r="AJ794" i="20"/>
  <c r="X794" i="20"/>
  <c r="Z794" i="20" s="1"/>
  <c r="AA794" i="20" s="1"/>
  <c r="AC794" i="20" s="1"/>
  <c r="AJ793" i="20"/>
  <c r="X793" i="20"/>
  <c r="AJ792" i="20"/>
  <c r="X792" i="20"/>
  <c r="Z792" i="20" s="1"/>
  <c r="AA792" i="20" s="1"/>
  <c r="AC792" i="20" s="1"/>
  <c r="AJ791" i="20"/>
  <c r="X791" i="20"/>
  <c r="AJ790" i="20"/>
  <c r="X790" i="20"/>
  <c r="Z790" i="20" s="1"/>
  <c r="AA790" i="20" s="1"/>
  <c r="AC790" i="20" s="1"/>
  <c r="AJ789" i="20"/>
  <c r="X789" i="20"/>
  <c r="Z789" i="20" s="1"/>
  <c r="AA789" i="20" s="1"/>
  <c r="AJ788" i="20"/>
  <c r="X788" i="20"/>
  <c r="Z788" i="20" s="1"/>
  <c r="AA788" i="20" s="1"/>
  <c r="AC788" i="20" s="1"/>
  <c r="AJ787" i="20"/>
  <c r="X787" i="20"/>
  <c r="Z787" i="20" s="1"/>
  <c r="AA787" i="20" s="1"/>
  <c r="AJ786" i="20"/>
  <c r="X786" i="20"/>
  <c r="Y786" i="20" s="1"/>
  <c r="AJ785" i="20"/>
  <c r="X785" i="20"/>
  <c r="AJ784" i="20"/>
  <c r="X784" i="20"/>
  <c r="Z784" i="20" s="1"/>
  <c r="AJ783" i="20"/>
  <c r="X783" i="20"/>
  <c r="Z783" i="20" s="1"/>
  <c r="AJ782" i="20"/>
  <c r="X782" i="20"/>
  <c r="AJ781" i="20"/>
  <c r="X781" i="20"/>
  <c r="Y781" i="20" s="1"/>
  <c r="AJ780" i="20"/>
  <c r="X780" i="20"/>
  <c r="AJ779" i="20"/>
  <c r="X779" i="20"/>
  <c r="Z779" i="20" s="1"/>
  <c r="AJ778" i="20"/>
  <c r="X778" i="20"/>
  <c r="Y778" i="20" s="1"/>
  <c r="AJ777" i="20"/>
  <c r="X777" i="20"/>
  <c r="Y777" i="20" s="1"/>
  <c r="AJ776" i="20"/>
  <c r="X776" i="20"/>
  <c r="AJ775" i="20"/>
  <c r="X775" i="20"/>
  <c r="Y775" i="20" s="1"/>
  <c r="AJ774" i="20"/>
  <c r="X774" i="20"/>
  <c r="Z774" i="20" s="1"/>
  <c r="AA774" i="20" s="1"/>
  <c r="AJ773" i="20"/>
  <c r="X773" i="20"/>
  <c r="AJ772" i="20"/>
  <c r="X772" i="20"/>
  <c r="Z772" i="20" s="1"/>
  <c r="AA772" i="20" s="1"/>
  <c r="AJ771" i="20"/>
  <c r="X771" i="20"/>
  <c r="Z771" i="20" s="1"/>
  <c r="AJ770" i="20"/>
  <c r="X770" i="20"/>
  <c r="Y770" i="20" s="1"/>
  <c r="AJ769" i="20"/>
  <c r="X769" i="20"/>
  <c r="AJ768" i="20"/>
  <c r="X768" i="20"/>
  <c r="AJ767" i="20"/>
  <c r="X767" i="20"/>
  <c r="Z767" i="20" s="1"/>
  <c r="AA767" i="20" s="1"/>
  <c r="AJ766" i="20"/>
  <c r="X766" i="20"/>
  <c r="AJ765" i="20"/>
  <c r="X765" i="20"/>
  <c r="Y765" i="20" s="1"/>
  <c r="AJ764" i="20"/>
  <c r="X764" i="20"/>
  <c r="Z764" i="20" s="1"/>
  <c r="AA764" i="20" s="1"/>
  <c r="AJ763" i="20"/>
  <c r="X763" i="20"/>
  <c r="AJ762" i="20"/>
  <c r="X762" i="20"/>
  <c r="Z762" i="20" s="1"/>
  <c r="AJ761" i="20"/>
  <c r="X761" i="20"/>
  <c r="AJ760" i="20"/>
  <c r="X760" i="20"/>
  <c r="Z760" i="20" s="1"/>
  <c r="AA760" i="20" s="1"/>
  <c r="AC760" i="20" s="1"/>
  <c r="AJ759" i="20"/>
  <c r="X759" i="20"/>
  <c r="Z759" i="20" s="1"/>
  <c r="AA759" i="20" s="1"/>
  <c r="AJ758" i="20"/>
  <c r="X758" i="20"/>
  <c r="AJ757" i="20"/>
  <c r="X757" i="20"/>
  <c r="Y757" i="20" s="1"/>
  <c r="AJ756" i="20"/>
  <c r="X756" i="20"/>
  <c r="Z756" i="20" s="1"/>
  <c r="AA756" i="20" s="1"/>
  <c r="AC756" i="20" s="1"/>
  <c r="AJ755" i="20"/>
  <c r="X755" i="20"/>
  <c r="AJ754" i="20"/>
  <c r="X754" i="20"/>
  <c r="AJ753" i="20"/>
  <c r="X753" i="20"/>
  <c r="Y753" i="20" s="1"/>
  <c r="AJ752" i="20"/>
  <c r="X752" i="20"/>
  <c r="AJ751" i="20"/>
  <c r="X751" i="20"/>
  <c r="Z751" i="20" s="1"/>
  <c r="AA751" i="20" s="1"/>
  <c r="AJ750" i="20"/>
  <c r="X750" i="20"/>
  <c r="Z750" i="20" s="1"/>
  <c r="AJ749" i="20"/>
  <c r="X749" i="20"/>
  <c r="Y749" i="20" s="1"/>
  <c r="AJ748" i="20"/>
  <c r="X748" i="20"/>
  <c r="AJ747" i="20"/>
  <c r="X747" i="20"/>
  <c r="AJ746" i="20"/>
  <c r="X746" i="20"/>
  <c r="Z746" i="20" s="1"/>
  <c r="AJ745" i="20"/>
  <c r="X745" i="20"/>
  <c r="AJ744" i="20"/>
  <c r="X744" i="20"/>
  <c r="AJ743" i="20"/>
  <c r="AB743" i="20"/>
  <c r="X743" i="20"/>
  <c r="Z743" i="20" s="1"/>
  <c r="AA743" i="20" s="1"/>
  <c r="AJ742" i="20"/>
  <c r="AB742" i="20"/>
  <c r="X742" i="20"/>
  <c r="AJ741" i="20"/>
  <c r="AB741" i="20"/>
  <c r="X741" i="20"/>
  <c r="AJ740" i="20"/>
  <c r="AB740" i="20"/>
  <c r="X740" i="20"/>
  <c r="Z740" i="20" s="1"/>
  <c r="AA740" i="20" s="1"/>
  <c r="AJ739" i="20"/>
  <c r="AB739" i="20"/>
  <c r="X739" i="20"/>
  <c r="Z739" i="20" s="1"/>
  <c r="AA739" i="20" s="1"/>
  <c r="AJ738" i="20"/>
  <c r="AB738" i="20"/>
  <c r="X738" i="20"/>
  <c r="AJ737" i="20"/>
  <c r="AB737" i="20"/>
  <c r="X737" i="20"/>
  <c r="Y737" i="20" s="1"/>
  <c r="AJ736" i="20"/>
  <c r="AB736" i="20"/>
  <c r="X736" i="20"/>
  <c r="Z736" i="20" s="1"/>
  <c r="AA736" i="20" s="1"/>
  <c r="AJ735" i="20"/>
  <c r="AB735" i="20"/>
  <c r="X735" i="20"/>
  <c r="Z735" i="20" s="1"/>
  <c r="AA735" i="20" s="1"/>
  <c r="AJ734" i="20"/>
  <c r="AB734" i="20"/>
  <c r="X734" i="20"/>
  <c r="AJ733" i="20"/>
  <c r="AB733" i="20"/>
  <c r="X733" i="20"/>
  <c r="AJ732" i="20"/>
  <c r="AB732" i="20"/>
  <c r="X732" i="20"/>
  <c r="U732" i="20"/>
  <c r="AJ731" i="20"/>
  <c r="AB731" i="20"/>
  <c r="X731" i="20"/>
  <c r="AJ730" i="20"/>
  <c r="AB730" i="20"/>
  <c r="X730" i="20"/>
  <c r="AJ729" i="20"/>
  <c r="AB729" i="20"/>
  <c r="X729" i="20"/>
  <c r="AJ728" i="20"/>
  <c r="AB728" i="20"/>
  <c r="X728" i="20"/>
  <c r="AJ727" i="20"/>
  <c r="AB727" i="20"/>
  <c r="X727" i="20"/>
  <c r="Y727" i="20" s="1"/>
  <c r="AJ726" i="20"/>
  <c r="AB726" i="20"/>
  <c r="X726" i="20"/>
  <c r="AJ725" i="20"/>
  <c r="AB725" i="20"/>
  <c r="X725" i="20"/>
  <c r="AJ724" i="20"/>
  <c r="AB724" i="20"/>
  <c r="X724" i="20"/>
  <c r="AJ723" i="20"/>
  <c r="AB723" i="20"/>
  <c r="X723" i="20"/>
  <c r="AJ722" i="20"/>
  <c r="AB722" i="20"/>
  <c r="X722" i="20"/>
  <c r="AJ721" i="20"/>
  <c r="AB721" i="20"/>
  <c r="X721" i="20"/>
  <c r="AJ720" i="20"/>
  <c r="AB720" i="20"/>
  <c r="X720" i="20"/>
  <c r="AJ719" i="20"/>
  <c r="AB719" i="20"/>
  <c r="X719" i="20"/>
  <c r="AJ718" i="20"/>
  <c r="AB718" i="20"/>
  <c r="X718" i="20"/>
  <c r="Z718" i="20" s="1"/>
  <c r="AJ717" i="20"/>
  <c r="AB717" i="20"/>
  <c r="X717" i="20"/>
  <c r="AJ716" i="20"/>
  <c r="AB716" i="20"/>
  <c r="X716" i="20"/>
  <c r="AJ715" i="20"/>
  <c r="AB715" i="20"/>
  <c r="X715" i="20"/>
  <c r="AJ714" i="20"/>
  <c r="AB714" i="20"/>
  <c r="X714" i="20"/>
  <c r="AJ713" i="20"/>
  <c r="AB713" i="20"/>
  <c r="X713" i="20"/>
  <c r="Y713" i="20" s="1"/>
  <c r="AJ712" i="20"/>
  <c r="AB712" i="20"/>
  <c r="X712" i="20"/>
  <c r="Z712" i="20" s="1"/>
  <c r="AJ711" i="20"/>
  <c r="AB711" i="20"/>
  <c r="X711" i="20"/>
  <c r="Y711" i="20" s="1"/>
  <c r="AJ710" i="20"/>
  <c r="AB710" i="20"/>
  <c r="X710" i="20"/>
  <c r="Y710" i="20" s="1"/>
  <c r="AJ709" i="20"/>
  <c r="AB709" i="20"/>
  <c r="X709" i="20"/>
  <c r="AJ708" i="20"/>
  <c r="AB708" i="20"/>
  <c r="X708" i="20"/>
  <c r="AJ707" i="20"/>
  <c r="AB707" i="20"/>
  <c r="X707" i="20"/>
  <c r="AJ706" i="20"/>
  <c r="AB706" i="20"/>
  <c r="X706" i="20"/>
  <c r="AJ705" i="20"/>
  <c r="AB705" i="20"/>
  <c r="X705" i="20"/>
  <c r="Y705" i="20" s="1"/>
  <c r="AJ704" i="20"/>
  <c r="AB704" i="20"/>
  <c r="X704" i="20"/>
  <c r="AJ703" i="20"/>
  <c r="AB703" i="20"/>
  <c r="X703" i="20"/>
  <c r="Z703" i="20" s="1"/>
  <c r="AA703" i="20" s="1"/>
  <c r="AJ702" i="20"/>
  <c r="AB702" i="20"/>
  <c r="X702" i="20"/>
  <c r="Y702" i="20" s="1"/>
  <c r="AJ701" i="20"/>
  <c r="AB701" i="20"/>
  <c r="X701" i="20"/>
  <c r="Z701" i="20" s="1"/>
  <c r="AA701" i="20" s="1"/>
  <c r="AJ700" i="20"/>
  <c r="AB700" i="20"/>
  <c r="X700" i="20"/>
  <c r="Y700" i="20" s="1"/>
  <c r="AJ699" i="20"/>
  <c r="AB699" i="20"/>
  <c r="X699" i="20"/>
  <c r="Z699" i="20" s="1"/>
  <c r="AA699" i="20" s="1"/>
  <c r="AJ698" i="20"/>
  <c r="AB698" i="20"/>
  <c r="X698" i="20"/>
  <c r="AJ697" i="20"/>
  <c r="AB697" i="20"/>
  <c r="X697" i="20"/>
  <c r="AJ696" i="20"/>
  <c r="AB696" i="20"/>
  <c r="X696" i="20"/>
  <c r="AJ695" i="20"/>
  <c r="AB695" i="20"/>
  <c r="X695" i="20"/>
  <c r="Z695" i="20" s="1"/>
  <c r="AA695" i="20" s="1"/>
  <c r="AJ694" i="20"/>
  <c r="AB694" i="20"/>
  <c r="X694" i="20"/>
  <c r="Y694" i="20" s="1"/>
  <c r="AJ693" i="20"/>
  <c r="AB693" i="20"/>
  <c r="X693" i="20"/>
  <c r="AJ692" i="20"/>
  <c r="AB692" i="20"/>
  <c r="X692" i="20"/>
  <c r="AJ691" i="20"/>
  <c r="AB691" i="20"/>
  <c r="X691" i="20"/>
  <c r="AJ690" i="20"/>
  <c r="AB690" i="20"/>
  <c r="X690" i="20"/>
  <c r="Y690" i="20" s="1"/>
  <c r="AJ117" i="20"/>
  <c r="X117" i="20"/>
  <c r="AJ686" i="20"/>
  <c r="AH686" i="20"/>
  <c r="AI686" i="20" s="1"/>
  <c r="AK686" i="20" s="1"/>
  <c r="X686" i="20"/>
  <c r="AJ685" i="20"/>
  <c r="AH685" i="20"/>
  <c r="AI685" i="20" s="1"/>
  <c r="AK685" i="20" s="1"/>
  <c r="X685" i="20"/>
  <c r="AJ684" i="20"/>
  <c r="AH684" i="20"/>
  <c r="AI684" i="20" s="1"/>
  <c r="AK684" i="20" s="1"/>
  <c r="X684" i="20"/>
  <c r="AJ116" i="20"/>
  <c r="X116" i="20"/>
  <c r="AJ683" i="20"/>
  <c r="AH683" i="20"/>
  <c r="AI683" i="20" s="1"/>
  <c r="AK683" i="20" s="1"/>
  <c r="X683" i="20"/>
  <c r="AJ682" i="20"/>
  <c r="AH682" i="20"/>
  <c r="AI682" i="20" s="1"/>
  <c r="AK682" i="20" s="1"/>
  <c r="X682" i="20"/>
  <c r="AJ681" i="20"/>
  <c r="AH681" i="20"/>
  <c r="AI681" i="20" s="1"/>
  <c r="AK681" i="20" s="1"/>
  <c r="X681" i="20"/>
  <c r="Z681" i="20" s="1"/>
  <c r="AJ680" i="20"/>
  <c r="AH680" i="20"/>
  <c r="AI680" i="20" s="1"/>
  <c r="AK680" i="20" s="1"/>
  <c r="X680" i="20"/>
  <c r="AJ679" i="20"/>
  <c r="AH679" i="20"/>
  <c r="AI679" i="20" s="1"/>
  <c r="AK679" i="20" s="1"/>
  <c r="X679" i="20"/>
  <c r="AJ678" i="20"/>
  <c r="AH678" i="20"/>
  <c r="AI678" i="20" s="1"/>
  <c r="AK678" i="20" s="1"/>
  <c r="X678" i="20"/>
  <c r="Z678" i="20" s="1"/>
  <c r="AJ677" i="20"/>
  <c r="AH677" i="20"/>
  <c r="AI677" i="20" s="1"/>
  <c r="AK677" i="20" s="1"/>
  <c r="X677" i="20"/>
  <c r="Z677" i="20" s="1"/>
  <c r="AJ676" i="20"/>
  <c r="AH676" i="20"/>
  <c r="AI676" i="20" s="1"/>
  <c r="AK676" i="20" s="1"/>
  <c r="X676" i="20"/>
  <c r="AJ675" i="20"/>
  <c r="AH675" i="20"/>
  <c r="AI675" i="20" s="1"/>
  <c r="AK675" i="20" s="1"/>
  <c r="X675" i="20"/>
  <c r="AJ674" i="20"/>
  <c r="AH674" i="20"/>
  <c r="AI674" i="20" s="1"/>
  <c r="AK674" i="20" s="1"/>
  <c r="X674" i="20"/>
  <c r="AJ673" i="20"/>
  <c r="AH673" i="20"/>
  <c r="AI673" i="20" s="1"/>
  <c r="AK673" i="20" s="1"/>
  <c r="X673" i="20"/>
  <c r="AJ672" i="20"/>
  <c r="AH672" i="20"/>
  <c r="AI672" i="20" s="1"/>
  <c r="AK672" i="20" s="1"/>
  <c r="X672" i="20"/>
  <c r="AJ671" i="20"/>
  <c r="AH671" i="20"/>
  <c r="AI671" i="20" s="1"/>
  <c r="AK671" i="20" s="1"/>
  <c r="X671" i="20"/>
  <c r="AJ670" i="20"/>
  <c r="AH670" i="20"/>
  <c r="AI670" i="20" s="1"/>
  <c r="AK670" i="20" s="1"/>
  <c r="X670" i="20"/>
  <c r="AJ132" i="20"/>
  <c r="AH132" i="20"/>
  <c r="AI132" i="20" s="1"/>
  <c r="AK132" i="20" s="1"/>
  <c r="X132" i="20"/>
  <c r="AJ669" i="20"/>
  <c r="AH669" i="20"/>
  <c r="AI669" i="20" s="1"/>
  <c r="AK669" i="20" s="1"/>
  <c r="X669" i="20"/>
  <c r="AJ668" i="20"/>
  <c r="AH668" i="20"/>
  <c r="AI668" i="20" s="1"/>
  <c r="AK668" i="20" s="1"/>
  <c r="X668" i="20"/>
  <c r="AJ667" i="20"/>
  <c r="AH667" i="20"/>
  <c r="AI667" i="20" s="1"/>
  <c r="AK667" i="20" s="1"/>
  <c r="X667" i="20"/>
  <c r="AJ666" i="20"/>
  <c r="AH666" i="20"/>
  <c r="AI666" i="20" s="1"/>
  <c r="AK666" i="20" s="1"/>
  <c r="X666" i="20"/>
  <c r="Y666" i="20" s="1"/>
  <c r="AJ665" i="20"/>
  <c r="AH665" i="20"/>
  <c r="AI665" i="20" s="1"/>
  <c r="AK665" i="20" s="1"/>
  <c r="X665" i="20"/>
  <c r="AJ664" i="20"/>
  <c r="AH664" i="20"/>
  <c r="AI664" i="20" s="1"/>
  <c r="AK664" i="20" s="1"/>
  <c r="X664" i="20"/>
  <c r="AJ663" i="20"/>
  <c r="AH663" i="20"/>
  <c r="AI663" i="20" s="1"/>
  <c r="AK663" i="20" s="1"/>
  <c r="X663" i="20"/>
  <c r="AJ662" i="20"/>
  <c r="AH662" i="20"/>
  <c r="AI662" i="20" s="1"/>
  <c r="AK662" i="20" s="1"/>
  <c r="X662" i="20"/>
  <c r="AJ661" i="20"/>
  <c r="AH661" i="20"/>
  <c r="AI661" i="20" s="1"/>
  <c r="AK661" i="20" s="1"/>
  <c r="X661" i="20"/>
  <c r="AJ660" i="20"/>
  <c r="AH660" i="20"/>
  <c r="AI660" i="20" s="1"/>
  <c r="AK660" i="20" s="1"/>
  <c r="X660" i="20"/>
  <c r="Y660" i="20" s="1"/>
  <c r="AJ659" i="20"/>
  <c r="AH659" i="20"/>
  <c r="AI659" i="20" s="1"/>
  <c r="AK659" i="20" s="1"/>
  <c r="X659" i="20"/>
  <c r="AJ658" i="20"/>
  <c r="X658" i="20"/>
  <c r="Y658" i="20" s="1"/>
  <c r="AJ657" i="20"/>
  <c r="X657" i="20"/>
  <c r="Z657" i="20" s="1"/>
  <c r="AA657" i="20" s="1"/>
  <c r="AH657" i="20" s="1"/>
  <c r="AI657" i="20" s="1"/>
  <c r="AK657" i="20" s="1"/>
  <c r="AJ656" i="20"/>
  <c r="X656" i="20"/>
  <c r="AJ655" i="20"/>
  <c r="X655" i="20"/>
  <c r="AJ654" i="20"/>
  <c r="X654" i="20"/>
  <c r="AJ653" i="20"/>
  <c r="X653" i="20"/>
  <c r="Y653" i="20" s="1"/>
  <c r="AJ652" i="20"/>
  <c r="X652" i="20"/>
  <c r="Y652" i="20" s="1"/>
  <c r="AJ651" i="20"/>
  <c r="X651" i="20"/>
  <c r="AJ650" i="20"/>
  <c r="X650" i="20"/>
  <c r="AJ649" i="20"/>
  <c r="X649" i="20"/>
  <c r="Y649" i="20" s="1"/>
  <c r="AJ648" i="20"/>
  <c r="X648" i="20"/>
  <c r="Z648" i="20" s="1"/>
  <c r="AA648" i="20" s="1"/>
  <c r="AH648" i="20" s="1"/>
  <c r="AI648" i="20" s="1"/>
  <c r="AK648" i="20" s="1"/>
  <c r="AJ647" i="20"/>
  <c r="X647" i="20"/>
  <c r="Z647" i="20" s="1"/>
  <c r="AA647" i="20" s="1"/>
  <c r="AH647" i="20" s="1"/>
  <c r="AI647" i="20" s="1"/>
  <c r="AK647" i="20" s="1"/>
  <c r="AJ646" i="20"/>
  <c r="X646" i="20"/>
  <c r="AJ115" i="20"/>
  <c r="X115" i="20"/>
  <c r="AJ645" i="20"/>
  <c r="X645" i="20"/>
  <c r="Y645" i="20" s="1"/>
  <c r="AJ644" i="20"/>
  <c r="X644" i="20"/>
  <c r="Y644" i="20" s="1"/>
  <c r="AJ643" i="20"/>
  <c r="X643" i="20"/>
  <c r="AJ642" i="20"/>
  <c r="X642" i="20"/>
  <c r="AJ641" i="20"/>
  <c r="X641" i="20"/>
  <c r="AJ640" i="20"/>
  <c r="X640" i="20"/>
  <c r="AJ639" i="20"/>
  <c r="X639" i="20"/>
  <c r="AJ638" i="20"/>
  <c r="X638" i="20"/>
  <c r="AJ637" i="20"/>
  <c r="X637" i="20"/>
  <c r="Z637" i="20" s="1"/>
  <c r="AA637" i="20" s="1"/>
  <c r="AH637" i="20" s="1"/>
  <c r="AI637" i="20" s="1"/>
  <c r="AK637" i="20" s="1"/>
  <c r="AJ636" i="20"/>
  <c r="X636" i="20"/>
  <c r="Z636" i="20" s="1"/>
  <c r="AA636" i="20" s="1"/>
  <c r="AH636" i="20" s="1"/>
  <c r="AI636" i="20" s="1"/>
  <c r="AK636" i="20" s="1"/>
  <c r="AJ635" i="20"/>
  <c r="X635" i="20"/>
  <c r="AJ634" i="20"/>
  <c r="X634" i="20"/>
  <c r="AJ633" i="20"/>
  <c r="X633" i="20"/>
  <c r="AJ632" i="20"/>
  <c r="X632" i="20"/>
  <c r="Z632" i="20" s="1"/>
  <c r="AA632" i="20" s="1"/>
  <c r="AH632" i="20" s="1"/>
  <c r="AI632" i="20" s="1"/>
  <c r="AK632" i="20" s="1"/>
  <c r="AJ631" i="20"/>
  <c r="X631" i="20"/>
  <c r="Z631" i="20" s="1"/>
  <c r="AA631" i="20" s="1"/>
  <c r="AH631" i="20" s="1"/>
  <c r="AI631" i="20" s="1"/>
  <c r="AK631" i="20" s="1"/>
  <c r="AJ630" i="20"/>
  <c r="X630" i="20"/>
  <c r="Z630" i="20" s="1"/>
  <c r="AA630" i="20" s="1"/>
  <c r="AH630" i="20" s="1"/>
  <c r="AI630" i="20" s="1"/>
  <c r="AK630" i="20" s="1"/>
  <c r="AJ629" i="20"/>
  <c r="X629" i="20"/>
  <c r="AJ628" i="20"/>
  <c r="X628" i="20"/>
  <c r="AJ627" i="20"/>
  <c r="X627" i="20"/>
  <c r="AJ626" i="20"/>
  <c r="X626" i="20"/>
  <c r="AJ625" i="20"/>
  <c r="X625" i="20"/>
  <c r="AJ624" i="20"/>
  <c r="X624" i="20"/>
  <c r="Y624" i="20" s="1"/>
  <c r="AJ623" i="20"/>
  <c r="X623" i="20"/>
  <c r="AJ622" i="20"/>
  <c r="X622" i="20"/>
  <c r="AJ621" i="20"/>
  <c r="X621" i="20"/>
  <c r="AJ620" i="20"/>
  <c r="X620" i="20"/>
  <c r="AJ619" i="20"/>
  <c r="X619" i="20"/>
  <c r="Z619" i="20" s="1"/>
  <c r="AA619" i="20" s="1"/>
  <c r="AH619" i="20" s="1"/>
  <c r="AI619" i="20" s="1"/>
  <c r="AK619" i="20" s="1"/>
  <c r="AJ618" i="20"/>
  <c r="X618" i="20"/>
  <c r="AJ617" i="20"/>
  <c r="X617" i="20"/>
  <c r="AJ616" i="20"/>
  <c r="X616" i="20"/>
  <c r="Z616" i="20" s="1"/>
  <c r="AA616" i="20" s="1"/>
  <c r="AH616" i="20" s="1"/>
  <c r="AI616" i="20" s="1"/>
  <c r="AK616" i="20" s="1"/>
  <c r="AJ615" i="20"/>
  <c r="X615" i="20"/>
  <c r="Z615" i="20" s="1"/>
  <c r="AA615" i="20" s="1"/>
  <c r="AH615" i="20" s="1"/>
  <c r="AI615" i="20" s="1"/>
  <c r="AK615" i="20" s="1"/>
  <c r="AJ614" i="20"/>
  <c r="X614" i="20"/>
  <c r="Z614" i="20" s="1"/>
  <c r="AA614" i="20" s="1"/>
  <c r="AH614" i="20" s="1"/>
  <c r="AI614" i="20" s="1"/>
  <c r="AK614" i="20" s="1"/>
  <c r="AJ613" i="20"/>
  <c r="X613" i="20"/>
  <c r="Z613" i="20" s="1"/>
  <c r="AA613" i="20" s="1"/>
  <c r="AH613" i="20" s="1"/>
  <c r="AI613" i="20" s="1"/>
  <c r="AK613" i="20" s="1"/>
  <c r="AJ131" i="20"/>
  <c r="X131" i="20"/>
  <c r="Z131" i="20" s="1"/>
  <c r="AA131" i="20" s="1"/>
  <c r="AH131" i="20" s="1"/>
  <c r="AI131" i="20" s="1"/>
  <c r="AK131" i="20" s="1"/>
  <c r="AJ612" i="20"/>
  <c r="X612" i="20"/>
  <c r="Y612" i="20" s="1"/>
  <c r="AJ40" i="20"/>
  <c r="X40" i="20"/>
  <c r="AJ611" i="20"/>
  <c r="X611" i="20"/>
  <c r="Y611" i="20" s="1"/>
  <c r="AJ127" i="20"/>
  <c r="X127" i="20"/>
  <c r="AJ126" i="20"/>
  <c r="X126" i="20"/>
  <c r="AJ610" i="20"/>
  <c r="X610" i="20"/>
  <c r="AJ39" i="20"/>
  <c r="X39" i="20"/>
  <c r="AJ609" i="20"/>
  <c r="X609" i="20"/>
  <c r="Y609" i="20" s="1"/>
  <c r="AJ378" i="20"/>
  <c r="X378" i="20"/>
  <c r="Y378" i="20" s="1"/>
  <c r="AJ376" i="20"/>
  <c r="X376" i="20"/>
  <c r="Z376" i="20" s="1"/>
  <c r="AA376" i="20" s="1"/>
  <c r="AC376" i="20" s="1"/>
  <c r="AJ375" i="20"/>
  <c r="X375" i="20"/>
  <c r="AJ608" i="20"/>
  <c r="X608" i="20"/>
  <c r="Z608" i="20" s="1"/>
  <c r="AA608" i="20" s="1"/>
  <c r="AC608" i="20" s="1"/>
  <c r="AJ607" i="20"/>
  <c r="X607" i="20"/>
  <c r="Y607" i="20" s="1"/>
  <c r="AJ606" i="20"/>
  <c r="X606" i="20"/>
  <c r="AJ605" i="20"/>
  <c r="X605" i="20"/>
  <c r="Z605" i="20" s="1"/>
  <c r="AA605" i="20" s="1"/>
  <c r="AJ604" i="20"/>
  <c r="X604" i="20"/>
  <c r="AJ603" i="20"/>
  <c r="X603" i="20"/>
  <c r="AJ602" i="20"/>
  <c r="X602" i="20"/>
  <c r="AJ379" i="20"/>
  <c r="X379" i="20"/>
  <c r="Z379" i="20" s="1"/>
  <c r="AA379" i="20" s="1"/>
  <c r="AJ601" i="20"/>
  <c r="X601" i="20"/>
  <c r="Z601" i="20" s="1"/>
  <c r="AA601" i="20" s="1"/>
  <c r="AC601" i="20" s="1"/>
  <c r="AJ114" i="20"/>
  <c r="X114" i="20"/>
  <c r="AJ145" i="20"/>
  <c r="X145" i="20"/>
  <c r="AJ600" i="20"/>
  <c r="X600" i="20"/>
  <c r="AJ599" i="20"/>
  <c r="X599" i="20"/>
  <c r="Z599" i="20" s="1"/>
  <c r="AA599" i="20" s="1"/>
  <c r="AC599" i="20" s="1"/>
  <c r="AF599" i="20" s="1"/>
  <c r="AJ598" i="20"/>
  <c r="X598" i="20"/>
  <c r="Y598" i="20" s="1"/>
  <c r="AJ597" i="20"/>
  <c r="X597" i="20"/>
  <c r="Y597" i="20" s="1"/>
  <c r="AJ596" i="20"/>
  <c r="X596" i="20"/>
  <c r="AJ595" i="20"/>
  <c r="X595" i="20"/>
  <c r="Z595" i="20" s="1"/>
  <c r="AA595" i="20" s="1"/>
  <c r="AC595" i="20" s="1"/>
  <c r="AJ594" i="20"/>
  <c r="X594" i="20"/>
  <c r="Y594" i="20" s="1"/>
  <c r="AJ593" i="20"/>
  <c r="X593" i="20"/>
  <c r="AJ592" i="20"/>
  <c r="X592" i="20"/>
  <c r="AJ591" i="20"/>
  <c r="X591" i="20"/>
  <c r="AJ590" i="20"/>
  <c r="X590" i="20"/>
  <c r="Y590" i="20" s="1"/>
  <c r="AJ589" i="20"/>
  <c r="X589" i="20"/>
  <c r="AJ588" i="20"/>
  <c r="X588" i="20"/>
  <c r="Z588" i="20" s="1"/>
  <c r="AA588" i="20" s="1"/>
  <c r="AJ587" i="20"/>
  <c r="X587" i="20"/>
  <c r="Z587" i="20" s="1"/>
  <c r="AJ586" i="20"/>
  <c r="X586" i="20"/>
  <c r="AJ585" i="20"/>
  <c r="X585" i="20"/>
  <c r="AJ584" i="20"/>
  <c r="X584" i="20"/>
  <c r="Y584" i="20" s="1"/>
  <c r="AJ583" i="20"/>
  <c r="X583" i="20"/>
  <c r="Z583" i="20" s="1"/>
  <c r="AA583" i="20" s="1"/>
  <c r="AC583" i="20" s="1"/>
  <c r="AF583" i="20" s="1"/>
  <c r="AJ582" i="20"/>
  <c r="X582" i="20"/>
  <c r="Y582" i="20" s="1"/>
  <c r="AJ581" i="20"/>
  <c r="X581" i="20"/>
  <c r="AJ580" i="20"/>
  <c r="X580" i="20"/>
  <c r="Y580" i="20" s="1"/>
  <c r="AJ579" i="20"/>
  <c r="X579" i="20"/>
  <c r="Y579" i="20" s="1"/>
  <c r="AJ578" i="20"/>
  <c r="X578" i="20"/>
  <c r="Y578" i="20" s="1"/>
  <c r="AJ577" i="20"/>
  <c r="X577" i="20"/>
  <c r="AJ576" i="20"/>
  <c r="X576" i="20"/>
  <c r="AJ575" i="20"/>
  <c r="X575" i="20"/>
  <c r="Y575" i="20" s="1"/>
  <c r="AJ141" i="20"/>
  <c r="X141" i="20"/>
  <c r="Y141" i="20" s="1"/>
  <c r="AJ574" i="20"/>
  <c r="X574" i="20"/>
  <c r="AJ573" i="20"/>
  <c r="X573" i="20"/>
  <c r="Y573" i="20" s="1"/>
  <c r="AJ377" i="20"/>
  <c r="X377" i="20"/>
  <c r="Y377" i="20" s="1"/>
  <c r="AJ572" i="20"/>
  <c r="X572" i="20"/>
  <c r="Y572" i="20" s="1"/>
  <c r="U572" i="20"/>
  <c r="AJ571" i="20"/>
  <c r="X571" i="20"/>
  <c r="Z571" i="20" s="1"/>
  <c r="U571" i="20"/>
  <c r="T130" i="21" s="1"/>
  <c r="AJ570" i="20"/>
  <c r="X570" i="20"/>
  <c r="U570" i="20"/>
  <c r="AJ569" i="20"/>
  <c r="X569" i="20"/>
  <c r="AJ568" i="20"/>
  <c r="X568" i="20"/>
  <c r="AJ567" i="20"/>
  <c r="X567" i="20"/>
  <c r="Z567" i="20" s="1"/>
  <c r="AA567" i="20" s="1"/>
  <c r="AJ566" i="20"/>
  <c r="X566" i="20"/>
  <c r="Z566" i="20" s="1"/>
  <c r="AA566" i="20" s="1"/>
  <c r="AJ565" i="20"/>
  <c r="X565" i="20"/>
  <c r="Y565" i="20" s="1"/>
  <c r="AJ564" i="20"/>
  <c r="X564" i="20"/>
  <c r="AJ563" i="20"/>
  <c r="X563" i="20"/>
  <c r="AJ562" i="20"/>
  <c r="X562" i="20"/>
  <c r="Y562" i="20" s="1"/>
  <c r="AJ561" i="20"/>
  <c r="X561" i="20"/>
  <c r="AJ560" i="20"/>
  <c r="X560" i="20"/>
  <c r="AJ113" i="20"/>
  <c r="X113" i="20"/>
  <c r="AJ559" i="20"/>
  <c r="X559" i="20"/>
  <c r="Z559" i="20" s="1"/>
  <c r="AA559" i="20" s="1"/>
  <c r="AJ558" i="20"/>
  <c r="X558" i="20"/>
  <c r="Z558" i="20" s="1"/>
  <c r="U558" i="20"/>
  <c r="T45" i="21" s="1"/>
  <c r="AJ557" i="20"/>
  <c r="X557" i="20"/>
  <c r="Y557" i="20" s="1"/>
  <c r="AJ556" i="20"/>
  <c r="X556" i="20"/>
  <c r="Y556" i="20" s="1"/>
  <c r="AJ555" i="20"/>
  <c r="X555" i="20"/>
  <c r="Y555" i="20" s="1"/>
  <c r="AJ554" i="20"/>
  <c r="X554" i="20"/>
  <c r="AJ125" i="20"/>
  <c r="X125" i="20"/>
  <c r="AJ553" i="20"/>
  <c r="X553" i="20"/>
  <c r="Y553" i="20" s="1"/>
  <c r="AJ552" i="20"/>
  <c r="X552" i="20"/>
  <c r="Y552" i="20" s="1"/>
  <c r="AJ551" i="20"/>
  <c r="X551" i="20"/>
  <c r="Y551" i="20" s="1"/>
  <c r="AJ550" i="20"/>
  <c r="X550" i="20"/>
  <c r="Y550" i="20" s="1"/>
  <c r="AJ549" i="20"/>
  <c r="X549" i="20"/>
  <c r="Y549" i="20" s="1"/>
  <c r="AJ548" i="20"/>
  <c r="X548" i="20"/>
  <c r="AJ547" i="20"/>
  <c r="X547" i="20"/>
  <c r="Y547" i="20" s="1"/>
  <c r="AJ546" i="20"/>
  <c r="X546" i="20"/>
  <c r="Y546" i="20" s="1"/>
  <c r="AJ545" i="20"/>
  <c r="X545" i="20"/>
  <c r="Y545" i="20" s="1"/>
  <c r="AJ544" i="20"/>
  <c r="X544" i="20"/>
  <c r="AJ543" i="20"/>
  <c r="X543" i="20"/>
  <c r="Y543" i="20" s="1"/>
  <c r="AJ542" i="20"/>
  <c r="X542" i="20"/>
  <c r="Y542" i="20" s="1"/>
  <c r="AJ541" i="20"/>
  <c r="X541" i="20"/>
  <c r="AJ540" i="20"/>
  <c r="X540" i="20"/>
  <c r="Y540" i="20" s="1"/>
  <c r="AJ539" i="20"/>
  <c r="X539" i="20"/>
  <c r="Y539" i="20" s="1"/>
  <c r="AJ144" i="20"/>
  <c r="X144" i="20"/>
  <c r="AJ538" i="20"/>
  <c r="X538" i="20"/>
  <c r="U538" i="20"/>
  <c r="AJ124" i="20"/>
  <c r="X124" i="20"/>
  <c r="Z124" i="20" s="1"/>
  <c r="AA124" i="20" s="1"/>
  <c r="AC124" i="20" s="1"/>
  <c r="AJ537" i="20"/>
  <c r="X537" i="20"/>
  <c r="Z537" i="20" s="1"/>
  <c r="AA537" i="20" s="1"/>
  <c r="AJ536" i="20"/>
  <c r="X536" i="20"/>
  <c r="Z536" i="20" s="1"/>
  <c r="AA536" i="20" s="1"/>
  <c r="AC536" i="20" s="1"/>
  <c r="AJ535" i="20"/>
  <c r="X535" i="20"/>
  <c r="Z535" i="20" s="1"/>
  <c r="AJ534" i="20"/>
  <c r="X534" i="20"/>
  <c r="U534" i="20"/>
  <c r="T182" i="21" s="1"/>
  <c r="AJ533" i="20"/>
  <c r="X533" i="20"/>
  <c r="Z533" i="20" s="1"/>
  <c r="U533" i="20"/>
  <c r="AJ532" i="20"/>
  <c r="X532" i="20"/>
  <c r="Z532" i="20" s="1"/>
  <c r="U532" i="20"/>
  <c r="AJ531" i="20"/>
  <c r="X531" i="20"/>
  <c r="AJ530" i="20"/>
  <c r="X530" i="20"/>
  <c r="AJ529" i="20"/>
  <c r="X529" i="20"/>
  <c r="U529" i="20"/>
  <c r="AJ528" i="20"/>
  <c r="X528" i="20"/>
  <c r="Z528" i="20" s="1"/>
  <c r="AA528" i="20" s="1"/>
  <c r="AJ527" i="20"/>
  <c r="X527" i="20"/>
  <c r="Z527" i="20" s="1"/>
  <c r="AA527" i="20" s="1"/>
  <c r="AC527" i="20" s="1"/>
  <c r="AJ123" i="20"/>
  <c r="X123" i="20"/>
  <c r="Z123" i="20" s="1"/>
  <c r="AA123" i="20" s="1"/>
  <c r="AJ526" i="20"/>
  <c r="X526" i="20"/>
  <c r="U526" i="20"/>
  <c r="T82" i="21" s="1"/>
  <c r="AJ525" i="20"/>
  <c r="X525" i="20"/>
  <c r="Z525" i="20" s="1"/>
  <c r="AA525" i="20" s="1"/>
  <c r="AJ524" i="20"/>
  <c r="X524" i="20"/>
  <c r="U524" i="20"/>
  <c r="T188" i="21" s="1"/>
  <c r="AJ523" i="20"/>
  <c r="X523" i="20"/>
  <c r="Y523" i="20" s="1"/>
  <c r="AJ522" i="20"/>
  <c r="X522" i="20"/>
  <c r="Y522" i="20" s="1"/>
  <c r="AJ143" i="20"/>
  <c r="X143" i="20"/>
  <c r="Z143" i="20" s="1"/>
  <c r="AA143" i="20" s="1"/>
  <c r="AJ521" i="20"/>
  <c r="X521" i="20"/>
  <c r="AJ520" i="20"/>
  <c r="X520" i="20"/>
  <c r="AJ130" i="20"/>
  <c r="X130" i="20"/>
  <c r="Y130" i="20" s="1"/>
  <c r="AJ519" i="20"/>
  <c r="X519" i="20"/>
  <c r="Y519" i="20" s="1"/>
  <c r="U519" i="20"/>
  <c r="T118" i="21" s="1"/>
  <c r="AJ518" i="20"/>
  <c r="X518" i="20"/>
  <c r="Y518" i="20" s="1"/>
  <c r="AJ517" i="20"/>
  <c r="X517" i="20"/>
  <c r="Y517" i="20" s="1"/>
  <c r="AJ516" i="20"/>
  <c r="X516" i="20"/>
  <c r="AJ515" i="20"/>
  <c r="X515" i="20"/>
  <c r="AJ514" i="20"/>
  <c r="X514" i="20"/>
  <c r="AJ513" i="20"/>
  <c r="X513" i="20"/>
  <c r="Y513" i="20" s="1"/>
  <c r="U513" i="20"/>
  <c r="T109" i="21" s="1"/>
  <c r="AJ512" i="20"/>
  <c r="X512" i="20"/>
  <c r="AJ511" i="20"/>
  <c r="X511" i="20"/>
  <c r="U511" i="20"/>
  <c r="T43" i="21" s="1"/>
  <c r="AJ510" i="20"/>
  <c r="X510" i="20"/>
  <c r="AJ509" i="20"/>
  <c r="X509" i="20"/>
  <c r="Y509" i="20" s="1"/>
  <c r="AJ508" i="20"/>
  <c r="X508" i="20"/>
  <c r="Z508" i="20" s="1"/>
  <c r="AJ507" i="20"/>
  <c r="X507" i="20"/>
  <c r="AJ506" i="20"/>
  <c r="X506" i="20"/>
  <c r="Z506" i="20" s="1"/>
  <c r="AJ505" i="20"/>
  <c r="X505" i="20"/>
  <c r="AJ504" i="20"/>
  <c r="X504" i="20"/>
  <c r="Z504" i="20" s="1"/>
  <c r="AA504" i="20" s="1"/>
  <c r="AJ503" i="20"/>
  <c r="X503" i="20"/>
  <c r="Z503" i="20" s="1"/>
  <c r="AA503" i="20" s="1"/>
  <c r="AJ502" i="20"/>
  <c r="X502" i="20"/>
  <c r="Z502" i="20" s="1"/>
  <c r="AA502" i="20" s="1"/>
  <c r="AJ501" i="20"/>
  <c r="X501" i="20"/>
  <c r="Y501" i="20" s="1"/>
  <c r="AJ500" i="20"/>
  <c r="X500" i="20"/>
  <c r="Z500" i="20" s="1"/>
  <c r="AJ499" i="20"/>
  <c r="X499" i="20"/>
  <c r="AJ498" i="20"/>
  <c r="X498" i="20"/>
  <c r="Y498" i="20" s="1"/>
  <c r="AJ497" i="20"/>
  <c r="X497" i="20"/>
  <c r="Y497" i="20" s="1"/>
  <c r="AJ496" i="20"/>
  <c r="X496" i="20"/>
  <c r="AJ495" i="20"/>
  <c r="X495" i="20"/>
  <c r="AJ494" i="20"/>
  <c r="X494" i="20"/>
  <c r="Z494" i="20" s="1"/>
  <c r="AA494" i="20" s="1"/>
  <c r="AJ493" i="20"/>
  <c r="X493" i="20"/>
  <c r="AJ492" i="20"/>
  <c r="X492" i="20"/>
  <c r="AJ491" i="20"/>
  <c r="X491" i="20"/>
  <c r="AJ490" i="20"/>
  <c r="X490" i="20"/>
  <c r="Z490" i="20" s="1"/>
  <c r="AJ489" i="20"/>
  <c r="X489" i="20"/>
  <c r="AJ488" i="20"/>
  <c r="X488" i="20"/>
  <c r="Z488" i="20" s="1"/>
  <c r="AJ487" i="20"/>
  <c r="X487" i="20"/>
  <c r="Z487" i="20" s="1"/>
  <c r="AJ486" i="20"/>
  <c r="X486" i="20"/>
  <c r="Y486" i="20" s="1"/>
  <c r="AJ485" i="20"/>
  <c r="X485" i="20"/>
  <c r="Y485" i="20" s="1"/>
  <c r="AJ484" i="20"/>
  <c r="X484" i="20"/>
  <c r="AJ483" i="20"/>
  <c r="X483" i="20"/>
  <c r="AJ482" i="20"/>
  <c r="X482" i="20"/>
  <c r="Y482" i="20" s="1"/>
  <c r="AJ481" i="20"/>
  <c r="X481" i="20"/>
  <c r="Y481" i="20" s="1"/>
  <c r="AJ480" i="20"/>
  <c r="X480" i="20"/>
  <c r="AJ479" i="20"/>
  <c r="X479" i="20"/>
  <c r="AJ478" i="20"/>
  <c r="X478" i="20"/>
  <c r="AJ477" i="20"/>
  <c r="X477" i="20"/>
  <c r="Y477" i="20" s="1"/>
  <c r="AJ476" i="20"/>
  <c r="X476" i="20"/>
  <c r="Y476" i="20" s="1"/>
  <c r="AJ475" i="20"/>
  <c r="X475" i="20"/>
  <c r="AJ474" i="20"/>
  <c r="X474" i="20"/>
  <c r="Z474" i="20" s="1"/>
  <c r="AJ473" i="20"/>
  <c r="X473" i="20"/>
  <c r="AJ472" i="20"/>
  <c r="X472" i="20"/>
  <c r="Z472" i="20" s="1"/>
  <c r="AA472" i="20" s="1"/>
  <c r="AJ471" i="20"/>
  <c r="X471" i="20"/>
  <c r="AJ470" i="20"/>
  <c r="X470" i="20"/>
  <c r="AJ469" i="20"/>
  <c r="X469" i="20"/>
  <c r="Y469" i="20" s="1"/>
  <c r="AJ468" i="20"/>
  <c r="X468" i="20"/>
  <c r="Z468" i="20" s="1"/>
  <c r="AA468" i="20" s="1"/>
  <c r="AJ467" i="20"/>
  <c r="X467" i="20"/>
  <c r="AJ466" i="20"/>
  <c r="X466" i="20"/>
  <c r="Z466" i="20" s="1"/>
  <c r="AJ465" i="20"/>
  <c r="X465" i="20"/>
  <c r="Y465" i="20" s="1"/>
  <c r="AJ464" i="20"/>
  <c r="X464" i="20"/>
  <c r="Y464" i="20" s="1"/>
  <c r="AJ463" i="20"/>
  <c r="X463" i="20"/>
  <c r="AJ462" i="20"/>
  <c r="X462" i="20"/>
  <c r="AJ461" i="20"/>
  <c r="X461" i="20"/>
  <c r="Y461" i="20" s="1"/>
  <c r="AJ460" i="20"/>
  <c r="X460" i="20"/>
  <c r="Y460" i="20" s="1"/>
  <c r="AJ459" i="20"/>
  <c r="X459" i="20"/>
  <c r="AJ458" i="20"/>
  <c r="X458" i="20"/>
  <c r="Z458" i="20" s="1"/>
  <c r="AJ457" i="20"/>
  <c r="X457" i="20"/>
  <c r="AJ456" i="20"/>
  <c r="X456" i="20"/>
  <c r="AJ455" i="20"/>
  <c r="X455" i="20"/>
  <c r="AJ454" i="20"/>
  <c r="X454" i="20"/>
  <c r="Z454" i="20" s="1"/>
  <c r="AJ453" i="20"/>
  <c r="X453" i="20"/>
  <c r="Y453" i="20" s="1"/>
  <c r="AJ452" i="20"/>
  <c r="X452" i="20"/>
  <c r="Z452" i="20" s="1"/>
  <c r="AA452" i="20" s="1"/>
  <c r="AJ451" i="20"/>
  <c r="AB451" i="20" s="1"/>
  <c r="X451" i="20"/>
  <c r="Z451" i="20" s="1"/>
  <c r="AA451" i="20" s="1"/>
  <c r="AJ450" i="20"/>
  <c r="AB450" i="20" s="1"/>
  <c r="X450" i="20"/>
  <c r="Y450" i="20" s="1"/>
  <c r="AJ449" i="20"/>
  <c r="AB449" i="20" s="1"/>
  <c r="X449" i="20"/>
  <c r="Z449" i="20" s="1"/>
  <c r="AA449" i="20" s="1"/>
  <c r="AJ448" i="20"/>
  <c r="AB448" i="20" s="1"/>
  <c r="X448" i="20"/>
  <c r="Z448" i="20" s="1"/>
  <c r="AA448" i="20" s="1"/>
  <c r="AJ447" i="20"/>
  <c r="AB447" i="20" s="1"/>
  <c r="X447" i="20"/>
  <c r="AJ446" i="20"/>
  <c r="AB446" i="20" s="1"/>
  <c r="X446" i="20"/>
  <c r="AJ445" i="20"/>
  <c r="AB445" i="20" s="1"/>
  <c r="X445" i="20"/>
  <c r="Z445" i="20" s="1"/>
  <c r="AA445" i="20" s="1"/>
  <c r="AJ444" i="20"/>
  <c r="AB444" i="20" s="1"/>
  <c r="X444" i="20"/>
  <c r="Z444" i="20" s="1"/>
  <c r="AA444" i="20" s="1"/>
  <c r="AJ443" i="20"/>
  <c r="AB443" i="20" s="1"/>
  <c r="X443" i="20"/>
  <c r="Z443" i="20" s="1"/>
  <c r="AA443" i="20" s="1"/>
  <c r="AJ442" i="20"/>
  <c r="AB442" i="20" s="1"/>
  <c r="X442" i="20"/>
  <c r="AJ441" i="20"/>
  <c r="AB441" i="20" s="1"/>
  <c r="X441" i="20"/>
  <c r="Z441" i="20" s="1"/>
  <c r="AA441" i="20" s="1"/>
  <c r="AJ440" i="20"/>
  <c r="AB440" i="20" s="1"/>
  <c r="X440" i="20"/>
  <c r="Y440" i="20" s="1"/>
  <c r="AJ439" i="20"/>
  <c r="AB439" i="20" s="1"/>
  <c r="X439" i="20"/>
  <c r="AJ438" i="20"/>
  <c r="AB438" i="20" s="1"/>
  <c r="X438" i="20"/>
  <c r="Z438" i="20" s="1"/>
  <c r="AA438" i="20" s="1"/>
  <c r="AJ437" i="20"/>
  <c r="AB437" i="20" s="1"/>
  <c r="X437" i="20"/>
  <c r="Z437" i="20" s="1"/>
  <c r="AA437" i="20" s="1"/>
  <c r="AJ436" i="20"/>
  <c r="AB436" i="20" s="1"/>
  <c r="X436" i="20"/>
  <c r="Y436" i="20" s="1"/>
  <c r="AJ435" i="20"/>
  <c r="AB435" i="20" s="1"/>
  <c r="X435" i="20"/>
  <c r="AJ434" i="20"/>
  <c r="AB434" i="20" s="1"/>
  <c r="X434" i="20"/>
  <c r="Z434" i="20" s="1"/>
  <c r="AA434" i="20" s="1"/>
  <c r="AJ433" i="20"/>
  <c r="AB433" i="20" s="1"/>
  <c r="X433" i="20"/>
  <c r="Z433" i="20" s="1"/>
  <c r="AA433" i="20" s="1"/>
  <c r="AJ432" i="20"/>
  <c r="AB432" i="20" s="1"/>
  <c r="X432" i="20"/>
  <c r="AJ431" i="20"/>
  <c r="AB431" i="20" s="1"/>
  <c r="X431" i="20"/>
  <c r="Z431" i="20" s="1"/>
  <c r="AA431" i="20" s="1"/>
  <c r="AJ430" i="20"/>
  <c r="AB430" i="20" s="1"/>
  <c r="X430" i="20"/>
  <c r="Z430" i="20" s="1"/>
  <c r="AA430" i="20" s="1"/>
  <c r="AJ429" i="20"/>
  <c r="AB429" i="20" s="1"/>
  <c r="X429" i="20"/>
  <c r="Z429" i="20" s="1"/>
  <c r="AA429" i="20" s="1"/>
  <c r="AJ428" i="20"/>
  <c r="AB428" i="20" s="1"/>
  <c r="X428" i="20"/>
  <c r="Z428" i="20" s="1"/>
  <c r="AA428" i="20" s="1"/>
  <c r="AJ122" i="20"/>
  <c r="AB122" i="20" s="1"/>
  <c r="X122" i="20"/>
  <c r="Z122" i="20" s="1"/>
  <c r="AA122" i="20" s="1"/>
  <c r="AJ427" i="20"/>
  <c r="AB427" i="20" s="1"/>
  <c r="X427" i="20"/>
  <c r="Y427" i="20" s="1"/>
  <c r="AJ426" i="20"/>
  <c r="AB426" i="20" s="1"/>
  <c r="X426" i="20"/>
  <c r="AJ425" i="20"/>
  <c r="AB425" i="20" s="1"/>
  <c r="X425" i="20"/>
  <c r="Z425" i="20" s="1"/>
  <c r="AA425" i="20" s="1"/>
  <c r="AJ424" i="20"/>
  <c r="AB424" i="20" s="1"/>
  <c r="X424" i="20"/>
  <c r="Z424" i="20" s="1"/>
  <c r="AA424" i="20" s="1"/>
  <c r="AJ423" i="20"/>
  <c r="AB423" i="20" s="1"/>
  <c r="X423" i="20"/>
  <c r="Y423" i="20" s="1"/>
  <c r="AJ112" i="20"/>
  <c r="AB112" i="20" s="1"/>
  <c r="X112" i="20"/>
  <c r="AJ422" i="20"/>
  <c r="AB422" i="20" s="1"/>
  <c r="X422" i="20"/>
  <c r="Z422" i="20" s="1"/>
  <c r="AA422" i="20" s="1"/>
  <c r="AJ421" i="20"/>
  <c r="AB421" i="20" s="1"/>
  <c r="X421" i="20"/>
  <c r="Z421" i="20" s="1"/>
  <c r="AA421" i="20" s="1"/>
  <c r="AJ420" i="20"/>
  <c r="AB420" i="20" s="1"/>
  <c r="X420" i="20"/>
  <c r="Y420" i="20" s="1"/>
  <c r="AJ419" i="20"/>
  <c r="AB419" i="20" s="1"/>
  <c r="X419" i="20"/>
  <c r="Z419" i="20" s="1"/>
  <c r="AA419" i="20" s="1"/>
  <c r="AJ418" i="20"/>
  <c r="AB418" i="20" s="1"/>
  <c r="X418" i="20"/>
  <c r="Y418" i="20" s="1"/>
  <c r="AJ417" i="20"/>
  <c r="AB417" i="20" s="1"/>
  <c r="X417" i="20"/>
  <c r="Z417" i="20" s="1"/>
  <c r="AA417" i="20" s="1"/>
  <c r="AJ416" i="20"/>
  <c r="AB416" i="20" s="1"/>
  <c r="X416" i="20"/>
  <c r="AJ415" i="20"/>
  <c r="AB415" i="20" s="1"/>
  <c r="X415" i="20"/>
  <c r="Z415" i="20" s="1"/>
  <c r="AA415" i="20" s="1"/>
  <c r="AJ414" i="20"/>
  <c r="AB414" i="20" s="1"/>
  <c r="X414" i="20"/>
  <c r="Z414" i="20" s="1"/>
  <c r="AA414" i="20" s="1"/>
  <c r="AJ413" i="20"/>
  <c r="AB413" i="20" s="1"/>
  <c r="X413" i="20"/>
  <c r="AJ412" i="20"/>
  <c r="AB412" i="20" s="1"/>
  <c r="X412" i="20"/>
  <c r="AJ411" i="20"/>
  <c r="AB411" i="20" s="1"/>
  <c r="X411" i="20"/>
  <c r="AJ410" i="20"/>
  <c r="AB410" i="20" s="1"/>
  <c r="X410" i="20"/>
  <c r="Z410" i="20" s="1"/>
  <c r="AA410" i="20" s="1"/>
  <c r="AJ409" i="20"/>
  <c r="AB409" i="20" s="1"/>
  <c r="X409" i="20"/>
  <c r="Z409" i="20" s="1"/>
  <c r="AJ408" i="20"/>
  <c r="AB408" i="20" s="1"/>
  <c r="X408" i="20"/>
  <c r="AJ407" i="20"/>
  <c r="AB407" i="20" s="1"/>
  <c r="X407" i="20"/>
  <c r="Z407" i="20" s="1"/>
  <c r="AJ406" i="20"/>
  <c r="AB406" i="20" s="1"/>
  <c r="X406" i="20"/>
  <c r="Y406" i="20" s="1"/>
  <c r="AJ405" i="20"/>
  <c r="AB405" i="20" s="1"/>
  <c r="X405" i="20"/>
  <c r="Z405" i="20" s="1"/>
  <c r="AA405" i="20" s="1"/>
  <c r="AJ404" i="20"/>
  <c r="AB404" i="20" s="1"/>
  <c r="X404" i="20"/>
  <c r="AJ403" i="20"/>
  <c r="AB403" i="20" s="1"/>
  <c r="X403" i="20"/>
  <c r="AJ402" i="20"/>
  <c r="AB402" i="20" s="1"/>
  <c r="X402" i="20"/>
  <c r="AJ401" i="20"/>
  <c r="AB401" i="20" s="1"/>
  <c r="X401" i="20"/>
  <c r="Z401" i="20" s="1"/>
  <c r="AJ400" i="20"/>
  <c r="AB400" i="20" s="1"/>
  <c r="X400" i="20"/>
  <c r="AJ399" i="20"/>
  <c r="AB399" i="20" s="1"/>
  <c r="X399" i="20"/>
  <c r="Z399" i="20" s="1"/>
  <c r="AJ398" i="20"/>
  <c r="AB398" i="20" s="1"/>
  <c r="X398" i="20"/>
  <c r="Y398" i="20" s="1"/>
  <c r="AJ397" i="20"/>
  <c r="AB397" i="20" s="1"/>
  <c r="X397" i="20"/>
  <c r="AJ396" i="20"/>
  <c r="AB396" i="20" s="1"/>
  <c r="X396" i="20"/>
  <c r="Z396" i="20" s="1"/>
  <c r="AJ395" i="20"/>
  <c r="AB395" i="20" s="1"/>
  <c r="X395" i="20"/>
  <c r="Z395" i="20" s="1"/>
  <c r="AA395" i="20" s="1"/>
  <c r="AJ394" i="20"/>
  <c r="AB394" i="20" s="1"/>
  <c r="X394" i="20"/>
  <c r="Z394" i="20" s="1"/>
  <c r="AA394" i="20" s="1"/>
  <c r="AJ393" i="20"/>
  <c r="AB393" i="20" s="1"/>
  <c r="X393" i="20"/>
  <c r="AJ392" i="20"/>
  <c r="AB392" i="20" s="1"/>
  <c r="X392" i="20"/>
  <c r="AJ121" i="20"/>
  <c r="AB121" i="20" s="1"/>
  <c r="X121" i="20"/>
  <c r="Z121" i="20" s="1"/>
  <c r="AA121" i="20" s="1"/>
  <c r="AJ391" i="20"/>
  <c r="AB391" i="20" s="1"/>
  <c r="X391" i="20"/>
  <c r="Z391" i="20" s="1"/>
  <c r="AA391" i="20" s="1"/>
  <c r="AJ390" i="20"/>
  <c r="AB390" i="20" s="1"/>
  <c r="X390" i="20"/>
  <c r="Z390" i="20" s="1"/>
  <c r="AA390" i="20" s="1"/>
  <c r="AJ389" i="20"/>
  <c r="AB389" i="20" s="1"/>
  <c r="X389" i="20"/>
  <c r="Z389" i="20" s="1"/>
  <c r="AA389" i="20" s="1"/>
  <c r="AJ388" i="20"/>
  <c r="AB388" i="20" s="1"/>
  <c r="X388" i="20"/>
  <c r="Z388" i="20" s="1"/>
  <c r="AA388" i="20" s="1"/>
  <c r="AJ387" i="20"/>
  <c r="AB387" i="20" s="1"/>
  <c r="X387" i="20"/>
  <c r="Z387" i="20" s="1"/>
  <c r="AA387" i="20" s="1"/>
  <c r="AJ386" i="20"/>
  <c r="AB386" i="20" s="1"/>
  <c r="X386" i="20"/>
  <c r="Z386" i="20" s="1"/>
  <c r="AA386" i="20" s="1"/>
  <c r="AJ385" i="20"/>
  <c r="AB385" i="20" s="1"/>
  <c r="X385" i="20"/>
  <c r="Y385" i="20" s="1"/>
  <c r="AJ384" i="20"/>
  <c r="AB384" i="20" s="1"/>
  <c r="X384" i="20"/>
  <c r="AJ383" i="20"/>
  <c r="AB383" i="20" s="1"/>
  <c r="X383" i="20"/>
  <c r="AJ382" i="20"/>
  <c r="AB382" i="20" s="1"/>
  <c r="X382" i="20"/>
  <c r="Z382" i="20" s="1"/>
  <c r="AA382" i="20" s="1"/>
  <c r="AJ381" i="20"/>
  <c r="AB381" i="20" s="1"/>
  <c r="X381" i="20"/>
  <c r="Y381" i="20" s="1"/>
  <c r="AJ380" i="20"/>
  <c r="AB380" i="20" s="1"/>
  <c r="X380" i="20"/>
  <c r="Z380" i="20" s="1"/>
  <c r="AA380" i="20" s="1"/>
  <c r="AJ374" i="20"/>
  <c r="AB374" i="20" s="1"/>
  <c r="X374" i="20"/>
  <c r="Y374" i="20" s="1"/>
  <c r="AJ373" i="20"/>
  <c r="AB373" i="20" s="1"/>
  <c r="X373" i="20"/>
  <c r="Z373" i="20" s="1"/>
  <c r="AA373" i="20" s="1"/>
  <c r="AJ372" i="20"/>
  <c r="AB372" i="20" s="1"/>
  <c r="X372" i="20"/>
  <c r="Z372" i="20" s="1"/>
  <c r="AA372" i="20" s="1"/>
  <c r="AJ371" i="20"/>
  <c r="AB371" i="20" s="1"/>
  <c r="X371" i="20"/>
  <c r="Z371" i="20" s="1"/>
  <c r="AA371" i="20" s="1"/>
  <c r="AJ370" i="20"/>
  <c r="AB370" i="20" s="1"/>
  <c r="X370" i="20"/>
  <c r="Z370" i="20" s="1"/>
  <c r="AA370" i="20" s="1"/>
  <c r="AJ369" i="20"/>
  <c r="AB369" i="20" s="1"/>
  <c r="X369" i="20"/>
  <c r="Z369" i="20" s="1"/>
  <c r="AA369" i="20" s="1"/>
  <c r="AJ368" i="20"/>
  <c r="AB368" i="20" s="1"/>
  <c r="X368" i="20"/>
  <c r="Z368" i="20" s="1"/>
  <c r="AA368" i="20" s="1"/>
  <c r="AJ367" i="20"/>
  <c r="AB367" i="20" s="1"/>
  <c r="X367" i="20"/>
  <c r="Z367" i="20" s="1"/>
  <c r="AA367" i="20" s="1"/>
  <c r="AJ366" i="20"/>
  <c r="AB366" i="20" s="1"/>
  <c r="X366" i="20"/>
  <c r="Z366" i="20" s="1"/>
  <c r="AA366" i="20" s="1"/>
  <c r="AJ365" i="20"/>
  <c r="AB365" i="20" s="1"/>
  <c r="X365" i="20"/>
  <c r="Z365" i="20" s="1"/>
  <c r="AA365" i="20" s="1"/>
  <c r="AJ364" i="20"/>
  <c r="AB364" i="20" s="1"/>
  <c r="X364" i="20"/>
  <c r="Z364" i="20" s="1"/>
  <c r="AA364" i="20" s="1"/>
  <c r="AJ363" i="20"/>
  <c r="AB363" i="20" s="1"/>
  <c r="X363" i="20"/>
  <c r="AJ362" i="20"/>
  <c r="AB362" i="20" s="1"/>
  <c r="X362" i="20"/>
  <c r="Z362" i="20" s="1"/>
  <c r="AA362" i="20" s="1"/>
  <c r="AJ361" i="20"/>
  <c r="AB361" i="20" s="1"/>
  <c r="X361" i="20"/>
  <c r="Z361" i="20" s="1"/>
  <c r="AA361" i="20" s="1"/>
  <c r="AJ360" i="20"/>
  <c r="AB360" i="20" s="1"/>
  <c r="X360" i="20"/>
  <c r="AJ359" i="20"/>
  <c r="AB359" i="20" s="1"/>
  <c r="X359" i="20"/>
  <c r="Z359" i="20" s="1"/>
  <c r="AA359" i="20" s="1"/>
  <c r="AJ358" i="20"/>
  <c r="AB358" i="20" s="1"/>
  <c r="X358" i="20"/>
  <c r="Z358" i="20" s="1"/>
  <c r="AA358" i="20" s="1"/>
  <c r="AJ357" i="20"/>
  <c r="AB357" i="20" s="1"/>
  <c r="X357" i="20"/>
  <c r="Z357" i="20" s="1"/>
  <c r="AA357" i="20" s="1"/>
  <c r="AJ356" i="20"/>
  <c r="AB356" i="20" s="1"/>
  <c r="X356" i="20"/>
  <c r="Z356" i="20" s="1"/>
  <c r="AA356" i="20" s="1"/>
  <c r="AJ355" i="20"/>
  <c r="AB355" i="20" s="1"/>
  <c r="X355" i="20"/>
  <c r="AJ354" i="20"/>
  <c r="AB354" i="20" s="1"/>
  <c r="X354" i="20"/>
  <c r="Z354" i="20" s="1"/>
  <c r="AA354" i="20" s="1"/>
  <c r="AJ353" i="20"/>
  <c r="AB353" i="20" s="1"/>
  <c r="X353" i="20"/>
  <c r="Z353" i="20" s="1"/>
  <c r="AA353" i="20" s="1"/>
  <c r="AJ352" i="20"/>
  <c r="AB352" i="20" s="1"/>
  <c r="X352" i="20"/>
  <c r="AJ351" i="20"/>
  <c r="AB351" i="20" s="1"/>
  <c r="X351" i="20"/>
  <c r="Z351" i="20" s="1"/>
  <c r="AA351" i="20" s="1"/>
  <c r="AJ350" i="20"/>
  <c r="AB350" i="20" s="1"/>
  <c r="X350" i="20"/>
  <c r="Z350" i="20" s="1"/>
  <c r="AA350" i="20" s="1"/>
  <c r="AJ349" i="20"/>
  <c r="AB349" i="20" s="1"/>
  <c r="X349" i="20"/>
  <c r="Z349" i="20" s="1"/>
  <c r="AA349" i="20" s="1"/>
  <c r="AJ348" i="20"/>
  <c r="AB348" i="20" s="1"/>
  <c r="X348" i="20"/>
  <c r="Y348" i="20" s="1"/>
  <c r="AJ347" i="20"/>
  <c r="AB347" i="20" s="1"/>
  <c r="X347" i="20"/>
  <c r="AJ346" i="20"/>
  <c r="AB346" i="20" s="1"/>
  <c r="X346" i="20"/>
  <c r="Y346" i="20" s="1"/>
  <c r="AJ345" i="20"/>
  <c r="AB345" i="20" s="1"/>
  <c r="X345" i="20"/>
  <c r="Z345" i="20" s="1"/>
  <c r="AA345" i="20" s="1"/>
  <c r="AJ344" i="20"/>
  <c r="AB344" i="20" s="1"/>
  <c r="X344" i="20"/>
  <c r="AJ343" i="20"/>
  <c r="AB343" i="20" s="1"/>
  <c r="X343" i="20"/>
  <c r="Z343" i="20" s="1"/>
  <c r="AA343" i="20" s="1"/>
  <c r="AJ342" i="20"/>
  <c r="AB342" i="20" s="1"/>
  <c r="X342" i="20"/>
  <c r="Y342" i="20" s="1"/>
  <c r="AJ341" i="20"/>
  <c r="AB341" i="20" s="1"/>
  <c r="X341" i="20"/>
  <c r="Z341" i="20" s="1"/>
  <c r="AA341" i="20" s="1"/>
  <c r="AJ340" i="20"/>
  <c r="AB340" i="20" s="1"/>
  <c r="X340" i="20"/>
  <c r="AJ339" i="20"/>
  <c r="AB339" i="20" s="1"/>
  <c r="X339" i="20"/>
  <c r="Z339" i="20" s="1"/>
  <c r="AA339" i="20" s="1"/>
  <c r="AJ338" i="20"/>
  <c r="AB338" i="20" s="1"/>
  <c r="X338" i="20"/>
  <c r="Z338" i="20" s="1"/>
  <c r="AA338" i="20" s="1"/>
  <c r="AJ337" i="20"/>
  <c r="AB337" i="20" s="1"/>
  <c r="X337" i="20"/>
  <c r="Z337" i="20" s="1"/>
  <c r="AA337" i="20" s="1"/>
  <c r="AJ336" i="20"/>
  <c r="AB336" i="20" s="1"/>
  <c r="X336" i="20"/>
  <c r="AJ335" i="20"/>
  <c r="AB335" i="20" s="1"/>
  <c r="X335" i="20"/>
  <c r="Z335" i="20" s="1"/>
  <c r="AA335" i="20" s="1"/>
  <c r="AJ334" i="20"/>
  <c r="AB334" i="20" s="1"/>
  <c r="X334" i="20"/>
  <c r="Z334" i="20" s="1"/>
  <c r="AA334" i="20" s="1"/>
  <c r="AJ333" i="20"/>
  <c r="AB333" i="20" s="1"/>
  <c r="X333" i="20"/>
  <c r="Z333" i="20" s="1"/>
  <c r="AA333" i="20" s="1"/>
  <c r="AJ332" i="20"/>
  <c r="AB332" i="20" s="1"/>
  <c r="X332" i="20"/>
  <c r="Z332" i="20" s="1"/>
  <c r="AA332" i="20" s="1"/>
  <c r="AJ331" i="20"/>
  <c r="AB331" i="20" s="1"/>
  <c r="X331" i="20"/>
  <c r="Z331" i="20" s="1"/>
  <c r="AA331" i="20" s="1"/>
  <c r="AJ330" i="20"/>
  <c r="AB330" i="20" s="1"/>
  <c r="X330" i="20"/>
  <c r="Z330" i="20" s="1"/>
  <c r="AA330" i="20" s="1"/>
  <c r="AJ329" i="20"/>
  <c r="AB329" i="20" s="1"/>
  <c r="X329" i="20"/>
  <c r="Z329" i="20" s="1"/>
  <c r="AA329" i="20" s="1"/>
  <c r="AJ328" i="20"/>
  <c r="AB328" i="20" s="1"/>
  <c r="X328" i="20"/>
  <c r="Z328" i="20" s="1"/>
  <c r="AJ327" i="20"/>
  <c r="AB327" i="20" s="1"/>
  <c r="X327" i="20"/>
  <c r="Z327" i="20" s="1"/>
  <c r="AA327" i="20" s="1"/>
  <c r="AJ326" i="20"/>
  <c r="AB326" i="20" s="1"/>
  <c r="X326" i="20"/>
  <c r="Z326" i="20" s="1"/>
  <c r="AA326" i="20" s="1"/>
  <c r="AJ325" i="20"/>
  <c r="AB325" i="20" s="1"/>
  <c r="X325" i="20"/>
  <c r="Z325" i="20" s="1"/>
  <c r="AA325" i="20" s="1"/>
  <c r="AJ324" i="20"/>
  <c r="AB324" i="20" s="1"/>
  <c r="X324" i="20"/>
  <c r="Z324" i="20" s="1"/>
  <c r="AA324" i="20" s="1"/>
  <c r="AJ323" i="20"/>
  <c r="AB323" i="20" s="1"/>
  <c r="X323" i="20"/>
  <c r="Z323" i="20" s="1"/>
  <c r="AA323" i="20" s="1"/>
  <c r="AJ129" i="20"/>
  <c r="AB129" i="20" s="1"/>
  <c r="X129" i="20"/>
  <c r="Z129" i="20" s="1"/>
  <c r="AA129" i="20" s="1"/>
  <c r="AJ322" i="20"/>
  <c r="X322" i="20"/>
  <c r="AJ321" i="20"/>
  <c r="AB321" i="20" s="1"/>
  <c r="X321" i="20"/>
  <c r="Y321" i="20" s="1"/>
  <c r="AJ320" i="20"/>
  <c r="AB320" i="20" s="1"/>
  <c r="X320" i="20"/>
  <c r="Y320" i="20" s="1"/>
  <c r="AJ319" i="20"/>
  <c r="AB319" i="20" s="1"/>
  <c r="X319" i="20"/>
  <c r="AJ318" i="20"/>
  <c r="AB318" i="20" s="1"/>
  <c r="X318" i="20"/>
  <c r="Y318" i="20" s="1"/>
  <c r="AJ317" i="20"/>
  <c r="AB317" i="20" s="1"/>
  <c r="X317" i="20"/>
  <c r="Z317" i="20" s="1"/>
  <c r="AA317" i="20" s="1"/>
  <c r="AJ316" i="20"/>
  <c r="AB316" i="20" s="1"/>
  <c r="X316" i="20"/>
  <c r="Y316" i="20" s="1"/>
  <c r="AJ120" i="20"/>
  <c r="AB120" i="20" s="1"/>
  <c r="X120" i="20"/>
  <c r="Y120" i="20" s="1"/>
  <c r="AJ119" i="20"/>
  <c r="AB119" i="20" s="1"/>
  <c r="X119" i="20"/>
  <c r="AJ315" i="20"/>
  <c r="AB315" i="20" s="1"/>
  <c r="X315" i="20"/>
  <c r="AJ314" i="20"/>
  <c r="AB314" i="20" s="1"/>
  <c r="X314" i="20"/>
  <c r="Y314" i="20" s="1"/>
  <c r="AJ313" i="20"/>
  <c r="AB313" i="20" s="1"/>
  <c r="X313" i="20"/>
  <c r="AJ312" i="20"/>
  <c r="AB312" i="20" s="1"/>
  <c r="X312" i="20"/>
  <c r="Y312" i="20" s="1"/>
  <c r="AJ311" i="20"/>
  <c r="AB311" i="20" s="1"/>
  <c r="X311" i="20"/>
  <c r="Z311" i="20" s="1"/>
  <c r="AA311" i="20" s="1"/>
  <c r="AJ38" i="20"/>
  <c r="AB38" i="20" s="1"/>
  <c r="X38" i="20"/>
  <c r="Y38" i="20" s="1"/>
  <c r="AJ310" i="20"/>
  <c r="AB310" i="20" s="1"/>
  <c r="X310" i="20"/>
  <c r="Z310" i="20" s="1"/>
  <c r="AA310" i="20" s="1"/>
  <c r="AJ309" i="20"/>
  <c r="AB309" i="20" s="1"/>
  <c r="X309" i="20"/>
  <c r="AJ308" i="20"/>
  <c r="AB308" i="20" s="1"/>
  <c r="X308" i="20"/>
  <c r="Y308" i="20" s="1"/>
  <c r="AJ307" i="20"/>
  <c r="AB307" i="20" s="1"/>
  <c r="X307" i="20"/>
  <c r="Y307" i="20" s="1"/>
  <c r="AJ306" i="20"/>
  <c r="AB306" i="20" s="1"/>
  <c r="X306" i="20"/>
  <c r="AJ305" i="20"/>
  <c r="AB305" i="20" s="1"/>
  <c r="X305" i="20"/>
  <c r="Y305" i="20" s="1"/>
  <c r="AJ304" i="20"/>
  <c r="AB304" i="20" s="1"/>
  <c r="X304" i="20"/>
  <c r="Z304" i="20" s="1"/>
  <c r="AA304" i="20" s="1"/>
  <c r="AJ303" i="20"/>
  <c r="AB303" i="20" s="1"/>
  <c r="X303" i="20"/>
  <c r="Y303" i="20" s="1"/>
  <c r="AJ302" i="20"/>
  <c r="AB302" i="20" s="1"/>
  <c r="X302" i="20"/>
  <c r="Z302" i="20" s="1"/>
  <c r="AA302" i="20" s="1"/>
  <c r="AJ301" i="20"/>
  <c r="AB301" i="20" s="1"/>
  <c r="X301" i="20"/>
  <c r="Y301" i="20" s="1"/>
  <c r="AJ300" i="20"/>
  <c r="AB300" i="20" s="1"/>
  <c r="X300" i="20"/>
  <c r="Y300" i="20" s="1"/>
  <c r="AJ299" i="20"/>
  <c r="AB299" i="20" s="1"/>
  <c r="X299" i="20"/>
  <c r="Y299" i="20" s="1"/>
  <c r="AJ298" i="20"/>
  <c r="AB298" i="20" s="1"/>
  <c r="X298" i="20"/>
  <c r="Z298" i="20" s="1"/>
  <c r="AA298" i="20" s="1"/>
  <c r="AJ297" i="20"/>
  <c r="AB297" i="20" s="1"/>
  <c r="X297" i="20"/>
  <c r="Y297" i="20" s="1"/>
  <c r="AJ296" i="20"/>
  <c r="AB296" i="20" s="1"/>
  <c r="X296" i="20"/>
  <c r="AJ295" i="20"/>
  <c r="AB295" i="20" s="1"/>
  <c r="X295" i="20"/>
  <c r="AJ294" i="20"/>
  <c r="AB294" i="20" s="1"/>
  <c r="X294" i="20"/>
  <c r="Y294" i="20" s="1"/>
  <c r="AJ293" i="20"/>
  <c r="AB293" i="20" s="1"/>
  <c r="X293" i="20"/>
  <c r="Y293" i="20" s="1"/>
  <c r="AJ292" i="20"/>
  <c r="AB292" i="20" s="1"/>
  <c r="X292" i="20"/>
  <c r="Y292" i="20" s="1"/>
  <c r="AJ291" i="20"/>
  <c r="AB291" i="20" s="1"/>
  <c r="X291" i="20"/>
  <c r="Y291" i="20" s="1"/>
  <c r="AJ290" i="20"/>
  <c r="AB290" i="20" s="1"/>
  <c r="X290" i="20"/>
  <c r="Z290" i="20" s="1"/>
  <c r="AA290" i="20" s="1"/>
  <c r="AJ289" i="20"/>
  <c r="AB289" i="20" s="1"/>
  <c r="X289" i="20"/>
  <c r="Y289" i="20" s="1"/>
  <c r="AJ288" i="20"/>
  <c r="AB288" i="20" s="1"/>
  <c r="X288" i="20"/>
  <c r="Z288" i="20" s="1"/>
  <c r="AJ287" i="20"/>
  <c r="AB287" i="20" s="1"/>
  <c r="X287" i="20"/>
  <c r="AJ286" i="20"/>
  <c r="AB286" i="20" s="1"/>
  <c r="X286" i="20"/>
  <c r="Z286" i="20" s="1"/>
  <c r="AA286" i="20" s="1"/>
  <c r="AJ285" i="20"/>
  <c r="AB285" i="20" s="1"/>
  <c r="F285" i="20"/>
  <c r="X285" i="20" s="1"/>
  <c r="AJ284" i="20"/>
  <c r="AB284" i="20" s="1"/>
  <c r="F284" i="20"/>
  <c r="X284" i="20" s="1"/>
  <c r="Z284" i="20" s="1"/>
  <c r="AA284" i="20" s="1"/>
  <c r="AJ283" i="20"/>
  <c r="AB283" i="20" s="1"/>
  <c r="F283" i="20"/>
  <c r="X283" i="20" s="1"/>
  <c r="AJ282" i="20"/>
  <c r="AB282" i="20" s="1"/>
  <c r="F282" i="20"/>
  <c r="X282" i="20" s="1"/>
  <c r="Z282" i="20" s="1"/>
  <c r="AJ281" i="20"/>
  <c r="AB281" i="20" s="1"/>
  <c r="F281" i="20"/>
  <c r="X281" i="20" s="1"/>
  <c r="AJ280" i="20"/>
  <c r="AB280" i="20" s="1"/>
  <c r="F280" i="20"/>
  <c r="X280" i="20" s="1"/>
  <c r="Z280" i="20" s="1"/>
  <c r="AJ279" i="20"/>
  <c r="AB279" i="20" s="1"/>
  <c r="F279" i="20"/>
  <c r="X279" i="20" s="1"/>
  <c r="AJ278" i="20"/>
  <c r="AB278" i="20" s="1"/>
  <c r="F278" i="20"/>
  <c r="X278" i="20" s="1"/>
  <c r="AJ277" i="20"/>
  <c r="AB277" i="20" s="1"/>
  <c r="F277" i="20"/>
  <c r="X277" i="20" s="1"/>
  <c r="AJ276" i="20"/>
  <c r="AB276" i="20" s="1"/>
  <c r="F276" i="20"/>
  <c r="X276" i="20" s="1"/>
  <c r="Z276" i="20" s="1"/>
  <c r="AA276" i="20" s="1"/>
  <c r="AJ275" i="20"/>
  <c r="AB275" i="20" s="1"/>
  <c r="F275" i="20"/>
  <c r="X275" i="20" s="1"/>
  <c r="AJ274" i="20"/>
  <c r="AB274" i="20" s="1"/>
  <c r="F274" i="20"/>
  <c r="X274" i="20" s="1"/>
  <c r="AJ273" i="20"/>
  <c r="AB273" i="20" s="1"/>
  <c r="F273" i="20"/>
  <c r="X273" i="20" s="1"/>
  <c r="AJ272" i="20"/>
  <c r="AB272" i="20" s="1"/>
  <c r="F272" i="20"/>
  <c r="X272" i="20" s="1"/>
  <c r="Z272" i="20" s="1"/>
  <c r="AA272" i="20" s="1"/>
  <c r="AJ271" i="20"/>
  <c r="AB271" i="20" s="1"/>
  <c r="F271" i="20"/>
  <c r="X271" i="20" s="1"/>
  <c r="AJ270" i="20"/>
  <c r="AB270" i="20" s="1"/>
  <c r="F270" i="20"/>
  <c r="X270" i="20" s="1"/>
  <c r="AJ269" i="20"/>
  <c r="AB269" i="20" s="1"/>
  <c r="F269" i="20"/>
  <c r="X269" i="20" s="1"/>
  <c r="AJ268" i="20"/>
  <c r="AB268" i="20" s="1"/>
  <c r="F268" i="20"/>
  <c r="X268" i="20" s="1"/>
  <c r="Z268" i="20" s="1"/>
  <c r="AA268" i="20" s="1"/>
  <c r="AJ267" i="20"/>
  <c r="AB267" i="20" s="1"/>
  <c r="F267" i="20"/>
  <c r="X267" i="20" s="1"/>
  <c r="AJ266" i="20"/>
  <c r="AB266" i="20" s="1"/>
  <c r="F266" i="20"/>
  <c r="X266" i="20" s="1"/>
  <c r="AJ265" i="20"/>
  <c r="AB265" i="20" s="1"/>
  <c r="F265" i="20"/>
  <c r="X265" i="20" s="1"/>
  <c r="AJ264" i="20"/>
  <c r="AB264" i="20" s="1"/>
  <c r="F264" i="20"/>
  <c r="X264" i="20" s="1"/>
  <c r="Z264" i="20" s="1"/>
  <c r="AA264" i="20" s="1"/>
  <c r="AJ263" i="20"/>
  <c r="AB263" i="20" s="1"/>
  <c r="F263" i="20"/>
  <c r="X263" i="20" s="1"/>
  <c r="AJ262" i="20"/>
  <c r="AB262" i="20" s="1"/>
  <c r="F262" i="20"/>
  <c r="X262" i="20" s="1"/>
  <c r="AJ261" i="20"/>
  <c r="AB261" i="20" s="1"/>
  <c r="F261" i="20"/>
  <c r="X261" i="20" s="1"/>
  <c r="AJ260" i="20"/>
  <c r="AB260" i="20" s="1"/>
  <c r="F260" i="20"/>
  <c r="X260" i="20" s="1"/>
  <c r="Z260" i="20" s="1"/>
  <c r="AA260" i="20" s="1"/>
  <c r="AJ259" i="20"/>
  <c r="AB259" i="20" s="1"/>
  <c r="F259" i="20"/>
  <c r="X259" i="20" s="1"/>
  <c r="AJ258" i="20"/>
  <c r="AB258" i="20" s="1"/>
  <c r="F258" i="20"/>
  <c r="X258" i="20" s="1"/>
  <c r="AJ257" i="20"/>
  <c r="AB257" i="20" s="1"/>
  <c r="F257" i="20"/>
  <c r="X257" i="20" s="1"/>
  <c r="AJ256" i="20"/>
  <c r="AB256" i="20" s="1"/>
  <c r="F256" i="20"/>
  <c r="X256" i="20" s="1"/>
  <c r="Z256" i="20" s="1"/>
  <c r="AA256" i="20" s="1"/>
  <c r="AJ255" i="20"/>
  <c r="AB255" i="20" s="1"/>
  <c r="F255" i="20"/>
  <c r="X255" i="20" s="1"/>
  <c r="AJ254" i="20"/>
  <c r="AB254" i="20" s="1"/>
  <c r="F254" i="20"/>
  <c r="X254" i="20" s="1"/>
  <c r="Y254" i="20" s="1"/>
  <c r="AJ253" i="20"/>
  <c r="AB253" i="20" s="1"/>
  <c r="F253" i="20"/>
  <c r="X253" i="20" s="1"/>
  <c r="Z253" i="20" s="1"/>
  <c r="AA253" i="20" s="1"/>
  <c r="AJ252" i="20"/>
  <c r="AB252" i="20" s="1"/>
  <c r="F252" i="20"/>
  <c r="X252" i="20" s="1"/>
  <c r="Z252" i="20" s="1"/>
  <c r="AA252" i="20" s="1"/>
  <c r="AJ251" i="20"/>
  <c r="AB251" i="20" s="1"/>
  <c r="F251" i="20"/>
  <c r="X251" i="20" s="1"/>
  <c r="AJ250" i="20"/>
  <c r="AB250" i="20" s="1"/>
  <c r="F250" i="20"/>
  <c r="X250" i="20" s="1"/>
  <c r="Y250" i="20" s="1"/>
  <c r="AJ249" i="20"/>
  <c r="AB249" i="20" s="1"/>
  <c r="F249" i="20"/>
  <c r="X249" i="20" s="1"/>
  <c r="AJ248" i="20"/>
  <c r="AB248" i="20" s="1"/>
  <c r="F248" i="20"/>
  <c r="X248" i="20" s="1"/>
  <c r="Z248" i="20" s="1"/>
  <c r="AA248" i="20" s="1"/>
  <c r="AJ247" i="20"/>
  <c r="AB247" i="20" s="1"/>
  <c r="F247" i="20"/>
  <c r="X247" i="20" s="1"/>
  <c r="AJ246" i="20"/>
  <c r="AB246" i="20" s="1"/>
  <c r="F246" i="20"/>
  <c r="X246" i="20" s="1"/>
  <c r="Y246" i="20" s="1"/>
  <c r="AJ245" i="20"/>
  <c r="AB245" i="20" s="1"/>
  <c r="F245" i="20"/>
  <c r="X245" i="20" s="1"/>
  <c r="AJ244" i="20"/>
  <c r="AB244" i="20" s="1"/>
  <c r="F244" i="20"/>
  <c r="X244" i="20" s="1"/>
  <c r="AJ243" i="20"/>
  <c r="AB243" i="20" s="1"/>
  <c r="F243" i="20"/>
  <c r="X243" i="20" s="1"/>
  <c r="AJ242" i="20"/>
  <c r="AB242" i="20" s="1"/>
  <c r="F242" i="20"/>
  <c r="X242" i="20" s="1"/>
  <c r="Y242" i="20" s="1"/>
  <c r="AJ241" i="20"/>
  <c r="AB241" i="20" s="1"/>
  <c r="F241" i="20"/>
  <c r="X241" i="20" s="1"/>
  <c r="Z241" i="20" s="1"/>
  <c r="AJ240" i="20"/>
  <c r="AB240" i="20" s="1"/>
  <c r="F240" i="20"/>
  <c r="X240" i="20" s="1"/>
  <c r="AJ239" i="20"/>
  <c r="AB239" i="20" s="1"/>
  <c r="F239" i="20"/>
  <c r="X239" i="20" s="1"/>
  <c r="AJ238" i="20"/>
  <c r="AB238" i="20" s="1"/>
  <c r="F238" i="20"/>
  <c r="X238" i="20" s="1"/>
  <c r="Y238" i="20" s="1"/>
  <c r="AJ237" i="20"/>
  <c r="AB237" i="20" s="1"/>
  <c r="F237" i="20"/>
  <c r="X237" i="20" s="1"/>
  <c r="AJ236" i="20"/>
  <c r="AB236" i="20" s="1"/>
  <c r="F236" i="20"/>
  <c r="X236" i="20" s="1"/>
  <c r="Z236" i="20" s="1"/>
  <c r="AA236" i="20" s="1"/>
  <c r="AJ235" i="20"/>
  <c r="AB235" i="20" s="1"/>
  <c r="F235" i="20"/>
  <c r="X235" i="20" s="1"/>
  <c r="AJ234" i="20"/>
  <c r="AB234" i="20" s="1"/>
  <c r="F234" i="20"/>
  <c r="X234" i="20" s="1"/>
  <c r="Y234" i="20" s="1"/>
  <c r="AJ233" i="20"/>
  <c r="AB233" i="20" s="1"/>
  <c r="F233" i="20"/>
  <c r="X233" i="20" s="1"/>
  <c r="Z233" i="20" s="1"/>
  <c r="AA233" i="20" s="1"/>
  <c r="AJ232" i="20"/>
  <c r="AB232" i="20" s="1"/>
  <c r="F232" i="20"/>
  <c r="X232" i="20" s="1"/>
  <c r="Z232" i="20" s="1"/>
  <c r="AA232" i="20" s="1"/>
  <c r="AJ231" i="20"/>
  <c r="AB231" i="20" s="1"/>
  <c r="F231" i="20"/>
  <c r="X231" i="20" s="1"/>
  <c r="AJ230" i="20"/>
  <c r="AB230" i="20" s="1"/>
  <c r="F230" i="20"/>
  <c r="X230" i="20" s="1"/>
  <c r="Y230" i="20" s="1"/>
  <c r="AJ229" i="20"/>
  <c r="AB229" i="20" s="1"/>
  <c r="F229" i="20"/>
  <c r="X229" i="20" s="1"/>
  <c r="Z229" i="20" s="1"/>
  <c r="AA229" i="20" s="1"/>
  <c r="AJ228" i="20"/>
  <c r="AB228" i="20" s="1"/>
  <c r="F228" i="20"/>
  <c r="X228" i="20" s="1"/>
  <c r="AJ227" i="20"/>
  <c r="AB227" i="20" s="1"/>
  <c r="F227" i="20"/>
  <c r="X227" i="20" s="1"/>
  <c r="AJ226" i="20"/>
  <c r="AB226" i="20" s="1"/>
  <c r="F226" i="20"/>
  <c r="X226" i="20" s="1"/>
  <c r="Y226" i="20" s="1"/>
  <c r="AJ225" i="20"/>
  <c r="AB225" i="20" s="1"/>
  <c r="F225" i="20"/>
  <c r="X225" i="20" s="1"/>
  <c r="AJ224" i="20"/>
  <c r="AB224" i="20" s="1"/>
  <c r="F224" i="20"/>
  <c r="X224" i="20" s="1"/>
  <c r="Z224" i="20" s="1"/>
  <c r="AA224" i="20" s="1"/>
  <c r="AJ223" i="20"/>
  <c r="AB223" i="20" s="1"/>
  <c r="F223" i="20"/>
  <c r="X223" i="20" s="1"/>
  <c r="AJ222" i="20"/>
  <c r="AB222" i="20" s="1"/>
  <c r="F222" i="20"/>
  <c r="X222" i="20" s="1"/>
  <c r="Y222" i="20" s="1"/>
  <c r="AJ221" i="20"/>
  <c r="AB221" i="20" s="1"/>
  <c r="F221" i="20"/>
  <c r="X221" i="20" s="1"/>
  <c r="Z221" i="20" s="1"/>
  <c r="AA221" i="20" s="1"/>
  <c r="AJ220" i="20"/>
  <c r="AB220" i="20" s="1"/>
  <c r="F220" i="20"/>
  <c r="X220" i="20" s="1"/>
  <c r="AJ219" i="20"/>
  <c r="AB219" i="20" s="1"/>
  <c r="F219" i="20"/>
  <c r="X219" i="20" s="1"/>
  <c r="AJ218" i="20"/>
  <c r="AB218" i="20" s="1"/>
  <c r="F218" i="20"/>
  <c r="X218" i="20" s="1"/>
  <c r="Y218" i="20" s="1"/>
  <c r="AJ217" i="20"/>
  <c r="AB217" i="20" s="1"/>
  <c r="F217" i="20"/>
  <c r="X217" i="20" s="1"/>
  <c r="Z217" i="20" s="1"/>
  <c r="AA217" i="20" s="1"/>
  <c r="AJ216" i="20"/>
  <c r="AB216" i="20" s="1"/>
  <c r="F216" i="20"/>
  <c r="X216" i="20" s="1"/>
  <c r="Z216" i="20" s="1"/>
  <c r="AA216" i="20" s="1"/>
  <c r="AJ215" i="20"/>
  <c r="AB215" i="20" s="1"/>
  <c r="F215" i="20"/>
  <c r="X215" i="20" s="1"/>
  <c r="AJ214" i="20"/>
  <c r="AB214" i="20" s="1"/>
  <c r="F214" i="20"/>
  <c r="X214" i="20" s="1"/>
  <c r="Y214" i="20" s="1"/>
  <c r="AJ213" i="20"/>
  <c r="AB213" i="20" s="1"/>
  <c r="F213" i="20"/>
  <c r="X213" i="20" s="1"/>
  <c r="Z213" i="20" s="1"/>
  <c r="AJ212" i="20"/>
  <c r="AB212" i="20" s="1"/>
  <c r="F212" i="20"/>
  <c r="X212" i="20" s="1"/>
  <c r="Z212" i="20" s="1"/>
  <c r="AA212" i="20" s="1"/>
  <c r="AJ211" i="20"/>
  <c r="AB211" i="20" s="1"/>
  <c r="F211" i="20"/>
  <c r="X211" i="20" s="1"/>
  <c r="AJ210" i="20"/>
  <c r="AB210" i="20" s="1"/>
  <c r="F210" i="20"/>
  <c r="X210" i="20" s="1"/>
  <c r="Y210" i="20" s="1"/>
  <c r="AJ209" i="20"/>
  <c r="AB209" i="20" s="1"/>
  <c r="F209" i="20"/>
  <c r="X209" i="20" s="1"/>
  <c r="AJ208" i="20"/>
  <c r="AB208" i="20" s="1"/>
  <c r="F208" i="20"/>
  <c r="X208" i="20" s="1"/>
  <c r="AJ207" i="20"/>
  <c r="AB207" i="20" s="1"/>
  <c r="F207" i="20"/>
  <c r="X207" i="20" s="1"/>
  <c r="AJ206" i="20"/>
  <c r="AB206" i="20" s="1"/>
  <c r="F206" i="20"/>
  <c r="X206" i="20" s="1"/>
  <c r="Y206" i="20" s="1"/>
  <c r="AJ205" i="20"/>
  <c r="AB205" i="20" s="1"/>
  <c r="F205" i="20"/>
  <c r="X205" i="20" s="1"/>
  <c r="Z205" i="20" s="1"/>
  <c r="AA205" i="20" s="1"/>
  <c r="AJ204" i="20"/>
  <c r="AB204" i="20" s="1"/>
  <c r="F204" i="20"/>
  <c r="X204" i="20" s="1"/>
  <c r="AJ203" i="20"/>
  <c r="AB203" i="20" s="1"/>
  <c r="F203" i="20"/>
  <c r="X203" i="20" s="1"/>
  <c r="AJ202" i="20"/>
  <c r="AB202" i="20" s="1"/>
  <c r="F202" i="20"/>
  <c r="X202" i="20" s="1"/>
  <c r="Y202" i="20" s="1"/>
  <c r="AJ201" i="20"/>
  <c r="AB201" i="20" s="1"/>
  <c r="F201" i="20"/>
  <c r="X201" i="20" s="1"/>
  <c r="AJ200" i="20"/>
  <c r="AB200" i="20" s="1"/>
  <c r="F200" i="20"/>
  <c r="X200" i="20" s="1"/>
  <c r="Z200" i="20" s="1"/>
  <c r="AA200" i="20" s="1"/>
  <c r="AJ199" i="20"/>
  <c r="AB199" i="20" s="1"/>
  <c r="F199" i="20"/>
  <c r="X199" i="20" s="1"/>
  <c r="Y199" i="20" s="1"/>
  <c r="AJ198" i="20"/>
  <c r="AB198" i="20" s="1"/>
  <c r="F198" i="20"/>
  <c r="X198" i="20" s="1"/>
  <c r="Z198" i="20" s="1"/>
  <c r="AJ197" i="20"/>
  <c r="AB197" i="20" s="1"/>
  <c r="F197" i="20"/>
  <c r="X197" i="20" s="1"/>
  <c r="AJ196" i="20"/>
  <c r="AB196" i="20" s="1"/>
  <c r="F196" i="20"/>
  <c r="X196" i="20" s="1"/>
  <c r="AJ195" i="20"/>
  <c r="AB195" i="20" s="1"/>
  <c r="F195" i="20"/>
  <c r="X195" i="20" s="1"/>
  <c r="Y195" i="20" s="1"/>
  <c r="AJ194" i="20"/>
  <c r="AB194" i="20" s="1"/>
  <c r="F194" i="20"/>
  <c r="X194" i="20" s="1"/>
  <c r="Z194" i="20" s="1"/>
  <c r="AJ193" i="20"/>
  <c r="AB193" i="20" s="1"/>
  <c r="F193" i="20"/>
  <c r="X193" i="20" s="1"/>
  <c r="AJ192" i="20"/>
  <c r="AB192" i="20" s="1"/>
  <c r="F192" i="20"/>
  <c r="X192" i="20" s="1"/>
  <c r="AJ191" i="20"/>
  <c r="AB191" i="20" s="1"/>
  <c r="F191" i="20"/>
  <c r="X191" i="20" s="1"/>
  <c r="AJ190" i="20"/>
  <c r="AB190" i="20" s="1"/>
  <c r="F190" i="20"/>
  <c r="X190" i="20" s="1"/>
  <c r="Z190" i="20" s="1"/>
  <c r="AJ189" i="20"/>
  <c r="AB189" i="20" s="1"/>
  <c r="F189" i="20"/>
  <c r="X189" i="20" s="1"/>
  <c r="AJ188" i="20"/>
  <c r="AB188" i="20" s="1"/>
  <c r="F188" i="20"/>
  <c r="X188" i="20" s="1"/>
  <c r="AJ187" i="20"/>
  <c r="AB187" i="20" s="1"/>
  <c r="F187" i="20"/>
  <c r="X187" i="20" s="1"/>
  <c r="AJ186" i="20"/>
  <c r="AB186" i="20" s="1"/>
  <c r="F186" i="20"/>
  <c r="X186" i="20" s="1"/>
  <c r="Z186" i="20" s="1"/>
  <c r="AJ185" i="20"/>
  <c r="AB185" i="20" s="1"/>
  <c r="F185" i="20"/>
  <c r="X185" i="20" s="1"/>
  <c r="Z185" i="20" s="1"/>
  <c r="AA185" i="20" s="1"/>
  <c r="AJ184" i="20"/>
  <c r="AB184" i="20" s="1"/>
  <c r="F184" i="20"/>
  <c r="X184" i="20" s="1"/>
  <c r="AJ183" i="20"/>
  <c r="AB183" i="20" s="1"/>
  <c r="F183" i="20"/>
  <c r="X183" i="20" s="1"/>
  <c r="Y183" i="20" s="1"/>
  <c r="AJ182" i="20"/>
  <c r="AB182" i="20" s="1"/>
  <c r="F182" i="20"/>
  <c r="X182" i="20" s="1"/>
  <c r="Z182" i="20" s="1"/>
  <c r="AJ181" i="20"/>
  <c r="AB181" i="20" s="1"/>
  <c r="F181" i="20"/>
  <c r="X181" i="20" s="1"/>
  <c r="AJ180" i="20"/>
  <c r="AB180" i="20" s="1"/>
  <c r="F180" i="20"/>
  <c r="X180" i="20" s="1"/>
  <c r="AJ179" i="20"/>
  <c r="AB179" i="20" s="1"/>
  <c r="F179" i="20"/>
  <c r="X179" i="20" s="1"/>
  <c r="Y179" i="20" s="1"/>
  <c r="AJ178" i="20"/>
  <c r="AB178" i="20" s="1"/>
  <c r="F178" i="20"/>
  <c r="X178" i="20" s="1"/>
  <c r="Z178" i="20" s="1"/>
  <c r="AJ177" i="20"/>
  <c r="AB177" i="20" s="1"/>
  <c r="F177" i="20"/>
  <c r="X177" i="20" s="1"/>
  <c r="AJ176" i="20"/>
  <c r="AB176" i="20" s="1"/>
  <c r="F176" i="20"/>
  <c r="X176" i="20" s="1"/>
  <c r="AJ175" i="20"/>
  <c r="AB175" i="20" s="1"/>
  <c r="F175" i="20"/>
  <c r="X175" i="20" s="1"/>
  <c r="AJ174" i="20"/>
  <c r="AB174" i="20" s="1"/>
  <c r="F174" i="20"/>
  <c r="X174" i="20" s="1"/>
  <c r="Z174" i="20" s="1"/>
  <c r="AJ173" i="20"/>
  <c r="AB173" i="20" s="1"/>
  <c r="F173" i="20"/>
  <c r="X173" i="20" s="1"/>
  <c r="AJ172" i="20"/>
  <c r="AB172" i="20" s="1"/>
  <c r="F172" i="20"/>
  <c r="X172" i="20" s="1"/>
  <c r="AJ171" i="20"/>
  <c r="AB171" i="20" s="1"/>
  <c r="F171" i="20"/>
  <c r="X171" i="20" s="1"/>
  <c r="AJ170" i="20"/>
  <c r="AB170" i="20" s="1"/>
  <c r="F170" i="20"/>
  <c r="X170" i="20" s="1"/>
  <c r="Y170" i="20" s="1"/>
  <c r="AJ169" i="20"/>
  <c r="AB169" i="20" s="1"/>
  <c r="F169" i="20"/>
  <c r="X169" i="20" s="1"/>
  <c r="AJ168" i="20"/>
  <c r="AB168" i="20" s="1"/>
  <c r="F168" i="20"/>
  <c r="X168" i="20" s="1"/>
  <c r="AJ167" i="20"/>
  <c r="AB167" i="20" s="1"/>
  <c r="F167" i="20"/>
  <c r="X167" i="20" s="1"/>
  <c r="Y167" i="20" s="1"/>
  <c r="AJ166" i="20"/>
  <c r="AB166" i="20" s="1"/>
  <c r="F166" i="20"/>
  <c r="X166" i="20" s="1"/>
  <c r="Y166" i="20" s="1"/>
  <c r="AJ165" i="20"/>
  <c r="AB165" i="20" s="1"/>
  <c r="F165" i="20"/>
  <c r="X165" i="20" s="1"/>
  <c r="Z165" i="20" s="1"/>
  <c r="AA165" i="20" s="1"/>
  <c r="AJ164" i="20"/>
  <c r="AB164" i="20" s="1"/>
  <c r="F164" i="20"/>
  <c r="X164" i="20" s="1"/>
  <c r="AJ163" i="20"/>
  <c r="AB163" i="20" s="1"/>
  <c r="F163" i="20"/>
  <c r="X163" i="20" s="1"/>
  <c r="Y163" i="20" s="1"/>
  <c r="AJ162" i="20"/>
  <c r="AB162" i="20" s="1"/>
  <c r="F162" i="20"/>
  <c r="X162" i="20" s="1"/>
  <c r="Y162" i="20" s="1"/>
  <c r="AJ161" i="20"/>
  <c r="AB161" i="20" s="1"/>
  <c r="F161" i="20"/>
  <c r="X161" i="20" s="1"/>
  <c r="AJ160" i="20"/>
  <c r="AB160" i="20" s="1"/>
  <c r="F160" i="20"/>
  <c r="X160" i="20" s="1"/>
  <c r="AJ159" i="20"/>
  <c r="AB159" i="20" s="1"/>
  <c r="F159" i="20"/>
  <c r="X159" i="20" s="1"/>
  <c r="Y159" i="20" s="1"/>
  <c r="AJ158" i="20"/>
  <c r="AB158" i="20" s="1"/>
  <c r="F158" i="20"/>
  <c r="X158" i="20" s="1"/>
  <c r="Y158" i="20" s="1"/>
  <c r="AJ157" i="20"/>
  <c r="AB157" i="20" s="1"/>
  <c r="F157" i="20"/>
  <c r="X157" i="20" s="1"/>
  <c r="Z157" i="20" s="1"/>
  <c r="AA157" i="20" s="1"/>
  <c r="AJ156" i="20"/>
  <c r="AB156" i="20" s="1"/>
  <c r="F156" i="20"/>
  <c r="X156" i="20" s="1"/>
  <c r="AJ155" i="20"/>
  <c r="AB155" i="20" s="1"/>
  <c r="F155" i="20"/>
  <c r="X155" i="20" s="1"/>
  <c r="Y155" i="20" s="1"/>
  <c r="AJ154" i="20"/>
  <c r="AB154" i="20" s="1"/>
  <c r="F154" i="20"/>
  <c r="X154" i="20" s="1"/>
  <c r="Y154" i="20" s="1"/>
  <c r="AJ153" i="20"/>
  <c r="AB153" i="20" s="1"/>
  <c r="F153" i="20"/>
  <c r="X153" i="20" s="1"/>
  <c r="AJ152" i="20"/>
  <c r="AB152" i="20" s="1"/>
  <c r="F152" i="20"/>
  <c r="X152" i="20" s="1"/>
  <c r="AJ151" i="20"/>
  <c r="AB151" i="20" s="1"/>
  <c r="F151" i="20"/>
  <c r="X151" i="20" s="1"/>
  <c r="Y151" i="20" s="1"/>
  <c r="AJ150" i="20"/>
  <c r="AB150" i="20" s="1"/>
  <c r="F150" i="20"/>
  <c r="X150" i="20" s="1"/>
  <c r="Y150" i="20" s="1"/>
  <c r="AJ149" i="20"/>
  <c r="AB149" i="20" s="1"/>
  <c r="F149" i="20"/>
  <c r="X149" i="20" s="1"/>
  <c r="AJ148" i="20"/>
  <c r="AB148" i="20" s="1"/>
  <c r="F148" i="20"/>
  <c r="X148" i="20" s="1"/>
  <c r="AJ147" i="20"/>
  <c r="AB147" i="20" s="1"/>
  <c r="F147" i="20"/>
  <c r="X147" i="20" s="1"/>
  <c r="Y147" i="20" s="1"/>
  <c r="AJ146" i="20"/>
  <c r="AB146" i="20" s="1"/>
  <c r="F146" i="20"/>
  <c r="X146" i="20" s="1"/>
  <c r="Y146" i="20" s="1"/>
  <c r="AJ142" i="20"/>
  <c r="AB142" i="20" s="1"/>
  <c r="F142" i="20"/>
  <c r="X142" i="20" s="1"/>
  <c r="AJ140" i="20"/>
  <c r="AB140" i="20" s="1"/>
  <c r="F140" i="20"/>
  <c r="X140" i="20" s="1"/>
  <c r="AJ139" i="20"/>
  <c r="AB139" i="20" s="1"/>
  <c r="F139" i="20"/>
  <c r="X139" i="20" s="1"/>
  <c r="Y139" i="20" s="1"/>
  <c r="AJ138" i="20"/>
  <c r="AB138" i="20" s="1"/>
  <c r="F138" i="20"/>
  <c r="X138" i="20" s="1"/>
  <c r="Y138" i="20" s="1"/>
  <c r="AJ137" i="20"/>
  <c r="AB137" i="20" s="1"/>
  <c r="F137" i="20"/>
  <c r="X137" i="20" s="1"/>
  <c r="AJ136" i="20"/>
  <c r="AB136" i="20" s="1"/>
  <c r="F136" i="20"/>
  <c r="X136" i="20" s="1"/>
  <c r="AJ135" i="20"/>
  <c r="AB135" i="20" s="1"/>
  <c r="F135" i="20"/>
  <c r="X135" i="20" s="1"/>
  <c r="Y135" i="20" s="1"/>
  <c r="AJ134" i="20"/>
  <c r="AB134" i="20" s="1"/>
  <c r="F134" i="20"/>
  <c r="X134" i="20" s="1"/>
  <c r="Y134" i="20" s="1"/>
  <c r="AJ133" i="20"/>
  <c r="AB133" i="20" s="1"/>
  <c r="F133" i="20"/>
  <c r="X133" i="20" s="1"/>
  <c r="AJ128" i="20"/>
  <c r="AB128" i="20" s="1"/>
  <c r="F128" i="20"/>
  <c r="X128" i="20" s="1"/>
  <c r="AJ118" i="20"/>
  <c r="AB118" i="20" s="1"/>
  <c r="F118" i="20"/>
  <c r="X118" i="20" s="1"/>
  <c r="Y118" i="20" s="1"/>
  <c r="AJ111" i="20"/>
  <c r="AB111" i="20" s="1"/>
  <c r="F111" i="20"/>
  <c r="X111" i="20" s="1"/>
  <c r="Y111" i="20" s="1"/>
  <c r="AJ110" i="20"/>
  <c r="AB110" i="20" s="1"/>
  <c r="F110" i="20"/>
  <c r="X110" i="20" s="1"/>
  <c r="Z110" i="20" s="1"/>
  <c r="AA110" i="20" s="1"/>
  <c r="AJ109" i="20"/>
  <c r="AB109" i="20" s="1"/>
  <c r="F109" i="20"/>
  <c r="X109" i="20" s="1"/>
  <c r="AJ108" i="20"/>
  <c r="AB108" i="20" s="1"/>
  <c r="F108" i="20"/>
  <c r="X108" i="20" s="1"/>
  <c r="Y108" i="20" s="1"/>
  <c r="AJ107" i="20"/>
  <c r="AB107" i="20" s="1"/>
  <c r="F107" i="20"/>
  <c r="X107" i="20" s="1"/>
  <c r="Y107" i="20" s="1"/>
  <c r="AJ106" i="20"/>
  <c r="AB106" i="20" s="1"/>
  <c r="F106" i="20"/>
  <c r="X106" i="20" s="1"/>
  <c r="AJ105" i="20"/>
  <c r="AB105" i="20" s="1"/>
  <c r="F105" i="20"/>
  <c r="X105" i="20" s="1"/>
  <c r="AJ104" i="20"/>
  <c r="AB104" i="20" s="1"/>
  <c r="F104" i="20"/>
  <c r="X104" i="20" s="1"/>
  <c r="Y104" i="20" s="1"/>
  <c r="AJ103" i="20"/>
  <c r="AB103" i="20" s="1"/>
  <c r="F103" i="20"/>
  <c r="X103" i="20" s="1"/>
  <c r="Y103" i="20" s="1"/>
  <c r="AJ102" i="20"/>
  <c r="AB102" i="20" s="1"/>
  <c r="F102" i="20"/>
  <c r="X102" i="20" s="1"/>
  <c r="Z102" i="20" s="1"/>
  <c r="AA102" i="20" s="1"/>
  <c r="AJ101" i="20"/>
  <c r="AB101" i="20" s="1"/>
  <c r="F101" i="20"/>
  <c r="X101" i="20" s="1"/>
  <c r="AJ100" i="20"/>
  <c r="AB100" i="20" s="1"/>
  <c r="F100" i="20"/>
  <c r="X100" i="20" s="1"/>
  <c r="Y100" i="20" s="1"/>
  <c r="AJ99" i="20"/>
  <c r="AB99" i="20" s="1"/>
  <c r="F99" i="20"/>
  <c r="X99" i="20" s="1"/>
  <c r="Y99" i="20" s="1"/>
  <c r="AJ98" i="20"/>
  <c r="AB98" i="20" s="1"/>
  <c r="F98" i="20"/>
  <c r="X98" i="20" s="1"/>
  <c r="AJ97" i="20"/>
  <c r="AB97" i="20" s="1"/>
  <c r="F97" i="20"/>
  <c r="X97" i="20" s="1"/>
  <c r="AJ96" i="20"/>
  <c r="AB96" i="20" s="1"/>
  <c r="F96" i="20"/>
  <c r="X96" i="20" s="1"/>
  <c r="Y96" i="20" s="1"/>
  <c r="AJ95" i="20"/>
  <c r="AB95" i="20" s="1"/>
  <c r="F95" i="20"/>
  <c r="X95" i="20" s="1"/>
  <c r="Y95" i="20" s="1"/>
  <c r="AJ94" i="20"/>
  <c r="AB94" i="20" s="1"/>
  <c r="F94" i="20"/>
  <c r="X94" i="20" s="1"/>
  <c r="AJ93" i="20"/>
  <c r="AB93" i="20" s="1"/>
  <c r="F93" i="20"/>
  <c r="X93" i="20" s="1"/>
  <c r="AJ92" i="20"/>
  <c r="AB92" i="20" s="1"/>
  <c r="F92" i="20"/>
  <c r="X92" i="20" s="1"/>
  <c r="Y92" i="20" s="1"/>
  <c r="AJ91" i="20"/>
  <c r="AB91" i="20" s="1"/>
  <c r="F91" i="20"/>
  <c r="X91" i="20" s="1"/>
  <c r="Y91" i="20" s="1"/>
  <c r="AJ90" i="20"/>
  <c r="AB90" i="20" s="1"/>
  <c r="F90" i="20"/>
  <c r="X90" i="20" s="1"/>
  <c r="AJ89" i="20"/>
  <c r="AB89" i="20" s="1"/>
  <c r="F89" i="20"/>
  <c r="X89" i="20" s="1"/>
  <c r="AJ88" i="20"/>
  <c r="AB88" i="20" s="1"/>
  <c r="F88" i="20"/>
  <c r="X88" i="20" s="1"/>
  <c r="Y88" i="20" s="1"/>
  <c r="AJ87" i="20"/>
  <c r="AB87" i="20" s="1"/>
  <c r="F87" i="20"/>
  <c r="X87" i="20" s="1"/>
  <c r="Y87" i="20" s="1"/>
  <c r="AJ86" i="20"/>
  <c r="AB86" i="20" s="1"/>
  <c r="F86" i="20"/>
  <c r="X86" i="20" s="1"/>
  <c r="AJ85" i="20"/>
  <c r="AB85" i="20" s="1"/>
  <c r="F85" i="20"/>
  <c r="X85" i="20" s="1"/>
  <c r="AJ84" i="20"/>
  <c r="AB84" i="20" s="1"/>
  <c r="F84" i="20"/>
  <c r="X84" i="20" s="1"/>
  <c r="Y84" i="20" s="1"/>
  <c r="AJ83" i="20"/>
  <c r="AB83" i="20" s="1"/>
  <c r="F83" i="20"/>
  <c r="X83" i="20" s="1"/>
  <c r="Y83" i="20" s="1"/>
  <c r="AJ82" i="20"/>
  <c r="AB82" i="20" s="1"/>
  <c r="F82" i="20"/>
  <c r="X82" i="20" s="1"/>
  <c r="AJ81" i="20"/>
  <c r="AB81" i="20" s="1"/>
  <c r="F81" i="20"/>
  <c r="X81" i="20" s="1"/>
  <c r="AJ80" i="20"/>
  <c r="AB80" i="20" s="1"/>
  <c r="F80" i="20"/>
  <c r="X80" i="20" s="1"/>
  <c r="Y80" i="20" s="1"/>
  <c r="AJ79" i="20"/>
  <c r="AB79" i="20" s="1"/>
  <c r="F79" i="20"/>
  <c r="X79" i="20" s="1"/>
  <c r="Y79" i="20" s="1"/>
  <c r="AJ78" i="20"/>
  <c r="AB78" i="20" s="1"/>
  <c r="F78" i="20"/>
  <c r="X78" i="20" s="1"/>
  <c r="Z78" i="20" s="1"/>
  <c r="AA78" i="20" s="1"/>
  <c r="AJ77" i="20"/>
  <c r="AB77" i="20" s="1"/>
  <c r="F77" i="20"/>
  <c r="X77" i="20" s="1"/>
  <c r="AJ76" i="20"/>
  <c r="AB76" i="20" s="1"/>
  <c r="F76" i="20"/>
  <c r="X76" i="20" s="1"/>
  <c r="Y76" i="20" s="1"/>
  <c r="AJ75" i="20"/>
  <c r="AB75" i="20" s="1"/>
  <c r="F75" i="20"/>
  <c r="X75" i="20" s="1"/>
  <c r="Y75" i="20" s="1"/>
  <c r="AJ74" i="20"/>
  <c r="AB74" i="20" s="1"/>
  <c r="F74" i="20"/>
  <c r="X74" i="20" s="1"/>
  <c r="AJ73" i="20"/>
  <c r="AB73" i="20" s="1"/>
  <c r="F73" i="20"/>
  <c r="X73" i="20" s="1"/>
  <c r="AJ72" i="20"/>
  <c r="AB72" i="20" s="1"/>
  <c r="F72" i="20"/>
  <c r="X72" i="20" s="1"/>
  <c r="Z72" i="20" s="1"/>
  <c r="AA72" i="20" s="1"/>
  <c r="AJ71" i="20"/>
  <c r="AB71" i="20" s="1"/>
  <c r="F71" i="20"/>
  <c r="X71" i="20" s="1"/>
  <c r="AJ70" i="20"/>
  <c r="AB70" i="20" s="1"/>
  <c r="F70" i="20"/>
  <c r="X70" i="20" s="1"/>
  <c r="AJ69" i="20"/>
  <c r="AB69" i="20" s="1"/>
  <c r="F69" i="20"/>
  <c r="X69" i="20" s="1"/>
  <c r="AJ68" i="20"/>
  <c r="AB68" i="20" s="1"/>
  <c r="F68" i="20"/>
  <c r="X68" i="20" s="1"/>
  <c r="Z68" i="20" s="1"/>
  <c r="AA68" i="20" s="1"/>
  <c r="AJ67" i="20"/>
  <c r="AB67" i="20" s="1"/>
  <c r="F67" i="20"/>
  <c r="X67" i="20" s="1"/>
  <c r="AJ66" i="20"/>
  <c r="AB66" i="20" s="1"/>
  <c r="F66" i="20"/>
  <c r="X66" i="20" s="1"/>
  <c r="AJ65" i="20"/>
  <c r="AB65" i="20" s="1"/>
  <c r="F65" i="20"/>
  <c r="X65" i="20" s="1"/>
  <c r="AJ64" i="20"/>
  <c r="AB64" i="20" s="1"/>
  <c r="F64" i="20"/>
  <c r="X64" i="20" s="1"/>
  <c r="Z64" i="20" s="1"/>
  <c r="AA64" i="20" s="1"/>
  <c r="AJ63" i="20"/>
  <c r="AB63" i="20" s="1"/>
  <c r="F63" i="20"/>
  <c r="X63" i="20" s="1"/>
  <c r="AJ62" i="20"/>
  <c r="AB62" i="20" s="1"/>
  <c r="F62" i="20"/>
  <c r="X62" i="20" s="1"/>
  <c r="AJ61" i="20"/>
  <c r="AB61" i="20" s="1"/>
  <c r="F61" i="20"/>
  <c r="X61" i="20" s="1"/>
  <c r="AJ60" i="20"/>
  <c r="AB60" i="20" s="1"/>
  <c r="F60" i="20"/>
  <c r="X60" i="20" s="1"/>
  <c r="Z60" i="20" s="1"/>
  <c r="AA60" i="20" s="1"/>
  <c r="AJ59" i="20"/>
  <c r="AB59" i="20" s="1"/>
  <c r="F59" i="20"/>
  <c r="X59" i="20" s="1"/>
  <c r="AJ58" i="20"/>
  <c r="AB58" i="20" s="1"/>
  <c r="F58" i="20"/>
  <c r="X58" i="20" s="1"/>
  <c r="AJ57" i="20"/>
  <c r="AB57" i="20" s="1"/>
  <c r="F57" i="20"/>
  <c r="X57" i="20" s="1"/>
  <c r="AJ56" i="20"/>
  <c r="AB56" i="20" s="1"/>
  <c r="F56" i="20"/>
  <c r="X56" i="20" s="1"/>
  <c r="Z56" i="20" s="1"/>
  <c r="AA56" i="20" s="1"/>
  <c r="AJ55" i="20"/>
  <c r="AB55" i="20" s="1"/>
  <c r="F55" i="20"/>
  <c r="X55" i="20" s="1"/>
  <c r="AJ54" i="20"/>
  <c r="AB54" i="20" s="1"/>
  <c r="F54" i="20"/>
  <c r="X54" i="20" s="1"/>
  <c r="AJ53" i="20"/>
  <c r="AB53" i="20" s="1"/>
  <c r="F53" i="20"/>
  <c r="X53" i="20" s="1"/>
  <c r="AJ52" i="20"/>
  <c r="AB52" i="20" s="1"/>
  <c r="F52" i="20"/>
  <c r="X52" i="20" s="1"/>
  <c r="Z52" i="20" s="1"/>
  <c r="AA52" i="20" s="1"/>
  <c r="AJ51" i="20"/>
  <c r="AB51" i="20" s="1"/>
  <c r="F51" i="20"/>
  <c r="X51" i="20" s="1"/>
  <c r="AJ50" i="20"/>
  <c r="AB50" i="20" s="1"/>
  <c r="F50" i="20"/>
  <c r="X50" i="20" s="1"/>
  <c r="AJ49" i="20"/>
  <c r="AB49" i="20" s="1"/>
  <c r="F49" i="20"/>
  <c r="X49" i="20" s="1"/>
  <c r="AJ48" i="20"/>
  <c r="AB48" i="20" s="1"/>
  <c r="F48" i="20"/>
  <c r="X48" i="20" s="1"/>
  <c r="Z48" i="20" s="1"/>
  <c r="AA48" i="20" s="1"/>
  <c r="AJ47" i="20"/>
  <c r="AB47" i="20" s="1"/>
  <c r="F47" i="20"/>
  <c r="X47" i="20" s="1"/>
  <c r="AJ46" i="20"/>
  <c r="AB46" i="20" s="1"/>
  <c r="F46" i="20"/>
  <c r="X46" i="20" s="1"/>
  <c r="AJ45" i="20"/>
  <c r="AB45" i="20" s="1"/>
  <c r="F45" i="20"/>
  <c r="X45" i="20" s="1"/>
  <c r="AJ44" i="20"/>
  <c r="AB44" i="20" s="1"/>
  <c r="F44" i="20"/>
  <c r="X44" i="20" s="1"/>
  <c r="Z44" i="20" s="1"/>
  <c r="AA44" i="20" s="1"/>
  <c r="AJ43" i="20"/>
  <c r="AB43" i="20" s="1"/>
  <c r="F43" i="20"/>
  <c r="X43" i="20" s="1"/>
  <c r="AJ42" i="20"/>
  <c r="AB42" i="20" s="1"/>
  <c r="F42" i="20"/>
  <c r="X42" i="20" s="1"/>
  <c r="AJ41" i="20"/>
  <c r="AB41" i="20" s="1"/>
  <c r="F41" i="20"/>
  <c r="X41" i="20" s="1"/>
  <c r="AJ37" i="20"/>
  <c r="AB37" i="20" s="1"/>
  <c r="F37" i="20"/>
  <c r="X37" i="20" s="1"/>
  <c r="Z37" i="20" s="1"/>
  <c r="AA37" i="20" s="1"/>
  <c r="AJ36" i="20"/>
  <c r="AB36" i="20" s="1"/>
  <c r="X36" i="20"/>
  <c r="Z36" i="20" s="1"/>
  <c r="AA36" i="20" s="1"/>
  <c r="AJ35" i="20"/>
  <c r="AB35" i="20" s="1"/>
  <c r="F35" i="20"/>
  <c r="X35" i="20" s="1"/>
  <c r="AJ34" i="20"/>
  <c r="AB34" i="20" s="1"/>
  <c r="F34" i="20"/>
  <c r="X34" i="20" s="1"/>
  <c r="Z34" i="20" s="1"/>
  <c r="AA34" i="20" s="1"/>
  <c r="AJ33" i="20"/>
  <c r="AB33" i="20" s="1"/>
  <c r="F33" i="20"/>
  <c r="X33" i="20" s="1"/>
  <c r="AJ32" i="20"/>
  <c r="AB32" i="20" s="1"/>
  <c r="F32" i="20"/>
  <c r="X32" i="20" s="1"/>
  <c r="AJ31" i="20"/>
  <c r="AB31" i="20" s="1"/>
  <c r="F31" i="20"/>
  <c r="X31" i="20" s="1"/>
  <c r="AJ30" i="20"/>
  <c r="AB30" i="20" s="1"/>
  <c r="F30" i="20"/>
  <c r="X30" i="20" s="1"/>
  <c r="Z30" i="20" s="1"/>
  <c r="AA30" i="20" s="1"/>
  <c r="AJ29" i="20"/>
  <c r="AB29" i="20" s="1"/>
  <c r="F29" i="20"/>
  <c r="X29" i="20" s="1"/>
  <c r="AJ28" i="20"/>
  <c r="AB28" i="20" s="1"/>
  <c r="F28" i="20"/>
  <c r="X28" i="20" s="1"/>
  <c r="AJ27" i="20"/>
  <c r="AB27" i="20" s="1"/>
  <c r="F27" i="20"/>
  <c r="X27" i="20" s="1"/>
  <c r="AJ26" i="20"/>
  <c r="AB26" i="20" s="1"/>
  <c r="F26" i="20"/>
  <c r="X26" i="20" s="1"/>
  <c r="Z26" i="20" s="1"/>
  <c r="AA26" i="20" s="1"/>
  <c r="AJ25" i="20"/>
  <c r="AB25" i="20" s="1"/>
  <c r="F25" i="20"/>
  <c r="X25" i="20" s="1"/>
  <c r="AJ24" i="20"/>
  <c r="AB24" i="20" s="1"/>
  <c r="F24" i="20"/>
  <c r="X24" i="20" s="1"/>
  <c r="AJ23" i="20"/>
  <c r="AB23" i="20" s="1"/>
  <c r="F23" i="20"/>
  <c r="X23" i="20" s="1"/>
  <c r="AJ22" i="20"/>
  <c r="AB22" i="20" s="1"/>
  <c r="F22" i="20"/>
  <c r="X22" i="20" s="1"/>
  <c r="Z22" i="20" s="1"/>
  <c r="AA22" i="20" s="1"/>
  <c r="AJ21" i="20"/>
  <c r="AB21" i="20" s="1"/>
  <c r="F21" i="20"/>
  <c r="X21" i="20" s="1"/>
  <c r="AJ20" i="20"/>
  <c r="AB20" i="20" s="1"/>
  <c r="F20" i="20"/>
  <c r="X20" i="20" s="1"/>
  <c r="AJ19" i="20"/>
  <c r="AB19" i="20" s="1"/>
  <c r="F19" i="20"/>
  <c r="X19" i="20" s="1"/>
  <c r="AJ18" i="20"/>
  <c r="AB18" i="20" s="1"/>
  <c r="F18" i="20"/>
  <c r="X18" i="20" s="1"/>
  <c r="Z18" i="20" s="1"/>
  <c r="AA18" i="20" s="1"/>
  <c r="AJ17" i="20"/>
  <c r="AB17" i="20" s="1"/>
  <c r="F17" i="20"/>
  <c r="X17" i="20" s="1"/>
  <c r="AJ16" i="20"/>
  <c r="AB16" i="20" s="1"/>
  <c r="F16" i="20"/>
  <c r="X16" i="20" s="1"/>
  <c r="AJ15" i="20"/>
  <c r="AB15" i="20" s="1"/>
  <c r="F15" i="20"/>
  <c r="X15" i="20" s="1"/>
  <c r="AJ14" i="20"/>
  <c r="AB14" i="20" s="1"/>
  <c r="F14" i="20"/>
  <c r="X14" i="20" s="1"/>
  <c r="AJ13" i="20"/>
  <c r="AB13" i="20" s="1"/>
  <c r="F13" i="20"/>
  <c r="X13" i="20" s="1"/>
  <c r="Z13" i="20" s="1"/>
  <c r="AA13" i="20" s="1"/>
  <c r="F308" i="19"/>
  <c r="C308" i="19"/>
  <c r="Z182" i="21" l="1"/>
  <c r="AB182" i="21" s="1"/>
  <c r="AD182" i="21" s="1"/>
  <c r="Z45" i="21"/>
  <c r="AB45" i="21" s="1"/>
  <c r="T12" i="21"/>
  <c r="T11" i="21" s="1"/>
  <c r="T508" i="21"/>
  <c r="Z43" i="21"/>
  <c r="AB43" i="21" s="1"/>
  <c r="AD43" i="21" s="1"/>
  <c r="Z109" i="21"/>
  <c r="AB109" i="21" s="1"/>
  <c r="Z188" i="21"/>
  <c r="AB188" i="21" s="1"/>
  <c r="AD188" i="21" s="1"/>
  <c r="Z118" i="21"/>
  <c r="AB118" i="21" s="1"/>
  <c r="Z82" i="21"/>
  <c r="AB82" i="21" s="1"/>
  <c r="AD82" i="21" s="1"/>
  <c r="Z130" i="21"/>
  <c r="AB130" i="21" s="1"/>
  <c r="AD130" i="21" s="1"/>
  <c r="W29" i="24"/>
  <c r="P30" i="24" s="1"/>
  <c r="Q30" i="24" s="1"/>
  <c r="W30" i="24" s="1"/>
  <c r="P31" i="24" s="1"/>
  <c r="Q31" i="24" s="1"/>
  <c r="AD143" i="23"/>
  <c r="U211" i="23"/>
  <c r="W211" i="23" s="1"/>
  <c r="R14" i="23"/>
  <c r="U14" i="23" s="1"/>
  <c r="W14" i="23" s="1"/>
  <c r="P15" i="23" s="1"/>
  <c r="H15" i="23"/>
  <c r="J14" i="23"/>
  <c r="O14" i="23"/>
  <c r="Y39" i="20"/>
  <c r="Z39" i="20"/>
  <c r="AA39" i="20" s="1"/>
  <c r="AH39" i="20" s="1"/>
  <c r="AI39" i="20" s="1"/>
  <c r="AK39" i="20" s="1"/>
  <c r="Y116" i="20"/>
  <c r="Z116" i="20"/>
  <c r="AA116" i="20" s="1"/>
  <c r="AI116" i="20" s="1"/>
  <c r="AK116" i="20" s="1"/>
  <c r="Z117" i="20"/>
  <c r="AA117" i="20" s="1"/>
  <c r="AI117" i="20" s="1"/>
  <c r="AK117" i="20" s="1"/>
  <c r="Y117" i="20"/>
  <c r="Y40" i="20"/>
  <c r="Z40" i="20"/>
  <c r="AA40" i="20" s="1"/>
  <c r="AH40" i="20" s="1"/>
  <c r="AI40" i="20" s="1"/>
  <c r="AK40" i="20" s="1"/>
  <c r="Y115" i="20"/>
  <c r="Z115" i="20"/>
  <c r="AA115" i="20" s="1"/>
  <c r="AH115" i="20" s="1"/>
  <c r="AI115" i="20" s="1"/>
  <c r="AK115" i="20" s="1"/>
  <c r="U467" i="23"/>
  <c r="W467" i="23" s="1"/>
  <c r="Z1021" i="20"/>
  <c r="U12" i="20"/>
  <c r="Y405" i="20"/>
  <c r="Y433" i="20"/>
  <c r="Z406" i="20"/>
  <c r="AA406" i="20" s="1"/>
  <c r="Y992" i="20"/>
  <c r="AC356" i="20"/>
  <c r="AD356" i="20" s="1"/>
  <c r="Z690" i="20"/>
  <c r="AA690" i="20" s="1"/>
  <c r="AC690" i="20" s="1"/>
  <c r="Z711" i="20"/>
  <c r="AA711" i="20" s="1"/>
  <c r="AC433" i="20"/>
  <c r="AD433" i="20" s="1"/>
  <c r="AE433" i="20" s="1"/>
  <c r="AF433" i="20" s="1"/>
  <c r="Y443" i="20"/>
  <c r="Y494" i="20"/>
  <c r="Y417" i="20"/>
  <c r="Z461" i="20"/>
  <c r="AA461" i="20" s="1"/>
  <c r="AC461" i="20" s="1"/>
  <c r="Y946" i="20"/>
  <c r="Z1009" i="20"/>
  <c r="AA1009" i="20" s="1"/>
  <c r="Z158" i="20"/>
  <c r="AC158" i="20" s="1"/>
  <c r="AD158" i="20" s="1"/>
  <c r="AE158" i="20" s="1"/>
  <c r="AF158" i="20" s="1"/>
  <c r="AC329" i="20"/>
  <c r="AD329" i="20" s="1"/>
  <c r="Y331" i="20"/>
  <c r="Z398" i="20"/>
  <c r="AA398" i="20" s="1"/>
  <c r="Z418" i="20"/>
  <c r="AA418" i="20" s="1"/>
  <c r="Y429" i="20"/>
  <c r="Y434" i="20"/>
  <c r="Y451" i="20"/>
  <c r="Y474" i="20"/>
  <c r="Z653" i="20"/>
  <c r="AA653" i="20" s="1"/>
  <c r="AH653" i="20" s="1"/>
  <c r="AI653" i="20" s="1"/>
  <c r="AK653" i="20" s="1"/>
  <c r="Z922" i="20"/>
  <c r="Y939" i="20"/>
  <c r="Y940" i="20"/>
  <c r="Z103" i="20"/>
  <c r="AA103" i="20" s="1"/>
  <c r="Y843" i="20"/>
  <c r="AC969" i="20"/>
  <c r="AD969" i="20" s="1"/>
  <c r="AE969" i="20" s="1"/>
  <c r="AF969" i="20" s="1"/>
  <c r="Z111" i="20"/>
  <c r="AC111" i="20" s="1"/>
  <c r="AD111" i="20" s="1"/>
  <c r="Y338" i="20"/>
  <c r="AC364" i="20"/>
  <c r="AD364" i="20" s="1"/>
  <c r="Y387" i="20"/>
  <c r="Y121" i="20"/>
  <c r="AC428" i="20"/>
  <c r="AD428" i="20" s="1"/>
  <c r="Y441" i="20"/>
  <c r="Y444" i="20"/>
  <c r="Y445" i="20"/>
  <c r="Y452" i="20"/>
  <c r="Z453" i="20"/>
  <c r="Z464" i="20"/>
  <c r="AA464" i="20" s="1"/>
  <c r="Z477" i="20"/>
  <c r="Z645" i="20"/>
  <c r="AA645" i="20" s="1"/>
  <c r="AH645" i="20" s="1"/>
  <c r="AI645" i="20" s="1"/>
  <c r="AK645" i="20" s="1"/>
  <c r="Y750" i="20"/>
  <c r="AC751" i="20"/>
  <c r="AD751" i="20" s="1"/>
  <c r="Y884" i="20"/>
  <c r="Z966" i="20"/>
  <c r="AA966" i="20" s="1"/>
  <c r="AC966" i="20" s="1"/>
  <c r="AC985" i="20"/>
  <c r="AD985" i="20" s="1"/>
  <c r="AC441" i="20"/>
  <c r="AD441" i="20" s="1"/>
  <c r="AE441" i="20" s="1"/>
  <c r="Z666" i="20"/>
  <c r="Y984" i="20"/>
  <c r="Z166" i="20"/>
  <c r="AC166" i="20" s="1"/>
  <c r="AD166" i="20" s="1"/>
  <c r="Y356" i="20"/>
  <c r="AC357" i="20"/>
  <c r="AD357" i="20" s="1"/>
  <c r="Y401" i="20"/>
  <c r="Y407" i="20"/>
  <c r="Y419" i="20"/>
  <c r="Z423" i="20"/>
  <c r="AA423" i="20" s="1"/>
  <c r="AC423" i="20" s="1"/>
  <c r="AD423" i="20" s="1"/>
  <c r="Y424" i="20"/>
  <c r="Y503" i="20"/>
  <c r="Y677" i="20"/>
  <c r="Y678" i="20"/>
  <c r="Z757" i="20"/>
  <c r="AA757" i="20" s="1"/>
  <c r="AC757" i="20" s="1"/>
  <c r="Z834" i="20"/>
  <c r="AA834" i="20" s="1"/>
  <c r="AC834" i="20" s="1"/>
  <c r="Y847" i="20"/>
  <c r="Z930" i="20"/>
  <c r="AA930" i="20" s="1"/>
  <c r="AC930" i="20" s="1"/>
  <c r="Z990" i="20"/>
  <c r="AA990" i="20" s="1"/>
  <c r="AC990" i="20" s="1"/>
  <c r="AC993" i="20"/>
  <c r="AD993" i="20" s="1"/>
  <c r="AE993" i="20" s="1"/>
  <c r="AF993" i="20" s="1"/>
  <c r="Y1018" i="20"/>
  <c r="Y102" i="20"/>
  <c r="Y502" i="20"/>
  <c r="Y506" i="20"/>
  <c r="Y760" i="20"/>
  <c r="Y290" i="20"/>
  <c r="Y324" i="20"/>
  <c r="AC325" i="20"/>
  <c r="AD325" i="20" s="1"/>
  <c r="AE325" i="20" s="1"/>
  <c r="AF325" i="20" s="1"/>
  <c r="AC332" i="20"/>
  <c r="AD332" i="20" s="1"/>
  <c r="Y334" i="20"/>
  <c r="Y364" i="20"/>
  <c r="Y399" i="20"/>
  <c r="Z427" i="20"/>
  <c r="AA427" i="20" s="1"/>
  <c r="Y122" i="20"/>
  <c r="Y430" i="20"/>
  <c r="Y431" i="20"/>
  <c r="Y490" i="20"/>
  <c r="AC503" i="20"/>
  <c r="AD503" i="20" s="1"/>
  <c r="Z130" i="20"/>
  <c r="AA130" i="20" s="1"/>
  <c r="AC130" i="20" s="1"/>
  <c r="Y532" i="20"/>
  <c r="Z597" i="20"/>
  <c r="AA597" i="20" s="1"/>
  <c r="AC597" i="20" s="1"/>
  <c r="Z378" i="20"/>
  <c r="AA378" i="20" s="1"/>
  <c r="AC378" i="20" s="1"/>
  <c r="Y131" i="20"/>
  <c r="Y613" i="20"/>
  <c r="Y614" i="20"/>
  <c r="Y615" i="20"/>
  <c r="Y616" i="20"/>
  <c r="Y637" i="20"/>
  <c r="Y735" i="20"/>
  <c r="Y759" i="20"/>
  <c r="Y762" i="20"/>
  <c r="AC767" i="20"/>
  <c r="AD767" i="20" s="1"/>
  <c r="AE767" i="20" s="1"/>
  <c r="AC772" i="20"/>
  <c r="AD772" i="20" s="1"/>
  <c r="Y787" i="20"/>
  <c r="Z810" i="20"/>
  <c r="AA810" i="20" s="1"/>
  <c r="AC810" i="20" s="1"/>
  <c r="AE810" i="20" s="1"/>
  <c r="Y811" i="20"/>
  <c r="Z816" i="20"/>
  <c r="AA816" i="20" s="1"/>
  <c r="AC816" i="20" s="1"/>
  <c r="Y868" i="20"/>
  <c r="Z914" i="20"/>
  <c r="Z915" i="20"/>
  <c r="Y927" i="20"/>
  <c r="Z547" i="20"/>
  <c r="AA547" i="20" s="1"/>
  <c r="AC547" i="20" s="1"/>
  <c r="Z611" i="20"/>
  <c r="AA611" i="20" s="1"/>
  <c r="AH611" i="20" s="1"/>
  <c r="AI611" i="20" s="1"/>
  <c r="AK611" i="20" s="1"/>
  <c r="Y636" i="20"/>
  <c r="Y681" i="20"/>
  <c r="Y739" i="20"/>
  <c r="Y771" i="20"/>
  <c r="Y795" i="20"/>
  <c r="Z853" i="20"/>
  <c r="AA853" i="20" s="1"/>
  <c r="AH853" i="20" s="1"/>
  <c r="AI853" i="20" s="1"/>
  <c r="AK853" i="20" s="1"/>
  <c r="Y878" i="20"/>
  <c r="Y885" i="20"/>
  <c r="Z888" i="20"/>
  <c r="Y894" i="20"/>
  <c r="Z907" i="20"/>
  <c r="Y937" i="20"/>
  <c r="AC992" i="20"/>
  <c r="AD992" i="20" s="1"/>
  <c r="Z113" i="20"/>
  <c r="AA113" i="20" s="1"/>
  <c r="Y113" i="20"/>
  <c r="Z340" i="20"/>
  <c r="AA340" i="20" s="1"/>
  <c r="Y340" i="20"/>
  <c r="Y510" i="20"/>
  <c r="Z510" i="20"/>
  <c r="AA510" i="20" s="1"/>
  <c r="AC510" i="20" s="1"/>
  <c r="Y596" i="20"/>
  <c r="Z596" i="20"/>
  <c r="AA596" i="20" s="1"/>
  <c r="U689" i="20"/>
  <c r="W5" i="20" s="1"/>
  <c r="Y835" i="20"/>
  <c r="Z835" i="20"/>
  <c r="AA835" i="20" s="1"/>
  <c r="Z195" i="20"/>
  <c r="AA195" i="20" s="1"/>
  <c r="Y233" i="20"/>
  <c r="Y296" i="20"/>
  <c r="Z296" i="20"/>
  <c r="AA296" i="20" s="1"/>
  <c r="AC326" i="20"/>
  <c r="AD326" i="20" s="1"/>
  <c r="Y333" i="20"/>
  <c r="Z336" i="20"/>
  <c r="AA336" i="20" s="1"/>
  <c r="Y336" i="20"/>
  <c r="Z360" i="20"/>
  <c r="AA360" i="20" s="1"/>
  <c r="Y360" i="20"/>
  <c r="Y395" i="20"/>
  <c r="Y414" i="20"/>
  <c r="Z476" i="20"/>
  <c r="AA476" i="20" s="1"/>
  <c r="Z485" i="20"/>
  <c r="AA485" i="20" s="1"/>
  <c r="AC485" i="20" s="1"/>
  <c r="Z492" i="20"/>
  <c r="AA492" i="20" s="1"/>
  <c r="AC492" i="20" s="1"/>
  <c r="AD492" i="20" s="1"/>
  <c r="Y492" i="20"/>
  <c r="Y125" i="20"/>
  <c r="Z125" i="20"/>
  <c r="AA125" i="20" s="1"/>
  <c r="AC125" i="20" s="1"/>
  <c r="Y631" i="20"/>
  <c r="Y635" i="20"/>
  <c r="Z635" i="20"/>
  <c r="AA635" i="20" s="1"/>
  <c r="AH635" i="20" s="1"/>
  <c r="AI635" i="20" s="1"/>
  <c r="AK635" i="20" s="1"/>
  <c r="Y647" i="20"/>
  <c r="Y656" i="20"/>
  <c r="Z656" i="20"/>
  <c r="AA656" i="20" s="1"/>
  <c r="AH656" i="20" s="1"/>
  <c r="AI656" i="20" s="1"/>
  <c r="AK656" i="20" s="1"/>
  <c r="Y718" i="20"/>
  <c r="Z727" i="20"/>
  <c r="AA727" i="20" s="1"/>
  <c r="Z732" i="20"/>
  <c r="AA732" i="20" s="1"/>
  <c r="AC732" i="20" s="1"/>
  <c r="Y732" i="20"/>
  <c r="Z744" i="20"/>
  <c r="AA744" i="20" s="1"/>
  <c r="AC744" i="20" s="1"/>
  <c r="AD744" i="20" s="1"/>
  <c r="AE744" i="20" s="1"/>
  <c r="Y744" i="20"/>
  <c r="Y803" i="20"/>
  <c r="Y807" i="20"/>
  <c r="Z807" i="20"/>
  <c r="AA807" i="20" s="1"/>
  <c r="AC807" i="20" s="1"/>
  <c r="AE807" i="20" s="1"/>
  <c r="AF807" i="20" s="1"/>
  <c r="Z861" i="20"/>
  <c r="AA861" i="20" s="1"/>
  <c r="AH861" i="20" s="1"/>
  <c r="AI861" i="20" s="1"/>
  <c r="AK861" i="20" s="1"/>
  <c r="Y865" i="20"/>
  <c r="Z865" i="20"/>
  <c r="AA865" i="20" s="1"/>
  <c r="AH865" i="20" s="1"/>
  <c r="AI865" i="20" s="1"/>
  <c r="AK865" i="20" s="1"/>
  <c r="Z952" i="20"/>
  <c r="AA952" i="20" s="1"/>
  <c r="Z954" i="20"/>
  <c r="AA954" i="20" s="1"/>
  <c r="AC954" i="20" s="1"/>
  <c r="Y954" i="20"/>
  <c r="Z968" i="20"/>
  <c r="AA968" i="20" s="1"/>
  <c r="Y968" i="20"/>
  <c r="AC977" i="20"/>
  <c r="AD977" i="20" s="1"/>
  <c r="Y315" i="20"/>
  <c r="Z315" i="20"/>
  <c r="AA315" i="20" s="1"/>
  <c r="Z935" i="20"/>
  <c r="AA935" i="20" s="1"/>
  <c r="Y935" i="20"/>
  <c r="Y157" i="20"/>
  <c r="Z79" i="20"/>
  <c r="AC79" i="20" s="1"/>
  <c r="AD79" i="20" s="1"/>
  <c r="AC185" i="20"/>
  <c r="AD185" i="20" s="1"/>
  <c r="Y284" i="20"/>
  <c r="Z120" i="20"/>
  <c r="AA120" i="20" s="1"/>
  <c r="Z342" i="20"/>
  <c r="AA342" i="20" s="1"/>
  <c r="Z344" i="20"/>
  <c r="AA344" i="20" s="1"/>
  <c r="Y344" i="20"/>
  <c r="AC382" i="20"/>
  <c r="Y392" i="20"/>
  <c r="Z392" i="20"/>
  <c r="AA392" i="20" s="1"/>
  <c r="Z411" i="20"/>
  <c r="AA411" i="20" s="1"/>
  <c r="Y411" i="20"/>
  <c r="Z413" i="20"/>
  <c r="AA413" i="20" s="1"/>
  <c r="Y413" i="20"/>
  <c r="Y516" i="20"/>
  <c r="Z516" i="20"/>
  <c r="AA516" i="20" s="1"/>
  <c r="AC516" i="20" s="1"/>
  <c r="AE516" i="20" s="1"/>
  <c r="AF516" i="20" s="1"/>
  <c r="Z565" i="20"/>
  <c r="AA565" i="20" s="1"/>
  <c r="Z593" i="20"/>
  <c r="AA593" i="20" s="1"/>
  <c r="Y593" i="20"/>
  <c r="Y605" i="20"/>
  <c r="Z612" i="20"/>
  <c r="AA612" i="20" s="1"/>
  <c r="AH612" i="20" s="1"/>
  <c r="AI612" i="20" s="1"/>
  <c r="AK612" i="20" s="1"/>
  <c r="Z624" i="20"/>
  <c r="AA624" i="20" s="1"/>
  <c r="AH624" i="20" s="1"/>
  <c r="AI624" i="20" s="1"/>
  <c r="AK624" i="20" s="1"/>
  <c r="Y628" i="20"/>
  <c r="Z628" i="20"/>
  <c r="AA628" i="20" s="1"/>
  <c r="AH628" i="20" s="1"/>
  <c r="AI628" i="20" s="1"/>
  <c r="AK628" i="20" s="1"/>
  <c r="Z644" i="20"/>
  <c r="AA644" i="20" s="1"/>
  <c r="AH644" i="20" s="1"/>
  <c r="AI644" i="20" s="1"/>
  <c r="AK644" i="20" s="1"/>
  <c r="Z646" i="20"/>
  <c r="AA646" i="20" s="1"/>
  <c r="AH646" i="20" s="1"/>
  <c r="AI646" i="20" s="1"/>
  <c r="AK646" i="20" s="1"/>
  <c r="Y646" i="20"/>
  <c r="Z716" i="20"/>
  <c r="AA716" i="20" s="1"/>
  <c r="Y716" i="20"/>
  <c r="Y743" i="20"/>
  <c r="Z778" i="20"/>
  <c r="AA778" i="20" s="1"/>
  <c r="AC778" i="20" s="1"/>
  <c r="Z793" i="20"/>
  <c r="AA793" i="20" s="1"/>
  <c r="Y793" i="20"/>
  <c r="Z854" i="20"/>
  <c r="AA854" i="20" s="1"/>
  <c r="AH854" i="20" s="1"/>
  <c r="AI854" i="20" s="1"/>
  <c r="AK854" i="20" s="1"/>
  <c r="Y854" i="20"/>
  <c r="Z910" i="20"/>
  <c r="Y910" i="20"/>
  <c r="AC945" i="20"/>
  <c r="AD945" i="20" s="1"/>
  <c r="AE945" i="20" s="1"/>
  <c r="AF945" i="20" s="1"/>
  <c r="Z951" i="20"/>
  <c r="AA951" i="20" s="1"/>
  <c r="Y951" i="20"/>
  <c r="Z958" i="20"/>
  <c r="AA958" i="20" s="1"/>
  <c r="Z974" i="20"/>
  <c r="AA974" i="20" s="1"/>
  <c r="AC974" i="20" s="1"/>
  <c r="Z976" i="20"/>
  <c r="AA976" i="20" s="1"/>
  <c r="Y976" i="20"/>
  <c r="Z1011" i="20"/>
  <c r="AA1011" i="20" s="1"/>
  <c r="Z1026" i="20"/>
  <c r="Y1026" i="20"/>
  <c r="Z347" i="20"/>
  <c r="AA347" i="20" s="1"/>
  <c r="Y347" i="20"/>
  <c r="Z412" i="20"/>
  <c r="AA412" i="20" s="1"/>
  <c r="Y412" i="20"/>
  <c r="Z432" i="20"/>
  <c r="AA432" i="20" s="1"/>
  <c r="Y432" i="20"/>
  <c r="Z874" i="20"/>
  <c r="AA874" i="20" s="1"/>
  <c r="AH874" i="20" s="1"/>
  <c r="AI874" i="20" s="1"/>
  <c r="AK874" i="20" s="1"/>
  <c r="Y874" i="20"/>
  <c r="Y350" i="20"/>
  <c r="Z352" i="20"/>
  <c r="AA352" i="20" s="1"/>
  <c r="Y352" i="20"/>
  <c r="AC430" i="20"/>
  <c r="AD430" i="20" s="1"/>
  <c r="Z511" i="20"/>
  <c r="AA511" i="20" s="1"/>
  <c r="AC511" i="20" s="1"/>
  <c r="AE511" i="20" s="1"/>
  <c r="Y511" i="20"/>
  <c r="Z562" i="20"/>
  <c r="AA562" i="20" s="1"/>
  <c r="Y564" i="20"/>
  <c r="Z564" i="20"/>
  <c r="AA564" i="20" s="1"/>
  <c r="Y145" i="20"/>
  <c r="Z145" i="20"/>
  <c r="AA145" i="20" s="1"/>
  <c r="Z673" i="20"/>
  <c r="Y673" i="20"/>
  <c r="Y715" i="20"/>
  <c r="Z715" i="20"/>
  <c r="AA715" i="20" s="1"/>
  <c r="Y1005" i="20"/>
  <c r="Z1005" i="20"/>
  <c r="AA1005" i="20" s="1"/>
  <c r="AC224" i="20"/>
  <c r="AD224" i="20" s="1"/>
  <c r="AC317" i="20"/>
  <c r="AD317" i="20" s="1"/>
  <c r="AC333" i="20"/>
  <c r="AD333" i="20" s="1"/>
  <c r="AC334" i="20"/>
  <c r="AD334" i="20" s="1"/>
  <c r="AC342" i="20"/>
  <c r="AC350" i="20"/>
  <c r="AD350" i="20" s="1"/>
  <c r="AC361" i="20"/>
  <c r="AD361" i="20" s="1"/>
  <c r="AC372" i="20"/>
  <c r="AD372" i="20" s="1"/>
  <c r="AE372" i="20" s="1"/>
  <c r="AF372" i="20" s="1"/>
  <c r="AC425" i="20"/>
  <c r="AD425" i="20" s="1"/>
  <c r="AA801" i="20"/>
  <c r="AC801" i="20" s="1"/>
  <c r="AC939" i="20"/>
  <c r="AD939" i="20" s="1"/>
  <c r="AC984" i="20"/>
  <c r="Z86" i="20"/>
  <c r="AA86" i="20" s="1"/>
  <c r="Y86" i="20"/>
  <c r="Z94" i="20"/>
  <c r="AA94" i="20" s="1"/>
  <c r="Y94" i="20"/>
  <c r="Z240" i="20"/>
  <c r="AA240" i="20" s="1"/>
  <c r="Y240" i="20"/>
  <c r="Z197" i="20"/>
  <c r="AA197" i="20" s="1"/>
  <c r="Y197" i="20"/>
  <c r="Z137" i="20"/>
  <c r="AA137" i="20" s="1"/>
  <c r="Y137" i="20"/>
  <c r="Z149" i="20"/>
  <c r="AA149" i="20" s="1"/>
  <c r="Y149" i="20"/>
  <c r="Z397" i="20"/>
  <c r="AA397" i="20" s="1"/>
  <c r="Y397" i="20"/>
  <c r="Z442" i="20"/>
  <c r="AA442" i="20" s="1"/>
  <c r="Y442" i="20"/>
  <c r="Z766" i="20"/>
  <c r="AA766" i="20" s="1"/>
  <c r="AC766" i="20" s="1"/>
  <c r="Y766" i="20"/>
  <c r="Y850" i="20"/>
  <c r="Z850" i="20"/>
  <c r="Y877" i="20"/>
  <c r="Z877" i="20"/>
  <c r="AA877" i="20" s="1"/>
  <c r="AH877" i="20" s="1"/>
  <c r="AI877" i="20" s="1"/>
  <c r="AK877" i="20" s="1"/>
  <c r="Y925" i="20"/>
  <c r="Z925" i="20"/>
  <c r="AA925" i="20" s="1"/>
  <c r="Z250" i="20"/>
  <c r="AA250" i="20" s="1"/>
  <c r="AC250" i="20" s="1"/>
  <c r="Z289" i="20"/>
  <c r="AA289" i="20" s="1"/>
  <c r="Z294" i="20"/>
  <c r="AA294" i="20" s="1"/>
  <c r="AC298" i="20"/>
  <c r="Z355" i="20"/>
  <c r="AA355" i="20" s="1"/>
  <c r="Y355" i="20"/>
  <c r="Y371" i="20"/>
  <c r="Y394" i="20"/>
  <c r="Z402" i="20"/>
  <c r="AA402" i="20" s="1"/>
  <c r="Y402" i="20"/>
  <c r="Y448" i="20"/>
  <c r="Z501" i="20"/>
  <c r="AA501" i="20" s="1"/>
  <c r="AC501" i="20" s="1"/>
  <c r="Z509" i="20"/>
  <c r="AA509" i="20" s="1"/>
  <c r="AC509" i="20" s="1"/>
  <c r="Y535" i="20"/>
  <c r="Z604" i="20"/>
  <c r="AA604" i="20" s="1"/>
  <c r="AC604" i="20" s="1"/>
  <c r="Y604" i="20"/>
  <c r="Y626" i="20"/>
  <c r="Z626" i="20"/>
  <c r="AA626" i="20" s="1"/>
  <c r="AH626" i="20" s="1"/>
  <c r="AI626" i="20" s="1"/>
  <c r="AK626" i="20" s="1"/>
  <c r="Z684" i="20"/>
  <c r="Y684" i="20"/>
  <c r="Z791" i="20"/>
  <c r="AA791" i="20" s="1"/>
  <c r="Y791" i="20"/>
  <c r="Z870" i="20"/>
  <c r="AA870" i="20" s="1"/>
  <c r="AH870" i="20" s="1"/>
  <c r="AI870" i="20" s="1"/>
  <c r="AK870" i="20" s="1"/>
  <c r="Y870" i="20"/>
  <c r="Z890" i="20"/>
  <c r="Y890" i="20"/>
  <c r="Y938" i="20"/>
  <c r="Z938" i="20"/>
  <c r="AA938" i="20" s="1"/>
  <c r="AC938" i="20" s="1"/>
  <c r="Y483" i="20"/>
  <c r="Z483" i="20"/>
  <c r="AA483" i="20" s="1"/>
  <c r="AC483" i="20" s="1"/>
  <c r="Z521" i="20"/>
  <c r="AA521" i="20" s="1"/>
  <c r="AC521" i="20" s="1"/>
  <c r="Y521" i="20"/>
  <c r="Y576" i="20"/>
  <c r="Z576" i="20"/>
  <c r="AA576" i="20" s="1"/>
  <c r="AC576" i="20" s="1"/>
  <c r="Y127" i="20"/>
  <c r="Z127" i="20"/>
  <c r="AA127" i="20" s="1"/>
  <c r="AH127" i="20" s="1"/>
  <c r="AI127" i="20" s="1"/>
  <c r="AK127" i="20" s="1"/>
  <c r="Z629" i="20"/>
  <c r="AA629" i="20" s="1"/>
  <c r="AH629" i="20" s="1"/>
  <c r="AI629" i="20" s="1"/>
  <c r="AK629" i="20" s="1"/>
  <c r="Y629" i="20"/>
  <c r="Z685" i="20"/>
  <c r="Y685" i="20"/>
  <c r="Y212" i="20"/>
  <c r="Z214" i="20"/>
  <c r="Y221" i="20"/>
  <c r="Y229" i="20"/>
  <c r="AC236" i="20"/>
  <c r="AD236" i="20" s="1"/>
  <c r="Y129" i="20"/>
  <c r="Y339" i="20"/>
  <c r="Z348" i="20"/>
  <c r="AA348" i="20" s="1"/>
  <c r="Y362" i="20"/>
  <c r="AC366" i="20"/>
  <c r="AD366" i="20" s="1"/>
  <c r="Y368" i="20"/>
  <c r="Z381" i="20"/>
  <c r="AA381" i="20" s="1"/>
  <c r="Z383" i="20"/>
  <c r="AA383" i="20" s="1"/>
  <c r="Y383" i="20"/>
  <c r="Z416" i="20"/>
  <c r="AA416" i="20" s="1"/>
  <c r="AC416" i="20" s="1"/>
  <c r="AD416" i="20" s="1"/>
  <c r="Y416" i="20"/>
  <c r="Y422" i="20"/>
  <c r="Z436" i="20"/>
  <c r="AA436" i="20" s="1"/>
  <c r="AC436" i="20" s="1"/>
  <c r="AD436" i="20" s="1"/>
  <c r="Z498" i="20"/>
  <c r="AA498" i="20" s="1"/>
  <c r="AC498" i="20" s="1"/>
  <c r="Z518" i="20"/>
  <c r="AA518" i="20" s="1"/>
  <c r="AC518" i="20" s="1"/>
  <c r="Z519" i="20"/>
  <c r="AA519" i="20" s="1"/>
  <c r="AC519" i="20" s="1"/>
  <c r="Y559" i="20"/>
  <c r="Y563" i="20"/>
  <c r="Z563" i="20"/>
  <c r="AA563" i="20" s="1"/>
  <c r="Y375" i="20"/>
  <c r="Z375" i="20"/>
  <c r="AA375" i="20" s="1"/>
  <c r="Y655" i="20"/>
  <c r="Z655" i="20"/>
  <c r="AA655" i="20" s="1"/>
  <c r="AH655" i="20" s="1"/>
  <c r="AI655" i="20" s="1"/>
  <c r="AK655" i="20" s="1"/>
  <c r="Z741" i="20"/>
  <c r="AA741" i="20" s="1"/>
  <c r="Y741" i="20"/>
  <c r="AA798" i="20"/>
  <c r="AC798" i="20" s="1"/>
  <c r="AE798" i="20" s="1"/>
  <c r="AF798" i="20" s="1"/>
  <c r="Z95" i="20"/>
  <c r="AC95" i="20" s="1"/>
  <c r="AD95" i="20" s="1"/>
  <c r="Z150" i="20"/>
  <c r="AC150" i="20" s="1"/>
  <c r="AD150" i="20" s="1"/>
  <c r="AC229" i="20"/>
  <c r="AD229" i="20" s="1"/>
  <c r="Z242" i="20"/>
  <c r="AA242" i="20" s="1"/>
  <c r="Y286" i="20"/>
  <c r="Y288" i="20"/>
  <c r="AC304" i="20"/>
  <c r="AD304" i="20" s="1"/>
  <c r="AC339" i="20"/>
  <c r="AD339" i="20" s="1"/>
  <c r="AE339" i="20" s="1"/>
  <c r="AF339" i="20" s="1"/>
  <c r="Z346" i="20"/>
  <c r="AA346" i="20" s="1"/>
  <c r="Y354" i="20"/>
  <c r="Y358" i="20"/>
  <c r="Y370" i="20"/>
  <c r="AC387" i="20"/>
  <c r="AD387" i="20" s="1"/>
  <c r="Y391" i="20"/>
  <c r="Z393" i="20"/>
  <c r="AA393" i="20" s="1"/>
  <c r="Y393" i="20"/>
  <c r="Z400" i="20"/>
  <c r="AA400" i="20" s="1"/>
  <c r="Y400" i="20"/>
  <c r="Z408" i="20"/>
  <c r="Y408" i="20"/>
  <c r="Z420" i="20"/>
  <c r="AA420" i="20" s="1"/>
  <c r="Y421" i="20"/>
  <c r="Y425" i="20"/>
  <c r="AC444" i="20"/>
  <c r="AD444" i="20" s="1"/>
  <c r="Z447" i="20"/>
  <c r="AA447" i="20" s="1"/>
  <c r="Y447" i="20"/>
  <c r="Y458" i="20"/>
  <c r="Y466" i="20"/>
  <c r="Z470" i="20"/>
  <c r="AA470" i="20" s="1"/>
  <c r="AC470" i="20" s="1"/>
  <c r="Y470" i="20"/>
  <c r="Z482" i="20"/>
  <c r="AA482" i="20" s="1"/>
  <c r="AC482" i="20" s="1"/>
  <c r="Y487" i="20"/>
  <c r="Y500" i="20"/>
  <c r="Y508" i="20"/>
  <c r="Y520" i="20"/>
  <c r="Z520" i="20"/>
  <c r="AA520" i="20" s="1"/>
  <c r="Y600" i="20"/>
  <c r="Z600" i="20"/>
  <c r="AA600" i="20" s="1"/>
  <c r="AC600" i="20" s="1"/>
  <c r="Z606" i="20"/>
  <c r="AA606" i="20" s="1"/>
  <c r="Y606" i="20"/>
  <c r="Y619" i="20"/>
  <c r="Z652" i="20"/>
  <c r="AA652" i="20" s="1"/>
  <c r="AH652" i="20" s="1"/>
  <c r="AI652" i="20" s="1"/>
  <c r="AK652" i="20" s="1"/>
  <c r="Z670" i="20"/>
  <c r="Y670" i="20"/>
  <c r="Z700" i="20"/>
  <c r="AA700" i="20" s="1"/>
  <c r="AC700" i="20" s="1"/>
  <c r="AC701" i="20"/>
  <c r="AD701" i="20" s="1"/>
  <c r="AE701" i="20" s="1"/>
  <c r="AF701" i="20" s="1"/>
  <c r="Z705" i="20"/>
  <c r="AA705" i="20" s="1"/>
  <c r="Y712" i="20"/>
  <c r="Z713" i="20"/>
  <c r="AA713" i="20" s="1"/>
  <c r="Y736" i="20"/>
  <c r="Z737" i="20"/>
  <c r="AA737" i="20" s="1"/>
  <c r="Y740" i="20"/>
  <c r="Y746" i="20"/>
  <c r="Z363" i="20"/>
  <c r="AA363" i="20" s="1"/>
  <c r="Y363" i="20"/>
  <c r="Z403" i="20"/>
  <c r="AA403" i="20" s="1"/>
  <c r="Y403" i="20"/>
  <c r="Z456" i="20"/>
  <c r="AA456" i="20" s="1"/>
  <c r="Y456" i="20"/>
  <c r="Z662" i="20"/>
  <c r="Y662" i="20"/>
  <c r="Y78" i="20"/>
  <c r="Z87" i="20"/>
  <c r="AC87" i="20" s="1"/>
  <c r="AD87" i="20" s="1"/>
  <c r="AE87" i="20" s="1"/>
  <c r="AF87" i="20" s="1"/>
  <c r="Y110" i="20"/>
  <c r="Z138" i="20"/>
  <c r="AC138" i="20" s="1"/>
  <c r="AD138" i="20" s="1"/>
  <c r="AE138" i="20" s="1"/>
  <c r="AF138" i="20" s="1"/>
  <c r="Y165" i="20"/>
  <c r="Z202" i="20"/>
  <c r="AC202" i="20" s="1"/>
  <c r="AD202" i="20" s="1"/>
  <c r="AC252" i="20"/>
  <c r="AD252" i="20" s="1"/>
  <c r="AE252" i="20" s="1"/>
  <c r="AF252" i="20" s="1"/>
  <c r="AC358" i="20"/>
  <c r="AD358" i="20" s="1"/>
  <c r="Z404" i="20"/>
  <c r="AA404" i="20" s="1"/>
  <c r="Y404" i="20"/>
  <c r="Z446" i="20"/>
  <c r="AA446" i="20" s="1"/>
  <c r="Y446" i="20"/>
  <c r="Z526" i="20"/>
  <c r="AA526" i="20" s="1"/>
  <c r="AC526" i="20" s="1"/>
  <c r="AE526" i="20" s="1"/>
  <c r="AF526" i="20" s="1"/>
  <c r="Y526" i="20"/>
  <c r="AA587" i="20"/>
  <c r="AC587" i="20" s="1"/>
  <c r="AF587" i="20" s="1"/>
  <c r="Z618" i="20"/>
  <c r="AA618" i="20" s="1"/>
  <c r="AH618" i="20" s="1"/>
  <c r="AI618" i="20" s="1"/>
  <c r="AK618" i="20" s="1"/>
  <c r="Y618" i="20"/>
  <c r="Y627" i="20"/>
  <c r="Z627" i="20"/>
  <c r="AA627" i="20" s="1"/>
  <c r="AH627" i="20" s="1"/>
  <c r="AI627" i="20" s="1"/>
  <c r="AK627" i="20" s="1"/>
  <c r="Y630" i="20"/>
  <c r="Y651" i="20"/>
  <c r="Z651" i="20"/>
  <c r="AA651" i="20" s="1"/>
  <c r="AH651" i="20" s="1"/>
  <c r="AI651" i="20" s="1"/>
  <c r="AK651" i="20" s="1"/>
  <c r="Z663" i="20"/>
  <c r="Y663" i="20"/>
  <c r="AC695" i="20"/>
  <c r="AD695" i="20" s="1"/>
  <c r="Y698" i="20"/>
  <c r="Z698" i="20"/>
  <c r="AA698" i="20" s="1"/>
  <c r="AC698" i="20" s="1"/>
  <c r="Z1008" i="20"/>
  <c r="AA1008" i="20" s="1"/>
  <c r="Y1008" i="20"/>
  <c r="AC290" i="20"/>
  <c r="AD290" i="20" s="1"/>
  <c r="AE290" i="20" s="1"/>
  <c r="AC331" i="20"/>
  <c r="AD331" i="20" s="1"/>
  <c r="AC365" i="20"/>
  <c r="AD365" i="20" s="1"/>
  <c r="AC371" i="20"/>
  <c r="AD371" i="20" s="1"/>
  <c r="AE371" i="20" s="1"/>
  <c r="AF371" i="20" s="1"/>
  <c r="AC373" i="20"/>
  <c r="AD373" i="20" s="1"/>
  <c r="AC386" i="20"/>
  <c r="AD386" i="20" s="1"/>
  <c r="AC395" i="20"/>
  <c r="AD395" i="20" s="1"/>
  <c r="AC419" i="20"/>
  <c r="AD419" i="20" s="1"/>
  <c r="AC449" i="20"/>
  <c r="AD449" i="20" s="1"/>
  <c r="AE449" i="20" s="1"/>
  <c r="AF449" i="20" s="1"/>
  <c r="Z534" i="20"/>
  <c r="AA534" i="20" s="1"/>
  <c r="AC534" i="20" s="1"/>
  <c r="AE534" i="20" s="1"/>
  <c r="AF534" i="20" s="1"/>
  <c r="Y534" i="20"/>
  <c r="AA571" i="20"/>
  <c r="AC571" i="20" s="1"/>
  <c r="AE571" i="20" s="1"/>
  <c r="AF571" i="20" s="1"/>
  <c r="AG571" i="20" s="1"/>
  <c r="Z589" i="20"/>
  <c r="AA589" i="20" s="1"/>
  <c r="AC589" i="20" s="1"/>
  <c r="Y589" i="20"/>
  <c r="Y625" i="20"/>
  <c r="Z625" i="20"/>
  <c r="AA625" i="20" s="1"/>
  <c r="AH625" i="20" s="1"/>
  <c r="AI625" i="20" s="1"/>
  <c r="AK625" i="20" s="1"/>
  <c r="Z132" i="20"/>
  <c r="Y132" i="20"/>
  <c r="AC699" i="20"/>
  <c r="AD699" i="20" s="1"/>
  <c r="AE699" i="20" s="1"/>
  <c r="Y708" i="20"/>
  <c r="Z708" i="20"/>
  <c r="AA708" i="20" s="1"/>
  <c r="Y719" i="20"/>
  <c r="Z719" i="20"/>
  <c r="AA719" i="20" s="1"/>
  <c r="Z748" i="20"/>
  <c r="AA748" i="20" s="1"/>
  <c r="AC748" i="20" s="1"/>
  <c r="Y748" i="20"/>
  <c r="Y758" i="20"/>
  <c r="Z758" i="20"/>
  <c r="AA758" i="20" s="1"/>
  <c r="Z858" i="20"/>
  <c r="AA858" i="20" s="1"/>
  <c r="AH858" i="20" s="1"/>
  <c r="AI858" i="20" s="1"/>
  <c r="AK858" i="20" s="1"/>
  <c r="Y858" i="20"/>
  <c r="Z1019" i="20"/>
  <c r="AA1019" i="20" s="1"/>
  <c r="Y1019" i="20"/>
  <c r="Z617" i="20"/>
  <c r="AA617" i="20" s="1"/>
  <c r="AH617" i="20" s="1"/>
  <c r="AI617" i="20" s="1"/>
  <c r="AK617" i="20" s="1"/>
  <c r="Y617" i="20"/>
  <c r="Y654" i="20"/>
  <c r="Z654" i="20"/>
  <c r="AA654" i="20" s="1"/>
  <c r="AH654" i="20" s="1"/>
  <c r="AI654" i="20" s="1"/>
  <c r="AK654" i="20" s="1"/>
  <c r="Y692" i="20"/>
  <c r="Z692" i="20"/>
  <c r="AA692" i="20" s="1"/>
  <c r="AC692" i="20" s="1"/>
  <c r="Z755" i="20"/>
  <c r="AA755" i="20" s="1"/>
  <c r="AC755" i="20" s="1"/>
  <c r="Y755" i="20"/>
  <c r="Z797" i="20"/>
  <c r="Y797" i="20"/>
  <c r="Y869" i="20"/>
  <c r="Z869" i="20"/>
  <c r="AA869" i="20" s="1"/>
  <c r="AH869" i="20" s="1"/>
  <c r="AI869" i="20" s="1"/>
  <c r="AK869" i="20" s="1"/>
  <c r="Z903" i="20"/>
  <c r="Y903" i="20"/>
  <c r="Z948" i="20"/>
  <c r="AA948" i="20" s="1"/>
  <c r="AC948" i="20" s="1"/>
  <c r="AD948" i="20" s="1"/>
  <c r="Y948" i="20"/>
  <c r="Z967" i="20"/>
  <c r="AA967" i="20" s="1"/>
  <c r="Y967" i="20"/>
  <c r="Z982" i="20"/>
  <c r="AA982" i="20" s="1"/>
  <c r="AC982" i="20" s="1"/>
  <c r="Y982" i="20"/>
  <c r="AC703" i="20"/>
  <c r="AD703" i="20" s="1"/>
  <c r="AE703" i="20" s="1"/>
  <c r="AF703" i="20" s="1"/>
  <c r="Y764" i="20"/>
  <c r="Z770" i="20"/>
  <c r="AA770" i="20" s="1"/>
  <c r="Y774" i="20"/>
  <c r="Z775" i="20"/>
  <c r="AA775" i="20" s="1"/>
  <c r="Z786" i="20"/>
  <c r="AA786" i="20" s="1"/>
  <c r="Y789" i="20"/>
  <c r="Y801" i="20"/>
  <c r="Z815" i="20"/>
  <c r="AA815" i="20" s="1"/>
  <c r="AC815" i="20" s="1"/>
  <c r="AE815" i="20" s="1"/>
  <c r="Y845" i="20"/>
  <c r="Y862" i="20"/>
  <c r="Z867" i="20"/>
  <c r="AA867" i="20" s="1"/>
  <c r="AH867" i="20" s="1"/>
  <c r="AI867" i="20" s="1"/>
  <c r="AK867" i="20" s="1"/>
  <c r="Z881" i="20"/>
  <c r="AA881" i="20" s="1"/>
  <c r="AH881" i="20" s="1"/>
  <c r="AI881" i="20" s="1"/>
  <c r="AK881" i="20" s="1"/>
  <c r="Z891" i="20"/>
  <c r="Z895" i="20"/>
  <c r="Z911" i="20"/>
  <c r="Y944" i="20"/>
  <c r="Y959" i="20"/>
  <c r="Y1010" i="20"/>
  <c r="Y1025" i="20"/>
  <c r="Y237" i="20"/>
  <c r="Z237" i="20"/>
  <c r="AA237" i="20" s="1"/>
  <c r="Z278" i="20"/>
  <c r="AA278" i="20" s="1"/>
  <c r="Y278" i="20"/>
  <c r="AC60" i="20"/>
  <c r="AD60" i="20" s="1"/>
  <c r="Z106" i="20"/>
  <c r="AA106" i="20" s="1"/>
  <c r="Y106" i="20"/>
  <c r="Z161" i="20"/>
  <c r="AA161" i="20" s="1"/>
  <c r="Y161" i="20"/>
  <c r="Y187" i="20"/>
  <c r="Z187" i="20"/>
  <c r="AA187" i="20" s="1"/>
  <c r="Z189" i="20"/>
  <c r="AA189" i="20" s="1"/>
  <c r="Y189" i="20"/>
  <c r="Z204" i="20"/>
  <c r="AA204" i="20" s="1"/>
  <c r="Y204" i="20"/>
  <c r="AA241" i="20"/>
  <c r="AC241" i="20" s="1"/>
  <c r="Z244" i="20"/>
  <c r="AA244" i="20" s="1"/>
  <c r="Y244" i="20"/>
  <c r="Z82" i="20"/>
  <c r="AA82" i="20" s="1"/>
  <c r="Y82" i="20"/>
  <c r="Z133" i="20"/>
  <c r="AA133" i="20" s="1"/>
  <c r="Y133" i="20"/>
  <c r="Z169" i="20"/>
  <c r="AA169" i="20" s="1"/>
  <c r="Y169" i="20"/>
  <c r="Y171" i="20"/>
  <c r="Z171" i="20"/>
  <c r="AA171" i="20" s="1"/>
  <c r="Z173" i="20"/>
  <c r="AA173" i="20" s="1"/>
  <c r="Y173" i="20"/>
  <c r="Z181" i="20"/>
  <c r="AA181" i="20" s="1"/>
  <c r="Y181" i="20"/>
  <c r="Y191" i="20"/>
  <c r="Z191" i="20"/>
  <c r="AA191" i="20" s="1"/>
  <c r="Y193" i="20"/>
  <c r="Z193" i="20"/>
  <c r="AA193" i="20" s="1"/>
  <c r="Z208" i="20"/>
  <c r="AA208" i="20" s="1"/>
  <c r="Y208" i="20"/>
  <c r="Z220" i="20"/>
  <c r="Y220" i="20"/>
  <c r="Z228" i="20"/>
  <c r="AA228" i="20" s="1"/>
  <c r="Y228" i="20"/>
  <c r="Y245" i="20"/>
  <c r="Z245" i="20"/>
  <c r="AA245" i="20" s="1"/>
  <c r="AC434" i="20"/>
  <c r="AD434" i="20" s="1"/>
  <c r="AE434" i="20" s="1"/>
  <c r="AF434" i="20" s="1"/>
  <c r="AC438" i="20"/>
  <c r="AD438" i="20" s="1"/>
  <c r="Z98" i="20"/>
  <c r="AA98" i="20" s="1"/>
  <c r="Y98" i="20"/>
  <c r="Z153" i="20"/>
  <c r="AA153" i="20" s="1"/>
  <c r="Y153" i="20"/>
  <c r="Y209" i="20"/>
  <c r="Z209" i="20"/>
  <c r="AA209" i="20" s="1"/>
  <c r="AC30" i="20"/>
  <c r="AD30" i="20" s="1"/>
  <c r="AC44" i="20"/>
  <c r="AD44" i="20" s="1"/>
  <c r="Z90" i="20"/>
  <c r="AA90" i="20" s="1"/>
  <c r="Y90" i="20"/>
  <c r="Z142" i="20"/>
  <c r="AA142" i="20" s="1"/>
  <c r="Y142" i="20"/>
  <c r="Y175" i="20"/>
  <c r="Z175" i="20"/>
  <c r="AA175" i="20" s="1"/>
  <c r="Y177" i="20"/>
  <c r="Z177" i="20"/>
  <c r="AA177" i="20" s="1"/>
  <c r="Z201" i="20"/>
  <c r="AA201" i="20" s="1"/>
  <c r="Y201" i="20"/>
  <c r="AC208" i="20"/>
  <c r="AD208" i="20" s="1"/>
  <c r="AE208" i="20" s="1"/>
  <c r="AA213" i="20"/>
  <c r="AC213" i="20"/>
  <c r="AD213" i="20" s="1"/>
  <c r="Z225" i="20"/>
  <c r="AA225" i="20" s="1"/>
  <c r="Y225" i="20"/>
  <c r="Y249" i="20"/>
  <c r="Z249" i="20"/>
  <c r="AA249" i="20" s="1"/>
  <c r="AA328" i="20"/>
  <c r="AC328" i="20" s="1"/>
  <c r="Z112" i="20"/>
  <c r="AA112" i="20" s="1"/>
  <c r="Y112" i="20"/>
  <c r="Z462" i="20"/>
  <c r="AA462" i="20" s="1"/>
  <c r="AC462" i="20" s="1"/>
  <c r="Y462" i="20"/>
  <c r="AA488" i="20"/>
  <c r="AC488" i="20" s="1"/>
  <c r="AD488" i="20" s="1"/>
  <c r="Z495" i="20"/>
  <c r="Y495" i="20"/>
  <c r="AA500" i="20"/>
  <c r="AC500" i="20" s="1"/>
  <c r="AD500" i="20" s="1"/>
  <c r="AA508" i="20"/>
  <c r="AC508" i="20" s="1"/>
  <c r="AE508" i="20" s="1"/>
  <c r="AF508" i="20" s="1"/>
  <c r="Z561" i="20"/>
  <c r="AA561" i="20" s="1"/>
  <c r="Y561" i="20"/>
  <c r="Z568" i="20"/>
  <c r="AA568" i="20" s="1"/>
  <c r="Y568" i="20"/>
  <c r="Z602" i="20"/>
  <c r="AA602" i="20" s="1"/>
  <c r="AC602" i="20" s="1"/>
  <c r="Y602" i="20"/>
  <c r="Z610" i="20"/>
  <c r="AA610" i="20" s="1"/>
  <c r="AH610" i="20" s="1"/>
  <c r="AI610" i="20" s="1"/>
  <c r="AK610" i="20" s="1"/>
  <c r="Y610" i="20"/>
  <c r="Z639" i="20"/>
  <c r="AA639" i="20" s="1"/>
  <c r="AH639" i="20" s="1"/>
  <c r="AI639" i="20" s="1"/>
  <c r="AK639" i="20" s="1"/>
  <c r="Y639" i="20"/>
  <c r="Z641" i="20"/>
  <c r="AA641" i="20" s="1"/>
  <c r="AH641" i="20" s="1"/>
  <c r="AI641" i="20" s="1"/>
  <c r="AK641" i="20" s="1"/>
  <c r="Y641" i="20"/>
  <c r="Y643" i="20"/>
  <c r="Z643" i="20"/>
  <c r="AA643" i="20" s="1"/>
  <c r="AH643" i="20" s="1"/>
  <c r="AI643" i="20" s="1"/>
  <c r="AK643" i="20" s="1"/>
  <c r="Y674" i="20"/>
  <c r="Z674" i="20"/>
  <c r="Z754" i="20"/>
  <c r="AA754" i="20" s="1"/>
  <c r="Y754" i="20"/>
  <c r="Z943" i="20"/>
  <c r="AA943" i="20" s="1"/>
  <c r="Y943" i="20"/>
  <c r="AB944" i="20"/>
  <c r="AC944" i="20" s="1"/>
  <c r="AJ934" i="20"/>
  <c r="AC52" i="20"/>
  <c r="AD52" i="20" s="1"/>
  <c r="Z199" i="20"/>
  <c r="AA199" i="20" s="1"/>
  <c r="Y205" i="20"/>
  <c r="Y213" i="20"/>
  <c r="Y217" i="20"/>
  <c r="Z234" i="20"/>
  <c r="AC234" i="20" s="1"/>
  <c r="AD234" i="20" s="1"/>
  <c r="Y236" i="20"/>
  <c r="Y241" i="20"/>
  <c r="Z246" i="20"/>
  <c r="AA246" i="20" s="1"/>
  <c r="Y253" i="20"/>
  <c r="Y280" i="20"/>
  <c r="Y282" i="20"/>
  <c r="Z292" i="20"/>
  <c r="AA292" i="20" s="1"/>
  <c r="Y310" i="20"/>
  <c r="Y325" i="20"/>
  <c r="Y326" i="20"/>
  <c r="Y328" i="20"/>
  <c r="AC345" i="20"/>
  <c r="AD345" i="20" s="1"/>
  <c r="AC349" i="20"/>
  <c r="AD349" i="20" s="1"/>
  <c r="AC410" i="20"/>
  <c r="AD410" i="20" s="1"/>
  <c r="AC422" i="20"/>
  <c r="AD422" i="20" s="1"/>
  <c r="Z426" i="20"/>
  <c r="AA426" i="20" s="1"/>
  <c r="Y426" i="20"/>
  <c r="Z435" i="20"/>
  <c r="AA435" i="20" s="1"/>
  <c r="Y435" i="20"/>
  <c r="Y473" i="20"/>
  <c r="Z473" i="20"/>
  <c r="Y144" i="20"/>
  <c r="Z144" i="20"/>
  <c r="AA144" i="20" s="1"/>
  <c r="AC144" i="20" s="1"/>
  <c r="AE144" i="20" s="1"/>
  <c r="AF144" i="20" s="1"/>
  <c r="Z585" i="20"/>
  <c r="AA585" i="20" s="1"/>
  <c r="Y585" i="20"/>
  <c r="Z620" i="20"/>
  <c r="AA620" i="20" s="1"/>
  <c r="AH620" i="20" s="1"/>
  <c r="AI620" i="20" s="1"/>
  <c r="AK620" i="20" s="1"/>
  <c r="Y620" i="20"/>
  <c r="Z622" i="20"/>
  <c r="AA622" i="20" s="1"/>
  <c r="AH622" i="20" s="1"/>
  <c r="AI622" i="20" s="1"/>
  <c r="AK622" i="20" s="1"/>
  <c r="Y622" i="20"/>
  <c r="Y634" i="20"/>
  <c r="Z634" i="20"/>
  <c r="AA634" i="20" s="1"/>
  <c r="AH634" i="20" s="1"/>
  <c r="AI634" i="20" s="1"/>
  <c r="AK634" i="20" s="1"/>
  <c r="Y682" i="20"/>
  <c r="Z682" i="20"/>
  <c r="Y696" i="20"/>
  <c r="Z696" i="20"/>
  <c r="AA696" i="20" s="1"/>
  <c r="AC696" i="20" s="1"/>
  <c r="Y723" i="20"/>
  <c r="Z723" i="20"/>
  <c r="AA723" i="20" s="1"/>
  <c r="Z860" i="20"/>
  <c r="AA860" i="20" s="1"/>
  <c r="AH860" i="20" s="1"/>
  <c r="AI860" i="20" s="1"/>
  <c r="AK860" i="20" s="1"/>
  <c r="Y860" i="20"/>
  <c r="Y863" i="20"/>
  <c r="Z863" i="20"/>
  <c r="AA863" i="20" s="1"/>
  <c r="AH863" i="20" s="1"/>
  <c r="AI863" i="20" s="1"/>
  <c r="AK863" i="20" s="1"/>
  <c r="AJ12" i="20"/>
  <c r="AC22" i="20"/>
  <c r="AD22" i="20" s="1"/>
  <c r="AC68" i="20"/>
  <c r="AD68" i="20" s="1"/>
  <c r="AE68" i="20" s="1"/>
  <c r="Y185" i="20"/>
  <c r="Y224" i="20"/>
  <c r="Z226" i="20"/>
  <c r="AC286" i="20"/>
  <c r="AD286" i="20" s="1"/>
  <c r="AE286" i="20" s="1"/>
  <c r="AF286" i="20" s="1"/>
  <c r="Z297" i="20"/>
  <c r="AA297" i="20" s="1"/>
  <c r="Z314" i="20"/>
  <c r="AA314" i="20" s="1"/>
  <c r="Y323" i="20"/>
  <c r="AC337" i="20"/>
  <c r="AD337" i="20" s="1"/>
  <c r="AE337" i="20" s="1"/>
  <c r="AF337" i="20" s="1"/>
  <c r="AC341" i="20"/>
  <c r="AD341" i="20" s="1"/>
  <c r="AC353" i="20"/>
  <c r="AD353" i="20" s="1"/>
  <c r="AE353" i="20" s="1"/>
  <c r="AF353" i="20" s="1"/>
  <c r="Z75" i="20"/>
  <c r="AC75" i="20" s="1"/>
  <c r="AD75" i="20" s="1"/>
  <c r="AC78" i="20"/>
  <c r="AD78" i="20" s="1"/>
  <c r="Z83" i="20"/>
  <c r="AC83" i="20" s="1"/>
  <c r="AD83" i="20" s="1"/>
  <c r="AE83" i="20" s="1"/>
  <c r="AF83" i="20" s="1"/>
  <c r="Z91" i="20"/>
  <c r="AC91" i="20" s="1"/>
  <c r="AD91" i="20" s="1"/>
  <c r="Z99" i="20"/>
  <c r="AC99" i="20" s="1"/>
  <c r="AD99" i="20" s="1"/>
  <c r="AE99" i="20" s="1"/>
  <c r="AF99" i="20" s="1"/>
  <c r="AC102" i="20"/>
  <c r="AD102" i="20" s="1"/>
  <c r="Z107" i="20"/>
  <c r="AC107" i="20" s="1"/>
  <c r="AD107" i="20" s="1"/>
  <c r="AC110" i="20"/>
  <c r="AD110" i="20" s="1"/>
  <c r="Z134" i="20"/>
  <c r="AC134" i="20" s="1"/>
  <c r="AD134" i="20" s="1"/>
  <c r="AE134" i="20" s="1"/>
  <c r="AF134" i="20" s="1"/>
  <c r="Z146" i="20"/>
  <c r="AC146" i="20" s="1"/>
  <c r="AD146" i="20" s="1"/>
  <c r="Z154" i="20"/>
  <c r="AC154" i="20" s="1"/>
  <c r="AD154" i="20" s="1"/>
  <c r="AE154" i="20" s="1"/>
  <c r="AF154" i="20" s="1"/>
  <c r="AC157" i="20"/>
  <c r="AD157" i="20" s="1"/>
  <c r="Z162" i="20"/>
  <c r="AC162" i="20" s="1"/>
  <c r="AD162" i="20" s="1"/>
  <c r="AC165" i="20"/>
  <c r="AD165" i="20" s="1"/>
  <c r="Z170" i="20"/>
  <c r="AC170" i="20" s="1"/>
  <c r="AD170" i="20" s="1"/>
  <c r="AE170" i="20" s="1"/>
  <c r="AF170" i="20" s="1"/>
  <c r="Z210" i="20"/>
  <c r="Z218" i="20"/>
  <c r="AC218" i="20" s="1"/>
  <c r="AD218" i="20" s="1"/>
  <c r="Z230" i="20"/>
  <c r="AA230" i="20" s="1"/>
  <c r="AA282" i="20"/>
  <c r="AC282" i="20" s="1"/>
  <c r="AD282" i="20" s="1"/>
  <c r="Z291" i="20"/>
  <c r="AA291" i="20" s="1"/>
  <c r="Y298" i="20"/>
  <c r="Z299" i="20"/>
  <c r="AA299" i="20" s="1"/>
  <c r="Z300" i="20"/>
  <c r="AA300" i="20" s="1"/>
  <c r="Z301" i="20"/>
  <c r="AA301" i="20" s="1"/>
  <c r="Y302" i="20"/>
  <c r="Y304" i="20"/>
  <c r="Z305" i="20"/>
  <c r="AA305" i="20" s="1"/>
  <c r="Z308" i="20"/>
  <c r="AA308" i="20" s="1"/>
  <c r="Z312" i="20"/>
  <c r="AA312" i="20" s="1"/>
  <c r="Y317" i="20"/>
  <c r="Z318" i="20"/>
  <c r="AA318" i="20" s="1"/>
  <c r="Z321" i="20"/>
  <c r="AA321" i="20" s="1"/>
  <c r="AC323" i="20"/>
  <c r="AD323" i="20" s="1"/>
  <c r="Y330" i="20"/>
  <c r="Y332" i="20"/>
  <c r="Y366" i="20"/>
  <c r="Y372" i="20"/>
  <c r="Z374" i="20"/>
  <c r="Z384" i="20"/>
  <c r="AA384" i="20" s="1"/>
  <c r="Y384" i="20"/>
  <c r="Z385" i="20"/>
  <c r="Y389" i="20"/>
  <c r="Y390" i="20"/>
  <c r="Y396" i="20"/>
  <c r="AA401" i="20"/>
  <c r="AC401" i="20" s="1"/>
  <c r="AD401" i="20" s="1"/>
  <c r="Y409" i="20"/>
  <c r="Y410" i="20"/>
  <c r="Y415" i="20"/>
  <c r="Y428" i="20"/>
  <c r="Y437" i="20"/>
  <c r="Y438" i="20"/>
  <c r="Z439" i="20"/>
  <c r="AA439" i="20" s="1"/>
  <c r="Y439" i="20"/>
  <c r="Z440" i="20"/>
  <c r="AA440" i="20" s="1"/>
  <c r="AC440" i="20" s="1"/>
  <c r="AD440" i="20" s="1"/>
  <c r="Y449" i="20"/>
  <c r="Z450" i="20"/>
  <c r="AA450" i="20" s="1"/>
  <c r="AC450" i="20" s="1"/>
  <c r="AD450" i="20" s="1"/>
  <c r="Y454" i="20"/>
  <c r="Y457" i="20"/>
  <c r="Z457" i="20"/>
  <c r="AA457" i="20" s="1"/>
  <c r="AC457" i="20" s="1"/>
  <c r="Z460" i="20"/>
  <c r="AA460" i="20" s="1"/>
  <c r="Z465" i="20"/>
  <c r="AA465" i="20" s="1"/>
  <c r="AC465" i="20" s="1"/>
  <c r="Y468" i="20"/>
  <c r="Z469" i="20"/>
  <c r="Y472" i="20"/>
  <c r="Z484" i="20"/>
  <c r="Y484" i="20"/>
  <c r="Z486" i="20"/>
  <c r="AA486" i="20" s="1"/>
  <c r="Y493" i="20"/>
  <c r="Z493" i="20"/>
  <c r="AA493" i="20" s="1"/>
  <c r="AC493" i="20" s="1"/>
  <c r="AD493" i="20" s="1"/>
  <c r="Y499" i="20"/>
  <c r="Z499" i="20"/>
  <c r="AA499" i="20" s="1"/>
  <c r="AC499" i="20" s="1"/>
  <c r="Y514" i="20"/>
  <c r="Z514" i="20"/>
  <c r="AA514" i="20" s="1"/>
  <c r="AC514" i="20" s="1"/>
  <c r="Z523" i="20"/>
  <c r="AA523" i="20" s="1"/>
  <c r="Y527" i="20"/>
  <c r="AC528" i="20"/>
  <c r="AE528" i="20" s="1"/>
  <c r="AF528" i="20" s="1"/>
  <c r="Z557" i="20"/>
  <c r="AA557" i="20" s="1"/>
  <c r="AC557" i="20" s="1"/>
  <c r="Y558" i="20"/>
  <c r="Z560" i="20"/>
  <c r="AA560" i="20" s="1"/>
  <c r="Y560" i="20"/>
  <c r="Y567" i="20"/>
  <c r="Z569" i="20"/>
  <c r="AA569" i="20" s="1"/>
  <c r="Y569" i="20"/>
  <c r="Z580" i="20"/>
  <c r="AA580" i="20" s="1"/>
  <c r="AC580" i="20" s="1"/>
  <c r="Z590" i="20"/>
  <c r="AA590" i="20" s="1"/>
  <c r="AC590" i="20" s="1"/>
  <c r="Y603" i="20"/>
  <c r="Z603" i="20"/>
  <c r="AA603" i="20" s="1"/>
  <c r="AC603" i="20" s="1"/>
  <c r="Z126" i="20"/>
  <c r="AA126" i="20" s="1"/>
  <c r="AH126" i="20" s="1"/>
  <c r="AI126" i="20" s="1"/>
  <c r="AK126" i="20" s="1"/>
  <c r="Y126" i="20"/>
  <c r="Z638" i="20"/>
  <c r="AA638" i="20" s="1"/>
  <c r="AH638" i="20" s="1"/>
  <c r="AI638" i="20" s="1"/>
  <c r="AK638" i="20" s="1"/>
  <c r="Y638" i="20"/>
  <c r="Z640" i="20"/>
  <c r="AA640" i="20" s="1"/>
  <c r="AH640" i="20" s="1"/>
  <c r="AI640" i="20" s="1"/>
  <c r="AK640" i="20" s="1"/>
  <c r="Y640" i="20"/>
  <c r="Z642" i="20"/>
  <c r="AA642" i="20" s="1"/>
  <c r="AH642" i="20" s="1"/>
  <c r="AI642" i="20" s="1"/>
  <c r="AK642" i="20" s="1"/>
  <c r="Y642" i="20"/>
  <c r="Y650" i="20"/>
  <c r="Z650" i="20"/>
  <c r="AA650" i="20" s="1"/>
  <c r="AH650" i="20" s="1"/>
  <c r="AI650" i="20" s="1"/>
  <c r="AK650" i="20" s="1"/>
  <c r="Y659" i="20"/>
  <c r="Z659" i="20"/>
  <c r="AC310" i="20"/>
  <c r="AD310" i="20" s="1"/>
  <c r="AA396" i="20"/>
  <c r="AC396" i="20" s="1"/>
  <c r="AD396" i="20" s="1"/>
  <c r="AA409" i="20"/>
  <c r="AC409" i="20" s="1"/>
  <c r="AD409" i="20" s="1"/>
  <c r="AC414" i="20"/>
  <c r="AD414" i="20" s="1"/>
  <c r="AC448" i="20"/>
  <c r="AD448" i="20" s="1"/>
  <c r="Z478" i="20"/>
  <c r="AA478" i="20" s="1"/>
  <c r="AC478" i="20" s="1"/>
  <c r="Y478" i="20"/>
  <c r="Z512" i="20"/>
  <c r="Y512" i="20"/>
  <c r="Y143" i="20"/>
  <c r="Z522" i="20"/>
  <c r="AA522" i="20" s="1"/>
  <c r="AC522" i="20" s="1"/>
  <c r="AC123" i="20"/>
  <c r="AE123" i="20" s="1"/>
  <c r="AF123" i="20" s="1"/>
  <c r="Y530" i="20"/>
  <c r="Z530" i="20"/>
  <c r="AA530" i="20" s="1"/>
  <c r="AC530" i="20" s="1"/>
  <c r="AE530" i="20" s="1"/>
  <c r="AF530" i="20" s="1"/>
  <c r="AA535" i="20"/>
  <c r="AC535" i="20" s="1"/>
  <c r="AE535" i="20" s="1"/>
  <c r="AF535" i="20" s="1"/>
  <c r="Y536" i="20"/>
  <c r="Z546" i="20"/>
  <c r="AA546" i="20" s="1"/>
  <c r="AC546" i="20" s="1"/>
  <c r="Y566" i="20"/>
  <c r="Z621" i="20"/>
  <c r="AA621" i="20" s="1"/>
  <c r="AH621" i="20" s="1"/>
  <c r="AI621" i="20" s="1"/>
  <c r="AK621" i="20" s="1"/>
  <c r="Y621" i="20"/>
  <c r="Z623" i="20"/>
  <c r="AA623" i="20" s="1"/>
  <c r="AH623" i="20" s="1"/>
  <c r="AI623" i="20" s="1"/>
  <c r="AK623" i="20" s="1"/>
  <c r="Y623" i="20"/>
  <c r="Z633" i="20"/>
  <c r="AA633" i="20" s="1"/>
  <c r="AH633" i="20" s="1"/>
  <c r="AI633" i="20" s="1"/>
  <c r="AK633" i="20" s="1"/>
  <c r="Y633" i="20"/>
  <c r="Y667" i="20"/>
  <c r="Z667" i="20"/>
  <c r="Y704" i="20"/>
  <c r="Z704" i="20"/>
  <c r="AA704" i="20" s="1"/>
  <c r="Y773" i="20"/>
  <c r="Z773" i="20"/>
  <c r="AA773" i="20" s="1"/>
  <c r="AC773" i="20" s="1"/>
  <c r="AJ689" i="20"/>
  <c r="Z726" i="20"/>
  <c r="AA726" i="20" s="1"/>
  <c r="AC726" i="20" s="1"/>
  <c r="Y726" i="20"/>
  <c r="Y731" i="20"/>
  <c r="Z731" i="20"/>
  <c r="AA731" i="20" s="1"/>
  <c r="Y785" i="20"/>
  <c r="Z785" i="20"/>
  <c r="AA785" i="20" s="1"/>
  <c r="AC785" i="20" s="1"/>
  <c r="AD785" i="20" s="1"/>
  <c r="AE785" i="20" s="1"/>
  <c r="Y812" i="20"/>
  <c r="Z812" i="20"/>
  <c r="AA812" i="20" s="1"/>
  <c r="AC812" i="20" s="1"/>
  <c r="Y844" i="20"/>
  <c r="Z844" i="20"/>
  <c r="AA844" i="20" s="1"/>
  <c r="Z851" i="20"/>
  <c r="AA851" i="20" s="1"/>
  <c r="AC851" i="20" s="1"/>
  <c r="Y851" i="20"/>
  <c r="Y857" i="20"/>
  <c r="Z857" i="20"/>
  <c r="AA857" i="20" s="1"/>
  <c r="AH857" i="20" s="1"/>
  <c r="AI857" i="20" s="1"/>
  <c r="AK857" i="20" s="1"/>
  <c r="AC369" i="20"/>
  <c r="AD369" i="20" s="1"/>
  <c r="AC388" i="20"/>
  <c r="AD388" i="20" s="1"/>
  <c r="AE388" i="20" s="1"/>
  <c r="AF388" i="20" s="1"/>
  <c r="Y124" i="20"/>
  <c r="Z542" i="20"/>
  <c r="AA542" i="20" s="1"/>
  <c r="AC542" i="20" s="1"/>
  <c r="AE542" i="20" s="1"/>
  <c r="AF542" i="20" s="1"/>
  <c r="Z550" i="20"/>
  <c r="AA550" i="20" s="1"/>
  <c r="AC550" i="20" s="1"/>
  <c r="Z573" i="20"/>
  <c r="AA573" i="20" s="1"/>
  <c r="AC573" i="20" s="1"/>
  <c r="Z584" i="20"/>
  <c r="AA584" i="20" s="1"/>
  <c r="AC584" i="20" s="1"/>
  <c r="Y595" i="20"/>
  <c r="AC379" i="20"/>
  <c r="AF379" i="20" s="1"/>
  <c r="Y608" i="20"/>
  <c r="Y632" i="20"/>
  <c r="Y648" i="20"/>
  <c r="Z649" i="20"/>
  <c r="AA649" i="20" s="1"/>
  <c r="AH649" i="20" s="1"/>
  <c r="AI649" i="20" s="1"/>
  <c r="AK649" i="20" s="1"/>
  <c r="Y657" i="20"/>
  <c r="Z658" i="20"/>
  <c r="AA658" i="20" s="1"/>
  <c r="AH658" i="20" s="1"/>
  <c r="AI658" i="20" s="1"/>
  <c r="AK658" i="20" s="1"/>
  <c r="Z694" i="20"/>
  <c r="AA694" i="20" s="1"/>
  <c r="AC694" i="20" s="1"/>
  <c r="Z702" i="20"/>
  <c r="AA702" i="20" s="1"/>
  <c r="AC702" i="20" s="1"/>
  <c r="Z710" i="20"/>
  <c r="AA710" i="20" s="1"/>
  <c r="AC710" i="20" s="1"/>
  <c r="Y721" i="20"/>
  <c r="Z721" i="20"/>
  <c r="AA721" i="20" s="1"/>
  <c r="Z733" i="20"/>
  <c r="AA733" i="20" s="1"/>
  <c r="Y733" i="20"/>
  <c r="AC735" i="20"/>
  <c r="AD735" i="20" s="1"/>
  <c r="AE735" i="20" s="1"/>
  <c r="Z738" i="20"/>
  <c r="AA738" i="20" s="1"/>
  <c r="Y738" i="20"/>
  <c r="Z753" i="20"/>
  <c r="AA753" i="20" s="1"/>
  <c r="AC753" i="20" s="1"/>
  <c r="AD753" i="20" s="1"/>
  <c r="AE753" i="20" s="1"/>
  <c r="Z780" i="20"/>
  <c r="Y780" i="20"/>
  <c r="Z804" i="20"/>
  <c r="AA804" i="20" s="1"/>
  <c r="AC804" i="20" s="1"/>
  <c r="Z809" i="20"/>
  <c r="Y809" i="20"/>
  <c r="Z839" i="20"/>
  <c r="AA839" i="20" s="1"/>
  <c r="AC839" i="20" s="1"/>
  <c r="Y883" i="20"/>
  <c r="Z883" i="20"/>
  <c r="AA883" i="20" s="1"/>
  <c r="AH883" i="20" s="1"/>
  <c r="AI883" i="20" s="1"/>
  <c r="AK883" i="20" s="1"/>
  <c r="Z926" i="20"/>
  <c r="AA926" i="20" s="1"/>
  <c r="Y926" i="20"/>
  <c r="Y929" i="20"/>
  <c r="Z929" i="20"/>
  <c r="AA929" i="20" s="1"/>
  <c r="AC929" i="20" s="1"/>
  <c r="AD929" i="20" s="1"/>
  <c r="Y936" i="20"/>
  <c r="Z936" i="20"/>
  <c r="AA936" i="20" s="1"/>
  <c r="Z962" i="20"/>
  <c r="AA962" i="20" s="1"/>
  <c r="Y962" i="20"/>
  <c r="Y707" i="20"/>
  <c r="Z707" i="20"/>
  <c r="AA707" i="20" s="1"/>
  <c r="Z720" i="20"/>
  <c r="AA720" i="20" s="1"/>
  <c r="Y720" i="20"/>
  <c r="Z724" i="20"/>
  <c r="AA724" i="20" s="1"/>
  <c r="Y724" i="20"/>
  <c r="Y729" i="20"/>
  <c r="Z729" i="20"/>
  <c r="AA729" i="20" s="1"/>
  <c r="Z742" i="20"/>
  <c r="AA742" i="20" s="1"/>
  <c r="Y742" i="20"/>
  <c r="Y769" i="20"/>
  <c r="Z769" i="20"/>
  <c r="AA769" i="20" s="1"/>
  <c r="AC769" i="20" s="1"/>
  <c r="AD769" i="20" s="1"/>
  <c r="AE769" i="20" s="1"/>
  <c r="AF769" i="20" s="1"/>
  <c r="Y782" i="20"/>
  <c r="Z782" i="20"/>
  <c r="AA782" i="20" s="1"/>
  <c r="AC782" i="20" s="1"/>
  <c r="Y814" i="20"/>
  <c r="Z814" i="20"/>
  <c r="AA814" i="20" s="1"/>
  <c r="AC814" i="20" s="1"/>
  <c r="Y838" i="20"/>
  <c r="Z838" i="20"/>
  <c r="AA838" i="20" s="1"/>
  <c r="AC838" i="20" s="1"/>
  <c r="Y875" i="20"/>
  <c r="Z875" i="20"/>
  <c r="AA875" i="20" s="1"/>
  <c r="AH875" i="20" s="1"/>
  <c r="AI875" i="20" s="1"/>
  <c r="AK875" i="20" s="1"/>
  <c r="Z899" i="20"/>
  <c r="Y899" i="20"/>
  <c r="Y904" i="20"/>
  <c r="Z904" i="20"/>
  <c r="Z866" i="20"/>
  <c r="AA866" i="20" s="1"/>
  <c r="AH866" i="20" s="1"/>
  <c r="AI866" i="20" s="1"/>
  <c r="AK866" i="20" s="1"/>
  <c r="Y866" i="20"/>
  <c r="Y873" i="20"/>
  <c r="Z873" i="20"/>
  <c r="AA873" i="20" s="1"/>
  <c r="AH873" i="20" s="1"/>
  <c r="AI873" i="20" s="1"/>
  <c r="AK873" i="20" s="1"/>
  <c r="Z876" i="20"/>
  <c r="AA876" i="20" s="1"/>
  <c r="AH876" i="20" s="1"/>
  <c r="AI876" i="20" s="1"/>
  <c r="AK876" i="20" s="1"/>
  <c r="Y876" i="20"/>
  <c r="Y879" i="20"/>
  <c r="Z879" i="20"/>
  <c r="AA879" i="20" s="1"/>
  <c r="AH879" i="20" s="1"/>
  <c r="AI879" i="20" s="1"/>
  <c r="AK879" i="20" s="1"/>
  <c r="Y900" i="20"/>
  <c r="Z900" i="20"/>
  <c r="Z906" i="20"/>
  <c r="Y906" i="20"/>
  <c r="Z960" i="20"/>
  <c r="AA960" i="20" s="1"/>
  <c r="Y960" i="20"/>
  <c r="Z975" i="20"/>
  <c r="AA975" i="20" s="1"/>
  <c r="Y975" i="20"/>
  <c r="Y998" i="20"/>
  <c r="Z998" i="20"/>
  <c r="AA998" i="20" s="1"/>
  <c r="AC998" i="20" s="1"/>
  <c r="AD998" i="20" s="1"/>
  <c r="Y1022" i="20"/>
  <c r="Z1022" i="20"/>
  <c r="AA1022" i="20" s="1"/>
  <c r="AC1022" i="20" s="1"/>
  <c r="Y978" i="20"/>
  <c r="Z978" i="20"/>
  <c r="Y988" i="20"/>
  <c r="Z988" i="20"/>
  <c r="AA988" i="20" s="1"/>
  <c r="Y1014" i="20"/>
  <c r="Z1014" i="20"/>
  <c r="AA1014" i="20" s="1"/>
  <c r="AC1014" i="20" s="1"/>
  <c r="Z728" i="20"/>
  <c r="AA728" i="20" s="1"/>
  <c r="AC728" i="20" s="1"/>
  <c r="Y728" i="20"/>
  <c r="Z734" i="20"/>
  <c r="AA734" i="20" s="1"/>
  <c r="Y734" i="20"/>
  <c r="AC736" i="20"/>
  <c r="AD736" i="20" s="1"/>
  <c r="AE736" i="20" s="1"/>
  <c r="AC739" i="20"/>
  <c r="AD739" i="20" s="1"/>
  <c r="AC740" i="20"/>
  <c r="AD740" i="20" s="1"/>
  <c r="AE740" i="20" s="1"/>
  <c r="AF740" i="20" s="1"/>
  <c r="Z776" i="20"/>
  <c r="AA776" i="20" s="1"/>
  <c r="AC776" i="20" s="1"/>
  <c r="AD776" i="20" s="1"/>
  <c r="AE776" i="20" s="1"/>
  <c r="AF776" i="20" s="1"/>
  <c r="Y776" i="20"/>
  <c r="Z837" i="20"/>
  <c r="AA837" i="20" s="1"/>
  <c r="AC837" i="20" s="1"/>
  <c r="AF837" i="20" s="1"/>
  <c r="AG837" i="20" s="1"/>
  <c r="AH837" i="20" s="1"/>
  <c r="Y837" i="20"/>
  <c r="Z846" i="20"/>
  <c r="AA846" i="20" s="1"/>
  <c r="AC846" i="20" s="1"/>
  <c r="Y846" i="20"/>
  <c r="Y859" i="20"/>
  <c r="Z859" i="20"/>
  <c r="AA859" i="20" s="1"/>
  <c r="AH859" i="20" s="1"/>
  <c r="AI859" i="20" s="1"/>
  <c r="AK859" i="20" s="1"/>
  <c r="Z872" i="20"/>
  <c r="AA872" i="20" s="1"/>
  <c r="AH872" i="20" s="1"/>
  <c r="AI872" i="20" s="1"/>
  <c r="AK872" i="20" s="1"/>
  <c r="Y872" i="20"/>
  <c r="Y887" i="20"/>
  <c r="Z887" i="20"/>
  <c r="Y898" i="20"/>
  <c r="Z898" i="20"/>
  <c r="Z902" i="20"/>
  <c r="Y902" i="20"/>
  <c r="Z919" i="20"/>
  <c r="Y919" i="20"/>
  <c r="AJ924" i="20"/>
  <c r="AB926" i="20"/>
  <c r="Y970" i="20"/>
  <c r="Z970" i="20"/>
  <c r="Y980" i="20"/>
  <c r="Z980" i="20"/>
  <c r="AA980" i="20" s="1"/>
  <c r="Z1006" i="20"/>
  <c r="AA1006" i="20" s="1"/>
  <c r="Y1006" i="20"/>
  <c r="AC743" i="20"/>
  <c r="AD743" i="20" s="1"/>
  <c r="AE743" i="20" s="1"/>
  <c r="Y802" i="20"/>
  <c r="Z802" i="20"/>
  <c r="AA802" i="20" s="1"/>
  <c r="AC802" i="20" s="1"/>
  <c r="AE802" i="20" s="1"/>
  <c r="AF802" i="20" s="1"/>
  <c r="Y806" i="20"/>
  <c r="Z806" i="20"/>
  <c r="AA806" i="20" s="1"/>
  <c r="AC806" i="20" s="1"/>
  <c r="Y840" i="20"/>
  <c r="Z840" i="20"/>
  <c r="AA840" i="20" s="1"/>
  <c r="AC840" i="20" s="1"/>
  <c r="Z849" i="20"/>
  <c r="AA849" i="20" s="1"/>
  <c r="AC849" i="20" s="1"/>
  <c r="AF849" i="20" s="1"/>
  <c r="AG849" i="20" s="1"/>
  <c r="AH849" i="20" s="1"/>
  <c r="Y849" i="20"/>
  <c r="Z856" i="20"/>
  <c r="AA856" i="20" s="1"/>
  <c r="AH856" i="20" s="1"/>
  <c r="AI856" i="20" s="1"/>
  <c r="AK856" i="20" s="1"/>
  <c r="Y856" i="20"/>
  <c r="Z882" i="20"/>
  <c r="AA882" i="20" s="1"/>
  <c r="AH882" i="20" s="1"/>
  <c r="AI882" i="20" s="1"/>
  <c r="AK882" i="20" s="1"/>
  <c r="Y882" i="20"/>
  <c r="Z886" i="20"/>
  <c r="AA886" i="20" s="1"/>
  <c r="AH886" i="20" s="1"/>
  <c r="AI886" i="20" s="1"/>
  <c r="AK886" i="20" s="1"/>
  <c r="Y886" i="20"/>
  <c r="Y918" i="20"/>
  <c r="Z918" i="20"/>
  <c r="Z941" i="20"/>
  <c r="AA941" i="20" s="1"/>
  <c r="Y941" i="20"/>
  <c r="Z942" i="20"/>
  <c r="AA942" i="20" s="1"/>
  <c r="AC942" i="20" s="1"/>
  <c r="Z950" i="20"/>
  <c r="AA950" i="20" s="1"/>
  <c r="Y950" i="20"/>
  <c r="AC953" i="20"/>
  <c r="AD953" i="20" s="1"/>
  <c r="Y956" i="20"/>
  <c r="Z956" i="20"/>
  <c r="AA956" i="20" s="1"/>
  <c r="Z964" i="20"/>
  <c r="AA964" i="20" s="1"/>
  <c r="Y972" i="20"/>
  <c r="Z972" i="20"/>
  <c r="AA972" i="20" s="1"/>
  <c r="Z983" i="20"/>
  <c r="AA983" i="20" s="1"/>
  <c r="Y983" i="20"/>
  <c r="Y994" i="20"/>
  <c r="Z994" i="20"/>
  <c r="AC764" i="20"/>
  <c r="AD764" i="20" s="1"/>
  <c r="AE764" i="20" s="1"/>
  <c r="AC789" i="20"/>
  <c r="AE789" i="20" s="1"/>
  <c r="Y871" i="20"/>
  <c r="Z871" i="20"/>
  <c r="AA871" i="20" s="1"/>
  <c r="AH871" i="20" s="1"/>
  <c r="AI871" i="20" s="1"/>
  <c r="AK871" i="20" s="1"/>
  <c r="Z880" i="20"/>
  <c r="AA880" i="20" s="1"/>
  <c r="AH880" i="20" s="1"/>
  <c r="AI880" i="20" s="1"/>
  <c r="AK880" i="20" s="1"/>
  <c r="Y880" i="20"/>
  <c r="Z928" i="20"/>
  <c r="AA928" i="20" s="1"/>
  <c r="Y928" i="20"/>
  <c r="AC961" i="20"/>
  <c r="AD961" i="20" s="1"/>
  <c r="Y1001" i="20"/>
  <c r="Z1001" i="20"/>
  <c r="AA1001" i="20" s="1"/>
  <c r="Y1013" i="20"/>
  <c r="Z1013" i="20"/>
  <c r="AA1013" i="20" s="1"/>
  <c r="Y1027" i="20"/>
  <c r="Z1027" i="20"/>
  <c r="Z991" i="20"/>
  <c r="AA991" i="20" s="1"/>
  <c r="Y991" i="20"/>
  <c r="Z1000" i="20"/>
  <c r="AA1000" i="20" s="1"/>
  <c r="Y1000" i="20"/>
  <c r="AC795" i="20"/>
  <c r="AE795" i="20" s="1"/>
  <c r="AF795" i="20" s="1"/>
  <c r="Y855" i="20"/>
  <c r="Z855" i="20"/>
  <c r="AA855" i="20" s="1"/>
  <c r="AH855" i="20" s="1"/>
  <c r="AI855" i="20" s="1"/>
  <c r="AK855" i="20" s="1"/>
  <c r="Z864" i="20"/>
  <c r="AA864" i="20" s="1"/>
  <c r="AH864" i="20" s="1"/>
  <c r="AI864" i="20" s="1"/>
  <c r="AK864" i="20" s="1"/>
  <c r="Y864" i="20"/>
  <c r="AC955" i="20"/>
  <c r="AD955" i="20" s="1"/>
  <c r="AE955" i="20" s="1"/>
  <c r="AC959" i="20"/>
  <c r="AD959" i="20" s="1"/>
  <c r="Z986" i="20"/>
  <c r="Z996" i="20"/>
  <c r="AA996" i="20" s="1"/>
  <c r="AC996" i="20" s="1"/>
  <c r="Y1003" i="20"/>
  <c r="Z1003" i="20"/>
  <c r="AA1003" i="20" s="1"/>
  <c r="Y1007" i="20"/>
  <c r="Z1007" i="20"/>
  <c r="AA1007" i="20" s="1"/>
  <c r="Y1017" i="20"/>
  <c r="Z1017" i="20"/>
  <c r="AA1017" i="20" s="1"/>
  <c r="AC1017" i="20" s="1"/>
  <c r="AC947" i="20"/>
  <c r="AD947" i="20" s="1"/>
  <c r="AC963" i="20"/>
  <c r="AD963" i="20" s="1"/>
  <c r="AC971" i="20"/>
  <c r="AD971" i="20" s="1"/>
  <c r="AC979" i="20"/>
  <c r="AD979" i="20" s="1"/>
  <c r="AE979" i="20" s="1"/>
  <c r="AF979" i="20" s="1"/>
  <c r="AC987" i="20"/>
  <c r="AD987" i="20" s="1"/>
  <c r="AC995" i="20"/>
  <c r="AD995" i="20" s="1"/>
  <c r="Y61" i="20"/>
  <c r="Z61" i="20"/>
  <c r="Z66" i="20"/>
  <c r="AA66" i="20" s="1"/>
  <c r="Y66" i="20"/>
  <c r="Z71" i="20"/>
  <c r="AA71" i="20" s="1"/>
  <c r="Y71" i="20"/>
  <c r="Z172" i="20"/>
  <c r="AA172" i="20" s="1"/>
  <c r="Y172" i="20"/>
  <c r="Z180" i="20"/>
  <c r="AA180" i="20" s="1"/>
  <c r="Y180" i="20"/>
  <c r="AC186" i="20"/>
  <c r="AA186" i="20"/>
  <c r="Z188" i="20"/>
  <c r="AA188" i="20" s="1"/>
  <c r="Y188" i="20"/>
  <c r="Y219" i="20"/>
  <c r="Z219" i="20"/>
  <c r="AA219" i="20" s="1"/>
  <c r="Z258" i="20"/>
  <c r="AA258" i="20" s="1"/>
  <c r="Y258" i="20"/>
  <c r="Y31" i="20"/>
  <c r="Z31" i="20"/>
  <c r="Y45" i="20"/>
  <c r="Z45" i="20"/>
  <c r="Z50" i="20"/>
  <c r="AA50" i="20" s="1"/>
  <c r="Y50" i="20"/>
  <c r="Z55" i="20"/>
  <c r="AA55" i="20" s="1"/>
  <c r="Y55" i="20"/>
  <c r="Y14" i="20"/>
  <c r="Z14" i="20"/>
  <c r="Y19" i="20"/>
  <c r="Z19" i="20"/>
  <c r="Z24" i="20"/>
  <c r="AA24" i="20" s="1"/>
  <c r="Y24" i="20"/>
  <c r="AC26" i="20"/>
  <c r="Z29" i="20"/>
  <c r="AA29" i="20" s="1"/>
  <c r="Y29" i="20"/>
  <c r="Y35" i="20"/>
  <c r="Z35" i="20"/>
  <c r="AC36" i="20"/>
  <c r="AC37" i="20"/>
  <c r="Z43" i="20"/>
  <c r="AA43" i="20" s="1"/>
  <c r="Y43" i="20"/>
  <c r="Y49" i="20"/>
  <c r="Z49" i="20"/>
  <c r="Z54" i="20"/>
  <c r="AA54" i="20" s="1"/>
  <c r="Y54" i="20"/>
  <c r="AC56" i="20"/>
  <c r="Z59" i="20"/>
  <c r="AA59" i="20" s="1"/>
  <c r="Y59" i="20"/>
  <c r="Y65" i="20"/>
  <c r="Z65" i="20"/>
  <c r="Z70" i="20"/>
  <c r="AA70" i="20" s="1"/>
  <c r="Y70" i="20"/>
  <c r="AC72" i="20"/>
  <c r="Z81" i="20"/>
  <c r="AA81" i="20" s="1"/>
  <c r="Y81" i="20"/>
  <c r="Z89" i="20"/>
  <c r="AA89" i="20" s="1"/>
  <c r="Y89" i="20"/>
  <c r="Z97" i="20"/>
  <c r="AA97" i="20" s="1"/>
  <c r="Y97" i="20"/>
  <c r="Z105" i="20"/>
  <c r="AA105" i="20" s="1"/>
  <c r="Y105" i="20"/>
  <c r="Z128" i="20"/>
  <c r="AA128" i="20" s="1"/>
  <c r="Y128" i="20"/>
  <c r="Z140" i="20"/>
  <c r="AA140" i="20" s="1"/>
  <c r="Y140" i="20"/>
  <c r="Z152" i="20"/>
  <c r="AA152" i="20" s="1"/>
  <c r="Y152" i="20"/>
  <c r="Z160" i="20"/>
  <c r="AA160" i="20" s="1"/>
  <c r="Y160" i="20"/>
  <c r="Z168" i="20"/>
  <c r="AA168" i="20" s="1"/>
  <c r="Y168" i="20"/>
  <c r="AC174" i="20"/>
  <c r="AA174" i="20"/>
  <c r="Z176" i="20"/>
  <c r="AA176" i="20" s="1"/>
  <c r="Y176" i="20"/>
  <c r="AC182" i="20"/>
  <c r="AA182" i="20"/>
  <c r="AC190" i="20"/>
  <c r="AA190" i="20"/>
  <c r="Z192" i="20"/>
  <c r="AA192" i="20" s="1"/>
  <c r="Y192" i="20"/>
  <c r="Y203" i="20"/>
  <c r="Z203" i="20"/>
  <c r="AA203" i="20" s="1"/>
  <c r="Z262" i="20"/>
  <c r="AA262" i="20" s="1"/>
  <c r="Y262" i="20"/>
  <c r="Z15" i="20"/>
  <c r="AA15" i="20" s="1"/>
  <c r="Y15" i="20"/>
  <c r="Z20" i="20"/>
  <c r="AA20" i="20" s="1"/>
  <c r="Y20" i="20"/>
  <c r="Z25" i="20"/>
  <c r="AA25" i="20" s="1"/>
  <c r="Y25" i="20"/>
  <c r="Y23" i="20"/>
  <c r="Z23" i="20"/>
  <c r="Z28" i="20"/>
  <c r="AA28" i="20" s="1"/>
  <c r="Y28" i="20"/>
  <c r="Z33" i="20"/>
  <c r="AA33" i="20" s="1"/>
  <c r="Y33" i="20"/>
  <c r="Y53" i="20"/>
  <c r="Z53" i="20"/>
  <c r="Z58" i="20"/>
  <c r="AA58" i="20" s="1"/>
  <c r="Y58" i="20"/>
  <c r="Z63" i="20"/>
  <c r="AA63" i="20" s="1"/>
  <c r="Y63" i="20"/>
  <c r="AC178" i="20"/>
  <c r="AA178" i="20"/>
  <c r="AC194" i="20"/>
  <c r="AA194" i="20"/>
  <c r="Z196" i="20"/>
  <c r="AA196" i="20" s="1"/>
  <c r="Y196" i="20"/>
  <c r="Y251" i="20"/>
  <c r="Z251" i="20"/>
  <c r="AA251" i="20" s="1"/>
  <c r="Z17" i="20"/>
  <c r="AA17" i="20" s="1"/>
  <c r="Y17" i="20"/>
  <c r="Z42" i="20"/>
  <c r="AA42" i="20" s="1"/>
  <c r="Y42" i="20"/>
  <c r="Z47" i="20"/>
  <c r="AA47" i="20" s="1"/>
  <c r="Y47" i="20"/>
  <c r="Y69" i="20"/>
  <c r="Z69" i="20"/>
  <c r="Z74" i="20"/>
  <c r="AA74" i="20" s="1"/>
  <c r="Y74" i="20"/>
  <c r="AC13" i="20"/>
  <c r="Z16" i="20"/>
  <c r="AA16" i="20" s="1"/>
  <c r="Y16" i="20"/>
  <c r="AC18" i="20"/>
  <c r="Z21" i="20"/>
  <c r="AA21" i="20" s="1"/>
  <c r="Y21" i="20"/>
  <c r="Y27" i="20"/>
  <c r="Z27" i="20"/>
  <c r="Z32" i="20"/>
  <c r="AA32" i="20" s="1"/>
  <c r="Y32" i="20"/>
  <c r="AC34" i="20"/>
  <c r="Y41" i="20"/>
  <c r="Z41" i="20"/>
  <c r="Z46" i="20"/>
  <c r="AA46" i="20" s="1"/>
  <c r="Y46" i="20"/>
  <c r="AC48" i="20"/>
  <c r="Z51" i="20"/>
  <c r="AA51" i="20" s="1"/>
  <c r="Y51" i="20"/>
  <c r="Y57" i="20"/>
  <c r="Z57" i="20"/>
  <c r="Z62" i="20"/>
  <c r="AA62" i="20" s="1"/>
  <c r="Y62" i="20"/>
  <c r="AC64" i="20"/>
  <c r="Z67" i="20"/>
  <c r="AA67" i="20" s="1"/>
  <c r="Y67" i="20"/>
  <c r="Y73" i="20"/>
  <c r="Z73" i="20"/>
  <c r="Z77" i="20"/>
  <c r="AA77" i="20" s="1"/>
  <c r="Y77" i="20"/>
  <c r="Z85" i="20"/>
  <c r="AA85" i="20" s="1"/>
  <c r="Y85" i="20"/>
  <c r="Z93" i="20"/>
  <c r="AA93" i="20" s="1"/>
  <c r="Y93" i="20"/>
  <c r="Z101" i="20"/>
  <c r="AA101" i="20" s="1"/>
  <c r="Y101" i="20"/>
  <c r="Z109" i="20"/>
  <c r="AA109" i="20" s="1"/>
  <c r="Y109" i="20"/>
  <c r="Z136" i="20"/>
  <c r="AA136" i="20" s="1"/>
  <c r="Y136" i="20"/>
  <c r="Z148" i="20"/>
  <c r="AA148" i="20" s="1"/>
  <c r="Y148" i="20"/>
  <c r="Z156" i="20"/>
  <c r="AA156" i="20" s="1"/>
  <c r="Y156" i="20"/>
  <c r="Z164" i="20"/>
  <c r="AA164" i="20" s="1"/>
  <c r="Y164" i="20"/>
  <c r="Z184" i="20"/>
  <c r="AA184" i="20" s="1"/>
  <c r="Y184" i="20"/>
  <c r="AC198" i="20"/>
  <c r="AA198" i="20"/>
  <c r="Y235" i="20"/>
  <c r="Z235" i="20"/>
  <c r="AA235" i="20" s="1"/>
  <c r="Y255" i="20"/>
  <c r="Z255" i="20"/>
  <c r="Y13" i="20"/>
  <c r="Y18" i="20"/>
  <c r="Y22" i="20"/>
  <c r="Y26" i="20"/>
  <c r="Y30" i="20"/>
  <c r="Y34" i="20"/>
  <c r="Y37" i="20"/>
  <c r="Y44" i="20"/>
  <c r="Y48" i="20"/>
  <c r="Y52" i="20"/>
  <c r="Y56" i="20"/>
  <c r="Y60" i="20"/>
  <c r="Y64" i="20"/>
  <c r="Y68" i="20"/>
  <c r="Y72" i="20"/>
  <c r="Z76" i="20"/>
  <c r="AA76" i="20" s="1"/>
  <c r="AA79" i="20"/>
  <c r="Z80" i="20"/>
  <c r="AA80" i="20" s="1"/>
  <c r="Z84" i="20"/>
  <c r="AA84" i="20" s="1"/>
  <c r="Z88" i="20"/>
  <c r="AA88" i="20" s="1"/>
  <c r="Z92" i="20"/>
  <c r="AA92" i="20" s="1"/>
  <c r="Z96" i="20"/>
  <c r="AA96" i="20" s="1"/>
  <c r="Z100" i="20"/>
  <c r="AA100" i="20" s="1"/>
  <c r="Z104" i="20"/>
  <c r="AA104" i="20" s="1"/>
  <c r="Z108" i="20"/>
  <c r="AA108" i="20" s="1"/>
  <c r="Z118" i="20"/>
  <c r="AA118" i="20" s="1"/>
  <c r="Z135" i="20"/>
  <c r="AA135" i="20" s="1"/>
  <c r="Z139" i="20"/>
  <c r="AA139" i="20" s="1"/>
  <c r="Z147" i="20"/>
  <c r="AA147" i="20" s="1"/>
  <c r="Z151" i="20"/>
  <c r="AA151" i="20" s="1"/>
  <c r="Z155" i="20"/>
  <c r="AA155" i="20" s="1"/>
  <c r="Z159" i="20"/>
  <c r="AA159" i="20" s="1"/>
  <c r="Z163" i="20"/>
  <c r="AA163" i="20" s="1"/>
  <c r="Z167" i="20"/>
  <c r="AA167" i="20" s="1"/>
  <c r="Z179" i="20"/>
  <c r="AA179" i="20" s="1"/>
  <c r="Z183" i="20"/>
  <c r="AA183" i="20" s="1"/>
  <c r="AC200" i="20"/>
  <c r="Y211" i="20"/>
  <c r="Z211" i="20"/>
  <c r="AA211" i="20" s="1"/>
  <c r="AC216" i="20"/>
  <c r="Y227" i="20"/>
  <c r="Z227" i="20"/>
  <c r="AA227" i="20" s="1"/>
  <c r="AC232" i="20"/>
  <c r="Y243" i="20"/>
  <c r="Z243" i="20"/>
  <c r="AA243" i="20" s="1"/>
  <c r="AC248" i="20"/>
  <c r="AC256" i="20"/>
  <c r="AC260" i="20"/>
  <c r="AC264" i="20"/>
  <c r="Z266" i="20"/>
  <c r="AA266" i="20" s="1"/>
  <c r="Y266" i="20"/>
  <c r="AC268" i="20"/>
  <c r="Z270" i="20"/>
  <c r="AA270" i="20" s="1"/>
  <c r="Y270" i="20"/>
  <c r="AC272" i="20"/>
  <c r="Z274" i="20"/>
  <c r="AA274" i="20" s="1"/>
  <c r="Y274" i="20"/>
  <c r="AC276" i="20"/>
  <c r="Y283" i="20"/>
  <c r="Z283" i="20"/>
  <c r="Y36" i="20"/>
  <c r="Y215" i="20"/>
  <c r="Z215" i="20"/>
  <c r="AA215" i="20" s="1"/>
  <c r="Y231" i="20"/>
  <c r="Z231" i="20"/>
  <c r="AA231" i="20" s="1"/>
  <c r="Y247" i="20"/>
  <c r="Z247" i="20"/>
  <c r="AA247" i="20" s="1"/>
  <c r="Y257" i="20"/>
  <c r="Z257" i="20"/>
  <c r="AA257" i="20" s="1"/>
  <c r="Y261" i="20"/>
  <c r="Z261" i="20"/>
  <c r="AA261" i="20" s="1"/>
  <c r="Y265" i="20"/>
  <c r="Z265" i="20"/>
  <c r="AA265" i="20" s="1"/>
  <c r="Y269" i="20"/>
  <c r="Z269" i="20"/>
  <c r="AA269" i="20" s="1"/>
  <c r="Y273" i="20"/>
  <c r="Z273" i="20"/>
  <c r="AA273" i="20" s="1"/>
  <c r="Y277" i="20"/>
  <c r="Z277" i="20"/>
  <c r="AA277" i="20" s="1"/>
  <c r="Y285" i="20"/>
  <c r="Z285" i="20"/>
  <c r="AA285" i="20" s="1"/>
  <c r="AA288" i="20"/>
  <c r="AC288" i="20" s="1"/>
  <c r="AD382" i="20"/>
  <c r="AE382" i="20" s="1"/>
  <c r="AF382" i="20" s="1"/>
  <c r="Y174" i="20"/>
  <c r="Y178" i="20"/>
  <c r="Y182" i="20"/>
  <c r="Y186" i="20"/>
  <c r="Y190" i="20"/>
  <c r="Y194" i="20"/>
  <c r="Y198" i="20"/>
  <c r="Y200" i="20"/>
  <c r="AA202" i="20"/>
  <c r="Z206" i="20"/>
  <c r="Y216" i="20"/>
  <c r="AC217" i="20"/>
  <c r="Z222" i="20"/>
  <c r="Y232" i="20"/>
  <c r="AC233" i="20"/>
  <c r="Z238" i="20"/>
  <c r="Y248" i="20"/>
  <c r="Z254" i="20"/>
  <c r="Y256" i="20"/>
  <c r="Y260" i="20"/>
  <c r="Y264" i="20"/>
  <c r="Y268" i="20"/>
  <c r="Y272" i="20"/>
  <c r="Y276" i="20"/>
  <c r="Y279" i="20"/>
  <c r="Z279" i="20"/>
  <c r="AA279" i="20" s="1"/>
  <c r="AA280" i="20"/>
  <c r="AC280" i="20" s="1"/>
  <c r="AD298" i="20"/>
  <c r="AC205" i="20"/>
  <c r="Y207" i="20"/>
  <c r="Z207" i="20"/>
  <c r="AA207" i="20" s="1"/>
  <c r="AC212" i="20"/>
  <c r="AC221" i="20"/>
  <c r="Y223" i="20"/>
  <c r="Z223" i="20"/>
  <c r="AA223" i="20" s="1"/>
  <c r="Y239" i="20"/>
  <c r="Z239" i="20"/>
  <c r="AA239" i="20" s="1"/>
  <c r="Y252" i="20"/>
  <c r="AC253" i="20"/>
  <c r="Y259" i="20"/>
  <c r="Z259" i="20"/>
  <c r="Y263" i="20"/>
  <c r="Z263" i="20"/>
  <c r="Y267" i="20"/>
  <c r="Z267" i="20"/>
  <c r="Y271" i="20"/>
  <c r="Z271" i="20"/>
  <c r="Y275" i="20"/>
  <c r="Z275" i="20"/>
  <c r="Y281" i="20"/>
  <c r="Z281" i="20"/>
  <c r="AA281" i="20" s="1"/>
  <c r="AC284" i="20"/>
  <c r="Y287" i="20"/>
  <c r="Z287" i="20"/>
  <c r="AA287" i="20" s="1"/>
  <c r="AC302" i="20"/>
  <c r="Z306" i="20"/>
  <c r="Y306" i="20"/>
  <c r="AC311" i="20"/>
  <c r="AC120" i="20"/>
  <c r="Z319" i="20"/>
  <c r="Y319" i="20"/>
  <c r="AC129" i="20"/>
  <c r="Y327" i="20"/>
  <c r="AC330" i="20"/>
  <c r="Y335" i="20"/>
  <c r="AC338" i="20"/>
  <c r="Y343" i="20"/>
  <c r="Y351" i="20"/>
  <c r="AC354" i="20"/>
  <c r="Y359" i="20"/>
  <c r="AC362" i="20"/>
  <c r="Y367" i="20"/>
  <c r="AC370" i="20"/>
  <c r="Y380" i="20"/>
  <c r="Y388" i="20"/>
  <c r="AC390" i="20"/>
  <c r="AC121" i="20"/>
  <c r="Y119" i="20"/>
  <c r="Z119" i="20"/>
  <c r="AA119" i="20" s="1"/>
  <c r="AC327" i="20"/>
  <c r="AC335" i="20"/>
  <c r="AC336" i="20"/>
  <c r="Y341" i="20"/>
  <c r="AC343" i="20"/>
  <c r="Y349" i="20"/>
  <c r="AC351" i="20"/>
  <c r="Y357" i="20"/>
  <c r="AC359" i="20"/>
  <c r="Y365" i="20"/>
  <c r="AC367" i="20"/>
  <c r="AC368" i="20"/>
  <c r="Y373" i="20"/>
  <c r="AC380" i="20"/>
  <c r="AC381" i="20"/>
  <c r="Y386" i="20"/>
  <c r="AC389" i="20"/>
  <c r="Z313" i="20"/>
  <c r="Y313" i="20"/>
  <c r="Z293" i="20"/>
  <c r="AA293" i="20" s="1"/>
  <c r="Y295" i="20"/>
  <c r="Z295" i="20"/>
  <c r="AA295" i="20" s="1"/>
  <c r="Z307" i="20"/>
  <c r="AA307" i="20" s="1"/>
  <c r="Y309" i="20"/>
  <c r="Z309" i="20"/>
  <c r="AA309" i="20" s="1"/>
  <c r="Y311" i="20"/>
  <c r="Z320" i="20"/>
  <c r="AA320" i="20" s="1"/>
  <c r="Y322" i="20"/>
  <c r="Z322" i="20"/>
  <c r="AC324" i="20"/>
  <c r="Y329" i="20"/>
  <c r="Y337" i="20"/>
  <c r="AD342" i="20"/>
  <c r="Y345" i="20"/>
  <c r="Y353" i="20"/>
  <c r="Y361" i="20"/>
  <c r="Y369" i="20"/>
  <c r="Y382" i="20"/>
  <c r="AC391" i="20"/>
  <c r="AC394" i="20"/>
  <c r="AA399" i="20"/>
  <c r="AC399" i="20" s="1"/>
  <c r="AA407" i="20"/>
  <c r="AC407" i="20" s="1"/>
  <c r="AC415" i="20"/>
  <c r="AC429" i="20"/>
  <c r="AC437" i="20"/>
  <c r="AC445" i="20"/>
  <c r="AA453" i="20"/>
  <c r="AC453" i="20" s="1"/>
  <c r="AA454" i="20"/>
  <c r="AC454" i="20" s="1"/>
  <c r="Z467" i="20"/>
  <c r="Y467" i="20"/>
  <c r="AC472" i="20"/>
  <c r="AC405" i="20"/>
  <c r="AC421" i="20"/>
  <c r="AC122" i="20"/>
  <c r="AC443" i="20"/>
  <c r="AC451" i="20"/>
  <c r="Z455" i="20"/>
  <c r="Y455" i="20"/>
  <c r="AA458" i="20"/>
  <c r="AC458" i="20" s="1"/>
  <c r="Z471" i="20"/>
  <c r="Y471" i="20"/>
  <c r="AA474" i="20"/>
  <c r="AC474" i="20" s="1"/>
  <c r="Z496" i="20"/>
  <c r="Y496" i="20"/>
  <c r="AC504" i="20"/>
  <c r="Y505" i="20"/>
  <c r="Z505" i="20"/>
  <c r="Z507" i="20"/>
  <c r="Y507" i="20"/>
  <c r="Y515" i="20"/>
  <c r="Z515" i="20"/>
  <c r="Z524" i="20"/>
  <c r="AA524" i="20" s="1"/>
  <c r="Y524" i="20"/>
  <c r="AC525" i="20"/>
  <c r="AE527" i="20"/>
  <c r="AF527" i="20" s="1"/>
  <c r="AA532" i="20"/>
  <c r="AC532" i="20" s="1"/>
  <c r="AE532" i="20" s="1"/>
  <c r="AE124" i="20"/>
  <c r="AF124" i="20" s="1"/>
  <c r="AF601" i="20"/>
  <c r="Z459" i="20"/>
  <c r="Y459" i="20"/>
  <c r="Z475" i="20"/>
  <c r="Y475" i="20"/>
  <c r="AA477" i="20"/>
  <c r="AC477" i="20" s="1"/>
  <c r="AA487" i="20"/>
  <c r="AC487" i="20" s="1"/>
  <c r="Y489" i="20"/>
  <c r="Z489" i="20"/>
  <c r="Z491" i="20"/>
  <c r="Y491" i="20"/>
  <c r="AA506" i="20"/>
  <c r="AC506" i="20" s="1"/>
  <c r="Y529" i="20"/>
  <c r="Z529" i="20"/>
  <c r="Y531" i="20"/>
  <c r="Z531" i="20"/>
  <c r="Z303" i="20"/>
  <c r="AA303" i="20" s="1"/>
  <c r="Z38" i="20"/>
  <c r="AA38" i="20" s="1"/>
  <c r="Z316" i="20"/>
  <c r="AA316" i="20" s="1"/>
  <c r="AC417" i="20"/>
  <c r="AC424" i="20"/>
  <c r="AC431" i="20"/>
  <c r="AC452" i="20"/>
  <c r="Z463" i="20"/>
  <c r="Y463" i="20"/>
  <c r="AA466" i="20"/>
  <c r="AC466" i="20" s="1"/>
  <c r="AC468" i="20"/>
  <c r="Z479" i="20"/>
  <c r="Y479" i="20"/>
  <c r="Z480" i="20"/>
  <c r="Y480" i="20"/>
  <c r="AA490" i="20"/>
  <c r="AC490" i="20" s="1"/>
  <c r="AE536" i="20"/>
  <c r="AF536" i="20" s="1"/>
  <c r="Y577" i="20"/>
  <c r="Z577" i="20"/>
  <c r="AF595" i="20"/>
  <c r="AC494" i="20"/>
  <c r="Y537" i="20"/>
  <c r="Z539" i="20"/>
  <c r="Z540" i="20"/>
  <c r="Y548" i="20"/>
  <c r="Z548" i="20"/>
  <c r="AA558" i="20"/>
  <c r="AC558" i="20" s="1"/>
  <c r="Y570" i="20"/>
  <c r="Z570" i="20"/>
  <c r="AA570" i="20" s="1"/>
  <c r="Y574" i="20"/>
  <c r="Z574" i="20"/>
  <c r="Y592" i="20"/>
  <c r="Z592" i="20"/>
  <c r="AF608" i="20"/>
  <c r="Y525" i="20"/>
  <c r="Y123" i="20"/>
  <c r="Y528" i="20"/>
  <c r="AC537" i="20"/>
  <c r="Y538" i="20"/>
  <c r="Z538" i="20"/>
  <c r="AA538" i="20" s="1"/>
  <c r="Z543" i="20"/>
  <c r="Z551" i="20"/>
  <c r="Y554" i="20"/>
  <c r="Z554" i="20"/>
  <c r="Z591" i="20"/>
  <c r="Y591" i="20"/>
  <c r="AG599" i="20"/>
  <c r="AH599" i="20" s="1"/>
  <c r="AI599" i="20" s="1"/>
  <c r="AK599" i="20" s="1"/>
  <c r="Y114" i="20"/>
  <c r="Z114" i="20"/>
  <c r="Z481" i="20"/>
  <c r="Y488" i="20"/>
  <c r="Z497" i="20"/>
  <c r="AC502" i="20"/>
  <c r="Y504" i="20"/>
  <c r="Z513" i="20"/>
  <c r="Z517" i="20"/>
  <c r="AC143" i="20"/>
  <c r="Y533" i="20"/>
  <c r="Y541" i="20"/>
  <c r="Z541" i="20"/>
  <c r="Y544" i="20"/>
  <c r="Z544" i="20"/>
  <c r="Y581" i="20"/>
  <c r="Z581" i="20"/>
  <c r="AG583" i="20"/>
  <c r="AH583" i="20" s="1"/>
  <c r="Y586" i="20"/>
  <c r="Z586" i="20"/>
  <c r="AC588" i="20"/>
  <c r="AD376" i="20"/>
  <c r="Z552" i="20"/>
  <c r="Z555" i="20"/>
  <c r="Z572" i="20"/>
  <c r="Z141" i="20"/>
  <c r="Z578" i="20"/>
  <c r="Z582" i="20"/>
  <c r="Y587" i="20"/>
  <c r="Y588" i="20"/>
  <c r="Z598" i="20"/>
  <c r="Y601" i="20"/>
  <c r="Y379" i="20"/>
  <c r="Z609" i="20"/>
  <c r="Y668" i="20"/>
  <c r="Z668" i="20"/>
  <c r="Y675" i="20"/>
  <c r="Z675" i="20"/>
  <c r="Y683" i="20"/>
  <c r="Z683" i="20"/>
  <c r="Z693" i="20"/>
  <c r="AA693" i="20" s="1"/>
  <c r="Y693" i="20"/>
  <c r="Z697" i="20"/>
  <c r="AA697" i="20" s="1"/>
  <c r="Y697" i="20"/>
  <c r="Z545" i="20"/>
  <c r="Z549" i="20"/>
  <c r="Z553" i="20"/>
  <c r="Z556" i="20"/>
  <c r="AC567" i="20"/>
  <c r="Y571" i="20"/>
  <c r="Z377" i="20"/>
  <c r="Z575" i="20"/>
  <c r="Z579" i="20"/>
  <c r="Y583" i="20"/>
  <c r="Z594" i="20"/>
  <c r="Y599" i="20"/>
  <c r="AC605" i="20"/>
  <c r="Z607" i="20"/>
  <c r="Y376" i="20"/>
  <c r="Z665" i="20"/>
  <c r="Y665" i="20"/>
  <c r="Z672" i="20"/>
  <c r="Y672" i="20"/>
  <c r="Z680" i="20"/>
  <c r="Y680" i="20"/>
  <c r="Z691" i="20"/>
  <c r="AA691" i="20" s="1"/>
  <c r="Y691" i="20"/>
  <c r="Z660" i="20"/>
  <c r="Z661" i="20"/>
  <c r="Y661" i="20"/>
  <c r="Y664" i="20"/>
  <c r="Z664" i="20"/>
  <c r="Y671" i="20"/>
  <c r="Z671" i="20"/>
  <c r="Y679" i="20"/>
  <c r="Z679" i="20"/>
  <c r="Z686" i="20"/>
  <c r="Y686" i="20"/>
  <c r="AD756" i="20"/>
  <c r="AC559" i="20"/>
  <c r="AC564" i="20"/>
  <c r="AC566" i="20"/>
  <c r="Z669" i="20"/>
  <c r="Y669" i="20"/>
  <c r="Z676" i="20"/>
  <c r="Y676" i="20"/>
  <c r="Y701" i="20"/>
  <c r="Y709" i="20"/>
  <c r="Z709" i="20"/>
  <c r="AA709" i="20" s="1"/>
  <c r="AA718" i="20"/>
  <c r="AC718" i="20" s="1"/>
  <c r="AA746" i="20"/>
  <c r="AC746" i="20" s="1"/>
  <c r="Y761" i="20"/>
  <c r="Z761" i="20"/>
  <c r="Z763" i="20"/>
  <c r="Y763" i="20"/>
  <c r="AA771" i="20"/>
  <c r="AC771" i="20" s="1"/>
  <c r="AE790" i="20"/>
  <c r="AF790" i="20" s="1"/>
  <c r="AE794" i="20"/>
  <c r="Z706" i="20"/>
  <c r="Y706" i="20"/>
  <c r="AC708" i="20"/>
  <c r="Z714" i="20"/>
  <c r="Y714" i="20"/>
  <c r="Y717" i="20"/>
  <c r="Z717" i="20"/>
  <c r="AA717" i="20" s="1"/>
  <c r="AD760" i="20"/>
  <c r="AE760" i="20" s="1"/>
  <c r="AF760" i="20" s="1"/>
  <c r="AA762" i="20"/>
  <c r="AC762" i="20" s="1"/>
  <c r="AA779" i="20"/>
  <c r="AC779" i="20" s="1"/>
  <c r="AA783" i="20"/>
  <c r="AC783" i="20" s="1"/>
  <c r="Y695" i="20"/>
  <c r="Y699" i="20"/>
  <c r="Y703" i="20"/>
  <c r="AA712" i="20"/>
  <c r="AC712" i="20" s="1"/>
  <c r="Z722" i="20"/>
  <c r="Y722" i="20"/>
  <c r="Y725" i="20"/>
  <c r="Z725" i="20"/>
  <c r="AA725" i="20" s="1"/>
  <c r="Z752" i="20"/>
  <c r="Y752" i="20"/>
  <c r="AE788" i="20"/>
  <c r="AF788" i="20" s="1"/>
  <c r="AE792" i="20"/>
  <c r="Z730" i="20"/>
  <c r="Y730" i="20"/>
  <c r="AC737" i="20"/>
  <c r="Y745" i="20"/>
  <c r="Z745" i="20"/>
  <c r="Z747" i="20"/>
  <c r="Y747" i="20"/>
  <c r="Z768" i="20"/>
  <c r="Y768" i="20"/>
  <c r="Z805" i="20"/>
  <c r="AA805" i="20" s="1"/>
  <c r="Y805" i="20"/>
  <c r="Z808" i="20"/>
  <c r="Y808" i="20"/>
  <c r="Z813" i="20"/>
  <c r="AA813" i="20" s="1"/>
  <c r="Y813" i="20"/>
  <c r="Z820" i="20"/>
  <c r="Y820" i="20"/>
  <c r="AA533" i="20"/>
  <c r="AC533" i="20" s="1"/>
  <c r="AC705" i="20"/>
  <c r="Z777" i="20"/>
  <c r="Y779" i="20"/>
  <c r="Y784" i="20"/>
  <c r="AC787" i="20"/>
  <c r="Y796" i="20"/>
  <c r="Z800" i="20"/>
  <c r="AA800" i="20" s="1"/>
  <c r="Y800" i="20"/>
  <c r="Z824" i="20"/>
  <c r="Y824" i="20"/>
  <c r="Z841" i="20"/>
  <c r="Y841" i="20"/>
  <c r="Z905" i="20"/>
  <c r="Y905" i="20"/>
  <c r="Y920" i="20"/>
  <c r="Z920" i="20"/>
  <c r="Z749" i="20"/>
  <c r="AA750" i="20"/>
  <c r="AC750" i="20" s="1"/>
  <c r="Y751" i="20"/>
  <c r="Y756" i="20"/>
  <c r="AC759" i="20"/>
  <c r="Z765" i="20"/>
  <c r="Y767" i="20"/>
  <c r="Y772" i="20"/>
  <c r="Z781" i="20"/>
  <c r="Y783" i="20"/>
  <c r="AA784" i="20"/>
  <c r="AC784" i="20" s="1"/>
  <c r="Y788" i="20"/>
  <c r="Y790" i="20"/>
  <c r="Y792" i="20"/>
  <c r="Y794" i="20"/>
  <c r="AC796" i="20"/>
  <c r="Z799" i="20"/>
  <c r="AA799" i="20" s="1"/>
  <c r="Y799" i="20"/>
  <c r="Z828" i="20"/>
  <c r="Y828" i="20"/>
  <c r="AC774" i="20"/>
  <c r="Y798" i="20"/>
  <c r="Z832" i="20"/>
  <c r="Y832" i="20"/>
  <c r="Z842" i="20"/>
  <c r="Y842" i="20"/>
  <c r="Z819" i="20"/>
  <c r="Y819" i="20"/>
  <c r="Z823" i="20"/>
  <c r="Y823" i="20"/>
  <c r="Z827" i="20"/>
  <c r="Y827" i="20"/>
  <c r="Z831" i="20"/>
  <c r="Y831" i="20"/>
  <c r="AA845" i="20"/>
  <c r="AC845" i="20" s="1"/>
  <c r="Y892" i="20"/>
  <c r="Z892" i="20"/>
  <c r="AA803" i="20"/>
  <c r="AC803" i="20" s="1"/>
  <c r="AA811" i="20"/>
  <c r="AC811" i="20" s="1"/>
  <c r="Z818" i="20"/>
  <c r="Y818" i="20"/>
  <c r="Z822" i="20"/>
  <c r="Y822" i="20"/>
  <c r="Z826" i="20"/>
  <c r="Y826" i="20"/>
  <c r="Z830" i="20"/>
  <c r="Y830" i="20"/>
  <c r="Z852" i="20"/>
  <c r="Y852" i="20"/>
  <c r="Z889" i="20"/>
  <c r="Y889" i="20"/>
  <c r="Y817" i="20"/>
  <c r="Z821" i="20"/>
  <c r="Y821" i="20"/>
  <c r="Z825" i="20"/>
  <c r="Y825" i="20"/>
  <c r="Z829" i="20"/>
  <c r="Y829" i="20"/>
  <c r="Z833" i="20"/>
  <c r="Y833" i="20"/>
  <c r="Y836" i="20"/>
  <c r="Z836" i="20"/>
  <c r="AC843" i="20"/>
  <c r="AA850" i="20"/>
  <c r="AC850" i="20" s="1"/>
  <c r="Y908" i="20"/>
  <c r="Z908" i="20"/>
  <c r="Z893" i="20"/>
  <c r="Y893" i="20"/>
  <c r="Z909" i="20"/>
  <c r="Y909" i="20"/>
  <c r="Z917" i="20"/>
  <c r="Y917" i="20"/>
  <c r="AA817" i="20"/>
  <c r="AC817" i="20" s="1"/>
  <c r="AC847" i="20"/>
  <c r="Z848" i="20"/>
  <c r="Z896" i="20"/>
  <c r="Z897" i="20"/>
  <c r="Y897" i="20"/>
  <c r="Z912" i="20"/>
  <c r="Z913" i="20"/>
  <c r="Y913" i="20"/>
  <c r="Y916" i="20"/>
  <c r="Z916" i="20"/>
  <c r="AA946" i="20"/>
  <c r="AC946" i="20" s="1"/>
  <c r="Z901" i="20"/>
  <c r="Y901" i="20"/>
  <c r="Z921" i="20"/>
  <c r="Y921" i="20"/>
  <c r="Z965" i="20"/>
  <c r="AA965" i="20" s="1"/>
  <c r="Y965" i="20"/>
  <c r="AC927" i="20"/>
  <c r="Z973" i="20"/>
  <c r="AA973" i="20" s="1"/>
  <c r="Y973" i="20"/>
  <c r="AA940" i="20"/>
  <c r="AC940" i="20" s="1"/>
  <c r="Z957" i="20"/>
  <c r="AA957" i="20" s="1"/>
  <c r="Y957" i="20"/>
  <c r="Z981" i="20"/>
  <c r="AA981" i="20" s="1"/>
  <c r="Y981" i="20"/>
  <c r="Z931" i="20"/>
  <c r="Y931" i="20"/>
  <c r="AC937" i="20"/>
  <c r="Z949" i="20"/>
  <c r="AA949" i="20" s="1"/>
  <c r="Y949" i="20"/>
  <c r="Z989" i="20"/>
  <c r="AA989" i="20" s="1"/>
  <c r="Y989" i="20"/>
  <c r="Y947" i="20"/>
  <c r="Y955" i="20"/>
  <c r="Y963" i="20"/>
  <c r="Y971" i="20"/>
  <c r="Y979" i="20"/>
  <c r="AD984" i="20"/>
  <c r="Y987" i="20"/>
  <c r="Y995" i="20"/>
  <c r="Z997" i="20"/>
  <c r="Y997" i="20"/>
  <c r="Z999" i="20"/>
  <c r="Y999" i="20"/>
  <c r="Y945" i="20"/>
  <c r="Y953" i="20"/>
  <c r="Y961" i="20"/>
  <c r="Y969" i="20"/>
  <c r="Y977" i="20"/>
  <c r="Y985" i="20"/>
  <c r="Y993" i="20"/>
  <c r="AA1002" i="20"/>
  <c r="AC1002" i="20" s="1"/>
  <c r="Z1004" i="20"/>
  <c r="Y1004" i="20"/>
  <c r="Y1002" i="20"/>
  <c r="Z1016" i="20"/>
  <c r="Y1016" i="20"/>
  <c r="AA1010" i="20"/>
  <c r="AC1010" i="20" s="1"/>
  <c r="Z1012" i="20"/>
  <c r="Y1012" i="20"/>
  <c r="Z1015" i="20"/>
  <c r="Y1015" i="20"/>
  <c r="AA1018" i="20"/>
  <c r="AC1018" i="20" s="1"/>
  <c r="AA1021" i="20"/>
  <c r="AC1021" i="20" s="1"/>
  <c r="Z1024" i="20"/>
  <c r="Y1024" i="20"/>
  <c r="Z1020" i="20"/>
  <c r="Y1020" i="20"/>
  <c r="AA1023" i="20"/>
  <c r="AC1023" i="20" s="1"/>
  <c r="AC1011" i="20"/>
  <c r="Y1023" i="20"/>
  <c r="Y1045" i="20"/>
  <c r="Y1046" i="20"/>
  <c r="Y1047" i="20"/>
  <c r="AC1009" i="20" l="1"/>
  <c r="AC520" i="20"/>
  <c r="AC770" i="20"/>
  <c r="AC411" i="20"/>
  <c r="AD411" i="20" s="1"/>
  <c r="AC427" i="20"/>
  <c r="AD427" i="20" s="1"/>
  <c r="AE427" i="20" s="1"/>
  <c r="AC606" i="20"/>
  <c r="AF606" i="20" s="1"/>
  <c r="AE130" i="21"/>
  <c r="AF130" i="21" s="1"/>
  <c r="AC835" i="20"/>
  <c r="AF835" i="20" s="1"/>
  <c r="AC565" i="20"/>
  <c r="AE565" i="20" s="1"/>
  <c r="AF565" i="20" s="1"/>
  <c r="AC315" i="20"/>
  <c r="AD315" i="20" s="1"/>
  <c r="AC968" i="20"/>
  <c r="AD968" i="20" s="1"/>
  <c r="AC413" i="20"/>
  <c r="AD413" i="20" s="1"/>
  <c r="AE43" i="21"/>
  <c r="AF43" i="21" s="1"/>
  <c r="AE182" i="21"/>
  <c r="AF182" i="21" s="1"/>
  <c r="AG182" i="21" s="1"/>
  <c r="AE188" i="21"/>
  <c r="AD109" i="21"/>
  <c r="AE109" i="21" s="1"/>
  <c r="AF109" i="21" s="1"/>
  <c r="AE82" i="21"/>
  <c r="AF82" i="21" s="1"/>
  <c r="AG82" i="21" s="1"/>
  <c r="AD118" i="21"/>
  <c r="AB12" i="21"/>
  <c r="AD45" i="21"/>
  <c r="AJ128" i="34"/>
  <c r="AK128" i="34" s="1"/>
  <c r="AJ62" i="34"/>
  <c r="AK62" i="34" s="1"/>
  <c r="K15" i="23"/>
  <c r="L15" i="23" s="1"/>
  <c r="M15" i="23" s="1"/>
  <c r="N15" i="23" s="1"/>
  <c r="AD201" i="23"/>
  <c r="AD204" i="23" s="1"/>
  <c r="AD205" i="23" s="1"/>
  <c r="K31" i="24"/>
  <c r="L31" i="24" s="1"/>
  <c r="M31" i="24" s="1"/>
  <c r="N31" i="24" s="1"/>
  <c r="J31" i="24" s="1"/>
  <c r="AJ77" i="22"/>
  <c r="Q15" i="23"/>
  <c r="AD461" i="23"/>
  <c r="AD462" i="23" s="1"/>
  <c r="AD463" i="23" s="1"/>
  <c r="AJ166" i="22"/>
  <c r="AC713" i="20"/>
  <c r="AD713" i="20" s="1"/>
  <c r="AE356" i="20"/>
  <c r="AF356" i="20" s="1"/>
  <c r="AA166" i="20"/>
  <c r="AC585" i="20"/>
  <c r="AF585" i="20" s="1"/>
  <c r="AE364" i="20"/>
  <c r="AF364" i="20" s="1"/>
  <c r="AC383" i="20"/>
  <c r="AD383" i="20" s="1"/>
  <c r="AC242" i="20"/>
  <c r="AD242" i="20" s="1"/>
  <c r="AC346" i="20"/>
  <c r="AD346" i="20" s="1"/>
  <c r="AE332" i="20"/>
  <c r="AF332" i="20" s="1"/>
  <c r="AC113" i="20"/>
  <c r="AE113" i="20" s="1"/>
  <c r="AF113" i="20" s="1"/>
  <c r="AC741" i="20"/>
  <c r="AD741" i="20" s="1"/>
  <c r="AE741" i="20" s="1"/>
  <c r="AC456" i="20"/>
  <c r="AD456" i="20" s="1"/>
  <c r="AE456" i="20" s="1"/>
  <c r="AC731" i="20"/>
  <c r="AD731" i="20" s="1"/>
  <c r="AC561" i="20"/>
  <c r="AE561" i="20" s="1"/>
  <c r="AF561" i="20" s="1"/>
  <c r="AC314" i="20"/>
  <c r="AD314" i="20" s="1"/>
  <c r="AC291" i="20"/>
  <c r="AD291" i="20" s="1"/>
  <c r="AE291" i="20" s="1"/>
  <c r="AA234" i="20"/>
  <c r="AE234" i="20"/>
  <c r="AF234" i="20" s="1"/>
  <c r="AC704" i="20"/>
  <c r="AD704" i="20" s="1"/>
  <c r="AC1007" i="20"/>
  <c r="AD1007" i="20" s="1"/>
  <c r="AE1007" i="20" s="1"/>
  <c r="AC301" i="20"/>
  <c r="AD301" i="20" s="1"/>
  <c r="AC793" i="20"/>
  <c r="AE793" i="20" s="1"/>
  <c r="AF793" i="20" s="1"/>
  <c r="AA150" i="20"/>
  <c r="AC733" i="20"/>
  <c r="AD733" i="20" s="1"/>
  <c r="AE733" i="20" s="1"/>
  <c r="AC400" i="20"/>
  <c r="AD400" i="20" s="1"/>
  <c r="AC355" i="20"/>
  <c r="AD355" i="20" s="1"/>
  <c r="AE355" i="20" s="1"/>
  <c r="AF355" i="20" s="1"/>
  <c r="AC716" i="20"/>
  <c r="AD716" i="20" s="1"/>
  <c r="AE716" i="20" s="1"/>
  <c r="AF716" i="20" s="1"/>
  <c r="AC432" i="20"/>
  <c r="AD432" i="20" s="1"/>
  <c r="AC464" i="20"/>
  <c r="AD464" i="20" s="1"/>
  <c r="AC569" i="20"/>
  <c r="AE569" i="20" s="1"/>
  <c r="AF569" i="20" s="1"/>
  <c r="AC249" i="20"/>
  <c r="AD249" i="20" s="1"/>
  <c r="AE249" i="20" s="1"/>
  <c r="AC201" i="20"/>
  <c r="AD201" i="20" s="1"/>
  <c r="AE201" i="20" s="1"/>
  <c r="AC523" i="20"/>
  <c r="AE523" i="20" s="1"/>
  <c r="AC340" i="20"/>
  <c r="AD340" i="20" s="1"/>
  <c r="AC403" i="20"/>
  <c r="AD403" i="20" s="1"/>
  <c r="AC958" i="20"/>
  <c r="AD958" i="20" s="1"/>
  <c r="AC398" i="20"/>
  <c r="AD398" i="20" s="1"/>
  <c r="AE398" i="20" s="1"/>
  <c r="AC112" i="20"/>
  <c r="AD112" i="20" s="1"/>
  <c r="AC754" i="20"/>
  <c r="AD754" i="20" s="1"/>
  <c r="AC278" i="20"/>
  <c r="AD278" i="20" s="1"/>
  <c r="AE278" i="20" s="1"/>
  <c r="AF278" i="20" s="1"/>
  <c r="AC228" i="20"/>
  <c r="AD228" i="20" s="1"/>
  <c r="AE228" i="20" s="1"/>
  <c r="AC1001" i="20"/>
  <c r="AD1001" i="20" s="1"/>
  <c r="AE1001" i="20" s="1"/>
  <c r="AC596" i="20"/>
  <c r="AF596" i="20" s="1"/>
  <c r="AA111" i="20"/>
  <c r="AC707" i="20"/>
  <c r="AD707" i="20" s="1"/>
  <c r="AC142" i="20"/>
  <c r="AD142" i="20" s="1"/>
  <c r="AC952" i="20"/>
  <c r="AD952" i="20" s="1"/>
  <c r="AC723" i="20"/>
  <c r="AD723" i="20" s="1"/>
  <c r="AC476" i="20"/>
  <c r="AD476" i="20" s="1"/>
  <c r="AE476" i="20" s="1"/>
  <c r="AF476" i="20" s="1"/>
  <c r="AC360" i="20"/>
  <c r="AD360" i="20" s="1"/>
  <c r="AA138" i="20"/>
  <c r="AA95" i="20"/>
  <c r="AC711" i="20"/>
  <c r="AD711" i="20" s="1"/>
  <c r="AE711" i="20" s="1"/>
  <c r="AC786" i="20"/>
  <c r="AD786" i="20" s="1"/>
  <c r="AE786" i="20" s="1"/>
  <c r="AC715" i="20"/>
  <c r="AD715" i="20" s="1"/>
  <c r="AC344" i="20"/>
  <c r="AD344" i="20" s="1"/>
  <c r="AC195" i="20"/>
  <c r="AD195" i="20" s="1"/>
  <c r="AE195" i="20" s="1"/>
  <c r="AF195" i="20" s="1"/>
  <c r="AC960" i="20"/>
  <c r="AD960" i="20" s="1"/>
  <c r="AC145" i="20"/>
  <c r="AF145" i="20" s="1"/>
  <c r="AC562" i="20"/>
  <c r="AE562" i="20" s="1"/>
  <c r="AF562" i="20" s="1"/>
  <c r="AC375" i="20"/>
  <c r="AD375" i="20" s="1"/>
  <c r="AC393" i="20"/>
  <c r="AD393" i="20" s="1"/>
  <c r="AC289" i="20"/>
  <c r="AD289" i="20" s="1"/>
  <c r="AE289" i="20" s="1"/>
  <c r="AF289" i="20" s="1"/>
  <c r="AC237" i="20"/>
  <c r="AD237" i="20" s="1"/>
  <c r="AA158" i="20"/>
  <c r="AC363" i="20"/>
  <c r="AD363" i="20" s="1"/>
  <c r="AC418" i="20"/>
  <c r="AD418" i="20" s="1"/>
  <c r="AC294" i="20"/>
  <c r="AC442" i="20"/>
  <c r="AD442" i="20" s="1"/>
  <c r="AC94" i="20"/>
  <c r="AD94" i="20" s="1"/>
  <c r="AC406" i="20"/>
  <c r="AD406" i="20" s="1"/>
  <c r="AC149" i="20"/>
  <c r="AD149" i="20" s="1"/>
  <c r="AC197" i="20"/>
  <c r="AD197" i="20" s="1"/>
  <c r="AC935" i="20"/>
  <c r="AD935" i="20" s="1"/>
  <c r="AC175" i="20"/>
  <c r="AD175" i="20" s="1"/>
  <c r="AC1003" i="20"/>
  <c r="AD1003" i="20" s="1"/>
  <c r="AE1003" i="20" s="1"/>
  <c r="AC1019" i="20"/>
  <c r="AD1019" i="20" s="1"/>
  <c r="AC439" i="20"/>
  <c r="AD439" i="20" s="1"/>
  <c r="AC404" i="20"/>
  <c r="AD404" i="20" s="1"/>
  <c r="AC988" i="20"/>
  <c r="AD988" i="20" s="1"/>
  <c r="AC964" i="20"/>
  <c r="AD964" i="20" s="1"/>
  <c r="AE964" i="20" s="1"/>
  <c r="AC347" i="20"/>
  <c r="AD347" i="20" s="1"/>
  <c r="AC738" i="20"/>
  <c r="AD738" i="20" s="1"/>
  <c r="AE738" i="20" s="1"/>
  <c r="AC742" i="20"/>
  <c r="AD742" i="20" s="1"/>
  <c r="AE742" i="20" s="1"/>
  <c r="AC199" i="20"/>
  <c r="AD199" i="20" s="1"/>
  <c r="AC758" i="20"/>
  <c r="AD758" i="20" s="1"/>
  <c r="AC775" i="20"/>
  <c r="AD775" i="20" s="1"/>
  <c r="AE775" i="20" s="1"/>
  <c r="AC593" i="20"/>
  <c r="AF593" i="20" s="1"/>
  <c r="AC447" i="20"/>
  <c r="AD447" i="20" s="1"/>
  <c r="AC318" i="20"/>
  <c r="AD318" i="20" s="1"/>
  <c r="AE318" i="20" s="1"/>
  <c r="AE387" i="20"/>
  <c r="AF387" i="20" s="1"/>
  <c r="AG387" i="20" s="1"/>
  <c r="AC352" i="20"/>
  <c r="AD352" i="20" s="1"/>
  <c r="AA99" i="20"/>
  <c r="AC568" i="20"/>
  <c r="AE568" i="20" s="1"/>
  <c r="AC563" i="20"/>
  <c r="AE563" i="20" s="1"/>
  <c r="AF563" i="20" s="1"/>
  <c r="AA87" i="20"/>
  <c r="AC719" i="20"/>
  <c r="AD719" i="20" s="1"/>
  <c r="AC943" i="20"/>
  <c r="AD943" i="20" s="1"/>
  <c r="AE943" i="20" s="1"/>
  <c r="AC103" i="20"/>
  <c r="AD103" i="20" s="1"/>
  <c r="AE103" i="20" s="1"/>
  <c r="AF103" i="20" s="1"/>
  <c r="AC727" i="20"/>
  <c r="AD727" i="20" s="1"/>
  <c r="U11" i="20"/>
  <c r="AC240" i="20"/>
  <c r="AD240" i="20" s="1"/>
  <c r="AC936" i="20"/>
  <c r="AD936" i="20" s="1"/>
  <c r="AC925" i="20"/>
  <c r="AD925" i="20" s="1"/>
  <c r="AE925" i="20" s="1"/>
  <c r="AC721" i="20"/>
  <c r="AD721" i="20" s="1"/>
  <c r="AE721" i="20" s="1"/>
  <c r="AC392" i="20"/>
  <c r="AD392" i="20" s="1"/>
  <c r="AC305" i="20"/>
  <c r="AD305" i="20" s="1"/>
  <c r="AE305" i="20" s="1"/>
  <c r="AC292" i="20"/>
  <c r="AD292" i="20" s="1"/>
  <c r="AC244" i="20"/>
  <c r="AD244" i="20" s="1"/>
  <c r="AE244" i="20" s="1"/>
  <c r="AC246" i="20"/>
  <c r="AD246" i="20" s="1"/>
  <c r="AC86" i="20"/>
  <c r="AD86" i="20" s="1"/>
  <c r="AC412" i="20"/>
  <c r="AD412" i="20" s="1"/>
  <c r="AC1005" i="20"/>
  <c r="AD1005" i="20" s="1"/>
  <c r="AE1005" i="20" s="1"/>
  <c r="AF1005" i="20" s="1"/>
  <c r="AC231" i="20"/>
  <c r="AD231" i="20" s="1"/>
  <c r="AE231" i="20" s="1"/>
  <c r="AC82" i="20"/>
  <c r="AD82" i="20" s="1"/>
  <c r="AC926" i="20"/>
  <c r="AD926" i="20" s="1"/>
  <c r="AC972" i="20"/>
  <c r="AD972" i="20" s="1"/>
  <c r="AC269" i="20"/>
  <c r="AD269" i="20" s="1"/>
  <c r="AE269" i="20" s="1"/>
  <c r="AF269" i="20" s="1"/>
  <c r="AA134" i="20"/>
  <c r="AC791" i="20"/>
  <c r="AE791" i="20" s="1"/>
  <c r="AC189" i="20"/>
  <c r="AD189" i="20" s="1"/>
  <c r="AC976" i="20"/>
  <c r="AD976" i="20" s="1"/>
  <c r="AC397" i="20"/>
  <c r="AD397" i="20" s="1"/>
  <c r="AC729" i="20"/>
  <c r="AD729" i="20" s="1"/>
  <c r="AE310" i="20"/>
  <c r="AF310" i="20" s="1"/>
  <c r="AG310" i="20" s="1"/>
  <c r="AC230" i="20"/>
  <c r="AD230" i="20" s="1"/>
  <c r="AA154" i="20"/>
  <c r="AC161" i="20"/>
  <c r="AD161" i="20" s="1"/>
  <c r="AC402" i="20"/>
  <c r="AD402" i="20" s="1"/>
  <c r="AE402" i="20" s="1"/>
  <c r="AC1013" i="20"/>
  <c r="AD1013" i="20" s="1"/>
  <c r="AE1013" i="20" s="1"/>
  <c r="AC299" i="20"/>
  <c r="AD299" i="20" s="1"/>
  <c r="AA170" i="20"/>
  <c r="AA83" i="20"/>
  <c r="AC70" i="20"/>
  <c r="AD70" i="20" s="1"/>
  <c r="AC176" i="20"/>
  <c r="AD176" i="20" s="1"/>
  <c r="AE176" i="20" s="1"/>
  <c r="AC137" i="20"/>
  <c r="AD137" i="20" s="1"/>
  <c r="AC153" i="20"/>
  <c r="AD153" i="20" s="1"/>
  <c r="AC420" i="20"/>
  <c r="AD420" i="20" s="1"/>
  <c r="AC173" i="20"/>
  <c r="AD173" i="20" s="1"/>
  <c r="AC245" i="20"/>
  <c r="AD245" i="20" s="1"/>
  <c r="AC227" i="20"/>
  <c r="AD227" i="20" s="1"/>
  <c r="AE227" i="20" s="1"/>
  <c r="AC196" i="20"/>
  <c r="AD196" i="20" s="1"/>
  <c r="AE196" i="20" s="1"/>
  <c r="AC177" i="20"/>
  <c r="AD177" i="20" s="1"/>
  <c r="AC169" i="20"/>
  <c r="AD169" i="20" s="1"/>
  <c r="AC247" i="20"/>
  <c r="AD247" i="20" s="1"/>
  <c r="AC58" i="20"/>
  <c r="AD58" i="20" s="1"/>
  <c r="AE58" i="20" s="1"/>
  <c r="AF58" i="20" s="1"/>
  <c r="AC192" i="20"/>
  <c r="AD192" i="20" s="1"/>
  <c r="AC973" i="20"/>
  <c r="AD973" i="20" s="1"/>
  <c r="AE973" i="20" s="1"/>
  <c r="AF973" i="20" s="1"/>
  <c r="AC725" i="20"/>
  <c r="AD725" i="20" s="1"/>
  <c r="AA162" i="20"/>
  <c r="AA146" i="20"/>
  <c r="AA107" i="20"/>
  <c r="AA91" i="20"/>
  <c r="AA75" i="20"/>
  <c r="AC63" i="20"/>
  <c r="AD63" i="20" s="1"/>
  <c r="AC140" i="20"/>
  <c r="AD140" i="20" s="1"/>
  <c r="AE140" i="20" s="1"/>
  <c r="AC128" i="20"/>
  <c r="AD128" i="20" s="1"/>
  <c r="AE128" i="20" s="1"/>
  <c r="AF128" i="20" s="1"/>
  <c r="AC1006" i="20"/>
  <c r="AD1006" i="20" s="1"/>
  <c r="AC951" i="20"/>
  <c r="AD951" i="20" s="1"/>
  <c r="AC180" i="20"/>
  <c r="AD180" i="20" s="1"/>
  <c r="AE180" i="20" s="1"/>
  <c r="AC106" i="20"/>
  <c r="AD106" i="20" s="1"/>
  <c r="AC296" i="20"/>
  <c r="AD296" i="20" s="1"/>
  <c r="AE296" i="20" s="1"/>
  <c r="AC257" i="20"/>
  <c r="AD257" i="20" s="1"/>
  <c r="AE257" i="20" s="1"/>
  <c r="AF257" i="20" s="1"/>
  <c r="AC188" i="20"/>
  <c r="AD188" i="20" s="1"/>
  <c r="AE188" i="20" s="1"/>
  <c r="AF188" i="20" s="1"/>
  <c r="AC66" i="20"/>
  <c r="AD66" i="20" s="1"/>
  <c r="AC98" i="20"/>
  <c r="AD98" i="20" s="1"/>
  <c r="AC90" i="20"/>
  <c r="AD90" i="20" s="1"/>
  <c r="AC193" i="20"/>
  <c r="AD193" i="20" s="1"/>
  <c r="AC265" i="20"/>
  <c r="AD265" i="20" s="1"/>
  <c r="AE265" i="20" s="1"/>
  <c r="AF265" i="20" s="1"/>
  <c r="AE202" i="20"/>
  <c r="AF202" i="20" s="1"/>
  <c r="AG202" i="20" s="1"/>
  <c r="AH202" i="20" s="1"/>
  <c r="AI202" i="20" s="1"/>
  <c r="AK202" i="20" s="1"/>
  <c r="AC251" i="20"/>
  <c r="AD251" i="20" s="1"/>
  <c r="AC262" i="20"/>
  <c r="AD262" i="20" s="1"/>
  <c r="AC71" i="20"/>
  <c r="AD71" i="20" s="1"/>
  <c r="AE71" i="20" s="1"/>
  <c r="AF71" i="20" s="1"/>
  <c r="AC975" i="20"/>
  <c r="AD975" i="20" s="1"/>
  <c r="AC446" i="20"/>
  <c r="AD446" i="20" s="1"/>
  <c r="AC191" i="20"/>
  <c r="AD191" i="20" s="1"/>
  <c r="AE191" i="20" s="1"/>
  <c r="AF191" i="20" s="1"/>
  <c r="AC171" i="20"/>
  <c r="AD171" i="20" s="1"/>
  <c r="AC967" i="20"/>
  <c r="AD967" i="20" s="1"/>
  <c r="AE967" i="20" s="1"/>
  <c r="AF967" i="20" s="1"/>
  <c r="AC211" i="20"/>
  <c r="AD211" i="20" s="1"/>
  <c r="AE211" i="20" s="1"/>
  <c r="AF211" i="20" s="1"/>
  <c r="AC17" i="20"/>
  <c r="AD17" i="20" s="1"/>
  <c r="AC215" i="20"/>
  <c r="AD215" i="20" s="1"/>
  <c r="AE215" i="20" s="1"/>
  <c r="AC168" i="20"/>
  <c r="AD168" i="20" s="1"/>
  <c r="AE168" i="20" s="1"/>
  <c r="AF168" i="20" s="1"/>
  <c r="AC50" i="20"/>
  <c r="AD50" i="20" s="1"/>
  <c r="AE50" i="20" s="1"/>
  <c r="AF50" i="20" s="1"/>
  <c r="AC33" i="20"/>
  <c r="AD33" i="20" s="1"/>
  <c r="AC105" i="20"/>
  <c r="AD105" i="20" s="1"/>
  <c r="AE105" i="20" s="1"/>
  <c r="AC29" i="20"/>
  <c r="AD29" i="20" s="1"/>
  <c r="AF736" i="20"/>
  <c r="AG736" i="20" s="1"/>
  <c r="AC54" i="20"/>
  <c r="AD54" i="20" s="1"/>
  <c r="AC991" i="20"/>
  <c r="AD991" i="20" s="1"/>
  <c r="AE991" i="20" s="1"/>
  <c r="AC1008" i="20"/>
  <c r="AD1008" i="20" s="1"/>
  <c r="AE1008" i="20" s="1"/>
  <c r="AA797" i="20"/>
  <c r="AC797" i="20" s="1"/>
  <c r="AE797" i="20" s="1"/>
  <c r="AC303" i="20"/>
  <c r="AD303" i="20" s="1"/>
  <c r="AE303" i="20" s="1"/>
  <c r="AC844" i="20"/>
  <c r="AF844" i="20" s="1"/>
  <c r="AC209" i="20"/>
  <c r="AA408" i="20"/>
  <c r="AC408" i="20" s="1"/>
  <c r="AF743" i="20"/>
  <c r="AG743" i="20" s="1"/>
  <c r="AH743" i="20" s="1"/>
  <c r="AI743" i="20" s="1"/>
  <c r="AK743" i="20" s="1"/>
  <c r="AC119" i="20"/>
  <c r="AD119" i="20" s="1"/>
  <c r="AF208" i="20"/>
  <c r="AG208" i="20" s="1"/>
  <c r="AF789" i="20"/>
  <c r="AG789" i="20" s="1"/>
  <c r="AC348" i="20"/>
  <c r="AC965" i="20"/>
  <c r="AD965" i="20" s="1"/>
  <c r="AE965" i="20" s="1"/>
  <c r="AE959" i="20"/>
  <c r="AF959" i="20" s="1"/>
  <c r="AG959" i="20" s="1"/>
  <c r="AC962" i="20"/>
  <c r="AD962" i="20" s="1"/>
  <c r="AE962" i="20" s="1"/>
  <c r="AC214" i="20"/>
  <c r="AD214" i="20" s="1"/>
  <c r="AA214" i="20"/>
  <c r="AD748" i="20"/>
  <c r="AE748" i="20" s="1"/>
  <c r="AF748" i="20" s="1"/>
  <c r="AD328" i="20"/>
  <c r="AE328" i="20" s="1"/>
  <c r="AF328" i="20" s="1"/>
  <c r="AG328" i="20" s="1"/>
  <c r="AD241" i="20"/>
  <c r="AE241" i="20" s="1"/>
  <c r="AF241" i="20" s="1"/>
  <c r="AG241" i="20" s="1"/>
  <c r="AC321" i="20"/>
  <c r="AC980" i="20"/>
  <c r="AD980" i="20" s="1"/>
  <c r="AC957" i="20"/>
  <c r="AD957" i="20" s="1"/>
  <c r="AE998" i="20"/>
  <c r="AF998" i="20" s="1"/>
  <c r="AC486" i="20"/>
  <c r="AD486" i="20" s="1"/>
  <c r="AE486" i="20" s="1"/>
  <c r="AC316" i="20"/>
  <c r="AD316" i="20" s="1"/>
  <c r="AE323" i="20"/>
  <c r="AF323" i="20" s="1"/>
  <c r="AG323" i="20" s="1"/>
  <c r="AE52" i="20"/>
  <c r="AF52" i="20" s="1"/>
  <c r="AC950" i="20"/>
  <c r="AC210" i="20"/>
  <c r="AA210" i="20"/>
  <c r="AJ11" i="20"/>
  <c r="AC724" i="20"/>
  <c r="AD724" i="20" s="1"/>
  <c r="AA495" i="20"/>
  <c r="AC495" i="20" s="1"/>
  <c r="AC181" i="20"/>
  <c r="AC300" i="20"/>
  <c r="AC204" i="20"/>
  <c r="AD204" i="20" s="1"/>
  <c r="AA978" i="20"/>
  <c r="AC978" i="20" s="1"/>
  <c r="AA809" i="20"/>
  <c r="AC809" i="20" s="1"/>
  <c r="AC734" i="20"/>
  <c r="AD734" i="20" s="1"/>
  <c r="AA385" i="20"/>
  <c r="AC385" i="20" s="1"/>
  <c r="AE953" i="20"/>
  <c r="AF953" i="20" s="1"/>
  <c r="AF785" i="20"/>
  <c r="AG785" i="20" s="1"/>
  <c r="AH785" i="20" s="1"/>
  <c r="AI785" i="20" s="1"/>
  <c r="AK785" i="20" s="1"/>
  <c r="AC435" i="20"/>
  <c r="AD435" i="20" s="1"/>
  <c r="AA469" i="20"/>
  <c r="AC469" i="20" s="1"/>
  <c r="AD469" i="20" s="1"/>
  <c r="AC219" i="20"/>
  <c r="AD219" i="20" s="1"/>
  <c r="AE961" i="20"/>
  <c r="AF961" i="20" s="1"/>
  <c r="AC981" i="20"/>
  <c r="AD981" i="20" s="1"/>
  <c r="AC720" i="20"/>
  <c r="AD720" i="20" s="1"/>
  <c r="AE720" i="20" s="1"/>
  <c r="AF532" i="20"/>
  <c r="AG532" i="20" s="1"/>
  <c r="AH532" i="20" s="1"/>
  <c r="AI532" i="20" s="1"/>
  <c r="AK532" i="20" s="1"/>
  <c r="AF511" i="20"/>
  <c r="AG511" i="20" s="1"/>
  <c r="AE412" i="20"/>
  <c r="AF412" i="20" s="1"/>
  <c r="AG412" i="20" s="1"/>
  <c r="AE419" i="20"/>
  <c r="AF419" i="20" s="1"/>
  <c r="AG419" i="20" s="1"/>
  <c r="AH419" i="20" s="1"/>
  <c r="AA473" i="20"/>
  <c r="AC473" i="20" s="1"/>
  <c r="AC460" i="20"/>
  <c r="AD460" i="20" s="1"/>
  <c r="AE365" i="20"/>
  <c r="AF365" i="20" s="1"/>
  <c r="AE333" i="20"/>
  <c r="AF333" i="20" s="1"/>
  <c r="AC297" i="20"/>
  <c r="AD297" i="20" s="1"/>
  <c r="AE297" i="20" s="1"/>
  <c r="AE326" i="20"/>
  <c r="AF326" i="20" s="1"/>
  <c r="AG326" i="20" s="1"/>
  <c r="AH326" i="20" s="1"/>
  <c r="AI326" i="20" s="1"/>
  <c r="AK326" i="20" s="1"/>
  <c r="AF290" i="20"/>
  <c r="AG290" i="20" s="1"/>
  <c r="AC273" i="20"/>
  <c r="AD273" i="20" s="1"/>
  <c r="AC243" i="20"/>
  <c r="AD243" i="20" s="1"/>
  <c r="AE243" i="20" s="1"/>
  <c r="AA218" i="20"/>
  <c r="AE369" i="20"/>
  <c r="AF369" i="20" s="1"/>
  <c r="AC47" i="20"/>
  <c r="AD47" i="20" s="1"/>
  <c r="AC89" i="20"/>
  <c r="AD89" i="20" s="1"/>
  <c r="AC160" i="20"/>
  <c r="AD160" i="20" s="1"/>
  <c r="AE160" i="20" s="1"/>
  <c r="AC97" i="20"/>
  <c r="AD97" i="20" s="1"/>
  <c r="AE97" i="20" s="1"/>
  <c r="AC172" i="20"/>
  <c r="AD172" i="20" s="1"/>
  <c r="AE172" i="20" s="1"/>
  <c r="AF172" i="20" s="1"/>
  <c r="AA986" i="20"/>
  <c r="AC986" i="20" s="1"/>
  <c r="AC928" i="20"/>
  <c r="AD928" i="20" s="1"/>
  <c r="AA970" i="20"/>
  <c r="AC970" i="20" s="1"/>
  <c r="AC956" i="20"/>
  <c r="AD956" i="20" s="1"/>
  <c r="AA512" i="20"/>
  <c r="AC512" i="20" s="1"/>
  <c r="AA484" i="20"/>
  <c r="AC484" i="20" s="1"/>
  <c r="AC226" i="20"/>
  <c r="AA226" i="20"/>
  <c r="AE510" i="20"/>
  <c r="AF510" i="20" s="1"/>
  <c r="AC426" i="20"/>
  <c r="AF699" i="20"/>
  <c r="AG699" i="20" s="1"/>
  <c r="AH699" i="20" s="1"/>
  <c r="AD996" i="20"/>
  <c r="AC560" i="20"/>
  <c r="AE560" i="20" s="1"/>
  <c r="AF560" i="20" s="1"/>
  <c r="AE218" i="20"/>
  <c r="AF218" i="20" s="1"/>
  <c r="AE947" i="20"/>
  <c r="AF947" i="20" s="1"/>
  <c r="AC709" i="20"/>
  <c r="AD709" i="20" s="1"/>
  <c r="AC691" i="20"/>
  <c r="AD691" i="20" s="1"/>
  <c r="AF441" i="20"/>
  <c r="AG441" i="20" s="1"/>
  <c r="AG364" i="20"/>
  <c r="AH364" i="20" s="1"/>
  <c r="AI364" i="20" s="1"/>
  <c r="AK364" i="20" s="1"/>
  <c r="AC38" i="20"/>
  <c r="AD38" i="20" s="1"/>
  <c r="AE38" i="20" s="1"/>
  <c r="AC312" i="20"/>
  <c r="AD312" i="20" s="1"/>
  <c r="AE312" i="20" s="1"/>
  <c r="AC235" i="20"/>
  <c r="AD235" i="20" s="1"/>
  <c r="AC203" i="20"/>
  <c r="AD203" i="20" s="1"/>
  <c r="AC74" i="20"/>
  <c r="AD74" i="20" s="1"/>
  <c r="AE74" i="20" s="1"/>
  <c r="AF74" i="20" s="1"/>
  <c r="AC28" i="20"/>
  <c r="AD28" i="20" s="1"/>
  <c r="AE28" i="20" s="1"/>
  <c r="AF28" i="20" s="1"/>
  <c r="AC43" i="20"/>
  <c r="AD43" i="20" s="1"/>
  <c r="AC152" i="20"/>
  <c r="AD152" i="20" s="1"/>
  <c r="AE152" i="20" s="1"/>
  <c r="AF152" i="20" s="1"/>
  <c r="AC81" i="20"/>
  <c r="AD81" i="20" s="1"/>
  <c r="AE81" i="20" s="1"/>
  <c r="AF81" i="20" s="1"/>
  <c r="AC59" i="20"/>
  <c r="AD59" i="20" s="1"/>
  <c r="AC24" i="20"/>
  <c r="AD24" i="20" s="1"/>
  <c r="AC258" i="20"/>
  <c r="AD258" i="20" s="1"/>
  <c r="AE258" i="20" s="1"/>
  <c r="AF258" i="20" s="1"/>
  <c r="AF68" i="20"/>
  <c r="AG68" i="20" s="1"/>
  <c r="AC941" i="20"/>
  <c r="AC1000" i="20"/>
  <c r="AD1000" i="20" s="1"/>
  <c r="AC983" i="20"/>
  <c r="AD983" i="20" s="1"/>
  <c r="AA994" i="20"/>
  <c r="AC994" i="20" s="1"/>
  <c r="AA780" i="20"/>
  <c r="AC780" i="20" s="1"/>
  <c r="AA374" i="20"/>
  <c r="AC374" i="20" s="1"/>
  <c r="AC187" i="20"/>
  <c r="AC133" i="20"/>
  <c r="AD133" i="20" s="1"/>
  <c r="AA220" i="20"/>
  <c r="AC220" i="20"/>
  <c r="AD220" i="20" s="1"/>
  <c r="AE220" i="20" s="1"/>
  <c r="AC384" i="20"/>
  <c r="AC308" i="20"/>
  <c r="AC225" i="20"/>
  <c r="AD930" i="20"/>
  <c r="AD498" i="20"/>
  <c r="AE550" i="20"/>
  <c r="AD465" i="20"/>
  <c r="AD477" i="20"/>
  <c r="AE477" i="20" s="1"/>
  <c r="AE804" i="20"/>
  <c r="AF804" i="20" s="1"/>
  <c r="AE814" i="20"/>
  <c r="AF814" i="20" s="1"/>
  <c r="AD710" i="20"/>
  <c r="AD702" i="20"/>
  <c r="AE702" i="20" s="1"/>
  <c r="AD762" i="20"/>
  <c r="AD482" i="20"/>
  <c r="AE482" i="20" s="1"/>
  <c r="AF600" i="20"/>
  <c r="AE573" i="20"/>
  <c r="AF573" i="20" s="1"/>
  <c r="AE521" i="20"/>
  <c r="AE514" i="20"/>
  <c r="AE519" i="20"/>
  <c r="AD250" i="20"/>
  <c r="AD974" i="20"/>
  <c r="AF840" i="20"/>
  <c r="AD784" i="20"/>
  <c r="AE784" i="20" s="1"/>
  <c r="AD766" i="20"/>
  <c r="AD778" i="20"/>
  <c r="AF735" i="20"/>
  <c r="AG735" i="20" s="1"/>
  <c r="AD757" i="20"/>
  <c r="AE757" i="20" s="1"/>
  <c r="AD718" i="20"/>
  <c r="AD700" i="20"/>
  <c r="AE700" i="20" s="1"/>
  <c r="AD696" i="20"/>
  <c r="AD690" i="20"/>
  <c r="AE378" i="20"/>
  <c r="AF378" i="20" s="1"/>
  <c r="AE546" i="20"/>
  <c r="AE130" i="20"/>
  <c r="AE576" i="20"/>
  <c r="AF576" i="20" s="1"/>
  <c r="AE547" i="20"/>
  <c r="AF547" i="20" s="1"/>
  <c r="AD499" i="20"/>
  <c r="AE509" i="20"/>
  <c r="AF509" i="20" s="1"/>
  <c r="AD483" i="20"/>
  <c r="AD485" i="20"/>
  <c r="AE485" i="20" s="1"/>
  <c r="AF485" i="20" s="1"/>
  <c r="AF1022" i="20"/>
  <c r="AD1010" i="20"/>
  <c r="AD940" i="20"/>
  <c r="AE812" i="20"/>
  <c r="AF812" i="20" s="1"/>
  <c r="AF604" i="20"/>
  <c r="AE522" i="20"/>
  <c r="AF522" i="20" s="1"/>
  <c r="AD474" i="20"/>
  <c r="AD1014" i="20"/>
  <c r="AE1014" i="20" s="1"/>
  <c r="AD783" i="20"/>
  <c r="AE783" i="20" s="1"/>
  <c r="AD1018" i="20"/>
  <c r="AD966" i="20"/>
  <c r="AE806" i="20"/>
  <c r="AF806" i="20" s="1"/>
  <c r="AF838" i="20"/>
  <c r="AD712" i="20"/>
  <c r="AE712" i="20" s="1"/>
  <c r="AD698" i="20"/>
  <c r="AF584" i="20"/>
  <c r="AF603" i="20"/>
  <c r="AE580" i="20"/>
  <c r="AD453" i="20"/>
  <c r="AD280" i="20"/>
  <c r="AA1015" i="20"/>
  <c r="AC1015" i="20" s="1"/>
  <c r="AD1017" i="20"/>
  <c r="AE1017" i="20" s="1"/>
  <c r="AF1017" i="20" s="1"/>
  <c r="AD1002" i="20"/>
  <c r="AE1002" i="20" s="1"/>
  <c r="AF1002" i="20" s="1"/>
  <c r="AA931" i="20"/>
  <c r="AC931" i="20" s="1"/>
  <c r="AD938" i="20"/>
  <c r="AC989" i="20"/>
  <c r="AF834" i="20"/>
  <c r="AA745" i="20"/>
  <c r="AC745" i="20" s="1"/>
  <c r="AH571" i="20"/>
  <c r="AI571" i="20" s="1"/>
  <c r="AK571" i="20" s="1"/>
  <c r="AA544" i="20"/>
  <c r="AC544" i="20" s="1"/>
  <c r="AA591" i="20"/>
  <c r="AC591" i="20" s="1"/>
  <c r="AE557" i="20"/>
  <c r="AF557" i="20" s="1"/>
  <c r="AA592" i="20"/>
  <c r="AC592" i="20" s="1"/>
  <c r="AA539" i="20"/>
  <c r="AC539" i="20" s="1"/>
  <c r="AA479" i="20"/>
  <c r="AC479" i="20" s="1"/>
  <c r="AD452" i="20"/>
  <c r="AE452" i="20" s="1"/>
  <c r="AF452" i="20" s="1"/>
  <c r="AD487" i="20"/>
  <c r="AE487" i="20" s="1"/>
  <c r="AD504" i="20"/>
  <c r="AD470" i="20"/>
  <c r="AA999" i="20"/>
  <c r="AC999" i="20" s="1"/>
  <c r="AE992" i="20"/>
  <c r="AF992" i="20" s="1"/>
  <c r="AE948" i="20"/>
  <c r="AD982" i="20"/>
  <c r="AE982" i="20" s="1"/>
  <c r="AG979" i="20"/>
  <c r="AH979" i="20" s="1"/>
  <c r="AD954" i="20"/>
  <c r="AE954" i="20" s="1"/>
  <c r="AD937" i="20"/>
  <c r="AE937" i="20" s="1"/>
  <c r="AE985" i="20"/>
  <c r="AF985" i="20" s="1"/>
  <c r="AE977" i="20"/>
  <c r="AF977" i="20" s="1"/>
  <c r="AE987" i="20"/>
  <c r="AF987" i="20" s="1"/>
  <c r="AD990" i="20"/>
  <c r="AE990" i="20" s="1"/>
  <c r="AD946" i="20"/>
  <c r="AA848" i="20"/>
  <c r="AC848" i="20" s="1"/>
  <c r="AE929" i="20"/>
  <c r="AF929" i="20" s="1"/>
  <c r="AE850" i="20"/>
  <c r="AF850" i="20" s="1"/>
  <c r="AA829" i="20"/>
  <c r="AC829" i="20" s="1"/>
  <c r="AA821" i="20"/>
  <c r="AC821" i="20" s="1"/>
  <c r="AA830" i="20"/>
  <c r="AC830" i="20" s="1"/>
  <c r="AA822" i="20"/>
  <c r="AC822" i="20" s="1"/>
  <c r="AA831" i="20"/>
  <c r="AC831" i="20" s="1"/>
  <c r="AA823" i="20"/>
  <c r="AC823" i="20" s="1"/>
  <c r="AE811" i="20"/>
  <c r="AC717" i="20"/>
  <c r="AI837" i="20"/>
  <c r="AK837" i="20" s="1"/>
  <c r="AG802" i="20"/>
  <c r="AA765" i="20"/>
  <c r="AC765" i="20" s="1"/>
  <c r="AA841" i="20"/>
  <c r="AC841" i="20" s="1"/>
  <c r="AA824" i="20"/>
  <c r="AC824" i="20" s="1"/>
  <c r="AD787" i="20"/>
  <c r="AA820" i="20"/>
  <c r="AC820" i="20" s="1"/>
  <c r="AC805" i="20"/>
  <c r="AD755" i="20"/>
  <c r="AE755" i="20" s="1"/>
  <c r="AF753" i="20"/>
  <c r="AG753" i="20" s="1"/>
  <c r="AH753" i="20" s="1"/>
  <c r="AE751" i="20"/>
  <c r="AD737" i="20"/>
  <c r="AE737" i="20" s="1"/>
  <c r="AA722" i="20"/>
  <c r="AC722" i="20" s="1"/>
  <c r="AD726" i="20"/>
  <c r="AA706" i="20"/>
  <c r="AC706" i="20" s="1"/>
  <c r="AG769" i="20"/>
  <c r="AH769" i="20" s="1"/>
  <c r="AI769" i="20" s="1"/>
  <c r="AK769" i="20" s="1"/>
  <c r="AF767" i="20"/>
  <c r="AG767" i="20" s="1"/>
  <c r="AH767" i="20" s="1"/>
  <c r="AD728" i="20"/>
  <c r="AE756" i="20"/>
  <c r="AF756" i="20" s="1"/>
  <c r="AA607" i="20"/>
  <c r="AC607" i="20" s="1"/>
  <c r="AA579" i="20"/>
  <c r="AC579" i="20" s="1"/>
  <c r="AA545" i="20"/>
  <c r="AC545" i="20" s="1"/>
  <c r="AE695" i="20"/>
  <c r="AA609" i="20"/>
  <c r="AC609" i="20" s="1"/>
  <c r="AA578" i="20"/>
  <c r="AC578" i="20" s="1"/>
  <c r="AA555" i="20"/>
  <c r="AC555" i="20" s="1"/>
  <c r="AE376" i="20"/>
  <c r="AF376" i="20" s="1"/>
  <c r="AA586" i="20"/>
  <c r="AC586" i="20" s="1"/>
  <c r="AE125" i="20"/>
  <c r="AF125" i="20" s="1"/>
  <c r="AG526" i="20"/>
  <c r="AH526" i="20" s="1"/>
  <c r="AI526" i="20" s="1"/>
  <c r="AK526" i="20" s="1"/>
  <c r="AE520" i="20"/>
  <c r="AF520" i="20" s="1"/>
  <c r="AA513" i="20"/>
  <c r="AC513" i="20" s="1"/>
  <c r="AE503" i="20"/>
  <c r="AA481" i="20"/>
  <c r="AC481" i="20" s="1"/>
  <c r="AA114" i="20"/>
  <c r="AC114" i="20" s="1"/>
  <c r="AG534" i="20"/>
  <c r="AG608" i="20"/>
  <c r="AH608" i="20" s="1"/>
  <c r="AA548" i="20"/>
  <c r="AC548" i="20" s="1"/>
  <c r="AD494" i="20"/>
  <c r="AE494" i="20" s="1"/>
  <c r="AG587" i="20"/>
  <c r="AH587" i="20" s="1"/>
  <c r="AD468" i="20"/>
  <c r="AE450" i="20"/>
  <c r="AF450" i="20" s="1"/>
  <c r="AE438" i="20"/>
  <c r="AF438" i="20" s="1"/>
  <c r="AD424" i="20"/>
  <c r="AA491" i="20"/>
  <c r="AC491" i="20" s="1"/>
  <c r="AG449" i="20"/>
  <c r="AG433" i="20"/>
  <c r="AH433" i="20" s="1"/>
  <c r="AG124" i="20"/>
  <c r="AH124" i="20" s="1"/>
  <c r="AE525" i="20"/>
  <c r="AA507" i="20"/>
  <c r="AC507" i="20" s="1"/>
  <c r="AE500" i="20"/>
  <c r="AF500" i="20" s="1"/>
  <c r="AA471" i="20"/>
  <c r="AC471" i="20" s="1"/>
  <c r="AD451" i="20"/>
  <c r="AG434" i="20"/>
  <c r="AD421" i="20"/>
  <c r="AD405" i="20"/>
  <c r="AE405" i="20" s="1"/>
  <c r="AE444" i="20"/>
  <c r="AE436" i="20"/>
  <c r="AE428" i="20"/>
  <c r="AE422" i="20"/>
  <c r="AE414" i="20"/>
  <c r="AG371" i="20"/>
  <c r="AH371" i="20" s="1"/>
  <c r="AI371" i="20" s="1"/>
  <c r="AK371" i="20" s="1"/>
  <c r="AE357" i="20"/>
  <c r="AF357" i="20" s="1"/>
  <c r="AE366" i="20"/>
  <c r="AF366" i="20" s="1"/>
  <c r="AG366" i="20" s="1"/>
  <c r="AE358" i="20"/>
  <c r="AE350" i="20"/>
  <c r="AE342" i="20"/>
  <c r="AF342" i="20" s="1"/>
  <c r="AG342" i="20" s="1"/>
  <c r="AE334" i="20"/>
  <c r="AF334" i="20" s="1"/>
  <c r="AG325" i="20"/>
  <c r="AH325" i="20" s="1"/>
  <c r="AI325" i="20" s="1"/>
  <c r="AK325" i="20" s="1"/>
  <c r="AE411" i="20"/>
  <c r="AF411" i="20" s="1"/>
  <c r="AE409" i="20"/>
  <c r="AF409" i="20" s="1"/>
  <c r="AE401" i="20"/>
  <c r="AF401" i="20" s="1"/>
  <c r="AD389" i="20"/>
  <c r="AE389" i="20" s="1"/>
  <c r="AD351" i="20"/>
  <c r="AE351" i="20" s="1"/>
  <c r="AF351" i="20" s="1"/>
  <c r="AE396" i="20"/>
  <c r="AD390" i="20"/>
  <c r="AD370" i="20"/>
  <c r="AD354" i="20"/>
  <c r="AD338" i="20"/>
  <c r="AD129" i="20"/>
  <c r="AD120" i="20"/>
  <c r="AC309" i="20"/>
  <c r="AD302" i="20"/>
  <c r="AE331" i="20"/>
  <c r="AF331" i="20" s="1"/>
  <c r="AE329" i="20"/>
  <c r="AF329" i="20" s="1"/>
  <c r="AA267" i="20"/>
  <c r="AC267" i="20" s="1"/>
  <c r="AD221" i="20"/>
  <c r="AD212" i="20"/>
  <c r="AE212" i="20" s="1"/>
  <c r="AA254" i="20"/>
  <c r="AC254" i="20" s="1"/>
  <c r="AA238" i="20"/>
  <c r="AC238" i="20" s="1"/>
  <c r="AC222" i="20"/>
  <c r="AA222" i="20"/>
  <c r="AE282" i="20"/>
  <c r="AF282" i="20" s="1"/>
  <c r="AC239" i="20"/>
  <c r="AE213" i="20"/>
  <c r="AG388" i="20"/>
  <c r="AH388" i="20" s="1"/>
  <c r="AI388" i="20" s="1"/>
  <c r="AK388" i="20" s="1"/>
  <c r="AE361" i="20"/>
  <c r="AG353" i="20"/>
  <c r="AH353" i="20" s="1"/>
  <c r="AI353" i="20" s="1"/>
  <c r="AK353" i="20" s="1"/>
  <c r="AC287" i="20"/>
  <c r="AD264" i="20"/>
  <c r="AE264" i="20" s="1"/>
  <c r="AF264" i="20" s="1"/>
  <c r="AD248" i="20"/>
  <c r="AD232" i="20"/>
  <c r="AE232" i="20" s="1"/>
  <c r="AF232" i="20" s="1"/>
  <c r="AD216" i="20"/>
  <c r="AE216" i="20" s="1"/>
  <c r="AC41" i="20"/>
  <c r="AA41" i="20"/>
  <c r="AC108" i="20"/>
  <c r="AC76" i="20"/>
  <c r="AC69" i="20"/>
  <c r="AA69" i="20"/>
  <c r="AC163" i="20"/>
  <c r="AC147" i="20"/>
  <c r="AC100" i="20"/>
  <c r="AC281" i="20"/>
  <c r="AC65" i="20"/>
  <c r="AA65" i="20"/>
  <c r="AD56" i="20"/>
  <c r="AC25" i="20"/>
  <c r="AC19" i="20"/>
  <c r="AA19" i="20"/>
  <c r="AC46" i="20"/>
  <c r="AC31" i="20"/>
  <c r="AA31" i="20"/>
  <c r="AC266" i="20"/>
  <c r="AC167" i="20"/>
  <c r="AC151" i="20"/>
  <c r="AC118" i="20"/>
  <c r="AC96" i="20"/>
  <c r="AA1020" i="20"/>
  <c r="AC1020" i="20" s="1"/>
  <c r="AF1023" i="20"/>
  <c r="AE939" i="20"/>
  <c r="AF939" i="20" s="1"/>
  <c r="AA832" i="20"/>
  <c r="AC832" i="20" s="1"/>
  <c r="AE816" i="20"/>
  <c r="AF816" i="20" s="1"/>
  <c r="AD750" i="20"/>
  <c r="AC813" i="20"/>
  <c r="AA768" i="20"/>
  <c r="AC768" i="20" s="1"/>
  <c r="AD779" i="20"/>
  <c r="AE779" i="20" s="1"/>
  <c r="AD771" i="20"/>
  <c r="AE567" i="20"/>
  <c r="AF597" i="20"/>
  <c r="AE143" i="20"/>
  <c r="AF143" i="20" s="1"/>
  <c r="AA551" i="20"/>
  <c r="AC551" i="20" s="1"/>
  <c r="AC570" i="20"/>
  <c r="AA577" i="20"/>
  <c r="AC577" i="20" s="1"/>
  <c r="AA531" i="20"/>
  <c r="AC531" i="20" s="1"/>
  <c r="AG528" i="20"/>
  <c r="AH528" i="20" s="1"/>
  <c r="AG508" i="20"/>
  <c r="AH508" i="20" s="1"/>
  <c r="AD462" i="20"/>
  <c r="AE462" i="20" s="1"/>
  <c r="AF462" i="20" s="1"/>
  <c r="AA496" i="20"/>
  <c r="AC496" i="20" s="1"/>
  <c r="AA1012" i="20"/>
  <c r="AC1012" i="20" s="1"/>
  <c r="AA1016" i="20"/>
  <c r="AC1016" i="20" s="1"/>
  <c r="AG993" i="20"/>
  <c r="AH993" i="20" s="1"/>
  <c r="AI993" i="20" s="1"/>
  <c r="AK993" i="20" s="1"/>
  <c r="AG945" i="20"/>
  <c r="AH945" i="20" s="1"/>
  <c r="AF847" i="20"/>
  <c r="AA808" i="20"/>
  <c r="AC808" i="20" s="1"/>
  <c r="AG969" i="20"/>
  <c r="AH969" i="20" s="1"/>
  <c r="AA836" i="20"/>
  <c r="AC836" i="20" s="1"/>
  <c r="AA842" i="20"/>
  <c r="AC842" i="20" s="1"/>
  <c r="AE801" i="20"/>
  <c r="AD774" i="20"/>
  <c r="AE796" i="20"/>
  <c r="AF796" i="20" s="1"/>
  <c r="AD770" i="20"/>
  <c r="AE770" i="20" s="1"/>
  <c r="AD759" i="20"/>
  <c r="AE759" i="20" s="1"/>
  <c r="AG798" i="20"/>
  <c r="AA777" i="20"/>
  <c r="AC777" i="20" s="1"/>
  <c r="AD732" i="20"/>
  <c r="AG807" i="20"/>
  <c r="AG795" i="20"/>
  <c r="AH795" i="20" s="1"/>
  <c r="AI795" i="20" s="1"/>
  <c r="AK795" i="20" s="1"/>
  <c r="AF792" i="20"/>
  <c r="AG792" i="20" s="1"/>
  <c r="AA752" i="20"/>
  <c r="AC752" i="20" s="1"/>
  <c r="AG776" i="20"/>
  <c r="AE772" i="20"/>
  <c r="AG760" i="20"/>
  <c r="AH760" i="20" s="1"/>
  <c r="AA714" i="20"/>
  <c r="AC714" i="20" s="1"/>
  <c r="AF794" i="20"/>
  <c r="AF764" i="20"/>
  <c r="AA763" i="20"/>
  <c r="AC763" i="20" s="1"/>
  <c r="AF744" i="20"/>
  <c r="AG744" i="20" s="1"/>
  <c r="AG703" i="20"/>
  <c r="AH703" i="20" s="1"/>
  <c r="AG701" i="20"/>
  <c r="AE566" i="20"/>
  <c r="AF566" i="20" s="1"/>
  <c r="AE559" i="20"/>
  <c r="AF559" i="20" s="1"/>
  <c r="AC697" i="20"/>
  <c r="AA594" i="20"/>
  <c r="AC594" i="20" s="1"/>
  <c r="AA575" i="20"/>
  <c r="AC575" i="20" s="1"/>
  <c r="AA556" i="20"/>
  <c r="AC556" i="20" s="1"/>
  <c r="AE739" i="20"/>
  <c r="AA141" i="20"/>
  <c r="AC141" i="20" s="1"/>
  <c r="AA552" i="20"/>
  <c r="AC552" i="20" s="1"/>
  <c r="AI583" i="20"/>
  <c r="AK583" i="20" s="1"/>
  <c r="AA541" i="20"/>
  <c r="AC541" i="20" s="1"/>
  <c r="AD502" i="20"/>
  <c r="AE502" i="20" s="1"/>
  <c r="AF602" i="20"/>
  <c r="AA554" i="20"/>
  <c r="AC554" i="20" s="1"/>
  <c r="AA543" i="20"/>
  <c r="AC543" i="20" s="1"/>
  <c r="AE537" i="20"/>
  <c r="AE492" i="20"/>
  <c r="AF492" i="20" s="1"/>
  <c r="AE558" i="20"/>
  <c r="AG595" i="20"/>
  <c r="AH595" i="20" s="1"/>
  <c r="AG536" i="20"/>
  <c r="AH536" i="20" s="1"/>
  <c r="AA480" i="20"/>
  <c r="AC480" i="20" s="1"/>
  <c r="AE430" i="20"/>
  <c r="AD417" i="20"/>
  <c r="AA529" i="20"/>
  <c r="AC529" i="20" s="1"/>
  <c r="AA489" i="20"/>
  <c r="AC489" i="20" s="1"/>
  <c r="AE488" i="20"/>
  <c r="AF488" i="20" s="1"/>
  <c r="AD461" i="20"/>
  <c r="AG542" i="20"/>
  <c r="AG527" i="20"/>
  <c r="AA515" i="20"/>
  <c r="AC515" i="20" s="1"/>
  <c r="AA505" i="20"/>
  <c r="AC505" i="20" s="1"/>
  <c r="AD501" i="20"/>
  <c r="AD457" i="20"/>
  <c r="AD122" i="20"/>
  <c r="AE122" i="20" s="1"/>
  <c r="AF122" i="20" s="1"/>
  <c r="AD472" i="20"/>
  <c r="AE448" i="20"/>
  <c r="AE440" i="20"/>
  <c r="AE425" i="20"/>
  <c r="AF425" i="20" s="1"/>
  <c r="AD391" i="20"/>
  <c r="AE349" i="20"/>
  <c r="AF349" i="20" s="1"/>
  <c r="AE317" i="20"/>
  <c r="AA313" i="20"/>
  <c r="AC313" i="20" s="1"/>
  <c r="AE304" i="20"/>
  <c r="AF304" i="20" s="1"/>
  <c r="AE395" i="20"/>
  <c r="AF395" i="20" s="1"/>
  <c r="AD368" i="20"/>
  <c r="AD359" i="20"/>
  <c r="AD336" i="20"/>
  <c r="AD327" i="20"/>
  <c r="AE493" i="20"/>
  <c r="AA271" i="20"/>
  <c r="AC271" i="20" s="1"/>
  <c r="AC261" i="20"/>
  <c r="AD253" i="20"/>
  <c r="AD205" i="20"/>
  <c r="AE298" i="20"/>
  <c r="AC206" i="20"/>
  <c r="AA206" i="20"/>
  <c r="AG252" i="20"/>
  <c r="AH252" i="20" s="1"/>
  <c r="AE236" i="20"/>
  <c r="AE229" i="20"/>
  <c r="AF229" i="20" s="1"/>
  <c r="AA283" i="20"/>
  <c r="AC283" i="20" s="1"/>
  <c r="AD268" i="20"/>
  <c r="AD260" i="20"/>
  <c r="AD200" i="20"/>
  <c r="AA255" i="20"/>
  <c r="AC255" i="20" s="1"/>
  <c r="AE44" i="20"/>
  <c r="AF44" i="20" s="1"/>
  <c r="AC279" i="20"/>
  <c r="AD194" i="20"/>
  <c r="AE194" i="20" s="1"/>
  <c r="AE185" i="20"/>
  <c r="AF185" i="20" s="1"/>
  <c r="AD178" i="20"/>
  <c r="AC16" i="20"/>
  <c r="AE165" i="20"/>
  <c r="AE110" i="20"/>
  <c r="AE78" i="20"/>
  <c r="AC55" i="20"/>
  <c r="AC49" i="20"/>
  <c r="AA49" i="20"/>
  <c r="AD37" i="20"/>
  <c r="AC88" i="20"/>
  <c r="AC51" i="20"/>
  <c r="AC45" i="20"/>
  <c r="AA45" i="20"/>
  <c r="AC164" i="20"/>
  <c r="AC148" i="20"/>
  <c r="AC109" i="20"/>
  <c r="AC93" i="20"/>
  <c r="AC62" i="20"/>
  <c r="AD1011" i="20"/>
  <c r="AE1011" i="20" s="1"/>
  <c r="AF1011" i="20" s="1"/>
  <c r="AD1009" i="20"/>
  <c r="AE1021" i="20"/>
  <c r="AF1021" i="20" s="1"/>
  <c r="AA1024" i="20"/>
  <c r="AC1024" i="20" s="1"/>
  <c r="AA1004" i="20"/>
  <c r="AC1004" i="20" s="1"/>
  <c r="AD944" i="20"/>
  <c r="AA997" i="20"/>
  <c r="AC997" i="20" s="1"/>
  <c r="AE984" i="20"/>
  <c r="AF984" i="20" s="1"/>
  <c r="AE971" i="20"/>
  <c r="AE995" i="20"/>
  <c r="AF995" i="20" s="1"/>
  <c r="AG995" i="20" s="1"/>
  <c r="AE963" i="20"/>
  <c r="AD927" i="20"/>
  <c r="AC949" i="20"/>
  <c r="AF955" i="20"/>
  <c r="AF843" i="20"/>
  <c r="AA833" i="20"/>
  <c r="AC833" i="20" s="1"/>
  <c r="AA825" i="20"/>
  <c r="AC825" i="20" s="1"/>
  <c r="AA852" i="20"/>
  <c r="AC852" i="20" s="1"/>
  <c r="AI849" i="20"/>
  <c r="AK849" i="20" s="1"/>
  <c r="AF839" i="20"/>
  <c r="AA826" i="20"/>
  <c r="AC826" i="20" s="1"/>
  <c r="AA818" i="20"/>
  <c r="AC818" i="20" s="1"/>
  <c r="AF845" i="20"/>
  <c r="AA827" i="20"/>
  <c r="AC827" i="20" s="1"/>
  <c r="AA819" i="20"/>
  <c r="AC819" i="20" s="1"/>
  <c r="AE803" i="20"/>
  <c r="AF803" i="20" s="1"/>
  <c r="AA828" i="20"/>
  <c r="AC828" i="20" s="1"/>
  <c r="AA781" i="20"/>
  <c r="AC781" i="20" s="1"/>
  <c r="AA749" i="20"/>
  <c r="AC749" i="20" s="1"/>
  <c r="AF810" i="20"/>
  <c r="AD782" i="20"/>
  <c r="AD705" i="20"/>
  <c r="AE533" i="20"/>
  <c r="AF533" i="20" s="1"/>
  <c r="AF815" i="20"/>
  <c r="AA747" i="20"/>
  <c r="AC747" i="20" s="1"/>
  <c r="AA730" i="20"/>
  <c r="AC730" i="20" s="1"/>
  <c r="AG788" i="20"/>
  <c r="AH788" i="20" s="1"/>
  <c r="AD773" i="20"/>
  <c r="AE773" i="20" s="1"/>
  <c r="AG740" i="20"/>
  <c r="AD708" i="20"/>
  <c r="AE708" i="20" s="1"/>
  <c r="AG790" i="20"/>
  <c r="AH790" i="20" s="1"/>
  <c r="AA761" i="20"/>
  <c r="AC761" i="20" s="1"/>
  <c r="AD692" i="20"/>
  <c r="AE564" i="20"/>
  <c r="AF564" i="20" s="1"/>
  <c r="AD694" i="20"/>
  <c r="AC693" i="20"/>
  <c r="AF605" i="20"/>
  <c r="AA377" i="20"/>
  <c r="AC377" i="20" s="1"/>
  <c r="AA553" i="20"/>
  <c r="AC553" i="20" s="1"/>
  <c r="AA598" i="20"/>
  <c r="AC598" i="20" s="1"/>
  <c r="AF589" i="20"/>
  <c r="AA581" i="20"/>
  <c r="AC581" i="20" s="1"/>
  <c r="AA517" i="20"/>
  <c r="AC517" i="20" s="1"/>
  <c r="AG535" i="20"/>
  <c r="AA572" i="20"/>
  <c r="AC572" i="20" s="1"/>
  <c r="AA540" i="20"/>
  <c r="AC540" i="20" s="1"/>
  <c r="AG144" i="20"/>
  <c r="AH144" i="20" s="1"/>
  <c r="AD466" i="20"/>
  <c r="AA463" i="20"/>
  <c r="AC463" i="20" s="1"/>
  <c r="AE423" i="20"/>
  <c r="AE410" i="20"/>
  <c r="AF410" i="20" s="1"/>
  <c r="AG410" i="20" s="1"/>
  <c r="AH410" i="20" s="1"/>
  <c r="AE518" i="20"/>
  <c r="AF518" i="20" s="1"/>
  <c r="AD506" i="20"/>
  <c r="AD478" i="20"/>
  <c r="AA475" i="20"/>
  <c r="AC475" i="20" s="1"/>
  <c r="AC524" i="20"/>
  <c r="AD454" i="20"/>
  <c r="AD445" i="20"/>
  <c r="AE445" i="20" s="1"/>
  <c r="AD437" i="20"/>
  <c r="AE437" i="20" s="1"/>
  <c r="AF437" i="20" s="1"/>
  <c r="AD429" i="20"/>
  <c r="AE429" i="20" s="1"/>
  <c r="AD415" i="20"/>
  <c r="AE415" i="20" s="1"/>
  <c r="AE341" i="20"/>
  <c r="AD324" i="20"/>
  <c r="AE324" i="20" s="1"/>
  <c r="AC320" i="20"/>
  <c r="AC307" i="20"/>
  <c r="AD407" i="20"/>
  <c r="AE407" i="20" s="1"/>
  <c r="AF407" i="20" s="1"/>
  <c r="AD381" i="20"/>
  <c r="AE381" i="20" s="1"/>
  <c r="AD367" i="20"/>
  <c r="AE367" i="20" s="1"/>
  <c r="AD335" i="20"/>
  <c r="AE335" i="20" s="1"/>
  <c r="AF335" i="20" s="1"/>
  <c r="AC295" i="20"/>
  <c r="AG530" i="20"/>
  <c r="AH530" i="20" s="1"/>
  <c r="AI530" i="20" s="1"/>
  <c r="AK530" i="20" s="1"/>
  <c r="AG372" i="20"/>
  <c r="AD362" i="20"/>
  <c r="AD330" i="20"/>
  <c r="AA319" i="20"/>
  <c r="AC319" i="20" s="1"/>
  <c r="AD311" i="20"/>
  <c r="AE311" i="20" s="1"/>
  <c r="AA306" i="20"/>
  <c r="AC306" i="20" s="1"/>
  <c r="AD284" i="20"/>
  <c r="AA275" i="20"/>
  <c r="AC275" i="20" s="1"/>
  <c r="AA259" i="20"/>
  <c r="AC259" i="20" s="1"/>
  <c r="AG382" i="20"/>
  <c r="AH382" i="20" s="1"/>
  <c r="AG286" i="20"/>
  <c r="AC207" i="20"/>
  <c r="AE345" i="20"/>
  <c r="AG339" i="20"/>
  <c r="AH339" i="20" s="1"/>
  <c r="AG337" i="20"/>
  <c r="AH337" i="20" s="1"/>
  <c r="AD272" i="20"/>
  <c r="AD256" i="20"/>
  <c r="AD198" i="20"/>
  <c r="AE198" i="20" s="1"/>
  <c r="AC179" i="20"/>
  <c r="AG158" i="20"/>
  <c r="AH158" i="20" s="1"/>
  <c r="AI158" i="20" s="1"/>
  <c r="AK158" i="20" s="1"/>
  <c r="AG138" i="20"/>
  <c r="AH138" i="20" s="1"/>
  <c r="AG87" i="20"/>
  <c r="AH87" i="20" s="1"/>
  <c r="AC73" i="20"/>
  <c r="AA73" i="20"/>
  <c r="AD64" i="20"/>
  <c r="AD34" i="20"/>
  <c r="AC92" i="20"/>
  <c r="AC277" i="20"/>
  <c r="AC155" i="20"/>
  <c r="AC135" i="20"/>
  <c r="AC84" i="20"/>
  <c r="AC53" i="20"/>
  <c r="AA53" i="20"/>
  <c r="AC23" i="20"/>
  <c r="AA23" i="20"/>
  <c r="AC21" i="20"/>
  <c r="AE224" i="20"/>
  <c r="AD182" i="20"/>
  <c r="AE182" i="20" s="1"/>
  <c r="AG170" i="20"/>
  <c r="AG154" i="20"/>
  <c r="AH154" i="20" s="1"/>
  <c r="AI154" i="20" s="1"/>
  <c r="AK154" i="20" s="1"/>
  <c r="AG134" i="20"/>
  <c r="AG99" i="20"/>
  <c r="AH99" i="20" s="1"/>
  <c r="AI99" i="20" s="1"/>
  <c r="AK99" i="20" s="1"/>
  <c r="AG83" i="20"/>
  <c r="AD36" i="20"/>
  <c r="AE36" i="20" s="1"/>
  <c r="AF36" i="20" s="1"/>
  <c r="AC15" i="20"/>
  <c r="AC85" i="20"/>
  <c r="AC285" i="20"/>
  <c r="AD186" i="20"/>
  <c r="AE186" i="20" s="1"/>
  <c r="AF186" i="20" s="1"/>
  <c r="AC159" i="20"/>
  <c r="AC139" i="20"/>
  <c r="AC104" i="20"/>
  <c r="AC80" i="20"/>
  <c r="AC67" i="20"/>
  <c r="AC61" i="20"/>
  <c r="AA61" i="20"/>
  <c r="AD942" i="20"/>
  <c r="AE942" i="20" s="1"/>
  <c r="AE817" i="20"/>
  <c r="AE851" i="20"/>
  <c r="AF846" i="20"/>
  <c r="AC799" i="20"/>
  <c r="AC800" i="20"/>
  <c r="AD746" i="20"/>
  <c r="AE746" i="20" s="1"/>
  <c r="AA549" i="20"/>
  <c r="AC549" i="20" s="1"/>
  <c r="AA582" i="20"/>
  <c r="AC582" i="20" s="1"/>
  <c r="AF590" i="20"/>
  <c r="AF588" i="20"/>
  <c r="AA497" i="20"/>
  <c r="AC497" i="20" s="1"/>
  <c r="AG379" i="20"/>
  <c r="AH379" i="20" s="1"/>
  <c r="AC538" i="20"/>
  <c r="AA574" i="20"/>
  <c r="AC574" i="20" s="1"/>
  <c r="AD490" i="20"/>
  <c r="AE490" i="20" s="1"/>
  <c r="AD431" i="20"/>
  <c r="AE416" i="20"/>
  <c r="AF416" i="20" s="1"/>
  <c r="AG416" i="20" s="1"/>
  <c r="AA459" i="20"/>
  <c r="AC459" i="20" s="1"/>
  <c r="AG601" i="20"/>
  <c r="AH601" i="20" s="1"/>
  <c r="AD458" i="20"/>
  <c r="AA455" i="20"/>
  <c r="AC455" i="20" s="1"/>
  <c r="AD443" i="20"/>
  <c r="AG123" i="20"/>
  <c r="AH123" i="20" s="1"/>
  <c r="AA467" i="20"/>
  <c r="AC467" i="20" s="1"/>
  <c r="AD394" i="20"/>
  <c r="AA322" i="20"/>
  <c r="AC322" i="20" s="1"/>
  <c r="AD399" i="20"/>
  <c r="AE399" i="20" s="1"/>
  <c r="AF399" i="20" s="1"/>
  <c r="AE386" i="20"/>
  <c r="AF386" i="20" s="1"/>
  <c r="AE373" i="20"/>
  <c r="AG516" i="20"/>
  <c r="AH516" i="20" s="1"/>
  <c r="AD380" i="20"/>
  <c r="AD343" i="20"/>
  <c r="AD121" i="20"/>
  <c r="AE121" i="20" s="1"/>
  <c r="AA263" i="20"/>
  <c r="AC263" i="20" s="1"/>
  <c r="AD233" i="20"/>
  <c r="AE233" i="20" s="1"/>
  <c r="AD217" i="20"/>
  <c r="AE217" i="20" s="1"/>
  <c r="AD288" i="20"/>
  <c r="AC223" i="20"/>
  <c r="AC293" i="20"/>
  <c r="AD276" i="20"/>
  <c r="AE166" i="20"/>
  <c r="AE150" i="20"/>
  <c r="AF150" i="20" s="1"/>
  <c r="AE111" i="20"/>
  <c r="AE95" i="20"/>
  <c r="AF95" i="20" s="1"/>
  <c r="AE79" i="20"/>
  <c r="AC57" i="20"/>
  <c r="AA57" i="20"/>
  <c r="AD48" i="20"/>
  <c r="AC42" i="20"/>
  <c r="AC27" i="20"/>
  <c r="AA27" i="20"/>
  <c r="AD18" i="20"/>
  <c r="AD13" i="20"/>
  <c r="AC270" i="20"/>
  <c r="AC183" i="20"/>
  <c r="AE60" i="20"/>
  <c r="AF60" i="20" s="1"/>
  <c r="AE30" i="20"/>
  <c r="AE22" i="20"/>
  <c r="AF22" i="20" s="1"/>
  <c r="AD190" i="20"/>
  <c r="AE190" i="20" s="1"/>
  <c r="AD174" i="20"/>
  <c r="AE174" i="20" s="1"/>
  <c r="AE162" i="20"/>
  <c r="AE157" i="20"/>
  <c r="AE146" i="20"/>
  <c r="AF146" i="20" s="1"/>
  <c r="AE107" i="20"/>
  <c r="AE102" i="20"/>
  <c r="AE91" i="20"/>
  <c r="AF91" i="20" s="1"/>
  <c r="AE75" i="20"/>
  <c r="AD72" i="20"/>
  <c r="AE72" i="20" s="1"/>
  <c r="AF72" i="20" s="1"/>
  <c r="AC35" i="20"/>
  <c r="AA35" i="20"/>
  <c r="AD26" i="20"/>
  <c r="AE26" i="20" s="1"/>
  <c r="AF26" i="20" s="1"/>
  <c r="AC20" i="20"/>
  <c r="AC14" i="20"/>
  <c r="AA14" i="20"/>
  <c r="AC32" i="20"/>
  <c r="AC274" i="20"/>
  <c r="AC184" i="20"/>
  <c r="AC156" i="20"/>
  <c r="AC136" i="20"/>
  <c r="AC101" i="20"/>
  <c r="AC77" i="20"/>
  <c r="AG356" i="20" l="1"/>
  <c r="AH356" i="20" s="1"/>
  <c r="AF427" i="20"/>
  <c r="AG427" i="20" s="1"/>
  <c r="AH427" i="20" s="1"/>
  <c r="AE968" i="20"/>
  <c r="AF968" i="20" s="1"/>
  <c r="AG130" i="21"/>
  <c r="AH130" i="21" s="1"/>
  <c r="AJ130" i="21" s="1"/>
  <c r="AG43" i="21"/>
  <c r="AH43" i="21" s="1"/>
  <c r="AE45" i="21"/>
  <c r="AF45" i="21" s="1"/>
  <c r="AH82" i="21"/>
  <c r="AJ82" i="21" s="1"/>
  <c r="AF188" i="21"/>
  <c r="AG188" i="21" s="1"/>
  <c r="AD12" i="21"/>
  <c r="AE118" i="21"/>
  <c r="AF118" i="21" s="1"/>
  <c r="AG118" i="21" s="1"/>
  <c r="AH182" i="21"/>
  <c r="AJ182" i="21" s="1"/>
  <c r="AG109" i="21"/>
  <c r="AH109" i="21" s="1"/>
  <c r="AJ109" i="21" s="1"/>
  <c r="J15" i="23"/>
  <c r="H16" i="23"/>
  <c r="M16" i="23" s="1"/>
  <c r="N16" i="23" s="1"/>
  <c r="O16" i="23" s="1"/>
  <c r="O15" i="23"/>
  <c r="R15" i="23"/>
  <c r="R16" i="23" s="1"/>
  <c r="R17" i="23" s="1"/>
  <c r="R18" i="23" s="1"/>
  <c r="R19" i="23" s="1"/>
  <c r="R20" i="23" s="1"/>
  <c r="R31" i="24"/>
  <c r="U31" i="24" s="1"/>
  <c r="W31" i="24" s="1"/>
  <c r="H32" i="24"/>
  <c r="M32" i="24" s="1"/>
  <c r="N32" i="24" s="1"/>
  <c r="H33" i="24" s="1"/>
  <c r="M33" i="24" s="1"/>
  <c r="N33" i="24" s="1"/>
  <c r="J33" i="24" s="1"/>
  <c r="O31" i="24"/>
  <c r="AG332" i="20"/>
  <c r="AH332" i="20" s="1"/>
  <c r="AI332" i="20" s="1"/>
  <c r="AK332" i="20" s="1"/>
  <c r="AG234" i="20"/>
  <c r="AH234" i="20" s="1"/>
  <c r="AI234" i="20" s="1"/>
  <c r="AK234" i="20" s="1"/>
  <c r="AG793" i="20"/>
  <c r="AH793" i="20" s="1"/>
  <c r="AI793" i="20" s="1"/>
  <c r="AK793" i="20" s="1"/>
  <c r="AG716" i="20"/>
  <c r="AH716" i="20" s="1"/>
  <c r="AE403" i="20"/>
  <c r="AF403" i="20" s="1"/>
  <c r="AE432" i="20"/>
  <c r="AF432" i="20" s="1"/>
  <c r="AE727" i="20"/>
  <c r="AF727" i="20" s="1"/>
  <c r="AG727" i="20" s="1"/>
  <c r="AH727" i="20" s="1"/>
  <c r="AI727" i="20" s="1"/>
  <c r="AK727" i="20" s="1"/>
  <c r="AE400" i="20"/>
  <c r="AF400" i="20" s="1"/>
  <c r="AF398" i="20"/>
  <c r="AG398" i="20" s="1"/>
  <c r="AH398" i="20" s="1"/>
  <c r="AE464" i="20"/>
  <c r="AF464" i="20" s="1"/>
  <c r="AF711" i="20"/>
  <c r="AG711" i="20" s="1"/>
  <c r="AH711" i="20" s="1"/>
  <c r="AI711" i="20" s="1"/>
  <c r="AK711" i="20" s="1"/>
  <c r="AG333" i="20"/>
  <c r="AH333" i="20" s="1"/>
  <c r="AI333" i="20" s="1"/>
  <c r="AK333" i="20" s="1"/>
  <c r="AE94" i="20"/>
  <c r="AF94" i="20" s="1"/>
  <c r="AE935" i="20"/>
  <c r="AF935" i="20" s="1"/>
  <c r="AG935" i="20" s="1"/>
  <c r="AE347" i="20"/>
  <c r="AF347" i="20" s="1"/>
  <c r="AG347" i="20" s="1"/>
  <c r="AG953" i="20"/>
  <c r="AH953" i="20" s="1"/>
  <c r="AE363" i="20"/>
  <c r="AF363" i="20" s="1"/>
  <c r="AE142" i="20"/>
  <c r="AF142" i="20" s="1"/>
  <c r="AG142" i="20" s="1"/>
  <c r="AH142" i="20" s="1"/>
  <c r="AE340" i="20"/>
  <c r="AF340" i="20" s="1"/>
  <c r="AG340" i="20" s="1"/>
  <c r="AE197" i="20"/>
  <c r="AF197" i="20" s="1"/>
  <c r="AG355" i="20"/>
  <c r="AH355" i="20" s="1"/>
  <c r="AI355" i="20" s="1"/>
  <c r="AK355" i="20" s="1"/>
  <c r="AE442" i="20"/>
  <c r="AF442" i="20" s="1"/>
  <c r="AE98" i="20"/>
  <c r="AF98" i="20" s="1"/>
  <c r="AE958" i="20"/>
  <c r="AF958" i="20" s="1"/>
  <c r="AG958" i="20" s="1"/>
  <c r="AH958" i="20" s="1"/>
  <c r="AE397" i="20"/>
  <c r="AF397" i="20" s="1"/>
  <c r="AG397" i="20" s="1"/>
  <c r="AE418" i="20"/>
  <c r="AF418" i="20" s="1"/>
  <c r="AG418" i="20" s="1"/>
  <c r="AF742" i="20"/>
  <c r="AG742" i="20" s="1"/>
  <c r="AH742" i="20" s="1"/>
  <c r="AE161" i="20"/>
  <c r="AF161" i="20" s="1"/>
  <c r="AG161" i="20" s="1"/>
  <c r="AG195" i="20"/>
  <c r="AH195" i="20" s="1"/>
  <c r="AI195" i="20" s="1"/>
  <c r="AK195" i="20" s="1"/>
  <c r="AG191" i="20"/>
  <c r="AH191" i="20" s="1"/>
  <c r="AE926" i="20"/>
  <c r="AF926" i="20" s="1"/>
  <c r="AG926" i="20" s="1"/>
  <c r="AE137" i="20"/>
  <c r="AF137" i="20" s="1"/>
  <c r="AE245" i="20"/>
  <c r="AF245" i="20" s="1"/>
  <c r="AG245" i="20" s="1"/>
  <c r="AE193" i="20"/>
  <c r="AF193" i="20" s="1"/>
  <c r="AE149" i="20"/>
  <c r="AF149" i="20" s="1"/>
  <c r="AE169" i="20"/>
  <c r="AF169" i="20" s="1"/>
  <c r="AF791" i="20"/>
  <c r="AG791" i="20" s="1"/>
  <c r="AH791" i="20" s="1"/>
  <c r="AI791" i="20" s="1"/>
  <c r="AK791" i="20" s="1"/>
  <c r="AI356" i="20"/>
  <c r="AK356" i="20" s="1"/>
  <c r="AE1000" i="20"/>
  <c r="AF1000" i="20" s="1"/>
  <c r="AE199" i="20"/>
  <c r="AF199" i="20" s="1"/>
  <c r="AG365" i="20"/>
  <c r="AH365" i="20" s="1"/>
  <c r="AI365" i="20" s="1"/>
  <c r="AK365" i="20" s="1"/>
  <c r="AE1019" i="20"/>
  <c r="AF1019" i="20" s="1"/>
  <c r="AE90" i="20"/>
  <c r="AF90" i="20" s="1"/>
  <c r="AG90" i="20" s="1"/>
  <c r="AE406" i="20"/>
  <c r="AF406" i="20" s="1"/>
  <c r="AE86" i="20"/>
  <c r="AF86" i="20" s="1"/>
  <c r="AG86" i="20" s="1"/>
  <c r="AH86" i="20" s="1"/>
  <c r="AG103" i="20"/>
  <c r="AH103" i="20" s="1"/>
  <c r="AI103" i="20" s="1"/>
  <c r="AK103" i="20" s="1"/>
  <c r="AF738" i="20"/>
  <c r="AG738" i="20" s="1"/>
  <c r="AE175" i="20"/>
  <c r="AF175" i="20" s="1"/>
  <c r="AE173" i="20"/>
  <c r="AF173" i="20" s="1"/>
  <c r="AD294" i="20"/>
  <c r="AG409" i="20"/>
  <c r="AH409" i="20" s="1"/>
  <c r="AE82" i="20"/>
  <c r="AF82" i="20" s="1"/>
  <c r="AH387" i="20"/>
  <c r="AI387" i="20" s="1"/>
  <c r="AK387" i="20" s="1"/>
  <c r="AE951" i="20"/>
  <c r="AF951" i="20" s="1"/>
  <c r="AE404" i="20"/>
  <c r="AF404" i="20" s="1"/>
  <c r="AF220" i="20"/>
  <c r="AG220" i="20" s="1"/>
  <c r="AF296" i="20"/>
  <c r="AG296" i="20" s="1"/>
  <c r="AH296" i="20" s="1"/>
  <c r="AI296" i="20" s="1"/>
  <c r="AK296" i="20" s="1"/>
  <c r="AE956" i="20"/>
  <c r="AF956" i="20" s="1"/>
  <c r="AE983" i="20"/>
  <c r="AF983" i="20" s="1"/>
  <c r="AG983" i="20" s="1"/>
  <c r="AH983" i="20" s="1"/>
  <c r="AI983" i="20" s="1"/>
  <c r="AK983" i="20" s="1"/>
  <c r="AF1008" i="20"/>
  <c r="AG1008" i="20" s="1"/>
  <c r="AE204" i="20"/>
  <c r="AF204" i="20" s="1"/>
  <c r="AG967" i="20"/>
  <c r="AH967" i="20" s="1"/>
  <c r="AI967" i="20" s="1"/>
  <c r="AK967" i="20" s="1"/>
  <c r="AE420" i="20"/>
  <c r="AF420" i="20" s="1"/>
  <c r="AE975" i="20"/>
  <c r="AF975" i="20" s="1"/>
  <c r="AE976" i="20"/>
  <c r="AF976" i="20" s="1"/>
  <c r="AE240" i="20"/>
  <c r="AF240" i="20" s="1"/>
  <c r="AE724" i="20"/>
  <c r="AF724" i="20" s="1"/>
  <c r="AG724" i="20" s="1"/>
  <c r="AF943" i="20"/>
  <c r="AG943" i="20" s="1"/>
  <c r="AH943" i="20" s="1"/>
  <c r="AE1006" i="20"/>
  <c r="AF1006" i="20" s="1"/>
  <c r="AE177" i="20"/>
  <c r="AF177" i="20" s="1"/>
  <c r="AG1005" i="20"/>
  <c r="AH1005" i="20" s="1"/>
  <c r="AE719" i="20"/>
  <c r="AF719" i="20" s="1"/>
  <c r="AE214" i="20"/>
  <c r="AF214" i="20" s="1"/>
  <c r="AE106" i="20"/>
  <c r="AF106" i="20" s="1"/>
  <c r="AG106" i="20" s="1"/>
  <c r="AE189" i="20"/>
  <c r="AF189" i="20" s="1"/>
  <c r="AE133" i="20"/>
  <c r="AF133" i="20" s="1"/>
  <c r="AG133" i="20" s="1"/>
  <c r="AH133" i="20" s="1"/>
  <c r="AI133" i="20" s="1"/>
  <c r="AK133" i="20" s="1"/>
  <c r="AE171" i="20"/>
  <c r="AF171" i="20" s="1"/>
  <c r="AG329" i="20"/>
  <c r="AH329" i="20" s="1"/>
  <c r="AF991" i="20"/>
  <c r="AG991" i="20" s="1"/>
  <c r="AE153" i="20"/>
  <c r="AF153" i="20" s="1"/>
  <c r="AF402" i="20"/>
  <c r="AG402" i="20" s="1"/>
  <c r="AH402" i="20" s="1"/>
  <c r="AG401" i="20"/>
  <c r="AH401" i="20" s="1"/>
  <c r="AG411" i="20"/>
  <c r="AH411" i="20" s="1"/>
  <c r="AE446" i="20"/>
  <c r="AF446" i="20" s="1"/>
  <c r="AG446" i="20" s="1"/>
  <c r="AE928" i="20"/>
  <c r="AF928" i="20" s="1"/>
  <c r="AG928" i="20" s="1"/>
  <c r="AH928" i="20" s="1"/>
  <c r="AI928" i="20" s="1"/>
  <c r="AK928" i="20" s="1"/>
  <c r="AG961" i="20"/>
  <c r="AH961" i="20" s="1"/>
  <c r="AG756" i="20"/>
  <c r="AH756" i="20" s="1"/>
  <c r="AE734" i="20"/>
  <c r="AF734" i="20" s="1"/>
  <c r="AG734" i="20" s="1"/>
  <c r="AC924" i="20"/>
  <c r="AF1001" i="20"/>
  <c r="AG1001" i="20" s="1"/>
  <c r="AH1001" i="20" s="1"/>
  <c r="AD994" i="20"/>
  <c r="AE994" i="20" s="1"/>
  <c r="AF994" i="20" s="1"/>
  <c r="AE809" i="20"/>
  <c r="AG334" i="20"/>
  <c r="AH334" i="20" s="1"/>
  <c r="AI334" i="20" s="1"/>
  <c r="AK334" i="20" s="1"/>
  <c r="AG376" i="20"/>
  <c r="AH376" i="20" s="1"/>
  <c r="AD374" i="20"/>
  <c r="AE374" i="20" s="1"/>
  <c r="AF374" i="20" s="1"/>
  <c r="AG374" i="20" s="1"/>
  <c r="AD408" i="20"/>
  <c r="AE408" i="20" s="1"/>
  <c r="AF408" i="20" s="1"/>
  <c r="AG408" i="20" s="1"/>
  <c r="AF797" i="20"/>
  <c r="AG797" i="20" s="1"/>
  <c r="AH797" i="20" s="1"/>
  <c r="AI797" i="20" s="1"/>
  <c r="AK797" i="20" s="1"/>
  <c r="AF429" i="20"/>
  <c r="AG429" i="20" s="1"/>
  <c r="AH429" i="20" s="1"/>
  <c r="AI429" i="20" s="1"/>
  <c r="AK429" i="20" s="1"/>
  <c r="AF456" i="20"/>
  <c r="AG456" i="20" s="1"/>
  <c r="AF482" i="20"/>
  <c r="AG482" i="20" s="1"/>
  <c r="AH482" i="20" s="1"/>
  <c r="AD348" i="20"/>
  <c r="AE348" i="20" s="1"/>
  <c r="AF105" i="20"/>
  <c r="AG105" i="20" s="1"/>
  <c r="AI536" i="20"/>
  <c r="AK536" i="20" s="1"/>
  <c r="AF1003" i="20"/>
  <c r="AG1003" i="20" s="1"/>
  <c r="AH1003" i="20" s="1"/>
  <c r="AI1003" i="20" s="1"/>
  <c r="AK1003" i="20" s="1"/>
  <c r="AF494" i="20"/>
  <c r="AG494" i="20" s="1"/>
  <c r="AH494" i="20" s="1"/>
  <c r="AF176" i="20"/>
  <c r="AG176" i="20" s="1"/>
  <c r="AF243" i="20"/>
  <c r="AG243" i="20" s="1"/>
  <c r="AH243" i="20" s="1"/>
  <c r="AE996" i="20"/>
  <c r="AF996" i="20" s="1"/>
  <c r="AD209" i="20"/>
  <c r="AE209" i="20" s="1"/>
  <c r="AF209" i="20" s="1"/>
  <c r="AF180" i="20"/>
  <c r="AG180" i="20" s="1"/>
  <c r="AE48" i="20"/>
  <c r="AF48" i="20" s="1"/>
  <c r="AG48" i="20" s="1"/>
  <c r="AH48" i="20" s="1"/>
  <c r="AI48" i="20" s="1"/>
  <c r="AK48" i="20" s="1"/>
  <c r="AF121" i="20"/>
  <c r="AG121" i="20" s="1"/>
  <c r="AI516" i="20"/>
  <c r="AK516" i="20" s="1"/>
  <c r="AD780" i="20"/>
  <c r="AG947" i="20"/>
  <c r="AG369" i="20"/>
  <c r="AG52" i="20"/>
  <c r="AH52" i="20" s="1"/>
  <c r="AG998" i="20"/>
  <c r="AH998" i="20" s="1"/>
  <c r="AI998" i="20" s="1"/>
  <c r="AK998" i="20" s="1"/>
  <c r="AE33" i="20"/>
  <c r="AF33" i="20" s="1"/>
  <c r="AG33" i="20" s="1"/>
  <c r="AH33" i="20" s="1"/>
  <c r="AI33" i="20" s="1"/>
  <c r="AK33" i="20" s="1"/>
  <c r="AH310" i="20"/>
  <c r="AI310" i="20" s="1"/>
  <c r="AK310" i="20" s="1"/>
  <c r="AI601" i="20"/>
  <c r="AK601" i="20" s="1"/>
  <c r="AF965" i="20"/>
  <c r="AG965" i="20" s="1"/>
  <c r="AH965" i="20" s="1"/>
  <c r="AI965" i="20" s="1"/>
  <c r="AK965" i="20" s="1"/>
  <c r="AE512" i="20"/>
  <c r="AF512" i="20" s="1"/>
  <c r="AG512" i="20" s="1"/>
  <c r="AH512" i="20" s="1"/>
  <c r="AD986" i="20"/>
  <c r="AE986" i="20" s="1"/>
  <c r="AD473" i="20"/>
  <c r="AE473" i="20" s="1"/>
  <c r="AD495" i="20"/>
  <c r="AH208" i="20"/>
  <c r="AI208" i="20" s="1"/>
  <c r="AK208" i="20" s="1"/>
  <c r="AF303" i="20"/>
  <c r="AG303" i="20" s="1"/>
  <c r="AH303" i="20" s="1"/>
  <c r="AI303" i="20" s="1"/>
  <c r="AK303" i="20" s="1"/>
  <c r="AI123" i="20"/>
  <c r="AK123" i="20" s="1"/>
  <c r="AI379" i="20"/>
  <c r="AK379" i="20" s="1"/>
  <c r="AF746" i="20"/>
  <c r="AG746" i="20" s="1"/>
  <c r="AE731" i="20"/>
  <c r="AF731" i="20" s="1"/>
  <c r="AF182" i="20"/>
  <c r="AG182" i="20" s="1"/>
  <c r="AD970" i="20"/>
  <c r="AE970" i="20" s="1"/>
  <c r="AI339" i="20"/>
  <c r="AK339" i="20" s="1"/>
  <c r="AF367" i="20"/>
  <c r="AG367" i="20" s="1"/>
  <c r="AF415" i="20"/>
  <c r="AG415" i="20" s="1"/>
  <c r="AH415" i="20" s="1"/>
  <c r="AI415" i="20" s="1"/>
  <c r="AK415" i="20" s="1"/>
  <c r="AF445" i="20"/>
  <c r="AG445" i="20" s="1"/>
  <c r="AH445" i="20" s="1"/>
  <c r="AI445" i="20" s="1"/>
  <c r="AK445" i="20" s="1"/>
  <c r="AF312" i="20"/>
  <c r="AG312" i="20" s="1"/>
  <c r="AH312" i="20" s="1"/>
  <c r="AG304" i="20"/>
  <c r="AH304" i="20" s="1"/>
  <c r="AI304" i="20" s="1"/>
  <c r="AK304" i="20" s="1"/>
  <c r="AH527" i="20"/>
  <c r="AI527" i="20" s="1"/>
  <c r="AK527" i="20" s="1"/>
  <c r="AI760" i="20"/>
  <c r="AK760" i="20" s="1"/>
  <c r="AI528" i="20"/>
  <c r="AK528" i="20" s="1"/>
  <c r="AI433" i="20"/>
  <c r="AK433" i="20" s="1"/>
  <c r="AG438" i="20"/>
  <c r="AH438" i="20" s="1"/>
  <c r="AI438" i="20" s="1"/>
  <c r="AK438" i="20" s="1"/>
  <c r="AH802" i="20"/>
  <c r="AI802" i="20" s="1"/>
  <c r="AK802" i="20" s="1"/>
  <c r="AF962" i="20"/>
  <c r="AG962" i="20" s="1"/>
  <c r="AH962" i="20" s="1"/>
  <c r="AF702" i="20"/>
  <c r="AG702" i="20" s="1"/>
  <c r="AH702" i="20" s="1"/>
  <c r="AI702" i="20" s="1"/>
  <c r="AK702" i="20" s="1"/>
  <c r="AD941" i="20"/>
  <c r="AE941" i="20" s="1"/>
  <c r="AF941" i="20" s="1"/>
  <c r="AD385" i="20"/>
  <c r="AD300" i="20"/>
  <c r="AE300" i="20" s="1"/>
  <c r="AD950" i="20"/>
  <c r="AH511" i="20"/>
  <c r="AI511" i="20" s="1"/>
  <c r="AK511" i="20" s="1"/>
  <c r="AF227" i="20"/>
  <c r="AG227" i="20" s="1"/>
  <c r="AH227" i="20" s="1"/>
  <c r="AE981" i="20"/>
  <c r="AF981" i="20" s="1"/>
  <c r="AG981" i="20" s="1"/>
  <c r="AF759" i="20"/>
  <c r="AG759" i="20" s="1"/>
  <c r="AH759" i="20" s="1"/>
  <c r="AG992" i="20"/>
  <c r="AH992" i="20" s="1"/>
  <c r="AI992" i="20" s="1"/>
  <c r="AK992" i="20" s="1"/>
  <c r="AE938" i="20"/>
  <c r="AF938" i="20" s="1"/>
  <c r="AG938" i="20" s="1"/>
  <c r="AH938" i="20" s="1"/>
  <c r="AI938" i="20" s="1"/>
  <c r="AK938" i="20" s="1"/>
  <c r="AE698" i="20"/>
  <c r="AF698" i="20" s="1"/>
  <c r="AE718" i="20"/>
  <c r="AF718" i="20" s="1"/>
  <c r="AE762" i="20"/>
  <c r="AF762" i="20" s="1"/>
  <c r="AD225" i="20"/>
  <c r="AE225" i="20" s="1"/>
  <c r="AD426" i="20"/>
  <c r="AE426" i="20" s="1"/>
  <c r="AD226" i="20"/>
  <c r="AE226" i="20" s="1"/>
  <c r="AD978" i="20"/>
  <c r="AD181" i="20"/>
  <c r="AE181" i="20" s="1"/>
  <c r="AF181" i="20" s="1"/>
  <c r="AD321" i="20"/>
  <c r="AI337" i="20"/>
  <c r="AK337" i="20" s="1"/>
  <c r="AE344" i="20"/>
  <c r="AF344" i="20" s="1"/>
  <c r="AG344" i="20" s="1"/>
  <c r="AH344" i="20" s="1"/>
  <c r="AF381" i="20"/>
  <c r="AG381" i="20" s="1"/>
  <c r="AH381" i="20" s="1"/>
  <c r="AE112" i="20"/>
  <c r="AF112" i="20" s="1"/>
  <c r="AE454" i="20"/>
  <c r="AF454" i="20" s="1"/>
  <c r="AG454" i="20" s="1"/>
  <c r="AH454" i="20" s="1"/>
  <c r="AH740" i="20"/>
  <c r="AI740" i="20" s="1"/>
  <c r="AK740" i="20" s="1"/>
  <c r="AH342" i="20"/>
  <c r="AI342" i="20" s="1"/>
  <c r="AK342" i="20" s="1"/>
  <c r="AH542" i="20"/>
  <c r="AI542" i="20" s="1"/>
  <c r="AK542" i="20" s="1"/>
  <c r="AF502" i="20"/>
  <c r="AG502" i="20" s="1"/>
  <c r="AH502" i="20" s="1"/>
  <c r="AI502" i="20" s="1"/>
  <c r="AK502" i="20" s="1"/>
  <c r="AH701" i="20"/>
  <c r="AI701" i="20" s="1"/>
  <c r="AK701" i="20" s="1"/>
  <c r="AF770" i="20"/>
  <c r="AG770" i="20" s="1"/>
  <c r="AF779" i="20"/>
  <c r="AG779" i="20" s="1"/>
  <c r="AH779" i="20" s="1"/>
  <c r="AI779" i="20" s="1"/>
  <c r="AK779" i="20" s="1"/>
  <c r="AE725" i="20"/>
  <c r="AF725" i="20" s="1"/>
  <c r="AE360" i="20"/>
  <c r="AF360" i="20" s="1"/>
  <c r="AG360" i="20" s="1"/>
  <c r="AH736" i="20"/>
  <c r="AI736" i="20" s="1"/>
  <c r="AK736" i="20" s="1"/>
  <c r="AI753" i="20"/>
  <c r="AK753" i="20" s="1"/>
  <c r="AE952" i="20"/>
  <c r="AF952" i="20" s="1"/>
  <c r="AE980" i="20"/>
  <c r="AF980" i="20" s="1"/>
  <c r="AG980" i="20" s="1"/>
  <c r="AH980" i="20" s="1"/>
  <c r="AF487" i="20"/>
  <c r="AF757" i="20"/>
  <c r="AG757" i="20" s="1"/>
  <c r="AH757" i="20" s="1"/>
  <c r="AD308" i="20"/>
  <c r="AE308" i="20" s="1"/>
  <c r="AF308" i="20" s="1"/>
  <c r="AD484" i="20"/>
  <c r="AF198" i="20"/>
  <c r="AG198" i="20" s="1"/>
  <c r="AH198" i="20" s="1"/>
  <c r="AI382" i="20"/>
  <c r="AK382" i="20" s="1"/>
  <c r="AF324" i="20"/>
  <c r="AG324" i="20" s="1"/>
  <c r="AH324" i="20" s="1"/>
  <c r="AI324" i="20" s="1"/>
  <c r="AK324" i="20" s="1"/>
  <c r="AE375" i="20"/>
  <c r="AF375" i="20" s="1"/>
  <c r="AI703" i="20"/>
  <c r="AK703" i="20" s="1"/>
  <c r="AI969" i="20"/>
  <c r="AK969" i="20" s="1"/>
  <c r="AF389" i="20"/>
  <c r="AG389" i="20" s="1"/>
  <c r="AF772" i="20"/>
  <c r="AG772" i="20" s="1"/>
  <c r="AH772" i="20" s="1"/>
  <c r="AI772" i="20" s="1"/>
  <c r="AK772" i="20" s="1"/>
  <c r="AF755" i="20"/>
  <c r="AG755" i="20" s="1"/>
  <c r="AH755" i="20" s="1"/>
  <c r="AI755" i="20" s="1"/>
  <c r="AK755" i="20" s="1"/>
  <c r="AF721" i="20"/>
  <c r="AG721" i="20" s="1"/>
  <c r="AH721" i="20" s="1"/>
  <c r="AI721" i="20" s="1"/>
  <c r="AK721" i="20" s="1"/>
  <c r="AF964" i="20"/>
  <c r="AG964" i="20" s="1"/>
  <c r="AH964" i="20" s="1"/>
  <c r="AI964" i="20" s="1"/>
  <c r="AK964" i="20" s="1"/>
  <c r="AF477" i="20"/>
  <c r="AG477" i="20" s="1"/>
  <c r="AH477" i="20" s="1"/>
  <c r="AI477" i="20" s="1"/>
  <c r="AK477" i="20" s="1"/>
  <c r="AE498" i="20"/>
  <c r="AF498" i="20" s="1"/>
  <c r="AG498" i="20" s="1"/>
  <c r="AH498" i="20" s="1"/>
  <c r="AD384" i="20"/>
  <c r="AE384" i="20" s="1"/>
  <c r="AD187" i="20"/>
  <c r="AG510" i="20"/>
  <c r="AH510" i="20" s="1"/>
  <c r="AI510" i="20" s="1"/>
  <c r="AK510" i="20" s="1"/>
  <c r="AD210" i="20"/>
  <c r="AD322" i="20"/>
  <c r="AF490" i="20"/>
  <c r="AG490" i="20" s="1"/>
  <c r="AH490" i="20" s="1"/>
  <c r="AE827" i="20"/>
  <c r="AE826" i="20"/>
  <c r="AF826" i="20" s="1"/>
  <c r="AG395" i="20"/>
  <c r="AH395" i="20" s="1"/>
  <c r="AI395" i="20" s="1"/>
  <c r="AK395" i="20" s="1"/>
  <c r="AD752" i="20"/>
  <c r="AF842" i="20"/>
  <c r="AE808" i="20"/>
  <c r="AD254" i="20"/>
  <c r="AG331" i="20"/>
  <c r="AH331" i="20" s="1"/>
  <c r="AF305" i="20"/>
  <c r="AG305" i="20" s="1"/>
  <c r="AH305" i="20" s="1"/>
  <c r="AG357" i="20"/>
  <c r="AE507" i="20"/>
  <c r="AG450" i="20"/>
  <c r="AH450" i="20" s="1"/>
  <c r="AI450" i="20" s="1"/>
  <c r="AK450" i="20" s="1"/>
  <c r="AE548" i="20"/>
  <c r="AF548" i="20" s="1"/>
  <c r="AD481" i="20"/>
  <c r="AE829" i="20"/>
  <c r="AF829" i="20" s="1"/>
  <c r="AE574" i="20"/>
  <c r="AF574" i="20" s="1"/>
  <c r="AF582" i="20"/>
  <c r="AD306" i="20"/>
  <c r="AE306" i="20" s="1"/>
  <c r="AD761" i="20"/>
  <c r="AD730" i="20"/>
  <c r="AE730" i="20" s="1"/>
  <c r="AF786" i="20"/>
  <c r="AG786" i="20" s="1"/>
  <c r="AH786" i="20" s="1"/>
  <c r="AG229" i="20"/>
  <c r="AH229" i="20" s="1"/>
  <c r="AI229" i="20" s="1"/>
  <c r="AK229" i="20" s="1"/>
  <c r="AG349" i="20"/>
  <c r="AE529" i="20"/>
  <c r="AF529" i="20" s="1"/>
  <c r="AD480" i="20"/>
  <c r="AE480" i="20" s="1"/>
  <c r="AE552" i="20"/>
  <c r="AF552" i="20" s="1"/>
  <c r="AF594" i="20"/>
  <c r="AD1020" i="20"/>
  <c r="AF318" i="20"/>
  <c r="AG318" i="20" s="1"/>
  <c r="AH318" i="20" s="1"/>
  <c r="AD706" i="20"/>
  <c r="AE706" i="20" s="1"/>
  <c r="AE824" i="20"/>
  <c r="AF824" i="20" s="1"/>
  <c r="AE823" i="20"/>
  <c r="AG977" i="20"/>
  <c r="AE544" i="20"/>
  <c r="AF544" i="20" s="1"/>
  <c r="AF783" i="20"/>
  <c r="AG783" i="20" s="1"/>
  <c r="AH783" i="20" s="1"/>
  <c r="AD467" i="20"/>
  <c r="AE549" i="20"/>
  <c r="AF549" i="20" s="1"/>
  <c r="AF311" i="20"/>
  <c r="AG311" i="20" s="1"/>
  <c r="AH311" i="20" s="1"/>
  <c r="AI410" i="20"/>
  <c r="AK410" i="20" s="1"/>
  <c r="AF486" i="20"/>
  <c r="AG486" i="20" s="1"/>
  <c r="AH486" i="20" s="1"/>
  <c r="AD1004" i="20"/>
  <c r="AG425" i="20"/>
  <c r="AE543" i="20"/>
  <c r="AF543" i="20" s="1"/>
  <c r="AE141" i="20"/>
  <c r="AF141" i="20" s="1"/>
  <c r="AD1016" i="20"/>
  <c r="AE551" i="20"/>
  <c r="AF551" i="20" s="1"/>
  <c r="AE832" i="20"/>
  <c r="AF832" i="20" s="1"/>
  <c r="AF244" i="20"/>
  <c r="AG244" i="20" s="1"/>
  <c r="AH244" i="20" s="1"/>
  <c r="AH609" i="20"/>
  <c r="AI609" i="20" s="1"/>
  <c r="AK609" i="20" s="1"/>
  <c r="AI767" i="20"/>
  <c r="AK767" i="20" s="1"/>
  <c r="AE831" i="20"/>
  <c r="AE539" i="20"/>
  <c r="AF539" i="20" s="1"/>
  <c r="AF1014" i="20"/>
  <c r="AG1014" i="20" s="1"/>
  <c r="AD781" i="20"/>
  <c r="AE781" i="20" s="1"/>
  <c r="AF781" i="20" s="1"/>
  <c r="AE575" i="20"/>
  <c r="AF575" i="20" s="1"/>
  <c r="AF784" i="20"/>
  <c r="AG784" i="20" s="1"/>
  <c r="AH784" i="20" s="1"/>
  <c r="AD263" i="20"/>
  <c r="AF942" i="20"/>
  <c r="AG942" i="20" s="1"/>
  <c r="AH942" i="20" s="1"/>
  <c r="AD319" i="20"/>
  <c r="AF38" i="20"/>
  <c r="AG38" i="20" s="1"/>
  <c r="AH38" i="20" s="1"/>
  <c r="AE572" i="20"/>
  <c r="AF572" i="20" s="1"/>
  <c r="AF708" i="20"/>
  <c r="AG708" i="20" s="1"/>
  <c r="AD749" i="20"/>
  <c r="AE749" i="20" s="1"/>
  <c r="AF749" i="20" s="1"/>
  <c r="AE819" i="20"/>
  <c r="AF819" i="20" s="1"/>
  <c r="AE818" i="20"/>
  <c r="AD283" i="20"/>
  <c r="AE283" i="20" s="1"/>
  <c r="AE554" i="20"/>
  <c r="AF554" i="20" s="1"/>
  <c r="AE541" i="20"/>
  <c r="AF541" i="20" s="1"/>
  <c r="AD714" i="20"/>
  <c r="AD768" i="20"/>
  <c r="AD238" i="20"/>
  <c r="AE238" i="20" s="1"/>
  <c r="AF212" i="20"/>
  <c r="AG212" i="20" s="1"/>
  <c r="AH212" i="20" s="1"/>
  <c r="AF297" i="20"/>
  <c r="AG297" i="20" s="1"/>
  <c r="AH297" i="20" s="1"/>
  <c r="AD491" i="20"/>
  <c r="AF114" i="20"/>
  <c r="AE513" i="20"/>
  <c r="AD722" i="20"/>
  <c r="AE722" i="20" s="1"/>
  <c r="AF722" i="20" s="1"/>
  <c r="AE821" i="20"/>
  <c r="AD101" i="20"/>
  <c r="AE101" i="20" s="1"/>
  <c r="AD35" i="20"/>
  <c r="AD42" i="20"/>
  <c r="AE42" i="20" s="1"/>
  <c r="AD459" i="20"/>
  <c r="AE538" i="20"/>
  <c r="AF538" i="20" s="1"/>
  <c r="AD497" i="20"/>
  <c r="AG590" i="20"/>
  <c r="AH590" i="20" s="1"/>
  <c r="AI590" i="20" s="1"/>
  <c r="AK590" i="20" s="1"/>
  <c r="AE799" i="20"/>
  <c r="AF799" i="20" s="1"/>
  <c r="AD61" i="20"/>
  <c r="AD80" i="20"/>
  <c r="AE80" i="20" s="1"/>
  <c r="AD85" i="20"/>
  <c r="AE85" i="20" s="1"/>
  <c r="AD275" i="20"/>
  <c r="AD307" i="20"/>
  <c r="AE307" i="20" s="1"/>
  <c r="AF307" i="20" s="1"/>
  <c r="AD475" i="20"/>
  <c r="AD463" i="20"/>
  <c r="AE540" i="20"/>
  <c r="AF540" i="20" s="1"/>
  <c r="AE517" i="20"/>
  <c r="AF517" i="20" s="1"/>
  <c r="AF598" i="20"/>
  <c r="AE553" i="20"/>
  <c r="AF553" i="20" s="1"/>
  <c r="AE377" i="20"/>
  <c r="AF377" i="20" s="1"/>
  <c r="AG605" i="20"/>
  <c r="AH605" i="20" s="1"/>
  <c r="AI605" i="20" s="1"/>
  <c r="AK605" i="20" s="1"/>
  <c r="AG585" i="20"/>
  <c r="AH585" i="20" s="1"/>
  <c r="AI585" i="20" s="1"/>
  <c r="AK585" i="20" s="1"/>
  <c r="AD747" i="20"/>
  <c r="AE747" i="20" s="1"/>
  <c r="AE828" i="20"/>
  <c r="AG845" i="20"/>
  <c r="AH845" i="20" s="1"/>
  <c r="AI845" i="20" s="1"/>
  <c r="AK845" i="20" s="1"/>
  <c r="AF833" i="20"/>
  <c r="AG835" i="20"/>
  <c r="AH835" i="20" s="1"/>
  <c r="AI835" i="20" s="1"/>
  <c r="AK835" i="20" s="1"/>
  <c r="AD93" i="20"/>
  <c r="AD51" i="20"/>
  <c r="AE51" i="20" s="1"/>
  <c r="AF51" i="20" s="1"/>
  <c r="AD255" i="20"/>
  <c r="AD313" i="20"/>
  <c r="AE515" i="20"/>
  <c r="AF515" i="20" s="1"/>
  <c r="AD489" i="20"/>
  <c r="AG602" i="20"/>
  <c r="AH602" i="20" s="1"/>
  <c r="AI602" i="20" s="1"/>
  <c r="AK602" i="20" s="1"/>
  <c r="AD697" i="20"/>
  <c r="AF836" i="20"/>
  <c r="AG847" i="20"/>
  <c r="AH847" i="20" s="1"/>
  <c r="AI847" i="20" s="1"/>
  <c r="AK847" i="20" s="1"/>
  <c r="AE531" i="20"/>
  <c r="AG1023" i="20"/>
  <c r="AH1023" i="20" s="1"/>
  <c r="AI1023" i="20" s="1"/>
  <c r="AK1023" i="20" s="1"/>
  <c r="AD118" i="20"/>
  <c r="AE118" i="20" s="1"/>
  <c r="AD46" i="20"/>
  <c r="AD147" i="20"/>
  <c r="AD69" i="20"/>
  <c r="AD41" i="20"/>
  <c r="AF298" i="20"/>
  <c r="AG298" i="20" s="1"/>
  <c r="AD267" i="20"/>
  <c r="AD309" i="20"/>
  <c r="AF422" i="20"/>
  <c r="AG422" i="20" s="1"/>
  <c r="AH422" i="20" s="1"/>
  <c r="AE555" i="20"/>
  <c r="AF555" i="20" s="1"/>
  <c r="AG596" i="20"/>
  <c r="AH596" i="20" s="1"/>
  <c r="AI596" i="20" s="1"/>
  <c r="AK596" i="20" s="1"/>
  <c r="AE579" i="20"/>
  <c r="AF579" i="20" s="1"/>
  <c r="AE820" i="20"/>
  <c r="AF820" i="20" s="1"/>
  <c r="AF841" i="20"/>
  <c r="AE830" i="20"/>
  <c r="AD999" i="20"/>
  <c r="AF591" i="20"/>
  <c r="AG834" i="20"/>
  <c r="AH834" i="20" s="1"/>
  <c r="AI834" i="20" s="1"/>
  <c r="AK834" i="20" s="1"/>
  <c r="AE931" i="20"/>
  <c r="AF931" i="20" s="1"/>
  <c r="AI252" i="20"/>
  <c r="AK252" i="20" s="1"/>
  <c r="AF373" i="20"/>
  <c r="AI508" i="20"/>
  <c r="AK508" i="20" s="1"/>
  <c r="AG603" i="20"/>
  <c r="AH603" i="20" s="1"/>
  <c r="AI603" i="20" s="1"/>
  <c r="AK603" i="20" s="1"/>
  <c r="AF423" i="20"/>
  <c r="AG423" i="20" s="1"/>
  <c r="AG840" i="20"/>
  <c r="AH840" i="20" s="1"/>
  <c r="AI840" i="20" s="1"/>
  <c r="AK840" i="20" s="1"/>
  <c r="AF493" i="20"/>
  <c r="AI790" i="20"/>
  <c r="AK790" i="20" s="1"/>
  <c r="AG815" i="20"/>
  <c r="AD136" i="20"/>
  <c r="AE136" i="20" s="1"/>
  <c r="AF136" i="20" s="1"/>
  <c r="AD14" i="20"/>
  <c r="AE14" i="20" s="1"/>
  <c r="AE66" i="20"/>
  <c r="AF66" i="20" s="1"/>
  <c r="AG72" i="20"/>
  <c r="AG81" i="20"/>
  <c r="AH81" i="20" s="1"/>
  <c r="AI81" i="20" s="1"/>
  <c r="AK81" i="20" s="1"/>
  <c r="AG128" i="20"/>
  <c r="AH128" i="20" s="1"/>
  <c r="AI128" i="20" s="1"/>
  <c r="AK128" i="20" s="1"/>
  <c r="AG152" i="20"/>
  <c r="AG168" i="20"/>
  <c r="AH168" i="20" s="1"/>
  <c r="AI168" i="20" s="1"/>
  <c r="AK168" i="20" s="1"/>
  <c r="AE70" i="20"/>
  <c r="AF70" i="20" s="1"/>
  <c r="AC12" i="20"/>
  <c r="AE63" i="20"/>
  <c r="AF63" i="20" s="1"/>
  <c r="AI87" i="20"/>
  <c r="AK87" i="20" s="1"/>
  <c r="AI138" i="20"/>
  <c r="AK138" i="20" s="1"/>
  <c r="AF213" i="20"/>
  <c r="AG213" i="20" s="1"/>
  <c r="AH213" i="20" s="1"/>
  <c r="AI213" i="20" s="1"/>
  <c r="AK213" i="20" s="1"/>
  <c r="AG211" i="20"/>
  <c r="AH211" i="20" s="1"/>
  <c r="AI211" i="20" s="1"/>
  <c r="AK211" i="20" s="1"/>
  <c r="AE343" i="20"/>
  <c r="AF343" i="20" s="1"/>
  <c r="AE380" i="20"/>
  <c r="AF380" i="20" s="1"/>
  <c r="AE119" i="20"/>
  <c r="AF119" i="20" s="1"/>
  <c r="AG386" i="20"/>
  <c r="AH386" i="20" s="1"/>
  <c r="AI386" i="20" s="1"/>
  <c r="AK386" i="20" s="1"/>
  <c r="AG399" i="20"/>
  <c r="AH399" i="20" s="1"/>
  <c r="AI399" i="20" s="1"/>
  <c r="AK399" i="20" s="1"/>
  <c r="AE413" i="20"/>
  <c r="AF413" i="20" s="1"/>
  <c r="AE458" i="20"/>
  <c r="AF458" i="20" s="1"/>
  <c r="AH416" i="20"/>
  <c r="AI416" i="20" s="1"/>
  <c r="AK416" i="20" s="1"/>
  <c r="AG846" i="20"/>
  <c r="AH846" i="20" s="1"/>
  <c r="AD67" i="20"/>
  <c r="AE67" i="20" s="1"/>
  <c r="AD104" i="20"/>
  <c r="AD15" i="20"/>
  <c r="AH83" i="20"/>
  <c r="AI83" i="20" s="1"/>
  <c r="AK83" i="20" s="1"/>
  <c r="AH134" i="20"/>
  <c r="AI134" i="20" s="1"/>
  <c r="AK134" i="20" s="1"/>
  <c r="AH170" i="20"/>
  <c r="AI170" i="20" s="1"/>
  <c r="AK170" i="20" s="1"/>
  <c r="AE29" i="20"/>
  <c r="AF29" i="20" s="1"/>
  <c r="AE59" i="20"/>
  <c r="AF59" i="20" s="1"/>
  <c r="AD84" i="20"/>
  <c r="AD277" i="20"/>
  <c r="AE277" i="20" s="1"/>
  <c r="AF277" i="20" s="1"/>
  <c r="AE34" i="20"/>
  <c r="AE64" i="20"/>
  <c r="AF64" i="20" s="1"/>
  <c r="AD73" i="20"/>
  <c r="AE73" i="20" s="1"/>
  <c r="AH286" i="20"/>
  <c r="AI286" i="20" s="1"/>
  <c r="AK286" i="20" s="1"/>
  <c r="AH372" i="20"/>
  <c r="AI372" i="20" s="1"/>
  <c r="AK372" i="20" s="1"/>
  <c r="AD295" i="20"/>
  <c r="AE295" i="20" s="1"/>
  <c r="AG335" i="20"/>
  <c r="AH335" i="20" s="1"/>
  <c r="AI335" i="20" s="1"/>
  <c r="AK335" i="20" s="1"/>
  <c r="AG407" i="20"/>
  <c r="AH407" i="20" s="1"/>
  <c r="AI407" i="20" s="1"/>
  <c r="AK407" i="20" s="1"/>
  <c r="AE301" i="20"/>
  <c r="AF301" i="20" s="1"/>
  <c r="AD320" i="20"/>
  <c r="AH366" i="20"/>
  <c r="AI366" i="20" s="1"/>
  <c r="AK366" i="20" s="1"/>
  <c r="AG437" i="20"/>
  <c r="AH437" i="20" s="1"/>
  <c r="AI437" i="20" s="1"/>
  <c r="AK437" i="20" s="1"/>
  <c r="AG476" i="20"/>
  <c r="AH476" i="20" s="1"/>
  <c r="AI476" i="20" s="1"/>
  <c r="AK476" i="20" s="1"/>
  <c r="AG500" i="20"/>
  <c r="AH500" i="20" s="1"/>
  <c r="AG518" i="20"/>
  <c r="AH518" i="20" s="1"/>
  <c r="AE439" i="20"/>
  <c r="AF439" i="20" s="1"/>
  <c r="AH535" i="20"/>
  <c r="AI535" i="20" s="1"/>
  <c r="AK535" i="20" s="1"/>
  <c r="AG593" i="20"/>
  <c r="AH593" i="20" s="1"/>
  <c r="AD693" i="20"/>
  <c r="AE707" i="20"/>
  <c r="AF707" i="20" s="1"/>
  <c r="AG803" i="20"/>
  <c r="AH803" i="20" s="1"/>
  <c r="AI803" i="20" s="1"/>
  <c r="AK803" i="20" s="1"/>
  <c r="AG843" i="20"/>
  <c r="AH843" i="20" s="1"/>
  <c r="AG984" i="20"/>
  <c r="AH984" i="20" s="1"/>
  <c r="AF1013" i="20"/>
  <c r="AG1013" i="20" s="1"/>
  <c r="AH1013" i="20" s="1"/>
  <c r="AG1021" i="20"/>
  <c r="AD109" i="20"/>
  <c r="AE109" i="20" s="1"/>
  <c r="AE37" i="20"/>
  <c r="AF37" i="20" s="1"/>
  <c r="AD49" i="20"/>
  <c r="AF224" i="20"/>
  <c r="AG224" i="20" s="1"/>
  <c r="AG74" i="20"/>
  <c r="AH74" i="20" s="1"/>
  <c r="AI74" i="20" s="1"/>
  <c r="AK74" i="20" s="1"/>
  <c r="AD206" i="20"/>
  <c r="AE206" i="20" s="1"/>
  <c r="AF236" i="20"/>
  <c r="AD261" i="20"/>
  <c r="AE261" i="20" s="1"/>
  <c r="AE292" i="20"/>
  <c r="AE315" i="20"/>
  <c r="AF315" i="20" s="1"/>
  <c r="AE327" i="20"/>
  <c r="AF327" i="20" s="1"/>
  <c r="AE359" i="20"/>
  <c r="AF359" i="20" s="1"/>
  <c r="AE469" i="20"/>
  <c r="AF469" i="20" s="1"/>
  <c r="AH412" i="20"/>
  <c r="AI412" i="20" s="1"/>
  <c r="AK412" i="20" s="1"/>
  <c r="AE457" i="20"/>
  <c r="AF457" i="20" s="1"/>
  <c r="AE417" i="20"/>
  <c r="AF417" i="20" s="1"/>
  <c r="AE447" i="20"/>
  <c r="AF447" i="20" s="1"/>
  <c r="AI595" i="20"/>
  <c r="AK595" i="20" s="1"/>
  <c r="AG563" i="20"/>
  <c r="AG764" i="20"/>
  <c r="AH764" i="20" s="1"/>
  <c r="AH735" i="20"/>
  <c r="AI735" i="20" s="1"/>
  <c r="AK735" i="20" s="1"/>
  <c r="AH776" i="20"/>
  <c r="AI776" i="20" s="1"/>
  <c r="AK776" i="20" s="1"/>
  <c r="AI945" i="20"/>
  <c r="AK945" i="20" s="1"/>
  <c r="AH959" i="20"/>
  <c r="AI959" i="20" s="1"/>
  <c r="AK959" i="20" s="1"/>
  <c r="AG597" i="20"/>
  <c r="AH597" i="20" s="1"/>
  <c r="AG113" i="20"/>
  <c r="AH113" i="20" s="1"/>
  <c r="AI113" i="20" s="1"/>
  <c r="AK113" i="20" s="1"/>
  <c r="AG939" i="20"/>
  <c r="AD151" i="20"/>
  <c r="AE151" i="20" s="1"/>
  <c r="AD266" i="20"/>
  <c r="AE56" i="20"/>
  <c r="AF56" i="20" s="1"/>
  <c r="AD65" i="20"/>
  <c r="AG172" i="20"/>
  <c r="AH172" i="20" s="1"/>
  <c r="AG188" i="20"/>
  <c r="AD163" i="20"/>
  <c r="AG44" i="20"/>
  <c r="AH44" i="20" s="1"/>
  <c r="AD76" i="20"/>
  <c r="AE76" i="20" s="1"/>
  <c r="AE17" i="20"/>
  <c r="AF17" i="20" s="1"/>
  <c r="AG95" i="20"/>
  <c r="AH95" i="20" s="1"/>
  <c r="AI95" i="20" s="1"/>
  <c r="AK95" i="20" s="1"/>
  <c r="AG150" i="20"/>
  <c r="AH150" i="20" s="1"/>
  <c r="AI150" i="20" s="1"/>
  <c r="AK150" i="20" s="1"/>
  <c r="AD287" i="20"/>
  <c r="AE287" i="20" s="1"/>
  <c r="AF287" i="20" s="1"/>
  <c r="AH323" i="20"/>
  <c r="AI323" i="20" s="1"/>
  <c r="AK323" i="20" s="1"/>
  <c r="AH328" i="20"/>
  <c r="AI328" i="20" s="1"/>
  <c r="AK328" i="20" s="1"/>
  <c r="AG351" i="20"/>
  <c r="AF414" i="20"/>
  <c r="AG414" i="20" s="1"/>
  <c r="AF444" i="20"/>
  <c r="AG444" i="20" s="1"/>
  <c r="AE421" i="20"/>
  <c r="AF421" i="20" s="1"/>
  <c r="AH434" i="20"/>
  <c r="AI434" i="20" s="1"/>
  <c r="AK434" i="20" s="1"/>
  <c r="AF525" i="20"/>
  <c r="AG525" i="20" s="1"/>
  <c r="AH449" i="20"/>
  <c r="AI449" i="20" s="1"/>
  <c r="AK449" i="20" s="1"/>
  <c r="AE468" i="20"/>
  <c r="AF468" i="20" s="1"/>
  <c r="AG492" i="20"/>
  <c r="AH492" i="20" s="1"/>
  <c r="AI492" i="20" s="1"/>
  <c r="AK492" i="20" s="1"/>
  <c r="AG520" i="20"/>
  <c r="AH534" i="20"/>
  <c r="AI534" i="20" s="1"/>
  <c r="AK534" i="20" s="1"/>
  <c r="AH744" i="20"/>
  <c r="AI744" i="20" s="1"/>
  <c r="AK744" i="20" s="1"/>
  <c r="AG794" i="20"/>
  <c r="AH794" i="20" s="1"/>
  <c r="AE805" i="20"/>
  <c r="AF805" i="20" s="1"/>
  <c r="AG810" i="20"/>
  <c r="AD717" i="20"/>
  <c r="AE717" i="20" s="1"/>
  <c r="AE946" i="20"/>
  <c r="AF946" i="20" s="1"/>
  <c r="AE470" i="20"/>
  <c r="AF470" i="20" s="1"/>
  <c r="AG557" i="20"/>
  <c r="AH557" i="20" s="1"/>
  <c r="AG929" i="20"/>
  <c r="AG987" i="20"/>
  <c r="AH987" i="20" s="1"/>
  <c r="AD989" i="20"/>
  <c r="AE989" i="20" s="1"/>
  <c r="AG1002" i="20"/>
  <c r="AH1002" i="20" s="1"/>
  <c r="AI1002" i="20" s="1"/>
  <c r="AK1002" i="20" s="1"/>
  <c r="AF430" i="20"/>
  <c r="AG430" i="20" s="1"/>
  <c r="AF971" i="20"/>
  <c r="AG971" i="20" s="1"/>
  <c r="AE1018" i="20"/>
  <c r="AF1018" i="20" s="1"/>
  <c r="AE474" i="20"/>
  <c r="AF474" i="20" s="1"/>
  <c r="AG509" i="20"/>
  <c r="AH509" i="20" s="1"/>
  <c r="AG576" i="20"/>
  <c r="AE690" i="20"/>
  <c r="AH807" i="20"/>
  <c r="AI807" i="20" s="1"/>
  <c r="AK807" i="20" s="1"/>
  <c r="AF102" i="20"/>
  <c r="AH241" i="20"/>
  <c r="AI241" i="20" s="1"/>
  <c r="AK241" i="20" s="1"/>
  <c r="AG814" i="20"/>
  <c r="AH814" i="20" s="1"/>
  <c r="AG804" i="20"/>
  <c r="AH804" i="20" s="1"/>
  <c r="AD156" i="20"/>
  <c r="AE156" i="20" s="1"/>
  <c r="AF156" i="20" s="1"/>
  <c r="AD184" i="20"/>
  <c r="AE184" i="20" s="1"/>
  <c r="AF184" i="20" s="1"/>
  <c r="AD274" i="20"/>
  <c r="AE274" i="20" s="1"/>
  <c r="AD20" i="20"/>
  <c r="AE20" i="20" s="1"/>
  <c r="AF78" i="20"/>
  <c r="AF110" i="20"/>
  <c r="AG110" i="20" s="1"/>
  <c r="AF165" i="20"/>
  <c r="AG258" i="20"/>
  <c r="AH258" i="20" s="1"/>
  <c r="AI258" i="20" s="1"/>
  <c r="AK258" i="20" s="1"/>
  <c r="AD183" i="20"/>
  <c r="AD57" i="20"/>
  <c r="AE57" i="20" s="1"/>
  <c r="AD223" i="20"/>
  <c r="AE316" i="20"/>
  <c r="AF316" i="20" s="1"/>
  <c r="AD455" i="20"/>
  <c r="AG588" i="20"/>
  <c r="AH588" i="20" s="1"/>
  <c r="AE754" i="20"/>
  <c r="AF754" i="20" s="1"/>
  <c r="AD924" i="20"/>
  <c r="AF925" i="20"/>
  <c r="AD139" i="20"/>
  <c r="AE139" i="20" s="1"/>
  <c r="AG186" i="20"/>
  <c r="AH186" i="20" s="1"/>
  <c r="AI186" i="20" s="1"/>
  <c r="AK186" i="20" s="1"/>
  <c r="AF75" i="20"/>
  <c r="AG75" i="20" s="1"/>
  <c r="AF107" i="20"/>
  <c r="AG107" i="20" s="1"/>
  <c r="AF162" i="20"/>
  <c r="AG162" i="20" s="1"/>
  <c r="AD21" i="20"/>
  <c r="AD23" i="20"/>
  <c r="AD53" i="20"/>
  <c r="AD135" i="20"/>
  <c r="AE135" i="20" s="1"/>
  <c r="AF135" i="20" s="1"/>
  <c r="AF79" i="20"/>
  <c r="AG79" i="20" s="1"/>
  <c r="AF111" i="20"/>
  <c r="AF166" i="20"/>
  <c r="AD179" i="20"/>
  <c r="AE179" i="20" s="1"/>
  <c r="AF179" i="20" s="1"/>
  <c r="AD259" i="20"/>
  <c r="AG265" i="20"/>
  <c r="AH265" i="20" s="1"/>
  <c r="AI265" i="20" s="1"/>
  <c r="AK265" i="20" s="1"/>
  <c r="AE393" i="20"/>
  <c r="AF393" i="20" s="1"/>
  <c r="AF341" i="20"/>
  <c r="AE524" i="20"/>
  <c r="AE581" i="20"/>
  <c r="AF581" i="20" s="1"/>
  <c r="AF695" i="20"/>
  <c r="AG569" i="20"/>
  <c r="AH569" i="20" s="1"/>
  <c r="AE694" i="20"/>
  <c r="AE692" i="20"/>
  <c r="AF773" i="20"/>
  <c r="AG748" i="20"/>
  <c r="AH748" i="20" s="1"/>
  <c r="AI748" i="20" s="1"/>
  <c r="AK748" i="20" s="1"/>
  <c r="AG844" i="20"/>
  <c r="AE705" i="20"/>
  <c r="AF705" i="20" s="1"/>
  <c r="AE782" i="20"/>
  <c r="AF782" i="20" s="1"/>
  <c r="AE852" i="20"/>
  <c r="AE825" i="20"/>
  <c r="AF825" i="20" s="1"/>
  <c r="AC934" i="20"/>
  <c r="AD997" i="20"/>
  <c r="AE997" i="20" s="1"/>
  <c r="AF1024" i="20"/>
  <c r="AD148" i="20"/>
  <c r="AD55" i="20"/>
  <c r="AD16" i="20"/>
  <c r="AE16" i="20" s="1"/>
  <c r="AF16" i="20" s="1"/>
  <c r="AD279" i="20"/>
  <c r="AG282" i="20"/>
  <c r="AH282" i="20" s="1"/>
  <c r="AD271" i="20"/>
  <c r="AE391" i="20"/>
  <c r="AF391" i="20" s="1"/>
  <c r="AD505" i="20"/>
  <c r="AE461" i="20"/>
  <c r="AF461" i="20" s="1"/>
  <c r="AF558" i="20"/>
  <c r="AE556" i="20"/>
  <c r="AF556" i="20" s="1"/>
  <c r="AG606" i="20"/>
  <c r="AH606" i="20" s="1"/>
  <c r="AI606" i="20" s="1"/>
  <c r="AK606" i="20" s="1"/>
  <c r="AG566" i="20"/>
  <c r="AH566" i="20" s="1"/>
  <c r="AD763" i="20"/>
  <c r="AF739" i="20"/>
  <c r="AG739" i="20" s="1"/>
  <c r="AD777" i="20"/>
  <c r="AE715" i="20"/>
  <c r="AF715" i="20" s="1"/>
  <c r="AF801" i="20"/>
  <c r="AE936" i="20"/>
  <c r="AD1012" i="20"/>
  <c r="AE1012" i="20" s="1"/>
  <c r="AF1012" i="20" s="1"/>
  <c r="AD496" i="20"/>
  <c r="AE577" i="20"/>
  <c r="AF577" i="20" s="1"/>
  <c r="AE771" i="20"/>
  <c r="AE813" i="20"/>
  <c r="AF813" i="20" s="1"/>
  <c r="AG955" i="20"/>
  <c r="AH955" i="20" s="1"/>
  <c r="AI955" i="20" s="1"/>
  <c r="AK955" i="20" s="1"/>
  <c r="AD167" i="20"/>
  <c r="AD19" i="20"/>
  <c r="AE19" i="20" s="1"/>
  <c r="AF19" i="20" s="1"/>
  <c r="AG91" i="20"/>
  <c r="AH91" i="20" s="1"/>
  <c r="AI91" i="20" s="1"/>
  <c r="AK91" i="20" s="1"/>
  <c r="AG146" i="20"/>
  <c r="AD281" i="20"/>
  <c r="AG185" i="20"/>
  <c r="AD108" i="20"/>
  <c r="AE248" i="20"/>
  <c r="AG264" i="20"/>
  <c r="AD239" i="20"/>
  <c r="AE239" i="20" s="1"/>
  <c r="AF239" i="20" s="1"/>
  <c r="AE221" i="20"/>
  <c r="AE237" i="20"/>
  <c r="AF237" i="20" s="1"/>
  <c r="AG257" i="20"/>
  <c r="AH257" i="20" s="1"/>
  <c r="AI257" i="20" s="1"/>
  <c r="AK257" i="20" s="1"/>
  <c r="AE302" i="20"/>
  <c r="AE390" i="20"/>
  <c r="AF390" i="20" s="1"/>
  <c r="AF436" i="20"/>
  <c r="AG436" i="20" s="1"/>
  <c r="AD471" i="20"/>
  <c r="AI587" i="20"/>
  <c r="AK587" i="20" s="1"/>
  <c r="AI608" i="20"/>
  <c r="AK608" i="20" s="1"/>
  <c r="AF586" i="20"/>
  <c r="AE578" i="20"/>
  <c r="AF578" i="20" s="1"/>
  <c r="AE545" i="20"/>
  <c r="AG565" i="20"/>
  <c r="AH565" i="20" s="1"/>
  <c r="AF607" i="20"/>
  <c r="AG560" i="20"/>
  <c r="AI699" i="20"/>
  <c r="AK699" i="20" s="1"/>
  <c r="AE728" i="20"/>
  <c r="AH792" i="20"/>
  <c r="AI792" i="20" s="1"/>
  <c r="AK792" i="20" s="1"/>
  <c r="AE723" i="20"/>
  <c r="AD765" i="20"/>
  <c r="AE822" i="20"/>
  <c r="AF848" i="20"/>
  <c r="AE504" i="20"/>
  <c r="AD479" i="20"/>
  <c r="AF592" i="20"/>
  <c r="AD745" i="20"/>
  <c r="AE729" i="20"/>
  <c r="AF729" i="20" s="1"/>
  <c r="AG985" i="20"/>
  <c r="AD1015" i="20"/>
  <c r="AF345" i="20"/>
  <c r="AI144" i="20"/>
  <c r="AK144" i="20" s="1"/>
  <c r="AG584" i="20"/>
  <c r="AH584" i="20" s="1"/>
  <c r="AI788" i="20"/>
  <c r="AK788" i="20" s="1"/>
  <c r="AG838" i="20"/>
  <c r="AH838" i="20" s="1"/>
  <c r="AF948" i="20"/>
  <c r="AG948" i="20" s="1"/>
  <c r="AF317" i="20"/>
  <c r="AG317" i="20" s="1"/>
  <c r="AG604" i="20"/>
  <c r="AH604" i="20" s="1"/>
  <c r="AF963" i="20"/>
  <c r="AG963" i="20" s="1"/>
  <c r="AE940" i="20"/>
  <c r="AF940" i="20" s="1"/>
  <c r="AG1022" i="20"/>
  <c r="AH1022" i="20" s="1"/>
  <c r="AF30" i="20"/>
  <c r="AG30" i="20" s="1"/>
  <c r="AF396" i="20"/>
  <c r="AI419" i="20"/>
  <c r="AK419" i="20" s="1"/>
  <c r="AG547" i="20"/>
  <c r="AH547" i="20" s="1"/>
  <c r="AI547" i="20" s="1"/>
  <c r="AK547" i="20" s="1"/>
  <c r="AC689" i="20"/>
  <c r="AE696" i="20"/>
  <c r="AE778" i="20"/>
  <c r="AF778" i="20" s="1"/>
  <c r="AI979" i="20"/>
  <c r="AK979" i="20" s="1"/>
  <c r="AF448" i="20"/>
  <c r="AG448" i="20" s="1"/>
  <c r="AG600" i="20"/>
  <c r="AH600" i="20" s="1"/>
  <c r="AG218" i="20"/>
  <c r="AH218" i="20" s="1"/>
  <c r="AF440" i="20"/>
  <c r="AD77" i="20"/>
  <c r="AE77" i="20" s="1"/>
  <c r="AF77" i="20" s="1"/>
  <c r="AD32" i="20"/>
  <c r="AE32" i="20" s="1"/>
  <c r="AF32" i="20" s="1"/>
  <c r="AG26" i="20"/>
  <c r="AH26" i="20" s="1"/>
  <c r="AF174" i="20"/>
  <c r="AF190" i="20"/>
  <c r="AG190" i="20" s="1"/>
  <c r="AD270" i="20"/>
  <c r="AE89" i="20"/>
  <c r="AF89" i="20" s="1"/>
  <c r="AE13" i="20"/>
  <c r="AF13" i="20" s="1"/>
  <c r="AE18" i="20"/>
  <c r="AD27" i="20"/>
  <c r="AF196" i="20"/>
  <c r="AE219" i="20"/>
  <c r="AF219" i="20" s="1"/>
  <c r="AE235" i="20"/>
  <c r="AF235" i="20" s="1"/>
  <c r="AE251" i="20"/>
  <c r="AF251" i="20" s="1"/>
  <c r="AE276" i="20"/>
  <c r="AF276" i="20" s="1"/>
  <c r="AD293" i="20"/>
  <c r="AE288" i="20"/>
  <c r="AF217" i="20"/>
  <c r="AF233" i="20"/>
  <c r="AF249" i="20"/>
  <c r="AF228" i="20"/>
  <c r="AG228" i="20" s="1"/>
  <c r="AH228" i="20" s="1"/>
  <c r="AE247" i="20"/>
  <c r="AF247" i="20" s="1"/>
  <c r="AG269" i="20"/>
  <c r="AH269" i="20" s="1"/>
  <c r="AG289" i="20"/>
  <c r="AH289" i="20" s="1"/>
  <c r="AE352" i="20"/>
  <c r="AF352" i="20" s="1"/>
  <c r="AE299" i="20"/>
  <c r="AF299" i="20" s="1"/>
  <c r="AE394" i="20"/>
  <c r="AE443" i="20"/>
  <c r="AE431" i="20"/>
  <c r="AE800" i="20"/>
  <c r="AF775" i="20"/>
  <c r="AG775" i="20" s="1"/>
  <c r="AF851" i="20"/>
  <c r="AE957" i="20"/>
  <c r="AH68" i="20"/>
  <c r="AI68" i="20" s="1"/>
  <c r="AK68" i="20" s="1"/>
  <c r="AD159" i="20"/>
  <c r="AD285" i="20"/>
  <c r="AE285" i="20" s="1"/>
  <c r="AF285" i="20" s="1"/>
  <c r="AG36" i="20"/>
  <c r="AG22" i="20"/>
  <c r="AH22" i="20" s="1"/>
  <c r="AG60" i="20"/>
  <c r="AD155" i="20"/>
  <c r="AE192" i="20"/>
  <c r="AD92" i="20"/>
  <c r="AE92" i="20" s="1"/>
  <c r="AF92" i="20" s="1"/>
  <c r="AG28" i="20"/>
  <c r="AG58" i="20"/>
  <c r="AE256" i="20"/>
  <c r="AE272" i="20"/>
  <c r="AD207" i="20"/>
  <c r="AE207" i="20" s="1"/>
  <c r="AF215" i="20"/>
  <c r="AF231" i="20"/>
  <c r="AE284" i="20"/>
  <c r="AH290" i="20"/>
  <c r="AI290" i="20" s="1"/>
  <c r="AK290" i="20" s="1"/>
  <c r="AF291" i="20"/>
  <c r="AE330" i="20"/>
  <c r="AE346" i="20"/>
  <c r="AE362" i="20"/>
  <c r="AE435" i="20"/>
  <c r="AF435" i="20" s="1"/>
  <c r="AG435" i="20" s="1"/>
  <c r="AH441" i="20"/>
  <c r="AI441" i="20" s="1"/>
  <c r="AK441" i="20" s="1"/>
  <c r="AE478" i="20"/>
  <c r="AF478" i="20" s="1"/>
  <c r="AG478" i="20" s="1"/>
  <c r="AE506" i="20"/>
  <c r="AE466" i="20"/>
  <c r="AF466" i="20" s="1"/>
  <c r="AG466" i="20" s="1"/>
  <c r="AF523" i="20"/>
  <c r="AG589" i="20"/>
  <c r="AH589" i="20" s="1"/>
  <c r="AG561" i="20"/>
  <c r="AH561" i="20" s="1"/>
  <c r="AG564" i="20"/>
  <c r="AH564" i="20" s="1"/>
  <c r="AG533" i="20"/>
  <c r="AH533" i="20" s="1"/>
  <c r="AE758" i="20"/>
  <c r="AG839" i="20"/>
  <c r="AH839" i="20" s="1"/>
  <c r="AD949" i="20"/>
  <c r="AE927" i="20"/>
  <c r="AH995" i="20"/>
  <c r="AI995" i="20" s="1"/>
  <c r="AK995" i="20" s="1"/>
  <c r="AE944" i="20"/>
  <c r="AE960" i="20"/>
  <c r="AE972" i="20"/>
  <c r="AE988" i="20"/>
  <c r="AE1009" i="20"/>
  <c r="AG1011" i="20"/>
  <c r="AH1011" i="20" s="1"/>
  <c r="AD62" i="20"/>
  <c r="AD164" i="20"/>
  <c r="AD45" i="20"/>
  <c r="AD88" i="20"/>
  <c r="AE24" i="20"/>
  <c r="AE54" i="20"/>
  <c r="AF54" i="20" s="1"/>
  <c r="AF97" i="20"/>
  <c r="AF140" i="20"/>
  <c r="AF160" i="20"/>
  <c r="AE178" i="20"/>
  <c r="AF178" i="20" s="1"/>
  <c r="AF194" i="20"/>
  <c r="AE200" i="20"/>
  <c r="AE230" i="20"/>
  <c r="AE246" i="20"/>
  <c r="AE260" i="20"/>
  <c r="AF260" i="20" s="1"/>
  <c r="AE268" i="20"/>
  <c r="AE205" i="20"/>
  <c r="AE242" i="20"/>
  <c r="AF242" i="20" s="1"/>
  <c r="AE253" i="20"/>
  <c r="AG278" i="20"/>
  <c r="AH278" i="20" s="1"/>
  <c r="AE336" i="20"/>
  <c r="AF336" i="20" s="1"/>
  <c r="AE368" i="20"/>
  <c r="AF368" i="20" s="1"/>
  <c r="AF358" i="20"/>
  <c r="AG358" i="20" s="1"/>
  <c r="AH358" i="20" s="1"/>
  <c r="AI358" i="20" s="1"/>
  <c r="AK358" i="20" s="1"/>
  <c r="AE472" i="20"/>
  <c r="AG122" i="20"/>
  <c r="AH122" i="20" s="1"/>
  <c r="AE460" i="20"/>
  <c r="AE501" i="20"/>
  <c r="AF537" i="20"/>
  <c r="AG537" i="20" s="1"/>
  <c r="AH537" i="20" s="1"/>
  <c r="AG559" i="20"/>
  <c r="AG145" i="20"/>
  <c r="AH789" i="20"/>
  <c r="AI789" i="20" s="1"/>
  <c r="AK789" i="20" s="1"/>
  <c r="AE713" i="20"/>
  <c r="AH798" i="20"/>
  <c r="AI798" i="20" s="1"/>
  <c r="AK798" i="20" s="1"/>
  <c r="AG796" i="20"/>
  <c r="AH796" i="20" s="1"/>
  <c r="AE709" i="20"/>
  <c r="AE774" i="20"/>
  <c r="AG973" i="20"/>
  <c r="AH973" i="20" s="1"/>
  <c r="AG462" i="20"/>
  <c r="AH462" i="20" s="1"/>
  <c r="AG488" i="20"/>
  <c r="AE570" i="20"/>
  <c r="AG143" i="20"/>
  <c r="AH143" i="20" s="1"/>
  <c r="AF567" i="20"/>
  <c r="AE691" i="20"/>
  <c r="AG562" i="20"/>
  <c r="AE750" i="20"/>
  <c r="AG816" i="20"/>
  <c r="AD96" i="20"/>
  <c r="AD31" i="20"/>
  <c r="AE31" i="20" s="1"/>
  <c r="AD25" i="20"/>
  <c r="AG50" i="20"/>
  <c r="AG71" i="20"/>
  <c r="AH71" i="20" s="1"/>
  <c r="AD100" i="20"/>
  <c r="AE100" i="20" s="1"/>
  <c r="AE262" i="20"/>
  <c r="AF262" i="20" s="1"/>
  <c r="AE43" i="20"/>
  <c r="AE47" i="20"/>
  <c r="AE203" i="20"/>
  <c r="AF203" i="20" s="1"/>
  <c r="AF216" i="20"/>
  <c r="AG216" i="20" s="1"/>
  <c r="AH216" i="20" s="1"/>
  <c r="AG232" i="20"/>
  <c r="AF201" i="20"/>
  <c r="AD222" i="20"/>
  <c r="AE273" i="20"/>
  <c r="AE120" i="20"/>
  <c r="AE129" i="20"/>
  <c r="AE338" i="20"/>
  <c r="AE354" i="20"/>
  <c r="AE370" i="20"/>
  <c r="AE383" i="20"/>
  <c r="AE314" i="20"/>
  <c r="AF314" i="20" s="1"/>
  <c r="AF350" i="20"/>
  <c r="AG350" i="20" s="1"/>
  <c r="AE392" i="20"/>
  <c r="AF428" i="20"/>
  <c r="AG428" i="20" s="1"/>
  <c r="AF405" i="20"/>
  <c r="AG405" i="20" s="1"/>
  <c r="AE451" i="20"/>
  <c r="AF451" i="20" s="1"/>
  <c r="AI124" i="20"/>
  <c r="AK124" i="20" s="1"/>
  <c r="AE424" i="20"/>
  <c r="AF503" i="20"/>
  <c r="AG503" i="20" s="1"/>
  <c r="AG125" i="20"/>
  <c r="AF568" i="20"/>
  <c r="AG568" i="20" s="1"/>
  <c r="AE726" i="20"/>
  <c r="AF726" i="20" s="1"/>
  <c r="AG726" i="20" s="1"/>
  <c r="AE732" i="20"/>
  <c r="AF733" i="20"/>
  <c r="AF737" i="20"/>
  <c r="AG737" i="20" s="1"/>
  <c r="AF741" i="20"/>
  <c r="AE787" i="20"/>
  <c r="AF811" i="20"/>
  <c r="AG850" i="20"/>
  <c r="AH850" i="20" s="1"/>
  <c r="AF990" i="20"/>
  <c r="AF937" i="20"/>
  <c r="AG937" i="20" s="1"/>
  <c r="AF954" i="20"/>
  <c r="AF982" i="20"/>
  <c r="AF1007" i="20"/>
  <c r="AG1007" i="20" s="1"/>
  <c r="AG452" i="20"/>
  <c r="AE704" i="20"/>
  <c r="AF704" i="20" s="1"/>
  <c r="AF720" i="20"/>
  <c r="AG1017" i="20"/>
  <c r="AH1017" i="20" s="1"/>
  <c r="AE280" i="20"/>
  <c r="AF280" i="20" s="1"/>
  <c r="AE453" i="20"/>
  <c r="AF453" i="20" s="1"/>
  <c r="AF580" i="20"/>
  <c r="AF712" i="20"/>
  <c r="AG806" i="20"/>
  <c r="AF817" i="20"/>
  <c r="AE966" i="20"/>
  <c r="AF966" i="20" s="1"/>
  <c r="AF751" i="20"/>
  <c r="AG751" i="20" s="1"/>
  <c r="AG522" i="20"/>
  <c r="AG812" i="20"/>
  <c r="AE1010" i="20"/>
  <c r="AG485" i="20"/>
  <c r="AE483" i="20"/>
  <c r="AE499" i="20"/>
  <c r="AF130" i="20"/>
  <c r="AF546" i="20"/>
  <c r="AG546" i="20" s="1"/>
  <c r="AH546" i="20" s="1"/>
  <c r="AG378" i="20"/>
  <c r="AH378" i="20" s="1"/>
  <c r="AF700" i="20"/>
  <c r="AG700" i="20" s="1"/>
  <c r="AH700" i="20" s="1"/>
  <c r="AE766" i="20"/>
  <c r="AE974" i="20"/>
  <c r="AF974" i="20" s="1"/>
  <c r="AF157" i="20"/>
  <c r="AF361" i="20"/>
  <c r="AG361" i="20" s="1"/>
  <c r="AE250" i="20"/>
  <c r="AF519" i="20"/>
  <c r="AF514" i="20"/>
  <c r="AF521" i="20"/>
  <c r="AG521" i="20" s="1"/>
  <c r="AG573" i="20"/>
  <c r="AH573" i="20" s="1"/>
  <c r="AE710" i="20"/>
  <c r="AE465" i="20"/>
  <c r="AF550" i="20"/>
  <c r="AE930" i="20"/>
  <c r="AG968" i="20" l="1"/>
  <c r="AI427" i="20"/>
  <c r="AK427" i="20" s="1"/>
  <c r="AF12" i="21"/>
  <c r="AE12" i="21"/>
  <c r="AE3" i="21" s="1"/>
  <c r="AJ43" i="21"/>
  <c r="AH118" i="21"/>
  <c r="AJ118" i="21" s="1"/>
  <c r="AG45" i="21"/>
  <c r="AH45" i="21" s="1"/>
  <c r="AH188" i="21"/>
  <c r="AJ188" i="21" s="1"/>
  <c r="U15" i="23"/>
  <c r="W15" i="23" s="1"/>
  <c r="P16" i="23" s="1"/>
  <c r="Q16" i="23" s="1"/>
  <c r="J16" i="23"/>
  <c r="H17" i="23"/>
  <c r="M17" i="23" s="1"/>
  <c r="N17" i="23" s="1"/>
  <c r="H18" i="23" s="1"/>
  <c r="M18" i="23" s="1"/>
  <c r="N18" i="23" s="1"/>
  <c r="H19" i="23" s="1"/>
  <c r="M19" i="23" s="1"/>
  <c r="N19" i="23" s="1"/>
  <c r="J32" i="24"/>
  <c r="O33" i="24"/>
  <c r="H34" i="24"/>
  <c r="M34" i="24" s="1"/>
  <c r="N34" i="24" s="1"/>
  <c r="J34" i="24" s="1"/>
  <c r="O32" i="24"/>
  <c r="U16" i="23"/>
  <c r="AG400" i="20"/>
  <c r="AH400" i="20" s="1"/>
  <c r="AI400" i="20" s="1"/>
  <c r="AK400" i="20" s="1"/>
  <c r="AI716" i="20"/>
  <c r="AK716" i="20" s="1"/>
  <c r="AI953" i="20"/>
  <c r="AK953" i="20" s="1"/>
  <c r="AG197" i="20"/>
  <c r="AH197" i="20" s="1"/>
  <c r="AI958" i="20"/>
  <c r="AK958" i="20" s="1"/>
  <c r="AI398" i="20"/>
  <c r="AK398" i="20" s="1"/>
  <c r="AG94" i="20"/>
  <c r="AH94" i="20" s="1"/>
  <c r="AH397" i="20"/>
  <c r="AI397" i="20" s="1"/>
  <c r="AK397" i="20" s="1"/>
  <c r="AG432" i="20"/>
  <c r="AH432" i="20" s="1"/>
  <c r="AI432" i="20" s="1"/>
  <c r="AK432" i="20" s="1"/>
  <c r="AG403" i="20"/>
  <c r="AH403" i="20" s="1"/>
  <c r="AI403" i="20" s="1"/>
  <c r="AK403" i="20" s="1"/>
  <c r="AG464" i="20"/>
  <c r="AH464" i="20" s="1"/>
  <c r="AI464" i="20" s="1"/>
  <c r="AK464" i="20" s="1"/>
  <c r="AG189" i="20"/>
  <c r="AH189" i="20" s="1"/>
  <c r="AI189" i="20" s="1"/>
  <c r="AK189" i="20" s="1"/>
  <c r="AG442" i="20"/>
  <c r="AH442" i="20" s="1"/>
  <c r="AI442" i="20" s="1"/>
  <c r="AK442" i="20" s="1"/>
  <c r="AI742" i="20"/>
  <c r="AK742" i="20" s="1"/>
  <c r="AG98" i="20"/>
  <c r="AH98" i="20" s="1"/>
  <c r="AI98" i="20" s="1"/>
  <c r="AK98" i="20" s="1"/>
  <c r="AH340" i="20"/>
  <c r="AI340" i="20" s="1"/>
  <c r="AK340" i="20" s="1"/>
  <c r="AI376" i="20"/>
  <c r="AK376" i="20" s="1"/>
  <c r="AH738" i="20"/>
  <c r="AI738" i="20" s="1"/>
  <c r="AK738" i="20" s="1"/>
  <c r="AG404" i="20"/>
  <c r="AH404" i="20" s="1"/>
  <c r="AI961" i="20"/>
  <c r="AK961" i="20" s="1"/>
  <c r="AI409" i="20"/>
  <c r="AK409" i="20" s="1"/>
  <c r="AH926" i="20"/>
  <c r="AI926" i="20" s="1"/>
  <c r="AK926" i="20" s="1"/>
  <c r="AG149" i="20"/>
  <c r="AH149" i="20" s="1"/>
  <c r="AI149" i="20" s="1"/>
  <c r="AK149" i="20" s="1"/>
  <c r="AG169" i="20"/>
  <c r="AH169" i="20" s="1"/>
  <c r="AI169" i="20" s="1"/>
  <c r="AK169" i="20" s="1"/>
  <c r="AG199" i="20"/>
  <c r="AH199" i="20" s="1"/>
  <c r="AG406" i="20"/>
  <c r="AH406" i="20" s="1"/>
  <c r="AG82" i="20"/>
  <c r="AH82" i="20" s="1"/>
  <c r="AI82" i="20" s="1"/>
  <c r="AK82" i="20" s="1"/>
  <c r="AG975" i="20"/>
  <c r="AH975" i="20" s="1"/>
  <c r="AH220" i="20"/>
  <c r="AI220" i="20" s="1"/>
  <c r="AK220" i="20" s="1"/>
  <c r="AI943" i="20"/>
  <c r="AK943" i="20" s="1"/>
  <c r="AG1000" i="20"/>
  <c r="AH1000" i="20" s="1"/>
  <c r="AI1000" i="20" s="1"/>
  <c r="AK1000" i="20" s="1"/>
  <c r="AG956" i="20"/>
  <c r="AH956" i="20" s="1"/>
  <c r="AI956" i="20" s="1"/>
  <c r="AK956" i="20" s="1"/>
  <c r="AG1019" i="20"/>
  <c r="AH1019" i="20" s="1"/>
  <c r="AI1019" i="20" s="1"/>
  <c r="AK1019" i="20" s="1"/>
  <c r="AG193" i="20"/>
  <c r="AH193" i="20" s="1"/>
  <c r="AI191" i="20"/>
  <c r="AK191" i="20" s="1"/>
  <c r="AG976" i="20"/>
  <c r="AH976" i="20" s="1"/>
  <c r="AI976" i="20" s="1"/>
  <c r="AK976" i="20" s="1"/>
  <c r="AG204" i="20"/>
  <c r="AH204" i="20" s="1"/>
  <c r="AI204" i="20" s="1"/>
  <c r="AK204" i="20" s="1"/>
  <c r="AG171" i="20"/>
  <c r="AH171" i="20" s="1"/>
  <c r="AG214" i="20"/>
  <c r="AH214" i="20" s="1"/>
  <c r="AI214" i="20" s="1"/>
  <c r="AK214" i="20" s="1"/>
  <c r="AI402" i="20"/>
  <c r="AK402" i="20" s="1"/>
  <c r="AE294" i="20"/>
  <c r="AF294" i="20" s="1"/>
  <c r="AG294" i="20" s="1"/>
  <c r="AG420" i="20"/>
  <c r="AH420" i="20" s="1"/>
  <c r="AI984" i="20"/>
  <c r="AK984" i="20" s="1"/>
  <c r="AI411" i="20"/>
  <c r="AK411" i="20" s="1"/>
  <c r="AI1005" i="20"/>
  <c r="AK1005" i="20" s="1"/>
  <c r="AG240" i="20"/>
  <c r="AH240" i="20" s="1"/>
  <c r="AI240" i="20" s="1"/>
  <c r="AK240" i="20" s="1"/>
  <c r="AG1006" i="20"/>
  <c r="AH1006" i="20" s="1"/>
  <c r="AI1006" i="20" s="1"/>
  <c r="AK1006" i="20" s="1"/>
  <c r="AH1008" i="20"/>
  <c r="AI1008" i="20" s="1"/>
  <c r="AK1008" i="20" s="1"/>
  <c r="AG177" i="20"/>
  <c r="AH177" i="20" s="1"/>
  <c r="AI177" i="20" s="1"/>
  <c r="AK177" i="20" s="1"/>
  <c r="AI329" i="20"/>
  <c r="AK329" i="20" s="1"/>
  <c r="AI756" i="20"/>
  <c r="AK756" i="20" s="1"/>
  <c r="AI401" i="20"/>
  <c r="AK401" i="20" s="1"/>
  <c r="AG153" i="20"/>
  <c r="AH153" i="20" s="1"/>
  <c r="AI153" i="20" s="1"/>
  <c r="AK153" i="20" s="1"/>
  <c r="AH444" i="20"/>
  <c r="AI444" i="20" s="1"/>
  <c r="AK444" i="20" s="1"/>
  <c r="AH90" i="20"/>
  <c r="AI90" i="20" s="1"/>
  <c r="AK90" i="20" s="1"/>
  <c r="AE266" i="20"/>
  <c r="AF266" i="20" s="1"/>
  <c r="AG266" i="20" s="1"/>
  <c r="AH266" i="20" s="1"/>
  <c r="AI266" i="20" s="1"/>
  <c r="AK266" i="20" s="1"/>
  <c r="AF970" i="20"/>
  <c r="AG970" i="20" s="1"/>
  <c r="AH970" i="20" s="1"/>
  <c r="AI970" i="20" s="1"/>
  <c r="AK970" i="20" s="1"/>
  <c r="AH746" i="20"/>
  <c r="AI746" i="20" s="1"/>
  <c r="AK746" i="20" s="1"/>
  <c r="AI500" i="20"/>
  <c r="AK500" i="20" s="1"/>
  <c r="AH188" i="20"/>
  <c r="AI188" i="20" s="1"/>
  <c r="AK188" i="20" s="1"/>
  <c r="AF348" i="20"/>
  <c r="AG348" i="20" s="1"/>
  <c r="AH348" i="20" s="1"/>
  <c r="AG487" i="20"/>
  <c r="AH487" i="20" s="1"/>
  <c r="AI487" i="20" s="1"/>
  <c r="AK487" i="20" s="1"/>
  <c r="AE495" i="20"/>
  <c r="AF495" i="20" s="1"/>
  <c r="AG994" i="20"/>
  <c r="AH994" i="20" s="1"/>
  <c r="AI994" i="20" s="1"/>
  <c r="AK994" i="20" s="1"/>
  <c r="AI814" i="20"/>
  <c r="AK814" i="20" s="1"/>
  <c r="AF809" i="20"/>
  <c r="AG809" i="20" s="1"/>
  <c r="AH809" i="20" s="1"/>
  <c r="AG996" i="20"/>
  <c r="AH996" i="20" s="1"/>
  <c r="AH456" i="20"/>
  <c r="AI456" i="20" s="1"/>
  <c r="AK456" i="20" s="1"/>
  <c r="AG209" i="20"/>
  <c r="AH414" i="20"/>
  <c r="AI414" i="20" s="1"/>
  <c r="AK414" i="20" s="1"/>
  <c r="AF300" i="20"/>
  <c r="AG300" i="20" s="1"/>
  <c r="AH300" i="20" s="1"/>
  <c r="AI757" i="20"/>
  <c r="AK757" i="20" s="1"/>
  <c r="AF226" i="20"/>
  <c r="AG226" i="20" s="1"/>
  <c r="AH226" i="20" s="1"/>
  <c r="AG375" i="20"/>
  <c r="AH375" i="20" s="1"/>
  <c r="AI375" i="20" s="1"/>
  <c r="AK375" i="20" s="1"/>
  <c r="AG112" i="20"/>
  <c r="AH112" i="20" s="1"/>
  <c r="AI112" i="20" s="1"/>
  <c r="AK112" i="20" s="1"/>
  <c r="AG698" i="20"/>
  <c r="AH698" i="20" s="1"/>
  <c r="AG725" i="20"/>
  <c r="AH725" i="20" s="1"/>
  <c r="AI725" i="20" s="1"/>
  <c r="AK725" i="20" s="1"/>
  <c r="AG731" i="20"/>
  <c r="AH731" i="20" s="1"/>
  <c r="AI731" i="20" s="1"/>
  <c r="AK731" i="20" s="1"/>
  <c r="AG762" i="20"/>
  <c r="AH762" i="20" s="1"/>
  <c r="AI762" i="20" s="1"/>
  <c r="AK762" i="20" s="1"/>
  <c r="AG952" i="20"/>
  <c r="AH952" i="20" s="1"/>
  <c r="AI952" i="20" s="1"/>
  <c r="AK952" i="20" s="1"/>
  <c r="AG718" i="20"/>
  <c r="AH718" i="20" s="1"/>
  <c r="AF473" i="20"/>
  <c r="AG473" i="20" s="1"/>
  <c r="AF31" i="20"/>
  <c r="AG31" i="20" s="1"/>
  <c r="AH31" i="20" s="1"/>
  <c r="AI143" i="20"/>
  <c r="AK143" i="20" s="1"/>
  <c r="AI796" i="20"/>
  <c r="AK796" i="20" s="1"/>
  <c r="AI278" i="20"/>
  <c r="AK278" i="20" s="1"/>
  <c r="AH448" i="20"/>
  <c r="AI448" i="20" s="1"/>
  <c r="AK448" i="20" s="1"/>
  <c r="AG778" i="20"/>
  <c r="AH778" i="20" s="1"/>
  <c r="AI778" i="20" s="1"/>
  <c r="AK778" i="20" s="1"/>
  <c r="AI1022" i="20"/>
  <c r="AK1022" i="20" s="1"/>
  <c r="AG966" i="20"/>
  <c r="AH966" i="20" s="1"/>
  <c r="AI966" i="20" s="1"/>
  <c r="AK966" i="20" s="1"/>
  <c r="AI142" i="20"/>
  <c r="AK142" i="20" s="1"/>
  <c r="AH107" i="20"/>
  <c r="AI107" i="20" s="1"/>
  <c r="AK107" i="20" s="1"/>
  <c r="AI588" i="20"/>
  <c r="AK588" i="20" s="1"/>
  <c r="AG299" i="20"/>
  <c r="AH299" i="20" s="1"/>
  <c r="AI299" i="20" s="1"/>
  <c r="AK299" i="20" s="1"/>
  <c r="AG316" i="20"/>
  <c r="AH316" i="20" s="1"/>
  <c r="AI316" i="20" s="1"/>
  <c r="AK316" i="20" s="1"/>
  <c r="AF57" i="20"/>
  <c r="AG57" i="20" s="1"/>
  <c r="AI557" i="20"/>
  <c r="AK557" i="20" s="1"/>
  <c r="AG417" i="20"/>
  <c r="AH417" i="20" s="1"/>
  <c r="AI417" i="20" s="1"/>
  <c r="AK417" i="20" s="1"/>
  <c r="AG327" i="20"/>
  <c r="AH327" i="20" s="1"/>
  <c r="AI327" i="20" s="1"/>
  <c r="AK327" i="20" s="1"/>
  <c r="AF73" i="20"/>
  <c r="AG73" i="20" s="1"/>
  <c r="AH73" i="20" s="1"/>
  <c r="AG458" i="20"/>
  <c r="AH458" i="20" s="1"/>
  <c r="AI458" i="20" s="1"/>
  <c r="AK458" i="20" s="1"/>
  <c r="AG341" i="20"/>
  <c r="AH341" i="20" s="1"/>
  <c r="AI341" i="20" s="1"/>
  <c r="AK341" i="20" s="1"/>
  <c r="AF85" i="20"/>
  <c r="AF80" i="20"/>
  <c r="AG80" i="20" s="1"/>
  <c r="AH80" i="20" s="1"/>
  <c r="AI80" i="20" s="1"/>
  <c r="AK80" i="20" s="1"/>
  <c r="AF42" i="20"/>
  <c r="AG42" i="20" s="1"/>
  <c r="AH42" i="20" s="1"/>
  <c r="AI311" i="20"/>
  <c r="AK311" i="20" s="1"/>
  <c r="AI94" i="20"/>
  <c r="AK94" i="20" s="1"/>
  <c r="AE780" i="20"/>
  <c r="AF780" i="20" s="1"/>
  <c r="AI783" i="20"/>
  <c r="AK783" i="20" s="1"/>
  <c r="AI462" i="20"/>
  <c r="AK462" i="20" s="1"/>
  <c r="AI1011" i="20"/>
  <c r="AK1011" i="20" s="1"/>
  <c r="AG729" i="20"/>
  <c r="AH729" i="20" s="1"/>
  <c r="AI729" i="20" s="1"/>
  <c r="AK729" i="20" s="1"/>
  <c r="AG390" i="20"/>
  <c r="AH390" i="20" s="1"/>
  <c r="AI390" i="20" s="1"/>
  <c r="AK390" i="20" s="1"/>
  <c r="AG782" i="20"/>
  <c r="AH782" i="20" s="1"/>
  <c r="AI782" i="20" s="1"/>
  <c r="AK782" i="20" s="1"/>
  <c r="AG235" i="20"/>
  <c r="AH235" i="20" s="1"/>
  <c r="AI235" i="20" s="1"/>
  <c r="AK235" i="20" s="1"/>
  <c r="AF20" i="20"/>
  <c r="AG20" i="20" s="1"/>
  <c r="AH20" i="20" s="1"/>
  <c r="AG811" i="20"/>
  <c r="AH811" i="20" s="1"/>
  <c r="AI811" i="20" s="1"/>
  <c r="AK811" i="20" s="1"/>
  <c r="AG111" i="20"/>
  <c r="AH111" i="20" s="1"/>
  <c r="AI111" i="20" s="1"/>
  <c r="AK111" i="20" s="1"/>
  <c r="AG301" i="20"/>
  <c r="AH301" i="20" s="1"/>
  <c r="AI301" i="20" s="1"/>
  <c r="AK301" i="20" s="1"/>
  <c r="AG29" i="20"/>
  <c r="AH29" i="20" s="1"/>
  <c r="AI29" i="20" s="1"/>
  <c r="AK29" i="20" s="1"/>
  <c r="AG119" i="20"/>
  <c r="AH119" i="20" s="1"/>
  <c r="AI119" i="20" s="1"/>
  <c r="AK119" i="20" s="1"/>
  <c r="AG1018" i="20"/>
  <c r="AH1018" i="20" s="1"/>
  <c r="AI1018" i="20" s="1"/>
  <c r="AK1018" i="20" s="1"/>
  <c r="AF118" i="20"/>
  <c r="AG118" i="20" s="1"/>
  <c r="AH118" i="20" s="1"/>
  <c r="AF747" i="20"/>
  <c r="AG747" i="20" s="1"/>
  <c r="AH747" i="20" s="1"/>
  <c r="AF384" i="20"/>
  <c r="AG384" i="20" s="1"/>
  <c r="AG308" i="20"/>
  <c r="AH308" i="20" s="1"/>
  <c r="AI308" i="20" s="1"/>
  <c r="AK308" i="20" s="1"/>
  <c r="AG181" i="20"/>
  <c r="AH181" i="20" s="1"/>
  <c r="AG941" i="20"/>
  <c r="AI52" i="20"/>
  <c r="AK52" i="20" s="1"/>
  <c r="AH369" i="20"/>
  <c r="AI369" i="20" s="1"/>
  <c r="AK369" i="20" s="1"/>
  <c r="AF100" i="20"/>
  <c r="AG100" i="20" s="1"/>
  <c r="AH100" i="20" s="1"/>
  <c r="AI100" i="20" s="1"/>
  <c r="AK100" i="20" s="1"/>
  <c r="AE96" i="20"/>
  <c r="AF96" i="20" s="1"/>
  <c r="AG96" i="20" s="1"/>
  <c r="AH96" i="20" s="1"/>
  <c r="AI561" i="20"/>
  <c r="AK561" i="20" s="1"/>
  <c r="AF207" i="20"/>
  <c r="AG207" i="20" s="1"/>
  <c r="AH58" i="20"/>
  <c r="AI58" i="20" s="1"/>
  <c r="AK58" i="20" s="1"/>
  <c r="AI289" i="20"/>
  <c r="AK289" i="20" s="1"/>
  <c r="AG974" i="20"/>
  <c r="AH974" i="20" s="1"/>
  <c r="AI974" i="20" s="1"/>
  <c r="AK974" i="20" s="1"/>
  <c r="AE281" i="20"/>
  <c r="AF281" i="20" s="1"/>
  <c r="AG281" i="20" s="1"/>
  <c r="AH281" i="20" s="1"/>
  <c r="AI281" i="20" s="1"/>
  <c r="AK281" i="20" s="1"/>
  <c r="AH935" i="20"/>
  <c r="AI935" i="20" s="1"/>
  <c r="AE21" i="20"/>
  <c r="AF21" i="20" s="1"/>
  <c r="AG21" i="20" s="1"/>
  <c r="AH75" i="20"/>
  <c r="AI75" i="20" s="1"/>
  <c r="AK75" i="20" s="1"/>
  <c r="AF139" i="20"/>
  <c r="AG139" i="20" s="1"/>
  <c r="AH724" i="20"/>
  <c r="AI724" i="20" s="1"/>
  <c r="AK724" i="20" s="1"/>
  <c r="AG470" i="20"/>
  <c r="AH470" i="20" s="1"/>
  <c r="AI470" i="20" s="1"/>
  <c r="AK470" i="20" s="1"/>
  <c r="AI794" i="20"/>
  <c r="AK794" i="20" s="1"/>
  <c r="AI422" i="20"/>
  <c r="AK422" i="20" s="1"/>
  <c r="AE693" i="20"/>
  <c r="AF693" i="20" s="1"/>
  <c r="AG693" i="20" s="1"/>
  <c r="AH693" i="20" s="1"/>
  <c r="AI693" i="20" s="1"/>
  <c r="AK693" i="20" s="1"/>
  <c r="AH423" i="20"/>
  <c r="AI423" i="20" s="1"/>
  <c r="AK423" i="20" s="1"/>
  <c r="AH298" i="20"/>
  <c r="AI298" i="20" s="1"/>
  <c r="AK298" i="20" s="1"/>
  <c r="AE491" i="20"/>
  <c r="AF491" i="20" s="1"/>
  <c r="AI786" i="20"/>
  <c r="AK786" i="20" s="1"/>
  <c r="AE484" i="20"/>
  <c r="AF225" i="20"/>
  <c r="AE950" i="20"/>
  <c r="AF950" i="20" s="1"/>
  <c r="AF986" i="20"/>
  <c r="AG986" i="20" s="1"/>
  <c r="AH986" i="20" s="1"/>
  <c r="AI986" i="20" s="1"/>
  <c r="AK986" i="20" s="1"/>
  <c r="AI784" i="20"/>
  <c r="AK784" i="20" s="1"/>
  <c r="AH452" i="20"/>
  <c r="AI452" i="20" s="1"/>
  <c r="AK452" i="20" s="1"/>
  <c r="AH937" i="20"/>
  <c r="AI937" i="20" s="1"/>
  <c r="AK937" i="20" s="1"/>
  <c r="AI850" i="20"/>
  <c r="AK850" i="20" s="1"/>
  <c r="AH568" i="20"/>
  <c r="AI568" i="20" s="1"/>
  <c r="AK568" i="20" s="1"/>
  <c r="AI1001" i="20"/>
  <c r="AK1001" i="20" s="1"/>
  <c r="AE924" i="20"/>
  <c r="AI486" i="20"/>
  <c r="AK486" i="20" s="1"/>
  <c r="AI381" i="20"/>
  <c r="AK381" i="20" s="1"/>
  <c r="AI227" i="20"/>
  <c r="AK227" i="20" s="1"/>
  <c r="AH30" i="20"/>
  <c r="AI30" i="20" s="1"/>
  <c r="AK30" i="20" s="1"/>
  <c r="AG712" i="20"/>
  <c r="AH712" i="20" s="1"/>
  <c r="AI712" i="20" s="1"/>
  <c r="AK712" i="20" s="1"/>
  <c r="AH739" i="20"/>
  <c r="AI739" i="20" s="1"/>
  <c r="AK739" i="20" s="1"/>
  <c r="AH948" i="20"/>
  <c r="AI948" i="20" s="1"/>
  <c r="AK948" i="20" s="1"/>
  <c r="AH162" i="20"/>
  <c r="AI162" i="20" s="1"/>
  <c r="AK162" i="20" s="1"/>
  <c r="AE455" i="20"/>
  <c r="AF455" i="20" s="1"/>
  <c r="AG455" i="20" s="1"/>
  <c r="AF221" i="20"/>
  <c r="AG221" i="20" s="1"/>
  <c r="AH221" i="20" s="1"/>
  <c r="AI221" i="20" s="1"/>
  <c r="AK221" i="20" s="1"/>
  <c r="AF248" i="20"/>
  <c r="AG248" i="20" s="1"/>
  <c r="AH248" i="20" s="1"/>
  <c r="AI248" i="20" s="1"/>
  <c r="AK248" i="20" s="1"/>
  <c r="AI764" i="20"/>
  <c r="AK764" i="20" s="1"/>
  <c r="AH968" i="20"/>
  <c r="AI968" i="20" s="1"/>
  <c r="AK968" i="20" s="1"/>
  <c r="AG707" i="20"/>
  <c r="AH707" i="20" s="1"/>
  <c r="AI707" i="20" s="1"/>
  <c r="AK707" i="20" s="1"/>
  <c r="AI518" i="20"/>
  <c r="AK518" i="20" s="1"/>
  <c r="AF67" i="20"/>
  <c r="AG67" i="20" s="1"/>
  <c r="AF14" i="20"/>
  <c r="AG14" i="20" s="1"/>
  <c r="AH14" i="20" s="1"/>
  <c r="AI14" i="20" s="1"/>
  <c r="AK14" i="20" s="1"/>
  <c r="AE275" i="20"/>
  <c r="AF275" i="20" s="1"/>
  <c r="AE61" i="20"/>
  <c r="AF61" i="20" s="1"/>
  <c r="AE481" i="20"/>
  <c r="AF481" i="20" s="1"/>
  <c r="AG481" i="20" s="1"/>
  <c r="AH481" i="20" s="1"/>
  <c r="AI331" i="20"/>
  <c r="AK331" i="20" s="1"/>
  <c r="AE210" i="20"/>
  <c r="AE187" i="20"/>
  <c r="AE321" i="20"/>
  <c r="AF321" i="20" s="1"/>
  <c r="AE978" i="20"/>
  <c r="AF978" i="20" s="1"/>
  <c r="AF426" i="20"/>
  <c r="AG426" i="20" s="1"/>
  <c r="AH426" i="20" s="1"/>
  <c r="AE385" i="20"/>
  <c r="AF385" i="20" s="1"/>
  <c r="AH947" i="20"/>
  <c r="AI947" i="20" s="1"/>
  <c r="AK947" i="20" s="1"/>
  <c r="AF283" i="20"/>
  <c r="AG283" i="20" s="1"/>
  <c r="AH283" i="20" s="1"/>
  <c r="AI318" i="20"/>
  <c r="AK318" i="20" s="1"/>
  <c r="AI86" i="20"/>
  <c r="AK86" i="20" s="1"/>
  <c r="AI212" i="20"/>
  <c r="AK212" i="20" s="1"/>
  <c r="AI942" i="20"/>
  <c r="AK942" i="20" s="1"/>
  <c r="AF730" i="20"/>
  <c r="AG730" i="20" s="1"/>
  <c r="AI1013" i="20"/>
  <c r="AK1013" i="20" s="1"/>
  <c r="AH418" i="20"/>
  <c r="AI418" i="20" s="1"/>
  <c r="AK418" i="20" s="1"/>
  <c r="AI38" i="20"/>
  <c r="AK38" i="20" s="1"/>
  <c r="AF480" i="20"/>
  <c r="AG480" i="20" s="1"/>
  <c r="AH480" i="20" s="1"/>
  <c r="AI305" i="20"/>
  <c r="AK305" i="20" s="1"/>
  <c r="AF101" i="20"/>
  <c r="AG101" i="20" s="1"/>
  <c r="AH101" i="20" s="1"/>
  <c r="AI297" i="20"/>
  <c r="AK297" i="20" s="1"/>
  <c r="AF706" i="20"/>
  <c r="AG706" i="20" s="1"/>
  <c r="AH706" i="20" s="1"/>
  <c r="AG719" i="20"/>
  <c r="AH719" i="20" s="1"/>
  <c r="AI719" i="20" s="1"/>
  <c r="AK719" i="20" s="1"/>
  <c r="AF787" i="20"/>
  <c r="AF338" i="20"/>
  <c r="AG338" i="20" s="1"/>
  <c r="AH338" i="20" s="1"/>
  <c r="AF713" i="20"/>
  <c r="AG713" i="20" s="1"/>
  <c r="AH713" i="20" s="1"/>
  <c r="AF200" i="20"/>
  <c r="AG200" i="20" s="1"/>
  <c r="AH200" i="20" s="1"/>
  <c r="AF960" i="20"/>
  <c r="AG960" i="20" s="1"/>
  <c r="AH960" i="20" s="1"/>
  <c r="AF346" i="20"/>
  <c r="AG346" i="20" s="1"/>
  <c r="AG440" i="20"/>
  <c r="AH440" i="20" s="1"/>
  <c r="AI440" i="20" s="1"/>
  <c r="AK440" i="20" s="1"/>
  <c r="AG848" i="20"/>
  <c r="AH848" i="20" s="1"/>
  <c r="AI848" i="20" s="1"/>
  <c r="AK848" i="20" s="1"/>
  <c r="AG607" i="20"/>
  <c r="AH607" i="20" s="1"/>
  <c r="AF272" i="20"/>
  <c r="AG272" i="20" s="1"/>
  <c r="AG233" i="20"/>
  <c r="AH233" i="20" s="1"/>
  <c r="AI233" i="20" s="1"/>
  <c r="AK233" i="20" s="1"/>
  <c r="AH737" i="20"/>
  <c r="AI737" i="20" s="1"/>
  <c r="AK737" i="20" s="1"/>
  <c r="AD689" i="20"/>
  <c r="AG580" i="20"/>
  <c r="AH580" i="20" s="1"/>
  <c r="AG373" i="20"/>
  <c r="AG695" i="20"/>
  <c r="AH695" i="20" s="1"/>
  <c r="AI695" i="20" s="1"/>
  <c r="AK695" i="20" s="1"/>
  <c r="AH525" i="20"/>
  <c r="AI525" i="20" s="1"/>
  <c r="AK525" i="20" s="1"/>
  <c r="AG262" i="20"/>
  <c r="AH262" i="20" s="1"/>
  <c r="AI262" i="20" s="1"/>
  <c r="AK262" i="20" s="1"/>
  <c r="AG78" i="20"/>
  <c r="AH78" i="20" s="1"/>
  <c r="AI78" i="20" s="1"/>
  <c r="AK78" i="20" s="1"/>
  <c r="AG469" i="20"/>
  <c r="AH469" i="20" s="1"/>
  <c r="AI469" i="20" s="1"/>
  <c r="AK469" i="20" s="1"/>
  <c r="AG391" i="20"/>
  <c r="AH391" i="20" s="1"/>
  <c r="AI391" i="20" s="1"/>
  <c r="AK391" i="20" s="1"/>
  <c r="AG178" i="20"/>
  <c r="AH178" i="20" s="1"/>
  <c r="AI178" i="20" s="1"/>
  <c r="AK178" i="20" s="1"/>
  <c r="AG439" i="20"/>
  <c r="AG393" i="20"/>
  <c r="AH393" i="20" s="1"/>
  <c r="AG59" i="20"/>
  <c r="AH59" i="20" s="1"/>
  <c r="AG817" i="20"/>
  <c r="AH817" i="20" s="1"/>
  <c r="AG343" i="20"/>
  <c r="AG276" i="20"/>
  <c r="AH276" i="20" s="1"/>
  <c r="AG89" i="20"/>
  <c r="AH89" i="20" s="1"/>
  <c r="AF465" i="20"/>
  <c r="AG465" i="20" s="1"/>
  <c r="AG114" i="20"/>
  <c r="AH114" i="20" s="1"/>
  <c r="AI114" i="20" s="1"/>
  <c r="AK114" i="20" s="1"/>
  <c r="AH939" i="20"/>
  <c r="AI939" i="20" s="1"/>
  <c r="AK939" i="20" s="1"/>
  <c r="AH430" i="20"/>
  <c r="AI430" i="20" s="1"/>
  <c r="AK430" i="20" s="1"/>
  <c r="AI312" i="20"/>
  <c r="AK312" i="20" s="1"/>
  <c r="AH991" i="20"/>
  <c r="AI991" i="20" s="1"/>
  <c r="AK991" i="20" s="1"/>
  <c r="AF818" i="20"/>
  <c r="AG818" i="20" s="1"/>
  <c r="AG749" i="20"/>
  <c r="AI569" i="20"/>
  <c r="AK569" i="20" s="1"/>
  <c r="AE263" i="20"/>
  <c r="AF263" i="20" s="1"/>
  <c r="AI962" i="20"/>
  <c r="AK962" i="20" s="1"/>
  <c r="AG781" i="20"/>
  <c r="AI44" i="20"/>
  <c r="AK44" i="20" s="1"/>
  <c r="AG539" i="20"/>
  <c r="AH539" i="20" s="1"/>
  <c r="AI565" i="20"/>
  <c r="AK565" i="20" s="1"/>
  <c r="AI566" i="20"/>
  <c r="AK566" i="20" s="1"/>
  <c r="AH425" i="20"/>
  <c r="AI425" i="20" s="1"/>
  <c r="AK425" i="20" s="1"/>
  <c r="AE1004" i="20"/>
  <c r="AF1004" i="20" s="1"/>
  <c r="AG549" i="20"/>
  <c r="AH549" i="20" s="1"/>
  <c r="AE467" i="20"/>
  <c r="AF467" i="20" s="1"/>
  <c r="AH985" i="20"/>
  <c r="AI985" i="20" s="1"/>
  <c r="AK985" i="20" s="1"/>
  <c r="AH374" i="20"/>
  <c r="AI374" i="20" s="1"/>
  <c r="AK374" i="20" s="1"/>
  <c r="AF691" i="20"/>
  <c r="AG691" i="20" s="1"/>
  <c r="AH317" i="20"/>
  <c r="AI317" i="20" s="1"/>
  <c r="AK317" i="20" s="1"/>
  <c r="AH810" i="20"/>
  <c r="AI810" i="20" s="1"/>
  <c r="AK810" i="20" s="1"/>
  <c r="AF306" i="20"/>
  <c r="AG306" i="20" s="1"/>
  <c r="AH306" i="20" s="1"/>
  <c r="AI243" i="20"/>
  <c r="AK243" i="20" s="1"/>
  <c r="AG582" i="20"/>
  <c r="AH582" i="20" s="1"/>
  <c r="AI228" i="20"/>
  <c r="AK228" i="20" s="1"/>
  <c r="AH79" i="20"/>
  <c r="AI79" i="20" s="1"/>
  <c r="AK79" i="20" s="1"/>
  <c r="AI604" i="20"/>
  <c r="AK604" i="20" s="1"/>
  <c r="AE254" i="20"/>
  <c r="AF254" i="20" s="1"/>
  <c r="AI71" i="20"/>
  <c r="AK71" i="20" s="1"/>
  <c r="AF808" i="20"/>
  <c r="AG808" i="20" s="1"/>
  <c r="AH808" i="20" s="1"/>
  <c r="AI759" i="20"/>
  <c r="AK759" i="20" s="1"/>
  <c r="AE322" i="20"/>
  <c r="AF322" i="20" s="1"/>
  <c r="AH161" i="20"/>
  <c r="AI161" i="20" s="1"/>
  <c r="AK161" i="20" s="1"/>
  <c r="AF766" i="20"/>
  <c r="AH485" i="20"/>
  <c r="AI485" i="20" s="1"/>
  <c r="AK485" i="20" s="1"/>
  <c r="AH812" i="20"/>
  <c r="AI812" i="20" s="1"/>
  <c r="AK812" i="20" s="1"/>
  <c r="AH1014" i="20"/>
  <c r="AI1014" i="20" s="1"/>
  <c r="AK1014" i="20" s="1"/>
  <c r="AH806" i="20"/>
  <c r="AI806" i="20" s="1"/>
  <c r="AK806" i="20" s="1"/>
  <c r="AH125" i="20"/>
  <c r="AI125" i="20" s="1"/>
  <c r="AK125" i="20" s="1"/>
  <c r="AH350" i="20"/>
  <c r="AI350" i="20" s="1"/>
  <c r="AK350" i="20" s="1"/>
  <c r="AH360" i="20"/>
  <c r="AI360" i="20" s="1"/>
  <c r="AK360" i="20" s="1"/>
  <c r="AF383" i="20"/>
  <c r="AG383" i="20" s="1"/>
  <c r="AF129" i="20"/>
  <c r="AI282" i="20"/>
  <c r="AK282" i="20" s="1"/>
  <c r="AH232" i="20"/>
  <c r="AI232" i="20" s="1"/>
  <c r="AK232" i="20" s="1"/>
  <c r="AI172" i="20"/>
  <c r="AK172" i="20" s="1"/>
  <c r="AE25" i="20"/>
  <c r="AF25" i="20" s="1"/>
  <c r="AF771" i="20"/>
  <c r="AG771" i="20" s="1"/>
  <c r="AH559" i="20"/>
  <c r="AI559" i="20" s="1"/>
  <c r="AK559" i="20" s="1"/>
  <c r="AF253" i="20"/>
  <c r="AG253" i="20" s="1"/>
  <c r="AH253" i="20" s="1"/>
  <c r="AH105" i="20"/>
  <c r="AI105" i="20" s="1"/>
  <c r="AK105" i="20" s="1"/>
  <c r="AE88" i="20"/>
  <c r="AF88" i="20" s="1"/>
  <c r="AG88" i="20" s="1"/>
  <c r="AE62" i="20"/>
  <c r="AF62" i="20" s="1"/>
  <c r="AF944" i="20"/>
  <c r="AG944" i="20" s="1"/>
  <c r="AF927" i="20"/>
  <c r="AG927" i="20" s="1"/>
  <c r="AD934" i="20"/>
  <c r="AI839" i="20"/>
  <c r="AK839" i="20" s="1"/>
  <c r="AH708" i="20"/>
  <c r="AI708" i="20" s="1"/>
  <c r="AK708" i="20" s="1"/>
  <c r="AF506" i="20"/>
  <c r="AG506" i="20" s="1"/>
  <c r="AI454" i="20"/>
  <c r="AK454" i="20" s="1"/>
  <c r="AF330" i="20"/>
  <c r="AG330" i="20" s="1"/>
  <c r="AH330" i="20" s="1"/>
  <c r="AI330" i="20" s="1"/>
  <c r="AK330" i="20" s="1"/>
  <c r="AF34" i="20"/>
  <c r="AH182" i="20"/>
  <c r="AI182" i="20" s="1"/>
  <c r="AK182" i="20" s="1"/>
  <c r="AH36" i="20"/>
  <c r="AI36" i="20" s="1"/>
  <c r="AK36" i="20" s="1"/>
  <c r="AH408" i="20"/>
  <c r="AI408" i="20" s="1"/>
  <c r="AK408" i="20" s="1"/>
  <c r="AG493" i="20"/>
  <c r="AH493" i="20" s="1"/>
  <c r="AI493" i="20" s="1"/>
  <c r="AK493" i="20" s="1"/>
  <c r="AI22" i="20"/>
  <c r="AK22" i="20" s="1"/>
  <c r="AH180" i="20"/>
  <c r="AI180" i="20" s="1"/>
  <c r="AK180" i="20" s="1"/>
  <c r="AG396" i="20"/>
  <c r="AH396" i="20" s="1"/>
  <c r="AG453" i="20"/>
  <c r="AH453" i="20" s="1"/>
  <c r="AE1015" i="20"/>
  <c r="AE745" i="20"/>
  <c r="AF745" i="20" s="1"/>
  <c r="AH734" i="20"/>
  <c r="AI734" i="20" s="1"/>
  <c r="AK734" i="20" s="1"/>
  <c r="AG704" i="20"/>
  <c r="AH704" i="20" s="1"/>
  <c r="AE765" i="20"/>
  <c r="AH726" i="20"/>
  <c r="AI726" i="20" s="1"/>
  <c r="AK726" i="20" s="1"/>
  <c r="AG451" i="20"/>
  <c r="AH451" i="20" s="1"/>
  <c r="AH405" i="20"/>
  <c r="AI405" i="20" s="1"/>
  <c r="AK405" i="20" s="1"/>
  <c r="AF273" i="20"/>
  <c r="AH264" i="20"/>
  <c r="AI264" i="20" s="1"/>
  <c r="AK264" i="20" s="1"/>
  <c r="AG19" i="20"/>
  <c r="AH19" i="20" s="1"/>
  <c r="AI19" i="20" s="1"/>
  <c r="AK19" i="20" s="1"/>
  <c r="AG577" i="20"/>
  <c r="AG1012" i="20"/>
  <c r="AH1012" i="20" s="1"/>
  <c r="AI1012" i="20" s="1"/>
  <c r="AK1012" i="20" s="1"/>
  <c r="AE777" i="20"/>
  <c r="AF777" i="20" s="1"/>
  <c r="AG558" i="20"/>
  <c r="AH558" i="20" s="1"/>
  <c r="AE505" i="20"/>
  <c r="AF505" i="20" s="1"/>
  <c r="AG336" i="20"/>
  <c r="AH336" i="20" s="1"/>
  <c r="AG345" i="20"/>
  <c r="AH345" i="20" s="1"/>
  <c r="AI345" i="20" s="1"/>
  <c r="AK345" i="20" s="1"/>
  <c r="AG160" i="20"/>
  <c r="AH160" i="20" s="1"/>
  <c r="AI160" i="20" s="1"/>
  <c r="AK160" i="20" s="1"/>
  <c r="AG97" i="20"/>
  <c r="AH97" i="20" s="1"/>
  <c r="AI97" i="20" s="1"/>
  <c r="AK97" i="20" s="1"/>
  <c r="AF997" i="20"/>
  <c r="AG997" i="20" s="1"/>
  <c r="AH997" i="20" s="1"/>
  <c r="AG523" i="20"/>
  <c r="AH523" i="20" s="1"/>
  <c r="AI523" i="20" s="1"/>
  <c r="AK523" i="20" s="1"/>
  <c r="AH435" i="20"/>
  <c r="AI435" i="20" s="1"/>
  <c r="AK435" i="20" s="1"/>
  <c r="AE259" i="20"/>
  <c r="AF259" i="20" s="1"/>
  <c r="AF256" i="20"/>
  <c r="AG179" i="20"/>
  <c r="AH179" i="20" s="1"/>
  <c r="AI179" i="20" s="1"/>
  <c r="AK179" i="20" s="1"/>
  <c r="AG135" i="20"/>
  <c r="AH135" i="20" s="1"/>
  <c r="AI135" i="20" s="1"/>
  <c r="AK135" i="20" s="1"/>
  <c r="AE53" i="20"/>
  <c r="AF53" i="20" s="1"/>
  <c r="AH121" i="20"/>
  <c r="AI121" i="20" s="1"/>
  <c r="AK121" i="20" s="1"/>
  <c r="AE223" i="20"/>
  <c r="AG13" i="20"/>
  <c r="AF274" i="20"/>
  <c r="AG274" i="20" s="1"/>
  <c r="AH274" i="20" s="1"/>
  <c r="AG363" i="20"/>
  <c r="AH363" i="20" s="1"/>
  <c r="AI363" i="20" s="1"/>
  <c r="AK363" i="20" s="1"/>
  <c r="AH521" i="20"/>
  <c r="AI521" i="20" s="1"/>
  <c r="AK521" i="20" s="1"/>
  <c r="AI546" i="20"/>
  <c r="AK546" i="20" s="1"/>
  <c r="AH576" i="20"/>
  <c r="AI576" i="20" s="1"/>
  <c r="AK576" i="20" s="1"/>
  <c r="AI509" i="20"/>
  <c r="AK509" i="20" s="1"/>
  <c r="AF989" i="20"/>
  <c r="AF504" i="20"/>
  <c r="AG504" i="20" s="1"/>
  <c r="AG982" i="20"/>
  <c r="AH982" i="20" s="1"/>
  <c r="AF717" i="20"/>
  <c r="AG741" i="20"/>
  <c r="AH741" i="20" s="1"/>
  <c r="AI741" i="20" s="1"/>
  <c r="AK741" i="20" s="1"/>
  <c r="AG733" i="20"/>
  <c r="AH733" i="20" s="1"/>
  <c r="AH520" i="20"/>
  <c r="AI520" i="20" s="1"/>
  <c r="AK520" i="20" s="1"/>
  <c r="AH351" i="20"/>
  <c r="AI351" i="20" s="1"/>
  <c r="AK351" i="20" s="1"/>
  <c r="AF302" i="20"/>
  <c r="AG302" i="20" s="1"/>
  <c r="AH302" i="20" s="1"/>
  <c r="AG173" i="20"/>
  <c r="AH173" i="20" s="1"/>
  <c r="AI173" i="20" s="1"/>
  <c r="AK173" i="20" s="1"/>
  <c r="AF76" i="20"/>
  <c r="AG76" i="20" s="1"/>
  <c r="AH76" i="20" s="1"/>
  <c r="AF151" i="20"/>
  <c r="AG151" i="20" s="1"/>
  <c r="AH563" i="20"/>
  <c r="AI563" i="20" s="1"/>
  <c r="AK563" i="20" s="1"/>
  <c r="AF501" i="20"/>
  <c r="AG501" i="20" s="1"/>
  <c r="AF261" i="20"/>
  <c r="AG261" i="20" s="1"/>
  <c r="AH261" i="20" s="1"/>
  <c r="AG236" i="20"/>
  <c r="AH236" i="20" s="1"/>
  <c r="AI236" i="20" s="1"/>
  <c r="AK236" i="20" s="1"/>
  <c r="AF206" i="20"/>
  <c r="AG206" i="20" s="1"/>
  <c r="AH206" i="20" s="1"/>
  <c r="AH224" i="20"/>
  <c r="AI224" i="20" s="1"/>
  <c r="AK224" i="20" s="1"/>
  <c r="AH1021" i="20"/>
  <c r="AI1021" i="20" s="1"/>
  <c r="AK1021" i="20" s="1"/>
  <c r="AG773" i="20"/>
  <c r="AH773" i="20" s="1"/>
  <c r="AI773" i="20" s="1"/>
  <c r="AK773" i="20" s="1"/>
  <c r="AF694" i="20"/>
  <c r="AG694" i="20" s="1"/>
  <c r="AE320" i="20"/>
  <c r="AF320" i="20" s="1"/>
  <c r="AH367" i="20"/>
  <c r="AI367" i="20" s="1"/>
  <c r="AK367" i="20" s="1"/>
  <c r="AG291" i="20"/>
  <c r="AG215" i="20"/>
  <c r="AH215" i="20" s="1"/>
  <c r="AF192" i="20"/>
  <c r="AG192" i="20" s="1"/>
  <c r="AE15" i="20"/>
  <c r="AF15" i="20" s="1"/>
  <c r="AG851" i="20"/>
  <c r="AH851" i="20" s="1"/>
  <c r="AH775" i="20"/>
  <c r="AI775" i="20" s="1"/>
  <c r="AK775" i="20" s="1"/>
  <c r="AH446" i="20"/>
  <c r="AI446" i="20" s="1"/>
  <c r="AK446" i="20" s="1"/>
  <c r="AH152" i="20"/>
  <c r="AI152" i="20" s="1"/>
  <c r="AK152" i="20" s="1"/>
  <c r="AH190" i="20"/>
  <c r="AI190" i="20" s="1"/>
  <c r="AK190" i="20" s="1"/>
  <c r="AH72" i="20"/>
  <c r="AI72" i="20" s="1"/>
  <c r="AK72" i="20" s="1"/>
  <c r="AG550" i="20"/>
  <c r="AH550" i="20" s="1"/>
  <c r="AG514" i="20"/>
  <c r="AH514" i="20" s="1"/>
  <c r="AI514" i="20" s="1"/>
  <c r="AK514" i="20" s="1"/>
  <c r="AG940" i="20"/>
  <c r="AH940" i="20" s="1"/>
  <c r="AI940" i="20" s="1"/>
  <c r="AK940" i="20" s="1"/>
  <c r="AG474" i="20"/>
  <c r="AG591" i="20"/>
  <c r="AH591" i="20" s="1"/>
  <c r="AG841" i="20"/>
  <c r="AH841" i="20" s="1"/>
  <c r="AI841" i="20" s="1"/>
  <c r="AK841" i="20" s="1"/>
  <c r="AG468" i="20"/>
  <c r="AG237" i="20"/>
  <c r="AH237" i="20" s="1"/>
  <c r="AE69" i="20"/>
  <c r="AF69" i="20" s="1"/>
  <c r="AG56" i="20"/>
  <c r="AH56" i="20" s="1"/>
  <c r="AG567" i="20"/>
  <c r="AH567" i="20" s="1"/>
  <c r="AG715" i="20"/>
  <c r="AH715" i="20" s="1"/>
  <c r="AE697" i="20"/>
  <c r="AF697" i="20" s="1"/>
  <c r="AG447" i="20"/>
  <c r="AH447" i="20" s="1"/>
  <c r="AE489" i="20"/>
  <c r="AF489" i="20" s="1"/>
  <c r="AG461" i="20"/>
  <c r="AH461" i="20" s="1"/>
  <c r="AG359" i="20"/>
  <c r="AH359" i="20" s="1"/>
  <c r="AG315" i="20"/>
  <c r="AG260" i="20"/>
  <c r="AH260" i="20" s="1"/>
  <c r="AE255" i="20"/>
  <c r="AF255" i="20" s="1"/>
  <c r="AG51" i="20"/>
  <c r="AH51" i="20" s="1"/>
  <c r="AI51" i="20" s="1"/>
  <c r="AK51" i="20" s="1"/>
  <c r="AG833" i="20"/>
  <c r="AH833" i="20" s="1"/>
  <c r="AG705" i="20"/>
  <c r="AH705" i="20" s="1"/>
  <c r="AG598" i="20"/>
  <c r="AH598" i="20" s="1"/>
  <c r="AE463" i="20"/>
  <c r="AF463" i="20" s="1"/>
  <c r="AG157" i="20"/>
  <c r="AH157" i="20" s="1"/>
  <c r="AI157" i="20" s="1"/>
  <c r="AK157" i="20" s="1"/>
  <c r="AE459" i="20"/>
  <c r="AF459" i="20" s="1"/>
  <c r="AE35" i="20"/>
  <c r="AF35" i="20" s="1"/>
  <c r="AI600" i="20"/>
  <c r="AK600" i="20" s="1"/>
  <c r="AF513" i="20"/>
  <c r="AG513" i="20" s="1"/>
  <c r="AG554" i="20"/>
  <c r="AH554" i="20" s="1"/>
  <c r="AI122" i="20"/>
  <c r="AK122" i="20" s="1"/>
  <c r="AI987" i="20"/>
  <c r="AK987" i="20" s="1"/>
  <c r="AH815" i="20"/>
  <c r="AI815" i="20" s="1"/>
  <c r="AK815" i="20" s="1"/>
  <c r="AE319" i="20"/>
  <c r="AI26" i="20"/>
  <c r="AK26" i="20" s="1"/>
  <c r="AG575" i="20"/>
  <c r="AH575" i="20" s="1"/>
  <c r="AI575" i="20" s="1"/>
  <c r="AK575" i="20" s="1"/>
  <c r="AI498" i="20"/>
  <c r="AK498" i="20" s="1"/>
  <c r="AI494" i="20"/>
  <c r="AK494" i="20" s="1"/>
  <c r="AI244" i="20"/>
  <c r="AK244" i="20" s="1"/>
  <c r="AG551" i="20"/>
  <c r="AG543" i="20"/>
  <c r="AH185" i="20"/>
  <c r="AI185" i="20" s="1"/>
  <c r="AK185" i="20" s="1"/>
  <c r="AF957" i="20"/>
  <c r="AG957" i="20" s="1"/>
  <c r="AH957" i="20" s="1"/>
  <c r="AH146" i="20"/>
  <c r="AI146" i="20" s="1"/>
  <c r="AK146" i="20" s="1"/>
  <c r="AH977" i="20"/>
  <c r="AI977" i="20" s="1"/>
  <c r="AK977" i="20" s="1"/>
  <c r="AG594" i="20"/>
  <c r="AH594" i="20" s="1"/>
  <c r="AI594" i="20" s="1"/>
  <c r="AK594" i="20" s="1"/>
  <c r="AI537" i="20"/>
  <c r="AK537" i="20" s="1"/>
  <c r="AH488" i="20"/>
  <c r="AI488" i="20" s="1"/>
  <c r="AK488" i="20" s="1"/>
  <c r="AH349" i="20"/>
  <c r="AI349" i="20" s="1"/>
  <c r="AK349" i="20" s="1"/>
  <c r="AH963" i="20"/>
  <c r="AI963" i="20" s="1"/>
  <c r="AK963" i="20" s="1"/>
  <c r="AI533" i="20"/>
  <c r="AK533" i="20" s="1"/>
  <c r="AH60" i="20"/>
  <c r="AI60" i="20" s="1"/>
  <c r="AK60" i="20" s="1"/>
  <c r="AI838" i="20"/>
  <c r="AK838" i="20" s="1"/>
  <c r="AG548" i="20"/>
  <c r="AH548" i="20" s="1"/>
  <c r="AI548" i="20" s="1"/>
  <c r="AK548" i="20" s="1"/>
  <c r="AG826" i="20"/>
  <c r="AH826" i="20" s="1"/>
  <c r="AI826" i="20" s="1"/>
  <c r="AK826" i="20" s="1"/>
  <c r="AI490" i="20"/>
  <c r="AK490" i="20" s="1"/>
  <c r="AF930" i="20"/>
  <c r="AG930" i="20" s="1"/>
  <c r="AI482" i="20"/>
  <c r="AK482" i="20" s="1"/>
  <c r="AH361" i="20"/>
  <c r="AI361" i="20" s="1"/>
  <c r="AK361" i="20" s="1"/>
  <c r="AI700" i="20"/>
  <c r="AK700" i="20" s="1"/>
  <c r="AI378" i="20"/>
  <c r="AK378" i="20" s="1"/>
  <c r="AF499" i="20"/>
  <c r="AG499" i="20" s="1"/>
  <c r="AH499" i="20" s="1"/>
  <c r="AI980" i="20"/>
  <c r="AK980" i="20" s="1"/>
  <c r="AF392" i="20"/>
  <c r="AG392" i="20" s="1"/>
  <c r="AH392" i="20" s="1"/>
  <c r="AI392" i="20" s="1"/>
  <c r="AK392" i="20" s="1"/>
  <c r="AF370" i="20"/>
  <c r="AG370" i="20" s="1"/>
  <c r="AF120" i="20"/>
  <c r="AG120" i="20" s="1"/>
  <c r="AE222" i="20"/>
  <c r="AF222" i="20" s="1"/>
  <c r="AH50" i="20"/>
  <c r="AI50" i="20" s="1"/>
  <c r="AK50" i="20" s="1"/>
  <c r="AH816" i="20"/>
  <c r="AI816" i="20" s="1"/>
  <c r="AK816" i="20" s="1"/>
  <c r="AF936" i="20"/>
  <c r="AF774" i="20"/>
  <c r="AH770" i="20"/>
  <c r="AI770" i="20" s="1"/>
  <c r="AK770" i="20" s="1"/>
  <c r="AF292" i="20"/>
  <c r="AF246" i="20"/>
  <c r="AG246" i="20" s="1"/>
  <c r="AE45" i="20"/>
  <c r="AF45" i="20" s="1"/>
  <c r="AF988" i="20"/>
  <c r="AG988" i="20" s="1"/>
  <c r="AE949" i="20"/>
  <c r="AF949" i="20" s="1"/>
  <c r="AG92" i="20"/>
  <c r="AH92" i="20" s="1"/>
  <c r="AI92" i="20" s="1"/>
  <c r="AK92" i="20" s="1"/>
  <c r="AH176" i="20"/>
  <c r="AI176" i="20" s="1"/>
  <c r="AK176" i="20" s="1"/>
  <c r="AF394" i="20"/>
  <c r="AG394" i="20" s="1"/>
  <c r="AH394" i="20" s="1"/>
  <c r="AE27" i="20"/>
  <c r="AF27" i="20" s="1"/>
  <c r="AG32" i="20"/>
  <c r="AG280" i="20"/>
  <c r="AG720" i="20"/>
  <c r="AH720" i="20" s="1"/>
  <c r="AI720" i="20" s="1"/>
  <c r="AK720" i="20" s="1"/>
  <c r="AH560" i="20"/>
  <c r="AI560" i="20" s="1"/>
  <c r="AK560" i="20" s="1"/>
  <c r="AG586" i="20"/>
  <c r="AE471" i="20"/>
  <c r="AF471" i="20" s="1"/>
  <c r="AG314" i="20"/>
  <c r="AG201" i="20"/>
  <c r="AH201" i="20" s="1"/>
  <c r="AI201" i="20" s="1"/>
  <c r="AK201" i="20" s="1"/>
  <c r="AG203" i="20"/>
  <c r="AH203" i="20" s="1"/>
  <c r="AI203" i="20" s="1"/>
  <c r="AK203" i="20" s="1"/>
  <c r="AE108" i="20"/>
  <c r="AF108" i="20" s="1"/>
  <c r="AE167" i="20"/>
  <c r="AF167" i="20" s="1"/>
  <c r="AE496" i="20"/>
  <c r="AG801" i="20"/>
  <c r="AH801" i="20" s="1"/>
  <c r="AI801" i="20" s="1"/>
  <c r="AK801" i="20" s="1"/>
  <c r="AG556" i="20"/>
  <c r="AH556" i="20" s="1"/>
  <c r="AI556" i="20" s="1"/>
  <c r="AK556" i="20" s="1"/>
  <c r="AG368" i="20"/>
  <c r="AH368" i="20" s="1"/>
  <c r="AI368" i="20" s="1"/>
  <c r="AK368" i="20" s="1"/>
  <c r="AG242" i="20"/>
  <c r="AF268" i="20"/>
  <c r="AG268" i="20" s="1"/>
  <c r="AE279" i="20"/>
  <c r="AG16" i="20"/>
  <c r="AH16" i="20" s="1"/>
  <c r="AE55" i="20"/>
  <c r="AF55" i="20" s="1"/>
  <c r="AG1024" i="20"/>
  <c r="AH1024" i="20" s="1"/>
  <c r="AG825" i="20"/>
  <c r="AF852" i="20"/>
  <c r="AG852" i="20" s="1"/>
  <c r="AH852" i="20" s="1"/>
  <c r="AF524" i="20"/>
  <c r="AE23" i="20"/>
  <c r="AG137" i="20"/>
  <c r="AH137" i="20" s="1"/>
  <c r="AI137" i="20" s="1"/>
  <c r="AK137" i="20" s="1"/>
  <c r="AG925" i="20"/>
  <c r="AH925" i="20" s="1"/>
  <c r="AG352" i="20"/>
  <c r="AH352" i="20" s="1"/>
  <c r="AG247" i="20"/>
  <c r="AG249" i="20"/>
  <c r="AH249" i="20" s="1"/>
  <c r="AG217" i="20"/>
  <c r="AH217" i="20" s="1"/>
  <c r="AI217" i="20" s="1"/>
  <c r="AK217" i="20" s="1"/>
  <c r="AG251" i="20"/>
  <c r="AH251" i="20" s="1"/>
  <c r="AG219" i="20"/>
  <c r="AH219" i="20" s="1"/>
  <c r="AI219" i="20" s="1"/>
  <c r="AK219" i="20" s="1"/>
  <c r="AD12" i="20"/>
  <c r="AE183" i="20"/>
  <c r="AF183" i="20" s="1"/>
  <c r="AI804" i="20"/>
  <c r="AK804" i="20" s="1"/>
  <c r="AF696" i="20"/>
  <c r="AG696" i="20" s="1"/>
  <c r="AG130" i="20"/>
  <c r="AH130" i="20" s="1"/>
  <c r="AG954" i="20"/>
  <c r="AH954" i="20" s="1"/>
  <c r="AG990" i="20"/>
  <c r="AH990" i="20" s="1"/>
  <c r="AI990" i="20" s="1"/>
  <c r="AK990" i="20" s="1"/>
  <c r="AI218" i="20"/>
  <c r="AK218" i="20" s="1"/>
  <c r="AG287" i="20"/>
  <c r="AH287" i="20" s="1"/>
  <c r="AG166" i="20"/>
  <c r="AH166" i="20" s="1"/>
  <c r="AE163" i="20"/>
  <c r="AF163" i="20" s="1"/>
  <c r="AE65" i="20"/>
  <c r="AI597" i="20"/>
  <c r="AK597" i="20" s="1"/>
  <c r="AH347" i="20"/>
  <c r="AI347" i="20" s="1"/>
  <c r="AK347" i="20" s="1"/>
  <c r="AG194" i="20"/>
  <c r="AH194" i="20" s="1"/>
  <c r="AI194" i="20" s="1"/>
  <c r="AK194" i="20" s="1"/>
  <c r="AE49" i="20"/>
  <c r="AF109" i="20"/>
  <c r="AH971" i="20"/>
  <c r="AI971" i="20" s="1"/>
  <c r="AK971" i="20" s="1"/>
  <c r="AI593" i="20"/>
  <c r="AK593" i="20" s="1"/>
  <c r="AF295" i="20"/>
  <c r="AG295" i="20" s="1"/>
  <c r="AG277" i="20"/>
  <c r="AH277" i="20" s="1"/>
  <c r="AE84" i="20"/>
  <c r="AF84" i="20" s="1"/>
  <c r="AE104" i="20"/>
  <c r="AF104" i="20" s="1"/>
  <c r="AI846" i="20"/>
  <c r="AK846" i="20" s="1"/>
  <c r="AG174" i="20"/>
  <c r="AH174" i="20" s="1"/>
  <c r="AG946" i="20"/>
  <c r="AF830" i="20"/>
  <c r="AG830" i="20" s="1"/>
  <c r="AH830" i="20" s="1"/>
  <c r="AG579" i="20"/>
  <c r="AH579" i="20" s="1"/>
  <c r="AI579" i="20" s="1"/>
  <c r="AK579" i="20" s="1"/>
  <c r="AG421" i="20"/>
  <c r="AH421" i="20" s="1"/>
  <c r="AI421" i="20" s="1"/>
  <c r="AK421" i="20" s="1"/>
  <c r="AG17" i="20"/>
  <c r="AH17" i="20" s="1"/>
  <c r="AE147" i="20"/>
  <c r="AF147" i="20" s="1"/>
  <c r="AG165" i="20"/>
  <c r="AH165" i="20" s="1"/>
  <c r="AI165" i="20" s="1"/>
  <c r="AK165" i="20" s="1"/>
  <c r="AG515" i="20"/>
  <c r="AH515" i="20" s="1"/>
  <c r="AI515" i="20" s="1"/>
  <c r="AK515" i="20" s="1"/>
  <c r="AG457" i="20"/>
  <c r="AH457" i="20" s="1"/>
  <c r="AG37" i="20"/>
  <c r="AG553" i="20"/>
  <c r="AH553" i="20" s="1"/>
  <c r="AI553" i="20" s="1"/>
  <c r="AK553" i="20" s="1"/>
  <c r="AG540" i="20"/>
  <c r="AH540" i="20" s="1"/>
  <c r="AI540" i="20" s="1"/>
  <c r="AK540" i="20" s="1"/>
  <c r="AG307" i="20"/>
  <c r="AG64" i="20"/>
  <c r="AH64" i="20" s="1"/>
  <c r="AG102" i="20"/>
  <c r="AH102" i="20" s="1"/>
  <c r="AG799" i="20"/>
  <c r="AH799" i="20" s="1"/>
  <c r="AG754" i="20"/>
  <c r="AE497" i="20"/>
  <c r="AF497" i="20" s="1"/>
  <c r="AG538" i="20"/>
  <c r="AG413" i="20"/>
  <c r="AH413" i="20" s="1"/>
  <c r="AG380" i="20"/>
  <c r="AG63" i="20"/>
  <c r="AG70" i="20"/>
  <c r="AH70" i="20" s="1"/>
  <c r="AG66" i="20"/>
  <c r="AF821" i="20"/>
  <c r="AH428" i="20"/>
  <c r="AI428" i="20" s="1"/>
  <c r="AK428" i="20" s="1"/>
  <c r="AF238" i="20"/>
  <c r="AF47" i="20"/>
  <c r="AG47" i="20" s="1"/>
  <c r="AE714" i="20"/>
  <c r="AG541" i="20"/>
  <c r="AH541" i="20" s="1"/>
  <c r="AF472" i="20"/>
  <c r="AG819" i="20"/>
  <c r="AG572" i="20"/>
  <c r="AF1010" i="20"/>
  <c r="AI584" i="20"/>
  <c r="AK584" i="20" s="1"/>
  <c r="AF831" i="20"/>
  <c r="AI216" i="20"/>
  <c r="AK216" i="20" s="1"/>
  <c r="AE1016" i="20"/>
  <c r="AG141" i="20"/>
  <c r="AH141" i="20" s="1"/>
  <c r="AI198" i="20"/>
  <c r="AK198" i="20" s="1"/>
  <c r="AF431" i="20"/>
  <c r="AH106" i="20"/>
  <c r="AI106" i="20" s="1"/>
  <c r="AK106" i="20" s="1"/>
  <c r="AF250" i="20"/>
  <c r="AF823" i="20"/>
  <c r="AE1020" i="20"/>
  <c r="AF1020" i="20" s="1"/>
  <c r="AG529" i="20"/>
  <c r="AH529" i="20" s="1"/>
  <c r="AE761" i="20"/>
  <c r="AF761" i="20" s="1"/>
  <c r="AI344" i="20"/>
  <c r="AK344" i="20" s="1"/>
  <c r="AG574" i="20"/>
  <c r="AF507" i="20"/>
  <c r="AG507" i="20" s="1"/>
  <c r="AH357" i="20"/>
  <c r="AI357" i="20" s="1"/>
  <c r="AK357" i="20" s="1"/>
  <c r="AG842" i="20"/>
  <c r="AH842" i="20" s="1"/>
  <c r="AF827" i="20"/>
  <c r="AG827" i="20" s="1"/>
  <c r="AH245" i="20"/>
  <c r="AI245" i="20" s="1"/>
  <c r="AK245" i="20" s="1"/>
  <c r="AI269" i="20"/>
  <c r="AK269" i="20" s="1"/>
  <c r="AF18" i="20"/>
  <c r="AG18" i="20" s="1"/>
  <c r="AI573" i="20"/>
  <c r="AK573" i="20" s="1"/>
  <c r="AF483" i="20"/>
  <c r="AH522" i="20"/>
  <c r="AI522" i="20" s="1"/>
  <c r="AK522" i="20" s="1"/>
  <c r="AH751" i="20"/>
  <c r="AI751" i="20" s="1"/>
  <c r="AK751" i="20" s="1"/>
  <c r="AI1017" i="20"/>
  <c r="AK1017" i="20" s="1"/>
  <c r="AF723" i="20"/>
  <c r="AG723" i="20" s="1"/>
  <c r="AH723" i="20" s="1"/>
  <c r="AH389" i="20"/>
  <c r="AI389" i="20" s="1"/>
  <c r="AK389" i="20" s="1"/>
  <c r="AF354" i="20"/>
  <c r="AF750" i="20"/>
  <c r="AG750" i="20" s="1"/>
  <c r="AH562" i="20"/>
  <c r="AI562" i="20" s="1"/>
  <c r="AK562" i="20" s="1"/>
  <c r="AF570" i="20"/>
  <c r="AI973" i="20"/>
  <c r="AK973" i="20" s="1"/>
  <c r="AF709" i="20"/>
  <c r="AG709" i="20" s="1"/>
  <c r="AH145" i="20"/>
  <c r="AI145" i="20" s="1"/>
  <c r="AK145" i="20" s="1"/>
  <c r="AF205" i="20"/>
  <c r="AF230" i="20"/>
  <c r="AG230" i="20" s="1"/>
  <c r="AE164" i="20"/>
  <c r="AF1009" i="20"/>
  <c r="AF972" i="20"/>
  <c r="AG972" i="20" s="1"/>
  <c r="AH981" i="20"/>
  <c r="AI981" i="20" s="1"/>
  <c r="AK981" i="20" s="1"/>
  <c r="AF758" i="20"/>
  <c r="AG758" i="20" s="1"/>
  <c r="AH758" i="20" s="1"/>
  <c r="AI758" i="20" s="1"/>
  <c r="AK758" i="20" s="1"/>
  <c r="AI564" i="20"/>
  <c r="AK564" i="20" s="1"/>
  <c r="AI589" i="20"/>
  <c r="AK589" i="20" s="1"/>
  <c r="AF362" i="20"/>
  <c r="AG362" i="20" s="1"/>
  <c r="AH28" i="20"/>
  <c r="AI28" i="20" s="1"/>
  <c r="AK28" i="20" s="1"/>
  <c r="AE155" i="20"/>
  <c r="AF155" i="20" s="1"/>
  <c r="AG285" i="20"/>
  <c r="AH285" i="20" s="1"/>
  <c r="AE159" i="20"/>
  <c r="AF159" i="20" s="1"/>
  <c r="AF800" i="20"/>
  <c r="AF288" i="20"/>
  <c r="AG288" i="20" s="1"/>
  <c r="AE293" i="20"/>
  <c r="AE270" i="20"/>
  <c r="AG77" i="20"/>
  <c r="AG519" i="20"/>
  <c r="AH519" i="20" s="1"/>
  <c r="AI519" i="20" s="1"/>
  <c r="AK519" i="20" s="1"/>
  <c r="AG592" i="20"/>
  <c r="AH592" i="20" s="1"/>
  <c r="AE479" i="20"/>
  <c r="AF479" i="20" s="1"/>
  <c r="AF822" i="20"/>
  <c r="AF545" i="20"/>
  <c r="AG545" i="20" s="1"/>
  <c r="AG578" i="20"/>
  <c r="AH578" i="20" s="1"/>
  <c r="AH436" i="20"/>
  <c r="AI436" i="20" s="1"/>
  <c r="AK436" i="20" s="1"/>
  <c r="AG239" i="20"/>
  <c r="AH239" i="20" s="1"/>
  <c r="AG813" i="20"/>
  <c r="AH813" i="20" s="1"/>
  <c r="AE763" i="20"/>
  <c r="AF763" i="20" s="1"/>
  <c r="AE271" i="20"/>
  <c r="AG140" i="20"/>
  <c r="AH140" i="20" s="1"/>
  <c r="AI140" i="20" s="1"/>
  <c r="AK140" i="20" s="1"/>
  <c r="AG54" i="20"/>
  <c r="AE148" i="20"/>
  <c r="AF148" i="20" s="1"/>
  <c r="AG148" i="20" s="1"/>
  <c r="AH844" i="20"/>
  <c r="AI844" i="20" s="1"/>
  <c r="AK844" i="20" s="1"/>
  <c r="AG581" i="20"/>
  <c r="AH581" i="20" s="1"/>
  <c r="AH466" i="20"/>
  <c r="AI466" i="20" s="1"/>
  <c r="AK466" i="20" s="1"/>
  <c r="AH478" i="20"/>
  <c r="AI478" i="20" s="1"/>
  <c r="AK478" i="20" s="1"/>
  <c r="AG196" i="20"/>
  <c r="AH196" i="20" s="1"/>
  <c r="AI196" i="20" s="1"/>
  <c r="AK196" i="20" s="1"/>
  <c r="AG184" i="20"/>
  <c r="AH184" i="20" s="1"/>
  <c r="AI184" i="20" s="1"/>
  <c r="AK184" i="20" s="1"/>
  <c r="AG156" i="20"/>
  <c r="AF690" i="20"/>
  <c r="AG951" i="20"/>
  <c r="AH951" i="20" s="1"/>
  <c r="AI951" i="20" s="1"/>
  <c r="AK951" i="20" s="1"/>
  <c r="AH1007" i="20"/>
  <c r="AI1007" i="20" s="1"/>
  <c r="AK1007" i="20" s="1"/>
  <c r="AG805" i="20"/>
  <c r="AH805" i="20" s="1"/>
  <c r="AF732" i="20"/>
  <c r="AF728" i="20"/>
  <c r="AG728" i="20" s="1"/>
  <c r="AH110" i="20"/>
  <c r="AI110" i="20" s="1"/>
  <c r="AK110" i="20" s="1"/>
  <c r="AI843" i="20"/>
  <c r="AK843" i="20" s="1"/>
  <c r="AF692" i="20"/>
  <c r="AG692" i="20" s="1"/>
  <c r="AG231" i="20"/>
  <c r="AH231" i="20" s="1"/>
  <c r="AG136" i="20"/>
  <c r="AH136" i="20" s="1"/>
  <c r="AI512" i="20"/>
  <c r="AK512" i="20" s="1"/>
  <c r="AG931" i="20"/>
  <c r="AE999" i="20"/>
  <c r="AG820" i="20"/>
  <c r="AH820" i="20" s="1"/>
  <c r="AG555" i="20"/>
  <c r="AE309" i="20"/>
  <c r="AF309" i="20" s="1"/>
  <c r="AE267" i="20"/>
  <c r="AF267" i="20" s="1"/>
  <c r="AE41" i="20"/>
  <c r="AF41" i="20" s="1"/>
  <c r="AG41" i="20" s="1"/>
  <c r="AE46" i="20"/>
  <c r="AF46" i="20" s="1"/>
  <c r="AG175" i="20"/>
  <c r="AH175" i="20" s="1"/>
  <c r="AF531" i="20"/>
  <c r="AG531" i="20" s="1"/>
  <c r="AG836" i="20"/>
  <c r="AE313" i="20"/>
  <c r="AE93" i="20"/>
  <c r="AF93" i="20" s="1"/>
  <c r="AG93" i="20" s="1"/>
  <c r="AF828" i="20"/>
  <c r="AG377" i="20"/>
  <c r="AH377" i="20" s="1"/>
  <c r="AG517" i="20"/>
  <c r="AH517" i="20" s="1"/>
  <c r="AI517" i="20" s="1"/>
  <c r="AK517" i="20" s="1"/>
  <c r="AE475" i="20"/>
  <c r="AH929" i="20"/>
  <c r="AI929" i="20" s="1"/>
  <c r="AK929" i="20" s="1"/>
  <c r="AG722" i="20"/>
  <c r="AF43" i="20"/>
  <c r="AE768" i="20"/>
  <c r="AF710" i="20"/>
  <c r="AH503" i="20"/>
  <c r="AI503" i="20" s="1"/>
  <c r="AK503" i="20" s="1"/>
  <c r="AG832" i="20"/>
  <c r="AH832" i="20" s="1"/>
  <c r="AG544" i="20"/>
  <c r="AG824" i="20"/>
  <c r="AH824" i="20" s="1"/>
  <c r="AF424" i="20"/>
  <c r="AG552" i="20"/>
  <c r="AH552" i="20" s="1"/>
  <c r="AF284" i="20"/>
  <c r="AG284" i="20" s="1"/>
  <c r="AG829" i="20"/>
  <c r="AH829" i="20" s="1"/>
  <c r="AE752" i="20"/>
  <c r="AF460" i="20"/>
  <c r="AF24" i="20"/>
  <c r="AG24" i="20" s="1"/>
  <c r="AF443" i="20"/>
  <c r="AG12" i="21" l="1"/>
  <c r="AG11" i="21" s="1"/>
  <c r="AK9" i="21"/>
  <c r="AJ45" i="21"/>
  <c r="AJ12" i="21" s="1"/>
  <c r="AJ11" i="21" s="1"/>
  <c r="AH511" i="21"/>
  <c r="AH12" i="21"/>
  <c r="AK4" i="21"/>
  <c r="J18" i="23"/>
  <c r="O18" i="23"/>
  <c r="O17" i="23"/>
  <c r="J17" i="23"/>
  <c r="O34" i="24"/>
  <c r="H35" i="24"/>
  <c r="M35" i="24" s="1"/>
  <c r="N35" i="24" s="1"/>
  <c r="J35" i="24" s="1"/>
  <c r="W16" i="23"/>
  <c r="P17" i="23" s="1"/>
  <c r="J19" i="23"/>
  <c r="H20" i="23"/>
  <c r="M20" i="23" s="1"/>
  <c r="N20" i="23" s="1"/>
  <c r="O19" i="23"/>
  <c r="AI197" i="20"/>
  <c r="AK197" i="20" s="1"/>
  <c r="AI199" i="20"/>
  <c r="AK199" i="20" s="1"/>
  <c r="AI171" i="20"/>
  <c r="AK171" i="20" s="1"/>
  <c r="AI406" i="20"/>
  <c r="AK406" i="20" s="1"/>
  <c r="AI404" i="20"/>
  <c r="AK404" i="20" s="1"/>
  <c r="AI975" i="20"/>
  <c r="AK975" i="20" s="1"/>
  <c r="AI193" i="20"/>
  <c r="AK193" i="20" s="1"/>
  <c r="AH294" i="20"/>
  <c r="AI294" i="20" s="1"/>
  <c r="AK294" i="20" s="1"/>
  <c r="AI420" i="20"/>
  <c r="AK420" i="20" s="1"/>
  <c r="AH691" i="20"/>
  <c r="AI691" i="20" s="1"/>
  <c r="AK691" i="20" s="1"/>
  <c r="AG495" i="20"/>
  <c r="AH495" i="20" s="1"/>
  <c r="AI495" i="20" s="1"/>
  <c r="AK495" i="20" s="1"/>
  <c r="AH288" i="20"/>
  <c r="AI288" i="20" s="1"/>
  <c r="AK288" i="20" s="1"/>
  <c r="AI996" i="20"/>
  <c r="AK996" i="20" s="1"/>
  <c r="AH230" i="20"/>
  <c r="AI230" i="20" s="1"/>
  <c r="AK230" i="20" s="1"/>
  <c r="AI809" i="20"/>
  <c r="AK809" i="20" s="1"/>
  <c r="AH67" i="20"/>
  <c r="AI67" i="20" s="1"/>
  <c r="AK67" i="20" s="1"/>
  <c r="AI348" i="20"/>
  <c r="AK348" i="20" s="1"/>
  <c r="AH750" i="20"/>
  <c r="AI750" i="20" s="1"/>
  <c r="AK750" i="20" s="1"/>
  <c r="AG108" i="20"/>
  <c r="AH108" i="20" s="1"/>
  <c r="AI108" i="20" s="1"/>
  <c r="AK108" i="20" s="1"/>
  <c r="AI336" i="20"/>
  <c r="AK336" i="20" s="1"/>
  <c r="AH384" i="20"/>
  <c r="AI384" i="20" s="1"/>
  <c r="AK384" i="20" s="1"/>
  <c r="AH209" i="20"/>
  <c r="AI209" i="20" s="1"/>
  <c r="AK209" i="20" s="1"/>
  <c r="AH988" i="20"/>
  <c r="AI988" i="20" s="1"/>
  <c r="AK988" i="20" s="1"/>
  <c r="AH57" i="20"/>
  <c r="AI57" i="20" s="1"/>
  <c r="AK57" i="20" s="1"/>
  <c r="AH572" i="20"/>
  <c r="AI572" i="20" s="1"/>
  <c r="AK572" i="20" s="1"/>
  <c r="AG85" i="20"/>
  <c r="AH85" i="20" s="1"/>
  <c r="AI85" i="20" s="1"/>
  <c r="AK85" i="20" s="1"/>
  <c r="AG787" i="20"/>
  <c r="AH787" i="20" s="1"/>
  <c r="AI300" i="20"/>
  <c r="AK300" i="20" s="1"/>
  <c r="AG1009" i="20"/>
  <c r="AH1009" i="20" s="1"/>
  <c r="AI1009" i="20" s="1"/>
  <c r="AK1009" i="20" s="1"/>
  <c r="AG61" i="20"/>
  <c r="AH61" i="20" s="1"/>
  <c r="AG275" i="20"/>
  <c r="AG491" i="20"/>
  <c r="AG780" i="20"/>
  <c r="AH780" i="20" s="1"/>
  <c r="AI780" i="20" s="1"/>
  <c r="AK780" i="20" s="1"/>
  <c r="AH473" i="20"/>
  <c r="AI473" i="20" s="1"/>
  <c r="AK473" i="20" s="1"/>
  <c r="AI453" i="20"/>
  <c r="AK453" i="20" s="1"/>
  <c r="AG949" i="20"/>
  <c r="AH949" i="20" s="1"/>
  <c r="AI949" i="20" s="1"/>
  <c r="AK949" i="20" s="1"/>
  <c r="AI539" i="20"/>
  <c r="AK539" i="20" s="1"/>
  <c r="AF187" i="20"/>
  <c r="AG187" i="20" s="1"/>
  <c r="AH187" i="20" s="1"/>
  <c r="AG225" i="20"/>
  <c r="AH225" i="20" s="1"/>
  <c r="AG321" i="20"/>
  <c r="AH321" i="20" s="1"/>
  <c r="AI321" i="20" s="1"/>
  <c r="AK321" i="20" s="1"/>
  <c r="AH941" i="20"/>
  <c r="AI941" i="20" s="1"/>
  <c r="AK941" i="20" s="1"/>
  <c r="AI829" i="20"/>
  <c r="AK829" i="20" s="1"/>
  <c r="AI824" i="20"/>
  <c r="AK824" i="20" s="1"/>
  <c r="AH931" i="20"/>
  <c r="AI931" i="20" s="1"/>
  <c r="AK931" i="20" s="1"/>
  <c r="AI805" i="20"/>
  <c r="AK805" i="20" s="1"/>
  <c r="AI141" i="20"/>
  <c r="AK141" i="20" s="1"/>
  <c r="AH538" i="20"/>
  <c r="AI538" i="20" s="1"/>
  <c r="AK538" i="20" s="1"/>
  <c r="AH307" i="20"/>
  <c r="AI307" i="20" s="1"/>
  <c r="AK307" i="20" s="1"/>
  <c r="AI277" i="20"/>
  <c r="AK277" i="20" s="1"/>
  <c r="AI499" i="20"/>
  <c r="AK499" i="20" s="1"/>
  <c r="AG167" i="20"/>
  <c r="AH167" i="20" s="1"/>
  <c r="AI167" i="20" s="1"/>
  <c r="AK167" i="20" s="1"/>
  <c r="AI359" i="20"/>
  <c r="AK359" i="20" s="1"/>
  <c r="AG697" i="20"/>
  <c r="AH697" i="20" s="1"/>
  <c r="AI697" i="20" s="1"/>
  <c r="AK697" i="20" s="1"/>
  <c r="AG69" i="20"/>
  <c r="AH69" i="20" s="1"/>
  <c r="AI69" i="20" s="1"/>
  <c r="AK69" i="20" s="1"/>
  <c r="AG15" i="20"/>
  <c r="AH15" i="20" s="1"/>
  <c r="AI451" i="20"/>
  <c r="AK451" i="20" s="1"/>
  <c r="AF924" i="20"/>
  <c r="AM924" i="20" s="1"/>
  <c r="AG570" i="20"/>
  <c r="AH570" i="20" s="1"/>
  <c r="AI570" i="20" s="1"/>
  <c r="AK570" i="20" s="1"/>
  <c r="AI580" i="20"/>
  <c r="AK580" i="20" s="1"/>
  <c r="AG53" i="20"/>
  <c r="AH53" i="20" s="1"/>
  <c r="AI53" i="20" s="1"/>
  <c r="AK53" i="20" s="1"/>
  <c r="AH362" i="20"/>
  <c r="AI362" i="20" s="1"/>
  <c r="AK362" i="20" s="1"/>
  <c r="AH315" i="20"/>
  <c r="AI315" i="20" s="1"/>
  <c r="AK315" i="20" s="1"/>
  <c r="AH54" i="20"/>
  <c r="AI54" i="20" s="1"/>
  <c r="AK54" i="20" s="1"/>
  <c r="AI426" i="20"/>
  <c r="AK426" i="20" s="1"/>
  <c r="AG385" i="20"/>
  <c r="AH385" i="20" s="1"/>
  <c r="AI385" i="20" s="1"/>
  <c r="AK385" i="20" s="1"/>
  <c r="AG978" i="20"/>
  <c r="AH978" i="20" s="1"/>
  <c r="AF484" i="20"/>
  <c r="AG484" i="20" s="1"/>
  <c r="AG950" i="20"/>
  <c r="AH950" i="20" s="1"/>
  <c r="AF210" i="20"/>
  <c r="AG210" i="20" s="1"/>
  <c r="AI718" i="20"/>
  <c r="AK718" i="20" s="1"/>
  <c r="AI820" i="20"/>
  <c r="AK820" i="20" s="1"/>
  <c r="AI31" i="20"/>
  <c r="AK31" i="20" s="1"/>
  <c r="AI706" i="20"/>
  <c r="AK706" i="20" s="1"/>
  <c r="AG497" i="20"/>
  <c r="AH497" i="20" s="1"/>
  <c r="AI497" i="20" s="1"/>
  <c r="AK497" i="20" s="1"/>
  <c r="AF313" i="20"/>
  <c r="AG313" i="20" s="1"/>
  <c r="AG104" i="20"/>
  <c r="AH104" i="20" s="1"/>
  <c r="AI104" i="20" s="1"/>
  <c r="AK104" i="20" s="1"/>
  <c r="AI287" i="20"/>
  <c r="AK287" i="20" s="1"/>
  <c r="AI130" i="20"/>
  <c r="AK130" i="20" s="1"/>
  <c r="AG460" i="20"/>
  <c r="AH460" i="20" s="1"/>
  <c r="AI460" i="20" s="1"/>
  <c r="AK460" i="20" s="1"/>
  <c r="AH930" i="20"/>
  <c r="AI930" i="20" s="1"/>
  <c r="AK930" i="20" s="1"/>
  <c r="AI461" i="20"/>
  <c r="AK461" i="20" s="1"/>
  <c r="AH192" i="20"/>
  <c r="AI192" i="20" s="1"/>
  <c r="AK192" i="20" s="1"/>
  <c r="AI206" i="20"/>
  <c r="AK206" i="20" s="1"/>
  <c r="AI733" i="20"/>
  <c r="AK733" i="20" s="1"/>
  <c r="AI997" i="20"/>
  <c r="AK997" i="20" s="1"/>
  <c r="AG159" i="20"/>
  <c r="AH159" i="20" s="1"/>
  <c r="AI159" i="20" s="1"/>
  <c r="AK159" i="20" s="1"/>
  <c r="AI808" i="20"/>
  <c r="AK808" i="20" s="1"/>
  <c r="AG34" i="20"/>
  <c r="AH34" i="20" s="1"/>
  <c r="AI34" i="20" s="1"/>
  <c r="AK34" i="20" s="1"/>
  <c r="AH272" i="20"/>
  <c r="AI960" i="20"/>
  <c r="AK960" i="20" s="1"/>
  <c r="AI101" i="20"/>
  <c r="AK101" i="20" s="1"/>
  <c r="AI698" i="20"/>
  <c r="AK698" i="20" s="1"/>
  <c r="AH544" i="20"/>
  <c r="AI544" i="20" s="1"/>
  <c r="AK544" i="20" s="1"/>
  <c r="AH836" i="20"/>
  <c r="AI836" i="20" s="1"/>
  <c r="AK836" i="20" s="1"/>
  <c r="AI136" i="20"/>
  <c r="AK136" i="20" s="1"/>
  <c r="AI713" i="20"/>
  <c r="AK713" i="20" s="1"/>
  <c r="AI20" i="20"/>
  <c r="AK20" i="20" s="1"/>
  <c r="AI239" i="20"/>
  <c r="AK239" i="20" s="1"/>
  <c r="AH709" i="20"/>
  <c r="AI709" i="20" s="1"/>
  <c r="AK709" i="20" s="1"/>
  <c r="AI480" i="20"/>
  <c r="AK480" i="20" s="1"/>
  <c r="AI272" i="20"/>
  <c r="AK272" i="20" s="1"/>
  <c r="AG84" i="20"/>
  <c r="AH84" i="20" s="1"/>
  <c r="AI84" i="20" s="1"/>
  <c r="AK84" i="20" s="1"/>
  <c r="AI954" i="20"/>
  <c r="AK954" i="20" s="1"/>
  <c r="AG710" i="20"/>
  <c r="AH710" i="20" s="1"/>
  <c r="AH246" i="20"/>
  <c r="AI246" i="20" s="1"/>
  <c r="AK246" i="20" s="1"/>
  <c r="AG320" i="20"/>
  <c r="AH320" i="20" s="1"/>
  <c r="AI320" i="20" s="1"/>
  <c r="AK320" i="20" s="1"/>
  <c r="AI302" i="20"/>
  <c r="AK302" i="20" s="1"/>
  <c r="AH504" i="20"/>
  <c r="AI504" i="20" s="1"/>
  <c r="AK504" i="20" s="1"/>
  <c r="AI274" i="20"/>
  <c r="AK274" i="20" s="1"/>
  <c r="AH242" i="20"/>
  <c r="AI242" i="20" s="1"/>
  <c r="AK242" i="20" s="1"/>
  <c r="AH314" i="20"/>
  <c r="AI314" i="20" s="1"/>
  <c r="AK314" i="20" s="1"/>
  <c r="AI253" i="20"/>
  <c r="AK253" i="20" s="1"/>
  <c r="AI549" i="20"/>
  <c r="AK549" i="20" s="1"/>
  <c r="AI276" i="20"/>
  <c r="AK276" i="20" s="1"/>
  <c r="AI817" i="20"/>
  <c r="AK817" i="20" s="1"/>
  <c r="AG255" i="20"/>
  <c r="AG489" i="20"/>
  <c r="AH489" i="20" s="1"/>
  <c r="AI489" i="20" s="1"/>
  <c r="AK489" i="20" s="1"/>
  <c r="AH291" i="20"/>
  <c r="AI291" i="20" s="1"/>
  <c r="AK291" i="20" s="1"/>
  <c r="AE689" i="20"/>
  <c r="AG777" i="20"/>
  <c r="AH777" i="20" s="1"/>
  <c r="AI777" i="20" s="1"/>
  <c r="AK777" i="20" s="1"/>
  <c r="AG745" i="20"/>
  <c r="AH745" i="20" s="1"/>
  <c r="AG62" i="20"/>
  <c r="AH62" i="20" s="1"/>
  <c r="AI62" i="20" s="1"/>
  <c r="AK62" i="20" s="1"/>
  <c r="AH343" i="20"/>
  <c r="AI343" i="20" s="1"/>
  <c r="AK343" i="20" s="1"/>
  <c r="AG354" i="20"/>
  <c r="AH354" i="20" s="1"/>
  <c r="AI283" i="20"/>
  <c r="AK283" i="20" s="1"/>
  <c r="AI226" i="20"/>
  <c r="AK226" i="20" s="1"/>
  <c r="AI181" i="20"/>
  <c r="AK181" i="20" s="1"/>
  <c r="AH972" i="20"/>
  <c r="AI972" i="20" s="1"/>
  <c r="AK972" i="20" s="1"/>
  <c r="AH507" i="20"/>
  <c r="AI507" i="20" s="1"/>
  <c r="AK507" i="20" s="1"/>
  <c r="AH694" i="20"/>
  <c r="AI694" i="20" s="1"/>
  <c r="AK694" i="20" s="1"/>
  <c r="AG1004" i="20"/>
  <c r="AI200" i="20"/>
  <c r="AK200" i="20" s="1"/>
  <c r="AI261" i="20"/>
  <c r="AK261" i="20" s="1"/>
  <c r="AI76" i="20"/>
  <c r="AK76" i="20" s="1"/>
  <c r="AG467" i="20"/>
  <c r="AH467" i="20" s="1"/>
  <c r="AH696" i="20"/>
  <c r="AI696" i="20" s="1"/>
  <c r="AK696" i="20" s="1"/>
  <c r="AH93" i="20"/>
  <c r="AI93" i="20" s="1"/>
  <c r="AK93" i="20" s="1"/>
  <c r="AI394" i="20"/>
  <c r="AK394" i="20" s="1"/>
  <c r="AH501" i="20"/>
  <c r="AI501" i="20" s="1"/>
  <c r="AK501" i="20" s="1"/>
  <c r="AI306" i="20"/>
  <c r="AK306" i="20" s="1"/>
  <c r="AF293" i="20"/>
  <c r="AG293" i="20" s="1"/>
  <c r="AH293" i="20" s="1"/>
  <c r="AG822" i="20"/>
  <c r="AH822" i="20" s="1"/>
  <c r="AG155" i="20"/>
  <c r="AH155" i="20" s="1"/>
  <c r="AI155" i="20" s="1"/>
  <c r="AK155" i="20" s="1"/>
  <c r="AG823" i="20"/>
  <c r="AH823" i="20" s="1"/>
  <c r="AI823" i="20" s="1"/>
  <c r="AK823" i="20" s="1"/>
  <c r="AG147" i="20"/>
  <c r="AH147" i="20" s="1"/>
  <c r="AI147" i="20" s="1"/>
  <c r="AK147" i="20" s="1"/>
  <c r="AG431" i="20"/>
  <c r="AH431" i="20" s="1"/>
  <c r="AI431" i="20" s="1"/>
  <c r="AK431" i="20" s="1"/>
  <c r="AG322" i="20"/>
  <c r="AH322" i="20" s="1"/>
  <c r="AI352" i="20"/>
  <c r="AK352" i="20" s="1"/>
  <c r="AH818" i="20"/>
  <c r="AI818" i="20" s="1"/>
  <c r="AK818" i="20" s="1"/>
  <c r="AI747" i="20"/>
  <c r="AK747" i="20" s="1"/>
  <c r="AI118" i="20"/>
  <c r="AK118" i="20" s="1"/>
  <c r="AH370" i="20"/>
  <c r="AI370" i="20" s="1"/>
  <c r="AK370" i="20" s="1"/>
  <c r="AG717" i="20"/>
  <c r="AH717" i="20" s="1"/>
  <c r="AI717" i="20" s="1"/>
  <c r="AK717" i="20" s="1"/>
  <c r="AH455" i="20"/>
  <c r="AI455" i="20" s="1"/>
  <c r="AK455" i="20" s="1"/>
  <c r="AI166" i="20"/>
  <c r="AK166" i="20" s="1"/>
  <c r="AK935" i="20"/>
  <c r="AI813" i="20"/>
  <c r="AK813" i="20" s="1"/>
  <c r="AG424" i="20"/>
  <c r="AH424" i="20" s="1"/>
  <c r="AI424" i="20" s="1"/>
  <c r="AK424" i="20" s="1"/>
  <c r="AI607" i="20"/>
  <c r="AK607" i="20" s="1"/>
  <c r="AH77" i="20"/>
  <c r="AI77" i="20" s="1"/>
  <c r="AK77" i="20" s="1"/>
  <c r="AH18" i="20"/>
  <c r="AI18" i="20" s="1"/>
  <c r="AK18" i="20" s="1"/>
  <c r="AH819" i="20"/>
  <c r="AI819" i="20" s="1"/>
  <c r="AK819" i="20" s="1"/>
  <c r="AF714" i="20"/>
  <c r="AG714" i="20" s="1"/>
  <c r="AH714" i="20" s="1"/>
  <c r="AG46" i="20"/>
  <c r="AH46" i="20" s="1"/>
  <c r="AI46" i="20" s="1"/>
  <c r="AK46" i="20" s="1"/>
  <c r="AF999" i="20"/>
  <c r="AF49" i="20"/>
  <c r="AG49" i="20" s="1"/>
  <c r="AG129" i="20"/>
  <c r="AH129" i="20" s="1"/>
  <c r="AI723" i="20"/>
  <c r="AK723" i="20" s="1"/>
  <c r="AG989" i="20"/>
  <c r="AH989" i="20" s="1"/>
  <c r="AI989" i="20" s="1"/>
  <c r="AK989" i="20" s="1"/>
  <c r="AG924" i="20"/>
  <c r="AI925" i="20"/>
  <c r="AH825" i="20"/>
  <c r="AI825" i="20" s="1"/>
  <c r="AK825" i="20" s="1"/>
  <c r="AG43" i="20"/>
  <c r="AH43" i="20" s="1"/>
  <c r="AI43" i="20" s="1"/>
  <c r="AK43" i="20" s="1"/>
  <c r="AH586" i="20"/>
  <c r="AI586" i="20" s="1"/>
  <c r="AK586" i="20" s="1"/>
  <c r="AE12" i="20"/>
  <c r="AG1020" i="20"/>
  <c r="AH1020" i="20" s="1"/>
  <c r="AI249" i="20"/>
  <c r="AK249" i="20" s="1"/>
  <c r="AH543" i="20"/>
  <c r="AI543" i="20" s="1"/>
  <c r="AK543" i="20" s="1"/>
  <c r="AH551" i="20"/>
  <c r="AI551" i="20" s="1"/>
  <c r="AK551" i="20" s="1"/>
  <c r="AH373" i="20"/>
  <c r="AI373" i="20" s="1"/>
  <c r="AK373" i="20" s="1"/>
  <c r="AH754" i="20"/>
  <c r="AI754" i="20" s="1"/>
  <c r="AK754" i="20" s="1"/>
  <c r="AG828" i="20"/>
  <c r="AH828" i="20" s="1"/>
  <c r="AI413" i="20"/>
  <c r="AK413" i="20" s="1"/>
  <c r="AG524" i="20"/>
  <c r="AH524" i="20" s="1"/>
  <c r="AG55" i="20"/>
  <c r="AH55" i="20" s="1"/>
  <c r="AH577" i="20"/>
  <c r="AI577" i="20" s="1"/>
  <c r="AK577" i="20" s="1"/>
  <c r="AH280" i="20"/>
  <c r="AI280" i="20" s="1"/>
  <c r="AK280" i="20" s="1"/>
  <c r="AG250" i="20"/>
  <c r="AG45" i="20"/>
  <c r="AI982" i="20"/>
  <c r="AK982" i="20" s="1"/>
  <c r="AI481" i="20"/>
  <c r="AK481" i="20" s="1"/>
  <c r="AI552" i="20"/>
  <c r="AK552" i="20" s="1"/>
  <c r="AI174" i="20"/>
  <c r="AK174" i="20" s="1"/>
  <c r="AH781" i="20"/>
  <c r="AI781" i="20" s="1"/>
  <c r="AK781" i="20" s="1"/>
  <c r="AH749" i="20"/>
  <c r="AI749" i="20" s="1"/>
  <c r="AK749" i="20" s="1"/>
  <c r="AG821" i="20"/>
  <c r="AG35" i="20"/>
  <c r="AH35" i="20" s="1"/>
  <c r="AG459" i="20"/>
  <c r="AH459" i="20" s="1"/>
  <c r="AI459" i="20" s="1"/>
  <c r="AK459" i="20" s="1"/>
  <c r="AG256" i="20"/>
  <c r="AH771" i="20"/>
  <c r="AI771" i="20" s="1"/>
  <c r="AK771" i="20" s="1"/>
  <c r="AH728" i="20"/>
  <c r="AI728" i="20" s="1"/>
  <c r="AK728" i="20" s="1"/>
  <c r="AH346" i="20"/>
  <c r="AI346" i="20" s="1"/>
  <c r="AK346" i="20" s="1"/>
  <c r="AI715" i="20"/>
  <c r="AK715" i="20" s="1"/>
  <c r="AG163" i="20"/>
  <c r="AH163" i="20" s="1"/>
  <c r="AH148" i="20"/>
  <c r="AI148" i="20" s="1"/>
  <c r="AK148" i="20" s="1"/>
  <c r="AH47" i="20"/>
  <c r="AI47" i="20" s="1"/>
  <c r="AK47" i="20" s="1"/>
  <c r="AI957" i="20"/>
  <c r="AK957" i="20" s="1"/>
  <c r="AG25" i="20"/>
  <c r="AH25" i="20" s="1"/>
  <c r="AI338" i="20"/>
  <c r="AK338" i="20" s="1"/>
  <c r="AI529" i="20"/>
  <c r="AK529" i="20" s="1"/>
  <c r="AH439" i="20"/>
  <c r="AI439" i="20" s="1"/>
  <c r="AK439" i="20" s="1"/>
  <c r="AI705" i="20"/>
  <c r="AK705" i="20" s="1"/>
  <c r="AI59" i="20"/>
  <c r="AK59" i="20" s="1"/>
  <c r="AI17" i="20"/>
  <c r="AK17" i="20" s="1"/>
  <c r="AI377" i="20"/>
  <c r="AK377" i="20" s="1"/>
  <c r="AH63" i="20"/>
  <c r="AI63" i="20" s="1"/>
  <c r="AK63" i="20" s="1"/>
  <c r="AI56" i="20"/>
  <c r="AK56" i="20" s="1"/>
  <c r="AG1010" i="20"/>
  <c r="AH1010" i="20" s="1"/>
  <c r="AI42" i="20"/>
  <c r="AK42" i="20" s="1"/>
  <c r="AI541" i="20"/>
  <c r="AK541" i="20" s="1"/>
  <c r="AH946" i="20"/>
  <c r="AI946" i="20" s="1"/>
  <c r="AK946" i="20" s="1"/>
  <c r="AI581" i="20"/>
  <c r="AK581" i="20" s="1"/>
  <c r="AI285" i="20"/>
  <c r="AK285" i="20" s="1"/>
  <c r="AI567" i="20"/>
  <c r="AK567" i="20" s="1"/>
  <c r="AI16" i="20"/>
  <c r="AK16" i="20" s="1"/>
  <c r="AH513" i="20"/>
  <c r="AI513" i="20" s="1"/>
  <c r="AK513" i="20" s="1"/>
  <c r="AG463" i="20"/>
  <c r="AH531" i="20"/>
  <c r="AI531" i="20" s="1"/>
  <c r="AK531" i="20" s="1"/>
  <c r="AI237" i="20"/>
  <c r="AK237" i="20" s="1"/>
  <c r="AI832" i="20"/>
  <c r="AK832" i="20" s="1"/>
  <c r="AI447" i="20"/>
  <c r="AK447" i="20" s="1"/>
  <c r="AH722" i="20"/>
  <c r="AI722" i="20" s="1"/>
  <c r="AK722" i="20" s="1"/>
  <c r="AH555" i="20"/>
  <c r="AI555" i="20" s="1"/>
  <c r="AK555" i="20" s="1"/>
  <c r="AG205" i="20"/>
  <c r="AH205" i="20" s="1"/>
  <c r="AI205" i="20" s="1"/>
  <c r="AK205" i="20" s="1"/>
  <c r="AI396" i="20"/>
  <c r="AK396" i="20" s="1"/>
  <c r="AH156" i="20"/>
  <c r="AI156" i="20" s="1"/>
  <c r="AK156" i="20" s="1"/>
  <c r="AH13" i="20"/>
  <c r="AF271" i="20"/>
  <c r="AG271" i="20" s="1"/>
  <c r="AI578" i="20"/>
  <c r="AK578" i="20" s="1"/>
  <c r="AF1015" i="20"/>
  <c r="AG1015" i="20" s="1"/>
  <c r="AH88" i="20"/>
  <c r="AI88" i="20" s="1"/>
  <c r="AK88" i="20" s="1"/>
  <c r="AF752" i="20"/>
  <c r="AH574" i="20"/>
  <c r="AI574" i="20" s="1"/>
  <c r="AK574" i="20" s="1"/>
  <c r="AH730" i="20"/>
  <c r="AI730" i="20" s="1"/>
  <c r="AK730" i="20" s="1"/>
  <c r="AI554" i="20"/>
  <c r="AK554" i="20" s="1"/>
  <c r="AF768" i="20"/>
  <c r="AG768" i="20" s="1"/>
  <c r="AI64" i="20"/>
  <c r="AK64" i="20" s="1"/>
  <c r="AI457" i="20"/>
  <c r="AK457" i="20" s="1"/>
  <c r="AI591" i="20"/>
  <c r="AK591" i="20" s="1"/>
  <c r="AH139" i="20"/>
  <c r="AI139" i="20" s="1"/>
  <c r="AK139" i="20" s="1"/>
  <c r="AH21" i="20"/>
  <c r="AI21" i="20" s="1"/>
  <c r="AK21" i="20" s="1"/>
  <c r="AH24" i="20"/>
  <c r="AI24" i="20" s="1"/>
  <c r="AK24" i="20" s="1"/>
  <c r="AH32" i="20"/>
  <c r="AI32" i="20" s="1"/>
  <c r="AK32" i="20" s="1"/>
  <c r="AI251" i="20"/>
  <c r="AK251" i="20" s="1"/>
  <c r="AI704" i="20"/>
  <c r="AK704" i="20" s="1"/>
  <c r="AI598" i="20"/>
  <c r="AK598" i="20" s="1"/>
  <c r="AI550" i="20"/>
  <c r="AK550" i="20" s="1"/>
  <c r="AI73" i="20"/>
  <c r="AK73" i="20" s="1"/>
  <c r="AG109" i="20"/>
  <c r="AH109" i="20" s="1"/>
  <c r="AI109" i="20" s="1"/>
  <c r="AK109" i="20" s="1"/>
  <c r="AH383" i="20"/>
  <c r="AI383" i="20" s="1"/>
  <c r="AK383" i="20" s="1"/>
  <c r="AH247" i="20"/>
  <c r="AI247" i="20" s="1"/>
  <c r="AK247" i="20" s="1"/>
  <c r="AF279" i="20"/>
  <c r="AG279" i="20" s="1"/>
  <c r="AH279" i="20" s="1"/>
  <c r="AI558" i="20"/>
  <c r="AK558" i="20" s="1"/>
  <c r="AI851" i="20"/>
  <c r="AK851" i="20" s="1"/>
  <c r="AI215" i="20"/>
  <c r="AK215" i="20" s="1"/>
  <c r="AH927" i="20"/>
  <c r="AI927" i="20" s="1"/>
  <c r="AK927" i="20" s="1"/>
  <c r="AF319" i="20"/>
  <c r="AG238" i="20"/>
  <c r="AH238" i="20" s="1"/>
  <c r="AI238" i="20" s="1"/>
  <c r="AK238" i="20" s="1"/>
  <c r="AI102" i="20"/>
  <c r="AK102" i="20" s="1"/>
  <c r="AI393" i="20"/>
  <c r="AK393" i="20" s="1"/>
  <c r="AI175" i="20"/>
  <c r="AK175" i="20" s="1"/>
  <c r="AH268" i="20"/>
  <c r="AI268" i="20" s="1"/>
  <c r="AK268" i="20" s="1"/>
  <c r="AG273" i="20"/>
  <c r="AH273" i="20" s="1"/>
  <c r="AH474" i="20"/>
  <c r="AI474" i="20" s="1"/>
  <c r="AK474" i="20" s="1"/>
  <c r="AG183" i="20"/>
  <c r="AG259" i="20"/>
  <c r="AG505" i="20"/>
  <c r="AH505" i="20" s="1"/>
  <c r="AE934" i="20"/>
  <c r="AH545" i="20"/>
  <c r="AI545" i="20" s="1"/>
  <c r="AK545" i="20" s="1"/>
  <c r="AI231" i="20"/>
  <c r="AK231" i="20" s="1"/>
  <c r="AF1016" i="20"/>
  <c r="AG1016" i="20" s="1"/>
  <c r="AH1016" i="20" s="1"/>
  <c r="AH66" i="20"/>
  <c r="AI66" i="20" s="1"/>
  <c r="AK66" i="20" s="1"/>
  <c r="AI70" i="20"/>
  <c r="AK70" i="20" s="1"/>
  <c r="AI260" i="20"/>
  <c r="AK260" i="20" s="1"/>
  <c r="AH37" i="20"/>
  <c r="AI37" i="20" s="1"/>
  <c r="AK37" i="20" s="1"/>
  <c r="AH468" i="20"/>
  <c r="AI468" i="20" s="1"/>
  <c r="AK468" i="20" s="1"/>
  <c r="AG732" i="20"/>
  <c r="AH732" i="20" s="1"/>
  <c r="AI732" i="20" s="1"/>
  <c r="AK732" i="20" s="1"/>
  <c r="AF475" i="20"/>
  <c r="AG483" i="20"/>
  <c r="AH483" i="20" s="1"/>
  <c r="AI1024" i="20"/>
  <c r="AK1024" i="20" s="1"/>
  <c r="AF496" i="20"/>
  <c r="AG496" i="20" s="1"/>
  <c r="AH827" i="20"/>
  <c r="AI827" i="20" s="1"/>
  <c r="AK827" i="20" s="1"/>
  <c r="AI89" i="20"/>
  <c r="AK89" i="20" s="1"/>
  <c r="AG936" i="20"/>
  <c r="AF223" i="20"/>
  <c r="AG223" i="20" s="1"/>
  <c r="AG254" i="20"/>
  <c r="AH254" i="20" s="1"/>
  <c r="AG263" i="20"/>
  <c r="AH263" i="20" s="1"/>
  <c r="AI263" i="20" s="1"/>
  <c r="AK263" i="20" s="1"/>
  <c r="AG766" i="20"/>
  <c r="AH766" i="20" s="1"/>
  <c r="AG443" i="20"/>
  <c r="AH443" i="20" s="1"/>
  <c r="AI443" i="20" s="1"/>
  <c r="AK443" i="20" s="1"/>
  <c r="AH284" i="20"/>
  <c r="AI284" i="20" s="1"/>
  <c r="AK284" i="20" s="1"/>
  <c r="AI592" i="20"/>
  <c r="AK592" i="20" s="1"/>
  <c r="AH207" i="20"/>
  <c r="AI207" i="20" s="1"/>
  <c r="AK207" i="20" s="1"/>
  <c r="AI842" i="20"/>
  <c r="AK842" i="20" s="1"/>
  <c r="AI799" i="20"/>
  <c r="AK799" i="20" s="1"/>
  <c r="AH692" i="20"/>
  <c r="AI692" i="20" s="1"/>
  <c r="AK692" i="20" s="1"/>
  <c r="AH41" i="20"/>
  <c r="AI41" i="20" s="1"/>
  <c r="AK41" i="20" s="1"/>
  <c r="AG267" i="20"/>
  <c r="AH267" i="20" s="1"/>
  <c r="AI267" i="20" s="1"/>
  <c r="AK267" i="20" s="1"/>
  <c r="AG690" i="20"/>
  <c r="AH944" i="20"/>
  <c r="AI944" i="20" s="1"/>
  <c r="AK944" i="20" s="1"/>
  <c r="AH151" i="20"/>
  <c r="AI151" i="20" s="1"/>
  <c r="AK151" i="20" s="1"/>
  <c r="AF65" i="20"/>
  <c r="AG65" i="20" s="1"/>
  <c r="AF23" i="20"/>
  <c r="AI852" i="20"/>
  <c r="AK852" i="20" s="1"/>
  <c r="AF270" i="20"/>
  <c r="AG270" i="20" s="1"/>
  <c r="AG800" i="20"/>
  <c r="AH800" i="20" s="1"/>
  <c r="AI800" i="20" s="1"/>
  <c r="AK800" i="20" s="1"/>
  <c r="AI96" i="20"/>
  <c r="AK96" i="20" s="1"/>
  <c r="AH120" i="20"/>
  <c r="AI120" i="20" s="1"/>
  <c r="AK120" i="20" s="1"/>
  <c r="AG761" i="20"/>
  <c r="AH761" i="20" s="1"/>
  <c r="AI761" i="20" s="1"/>
  <c r="AK761" i="20" s="1"/>
  <c r="AI833" i="20"/>
  <c r="AK833" i="20" s="1"/>
  <c r="AG309" i="20"/>
  <c r="AI830" i="20"/>
  <c r="AK830" i="20" s="1"/>
  <c r="AH295" i="20"/>
  <c r="AI295" i="20" s="1"/>
  <c r="AK295" i="20" s="1"/>
  <c r="AH506" i="20"/>
  <c r="AI506" i="20" s="1"/>
  <c r="AK506" i="20" s="1"/>
  <c r="AG472" i="20"/>
  <c r="AH472" i="20" s="1"/>
  <c r="AI472" i="20" s="1"/>
  <c r="AK472" i="20" s="1"/>
  <c r="AG763" i="20"/>
  <c r="AG471" i="20"/>
  <c r="AG479" i="20"/>
  <c r="AG27" i="20"/>
  <c r="AH27" i="20" s="1"/>
  <c r="AF164" i="20"/>
  <c r="AG222" i="20"/>
  <c r="AI582" i="20"/>
  <c r="AK582" i="20" s="1"/>
  <c r="AG831" i="20"/>
  <c r="AH380" i="20"/>
  <c r="AI380" i="20" s="1"/>
  <c r="AK380" i="20" s="1"/>
  <c r="AG292" i="20"/>
  <c r="AH292" i="20" s="1"/>
  <c r="AG774" i="20"/>
  <c r="AH774" i="20" s="1"/>
  <c r="AF765" i="20"/>
  <c r="AH465" i="20"/>
  <c r="AI465" i="20" s="1"/>
  <c r="AK465" i="20" s="1"/>
  <c r="AK12" i="21" l="1"/>
  <c r="AH11" i="21"/>
  <c r="O35" i="24"/>
  <c r="H36" i="24"/>
  <c r="M36" i="24" s="1"/>
  <c r="N36" i="24" s="1"/>
  <c r="U17" i="23"/>
  <c r="Q17" i="23"/>
  <c r="J20" i="23"/>
  <c r="H21" i="23"/>
  <c r="O20" i="23"/>
  <c r="AI950" i="20"/>
  <c r="AK950" i="20" s="1"/>
  <c r="AH484" i="20"/>
  <c r="AI484" i="20" s="1"/>
  <c r="AK484" i="20" s="1"/>
  <c r="AF934" i="20"/>
  <c r="AM934" i="20" s="1"/>
  <c r="AI187" i="20"/>
  <c r="AK187" i="20" s="1"/>
  <c r="AI822" i="20"/>
  <c r="AK822" i="20" s="1"/>
  <c r="AH210" i="20"/>
  <c r="AI210" i="20" s="1"/>
  <c r="AK210" i="20" s="1"/>
  <c r="AI787" i="20"/>
  <c r="AK787" i="20" s="1"/>
  <c r="AH222" i="20"/>
  <c r="AI222" i="20" s="1"/>
  <c r="AK222" i="20" s="1"/>
  <c r="AH309" i="20"/>
  <c r="AI309" i="20" s="1"/>
  <c r="AK309" i="20" s="1"/>
  <c r="AI714" i="20"/>
  <c r="AK714" i="20" s="1"/>
  <c r="AH255" i="20"/>
  <c r="AI255" i="20" s="1"/>
  <c r="AK255" i="20" s="1"/>
  <c r="AH313" i="20"/>
  <c r="AI313" i="20" s="1"/>
  <c r="AK313" i="20" s="1"/>
  <c r="AG164" i="20"/>
  <c r="AH164" i="20" s="1"/>
  <c r="AI978" i="20"/>
  <c r="AK978" i="20" s="1"/>
  <c r="AI61" i="20"/>
  <c r="AK61" i="20" s="1"/>
  <c r="AH463" i="20"/>
  <c r="AI463" i="20" s="1"/>
  <c r="AK463" i="20" s="1"/>
  <c r="AI524" i="20"/>
  <c r="AK524" i="20" s="1"/>
  <c r="AI745" i="20"/>
  <c r="AK745" i="20" s="1"/>
  <c r="AI710" i="20"/>
  <c r="AK710" i="20" s="1"/>
  <c r="AI15" i="20"/>
  <c r="AK15" i="20" s="1"/>
  <c r="AI293" i="20"/>
  <c r="AK293" i="20" s="1"/>
  <c r="AH821" i="20"/>
  <c r="AI821" i="20" s="1"/>
  <c r="AK821" i="20" s="1"/>
  <c r="AI354" i="20"/>
  <c r="AK354" i="20" s="1"/>
  <c r="AI225" i="20"/>
  <c r="AK225" i="20" s="1"/>
  <c r="AH491" i="20"/>
  <c r="AI491" i="20" s="1"/>
  <c r="AK491" i="20" s="1"/>
  <c r="AH275" i="20"/>
  <c r="AI275" i="20" s="1"/>
  <c r="AK275" i="20" s="1"/>
  <c r="AH936" i="20"/>
  <c r="AH768" i="20"/>
  <c r="AI768" i="20" s="1"/>
  <c r="AK768" i="20" s="1"/>
  <c r="AH471" i="20"/>
  <c r="AI471" i="20" s="1"/>
  <c r="AK471" i="20" s="1"/>
  <c r="AI292" i="20"/>
  <c r="AK292" i="20" s="1"/>
  <c r="AH690" i="20"/>
  <c r="AI690" i="20" s="1"/>
  <c r="AG475" i="20"/>
  <c r="AH475" i="20" s="1"/>
  <c r="AI475" i="20" s="1"/>
  <c r="AK475" i="20" s="1"/>
  <c r="AI273" i="20"/>
  <c r="AK273" i="20" s="1"/>
  <c r="AG319" i="20"/>
  <c r="AH319" i="20" s="1"/>
  <c r="AI319" i="20" s="1"/>
  <c r="AK319" i="20" s="1"/>
  <c r="AH479" i="20"/>
  <c r="AI479" i="20" s="1"/>
  <c r="AK479" i="20" s="1"/>
  <c r="AI55" i="20"/>
  <c r="AK55" i="20" s="1"/>
  <c r="AH65" i="20"/>
  <c r="AI65" i="20" s="1"/>
  <c r="AK65" i="20" s="1"/>
  <c r="AI1010" i="20"/>
  <c r="AK1010" i="20" s="1"/>
  <c r="AH250" i="20"/>
  <c r="AI250" i="20" s="1"/>
  <c r="AK250" i="20" s="1"/>
  <c r="AI35" i="20"/>
  <c r="AK35" i="20" s="1"/>
  <c r="AH1004" i="20"/>
  <c r="AI1004" i="20" s="1"/>
  <c r="AK1004" i="20" s="1"/>
  <c r="AH271" i="20"/>
  <c r="AI271" i="20" s="1"/>
  <c r="AK271" i="20" s="1"/>
  <c r="AI25" i="20"/>
  <c r="AK25" i="20" s="1"/>
  <c r="AH45" i="20"/>
  <c r="AI45" i="20" s="1"/>
  <c r="AK45" i="20" s="1"/>
  <c r="AG752" i="20"/>
  <c r="AH752" i="20" s="1"/>
  <c r="AI752" i="20" s="1"/>
  <c r="AK752" i="20" s="1"/>
  <c r="AI322" i="20"/>
  <c r="AK322" i="20" s="1"/>
  <c r="AG765" i="20"/>
  <c r="AH765" i="20" s="1"/>
  <c r="AI27" i="20"/>
  <c r="AK27" i="20" s="1"/>
  <c r="AH763" i="20"/>
  <c r="AI763" i="20" s="1"/>
  <c r="AK763" i="20" s="1"/>
  <c r="AH831" i="20"/>
  <c r="AI831" i="20" s="1"/>
  <c r="AK831" i="20" s="1"/>
  <c r="AI505" i="20"/>
  <c r="AK505" i="20" s="1"/>
  <c r="AH924" i="20"/>
  <c r="AF689" i="20"/>
  <c r="AH183" i="20"/>
  <c r="AI183" i="20" s="1"/>
  <c r="AK183" i="20" s="1"/>
  <c r="AI766" i="20"/>
  <c r="AK766" i="20" s="1"/>
  <c r="AI924" i="20"/>
  <c r="AK925" i="20"/>
  <c r="AK924" i="20" s="1"/>
  <c r="AH256" i="20"/>
  <c r="AI256" i="20" s="1"/>
  <c r="AK256" i="20" s="1"/>
  <c r="AH259" i="20"/>
  <c r="AI259" i="20" s="1"/>
  <c r="AK259" i="20" s="1"/>
  <c r="AI1020" i="20"/>
  <c r="AK1020" i="20" s="1"/>
  <c r="AI467" i="20"/>
  <c r="AK467" i="20" s="1"/>
  <c r="AI254" i="20"/>
  <c r="AK254" i="20" s="1"/>
  <c r="AI774" i="20"/>
  <c r="AK774" i="20" s="1"/>
  <c r="AF12" i="20"/>
  <c r="AH223" i="20"/>
  <c r="AI223" i="20" s="1"/>
  <c r="AK223" i="20" s="1"/>
  <c r="AI1016" i="20"/>
  <c r="AK1016" i="20" s="1"/>
  <c r="AI279" i="20"/>
  <c r="AK279" i="20" s="1"/>
  <c r="AI13" i="20"/>
  <c r="AH496" i="20"/>
  <c r="AI496" i="20" s="1"/>
  <c r="AK496" i="20" s="1"/>
  <c r="AH49" i="20"/>
  <c r="AI49" i="20" s="1"/>
  <c r="AK49" i="20" s="1"/>
  <c r="AI483" i="20"/>
  <c r="AK483" i="20" s="1"/>
  <c r="AI163" i="20"/>
  <c r="AK163" i="20" s="1"/>
  <c r="AI828" i="20"/>
  <c r="AK828" i="20" s="1"/>
  <c r="AG23" i="20"/>
  <c r="AI129" i="20"/>
  <c r="AK129" i="20" s="1"/>
  <c r="AH270" i="20"/>
  <c r="AI270" i="20" s="1"/>
  <c r="AK270" i="20" s="1"/>
  <c r="AH1015" i="20"/>
  <c r="AI1015" i="20" s="1"/>
  <c r="AK1015" i="20" s="1"/>
  <c r="AG999" i="20"/>
  <c r="AK15" i="21" l="1"/>
  <c r="AK6" i="21"/>
  <c r="J36" i="24"/>
  <c r="H37" i="24"/>
  <c r="M37" i="24" s="1"/>
  <c r="N37" i="24" s="1"/>
  <c r="H38" i="24" s="1"/>
  <c r="M38" i="24" s="1"/>
  <c r="N38" i="24" s="1"/>
  <c r="O36" i="24"/>
  <c r="W17" i="23"/>
  <c r="P18" i="23" s="1"/>
  <c r="AL924" i="20"/>
  <c r="AI164" i="20"/>
  <c r="AK164" i="20" s="1"/>
  <c r="AG689" i="20"/>
  <c r="AG12" i="20"/>
  <c r="AL9" i="20" s="1"/>
  <c r="AK13" i="20"/>
  <c r="AK690" i="20"/>
  <c r="AH999" i="20"/>
  <c r="AI999" i="20" s="1"/>
  <c r="AK999" i="20" s="1"/>
  <c r="AH23" i="20"/>
  <c r="AH12" i="20" s="1"/>
  <c r="AF3" i="20"/>
  <c r="AG934" i="20"/>
  <c r="AL4" i="20"/>
  <c r="AI936" i="20"/>
  <c r="AI765" i="20"/>
  <c r="AK765" i="20" s="1"/>
  <c r="AH689" i="20"/>
  <c r="O38" i="24" l="1"/>
  <c r="J38" i="24"/>
  <c r="J37" i="24"/>
  <c r="O37" i="24"/>
  <c r="Q18" i="23"/>
  <c r="U18" i="23"/>
  <c r="AK689" i="20"/>
  <c r="AH934" i="20"/>
  <c r="AH11" i="20" s="1"/>
  <c r="AI689" i="20"/>
  <c r="AL689" i="20" s="1"/>
  <c r="AK936" i="20"/>
  <c r="AK934" i="20" s="1"/>
  <c r="AI934" i="20"/>
  <c r="AI23" i="20"/>
  <c r="AI37" i="34" l="1"/>
  <c r="W18" i="23"/>
  <c r="P19" i="23" s="1"/>
  <c r="AL934" i="20"/>
  <c r="AK23" i="20"/>
  <c r="AK12" i="20" s="1"/>
  <c r="AK11" i="20" s="1"/>
  <c r="AI12" i="20"/>
  <c r="U107" i="23" l="1"/>
  <c r="Q19" i="23"/>
  <c r="U19" i="23"/>
  <c r="AL12" i="20"/>
  <c r="AI11" i="20"/>
  <c r="W107" i="23" l="1"/>
  <c r="AB109" i="23"/>
  <c r="AJ37" i="34"/>
  <c r="AK37" i="34" s="1"/>
  <c r="AD95" i="23"/>
  <c r="AD96" i="23" s="1"/>
  <c r="AJ43" i="22"/>
  <c r="W19" i="23"/>
  <c r="P20" i="23" s="1"/>
  <c r="Q20" i="23" s="1"/>
  <c r="AL15" i="20"/>
  <c r="AL6" i="20"/>
  <c r="AD97" i="23" l="1"/>
  <c r="U20" i="23"/>
  <c r="W20" i="23" l="1"/>
  <c r="P21" i="23" s="1"/>
  <c r="Q21" i="23" s="1"/>
  <c r="AB12" i="22"/>
  <c r="AB11" i="22" s="1"/>
  <c r="K21" i="23" l="1"/>
  <c r="L21" i="23" s="1"/>
  <c r="M21" i="23" s="1"/>
  <c r="N21" i="23" s="1"/>
  <c r="J21" i="23" s="1"/>
  <c r="R32" i="24"/>
  <c r="R33" i="24" s="1"/>
  <c r="H22" i="23" l="1"/>
  <c r="O21" i="23"/>
  <c r="R21" i="23"/>
  <c r="U21" i="23" s="1"/>
  <c r="U33" i="24"/>
  <c r="AA28" i="17" s="1"/>
  <c r="R34" i="24"/>
  <c r="U32" i="24"/>
  <c r="Z28" i="17" s="1"/>
  <c r="W21" i="23" l="1"/>
  <c r="AC12" i="22"/>
  <c r="AI27" i="34"/>
  <c r="R35" i="24"/>
  <c r="U34" i="24"/>
  <c r="AB28" i="17" s="1"/>
  <c r="P32" i="24"/>
  <c r="Q32" i="24" s="1"/>
  <c r="W32" i="24" s="1"/>
  <c r="P33" i="24" s="1"/>
  <c r="Q33" i="24" s="1"/>
  <c r="W33" i="24" s="1"/>
  <c r="P34" i="24" s="1"/>
  <c r="Q34" i="24" s="1"/>
  <c r="K22" i="23" l="1"/>
  <c r="L22" i="23" s="1"/>
  <c r="P22" i="23"/>
  <c r="Q22" i="23" s="1"/>
  <c r="U79" i="23"/>
  <c r="W79" i="23" s="1"/>
  <c r="W34" i="24"/>
  <c r="P35" i="24" s="1"/>
  <c r="Q35" i="24" s="1"/>
  <c r="U35" i="24"/>
  <c r="AC28" i="17" s="1"/>
  <c r="R36" i="24"/>
  <c r="AH177" i="17"/>
  <c r="M22" i="23" l="1"/>
  <c r="N22" i="23" s="1"/>
  <c r="R22" i="23" s="1"/>
  <c r="U22" i="23" s="1"/>
  <c r="AJ27" i="34"/>
  <c r="AK27" i="34" s="1"/>
  <c r="AJ30" i="22"/>
  <c r="AD62" i="23"/>
  <c r="AD66" i="23" s="1"/>
  <c r="AD67" i="23" s="1"/>
  <c r="W35" i="24"/>
  <c r="P36" i="24" s="1"/>
  <c r="Q36" i="24" s="1"/>
  <c r="R37" i="24"/>
  <c r="U36" i="24"/>
  <c r="AD28" i="17" s="1"/>
  <c r="R267" i="17"/>
  <c r="W22" i="23" l="1"/>
  <c r="J22" i="23"/>
  <c r="H23" i="23"/>
  <c r="O22" i="23"/>
  <c r="U37" i="24"/>
  <c r="AE28" i="17" s="1"/>
  <c r="AJ28" i="17" s="1"/>
  <c r="R38" i="24"/>
  <c r="W36" i="24"/>
  <c r="P37" i="24" s="1"/>
  <c r="Q37" i="24" s="1"/>
  <c r="W37" i="24" s="1"/>
  <c r="AE13" i="26"/>
  <c r="AE11" i="26" s="1"/>
  <c r="R10" i="17"/>
  <c r="Z13" i="17"/>
  <c r="L23" i="23" l="1"/>
  <c r="R23" i="23" s="1"/>
  <c r="P23" i="23"/>
  <c r="Q23" i="23" s="1"/>
  <c r="AG12" i="39"/>
  <c r="AG11" i="39" s="1"/>
  <c r="AG34" i="37"/>
  <c r="AG13" i="37" s="1"/>
  <c r="AG11" i="37" s="1"/>
  <c r="U38" i="24"/>
  <c r="P38" i="24"/>
  <c r="Q38" i="24" s="1"/>
  <c r="AA13" i="17"/>
  <c r="AA12" i="17" s="1"/>
  <c r="AH112" i="17"/>
  <c r="P306" i="10"/>
  <c r="AF28" i="17" l="1"/>
  <c r="AG28" i="17" s="1"/>
  <c r="Z12" i="17"/>
  <c r="M23" i="23"/>
  <c r="N23" i="23" s="1"/>
  <c r="O23" i="23" s="1"/>
  <c r="R24" i="23"/>
  <c r="U24" i="23" s="1"/>
  <c r="AE12" i="22" s="1"/>
  <c r="U23" i="23"/>
  <c r="AD12" i="22" s="1"/>
  <c r="W38" i="24"/>
  <c r="AB13" i="17"/>
  <c r="AB12" i="17" s="1"/>
  <c r="AH43" i="17"/>
  <c r="AH60" i="17"/>
  <c r="AH117" i="17"/>
  <c r="AH192" i="17"/>
  <c r="J23" i="23" l="1"/>
  <c r="W23" i="23"/>
  <c r="P24" i="23" s="1"/>
  <c r="Q24" i="23" s="1"/>
  <c r="W24" i="23" s="1"/>
  <c r="P25" i="23" s="1"/>
  <c r="Q25" i="23" s="1"/>
  <c r="H24" i="23"/>
  <c r="M24" i="23" s="1"/>
  <c r="N24" i="23" s="1"/>
  <c r="J24" i="23" s="1"/>
  <c r="AC13" i="17"/>
  <c r="AC12" i="17" s="1"/>
  <c r="L26" i="23"/>
  <c r="Z267" i="17"/>
  <c r="AH151" i="17"/>
  <c r="AH42" i="17"/>
  <c r="AH86" i="17"/>
  <c r="AH186" i="17"/>
  <c r="AH108" i="17"/>
  <c r="AH44" i="17"/>
  <c r="AH93" i="17"/>
  <c r="AH35" i="17"/>
  <c r="AH59" i="17"/>
  <c r="AH207" i="17"/>
  <c r="AH21" i="17"/>
  <c r="AH150" i="17"/>
  <c r="AH109" i="17"/>
  <c r="AH84" i="16"/>
  <c r="AG84" i="16"/>
  <c r="AF84" i="16"/>
  <c r="AE84" i="16"/>
  <c r="AD84" i="16"/>
  <c r="AC84" i="16"/>
  <c r="AB84" i="16"/>
  <c r="AJ78" i="16"/>
  <c r="AI78" i="16"/>
  <c r="AH78" i="16"/>
  <c r="AG78" i="16"/>
  <c r="AF78" i="16"/>
  <c r="AE78" i="16"/>
  <c r="AD78" i="16"/>
  <c r="AC78" i="16"/>
  <c r="AB78" i="16"/>
  <c r="AJ15" i="16"/>
  <c r="AI15" i="16"/>
  <c r="AH15" i="16"/>
  <c r="AG15" i="16"/>
  <c r="AF15" i="16"/>
  <c r="AE15" i="16"/>
  <c r="AD15" i="16"/>
  <c r="AC15" i="16"/>
  <c r="AB15" i="16"/>
  <c r="P80" i="16"/>
  <c r="X80" i="16" s="1"/>
  <c r="P82" i="16"/>
  <c r="P84" i="16"/>
  <c r="X84" i="16" s="1"/>
  <c r="P78" i="16"/>
  <c r="P15" i="16"/>
  <c r="P13" i="16"/>
  <c r="X86" i="16"/>
  <c r="X85" i="16"/>
  <c r="X83" i="16"/>
  <c r="AJ82" i="16"/>
  <c r="AH82" i="16"/>
  <c r="AG82" i="16"/>
  <c r="AF82" i="16"/>
  <c r="AE82" i="16"/>
  <c r="AD82" i="16"/>
  <c r="AC82" i="16"/>
  <c r="AB82" i="16"/>
  <c r="X82" i="16"/>
  <c r="X81" i="16"/>
  <c r="AJ80" i="16"/>
  <c r="AH80" i="16"/>
  <c r="AG80" i="16"/>
  <c r="X78" i="16"/>
  <c r="AI76" i="16"/>
  <c r="AA76" i="16" s="1"/>
  <c r="W76" i="16"/>
  <c r="AI75" i="16"/>
  <c r="AA75" i="16" s="1"/>
  <c r="W75" i="16"/>
  <c r="X75" i="16" s="1"/>
  <c r="AI74" i="16"/>
  <c r="AA74" i="16" s="1"/>
  <c r="W74" i="16"/>
  <c r="AI73" i="16"/>
  <c r="AA73" i="16" s="1"/>
  <c r="W73" i="16"/>
  <c r="AI72" i="16"/>
  <c r="AA72" i="16" s="1"/>
  <c r="W72" i="16"/>
  <c r="X72" i="16" s="1"/>
  <c r="P71" i="16"/>
  <c r="X71" i="16" s="1"/>
  <c r="AI69" i="16"/>
  <c r="AA69" i="16" s="1"/>
  <c r="W69" i="16"/>
  <c r="X69" i="16" s="1"/>
  <c r="U69" i="16"/>
  <c r="AI68" i="16"/>
  <c r="AA68" i="16" s="1"/>
  <c r="W68" i="16"/>
  <c r="U68" i="16"/>
  <c r="AI67" i="16"/>
  <c r="AA67" i="16" s="1"/>
  <c r="W67" i="16"/>
  <c r="X67" i="16" s="1"/>
  <c r="U67" i="16"/>
  <c r="AI66" i="16"/>
  <c r="AA66" i="16" s="1"/>
  <c r="W66" i="16"/>
  <c r="Y66" i="16" s="1"/>
  <c r="Z66" i="16" s="1"/>
  <c r="U66" i="16"/>
  <c r="AI65" i="16"/>
  <c r="AA65" i="16" s="1"/>
  <c r="W65" i="16"/>
  <c r="X65" i="16" s="1"/>
  <c r="AI64" i="16"/>
  <c r="AA64" i="16" s="1"/>
  <c r="W64" i="16"/>
  <c r="AI63" i="16"/>
  <c r="AA63" i="16" s="1"/>
  <c r="W63" i="16"/>
  <c r="X63" i="16" s="1"/>
  <c r="AI62" i="16"/>
  <c r="AA62" i="16" s="1"/>
  <c r="W62" i="16"/>
  <c r="Y62" i="16" s="1"/>
  <c r="Z62" i="16" s="1"/>
  <c r="AI61" i="16"/>
  <c r="AA61" i="16" s="1"/>
  <c r="W61" i="16"/>
  <c r="AI60" i="16"/>
  <c r="AA60" i="16" s="1"/>
  <c r="W60" i="16"/>
  <c r="AI59" i="16"/>
  <c r="AA59" i="16" s="1"/>
  <c r="W59" i="16"/>
  <c r="Y59" i="16" s="1"/>
  <c r="Z59" i="16" s="1"/>
  <c r="AI58" i="16"/>
  <c r="AA58" i="16" s="1"/>
  <c r="W58" i="16"/>
  <c r="Y58" i="16" s="1"/>
  <c r="Z58" i="16" s="1"/>
  <c r="AI57" i="16"/>
  <c r="AA57" i="16" s="1"/>
  <c r="W57" i="16"/>
  <c r="X57" i="16" s="1"/>
  <c r="AI56" i="16"/>
  <c r="AA56" i="16" s="1"/>
  <c r="W56" i="16"/>
  <c r="Y56" i="16" s="1"/>
  <c r="Z56" i="16" s="1"/>
  <c r="AI55" i="16"/>
  <c r="AA55" i="16" s="1"/>
  <c r="W55" i="16"/>
  <c r="X55" i="16" s="1"/>
  <c r="AI54" i="16"/>
  <c r="AA54" i="16" s="1"/>
  <c r="W54" i="16"/>
  <c r="Y54" i="16" s="1"/>
  <c r="Z54" i="16" s="1"/>
  <c r="AI53" i="16"/>
  <c r="AA53" i="16" s="1"/>
  <c r="W53" i="16"/>
  <c r="AI52" i="16"/>
  <c r="AA52" i="16" s="1"/>
  <c r="W52" i="16"/>
  <c r="Y52" i="16" s="1"/>
  <c r="Z52" i="16" s="1"/>
  <c r="AI51" i="16"/>
  <c r="AA51" i="16" s="1"/>
  <c r="W51" i="16"/>
  <c r="X51" i="16" s="1"/>
  <c r="AI50" i="16"/>
  <c r="AA50" i="16" s="1"/>
  <c r="W50" i="16"/>
  <c r="X50" i="16" s="1"/>
  <c r="AI49" i="16"/>
  <c r="AA49" i="16" s="1"/>
  <c r="W49" i="16"/>
  <c r="X49" i="16" s="1"/>
  <c r="AI48" i="16"/>
  <c r="AA48" i="16" s="1"/>
  <c r="W48" i="16"/>
  <c r="Y48" i="16" s="1"/>
  <c r="Z48" i="16" s="1"/>
  <c r="AI47" i="16"/>
  <c r="AA47" i="16" s="1"/>
  <c r="W47" i="16"/>
  <c r="AI46" i="16"/>
  <c r="AA46" i="16" s="1"/>
  <c r="W46" i="16"/>
  <c r="Y46" i="16" s="1"/>
  <c r="Z46" i="16" s="1"/>
  <c r="AI45" i="16"/>
  <c r="AA45" i="16" s="1"/>
  <c r="W45" i="16"/>
  <c r="P44" i="16"/>
  <c r="X44" i="16" s="1"/>
  <c r="X43" i="16"/>
  <c r="AI42" i="16"/>
  <c r="AA42" i="16" s="1"/>
  <c r="W42" i="16"/>
  <c r="Y42" i="16" s="1"/>
  <c r="AI41" i="16"/>
  <c r="AA41" i="16" s="1"/>
  <c r="W41" i="16"/>
  <c r="AI40" i="16"/>
  <c r="AA40" i="16" s="1"/>
  <c r="W40" i="16"/>
  <c r="X40" i="16" s="1"/>
  <c r="AI39" i="16"/>
  <c r="AA39" i="16" s="1"/>
  <c r="W39" i="16"/>
  <c r="X39" i="16" s="1"/>
  <c r="AI38" i="16"/>
  <c r="AA38" i="16" s="1"/>
  <c r="W38" i="16"/>
  <c r="Y38" i="16" s="1"/>
  <c r="AI37" i="16"/>
  <c r="AA37" i="16" s="1"/>
  <c r="W37" i="16"/>
  <c r="AI36" i="16"/>
  <c r="AA36" i="16" s="1"/>
  <c r="W36" i="16"/>
  <c r="X36" i="16" s="1"/>
  <c r="AI35" i="16"/>
  <c r="AA35" i="16" s="1"/>
  <c r="W35" i="16"/>
  <c r="Y35" i="16" s="1"/>
  <c r="Z35" i="16" s="1"/>
  <c r="AI34" i="16"/>
  <c r="AA34" i="16" s="1"/>
  <c r="W34" i="16"/>
  <c r="Y34" i="16" s="1"/>
  <c r="AI33" i="16"/>
  <c r="AA33" i="16" s="1"/>
  <c r="W33" i="16"/>
  <c r="X33" i="16" s="1"/>
  <c r="AI32" i="16"/>
  <c r="AA32" i="16" s="1"/>
  <c r="W32" i="16"/>
  <c r="X32" i="16" s="1"/>
  <c r="AI31" i="16"/>
  <c r="AA31" i="16" s="1"/>
  <c r="W31" i="16"/>
  <c r="Y31" i="16" s="1"/>
  <c r="AI30" i="16"/>
  <c r="AA30" i="16" s="1"/>
  <c r="W30" i="16"/>
  <c r="AI29" i="16"/>
  <c r="AA29" i="16" s="1"/>
  <c r="W29" i="16"/>
  <c r="AI28" i="16"/>
  <c r="AA28" i="16" s="1"/>
  <c r="W28" i="16"/>
  <c r="X28" i="16" s="1"/>
  <c r="AI27" i="16"/>
  <c r="AA27" i="16" s="1"/>
  <c r="W27" i="16"/>
  <c r="AI26" i="16"/>
  <c r="AA26" i="16" s="1"/>
  <c r="W26" i="16"/>
  <c r="AI25" i="16"/>
  <c r="AA25" i="16" s="1"/>
  <c r="W25" i="16"/>
  <c r="Y25" i="16" s="1"/>
  <c r="Z25" i="16" s="1"/>
  <c r="AI24" i="16"/>
  <c r="AA24" i="16" s="1"/>
  <c r="W24" i="16"/>
  <c r="AI23" i="16"/>
  <c r="AA23" i="16" s="1"/>
  <c r="W23" i="16"/>
  <c r="AI22" i="16"/>
  <c r="AA22" i="16" s="1"/>
  <c r="W22" i="16"/>
  <c r="X22" i="16" s="1"/>
  <c r="AI21" i="16"/>
  <c r="AA21" i="16" s="1"/>
  <c r="W21" i="16"/>
  <c r="Y21" i="16" s="1"/>
  <c r="P20" i="16"/>
  <c r="X19" i="16"/>
  <c r="AI18" i="16"/>
  <c r="AA18" i="16" s="1"/>
  <c r="W18" i="16"/>
  <c r="Y18" i="16" s="1"/>
  <c r="Z18" i="16" s="1"/>
  <c r="P17" i="16"/>
  <c r="X17" i="16" s="1"/>
  <c r="X16" i="16"/>
  <c r="X14" i="16"/>
  <c r="AD13" i="17" l="1"/>
  <c r="AD12" i="17" s="1"/>
  <c r="H25" i="23"/>
  <c r="K25" i="23" s="1"/>
  <c r="L25" i="23" s="1"/>
  <c r="O24" i="23"/>
  <c r="AH145" i="17"/>
  <c r="AH195" i="17"/>
  <c r="Z10" i="17"/>
  <c r="AA267" i="17"/>
  <c r="AB267" i="17"/>
  <c r="AH61" i="17"/>
  <c r="AH49" i="17"/>
  <c r="AH235" i="17"/>
  <c r="AH48" i="17"/>
  <c r="AH159" i="17"/>
  <c r="AH50" i="17"/>
  <c r="AH91" i="17"/>
  <c r="Y32" i="16"/>
  <c r="Z32" i="16" s="1"/>
  <c r="X62" i="16"/>
  <c r="X21" i="16"/>
  <c r="Y50" i="16"/>
  <c r="AB50" i="16" s="1"/>
  <c r="AC50" i="16" s="1"/>
  <c r="Y49" i="16"/>
  <c r="Z49" i="16" s="1"/>
  <c r="Y75" i="16"/>
  <c r="Z75" i="16" s="1"/>
  <c r="AB25" i="16"/>
  <c r="AC25" i="16" s="1"/>
  <c r="Y28" i="16"/>
  <c r="Z28" i="16" s="1"/>
  <c r="AB35" i="16"/>
  <c r="AC35" i="16" s="1"/>
  <c r="Y33" i="16"/>
  <c r="Z33" i="16" s="1"/>
  <c r="X48" i="16"/>
  <c r="AB56" i="16"/>
  <c r="AC56" i="16" s="1"/>
  <c r="AD56" i="16" s="1"/>
  <c r="AE56" i="16" s="1"/>
  <c r="X58" i="16"/>
  <c r="Y40" i="16"/>
  <c r="Z40" i="16" s="1"/>
  <c r="AB54" i="16"/>
  <c r="AC54" i="16" s="1"/>
  <c r="AD54" i="16" s="1"/>
  <c r="AB58" i="16"/>
  <c r="AC58" i="16" s="1"/>
  <c r="AD58" i="16" s="1"/>
  <c r="AB66" i="16"/>
  <c r="AC66" i="16" s="1"/>
  <c r="AD66" i="16" s="1"/>
  <c r="X34" i="16"/>
  <c r="X66" i="16"/>
  <c r="P12" i="16"/>
  <c r="AI20" i="16"/>
  <c r="X25" i="16"/>
  <c r="X54" i="16"/>
  <c r="AB62" i="16"/>
  <c r="AC62" i="16" s="1"/>
  <c r="AD62" i="16" s="1"/>
  <c r="X18" i="16"/>
  <c r="Y36" i="16"/>
  <c r="Z36" i="16" s="1"/>
  <c r="X46" i="16"/>
  <c r="Y64" i="16"/>
  <c r="Z64" i="16" s="1"/>
  <c r="X64" i="16"/>
  <c r="X29" i="16"/>
  <c r="Y29" i="16"/>
  <c r="Z29" i="16" s="1"/>
  <c r="AB18" i="16"/>
  <c r="AC18" i="16" s="1"/>
  <c r="Y22" i="16"/>
  <c r="Z22" i="16" s="1"/>
  <c r="X26" i="16"/>
  <c r="Y26" i="16"/>
  <c r="Z26" i="16" s="1"/>
  <c r="X35" i="16"/>
  <c r="Y39" i="16"/>
  <c r="Z39" i="16" s="1"/>
  <c r="X42" i="16"/>
  <c r="AI44" i="16"/>
  <c r="Y51" i="16"/>
  <c r="Z51" i="16" s="1"/>
  <c r="X52" i="16"/>
  <c r="X56" i="16"/>
  <c r="Y57" i="16"/>
  <c r="Z57" i="16" s="1"/>
  <c r="AB52" i="16"/>
  <c r="AC52" i="16" s="1"/>
  <c r="AD52" i="16" s="1"/>
  <c r="Y67" i="16"/>
  <c r="Z67" i="16" s="1"/>
  <c r="AB67" i="16" s="1"/>
  <c r="X76" i="16"/>
  <c r="Y76" i="16"/>
  <c r="Z76" i="16" s="1"/>
  <c r="Y69" i="16"/>
  <c r="Z69" i="16" s="1"/>
  <c r="AI71" i="16"/>
  <c r="Y41" i="16"/>
  <c r="Z41" i="16" s="1"/>
  <c r="X41" i="16"/>
  <c r="X31" i="16"/>
  <c r="AD35" i="16"/>
  <c r="Y37" i="16"/>
  <c r="Z37" i="16" s="1"/>
  <c r="X37" i="16"/>
  <c r="Z42" i="16"/>
  <c r="AB42" i="16" s="1"/>
  <c r="Z31" i="16"/>
  <c r="AB31" i="16" s="1"/>
  <c r="Z38" i="16"/>
  <c r="AB38" i="16" s="1"/>
  <c r="Y24" i="16"/>
  <c r="X24" i="16"/>
  <c r="Y27" i="16"/>
  <c r="X27" i="16"/>
  <c r="AI17" i="16"/>
  <c r="Z21" i="16"/>
  <c r="AB21" i="16"/>
  <c r="Y30" i="16"/>
  <c r="Z30" i="16" s="1"/>
  <c r="X30" i="16"/>
  <c r="Z34" i="16"/>
  <c r="AB34" i="16" s="1"/>
  <c r="X38" i="16"/>
  <c r="Y23" i="16"/>
  <c r="Z23" i="16" s="1"/>
  <c r="X23" i="16"/>
  <c r="X47" i="16"/>
  <c r="Y47" i="16"/>
  <c r="Z47" i="16" s="1"/>
  <c r="AB48" i="16"/>
  <c r="X59" i="16"/>
  <c r="Y45" i="16"/>
  <c r="Z45" i="16" s="1"/>
  <c r="X45" i="16"/>
  <c r="X61" i="16"/>
  <c r="Y61" i="16"/>
  <c r="Z61" i="16" s="1"/>
  <c r="AB46" i="16"/>
  <c r="AB59" i="16"/>
  <c r="X53" i="16"/>
  <c r="Y53" i="16"/>
  <c r="Z53" i="16" s="1"/>
  <c r="Y60" i="16"/>
  <c r="Z60" i="16" s="1"/>
  <c r="X60" i="16"/>
  <c r="AI82" i="16"/>
  <c r="Y55" i="16"/>
  <c r="Z55" i="16" s="1"/>
  <c r="Y63" i="16"/>
  <c r="Z63" i="16" s="1"/>
  <c r="Y65" i="16"/>
  <c r="Z65" i="16" s="1"/>
  <c r="Y68" i="16"/>
  <c r="X68" i="16"/>
  <c r="Y73" i="16"/>
  <c r="Z73" i="16" s="1"/>
  <c r="X73" i="16"/>
  <c r="AI84" i="16"/>
  <c r="Y74" i="16"/>
  <c r="X74" i="16"/>
  <c r="Y72" i="16"/>
  <c r="Z72" i="16" s="1"/>
  <c r="AF13" i="15"/>
  <c r="AD13" i="15"/>
  <c r="AC13" i="15"/>
  <c r="AB13" i="15"/>
  <c r="AA13" i="15"/>
  <c r="Z13" i="15"/>
  <c r="Y13" i="15"/>
  <c r="X13" i="15"/>
  <c r="AE18" i="15"/>
  <c r="W18" i="15" s="1"/>
  <c r="S18" i="15"/>
  <c r="U18" i="15" s="1"/>
  <c r="V18" i="15" s="1"/>
  <c r="AE17" i="15"/>
  <c r="W17" i="15" s="1"/>
  <c r="S17" i="15"/>
  <c r="AE16" i="15"/>
  <c r="W16" i="15" s="1"/>
  <c r="S16" i="15"/>
  <c r="U16" i="15" s="1"/>
  <c r="Q15" i="15"/>
  <c r="Q11" i="15" s="1"/>
  <c r="AB3" i="15"/>
  <c r="AE13" i="17" l="1"/>
  <c r="AE12" i="17" s="1"/>
  <c r="AK12" i="17" s="1"/>
  <c r="M25" i="23"/>
  <c r="N25" i="23" s="1"/>
  <c r="R25" i="23" s="1"/>
  <c r="AA10" i="17"/>
  <c r="AC267" i="17"/>
  <c r="AB10" i="17"/>
  <c r="AH268" i="17"/>
  <c r="AD267" i="17"/>
  <c r="AH175" i="17"/>
  <c r="AE267" i="17"/>
  <c r="AB32" i="16"/>
  <c r="AC32" i="16" s="1"/>
  <c r="AD32" i="16" s="1"/>
  <c r="AB30" i="16"/>
  <c r="AC30" i="16" s="1"/>
  <c r="AD30" i="16" s="1"/>
  <c r="AB41" i="16"/>
  <c r="AC41" i="16" s="1"/>
  <c r="Z50" i="16"/>
  <c r="AB49" i="16"/>
  <c r="AC49" i="16" s="1"/>
  <c r="AB26" i="16"/>
  <c r="AC26" i="16" s="1"/>
  <c r="AB28" i="16"/>
  <c r="AC28" i="16" s="1"/>
  <c r="AB51" i="16"/>
  <c r="AC51" i="16" s="1"/>
  <c r="AB40" i="16"/>
  <c r="AC40" i="16" s="1"/>
  <c r="AB33" i="16"/>
  <c r="AC33" i="16" s="1"/>
  <c r="AB75" i="16"/>
  <c r="AC75" i="16" s="1"/>
  <c r="AD75" i="16" s="1"/>
  <c r="AE75" i="16" s="1"/>
  <c r="AB36" i="16"/>
  <c r="AC36" i="16" s="1"/>
  <c r="AB47" i="16"/>
  <c r="AC47" i="16" s="1"/>
  <c r="AB69" i="16"/>
  <c r="AC69" i="16" s="1"/>
  <c r="AD69" i="16" s="1"/>
  <c r="AB57" i="16"/>
  <c r="AC57" i="16" s="1"/>
  <c r="AB76" i="16"/>
  <c r="AC76" i="16" s="1"/>
  <c r="AD76" i="16" s="1"/>
  <c r="AB37" i="16"/>
  <c r="AC37" i="16" s="1"/>
  <c r="AB64" i="16"/>
  <c r="AB45" i="16"/>
  <c r="AC45" i="16" s="1"/>
  <c r="AB39" i="16"/>
  <c r="AC39" i="16" s="1"/>
  <c r="AB73" i="16"/>
  <c r="AC73" i="16" s="1"/>
  <c r="AD73" i="16" s="1"/>
  <c r="AE73" i="16" s="1"/>
  <c r="AB72" i="16"/>
  <c r="AC72" i="16" s="1"/>
  <c r="AE58" i="16"/>
  <c r="AF58" i="16" s="1"/>
  <c r="AG58" i="16" s="1"/>
  <c r="AB29" i="16"/>
  <c r="AC29" i="16" s="1"/>
  <c r="AB63" i="16"/>
  <c r="AC63" i="16" s="1"/>
  <c r="AD63" i="16" s="1"/>
  <c r="AD50" i="16"/>
  <c r="AE50" i="16" s="1"/>
  <c r="AF50" i="16" s="1"/>
  <c r="AB22" i="16"/>
  <c r="AC67" i="16"/>
  <c r="AD67" i="16" s="1"/>
  <c r="AC38" i="16"/>
  <c r="AD38" i="16" s="1"/>
  <c r="AC34" i="16"/>
  <c r="AD34" i="16" s="1"/>
  <c r="AE34" i="16" s="1"/>
  <c r="AC31" i="16"/>
  <c r="AD31" i="16" s="1"/>
  <c r="AC42" i="16"/>
  <c r="AD42" i="16" s="1"/>
  <c r="Z68" i="16"/>
  <c r="AB68" i="16" s="1"/>
  <c r="AB65" i="16"/>
  <c r="AE62" i="16"/>
  <c r="AF56" i="16"/>
  <c r="AG56" i="16" s="1"/>
  <c r="AB55" i="16"/>
  <c r="AC21" i="16"/>
  <c r="Z27" i="16"/>
  <c r="AB27" i="16" s="1"/>
  <c r="AD25" i="16"/>
  <c r="AB23" i="16"/>
  <c r="AE54" i="16"/>
  <c r="AF54" i="16" s="1"/>
  <c r="AC48" i="16"/>
  <c r="AD48" i="16" s="1"/>
  <c r="AE52" i="16"/>
  <c r="AB60" i="16"/>
  <c r="AE35" i="16"/>
  <c r="AD18" i="16"/>
  <c r="Z74" i="16"/>
  <c r="AB74" i="16"/>
  <c r="AE66" i="16"/>
  <c r="AF66" i="16" s="1"/>
  <c r="AC59" i="16"/>
  <c r="AD59" i="16" s="1"/>
  <c r="AC46" i="16"/>
  <c r="AD46" i="16" s="1"/>
  <c r="AE46" i="16" s="1"/>
  <c r="AB61" i="16"/>
  <c r="AB53" i="16"/>
  <c r="Z24" i="16"/>
  <c r="AB24" i="16"/>
  <c r="T16" i="15"/>
  <c r="AE15" i="15"/>
  <c r="T18" i="15"/>
  <c r="X18" i="15"/>
  <c r="Y18" i="15" s="1"/>
  <c r="Z18" i="15" s="1"/>
  <c r="V16" i="15"/>
  <c r="X16" i="15" s="1"/>
  <c r="T17" i="15"/>
  <c r="U17" i="15"/>
  <c r="V17" i="15" s="1"/>
  <c r="AF13" i="17" l="1"/>
  <c r="AF12" i="17" s="1"/>
  <c r="U25" i="23"/>
  <c r="R26" i="23"/>
  <c r="U26" i="23" s="1"/>
  <c r="J25" i="23"/>
  <c r="H26" i="23"/>
  <c r="M26" i="23" s="1"/>
  <c r="N26" i="23" s="1"/>
  <c r="O25" i="23"/>
  <c r="AC10" i="17"/>
  <c r="AD10" i="17"/>
  <c r="AH267" i="17"/>
  <c r="AG267" i="17"/>
  <c r="AE32" i="16"/>
  <c r="AF32" i="16" s="1"/>
  <c r="AD49" i="16"/>
  <c r="AE49" i="16" s="1"/>
  <c r="AF49" i="16" s="1"/>
  <c r="AG49" i="16" s="1"/>
  <c r="AD28" i="16"/>
  <c r="AE28" i="16" s="1"/>
  <c r="AD39" i="16"/>
  <c r="AF75" i="16"/>
  <c r="AG75" i="16" s="1"/>
  <c r="AH75" i="16" s="1"/>
  <c r="AE42" i="16"/>
  <c r="AF42" i="16" s="1"/>
  <c r="AD45" i="16"/>
  <c r="AE45" i="16" s="1"/>
  <c r="AE76" i="16"/>
  <c r="AF76" i="16" s="1"/>
  <c r="AG76" i="16" s="1"/>
  <c r="AH76" i="16" s="1"/>
  <c r="AH56" i="16"/>
  <c r="AK56" i="16" s="1"/>
  <c r="AH58" i="16"/>
  <c r="AK58" i="16" s="1"/>
  <c r="AC64" i="16"/>
  <c r="AD64" i="16" s="1"/>
  <c r="AD72" i="16"/>
  <c r="AE72" i="16" s="1"/>
  <c r="AF72" i="16" s="1"/>
  <c r="AG72" i="16" s="1"/>
  <c r="AE59" i="16"/>
  <c r="AF59" i="16" s="1"/>
  <c r="AE48" i="16"/>
  <c r="AF48" i="16" s="1"/>
  <c r="AG48" i="16" s="1"/>
  <c r="AG50" i="16"/>
  <c r="AH50" i="16" s="1"/>
  <c r="AK50" i="16" s="1"/>
  <c r="AC22" i="16"/>
  <c r="AD22" i="16" s="1"/>
  <c r="AE31" i="16"/>
  <c r="AF31" i="16" s="1"/>
  <c r="AG31" i="16" s="1"/>
  <c r="AG54" i="16"/>
  <c r="AH54" i="16" s="1"/>
  <c r="AK54" i="16" s="1"/>
  <c r="AG66" i="16"/>
  <c r="AH66" i="16" s="1"/>
  <c r="AK66" i="16" s="1"/>
  <c r="AE69" i="16"/>
  <c r="AC68" i="16"/>
  <c r="AD68" i="16" s="1"/>
  <c r="AB44" i="16"/>
  <c r="AE67" i="16"/>
  <c r="AF67" i="16" s="1"/>
  <c r="AG67" i="16" s="1"/>
  <c r="AD40" i="16"/>
  <c r="AE40" i="16" s="1"/>
  <c r="AF40" i="16" s="1"/>
  <c r="AE18" i="16"/>
  <c r="AF18" i="16" s="1"/>
  <c r="AB71" i="16"/>
  <c r="AD21" i="16"/>
  <c r="AE21" i="16" s="1"/>
  <c r="AF62" i="16"/>
  <c r="AG62" i="16" s="1"/>
  <c r="AF34" i="16"/>
  <c r="AG34" i="16" s="1"/>
  <c r="AH34" i="16" s="1"/>
  <c r="AC61" i="16"/>
  <c r="AF46" i="16"/>
  <c r="AB20" i="16"/>
  <c r="AC74" i="16"/>
  <c r="AF52" i="16"/>
  <c r="AG52" i="16" s="1"/>
  <c r="AD51" i="16"/>
  <c r="AE51" i="16" s="1"/>
  <c r="AD29" i="16"/>
  <c r="AE29" i="16" s="1"/>
  <c r="AF73" i="16"/>
  <c r="AG73" i="16" s="1"/>
  <c r="AH73" i="16" s="1"/>
  <c r="AC27" i="16"/>
  <c r="AD27" i="16" s="1"/>
  <c r="AC55" i="16"/>
  <c r="AD55" i="16" s="1"/>
  <c r="AD37" i="16"/>
  <c r="AD47" i="16"/>
  <c r="AE47" i="16" s="1"/>
  <c r="AD41" i="16"/>
  <c r="AC60" i="16"/>
  <c r="AC17" i="16"/>
  <c r="AB17" i="16"/>
  <c r="AC24" i="16"/>
  <c r="AD24" i="16" s="1"/>
  <c r="AC53" i="16"/>
  <c r="AD53" i="16" s="1"/>
  <c r="AE30" i="16"/>
  <c r="AE39" i="16"/>
  <c r="AF39" i="16" s="1"/>
  <c r="AF35" i="16"/>
  <c r="AE63" i="16"/>
  <c r="AF63" i="16" s="1"/>
  <c r="AD36" i="16"/>
  <c r="AD57" i="16"/>
  <c r="AE57" i="16" s="1"/>
  <c r="AC23" i="16"/>
  <c r="AD33" i="16"/>
  <c r="AD26" i="16"/>
  <c r="AC65" i="16"/>
  <c r="AD65" i="16" s="1"/>
  <c r="AE25" i="16"/>
  <c r="AF25" i="16" s="1"/>
  <c r="AE38" i="16"/>
  <c r="AF38" i="16" s="1"/>
  <c r="AA18" i="15"/>
  <c r="AB18" i="15" s="1"/>
  <c r="AC18" i="15" s="1"/>
  <c r="AD18" i="15" s="1"/>
  <c r="AG18" i="15" s="1"/>
  <c r="Y16" i="15"/>
  <c r="X17" i="15"/>
  <c r="AG13" i="17" l="1"/>
  <c r="AG12" i="17" s="1"/>
  <c r="AF10" i="17"/>
  <c r="W25" i="23"/>
  <c r="P26" i="23" s="1"/>
  <c r="Q26" i="23" s="1"/>
  <c r="W26" i="23" s="1"/>
  <c r="P27" i="23" s="1"/>
  <c r="Q27" i="23" s="1"/>
  <c r="AF12" i="22"/>
  <c r="H27" i="23"/>
  <c r="J26" i="23"/>
  <c r="O26" i="23"/>
  <c r="AE10" i="17"/>
  <c r="AF28" i="16"/>
  <c r="AG28" i="16" s="1"/>
  <c r="AH28" i="16" s="1"/>
  <c r="AJ28" i="16" s="1"/>
  <c r="AJ58" i="16"/>
  <c r="AJ56" i="16"/>
  <c r="AE22" i="16"/>
  <c r="AF22" i="16" s="1"/>
  <c r="AJ50" i="16"/>
  <c r="AF57" i="16"/>
  <c r="AG57" i="16" s="1"/>
  <c r="AH57" i="16" s="1"/>
  <c r="AK57" i="16" s="1"/>
  <c r="AH48" i="16"/>
  <c r="AG32" i="16"/>
  <c r="AH32" i="16" s="1"/>
  <c r="AH49" i="16"/>
  <c r="AE64" i="16"/>
  <c r="AF64" i="16" s="1"/>
  <c r="AG63" i="16"/>
  <c r="AH63" i="16" s="1"/>
  <c r="AC20" i="16"/>
  <c r="AH52" i="16"/>
  <c r="AK52" i="16" s="1"/>
  <c r="AE41" i="16"/>
  <c r="AF41" i="16" s="1"/>
  <c r="AG42" i="16"/>
  <c r="AH42" i="16" s="1"/>
  <c r="AJ73" i="16"/>
  <c r="AJ75" i="16"/>
  <c r="AJ34" i="16"/>
  <c r="AH72" i="16"/>
  <c r="AE68" i="16"/>
  <c r="AF68" i="16" s="1"/>
  <c r="AJ54" i="16"/>
  <c r="AJ66" i="16"/>
  <c r="AG46" i="16"/>
  <c r="AH46" i="16" s="1"/>
  <c r="AK46" i="16" s="1"/>
  <c r="AH31" i="16"/>
  <c r="AE36" i="16"/>
  <c r="AF36" i="16" s="1"/>
  <c r="AF30" i="16"/>
  <c r="AG30" i="16" s="1"/>
  <c r="AD74" i="16"/>
  <c r="AE74" i="16" s="1"/>
  <c r="AH62" i="16"/>
  <c r="AK62" i="16" s="1"/>
  <c r="AE26" i="16"/>
  <c r="AF26" i="16" s="1"/>
  <c r="AE65" i="16"/>
  <c r="AF65" i="16" s="1"/>
  <c r="AD60" i="16"/>
  <c r="AE60" i="16" s="1"/>
  <c r="AF21" i="16"/>
  <c r="AG21" i="16" s="1"/>
  <c r="AH21" i="16" s="1"/>
  <c r="AC71" i="16"/>
  <c r="AF51" i="16"/>
  <c r="AD61" i="16"/>
  <c r="AE61" i="16" s="1"/>
  <c r="AH67" i="16"/>
  <c r="AK67" i="16" s="1"/>
  <c r="AF45" i="16"/>
  <c r="AG45" i="16" s="1"/>
  <c r="AH45" i="16" s="1"/>
  <c r="AK45" i="16" s="1"/>
  <c r="AF69" i="16"/>
  <c r="AE33" i="16"/>
  <c r="AF33" i="16" s="1"/>
  <c r="AG59" i="16"/>
  <c r="AH59" i="16" s="1"/>
  <c r="AK59" i="16" s="1"/>
  <c r="AE37" i="16"/>
  <c r="AF37" i="16" s="1"/>
  <c r="AG37" i="16" s="1"/>
  <c r="AF29" i="16"/>
  <c r="AG29" i="16" s="1"/>
  <c r="AD23" i="16"/>
  <c r="AE23" i="16" s="1"/>
  <c r="AG39" i="16"/>
  <c r="AH39" i="16" s="1"/>
  <c r="AE53" i="16"/>
  <c r="AF53" i="16" s="1"/>
  <c r="AG53" i="16" s="1"/>
  <c r="AH53" i="16" s="1"/>
  <c r="AK53" i="16" s="1"/>
  <c r="AF47" i="16"/>
  <c r="AG47" i="16" s="1"/>
  <c r="AG40" i="16"/>
  <c r="AH40" i="16" s="1"/>
  <c r="AJ76" i="16"/>
  <c r="AG25" i="16"/>
  <c r="AH25" i="16" s="1"/>
  <c r="AE24" i="16"/>
  <c r="AF24" i="16" s="1"/>
  <c r="AG38" i="16"/>
  <c r="AH38" i="16" s="1"/>
  <c r="AE55" i="16"/>
  <c r="AF55" i="16" s="1"/>
  <c r="AE27" i="16"/>
  <c r="AF27" i="16" s="1"/>
  <c r="AG18" i="16"/>
  <c r="AH18" i="16" s="1"/>
  <c r="AC44" i="16"/>
  <c r="AG35" i="16"/>
  <c r="AH35" i="16" s="1"/>
  <c r="AF18" i="15"/>
  <c r="X15" i="15"/>
  <c r="Y17" i="15"/>
  <c r="Z16" i="15"/>
  <c r="AA16" i="15" s="1"/>
  <c r="AH13" i="17" l="1"/>
  <c r="K27" i="23"/>
  <c r="L27" i="23" s="1"/>
  <c r="M27" i="23" s="1"/>
  <c r="N27" i="23" s="1"/>
  <c r="J27" i="23" s="1"/>
  <c r="U42" i="24"/>
  <c r="AJ49" i="16"/>
  <c r="AK49" i="16"/>
  <c r="AJ63" i="16"/>
  <c r="AK63" i="16"/>
  <c r="AJ48" i="16"/>
  <c r="AK48" i="16"/>
  <c r="AJ52" i="16"/>
  <c r="AE20" i="16"/>
  <c r="AH37" i="16"/>
  <c r="AJ37" i="16" s="1"/>
  <c r="AG22" i="16"/>
  <c r="AH22" i="16" s="1"/>
  <c r="AJ42" i="16"/>
  <c r="AG64" i="16"/>
  <c r="AH64" i="16" s="1"/>
  <c r="AK64" i="16" s="1"/>
  <c r="AJ32" i="16"/>
  <c r="AH29" i="16"/>
  <c r="AJ29" i="16" s="1"/>
  <c r="AG36" i="16"/>
  <c r="AH36" i="16" s="1"/>
  <c r="AG41" i="16"/>
  <c r="AH41" i="16" s="1"/>
  <c r="AG24" i="16"/>
  <c r="AH24" i="16" s="1"/>
  <c r="AJ25" i="16"/>
  <c r="AJ45" i="16"/>
  <c r="AJ40" i="16"/>
  <c r="AJ53" i="16"/>
  <c r="AJ57" i="16"/>
  <c r="AJ38" i="16"/>
  <c r="AJ35" i="16"/>
  <c r="AD17" i="16"/>
  <c r="AJ31" i="16"/>
  <c r="AH47" i="16"/>
  <c r="AK47" i="16" s="1"/>
  <c r="AG51" i="16"/>
  <c r="AH51" i="16" s="1"/>
  <c r="AK51" i="16" s="1"/>
  <c r="AG27" i="16"/>
  <c r="AH27" i="16" s="1"/>
  <c r="AJ72" i="16"/>
  <c r="AJ46" i="16"/>
  <c r="AG55" i="16"/>
  <c r="AH55" i="16" s="1"/>
  <c r="AK55" i="16" s="1"/>
  <c r="AG26" i="16"/>
  <c r="AH26" i="16" s="1"/>
  <c r="AJ39" i="16"/>
  <c r="AJ21" i="16"/>
  <c r="AJ62" i="16"/>
  <c r="AJ59" i="16"/>
  <c r="AD44" i="16"/>
  <c r="AJ18" i="16"/>
  <c r="AD20" i="16"/>
  <c r="AF23" i="16"/>
  <c r="AG23" i="16" s="1"/>
  <c r="AH69" i="16"/>
  <c r="AK69" i="16" s="1"/>
  <c r="AJ67" i="16"/>
  <c r="AG33" i="16"/>
  <c r="AH33" i="16" s="1"/>
  <c r="AF74" i="16"/>
  <c r="AD71" i="16"/>
  <c r="AH30" i="16"/>
  <c r="AF60" i="16"/>
  <c r="AG60" i="16" s="1"/>
  <c r="AH60" i="16" s="1"/>
  <c r="AK60" i="16" s="1"/>
  <c r="AG68" i="16"/>
  <c r="AH68" i="16" s="1"/>
  <c r="AK68" i="16" s="1"/>
  <c r="AF61" i="16"/>
  <c r="AG61" i="16" s="1"/>
  <c r="AH61" i="16" s="1"/>
  <c r="AK61" i="16" s="1"/>
  <c r="AG65" i="16"/>
  <c r="AH65" i="16" s="1"/>
  <c r="AK65" i="16" s="1"/>
  <c r="Z17" i="15"/>
  <c r="Y15" i="15"/>
  <c r="AB16" i="15"/>
  <c r="AC16" i="15" s="1"/>
  <c r="W42" i="24" l="1"/>
  <c r="W643" i="24" s="1"/>
  <c r="U647" i="24"/>
  <c r="R27" i="23"/>
  <c r="U27" i="23" s="1"/>
  <c r="AI13" i="34" s="1"/>
  <c r="AI12" i="34" s="1"/>
  <c r="AI11" i="34" s="1"/>
  <c r="H28" i="23"/>
  <c r="O27" i="23"/>
  <c r="AF12" i="36"/>
  <c r="AF11" i="36" s="1"/>
  <c r="AI12" i="39"/>
  <c r="AI11" i="39" s="1"/>
  <c r="AH12" i="39"/>
  <c r="AH11" i="39" s="1"/>
  <c r="AH19" i="39"/>
  <c r="U643" i="24"/>
  <c r="AH34" i="37"/>
  <c r="AH11" i="33"/>
  <c r="AD36" i="24"/>
  <c r="AD37" i="24" s="1"/>
  <c r="AD38" i="24" s="1"/>
  <c r="AE71" i="16"/>
  <c r="AJ41" i="16"/>
  <c r="AJ22" i="16"/>
  <c r="AJ36" i="16"/>
  <c r="AJ64" i="16"/>
  <c r="AF17" i="16"/>
  <c r="AG74" i="16"/>
  <c r="AH74" i="16" s="1"/>
  <c r="AF20" i="16"/>
  <c r="AJ51" i="16"/>
  <c r="AJ65" i="16"/>
  <c r="AJ60" i="16"/>
  <c r="AJ61" i="16"/>
  <c r="AJ68" i="16"/>
  <c r="AJ26" i="16"/>
  <c r="AJ27" i="16"/>
  <c r="AJ24" i="16"/>
  <c r="AJ30" i="16"/>
  <c r="AJ33" i="16"/>
  <c r="AE44" i="16"/>
  <c r="AH23" i="16"/>
  <c r="AJ69" i="16"/>
  <c r="AF44" i="16"/>
  <c r="AJ47" i="16"/>
  <c r="AJ55" i="16"/>
  <c r="AE17" i="16"/>
  <c r="AD16" i="15"/>
  <c r="AG16" i="15" s="1"/>
  <c r="Z15" i="15"/>
  <c r="AA17" i="15"/>
  <c r="W27" i="23" l="1"/>
  <c r="L28" i="23" s="1"/>
  <c r="M28" i="23" s="1"/>
  <c r="N28" i="23" s="1"/>
  <c r="H29" i="23" s="1"/>
  <c r="M29" i="23" s="1"/>
  <c r="N29" i="23" s="1"/>
  <c r="H30" i="23" s="1"/>
  <c r="AI34" i="37"/>
  <c r="AI13" i="37" s="1"/>
  <c r="AI11" i="37" s="1"/>
  <c r="AH356" i="37"/>
  <c r="AH13" i="37"/>
  <c r="AH11" i="37" s="1"/>
  <c r="AG10" i="17"/>
  <c r="AH13" i="26"/>
  <c r="AH11" i="26" s="1"/>
  <c r="AF13" i="26"/>
  <c r="AF11" i="26" s="1"/>
  <c r="AH28" i="17"/>
  <c r="AH12" i="17" s="1"/>
  <c r="AG20" i="16"/>
  <c r="AF71" i="16"/>
  <c r="AJ74" i="16"/>
  <c r="AJ71" i="16" s="1"/>
  <c r="AH71" i="16"/>
  <c r="AJ84" i="16"/>
  <c r="AG71" i="16"/>
  <c r="AJ23" i="16"/>
  <c r="AJ20" i="16" s="1"/>
  <c r="AH20" i="16"/>
  <c r="AG17" i="16"/>
  <c r="AB17" i="15"/>
  <c r="AA15" i="15"/>
  <c r="AF16" i="15"/>
  <c r="AH10" i="17" l="1"/>
  <c r="R28" i="23"/>
  <c r="U28" i="23" s="1"/>
  <c r="P28" i="23"/>
  <c r="Q28" i="23" s="1"/>
  <c r="O28" i="23"/>
  <c r="O29" i="23"/>
  <c r="J28" i="23"/>
  <c r="J29" i="23"/>
  <c r="AG44" i="16"/>
  <c r="AJ44" i="16"/>
  <c r="AH44" i="16"/>
  <c r="AJ17" i="16"/>
  <c r="AH17" i="16"/>
  <c r="AC17" i="15"/>
  <c r="AD17" i="15" s="1"/>
  <c r="AG17" i="15" s="1"/>
  <c r="AB15" i="15"/>
  <c r="R29" i="23" l="1"/>
  <c r="U29" i="23" s="1"/>
  <c r="W28" i="23"/>
  <c r="P29" i="23" s="1"/>
  <c r="Q29" i="23" s="1"/>
  <c r="AG12" i="22"/>
  <c r="AI11" i="33"/>
  <c r="AJ11" i="33"/>
  <c r="AK16" i="22"/>
  <c r="AK44" i="16"/>
  <c r="AK17" i="16"/>
  <c r="AC15" i="15"/>
  <c r="AF17" i="15"/>
  <c r="AD15" i="15"/>
  <c r="W29" i="23" l="1"/>
  <c r="P30" i="23" s="1"/>
  <c r="Q30" i="23" s="1"/>
  <c r="AD11" i="15"/>
  <c r="AG15" i="15"/>
  <c r="AC11" i="15"/>
  <c r="AF15" i="15"/>
  <c r="AF11" i="15" s="1"/>
  <c r="K30" i="23" l="1"/>
  <c r="L30" i="23" s="1"/>
  <c r="M30" i="23" s="1"/>
  <c r="N30" i="23" s="1"/>
  <c r="R30" i="23" s="1"/>
  <c r="U30" i="23" s="1"/>
  <c r="AG12" i="36"/>
  <c r="AG11" i="36" s="1"/>
  <c r="AH12" i="36"/>
  <c r="AH11" i="36" s="1"/>
  <c r="AE348" i="13"/>
  <c r="W348" i="13" s="1"/>
  <c r="S348" i="13"/>
  <c r="U348" i="13" s="1"/>
  <c r="V348" i="13" s="1"/>
  <c r="AE347" i="13"/>
  <c r="W347" i="13" s="1"/>
  <c r="S347" i="13"/>
  <c r="AE346" i="13"/>
  <c r="W346" i="13" s="1"/>
  <c r="S346" i="13"/>
  <c r="U346" i="13" s="1"/>
  <c r="V346" i="13" s="1"/>
  <c r="AE345" i="13"/>
  <c r="W345" i="13" s="1"/>
  <c r="S345" i="13"/>
  <c r="AE344" i="13"/>
  <c r="W344" i="13" s="1"/>
  <c r="S344" i="13"/>
  <c r="U344" i="13" s="1"/>
  <c r="AE343" i="13"/>
  <c r="W343" i="13" s="1"/>
  <c r="S343" i="13"/>
  <c r="AE342" i="13"/>
  <c r="W342" i="13" s="1"/>
  <c r="S342" i="13"/>
  <c r="T342" i="13" s="1"/>
  <c r="AE341" i="13"/>
  <c r="W341" i="13" s="1"/>
  <c r="S341" i="13"/>
  <c r="AE340" i="13"/>
  <c r="W340" i="13" s="1"/>
  <c r="S340" i="13"/>
  <c r="T340" i="13" s="1"/>
  <c r="Q339" i="13"/>
  <c r="AE336" i="13"/>
  <c r="AC336" i="13"/>
  <c r="AD336" i="13" s="1"/>
  <c r="AF336" i="13" s="1"/>
  <c r="S336" i="13"/>
  <c r="AE335" i="13"/>
  <c r="AC335" i="13"/>
  <c r="AD335" i="13" s="1"/>
  <c r="AF335" i="13" s="1"/>
  <c r="S335" i="13"/>
  <c r="AE334" i="13"/>
  <c r="AC334" i="13"/>
  <c r="AD334" i="13" s="1"/>
  <c r="AF334" i="13" s="1"/>
  <c r="S334" i="13"/>
  <c r="U334" i="13" s="1"/>
  <c r="AE333" i="13"/>
  <c r="AC333" i="13"/>
  <c r="AD333" i="13" s="1"/>
  <c r="AF333" i="13" s="1"/>
  <c r="S333" i="13"/>
  <c r="AE332" i="13"/>
  <c r="S332" i="13"/>
  <c r="T332" i="13" s="1"/>
  <c r="AE331" i="13"/>
  <c r="S331" i="13"/>
  <c r="T331" i="13" s="1"/>
  <c r="AE330" i="13"/>
  <c r="S330" i="13"/>
  <c r="AE329" i="13"/>
  <c r="S329" i="13"/>
  <c r="AE328" i="13"/>
  <c r="S328" i="13"/>
  <c r="AE327" i="13"/>
  <c r="S327" i="13"/>
  <c r="AE326" i="13"/>
  <c r="S326" i="13"/>
  <c r="AE325" i="13"/>
  <c r="S325" i="13"/>
  <c r="AE324" i="13"/>
  <c r="S324" i="13"/>
  <c r="U324" i="13" s="1"/>
  <c r="V324" i="13" s="1"/>
  <c r="AC324" i="13" s="1"/>
  <c r="AD324" i="13" s="1"/>
  <c r="AF324" i="13" s="1"/>
  <c r="AE323" i="13"/>
  <c r="S323" i="13"/>
  <c r="T323" i="13" s="1"/>
  <c r="AE322" i="13"/>
  <c r="S322" i="13"/>
  <c r="Q322" i="13"/>
  <c r="Q13" i="13" s="1"/>
  <c r="AE321" i="13"/>
  <c r="S321" i="13"/>
  <c r="AE320" i="13"/>
  <c r="S320" i="13"/>
  <c r="AE319" i="13"/>
  <c r="S319" i="13"/>
  <c r="AE318" i="13"/>
  <c r="S318" i="13"/>
  <c r="U318" i="13" s="1"/>
  <c r="AE317" i="13"/>
  <c r="S317" i="13"/>
  <c r="T317" i="13" s="1"/>
  <c r="AE316" i="13"/>
  <c r="S316" i="13"/>
  <c r="T316" i="13" s="1"/>
  <c r="AE315" i="13"/>
  <c r="S315" i="13"/>
  <c r="T315" i="13" s="1"/>
  <c r="AE314" i="13"/>
  <c r="S314" i="13"/>
  <c r="AE313" i="13"/>
  <c r="S313" i="13"/>
  <c r="AE312" i="13"/>
  <c r="S312" i="13"/>
  <c r="AE311" i="13"/>
  <c r="S311" i="13"/>
  <c r="AE310" i="13"/>
  <c r="S310" i="13"/>
  <c r="AE309" i="13"/>
  <c r="S309" i="13"/>
  <c r="AE308" i="13"/>
  <c r="S308" i="13"/>
  <c r="AE307" i="13"/>
  <c r="S307" i="13"/>
  <c r="AE306" i="13"/>
  <c r="S306" i="13"/>
  <c r="AE305" i="13"/>
  <c r="S305" i="13"/>
  <c r="U305" i="13" s="1"/>
  <c r="AE304" i="13"/>
  <c r="S304" i="13"/>
  <c r="AE303" i="13"/>
  <c r="S303" i="13"/>
  <c r="U303" i="13" s="1"/>
  <c r="V303" i="13" s="1"/>
  <c r="AE302" i="13"/>
  <c r="S302" i="13"/>
  <c r="AE301" i="13"/>
  <c r="S301" i="13"/>
  <c r="AE300" i="13"/>
  <c r="S300" i="13"/>
  <c r="AE299" i="13"/>
  <c r="S299" i="13"/>
  <c r="AE298" i="13"/>
  <c r="S298" i="13"/>
  <c r="AE297" i="13"/>
  <c r="S297" i="13"/>
  <c r="T297" i="13" s="1"/>
  <c r="AE296" i="13"/>
  <c r="S296" i="13"/>
  <c r="AE295" i="13"/>
  <c r="S295" i="13"/>
  <c r="U295" i="13" s="1"/>
  <c r="V295" i="13" s="1"/>
  <c r="X295" i="13" s="1"/>
  <c r="AE294" i="13"/>
  <c r="S294" i="13"/>
  <c r="T294" i="13" s="1"/>
  <c r="AE293" i="13"/>
  <c r="S293" i="13"/>
  <c r="U293" i="13" s="1"/>
  <c r="V293" i="13" s="1"/>
  <c r="AE292" i="13"/>
  <c r="S292" i="13"/>
  <c r="T292" i="13" s="1"/>
  <c r="AE291" i="13"/>
  <c r="S291" i="13"/>
  <c r="U291" i="13" s="1"/>
  <c r="AE290" i="13"/>
  <c r="S290" i="13"/>
  <c r="U290" i="13" s="1"/>
  <c r="AE289" i="13"/>
  <c r="S289" i="13"/>
  <c r="U289" i="13" s="1"/>
  <c r="AE288" i="13"/>
  <c r="S288" i="13"/>
  <c r="AE287" i="13"/>
  <c r="S287" i="13"/>
  <c r="U287" i="13" s="1"/>
  <c r="V287" i="13" s="1"/>
  <c r="AE286" i="13"/>
  <c r="S286" i="13"/>
  <c r="T286" i="13" s="1"/>
  <c r="AE285" i="13"/>
  <c r="S285" i="13"/>
  <c r="T285" i="13" s="1"/>
  <c r="AE284" i="13"/>
  <c r="S284" i="13"/>
  <c r="AE283" i="13"/>
  <c r="S283" i="13"/>
  <c r="AE282" i="13"/>
  <c r="S282" i="13"/>
  <c r="T282" i="13" s="1"/>
  <c r="AE281" i="13"/>
  <c r="S281" i="13"/>
  <c r="T281" i="13" s="1"/>
  <c r="AE280" i="13"/>
  <c r="S280" i="13"/>
  <c r="AE279" i="13"/>
  <c r="S279" i="13"/>
  <c r="AE278" i="13"/>
  <c r="S278" i="13"/>
  <c r="U278" i="13" s="1"/>
  <c r="V278" i="13" s="1"/>
  <c r="AE277" i="13"/>
  <c r="S277" i="13"/>
  <c r="AE276" i="13"/>
  <c r="S276" i="13"/>
  <c r="U276" i="13" s="1"/>
  <c r="V276" i="13" s="1"/>
  <c r="X276" i="13" s="1"/>
  <c r="AE275" i="13"/>
  <c r="S275" i="13"/>
  <c r="U275" i="13" s="1"/>
  <c r="AE274" i="13"/>
  <c r="S274" i="13"/>
  <c r="T274" i="13" s="1"/>
  <c r="AE273" i="13"/>
  <c r="S273" i="13"/>
  <c r="T273" i="13" s="1"/>
  <c r="AE272" i="13"/>
  <c r="S272" i="13"/>
  <c r="T272" i="13" s="1"/>
  <c r="AE271" i="13"/>
  <c r="S271" i="13"/>
  <c r="AE270" i="13"/>
  <c r="S270" i="13"/>
  <c r="AE269" i="13"/>
  <c r="S269" i="13"/>
  <c r="AE268" i="13"/>
  <c r="S268" i="13"/>
  <c r="AE267" i="13"/>
  <c r="S267" i="13"/>
  <c r="AE266" i="13"/>
  <c r="S266" i="13"/>
  <c r="U266" i="13" s="1"/>
  <c r="V266" i="13" s="1"/>
  <c r="AE265" i="13"/>
  <c r="W265" i="13" s="1"/>
  <c r="S265" i="13"/>
  <c r="U265" i="13" s="1"/>
  <c r="V265" i="13" s="1"/>
  <c r="AE264" i="13"/>
  <c r="W264" i="13" s="1"/>
  <c r="S264" i="13"/>
  <c r="U264" i="13" s="1"/>
  <c r="V264" i="13" s="1"/>
  <c r="AE263" i="13"/>
  <c r="W263" i="13" s="1"/>
  <c r="S263" i="13"/>
  <c r="AE262" i="13"/>
  <c r="W262" i="13" s="1"/>
  <c r="S262" i="13"/>
  <c r="U262" i="13" s="1"/>
  <c r="AE261" i="13"/>
  <c r="W261" i="13" s="1"/>
  <c r="S261" i="13"/>
  <c r="AE260" i="13"/>
  <c r="W260" i="13" s="1"/>
  <c r="S260" i="13"/>
  <c r="U260" i="13" s="1"/>
  <c r="V260" i="13" s="1"/>
  <c r="AE259" i="13"/>
  <c r="W259" i="13" s="1"/>
  <c r="S259" i="13"/>
  <c r="AE258" i="13"/>
  <c r="W258" i="13" s="1"/>
  <c r="S258" i="13"/>
  <c r="U258" i="13" s="1"/>
  <c r="V258" i="13" s="1"/>
  <c r="AE257" i="13"/>
  <c r="W257" i="13" s="1"/>
  <c r="S257" i="13"/>
  <c r="U257" i="13" s="1"/>
  <c r="AE256" i="13"/>
  <c r="W256" i="13" s="1"/>
  <c r="S256" i="13"/>
  <c r="U256" i="13" s="1"/>
  <c r="V256" i="13" s="1"/>
  <c r="AE255" i="13"/>
  <c r="W255" i="13" s="1"/>
  <c r="S255" i="13"/>
  <c r="U255" i="13" s="1"/>
  <c r="V255" i="13" s="1"/>
  <c r="AE254" i="13"/>
  <c r="W254" i="13" s="1"/>
  <c r="S254" i="13"/>
  <c r="U254" i="13" s="1"/>
  <c r="V254" i="13" s="1"/>
  <c r="AE253" i="13"/>
  <c r="W253" i="13" s="1"/>
  <c r="S253" i="13"/>
  <c r="U253" i="13" s="1"/>
  <c r="V253" i="13" s="1"/>
  <c r="AE252" i="13"/>
  <c r="W252" i="13" s="1"/>
  <c r="S252" i="13"/>
  <c r="AE251" i="13"/>
  <c r="W251" i="13" s="1"/>
  <c r="S251" i="13"/>
  <c r="AE250" i="13"/>
  <c r="W250" i="13" s="1"/>
  <c r="S250" i="13"/>
  <c r="U250" i="13" s="1"/>
  <c r="V250" i="13" s="1"/>
  <c r="AE249" i="13"/>
  <c r="W249" i="13" s="1"/>
  <c r="S249" i="13"/>
  <c r="AE248" i="13"/>
  <c r="W248" i="13" s="1"/>
  <c r="S248" i="13"/>
  <c r="U248" i="13" s="1"/>
  <c r="V248" i="13" s="1"/>
  <c r="AE247" i="13"/>
  <c r="W247" i="13" s="1"/>
  <c r="S247" i="13"/>
  <c r="AE246" i="13"/>
  <c r="W246" i="13" s="1"/>
  <c r="S246" i="13"/>
  <c r="AE245" i="13"/>
  <c r="W245" i="13" s="1"/>
  <c r="S245" i="13"/>
  <c r="U245" i="13" s="1"/>
  <c r="V245" i="13" s="1"/>
  <c r="AE244" i="13"/>
  <c r="W244" i="13" s="1"/>
  <c r="S244" i="13"/>
  <c r="AE243" i="13"/>
  <c r="W243" i="13" s="1"/>
  <c r="S243" i="13"/>
  <c r="T243" i="13" s="1"/>
  <c r="AE242" i="13"/>
  <c r="W242" i="13" s="1"/>
  <c r="S242" i="13"/>
  <c r="U242" i="13" s="1"/>
  <c r="V242" i="13" s="1"/>
  <c r="AE241" i="13"/>
  <c r="W241" i="13" s="1"/>
  <c r="S241" i="13"/>
  <c r="U241" i="13" s="1"/>
  <c r="AE240" i="13"/>
  <c r="W240" i="13" s="1"/>
  <c r="S240" i="13"/>
  <c r="U240" i="13" s="1"/>
  <c r="V240" i="13" s="1"/>
  <c r="AE239" i="13"/>
  <c r="W239" i="13" s="1"/>
  <c r="S239" i="13"/>
  <c r="U239" i="13" s="1"/>
  <c r="V239" i="13" s="1"/>
  <c r="AE238" i="13"/>
  <c r="W238" i="13" s="1"/>
  <c r="S238" i="13"/>
  <c r="U238" i="13" s="1"/>
  <c r="V238" i="13" s="1"/>
  <c r="AE237" i="13"/>
  <c r="W237" i="13" s="1"/>
  <c r="S237" i="13"/>
  <c r="AE236" i="13"/>
  <c r="W236" i="13" s="1"/>
  <c r="S236" i="13"/>
  <c r="AE235" i="13"/>
  <c r="W235" i="13" s="1"/>
  <c r="S235" i="13"/>
  <c r="U235" i="13" s="1"/>
  <c r="V235" i="13" s="1"/>
  <c r="AE234" i="13"/>
  <c r="W234" i="13" s="1"/>
  <c r="S234" i="13"/>
  <c r="U234" i="13" s="1"/>
  <c r="V234" i="13" s="1"/>
  <c r="AE233" i="13"/>
  <c r="W233" i="13" s="1"/>
  <c r="S233" i="13"/>
  <c r="AE232" i="13"/>
  <c r="W232" i="13" s="1"/>
  <c r="S232" i="13"/>
  <c r="U232" i="13" s="1"/>
  <c r="V232" i="13" s="1"/>
  <c r="AE231" i="13"/>
  <c r="W231" i="13" s="1"/>
  <c r="S231" i="13"/>
  <c r="AE230" i="13"/>
  <c r="W230" i="13" s="1"/>
  <c r="S230" i="13"/>
  <c r="AE229" i="13"/>
  <c r="W229" i="13" s="1"/>
  <c r="S229" i="13"/>
  <c r="T229" i="13" s="1"/>
  <c r="AE228" i="13"/>
  <c r="W228" i="13" s="1"/>
  <c r="S228" i="13"/>
  <c r="U228" i="13" s="1"/>
  <c r="V228" i="13" s="1"/>
  <c r="AE227" i="13"/>
  <c r="W227" i="13" s="1"/>
  <c r="S227" i="13"/>
  <c r="AE226" i="13"/>
  <c r="W226" i="13" s="1"/>
  <c r="S226" i="13"/>
  <c r="U226" i="13" s="1"/>
  <c r="V226" i="13" s="1"/>
  <c r="AE225" i="13"/>
  <c r="W225" i="13" s="1"/>
  <c r="S225" i="13"/>
  <c r="AE224" i="13"/>
  <c r="W224" i="13" s="1"/>
  <c r="S224" i="13"/>
  <c r="AE223" i="13"/>
  <c r="W223" i="13" s="1"/>
  <c r="S223" i="13"/>
  <c r="U223" i="13" s="1"/>
  <c r="AE222" i="13"/>
  <c r="W222" i="13" s="1"/>
  <c r="S222" i="13"/>
  <c r="U222" i="13" s="1"/>
  <c r="V222" i="13" s="1"/>
  <c r="AE221" i="13"/>
  <c r="W221" i="13" s="1"/>
  <c r="S221" i="13"/>
  <c r="T221" i="13" s="1"/>
  <c r="AE220" i="13"/>
  <c r="W220" i="13" s="1"/>
  <c r="S220" i="13"/>
  <c r="U220" i="13" s="1"/>
  <c r="V220" i="13" s="1"/>
  <c r="AE219" i="13"/>
  <c r="W219" i="13" s="1"/>
  <c r="S219" i="13"/>
  <c r="U219" i="13" s="1"/>
  <c r="V219" i="13" s="1"/>
  <c r="AE218" i="13"/>
  <c r="W218" i="13" s="1"/>
  <c r="S218" i="13"/>
  <c r="AE217" i="13"/>
  <c r="W217" i="13" s="1"/>
  <c r="S217" i="13"/>
  <c r="T217" i="13" s="1"/>
  <c r="AE216" i="13"/>
  <c r="W216" i="13" s="1"/>
  <c r="S216" i="13"/>
  <c r="AE215" i="13"/>
  <c r="W215" i="13" s="1"/>
  <c r="S215" i="13"/>
  <c r="U215" i="13" s="1"/>
  <c r="AE214" i="13"/>
  <c r="W214" i="13" s="1"/>
  <c r="S214" i="13"/>
  <c r="U214" i="13" s="1"/>
  <c r="V214" i="13" s="1"/>
  <c r="AE213" i="13"/>
  <c r="W213" i="13" s="1"/>
  <c r="S213" i="13"/>
  <c r="AE212" i="13"/>
  <c r="W212" i="13" s="1"/>
  <c r="S212" i="13"/>
  <c r="U212" i="13" s="1"/>
  <c r="V212" i="13" s="1"/>
  <c r="AE211" i="13"/>
  <c r="W211" i="13" s="1"/>
  <c r="S211" i="13"/>
  <c r="U211" i="13" s="1"/>
  <c r="V211" i="13" s="1"/>
  <c r="AE210" i="13"/>
  <c r="W210" i="13" s="1"/>
  <c r="S210" i="13"/>
  <c r="AE209" i="13"/>
  <c r="W209" i="13" s="1"/>
  <c r="S209" i="13"/>
  <c r="U209" i="13" s="1"/>
  <c r="V209" i="13" s="1"/>
  <c r="AE208" i="13"/>
  <c r="W208" i="13" s="1"/>
  <c r="S208" i="13"/>
  <c r="U208" i="13" s="1"/>
  <c r="V208" i="13" s="1"/>
  <c r="AE207" i="13"/>
  <c r="W207" i="13" s="1"/>
  <c r="S207" i="13"/>
  <c r="U207" i="13" s="1"/>
  <c r="V207" i="13" s="1"/>
  <c r="AE206" i="13"/>
  <c r="W206" i="13" s="1"/>
  <c r="S206" i="13"/>
  <c r="T206" i="13" s="1"/>
  <c r="AE205" i="13"/>
  <c r="W205" i="13" s="1"/>
  <c r="S205" i="13"/>
  <c r="U205" i="13" s="1"/>
  <c r="V205" i="13" s="1"/>
  <c r="AE204" i="13"/>
  <c r="W204" i="13" s="1"/>
  <c r="S204" i="13"/>
  <c r="T204" i="13" s="1"/>
  <c r="AE203" i="13"/>
  <c r="W203" i="13" s="1"/>
  <c r="S203" i="13"/>
  <c r="U203" i="13" s="1"/>
  <c r="V203" i="13" s="1"/>
  <c r="AE202" i="13"/>
  <c r="W202" i="13" s="1"/>
  <c r="S202" i="13"/>
  <c r="AE201" i="13"/>
  <c r="W201" i="13" s="1"/>
  <c r="S201" i="13"/>
  <c r="U201" i="13" s="1"/>
  <c r="V201" i="13" s="1"/>
  <c r="AE200" i="13"/>
  <c r="W200" i="13" s="1"/>
  <c r="S200" i="13"/>
  <c r="T200" i="13" s="1"/>
  <c r="AE199" i="13"/>
  <c r="W199" i="13" s="1"/>
  <c r="S199" i="13"/>
  <c r="AE198" i="13"/>
  <c r="W198" i="13" s="1"/>
  <c r="S198" i="13"/>
  <c r="AE197" i="13"/>
  <c r="W197" i="13" s="1"/>
  <c r="S197" i="13"/>
  <c r="U197" i="13" s="1"/>
  <c r="V197" i="13" s="1"/>
  <c r="AE196" i="13"/>
  <c r="W196" i="13" s="1"/>
  <c r="S196" i="13"/>
  <c r="AE195" i="13"/>
  <c r="W195" i="13" s="1"/>
  <c r="S195" i="13"/>
  <c r="AE194" i="13"/>
  <c r="W194" i="13" s="1"/>
  <c r="S194" i="13"/>
  <c r="T194" i="13" s="1"/>
  <c r="AE193" i="13"/>
  <c r="W193" i="13" s="1"/>
  <c r="S193" i="13"/>
  <c r="U193" i="13" s="1"/>
  <c r="V193" i="13" s="1"/>
  <c r="AE192" i="13"/>
  <c r="W192" i="13" s="1"/>
  <c r="S192" i="13"/>
  <c r="T192" i="13" s="1"/>
  <c r="AE191" i="13"/>
  <c r="W191" i="13" s="1"/>
  <c r="S191" i="13"/>
  <c r="AE190" i="13"/>
  <c r="W190" i="13" s="1"/>
  <c r="S190" i="13"/>
  <c r="AE189" i="13"/>
  <c r="W189" i="13" s="1"/>
  <c r="S189" i="13"/>
  <c r="U189" i="13" s="1"/>
  <c r="V189" i="13" s="1"/>
  <c r="AE188" i="13"/>
  <c r="W188" i="13" s="1"/>
  <c r="S188" i="13"/>
  <c r="AE187" i="13"/>
  <c r="W187" i="13" s="1"/>
  <c r="S187" i="13"/>
  <c r="AE186" i="13"/>
  <c r="W186" i="13" s="1"/>
  <c r="S186" i="13"/>
  <c r="T186" i="13" s="1"/>
  <c r="AE185" i="13"/>
  <c r="W185" i="13" s="1"/>
  <c r="S185" i="13"/>
  <c r="U185" i="13" s="1"/>
  <c r="V185" i="13" s="1"/>
  <c r="AE184" i="13"/>
  <c r="W184" i="13" s="1"/>
  <c r="S184" i="13"/>
  <c r="T184" i="13" s="1"/>
  <c r="AE183" i="13"/>
  <c r="W183" i="13" s="1"/>
  <c r="S183" i="13"/>
  <c r="AE182" i="13"/>
  <c r="W182" i="13" s="1"/>
  <c r="S182" i="13"/>
  <c r="AE181" i="13"/>
  <c r="W181" i="13" s="1"/>
  <c r="S181" i="13"/>
  <c r="AE180" i="13"/>
  <c r="W180" i="13" s="1"/>
  <c r="S180" i="13"/>
  <c r="AE179" i="13"/>
  <c r="W179" i="13" s="1"/>
  <c r="S179" i="13"/>
  <c r="U179" i="13" s="1"/>
  <c r="V179" i="13" s="1"/>
  <c r="AE178" i="13"/>
  <c r="W178" i="13" s="1"/>
  <c r="S178" i="13"/>
  <c r="AE177" i="13"/>
  <c r="W177" i="13" s="1"/>
  <c r="S177" i="13"/>
  <c r="T177" i="13" s="1"/>
  <c r="AE176" i="13"/>
  <c r="W176" i="13" s="1"/>
  <c r="S176" i="13"/>
  <c r="AE175" i="13"/>
  <c r="W175" i="13" s="1"/>
  <c r="S175" i="13"/>
  <c r="T175" i="13" s="1"/>
  <c r="AE174" i="13"/>
  <c r="W174" i="13" s="1"/>
  <c r="S174" i="13"/>
  <c r="AE173" i="13"/>
  <c r="W173" i="13" s="1"/>
  <c r="S173" i="13"/>
  <c r="U173" i="13" s="1"/>
  <c r="V173" i="13" s="1"/>
  <c r="AE172" i="13"/>
  <c r="W172" i="13" s="1"/>
  <c r="S172" i="13"/>
  <c r="AE171" i="13"/>
  <c r="W171" i="13" s="1"/>
  <c r="S171" i="13"/>
  <c r="AE170" i="13"/>
  <c r="W170" i="13" s="1"/>
  <c r="S170" i="13"/>
  <c r="AE169" i="13"/>
  <c r="W169" i="13" s="1"/>
  <c r="S169" i="13"/>
  <c r="AE168" i="13"/>
  <c r="W168" i="13" s="1"/>
  <c r="S168" i="13"/>
  <c r="AE167" i="13"/>
  <c r="W167" i="13" s="1"/>
  <c r="S167" i="13"/>
  <c r="AE166" i="13"/>
  <c r="W166" i="13" s="1"/>
  <c r="S166" i="13"/>
  <c r="AE165" i="13"/>
  <c r="W165" i="13" s="1"/>
  <c r="S165" i="13"/>
  <c r="AE164" i="13"/>
  <c r="W164" i="13" s="1"/>
  <c r="S164" i="13"/>
  <c r="AE163" i="13"/>
  <c r="W163" i="13" s="1"/>
  <c r="S163" i="13"/>
  <c r="U163" i="13" s="1"/>
  <c r="V163" i="13" s="1"/>
  <c r="AE162" i="13"/>
  <c r="W162" i="13" s="1"/>
  <c r="S162" i="13"/>
  <c r="AE161" i="13"/>
  <c r="W161" i="13" s="1"/>
  <c r="S161" i="13"/>
  <c r="U161" i="13" s="1"/>
  <c r="V161" i="13" s="1"/>
  <c r="AE160" i="13"/>
  <c r="W160" i="13" s="1"/>
  <c r="S160" i="13"/>
  <c r="AE159" i="13"/>
  <c r="W159" i="13" s="1"/>
  <c r="S159" i="13"/>
  <c r="U159" i="13" s="1"/>
  <c r="V159" i="13" s="1"/>
  <c r="AE158" i="13"/>
  <c r="W158" i="13" s="1"/>
  <c r="S158" i="13"/>
  <c r="AE157" i="13"/>
  <c r="W157" i="13" s="1"/>
  <c r="S157" i="13"/>
  <c r="U157" i="13" s="1"/>
  <c r="V157" i="13" s="1"/>
  <c r="AE156" i="13"/>
  <c r="W156" i="13" s="1"/>
  <c r="S156" i="13"/>
  <c r="AE155" i="13"/>
  <c r="W155" i="13" s="1"/>
  <c r="S155" i="13"/>
  <c r="U155" i="13" s="1"/>
  <c r="V155" i="13" s="1"/>
  <c r="AE154" i="13"/>
  <c r="W154" i="13" s="1"/>
  <c r="S154" i="13"/>
  <c r="AE153" i="13"/>
  <c r="W153" i="13" s="1"/>
  <c r="S153" i="13"/>
  <c r="T153" i="13" s="1"/>
  <c r="AE152" i="13"/>
  <c r="W152" i="13" s="1"/>
  <c r="S152" i="13"/>
  <c r="AE151" i="13"/>
  <c r="W151" i="13" s="1"/>
  <c r="S151" i="13"/>
  <c r="T151" i="13" s="1"/>
  <c r="AE150" i="13"/>
  <c r="W150" i="13" s="1"/>
  <c r="S150" i="13"/>
  <c r="AE149" i="13"/>
  <c r="W149" i="13" s="1"/>
  <c r="S149" i="13"/>
  <c r="T149" i="13" s="1"/>
  <c r="AE148" i="13"/>
  <c r="W148" i="13" s="1"/>
  <c r="S148" i="13"/>
  <c r="AE147" i="13"/>
  <c r="W147" i="13" s="1"/>
  <c r="S147" i="13"/>
  <c r="AE146" i="13"/>
  <c r="W146" i="13" s="1"/>
  <c r="S146" i="13"/>
  <c r="AE145" i="13"/>
  <c r="W145" i="13" s="1"/>
  <c r="S145" i="13"/>
  <c r="U145" i="13" s="1"/>
  <c r="V145" i="13" s="1"/>
  <c r="AE144" i="13"/>
  <c r="W144" i="13" s="1"/>
  <c r="S144" i="13"/>
  <c r="AE143" i="13"/>
  <c r="W143" i="13" s="1"/>
  <c r="S143" i="13"/>
  <c r="U143" i="13" s="1"/>
  <c r="V143" i="13" s="1"/>
  <c r="AE142" i="13"/>
  <c r="W142" i="13" s="1"/>
  <c r="S142" i="13"/>
  <c r="AE141" i="13"/>
  <c r="W141" i="13" s="1"/>
  <c r="S141" i="13"/>
  <c r="AE140" i="13"/>
  <c r="W140" i="13" s="1"/>
  <c r="S140" i="13"/>
  <c r="AE139" i="13"/>
  <c r="W139" i="13" s="1"/>
  <c r="S139" i="13"/>
  <c r="T139" i="13" s="1"/>
  <c r="AE138" i="13"/>
  <c r="W138" i="13" s="1"/>
  <c r="S138" i="13"/>
  <c r="AE137" i="13"/>
  <c r="W137" i="13" s="1"/>
  <c r="S137" i="13"/>
  <c r="T137" i="13" s="1"/>
  <c r="AE136" i="13"/>
  <c r="W136" i="13" s="1"/>
  <c r="S136" i="13"/>
  <c r="AE135" i="13"/>
  <c r="W135" i="13" s="1"/>
  <c r="S135" i="13"/>
  <c r="T135" i="13" s="1"/>
  <c r="AE134" i="13"/>
  <c r="W134" i="13" s="1"/>
  <c r="S134" i="13"/>
  <c r="AE133" i="13"/>
  <c r="W133" i="13" s="1"/>
  <c r="S133" i="13"/>
  <c r="U133" i="13" s="1"/>
  <c r="V133" i="13" s="1"/>
  <c r="AE132" i="13"/>
  <c r="W132" i="13" s="1"/>
  <c r="S132" i="13"/>
  <c r="AE131" i="13"/>
  <c r="W131" i="13" s="1"/>
  <c r="S131" i="13"/>
  <c r="U131" i="13" s="1"/>
  <c r="V131" i="13" s="1"/>
  <c r="AE130" i="13"/>
  <c r="W130" i="13" s="1"/>
  <c r="S130" i="13"/>
  <c r="AE129" i="13"/>
  <c r="W129" i="13" s="1"/>
  <c r="S129" i="13"/>
  <c r="T129" i="13" s="1"/>
  <c r="AE128" i="13"/>
  <c r="W128" i="13" s="1"/>
  <c r="S128" i="13"/>
  <c r="AE127" i="13"/>
  <c r="W127" i="13" s="1"/>
  <c r="S127" i="13"/>
  <c r="T127" i="13" s="1"/>
  <c r="AE126" i="13"/>
  <c r="W126" i="13" s="1"/>
  <c r="S126" i="13"/>
  <c r="AE125" i="13"/>
  <c r="W125" i="13" s="1"/>
  <c r="S125" i="13"/>
  <c r="U125" i="13" s="1"/>
  <c r="V125" i="13" s="1"/>
  <c r="AE124" i="13"/>
  <c r="W124" i="13" s="1"/>
  <c r="S124" i="13"/>
  <c r="AE123" i="13"/>
  <c r="W123" i="13" s="1"/>
  <c r="S123" i="13"/>
  <c r="U123" i="13" s="1"/>
  <c r="V123" i="13" s="1"/>
  <c r="AE122" i="13"/>
  <c r="W122" i="13" s="1"/>
  <c r="S122" i="13"/>
  <c r="AE121" i="13"/>
  <c r="W121" i="13" s="1"/>
  <c r="S121" i="13"/>
  <c r="T121" i="13" s="1"/>
  <c r="AE120" i="13"/>
  <c r="W120" i="13" s="1"/>
  <c r="S120" i="13"/>
  <c r="AE119" i="13"/>
  <c r="W119" i="13" s="1"/>
  <c r="S119" i="13"/>
  <c r="T119" i="13" s="1"/>
  <c r="AE118" i="13"/>
  <c r="W118" i="13" s="1"/>
  <c r="S118" i="13"/>
  <c r="AE117" i="13"/>
  <c r="W117" i="13" s="1"/>
  <c r="S117" i="13"/>
  <c r="U117" i="13" s="1"/>
  <c r="V117" i="13" s="1"/>
  <c r="AE116" i="13"/>
  <c r="W116" i="13" s="1"/>
  <c r="S116" i="13"/>
  <c r="AE115" i="13"/>
  <c r="W115" i="13" s="1"/>
  <c r="S115" i="13"/>
  <c r="U115" i="13" s="1"/>
  <c r="V115" i="13" s="1"/>
  <c r="AE114" i="13"/>
  <c r="W114" i="13" s="1"/>
  <c r="S114" i="13"/>
  <c r="AE113" i="13"/>
  <c r="W113" i="13" s="1"/>
  <c r="S113" i="13"/>
  <c r="T113" i="13" s="1"/>
  <c r="AE112" i="13"/>
  <c r="W112" i="13" s="1"/>
  <c r="S112" i="13"/>
  <c r="AE111" i="13"/>
  <c r="W111" i="13" s="1"/>
  <c r="S111" i="13"/>
  <c r="T111" i="13" s="1"/>
  <c r="AE110" i="13"/>
  <c r="W110" i="13" s="1"/>
  <c r="S110" i="13"/>
  <c r="U110" i="13" s="1"/>
  <c r="V110" i="13" s="1"/>
  <c r="AE109" i="13"/>
  <c r="W109" i="13" s="1"/>
  <c r="S109" i="13"/>
  <c r="T109" i="13" s="1"/>
  <c r="AE108" i="13"/>
  <c r="W108" i="13" s="1"/>
  <c r="S108" i="13"/>
  <c r="AE107" i="13"/>
  <c r="W107" i="13" s="1"/>
  <c r="S107" i="13"/>
  <c r="U107" i="13" s="1"/>
  <c r="V107" i="13" s="1"/>
  <c r="AE106" i="13"/>
  <c r="W106" i="13" s="1"/>
  <c r="S106" i="13"/>
  <c r="U106" i="13" s="1"/>
  <c r="V106" i="13" s="1"/>
  <c r="AE105" i="13"/>
  <c r="W105" i="13" s="1"/>
  <c r="S105" i="13"/>
  <c r="T105" i="13" s="1"/>
  <c r="AE104" i="13"/>
  <c r="W104" i="13" s="1"/>
  <c r="S104" i="13"/>
  <c r="U104" i="13" s="1"/>
  <c r="V104" i="13" s="1"/>
  <c r="AE103" i="13"/>
  <c r="W103" i="13" s="1"/>
  <c r="S103" i="13"/>
  <c r="U103" i="13" s="1"/>
  <c r="V103" i="13" s="1"/>
  <c r="AE102" i="13"/>
  <c r="W102" i="13" s="1"/>
  <c r="S102" i="13"/>
  <c r="U102" i="13" s="1"/>
  <c r="V102" i="13" s="1"/>
  <c r="AE101" i="13"/>
  <c r="S101" i="13"/>
  <c r="AE100" i="13"/>
  <c r="S100" i="13"/>
  <c r="U100" i="13" s="1"/>
  <c r="V100" i="13" s="1"/>
  <c r="AE99" i="13"/>
  <c r="S99" i="13"/>
  <c r="T99" i="13" s="1"/>
  <c r="AE98" i="13"/>
  <c r="S98" i="13"/>
  <c r="U98" i="13" s="1"/>
  <c r="V98" i="13" s="1"/>
  <c r="AE97" i="13"/>
  <c r="S97" i="13"/>
  <c r="T97" i="13" s="1"/>
  <c r="AE96" i="13"/>
  <c r="W96" i="13" s="1"/>
  <c r="S96" i="13"/>
  <c r="AE95" i="13"/>
  <c r="W95" i="13" s="1"/>
  <c r="S95" i="13"/>
  <c r="T95" i="13" s="1"/>
  <c r="AE94" i="13"/>
  <c r="W94" i="13" s="1"/>
  <c r="S94" i="13"/>
  <c r="U94" i="13" s="1"/>
  <c r="V94" i="13" s="1"/>
  <c r="AE93" i="13"/>
  <c r="W93" i="13" s="1"/>
  <c r="S93" i="13"/>
  <c r="T93" i="13" s="1"/>
  <c r="AE92" i="13"/>
  <c r="W92" i="13" s="1"/>
  <c r="S92" i="13"/>
  <c r="AE91" i="13"/>
  <c r="W91" i="13" s="1"/>
  <c r="S91" i="13"/>
  <c r="T91" i="13" s="1"/>
  <c r="AE90" i="13"/>
  <c r="W90" i="13" s="1"/>
  <c r="S90" i="13"/>
  <c r="U90" i="13" s="1"/>
  <c r="AE89" i="13"/>
  <c r="W89" i="13" s="1"/>
  <c r="S89" i="13"/>
  <c r="AE88" i="13"/>
  <c r="W88" i="13" s="1"/>
  <c r="S88" i="13"/>
  <c r="U88" i="13" s="1"/>
  <c r="V88" i="13" s="1"/>
  <c r="AE87" i="13"/>
  <c r="W87" i="13" s="1"/>
  <c r="S87" i="13"/>
  <c r="T87" i="13" s="1"/>
  <c r="AE86" i="13"/>
  <c r="W86" i="13" s="1"/>
  <c r="S86" i="13"/>
  <c r="T86" i="13" s="1"/>
  <c r="AE85" i="13"/>
  <c r="W85" i="13" s="1"/>
  <c r="S85" i="13"/>
  <c r="T85" i="13" s="1"/>
  <c r="AE84" i="13"/>
  <c r="W84" i="13" s="1"/>
  <c r="S84" i="13"/>
  <c r="T84" i="13" s="1"/>
  <c r="AE83" i="13"/>
  <c r="W83" i="13" s="1"/>
  <c r="S83" i="13"/>
  <c r="AE82" i="13"/>
  <c r="W82" i="13" s="1"/>
  <c r="S82" i="13"/>
  <c r="U82" i="13" s="1"/>
  <c r="AE81" i="13"/>
  <c r="W81" i="13" s="1"/>
  <c r="S81" i="13"/>
  <c r="T81" i="13" s="1"/>
  <c r="AE80" i="13"/>
  <c r="W80" i="13" s="1"/>
  <c r="S80" i="13"/>
  <c r="AE79" i="13"/>
  <c r="W79" i="13" s="1"/>
  <c r="S79" i="13"/>
  <c r="T79" i="13" s="1"/>
  <c r="AE78" i="13"/>
  <c r="W78" i="13" s="1"/>
  <c r="S78" i="13"/>
  <c r="U78" i="13" s="1"/>
  <c r="V78" i="13" s="1"/>
  <c r="AE77" i="13"/>
  <c r="W77" i="13" s="1"/>
  <c r="S77" i="13"/>
  <c r="T77" i="13" s="1"/>
  <c r="AE76" i="13"/>
  <c r="W76" i="13" s="1"/>
  <c r="S76" i="13"/>
  <c r="AE75" i="13"/>
  <c r="W75" i="13" s="1"/>
  <c r="S75" i="13"/>
  <c r="T75" i="13" s="1"/>
  <c r="AE74" i="13"/>
  <c r="W74" i="13" s="1"/>
  <c r="S74" i="13"/>
  <c r="U74" i="13" s="1"/>
  <c r="AE73" i="13"/>
  <c r="W73" i="13" s="1"/>
  <c r="S73" i="13"/>
  <c r="AE72" i="13"/>
  <c r="W72" i="13" s="1"/>
  <c r="S72" i="13"/>
  <c r="U72" i="13" s="1"/>
  <c r="V72" i="13" s="1"/>
  <c r="AE71" i="13"/>
  <c r="W71" i="13" s="1"/>
  <c r="S71" i="13"/>
  <c r="T71" i="13" s="1"/>
  <c r="AE70" i="13"/>
  <c r="W70" i="13" s="1"/>
  <c r="S70" i="13"/>
  <c r="T70" i="13" s="1"/>
  <c r="AE69" i="13"/>
  <c r="W69" i="13" s="1"/>
  <c r="S69" i="13"/>
  <c r="T69" i="13" s="1"/>
  <c r="AE68" i="13"/>
  <c r="W68" i="13" s="1"/>
  <c r="S68" i="13"/>
  <c r="T68" i="13" s="1"/>
  <c r="AE67" i="13"/>
  <c r="W67" i="13" s="1"/>
  <c r="S67" i="13"/>
  <c r="AE66" i="13"/>
  <c r="W66" i="13" s="1"/>
  <c r="S66" i="13"/>
  <c r="U66" i="13" s="1"/>
  <c r="AE65" i="13"/>
  <c r="W65" i="13" s="1"/>
  <c r="S65" i="13"/>
  <c r="T65" i="13" s="1"/>
  <c r="AE64" i="13"/>
  <c r="W64" i="13" s="1"/>
  <c r="S64" i="13"/>
  <c r="U64" i="13" s="1"/>
  <c r="V64" i="13" s="1"/>
  <c r="AE63" i="13"/>
  <c r="W63" i="13" s="1"/>
  <c r="S63" i="13"/>
  <c r="T63" i="13" s="1"/>
  <c r="AE62" i="13"/>
  <c r="W62" i="13" s="1"/>
  <c r="S62" i="13"/>
  <c r="U62" i="13" s="1"/>
  <c r="V62" i="13" s="1"/>
  <c r="AE61" i="13"/>
  <c r="W61" i="13" s="1"/>
  <c r="S61" i="13"/>
  <c r="T61" i="13" s="1"/>
  <c r="AE60" i="13"/>
  <c r="W60" i="13" s="1"/>
  <c r="S60" i="13"/>
  <c r="AE59" i="13"/>
  <c r="W59" i="13" s="1"/>
  <c r="S59" i="13"/>
  <c r="T59" i="13" s="1"/>
  <c r="AE58" i="13"/>
  <c r="W58" i="13" s="1"/>
  <c r="S58" i="13"/>
  <c r="U58" i="13" s="1"/>
  <c r="AE57" i="13"/>
  <c r="W57" i="13" s="1"/>
  <c r="S57" i="13"/>
  <c r="T57" i="13" s="1"/>
  <c r="AE56" i="13"/>
  <c r="W56" i="13" s="1"/>
  <c r="S56" i="13"/>
  <c r="U56" i="13" s="1"/>
  <c r="V56" i="13" s="1"/>
  <c r="AE55" i="13"/>
  <c r="W55" i="13" s="1"/>
  <c r="S55" i="13"/>
  <c r="T55" i="13" s="1"/>
  <c r="AE54" i="13"/>
  <c r="W54" i="13" s="1"/>
  <c r="S54" i="13"/>
  <c r="T54" i="13" s="1"/>
  <c r="AE53" i="13"/>
  <c r="W53" i="13" s="1"/>
  <c r="S53" i="13"/>
  <c r="T53" i="13" s="1"/>
  <c r="AE52" i="13"/>
  <c r="W52" i="13" s="1"/>
  <c r="S52" i="13"/>
  <c r="T52" i="13" s="1"/>
  <c r="AE51" i="13"/>
  <c r="W51" i="13" s="1"/>
  <c r="S51" i="13"/>
  <c r="T51" i="13" s="1"/>
  <c r="AE50" i="13"/>
  <c r="W50" i="13" s="1"/>
  <c r="S50" i="13"/>
  <c r="U50" i="13" s="1"/>
  <c r="AE49" i="13"/>
  <c r="W49" i="13" s="1"/>
  <c r="S49" i="13"/>
  <c r="T49" i="13" s="1"/>
  <c r="AE48" i="13"/>
  <c r="W48" i="13" s="1"/>
  <c r="S48" i="13"/>
  <c r="AE47" i="13"/>
  <c r="W47" i="13" s="1"/>
  <c r="S47" i="13"/>
  <c r="T47" i="13" s="1"/>
  <c r="AE46" i="13"/>
  <c r="W46" i="13" s="1"/>
  <c r="S46" i="13"/>
  <c r="U46" i="13" s="1"/>
  <c r="V46" i="13" s="1"/>
  <c r="AE45" i="13"/>
  <c r="W45" i="13" s="1"/>
  <c r="S45" i="13"/>
  <c r="T45" i="13" s="1"/>
  <c r="AE44" i="13"/>
  <c r="W44" i="13" s="1"/>
  <c r="S44" i="13"/>
  <c r="T44" i="13" s="1"/>
  <c r="AE43" i="13"/>
  <c r="W43" i="13" s="1"/>
  <c r="S43" i="13"/>
  <c r="T43" i="13" s="1"/>
  <c r="AE42" i="13"/>
  <c r="W42" i="13" s="1"/>
  <c r="S42" i="13"/>
  <c r="U42" i="13" s="1"/>
  <c r="AE41" i="13"/>
  <c r="W41" i="13" s="1"/>
  <c r="S41" i="13"/>
  <c r="AE40" i="13"/>
  <c r="W40" i="13" s="1"/>
  <c r="S40" i="13"/>
  <c r="AE39" i="13"/>
  <c r="W39" i="13" s="1"/>
  <c r="S39" i="13"/>
  <c r="T39" i="13" s="1"/>
  <c r="AE38" i="13"/>
  <c r="W38" i="13" s="1"/>
  <c r="S38" i="13"/>
  <c r="U38" i="13" s="1"/>
  <c r="AE37" i="13"/>
  <c r="W37" i="13" s="1"/>
  <c r="S37" i="13"/>
  <c r="T37" i="13" s="1"/>
  <c r="AE36" i="13"/>
  <c r="W36" i="13" s="1"/>
  <c r="S36" i="13"/>
  <c r="U36" i="13" s="1"/>
  <c r="AE35" i="13"/>
  <c r="W35" i="13" s="1"/>
  <c r="S35" i="13"/>
  <c r="T35" i="13" s="1"/>
  <c r="AE34" i="13"/>
  <c r="W34" i="13" s="1"/>
  <c r="S34" i="13"/>
  <c r="U34" i="13" s="1"/>
  <c r="AE33" i="13"/>
  <c r="W33" i="13" s="1"/>
  <c r="S33" i="13"/>
  <c r="T33" i="13" s="1"/>
  <c r="AE32" i="13"/>
  <c r="W32" i="13" s="1"/>
  <c r="S32" i="13"/>
  <c r="U32" i="13" s="1"/>
  <c r="AE31" i="13"/>
  <c r="W31" i="13" s="1"/>
  <c r="S31" i="13"/>
  <c r="AE30" i="13"/>
  <c r="W30" i="13" s="1"/>
  <c r="S30" i="13"/>
  <c r="AE29" i="13"/>
  <c r="W29" i="13" s="1"/>
  <c r="S29" i="13"/>
  <c r="T29" i="13" s="1"/>
  <c r="AE28" i="13"/>
  <c r="W28" i="13" s="1"/>
  <c r="S28" i="13"/>
  <c r="U28" i="13" s="1"/>
  <c r="AE27" i="13"/>
  <c r="W27" i="13" s="1"/>
  <c r="S27" i="13"/>
  <c r="T27" i="13" s="1"/>
  <c r="AE26" i="13"/>
  <c r="W26" i="13" s="1"/>
  <c r="S26" i="13"/>
  <c r="U26" i="13" s="1"/>
  <c r="AE25" i="13"/>
  <c r="W25" i="13" s="1"/>
  <c r="S25" i="13"/>
  <c r="T25" i="13" s="1"/>
  <c r="AE24" i="13"/>
  <c r="W24" i="13" s="1"/>
  <c r="S24" i="13"/>
  <c r="U24" i="13" s="1"/>
  <c r="AE23" i="13"/>
  <c r="W23" i="13" s="1"/>
  <c r="S23" i="13"/>
  <c r="T23" i="13" s="1"/>
  <c r="AE22" i="13"/>
  <c r="W22" i="13" s="1"/>
  <c r="S22" i="13"/>
  <c r="U22" i="13" s="1"/>
  <c r="AE21" i="13"/>
  <c r="W21" i="13" s="1"/>
  <c r="S21" i="13"/>
  <c r="U21" i="13" s="1"/>
  <c r="V21" i="13" s="1"/>
  <c r="AE20" i="13"/>
  <c r="W20" i="13" s="1"/>
  <c r="S20" i="13"/>
  <c r="T20" i="13" s="1"/>
  <c r="AE19" i="13"/>
  <c r="W19" i="13" s="1"/>
  <c r="S19" i="13"/>
  <c r="U19" i="13" s="1"/>
  <c r="V19" i="13" s="1"/>
  <c r="AE18" i="13"/>
  <c r="W18" i="13" s="1"/>
  <c r="S18" i="13"/>
  <c r="T18" i="13" s="1"/>
  <c r="AE17" i="13"/>
  <c r="W17" i="13" s="1"/>
  <c r="S17" i="13"/>
  <c r="U17" i="13" s="1"/>
  <c r="V17" i="13" s="1"/>
  <c r="AE16" i="13"/>
  <c r="W16" i="13" s="1"/>
  <c r="S16" i="13"/>
  <c r="T16" i="13" s="1"/>
  <c r="AE15" i="13"/>
  <c r="W15" i="13" s="1"/>
  <c r="S15" i="13"/>
  <c r="U15" i="13" s="1"/>
  <c r="V15" i="13" s="1"/>
  <c r="AE14" i="13"/>
  <c r="W14" i="13" s="1"/>
  <c r="S14" i="13"/>
  <c r="T14" i="13" s="1"/>
  <c r="AB3" i="13"/>
  <c r="P74" i="10"/>
  <c r="AJ322" i="10"/>
  <c r="AI322" i="10"/>
  <c r="AH322" i="10"/>
  <c r="AF322" i="10"/>
  <c r="AE322" i="10"/>
  <c r="AD322" i="10"/>
  <c r="AC322" i="10"/>
  <c r="AB322" i="10"/>
  <c r="AA322" i="10"/>
  <c r="AJ363" i="12"/>
  <c r="AH363" i="12"/>
  <c r="AG363" i="12"/>
  <c r="AF363" i="12"/>
  <c r="AE363" i="12"/>
  <c r="AD363" i="12"/>
  <c r="AC363" i="12"/>
  <c r="AB363" i="12"/>
  <c r="W30" i="23" l="1"/>
  <c r="AH12" i="22"/>
  <c r="U32" i="23"/>
  <c r="O30" i="23"/>
  <c r="J30" i="23"/>
  <c r="U217" i="13"/>
  <c r="V217" i="13" s="1"/>
  <c r="U321" i="13"/>
  <c r="V321" i="13" s="1"/>
  <c r="AC321" i="13" s="1"/>
  <c r="AD321" i="13" s="1"/>
  <c r="AF321" i="13" s="1"/>
  <c r="T321" i="13"/>
  <c r="U327" i="13"/>
  <c r="V327" i="13" s="1"/>
  <c r="AC327" i="13" s="1"/>
  <c r="AD327" i="13" s="1"/>
  <c r="AF327" i="13" s="1"/>
  <c r="T327" i="13"/>
  <c r="T329" i="13"/>
  <c r="U329" i="13"/>
  <c r="V329" i="13" s="1"/>
  <c r="AC329" i="13" s="1"/>
  <c r="AD329" i="13" s="1"/>
  <c r="AF329" i="13" s="1"/>
  <c r="U333" i="13"/>
  <c r="T333" i="13"/>
  <c r="U320" i="13"/>
  <c r="V320" i="13" s="1"/>
  <c r="AC320" i="13" s="1"/>
  <c r="AD320" i="13" s="1"/>
  <c r="AF320" i="13" s="1"/>
  <c r="T320" i="13"/>
  <c r="U322" i="13"/>
  <c r="V322" i="13" s="1"/>
  <c r="AC322" i="13" s="1"/>
  <c r="AD322" i="13" s="1"/>
  <c r="AF322" i="13" s="1"/>
  <c r="T322" i="13"/>
  <c r="U328" i="13"/>
  <c r="V328" i="13" s="1"/>
  <c r="AC328" i="13" s="1"/>
  <c r="AD328" i="13" s="1"/>
  <c r="AF328" i="13" s="1"/>
  <c r="T328" i="13"/>
  <c r="T330" i="13"/>
  <c r="U330" i="13"/>
  <c r="V330" i="13" s="1"/>
  <c r="AC330" i="13" s="1"/>
  <c r="AD330" i="13" s="1"/>
  <c r="AF330" i="13" s="1"/>
  <c r="U335" i="13"/>
  <c r="T335" i="13"/>
  <c r="U342" i="13"/>
  <c r="Q11" i="13"/>
  <c r="U316" i="13"/>
  <c r="V316" i="13" s="1"/>
  <c r="X316" i="13" s="1"/>
  <c r="T325" i="13"/>
  <c r="U325" i="13"/>
  <c r="V325" i="13" s="1"/>
  <c r="AC325" i="13" s="1"/>
  <c r="AD325" i="13" s="1"/>
  <c r="AF325" i="13" s="1"/>
  <c r="T336" i="13"/>
  <c r="U336" i="13"/>
  <c r="T326" i="13"/>
  <c r="U326" i="13"/>
  <c r="V326" i="13" s="1"/>
  <c r="AC326" i="13" s="1"/>
  <c r="AD326" i="13" s="1"/>
  <c r="AF326" i="13" s="1"/>
  <c r="T163" i="13"/>
  <c r="U51" i="13"/>
  <c r="V51" i="13" s="1"/>
  <c r="U281" i="13"/>
  <c r="V281" i="13" s="1"/>
  <c r="X281" i="13" s="1"/>
  <c r="T106" i="13"/>
  <c r="U81" i="13"/>
  <c r="V81" i="13" s="1"/>
  <c r="U113" i="13"/>
  <c r="V113" i="13" s="1"/>
  <c r="U175" i="13"/>
  <c r="V175" i="13" s="1"/>
  <c r="T208" i="13"/>
  <c r="T239" i="13"/>
  <c r="T276" i="13"/>
  <c r="U153" i="13"/>
  <c r="V153" i="13" s="1"/>
  <c r="U177" i="13"/>
  <c r="V177" i="13" s="1"/>
  <c r="X177" i="13" s="1"/>
  <c r="T215" i="13"/>
  <c r="U331" i="13"/>
  <c r="V331" i="13" s="1"/>
  <c r="AC331" i="13" s="1"/>
  <c r="AD331" i="13" s="1"/>
  <c r="AF331" i="13" s="1"/>
  <c r="U16" i="13"/>
  <c r="V16" i="13" s="1"/>
  <c r="X16" i="13" s="1"/>
  <c r="T24" i="13"/>
  <c r="U37" i="13"/>
  <c r="V37" i="13" s="1"/>
  <c r="U137" i="13"/>
  <c r="V137" i="13" s="1"/>
  <c r="T275" i="13"/>
  <c r="T290" i="13"/>
  <c r="U57" i="13"/>
  <c r="V57" i="13" s="1"/>
  <c r="T72" i="13"/>
  <c r="T102" i="13"/>
  <c r="U109" i="13"/>
  <c r="V109" i="13" s="1"/>
  <c r="X109" i="13" s="1"/>
  <c r="T133" i="13"/>
  <c r="T143" i="13"/>
  <c r="T173" i="13"/>
  <c r="U229" i="13"/>
  <c r="V229" i="13" s="1"/>
  <c r="T253" i="13"/>
  <c r="T266" i="13"/>
  <c r="T278" i="13"/>
  <c r="U285" i="13"/>
  <c r="V285" i="13" s="1"/>
  <c r="X285" i="13" s="1"/>
  <c r="U20" i="13"/>
  <c r="V20" i="13" s="1"/>
  <c r="X20" i="13" s="1"/>
  <c r="T88" i="13"/>
  <c r="T123" i="13"/>
  <c r="U151" i="13"/>
  <c r="V151" i="13" s="1"/>
  <c r="T211" i="13"/>
  <c r="U221" i="13"/>
  <c r="V221" i="13" s="1"/>
  <c r="T241" i="13"/>
  <c r="U297" i="13"/>
  <c r="V297" i="13" s="1"/>
  <c r="U323" i="13"/>
  <c r="V323" i="13" s="1"/>
  <c r="AC323" i="13" s="1"/>
  <c r="AD323" i="13" s="1"/>
  <c r="AF323" i="13" s="1"/>
  <c r="U14" i="13"/>
  <c r="V14" i="13" s="1"/>
  <c r="X14" i="13" s="1"/>
  <c r="U25" i="13"/>
  <c r="V25" i="13" s="1"/>
  <c r="T36" i="13"/>
  <c r="T104" i="13"/>
  <c r="T131" i="13"/>
  <c r="U135" i="13"/>
  <c r="V135" i="13" s="1"/>
  <c r="T145" i="13"/>
  <c r="T179" i="13"/>
  <c r="U206" i="13"/>
  <c r="V206" i="13" s="1"/>
  <c r="X206" i="13" s="1"/>
  <c r="T209" i="13"/>
  <c r="T214" i="13"/>
  <c r="T219" i="13"/>
  <c r="T238" i="13"/>
  <c r="T245" i="13"/>
  <c r="U273" i="13"/>
  <c r="T289" i="13"/>
  <c r="U294" i="13"/>
  <c r="V294" i="13" s="1"/>
  <c r="X294" i="13" s="1"/>
  <c r="U332" i="13"/>
  <c r="V332" i="13" s="1"/>
  <c r="AC332" i="13" s="1"/>
  <c r="AD332" i="13" s="1"/>
  <c r="AF332" i="13" s="1"/>
  <c r="U18" i="13"/>
  <c r="V18" i="13" s="1"/>
  <c r="X18" i="13" s="1"/>
  <c r="U29" i="13"/>
  <c r="V29" i="13" s="1"/>
  <c r="U49" i="13"/>
  <c r="V49" i="13" s="1"/>
  <c r="U59" i="13"/>
  <c r="V59" i="13" s="1"/>
  <c r="U84" i="13"/>
  <c r="V84" i="13" s="1"/>
  <c r="T98" i="13"/>
  <c r="U111" i="13"/>
  <c r="V111" i="13" s="1"/>
  <c r="T125" i="13"/>
  <c r="U139" i="13"/>
  <c r="V139" i="13" s="1"/>
  <c r="T155" i="13"/>
  <c r="U204" i="13"/>
  <c r="V204" i="13" s="1"/>
  <c r="T334" i="13"/>
  <c r="X226" i="13"/>
  <c r="Y226" i="13" s="1"/>
  <c r="X62" i="13"/>
  <c r="Y62" i="13" s="1"/>
  <c r="Z62" i="13" s="1"/>
  <c r="AA62" i="13" s="1"/>
  <c r="X133" i="13"/>
  <c r="Y133" i="13" s="1"/>
  <c r="X163" i="13"/>
  <c r="Y163" i="13" s="1"/>
  <c r="X203" i="13"/>
  <c r="Y203" i="13" s="1"/>
  <c r="Z203" i="13" s="1"/>
  <c r="AA203" i="13" s="1"/>
  <c r="X220" i="13"/>
  <c r="Y220" i="13" s="1"/>
  <c r="X248" i="13"/>
  <c r="Y248" i="13" s="1"/>
  <c r="X258" i="13"/>
  <c r="Y258" i="13" s="1"/>
  <c r="Z258" i="13" s="1"/>
  <c r="AA258" i="13" s="1"/>
  <c r="X240" i="13"/>
  <c r="Y240" i="13" s="1"/>
  <c r="X145" i="13"/>
  <c r="Y145" i="13" s="1"/>
  <c r="Z145" i="13" s="1"/>
  <c r="AA145" i="13" s="1"/>
  <c r="X214" i="13"/>
  <c r="Y214" i="13" s="1"/>
  <c r="Z214" i="13" s="1"/>
  <c r="X106" i="13"/>
  <c r="Y106" i="13" s="1"/>
  <c r="X123" i="13"/>
  <c r="Y123" i="13" s="1"/>
  <c r="X179" i="13"/>
  <c r="Y179" i="13" s="1"/>
  <c r="X201" i="13"/>
  <c r="Y201" i="13" s="1"/>
  <c r="Z201" i="13" s="1"/>
  <c r="X211" i="13"/>
  <c r="Y211" i="13" s="1"/>
  <c r="Z211" i="13" s="1"/>
  <c r="X228" i="13"/>
  <c r="Y228" i="13" s="1"/>
  <c r="Z228" i="13" s="1"/>
  <c r="X235" i="13"/>
  <c r="Y235" i="13" s="1"/>
  <c r="X238" i="13"/>
  <c r="Y238" i="13" s="1"/>
  <c r="Z238" i="13" s="1"/>
  <c r="X253" i="13"/>
  <c r="Y253" i="13" s="1"/>
  <c r="Z253" i="13" s="1"/>
  <c r="X264" i="13"/>
  <c r="Y264" i="13" s="1"/>
  <c r="Z264" i="13" s="1"/>
  <c r="AA264" i="13" s="1"/>
  <c r="X115" i="13"/>
  <c r="Y115" i="13" s="1"/>
  <c r="X155" i="13"/>
  <c r="Y155" i="13" s="1"/>
  <c r="T28" i="13"/>
  <c r="T32" i="13"/>
  <c r="U33" i="13"/>
  <c r="V33" i="13" s="1"/>
  <c r="T34" i="13"/>
  <c r="U35" i="13"/>
  <c r="V35" i="13" s="1"/>
  <c r="T38" i="13"/>
  <c r="U54" i="13"/>
  <c r="V54" i="13" s="1"/>
  <c r="U65" i="13"/>
  <c r="V65" i="13" s="1"/>
  <c r="U75" i="13"/>
  <c r="V75" i="13" s="1"/>
  <c r="T78" i="13"/>
  <c r="U105" i="13"/>
  <c r="V105" i="13" s="1"/>
  <c r="T110" i="13"/>
  <c r="T115" i="13"/>
  <c r="T117" i="13"/>
  <c r="T157" i="13"/>
  <c r="U243" i="13"/>
  <c r="V243" i="13" s="1"/>
  <c r="X250" i="13"/>
  <c r="Y250" i="13" s="1"/>
  <c r="X254" i="13"/>
  <c r="Y254" i="13" s="1"/>
  <c r="U274" i="13"/>
  <c r="V274" i="13" s="1"/>
  <c r="U282" i="13"/>
  <c r="V282" i="13" s="1"/>
  <c r="X282" i="13" s="1"/>
  <c r="T344" i="13"/>
  <c r="X209" i="13"/>
  <c r="Y209" i="13" s="1"/>
  <c r="T46" i="13"/>
  <c r="X110" i="13"/>
  <c r="Y110" i="13" s="1"/>
  <c r="U44" i="13"/>
  <c r="V44" i="13" s="1"/>
  <c r="U52" i="13"/>
  <c r="V52" i="13" s="1"/>
  <c r="X72" i="13"/>
  <c r="Y72" i="13" s="1"/>
  <c r="X78" i="13"/>
  <c r="Y78" i="13" s="1"/>
  <c r="Z78" i="13" s="1"/>
  <c r="U91" i="13"/>
  <c r="V91" i="13" s="1"/>
  <c r="T94" i="13"/>
  <c r="U97" i="13"/>
  <c r="V97" i="13" s="1"/>
  <c r="X97" i="13" s="1"/>
  <c r="Y97" i="13" s="1"/>
  <c r="U99" i="13"/>
  <c r="V99" i="13" s="1"/>
  <c r="T103" i="13"/>
  <c r="T107" i="13"/>
  <c r="U149" i="13"/>
  <c r="V149" i="13" s="1"/>
  <c r="T161" i="13"/>
  <c r="T203" i="13"/>
  <c r="X212" i="13"/>
  <c r="Y212" i="13" s="1"/>
  <c r="X219" i="13"/>
  <c r="Y219" i="13" s="1"/>
  <c r="Z219" i="13" s="1"/>
  <c r="T228" i="13"/>
  <c r="X232" i="13"/>
  <c r="Y232" i="13" s="1"/>
  <c r="Z232" i="13" s="1"/>
  <c r="X242" i="13"/>
  <c r="Y242" i="13" s="1"/>
  <c r="Z242" i="13" s="1"/>
  <c r="T255" i="13"/>
  <c r="T264" i="13"/>
  <c r="U272" i="13"/>
  <c r="V272" i="13" s="1"/>
  <c r="U286" i="13"/>
  <c r="V286" i="13" s="1"/>
  <c r="X286" i="13" s="1"/>
  <c r="U315" i="13"/>
  <c r="V315" i="13" s="1"/>
  <c r="X315" i="13" s="1"/>
  <c r="X348" i="13"/>
  <c r="Y348" i="13" s="1"/>
  <c r="T31" i="13"/>
  <c r="U31" i="13"/>
  <c r="V31" i="13" s="1"/>
  <c r="U347" i="13"/>
  <c r="V347" i="13" s="1"/>
  <c r="X347" i="13" s="1"/>
  <c r="T347" i="13"/>
  <c r="T26" i="13"/>
  <c r="U27" i="13"/>
  <c r="V27" i="13" s="1"/>
  <c r="U30" i="13"/>
  <c r="V30" i="13" s="1"/>
  <c r="X30" i="13" s="1"/>
  <c r="T30" i="13"/>
  <c r="U39" i="13"/>
  <c r="V39" i="13" s="1"/>
  <c r="U43" i="13"/>
  <c r="V43" i="13" s="1"/>
  <c r="X46" i="13"/>
  <c r="Y46" i="13" s="1"/>
  <c r="Z46" i="13" s="1"/>
  <c r="U48" i="13"/>
  <c r="V48" i="13" s="1"/>
  <c r="T48" i="13"/>
  <c r="T56" i="13"/>
  <c r="T60" i="13"/>
  <c r="U60" i="13"/>
  <c r="V60" i="13" s="1"/>
  <c r="T64" i="13"/>
  <c r="U68" i="13"/>
  <c r="V68" i="13" s="1"/>
  <c r="X94" i="13"/>
  <c r="Y94" i="13" s="1"/>
  <c r="U96" i="13"/>
  <c r="V96" i="13" s="1"/>
  <c r="T96" i="13"/>
  <c r="T101" i="13"/>
  <c r="U101" i="13"/>
  <c r="V101" i="13" s="1"/>
  <c r="X101" i="13" s="1"/>
  <c r="U121" i="13"/>
  <c r="U127" i="13"/>
  <c r="V127" i="13" s="1"/>
  <c r="X131" i="13"/>
  <c r="Y131" i="13" s="1"/>
  <c r="U231" i="13"/>
  <c r="V231" i="13" s="1"/>
  <c r="T231" i="13"/>
  <c r="U310" i="13"/>
  <c r="V310" i="13" s="1"/>
  <c r="X310" i="13" s="1"/>
  <c r="T310" i="13"/>
  <c r="U312" i="13"/>
  <c r="V312" i="13" s="1"/>
  <c r="X312" i="13" s="1"/>
  <c r="T312" i="13"/>
  <c r="U141" i="13"/>
  <c r="V141" i="13" s="1"/>
  <c r="T141" i="13"/>
  <c r="U341" i="13"/>
  <c r="V341" i="13" s="1"/>
  <c r="T341" i="13"/>
  <c r="U345" i="13"/>
  <c r="V345" i="13" s="1"/>
  <c r="X345" i="13" s="1"/>
  <c r="T345" i="13"/>
  <c r="X64" i="13"/>
  <c r="Y64" i="13" s="1"/>
  <c r="Z64" i="13" s="1"/>
  <c r="T67" i="13"/>
  <c r="U67" i="13"/>
  <c r="V67" i="13" s="1"/>
  <c r="T73" i="13"/>
  <c r="U73" i="13"/>
  <c r="V73" i="13" s="1"/>
  <c r="T76" i="13"/>
  <c r="U76" i="13"/>
  <c r="V76" i="13" s="1"/>
  <c r="U80" i="13"/>
  <c r="V80" i="13" s="1"/>
  <c r="T80" i="13"/>
  <c r="T83" i="13"/>
  <c r="U83" i="13"/>
  <c r="V83" i="13" s="1"/>
  <c r="T89" i="13"/>
  <c r="U89" i="13"/>
  <c r="V89" i="13" s="1"/>
  <c r="T92" i="13"/>
  <c r="U92" i="13"/>
  <c r="V92" i="13" s="1"/>
  <c r="X103" i="13"/>
  <c r="Y103" i="13" s="1"/>
  <c r="U108" i="13"/>
  <c r="V108" i="13" s="1"/>
  <c r="T108" i="13"/>
  <c r="U247" i="13"/>
  <c r="V247" i="13" s="1"/>
  <c r="T247" i="13"/>
  <c r="U269" i="13"/>
  <c r="V269" i="13" s="1"/>
  <c r="X269" i="13" s="1"/>
  <c r="T269" i="13"/>
  <c r="U40" i="13"/>
  <c r="V40" i="13" s="1"/>
  <c r="X40" i="13" s="1"/>
  <c r="T40" i="13"/>
  <c r="U147" i="13"/>
  <c r="V147" i="13" s="1"/>
  <c r="T147" i="13"/>
  <c r="T22" i="13"/>
  <c r="U23" i="13"/>
  <c r="V23" i="13" s="1"/>
  <c r="T41" i="13"/>
  <c r="U41" i="13"/>
  <c r="V41" i="13" s="1"/>
  <c r="T62" i="13"/>
  <c r="U70" i="13"/>
  <c r="V70" i="13" s="1"/>
  <c r="U86" i="13"/>
  <c r="V86" i="13" s="1"/>
  <c r="X100" i="13"/>
  <c r="X104" i="13"/>
  <c r="Y104" i="13" s="1"/>
  <c r="U119" i="13"/>
  <c r="V119" i="13" s="1"/>
  <c r="U129" i="13"/>
  <c r="V129" i="13" s="1"/>
  <c r="U225" i="13"/>
  <c r="T225" i="13"/>
  <c r="U237" i="13"/>
  <c r="T237" i="13"/>
  <c r="U167" i="13"/>
  <c r="V167" i="13" s="1"/>
  <c r="T167" i="13"/>
  <c r="X173" i="13"/>
  <c r="Y173" i="13" s="1"/>
  <c r="Z173" i="13" s="1"/>
  <c r="T183" i="13"/>
  <c r="U183" i="13"/>
  <c r="V183" i="13" s="1"/>
  <c r="T191" i="13"/>
  <c r="U191" i="13"/>
  <c r="V191" i="13" s="1"/>
  <c r="T199" i="13"/>
  <c r="U199" i="13"/>
  <c r="V199" i="13" s="1"/>
  <c r="U202" i="13"/>
  <c r="V202" i="13" s="1"/>
  <c r="T202" i="13"/>
  <c r="U210" i="13"/>
  <c r="V210" i="13" s="1"/>
  <c r="T210" i="13"/>
  <c r="U213" i="13"/>
  <c r="V213" i="13" s="1"/>
  <c r="T213" i="13"/>
  <c r="U218" i="13"/>
  <c r="V218" i="13" s="1"/>
  <c r="T218" i="13"/>
  <c r="U233" i="13"/>
  <c r="V233" i="13" s="1"/>
  <c r="X233" i="13" s="1"/>
  <c r="T233" i="13"/>
  <c r="X245" i="13"/>
  <c r="Y245" i="13" s="1"/>
  <c r="U249" i="13"/>
  <c r="V249" i="13" s="1"/>
  <c r="X249" i="13" s="1"/>
  <c r="T249" i="13"/>
  <c r="X256" i="13"/>
  <c r="Y256" i="13" s="1"/>
  <c r="X265" i="13"/>
  <c r="Y265" i="13" s="1"/>
  <c r="U279" i="13"/>
  <c r="V279" i="13" s="1"/>
  <c r="T279" i="13"/>
  <c r="T296" i="13"/>
  <c r="U296" i="13"/>
  <c r="V296" i="13" s="1"/>
  <c r="U301" i="13"/>
  <c r="V301" i="13" s="1"/>
  <c r="T301" i="13"/>
  <c r="X157" i="13"/>
  <c r="Y157" i="13" s="1"/>
  <c r="U169" i="13"/>
  <c r="V169" i="13" s="1"/>
  <c r="X169" i="13" s="1"/>
  <c r="T169" i="13"/>
  <c r="T188" i="13"/>
  <c r="U188" i="13"/>
  <c r="V188" i="13" s="1"/>
  <c r="T196" i="13"/>
  <c r="U196" i="13"/>
  <c r="V196" i="13" s="1"/>
  <c r="U227" i="13"/>
  <c r="T227" i="13"/>
  <c r="U230" i="13"/>
  <c r="V230" i="13" s="1"/>
  <c r="T230" i="13"/>
  <c r="U246" i="13"/>
  <c r="V246" i="13" s="1"/>
  <c r="T246" i="13"/>
  <c r="U251" i="13"/>
  <c r="T251" i="13"/>
  <c r="U268" i="13"/>
  <c r="V268" i="13" s="1"/>
  <c r="X268" i="13" s="1"/>
  <c r="T268" i="13"/>
  <c r="U270" i="13"/>
  <c r="T270" i="13"/>
  <c r="U309" i="13"/>
  <c r="V309" i="13" s="1"/>
  <c r="T309" i="13"/>
  <c r="U311" i="13"/>
  <c r="V311" i="13" s="1"/>
  <c r="X311" i="13" s="1"/>
  <c r="T311" i="13"/>
  <c r="U313" i="13"/>
  <c r="V313" i="13" s="1"/>
  <c r="X313" i="13" s="1"/>
  <c r="T313" i="13"/>
  <c r="U343" i="13"/>
  <c r="V343" i="13" s="1"/>
  <c r="T343" i="13"/>
  <c r="X102" i="13"/>
  <c r="Y102" i="13" s="1"/>
  <c r="T159" i="13"/>
  <c r="U165" i="13"/>
  <c r="V165" i="13" s="1"/>
  <c r="T165" i="13"/>
  <c r="U171" i="13"/>
  <c r="V171" i="13" s="1"/>
  <c r="T171" i="13"/>
  <c r="U181" i="13"/>
  <c r="V181" i="13" s="1"/>
  <c r="T181" i="13"/>
  <c r="T185" i="13"/>
  <c r="T193" i="13"/>
  <c r="T201" i="13"/>
  <c r="X205" i="13"/>
  <c r="Y205" i="13" s="1"/>
  <c r="X207" i="13"/>
  <c r="Y207" i="13" s="1"/>
  <c r="Z207" i="13" s="1"/>
  <c r="T222" i="13"/>
  <c r="T223" i="13"/>
  <c r="T235" i="13"/>
  <c r="T254" i="13"/>
  <c r="T257" i="13"/>
  <c r="U259" i="13"/>
  <c r="V259" i="13" s="1"/>
  <c r="X259" i="13" s="1"/>
  <c r="T259" i="13"/>
  <c r="U261" i="13"/>
  <c r="V261" i="13" s="1"/>
  <c r="X261" i="13" s="1"/>
  <c r="T261" i="13"/>
  <c r="U263" i="13"/>
  <c r="V263" i="13" s="1"/>
  <c r="T263" i="13"/>
  <c r="T277" i="13"/>
  <c r="U277" i="13"/>
  <c r="V277" i="13" s="1"/>
  <c r="X277" i="13" s="1"/>
  <c r="U298" i="13"/>
  <c r="V298" i="13" s="1"/>
  <c r="T298" i="13"/>
  <c r="X208" i="13"/>
  <c r="Y208" i="13" s="1"/>
  <c r="X222" i="13"/>
  <c r="Y222" i="13" s="1"/>
  <c r="Z222" i="13" s="1"/>
  <c r="T260" i="13"/>
  <c r="T265" i="13"/>
  <c r="U292" i="13"/>
  <c r="V292" i="13" s="1"/>
  <c r="X292" i="13" s="1"/>
  <c r="Y292" i="13" s="1"/>
  <c r="T293" i="13"/>
  <c r="U340" i="13"/>
  <c r="V340" i="13" s="1"/>
  <c r="T346" i="13"/>
  <c r="X185" i="13"/>
  <c r="Y185" i="13" s="1"/>
  <c r="X193" i="13"/>
  <c r="Y193" i="13" s="1"/>
  <c r="Z193" i="13" s="1"/>
  <c r="T220" i="13"/>
  <c r="T226" i="13"/>
  <c r="X234" i="13"/>
  <c r="Y234" i="13" s="1"/>
  <c r="X260" i="13"/>
  <c r="Y260" i="13" s="1"/>
  <c r="Z260" i="13" s="1"/>
  <c r="T287" i="13"/>
  <c r="T303" i="13"/>
  <c r="U317" i="13"/>
  <c r="V317" i="13" s="1"/>
  <c r="X317" i="13" s="1"/>
  <c r="AA317" i="13" s="1"/>
  <c r="V50" i="13"/>
  <c r="X50" i="13" s="1"/>
  <c r="V22" i="13"/>
  <c r="X22" i="13" s="1"/>
  <c r="V28" i="13"/>
  <c r="X28" i="13" s="1"/>
  <c r="V38" i="13"/>
  <c r="X38" i="13" s="1"/>
  <c r="V82" i="13"/>
  <c r="X82" i="13" s="1"/>
  <c r="V42" i="13"/>
  <c r="X42" i="13" s="1"/>
  <c r="V24" i="13"/>
  <c r="X24" i="13" s="1"/>
  <c r="V32" i="13"/>
  <c r="X32" i="13" s="1"/>
  <c r="V34" i="13"/>
  <c r="X34" i="13" s="1"/>
  <c r="X56" i="13"/>
  <c r="X88" i="13"/>
  <c r="V74" i="13"/>
  <c r="X74" i="13" s="1"/>
  <c r="V66" i="13"/>
  <c r="X66" i="13" s="1"/>
  <c r="X15" i="13"/>
  <c r="X17" i="13"/>
  <c r="X19" i="13"/>
  <c r="X21" i="13"/>
  <c r="V26" i="13"/>
  <c r="X26" i="13" s="1"/>
  <c r="V36" i="13"/>
  <c r="X36" i="13" s="1"/>
  <c r="V58" i="13"/>
  <c r="X58" i="13" s="1"/>
  <c r="V90" i="13"/>
  <c r="X90" i="13" s="1"/>
  <c r="T19" i="13"/>
  <c r="T21" i="13"/>
  <c r="T42" i="13"/>
  <c r="U45" i="13"/>
  <c r="V45" i="13" s="1"/>
  <c r="U53" i="13"/>
  <c r="V53" i="13" s="1"/>
  <c r="T74" i="13"/>
  <c r="U77" i="13"/>
  <c r="V77" i="13" s="1"/>
  <c r="T82" i="13"/>
  <c r="U85" i="13"/>
  <c r="V85" i="13" s="1"/>
  <c r="T90" i="13"/>
  <c r="U93" i="13"/>
  <c r="V93" i="13" s="1"/>
  <c r="U118" i="13"/>
  <c r="V118" i="13" s="1"/>
  <c r="T118" i="13"/>
  <c r="X125" i="13"/>
  <c r="U130" i="13"/>
  <c r="V130" i="13" s="1"/>
  <c r="T130" i="13"/>
  <c r="U150" i="13"/>
  <c r="V150" i="13" s="1"/>
  <c r="T150" i="13"/>
  <c r="U162" i="13"/>
  <c r="V162" i="13" s="1"/>
  <c r="T162" i="13"/>
  <c r="U126" i="13"/>
  <c r="V126" i="13" s="1"/>
  <c r="T126" i="13"/>
  <c r="U138" i="13"/>
  <c r="V138" i="13" s="1"/>
  <c r="T138" i="13"/>
  <c r="U158" i="13"/>
  <c r="V158" i="13" s="1"/>
  <c r="T158" i="13"/>
  <c r="U178" i="13"/>
  <c r="V178" i="13" s="1"/>
  <c r="T178" i="13"/>
  <c r="T15" i="13"/>
  <c r="T17" i="13"/>
  <c r="T50" i="13"/>
  <c r="T58" i="13"/>
  <c r="U61" i="13"/>
  <c r="V61" i="13" s="1"/>
  <c r="T66" i="13"/>
  <c r="U69" i="13"/>
  <c r="V69" i="13" s="1"/>
  <c r="U47" i="13"/>
  <c r="V47" i="13" s="1"/>
  <c r="U55" i="13"/>
  <c r="V55" i="13" s="1"/>
  <c r="U63" i="13"/>
  <c r="V63" i="13" s="1"/>
  <c r="U71" i="13"/>
  <c r="V71" i="13" s="1"/>
  <c r="U79" i="13"/>
  <c r="V79" i="13" s="1"/>
  <c r="U87" i="13"/>
  <c r="V87" i="13" s="1"/>
  <c r="U95" i="13"/>
  <c r="V95" i="13" s="1"/>
  <c r="X98" i="13"/>
  <c r="T100" i="13"/>
  <c r="X107" i="13"/>
  <c r="X117" i="13"/>
  <c r="U122" i="13"/>
  <c r="V122" i="13" s="1"/>
  <c r="T122" i="13"/>
  <c r="U142" i="13"/>
  <c r="V142" i="13" s="1"/>
  <c r="T142" i="13"/>
  <c r="U154" i="13"/>
  <c r="V154" i="13" s="1"/>
  <c r="T154" i="13"/>
  <c r="X161" i="13"/>
  <c r="U170" i="13"/>
  <c r="V170" i="13" s="1"/>
  <c r="T170" i="13"/>
  <c r="U114" i="13"/>
  <c r="V114" i="13" s="1"/>
  <c r="T114" i="13"/>
  <c r="U134" i="13"/>
  <c r="V134" i="13" s="1"/>
  <c r="T134" i="13"/>
  <c r="U146" i="13"/>
  <c r="V146" i="13" s="1"/>
  <c r="T146" i="13"/>
  <c r="U116" i="13"/>
  <c r="V116" i="13" s="1"/>
  <c r="T116" i="13"/>
  <c r="U124" i="13"/>
  <c r="V124" i="13" s="1"/>
  <c r="T124" i="13"/>
  <c r="U132" i="13"/>
  <c r="V132" i="13" s="1"/>
  <c r="T132" i="13"/>
  <c r="U140" i="13"/>
  <c r="V140" i="13" s="1"/>
  <c r="T140" i="13"/>
  <c r="X143" i="13"/>
  <c r="U148" i="13"/>
  <c r="V148" i="13" s="1"/>
  <c r="T148" i="13"/>
  <c r="X151" i="13"/>
  <c r="U156" i="13"/>
  <c r="V156" i="13" s="1"/>
  <c r="T156" i="13"/>
  <c r="X159" i="13"/>
  <c r="U164" i="13"/>
  <c r="V164" i="13" s="1"/>
  <c r="T164" i="13"/>
  <c r="U172" i="13"/>
  <c r="V172" i="13" s="1"/>
  <c r="T172" i="13"/>
  <c r="U180" i="13"/>
  <c r="V180" i="13" s="1"/>
  <c r="T180" i="13"/>
  <c r="V215" i="13"/>
  <c r="X215" i="13" s="1"/>
  <c r="U166" i="13"/>
  <c r="V166" i="13" s="1"/>
  <c r="T166" i="13"/>
  <c r="U174" i="13"/>
  <c r="V174" i="13" s="1"/>
  <c r="T174" i="13"/>
  <c r="U182" i="13"/>
  <c r="V182" i="13" s="1"/>
  <c r="T182" i="13"/>
  <c r="U187" i="13"/>
  <c r="T187" i="13"/>
  <c r="T190" i="13"/>
  <c r="U190" i="13"/>
  <c r="V190" i="13" s="1"/>
  <c r="U195" i="13"/>
  <c r="T195" i="13"/>
  <c r="T198" i="13"/>
  <c r="U198" i="13"/>
  <c r="V198" i="13" s="1"/>
  <c r="U236" i="13"/>
  <c r="V236" i="13" s="1"/>
  <c r="T236" i="13"/>
  <c r="U112" i="13"/>
  <c r="V112" i="13" s="1"/>
  <c r="T112" i="13"/>
  <c r="U120" i="13"/>
  <c r="V120" i="13" s="1"/>
  <c r="T120" i="13"/>
  <c r="U128" i="13"/>
  <c r="V128" i="13" s="1"/>
  <c r="T128" i="13"/>
  <c r="U136" i="13"/>
  <c r="V136" i="13" s="1"/>
  <c r="T136" i="13"/>
  <c r="U144" i="13"/>
  <c r="V144" i="13" s="1"/>
  <c r="T144" i="13"/>
  <c r="U152" i="13"/>
  <c r="V152" i="13" s="1"/>
  <c r="T152" i="13"/>
  <c r="U160" i="13"/>
  <c r="V160" i="13" s="1"/>
  <c r="T160" i="13"/>
  <c r="U168" i="13"/>
  <c r="V168" i="13" s="1"/>
  <c r="T168" i="13"/>
  <c r="U176" i="13"/>
  <c r="V176" i="13" s="1"/>
  <c r="T176" i="13"/>
  <c r="X189" i="13"/>
  <c r="X197" i="13"/>
  <c r="V223" i="13"/>
  <c r="X223" i="13" s="1"/>
  <c r="V241" i="13"/>
  <c r="X241" i="13" s="1"/>
  <c r="U184" i="13"/>
  <c r="V184" i="13" s="1"/>
  <c r="T189" i="13"/>
  <c r="U192" i="13"/>
  <c r="V192" i="13" s="1"/>
  <c r="T197" i="13"/>
  <c r="U200" i="13"/>
  <c r="V200" i="13" s="1"/>
  <c r="T207" i="13"/>
  <c r="U252" i="13"/>
  <c r="V252" i="13" s="1"/>
  <c r="T252" i="13"/>
  <c r="V257" i="13"/>
  <c r="X257" i="13" s="1"/>
  <c r="U186" i="13"/>
  <c r="V186" i="13" s="1"/>
  <c r="U194" i="13"/>
  <c r="V194" i="13" s="1"/>
  <c r="T205" i="13"/>
  <c r="T212" i="13"/>
  <c r="U216" i="13"/>
  <c r="V216" i="13" s="1"/>
  <c r="T216" i="13"/>
  <c r="U224" i="13"/>
  <c r="V224" i="13" s="1"/>
  <c r="T224" i="13"/>
  <c r="U244" i="13"/>
  <c r="V244" i="13" s="1"/>
  <c r="T244" i="13"/>
  <c r="V290" i="13"/>
  <c r="X290" i="13" s="1"/>
  <c r="U299" i="13"/>
  <c r="T299" i="13"/>
  <c r="T234" i="13"/>
  <c r="T242" i="13"/>
  <c r="T250" i="13"/>
  <c r="T258" i="13"/>
  <c r="V262" i="13"/>
  <c r="X262" i="13" s="1"/>
  <c r="T232" i="13"/>
  <c r="X239" i="13"/>
  <c r="T240" i="13"/>
  <c r="T248" i="13"/>
  <c r="X255" i="13"/>
  <c r="T256" i="13"/>
  <c r="T262" i="13"/>
  <c r="X266" i="13"/>
  <c r="Y276" i="13"/>
  <c r="Z276" i="13" s="1"/>
  <c r="U284" i="13"/>
  <c r="T284" i="13"/>
  <c r="Y295" i="13"/>
  <c r="Z295" i="13" s="1"/>
  <c r="U308" i="13"/>
  <c r="T308" i="13"/>
  <c r="U319" i="13"/>
  <c r="T319" i="13"/>
  <c r="U271" i="13"/>
  <c r="T271" i="13"/>
  <c r="V275" i="13"/>
  <c r="X275" i="13" s="1"/>
  <c r="U283" i="13"/>
  <c r="T283" i="13"/>
  <c r="U267" i="13"/>
  <c r="T267" i="13"/>
  <c r="V273" i="13"/>
  <c r="X273" i="13" s="1"/>
  <c r="V289" i="13"/>
  <c r="X289" i="13" s="1"/>
  <c r="U280" i="13"/>
  <c r="T280" i="13"/>
  <c r="X287" i="13"/>
  <c r="U307" i="13"/>
  <c r="T307" i="13"/>
  <c r="V291" i="13"/>
  <c r="X291" i="13" s="1"/>
  <c r="U314" i="13"/>
  <c r="T314" i="13"/>
  <c r="V318" i="13"/>
  <c r="X318" i="13" s="1"/>
  <c r="X278" i="13"/>
  <c r="U288" i="13"/>
  <c r="T288" i="13"/>
  <c r="T291" i="13"/>
  <c r="U300" i="13"/>
  <c r="T300" i="13"/>
  <c r="U306" i="13"/>
  <c r="T306" i="13"/>
  <c r="X293" i="13"/>
  <c r="T295" i="13"/>
  <c r="X303" i="13"/>
  <c r="U304" i="13"/>
  <c r="T304" i="13"/>
  <c r="T305" i="13"/>
  <c r="T324" i="13"/>
  <c r="X297" i="13"/>
  <c r="U302" i="13"/>
  <c r="T302" i="13"/>
  <c r="V305" i="13"/>
  <c r="X305" i="13" s="1"/>
  <c r="T318" i="13"/>
  <c r="AE339" i="13"/>
  <c r="V344" i="13"/>
  <c r="X344" i="13" s="1"/>
  <c r="V342" i="13"/>
  <c r="X342" i="13" s="1"/>
  <c r="X346" i="13"/>
  <c r="T348" i="13"/>
  <c r="P13" i="10"/>
  <c r="AI12" i="22" l="1"/>
  <c r="U1966" i="23"/>
  <c r="W32" i="23"/>
  <c r="W1966" i="23" s="1"/>
  <c r="AJ13" i="34"/>
  <c r="AD22" i="23"/>
  <c r="AD23" i="23" s="1"/>
  <c r="X217" i="13"/>
  <c r="Y217" i="13" s="1"/>
  <c r="Z217" i="13" s="1"/>
  <c r="Z163" i="13"/>
  <c r="AA163" i="13" s="1"/>
  <c r="AB163" i="13" s="1"/>
  <c r="X113" i="13"/>
  <c r="Y113" i="13" s="1"/>
  <c r="X137" i="13"/>
  <c r="Y137" i="13" s="1"/>
  <c r="X51" i="13"/>
  <c r="Y51" i="13" s="1"/>
  <c r="X43" i="13"/>
  <c r="Y43" i="13" s="1"/>
  <c r="Z43" i="13" s="1"/>
  <c r="X135" i="13"/>
  <c r="Y135" i="13" s="1"/>
  <c r="Z135" i="13" s="1"/>
  <c r="X81" i="13"/>
  <c r="Y81" i="13" s="1"/>
  <c r="Z81" i="13" s="1"/>
  <c r="AA81" i="13" s="1"/>
  <c r="X175" i="13"/>
  <c r="Y175" i="13" s="1"/>
  <c r="X153" i="13"/>
  <c r="Y153" i="13" s="1"/>
  <c r="X221" i="13"/>
  <c r="Y221" i="13" s="1"/>
  <c r="Z221" i="13" s="1"/>
  <c r="X343" i="13"/>
  <c r="Y343" i="13" s="1"/>
  <c r="Z343" i="13" s="1"/>
  <c r="AA343" i="13" s="1"/>
  <c r="X37" i="13"/>
  <c r="Y37" i="13" s="1"/>
  <c r="Z37" i="13" s="1"/>
  <c r="X199" i="13"/>
  <c r="Y199" i="13" s="1"/>
  <c r="Z199" i="13" s="1"/>
  <c r="X57" i="13"/>
  <c r="Y57" i="13" s="1"/>
  <c r="Z57" i="13" s="1"/>
  <c r="X84" i="13"/>
  <c r="Y84" i="13" s="1"/>
  <c r="X229" i="13"/>
  <c r="Y229" i="13" s="1"/>
  <c r="X25" i="13"/>
  <c r="Y25" i="13" s="1"/>
  <c r="X218" i="13"/>
  <c r="Y218" i="13" s="1"/>
  <c r="Z218" i="13" s="1"/>
  <c r="AA218" i="13" s="1"/>
  <c r="AB218" i="13" s="1"/>
  <c r="AC218" i="13" s="1"/>
  <c r="AD218" i="13" s="1"/>
  <c r="AF218" i="13" s="1"/>
  <c r="X59" i="13"/>
  <c r="Y59" i="13" s="1"/>
  <c r="X272" i="13"/>
  <c r="Y272" i="13" s="1"/>
  <c r="X204" i="13"/>
  <c r="Y204" i="13" s="1"/>
  <c r="Z155" i="13"/>
  <c r="AA155" i="13" s="1"/>
  <c r="X49" i="13"/>
  <c r="Y49" i="13" s="1"/>
  <c r="Z123" i="13"/>
  <c r="AA123" i="13" s="1"/>
  <c r="AB123" i="13" s="1"/>
  <c r="X111" i="13"/>
  <c r="Y111" i="13" s="1"/>
  <c r="X99" i="13"/>
  <c r="Y99" i="13" s="1"/>
  <c r="X48" i="13"/>
  <c r="Y48" i="13" s="1"/>
  <c r="Z48" i="13" s="1"/>
  <c r="X127" i="13"/>
  <c r="Y127" i="13" s="1"/>
  <c r="X132" i="13"/>
  <c r="Y132" i="13" s="1"/>
  <c r="Z132" i="13" s="1"/>
  <c r="AA132" i="13" s="1"/>
  <c r="X149" i="13"/>
  <c r="Y149" i="13" s="1"/>
  <c r="Z149" i="13" s="1"/>
  <c r="Z115" i="13"/>
  <c r="AA115" i="13" s="1"/>
  <c r="X86" i="13"/>
  <c r="Y86" i="13" s="1"/>
  <c r="X33" i="13"/>
  <c r="Y33" i="13" s="1"/>
  <c r="X231" i="13"/>
  <c r="Y231" i="13" s="1"/>
  <c r="X341" i="13"/>
  <c r="Y341" i="13" s="1"/>
  <c r="X54" i="13"/>
  <c r="Y54" i="13" s="1"/>
  <c r="Z54" i="13" s="1"/>
  <c r="X105" i="13"/>
  <c r="Y105" i="13" s="1"/>
  <c r="X39" i="13"/>
  <c r="Y39" i="13" s="1"/>
  <c r="X298" i="13"/>
  <c r="Z298" i="13" s="1"/>
  <c r="X29" i="13"/>
  <c r="Y29" i="13" s="1"/>
  <c r="X183" i="13"/>
  <c r="Y183" i="13" s="1"/>
  <c r="Z183" i="13" s="1"/>
  <c r="AA183" i="13" s="1"/>
  <c r="AB183" i="13" s="1"/>
  <c r="AC183" i="13" s="1"/>
  <c r="X93" i="13"/>
  <c r="Y93" i="13" s="1"/>
  <c r="X167" i="13"/>
  <c r="Y167" i="13" s="1"/>
  <c r="Z167" i="13" s="1"/>
  <c r="X139" i="13"/>
  <c r="X61" i="13"/>
  <c r="Y61" i="13" s="1"/>
  <c r="Z61" i="13" s="1"/>
  <c r="AA61" i="13" s="1"/>
  <c r="X52" i="13"/>
  <c r="Y52" i="13" s="1"/>
  <c r="X279" i="13"/>
  <c r="Y279" i="13" s="1"/>
  <c r="X274" i="13"/>
  <c r="Y274" i="13" s="1"/>
  <c r="X309" i="13"/>
  <c r="Z309" i="13" s="1"/>
  <c r="AA309" i="13" s="1"/>
  <c r="X301" i="13"/>
  <c r="Z301" i="13" s="1"/>
  <c r="X247" i="13"/>
  <c r="Y247" i="13" s="1"/>
  <c r="Z247" i="13" s="1"/>
  <c r="X252" i="13"/>
  <c r="Y252" i="13" s="1"/>
  <c r="Z252" i="13" s="1"/>
  <c r="X124" i="13"/>
  <c r="Y124" i="13" s="1"/>
  <c r="Z124" i="13" s="1"/>
  <c r="X119" i="13"/>
  <c r="Y119" i="13" s="1"/>
  <c r="X210" i="13"/>
  <c r="Y210" i="13" s="1"/>
  <c r="X230" i="13"/>
  <c r="Y230" i="13" s="1"/>
  <c r="X91" i="13"/>
  <c r="Y91" i="13" s="1"/>
  <c r="Z91" i="13" s="1"/>
  <c r="X92" i="13"/>
  <c r="Y92" i="13" s="1"/>
  <c r="X31" i="13"/>
  <c r="Y31" i="13" s="1"/>
  <c r="Z31" i="13" s="1"/>
  <c r="X44" i="13"/>
  <c r="Y44" i="13" s="1"/>
  <c r="X192" i="13"/>
  <c r="Y192" i="13" s="1"/>
  <c r="X69" i="13"/>
  <c r="Y69" i="13" s="1"/>
  <c r="Z69" i="13" s="1"/>
  <c r="AA69" i="13" s="1"/>
  <c r="X67" i="13"/>
  <c r="Y67" i="13" s="1"/>
  <c r="X246" i="13"/>
  <c r="Y246" i="13" s="1"/>
  <c r="Z246" i="13" s="1"/>
  <c r="X76" i="13"/>
  <c r="Y76" i="13" s="1"/>
  <c r="Z76" i="13" s="1"/>
  <c r="X65" i="13"/>
  <c r="Y65" i="13" s="1"/>
  <c r="Z65" i="13" s="1"/>
  <c r="AA65" i="13" s="1"/>
  <c r="AB65" i="13" s="1"/>
  <c r="AC65" i="13" s="1"/>
  <c r="Z179" i="13"/>
  <c r="AA179" i="13" s="1"/>
  <c r="AB179" i="13" s="1"/>
  <c r="X172" i="13"/>
  <c r="Y172" i="13" s="1"/>
  <c r="Z172" i="13" s="1"/>
  <c r="AA172" i="13" s="1"/>
  <c r="X140" i="13"/>
  <c r="Y140" i="13" s="1"/>
  <c r="Z140" i="13" s="1"/>
  <c r="AA140" i="13" s="1"/>
  <c r="AB140" i="13" s="1"/>
  <c r="X188" i="13"/>
  <c r="Y188" i="13" s="1"/>
  <c r="X141" i="13"/>
  <c r="Y141" i="13" s="1"/>
  <c r="X75" i="13"/>
  <c r="Y75" i="13" s="1"/>
  <c r="Z75" i="13" s="1"/>
  <c r="X83" i="13"/>
  <c r="Y83" i="13" s="1"/>
  <c r="X35" i="13"/>
  <c r="Y35" i="13" s="1"/>
  <c r="Z35" i="13" s="1"/>
  <c r="X53" i="13"/>
  <c r="Y53" i="13" s="1"/>
  <c r="Z53" i="13" s="1"/>
  <c r="Z103" i="13"/>
  <c r="AA103" i="13" s="1"/>
  <c r="AB103" i="13" s="1"/>
  <c r="AC103" i="13" s="1"/>
  <c r="X243" i="13"/>
  <c r="Y243" i="13" s="1"/>
  <c r="X96" i="13"/>
  <c r="Y96" i="13" s="1"/>
  <c r="X162" i="13"/>
  <c r="Y162" i="13" s="1"/>
  <c r="Z162" i="13" s="1"/>
  <c r="AB62" i="13"/>
  <c r="AC62" i="13" s="1"/>
  <c r="AD62" i="13" s="1"/>
  <c r="AF62" i="13" s="1"/>
  <c r="X296" i="13"/>
  <c r="Y296" i="13" s="1"/>
  <c r="Z296" i="13" s="1"/>
  <c r="Z205" i="13"/>
  <c r="AA205" i="13" s="1"/>
  <c r="AB205" i="13" s="1"/>
  <c r="AC205" i="13" s="1"/>
  <c r="AD205" i="13" s="1"/>
  <c r="AF205" i="13" s="1"/>
  <c r="X263" i="13"/>
  <c r="Y263" i="13" s="1"/>
  <c r="Z263" i="13" s="1"/>
  <c r="Z226" i="13"/>
  <c r="AA226" i="13" s="1"/>
  <c r="AB226" i="13" s="1"/>
  <c r="Z220" i="13"/>
  <c r="AA220" i="13" s="1"/>
  <c r="AB220" i="13" s="1"/>
  <c r="AC220" i="13" s="1"/>
  <c r="AA201" i="13"/>
  <c r="AB201" i="13" s="1"/>
  <c r="AC201" i="13" s="1"/>
  <c r="AD201" i="13" s="1"/>
  <c r="AF201" i="13" s="1"/>
  <c r="X164" i="13"/>
  <c r="Y164" i="13" s="1"/>
  <c r="Z164" i="13" s="1"/>
  <c r="X178" i="13"/>
  <c r="Y178" i="13" s="1"/>
  <c r="X154" i="13"/>
  <c r="Y154" i="13" s="1"/>
  <c r="Z154" i="13" s="1"/>
  <c r="X85" i="13"/>
  <c r="Y85" i="13" s="1"/>
  <c r="AA242" i="13"/>
  <c r="X182" i="13"/>
  <c r="Y182" i="13" s="1"/>
  <c r="X73" i="13"/>
  <c r="X191" i="13"/>
  <c r="Y191" i="13" s="1"/>
  <c r="X89" i="13"/>
  <c r="X108" i="13"/>
  <c r="Y108" i="13" s="1"/>
  <c r="Z108" i="13" s="1"/>
  <c r="X60" i="13"/>
  <c r="Y60" i="13" s="1"/>
  <c r="X41" i="13"/>
  <c r="Y41" i="13" s="1"/>
  <c r="Z41" i="13" s="1"/>
  <c r="X156" i="13"/>
  <c r="Y156" i="13" s="1"/>
  <c r="X196" i="13"/>
  <c r="Y196" i="13" s="1"/>
  <c r="X129" i="13"/>
  <c r="Y129" i="13" s="1"/>
  <c r="Z100" i="13"/>
  <c r="AA100" i="13" s="1"/>
  <c r="AB100" i="13" s="1"/>
  <c r="X165" i="13"/>
  <c r="X180" i="13"/>
  <c r="Y180" i="13" s="1"/>
  <c r="Z180" i="13" s="1"/>
  <c r="AA180" i="13" s="1"/>
  <c r="Z131" i="13"/>
  <c r="AA131" i="13" s="1"/>
  <c r="X116" i="13"/>
  <c r="Y116" i="13" s="1"/>
  <c r="Z212" i="13"/>
  <c r="X190" i="13"/>
  <c r="Y190" i="13" s="1"/>
  <c r="V227" i="13"/>
  <c r="X227" i="13" s="1"/>
  <c r="X68" i="13"/>
  <c r="Y68" i="13" s="1"/>
  <c r="AA276" i="13"/>
  <c r="AB276" i="13" s="1"/>
  <c r="Z234" i="13"/>
  <c r="AA234" i="13" s="1"/>
  <c r="AB234" i="13" s="1"/>
  <c r="AC234" i="13" s="1"/>
  <c r="AD234" i="13" s="1"/>
  <c r="AF234" i="13" s="1"/>
  <c r="AA228" i="13"/>
  <c r="AB228" i="13" s="1"/>
  <c r="Z133" i="13"/>
  <c r="AA133" i="13" s="1"/>
  <c r="V237" i="13"/>
  <c r="X237" i="13" s="1"/>
  <c r="Y237" i="13" s="1"/>
  <c r="X202" i="13"/>
  <c r="V121" i="13"/>
  <c r="X121" i="13" s="1"/>
  <c r="X23" i="13"/>
  <c r="Y23" i="13" s="1"/>
  <c r="X171" i="13"/>
  <c r="X27" i="13"/>
  <c r="Y27" i="13" s="1"/>
  <c r="V225" i="13"/>
  <c r="X225" i="13" s="1"/>
  <c r="Y225" i="13" s="1"/>
  <c r="AB317" i="13"/>
  <c r="AC317" i="13" s="1"/>
  <c r="AD317" i="13" s="1"/>
  <c r="AF317" i="13" s="1"/>
  <c r="X148" i="13"/>
  <c r="Y148" i="13" s="1"/>
  <c r="Z148" i="13" s="1"/>
  <c r="AA207" i="13"/>
  <c r="AB207" i="13" s="1"/>
  <c r="AC207" i="13" s="1"/>
  <c r="AD207" i="13" s="1"/>
  <c r="AF207" i="13" s="1"/>
  <c r="X122" i="13"/>
  <c r="Y122" i="13" s="1"/>
  <c r="X45" i="13"/>
  <c r="Y45" i="13" s="1"/>
  <c r="X80" i="13"/>
  <c r="Y80" i="13" s="1"/>
  <c r="V270" i="13"/>
  <c r="X270" i="13" s="1"/>
  <c r="V251" i="13"/>
  <c r="X251" i="13" s="1"/>
  <c r="X340" i="13"/>
  <c r="Y340" i="13" s="1"/>
  <c r="X70" i="13"/>
  <c r="X181" i="13"/>
  <c r="X213" i="13"/>
  <c r="Y213" i="13" s="1"/>
  <c r="X147" i="13"/>
  <c r="Y344" i="13"/>
  <c r="Z344" i="13" s="1"/>
  <c r="Z312" i="13"/>
  <c r="AA312" i="13" s="1"/>
  <c r="Y261" i="13"/>
  <c r="Y58" i="13"/>
  <c r="Z58" i="13" s="1"/>
  <c r="Y286" i="13"/>
  <c r="Y290" i="13"/>
  <c r="Y14" i="13"/>
  <c r="Y90" i="13"/>
  <c r="Y66" i="13"/>
  <c r="Z66" i="13" s="1"/>
  <c r="AA66" i="13" s="1"/>
  <c r="Y24" i="13"/>
  <c r="Z24" i="13" s="1"/>
  <c r="AA78" i="13"/>
  <c r="Y342" i="13"/>
  <c r="Z310" i="13"/>
  <c r="Y282" i="13"/>
  <c r="Y289" i="13"/>
  <c r="Z289" i="13" s="1"/>
  <c r="Y269" i="13"/>
  <c r="AA222" i="13"/>
  <c r="AB222" i="13" s="1"/>
  <c r="Y177" i="13"/>
  <c r="AA193" i="13"/>
  <c r="AA64" i="13"/>
  <c r="AB64" i="13" s="1"/>
  <c r="AC64" i="13" s="1"/>
  <c r="Y38" i="13"/>
  <c r="Z38" i="13" s="1"/>
  <c r="AA38" i="13" s="1"/>
  <c r="Y223" i="13"/>
  <c r="Z223" i="13" s="1"/>
  <c r="Y20" i="13"/>
  <c r="Y36" i="13"/>
  <c r="Z36" i="13" s="1"/>
  <c r="Z311" i="13"/>
  <c r="Y294" i="13"/>
  <c r="Y277" i="13"/>
  <c r="Z277" i="13" s="1"/>
  <c r="Y268" i="13"/>
  <c r="Y18" i="13"/>
  <c r="AA214" i="13"/>
  <c r="AB214" i="13" s="1"/>
  <c r="AC214" i="13" s="1"/>
  <c r="AD214" i="13" s="1"/>
  <c r="AF214" i="13" s="1"/>
  <c r="Y345" i="13"/>
  <c r="AA316" i="13"/>
  <c r="AA318" i="13"/>
  <c r="AB318" i="13" s="1"/>
  <c r="AA238" i="13"/>
  <c r="Y241" i="13"/>
  <c r="Z241" i="13" s="1"/>
  <c r="Y16" i="13"/>
  <c r="Z16" i="13" s="1"/>
  <c r="Y313" i="13"/>
  <c r="V304" i="13"/>
  <c r="X304" i="13" s="1"/>
  <c r="Y293" i="13"/>
  <c r="Y315" i="13"/>
  <c r="Z315" i="13" s="1"/>
  <c r="AA315" i="13" s="1"/>
  <c r="Y278" i="13"/>
  <c r="Z278" i="13" s="1"/>
  <c r="AA278" i="13" s="1"/>
  <c r="Y285" i="13"/>
  <c r="Z285" i="13" s="1"/>
  <c r="V283" i="13"/>
  <c r="X283" i="13" s="1"/>
  <c r="Y273" i="13"/>
  <c r="Z273" i="13" s="1"/>
  <c r="Y239" i="13"/>
  <c r="Z239" i="13" s="1"/>
  <c r="AA253" i="13"/>
  <c r="AB253" i="13" s="1"/>
  <c r="Z250" i="13"/>
  <c r="AA250" i="13" s="1"/>
  <c r="Y233" i="13"/>
  <c r="X186" i="13"/>
  <c r="Y189" i="13"/>
  <c r="Y346" i="13"/>
  <c r="Z346" i="13" s="1"/>
  <c r="Z303" i="13"/>
  <c r="AA303" i="13" s="1"/>
  <c r="Z305" i="13"/>
  <c r="Y287" i="13"/>
  <c r="V319" i="13"/>
  <c r="X319" i="13" s="1"/>
  <c r="AB264" i="13"/>
  <c r="AC264" i="13" s="1"/>
  <c r="AD264" i="13" s="1"/>
  <c r="AF264" i="13" s="1"/>
  <c r="Y249" i="13"/>
  <c r="Y257" i="13"/>
  <c r="AA260" i="13"/>
  <c r="AB260" i="13" s="1"/>
  <c r="Z209" i="13"/>
  <c r="AA209" i="13" s="1"/>
  <c r="AB209" i="13" s="1"/>
  <c r="Y215" i="13"/>
  <c r="Z215" i="13" s="1"/>
  <c r="Z185" i="13"/>
  <c r="AA185" i="13" s="1"/>
  <c r="AB185" i="13" s="1"/>
  <c r="AC185" i="13" s="1"/>
  <c r="Y21" i="13"/>
  <c r="Z21" i="13" s="1"/>
  <c r="Y40" i="13"/>
  <c r="Z40" i="13" s="1"/>
  <c r="Y50" i="13"/>
  <c r="Z50" i="13" s="1"/>
  <c r="Z348" i="13"/>
  <c r="V288" i="13"/>
  <c r="X288" i="13" s="1"/>
  <c r="V280" i="13"/>
  <c r="X280" i="13" s="1"/>
  <c r="V271" i="13"/>
  <c r="X271" i="13" s="1"/>
  <c r="AA295" i="13"/>
  <c r="AB295" i="13" s="1"/>
  <c r="Y255" i="13"/>
  <c r="Z255" i="13" s="1"/>
  <c r="Y262" i="13"/>
  <c r="Z262" i="13" s="1"/>
  <c r="AA262" i="13" s="1"/>
  <c r="Z235" i="13"/>
  <c r="Z265" i="13"/>
  <c r="AA219" i="13"/>
  <c r="AA232" i="13"/>
  <c r="V195" i="13"/>
  <c r="X195" i="13" s="1"/>
  <c r="V187" i="13"/>
  <c r="X187" i="13" s="1"/>
  <c r="X200" i="13"/>
  <c r="AA173" i="13"/>
  <c r="AB173" i="13" s="1"/>
  <c r="Y169" i="13"/>
  <c r="X146" i="13"/>
  <c r="X79" i="13"/>
  <c r="X47" i="13"/>
  <c r="X142" i="13"/>
  <c r="Z97" i="13"/>
  <c r="Z94" i="13"/>
  <c r="X118" i="13"/>
  <c r="Z104" i="13"/>
  <c r="Y74" i="13"/>
  <c r="Z106" i="13"/>
  <c r="Y56" i="13"/>
  <c r="Z56" i="13" s="1"/>
  <c r="AA56" i="13" s="1"/>
  <c r="AA46" i="13"/>
  <c r="Z102" i="13"/>
  <c r="AA102" i="13" s="1"/>
  <c r="X87" i="13"/>
  <c r="X55" i="13"/>
  <c r="Y125" i="13"/>
  <c r="Z125" i="13" s="1"/>
  <c r="Y109" i="13"/>
  <c r="Y17" i="13"/>
  <c r="AB145" i="13"/>
  <c r="AC145" i="13" s="1"/>
  <c r="Y32" i="13"/>
  <c r="Z32" i="13" s="1"/>
  <c r="Y42" i="13"/>
  <c r="Z42" i="13" s="1"/>
  <c r="AA42" i="13" s="1"/>
  <c r="Y82" i="13"/>
  <c r="Y28" i="13"/>
  <c r="Y297" i="13"/>
  <c r="V307" i="13"/>
  <c r="X307" i="13" s="1"/>
  <c r="V267" i="13"/>
  <c r="X267" i="13" s="1"/>
  <c r="Y275" i="13"/>
  <c r="Z275" i="13" s="1"/>
  <c r="V300" i="13"/>
  <c r="X300" i="13" s="1"/>
  <c r="V308" i="13"/>
  <c r="X308" i="13" s="1"/>
  <c r="V284" i="13"/>
  <c r="X284" i="13" s="1"/>
  <c r="Y266" i="13"/>
  <c r="Z266" i="13" s="1"/>
  <c r="Z254" i="13"/>
  <c r="Z245" i="13"/>
  <c r="Z240" i="13"/>
  <c r="Z248" i="13"/>
  <c r="Z256" i="13"/>
  <c r="X236" i="13"/>
  <c r="AA211" i="13"/>
  <c r="AB211" i="13" s="1"/>
  <c r="X194" i="13"/>
  <c r="AB203" i="13"/>
  <c r="Y197" i="13"/>
  <c r="Z197" i="13" s="1"/>
  <c r="AB258" i="13"/>
  <c r="X216" i="13"/>
  <c r="X198" i="13"/>
  <c r="X176" i="13"/>
  <c r="X168" i="13"/>
  <c r="X160" i="13"/>
  <c r="X152" i="13"/>
  <c r="X144" i="13"/>
  <c r="X136" i="13"/>
  <c r="X128" i="13"/>
  <c r="X120" i="13"/>
  <c r="X112" i="13"/>
  <c r="X77" i="13"/>
  <c r="Y117" i="13"/>
  <c r="Z117" i="13" s="1"/>
  <c r="Y98" i="13"/>
  <c r="Z292" i="13"/>
  <c r="AA292" i="13" s="1"/>
  <c r="X134" i="13"/>
  <c r="X114" i="13"/>
  <c r="X71" i="13"/>
  <c r="X244" i="13"/>
  <c r="Z157" i="13"/>
  <c r="AA157" i="13" s="1"/>
  <c r="X130" i="13"/>
  <c r="Y19" i="13"/>
  <c r="Z19" i="13" s="1"/>
  <c r="Y15" i="13"/>
  <c r="X166" i="13"/>
  <c r="Z110" i="13"/>
  <c r="Y88" i="13"/>
  <c r="Z88" i="13" s="1"/>
  <c r="AA88" i="13" s="1"/>
  <c r="Z72" i="13"/>
  <c r="Y347" i="13"/>
  <c r="V302" i="13"/>
  <c r="X302" i="13" s="1"/>
  <c r="V306" i="13"/>
  <c r="X306" i="13" s="1"/>
  <c r="V314" i="13"/>
  <c r="X314" i="13" s="1"/>
  <c r="Y291" i="13"/>
  <c r="Y281" i="13"/>
  <c r="Z281" i="13" s="1"/>
  <c r="AA281" i="13" s="1"/>
  <c r="Y259" i="13"/>
  <c r="V299" i="13"/>
  <c r="X299" i="13" s="1"/>
  <c r="Y206" i="13"/>
  <c r="Z206" i="13" s="1"/>
  <c r="X170" i="13"/>
  <c r="X184" i="13"/>
  <c r="Y159" i="13"/>
  <c r="Y151" i="13"/>
  <c r="Z151" i="13" s="1"/>
  <c r="Y143" i="13"/>
  <c r="X224" i="13"/>
  <c r="Y161" i="13"/>
  <c r="Y107" i="13"/>
  <c r="Z208" i="13"/>
  <c r="AA208" i="13" s="1"/>
  <c r="X95" i="13"/>
  <c r="X63" i="13"/>
  <c r="X158" i="13"/>
  <c r="X138" i="13"/>
  <c r="X174" i="13"/>
  <c r="Y26" i="13"/>
  <c r="X150" i="13"/>
  <c r="Y30" i="13"/>
  <c r="Z30" i="13" s="1"/>
  <c r="AA30" i="13" s="1"/>
  <c r="Y34" i="13"/>
  <c r="X126" i="13"/>
  <c r="Y22" i="13"/>
  <c r="X368" i="12"/>
  <c r="X367" i="12"/>
  <c r="AI366" i="12"/>
  <c r="W366" i="12"/>
  <c r="P365" i="12"/>
  <c r="X365" i="12" s="1"/>
  <c r="X364" i="12"/>
  <c r="P363" i="12"/>
  <c r="X363" i="12" s="1"/>
  <c r="X362" i="12"/>
  <c r="X361" i="12"/>
  <c r="AJ360" i="12"/>
  <c r="AH360" i="12"/>
  <c r="AG360" i="12"/>
  <c r="X360" i="12"/>
  <c r="AI357" i="12"/>
  <c r="W357" i="12"/>
  <c r="AI356" i="12"/>
  <c r="W356" i="12"/>
  <c r="U356" i="12"/>
  <c r="AI355" i="12"/>
  <c r="AA355" i="12" s="1"/>
  <c r="W355" i="12"/>
  <c r="Y355" i="12" s="1"/>
  <c r="Z355" i="12" s="1"/>
  <c r="U355" i="12"/>
  <c r="AI354" i="12"/>
  <c r="AA354" i="12" s="1"/>
  <c r="W354" i="12"/>
  <c r="U354" i="12"/>
  <c r="AI353" i="12"/>
  <c r="AA353" i="12" s="1"/>
  <c r="W353" i="12"/>
  <c r="X353" i="12" s="1"/>
  <c r="U353" i="12"/>
  <c r="AI352" i="12"/>
  <c r="AA352" i="12" s="1"/>
  <c r="W352" i="12"/>
  <c r="X352" i="12" s="1"/>
  <c r="AI351" i="12"/>
  <c r="AA351" i="12" s="1"/>
  <c r="W351" i="12"/>
  <c r="AI350" i="12"/>
  <c r="AA350" i="12" s="1"/>
  <c r="W350" i="12"/>
  <c r="X350" i="12" s="1"/>
  <c r="AI349" i="12"/>
  <c r="AA349" i="12" s="1"/>
  <c r="W349" i="12"/>
  <c r="AI348" i="12"/>
  <c r="AA348" i="12" s="1"/>
  <c r="W348" i="12"/>
  <c r="Y348" i="12" s="1"/>
  <c r="AI347" i="12"/>
  <c r="AA347" i="12" s="1"/>
  <c r="W347" i="12"/>
  <c r="AI346" i="12"/>
  <c r="AA346" i="12" s="1"/>
  <c r="W346" i="12"/>
  <c r="Y346" i="12" s="1"/>
  <c r="P345" i="12"/>
  <c r="X345" i="12" s="1"/>
  <c r="AI343" i="12"/>
  <c r="W343" i="12"/>
  <c r="U343" i="12"/>
  <c r="AI342" i="12"/>
  <c r="W342" i="12"/>
  <c r="X342" i="12" s="1"/>
  <c r="U342" i="12"/>
  <c r="AI341" i="12"/>
  <c r="W341" i="12"/>
  <c r="U341" i="12"/>
  <c r="AI340" i="12"/>
  <c r="AA340" i="12" s="1"/>
  <c r="W340" i="12"/>
  <c r="U340" i="12"/>
  <c r="AI339" i="12"/>
  <c r="AA339" i="12" s="1"/>
  <c r="W339" i="12"/>
  <c r="AI338" i="12"/>
  <c r="AA338" i="12" s="1"/>
  <c r="W338" i="12"/>
  <c r="AI337" i="12"/>
  <c r="AA337" i="12" s="1"/>
  <c r="W337" i="12"/>
  <c r="Y337" i="12" s="1"/>
  <c r="Z337" i="12" s="1"/>
  <c r="AI336" i="12"/>
  <c r="AA336" i="12" s="1"/>
  <c r="W336" i="12"/>
  <c r="AI335" i="12"/>
  <c r="AA335" i="12" s="1"/>
  <c r="W335" i="12"/>
  <c r="X335" i="12" s="1"/>
  <c r="AI334" i="12"/>
  <c r="AA334" i="12" s="1"/>
  <c r="W334" i="12"/>
  <c r="X334" i="12" s="1"/>
  <c r="AI333" i="12"/>
  <c r="AA333" i="12" s="1"/>
  <c r="W333" i="12"/>
  <c r="X333" i="12" s="1"/>
  <c r="AI332" i="12"/>
  <c r="AA332" i="12" s="1"/>
  <c r="W332" i="12"/>
  <c r="X332" i="12" s="1"/>
  <c r="AI331" i="12"/>
  <c r="W331" i="12"/>
  <c r="X331" i="12" s="1"/>
  <c r="AI330" i="12"/>
  <c r="AA330" i="12" s="1"/>
  <c r="W330" i="12"/>
  <c r="AI329" i="12"/>
  <c r="AA329" i="12" s="1"/>
  <c r="W329" i="12"/>
  <c r="AI328" i="12"/>
  <c r="AA328" i="12" s="1"/>
  <c r="W328" i="12"/>
  <c r="P327" i="12"/>
  <c r="X327" i="12" s="1"/>
  <c r="AI325" i="12"/>
  <c r="W325" i="12"/>
  <c r="AI324" i="12"/>
  <c r="W324" i="12"/>
  <c r="Y324" i="12" s="1"/>
  <c r="Z324" i="12" s="1"/>
  <c r="AG324" i="12" s="1"/>
  <c r="AH324" i="12" s="1"/>
  <c r="AJ324" i="12" s="1"/>
  <c r="AI323" i="12"/>
  <c r="W323" i="12"/>
  <c r="AI322" i="12"/>
  <c r="W322" i="12"/>
  <c r="AI321" i="12"/>
  <c r="W321" i="12"/>
  <c r="AI320" i="12"/>
  <c r="W320" i="12"/>
  <c r="AI319" i="12"/>
  <c r="W319" i="12"/>
  <c r="AI318" i="12"/>
  <c r="W318" i="12"/>
  <c r="X318" i="12" s="1"/>
  <c r="AI317" i="12"/>
  <c r="AA317" i="12" s="1"/>
  <c r="W317" i="12"/>
  <c r="X317" i="12" s="1"/>
  <c r="U317" i="12"/>
  <c r="AI316" i="12"/>
  <c r="AA316" i="12" s="1"/>
  <c r="W316" i="12"/>
  <c r="U316" i="12"/>
  <c r="AI315" i="12"/>
  <c r="AA315" i="12" s="1"/>
  <c r="W315" i="12"/>
  <c r="U315" i="12"/>
  <c r="AI314" i="12"/>
  <c r="AA314" i="12" s="1"/>
  <c r="W314" i="12"/>
  <c r="Y314" i="12" s="1"/>
  <c r="Z314" i="12" s="1"/>
  <c r="AI313" i="12"/>
  <c r="AA313" i="12" s="1"/>
  <c r="W313" i="12"/>
  <c r="AI312" i="12"/>
  <c r="AA312" i="12" s="1"/>
  <c r="W312" i="12"/>
  <c r="X312" i="12" s="1"/>
  <c r="AI311" i="12"/>
  <c r="AA311" i="12" s="1"/>
  <c r="W311" i="12"/>
  <c r="Y311" i="12" s="1"/>
  <c r="Z311" i="12" s="1"/>
  <c r="U311" i="12"/>
  <c r="AI310" i="12"/>
  <c r="AA310" i="12" s="1"/>
  <c r="W310" i="12"/>
  <c r="AI309" i="12"/>
  <c r="AA309" i="12" s="1"/>
  <c r="W309" i="12"/>
  <c r="X309" i="12" s="1"/>
  <c r="AI308" i="12"/>
  <c r="AA308" i="12" s="1"/>
  <c r="W308" i="12"/>
  <c r="X308" i="12" s="1"/>
  <c r="AI307" i="12"/>
  <c r="AA307" i="12" s="1"/>
  <c r="W307" i="12"/>
  <c r="X307" i="12" s="1"/>
  <c r="AI306" i="12"/>
  <c r="AA306" i="12" s="1"/>
  <c r="W306" i="12"/>
  <c r="X306" i="12" s="1"/>
  <c r="AI305" i="12"/>
  <c r="AA305" i="12" s="1"/>
  <c r="W305" i="12"/>
  <c r="Y305" i="12" s="1"/>
  <c r="Z305" i="12" s="1"/>
  <c r="AI304" i="12"/>
  <c r="AA304" i="12" s="1"/>
  <c r="W304" i="12"/>
  <c r="AI303" i="12"/>
  <c r="AA303" i="12" s="1"/>
  <c r="W303" i="12"/>
  <c r="X303" i="12" s="1"/>
  <c r="AI302" i="12"/>
  <c r="AA302" i="12" s="1"/>
  <c r="W302" i="12"/>
  <c r="U302" i="12"/>
  <c r="AI301" i="12"/>
  <c r="AA301" i="12" s="1"/>
  <c r="W301" i="12"/>
  <c r="AI300" i="12"/>
  <c r="AA300" i="12" s="1"/>
  <c r="W300" i="12"/>
  <c r="Y300" i="12" s="1"/>
  <c r="Z300" i="12" s="1"/>
  <c r="AI299" i="12"/>
  <c r="AA299" i="12" s="1"/>
  <c r="W299" i="12"/>
  <c r="U299" i="12"/>
  <c r="AI298" i="12"/>
  <c r="AA298" i="12" s="1"/>
  <c r="W298" i="12"/>
  <c r="AI297" i="12"/>
  <c r="AA297" i="12" s="1"/>
  <c r="W297" i="12"/>
  <c r="U297" i="12"/>
  <c r="AI296" i="12"/>
  <c r="AA296" i="12" s="1"/>
  <c r="W296" i="12"/>
  <c r="Y296" i="12" s="1"/>
  <c r="Z296" i="12" s="1"/>
  <c r="AI295" i="12"/>
  <c r="AA295" i="12" s="1"/>
  <c r="W295" i="12"/>
  <c r="U295" i="12"/>
  <c r="AI294" i="12"/>
  <c r="AA294" i="12" s="1"/>
  <c r="W294" i="12"/>
  <c r="AI293" i="12"/>
  <c r="AA293" i="12" s="1"/>
  <c r="W293" i="12"/>
  <c r="AI292" i="12"/>
  <c r="AA292" i="12" s="1"/>
  <c r="W292" i="12"/>
  <c r="U292" i="12"/>
  <c r="AI291" i="12"/>
  <c r="AA291" i="12" s="1"/>
  <c r="W291" i="12"/>
  <c r="X291" i="12" s="1"/>
  <c r="AI290" i="12"/>
  <c r="AA290" i="12" s="1"/>
  <c r="W290" i="12"/>
  <c r="Y290" i="12" s="1"/>
  <c r="Z290" i="12" s="1"/>
  <c r="AI289" i="12"/>
  <c r="AA289" i="12" s="1"/>
  <c r="W289" i="12"/>
  <c r="Y289" i="12" s="1"/>
  <c r="Z289" i="12" s="1"/>
  <c r="U289" i="12"/>
  <c r="AI288" i="12"/>
  <c r="AA288" i="12" s="1"/>
  <c r="W288" i="12"/>
  <c r="Y288" i="12" s="1"/>
  <c r="Z288" i="12" s="1"/>
  <c r="U288" i="12"/>
  <c r="AI287" i="12"/>
  <c r="AA287" i="12" s="1"/>
  <c r="W287" i="12"/>
  <c r="Y287" i="12" s="1"/>
  <c r="Z287" i="12" s="1"/>
  <c r="U287" i="12"/>
  <c r="AI286" i="12"/>
  <c r="AA286" i="12" s="1"/>
  <c r="W286" i="12"/>
  <c r="X286" i="12" s="1"/>
  <c r="AI285" i="12"/>
  <c r="AA285" i="12" s="1"/>
  <c r="W285" i="12"/>
  <c r="Y285" i="12" s="1"/>
  <c r="Z285" i="12" s="1"/>
  <c r="U285" i="12"/>
  <c r="AI284" i="12"/>
  <c r="AA284" i="12" s="1"/>
  <c r="W284" i="12"/>
  <c r="U284" i="12"/>
  <c r="AI283" i="12"/>
  <c r="AA283" i="12" s="1"/>
  <c r="W283" i="12"/>
  <c r="U283" i="12"/>
  <c r="AI282" i="12"/>
  <c r="AA282" i="12" s="1"/>
  <c r="W282" i="12"/>
  <c r="AI281" i="12"/>
  <c r="AA281" i="12" s="1"/>
  <c r="W281" i="12"/>
  <c r="U281" i="12"/>
  <c r="AI280" i="12"/>
  <c r="AA280" i="12" s="1"/>
  <c r="W280" i="12"/>
  <c r="U280" i="12"/>
  <c r="AI279" i="12"/>
  <c r="AA279" i="12" s="1"/>
  <c r="W279" i="12"/>
  <c r="Y279" i="12" s="1"/>
  <c r="U279" i="12"/>
  <c r="AI278" i="12"/>
  <c r="AA278" i="12" s="1"/>
  <c r="W278" i="12"/>
  <c r="U278" i="12"/>
  <c r="AI277" i="12"/>
  <c r="W277" i="12"/>
  <c r="X277" i="12" s="1"/>
  <c r="U277" i="12"/>
  <c r="AI276" i="12"/>
  <c r="W276" i="12"/>
  <c r="X276" i="12" s="1"/>
  <c r="U276" i="12"/>
  <c r="AI275" i="12"/>
  <c r="W275" i="12"/>
  <c r="Y275" i="12" s="1"/>
  <c r="Z275" i="12" s="1"/>
  <c r="AC275" i="12" s="1"/>
  <c r="AD275" i="12" s="1"/>
  <c r="U275" i="12"/>
  <c r="AI274" i="12"/>
  <c r="W274" i="12"/>
  <c r="X274" i="12" s="1"/>
  <c r="U274" i="12"/>
  <c r="AI273" i="12"/>
  <c r="W273" i="12"/>
  <c r="Y273" i="12" s="1"/>
  <c r="Z273" i="12" s="1"/>
  <c r="AC273" i="12" s="1"/>
  <c r="U273" i="12"/>
  <c r="AI272" i="12"/>
  <c r="W272" i="12"/>
  <c r="X272" i="12" s="1"/>
  <c r="U272" i="12"/>
  <c r="AI271" i="12"/>
  <c r="W271" i="12"/>
  <c r="Y271" i="12" s="1"/>
  <c r="Z271" i="12" s="1"/>
  <c r="AC271" i="12" s="1"/>
  <c r="U271" i="12"/>
  <c r="AI270" i="12"/>
  <c r="W270" i="12"/>
  <c r="U270" i="12"/>
  <c r="AI269" i="12"/>
  <c r="W269" i="12"/>
  <c r="Y269" i="12" s="1"/>
  <c r="Z269" i="12" s="1"/>
  <c r="AC269" i="12" s="1"/>
  <c r="U269" i="12"/>
  <c r="AI268" i="12"/>
  <c r="W268" i="12"/>
  <c r="X268" i="12" s="1"/>
  <c r="U268" i="12"/>
  <c r="AI267" i="12"/>
  <c r="W267" i="12"/>
  <c r="U267" i="12"/>
  <c r="AI266" i="12"/>
  <c r="W266" i="12"/>
  <c r="Y266" i="12" s="1"/>
  <c r="Z266" i="12" s="1"/>
  <c r="AC266" i="12" s="1"/>
  <c r="U266" i="12"/>
  <c r="AI265" i="12"/>
  <c r="W265" i="12"/>
  <c r="Y265" i="12" s="1"/>
  <c r="Z265" i="12" s="1"/>
  <c r="AC265" i="12" s="1"/>
  <c r="AD265" i="12" s="1"/>
  <c r="U265" i="12"/>
  <c r="AI264" i="12"/>
  <c r="W264" i="12"/>
  <c r="X264" i="12" s="1"/>
  <c r="U264" i="12"/>
  <c r="AI263" i="12"/>
  <c r="AA263" i="12" s="1"/>
  <c r="W263" i="12"/>
  <c r="X263" i="12" s="1"/>
  <c r="U263" i="12"/>
  <c r="AI262" i="12"/>
  <c r="AA262" i="12" s="1"/>
  <c r="W262" i="12"/>
  <c r="Y262" i="12" s="1"/>
  <c r="Z262" i="12" s="1"/>
  <c r="U262" i="12"/>
  <c r="AI261" i="12"/>
  <c r="AA261" i="12" s="1"/>
  <c r="W261" i="12"/>
  <c r="U261" i="12"/>
  <c r="AI260" i="12"/>
  <c r="AA260" i="12" s="1"/>
  <c r="W260" i="12"/>
  <c r="U260" i="12"/>
  <c r="AI259" i="12"/>
  <c r="AA259" i="12" s="1"/>
  <c r="W259" i="12"/>
  <c r="X259" i="12" s="1"/>
  <c r="U259" i="12"/>
  <c r="AI258" i="12"/>
  <c r="AA258" i="12" s="1"/>
  <c r="W258" i="12"/>
  <c r="AI257" i="12"/>
  <c r="AA257" i="12" s="1"/>
  <c r="W257" i="12"/>
  <c r="U257" i="12"/>
  <c r="AI256" i="12"/>
  <c r="AA256" i="12" s="1"/>
  <c r="W256" i="12"/>
  <c r="Y256" i="12" s="1"/>
  <c r="U256" i="12"/>
  <c r="AI255" i="12"/>
  <c r="AA255" i="12" s="1"/>
  <c r="W255" i="12"/>
  <c r="X255" i="12" s="1"/>
  <c r="U255" i="12"/>
  <c r="AI254" i="12"/>
  <c r="AA254" i="12" s="1"/>
  <c r="W254" i="12"/>
  <c r="Y254" i="12" s="1"/>
  <c r="Z254" i="12" s="1"/>
  <c r="AI253" i="12"/>
  <c r="AA253" i="12" s="1"/>
  <c r="W253" i="12"/>
  <c r="X253" i="12" s="1"/>
  <c r="AI252" i="12"/>
  <c r="AA252" i="12" s="1"/>
  <c r="W252" i="12"/>
  <c r="U252" i="12"/>
  <c r="AI251" i="12"/>
  <c r="AA251" i="12" s="1"/>
  <c r="W251" i="12"/>
  <c r="X251" i="12" s="1"/>
  <c r="AI250" i="12"/>
  <c r="AA250" i="12" s="1"/>
  <c r="W250" i="12"/>
  <c r="AI249" i="12"/>
  <c r="AA249" i="12" s="1"/>
  <c r="W249" i="12"/>
  <c r="X249" i="12" s="1"/>
  <c r="AI248" i="12"/>
  <c r="AA248" i="12" s="1"/>
  <c r="W248" i="12"/>
  <c r="Y248" i="12" s="1"/>
  <c r="Z248" i="12" s="1"/>
  <c r="AI247" i="12"/>
  <c r="AA247" i="12" s="1"/>
  <c r="W247" i="12"/>
  <c r="X247" i="12" s="1"/>
  <c r="AI246" i="12"/>
  <c r="AA246" i="12" s="1"/>
  <c r="W246" i="12"/>
  <c r="X246" i="12" s="1"/>
  <c r="AI245" i="12"/>
  <c r="AA245" i="12" s="1"/>
  <c r="W245" i="12"/>
  <c r="AI244" i="12"/>
  <c r="AA244" i="12" s="1"/>
  <c r="W244" i="12"/>
  <c r="X244" i="12" s="1"/>
  <c r="AI243" i="12"/>
  <c r="AA243" i="12" s="1"/>
  <c r="W243" i="12"/>
  <c r="AI242" i="12"/>
  <c r="AA242" i="12" s="1"/>
  <c r="W242" i="12"/>
  <c r="AI241" i="12"/>
  <c r="AA241" i="12" s="1"/>
  <c r="W241" i="12"/>
  <c r="X241" i="12" s="1"/>
  <c r="U241" i="12"/>
  <c r="AI240" i="12"/>
  <c r="AA240" i="12" s="1"/>
  <c r="W240" i="12"/>
  <c r="AI239" i="12"/>
  <c r="AA239" i="12" s="1"/>
  <c r="W239" i="12"/>
  <c r="Y239" i="12" s="1"/>
  <c r="Z239" i="12" s="1"/>
  <c r="AI238" i="12"/>
  <c r="AA238" i="12" s="1"/>
  <c r="W238" i="12"/>
  <c r="AI237" i="12"/>
  <c r="AA237" i="12" s="1"/>
  <c r="W237" i="12"/>
  <c r="Y237" i="12" s="1"/>
  <c r="Z237" i="12" s="1"/>
  <c r="AI236" i="12"/>
  <c r="AA236" i="12" s="1"/>
  <c r="W236" i="12"/>
  <c r="X236" i="12" s="1"/>
  <c r="AI235" i="12"/>
  <c r="AA235" i="12" s="1"/>
  <c r="W235" i="12"/>
  <c r="Y235" i="12" s="1"/>
  <c r="Z235" i="12" s="1"/>
  <c r="AI234" i="12"/>
  <c r="AA234" i="12" s="1"/>
  <c r="W234" i="12"/>
  <c r="X234" i="12" s="1"/>
  <c r="AI233" i="12"/>
  <c r="AA233" i="12" s="1"/>
  <c r="W233" i="12"/>
  <c r="AI232" i="12"/>
  <c r="AA232" i="12" s="1"/>
  <c r="W232" i="12"/>
  <c r="Y232" i="12" s="1"/>
  <c r="Z232" i="12" s="1"/>
  <c r="AI231" i="12"/>
  <c r="AA231" i="12" s="1"/>
  <c r="W231" i="12"/>
  <c r="AI230" i="12"/>
  <c r="AA230" i="12" s="1"/>
  <c r="W230" i="12"/>
  <c r="Y230" i="12" s="1"/>
  <c r="Z230" i="12" s="1"/>
  <c r="AI229" i="12"/>
  <c r="AA229" i="12" s="1"/>
  <c r="W229" i="12"/>
  <c r="AI228" i="12"/>
  <c r="AA228" i="12" s="1"/>
  <c r="W228" i="12"/>
  <c r="AI227" i="12"/>
  <c r="AA227" i="12" s="1"/>
  <c r="W227" i="12"/>
  <c r="AI226" i="12"/>
  <c r="AA226" i="12" s="1"/>
  <c r="W226" i="12"/>
  <c r="Y226" i="12" s="1"/>
  <c r="Z226" i="12" s="1"/>
  <c r="AI225" i="12"/>
  <c r="AA225" i="12" s="1"/>
  <c r="W225" i="12"/>
  <c r="Y225" i="12" s="1"/>
  <c r="Z225" i="12" s="1"/>
  <c r="U225" i="12"/>
  <c r="AI224" i="12"/>
  <c r="AA224" i="12" s="1"/>
  <c r="W224" i="12"/>
  <c r="AI223" i="12"/>
  <c r="AA223" i="12" s="1"/>
  <c r="W223" i="12"/>
  <c r="AI222" i="12"/>
  <c r="AA222" i="12" s="1"/>
  <c r="W222" i="12"/>
  <c r="AI221" i="12"/>
  <c r="AA221" i="12" s="1"/>
  <c r="W221" i="12"/>
  <c r="AI220" i="12"/>
  <c r="AA220" i="12" s="1"/>
  <c r="W220" i="12"/>
  <c r="AI219" i="12"/>
  <c r="AA219" i="12" s="1"/>
  <c r="W219" i="12"/>
  <c r="Y219" i="12" s="1"/>
  <c r="Z219" i="12" s="1"/>
  <c r="AI218" i="12"/>
  <c r="AA218" i="12" s="1"/>
  <c r="W218" i="12"/>
  <c r="AI217" i="12"/>
  <c r="AA217" i="12" s="1"/>
  <c r="W217" i="12"/>
  <c r="X217" i="12" s="1"/>
  <c r="AI216" i="12"/>
  <c r="AA216" i="12" s="1"/>
  <c r="W216" i="12"/>
  <c r="AI215" i="12"/>
  <c r="AA215" i="12" s="1"/>
  <c r="W215" i="12"/>
  <c r="AI214" i="12"/>
  <c r="AA214" i="12" s="1"/>
  <c r="W214" i="12"/>
  <c r="AI213" i="12"/>
  <c r="AA213" i="12" s="1"/>
  <c r="W213" i="12"/>
  <c r="AI212" i="12"/>
  <c r="AA212" i="12" s="1"/>
  <c r="W212" i="12"/>
  <c r="AI211" i="12"/>
  <c r="AA211" i="12" s="1"/>
  <c r="W211" i="12"/>
  <c r="Y211" i="12" s="1"/>
  <c r="Z211" i="12" s="1"/>
  <c r="AI210" i="12"/>
  <c r="AA210" i="12" s="1"/>
  <c r="W210" i="12"/>
  <c r="AI209" i="12"/>
  <c r="AA209" i="12" s="1"/>
  <c r="W209" i="12"/>
  <c r="X209" i="12" s="1"/>
  <c r="AI208" i="12"/>
  <c r="AA208" i="12" s="1"/>
  <c r="W208" i="12"/>
  <c r="AI207" i="12"/>
  <c r="AA207" i="12" s="1"/>
  <c r="W207" i="12"/>
  <c r="AI206" i="12"/>
  <c r="AA206" i="12" s="1"/>
  <c r="W206" i="12"/>
  <c r="AI205" i="12"/>
  <c r="AA205" i="12" s="1"/>
  <c r="W205" i="12"/>
  <c r="AI204" i="12"/>
  <c r="AA204" i="12" s="1"/>
  <c r="W204" i="12"/>
  <c r="AI203" i="12"/>
  <c r="AA203" i="12" s="1"/>
  <c r="W203" i="12"/>
  <c r="Y203" i="12" s="1"/>
  <c r="Z203" i="12" s="1"/>
  <c r="AI202" i="12"/>
  <c r="AA202" i="12" s="1"/>
  <c r="W202" i="12"/>
  <c r="AI201" i="12"/>
  <c r="AA201" i="12" s="1"/>
  <c r="W201" i="12"/>
  <c r="X201" i="12" s="1"/>
  <c r="AI200" i="12"/>
  <c r="AA200" i="12" s="1"/>
  <c r="W200" i="12"/>
  <c r="Y200" i="12" s="1"/>
  <c r="Z200" i="12" s="1"/>
  <c r="AI199" i="12"/>
  <c r="AA199" i="12" s="1"/>
  <c r="W199" i="12"/>
  <c r="AI198" i="12"/>
  <c r="AA198" i="12" s="1"/>
  <c r="W198" i="12"/>
  <c r="AI197" i="12"/>
  <c r="AA197" i="12" s="1"/>
  <c r="W197" i="12"/>
  <c r="X197" i="12" s="1"/>
  <c r="AI196" i="12"/>
  <c r="AA196" i="12" s="1"/>
  <c r="W196" i="12"/>
  <c r="AI195" i="12"/>
  <c r="AA195" i="12" s="1"/>
  <c r="W195" i="12"/>
  <c r="X195" i="12" s="1"/>
  <c r="AI194" i="12"/>
  <c r="AA194" i="12" s="1"/>
  <c r="W194" i="12"/>
  <c r="AI193" i="12"/>
  <c r="AA193" i="12" s="1"/>
  <c r="W193" i="12"/>
  <c r="X193" i="12" s="1"/>
  <c r="AI192" i="12"/>
  <c r="AA192" i="12" s="1"/>
  <c r="W192" i="12"/>
  <c r="AI191" i="12"/>
  <c r="AA191" i="12" s="1"/>
  <c r="W191" i="12"/>
  <c r="X191" i="12" s="1"/>
  <c r="AI190" i="12"/>
  <c r="AA190" i="12" s="1"/>
  <c r="W190" i="12"/>
  <c r="AI189" i="12"/>
  <c r="AA189" i="12" s="1"/>
  <c r="W189" i="12"/>
  <c r="X189" i="12" s="1"/>
  <c r="AI188" i="12"/>
  <c r="AA188" i="12" s="1"/>
  <c r="W188" i="12"/>
  <c r="AI187" i="12"/>
  <c r="AA187" i="12" s="1"/>
  <c r="X187" i="12"/>
  <c r="W187" i="12"/>
  <c r="Y187" i="12" s="1"/>
  <c r="Z187" i="12" s="1"/>
  <c r="AI186" i="12"/>
  <c r="AA186" i="12" s="1"/>
  <c r="W186" i="12"/>
  <c r="AI185" i="12"/>
  <c r="AA185" i="12" s="1"/>
  <c r="W185" i="12"/>
  <c r="AI184" i="12"/>
  <c r="AA184" i="12" s="1"/>
  <c r="W184" i="12"/>
  <c r="AI183" i="12"/>
  <c r="AA183" i="12" s="1"/>
  <c r="W183" i="12"/>
  <c r="Y183" i="12" s="1"/>
  <c r="Z183" i="12" s="1"/>
  <c r="AI182" i="12"/>
  <c r="AA182" i="12" s="1"/>
  <c r="W182" i="12"/>
  <c r="AI181" i="12"/>
  <c r="AA181" i="12" s="1"/>
  <c r="W181" i="12"/>
  <c r="X181" i="12" s="1"/>
  <c r="AI180" i="12"/>
  <c r="AA180" i="12" s="1"/>
  <c r="W180" i="12"/>
  <c r="AI179" i="12"/>
  <c r="AA179" i="12" s="1"/>
  <c r="W179" i="12"/>
  <c r="Y179" i="12" s="1"/>
  <c r="Z179" i="12" s="1"/>
  <c r="AI178" i="12"/>
  <c r="AA178" i="12" s="1"/>
  <c r="W178" i="12"/>
  <c r="AI177" i="12"/>
  <c r="AA177" i="12" s="1"/>
  <c r="W177" i="12"/>
  <c r="AI176" i="12"/>
  <c r="AA176" i="12" s="1"/>
  <c r="W176" i="12"/>
  <c r="AI175" i="12"/>
  <c r="AA175" i="12" s="1"/>
  <c r="W175" i="12"/>
  <c r="Y175" i="12" s="1"/>
  <c r="Z175" i="12" s="1"/>
  <c r="AI174" i="12"/>
  <c r="AA174" i="12" s="1"/>
  <c r="W174" i="12"/>
  <c r="AI173" i="12"/>
  <c r="AA173" i="12" s="1"/>
  <c r="W173" i="12"/>
  <c r="X173" i="12" s="1"/>
  <c r="AI172" i="12"/>
  <c r="AA172" i="12" s="1"/>
  <c r="W172" i="12"/>
  <c r="AI171" i="12"/>
  <c r="AA171" i="12" s="1"/>
  <c r="W171" i="12"/>
  <c r="Y171" i="12" s="1"/>
  <c r="Z171" i="12" s="1"/>
  <c r="AI170" i="12"/>
  <c r="AA170" i="12" s="1"/>
  <c r="W170" i="12"/>
  <c r="AI169" i="12"/>
  <c r="AA169" i="12" s="1"/>
  <c r="W169" i="12"/>
  <c r="X169" i="12" s="1"/>
  <c r="AI168" i="12"/>
  <c r="AA168" i="12" s="1"/>
  <c r="W168" i="12"/>
  <c r="AI167" i="12"/>
  <c r="AA167" i="12" s="1"/>
  <c r="W167" i="12"/>
  <c r="Y167" i="12" s="1"/>
  <c r="Z167" i="12" s="1"/>
  <c r="AI166" i="12"/>
  <c r="AA166" i="12" s="1"/>
  <c r="W166" i="12"/>
  <c r="AI165" i="12"/>
  <c r="AA165" i="12" s="1"/>
  <c r="W165" i="12"/>
  <c r="X165" i="12" s="1"/>
  <c r="AI164" i="12"/>
  <c r="AA164" i="12" s="1"/>
  <c r="W164" i="12"/>
  <c r="AI163" i="12"/>
  <c r="AA163" i="12" s="1"/>
  <c r="W163" i="12"/>
  <c r="Y163" i="12" s="1"/>
  <c r="Z163" i="12" s="1"/>
  <c r="AI162" i="12"/>
  <c r="AA162" i="12" s="1"/>
  <c r="W162" i="12"/>
  <c r="AI161" i="12"/>
  <c r="AA161" i="12" s="1"/>
  <c r="W161" i="12"/>
  <c r="X161" i="12" s="1"/>
  <c r="AI160" i="12"/>
  <c r="AA160" i="12" s="1"/>
  <c r="W160" i="12"/>
  <c r="AI159" i="12"/>
  <c r="AA159" i="12" s="1"/>
  <c r="W159" i="12"/>
  <c r="Y159" i="12" s="1"/>
  <c r="Z159" i="12" s="1"/>
  <c r="AI158" i="12"/>
  <c r="AA158" i="12" s="1"/>
  <c r="W158" i="12"/>
  <c r="AI157" i="12"/>
  <c r="AA157" i="12" s="1"/>
  <c r="W157" i="12"/>
  <c r="X157" i="12" s="1"/>
  <c r="AI156" i="12"/>
  <c r="AA156" i="12" s="1"/>
  <c r="W156" i="12"/>
  <c r="AI155" i="12"/>
  <c r="AA155" i="12" s="1"/>
  <c r="W155" i="12"/>
  <c r="Y155" i="12" s="1"/>
  <c r="Z155" i="12" s="1"/>
  <c r="AI154" i="12"/>
  <c r="AA154" i="12" s="1"/>
  <c r="W154" i="12"/>
  <c r="AI153" i="12"/>
  <c r="AA153" i="12" s="1"/>
  <c r="W153" i="12"/>
  <c r="X153" i="12" s="1"/>
  <c r="AI152" i="12"/>
  <c r="AA152" i="12" s="1"/>
  <c r="W152" i="12"/>
  <c r="Y152" i="12" s="1"/>
  <c r="Z152" i="12" s="1"/>
  <c r="AI151" i="12"/>
  <c r="AA151" i="12" s="1"/>
  <c r="W151" i="12"/>
  <c r="Y151" i="12" s="1"/>
  <c r="Z151" i="12" s="1"/>
  <c r="AI150" i="12"/>
  <c r="AA150" i="12" s="1"/>
  <c r="W150" i="12"/>
  <c r="Y150" i="12" s="1"/>
  <c r="Z150" i="12" s="1"/>
  <c r="AI149" i="12"/>
  <c r="AA149" i="12" s="1"/>
  <c r="W149" i="12"/>
  <c r="Y149" i="12" s="1"/>
  <c r="Z149" i="12" s="1"/>
  <c r="AI148" i="12"/>
  <c r="AA148" i="12" s="1"/>
  <c r="W148" i="12"/>
  <c r="Y148" i="12" s="1"/>
  <c r="Z148" i="12" s="1"/>
  <c r="AI147" i="12"/>
  <c r="AA147" i="12" s="1"/>
  <c r="W147" i="12"/>
  <c r="Y147" i="12" s="1"/>
  <c r="Z147" i="12" s="1"/>
  <c r="AI146" i="12"/>
  <c r="AA146" i="12" s="1"/>
  <c r="W146" i="12"/>
  <c r="Y146" i="12" s="1"/>
  <c r="Z146" i="12" s="1"/>
  <c r="AI145" i="12"/>
  <c r="AA145" i="12" s="1"/>
  <c r="W145" i="12"/>
  <c r="X145" i="12" s="1"/>
  <c r="AI144" i="12"/>
  <c r="AA144" i="12" s="1"/>
  <c r="W144" i="12"/>
  <c r="Y144" i="12" s="1"/>
  <c r="Z144" i="12" s="1"/>
  <c r="AI143" i="12"/>
  <c r="AA143" i="12" s="1"/>
  <c r="W143" i="12"/>
  <c r="X143" i="12" s="1"/>
  <c r="AI142" i="12"/>
  <c r="AA142" i="12" s="1"/>
  <c r="W142" i="12"/>
  <c r="Y142" i="12" s="1"/>
  <c r="Z142" i="12" s="1"/>
  <c r="AI141" i="12"/>
  <c r="AA141" i="12" s="1"/>
  <c r="W141" i="12"/>
  <c r="Y141" i="12" s="1"/>
  <c r="Z141" i="12" s="1"/>
  <c r="AI140" i="12"/>
  <c r="AA140" i="12" s="1"/>
  <c r="W140" i="12"/>
  <c r="Y140" i="12" s="1"/>
  <c r="Z140" i="12" s="1"/>
  <c r="AI139" i="12"/>
  <c r="AA139" i="12" s="1"/>
  <c r="W139" i="12"/>
  <c r="X139" i="12" s="1"/>
  <c r="AI138" i="12"/>
  <c r="AA138" i="12" s="1"/>
  <c r="W138" i="12"/>
  <c r="Y138" i="12" s="1"/>
  <c r="Z138" i="12" s="1"/>
  <c r="AI137" i="12"/>
  <c r="AA137" i="12" s="1"/>
  <c r="W137" i="12"/>
  <c r="X137" i="12" s="1"/>
  <c r="AI136" i="12"/>
  <c r="AA136" i="12" s="1"/>
  <c r="W136" i="12"/>
  <c r="Y136" i="12" s="1"/>
  <c r="Z136" i="12" s="1"/>
  <c r="AI135" i="12"/>
  <c r="AA135" i="12" s="1"/>
  <c r="W135" i="12"/>
  <c r="X135" i="12" s="1"/>
  <c r="AI134" i="12"/>
  <c r="AA134" i="12" s="1"/>
  <c r="W134" i="12"/>
  <c r="Y134" i="12" s="1"/>
  <c r="Z134" i="12" s="1"/>
  <c r="AI133" i="12"/>
  <c r="AA133" i="12" s="1"/>
  <c r="W133" i="12"/>
  <c r="X133" i="12" s="1"/>
  <c r="AI132" i="12"/>
  <c r="AA132" i="12" s="1"/>
  <c r="W132" i="12"/>
  <c r="Y132" i="12" s="1"/>
  <c r="Z132" i="12" s="1"/>
  <c r="AI131" i="12"/>
  <c r="AA131" i="12" s="1"/>
  <c r="W131" i="12"/>
  <c r="Y131" i="12" s="1"/>
  <c r="Z131" i="12" s="1"/>
  <c r="AI130" i="12"/>
  <c r="AA130" i="12" s="1"/>
  <c r="W130" i="12"/>
  <c r="Y130" i="12" s="1"/>
  <c r="Z130" i="12" s="1"/>
  <c r="AI129" i="12"/>
  <c r="AA129" i="12" s="1"/>
  <c r="W129" i="12"/>
  <c r="Y129" i="12" s="1"/>
  <c r="Z129" i="12" s="1"/>
  <c r="AI128" i="12"/>
  <c r="AA128" i="12" s="1"/>
  <c r="W128" i="12"/>
  <c r="AI127" i="12"/>
  <c r="AA127" i="12" s="1"/>
  <c r="W127" i="12"/>
  <c r="Y127" i="12" s="1"/>
  <c r="Z127" i="12" s="1"/>
  <c r="AI126" i="12"/>
  <c r="AA126" i="12" s="1"/>
  <c r="W126" i="12"/>
  <c r="Y126" i="12" s="1"/>
  <c r="Z126" i="12" s="1"/>
  <c r="AI125" i="12"/>
  <c r="AA125" i="12" s="1"/>
  <c r="W125" i="12"/>
  <c r="X125" i="12" s="1"/>
  <c r="AI124" i="12"/>
  <c r="AA124" i="12" s="1"/>
  <c r="W124" i="12"/>
  <c r="Y124" i="12" s="1"/>
  <c r="Z124" i="12" s="1"/>
  <c r="AI123" i="12"/>
  <c r="AA123" i="12" s="1"/>
  <c r="W123" i="12"/>
  <c r="X123" i="12" s="1"/>
  <c r="AI122" i="12"/>
  <c r="AA122" i="12" s="1"/>
  <c r="W122" i="12"/>
  <c r="AI121" i="12"/>
  <c r="AA121" i="12" s="1"/>
  <c r="W121" i="12"/>
  <c r="X121" i="12" s="1"/>
  <c r="AI120" i="12"/>
  <c r="AA120" i="12" s="1"/>
  <c r="W120" i="12"/>
  <c r="Y120" i="12" s="1"/>
  <c r="Z120" i="12" s="1"/>
  <c r="AI119" i="12"/>
  <c r="AA119" i="12" s="1"/>
  <c r="W119" i="12"/>
  <c r="Y119" i="12" s="1"/>
  <c r="Z119" i="12" s="1"/>
  <c r="AI118" i="12"/>
  <c r="AA118" i="12" s="1"/>
  <c r="W118" i="12"/>
  <c r="Y118" i="12" s="1"/>
  <c r="Z118" i="12" s="1"/>
  <c r="AI117" i="12"/>
  <c r="AA117" i="12" s="1"/>
  <c r="W117" i="12"/>
  <c r="Y117" i="12" s="1"/>
  <c r="Z117" i="12" s="1"/>
  <c r="AI116" i="12"/>
  <c r="AA116" i="12" s="1"/>
  <c r="W116" i="12"/>
  <c r="Y116" i="12" s="1"/>
  <c r="Z116" i="12" s="1"/>
  <c r="AI115" i="12"/>
  <c r="AA115" i="12" s="1"/>
  <c r="W115" i="12"/>
  <c r="Y115" i="12" s="1"/>
  <c r="Z115" i="12" s="1"/>
  <c r="AI114" i="12"/>
  <c r="AA114" i="12" s="1"/>
  <c r="W114" i="12"/>
  <c r="Y114" i="12" s="1"/>
  <c r="Z114" i="12" s="1"/>
  <c r="AI113" i="12"/>
  <c r="AA113" i="12" s="1"/>
  <c r="W113" i="12"/>
  <c r="Y113" i="12" s="1"/>
  <c r="Z113" i="12" s="1"/>
  <c r="AI112" i="12"/>
  <c r="AA112" i="12" s="1"/>
  <c r="W112" i="12"/>
  <c r="Y112" i="12" s="1"/>
  <c r="Z112" i="12" s="1"/>
  <c r="P111" i="12"/>
  <c r="X111" i="12" s="1"/>
  <c r="X110" i="12"/>
  <c r="AI109" i="12"/>
  <c r="W109" i="12"/>
  <c r="U109" i="12"/>
  <c r="AI108" i="12"/>
  <c r="AA108" i="12" s="1"/>
  <c r="W108" i="12"/>
  <c r="Y108" i="12" s="1"/>
  <c r="Z108" i="12" s="1"/>
  <c r="AI107" i="12"/>
  <c r="AA107" i="12" s="1"/>
  <c r="W107" i="12"/>
  <c r="Y107" i="12" s="1"/>
  <c r="Z107" i="12" s="1"/>
  <c r="AI106" i="12"/>
  <c r="AA106" i="12" s="1"/>
  <c r="W106" i="12"/>
  <c r="AI105" i="12"/>
  <c r="AA105" i="12" s="1"/>
  <c r="W105" i="12"/>
  <c r="X105" i="12" s="1"/>
  <c r="AI104" i="12"/>
  <c r="AA104" i="12" s="1"/>
  <c r="W104" i="12"/>
  <c r="AI103" i="12"/>
  <c r="AA103" i="12" s="1"/>
  <c r="W103" i="12"/>
  <c r="X103" i="12" s="1"/>
  <c r="AI102" i="12"/>
  <c r="AA102" i="12" s="1"/>
  <c r="W102" i="12"/>
  <c r="Y102" i="12" s="1"/>
  <c r="Z102" i="12" s="1"/>
  <c r="AI101" i="12"/>
  <c r="AA101" i="12" s="1"/>
  <c r="W101" i="12"/>
  <c r="Y101" i="12" s="1"/>
  <c r="Z101" i="12" s="1"/>
  <c r="AI100" i="12"/>
  <c r="AA100" i="12" s="1"/>
  <c r="W100" i="12"/>
  <c r="AI99" i="12"/>
  <c r="AA99" i="12" s="1"/>
  <c r="W99" i="12"/>
  <c r="X99" i="12" s="1"/>
  <c r="AI98" i="12"/>
  <c r="AA98" i="12" s="1"/>
  <c r="W98" i="12"/>
  <c r="Y98" i="12" s="1"/>
  <c r="Z98" i="12" s="1"/>
  <c r="AI97" i="12"/>
  <c r="AA97" i="12" s="1"/>
  <c r="W97" i="12"/>
  <c r="Y97" i="12" s="1"/>
  <c r="Z97" i="12" s="1"/>
  <c r="AI96" i="12"/>
  <c r="AA96" i="12" s="1"/>
  <c r="W96" i="12"/>
  <c r="AI95" i="12"/>
  <c r="AA95" i="12" s="1"/>
  <c r="W95" i="12"/>
  <c r="X95" i="12" s="1"/>
  <c r="AI94" i="12"/>
  <c r="AA94" i="12" s="1"/>
  <c r="W94" i="12"/>
  <c r="Y94" i="12" s="1"/>
  <c r="Z94" i="12" s="1"/>
  <c r="AI93" i="12"/>
  <c r="AA93" i="12" s="1"/>
  <c r="W93" i="12"/>
  <c r="Y93" i="12" s="1"/>
  <c r="Z93" i="12" s="1"/>
  <c r="AI92" i="12"/>
  <c r="AA92" i="12" s="1"/>
  <c r="W92" i="12"/>
  <c r="AI91" i="12"/>
  <c r="AA91" i="12" s="1"/>
  <c r="W91" i="12"/>
  <c r="X91" i="12" s="1"/>
  <c r="AI90" i="12"/>
  <c r="AA90" i="12" s="1"/>
  <c r="W90" i="12"/>
  <c r="Y90" i="12" s="1"/>
  <c r="Z90" i="12" s="1"/>
  <c r="AI89" i="12"/>
  <c r="AA89" i="12" s="1"/>
  <c r="W89" i="12"/>
  <c r="Y89" i="12" s="1"/>
  <c r="Z89" i="12" s="1"/>
  <c r="AI88" i="12"/>
  <c r="AA88" i="12" s="1"/>
  <c r="W88" i="12"/>
  <c r="AI87" i="12"/>
  <c r="AA87" i="12" s="1"/>
  <c r="W87" i="12"/>
  <c r="X87" i="12" s="1"/>
  <c r="AI86" i="12"/>
  <c r="AA86" i="12" s="1"/>
  <c r="W86" i="12"/>
  <c r="Y86" i="12" s="1"/>
  <c r="Z86" i="12" s="1"/>
  <c r="AI85" i="12"/>
  <c r="AA85" i="12" s="1"/>
  <c r="W85" i="12"/>
  <c r="Y85" i="12" s="1"/>
  <c r="Z85" i="12" s="1"/>
  <c r="AI84" i="12"/>
  <c r="AA84" i="12" s="1"/>
  <c r="W84" i="12"/>
  <c r="AI83" i="12"/>
  <c r="AA83" i="12" s="1"/>
  <c r="W83" i="12"/>
  <c r="X83" i="12" s="1"/>
  <c r="AI82" i="12"/>
  <c r="AA82" i="12" s="1"/>
  <c r="W82" i="12"/>
  <c r="Y82" i="12" s="1"/>
  <c r="Z82" i="12" s="1"/>
  <c r="AI81" i="12"/>
  <c r="AA81" i="12" s="1"/>
  <c r="W81" i="12"/>
  <c r="Y81" i="12" s="1"/>
  <c r="Z81" i="12" s="1"/>
  <c r="AI80" i="12"/>
  <c r="AA80" i="12" s="1"/>
  <c r="W80" i="12"/>
  <c r="AI79" i="12"/>
  <c r="AA79" i="12" s="1"/>
  <c r="W79" i="12"/>
  <c r="X79" i="12" s="1"/>
  <c r="AI78" i="12"/>
  <c r="AA78" i="12" s="1"/>
  <c r="W78" i="12"/>
  <c r="Y78" i="12" s="1"/>
  <c r="Z78" i="12" s="1"/>
  <c r="AI77" i="12"/>
  <c r="AA77" i="12" s="1"/>
  <c r="W77" i="12"/>
  <c r="Y77" i="12" s="1"/>
  <c r="Z77" i="12" s="1"/>
  <c r="AI76" i="12"/>
  <c r="AA76" i="12" s="1"/>
  <c r="W76" i="12"/>
  <c r="AI75" i="12"/>
  <c r="W75" i="12"/>
  <c r="P74" i="12"/>
  <c r="X73" i="12"/>
  <c r="AI72" i="12"/>
  <c r="AA72" i="12" s="1"/>
  <c r="W72" i="12"/>
  <c r="X72" i="12" s="1"/>
  <c r="AI71" i="12"/>
  <c r="AA71" i="12" s="1"/>
  <c r="W71" i="12"/>
  <c r="Y71" i="12" s="1"/>
  <c r="Z71" i="12" s="1"/>
  <c r="AI70" i="12"/>
  <c r="AA70" i="12" s="1"/>
  <c r="W70" i="12"/>
  <c r="X70" i="12" s="1"/>
  <c r="AI69" i="12"/>
  <c r="AA69" i="12" s="1"/>
  <c r="W69" i="12"/>
  <c r="Y69" i="12" s="1"/>
  <c r="Z69" i="12" s="1"/>
  <c r="AI68" i="12"/>
  <c r="AA68" i="12" s="1"/>
  <c r="W68" i="12"/>
  <c r="X68" i="12" s="1"/>
  <c r="AI67" i="12"/>
  <c r="AA67" i="12" s="1"/>
  <c r="W67" i="12"/>
  <c r="Y67" i="12" s="1"/>
  <c r="Z67" i="12" s="1"/>
  <c r="AI66" i="12"/>
  <c r="AA66" i="12" s="1"/>
  <c r="W66" i="12"/>
  <c r="X66" i="12" s="1"/>
  <c r="AI65" i="12"/>
  <c r="AA65" i="12" s="1"/>
  <c r="W65" i="12"/>
  <c r="Y65" i="12" s="1"/>
  <c r="Z65" i="12" s="1"/>
  <c r="AI64" i="12"/>
  <c r="AA64" i="12" s="1"/>
  <c r="W64" i="12"/>
  <c r="AI63" i="12"/>
  <c r="AA63" i="12" s="1"/>
  <c r="W63" i="12"/>
  <c r="Y63" i="12" s="1"/>
  <c r="Z63" i="12" s="1"/>
  <c r="AI62" i="12"/>
  <c r="AA62" i="12" s="1"/>
  <c r="W62" i="12"/>
  <c r="X62" i="12" s="1"/>
  <c r="AI61" i="12"/>
  <c r="AA61" i="12" s="1"/>
  <c r="W61" i="12"/>
  <c r="Y61" i="12" s="1"/>
  <c r="Z61" i="12" s="1"/>
  <c r="AI60" i="12"/>
  <c r="AA60" i="12" s="1"/>
  <c r="W60" i="12"/>
  <c r="X60" i="12" s="1"/>
  <c r="AI59" i="12"/>
  <c r="AA59" i="12" s="1"/>
  <c r="W59" i="12"/>
  <c r="Y59" i="12" s="1"/>
  <c r="Z59" i="12" s="1"/>
  <c r="AI58" i="12"/>
  <c r="AA58" i="12" s="1"/>
  <c r="W58" i="12"/>
  <c r="X58" i="12" s="1"/>
  <c r="AI57" i="12"/>
  <c r="AA57" i="12" s="1"/>
  <c r="W57" i="12"/>
  <c r="Y57" i="12" s="1"/>
  <c r="Z57" i="12" s="1"/>
  <c r="P56" i="12"/>
  <c r="X56" i="12" s="1"/>
  <c r="X55" i="12"/>
  <c r="AI54" i="12"/>
  <c r="AA54" i="12" s="1"/>
  <c r="W54" i="12"/>
  <c r="Y54" i="12" s="1"/>
  <c r="Z54" i="12" s="1"/>
  <c r="AI53" i="12"/>
  <c r="AA53" i="12" s="1"/>
  <c r="W53" i="12"/>
  <c r="AI52" i="12"/>
  <c r="AA52" i="12" s="1"/>
  <c r="W52" i="12"/>
  <c r="Y52" i="12" s="1"/>
  <c r="Z52" i="12" s="1"/>
  <c r="AI51" i="12"/>
  <c r="AA51" i="12" s="1"/>
  <c r="W51" i="12"/>
  <c r="AI50" i="12"/>
  <c r="AA50" i="12" s="1"/>
  <c r="W50" i="12"/>
  <c r="Y50" i="12" s="1"/>
  <c r="Z50" i="12" s="1"/>
  <c r="AI49" i="12"/>
  <c r="AA49" i="12" s="1"/>
  <c r="W49" i="12"/>
  <c r="AI48" i="12"/>
  <c r="AA48" i="12" s="1"/>
  <c r="W48" i="12"/>
  <c r="X48" i="12" s="1"/>
  <c r="AI47" i="12"/>
  <c r="AA47" i="12" s="1"/>
  <c r="W47" i="12"/>
  <c r="AI46" i="12"/>
  <c r="AA46" i="12" s="1"/>
  <c r="W46" i="12"/>
  <c r="X46" i="12" s="1"/>
  <c r="AI45" i="12"/>
  <c r="AA45" i="12" s="1"/>
  <c r="W45" i="12"/>
  <c r="P44" i="12"/>
  <c r="X43" i="12"/>
  <c r="AI42" i="12"/>
  <c r="W42" i="12"/>
  <c r="Y42" i="12" s="1"/>
  <c r="Z42" i="12" s="1"/>
  <c r="AG42" i="12" s="1"/>
  <c r="AH42" i="12" s="1"/>
  <c r="AJ42" i="12" s="1"/>
  <c r="AI41" i="12"/>
  <c r="W41" i="12"/>
  <c r="Y41" i="12" s="1"/>
  <c r="Z41" i="12" s="1"/>
  <c r="AG41" i="12" s="1"/>
  <c r="AH41" i="12" s="1"/>
  <c r="AJ41" i="12" s="1"/>
  <c r="AI40" i="12"/>
  <c r="W40" i="12"/>
  <c r="Y40" i="12" s="1"/>
  <c r="Z40" i="12" s="1"/>
  <c r="AG40" i="12" s="1"/>
  <c r="AH40" i="12" s="1"/>
  <c r="AJ40" i="12" s="1"/>
  <c r="AI39" i="12"/>
  <c r="W39" i="12"/>
  <c r="Y39" i="12" s="1"/>
  <c r="Z39" i="12" s="1"/>
  <c r="AG39" i="12" s="1"/>
  <c r="AH39" i="12" s="1"/>
  <c r="AJ39" i="12" s="1"/>
  <c r="AI38" i="12"/>
  <c r="W38" i="12"/>
  <c r="Y38" i="12" s="1"/>
  <c r="Z38" i="12" s="1"/>
  <c r="AG38" i="12" s="1"/>
  <c r="AH38" i="12" s="1"/>
  <c r="AJ38" i="12" s="1"/>
  <c r="AI37" i="12"/>
  <c r="W37" i="12"/>
  <c r="Y37" i="12" s="1"/>
  <c r="Z37" i="12" s="1"/>
  <c r="AG37" i="12" s="1"/>
  <c r="AH37" i="12" s="1"/>
  <c r="AJ37" i="12" s="1"/>
  <c r="AI36" i="12"/>
  <c r="AA36" i="12" s="1"/>
  <c r="W36" i="12"/>
  <c r="X36" i="12" s="1"/>
  <c r="AI35" i="12"/>
  <c r="AA35" i="12" s="1"/>
  <c r="W35" i="12"/>
  <c r="Y35" i="12" s="1"/>
  <c r="Z35" i="12" s="1"/>
  <c r="AI34" i="12"/>
  <c r="AA34" i="12" s="1"/>
  <c r="W34" i="12"/>
  <c r="X34" i="12" s="1"/>
  <c r="AI33" i="12"/>
  <c r="AA33" i="12" s="1"/>
  <c r="W33" i="12"/>
  <c r="Y33" i="12" s="1"/>
  <c r="Z33" i="12" s="1"/>
  <c r="AI32" i="12"/>
  <c r="AA32" i="12" s="1"/>
  <c r="W32" i="12"/>
  <c r="X32" i="12" s="1"/>
  <c r="AI31" i="12"/>
  <c r="AA31" i="12" s="1"/>
  <c r="W31" i="12"/>
  <c r="Y31" i="12" s="1"/>
  <c r="Z31" i="12" s="1"/>
  <c r="AI30" i="12"/>
  <c r="AA30" i="12" s="1"/>
  <c r="W30" i="12"/>
  <c r="X30" i="12" s="1"/>
  <c r="AI29" i="12"/>
  <c r="AA29" i="12" s="1"/>
  <c r="W29" i="12"/>
  <c r="Y29" i="12" s="1"/>
  <c r="Z29" i="12" s="1"/>
  <c r="AI28" i="12"/>
  <c r="W28" i="12"/>
  <c r="X28" i="12" s="1"/>
  <c r="AI27" i="12"/>
  <c r="AA27" i="12" s="1"/>
  <c r="W27" i="12"/>
  <c r="AI26" i="12"/>
  <c r="AA26" i="12" s="1"/>
  <c r="W26" i="12"/>
  <c r="X26" i="12" s="1"/>
  <c r="AI25" i="12"/>
  <c r="AA25" i="12" s="1"/>
  <c r="W25" i="12"/>
  <c r="AI24" i="12"/>
  <c r="AA24" i="12" s="1"/>
  <c r="W24" i="12"/>
  <c r="X24" i="12" s="1"/>
  <c r="AI23" i="12"/>
  <c r="AA23" i="12" s="1"/>
  <c r="W23" i="12"/>
  <c r="AI22" i="12"/>
  <c r="AA22" i="12" s="1"/>
  <c r="W22" i="12"/>
  <c r="Y22" i="12" s="1"/>
  <c r="Z22" i="12" s="1"/>
  <c r="AI21" i="12"/>
  <c r="AA21" i="12" s="1"/>
  <c r="W21" i="12"/>
  <c r="X21" i="12" s="1"/>
  <c r="AI20" i="12"/>
  <c r="AA20" i="12" s="1"/>
  <c r="W20" i="12"/>
  <c r="Y20" i="12" s="1"/>
  <c r="Z20" i="12" s="1"/>
  <c r="AI19" i="12"/>
  <c r="AA19" i="12" s="1"/>
  <c r="W19" i="12"/>
  <c r="X19" i="12" s="1"/>
  <c r="AI18" i="12"/>
  <c r="AA18" i="12" s="1"/>
  <c r="W18" i="12"/>
  <c r="Y18" i="12" s="1"/>
  <c r="Z18" i="12" s="1"/>
  <c r="AI17" i="12"/>
  <c r="AA17" i="12" s="1"/>
  <c r="W17" i="12"/>
  <c r="Y17" i="12" s="1"/>
  <c r="P17" i="12"/>
  <c r="P13" i="12" s="1"/>
  <c r="AI16" i="12"/>
  <c r="AA16" i="12" s="1"/>
  <c r="W16" i="12"/>
  <c r="Y16" i="12" s="1"/>
  <c r="Z16" i="12" s="1"/>
  <c r="AI15" i="12"/>
  <c r="AA15" i="12" s="1"/>
  <c r="W15" i="12"/>
  <c r="AI14" i="12"/>
  <c r="AA14" i="12" s="1"/>
  <c r="W14" i="12"/>
  <c r="X14" i="12" s="1"/>
  <c r="AJ12" i="22" l="1"/>
  <c r="AD25" i="23"/>
  <c r="AJ1025" i="34"/>
  <c r="AK13" i="34"/>
  <c r="AK12" i="34" s="1"/>
  <c r="AK11" i="34" s="1"/>
  <c r="AJ12" i="34"/>
  <c r="AJ11" i="34" s="1"/>
  <c r="AH431" i="22"/>
  <c r="AH11" i="22" s="1"/>
  <c r="AD216" i="22"/>
  <c r="AD11" i="22" s="1"/>
  <c r="AG431" i="22"/>
  <c r="AC275" i="22"/>
  <c r="AC11" i="22" s="1"/>
  <c r="AG216" i="22"/>
  <c r="AE216" i="22"/>
  <c r="AE11" i="22" s="1"/>
  <c r="AF216" i="22"/>
  <c r="AF11" i="22" s="1"/>
  <c r="AC163" i="13"/>
  <c r="AD163" i="13" s="1"/>
  <c r="AF163" i="13" s="1"/>
  <c r="AA217" i="13"/>
  <c r="AA57" i="13"/>
  <c r="AB57" i="13" s="1"/>
  <c r="AC57" i="13" s="1"/>
  <c r="Z113" i="13"/>
  <c r="AA113" i="13" s="1"/>
  <c r="Y145" i="12"/>
  <c r="Z145" i="12" s="1"/>
  <c r="X171" i="12"/>
  <c r="X159" i="12"/>
  <c r="X248" i="12"/>
  <c r="Y95" i="12"/>
  <c r="Z95" i="12" s="1"/>
  <c r="X136" i="12"/>
  <c r="AB81" i="13"/>
  <c r="AC81" i="13" s="1"/>
  <c r="AD81" i="13" s="1"/>
  <c r="AF81" i="13" s="1"/>
  <c r="AC179" i="13"/>
  <c r="AD179" i="13" s="1"/>
  <c r="AF179" i="13" s="1"/>
  <c r="Z29" i="13"/>
  <c r="AA29" i="13" s="1"/>
  <c r="AB29" i="13" s="1"/>
  <c r="AA37" i="13"/>
  <c r="AB37" i="13" s="1"/>
  <c r="Z86" i="13"/>
  <c r="AA86" i="13" s="1"/>
  <c r="AA54" i="13"/>
  <c r="AB54" i="13" s="1"/>
  <c r="AA221" i="13"/>
  <c r="AB221" i="13" s="1"/>
  <c r="AC221" i="13" s="1"/>
  <c r="AA199" i="13"/>
  <c r="AB199" i="13" s="1"/>
  <c r="Z33" i="13"/>
  <c r="AA33" i="13" s="1"/>
  <c r="AB115" i="13"/>
  <c r="AC115" i="13" s="1"/>
  <c r="Z84" i="13"/>
  <c r="AA84" i="13" s="1"/>
  <c r="AB84" i="13" s="1"/>
  <c r="AC84" i="13" s="1"/>
  <c r="Z49" i="13"/>
  <c r="AA49" i="13" s="1"/>
  <c r="AA31" i="13"/>
  <c r="AB31" i="13" s="1"/>
  <c r="AC31" i="13" s="1"/>
  <c r="AD31" i="13" s="1"/>
  <c r="AF31" i="13" s="1"/>
  <c r="Z52" i="13"/>
  <c r="AA52" i="13" s="1"/>
  <c r="AB52" i="13" s="1"/>
  <c r="AC52" i="13" s="1"/>
  <c r="Z39" i="13"/>
  <c r="AA39" i="13" s="1"/>
  <c r="Z243" i="13"/>
  <c r="AA243" i="13" s="1"/>
  <c r="AB243" i="13" s="1"/>
  <c r="AA35" i="13"/>
  <c r="AB35" i="13" s="1"/>
  <c r="Z60" i="13"/>
  <c r="AA60" i="13" s="1"/>
  <c r="AB60" i="13" s="1"/>
  <c r="Z341" i="13"/>
  <c r="AA341" i="13" s="1"/>
  <c r="AB341" i="13" s="1"/>
  <c r="Z59" i="13"/>
  <c r="AA59" i="13" s="1"/>
  <c r="Z96" i="13"/>
  <c r="AA96" i="13" s="1"/>
  <c r="AA108" i="13"/>
  <c r="AB108" i="13" s="1"/>
  <c r="Z340" i="13"/>
  <c r="AA340" i="13" s="1"/>
  <c r="Z25" i="13"/>
  <c r="AA25" i="13" s="1"/>
  <c r="Z230" i="13"/>
  <c r="AA230" i="13" s="1"/>
  <c r="AA246" i="13"/>
  <c r="AB246" i="13" s="1"/>
  <c r="Z105" i="13"/>
  <c r="AA105" i="13" s="1"/>
  <c r="Z44" i="13"/>
  <c r="AA44" i="13" s="1"/>
  <c r="AB44" i="13" s="1"/>
  <c r="AC44" i="13" s="1"/>
  <c r="AD44" i="13" s="1"/>
  <c r="AF44" i="13" s="1"/>
  <c r="X339" i="13"/>
  <c r="Z210" i="13"/>
  <c r="AA210" i="13" s="1"/>
  <c r="AB210" i="13" s="1"/>
  <c r="Z68" i="13"/>
  <c r="AA68" i="13" s="1"/>
  <c r="Y139" i="13"/>
  <c r="Z139" i="13" s="1"/>
  <c r="AA91" i="13"/>
  <c r="AB91" i="13" s="1"/>
  <c r="AC91" i="13" s="1"/>
  <c r="AD91" i="13" s="1"/>
  <c r="AF91" i="13" s="1"/>
  <c r="Z191" i="13"/>
  <c r="AA191" i="13" s="1"/>
  <c r="AB191" i="13" s="1"/>
  <c r="AC100" i="13"/>
  <c r="AD100" i="13" s="1"/>
  <c r="AF100" i="13" s="1"/>
  <c r="Z92" i="13"/>
  <c r="AA92" i="13" s="1"/>
  <c r="AB29" i="12"/>
  <c r="AC29" i="12" s="1"/>
  <c r="AD29" i="12" s="1"/>
  <c r="AB134" i="12"/>
  <c r="AC134" i="12" s="1"/>
  <c r="Z229" i="13"/>
  <c r="AA229" i="13" s="1"/>
  <c r="AB229" i="13" s="1"/>
  <c r="AC229" i="13" s="1"/>
  <c r="AD229" i="13" s="1"/>
  <c r="AF229" i="13" s="1"/>
  <c r="AB242" i="13"/>
  <c r="AC242" i="13" s="1"/>
  <c r="AD242" i="13" s="1"/>
  <c r="AF242" i="13" s="1"/>
  <c r="AA348" i="13"/>
  <c r="AB348" i="13" s="1"/>
  <c r="Y89" i="13"/>
  <c r="AA255" i="13"/>
  <c r="AB255" i="13" s="1"/>
  <c r="AC255" i="13" s="1"/>
  <c r="AD255" i="13" s="1"/>
  <c r="AF255" i="13" s="1"/>
  <c r="Z156" i="13"/>
  <c r="AA156" i="13" s="1"/>
  <c r="AB156" i="13" s="1"/>
  <c r="Y73" i="13"/>
  <c r="AA48" i="13"/>
  <c r="AB48" i="13" s="1"/>
  <c r="Z27" i="13"/>
  <c r="AA27" i="13" s="1"/>
  <c r="AC173" i="13"/>
  <c r="AD173" i="13" s="1"/>
  <c r="AF173" i="13" s="1"/>
  <c r="Z213" i="13"/>
  <c r="AA213" i="13" s="1"/>
  <c r="Z345" i="13"/>
  <c r="AA345" i="13" s="1"/>
  <c r="AB345" i="13" s="1"/>
  <c r="AC345" i="13" s="1"/>
  <c r="AB66" i="13"/>
  <c r="AC66" i="13" s="1"/>
  <c r="AC276" i="13"/>
  <c r="AD276" i="13" s="1"/>
  <c r="AF276" i="13" s="1"/>
  <c r="AA19" i="13"/>
  <c r="AB19" i="13" s="1"/>
  <c r="AD183" i="13"/>
  <c r="AF183" i="13" s="1"/>
  <c r="AA24" i="13"/>
  <c r="AB24" i="13" s="1"/>
  <c r="AC24" i="13" s="1"/>
  <c r="AD24" i="13" s="1"/>
  <c r="AF24" i="13" s="1"/>
  <c r="AB133" i="13"/>
  <c r="AA36" i="13"/>
  <c r="AB36" i="13" s="1"/>
  <c r="AC36" i="13" s="1"/>
  <c r="AD36" i="13" s="1"/>
  <c r="AF36" i="13" s="1"/>
  <c r="Y121" i="13"/>
  <c r="Z121" i="13" s="1"/>
  <c r="AA121" i="13" s="1"/>
  <c r="AA41" i="13"/>
  <c r="AB41" i="13" s="1"/>
  <c r="Y270" i="13"/>
  <c r="Z270" i="13" s="1"/>
  <c r="Y227" i="13"/>
  <c r="AA212" i="13"/>
  <c r="AB212" i="13" s="1"/>
  <c r="AC212" i="13" s="1"/>
  <c r="AD212" i="13" s="1"/>
  <c r="AF212" i="13" s="1"/>
  <c r="AA135" i="13"/>
  <c r="AB135" i="13" s="1"/>
  <c r="AC123" i="13"/>
  <c r="AD123" i="13" s="1"/>
  <c r="AF123" i="13" s="1"/>
  <c r="AA148" i="13"/>
  <c r="AB148" i="13" s="1"/>
  <c r="AC246" i="13"/>
  <c r="AD246" i="13" s="1"/>
  <c r="AF246" i="13" s="1"/>
  <c r="AA215" i="13"/>
  <c r="AB215" i="13" s="1"/>
  <c r="AC215" i="13" s="1"/>
  <c r="AB343" i="13"/>
  <c r="AC343" i="13" s="1"/>
  <c r="AD343" i="13" s="1"/>
  <c r="AF343" i="13" s="1"/>
  <c r="Z294" i="13"/>
  <c r="AA294" i="13" s="1"/>
  <c r="AB294" i="13" s="1"/>
  <c r="AB38" i="13"/>
  <c r="AC38" i="13" s="1"/>
  <c r="AD38" i="13" s="1"/>
  <c r="AF38" i="13" s="1"/>
  <c r="AD64" i="13"/>
  <c r="AF64" i="13" s="1"/>
  <c r="Y147" i="13"/>
  <c r="Z147" i="13" s="1"/>
  <c r="Z23" i="13"/>
  <c r="AA23" i="13" s="1"/>
  <c r="AB23" i="13" s="1"/>
  <c r="Z237" i="13"/>
  <c r="AA237" i="13" s="1"/>
  <c r="AB237" i="13" s="1"/>
  <c r="Z225" i="13"/>
  <c r="AA225" i="13" s="1"/>
  <c r="AB225" i="13" s="1"/>
  <c r="AC225" i="13" s="1"/>
  <c r="Y251" i="13"/>
  <c r="Z251" i="13" s="1"/>
  <c r="AA76" i="13"/>
  <c r="AB76" i="13" s="1"/>
  <c r="AB131" i="13"/>
  <c r="AC131" i="13" s="1"/>
  <c r="AD131" i="13" s="1"/>
  <c r="AF131" i="13" s="1"/>
  <c r="AA32" i="13"/>
  <c r="AB32" i="13" s="1"/>
  <c r="AC32" i="13" s="1"/>
  <c r="AD32" i="13" s="1"/>
  <c r="AF32" i="13" s="1"/>
  <c r="Y70" i="13"/>
  <c r="Z70" i="13" s="1"/>
  <c r="Y165" i="13"/>
  <c r="Z119" i="13"/>
  <c r="AA119" i="13" s="1"/>
  <c r="AA275" i="13"/>
  <c r="AB275" i="13" s="1"/>
  <c r="Z28" i="13"/>
  <c r="AA28" i="13" s="1"/>
  <c r="AD145" i="13"/>
  <c r="AF145" i="13" s="1"/>
  <c r="Z141" i="13"/>
  <c r="AA141" i="13" s="1"/>
  <c r="AB141" i="13" s="1"/>
  <c r="AC141" i="13" s="1"/>
  <c r="AD141" i="13" s="1"/>
  <c r="AF141" i="13" s="1"/>
  <c r="AB132" i="13"/>
  <c r="AC132" i="13" s="1"/>
  <c r="AD132" i="13" s="1"/>
  <c r="AF132" i="13" s="1"/>
  <c r="Z153" i="13"/>
  <c r="AB86" i="13"/>
  <c r="AA344" i="13"/>
  <c r="AB344" i="13" s="1"/>
  <c r="AC344" i="13" s="1"/>
  <c r="Y181" i="13"/>
  <c r="Z181" i="13" s="1"/>
  <c r="Y171" i="13"/>
  <c r="Z171" i="13" s="1"/>
  <c r="Y202" i="13"/>
  <c r="Z202" i="13" s="1"/>
  <c r="Z302" i="13"/>
  <c r="AA302" i="13" s="1"/>
  <c r="AA72" i="13"/>
  <c r="AB72" i="13" s="1"/>
  <c r="AC72" i="13" s="1"/>
  <c r="AD72" i="13" s="1"/>
  <c r="AF72" i="13" s="1"/>
  <c r="AB88" i="13"/>
  <c r="AC88" i="13" s="1"/>
  <c r="AD88" i="13" s="1"/>
  <c r="AF88" i="13" s="1"/>
  <c r="Y134" i="13"/>
  <c r="Y236" i="13"/>
  <c r="AB316" i="13"/>
  <c r="AC316" i="13" s="1"/>
  <c r="Y136" i="13"/>
  <c r="Y168" i="13"/>
  <c r="Y146" i="13"/>
  <c r="Z257" i="13"/>
  <c r="AA257" i="13" s="1"/>
  <c r="Z287" i="13"/>
  <c r="AA287" i="13" s="1"/>
  <c r="AB287" i="13" s="1"/>
  <c r="AB303" i="13"/>
  <c r="AC303" i="13" s="1"/>
  <c r="Y186" i="13"/>
  <c r="Z186" i="13" s="1"/>
  <c r="AB250" i="13"/>
  <c r="AC250" i="13" s="1"/>
  <c r="Z304" i="13"/>
  <c r="AA16" i="13"/>
  <c r="AB238" i="13"/>
  <c r="AC238" i="13" s="1"/>
  <c r="Z269" i="13"/>
  <c r="AA269" i="13" s="1"/>
  <c r="AA289" i="13"/>
  <c r="AB289" i="13" s="1"/>
  <c r="AA58" i="13"/>
  <c r="AB58" i="13" s="1"/>
  <c r="AC58" i="13" s="1"/>
  <c r="Z261" i="13"/>
  <c r="AA261" i="13" s="1"/>
  <c r="Z26" i="13"/>
  <c r="AA26" i="13" s="1"/>
  <c r="AB26" i="13" s="1"/>
  <c r="Z161" i="13"/>
  <c r="AA161" i="13" s="1"/>
  <c r="Y314" i="13"/>
  <c r="Z15" i="13"/>
  <c r="AA15" i="13" s="1"/>
  <c r="AB15" i="13" s="1"/>
  <c r="Z308" i="13"/>
  <c r="AA308" i="13" s="1"/>
  <c r="Z17" i="13"/>
  <c r="Z178" i="13"/>
  <c r="AA178" i="13" s="1"/>
  <c r="AA94" i="13"/>
  <c r="Z85" i="13"/>
  <c r="AA85" i="13" s="1"/>
  <c r="Y271" i="13"/>
  <c r="Z271" i="13" s="1"/>
  <c r="AA271" i="13" s="1"/>
  <c r="AA50" i="13"/>
  <c r="AB50" i="13" s="1"/>
  <c r="Y283" i="13"/>
  <c r="Z283" i="13" s="1"/>
  <c r="AA283" i="13" s="1"/>
  <c r="Z127" i="13"/>
  <c r="AA127" i="13" s="1"/>
  <c r="AB127" i="13" s="1"/>
  <c r="AA75" i="13"/>
  <c r="AB75" i="13" s="1"/>
  <c r="Y198" i="13"/>
  <c r="Z198" i="13" s="1"/>
  <c r="Z83" i="13"/>
  <c r="Y138" i="13"/>
  <c r="AA167" i="13"/>
  <c r="AB167" i="13" s="1"/>
  <c r="AB172" i="13"/>
  <c r="AC172" i="13" s="1"/>
  <c r="Z272" i="13"/>
  <c r="AA272" i="13" s="1"/>
  <c r="Y71" i="13"/>
  <c r="AA254" i="13"/>
  <c r="AB254" i="13" s="1"/>
  <c r="Z297" i="13"/>
  <c r="AA297" i="13" s="1"/>
  <c r="Y142" i="13"/>
  <c r="Y47" i="13"/>
  <c r="Z47" i="13" s="1"/>
  <c r="X13" i="13"/>
  <c r="AD185" i="13"/>
  <c r="AF185" i="13" s="1"/>
  <c r="Z190" i="13"/>
  <c r="AA190" i="13" s="1"/>
  <c r="AC228" i="13"/>
  <c r="AD228" i="13" s="1"/>
  <c r="AF228" i="13" s="1"/>
  <c r="AB180" i="13"/>
  <c r="AC180" i="13" s="1"/>
  <c r="AC226" i="13"/>
  <c r="AD226" i="13" s="1"/>
  <c r="AF226" i="13" s="1"/>
  <c r="AA235" i="13"/>
  <c r="AB235" i="13" s="1"/>
  <c r="AC235" i="13" s="1"/>
  <c r="AB217" i="13"/>
  <c r="AA247" i="13"/>
  <c r="AB247" i="13" s="1"/>
  <c r="AA346" i="13"/>
  <c r="AA285" i="13"/>
  <c r="AB285" i="13" s="1"/>
  <c r="AA277" i="13"/>
  <c r="AB277" i="13" s="1"/>
  <c r="AB193" i="13"/>
  <c r="AC193" i="13" s="1"/>
  <c r="Z101" i="13"/>
  <c r="Z286" i="13"/>
  <c r="AA286" i="13" s="1"/>
  <c r="Z51" i="13"/>
  <c r="Z99" i="13"/>
  <c r="AA99" i="13" s="1"/>
  <c r="AB99" i="13" s="1"/>
  <c r="Z122" i="13"/>
  <c r="AA122" i="13" s="1"/>
  <c r="AA240" i="13"/>
  <c r="Y267" i="13"/>
  <c r="AA104" i="13"/>
  <c r="AB104" i="13" s="1"/>
  <c r="AC104" i="13" s="1"/>
  <c r="Y195" i="13"/>
  <c r="Z274" i="13"/>
  <c r="AA274" i="13" s="1"/>
  <c r="AC253" i="13"/>
  <c r="AD253" i="13" s="1"/>
  <c r="AF253" i="13" s="1"/>
  <c r="Z189" i="13"/>
  <c r="AA189" i="13" s="1"/>
  <c r="AA241" i="13"/>
  <c r="AB241" i="13" s="1"/>
  <c r="Z282" i="13"/>
  <c r="Z107" i="13"/>
  <c r="AA107" i="13" s="1"/>
  <c r="AB107" i="13" s="1"/>
  <c r="AC107" i="13" s="1"/>
  <c r="Z111" i="13"/>
  <c r="AA111" i="13" s="1"/>
  <c r="Z129" i="13"/>
  <c r="AA129" i="13" s="1"/>
  <c r="Z307" i="13"/>
  <c r="AA307" i="13" s="1"/>
  <c r="Z22" i="13"/>
  <c r="Y95" i="13"/>
  <c r="Y224" i="13"/>
  <c r="Z224" i="13" s="1"/>
  <c r="AA154" i="13"/>
  <c r="Z175" i="13"/>
  <c r="AA124" i="13"/>
  <c r="Z34" i="13"/>
  <c r="AB30" i="13"/>
  <c r="AC30" i="13" s="1"/>
  <c r="AD30" i="13" s="1"/>
  <c r="AF30" i="13" s="1"/>
  <c r="Y174" i="13"/>
  <c r="Z174" i="13" s="1"/>
  <c r="AA174" i="13" s="1"/>
  <c r="AB69" i="13"/>
  <c r="AC69" i="13" s="1"/>
  <c r="AD69" i="13" s="1"/>
  <c r="AF69" i="13" s="1"/>
  <c r="Z143" i="13"/>
  <c r="AA151" i="13"/>
  <c r="AB151" i="13" s="1"/>
  <c r="Z159" i="13"/>
  <c r="AA206" i="13"/>
  <c r="AA252" i="13"/>
  <c r="Z259" i="13"/>
  <c r="AA296" i="13"/>
  <c r="AB296" i="13" s="1"/>
  <c r="AC296" i="13" s="1"/>
  <c r="AB281" i="13"/>
  <c r="AC281" i="13" s="1"/>
  <c r="Z347" i="13"/>
  <c r="AB78" i="13"/>
  <c r="AC78" i="13" s="1"/>
  <c r="AB157" i="13"/>
  <c r="AC157" i="13" s="1"/>
  <c r="Y216" i="13"/>
  <c r="Z216" i="13" s="1"/>
  <c r="Z109" i="13"/>
  <c r="AA109" i="13" s="1"/>
  <c r="Z137" i="13"/>
  <c r="Y187" i="13"/>
  <c r="AA164" i="13"/>
  <c r="AB164" i="13" s="1"/>
  <c r="Z182" i="13"/>
  <c r="AA182" i="13" s="1"/>
  <c r="Z93" i="13"/>
  <c r="AA93" i="13" s="1"/>
  <c r="Z192" i="13"/>
  <c r="AA192" i="13" s="1"/>
  <c r="AA301" i="13"/>
  <c r="AC140" i="13"/>
  <c r="AD140" i="13" s="1"/>
  <c r="AF140" i="13" s="1"/>
  <c r="AA239" i="13"/>
  <c r="AB239" i="13" s="1"/>
  <c r="Z313" i="13"/>
  <c r="AA313" i="13" s="1"/>
  <c r="AB313" i="13" s="1"/>
  <c r="AC318" i="13"/>
  <c r="AD318" i="13" s="1"/>
  <c r="AF318" i="13" s="1"/>
  <c r="AC222" i="13"/>
  <c r="AD222" i="13" s="1"/>
  <c r="AF222" i="13" s="1"/>
  <c r="Z342" i="13"/>
  <c r="Y339" i="13"/>
  <c r="Z290" i="13"/>
  <c r="AA117" i="13"/>
  <c r="Y77" i="13"/>
  <c r="Y144" i="13"/>
  <c r="Z144" i="13" s="1"/>
  <c r="Y176" i="13"/>
  <c r="Z176" i="13" s="1"/>
  <c r="AA176" i="13" s="1"/>
  <c r="AB176" i="13" s="1"/>
  <c r="Y194" i="13"/>
  <c r="AA256" i="13"/>
  <c r="AB256" i="13" s="1"/>
  <c r="Z231" i="13"/>
  <c r="AA231" i="13" s="1"/>
  <c r="AB231" i="13" s="1"/>
  <c r="AA266" i="13"/>
  <c r="AA125" i="13"/>
  <c r="AB125" i="13" s="1"/>
  <c r="AB102" i="13"/>
  <c r="AC102" i="13" s="1"/>
  <c r="AD102" i="13" s="1"/>
  <c r="AF102" i="13" s="1"/>
  <c r="Y118" i="13"/>
  <c r="Z118" i="13" s="1"/>
  <c r="Y200" i="13"/>
  <c r="AA162" i="13"/>
  <c r="AB162" i="13" s="1"/>
  <c r="AA319" i="13"/>
  <c r="AA305" i="13"/>
  <c r="AB278" i="13"/>
  <c r="AC278" i="13" s="1"/>
  <c r="AD278" i="13" s="1"/>
  <c r="AF278" i="13" s="1"/>
  <c r="Z90" i="13"/>
  <c r="AB78" i="12"/>
  <c r="AB86" i="12"/>
  <c r="AC86" i="12" s="1"/>
  <c r="AD86" i="12" s="1"/>
  <c r="AB146" i="12"/>
  <c r="AC146" i="12" s="1"/>
  <c r="AD146" i="12" s="1"/>
  <c r="Y158" i="13"/>
  <c r="AA149" i="13"/>
  <c r="AB149" i="13" s="1"/>
  <c r="Y184" i="13"/>
  <c r="Y170" i="13"/>
  <c r="AA263" i="13"/>
  <c r="AB263" i="13" s="1"/>
  <c r="Z291" i="13"/>
  <c r="AA291" i="13" s="1"/>
  <c r="AA110" i="13"/>
  <c r="Z67" i="13"/>
  <c r="AA67" i="13" s="1"/>
  <c r="Z98" i="13"/>
  <c r="Y120" i="13"/>
  <c r="Z120" i="13" s="1"/>
  <c r="AA120" i="13" s="1"/>
  <c r="AB120" i="13" s="1"/>
  <c r="Y152" i="13"/>
  <c r="Z152" i="13" s="1"/>
  <c r="Z188" i="13"/>
  <c r="AA188" i="13" s="1"/>
  <c r="AA197" i="13"/>
  <c r="AB197" i="13" s="1"/>
  <c r="AC211" i="13"/>
  <c r="AD211" i="13" s="1"/>
  <c r="AF211" i="13" s="1"/>
  <c r="AB42" i="13"/>
  <c r="Y55" i="13"/>
  <c r="Z279" i="13"/>
  <c r="AB56" i="13"/>
  <c r="AC56" i="13" s="1"/>
  <c r="Z80" i="13"/>
  <c r="AA80" i="13" s="1"/>
  <c r="Z169" i="13"/>
  <c r="AA53" i="13"/>
  <c r="AB53" i="13" s="1"/>
  <c r="Z116" i="13"/>
  <c r="AA116" i="13" s="1"/>
  <c r="AB262" i="13"/>
  <c r="AC262" i="13" s="1"/>
  <c r="AC295" i="13"/>
  <c r="AD295" i="13" s="1"/>
  <c r="AF295" i="13" s="1"/>
  <c r="AA298" i="13"/>
  <c r="AA40" i="13"/>
  <c r="AB40" i="13" s="1"/>
  <c r="AC40" i="13" s="1"/>
  <c r="AA21" i="13"/>
  <c r="AB61" i="13"/>
  <c r="AC209" i="13"/>
  <c r="AD209" i="13" s="1"/>
  <c r="AF209" i="13" s="1"/>
  <c r="Z249" i="13"/>
  <c r="AB309" i="13"/>
  <c r="Z233" i="13"/>
  <c r="AA233" i="13" s="1"/>
  <c r="AB233" i="13" s="1"/>
  <c r="AA273" i="13"/>
  <c r="AB273" i="13" s="1"/>
  <c r="AB315" i="13"/>
  <c r="Z293" i="13"/>
  <c r="AD103" i="13"/>
  <c r="AF103" i="13" s="1"/>
  <c r="AC258" i="13"/>
  <c r="AD258" i="13" s="1"/>
  <c r="AF258" i="13" s="1"/>
  <c r="AA106" i="13"/>
  <c r="Z18" i="13"/>
  <c r="AA18" i="13" s="1"/>
  <c r="Z268" i="13"/>
  <c r="AA311" i="13"/>
  <c r="AB311" i="13" s="1"/>
  <c r="Z20" i="13"/>
  <c r="AC203" i="13"/>
  <c r="AD203" i="13" s="1"/>
  <c r="AF203" i="13" s="1"/>
  <c r="Z177" i="13"/>
  <c r="Z14" i="13"/>
  <c r="AB46" i="13"/>
  <c r="AC46" i="13" s="1"/>
  <c r="AB312" i="13"/>
  <c r="Y112" i="13"/>
  <c r="Z112" i="13" s="1"/>
  <c r="AA112" i="13" s="1"/>
  <c r="Z82" i="13"/>
  <c r="AB155" i="13"/>
  <c r="Z74" i="13"/>
  <c r="AA74" i="13" s="1"/>
  <c r="Y79" i="13"/>
  <c r="Z204" i="13"/>
  <c r="AA204" i="13" s="1"/>
  <c r="AB232" i="13"/>
  <c r="AA223" i="13"/>
  <c r="AD65" i="13"/>
  <c r="AF65" i="13" s="1"/>
  <c r="Y126" i="13"/>
  <c r="Y150" i="13"/>
  <c r="Z150" i="13" s="1"/>
  <c r="Y63" i="13"/>
  <c r="AB208" i="13"/>
  <c r="AC208" i="13" s="1"/>
  <c r="Z196" i="13"/>
  <c r="AA245" i="13"/>
  <c r="Z299" i="13"/>
  <c r="Z306" i="13"/>
  <c r="AA306" i="13" s="1"/>
  <c r="Y166" i="13"/>
  <c r="Y130" i="13"/>
  <c r="Y244" i="13"/>
  <c r="Z244" i="13" s="1"/>
  <c r="Y114" i="13"/>
  <c r="AB292" i="13"/>
  <c r="AC292" i="13" s="1"/>
  <c r="Z45" i="13"/>
  <c r="Y128" i="13"/>
  <c r="Y160" i="13"/>
  <c r="Z160" i="13" s="1"/>
  <c r="AA160" i="13" s="1"/>
  <c r="AD220" i="13"/>
  <c r="AF220" i="13" s="1"/>
  <c r="AA248" i="13"/>
  <c r="AB248" i="13" s="1"/>
  <c r="Y284" i="13"/>
  <c r="Z300" i="13"/>
  <c r="Y87" i="13"/>
  <c r="AA43" i="13"/>
  <c r="AB43" i="13" s="1"/>
  <c r="AB219" i="13"/>
  <c r="AC219" i="13" s="1"/>
  <c r="AD219" i="13" s="1"/>
  <c r="AF219" i="13" s="1"/>
  <c r="Y280" i="13"/>
  <c r="Y288" i="13"/>
  <c r="Z288" i="13" s="1"/>
  <c r="AC260" i="13"/>
  <c r="AD260" i="13" s="1"/>
  <c r="AF260" i="13" s="1"/>
  <c r="AA265" i="13"/>
  <c r="AA310" i="13"/>
  <c r="AB310" i="13" s="1"/>
  <c r="AA97" i="13"/>
  <c r="AB57" i="12"/>
  <c r="AB61" i="12"/>
  <c r="AC61" i="12" s="1"/>
  <c r="AD61" i="12" s="1"/>
  <c r="AB65" i="12"/>
  <c r="AC65" i="12" s="1"/>
  <c r="Y133" i="12"/>
  <c r="Z133" i="12" s="1"/>
  <c r="X167" i="12"/>
  <c r="Y244" i="12"/>
  <c r="Z244" i="12" s="1"/>
  <c r="Y268" i="12"/>
  <c r="Z268" i="12" s="1"/>
  <c r="AC268" i="12" s="1"/>
  <c r="AD268" i="12" s="1"/>
  <c r="AE268" i="12" s="1"/>
  <c r="X269" i="12"/>
  <c r="Y307" i="12"/>
  <c r="Z307" i="12" s="1"/>
  <c r="X314" i="12"/>
  <c r="AB248" i="12"/>
  <c r="AC248" i="12" s="1"/>
  <c r="X151" i="12"/>
  <c r="X163" i="12"/>
  <c r="Y193" i="12"/>
  <c r="Z193" i="12" s="1"/>
  <c r="X273" i="12"/>
  <c r="X285" i="12"/>
  <c r="AB290" i="12"/>
  <c r="AC290" i="12" s="1"/>
  <c r="Y306" i="12"/>
  <c r="Z306" i="12" s="1"/>
  <c r="Y48" i="12"/>
  <c r="Z48" i="12" s="1"/>
  <c r="AB67" i="12"/>
  <c r="AC67" i="12" s="1"/>
  <c r="AB115" i="12"/>
  <c r="AC115" i="12" s="1"/>
  <c r="Y24" i="12"/>
  <c r="Z24" i="12" s="1"/>
  <c r="AB69" i="12"/>
  <c r="AC69" i="12" s="1"/>
  <c r="AD69" i="12" s="1"/>
  <c r="X113" i="12"/>
  <c r="X141" i="12"/>
  <c r="X155" i="12"/>
  <c r="AB175" i="12"/>
  <c r="AC175" i="12" s="1"/>
  <c r="AD175" i="12" s="1"/>
  <c r="X179" i="12"/>
  <c r="X300" i="12"/>
  <c r="Y303" i="12"/>
  <c r="Z303" i="12" s="1"/>
  <c r="AB311" i="12"/>
  <c r="AC311" i="12" s="1"/>
  <c r="AD311" i="12" s="1"/>
  <c r="Y331" i="12"/>
  <c r="Z331" i="12" s="1"/>
  <c r="X346" i="12"/>
  <c r="X287" i="12"/>
  <c r="X288" i="12"/>
  <c r="AB289" i="12"/>
  <c r="AC289" i="12" s="1"/>
  <c r="Y291" i="12"/>
  <c r="Z291" i="12" s="1"/>
  <c r="AB291" i="12" s="1"/>
  <c r="Y317" i="12"/>
  <c r="Z317" i="12" s="1"/>
  <c r="Y352" i="12"/>
  <c r="Z352" i="12" s="1"/>
  <c r="AB352" i="12" s="1"/>
  <c r="Y14" i="12"/>
  <c r="Z14" i="12" s="1"/>
  <c r="Y32" i="12"/>
  <c r="Z32" i="12" s="1"/>
  <c r="AI74" i="12"/>
  <c r="Y121" i="12"/>
  <c r="Z121" i="12" s="1"/>
  <c r="X131" i="12"/>
  <c r="AB138" i="12"/>
  <c r="AC138" i="12" s="1"/>
  <c r="Y143" i="12"/>
  <c r="Z143" i="12" s="1"/>
  <c r="X144" i="12"/>
  <c r="Y189" i="12"/>
  <c r="Z189" i="12" s="1"/>
  <c r="AB211" i="12"/>
  <c r="AC211" i="12" s="1"/>
  <c r="AB225" i="12"/>
  <c r="AC225" i="12" s="1"/>
  <c r="Y236" i="12"/>
  <c r="Z236" i="12" s="1"/>
  <c r="AB236" i="12" s="1"/>
  <c r="AC236" i="12" s="1"/>
  <c r="AD236" i="12" s="1"/>
  <c r="X271" i="12"/>
  <c r="Y286" i="12"/>
  <c r="Z286" i="12" s="1"/>
  <c r="AB144" i="12"/>
  <c r="AC144" i="12" s="1"/>
  <c r="AB230" i="12"/>
  <c r="AC230" i="12" s="1"/>
  <c r="Y335" i="12"/>
  <c r="Z335" i="12" s="1"/>
  <c r="Y19" i="12"/>
  <c r="Z19" i="12" s="1"/>
  <c r="AB20" i="12"/>
  <c r="AC20" i="12" s="1"/>
  <c r="AD20" i="12" s="1"/>
  <c r="X67" i="12"/>
  <c r="Y68" i="12"/>
  <c r="Z68" i="12" s="1"/>
  <c r="Y83" i="12"/>
  <c r="Z83" i="12" s="1"/>
  <c r="AB98" i="12"/>
  <c r="AC98" i="12" s="1"/>
  <c r="Y139" i="12"/>
  <c r="Z139" i="12" s="1"/>
  <c r="AB142" i="12"/>
  <c r="AC142" i="12" s="1"/>
  <c r="Y181" i="12"/>
  <c r="AB181" i="12" s="1"/>
  <c r="AC181" i="12" s="1"/>
  <c r="AD181" i="12" s="1"/>
  <c r="AE181" i="12" s="1"/>
  <c r="AB187" i="12"/>
  <c r="AC187" i="12" s="1"/>
  <c r="AD187" i="12" s="1"/>
  <c r="AB203" i="12"/>
  <c r="AC203" i="12" s="1"/>
  <c r="AB219" i="12"/>
  <c r="AC219" i="12" s="1"/>
  <c r="AD219" i="12" s="1"/>
  <c r="AE219" i="12" s="1"/>
  <c r="X230" i="12"/>
  <c r="Y241" i="12"/>
  <c r="Z241" i="12" s="1"/>
  <c r="X265" i="12"/>
  <c r="X266" i="12"/>
  <c r="Y276" i="12"/>
  <c r="Z276" i="12" s="1"/>
  <c r="AC276" i="12" s="1"/>
  <c r="AD276" i="12" s="1"/>
  <c r="AE276" i="12" s="1"/>
  <c r="X296" i="12"/>
  <c r="AB300" i="12"/>
  <c r="AC300" i="12" s="1"/>
  <c r="X305" i="12"/>
  <c r="AB288" i="12"/>
  <c r="AC288" i="12" s="1"/>
  <c r="X17" i="12"/>
  <c r="AB18" i="12"/>
  <c r="AC18" i="12" s="1"/>
  <c r="AD18" i="12" s="1"/>
  <c r="Y21" i="12"/>
  <c r="Z21" i="12" s="1"/>
  <c r="Y46" i="12"/>
  <c r="Z46" i="12" s="1"/>
  <c r="AB59" i="12"/>
  <c r="Y79" i="12"/>
  <c r="Z79" i="12" s="1"/>
  <c r="AB82" i="12"/>
  <c r="AC82" i="12" s="1"/>
  <c r="Y26" i="12"/>
  <c r="Z26" i="12" s="1"/>
  <c r="AB33" i="12"/>
  <c r="AC33" i="12" s="1"/>
  <c r="AD33" i="12" s="1"/>
  <c r="Y58" i="12"/>
  <c r="Z58" i="12" s="1"/>
  <c r="Y62" i="12"/>
  <c r="Z62" i="12" s="1"/>
  <c r="Y66" i="12"/>
  <c r="Z66" i="12" s="1"/>
  <c r="X69" i="12"/>
  <c r="Y87" i="12"/>
  <c r="Z87" i="12" s="1"/>
  <c r="AB90" i="12"/>
  <c r="AC90" i="12" s="1"/>
  <c r="AD90" i="12" s="1"/>
  <c r="X115" i="12"/>
  <c r="AB126" i="12"/>
  <c r="AC126" i="12" s="1"/>
  <c r="X138" i="12"/>
  <c r="AB147" i="12"/>
  <c r="AC147" i="12" s="1"/>
  <c r="AD147" i="12" s="1"/>
  <c r="X149" i="12"/>
  <c r="Y153" i="12"/>
  <c r="Z153" i="12" s="1"/>
  <c r="Y157" i="12"/>
  <c r="Z157" i="12" s="1"/>
  <c r="Y161" i="12"/>
  <c r="Z161" i="12" s="1"/>
  <c r="Y165" i="12"/>
  <c r="Z165" i="12" s="1"/>
  <c r="Y169" i="12"/>
  <c r="Z169" i="12" s="1"/>
  <c r="Y173" i="12"/>
  <c r="Z173" i="12" s="1"/>
  <c r="AB179" i="12"/>
  <c r="AC179" i="12" s="1"/>
  <c r="Y191" i="12"/>
  <c r="Z191" i="12" s="1"/>
  <c r="Y195" i="12"/>
  <c r="Z195" i="12" s="1"/>
  <c r="AB195" i="12" s="1"/>
  <c r="AC195" i="12" s="1"/>
  <c r="AD195" i="12" s="1"/>
  <c r="Y201" i="12"/>
  <c r="Z201" i="12" s="1"/>
  <c r="Y209" i="12"/>
  <c r="Z209" i="12" s="1"/>
  <c r="Y217" i="12"/>
  <c r="Z217" i="12" s="1"/>
  <c r="Y234" i="12"/>
  <c r="Z234" i="12" s="1"/>
  <c r="Y246" i="12"/>
  <c r="Z246" i="12" s="1"/>
  <c r="Y249" i="12"/>
  <c r="Z249" i="12" s="1"/>
  <c r="X254" i="12"/>
  <c r="X256" i="12"/>
  <c r="Y259" i="12"/>
  <c r="Z259" i="12" s="1"/>
  <c r="AB259" i="12" s="1"/>
  <c r="AB262" i="12"/>
  <c r="AC262" i="12" s="1"/>
  <c r="Y277" i="12"/>
  <c r="Z277" i="12" s="1"/>
  <c r="AC277" i="12" s="1"/>
  <c r="AD277" i="12" s="1"/>
  <c r="X289" i="12"/>
  <c r="Y308" i="12"/>
  <c r="Z308" i="12" s="1"/>
  <c r="Y309" i="12"/>
  <c r="Z309" i="12" s="1"/>
  <c r="Y312" i="12"/>
  <c r="Z312" i="12" s="1"/>
  <c r="AB312" i="12" s="1"/>
  <c r="Y332" i="12"/>
  <c r="Z332" i="12" s="1"/>
  <c r="AB337" i="12"/>
  <c r="AC337" i="12" s="1"/>
  <c r="Y342" i="12"/>
  <c r="Z342" i="12" s="1"/>
  <c r="AB342" i="12" s="1"/>
  <c r="X348" i="12"/>
  <c r="AB153" i="12"/>
  <c r="AC153" i="12" s="1"/>
  <c r="Y353" i="12"/>
  <c r="Z353" i="12" s="1"/>
  <c r="Y34" i="12"/>
  <c r="Z34" i="12" s="1"/>
  <c r="Y60" i="12"/>
  <c r="Z60" i="12" s="1"/>
  <c r="Y91" i="12"/>
  <c r="Z91" i="12" s="1"/>
  <c r="AB94" i="12"/>
  <c r="AC94" i="12" s="1"/>
  <c r="Y103" i="12"/>
  <c r="Z103" i="12" s="1"/>
  <c r="AB107" i="12"/>
  <c r="AC107" i="12" s="1"/>
  <c r="X130" i="12"/>
  <c r="Y350" i="12"/>
  <c r="Z350" i="12" s="1"/>
  <c r="AB17" i="12"/>
  <c r="X22" i="12"/>
  <c r="Y28" i="12"/>
  <c r="Z28" i="12" s="1"/>
  <c r="AB28" i="12" s="1"/>
  <c r="AB35" i="12"/>
  <c r="AC35" i="12" s="1"/>
  <c r="AD35" i="12" s="1"/>
  <c r="AE35" i="12" s="1"/>
  <c r="X50" i="12"/>
  <c r="AB22" i="12"/>
  <c r="AB63" i="12"/>
  <c r="AC63" i="12" s="1"/>
  <c r="Y99" i="12"/>
  <c r="Z99" i="12" s="1"/>
  <c r="AB102" i="12"/>
  <c r="AC102" i="12" s="1"/>
  <c r="AD102" i="12" s="1"/>
  <c r="AB113" i="12"/>
  <c r="AC113" i="12" s="1"/>
  <c r="Y123" i="12"/>
  <c r="Z123" i="12" s="1"/>
  <c r="AB129" i="12"/>
  <c r="AC129" i="12" s="1"/>
  <c r="AB130" i="12"/>
  <c r="AC130" i="12" s="1"/>
  <c r="AD130" i="12" s="1"/>
  <c r="AB131" i="12"/>
  <c r="AC131" i="12" s="1"/>
  <c r="Y135" i="12"/>
  <c r="Z135" i="12" s="1"/>
  <c r="AB136" i="12"/>
  <c r="AC136" i="12" s="1"/>
  <c r="X147" i="12"/>
  <c r="AB155" i="12"/>
  <c r="AC155" i="12" s="1"/>
  <c r="AD155" i="12" s="1"/>
  <c r="AB159" i="12"/>
  <c r="AC159" i="12" s="1"/>
  <c r="AB163" i="12"/>
  <c r="AC163" i="12" s="1"/>
  <c r="AD163" i="12" s="1"/>
  <c r="AB167" i="12"/>
  <c r="AC167" i="12" s="1"/>
  <c r="AD167" i="12" s="1"/>
  <c r="AB171" i="12"/>
  <c r="AC171" i="12" s="1"/>
  <c r="X226" i="12"/>
  <c r="AB239" i="12"/>
  <c r="AC239" i="12" s="1"/>
  <c r="Y263" i="12"/>
  <c r="Z263" i="12" s="1"/>
  <c r="AB263" i="12" s="1"/>
  <c r="AC263" i="12" s="1"/>
  <c r="X279" i="12"/>
  <c r="X290" i="12"/>
  <c r="AB305" i="12"/>
  <c r="AC305" i="12" s="1"/>
  <c r="AB314" i="12"/>
  <c r="AC314" i="12" s="1"/>
  <c r="AD314" i="12" s="1"/>
  <c r="Y333" i="12"/>
  <c r="Z333" i="12" s="1"/>
  <c r="AB50" i="12"/>
  <c r="AC50" i="12" s="1"/>
  <c r="Y238" i="12"/>
  <c r="Z238" i="12" s="1"/>
  <c r="AB238" i="12" s="1"/>
  <c r="AC238" i="12" s="1"/>
  <c r="AD238" i="12" s="1"/>
  <c r="X238" i="12"/>
  <c r="X240" i="12"/>
  <c r="Y240" i="12"/>
  <c r="Z240" i="12" s="1"/>
  <c r="AI44" i="12"/>
  <c r="X52" i="12"/>
  <c r="X54" i="12"/>
  <c r="Y72" i="12"/>
  <c r="Z72" i="12" s="1"/>
  <c r="X76" i="12"/>
  <c r="Y76" i="12"/>
  <c r="Z76" i="12" s="1"/>
  <c r="X82" i="12"/>
  <c r="X90" i="12"/>
  <c r="X98" i="12"/>
  <c r="X108" i="12"/>
  <c r="X112" i="12"/>
  <c r="X114" i="12"/>
  <c r="X119" i="12"/>
  <c r="X120" i="12"/>
  <c r="X127" i="12"/>
  <c r="Y137" i="12"/>
  <c r="Z137" i="12" s="1"/>
  <c r="X152" i="12"/>
  <c r="X199" i="12"/>
  <c r="Y199" i="12"/>
  <c r="Z199" i="12" s="1"/>
  <c r="AB199" i="12" s="1"/>
  <c r="X207" i="12"/>
  <c r="Y207" i="12"/>
  <c r="Z207" i="12" s="1"/>
  <c r="X215" i="12"/>
  <c r="Y215" i="12"/>
  <c r="Z215" i="12" s="1"/>
  <c r="X223" i="12"/>
  <c r="Y223" i="12"/>
  <c r="Z223" i="12" s="1"/>
  <c r="AB232" i="12"/>
  <c r="AC232" i="12" s="1"/>
  <c r="Y316" i="12"/>
  <c r="Z316" i="12" s="1"/>
  <c r="AB316" i="12" s="1"/>
  <c r="X316" i="12"/>
  <c r="Y329" i="12"/>
  <c r="Z329" i="12" s="1"/>
  <c r="X329" i="12"/>
  <c r="X338" i="12"/>
  <c r="Y338" i="12"/>
  <c r="Z338" i="12" s="1"/>
  <c r="Y109" i="12"/>
  <c r="Z109" i="12" s="1"/>
  <c r="AB109" i="12" s="1"/>
  <c r="X109" i="12"/>
  <c r="Y122" i="12"/>
  <c r="Z122" i="12" s="1"/>
  <c r="X122" i="12"/>
  <c r="Y128" i="12"/>
  <c r="Z128" i="12" s="1"/>
  <c r="X128" i="12"/>
  <c r="AB60" i="12"/>
  <c r="AC60" i="12" s="1"/>
  <c r="X64" i="12"/>
  <c r="Y64" i="12"/>
  <c r="Z64" i="12" s="1"/>
  <c r="AB112" i="12"/>
  <c r="AC112" i="12" s="1"/>
  <c r="AB114" i="12"/>
  <c r="AC114" i="12" s="1"/>
  <c r="Y177" i="12"/>
  <c r="Z177" i="12" s="1"/>
  <c r="X177" i="12"/>
  <c r="X243" i="12"/>
  <c r="Y243" i="12"/>
  <c r="Z243" i="12" s="1"/>
  <c r="Y75" i="12"/>
  <c r="Z75" i="12" s="1"/>
  <c r="X75" i="12"/>
  <c r="X20" i="12"/>
  <c r="X29" i="12"/>
  <c r="Y30" i="12"/>
  <c r="Z30" i="12" s="1"/>
  <c r="X35" i="12"/>
  <c r="Y36" i="12"/>
  <c r="Z36" i="12" s="1"/>
  <c r="Y70" i="12"/>
  <c r="Z70" i="12" s="1"/>
  <c r="AA75" i="12"/>
  <c r="X78" i="12"/>
  <c r="X86" i="12"/>
  <c r="X94" i="12"/>
  <c r="X102" i="12"/>
  <c r="Y105" i="12"/>
  <c r="Z105" i="12" s="1"/>
  <c r="X117" i="12"/>
  <c r="Y125" i="12"/>
  <c r="Z125" i="12" s="1"/>
  <c r="X129" i="12"/>
  <c r="X146" i="12"/>
  <c r="AB183" i="12"/>
  <c r="AC183" i="12" s="1"/>
  <c r="Y185" i="12"/>
  <c r="Z185" i="12" s="1"/>
  <c r="X185" i="12"/>
  <c r="Y228" i="12"/>
  <c r="X228" i="12"/>
  <c r="X204" i="12"/>
  <c r="Y204" i="12"/>
  <c r="Z204" i="12" s="1"/>
  <c r="X212" i="12"/>
  <c r="Y212" i="12"/>
  <c r="Z212" i="12" s="1"/>
  <c r="X220" i="12"/>
  <c r="Y220" i="12"/>
  <c r="Z220" i="12" s="1"/>
  <c r="AB235" i="12"/>
  <c r="AC235" i="12" s="1"/>
  <c r="AD235" i="12" s="1"/>
  <c r="Y258" i="12"/>
  <c r="Z258" i="12" s="1"/>
  <c r="X258" i="12"/>
  <c r="Y282" i="12"/>
  <c r="X282" i="12"/>
  <c r="Y293" i="12"/>
  <c r="Z293" i="12" s="1"/>
  <c r="X293" i="12"/>
  <c r="Y299" i="12"/>
  <c r="Z299" i="12" s="1"/>
  <c r="AB299" i="12" s="1"/>
  <c r="X299" i="12"/>
  <c r="Y319" i="12"/>
  <c r="Z319" i="12" s="1"/>
  <c r="AC319" i="12" s="1"/>
  <c r="X319" i="12"/>
  <c r="AB355" i="12"/>
  <c r="AC355" i="12" s="1"/>
  <c r="AB118" i="12"/>
  <c r="AC118" i="12" s="1"/>
  <c r="AB120" i="12"/>
  <c r="AC120" i="12" s="1"/>
  <c r="AB150" i="12"/>
  <c r="AC150" i="12" s="1"/>
  <c r="AB152" i="12"/>
  <c r="AC152" i="12" s="1"/>
  <c r="X175" i="12"/>
  <c r="X183" i="12"/>
  <c r="Y197" i="12"/>
  <c r="X202" i="12"/>
  <c r="Y202" i="12"/>
  <c r="Z202" i="12" s="1"/>
  <c r="X210" i="12"/>
  <c r="Y210" i="12"/>
  <c r="Z210" i="12" s="1"/>
  <c r="X218" i="12"/>
  <c r="Y218" i="12"/>
  <c r="Z218" i="12" s="1"/>
  <c r="X232" i="12"/>
  <c r="AB237" i="12"/>
  <c r="AC237" i="12" s="1"/>
  <c r="AD237" i="12" s="1"/>
  <c r="Y252" i="12"/>
  <c r="Z252" i="12" s="1"/>
  <c r="X252" i="12"/>
  <c r="Y253" i="12"/>
  <c r="Z253" i="12" s="1"/>
  <c r="Y255" i="12"/>
  <c r="Z255" i="12" s="1"/>
  <c r="AB296" i="12"/>
  <c r="AC296" i="12" s="1"/>
  <c r="Y301" i="12"/>
  <c r="Z301" i="12" s="1"/>
  <c r="X301" i="12"/>
  <c r="X304" i="12"/>
  <c r="Y304" i="12"/>
  <c r="Z304" i="12" s="1"/>
  <c r="Y340" i="12"/>
  <c r="Z340" i="12" s="1"/>
  <c r="X340" i="12"/>
  <c r="Z348" i="12"/>
  <c r="AB348" i="12" s="1"/>
  <c r="X292" i="12"/>
  <c r="Y292" i="12"/>
  <c r="Z292" i="12" s="1"/>
  <c r="Y320" i="12"/>
  <c r="Z320" i="12" s="1"/>
  <c r="AG320" i="12" s="1"/>
  <c r="AH320" i="12" s="1"/>
  <c r="AJ320" i="12" s="1"/>
  <c r="Y356" i="12"/>
  <c r="Z356" i="12" s="1"/>
  <c r="AB356" i="12" s="1"/>
  <c r="X356" i="12"/>
  <c r="AB285" i="12"/>
  <c r="AC285" i="12" s="1"/>
  <c r="AD285" i="12" s="1"/>
  <c r="X262" i="12"/>
  <c r="Y27" i="12"/>
  <c r="Z27" i="12" s="1"/>
  <c r="X27" i="12"/>
  <c r="Y45" i="12"/>
  <c r="Z45" i="12" s="1"/>
  <c r="X45" i="12"/>
  <c r="AC57" i="12"/>
  <c r="Y158" i="12"/>
  <c r="X158" i="12"/>
  <c r="Y174" i="12"/>
  <c r="X174" i="12"/>
  <c r="Y190" i="12"/>
  <c r="X190" i="12"/>
  <c r="X31" i="12"/>
  <c r="Y47" i="12"/>
  <c r="Z47" i="12" s="1"/>
  <c r="X47" i="12"/>
  <c r="X71" i="12"/>
  <c r="X77" i="12"/>
  <c r="Y84" i="12"/>
  <c r="Z84" i="12" s="1"/>
  <c r="X84" i="12"/>
  <c r="X85" i="12"/>
  <c r="Y92" i="12"/>
  <c r="Z92" i="12" s="1"/>
  <c r="X92" i="12"/>
  <c r="X93" i="12"/>
  <c r="Y104" i="12"/>
  <c r="Z104" i="12" s="1"/>
  <c r="X104" i="12"/>
  <c r="AI111" i="12"/>
  <c r="X126" i="12"/>
  <c r="X150" i="12"/>
  <c r="Y156" i="12"/>
  <c r="Z156" i="12" s="1"/>
  <c r="X156" i="12"/>
  <c r="Y164" i="12"/>
  <c r="Z164" i="12" s="1"/>
  <c r="X164" i="12"/>
  <c r="Y172" i="12"/>
  <c r="Z172" i="12" s="1"/>
  <c r="X172" i="12"/>
  <c r="Y180" i="12"/>
  <c r="Z180" i="12" s="1"/>
  <c r="X180" i="12"/>
  <c r="Y188" i="12"/>
  <c r="Z188" i="12" s="1"/>
  <c r="X188" i="12"/>
  <c r="Y196" i="12"/>
  <c r="Z196" i="12" s="1"/>
  <c r="X196" i="12"/>
  <c r="AD269" i="12"/>
  <c r="AE269" i="12" s="1"/>
  <c r="Y322" i="12"/>
  <c r="Z322" i="12" s="1"/>
  <c r="AG322" i="12" s="1"/>
  <c r="AH322" i="12" s="1"/>
  <c r="AJ322" i="12" s="1"/>
  <c r="AI365" i="12"/>
  <c r="AA366" i="12"/>
  <c r="X18" i="12"/>
  <c r="Y23" i="12"/>
  <c r="Z23" i="12" s="1"/>
  <c r="X23" i="12"/>
  <c r="X33" i="12"/>
  <c r="Y49" i="12"/>
  <c r="Z49" i="12" s="1"/>
  <c r="X49" i="12"/>
  <c r="AB52" i="12"/>
  <c r="X57" i="12"/>
  <c r="X59" i="12"/>
  <c r="X61" i="12"/>
  <c r="X63" i="12"/>
  <c r="X65" i="12"/>
  <c r="AI363" i="12"/>
  <c r="X106" i="12"/>
  <c r="Y106" i="12"/>
  <c r="Z106" i="12" s="1"/>
  <c r="X116" i="12"/>
  <c r="AB119" i="12"/>
  <c r="X124" i="12"/>
  <c r="AB127" i="12"/>
  <c r="X132" i="12"/>
  <c r="X140" i="12"/>
  <c r="X148" i="12"/>
  <c r="AB151" i="12"/>
  <c r="Y154" i="12"/>
  <c r="Z154" i="12" s="1"/>
  <c r="X154" i="12"/>
  <c r="Y162" i="12"/>
  <c r="Z162" i="12" s="1"/>
  <c r="X162" i="12"/>
  <c r="Y170" i="12"/>
  <c r="Z170" i="12" s="1"/>
  <c r="X170" i="12"/>
  <c r="Y178" i="12"/>
  <c r="Z178" i="12" s="1"/>
  <c r="X178" i="12"/>
  <c r="Y186" i="12"/>
  <c r="Z186" i="12" s="1"/>
  <c r="X186" i="12"/>
  <c r="Y194" i="12"/>
  <c r="Z194" i="12" s="1"/>
  <c r="X194" i="12"/>
  <c r="X214" i="12"/>
  <c r="Y214" i="12"/>
  <c r="Z214" i="12" s="1"/>
  <c r="Y227" i="12"/>
  <c r="X227" i="12"/>
  <c r="X297" i="12"/>
  <c r="Y297" i="12"/>
  <c r="Z297" i="12" s="1"/>
  <c r="Y53" i="12"/>
  <c r="Z53" i="12" s="1"/>
  <c r="X53" i="12"/>
  <c r="Y166" i="12"/>
  <c r="X166" i="12"/>
  <c r="Y182" i="12"/>
  <c r="X182" i="12"/>
  <c r="Y198" i="12"/>
  <c r="X198" i="12"/>
  <c r="X206" i="12"/>
  <c r="Y206" i="12"/>
  <c r="Z206" i="12" s="1"/>
  <c r="X222" i="12"/>
  <c r="Y222" i="12"/>
  <c r="Z222" i="12" s="1"/>
  <c r="Y261" i="12"/>
  <c r="Z261" i="12" s="1"/>
  <c r="X261" i="12"/>
  <c r="P12" i="12"/>
  <c r="Y15" i="12"/>
  <c r="Z15" i="12" s="1"/>
  <c r="X15" i="12"/>
  <c r="X16" i="12"/>
  <c r="AC78" i="12"/>
  <c r="AD78" i="12" s="1"/>
  <c r="Y80" i="12"/>
  <c r="Z80" i="12" s="1"/>
  <c r="X80" i="12"/>
  <c r="X81" i="12"/>
  <c r="Y88" i="12"/>
  <c r="Z88" i="12" s="1"/>
  <c r="X88" i="12"/>
  <c r="X89" i="12"/>
  <c r="Y96" i="12"/>
  <c r="Z96" i="12" s="1"/>
  <c r="X96" i="12"/>
  <c r="X97" i="12"/>
  <c r="Y100" i="12"/>
  <c r="Z100" i="12" s="1"/>
  <c r="X100" i="12"/>
  <c r="X101" i="12"/>
  <c r="X107" i="12"/>
  <c r="X118" i="12"/>
  <c r="X134" i="12"/>
  <c r="X142" i="12"/>
  <c r="AB16" i="12"/>
  <c r="Y25" i="12"/>
  <c r="Z25" i="12" s="1"/>
  <c r="X25" i="12"/>
  <c r="AB31" i="12"/>
  <c r="Y51" i="12"/>
  <c r="Z51" i="12" s="1"/>
  <c r="X51" i="12"/>
  <c r="AB54" i="12"/>
  <c r="AI56" i="12"/>
  <c r="AB71" i="12"/>
  <c r="AB77" i="12"/>
  <c r="AB81" i="12"/>
  <c r="AB85" i="12"/>
  <c r="AB89" i="12"/>
  <c r="AB93" i="12"/>
  <c r="AB97" i="12"/>
  <c r="AB101" i="12"/>
  <c r="AB108" i="12"/>
  <c r="AB116" i="12"/>
  <c r="AB117" i="12"/>
  <c r="AB124" i="12"/>
  <c r="AB132" i="12"/>
  <c r="AB140" i="12"/>
  <c r="AB141" i="12"/>
  <c r="AB148" i="12"/>
  <c r="AB149" i="12"/>
  <c r="Y160" i="12"/>
  <c r="X160" i="12"/>
  <c r="Y168" i="12"/>
  <c r="X168" i="12"/>
  <c r="Y176" i="12"/>
  <c r="X176" i="12"/>
  <c r="Y184" i="12"/>
  <c r="X184" i="12"/>
  <c r="Y192" i="12"/>
  <c r="X192" i="12"/>
  <c r="Y281" i="12"/>
  <c r="Z281" i="12" s="1"/>
  <c r="X281" i="12"/>
  <c r="X200" i="12"/>
  <c r="Y205" i="12"/>
  <c r="X205" i="12"/>
  <c r="X208" i="12"/>
  <c r="Y208" i="12"/>
  <c r="Z208" i="12" s="1"/>
  <c r="Y213" i="12"/>
  <c r="X213" i="12"/>
  <c r="X216" i="12"/>
  <c r="Y216" i="12"/>
  <c r="Z216" i="12" s="1"/>
  <c r="Y221" i="12"/>
  <c r="X221" i="12"/>
  <c r="X224" i="12"/>
  <c r="Y224" i="12"/>
  <c r="Z224" i="12" s="1"/>
  <c r="X225" i="12"/>
  <c r="Y242" i="12"/>
  <c r="Z242" i="12" s="1"/>
  <c r="X242" i="12"/>
  <c r="Y251" i="12"/>
  <c r="Z251" i="12" s="1"/>
  <c r="AB254" i="12"/>
  <c r="X260" i="12"/>
  <c r="Y260" i="12"/>
  <c r="Z260" i="12" s="1"/>
  <c r="AD266" i="12"/>
  <c r="AE266" i="12" s="1"/>
  <c r="AF266" i="12" s="1"/>
  <c r="Y267" i="12"/>
  <c r="Z267" i="12" s="1"/>
  <c r="AC267" i="12" s="1"/>
  <c r="X267" i="12"/>
  <c r="X283" i="12"/>
  <c r="Y283" i="12"/>
  <c r="Z283" i="12" s="1"/>
  <c r="X310" i="12"/>
  <c r="Y310" i="12"/>
  <c r="Z310" i="12" s="1"/>
  <c r="X315" i="12"/>
  <c r="Y315" i="12"/>
  <c r="Z315" i="12" s="1"/>
  <c r="Y321" i="12"/>
  <c r="Z321" i="12" s="1"/>
  <c r="AG321" i="12" s="1"/>
  <c r="AH321" i="12" s="1"/>
  <c r="AJ321" i="12" s="1"/>
  <c r="X336" i="12"/>
  <c r="Y336" i="12"/>
  <c r="Z336" i="12" s="1"/>
  <c r="Z256" i="12"/>
  <c r="AB256" i="12" s="1"/>
  <c r="AE275" i="12"/>
  <c r="AF275" i="12" s="1"/>
  <c r="AG275" i="12" s="1"/>
  <c r="AH275" i="12" s="1"/>
  <c r="AJ275" i="12" s="1"/>
  <c r="Y295" i="12"/>
  <c r="X295" i="12"/>
  <c r="Z17" i="12"/>
  <c r="AB200" i="12"/>
  <c r="X203" i="12"/>
  <c r="X211" i="12"/>
  <c r="X219" i="12"/>
  <c r="AB226" i="12"/>
  <c r="X257" i="12"/>
  <c r="Y257" i="12"/>
  <c r="Z257" i="12" s="1"/>
  <c r="AE265" i="12"/>
  <c r="AD273" i="12"/>
  <c r="AE273" i="12" s="1"/>
  <c r="X294" i="12"/>
  <c r="Y294" i="12"/>
  <c r="Z294" i="12" s="1"/>
  <c r="Y229" i="12"/>
  <c r="Z229" i="12" s="1"/>
  <c r="X229" i="12"/>
  <c r="Y231" i="12"/>
  <c r="X231" i="12"/>
  <c r="Y233" i="12"/>
  <c r="Z233" i="12" s="1"/>
  <c r="X233" i="12"/>
  <c r="AB244" i="12"/>
  <c r="Y250" i="12"/>
  <c r="X250" i="12"/>
  <c r="Y270" i="12"/>
  <c r="Z270" i="12" s="1"/>
  <c r="AC270" i="12" s="1"/>
  <c r="X270" i="12"/>
  <c r="AD271" i="12"/>
  <c r="AE271" i="12" s="1"/>
  <c r="Y298" i="12"/>
  <c r="Z298" i="12" s="1"/>
  <c r="X298" i="12"/>
  <c r="AB307" i="12"/>
  <c r="Y325" i="12"/>
  <c r="Z325" i="12" s="1"/>
  <c r="AG325" i="12" s="1"/>
  <c r="AH325" i="12" s="1"/>
  <c r="AJ325" i="12" s="1"/>
  <c r="Y343" i="12"/>
  <c r="X343" i="12"/>
  <c r="Y351" i="12"/>
  <c r="Z351" i="12" s="1"/>
  <c r="X351" i="12"/>
  <c r="X245" i="12"/>
  <c r="Y245" i="12"/>
  <c r="Z245" i="12" s="1"/>
  <c r="Y278" i="12"/>
  <c r="X278" i="12"/>
  <c r="Z279" i="12"/>
  <c r="AB279" i="12" s="1"/>
  <c r="Y284" i="12"/>
  <c r="X284" i="12"/>
  <c r="Y313" i="12"/>
  <c r="X313" i="12"/>
  <c r="Y323" i="12"/>
  <c r="Z323" i="12" s="1"/>
  <c r="AG323" i="12" s="1"/>
  <c r="AH323" i="12" s="1"/>
  <c r="AJ323" i="12" s="1"/>
  <c r="AA331" i="12"/>
  <c r="AI327" i="12"/>
  <c r="Y347" i="12"/>
  <c r="Z347" i="12" s="1"/>
  <c r="X347" i="12"/>
  <c r="AB287" i="12"/>
  <c r="X302" i="12"/>
  <c r="Y302" i="12"/>
  <c r="Z302" i="12" s="1"/>
  <c r="Y330" i="12"/>
  <c r="X330" i="12"/>
  <c r="Y354" i="12"/>
  <c r="X354" i="12"/>
  <c r="X235" i="12"/>
  <c r="X237" i="12"/>
  <c r="X239" i="12"/>
  <c r="Y247" i="12"/>
  <c r="Z247" i="12" s="1"/>
  <c r="Y264" i="12"/>
  <c r="Z264" i="12" s="1"/>
  <c r="AC264" i="12" s="1"/>
  <c r="Y272" i="12"/>
  <c r="Z272" i="12" s="1"/>
  <c r="AC272" i="12" s="1"/>
  <c r="Y274" i="12"/>
  <c r="Z274" i="12" s="1"/>
  <c r="AC274" i="12" s="1"/>
  <c r="X275" i="12"/>
  <c r="X280" i="12"/>
  <c r="Y280" i="12"/>
  <c r="X311" i="12"/>
  <c r="Y318" i="12"/>
  <c r="Z318" i="12" s="1"/>
  <c r="AC318" i="12" s="1"/>
  <c r="Y328" i="12"/>
  <c r="X328" i="12"/>
  <c r="Y334" i="12"/>
  <c r="Z334" i="12" s="1"/>
  <c r="X337" i="12"/>
  <c r="Y366" i="12"/>
  <c r="Z366" i="12" s="1"/>
  <c r="X366" i="12"/>
  <c r="Y339" i="12"/>
  <c r="X339" i="12"/>
  <c r="Y357" i="12"/>
  <c r="Z357" i="12" s="1"/>
  <c r="AG357" i="12" s="1"/>
  <c r="AH357" i="12" s="1"/>
  <c r="AJ357" i="12" s="1"/>
  <c r="Y341" i="12"/>
  <c r="X341" i="12"/>
  <c r="Z346" i="12"/>
  <c r="AB346" i="12"/>
  <c r="AI345" i="12"/>
  <c r="X355" i="12"/>
  <c r="Y349" i="12"/>
  <c r="X349" i="12"/>
  <c r="AB113" i="13" l="1"/>
  <c r="AG11" i="22"/>
  <c r="AI431" i="22"/>
  <c r="AJ431" i="22" s="1"/>
  <c r="AI275" i="22"/>
  <c r="AJ275" i="22" s="1"/>
  <c r="AE3" i="22"/>
  <c r="AI216" i="22"/>
  <c r="AB95" i="12"/>
  <c r="AB145" i="12"/>
  <c r="AC145" i="12" s="1"/>
  <c r="AC108" i="13"/>
  <c r="AD108" i="13" s="1"/>
  <c r="AF108" i="13" s="1"/>
  <c r="AB331" i="12"/>
  <c r="AC331" i="12" s="1"/>
  <c r="AD331" i="12" s="1"/>
  <c r="AB75" i="12"/>
  <c r="AC75" i="12" s="1"/>
  <c r="AB14" i="12"/>
  <c r="AC14" i="12" s="1"/>
  <c r="AC199" i="13"/>
  <c r="AD199" i="13" s="1"/>
  <c r="AF199" i="13" s="1"/>
  <c r="AB66" i="12"/>
  <c r="AC66" i="12" s="1"/>
  <c r="AD66" i="12" s="1"/>
  <c r="AE66" i="12" s="1"/>
  <c r="AB317" i="12"/>
  <c r="AC317" i="12" s="1"/>
  <c r="AD317" i="12" s="1"/>
  <c r="AE317" i="12" s="1"/>
  <c r="AB340" i="12"/>
  <c r="AC340" i="12" s="1"/>
  <c r="AB241" i="12"/>
  <c r="AC241" i="12" s="1"/>
  <c r="AB249" i="12"/>
  <c r="AC249" i="12" s="1"/>
  <c r="AD249" i="12" s="1"/>
  <c r="AB133" i="12"/>
  <c r="AC133" i="12" s="1"/>
  <c r="Z181" i="12"/>
  <c r="AC37" i="13"/>
  <c r="AD37" i="13" s="1"/>
  <c r="AF37" i="13" s="1"/>
  <c r="AB309" i="12"/>
  <c r="AC309" i="12" s="1"/>
  <c r="AD288" i="12"/>
  <c r="AE288" i="12" s="1"/>
  <c r="AB62" i="12"/>
  <c r="AC62" i="12" s="1"/>
  <c r="AD62" i="12" s="1"/>
  <c r="AB161" i="12"/>
  <c r="AC161" i="12" s="1"/>
  <c r="AD161" i="12" s="1"/>
  <c r="AE161" i="12" s="1"/>
  <c r="AB48" i="12"/>
  <c r="AC48" i="12" s="1"/>
  <c r="AD48" i="12" s="1"/>
  <c r="AB303" i="12"/>
  <c r="AC303" i="12" s="1"/>
  <c r="AB209" i="12"/>
  <c r="AC209" i="12" s="1"/>
  <c r="AB96" i="13"/>
  <c r="AC96" i="13" s="1"/>
  <c r="AD96" i="13" s="1"/>
  <c r="AF96" i="13" s="1"/>
  <c r="X11" i="13"/>
  <c r="AB33" i="13"/>
  <c r="AC33" i="13" s="1"/>
  <c r="AD33" i="13" s="1"/>
  <c r="AF33" i="13" s="1"/>
  <c r="AB39" i="13"/>
  <c r="AC39" i="13" s="1"/>
  <c r="AD39" i="13" s="1"/>
  <c r="AF39" i="13" s="1"/>
  <c r="AD84" i="13"/>
  <c r="AF84" i="13" s="1"/>
  <c r="AD115" i="13"/>
  <c r="AF115" i="13" s="1"/>
  <c r="AC210" i="13"/>
  <c r="AD210" i="13" s="1"/>
  <c r="AF210" i="13" s="1"/>
  <c r="AC341" i="13"/>
  <c r="AD341" i="13" s="1"/>
  <c r="AF341" i="13" s="1"/>
  <c r="AB25" i="13"/>
  <c r="AC25" i="13" s="1"/>
  <c r="AC125" i="13"/>
  <c r="AD125" i="13" s="1"/>
  <c r="AF125" i="13" s="1"/>
  <c r="AC135" i="13"/>
  <c r="AD135" i="13" s="1"/>
  <c r="AF135" i="13" s="1"/>
  <c r="AB135" i="12"/>
  <c r="AC135" i="12" s="1"/>
  <c r="AD135" i="12" s="1"/>
  <c r="AB105" i="13"/>
  <c r="AC105" i="13" s="1"/>
  <c r="AD105" i="13" s="1"/>
  <c r="AF105" i="13" s="1"/>
  <c r="AB46" i="12"/>
  <c r="AC46" i="12" s="1"/>
  <c r="AD46" i="12" s="1"/>
  <c r="AB217" i="12"/>
  <c r="AC217" i="12" s="1"/>
  <c r="AB68" i="13"/>
  <c r="AC68" i="13" s="1"/>
  <c r="AB26" i="12"/>
  <c r="AC26" i="12" s="1"/>
  <c r="AC151" i="13"/>
  <c r="AD151" i="13" s="1"/>
  <c r="AF151" i="13" s="1"/>
  <c r="AC148" i="13"/>
  <c r="AD148" i="13" s="1"/>
  <c r="AF148" i="13" s="1"/>
  <c r="Y13" i="13"/>
  <c r="Y11" i="13" s="1"/>
  <c r="AB213" i="13"/>
  <c r="AC213" i="13" s="1"/>
  <c r="AD213" i="13" s="1"/>
  <c r="AF213" i="13" s="1"/>
  <c r="AB92" i="13"/>
  <c r="AC92" i="13" s="1"/>
  <c r="AD92" i="13" s="1"/>
  <c r="AF92" i="13" s="1"/>
  <c r="AB121" i="12"/>
  <c r="AC121" i="12" s="1"/>
  <c r="AD66" i="13"/>
  <c r="AF66" i="13" s="1"/>
  <c r="AC277" i="13"/>
  <c r="AD277" i="13" s="1"/>
  <c r="AF277" i="13" s="1"/>
  <c r="AA139" i="13"/>
  <c r="AB139" i="13" s="1"/>
  <c r="AD290" i="12"/>
  <c r="AE290" i="12" s="1"/>
  <c r="AC294" i="13"/>
  <c r="AD294" i="13" s="1"/>
  <c r="AF294" i="13" s="1"/>
  <c r="AB119" i="13"/>
  <c r="AC119" i="13" s="1"/>
  <c r="AD119" i="13" s="1"/>
  <c r="AF119" i="13" s="1"/>
  <c r="AB28" i="13"/>
  <c r="AC28" i="13" s="1"/>
  <c r="AD28" i="13" s="1"/>
  <c r="AF28" i="13" s="1"/>
  <c r="AC162" i="13"/>
  <c r="AD162" i="13" s="1"/>
  <c r="AF162" i="13" s="1"/>
  <c r="Z55" i="13"/>
  <c r="AA55" i="13" s="1"/>
  <c r="AC275" i="13"/>
  <c r="AD275" i="13" s="1"/>
  <c r="AF275" i="13" s="1"/>
  <c r="AD57" i="13"/>
  <c r="AF57" i="13" s="1"/>
  <c r="AA70" i="13"/>
  <c r="AB70" i="13" s="1"/>
  <c r="AA153" i="13"/>
  <c r="AB153" i="13" s="1"/>
  <c r="AC348" i="13"/>
  <c r="AD348" i="13" s="1"/>
  <c r="AF348" i="13" s="1"/>
  <c r="AA288" i="13"/>
  <c r="AB288" i="13" s="1"/>
  <c r="AB85" i="13"/>
  <c r="AC85" i="13" s="1"/>
  <c r="AD85" i="13" s="1"/>
  <c r="AF85" i="13" s="1"/>
  <c r="AB261" i="13"/>
  <c r="AC261" i="13" s="1"/>
  <c r="AD261" i="13" s="1"/>
  <c r="AF261" i="13" s="1"/>
  <c r="Z236" i="13"/>
  <c r="Z73" i="13"/>
  <c r="AA73" i="13" s="1"/>
  <c r="AB73" i="13" s="1"/>
  <c r="AC73" i="13" s="1"/>
  <c r="AD73" i="13" s="1"/>
  <c r="AF73" i="13" s="1"/>
  <c r="Z89" i="13"/>
  <c r="AA89" i="13" s="1"/>
  <c r="AB89" i="13" s="1"/>
  <c r="AB307" i="13"/>
  <c r="AC307" i="13" s="1"/>
  <c r="AC76" i="13"/>
  <c r="AD76" i="13" s="1"/>
  <c r="AF76" i="13" s="1"/>
  <c r="AA270" i="13"/>
  <c r="AB270" i="13" s="1"/>
  <c r="AC19" i="13"/>
  <c r="AD19" i="13" s="1"/>
  <c r="AF19" i="13" s="1"/>
  <c r="Z87" i="13"/>
  <c r="AA87" i="13" s="1"/>
  <c r="AB87" i="13" s="1"/>
  <c r="AC87" i="13" s="1"/>
  <c r="AD87" i="13" s="1"/>
  <c r="AF87" i="13" s="1"/>
  <c r="Z166" i="13"/>
  <c r="AA166" i="13" s="1"/>
  <c r="AC256" i="13"/>
  <c r="AD256" i="13" s="1"/>
  <c r="AF256" i="13" s="1"/>
  <c r="AB319" i="13"/>
  <c r="AD344" i="13"/>
  <c r="AF344" i="13" s="1"/>
  <c r="AC239" i="13"/>
  <c r="AD239" i="13" s="1"/>
  <c r="AF239" i="13" s="1"/>
  <c r="AA347" i="13"/>
  <c r="AB347" i="13" s="1"/>
  <c r="AB178" i="13"/>
  <c r="AC178" i="13" s="1"/>
  <c r="AD178" i="13" s="1"/>
  <c r="AF178" i="13" s="1"/>
  <c r="AD58" i="13"/>
  <c r="AF58" i="13" s="1"/>
  <c r="Z136" i="13"/>
  <c r="AA136" i="13" s="1"/>
  <c r="AB136" i="13" s="1"/>
  <c r="AC136" i="13" s="1"/>
  <c r="AD136" i="13" s="1"/>
  <c r="AF136" i="13" s="1"/>
  <c r="AA251" i="13"/>
  <c r="AB251" i="13" s="1"/>
  <c r="AC191" i="13"/>
  <c r="AD191" i="13" s="1"/>
  <c r="AF191" i="13" s="1"/>
  <c r="AA147" i="13"/>
  <c r="AB147" i="13" s="1"/>
  <c r="AC41" i="13"/>
  <c r="AD41" i="13" s="1"/>
  <c r="AF41" i="13" s="1"/>
  <c r="AC133" i="13"/>
  <c r="AD133" i="13" s="1"/>
  <c r="AF133" i="13" s="1"/>
  <c r="AA244" i="13"/>
  <c r="AB244" i="13" s="1"/>
  <c r="Z79" i="13"/>
  <c r="AA79" i="13" s="1"/>
  <c r="AB79" i="13" s="1"/>
  <c r="AC79" i="13" s="1"/>
  <c r="AD79" i="13" s="1"/>
  <c r="AF79" i="13" s="1"/>
  <c r="AC149" i="13"/>
  <c r="AD149" i="13" s="1"/>
  <c r="AF149" i="13" s="1"/>
  <c r="AA144" i="13"/>
  <c r="AB144" i="13" s="1"/>
  <c r="AC144" i="13" s="1"/>
  <c r="AD144" i="13" s="1"/>
  <c r="AF144" i="13" s="1"/>
  <c r="AC156" i="13"/>
  <c r="AD156" i="13" s="1"/>
  <c r="AF156" i="13" s="1"/>
  <c r="AA216" i="13"/>
  <c r="AB216" i="13" s="1"/>
  <c r="AB154" i="13"/>
  <c r="AC154" i="13" s="1"/>
  <c r="AD154" i="13" s="1"/>
  <c r="AF154" i="13" s="1"/>
  <c r="AB174" i="13"/>
  <c r="AC174" i="13" s="1"/>
  <c r="AD174" i="13" s="1"/>
  <c r="AF174" i="13" s="1"/>
  <c r="AB129" i="13"/>
  <c r="AC129" i="13" s="1"/>
  <c r="AD129" i="13" s="1"/>
  <c r="AF129" i="13" s="1"/>
  <c r="AB94" i="13"/>
  <c r="AC94" i="13" s="1"/>
  <c r="AD94" i="13" s="1"/>
  <c r="AF94" i="13" s="1"/>
  <c r="AB161" i="13"/>
  <c r="AC161" i="13" s="1"/>
  <c r="AD56" i="13"/>
  <c r="AF56" i="13" s="1"/>
  <c r="AA171" i="13"/>
  <c r="AB171" i="13" s="1"/>
  <c r="AC171" i="13" s="1"/>
  <c r="AC86" i="13"/>
  <c r="AD86" i="13" s="1"/>
  <c r="AF86" i="13" s="1"/>
  <c r="AD221" i="13"/>
  <c r="AF221" i="13" s="1"/>
  <c r="AC315" i="13"/>
  <c r="AD315" i="13" s="1"/>
  <c r="AF315" i="13" s="1"/>
  <c r="AD281" i="13"/>
  <c r="AF281" i="13" s="1"/>
  <c r="AA224" i="13"/>
  <c r="AB224" i="13" s="1"/>
  <c r="AD180" i="13"/>
  <c r="AF180" i="13" s="1"/>
  <c r="AB272" i="13"/>
  <c r="AC272" i="13" s="1"/>
  <c r="AC289" i="13"/>
  <c r="AD289" i="13" s="1"/>
  <c r="AF289" i="13" s="1"/>
  <c r="AD238" i="13"/>
  <c r="AF238" i="13" s="1"/>
  <c r="AB160" i="13"/>
  <c r="AC160" i="13" s="1"/>
  <c r="AD160" i="13" s="1"/>
  <c r="AF160" i="13" s="1"/>
  <c r="AA299" i="13"/>
  <c r="AB299" i="13" s="1"/>
  <c r="Z63" i="13"/>
  <c r="AA63" i="13" s="1"/>
  <c r="AB204" i="13"/>
  <c r="AC204" i="13" s="1"/>
  <c r="AD204" i="13" s="1"/>
  <c r="AF204" i="13" s="1"/>
  <c r="AC273" i="13"/>
  <c r="AD273" i="13" s="1"/>
  <c r="AF273" i="13" s="1"/>
  <c r="AA152" i="13"/>
  <c r="AB152" i="13" s="1"/>
  <c r="AD157" i="13"/>
  <c r="AF157" i="13" s="1"/>
  <c r="AB18" i="13"/>
  <c r="AC18" i="13" s="1"/>
  <c r="AD18" i="13" s="1"/>
  <c r="AF18" i="13" s="1"/>
  <c r="AC15" i="13"/>
  <c r="AD15" i="13" s="1"/>
  <c r="AF15" i="13" s="1"/>
  <c r="Z314" i="13"/>
  <c r="AA314" i="13" s="1"/>
  <c r="AD303" i="13"/>
  <c r="AF303" i="13" s="1"/>
  <c r="AB124" i="13"/>
  <c r="AC124" i="13" s="1"/>
  <c r="AD124" i="13" s="1"/>
  <c r="AF124" i="13" s="1"/>
  <c r="AA202" i="13"/>
  <c r="AA181" i="13"/>
  <c r="AB181" i="13" s="1"/>
  <c r="Z165" i="13"/>
  <c r="Z227" i="13"/>
  <c r="AB274" i="13"/>
  <c r="AC274" i="13" s="1"/>
  <c r="AD274" i="13" s="1"/>
  <c r="AF274" i="13" s="1"/>
  <c r="AB297" i="13"/>
  <c r="AC297" i="13" s="1"/>
  <c r="AB308" i="13"/>
  <c r="AC308" i="13" s="1"/>
  <c r="AC231" i="13"/>
  <c r="AD231" i="13" s="1"/>
  <c r="AF231" i="13" s="1"/>
  <c r="AB122" i="13"/>
  <c r="AC122" i="13" s="1"/>
  <c r="AD52" i="13"/>
  <c r="AF52" i="13" s="1"/>
  <c r="AB269" i="13"/>
  <c r="AB286" i="13"/>
  <c r="AC286" i="13" s="1"/>
  <c r="AC287" i="13"/>
  <c r="AD287" i="13" s="1"/>
  <c r="AF287" i="13" s="1"/>
  <c r="AC60" i="13"/>
  <c r="AD60" i="13" s="1"/>
  <c r="AF60" i="13" s="1"/>
  <c r="AB306" i="13"/>
  <c r="AC306" i="13" s="1"/>
  <c r="AC29" i="13"/>
  <c r="AD29" i="13" s="1"/>
  <c r="AF29" i="13" s="1"/>
  <c r="AC99" i="13"/>
  <c r="AD99" i="13" s="1"/>
  <c r="AF99" i="13" s="1"/>
  <c r="AB190" i="13"/>
  <c r="AB257" i="13"/>
  <c r="AC257" i="13" s="1"/>
  <c r="AD257" i="13" s="1"/>
  <c r="AF257" i="13" s="1"/>
  <c r="AA177" i="13"/>
  <c r="AB177" i="13" s="1"/>
  <c r="AC42" i="13"/>
  <c r="AD42" i="13" s="1"/>
  <c r="AF42" i="13" s="1"/>
  <c r="Z339" i="13"/>
  <c r="AA175" i="13"/>
  <c r="AB175" i="13" s="1"/>
  <c r="AA268" i="13"/>
  <c r="AB268" i="13" s="1"/>
  <c r="AC268" i="13" s="1"/>
  <c r="AD104" i="13"/>
  <c r="AF104" i="13" s="1"/>
  <c r="AA47" i="13"/>
  <c r="AB47" i="13" s="1"/>
  <c r="AC75" i="13"/>
  <c r="AD75" i="13" s="1"/>
  <c r="AF75" i="13" s="1"/>
  <c r="AC155" i="13"/>
  <c r="AD155" i="13" s="1"/>
  <c r="AF155" i="13" s="1"/>
  <c r="AB255" i="12"/>
  <c r="AC255" i="12" s="1"/>
  <c r="AD255" i="12" s="1"/>
  <c r="AC233" i="13"/>
  <c r="AD233" i="13" s="1"/>
  <c r="AF233" i="13" s="1"/>
  <c r="AA300" i="13"/>
  <c r="AB300" i="13" s="1"/>
  <c r="Z128" i="13"/>
  <c r="AA128" i="13" s="1"/>
  <c r="Z126" i="13"/>
  <c r="AC61" i="13"/>
  <c r="AD61" i="13" s="1"/>
  <c r="AF61" i="13" s="1"/>
  <c r="AB112" i="13"/>
  <c r="AC112" i="13" s="1"/>
  <c r="AD112" i="13" s="1"/>
  <c r="AF112" i="13" s="1"/>
  <c r="AA14" i="13"/>
  <c r="AB223" i="13"/>
  <c r="AC223" i="13" s="1"/>
  <c r="AB266" i="13"/>
  <c r="AC266" i="13" s="1"/>
  <c r="AD266" i="13" s="1"/>
  <c r="AF266" i="13" s="1"/>
  <c r="AA98" i="13"/>
  <c r="AB98" i="13" s="1"/>
  <c r="Z184" i="13"/>
  <c r="AC167" i="13"/>
  <c r="AD167" i="13" s="1"/>
  <c r="AF167" i="13" s="1"/>
  <c r="Z158" i="13"/>
  <c r="AA158" i="13" s="1"/>
  <c r="AA118" i="13"/>
  <c r="AB118" i="13" s="1"/>
  <c r="Z77" i="13"/>
  <c r="AA77" i="13" s="1"/>
  <c r="AC312" i="13"/>
  <c r="AD312" i="13" s="1"/>
  <c r="AF312" i="13" s="1"/>
  <c r="AD292" i="13"/>
  <c r="AF292" i="13" s="1"/>
  <c r="AB301" i="13"/>
  <c r="AC301" i="13" s="1"/>
  <c r="AB93" i="13"/>
  <c r="AB230" i="13"/>
  <c r="AC164" i="13"/>
  <c r="AD164" i="13" s="1"/>
  <c r="AF164" i="13" s="1"/>
  <c r="AA137" i="13"/>
  <c r="AB137" i="13" s="1"/>
  <c r="AB109" i="13"/>
  <c r="AB340" i="13"/>
  <c r="AB27" i="13"/>
  <c r="AC23" i="13"/>
  <c r="AD23" i="13" s="1"/>
  <c r="AF23" i="13" s="1"/>
  <c r="AA143" i="13"/>
  <c r="AB143" i="13" s="1"/>
  <c r="AC113" i="13"/>
  <c r="AD113" i="13" s="1"/>
  <c r="AF113" i="13" s="1"/>
  <c r="AA51" i="13"/>
  <c r="AB51" i="13" s="1"/>
  <c r="Z95" i="13"/>
  <c r="AA22" i="13"/>
  <c r="AB22" i="13" s="1"/>
  <c r="AD107" i="13"/>
  <c r="AF107" i="13" s="1"/>
  <c r="AA282" i="13"/>
  <c r="AC241" i="13"/>
  <c r="AD241" i="13" s="1"/>
  <c r="AF241" i="13" s="1"/>
  <c r="AB189" i="13"/>
  <c r="AC189" i="13" s="1"/>
  <c r="AA279" i="13"/>
  <c r="AB240" i="13"/>
  <c r="AC240" i="13" s="1"/>
  <c r="AD240" i="13" s="1"/>
  <c r="AF240" i="13" s="1"/>
  <c r="AB59" i="13"/>
  <c r="AC59" i="13" s="1"/>
  <c r="AD59" i="13" s="1"/>
  <c r="AF59" i="13" s="1"/>
  <c r="AA101" i="13"/>
  <c r="AB101" i="13" s="1"/>
  <c r="AC285" i="13"/>
  <c r="AD285" i="13" s="1"/>
  <c r="AF285" i="13" s="1"/>
  <c r="AB346" i="13"/>
  <c r="AC346" i="13" s="1"/>
  <c r="AD215" i="13"/>
  <c r="AF215" i="13" s="1"/>
  <c r="AD235" i="13"/>
  <c r="AF235" i="13" s="1"/>
  <c r="AC254" i="13"/>
  <c r="AD254" i="13" s="1"/>
  <c r="AF254" i="13" s="1"/>
  <c r="Z71" i="13"/>
  <c r="AA71" i="13" s="1"/>
  <c r="AA198" i="13"/>
  <c r="AB198" i="13" s="1"/>
  <c r="AB283" i="13"/>
  <c r="AC283" i="13" s="1"/>
  <c r="AC50" i="13"/>
  <c r="AD50" i="13" s="1"/>
  <c r="AF50" i="13" s="1"/>
  <c r="AB271" i="13"/>
  <c r="AC271" i="13" s="1"/>
  <c r="AA17" i="13"/>
  <c r="AB17" i="13" s="1"/>
  <c r="AA186" i="13"/>
  <c r="AB186" i="13" s="1"/>
  <c r="Z168" i="13"/>
  <c r="AA168" i="13" s="1"/>
  <c r="AD172" i="13"/>
  <c r="AF172" i="13" s="1"/>
  <c r="AD316" i="13"/>
  <c r="AF316" i="13" s="1"/>
  <c r="AA249" i="13"/>
  <c r="AB249" i="13" s="1"/>
  <c r="AC249" i="13" s="1"/>
  <c r="AB182" i="13"/>
  <c r="AC182" i="13" s="1"/>
  <c r="AD182" i="13" s="1"/>
  <c r="AF182" i="13" s="1"/>
  <c r="Z134" i="13"/>
  <c r="AA134" i="13" s="1"/>
  <c r="AC263" i="13"/>
  <c r="AD263" i="13" s="1"/>
  <c r="AF263" i="13" s="1"/>
  <c r="AD250" i="13"/>
  <c r="AF250" i="13" s="1"/>
  <c r="AB80" i="13"/>
  <c r="AC80" i="13" s="1"/>
  <c r="AB103" i="12"/>
  <c r="AC103" i="12" s="1"/>
  <c r="Z280" i="13"/>
  <c r="Z284" i="13"/>
  <c r="AA284" i="13" s="1"/>
  <c r="AB284" i="13" s="1"/>
  <c r="AA45" i="13"/>
  <c r="AB45" i="13" s="1"/>
  <c r="AC45" i="13" s="1"/>
  <c r="Z114" i="13"/>
  <c r="AA114" i="13" s="1"/>
  <c r="Z130" i="13"/>
  <c r="AA130" i="13" s="1"/>
  <c r="AA196" i="13"/>
  <c r="AD208" i="13"/>
  <c r="AF208" i="13" s="1"/>
  <c r="AA150" i="13"/>
  <c r="AB150" i="13" s="1"/>
  <c r="AD40" i="13"/>
  <c r="AF40" i="13" s="1"/>
  <c r="AB305" i="13"/>
  <c r="AC305" i="13" s="1"/>
  <c r="AB97" i="13"/>
  <c r="AC97" i="13" s="1"/>
  <c r="AD97" i="13" s="1"/>
  <c r="AF97" i="13" s="1"/>
  <c r="AB49" i="13"/>
  <c r="AC243" i="13"/>
  <c r="AD243" i="13" s="1"/>
  <c r="AF243" i="13" s="1"/>
  <c r="AD225" i="13"/>
  <c r="AF225" i="13" s="1"/>
  <c r="AC120" i="13"/>
  <c r="AD120" i="13" s="1"/>
  <c r="AF120" i="13" s="1"/>
  <c r="AB291" i="13"/>
  <c r="Z170" i="13"/>
  <c r="AA170" i="13" s="1"/>
  <c r="AC48" i="13"/>
  <c r="AD48" i="13" s="1"/>
  <c r="AF48" i="13" s="1"/>
  <c r="Z200" i="13"/>
  <c r="Z194" i="13"/>
  <c r="AC176" i="13"/>
  <c r="AD176" i="13" s="1"/>
  <c r="AF176" i="13" s="1"/>
  <c r="AA290" i="13"/>
  <c r="AB290" i="13" s="1"/>
  <c r="AC290" i="13" s="1"/>
  <c r="AA342" i="13"/>
  <c r="AD262" i="13"/>
  <c r="AF262" i="13" s="1"/>
  <c r="Z187" i="13"/>
  <c r="AA187" i="13" s="1"/>
  <c r="AA159" i="13"/>
  <c r="AB159" i="13" s="1"/>
  <c r="AB111" i="13"/>
  <c r="AC111" i="13" s="1"/>
  <c r="Z195" i="13"/>
  <c r="AA195" i="13" s="1"/>
  <c r="Z267" i="13"/>
  <c r="AD193" i="13"/>
  <c r="AF193" i="13" s="1"/>
  <c r="AC313" i="13"/>
  <c r="AD313" i="13" s="1"/>
  <c r="AF313" i="13" s="1"/>
  <c r="Z138" i="13"/>
  <c r="AA138" i="13" s="1"/>
  <c r="AA83" i="13"/>
  <c r="AB83" i="13" s="1"/>
  <c r="AC35" i="13"/>
  <c r="AD35" i="13" s="1"/>
  <c r="AF35" i="13" s="1"/>
  <c r="AC26" i="13"/>
  <c r="AD26" i="13" s="1"/>
  <c r="AF26" i="13" s="1"/>
  <c r="AD78" i="13"/>
  <c r="AF78" i="13" s="1"/>
  <c r="AA304" i="13"/>
  <c r="Z146" i="13"/>
  <c r="AA146" i="13" s="1"/>
  <c r="AC54" i="13"/>
  <c r="AD54" i="13" s="1"/>
  <c r="AF54" i="13" s="1"/>
  <c r="AC309" i="13"/>
  <c r="AD309" i="13" s="1"/>
  <c r="AF309" i="13" s="1"/>
  <c r="AB302" i="13"/>
  <c r="AC302" i="13" s="1"/>
  <c r="AD345" i="13"/>
  <c r="AF345" i="13" s="1"/>
  <c r="AB252" i="13"/>
  <c r="AC248" i="13"/>
  <c r="AD248" i="13" s="1"/>
  <c r="AF248" i="13" s="1"/>
  <c r="AA169" i="13"/>
  <c r="AB169" i="13" s="1"/>
  <c r="AB310" i="12"/>
  <c r="AC310" i="12" s="1"/>
  <c r="AD310" i="12" s="1"/>
  <c r="AB210" i="12"/>
  <c r="AC210" i="12" s="1"/>
  <c r="AD210" i="12" s="1"/>
  <c r="AB215" i="12"/>
  <c r="AC215" i="12" s="1"/>
  <c r="AB121" i="13"/>
  <c r="AC121" i="13" s="1"/>
  <c r="AD121" i="13" s="1"/>
  <c r="AF121" i="13" s="1"/>
  <c r="AB245" i="13"/>
  <c r="AC245" i="13" s="1"/>
  <c r="AD245" i="13" s="1"/>
  <c r="AF245" i="13" s="1"/>
  <c r="AB74" i="13"/>
  <c r="AC74" i="13" s="1"/>
  <c r="AD46" i="13"/>
  <c r="AF46" i="13" s="1"/>
  <c r="AC237" i="13"/>
  <c r="AD237" i="13" s="1"/>
  <c r="AF237" i="13" s="1"/>
  <c r="AA20" i="13"/>
  <c r="AB20" i="13" s="1"/>
  <c r="AB298" i="13"/>
  <c r="AC298" i="13" s="1"/>
  <c r="AD298" i="13" s="1"/>
  <c r="AF298" i="13" s="1"/>
  <c r="AB265" i="13"/>
  <c r="AB116" i="13"/>
  <c r="AC116" i="13" s="1"/>
  <c r="AC197" i="13"/>
  <c r="AD197" i="13" s="1"/>
  <c r="AF197" i="13" s="1"/>
  <c r="AB110" i="13"/>
  <c r="AC110" i="13" s="1"/>
  <c r="AD110" i="13" s="1"/>
  <c r="AF110" i="13" s="1"/>
  <c r="AB117" i="13"/>
  <c r="AC117" i="13" s="1"/>
  <c r="AD117" i="13" s="1"/>
  <c r="AF117" i="13" s="1"/>
  <c r="AA90" i="13"/>
  <c r="AB90" i="13" s="1"/>
  <c r="AA293" i="13"/>
  <c r="AB293" i="13" s="1"/>
  <c r="AB192" i="13"/>
  <c r="AC192" i="13" s="1"/>
  <c r="AD192" i="13" s="1"/>
  <c r="AF192" i="13" s="1"/>
  <c r="AB21" i="13"/>
  <c r="AC21" i="13" s="1"/>
  <c r="AD21" i="13" s="1"/>
  <c r="AC232" i="13"/>
  <c r="AD232" i="13" s="1"/>
  <c r="AF232" i="13" s="1"/>
  <c r="AC43" i="13"/>
  <c r="AD43" i="13" s="1"/>
  <c r="AF43" i="13" s="1"/>
  <c r="AB67" i="13"/>
  <c r="AC67" i="13" s="1"/>
  <c r="AD296" i="13"/>
  <c r="AF296" i="13" s="1"/>
  <c r="AA259" i="13"/>
  <c r="AB259" i="13" s="1"/>
  <c r="AA34" i="13"/>
  <c r="AC53" i="13"/>
  <c r="AD53" i="13" s="1"/>
  <c r="AF53" i="13" s="1"/>
  <c r="AA82" i="13"/>
  <c r="AB82" i="13" s="1"/>
  <c r="AB16" i="13"/>
  <c r="AC310" i="13"/>
  <c r="AD310" i="13" s="1"/>
  <c r="AF310" i="13" s="1"/>
  <c r="AC217" i="13"/>
  <c r="AD217" i="13" s="1"/>
  <c r="AF217" i="13" s="1"/>
  <c r="Z142" i="13"/>
  <c r="AB206" i="13"/>
  <c r="AC206" i="13" s="1"/>
  <c r="AC127" i="13"/>
  <c r="AD127" i="13" s="1"/>
  <c r="AF127" i="13" s="1"/>
  <c r="AC247" i="13"/>
  <c r="AD247" i="13" s="1"/>
  <c r="AF247" i="13" s="1"/>
  <c r="AB106" i="13"/>
  <c r="AC106" i="13" s="1"/>
  <c r="AD106" i="13" s="1"/>
  <c r="AF106" i="13" s="1"/>
  <c r="AC311" i="13"/>
  <c r="AD311" i="13" s="1"/>
  <c r="AF311" i="13" s="1"/>
  <c r="AB188" i="13"/>
  <c r="AB30" i="12"/>
  <c r="AC30" i="12" s="1"/>
  <c r="AD30" i="12" s="1"/>
  <c r="AB332" i="12"/>
  <c r="AC332" i="12" s="1"/>
  <c r="AB281" i="12"/>
  <c r="AC281" i="12" s="1"/>
  <c r="AD281" i="12" s="1"/>
  <c r="AE281" i="12" s="1"/>
  <c r="AB286" i="12"/>
  <c r="AC286" i="12" s="1"/>
  <c r="AD286" i="12" s="1"/>
  <c r="AB47" i="12"/>
  <c r="AC47" i="12" s="1"/>
  <c r="AC17" i="12"/>
  <c r="AD17" i="12" s="1"/>
  <c r="AE17" i="12" s="1"/>
  <c r="AB165" i="12"/>
  <c r="AC165" i="12" s="1"/>
  <c r="AD165" i="12" s="1"/>
  <c r="AB189" i="12"/>
  <c r="AC189" i="12" s="1"/>
  <c r="AD189" i="12" s="1"/>
  <c r="AE189" i="12" s="1"/>
  <c r="AC22" i="12"/>
  <c r="AD22" i="12" s="1"/>
  <c r="AE22" i="12" s="1"/>
  <c r="AB353" i="12"/>
  <c r="AC353" i="12" s="1"/>
  <c r="AD353" i="12" s="1"/>
  <c r="AB335" i="12"/>
  <c r="AC335" i="12" s="1"/>
  <c r="AD335" i="12" s="1"/>
  <c r="AB306" i="12"/>
  <c r="AC306" i="12" s="1"/>
  <c r="AD306" i="12" s="1"/>
  <c r="AB216" i="12"/>
  <c r="AC216" i="12" s="1"/>
  <c r="AB80" i="12"/>
  <c r="AC80" i="12" s="1"/>
  <c r="AD50" i="12"/>
  <c r="AE50" i="12" s="1"/>
  <c r="AF50" i="12" s="1"/>
  <c r="AB45" i="12"/>
  <c r="AC45" i="12" s="1"/>
  <c r="AB68" i="12"/>
  <c r="AC68" i="12" s="1"/>
  <c r="AD68" i="12" s="1"/>
  <c r="AB193" i="12"/>
  <c r="AC193" i="12" s="1"/>
  <c r="AB169" i="12"/>
  <c r="AC169" i="12" s="1"/>
  <c r="AD169" i="12" s="1"/>
  <c r="AB32" i="12"/>
  <c r="AC32" i="12" s="1"/>
  <c r="AD32" i="12" s="1"/>
  <c r="AB99" i="12"/>
  <c r="AC99" i="12" s="1"/>
  <c r="AB128" i="12"/>
  <c r="AC128" i="12" s="1"/>
  <c r="AB24" i="12"/>
  <c r="AC24" i="12" s="1"/>
  <c r="AD24" i="12" s="1"/>
  <c r="AD225" i="12"/>
  <c r="AE225" i="12" s="1"/>
  <c r="AB333" i="12"/>
  <c r="AC333" i="12" s="1"/>
  <c r="AD333" i="12" s="1"/>
  <c r="AF273" i="12"/>
  <c r="AG273" i="12" s="1"/>
  <c r="AB88" i="12"/>
  <c r="AC88" i="12" s="1"/>
  <c r="AB21" i="12"/>
  <c r="AC21" i="12" s="1"/>
  <c r="AB87" i="12"/>
  <c r="AC87" i="12" s="1"/>
  <c r="AB76" i="12"/>
  <c r="AC76" i="12" s="1"/>
  <c r="AD144" i="12"/>
  <c r="AE144" i="12" s="1"/>
  <c r="AB177" i="12"/>
  <c r="AC177" i="12" s="1"/>
  <c r="AD177" i="12" s="1"/>
  <c r="AE177" i="12" s="1"/>
  <c r="AB58" i="12"/>
  <c r="AC58" i="12" s="1"/>
  <c r="AB246" i="12"/>
  <c r="AC246" i="12" s="1"/>
  <c r="AB143" i="12"/>
  <c r="AC143" i="12" s="1"/>
  <c r="AD143" i="12" s="1"/>
  <c r="AB83" i="12"/>
  <c r="AC83" i="12" s="1"/>
  <c r="AD83" i="12" s="1"/>
  <c r="AB70" i="12"/>
  <c r="AD239" i="12"/>
  <c r="AE239" i="12" s="1"/>
  <c r="AB347" i="12"/>
  <c r="AC347" i="12" s="1"/>
  <c r="AD347" i="12" s="1"/>
  <c r="AE347" i="12" s="1"/>
  <c r="AB304" i="12"/>
  <c r="AC304" i="12" s="1"/>
  <c r="AD304" i="12" s="1"/>
  <c r="AB79" i="12"/>
  <c r="AC79" i="12" s="1"/>
  <c r="AB172" i="12"/>
  <c r="AC172" i="12" s="1"/>
  <c r="AD172" i="12" s="1"/>
  <c r="AB123" i="12"/>
  <c r="AC123" i="12" s="1"/>
  <c r="AB173" i="12"/>
  <c r="AC173" i="12" s="1"/>
  <c r="AD173" i="12" s="1"/>
  <c r="AB19" i="12"/>
  <c r="AC19" i="12" s="1"/>
  <c r="AB139" i="12"/>
  <c r="AC139" i="12" s="1"/>
  <c r="AD152" i="12"/>
  <c r="AE152" i="12" s="1"/>
  <c r="AB214" i="12"/>
  <c r="AC214" i="12" s="1"/>
  <c r="AB240" i="12"/>
  <c r="AC240" i="12" s="1"/>
  <c r="AB223" i="12"/>
  <c r="AC223" i="12" s="1"/>
  <c r="AD223" i="12" s="1"/>
  <c r="AE223" i="12" s="1"/>
  <c r="AB212" i="12"/>
  <c r="AC212" i="12" s="1"/>
  <c r="AB201" i="12"/>
  <c r="AC201" i="12" s="1"/>
  <c r="AD201" i="12" s="1"/>
  <c r="AB234" i="12"/>
  <c r="AB243" i="12"/>
  <c r="AC243" i="12" s="1"/>
  <c r="AD230" i="12"/>
  <c r="AB72" i="12"/>
  <c r="AC72" i="12" s="1"/>
  <c r="AD72" i="12" s="1"/>
  <c r="AD67" i="12"/>
  <c r="AB301" i="12"/>
  <c r="AC301" i="12" s="1"/>
  <c r="AD301" i="12" s="1"/>
  <c r="AB308" i="12"/>
  <c r="AC308" i="12" s="1"/>
  <c r="AD308" i="12" s="1"/>
  <c r="AE308" i="12" s="1"/>
  <c r="AB218" i="12"/>
  <c r="AC218" i="12" s="1"/>
  <c r="AD218" i="12" s="1"/>
  <c r="AB104" i="12"/>
  <c r="AC104" i="12" s="1"/>
  <c r="AD104" i="12" s="1"/>
  <c r="AB92" i="12"/>
  <c r="AC92" i="12" s="1"/>
  <c r="AB91" i="12"/>
  <c r="AC91" i="12" s="1"/>
  <c r="AD319" i="12"/>
  <c r="AE319" i="12" s="1"/>
  <c r="AF319" i="12" s="1"/>
  <c r="AG319" i="12" s="1"/>
  <c r="AC59" i="12"/>
  <c r="AD59" i="12" s="1"/>
  <c r="AD136" i="12"/>
  <c r="AE136" i="12" s="1"/>
  <c r="AF136" i="12" s="1"/>
  <c r="AB338" i="12"/>
  <c r="AC338" i="12" s="1"/>
  <c r="AD338" i="12" s="1"/>
  <c r="AF268" i="12"/>
  <c r="AG268" i="12" s="1"/>
  <c r="AH268" i="12" s="1"/>
  <c r="AJ268" i="12" s="1"/>
  <c r="AB261" i="12"/>
  <c r="AC261" i="12" s="1"/>
  <c r="AB242" i="12"/>
  <c r="AC242" i="12" s="1"/>
  <c r="AB220" i="12"/>
  <c r="AC220" i="12" s="1"/>
  <c r="AB252" i="12"/>
  <c r="AC252" i="12" s="1"/>
  <c r="AB204" i="12"/>
  <c r="AC204" i="12" s="1"/>
  <c r="AI12" i="12"/>
  <c r="AB34" i="12"/>
  <c r="AC34" i="12" s="1"/>
  <c r="AD34" i="12" s="1"/>
  <c r="AE34" i="12" s="1"/>
  <c r="AF34" i="12" s="1"/>
  <c r="AB191" i="12"/>
  <c r="AB157" i="12"/>
  <c r="AC157" i="12" s="1"/>
  <c r="AD157" i="12" s="1"/>
  <c r="AB350" i="12"/>
  <c r="AC350" i="12" s="1"/>
  <c r="AC348" i="12"/>
  <c r="AD348" i="12" s="1"/>
  <c r="AB334" i="12"/>
  <c r="AB283" i="12"/>
  <c r="AC283" i="12" s="1"/>
  <c r="AB253" i="12"/>
  <c r="AC253" i="12" s="1"/>
  <c r="AB125" i="12"/>
  <c r="AB27" i="12"/>
  <c r="AC27" i="12" s="1"/>
  <c r="AD27" i="12" s="1"/>
  <c r="AD60" i="12"/>
  <c r="AD232" i="12"/>
  <c r="AE232" i="12" s="1"/>
  <c r="Z228" i="12"/>
  <c r="AB228" i="12" s="1"/>
  <c r="AC228" i="12" s="1"/>
  <c r="AB137" i="12"/>
  <c r="AB294" i="12"/>
  <c r="AC294" i="12" s="1"/>
  <c r="AD294" i="12" s="1"/>
  <c r="AF276" i="12"/>
  <c r="AG276" i="12" s="1"/>
  <c r="AH276" i="12" s="1"/>
  <c r="AJ276" i="12" s="1"/>
  <c r="AB292" i="12"/>
  <c r="AC292" i="12" s="1"/>
  <c r="AB251" i="12"/>
  <c r="AB106" i="12"/>
  <c r="AC106" i="12" s="1"/>
  <c r="AE78" i="12"/>
  <c r="AF78" i="12" s="1"/>
  <c r="AD57" i="12"/>
  <c r="AE195" i="12"/>
  <c r="AF195" i="12" s="1"/>
  <c r="AG195" i="12" s="1"/>
  <c r="AH195" i="12" s="1"/>
  <c r="AJ195" i="12" s="1"/>
  <c r="AD120" i="12"/>
  <c r="AE120" i="12" s="1"/>
  <c r="AF120" i="12" s="1"/>
  <c r="AD112" i="12"/>
  <c r="AE112" i="12" s="1"/>
  <c r="AE187" i="12"/>
  <c r="AF187" i="12" s="1"/>
  <c r="AB122" i="12"/>
  <c r="AB351" i="12"/>
  <c r="AC351" i="12" s="1"/>
  <c r="AD351" i="12" s="1"/>
  <c r="AB293" i="12"/>
  <c r="AC293" i="12" s="1"/>
  <c r="AB257" i="12"/>
  <c r="AC257" i="12" s="1"/>
  <c r="AB315" i="12"/>
  <c r="AC315" i="12" s="1"/>
  <c r="AD315" i="12" s="1"/>
  <c r="AB258" i="12"/>
  <c r="AC258" i="12" s="1"/>
  <c r="AD258" i="12" s="1"/>
  <c r="AB224" i="12"/>
  <c r="AC224" i="12" s="1"/>
  <c r="AB202" i="12"/>
  <c r="AC202" i="12" s="1"/>
  <c r="AB207" i="12"/>
  <c r="AC207" i="12" s="1"/>
  <c r="AD296" i="12"/>
  <c r="AB15" i="12"/>
  <c r="AC15" i="12" s="1"/>
  <c r="AD15" i="12" s="1"/>
  <c r="AD179" i="12"/>
  <c r="AE179" i="12" s="1"/>
  <c r="AF179" i="12" s="1"/>
  <c r="AG179" i="12" s="1"/>
  <c r="AD171" i="12"/>
  <c r="AB36" i="12"/>
  <c r="AC36" i="12" s="1"/>
  <c r="AD94" i="12"/>
  <c r="AE94" i="12" s="1"/>
  <c r="AB180" i="12"/>
  <c r="AC180" i="12" s="1"/>
  <c r="Z197" i="12"/>
  <c r="AB197" i="12" s="1"/>
  <c r="AB329" i="12"/>
  <c r="AC329" i="12" s="1"/>
  <c r="Z282" i="12"/>
  <c r="AB282" i="12" s="1"/>
  <c r="AB64" i="12"/>
  <c r="AB185" i="12"/>
  <c r="AB105" i="12"/>
  <c r="Z349" i="12"/>
  <c r="AB349" i="12" s="1"/>
  <c r="Z339" i="12"/>
  <c r="AB339" i="12" s="1"/>
  <c r="AB328" i="12"/>
  <c r="Z328" i="12"/>
  <c r="AE314" i="12"/>
  <c r="AF314" i="12" s="1"/>
  <c r="AE147" i="12"/>
  <c r="AF147" i="12" s="1"/>
  <c r="AE18" i="12"/>
  <c r="AF18" i="12" s="1"/>
  <c r="AC356" i="12"/>
  <c r="AC312" i="12"/>
  <c r="AE86" i="12"/>
  <c r="AF86" i="12" s="1"/>
  <c r="AG86" i="12" s="1"/>
  <c r="AF219" i="12"/>
  <c r="AG219" i="12" s="1"/>
  <c r="AH219" i="12" s="1"/>
  <c r="AJ219" i="12" s="1"/>
  <c r="AC28" i="12"/>
  <c r="AD28" i="12" s="1"/>
  <c r="AE33" i="12"/>
  <c r="AF181" i="12"/>
  <c r="AG181" i="12" s="1"/>
  <c r="AH181" i="12" s="1"/>
  <c r="AE29" i="12"/>
  <c r="AF29" i="12" s="1"/>
  <c r="AG29" i="12" s="1"/>
  <c r="AC342" i="12"/>
  <c r="AD355" i="12"/>
  <c r="Z280" i="12"/>
  <c r="AB280" i="12" s="1"/>
  <c r="AD274" i="12"/>
  <c r="Z354" i="12"/>
  <c r="AB354" i="12" s="1"/>
  <c r="AC352" i="12"/>
  <c r="AD337" i="12"/>
  <c r="AC256" i="12"/>
  <c r="AE102" i="12"/>
  <c r="AC279" i="12"/>
  <c r="AC200" i="12"/>
  <c r="AG266" i="12"/>
  <c r="AH266" i="12" s="1"/>
  <c r="AJ266" i="12" s="1"/>
  <c r="AC199" i="12"/>
  <c r="Z227" i="12"/>
  <c r="AB227" i="12" s="1"/>
  <c r="AC119" i="12"/>
  <c r="AC109" i="12"/>
  <c r="AD262" i="12"/>
  <c r="AE262" i="12" s="1"/>
  <c r="Z190" i="12"/>
  <c r="AB190" i="12" s="1"/>
  <c r="AD115" i="12"/>
  <c r="AE115" i="12" s="1"/>
  <c r="AB162" i="12"/>
  <c r="AC307" i="12"/>
  <c r="AC16" i="12"/>
  <c r="AD318" i="12"/>
  <c r="AD272" i="12"/>
  <c r="AE272" i="12" s="1"/>
  <c r="AF272" i="12" s="1"/>
  <c r="Z343" i="12"/>
  <c r="AB343" i="12" s="1"/>
  <c r="AC299" i="12"/>
  <c r="AC244" i="12"/>
  <c r="AD244" i="12" s="1"/>
  <c r="AC291" i="12"/>
  <c r="AD291" i="12" s="1"/>
  <c r="AB208" i="12"/>
  <c r="AD300" i="12"/>
  <c r="AE300" i="12" s="1"/>
  <c r="AF290" i="12"/>
  <c r="Z221" i="12"/>
  <c r="AB221" i="12" s="1"/>
  <c r="AD248" i="12"/>
  <c r="AE248" i="12" s="1"/>
  <c r="AB222" i="12"/>
  <c r="AB233" i="12"/>
  <c r="AC149" i="12"/>
  <c r="AD149" i="12" s="1"/>
  <c r="AC141" i="12"/>
  <c r="AD141" i="12" s="1"/>
  <c r="AC117" i="12"/>
  <c r="AC108" i="12"/>
  <c r="AC97" i="12"/>
  <c r="AC81" i="12"/>
  <c r="AD81" i="12" s="1"/>
  <c r="AD138" i="12"/>
  <c r="AB51" i="12"/>
  <c r="Z166" i="12"/>
  <c r="AB166" i="12"/>
  <c r="AD65" i="12"/>
  <c r="AB49" i="12"/>
  <c r="AD203" i="12"/>
  <c r="AC127" i="12"/>
  <c r="AD127" i="12" s="1"/>
  <c r="AB53" i="12"/>
  <c r="AF269" i="12"/>
  <c r="AG269" i="12" s="1"/>
  <c r="AD129" i="12"/>
  <c r="AE129" i="12" s="1"/>
  <c r="AF129" i="12" s="1"/>
  <c r="AE175" i="12"/>
  <c r="AE130" i="12"/>
  <c r="AF130" i="12" s="1"/>
  <c r="AB196" i="12"/>
  <c r="AD150" i="12"/>
  <c r="AE150" i="12" s="1"/>
  <c r="AB188" i="12"/>
  <c r="AB186" i="12"/>
  <c r="AB154" i="12"/>
  <c r="AE69" i="12"/>
  <c r="AB194" i="12"/>
  <c r="AB336" i="12"/>
  <c r="AC346" i="12"/>
  <c r="AE277" i="12"/>
  <c r="AF277" i="12" s="1"/>
  <c r="AD264" i="12"/>
  <c r="Z284" i="12"/>
  <c r="AB284" i="12" s="1"/>
  <c r="AE237" i="12"/>
  <c r="AE235" i="12"/>
  <c r="AD270" i="12"/>
  <c r="Z250" i="12"/>
  <c r="AB250" i="12" s="1"/>
  <c r="Z231" i="12"/>
  <c r="AB231" i="12" s="1"/>
  <c r="AB302" i="12"/>
  <c r="AF265" i="12"/>
  <c r="AC226" i="12"/>
  <c r="AD289" i="12"/>
  <c r="AB298" i="12"/>
  <c r="AC254" i="12"/>
  <c r="AD254" i="12" s="1"/>
  <c r="AE254" i="12" s="1"/>
  <c r="AF254" i="12" s="1"/>
  <c r="Z213" i="12"/>
  <c r="AB213" i="12" s="1"/>
  <c r="AB206" i="12"/>
  <c r="AE285" i="12"/>
  <c r="AF285" i="12" s="1"/>
  <c r="Z184" i="12"/>
  <c r="AB184" i="12"/>
  <c r="Z176" i="12"/>
  <c r="AB176" i="12"/>
  <c r="Z168" i="12"/>
  <c r="AB168" i="12"/>
  <c r="Z160" i="12"/>
  <c r="AB160" i="12"/>
  <c r="AC148" i="12"/>
  <c r="AD148" i="12" s="1"/>
  <c r="AC140" i="12"/>
  <c r="AD140" i="12" s="1"/>
  <c r="AE140" i="12" s="1"/>
  <c r="AC132" i="12"/>
  <c r="AC124" i="12"/>
  <c r="AD124" i="12" s="1"/>
  <c r="AE124" i="12" s="1"/>
  <c r="AC116" i="12"/>
  <c r="AD116" i="12" s="1"/>
  <c r="AC101" i="12"/>
  <c r="AB96" i="12"/>
  <c r="AC85" i="12"/>
  <c r="AC71" i="12"/>
  <c r="AC54" i="12"/>
  <c r="AD54" i="12" s="1"/>
  <c r="AE61" i="12"/>
  <c r="AF61" i="12" s="1"/>
  <c r="AG61" i="12" s="1"/>
  <c r="AB25" i="12"/>
  <c r="AD211" i="12"/>
  <c r="AD183" i="12"/>
  <c r="Z182" i="12"/>
  <c r="AB182" i="12"/>
  <c r="AD131" i="12"/>
  <c r="AB229" i="12"/>
  <c r="AE163" i="12"/>
  <c r="AE155" i="12"/>
  <c r="AC151" i="12"/>
  <c r="AC95" i="12"/>
  <c r="AC52" i="12"/>
  <c r="AD52" i="12" s="1"/>
  <c r="AB366" i="12"/>
  <c r="AE311" i="12"/>
  <c r="AD263" i="12"/>
  <c r="AD114" i="12"/>
  <c r="AD159" i="12"/>
  <c r="AE159" i="12" s="1"/>
  <c r="Z158" i="12"/>
  <c r="AB158" i="12"/>
  <c r="AE146" i="12"/>
  <c r="AF146" i="12" s="1"/>
  <c r="AD98" i="12"/>
  <c r="AE90" i="12"/>
  <c r="AD82" i="12"/>
  <c r="AD63" i="12"/>
  <c r="AB164" i="12"/>
  <c r="AF35" i="12"/>
  <c r="AD75" i="12"/>
  <c r="AB178" i="12"/>
  <c r="AD118" i="12"/>
  <c r="AC259" i="12"/>
  <c r="AD259" i="12" s="1"/>
  <c r="AE259" i="12" s="1"/>
  <c r="AC93" i="12"/>
  <c r="AD93" i="12" s="1"/>
  <c r="AE93" i="12" s="1"/>
  <c r="AF93" i="12" s="1"/>
  <c r="AC77" i="12"/>
  <c r="AD77" i="12" s="1"/>
  <c r="AE77" i="12" s="1"/>
  <c r="Z341" i="12"/>
  <c r="AB341" i="12" s="1"/>
  <c r="AC316" i="12"/>
  <c r="AB297" i="12"/>
  <c r="Z330" i="12"/>
  <c r="AB330" i="12"/>
  <c r="AC287" i="12"/>
  <c r="Z313" i="12"/>
  <c r="AB313" i="12" s="1"/>
  <c r="Z278" i="12"/>
  <c r="AB278" i="12" s="1"/>
  <c r="AE238" i="12"/>
  <c r="AE236" i="12"/>
  <c r="AF236" i="12" s="1"/>
  <c r="AD305" i="12"/>
  <c r="AF271" i="12"/>
  <c r="AG271" i="12" s="1"/>
  <c r="AB260" i="12"/>
  <c r="AB247" i="12"/>
  <c r="Z295" i="12"/>
  <c r="AB295" i="12" s="1"/>
  <c r="AD267" i="12"/>
  <c r="AE267" i="12" s="1"/>
  <c r="Z205" i="12"/>
  <c r="AB205" i="12" s="1"/>
  <c r="AB245" i="12"/>
  <c r="Z192" i="12"/>
  <c r="AB192" i="12" s="1"/>
  <c r="AB100" i="12"/>
  <c r="AC89" i="12"/>
  <c r="AD89" i="12" s="1"/>
  <c r="AB84" i="12"/>
  <c r="AC31" i="12"/>
  <c r="Z198" i="12"/>
  <c r="AB198" i="12" s="1"/>
  <c r="AE167" i="12"/>
  <c r="AC70" i="12"/>
  <c r="AD70" i="12" s="1"/>
  <c r="AD153" i="12"/>
  <c r="AD113" i="12"/>
  <c r="Z174" i="12"/>
  <c r="AB174" i="12"/>
  <c r="AB23" i="12"/>
  <c r="AD134" i="12"/>
  <c r="AB156" i="12"/>
  <c r="AE20" i="12"/>
  <c r="AD142" i="12"/>
  <c r="AD126" i="12"/>
  <c r="AD107" i="12"/>
  <c r="AB170" i="12"/>
  <c r="AI11" i="22" l="1"/>
  <c r="AL11" i="22" s="1"/>
  <c r="AJ216" i="22"/>
  <c r="AJ11" i="22" s="1"/>
  <c r="AI1137" i="22"/>
  <c r="AF66" i="12"/>
  <c r="AG66" i="12" s="1"/>
  <c r="AE48" i="12"/>
  <c r="AD145" i="12"/>
  <c r="AD217" i="12"/>
  <c r="AE217" i="12" s="1"/>
  <c r="AE62" i="12"/>
  <c r="AF62" i="12" s="1"/>
  <c r="AG62" i="12" s="1"/>
  <c r="AD209" i="12"/>
  <c r="AF161" i="12"/>
  <c r="AG161" i="12" s="1"/>
  <c r="AD303" i="12"/>
  <c r="AE303" i="12" s="1"/>
  <c r="AF303" i="12" s="1"/>
  <c r="AG303" i="12" s="1"/>
  <c r="AD25" i="13"/>
  <c r="AF25" i="13" s="1"/>
  <c r="AD68" i="13"/>
  <c r="AF68" i="13" s="1"/>
  <c r="AF189" i="12"/>
  <c r="AG189" i="12" s="1"/>
  <c r="AH189" i="12" s="1"/>
  <c r="AJ189" i="12" s="1"/>
  <c r="AD121" i="12"/>
  <c r="AE121" i="12" s="1"/>
  <c r="AC251" i="13"/>
  <c r="AD251" i="13" s="1"/>
  <c r="AF251" i="13" s="1"/>
  <c r="AE24" i="12"/>
  <c r="AF24" i="12" s="1"/>
  <c r="AG24" i="12" s="1"/>
  <c r="AH24" i="12" s="1"/>
  <c r="AJ24" i="12" s="1"/>
  <c r="AD123" i="12"/>
  <c r="AE123" i="12" s="1"/>
  <c r="AE169" i="12"/>
  <c r="AF169" i="12" s="1"/>
  <c r="Z13" i="13"/>
  <c r="Z11" i="13" s="1"/>
  <c r="AC70" i="13"/>
  <c r="AD70" i="13" s="1"/>
  <c r="AF70" i="13" s="1"/>
  <c r="AC139" i="13"/>
  <c r="AD139" i="13" s="1"/>
  <c r="AF139" i="13" s="1"/>
  <c r="AD139" i="12"/>
  <c r="AE139" i="12" s="1"/>
  <c r="AF139" i="12" s="1"/>
  <c r="AD128" i="12"/>
  <c r="AE128" i="12" s="1"/>
  <c r="AE165" i="12"/>
  <c r="AF165" i="12" s="1"/>
  <c r="AD350" i="12"/>
  <c r="AE350" i="12" s="1"/>
  <c r="AF350" i="12" s="1"/>
  <c r="AG350" i="12" s="1"/>
  <c r="AH350" i="12" s="1"/>
  <c r="AJ350" i="12" s="1"/>
  <c r="AE255" i="12"/>
  <c r="AF255" i="12" s="1"/>
  <c r="AG255" i="12" s="1"/>
  <c r="AC118" i="13"/>
  <c r="AD118" i="13" s="1"/>
  <c r="AF118" i="13" s="1"/>
  <c r="AG277" i="12"/>
  <c r="AH277" i="12" s="1"/>
  <c r="AJ277" i="12" s="1"/>
  <c r="AB55" i="13"/>
  <c r="AC55" i="13" s="1"/>
  <c r="AD55" i="13" s="1"/>
  <c r="AF55" i="13" s="1"/>
  <c r="AC47" i="13"/>
  <c r="AD47" i="13" s="1"/>
  <c r="AF47" i="13" s="1"/>
  <c r="AD272" i="13"/>
  <c r="AF272" i="13" s="1"/>
  <c r="AC175" i="13"/>
  <c r="AD175" i="13" s="1"/>
  <c r="AF175" i="13" s="1"/>
  <c r="AD307" i="13"/>
  <c r="AF307" i="13" s="1"/>
  <c r="AD223" i="13"/>
  <c r="AF223" i="13" s="1"/>
  <c r="AC300" i="13"/>
  <c r="AD300" i="13" s="1"/>
  <c r="AF300" i="13" s="1"/>
  <c r="AC89" i="13"/>
  <c r="AD89" i="13" s="1"/>
  <c r="AF89" i="13" s="1"/>
  <c r="AA236" i="13"/>
  <c r="AB236" i="13" s="1"/>
  <c r="AC153" i="13"/>
  <c r="AD153" i="13" s="1"/>
  <c r="AF153" i="13" s="1"/>
  <c r="AB77" i="13"/>
  <c r="AC77" i="13" s="1"/>
  <c r="AD77" i="13" s="1"/>
  <c r="AF77" i="13" s="1"/>
  <c r="AB166" i="13"/>
  <c r="AC166" i="13" s="1"/>
  <c r="AD166" i="13" s="1"/>
  <c r="AF166" i="13" s="1"/>
  <c r="AB314" i="13"/>
  <c r="AC314" i="13" s="1"/>
  <c r="AD314" i="13" s="1"/>
  <c r="AF314" i="13" s="1"/>
  <c r="AC347" i="13"/>
  <c r="AD347" i="13" s="1"/>
  <c r="AF347" i="13" s="1"/>
  <c r="AC169" i="13"/>
  <c r="AD169" i="13" s="1"/>
  <c r="AF169" i="13" s="1"/>
  <c r="AD80" i="13"/>
  <c r="AF80" i="13" s="1"/>
  <c r="AD283" i="13"/>
  <c r="AF283" i="13" s="1"/>
  <c r="AD346" i="13"/>
  <c r="AF346" i="13" s="1"/>
  <c r="AD286" i="13"/>
  <c r="AF286" i="13" s="1"/>
  <c r="AC269" i="13"/>
  <c r="AD269" i="13" s="1"/>
  <c r="AF269" i="13" s="1"/>
  <c r="AA165" i="13"/>
  <c r="AB63" i="13"/>
  <c r="AB304" i="13"/>
  <c r="AC304" i="13" s="1"/>
  <c r="AD304" i="13" s="1"/>
  <c r="AF304" i="13" s="1"/>
  <c r="AC143" i="13"/>
  <c r="AD143" i="13" s="1"/>
  <c r="AF143" i="13" s="1"/>
  <c r="AD268" i="13"/>
  <c r="AF268" i="13" s="1"/>
  <c r="AD122" i="13"/>
  <c r="AF122" i="13" s="1"/>
  <c r="AB170" i="13"/>
  <c r="AC170" i="13" s="1"/>
  <c r="AD170" i="13" s="1"/>
  <c r="AF170" i="13" s="1"/>
  <c r="AC181" i="13"/>
  <c r="AD181" i="13" s="1"/>
  <c r="AF181" i="13" s="1"/>
  <c r="AC299" i="13"/>
  <c r="AD299" i="13" s="1"/>
  <c r="AF299" i="13" s="1"/>
  <c r="AD161" i="13"/>
  <c r="AF161" i="13" s="1"/>
  <c r="AC147" i="13"/>
  <c r="AD147" i="13" s="1"/>
  <c r="AF147" i="13" s="1"/>
  <c r="AC319" i="13"/>
  <c r="AD319" i="13" s="1"/>
  <c r="AF319" i="13" s="1"/>
  <c r="AC159" i="13"/>
  <c r="AD159" i="13" s="1"/>
  <c r="AF159" i="13" s="1"/>
  <c r="AC188" i="13"/>
  <c r="AD188" i="13" s="1"/>
  <c r="AF188" i="13" s="1"/>
  <c r="AA280" i="13"/>
  <c r="AB280" i="13" s="1"/>
  <c r="AD271" i="13"/>
  <c r="AF271" i="13" s="1"/>
  <c r="AB71" i="13"/>
  <c r="AC71" i="13" s="1"/>
  <c r="AD71" i="13" s="1"/>
  <c r="AF71" i="13" s="1"/>
  <c r="AC152" i="13"/>
  <c r="AD152" i="13" s="1"/>
  <c r="AF152" i="13" s="1"/>
  <c r="AC177" i="13"/>
  <c r="AD177" i="13" s="1"/>
  <c r="AF177" i="13" s="1"/>
  <c r="AC190" i="13"/>
  <c r="AD190" i="13" s="1"/>
  <c r="AF190" i="13" s="1"/>
  <c r="AB202" i="13"/>
  <c r="AC202" i="13" s="1"/>
  <c r="AC270" i="13"/>
  <c r="AD270" i="13" s="1"/>
  <c r="AF270" i="13" s="1"/>
  <c r="AD171" i="13"/>
  <c r="AF171" i="13" s="1"/>
  <c r="AD206" i="13"/>
  <c r="AF206" i="13" s="1"/>
  <c r="AC252" i="13"/>
  <c r="AD252" i="13" s="1"/>
  <c r="AF252" i="13" s="1"/>
  <c r="AC150" i="13"/>
  <c r="AD150" i="13" s="1"/>
  <c r="AF150" i="13" s="1"/>
  <c r="AB114" i="13"/>
  <c r="AC114" i="13" s="1"/>
  <c r="AD114" i="13" s="1"/>
  <c r="AF114" i="13" s="1"/>
  <c r="AC51" i="13"/>
  <c r="AD51" i="13" s="1"/>
  <c r="AF51" i="13" s="1"/>
  <c r="AC216" i="13"/>
  <c r="AD216" i="13" s="1"/>
  <c r="AF216" i="13" s="1"/>
  <c r="AD306" i="13"/>
  <c r="AF306" i="13" s="1"/>
  <c r="AB158" i="13"/>
  <c r="AA227" i="13"/>
  <c r="AB227" i="13" s="1"/>
  <c r="AC198" i="13"/>
  <c r="AD198" i="13" s="1"/>
  <c r="AF198" i="13" s="1"/>
  <c r="AC101" i="13"/>
  <c r="AD101" i="13" s="1"/>
  <c r="AF101" i="13" s="1"/>
  <c r="AC17" i="13"/>
  <c r="AD17" i="13" s="1"/>
  <c r="AF17" i="13" s="1"/>
  <c r="AC284" i="13"/>
  <c r="AD284" i="13" s="1"/>
  <c r="AF284" i="13" s="1"/>
  <c r="AD290" i="13"/>
  <c r="AF290" i="13" s="1"/>
  <c r="AF21" i="13"/>
  <c r="AC83" i="13"/>
  <c r="AD83" i="13" s="1"/>
  <c r="AF83" i="13" s="1"/>
  <c r="AF177" i="12"/>
  <c r="AG177" i="12" s="1"/>
  <c r="AH177" i="12" s="1"/>
  <c r="AJ177" i="12" s="1"/>
  <c r="AG187" i="12"/>
  <c r="AH187" i="12" s="1"/>
  <c r="AJ187" i="12" s="1"/>
  <c r="AD302" i="13"/>
  <c r="AF302" i="13" s="1"/>
  <c r="AA339" i="13"/>
  <c r="AD116" i="13"/>
  <c r="AF116" i="13" s="1"/>
  <c r="AA194" i="13"/>
  <c r="AB194" i="13" s="1"/>
  <c r="AD45" i="13"/>
  <c r="AF45" i="13" s="1"/>
  <c r="AC49" i="13"/>
  <c r="AD49" i="13" s="1"/>
  <c r="AF49" i="13" s="1"/>
  <c r="AB196" i="13"/>
  <c r="AC196" i="13" s="1"/>
  <c r="AD196" i="13" s="1"/>
  <c r="AF196" i="13" s="1"/>
  <c r="AC20" i="13"/>
  <c r="AD20" i="13" s="1"/>
  <c r="AF20" i="13" s="1"/>
  <c r="AC265" i="13"/>
  <c r="AD265" i="13" s="1"/>
  <c r="AF265" i="13" s="1"/>
  <c r="AC16" i="13"/>
  <c r="AD16" i="13" s="1"/>
  <c r="AF16" i="13" s="1"/>
  <c r="AD74" i="13"/>
  <c r="AF74" i="13" s="1"/>
  <c r="AD249" i="13"/>
  <c r="AF249" i="13" s="1"/>
  <c r="AC109" i="13"/>
  <c r="AD109" i="13" s="1"/>
  <c r="AF109" i="13" s="1"/>
  <c r="AA200" i="13"/>
  <c r="AB200" i="13" s="1"/>
  <c r="AB130" i="13"/>
  <c r="AB168" i="13"/>
  <c r="AC168" i="13" s="1"/>
  <c r="AD168" i="13" s="1"/>
  <c r="AF168" i="13" s="1"/>
  <c r="AC244" i="13"/>
  <c r="AD244" i="13" s="1"/>
  <c r="AF244" i="13" s="1"/>
  <c r="AB134" i="13"/>
  <c r="AC134" i="13" s="1"/>
  <c r="AC186" i="13"/>
  <c r="AD186" i="13" s="1"/>
  <c r="AF186" i="13" s="1"/>
  <c r="AD308" i="13"/>
  <c r="AF308" i="13" s="1"/>
  <c r="AB138" i="13"/>
  <c r="AC138" i="13" s="1"/>
  <c r="AB195" i="13"/>
  <c r="AC195" i="13" s="1"/>
  <c r="AD195" i="13" s="1"/>
  <c r="AF195" i="13" s="1"/>
  <c r="AC90" i="13"/>
  <c r="AD90" i="13" s="1"/>
  <c r="AF90" i="13" s="1"/>
  <c r="AD111" i="13"/>
  <c r="AF111" i="13" s="1"/>
  <c r="AD301" i="13"/>
  <c r="AF301" i="13" s="1"/>
  <c r="AC224" i="13"/>
  <c r="AD224" i="13" s="1"/>
  <c r="AF224" i="13" s="1"/>
  <c r="AB187" i="13"/>
  <c r="AD305" i="13"/>
  <c r="AF305" i="13" s="1"/>
  <c r="AD67" i="13"/>
  <c r="AF67" i="13" s="1"/>
  <c r="AC27" i="13"/>
  <c r="AD27" i="13" s="1"/>
  <c r="AF27" i="13" s="1"/>
  <c r="AC288" i="13"/>
  <c r="AD288" i="13" s="1"/>
  <c r="AF288" i="13" s="1"/>
  <c r="AB146" i="13"/>
  <c r="AC146" i="13" s="1"/>
  <c r="AA95" i="13"/>
  <c r="AD297" i="13"/>
  <c r="AF297" i="13" s="1"/>
  <c r="AC137" i="13"/>
  <c r="AD137" i="13" s="1"/>
  <c r="AF137" i="13" s="1"/>
  <c r="AA126" i="13"/>
  <c r="AB126" i="13" s="1"/>
  <c r="AF22" i="12"/>
  <c r="AG22" i="12" s="1"/>
  <c r="AA142" i="13"/>
  <c r="AB34" i="13"/>
  <c r="AC34" i="13" s="1"/>
  <c r="AC259" i="13"/>
  <c r="AD259" i="13" s="1"/>
  <c r="AF259" i="13" s="1"/>
  <c r="AA267" i="13"/>
  <c r="AB267" i="13" s="1"/>
  <c r="AC230" i="13"/>
  <c r="AD230" i="13" s="1"/>
  <c r="AF230" i="13" s="1"/>
  <c r="AB342" i="13"/>
  <c r="AC342" i="13" s="1"/>
  <c r="AD342" i="13" s="1"/>
  <c r="AF342" i="13" s="1"/>
  <c r="AC291" i="13"/>
  <c r="AD291" i="13" s="1"/>
  <c r="AF291" i="13" s="1"/>
  <c r="AC82" i="13"/>
  <c r="AD82" i="13" s="1"/>
  <c r="AF82" i="13" s="1"/>
  <c r="AB279" i="13"/>
  <c r="AC279" i="13" s="1"/>
  <c r="AB282" i="13"/>
  <c r="AC282" i="13" s="1"/>
  <c r="AD282" i="13" s="1"/>
  <c r="AF282" i="13" s="1"/>
  <c r="AC22" i="13"/>
  <c r="AD22" i="13" s="1"/>
  <c r="AA184" i="13"/>
  <c r="AB184" i="13" s="1"/>
  <c r="AC98" i="13"/>
  <c r="AD98" i="13" s="1"/>
  <c r="AF98" i="13" s="1"/>
  <c r="AC293" i="13"/>
  <c r="AD293" i="13" s="1"/>
  <c r="AF293" i="13" s="1"/>
  <c r="AB14" i="13"/>
  <c r="AC93" i="13"/>
  <c r="AD93" i="13" s="1"/>
  <c r="AF93" i="13" s="1"/>
  <c r="AC340" i="13"/>
  <c r="AD189" i="13"/>
  <c r="AF189" i="13" s="1"/>
  <c r="AB128" i="13"/>
  <c r="AC128" i="13" s="1"/>
  <c r="AD128" i="13" s="1"/>
  <c r="AF128" i="13" s="1"/>
  <c r="AG78" i="12"/>
  <c r="AH78" i="12" s="1"/>
  <c r="AK78" i="12" s="1"/>
  <c r="AB56" i="12"/>
  <c r="AB74" i="12"/>
  <c r="AD329" i="12"/>
  <c r="AE329" i="12" s="1"/>
  <c r="AB13" i="12"/>
  <c r="AF232" i="12"/>
  <c r="AG232" i="12" s="1"/>
  <c r="AH232" i="12" s="1"/>
  <c r="AJ232" i="12" s="1"/>
  <c r="AB44" i="12"/>
  <c r="AD19" i="12"/>
  <c r="AE19" i="12" s="1"/>
  <c r="AF17" i="12"/>
  <c r="AG17" i="12" s="1"/>
  <c r="AD216" i="12"/>
  <c r="AE216" i="12" s="1"/>
  <c r="AF216" i="12" s="1"/>
  <c r="AG216" i="12" s="1"/>
  <c r="AJ181" i="12"/>
  <c r="AK181" i="12"/>
  <c r="AD79" i="12"/>
  <c r="AE79" i="12" s="1"/>
  <c r="AF79" i="12" s="1"/>
  <c r="AG79" i="12" s="1"/>
  <c r="AF225" i="12"/>
  <c r="AG225" i="12" s="1"/>
  <c r="AH225" i="12" s="1"/>
  <c r="AD193" i="12"/>
  <c r="AE193" i="12" s="1"/>
  <c r="AE333" i="12"/>
  <c r="AF333" i="12" s="1"/>
  <c r="AG333" i="12" s="1"/>
  <c r="AH333" i="12" s="1"/>
  <c r="AJ333" i="12" s="1"/>
  <c r="AE59" i="12"/>
  <c r="AF59" i="12" s="1"/>
  <c r="AG59" i="12" s="1"/>
  <c r="AB345" i="12"/>
  <c r="AD252" i="12"/>
  <c r="AE252" i="12" s="1"/>
  <c r="AD253" i="12"/>
  <c r="AE253" i="12" s="1"/>
  <c r="AF253" i="12" s="1"/>
  <c r="AG253" i="12" s="1"/>
  <c r="AD58" i="12"/>
  <c r="AG285" i="12"/>
  <c r="AH285" i="12" s="1"/>
  <c r="AJ285" i="12" s="1"/>
  <c r="AH273" i="12"/>
  <c r="AJ273" i="12" s="1"/>
  <c r="AG50" i="12"/>
  <c r="AH50" i="12" s="1"/>
  <c r="AJ50" i="12" s="1"/>
  <c r="AD202" i="12"/>
  <c r="AE202" i="12" s="1"/>
  <c r="AD204" i="12"/>
  <c r="AE204" i="12" s="1"/>
  <c r="AF204" i="12" s="1"/>
  <c r="AG204" i="12" s="1"/>
  <c r="AE173" i="12"/>
  <c r="AF173" i="12" s="1"/>
  <c r="AG173" i="12" s="1"/>
  <c r="AH173" i="12" s="1"/>
  <c r="AJ173" i="12" s="1"/>
  <c r="AE348" i="12"/>
  <c r="AF348" i="12" s="1"/>
  <c r="AF152" i="12"/>
  <c r="AD106" i="12"/>
  <c r="AE106" i="12" s="1"/>
  <c r="AE201" i="12"/>
  <c r="AG120" i="12"/>
  <c r="AH120" i="12" s="1"/>
  <c r="AJ120" i="12" s="1"/>
  <c r="AE67" i="12"/>
  <c r="AF67" i="12" s="1"/>
  <c r="AD228" i="12"/>
  <c r="AE228" i="12" s="1"/>
  <c r="AF48" i="12"/>
  <c r="AG48" i="12" s="1"/>
  <c r="AH48" i="12" s="1"/>
  <c r="AJ48" i="12" s="1"/>
  <c r="AD92" i="12"/>
  <c r="AE92" i="12" s="1"/>
  <c r="AE157" i="12"/>
  <c r="AF157" i="12" s="1"/>
  <c r="AC191" i="12"/>
  <c r="AD191" i="12" s="1"/>
  <c r="AE230" i="12"/>
  <c r="AF230" i="12" s="1"/>
  <c r="AG146" i="12"/>
  <c r="AH146" i="12" s="1"/>
  <c r="AG314" i="12"/>
  <c r="AH314" i="12" s="1"/>
  <c r="AJ314" i="12" s="1"/>
  <c r="AC125" i="12"/>
  <c r="AD125" i="12" s="1"/>
  <c r="AE286" i="12"/>
  <c r="AF286" i="12" s="1"/>
  <c r="AG286" i="12" s="1"/>
  <c r="AH286" i="12" s="1"/>
  <c r="AJ286" i="12" s="1"/>
  <c r="AC234" i="12"/>
  <c r="AD234" i="12" s="1"/>
  <c r="AE270" i="12"/>
  <c r="AF270" i="12" s="1"/>
  <c r="AE355" i="12"/>
  <c r="AF300" i="12"/>
  <c r="AG300" i="12" s="1"/>
  <c r="AD309" i="12"/>
  <c r="AD36" i="12"/>
  <c r="AE36" i="12" s="1"/>
  <c r="AF36" i="12" s="1"/>
  <c r="AE296" i="12"/>
  <c r="AF296" i="12" s="1"/>
  <c r="AG296" i="12" s="1"/>
  <c r="AE57" i="12"/>
  <c r="AF57" i="12" s="1"/>
  <c r="AD80" i="12"/>
  <c r="AF144" i="12"/>
  <c r="AG144" i="12" s="1"/>
  <c r="AH144" i="12" s="1"/>
  <c r="AD214" i="12"/>
  <c r="AE214" i="12" s="1"/>
  <c r="AF77" i="12"/>
  <c r="AG77" i="12" s="1"/>
  <c r="AH77" i="12" s="1"/>
  <c r="AK77" i="12" s="1"/>
  <c r="AE143" i="12"/>
  <c r="AF143" i="12" s="1"/>
  <c r="AD71" i="12"/>
  <c r="AE71" i="12" s="1"/>
  <c r="AF71" i="12" s="1"/>
  <c r="AG71" i="12" s="1"/>
  <c r="AH71" i="12" s="1"/>
  <c r="AJ71" i="12" s="1"/>
  <c r="AE218" i="12"/>
  <c r="AF218" i="12" s="1"/>
  <c r="AG218" i="12" s="1"/>
  <c r="AF239" i="12"/>
  <c r="AG239" i="12" s="1"/>
  <c r="AH239" i="12" s="1"/>
  <c r="AJ239" i="12" s="1"/>
  <c r="AC64" i="12"/>
  <c r="AD64" i="12" s="1"/>
  <c r="AC197" i="12"/>
  <c r="AD197" i="12" s="1"/>
  <c r="AD180" i="12"/>
  <c r="AE180" i="12" s="1"/>
  <c r="AC137" i="12"/>
  <c r="AD137" i="12" s="1"/>
  <c r="AE137" i="12" s="1"/>
  <c r="AF137" i="12" s="1"/>
  <c r="AG137" i="12" s="1"/>
  <c r="AF94" i="12"/>
  <c r="AG94" i="12" s="1"/>
  <c r="AC334" i="12"/>
  <c r="AD334" i="12" s="1"/>
  <c r="AE334" i="12" s="1"/>
  <c r="AF334" i="12" s="1"/>
  <c r="AC105" i="12"/>
  <c r="AC282" i="12"/>
  <c r="AE171" i="12"/>
  <c r="AF171" i="12" s="1"/>
  <c r="AE60" i="12"/>
  <c r="AF60" i="12" s="1"/>
  <c r="AC251" i="12"/>
  <c r="AD251" i="12" s="1"/>
  <c r="AE301" i="12"/>
  <c r="AF301" i="12" s="1"/>
  <c r="AG301" i="12" s="1"/>
  <c r="AH319" i="12"/>
  <c r="AJ319" i="12" s="1"/>
  <c r="AE52" i="12"/>
  <c r="AF52" i="12" s="1"/>
  <c r="AG52" i="12" s="1"/>
  <c r="AH52" i="12" s="1"/>
  <c r="AJ52" i="12" s="1"/>
  <c r="AG147" i="12"/>
  <c r="AH147" i="12" s="1"/>
  <c r="AJ147" i="12" s="1"/>
  <c r="AC185" i="12"/>
  <c r="AC122" i="12"/>
  <c r="AD122" i="12" s="1"/>
  <c r="AE122" i="12" s="1"/>
  <c r="AC192" i="12"/>
  <c r="AF267" i="12"/>
  <c r="AG267" i="12" s="1"/>
  <c r="AH267" i="12" s="1"/>
  <c r="AJ267" i="12" s="1"/>
  <c r="AC198" i="12"/>
  <c r="AD198" i="12" s="1"/>
  <c r="AE27" i="12"/>
  <c r="AF27" i="12" s="1"/>
  <c r="AE210" i="12"/>
  <c r="AF210" i="12" s="1"/>
  <c r="AG210" i="12" s="1"/>
  <c r="AH210" i="12" s="1"/>
  <c r="AJ210" i="12" s="1"/>
  <c r="AE104" i="12"/>
  <c r="AF104" i="12" s="1"/>
  <c r="AK104" i="12" s="1"/>
  <c r="AF238" i="12"/>
  <c r="AG238" i="12" s="1"/>
  <c r="AH238" i="12" s="1"/>
  <c r="AJ238" i="12" s="1"/>
  <c r="AE75" i="12"/>
  <c r="AF75" i="12" s="1"/>
  <c r="AD76" i="12"/>
  <c r="AE76" i="12" s="1"/>
  <c r="AE116" i="12"/>
  <c r="AC176" i="12"/>
  <c r="AE289" i="12"/>
  <c r="AF289" i="12" s="1"/>
  <c r="AF237" i="12"/>
  <c r="AG237" i="12" s="1"/>
  <c r="AE138" i="12"/>
  <c r="AF138" i="12" s="1"/>
  <c r="AG138" i="12" s="1"/>
  <c r="AD108" i="12"/>
  <c r="AC208" i="12"/>
  <c r="AE142" i="12"/>
  <c r="AC328" i="12"/>
  <c r="AD328" i="12" s="1"/>
  <c r="AB327" i="12"/>
  <c r="AC156" i="12"/>
  <c r="AC174" i="12"/>
  <c r="AD174" i="12" s="1"/>
  <c r="AE153" i="12"/>
  <c r="AF153" i="12" s="1"/>
  <c r="AG153" i="12" s="1"/>
  <c r="AD31" i="12"/>
  <c r="AD47" i="12"/>
  <c r="AE47" i="12" s="1"/>
  <c r="AC84" i="12"/>
  <c r="AD84" i="12" s="1"/>
  <c r="AC100" i="12"/>
  <c r="AD224" i="12"/>
  <c r="AE224" i="12" s="1"/>
  <c r="AC247" i="12"/>
  <c r="AD247" i="12" s="1"/>
  <c r="AE305" i="12"/>
  <c r="AF305" i="12" s="1"/>
  <c r="AG305" i="12" s="1"/>
  <c r="AD241" i="12"/>
  <c r="AE241" i="12" s="1"/>
  <c r="AE335" i="12"/>
  <c r="AG93" i="12"/>
  <c r="AH93" i="12" s="1"/>
  <c r="AE63" i="12"/>
  <c r="AF63" i="12" s="1"/>
  <c r="AD132" i="12"/>
  <c r="AD215" i="12"/>
  <c r="AC298" i="12"/>
  <c r="AD298" i="12" s="1"/>
  <c r="AE258" i="12"/>
  <c r="AF258" i="12" s="1"/>
  <c r="AC231" i="12"/>
  <c r="AD231" i="12" s="1"/>
  <c r="AE264" i="12"/>
  <c r="AG130" i="12"/>
  <c r="AH130" i="12" s="1"/>
  <c r="AJ130" i="12" s="1"/>
  <c r="AE127" i="12"/>
  <c r="AH62" i="12"/>
  <c r="AJ62" i="12" s="1"/>
  <c r="AE141" i="12"/>
  <c r="AF141" i="12" s="1"/>
  <c r="AG141" i="12" s="1"/>
  <c r="AE149" i="12"/>
  <c r="AF149" i="12" s="1"/>
  <c r="AD261" i="12"/>
  <c r="AD299" i="12"/>
  <c r="AE299" i="12" s="1"/>
  <c r="AD256" i="12"/>
  <c r="AE107" i="12"/>
  <c r="AF107" i="12" s="1"/>
  <c r="AC23" i="12"/>
  <c r="AD23" i="12" s="1"/>
  <c r="AE113" i="12"/>
  <c r="AF113" i="12" s="1"/>
  <c r="AC245" i="12"/>
  <c r="AD245" i="12" s="1"/>
  <c r="AC295" i="12"/>
  <c r="AG236" i="12"/>
  <c r="AH236" i="12" s="1"/>
  <c r="AJ236" i="12" s="1"/>
  <c r="AC278" i="12"/>
  <c r="AD278" i="12" s="1"/>
  <c r="AC313" i="12"/>
  <c r="AD287" i="12"/>
  <c r="AE287" i="12" s="1"/>
  <c r="AC341" i="12"/>
  <c r="AD341" i="12" s="1"/>
  <c r="AD151" i="12"/>
  <c r="AE151" i="12" s="1"/>
  <c r="AD101" i="12"/>
  <c r="AE101" i="12" s="1"/>
  <c r="AC250" i="12"/>
  <c r="AD250" i="12" s="1"/>
  <c r="AF235" i="12"/>
  <c r="AG235" i="12" s="1"/>
  <c r="AD243" i="12"/>
  <c r="AE243" i="12" s="1"/>
  <c r="AF243" i="12" s="1"/>
  <c r="AG243" i="12" s="1"/>
  <c r="AC284" i="12"/>
  <c r="AE304" i="12"/>
  <c r="AF304" i="12" s="1"/>
  <c r="AC154" i="12"/>
  <c r="AD154" i="12" s="1"/>
  <c r="AB111" i="12"/>
  <c r="AC188" i="12"/>
  <c r="AE338" i="12"/>
  <c r="AF338" i="12" s="1"/>
  <c r="AC162" i="12"/>
  <c r="AC170" i="12"/>
  <c r="AD170" i="12" s="1"/>
  <c r="AE170" i="12" s="1"/>
  <c r="AE126" i="12"/>
  <c r="AF20" i="12"/>
  <c r="AG20" i="12" s="1"/>
  <c r="AE70" i="12"/>
  <c r="AE83" i="12"/>
  <c r="AD99" i="12"/>
  <c r="AF167" i="12"/>
  <c r="AG167" i="12" s="1"/>
  <c r="AH167" i="12" s="1"/>
  <c r="AJ167" i="12" s="1"/>
  <c r="AD21" i="12"/>
  <c r="AC205" i="12"/>
  <c r="AD205" i="12" s="1"/>
  <c r="AH271" i="12"/>
  <c r="AJ271" i="12" s="1"/>
  <c r="AF259" i="12"/>
  <c r="AG259" i="12" s="1"/>
  <c r="AE30" i="12"/>
  <c r="AF155" i="12"/>
  <c r="AG155" i="12" s="1"/>
  <c r="AH155" i="12" s="1"/>
  <c r="AJ155" i="12" s="1"/>
  <c r="AC206" i="12"/>
  <c r="AD206" i="12" s="1"/>
  <c r="AE206" i="12" s="1"/>
  <c r="AC336" i="12"/>
  <c r="AD336" i="12" s="1"/>
  <c r="AE336" i="12" s="1"/>
  <c r="AC196" i="12"/>
  <c r="AF248" i="12"/>
  <c r="AG248" i="12" s="1"/>
  <c r="AC221" i="12"/>
  <c r="AD221" i="12" s="1"/>
  <c r="AD292" i="12"/>
  <c r="AE292" i="12" s="1"/>
  <c r="AE294" i="12"/>
  <c r="AF294" i="12" s="1"/>
  <c r="AD16" i="12"/>
  <c r="AE16" i="12" s="1"/>
  <c r="AF102" i="12"/>
  <c r="AK102" i="12" s="1"/>
  <c r="AE28" i="12"/>
  <c r="AF28" i="12" s="1"/>
  <c r="AG28" i="12" s="1"/>
  <c r="AF112" i="12"/>
  <c r="AE134" i="12"/>
  <c r="AF134" i="12" s="1"/>
  <c r="AE89" i="12"/>
  <c r="AD220" i="12"/>
  <c r="AC260" i="12"/>
  <c r="AD260" i="12" s="1"/>
  <c r="AF281" i="12"/>
  <c r="AE331" i="12"/>
  <c r="AF331" i="12" s="1"/>
  <c r="AC297" i="12"/>
  <c r="AD212" i="12"/>
  <c r="AE212" i="12" s="1"/>
  <c r="AE263" i="12"/>
  <c r="AF263" i="12" s="1"/>
  <c r="AD95" i="12"/>
  <c r="AE95" i="12" s="1"/>
  <c r="AF95" i="12" s="1"/>
  <c r="AC229" i="12"/>
  <c r="AD229" i="12" s="1"/>
  <c r="AC182" i="12"/>
  <c r="AD182" i="12" s="1"/>
  <c r="AE54" i="12"/>
  <c r="AF54" i="12" s="1"/>
  <c r="AE148" i="12"/>
  <c r="AF148" i="12" s="1"/>
  <c r="AG148" i="12" s="1"/>
  <c r="AG254" i="12"/>
  <c r="AH254" i="12" s="1"/>
  <c r="AJ254" i="12" s="1"/>
  <c r="AD240" i="12"/>
  <c r="AE240" i="12" s="1"/>
  <c r="AD91" i="12"/>
  <c r="AE91" i="12" s="1"/>
  <c r="AF91" i="12" s="1"/>
  <c r="AE135" i="12"/>
  <c r="AF135" i="12" s="1"/>
  <c r="AG135" i="12" s="1"/>
  <c r="AH135" i="12" s="1"/>
  <c r="AH179" i="12"/>
  <c r="AJ179" i="12" s="1"/>
  <c r="AE65" i="12"/>
  <c r="AE81" i="12"/>
  <c r="AF81" i="12" s="1"/>
  <c r="AD117" i="12"/>
  <c r="AE117" i="12" s="1"/>
  <c r="AF117" i="12" s="1"/>
  <c r="AD207" i="12"/>
  <c r="AE118" i="12"/>
  <c r="AF118" i="12" s="1"/>
  <c r="AC164" i="12"/>
  <c r="AD164" i="12" s="1"/>
  <c r="AE98" i="12"/>
  <c r="AF98" i="12" s="1"/>
  <c r="AC366" i="12"/>
  <c r="AC365" i="12" s="1"/>
  <c r="AB365" i="12"/>
  <c r="AE131" i="12"/>
  <c r="AF131" i="12" s="1"/>
  <c r="AC25" i="12"/>
  <c r="AD25" i="12" s="1"/>
  <c r="AC96" i="12"/>
  <c r="AF124" i="12"/>
  <c r="AG124" i="12" s="1"/>
  <c r="AF140" i="12"/>
  <c r="AG140" i="12" s="1"/>
  <c r="AC168" i="12"/>
  <c r="AC213" i="12"/>
  <c r="AF223" i="12"/>
  <c r="AG223" i="12" s="1"/>
  <c r="AH223" i="12" s="1"/>
  <c r="AJ223" i="12" s="1"/>
  <c r="AD242" i="12"/>
  <c r="AE242" i="12" s="1"/>
  <c r="AG265" i="12"/>
  <c r="AH265" i="12" s="1"/>
  <c r="AJ265" i="12" s="1"/>
  <c r="AD293" i="12"/>
  <c r="AE293" i="12" s="1"/>
  <c r="AF293" i="12" s="1"/>
  <c r="AD332" i="12"/>
  <c r="AD346" i="12"/>
  <c r="AE346" i="12" s="1"/>
  <c r="AE353" i="12"/>
  <c r="AF353" i="12" s="1"/>
  <c r="AC186" i="12"/>
  <c r="AD186" i="12" s="1"/>
  <c r="AE172" i="12"/>
  <c r="AF115" i="12"/>
  <c r="AG115" i="12" s="1"/>
  <c r="AH115" i="12" s="1"/>
  <c r="AJ115" i="12" s="1"/>
  <c r="AH269" i="12"/>
  <c r="AJ269" i="12" s="1"/>
  <c r="AC53" i="12"/>
  <c r="AD53" i="12" s="1"/>
  <c r="AE53" i="12" s="1"/>
  <c r="AE203" i="12"/>
  <c r="AC51" i="12"/>
  <c r="AE15" i="12"/>
  <c r="AF15" i="12" s="1"/>
  <c r="AE72" i="12"/>
  <c r="AF72" i="12" s="1"/>
  <c r="AG72" i="12" s="1"/>
  <c r="AE291" i="12"/>
  <c r="AE244" i="12"/>
  <c r="AF244" i="12" s="1"/>
  <c r="AC343" i="12"/>
  <c r="AE318" i="12"/>
  <c r="AF318" i="12" s="1"/>
  <c r="AD103" i="12"/>
  <c r="AE103" i="12" s="1"/>
  <c r="AD119" i="12"/>
  <c r="AH29" i="12"/>
  <c r="AJ29" i="12" s="1"/>
  <c r="AF33" i="12"/>
  <c r="AG33" i="12" s="1"/>
  <c r="AF262" i="12"/>
  <c r="AG262" i="12" s="1"/>
  <c r="AH86" i="12"/>
  <c r="AD312" i="12"/>
  <c r="AE312" i="12" s="1"/>
  <c r="AF317" i="12"/>
  <c r="AG317" i="12" s="1"/>
  <c r="AC330" i="12"/>
  <c r="AD316" i="12"/>
  <c r="AC178" i="12"/>
  <c r="AG35" i="12"/>
  <c r="AH35" i="12" s="1"/>
  <c r="AJ35" i="12" s="1"/>
  <c r="AE82" i="12"/>
  <c r="AD45" i="12"/>
  <c r="AE183" i="12"/>
  <c r="AF183" i="12" s="1"/>
  <c r="AD14" i="12"/>
  <c r="AE32" i="12"/>
  <c r="AD85" i="12"/>
  <c r="AC160" i="12"/>
  <c r="AD160" i="12" s="1"/>
  <c r="AE209" i="12"/>
  <c r="AF209" i="12" s="1"/>
  <c r="AD226" i="12"/>
  <c r="AC302" i="12"/>
  <c r="AD302" i="12" s="1"/>
  <c r="AC194" i="12"/>
  <c r="AD194" i="12" s="1"/>
  <c r="AF150" i="12"/>
  <c r="AG150" i="12" s="1"/>
  <c r="AG136" i="12"/>
  <c r="AH136" i="12" s="1"/>
  <c r="AF175" i="12"/>
  <c r="AG175" i="12" s="1"/>
  <c r="AG129" i="12"/>
  <c r="AH129" i="12" s="1"/>
  <c r="AJ129" i="12" s="1"/>
  <c r="AF311" i="12"/>
  <c r="AF163" i="12"/>
  <c r="AG163" i="12" s="1"/>
  <c r="AH163" i="12" s="1"/>
  <c r="AJ163" i="12" s="1"/>
  <c r="AC49" i="12"/>
  <c r="AC166" i="12"/>
  <c r="AD97" i="12"/>
  <c r="AD133" i="12"/>
  <c r="AC233" i="12"/>
  <c r="AD233" i="12" s="1"/>
  <c r="AE249" i="12"/>
  <c r="AE315" i="12"/>
  <c r="AF315" i="12" s="1"/>
  <c r="AD340" i="12"/>
  <c r="AE340" i="12" s="1"/>
  <c r="AE46" i="12"/>
  <c r="AG34" i="12"/>
  <c r="AH34" i="12" s="1"/>
  <c r="AJ34" i="12" s="1"/>
  <c r="AC280" i="12"/>
  <c r="AD280" i="12" s="1"/>
  <c r="AF159" i="12"/>
  <c r="AG18" i="12"/>
  <c r="AH18" i="12" s="1"/>
  <c r="AJ18" i="12" s="1"/>
  <c r="AC158" i="12"/>
  <c r="AD158" i="12" s="1"/>
  <c r="AE114" i="12"/>
  <c r="AE211" i="12"/>
  <c r="AF211" i="12" s="1"/>
  <c r="AH61" i="12"/>
  <c r="AJ61" i="12" s="1"/>
  <c r="AC184" i="12"/>
  <c r="AF288" i="12"/>
  <c r="AF69" i="12"/>
  <c r="AG69" i="12" s="1"/>
  <c r="AC222" i="12"/>
  <c r="AG290" i="12"/>
  <c r="AH290" i="12" s="1"/>
  <c r="AJ290" i="12" s="1"/>
  <c r="AE306" i="12"/>
  <c r="AE310" i="12"/>
  <c r="AF310" i="12" s="1"/>
  <c r="AG310" i="12" s="1"/>
  <c r="AH310" i="12" s="1"/>
  <c r="AJ310" i="12" s="1"/>
  <c r="AE68" i="12"/>
  <c r="AF68" i="12" s="1"/>
  <c r="AF90" i="12"/>
  <c r="AG90" i="12" s="1"/>
  <c r="AC227" i="12"/>
  <c r="AD227" i="12" s="1"/>
  <c r="AD246" i="12"/>
  <c r="AD279" i="12"/>
  <c r="AC354" i="12"/>
  <c r="AD354" i="12" s="1"/>
  <c r="AD342" i="12"/>
  <c r="AF308" i="12"/>
  <c r="AF347" i="12"/>
  <c r="AC339" i="12"/>
  <c r="AC349" i="12"/>
  <c r="AD349" i="12" s="1"/>
  <c r="AE349" i="12" s="1"/>
  <c r="AE351" i="12"/>
  <c r="AD307" i="12"/>
  <c r="AE307" i="12" s="1"/>
  <c r="AC190" i="12"/>
  <c r="AD190" i="12" s="1"/>
  <c r="AD26" i="12"/>
  <c r="AD87" i="12"/>
  <c r="AE87" i="12" s="1"/>
  <c r="AD199" i="12"/>
  <c r="AE199" i="12" s="1"/>
  <c r="AD200" i="12"/>
  <c r="AD257" i="12"/>
  <c r="AE257" i="12" s="1"/>
  <c r="AD352" i="12"/>
  <c r="AE274" i="12"/>
  <c r="AD283" i="12"/>
  <c r="AD356" i="12"/>
  <c r="AG272" i="12"/>
  <c r="AH272" i="12" s="1"/>
  <c r="AJ272" i="12" s="1"/>
  <c r="AD88" i="12"/>
  <c r="AD109" i="12"/>
  <c r="AE337" i="12"/>
  <c r="AF337" i="12" s="1"/>
  <c r="AH66" i="12" l="1"/>
  <c r="AG169" i="12"/>
  <c r="AH169" i="12" s="1"/>
  <c r="AJ169" i="12" s="1"/>
  <c r="AH22" i="12"/>
  <c r="AJ22" i="12" s="1"/>
  <c r="AF217" i="12"/>
  <c r="AG217" i="12" s="1"/>
  <c r="AE145" i="12"/>
  <c r="AF145" i="12" s="1"/>
  <c r="AH161" i="12"/>
  <c r="AJ161" i="12" s="1"/>
  <c r="AF128" i="12"/>
  <c r="AG128" i="12" s="1"/>
  <c r="AF193" i="12"/>
  <c r="AG193" i="12" s="1"/>
  <c r="AF123" i="12"/>
  <c r="AG123" i="12" s="1"/>
  <c r="AH123" i="12" s="1"/>
  <c r="AJ123" i="12" s="1"/>
  <c r="AC56" i="12"/>
  <c r="AF329" i="12"/>
  <c r="AG329" i="12" s="1"/>
  <c r="AF22" i="13"/>
  <c r="AF121" i="12"/>
  <c r="AG121" i="12" s="1"/>
  <c r="AH121" i="12" s="1"/>
  <c r="AJ121" i="12" s="1"/>
  <c r="AA13" i="13"/>
  <c r="AA11" i="13" s="1"/>
  <c r="AF242" i="12"/>
  <c r="AG242" i="12" s="1"/>
  <c r="AH242" i="12" s="1"/>
  <c r="AJ242" i="12" s="1"/>
  <c r="AJ78" i="12"/>
  <c r="AF307" i="12"/>
  <c r="AG307" i="12" s="1"/>
  <c r="AD134" i="13"/>
  <c r="AF134" i="13" s="1"/>
  <c r="AC227" i="13"/>
  <c r="AD227" i="13" s="1"/>
  <c r="AF227" i="13" s="1"/>
  <c r="AC280" i="13"/>
  <c r="AD280" i="13" s="1"/>
  <c r="AF280" i="13" s="1"/>
  <c r="AC63" i="13"/>
  <c r="AD63" i="13" s="1"/>
  <c r="AF63" i="13" s="1"/>
  <c r="AC236" i="13"/>
  <c r="AD236" i="13" s="1"/>
  <c r="AF236" i="13" s="1"/>
  <c r="AC130" i="13"/>
  <c r="AD130" i="13" s="1"/>
  <c r="AF130" i="13" s="1"/>
  <c r="AD146" i="13"/>
  <c r="AF146" i="13" s="1"/>
  <c r="AC158" i="13"/>
  <c r="AD158" i="13" s="1"/>
  <c r="AF158" i="13" s="1"/>
  <c r="AD279" i="13"/>
  <c r="AF279" i="13" s="1"/>
  <c r="AD202" i="13"/>
  <c r="AF202" i="13" s="1"/>
  <c r="AB165" i="13"/>
  <c r="AC165" i="13" s="1"/>
  <c r="AD165" i="13" s="1"/>
  <c r="AF165" i="13" s="1"/>
  <c r="AB95" i="13"/>
  <c r="AC95" i="13" s="1"/>
  <c r="AC14" i="13"/>
  <c r="AC184" i="13"/>
  <c r="AD184" i="13" s="1"/>
  <c r="AF184" i="13" s="1"/>
  <c r="AC187" i="13"/>
  <c r="AD187" i="13" s="1"/>
  <c r="AF187" i="13" s="1"/>
  <c r="AC194" i="13"/>
  <c r="AD194" i="13" s="1"/>
  <c r="AF194" i="13" s="1"/>
  <c r="AB339" i="13"/>
  <c r="AB142" i="13"/>
  <c r="AC126" i="13"/>
  <c r="AD126" i="13" s="1"/>
  <c r="AF126" i="13" s="1"/>
  <c r="AC339" i="13"/>
  <c r="AD340" i="13"/>
  <c r="AC200" i="13"/>
  <c r="AD200" i="13" s="1"/>
  <c r="AF200" i="13" s="1"/>
  <c r="AD138" i="13"/>
  <c r="AF138" i="13" s="1"/>
  <c r="AD34" i="13"/>
  <c r="AF34" i="13" s="1"/>
  <c r="AC267" i="13"/>
  <c r="AD267" i="13" s="1"/>
  <c r="AF267" i="13" s="1"/>
  <c r="AH17" i="12"/>
  <c r="AJ17" i="12" s="1"/>
  <c r="AD13" i="12"/>
  <c r="AG75" i="12"/>
  <c r="AH75" i="12" s="1"/>
  <c r="AC13" i="12"/>
  <c r="AC74" i="12"/>
  <c r="AJ144" i="12"/>
  <c r="AK144" i="12"/>
  <c r="AJ136" i="12"/>
  <c r="AK136" i="12"/>
  <c r="AJ225" i="12"/>
  <c r="AK225" i="12"/>
  <c r="AJ66" i="12"/>
  <c r="AK66" i="12"/>
  <c r="AJ146" i="12"/>
  <c r="AK146" i="12"/>
  <c r="AJ135" i="12"/>
  <c r="AK135" i="12"/>
  <c r="AF19" i="12"/>
  <c r="AG19" i="12" s="1"/>
  <c r="AH19" i="12" s="1"/>
  <c r="AJ19" i="12" s="1"/>
  <c r="AJ86" i="12"/>
  <c r="AK86" i="12"/>
  <c r="AJ93" i="12"/>
  <c r="AK93" i="12"/>
  <c r="AE109" i="12"/>
  <c r="AF109" i="12" s="1"/>
  <c r="AH59" i="12"/>
  <c r="AJ59" i="12" s="1"/>
  <c r="AE58" i="12"/>
  <c r="AF58" i="12" s="1"/>
  <c r="AG67" i="12"/>
  <c r="AH67" i="12" s="1"/>
  <c r="AJ67" i="12" s="1"/>
  <c r="AF202" i="12"/>
  <c r="AG202" i="12" s="1"/>
  <c r="AH202" i="12" s="1"/>
  <c r="AJ202" i="12" s="1"/>
  <c r="AG338" i="12"/>
  <c r="AH338" i="12" s="1"/>
  <c r="AJ338" i="12" s="1"/>
  <c r="AF87" i="12"/>
  <c r="AE280" i="12"/>
  <c r="AF280" i="12" s="1"/>
  <c r="AG258" i="12"/>
  <c r="AH258" i="12" s="1"/>
  <c r="AJ258" i="12" s="1"/>
  <c r="AG102" i="12"/>
  <c r="AH102" i="12" s="1"/>
  <c r="AJ102" i="12" s="1"/>
  <c r="AF170" i="12"/>
  <c r="AF201" i="12"/>
  <c r="AE125" i="12"/>
  <c r="AF125" i="12" s="1"/>
  <c r="AG125" i="12" s="1"/>
  <c r="AH125" i="12" s="1"/>
  <c r="AJ125" i="12" s="1"/>
  <c r="AH296" i="12"/>
  <c r="AJ296" i="12" s="1"/>
  <c r="AG348" i="12"/>
  <c r="AH348" i="12" s="1"/>
  <c r="AJ348" i="12" s="1"/>
  <c r="AH69" i="12"/>
  <c r="AJ69" i="12" s="1"/>
  <c r="AH128" i="12"/>
  <c r="AJ128" i="12" s="1"/>
  <c r="AG294" i="12"/>
  <c r="AH294" i="12" s="1"/>
  <c r="AJ294" i="12" s="1"/>
  <c r="AE182" i="12"/>
  <c r="AF182" i="12" s="1"/>
  <c r="AG182" i="12" s="1"/>
  <c r="AH253" i="12"/>
  <c r="AJ253" i="12" s="1"/>
  <c r="AG152" i="12"/>
  <c r="AH152" i="12" s="1"/>
  <c r="AD313" i="12"/>
  <c r="AE234" i="12"/>
  <c r="AF234" i="12" s="1"/>
  <c r="AE191" i="12"/>
  <c r="AF191" i="12" s="1"/>
  <c r="AG191" i="12" s="1"/>
  <c r="AG230" i="12"/>
  <c r="AH230" i="12" s="1"/>
  <c r="AJ230" i="12" s="1"/>
  <c r="AG57" i="12"/>
  <c r="AH57" i="12" s="1"/>
  <c r="AJ57" i="12" s="1"/>
  <c r="AE64" i="12"/>
  <c r="AF64" i="12" s="1"/>
  <c r="AD56" i="12"/>
  <c r="AH218" i="12"/>
  <c r="AJ218" i="12" s="1"/>
  <c r="AE197" i="12"/>
  <c r="AF197" i="12" s="1"/>
  <c r="AG197" i="12" s="1"/>
  <c r="AH197" i="12" s="1"/>
  <c r="AJ197" i="12" s="1"/>
  <c r="AG171" i="12"/>
  <c r="AH171" i="12" s="1"/>
  <c r="AJ171" i="12" s="1"/>
  <c r="AG270" i="12"/>
  <c r="AH270" i="12" s="1"/>
  <c r="AJ270" i="12" s="1"/>
  <c r="AF101" i="12"/>
  <c r="AG101" i="12" s="1"/>
  <c r="AH101" i="12" s="1"/>
  <c r="AJ101" i="12" s="1"/>
  <c r="AG113" i="12"/>
  <c r="AH113" i="12" s="1"/>
  <c r="AJ113" i="12" s="1"/>
  <c r="AH204" i="12"/>
  <c r="AJ204" i="12" s="1"/>
  <c r="AD105" i="12"/>
  <c r="AE105" i="12" s="1"/>
  <c r="AH94" i="12"/>
  <c r="AH255" i="12"/>
  <c r="AJ255" i="12" s="1"/>
  <c r="AE80" i="12"/>
  <c r="AF80" i="12" s="1"/>
  <c r="AE251" i="12"/>
  <c r="AE309" i="12"/>
  <c r="AF309" i="12" s="1"/>
  <c r="AG60" i="12"/>
  <c r="AH60" i="12" s="1"/>
  <c r="AJ60" i="12" s="1"/>
  <c r="AF355" i="12"/>
  <c r="AG355" i="12" s="1"/>
  <c r="AH355" i="12" s="1"/>
  <c r="AJ355" i="12" s="1"/>
  <c r="AH235" i="12"/>
  <c r="AJ235" i="12" s="1"/>
  <c r="AH317" i="12"/>
  <c r="AJ317" i="12" s="1"/>
  <c r="AC345" i="12"/>
  <c r="AD184" i="12"/>
  <c r="AE184" i="12" s="1"/>
  <c r="AH90" i="12"/>
  <c r="AF306" i="12"/>
  <c r="AG306" i="12" s="1"/>
  <c r="AE233" i="12"/>
  <c r="AF233" i="12" s="1"/>
  <c r="AG233" i="12" s="1"/>
  <c r="AE194" i="12"/>
  <c r="AF194" i="12" s="1"/>
  <c r="AH193" i="12"/>
  <c r="AJ193" i="12" s="1"/>
  <c r="AE260" i="12"/>
  <c r="AF260" i="12" s="1"/>
  <c r="AH248" i="12"/>
  <c r="AJ248" i="12" s="1"/>
  <c r="AH20" i="12"/>
  <c r="AJ20" i="12" s="1"/>
  <c r="AE154" i="12"/>
  <c r="AF154" i="12" s="1"/>
  <c r="AD284" i="12"/>
  <c r="AE284" i="12" s="1"/>
  <c r="AD295" i="12"/>
  <c r="AE295" i="12" s="1"/>
  <c r="AF295" i="12" s="1"/>
  <c r="AE261" i="12"/>
  <c r="AF261" i="12" s="1"/>
  <c r="AG261" i="12" s="1"/>
  <c r="AF241" i="12"/>
  <c r="AG241" i="12" s="1"/>
  <c r="AH241" i="12" s="1"/>
  <c r="AJ241" i="12" s="1"/>
  <c r="AF122" i="12"/>
  <c r="AG122" i="12" s="1"/>
  <c r="AH122" i="12" s="1"/>
  <c r="AJ122" i="12" s="1"/>
  <c r="AH137" i="12"/>
  <c r="AJ137" i="12" s="1"/>
  <c r="AH150" i="12"/>
  <c r="AJ150" i="12" s="1"/>
  <c r="AH300" i="12"/>
  <c r="AJ300" i="12" s="1"/>
  <c r="AE283" i="12"/>
  <c r="AF283" i="12" s="1"/>
  <c r="AF199" i="12"/>
  <c r="AG199" i="12" s="1"/>
  <c r="AH199" i="12" s="1"/>
  <c r="AJ199" i="12" s="1"/>
  <c r="AE227" i="12"/>
  <c r="AF227" i="12" s="1"/>
  <c r="AD185" i="12"/>
  <c r="AE185" i="12" s="1"/>
  <c r="AD282" i="12"/>
  <c r="AE282" i="12" s="1"/>
  <c r="AF282" i="12" s="1"/>
  <c r="AG143" i="12"/>
  <c r="AH143" i="12" s="1"/>
  <c r="AJ143" i="12" s="1"/>
  <c r="AF214" i="12"/>
  <c r="AG353" i="12"/>
  <c r="AH353" i="12" s="1"/>
  <c r="AJ353" i="12" s="1"/>
  <c r="AG95" i="12"/>
  <c r="AH95" i="12" s="1"/>
  <c r="AG36" i="12"/>
  <c r="AH36" i="12" s="1"/>
  <c r="AJ36" i="12" s="1"/>
  <c r="AH28" i="12"/>
  <c r="AJ28" i="12" s="1"/>
  <c r="AC111" i="12"/>
  <c r="AE278" i="12"/>
  <c r="AF278" i="12" s="1"/>
  <c r="AG289" i="12"/>
  <c r="AH289" i="12" s="1"/>
  <c r="AJ289" i="12" s="1"/>
  <c r="AG157" i="12"/>
  <c r="AH157" i="12" s="1"/>
  <c r="AF351" i="12"/>
  <c r="AG351" i="12" s="1"/>
  <c r="AH351" i="12" s="1"/>
  <c r="AJ351" i="12" s="1"/>
  <c r="AG347" i="12"/>
  <c r="AH347" i="12" s="1"/>
  <c r="AJ347" i="12" s="1"/>
  <c r="AG159" i="12"/>
  <c r="AH159" i="12" s="1"/>
  <c r="AF180" i="12"/>
  <c r="AG180" i="12" s="1"/>
  <c r="AH180" i="12" s="1"/>
  <c r="AF252" i="12"/>
  <c r="AF274" i="12"/>
  <c r="AG274" i="12" s="1"/>
  <c r="AH274" i="12" s="1"/>
  <c r="AJ274" i="12" s="1"/>
  <c r="AE279" i="12"/>
  <c r="AF279" i="12" s="1"/>
  <c r="AE200" i="12"/>
  <c r="AF200" i="12" s="1"/>
  <c r="AG200" i="12" s="1"/>
  <c r="AF349" i="12"/>
  <c r="AG349" i="12" s="1"/>
  <c r="AH349" i="12" s="1"/>
  <c r="AJ349" i="12" s="1"/>
  <c r="AD222" i="12"/>
  <c r="AE222" i="12" s="1"/>
  <c r="AF346" i="12"/>
  <c r="AG346" i="12" s="1"/>
  <c r="AG311" i="12"/>
  <c r="AH311" i="12" s="1"/>
  <c r="AJ311" i="12" s="1"/>
  <c r="AF312" i="12"/>
  <c r="AG312" i="12" s="1"/>
  <c r="AG318" i="12"/>
  <c r="AH318" i="12" s="1"/>
  <c r="AJ318" i="12" s="1"/>
  <c r="AE221" i="12"/>
  <c r="AF221" i="12" s="1"/>
  <c r="AG304" i="12"/>
  <c r="AH304" i="12" s="1"/>
  <c r="AJ304" i="12" s="1"/>
  <c r="AE352" i="12"/>
  <c r="AE190" i="12"/>
  <c r="AF190" i="12" s="1"/>
  <c r="AG190" i="12" s="1"/>
  <c r="AG308" i="12"/>
  <c r="AH308" i="12" s="1"/>
  <c r="AJ308" i="12" s="1"/>
  <c r="AE354" i="12"/>
  <c r="AF354" i="12" s="1"/>
  <c r="AE246" i="12"/>
  <c r="AG68" i="12"/>
  <c r="AH68" i="12" s="1"/>
  <c r="AJ68" i="12" s="1"/>
  <c r="AG288" i="12"/>
  <c r="AH288" i="12" s="1"/>
  <c r="AJ288" i="12" s="1"/>
  <c r="AF114" i="12"/>
  <c r="AG114" i="12" s="1"/>
  <c r="AH114" i="12" s="1"/>
  <c r="AJ114" i="12" s="1"/>
  <c r="AF46" i="12"/>
  <c r="AG46" i="12" s="1"/>
  <c r="AK91" i="12"/>
  <c r="AG54" i="12"/>
  <c r="AH54" i="12" s="1"/>
  <c r="AJ54" i="12" s="1"/>
  <c r="AE205" i="12"/>
  <c r="AF205" i="12" s="1"/>
  <c r="AH243" i="12"/>
  <c r="AJ243" i="12" s="1"/>
  <c r="AE341" i="12"/>
  <c r="AG27" i="12"/>
  <c r="AH27" i="12" s="1"/>
  <c r="AJ27" i="12" s="1"/>
  <c r="AD339" i="12"/>
  <c r="AE339" i="12" s="1"/>
  <c r="AG337" i="12"/>
  <c r="AH337" i="12" s="1"/>
  <c r="AJ337" i="12" s="1"/>
  <c r="AE88" i="12"/>
  <c r="AE356" i="12"/>
  <c r="AF356" i="12" s="1"/>
  <c r="AG356" i="12" s="1"/>
  <c r="AH356" i="12" s="1"/>
  <c r="AJ356" i="12" s="1"/>
  <c r="AF257" i="12"/>
  <c r="AG257" i="12" s="1"/>
  <c r="AE26" i="12"/>
  <c r="AF26" i="12" s="1"/>
  <c r="AG334" i="12"/>
  <c r="AH334" i="12" s="1"/>
  <c r="AJ334" i="12" s="1"/>
  <c r="AE342" i="12"/>
  <c r="AG211" i="12"/>
  <c r="AH211" i="12" s="1"/>
  <c r="AJ211" i="12" s="1"/>
  <c r="AE158" i="12"/>
  <c r="AF158" i="12" s="1"/>
  <c r="AG158" i="12" s="1"/>
  <c r="AF340" i="12"/>
  <c r="AF249" i="12"/>
  <c r="AG249" i="12" s="1"/>
  <c r="AH249" i="12" s="1"/>
  <c r="AJ249" i="12" s="1"/>
  <c r="AD166" i="12"/>
  <c r="AE166" i="12" s="1"/>
  <c r="AF166" i="12" s="1"/>
  <c r="AC44" i="12"/>
  <c r="AD49" i="12"/>
  <c r="AG117" i="12"/>
  <c r="AH117" i="12" s="1"/>
  <c r="AF287" i="12"/>
  <c r="AG287" i="12" s="1"/>
  <c r="AH287" i="12" s="1"/>
  <c r="AJ287" i="12" s="1"/>
  <c r="AH305" i="12"/>
  <c r="AJ305" i="12" s="1"/>
  <c r="AE198" i="12"/>
  <c r="AF198" i="12" s="1"/>
  <c r="AG198" i="12" s="1"/>
  <c r="AH198" i="12" s="1"/>
  <c r="AJ198" i="12" s="1"/>
  <c r="AH175" i="12"/>
  <c r="AJ175" i="12" s="1"/>
  <c r="AE302" i="12"/>
  <c r="AE160" i="12"/>
  <c r="AF160" i="12" s="1"/>
  <c r="AG183" i="12"/>
  <c r="AH183" i="12" s="1"/>
  <c r="AJ183" i="12" s="1"/>
  <c r="AE45" i="12"/>
  <c r="AF45" i="12" s="1"/>
  <c r="AF82" i="12"/>
  <c r="AD330" i="12"/>
  <c r="AH33" i="12"/>
  <c r="AJ33" i="12" s="1"/>
  <c r="AE119" i="12"/>
  <c r="AF119" i="12" s="1"/>
  <c r="AF103" i="12"/>
  <c r="AK103" i="12" s="1"/>
  <c r="AH72" i="12"/>
  <c r="AJ72" i="12" s="1"/>
  <c r="AD51" i="12"/>
  <c r="AF53" i="12"/>
  <c r="AG53" i="12" s="1"/>
  <c r="AH53" i="12" s="1"/>
  <c r="AJ53" i="12" s="1"/>
  <c r="AH262" i="12"/>
  <c r="AJ262" i="12" s="1"/>
  <c r="AE332" i="12"/>
  <c r="AF332" i="12" s="1"/>
  <c r="AD96" i="12"/>
  <c r="AH303" i="12"/>
  <c r="AJ303" i="12" s="1"/>
  <c r="AG139" i="12"/>
  <c r="AH139" i="12" s="1"/>
  <c r="AE207" i="12"/>
  <c r="AF240" i="12"/>
  <c r="AG240" i="12" s="1"/>
  <c r="AH240" i="12" s="1"/>
  <c r="AJ240" i="12" s="1"/>
  <c r="AH216" i="12"/>
  <c r="AJ216" i="12" s="1"/>
  <c r="AH148" i="12"/>
  <c r="AJ148" i="12" s="1"/>
  <c r="AH140" i="12"/>
  <c r="AJ140" i="12" s="1"/>
  <c r="AG134" i="12"/>
  <c r="AH134" i="12" s="1"/>
  <c r="AG112" i="12"/>
  <c r="AF16" i="12"/>
  <c r="AG16" i="12" s="1"/>
  <c r="AH16" i="12" s="1"/>
  <c r="AJ16" i="12" s="1"/>
  <c r="AF92" i="12"/>
  <c r="AG92" i="12" s="1"/>
  <c r="AF336" i="12"/>
  <c r="AE99" i="12"/>
  <c r="AF99" i="12" s="1"/>
  <c r="AG15" i="12"/>
  <c r="AH15" i="12" s="1"/>
  <c r="AJ15" i="12" s="1"/>
  <c r="AE250" i="12"/>
  <c r="AF250" i="12" s="1"/>
  <c r="AF151" i="12"/>
  <c r="AG151" i="12" s="1"/>
  <c r="AF30" i="12"/>
  <c r="AG30" i="12" s="1"/>
  <c r="AE316" i="12"/>
  <c r="AE245" i="12"/>
  <c r="AE21" i="12"/>
  <c r="AF21" i="12" s="1"/>
  <c r="AG107" i="12"/>
  <c r="AH107" i="12" s="1"/>
  <c r="AJ107" i="12" s="1"/>
  <c r="AF264" i="12"/>
  <c r="AG264" i="12" s="1"/>
  <c r="AE298" i="12"/>
  <c r="AF298" i="12" s="1"/>
  <c r="AG298" i="12" s="1"/>
  <c r="AH124" i="12"/>
  <c r="AH79" i="12"/>
  <c r="AG63" i="12"/>
  <c r="AH63" i="12" s="1"/>
  <c r="AJ63" i="12" s="1"/>
  <c r="AE247" i="12"/>
  <c r="AF247" i="12" s="1"/>
  <c r="AF70" i="12"/>
  <c r="AG70" i="12" s="1"/>
  <c r="AH153" i="12"/>
  <c r="AJ153" i="12" s="1"/>
  <c r="AE174" i="12"/>
  <c r="AF174" i="12" s="1"/>
  <c r="AE328" i="12"/>
  <c r="AC327" i="12"/>
  <c r="AF142" i="12"/>
  <c r="AG149" i="12"/>
  <c r="AH149" i="12" s="1"/>
  <c r="AJ149" i="12" s="1"/>
  <c r="AH138" i="12"/>
  <c r="AJ138" i="12" s="1"/>
  <c r="AH237" i="12"/>
  <c r="AJ237" i="12" s="1"/>
  <c r="AF116" i="12"/>
  <c r="AF76" i="12"/>
  <c r="AG76" i="12" s="1"/>
  <c r="AG91" i="12"/>
  <c r="AH91" i="12" s="1"/>
  <c r="AJ91" i="12" s="1"/>
  <c r="AD192" i="12"/>
  <c r="AH301" i="12"/>
  <c r="AJ301" i="12" s="1"/>
  <c r="AD178" i="12"/>
  <c r="AD343" i="12"/>
  <c r="AF291" i="12"/>
  <c r="AG291" i="12" s="1"/>
  <c r="AD213" i="12"/>
  <c r="AE25" i="12"/>
  <c r="AF25" i="12" s="1"/>
  <c r="AD366" i="12"/>
  <c r="AG165" i="12"/>
  <c r="AH165" i="12" s="1"/>
  <c r="AF65" i="12"/>
  <c r="AE229" i="12"/>
  <c r="AF229" i="12" s="1"/>
  <c r="AF292" i="12"/>
  <c r="AF206" i="12"/>
  <c r="AG206" i="12" s="1"/>
  <c r="AD162" i="12"/>
  <c r="AF32" i="12"/>
  <c r="AG32" i="12" s="1"/>
  <c r="AE256" i="12"/>
  <c r="AF256" i="12" s="1"/>
  <c r="AG256" i="12" s="1"/>
  <c r="AF106" i="12"/>
  <c r="AF224" i="12"/>
  <c r="AG224" i="12" s="1"/>
  <c r="AH224" i="12" s="1"/>
  <c r="AJ224" i="12" s="1"/>
  <c r="AE220" i="12"/>
  <c r="AF220" i="12" s="1"/>
  <c r="AD208" i="12"/>
  <c r="AG104" i="12"/>
  <c r="AH104" i="12" s="1"/>
  <c r="AJ104" i="12" s="1"/>
  <c r="AF47" i="12"/>
  <c r="AG331" i="12"/>
  <c r="AH331" i="12" s="1"/>
  <c r="AG209" i="12"/>
  <c r="AH209" i="12" s="1"/>
  <c r="AJ209" i="12" s="1"/>
  <c r="AE133" i="12"/>
  <c r="AE226" i="12"/>
  <c r="AF226" i="12" s="1"/>
  <c r="AG226" i="12" s="1"/>
  <c r="AH226" i="12" s="1"/>
  <c r="AJ226" i="12" s="1"/>
  <c r="AE85" i="12"/>
  <c r="AE14" i="12"/>
  <c r="AJ77" i="12"/>
  <c r="AE97" i="12"/>
  <c r="AF97" i="12" s="1"/>
  <c r="AF203" i="12"/>
  <c r="AG203" i="12" s="1"/>
  <c r="AE186" i="12"/>
  <c r="AD345" i="12"/>
  <c r="AG293" i="12"/>
  <c r="AH293" i="12" s="1"/>
  <c r="AJ293" i="12" s="1"/>
  <c r="AD168" i="12"/>
  <c r="AG131" i="12"/>
  <c r="AH131" i="12" s="1"/>
  <c r="AJ131" i="12" s="1"/>
  <c r="AG98" i="12"/>
  <c r="AH98" i="12" s="1"/>
  <c r="AE164" i="12"/>
  <c r="AF164" i="12" s="1"/>
  <c r="AG118" i="12"/>
  <c r="AH118" i="12" s="1"/>
  <c r="AJ118" i="12" s="1"/>
  <c r="AF207" i="12"/>
  <c r="AG207" i="12" s="1"/>
  <c r="AH141" i="12"/>
  <c r="AG263" i="12"/>
  <c r="AH263" i="12" s="1"/>
  <c r="AJ263" i="12" s="1"/>
  <c r="AF212" i="12"/>
  <c r="AD297" i="12"/>
  <c r="AE297" i="12" s="1"/>
  <c r="AF89" i="12"/>
  <c r="AG315" i="12"/>
  <c r="AH315" i="12" s="1"/>
  <c r="AJ315" i="12" s="1"/>
  <c r="AD196" i="12"/>
  <c r="AF126" i="12"/>
  <c r="AD188" i="12"/>
  <c r="AE23" i="12"/>
  <c r="AF23" i="12" s="1"/>
  <c r="AG23" i="12" s="1"/>
  <c r="AK107" i="12"/>
  <c r="AF299" i="12"/>
  <c r="AG81" i="12"/>
  <c r="AH81" i="12" s="1"/>
  <c r="AE215" i="12"/>
  <c r="AE132" i="12"/>
  <c r="AD100" i="12"/>
  <c r="AE100" i="12" s="1"/>
  <c r="AE84" i="12"/>
  <c r="AE31" i="12"/>
  <c r="AF83" i="12"/>
  <c r="AK83" i="12" s="1"/>
  <c r="AD156" i="12"/>
  <c r="AE108" i="12"/>
  <c r="AF108" i="12" s="1"/>
  <c r="AH259" i="12"/>
  <c r="AJ259" i="12" s="1"/>
  <c r="AG103" i="12"/>
  <c r="AH103" i="12" s="1"/>
  <c r="AJ103" i="12" s="1"/>
  <c r="AF228" i="12"/>
  <c r="AG228" i="12" s="1"/>
  <c r="AH228" i="12" s="1"/>
  <c r="AJ228" i="12" s="1"/>
  <c r="AG244" i="12"/>
  <c r="AH244" i="12" s="1"/>
  <c r="AJ244" i="12" s="1"/>
  <c r="AF172" i="12"/>
  <c r="AG172" i="12" s="1"/>
  <c r="AE231" i="12"/>
  <c r="AF127" i="12"/>
  <c r="AG127" i="12" s="1"/>
  <c r="AD176" i="12"/>
  <c r="AF335" i="12"/>
  <c r="AG335" i="12" s="1"/>
  <c r="AG281" i="12"/>
  <c r="AH281" i="12" s="1"/>
  <c r="AJ281" i="12" s="1"/>
  <c r="AH217" i="12" l="1"/>
  <c r="AJ217" i="12" s="1"/>
  <c r="AG145" i="12"/>
  <c r="AH145" i="12" s="1"/>
  <c r="AJ145" i="12" s="1"/>
  <c r="AH329" i="12"/>
  <c r="AJ329" i="12" s="1"/>
  <c r="AB13" i="13"/>
  <c r="AB11" i="13" s="1"/>
  <c r="AH307" i="12"/>
  <c r="AJ307" i="12" s="1"/>
  <c r="AD74" i="12"/>
  <c r="AD95" i="13"/>
  <c r="AF95" i="13" s="1"/>
  <c r="AD14" i="13"/>
  <c r="AC142" i="13"/>
  <c r="AD142" i="13" s="1"/>
  <c r="AF142" i="13" s="1"/>
  <c r="AD339" i="13"/>
  <c r="AF340" i="13"/>
  <c r="AF339" i="13" s="1"/>
  <c r="AG250" i="12"/>
  <c r="AH250" i="12" s="1"/>
  <c r="AJ250" i="12" s="1"/>
  <c r="AF14" i="12"/>
  <c r="AG14" i="12" s="1"/>
  <c r="AE13" i="12"/>
  <c r="AE56" i="12"/>
  <c r="AL56" i="12" s="1"/>
  <c r="AJ152" i="12"/>
  <c r="AK152" i="12"/>
  <c r="AJ81" i="12"/>
  <c r="AK81" i="12"/>
  <c r="AJ165" i="12"/>
  <c r="AK165" i="12"/>
  <c r="AJ180" i="12"/>
  <c r="AK180" i="12"/>
  <c r="AJ95" i="12"/>
  <c r="AK95" i="12"/>
  <c r="AJ124" i="12"/>
  <c r="AK124" i="12"/>
  <c r="AJ139" i="12"/>
  <c r="AK139" i="12"/>
  <c r="AJ117" i="12"/>
  <c r="AK117" i="12"/>
  <c r="AJ159" i="12"/>
  <c r="AK159" i="12"/>
  <c r="AJ90" i="12"/>
  <c r="AK90" i="12"/>
  <c r="AJ79" i="12"/>
  <c r="AK79" i="12"/>
  <c r="AJ157" i="12"/>
  <c r="AK157" i="12"/>
  <c r="AJ94" i="12"/>
  <c r="AK94" i="12"/>
  <c r="AJ331" i="12"/>
  <c r="AK331" i="12"/>
  <c r="AJ134" i="12"/>
  <c r="AK134" i="12"/>
  <c r="AJ141" i="12"/>
  <c r="AK141" i="12"/>
  <c r="AJ98" i="12"/>
  <c r="AK98" i="12"/>
  <c r="AG109" i="12"/>
  <c r="AH109" i="12" s="1"/>
  <c r="AJ109" i="12" s="1"/>
  <c r="AK109" i="12"/>
  <c r="AG87" i="12"/>
  <c r="AH87" i="12" s="1"/>
  <c r="AK101" i="12"/>
  <c r="AG170" i="12"/>
  <c r="AH170" i="12" s="1"/>
  <c r="AG58" i="12"/>
  <c r="AH58" i="12" s="1"/>
  <c r="AJ58" i="12" s="1"/>
  <c r="AG280" i="12"/>
  <c r="AH280" i="12" s="1"/>
  <c r="AJ280" i="12" s="1"/>
  <c r="AG83" i="12"/>
  <c r="AH83" i="12" s="1"/>
  <c r="AJ83" i="12" s="1"/>
  <c r="AG282" i="12"/>
  <c r="AH282" i="12" s="1"/>
  <c r="AJ282" i="12" s="1"/>
  <c r="AH306" i="12"/>
  <c r="AJ306" i="12" s="1"/>
  <c r="AG21" i="12"/>
  <c r="AH21" i="12" s="1"/>
  <c r="AJ21" i="12" s="1"/>
  <c r="AF56" i="12"/>
  <c r="AG201" i="12"/>
  <c r="AH201" i="12" s="1"/>
  <c r="AJ201" i="12" s="1"/>
  <c r="AH191" i="12"/>
  <c r="AJ191" i="12" s="1"/>
  <c r="AG234" i="12"/>
  <c r="AH234" i="12" s="1"/>
  <c r="AJ234" i="12" s="1"/>
  <c r="AE313" i="12"/>
  <c r="AF313" i="12" s="1"/>
  <c r="AG313" i="12" s="1"/>
  <c r="AG260" i="12"/>
  <c r="AH260" i="12" s="1"/>
  <c r="AJ260" i="12" s="1"/>
  <c r="AG309" i="12"/>
  <c r="AH309" i="12" s="1"/>
  <c r="AJ309" i="12" s="1"/>
  <c r="AF184" i="12"/>
  <c r="AG184" i="12" s="1"/>
  <c r="AH184" i="12" s="1"/>
  <c r="AJ184" i="12" s="1"/>
  <c r="AG80" i="12"/>
  <c r="AH80" i="12" s="1"/>
  <c r="AK80" i="12" s="1"/>
  <c r="AE96" i="12"/>
  <c r="AE74" i="12" s="1"/>
  <c r="AH206" i="12"/>
  <c r="AJ206" i="12" s="1"/>
  <c r="AE343" i="12"/>
  <c r="AF343" i="12" s="1"/>
  <c r="AH76" i="12"/>
  <c r="AJ76" i="12" s="1"/>
  <c r="AG89" i="12"/>
  <c r="AH89" i="12" s="1"/>
  <c r="AH261" i="12"/>
  <c r="AJ261" i="12" s="1"/>
  <c r="AH207" i="12"/>
  <c r="AJ207" i="12" s="1"/>
  <c r="AH257" i="12"/>
  <c r="AJ257" i="12" s="1"/>
  <c r="AG227" i="12"/>
  <c r="AH227" i="12" s="1"/>
  <c r="AJ227" i="12" s="1"/>
  <c r="AG194" i="12"/>
  <c r="AH194" i="12" s="1"/>
  <c r="AJ194" i="12" s="1"/>
  <c r="AF251" i="12"/>
  <c r="AF284" i="12"/>
  <c r="AG64" i="12"/>
  <c r="AH64" i="12" s="1"/>
  <c r="AJ64" i="12" s="1"/>
  <c r="AG229" i="12"/>
  <c r="AH229" i="12" s="1"/>
  <c r="AJ229" i="12" s="1"/>
  <c r="AG283" i="12"/>
  <c r="AH283" i="12" s="1"/>
  <c r="AJ283" i="12" s="1"/>
  <c r="AF185" i="12"/>
  <c r="AG185" i="12" s="1"/>
  <c r="AH185" i="12" s="1"/>
  <c r="AJ185" i="12" s="1"/>
  <c r="AD327" i="12"/>
  <c r="AH172" i="12"/>
  <c r="AJ172" i="12" s="1"/>
  <c r="AF100" i="12"/>
  <c r="AF297" i="12"/>
  <c r="AG297" i="12" s="1"/>
  <c r="AH297" i="12" s="1"/>
  <c r="AJ297" i="12" s="1"/>
  <c r="AF85" i="12"/>
  <c r="AG154" i="12"/>
  <c r="AH154" i="12" s="1"/>
  <c r="AJ154" i="12" s="1"/>
  <c r="AH291" i="12"/>
  <c r="AJ291" i="12" s="1"/>
  <c r="AF231" i="12"/>
  <c r="AG231" i="12" s="1"/>
  <c r="AH231" i="12" s="1"/>
  <c r="AJ231" i="12" s="1"/>
  <c r="AG160" i="12"/>
  <c r="AH160" i="12" s="1"/>
  <c r="AJ160" i="12" s="1"/>
  <c r="AG26" i="12"/>
  <c r="AH26" i="12" s="1"/>
  <c r="AJ26" i="12" s="1"/>
  <c r="AG205" i="12"/>
  <c r="AH205" i="12" s="1"/>
  <c r="AJ205" i="12" s="1"/>
  <c r="AE345" i="12"/>
  <c r="AL345" i="12" s="1"/>
  <c r="AG214" i="12"/>
  <c r="AH214" i="12" s="1"/>
  <c r="AJ214" i="12" s="1"/>
  <c r="AH127" i="12"/>
  <c r="AJ127" i="12" s="1"/>
  <c r="AH298" i="12"/>
  <c r="AJ298" i="12" s="1"/>
  <c r="AH46" i="12"/>
  <c r="AJ46" i="12" s="1"/>
  <c r="AH30" i="12"/>
  <c r="AJ30" i="12" s="1"/>
  <c r="AG82" i="12"/>
  <c r="AH82" i="12" s="1"/>
  <c r="AH264" i="12"/>
  <c r="AJ264" i="12" s="1"/>
  <c r="AG336" i="12"/>
  <c r="AH336" i="12" s="1"/>
  <c r="AJ336" i="12" s="1"/>
  <c r="AG354" i="12"/>
  <c r="AH354" i="12" s="1"/>
  <c r="AJ354" i="12" s="1"/>
  <c r="AG221" i="12"/>
  <c r="AH221" i="12" s="1"/>
  <c r="AJ221" i="12" s="1"/>
  <c r="AF105" i="12"/>
  <c r="AG105" i="12" s="1"/>
  <c r="AH256" i="12"/>
  <c r="AJ256" i="12" s="1"/>
  <c r="AG279" i="12"/>
  <c r="AH279" i="12" s="1"/>
  <c r="AJ279" i="12" s="1"/>
  <c r="AG278" i="12"/>
  <c r="AH278" i="12" s="1"/>
  <c r="AJ278" i="12" s="1"/>
  <c r="AG99" i="12"/>
  <c r="AH99" i="12" s="1"/>
  <c r="AF245" i="12"/>
  <c r="AG245" i="12" s="1"/>
  <c r="AJ75" i="12"/>
  <c r="AG247" i="12"/>
  <c r="AH247" i="12" s="1"/>
  <c r="AJ247" i="12" s="1"/>
  <c r="AE188" i="12"/>
  <c r="AE196" i="12"/>
  <c r="AF196" i="12" s="1"/>
  <c r="AG196" i="12" s="1"/>
  <c r="AK106" i="12"/>
  <c r="AG164" i="12"/>
  <c r="AH164" i="12" s="1"/>
  <c r="AJ164" i="12" s="1"/>
  <c r="AH203" i="12"/>
  <c r="AJ203" i="12" s="1"/>
  <c r="AG174" i="12"/>
  <c r="AH174" i="12" s="1"/>
  <c r="AJ174" i="12" s="1"/>
  <c r="AF84" i="12"/>
  <c r="AG84" i="12" s="1"/>
  <c r="AH84" i="12" s="1"/>
  <c r="AG220" i="12"/>
  <c r="AH220" i="12" s="1"/>
  <c r="AJ220" i="12" s="1"/>
  <c r="AE366" i="12"/>
  <c r="AE365" i="12" s="1"/>
  <c r="AE213" i="12"/>
  <c r="AF213" i="12" s="1"/>
  <c r="AF186" i="12"/>
  <c r="AG186" i="12" s="1"/>
  <c r="AH186" i="12" s="1"/>
  <c r="AJ186" i="12" s="1"/>
  <c r="AF316" i="12"/>
  <c r="AG295" i="12"/>
  <c r="AH295" i="12" s="1"/>
  <c r="AH151" i="12"/>
  <c r="AH70" i="12"/>
  <c r="AJ70" i="12" s="1"/>
  <c r="AG340" i="12"/>
  <c r="AH340" i="12" s="1"/>
  <c r="AJ340" i="12" s="1"/>
  <c r="AF342" i="12"/>
  <c r="AG116" i="12"/>
  <c r="AH116" i="12" s="1"/>
  <c r="AH233" i="12"/>
  <c r="AJ233" i="12" s="1"/>
  <c r="AG142" i="12"/>
  <c r="AH142" i="12" s="1"/>
  <c r="AH23" i="12"/>
  <c r="AJ23" i="12" s="1"/>
  <c r="AH312" i="12"/>
  <c r="AJ312" i="12" s="1"/>
  <c r="AF133" i="12"/>
  <c r="AG133" i="12" s="1"/>
  <c r="AH200" i="12"/>
  <c r="AJ200" i="12" s="1"/>
  <c r="AG166" i="12"/>
  <c r="AH166" i="12" s="1"/>
  <c r="AJ166" i="12" s="1"/>
  <c r="AH182" i="12"/>
  <c r="AJ182" i="12" s="1"/>
  <c r="AH190" i="12"/>
  <c r="AJ190" i="12" s="1"/>
  <c r="AF302" i="12"/>
  <c r="AG212" i="12"/>
  <c r="AH212" i="12" s="1"/>
  <c r="AJ212" i="12" s="1"/>
  <c r="AG108" i="12"/>
  <c r="AH108" i="12" s="1"/>
  <c r="AJ108" i="12" s="1"/>
  <c r="AF341" i="12"/>
  <c r="AG341" i="12" s="1"/>
  <c r="AH341" i="12" s="1"/>
  <c r="AJ341" i="12" s="1"/>
  <c r="AE168" i="12"/>
  <c r="AF168" i="12" s="1"/>
  <c r="AE192" i="12"/>
  <c r="AF192" i="12" s="1"/>
  <c r="AD111" i="12"/>
  <c r="AE51" i="12"/>
  <c r="AF51" i="12" s="1"/>
  <c r="AG51" i="12" s="1"/>
  <c r="AE176" i="12"/>
  <c r="AF328" i="12"/>
  <c r="AF215" i="12"/>
  <c r="AG292" i="12"/>
  <c r="AH292" i="12" s="1"/>
  <c r="AJ292" i="12" s="1"/>
  <c r="AG25" i="12"/>
  <c r="AG332" i="12"/>
  <c r="AH332" i="12" s="1"/>
  <c r="AG45" i="12"/>
  <c r="AK108" i="12"/>
  <c r="AH92" i="12"/>
  <c r="AH158" i="12"/>
  <c r="AJ158" i="12" s="1"/>
  <c r="AF88" i="12"/>
  <c r="AF222" i="12"/>
  <c r="AG222" i="12" s="1"/>
  <c r="AH222" i="12" s="1"/>
  <c r="AJ222" i="12" s="1"/>
  <c r="AH32" i="12"/>
  <c r="AJ32" i="12" s="1"/>
  <c r="AG252" i="12"/>
  <c r="AH252" i="12" s="1"/>
  <c r="AF132" i="12"/>
  <c r="AG132" i="12" s="1"/>
  <c r="AH132" i="12" s="1"/>
  <c r="AJ132" i="12" s="1"/>
  <c r="AG47" i="12"/>
  <c r="AH47" i="12" s="1"/>
  <c r="AJ47" i="12" s="1"/>
  <c r="AD365" i="12"/>
  <c r="AH112" i="12"/>
  <c r="AG119" i="12"/>
  <c r="AH119" i="12" s="1"/>
  <c r="AJ119" i="12" s="1"/>
  <c r="AD44" i="12"/>
  <c r="AF339" i="12"/>
  <c r="AG339" i="12" s="1"/>
  <c r="AH339" i="12" s="1"/>
  <c r="AJ339" i="12" s="1"/>
  <c r="AE156" i="12"/>
  <c r="AF156" i="12" s="1"/>
  <c r="AE208" i="12"/>
  <c r="AF31" i="12"/>
  <c r="AG31" i="12" s="1"/>
  <c r="AH31" i="12" s="1"/>
  <c r="AJ31" i="12" s="1"/>
  <c r="AH335" i="12"/>
  <c r="AJ335" i="12" s="1"/>
  <c r="AE162" i="12"/>
  <c r="AE330" i="12"/>
  <c r="AF330" i="12" s="1"/>
  <c r="AE178" i="12"/>
  <c r="AF178" i="12" s="1"/>
  <c r="AG97" i="12"/>
  <c r="AH97" i="12" s="1"/>
  <c r="AG299" i="12"/>
  <c r="AH299" i="12" s="1"/>
  <c r="AJ299" i="12" s="1"/>
  <c r="AG126" i="12"/>
  <c r="AG106" i="12"/>
  <c r="AH106" i="12" s="1"/>
  <c r="AJ106" i="12" s="1"/>
  <c r="AG65" i="12"/>
  <c r="AF352" i="12"/>
  <c r="AG352" i="12" s="1"/>
  <c r="AH346" i="12"/>
  <c r="AE49" i="12"/>
  <c r="AF246" i="12"/>
  <c r="AG246" i="12" s="1"/>
  <c r="AK329" i="12" l="1"/>
  <c r="AD350" i="13"/>
  <c r="AE44" i="12"/>
  <c r="AD13" i="13"/>
  <c r="AC13" i="13"/>
  <c r="AC11" i="13" s="1"/>
  <c r="AF366" i="12"/>
  <c r="AF365" i="12" s="1"/>
  <c r="AK365" i="12" s="1"/>
  <c r="AF14" i="13"/>
  <c r="AF13" i="13" s="1"/>
  <c r="AF11" i="13" s="1"/>
  <c r="AH14" i="12"/>
  <c r="AJ14" i="12" s="1"/>
  <c r="AG13" i="12"/>
  <c r="AF13" i="12"/>
  <c r="AJ252" i="12"/>
  <c r="AK252" i="12"/>
  <c r="AJ332" i="12"/>
  <c r="AK332" i="12"/>
  <c r="AJ97" i="12"/>
  <c r="AK97" i="12"/>
  <c r="AJ92" i="12"/>
  <c r="AK92" i="12"/>
  <c r="AJ116" i="12"/>
  <c r="AK116" i="12"/>
  <c r="AJ151" i="12"/>
  <c r="AK151" i="12"/>
  <c r="AJ87" i="12"/>
  <c r="AK87" i="12"/>
  <c r="AJ295" i="12"/>
  <c r="AK295" i="12"/>
  <c r="AJ84" i="12"/>
  <c r="AK84" i="12"/>
  <c r="AJ82" i="12"/>
  <c r="AK82" i="12"/>
  <c r="AJ170" i="12"/>
  <c r="AK170" i="12"/>
  <c r="AJ142" i="12"/>
  <c r="AK142" i="12"/>
  <c r="AJ89" i="12"/>
  <c r="AK89" i="12"/>
  <c r="AJ99" i="12"/>
  <c r="AK99" i="12"/>
  <c r="AJ74" i="12"/>
  <c r="AH105" i="12"/>
  <c r="AJ105" i="12" s="1"/>
  <c r="AG100" i="12"/>
  <c r="AH100" i="12" s="1"/>
  <c r="AG85" i="12"/>
  <c r="AH85" i="12" s="1"/>
  <c r="AH313" i="12"/>
  <c r="AJ313" i="12" s="1"/>
  <c r="AG56" i="12"/>
  <c r="AG178" i="12"/>
  <c r="AH178" i="12" s="1"/>
  <c r="AJ178" i="12" s="1"/>
  <c r="AG284" i="12"/>
  <c r="AH284" i="12" s="1"/>
  <c r="AJ284" i="12" s="1"/>
  <c r="AF96" i="12"/>
  <c r="AG96" i="12" s="1"/>
  <c r="AE111" i="12"/>
  <c r="AL111" i="12" s="1"/>
  <c r="AG168" i="12"/>
  <c r="AH168" i="12" s="1"/>
  <c r="AL363" i="12"/>
  <c r="AK105" i="12"/>
  <c r="AG213" i="12"/>
  <c r="AH213" i="12" s="1"/>
  <c r="AJ213" i="12" s="1"/>
  <c r="AG251" i="12"/>
  <c r="AH251" i="12" s="1"/>
  <c r="AJ251" i="12" s="1"/>
  <c r="AF162" i="12"/>
  <c r="AG162" i="12" s="1"/>
  <c r="AG345" i="12"/>
  <c r="AG330" i="12"/>
  <c r="AH330" i="12" s="1"/>
  <c r="AH196" i="12"/>
  <c r="AJ196" i="12" s="1"/>
  <c r="AG343" i="12"/>
  <c r="AH343" i="12" s="1"/>
  <c r="AJ343" i="12" s="1"/>
  <c r="AG192" i="12"/>
  <c r="AH192" i="12" s="1"/>
  <c r="AJ192" i="12" s="1"/>
  <c r="AH126" i="12"/>
  <c r="AG302" i="12"/>
  <c r="AH302" i="12" s="1"/>
  <c r="AJ302" i="12" s="1"/>
  <c r="AH352" i="12"/>
  <c r="AJ352" i="12" s="1"/>
  <c r="AG88" i="12"/>
  <c r="AH88" i="12" s="1"/>
  <c r="AK88" i="12" s="1"/>
  <c r="AH245" i="12"/>
  <c r="AJ245" i="12" s="1"/>
  <c r="AJ112" i="12"/>
  <c r="AF345" i="12"/>
  <c r="AK345" i="12" s="1"/>
  <c r="AH65" i="12"/>
  <c r="AF188" i="12"/>
  <c r="AG188" i="12" s="1"/>
  <c r="AG342" i="12"/>
  <c r="AH342" i="12" s="1"/>
  <c r="AJ342" i="12" s="1"/>
  <c r="AH25" i="12"/>
  <c r="AJ25" i="12" s="1"/>
  <c r="AH246" i="12"/>
  <c r="AJ246" i="12" s="1"/>
  <c r="AJ80" i="12"/>
  <c r="AJ346" i="12"/>
  <c r="AF176" i="12"/>
  <c r="AF327" i="12"/>
  <c r="AG328" i="12"/>
  <c r="AF208" i="12"/>
  <c r="AG208" i="12" s="1"/>
  <c r="AH208" i="12" s="1"/>
  <c r="AJ208" i="12" s="1"/>
  <c r="AH133" i="12"/>
  <c r="AJ133" i="12" s="1"/>
  <c r="AH51" i="12"/>
  <c r="AJ51" i="12" s="1"/>
  <c r="AG215" i="12"/>
  <c r="AH215" i="12" s="1"/>
  <c r="AJ215" i="12" s="1"/>
  <c r="AG156" i="12"/>
  <c r="AH156" i="12" s="1"/>
  <c r="AJ156" i="12" s="1"/>
  <c r="AF49" i="12"/>
  <c r="AF44" i="12" s="1"/>
  <c r="AH45" i="12"/>
  <c r="AE327" i="12"/>
  <c r="AG316" i="12"/>
  <c r="AH316" i="12" s="1"/>
  <c r="AG366" i="12" l="1"/>
  <c r="AG365" i="12" s="1"/>
  <c r="AH345" i="12"/>
  <c r="AD11" i="13"/>
  <c r="AJ13" i="12"/>
  <c r="AH96" i="12"/>
  <c r="AH74" i="12" s="1"/>
  <c r="AH13" i="12"/>
  <c r="AG74" i="12"/>
  <c r="AF74" i="12"/>
  <c r="AK74" i="12" s="1"/>
  <c r="AJ126" i="12"/>
  <c r="AK126" i="12"/>
  <c r="AJ168" i="12"/>
  <c r="AK168" i="12"/>
  <c r="AJ100" i="12"/>
  <c r="AK100" i="12"/>
  <c r="AJ316" i="12"/>
  <c r="AK316" i="12"/>
  <c r="AJ330" i="12"/>
  <c r="AK330" i="12"/>
  <c r="AJ85" i="12"/>
  <c r="AK85" i="12"/>
  <c r="AH366" i="12"/>
  <c r="AJ366" i="12" s="1"/>
  <c r="AJ365" i="12" s="1"/>
  <c r="AK363" i="12"/>
  <c r="AJ345" i="12"/>
  <c r="AH162" i="12"/>
  <c r="AJ162" i="12" s="1"/>
  <c r="AJ88" i="12"/>
  <c r="AK327" i="12"/>
  <c r="AL327" i="12"/>
  <c r="AJ45" i="12"/>
  <c r="AG176" i="12"/>
  <c r="AH176" i="12" s="1"/>
  <c r="AJ65" i="12"/>
  <c r="AJ56" i="12" s="1"/>
  <c r="AH56" i="12"/>
  <c r="AF111" i="12"/>
  <c r="AK111" i="12" s="1"/>
  <c r="AG327" i="12"/>
  <c r="AH328" i="12"/>
  <c r="AK328" i="12" s="1"/>
  <c r="AH188" i="12"/>
  <c r="AJ188" i="12" s="1"/>
  <c r="AG49" i="12"/>
  <c r="AH365" i="12" l="1"/>
  <c r="AG111" i="12"/>
  <c r="AJ96" i="12"/>
  <c r="AK96" i="12"/>
  <c r="AM56" i="12"/>
  <c r="AK56" i="12"/>
  <c r="AK13" i="12"/>
  <c r="AJ176" i="12"/>
  <c r="AJ111" i="12" s="1"/>
  <c r="AH111" i="12"/>
  <c r="AJ328" i="12"/>
  <c r="AJ327" i="12" s="1"/>
  <c r="AH327" i="12"/>
  <c r="AH49" i="12"/>
  <c r="AG44" i="12"/>
  <c r="AG12" i="12" l="1"/>
  <c r="AM111" i="12"/>
  <c r="AJ49" i="12"/>
  <c r="AJ44" i="12" s="1"/>
  <c r="AJ12" i="12" s="1"/>
  <c r="AH44" i="12"/>
  <c r="AK44" i="12" s="1"/>
  <c r="AL44" i="12" l="1"/>
  <c r="AH12" i="12"/>
  <c r="AI30" i="10" l="1"/>
  <c r="AI31" i="10"/>
  <c r="AI32" i="10"/>
  <c r="AI33" i="10"/>
  <c r="AI34" i="10"/>
  <c r="AI35" i="10"/>
  <c r="AA34" i="10" l="1"/>
  <c r="AA32" i="10"/>
  <c r="AA35" i="10"/>
  <c r="AA33" i="10"/>
  <c r="AA31" i="10"/>
  <c r="AA30" i="10"/>
  <c r="AE35" i="10" l="1"/>
  <c r="AF35" i="10" s="1"/>
  <c r="AE30" i="10"/>
  <c r="AF30" i="10" s="1"/>
  <c r="AE32" i="10"/>
  <c r="AF32" i="10" s="1"/>
  <c r="AE33" i="10"/>
  <c r="AE31" i="10"/>
  <c r="AE34" i="10"/>
  <c r="AF34" i="10" s="1"/>
  <c r="W326" i="10"/>
  <c r="AI325" i="10"/>
  <c r="AI324" i="10" s="1"/>
  <c r="P324" i="10"/>
  <c r="W324" i="10" s="1"/>
  <c r="W323" i="10"/>
  <c r="AI87" i="10"/>
  <c r="U87" i="10"/>
  <c r="AI86" i="10"/>
  <c r="AI85" i="10"/>
  <c r="AI84" i="10"/>
  <c r="AI83" i="10"/>
  <c r="AI82" i="10"/>
  <c r="AI81" i="10"/>
  <c r="AI80" i="10"/>
  <c r="AI79" i="10"/>
  <c r="AI78" i="10"/>
  <c r="AI77" i="10"/>
  <c r="W322" i="10"/>
  <c r="W321" i="10"/>
  <c r="AJ320" i="10"/>
  <c r="AH320" i="10"/>
  <c r="AF320" i="10"/>
  <c r="W320" i="10"/>
  <c r="AI318" i="10"/>
  <c r="AI317" i="10"/>
  <c r="U317" i="10"/>
  <c r="AI316" i="10"/>
  <c r="Y316" i="10"/>
  <c r="U316" i="10"/>
  <c r="AI315" i="10"/>
  <c r="U315" i="10"/>
  <c r="AI314" i="10"/>
  <c r="Y314" i="10"/>
  <c r="U314" i="10"/>
  <c r="AI313" i="10"/>
  <c r="AI312" i="10"/>
  <c r="AI311" i="10"/>
  <c r="AI310" i="10"/>
  <c r="AI309" i="10"/>
  <c r="AI308" i="10"/>
  <c r="AI307" i="10"/>
  <c r="W306" i="10"/>
  <c r="AI304" i="10"/>
  <c r="U304" i="10"/>
  <c r="AI303" i="10"/>
  <c r="U303" i="10"/>
  <c r="AI302" i="10"/>
  <c r="U302" i="10"/>
  <c r="AI301" i="10"/>
  <c r="U301" i="10"/>
  <c r="AI300" i="10"/>
  <c r="Y300" i="10"/>
  <c r="AI299" i="10"/>
  <c r="AI298" i="10"/>
  <c r="AI297" i="10"/>
  <c r="AI296" i="10"/>
  <c r="Y296" i="10"/>
  <c r="AI295" i="10"/>
  <c r="AI294" i="10"/>
  <c r="W292" i="10"/>
  <c r="AI277" i="10"/>
  <c r="AI276" i="10"/>
  <c r="AI275" i="10"/>
  <c r="AI274" i="10"/>
  <c r="AI273" i="10"/>
  <c r="AI272" i="10"/>
  <c r="AI271" i="10"/>
  <c r="AI270" i="10"/>
  <c r="Y270" i="10"/>
  <c r="AI269" i="10"/>
  <c r="Y269" i="10"/>
  <c r="U269" i="10"/>
  <c r="AI268" i="10"/>
  <c r="Y268" i="10"/>
  <c r="U268" i="10"/>
  <c r="AI267" i="10"/>
  <c r="AI266" i="10"/>
  <c r="AI265" i="10"/>
  <c r="AI264" i="10"/>
  <c r="U264" i="10"/>
  <c r="AI263" i="10"/>
  <c r="AI262" i="10"/>
  <c r="AI261" i="10"/>
  <c r="AI260" i="10"/>
  <c r="Y260" i="10"/>
  <c r="AI259" i="10"/>
  <c r="AI258" i="10"/>
  <c r="AI257" i="10"/>
  <c r="AI256" i="10"/>
  <c r="AI255" i="10"/>
  <c r="U255" i="10"/>
  <c r="AI254" i="10"/>
  <c r="AI253" i="10"/>
  <c r="AI252" i="10"/>
  <c r="Y252" i="10"/>
  <c r="U252" i="10"/>
  <c r="AI293" i="10"/>
  <c r="AI251" i="10"/>
  <c r="U251" i="10"/>
  <c r="AI250" i="10"/>
  <c r="Y250" i="10"/>
  <c r="AI249" i="10"/>
  <c r="AI248" i="10"/>
  <c r="AI247" i="10"/>
  <c r="U247" i="10"/>
  <c r="AI246" i="10"/>
  <c r="AI245" i="10"/>
  <c r="Y245" i="10"/>
  <c r="AI244" i="10"/>
  <c r="U244" i="10"/>
  <c r="AI243" i="10"/>
  <c r="Y243" i="10"/>
  <c r="U243" i="10"/>
  <c r="AI242" i="10"/>
  <c r="U242" i="10"/>
  <c r="AI241" i="10"/>
  <c r="AI240" i="10"/>
  <c r="U240" i="10"/>
  <c r="AI239" i="10"/>
  <c r="U239" i="10"/>
  <c r="AI238" i="10"/>
  <c r="U238" i="10"/>
  <c r="AI237" i="10"/>
  <c r="AI236" i="10"/>
  <c r="U236" i="10"/>
  <c r="AI235" i="10"/>
  <c r="U235" i="10"/>
  <c r="AI234" i="10"/>
  <c r="Y234" i="10"/>
  <c r="U234" i="10"/>
  <c r="AI233" i="10"/>
  <c r="Y233" i="10"/>
  <c r="U233" i="10"/>
  <c r="AI232" i="10"/>
  <c r="Y232" i="10"/>
  <c r="U232" i="10"/>
  <c r="AI231" i="10"/>
  <c r="U231" i="10"/>
  <c r="AI230" i="10"/>
  <c r="Y230" i="10"/>
  <c r="U230" i="10"/>
  <c r="AI229" i="10"/>
  <c r="Y229" i="10"/>
  <c r="U229" i="10"/>
  <c r="AI228" i="10"/>
  <c r="U228" i="10"/>
  <c r="AI227" i="10"/>
  <c r="U227" i="10"/>
  <c r="AI226" i="10"/>
  <c r="Y226" i="10"/>
  <c r="U226" i="10"/>
  <c r="AI225" i="10"/>
  <c r="U225" i="10"/>
  <c r="AI224" i="10"/>
  <c r="Y224" i="10"/>
  <c r="U224" i="10"/>
  <c r="AI223" i="10"/>
  <c r="U223" i="10"/>
  <c r="AI222" i="10"/>
  <c r="U222" i="10"/>
  <c r="AI221" i="10"/>
  <c r="U221" i="10"/>
  <c r="AI220" i="10"/>
  <c r="U220" i="10"/>
  <c r="AI219" i="10"/>
  <c r="U219" i="10"/>
  <c r="AI218" i="10"/>
  <c r="U218" i="10"/>
  <c r="AI217" i="10"/>
  <c r="U217" i="10"/>
  <c r="AI216" i="10"/>
  <c r="U216" i="10"/>
  <c r="AI215" i="10"/>
  <c r="U215" i="10"/>
  <c r="AI214" i="10"/>
  <c r="Y214" i="10"/>
  <c r="U214" i="10"/>
  <c r="AI213" i="10"/>
  <c r="AI212" i="10"/>
  <c r="U212" i="10"/>
  <c r="AI211" i="10"/>
  <c r="U211" i="10"/>
  <c r="AI210" i="10"/>
  <c r="Y210" i="10"/>
  <c r="U210" i="10"/>
  <c r="AI209" i="10"/>
  <c r="AI208" i="10"/>
  <c r="Y208" i="10"/>
  <c r="AI207" i="10"/>
  <c r="AI206" i="10"/>
  <c r="AI205" i="10"/>
  <c r="AI204" i="10"/>
  <c r="Y204" i="10"/>
  <c r="AI203" i="10"/>
  <c r="AI202" i="10"/>
  <c r="AI201" i="10"/>
  <c r="AI200" i="10"/>
  <c r="AI199" i="10"/>
  <c r="AI198" i="10"/>
  <c r="AI197" i="10"/>
  <c r="U197" i="10"/>
  <c r="AI196" i="10"/>
  <c r="AI195" i="10"/>
  <c r="Y195" i="10"/>
  <c r="AI194" i="10"/>
  <c r="AI193" i="10"/>
  <c r="AI192" i="10"/>
  <c r="AI191" i="10"/>
  <c r="Y191" i="10"/>
  <c r="AI190" i="10"/>
  <c r="AI189" i="10"/>
  <c r="AI188" i="10"/>
  <c r="AI187" i="10"/>
  <c r="Y187" i="10"/>
  <c r="AI186" i="10"/>
  <c r="AI185" i="10"/>
  <c r="AI184" i="10"/>
  <c r="AI183" i="10"/>
  <c r="Y183" i="10"/>
  <c r="AI182" i="10"/>
  <c r="AI181" i="10"/>
  <c r="AI180" i="10"/>
  <c r="AI179" i="10"/>
  <c r="AI178" i="10"/>
  <c r="Y178" i="10"/>
  <c r="AI177" i="10"/>
  <c r="AI176" i="10"/>
  <c r="AI175" i="10"/>
  <c r="AI174" i="10"/>
  <c r="Y174" i="10"/>
  <c r="AI173" i="10"/>
  <c r="AI172" i="10"/>
  <c r="AI171" i="10"/>
  <c r="AI170" i="10"/>
  <c r="AI169" i="10"/>
  <c r="AI168" i="10"/>
  <c r="AI167" i="10"/>
  <c r="AI166" i="10"/>
  <c r="AI165" i="10"/>
  <c r="AI164" i="10"/>
  <c r="AI163" i="10"/>
  <c r="AI162" i="10"/>
  <c r="AI161" i="10"/>
  <c r="AI160" i="10"/>
  <c r="Y160" i="10"/>
  <c r="AI159" i="10"/>
  <c r="AI158" i="10"/>
  <c r="AI157" i="10"/>
  <c r="AI156" i="10"/>
  <c r="AI155" i="10"/>
  <c r="AI154" i="10"/>
  <c r="AI153" i="10"/>
  <c r="AI152" i="10"/>
  <c r="AI151" i="10"/>
  <c r="AI150" i="10"/>
  <c r="AI149" i="10"/>
  <c r="AI148" i="10"/>
  <c r="AI147" i="10"/>
  <c r="AI146" i="10"/>
  <c r="AI145" i="10"/>
  <c r="AI144" i="10"/>
  <c r="AI143" i="10"/>
  <c r="AI142" i="10"/>
  <c r="AI141" i="10"/>
  <c r="AI140" i="10"/>
  <c r="AI139" i="10"/>
  <c r="AI138" i="10"/>
  <c r="Y138" i="10"/>
  <c r="AI137" i="10"/>
  <c r="AI136" i="10"/>
  <c r="AI135" i="10"/>
  <c r="AI134" i="10"/>
  <c r="AI133" i="10"/>
  <c r="AI132" i="10"/>
  <c r="AI131" i="10"/>
  <c r="AI130" i="10"/>
  <c r="AI129" i="10"/>
  <c r="AI128" i="10"/>
  <c r="AI127" i="10"/>
  <c r="AI126" i="10"/>
  <c r="Y126" i="10"/>
  <c r="AI125" i="10"/>
  <c r="Y125" i="10"/>
  <c r="AI124" i="10"/>
  <c r="Y124" i="10"/>
  <c r="AI123" i="10"/>
  <c r="Y123" i="10"/>
  <c r="AI122" i="10"/>
  <c r="Y122" i="10"/>
  <c r="AI121" i="10"/>
  <c r="AI120" i="10"/>
  <c r="Y120" i="10"/>
  <c r="AI119" i="10"/>
  <c r="Y119" i="10"/>
  <c r="AI118" i="10"/>
  <c r="Y118" i="10"/>
  <c r="AI117" i="10"/>
  <c r="Y117" i="10"/>
  <c r="AI116" i="10"/>
  <c r="Y116" i="10"/>
  <c r="AI115" i="10"/>
  <c r="AI114" i="10"/>
  <c r="Y114" i="10"/>
  <c r="AI113" i="10"/>
  <c r="Y113" i="10"/>
  <c r="AI112" i="10"/>
  <c r="Y112" i="10"/>
  <c r="AI111" i="10"/>
  <c r="AI110" i="10"/>
  <c r="Y110" i="10"/>
  <c r="AI109" i="10"/>
  <c r="Y109" i="10"/>
  <c r="AI108" i="10"/>
  <c r="Y108" i="10"/>
  <c r="AI107" i="10"/>
  <c r="AI106" i="10"/>
  <c r="Y106" i="10"/>
  <c r="AI105" i="10"/>
  <c r="Y105" i="10"/>
  <c r="AI104" i="10"/>
  <c r="Y104" i="10"/>
  <c r="AI103" i="10"/>
  <c r="AI102" i="10"/>
  <c r="AI101" i="10"/>
  <c r="Y101" i="10"/>
  <c r="AI100" i="10"/>
  <c r="AI99" i="10"/>
  <c r="Y99" i="10"/>
  <c r="AI98" i="10"/>
  <c r="AI97" i="10"/>
  <c r="Y97" i="10"/>
  <c r="AI96" i="10"/>
  <c r="Y96" i="10"/>
  <c r="AI95" i="10"/>
  <c r="AI94" i="10"/>
  <c r="Y94" i="10"/>
  <c r="AI93" i="10"/>
  <c r="AI92" i="10"/>
  <c r="Y92" i="10"/>
  <c r="AI91" i="10"/>
  <c r="AI90" i="10"/>
  <c r="W89" i="10"/>
  <c r="W88" i="10"/>
  <c r="AI76" i="10"/>
  <c r="AI75" i="10"/>
  <c r="AI29" i="10"/>
  <c r="AI28" i="10"/>
  <c r="AI27" i="10"/>
  <c r="AI26" i="10"/>
  <c r="AI25" i="10"/>
  <c r="AI24" i="10"/>
  <c r="AI23" i="10"/>
  <c r="AI22" i="10"/>
  <c r="AI72" i="10"/>
  <c r="AI71" i="10"/>
  <c r="AI70" i="10"/>
  <c r="AI69" i="10"/>
  <c r="AI68" i="10"/>
  <c r="AI67" i="10"/>
  <c r="AI66" i="10"/>
  <c r="AI65" i="10"/>
  <c r="AI64" i="10"/>
  <c r="AI63" i="10"/>
  <c r="AI62" i="10"/>
  <c r="AI61" i="10"/>
  <c r="AI60" i="10"/>
  <c r="AI59" i="10"/>
  <c r="AI58" i="10"/>
  <c r="P57" i="10"/>
  <c r="W57" i="10" s="1"/>
  <c r="AI51" i="10"/>
  <c r="AI50" i="10"/>
  <c r="AI49" i="10"/>
  <c r="AI48" i="10"/>
  <c r="AI47" i="10"/>
  <c r="AI46" i="10"/>
  <c r="AI45" i="10"/>
  <c r="AI44" i="10"/>
  <c r="AI39" i="10"/>
  <c r="AI38" i="10"/>
  <c r="W36" i="10"/>
  <c r="AI21" i="10"/>
  <c r="AI20" i="10"/>
  <c r="AI43" i="10"/>
  <c r="AI19" i="10"/>
  <c r="AI42" i="10"/>
  <c r="AI18" i="10"/>
  <c r="AI17" i="10"/>
  <c r="AI41" i="10"/>
  <c r="AI16" i="10"/>
  <c r="AI15" i="10"/>
  <c r="AI40" i="10"/>
  <c r="AI14" i="10"/>
  <c r="AI89" i="10" l="1"/>
  <c r="AI37" i="10"/>
  <c r="AG35" i="10"/>
  <c r="AH35" i="10" s="1"/>
  <c r="AJ35" i="10" s="1"/>
  <c r="AF31" i="10"/>
  <c r="AF33" i="10"/>
  <c r="AG34" i="10"/>
  <c r="AH34" i="10" s="1"/>
  <c r="AJ34" i="10" s="1"/>
  <c r="AG30" i="10"/>
  <c r="AH30" i="10" s="1"/>
  <c r="AJ30" i="10" s="1"/>
  <c r="AG32" i="10"/>
  <c r="AH32" i="10" s="1"/>
  <c r="AJ32" i="10" s="1"/>
  <c r="Z170" i="10"/>
  <c r="Y170" i="10"/>
  <c r="Z158" i="10"/>
  <c r="Y158" i="10"/>
  <c r="Z97" i="10"/>
  <c r="AA97" i="10" s="1"/>
  <c r="Z229" i="10"/>
  <c r="Z243" i="10"/>
  <c r="AA243" i="10" s="1"/>
  <c r="Z250" i="10"/>
  <c r="AA250" i="10" s="1"/>
  <c r="Z252" i="10"/>
  <c r="AA252" i="10" s="1"/>
  <c r="Z270" i="10"/>
  <c r="Y272" i="10"/>
  <c r="Z224" i="10"/>
  <c r="Z232" i="10"/>
  <c r="Z245" i="10"/>
  <c r="AA245" i="10" s="1"/>
  <c r="Z260" i="10"/>
  <c r="AA260" i="10" s="1"/>
  <c r="Z296" i="10"/>
  <c r="AA296" i="10" s="1"/>
  <c r="Z300" i="10"/>
  <c r="AA300" i="10" s="1"/>
  <c r="Z316" i="10"/>
  <c r="AA316" i="10" s="1"/>
  <c r="Z105" i="10"/>
  <c r="AA105" i="10" s="1"/>
  <c r="Z109" i="10"/>
  <c r="AA109" i="10" s="1"/>
  <c r="Z113" i="10"/>
  <c r="AA113" i="10" s="1"/>
  <c r="Z119" i="10"/>
  <c r="AA119" i="10" s="1"/>
  <c r="Z123" i="10"/>
  <c r="AA123" i="10" s="1"/>
  <c r="Z183" i="10"/>
  <c r="AA183" i="10" s="1"/>
  <c r="Z191" i="10"/>
  <c r="AA191" i="10" s="1"/>
  <c r="Z195" i="10"/>
  <c r="AA195" i="10" s="1"/>
  <c r="Z210" i="10"/>
  <c r="AA210" i="10" s="1"/>
  <c r="Z233" i="10"/>
  <c r="AA233" i="10" s="1"/>
  <c r="Z94" i="10"/>
  <c r="AA94" i="10" s="1"/>
  <c r="Z104" i="10"/>
  <c r="AA104" i="10" s="1"/>
  <c r="Z108" i="10"/>
  <c r="AA108" i="10" s="1"/>
  <c r="Z112" i="10"/>
  <c r="AA112" i="10" s="1"/>
  <c r="Z118" i="10"/>
  <c r="AA118" i="10" s="1"/>
  <c r="Z122" i="10"/>
  <c r="AA122" i="10" s="1"/>
  <c r="Z126" i="10"/>
  <c r="AA126" i="10" s="1"/>
  <c r="Z160" i="10"/>
  <c r="AA160" i="10" s="1"/>
  <c r="Z174" i="10"/>
  <c r="AA174" i="10" s="1"/>
  <c r="Z178" i="10"/>
  <c r="AA178" i="10" s="1"/>
  <c r="Z269" i="10"/>
  <c r="AA269" i="10" s="1"/>
  <c r="Z99" i="10"/>
  <c r="AA99" i="10" s="1"/>
  <c r="Z101" i="10"/>
  <c r="AA101" i="10" s="1"/>
  <c r="Z117" i="10"/>
  <c r="AA117" i="10" s="1"/>
  <c r="Z125" i="10"/>
  <c r="AA125" i="10" s="1"/>
  <c r="Z187" i="10"/>
  <c r="AA187" i="10" s="1"/>
  <c r="Z92" i="10"/>
  <c r="AA92" i="10" s="1"/>
  <c r="Z96" i="10"/>
  <c r="AA96" i="10" s="1"/>
  <c r="Z106" i="10"/>
  <c r="AA106" i="10" s="1"/>
  <c r="Z110" i="10"/>
  <c r="AA110" i="10" s="1"/>
  <c r="Z114" i="10"/>
  <c r="AA114" i="10" s="1"/>
  <c r="Z116" i="10"/>
  <c r="AA116" i="10" s="1"/>
  <c r="Z120" i="10"/>
  <c r="AA120" i="10" s="1"/>
  <c r="Z124" i="10"/>
  <c r="AA124" i="10" s="1"/>
  <c r="Z138" i="10"/>
  <c r="AA138" i="10" s="1"/>
  <c r="Z204" i="10"/>
  <c r="AA204" i="10" s="1"/>
  <c r="Z208" i="10"/>
  <c r="AA208" i="10" s="1"/>
  <c r="Z214" i="10"/>
  <c r="AA214" i="10" s="1"/>
  <c r="Z226" i="10"/>
  <c r="AA226" i="10" s="1"/>
  <c r="Z230" i="10"/>
  <c r="AA230" i="10" s="1"/>
  <c r="Z234" i="10"/>
  <c r="AA234" i="10" s="1"/>
  <c r="Z268" i="10"/>
  <c r="AA268" i="10" s="1"/>
  <c r="Z314" i="10"/>
  <c r="AA314" i="10" s="1"/>
  <c r="AI13" i="10"/>
  <c r="AI57" i="10"/>
  <c r="Y132" i="10"/>
  <c r="Y176" i="10"/>
  <c r="Y164" i="10"/>
  <c r="Y162" i="10"/>
  <c r="Y196" i="10"/>
  <c r="Y200" i="10"/>
  <c r="Y299" i="10"/>
  <c r="Y188" i="10"/>
  <c r="Y254" i="10"/>
  <c r="Y302" i="10"/>
  <c r="Y303" i="10"/>
  <c r="Y177" i="10"/>
  <c r="Y184" i="10"/>
  <c r="Y172" i="10"/>
  <c r="Y228" i="10"/>
  <c r="Y244" i="10"/>
  <c r="Y249" i="10"/>
  <c r="Y192" i="10"/>
  <c r="Y207" i="10"/>
  <c r="Y218" i="10"/>
  <c r="Y312" i="10"/>
  <c r="Y307" i="10"/>
  <c r="Y102" i="10"/>
  <c r="Y115" i="10"/>
  <c r="Y161" i="10"/>
  <c r="Y237" i="10"/>
  <c r="Y91" i="10"/>
  <c r="Y107" i="10"/>
  <c r="Y134" i="10"/>
  <c r="Y211" i="10"/>
  <c r="Y255" i="10"/>
  <c r="Y103" i="10"/>
  <c r="Y121" i="10"/>
  <c r="Y146" i="10"/>
  <c r="Y154" i="10"/>
  <c r="Y202" i="10"/>
  <c r="Y220" i="10"/>
  <c r="Y309" i="10"/>
  <c r="Y129" i="10"/>
  <c r="Y142" i="10"/>
  <c r="Y150" i="10"/>
  <c r="Y295" i="10"/>
  <c r="Y100" i="10"/>
  <c r="Y179" i="10"/>
  <c r="Y246" i="10"/>
  <c r="Y258" i="10"/>
  <c r="Y317" i="10"/>
  <c r="Y308" i="10"/>
  <c r="Y181" i="10"/>
  <c r="Y205" i="10"/>
  <c r="Y216" i="10"/>
  <c r="Y225" i="10"/>
  <c r="AA14" i="10"/>
  <c r="P12" i="10"/>
  <c r="AI74" i="10"/>
  <c r="Y93" i="10"/>
  <c r="Y140" i="10"/>
  <c r="Y148" i="10"/>
  <c r="Y156" i="10"/>
  <c r="Y165" i="10"/>
  <c r="Y166" i="10"/>
  <c r="Y186" i="10"/>
  <c r="Y194" i="10"/>
  <c r="Y235" i="10"/>
  <c r="Y248" i="10"/>
  <c r="Y257" i="10"/>
  <c r="Y171" i="10"/>
  <c r="Y209" i="10"/>
  <c r="Y90" i="10"/>
  <c r="Y98" i="10"/>
  <c r="Y169" i="10"/>
  <c r="Y206" i="10"/>
  <c r="Y221" i="10"/>
  <c r="Y262" i="10"/>
  <c r="Y95" i="10"/>
  <c r="Y111" i="10"/>
  <c r="Y144" i="10"/>
  <c r="Y152" i="10"/>
  <c r="Y168" i="10"/>
  <c r="Y185" i="10"/>
  <c r="Y189" i="10"/>
  <c r="Y193" i="10"/>
  <c r="Y198" i="10"/>
  <c r="Y197" i="10"/>
  <c r="Y242" i="10"/>
  <c r="Y265" i="10"/>
  <c r="Y294" i="10"/>
  <c r="Y301" i="10"/>
  <c r="Y241" i="10"/>
  <c r="Y173" i="10"/>
  <c r="Y199" i="10"/>
  <c r="Y212" i="10"/>
  <c r="Y213" i="10"/>
  <c r="Y231" i="10"/>
  <c r="Y238" i="10"/>
  <c r="Y251" i="10"/>
  <c r="Y264" i="10"/>
  <c r="Y266" i="10"/>
  <c r="Y315" i="10"/>
  <c r="AI306" i="10"/>
  <c r="AA87" i="10"/>
  <c r="AA21" i="10"/>
  <c r="Y127" i="10"/>
  <c r="Y222" i="10"/>
  <c r="Y175" i="10"/>
  <c r="Y227" i="10"/>
  <c r="Y203" i="10"/>
  <c r="Y311" i="10"/>
  <c r="Y215" i="10"/>
  <c r="Y219" i="10"/>
  <c r="Y223" i="10"/>
  <c r="Y247" i="10"/>
  <c r="AI292" i="10"/>
  <c r="Y313" i="10"/>
  <c r="Y293" i="10"/>
  <c r="Y256" i="10"/>
  <c r="Y271" i="10"/>
  <c r="Y267" i="10"/>
  <c r="Y297" i="10"/>
  <c r="Y310" i="10"/>
  <c r="Y325" i="10"/>
  <c r="AA170" i="10" l="1"/>
  <c r="AG33" i="10"/>
  <c r="AH33" i="10" s="1"/>
  <c r="AJ33" i="10" s="1"/>
  <c r="AG31" i="10"/>
  <c r="AH31" i="10" s="1"/>
  <c r="AJ31" i="10" s="1"/>
  <c r="AB208" i="10"/>
  <c r="AC208" i="10" s="1"/>
  <c r="AB106" i="10"/>
  <c r="AC106" i="10" s="1"/>
  <c r="AD106" i="10" s="1"/>
  <c r="AB269" i="10"/>
  <c r="AC269" i="10" s="1"/>
  <c r="AD269" i="10" s="1"/>
  <c r="AB126" i="10"/>
  <c r="AC126" i="10" s="1"/>
  <c r="AB108" i="10"/>
  <c r="AC108" i="10" s="1"/>
  <c r="AB210" i="10"/>
  <c r="AC210" i="10" s="1"/>
  <c r="AB123" i="10"/>
  <c r="AC123" i="10" s="1"/>
  <c r="AB105" i="10"/>
  <c r="AC105" i="10" s="1"/>
  <c r="AB260" i="10"/>
  <c r="AC260" i="10" s="1"/>
  <c r="AB250" i="10"/>
  <c r="AC250" i="10" s="1"/>
  <c r="AB204" i="10"/>
  <c r="AC204" i="10" s="1"/>
  <c r="AD204" i="10" s="1"/>
  <c r="AB116" i="10"/>
  <c r="AC116" i="10" s="1"/>
  <c r="AB96" i="10"/>
  <c r="AC96" i="10" s="1"/>
  <c r="AB117" i="10"/>
  <c r="AC117" i="10" s="1"/>
  <c r="AD117" i="10" s="1"/>
  <c r="AB178" i="10"/>
  <c r="AC178" i="10" s="1"/>
  <c r="AB122" i="10"/>
  <c r="AC122" i="10" s="1"/>
  <c r="AD122" i="10" s="1"/>
  <c r="AB104" i="10"/>
  <c r="AC104" i="10" s="1"/>
  <c r="AB195" i="10"/>
  <c r="AB119" i="10"/>
  <c r="AC119" i="10" s="1"/>
  <c r="AD119" i="10" s="1"/>
  <c r="AB316" i="10"/>
  <c r="AC316" i="10" s="1"/>
  <c r="AB245" i="10"/>
  <c r="AC245" i="10" s="1"/>
  <c r="AB243" i="10"/>
  <c r="AC243" i="10" s="1"/>
  <c r="AA158" i="10"/>
  <c r="AB234" i="10"/>
  <c r="AC234" i="10" s="1"/>
  <c r="AB120" i="10"/>
  <c r="AC120" i="10" s="1"/>
  <c r="AD120" i="10" s="1"/>
  <c r="AB125" i="10"/>
  <c r="AC125" i="10" s="1"/>
  <c r="AD125" i="10" s="1"/>
  <c r="AB314" i="10"/>
  <c r="AC314" i="10" s="1"/>
  <c r="AB138" i="10"/>
  <c r="AC138" i="10" s="1"/>
  <c r="AB114" i="10"/>
  <c r="AC114" i="10" s="1"/>
  <c r="AB92" i="10"/>
  <c r="AC92" i="10" s="1"/>
  <c r="AB101" i="10"/>
  <c r="AC101" i="10" s="1"/>
  <c r="AD101" i="10" s="1"/>
  <c r="AB174" i="10"/>
  <c r="AC174" i="10" s="1"/>
  <c r="AB118" i="10"/>
  <c r="AC118" i="10" s="1"/>
  <c r="AB94" i="10"/>
  <c r="AC94" i="10" s="1"/>
  <c r="AB191" i="10"/>
  <c r="AB113" i="10"/>
  <c r="AC113" i="10" s="1"/>
  <c r="AD113" i="10" s="1"/>
  <c r="AB300" i="10"/>
  <c r="AC300" i="10" s="1"/>
  <c r="AB268" i="10"/>
  <c r="AC268" i="10" s="1"/>
  <c r="AB214" i="10"/>
  <c r="AC214" i="10" s="1"/>
  <c r="AB124" i="10"/>
  <c r="AC124" i="10" s="1"/>
  <c r="AB110" i="10"/>
  <c r="AB187" i="10"/>
  <c r="AB99" i="10"/>
  <c r="AB160" i="10"/>
  <c r="AC160" i="10" s="1"/>
  <c r="AB112" i="10"/>
  <c r="AC112" i="10" s="1"/>
  <c r="AD112" i="10" s="1"/>
  <c r="AB233" i="10"/>
  <c r="AC233" i="10" s="1"/>
  <c r="AB183" i="10"/>
  <c r="AC183" i="10" s="1"/>
  <c r="AB109" i="10"/>
  <c r="AC109" i="10" s="1"/>
  <c r="AB296" i="10"/>
  <c r="AC296" i="10" s="1"/>
  <c r="AB252" i="10"/>
  <c r="AC252" i="10" s="1"/>
  <c r="AB97" i="10"/>
  <c r="AC97" i="10" s="1"/>
  <c r="Z259" i="10"/>
  <c r="Y259" i="10"/>
  <c r="Z201" i="10"/>
  <c r="Y201" i="10"/>
  <c r="Z149" i="10"/>
  <c r="Y149" i="10"/>
  <c r="Z147" i="10"/>
  <c r="Y147" i="10"/>
  <c r="Z159" i="10"/>
  <c r="Y159" i="10"/>
  <c r="Z239" i="10"/>
  <c r="Y239" i="10"/>
  <c r="Z236" i="10"/>
  <c r="Y236" i="10"/>
  <c r="Z240" i="10"/>
  <c r="Y240" i="10"/>
  <c r="Z180" i="10"/>
  <c r="Y180" i="10"/>
  <c r="Z151" i="10"/>
  <c r="Y151" i="10"/>
  <c r="Z153" i="10"/>
  <c r="Y153" i="10"/>
  <c r="Z137" i="10"/>
  <c r="Y137" i="10"/>
  <c r="Z133" i="10"/>
  <c r="Y133" i="10"/>
  <c r="Z275" i="10"/>
  <c r="Y275" i="10"/>
  <c r="Z141" i="10"/>
  <c r="Y141" i="10"/>
  <c r="Z155" i="10"/>
  <c r="Y155" i="10"/>
  <c r="Z130" i="10"/>
  <c r="Y130" i="10"/>
  <c r="Z318" i="10"/>
  <c r="Y318" i="10"/>
  <c r="Z276" i="10"/>
  <c r="Y276" i="10"/>
  <c r="Z263" i="10"/>
  <c r="Y263" i="10"/>
  <c r="Z157" i="10"/>
  <c r="Y157" i="10"/>
  <c r="Z139" i="10"/>
  <c r="Y139" i="10"/>
  <c r="Z253" i="10"/>
  <c r="Y253" i="10"/>
  <c r="Z304" i="10"/>
  <c r="Y304" i="10"/>
  <c r="Z217" i="10"/>
  <c r="Y217" i="10"/>
  <c r="Z143" i="10"/>
  <c r="Y143" i="10"/>
  <c r="Z163" i="10"/>
  <c r="Y163" i="10"/>
  <c r="Z145" i="10"/>
  <c r="Y145" i="10"/>
  <c r="Z135" i="10"/>
  <c r="Y135" i="10"/>
  <c r="Z136" i="10"/>
  <c r="Y136" i="10"/>
  <c r="Z274" i="10"/>
  <c r="Y274" i="10"/>
  <c r="Z298" i="10"/>
  <c r="Y298" i="10"/>
  <c r="Z261" i="10"/>
  <c r="Y261" i="10"/>
  <c r="Z167" i="10"/>
  <c r="Y167" i="10"/>
  <c r="Z131" i="10"/>
  <c r="Y131" i="10"/>
  <c r="Z190" i="10"/>
  <c r="Y190" i="10"/>
  <c r="Z182" i="10"/>
  <c r="Y182" i="10"/>
  <c r="Z128" i="10"/>
  <c r="Y128" i="10"/>
  <c r="Z277" i="10"/>
  <c r="Y277" i="10"/>
  <c r="Z273" i="10"/>
  <c r="Y273" i="10"/>
  <c r="AC87" i="10"/>
  <c r="AB230" i="10"/>
  <c r="AC230" i="10" s="1"/>
  <c r="AD230" i="10" s="1"/>
  <c r="AE230" i="10" s="1"/>
  <c r="AF230" i="10" s="1"/>
  <c r="AA224" i="10"/>
  <c r="AA270" i="10"/>
  <c r="AA229" i="10"/>
  <c r="AB21" i="10"/>
  <c r="AC21" i="10" s="1"/>
  <c r="AD21" i="10" s="1"/>
  <c r="AB226" i="10"/>
  <c r="AC226" i="10" s="1"/>
  <c r="AA232" i="10"/>
  <c r="AJ79" i="10"/>
  <c r="AB14" i="10"/>
  <c r="AC14" i="10" s="1"/>
  <c r="Z264" i="10"/>
  <c r="AA264" i="10" s="1"/>
  <c r="Z231" i="10"/>
  <c r="AA231" i="10" s="1"/>
  <c r="Z301" i="10"/>
  <c r="AA301" i="10" s="1"/>
  <c r="Z111" i="10"/>
  <c r="AA111" i="10" s="1"/>
  <c r="Z194" i="10"/>
  <c r="AA194" i="10" s="1"/>
  <c r="Z186" i="10"/>
  <c r="AA186" i="10" s="1"/>
  <c r="Z140" i="10"/>
  <c r="AA140" i="10" s="1"/>
  <c r="Z181" i="10"/>
  <c r="AA181" i="10" s="1"/>
  <c r="Z179" i="10"/>
  <c r="AA179" i="10" s="1"/>
  <c r="Z100" i="10"/>
  <c r="AA100" i="10" s="1"/>
  <c r="Z146" i="10"/>
  <c r="AA146" i="10" s="1"/>
  <c r="Z121" i="10"/>
  <c r="AA121" i="10" s="1"/>
  <c r="Z103" i="10"/>
  <c r="AA103" i="10" s="1"/>
  <c r="Z237" i="10"/>
  <c r="AA237" i="10" s="1"/>
  <c r="Z307" i="10"/>
  <c r="AA307" i="10" s="1"/>
  <c r="Z218" i="10"/>
  <c r="AA218" i="10" s="1"/>
  <c r="Z249" i="10"/>
  <c r="AA249" i="10" s="1"/>
  <c r="Z172" i="10"/>
  <c r="AA172" i="10" s="1"/>
  <c r="Z177" i="10"/>
  <c r="AA177" i="10" s="1"/>
  <c r="Z254" i="10"/>
  <c r="AA254" i="10" s="1"/>
  <c r="Z196" i="10"/>
  <c r="AA196" i="10" s="1"/>
  <c r="Z176" i="10"/>
  <c r="AA176" i="10" s="1"/>
  <c r="Z271" i="10"/>
  <c r="Z227" i="10"/>
  <c r="AA227" i="10" s="1"/>
  <c r="Z175" i="10"/>
  <c r="AA175" i="10" s="1"/>
  <c r="Z197" i="10"/>
  <c r="AA197" i="10" s="1"/>
  <c r="Z168" i="10"/>
  <c r="AA168" i="10" s="1"/>
  <c r="Z169" i="10"/>
  <c r="AA169" i="10" s="1"/>
  <c r="Z257" i="10"/>
  <c r="AA257" i="10" s="1"/>
  <c r="Z297" i="10"/>
  <c r="AA297" i="10" s="1"/>
  <c r="Z203" i="10"/>
  <c r="AA203" i="10" s="1"/>
  <c r="Z222" i="10"/>
  <c r="AA222" i="10" s="1"/>
  <c r="Z315" i="10"/>
  <c r="AA315" i="10" s="1"/>
  <c r="Z251" i="10"/>
  <c r="AA251" i="10" s="1"/>
  <c r="Z199" i="10"/>
  <c r="AA199" i="10" s="1"/>
  <c r="Z241" i="10"/>
  <c r="AA241" i="10" s="1"/>
  <c r="Z294" i="10"/>
  <c r="AA294" i="10" s="1"/>
  <c r="Z198" i="10"/>
  <c r="AA198" i="10" s="1"/>
  <c r="Z189" i="10"/>
  <c r="AA189" i="10" s="1"/>
  <c r="Z152" i="10"/>
  <c r="AA152" i="10" s="1"/>
  <c r="Z90" i="10"/>
  <c r="AA90" i="10" s="1"/>
  <c r="Z171" i="10"/>
  <c r="AA171" i="10" s="1"/>
  <c r="Z235" i="10"/>
  <c r="AA235" i="10" s="1"/>
  <c r="Z165" i="10"/>
  <c r="AA165" i="10" s="1"/>
  <c r="Z216" i="10"/>
  <c r="AA216" i="10" s="1"/>
  <c r="Z258" i="10"/>
  <c r="AA258" i="10" s="1"/>
  <c r="Z150" i="10"/>
  <c r="AA150" i="10" s="1"/>
  <c r="Z129" i="10"/>
  <c r="AA129" i="10" s="1"/>
  <c r="Z220" i="10"/>
  <c r="Z211" i="10"/>
  <c r="AA211" i="10" s="1"/>
  <c r="Z207" i="10"/>
  <c r="AA207" i="10" s="1"/>
  <c r="Z244" i="10"/>
  <c r="AA244" i="10" s="1"/>
  <c r="Z303" i="10"/>
  <c r="Z188" i="10"/>
  <c r="AA188" i="10" s="1"/>
  <c r="Z162" i="10"/>
  <c r="AA162" i="10" s="1"/>
  <c r="Z132" i="10"/>
  <c r="AA132" i="10" s="1"/>
  <c r="Z325" i="10"/>
  <c r="AA325" i="10" s="1"/>
  <c r="Z223" i="10"/>
  <c r="AA223" i="10" s="1"/>
  <c r="Z247" i="10"/>
  <c r="AA247" i="10" s="1"/>
  <c r="Z219" i="10"/>
  <c r="AA219" i="10" s="1"/>
  <c r="Z221" i="10"/>
  <c r="Z256" i="10"/>
  <c r="AA256" i="10" s="1"/>
  <c r="Z311" i="10"/>
  <c r="AA311" i="10" s="1"/>
  <c r="Z293" i="10"/>
  <c r="AA293" i="10" s="1"/>
  <c r="Z313" i="10"/>
  <c r="AA313" i="10" s="1"/>
  <c r="Z215" i="10"/>
  <c r="AA215" i="10" s="1"/>
  <c r="Z213" i="10"/>
  <c r="AA213" i="10" s="1"/>
  <c r="Z144" i="10"/>
  <c r="AA144" i="10" s="1"/>
  <c r="Z262" i="10"/>
  <c r="AA262" i="10" s="1"/>
  <c r="Z206" i="10"/>
  <c r="AA206" i="10" s="1"/>
  <c r="Z156" i="10"/>
  <c r="AA156" i="10" s="1"/>
  <c r="Z205" i="10"/>
  <c r="AA205" i="10" s="1"/>
  <c r="Z308" i="10"/>
  <c r="AA308" i="10" s="1"/>
  <c r="Z317" i="10"/>
  <c r="Z154" i="10"/>
  <c r="AA154" i="10" s="1"/>
  <c r="Z134" i="10"/>
  <c r="AA134" i="10" s="1"/>
  <c r="Z91" i="10"/>
  <c r="AA91" i="10" s="1"/>
  <c r="Z161" i="10"/>
  <c r="AA161" i="10" s="1"/>
  <c r="Z102" i="10"/>
  <c r="AA102" i="10" s="1"/>
  <c r="Z184" i="10"/>
  <c r="AA184" i="10" s="1"/>
  <c r="Z302" i="10"/>
  <c r="Z299" i="10"/>
  <c r="AA299" i="10" s="1"/>
  <c r="Z164" i="10"/>
  <c r="AA164" i="10" s="1"/>
  <c r="Z310" i="10"/>
  <c r="AA310" i="10" s="1"/>
  <c r="Z267" i="10"/>
  <c r="AA267" i="10" s="1"/>
  <c r="Z127" i="10"/>
  <c r="AA127" i="10" s="1"/>
  <c r="Z266" i="10"/>
  <c r="AA266" i="10" s="1"/>
  <c r="Z238" i="10"/>
  <c r="AA238" i="10" s="1"/>
  <c r="Z212" i="10"/>
  <c r="AA212" i="10" s="1"/>
  <c r="Z173" i="10"/>
  <c r="AA173" i="10" s="1"/>
  <c r="Z265" i="10"/>
  <c r="AA265" i="10" s="1"/>
  <c r="Z242" i="10"/>
  <c r="AA242" i="10" s="1"/>
  <c r="Z193" i="10"/>
  <c r="AA193" i="10" s="1"/>
  <c r="Z185" i="10"/>
  <c r="AA185" i="10" s="1"/>
  <c r="Z95" i="10"/>
  <c r="AA95" i="10" s="1"/>
  <c r="Z98" i="10"/>
  <c r="AA98" i="10" s="1"/>
  <c r="Z209" i="10"/>
  <c r="AA209" i="10" s="1"/>
  <c r="Z248" i="10"/>
  <c r="AA248" i="10" s="1"/>
  <c r="Z166" i="10"/>
  <c r="AA166" i="10" s="1"/>
  <c r="Z148" i="10"/>
  <c r="AA148" i="10" s="1"/>
  <c r="Z93" i="10"/>
  <c r="AA93" i="10" s="1"/>
  <c r="Z225" i="10"/>
  <c r="Z246" i="10"/>
  <c r="AA246" i="10" s="1"/>
  <c r="Z295" i="10"/>
  <c r="AA295" i="10" s="1"/>
  <c r="Z142" i="10"/>
  <c r="AA142" i="10" s="1"/>
  <c r="Z309" i="10"/>
  <c r="AA309" i="10" s="1"/>
  <c r="Z202" i="10"/>
  <c r="AA202" i="10" s="1"/>
  <c r="Z255" i="10"/>
  <c r="AA255" i="10" s="1"/>
  <c r="Z107" i="10"/>
  <c r="AA107" i="10" s="1"/>
  <c r="Z115" i="10"/>
  <c r="AA115" i="10" s="1"/>
  <c r="Z312" i="10"/>
  <c r="AA312" i="10" s="1"/>
  <c r="Z192" i="10"/>
  <c r="AA192" i="10" s="1"/>
  <c r="Z228" i="10"/>
  <c r="Z200" i="10"/>
  <c r="AA200" i="10" s="1"/>
  <c r="Z272" i="10"/>
  <c r="AJ82" i="10"/>
  <c r="AJ64" i="10"/>
  <c r="AJ51" i="10"/>
  <c r="AJ71" i="10"/>
  <c r="AI12" i="10"/>
  <c r="AB170" i="10" l="1"/>
  <c r="AC170" i="10" s="1"/>
  <c r="AG230" i="10"/>
  <c r="AA163" i="10"/>
  <c r="AA217" i="10"/>
  <c r="AB217" i="10" s="1"/>
  <c r="AC217" i="10" s="1"/>
  <c r="AA253" i="10"/>
  <c r="AB253" i="10" s="1"/>
  <c r="AC253" i="10" s="1"/>
  <c r="AD253" i="10" s="1"/>
  <c r="AA157" i="10"/>
  <c r="AA130" i="10"/>
  <c r="AA141" i="10"/>
  <c r="AB141" i="10" s="1"/>
  <c r="AC141" i="10" s="1"/>
  <c r="AA133" i="10"/>
  <c r="AA153" i="10"/>
  <c r="AA180" i="10"/>
  <c r="AD250" i="10"/>
  <c r="AD316" i="10"/>
  <c r="AE316" i="10" s="1"/>
  <c r="AF316" i="10" s="1"/>
  <c r="AD245" i="10"/>
  <c r="AE245" i="10" s="1"/>
  <c r="AF245" i="10" s="1"/>
  <c r="AD118" i="10"/>
  <c r="AD138" i="10"/>
  <c r="AE138" i="10" s="1"/>
  <c r="AC195" i="10"/>
  <c r="AE269" i="10"/>
  <c r="AD233" i="10"/>
  <c r="AD124" i="10"/>
  <c r="AE113" i="10"/>
  <c r="AF113" i="10" s="1"/>
  <c r="AD178" i="10"/>
  <c r="AE178" i="10" s="1"/>
  <c r="AF178" i="10" s="1"/>
  <c r="AD210" i="10"/>
  <c r="AA182" i="10"/>
  <c r="AA131" i="10"/>
  <c r="AA261" i="10"/>
  <c r="AA135" i="10"/>
  <c r="AA236" i="10"/>
  <c r="AB236" i="10" s="1"/>
  <c r="AC236" i="10" s="1"/>
  <c r="AD236" i="10" s="1"/>
  <c r="AA159" i="10"/>
  <c r="AA149" i="10"/>
  <c r="AA259" i="10"/>
  <c r="AD160" i="10"/>
  <c r="AE160" i="10" s="1"/>
  <c r="AF160" i="10" s="1"/>
  <c r="AC110" i="10"/>
  <c r="AD94" i="10"/>
  <c r="AE101" i="10"/>
  <c r="AE122" i="10"/>
  <c r="AF122" i="10" s="1"/>
  <c r="AD126" i="10"/>
  <c r="AE126" i="10" s="1"/>
  <c r="AF126" i="10" s="1"/>
  <c r="AD109" i="10"/>
  <c r="AE109" i="10" s="1"/>
  <c r="AD97" i="10"/>
  <c r="AD252" i="10"/>
  <c r="AE252" i="10" s="1"/>
  <c r="AD174" i="10"/>
  <c r="AE174" i="10" s="1"/>
  <c r="AD183" i="10"/>
  <c r="AD296" i="10"/>
  <c r="AD214" i="10"/>
  <c r="AD208" i="10"/>
  <c r="AB309" i="10"/>
  <c r="AB248" i="10"/>
  <c r="AC248" i="10" s="1"/>
  <c r="AB173" i="10"/>
  <c r="AB299" i="10"/>
  <c r="AC299" i="10" s="1"/>
  <c r="AB215" i="10"/>
  <c r="AB188" i="10"/>
  <c r="AC188" i="10" s="1"/>
  <c r="AB258" i="10"/>
  <c r="AB198" i="10"/>
  <c r="AB297" i="10"/>
  <c r="AB176" i="10"/>
  <c r="AB237" i="10"/>
  <c r="AC237" i="10" s="1"/>
  <c r="AB186" i="10"/>
  <c r="AB158" i="10"/>
  <c r="AD96" i="10"/>
  <c r="AE96" i="10" s="1"/>
  <c r="AE204" i="10"/>
  <c r="AF204" i="10" s="1"/>
  <c r="AD108" i="10"/>
  <c r="AB192" i="10"/>
  <c r="AB255" i="10"/>
  <c r="AC255" i="10" s="1"/>
  <c r="AD255" i="10" s="1"/>
  <c r="AB295" i="10"/>
  <c r="AC295" i="10" s="1"/>
  <c r="AB148" i="10"/>
  <c r="AB98" i="10"/>
  <c r="AB242" i="10"/>
  <c r="AC242" i="10" s="1"/>
  <c r="AB238" i="10"/>
  <c r="AC238" i="10" s="1"/>
  <c r="AB310" i="10"/>
  <c r="AB184" i="10"/>
  <c r="AB134" i="10"/>
  <c r="AC134" i="10" s="1"/>
  <c r="AB205" i="10"/>
  <c r="AC205" i="10" s="1"/>
  <c r="AD205" i="10" s="1"/>
  <c r="AB144" i="10"/>
  <c r="AB293" i="10"/>
  <c r="AB132" i="10"/>
  <c r="AC132" i="10" s="1"/>
  <c r="AB244" i="10"/>
  <c r="AB129" i="10"/>
  <c r="AB165" i="10"/>
  <c r="AB152" i="10"/>
  <c r="AC152" i="10" s="1"/>
  <c r="AD152" i="10" s="1"/>
  <c r="AB241" i="10"/>
  <c r="AC241" i="10" s="1"/>
  <c r="AB169" i="10"/>
  <c r="AB254" i="10"/>
  <c r="AB218" i="10"/>
  <c r="AC218" i="10" s="1"/>
  <c r="AB121" i="10"/>
  <c r="AB181" i="10"/>
  <c r="AB111" i="10"/>
  <c r="AC99" i="10"/>
  <c r="AD300" i="10"/>
  <c r="AD314" i="10"/>
  <c r="AD234" i="10"/>
  <c r="AE234" i="10" s="1"/>
  <c r="AD243" i="10"/>
  <c r="AE243" i="10" s="1"/>
  <c r="AD104" i="10"/>
  <c r="AE117" i="10"/>
  <c r="AD116" i="10"/>
  <c r="AE116" i="10" s="1"/>
  <c r="AD260" i="10"/>
  <c r="AD105" i="10"/>
  <c r="AD123" i="10"/>
  <c r="AB200" i="10"/>
  <c r="AC200" i="10" s="1"/>
  <c r="AB115" i="10"/>
  <c r="AB185" i="10"/>
  <c r="AC185" i="10" s="1"/>
  <c r="AB127" i="10"/>
  <c r="AC127" i="10" s="1"/>
  <c r="AB161" i="10"/>
  <c r="AC161" i="10" s="1"/>
  <c r="AB206" i="10"/>
  <c r="AB256" i="10"/>
  <c r="AC256" i="10" s="1"/>
  <c r="AD256" i="10" s="1"/>
  <c r="AE256" i="10" s="1"/>
  <c r="AF256" i="10" s="1"/>
  <c r="AB211" i="10"/>
  <c r="AC211" i="10" s="1"/>
  <c r="AB171" i="10"/>
  <c r="AC171" i="10" s="1"/>
  <c r="AD171" i="10" s="1"/>
  <c r="AB251" i="10"/>
  <c r="AC251" i="10" s="1"/>
  <c r="AD251" i="10" s="1"/>
  <c r="AB197" i="10"/>
  <c r="AB172" i="10"/>
  <c r="AC172" i="10" s="1"/>
  <c r="AB100" i="10"/>
  <c r="AC100" i="10" s="1"/>
  <c r="AE119" i="10"/>
  <c r="AF119" i="10" s="1"/>
  <c r="AB107" i="10"/>
  <c r="AB142" i="10"/>
  <c r="AC142" i="10" s="1"/>
  <c r="AB93" i="10"/>
  <c r="AB209" i="10"/>
  <c r="AC209" i="10" s="1"/>
  <c r="AD209" i="10" s="1"/>
  <c r="AE209" i="10" s="1"/>
  <c r="AB193" i="10"/>
  <c r="AC193" i="10" s="1"/>
  <c r="AB212" i="10"/>
  <c r="AC212" i="10" s="1"/>
  <c r="AD212" i="10" s="1"/>
  <c r="AB267" i="10"/>
  <c r="AC267" i="10" s="1"/>
  <c r="AD267" i="10" s="1"/>
  <c r="AB91" i="10"/>
  <c r="AC91" i="10" s="1"/>
  <c r="AD91" i="10" s="1"/>
  <c r="AB308" i="10"/>
  <c r="AB262" i="10"/>
  <c r="AC262" i="10" s="1"/>
  <c r="AD262" i="10" s="1"/>
  <c r="AB313" i="10"/>
  <c r="AC313" i="10" s="1"/>
  <c r="AB325" i="10"/>
  <c r="AC325" i="10" s="1"/>
  <c r="AB216" i="10"/>
  <c r="AB90" i="10"/>
  <c r="AB294" i="10"/>
  <c r="AB315" i="10"/>
  <c r="AB257" i="10"/>
  <c r="AB175" i="10"/>
  <c r="AC175" i="10" s="1"/>
  <c r="AB196" i="10"/>
  <c r="AB249" i="10"/>
  <c r="AB103" i="10"/>
  <c r="AB179" i="10"/>
  <c r="AC179" i="10" s="1"/>
  <c r="AB194" i="10"/>
  <c r="AC194" i="10" s="1"/>
  <c r="AB264" i="10"/>
  <c r="AA128" i="10"/>
  <c r="AA190" i="10"/>
  <c r="AA167" i="10"/>
  <c r="AA298" i="10"/>
  <c r="AA136" i="10"/>
  <c r="AA145" i="10"/>
  <c r="AA143" i="10"/>
  <c r="AA139" i="10"/>
  <c r="AA263" i="10"/>
  <c r="AA155" i="10"/>
  <c r="AA137" i="10"/>
  <c r="AA151" i="10"/>
  <c r="AA240" i="10"/>
  <c r="AA239" i="10"/>
  <c r="AA147" i="10"/>
  <c r="AA201" i="10"/>
  <c r="AC187" i="10"/>
  <c r="AD187" i="10" s="1"/>
  <c r="AC191" i="10"/>
  <c r="AD92" i="10"/>
  <c r="AE125" i="10"/>
  <c r="AE120" i="10"/>
  <c r="AF120" i="10" s="1"/>
  <c r="AB312" i="10"/>
  <c r="AC312" i="10" s="1"/>
  <c r="AB202" i="10"/>
  <c r="AB246" i="10"/>
  <c r="AC246" i="10" s="1"/>
  <c r="AB166" i="10"/>
  <c r="AC166" i="10" s="1"/>
  <c r="AB95" i="10"/>
  <c r="AC95" i="10" s="1"/>
  <c r="AD95" i="10" s="1"/>
  <c r="AE95" i="10" s="1"/>
  <c r="AF95" i="10" s="1"/>
  <c r="AB265" i="10"/>
  <c r="AB266" i="10"/>
  <c r="AC266" i="10" s="1"/>
  <c r="AD266" i="10" s="1"/>
  <c r="AE266" i="10" s="1"/>
  <c r="AF266" i="10" s="1"/>
  <c r="AB164" i="10"/>
  <c r="AB102" i="10"/>
  <c r="AC102" i="10" s="1"/>
  <c r="AB154" i="10"/>
  <c r="AB156" i="10"/>
  <c r="AC156" i="10" s="1"/>
  <c r="AB213" i="10"/>
  <c r="AC213" i="10" s="1"/>
  <c r="AB311" i="10"/>
  <c r="AC311" i="10" s="1"/>
  <c r="AD311" i="10" s="1"/>
  <c r="AB247" i="10"/>
  <c r="AB162" i="10"/>
  <c r="AC162" i="10" s="1"/>
  <c r="AD162" i="10" s="1"/>
  <c r="AB207" i="10"/>
  <c r="AC207" i="10" s="1"/>
  <c r="AD207" i="10" s="1"/>
  <c r="AB150" i="10"/>
  <c r="AC150" i="10" s="1"/>
  <c r="AB235" i="10"/>
  <c r="AB189" i="10"/>
  <c r="AC189" i="10" s="1"/>
  <c r="AD189" i="10" s="1"/>
  <c r="AB199" i="10"/>
  <c r="AC199" i="10" s="1"/>
  <c r="AD199" i="10" s="1"/>
  <c r="AB203" i="10"/>
  <c r="AB168" i="10"/>
  <c r="AB177" i="10"/>
  <c r="AB307" i="10"/>
  <c r="AC307" i="10" s="1"/>
  <c r="AB146" i="10"/>
  <c r="AC146" i="10" s="1"/>
  <c r="AB140" i="10"/>
  <c r="AB301" i="10"/>
  <c r="AC301" i="10" s="1"/>
  <c r="AE112" i="10"/>
  <c r="AF112" i="10" s="1"/>
  <c r="AD268" i="10"/>
  <c r="AD114" i="10"/>
  <c r="AE106" i="10"/>
  <c r="AA277" i="10"/>
  <c r="AA318" i="10"/>
  <c r="AA304" i="10"/>
  <c r="AA273" i="10"/>
  <c r="AA274" i="10"/>
  <c r="AA276" i="10"/>
  <c r="AA275" i="10"/>
  <c r="AA228" i="10"/>
  <c r="AD87" i="10"/>
  <c r="AA221" i="10"/>
  <c r="AA303" i="10"/>
  <c r="AA220" i="10"/>
  <c r="AE21" i="10"/>
  <c r="AF21" i="10" s="1"/>
  <c r="AA225" i="10"/>
  <c r="AA302" i="10"/>
  <c r="AB224" i="10"/>
  <c r="AA317" i="10"/>
  <c r="AB229" i="10"/>
  <c r="AB219" i="10"/>
  <c r="AB223" i="10"/>
  <c r="AB222" i="10"/>
  <c r="AB227" i="10"/>
  <c r="AB231" i="10"/>
  <c r="AB232" i="10"/>
  <c r="AC232" i="10" s="1"/>
  <c r="AD232" i="10" s="1"/>
  <c r="AD226" i="10"/>
  <c r="AB270" i="10"/>
  <c r="AA272" i="10"/>
  <c r="AA324" i="10"/>
  <c r="AD14" i="10"/>
  <c r="AA271" i="10"/>
  <c r="AA74" i="10"/>
  <c r="AA13" i="10"/>
  <c r="AJ66" i="10"/>
  <c r="AJ16" i="10"/>
  <c r="AJ81" i="10"/>
  <c r="AA57" i="10"/>
  <c r="AJ42" i="10"/>
  <c r="AJ41" i="10"/>
  <c r="AJ47" i="10"/>
  <c r="AJ49" i="10"/>
  <c r="AJ45" i="10"/>
  <c r="AJ46" i="10"/>
  <c r="AJ67" i="10"/>
  <c r="AJ60" i="10"/>
  <c r="AJ43" i="10"/>
  <c r="AJ48" i="10"/>
  <c r="AJ72" i="10"/>
  <c r="AD170" i="10" l="1"/>
  <c r="AE170" i="10" s="1"/>
  <c r="AF170" i="10" s="1"/>
  <c r="AG113" i="10"/>
  <c r="AG266" i="10"/>
  <c r="AH266" i="10" s="1"/>
  <c r="AG95" i="10"/>
  <c r="AH95" i="10" s="1"/>
  <c r="AF138" i="10"/>
  <c r="AA89" i="10"/>
  <c r="AC90" i="10"/>
  <c r="AE94" i="10"/>
  <c r="AF94" i="10" s="1"/>
  <c r="AH230" i="10"/>
  <c r="AJ230" i="10" s="1"/>
  <c r="AG126" i="10"/>
  <c r="AH126" i="10" s="1"/>
  <c r="AG204" i="10"/>
  <c r="AG256" i="10"/>
  <c r="AH256" i="10" s="1"/>
  <c r="AG112" i="10"/>
  <c r="AH112" i="10" s="1"/>
  <c r="AC227" i="10"/>
  <c r="AD227" i="10" s="1"/>
  <c r="AC229" i="10"/>
  <c r="AD229" i="10" s="1"/>
  <c r="AB221" i="10"/>
  <c r="AC221" i="10" s="1"/>
  <c r="AD221" i="10" s="1"/>
  <c r="AE276" i="10"/>
  <c r="AE318" i="10"/>
  <c r="AF318" i="10" s="1"/>
  <c r="AG318" i="10" s="1"/>
  <c r="AE268" i="10"/>
  <c r="AF268" i="10" s="1"/>
  <c r="AG268" i="10" s="1"/>
  <c r="AH268" i="10" s="1"/>
  <c r="AF125" i="10"/>
  <c r="AG125" i="10" s="1"/>
  <c r="AH125" i="10" s="1"/>
  <c r="AF117" i="10"/>
  <c r="AE314" i="10"/>
  <c r="AF314" i="10" s="1"/>
  <c r="AC169" i="10"/>
  <c r="AC129" i="10"/>
  <c r="AD129" i="10" s="1"/>
  <c r="AE129" i="10" s="1"/>
  <c r="AF129" i="10" s="1"/>
  <c r="AC144" i="10"/>
  <c r="AC310" i="10"/>
  <c r="AD310" i="10" s="1"/>
  <c r="AE310" i="10" s="1"/>
  <c r="AF310" i="10" s="1"/>
  <c r="AC148" i="10"/>
  <c r="AD148" i="10" s="1"/>
  <c r="AE148" i="10" s="1"/>
  <c r="AF148" i="10" s="1"/>
  <c r="AE108" i="10"/>
  <c r="AC158" i="10"/>
  <c r="AD158" i="10" s="1"/>
  <c r="AC297" i="10"/>
  <c r="AD297" i="10" s="1"/>
  <c r="AE297" i="10" s="1"/>
  <c r="AF297" i="10" s="1"/>
  <c r="AC309" i="10"/>
  <c r="AD309" i="10" s="1"/>
  <c r="AE309" i="10" s="1"/>
  <c r="AF309" i="10" s="1"/>
  <c r="AE183" i="10"/>
  <c r="AF183" i="10" s="1"/>
  <c r="AE97" i="10"/>
  <c r="AF97" i="10" s="1"/>
  <c r="AF101" i="10"/>
  <c r="AB259" i="10"/>
  <c r="AC259" i="10" s="1"/>
  <c r="AB135" i="10"/>
  <c r="AC135" i="10" s="1"/>
  <c r="AE210" i="10"/>
  <c r="AE233" i="10"/>
  <c r="AE118" i="10"/>
  <c r="AB130" i="10"/>
  <c r="AC130" i="10" s="1"/>
  <c r="AG119" i="10"/>
  <c r="AH119" i="10" s="1"/>
  <c r="AE226" i="10"/>
  <c r="AF226" i="10" s="1"/>
  <c r="AG226" i="10" s="1"/>
  <c r="AH226" i="10" s="1"/>
  <c r="AC222" i="10"/>
  <c r="AD222" i="10" s="1"/>
  <c r="AE222" i="10" s="1"/>
  <c r="AC140" i="10"/>
  <c r="AD140" i="10" s="1"/>
  <c r="AE140" i="10" s="1"/>
  <c r="AF140" i="10" s="1"/>
  <c r="AC168" i="10"/>
  <c r="AD168" i="10" s="1"/>
  <c r="AE168" i="10" s="1"/>
  <c r="AC235" i="10"/>
  <c r="AC247" i="10"/>
  <c r="AC154" i="10"/>
  <c r="AD154" i="10" s="1"/>
  <c r="AC265" i="10"/>
  <c r="AD265" i="10" s="1"/>
  <c r="AC103" i="10"/>
  <c r="AD103" i="10" s="1"/>
  <c r="AE103" i="10" s="1"/>
  <c r="AC257" i="10"/>
  <c r="AD257" i="10" s="1"/>
  <c r="AE257" i="10" s="1"/>
  <c r="AF257" i="10" s="1"/>
  <c r="AC216" i="10"/>
  <c r="AD216" i="10" s="1"/>
  <c r="AC308" i="10"/>
  <c r="AD308" i="10" s="1"/>
  <c r="AE308" i="10" s="1"/>
  <c r="AF308" i="10" s="1"/>
  <c r="AC107" i="10"/>
  <c r="AD107" i="10" s="1"/>
  <c r="AE105" i="10"/>
  <c r="AF105" i="10" s="1"/>
  <c r="AE104" i="10"/>
  <c r="AF104" i="10" s="1"/>
  <c r="AC270" i="10"/>
  <c r="AD270" i="10" s="1"/>
  <c r="AC223" i="10"/>
  <c r="AB228" i="10"/>
  <c r="AC228" i="10" s="1"/>
  <c r="AF106" i="10"/>
  <c r="AG106" i="10" s="1"/>
  <c r="AH106" i="10" s="1"/>
  <c r="AE92" i="10"/>
  <c r="AF92" i="10" s="1"/>
  <c r="AC264" i="10"/>
  <c r="AD264" i="10" s="1"/>
  <c r="AC249" i="10"/>
  <c r="AD249" i="10" s="1"/>
  <c r="AC315" i="10"/>
  <c r="AD315" i="10" s="1"/>
  <c r="AC206" i="10"/>
  <c r="AD206" i="10" s="1"/>
  <c r="AC231" i="10"/>
  <c r="AD231" i="10" s="1"/>
  <c r="AE231" i="10" s="1"/>
  <c r="AC219" i="10"/>
  <c r="AD219" i="10" s="1"/>
  <c r="AE219" i="10" s="1"/>
  <c r="AF219" i="10" s="1"/>
  <c r="AB304" i="10"/>
  <c r="AC304" i="10" s="1"/>
  <c r="AE114" i="10"/>
  <c r="AB180" i="10"/>
  <c r="AC180" i="10" s="1"/>
  <c r="AD180" i="10" s="1"/>
  <c r="AB163" i="10"/>
  <c r="AC163" i="10" s="1"/>
  <c r="AD163" i="10" s="1"/>
  <c r="AC111" i="10"/>
  <c r="AC254" i="10"/>
  <c r="AC165" i="10"/>
  <c r="AD165" i="10" s="1"/>
  <c r="AE165" i="10" s="1"/>
  <c r="AF165" i="10" s="1"/>
  <c r="AC293" i="10"/>
  <c r="AD293" i="10" s="1"/>
  <c r="AC184" i="10"/>
  <c r="AC98" i="10"/>
  <c r="AD98" i="10" s="1"/>
  <c r="AC176" i="10"/>
  <c r="AD176" i="10" s="1"/>
  <c r="AE176" i="10" s="1"/>
  <c r="AF176" i="10" s="1"/>
  <c r="AE296" i="10"/>
  <c r="AF296" i="10" s="1"/>
  <c r="AG122" i="10"/>
  <c r="AG160" i="10"/>
  <c r="AH160" i="10" s="1"/>
  <c r="AB182" i="10"/>
  <c r="AC182" i="10" s="1"/>
  <c r="AD182" i="10" s="1"/>
  <c r="AE124" i="10"/>
  <c r="AF124" i="10" s="1"/>
  <c r="AE250" i="10"/>
  <c r="AE87" i="10"/>
  <c r="AF87" i="10" s="1"/>
  <c r="AE277" i="10"/>
  <c r="AF277" i="10" s="1"/>
  <c r="AD191" i="10"/>
  <c r="AE191" i="10" s="1"/>
  <c r="AF191" i="10" s="1"/>
  <c r="AE208" i="10"/>
  <c r="AF208" i="10" s="1"/>
  <c r="AB149" i="10"/>
  <c r="AC149" i="10" s="1"/>
  <c r="AB261" i="10"/>
  <c r="AC261" i="10" s="1"/>
  <c r="AD261" i="10" s="1"/>
  <c r="AF269" i="10"/>
  <c r="AB153" i="10"/>
  <c r="AC153" i="10" s="1"/>
  <c r="AD153" i="10" s="1"/>
  <c r="AB157" i="10"/>
  <c r="AC157" i="10" s="1"/>
  <c r="AG245" i="10"/>
  <c r="AG178" i="10"/>
  <c r="AH178" i="10" s="1"/>
  <c r="AG316" i="10"/>
  <c r="AH316" i="10" s="1"/>
  <c r="AJ316" i="10" s="1"/>
  <c r="AE123" i="10"/>
  <c r="AD99" i="10"/>
  <c r="AE99" i="10" s="1"/>
  <c r="AE214" i="10"/>
  <c r="AF214" i="10" s="1"/>
  <c r="AD110" i="10"/>
  <c r="AE110" i="10" s="1"/>
  <c r="AF110" i="10" s="1"/>
  <c r="AB159" i="10"/>
  <c r="AC159" i="10" s="1"/>
  <c r="AB131" i="10"/>
  <c r="AC131" i="10" s="1"/>
  <c r="AD131" i="10" s="1"/>
  <c r="AE131" i="10" s="1"/>
  <c r="AF131" i="10" s="1"/>
  <c r="AD195" i="10"/>
  <c r="AE195" i="10" s="1"/>
  <c r="AF195" i="10" s="1"/>
  <c r="AB133" i="10"/>
  <c r="AC133" i="10" s="1"/>
  <c r="AG120" i="10"/>
  <c r="AH120" i="10" s="1"/>
  <c r="AG21" i="10"/>
  <c r="AH21" i="10" s="1"/>
  <c r="AF234" i="10"/>
  <c r="AG234" i="10" s="1"/>
  <c r="AJ38" i="10"/>
  <c r="AD312" i="10"/>
  <c r="AE312" i="10" s="1"/>
  <c r="AF312" i="10" s="1"/>
  <c r="AE162" i="10"/>
  <c r="AF162" i="10" s="1"/>
  <c r="AE262" i="10"/>
  <c r="AE311" i="10"/>
  <c r="AF311" i="10" s="1"/>
  <c r="AD150" i="10"/>
  <c r="AE150" i="10" s="1"/>
  <c r="AD313" i="10"/>
  <c r="AD100" i="10"/>
  <c r="AC173" i="10"/>
  <c r="AD307" i="10"/>
  <c r="AE307" i="10" s="1"/>
  <c r="AF307" i="10" s="1"/>
  <c r="AD299" i="10"/>
  <c r="AE299" i="10" s="1"/>
  <c r="AD295" i="10"/>
  <c r="AC294" i="10"/>
  <c r="AD172" i="10"/>
  <c r="AC164" i="10"/>
  <c r="AE267" i="10"/>
  <c r="AD193" i="10"/>
  <c r="AE251" i="10"/>
  <c r="AF251" i="10" s="1"/>
  <c r="AD185" i="10"/>
  <c r="AC244" i="10"/>
  <c r="AE255" i="10"/>
  <c r="AC215" i="10"/>
  <c r="AD215" i="10" s="1"/>
  <c r="AD248" i="10"/>
  <c r="AD238" i="10"/>
  <c r="AD217" i="10"/>
  <c r="AE217" i="10" s="1"/>
  <c r="AF217" i="10" s="1"/>
  <c r="AD156" i="10"/>
  <c r="AE156" i="10" s="1"/>
  <c r="AF156" i="10" s="1"/>
  <c r="AC202" i="10"/>
  <c r="AD202" i="10" s="1"/>
  <c r="AE202" i="10" s="1"/>
  <c r="AF202" i="10" s="1"/>
  <c r="AD142" i="10"/>
  <c r="AF116" i="10"/>
  <c r="AC121" i="10"/>
  <c r="AC192" i="10"/>
  <c r="AF252" i="10"/>
  <c r="AD211" i="10"/>
  <c r="AD141" i="10"/>
  <c r="AE141" i="10" s="1"/>
  <c r="AF141" i="10" s="1"/>
  <c r="AD175" i="10"/>
  <c r="AF174" i="10"/>
  <c r="AF209" i="10"/>
  <c r="AD179" i="10"/>
  <c r="AD301" i="10"/>
  <c r="AE301" i="10" s="1"/>
  <c r="AF301" i="10" s="1"/>
  <c r="AF109" i="10"/>
  <c r="AG109" i="10" s="1"/>
  <c r="AB190" i="10"/>
  <c r="AC190" i="10" s="1"/>
  <c r="AD190" i="10" s="1"/>
  <c r="AC203" i="10"/>
  <c r="AD203" i="10" s="1"/>
  <c r="AE189" i="10"/>
  <c r="AD246" i="10"/>
  <c r="AE246" i="10" s="1"/>
  <c r="AF246" i="10" s="1"/>
  <c r="AB263" i="10"/>
  <c r="AC263" i="10" s="1"/>
  <c r="AD263" i="10" s="1"/>
  <c r="AB136" i="10"/>
  <c r="AC136" i="10" s="1"/>
  <c r="AD136" i="10" s="1"/>
  <c r="AB128" i="10"/>
  <c r="AC128" i="10" s="1"/>
  <c r="AD194" i="10"/>
  <c r="AC93" i="10"/>
  <c r="AD93" i="10" s="1"/>
  <c r="AC115" i="10"/>
  <c r="AD115" i="10" s="1"/>
  <c r="AE115" i="10" s="1"/>
  <c r="AF115" i="10" s="1"/>
  <c r="AE260" i="10"/>
  <c r="AF260" i="10" s="1"/>
  <c r="AD218" i="10"/>
  <c r="AE205" i="10"/>
  <c r="AD188" i="10"/>
  <c r="AB239" i="10"/>
  <c r="AC239" i="10" s="1"/>
  <c r="AD239" i="10" s="1"/>
  <c r="AB145" i="10"/>
  <c r="AC145" i="10" s="1"/>
  <c r="AD145" i="10" s="1"/>
  <c r="AE145" i="10" s="1"/>
  <c r="AF145" i="10" s="1"/>
  <c r="AF96" i="10"/>
  <c r="AD146" i="10"/>
  <c r="AE146" i="10" s="1"/>
  <c r="AE236" i="10"/>
  <c r="AF236" i="10" s="1"/>
  <c r="AE207" i="10"/>
  <c r="AF207" i="10" s="1"/>
  <c r="AD166" i="10"/>
  <c r="AB139" i="10"/>
  <c r="AC139" i="10" s="1"/>
  <c r="AD139" i="10" s="1"/>
  <c r="AC196" i="10"/>
  <c r="AD325" i="10"/>
  <c r="AE325" i="10" s="1"/>
  <c r="AF325" i="10" s="1"/>
  <c r="AE91" i="10"/>
  <c r="AF91" i="10" s="1"/>
  <c r="AE212" i="10"/>
  <c r="AF212" i="10" s="1"/>
  <c r="AC197" i="10"/>
  <c r="AD197" i="10" s="1"/>
  <c r="AE171" i="10"/>
  <c r="AD161" i="10"/>
  <c r="AD127" i="10"/>
  <c r="AD200" i="10"/>
  <c r="AE200" i="10" s="1"/>
  <c r="AF200" i="10" s="1"/>
  <c r="AE300" i="10"/>
  <c r="AF300" i="10" s="1"/>
  <c r="AC181" i="10"/>
  <c r="AD181" i="10" s="1"/>
  <c r="AD241" i="10"/>
  <c r="AE152" i="10"/>
  <c r="AD242" i="10"/>
  <c r="AC186" i="10"/>
  <c r="AD237" i="10"/>
  <c r="AC198" i="10"/>
  <c r="AC258" i="10"/>
  <c r="AB155" i="10"/>
  <c r="AC155" i="10" s="1"/>
  <c r="AE187" i="10"/>
  <c r="AF187" i="10" s="1"/>
  <c r="AE253" i="10"/>
  <c r="AF253" i="10" s="1"/>
  <c r="AB240" i="10"/>
  <c r="AC177" i="10"/>
  <c r="AE199" i="10"/>
  <c r="AD213" i="10"/>
  <c r="AE213" i="10" s="1"/>
  <c r="AF213" i="10" s="1"/>
  <c r="AB201" i="10"/>
  <c r="AC201" i="10" s="1"/>
  <c r="AB151" i="10"/>
  <c r="AB298" i="10"/>
  <c r="AC298" i="10" s="1"/>
  <c r="AD298" i="10" s="1"/>
  <c r="AB324" i="10"/>
  <c r="AD102" i="10"/>
  <c r="AE102" i="10" s="1"/>
  <c r="AF102" i="10" s="1"/>
  <c r="AB147" i="10"/>
  <c r="AB137" i="10"/>
  <c r="AC137" i="10" s="1"/>
  <c r="AB143" i="10"/>
  <c r="AC143" i="10" s="1"/>
  <c r="AB167" i="10"/>
  <c r="AC167" i="10" s="1"/>
  <c r="AF243" i="10"/>
  <c r="AG243" i="10" s="1"/>
  <c r="AD132" i="10"/>
  <c r="AD134" i="10"/>
  <c r="AE274" i="10"/>
  <c r="AF274" i="10" s="1"/>
  <c r="AE272" i="10"/>
  <c r="AF272" i="10" s="1"/>
  <c r="AE275" i="10"/>
  <c r="AE273" i="10"/>
  <c r="AF273" i="10" s="1"/>
  <c r="AJ65" i="10"/>
  <c r="AA306" i="10"/>
  <c r="AB303" i="10"/>
  <c r="AB220" i="10"/>
  <c r="AC220" i="10" s="1"/>
  <c r="AD220" i="10" s="1"/>
  <c r="AE232" i="10"/>
  <c r="AC224" i="10"/>
  <c r="AB302" i="10"/>
  <c r="AC302" i="10" s="1"/>
  <c r="AB225" i="10"/>
  <c r="AC225" i="10" s="1"/>
  <c r="AB317" i="10"/>
  <c r="AE14" i="10"/>
  <c r="AF14" i="10" s="1"/>
  <c r="AA292" i="10"/>
  <c r="AJ76" i="10"/>
  <c r="AB74" i="10"/>
  <c r="AB13" i="10"/>
  <c r="AJ28" i="10"/>
  <c r="AJ24" i="10"/>
  <c r="AC324" i="10"/>
  <c r="AJ86" i="10"/>
  <c r="AJ23" i="10"/>
  <c r="AB57" i="10"/>
  <c r="AJ63" i="10"/>
  <c r="AJ20" i="10"/>
  <c r="AJ70" i="10"/>
  <c r="AJ77" i="10"/>
  <c r="AJ27" i="10"/>
  <c r="AJ29" i="10"/>
  <c r="AJ59" i="10"/>
  <c r="AJ78" i="10"/>
  <c r="AC13" i="10"/>
  <c r="AJ15" i="10"/>
  <c r="AJ84" i="10"/>
  <c r="AJ17" i="10"/>
  <c r="AC57" i="10"/>
  <c r="AG170" i="10" l="1"/>
  <c r="AH170" i="10" s="1"/>
  <c r="AG91" i="10"/>
  <c r="AG94" i="10"/>
  <c r="AH94" i="10" s="1"/>
  <c r="AJ94" i="10" s="1"/>
  <c r="AD169" i="10"/>
  <c r="AE169" i="10" s="1"/>
  <c r="AF169" i="10" s="1"/>
  <c r="AG213" i="10"/>
  <c r="AH213" i="10" s="1"/>
  <c r="AJ213" i="10" s="1"/>
  <c r="AG101" i="10"/>
  <c r="AH101" i="10" s="1"/>
  <c r="AJ101" i="10" s="1"/>
  <c r="AG219" i="10"/>
  <c r="AH219" i="10" s="1"/>
  <c r="AJ219" i="10" s="1"/>
  <c r="AG124" i="10"/>
  <c r="AH124" i="10" s="1"/>
  <c r="AJ124" i="10" s="1"/>
  <c r="AE127" i="10"/>
  <c r="AF127" i="10" s="1"/>
  <c r="AG138" i="10"/>
  <c r="AH138" i="10" s="1"/>
  <c r="AJ138" i="10" s="1"/>
  <c r="AG104" i="10"/>
  <c r="AE249" i="10"/>
  <c r="AF249" i="10" s="1"/>
  <c r="AD135" i="10"/>
  <c r="AE135" i="10" s="1"/>
  <c r="AF135" i="10" s="1"/>
  <c r="AD159" i="10"/>
  <c r="AE159" i="10" s="1"/>
  <c r="AF159" i="10" s="1"/>
  <c r="AF99" i="10"/>
  <c r="AG99" i="10" s="1"/>
  <c r="AH99" i="10" s="1"/>
  <c r="AE154" i="10"/>
  <c r="AF154" i="10" s="1"/>
  <c r="AE315" i="10"/>
  <c r="AF315" i="10" s="1"/>
  <c r="AE264" i="10"/>
  <c r="AF264" i="10" s="1"/>
  <c r="AF168" i="10"/>
  <c r="AG168" i="10" s="1"/>
  <c r="AE261" i="10"/>
  <c r="AF261" i="10" s="1"/>
  <c r="AE206" i="10"/>
  <c r="AF206" i="10" s="1"/>
  <c r="AD133" i="10"/>
  <c r="AE133" i="10" s="1"/>
  <c r="AF133" i="10" s="1"/>
  <c r="AD157" i="10"/>
  <c r="AE157" i="10" s="1"/>
  <c r="AF157" i="10" s="1"/>
  <c r="AG157" i="10" s="1"/>
  <c r="AH157" i="10" s="1"/>
  <c r="AG183" i="10"/>
  <c r="AH183" i="10" s="1"/>
  <c r="AJ183" i="10" s="1"/>
  <c r="AF171" i="10"/>
  <c r="AG171" i="10" s="1"/>
  <c r="AF189" i="10"/>
  <c r="AG189" i="10" s="1"/>
  <c r="AF267" i="10"/>
  <c r="AG267" i="10" s="1"/>
  <c r="AG214" i="10"/>
  <c r="AH214" i="10" s="1"/>
  <c r="AJ214" i="10" s="1"/>
  <c r="AF108" i="10"/>
  <c r="AG108" i="10" s="1"/>
  <c r="AB89" i="10"/>
  <c r="AD186" i="10"/>
  <c r="AD164" i="10"/>
  <c r="AE164" i="10" s="1"/>
  <c r="AF164" i="10" s="1"/>
  <c r="AD254" i="10"/>
  <c r="AE254" i="10" s="1"/>
  <c r="AF254" i="10" s="1"/>
  <c r="AD223" i="10"/>
  <c r="AE223" i="10" s="1"/>
  <c r="AF223" i="10" s="1"/>
  <c r="AF118" i="10"/>
  <c r="AG118" i="10" s="1"/>
  <c r="AD90" i="10"/>
  <c r="AH243" i="10"/>
  <c r="AJ243" i="10" s="1"/>
  <c r="AF199" i="10"/>
  <c r="AG199" i="10" s="1"/>
  <c r="AE166" i="10"/>
  <c r="AF166" i="10" s="1"/>
  <c r="AD111" i="10"/>
  <c r="AE111" i="10" s="1"/>
  <c r="AF111" i="10" s="1"/>
  <c r="AF233" i="10"/>
  <c r="AG233" i="10" s="1"/>
  <c r="AH233" i="10" s="1"/>
  <c r="AJ233" i="10" s="1"/>
  <c r="AH234" i="10"/>
  <c r="AJ234" i="10" s="1"/>
  <c r="AH113" i="10"/>
  <c r="AJ113" i="10" s="1"/>
  <c r="AH122" i="10"/>
  <c r="AJ122" i="10" s="1"/>
  <c r="AH245" i="10"/>
  <c r="AJ245" i="10" s="1"/>
  <c r="AJ106" i="10"/>
  <c r="AF210" i="10"/>
  <c r="AG210" i="10" s="1"/>
  <c r="AD144" i="10"/>
  <c r="AE144" i="10" s="1"/>
  <c r="AF144" i="10" s="1"/>
  <c r="AH204" i="10"/>
  <c r="AJ204" i="10" s="1"/>
  <c r="AG308" i="10"/>
  <c r="AH308" i="10" s="1"/>
  <c r="AJ308" i="10" s="1"/>
  <c r="AG208" i="10"/>
  <c r="AH208" i="10" s="1"/>
  <c r="AJ208" i="10" s="1"/>
  <c r="AE182" i="10"/>
  <c r="AF182" i="10" s="1"/>
  <c r="AD259" i="10"/>
  <c r="AE259" i="10" s="1"/>
  <c r="AF259" i="10" s="1"/>
  <c r="AF276" i="10"/>
  <c r="AG276" i="10" s="1"/>
  <c r="AE158" i="10"/>
  <c r="AF158" i="10" s="1"/>
  <c r="AD130" i="10"/>
  <c r="AE130" i="10" s="1"/>
  <c r="AF130" i="10" s="1"/>
  <c r="AG165" i="10"/>
  <c r="AG251" i="10"/>
  <c r="AH251" i="10" s="1"/>
  <c r="AG309" i="10"/>
  <c r="AH309" i="10" s="1"/>
  <c r="AJ309" i="10" s="1"/>
  <c r="AG310" i="10"/>
  <c r="AH310" i="10" s="1"/>
  <c r="AJ310" i="10" s="1"/>
  <c r="AE163" i="10"/>
  <c r="AF163" i="10" s="1"/>
  <c r="AD235" i="10"/>
  <c r="AE235" i="10" s="1"/>
  <c r="AF235" i="10" s="1"/>
  <c r="AG269" i="10"/>
  <c r="AG277" i="10"/>
  <c r="AH277" i="10" s="1"/>
  <c r="AG297" i="10"/>
  <c r="AH297" i="10" s="1"/>
  <c r="AG148" i="10"/>
  <c r="AG129" i="10"/>
  <c r="AH129" i="10" s="1"/>
  <c r="AJ129" i="10" s="1"/>
  <c r="AG131" i="10"/>
  <c r="AH131" i="10" s="1"/>
  <c r="AG110" i="10"/>
  <c r="AH110" i="10" s="1"/>
  <c r="AJ110" i="10" s="1"/>
  <c r="AG257" i="10"/>
  <c r="AH257" i="10" s="1"/>
  <c r="AJ257" i="10" s="1"/>
  <c r="AF275" i="10"/>
  <c r="AE293" i="10"/>
  <c r="AF293" i="10" s="1"/>
  <c r="AC147" i="10"/>
  <c r="AD147" i="10" s="1"/>
  <c r="AE147" i="10" s="1"/>
  <c r="AF147" i="10" s="1"/>
  <c r="AG87" i="10"/>
  <c r="AG74" i="10" s="1"/>
  <c r="AC317" i="10"/>
  <c r="AC240" i="10"/>
  <c r="AD240" i="10" s="1"/>
  <c r="AE240" i="10" s="1"/>
  <c r="AF240" i="10" s="1"/>
  <c r="AD224" i="10"/>
  <c r="AE224" i="10" s="1"/>
  <c r="AF224" i="10" s="1"/>
  <c r="AF232" i="10"/>
  <c r="AG232" i="10" s="1"/>
  <c r="AJ226" i="10"/>
  <c r="AF152" i="10"/>
  <c r="AG152" i="10" s="1"/>
  <c r="AH152" i="10" s="1"/>
  <c r="AF205" i="10"/>
  <c r="AG205" i="10" s="1"/>
  <c r="AH205" i="10" s="1"/>
  <c r="AE179" i="10"/>
  <c r="AF179" i="10" s="1"/>
  <c r="AG116" i="10"/>
  <c r="AH116" i="10" s="1"/>
  <c r="AJ116" i="10" s="1"/>
  <c r="AE248" i="10"/>
  <c r="AF248" i="10" s="1"/>
  <c r="AD244" i="10"/>
  <c r="AE244" i="10" s="1"/>
  <c r="AE100" i="10"/>
  <c r="AF100" i="10" s="1"/>
  <c r="AF250" i="10"/>
  <c r="AG250" i="10" s="1"/>
  <c r="AG176" i="10"/>
  <c r="AH176" i="10" s="1"/>
  <c r="AG311" i="10"/>
  <c r="AH311" i="10" s="1"/>
  <c r="AJ311" i="10" s="1"/>
  <c r="AD304" i="10"/>
  <c r="AE304" i="10" s="1"/>
  <c r="AE221" i="10"/>
  <c r="AF221" i="10" s="1"/>
  <c r="AE132" i="10"/>
  <c r="AD198" i="10"/>
  <c r="AE242" i="10"/>
  <c r="AF242" i="10" s="1"/>
  <c r="AE241" i="10"/>
  <c r="AF241" i="10" s="1"/>
  <c r="AG241" i="10" s="1"/>
  <c r="AG96" i="10"/>
  <c r="AH96" i="10" s="1"/>
  <c r="AE175" i="10"/>
  <c r="AE142" i="10"/>
  <c r="AF142" i="10" s="1"/>
  <c r="AE153" i="10"/>
  <c r="AF153" i="10" s="1"/>
  <c r="AD149" i="10"/>
  <c r="AE149" i="10" s="1"/>
  <c r="AF149" i="10" s="1"/>
  <c r="AD294" i="10"/>
  <c r="AE294" i="10" s="1"/>
  <c r="AF294" i="10" s="1"/>
  <c r="AD247" i="10"/>
  <c r="AE247" i="10" s="1"/>
  <c r="AE313" i="10"/>
  <c r="AF313" i="10" s="1"/>
  <c r="AF262" i="10"/>
  <c r="AF123" i="10"/>
  <c r="AG145" i="10"/>
  <c r="AH145" i="10" s="1"/>
  <c r="AJ145" i="10" s="1"/>
  <c r="AG212" i="10"/>
  <c r="AH212" i="10" s="1"/>
  <c r="AJ212" i="10" s="1"/>
  <c r="AG274" i="10"/>
  <c r="AG102" i="10"/>
  <c r="AH102" i="10" s="1"/>
  <c r="AG252" i="10"/>
  <c r="AH252" i="10" s="1"/>
  <c r="AG217" i="10"/>
  <c r="AH217" i="10" s="1"/>
  <c r="AG236" i="10"/>
  <c r="AH236" i="10" s="1"/>
  <c r="AJ236" i="10" s="1"/>
  <c r="AG209" i="10"/>
  <c r="AG246" i="10"/>
  <c r="AH246" i="10" s="1"/>
  <c r="AJ246" i="10" s="1"/>
  <c r="AG115" i="10"/>
  <c r="AH115" i="10" s="1"/>
  <c r="AG92" i="10"/>
  <c r="AH92" i="10" s="1"/>
  <c r="AJ92" i="10" s="1"/>
  <c r="AG187" i="10"/>
  <c r="AJ268" i="10"/>
  <c r="AG156" i="10"/>
  <c r="AH156" i="10" s="1"/>
  <c r="AG97" i="10"/>
  <c r="AG117" i="10"/>
  <c r="AJ125" i="10"/>
  <c r="AH318" i="10"/>
  <c r="AJ318" i="10" s="1"/>
  <c r="AG249" i="10"/>
  <c r="AH249" i="10" s="1"/>
  <c r="AE161" i="10"/>
  <c r="AF161" i="10" s="1"/>
  <c r="AD196" i="10"/>
  <c r="AE196" i="10" s="1"/>
  <c r="AF196" i="10" s="1"/>
  <c r="AE188" i="10"/>
  <c r="AF188" i="10" s="1"/>
  <c r="AD121" i="10"/>
  <c r="AE180" i="10"/>
  <c r="AF180" i="10" s="1"/>
  <c r="AF255" i="10"/>
  <c r="AG255" i="10" s="1"/>
  <c r="AH255" i="10" s="1"/>
  <c r="AE193" i="10"/>
  <c r="AF193" i="10" s="1"/>
  <c r="AG193" i="10" s="1"/>
  <c r="AH193" i="10" s="1"/>
  <c r="AE295" i="10"/>
  <c r="AD173" i="10"/>
  <c r="AE173" i="10" s="1"/>
  <c r="AF173" i="10" s="1"/>
  <c r="AG195" i="10"/>
  <c r="AG174" i="10"/>
  <c r="AH174" i="10" s="1"/>
  <c r="AG253" i="10"/>
  <c r="AH253" i="10" s="1"/>
  <c r="AG314" i="10"/>
  <c r="AH314" i="10" s="1"/>
  <c r="AJ314" i="10" s="1"/>
  <c r="AG296" i="10"/>
  <c r="AH296" i="10" s="1"/>
  <c r="AJ296" i="10" s="1"/>
  <c r="AF114" i="10"/>
  <c r="AG114" i="10" s="1"/>
  <c r="AH114" i="10" s="1"/>
  <c r="AH91" i="10"/>
  <c r="AJ91" i="10" s="1"/>
  <c r="AG301" i="10"/>
  <c r="AH301" i="10" s="1"/>
  <c r="AG260" i="10"/>
  <c r="AG162" i="10"/>
  <c r="AH162" i="10" s="1"/>
  <c r="AG300" i="10"/>
  <c r="AH300" i="10" s="1"/>
  <c r="AJ300" i="10" s="1"/>
  <c r="AG105" i="10"/>
  <c r="AG202" i="10"/>
  <c r="AE134" i="10"/>
  <c r="AF134" i="10" s="1"/>
  <c r="AE237" i="10"/>
  <c r="AF237" i="10" s="1"/>
  <c r="AE211" i="10"/>
  <c r="AF211" i="10" s="1"/>
  <c r="AE238" i="10"/>
  <c r="AF238" i="10" s="1"/>
  <c r="AE185" i="10"/>
  <c r="AE172" i="10"/>
  <c r="AF172" i="10" s="1"/>
  <c r="AG207" i="10"/>
  <c r="AG200" i="10"/>
  <c r="AH200" i="10" s="1"/>
  <c r="AG307" i="10"/>
  <c r="AG191" i="10"/>
  <c r="AG312" i="10"/>
  <c r="AH312" i="10" s="1"/>
  <c r="AJ312" i="10" s="1"/>
  <c r="AG141" i="10"/>
  <c r="AH141" i="10" s="1"/>
  <c r="AD184" i="10"/>
  <c r="AE184" i="10" s="1"/>
  <c r="AF184" i="10" s="1"/>
  <c r="AG272" i="10"/>
  <c r="AH272" i="10" s="1"/>
  <c r="AG273" i="10"/>
  <c r="AG140" i="10"/>
  <c r="AH140" i="10" s="1"/>
  <c r="AJ140" i="10" s="1"/>
  <c r="AG14" i="10"/>
  <c r="AG13" i="10" s="1"/>
  <c r="AG325" i="10"/>
  <c r="AH325" i="10" s="1"/>
  <c r="AF299" i="10"/>
  <c r="AF150" i="10"/>
  <c r="AG150" i="10" s="1"/>
  <c r="AF146" i="10"/>
  <c r="AG146" i="10" s="1"/>
  <c r="AJ75" i="10"/>
  <c r="AJ58" i="10"/>
  <c r="AE298" i="10"/>
  <c r="AF298" i="10" s="1"/>
  <c r="AD143" i="10"/>
  <c r="AE143" i="10" s="1"/>
  <c r="AC151" i="10"/>
  <c r="AD151" i="10" s="1"/>
  <c r="AE151" i="10" s="1"/>
  <c r="AA12" i="10"/>
  <c r="AF103" i="10"/>
  <c r="AD192" i="10"/>
  <c r="AE192" i="10" s="1"/>
  <c r="AE239" i="10"/>
  <c r="AE93" i="10"/>
  <c r="AF93" i="10" s="1"/>
  <c r="AE263" i="10"/>
  <c r="AF263" i="10" s="1"/>
  <c r="AE190" i="10"/>
  <c r="AF190" i="10" s="1"/>
  <c r="AE215" i="10"/>
  <c r="AD137" i="10"/>
  <c r="AE137" i="10" s="1"/>
  <c r="AE186" i="10"/>
  <c r="AF186" i="10" s="1"/>
  <c r="AD128" i="10"/>
  <c r="AE128" i="10" s="1"/>
  <c r="AF128" i="10" s="1"/>
  <c r="AE197" i="10"/>
  <c r="AF197" i="10" s="1"/>
  <c r="AE181" i="10"/>
  <c r="AF181" i="10" s="1"/>
  <c r="AD177" i="10"/>
  <c r="AE216" i="10"/>
  <c r="AE136" i="10"/>
  <c r="AF136" i="10" s="1"/>
  <c r="AE107" i="10"/>
  <c r="AF107" i="10" s="1"/>
  <c r="AD167" i="10"/>
  <c r="AE265" i="10"/>
  <c r="AD201" i="10"/>
  <c r="AE98" i="10"/>
  <c r="AE139" i="10"/>
  <c r="AF139" i="10" s="1"/>
  <c r="AD258" i="10"/>
  <c r="AE258" i="10" s="1"/>
  <c r="AF258" i="10" s="1"/>
  <c r="AE194" i="10"/>
  <c r="AF194" i="10" s="1"/>
  <c r="AD155" i="10"/>
  <c r="AE155" i="10" s="1"/>
  <c r="AF155" i="10" s="1"/>
  <c r="AE218" i="10"/>
  <c r="AF218" i="10" s="1"/>
  <c r="AE203" i="10"/>
  <c r="AF203" i="10" s="1"/>
  <c r="AJ256" i="10"/>
  <c r="AJ120" i="10"/>
  <c r="AJ119" i="10"/>
  <c r="AJ266" i="10"/>
  <c r="AJ112" i="10"/>
  <c r="AF231" i="10"/>
  <c r="AD271" i="10"/>
  <c r="AB306" i="10"/>
  <c r="AD225" i="10"/>
  <c r="AE225" i="10" s="1"/>
  <c r="AC303" i="10"/>
  <c r="AB292" i="10"/>
  <c r="AE227" i="10"/>
  <c r="AF227" i="10" s="1"/>
  <c r="AF222" i="10"/>
  <c r="AE220" i="10"/>
  <c r="AF220" i="10" s="1"/>
  <c r="AE229" i="10"/>
  <c r="AD302" i="10"/>
  <c r="AE270" i="10"/>
  <c r="AD228" i="10"/>
  <c r="AJ26" i="10"/>
  <c r="AC74" i="10"/>
  <c r="AJ69" i="10"/>
  <c r="AD74" i="10"/>
  <c r="AD324" i="10"/>
  <c r="AJ44" i="10"/>
  <c r="AJ85" i="10"/>
  <c r="AJ61" i="10"/>
  <c r="AJ62" i="10"/>
  <c r="AJ22" i="10"/>
  <c r="AJ21" i="10"/>
  <c r="AJ50" i="10"/>
  <c r="AJ83" i="10"/>
  <c r="AD57" i="10"/>
  <c r="AJ126" i="10"/>
  <c r="AD13" i="10"/>
  <c r="AJ19" i="10"/>
  <c r="AJ80" i="10"/>
  <c r="AJ25" i="10"/>
  <c r="AJ170" i="10"/>
  <c r="AJ18" i="10"/>
  <c r="AG154" i="10" l="1"/>
  <c r="AH154" i="10" s="1"/>
  <c r="AJ154" i="10" s="1"/>
  <c r="AG127" i="10"/>
  <c r="AH127" i="10" s="1"/>
  <c r="AJ127" i="10" s="1"/>
  <c r="AG221" i="10"/>
  <c r="AG169" i="10"/>
  <c r="AH169" i="10" s="1"/>
  <c r="AJ169" i="10" s="1"/>
  <c r="AG211" i="10"/>
  <c r="AH211" i="10" s="1"/>
  <c r="AG136" i="10"/>
  <c r="AH136" i="10" s="1"/>
  <c r="AG227" i="10"/>
  <c r="AG133" i="10"/>
  <c r="AH133" i="10" s="1"/>
  <c r="AJ133" i="10" s="1"/>
  <c r="AG222" i="10"/>
  <c r="AH222" i="10" s="1"/>
  <c r="AJ222" i="10" s="1"/>
  <c r="AG128" i="10"/>
  <c r="AG182" i="10"/>
  <c r="AG123" i="10"/>
  <c r="AH123" i="10" s="1"/>
  <c r="AJ123" i="10" s="1"/>
  <c r="AG220" i="10"/>
  <c r="AH220" i="10" s="1"/>
  <c r="AG130" i="10"/>
  <c r="AH130" i="10" s="1"/>
  <c r="AJ130" i="10" s="1"/>
  <c r="AG166" i="10"/>
  <c r="AG159" i="10"/>
  <c r="AH159" i="10" s="1"/>
  <c r="AJ159" i="10" s="1"/>
  <c r="AG259" i="10"/>
  <c r="AH259" i="10" s="1"/>
  <c r="AJ259" i="10" s="1"/>
  <c r="AG223" i="10"/>
  <c r="AH223" i="10" s="1"/>
  <c r="AG315" i="10"/>
  <c r="AH315" i="10" s="1"/>
  <c r="AJ315" i="10" s="1"/>
  <c r="AG163" i="10"/>
  <c r="AH163" i="10" s="1"/>
  <c r="AJ163" i="10" s="1"/>
  <c r="AG261" i="10"/>
  <c r="AH261" i="10" s="1"/>
  <c r="AJ261" i="10" s="1"/>
  <c r="AG149" i="10"/>
  <c r="AH149" i="10" s="1"/>
  <c r="AJ149" i="10" s="1"/>
  <c r="AH168" i="10"/>
  <c r="AJ168" i="10" s="1"/>
  <c r="AG144" i="10"/>
  <c r="AH144" i="10" s="1"/>
  <c r="AJ144" i="10" s="1"/>
  <c r="AG264" i="10"/>
  <c r="AH264" i="10" s="1"/>
  <c r="AG158" i="10"/>
  <c r="AH158" i="10" s="1"/>
  <c r="AJ158" i="10" s="1"/>
  <c r="AG206" i="10"/>
  <c r="AH206" i="10" s="1"/>
  <c r="AJ206" i="10" s="1"/>
  <c r="AG254" i="10"/>
  <c r="AH254" i="10" s="1"/>
  <c r="AJ254" i="10" s="1"/>
  <c r="AF244" i="10"/>
  <c r="AG244" i="10" s="1"/>
  <c r="AH244" i="10" s="1"/>
  <c r="AF304" i="10"/>
  <c r="AG304" i="10" s="1"/>
  <c r="AH304" i="10" s="1"/>
  <c r="AG111" i="10"/>
  <c r="AH111" i="10" s="1"/>
  <c r="AJ111" i="10" s="1"/>
  <c r="AH118" i="10"/>
  <c r="AJ118" i="10" s="1"/>
  <c r="AH267" i="10"/>
  <c r="AJ267" i="10" s="1"/>
  <c r="AH199" i="10"/>
  <c r="AJ199" i="10" s="1"/>
  <c r="AH189" i="10"/>
  <c r="AJ189" i="10" s="1"/>
  <c r="AH241" i="10"/>
  <c r="AJ241" i="10" s="1"/>
  <c r="AH108" i="10"/>
  <c r="AJ108" i="10" s="1"/>
  <c r="AH171" i="10"/>
  <c r="AJ171" i="10" s="1"/>
  <c r="AH104" i="10"/>
  <c r="AJ104" i="10" s="1"/>
  <c r="AH105" i="10"/>
  <c r="AJ105" i="10" s="1"/>
  <c r="AH260" i="10"/>
  <c r="AJ260" i="10" s="1"/>
  <c r="AG248" i="10"/>
  <c r="AH248" i="10" s="1"/>
  <c r="AG275" i="10"/>
  <c r="AH275" i="10" s="1"/>
  <c r="AJ275" i="10" s="1"/>
  <c r="AC89" i="10"/>
  <c r="AJ141" i="10"/>
  <c r="AH117" i="10"/>
  <c r="AJ117" i="10" s="1"/>
  <c r="AH187" i="10"/>
  <c r="AJ187" i="10" s="1"/>
  <c r="AH207" i="10"/>
  <c r="AJ207" i="10" s="1"/>
  <c r="AH150" i="10"/>
  <c r="AJ150" i="10" s="1"/>
  <c r="AD89" i="10"/>
  <c r="AE90" i="10"/>
  <c r="AH148" i="10"/>
  <c r="AJ148" i="10" s="1"/>
  <c r="AH146" i="10"/>
  <c r="AJ146" i="10" s="1"/>
  <c r="AH276" i="10"/>
  <c r="AJ276" i="10" s="1"/>
  <c r="AJ200" i="10"/>
  <c r="AJ162" i="10"/>
  <c r="AJ174" i="10"/>
  <c r="AJ252" i="10"/>
  <c r="AH250" i="10"/>
  <c r="AJ250" i="10" s="1"/>
  <c r="AJ152" i="10"/>
  <c r="AH274" i="10"/>
  <c r="AJ274" i="10" s="1"/>
  <c r="AH232" i="10"/>
  <c r="AJ232" i="10" s="1"/>
  <c r="AH97" i="10"/>
  <c r="AJ97" i="10" s="1"/>
  <c r="AJ272" i="10"/>
  <c r="AH191" i="10"/>
  <c r="AJ191" i="10" s="1"/>
  <c r="AJ205" i="10"/>
  <c r="AJ255" i="10"/>
  <c r="AJ156" i="10"/>
  <c r="AJ115" i="10"/>
  <c r="AJ102" i="10"/>
  <c r="AJ96" i="10"/>
  <c r="AJ277" i="10"/>
  <c r="AH210" i="10"/>
  <c r="AJ210" i="10" s="1"/>
  <c r="AH202" i="10"/>
  <c r="AJ202" i="10" s="1"/>
  <c r="AH273" i="10"/>
  <c r="AJ273" i="10" s="1"/>
  <c r="AH166" i="10"/>
  <c r="AJ166" i="10" s="1"/>
  <c r="AH195" i="10"/>
  <c r="AJ195" i="10" s="1"/>
  <c r="AH109" i="10"/>
  <c r="AJ109" i="10" s="1"/>
  <c r="AH165" i="10"/>
  <c r="AJ165" i="10" s="1"/>
  <c r="AH269" i="10"/>
  <c r="AJ269" i="10" s="1"/>
  <c r="AH209" i="10"/>
  <c r="AJ209" i="10" s="1"/>
  <c r="AG184" i="10"/>
  <c r="AG237" i="10"/>
  <c r="AH237" i="10" s="1"/>
  <c r="AJ237" i="10" s="1"/>
  <c r="AG172" i="10"/>
  <c r="AH172" i="10" s="1"/>
  <c r="AJ172" i="10" s="1"/>
  <c r="AG147" i="10"/>
  <c r="AH147" i="10" s="1"/>
  <c r="AJ147" i="10" s="1"/>
  <c r="AG134" i="10"/>
  <c r="AH134" i="10" s="1"/>
  <c r="AJ134" i="10" s="1"/>
  <c r="AJ114" i="10"/>
  <c r="AG235" i="10"/>
  <c r="AH182" i="10"/>
  <c r="AG180" i="10"/>
  <c r="AH180" i="10" s="1"/>
  <c r="AG224" i="10"/>
  <c r="AH224" i="10" s="1"/>
  <c r="AJ224" i="10" s="1"/>
  <c r="AH87" i="10"/>
  <c r="AG173" i="10"/>
  <c r="AF216" i="10"/>
  <c r="AG216" i="10" s="1"/>
  <c r="AH216" i="10" s="1"/>
  <c r="AF239" i="10"/>
  <c r="AG239" i="10" s="1"/>
  <c r="AH239" i="10" s="1"/>
  <c r="AE121" i="10"/>
  <c r="AF121" i="10" s="1"/>
  <c r="AF247" i="10"/>
  <c r="AG247" i="10" s="1"/>
  <c r="AH247" i="10" s="1"/>
  <c r="AG164" i="10"/>
  <c r="AG181" i="10"/>
  <c r="AH181" i="10" s="1"/>
  <c r="AJ181" i="10" s="1"/>
  <c r="AG194" i="10"/>
  <c r="AH307" i="10"/>
  <c r="AJ307" i="10" s="1"/>
  <c r="AG313" i="10"/>
  <c r="AH313" i="10" s="1"/>
  <c r="AJ313" i="10" s="1"/>
  <c r="AG294" i="10"/>
  <c r="AG142" i="10"/>
  <c r="AG197" i="10"/>
  <c r="AG139" i="10"/>
  <c r="AH139" i="10" s="1"/>
  <c r="AG188" i="10"/>
  <c r="AE228" i="10"/>
  <c r="AF228" i="10" s="1"/>
  <c r="AE167" i="10"/>
  <c r="AF167" i="10" s="1"/>
  <c r="AE198" i="10"/>
  <c r="AF198" i="10" s="1"/>
  <c r="AG153" i="10"/>
  <c r="AG263" i="10"/>
  <c r="AG298" i="10"/>
  <c r="AH298" i="10" s="1"/>
  <c r="AJ298" i="10" s="1"/>
  <c r="AG190" i="10"/>
  <c r="AH190" i="10" s="1"/>
  <c r="AJ190" i="10" s="1"/>
  <c r="AG161" i="10"/>
  <c r="AG135" i="10"/>
  <c r="AG293" i="10"/>
  <c r="AG262" i="10"/>
  <c r="AF175" i="10"/>
  <c r="AG175" i="10" s="1"/>
  <c r="AH175" i="10" s="1"/>
  <c r="AF132" i="10"/>
  <c r="AG132" i="10" s="1"/>
  <c r="AH132" i="10" s="1"/>
  <c r="AG100" i="10"/>
  <c r="AG240" i="10"/>
  <c r="AH240" i="10" s="1"/>
  <c r="AG231" i="10"/>
  <c r="AG107" i="10"/>
  <c r="AJ193" i="10"/>
  <c r="AE271" i="10"/>
  <c r="AF271" i="10" s="1"/>
  <c r="AG271" i="10" s="1"/>
  <c r="AG196" i="10"/>
  <c r="AH196" i="10" s="1"/>
  <c r="AJ196" i="10" s="1"/>
  <c r="AG242" i="10"/>
  <c r="AD317" i="10"/>
  <c r="AD306" i="10" s="1"/>
  <c r="AC306" i="10"/>
  <c r="AE201" i="10"/>
  <c r="AF201" i="10" s="1"/>
  <c r="AF215" i="10"/>
  <c r="AG215" i="10" s="1"/>
  <c r="AG299" i="10"/>
  <c r="AH299" i="10" s="1"/>
  <c r="AJ299" i="10" s="1"/>
  <c r="AF265" i="10"/>
  <c r="AG265" i="10" s="1"/>
  <c r="AG103" i="10"/>
  <c r="AF295" i="10"/>
  <c r="AG295" i="10" s="1"/>
  <c r="AH295" i="10" s="1"/>
  <c r="AJ295" i="10" s="1"/>
  <c r="AF185" i="10"/>
  <c r="AG185" i="10" s="1"/>
  <c r="AH185" i="10" s="1"/>
  <c r="AH221" i="10"/>
  <c r="AJ221" i="10" s="1"/>
  <c r="AG155" i="10"/>
  <c r="AH155" i="10" s="1"/>
  <c r="AG203" i="10"/>
  <c r="AG186" i="10"/>
  <c r="AG218" i="10"/>
  <c r="AH218" i="10" s="1"/>
  <c r="AH227" i="10"/>
  <c r="AG93" i="10"/>
  <c r="AG179" i="10"/>
  <c r="AG258" i="10"/>
  <c r="AG238" i="10"/>
  <c r="AH238" i="10" s="1"/>
  <c r="AH14" i="10"/>
  <c r="AF151" i="10"/>
  <c r="AG151" i="10" s="1"/>
  <c r="AF143" i="10"/>
  <c r="AB12" i="10"/>
  <c r="AF192" i="10"/>
  <c r="AF137" i="10"/>
  <c r="AE177" i="10"/>
  <c r="AF98" i="10"/>
  <c r="AJ297" i="10"/>
  <c r="AJ95" i="10"/>
  <c r="AJ160" i="10"/>
  <c r="AJ176" i="10"/>
  <c r="AJ178" i="10"/>
  <c r="AE324" i="10"/>
  <c r="AC292" i="10"/>
  <c r="AF225" i="10"/>
  <c r="AD303" i="10"/>
  <c r="AE303" i="10" s="1"/>
  <c r="AF229" i="10"/>
  <c r="AG229" i="10" s="1"/>
  <c r="AH229" i="10" s="1"/>
  <c r="AF270" i="10"/>
  <c r="AE302" i="10"/>
  <c r="AJ249" i="10"/>
  <c r="AJ251" i="10"/>
  <c r="AJ301" i="10"/>
  <c r="AF74" i="10"/>
  <c r="AF13" i="10"/>
  <c r="AE74" i="10"/>
  <c r="AF57" i="10"/>
  <c r="AE57" i="10"/>
  <c r="AJ131" i="10"/>
  <c r="AJ253" i="10"/>
  <c r="AJ157" i="10"/>
  <c r="AJ217" i="10"/>
  <c r="AJ99" i="10"/>
  <c r="AJ14" i="10" l="1"/>
  <c r="AH13" i="10"/>
  <c r="AJ87" i="10"/>
  <c r="AJ74" i="10" s="1"/>
  <c r="AH74" i="10"/>
  <c r="AG167" i="10"/>
  <c r="AH265" i="10"/>
  <c r="AJ265" i="10" s="1"/>
  <c r="AG98" i="10"/>
  <c r="AH98" i="10" s="1"/>
  <c r="AJ98" i="10" s="1"/>
  <c r="AE317" i="10"/>
  <c r="AF317" i="10" s="1"/>
  <c r="AF306" i="10" s="1"/>
  <c r="AH231" i="10"/>
  <c r="AJ231" i="10" s="1"/>
  <c r="AH197" i="10"/>
  <c r="AJ197" i="10" s="1"/>
  <c r="AJ180" i="10"/>
  <c r="AH271" i="10"/>
  <c r="AJ271" i="10" s="1"/>
  <c r="AH179" i="10"/>
  <c r="AJ179" i="10" s="1"/>
  <c r="AJ155" i="10"/>
  <c r="AH242" i="10"/>
  <c r="AJ242" i="10" s="1"/>
  <c r="AH194" i="10"/>
  <c r="AJ194" i="10" s="1"/>
  <c r="AH173" i="10"/>
  <c r="AJ173" i="10" s="1"/>
  <c r="AJ182" i="10"/>
  <c r="AH184" i="10"/>
  <c r="AJ184" i="10" s="1"/>
  <c r="AH161" i="10"/>
  <c r="AJ161" i="10" s="1"/>
  <c r="AH186" i="10"/>
  <c r="AJ186" i="10" s="1"/>
  <c r="AE89" i="10"/>
  <c r="AF90" i="10"/>
  <c r="AH128" i="10"/>
  <c r="AJ128" i="10" s="1"/>
  <c r="AJ248" i="10"/>
  <c r="AJ238" i="10"/>
  <c r="AH93" i="10"/>
  <c r="AJ93" i="10" s="1"/>
  <c r="AH203" i="10"/>
  <c r="AJ203" i="10" s="1"/>
  <c r="AJ220" i="10"/>
  <c r="AH100" i="10"/>
  <c r="AJ100" i="10" s="1"/>
  <c r="AH262" i="10"/>
  <c r="AJ262" i="10" s="1"/>
  <c r="AH188" i="10"/>
  <c r="AJ188" i="10" s="1"/>
  <c r="AH153" i="10"/>
  <c r="AJ153" i="10" s="1"/>
  <c r="AH164" i="10"/>
  <c r="AJ164" i="10" s="1"/>
  <c r="AH142" i="10"/>
  <c r="AJ142" i="10" s="1"/>
  <c r="AH258" i="10"/>
  <c r="AJ258" i="10" s="1"/>
  <c r="AJ136" i="10"/>
  <c r="AH103" i="10"/>
  <c r="AJ103" i="10" s="1"/>
  <c r="AH215" i="10"/>
  <c r="AJ215" i="10" s="1"/>
  <c r="AH107" i="10"/>
  <c r="AJ107" i="10" s="1"/>
  <c r="AJ244" i="10"/>
  <c r="AH293" i="10"/>
  <c r="AJ139" i="10"/>
  <c r="AH235" i="10"/>
  <c r="AJ235" i="10" s="1"/>
  <c r="AH135" i="10"/>
  <c r="AJ135" i="10" s="1"/>
  <c r="AH263" i="10"/>
  <c r="AJ263" i="10" s="1"/>
  <c r="AJ239" i="10"/>
  <c r="AG137" i="10"/>
  <c r="AJ185" i="10"/>
  <c r="AJ175" i="10"/>
  <c r="AG228" i="10"/>
  <c r="AH228" i="10" s="1"/>
  <c r="AJ228" i="10" s="1"/>
  <c r="AJ216" i="10"/>
  <c r="AG192" i="10"/>
  <c r="AG201" i="10"/>
  <c r="AH151" i="10"/>
  <c r="AJ151" i="10" s="1"/>
  <c r="AG121" i="10"/>
  <c r="AH294" i="10"/>
  <c r="AJ294" i="10" s="1"/>
  <c r="AJ247" i="10"/>
  <c r="AJ229" i="10"/>
  <c r="AG143" i="10"/>
  <c r="AJ132" i="10"/>
  <c r="AG225" i="10"/>
  <c r="AG198" i="10"/>
  <c r="AG270" i="10"/>
  <c r="AJ39" i="10"/>
  <c r="AC12" i="10"/>
  <c r="AF177" i="10"/>
  <c r="AG177" i="10" s="1"/>
  <c r="AH177" i="10" s="1"/>
  <c r="AJ68" i="10"/>
  <c r="AJ57" i="10" s="1"/>
  <c r="AD292" i="10"/>
  <c r="AD12" i="10" s="1"/>
  <c r="AJ211" i="10"/>
  <c r="AJ264" i="10"/>
  <c r="AJ218" i="10"/>
  <c r="AF303" i="10"/>
  <c r="AF302" i="10"/>
  <c r="AJ227" i="10"/>
  <c r="AJ223" i="10"/>
  <c r="AE13" i="10"/>
  <c r="AF324" i="10"/>
  <c r="AJ325" i="10"/>
  <c r="AJ304" i="10"/>
  <c r="AE292" i="10"/>
  <c r="AJ240" i="10"/>
  <c r="AJ293" i="10" l="1"/>
  <c r="AE306" i="10"/>
  <c r="AG317" i="10"/>
  <c r="AH317" i="10" s="1"/>
  <c r="AJ317" i="10" s="1"/>
  <c r="AJ306" i="10" s="1"/>
  <c r="AH167" i="10"/>
  <c r="AJ167" i="10" s="1"/>
  <c r="AH270" i="10"/>
  <c r="AJ270" i="10" s="1"/>
  <c r="AH143" i="10"/>
  <c r="AJ143" i="10" s="1"/>
  <c r="AH198" i="10"/>
  <c r="AJ198" i="10" s="1"/>
  <c r="AH201" i="10"/>
  <c r="AJ201" i="10" s="1"/>
  <c r="AH137" i="10"/>
  <c r="AJ137" i="10" s="1"/>
  <c r="AH121" i="10"/>
  <c r="AJ121" i="10" s="1"/>
  <c r="AH192" i="10"/>
  <c r="AJ192" i="10" s="1"/>
  <c r="AG90" i="10"/>
  <c r="AH90" i="10" s="1"/>
  <c r="AF89" i="10"/>
  <c r="AH225" i="10"/>
  <c r="AJ225" i="10" s="1"/>
  <c r="AG302" i="10"/>
  <c r="AG303" i="10"/>
  <c r="AH303" i="10" s="1"/>
  <c r="AJ303" i="10" s="1"/>
  <c r="AJ40" i="10"/>
  <c r="AJ13" i="10" s="1"/>
  <c r="AF292" i="10"/>
  <c r="AJ324" i="10"/>
  <c r="AH324" i="10"/>
  <c r="AJ37" i="10" l="1"/>
  <c r="AH89" i="10"/>
  <c r="AG306" i="10"/>
  <c r="AH306" i="10"/>
  <c r="AG89" i="10"/>
  <c r="AE12" i="10"/>
  <c r="AJ90" i="10"/>
  <c r="AJ177" i="10"/>
  <c r="AH302" i="10"/>
  <c r="AH292" i="10" s="1"/>
  <c r="AG292" i="10"/>
  <c r="AF12" i="10"/>
  <c r="AG12" i="10" l="1"/>
  <c r="AJ89" i="10"/>
  <c r="AH12" i="10"/>
  <c r="AJ302" i="10"/>
  <c r="AJ292" i="10" s="1"/>
  <c r="AJ12" i="10" l="1"/>
  <c r="D10" i="9" l="1"/>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6" i="9"/>
  <c r="D7" i="9"/>
  <c r="D8" i="9"/>
  <c r="D9" i="9"/>
  <c r="X37" i="12" l="1"/>
  <c r="X38" i="12"/>
  <c r="X325" i="12"/>
  <c r="X323" i="12"/>
  <c r="X41" i="12"/>
  <c r="X357" i="12"/>
  <c r="X40" i="12"/>
  <c r="X42" i="12"/>
  <c r="X321" i="12"/>
  <c r="X322" i="12"/>
  <c r="X324" i="12"/>
  <c r="X320" i="12"/>
  <c r="X39" i="12"/>
  <c r="AH14" i="13" l="1"/>
  <c r="AH17" i="13"/>
  <c r="AH313" i="13"/>
  <c r="AH65" i="13"/>
  <c r="AH34" i="13"/>
  <c r="AH250" i="13"/>
  <c r="AH297" i="13"/>
  <c r="AH32" i="13"/>
  <c r="AH21" i="13"/>
  <c r="AH163" i="13"/>
  <c r="AH318" i="13"/>
  <c r="AH61" i="13"/>
  <c r="AH130" i="13"/>
  <c r="AH283" i="13"/>
  <c r="AH19" i="13"/>
  <c r="AH174" i="13"/>
  <c r="AH224" i="13"/>
  <c r="AH218" i="13"/>
  <c r="AH251" i="13"/>
  <c r="AH107" i="13"/>
  <c r="AH78" i="13"/>
  <c r="AH125" i="13"/>
  <c r="AH25" i="13"/>
  <c r="AH52" i="13"/>
  <c r="AH219" i="13"/>
  <c r="AH214" i="13"/>
  <c r="AH311" i="13"/>
  <c r="AH270" i="13"/>
  <c r="AH222" i="13"/>
  <c r="AH166" i="13"/>
  <c r="AH18" i="13"/>
  <c r="AH232" i="13"/>
  <c r="AH46" i="13"/>
  <c r="AH220" i="13"/>
  <c r="AH179" i="13"/>
  <c r="AH80" i="13"/>
  <c r="AH315" i="13"/>
  <c r="AH298" i="13"/>
  <c r="AH177" i="13"/>
  <c r="AH334" i="13"/>
  <c r="AH77" i="13"/>
  <c r="AH308" i="13"/>
  <c r="AH104" i="13"/>
  <c r="AH200" i="13"/>
  <c r="AH236" i="13"/>
  <c r="AH105" i="13"/>
  <c r="AH118" i="13"/>
  <c r="AH260" i="13"/>
  <c r="AH149" i="13"/>
  <c r="AH26" i="13"/>
  <c r="AH312" i="13"/>
  <c r="AH27" i="13"/>
  <c r="AH286" i="13"/>
  <c r="AH173" i="13"/>
  <c r="AH162" i="13"/>
  <c r="AH123" i="13"/>
  <c r="AH263" i="13"/>
  <c r="AH223" i="13"/>
  <c r="AH279" i="13"/>
  <c r="AH185" i="13"/>
  <c r="AH124" i="13"/>
  <c r="AH235" i="13"/>
  <c r="AH58" i="13"/>
  <c r="AH295" i="13"/>
  <c r="AH204" i="13"/>
  <c r="AH213" i="13"/>
  <c r="AH90" i="13"/>
  <c r="AH285" i="13"/>
  <c r="AH164" i="13"/>
  <c r="AH202" i="13"/>
  <c r="AH131" i="13"/>
  <c r="AH278" i="13"/>
  <c r="AH276" i="13"/>
  <c r="AH188" i="13"/>
  <c r="AH331" i="13"/>
  <c r="AH282" i="13"/>
  <c r="AH38" i="13"/>
  <c r="AH60" i="13"/>
  <c r="AH39" i="13"/>
  <c r="AH316" i="13"/>
  <c r="AH160" i="13"/>
  <c r="AH43" i="13"/>
  <c r="AH205" i="13"/>
  <c r="AH126" i="13"/>
  <c r="AH192" i="13"/>
  <c r="AH106" i="13"/>
  <c r="AH226" i="13"/>
  <c r="AH183" i="13"/>
  <c r="AH44" i="13"/>
  <c r="AH190" i="13"/>
  <c r="AH112" i="13"/>
  <c r="AH24" i="13"/>
  <c r="AH63" i="13"/>
  <c r="AH145" i="13"/>
  <c r="AH148" i="13"/>
  <c r="AH94" i="13"/>
  <c r="AH247" i="13"/>
  <c r="AH186" i="13"/>
  <c r="AH110" i="13"/>
  <c r="AH277" i="13"/>
  <c r="AH217" i="13"/>
  <c r="AH296" i="13"/>
  <c r="AH203" i="13"/>
  <c r="AH168" i="13"/>
  <c r="AH302" i="13"/>
  <c r="AH271" i="13"/>
  <c r="AH62" i="13"/>
  <c r="AH274" i="13"/>
  <c r="AH143" i="13"/>
  <c r="AH98" i="13"/>
  <c r="AH171" i="13"/>
  <c r="AH79" i="13"/>
  <c r="AH267" i="13"/>
  <c r="AH193" i="13"/>
  <c r="AH23" i="13"/>
  <c r="AH184" i="13"/>
  <c r="AH35" i="13"/>
  <c r="AH81" i="13"/>
  <c r="AH161" i="13"/>
  <c r="AH306" i="13"/>
  <c r="AH225" i="13"/>
  <c r="AH133" i="13"/>
  <c r="AH157" i="13"/>
  <c r="AH305" i="13"/>
  <c r="AH140" i="13"/>
  <c r="AH256" i="13"/>
  <c r="AH246" i="13"/>
  <c r="AH323" i="13"/>
  <c r="AH233" i="13"/>
  <c r="AH284" i="13"/>
  <c r="AH216" i="13"/>
  <c r="AH287" i="13"/>
  <c r="AH100" i="13"/>
  <c r="AH42" i="13"/>
  <c r="AH281" i="13"/>
  <c r="AH134" i="13"/>
  <c r="AH240" i="13"/>
  <c r="AH301" i="13"/>
  <c r="AH64" i="13"/>
  <c r="AH252" i="13"/>
  <c r="AH206" i="13"/>
  <c r="AH28" i="13"/>
  <c r="AH221" i="13"/>
  <c r="AH141" i="13"/>
  <c r="AH128" i="13"/>
  <c r="AH152" i="13"/>
  <c r="AH139" i="13"/>
  <c r="AH15" i="13"/>
  <c r="AH165" i="13"/>
  <c r="AH73" i="13"/>
  <c r="AH121" i="13"/>
  <c r="AH129" i="13"/>
  <c r="AH16" i="13"/>
  <c r="AH87" i="13"/>
  <c r="AH93" i="13"/>
  <c r="AH289" i="13"/>
  <c r="AH230" i="13"/>
  <c r="AH153" i="13"/>
  <c r="AH50" i="13"/>
  <c r="AH101" i="13"/>
  <c r="AH103" i="13"/>
  <c r="AH45" i="13"/>
  <c r="AH317" i="13"/>
  <c r="AH57" i="13"/>
  <c r="AH122" i="13"/>
  <c r="AH241" i="13"/>
  <c r="AH91" i="13"/>
  <c r="AH85" i="13"/>
  <c r="AH89" i="13"/>
  <c r="AH83" i="13"/>
  <c r="AH201" i="13"/>
  <c r="AH132" i="13"/>
  <c r="AH242" i="13"/>
  <c r="AH319" i="13"/>
  <c r="AH266" i="13"/>
  <c r="AH187" i="13"/>
  <c r="AH293" i="13"/>
  <c r="AH257" i="13"/>
  <c r="AH227" i="13"/>
  <c r="AH324" i="13"/>
  <c r="AH158" i="13"/>
  <c r="AH234" i="13"/>
  <c r="AH88" i="13"/>
  <c r="AH332" i="13"/>
  <c r="AH41" i="13"/>
  <c r="AH169" i="13"/>
  <c r="AH275" i="13"/>
  <c r="AH37" i="13"/>
  <c r="AH172" i="13"/>
  <c r="AH167" i="13"/>
  <c r="AH86" i="13"/>
  <c r="AH303" i="13"/>
  <c r="AH244" i="13"/>
  <c r="AH288" i="13"/>
  <c r="AH102" i="13"/>
  <c r="AH114" i="13"/>
  <c r="AH159" i="13"/>
  <c r="AH294" i="13"/>
  <c r="AH97" i="13"/>
  <c r="AH59" i="13"/>
  <c r="AH113" i="13"/>
  <c r="AH273" i="13"/>
  <c r="AH127" i="13"/>
  <c r="AH245" i="13"/>
  <c r="AH147" i="13"/>
  <c r="AH269" i="13"/>
  <c r="AH268" i="13"/>
  <c r="AH215" i="13"/>
  <c r="AH259" i="13"/>
  <c r="AH92" i="13"/>
  <c r="AH170" i="13"/>
  <c r="AH51" i="13"/>
  <c r="AH307" i="13"/>
  <c r="AH20" i="13"/>
  <c r="AH109" i="13"/>
  <c r="AH280" i="13"/>
  <c r="AH56" i="13"/>
  <c r="AH300" i="13"/>
  <c r="AH304" i="13"/>
  <c r="S10" i="22"/>
  <c r="AB10" i="22"/>
  <c r="AL1065" i="22"/>
  <c r="AI10" i="22"/>
  <c r="AH10" i="22"/>
  <c r="AG10" i="22"/>
  <c r="AE10" i="22"/>
  <c r="AC10" i="22"/>
  <c r="AF10" i="22"/>
  <c r="AD10" i="22"/>
  <c r="AJ10" i="22"/>
  <c r="AI13" i="16" l="1"/>
  <c r="AC13" i="16"/>
  <c r="AC12" i="16"/>
  <c r="AD13" i="16"/>
  <c r="AD12" i="16"/>
  <c r="AB13" i="16"/>
  <c r="AB12" i="16"/>
  <c r="AJ12" i="16"/>
  <c r="AJ13" i="16"/>
  <c r="AF12" i="16"/>
  <c r="AF13" i="16"/>
  <c r="AG12" i="16"/>
  <c r="AG13" i="16"/>
  <c r="AE13" i="16"/>
  <c r="AE12" i="16"/>
  <c r="AH13" i="16"/>
  <c r="AH12" i="16"/>
</calcChain>
</file>

<file path=xl/sharedStrings.xml><?xml version="1.0" encoding="utf-8"?>
<sst xmlns="http://schemas.openxmlformats.org/spreadsheetml/2006/main" count="45882" uniqueCount="6044">
  <si>
    <t>KARTU INVENTARIS BARANG (KIB)</t>
  </si>
  <si>
    <t>NO. KODE LOKASI : 12.04.06.05.01.13.00</t>
  </si>
  <si>
    <t>Keterangan Mutasi</t>
  </si>
  <si>
    <t>Letak</t>
  </si>
  <si>
    <t>Dokumen Mutasi</t>
  </si>
  <si>
    <t>No</t>
  </si>
  <si>
    <t>Tgl</t>
  </si>
  <si>
    <t>1.1</t>
  </si>
  <si>
    <t>TANAH</t>
  </si>
  <si>
    <t>-</t>
  </si>
  <si>
    <t>JL. POROS BARU DESA BERINGIN TALUK KUANTAN</t>
  </si>
  <si>
    <t>HAK PAKAI</t>
  </si>
  <si>
    <t>APBD</t>
  </si>
  <si>
    <t>TANAH JALAN MENUJU JEMBATAN LUAR PARIT</t>
  </si>
  <si>
    <t>TANAH UNTUK JL. DIPONEGORO</t>
  </si>
  <si>
    <t>TANAH UNTUK JALAN DIPONEGORO UJUNG</t>
  </si>
  <si>
    <t>TANAH PELEBARAN JALAN BUNDARAN TUGU SIMPANG SINAMBEK</t>
  </si>
  <si>
    <t>TANAH KAWASAN SISI BUNDARAN</t>
  </si>
  <si>
    <t>ALKAL DAN PENGUJIAN</t>
  </si>
  <si>
    <t>BPAM PANGEAN</t>
  </si>
  <si>
    <t>JL. AHMAD YANI</t>
  </si>
  <si>
    <t>Update 2014</t>
  </si>
  <si>
    <t>MENGETAHUI</t>
  </si>
  <si>
    <t>KEPALA DINAS BINA MARGA DAN SUMBER DAYA AIR</t>
  </si>
  <si>
    <t>PENGURUS BARANG</t>
  </si>
  <si>
    <t>KABUPATEN KUANTAN SINGINGI</t>
  </si>
  <si>
    <t>AZWAN, S. Sos, ST</t>
  </si>
  <si>
    <t>HENDRIUS, A.Md</t>
  </si>
  <si>
    <t>NIP. 19571231 197903 1 1047</t>
  </si>
  <si>
    <t>NIP. 19750512 201001 1 011</t>
  </si>
  <si>
    <t>KARTU INVENTARIS BARANG (KIB) B</t>
  </si>
  <si>
    <t>PERALATAN DAN MESIN</t>
  </si>
  <si>
    <t xml:space="preserve">NO. KODE LOKASI </t>
  </si>
  <si>
    <t>: 12.04.06.18.01.13.00</t>
  </si>
  <si>
    <t>BPKB</t>
  </si>
  <si>
    <t>1.2</t>
  </si>
  <si>
    <t>1.2.1</t>
  </si>
  <si>
    <t>02.02.01.02.03.0001</t>
  </si>
  <si>
    <t>BULDOZER</t>
  </si>
  <si>
    <t>0001</t>
  </si>
  <si>
    <t>CATTER PILLAR D 6G</t>
  </si>
  <si>
    <t>AP6G00156</t>
  </si>
  <si>
    <t>10149097</t>
  </si>
  <si>
    <t>B</t>
  </si>
  <si>
    <t>02.03.01.08.02.0001</t>
  </si>
  <si>
    <t>PICK UP</t>
  </si>
  <si>
    <t>TOYOTA PICK - UP</t>
  </si>
  <si>
    <t>1781</t>
  </si>
  <si>
    <t>2000</t>
  </si>
  <si>
    <t>MHF31KF60Y00110089</t>
  </si>
  <si>
    <t>7K0384419</t>
  </si>
  <si>
    <t>BM 8000 K</t>
  </si>
  <si>
    <t/>
  </si>
  <si>
    <t>02.02.01.07.04.0001</t>
  </si>
  <si>
    <t>VIBRATION ROLLER</t>
  </si>
  <si>
    <t>MBT</t>
  </si>
  <si>
    <t>0</t>
  </si>
  <si>
    <t>2002</t>
  </si>
  <si>
    <t>016VB02004</t>
  </si>
  <si>
    <t>46176923</t>
  </si>
  <si>
    <t>02.02.01.02.06.0001</t>
  </si>
  <si>
    <t>MOTOR GREDER</t>
  </si>
  <si>
    <t>VOLVO MG 3-H/100 HP</t>
  </si>
  <si>
    <t>8255</t>
  </si>
  <si>
    <t>034053</t>
  </si>
  <si>
    <t>46197430</t>
  </si>
  <si>
    <t>02.02.01.07.11.0001</t>
  </si>
  <si>
    <t>DOUBLE VIBRO ROLLER</t>
  </si>
  <si>
    <t>0002</t>
  </si>
  <si>
    <t>INGERSOL RAND</t>
  </si>
  <si>
    <t>3678</t>
  </si>
  <si>
    <t>169926</t>
  </si>
  <si>
    <t>02.03.01.08.01.0001</t>
  </si>
  <si>
    <t>TRUCK</t>
  </si>
  <si>
    <t>COLT DIESEL 100PS</t>
  </si>
  <si>
    <t>3298</t>
  </si>
  <si>
    <t>MHMFE334EZR-015567</t>
  </si>
  <si>
    <t>4D31-253930</t>
  </si>
  <si>
    <t>BM 8017 K</t>
  </si>
  <si>
    <t>C2552552-D</t>
  </si>
  <si>
    <t>02.02.01.09.03.0001</t>
  </si>
  <si>
    <t>WHEEL LOADER</t>
  </si>
  <si>
    <t>CASE</t>
  </si>
  <si>
    <t>8025</t>
  </si>
  <si>
    <t>2003</t>
  </si>
  <si>
    <t>JEE0133842</t>
  </si>
  <si>
    <t>46161058</t>
  </si>
  <si>
    <t>MITSUBISHI</t>
  </si>
  <si>
    <t>8172</t>
  </si>
  <si>
    <t>2004</t>
  </si>
  <si>
    <t>T3GA01049</t>
  </si>
  <si>
    <t>966592</t>
  </si>
  <si>
    <t>2005</t>
  </si>
  <si>
    <t>52188</t>
  </si>
  <si>
    <t>30688320</t>
  </si>
  <si>
    <t>02.02.03.04.03.0001</t>
  </si>
  <si>
    <t>STATIONARY GENERATING SET</t>
  </si>
  <si>
    <t>HARTECH</t>
  </si>
  <si>
    <t>1995</t>
  </si>
  <si>
    <t>46458</t>
  </si>
  <si>
    <t>MHMFE334E5R-034870</t>
  </si>
  <si>
    <t>4D31-78153</t>
  </si>
  <si>
    <t>BM 8019 K</t>
  </si>
  <si>
    <t>D6200244-D</t>
  </si>
  <si>
    <t>02.02.01.03.01.0001</t>
  </si>
  <si>
    <t>CLAWLER EXCAVATOR</t>
  </si>
  <si>
    <t>CATTER PILLAR</t>
  </si>
  <si>
    <t>8753</t>
  </si>
  <si>
    <t>2006</t>
  </si>
  <si>
    <t>KNAE00304</t>
  </si>
  <si>
    <t>7JK96281</t>
  </si>
  <si>
    <t>02.03.01.08.03.0001</t>
  </si>
  <si>
    <t>TRAILER</t>
  </si>
  <si>
    <t>7545</t>
  </si>
  <si>
    <t>MHMFN527FR-000987</t>
  </si>
  <si>
    <t>6D16ED-B00894</t>
  </si>
  <si>
    <t>BM 8041 K</t>
  </si>
  <si>
    <t>E2464196-D</t>
  </si>
  <si>
    <t>2.2.1.2.3</t>
  </si>
  <si>
    <t>BAJA</t>
  </si>
  <si>
    <t>1.2.2</t>
  </si>
  <si>
    <t>02.03.01.01.04.0001</t>
  </si>
  <si>
    <t>MINIBUS</t>
  </si>
  <si>
    <t>SUZUKI ESCUDO 2Q.0</t>
  </si>
  <si>
    <t>1590</t>
  </si>
  <si>
    <t>MHYESB416YJ026228</t>
  </si>
  <si>
    <t>G16AID136164</t>
  </si>
  <si>
    <t>BM 17 K</t>
  </si>
  <si>
    <t>02.03.01.05.01.0001</t>
  </si>
  <si>
    <t>SEPEDA MOTOR</t>
  </si>
  <si>
    <t>SUZUKI TORNADO</t>
  </si>
  <si>
    <t>100</t>
  </si>
  <si>
    <t>MH8RC100NYJ256029</t>
  </si>
  <si>
    <t>E108ID255754</t>
  </si>
  <si>
    <t>BM 2027 K</t>
  </si>
  <si>
    <t>KB</t>
  </si>
  <si>
    <t>2.2.1.5.3</t>
  </si>
  <si>
    <t>MITSUBISHI FN 527 ML</t>
  </si>
  <si>
    <t>1.2.3</t>
  </si>
  <si>
    <t>02.04.01.03.05.0001</t>
  </si>
  <si>
    <t>MESIN GENSET</t>
  </si>
  <si>
    <t>1986</t>
  </si>
  <si>
    <t>DINAMO</t>
  </si>
  <si>
    <t>02.04.01.04.08.0001</t>
  </si>
  <si>
    <t>PANEL DISTRIBUSI</t>
  </si>
  <si>
    <t>1990</t>
  </si>
  <si>
    <t>02.04.03.08.51.0001</t>
  </si>
  <si>
    <t>SONDIR</t>
  </si>
  <si>
    <t>02.04.01.02.08.0001</t>
  </si>
  <si>
    <t>MOLEN</t>
  </si>
  <si>
    <t>02.04.02.04.06.0001</t>
  </si>
  <si>
    <t>DONGKRAK</t>
  </si>
  <si>
    <t>KOMPRESOR</t>
  </si>
  <si>
    <t>02.04.02.07.11.0001</t>
  </si>
  <si>
    <t>POMPA GEMUK</t>
  </si>
  <si>
    <t>2.04.02.04.02</t>
  </si>
  <si>
    <t>2.04.01.01.18</t>
  </si>
  <si>
    <t>2.09.2.5.13</t>
  </si>
  <si>
    <t>12.09.14.05.09.18</t>
  </si>
  <si>
    <t>60 Kg</t>
  </si>
  <si>
    <t>JH168F - GCAAH - 2403627</t>
  </si>
  <si>
    <t>12.09.14.05.09.19</t>
  </si>
  <si>
    <t>90 Kg</t>
  </si>
  <si>
    <t>JH168F - GCAAH - 2403676</t>
  </si>
  <si>
    <t>12.09.14.05.09.21</t>
  </si>
  <si>
    <t>9 HP</t>
  </si>
  <si>
    <t>46200509010-45</t>
  </si>
  <si>
    <t>1.2.4</t>
  </si>
  <si>
    <t>02.05.02.04.06.0001</t>
  </si>
  <si>
    <t>TEST KADAR TANAH</t>
  </si>
  <si>
    <t>1.2.5</t>
  </si>
  <si>
    <t>02.06.02.04.02.0001</t>
  </si>
  <si>
    <t>AC</t>
  </si>
  <si>
    <t>LG</t>
  </si>
  <si>
    <t>EBONIT</t>
  </si>
  <si>
    <t>02.06.03.05.02.0001</t>
  </si>
  <si>
    <t>MONITOR</t>
  </si>
  <si>
    <t>SAMSUNG</t>
  </si>
  <si>
    <t>EBONIT KACA</t>
  </si>
  <si>
    <t>02.06.03.05.01.0001</t>
  </si>
  <si>
    <t>CPU</t>
  </si>
  <si>
    <t>BESI PLAT</t>
  </si>
  <si>
    <t>02.06.03.05.03.0001</t>
  </si>
  <si>
    <t>PRINTER</t>
  </si>
  <si>
    <t>HP</t>
  </si>
  <si>
    <t>02.06.02.01.156.0001</t>
  </si>
  <si>
    <t>STAVOL</t>
  </si>
  <si>
    <t>SAKO</t>
  </si>
  <si>
    <t>02.06.01.01.02.0001</t>
  </si>
  <si>
    <t>MESIN TIK</t>
  </si>
  <si>
    <t>ROYAL</t>
  </si>
  <si>
    <t>BESI</t>
  </si>
  <si>
    <t>OLIMPIA</t>
  </si>
  <si>
    <t>BESI + EBONIT</t>
  </si>
  <si>
    <t>NATIONAL</t>
  </si>
  <si>
    <t>CANON</t>
  </si>
  <si>
    <t>EPSON</t>
  </si>
  <si>
    <t>02.06.02.01.61.0001</t>
  </si>
  <si>
    <t>MEJA</t>
  </si>
  <si>
    <t>LOKAL</t>
  </si>
  <si>
    <t>KAYU + KACA + TRIPLEK</t>
  </si>
  <si>
    <t>COMPAQ</t>
  </si>
  <si>
    <t>02.06.03.05.13.0001</t>
  </si>
  <si>
    <t>UPS</t>
  </si>
  <si>
    <t>ICA</t>
  </si>
  <si>
    <t>IBM</t>
  </si>
  <si>
    <t>BUILD UP</t>
  </si>
  <si>
    <t>ZYREX</t>
  </si>
  <si>
    <t>02.06.02.01.30.0001</t>
  </si>
  <si>
    <t>KURSI PUTAR</t>
  </si>
  <si>
    <t xml:space="preserve">PLASTIK + BUSA </t>
  </si>
  <si>
    <t>02.06.01.04.15.0001</t>
  </si>
  <si>
    <t>LEMARI ARSIP</t>
  </si>
  <si>
    <t>KAYU + KACA</t>
  </si>
  <si>
    <t>SERBUK PRESS</t>
  </si>
  <si>
    <t>02.06.02.06.39.0001</t>
  </si>
  <si>
    <t>DISPENSER</t>
  </si>
  <si>
    <t>MIYAKO</t>
  </si>
  <si>
    <t>PLASTIK</t>
  </si>
  <si>
    <t>02.06.02.04.06.0001</t>
  </si>
  <si>
    <t>KIPAS ANGIN</t>
  </si>
  <si>
    <t>MASPION</t>
  </si>
  <si>
    <t>BESI + PLASTIK</t>
  </si>
  <si>
    <t>02.06.01.05.10.0001</t>
  </si>
  <si>
    <t>WHITE BOARD</t>
  </si>
  <si>
    <t>TRIPLEK + MIKA</t>
  </si>
  <si>
    <t>TOYOSAKI</t>
  </si>
  <si>
    <t>SIMCOOL</t>
  </si>
  <si>
    <t>IDATA</t>
  </si>
  <si>
    <t>02.06.03.02.02.0001</t>
  </si>
  <si>
    <t>LAP TOP</t>
  </si>
  <si>
    <t>TOSHIBA</t>
  </si>
  <si>
    <t>02.06.02.01.37.0001</t>
  </si>
  <si>
    <t>MEJA KOMPUTER</t>
  </si>
  <si>
    <t>02.06.02.01.124.0001</t>
  </si>
  <si>
    <t>KAYU + TRIPLEK</t>
  </si>
  <si>
    <t>02.06.02.01.10.0001</t>
  </si>
  <si>
    <t>MEJA RAPAT</t>
  </si>
  <si>
    <t>KAYU</t>
  </si>
  <si>
    <t>02.06.01.04.18.0001</t>
  </si>
  <si>
    <t>RAK ARSIP</t>
  </si>
  <si>
    <t>02.06.04.02.04.0001</t>
  </si>
  <si>
    <t>MEJA RAPAT KADIS</t>
  </si>
  <si>
    <t>MEJA RESEPTIONIS</t>
  </si>
  <si>
    <t>ALINDAH</t>
  </si>
  <si>
    <t>02.06.03.05.05.0001</t>
  </si>
  <si>
    <t>FLOTER</t>
  </si>
  <si>
    <t>FIBER</t>
  </si>
  <si>
    <t>02.06.02.01.34.0001</t>
  </si>
  <si>
    <t>KURSI LIPAT</t>
  </si>
  <si>
    <t>CHITOSE</t>
  </si>
  <si>
    <t>STAINLESS + BUSA</t>
  </si>
  <si>
    <t>2.06.01.04.12</t>
  </si>
  <si>
    <t>TRIPLEK</t>
  </si>
  <si>
    <t>2.06.4.7.6</t>
  </si>
  <si>
    <t>2.06.4.3.8</t>
  </si>
  <si>
    <t>2.06.3.5.3</t>
  </si>
  <si>
    <t>2.06.01.01.02</t>
  </si>
  <si>
    <t>ACER</t>
  </si>
  <si>
    <t>GREE</t>
  </si>
  <si>
    <t>001 - 060</t>
  </si>
  <si>
    <t>001</t>
  </si>
  <si>
    <t>APEX</t>
  </si>
  <si>
    <t>002</t>
  </si>
  <si>
    <t>003</t>
  </si>
  <si>
    <t>004</t>
  </si>
  <si>
    <t>005</t>
  </si>
  <si>
    <t>006</t>
  </si>
  <si>
    <t>007</t>
  </si>
  <si>
    <t>008</t>
  </si>
  <si>
    <t>001 -002</t>
  </si>
  <si>
    <t>0001 - 0009</t>
  </si>
  <si>
    <t>Kayu</t>
  </si>
  <si>
    <t>0001 - 0004</t>
  </si>
  <si>
    <t>0001 - 0002</t>
  </si>
  <si>
    <t>0001 - 0003</t>
  </si>
  <si>
    <t>02.06.02.01.67</t>
  </si>
  <si>
    <t>0001-0001</t>
  </si>
  <si>
    <t>02.06.02.04.04</t>
  </si>
  <si>
    <t>0001-0005</t>
  </si>
  <si>
    <t>1 PK</t>
  </si>
  <si>
    <t>CAMPURAN</t>
  </si>
  <si>
    <t xml:space="preserve">AC </t>
  </si>
  <si>
    <t>0001-0002</t>
  </si>
  <si>
    <t>2 PK</t>
  </si>
  <si>
    <t>02.06.02.04.03</t>
  </si>
  <si>
    <t>02.06 .01.03.07</t>
  </si>
  <si>
    <t>20,10 ppm</t>
  </si>
  <si>
    <t>02.06.04.01.04</t>
  </si>
  <si>
    <t>KAYU + BESI</t>
  </si>
  <si>
    <t>02.06.04.01.10</t>
  </si>
  <si>
    <t>0001-0003</t>
  </si>
  <si>
    <t>02.06.04.03.04</t>
  </si>
  <si>
    <t>02.06.02.01.30</t>
  </si>
  <si>
    <t>OSCAR/CF-902</t>
  </si>
  <si>
    <t>02.06.03.02.01</t>
  </si>
  <si>
    <t>KOMPUTER PC</t>
  </si>
  <si>
    <t>core i7</t>
  </si>
  <si>
    <t>02.06.03.02.02</t>
  </si>
  <si>
    <t>02.06.03.05.03</t>
  </si>
  <si>
    <t>INJECT FULL COLOR</t>
  </si>
  <si>
    <t>A3</t>
  </si>
  <si>
    <t>LASER F4</t>
  </si>
  <si>
    <t>1.2.6</t>
  </si>
  <si>
    <t>02.07.02.01.10.0001</t>
  </si>
  <si>
    <t>I-PHONE</t>
  </si>
  <si>
    <t>SAHITEL</t>
  </si>
  <si>
    <t>2001</t>
  </si>
  <si>
    <t>02.07.02.01.11.0001</t>
  </si>
  <si>
    <t>TELEPHONE</t>
  </si>
  <si>
    <t>I PHONE</t>
  </si>
  <si>
    <t>PANASONIC</t>
  </si>
  <si>
    <t>02.07.01.01.01</t>
  </si>
  <si>
    <t>02.06.02.06.03</t>
  </si>
  <si>
    <t>TELEVISI</t>
  </si>
  <si>
    <t>FLAT LCD</t>
  </si>
  <si>
    <t>32 INC</t>
  </si>
  <si>
    <t>02.10.05.01.04</t>
  </si>
  <si>
    <t>CCTV</t>
  </si>
  <si>
    <t>1.2.7</t>
  </si>
  <si>
    <t>02.04.02.03.03.0001</t>
  </si>
  <si>
    <t>THEODOLIT</t>
  </si>
  <si>
    <t>DTM-322 (N324)</t>
  </si>
  <si>
    <t>GPS 76 CSX</t>
  </si>
  <si>
    <t>IQF-066693 / N 20233</t>
  </si>
  <si>
    <t>IDR-022508 / N 022508</t>
  </si>
  <si>
    <t>GPS</t>
  </si>
  <si>
    <t xml:space="preserve">0001 </t>
  </si>
  <si>
    <t>02.04.02.11.03</t>
  </si>
  <si>
    <t>1.2.8</t>
  </si>
  <si>
    <t>1.2.9</t>
  </si>
  <si>
    <t>02.09.02.05.76.0001</t>
  </si>
  <si>
    <t>POMPA INTAKE</t>
  </si>
  <si>
    <t>POMPA KIMIA</t>
  </si>
  <si>
    <t>PREMINENT VARIS</t>
  </si>
  <si>
    <t>PLASTIK + STAINLESS</t>
  </si>
  <si>
    <t>02.09.07.05.31.0001</t>
  </si>
  <si>
    <t>WATER CONTAINER</t>
  </si>
  <si>
    <t>02.09.01.12.05.0001</t>
  </si>
  <si>
    <t>OVEN</t>
  </si>
  <si>
    <t>MEMMERT</t>
  </si>
  <si>
    <t>02.09.01.08.65.0001</t>
  </si>
  <si>
    <t>CBR ELECTRIC</t>
  </si>
  <si>
    <t>02.09.01.08.38.0001</t>
  </si>
  <si>
    <t>CORE DRILL</t>
  </si>
  <si>
    <t>QUANTUM</t>
  </si>
  <si>
    <t>02.09.01.12.23.0001</t>
  </si>
  <si>
    <t>TIMBANGAN</t>
  </si>
  <si>
    <t>TRIPLE BEAM BALANCE</t>
  </si>
  <si>
    <t>02.09.02.04.97.0001</t>
  </si>
  <si>
    <t>KEPADATAN TANAH</t>
  </si>
  <si>
    <t>HUMBOLD</t>
  </si>
  <si>
    <t>02.09.01.54.08.0001</t>
  </si>
  <si>
    <t>TIMBANGAN DUDUK</t>
  </si>
  <si>
    <t>OHAUS</t>
  </si>
  <si>
    <t>02.09.01.43.33.0001</t>
  </si>
  <si>
    <t>OPEN</t>
  </si>
  <si>
    <t>02.09.01.12.28.0001</t>
  </si>
  <si>
    <t>POMPA VACUM</t>
  </si>
  <si>
    <t>02.09.03.03.26.0001</t>
  </si>
  <si>
    <t>WATER HEATER</t>
  </si>
  <si>
    <t>02.09.01.08.57.0001</t>
  </si>
  <si>
    <t>MIXER</t>
  </si>
  <si>
    <t>02.09.01.12.02.0001</t>
  </si>
  <si>
    <t>WATER BATH</t>
  </si>
  <si>
    <t>02.09.01.12.01.0001</t>
  </si>
  <si>
    <t>CENTRIFUGE EXTRACTOR</t>
  </si>
  <si>
    <t>02.09.01.40.18.0001</t>
  </si>
  <si>
    <t>PENGUKUR SUHU</t>
  </si>
  <si>
    <t>02.09.01.31.08.0001</t>
  </si>
  <si>
    <t>ABRASI</t>
  </si>
  <si>
    <t>MARSHAK COMPRESSION</t>
  </si>
  <si>
    <t>02.09.01.08.48.0001</t>
  </si>
  <si>
    <t>MATERIAL TESTING</t>
  </si>
  <si>
    <t>02.09.01.64.20.0001</t>
  </si>
  <si>
    <t>KALIBRASI</t>
  </si>
  <si>
    <t>02.09.01.06..0001</t>
  </si>
  <si>
    <t>PEREDAM BETON</t>
  </si>
  <si>
    <t>ALUMINIUM</t>
  </si>
  <si>
    <t>20 KG</t>
  </si>
  <si>
    <t>TOP</t>
  </si>
  <si>
    <t>1.2.10</t>
  </si>
  <si>
    <t>2.09.1.46.4</t>
  </si>
  <si>
    <t xml:space="preserve"> </t>
  </si>
  <si>
    <t>12.04.06.05.01..00</t>
  </si>
  <si>
    <t>PERBATASAN KUANTAN TENGAH GUNUNG TOAR</t>
  </si>
  <si>
    <t>P</t>
  </si>
  <si>
    <t>03.12.06.01.03.0001</t>
  </si>
  <si>
    <t>GAPURA SELAMAT JALAN</t>
  </si>
  <si>
    <t>PERBATASAN KUANTAN TENGAH-BENAI</t>
  </si>
  <si>
    <t>PERBATASAN KUANTAN TENGAH JAKE</t>
  </si>
  <si>
    <t>JL SIMP TIGA ARAH KILIRAN JAO PASAR TALUK</t>
  </si>
  <si>
    <t>03.12.02.02.01.0001</t>
  </si>
  <si>
    <t>TUGU SIMP. TIGA</t>
  </si>
  <si>
    <t>12.04.06.05.01.01.00</t>
  </si>
  <si>
    <t>JL. DESA TEBING TINGGI BENAI</t>
  </si>
  <si>
    <t>03.12.02.01.01.0001</t>
  </si>
  <si>
    <t>MONUMEN PERJUANGAN 45</t>
  </si>
  <si>
    <t>BANTUAN</t>
  </si>
  <si>
    <t>JL. DESA SIMANDOLAK</t>
  </si>
  <si>
    <t>TUGU KEMERDEKAAN 1945</t>
  </si>
  <si>
    <t>12.04.06.05.01.00.00</t>
  </si>
  <si>
    <t>JL. DESA SUKARAJA</t>
  </si>
  <si>
    <t>TUGU PAK TANI</t>
  </si>
  <si>
    <t>12.04.06.05.01.92.00</t>
  </si>
  <si>
    <t>JL. AHMAD DAHLAN PASAR TALUK</t>
  </si>
  <si>
    <t>GAPURA PACU JALUR</t>
  </si>
  <si>
    <t>12.04.06.05.01.91.00</t>
  </si>
  <si>
    <t>JL AHMAD DAHLAN PASAR TALUK</t>
  </si>
  <si>
    <t>TUGU ARENA PACU JALUR</t>
  </si>
  <si>
    <t>12.04.06.05.01.80.00</t>
  </si>
  <si>
    <t>JL. DESA LANGSAT HULU</t>
  </si>
  <si>
    <t>TUGU ARAH MATA ANGIN</t>
  </si>
  <si>
    <t>12.04.06.05.01.53.00</t>
  </si>
  <si>
    <t xml:space="preserve">
JL. SUDIRMAN BASERAH</t>
  </si>
  <si>
    <t>TUGU PROKLAMASI</t>
  </si>
  <si>
    <t>1.3.2</t>
  </si>
  <si>
    <t>TELUK KUANTAN</t>
  </si>
  <si>
    <t>Kode Rekening Kegiatan Peralatan dan Mesin</t>
  </si>
  <si>
    <t>TEMPAT PARKIR BMSDA</t>
  </si>
  <si>
    <t>Teluk Kuantan</t>
  </si>
  <si>
    <t>b</t>
  </si>
  <si>
    <t>BARAH</t>
  </si>
  <si>
    <t>PANGEAN</t>
  </si>
  <si>
    <t>BASRAH</t>
  </si>
  <si>
    <t>Gunung Toar</t>
  </si>
  <si>
    <t>03.11.1.1.1</t>
  </si>
  <si>
    <t>INUMAN</t>
  </si>
  <si>
    <t>BENAI</t>
  </si>
  <si>
    <t>Logas Tanah Darat</t>
  </si>
  <si>
    <t>HAK MILIK</t>
  </si>
  <si>
    <t>Singingi</t>
  </si>
  <si>
    <t>03.11.2.2.1</t>
  </si>
  <si>
    <t>HIBAH</t>
  </si>
  <si>
    <t>JL. AHMAD YANI KEC. KUANTAN HILIR</t>
  </si>
  <si>
    <t>03.11.01.01.02.0001</t>
  </si>
  <si>
    <t>KANTOR PDAM KEC. KUANTAN HILIR</t>
  </si>
  <si>
    <t>DESA SIMPANG TIGA TALUK KEC KUANTAN TENGAH</t>
  </si>
  <si>
    <t>03.11.01.01.01.0004</t>
  </si>
  <si>
    <t>PDAM KEC KUANTAN TENGAH</t>
  </si>
  <si>
    <t>03.11.01.01.01.0003</t>
  </si>
  <si>
    <t>GEDUNG MESIN PDAM KEC. KUANTAN HILIR</t>
  </si>
  <si>
    <t>PDAM KUANTAN TENGAH</t>
  </si>
  <si>
    <t>03.11.01.01.01.0002</t>
  </si>
  <si>
    <t>03.11.01.01.01.0001</t>
  </si>
  <si>
    <t>RUMAH DINAS PDAM KEC.KUANTAN HILIR</t>
  </si>
  <si>
    <t>03.11.01.13.01.0008</t>
  </si>
  <si>
    <t>POS SATPAM</t>
  </si>
  <si>
    <t>03.11.01.14.01.0009</t>
  </si>
  <si>
    <t>CUCI MOBIL</t>
  </si>
  <si>
    <t>03.11.02.01.16.0007</t>
  </si>
  <si>
    <t>WC</t>
  </si>
  <si>
    <t>03.11.01.08.01.0006</t>
  </si>
  <si>
    <t>MUSHOLA</t>
  </si>
  <si>
    <t>03.11.02.04.03.0005</t>
  </si>
  <si>
    <t>RUMAH DINAS</t>
  </si>
  <si>
    <t>KOMPLEK PERKANTORAN PEMDA KUANSING</t>
  </si>
  <si>
    <t>GEDUNG KIMPRASWIL</t>
  </si>
  <si>
    <t>03.11.01.01.01.0010</t>
  </si>
  <si>
    <t>PARKIR ALAT BERAT</t>
  </si>
  <si>
    <t>GEDUNG LABOR</t>
  </si>
  <si>
    <t>GEDUNG KANTOR ALKAL</t>
  </si>
  <si>
    <t>03.11.02.01.04.0001</t>
  </si>
  <si>
    <t>RUMAH DINAS KIMPRASWIL</t>
  </si>
  <si>
    <t>JL. TALUK RENGAT KEC.BENAI</t>
  </si>
  <si>
    <t>KANTOR PDAM BENAI</t>
  </si>
  <si>
    <t>GEDUNG GENSET PDAM BENAI</t>
  </si>
  <si>
    <t>JL. JEND. SUDIRMAN KEC.KUANTAN HILIR</t>
  </si>
  <si>
    <t>GEDUNG MESIN PDAM KEC. BASERAH</t>
  </si>
  <si>
    <t>KANTOR PDAM KEC.BASERAH LAMA</t>
  </si>
  <si>
    <t>1.3.1</t>
  </si>
  <si>
    <t>1.3</t>
  </si>
  <si>
    <t>C. GEDUNG DAN BANGUNAN</t>
  </si>
  <si>
    <t xml:space="preserve">KARTU INVENTARIS BARANG (KIB) </t>
  </si>
  <si>
    <t>D. JALAN, IRIGASI DAN JARINGAN</t>
  </si>
  <si>
    <t>: 12.04.06.18.01.11.00</t>
  </si>
  <si>
    <t>1.4</t>
  </si>
  <si>
    <t>1.4.1</t>
  </si>
  <si>
    <t>JALAN PROPINSI ARTERI</t>
  </si>
  <si>
    <t>ASPAL HOTMIX</t>
  </si>
  <si>
    <t>4000</t>
  </si>
  <si>
    <t>JL. SOEKARNO HATTA</t>
  </si>
  <si>
    <t>12.04.06.05.01.00</t>
  </si>
  <si>
    <t>JALAN KABUPATEN ARTERI</t>
  </si>
  <si>
    <t>BATU PECAH / MACADAM</t>
  </si>
  <si>
    <t>6600</t>
  </si>
  <si>
    <t>KOMPE BERANGIN - KP BRU CERENTI</t>
  </si>
  <si>
    <t>9500</t>
  </si>
  <si>
    <t>3000</t>
  </si>
  <si>
    <t>JL. ABDURRAHMAN ALI</t>
  </si>
  <si>
    <t>2500</t>
  </si>
  <si>
    <t>7000</t>
  </si>
  <si>
    <t>BATU KERIKIL</t>
  </si>
  <si>
    <t>BANJAR LOPAK - PULAU KALIMANTING</t>
  </si>
  <si>
    <t>1400</t>
  </si>
  <si>
    <t>JL. DESA UJUNG TANJUNG</t>
  </si>
  <si>
    <t>JL. LINTAS PKB - RENGAT</t>
  </si>
  <si>
    <t>8000</t>
  </si>
  <si>
    <t>JL. JALUR PATAH - LANGSAT HULU</t>
  </si>
  <si>
    <t>JL. TALONTAM - BANJAR BENAI</t>
  </si>
  <si>
    <t>JL. GUNUNG KESIANGAN</t>
  </si>
  <si>
    <t>3500</t>
  </si>
  <si>
    <t>JL. TALONTAM - P. KOPUNG</t>
  </si>
  <si>
    <t>SEMEN/BETON</t>
  </si>
  <si>
    <t>SIMANDOLAK - TANJUNG</t>
  </si>
  <si>
    <t>JL. GUNUNG KESIANGAN - BANJAR LOPAK</t>
  </si>
  <si>
    <t>3</t>
  </si>
  <si>
    <t>JL. BENAI - TEBING TINGGI</t>
  </si>
  <si>
    <t>1300</t>
  </si>
  <si>
    <t>JL. TALONTAN - KOTO BENAI</t>
  </si>
  <si>
    <t>JL. GUNUNG KESIANGAN - UJUNG TANJUNG</t>
  </si>
  <si>
    <t>JL. DULTA PALMA- MUARA PETAI</t>
  </si>
  <si>
    <t>JL. DUTA PALMA - INHU</t>
  </si>
  <si>
    <t>16</t>
  </si>
  <si>
    <t>JL. BENAI - RAPP</t>
  </si>
  <si>
    <t>JL. ABDUL RAHMAN ALI - SIBERAKUN</t>
  </si>
  <si>
    <t>JL. UJUNG TANJUNG - BANJAR LOPAK</t>
  </si>
  <si>
    <t>11700</t>
  </si>
  <si>
    <t>JL. LEPAU GADING - PANGEAN</t>
  </si>
  <si>
    <t>Aspal</t>
  </si>
  <si>
    <t>5000</t>
  </si>
  <si>
    <t>SIMPANG RAYA - KOTO BARU</t>
  </si>
  <si>
    <t>6000</t>
  </si>
  <si>
    <t>JL. JALUR PATAH - TERATAK AIR HITAM</t>
  </si>
  <si>
    <t>SIMP. SEI ALA-SEI ALA</t>
  </si>
  <si>
    <t>ASPAL PENETRASI</t>
  </si>
  <si>
    <t>SIMP.SEI PINANG-TANJUNG</t>
  </si>
  <si>
    <t>1750</t>
  </si>
  <si>
    <t>JL. PERINDAGKOP</t>
  </si>
  <si>
    <t>JALAN KABUPATEN LOKAL</t>
  </si>
  <si>
    <t>500</t>
  </si>
  <si>
    <t>JL. MENUJU SMP 2</t>
  </si>
  <si>
    <t>138</t>
  </si>
  <si>
    <t>JL. LIMUNO SELATAN</t>
  </si>
  <si>
    <t>1500</t>
  </si>
  <si>
    <t>BUNDARAN DPRD - JL. PROPINSI</t>
  </si>
  <si>
    <t>300</t>
  </si>
  <si>
    <t>SIMP RSUD - RSUD</t>
  </si>
  <si>
    <t>672</t>
  </si>
  <si>
    <t>250</t>
  </si>
  <si>
    <t>JL. KUANTAN</t>
  </si>
  <si>
    <t>600</t>
  </si>
  <si>
    <t>JL. TELKOM - JK</t>
  </si>
  <si>
    <t>JL. INDUSTRI - JK. RUAS 231/231</t>
  </si>
  <si>
    <t>JL. PLTA - JK RUAS 33/33 KM0 - 100</t>
  </si>
  <si>
    <t>JL. SMK - SMK</t>
  </si>
  <si>
    <t>SIMP. STM BERINGIN - SAWAH</t>
  </si>
  <si>
    <t>JL. PADAT KARYA 1 - JP. KM162 +300</t>
  </si>
  <si>
    <t>750</t>
  </si>
  <si>
    <t>JL. PADAT KARYA II - BUNTU</t>
  </si>
  <si>
    <t>JL. PLN - JP. KM159 + 300</t>
  </si>
  <si>
    <t>400</t>
  </si>
  <si>
    <t>JL. KERAMAT - SD BERINGIN</t>
  </si>
  <si>
    <t>JL. BARANGAN - RUAS 041/041</t>
  </si>
  <si>
    <t>JL. BANGSAL - RUAS 041/041</t>
  </si>
  <si>
    <t>3400</t>
  </si>
  <si>
    <t>JL. PULAU ARO - PULAU ARO</t>
  </si>
  <si>
    <t>JL. SAWAH - PULAU KOMANG</t>
  </si>
  <si>
    <t>550</t>
  </si>
  <si>
    <t>JL. PDAM - DESA BERINGIN</t>
  </si>
  <si>
    <t>JL. BERINGIN SAWAH - BERINGIN SAWAH</t>
  </si>
  <si>
    <t>TERMINAL - SENTAJO</t>
  </si>
  <si>
    <t>JL. TOPAN - RUAS 41/41</t>
  </si>
  <si>
    <t>JL. JERING - RUAS 04/04</t>
  </si>
  <si>
    <t>147</t>
  </si>
  <si>
    <t>JL. KARTINI - JL. DIPONEGORO</t>
  </si>
  <si>
    <t>596</t>
  </si>
  <si>
    <t>JL. DIPONEGORO - JL. SUDIRMAN</t>
  </si>
  <si>
    <t>425</t>
  </si>
  <si>
    <t>RUAS 43/43 - JL. PULAU ARO</t>
  </si>
  <si>
    <t>135</t>
  </si>
  <si>
    <t>JL. M. FADILLAH - JL. SUDIRMAN</t>
  </si>
  <si>
    <t>236</t>
  </si>
  <si>
    <t>JL. LIMUNO - JL. SUDIRMAN</t>
  </si>
  <si>
    <t>314</t>
  </si>
  <si>
    <t>JL. MERDEKA - JL. KARTINI</t>
  </si>
  <si>
    <t>77</t>
  </si>
  <si>
    <t>JL. GUNUNG KESIANGAN - JL. SUDIRMAN</t>
  </si>
  <si>
    <t>285</t>
  </si>
  <si>
    <t>JL. IMAM BONJOL - JL. KUANTAN</t>
  </si>
  <si>
    <t>2900</t>
  </si>
  <si>
    <t>KAMPUNG DATAR - PULAU KOMANG</t>
  </si>
  <si>
    <t>87</t>
  </si>
  <si>
    <t>JL. LINGGAR JATI 2 - JL SUDIRMAN</t>
  </si>
  <si>
    <t>81</t>
  </si>
  <si>
    <t>JL. PETAPAHAN - JL. SUDIRMAN</t>
  </si>
  <si>
    <t>76</t>
  </si>
  <si>
    <t>JL. SAKO - JL. SUDIRMAN</t>
  </si>
  <si>
    <t>128</t>
  </si>
  <si>
    <t>JL. TUGU TIMUR - JL. SUDIRMAN</t>
  </si>
  <si>
    <t>JL. LINGGAR JATI 1 - JL SUDIRMAN</t>
  </si>
  <si>
    <t>279</t>
  </si>
  <si>
    <t>JL. KESEHATAN - MESJID</t>
  </si>
  <si>
    <t>851</t>
  </si>
  <si>
    <t>JL. SUDIRMAN</t>
  </si>
  <si>
    <t>190</t>
  </si>
  <si>
    <t>JL. TUGU BARAT - JL. SUDIRMAN</t>
  </si>
  <si>
    <t>JL PULAU KOMANG - PENYEBERANGAN KOPAH</t>
  </si>
  <si>
    <t>1000</t>
  </si>
  <si>
    <t>JAO - BATANG KUANTAN</t>
  </si>
  <si>
    <t>JL. SEB. TELUK - SIBEROBAH</t>
  </si>
  <si>
    <t>JL. STM (BELIBIS)</t>
  </si>
  <si>
    <t>1900</t>
  </si>
  <si>
    <t>SIMP. PERKANTORAN PEMDA - BUNDARAN DPRD</t>
  </si>
  <si>
    <t>PERUMNAS - SIMP. PERKANTORAN PEMDA</t>
  </si>
  <si>
    <t>SEI RUMBIO - PINTU GOBANG</t>
  </si>
  <si>
    <t>JL. DESA PULAU KOPUNG - SEI KUANTAN</t>
  </si>
  <si>
    <t>KEBUN NENAS - PERKANTORAN PEMDA</t>
  </si>
  <si>
    <t>DESA KOTO TUO - SEI KUANTAN</t>
  </si>
  <si>
    <t>1200</t>
  </si>
  <si>
    <t>SIMP. CABAI - MUNSALO</t>
  </si>
  <si>
    <t>JL. DESA PL. BARU - SEI KUANTAN</t>
  </si>
  <si>
    <t>SINAMBEK - STADION OLAH RAGA</t>
  </si>
  <si>
    <t>CEBERLIN - PINTU GOBANG</t>
  </si>
  <si>
    <t>SEB. TELUK KUANTAN - DUTA PALMA</t>
  </si>
  <si>
    <t>SIMP. BERINGIN - BERINGIN</t>
  </si>
  <si>
    <t>KOTO SENTAJO - RIMBO GAJAH MATI</t>
  </si>
  <si>
    <t>KP. BARU SENTAJO - TEBING TINGGI</t>
  </si>
  <si>
    <t>KP. BARU SENTAJO - BENAI</t>
  </si>
  <si>
    <t>SENTAJO - MUARA LANGSAT</t>
  </si>
  <si>
    <t>SIMP. JAKE - TRANS SKP II PETAI</t>
  </si>
  <si>
    <t>JAKE - GERINGGING BARU</t>
  </si>
  <si>
    <t>20000</t>
  </si>
  <si>
    <t>JAKE - KOTO KUMBU</t>
  </si>
  <si>
    <t>SEB. TELUK KUANTAN - SEB. BENAI</t>
  </si>
  <si>
    <t>200</t>
  </si>
  <si>
    <t>JALAN IMAM BONJOL CERENTI</t>
  </si>
  <si>
    <t>CENGAR - KOTO BENAI</t>
  </si>
  <si>
    <t>PANTAI - AIR BULUH</t>
  </si>
  <si>
    <t>BANJAR NAN TIGO - PASAR INUMAN</t>
  </si>
  <si>
    <t>INUMAN - BEDENG SUKURAN</t>
  </si>
  <si>
    <t>DESA PULAU SIPAN - PULAU PANJANG</t>
  </si>
  <si>
    <t>2400</t>
  </si>
  <si>
    <t>DESA PULAU PANJANG - PULAU PANJANG HILIR</t>
  </si>
  <si>
    <t>TUGU PULAI - PAUH ANGIT</t>
  </si>
  <si>
    <t>JALAN RAPP - SITUGAL</t>
  </si>
  <si>
    <t>DESA SIGARUNTANG - RUAS 208</t>
  </si>
  <si>
    <t>44000</t>
  </si>
  <si>
    <t>PANGEAN - BTS INUMAN</t>
  </si>
  <si>
    <t>35000</t>
  </si>
  <si>
    <t>SAKO - TRANS SKP II</t>
  </si>
  <si>
    <t>10000</t>
  </si>
  <si>
    <t>SIMPANG KEBUN LADO - SEI SIRIH</t>
  </si>
  <si>
    <t>LOGAS - AIR MAS</t>
  </si>
  <si>
    <t>UJUNG TANJUNG - PULAU KALIMANTING</t>
  </si>
  <si>
    <t>JALAN PANGKALAN INDARUNG-SIMP SUMPU</t>
  </si>
  <si>
    <t>15400</t>
  </si>
  <si>
    <t>SIMPANG HANDOYO</t>
  </si>
  <si>
    <t>JALAN SHEH AHMED BUDAN</t>
  </si>
  <si>
    <t>450</t>
  </si>
  <si>
    <t>JALAN PADAT KARYA</t>
  </si>
  <si>
    <t>30000</t>
  </si>
  <si>
    <t>JALAN PANGKALAN INDARUNG</t>
  </si>
  <si>
    <t>29000</t>
  </si>
  <si>
    <t>JALAN SUDIRMAN</t>
  </si>
  <si>
    <t>APBN</t>
  </si>
  <si>
    <t>KOTO BARU - SUKA MAJU</t>
  </si>
  <si>
    <t>SIMPANG KORAN - SUKA MAJU</t>
  </si>
  <si>
    <t>SIMPANG PETAI - SIMPANG 4 PT WANASARI</t>
  </si>
  <si>
    <t>SIMPANG MUARO BAHAN - MUARO BAHAN</t>
  </si>
  <si>
    <t>LUBUK TERENTANG-PISANG BEREBUS</t>
  </si>
  <si>
    <t>KAMPUNG BARU TOAR-JP KM 1785000</t>
  </si>
  <si>
    <t>BERINGIN JAYA - SUKA MAJU</t>
  </si>
  <si>
    <t>KAMPUNG BARU TOAR-PENYEBRANGAN KRESEK</t>
  </si>
  <si>
    <t>TOAR-GUNUNG</t>
  </si>
  <si>
    <t>3100</t>
  </si>
  <si>
    <t>TEBERAU PANJANG-SEI KUANTAN</t>
  </si>
  <si>
    <t>1075</t>
  </si>
  <si>
    <t>LOGAS TANAH DARAT-SEI RAMBAI</t>
  </si>
  <si>
    <t>SEI RAMBAI-RAMBAHAN</t>
  </si>
  <si>
    <t>3900</t>
  </si>
  <si>
    <t>PERHENTIAN LUAS-TERATAK RENDAH</t>
  </si>
  <si>
    <t>LOGAS TANAH DARAT-HULU TESO</t>
  </si>
  <si>
    <t>5100</t>
  </si>
  <si>
    <t>SIMP. RAMBAHAN-SEI RAMBAIHAN</t>
  </si>
  <si>
    <t>56000</t>
  </si>
  <si>
    <t>SAKO MARAGASARI-KUANTAN SAKO</t>
  </si>
  <si>
    <t>KASANG-BUKIT KAUMAN</t>
  </si>
  <si>
    <t>KASANG-SIMP 4 CENGAR</t>
  </si>
  <si>
    <t>1756</t>
  </si>
  <si>
    <t>PENGHUBUNG JEMBATAN CERENTI</t>
  </si>
  <si>
    <t>SIMPANG KINALI-BUKIT KAUMAN</t>
  </si>
  <si>
    <t>KASANG-PASAR LUBUK JAMBI</t>
  </si>
  <si>
    <t>TELUK PAUH-BATAS INHU</t>
  </si>
  <si>
    <t>TELUK PAUH-PASIKIAN</t>
  </si>
  <si>
    <t>4500</t>
  </si>
  <si>
    <t>SEI PERUPUK - PULAU BAYUR</t>
  </si>
  <si>
    <t>SEI PERUPUK-TELUK PAUH</t>
  </si>
  <si>
    <t>PULAU JAMBU-TELUK PAUH</t>
  </si>
  <si>
    <t>JL. DIPONEGORO/JLN PASAR CERENTI</t>
  </si>
  <si>
    <t>7900</t>
  </si>
  <si>
    <t>NES II CERENTI-KOMPE BERANGIN</t>
  </si>
  <si>
    <t>KOTO CERENTI-PULAU BAYUR</t>
  </si>
  <si>
    <t>JALAN MUDIK ULO-TANJUNG MEDANG</t>
  </si>
  <si>
    <t>JALAN SEI MANAU-SEI KELELAWAR</t>
  </si>
  <si>
    <t>JALAN DESA KOTO KOMBU</t>
  </si>
  <si>
    <t>JALAN DESA</t>
  </si>
  <si>
    <t>4300</t>
  </si>
  <si>
    <t>BEDENG SUKURAN - BANJAR NAN TIGO</t>
  </si>
  <si>
    <t>1800</t>
  </si>
  <si>
    <t>INUMAN - PULAU KIJANG</t>
  </si>
  <si>
    <t>INUMAN - PULAU PANJANG</t>
  </si>
  <si>
    <t>PULAU BUSUK - KOTO INUMAN</t>
  </si>
  <si>
    <t>DESA SIKAPING - PULAU INGU</t>
  </si>
  <si>
    <t>BEDENG SUKURAN - P. PULAU PANJANG</t>
  </si>
  <si>
    <t>JALAN LINGKAR PASAR INUMAN</t>
  </si>
  <si>
    <t>TANAH BEKALI - PULAU DERAS</t>
  </si>
  <si>
    <t>PULAU TENGAH - SIKAPING</t>
  </si>
  <si>
    <t>DESA PULAU RENGAS - PEMATANG</t>
  </si>
  <si>
    <t>PANGEAN - PULAU KUMPAI</t>
  </si>
  <si>
    <t>RAWANG BINJAI - BERINGIN JAYA</t>
  </si>
  <si>
    <t>DESA PEMATANG - PULAU TENGAH</t>
  </si>
  <si>
    <t>PAUH ANGIT - RAWANG BINJAI</t>
  </si>
  <si>
    <t>1600</t>
  </si>
  <si>
    <t>SAKO - SIMPANG KAPAN</t>
  </si>
  <si>
    <t>1970</t>
  </si>
  <si>
    <t>SUMBER DATAR - SEI KURANJI</t>
  </si>
  <si>
    <t>JL. UTAMA</t>
  </si>
  <si>
    <t>PAUH ANGIT - TANJUNG SIMANDOLAK</t>
  </si>
  <si>
    <t>700</t>
  </si>
  <si>
    <t>JALAN TEPIAN PANTAI</t>
  </si>
  <si>
    <t>JALAN MAYOR H. ASRI IYU</t>
  </si>
  <si>
    <t>JALAN ABDUL MAAS</t>
  </si>
  <si>
    <t>JALAN LETKOL H. ZAKARIA</t>
  </si>
  <si>
    <t>JALAN DESA PANGKALAN INDARUNG</t>
  </si>
  <si>
    <t>JALAN AMD</t>
  </si>
  <si>
    <t>75</t>
  </si>
  <si>
    <t>JALAN SENTRAL - JALAN LINTAS PROPINSI</t>
  </si>
  <si>
    <t>JALAN DI PERTUAN GADIS</t>
  </si>
  <si>
    <t>JALAN DIPONEGORO</t>
  </si>
  <si>
    <t>DESA TERBERAU PANJANG-SEI KUANTAN</t>
  </si>
  <si>
    <t>JL. DALAM KOTA KP. BARU TOAR-JP.KM 1785000</t>
  </si>
  <si>
    <t>380</t>
  </si>
  <si>
    <t>JL IMAM BONJOL</t>
  </si>
  <si>
    <t>GUNUNG PULAU MUNGKUR</t>
  </si>
  <si>
    <t>JEMBATAN BETON</t>
  </si>
  <si>
    <t>BETON</t>
  </si>
  <si>
    <t>CERENTI</t>
  </si>
  <si>
    <t>12.04.06.05.00.04.00</t>
  </si>
  <si>
    <t>17</t>
  </si>
  <si>
    <t>JEMBATAN DESA TOAR-GUNUNG</t>
  </si>
  <si>
    <t>12.04.06.05.00.06.00</t>
  </si>
  <si>
    <t>JEMBATAN PADA JALAN KABUPATEN/KOTA ARTERI</t>
  </si>
  <si>
    <t>JEMBATAN BENAI</t>
  </si>
  <si>
    <t>12.04.06.05.00.93.00</t>
  </si>
  <si>
    <t>60</t>
  </si>
  <si>
    <t>SEI ULO</t>
  </si>
  <si>
    <t>12.04.06.05.00.96.00</t>
  </si>
  <si>
    <t>7</t>
  </si>
  <si>
    <t>JEMBATAN SEI. BENAI KECIL</t>
  </si>
  <si>
    <t>12.04.06.05.00.42.00</t>
  </si>
  <si>
    <t>10</t>
  </si>
  <si>
    <t>JEMBATAN BATAS TEBING TINGGI - SIMANDOLAK</t>
  </si>
  <si>
    <t>12.04.06.05.00.80.00</t>
  </si>
  <si>
    <t>2</t>
  </si>
  <si>
    <t>JEMBATAN SENTAJO - SEB. TERATAK AIR HITAM</t>
  </si>
  <si>
    <t>145</t>
  </si>
  <si>
    <t>BUYA MARIFAT MARDJAN</t>
  </si>
  <si>
    <t>12.04.06.05.00.05.00</t>
  </si>
  <si>
    <t>6</t>
  </si>
  <si>
    <t>JEMBATAN SEI. SIAGA</t>
  </si>
  <si>
    <t>JEMBATAN LEPAU GADING</t>
  </si>
  <si>
    <t>12</t>
  </si>
  <si>
    <t>JEMBATAN SEI. SIMANDOLAK</t>
  </si>
  <si>
    <t>JEMBATAN PADA JALAN KABUPATEN/KOTA LOKAL</t>
  </si>
  <si>
    <t>TEBERAU PANJANG</t>
  </si>
  <si>
    <t>15</t>
  </si>
  <si>
    <t>SEI BATANG SOPAN</t>
  </si>
  <si>
    <t>12.04.06.05.00.0.00</t>
  </si>
  <si>
    <t>PANTAI</t>
  </si>
  <si>
    <t>12.04.06.05.00.87.00</t>
  </si>
  <si>
    <t>SEI KELUMPANG</t>
  </si>
  <si>
    <t>25</t>
  </si>
  <si>
    <t>GONDANG POCAH</t>
  </si>
  <si>
    <t>12.04.06.05.00.03.00</t>
  </si>
  <si>
    <t>8</t>
  </si>
  <si>
    <t>MUARA LEMBU 2</t>
  </si>
  <si>
    <t>12.04.06.05.00.00.00</t>
  </si>
  <si>
    <t>SEI MUNAN</t>
  </si>
  <si>
    <t>12.04.06.05.00.81.00</t>
  </si>
  <si>
    <t>BATANG ANTAN</t>
  </si>
  <si>
    <t>SEI BOMBAN</t>
  </si>
  <si>
    <t>12.04.06.05.00.90.00</t>
  </si>
  <si>
    <t>MUARA LEMBU 1</t>
  </si>
  <si>
    <t>PADAT KARYA I</t>
  </si>
  <si>
    <t>SEI PORING</t>
  </si>
  <si>
    <t>SEI ABUK</t>
  </si>
  <si>
    <t>SEI PANDAN</t>
  </si>
  <si>
    <t>12.04.06.05.00.91.00</t>
  </si>
  <si>
    <t>SEI JINDO</t>
  </si>
  <si>
    <t>SEI RUMBAI</t>
  </si>
  <si>
    <t>SEI BATANG UWO</t>
  </si>
  <si>
    <t>RAWANG BONTO</t>
  </si>
  <si>
    <t>SEI DUSUN TUO</t>
  </si>
  <si>
    <t>12.04.06.05.00.92.00</t>
  </si>
  <si>
    <t>JEMBATAN SEI UJUNG TANJUNG</t>
  </si>
  <si>
    <t>4</t>
  </si>
  <si>
    <t>SEI GUNUNG BALAI 2</t>
  </si>
  <si>
    <t>PANGKALAN INDARUNG</t>
  </si>
  <si>
    <t>12.04.06.05.00.82.00</t>
  </si>
  <si>
    <t>SEI GUNUNG BALAI I</t>
  </si>
  <si>
    <t>JEMBATAN SEI MUARO</t>
  </si>
  <si>
    <t>JEMBATAN SEI SIPAN</t>
  </si>
  <si>
    <t>SUNGAI INGU</t>
  </si>
  <si>
    <t>BOX CULVERT</t>
  </si>
  <si>
    <t>PASAR BARU BASERAH</t>
  </si>
  <si>
    <t>12.04.06.05.00.95.00</t>
  </si>
  <si>
    <t>SEI PENDULAGAN</t>
  </si>
  <si>
    <t>12.04.06.05.00.78.00</t>
  </si>
  <si>
    <t>KEBUN LADO I</t>
  </si>
  <si>
    <t>SEI BAWANG</t>
  </si>
  <si>
    <t>12.04.06.05.00.84.00</t>
  </si>
  <si>
    <t>SEI IYAN</t>
  </si>
  <si>
    <t>12.04.06.05.00.86.00</t>
  </si>
  <si>
    <t>40</t>
  </si>
  <si>
    <t>SEI BATANG BALAI</t>
  </si>
  <si>
    <t>12.04.06.05.00.88.00</t>
  </si>
  <si>
    <t>SUNGAI KAPAN</t>
  </si>
  <si>
    <t>JEMBATAN TEPIAN ULAK</t>
  </si>
  <si>
    <t>SEI PARIT</t>
  </si>
  <si>
    <t>46</t>
  </si>
  <si>
    <t>BASERAH SEI SALAK</t>
  </si>
  <si>
    <t>DESA PULAU MUNGKUR</t>
  </si>
  <si>
    <t>SIBEROBAH</t>
  </si>
  <si>
    <t>12.04.06.05.00.01.00</t>
  </si>
  <si>
    <t>36</t>
  </si>
  <si>
    <t>PULAU PADANG</t>
  </si>
  <si>
    <t>JEMBATAN SEBEROBAH</t>
  </si>
  <si>
    <t>JEMBATAN KAYU</t>
  </si>
  <si>
    <t>JEMBATAN TEBERAU PANJANG</t>
  </si>
  <si>
    <t>Kampung Baru sentajo</t>
  </si>
  <si>
    <t>Hulu Kuantan</t>
  </si>
  <si>
    <t>Kuantan Mudik</t>
  </si>
  <si>
    <t>Pangean</t>
  </si>
  <si>
    <t>Cerenti</t>
  </si>
  <si>
    <t>Beton</t>
  </si>
  <si>
    <t>Kuantan Tengah</t>
  </si>
  <si>
    <t>Singingi Hilir</t>
  </si>
  <si>
    <t xml:space="preserve">Pangean </t>
  </si>
  <si>
    <t>Tanah</t>
  </si>
  <si>
    <t>Baja</t>
  </si>
  <si>
    <t>Sentajo Raya</t>
  </si>
  <si>
    <t>1.4.2</t>
  </si>
  <si>
    <t>IRIGASI</t>
  </si>
  <si>
    <t>04.14.01.02.01.0001</t>
  </si>
  <si>
    <t>BENDUNGAN</t>
  </si>
  <si>
    <t>BENDUNGAN INDAH KOTO RAJO</t>
  </si>
  <si>
    <t>BASERAH I</t>
  </si>
  <si>
    <t>SIMANDULAK I</t>
  </si>
  <si>
    <t>BAWANG UDANG</t>
  </si>
  <si>
    <t>BENDUNGAN IRIGASI BATANG TESO</t>
  </si>
  <si>
    <t>BAK RESERVASI</t>
  </si>
  <si>
    <t>04.14.06.05.08.0001</t>
  </si>
  <si>
    <t>BESI BAJA</t>
  </si>
  <si>
    <t>PAKET IPA I</t>
  </si>
  <si>
    <t>04.14.07.04.03.0001</t>
  </si>
  <si>
    <t>PAKET IPA II</t>
  </si>
  <si>
    <t>PAKET IPA III</t>
  </si>
  <si>
    <t>RESERVOIR</t>
  </si>
  <si>
    <t>1.4.3</t>
  </si>
  <si>
    <t>N I H I L</t>
  </si>
  <si>
    <t>1.4.4</t>
  </si>
  <si>
    <t>1.5</t>
  </si>
  <si>
    <t>1.5.1</t>
  </si>
  <si>
    <t>1.5.2</t>
  </si>
  <si>
    <t>1.5.3</t>
  </si>
  <si>
    <t>1.6</t>
  </si>
  <si>
    <t>Januari 2013 (Penambahan hari kerja 50 hari)</t>
  </si>
  <si>
    <t>0001-0004</t>
  </si>
  <si>
    <t>NO URUT</t>
  </si>
  <si>
    <t>JENIS BARANG/ NAMA BARANG</t>
  </si>
  <si>
    <t xml:space="preserve">NOMOR  </t>
  </si>
  <si>
    <t>LUAS (M2)</t>
  </si>
  <si>
    <t>TAHUN PENGADAAN</t>
  </si>
  <si>
    <t>LETAK/ LOKASI ALAMAT</t>
  </si>
  <si>
    <t>STATUS TANAH</t>
  </si>
  <si>
    <t>ASAL USUL</t>
  </si>
  <si>
    <t>KODE BARANG</t>
  </si>
  <si>
    <t>NOMOR REGISTER</t>
  </si>
  <si>
    <t>HAK</t>
  </si>
  <si>
    <t>SERTIFIKAT</t>
  </si>
  <si>
    <t>PENGGUNAAN</t>
  </si>
  <si>
    <t>TANGGAL</t>
  </si>
  <si>
    <t>NOMOR</t>
  </si>
  <si>
    <t>TELUK KUANTAN, 30 DESEMBER 2016</t>
  </si>
  <si>
    <t>TANAH PERKANTORAN</t>
  </si>
  <si>
    <t>TANAH JALAN DARI MESJID KOTO S/D DESA PULAU ARO</t>
  </si>
  <si>
    <t>TANAH RUMAH KOTO TUO BASERAH(UTK PELEBARAN JALAN JEMBATAN KESEBERANG KUANTAN HILIR)</t>
  </si>
  <si>
    <t>PEMBEBASAN TANAH UNTUK JALAN SEKITAR DANAU KEBUN NOPI</t>
  </si>
  <si>
    <t>TANAH KEBUN NOPI (WADUK IRIGASI)</t>
  </si>
  <si>
    <t>GANTI RUGI TANAH RUMAH SUKU TIGO KAMPUNG KOTO TUO BASERAH</t>
  </si>
  <si>
    <t>TANAH UNTUK JALAN TERMINAL - SENTAJO RAYA</t>
  </si>
  <si>
    <t xml:space="preserve">SIMPANG TIGA </t>
  </si>
  <si>
    <t>KOTO TALUK</t>
  </si>
  <si>
    <t>KELURAHAN PASAR TELUK</t>
  </si>
  <si>
    <t>SUNGAI JERING</t>
  </si>
  <si>
    <t>KOTO TELUK &amp; PULAU ARO</t>
  </si>
  <si>
    <t>BERINGIN TALUK</t>
  </si>
  <si>
    <t>DESA KOTO TUO</t>
  </si>
  <si>
    <t>BUKIT PEDUSUNAN</t>
  </si>
  <si>
    <t>BANDAR ALAI KARI</t>
  </si>
  <si>
    <t>KOTO TUO</t>
  </si>
  <si>
    <t>PELEPASAN HAK</t>
  </si>
  <si>
    <t>PENYERAHAN TANAH</t>
  </si>
  <si>
    <t>BA. PELEPASAN HAK</t>
  </si>
  <si>
    <t>MERK/ TYPE</t>
  </si>
  <si>
    <t>UKURAN/ CC</t>
  </si>
  <si>
    <t>BAHAN</t>
  </si>
  <si>
    <t>TAHUN PEMBELIAN</t>
  </si>
  <si>
    <t>ASAL USUL CARA PEROLEHAN</t>
  </si>
  <si>
    <t>HARGA</t>
  </si>
  <si>
    <t>KETERANGAN</t>
  </si>
  <si>
    <t>PABRIK</t>
  </si>
  <si>
    <t>RANGKA</t>
  </si>
  <si>
    <t>MESIN</t>
  </si>
  <si>
    <t>POLISI</t>
  </si>
  <si>
    <t xml:space="preserve">PERALATAN DAN MESIN </t>
  </si>
  <si>
    <t xml:space="preserve">ALAT-ALAT BERAT </t>
  </si>
  <si>
    <t xml:space="preserve">ALAT-ALAT ANGKUTAN </t>
  </si>
  <si>
    <t xml:space="preserve">ALAT-ALAT BENGKEL </t>
  </si>
  <si>
    <t xml:space="preserve">ALAT-ALAT PERTANIAN DAN PETERNAKAN </t>
  </si>
  <si>
    <t xml:space="preserve">ALAT-ALAT KANTOR DAN RUMAH TANGGA </t>
  </si>
  <si>
    <t xml:space="preserve">ALAT-ALAT STUDIO DAN KOMUNIKASI </t>
  </si>
  <si>
    <t xml:space="preserve">ALAT-ALAT UKUR </t>
  </si>
  <si>
    <t>ALAT-ALAT KEDOKTERAN</t>
  </si>
  <si>
    <t>ALAT-ALAT LABORATORIUM</t>
  </si>
  <si>
    <t xml:space="preserve">ALAT-ALAT KEAMANAN </t>
  </si>
  <si>
    <t>DUMP TRUK TRONTON</t>
  </si>
  <si>
    <t>DUMP TRUK COLT DIESEL</t>
  </si>
  <si>
    <t>MESIN DONGKRAK</t>
  </si>
  <si>
    <t>MESIN KOMPRESOR</t>
  </si>
  <si>
    <t>KATROL/ DEREK</t>
  </si>
  <si>
    <t>STAMPARE</t>
  </si>
  <si>
    <t>MOTOR CATING ASPHAL</t>
  </si>
  <si>
    <t>ALMARI</t>
  </si>
  <si>
    <t>KURSI KERJA STAF</t>
  </si>
  <si>
    <t>PRINTER HP LASER JET</t>
  </si>
  <si>
    <t>ALMARI RUANG KADIS DAN KABAG TU</t>
  </si>
  <si>
    <t>ALMARI ARSIP</t>
  </si>
  <si>
    <t>BRANKAS</t>
  </si>
  <si>
    <t>MEJA KERJA</t>
  </si>
  <si>
    <t>KURSI KERJA</t>
  </si>
  <si>
    <t>NOTE BOOK</t>
  </si>
  <si>
    <t>ALAT PENDINGIN</t>
  </si>
  <si>
    <t>KOMPUTER/PC</t>
  </si>
  <si>
    <t>KOMPUTER (PC)</t>
  </si>
  <si>
    <t>SEKAT RUANGAN</t>
  </si>
  <si>
    <t>PENGADAAN GORDEN</t>
  </si>
  <si>
    <t>COMPUTER/ PC</t>
  </si>
  <si>
    <t>KURSI RAPAT</t>
  </si>
  <si>
    <t>FILLING CABINET</t>
  </si>
  <si>
    <t>ALMARI ARSIP 2 PINTU</t>
  </si>
  <si>
    <t>ALMARI ARSIP 4 PINTU</t>
  </si>
  <si>
    <t>MEJA DIREKTUR</t>
  </si>
  <si>
    <t xml:space="preserve">MEJA KERJA </t>
  </si>
  <si>
    <t>KURSI DIREKTUR</t>
  </si>
  <si>
    <t>INTERIOR RUANG KEPALA DINAS (BERTAMBAH)</t>
  </si>
  <si>
    <t>INTERIOR RUANG RAPAT + SOUND SYSTEM (BERTAMBAH)</t>
  </si>
  <si>
    <t>MEJA 1 BIRO</t>
  </si>
  <si>
    <t>MEJA 1/2 BIRO</t>
  </si>
  <si>
    <t>SOFA</t>
  </si>
  <si>
    <t xml:space="preserve"> LEMARI ARSIP</t>
  </si>
  <si>
    <t>KOMPUTER (PC CORE I7) (BIDANG KEBINAMARGAAN)</t>
  </si>
  <si>
    <t xml:space="preserve"> PRINTER LASER SHOT</t>
  </si>
  <si>
    <t>PENGADAAN KOMPUTER</t>
  </si>
  <si>
    <t>PENGADAAN LEMARI ARSIP</t>
  </si>
  <si>
    <t>GORDEN</t>
  </si>
  <si>
    <t>AC PORTABLE</t>
  </si>
  <si>
    <t>MESIN FOTO COPY</t>
  </si>
  <si>
    <t>MEJA PEJABAT ESELON II</t>
  </si>
  <si>
    <t>KURSI PEJABAT ESELON II</t>
  </si>
  <si>
    <t>PROYEKTOR</t>
  </si>
  <si>
    <t>HANDYCAM</t>
  </si>
  <si>
    <t>FAXIMILI</t>
  </si>
  <si>
    <t>SOUND SYSTEM</t>
  </si>
  <si>
    <t>KAMERA DIGITAL</t>
  </si>
  <si>
    <t>KAMERA</t>
  </si>
  <si>
    <t>THEODOLITE</t>
  </si>
  <si>
    <t>KOMPAS</t>
  </si>
  <si>
    <t>METER DORONG</t>
  </si>
  <si>
    <t>GLOBAL WATER CUREN (MENGHITUNG KECEPATAN AIR)</t>
  </si>
  <si>
    <t>(COMPACT GAUGE/ COMPRESSION MACHINE)</t>
  </si>
  <si>
    <t>(SIEVE SHAKER &amp; HAND BOR)</t>
  </si>
  <si>
    <t>(THERMOMETER ASPHAL &amp;  LABORATORY PENETRATION TEST)</t>
  </si>
  <si>
    <t>THERMOMETER ASPHAL LABORATORY PENETRATION TEST</t>
  </si>
  <si>
    <t>SANE CONE TEST SET</t>
  </si>
  <si>
    <t>TRIPLE BEAN BALANCE 20 KG</t>
  </si>
  <si>
    <t>SPEEDY MOISTURE TEST SET</t>
  </si>
  <si>
    <t>CORE DRILLING TEST SET</t>
  </si>
  <si>
    <t>MATA BOR CORE TEST SET BETON</t>
  </si>
  <si>
    <t>TABUNG PEMADAM KEBAKARAN</t>
  </si>
  <si>
    <t>MITSUBISHI COLT DIESEL 125PS FE 74 HP</t>
  </si>
  <si>
    <t>MITSUBISHI COLT DIESEL 125PS</t>
  </si>
  <si>
    <t>LANCER</t>
  </si>
  <si>
    <t>DYNAMIC</t>
  </si>
  <si>
    <t>SONNY VAIO</t>
  </si>
  <si>
    <t>BROTHER</t>
  </si>
  <si>
    <t>COMPAC</t>
  </si>
  <si>
    <t>CANON PIXMA</t>
  </si>
  <si>
    <t>ASUS</t>
  </si>
  <si>
    <t>LAZIO</t>
  </si>
  <si>
    <t>BENQ</t>
  </si>
  <si>
    <t>SONY</t>
  </si>
  <si>
    <t>POLYGROND</t>
  </si>
  <si>
    <t>NIKON</t>
  </si>
  <si>
    <t>MAP 76 CSX</t>
  </si>
  <si>
    <t>PROTECT</t>
  </si>
  <si>
    <t>BAJA + EBONIT</t>
  </si>
  <si>
    <t>BESI + BUSA</t>
  </si>
  <si>
    <t>GHYPSUM</t>
  </si>
  <si>
    <t>BESI + BUSA + PLASTIK</t>
  </si>
  <si>
    <t>BESI + SOFA</t>
  </si>
  <si>
    <t>BUSA + KAIN</t>
  </si>
  <si>
    <t xml:space="preserve">GEDUNG DAN BANGUNAN </t>
  </si>
  <si>
    <t>BANGUNAN GEDUNG</t>
  </si>
  <si>
    <t>RUMAH DINAS CAMAT SINGINGI TYPE 70 + GARASE 4 X 6 M'</t>
  </si>
  <si>
    <t>REVITALISASI KANTOR CAMAT KUANTAN HILIR</t>
  </si>
  <si>
    <t>KANTOR KEPALA DESA SITORAJO</t>
  </si>
  <si>
    <t>KANTOR KEPALA DESA SEB. TELUK HILIR</t>
  </si>
  <si>
    <t>KANTOR KEPALA DESA SEBERANG PL. BUSUK</t>
  </si>
  <si>
    <t>KANTOR KEPALA DESA PL. BUSUK JAYA</t>
  </si>
  <si>
    <t>KANTOR KEPALA DESA GERINGGING JAYA</t>
  </si>
  <si>
    <t>KANTOR KEPALA DESA MUARO TOMBANG</t>
  </si>
  <si>
    <t>KANTOR KEPALA DESA TANJUNG MEDAN</t>
  </si>
  <si>
    <t>KANTOR KEPALA DESA SETIANG</t>
  </si>
  <si>
    <t>KANTOR KEPALA DESA MUARA LANGSAT</t>
  </si>
  <si>
    <t>KANTOR KEPALA DESA PL. ARO</t>
  </si>
  <si>
    <t>GEDUNG SERBAGUNA KENEG. SENTAJO</t>
  </si>
  <si>
    <t>GEDUNG SERBAGUNA KEC. BENAI</t>
  </si>
  <si>
    <t>GEDUNG SERBAGUNA KEC. LOGAS TANAH DARAT</t>
  </si>
  <si>
    <t>PENGADAAN KONTRUKSI PENATAAN KAWASAN KANTOR</t>
  </si>
  <si>
    <t>RENOVASI/ REHAB RUMAH DINAS CAMAT BENAI</t>
  </si>
  <si>
    <t>RENOVASI/ REHAB RUMAH DINAS CAMAT INUMAN</t>
  </si>
  <si>
    <t>PEMB. KANTOR DINAS KESENIAN KEBUDAYAAN &amp; PARIWISATA 550 M' X 3.228.181,82) (DAK NON DR)</t>
  </si>
  <si>
    <t>PEMB. KANTOR BADAN INFORMASI KOMUNIKASI &amp; KESATUAN BANGSA 550 M' X 3.228.181,82) (DAK NON DR)</t>
  </si>
  <si>
    <t>PEMB. KANTOR DINAS PETERNAKAN (550 M' X 3.228.181,82) (DAK NON DR)</t>
  </si>
  <si>
    <t>PEMB. KANTOR DINAS BADAN PROMOSI INVESTASI &amp; PENGENDALIAN DAMPAK LINGKUNGAN (550 M' X 3.228.181,82) (DAK NON DR)</t>
  </si>
  <si>
    <t>PENGADAAN KONSTRUKSI/ PEMBELIAN GEDUNG KANTOR (PENDAMPING DANA DAK NON DR)</t>
  </si>
  <si>
    <t>PEMBANGUINAN STT UNGGULAN SWARNADWIPA</t>
  </si>
  <si>
    <t>PEMBANGUNAN STAI LANTAI 1 (SATU)</t>
  </si>
  <si>
    <t>PENGADAAN KONSTRUKSI GEDUNG TEMPAT TINGGAL</t>
  </si>
  <si>
    <t>PEMB. RUMAH DINAS CAMAT KUANTAN HILIR + GARASE</t>
  </si>
  <si>
    <t>- PEMB. GARASE ALAT BERAT KIMPRASWIL (RANGKA BAJA)</t>
  </si>
  <si>
    <t>- PENYEMPURNAAN PEMB. RUMAH ADAT DESA TOAR</t>
  </si>
  <si>
    <t>- PEMB. RUMAH ADAT DESA SITIANG</t>
  </si>
  <si>
    <t>- PEMB. GEDUNG SERBAGUNA KEC. SINGINGI HILIR</t>
  </si>
  <si>
    <t>- PEMB. GEDUNG SERBAGUNA KEC. PANGEAN</t>
  </si>
  <si>
    <t>REVITALISASI KTR CAMAT KUANTAN HILIR</t>
  </si>
  <si>
    <t>PEMB. LANJUTAN MESS PEMDA TAHAP IV</t>
  </si>
  <si>
    <t>PEMB. KTR. KEPALA DESA PL. BUSUK JAYA 120 M2</t>
  </si>
  <si>
    <t>PEMB. GEDUNG SERBAGUNA KENEGERIAN SENTAJO 550 M2</t>
  </si>
  <si>
    <t>PEMB. GEDUNG SERBAGUNA KECAMATAN BENAI 420 M2</t>
  </si>
  <si>
    <t>PEMB. GEDUNG SERBAGUNA KECAMATAN LOGAS T. DARAT 420 M2</t>
  </si>
  <si>
    <t>PEMBUATAN AKUSTIK GEDUNG ABDOER RAUF</t>
  </si>
  <si>
    <t>PEMB. KTR KORAMIL</t>
  </si>
  <si>
    <t>PENGAWASAN TEKNIS LANJUTAN MESS PEMDA KUANTAN SINGINGI THP III (3 LANTAI)</t>
  </si>
  <si>
    <t>PEMB. LANJUTAN MESS PEMDA KUANTAN SINGINGI THP III (3 LANTAI)</t>
  </si>
  <si>
    <t>PEMBANGUNAN PERKANTORAN PEMDA KUANTAN SINGINGI (HONORARIUM PANITIA)</t>
  </si>
  <si>
    <t>PEK. BANGUNAN PERKANTORAN, RUMAH DINAS DAN FASILITAS</t>
  </si>
  <si>
    <t>- PENGAWASAN TEKNIS</t>
  </si>
  <si>
    <t>- PEMBUATAN GEDUNG KANTOR POS TELUK KUANTAN</t>
  </si>
  <si>
    <t>- PENYIAPAN LAHAN UNTUK KANTOR KORAMIL &amp; RUMAH DINAS 1 UNIT</t>
  </si>
  <si>
    <t>PEMB. KANTOR DINAS BUDSENIPAR 550 M2</t>
  </si>
  <si>
    <t>PEMB. KANTOR BIKKB 550 M2</t>
  </si>
  <si>
    <t>PEMB. KANTOR DINAS PETERNAKAN 550 M2</t>
  </si>
  <si>
    <t>PEMB. KANTOR BPIPDL 550 M2</t>
  </si>
  <si>
    <t>PEMBANGUNAN RUMAH DINAS DANRAMIL TL. KUANTAN TYPE 70, RUMAH DINAS ANGGOTA DANRAMIL TYPE 45 ( 2 UNIT)</t>
  </si>
  <si>
    <t>PEMB. KANTIN PERKANTORAN PEMDA + TURAP PENAHAN TEBING 2 UNIT</t>
  </si>
  <si>
    <t>PEMBANGUNAN STT/ STIP UNGGULAN SWARNADWIPA TAHAP I</t>
  </si>
  <si>
    <t>RENOVASI LAPANGAN LIMUNO TELUK KUANTAN</t>
  </si>
  <si>
    <t>PEMB. STT UNGGULAN SWARNADWIPA 1 UNIT</t>
  </si>
  <si>
    <t>PENGADAAN KONSTRUKSI/PEMBELIAN GEDUNG KANTOR (PENATAAN KAWASAN PERKANTORAN)</t>
  </si>
  <si>
    <t>PEMBANGUNAN RUMAH SEDERHANA LAYAK HUNI DENGAN POLA OMS</t>
  </si>
  <si>
    <t>RENOVASI KUBURAN KERAMAT TELUK KUANTAN</t>
  </si>
  <si>
    <t xml:space="preserve">TERALI PENGAMAN KANTOR DINAS BINA MARGA &amp; SDA </t>
  </si>
  <si>
    <t>PEMBUATAN GUDANG ARSIP</t>
  </si>
  <si>
    <t>PEMBONGKARAN DAN PEMBUATAN KAMAR MANDI BARU</t>
  </si>
  <si>
    <t>RENOVASI ATAP KANTOR DINAS BMSDA</t>
  </si>
  <si>
    <t>PEMBANGUNAN RUANG LABORATORIUM BARU</t>
  </si>
  <si>
    <t>REHABILITAS PAGAR KANTOR ALKAL</t>
  </si>
  <si>
    <t xml:space="preserve">BANGUNAN MONUMEN </t>
  </si>
  <si>
    <t>SINGINGI</t>
  </si>
  <si>
    <t>KUANTAN HILIR</t>
  </si>
  <si>
    <t>DESA SITORAJO</t>
  </si>
  <si>
    <t>DESA SEBERANG TELUK HILIR</t>
  </si>
  <si>
    <t>DESA SEBERANG PL. BUSUK</t>
  </si>
  <si>
    <t>DESA PL. BUSUK JAYA</t>
  </si>
  <si>
    <t>DESA GERINGGING JAYA</t>
  </si>
  <si>
    <t>DESA MUARO TOMBANG</t>
  </si>
  <si>
    <t>DESA TANJUNG MEDAN</t>
  </si>
  <si>
    <t>DESA SETIANG</t>
  </si>
  <si>
    <t>DESA MUARA LANGSAT</t>
  </si>
  <si>
    <t>DESA PL. ARO</t>
  </si>
  <si>
    <t>SENTAJO</t>
  </si>
  <si>
    <t>LOGAS TANAH DARAT</t>
  </si>
  <si>
    <t>GUNUNG TOAR</t>
  </si>
  <si>
    <t>SITIANG</t>
  </si>
  <si>
    <t>TELUK UANTAN</t>
  </si>
  <si>
    <t>DESA PL. BUSUK</t>
  </si>
  <si>
    <t>KOMP PEMDA</t>
  </si>
  <si>
    <t>GEDUNG ALKAL</t>
  </si>
  <si>
    <t>KONDISI BANGUNAN/ BARANG (B, KB, RB, H)</t>
  </si>
  <si>
    <t>KONSTRUKSI BANGUNAN</t>
  </si>
  <si>
    <t>DOKUMEN GEDUNG</t>
  </si>
  <si>
    <t>NOMOR KODE TANAH</t>
  </si>
  <si>
    <t>HARGA (Rp)</t>
  </si>
  <si>
    <t>BERTINGKAT/ TIDAK</t>
  </si>
  <si>
    <t>BETON/ TIDAK</t>
  </si>
  <si>
    <t>LUAS LANTAI (M2)</t>
  </si>
  <si>
    <t>MENGETAHUI,</t>
  </si>
  <si>
    <t>PANJANG (M2)</t>
  </si>
  <si>
    <t>LEBAR (M)</t>
  </si>
  <si>
    <t>LETAK/ ALAMAT LOKASI</t>
  </si>
  <si>
    <t>KONDISI BANGUNAN/ BARANG (B,KB,RB)</t>
  </si>
  <si>
    <t>BUKU PERPUSTAKAAN</t>
  </si>
  <si>
    <t>BARANG BERCORAK KESENIAN/ KEBUDAYAAN</t>
  </si>
  <si>
    <t>HEWAN/ TERNAK DAN TUMBUHAN</t>
  </si>
  <si>
    <t>JUMLAH</t>
  </si>
  <si>
    <t>TAHUN CETAK/ PEMBELIAN</t>
  </si>
  <si>
    <t>JUDUL/ PENCIPTA</t>
  </si>
  <si>
    <t>SPESIFIKASI</t>
  </si>
  <si>
    <t>ASAL DAERAH</t>
  </si>
  <si>
    <t>PENCIPTA</t>
  </si>
  <si>
    <t xml:space="preserve">JENIS </t>
  </si>
  <si>
    <t>UKURAN</t>
  </si>
  <si>
    <t>ASET TETAP LAINNYA</t>
  </si>
  <si>
    <t>BUKU DAN PERPUSTAKAAN</t>
  </si>
  <si>
    <t>BUKU PERATURAN PERUNDANG-UNDANGAN</t>
  </si>
  <si>
    <t>BARANG BERCORAK KESENIAN/KEBUDAYAAN</t>
  </si>
  <si>
    <t xml:space="preserve">HEWAN/ TERNAK DAN TUMBUHAN </t>
  </si>
  <si>
    <t xml:space="preserve">JALAN, IRIGASI DAN JARINGAN </t>
  </si>
  <si>
    <t xml:space="preserve">JALAN DAN JEMBATAN </t>
  </si>
  <si>
    <t>PENINGKATAN JALAN BENAI-PULAU LANCANG (ASPAL)</t>
  </si>
  <si>
    <t>PENINGKATAN JALAN SENTAJO - TERATAK AIR HITAM ASPAL 1,00 KM) LANJUTAN</t>
  </si>
  <si>
    <t>JALAN KABUPATEN LOKAL (PENINGKATAN JALAN LBK. JAMBI-LBK. AMBACANG (PELEBARAN ASPAL))</t>
  </si>
  <si>
    <t>PENINGKATAN JALAN LINGKAR PERINDAGKOP (ASPAL)</t>
  </si>
  <si>
    <t>JALAN TERMINAL-SENTAJO (ASPAL)</t>
  </si>
  <si>
    <t>JALAN KOTO SENTAJO-RIMBO GAJAH MATI</t>
  </si>
  <si>
    <t>JALAN JAKE-GERINGGING BARU</t>
  </si>
  <si>
    <t>JALAN JAKE-KOTO KOMBU-LB. AMBACANG (ASPAL)</t>
  </si>
  <si>
    <t>JALAN BENAI - KOTO RAJO - PULAU JAMBU (DESA PL. PANJANG HILIR)</t>
  </si>
  <si>
    <t>JALAN SIMPANG RAYA-SEI. BULUH (ASPAL)</t>
  </si>
  <si>
    <t>JALAN LUBUK TERENTANG-PISANG BEREBUS (ASPAL)</t>
  </si>
  <si>
    <t>JALAN LINGKAR PASAR INUMAN (URG PILIHAN)</t>
  </si>
  <si>
    <t>JALAN PANGEAN-PULAU KUMPAI (ASPAL)</t>
  </si>
  <si>
    <t xml:space="preserve">PENINGKATAN JALAN PAUH ANGIT - RAWANG BINJAI </t>
  </si>
  <si>
    <t>JALAN PERUMNAS-TK. PEMBINA (NO. RUAS 024) LANJUTAN</t>
  </si>
  <si>
    <t>JALAN BUNDARAN DPRD - JALAN PROPINSI PELEBARAN ASPAL 1.194 KM) LANJUTAN</t>
  </si>
  <si>
    <t>JALAN SIMPANG TIGA - SINAMBEK PELEBARAN - 3,00 KM ) LANJUTAN</t>
  </si>
  <si>
    <t>JALAN STM - BERINGIN/MAN ASPAL 1,50 KM/ PELEBARAN JALAN) + DALAM KOTA TL. KUANTAN</t>
  </si>
  <si>
    <t>JALAN SINAMBEK - GERBANG KOTA (JAKE) PELEBARAN ( 2,275 KM X RP. 996.043.950,-)</t>
  </si>
  <si>
    <t>JALAN KOTA TELUK KUANTAN - GERBANG KOTA SENTAJO) PELEBARAN</t>
  </si>
  <si>
    <t>JL. LINGKUNGAN PERUMNAS (ASPAL 1 KM)</t>
  </si>
  <si>
    <t>JALAN KP. BARU SENTAJO ASPAL : 1,158 KM X RP. 1.260.000.000,-)</t>
  </si>
  <si>
    <t>JALAN PULAU KOMANG - KOTO SENTAJO (2,5 KM)</t>
  </si>
  <si>
    <t>JALAN SEI. KAYU ARO - KOMPLEK PENDIDIKAN MUARA LEMBU</t>
  </si>
  <si>
    <t>PENINGKATAN JALAN SIM. 4 PT. WANASARI - DESA SUKA MAJU (ASPAL)</t>
  </si>
  <si>
    <t>PENINGKATAN JL. LINGKAR DESA PETAI (ASPAL 1 KM)</t>
  </si>
  <si>
    <t>PEMBANGUNAN JALAN PS. LB. AMBACANG - JEMBT. MA'RIPAT MARJANI (0,210 KM) + BOX CULVERT</t>
  </si>
  <si>
    <t>PENINGKATAN JALAN SIBEROBAH - SANGAU (ASPAL)</t>
  </si>
  <si>
    <t>PENINGKATAN JALAN LB. JAMBI - SEI. BESAR (DESA PANTAI ) ASPAL 1 KM</t>
  </si>
  <si>
    <t>PENINGKATAN JALAN TERATAI AIR HITAM - LOKASI PETERNAKAN ( UR. PIL. 2 KM ; RUTIN 1,0 KM )</t>
  </si>
  <si>
    <t>PENINGKATAN JL. LINGKAR PUKESMAS PANGEAN (ASPAL 1 KM)</t>
  </si>
  <si>
    <t>PENINGKATAN JALAN KOTO INUMAN - PULAU BUSUK (ASPAL 1,00 KM ) LANJUTAN</t>
  </si>
  <si>
    <t>PENINGKATAN JALAN PANGEAN - SITUGAL ( ASPAL / PELEBARAN)</t>
  </si>
  <si>
    <t>PENINGKATAN JALAN DALAM KOTA BASERAH (ASPAL 1,0 KM)</t>
  </si>
  <si>
    <t>PENINGKATAN JALAN MENJU JEMBATAN CERENTI (U.PIL 1,7 KM)</t>
  </si>
  <si>
    <t>PENINGKATAN JALAN PETAPAHAN-PS. GUNUNG (ASPAL 1 KM)</t>
  </si>
  <si>
    <t>PEMBUATAN 1 UNIT BOX CULVERT 3 X 35 (DOUBLE) RUAS JALAN SUKA RAJA - GIRI SAKO</t>
  </si>
  <si>
    <t>PEMBUATAN 1 UNIT BOX CULVERT 3 X 3 (TUNGGAL) RUAS JALAN SIMPANG RAYA - SEI. BULUH</t>
  </si>
  <si>
    <t>PEMBUATAN 1 UNIT BOX CULVERT 2 X 2,5 (TUNGGAL) RUAS JALAN LINGKAR DESA PETA</t>
  </si>
  <si>
    <t>PEMBUATAN 1 UNIT BOX CULVERT 2 X 2,5 (TUNGGAL) SEI. SOS RUAS JALAN BENAI - KOTO RAJO</t>
  </si>
  <si>
    <t>PEMBUATAN 1 UNIT BOX CULVERT 3 X 3 (TUNGGAL) RUAS JALAN SAKO TRANS SKP II</t>
  </si>
  <si>
    <t>PEMBUATAN 2 UNIT BOX CULVERT 2,5 X 2,5 M (TUNGGAL) RUAS JALAN LOGAS - AIR MAS</t>
  </si>
  <si>
    <t>PEMBUATAN 1 UNIT BOX CULVERT 4 X 3,5 (DOUBLE) RUAS JALAN SAMBUNG - KEBUN LADO</t>
  </si>
  <si>
    <t>PEMBUATAN 1 UNIT BOX CULVERT 3 X 3 (TUNGGAL) RUAS JALAN SIMPANG HANDOYO - AIR MAS</t>
  </si>
  <si>
    <t>PEMBUATAN 1 UNIT BOX CULVERT 2,0 X 2,5 (TUNGGAL) RAWANG BONTO RUAS JALAN BASERAH - PERHENTIAN LUAS</t>
  </si>
  <si>
    <t>PEMBUATAN 3 UNIT BOX CULVERT UK. 2 X 2 M (TUNGGAL), 1 UNIT BOX CULVERT UK. 2,5 X 2,5 M (TUNGGAL)</t>
  </si>
  <si>
    <t>PEMBUATAN 1 UNIT BOX CULVERT 3,0 X 4,0 (DOUBLE) SEI.INUMAN RUAS JALAN JAKE - KOTO KOMBU</t>
  </si>
  <si>
    <t>PEMBANGUNAN JEMBATAN BASERAH</t>
  </si>
  <si>
    <t>PENGGANTIAN JEMBATAN SEI. GODANG 40 M' (BANGUNAN BAWAH ; ABT 2 UNIT)</t>
  </si>
  <si>
    <t>PEMBUATAN 1 UNIT BOX CULVERT 3 X 4 M (DOUBLE) RUAS JALAN PULAU KOMANG - KOTO SENTAJO</t>
  </si>
  <si>
    <t>PEMBUATAN 1 UNIT BOX CULVERT 3,5 X 3,0 (TUNGGAL) SEI.LUMPANG RUAS JALAN PANTAI - AIR BULUH</t>
  </si>
  <si>
    <t>PEMBUATAN 1 UNIT BOX CULVERT 4,0 X 3,5 (GANDA) DAN 1 UNIT 3,0 X 3,5 (TUNGGAL) RUAS JALAN LUBUK JAMBI - SEI BESAR</t>
  </si>
  <si>
    <t>PENGGANTIAN JEMBATAN SEI. RAWANG UDANG 15 M' (RUAS JALAN SANGAU - SEBEROBAH)</t>
  </si>
  <si>
    <t>PEMELIHARAAN JALAN SEBERANG TALUK - SIBEROBAH - SANGAU 4,00 KM (NO.RUAS 027 ; 090) (KERIKIL) RUTIN 26 KM</t>
  </si>
  <si>
    <t>PEMELIHARAAN JALAN SEBERANG TALUK - SEBERANG BENAI ( NO. RUAS 001 ) (ASPAL OVERLAY) RUTIN 11,70 KM</t>
  </si>
  <si>
    <t>PEMELIHARAAN JALAN MUARA LEMBU - PANGKALAN INDARUNG 4,00 KM ( NO. RUAS 137 ) / AWCAS : RUTIN 24,00 KM</t>
  </si>
  <si>
    <t>PEMELIHARAAN JALAN SP. HANDOYO - SP. SEI. SIRIH - SEI. KUNING - SP. 4 PT. WANASARI - SUKA MAJU (NO. RUAS 247, 248, 005 ) UR. PIL. 3,00 KM ; RUTIN 43,00</t>
  </si>
  <si>
    <t>PEMELIHARAAN JALAN SAMBUNG - KEBUN LADO (NO. RUAS ASPAL OVERLAY ; RUTIN 29 KM.</t>
  </si>
  <si>
    <t>PEMELIHARAAN JALAN PETAI-SP.4 PT. WANA SARI (NO RUAS 238) ASPAL /AWCAS ; RUTIN 11,325 KM (ASPAL 1,00 OVERLAY; UR. PIL 1,00 KM)</t>
  </si>
  <si>
    <t>PEMELIHARAAN JALAN KOTO BARU - SP. SUKA MAJU DAN SP. MUARA BAHAN - MUARA BAHAN (NO. RUAS 246,249) RUTIN 20,15 KM URUGAN PILIHAN</t>
  </si>
  <si>
    <t>PEMELIHARAAN JALAN LEPAU GADING - PANGEAN, PANGEAN PULAU KUMPAI, PULAU KUMPAI - PASANG USANG BASERAH (NO. RUAS 260, 165, 168 ) ASPAL OVERLAY 1 KM ; URUGAN PILIHAN 1,00 KM ; RUTIN 22,50 KM.</t>
  </si>
  <si>
    <t>PEMELIHARAAN JALAN SAKO - TRANS SKP II, HULU TESO - LOGAS TANAH DARAT (NO. RUAS 167, 186) OVERLAY 1,00 ; URUGAN PILIHAN 1,00 KM ; RUTIN 20,00 KM</t>
  </si>
  <si>
    <t>PEMELIHARAAN JALAN PANGEAN - SITUGAL (BTS. PELALAWAN) (NO. RUAS 166) ASPAL OVERLAY 1,00 KM ; URUGAN PILIHAN 2,00 KM.</t>
  </si>
  <si>
    <t>PEMELIHARAAN JALAN BASERAH - PERHENTIAN LUAS, DUSUN TUO - GUNUNG MELINTANG (NO. RUAS 130, 146) ASPAL/1,00 KM ; UR.PIL 2,00 ; RUTIN 23,70 KM UR.PIL</t>
  </si>
  <si>
    <t>PEMELIHARAAN JALAN LUBUK JAMBI - LUBUK AMBACANG JAKE - KOTO KOMBU, MUDIK ULO - SUMPU (NO. RUAS 083, 003, 124) ASPAL 1,00 KM ; UR. PIL 2,00 KM ; RUTIN 40,00 KM</t>
  </si>
  <si>
    <t>PEMELIHARAAN JALAN SEI. BESAR - BATAS SUMBAR, SP. 4 PANGKALAN - MUARO PETAI, - SITIANG (NO. RUAS 087,092 111) URUGAN PILIHAN ; RUTIN 22,00 KM</t>
  </si>
  <si>
    <t>PEMELIHARAAN JALAN KEBUN PEMDA &amp; PERHENTIAN SUNGKAI (EFEKTIF 3,00 KM ; RUTIN 9,00 KM)</t>
  </si>
  <si>
    <t>KEGIATAN REHABILITASI/ PEMELIHARAAN JALAN PASCA BENCANA (PERBAIKAN/ PEMELIHARAAN JALAN PASCA BENCANA PADA RUAS JALAN CERENTI - PL. BAYUR - SEI. PERUPUK - TELUK PAUH - CERENTI, RUAS JALAN PANGEAN - PL. KUMPAI - PSR USANG BASERAH - KUANTAN HILIR, RUAS JALAN KOTO RAJO - PL. JAMBU INUMAN DAN RUAS JALAN PAUH ANGIT - PL. RANGGAS PANGEAN)</t>
  </si>
  <si>
    <t>PEMELIHARAAN JALAN KABUPATEN (SWAKELOLA)</t>
  </si>
  <si>
    <t>PEMELIHARAAN RUTIN JEMBATAN KABUPATEN (SWAKELOLA)</t>
  </si>
  <si>
    <t>PENGADAAN KONSTRUKSI JALAN DI KEC. PANGEAN (DESA TANAH BEKALI), KEC. INUMAN (DESA PL. BUSUK SEBERANG DAN DESA PL. BUSUK JAYA), KEC. CERENTI (DESA PL. PANJANG HILIR) DAN KEC. SINGINGI HILIR (DESA SEI. PAKU)</t>
  </si>
  <si>
    <t>PENGADAAN KONSTRUKSI JALAN</t>
  </si>
  <si>
    <t>PENGADAAN KONSTRUKSI JEMBATAN GANTUNG</t>
  </si>
  <si>
    <t>KONSTRUKSI JEMBATAN BETON DAN KELENGKAPANNYA DI KEC. HULU KUANTAN, SINGINGI, KUANTAN TENGAH, BENAI, INUMAN, GUNUNG TOAR, KUANTAN MUDIK DAN SINGINGI HILIR</t>
  </si>
  <si>
    <t>PENGADAAN KONSTRUKSI JALAN (PEMBANGUNAN TURAP KANTOR BALAI DESA DAN PUSTU DESA MUDIK ULO + TIMBUNAN, PEMBANGUNAN TURAP KANTOR BUPATI + TANGGA TURUN + JALAN KANTOR BUPATI, PEMBANGUNAN TURAP JALAN KP. SENTAJO, SEI. NANUN TOPAN, SP. TIGA JAO, JALAN KOTO SENTAJO, JALAN PL. BUSUK JAYA + TIMBUNAN</t>
  </si>
  <si>
    <t>KONSTRUKSI JEMBATAN BETON DAN KELENGKAPANNYA</t>
  </si>
  <si>
    <t>PENGADAAN KONSTRUKSI JALAN (PEMBANGUNAN JALAN BENAI - KOTO RAJO - PL, JAMBU DAN JALAN SEBERANG TELUK KUANTAN - SIBEROBAH - SANGAU</t>
  </si>
  <si>
    <t>PEMBANGUNAN JEMBATAN GANTUNG TELUK KUANTAN</t>
  </si>
  <si>
    <t>PENGADAAN KONSTRUKSI JALAN (REHAB/ PEMEL JALAN BENAI - KOTO RAJO - PL. JAMBU, JALAN SEB. TELUK KUANTAN - SIBEROBAH - SANGAU DAN JALAN SP. HANDOYO - SP. SEI. SIRIH - SP. 4 PT. WARNASARI - SUKAMAJU</t>
  </si>
  <si>
    <t>PERBAIKAN JALAN CERENTI-PL. BAYUR-SEI. PERUPUK-TL. PAUH</t>
  </si>
  <si>
    <t>- PEMBANGUNAN JEMBATAN GANTUNG SEI. SINGINGI</t>
  </si>
  <si>
    <t>PENGADAAN KONSTRUKSI JEMBATAN BETON DAN KELENG</t>
  </si>
  <si>
    <t>PENGADAAN KONSTRUKSI JALAN (PENINGKATAN JALAN MUDIK ULO - TANJUNG MEDANG, IBUL - SEI. BESAR, LB. JAMBI - SEI BESAR, PL. MUNGKUR - KOTO GUNUNG, KP. BARU TOAR - JAKE, BASERAH - PERHENTIAN LUAS, SP. KARI/ TERMINAL GERBANG KOTA (SITORAJO) DAN JALAN TERMINAL - SENTAJO</t>
  </si>
  <si>
    <t>PENGADAAN KONSTRUKSI JEMBATAN BETON DAN KELENG (</t>
  </si>
  <si>
    <t>PENINGKATAN JALAN SEI. PERUPUK - TELUK PAUH (ASPAL 1,00 KM)</t>
  </si>
  <si>
    <t xml:space="preserve">PENINGKATAN JALAN SUMBER JAYA - KUANTAN SAKO (DESA SUMBER JAYA/GELOMBANG)(ASPAL 1,00 KM) </t>
  </si>
  <si>
    <t>PENINGKATAN JALAN KOTO INUMAN - PULAU BUSUK (ASPAL 1,150 KM)</t>
  </si>
  <si>
    <t>PENINGKATAN JALAN PL. KOMANG - TERMINAL - SENTAJO (ASPAL 1,00 KM)</t>
  </si>
  <si>
    <t>PENINGKATAN JALAN BASERAH - PERHENTIAN LUAS (ASPAL) 1,00 KM)</t>
  </si>
  <si>
    <t>PENGGANTIAN JEMBATAN SEI. TIU RANGKA BAJA (BANGUNAN ATAS) (KLAS B 1 X 40 M)</t>
  </si>
  <si>
    <t>PEMBUATAN 1 UNIT BOX CULVERT (3,3 X 4 X 7) TIGA LUBANG + TURAP BETON SEI. TIU RUAS JALAN IBUL - SEI. BESAR</t>
  </si>
  <si>
    <t>PEMBANGUNAN JEMBATAN PIPA BESI DESA SANGAU (PANJANG 50 M)</t>
  </si>
  <si>
    <t>PEMBANGUNAN JEMBATAN SEI. TESO 40 M TAHAP II RUAS JALAN SUKARAJA - GIRI SAKO (LANJUTAN)</t>
  </si>
  <si>
    <t>PEMELIHARAAN JEMBATAN KABUPATEN (SWAKELOLA)</t>
  </si>
  <si>
    <t>PENINGKATAN JALAN SP. HANDOYO - SP.4 PT. WARNASARI (DESA PASIR MAS) ASPAL 1,00 KM</t>
  </si>
  <si>
    <t>PENINGKATAN JALAN SINAMBEK - SPORT CENTRE (ASPAL 1,447 KM)</t>
  </si>
  <si>
    <t>PENINGKATAN JALAN LINGKAR KANTOR KEJARI KAB. KUANSING</t>
  </si>
  <si>
    <t>PENINGKATAN JALAN LINGKAR KANTOR POLRES KAB. KUANSING</t>
  </si>
  <si>
    <t>PENINGKATAN JALAN SAKO - TRANS SKP II (DESA SUKARAJA) ASPAL 0,67 KM)</t>
  </si>
  <si>
    <t>PENINGKATAN JALAN SAKO - TRANS SKP II (DESA KUANTAN SAKO) (ASPAL 0,67 KM)</t>
  </si>
  <si>
    <t>PENINGKATAN JALAN SEI. SIRIH - SP.4 PT. WARNASARI (DESA SEI. KUNING) (ASPAL 1,00 KM)</t>
  </si>
  <si>
    <t>PENINGKATAN JALAN PANTAI - AIR BULUH (ASPAL 1,00 KM)</t>
  </si>
  <si>
    <t>PENINGKATAN JALAN JAKE - LB. AMBACANG (ASPAL 1,00 KM)</t>
  </si>
  <si>
    <t>PENING. JALAN SEBERANG TELUK - SIBEROBAH - SANGAU (LANJ)</t>
  </si>
  <si>
    <t>PENINGKATAN JALAN IBUL - SEI. BESAR (LANJUTAN)</t>
  </si>
  <si>
    <t>PENGGANTIAN JEMBATAN SEI. AIR HITAM (OPRIT JEMBATAN)</t>
  </si>
  <si>
    <t>PENGGANTIAN JEMBATAN PASAR USANG BASERAH (LANJ)</t>
  </si>
  <si>
    <t xml:space="preserve"> PENINGKATAN JALAN DILINGKUNGAN PERKANTORAN PEMDA DAN JALAN DALAM KOTA TELUK KUANTAN</t>
  </si>
  <si>
    <t xml:space="preserve"> PENINGKATAN JALAN SAMBUNG KEBUN LADO + BAHU BETON RUANS JALAN + DRAINASE</t>
  </si>
  <si>
    <t>PENINGKATAN JALAN LINGKAR DESA PEBAUN HULU</t>
  </si>
  <si>
    <t>PEKERJAAN PENINGKATAN JALAN PENGHUBUNG JEMBATAN CERENTI (1.70 KM)</t>
  </si>
  <si>
    <t>PEMBANGUNAN JALAN KOTO SENTAJO - DESA BERINGIN</t>
  </si>
  <si>
    <t>PENINGKATAN JALAN MENUJU PUSKESMAS LUBUK JAMBI (URUGAN PILIHAN 0,50 KM + TURAP BETON)</t>
  </si>
  <si>
    <t>PENINGKATAN JALAN AIR MAS - SEI. KERANJI- PASIR MAS ( DESA SEI. KERANJI) ( ASPAL 1,00 KM)</t>
  </si>
  <si>
    <t>PENINGKATAN JALAN SP.4 BERINGIN SAWAH-GERBANG SENTAJO PELEBARAN ASPAL 1,50 KM</t>
  </si>
  <si>
    <t>PENINGKATAN JALAN LINGKAR DESA KOPAH (ASPAL 1.00 KM)</t>
  </si>
  <si>
    <t>PENINGKATAN JALAN DALAM KOTA TELUK KUANTAN (JL.IMAM MUNANDAR 0,44 KM)</t>
  </si>
  <si>
    <t>PENINGKATAN JALAN SP.TIGA-SINAMBEK-GERBANG KOTA JAKE</t>
  </si>
  <si>
    <t>PENINGKATAN JALAN SP.TIGA-KARI (PELEBARAN ASPAL 1,50 KM)</t>
  </si>
  <si>
    <t>PENINGKATAN JALAN PINTU GOBANG KARI-JAKE (MENUJU SMU KARI) (ASPAL)</t>
  </si>
  <si>
    <t>PEKERJAAN PENINGKATAN JALAN PANTAI-AIR BULUH (ASPAL 1,00 KM)</t>
  </si>
  <si>
    <t>PENINGKATAN JALAN KEBUN NOPI+TEMPAT PARKIR (ASPAL 0,28 KM)</t>
  </si>
  <si>
    <t>PENINGKATAN JALAN SAKO-TRANS SKP II (DESA KUANTAN SAKO BLOK D) (ASPAL 1,00 KM)</t>
  </si>
  <si>
    <t>PENINGKATAN JALAN SUKARAJA-GIRI SAKO (ASPAL 1,00 KM)</t>
  </si>
  <si>
    <t>PENINGKATAN JALAN SP. MUARA BAHAN-MUARA BAHAN (ASPAL 1,00 KM)</t>
  </si>
  <si>
    <t>PENINGKATAN JALAN SP. TERATAK BARU-TERATAK BARU (ASPAL 1,00 KM)</t>
  </si>
  <si>
    <t>PENINGKATAN JALAN LINGKAR DESA PULAU KOPUANG (ASPAL 1,00 KM)</t>
  </si>
  <si>
    <t xml:space="preserve"> PENINGKATAN JALAN PANGEAN-PL. KUMPAI (PELEBARAN ASPAL 1,00 KM)</t>
  </si>
  <si>
    <t xml:space="preserve">PENINGKATAN JALAN BASERAH-PERHENTIAN LUAS (DESA TERATAK RENDAH) ASPAL 1,00 KM </t>
  </si>
  <si>
    <t>PENINGKATAN JALAN A. YANI (PELEBARAN 0,80 KM)</t>
  </si>
  <si>
    <t>PENINGKATAN JALAN LUBUK JAMBI - SAIK (ASPAL 1,00 KM)</t>
  </si>
  <si>
    <t>PENINGKATAN JALAN LINGKAR KP. BARU SENTAJO (ASPAL 1,OO KM)</t>
  </si>
  <si>
    <t>PEMBANGUNAN JEMBATAN GANTUNG DESA SAWAH (BANGUNAN ATAS LANJUTAN)</t>
  </si>
  <si>
    <t>PEMBANGUNAN JEMBATAN SEI. SOBAN TAHAP II (BALOK T) RUAS JALAN PANGKALAN-MUARA PETAI-SITIANG (LANJUTAN)</t>
  </si>
  <si>
    <t>PEMBANGUNAN JEMBATAN SEI. JAKE TAHAP II (BALOK T) RUAS JALAN JAKE GERINGGING BARU (LANJUTAN)</t>
  </si>
  <si>
    <t>REHABILITASI BERAT JEMBATAN KAYU SEI.TINGKALAK RUAS JALAN SIMPANG HANDOYO-SUMBER DATAR</t>
  </si>
  <si>
    <t>REHABILITASI JEMBATAN KAYU SEI. BAWANG RUAS JALAN SUMBER DATAR-AIR MAS</t>
  </si>
  <si>
    <t>REHABILITASI JEMBATAN KAYU SEI. KERANJI RUAS JALAN SUMBER DATAR-SEI. KERANJI-PASIR MAS</t>
  </si>
  <si>
    <t xml:space="preserve"> REHABILITASI JEMBATAN KAYU SEI. BALUI RUAS JALAN SIMPANG HANDOYO-SUMBER DATAR</t>
  </si>
  <si>
    <t xml:space="preserve"> PERBAIKAN JEMBATAN SEI.SUKAM DAN PEMBUATAN JEMBATAN SEI.LIBUAI (SWAKELOLA)</t>
  </si>
  <si>
    <t>PENINGKATAN JALAN JAKE-KOTO KOMBU, LBK.AMBACANG-LBK. JAMBI (ASPAL 1,79 KM) (NO.03; PANJANG RUAS 32 KM)</t>
  </si>
  <si>
    <t>PENINGKATAN JALAN SP.HANDOYO-SP.SEI.SIRIH-SP.4 PT.WANASARI-SP.SUKAMAJU-KOTO BARU (ASPAL 2,00 KM) (PANJANG RUAS 60.70 KM)</t>
  </si>
  <si>
    <t>PENINGKATAN JALAN SEI. JERING-TK PEMBINA+JALAN ISTIQOMAH (ASPAL 1,3 KM)</t>
  </si>
  <si>
    <t>PENINGKATAN JALAN PULAU BUNGIN - PT. DUTA PALMA ( ASPAL )</t>
  </si>
  <si>
    <t>JALAN BENAI-PL. KOPUNG</t>
  </si>
  <si>
    <t>JALAN TANAH BEKALI (ASPAL)</t>
  </si>
  <si>
    <t>JALAN PAUH ANGIT-PL. RENGAS-SUKAPING (ASPAL)</t>
  </si>
  <si>
    <t>JALAN BANJAR LOPAK-PEMBATANG (DESA PEMBATANG PANGEAN) (ASPAL)</t>
  </si>
  <si>
    <t>JALAN PANGEAN-SITUGAL (DESA LUBUK KOBUN) (ASPAL)</t>
  </si>
  <si>
    <t>JALAN PENGHUBUNG JEMBATAN BASERAH (ASPAL)</t>
  </si>
  <si>
    <t>JALAN MENUJU KANTOR CAMAT KUANTAN HILIR SEBERANG</t>
  </si>
  <si>
    <t>JALAN SP. 4 PANGKALAN-MUARO PETAI-SITIANG (ASPAL)</t>
  </si>
  <si>
    <t>JALAN LUBUK JAMBI-SP. IBUL (DESA PANGKALAN)</t>
  </si>
  <si>
    <t>JALAN LOGAS-SUMBER DATAR (URG PILIHAN)</t>
  </si>
  <si>
    <t>PEMBUATAN 2 UNIT 3,5X4X7 TIGA LUBANG DAN 3X4 TUNGGAL RUAS JALAN SUKARAJA-GIRI SAKO</t>
  </si>
  <si>
    <t>JEMBATAN SEI. ULO (55 M) RUAS JALAN JAKE-KOTO KOMBU</t>
  </si>
  <si>
    <t xml:space="preserve"> JEMBATAN SEI. KLESEK (BALOK T 25 M)</t>
  </si>
  <si>
    <t xml:space="preserve"> JEMBATAN RAWANG BINJAI (BALOK T)</t>
  </si>
  <si>
    <t>BANGUNAN PENAHAN TEBING RUAS JALAN PERKANTORAN PEMDA DAN JALAN PROKLAMASI KM.163</t>
  </si>
  <si>
    <t>JLN. KP. BARU TOAR-PASAR GUNUNG (ASPAL)</t>
  </si>
  <si>
    <t>JLN DESA BANDAR ALAI KARI (ASPAL)</t>
  </si>
  <si>
    <t>JALAN DALAM KOTA MUARA LEMBU (OVERLAY)</t>
  </si>
  <si>
    <t>BOX CULVERT 2 X 2 RUAS JLAN SENTAJO MUARA LANGSAT</t>
  </si>
  <si>
    <t>JEMBATAN RANGKA SEI. DANAU BESAR RUAS JALAN KOTO RAJO - PL. JAMBU (35 M)</t>
  </si>
  <si>
    <t xml:space="preserve"> BANGUNAN PENAHAN TEBING RUAS JALAN SENTAJO - MUARA LANGSAT</t>
  </si>
  <si>
    <t xml:space="preserve">PEMBUATAN 1 UNIT BOX CULVERT 3X3 RUAS JALAN KUANTAN SAKO - SAKO MARGASARI </t>
  </si>
  <si>
    <t>PEMBANGUNAN JEMBATAN SEI. TINGKALAK HULU (BALOK T) RUAS JALAN SP. HANDOYO - SUMBER DATAR</t>
  </si>
  <si>
    <t>PENINGKATAN JALAN SP. 4 PT. WANASARI - SUKAMAJU (DESA SUKA DAMAI)</t>
  </si>
  <si>
    <t>PENINGKATAN JALA KOTO BARU - SUKAMAJU (DESA BUKIT RAYA) (ASPAL)</t>
  </si>
  <si>
    <t>PENINGKATAN JALAN SEI. PERUPUK - TELUK PAUH (ASPAL)</t>
  </si>
  <si>
    <t>PEMELIHARAAN BERKALA BOX CULVERT JALAN MENUJU SPORT CENTRE</t>
  </si>
  <si>
    <t>PEMELIHARAAN BERKALA BOX CULVERT PINTU GOBANG KARI - JAKE</t>
  </si>
  <si>
    <t xml:space="preserve">PEMBUATAN TURAP JEMBATAN PASAR USANG BASERAH </t>
  </si>
  <si>
    <t>PENINGKATAN JALAN SEI. RAMBAI - RAMBAHAN</t>
  </si>
  <si>
    <t>PEMBANGUNAN JEMBATAN RANGKA SEI. DANAU BESAR RUAS JALAN KOTO RAJO - PL. JAMBU (LANJUTAN)</t>
  </si>
  <si>
    <t>PENINGKATAN JALAN SIMPANG MUNSALO - MUNSALO (ASPAL)</t>
  </si>
  <si>
    <t>PENINGKATAN JALAN SENTAJO - MUARA LANGSAT (PELEBARAN ASPAL 2,5 KM)</t>
  </si>
  <si>
    <t>PENINGKATAN JALAN SENTAJO - MUARA LANGSAT (DESA LANGSAT HULU)(ASPAL 2 KM)</t>
  </si>
  <si>
    <t>PENINGKATAN JALAN SIMPANG PULAU KEDUNDUNG - PULAU KEDUNDUNG</t>
  </si>
  <si>
    <t>PEMBUATAN 1 UNIT BOX CULVERT 4X3X7 SEI. BATANG PAPAN RUAS JALAN SP. RAMBAHAN-RAMBAHAN (1 UNIT)</t>
  </si>
  <si>
    <t>PENINGKATAN JALAN DUSUN TUO - GUNUNG MELINTANG (ASPAL DAN BETON 1,25 KM)</t>
  </si>
  <si>
    <t>PENINGKATAN JALAN KASANG LIMAU SUNDAI (ASPAL 1 KM)</t>
  </si>
  <si>
    <t>PEMBUATAN BOX CULVERT 2X2X7 RUAS JALAN SENTAJO - MUARA LANGSAT</t>
  </si>
  <si>
    <t>PENINGKATAN JALAN SP. HANDOYO - SUMBER DATAR (ASPAL 1 KM)</t>
  </si>
  <si>
    <t>PEMBANGUNAN 1 UNIT BOX CULVERT 4X3,5X7 TUNGGAL RUAS JALAN AIR MAS - SEI. KERANJI - PASIR MAS (1 UNIT)</t>
  </si>
  <si>
    <t>PENINGKATAN JALAN DESA SUMBER JAYA (ASPAL)</t>
  </si>
  <si>
    <t>PENINGKATAN JALAN JAKE - LUBUK AMBACANG - LUBUK JAMBI (ASPAL)</t>
  </si>
  <si>
    <t>PENINGKATAN JALAN MESJID KOTO - PULAU ARO + LOKASI PEMAKAMAN (ASPAL)</t>
  </si>
  <si>
    <t>PENINGKATAN JALAN SAIK - KOTO KOMBU</t>
  </si>
  <si>
    <t>PENINGKATAN JALAN BUKIT TERMENUNG KOPAH (UR. PILIHAN)</t>
  </si>
  <si>
    <t>PENINGKATAN JALAN PINANG MERAH - MUARA PETAI (UR. PILIHAN)</t>
  </si>
  <si>
    <t>PEMBUATAN DRAINASE RUAS JALAN LINGKAR KP. BARU SENTAJO</t>
  </si>
  <si>
    <t>PEMBUATAN DRAINASE RUAS JALAN SIMPANG STM - BERINGIN - SAWAH</t>
  </si>
  <si>
    <t>PEMBUATAN 1 UNIT BOX CULVERT 2X2X7 SEI. GERINGGING PULAU ARO</t>
  </si>
  <si>
    <t>PENINGKATAN JALAN KABUPATEN - SEI. GERINGGING PL. ARO (UR. PILIHAN)</t>
  </si>
  <si>
    <t>PENINGKATAN JALAN ARENA PACU JALUR - PULAU KOMANG SENTAJO (ASPAL)</t>
  </si>
  <si>
    <t>PEMBANGUNAN JALAN PENGHUBUNG PULAU KOMANG - MUARO - BENDUNGAN</t>
  </si>
  <si>
    <t>PENINGKATAN JALAN KELURAHAN SEI. JERING (LAPEN)</t>
  </si>
  <si>
    <t>PEMBUATAN 1 UNIT BOX CULVERT 2X2 RUAS JALAN LOGAS TANAH DARAT - JALAN RAPP</t>
  </si>
  <si>
    <t>PEMBUATAN 1 UNIT BOX CULVERT 3X3 RUAS JALAN PULAU KEDUNDUNG - DUTA PALMA</t>
  </si>
  <si>
    <t>PEMBUATAN 1 UNIT BOX CULVERT 2X2 RUAS JALAN SENTAJO - MUARA LANGSAT (DESA MARSAWA)</t>
  </si>
  <si>
    <t>PEMBUATAN 1 UNIT BOX CULVERT 2X2 RUAS JALAN GUNUNG KESIANGAN - RESTLEMENT MASYARAKAT</t>
  </si>
  <si>
    <t>PEMASANGAN BRONJONG RUAS JALAN PANGEAN - PULAU KUMPAI</t>
  </si>
  <si>
    <t>PEMASANGAN BRONJONG RUAS JALAN LAPAU GADING - PANGEAN</t>
  </si>
  <si>
    <t>PEMASANGAN BRONJONG RUAS JALAN KAMPUNG BARU TOAR - GUNUNG</t>
  </si>
  <si>
    <t>PEMASANGAN BRONJONG RUAS JALAN PERKANTORAN PEMDA (JALAN KESEHATAN )</t>
  </si>
  <si>
    <t>PEMBANGUNAN JALAN BENDUNGAN SEI. SIRIH - TERMINAL - SENTAJO</t>
  </si>
  <si>
    <t>PEMELIHARAAN JALAN SEI. RUMBIO - SPORT CENTER (URG. PILIHAN)</t>
  </si>
  <si>
    <t>PENINGKATAN JALAN LINGKAR UNIKS (URG. PILIHAN)</t>
  </si>
  <si>
    <t>PEMELIHARAAN JALAN SMP 2 TELUK KUANTAN - BERINGIN</t>
  </si>
  <si>
    <t>PENINGKATAN JALAN BATU HAMPAR - KAMPUNG DATAR (URG. PILIHAN)</t>
  </si>
  <si>
    <t>PEMBANGUNAN JALAN LINGKAR KANTOR CAMAT SENTAJO RAYA</t>
  </si>
  <si>
    <t>PEMBUATAN DRAINASE RUAS JALAN MENUJU SMK 3 KELURAHAN SEI. JERING KECAMATAN KUANTAN TENGAH</t>
  </si>
  <si>
    <t>PEMBUATAN DRAINASE RUAS JALAN SEBERANG TALUK - SANGAU</t>
  </si>
  <si>
    <t>PEMBUATAN DRAINASE RUAS JALAN HASANAH - PULAU BUNGIN</t>
  </si>
  <si>
    <t>PENINGKATAN JALAN KUANTAN SAKO - SAKO MARGASARI (ASPAL)</t>
  </si>
  <si>
    <t>PEMBUATAN 1 UNIT BOX CULVERT RUAS JALAN KOTO SENTAJO - DESA BERINGIN</t>
  </si>
  <si>
    <t>PEMBUATAN 1 UNIT BOX CULVERT RUAS JALAN SEBERANG TALUK - DUTA PALMA</t>
  </si>
  <si>
    <t>PENINGKATAN RUAS JALAN TANJUNG - MUARO TOMBANG (URG. PILIHAN)</t>
  </si>
  <si>
    <t xml:space="preserve"> JALAN TERMINAL - SENTAJO</t>
  </si>
  <si>
    <t>PENINGKATAN STRUKTUR JALAN STM - SAWAH</t>
  </si>
  <si>
    <t>PENINGKATAN JL. SMP 2 TELUK KUANTAN - JL. KAB. STM - BERIGIN</t>
  </si>
  <si>
    <t>PENINGKATAN JL.SUKA RAJA - GIRI SAKO</t>
  </si>
  <si>
    <t>JALAN LOKASI PEMAKAMAN PL. ARO</t>
  </si>
  <si>
    <t>PENINGKATAN JL. SENTAJO - MUARA LANGSAT</t>
  </si>
  <si>
    <t>PENINGKATAN JL. SENTAJO - TERATAK AIR HITAM</t>
  </si>
  <si>
    <t>PENINGKATAN JL. PANGEAN - SITUGAL</t>
  </si>
  <si>
    <t>PEMBUATAN MEDIA JALAN TERMINAL TELUK KUANTAN - SENTAJO</t>
  </si>
  <si>
    <t>PENINGKATAN JALAN BENAI- PL. KOPUANG</t>
  </si>
  <si>
    <t>PENINGKATAN JALAN BANJAR LOPAK- PEMBATANG</t>
  </si>
  <si>
    <t>PENGASPALAN JALAN LINGK. KANTOR CAMAT BENAI</t>
  </si>
  <si>
    <t>PENINGKATAN JALAN DESA TANAH BEKALI</t>
  </si>
  <si>
    <t>PENINGKATAN JALAN SAKO - TRANS SKP II</t>
  </si>
  <si>
    <t>PENINGKATAN JALAN SEBERANG TELUK KUANTAN - SEBERANG BENAI</t>
  </si>
  <si>
    <t>PENINGKATAN JALAN PSR USANG - PL. MADINAH</t>
  </si>
  <si>
    <t>PENINGKATAN JALAN BENAI - PL. LANCANG</t>
  </si>
  <si>
    <t>PENINGKATAN JALAN BENAI - KOTO KAJO - PL. JAMBU</t>
  </si>
  <si>
    <t>PENINGKATAN JALAN INUMAN - PL. BUSUK</t>
  </si>
  <si>
    <t>PENINGKATAN JALAN SP. SEI KUNING - SP. 4 PT.WANASARI</t>
  </si>
  <si>
    <t>PENINGKATAN JALAN PL. BAYUR - SEI. PERUPUK</t>
  </si>
  <si>
    <t>PENINGKATAN JALAN SP. KINALI - BUKIT KAUMAN</t>
  </si>
  <si>
    <t>PENINGKATAN JALAN IBUL - SUNGAI BESAR</t>
  </si>
  <si>
    <t>PENINGKATAN JALAN JAKE - KOTO KOMBU</t>
  </si>
  <si>
    <t>PENINGKATAN JALAN SP. 4 PT. WANASARI - SUKA MAJU</t>
  </si>
  <si>
    <t>PENINGKATAN JALAN SUMBER JAYA - KUANTAN SAKO</t>
  </si>
  <si>
    <t>PENINGKATAN JALAN PASIR MAS - SAKO MARGA SARI</t>
  </si>
  <si>
    <t>PENINGKATAN JALAN LINGKAR PERUMNAS</t>
  </si>
  <si>
    <t>PEMBANGUNAN JEMBATAN BATANG TABALAI</t>
  </si>
  <si>
    <t>PEMBANG JEMB SEI.TINGKALAK HILIR RUAS JLN.SIMP.JAKE - SEI.SIRIH</t>
  </si>
  <si>
    <t>PENINGKATAN JLN. PINANG MERAH - MUARA PETAI</t>
  </si>
  <si>
    <t>PEMBANGUNAN JEM. TALONTAM RUAS JL. TALONTAM - BANJAR BENAI</t>
  </si>
  <si>
    <t>PEMBUATAN 1 UNIT BOX CULVERT RUAS JL.LOGAS - TANJUNG MEDANG</t>
  </si>
  <si>
    <t xml:space="preserve">PEMBANGUNAN JEM.SEI.KLESEK HULU RUAS JL.AIR MAS - SEI KIRANJI </t>
  </si>
  <si>
    <t>PEMBANGUNAN JEM. SEI BAWANG RUAS JALAN JAKE - SEI. SIRIH</t>
  </si>
  <si>
    <t>PENINGKATAN JLN. JAKE - LB. AMBACANG</t>
  </si>
  <si>
    <t>PENINGKATAN JLN SEBERANG TALUK- SIBEROBAH - SANGAU</t>
  </si>
  <si>
    <t>PENINGKATAN JLN BENAI - KOTO RAJO - PL. JAMBU</t>
  </si>
  <si>
    <t>PENINGKATAN JLN LEPAU GADING - PANGEAN</t>
  </si>
  <si>
    <t>PENINGKATAN JALAN PULAU KOPUNG</t>
  </si>
  <si>
    <t>PEMBUATAN BOX CULVERT RUAS JL. SENTAJO - MUARA LANGSAT</t>
  </si>
  <si>
    <t>PENING. JALAN STRUKTUR JL. MUARA LEMBU  PANGKALAN INDARUNG</t>
  </si>
  <si>
    <t>PENINGKATAN JALAN KOTO GUNUNG - PL. MUNGKUR</t>
  </si>
  <si>
    <t>PEMBANGUNAN JALAN  PADANG MUNSALO - SAWAH</t>
  </si>
  <si>
    <t>PENINGKATAN JLN. SEBERANG TALUK-KANDANG TUMIYANG</t>
  </si>
  <si>
    <t>PEMBANGUNAN JLN. TERMINAL SENTAJO</t>
  </si>
  <si>
    <t>PEMBANGUNAN JALAN SEI. TOLANG - BIKIT AMBALAU</t>
  </si>
  <si>
    <t>PEMBUATAN BAHU JL.BETON RUAS JALAN TOPAN- PERUMNAS</t>
  </si>
  <si>
    <t>PEMBUATAN BOX CULVERT + DRAINASE SUKA MAJU</t>
  </si>
  <si>
    <t>PEMBUATAN BOX CULVERT RUAS JALAN MENUJU TPA</t>
  </si>
  <si>
    <t>PEMBUATAN BOX CULVERT GOR JALUR DUA</t>
  </si>
  <si>
    <t>PEMBUATAN BOX CULVERT RUAS JALAN AIR MAS-SEI. KIRANJI</t>
  </si>
  <si>
    <t>PEMBUATAN 1 UNIT BOX CULVERT RUAS JL.PL.KEDUDUNG-DUTA PALMA</t>
  </si>
  <si>
    <t>PEMBUATAN 1 UNIT BOX CULVERT 2X2X7 RUAS JL.JAKE-KOTO KOMBU</t>
  </si>
  <si>
    <t>PEMBUATAN 1 UNIT BOX CULVERT 2X2X6 DALAM KOTA BASERAH</t>
  </si>
  <si>
    <t>PENINGKATAN JALAN TOAR - PETAPAHAN</t>
  </si>
  <si>
    <t>PEMBANGUNAN JALAN KASANG - SEI. KELELAWAR</t>
  </si>
  <si>
    <t>PENINGKATAN JALAN SUKA RAJA - GIRI SAKO</t>
  </si>
  <si>
    <t>PENINGKATAN JALAN SENTAJO - MUARA LANGSAT</t>
  </si>
  <si>
    <t xml:space="preserve">PENINGKATAN STRUKTUR JL. PAUH ANGIT-PASAR USANG PANGEAN </t>
  </si>
  <si>
    <t>PENINGKATAN JALAN JAKE - GERINGGING BARU</t>
  </si>
  <si>
    <t>PEMBUATAN BOX CULVERT+DRAINASE RUAS JL.SIMP.PL.ARO</t>
  </si>
  <si>
    <t>PEMBUATAN BOX CULVERT RUAS JALAN TAWAKAL</t>
  </si>
  <si>
    <t>PEMBANGUNAN JALAN DESA SEBERANG SUNGAI</t>
  </si>
  <si>
    <t>PENINGKATAN JALAN DESA BERINGIN</t>
  </si>
  <si>
    <t>PENINGKATAN JALAN DESA BUKIT TEMENUNG</t>
  </si>
  <si>
    <t>PENINGKATAN JALAN DURIAN SEBATANG DSA TITIAN MODANG</t>
  </si>
  <si>
    <t>PENINGKATAN JALAN DESA SUNGAI PAKU</t>
  </si>
  <si>
    <t>PEMBUATAN BOX CULVERT DESA TEBARAU PANJANG-DUTA PALMA</t>
  </si>
  <si>
    <t>PEMBUATAN BOX CULVERT BUKIT TEMENUNG SEI. TITIAN MODANG</t>
  </si>
  <si>
    <t>PEMBUATAN BOX CULVERT RUAS JL.SAKOMARGASARI-KUANTAN SAKO</t>
  </si>
  <si>
    <t>PENINGKATAN JL. SIMP. TIGA-SINAMBEK-GERBANG KOTA JAKE</t>
  </si>
  <si>
    <t>PENINGKATAN JL. SIMP. RAMBAHAN-RAMBAHAN</t>
  </si>
  <si>
    <t>PEMBANGUNAN JEMBATAN SEI. AIR DALUS JL.JAKE-KOTO KOMBU</t>
  </si>
  <si>
    <t>PEMBANGUNAN JEMBATAN SEI.TIU HILIR-MUARA PETAI</t>
  </si>
  <si>
    <t>PEMBANGUNAN JALAN LINGKAR KARAK - PULAU ARO</t>
  </si>
  <si>
    <t>PEMBANGUNAN JALAN DESA SUNGAI PAKU</t>
  </si>
  <si>
    <t>PEMBANGUNAN JALAN DESA PULAU PANJANG CERENTI</t>
  </si>
  <si>
    <t>PEMBUATAN 1 UNIT BOX CULVERT DESA BERINGIN</t>
  </si>
  <si>
    <t>PEMBANGUNAN JALAN PERUMNAS - BERINGIN</t>
  </si>
  <si>
    <t>PEMBANG.TURAP JEMBATAN SEI.KUKOK BESAR JLN KOTO RAJO-PL-JAMBU</t>
  </si>
  <si>
    <t>PEMASANGAN BRONJONG RUAS JL.KAMPUNG BARUTOAR-GUNUNG</t>
  </si>
  <si>
    <t>PEMASANGAN BRONJONG RUAS JALAN PERKANTORAN PEMDA</t>
  </si>
  <si>
    <t>PEMASANGAN BRONJONG RUAS JALAN PANGEAN - PL. KUMPAI</t>
  </si>
  <si>
    <t>PEMBUATAN TALUD JEMB.TINGKALAK JL.SIMP.HANDOYO-SUMBER DATAR</t>
  </si>
  <si>
    <t>PENINGKATAN JALAN LUBUK JAMBI - SAIK - PEBAUN (ASPAL)</t>
  </si>
  <si>
    <t>- PENINGKATAN JALAN JAKE - LUBUK AMBACANG - LUBUK JAMBI 3 KM (ASPAL)</t>
  </si>
  <si>
    <t>PENINGKATAN JALAN TANJUNG - MUARO TOMBANG ( ASPAL )</t>
  </si>
  <si>
    <t xml:space="preserve">PENINGKATAN JALAN MUDIK ULO - INUMAN - SUMPU </t>
  </si>
  <si>
    <t>PENINGKATAN JALAN SAMBUNG - KEBUN LADO (ASPAL ) ( DAK )</t>
  </si>
  <si>
    <t>PENINGKATAN JALAN PANGEAN - PULAI KUPAI (ASPAL)</t>
  </si>
  <si>
    <t>PENINGKATAN JALAN LOGAS - SUMBER DATAR + PASAR LOGAS (ASPAL)</t>
  </si>
  <si>
    <t>PENINGKATAN STRUKTUR JALAN STM - SAWAH (RIQID)</t>
  </si>
  <si>
    <t>PENINGKATAN STRUKTUR JALAN IMAM MUNANDAR (RIQID)</t>
  </si>
  <si>
    <t>PENINGKATANJALAN SENTAJO - MUARA LANGSAT (ASPAL) (DAK)</t>
  </si>
  <si>
    <t>PENINGKATAN JALAN PANGEAN - SITUGAL (PELEBARAN)</t>
  </si>
  <si>
    <t>PENINGKATAN JALAN PANGEAN - SITUGAL (ASPAL)</t>
  </si>
  <si>
    <t>PENINGKATAN JALAN DESA TANAH BEKALI (ASPAL)</t>
  </si>
  <si>
    <t>PENINGKATAN JALAN PEMBATANG - PADANG KUNYIT (ASPAL)</t>
  </si>
  <si>
    <t>PENINGKATAN JALAN LEPAU GADING - PANGEAN (ASPAL) (DAK)</t>
  </si>
  <si>
    <t>PENINGKATAN JALAN SEI BESAR - PERHENTIAN SUNGKAI (ASPAL)</t>
  </si>
  <si>
    <t>PENINGKATAN JALAN SIMPANG 4 PANGKALAN - MUARA PETAI - SITIANG (ASPAL) (DAK)</t>
  </si>
  <si>
    <t>PENINGKATAN JALAN KOTO INUMAN - PULAU BUSUK (ASPAL)</t>
  </si>
  <si>
    <t>PENINGKATAN JALAN SEBERANG TALUK - SIBEROBAH - SANGAU (PL. KEDUNDUNG) (ASPAL) (DAK)</t>
  </si>
  <si>
    <t>PENINGKATAN JALAN BENAI - KOTO RAJO - PL. JAMBU (ASPAL) (1,7 KM)</t>
  </si>
  <si>
    <t>PENINGKATAN JALAN JAKE - GERINGGING BARU (ASPAL) (DAK)</t>
  </si>
  <si>
    <t>PEMBANGUNAN JEMBATAN SEI. KUKOK KECIL (DAK)</t>
  </si>
  <si>
    <t>PEMBANGUNAN JEMBATAN SEI. TIU HILIR (BANGUNANA ATAS)</t>
  </si>
  <si>
    <t>PENINGKATAN JALAN DESA PAUH ANGIT - RAWANG BINJAI (ASPAL)</t>
  </si>
  <si>
    <t>PENINGKATAN JALAN PULAU BAYUR - SEI. PERUPUK (JALAN KAYU BATU) (ASPAL)</t>
  </si>
  <si>
    <t>PENINGKATAN JALAN SEI. SORIAK - RAWANG OGUNG (ASPAL)</t>
  </si>
  <si>
    <t>PENINGKATAN JALAN SIMPANG EMPAT PT. WANASARI - SUKA MAJU (ASPAL)</t>
  </si>
  <si>
    <t>PENINGKATAN JALAN PL. KOMANG - KOTO SENTAJO (MENUJU ARENA PACU JALUR) (ASPAL)</t>
  </si>
  <si>
    <t>PEMBUATAN BOX CULVERT JAKE - SAKO MARGASARI</t>
  </si>
  <si>
    <t>PEMBUATAN BOX CULVERT TERATAK BARU</t>
  </si>
  <si>
    <t>BANGUNAN AIR (IRIGASI)</t>
  </si>
  <si>
    <t>PENGADAAN KONSTRUKSI BANGUNAN AIR (PEMBANGUNAN SARANA &amp; PRASARANA AIR BERSIH PERDESAAN DI KEC. KUANTAN TENGAH)</t>
  </si>
  <si>
    <t>PENGADAAN KONSTRUKSI SANITASI &amp; AIR BERSIH (PENINGKATAN SARANA SANITASI AIR BERSIH DAN MCK UNTUK MASYARAKAT MISKIN)</t>
  </si>
  <si>
    <t>PENGADAAN KONSTRUKSI BENDUNGAN (PEMBANGUNAN 10 TURAP PADA KECAMATAN KUANTAN TENGAH, GUNUNG TOAR DAN KUANTAN HILIR SERTA REHABILITASI SEI. GEMURU)</t>
  </si>
  <si>
    <t>PENGADAAN KONSTRUKSI BENDUNGAN</t>
  </si>
  <si>
    <t>PEMB. TURAP PENAHAN TEBING &amp; NORMALISASI SUNGAI (MTS) SINGINGI</t>
  </si>
  <si>
    <t>PEMB. TANGGUL PENUTUP BANJIR TANAH TABOBAK</t>
  </si>
  <si>
    <t>PEMB. TALUD SEI. MARIMBUNGAN DESA KP. BARU SENTAJO</t>
  </si>
  <si>
    <t>PEMB. TALUD SEI. SINAMBEK (TUGU CARANO)</t>
  </si>
  <si>
    <t>PEMBANGUNAN TURAP PENAHAN TEBING SUNGAI KUANTAN PANCANG STAR TELUK KUANTAN</t>
  </si>
  <si>
    <t>PEMBANGUNAN TURAP PENAHAN TEBING SUNGAI KUANTAN BABU</t>
  </si>
  <si>
    <t>PEMBANGUNAN TURAP PENAHAN TEBING SUNGAI PANCANG FINIS PASAR USANG BASERAH 65 M'</t>
  </si>
  <si>
    <t>PEMBANGUNAN DRAINASE TUGU CARANO ARAH KARI - SINAMBEK 1200 M</t>
  </si>
  <si>
    <t>PEMBANGUNAN TALUD SEI. LIMANGAN DESA LOGAS (AREAL PERKUBURAN)</t>
  </si>
  <si>
    <t xml:space="preserve">PEMBANGUNAN TURAP PENAHAN TEBING SEI. GEMURUH KOTO TALUK </t>
  </si>
  <si>
    <t>PEMBANGUNAN TALUD SEI. MTS MUARA LEMBU</t>
  </si>
  <si>
    <t>PEMBANGUNAN TURAP PENAHAN TEBING SUNGAI LEMBU AREAL MANDI BALIMAU</t>
  </si>
  <si>
    <t>PEMBANGUNAN LOANING PENAHAN TEBING SEI.LEMBU (BERTAMBAH)</t>
  </si>
  <si>
    <t>PEMBANGUNAN TALUD SEI. SINAMBEK (TUGU CARANO)</t>
  </si>
  <si>
    <t>PEMBANGUNAN TALUD SEI. MARIMBUNGAN DESA KOTO SENTAJO</t>
  </si>
  <si>
    <t>TALUD SEI. SINAMBEK (SMA 3) TELUK KUANTAN</t>
  </si>
  <si>
    <t>TALUD SUNGAI JAKE DESA JAKE</t>
  </si>
  <si>
    <t>PEMBANGUNAN TURAP SEI. SINAMBEK HILIR (MUARO SENTAJO)</t>
  </si>
  <si>
    <t>PEMBANGUNAN SEI. KUANTAN CERENTI</t>
  </si>
  <si>
    <t>PEMBANGUNAN TALUD SEI. JERING BELAKANG BALAI ADAT</t>
  </si>
  <si>
    <t>PEMBUATAN TURAP PENAHAN TEBING SEI. KUANTAN KRESEK</t>
  </si>
  <si>
    <t>PEMBUATAN TURAP BRONJONG SUNGAI BATANG PANGEAN DESA PULAU TENGAH</t>
  </si>
  <si>
    <t>PEMBUATAN TURAP PENAHAN TEBING SUNGAI SINAMBEK (MESJID AGUNG)</t>
  </si>
  <si>
    <t>PEMBUATAN LOANING SUNGAI GEMURUH (SAMPING TUGU JALUR)</t>
  </si>
  <si>
    <t>PEMBUATAN TURAP PENAHAN TEBING SUNGAI MESJID JAMIK KOTO GUNUNG KEC. GUNUNG TOAR</t>
  </si>
  <si>
    <t xml:space="preserve"> PEMBUATAN TURAP LOANING SUNGAI DESA SUMBER JAYA  KEC. SINGINGI HILIR</t>
  </si>
  <si>
    <t xml:space="preserve"> PEMBUATAN LOANING SUNGAI PERUPUK MESJID NURUL IMAN DESA PULAU PANJANG KEC. CERENTI</t>
  </si>
  <si>
    <t>NORMALISASI SEI. DESA PULAU BARU KOPAH KEC. KUANTAN TENGAH</t>
  </si>
  <si>
    <t>PEMBUATAN TALUD SUNGAI NANUN</t>
  </si>
  <si>
    <t>PEMBUATAN DRAINASE RUAS JALAN SP. PERKANTORAN PEMDA-BUNDARAN DPRD</t>
  </si>
  <si>
    <t>PEMBUATAN DRAINASE RUAS JALAN PERUMNAS - TK PEMBINA</t>
  </si>
  <si>
    <t>PEMBUATAN DRAINASE RUAS JALAN STM - BERINGIN (MAN)</t>
  </si>
  <si>
    <t>PEMBUATAN DRAINASE JAYA KOPAH</t>
  </si>
  <si>
    <t>PEMBANGUNAN TALUD SUNGAI MARIMBUNGAN DESA KOTO SENTAJO</t>
  </si>
  <si>
    <t>PEMBUATAN DRAINASE JALAN PLN</t>
  </si>
  <si>
    <t>PEMBUATAN DRAINASE JALAN LINGKAR SEBERANG TALUK</t>
  </si>
  <si>
    <t>PEMBUATAN DRAINASE JALAN ARENA DAYUNG KEBUN NOPI</t>
  </si>
  <si>
    <t>PEMBUATAN DRAINASE JALAN PERUMNAS</t>
  </si>
  <si>
    <t xml:space="preserve">PEMBUATAN DRAINASE JALAN SAWIT </t>
  </si>
  <si>
    <t>PEMBANGUNAN TURAP PENAHAN TEBING TINGGI SUNGAI KUANTAN DESA PULAU KOMANG</t>
  </si>
  <si>
    <t>TALUD PENAHAN TEBING MESJID LOGAS</t>
  </si>
  <si>
    <t xml:space="preserve">TURAP PENAHAN TEBING DESA CENGAR </t>
  </si>
  <si>
    <t xml:space="preserve">TURAP PENAHAN TEBING DESA PANTAI TEBING </t>
  </si>
  <si>
    <t>PEMBUATAN LOANING SUNGAI BATANG BAHAN DESA SITORAJO KARI</t>
  </si>
  <si>
    <t>NORMALISASI SEI. SORIAK DESA SEBERANG TALUK</t>
  </si>
  <si>
    <t>NORMALISASI SEI. PIUDANG DESA PINTU GOBANG KARI</t>
  </si>
  <si>
    <t>NORMALISASI SUNGAI SAKAU DESA SUKA MAJU</t>
  </si>
  <si>
    <t>NORMALISASI SUNGAI SIALANG DESA SITORAJO KARI</t>
  </si>
  <si>
    <t>NORMALISASI SUNGAI DESA SEBERANG TELUK HILIR</t>
  </si>
  <si>
    <t>NORMALISASI SUNGAI KAYU ARO KEL. MUARA LEMBU</t>
  </si>
  <si>
    <t>NORMALISASI DAN BRONJONG SUNGAI BATANG UWO DESA  KEBUN LADO</t>
  </si>
  <si>
    <t>NORMALISASI SUNGAI LEMBU DESA LOGAS HILIR</t>
  </si>
  <si>
    <t>NORMALISASI SUNGAI DESA BERINGIN JAYA</t>
  </si>
  <si>
    <t>NORMALISASI SUNGAI ANAKAN BASAU DESA MUARA BAHAN</t>
  </si>
  <si>
    <t>NORMALISASI SUNGAI SIPAN LUBUK RONGE KOTO RAJO (KUANTAN HILIR SEBERANG)</t>
  </si>
  <si>
    <t>NORMALISASI SEI. LANGSAT DESA LANGSAT HULU</t>
  </si>
  <si>
    <t>NORMALISASI SEI. PERUPUK DESA PULAU PANJANG</t>
  </si>
  <si>
    <t>PEMBANGUNAN BOX CULVERT DAN NORMALISASI SUNGAI GERINGGING DESA TITIAN MODANG</t>
  </si>
  <si>
    <t>NORMALISASI SUNGAI SIRIH - MUARO SENTAJO</t>
  </si>
  <si>
    <t>NORMALISASI SUNGAI SINAMBEK MUARO - PULAU KOMANG</t>
  </si>
  <si>
    <t>PEMBUATAN LOANING SUNGAI SINAMBEK (SMK 3)</t>
  </si>
  <si>
    <t>NORMALISASI SUNGAI MAKAM DESA LANGSAT HULU</t>
  </si>
  <si>
    <t>PEMBUATAN TURAP BRONJONG SUNGAI PIK UDANG (SMA KARI)</t>
  </si>
  <si>
    <t>PEMBUATAN BANGUNAN TALUD DI BASERAH II</t>
  </si>
  <si>
    <t>RABAT LANTAI BETON DI SEBERANG GUNUNG</t>
  </si>
  <si>
    <t>RABAT LANTAI BETON DI LUBUK AMBACANG I</t>
  </si>
  <si>
    <t>PEMBUATAN LOANING SALURAN DRAINASE DESA PULAU PANJANG CERENTI</t>
  </si>
  <si>
    <t>PEMBUATAN BPA ID PULAU ARO DESA PULAU KEDUNDUNG SUNGA RAWANG PANJANG</t>
  </si>
  <si>
    <t>PEMBUATAN BPA SEI. TOLANG DESA PULAU ARO</t>
  </si>
  <si>
    <t>GALIAN ENDAPAN (SENDIMEN) BNDUNGAN DI RAWA SAWAH</t>
  </si>
  <si>
    <t>PEMBUATAN TURAP PENAHAN TEBING SEI. GERINGGING DESA GERINGGING BARU</t>
  </si>
  <si>
    <t>PEMBUATAN TURAP/BRONJONG SUNGAI JERING KELURAHAN SEI. JERING</t>
  </si>
  <si>
    <t>PEMBUATAN TURAP PENAHAN TEBING SEI. NANUN DESA KOTO TALUK</t>
  </si>
  <si>
    <t>PEMBUATAN DRAINASE JALAN LINGKAR PULAU KOPUNG</t>
  </si>
  <si>
    <t>PEMBUATAN DRAINASE JALAN RUAS JALAN SEBERANG TALUK-SANGAU</t>
  </si>
  <si>
    <t>PEMBUATAN DRAINASE RUAS JALAN PULAU BAYUR-SEI. PERUPUK</t>
  </si>
  <si>
    <t>PEMBUATAN DRAINASE JALAN MENUJU SMK 3 KELURAHAN SEI. JERING</t>
  </si>
  <si>
    <t>PEMBUATAN DRAINASE RUAS JALAN-PERUMNAS</t>
  </si>
  <si>
    <t>PEMBUATAN DRAINASE SEI. JERING</t>
  </si>
  <si>
    <t>PEMBUATAN DRAINASE RUAS JALAN STM - BERINGIN</t>
  </si>
  <si>
    <t>PEMBUATAN DRAINASE RUAS JALAN PERUMNAS- TK.PEMBINA</t>
  </si>
  <si>
    <t>PEMBUATAN DRAINASE RUAS JALAN LINGKAR PERINDAGKOP</t>
  </si>
  <si>
    <t>PEMBUATAN DRAINASE JALAN DALAM KOTA MUARA LEMBU</t>
  </si>
  <si>
    <t>PEMBUATAN DRAINASE RUMAH DINAS DPRD ARAH BALAI ADAT SEI. JERING</t>
  </si>
  <si>
    <t>PEMBANGUNAN TURAP PENAHAN TEBING SEI. KUANTAN DESA PL.KOMANG</t>
  </si>
  <si>
    <t>PEMBUATAN TURAP ARENA PACU JALUR PULAU PANJANG CERENTI</t>
  </si>
  <si>
    <t>PEMBUATAN LOANING SUNGAI DESA SUMBER JAYA</t>
  </si>
  <si>
    <t>PEMBUATAN TALUD BRONJONG MESJID HANQQUL YAKIN DS. SEI LANGSAT</t>
  </si>
  <si>
    <t>PEMBUATAN LOANING SUNGAI GERINGGING DESA GERINGGING BARU</t>
  </si>
  <si>
    <t>PEMBUATAN LOANING SUNGAI DESA MUARO TOMBANG</t>
  </si>
  <si>
    <t>PEMBUATAN LOANING&amp;NORMALISASI SEI.PANCURAN BETUNG DS KOTO CERENTI</t>
  </si>
  <si>
    <t>PEMBUATAN TALUD BRONJONG&amp;NORMALISASI SEI. PETAPAHAN DESA PETAPAHAN</t>
  </si>
  <si>
    <t>PEMBUATAN TALUD BRONJONG SEI. PERUPUK DESA PL.PANJANG CERENTI</t>
  </si>
  <si>
    <t>PEMBANGUNAN LOANING&amp;NORMALISASI SEI. JERING BLKANG BALAI ADAT</t>
  </si>
  <si>
    <t>PEMBANGUNAN TALUD/BRONJONG SEI. TAPIOKA DESA LANGSAT HULU</t>
  </si>
  <si>
    <t>PEMBANGUNAN TALUD/BRONJONG&amp;NORMALI SEI. BATANG PAKU DESA SEI. PAKU</t>
  </si>
  <si>
    <t>PEMBUATAN TALUD SUNGAI SINAMBEK (TUGU CERANO )</t>
  </si>
  <si>
    <t>TURAP SEI. GERINGGING DESA TITIAN MODANG</t>
  </si>
  <si>
    <t>PEMBUATAN TALUD BRONJONG DAN NORMALISASI SEI.DESA SIDODADI</t>
  </si>
  <si>
    <t>PEMBUATAN LOANING DAN NORMALISASI SEI.JERING KELURAHAN SEI. JERING</t>
  </si>
  <si>
    <t>NORMALISASI SEI. DESA SUNGAI MANAU</t>
  </si>
  <si>
    <t>PEMBANGUNAN TALUD BRONJONG &amp; NORMALI SEI.SANGAU</t>
  </si>
  <si>
    <t>PEMBUATAN LOANING DAN NORMALISASI SUNGAI LILISAN</t>
  </si>
  <si>
    <t>PEMBUATAN TALUD BRONJONG DAN NORMALISASI SEI. LINGKUE</t>
  </si>
  <si>
    <t>PEMBUATAN LOANING SALURAN DRAINASE CERENTI</t>
  </si>
  <si>
    <t>PEMBUATAN BPA DI SUNGAI BESAR</t>
  </si>
  <si>
    <t>PEMBUATAN TANGGUL BPA DI PL KOPUNG</t>
  </si>
  <si>
    <t>PEMBUATAN BPA DAN SALURAN SEI.TONAM DESA SEBERANG TALUK HILIR</t>
  </si>
  <si>
    <t>PEMBUATAN BPA DI PULAU ARO</t>
  </si>
  <si>
    <t>PEMBUATAN SALUARAN SEI.TOLANG DESA PL. ARO</t>
  </si>
  <si>
    <t>PEMBUATAN SALURAN DI SEI. SORIAK DESA SEBERANG TALUK HILIR</t>
  </si>
  <si>
    <t>PEMBUATAN SALURAN DI SEI. TONAM DESA SEBERANG TALUK HILIR</t>
  </si>
  <si>
    <t>PEMBUATAN LOANING BPA DESA BENAI KECIL</t>
  </si>
  <si>
    <t>PEMBUATAN BPA DAN TANGGUL PENUTUP DESA KINALI</t>
  </si>
  <si>
    <t>PEMBUATAN JARINGAN IRIGASI DESA (DI) DESA SAMPURAGO</t>
  </si>
  <si>
    <t>PEMBUATAN BANGUNAN BPA DAN RABAT BETON IRIGASI SEI PAING</t>
  </si>
  <si>
    <t>PEMBUATAN SALURAN SEI. JERING (SMK N3 TELUK KUANTAN)</t>
  </si>
  <si>
    <t>PEMBANGUNAN POMPANISASI IRIGASI DESA DESA TANJUNG KEC.HK</t>
  </si>
  <si>
    <t>PEMBANGUNAN TURAP PENAHAN TEBING SUNGAI KUANTAN DAN TRIBUN UTAMA (HAKIM) PANCANG FINIS DESA PULAU BANJAR KARI</t>
  </si>
  <si>
    <t>PEMBANGUNAN TURAP PENAHAN TEBING SUNGAI KUANTAN DAN TRIBUN UTAMA (HAKIM) PANCANG FINIS PANGEAN</t>
  </si>
  <si>
    <t>PEMBANGUNAN TURAP PENAHAN TEBING SD DESA SUNGAI PAKU</t>
  </si>
  <si>
    <t>PEMBANGUNAN TURAP PENAHAN TEBING MESJID RAUDATUL JANNAH DESA KOTO SENTAJO</t>
  </si>
  <si>
    <t>PEMBUATAN LOANING SEI. JERING II DESA BERINGIN</t>
  </si>
  <si>
    <t>PEMBUATAN LOANING SUNGAI PERUPUK DESA PULAU PANJANG CERENTI</t>
  </si>
  <si>
    <t>PENINGKATAN JARINGAN IRIGASI DI PANGKALAN INDARUNG (DAK)</t>
  </si>
  <si>
    <t>PENINGKATAN JARINGAN IRIGASI DI JAYA KOPAH (DAK)</t>
  </si>
  <si>
    <t>PENINGKATAN JARINGAN IRIGASI DI LUBUK AMBACANG I (DAK)</t>
  </si>
  <si>
    <t>PENINGKATAN JARINGAN IRIGASI DI PULAU ARO (DAK)</t>
  </si>
  <si>
    <t>PENINGKATAN JARINGAN IRIGASI DI PULAU DERAS (DAK)</t>
  </si>
  <si>
    <t>PENINGKATAN JARINGAN IRIGASI DI TANJUNG (DAK)</t>
  </si>
  <si>
    <t>PENINGKATAN TANGGUL PENUTUP DI SUNGAI MANAU (DAK)</t>
  </si>
  <si>
    <t>PENINGKATAN JARINGAN IRIGASI DI KINALI (DAK)</t>
  </si>
  <si>
    <t>PEMBUATAN DRAINASE SMK 3 SUNGAI JERING</t>
  </si>
  <si>
    <t>INSTALASI</t>
  </si>
  <si>
    <t xml:space="preserve">JARINGAN </t>
  </si>
  <si>
    <t>PENGADAAN KONSTRUKSI ALIRAN SUNGAI</t>
  </si>
  <si>
    <t>PENGADAAN KONSTRUKSI JARINGAN IRIGASI</t>
  </si>
  <si>
    <t>PENGADAAN KONSTRUKSI JARINGAN IRIGASI (OPERASI DAN PEMELIHARAAN PENGAIRAN SEBANYAK 25 DI SE KAB. KUANTAN SINGINGI</t>
  </si>
  <si>
    <t>PENGADAAN KONSTRUKSI JARINGAN IRIGASI (REHABILITASI/ PEMELIHARAAN JARINGAN IRIGASI DI KEC. PANGEAN, BENAI, KUANTAN TENGAH DAN GUNUNG TOAR</t>
  </si>
  <si>
    <t>PENGADAAN KONSTRUKSI JARINGAN IRIGASI (PEMELIHARAAN SALURAN IRIGASI DAN SUNGAI)</t>
  </si>
  <si>
    <t>PENGADAAN KONSTRUKSI JARINGAN AIR BERSIH/AIR MINUM (PENGELOLAAN JARINGAN PIPA PVC/ WATER METER/POMPA AIR BERSIH KOMPLEK PERKANTORAN &amp; GEDUNG ABD. RAUF DALAM KONDISI TANGGAP DARURAT (SWAKELOLA)</t>
  </si>
  <si>
    <t>PENGADAAN KONSTRUKSI SALURAN PEMBUANG AIR (DRAINASE DI KEC. KUANTAN TENGAH, BENAI, INUMAN, GUNUNG TOAR, SINGINGI HILIR, LOGAS TANAH DARAT)</t>
  </si>
  <si>
    <t>PENGADAAN KONSTRUKSI ALIRAN SUNGAI (PEMBANGUNAN DERMAGA PELELANGAN KARET DESA PANTAI)</t>
  </si>
  <si>
    <t>PEMB. SALURAN AIR HUJAN PADA BANGUNAN KANTOR PARIWISATA, BPIPDL, PETERNAKAN DAN INFOKOM</t>
  </si>
  <si>
    <t>PERLUASAN TEMPAT PARKIR KAWASAN WISATA DANAU KEBUN NOPI LB. JAMBI</t>
  </si>
  <si>
    <t>PEMASANGAN BRONJONG SEI. ULO</t>
  </si>
  <si>
    <t>PEMB. TURAP PENAHAN TEBING SEI. INDRAGIRI (PANCANG STAR) TELUK KUANTAN 100 M'</t>
  </si>
  <si>
    <t>PEMBANGUNAN TALUD SEI. GEMURUH TELUK KUANTAN 450 M'</t>
  </si>
  <si>
    <t>NORMALISASI SUNGAI LIMANGAN</t>
  </si>
  <si>
    <t>NORMALISASI SEI. MUARO TOMBANG</t>
  </si>
  <si>
    <t>PEMBUATAN BANGUNAN PENGATUR AIR DI PISANG BEREBUS</t>
  </si>
  <si>
    <t>PEMBUATAN SALURAN PASANGAN DI PKL. INDARUNG (40/60)</t>
  </si>
  <si>
    <t>PEMBUATAN BANGUNAN PENGATUR AIR DESA DANAU KOTO RAJO</t>
  </si>
  <si>
    <t>PEMBERSIHAN GENANGAN &amp; LOANING BENDUNG ID PERHENTIAN LUAS</t>
  </si>
  <si>
    <t>REHABILITASI BENDUNG DI LB. AMBACANG II</t>
  </si>
  <si>
    <t>REHABILITASI BENDUNG DI RUMBIO TALUK</t>
  </si>
  <si>
    <t>REHABILITASI SALURAN PASANGAN DI BASERAH I</t>
  </si>
  <si>
    <t>REHABILITASI SALURAN PASANGAN DI SENTAJO II</t>
  </si>
  <si>
    <t>REHABILITASI BANGUNAN BENDUNG ID GUNUNG KESIANGAN</t>
  </si>
  <si>
    <t>REHABILITASI SALURAN PASANGAN DI KINALI</t>
  </si>
  <si>
    <t>PENINGKATAN SALURAN IRIGASI DI SEBERANG GUNUNG</t>
  </si>
  <si>
    <t>PENINGKATAN SALURAN IRIGASI ID GUNUNG KESIANGAN</t>
  </si>
  <si>
    <t>PENINGKATAN SALURAN IRIGASI DI SEI. PAING</t>
  </si>
  <si>
    <t>PENINGKATAN SALURAN IRIGASI DI BASERAH II</t>
  </si>
  <si>
    <t>PENGADAAN KONSTRUKSI JARINGAN AIR BERSIH/AIR MINUM (KEGIATAN SARANA DAN PRASARANA AIR BERSIH DALAM KONDISI TANGGAP DARURAT)</t>
  </si>
  <si>
    <t>PENGADAAN KONSTRUKSI BANGUNAN AIR (PEMBANGUNAN PAKET IPA DI KEC. CERENTI, DAN PANGEAN)</t>
  </si>
  <si>
    <t>PENGADAAN KONSTRUKSI JARINGAN AIR KOTOR (PEMBANGUNAN MCK DI KEC. CERENTI DAN PANGEAN)</t>
  </si>
  <si>
    <t>PENGADAAN KONSTRUKSI BANGUNAN AIR (PEMBANGUNAN PAKET IPA DAN PERAWATAN INSTALASI PENGOLAHAN AIR SERTA OPTIMALISASI MESIN GENSET DI KEC. CERENTI, DAN PANGEAN)</t>
  </si>
  <si>
    <t>PENGADAAN KONSTRUKSI JARINGAN AIR (PEMBANGUNAN SISTEM PRASARANA SANITASI 8 DESA DI KEC. CERENTI DAN PANGEAN)</t>
  </si>
  <si>
    <t>PENGADAAN KONSTRUKSI JARINGAN AIR BERSIH/AIR MINUM (PENGADAAN DAN PEMASANGAN PIPA PVC SERTA KELENGKAPANNYA DAN WATER METER SAMBUNGAN RUMAH/ SR)</t>
  </si>
  <si>
    <t>PENGADAAN KONSTRUKSI JARINGAN AIR KOTOR (PEMBANGUNAN MCK DI 8 DESA KEC. INUMAN)</t>
  </si>
  <si>
    <t>PENGADAAN KONSTRUKSI SALURAN PEMBUANG AIR</t>
  </si>
  <si>
    <t>REHABILITASI JARINGAN IRIGASI DI PANGKALAN INDARUNG</t>
  </si>
  <si>
    <t>BPA DAN SALURAN PEMBUANG DESA SEI. PL. BUSUK</t>
  </si>
  <si>
    <t>REHABILITASI SALURAN PASANGAN DI SIMANDOLAK I (635)</t>
  </si>
  <si>
    <t>PENANGANAN KERUSAKAN TANGGUL BENDUNGAN DI PAUH PANGEAN (PENANGGULANGAN BENCANA ALAM)</t>
  </si>
  <si>
    <t>PEMBUATAN TANGGUL DARURAT BENDUNG IRIGASI PANGKALAN INDARUNG (PENANGGULANGAN BENCANA ALAM)</t>
  </si>
  <si>
    <t>JEMBATAN SEI. TIU HILIR RUAS JALAN PINANG MERAH-MUARA PETAI</t>
  </si>
  <si>
    <t>PEMBANGUNAN JEMBATAN SEI. TIU HILIR (BANGUNAN BAWAH) RUAS JALAN PINANG MERAH - MUARA PETAI (1 PAKET)</t>
  </si>
  <si>
    <t>PEMBANGUNAN JEMBATAN SEI TIU HILIR - MUARA PETAI</t>
  </si>
  <si>
    <t>BANGUNAN (P, SP, D)</t>
  </si>
  <si>
    <t>LETAK LOKASI/ ALAMAT</t>
  </si>
  <si>
    <t>TGL, BLN, THN MULAI</t>
  </si>
  <si>
    <t>NILAI KONTRAK (Rp)</t>
  </si>
  <si>
    <t>KONSTRUKSI DALAM PENGERJAAN</t>
  </si>
  <si>
    <t>JEMBATAN BATANG TABALAI RUAS JALAN  PL. KUMPAI - PASAR USANG BASERAH</t>
  </si>
  <si>
    <t>JEMBATAN SEI. TINGKALAK RUAS JALAN SP. HANDOYO-SUMBER DATAR</t>
  </si>
  <si>
    <t>JEMBATAN SEI. KERANJI RUAS JALAN  PASIR MAS - SAKO MARGASARI</t>
  </si>
  <si>
    <t>JEMBATAN SEI. JAKE I RUAS JALAN PASIR MAS - SAKO MARGASARI</t>
  </si>
  <si>
    <t>JEMBATAN SEI. JAKE II RUAS JALAN  PASIR MAS - SAKO MARGASARI</t>
  </si>
  <si>
    <t>JEMBATAN SEI. JAKE II RUAS JALAN  SUMBER JAYA - KUANTAN SAKO</t>
  </si>
  <si>
    <t>JEMBATAN SEI. ULO HULU RUAS JALAN   LOGAS - TANJUNG MEDANG</t>
  </si>
  <si>
    <t xml:space="preserve"> JEMBATAN BATANG PANGEAN RUAS JALAN SEI. RAMBAI - RAMBAHAN</t>
  </si>
  <si>
    <t>JALAN SP. STM-SINAMBEK (JEMBATAN SEI. AIR PAUH) PADA PROGRAM PEMBANGUNAN JALAN DAN</t>
  </si>
  <si>
    <t>PEMBANGUNAN POMPANISASI IRIGASI DESA TANJUNG, MUARO TOMBANG, SEI. ALA</t>
  </si>
  <si>
    <t>PEMBANGUNAN POMPANISASI IRIGASI DESA AUR DURI</t>
  </si>
  <si>
    <t>PEMBANGUNAN POMPANISASI IRIGASI DESA PULAU BINJAI</t>
  </si>
  <si>
    <t xml:space="preserve"> TURAP/TALUD/BRONJONG TEBING SUNGAI KUANTAN DESA PL. KOMANG (ARENA PACU JALUR)</t>
  </si>
  <si>
    <t>TURAP/TALUD/BRONJONG TEBING SUNGAI KUANTAN DESA</t>
  </si>
  <si>
    <t>PERENCANAAN JEMBATAN GUNUNG TOAR</t>
  </si>
  <si>
    <t>PERENCANAAN JEMBATAN SEI. ULO HILIR RUAS JALAN SAIK - KOTO KOMBU</t>
  </si>
  <si>
    <t>PERENCANAAN JEMBATAN SEI. AIR DALUS HILIR RUAS JALAN SAIK - KOTO KOMBU</t>
  </si>
  <si>
    <t>PERENCANAAN JEMBATAN SEI. BAWANG I (DESAIN LANTAI JEMBATAN 30 M) RUAS JALAN SAMBUNG - KEBUN LADO</t>
  </si>
  <si>
    <t>PERENCANAAN JEMBATAN SEI. BAWANG II (DESAIN LANTAI JEMBATAN 25 M) RUAS JALAN SAMBUNG - KEBUN LADO</t>
  </si>
  <si>
    <t>PERENCANAAN JEMBATAN SEI. BAWANG III (DESAIN LANTAI JEMBATAN 35 M) RUAS JALAN SAMBUNG - KEBUN LADO</t>
  </si>
  <si>
    <t>PERENCANAAN JEMBATAN SEI. GODANG PULAU ARO</t>
  </si>
  <si>
    <t>DED TURAP PENAHAN TEBING SUNGAI KUANTAN DESA PELUKAHAN</t>
  </si>
  <si>
    <t>DED TURAP PENAHAN TEBING SUNGAI KUANTAN DESA TALONTAM</t>
  </si>
  <si>
    <t>BPAM TELUK KUANTAN</t>
  </si>
  <si>
    <t>TANAH UNTUK DRAINASE</t>
  </si>
  <si>
    <t xml:space="preserve">BPAM BASERAH </t>
  </si>
  <si>
    <t>1984</t>
  </si>
  <si>
    <t>BPAM BASERAH</t>
  </si>
  <si>
    <t xml:space="preserve">TANAH BANGUNAN IRIGASI PERUMAHAN POMPANISASI </t>
  </si>
  <si>
    <t>BPAM CERENTI</t>
  </si>
  <si>
    <t>BPAM LUBUK JAMBI</t>
  </si>
  <si>
    <t>BPAM BENAI</t>
  </si>
  <si>
    <t>POMPA INJEKSI (DOSING PUMP) BPAM BENAI</t>
  </si>
  <si>
    <t>POMPA INJEKSI (DOSING PUMP) BPAM PANGEAN</t>
  </si>
  <si>
    <t>POMPA INJEKSI (DOSING PUMP) BPAM CERENTI</t>
  </si>
  <si>
    <t>POMPA INJEKSI (DOSING PUMP) BPAM LUBUK JAMBI</t>
  </si>
  <si>
    <t>POMPA INJEKSI (DOSING PUMP) BPAM LOGAS TANAH DARAT</t>
  </si>
  <si>
    <t>POMPA AIR (bertambah)</t>
  </si>
  <si>
    <t>Pompa Distribusi kap 50 lt/dt BPAM Teluk Kuantan</t>
  </si>
  <si>
    <t>Pompa Distribusi kap 10 lt/dt  (2unit)</t>
  </si>
  <si>
    <t>papan informasi IMB</t>
  </si>
  <si>
    <t>001-004</t>
  </si>
  <si>
    <t>006-007</t>
  </si>
  <si>
    <t>008-009</t>
  </si>
  <si>
    <t>0010-0012</t>
  </si>
  <si>
    <t>0013</t>
  </si>
  <si>
    <t>0014-0016</t>
  </si>
  <si>
    <t>0017-0030</t>
  </si>
  <si>
    <t>Almari</t>
  </si>
  <si>
    <t>001-003</t>
  </si>
  <si>
    <t>Filing Kabinet</t>
  </si>
  <si>
    <t>001-002</t>
  </si>
  <si>
    <t>003-004</t>
  </si>
  <si>
    <t>005-007</t>
  </si>
  <si>
    <t xml:space="preserve">Meja Kerja Kepala Bidang </t>
  </si>
  <si>
    <t xml:space="preserve"> Meja kerja staf</t>
  </si>
  <si>
    <t>001-005</t>
  </si>
  <si>
    <t xml:space="preserve">Kursi Kerja Kepala Bidang </t>
  </si>
  <si>
    <t xml:space="preserve">Kursi Kerja Staf </t>
  </si>
  <si>
    <t>Panasinic</t>
  </si>
  <si>
    <t>1,5 Pk</t>
  </si>
  <si>
    <t>Besi</t>
  </si>
  <si>
    <t>LAPTOP</t>
  </si>
  <si>
    <t>Proyektor / infokus</t>
  </si>
  <si>
    <t>Komputer Notebook</t>
  </si>
  <si>
    <t>Thosibha</t>
  </si>
  <si>
    <t xml:space="preserve">Printer A3 Laser Jet </t>
  </si>
  <si>
    <t>Komputer note book</t>
  </si>
  <si>
    <t>FILLING KABINET</t>
  </si>
  <si>
    <t>0000-0001</t>
  </si>
  <si>
    <t>DK</t>
  </si>
  <si>
    <t>4 LACI</t>
  </si>
  <si>
    <t>PLAT BESI</t>
  </si>
  <si>
    <t>14''</t>
  </si>
  <si>
    <t>BESI+PLASTIK</t>
  </si>
  <si>
    <t>PRINTER A 4</t>
  </si>
  <si>
    <t>E7Q441D2F217359</t>
  </si>
  <si>
    <t>Pengadaan plank informasi IMB</t>
  </si>
  <si>
    <t xml:space="preserve">perangkat pendukung/hardware SIMBG(laptop,Komputer,printer,UPS,dan </t>
  </si>
  <si>
    <t>16.5'</t>
  </si>
  <si>
    <t>T0SHIBA</t>
  </si>
  <si>
    <t>6C049168-L</t>
  </si>
  <si>
    <t>UPS/STABILIZER</t>
  </si>
  <si>
    <t>SN.121701201491</t>
  </si>
  <si>
    <t>Alat pendingin ruangan/AC (Bertambah)</t>
  </si>
  <si>
    <t>Campuran</t>
  </si>
  <si>
    <t>Meja kerja</t>
  </si>
  <si>
    <t>0001 - 003</t>
  </si>
  <si>
    <t>Kursi kerja</t>
  </si>
  <si>
    <t>0001 - 007</t>
  </si>
  <si>
    <t>Printer</t>
  </si>
  <si>
    <t>TITANIUM</t>
  </si>
  <si>
    <t>Kamera digital (1 unit)</t>
  </si>
  <si>
    <t>ALAT GPS</t>
  </si>
  <si>
    <t>GARMIM</t>
  </si>
  <si>
    <t>kantor induk Patroli Jalan Raya (PJR)</t>
  </si>
  <si>
    <t>03.11.01.01.01</t>
  </si>
  <si>
    <t>Tidak</t>
  </si>
  <si>
    <t>Sitorajo Kari</t>
  </si>
  <si>
    <t>No. 640/KONT/CKTR-TBPR/12.42</t>
  </si>
  <si>
    <t>ruang rapat kantor camat Kuantan Mudik</t>
  </si>
  <si>
    <t>No. 640/KONT/CKTR-TBPR/12.28</t>
  </si>
  <si>
    <t>kantor kepala desa Kp. Baru Toar Kec. G.Toar</t>
  </si>
  <si>
    <t>Kampung Baru Toar</t>
  </si>
  <si>
    <t>No. 640/KONT/CKTR-TBPR/08.50</t>
  </si>
  <si>
    <t>kantor kepala desa Lubuk Terentang Kec. G. Toar</t>
  </si>
  <si>
    <t>Lubuk Terentang</t>
  </si>
  <si>
    <t>No. 640/KONT/CKTR-TBPR/08.24</t>
  </si>
  <si>
    <t>kantor kepala desa Pintu Gobang Kari</t>
  </si>
  <si>
    <t>0003</t>
  </si>
  <si>
    <t>Pintu Gobang Kari</t>
  </si>
  <si>
    <t>kantor kepalda desa Langsat Hulu Kec. Benai</t>
  </si>
  <si>
    <t>0004</t>
  </si>
  <si>
    <t>Langsat Hulu</t>
  </si>
  <si>
    <t>No. 640/KONT/CKTR-TBPR/09.02</t>
  </si>
  <si>
    <t>gedung serbaguna Kec. Singingi</t>
  </si>
  <si>
    <t>03.11.01.09.01</t>
  </si>
  <si>
    <t>No. 640/KONT/CKTR-TBPR/13.84</t>
  </si>
  <si>
    <t>- Pek. Bangunan Perkantoran, Rumah Dinas dan Fasilitas Penunjang</t>
  </si>
  <si>
    <t>pagar dan halaman gedung serbaguna Kec. Kt.Tengah</t>
  </si>
  <si>
    <t xml:space="preserve">Teluk Kuantan </t>
  </si>
  <si>
    <t>No. 640/KONT/CKTR-TBPR/12.63</t>
  </si>
  <si>
    <t>lanjutan Mess Pemda di Pekanbaru</t>
  </si>
  <si>
    <t>03.11.02.04.01</t>
  </si>
  <si>
    <t>Bertingkat</t>
  </si>
  <si>
    <t>Pekanbaru</t>
  </si>
  <si>
    <t>No. 640/KONT/CKTR-TBPR/14.47</t>
  </si>
  <si>
    <t>Pemb. Pagar BRC Rumah Pompa Distribusi Bundaran Kantor Bupati</t>
  </si>
  <si>
    <t>Konstruksi Bangunan Infrastruktur Perdesaan</t>
  </si>
  <si>
    <t>Pemb. garase alat berat (rangka baja)</t>
  </si>
  <si>
    <t xml:space="preserve">Tidak </t>
  </si>
  <si>
    <t>Pemb. gedung serbaguna Kec. Pangean</t>
  </si>
  <si>
    <t>Pembangunan lanjutan mess Pemda Tahap IV</t>
  </si>
  <si>
    <t>Penyiapan lahan untuk kantor Koramil dan rumah dinas</t>
  </si>
  <si>
    <t>01.01.11.04.01</t>
  </si>
  <si>
    <t xml:space="preserve">Beringin Taluk </t>
  </si>
  <si>
    <t xml:space="preserve">Pemb. Rumah Adat Setiang dan Toar </t>
  </si>
  <si>
    <t>Setiang &amp; Toar</t>
  </si>
  <si>
    <t>Rehab/ Renovasi ex. Rumah Sakit Teluk Kuantan:</t>
  </si>
  <si>
    <t>No. 645/KONT/CKTR-TBPR/10.72</t>
  </si>
  <si>
    <t>Rehab/ Renonasi Wisma Jalur:</t>
  </si>
  <si>
    <t>No. 645/KONT/CKTR-TBPR/11.42</t>
  </si>
  <si>
    <t>Pembangunan kantor baru 550 M2 2 unit</t>
  </si>
  <si>
    <t>Komplek Perkantoran  Pemda</t>
  </si>
  <si>
    <t>Pemb/Pningktan Insfrastruktur Permukiman ( Pndmping P2KP Sharing)  Thp II Phase II. Ds Sungai Kuning</t>
  </si>
  <si>
    <t>Sungai Kuning</t>
  </si>
  <si>
    <t>Pemb/Pningktan Insfrastruktur Permukiman ( Pndmping P2KP Sharing)  Thp II Phase II. Ds Sungai Bawang</t>
  </si>
  <si>
    <t>Sungai Bawang</t>
  </si>
  <si>
    <t>Pemb/Pningktan Insfrastruktur Permukiman ( Pndmping P2KP Sharing)  Thp II Phase II. Ds Sungai Sirih</t>
  </si>
  <si>
    <t>Sungai Sirih</t>
  </si>
  <si>
    <t>Pemb/Pningktan Insfrastruktur Permukiman ( Pndmping P2KP Sharing)  Thp II Phase II. Ds Pulau Padang</t>
  </si>
  <si>
    <t>Pulau Padang</t>
  </si>
  <si>
    <t>Pemb/Pningktan Insfrastruktur Permukiman ( Pndmping P2KP Sharing)  Thp II Phase II. Ds Sungai Keranji</t>
  </si>
  <si>
    <t>Sungai Keranji</t>
  </si>
  <si>
    <t>Pemb/Pningktan Insfrastruktur Permukiman ( Pndmping P2KP Sharing)  Thp II Phase II. Ds Pngklan Indarung</t>
  </si>
  <si>
    <t>Pkl. Indarung</t>
  </si>
  <si>
    <t>Pemb/Pningktan Insfrastruktur Permukiman ( Pndmping P2KP Sharing)  Thp II Phase II. Ds Logas</t>
  </si>
  <si>
    <t>Desa Logas</t>
  </si>
  <si>
    <t>Pemb/Pningktan Insfrastruktur Permukiman ( Pndmping P2KP Sharing)  Thp II Phase II. Ds Pasir Mas</t>
  </si>
  <si>
    <t>Desa Pasir Mas</t>
  </si>
  <si>
    <t>Pemb/Pningktan Insfrastruktur Permukiman ( Pndmping P2KP Sharing)  Thp II Phase II. Ds Kebun Lado</t>
  </si>
  <si>
    <t>Desa Kebun Lado</t>
  </si>
  <si>
    <t>Pemb/Pningktan Insfrastruktur Permukiman ( Pndmping P2KP Sharing)  Thp II Phase II. Ds Sumber Data</t>
  </si>
  <si>
    <t>Desa Sumber Datar</t>
  </si>
  <si>
    <t>Pemb/Pningktan Insfrastruktur Permukiman ( Pndmping P2KP Sharing)  Thp II Phase II. Ds Petai Baru</t>
  </si>
  <si>
    <t>Desa Petai Baru</t>
  </si>
  <si>
    <t>Pemb/Pningktan Insfrastruktur Permukiman ( Pndmping P2KP Sharing)  Thp II Phase II. Kel Muara Lembu</t>
  </si>
  <si>
    <t>Kel. Muara Lembu</t>
  </si>
  <si>
    <t>Pemb/Pningktan Insfrastruktur Permukiman ( Pndmping P2KP Sharing)  Thp II Phase II. Ds Air Mas</t>
  </si>
  <si>
    <t>Desa Air Mas</t>
  </si>
  <si>
    <t>Pembangunan sarana Penunjang Rumah Jabatan Bupati dan pendopo (Retency)</t>
  </si>
  <si>
    <t>No. 640/KONT/CKTR-TBPR/17.64</t>
  </si>
  <si>
    <t>Pembangunan sarana penunjang Rumah Jabatan Ketua DPRD dan Wakil Ketua DPRD I dan II</t>
  </si>
  <si>
    <t>No. 640/KONT/CKTR-TBPR/17.51</t>
  </si>
  <si>
    <t>Pembangunan sarana penunjang Rumah Jabatan Wakil Bupati dan Sekretaris Daerah (Retency)</t>
  </si>
  <si>
    <t>No. 640/KONT/CKTR-TBPR/17.65</t>
  </si>
  <si>
    <t>Gedung Serba Guna Kec.Singingi 420 M2 (Lanjutan)</t>
  </si>
  <si>
    <t>Kec. Singingi</t>
  </si>
  <si>
    <t>Pembangunan Mesjid Perkantoran Pemda</t>
  </si>
  <si>
    <t>No. 640/KONT/CKTR-TBPR/15.71</t>
  </si>
  <si>
    <t>Rehab/ renovasi Balai Adat Teluk Kuantan</t>
  </si>
  <si>
    <t>No. 640/KONT/CKTR-TBPR/12.44</t>
  </si>
  <si>
    <t>Pembangunan Pasar Desa Sungai Kuning Kec. Singingi</t>
  </si>
  <si>
    <t>Se. Kuning</t>
  </si>
  <si>
    <t>No. 640/KONT/CKTR-TBPR/12.25</t>
  </si>
  <si>
    <t>Pembangunan Gedung Serbaguna Kec. Gn.Toar 420 M2</t>
  </si>
  <si>
    <t>No. 640/KONT/CKTR-TBPR/14.63</t>
  </si>
  <si>
    <t>Bangunan Gedung</t>
  </si>
  <si>
    <t>Kecamatan</t>
  </si>
  <si>
    <t>Pemb. lanjutan kantor kepala desa Pl. Busuk</t>
  </si>
  <si>
    <t>No. 641/KONT/CKTR-TBPR/11.71</t>
  </si>
  <si>
    <t>- Rehab/ Renovasi Kantor Camat Pangean 400 M2</t>
  </si>
  <si>
    <t>No. 641/KONT/CKTR-TBPR/11.65</t>
  </si>
  <si>
    <t>- Rehab/ Renovasi Kantor Camat Logas Tanah Darat 400 M2</t>
  </si>
  <si>
    <t>No. 641/KONT/CKTR-TBPR/</t>
  </si>
  <si>
    <t>Pemb. Kantor kepala desa Perhentian Luas</t>
  </si>
  <si>
    <t>Perhentian Luas</t>
  </si>
  <si>
    <t>No. 641/KONT/CKTR-TBPR/12.08</t>
  </si>
  <si>
    <t>Rehab/Renovasi Gudang BPAM Teluk Kuantan (Bertambah)</t>
  </si>
  <si>
    <t>0005</t>
  </si>
  <si>
    <t>Pemb. halaman kantor Dinas CKTR dan Satpol PP</t>
  </si>
  <si>
    <t>0006</t>
  </si>
  <si>
    <t>Komplek Perkantoran</t>
  </si>
  <si>
    <t>No. 641/KONT/CKTR-TBPR/12.29</t>
  </si>
  <si>
    <t>Rehab/renovasi kantor camat Kuantan Tengah</t>
  </si>
  <si>
    <t>0007</t>
  </si>
  <si>
    <t>No. 641/KONT/CKTR-TBPR/12.45</t>
  </si>
  <si>
    <t>Rehab/renovasi kantor Dinas Perhubungan, Inf &amp; Komunikasi</t>
  </si>
  <si>
    <t>0008</t>
  </si>
  <si>
    <t>No. 641/KONT/CKTR-TBPR/12.02</t>
  </si>
  <si>
    <t>Pemb. lanjutan Tugu Pendidikan Sp. 3 Tl. Kuantan</t>
  </si>
  <si>
    <t>03.12.02.01.01</t>
  </si>
  <si>
    <t>No. 641/KONT/CKTR-TBPR/12.16.75</t>
  </si>
  <si>
    <t>Pemb. lanjutan kantor kepala desa Pl. Komang Sentajo</t>
  </si>
  <si>
    <t>0009</t>
  </si>
  <si>
    <t>Pulau Komang</t>
  </si>
  <si>
    <t>No. 641/KONT/CKTR-TBPR/17.52</t>
  </si>
  <si>
    <t>Rehab/renovasi ex. Rumah Sakit Tl. Kuantan (retensi)</t>
  </si>
  <si>
    <t>03.11.01.06.01</t>
  </si>
  <si>
    <t>No. 645/AMD-II/CKTR-TBPR/05.35</t>
  </si>
  <si>
    <t>Rehab/renovasi Wisma Jalur (retensi)</t>
  </si>
  <si>
    <t>No. 645/AMD-II/CKTR-TBPR/07.17</t>
  </si>
  <si>
    <t>Pemb. gedung serbaguna Kec. Gn. Toar 420 M2 (retensi)</t>
  </si>
  <si>
    <t>No. 640/AMD-II/CKTR-TBPR/05.75</t>
  </si>
  <si>
    <t>Rehab/renovasi bangunan asrama perawat 140,75 M2 2 unit dan bangunan gedung pertemuan 230 M2</t>
  </si>
  <si>
    <t>03.11.02.05.01</t>
  </si>
  <si>
    <t>No. 645/KONT/CKTR-TBPR/12.62</t>
  </si>
  <si>
    <t>Rehab/renovasi bangunan rumah dokter type 70</t>
  </si>
  <si>
    <t>03.11.02.03.04</t>
  </si>
  <si>
    <t>No. 640/KONT/CKTR-TBPR/12.62</t>
  </si>
  <si>
    <t>Pemb. kantor kepala desa Koto Tuo Kopah</t>
  </si>
  <si>
    <t>03.11.01.01..01</t>
  </si>
  <si>
    <t>0010</t>
  </si>
  <si>
    <t>Kopah</t>
  </si>
  <si>
    <t>No. 645/KONT/CKTR-TBPR/11.93</t>
  </si>
  <si>
    <t>Peningkatan sarana balai diklat Kab. Kuansing (Penambahan pagar dan pembangunan pos jaga) (Bertambah)</t>
  </si>
  <si>
    <t>03.11.01.13.01</t>
  </si>
  <si>
    <t>No. 641/KONT/CKTR-TBPR/18.23</t>
  </si>
  <si>
    <t>Pemb. lanjutan kantor kelurahan Pasar Lubuk Jambi</t>
  </si>
  <si>
    <t>0011</t>
  </si>
  <si>
    <t>Lubuk Jambi</t>
  </si>
  <si>
    <t>No. 641/KONT/CKTR-TBPR/17.41</t>
  </si>
  <si>
    <t>Pemb. kantor kepala desa Sungai Besar</t>
  </si>
  <si>
    <t>0012</t>
  </si>
  <si>
    <t>Desa Sungai Besar</t>
  </si>
  <si>
    <t>No. 641/KONT/CKTR-TBPR/12.53</t>
  </si>
  <si>
    <t>Pemb. lanjutan kantor kepala desa Sumpu</t>
  </si>
  <si>
    <t>Desa Sumpu</t>
  </si>
  <si>
    <t>No. 641/KONT/CKTR-TBPR/17.42</t>
  </si>
  <si>
    <t>Pemb. kantor kepala desa Serosa</t>
  </si>
  <si>
    <t>0014</t>
  </si>
  <si>
    <t>Desa Serosa</t>
  </si>
  <si>
    <t>No. 641/KONT/CKTR-TBPR/12.39</t>
  </si>
  <si>
    <t>Pemb. lanjutan kantor kelurahan Muara Lembu</t>
  </si>
  <si>
    <t>0015</t>
  </si>
  <si>
    <t>Muara Lembu</t>
  </si>
  <si>
    <t>Rehab/renovasi kantor camat Singingi Hilir 400 M2</t>
  </si>
  <si>
    <t>0016</t>
  </si>
  <si>
    <t>No. 641/KONT/CKTR-TBPR/11.96</t>
  </si>
  <si>
    <t>Pemb. kantor kepala desa Sumber Jaya</t>
  </si>
  <si>
    <t>0017</t>
  </si>
  <si>
    <t>Desa Sumber Jaya</t>
  </si>
  <si>
    <t>No. 641/KONT/CKTR-TBPR/12.05</t>
  </si>
  <si>
    <t>Pemb. kantor kepala desa Pesikaian</t>
  </si>
  <si>
    <t>0018</t>
  </si>
  <si>
    <t>Desa Pesikaian</t>
  </si>
  <si>
    <t>No. 641/KONT/CKTR-TBPR/11.90</t>
  </si>
  <si>
    <t>Pemb. kantor kepala desa Ujung Tanjung</t>
  </si>
  <si>
    <t>0019</t>
  </si>
  <si>
    <t>Desa Ujung Tanjung</t>
  </si>
  <si>
    <t>Pemb. kantor kepala desa Petapahan</t>
  </si>
  <si>
    <t>0020</t>
  </si>
  <si>
    <t>Desa Petapahan</t>
  </si>
  <si>
    <t>No. 641/KONT/CKTR-TBPR/12.42</t>
  </si>
  <si>
    <t>Bangunan Infrastruktur Perdesaan</t>
  </si>
  <si>
    <t>KANTOR CIPTA KARYA DAN TATA RUANG</t>
  </si>
  <si>
    <t>Belanja Modal Konstruksi Bangunan Infrastruktur Perdesaan</t>
  </si>
  <si>
    <t>Rehab Ktr camat Inuman</t>
  </si>
  <si>
    <t xml:space="preserve">Beton </t>
  </si>
  <si>
    <t>No. 641/SPK-PRC/CKTR-TBPR/03.11</t>
  </si>
  <si>
    <t>Rehab Ktr camat Gg. Toar</t>
  </si>
  <si>
    <t>Ktr camat Gg. Toar</t>
  </si>
  <si>
    <t>No. 641/SPK-PRC/CKTR-TBPR/03.12</t>
  </si>
  <si>
    <t>Pembangunan Ktr Lurah Sp. tiga 120 M2 + pagar</t>
  </si>
  <si>
    <t>Kant0r Lurah Sp. tiga</t>
  </si>
  <si>
    <t>No. 641/SPK-PRC/CKTR-TBPR/03.13</t>
  </si>
  <si>
    <t>Rehab/renovasi ktr. camat inuman</t>
  </si>
  <si>
    <t>No. 641/SPK-PWS/CKTR-TBPR/08.13</t>
  </si>
  <si>
    <t>Pembangunan Ktr kepala desa</t>
  </si>
  <si>
    <t>No. 641/SPK-PWS/CKTR-TBPR/08.32</t>
  </si>
  <si>
    <t>Rehab/renovasi Ktr. Camat Pangean &amp; L. T. darat (Retensi)</t>
  </si>
  <si>
    <t>Ktr. Camat Pangean</t>
  </si>
  <si>
    <t>Rehab/renovasi Ktr. Camat Kuantan Tengah dan Singingi hilir (Retensi)</t>
  </si>
  <si>
    <t>Rehab/renovasi ktr. camat Gunung toar</t>
  </si>
  <si>
    <t>ktr. camat Gunung toar</t>
  </si>
  <si>
    <t>No. 641/SPK-PWS/CKTR-TBPR/07.99</t>
  </si>
  <si>
    <t>Pembangunan gedung serbaguna kec. hulu kuantan</t>
  </si>
  <si>
    <t>kec. hulu kuantan</t>
  </si>
  <si>
    <t>No. 641/SPK-PWS/CKTR-TBPR/09.56</t>
  </si>
  <si>
    <t>Rehab/renovasi Puskesmas Teluk kuantan</t>
  </si>
  <si>
    <t>Puskesmas Teluk kuantan</t>
  </si>
  <si>
    <t>Rehab/renovasi Ruang kerja ketua &amp; Wakil Ketua</t>
  </si>
  <si>
    <t>SETWAN</t>
  </si>
  <si>
    <t>No. 641/SPK/CKTR-TBPR/10.40</t>
  </si>
  <si>
    <t>Pembangunan ktr kepala desa kopah 120 M2</t>
  </si>
  <si>
    <t>ktr kepala desa kopah</t>
  </si>
  <si>
    <t>No. 641/KONT/CKTR-TBPR/08.37</t>
  </si>
  <si>
    <t>Pembangunan ktr kepala desa Koto kari 120 M2</t>
  </si>
  <si>
    <t>ktr kepala desa Koto kari</t>
  </si>
  <si>
    <t>No. 641/KONT/CKTR-TBPR/08.31</t>
  </si>
  <si>
    <t>Pembangunan ktr kepala desa muara petai 120</t>
  </si>
  <si>
    <t>ktr kepala desa muara petai</t>
  </si>
  <si>
    <t>No. 641/KONT/CKTR-TBPR/08.34</t>
  </si>
  <si>
    <t>rehab/renovasi Kantor Camat Inuman</t>
  </si>
  <si>
    <t>No. 641/KONT/CKTR-TBPR/08.19</t>
  </si>
  <si>
    <t>Pembangunan ktr Lurah Sp. Tiga 120 M2 + pagar</t>
  </si>
  <si>
    <t>ktr Lurah Sp. Tiga</t>
  </si>
  <si>
    <t>No. 641/KONT/CKTR-TBPR/08.05</t>
  </si>
  <si>
    <t>Rehab/Renovasi Kantor Camat Gunung Toar</t>
  </si>
  <si>
    <t>Kantor Camat Gunung Toar</t>
  </si>
  <si>
    <t>No. 641/KONT/CKTR-TBPR/08.08</t>
  </si>
  <si>
    <t>Pembangunan gedung serbaguna Kec. Hulu Kuantan</t>
  </si>
  <si>
    <t>Kec. Hulu Kuantan</t>
  </si>
  <si>
    <t>No. 641/KONT/CKTR-TBPR/09.57</t>
  </si>
  <si>
    <t>Penataan halaman Puskesmas Teluk Kuantan</t>
  </si>
  <si>
    <t>Puskesmas Teluk Kuantan</t>
  </si>
  <si>
    <t>No. 641/KONT/CKTR-TBPR/14.43</t>
  </si>
  <si>
    <t>Perencanaan stadion mini kenegerian kari</t>
  </si>
  <si>
    <t>03.12.12.02.02</t>
  </si>
  <si>
    <t>No. 641/SPK-PRC/CKTR-TBPR/03.14</t>
  </si>
  <si>
    <t>Pengawasan Stadion mini kenegerian kari</t>
  </si>
  <si>
    <t>No. 641/SPK-PWS/CKTR-TBPR/09.62</t>
  </si>
  <si>
    <t>Belanja Modal Pengadaan Konstruksi/Pembelian Gedung</t>
  </si>
  <si>
    <t>Pengawasan Rehab/renovasi Kantor Camat Pangean danLogas Tanah Darat</t>
  </si>
  <si>
    <t>Camat Pangean danLogas Tanah Darat</t>
  </si>
  <si>
    <t>Pengawasan Rehab/renovasi Kantor camat Kuantan Tengah dan Singingi Hilir</t>
  </si>
  <si>
    <t>Bangunan Infrastruktur lain-lain nya</t>
  </si>
  <si>
    <t>PNPM - P2KP - BLM (Sharing)</t>
  </si>
  <si>
    <t>-Pendamping PAMSIMAS desa Reflikasi</t>
  </si>
  <si>
    <t>- Pek. Pembangunan tangga pemandian dan pelataran desa sumpu</t>
  </si>
  <si>
    <t>Pematangan lokasi pem. kantor &amp; rmh dinas camat kec. Sentajo raya</t>
  </si>
  <si>
    <t xml:space="preserve">Sentajo Raya </t>
  </si>
  <si>
    <t>No. 640/SPK/CKTR-PA/2013/06.93</t>
  </si>
  <si>
    <t>Pematangan lokasi pemb. kantor &amp; rumah dinas camat kec. Kuantan hilir seberang</t>
  </si>
  <si>
    <t xml:space="preserve">Kuantan Hilir Seberang </t>
  </si>
  <si>
    <t>No. 640/SPK/CKTR-PA/2013/06.96</t>
  </si>
  <si>
    <t>Pematangan lokasi pemb. kantor &amp; rumah dinas camat kec. Pucuk rantau</t>
  </si>
  <si>
    <t xml:space="preserve">Pucuk Rantau </t>
  </si>
  <si>
    <t>No. 640/SPK/CKTR-PA/2013/06.99</t>
  </si>
  <si>
    <t>Pembangunan kantor dan rumah dinas camat sentajo raya</t>
  </si>
  <si>
    <t>No. 641/SPK/CKTR-PA/2013/20.11</t>
  </si>
  <si>
    <t>Pemb. kantor dan rumah dinas camat kuantan hilir seberang</t>
  </si>
  <si>
    <t>No. 641/SPK/CKTR-PA/2013/22.74</t>
  </si>
  <si>
    <t>Pembangunan kantor dan rumah dinas camat pucuk rantau</t>
  </si>
  <si>
    <t>No. 641/KONT/CKTR-PA/2013/20.12</t>
  </si>
  <si>
    <t>Pembangunan kantor kepala desa desa sungai buluh</t>
  </si>
  <si>
    <t xml:space="preserve">Sei. Buluh </t>
  </si>
  <si>
    <t>No. 641/KONT/CKTR-PA/2013/20.37</t>
  </si>
  <si>
    <t>Pembangunan kantor kepala desa desa Petai</t>
  </si>
  <si>
    <t xml:space="preserve">Petai </t>
  </si>
  <si>
    <t>No. 641/KONT/CKTR-PA/2013/20.10</t>
  </si>
  <si>
    <t>Pembangunan kantor kepala desa desa Koto Baru</t>
  </si>
  <si>
    <t xml:space="preserve">Koto Baru </t>
  </si>
  <si>
    <t>No. 641/KONT/CKTR-PA/2013/19.81</t>
  </si>
  <si>
    <t>Pembangunan kantor kepala desa desa Sei. Paku</t>
  </si>
  <si>
    <t xml:space="preserve">Sei. Paku </t>
  </si>
  <si>
    <t>No. 641/KONT/CKTR-PA/2013/21.92</t>
  </si>
  <si>
    <t>Pembangunan kantor kepala desa desa Simpang Raya</t>
  </si>
  <si>
    <t xml:space="preserve">Simpang Raya </t>
  </si>
  <si>
    <t>No. 641/KONT/CKTR-PA/2013/20.34</t>
  </si>
  <si>
    <t>Pembangunan kantor kepala desa pangkalan indarung</t>
  </si>
  <si>
    <t xml:space="preserve">Pangkalan Indaruang </t>
  </si>
  <si>
    <t>No. 641/KONT/CKTR-PA/2013/24.55</t>
  </si>
  <si>
    <t>Pembangunan kantor kepala desa jaya</t>
  </si>
  <si>
    <t xml:space="preserve">Desa Jaya </t>
  </si>
  <si>
    <t>Pembangunan kantor kepala desa pulau panjang cerenti</t>
  </si>
  <si>
    <t xml:space="preserve">Pulau Panjang Cerenti </t>
  </si>
  <si>
    <t>No. 641/KONT/CKTR-PA/2013/28.49</t>
  </si>
  <si>
    <t>Pembangunan kantor kepala desa Kampung Baru</t>
  </si>
  <si>
    <t xml:space="preserve">Kampung Baru </t>
  </si>
  <si>
    <t>No. 641/KONT/CKTR-PA/2013/22.72</t>
  </si>
  <si>
    <t>Pembangunan kantor kepala desa Pl. Bayur</t>
  </si>
  <si>
    <t xml:space="preserve">Pl. Bayur </t>
  </si>
  <si>
    <t>No. 641/KONT/CKTR-PA/2013/21.13</t>
  </si>
  <si>
    <t>Pembangunan kantor kepala desa Pl. Jambu</t>
  </si>
  <si>
    <t xml:space="preserve">Pl. Jambu </t>
  </si>
  <si>
    <t>No. 641/KONT/CKTR-PA/2013/23.51</t>
  </si>
  <si>
    <t>Pembangunan kantor kepala desa pulau panjang hilir inuman</t>
  </si>
  <si>
    <t xml:space="preserve">Pl. Panjang Hilir Inuman </t>
  </si>
  <si>
    <t>No. 641/KONT/CKTR-PA/2013/28.95</t>
  </si>
  <si>
    <t>Pembangunan kantor kepala desa rantau sialang</t>
  </si>
  <si>
    <t xml:space="preserve">Rantau Sialang </t>
  </si>
  <si>
    <t>No. 641/KONT/CKTR-PA/2013/22.21</t>
  </si>
  <si>
    <t>Pembangunan kantor kepala desa banjar lopak</t>
  </si>
  <si>
    <t xml:space="preserve">Banjar Lpoak </t>
  </si>
  <si>
    <t>No. 641/KONT/CKTR-PA/2013/23.65</t>
  </si>
  <si>
    <t>Pembangunan kantor kepala desa muaro sentajo</t>
  </si>
  <si>
    <t>0021</t>
  </si>
  <si>
    <t xml:space="preserve">Muaro Sentajo </t>
  </si>
  <si>
    <t>No. 641/KONT/CKTR-PA/2013/23.50</t>
  </si>
  <si>
    <t>Pembangunan puskesmas cerenti</t>
  </si>
  <si>
    <t>03.11.01.06.11</t>
  </si>
  <si>
    <t xml:space="preserve">Cerenti </t>
  </si>
  <si>
    <t>No. 641/KONT/CKTR-PA/2013/29.24</t>
  </si>
  <si>
    <t>Pembangunan puskesmas sentajo raya</t>
  </si>
  <si>
    <t>No. 641/KONT/CKTR-PA/2013/23.80</t>
  </si>
  <si>
    <t>Pembangunan puskesmas kopah</t>
  </si>
  <si>
    <t xml:space="preserve">Kopah </t>
  </si>
  <si>
    <t>No. 641/KONT/CKTR-PA/2013/26.01</t>
  </si>
  <si>
    <t>Pembangunan ruang rawat inap puskesmas sei. buluh</t>
  </si>
  <si>
    <t>No. 641/KONT/CKTR-PA/2013/28.30</t>
  </si>
  <si>
    <t>Pembangunan kantor kepala desa rawang binjai</t>
  </si>
  <si>
    <t xml:space="preserve">Rawang Binjai </t>
  </si>
  <si>
    <t>No. 641/KONT/CKTR-PA/2013/20.64</t>
  </si>
  <si>
    <t>Pembangunan kantor kepala desa Pl. Rengas</t>
  </si>
  <si>
    <t>0022</t>
  </si>
  <si>
    <t xml:space="preserve">Pl. Rengas </t>
  </si>
  <si>
    <t>No. 641/KONT/CKTR-PA/2013/27.94</t>
  </si>
  <si>
    <t>Pembangunan kantor kepala desa Tanah bekali</t>
  </si>
  <si>
    <t>0023</t>
  </si>
  <si>
    <t xml:space="preserve">Tanah Bekali </t>
  </si>
  <si>
    <t>No. 641/KONT/CKTR-PA/2013/26.51</t>
  </si>
  <si>
    <t>Pembangunan kantor kepala desa seberang sungai</t>
  </si>
  <si>
    <t>0024</t>
  </si>
  <si>
    <t xml:space="preserve">Seberang Sungai </t>
  </si>
  <si>
    <t>No. 641/KONT/CKTR-PA/2013/28.27</t>
  </si>
  <si>
    <t>Revitalisasi kantor lurah pasar cerenti</t>
  </si>
  <si>
    <t>0025</t>
  </si>
  <si>
    <t>No. 641/KONT/CKTR-PA/2013/22.24</t>
  </si>
  <si>
    <t>Rehabilitasi/renovasi gedung kantor camat kuantan tengah (lanjutan)</t>
  </si>
  <si>
    <t>0026</t>
  </si>
  <si>
    <t>No. 641/KONT/CKTR-PA/2013/23.78</t>
  </si>
  <si>
    <t>Rehabilitasi/renovasi gedung eks. kantor bupati</t>
  </si>
  <si>
    <t>0027</t>
  </si>
  <si>
    <t>No. 641/KONT/CKTR-PA/2013/27.99</t>
  </si>
  <si>
    <t>Pembangunan rumah dinas jabatan eselon II/pejabat yang setingkat (3 unit)</t>
  </si>
  <si>
    <t>03.11.01.11.04</t>
  </si>
  <si>
    <t>No. 641/KONT/CKTR-PA/2013/20.66</t>
  </si>
  <si>
    <t>Rehabilitasi/renovasi rumah dinas camat logas tanah darat</t>
  </si>
  <si>
    <t xml:space="preserve">Logas Tanah Darat </t>
  </si>
  <si>
    <t>No. 640/SPK/CKTR-PA/2013/08.39</t>
  </si>
  <si>
    <t>Rehabilitasi/renovasi rumah dinas camat Gunung Toar</t>
  </si>
  <si>
    <t xml:space="preserve">Gunung Toar </t>
  </si>
  <si>
    <t>No. 640/SPK/CKTR-PA/2013/08.42</t>
  </si>
  <si>
    <t>Rehabilitasi/renovasi rumah dinas camat Singingi Hilir</t>
  </si>
  <si>
    <t xml:space="preserve">Singingi Hilir </t>
  </si>
  <si>
    <t>No. 640/SPK/CKTR-PA/2013/08.45</t>
  </si>
  <si>
    <t>Pembangunan Gedung serbaguna kec. inuman</t>
  </si>
  <si>
    <t>'0005</t>
  </si>
  <si>
    <t xml:space="preserve">Inuman </t>
  </si>
  <si>
    <t>No. 640/SPK/CKTR-PA/2013/31.88</t>
  </si>
  <si>
    <t>Rehabilitasi/renovasi gedung promosi/dekranasda</t>
  </si>
  <si>
    <t>No. 641/KONT/CKTR-PA/2013/19.29</t>
  </si>
  <si>
    <t>Pembangunan pagar gedung serbaguna dan kantor camat kec. Singingi</t>
  </si>
  <si>
    <t>No. 641/KONT/CKTR-PA/2013/26.02</t>
  </si>
  <si>
    <t>Penataan halaman dan rehabilitasi pagar kantor camat dan balai adat kec. kuantan tengah</t>
  </si>
  <si>
    <t>Peningkatan saran pos pemadam kebakaran (biaya penyambung daya dan jaringan PLN)</t>
  </si>
  <si>
    <t>03.11.01.13.02</t>
  </si>
  <si>
    <t>Penyiapan Lahan Kantor Koramil Teluk Kuantan (lanjutan)</t>
  </si>
  <si>
    <t>0028</t>
  </si>
  <si>
    <t>No. 640/SPK/CKTR-PA/2013/07.03</t>
  </si>
  <si>
    <t>Peningkatan Sarana Kantor Koramil Teluk Kuantan</t>
  </si>
  <si>
    <t>0029</t>
  </si>
  <si>
    <t>No. 640/KONT/CKTR-PA/2013/27.08</t>
  </si>
  <si>
    <t>pengadaan papan IMB</t>
  </si>
  <si>
    <t>No. 640/SPK/CKTR-PA/2013/08.52</t>
  </si>
  <si>
    <t>- Pembangunan perluasan gedung kantor bupati KS</t>
  </si>
  <si>
    <t>0030</t>
  </si>
  <si>
    <t>No. 640/SPK/CKTR-PA/2013/24.81</t>
  </si>
  <si>
    <t>Rehabilitasi/Renovasi Kantor Camat Singingi</t>
  </si>
  <si>
    <t>0031</t>
  </si>
  <si>
    <t xml:space="preserve">Singingi </t>
  </si>
  <si>
    <t>No. 640/SPK/CKTR-PA/2013/28.02</t>
  </si>
  <si>
    <t>Perluasan bangunan gedung kantor CKTR</t>
  </si>
  <si>
    <t>0032</t>
  </si>
  <si>
    <t>No. 640/SPK/CKTR-PA/2013/06.84</t>
  </si>
  <si>
    <t>Penataan Halaman Kantor Camat Sentajo Raya</t>
  </si>
  <si>
    <t>0033</t>
  </si>
  <si>
    <t>No. 640/SPK/CKTR-PA/2013/46.24</t>
  </si>
  <si>
    <t>Penataan Halaman Kantor Camat Kuantan Hilir Seberang</t>
  </si>
  <si>
    <t>0034</t>
  </si>
  <si>
    <t>No. 640/SPK/CKTR-PA/2013/46.27</t>
  </si>
  <si>
    <t>Penataan Halaman Kantor Camat Pucuk Rantau</t>
  </si>
  <si>
    <t>0035</t>
  </si>
  <si>
    <t>No. 640/SPK/CKTR-PA/2013/46.21</t>
  </si>
  <si>
    <t xml:space="preserve">Peningkatan Sarana dan Prasarana Kantor Lurah Simpang </t>
  </si>
  <si>
    <t>0036</t>
  </si>
  <si>
    <t xml:space="preserve">Simpang Tiga </t>
  </si>
  <si>
    <t>No. 640/SPK/CKTR-PA/2013/46.18</t>
  </si>
  <si>
    <t>Pemb. Rumah Dinas Jabatan Pemda Kab. Kuansing</t>
  </si>
  <si>
    <t>Pembangunan pagar ktr Bupati</t>
  </si>
  <si>
    <t>Pembangunan perluasan gedung ktr. Bupati Kuantan Singingi (2 lantai + pagar)</t>
  </si>
  <si>
    <t>Tangga pemandian dan pelataran Sumpu</t>
  </si>
  <si>
    <t>Puskesmas rawat inap Muara lembu Kecamatan</t>
  </si>
  <si>
    <t>Rehab/Renovasi Eks Kantor Pembantu Bupati</t>
  </si>
  <si>
    <t>Mess Pemda di Pekanbaru</t>
  </si>
  <si>
    <t>-Bantuan Langsung Masyarakat (BLM)</t>
  </si>
  <si>
    <t>- Pembangunan Puskesmas Cerenti (Lanjutan)</t>
  </si>
  <si>
    <t>No. 641/SPK/CKTR-PA/2013/29.24</t>
  </si>
  <si>
    <t>- Pemb. Ruang Rawat Inap Puskesmas Sei Buluh (Lanjutan)</t>
  </si>
  <si>
    <t>- Pembangunan Gedung Serbaguna Kec Inuman (Lanjutan)</t>
  </si>
  <si>
    <t>No. 641/KONT/CKTR-PA/2013/31.88</t>
  </si>
  <si>
    <t>- Pembangunan Kantor Kepala Desa Sako Marga Sari</t>
  </si>
  <si>
    <t xml:space="preserve">Sako Marga sari </t>
  </si>
  <si>
    <t>No. 641/SPK/CKTR-PA/2014/09.20</t>
  </si>
  <si>
    <t>- Pembangunan Kantor Camat Hulu Kuantan</t>
  </si>
  <si>
    <t xml:space="preserve">Hulu Kuantan </t>
  </si>
  <si>
    <t>- Peningkatan Sarana dan Prasarana Kantor Camat Kuantan Hilir</t>
  </si>
  <si>
    <t>No. 640/SPK/CKTR-PA/2014/22.29</t>
  </si>
  <si>
    <t>- Pemb. Asrama Mahasiswa Kab. Kuantan Singingi di Yogyakarta</t>
  </si>
  <si>
    <t xml:space="preserve">Yokyakarta </t>
  </si>
  <si>
    <t>No. 640/KONT/CKTR-PA/2014/21.53</t>
  </si>
  <si>
    <t>- Pembangunan Stadion Mini Simandolak</t>
  </si>
  <si>
    <t>Simandolak</t>
  </si>
  <si>
    <t>No. 641/KONT/CKTR-PA/2014/14.18</t>
  </si>
  <si>
    <t>- Pembangunan Puskesmas Bumi Mulya</t>
  </si>
  <si>
    <t>No. 640/KONT/CKTR-PA/2014/21.50</t>
  </si>
  <si>
    <t>- Pembangunan Gedung Rawat Inap Puskesmas Sentajo Raya.</t>
  </si>
  <si>
    <t>No. 640/KONT/CKTR-PA/2014/14.15</t>
  </si>
  <si>
    <t>- Pembangunan Kantor Lurah Beringin Jaya</t>
  </si>
  <si>
    <t>Beringin Jay a</t>
  </si>
  <si>
    <t>No. 641/KONT/CKTR-PA/2014/08.64</t>
  </si>
  <si>
    <t>- Pembangunan Kantor Kepala Desa Seberang Taluk</t>
  </si>
  <si>
    <t xml:space="preserve">Sebarang Taluk </t>
  </si>
  <si>
    <t>No. 641/KONT/CKTR-PA/2014/09.07</t>
  </si>
  <si>
    <t>- Pembangunan Kantor Kepala Desa Sungai Keranji</t>
  </si>
  <si>
    <t xml:space="preserve">Sei. Keranji </t>
  </si>
  <si>
    <t>No. 641/KONT/CKTR-PA/2014/08.03</t>
  </si>
  <si>
    <t>- Pembangunan Kantor Kepala Desa Sungai Langsat Kec. Pangean</t>
  </si>
  <si>
    <t>No. 641/KONT/CKTR-PA/2014/09.10</t>
  </si>
  <si>
    <t>- Pembangunan Kantor Kepala Desa Koto Cerenti</t>
  </si>
  <si>
    <t>No. 641/KONT/CKTR-PA/2014/09.04</t>
  </si>
  <si>
    <t>- Pembangunan Kantor Kepala Desa Muaro Tobek</t>
  </si>
  <si>
    <t>No. 641/KONT/CKTR-PA/2014/09.62</t>
  </si>
  <si>
    <t>- Pembangunan Kantor Kepala Desa Muara Tiu Makmur</t>
  </si>
  <si>
    <t>No. 641/KONT/CKTR-PA/2014/09.59</t>
  </si>
  <si>
    <t>- Pembangunan Kantor Kepala Desa Pulau Baru Kopah</t>
  </si>
  <si>
    <t>No. 641/KONT/CKTR-PA/2014/09.56</t>
  </si>
  <si>
    <t>- Pembangunan Kantor Kepala Desa Pulau Godang Kari</t>
  </si>
  <si>
    <t>Pl. Godang Kari</t>
  </si>
  <si>
    <t>No. 641/KONT/CKTR-PA/2014/08.79</t>
  </si>
  <si>
    <t>- Pembangunan Kantor Kepala Desa Logas Hilir</t>
  </si>
  <si>
    <t>- Pembangunan Kantor Kepala Desa Sungai Kuning</t>
  </si>
  <si>
    <t xml:space="preserve">Sei. Kuning </t>
  </si>
  <si>
    <t>No. 641/KONT/CKTR-PA/2014/09.17</t>
  </si>
  <si>
    <t>- Peningkatan Sarana dan Prasarana Kantor Camat Cerenti</t>
  </si>
  <si>
    <t xml:space="preserve">0020 </t>
  </si>
  <si>
    <t>No. 641/KONT/CKTR-PA/2014/21.56</t>
  </si>
  <si>
    <t>- Peningkatan Sarana dan Prasarana Kantor Dinas CKTR</t>
  </si>
  <si>
    <t xml:space="preserve">0021 </t>
  </si>
  <si>
    <t>No. 641/SPK/CKTR-PA/2014/34.61</t>
  </si>
  <si>
    <t>- Peningkatan Sarana dan Prasarana Rumah Jabatan Setingkat Eselon II (1)</t>
  </si>
  <si>
    <t>No. 641/SPK/CKTR-PA/2014/32.91</t>
  </si>
  <si>
    <t>- Peningkatan Sarana dan Prasarana Rumah Jabatan Setingkat Eselon II (2)</t>
  </si>
  <si>
    <t>No. 641/SPK/CKTR-PA/2014/32.94</t>
  </si>
  <si>
    <t>- Peningkatan Sarana dan Prasarana Rumah Jabatan Setingkat Eselon II (3)</t>
  </si>
  <si>
    <t>No. 641/SPK/CKTR-PA/2014/32.39</t>
  </si>
  <si>
    <t>- Peningkatan Sarana dan Prasarana Gedung Wanita</t>
  </si>
  <si>
    <t xml:space="preserve">0025 </t>
  </si>
  <si>
    <t>No. 641/SPK/CKTR-PA/2014/32.42</t>
  </si>
  <si>
    <t>- Pemb. Kantor dan Rumah Dinas Camat Kuantan Hilir Seberang (lanjutan)</t>
  </si>
  <si>
    <t>No. 641/SPK/CKTR-PA/2014/22.74</t>
  </si>
  <si>
    <t>- Penataan Halaman Kantor Camat Sentajo Raya (Lanjutan)</t>
  </si>
  <si>
    <t>No. 641/SPK/CKTR-PA/2014/46.24</t>
  </si>
  <si>
    <t>- Penataan Halaman Kantor Camat Kuantan Hilir Seberang (Lanjutan)</t>
  </si>
  <si>
    <t>No. 641/SPK/CKTR-PA/2014/46.27</t>
  </si>
  <si>
    <t>Peningkatan Sarana dan Prasarana Lapangan Limuno</t>
  </si>
  <si>
    <t>No. 640/KONT/CKTR-PA/2014/13.88</t>
  </si>
  <si>
    <t xml:space="preserve">Belanja Modal Kontruksi Kontruksi Bangunan Infrastruktur Pedesaan </t>
  </si>
  <si>
    <t xml:space="preserve">Kab. Kuantan Singingi </t>
  </si>
  <si>
    <t xml:space="preserve">Pembangunan Los dan Sarana pasar Tradisional berbasis Modren </t>
  </si>
  <si>
    <t>640/KONT/CKTR-PA/2015/16.94</t>
  </si>
  <si>
    <t xml:space="preserve">Pembangunan Kantor Kelurahan Benai </t>
  </si>
  <si>
    <t xml:space="preserve">Benai </t>
  </si>
  <si>
    <t xml:space="preserve">Rehabilitasi/Renovasi Kantor Camat </t>
  </si>
  <si>
    <t xml:space="preserve">Kecamatan </t>
  </si>
  <si>
    <t xml:space="preserve">Rehab/Renovasi Rumah Dinas Camat Kuantan Tengah </t>
  </si>
  <si>
    <t xml:space="preserve">Pembangunan Kantor Kepala Desa Rawang Oguang </t>
  </si>
  <si>
    <t xml:space="preserve">Rawang Oguang </t>
  </si>
  <si>
    <t xml:space="preserve">Pembangunan Kantor Kepala desa Koto Sentajo </t>
  </si>
  <si>
    <t xml:space="preserve">Koto Sentajo </t>
  </si>
  <si>
    <t xml:space="preserve">Pembangunan Kantor kepala Desa Banjar Padang </t>
  </si>
  <si>
    <t xml:space="preserve">Banjar Padang </t>
  </si>
  <si>
    <t xml:space="preserve">Pembangunan Kantor Kepala Desa Pangkalan </t>
  </si>
  <si>
    <t xml:space="preserve">Pangkalan </t>
  </si>
  <si>
    <t xml:space="preserve">Pembangunan Kantor Kepala Desa Petai baru </t>
  </si>
  <si>
    <t xml:space="preserve">Petai Baru </t>
  </si>
  <si>
    <t xml:space="preserve">Pembangunan Kantor UPTD Pendidikan Kecamatan Sentajo Raya </t>
  </si>
  <si>
    <t xml:space="preserve">Pembangunan Rumah Dinas Dokter 1 Unit Type 70 dan Rumah Paramedis 2 Unit Type 50 Kopel Logas Tanah Darat </t>
  </si>
  <si>
    <t xml:space="preserve">Pembangunan Kantor Kepala Desa Jake </t>
  </si>
  <si>
    <t xml:space="preserve">Jake </t>
  </si>
  <si>
    <t xml:space="preserve">Pembangunan Kantor Kepala Desa Lubuk ambacang </t>
  </si>
  <si>
    <t xml:space="preserve">Lubuk Ambacang </t>
  </si>
  <si>
    <t xml:space="preserve">Pembangunan Hotel Kuantan Singingi </t>
  </si>
  <si>
    <t>641/KONT/CKTR-PA/2014/09.43</t>
  </si>
  <si>
    <t xml:space="preserve">APBD </t>
  </si>
  <si>
    <t xml:space="preserve">Pembangunan Pasar Tradisional </t>
  </si>
  <si>
    <t>640/KONT/CKTR-PA/2014/10.61</t>
  </si>
  <si>
    <t xml:space="preserve">Peningkatan Sarana dan Prasarana Mesjid Agung Kuantan Singingi </t>
  </si>
  <si>
    <t>640/KONT/CKTR-PA/2014/27.55</t>
  </si>
  <si>
    <t xml:space="preserve">Belanja Modal Kontruksi Bangunan Infrastruktur Pedesaan </t>
  </si>
  <si>
    <t xml:space="preserve">Pembangunan Pagar Kantor Camat Inuman </t>
  </si>
  <si>
    <t>Inumam</t>
  </si>
  <si>
    <t>640/KONT/CKTR-KPA/2016/15.82</t>
  </si>
  <si>
    <t xml:space="preserve">Pemda </t>
  </si>
  <si>
    <t xml:space="preserve"> Pembangunan Rumah Dinas Camat Hulu Kuantan  </t>
  </si>
  <si>
    <t>648/KONT/CKTR-KPA/2016/16.28</t>
  </si>
  <si>
    <t xml:space="preserve">Pembangunan Gedung Rawat Inap Puskesmas Pangean </t>
  </si>
  <si>
    <t>645/KONT/CKTR-KPA/2016/15.85</t>
  </si>
  <si>
    <t>Tugu Bundaran Simpang 4 Kawasan Perkantoran Pemda</t>
  </si>
  <si>
    <t>04.14.2.3.5</t>
  </si>
  <si>
    <t xml:space="preserve">Pasar Baru Baserah </t>
  </si>
  <si>
    <t>NO. 641/spk-PRC/CKTR-TBPR/14.47</t>
  </si>
  <si>
    <t>NO. 641/spk-PRC/CKTR-TBPR/14.48</t>
  </si>
  <si>
    <t>NO. 641/spk-PRC/CKTR-TBPR/14.54</t>
  </si>
  <si>
    <t>NO. 641/spk-PRC/CKTR-TBPR/14.62</t>
  </si>
  <si>
    <t>NO. 641/spk-PRC/CKTR-TBPR/14.57</t>
  </si>
  <si>
    <t>NO. 641/spk-PRC/CKTR-TBPR/14.61</t>
  </si>
  <si>
    <t>NO. 641/spk-PRC/CKTR-TBPR/14.60</t>
  </si>
  <si>
    <t>NO. 641/spk-PRC/CKTR-TBPR/14.49</t>
  </si>
  <si>
    <t>Mutasi Dari Perumahan</t>
  </si>
  <si>
    <t>Pelatran Parkir</t>
  </si>
  <si>
    <t>5 PK</t>
  </si>
  <si>
    <t>Kd Kelompok</t>
  </si>
  <si>
    <t>Nama Barang</t>
  </si>
  <si>
    <t>Masa Manfaat</t>
  </si>
  <si>
    <t>Penyusutan tahunan</t>
  </si>
  <si>
    <t>Jumlah tahun s.d 2013</t>
  </si>
  <si>
    <t>Besarnya Penyusutan SD 2013</t>
  </si>
  <si>
    <t>Besarnya penyusutan Th 2014</t>
  </si>
  <si>
    <t>Besarnya penyusutan Th 2015</t>
  </si>
  <si>
    <t>Besarnya penyusutan Th 2016</t>
  </si>
  <si>
    <t>Tahun</t>
  </si>
  <si>
    <t>NILAI BUKU</t>
  </si>
  <si>
    <t>2.02.01</t>
  </si>
  <si>
    <t>2.03.01</t>
  </si>
  <si>
    <t>2.04.01</t>
  </si>
  <si>
    <t>2.04.02</t>
  </si>
  <si>
    <t>Besarnya penyusutan Th 2017</t>
  </si>
  <si>
    <t>2.05.01</t>
  </si>
  <si>
    <t>2.06.03</t>
  </si>
  <si>
    <t>2.06.02</t>
  </si>
  <si>
    <t>2.07.01</t>
  </si>
  <si>
    <t>2.04.03</t>
  </si>
  <si>
    <t>2.09.01</t>
  </si>
  <si>
    <t>2.10.03</t>
  </si>
  <si>
    <t>3.11.01</t>
  </si>
  <si>
    <t>3.12.02</t>
  </si>
  <si>
    <t>4.13.01</t>
  </si>
  <si>
    <t>4.13.02</t>
  </si>
  <si>
    <t>4.14.01</t>
  </si>
  <si>
    <t>4.16.01</t>
  </si>
  <si>
    <t>4.15.06</t>
  </si>
  <si>
    <t>Biaya Sekat Ruangan Lt. I dan Lt.II</t>
  </si>
  <si>
    <t>Biaya Interior Loby Lt.I dan LT.II</t>
  </si>
  <si>
    <t xml:space="preserve">Pembangunan Gedung Serbaguna Polres Kuansing  </t>
  </si>
  <si>
    <t>Pembangunan Kantor Kepala Desa Pasar Baru Pangean</t>
  </si>
  <si>
    <t>Rehabilitasi Gedung Kantor badan Pengelolaan Keuangan dan Aset Daerah</t>
  </si>
  <si>
    <t>Rehabilitasi / Renovasi Rumah Dinas Bupati</t>
  </si>
  <si>
    <t>Rehabilitasi / Renovasi Rumah Dinas Wakil Bupati</t>
  </si>
  <si>
    <t>Rehabilitasi / Renovasi Rumah Dinas Sekretaris Daerah</t>
  </si>
  <si>
    <t>Rehabilitasi / Renovasi Rumah Dinas Ketua DPRD</t>
  </si>
  <si>
    <t>Rehabilitasi / Renovasi Rumah Dinas Wakil Ketua I DPRD</t>
  </si>
  <si>
    <t>Rehabilitasi / Renovasi Rumah Dinas Wakil Ketua II DPRD</t>
  </si>
  <si>
    <t>Rehabilitasi / Renovasi Gedung Pertemuan Narosa</t>
  </si>
  <si>
    <t>Rehabilitasi / Renovasi Tribun Hakim Pacu Jalur Tepian Narosa</t>
  </si>
  <si>
    <t>02.06.01.05.07</t>
  </si>
  <si>
    <t>02.06.04.07.06</t>
  </si>
  <si>
    <t>02.06.01.04.04</t>
  </si>
  <si>
    <t>02.06.04.01.05</t>
  </si>
  <si>
    <t>02.06.04.01.08</t>
  </si>
  <si>
    <t>02.06.04.03.05</t>
  </si>
  <si>
    <t>02.06.04.03.08</t>
  </si>
  <si>
    <t>02.06.01.05.40</t>
  </si>
  <si>
    <t>02.06.03.02.03</t>
  </si>
  <si>
    <t>02.06.03.06.06</t>
  </si>
  <si>
    <t>02.06.03.05.10</t>
  </si>
  <si>
    <t>PRINTER A3</t>
  </si>
  <si>
    <t>No.</t>
  </si>
  <si>
    <t>Kode Aset</t>
  </si>
  <si>
    <t>Kelompok Aset Tetap</t>
  </si>
  <si>
    <t>I</t>
  </si>
  <si>
    <t>Peralatan dan Mesin</t>
  </si>
  <si>
    <t>Alat-Alat Besar Darat</t>
  </si>
  <si>
    <t>02.02.02</t>
  </si>
  <si>
    <t>Alat-Alat Besar Apung</t>
  </si>
  <si>
    <t>02.02.03</t>
  </si>
  <si>
    <t>Alat-alat Bantu</t>
  </si>
  <si>
    <t>02.03.01</t>
  </si>
  <si>
    <t>Alat Angkutan Darat Bermotor</t>
  </si>
  <si>
    <t>02.03.02</t>
  </si>
  <si>
    <t>Alat Angkutan Berat Tak Bermotor</t>
  </si>
  <si>
    <t>02.03.03</t>
  </si>
  <si>
    <t>Alat Angkut Apung Bermotor</t>
  </si>
  <si>
    <t>02.03.04</t>
  </si>
  <si>
    <t>Alat Angkut Apung Tak Bermotor</t>
  </si>
  <si>
    <t>02.03.05</t>
  </si>
  <si>
    <t>Alat Angkut Bermotor Udara</t>
  </si>
  <si>
    <t>02.04.01</t>
  </si>
  <si>
    <t>Alat Bengkel Bermesin</t>
  </si>
  <si>
    <t>02.04.02</t>
  </si>
  <si>
    <t>Alat Bengkel Tak Bermesin</t>
  </si>
  <si>
    <t>02.04.03</t>
  </si>
  <si>
    <t>Alat Ukur</t>
  </si>
  <si>
    <t>02.05.01</t>
  </si>
  <si>
    <t>Alat Pengolahan Pertanian</t>
  </si>
  <si>
    <t>02.05.02</t>
  </si>
  <si>
    <t>Alat Pemeliharaan Tanaman/Alat Penyimpan Pertanian</t>
  </si>
  <si>
    <t>02.06.01</t>
  </si>
  <si>
    <t>Alat Kantor</t>
  </si>
  <si>
    <t>Alat Rumah Tangga</t>
  </si>
  <si>
    <t>02.06.03</t>
  </si>
  <si>
    <t>Peralatan Komputer</t>
  </si>
  <si>
    <t>Meja Dan Kursi Kerja/Rapat Pejabat</t>
  </si>
  <si>
    <t>02.07.01</t>
  </si>
  <si>
    <t>Alat Studio</t>
  </si>
  <si>
    <t>02.07.02</t>
  </si>
  <si>
    <t>Alat Komunikasi</t>
  </si>
  <si>
    <t>02.07.03</t>
  </si>
  <si>
    <t>Peralatan Pemancar</t>
  </si>
  <si>
    <t>02.08.01</t>
  </si>
  <si>
    <t>Alat Kedokteran</t>
  </si>
  <si>
    <t>02.08.02</t>
  </si>
  <si>
    <t>Alat Kesehatan</t>
  </si>
  <si>
    <t>02.09.01</t>
  </si>
  <si>
    <t>Unit-Unit Laboratorium</t>
  </si>
  <si>
    <t>02.09.02</t>
  </si>
  <si>
    <t>Alat Peraga/Praktek Sekolah</t>
  </si>
  <si>
    <t>02.09.03</t>
  </si>
  <si>
    <t>Unit Alat Laboratorium Kimia Nuklir</t>
  </si>
  <si>
    <t>02.09.04</t>
  </si>
  <si>
    <t>Alat Laboratorium Fisika Nuklir / Elektronika</t>
  </si>
  <si>
    <t>02.09.05</t>
  </si>
  <si>
    <t>Alat Proteksi Radiasi / Proteksi Lingkungan</t>
  </si>
  <si>
    <t>02.09.06</t>
  </si>
  <si>
    <t>Radiation Aplication and Non Destructive Testing Laboratory (BATAM)</t>
  </si>
  <si>
    <t>02.09.07</t>
  </si>
  <si>
    <t>Alat Laboratorium Lingkungan Hidup</t>
  </si>
  <si>
    <t>02.09.08</t>
  </si>
  <si>
    <t>Peralatan Laboratorium Hidrodinamika</t>
  </si>
  <si>
    <t>02.10.01</t>
  </si>
  <si>
    <t>Senjata Api</t>
  </si>
  <si>
    <t>02.10.02</t>
  </si>
  <si>
    <t>Persenjataan Non Senjata Api</t>
  </si>
  <si>
    <t>02.10.03</t>
  </si>
  <si>
    <t>Amunisi</t>
  </si>
  <si>
    <t>02.10.04</t>
  </si>
  <si>
    <t>Alat Keamanan dan Perlindungan</t>
  </si>
  <si>
    <t>II</t>
  </si>
  <si>
    <t>Gedung dan Bangunan</t>
  </si>
  <si>
    <t>03.11.01</t>
  </si>
  <si>
    <t>Bangunan Gedung Tempat Kerja</t>
  </si>
  <si>
    <t>03.11.02</t>
  </si>
  <si>
    <t>Bangunan Gedung Tempat Tinggal</t>
  </si>
  <si>
    <t>03.11.03</t>
  </si>
  <si>
    <t>Bangunan Menara</t>
  </si>
  <si>
    <t>03.12.01</t>
  </si>
  <si>
    <t>Bangunan Bersejarah</t>
  </si>
  <si>
    <t>03.12.05</t>
  </si>
  <si>
    <t>Tugu Peringatan</t>
  </si>
  <si>
    <t>03.12.03</t>
  </si>
  <si>
    <t>Candi</t>
  </si>
  <si>
    <t>03.12.04</t>
  </si>
  <si>
    <t>Monumen/Bangunan Bersejarah</t>
  </si>
  <si>
    <t>Tugu Peringatan Lain</t>
  </si>
  <si>
    <t>03.12.06</t>
  </si>
  <si>
    <t>Tugu Titik Kontrol/Pasti</t>
  </si>
  <si>
    <t>03.12.07</t>
  </si>
  <si>
    <t>Rambu-Rambu</t>
  </si>
  <si>
    <t>03.12.08</t>
  </si>
  <si>
    <t>Rambu-Rambu Lalu Lintas Udara</t>
  </si>
  <si>
    <t>III</t>
  </si>
  <si>
    <t>Jalan, Irigasi, dan Jaringan</t>
  </si>
  <si>
    <t>04.13.01</t>
  </si>
  <si>
    <t>Jalan</t>
  </si>
  <si>
    <t>04.13.02</t>
  </si>
  <si>
    <t>Jembatan</t>
  </si>
  <si>
    <t>04.14.01</t>
  </si>
  <si>
    <t>Bangunan Air Irigasi</t>
  </si>
  <si>
    <t>04.14.02</t>
  </si>
  <si>
    <t>Bangunan Air Pasang Surut</t>
  </si>
  <si>
    <t>04.14.03</t>
  </si>
  <si>
    <t>Bangunan Air Rawa</t>
  </si>
  <si>
    <t>04.14.04</t>
  </si>
  <si>
    <t>Bangunan Pengaman Sungai dan Penanggulangan Bencana Alam</t>
  </si>
  <si>
    <t>04.14.05</t>
  </si>
  <si>
    <t>Bangunan Pengembangan Sumber Air dan Air Tanah</t>
  </si>
  <si>
    <t>04.14.06</t>
  </si>
  <si>
    <t>Bangunan Air Bersih/Baku</t>
  </si>
  <si>
    <t>04.14.07</t>
  </si>
  <si>
    <t>Bangunan Air Kotor</t>
  </si>
  <si>
    <t>04.14.08</t>
  </si>
  <si>
    <t>Bangunan Air</t>
  </si>
  <si>
    <t>04.15.01</t>
  </si>
  <si>
    <t>Instalasi Air Minum/Air Bersih</t>
  </si>
  <si>
    <t>04.15.02</t>
  </si>
  <si>
    <t>Instalasi Air Kotor</t>
  </si>
  <si>
    <t>04.15.03</t>
  </si>
  <si>
    <t>Instalasi Pengolahan Sampah</t>
  </si>
  <si>
    <t>04.15.04</t>
  </si>
  <si>
    <t>Instalasi Pengolahan Bahan Bangunan</t>
  </si>
  <si>
    <t>04.15.05</t>
  </si>
  <si>
    <t>Instalasi Pembangkit Listrik</t>
  </si>
  <si>
    <t>04.15.06</t>
  </si>
  <si>
    <t>Instalasi Gardu Listrik</t>
  </si>
  <si>
    <t>04.15.07</t>
  </si>
  <si>
    <t>Instalasi Pertahanan</t>
  </si>
  <si>
    <t>04.15.08</t>
  </si>
  <si>
    <t>Instalasi Gas</t>
  </si>
  <si>
    <t>04.15.09</t>
  </si>
  <si>
    <t>Instalasi Pengaman</t>
  </si>
  <si>
    <t>04.16.01</t>
  </si>
  <si>
    <t>Jaringan Air Minum</t>
  </si>
  <si>
    <t>04.16.02</t>
  </si>
  <si>
    <t>Jaringan Listrik</t>
  </si>
  <si>
    <t>04.16.03</t>
  </si>
  <si>
    <t>Jaringan Telepon</t>
  </si>
  <si>
    <t>04.16.04</t>
  </si>
  <si>
    <t>Jaringan Gas</t>
  </si>
  <si>
    <t>02.02.01</t>
  </si>
  <si>
    <t>02.06.02</t>
  </si>
  <si>
    <t>02.06.04</t>
  </si>
  <si>
    <t>Penyusutan Tahun 2018</t>
  </si>
  <si>
    <t>PERBAIKAN MESIN WHEEL LOADER</t>
  </si>
  <si>
    <t>Penyusutan s.d Tahun 2018</t>
  </si>
  <si>
    <t>dihapuskan th 2018</t>
  </si>
  <si>
    <t>Gedung Serba Guna</t>
  </si>
  <si>
    <t>Kantor Kepala Desa</t>
  </si>
  <si>
    <t>Pagar dan Paving Blok</t>
  </si>
  <si>
    <t>03.11.02.02.01</t>
  </si>
  <si>
    <t>03.11.01.09.04</t>
  </si>
  <si>
    <t>Penyusutan Th 2018</t>
  </si>
  <si>
    <t>Koreksi (lebih catat karena realisasi pembayaran utangnya di thn 2018 lbh kecil sesuai adendum pembyran)</t>
  </si>
  <si>
    <t>Penyusutan s.d Th 2018</t>
  </si>
  <si>
    <t>PASAR TRADISIONAL BERBASIS MODERN</t>
  </si>
  <si>
    <t>03.11.01.12.01</t>
  </si>
  <si>
    <t>TIDAK</t>
  </si>
  <si>
    <t>Kapitalisasi dari KIB F</t>
  </si>
  <si>
    <t>04.13.01.03.06</t>
  </si>
  <si>
    <t>PEMBUATAN BOX CULVERT DESA PULAU BUSUK INUMAN</t>
  </si>
  <si>
    <t>PEMBUATAN BOX CULVERT DESA SEI. KERANJI</t>
  </si>
  <si>
    <t>PEMBUATAN BOX CULVERT JALAN SIMPANG EMPAT WANASARI-MUARO BAHAN DESA SEI. BULUH</t>
  </si>
  <si>
    <t>PEMBUATAN BOX CULVERT JALAN SIMPANG EMPAT WANASARI-MUARO BAHAN DESA MUARO BAHAN</t>
  </si>
  <si>
    <t>PEMBUATAN BOX CULVERT JALAN SUKARAJA-SAKO MARGASARI</t>
  </si>
  <si>
    <t>PEMBUATAN BOX CULVERT SUNGAI TITIAN MODANG JALAN BUKIT TEMENUNG KOPAH</t>
  </si>
  <si>
    <t>PEMBUATAN BOX CULVERT DESA SEBERANG TALUK</t>
  </si>
  <si>
    <t>PEMBUATAN BOX CULVERT DESA RAWANG OGUNG-TERATAK JERING KUANTAN HILIR SEBERANG</t>
  </si>
  <si>
    <t>PEMBUATAN BOX CULVERT DESA PASAR USANG BASERAH KUANTAN HILIR</t>
  </si>
  <si>
    <t xml:space="preserve">PEMBUATAN BOX CULVERT KELURAHAN PASAR BARU BASERAH </t>
  </si>
  <si>
    <t>PEMBUATAN BOX CULVERT DESA SUKA MAJU SINGINGI HILIR</t>
  </si>
  <si>
    <t>PEMBUATAN BOX CULVERT JALAN BARU DUSUN SUNGAI PERUPUK DESA PULAU PANJANG CERENTI</t>
  </si>
  <si>
    <t>PEMBUATAN BOX CULVERT SUNGAI GERINGGING - PULAU ARO</t>
  </si>
  <si>
    <t>PEMBUATAN BOX CULVERT DESA PARIT TERATAK AIR HITAM</t>
  </si>
  <si>
    <t xml:space="preserve">PENGADAAN DAN PEMASANGAN JARINGAN PIPA DISTRIBUSI AIR BERSIH KEC. KUANTAN TENGAH </t>
  </si>
  <si>
    <t>04.14.02.03.05</t>
  </si>
  <si>
    <t xml:space="preserve">PEMBANGUNA  SALURAN PRIMER PERMUKIMAN PASAR BARU BASERAH </t>
  </si>
  <si>
    <t>PENGADAAN PEMASANGAN PIPA DISTRIBUSI DAN SAMBUNGAN RUMAH (DDUPB) PEMBAYARAN SISA PEKERJAAN)</t>
  </si>
  <si>
    <t>REHABILITASI SALURAN DRAINASE TEPIAN NAROSA TELUK KUANTAN</t>
  </si>
  <si>
    <t>04.14.02.04.05</t>
  </si>
  <si>
    <t>PEMBANGUNAN SALURAN PEMBUAGAN DESA BANJAR GUNTUNG</t>
  </si>
  <si>
    <t>PROGRAM PEMBANGUNAN SALURAN DRAINASE DESA SUNGAI KERANJI</t>
  </si>
  <si>
    <t>PROGRAM PEMBANGUNAN SALURAN DRAINASE KEL. MUARALEMBU</t>
  </si>
  <si>
    <t>PROGRAM PEMBANGUNAN SALURAN DRAINASE PASAR SUNGAI KUNING</t>
  </si>
  <si>
    <t>PROGRAM PEMBANGUNAN SALURAN DRAINASE JALAN KAYU BATU (BELAKANG SDN 011 PL.PANJANG CERENTI</t>
  </si>
  <si>
    <t>PROGRAM PEMBANGUNAN SALURAN DRAINASE JALAN JALAN AGUS SALIM DESA KAMP.MEDAN KEC.KUANTAN HILIR</t>
  </si>
  <si>
    <t>PROGRAM PEMBANGUNAN SALURAN PEMBUANGAN DESA SAWAH</t>
  </si>
  <si>
    <t>PROGRAM PEMBANGUNAN SALURAN DRAINASE KELURAHAN SIMPANG TIGA</t>
  </si>
  <si>
    <t>PROGRAM PEMBANGUNAN SALURAN AREA PERSAWAHAN DESA TANJUNG SIMANDOLAK</t>
  </si>
  <si>
    <t>PEMBANGUNAN TURAP PENAHAN TEBING SUNGAI KUANTAN DAN TRIBUN UTAMA  GELANGGANG PACU JALUR TEPIAN LUBUK SOBAE BASERAH</t>
  </si>
  <si>
    <t>04.14.04.05.08</t>
  </si>
  <si>
    <t>PROGRAM PEMBANGUNAN BRONJONG DAN NORMALISASI SUNGAI PETAPAHAN</t>
  </si>
  <si>
    <t>PEMBANGUNAN TURAP DESA TANJUNG PAUH</t>
  </si>
  <si>
    <t>PEMBANGUNAN LOANING SUNGAI BAROMBAN PULAU GODANG KARI</t>
  </si>
  <si>
    <t>PEMBANGUNAN BRONJONG DAN NORMALISASI SUNGAI KAYU ARO KELURAHAN MUARALEMBU</t>
  </si>
  <si>
    <t>PEMBANGUNAN BRONJONG PENAHAN TEBING SUNGAI DESA TOAR</t>
  </si>
  <si>
    <t>PEMBANGUNAN BRONJONG PENGAMAN TEBING SUNGAI BONDAR DESA SUNGAI MANAU</t>
  </si>
  <si>
    <t>PEMBANGUNAN BRONJONG DAN NORMALISASI SUNGAI SIDODADI</t>
  </si>
  <si>
    <t>PEMBANGUNAN BRONJONG DAN NORMALISASI SUNGAI KOLASEK DESA AIR MAS</t>
  </si>
  <si>
    <t>PEMBANGUNAN BRONJONG DAN NORMALISASI SEI. KUNING</t>
  </si>
  <si>
    <t>PEMBANGUNAN LOANING PENGAMAN TEBING SEI. SINAMBEK KELURAHAN SUNGAI JERING</t>
  </si>
  <si>
    <t>PEMBANGUNAN LOANING PENGAMAN TEBING SUNGAI JERING KELURAHAN SIMPANG TIGA</t>
  </si>
  <si>
    <t>PEMBANGUNAN TURAP RUAS JALAN PANGEAN-SITUGAL (SMPN 4 LOGAS TANAH DARAT)</t>
  </si>
  <si>
    <t>PEMBANGUNAN BROJONG PENAHAN TEBING SUNGAI SDN 019 DESA LOGAS</t>
  </si>
  <si>
    <t>PEMBANGUNAN BROJONG PENAHAN TEBING SUNGAI SALO DESA CENGAR</t>
  </si>
  <si>
    <t>PEMBANGUNAN TURAP (SAYAP) BOX COLVER DESA SUNGAI BULUH</t>
  </si>
  <si>
    <t>PEMBANGUNAN BROJONG PENAHAN TEBING SUNGAI SIMUJUR DESA KASANG</t>
  </si>
  <si>
    <t>PEMBANGUNAN BROJONG PENAHAN TEBING JALAN INSPEKSI BENDUNG PETAPAHAN TOAR</t>
  </si>
  <si>
    <t>REHABILITASI SUMUR POMPANISASI IRIGASI KINALI I</t>
  </si>
  <si>
    <t>04.14.01.02.06</t>
  </si>
  <si>
    <t>REHABILITASI SUMUR POMPANISASI IRIGASI KINALI II</t>
  </si>
  <si>
    <t>REHABILITASI SUMUR POMPANISASI IRIGASI SEBERANG TALUK I</t>
  </si>
  <si>
    <t>REHABILITASI SUMUR POMPANISASI IRIGASI PULAU BAYUR</t>
  </si>
  <si>
    <t>REHABILITASI BPA KAMPUNG DURIAN DESA SUNGAI MANAU</t>
  </si>
  <si>
    <t>REHABILITASI CEK DAM DESA SUKARAJA</t>
  </si>
  <si>
    <t>04.14.04.05.06</t>
  </si>
  <si>
    <t>04.14.04.05.04</t>
  </si>
  <si>
    <t>04.14.01.01.04</t>
  </si>
  <si>
    <t>04.14.01.02.04</t>
  </si>
  <si>
    <t>04.14.04.05.01</t>
  </si>
  <si>
    <t>04.16.01.04.01</t>
  </si>
  <si>
    <t>SEBERANG TALUK - SEBERANG BENAI</t>
  </si>
  <si>
    <t>DESA PULAU BUSUK INUMAN</t>
  </si>
  <si>
    <t>DESA SEI. KERANJI</t>
  </si>
  <si>
    <t>SIMPANG EMPAT WANASARI-MUARO BAHAN DESA SEI. BULUH</t>
  </si>
  <si>
    <t>SIMPANG EMPAT WANASARI-MUARO BAHAN DESA MUARO BAHAN</t>
  </si>
  <si>
    <t>SUKARAJA-SAKO MARGASARI</t>
  </si>
  <si>
    <t>BUKIT TERMENUNG KOPAH</t>
  </si>
  <si>
    <t>DESA SEBERANG TALUK</t>
  </si>
  <si>
    <t>RAWANG OGUNG-TERATAK JERING</t>
  </si>
  <si>
    <t>PASAR USANG BASERAH</t>
  </si>
  <si>
    <t>KELURAHAN PASAR BARU BASERAH</t>
  </si>
  <si>
    <t>DESA SUKA MAJU SINGINGI HILIR</t>
  </si>
  <si>
    <t>DUSUN SUNGAI PERUPUK CERENTI</t>
  </si>
  <si>
    <t>SUNGAI GERINGGING - PULAU ARO</t>
  </si>
  <si>
    <t>DESA PARIT TERATAK AIR HITAM</t>
  </si>
  <si>
    <t>PERUMNAS - BERINGIN</t>
  </si>
  <si>
    <t>SEI. RUMBIO - SPORT CENTER</t>
  </si>
  <si>
    <t>KOTO SENTAJO - DESA BERINGIN</t>
  </si>
  <si>
    <t>Lingkar Kampung Baru Sentajo</t>
  </si>
  <si>
    <t>GUNUNG KESIANGAN - RESTLEMENT MASYARAKAT</t>
  </si>
  <si>
    <t xml:space="preserve">KEC. KUANTAN TENGAH </t>
  </si>
  <si>
    <t xml:space="preserve">PASAR BARU BASERAH </t>
  </si>
  <si>
    <t>TEPIAN NAROSA TELUK KUANTAN</t>
  </si>
  <si>
    <t>BANJAR GUNTUNG</t>
  </si>
  <si>
    <t xml:space="preserve"> SUNGAI KERANJI</t>
  </si>
  <si>
    <t>KEL. MUARALEMBU</t>
  </si>
  <si>
    <t>PASAR SUNGAI KUNING</t>
  </si>
  <si>
    <t>JALAN KAYU BATU (BELAKANG SDN 011 PL.PANJANG CERENTI</t>
  </si>
  <si>
    <t>JALAN AGUS SALIM DESA KAMP.MEDAN KEC.KUANTAN HILIR</t>
  </si>
  <si>
    <t>DESA SAWAH</t>
  </si>
  <si>
    <t>KELURAHAN SIMPANG TIGA</t>
  </si>
  <si>
    <t>TANJUNG SIMANDOLAK</t>
  </si>
  <si>
    <t>PANCANG FINIS LUBUK SOBAE BASERAH</t>
  </si>
  <si>
    <t>SUNGAI PETAPAHAN</t>
  </si>
  <si>
    <t>TANJUNG PAUH</t>
  </si>
  <si>
    <t>PULAU GODANG KARI</t>
  </si>
  <si>
    <t>SUNGAI KAYU ARO KELURAHAN MUARALEMBU</t>
  </si>
  <si>
    <t>TOAR</t>
  </si>
  <si>
    <t>SUNGAI BONDAR DESA SUNGAI MANAU</t>
  </si>
  <si>
    <t>SIDODADI</t>
  </si>
  <si>
    <t>SUNGAI KOLASEK DESA AIR MAS</t>
  </si>
  <si>
    <t>SEI. KUNING</t>
  </si>
  <si>
    <t>SEI. SINAMBEK KELURAHAN SUNGAI JERING</t>
  </si>
  <si>
    <t>SUNGAI JERING KELURAHAN SIMPANG TIGA</t>
  </si>
  <si>
    <t>PANGEAN-SITUGAL (SMPN 4 LOGAS TANAH DARAT)</t>
  </si>
  <si>
    <t>SUNGAI SDN 019 DESA LOGAS</t>
  </si>
  <si>
    <t>SUNGAI SALO DESA CENGAR</t>
  </si>
  <si>
    <t>SUNGAI BULUH</t>
  </si>
  <si>
    <t>SUNGAI SIMUJUR DESA KASANG</t>
  </si>
  <si>
    <t>PETAPAHAN TOAR</t>
  </si>
  <si>
    <t>KINALI I</t>
  </si>
  <si>
    <t>KINALI II</t>
  </si>
  <si>
    <t>SEBERANG TALUK I</t>
  </si>
  <si>
    <t>PULAU BAYUR</t>
  </si>
  <si>
    <t>SUNGAI MANAU</t>
  </si>
  <si>
    <t>SUKARAJA</t>
  </si>
  <si>
    <t xml:space="preserve">SARANA DAN PRASARANA MESJID AGUNG KUANTAN SINGINGI </t>
  </si>
  <si>
    <t>03.11.01.08.01</t>
  </si>
  <si>
    <t xml:space="preserve">TELUK KUANTAN </t>
  </si>
  <si>
    <t>Exrtra Countable</t>
  </si>
  <si>
    <t>Extra Countable</t>
  </si>
  <si>
    <t>POMPA INJEKSI ALUM UNTUK PAKET IPA KAPASITAS 30 LTR/DTK</t>
  </si>
  <si>
    <t>POMPA INJEKSI ALUM UNTUK PAKET IPA KAPASITAS 20 LTR/DTK</t>
  </si>
  <si>
    <t>POMPA INJEKSI ALUM UNTUK PAKET IPA KAPASITAS 10 LTR/DTK</t>
  </si>
  <si>
    <t>POMPA INTAKE 30 LTR/DTK</t>
  </si>
  <si>
    <t>POMPA INTAKE 10 LTR/DTK</t>
  </si>
  <si>
    <t>POMPA DISTRIBUSI 10 LTR/DTK</t>
  </si>
  <si>
    <t>02.02.01.11.06</t>
  </si>
  <si>
    <t>KARTU INVENTARIS BARANG (KIB) C</t>
  </si>
  <si>
    <t>GEDUNG DAN BANGUNAN</t>
  </si>
  <si>
    <t>GARASE ALAT BERAT KIMPRASWIL (RANGKA BAJA)</t>
  </si>
  <si>
    <t>PENYEMPURNAAN PEMB. RUMAH ADAT DESA TOAR</t>
  </si>
  <si>
    <t>PEMB. RUMAH ADAT DESA SITIANG</t>
  </si>
  <si>
    <t>PEMB. GEDUNG SERBAGUNA KEC. SINGINGI HILIR</t>
  </si>
  <si>
    <t>PEMB. GEDUNG SERBAGUNA KEC. PANGEAN</t>
  </si>
  <si>
    <t>PENGAWASAN TEKNIS</t>
  </si>
  <si>
    <t>PEMBUATAN GEDUNG KANTOR POS TELUK KUANTAN</t>
  </si>
  <si>
    <t>PENYIAPAN LAHAN UNTUK KANTOR KORAMIL &amp; RUMAH DINAS 1 UNIT</t>
  </si>
  <si>
    <t>KANTOR INDUK PATROLI JALAN RAYA (PJR)</t>
  </si>
  <si>
    <t>RUANG RAPAT KANTOR CAMAT KUANTAN MUDIK</t>
  </si>
  <si>
    <t>KANTOR KEPALA DESA KP. BARU TOAR KEC. G.TOAR</t>
  </si>
  <si>
    <t>KANTOR KEPALA DESA LUBUK TERENTANG KEC. G. TOAR</t>
  </si>
  <si>
    <t>KANTOR KEPALA DESA PINTU GOBANG KARI</t>
  </si>
  <si>
    <t>KANTOR KEPALDA DESA LANGSAT HULU KEC. BENAI</t>
  </si>
  <si>
    <t>GEDUNG SERBAGUNA KEC. SINGINGI</t>
  </si>
  <si>
    <t>PAGAR DAN HALAMAN GEDUNG SERBAGUNA KEC. KT.TENGAH</t>
  </si>
  <si>
    <t>LANJUTAN MESS PEMDA DI PEKANBARU</t>
  </si>
  <si>
    <t>PEMB. PAGAR BRC RUMAH POMPA DISTRIBUSI BUNDARAN KANTOR BUPATI</t>
  </si>
  <si>
    <t>KONSTRUKSI BANGUNAN INFRASTRUKTUR PERDESAAN</t>
  </si>
  <si>
    <t>PEMB. GARASE ALAT BERAT (RANGKA BAJA)</t>
  </si>
  <si>
    <t>PEMBANGUNAN LANJUTAN MESS PEMDA TAHAP IV</t>
  </si>
  <si>
    <t>PENYIAPAN LAHAN UNTUK KANTOR KORAMIL DAN RUMAH DINAS</t>
  </si>
  <si>
    <t xml:space="preserve">PEMB. RUMAH ADAT SETIANG DAN TOAR </t>
  </si>
  <si>
    <t>REHAB/ RENOVASI EX. RUMAH SAKIT TELUK KUANTAN:</t>
  </si>
  <si>
    <t>REHAB/ RENONASI WISMA JALUR:</t>
  </si>
  <si>
    <t>PEMBANGUNAN KANTOR BARU 550 M2 2 UNIT</t>
  </si>
  <si>
    <t>PEMB/PNINGKTAN INSFRASTRUKTUR PERMUKIMAN ( PNDMPING P2KP SHARING)  THP II PHASE II. DS SUNGAI KUNING</t>
  </si>
  <si>
    <t>PEMB/PNINGKTAN INSFRASTRUKTUR PERMUKIMAN ( PNDMPING P2KP SHARING)  THP II PHASE II. DS SUNGAI BAWANG</t>
  </si>
  <si>
    <t>PEMB/PNINGKTAN INSFRASTRUKTUR PERMUKIMAN ( PNDMPING P2KP SHARING)  THP II PHASE II. DS SUNGAI SIRIH</t>
  </si>
  <si>
    <t>PEMB/PNINGKTAN INSFRASTRUKTUR PERMUKIMAN ( PNDMPING P2KP SHARING)  THP II PHASE II. DS PULAU PADANG</t>
  </si>
  <si>
    <t>PEMB/PNINGKTAN INSFRASTRUKTUR PERMUKIMAN ( PNDMPING P2KP SHARING)  THP II PHASE II. DS SUNGAI KERANJI</t>
  </si>
  <si>
    <t>PEMB/PNINGKTAN INSFRASTRUKTUR PERMUKIMAN ( PNDMPING P2KP SHARING)  THP II PHASE II. DS PNGKLAN INDARUNG</t>
  </si>
  <si>
    <t>PEMB/PNINGKTAN INSFRASTRUKTUR PERMUKIMAN ( PNDMPING P2KP SHARING)  THP II PHASE II. DS LOGAS</t>
  </si>
  <si>
    <t>PEMB/PNINGKTAN INSFRASTRUKTUR PERMUKIMAN ( PNDMPING P2KP SHARING)  THP II PHASE II. DS PASIR MAS</t>
  </si>
  <si>
    <t>PEMB/PNINGKTAN INSFRASTRUKTUR PERMUKIMAN ( PNDMPING P2KP SHARING)  THP II PHASE II. DS KEBUN LADO</t>
  </si>
  <si>
    <t>PEMB/PNINGKTAN INSFRASTRUKTUR PERMUKIMAN ( PNDMPING P2KP SHARING)  THP II PHASE II. DS SUMBER DATA</t>
  </si>
  <si>
    <t>PEMB/PNINGKTAN INSFRASTRUKTUR PERMUKIMAN ( PNDMPING P2KP SHARING)  THP II PHASE II. DS PETAI BARU</t>
  </si>
  <si>
    <t>PEMB/PNINGKTAN INSFRASTRUKTUR PERMUKIMAN ( PNDMPING P2KP SHARING)  THP II PHASE II. KEL MUARA LEMBU</t>
  </si>
  <si>
    <t>PEMB/PNINGKTAN INSFRASTRUKTUR PERMUKIMAN ( PNDMPING P2KP SHARING)  THP II PHASE II. DS AIR MAS</t>
  </si>
  <si>
    <t>PEMBANGUNAN SARANA PENUNJANG RUMAH JABATAN BUPATI DAN PENDOPO (RETENCY)</t>
  </si>
  <si>
    <t>PEMBANGUNAN SARANA PENUNJANG RUMAH JABATAN KETUA DPRD DAN WAKIL KETUA DPRD I DAN II</t>
  </si>
  <si>
    <t>PEMBANGUNAN SARANA PENUNJANG RUMAH JABATAN WAKIL BUPATI DAN SEKRETARIS DAERAH (RETENCY)</t>
  </si>
  <si>
    <t>GEDUNG SERBA GUNA KEC.SINGINGI 420 M2 (LANJUTAN)</t>
  </si>
  <si>
    <t>PEMBANGUNAN MESJID PERKANTORAN PEMDA</t>
  </si>
  <si>
    <t>REHAB/ RENOVASI BALAI ADAT TELUK KUANTAN</t>
  </si>
  <si>
    <t>PEMBANGUNAN PASAR DESA SUNGAI KUNING KEC. SINGINGI</t>
  </si>
  <si>
    <t>PEMBANGUNAN GEDUNG SERBAGUNA KEC. GN.TOAR 420 M2</t>
  </si>
  <si>
    <t>PEMB. LANJUTAN KANTOR KEPALA DESA PL. BUSUK</t>
  </si>
  <si>
    <t>- REHAB/ RENOVASI KANTOR CAMAT LOGAS TANAH DARAT 400 M2</t>
  </si>
  <si>
    <t>PEMB. KANTOR KEPALA DESA PERHENTIAN LUAS</t>
  </si>
  <si>
    <t>REHAB/RENOVASI GUDANG BPAM TELUK KUANTAN (BERTAMBAH)</t>
  </si>
  <si>
    <t>PEMB. HALAMAN KANTOR DINAS CKTR DAN SATPOL PP</t>
  </si>
  <si>
    <t>REHAB/RENOVASI KANTOR CAMAT KUANTAN TENGAH</t>
  </si>
  <si>
    <t>REHAB/RENOVASI KANTOR DINAS PERHUBUNGAN, INF &amp; KOMUNIKASI</t>
  </si>
  <si>
    <t>PEMB. LANJUTAN TUGU PENDIDIKAN SP. 3 TL. KUANTAN</t>
  </si>
  <si>
    <t>PEMB. LANJUTAN KANTOR KEPALA DESA PL. KOMANG SENTAJO</t>
  </si>
  <si>
    <t>REHAB/RENOVASI EX. RUMAH SAKIT TL. KUANTAN (RETENSI)</t>
  </si>
  <si>
    <t>REHAB/RENOVASI WISMA JALUR (RETENSI)</t>
  </si>
  <si>
    <t>PEMB. GEDUNG SERBAGUNA KEC. GN. TOAR 420 M2 (RETENSI)</t>
  </si>
  <si>
    <t>REHAB/RENOVASI BANGUNAN ASRAMA PERAWAT 140,75 M2 2 UNIT DAN BANGUNAN GEDUNG PERTEMUAN 230 M2</t>
  </si>
  <si>
    <t>REHAB/RENOVASI BANGUNAN RUMAH DOKTER TYPE 70</t>
  </si>
  <si>
    <t>PEMB. KANTOR KEPALA DESA KOTO TUO KOPAH</t>
  </si>
  <si>
    <t>PENINGKATAN SARANA BALAI DIKLAT KAB. KUANSING (PENAMBAHAN PAGAR DAN PEMBANGUNAN POS JAGA) (BERTAMBAH)</t>
  </si>
  <si>
    <t>PEMB. LANJUTAN KANTOR KELURAHAN PASAR LUBUK JAMBI</t>
  </si>
  <si>
    <t>PEMB. KANTOR KEPALA DESA SUNGAI BESAR</t>
  </si>
  <si>
    <t>PEMB. LANJUTAN KANTOR KEPALA DESA SUMPU</t>
  </si>
  <si>
    <t>PEMB. KANTOR KEPALA DESA SEROSA</t>
  </si>
  <si>
    <t>PEMB. LANJUTAN KANTOR KELURAHAN MUARA LEMBU</t>
  </si>
  <si>
    <t>REHAB/RENOVASI KANTOR CAMAT SINGINGI HILIR 400 M2</t>
  </si>
  <si>
    <t>PEMB. KANTOR KEPALA DESA SUMBER JAYA</t>
  </si>
  <si>
    <t>PEMB. KANTOR KEPALA DESA PESIKAIAN</t>
  </si>
  <si>
    <t>PEMB. KANTOR KEPALA DESA UJUNG TANJUNG</t>
  </si>
  <si>
    <t>PEMB. KANTOR KEPALA DESA PETAPAHAN</t>
  </si>
  <si>
    <t>BANGUNAN INFRASTRUKTUR PERDESAAN</t>
  </si>
  <si>
    <t>BELANJA MODAL KONSTRUKSI BANGUNAN INFRASTRUKTUR PERDESAAN</t>
  </si>
  <si>
    <t>REHAB KTR CAMAT INUMAN</t>
  </si>
  <si>
    <t>REHAB KTR CAMAT GG. TOAR</t>
  </si>
  <si>
    <t>PEMBANGUNAN KTR LURAH SP. TIGA 120 M2 + PAGAR</t>
  </si>
  <si>
    <t>REHAB/RENOVASI KTR. CAMAT INUMAN</t>
  </si>
  <si>
    <t>PEMBANGUNAN KTR KEPALA DESA</t>
  </si>
  <si>
    <t>REHAB/RENOVASI KTR. CAMAT PANGEAN &amp; L. T. DARAT (RETENSI)</t>
  </si>
  <si>
    <t>REHAB/RENOVASI KTR. CAMAT KUANTAN TENGAH DAN SINGINGI HILIR (RETENSI)</t>
  </si>
  <si>
    <t>REHAB/RENOVASI KTR. CAMAT GUNUNG TOAR</t>
  </si>
  <si>
    <t>PEMBANGUNAN GEDUNG SERBAGUNA KEC. HULU KUANTAN</t>
  </si>
  <si>
    <t>REHAB/RENOVASI PUSKESMAS TELUK KUANTAN</t>
  </si>
  <si>
    <t>REHAB/RENOVASI RUANG KERJA KETUA &amp; WAKIL KETUA</t>
  </si>
  <si>
    <t>PEMBANGUNAN KTR KEPALA DESA KOPAH 120 M2</t>
  </si>
  <si>
    <t>PEMBANGUNAN KTR KEPALA DESA KOTO KARI 120 M2</t>
  </si>
  <si>
    <t>PEMBANGUNAN KTR KEPALA DESA MUARA PETAI 120</t>
  </si>
  <si>
    <t>REHAB/RENOVASI KANTOR CAMAT INUMAN</t>
  </si>
  <si>
    <t>REHAB/RENOVASI KANTOR CAMAT GUNUNG TOAR</t>
  </si>
  <si>
    <t>PENATAAN HALAMAN PUSKESMAS TELUK KUANTAN</t>
  </si>
  <si>
    <t>PERENCANAAN STADION MINI KENEGERIAN KARI</t>
  </si>
  <si>
    <t>PENGAWASAN STADION MINI KENEGERIAN KARI</t>
  </si>
  <si>
    <t>BELANJA MODAL PENGADAAN KONSTRUKSI/PEMBELIAN GEDUNG</t>
  </si>
  <si>
    <t>PENGAWASAN REHAB/RENOVASI KANTOR CAMAT PANGEAN DANLOGAS TANAH DARAT</t>
  </si>
  <si>
    <t>PENGAWASAN REHAB/RENOVASI KANTOR CAMAT KUANTAN TENGAH DAN SINGINGI HILIR</t>
  </si>
  <si>
    <t>BANGUNAN INFRASTRUKTUR LAIN-LAIN NYA</t>
  </si>
  <si>
    <t>PNPM - P2KP - BLM (SHARING)</t>
  </si>
  <si>
    <t>-PENDAMPING PAMSIMAS DESA REFLIKASI</t>
  </si>
  <si>
    <t>PEMATANGAN LOKASI PEM. KANTOR &amp; RMH DINAS CAMAT KEC. SENTAJO RAYA</t>
  </si>
  <si>
    <t>PEMATANGAN LOKASI PEMB. KANTOR &amp; RUMAH DINAS CAMAT KEC. KUANTAN HILIR SEBERANG</t>
  </si>
  <si>
    <t>PEMATANGAN LOKASI PEMB. KANTOR &amp; RUMAH DINAS CAMAT KEC. PUCUK RANTAU</t>
  </si>
  <si>
    <t>PEMBANGUNAN KANTOR DAN RUMAH DINAS CAMAT SENTAJO RAYA</t>
  </si>
  <si>
    <t>PEMB. KANTOR DAN RUMAH DINAS CAMAT KUANTAN HILIR SEBERANG</t>
  </si>
  <si>
    <t>PEMBANGUNAN KANTOR DAN RUMAH DINAS CAMAT PUCUK RANTAU</t>
  </si>
  <si>
    <t>PEMBANGUNAN KANTOR KEPALA DESA DESA SUNGAI BULUH</t>
  </si>
  <si>
    <t>PEMBANGUNAN KANTOR KEPALA DESA DESA PETAI</t>
  </si>
  <si>
    <t>PEMBANGUNAN KANTOR KEPALA DESA DESA KOTO BARU</t>
  </si>
  <si>
    <t>PEMBANGUNAN KANTOR KEPALA DESA DESA SEI. PAKU</t>
  </si>
  <si>
    <t>PEMBANGUNAN KANTOR KEPALA DESA DESA SIMPANG RAYA</t>
  </si>
  <si>
    <t>PEMBANGUNAN KANTOR KEPALA DESA PANGKALAN INDARUNG</t>
  </si>
  <si>
    <t>PEMBANGUNAN KANTOR KEPALA DESA JAYA</t>
  </si>
  <si>
    <t>PEMBANGUNAN KANTOR KEPALA DESA PULAU PANJANG CERENTI</t>
  </si>
  <si>
    <t>PEMBANGUNAN KANTOR KEPALA DESA KAMPUNG BARU</t>
  </si>
  <si>
    <t>PEMBANGUNAN KANTOR KEPALA DESA PL. BAYUR</t>
  </si>
  <si>
    <t>PEMBANGUNAN KANTOR KEPALA DESA PL. JAMBU</t>
  </si>
  <si>
    <t>PEMBANGUNAN KANTOR KEPALA DESA PULAU PANJANG HILIR INUMAN</t>
  </si>
  <si>
    <t>PEMBANGUNAN KANTOR KEPALA DESA RANTAU SIALANG</t>
  </si>
  <si>
    <t>PEMBANGUNAN KANTOR KEPALA DESA BANJAR LOPAK</t>
  </si>
  <si>
    <t>PEMBANGUNAN KANTOR KEPALA DESA MUARO SENTAJO</t>
  </si>
  <si>
    <t>PEMBANGUNAN PUSKESMAS CERENTI</t>
  </si>
  <si>
    <t>PEMBANGUNAN PUSKESMAS SENTAJO RAYA</t>
  </si>
  <si>
    <t>PEMBANGUNAN PUSKESMAS KOPAH</t>
  </si>
  <si>
    <t>PEMBANGUNAN RUANG RAWAT INAP PUSKESMAS SEI. BULUH</t>
  </si>
  <si>
    <t>PEMBANGUNAN KANTOR KEPALA DESA RAWANG BINJAI</t>
  </si>
  <si>
    <t>PEMBANGUNAN KANTOR KEPALA DESA PL. RENGAS</t>
  </si>
  <si>
    <t>PEMBANGUNAN KANTOR KEPALA DESA TANAH BEKALI</t>
  </si>
  <si>
    <t>PEMBANGUNAN KANTOR KEPALA DESA SEBERANG SUNGAI</t>
  </si>
  <si>
    <t>REVITALISASI KANTOR LURAH PASAR CERENTI</t>
  </si>
  <si>
    <t>REHABILITASI/RENOVASI GEDUNG KANTOR CAMAT KUANTAN TENGAH (LANJUTAN)</t>
  </si>
  <si>
    <t>REHABILITASI/RENOVASI GEDUNG EKS. KANTOR BUPATI</t>
  </si>
  <si>
    <t>PEMBANGUNAN RUMAH DINAS JABATAN ESELON II/PEJABAT YANG SETINGKAT (3 UNIT)</t>
  </si>
  <si>
    <t>REHABILITASI/RENOVASI RUMAH DINAS CAMAT LOGAS TANAH DARAT</t>
  </si>
  <si>
    <t>REHABILITASI/RENOVASI RUMAH DINAS CAMAT GUNUNG TOAR</t>
  </si>
  <si>
    <t>REHABILITASI/RENOVASI RUMAH DINAS CAMAT SINGINGI HILIR</t>
  </si>
  <si>
    <t>PEMBANGUNAN GEDUNG SERBAGUNA KEC. INUMAN</t>
  </si>
  <si>
    <t>REHABILITASI/RENOVASI GEDUNG PROMOSI/DEKRANASDA</t>
  </si>
  <si>
    <t>PEMBANGUNAN PAGAR GEDUNG SERBAGUNA DAN KANTOR CAMAT KEC. SINGINGI</t>
  </si>
  <si>
    <t>PENATAAN HALAMAN DAN REHABILITASI PAGAR KANTOR CAMAT DAN BALAI ADAT KEC. KUANTAN TENGAH</t>
  </si>
  <si>
    <t>PENINGKATAN SARAN POS PEMADAM KEBAKARAN (BIAYA PENYAMBUNG DAYA DAN JARINGAN PLN)</t>
  </si>
  <si>
    <t>PENYIAPAN LAHAN KANTOR KORAMIL TELUK KUANTAN (LANJUTAN)</t>
  </si>
  <si>
    <t>PENINGKATAN SARANA KANTOR KORAMIL TELUK KUANTAN</t>
  </si>
  <si>
    <t>PENGADAAN PAPAN IMB</t>
  </si>
  <si>
    <t>REHABILITASI/RENOVASI KANTOR CAMAT SINGINGI</t>
  </si>
  <si>
    <t>PERLUASAN BANGUNAN GEDUNG KANTOR CKTR</t>
  </si>
  <si>
    <t>PENATAAN HALAMAN KANTOR CAMAT SENTAJO RAYA</t>
  </si>
  <si>
    <t>PENATAAN HALAMAN KANTOR CAMAT KUANTAN HILIR SEBERANG</t>
  </si>
  <si>
    <t>PENATAAN HALAMAN KANTOR CAMAT PUCUK RANTAU</t>
  </si>
  <si>
    <t xml:space="preserve">PENINGKATAN SARANA DAN PRASARANA KANTOR LURAH SIMPANG </t>
  </si>
  <si>
    <t>PEMB. RUMAH DINAS JABATAN PEMDA KAB. KUANSING</t>
  </si>
  <si>
    <t>PEMBANGUNAN PAGAR KTR BUPATI</t>
  </si>
  <si>
    <t>PEMBANGUNAN PERLUASAN GEDUNG KTR. BUPATI KUANTAN SINGINGI (2 LANTAI + PAGAR)</t>
  </si>
  <si>
    <t>TANGGA PEMANDIAN DAN PELATARAN SUMPU</t>
  </si>
  <si>
    <t>PUSKESMAS RAWAT INAP MUARA LEMBU KECAMATAN</t>
  </si>
  <si>
    <t>REHAB/RENOVASI EKS KANTOR PEMBANTU BUPATI</t>
  </si>
  <si>
    <t>MESS PEMDA DI PEKANBARU</t>
  </si>
  <si>
    <t>-BANTUAN LANGSUNG MASYARAKAT (BLM)</t>
  </si>
  <si>
    <t>- PEMBANGUNAN KANTOR KEPALA DESA SAKO MARGA SARI</t>
  </si>
  <si>
    <t>- PEMBANGUNAN KANTOR CAMAT HULU KUANTAN</t>
  </si>
  <si>
    <t>- PENINGKATAN SARANA DAN PRASARANA KANTOR CAMAT KUANTAN HILIR</t>
  </si>
  <si>
    <t>- PEMB. ASRAMA MAHASISWA KAB. KUANTAN SINGINGI DI YOGYAKARTA</t>
  </si>
  <si>
    <t>- PEMBANGUNAN STADION MINI SIMANDOLAK</t>
  </si>
  <si>
    <t>- PEMBANGUNAN PUSKESMAS BUMI MULYA</t>
  </si>
  <si>
    <t>- PEMBANGUNAN KANTOR LURAH BERINGIN JAYA</t>
  </si>
  <si>
    <t>- PEMBANGUNAN KANTOR KEPALA DESA SEBERANG TALUK</t>
  </si>
  <si>
    <t>- PEMBANGUNAN KANTOR KEPALA DESA SUNGAI KERANJI</t>
  </si>
  <si>
    <t>- PEMBANGUNAN KANTOR KEPALA DESA SUNGAI LANGSAT KEC. PANGEAN</t>
  </si>
  <si>
    <t>- PEMBANGUNAN KANTOR KEPALA DESA KOTO CERENTI</t>
  </si>
  <si>
    <t>- PEMBANGUNAN KANTOR KEPALA DESA MUARO TOBEK</t>
  </si>
  <si>
    <t>- PEMBANGUNAN KANTOR KEPALA DESA MUARA TIU MAKMUR</t>
  </si>
  <si>
    <t>- PEMBANGUNAN KANTOR KEPALA DESA PULAU BARU KOPAH</t>
  </si>
  <si>
    <t>- PEMBANGUNAN KANTOR KEPALA DESA PULAU GODANG KARI</t>
  </si>
  <si>
    <t>- PEMBANGUNAN KANTOR KEPALA DESA LOGAS HILIR</t>
  </si>
  <si>
    <t>- PEMBANGUNAN KANTOR KEPALA DESA SUNGAI KUNING</t>
  </si>
  <si>
    <t>- PENINGKATAN SARANA DAN PRASARANA KANTOR CAMAT CERENTI</t>
  </si>
  <si>
    <t>- PENINGKATAN SARANA DAN PRASARANA RUMAH JABATAN SETINGKAT ESELON II (1)</t>
  </si>
  <si>
    <t>- PENINGKATAN SARANA DAN PRASARANA RUMAH JABATAN SETINGKAT ESELON II (2)</t>
  </si>
  <si>
    <t>- PENINGKATAN SARANA DAN PRASARANA RUMAH JABATAN SETINGKAT ESELON II (3)</t>
  </si>
  <si>
    <t>- PENINGKATAN SARANA DAN PRASARANA GEDUNG WANITA</t>
  </si>
  <si>
    <t>PENATAAN HALAMAN KANTOR CAMAT KUANTAN HILIR SEBERANG (LANJUTAN)</t>
  </si>
  <si>
    <t>PENINGKATAN SARANA DAN PRASARANA LAPANGAN LIMUNO</t>
  </si>
  <si>
    <t xml:space="preserve">BELANJA MODAL KONTRUKSI KONTRUKSI BANGUNAN INFRASTRUKTUR PEDESAAN </t>
  </si>
  <si>
    <t xml:space="preserve">PEMBANGUNAN LOS DAN SARANA PASAR TRADISIONAL BERBASIS MODREN </t>
  </si>
  <si>
    <t xml:space="preserve">PEMBANGUNAN KANTOR KELURAHAN BENAI </t>
  </si>
  <si>
    <t xml:space="preserve">REHABILITASI/RENOVASI KANTOR CAMAT </t>
  </si>
  <si>
    <t xml:space="preserve">REHAB/RENOVASI RUMAH DINAS CAMAT KUANTAN TENGAH </t>
  </si>
  <si>
    <t xml:space="preserve">PEMBANGUNAN KANTOR KEPALA DESA RAWANG OGUANG </t>
  </si>
  <si>
    <t xml:space="preserve">PEMBANGUNAN KANTOR KEPALA DESA KOTO SENTAJO </t>
  </si>
  <si>
    <t xml:space="preserve">PEMBANGUNAN KANTOR KEPALA DESA BANJAR PADANG </t>
  </si>
  <si>
    <t xml:space="preserve">PEMBANGUNAN KANTOR KEPALA DESA PANGKALAN </t>
  </si>
  <si>
    <t xml:space="preserve">PEMBANGUNAN KANTOR KEPALA DESA PETAI BARU </t>
  </si>
  <si>
    <t xml:space="preserve">PEMBANGUNAN KANTOR UPTD PENDIDIKAN KECAMATAN SENTAJO RAYA </t>
  </si>
  <si>
    <t xml:space="preserve">PEMBANGUNAN RUMAH DINAS DOKTER 1 UNIT TYPE 70 DAN RUMAH PARAMEDIS 2 UNIT TYPE 50 KOPEL LOGAS TANAH DARAT </t>
  </si>
  <si>
    <t xml:space="preserve">PEMBANGUNAN KANTOR KEPALA DESA JAKE </t>
  </si>
  <si>
    <t xml:space="preserve">PEMBANGUNAN KANTOR KEPALA DESA LUBUK AMBACANG </t>
  </si>
  <si>
    <t xml:space="preserve">PEMBANGUNAN HOTEL KUANTAN SINGINGI </t>
  </si>
  <si>
    <t xml:space="preserve">KONTRUKSI BANGUNAN INFRASTRUKTUR PEDESAAN </t>
  </si>
  <si>
    <t xml:space="preserve">PEMBANGUNAN PAGAR KANTOR CAMAT INUMAN </t>
  </si>
  <si>
    <t xml:space="preserve"> PEMBANGUNAN RUMAH DINAS CAMAT HULU KUANTAN  </t>
  </si>
  <si>
    <t xml:space="preserve">PEMBANGUNAN GEDUNG RAWAT INAP PUSKESMAS PANGEAN </t>
  </si>
  <si>
    <t>RUMAH DINAS BUPATI</t>
  </si>
  <si>
    <t>RUMAH DINAS WAKIL BUPATI</t>
  </si>
  <si>
    <t>GEDUNG SERBAGUNA POLRES KUANTAN SINGINGI</t>
  </si>
  <si>
    <t>KANTOR KEPALA DESA SAKO PANGEAN</t>
  </si>
  <si>
    <t>PAGAR DAN PAVING BLOK KANTOR CAMAT SENTAJO RAYA</t>
  </si>
  <si>
    <t>03.11.02.01.04</t>
  </si>
  <si>
    <t>03.11.02.04.03</t>
  </si>
  <si>
    <t>03.11.02.01.16</t>
  </si>
  <si>
    <t>03.11.01.14.01</t>
  </si>
  <si>
    <t>03.11.01.01.02</t>
  </si>
  <si>
    <t>03.11.01.10.01</t>
  </si>
  <si>
    <t>03.11.02.02.16</t>
  </si>
  <si>
    <t>03.11.01.12.04</t>
  </si>
  <si>
    <t>03.11.02.08.03</t>
  </si>
  <si>
    <t>03.12.01.04.01</t>
  </si>
  <si>
    <t>03.11.01.02.01</t>
  </si>
  <si>
    <t>03.11.01.06.10</t>
  </si>
  <si>
    <t>03.11.01.04.04</t>
  </si>
  <si>
    <t>03.11.01.02.07</t>
  </si>
  <si>
    <t>03.11.02.01.01</t>
  </si>
  <si>
    <t>03.11.01.12.02</t>
  </si>
  <si>
    <t>03.11.02.06.01</t>
  </si>
  <si>
    <t>Rehabilitas/Renovasi</t>
  </si>
  <si>
    <t>PEK. BANGUNAN PERKANTORAN, RUMAH DINAS DAN FASILITAS PENUNJANG</t>
  </si>
  <si>
    <t xml:space="preserve"> PEMBANGUNAN GEDUNG SERBAGUNA KEC INUMAN (LANJUTAN)</t>
  </si>
  <si>
    <t>GEDUNG SERBAGUNA KECAMATAN INUMAN</t>
  </si>
  <si>
    <t>GEDUNG SERBAGUNA KECAMATAN SINGINGI</t>
  </si>
  <si>
    <t>BERINGIN TELUK KUANTAN</t>
  </si>
  <si>
    <t>SITORAJO KARI</t>
  </si>
  <si>
    <t>KUANTAN MUDIK</t>
  </si>
  <si>
    <t>KAMPUNG BARU TOAR</t>
  </si>
  <si>
    <t>LUBUK TERENTANG</t>
  </si>
  <si>
    <t>PINTU GOBANG KARI</t>
  </si>
  <si>
    <t>LANGSAT HULU</t>
  </si>
  <si>
    <t>PEKANBARU</t>
  </si>
  <si>
    <t>SETIANG &amp; TOAR</t>
  </si>
  <si>
    <t>KOMPLEK PERKANTORAN  PEMDA</t>
  </si>
  <si>
    <t>SUNGAI KUNING</t>
  </si>
  <si>
    <t>SUNGAI BAWANG</t>
  </si>
  <si>
    <t>SUNGAI SIRIH</t>
  </si>
  <si>
    <t>SUNGAI KERANJI</t>
  </si>
  <si>
    <t>PKL. INDARUNG</t>
  </si>
  <si>
    <t>DESA LOGAS</t>
  </si>
  <si>
    <t>DESA PASIR MAS</t>
  </si>
  <si>
    <t>DESA KEBUN LADO</t>
  </si>
  <si>
    <t>DESA SUMBER DATAR</t>
  </si>
  <si>
    <t>DESA PETAI BARU</t>
  </si>
  <si>
    <t>KEL. MUARA LEMBU</t>
  </si>
  <si>
    <t>DESA AIR MAS</t>
  </si>
  <si>
    <t xml:space="preserve">SE. JERING </t>
  </si>
  <si>
    <t>KEC. SINGINGI</t>
  </si>
  <si>
    <t>SE. KUNING</t>
  </si>
  <si>
    <t>KECAMATAN</t>
  </si>
  <si>
    <t>PULAU BUSUK</t>
  </si>
  <si>
    <t>PERHENTIAN LUAS</t>
  </si>
  <si>
    <t>KOMPLEK PERKANTORAN</t>
  </si>
  <si>
    <t>KUANTAN TENGAH</t>
  </si>
  <si>
    <t>PULAU KOMANG</t>
  </si>
  <si>
    <t>KOPAH</t>
  </si>
  <si>
    <t>LUBUK JAMBI</t>
  </si>
  <si>
    <t>DESA SUNGAI BESAR</t>
  </si>
  <si>
    <t>DESA SUMPU</t>
  </si>
  <si>
    <t>DESA SEROSA</t>
  </si>
  <si>
    <t>MUARA LEMBU</t>
  </si>
  <si>
    <t>SINGINGI HILIR</t>
  </si>
  <si>
    <t>DESA SUMBER JAYA</t>
  </si>
  <si>
    <t>DESA PESIKAIAN</t>
  </si>
  <si>
    <t>DESA UJUNG TANJUNG</t>
  </si>
  <si>
    <t>DESA PETAPAHAN</t>
  </si>
  <si>
    <t>KTR CAMAT GG. TOAR</t>
  </si>
  <si>
    <t>KANT0R LURAH SP. TIGA</t>
  </si>
  <si>
    <t>KANTOR CAMAT INUMAN</t>
  </si>
  <si>
    <t>KTR. CAMAT PANGEAN</t>
  </si>
  <si>
    <t>KTR. CAMAT KUANTAN TENGAH DAN SINGINGI HILIR</t>
  </si>
  <si>
    <t>KTR. CAMAT GUNUNG TOAR</t>
  </si>
  <si>
    <t>KEC. HULU KUANTAN</t>
  </si>
  <si>
    <t>PUSKESMAS TELUK KUANTAN</t>
  </si>
  <si>
    <t>KTR KEPALA DESA KOPAH</t>
  </si>
  <si>
    <t>KTR KEPALA DESA KOTO KARI</t>
  </si>
  <si>
    <t>KTR KEPALA DESA MUARA PETAI</t>
  </si>
  <si>
    <t>KTR LURAH SP. TIGA</t>
  </si>
  <si>
    <t>KANTOR CAMAT GUNUNG TOAR</t>
  </si>
  <si>
    <t>KENEGERIAN KARI</t>
  </si>
  <si>
    <t>CAMAT PANGEAN DANLOGAS TANAH DARAT</t>
  </si>
  <si>
    <t>KANTOR CAMAT KUANTAN TENGAH DAN SINGINGI HILIR</t>
  </si>
  <si>
    <t xml:space="preserve">SENTAJO RAYA </t>
  </si>
  <si>
    <t xml:space="preserve">KUANTAN HILIR SEBERANG </t>
  </si>
  <si>
    <t xml:space="preserve">PUCUK RANTAU </t>
  </si>
  <si>
    <t xml:space="preserve">SEI. BULUH </t>
  </si>
  <si>
    <t xml:space="preserve">PETAI </t>
  </si>
  <si>
    <t xml:space="preserve">KOTO BARU </t>
  </si>
  <si>
    <t xml:space="preserve">SEI. PAKU </t>
  </si>
  <si>
    <t xml:space="preserve">SIMPANG RAYA </t>
  </si>
  <si>
    <t xml:space="preserve">PANGKALAN INDARUANG </t>
  </si>
  <si>
    <t xml:space="preserve">DESA JAYA </t>
  </si>
  <si>
    <t xml:space="preserve">PULAU PANJANG CERENTI </t>
  </si>
  <si>
    <t xml:space="preserve">KAMPUNG BARU </t>
  </si>
  <si>
    <t xml:space="preserve">PL. BAYUR </t>
  </si>
  <si>
    <t xml:space="preserve">PL. JAMBU </t>
  </si>
  <si>
    <t xml:space="preserve">PL. PANJANG HILIR INUMAN </t>
  </si>
  <si>
    <t xml:space="preserve">RANTAU SIALANG </t>
  </si>
  <si>
    <t xml:space="preserve">BANJAR LPOAK </t>
  </si>
  <si>
    <t xml:space="preserve">MUARO SENTAJO </t>
  </si>
  <si>
    <t xml:space="preserve">CERENTI </t>
  </si>
  <si>
    <t xml:space="preserve">KOPAH </t>
  </si>
  <si>
    <t xml:space="preserve">RAWANG BINJAI </t>
  </si>
  <si>
    <t xml:space="preserve">PL. RENGAS </t>
  </si>
  <si>
    <t xml:space="preserve">TANAH BEKALI </t>
  </si>
  <si>
    <t xml:space="preserve">SEBERANG SUNGAI </t>
  </si>
  <si>
    <t xml:space="preserve">KUANTAN TENGAH </t>
  </si>
  <si>
    <t xml:space="preserve">LOGAS TANAH DARAT </t>
  </si>
  <si>
    <t xml:space="preserve">GUNUNG TOAR </t>
  </si>
  <si>
    <t xml:space="preserve">SINGINGI HILIR </t>
  </si>
  <si>
    <t xml:space="preserve">INUMAN </t>
  </si>
  <si>
    <t xml:space="preserve">SINGINGI </t>
  </si>
  <si>
    <t>HULU KUANTAN</t>
  </si>
  <si>
    <t xml:space="preserve">SAKO MARGA SARI </t>
  </si>
  <si>
    <t xml:space="preserve">HULU KUANTAN </t>
  </si>
  <si>
    <t xml:space="preserve">KUANTAN HILIR </t>
  </si>
  <si>
    <t xml:space="preserve">YOKYAKARTA </t>
  </si>
  <si>
    <t>SIMANDOLAK</t>
  </si>
  <si>
    <t>SENTAJO RAYA</t>
  </si>
  <si>
    <t>BERINGIN JAY A</t>
  </si>
  <si>
    <t xml:space="preserve">SEBARANG TALUK </t>
  </si>
  <si>
    <t xml:space="preserve">SEI. KERANJI </t>
  </si>
  <si>
    <t xml:space="preserve">PANGEAN </t>
  </si>
  <si>
    <t>PL. GODANG KARI</t>
  </si>
  <si>
    <t xml:space="preserve">SEI. KUNING </t>
  </si>
  <si>
    <t xml:space="preserve">KAB. KUANTAN SINGINGI </t>
  </si>
  <si>
    <t xml:space="preserve">BENAI </t>
  </si>
  <si>
    <t xml:space="preserve">KECAMATAN </t>
  </si>
  <si>
    <t xml:space="preserve">RAWANG OGUANG </t>
  </si>
  <si>
    <t xml:space="preserve">KOTO SENTAJO </t>
  </si>
  <si>
    <t xml:space="preserve">BANJAR PADANG </t>
  </si>
  <si>
    <t xml:space="preserve">PANGKALAN </t>
  </si>
  <si>
    <t xml:space="preserve">PETAI BARU </t>
  </si>
  <si>
    <t xml:space="preserve">JAKE </t>
  </si>
  <si>
    <t xml:space="preserve">LUBUK AMBACANG </t>
  </si>
  <si>
    <t>INUMAM</t>
  </si>
  <si>
    <t>KANTOR PUPR</t>
  </si>
  <si>
    <t>POLRES KUANTAN SINGINGI</t>
  </si>
  <si>
    <t>PASAR BARU PANGEAN</t>
  </si>
  <si>
    <t>SAKO PANGEAN</t>
  </si>
  <si>
    <t>KANTOR CAMAT SENTAJO RAYA</t>
  </si>
  <si>
    <t>HALAMAN KANTOR CAMAT KUANTAN HILIR SEBERANG</t>
  </si>
  <si>
    <t>KANTOR DAN RUMAH DINAS CAMAT KUANTAN HILIR SEBERANG</t>
  </si>
  <si>
    <t>KUANTAN HILIR SEBERANG</t>
  </si>
  <si>
    <t>KANTOR DAN RUMAH DINAS CAMAT SENTAJO RAYA</t>
  </si>
  <si>
    <t>KANTOR DAN RUMAH DINAS CAMAT PUCUK RANTAU</t>
  </si>
  <si>
    <t>PEMB. KANTOR DAN RUMAH DINAS CAMAT KUANTAN HILIR SEBERANG (LANJUTAN)</t>
  </si>
  <si>
    <t>PUSKESMAS SENTAJO RAYA</t>
  </si>
  <si>
    <t>HALAMAN KANTOR CAMAT SENTAJO RAYA</t>
  </si>
  <si>
    <t>PEMBANGUNAN GEDUNG RAWAT INAP PUSKESMAS SENTAJO RAYA.</t>
  </si>
  <si>
    <t>PENATAAN HALAMAN KANTOR CAMAT SENTAJO RAYA (LANJUTAN)</t>
  </si>
  <si>
    <t>PEMB. RUANG RAWAT INAP PUSKESMAS SEI BULUH (LANJUTAN)</t>
  </si>
  <si>
    <t>GEDUNG RAWAT INAP PUSKESMAS SEI. BULUH</t>
  </si>
  <si>
    <t>RUMAH DINAS JABATAN ESELON II/PEJABAT YANG SETINGKAT</t>
  </si>
  <si>
    <t>TANGGA PEMANDIAN DAN PELATARAN DESA SUMPU</t>
  </si>
  <si>
    <t>KANTOR CAMAT KUANTAN HILIR</t>
  </si>
  <si>
    <t>BASERAH</t>
  </si>
  <si>
    <t>GEDUNG SERBAGUNA KECAMATAN LOGAS TANAH DARAT</t>
  </si>
  <si>
    <t>GEDUNG SERBAGUNA KENEGERIAN SENTAJO</t>
  </si>
  <si>
    <t>GEDUNG SERBAGUNA KECAMATAN BENAI</t>
  </si>
  <si>
    <t>GEDUNG SERBAGUNA KECAMATAN GUNUNG TOAR</t>
  </si>
  <si>
    <t>MESS PEMDA KUANTAN SINGINGI</t>
  </si>
  <si>
    <t>KANTOR KEPALA DESA PULAU BUSUK JAYA</t>
  </si>
  <si>
    <t>WISMA JALUR</t>
  </si>
  <si>
    <t>GEDUNG KANTOR BUPATI KUANTAN SINGINGI</t>
  </si>
  <si>
    <t>GEDUNG KANTOR KPU</t>
  </si>
  <si>
    <t>REHABILITASI / RENOVASI RUMAH DINAS BUPATI</t>
  </si>
  <si>
    <t>REHABILITASI / RENOVASI RUMAH DINAS WAKIL BUPATI</t>
  </si>
  <si>
    <t>SEI JERING</t>
  </si>
  <si>
    <t xml:space="preserve">RUMAH DINAS DOKTER DAN PARAMEDIS LOGAS TANAH DARAT </t>
  </si>
  <si>
    <t>GEDUNG KANTOR KORAMIL</t>
  </si>
  <si>
    <t>GEDUNG KANTOR</t>
  </si>
  <si>
    <t>KANTOR DINAS KESENIAN KEBUDAYAAN &amp; PARIWISATA</t>
  </si>
  <si>
    <t>NAMA GEDUNG/BANGUNAN</t>
  </si>
  <si>
    <t>KANTOR DINAS PERHUBUNGAN, INFORMASI DAN KOMUNIKASI</t>
  </si>
  <si>
    <t>KANTOR DINAS PETERNAKAN</t>
  </si>
  <si>
    <t>KANTOR DINAS BADAN PROMOSI INVESTASI &amp; PENGENDALIAN DAMPAK LINGKUNGAN</t>
  </si>
  <si>
    <t>LAPANGAN LIMUNO TELUK KUANTAN</t>
  </si>
  <si>
    <t>KARI</t>
  </si>
  <si>
    <t>STADION MINI KENEGERIAN KARI</t>
  </si>
  <si>
    <t xml:space="preserve">HOTEL KUANTAN SINGINGI </t>
  </si>
  <si>
    <t>KANTOR CAMAT KUANTAN TENGAH</t>
  </si>
  <si>
    <t>PEMBANGUNAN PUSKESMAS CERENTI (LANJUTAN)</t>
  </si>
  <si>
    <t>PUSKESMAS CERENTI</t>
  </si>
  <si>
    <t>RAWANG BINJAI</t>
  </si>
  <si>
    <t>GEDUNG SERBAGUNA KECAMATAN PANGEAN</t>
  </si>
  <si>
    <t>KANTOR DINAS CIPTA KARYA DAN TATA RUANG</t>
  </si>
  <si>
    <t>KANTOR CAMAT PANGEAN</t>
  </si>
  <si>
    <t>KANTOR CAMAT LOGAS TANAH DARAT</t>
  </si>
  <si>
    <t>PENINGKATAN SARANA DAN PRASARANA KANTOR DINAS CKTR</t>
  </si>
  <si>
    <t>PAGAR KANTOR ALKAL</t>
  </si>
  <si>
    <t>BALAI DIKLAT</t>
  </si>
  <si>
    <t>RUMAH DINAS JABATAN</t>
  </si>
  <si>
    <t>RENOVASI RUMAH DINAS KETUA DPRD</t>
  </si>
  <si>
    <t>RENOVASI RUMAH DINAS WAKIL KETUA I DPRD</t>
  </si>
  <si>
    <t>RENOVASI RUMAH DINAS WAKIL KETUA II DPRD</t>
  </si>
  <si>
    <t>RUMAH DINAS KETUA DAN WAKIL KETUA DPRD</t>
  </si>
  <si>
    <t>SEKAT RUANGAN LT. I DAN LT.II DINAS PUPR</t>
  </si>
  <si>
    <t>INTERIOR LOBY LT.I DAN LT.II DINAS PUPR</t>
  </si>
  <si>
    <t>REHABILITASI/RENOVASI KANTOR BPKAD</t>
  </si>
  <si>
    <t>REHABILITASI/RENOVASI RUMAH DINAS SEKRETARIS DAERAH</t>
  </si>
  <si>
    <t>KANTOR KEPALA DESA PASAR BARU PANGEAN</t>
  </si>
  <si>
    <t>REHABILITASI/RENOVASI GEDUNG PERTEMUAN NAROSA</t>
  </si>
  <si>
    <t>REHABILITASI/RENOVASI TRIBUN HAKIM PACU JALUR TEPIAN NAROSA</t>
  </si>
  <si>
    <t>PENINGKATAN JALAN SEBERANG TALUK - SIBEROBAH (ASPAL)  (DAK)</t>
  </si>
  <si>
    <t>PENINGKATAN JALAN BENAI - KOTO RAJO (ASPAL)  (DAK)</t>
  </si>
  <si>
    <t>PENINGKATAN JALAN LEPAU GADING - PANGEAN (ASPAL)  (DAK)</t>
  </si>
  <si>
    <t>PENINGKATAN JALAN JAKE - KOTO KOMBU (ASPAL)  (DAK)</t>
  </si>
  <si>
    <t>PENGAWASAN JALAN JAKE - KOTO KOMBU (ASPAL)  (DAK)</t>
  </si>
  <si>
    <t>PENGAWASAN PENINGKATAN JALAN SEBERANG TALUK - SIBEROBAH  (DAK)</t>
  </si>
  <si>
    <t>PENGAWASAN PENINGKATAN JALAN BENAI - KOTO RAJO  (DAK)</t>
  </si>
  <si>
    <t>PENGAWASAN PENINGKATAN JALAN LEPAU GADING - PANGEAN  (DAK)</t>
  </si>
  <si>
    <t>PENINGKATAN JALAN SEBERANG TALUK - SEBERANG BENAI  (BANKEU)</t>
  </si>
  <si>
    <t>PENINGKATAN JALAN PEMBATANG - PADANG TANGGUNG  (JALAN MENUJU JEMBATAN PANGEAN)</t>
  </si>
  <si>
    <t>PENINGKATAN JALAN SEI.JERING - SIMPANG TIGA  (SMAN 1 TELUK KUANTAN)</t>
  </si>
  <si>
    <t>PEMBANGUNAN JALAN MENUJU AREAL PUSKESMAS KEC. GUNUNG TOAR</t>
  </si>
  <si>
    <t>PENINGKATAN JALAN DUSUN TUO DESA SEBERANG TALUK</t>
  </si>
  <si>
    <t>PENINGKATAN JALAN MANGGIS DUSUN SINAMBEK KEL. SEI.JERING</t>
  </si>
  <si>
    <t>PENINGKATAN  JALAN SUKARAJA-SAKO MARGASARI</t>
  </si>
  <si>
    <t>PENINGKATAN JALAN PAUH KUCING</t>
  </si>
  <si>
    <t>PENINGKATAN JALAN PASAR BARU PANGEAN-BENDUNGAN</t>
  </si>
  <si>
    <t>PENINGKATAN JALAN LOGAS TANAH DARAT -RAPP</t>
  </si>
  <si>
    <t>PENINGKATAN JALAN PULAU BINTANG-PASAR BARU PANGEAN</t>
  </si>
  <si>
    <t>PENGERASAN JALAN POROS SUKAMAJU</t>
  </si>
  <si>
    <t>PEMBUATAN MEDIAN JALAN SENTAJO-MUARA LANGSAT (SP.4 TERATAK-KANTOR CAMAT SENTAJO RAYA</t>
  </si>
  <si>
    <t>PENINGKATAN JALAN DESA PARIT-DESA JALUR PATAH</t>
  </si>
  <si>
    <t>PENINGKATAN JALAN KELOMPOK TANI AMBACANG KP. BARU CERENTI</t>
  </si>
  <si>
    <t>PEMBANGUNAN JALAN LINGKAR BOTUANG PULAU ARO</t>
  </si>
  <si>
    <t>PENINGKATAN JALAN SP. BERINGIN-BERINGIN (PELEBARAN)</t>
  </si>
  <si>
    <t>PENINGKATAN JALAN TEBING SALO-PULAO OMBAK</t>
  </si>
  <si>
    <t>PENINGKATAN JALAN SAKO-TRANS SKP II ( DESA BUMI MULYA) ASPAL</t>
  </si>
  <si>
    <t>PENINGKATAN JALAN PERUMNAS -BERINGIN ( URUNGAN PILIHAN )</t>
  </si>
  <si>
    <t>PENINGKATAN JALAN JAKE - GERINGGING BARU (ASPAL)</t>
  </si>
  <si>
    <t>PENINGKATAN JALAN BARU SUNGAI PERUPUK (URUGAN PILIHAN)</t>
  </si>
  <si>
    <t>PENINGKATAN JALAN SIKAKAK-CERENTI SUBUR 9SEI.BAYU (URUGAN PILIHAN</t>
  </si>
  <si>
    <t>PENINGKATAN JALAN SAMPING KANTOR CAMAT KUANTAN TENGAH-JALUR DUA KARI</t>
  </si>
  <si>
    <t>PENINGKATAN JALAN SEI.RUMBIO-SPORT CENTER</t>
  </si>
  <si>
    <t>PENINGKATAN JALAN DUSUN PINYONGEK (URUGAN PILIHAN)</t>
  </si>
  <si>
    <t>PENINGKATAN JALAN UJUNG TANJUNG BENAI</t>
  </si>
  <si>
    <t>BELANJA PEMELIHARAAN JALAN KOTO SENTAJO- BERINGIN TALUK</t>
  </si>
  <si>
    <t>PEMELIHARAAN JALAN LINGKAR KAMPUNG BARU SENTAJO</t>
  </si>
  <si>
    <t>PEMELIHARAAN JALAN GUNUNG KESIANGAN- SETLEMEN MASYARAKAT</t>
  </si>
  <si>
    <t>PEMELIHARAAN JALAN GUNUNG KESIANGAN- PULAU KALIMANTING</t>
  </si>
  <si>
    <t>PEMELIHARAAN JALAN SIMPANG PULAU ARO-PULAU ARO</t>
  </si>
  <si>
    <t>SEMENISASI JALAN PANDAN WANGI-JALAN TAWAKAL</t>
  </si>
  <si>
    <t>BENAI - PL. LANCANG</t>
  </si>
  <si>
    <t>SENTAJO - TERATAK AIR HITAM</t>
  </si>
  <si>
    <t>LBK. JAMBI-LBK. AMBACANG</t>
  </si>
  <si>
    <t>LINGKAR PERINDAGKOP</t>
  </si>
  <si>
    <t>BUNDARAN DPRD - KANTOR BUPATI</t>
  </si>
  <si>
    <t>JAKE - KOTO KUMBU-LB. AMBACANG (ASPAL)</t>
  </si>
  <si>
    <t>INUMAN - PL. BUSUK</t>
  </si>
  <si>
    <t>BENAI - KOTO RAJO - PULAU JAMBU</t>
  </si>
  <si>
    <t xml:space="preserve"> LUBUK JAMBI - SEI BESAR</t>
  </si>
  <si>
    <t xml:space="preserve">PAUH ANGIT-PASAR USANG PANGEAN </t>
  </si>
  <si>
    <t>PERUMNAS-TK. PEMBINA</t>
  </si>
  <si>
    <t>BUNDARAN DPRD - JALAN PROPINSI</t>
  </si>
  <si>
    <t>SP.TIGA-SINAMBEK-GERBANG KOTA JAKE</t>
  </si>
  <si>
    <t>STM - BERINGIN</t>
  </si>
  <si>
    <t>KOTA TELUK KUANTAN - GERBANG KOTA SENTAJO</t>
  </si>
  <si>
    <t>PERUMNAS</t>
  </si>
  <si>
    <t>PULAU KOMANG - KOTO SENTAJO</t>
  </si>
  <si>
    <t>SEI. KAYU ARO - KOMPLEK PENDIDIKAN MUARA LEMBU</t>
  </si>
  <si>
    <t>SP. 4 PT. WANASARI - SUKAMAJU</t>
  </si>
  <si>
    <t>LINGKAR DESA PETAI</t>
  </si>
  <si>
    <t>LB. AMBACANG - JEMBT. MA'RIPAT MARJANI</t>
  </si>
  <si>
    <t>SIBEROBAH - SANGAU</t>
  </si>
  <si>
    <t>TERATAI AIR HITAM - LOKASI PETERNAKAN</t>
  </si>
  <si>
    <t>LINGKAR PUKESMAS PANGEAN</t>
  </si>
  <si>
    <t>KOTO INUMAN - PULAU BUSUK</t>
  </si>
  <si>
    <t>PANGEAN - SITUGAL</t>
  </si>
  <si>
    <t>KOTA BASERAH</t>
  </si>
  <si>
    <t>PETAPAHAN-PS. GUNUNG</t>
  </si>
  <si>
    <t>SUKARAJA-GIRI SAKO</t>
  </si>
  <si>
    <t>SIMPANG RAYA - SEI. BULUH</t>
  </si>
  <si>
    <t>BENAI - KOTO RAJO</t>
  </si>
  <si>
    <t>SAKO TRANS SKP II</t>
  </si>
  <si>
    <t>JALAN SAMBUNG - KEBUN LADO</t>
  </si>
  <si>
    <t>SIMPANG HANDOYO - AIR MAS</t>
  </si>
  <si>
    <t>RAWANG BONTO RUAS JALAN BASERAH - PERHENTIAN LUAS</t>
  </si>
  <si>
    <t>SEI. GODANG</t>
  </si>
  <si>
    <t>SEI. RAWANG UDANG 15 M' (RUAS JALAN SANGAU - SEBEROBAH)</t>
  </si>
  <si>
    <t>SEBERANG TALUK - SIBEROBAH - SANGAU</t>
  </si>
  <si>
    <t>MUARA LEMBU - PANGKALAN INDARUNG</t>
  </si>
  <si>
    <t>SP. HANDOYO - SP. SEI. SIRIH - SEI. KUNING - SP. 4 PT. WANASARI - SUKA MAJU</t>
  </si>
  <si>
    <t>KOTO BARU - SP. SUKA MAJU DAN SP. MUARA BAHAN - MUARA BAHAN</t>
  </si>
  <si>
    <t>SAKO - TRANS SKP II, HULU TESO - LOGAS TANAH DARAT</t>
  </si>
  <si>
    <t>BASERAH - PERHENTIAN LUAS, DUSUN TUO - GUNUNG MELINTANG</t>
  </si>
  <si>
    <t>LUBUK JAMBI - LUBUK AMBACANG JAKE - KOTO KOMBU, MUDIK ULO - SUMPU</t>
  </si>
  <si>
    <t>SEI. BESAR - BATAS SUMBAR, SP. 4 PANGKALAN - MUARO PETAI, - SITIANG</t>
  </si>
  <si>
    <t>KEBUN PEMDA &amp; PERHENTIAN SUNGKAI</t>
  </si>
  <si>
    <t>CERENTI - PL. BAYUR - SEI. PERUPUK - TELUK PAUH - CERENTI, RUAS JALAN PANGEAN - PL. KUMPAI - PSR USANG BASERAH - KUANTAN HILIR, RUAS JALAN KOTO RAJO - PL. JAMBU INUMAN DAN RUAS JALAN PAUH ANGIT - PL. RANGGAS PANGEAN</t>
  </si>
  <si>
    <t>KUANTAN SINGINGI</t>
  </si>
  <si>
    <t>BENAI - KOTO RAJO - PL, JAMBU DAN JALAN SEBERANG TELUK KUANTAN - SIBEROBAH - SANGAU</t>
  </si>
  <si>
    <t>SAWAH</t>
  </si>
  <si>
    <t>PL. BAYUR-SEI. PERUPUK-TL. PAUH</t>
  </si>
  <si>
    <t xml:space="preserve">MUDIK ULO - TANJUNG MEDANG, IBUL - SEI. BESAR, LB. JAMBI - SEI BESAR, PL. MUNGKUR - KOTO GUNUNG, KP. BARU TOAR - JAKE, BASERAH - PERHENTIAN LUAS, SP. KARI/ TERMINAL GERBANG KOTA (SITORAJO) </t>
  </si>
  <si>
    <t>SUMBER JAYA - KUANTAN SAKO</t>
  </si>
  <si>
    <t>PL. KOMANG - TERMINAL - SENTAJO</t>
  </si>
  <si>
    <t>BASERAH - PERHENTIAN LUAS</t>
  </si>
  <si>
    <t xml:space="preserve">SEI. TIU </t>
  </si>
  <si>
    <t>SEI. TIU RUAS JALAN IBUL - SEI. BESAR</t>
  </si>
  <si>
    <t>DESA SANGAU</t>
  </si>
  <si>
    <t>SEI. TESO  RUAS JALAN SUKARAJA - GIRI SAKO</t>
  </si>
  <si>
    <t>SP. HANDOYO - SP.4 PT. WARNASARI</t>
  </si>
  <si>
    <t>SINAMBEK - SPORT CENTRE</t>
  </si>
  <si>
    <t>LINGKAR KANTOR KEJARI</t>
  </si>
  <si>
    <t>LINGKAR KANTOR POLRES</t>
  </si>
  <si>
    <t>SAKO - TRANS SKP II DESA SUKARAJA</t>
  </si>
  <si>
    <t>SAKO - TRANS SKP II (DESA KUANTAN SAKO)</t>
  </si>
  <si>
    <t>JAKE - LB. AMBACANG</t>
  </si>
  <si>
    <t>IBUL - SEI. BESAR</t>
  </si>
  <si>
    <t>SEI. AIR HITAM</t>
  </si>
  <si>
    <t>PERKANTORAN PEMDA DAN JALAN DALAM KOTA TELUK KUANTAN</t>
  </si>
  <si>
    <t>LINGKAR DESA PEBAUN HULU</t>
  </si>
  <si>
    <t>MENUJU PUSKESMAS LUBUK JAMBI</t>
  </si>
  <si>
    <t>AIR MAS - SEI. KERANJI - PASIR MAS</t>
  </si>
  <si>
    <t>SP.4 BERINGIN SAWAH-GERBANG SENTAJO</t>
  </si>
  <si>
    <t>LINGKAR DESA KOPAH</t>
  </si>
  <si>
    <t>DALAM KOTA TELUK KUANTAN</t>
  </si>
  <si>
    <t>SP.TIGA-KARI</t>
  </si>
  <si>
    <t>PINTU GOBANG KARI - JAKE</t>
  </si>
  <si>
    <t>KEBUN NOPI</t>
  </si>
  <si>
    <t>SAKO-TRANS SKP II (DESA KUANTAN SAKO)</t>
  </si>
  <si>
    <t>SP. MUARA BAHAN-MUARA BAHAN</t>
  </si>
  <si>
    <t>SP. TERATAK BARU-TERATAK BARU</t>
  </si>
  <si>
    <t>LINGKAR DESA PULAU KOPUANG</t>
  </si>
  <si>
    <t>BASERAH-PERHENTIAN LUAS (DESA TERATAK RENDAH)</t>
  </si>
  <si>
    <t>LUBUK JAMBI - SAIK</t>
  </si>
  <si>
    <t>SEI. SOBAN  RUAS JALAN PANGKALAN-MUARA PETAI-SITIANG</t>
  </si>
  <si>
    <t>SEI.TINGKALAK RUAS JALAN SIMPANG HANDOYO-SUMBER DATAR</t>
  </si>
  <si>
    <t>SEI. BAWANG RUAS JALAN SUMBER DATAR-AIR MAS</t>
  </si>
  <si>
    <t>SEI. KERANJI RUAS JALAN SUMBER DATAR-SEI. KERANJI-PASIR MAS</t>
  </si>
  <si>
    <t>SEI. BALUI RUAS JALAN SIMPANG HANDOYO-SUMBER DATAR</t>
  </si>
  <si>
    <t>SEI.SUKAM DAN PEMBUATAN JEMBATAN SEI.LIBUAI</t>
  </si>
  <si>
    <t>JAKE-KOTO KOMBU, LBK.AMBACANG-LBK. JAMBI</t>
  </si>
  <si>
    <t>SP.HANDOYO-SP.SEI.SIRIH-SP.4 PT.WANASARI-SP.SUKAMAJU-KOTO BARU</t>
  </si>
  <si>
    <t>SEI. JERING-TK PEMBINA</t>
  </si>
  <si>
    <t>PULAU BUNGIN - PT. DUTA PALMA</t>
  </si>
  <si>
    <t>BENAI-PL. KOPUNG</t>
  </si>
  <si>
    <t>DESA TANAH BEKALI</t>
  </si>
  <si>
    <t>PAUH ANGIT-PL. RENGAS-SUKAPING</t>
  </si>
  <si>
    <t>BANJAR LOPAK - PEMBATANG</t>
  </si>
  <si>
    <t>SIMPANG 4 PANGKALAN - MUARA PETAI - SITIANG</t>
  </si>
  <si>
    <t>LUBUK JAMBI-SP. IBUL</t>
  </si>
  <si>
    <t>LOGAS-SUMBER DATAR</t>
  </si>
  <si>
    <t>SEI. KLESEK</t>
  </si>
  <si>
    <t>KP. BARU TOAR-PASAR GUNUNG</t>
  </si>
  <si>
    <t>KOTA MUARA LEMBU</t>
  </si>
  <si>
    <t>SEI. DANAU BESAR RUAS JALAN KOTO RAJO - PL. JAMBU</t>
  </si>
  <si>
    <t xml:space="preserve">KUANTAN SAKO - SAKO MARGASARI </t>
  </si>
  <si>
    <t>SPORT CENTRE</t>
  </si>
  <si>
    <t xml:space="preserve">PASAR USANG BASERAH </t>
  </si>
  <si>
    <t>SEI. RAMBAI - RAMBAHAN</t>
  </si>
  <si>
    <t>SIMPANG MUNSALO - MUNSALO</t>
  </si>
  <si>
    <t>SIMPANG PULAU KEDUNDUNG - PULAU KEDUNDUNG</t>
  </si>
  <si>
    <t>SEI. BATANG PAPAN RUAS JALAN SP. RAMBAHAN-RAMBAHAN</t>
  </si>
  <si>
    <t>DUSUN TUO - GUNUNG MELINTANG</t>
  </si>
  <si>
    <t>KASANG LIMAU SUNDAI</t>
  </si>
  <si>
    <t>SP. HANDOYO - SUMBER DATAR</t>
  </si>
  <si>
    <t>SUMBER JAYA</t>
  </si>
  <si>
    <t>JAKE - LUBUK AMBACANG - LUBUK JAMBI</t>
  </si>
  <si>
    <t>MESJID KOTO - PULAU ARO</t>
  </si>
  <si>
    <t>SAIK - KOTO KOMBU</t>
  </si>
  <si>
    <t>PINANG MERAH - MUARA PETAI</t>
  </si>
  <si>
    <t>SIMPANG STM - BERINGIN - SAWAH</t>
  </si>
  <si>
    <t>SEI. GERINGGING PULAU ARO</t>
  </si>
  <si>
    <t>KABUPATEN - SEI. GERINGGING PL. ARO</t>
  </si>
  <si>
    <t>PULAU KOMANG - MUARO - BENDUNGAN</t>
  </si>
  <si>
    <t>KELURAHAN SEI. JERING</t>
  </si>
  <si>
    <t xml:space="preserve"> LOGAS TANAH DARAT - JALAN RAPP</t>
  </si>
  <si>
    <t>PULAU KEDUNDUNG - DUTA PALMA</t>
  </si>
  <si>
    <t>LEPAU GADING - PANGEAN</t>
  </si>
  <si>
    <t>KAMPUNG BARU TOAR - GUNUNG</t>
  </si>
  <si>
    <t>PERKANTORAN PEMDA (JALAN KESEHATAN )</t>
  </si>
  <si>
    <t>SEI. SIRIH - TERMINAL - SENTAJO</t>
  </si>
  <si>
    <t>LINGKAR UNIKS</t>
  </si>
  <si>
    <t>SMP 2 TELUK KUANTAN - BERINGIN</t>
  </si>
  <si>
    <t>BATU HAMPAR - KAMPUNG DATAR</t>
  </si>
  <si>
    <t>LINGKAR KANTOR CAMAT SENTAJO RAYA</t>
  </si>
  <si>
    <t>JALAN MENUJU SMK 3 KELURAHAN SEI. JERING</t>
  </si>
  <si>
    <t>SEBERANG TALUK - SANGAU</t>
  </si>
  <si>
    <t>HASANAH - PULAU BUNGIN</t>
  </si>
  <si>
    <t>KUANTAN SAKO - SAKO MARGASARI</t>
  </si>
  <si>
    <t>SEBERANG TALUK - DUTA PALMA</t>
  </si>
  <si>
    <t>TANJUNG - MUARO TOMBANG</t>
  </si>
  <si>
    <t>STM - SAWAH</t>
  </si>
  <si>
    <t>SMP 2 TELUK KUANTAN - JL. KAB. STM - BERIGIN</t>
  </si>
  <si>
    <t>PEMAKAMAN PL. ARO</t>
  </si>
  <si>
    <t>LINGK. KANTOR CAMAT BENAI</t>
  </si>
  <si>
    <t>PSR USANG - PL. MADINAH</t>
  </si>
  <si>
    <t>SP. SEI KUNING - SP. 4 PT.WANASARI</t>
  </si>
  <si>
    <t>PASIR MAS - SAKO MARGA SARI</t>
  </si>
  <si>
    <t>LINGKAR PERUMNAS</t>
  </si>
  <si>
    <t>BATANG TABALAI</t>
  </si>
  <si>
    <t>SEI.TINGKALAK HILIR RUAS JLN.SIMP.JAKE - SEI.SIRIH</t>
  </si>
  <si>
    <t>LOGAS - TANJUNG MEDANG</t>
  </si>
  <si>
    <t xml:space="preserve">SEI.KLESEK HULU RUAS JL.AIR MAS - SEI KIRANJI </t>
  </si>
  <si>
    <t>SEI BAWANG RUAS JALAN JAKE - SEI. SIRIH</t>
  </si>
  <si>
    <t>SEBERANG TALUK- SIBEROBAH - SANGAU</t>
  </si>
  <si>
    <t>PULAU KOPUNG</t>
  </si>
  <si>
    <t>KOTO GUNUNG - PL. MUNGKUR</t>
  </si>
  <si>
    <t>PADANG MUNSALO - SAWAH</t>
  </si>
  <si>
    <t>SEBERANG TALUK-KANDANG TUMIYANG</t>
  </si>
  <si>
    <t>SEI. TOLANG - BIKIT AMBALAU</t>
  </si>
  <si>
    <t>TOPAN- PERUMNAS</t>
  </si>
  <si>
    <t>SUKA MAJU</t>
  </si>
  <si>
    <t>MENUJU TPA</t>
  </si>
  <si>
    <t>GOR JALUR DUA</t>
  </si>
  <si>
    <t>AIR MAS-SEI. KIRANJI</t>
  </si>
  <si>
    <t>TOAR - PETAPAHAN</t>
  </si>
  <si>
    <t>KASANG - SEI. KELELAWAR</t>
  </si>
  <si>
    <t>SIMP.PL.ARO</t>
  </si>
  <si>
    <t>RUAS JALAN TAWAKAL</t>
  </si>
  <si>
    <t>DESA SEBERANG SUNGAI</t>
  </si>
  <si>
    <t>DESA BERINGIN</t>
  </si>
  <si>
    <t>TITIAN MODANG</t>
  </si>
  <si>
    <t>DESA SUNGAI PAKU</t>
  </si>
  <si>
    <t>TEBARAU PANJANG-DUTA PALMA</t>
  </si>
  <si>
    <t>SEI. AIR DALUS JL.JAKE-KOTO KOMBU</t>
  </si>
  <si>
    <t>LINGKAR KARAK - PULAU ARO</t>
  </si>
  <si>
    <t>DESA PULAU PANJANG CERENTI</t>
  </si>
  <si>
    <t xml:space="preserve">SEI.KUKOK BESAR </t>
  </si>
  <si>
    <t>JALAN PERKANTORAN PEMDA</t>
  </si>
  <si>
    <t>TINGKALAK JL.SIMP.HANDOYO-SUMBER DATAR</t>
  </si>
  <si>
    <t>LUBUK JAMBI - SAIK - PEBAUN</t>
  </si>
  <si>
    <t xml:space="preserve">MUDIK ULO - INUMAN - SUMPU </t>
  </si>
  <si>
    <t>LOGAS - SUMBER DATAR + PASAR LOGAS</t>
  </si>
  <si>
    <t>JALAN IMAM MUNANDAR</t>
  </si>
  <si>
    <t>PEMBATANG - PADANG KUNYIT</t>
  </si>
  <si>
    <t>SEI BESAR - PERHENTIAN SUNGKAI</t>
  </si>
  <si>
    <t>SEI. KUKOK KECIL</t>
  </si>
  <si>
    <t>SEI. SORIAK - RAWANG OGUNG</t>
  </si>
  <si>
    <t>JAKE - SAKO MARGASARI</t>
  </si>
  <si>
    <t>TERATAK BARU</t>
  </si>
  <si>
    <t>SEBERANG TALUK - SIBEROBAH</t>
  </si>
  <si>
    <t>PEMBATANG - PADANG TANGGUNG</t>
  </si>
  <si>
    <t>SEI.JERING - SIMPANG TIGA</t>
  </si>
  <si>
    <t>AREAL PUSKESMAS KEC. GUNUNG TOAR</t>
  </si>
  <si>
    <t>DUSUN TUO DESA SEBERANG TALUK</t>
  </si>
  <si>
    <t>MANGGIS DUSUN SINAMBEK KEL. SEI.JERING</t>
  </si>
  <si>
    <t>PAUH KUCING</t>
  </si>
  <si>
    <t>PASAR BARU PANGEAN-BENDUNGAN</t>
  </si>
  <si>
    <t>LOGAS TANAH DARAT -RAPP</t>
  </si>
  <si>
    <t>PULAU BINTANG-PASAR BARU PANGEAN</t>
  </si>
  <si>
    <t>JALAN POROS SUKAMAJU</t>
  </si>
  <si>
    <t>DESA PARIT-DESA JALUR PATAH</t>
  </si>
  <si>
    <t>KELOMPOK TANI AMBACANG KP. BARU CERENTI</t>
  </si>
  <si>
    <t>LINGKAR BOTUANG PULAU ARO</t>
  </si>
  <si>
    <t>TEBING SALO-PULAO OMBAK</t>
  </si>
  <si>
    <t>SAKO-TRANS SKP II ( DESA BUMI MULYA)</t>
  </si>
  <si>
    <t>JALAN BARU SUNGAI PERUPUK</t>
  </si>
  <si>
    <t>SIKAKAK-CERENTI SUBUR 9SEI.BAYU</t>
  </si>
  <si>
    <t>SAMPING KANTOR CAMAT KUANTAN TENGAH-JALUR DUA KARI</t>
  </si>
  <si>
    <t>DUSUN PINYONGEK</t>
  </si>
  <si>
    <t>UJUNG TANJUNG BENAI</t>
  </si>
  <si>
    <t>LINGKAR KAMPUNG BARU SENTAJO</t>
  </si>
  <si>
    <t>GUNUNG KESIANGAN- PULAU KALIMANTING</t>
  </si>
  <si>
    <t>SIMPANG PULAU ARO-PULAU ARO</t>
  </si>
  <si>
    <t>PANDAN WANGI-JALAN TAWAKAL</t>
  </si>
  <si>
    <t>LINGKAR DESA GUNUNG</t>
  </si>
  <si>
    <t>GUNUNG KESIANGAN - BANJAR LOPAK - PEMBATANG - PADANG KUNYIT</t>
  </si>
  <si>
    <t>PETAPAHAN - JAKE</t>
  </si>
  <si>
    <t>DESA SEI. KERANJI - AIR MAS</t>
  </si>
  <si>
    <t>SP. 4 PT. WANASARI-MUARA BAHAN</t>
  </si>
  <si>
    <t>SAKO-TRANS SKP II/DESA MUARA LANGSAT DAN DESA SUKARAJA</t>
  </si>
  <si>
    <t>LINGKAR TANJUNG - MUARA TOMBANG</t>
  </si>
  <si>
    <t>DESA PULAU MADINAH</t>
  </si>
  <si>
    <t>INUMAN - PULAU BUSUK</t>
  </si>
  <si>
    <t>LINGKAR DESA TANJUNG PAUH</t>
  </si>
  <si>
    <t>PAUH ANGIT - PL. RENGAS - SEKAPING</t>
  </si>
  <si>
    <t>TSM SIMPANG RAYA - SIMPANG LIMA PT. WANASARI NUSANTARA</t>
  </si>
  <si>
    <t>MENUJU KANDANG TUMIYANG</t>
  </si>
  <si>
    <t>MUNSALO  - SEBERANG TALUK (LOKASI PACU JALUR SENTAJO RAYA)</t>
  </si>
  <si>
    <t>PESIKAIAN - TELUK PAUH</t>
  </si>
  <si>
    <t>JALAN MANGGIS KEL. SINAMBEKLINGKUNGAN III</t>
  </si>
  <si>
    <t>DESA TITIAN MODANG</t>
  </si>
  <si>
    <t>SP. TERATAK JERING - RAWANG OGUNG</t>
  </si>
  <si>
    <t>DESA SAKO DUSUN II</t>
  </si>
  <si>
    <t>SUNGAI BESAR - SITIANG</t>
  </si>
  <si>
    <t>KAYU BATU - PULAU BAYUR</t>
  </si>
  <si>
    <t>MUDIK ULO - INUMAN - SUMPU</t>
  </si>
  <si>
    <t>PENINGKATAN JALAN LINGKAR DESA GUNUNG (ASPAL)</t>
  </si>
  <si>
    <t>PENINGKATAN JALAN GUNUNG KESIANGAN - BANJAR LOPAK - PEMBATANG - PADANG KUNYIT (ASPAL)</t>
  </si>
  <si>
    <t>PENINGKATAN JALAN PETAPAHAN - JAKE (URPIL)</t>
  </si>
  <si>
    <t>PENINGKATAN JALAN DESA SEI. KERANJI - AIR MAS (ASPAL)</t>
  </si>
  <si>
    <t>PENINGKATAN JALAN SP. 4 PT. WANASARI-MUARA BAHAN (ASPAL)</t>
  </si>
  <si>
    <t>PENINGKATAN JALAN SAKO-TRANS SKP II (ASPAL)/DESA MUARA LANGSAT DAN DESA SUKARAJA</t>
  </si>
  <si>
    <t>PENINGKATAN JALAN LINGKAR TANJUNG - MUARA TOMBANG (ASPAL)</t>
  </si>
  <si>
    <t>PENINGKATAN JALAN DESA PULAU MADINAH (ASPAL)</t>
  </si>
  <si>
    <t>PENINGKATAN JALAN INUMAN - PULAU BUSUK (ASPAL)</t>
  </si>
  <si>
    <t>PENINGKATAN JALAN LINGKAR DESA TANJUNG PAUH (ASPAL)</t>
  </si>
  <si>
    <t>PENINGKATAN JALAN SP. HANDOYO - SUMBER DATAR (ASPAL)</t>
  </si>
  <si>
    <t>PENINGKATAN JALAN SEBERANG TALUK - SEBERANG BENAI (ASPAL)</t>
  </si>
  <si>
    <t>PENINGKATAN JALAN PAUH ANGIT - PL. RENGAS - SEKAPING (ASPAL)</t>
  </si>
  <si>
    <t>PENINGKATAN JALAN KOTO GUNUNG - PL. MUNGKUR (ASPAL)</t>
  </si>
  <si>
    <t>PENINGKATAN JALAN TSM SIMPANG RAYA - SIMPANG LIMA PT. WANASARI NUSANTARA (ASPAL)</t>
  </si>
  <si>
    <t>PENINGKATAN JALAN MENUJU KANDANG TUMIYANG (URPIL)</t>
  </si>
  <si>
    <t>PENINGKATAN JALAN MUNSALO  - SEBERANG TALUK (LOKASI PACU JALUR SENTAJO RAYA) (URPIL)</t>
  </si>
  <si>
    <t>PENINGKATAN JALAN PESIKAIAN - TELUK PAUH (URPIL)</t>
  </si>
  <si>
    <t>PEMBUATAN BOX CULVERT JALAN MANGGIS KEL. SINAMBEKLINGKUNGAN III</t>
  </si>
  <si>
    <t>PEMBUATAN BOX CULVERT DESA TITIAN MODANG</t>
  </si>
  <si>
    <t>PENINGKATAN JALAN SP. TERATAK JERING - RAWANG OGUNG (ASPAL)</t>
  </si>
  <si>
    <t>PENINGKATAN JALAN DESA SAKO DUSUN II (ASPAL)</t>
  </si>
  <si>
    <t>PENINGKATAN JALAN SUNGAI BESAR - SITIANG (ASPAL)</t>
  </si>
  <si>
    <t>PENINGKATAN JALAN KAYU BATU - PULAU BAYUR (ASPAL)</t>
  </si>
  <si>
    <t>PENINGKATAN JALAN SEBERANG TALUK - SIBEROBAH (ASPAL) (DAK)</t>
  </si>
  <si>
    <t>PENINGKATAN JALAN LUBUK JAMBI - SAIK (ASPAL) (DAK)</t>
  </si>
  <si>
    <t>PEMELIHARAAN JALAN KOTO BARU - SUKA MAJU</t>
  </si>
  <si>
    <t>PEMELIHARAAN JALAN SP. 4 PT WANASARI - SUKA MAJU</t>
  </si>
  <si>
    <t>PEMELIHARAAN JALAN MUDIK ULO - INUMAN - SUMPU</t>
  </si>
  <si>
    <t>PEMELIHARAAN JALAN JAKE - GERINGGING BARU</t>
  </si>
  <si>
    <t>PEMBUATAN SUMUR BOR</t>
  </si>
  <si>
    <t>PEMBANGUNAN SALURAN DRAINASE DESA SUNGAI MANAU</t>
  </si>
  <si>
    <t>DRAINASE JALAN DESA SUNGAI KUNING</t>
  </si>
  <si>
    <t xml:space="preserve"> DRAINASE JALAN LINGKAR KOPAH</t>
  </si>
  <si>
    <t>SALURAN DRAINASE SUNGAI SINAMBEK (TUGU CERANO)</t>
  </si>
  <si>
    <t>DRAINASE DARI EMBUNG PEMDA KE SUNGAI SINAMBEK</t>
  </si>
  <si>
    <t>LOANING SUNGAI JAO KEL. SIMPANG TIGA</t>
  </si>
  <si>
    <t>LOANING SUNGAI MESJID DESA MUARO TOMBANG</t>
  </si>
  <si>
    <t>LOANING SUNGAI JERING KEL. SIMPANG TIGA</t>
  </si>
  <si>
    <t>LOANING SUNGAI GERINGGING DESA GERINGGING BARU</t>
  </si>
  <si>
    <t xml:space="preserve"> LOANING SUNGAI NANUN DESA BERINGIN</t>
  </si>
  <si>
    <t>TURAP PENAHAN TEBING SUNGAI KUANTAN DAN TRIBUN UTAMA GELANGGANG PACU JALUR TEPIAN PANTAI DESA LUBUK TERENTANG</t>
  </si>
  <si>
    <t>TURAP PENAHAN TEBING SUNGAI KUANTAN DAN TRIBUN UTAMA GELANGGANG PACU JALUR TEPIAN PINCURAN SATI BENAI</t>
  </si>
  <si>
    <t>TURAP PENAHAN TEBING SUNGAI KUANTAN DAN TRIBUN UTAMA GELANGGANG PACU JALUR TEPIAN H. SAIDINA ALI LUBUK JAMBI</t>
  </si>
  <si>
    <t>BRONJONG PENAHAN TEBING KELURAHAN PASAR BARU BASERAH</t>
  </si>
  <si>
    <t>BRONJONG PENAHAN TEBING SUNGAI TOAR</t>
  </si>
  <si>
    <t>BRONJONG PENAHAN TEBING SUNGAI SINGINGI KEL. MUARA LEMBU</t>
  </si>
  <si>
    <t>BRONJONG DAN NORMALISASI SUNGAI KLESOT DESA PASIR MAS</t>
  </si>
  <si>
    <t xml:space="preserve"> BRONJONG SUNGAI MAKAM DESA LANGSAT HULU</t>
  </si>
  <si>
    <t>BRONJONG PENAHAN TEBING SUNGAI LIBUAI DUSUN PENGHIJAUAN DESA PASAR BARU PANGEAN</t>
  </si>
  <si>
    <t>TURAP PENAHAN TEBING SUNGAI KUANTAN DAN DERMAGA OBJEK WISATA AIR TERJUN TUJUH TINGKAT BATANG KOBAN</t>
  </si>
  <si>
    <t>BRONJONG SUNGAI ALAHAN DESA KOTO LUBUK JAMBI</t>
  </si>
  <si>
    <t>PENAHAN TEBING SUNGAI MADUHUM DESA PULAU ARO</t>
  </si>
  <si>
    <t>JARINGAN IRIGASI DI BASERAH I</t>
  </si>
  <si>
    <t>JARINGAN IRIGASI DI BASERAH II</t>
  </si>
  <si>
    <t>REHABILITASI BPA DESA BANJAR GUNTUNG</t>
  </si>
  <si>
    <t>SALURAN PEMBUANG DAN REHABILITASI BPA DESA BANDAR ALAI</t>
  </si>
  <si>
    <t>REHABILITASI BPA DESA TEBERAU PANJANG</t>
  </si>
  <si>
    <t>PENINGKATAN JARINGAN IRIGASI DI PISANG BEREBUS</t>
  </si>
  <si>
    <t>PENINGKATAN JARINGAN IRIGASI DI PULAU ARO</t>
  </si>
  <si>
    <t>REHABILITASI JARINGAN IRIGASI DI SEBERANG TALUK I</t>
  </si>
  <si>
    <t>REHABILITASI JARINGAN IRIGASI DI KINALI</t>
  </si>
  <si>
    <t>REHABILITASI JARINGAN IRIGASI DI SENTAJO I</t>
  </si>
  <si>
    <t>PENINGKATAN JARINGAN IRIGASI DI LUBUK AMBACANG II (DAK)</t>
  </si>
  <si>
    <t>REHABILITASI CEK DAM SEI.SIRIH</t>
  </si>
  <si>
    <t>PENGAMAN TEBING SUNGAI LOGAS</t>
  </si>
  <si>
    <t>NORMALISASI SUNGAI LINTANG SINAMBEK - MUARO SENTAJO KECAMATAN SENTAJO RAYA</t>
  </si>
  <si>
    <t>KOTO RAJO</t>
  </si>
  <si>
    <t>BATANG TESO</t>
  </si>
  <si>
    <t>KEC. KUANTAN TENGAH)</t>
  </si>
  <si>
    <t>SUNGAI (MTS) SINGINGI</t>
  </si>
  <si>
    <t>TANAH TABOBAK</t>
  </si>
  <si>
    <t>KP. BARU SENTAJO</t>
  </si>
  <si>
    <t>SEI. SINAMBEK (TUGU CARANO)</t>
  </si>
  <si>
    <t>SUNGAI KUANTAN PANCANG STAR TELUK KUANTAN</t>
  </si>
  <si>
    <t>SUNGAI KUANTAN BABU</t>
  </si>
  <si>
    <t>KARI - SINAMBEK</t>
  </si>
  <si>
    <t>SEI. LIMANGAN DESA LOGAS</t>
  </si>
  <si>
    <t xml:space="preserve">SEI. GEMURUH KOTO TALUK </t>
  </si>
  <si>
    <t>SEI. MTS MUARA LEMBU</t>
  </si>
  <si>
    <t>SUNGAI LEMBU AREAL MANDI BALIMAU</t>
  </si>
  <si>
    <t>SEI.LEMBU</t>
  </si>
  <si>
    <t>SEI. MARIMBUNGAN DESA KOTO SENTAJO</t>
  </si>
  <si>
    <t>SEI. SINAMBEK (SMA 3) TELUK KUANTAN</t>
  </si>
  <si>
    <t>JAKE</t>
  </si>
  <si>
    <t>SEI. SINAMBEK HILIR (MUARO SENTAJO)</t>
  </si>
  <si>
    <t>SEI. KUANTAN CERENTI</t>
  </si>
  <si>
    <t>SEI. JERING BELAKANG BALAI ADAT</t>
  </si>
  <si>
    <t>SEI. KUANTAN KRESEK</t>
  </si>
  <si>
    <t>TRIBUN UTAMA (HAKIM) PANCANG FINIS PANGEAN</t>
  </si>
  <si>
    <t>SINAMBEK (MESJID AGUNG)</t>
  </si>
  <si>
    <t>SUNGAI GEMURUH (SAMPING TUGU JALUR)</t>
  </si>
  <si>
    <t>KOTO GUNUNG</t>
  </si>
  <si>
    <t>SUNGAI PERUPUK DESA PULAU PANJANG CERENTI</t>
  </si>
  <si>
    <t>SEI. DESA PULAU BARU KOPAH</t>
  </si>
  <si>
    <t>SUNGAI NANUN</t>
  </si>
  <si>
    <t>PERUMNAS - TK PEMBINA</t>
  </si>
  <si>
    <t>JAYA KOPAH</t>
  </si>
  <si>
    <t>SUNGAI MARIMBUNGAN DESA KOTO SENTAJO</t>
  </si>
  <si>
    <t>JALAN PLN</t>
  </si>
  <si>
    <t>LINGKAR SEBERANG TALUK</t>
  </si>
  <si>
    <t>ARENA DAYUNG KEBUN NOPI</t>
  </si>
  <si>
    <t xml:space="preserve">JALAN SAWIT </t>
  </si>
  <si>
    <t>SEI. KUANTAN DESA PL.KOMANG</t>
  </si>
  <si>
    <t>TEBING MESJID LOGAS</t>
  </si>
  <si>
    <t xml:space="preserve">CENGAR </t>
  </si>
  <si>
    <t>PANTAI TEBING</t>
  </si>
  <si>
    <t>SUNGAI BATANG BAHAN DESA SITORAJO KARI</t>
  </si>
  <si>
    <t>SEI. SORIAK DESA SEBERANG TALUK</t>
  </si>
  <si>
    <t>SEI. PIUDANG DESA PINTU GOBANG KARI</t>
  </si>
  <si>
    <t>SUNGAI SAKAU DESA SUKA MAJU</t>
  </si>
  <si>
    <t>SUNGAI SIALANG DESA SITORAJO KARI</t>
  </si>
  <si>
    <t>SEBERANG TELUK HILIR</t>
  </si>
  <si>
    <t>KAYU ARO KEL. MUARA LEMBU</t>
  </si>
  <si>
    <t>SUNGAI BATANG UWO DESA  KEBUN LADO</t>
  </si>
  <si>
    <t>LEMBU DESA LOGAS HILIR</t>
  </si>
  <si>
    <t>DESA BERINGIN JAYA</t>
  </si>
  <si>
    <t>ANAKAN BASAU DESA MUARA BAHAN</t>
  </si>
  <si>
    <t>SIPAN LUBUK RONGE KOTO RAJO</t>
  </si>
  <si>
    <t>SEI. LANGSAT DESA LANGSAT HULU</t>
  </si>
  <si>
    <t>SEI. PERUPUK DESA PULAU PANJANG</t>
  </si>
  <si>
    <t>SUNGAI SIRIH - MUARO SENTAJO</t>
  </si>
  <si>
    <t>SINAMBEK MUARO - PULAU KOMANG</t>
  </si>
  <si>
    <t>SUNGAI SINAMBEK</t>
  </si>
  <si>
    <t>MAKAM DESA LANGSAT HULU</t>
  </si>
  <si>
    <t>PIK UDANG (SMA KARI)</t>
  </si>
  <si>
    <t>BASERAH II</t>
  </si>
  <si>
    <t>SEBERANG GUNUNG</t>
  </si>
  <si>
    <t>LUBUK AMBACANG I</t>
  </si>
  <si>
    <t>PULAU PANJANG CERENTI</t>
  </si>
  <si>
    <t>PULAU ARO DESA PULAU KEDUNDUNG SUNGA RAWANG PANJANG</t>
  </si>
  <si>
    <t>SEI. TOLANG DESA PULAU ARO</t>
  </si>
  <si>
    <t>GERINGGING BARU</t>
  </si>
  <si>
    <t>SEI. JERING</t>
  </si>
  <si>
    <t>SEI. NANUN DESA KOTO TALUK</t>
  </si>
  <si>
    <t>LINGKAR PULAU KOPUNG</t>
  </si>
  <si>
    <t>SEBERANG TALUK-SANGAU</t>
  </si>
  <si>
    <t>PULAU BAYUR-SEI. PERUPUK</t>
  </si>
  <si>
    <t>SEI. JERING (SMK N3 TELUK KUANTAN)</t>
  </si>
  <si>
    <t>RUMAH DINAS DPRD ARAH BALAI ADAT SEI. JERING</t>
  </si>
  <si>
    <t>SUNGAI DESA SUMBER JAYA</t>
  </si>
  <si>
    <t>MESJID HANQQUL YAKIN DS. SEI LANGSAT</t>
  </si>
  <si>
    <t>SUNGAI GERINGGING DESA GERINGGING BARU</t>
  </si>
  <si>
    <t>MUARO TOMBANG</t>
  </si>
  <si>
    <t>SEI.PANCURAN BETUNG DS KOTO CERENTI</t>
  </si>
  <si>
    <t>SEI. PETAPAHAN</t>
  </si>
  <si>
    <t>SEI. PERUPUK DESA PL.PANJANG CERENTI</t>
  </si>
  <si>
    <t>SEI. JERING BLKANG BALAI ADAT</t>
  </si>
  <si>
    <t>SEI. TAPIOKA DESA LANGSAT HULU</t>
  </si>
  <si>
    <t>SEI. BATANG PAKU DESA SEI. PAKU</t>
  </si>
  <si>
    <t>SEI. GERINGGING DESA TITIAN MODANG</t>
  </si>
  <si>
    <t>SEI.DESA SIDODADI</t>
  </si>
  <si>
    <t>SEI.JERING</t>
  </si>
  <si>
    <t>SEI.SANGAU</t>
  </si>
  <si>
    <t>SUNGAI LILISAN</t>
  </si>
  <si>
    <t>SEI. LINGKUE</t>
  </si>
  <si>
    <t>SUNGAI BESAR</t>
  </si>
  <si>
    <t>PL KOPUNG</t>
  </si>
  <si>
    <t>SEI.TONAM DESA SEBERANG TALUK HILIR</t>
  </si>
  <si>
    <t>PULAU ARO</t>
  </si>
  <si>
    <t>SEI.TOLANG DESA PL. ARO</t>
  </si>
  <si>
    <t>SEI. SORIAK DESA SEBERANG TALUK HILIR</t>
  </si>
  <si>
    <t>SEI. TONAM DESA SEBERANG TALUK HILIR</t>
  </si>
  <si>
    <t>BENAI KECIL</t>
  </si>
  <si>
    <t>KINALI</t>
  </si>
  <si>
    <t>SAMPURAGO</t>
  </si>
  <si>
    <t>SEI PAING</t>
  </si>
  <si>
    <t>TANJUNG KEC.HK</t>
  </si>
  <si>
    <t>PULAU BANJAR KARI</t>
  </si>
  <si>
    <t>SUNGAI PAKU</t>
  </si>
  <si>
    <t>KOTO SENTAJO</t>
  </si>
  <si>
    <t>EI. JERING II DESA BERINGIN</t>
  </si>
  <si>
    <t xml:space="preserve">PANGKALAN INDARUNG </t>
  </si>
  <si>
    <t>PULAU DERAS</t>
  </si>
  <si>
    <t>TANJUNG</t>
  </si>
  <si>
    <t>JALAN LINGKAR KOPAH</t>
  </si>
  <si>
    <t>SUNGAI SINAMBEK (TUGU CERANO)</t>
  </si>
  <si>
    <t>EMBUNG PEMDA KE SUNGAI SINAMBEK</t>
  </si>
  <si>
    <t>SUNGAI JAO KEL. SIMPANG TIGA</t>
  </si>
  <si>
    <t>SUNGAI MESJID DESA MUARO TOMBANG</t>
  </si>
  <si>
    <t>SUNGAI JERING KEL. SIMPANG TIGA</t>
  </si>
  <si>
    <t>SUNGAI NANUN DESA BERINGIN</t>
  </si>
  <si>
    <t>GELANGGANG PACU JALUR TEPIAN PANTAI DESA LUBUK TERENTANG</t>
  </si>
  <si>
    <t>GELANGGANG PACU JALUR TEPIAN PINCURAN SATI BENAI</t>
  </si>
  <si>
    <t>GELANGGANG PACU JALUR TEPIAN H. SAIDINA ALI LUBUK JAMBI</t>
  </si>
  <si>
    <t>SUNGAI TOAR</t>
  </si>
  <si>
    <t>SUNGAI SINGINGI KEL. MUARA LEMBU</t>
  </si>
  <si>
    <t>SUNGAI KLESOT DESA PASIR MAS</t>
  </si>
  <si>
    <t>SUNGAI MAKAM DESA LANGSAT HULU</t>
  </si>
  <si>
    <t>SUNGAI LIBUAI DUSUN PENGHIJAUAN DESA PASAR BARU PANGEAN</t>
  </si>
  <si>
    <t>DERMAGA OBJEK WISATA AIR TERJUN TUJUH TINGKAT BATANG KOBAN</t>
  </si>
  <si>
    <t>SUNGAI ALAHAN DESA KOTO LUBUK JAMBI</t>
  </si>
  <si>
    <t>SUNGAI MADUHUM DESA PULAU ARO</t>
  </si>
  <si>
    <t>BANDAR ALAI</t>
  </si>
  <si>
    <t>PISANG BEREBUS</t>
  </si>
  <si>
    <t>SENTAJO I</t>
  </si>
  <si>
    <t>LUBUK AMBACANG II</t>
  </si>
  <si>
    <t>SEI.SIRIH</t>
  </si>
  <si>
    <t>SUNGAI LOGAS</t>
  </si>
  <si>
    <t>SINAMBEK - MUARO SENTAJO</t>
  </si>
  <si>
    <t>INSTALASI LISTRIK</t>
  </si>
  <si>
    <t xml:space="preserve">PENGADAAN DAN PEMASANGAN JARINGAN TM DAN TR + TRAVO SPLN UPTD PAB INUMAN </t>
  </si>
  <si>
    <t>PENGADAAN PEMASANGAN PIPA PVC KE RUMAH DINAS JABATAN,PERUMAHAN DOKTER DAN PERKANTORAN PEMDA (KANTOR INFOKOM,PARIWISATA, BLHPI DAN PETERNAKAN)</t>
  </si>
  <si>
    <t>PEMBANGUNAN PAKET IPA BARU KAP. 10 L/DT LOKASI BASERAH</t>
  </si>
  <si>
    <t xml:space="preserve">WATER METER &amp; POMPA </t>
  </si>
  <si>
    <t>PIPA PVC</t>
  </si>
  <si>
    <t>PENGADAAN POMPAINJEKSI BAHAN KIMIA</t>
  </si>
  <si>
    <t>PENGADAAN DAN PEMASANGAN PIPA PVC DAN WATER METER SAMBUNGAN RUMAH (SR) UNIT KAB. KUANTAN SINGINGI</t>
  </si>
  <si>
    <t>PENGADAAN POMPA IMTEK 30 LT/DT</t>
  </si>
  <si>
    <t>PENGADAAN POMPA IMTEK 20 LT/DT</t>
  </si>
  <si>
    <t>PENGADAAN POMPA IMTEK 10 LT/DT</t>
  </si>
  <si>
    <t>PENGADAAN POMPA DISTRIBUSI 20 LT/DT</t>
  </si>
  <si>
    <t>PENGADAAN POMPA DISTRIBUSI 10 LT/DT</t>
  </si>
  <si>
    <t>PENGADAAN DAN PEMASANGAN PIPA PVC &amp; ACCESORIS (DDUB)</t>
  </si>
  <si>
    <t>PENGADAAN DAN PEMASANGAN JARINGAN DISTRIBUSI DAN WATER</t>
  </si>
  <si>
    <t>PENGADAAN DAN PEMASANGAN TIANG KABEL POMPA INTAKE</t>
  </si>
  <si>
    <t>PENGADAAN DAN PEMASANGAN WATER METER INDUK DIAMETER</t>
  </si>
  <si>
    <t>PEMASANGAN JARINGAN TM DAN TR + TRAFO STANDAR PLN BPAM PANGEAN</t>
  </si>
  <si>
    <t>PEMASANGAN JARINGAN TM DAN TR + TRAFO STANDAR PLN BPAM SINGINGI HILIR</t>
  </si>
  <si>
    <t>REHABILITASI DRAINASE PEMBUANG BPAM TELUK KUANTAN</t>
  </si>
  <si>
    <t>PENGADAAN DAN PEMASANGAN JARINGAN PIPA DISTRIBUSI DAN SAMBUNGAN RUMAH KECAMATAN CERENTI</t>
  </si>
  <si>
    <t>PEMBANGUNAN TEMBOK PENAHAN BAK RESERVOAR BPAM DI PERKANTORAN PEMDA</t>
  </si>
  <si>
    <t>PIPA PVC  DAN PENAMBAHAN DAYA LISTRIK UNTUK POMPA</t>
  </si>
  <si>
    <t>PENGADAAN DAN PEMASANGAN JARINGAN PIPA DISTRIBUSI KEC. KUANTAN MUDIK (LANJUTAN)</t>
  </si>
  <si>
    <t>PENGADAAN DAN PEMASANGAN JARINGAN PIPA DISTRIBUSI KEC. INUMAN (LANJUTAN)</t>
  </si>
  <si>
    <t>PENGADAAN DAN PEMASANGAN JARINGAN PIPA DISTRIBUSI KEC. KUANTAN TENGAH (LANJUTAN)</t>
  </si>
  <si>
    <t>PENGADAAN DAN PEMASANGAN VALVE DAN ACSESORIES BPAM KEC. KUANTAN TENGAH (LANJUTAN)</t>
  </si>
  <si>
    <t>PERBAIKAN DAN RENOVASI JARINGAN PADA IPA BPAM TELUK KUANTAN (LANJUTAN)</t>
  </si>
  <si>
    <t>PENGADAAN POMPA DISTRIBUSI KAP 50 LT/DT</t>
  </si>
  <si>
    <t>PENGADAAN POMPA DISTRIBUSI KAP 30 LT/DT</t>
  </si>
  <si>
    <t>PENGADAAN POMPA INJEKSI BAHAN KIMIA</t>
  </si>
  <si>
    <t>PENGADAAN DAN PEMASANGAN PIPA DISTRIBUSI DAN SAMBUNGAN RUMAH (DDUPB)</t>
  </si>
  <si>
    <t xml:space="preserve">PENGADAAN DAN PEMASANGAN PIPA DISTRIBUSI DAN SAMBUNGAN RUMAH DESA BERINGIN TALUK </t>
  </si>
  <si>
    <t xml:space="preserve">PENGADAAN DAN PEMASANGAN PIPA DISTRIBUSI DAN SAMBUNGAN RUMAH DESA KOTO TALUK </t>
  </si>
  <si>
    <t xml:space="preserve">PENGADAAN DAN PEMASANGAN PIPA DISTRIBUSI DAN SAMBUNGAN RUMAH SEI. JERING </t>
  </si>
  <si>
    <t>PEMASANGAN PIPA DISTRIBUSI AIR BERSIH KEC.KUANTAN MUDIK</t>
  </si>
  <si>
    <t>PIPA DISTRIBUSI AIR BERSIH</t>
  </si>
  <si>
    <t>KUANSING</t>
  </si>
  <si>
    <t>LOGAS TANAH DARAT'</t>
  </si>
  <si>
    <t>GUNUNG KESIANGAN</t>
  </si>
  <si>
    <t>SEI. PL. BUSUK</t>
  </si>
  <si>
    <t>SIMANDOLAK I</t>
  </si>
  <si>
    <t>PAUH PANGEAN</t>
  </si>
  <si>
    <t>PERUMAHAN DOKTER DAN PERKANTORAN PEMDA</t>
  </si>
  <si>
    <t>KEC. KUANTAN MUDIK</t>
  </si>
  <si>
    <t>KEC. INUMAN</t>
  </si>
  <si>
    <t>KEC. KUANTAN TENGAH</t>
  </si>
  <si>
    <t xml:space="preserve">DESA BERINGIN TALUK </t>
  </si>
  <si>
    <t xml:space="preserve">DESA KOTO TALUK </t>
  </si>
  <si>
    <t xml:space="preserve">SEI. JERING </t>
  </si>
  <si>
    <t>KEC.KUANTAN MUDIK</t>
  </si>
  <si>
    <t>KECAMATAN INUMAN</t>
  </si>
  <si>
    <t>KECAMATAN KUANTAN HILIR</t>
  </si>
  <si>
    <t>04.16.01.01.05</t>
  </si>
  <si>
    <t>04.16.01.04.04</t>
  </si>
  <si>
    <t>04.16.01.01.02</t>
  </si>
  <si>
    <t>04.16.01.02.01</t>
  </si>
  <si>
    <t>04.16.02.02.01</t>
  </si>
  <si>
    <t>04.16.01.03.04</t>
  </si>
  <si>
    <t>04.16.02.02.04</t>
  </si>
  <si>
    <t>NAMA RUAS JALAN</t>
  </si>
  <si>
    <t>NO. RUAS JALAN</t>
  </si>
  <si>
    <t>NAMA BARANG</t>
  </si>
  <si>
    <t>DAFTAR ASET TANAH DI BAWAH JALAN</t>
  </si>
  <si>
    <t>DINAS PEKERJAAN UMUM DAN PENATAAN RUANG</t>
  </si>
  <si>
    <t>No. Ruas</t>
  </si>
  <si>
    <t>Nama Ruas</t>
  </si>
  <si>
    <t>Luas (m2)</t>
  </si>
  <si>
    <t>Tahun Perolehan</t>
  </si>
  <si>
    <t>Lokasi</t>
  </si>
  <si>
    <t>Nilai Aset (Rp)</t>
  </si>
  <si>
    <t>Keterangan</t>
  </si>
  <si>
    <t>JAKE - KOTO KOMBU</t>
  </si>
  <si>
    <t>JEMB. PL. BUNGIN - SIMP. PANGKALAN</t>
  </si>
  <si>
    <t>SKP 8 TRANS I - TESO</t>
  </si>
  <si>
    <t>JK. RUAS 01/01 - MUNSALO</t>
  </si>
  <si>
    <t>SIMP. CAMBAI - MUNSALO</t>
  </si>
  <si>
    <t>JL. DESA PL. BARU - SEI. KUANTAN</t>
  </si>
  <si>
    <t>SINAMBEK - STADION OLAHRAGA</t>
  </si>
  <si>
    <t>JL. DESA PL. KOPUNG - SEI. KUANTAN</t>
  </si>
  <si>
    <t>DESA KOTO TUO - SEI. KUANTAN</t>
  </si>
  <si>
    <t>JK. RUAS 008/008 - PINTU GOBANG</t>
  </si>
  <si>
    <t>KP. BARU SENTAJO - RIMBO GAJAH MATI</t>
  </si>
  <si>
    <t>PERUMNAS - SIMPANG PERKANTORAN PEMDA</t>
  </si>
  <si>
    <t>SEI. RIMBIO - PINTU GOBANG</t>
  </si>
  <si>
    <t>KOTO KARI - RUAS JK. 008/008</t>
  </si>
  <si>
    <t>PL. KOMANG SENTAJO - KOTO SENTAJO</t>
  </si>
  <si>
    <t>JL. PULAU KOMANG - PENYEBERANGAN KOPAH</t>
  </si>
  <si>
    <t>JL. SUDIRMAN - JP. KM. 164 + 500</t>
  </si>
  <si>
    <t>JL. LINGKAR JATI 1 - JL. SUDIRMAN</t>
  </si>
  <si>
    <t>JL. LINGKAR JATI 2 - JL. SUDIRMAN</t>
  </si>
  <si>
    <t>KAMPUNG DATAR - PL. KOMANG</t>
  </si>
  <si>
    <t xml:space="preserve">jl. M. FADILLAH - JL. SUDIRMAN </t>
  </si>
  <si>
    <t>RUAS 43/43 - JL. PL. ARO</t>
  </si>
  <si>
    <t>JL. PL. ARO - PL. ARO</t>
  </si>
  <si>
    <t>JL. SAWAH - PL. KOMANG</t>
  </si>
  <si>
    <t>JL. PADAT KARYA I - JP. KM 162 + 300</t>
  </si>
  <si>
    <t>JL. PLN - JP. KM 159 + 300</t>
  </si>
  <si>
    <t>JL. PLTA - JK. RUAS 33/33 KM 0 + 100</t>
  </si>
  <si>
    <t xml:space="preserve">BUNDARAN DPRD - KANTOR  BUPATI </t>
  </si>
  <si>
    <t>SIMP. RSUD - RSUD</t>
  </si>
  <si>
    <t>SP. KTR. BUPATI  - BUNDARAN DPRD(VIA DISPORA)</t>
  </si>
  <si>
    <t>SIMP. PL. KEDUNDUNG  - PL. KEDUNDUNG</t>
  </si>
  <si>
    <t>JP. KM 161 +250 (MESS POLISI) - JK. RUAS 041/041</t>
  </si>
  <si>
    <t>JL. SRDP - JK. RUAS  045/045</t>
  </si>
  <si>
    <t>JL. LINGKAR SEBERANG TELUK - JK. RUAS 004/004</t>
  </si>
  <si>
    <t>JL. MENUJU LOKASI TPA - JK. RUAS 004/004</t>
  </si>
  <si>
    <t>JL. LOKASI RUMAH ADAT - JP. KM 164 + 250</t>
  </si>
  <si>
    <t>JL. PL. BUNGIN - JP. KM 163 + 750 PBR(HASANAH)</t>
  </si>
  <si>
    <t>LUBUK JAMBI - LUBUK AMBACANG</t>
  </si>
  <si>
    <t>SEI. BESAR - BTS. SUMBAR</t>
  </si>
  <si>
    <t>SIMP. CENGAR - BUKIT PAYUNG</t>
  </si>
  <si>
    <t>SANGAU - SIBEROBAH</t>
  </si>
  <si>
    <t>SIMP. 4 PANGKALAN - MUARA PETAI</t>
  </si>
  <si>
    <t>SIMP. KINALI - BUKIT KAUMAN</t>
  </si>
  <si>
    <t>BUKIT KAUMAN - SEI. KELELAWAR</t>
  </si>
  <si>
    <t>KASANG - BUKIT KAUMAN</t>
  </si>
  <si>
    <t>KASANG - SIMP. 4 CENGAR</t>
  </si>
  <si>
    <t>SP. BANJAR GUNTUNG - BANJAR GUNTUNG</t>
  </si>
  <si>
    <t>JL. DESA TANJUNG - JK. RUAS 083/083</t>
  </si>
  <si>
    <t>JL. DESA SEI. ALA - SEI. KUANTAN</t>
  </si>
  <si>
    <t>JL. DESA BANJAR GUNTUNG - SEI. KUANTAN</t>
  </si>
  <si>
    <t>JL. DESA PL. RUMPUT - SEI. KUANTAN</t>
  </si>
  <si>
    <t>JL. DESA PETAPAHAN - JK. RUAS 106/106</t>
  </si>
  <si>
    <t>JL. DESA RANTAU SIALANG - SEI. KUANTAN</t>
  </si>
  <si>
    <t>JL. DESA PANGKALAN - JL. RUAS KM 37 + 500</t>
  </si>
  <si>
    <t>JL. KH. AHMAD DAHLAN - JL. BUNGA SETANGKAI</t>
  </si>
  <si>
    <t>JL. BUNGA SETANGKAI - JL. KH. MUKTAR</t>
  </si>
  <si>
    <t>JL. KH. DEWANTARA - SP. LUBUK JAMBI</t>
  </si>
  <si>
    <t>JL. LINGKAR PASAR 1 - JL. BUNGA SETANGKAI</t>
  </si>
  <si>
    <t>JL. LINGKAR PASAR II - JL. BUNGA SETANGKAI</t>
  </si>
  <si>
    <t>CENGAR - JL. RAPP</t>
  </si>
  <si>
    <t>MUARA PETAI - SETIANG</t>
  </si>
  <si>
    <t>KASANG - Ps LBK. JAMBI</t>
  </si>
  <si>
    <t>JL. DALAM KOTA KP. BARU TOAR - JP. KM 178 + 000</t>
  </si>
  <si>
    <t>KP. BARU TOAR - PENYEBERANGAN KERESEK</t>
  </si>
  <si>
    <t>GUNUNG - PL. MUNGKUR</t>
  </si>
  <si>
    <t>JL. DESA TEBERAU PANJANG - SEI. KUANTAN</t>
  </si>
  <si>
    <t>LUBUK TERENTANG - PISANG BEREBUS</t>
  </si>
  <si>
    <t>SIMP. SEI. PINANG - TANJUNG</t>
  </si>
  <si>
    <t>SEI. MANAU - SEI. KELELAWAR</t>
  </si>
  <si>
    <t>SIMP. SEI. ALA - SEI. ALA</t>
  </si>
  <si>
    <t>MUDIK ULO - SUMPU</t>
  </si>
  <si>
    <t>LUBUK AMBACANG - AIR TERJUN BTG KOBAN</t>
  </si>
  <si>
    <t>MUDIK ULO - TANJUNG MEDANG</t>
  </si>
  <si>
    <t>KOTO KOMBU - LOKASI PLTA</t>
  </si>
  <si>
    <t>JL. DESA KOTO KOMBU - JK. RUAS 03/03</t>
  </si>
  <si>
    <t>KOTO RAJO - BASERAH</t>
  </si>
  <si>
    <t>SIMP. TERATAK BARU - TERATAK BARU</t>
  </si>
  <si>
    <t>JL. SAKO - BINJAI</t>
  </si>
  <si>
    <t>KEPALA PULAU - PULAU MADINAH</t>
  </si>
  <si>
    <t>JP. KM 204 + 500 - PL KIJANG</t>
  </si>
  <si>
    <t>JK. RUAS 190/190 - PULAU BARU</t>
  </si>
  <si>
    <t>JL. DESA PENGALIHAN - KOTO RAJO</t>
  </si>
  <si>
    <t>JL. DESA LUMBOK - KOTO RAJO</t>
  </si>
  <si>
    <t>JL. DESA BERALO - SEI. SORIAK</t>
  </si>
  <si>
    <t>JL. DESA KAMPUNG TENGAH - PL. MADINAH</t>
  </si>
  <si>
    <t>JL. DESA PL. BARU - PELUKAHAN</t>
  </si>
  <si>
    <t>JL. DESA PL. KULUR - SEI. SORIK</t>
  </si>
  <si>
    <t>JL. DESA TANJUNG PETAI - SEI. SORIK</t>
  </si>
  <si>
    <t>JL. DESA DANAU - KOTO RAJO</t>
  </si>
  <si>
    <t>JL. DESA GUNUNG MELINTANG - JK. RUAS 087/087</t>
  </si>
  <si>
    <t>JL. A. YANI - JL. RAWANG BONTO</t>
  </si>
  <si>
    <t>JL. M. YAMIN - JL. PELAJAR I</t>
  </si>
  <si>
    <t>JL. PELAJAR</t>
  </si>
  <si>
    <t>JL. PELAJAR 2</t>
  </si>
  <si>
    <t>JL. PELAJAR 3</t>
  </si>
  <si>
    <t>JL. DR. SUTOMO 1</t>
  </si>
  <si>
    <t>JL. DR. SUTOMO 2</t>
  </si>
  <si>
    <t>JL. LINGKAR PASAR 2 - JL. PELAJAR 2</t>
  </si>
  <si>
    <t>JL. H. AGUS SALIM - JL. M. YAMIN</t>
  </si>
  <si>
    <t>JL. KARTINI - JL. PELAJAR 2</t>
  </si>
  <si>
    <t>JL. KARET 1 - JL. PELAJAR 2</t>
  </si>
  <si>
    <t>JL. KARET 2 -JL. KARET 1</t>
  </si>
  <si>
    <t>JL. KAMPUNG MEDAN - JL. PELAJAR 3</t>
  </si>
  <si>
    <t>KOTO RAJO - SEI. KUANTAN</t>
  </si>
  <si>
    <t>PULAU KUMPAI - PS. USANG BASERAH</t>
  </si>
  <si>
    <t>KOTO RAJO - PL. JAMBU</t>
  </si>
  <si>
    <t>KOTO BASERAH - BANUARAN (JBT. BASERAH)</t>
  </si>
  <si>
    <t>PANGEAN - PL. KUMPAI</t>
  </si>
  <si>
    <t>PANGEAN - BATAS PELALAWAN</t>
  </si>
  <si>
    <t>PAUH ANGIT - PS. USANG PANGEAN</t>
  </si>
  <si>
    <t>JK. RUAS 190/190 KM 7 + 000 - TANAH BEKALI</t>
  </si>
  <si>
    <t>JK. RUAS 190/190 - PULAU DERAS</t>
  </si>
  <si>
    <t>JK. RUAS 190/190 - PADANG TANGGUNG</t>
  </si>
  <si>
    <t>JK. RUAS 190/190 - PADANG KUNYIT</t>
  </si>
  <si>
    <t>JL. DESA TANAH BEKALI - PL. DERAS</t>
  </si>
  <si>
    <t>JL. DESA PL. TENGAH - SIKAPING</t>
  </si>
  <si>
    <t>JL. DESA PL. RENGAS - PEMATANG</t>
  </si>
  <si>
    <t>JL. DESA SIKAPING - PL. INGU</t>
  </si>
  <si>
    <t>JL. DESA PAUH ANGIT - TANJUNG SIMANDOLAK</t>
  </si>
  <si>
    <t>JL. DESA PEMATANG - PL. TENGAH</t>
  </si>
  <si>
    <t>JL. DESA RAWANG BINJAI - JK. RUAS 185/185</t>
  </si>
  <si>
    <t>SAKO - LOGAS TANAH DARAT</t>
  </si>
  <si>
    <t>SIMP. RAMBAHAN - RAMBAHAN</t>
  </si>
  <si>
    <t>LOGAS TANAH DARAT - SEI. RAMBAI</t>
  </si>
  <si>
    <t>SUKARAJA - GIRI SAKO</t>
  </si>
  <si>
    <t>LOGAS TANAH DARAT - HULU TESO</t>
  </si>
  <si>
    <t>JL. DESA LUBUK KEBUN - SITUGAL</t>
  </si>
  <si>
    <t>SAKO MARGA SARI - KUANTAN SAKO</t>
  </si>
  <si>
    <t>MUARA LANGSAT - TRANS PETAI</t>
  </si>
  <si>
    <t>PKL. INDARUNG - SUMPU</t>
  </si>
  <si>
    <t>SAMBUNG - KEBUN LADO</t>
  </si>
  <si>
    <t>LOGAS - MUDIK ULO</t>
  </si>
  <si>
    <t>JP. KM 145 +575 - SIMP. KERANJI</t>
  </si>
  <si>
    <t>JK. KM 9 + 000 - RUAS 111/111</t>
  </si>
  <si>
    <t>JK. KM 7 + 000 - SUKA MAJU</t>
  </si>
  <si>
    <t>JL. DALAM DESA LOGAS</t>
  </si>
  <si>
    <t>JK. KM 68 + 550 - TRANS SAKO</t>
  </si>
  <si>
    <t>MUARA LEMBUH - SEI. SIRIH</t>
  </si>
  <si>
    <t>JP. KM 129 + 850 - JP KM 130 + 000</t>
  </si>
  <si>
    <t>JP KM 149 + 300 - RUAS 109 /109</t>
  </si>
  <si>
    <t>JK KM 127 + 135/135 - JK KM 27 135/135</t>
  </si>
  <si>
    <t>JL. PANGAKALAN INDARUNG - JL. RUAS 189/189</t>
  </si>
  <si>
    <t>JL. JEND. SUDIRMAN - JL. PROPINSI</t>
  </si>
  <si>
    <t>JL. A. YANI - JL. PROPINSI</t>
  </si>
  <si>
    <t>JL. DIPONEGORO - JL. PASAR USANG</t>
  </si>
  <si>
    <t>JL. IMAM BONJOL - JL. PADAT KARYA</t>
  </si>
  <si>
    <t>JL. PERTUAN GADIS - SEI. LEMBU</t>
  </si>
  <si>
    <t>JL. PADAT KARYA I - SEI. LEMBU</t>
  </si>
  <si>
    <t>JL. PADAT KARYA 2 - SEI. LEMBU</t>
  </si>
  <si>
    <t>JL. PADAT KARYA 3 - SEI. LEMBU</t>
  </si>
  <si>
    <t>JL. PADAT KARYA 4 - SEI. LEMBU</t>
  </si>
  <si>
    <t>JL. SRDP 1 - JL. DIPONEGORO</t>
  </si>
  <si>
    <t>JL. SMP - JL. A. YANI</t>
  </si>
  <si>
    <t>JL. SRDP 1 - SEI. LEMBU</t>
  </si>
  <si>
    <t xml:space="preserve">JL. AMD - JL. DIPONEGORO </t>
  </si>
  <si>
    <t>JL. SENTRAL - JL. A YANI</t>
  </si>
  <si>
    <t>JL. HANG LEKIR - SEI LEMBU</t>
  </si>
  <si>
    <t>JL. TENGKU UMAR - JL. SYEH AHMAD BUNDA</t>
  </si>
  <si>
    <t>JL. HANGTUAH - JL. A. YANI</t>
  </si>
  <si>
    <t>JL. LINGKAR DESA LOGAS</t>
  </si>
  <si>
    <t>JL. M. HATTA - SEI LEMBU</t>
  </si>
  <si>
    <t>JL. SUTOMO - SEI LEMBU</t>
  </si>
  <si>
    <t>JL. HANG JEBAT - JL. A. YANI</t>
  </si>
  <si>
    <t>JL. SYEH AHMAD BUNDA - JL. PERTUAN GADIS</t>
  </si>
  <si>
    <t>JL. CUT NYAK DIEN - JL. PERTUAN GADIS</t>
  </si>
  <si>
    <t>JL. SMA - SEI. LEMBU</t>
  </si>
  <si>
    <t>SIMP. HANDOYO - SUMBER DATAR</t>
  </si>
  <si>
    <t>LOGAS - SUMBER DATAR</t>
  </si>
  <si>
    <t>PASIR MAS - SAKO MARGASARI</t>
  </si>
  <si>
    <t>SP. SUMBER DATAR - SUMBER DATAR</t>
  </si>
  <si>
    <t>SP. KEBUN LADO - SEI. SIRIH</t>
  </si>
  <si>
    <t>JL. LINGKAR DESA KEBUN LADO</t>
  </si>
  <si>
    <t>AIR MAS - SEI. KERANJI</t>
  </si>
  <si>
    <t>SIMP. PETAI - PABRIK PT. WANASARI</t>
  </si>
  <si>
    <t>JL. SIMPANG KORAN - SUKAMAJU</t>
  </si>
  <si>
    <t>SIMP. RAYA - SEI. BULUH</t>
  </si>
  <si>
    <t>JL. PL. RAMBUTAN - SEI TAPI</t>
  </si>
  <si>
    <t>JL. PETAI - TASAM</t>
  </si>
  <si>
    <t>JK 112/112 KM 2 + 000 - TASAM</t>
  </si>
  <si>
    <t>JL. DALAM KOTA KOTO BARU - JP KM 108 - 650</t>
  </si>
  <si>
    <t>KOTO BARU - SEI. LANGSAT</t>
  </si>
  <si>
    <t>SIMP. 4 PT. WANASARI - SUKAMAJU</t>
  </si>
  <si>
    <t>SEI. SIRIH - SIMP. 4 PT. WANASARI</t>
  </si>
  <si>
    <t>SIMP. MUARA BAHAN - MUARA BAHAN</t>
  </si>
  <si>
    <t>SIM. KURAN - BATAS KAMPAR</t>
  </si>
  <si>
    <t>JK RUAS 199/199 KM 9 + 500 - TRANS SKP II PETAI</t>
  </si>
  <si>
    <t>JK RUAS 191/191 KM 9 + 500 - JK. RUAS 05/05 KM 5+000</t>
  </si>
  <si>
    <t>KUANTAN SAKO - TRANS PETAI</t>
  </si>
  <si>
    <t>TANJUNG PAUH - SUKA MAJU</t>
  </si>
  <si>
    <t>MUARA BAHAN - SEI. BULUH</t>
  </si>
  <si>
    <t>BENAI - SIMPANG CENGAR II</t>
  </si>
  <si>
    <t>JK RUAS 24/24 KM - RAWANG BINJAI</t>
  </si>
  <si>
    <t>JK RUAS 85/85 - BANJAR LOPAK</t>
  </si>
  <si>
    <t>SIMP. DUTA PALMA - MUARA PETAI</t>
  </si>
  <si>
    <t>SIMP. DUTA PALMA - BATAS INHU</t>
  </si>
  <si>
    <t>JL. DALAM KOTA BENAI - JL. NASIONAL KM 173 +000</t>
  </si>
  <si>
    <t>JL. DESA UJUNG TANJUNG - JK 189/189</t>
  </si>
  <si>
    <t>JL. DALAM KOTA BENAI - KOTO BENAI</t>
  </si>
  <si>
    <t>JL. DESA GUNUNG KESIANGAN - JL. UJUNG TANJUNG</t>
  </si>
  <si>
    <t>JL. DESA PULAU KALIMANTING - PEMATANG</t>
  </si>
  <si>
    <t>JL. TJ. SIMANDOLAK - BANJAR LOPAK</t>
  </si>
  <si>
    <t>JL. DESA TALONTAM - PL. KOPUNG</t>
  </si>
  <si>
    <t>SIMANDOLAK - PENYEBERANGAN TANJUNG</t>
  </si>
  <si>
    <t>BENAI - RAPP</t>
  </si>
  <si>
    <t>BERINGIN JAYA - BINJAI</t>
  </si>
  <si>
    <t>BENAI - TEBING TINGGI</t>
  </si>
  <si>
    <t>GUNUNG KESIANGAN - PL. KALIMANTING</t>
  </si>
  <si>
    <t>JALUR PATAH - LANGSAT HULU</t>
  </si>
  <si>
    <t>TALONTAM - BANJAR BENAI</t>
  </si>
  <si>
    <t>GUNUNG KESIANGAN - RESETLEMEN PENDUDUK</t>
  </si>
  <si>
    <t>KOMPE BERANGIN - KP. BARU CERENTI</t>
  </si>
  <si>
    <t>NEES II CERENTI - KOMPE BERANGIN</t>
  </si>
  <si>
    <t>KOTO CERENTI - PULAU BAYUR</t>
  </si>
  <si>
    <t>SIKURAN - BANJAR NAN TIGO</t>
  </si>
  <si>
    <t>SEI. PERUPUK - TELUK PAUH</t>
  </si>
  <si>
    <t>PULAU JAMBU TELUK PAUH</t>
  </si>
  <si>
    <t>JL. DIPONEGORO  - JL. YOS SUDARSO</t>
  </si>
  <si>
    <t>JL. IMAM BONJOL -  JP KM 220 + 000</t>
  </si>
  <si>
    <t>JL. YOS SUDARSO - JL. HANG TUAH</t>
  </si>
  <si>
    <t>JL. HANG TUAH - JL. YOS SUDARSO</t>
  </si>
  <si>
    <t>JL. PADAT KARYA 1 - JK RUAS 220 + 300</t>
  </si>
  <si>
    <t>JL. PADAT KARYA 2 - JP KM 220 + 000</t>
  </si>
  <si>
    <t>TELUK PAUH - BATAS INHU</t>
  </si>
  <si>
    <t>TELUK PAUH - PESIKAIAN</t>
  </si>
  <si>
    <t>SEI. PERUPUK - PULAU BAYUR</t>
  </si>
  <si>
    <t>INUMAN - GUNUNG MELINTANG</t>
  </si>
  <si>
    <t>KOTO INUMAN - NEES II CERENTI</t>
  </si>
  <si>
    <t>INUMAN - BEDENG</t>
  </si>
  <si>
    <t>JL. LINGKAR KOTO INUMAN</t>
  </si>
  <si>
    <t>BEDENG SIKURAN - PENYEB. PULAU PANJANG</t>
  </si>
  <si>
    <t>BANJAR NAN TIGO - KOTO INUMAN</t>
  </si>
  <si>
    <t>JL. DESA PL. PANJANG - PL. PANJANG HILIR</t>
  </si>
  <si>
    <t>JL. DESA PULAU SIPAN - PL. PANJANG HULU</t>
  </si>
  <si>
    <t>JL. DESA SIGARUNTANG - JK RUAS 208/208</t>
  </si>
  <si>
    <t>INUMAN (JL. RAPP) - SITUGAL</t>
  </si>
  <si>
    <t>04.13.01.02.06</t>
  </si>
  <si>
    <t>04.13.01.03.04</t>
  </si>
  <si>
    <t>04.13.01.04.01</t>
  </si>
  <si>
    <t>04.13.02.03.01</t>
  </si>
  <si>
    <t>04.13.02.03.06</t>
  </si>
  <si>
    <t>04.13.02.03.08</t>
  </si>
  <si>
    <t>04.13.02.04.01</t>
  </si>
  <si>
    <t>04.13.02.04.03</t>
  </si>
  <si>
    <t>04.13.02.03.03</t>
  </si>
  <si>
    <t>04.13.01.03.08</t>
  </si>
  <si>
    <t>JALAN MUDIK ULO-SUMPU</t>
  </si>
  <si>
    <t>SEI. SIRIH - SP.4 PT. WANASARI</t>
  </si>
  <si>
    <t>KONSTRUKSI</t>
  </si>
  <si>
    <t>DOKUMEN</t>
  </si>
  <si>
    <t>REGISTER</t>
  </si>
  <si>
    <t>2.1</t>
  </si>
  <si>
    <t>2.2</t>
  </si>
  <si>
    <t>2.3</t>
  </si>
  <si>
    <t>2.4</t>
  </si>
  <si>
    <t>2.5</t>
  </si>
  <si>
    <t>2.6</t>
  </si>
  <si>
    <t>3.1</t>
  </si>
  <si>
    <t>3.2</t>
  </si>
  <si>
    <t>3.3</t>
  </si>
  <si>
    <t>3.4</t>
  </si>
  <si>
    <t>3.5</t>
  </si>
  <si>
    <t>3.6</t>
  </si>
  <si>
    <t>3.7</t>
  </si>
  <si>
    <t>4.1</t>
  </si>
  <si>
    <t>4.2</t>
  </si>
  <si>
    <t>4.3</t>
  </si>
  <si>
    <t>4.4</t>
  </si>
  <si>
    <t>4.5</t>
  </si>
  <si>
    <t>4.6</t>
  </si>
  <si>
    <t>4.7</t>
  </si>
  <si>
    <t>5.1</t>
  </si>
  <si>
    <t>6.1</t>
  </si>
  <si>
    <t>7.1</t>
  </si>
  <si>
    <t>8.1</t>
  </si>
  <si>
    <t>9.1</t>
  </si>
  <si>
    <t>10.1</t>
  </si>
  <si>
    <t>10.2</t>
  </si>
  <si>
    <t>13.1</t>
  </si>
  <si>
    <t>13.2</t>
  </si>
  <si>
    <t>15.1</t>
  </si>
  <si>
    <t>16.1</t>
  </si>
  <si>
    <t>17.1</t>
  </si>
  <si>
    <t>17.2</t>
  </si>
  <si>
    <t>18.1</t>
  </si>
  <si>
    <t>19.1</t>
  </si>
  <si>
    <t>20.1</t>
  </si>
  <si>
    <t>21.1</t>
  </si>
  <si>
    <t>24.1</t>
  </si>
  <si>
    <t>25.1</t>
  </si>
  <si>
    <t>27.1</t>
  </si>
  <si>
    <t>27.2</t>
  </si>
  <si>
    <t>27.3</t>
  </si>
  <si>
    <t>27.4</t>
  </si>
  <si>
    <t>28.1</t>
  </si>
  <si>
    <t>28.2</t>
  </si>
  <si>
    <t>28.3</t>
  </si>
  <si>
    <t>28.4</t>
  </si>
  <si>
    <t>29.1</t>
  </si>
  <si>
    <t>30.1</t>
  </si>
  <si>
    <t>31.1</t>
  </si>
  <si>
    <t>33.1</t>
  </si>
  <si>
    <t>34.1</t>
  </si>
  <si>
    <t>35.1</t>
  </si>
  <si>
    <t>35.2</t>
  </si>
  <si>
    <t>36.1</t>
  </si>
  <si>
    <t>37.1</t>
  </si>
  <si>
    <t>38.1</t>
  </si>
  <si>
    <t>39.1</t>
  </si>
  <si>
    <t>40.1</t>
  </si>
  <si>
    <t>41.1</t>
  </si>
  <si>
    <t>42.1</t>
  </si>
  <si>
    <t>43.1</t>
  </si>
  <si>
    <t>44.1</t>
  </si>
  <si>
    <t>45.1</t>
  </si>
  <si>
    <t>46.1</t>
  </si>
  <si>
    <t>47.1</t>
  </si>
  <si>
    <t>48.1</t>
  </si>
  <si>
    <t>49.1</t>
  </si>
  <si>
    <t>50.1</t>
  </si>
  <si>
    <t>51.1</t>
  </si>
  <si>
    <t>52.1</t>
  </si>
  <si>
    <t>52.2</t>
  </si>
  <si>
    <t>52.3</t>
  </si>
  <si>
    <t>52.4</t>
  </si>
  <si>
    <t>53.1</t>
  </si>
  <si>
    <t>54.1</t>
  </si>
  <si>
    <t>56.1</t>
  </si>
  <si>
    <t>57.1</t>
  </si>
  <si>
    <t>58.1</t>
  </si>
  <si>
    <t>59.1</t>
  </si>
  <si>
    <t>60.1</t>
  </si>
  <si>
    <t>61.1</t>
  </si>
  <si>
    <t>62.1</t>
  </si>
  <si>
    <t>63.1</t>
  </si>
  <si>
    <t>64.1</t>
  </si>
  <si>
    <t>65.1</t>
  </si>
  <si>
    <t>65.2</t>
  </si>
  <si>
    <t>65.3</t>
  </si>
  <si>
    <t>65.4</t>
  </si>
  <si>
    <t>66.1</t>
  </si>
  <si>
    <t>67.1</t>
  </si>
  <si>
    <t>68.1</t>
  </si>
  <si>
    <t>69.1</t>
  </si>
  <si>
    <t>70.1</t>
  </si>
  <si>
    <t>71.1</t>
  </si>
  <si>
    <t>72.1</t>
  </si>
  <si>
    <t>73.1</t>
  </si>
  <si>
    <t>74.1</t>
  </si>
  <si>
    <t>75.1</t>
  </si>
  <si>
    <t>75.2</t>
  </si>
  <si>
    <t>80.1</t>
  </si>
  <si>
    <t>83.1</t>
  </si>
  <si>
    <t>85.1</t>
  </si>
  <si>
    <t>86.1</t>
  </si>
  <si>
    <t>86.2</t>
  </si>
  <si>
    <t>86.3</t>
  </si>
  <si>
    <t>87.3</t>
  </si>
  <si>
    <t>90.1</t>
  </si>
  <si>
    <t>91.1</t>
  </si>
  <si>
    <t>91.2</t>
  </si>
  <si>
    <t>91.3</t>
  </si>
  <si>
    <t>92.1</t>
  </si>
  <si>
    <t>92.2</t>
  </si>
  <si>
    <t>93.1</t>
  </si>
  <si>
    <t>93.2</t>
  </si>
  <si>
    <t>95.1</t>
  </si>
  <si>
    <t>96.1</t>
  </si>
  <si>
    <t>112.1</t>
  </si>
  <si>
    <t>113.1</t>
  </si>
  <si>
    <t>114.1</t>
  </si>
  <si>
    <t>115.1</t>
  </si>
  <si>
    <t>116.1</t>
  </si>
  <si>
    <t>117.1</t>
  </si>
  <si>
    <t>117.2</t>
  </si>
  <si>
    <t>118.1</t>
  </si>
  <si>
    <t>120.1</t>
  </si>
  <si>
    <t>121.1</t>
  </si>
  <si>
    <t>122.1</t>
  </si>
  <si>
    <t>123.1</t>
  </si>
  <si>
    <t>124.1</t>
  </si>
  <si>
    <t>124.2</t>
  </si>
  <si>
    <t>124.3</t>
  </si>
  <si>
    <t>124.4</t>
  </si>
  <si>
    <t>129.2</t>
  </si>
  <si>
    <t>131.1</t>
  </si>
  <si>
    <t>132.1</t>
  </si>
  <si>
    <t>161.1</t>
  </si>
  <si>
    <t>161.2</t>
  </si>
  <si>
    <t>161.3</t>
  </si>
  <si>
    <t>161.4</t>
  </si>
  <si>
    <t>163.1</t>
  </si>
  <si>
    <t>163.2</t>
  </si>
  <si>
    <t>163.3</t>
  </si>
  <si>
    <t>165.1</t>
  </si>
  <si>
    <t>165.2</t>
  </si>
  <si>
    <t>165.3</t>
  </si>
  <si>
    <t>165.4</t>
  </si>
  <si>
    <t>165.5</t>
  </si>
  <si>
    <t>165.6</t>
  </si>
  <si>
    <t>165.7</t>
  </si>
  <si>
    <t>165.8</t>
  </si>
  <si>
    <t>166.1</t>
  </si>
  <si>
    <t>166.2</t>
  </si>
  <si>
    <t>167.1</t>
  </si>
  <si>
    <t>167.2</t>
  </si>
  <si>
    <t>167.3</t>
  </si>
  <si>
    <t>171.1</t>
  </si>
  <si>
    <t>172.1</t>
  </si>
  <si>
    <t>173.1</t>
  </si>
  <si>
    <t>174.1</t>
  </si>
  <si>
    <t>175.1</t>
  </si>
  <si>
    <t>176.1</t>
  </si>
  <si>
    <t>178.1</t>
  </si>
  <si>
    <t>178.2</t>
  </si>
  <si>
    <t>180.1</t>
  </si>
  <si>
    <t>181.1</t>
  </si>
  <si>
    <t>181.2</t>
  </si>
  <si>
    <t>182.1</t>
  </si>
  <si>
    <t>183.2</t>
  </si>
  <si>
    <t>183.3</t>
  </si>
  <si>
    <t>184.1</t>
  </si>
  <si>
    <t>186.1</t>
  </si>
  <si>
    <t>186.2</t>
  </si>
  <si>
    <t>186.3</t>
  </si>
  <si>
    <t>190.1</t>
  </si>
  <si>
    <t>190.2</t>
  </si>
  <si>
    <t>190.3</t>
  </si>
  <si>
    <t>197.1</t>
  </si>
  <si>
    <t>229.1</t>
  </si>
  <si>
    <t>229.2</t>
  </si>
  <si>
    <t>230.1</t>
  </si>
  <si>
    <t>230.2</t>
  </si>
  <si>
    <t>231.1</t>
  </si>
  <si>
    <t>233.1</t>
  </si>
  <si>
    <t>235.1</t>
  </si>
  <si>
    <t>236.1</t>
  </si>
  <si>
    <t>236.2</t>
  </si>
  <si>
    <t>237.1</t>
  </si>
  <si>
    <t>238.1</t>
  </si>
  <si>
    <t>244.1</t>
  </si>
  <si>
    <t>244.2</t>
  </si>
  <si>
    <t>244.3</t>
  </si>
  <si>
    <t>245.1</t>
  </si>
  <si>
    <t>245.2</t>
  </si>
  <si>
    <t>245.3</t>
  </si>
  <si>
    <t>245.4</t>
  </si>
  <si>
    <t>245.5</t>
  </si>
  <si>
    <t>246.1</t>
  </si>
  <si>
    <t>247.1</t>
  </si>
  <si>
    <t>251.1</t>
  </si>
  <si>
    <t>257.1</t>
  </si>
  <si>
    <t>257.2</t>
  </si>
  <si>
    <t>258.1</t>
  </si>
  <si>
    <t>258.3</t>
  </si>
  <si>
    <t>258.4</t>
  </si>
  <si>
    <t>258.5</t>
  </si>
  <si>
    <t>258.6</t>
  </si>
  <si>
    <t>259.1</t>
  </si>
  <si>
    <t>259.2</t>
  </si>
  <si>
    <t>260.1</t>
  </si>
  <si>
    <t>260.3</t>
  </si>
  <si>
    <t>260.4</t>
  </si>
  <si>
    <t>264.1</t>
  </si>
  <si>
    <t>265.1</t>
  </si>
  <si>
    <t>269.1</t>
  </si>
  <si>
    <t>272.1</t>
  </si>
  <si>
    <t>273.1</t>
  </si>
  <si>
    <t>274.1</t>
  </si>
  <si>
    <t>275.1</t>
  </si>
  <si>
    <t>276.1</t>
  </si>
  <si>
    <t>277.1</t>
  </si>
  <si>
    <t>278.1</t>
  </si>
  <si>
    <t>279.1</t>
  </si>
  <si>
    <t>279.2</t>
  </si>
  <si>
    <t>280.1</t>
  </si>
  <si>
    <t>281.1</t>
  </si>
  <si>
    <t>282.1</t>
  </si>
  <si>
    <t>283.1</t>
  </si>
  <si>
    <t>284.1</t>
  </si>
  <si>
    <t>285.1</t>
  </si>
  <si>
    <t>285.2</t>
  </si>
  <si>
    <t>285.3</t>
  </si>
  <si>
    <t>286.1</t>
  </si>
  <si>
    <t>293.1</t>
  </si>
  <si>
    <t>294.1</t>
  </si>
  <si>
    <t>295.1</t>
  </si>
  <si>
    <t>295.2</t>
  </si>
  <si>
    <t>295.3</t>
  </si>
  <si>
    <t>296.1</t>
  </si>
  <si>
    <t>296.2</t>
  </si>
  <si>
    <t>296.3</t>
  </si>
  <si>
    <t>298.1</t>
  </si>
  <si>
    <t>299.1</t>
  </si>
  <si>
    <t>301.1</t>
  </si>
  <si>
    <t>302.1</t>
  </si>
  <si>
    <t>302.2</t>
  </si>
  <si>
    <t>302.3</t>
  </si>
  <si>
    <t>302.4</t>
  </si>
  <si>
    <t>304.1</t>
  </si>
  <si>
    <t>305.1</t>
  </si>
  <si>
    <t>307.1</t>
  </si>
  <si>
    <t>307.2</t>
  </si>
  <si>
    <t>308.1</t>
  </si>
  <si>
    <t>309.1</t>
  </si>
  <si>
    <t>310.1</t>
  </si>
  <si>
    <t>32.1</t>
  </si>
  <si>
    <t>126.1</t>
  </si>
  <si>
    <t>134.1</t>
  </si>
  <si>
    <t>164.1</t>
  </si>
  <si>
    <t>164.2</t>
  </si>
  <si>
    <t>164.3</t>
  </si>
  <si>
    <t>164.4</t>
  </si>
  <si>
    <t>164.5</t>
  </si>
  <si>
    <t>164.6</t>
  </si>
  <si>
    <t>164.7</t>
  </si>
  <si>
    <t>235.2</t>
  </si>
  <si>
    <t>235.3</t>
  </si>
  <si>
    <t>260.2</t>
  </si>
  <si>
    <t>235.4</t>
  </si>
  <si>
    <t>1.7</t>
  </si>
  <si>
    <t>13.3</t>
  </si>
  <si>
    <t>259.3</t>
  </si>
  <si>
    <t>296.4</t>
  </si>
  <si>
    <t>235.5</t>
  </si>
  <si>
    <t>245.6</t>
  </si>
  <si>
    <t>1.8</t>
  </si>
  <si>
    <t>JL. DATUK BISAI</t>
  </si>
  <si>
    <t>285.4</t>
  </si>
  <si>
    <t>17.3</t>
  </si>
  <si>
    <t>273.2</t>
  </si>
  <si>
    <t>3.8</t>
  </si>
  <si>
    <t>3.9</t>
  </si>
  <si>
    <t>3.10</t>
  </si>
  <si>
    <t>190.4</t>
  </si>
  <si>
    <t>186.4</t>
  </si>
  <si>
    <t>197.2</t>
  </si>
  <si>
    <t>191.1</t>
  </si>
  <si>
    <t>87.4</t>
  </si>
  <si>
    <t>86.4</t>
  </si>
  <si>
    <t>160.1</t>
  </si>
  <si>
    <t>129.3</t>
  </si>
  <si>
    <t>165.9</t>
  </si>
  <si>
    <t>181.3</t>
  </si>
  <si>
    <t>4.8</t>
  </si>
  <si>
    <t>4.9</t>
  </si>
  <si>
    <t>4.10</t>
  </si>
  <si>
    <t>4.11</t>
  </si>
  <si>
    <t>238.2</t>
  </si>
  <si>
    <t>17.4</t>
  </si>
  <si>
    <t>183.4</t>
  </si>
  <si>
    <t>J1</t>
  </si>
  <si>
    <t>J2</t>
  </si>
  <si>
    <t>J3</t>
  </si>
  <si>
    <t>J4</t>
  </si>
  <si>
    <t>J5</t>
  </si>
  <si>
    <t>J6</t>
  </si>
  <si>
    <t>J1.1</t>
  </si>
  <si>
    <t>J1.2</t>
  </si>
  <si>
    <t>J1.3</t>
  </si>
  <si>
    <t>J1.4</t>
  </si>
  <si>
    <t>J1.5</t>
  </si>
  <si>
    <t>J1.6</t>
  </si>
  <si>
    <t>JEMBATAN</t>
  </si>
  <si>
    <t>J2.1</t>
  </si>
  <si>
    <t>J2.2</t>
  </si>
  <si>
    <t>J3.1</t>
  </si>
  <si>
    <t>J3.2</t>
  </si>
  <si>
    <t>J4.1</t>
  </si>
  <si>
    <t>J4.2</t>
  </si>
  <si>
    <t>J5.1</t>
  </si>
  <si>
    <t>J5.2</t>
  </si>
  <si>
    <t>J6.1</t>
  </si>
  <si>
    <t>J6.2</t>
  </si>
  <si>
    <t>Kode Barang</t>
  </si>
  <si>
    <t>Waktu Perolehan</t>
  </si>
  <si>
    <t>Nilai (Rp)</t>
  </si>
  <si>
    <t>Sisa Manfaat Saat Kapitalisasi</t>
  </si>
  <si>
    <t>Tahun Habis Barang Sebelum kapitalisasi</t>
  </si>
  <si>
    <t>%</t>
  </si>
  <si>
    <t xml:space="preserve">Potensi Penambahan UE </t>
  </si>
  <si>
    <t xml:space="preserve"> penambahan UE  Maksimal</t>
  </si>
  <si>
    <t>Sisa Masa Manfaat Akhir</t>
  </si>
  <si>
    <t>Tanggal Habis Barang Setelah Kapitalisasi</t>
  </si>
  <si>
    <t>Nilali perolehan</t>
  </si>
  <si>
    <t>susut</t>
  </si>
  <si>
    <t xml:space="preserve">Akumulasi Penyusutan </t>
  </si>
  <si>
    <t xml:space="preserve">NILAI BUKU s.d </t>
  </si>
  <si>
    <t>KET</t>
  </si>
  <si>
    <t>Sebelum Kapitalisasi</t>
  </si>
  <si>
    <t>Setelah Kapitalisasi</t>
  </si>
  <si>
    <t>S.D 31 Desember</t>
  </si>
  <si>
    <t>Akumulasi Tahun</t>
  </si>
  <si>
    <t>Tanggal</t>
  </si>
  <si>
    <t>Hari</t>
  </si>
  <si>
    <t>Periode</t>
  </si>
  <si>
    <t>Kontrol Kebenaran Perhitungan Penyusutan:</t>
  </si>
  <si>
    <t>Total Nilai Perolehan + Rehab/Pemeliharan</t>
  </si>
  <si>
    <t>Akumulasi penyusutan</t>
  </si>
  <si>
    <t>Nilai Buku s.d. Tahun 2018</t>
  </si>
  <si>
    <t>Selisih</t>
  </si>
  <si>
    <t>Jumlah</t>
  </si>
  <si>
    <t>Tanggal Habis Barang Sebelum kapitalisasi</t>
  </si>
  <si>
    <t>Penyusutan / Thn</t>
  </si>
  <si>
    <t>RUAS :</t>
  </si>
  <si>
    <t>PANGEAN - BTS PELALAWAN</t>
  </si>
  <si>
    <t>&gt;0% s.d. 30%</t>
  </si>
  <si>
    <t>&gt;30% s.d 45%</t>
  </si>
  <si>
    <t>&gt;45% s.d 65%</t>
  </si>
  <si>
    <t>JEMBATAN RANGKA SEI. DANAU BESAR RUAS JALAN KOTO RAJO - PL. JAMBU</t>
  </si>
  <si>
    <t>JEMBATAN SEI. TINGKALAK HULU (BALOK T) RUAS JALAN SP. HANDOYO - SUMBER DATAR</t>
  </si>
  <si>
    <t>JEMBATAN KAYU SEI.TINGKALAK RUAS JALAN SIMPANG HANDOYO-SUMBER DATAR</t>
  </si>
  <si>
    <t>129.1</t>
  </si>
  <si>
    <t>183.1</t>
  </si>
  <si>
    <t>229.3</t>
  </si>
  <si>
    <t>04.15.06.02.04</t>
  </si>
  <si>
    <t>04.14.01.01.01</t>
  </si>
  <si>
    <t>BANGUNAN 1</t>
  </si>
  <si>
    <t>BANGUNAN 2</t>
  </si>
  <si>
    <t>BANGUNAN 4</t>
  </si>
  <si>
    <t>BANGUNAN 5</t>
  </si>
  <si>
    <t>BANGUNAN 6</t>
  </si>
  <si>
    <t>BANGUNAN 7</t>
  </si>
  <si>
    <t>BANGUNAN 8</t>
  </si>
  <si>
    <t>BANGUNAN 9</t>
  </si>
  <si>
    <t>BANGUNAN 10</t>
  </si>
  <si>
    <t>BANGUNAN 11</t>
  </si>
  <si>
    <t>PEMB. LANJUTAN MESS PEMDA KUANTAN SINGINGI THP III &amp; IV (3 LANTAI)</t>
  </si>
  <si>
    <t>GEDUNG ABDOER RAUF</t>
  </si>
  <si>
    <t>BANGUNAN 12</t>
  </si>
  <si>
    <t>PENYIAPAN LAHAN DAN PEMBANGUNAN KANTOR KORAMIL DAN RUMAH DINAS</t>
  </si>
  <si>
    <t xml:space="preserve">PENYIAPAN LAHAN (LANJUTAN) DAN PENINGKATAN SARANA KANTOR KORAMIL TELUK KUANTAN </t>
  </si>
  <si>
    <t>BANGUNAN 13</t>
  </si>
  <si>
    <t>KANTOR DINAS PEKERJAAN UMUM DAN PENATAAN RUANG</t>
  </si>
  <si>
    <t>BANGUNAN 14</t>
  </si>
  <si>
    <t>BANGUNAN 15</t>
  </si>
  <si>
    <t>PAGAR BALAI DIKLAT</t>
  </si>
  <si>
    <t>BANGUNAN 16</t>
  </si>
  <si>
    <t>BANGUNAN 17</t>
  </si>
  <si>
    <t>BANGUNAN 21</t>
  </si>
  <si>
    <t>BANGUNAN 27</t>
  </si>
  <si>
    <t>PEK. PEMBANGUNAN TANGGA PEMANDIAN DAN PELATARAN DESA SUMPU</t>
  </si>
  <si>
    <t>BANGUNAN 29</t>
  </si>
  <si>
    <t>BANGUNAN 34</t>
  </si>
  <si>
    <t>BANGUNAN 35</t>
  </si>
  <si>
    <t>BANGUNAN 37</t>
  </si>
  <si>
    <t>PAGAR KANTOR BUPATI KUANTAN SINGINGI</t>
  </si>
  <si>
    <t>PEMBANGUNAN PERLUASAN GEDUNG KANTOR BUPATI KS</t>
  </si>
  <si>
    <t>BANGUNAN 38</t>
  </si>
  <si>
    <t>BANGUNAN 41</t>
  </si>
  <si>
    <t xml:space="preserve">MESJID AGUNG KUANTAN SINGINGI </t>
  </si>
  <si>
    <t>GEDUNG LABOR ALKAL</t>
  </si>
  <si>
    <t>PARKIR ALAT BERAT ALKAL</t>
  </si>
  <si>
    <t>RUMAH DINAS ALKAL</t>
  </si>
  <si>
    <t>MUSHALLA ALKAL</t>
  </si>
  <si>
    <t>WC ALKAL</t>
  </si>
  <si>
    <t>CUCIAN MOBIL ALKAL</t>
  </si>
  <si>
    <t>POS SATPAM ALKAL</t>
  </si>
  <si>
    <t>GARASE ALAT BERAT ALKAL</t>
  </si>
  <si>
    <t>REHAB/ RENOVASI KANTOR CAMAT PANGEAN 400 M2</t>
  </si>
  <si>
    <t>03.12.01.02.01</t>
  </si>
  <si>
    <t>X</t>
  </si>
  <si>
    <t>K</t>
  </si>
  <si>
    <t>belum kapitalisasi</t>
  </si>
  <si>
    <t>sudah kapitalisasi</t>
  </si>
  <si>
    <t>PENGELOMPOKN</t>
  </si>
  <si>
    <t>AKUMULASI</t>
  </si>
  <si>
    <t>PENGELOMPOKAN YG SUDAH DIKAPITALISASI</t>
  </si>
  <si>
    <t>PENGELOMPOKAN YG BELUM DIKAPITALISASI</t>
  </si>
  <si>
    <t xml:space="preserve">Jalan dan Jembatan </t>
  </si>
  <si>
    <t>PENYUSUTAN TAHUN 2018 SETELAH KAPITALISASI</t>
  </si>
  <si>
    <t>AKM. PENYUSUTAN S.D TAHUN 2018 (SETELAH KAPITALISASI</t>
  </si>
  <si>
    <t>Dinas Pendidikan, Kepemudaan dan Olahraga</t>
  </si>
  <si>
    <t>Dinas Kesehatan</t>
  </si>
  <si>
    <t>Dinas Pekerjaan Umum dan Penataan Ruang</t>
  </si>
  <si>
    <t>Dinas Perumahan, Kawasan Permukiman dan Pertanahan</t>
  </si>
  <si>
    <t>Dinas Lingkungan Hidup</t>
  </si>
  <si>
    <t>Dinas Perhubungan</t>
  </si>
  <si>
    <t>Dinas Perikanan dan Ketahanan Pangan</t>
  </si>
  <si>
    <t>Sekretariat Daerah</t>
  </si>
  <si>
    <t xml:space="preserve">Jaringan </t>
  </si>
  <si>
    <t>Bangunan Air (Irigasi)</t>
  </si>
  <si>
    <t>Instalasi</t>
  </si>
  <si>
    <t>telusuri</t>
  </si>
  <si>
    <t>KANTOR LURAH SIMPANG TIGA</t>
  </si>
  <si>
    <t>KANTOR CAMAT SINGINGI</t>
  </si>
  <si>
    <t>KANTOR LURAH MUARA LEMBU</t>
  </si>
  <si>
    <t>KANTOR KEPALA DESA KAMPUNG BARU</t>
  </si>
  <si>
    <t>KANTOR CAMAT SINGINGI HILIR</t>
  </si>
  <si>
    <t>RUMAH DINAS CAMAT SINGINGI</t>
  </si>
  <si>
    <t>RUMAH DINAS CAMAT SINGINGI HILIR</t>
  </si>
  <si>
    <t>PAGAR GEDUNG SERBAGUNA DAN KANTOR CAMAT SINGINGI</t>
  </si>
  <si>
    <t>PUSKESMAS MUARA LEMBU</t>
  </si>
  <si>
    <t>RUMAH DINAS CAMAT BENAI</t>
  </si>
  <si>
    <t>KANTOR CAMAT CERENTI</t>
  </si>
  <si>
    <t>KANTOR CAMAT HULU KUANTAN</t>
  </si>
  <si>
    <t>RUMAH DINAS CAMAT HULU KUANTAN</t>
  </si>
  <si>
    <t>PAGAR KANTOR CAMAT INUMAN</t>
  </si>
  <si>
    <t>RUMAH DINAS CAMAT KUANTAN HILIR</t>
  </si>
  <si>
    <t>KANTOR CAMAT KUANTAN MUDIK</t>
  </si>
  <si>
    <t>RUMAH DINAS CAMAT LOGAS TANAH DARAT</t>
  </si>
  <si>
    <t>HALAMAN KANTOR CAMAT PUCUK RANTAU</t>
  </si>
  <si>
    <t>RUMAH DINAS CAMAT KUANTAN TENGAH</t>
  </si>
  <si>
    <t>KANTOR LURAH PASAR LUBUK JAMBI</t>
  </si>
  <si>
    <t>KANTOR LURAH PASAR CERENTI</t>
  </si>
  <si>
    <t>KANTOR LURAH BERINGIN JAYA</t>
  </si>
  <si>
    <t>KANTOR LURAH BENAI</t>
  </si>
  <si>
    <t>GEDUNG SERBAGUNA KECAMATAN SINGINGI HILIR</t>
  </si>
  <si>
    <t>PAGAR DAN HALAMAN KANTOR CAMAT KUANTAN TENGAH</t>
  </si>
  <si>
    <t>GEDUNG SERBAGUNA KECAMATAN HULU KUANTAN</t>
  </si>
  <si>
    <t>KANTOR KEPALA DESA PULAU ARO</t>
  </si>
  <si>
    <t>KANTOR KEPALA DESA LUBUK TERENTANG</t>
  </si>
  <si>
    <t>KANTOR KEPALA DESA PERHENTIAN LUAS</t>
  </si>
  <si>
    <t>KANTOR KEPALA DESA KOTO TUO KOPAH</t>
  </si>
  <si>
    <t>KANTOR KEPALA DESA SUNGAI BESAR</t>
  </si>
  <si>
    <t>KANTOR KEPALA DESA PULAU KOMANG SENTAJO</t>
  </si>
  <si>
    <t>KANTOR KEPALA DESA SEROSA</t>
  </si>
  <si>
    <t>KANTOR KEPALA DESA SUMBER JAYA</t>
  </si>
  <si>
    <t>KANTOR KEPALA DESA PESIKAIAN</t>
  </si>
  <si>
    <t>KANTOR KEPALA DESA SUMPU</t>
  </si>
  <si>
    <t>KANTOR KEPALA DESA UJUNG TANJUNG</t>
  </si>
  <si>
    <t>KANTOR KEPALA DESA PETAPAHAN</t>
  </si>
  <si>
    <t>KANTOR KEPALA DESA KOPAH</t>
  </si>
  <si>
    <t>KANTOR KEPALA DESA KOTO KARI</t>
  </si>
  <si>
    <t>KANTOR KEPALA DESA DESA SIMPANG</t>
  </si>
  <si>
    <t>KANTOR KEPALA DESA PANGKALAN</t>
  </si>
  <si>
    <t>KANTOR KEPALA DESA PULAU PANJANG</t>
  </si>
  <si>
    <t>KANTOR KEPALA DESA PULAU PANJANG HILIR</t>
  </si>
  <si>
    <t>KANTOR KEPALA DESA RANTAU</t>
  </si>
  <si>
    <t>KANTOR KEPALA DESA TANAH</t>
  </si>
  <si>
    <t>KANTOR KEPALA DESA SEBERANG</t>
  </si>
  <si>
    <t>KANTOR KEPALA DESA PETAI</t>
  </si>
  <si>
    <t>KANTOR KEPALA DESA LUBUK</t>
  </si>
  <si>
    <t>KANTOR KEPALA DESA LOGAS</t>
  </si>
  <si>
    <t>KANTOR KEPALA DESA SUNGAI</t>
  </si>
  <si>
    <t>KANTOR KEPALA DESA PULAU BARU</t>
  </si>
  <si>
    <t>KANTOR KEPALA DESA MUARA TIU</t>
  </si>
  <si>
    <t>KANTOR KEPALA DESA SUNGAI KERANJI</t>
  </si>
  <si>
    <t>KANTOR KEPALA DESA SEBERANG TALUK</t>
  </si>
  <si>
    <t>KANTOR KEPALA DESA SAKO MARGA SARI</t>
  </si>
  <si>
    <t>KANTOR KEPALA DESA MUARA PETAI</t>
  </si>
  <si>
    <t>KANTOR KEPALA DESA DESA SUNGAI BULUH</t>
  </si>
  <si>
    <t>KANTOR KEPALA DESA DESA PETAI</t>
  </si>
  <si>
    <t>KANTOR KEPALA DESA KOTO BARU</t>
  </si>
  <si>
    <t>KANTOR KEPALA DESA SEI PAKU</t>
  </si>
  <si>
    <t>KANTOR KEPALA DESA JAYA</t>
  </si>
  <si>
    <t>KANTOR KEPALA DESA PULAU BAYUR</t>
  </si>
  <si>
    <t>KANTOR KEPALA DESA PULAU JAMBU</t>
  </si>
  <si>
    <t>KANTOR KEPALA DESA BANJAR LOPAK</t>
  </si>
  <si>
    <t>KANTOR KEPALA DESA PULAU RENGAS</t>
  </si>
  <si>
    <t>KANTOR KEPALA DESA PULAU GODANG KARI</t>
  </si>
  <si>
    <t>KANTOR KEPALA DESA BANJAR PADANG</t>
  </si>
  <si>
    <t>KANTOR KEPALA DESA JAKE</t>
  </si>
  <si>
    <t>KANTOR KEPALA DESA SUNGAI LANGSAT</t>
  </si>
  <si>
    <t>STT/ STIP UNGGULAN SWARNADWIPA</t>
  </si>
  <si>
    <t>PASAR DESA SUNGAI KUNING</t>
  </si>
  <si>
    <t>BALAI ADAT TELUK KUANTAN</t>
  </si>
  <si>
    <t>MESJID PERKANTORAN PEMDA</t>
  </si>
  <si>
    <t>KANTOR KEPALA DESA LANGSAT HULU</t>
  </si>
  <si>
    <t>TUGU PENDIDIKAN SP. 3 TL. KUANTAN</t>
  </si>
  <si>
    <t>PUSKESMAS KOPAH</t>
  </si>
  <si>
    <t>RUMAH DINAS CAMAT INUMAN</t>
  </si>
  <si>
    <t>RUMAH DINAS CAMAT GUNUNG TOAR</t>
  </si>
  <si>
    <t>RUMAH ADAT DESA TOAR</t>
  </si>
  <si>
    <t>RUMAH ADAT DESA SITIANG</t>
  </si>
  <si>
    <t>KANTOR POS TELUK KUANTAN</t>
  </si>
  <si>
    <t>persediaan</t>
  </si>
  <si>
    <t>GUDANG ARSIP</t>
  </si>
  <si>
    <t>RUMAH ADAT SETIANG DAN TOAR</t>
  </si>
  <si>
    <t>KANTOR CAMAT</t>
  </si>
  <si>
    <t>GUDANG BPAM TELUK KUANTAN</t>
  </si>
  <si>
    <t>RUMAH DOKTER</t>
  </si>
  <si>
    <t>ASRAMA PERAWAT</t>
  </si>
  <si>
    <t>HALAMAN PUSKESMAS TELUK KUANTAN</t>
  </si>
  <si>
    <t>GEDUNG PROMOSI/DEKRANASDA</t>
  </si>
  <si>
    <t>INFRASTRUKTUR PERDESAAN</t>
  </si>
  <si>
    <t>ASRAMA MAHASISWA</t>
  </si>
  <si>
    <t>STADION MINI SIMANDOLAK</t>
  </si>
  <si>
    <t>PUSKESMAS BUMI MULYA</t>
  </si>
  <si>
    <t xml:space="preserve">KANTOR CAMAT </t>
  </si>
  <si>
    <t xml:space="preserve">PUSKESMAS PANGEAN </t>
  </si>
  <si>
    <t>RUMAH DINAS SEKRETARIS DAERAH</t>
  </si>
  <si>
    <t>01.01.11.08.01</t>
  </si>
  <si>
    <t>01.01.11.07.01</t>
  </si>
  <si>
    <t>01.01.11.04.10</t>
  </si>
  <si>
    <t>01.01.13.08.04</t>
  </si>
  <si>
    <t>01.01.13.08.01</t>
  </si>
  <si>
    <t xml:space="preserve">TANJUNG MEDAN </t>
  </si>
  <si>
    <t xml:space="preserve">SURAT PERNYATAAN </t>
  </si>
  <si>
    <t xml:space="preserve">EKS. PU PENGAIRAN </t>
  </si>
  <si>
    <t>TELUK KUANTAN, 30 DESEMBER 2018</t>
  </si>
  <si>
    <t>KEPALA DINAS PEKERJAAN UMUM DAN PENATAAN RUANG</t>
  </si>
  <si>
    <t>ADE FAHRER ARIF. ST</t>
  </si>
  <si>
    <t>NIP. 19760616 200501 1 010</t>
  </si>
  <si>
    <t>TANAH RUAS JALAN SEB. TELUK KUANTAN - SEB. BENAI</t>
  </si>
  <si>
    <t>TANAH RUAS JALAN JAKE - GERINGGING BARU</t>
  </si>
  <si>
    <t>TANAH RUAS JALAN JAKE - KOTO KOMBU</t>
  </si>
  <si>
    <t>TANAH RUAS JALAN SENTAJO - MUARA LANGSAT</t>
  </si>
  <si>
    <t>TANAH RUAS JALAN SIMP. JAKE - TRANS SKP II PETAI</t>
  </si>
  <si>
    <t>TANAH RUAS JALAN KOTO SENTAJO - RIMBO GAJAH MATI</t>
  </si>
  <si>
    <t>TANAH RUAS JALAN KP. BARU SENTAJO - TEBING TINGGI</t>
  </si>
  <si>
    <t>TANAH RUAS JALAN KP. BARU SENTAJO - BENAI</t>
  </si>
  <si>
    <t>TANAH RUAS JALAN CEBERLIN - PINTU GOBANG</t>
  </si>
  <si>
    <t>TANAH RUAS JALAN SEB. TELUK KUANTAN - DUTA PALMA</t>
  </si>
  <si>
    <t>TANAH RUAS JALAN JEMB. PL. BUNGIN - SIMP. PANGKALAN</t>
  </si>
  <si>
    <t>TANAH RUAS JALAN SKP 8 TRANS I - TESO</t>
  </si>
  <si>
    <t>TANAH RUAS JALAN SIMP. BERINGIN - BERINGIN</t>
  </si>
  <si>
    <t>TANAH RUAS JALAN JK. RUAS 01/01 - MUNSALO</t>
  </si>
  <si>
    <t>TANAH RUAS JALAN SIMP. CAMBAI - MUNSALO</t>
  </si>
  <si>
    <t>TANAH RUAS JALAN DESA PL. BARU - SEI. KUANTAN</t>
  </si>
  <si>
    <t>TANAH RUAS JALAN SINAMBEK - STADION OLAHRAGA</t>
  </si>
  <si>
    <t>TANAH RUAS JALAN DESA PL. KOPUNG - SEI. KUANTAN</t>
  </si>
  <si>
    <t>TANAH RUAS JALAN KEBUN NENAS - PERKANTORAN PEMDA</t>
  </si>
  <si>
    <t>TANAH RUAS JALAN DESA KOTO TUO - SEI. KUANTAN</t>
  </si>
  <si>
    <t>TANAH RUAS JALAN SIMP. PERKANTORAN PEMDA - BUNDARAN DPRD</t>
  </si>
  <si>
    <t>TANAH RUAS JALAN JK. RUAS 008/008 - PINTU GOBANG</t>
  </si>
  <si>
    <t>TANAH RUAS JALAN KP. BARU SENTAJO - RIMBO GAJAH MATI</t>
  </si>
  <si>
    <t>TANAH RUAS JALAN PERUMNAS - SIMPANG PERKANTORAN PEMDA</t>
  </si>
  <si>
    <t>TANAH RUAS JALAN SEI. RIMBIO - PINTU GOBANG</t>
  </si>
  <si>
    <t>TANAH RUAS JALAN KOTO KARI - RUAS JK. 008/008</t>
  </si>
  <si>
    <t>TANAH RUAS JALAN SEB. TELUK - SIBEROBAH</t>
  </si>
  <si>
    <t>TANAH RUAS JALAN PL. KOMANG SENTAJO - KOTO SENTAJO</t>
  </si>
  <si>
    <t>TANAH RUAS JALAN STM (BELIBIS)</t>
  </si>
  <si>
    <t>TANAH RUAS JALAN PULAU KOMANG - PENYEBERANGAN KOPAH</t>
  </si>
  <si>
    <t>TANAH RUAS JALAN JAO - BATANG KUANTAN</t>
  </si>
  <si>
    <t>TANAH RUAS JALAN SUDIRMAN - JP. KM. 164 + 500</t>
  </si>
  <si>
    <t>TANAH RUAS JALAN KESEHATAN - MESJID</t>
  </si>
  <si>
    <t>TANAH RUAS JALAN TUGU BARAT - JALAN SUDIRMAN</t>
  </si>
  <si>
    <t>TANAH RUAS JALAN TUGU TIMUR - JALAN SUDIRMAN</t>
  </si>
  <si>
    <t>TANAH RUAS JALAN LINGKAR JATI 1 - JALAN SUDIRMAN</t>
  </si>
  <si>
    <t>TANAH RUAS JALAN LINGKAR JATI 2 - JALAN SUDIRMAN</t>
  </si>
  <si>
    <t>TANAH RUAS JALAN PETAPAHAN - JALAN SUDIRMAN</t>
  </si>
  <si>
    <t>TANAH RUAS JALAN SAKO - JALAN SUDIRMAN</t>
  </si>
  <si>
    <t>TANAH RUAS JALAN GUNUNG KESIANGAN - JALAN SUDIRMAN</t>
  </si>
  <si>
    <t>TANAH RUAS JALAN IMAM BONJOL - JALAN KUANTAN</t>
  </si>
  <si>
    <t>TANAH RUAS JALAN KAMPUNG DATAR - PL. KOMANG</t>
  </si>
  <si>
    <t xml:space="preserve">TANAH RUAS JALAN M. FADILLAH - JALAN SUDIRMAN </t>
  </si>
  <si>
    <t>TANAH RUAS JALAN LIMUNO - JALAN SUDIRMAN</t>
  </si>
  <si>
    <t>TANAH RUAS JALAN MERDEKA - JALAN KARTINI</t>
  </si>
  <si>
    <t>TANAH RUAS JALAN KARTINI - JALAN DIPONEGORO</t>
  </si>
  <si>
    <t>TANAH RUAS JALAN DIPONEGORO - JALAN SUDIRMAN</t>
  </si>
  <si>
    <t>TANAH JALAN RUAS 43/43 - JALAN PL. ARO</t>
  </si>
  <si>
    <t>TANAH RUAS JALAN TOPAN - RUAS 41/41</t>
  </si>
  <si>
    <t>TANAH RUAS JALAN JERING - RUAS 04/04</t>
  </si>
  <si>
    <t>TANAH RUAS JALAN BERINGIN SAWAH - BERINGIN SAWAH</t>
  </si>
  <si>
    <t>TANAH RUAS JALAN TERMINAL - SENTAJO</t>
  </si>
  <si>
    <t>TANAH RUAS JALAN PL. ARO - PL. ARO</t>
  </si>
  <si>
    <t>TANAH RUAS JALAN SAWAH - PL. KOMANG</t>
  </si>
  <si>
    <t>TANAH RUAS JALAN PDAM - DESA BERINGIN</t>
  </si>
  <si>
    <t>TANAH RUAS JALAN KERAMAT - SD BERINGIN</t>
  </si>
  <si>
    <t>TANAH RUAS JALAN BARANGAN - RUAS 041/041</t>
  </si>
  <si>
    <t>TANAH RUAS JALAN BANGSAL - RUAS 041/041</t>
  </si>
  <si>
    <t>TANAH RUAS JALAN PADAT KARYA I - JP. KM 162 + 300</t>
  </si>
  <si>
    <t>TANAH RUAS JALAN PADAT KARYA II - BUNTU</t>
  </si>
  <si>
    <t>TANAH RUAS JALAN PLN - JP. KM 159 + 300</t>
  </si>
  <si>
    <t>TANAH RUAS JALAN PLTA - JK. RUAS 33/33 KM 0 + 100</t>
  </si>
  <si>
    <t>TANAH RUAS JALAN SMK - SMK</t>
  </si>
  <si>
    <t>TANAH RUAS JALAN SIMP. STM BERINGIN - SAWAH</t>
  </si>
  <si>
    <t>TANAH RUAS JALAN TELKOM - JK</t>
  </si>
  <si>
    <t>TANAH RUAS JALAN INDUSTRI - JK. RUAS 231/231</t>
  </si>
  <si>
    <t xml:space="preserve">TANAH RUAS JALAN BUNDARAN DPRD - KANTOR  BUPATI </t>
  </si>
  <si>
    <t>TANAH RUAS JALAN SIMP. RSUD - RSUD</t>
  </si>
  <si>
    <t>TANAH RUAS JALAN SP. KTR. BUPATI  - BUNDARAN DPRD(VIA DISPORA)</t>
  </si>
  <si>
    <t>TANAH RUAS JALAN KUANTAN</t>
  </si>
  <si>
    <t>TANAH RUAS JALAN MENUJU SMP 2</t>
  </si>
  <si>
    <t>TANAH RUAS JALAN LIMUNO SELATAN</t>
  </si>
  <si>
    <t>TANAH RUAS JALAN SIMP. PL. KEDUNDUNG  - PL. KEDUNDUNG</t>
  </si>
  <si>
    <t>TANAH RUAS JALAN BUNDARAN DPRD - JALAN PROPINSI</t>
  </si>
  <si>
    <t>TANAH RUAS JALAN PERINDAGKOP</t>
  </si>
  <si>
    <t>TANAH RUAS JALAN JP. KM 161 +250 (MESS POLISI) - JK. RUAS 041/041</t>
  </si>
  <si>
    <t>TANAH RUAS JALAN SRDP - JK. RUAS  045/045</t>
  </si>
  <si>
    <t>TANAH RUAS JALAN LINGKAR SEBERANG TELUK - JK. RUAS 004/004</t>
  </si>
  <si>
    <t>TANAH RUAS JALAN MENUJU LOKASI TPA - JK. RUAS 004/004</t>
  </si>
  <si>
    <t>TANAH RUAS JALAN LOKASI RUMAH ADAT - JP. KM 164 + 250</t>
  </si>
  <si>
    <t>TANAH RUAS JALAN PL. BUNGIN - JP. KM 163 + 750 PBR(HASANAH)</t>
  </si>
  <si>
    <t>TANAH RUAS JALAN LUBUK JAMBI - LUBUK AMBACANG</t>
  </si>
  <si>
    <t>TANAH RUAS JALAN CENGAR - KOTO BENAI</t>
  </si>
  <si>
    <t>TANAH RUAS JALAN PANTAI - AIR BULUH</t>
  </si>
  <si>
    <t>TANAH RUAS JALAN SEI. BESAR - BTS. SUMBAR</t>
  </si>
  <si>
    <t>TANAH RUAS JALAN SIMP. CENGAR - BUKIT PAYUNG</t>
  </si>
  <si>
    <t>TANAH RUAS JALAN SANGAU - SIBEROBAH</t>
  </si>
  <si>
    <t>TANAH RUAS JALAN LUBUK JAMBI - SAIK</t>
  </si>
  <si>
    <t>TANAH RUAS JALAN SIMP. 4 PANGKALAN - MUARA PETAI</t>
  </si>
  <si>
    <t>TANAH RUAS JALAN SIMP. KINALI - BUKIT KAUMAN</t>
  </si>
  <si>
    <t>TANAH RUAS JALAN BUKIT KAUMAN - SEI. KELELAWAR</t>
  </si>
  <si>
    <t>TANAH RUAS JALAN KASANG - BUKIT KAUMAN</t>
  </si>
  <si>
    <t>TANAH RUAS JALAN KASANG - SIMP. 4 CENGAR</t>
  </si>
  <si>
    <t>TANAH RUAS JALAN SP. BANJAR GUNTUNG - BANJAR GUNTUNG</t>
  </si>
  <si>
    <t>TANAH RUAS JALAN DESA TANJUNG - JK. RUAS 083/083</t>
  </si>
  <si>
    <t>TANAH RUAS JALAN DESA SEI. ALA - SEI. KUANTAN</t>
  </si>
  <si>
    <t>TANAH RUAS JALAN DESA BANJAR GUNTUNG - SEI. KUANTAN</t>
  </si>
  <si>
    <t>TANAH RUAS JALAN DESA PL. RUMPUT - SEI. KUANTAN</t>
  </si>
  <si>
    <t>TANAH RUAS JALAN DESA PETAPAHAN - JK. RUAS 106/106</t>
  </si>
  <si>
    <t>TANAH RUAS JALAN DESA RANTAU SIALANG - SEI. KUANTAN</t>
  </si>
  <si>
    <t>TANAH RUAS JALAN DESA PANGKALAN - JALAN RUAS KM 37 + 500</t>
  </si>
  <si>
    <t>TANAH RUAS JALAN KH. AHMAD DAHLAN - JALAN BUNGA SETANGKAI</t>
  </si>
  <si>
    <t>TANAH RUAS JALAN BUNGA SETANGKAI - JALAN KH. MUKTAR</t>
  </si>
  <si>
    <t>TANAH RUAS JALAN KH. DEWANTARA - SP. LUBUK JAMBI</t>
  </si>
  <si>
    <t>TANAH RUAS JALAN LINGKAR PASAR 1 - JALAN BUNGA SETANGKAI</t>
  </si>
  <si>
    <t>TANAH RUAS JALAN LINGKAR PASAR II - JALAN BUNGA SETANGKAI</t>
  </si>
  <si>
    <t>TANAH RUAS JALAN CENGAR - JALAN RAPP</t>
  </si>
  <si>
    <t>TANAH RUAS JALAN MUARA PETAI - SETIANG</t>
  </si>
  <si>
    <t>TANAH RUAS JALAN KASANG - Ps LBK. JAMBI</t>
  </si>
  <si>
    <t>TANAH RUAS JALAN DALAM KOTA KP. BARU TOAR - JP. KM 178 + 000</t>
  </si>
  <si>
    <t>TANAH RUAS JALAN KP. BARU TOAR - PENYEBERANGAN KERESEK</t>
  </si>
  <si>
    <t>TANAH RUAS JALAN GUNUNG - PL. MUNGKUR</t>
  </si>
  <si>
    <t>TANAH RUAS JALAN DESA TEBERAU PANJANG - SEI. KUANTAN</t>
  </si>
  <si>
    <t>TANAH RUAS JALAN KAMPUNG BARU TOAR - GUNUNG</t>
  </si>
  <si>
    <t>TANAH RUAS JALAN LUBUK TERENTANG - PISANG BEREBUS</t>
  </si>
  <si>
    <t>TANAH RUAS JALAN SIMP. SEI. PINANG - TANJUNG</t>
  </si>
  <si>
    <t>TANAH RUAS JALAN SEI. MANAU - SEI. KELELAWAR</t>
  </si>
  <si>
    <t>TANAH RUAS JALAN SIMP. SEI. ALA - SEI. ALA</t>
  </si>
  <si>
    <t>TANAH RUAS JALAN SAIK - KOTO KOMBU</t>
  </si>
  <si>
    <t>TANAH RUAS JALAN MUDIK ULO - SUMPU</t>
  </si>
  <si>
    <t>TANAH RUAS JALAN LUBUK AMBACANG - AIR TERJUN BTG KOBAN</t>
  </si>
  <si>
    <t>TANAH RUAS JALAN MUDIK ULO - TANJUNG MEDANG</t>
  </si>
  <si>
    <t>TANAH RUAS JALAN KOTO KOMBU - LOKASI PLTA</t>
  </si>
  <si>
    <t>TANAH RUAS JALAN DESA KOTO KOMBU - JK. RUAS 03/03</t>
  </si>
  <si>
    <t>TANAH RUAS JALAN BASERAH - PERHENTIAN LUAS</t>
  </si>
  <si>
    <t>TANAH RUAS JALAN KOTO RAJO - BASERAH</t>
  </si>
  <si>
    <t>TANAH RUAS JALAN SIMP. TERATAK BARU - TERATAK BARU</t>
  </si>
  <si>
    <t>TANAH RUAS JALAN DUSUN TUO - GUNUNG MELINTANG</t>
  </si>
  <si>
    <t>TANAH RUAS JALAN SAKO - BINJAI</t>
  </si>
  <si>
    <t>TANAH RUAS JALAN KEPALA PULAU - PULAU MADINAH</t>
  </si>
  <si>
    <t>TANAH RUAS JALAN JP. KM 204 + 500 - PL KIJANG</t>
  </si>
  <si>
    <t>TANAH RUAS JALAN JK. RUAS 190/190 - PULAU BARU</t>
  </si>
  <si>
    <t>TANAH RUAS JALAN DESA PENGALIHAN - KOTO RAJO</t>
  </si>
  <si>
    <t>TANAH RUAS JALAN DESA LUMBOK - KOTO RAJO</t>
  </si>
  <si>
    <t>TANAH RUAS JALAN DESA BERALO - SEI. SORIAK</t>
  </si>
  <si>
    <t>TANAH RUAS JALAN DESA KAMPUNG TENGAH - PL. MADINAH</t>
  </si>
  <si>
    <t>TANAH RUAS JALAN DESA PL. BARU - PELUKAHAN</t>
  </si>
  <si>
    <t>TANAH RUAS JALAN DESA PL. KULUR - SEI. SORIK</t>
  </si>
  <si>
    <t>TANAH RUAS JALAN DESA TANJUNG PETAI - SEI. SORIK</t>
  </si>
  <si>
    <t>TANAH RUAS JALAN DESA DANAU - KOTO RAJO</t>
  </si>
  <si>
    <t>TANAH RUAS JALAN DESA GUNUNG MELINTANG - JK. RUAS 087/087</t>
  </si>
  <si>
    <t>TANAH RUAS JALAN A. YANI - JALAN RAWANG BONTO</t>
  </si>
  <si>
    <t>TANAH RUAS JALAN M. YAMIN - JALAN PELAJAR I</t>
  </si>
  <si>
    <t>TANAH RUAS JALAN PELAJAR</t>
  </si>
  <si>
    <t>TANAH RUAS JALAN PELAJAR 2</t>
  </si>
  <si>
    <t>TANAH RUAS JALAN PELAJAR 3</t>
  </si>
  <si>
    <t>TANAH RUAS JALAN DR. SUTOMO 1</t>
  </si>
  <si>
    <t>TANAH RUAS JALAN DR. SUTOMO 2</t>
  </si>
  <si>
    <t>TANAH RUAS JALAN LINGKAR PASAR 2 - JALAN PELAJAR 2</t>
  </si>
  <si>
    <t>TANAH RUAS JALAN H. AGUS SALIM - JALAN M. YAMIN</t>
  </si>
  <si>
    <t>TANAH RUAS JALAN KARTINI - JALAN PELAJAR 2</t>
  </si>
  <si>
    <t>TANAH RUAS JALAN KARET 1 - JALAN PELAJAR 2</t>
  </si>
  <si>
    <t>TANAH RUAS JALAN KARET 2 -JALAN KARET 1</t>
  </si>
  <si>
    <t>TANAH RUAS JALAN KAMPUNG MEDAN - JALAN PELAJAR 3</t>
  </si>
  <si>
    <t>TANAH RUAS JALAN KOTO RAJO - SEI. KUANTAN</t>
  </si>
  <si>
    <t>TANAH RUAS JALAN PULAU KUMPAI - PS. USANG BASERAH</t>
  </si>
  <si>
    <t>TANAH RUAS JALAN KOTO RAJO - PL. JAMBU</t>
  </si>
  <si>
    <t>TANAH RUAS JALAN KOTO BASERAH - BANUARAN (JBT. BASERAH)</t>
  </si>
  <si>
    <t>TANAH RUAS JALAN PANGEAN - PL. KUMPAI</t>
  </si>
  <si>
    <t>TANAH RUAS JALAN PANGEAN - BATAS PELALAWAN</t>
  </si>
  <si>
    <t>TANAH RUAS JALAN SAKO - TRANS SKP II</t>
  </si>
  <si>
    <t>TANAH RUAS JALAN PAUH ANGIT - PS. USANG PANGEAN</t>
  </si>
  <si>
    <t>TANAH RUAS JALAN JK. RUAS 190/190 KM 7 + 000 - TANAH BEKALI</t>
  </si>
  <si>
    <t>TANAH RUAS JALAN JK. RUAS 190/190 - PULAU DERAS</t>
  </si>
  <si>
    <t>TANAH RUAS JALAN JK. RUAS 190/190 - PADANG TANGGUNG</t>
  </si>
  <si>
    <t>TANAH RUAS JALAN JK. RUAS 190/190 - PADANG KUNYIT</t>
  </si>
  <si>
    <t>TANAH RUAS JALAN DESA TANAH BEKALI - PL. DERAS</t>
  </si>
  <si>
    <t>TANAH RUAS JALAN DESA PL. TENGAH - SIKAPING</t>
  </si>
  <si>
    <t>TANAH RUAS JALAN DESA PL. RENGAS - PEMATANG</t>
  </si>
  <si>
    <t>TANAH RUAS JALAN DESA SIKAPING - PL. INGU</t>
  </si>
  <si>
    <t>TANAH RUAS JALAN DESA PAUH ANGIT - TANJUNG SIMANDOLAK</t>
  </si>
  <si>
    <t>TANAH RUAS JALAN DESA PEMATANG - PL. TENGAH</t>
  </si>
  <si>
    <t>TANAH RUAS JALAN DESA RAWANG BINJAI - JK. RUAS 185/185</t>
  </si>
  <si>
    <t>TANAH RUAS JALAN PAUH ANGIT - RAWANG BINJAI</t>
  </si>
  <si>
    <t>TANAH RUAS JALAN SAKO - LOGAS TANAH DARAT</t>
  </si>
  <si>
    <t>TANAH RUAS JALAN TUGU PULAI - PAUH ANGIT</t>
  </si>
  <si>
    <t>TANAH RUAS JALAN SIMP. RAMBAHAN - RAMBAHAN</t>
  </si>
  <si>
    <t>TANAH RUAS JALAN LOGAS TANAH DARAT - SEI. RAMBAI</t>
  </si>
  <si>
    <t>TANAH RUAS JALAN SUKARAJA - GIRI SAKO</t>
  </si>
  <si>
    <t>TANAH RUAS JALAN LOGAS TANAH DARAT - HULU TESO</t>
  </si>
  <si>
    <t>TANAH RUAS JALAN DESA LUBUK KEBUN - SITUGAL</t>
  </si>
  <si>
    <t>TANAH RUAS JALAN SAKO MARGA SARI - KUANTAN SAKO</t>
  </si>
  <si>
    <t>TANAH RUAS JALAN MUARA LANGSAT - TRANS PETAI</t>
  </si>
  <si>
    <t>TANAH RUAS JALAN PKL. INDARUNG - SUMPU</t>
  </si>
  <si>
    <t>TANAH RUAS JALAN SAMBUNG - KEBUN LADO</t>
  </si>
  <si>
    <t>TANAH RUAS JALAN LOGAS - MUDIK ULO</t>
  </si>
  <si>
    <t>TANAH RUAS JALAN JP. KM 145 +575 - SIMP. KERANJI</t>
  </si>
  <si>
    <t>TANAH RUAS JALAN JK. KM 9 + 000 - RUAS 111/111</t>
  </si>
  <si>
    <t>TANAH RUAS JALAN JK. KM 7 + 000 - SUKA MAJU</t>
  </si>
  <si>
    <t>TANAH RUAS JALAN DALAM DESA LOGAS</t>
  </si>
  <si>
    <t>TANAH RUAS JALAN JK. KM 68 + 550 - TRANS SAKO</t>
  </si>
  <si>
    <t>TANAH RUAS JALAN LOGAS - AIR MAS</t>
  </si>
  <si>
    <t>TANAH RUAS JALAN MUARA LEMBUH - SEI. SIRIH</t>
  </si>
  <si>
    <t>TANAH RUAS JALAN JP. KM 129 + 850 - JP KM 130 + 000</t>
  </si>
  <si>
    <t>TANAH RUAS JALAN JP KM 149 + 300 - RUAS 109 /109</t>
  </si>
  <si>
    <t>TANAH RUAS JALAN JK KM 127 + 135/135 - JK KM 27 135/135</t>
  </si>
  <si>
    <t>TANAH RUAS JALAN PANGAKALAN INDARUNG - JALAN RUAS 189/189</t>
  </si>
  <si>
    <t>TANAH RUAS JALAN JEND. SUDIRMAN - JALAN PROPINSI</t>
  </si>
  <si>
    <t>TANAH RUAS JALAN A. YANI - JALAN PROPINSI</t>
  </si>
  <si>
    <t>TANAH RUAS JALAN DIPONEGORO - JALAN PASAR USANG</t>
  </si>
  <si>
    <t>TANAH RUAS JALAN IMAM BONJOL - JALAN PADAT KARYA</t>
  </si>
  <si>
    <t>TANAH RUAS JALAN PERTUAN GADIS - SEI. LEMBU</t>
  </si>
  <si>
    <t>TANAH RUAS JALAN PADAT KARYA I - SEI. LEMBU</t>
  </si>
  <si>
    <t>TANAH RUAS JALAN PADAT KARYA 2 - SEI. LEMBU</t>
  </si>
  <si>
    <t>TANAH RUAS JALAN PADAT KARYA 3 - SEI. LEMBU</t>
  </si>
  <si>
    <t>TANAH RUAS JALAN PADAT KARYA 4 - SEI. LEMBU</t>
  </si>
  <si>
    <t>TANAH RUAS JALAN SRDP 1 - JALAN DIPONEGORO</t>
  </si>
  <si>
    <t>TANAH RUAS JALAN SMP - JALAN A. YANI</t>
  </si>
  <si>
    <t>TANAH RUAS JALAN SRDP 1 - SEI. LEMBU</t>
  </si>
  <si>
    <t xml:space="preserve">TANAH RUAS JALAN AMD - JALAN DIPONEGORO </t>
  </si>
  <si>
    <t>TANAH RUAS JALAN SENTRAL - JALAN A YANI</t>
  </si>
  <si>
    <t>TANAH RUAS JALAN HANG LEKIR - SEI LEMBU</t>
  </si>
  <si>
    <t>TANAH RUAS JALAN TENGKU UMAR - JALAN SYEH AHMAD BUNDA</t>
  </si>
  <si>
    <t>TANAH RUAS JALAN HANGTUAH - JALAN A. YANI</t>
  </si>
  <si>
    <t>TANAH RUAS JALAN LINGKAR DESA LOGAS</t>
  </si>
  <si>
    <t>TANAH RUAS JALAN M. HATTA - SEI LEMBU</t>
  </si>
  <si>
    <t>TANAH RUAS JALAN SUTOMO - SEI LEMBU</t>
  </si>
  <si>
    <t>TANAH RUAS JALAN HANG JEBAT - JALAN A. YANI</t>
  </si>
  <si>
    <t>TANAH RUAS JALAN SYEH AHMAD BUNDA - JALAN PERTUAN GADIS</t>
  </si>
  <si>
    <t>TANAH RUAS JALAN CUT NYAK DIEN - JALAN PERTUAN GADIS</t>
  </si>
  <si>
    <t>TANAH RUAS JALAN SMA - SEI. LEMBU</t>
  </si>
  <si>
    <t>TANAH RUAS JALAN SIMP. HANDOYO - SUMBER DATAR</t>
  </si>
  <si>
    <t>TANAH RUAS JALAN LOGAS - SUMBER DATAR</t>
  </si>
  <si>
    <t>TANAH RUAS JALAN PASIR MAS - SAKO MARGASARI</t>
  </si>
  <si>
    <t>TANAH RUAS JALAN SP. SUMBER DATAR - SUMBER DATAR</t>
  </si>
  <si>
    <t>TANAH RUAS JALAN SP. KEBUN LADO - SEI. SIRIH</t>
  </si>
  <si>
    <t>TANAH RUAS JALAN LINGKAR DESA KEBUN LADO</t>
  </si>
  <si>
    <t>TANAH RUAS JALAN AIR MAS - SEI. KERANJI</t>
  </si>
  <si>
    <t>TANAH RUAS JALAN SIMP. PETAI - PABRIK PT. WANASARI</t>
  </si>
  <si>
    <t>TANAH RUAS JALAN SIMPANG KORAN - SUKAMAJU</t>
  </si>
  <si>
    <t>TANAH RUAS JALAN SIMP. RAYA - SEI. BULUH</t>
  </si>
  <si>
    <t>TANAH RUAS JALAN PL. RAMBUTAN - SEI TAPI</t>
  </si>
  <si>
    <t>TANAH RUAS JALAN PETAI - TASAM</t>
  </si>
  <si>
    <t>TANAH RUAS JALAN JK 112/112 KM 2 + 000 - TASAM</t>
  </si>
  <si>
    <t>TANAH RUAS JALAN DALAM KOTA KOTO BARU - JP KM 108 - 650</t>
  </si>
  <si>
    <t>TANAH RUAS JALAN KOTO BARU - SEI. LANGSAT</t>
  </si>
  <si>
    <t>TANAH RUAS JALAN KOTO BARU - SUKA MAJU</t>
  </si>
  <si>
    <t>TANAH RUAS JALAN SIMP. 4 PT. WANASARI - SUKAMAJU</t>
  </si>
  <si>
    <t>TANAH RUAS JALAN SEI. SIRIH - SIMP. 4 PT. WANASARI</t>
  </si>
  <si>
    <t>TANAH RUAS JALAN SIMP. MUARA BAHAN - MUARA BAHAN</t>
  </si>
  <si>
    <t>TANAH RUAS JALAN SIM. KURAN - BATAS KAMPAR</t>
  </si>
  <si>
    <t>TANAH RUAS JALAN JK RUAS 199/199 KM 9 + 500 - TRANS SKP II PETAI</t>
  </si>
  <si>
    <t>TANAH RUAS JALAN JK RUAS 191/191 KM 9 + 500 - JK. RUAS 05/05 KM 5+000</t>
  </si>
  <si>
    <t>TANAH RUAS JALAN BERINGIN JAYA - SUKA MAJU</t>
  </si>
  <si>
    <t>TANAH RUAS JALAN KUANTAN SAKO - TRANS PETAI</t>
  </si>
  <si>
    <t>TANAH RUAS JALAN TANJUNG PAUH - SUKA MAJU</t>
  </si>
  <si>
    <t>TANAH RUAS JALAN MUARA BAHAN - SEI. BULUH</t>
  </si>
  <si>
    <t>TANAH RUAS JALAN BENAI - PL. LANCANG</t>
  </si>
  <si>
    <t>TANAH RUAS JALAN LEPAU GADING - PANGEAN</t>
  </si>
  <si>
    <t>TANAH RUAS JALAN SENTAJO - TERATAK AIR HITAM</t>
  </si>
  <si>
    <t>TANAH RUAS JALAN BENAI - KOTO RAJO</t>
  </si>
  <si>
    <t>TANAH RUAS JALAN BENAI - SIMPANG CENGAR II</t>
  </si>
  <si>
    <t>TANAH RUAS JALAN JK RUAS 24/24 KM - RAWANG BINJAI</t>
  </si>
  <si>
    <t>TANAH RUAS JALAN JK RUAS 85/85 - BANJAR LOPAK</t>
  </si>
  <si>
    <t>TANAH RUAS JALAN SIMP. DUTA PALMA - MUARA PETAI</t>
  </si>
  <si>
    <t>TANAH RUAS JALAN SIMP. DUTA PALMA - BATAS INHU</t>
  </si>
  <si>
    <t>TANAH RUAS JALAN DALAM KOTA BENAI - JALAN NASIONAL KM 173 +000</t>
  </si>
  <si>
    <t>TANAH RUAS JALAN DESA UJUNG TANJUNG - JK 189/189</t>
  </si>
  <si>
    <t>TANAH RUAS JALAN DALAM KOTA BENAI - KOTO BENAI</t>
  </si>
  <si>
    <t>TANAH RUAS JALAN DESA GUNUNG KESIANGAN - JALAN UJUNG TANJUNG</t>
  </si>
  <si>
    <t>TANAH RUAS JALAN DESA PULAU KALIMANTING - PEMATANG</t>
  </si>
  <si>
    <t>TANAH RUAS JALAN TJ. SIMANDOLAK - BANJAR LOPAK</t>
  </si>
  <si>
    <t>TANAH RUAS JALAN DESA TALONTAM - PL. KOPUNG</t>
  </si>
  <si>
    <t>TANAH RUAS JALAN SIMANDOLAK - PENYEBERANGAN TANJUNG</t>
  </si>
  <si>
    <t>TANAH RUAS JALAN BENAI - RAPP</t>
  </si>
  <si>
    <t>TANAH RUAS JALAN BERINGIN JAYA - BINJAI</t>
  </si>
  <si>
    <t>TANAH RUAS JALAN BENAI - TEBING TINGGI</t>
  </si>
  <si>
    <t>TANAH RUAS JALAN GUNUNG KESIANGAN - PL. KALIMANTING</t>
  </si>
  <si>
    <t>TANAH RUAS JALAN JALUR PATAH - LANGSAT HULU</t>
  </si>
  <si>
    <t>TANAH RUAS JALAN TALONTAM - BANJAR BENAI</t>
  </si>
  <si>
    <t>TANAH RUAS JALAN GUNUNG KESIANGAN - RESETLEMEN PENDUDUK</t>
  </si>
  <si>
    <t>TANAH RUAS JALAN KOMPE BERANGIN - KP. BARU CERENTI</t>
  </si>
  <si>
    <t>TANAH RUAS JALAN NEES II CERENTI - KOMPE BERANGIN</t>
  </si>
  <si>
    <t>TANAH RUAS JALAN KOTO CERENTI - PULAU BAYUR</t>
  </si>
  <si>
    <t>TANAH RUAS JALAN SIKURAN - BANJAR NAN TIGO</t>
  </si>
  <si>
    <t>TANAH RUAS JALAN SEI. PERUPUK - TELUK PAUH</t>
  </si>
  <si>
    <t>TANAH RUAS JALAN PULAU JAMBU TELUK PAUH</t>
  </si>
  <si>
    <t>TANAH RUAS JALAN DIPONEGORO  - JALAN YOS SUDARSO</t>
  </si>
  <si>
    <t>TANAH RUAS JALAN IMAM BONJOL -  JP KM 220 + 000</t>
  </si>
  <si>
    <t>TANAH RUAS JALAN YOS SUDARSO - JALAN HANG TUAH</t>
  </si>
  <si>
    <t>TANAH RUAS JALAN HANG TUAH - JALAN YOS SUDARSO</t>
  </si>
  <si>
    <t>TANAH RUAS JALAN PADAT KARYA 1 - JK RUAS 220 + 300</t>
  </si>
  <si>
    <t>TANAH RUAS JALAN PADAT KARYA 2 - JP KM 220 + 000</t>
  </si>
  <si>
    <t>TANAH RUAS JALAN TELUK PAUH - BATAS INHU</t>
  </si>
  <si>
    <t>TANAH RUAS JALAN TELUK PAUH - PESIKAIAN</t>
  </si>
  <si>
    <t>TANAH RUAS JALAN SEI. PERUPUK - PULAU BAYUR</t>
  </si>
  <si>
    <t>TANAH RUAS JALAN INUMAN - PULAU BUSUK</t>
  </si>
  <si>
    <t>TANAH RUAS JALAN INUMAN - GUNUNG MELINTANG</t>
  </si>
  <si>
    <t>TANAH RUAS JALAN INUMAN - PULAU KIJANG</t>
  </si>
  <si>
    <t>TANAH RUAS JALAN BANJAR NAN TIGO - PASAR INUMAN</t>
  </si>
  <si>
    <t>TANAH RUAS JALAN KOTO INUMAN - NEES II CERENTI</t>
  </si>
  <si>
    <t>TANAH RUAS JALAN INUMAN - BEDENG</t>
  </si>
  <si>
    <t>TANAH RUAS JALAN PULAU BUSUK - KOTO INUMAN</t>
  </si>
  <si>
    <t>TANAH RUAS JALAN LINGKAR KOTO INUMAN</t>
  </si>
  <si>
    <t>TANAH RUAS JALAN BEDENG SIKURAN - PENYEB. PULAU PANJANG</t>
  </si>
  <si>
    <t>TANAH RUAS JALAN INUMAN - PULAU PANJANG</t>
  </si>
  <si>
    <t>TANAH RUAS JALAN BANJAR NAN TIGO - KOTO INUMAN</t>
  </si>
  <si>
    <t>TANAH RUAS JALAN DESA PL. PANJANG - PL. PANJANG HILIR</t>
  </si>
  <si>
    <t>TANAH RUAS JALAN DESA PULAU SIPAN - PL. PANJANG HULU</t>
  </si>
  <si>
    <t>TANAH RUAS JALAN DESA SIGARUNTANG - JK RUAS 208/208</t>
  </si>
  <si>
    <t>TANAH RUAS JALAN INUMAN (JALAN RAPP) - SITUGAL</t>
  </si>
  <si>
    <t>NJOP 2006</t>
  </si>
  <si>
    <t>02.02.01.02.03</t>
  </si>
  <si>
    <t>02.02.01.07.04</t>
  </si>
  <si>
    <t>02.02.01.07.11</t>
  </si>
  <si>
    <t>02.02.01.09.03</t>
  </si>
  <si>
    <t>02.02.01.02.06</t>
  </si>
  <si>
    <t>02.02.01.03.01</t>
  </si>
  <si>
    <t>02.04.01.04.08</t>
  </si>
  <si>
    <t>02.03.01.05.01</t>
  </si>
  <si>
    <t>02.03.01.02.01</t>
  </si>
  <si>
    <t>02.04.01.03.05</t>
  </si>
  <si>
    <t>02.04.01.02.08</t>
  </si>
  <si>
    <t>02.04.02.04.06</t>
  </si>
  <si>
    <t>02.04.01.01.18</t>
  </si>
  <si>
    <t>02.04.01.01.31</t>
  </si>
  <si>
    <t>02.05.01.08.33</t>
  </si>
  <si>
    <t>02.05.02.01.08</t>
  </si>
  <si>
    <t>02.05.02.04.09</t>
  </si>
  <si>
    <t>02.05.01.07.05</t>
  </si>
  <si>
    <t>02.06.03.05.02</t>
  </si>
  <si>
    <t>02.06.03.05.01</t>
  </si>
  <si>
    <t>02.06.01.01.02</t>
  </si>
  <si>
    <t>02.06.02.01.61</t>
  </si>
  <si>
    <t>02.06.02.01.12</t>
  </si>
  <si>
    <t>02.06.02.01.10</t>
  </si>
  <si>
    <t>02.06.04.02.04</t>
  </si>
  <si>
    <t>02.06.01.04.18</t>
  </si>
  <si>
    <t>02.06.03.05.05</t>
  </si>
  <si>
    <t>02.06.01.04.12</t>
  </si>
  <si>
    <t>02.06.01.04.10</t>
  </si>
  <si>
    <t>POMPA AIR (BERTAMBAH)</t>
  </si>
  <si>
    <t>POMPA DISTRIBUSI KAP 50 LT/DT BPAM TELUK KUANTAN</t>
  </si>
  <si>
    <t>POMPA DISTRIBUSI KAP 10 LT/DT  (2UNIT)</t>
  </si>
  <si>
    <t xml:space="preserve">KOMPUTER (PC CORE I7) </t>
  </si>
  <si>
    <t>PAPAN INFORMASI IMB</t>
  </si>
  <si>
    <t>FILING KABINET</t>
  </si>
  <si>
    <t xml:space="preserve">MEJA KERJA KEPALA BIDANG </t>
  </si>
  <si>
    <t xml:space="preserve"> MEJA KERJA STAF</t>
  </si>
  <si>
    <t xml:space="preserve">KURSI KERJA KEPALA BIDANG </t>
  </si>
  <si>
    <t>PROYEKTOR / INFOKUS</t>
  </si>
  <si>
    <t>KOMPUTER NOTEBOOK</t>
  </si>
  <si>
    <t xml:space="preserve">PRINTER A3 LASER JET </t>
  </si>
  <si>
    <t>KOMPUTER NOTE BOOK</t>
  </si>
  <si>
    <t>PENGADAAN PLANK INFORMASI IMB</t>
  </si>
  <si>
    <t>PELATARAN PARKIR</t>
  </si>
  <si>
    <t>PANASINIC</t>
  </si>
  <si>
    <t>THOSIBHA</t>
  </si>
  <si>
    <t>02.07.01.01.03</t>
  </si>
  <si>
    <t>02.07.01.02.100</t>
  </si>
  <si>
    <t>02.07.02.01.20</t>
  </si>
  <si>
    <t>02.07.02.01.08</t>
  </si>
  <si>
    <t>KAMERA DIGITAL (1 UNIT)</t>
  </si>
  <si>
    <t>02.04.03.01.71</t>
  </si>
  <si>
    <t>02.04.03.01.77</t>
  </si>
  <si>
    <t>02.04.03.09.13</t>
  </si>
  <si>
    <t>Koreksi KIB 2018</t>
  </si>
  <si>
    <t>02.10.02.01.11</t>
  </si>
  <si>
    <t>02.04.02.02.04</t>
  </si>
  <si>
    <t>02.05.01.05.05</t>
  </si>
  <si>
    <t>GEDUNG STAI</t>
  </si>
  <si>
    <t>GEDUNG TEMPAT TINGGAL</t>
  </si>
  <si>
    <t>GARASE ALAT BERAT KIMPRASWIL</t>
  </si>
  <si>
    <t>RUMAH DINAS DANRAMIL</t>
  </si>
  <si>
    <t>RUMAH SEDERHANA LAYAK HUNI</t>
  </si>
  <si>
    <t>KUBURAN KERAMAT TELUK KUANTAN</t>
  </si>
  <si>
    <t>HALAMAN KANTOR DINAS CKTR DAN SATPOL PP</t>
  </si>
  <si>
    <t>KANTOR KEPALA DESA</t>
  </si>
  <si>
    <t>RUANG KERJA KETUA &amp; WAKIL KETUA</t>
  </si>
  <si>
    <t xml:space="preserve">KANTOR UPTD PENDIDIKAN KECAMATAN SENTAJO RAYA </t>
  </si>
  <si>
    <t>KANTOR BPKAD</t>
  </si>
  <si>
    <t>GEDUNG PERTEMUAN NAROSA</t>
  </si>
  <si>
    <t>TRIBUN HAKIM PACU JALUR TEPIAN NAROSA</t>
  </si>
  <si>
    <t>KANTOR KEPALA DESA KOTO CERENTI</t>
  </si>
  <si>
    <t>KANTOR KEPALA DESA KOTO SENTAJO</t>
  </si>
  <si>
    <t>KANTOR KEPALA DESA MUARO SENTAJO</t>
  </si>
  <si>
    <t>KANTOR KEPALA DESA MUARO TOBEK</t>
  </si>
  <si>
    <t>KANTOR KEPALA DESA RAWANG BINJAI</t>
  </si>
  <si>
    <t>KANTOR KEPALA DESA RAWANG OGUANG</t>
  </si>
  <si>
    <t>KANTOR KEPALA DESA PANGKALAN INDARUNG</t>
  </si>
  <si>
    <t>GEDUNG KANTOR BADAN INFORMASI KOMUNIKASI DAN KESATUAN BANGSA</t>
  </si>
  <si>
    <t>BANGUNAN 46</t>
  </si>
  <si>
    <t>BANGUNAN 40</t>
  </si>
  <si>
    <t>BANGUNAN 43</t>
  </si>
  <si>
    <t>02.06.01.03.07</t>
  </si>
  <si>
    <t>PENINGKATAN JALAN SENTAJO - TERATAK AIR HITAM ASPAL 1,00 KM)</t>
  </si>
  <si>
    <t>sudah kapitalisasi_Au</t>
  </si>
  <si>
    <t>PEMBANGUNAN SARANA PENUNJANG RUMAH JABATAN WAKIL BUPATI</t>
  </si>
  <si>
    <t xml:space="preserve">PEMBANGUNAN SARANA PENUNJANG RUMAH JABATAN SEKRETARIS DAERAH </t>
  </si>
  <si>
    <t>BANGUNAN 18</t>
  </si>
  <si>
    <t>BANGUNAN 19</t>
  </si>
  <si>
    <t xml:space="preserve">PEMBANGUNAN SARANA PENUNJANG RUMAH JABATAN KETUA DPRD </t>
  </si>
  <si>
    <t>PEMBANGUNAN SARANA PENUNJANG RUMAH JABATAN WAKIL KETUA II DPRD</t>
  </si>
  <si>
    <t>PEMBANGUNAN SARANA PENUNJANG RUMAH JABATAN WAKIL KETUA I  DPRD</t>
  </si>
  <si>
    <t>BANGUNAN 20</t>
  </si>
  <si>
    <t>RUMAH DINAS WAKIL KETUA I DPRD</t>
  </si>
  <si>
    <t>RUMAH DINAS WAKIL KETUA II DPRD</t>
  </si>
  <si>
    <t>BANGUNAN 23</t>
  </si>
  <si>
    <t>BANGUNAN 22</t>
  </si>
  <si>
    <t>tidak dikapitalisasi</t>
  </si>
  <si>
    <t>double</t>
  </si>
  <si>
    <t>Jumlah tahun Penyusutan s.d 2013</t>
  </si>
  <si>
    <t>s.d Tahun 2013</t>
  </si>
  <si>
    <t>Tahun 2014</t>
  </si>
  <si>
    <t>Tahun 2015</t>
  </si>
  <si>
    <t>Tahun 2016</t>
  </si>
  <si>
    <t>Tahun 2017</t>
  </si>
  <si>
    <t>Tahun 2018</t>
  </si>
  <si>
    <t>Penyusutan Pertahun</t>
  </si>
  <si>
    <t>Nilai Buku</t>
  </si>
  <si>
    <t>PEMBANGUNAN RUMAH DINAS JABATAN ESELON II/PEJABAT YANG SETINGKAT (KAPOLRES)</t>
  </si>
  <si>
    <t>PEMBANGUNAN RUMAH DINAS JABATAN ESELON II/PEJABAT YANG SETINGKAT (KAJARI)</t>
  </si>
  <si>
    <t>PENINGKATAN SARANA DAN PRASARANA RUMAH JABATAN SETINGKAT ESELON II (KAPOLRES)</t>
  </si>
  <si>
    <t>PENINGKATAN SARANA DAN PRASARANA RUMAH JABATAN SETINGKAT ESELON II (KAJARI)</t>
  </si>
  <si>
    <t>PENINGKATAN SARANA DAN PRASARANA RUMAH JABATAN SETINGKAT ESELON II (3)</t>
  </si>
  <si>
    <t>PEMBANGUNAN RUMAH DINAS JABATAN ESELON II/PEJABAT YANG SETINGKAT (3)</t>
  </si>
  <si>
    <t>BANGUNAN 24</t>
  </si>
  <si>
    <t>RUMAH DINAS JABATAN ESELON II/PEJABAT YANG SETINGKAT (KAPOLRES)</t>
  </si>
  <si>
    <t>BANGUNAN 25</t>
  </si>
  <si>
    <t>RUMAH DINAS JABATAN ESELON II/PEJABAT YANG SETINGKAT (KAJARI)</t>
  </si>
  <si>
    <t>BANGUNAN 26</t>
  </si>
  <si>
    <t>tidak dikapitalisasi (double)</t>
  </si>
  <si>
    <t>TELUK PAUH-PESIKAIAN</t>
  </si>
  <si>
    <t>KARTU INVENTARIS BARANG (KIB) F</t>
  </si>
  <si>
    <t>REALISASI SP2D 2018</t>
  </si>
  <si>
    <t>BELANJA PENGIKUT</t>
  </si>
  <si>
    <t>SELISIH</t>
  </si>
  <si>
    <t>POS DAN GRASE MOBIL PEMADAM KEBAKARAN (RETENSI)</t>
  </si>
  <si>
    <t>PENY. DED PUSKESMAS RAWAT INAP KEC. LG. T. DARAT (RETENSI)</t>
  </si>
  <si>
    <t>TURAP BANGUNAN KANTOR DINAS PENDIDIKAN</t>
  </si>
  <si>
    <t xml:space="preserve"> 12 Nopember 2012 </t>
  </si>
  <si>
    <t>PEMBANGUNAN GARASI MOBIL PEMDA</t>
  </si>
  <si>
    <t>BANGUNAN KANTOR UPT DINAS PENDIDIKAN</t>
  </si>
  <si>
    <t xml:space="preserve"> 13 Nopember 2012 </t>
  </si>
  <si>
    <t>DED RTH KAWASAN PERKANTORAN (LANJUTAN)</t>
  </si>
  <si>
    <t xml:space="preserve"> 14 Nopember 2012 </t>
  </si>
  <si>
    <t>DED RTH JALAN RUSTAM S ABRUS</t>
  </si>
  <si>
    <t>DED AKSESIBILITAS KAW. PERUM.GRAHA KUANTAN CEMERLANG</t>
  </si>
  <si>
    <t>DED AKSESIBILITAS KAW. PERUMAHAN ATAN PERMAI</t>
  </si>
  <si>
    <t>TURAP HAL. BANGUNAN PUSKESMAS RAWAT INAP KEC.SINGINGI</t>
  </si>
  <si>
    <t xml:space="preserve">PENYUSUNAN DOKUMEN AMDAL PEMBANGUNAN HOTEL KUANTAN SINGINGI </t>
  </si>
  <si>
    <t>PENYIAPAN LAHAN GARASE MOBIL PEMDA</t>
  </si>
  <si>
    <t>DED REHABILITASI/ RENOVASI RUMAH DINAS CAMAT PANGEAN</t>
  </si>
  <si>
    <t>DED PEMB. RUMAH DINAS CAMAT KUANTAN TENGAH</t>
  </si>
  <si>
    <t>DED REHABILITASI/ RENOVASI KANTOR CAMAT KUANTAN MUDIK</t>
  </si>
  <si>
    <t>DED PENINGKATAN SARANA DAN PRASARANA PUSKESMAS PEMBANTU DESA PEMBATANG</t>
  </si>
  <si>
    <t>DED PENINGKATAN SARANA DAN PRASARANA LABOR BLHPI</t>
  </si>
  <si>
    <t>DED PENINGKATAN SARANA &amp; PRASARANA PUSKESMAS KOTO RAJO</t>
  </si>
  <si>
    <t>DED PENINGKATAN SARANA DAN PRASARANA PUSKESMAS PERHENTIAN LUAS</t>
  </si>
  <si>
    <t>DED PENINGKATAN SARANA DAN PRASARANA PUSKESMAS MUARA LEMBU</t>
  </si>
  <si>
    <t>DED PENINGKATAN SARANA DAN PRASARANA PUSKESMAS LOGAS TANAH DARAT</t>
  </si>
  <si>
    <t>DED REVITALISASI BANGUNAN PANCANG FINISH PACU JALUR TELUK KUANTAN</t>
  </si>
  <si>
    <t>DED PEMBANGUNAN RAWAT INAP PUSKESMAS KOTO BARU</t>
  </si>
  <si>
    <t>DED PENINGKATAN SARANA DAN PRASARANA PUSKESMAS DS PANGKALAN</t>
  </si>
  <si>
    <t>DED PENINGKATAN SARANA DAN PRASARANA PUSKESMAS SEI KERANJI</t>
  </si>
  <si>
    <t>DED PENINGKATAN SARANA DAN PRASARANA PUSKESMAS PANGEAN</t>
  </si>
  <si>
    <t>DED PEMBANGUNAN POSKESDES SEBERANG SUNGAI KECAMATAN GUNUNG TOAR</t>
  </si>
  <si>
    <t>DED PENINGKATAN SARANA DAN PRASARANA PUSKESMAS SUNGAI SIRIH</t>
  </si>
  <si>
    <t>DED PENINGKATAN SARANA DAN PRASARANA LAPANGAN BOLA KAKI KOTO BARU</t>
  </si>
  <si>
    <t>DED PEMB. UPTD TERPADU KEC. SINGINGI HILIR</t>
  </si>
  <si>
    <t>DED PEMB. KANTOR BPPT KAB. KUANTAN SINGINGI</t>
  </si>
  <si>
    <t xml:space="preserve">DED JARINGAN PERPIPAAN UPTD PAB UP INUMAN </t>
  </si>
  <si>
    <t xml:space="preserve">DED JARINGAN PERPIPAAN UPTD PAB UP CERENTI </t>
  </si>
  <si>
    <t xml:space="preserve">DED JARINGAN PERPIPAAN UPTD PAB UP PANGEN </t>
  </si>
  <si>
    <t xml:space="preserve">DED JARINGAN PERPIPAAN UPTD PAB UP TELUK KUANTAN </t>
  </si>
  <si>
    <t xml:space="preserve">PEMBANGUNAN RUANG PERTEMUAN HOTEL KUANTAN SINGINGI </t>
  </si>
  <si>
    <t xml:space="preserve">PERENCANAAN PEMBANGUNAN STADION MINI DESA PULAU PANJANG HULU </t>
  </si>
  <si>
    <t xml:space="preserve">PERENCANAAN REHAB /RENOVASI KANTOR CAMAT KUANTAN MUDIK </t>
  </si>
  <si>
    <t>PERENCANAAN JEMBATAN PULAU PADANG SEI.SINGINGI</t>
  </si>
  <si>
    <t>PENYUSUNAN DED PENGAMANAN TEBING SUNGAI KUANTAN DUSUN BOTUANG SEBERANG DESA PULAU ARO</t>
  </si>
  <si>
    <t>DED PENINGKATAN SARANA DAN PRASARANA SPAM IKK KECAMATN KUANTAN MUDIKJEMBATAN JEMBATAN RUAS SAKO-TRANS SKP II (2 UNIT)</t>
  </si>
  <si>
    <t>DED PENINGKATAN SARANA DAN PRASARANA SPAM IKK KECAMATAN PANGEAN</t>
  </si>
  <si>
    <t>DED DRAINASE KELURAHAN PASAR LUBUK JAMBI</t>
  </si>
  <si>
    <t>DED DRAINASE KELURAHAN SIMPANG TIGA</t>
  </si>
  <si>
    <t>DED PASAR KELURAHAN MUARA LEMBU KEC.SINGINGI</t>
  </si>
  <si>
    <t>DED GEDUNG PUSTAKA KABUPATEN KUANTAN SINGINGI</t>
  </si>
  <si>
    <t>DED PUSKESMAS RAWAT INAP SENTAJO DESA GERINGGING BARU</t>
  </si>
  <si>
    <t>DED TURAP PENGAMAN JALAN LINGKUNGAN PERKANTORAN PEMDA</t>
  </si>
  <si>
    <t>LINGKUNGAN PERKANTORAN PEMDA</t>
  </si>
  <si>
    <t>PERENCANAAN JEMBATAN GANTUNG DESA BUKIT KAUMAN</t>
  </si>
  <si>
    <t>BUKIT KAUMAN</t>
  </si>
  <si>
    <t>PERENCANAAN JEMBATAN GANTUNG DESA LUBUK TERENTANG</t>
  </si>
  <si>
    <t>PERENCANAAN JEMBATAN GANTUNG DESA KOTO SIMANDOLAK</t>
  </si>
  <si>
    <t>KOTO SIMANDOLAK</t>
  </si>
  <si>
    <t>PERENCANAAN JEMBATAN GANTUNG DESA PULAU BUSUK INUMAN</t>
  </si>
  <si>
    <t>PULAU BUSUK INUMAN</t>
  </si>
  <si>
    <t>PERENCANAAN JEMBATAN GANTUNG DESA PULAU JAMBU CERENTI</t>
  </si>
  <si>
    <t>PULAU JAMBU CERENTI</t>
  </si>
  <si>
    <t>PERENCANAAN JEMBATAN SEI ULO</t>
  </si>
  <si>
    <t>PERENCANAAN PENAHAN TEBING MAPOLRES</t>
  </si>
  <si>
    <t>MAPOLRES</t>
  </si>
  <si>
    <t>PERENCANAAN JEMBATAN SUNGAI TESO RUAS JALAN - SAKO TRANS SKP II</t>
  </si>
  <si>
    <t>SUNGAI TESO</t>
  </si>
  <si>
    <t>PERENCANAAN JALAN HASANAH - PULAU BUNGIN</t>
  </si>
  <si>
    <t>PERENCANAAN TURAP GELANGGANG PACU JALUR TEPIAN RAJO PANGEAN</t>
  </si>
  <si>
    <t>TEPIAN RAJO PANGEAN</t>
  </si>
  <si>
    <t>PERENCANAAN TRIBUN UTAMA GELANGGANG PACU JALUR TEPIAN NYIUR MELAMBAI CERENTI</t>
  </si>
  <si>
    <t>TEPIAN NYIUR MELAMBAI CERENTI</t>
  </si>
  <si>
    <t>PERENCANAAN TRIBUN UTAMA GELANGGANG PACU JALUR TEPIAN TIGO MUARO INUMAN</t>
  </si>
  <si>
    <t>TEPIAN TIGO MUARO INUMAN</t>
  </si>
  <si>
    <t>PERENCANAAN TRIBUN UTAMA GELANGGANG PACU JALUR TEPIAN GUDANG PULAU GOBAH SUNGAI PINANG</t>
  </si>
  <si>
    <t>TEPIAN GUDANG PULAU GOBAH SUNGAI PINANG</t>
  </si>
  <si>
    <t>PERENCANAAN TRIBUN UTAMA GELANGGANG PACU JALUR TEPIAN NAROSA TELUK KUANTAN</t>
  </si>
  <si>
    <t>PENYUSUNAN DOKUMEN UKL - UPL POMPA IRIGASI DI MUARO TOMBANG</t>
  </si>
  <si>
    <t>PENYUSUNAN DOKUMEN UKL - UPL POMPA IRIGASI DI PULAU BINJAI</t>
  </si>
  <si>
    <t>PULAU BINJAI</t>
  </si>
  <si>
    <t>PERENCANAAN PEMBANGUNAN IRIGASI UJUNG KARAM INUMAN</t>
  </si>
  <si>
    <t>UJUNG KARAM INUMAN</t>
  </si>
  <si>
    <t>PERENCANAAN PEMBANGUNAN IRIGASI SUNGAI LINGKAR DESA KAMPUNG BARU CERENTI</t>
  </si>
  <si>
    <t>SUNGAI LINGKAR KAMPUNG BARU CERENTI</t>
  </si>
  <si>
    <t xml:space="preserve">PERENCANAAN REHAB/RENOVASI EKS. KANTOR KEJARI KAB. KUANTAN SINGINGI </t>
  </si>
  <si>
    <t xml:space="preserve">PERENCANAAN PEMBANGUNAN RUANG TAHANAN KANTOR PENGADILAN </t>
  </si>
  <si>
    <t>05.17.01.04.05</t>
  </si>
  <si>
    <t>tidak ada sk</t>
  </si>
  <si>
    <t>Jalan  Provinsi</t>
  </si>
  <si>
    <t>JALAN PROVINSI</t>
  </si>
  <si>
    <t>Ruas Jalan Provinsi</t>
  </si>
  <si>
    <t>Jalan Nasioanal</t>
  </si>
  <si>
    <t>Jalan Provinsi</t>
  </si>
  <si>
    <t>Jalan Nasional</t>
  </si>
  <si>
    <t>Jembatan Provinsi</t>
  </si>
  <si>
    <t>BANGUNAN PENAHAN TEBING RUAS JALAN SENTAJO - MUARA LANGSAT</t>
  </si>
  <si>
    <t>04.14.04.04.02</t>
  </si>
  <si>
    <t>BELUM MASUK SK 2007</t>
  </si>
  <si>
    <t>JALAN NASIONAL</t>
  </si>
  <si>
    <t>jembatan</t>
  </si>
  <si>
    <t>JALAN</t>
  </si>
  <si>
    <t>Jembatan Nasional</t>
  </si>
  <si>
    <t>DAERAH IRIGASI PULAU BAYUR</t>
  </si>
  <si>
    <t>1976/1977</t>
  </si>
  <si>
    <t>1985/1986</t>
  </si>
  <si>
    <t>1974/1975</t>
  </si>
  <si>
    <t>1981/1982</t>
  </si>
  <si>
    <t>1975/1976</t>
  </si>
  <si>
    <t>1988/1989</t>
  </si>
  <si>
    <t>1982/1983</t>
  </si>
  <si>
    <t>NJOP 2013</t>
  </si>
  <si>
    <t>SEBERANG TALUK</t>
  </si>
  <si>
    <t>MUNSALO</t>
  </si>
  <si>
    <t>KOTO KARI</t>
  </si>
  <si>
    <t>SIMPANG TIGA</t>
  </si>
  <si>
    <t>PASAR TALUK</t>
  </si>
  <si>
    <t>PL. KEDUNDUNG</t>
  </si>
  <si>
    <t>PASAR LUBUK JAMBI</t>
  </si>
  <si>
    <t>SEBERANG CENGAR</t>
  </si>
  <si>
    <t>SEI. ALA</t>
  </si>
  <si>
    <t>PL. RUMPUT</t>
  </si>
  <si>
    <t>PETAPAHAN</t>
  </si>
  <si>
    <t>RANTAU SIALANG</t>
  </si>
  <si>
    <t>MUARO TOBEK</t>
  </si>
  <si>
    <t>BANJAR PADANG</t>
  </si>
  <si>
    <t>KP. BARU TOAR</t>
  </si>
  <si>
    <t>KEPALA PULAU</t>
  </si>
  <si>
    <t>KELURAHAN PASAR BARU</t>
  </si>
  <si>
    <t>KAMPUNG MEDAN</t>
  </si>
  <si>
    <t>TANAH BEKALI</t>
  </si>
  <si>
    <t>PL. DERAS</t>
  </si>
  <si>
    <t>PADANG TANGGUNG</t>
  </si>
  <si>
    <t>PADANG KUNYIT</t>
  </si>
  <si>
    <t>PEMBATANG</t>
  </si>
  <si>
    <t>LOGAS</t>
  </si>
  <si>
    <t>SEI.KERANJI</t>
  </si>
  <si>
    <t>KUANTAN SAKO</t>
  </si>
  <si>
    <t>LOGAS HILIR</t>
  </si>
  <si>
    <t>SEI. PAKU</t>
  </si>
  <si>
    <t>KOTO BARU</t>
  </si>
  <si>
    <t>TALONTAM</t>
  </si>
  <si>
    <t>KOTO BENAI</t>
  </si>
  <si>
    <t>TELUK PAUH</t>
  </si>
  <si>
    <t>PESIKAIAN</t>
  </si>
  <si>
    <t>PULAU KIJANG</t>
  </si>
  <si>
    <t>KOTORAJO</t>
  </si>
  <si>
    <t xml:space="preserve">KAMP. BARU SENTAJO </t>
  </si>
  <si>
    <t>PL. KOMANG SENTAJO</t>
  </si>
  <si>
    <t xml:space="preserve"> BKT PEDUSUNAN</t>
  </si>
  <si>
    <t xml:space="preserve">PEBAUN </t>
  </si>
  <si>
    <t>GUNUNG/TOAR</t>
  </si>
  <si>
    <t>SUNGAI KELELAWAR</t>
  </si>
  <si>
    <t>TELUK BERINGIN</t>
  </si>
  <si>
    <t>SIRUANG KOCIK</t>
  </si>
  <si>
    <t>JAYA</t>
  </si>
  <si>
    <t>PADANG KUNIK</t>
  </si>
  <si>
    <t>PULAU KULUR</t>
  </si>
  <si>
    <t>BEDANG SIKURAN</t>
  </si>
  <si>
    <t>PULAU PANJANG</t>
  </si>
  <si>
    <t>PULAU SIPAN</t>
  </si>
  <si>
    <t>PULAU JAMBU</t>
  </si>
  <si>
    <t>SEI BESAR</t>
  </si>
  <si>
    <t>SIKAKAK</t>
  </si>
  <si>
    <t>PEBAUN HILIR</t>
  </si>
  <si>
    <t>TANAH DI BAWAH IRIGASI DAERAH IRIGASI BASERAH I</t>
  </si>
  <si>
    <t>TANAH DI BAWAH IRIGASI DAERAH IRIGASI BASERAH II</t>
  </si>
  <si>
    <t>TANAH DI BAWAH IRIGASI DAERAH IRIGASI DANAU KOTO RAJO</t>
  </si>
  <si>
    <t>TANAH DI BAWAH IRIGASI DAERAH IRIGASI RUMBIO TALUK</t>
  </si>
  <si>
    <t>TANAH DI BAWAH IRIGASI DAERAH IRIGASI SENTAJO I</t>
  </si>
  <si>
    <t>TANAH DI BAWAH IRIGASI DAERAH IRIGASI SENTAJO II</t>
  </si>
  <si>
    <t>TANAH DI BAWAH IRIGASI DAERAH IRIGASI RAWA SAWAH</t>
  </si>
  <si>
    <t>TANAH DI BAWAH IRIGASI DAERAH IRIGASI KOTO KARI</t>
  </si>
  <si>
    <t>TANAH DI BAWAH IRIGASI DAERAH IRIGASI RAWANG UDANG + BANJAR BENAI</t>
  </si>
  <si>
    <t>TANAH DI BAWAH IRIGASI DAERAH IRIGASI LUBUK AMBACANG I</t>
  </si>
  <si>
    <t>TANAH DI BAWAH IRIGASI DAERAH IRIGASI LUBUK AMBACANG II</t>
  </si>
  <si>
    <t>TANAH DI BAWAH IRIGASI DAERAH IRIGASI GUNUNG</t>
  </si>
  <si>
    <t>TANAH DI BAWAH IRIGASI DAERAH IRIGASI PETAPAHAN TOAR</t>
  </si>
  <si>
    <t>TANAH DI BAWAH IRIGASI DAERAH IRIGASI PISANG BEREBUS</t>
  </si>
  <si>
    <t>TANAH DI BAWAH IRIGASI DAERAH IRIGASI PANGKALAN INDARUNG</t>
  </si>
  <si>
    <t>TANAH DI BAWAH IRIGASI DAERAH IRIGASI SEI MANAU</t>
  </si>
  <si>
    <t>TANAH DI BAWAH IRIGASI DAERAH IRIGASI SEI KELELAWAR</t>
  </si>
  <si>
    <t>TANAH DI BAWAH IRIGASI DAERAH IRIGASI TELUK BERINGIN</t>
  </si>
  <si>
    <t>TANAH DI BAWAH IRIGASI DAERAH IRIGASI SIRUANG KOCIAK</t>
  </si>
  <si>
    <t>TANAH DI BAWAH IRIGASI DAERAH IRIGASI JAYA KOPAH</t>
  </si>
  <si>
    <t>TANAH DI BAWAH IRIGASI DAERAH IRIGASI PULAU ARO</t>
  </si>
  <si>
    <t>TANAH DI BAWAH IRIGASI DAERAH IRIGASI PULAU KOPUNG</t>
  </si>
  <si>
    <t>TANAH DI BAWAH IRIGASI DAERAH IRIGASI GUNUNG KESIANGAN</t>
  </si>
  <si>
    <t>TANAH DI BAWAH IRIGASI DAERAH IRIGASI PEMBATANG</t>
  </si>
  <si>
    <t>TANAH DI BAWAH IRIGASI DAERAH IRIGASI PADANG KUNIK</t>
  </si>
  <si>
    <t>TANAH DI BAWAH IRIGASI DAERAH IRIGASI TANAH BEKALI</t>
  </si>
  <si>
    <t>TANAH DI BAWAH IRIGASI DAERAH IRIGASI PULAU DERAS</t>
  </si>
  <si>
    <t>TANAH DI BAWAH IRIGASI DAERAH IRIGASI PULAU KULUR</t>
  </si>
  <si>
    <t>TANAH DI BAWAH IRIGASI DAERAH IRIGASI SEI SOREK</t>
  </si>
  <si>
    <t>TANAH DI BAWAH IRIGASI DAERAH IRIGASI BEDENG SIKURAN</t>
  </si>
  <si>
    <t>TANAH DI BAWAH IRIGASI DAERAH IRIGASI PULAU PANJANG</t>
  </si>
  <si>
    <t>TANAH DI BAWAH IRIGASI DAERAH IRIGASI SIPAN/PETAI</t>
  </si>
  <si>
    <t>TANAH DI BAWAH IRIGASI DAERAH IRIGASI PULAU JAMBU</t>
  </si>
  <si>
    <t>TANAH DI BAWAH IRIGASI DAERAH IRIGASI SEI BESAR</t>
  </si>
  <si>
    <t>TANAH DI BAWAH IRIGASI DAERAH IRIGASI TELUK PAUH</t>
  </si>
  <si>
    <t>TANAH DI BAWAH IRIGASI DAERAH IRIGASI PULAU BUSUK</t>
  </si>
  <si>
    <t>TANAH DI BAWAH IRIGASI DAERAH IRIGASI KOTO GUNUNG</t>
  </si>
  <si>
    <t>TANAH DI BAWAH IRIGASI DAERAH IRIGASI PASIKAIAN</t>
  </si>
  <si>
    <t>TANAH DI BAWAH IRIGASI DAERAH IRIGASI KOTO BENAI</t>
  </si>
  <si>
    <t>TANAH DI BAWAH IRIGASI DAERAH IRIGASI SEBERANG TALUK I</t>
  </si>
  <si>
    <t>TANAH DI BAWAH IRIGASI DAERAH IRIGASI KINALI</t>
  </si>
  <si>
    <t>TANAH DI BAWAH IRIGASI DAERAH IRIGASI SIKAKAK</t>
  </si>
  <si>
    <t>TANAH DI BAWAH IRIGASI DAERAH IRIGASI TANJUNG</t>
  </si>
  <si>
    <t>TANAH DI BAWAH IRIGASI DAERAH IRIGASI SAIK</t>
  </si>
  <si>
    <t>DESA PL. BARU - SEI. KUANTAN</t>
  </si>
  <si>
    <t>DESA PL. KOPUNG - SEI. KUANTAN</t>
  </si>
  <si>
    <t>SEB. TELUK - SIBEROBAH</t>
  </si>
  <si>
    <t>PULAU KOMANG - PENYEBERANGAN KOPAH</t>
  </si>
  <si>
    <t>SAWAH - PL. KOMANG</t>
  </si>
  <si>
    <t>CENGAR - JALAN RAPP</t>
  </si>
  <si>
    <t>DESA TEBERAU PANJANG - SEI. KUANTAN</t>
  </si>
  <si>
    <t>DESA KOTO KOMBU - JK. RUAS 03/03</t>
  </si>
  <si>
    <t>SAKO - BINJAI</t>
  </si>
  <si>
    <t>DESA PENGALIHAN - KOTO RAJO</t>
  </si>
  <si>
    <t>DESA LUMBOK - KOTO RAJO</t>
  </si>
  <si>
    <t>DESA BERALO - SEI. SORIAK</t>
  </si>
  <si>
    <t>DESA KAMPUNG TENGAH - PL. MADINAH</t>
  </si>
  <si>
    <t>DESA PL. BARU - PELUKAHAN</t>
  </si>
  <si>
    <t>DESA PL. KULUR - SEI. SORIK</t>
  </si>
  <si>
    <t>DESA TANJUNG PETAI - SEI. SORIK</t>
  </si>
  <si>
    <t>DESA DANAU - KOTO RAJO</t>
  </si>
  <si>
    <t>DESA GUNUNG MELINTANG - JK. RUAS 087/087</t>
  </si>
  <si>
    <t>DESA TANAH BEKALI - PL. DERAS</t>
  </si>
  <si>
    <t>DESA PL. TENGAH - SIKAPING</t>
  </si>
  <si>
    <t>DESA PL. RENGAS - PEMATANG</t>
  </si>
  <si>
    <t>DESA SIKAPING - PL. INGU</t>
  </si>
  <si>
    <t>DESA PAUH ANGIT - TANJUNG SIMANDOLAK</t>
  </si>
  <si>
    <t>DESA PEMATANG - PL. TENGAH</t>
  </si>
  <si>
    <t>DESA RAWANG BINJAI - JK. RUAS 185/185</t>
  </si>
  <si>
    <t>DESA LUBUK KEBUN - SITUGAL</t>
  </si>
  <si>
    <t>LINGKAR DESA KEBUN LADO</t>
  </si>
  <si>
    <t>SIMPANG KORAN - SUKAMAJU</t>
  </si>
  <si>
    <t>DALAM KOTA BENAI - JALAN NASIONAL KM 173 +000</t>
  </si>
  <si>
    <t>DESA UJUNG TANJUNG - JK 189/189</t>
  </si>
  <si>
    <t>DALAM KOTA BENAI - KOTO BENAI</t>
  </si>
  <si>
    <t>DESA GUNUNG KESIANGAN - JALAN UJUNG TANJUNG</t>
  </si>
  <si>
    <t>DESA PULAU KALIMANTING - PEMATANG</t>
  </si>
  <si>
    <t>TJ. SIMANDOLAK - BANJAR LOPAK</t>
  </si>
  <si>
    <t>DESA TALONTAM - PL. KOPUNG</t>
  </si>
  <si>
    <t>LINGKAR KOTO INUMAN</t>
  </si>
  <si>
    <t>DESA PL. PANJANG - PL. PANJANG HILIR</t>
  </si>
  <si>
    <t>DESA PULAU SIPAN - PL. PANJANG HULU</t>
  </si>
  <si>
    <t>DESA SIGARUNTANG - JK RUAS 208/208</t>
  </si>
  <si>
    <t>INUMAN (JALAN RAPP) - SITUGAL</t>
  </si>
  <si>
    <t>H</t>
  </si>
  <si>
    <t>PEMELIHARAAN JALAN SEI. BESAR - BATAS SUMBAR) URUGAN PILIHAN ; RUTIN 22,00 KM</t>
  </si>
  <si>
    <t>PEMELIHARAAN JALAN  SP. 4 PANGKALAN - MUARO PETAI SITIANG, URUGAN PILIHAN ; RUTIN 22,00 KM</t>
  </si>
  <si>
    <t>PEMELIHARAAN JALAN LUBUK JAMBI - LUBUK AMBACANG (NO. RUAS 083,) ASPAL 1,00 KM ; UR. PIL 2,00 KM ; RUTIN 40,00 KM</t>
  </si>
  <si>
    <t>PEMELIHARAAN JALAN  JAKE - KOTO KOMBU, MUDIK ULO - SUMPU (NO. RUAS  003,) ASPAL 1,00 KM ; UR. PIL 2,00 KM ; RUTIN 40,00 KM</t>
  </si>
  <si>
    <t>PEMELIHARAAN JALAN MUDIK ULO - SUMPU (NO. RUAS 124) ASPAL 1,00 KM ; UR. PIL 2,00 KM ; RUTIN 40,00 KM</t>
  </si>
  <si>
    <t>msh ditelusuri</t>
  </si>
  <si>
    <t xml:space="preserve">PENGADAAN KONSTRUKSI JALAN (PEMBANGUNAN JALAN KOTO RAJO - PL, JAMBU </t>
  </si>
  <si>
    <t>PENGADAAN KONSTRUKSI JALAN (PEMBANGUNAN JALAN JALAN SEBERANG TELUK KUANTAN - SIBEROBAH - SANGAU</t>
  </si>
  <si>
    <t xml:space="preserve">PENGADAAN KONSTRUKSI JALAN (PEMBANGUNAN JALAN BENAI - KOTO RAJO </t>
  </si>
  <si>
    <t>BESEBERANG TELUK KUANTAN - SIBEROBAH - SANGAU</t>
  </si>
  <si>
    <t xml:space="preserve">PENGADAAN KONSTRUKSI JALAN (REHAB/ PEMEL JALAN BENAI - KOTO RAJO </t>
  </si>
  <si>
    <t xml:space="preserve">PENGADAAN KONSTRUKSI JALAN (REHAB/ PEMEL JALAN  KOTO RAJO - PL. JAMBU, </t>
  </si>
  <si>
    <t>PENGADAAN KONSTRUKSI JALAN (REHAB/ PEMEL JALAN , JALAN SEB. TELUK KUANTAN - SIBEROBAH-SANGAU</t>
  </si>
  <si>
    <t>PENGADAAN KONSTRUKSI JALAN (REHAB/ PEMEL JALAN JALAN SP. HANDOYO - SP. SEI. SIRIH - SP. 4 PT. WARNASARI - SUKAMAJU</t>
  </si>
  <si>
    <t>PENING. JALAN SEBERANG TELUK - SIBEROBAH (LANJ)</t>
  </si>
  <si>
    <t>PENING. JALAN SIBEROBAH - SANGAU (LANJ)</t>
  </si>
  <si>
    <t>PENINGKATAN JALAN SP.HANDOYO-SP.SEI.SIRIH (ASPAL 2,00 KM) (PANJANG RUAS 60.70 KM)</t>
  </si>
  <si>
    <t>PENINGKATAN JALAN SP.SUKAMAJU-KOTO BARU (ASPAL 2,00 KM) (PANJANG RUAS 60.70 KM)</t>
  </si>
  <si>
    <t>PENINGKATAN JALAN SP.4 PT.WANASARI-SP.SUKAMAJU (ASPAL 2,00 KM) (PANJANG RUAS 60.70 KM)</t>
  </si>
  <si>
    <t>PENGADAAN KONSTRUKSI JALAN (PENINGKATAN JALAN MUDIK ULO - TANJUNG MEDANG</t>
  </si>
  <si>
    <t>PENGADAAN KONSTRUKSI JALAN (PENINGKATAN JALAN  IBUL - SEI. BESAR, LB. JAMBI - SEI BESAR</t>
  </si>
  <si>
    <t>PENGADAAN KONSTRUKSI JALAN (PENINGKATAN JALAN  PL. MUNGKUR - KOTO GUNUNG</t>
  </si>
  <si>
    <t>PENGADAAN KONSTRUKSI JALAN (PENINGKATAN JALAN BASERAH - PERHENTIAN LUAS</t>
  </si>
  <si>
    <t>PENGADAAN KONSTRUKSI JALAN (PENINGKATAN JALAN  TERMINAL - SENTAJO</t>
  </si>
  <si>
    <t>PEMELIHARAAN JALAN BASERAH - PERHENTIAN LUAS,  (NO. RUAS 129) ASPAL/1,00 KM ; UR.PIL 2,00 ; RUTIN 23,70 KM UR.PIL</t>
  </si>
  <si>
    <t>PEMELIHARAAN JALAN DUSUN TUO - GUNUNG MELINTANG (NO. RUAS 132) ASPAL/1,00 KM ; UR.PIL 2,00 ; RUTIN 23,70 KM UR.PIL</t>
  </si>
  <si>
    <t>PEMELIHARAAN JALAN KOTO BARU - SP. SUKA MAJU (NO. RUAS 244) RUTIN 20,15 KM URUGAN PILIHAN</t>
  </si>
  <si>
    <t>PEMELIHARAAN JALAN SP. MUARA BAHAN - MUARA BAHAN (NO. RUAS 247) RUTIN 20,15 KM URUGAN PILIHAN</t>
  </si>
  <si>
    <t>PEMELIHARAAN JALAN SP. 4 PT. WANASARI - SUKA MAJU (NO. RUAS 245 ) UR. PIL. 3,00 KM ; RUTIN 43,00</t>
  </si>
  <si>
    <t>PEMELIHARAAN JALAN SP. SEI. SIRIH - SEI. KUNING - SP. 4 PT. WANASARI (NO. RUAS 26 ) UR. PIL. 3,00 KM ; RUTIN 43,00</t>
  </si>
  <si>
    <t>PEMELIHARAAN JALAN SP. HANDOYO - SP. SEI. SIRIH - SEI. KUNING (NO. RUAS 5 ) UR. PIL. 3,00 KM ; RUTIN 43,00</t>
  </si>
  <si>
    <t>SP. HANDOYO - SP. SEI. SIRIH - SEI. KUNING</t>
  </si>
  <si>
    <t>Milik Pemda</t>
  </si>
  <si>
    <t>Pembangunan</t>
  </si>
  <si>
    <t>Masih ditelusuri</t>
  </si>
  <si>
    <t xml:space="preserve"> PEMELIHARAAN JALAN SEBERANG TALUK - SEBERANG BENAI (NO. RUAS 001)</t>
  </si>
  <si>
    <t>PEMELLIHARAAN JALAN JAKE - KOTO KOMBU (NO. 003)</t>
  </si>
  <si>
    <t>PENINGK. JALAN JAKE - LUBUK AMBACANG (ASPAL 1,00 KM)</t>
  </si>
  <si>
    <t>JAKE - LUBUK AMBACANG</t>
  </si>
  <si>
    <t>PEMELIHARAAN JALAN SENTAJO - MUARA LANGSAT (NO. RUAS 04 PANJANG RUAS JALAN 37,00 KM)</t>
  </si>
  <si>
    <t>MENUJU DESA MUNSALO</t>
  </si>
  <si>
    <t>PENINGKATAN JALAN MENUJU DESA MUNSALO (1,00 KM)</t>
  </si>
  <si>
    <t>PENINGK. JALAN SINAMBEK - SPORT CENTRE (1,48 KM X 7.871.047.200)</t>
  </si>
  <si>
    <t>PEMELIHARAAN JALAN KOTO SENTAJO - RIMBO GAJAH MATI (NO. 023 PANJANG RUAS JALAN 37,00 KM)</t>
  </si>
  <si>
    <t>PENINGKATAN JALAN SEBERANG TELUK KUANTAN - SIBEROBAH - SANGAU</t>
  </si>
  <si>
    <t>SEBERANG TELUK KUANTAN - SIBEROBAH - SANGAU</t>
  </si>
  <si>
    <t>Masih di telusuri</t>
  </si>
  <si>
    <t>PENINGKATAN JALAN PL. KOMANG - KOTO SENTAJO (2,00 KM)</t>
  </si>
  <si>
    <t>PL. KOMANG - KOTO SENTAJO</t>
  </si>
  <si>
    <t>STM - BERINGIN/MAN</t>
  </si>
  <si>
    <t>PENINGKATAN JALAN STM - BERINGIN/MAN (PELEBARAN 1,00 KM) (LANJUTAN)</t>
  </si>
  <si>
    <t>PENINGKATAN JALAN SUDIRMAN KOTA TELUK KUANTAN (OVERLAY 0,80 KM)</t>
  </si>
  <si>
    <t>JALAN SUDIRMAN KOTA TELUK KUANTAN</t>
  </si>
  <si>
    <t>PENINGKATAN JALAN TERMINAL - SENTAJO (PANJANG RUAS 15,00 KM) ASPAL 1,00 KM; LEBAR 6,00 M'</t>
  </si>
  <si>
    <t>PENINGKATAN JALAN TERMINAL - SENTAJO - SP. 4 TERATAK AIR HITAM; MUARO SENTAJO - SP. 3 TERMINAL (L ; 7 M, PANJANG RUAS 15 KM) (ASPAL 1,50 KM) (LANJUTAN)</t>
  </si>
  <si>
    <t>PENINGKATAN JALAN TERMINAL SENTAJO (ASPAL)</t>
  </si>
  <si>
    <t>- Pembangunan trotoar kawasan Rumah Jabatan - Sport Centre + sambungan parit jalan perkantoran dan ruas jalan Sawah - Pl. Komang (panjang = 3.000 M)</t>
  </si>
  <si>
    <t>PEMBANGUNAN TROTOAR KAWASAN RUMAH JABATAN - SPORT CENTRE + SAMBUNGAN PARIT JALAN PERKANTORAN DAN RUAS JALAN SAWAH - PL. KOMANG (PANJANG = 3.000 M)</t>
  </si>
  <si>
    <t xml:space="preserve">SAWAH - PL. KOMANG </t>
  </si>
  <si>
    <t>-Jalan disekitar lingkungan Perindagkop (aspal 1,00 KM)</t>
  </si>
  <si>
    <t>JALAN DISEKITAR LINGKUNGAN PERINDAGKOP (ASPAL 1,00 KM)</t>
  </si>
  <si>
    <t>- Peningkatan jalan Lb. Jambi - Lb. Ambacang (aspal 1,00 KM) (pelebaran)</t>
  </si>
  <si>
    <t>PEMELLIHARAAN JALAN LB. JAMBI - LB. AMBACANG (NO. RUAS 083)</t>
  </si>
  <si>
    <t>PENINGKATAN JALAN LB. JAMBI - LB. AMBACANG (ASPAL 1,00 KM) (PELEBARAN)</t>
  </si>
  <si>
    <t>LB. JAMBI - LB. AMBACANG</t>
  </si>
  <si>
    <t>PENINGK. JALAN PANTAI - AIR BULUH (ASPAL 1,00 KM)</t>
  </si>
  <si>
    <t>- Peningkatan jalan Ibul - Sei. Besar (aspal)</t>
  </si>
  <si>
    <t>- Peningkatan jalan Sei. Besar - Bts. Sumbar (Desa Perhentian Sungkai) (aspal 1,50 KM)</t>
  </si>
  <si>
    <t>PEMELIHARAAN JALAN SEI. BESAR - BATAS SUMBAR (NO. RUAS 087)</t>
  </si>
  <si>
    <t>PENINGKATAN JALAN IBUL - SEI. BESAR (ASPAL)</t>
  </si>
  <si>
    <t>PENINGKATAN JALAN SEI. BESAR - BTS. SUMBAR (DESA PERHENTIAN SUNGKAI) (ASPAL 1,50 KM)</t>
  </si>
  <si>
    <t>PENINGKATAN JALAN IBUL - SEI. BESAR (ASPAL) 1,50 KM</t>
  </si>
  <si>
    <t>SEI. BESAR - BATAS SUMBA</t>
  </si>
  <si>
    <t>PEMELIHARAAN JALAN SP. 4 PANGKALAN - MUARA PETAI (NO. RUAS 092)</t>
  </si>
  <si>
    <t>SP. 4 PANGKALAN - MUARA PETAI</t>
  </si>
  <si>
    <t>PEMELIHARAAN JALAN MUARA PETAI - SITIANG (NO. RUAS 111)</t>
  </si>
  <si>
    <t>MUARA PETAI - SITIANG</t>
  </si>
  <si>
    <t>- Peningkatan jalan Pl. Mungkur - Koto Gunung (Ur.Pil)</t>
  </si>
  <si>
    <t>- Peningkatan jalan Gunung - Pl. Mungkur (aspal 1,00 KM) (lanjutan)</t>
  </si>
  <si>
    <t>PENINGKATAN JALAN PL. MUNGKUR - KOTO GUNUNG (UR.PIL)</t>
  </si>
  <si>
    <t>PENINGKATAN JALAN GUNUNG - PL. MUNGKUR (ASPAL 1,00 KM) (LANJUTAN)</t>
  </si>
  <si>
    <t>PL. MUNGKUR - KOTO GUNUNG</t>
  </si>
  <si>
    <t>- PEMELLIHARAAN JALAN MUDIK ULO - SUMPU (NO. RUAS 124)</t>
  </si>
  <si>
    <t>- Peningkatan jalan menuju air terjun Guruh Gemurai (pelebaran + aspal)</t>
  </si>
  <si>
    <t>PENINGKATAN JALAN MENUJU AIR TERJUN GURUH GEMURAI (PELEBARAN + ASPAL)</t>
  </si>
  <si>
    <t>JALAN MENUJU AIR TERJUN GURUH GEMURAI</t>
  </si>
  <si>
    <t>- Peningkatan jalan Mudik Ulo - Tanjung Medang (aspal 1,00 KM)</t>
  </si>
  <si>
    <t>PENINGKATAN JALAN MUDIK ULO - TANJUNG MEDANG (ASPAL 1,00 KM)</t>
  </si>
  <si>
    <t>- Peningkatan jalan Baserah - Perhentian Luas Desa Sikijang (aspal 1,00 KM)</t>
  </si>
  <si>
    <t>PENINGKATAN JALAN BASERAH - PERHENTIAN LUAS DESA SIKIJANG (ASPAL 1,00 KM)</t>
  </si>
  <si>
    <t>PEMELIHARAAN JALAN BASERAH - PERHENTIAN LUAS (NO. RUAS 130)</t>
  </si>
  <si>
    <t>PEMELIHARAAN JALAN DUSUN TUO - GUNUNG MELINTANG (NO. RUAS 146)</t>
  </si>
  <si>
    <t xml:space="preserve">DUSUN TUO - GUNUNG MELINTANG </t>
  </si>
  <si>
    <t>PEMELIHARAAN JALAN MUARA LEMBU - PANGKALAN INDARUNG</t>
  </si>
  <si>
    <t>- Peningkatan jalan Pangean - Situgal (aspal/ pelebaran) lanjutan</t>
  </si>
  <si>
    <t>PENINGKATAN JALAN PANGEAN - SITUGAL (ASPAL/ PELEBARAN) LANJUTAN</t>
  </si>
  <si>
    <t>PENINGK. JALAN PANGEAN - SITUGAL (ASPAL 2,00 KM) (2,00 KM X 1.511.738.520,-)</t>
  </si>
  <si>
    <t>Benai</t>
  </si>
  <si>
    <t>PEMELIHARAAN JALAN PANGEAN - PL. KUMPAI (NO. RUAS 163)</t>
  </si>
  <si>
    <t>PENINGK. JALAN SAKO - TRANS SKP II (DESA SUKARAJA) '(ASPAL 1,00 KM) (0,67 KM X 1.802.455.174,-)</t>
  </si>
  <si>
    <t>PENINGK. JALAN SAKO - TRANS SKP II (DESA KUANTAN SAKO) (ASPAL 1,00 KM) (0,67 KM X 1.802.455.174,-)</t>
  </si>
  <si>
    <t>SAKO - TRANS SKP II (DESA SUKARAJA)</t>
  </si>
  <si>
    <t>PEMELIHARAAN JALAN PANGEAN - SITUGAL (BATAS PELALAWAN) (NO. RUAS 164)</t>
  </si>
  <si>
    <t>PEMELIHARAAN JALAN PL. KUMPAI - PASAR USANG BASERAH (NO. RUAS 160)</t>
  </si>
  <si>
    <t>- PENINGK. JALAN SAMBUNG - KEBUN LADO (ASPAL 1,00 KM) (0,67 KM X 1.802.455.174,-)</t>
  </si>
  <si>
    <t>PENINGK. JALAN SAMBUNG - KEBUN LADO (ASPAL 1,00 KM) (0,67 KM X 1.802.455.174,-)</t>
  </si>
  <si>
    <t>PEMELIHARAAN JALAN SAMBUNG - KEBUN LADO (NO. RUAS 190)</t>
  </si>
  <si>
    <t>- Peningkatan jalan Sp. 4 PT. Wanasari - Sukamaju (aspal)</t>
  </si>
  <si>
    <t>PENINGKATAN JALAN SP. 4 PT. WANASARI - SUKAMAJU (ASPAL)</t>
  </si>
  <si>
    <t>PEMELIHARAAN JALAN PETAI - SP. 4 PT. WARNASARI (NO. RUAS 236 KM)</t>
  </si>
  <si>
    <t>PETAI - SP. 4 PT. WARNASARI</t>
  </si>
  <si>
    <t>- Peningkatan jalan Koto Baru - Sp. Sukamaju (aspal 1,00 KM) Bukit Raya (lanjutan)</t>
  </si>
  <si>
    <t>PENINGKATAN JALAN KOTO BARU - SP. SUKAMAJU (ASPAL 1,00 KM) BUKIT RAYA (LANJUTAN)</t>
  </si>
  <si>
    <t>KOTO BARU - SP. SUKAMAJU</t>
  </si>
  <si>
    <t>- Peningkatan jalan Sp. 4 PT. Warnasari - Sukamaju (Desa Sumber Jaya) (aspal 1,00 KM)</t>
  </si>
  <si>
    <t>PENINGKATAN JALAN SP. 4 PT. WARNASARI - SUKAMAJU (DESA SUMBER JAYA) (ASPAL 1,00 KM)</t>
  </si>
  <si>
    <t>SP. 4 PT. WARNASARI - SUKAMAJU (DESA SUMBER JAYA)</t>
  </si>
  <si>
    <t>PEMELIHARAAN JALAN KOTO BARU - SP. SUKAMAJU (NO. RUAS 244)</t>
  </si>
  <si>
    <t>- Peningkatan jalan Sei. Sirih - SP. 4 PT. Warnasari (Desa Petai Baru) (aspal 1,00 KM)</t>
  </si>
  <si>
    <t>PENINGKATAN JALAN SEI. SIRIH - SP. 4 PT. WARNASARI (DESA PETAI BARU) (ASPAL 1,00 KM)</t>
  </si>
  <si>
    <t>PENINGK. JALAN SEI. SIRIH - SP.4 PT. WARNASARI (DESA SEI. KUNING) (ASPAL 1,00 KM)(1 KM X 1.802.455.174,-)</t>
  </si>
  <si>
    <t>SEI. SIRIH - SP. 4 PT. WARNASARI (DESA PETAI BARU)</t>
  </si>
  <si>
    <t>SEI. SIRIH - SP.4 PT. WARNASARI (DESA SEI. KUNING)</t>
  </si>
  <si>
    <t>PEMELIHARAAN JALAN SP. MUARA BAHAN - MUARA BAHAN (NO. RUAS 247)</t>
  </si>
  <si>
    <t>SP. MUARA BAHAN - MUARA BAHAN</t>
  </si>
  <si>
    <t>- Peningkatan jalan Sentajo - Teratak air Hitam (aspal 1,00 KM)</t>
  </si>
  <si>
    <t>- Peningkatan jalan Sentajo - Teratak Air Hitam (overlay aspal 1,50 KM)</t>
  </si>
  <si>
    <t>PENINGKATAN JALAN SENTAJO - TERATAK AIR HITAM (ASPAL 1,00 KM)</t>
  </si>
  <si>
    <t>PENINGKATAN JALAN SENTAJO - TERATAK AIR HITAM (OVERLAY ASPAL 1,50 KM)</t>
  </si>
  <si>
    <t>PEMELIHARAAN JALAN LEPAU GADING - PANGEAN  (NO. RUAS 260)</t>
  </si>
  <si>
    <t>PEMELIHARAAN JALAN KOMPE BERANGIN - KP. BARU CERENTI (NO. RUAS 281)</t>
  </si>
  <si>
    <t>PEMELIHARAAN JALAN NESS II CERENTI - KOMPE BERANGIN DAN MENUJU JEMBATAN CERENTI (NO. RUAS 282)</t>
  </si>
  <si>
    <t>NESS II CERENTI - KOMPE BERANGIN</t>
  </si>
  <si>
    <t>- Jalan dilingkungan Perkantoran Pemda (aspal 1,00 KM; lebar 6)</t>
  </si>
  <si>
    <t>JALAN DILINGKUNGAN PERKANTORAN PEMDA (ASPAL 1,00 KM; LEBAR 6)</t>
  </si>
  <si>
    <t>KOMP. PERKANTORAN PEMDA</t>
  </si>
  <si>
    <t>- Jalan Sinambek - Gerbang Kota (Jake) (pelebaran aspal) (2,657 KM)</t>
  </si>
  <si>
    <t>JALAN SINAMBEK - GERBANG KOTA (JAKE) (PELEBARAN ASPAL) (2,657 KM)</t>
  </si>
  <si>
    <t>SINAMBEK - GERBANG KOTA (JAKE)</t>
  </si>
  <si>
    <t>- Jalan Sp. Kari/ Terminal - Gerbang Kota (Sitorajo) (pelebaran aspal)</t>
  </si>
  <si>
    <t>- Peningkatan jalan Sp. 4 Beringin - Sawah - Gerbang Kota (Sentajo) (Pelebaran aspal)</t>
  </si>
  <si>
    <t>JALAN SP. KARI/ TERMINAL - GERBANG KOTA (SITORAJO) (PELEBARAN ASPAL)</t>
  </si>
  <si>
    <t>PENINGKATAN JALAN SP. 4 BERINGIN - SAWAH - GERBANG KOTA (SENTAJO) (PELEBARAN ASPAL)</t>
  </si>
  <si>
    <t>SP. KARI/ TERMINAL - GERBANG KOTA</t>
  </si>
  <si>
    <t>SP. 4 BERINGIN - SAWAH - GERBANG KOTA (SENTAJO)</t>
  </si>
  <si>
    <t>- Peningkatan jalan Lb. Jambi - Sei. Besar (Pantai - Lb. Ramo) (aspal)</t>
  </si>
  <si>
    <t>- Peningkatan jalan lingkar Beringin Jaya (aspal)</t>
  </si>
  <si>
    <t>- Pembangunan jalan Kp. Baru Toar - Jake (6,00 KM)</t>
  </si>
  <si>
    <t>- Peningkatan jalan dalam Kota Baserah (aspal) (jalan Pasar Baru Baserah - Kp. Medan, jalan menuju SMP Kp Medan)</t>
  </si>
  <si>
    <t>PENINGKATAN JALAN LB. JAMBI - SEI. BESAR (PANTAI - LB. RAMO) (ASPAL)</t>
  </si>
  <si>
    <t>PENINGKATAN JALAN LINGKAR BERINGIN JAYA (ASPAL)</t>
  </si>
  <si>
    <t>PEMBANGUNAN JALAN KP. BARU TOAR - JAKE (6,00 KM)</t>
  </si>
  <si>
    <t>PENINGKATAN JALAN DALAM KOTA BASERAH (ASPAL) (JALAN PASAR BARU BASERAH - KP. MEDAN, JALAN MENUJU SMP KP MEDAN)</t>
  </si>
  <si>
    <t>LB. JAMBI - SEI. BESAR</t>
  </si>
  <si>
    <t>LINGKAR BERINGIN JAYA</t>
  </si>
  <si>
    <t>KP. BARU TOAR - JAKE</t>
  </si>
  <si>
    <t>DALAM KOTA BASERAH (JALAN PASAR BARU BASERAH - KP. MEDAN)</t>
  </si>
  <si>
    <t>- Peningkatan jalan Mesjid Koto - Pl. Aro (aspal 1,00 KM)</t>
  </si>
  <si>
    <t>- Peningkatan jalan Perkantoran Pemda (aspal 0,74 KM) (lanj)</t>
  </si>
  <si>
    <t>- Peningkatan jalan Gerbang Kota (Jake) - Sinambek - Sp. Tiga (lanjutan)</t>
  </si>
  <si>
    <t>PENINGKATAN JALAN MESJID KOTO - PL. ARO (ASPAL 1,00 KM)</t>
  </si>
  <si>
    <t>PENINGKATAN JALAN PERKANTORAN PEMDA (ASPAL 0,74 KM) (LANJ)</t>
  </si>
  <si>
    <t>PENINGKATAN JALAN GERBANG KOTA (JAKE) - SINAMBEK - SP. TIGA (LANJUTAN)</t>
  </si>
  <si>
    <t>JALAN MESJID KOTO - PL. ARO</t>
  </si>
  <si>
    <t xml:space="preserve"> GERBANG KOTA (JAKE) - SINAMBEK - SP. TIGA (LANJUTAN)</t>
  </si>
  <si>
    <t>- Peningkatan jalan lingkar Pl. Kopung (aspal 1,00 KM) (lanjutan)</t>
  </si>
  <si>
    <t>PENINGKATAN JALAN LINGKAR PL. KOPUNG (ASPAL 1,00 KM) (LANJUTAN)</t>
  </si>
  <si>
    <t>JALAN LINGKAR PL. KOPUNG</t>
  </si>
  <si>
    <t>PENINGK. JALAN LINGKAR KANTOR POLRES KAB. KUANTAN SINGINGI (0,79 KM X 1.506.019.459)</t>
  </si>
  <si>
    <t>PENINGK. JALAN LINGKAR KANTOR KAJARI KAB. KUANTAN SINGINGI (0,23 KM X 1.511.738.520)</t>
  </si>
  <si>
    <t>LINGKAR KANTOR KAJARI KAB. KUANTAN SINGINGI</t>
  </si>
  <si>
    <t>LINGKAR KANTOR POLRES KAB. KUANTAN SINGINGI</t>
  </si>
  <si>
    <t>- Peningkatan jalan Pl. Komang - Koto Sentajo (2,00 KM)</t>
  </si>
  <si>
    <t>- Peningkatan jalan Sudirman Kota Teluk Kuantan (overlay 0,80 KM)</t>
  </si>
  <si>
    <t>- Peningkatan jalan Terminal - Sentajo (panjang ruas 15,00 KM) aspal 1,00 KM; lebar 6,00 M'</t>
  </si>
  <si>
    <t xml:space="preserve">Pemeliharaan Jalan Sentajo - Muara Langsat, Koto Sentajo - Rimbo Gajah Mati (No. Ruas 04, 023 Panjang Ruas Jalan 37,00 KM) (Aspal) </t>
  </si>
  <si>
    <t>Pemeliharaan Jalan Seberang taluk - Seberang benai (No. Ruas 001) (Aspal)</t>
  </si>
  <si>
    <t>Pemeliharaan Jalan Muara Lembu - Pangkalan Indarung</t>
  </si>
  <si>
    <t>Pemeliharaan Jalan Sambung - Kebun Lado (No. Ruas 192) Aspal</t>
  </si>
  <si>
    <t>Pemeliharaan Jalan Petai - Sp. 4 PT. Wanasari (No. Ruas 238)</t>
  </si>
  <si>
    <t xml:space="preserve">Pemeliharaan Jalan Koto Baru - Sp. Suka Maju dan Sp. Muara Bahan - Muara Bahan (No. Ruas 246, 249) </t>
  </si>
  <si>
    <t xml:space="preserve">Pemeliharaan Jalan Lepau Gading - Pangean, Pangean - Pulau Kumpai, Pulau Kumpai - Pasar Usang Baserah (No. Ruas 260, 165, 168) </t>
  </si>
  <si>
    <t>Pemeliharaan jalan Pangean - Situgal (Bts. Pelelawan) (No. Ruas 166)</t>
  </si>
  <si>
    <t xml:space="preserve">Pemeliharaan jalan Baserah - Perhentian Luas, Dusun Tuo - Gunung Melintang (No. Ruas 130, 146) </t>
  </si>
  <si>
    <t xml:space="preserve">Pemeliharaan Jalan Kompe Berangin - Kp. Baru Cerenti, Ness II Cerenti - Kompe Berangin dan Menuju Jembatan Cerenti (No. Ruas 284, 285) </t>
  </si>
  <si>
    <t>Pemeliharaan jalan Lubuk jambi - Lubuk Ambacang, Jake - Koto Kombu, Mudik Ulo - Sumpu (No. Ruas 083, 003, 124)</t>
  </si>
  <si>
    <t>Pemeliharaan Jalan Sei. Besar - Batas Sumbar, Sp. 4 Pangkalan - Muara Petai, Muara Petai - Sitiang (No. Ruas 087, 092, 111)</t>
  </si>
  <si>
    <t>- Peningkatan jalan Terminal - Sentajo - Sp. 4 Teratak Air Hitam; Muaro Sentajo - Sp. 3 Terminal (L ; 7 M, panjang ruas 15 KM) (aspal 1,50 KM) (lanjutan)</t>
  </si>
  <si>
    <t>- Peningkatan jalan STM - Beringin/MAN (pelebaran 1,00 KM) (lanjutan)</t>
  </si>
  <si>
    <t>- Peningkatan jalan menuju Desa Munsalo (1,00 KM)</t>
  </si>
  <si>
    <t>Peningkatan Jalan Sinambek Sport Centre</t>
  </si>
  <si>
    <t>Peningkatan Jalan Lingkar Kantor Polres Kab. Kuantan Singingi</t>
  </si>
  <si>
    <t>Peningkatan Jalan kantor Kejari Kab. Kuantan Singing</t>
  </si>
  <si>
    <t>Peningkatan Jalan Pangean Situgal</t>
  </si>
  <si>
    <t>Peningkatan Jalan Trans Sako - Trans SKP II (Desa Suka raja)</t>
  </si>
  <si>
    <t>Peningkatan Jalan Sako - Trans SKP II (Desa kuantan Sako)</t>
  </si>
  <si>
    <t>Peningkatan Jalan Sei. Sirih - SP. 4 Wanasari (Desa Sei. Kuning)</t>
  </si>
  <si>
    <t>Peningkatan Jalan Sambung - Kebun lado</t>
  </si>
  <si>
    <t>Peningkatan Jalan Pantai - Air Buluh</t>
  </si>
  <si>
    <t>Peningkatan Jalan Jake - Lubuk Ambacang</t>
  </si>
  <si>
    <t>Belum ada SK</t>
  </si>
  <si>
    <t>Jalan Nasional dan Provinsi</t>
  </si>
  <si>
    <t>TANAH RUAS JALAN TERATAI AIR HITAM - LOKASI PETERNAKAN</t>
  </si>
  <si>
    <t>TANAH RUAS JALAN KEBUN PEMDA &amp; PERHENTIAN SUNGKAI</t>
  </si>
  <si>
    <t xml:space="preserve">TANAH RUAS JALAN JALAN DILINGKUNGAN PERKANTORAN PEMDA </t>
  </si>
  <si>
    <t>TANAH RUAS JALAN PEMBANGUNAN JALAN KP. BARU TOAR - JAKE (6,00 KM)</t>
  </si>
  <si>
    <t>TANAH RUAS JALAN PENINGKATAN JALAN MESJID KOTO - PL. ARO</t>
  </si>
  <si>
    <t>TANAH RUAS JALAN SUMBER JAYA - KUANTAN SAKO</t>
  </si>
  <si>
    <t>TANAH RUAS JALAN LINGKAR KANTOR KEJARI</t>
  </si>
  <si>
    <t>TANAH RUAS JALAN LINGKAR KANTOR POLRES</t>
  </si>
  <si>
    <t>TANAH RUAS JALAN LINGKAR DESA PEBAUN HULU</t>
  </si>
  <si>
    <t>TANAH RUAS JALAN PENGHUBUNG JEMBATAN CERENTI</t>
  </si>
  <si>
    <t>TANAH RUAS JALAN KOTO SENTAJO - DESA BERINGIN</t>
  </si>
  <si>
    <t>TANAH RUAS JALAN MENUJU PUSKESMAS LUBUK JAMBI</t>
  </si>
  <si>
    <t>TANAH RUAS JALAN LINGKAR DESA KOPAH</t>
  </si>
  <si>
    <t>TANAH RUAS JALAN PINTU GOBANG KARI - JAKE</t>
  </si>
  <si>
    <t>TANAH RUAS JALAN KEBUN NOPI</t>
  </si>
  <si>
    <t>TANAH RUAS JALAN LINGKAR KAMPUNG BARU SENTAJO</t>
  </si>
  <si>
    <t>TANAH RUAS JALAN MESJID KOTO - PULAU ARO</t>
  </si>
  <si>
    <t>TANAH RUAS JALAN PINANG MERAH - MUARA PETAI</t>
  </si>
  <si>
    <t>TANAH RUAS JALAN KELURAHAN SEI. JERING</t>
  </si>
  <si>
    <t>TANAH RUAS JALAN SEI. RUMBIO - SPORT CENTER</t>
  </si>
  <si>
    <t>TANAH RUAS JALAN LINGKAR UNIKS</t>
  </si>
  <si>
    <t>TANAH RUAS JALAN LINGKAR KANTOR CAMAT SENTAJO RAYA</t>
  </si>
  <si>
    <t>TANAH RUAS JALAN JALAN MENUJU SMK 3 KELURAHAN SEI. JERING</t>
  </si>
  <si>
    <t>TANAH RUAS JALAN SMP 2 TELUK KUANTAN - JL. KAB. STM - BERIGIN</t>
  </si>
  <si>
    <t>TANAH RUAS JALAN LINGK. KANTOR CAMAT BENAI</t>
  </si>
  <si>
    <t>TANAH RUAS JALAN LINGKAR PERUMNAS</t>
  </si>
  <si>
    <t>TANAH RUAS JALAN SEBERANG TALUK-KANDANG TUMIYANG</t>
  </si>
  <si>
    <t>TANAH RUAS JALAN SEI. TOLANG - BIKIT AMBALAU</t>
  </si>
  <si>
    <t>TANAH RUAS JALAN DESA SEBERANG SUNGAI</t>
  </si>
  <si>
    <t>TANAH RUAS JALAN TITIAN MODANG</t>
  </si>
  <si>
    <t>TANAH RUAS JALAN DESA SUNGAI PAKU</t>
  </si>
  <si>
    <t>TANAH RUAS JALAN SEI. SORIAK - RAWANG OGUNG</t>
  </si>
  <si>
    <t>TANAH RUAS JALAN SEI.JERING - SIMPANG TIGA</t>
  </si>
  <si>
    <t>TANAH RUAS JALAN AREAL PUSKESMAS KEC. GUNUNG TOAR</t>
  </si>
  <si>
    <t>TANAH RUAS JALAN PAUH KUCING</t>
  </si>
  <si>
    <t>TANAH RUAS JALAN PASAR BARU PANGEAN-BENDUNGAN</t>
  </si>
  <si>
    <t>TANAH RUAS JALAN PULAU BINTANG-PASAR BARU PANGEAN</t>
  </si>
  <si>
    <t>TANAH RUAS JALAN DESA PARIT-DESA JALUR PATAH</t>
  </si>
  <si>
    <t>TANAH RUAS JALAN KELOMPOK TANI AMBACANG KP. BARU CERENTI</t>
  </si>
  <si>
    <t>TANAH RUAS JALAN LINGKAR BOTUANG PULAU ARO</t>
  </si>
  <si>
    <t>TANAH RUAS JALAN PERUMNAS - BERINGIN</t>
  </si>
  <si>
    <t>TANAH RUAS JALAN SIKAKAK-CERENTI SUBUR 9SEI.BAYU</t>
  </si>
  <si>
    <t>TANAH RUAS JALAN SAMPING KANTOR CAMAT KUANTAN TENGAH-JALUR DUA KARI</t>
  </si>
  <si>
    <t>TANAH RUAS JALAN DUSUN PINYONGEK</t>
  </si>
  <si>
    <t>TANAH RUAS JALAN PANDAN WANGI-JALAN TAWAKAL</t>
  </si>
  <si>
    <t>TANAH RUAS JALAN PETAPAHAN - JAKE</t>
  </si>
  <si>
    <t>TANAH RUAS JALAN LINGKAR DESA TANJUNG PAUH</t>
  </si>
  <si>
    <t>TANAH RUAS JALAN MENUJU KANDANG TUMIYANG</t>
  </si>
  <si>
    <t>TANAH RUAS JALAN SP. TERATAK JERING - RAWANG OGUNG</t>
  </si>
  <si>
    <t>BELUM ADA SK RUAS</t>
  </si>
  <si>
    <t>JALUR PATAH</t>
  </si>
  <si>
    <t>PERHENTIAN SUNGKAI</t>
  </si>
  <si>
    <t>SEB. PANTAI</t>
  </si>
  <si>
    <t>PINTU GOBANG</t>
  </si>
  <si>
    <t>KAMPUNG BARU SENTAJO</t>
  </si>
  <si>
    <t>SUNGAI RUMBIO</t>
  </si>
  <si>
    <t>SEB. TALUK HILIR</t>
  </si>
  <si>
    <t>SEBERANG SUNGAI</t>
  </si>
  <si>
    <t>SEI PAKU</t>
  </si>
  <si>
    <t>SUNGAI SORIK</t>
  </si>
  <si>
    <t>PARIT</t>
  </si>
  <si>
    <t>SEB TALUK</t>
  </si>
  <si>
    <t>SEI SORIK</t>
  </si>
  <si>
    <t>INTERIOR RUANG KEPALA DINAS</t>
  </si>
  <si>
    <t>INTERIOR RUANG RAPAT + SOUND SYSTEM</t>
  </si>
  <si>
    <t>PERANGKAT PENDUKUNG/HARDWARE SIMBG(LAPTOP,KOMPUTER,PRINTER,UPS)</t>
  </si>
  <si>
    <t>ALAT PENDINGIN RUANGAN/AC</t>
  </si>
  <si>
    <t>640/KONT/CKTR-PA/2014/13.88</t>
  </si>
  <si>
    <t>640/KONT/CKTR-TBPR/12.42</t>
  </si>
  <si>
    <t>640/KONT/CKTR-TBPR/12.28</t>
  </si>
  <si>
    <t>640/KONT/CKTR-TBPR/08.50</t>
  </si>
  <si>
    <t>640/KONT/CKTR-TBPR/08.24</t>
  </si>
  <si>
    <t>640/KONT/CKTR-TBPR/09.02</t>
  </si>
  <si>
    <t>640/KONT/CKTR-TBPR/13.84</t>
  </si>
  <si>
    <t>640/KONT/CKTR-TBPR/12.63</t>
  </si>
  <si>
    <t>645/KONT/CKTR-TBPR/10.72</t>
  </si>
  <si>
    <t>641/KONT/CKTR-TBPR/18.23</t>
  </si>
  <si>
    <t>645/KONT/CKTR-TBPR/11.42</t>
  </si>
  <si>
    <t>640/KONT/CKTR-TBPR/17.64</t>
  </si>
  <si>
    <t>640/KONT/CKTR-TBPR/17.65</t>
  </si>
  <si>
    <t>640/KONT/CKTR-TBPR/17.51</t>
  </si>
  <si>
    <t>640/KONT/CKTR-TBPR/15.71</t>
  </si>
  <si>
    <t>640/KONT/CKTR-TBPR/12.44</t>
  </si>
  <si>
    <t>640/KONT/CKTR-TBPR/12.25</t>
  </si>
  <si>
    <t>640/KONT/CKTR-TBPR/14.63</t>
  </si>
  <si>
    <t>641/KONT/CKTR-TBPR/</t>
  </si>
  <si>
    <t>641/KONT/CKTR-TBPR/12.08</t>
  </si>
  <si>
    <t>641/KONT/CKTR-TBPR/12.29</t>
  </si>
  <si>
    <t>641/KONT/CKTR-TBPR/12.16.75</t>
  </si>
  <si>
    <t>641/KONT/CKTR-TBPR/17.52</t>
  </si>
  <si>
    <t>645/KONT/CKTR-TBPR/12.62</t>
  </si>
  <si>
    <t>640/KONT/CKTR-TBPR/12.62</t>
  </si>
  <si>
    <t>645/KONT/CKTR-TBPR/11.93</t>
  </si>
  <si>
    <t>641/KONT/CKTR-TBPR/17.41</t>
  </si>
  <si>
    <t>641/KONT/CKTR-TBPR/12.53</t>
  </si>
  <si>
    <t>641/KONT/CKTR-TBPR/17.42</t>
  </si>
  <si>
    <t>641/KONT/CKTR-TBPR/12.39</t>
  </si>
  <si>
    <t>641/KONT/CKTR-TBPR/12.05</t>
  </si>
  <si>
    <t>641/KONT/CKTR-TBPR/11.90</t>
  </si>
  <si>
    <t>641/KONT/CKTR-TBPR/12.42</t>
  </si>
  <si>
    <t>641/SPK-PWS/CKTR-TBPR/08.32</t>
  </si>
  <si>
    <t>641/SPK/CKTR-TBPR/10.40</t>
  </si>
  <si>
    <t>641/KONT/CKTR-TBPR/08.37</t>
  </si>
  <si>
    <t>641/KONT/CKTR-TBPR/08.31</t>
  </si>
  <si>
    <t>641/KONT/CKTR-TBPR/08.34</t>
  </si>
  <si>
    <t>641/KONT/CKTR-TBPR/09.57</t>
  </si>
  <si>
    <t>641/KONT/CKTR-PA/2013/20.66</t>
  </si>
  <si>
    <t>641/KONT/CKTR-TBPR/14.43</t>
  </si>
  <si>
    <t>641/SPK-PRC/CKTR-TBPR/03.14</t>
  </si>
  <si>
    <t>641/KONT/CKTR-PA/2013/20.37</t>
  </si>
  <si>
    <t>641/KONT/CKTR-PA/2013/20.10</t>
  </si>
  <si>
    <t>641/KONT/CKTR-PA/2013/19.81</t>
  </si>
  <si>
    <t>641/KONT/CKTR-PA/2013/21.92</t>
  </si>
  <si>
    <t>641/KONT/CKTR-PA/2013/20.34</t>
  </si>
  <si>
    <t>641/KONT/CKTR-PA/2013/24.55</t>
  </si>
  <si>
    <t>641/KONT/CKTR-PA/2013/28.49</t>
  </si>
  <si>
    <t>641/KONT/CKTR-PA/2013/22.72</t>
  </si>
  <si>
    <t>641/KONT/CKTR-PA/2013/21.13</t>
  </si>
  <si>
    <t>641/KONT/CKTR-PA/2013/23.51</t>
  </si>
  <si>
    <t>641/KONT/CKTR-PA/2013/28.95</t>
  </si>
  <si>
    <t>641/KONT/CKTR-PA/2013/22.21</t>
  </si>
  <si>
    <t>641/KONT/CKTR-PA/2013/23.65</t>
  </si>
  <si>
    <t>641/KONT/CKTR-PA/2013/23.50</t>
  </si>
  <si>
    <t>641/KONT/CKTR-PA/2013/29.24</t>
  </si>
  <si>
    <t>641/KONT/CKTR-PA/2013/26.01</t>
  </si>
  <si>
    <t>641/KONT/CKTR-PA/2013/28.30</t>
  </si>
  <si>
    <t>641/KONT/CKTR-PA/2013/20.64</t>
  </si>
  <si>
    <t>641/KONT/CKTR-PA/2013/27.94</t>
  </si>
  <si>
    <t>641/KONT/CKTR-PA/2013/26.51</t>
  </si>
  <si>
    <t>641/KONT/CKTR-PA/2013/28.27</t>
  </si>
  <si>
    <t>641/KONT/CKTR-PA/2013/22.24</t>
  </si>
  <si>
    <t>640/SPK/CKTR-PA/2013/08.39</t>
  </si>
  <si>
    <t>640/SPK/CKTR-PA/2013/08.42</t>
  </si>
  <si>
    <t>640/SPK/CKTR-PA/2013/08.45</t>
  </si>
  <si>
    <t>640/SPK/CKTR-PA/2013/31.88</t>
  </si>
  <si>
    <t>641/KONT/CKTR-PA/2013/19.29</t>
  </si>
  <si>
    <t>641/KONT/CKTR-PA/2013/26.02</t>
  </si>
  <si>
    <t>640/SPK/CKTR-PA/2013/08.52</t>
  </si>
  <si>
    <t>640/SPK/CKTR-PA/2013/28.02</t>
  </si>
  <si>
    <t>641/SPK-PRC/CKTR-TBPR/03.13</t>
  </si>
  <si>
    <t>641/KONT/CKTR-PA/2013/27.99</t>
  </si>
  <si>
    <t>641/SPK/CKTR-PA/2014/09.20</t>
  </si>
  <si>
    <t>640/KONT/CKTR-PA/2014/21.53</t>
  </si>
  <si>
    <t>641/KONT/CKTR-PA/2014/14.18</t>
  </si>
  <si>
    <t>640/KONT/CKTR-PA/2014/21.50</t>
  </si>
  <si>
    <t>641/KONT/CKTR-PA/2013/23.80</t>
  </si>
  <si>
    <t>641/KONT/CKTR-PA/2014/08.64</t>
  </si>
  <si>
    <t>641/KONT/CKTR-PA/2014/09.07</t>
  </si>
  <si>
    <t>641/KONT/CKTR-PA/2014/08.03</t>
  </si>
  <si>
    <t>641/KONT/CKTR-PA/2014/09.10</t>
  </si>
  <si>
    <t>641/KONT/CKTR-PA/2014/09.04</t>
  </si>
  <si>
    <t>641/KONT/CKTR-PA/2014/09.62</t>
  </si>
  <si>
    <t>641/KONT/CKTR-PA/2014/09.59</t>
  </si>
  <si>
    <t>641/KONT/CKTR-PA/2014/09.56</t>
  </si>
  <si>
    <t>641/KONT/CKTR-PA/2014/08.79</t>
  </si>
  <si>
    <t>641/KONT/CKTR-PA/2014/09.17</t>
  </si>
  <si>
    <t>641/KONT/CKTR-PA/2014/21.56</t>
  </si>
  <si>
    <t>641/SPK/CKTR-PA/2014/32.42</t>
  </si>
  <si>
    <t>BERTINGKAT</t>
  </si>
  <si>
    <t xml:space="preserve"> PEMBANGUNAN KANTOR CAMAT HULU KUANTAN</t>
  </si>
  <si>
    <t xml:space="preserve"> PEMB. ASRAMA MAHASISWA KAB. KUANTAN SINGINGI DI YOGYAKARTA</t>
  </si>
  <si>
    <t xml:space="preserve"> PEMBANGUNAN STADION MINI SIMANDOLAK</t>
  </si>
  <si>
    <t xml:space="preserve"> PEMBANGUNAN PUSKESMAS BUMI MULYA</t>
  </si>
  <si>
    <t>TUGU BUNDARAN SIMPANG 4 KAWASAN PERKANTORAN PEMDA</t>
  </si>
  <si>
    <t>BANTUAN LANGSUNG MASYARAKAT (BLM)</t>
  </si>
  <si>
    <t>PENDAMPING PAMSIMAS DESA REFLIKASI</t>
  </si>
  <si>
    <t>KONTRUKSI PENATAAN KAWASAN KANTOR</t>
  </si>
  <si>
    <t>PEMBANGUNAN KANTOR LURAH BERINGIN JAYA</t>
  </si>
  <si>
    <t>PENINGKATAN SARANA DAN PRASARANA KANTOR CAMAT CERENTI</t>
  </si>
  <si>
    <t>PENINGKATAN SARANA DAN PRASARANA GEDUNG WANITA</t>
  </si>
  <si>
    <t>ADE FAHRER ARIF, ST</t>
  </si>
  <si>
    <t>PEMELLIHARAAN JALAN MUDIK ULO - SUMPU (NO. RUAS 124)</t>
  </si>
  <si>
    <t>PRINTER LASER A3 WARNA</t>
  </si>
  <si>
    <t>HP LASERJET</t>
  </si>
  <si>
    <t>CP5225</t>
  </si>
  <si>
    <t>LENOVO</t>
  </si>
  <si>
    <t>INTEL CORE i7-8700 8GB 1TB Win 10 Pro</t>
  </si>
  <si>
    <t>NOTEBOOK</t>
  </si>
  <si>
    <t>i7-9750H/16GB</t>
  </si>
  <si>
    <t>INTERIOR RUANGAN KANTOR</t>
  </si>
  <si>
    <t>24,56 M2</t>
  </si>
  <si>
    <t>MILIK PEMDA</t>
  </si>
  <si>
    <t>128 M</t>
  </si>
  <si>
    <t>DESA LOGAS SINGINGI</t>
  </si>
  <si>
    <t>KANTOR KEPALA DESA TELUK PAUH</t>
  </si>
  <si>
    <t>DESA TELUK PAUH PANGEAN</t>
  </si>
  <si>
    <t>19/SKHT/TLP/2019</t>
  </si>
  <si>
    <t>KANTOR KEPALA DESA KOTO LUBUK JAMBI</t>
  </si>
  <si>
    <t>DESA KOTO LUBUK JAMBI KUANTAN MUDIK</t>
  </si>
  <si>
    <t>KANTOR KEPALA DESA SAMPURAGO</t>
  </si>
  <si>
    <t>DESA SAMPURAGO HULU KUANTAN</t>
  </si>
  <si>
    <t>KANTOR KEPALA DESA GUNUNG MELINTANG</t>
  </si>
  <si>
    <t>DESA GUNUNG MELINTANG KUANTAN HILIR</t>
  </si>
  <si>
    <t>KANTOR KEPALA DESA KAMPUNG BARU IBUL</t>
  </si>
  <si>
    <t>DESA KAMPUNG BARU IBUL</t>
  </si>
  <si>
    <t>DESA SUNGAI BESAR PUCUK RANTAU</t>
  </si>
  <si>
    <t>KANTOR KEPALA DESA MARSAWA</t>
  </si>
  <si>
    <t>DESA MARSAWA SENTAJO RAYA</t>
  </si>
  <si>
    <t>641/ADD/PUPR-CK/2019/10.13</t>
  </si>
  <si>
    <t>641/ADD/PUPR-CK/2019/09.79</t>
  </si>
  <si>
    <t>641/ADD/PUPR-CK/2019/09.14</t>
  </si>
  <si>
    <t>641/ADD/PUPR-CK/2019/09.80</t>
  </si>
  <si>
    <t>641/ADD/PUPR-CK/2019/09.34</t>
  </si>
  <si>
    <t>641/ADD/PUPR-CK/2019/09.86</t>
  </si>
  <si>
    <t>641/ADD/PUPR-CK/2019/09.66</t>
  </si>
  <si>
    <t>KANTOR KEPALA DESA TEBERAU PANJANG</t>
  </si>
  <si>
    <t>DESA TEBERAU PANJANG GUNUNG TOAR</t>
  </si>
  <si>
    <t>641/ADD/PUPR-CK/2019/09.36</t>
  </si>
  <si>
    <t>KANTOR KEPALA DESA PULAU BERALO</t>
  </si>
  <si>
    <t>DESA PULAU BERALO KUANTAN HILIR SEBERANG</t>
  </si>
  <si>
    <t>641/ADD/PUPR-CK/2019/08.95</t>
  </si>
  <si>
    <t>REHAB / RENOVASI GEDUNG SERBAGUNA KECAMATAN PANGEAN</t>
  </si>
  <si>
    <t>PASARBARU PANGEAN</t>
  </si>
  <si>
    <t>PAGAR KANTOR CAMAT PANGEAN</t>
  </si>
  <si>
    <t>641/ADD/PUPR-CK/2019/09.46</t>
  </si>
  <si>
    <t>3887,2 M</t>
  </si>
  <si>
    <t>DESA SIKAKAK CERENTI</t>
  </si>
  <si>
    <t>614/KONST-SDA/KPA-PPK/IV/2019/00.03</t>
  </si>
  <si>
    <t>TRIBUN UTAMA GELANGGANG PACU JALUR TEPIAN GUDANG PULAU GOBAH SUNGAI PINANG</t>
  </si>
  <si>
    <t>DESA SUNGAI PINANG HULU KUANTAN</t>
  </si>
  <si>
    <t>614/KONST-SDA/KPA-PPK/IV/2019/003.02</t>
  </si>
  <si>
    <t>DESA KOTO INUMAN</t>
  </si>
  <si>
    <t>614/KONST-SDA/KPA-PPK/V/2019/003.05</t>
  </si>
  <si>
    <t>PENINGKATAN JALAN SIMP. 4 PANGKALAN - MUARA PETAI</t>
  </si>
  <si>
    <t>620/KONT-BANG/PUPR-KS/X/2019/40.76</t>
  </si>
  <si>
    <t>03/10/2019</t>
  </si>
  <si>
    <t>620/KONT-BANG/PUPR-KS/IX/2019/34.82</t>
  </si>
  <si>
    <t>PENINGKATAN JALAN LUBUK JAMBI - SAIK (ASPAL)</t>
  </si>
  <si>
    <t>620/KONT-BANG/PUPR-KS/IX/2019/36.16</t>
  </si>
  <si>
    <t>12/09/2019</t>
  </si>
  <si>
    <t>620/KONT-BANG/PUPR-KS/IX/2019/36.88</t>
  </si>
  <si>
    <t>620/KONT-BANG/PUPR-KS/IX/2019/35.29</t>
  </si>
  <si>
    <t>620/KONT-BANG/PUPR-KS/IX/2019/34.86</t>
  </si>
  <si>
    <t>620/KONT-BANG/PUPR-KS/X/2019.40.10</t>
  </si>
  <si>
    <t>PENINGKATAN JALAN MENUJU PUSKESMAS RAWAT INAP GUNUNG TOAR</t>
  </si>
  <si>
    <t>620/KONT-BANG/PUPR-KS/X/2019/45.43</t>
  </si>
  <si>
    <t>620/KONT-BANG/PUPR-KS/IX/2019/36.13</t>
  </si>
  <si>
    <t>TELUK KUANTAN, 31 DESEMBER 2019</t>
  </si>
  <si>
    <t>SP. KOMPE BERANGIN - KAMPUNG BARU + NESS II CERENTI</t>
  </si>
  <si>
    <t>620/KONT-BANG/PUPR-KS/X/2019/40.73</t>
  </si>
  <si>
    <t>PENINGKATAN JALAN GUNUNG KESIANGAN - PULAU KALIMANTING - TANJUNG SIMANDOLAK</t>
  </si>
  <si>
    <t>GUNUNG KESIANGAN - PULAU KALIMANTING - TANJUNG SIMANDOLAK</t>
  </si>
  <si>
    <t>PENINGKATAN JALAN BENAI - PULAU LANCANG</t>
  </si>
  <si>
    <t>BENAI - PULAU LANCANG</t>
  </si>
  <si>
    <t>620/KONT-BANG/PUPR-KS/IX/2019/35.02</t>
  </si>
  <si>
    <t>PENINGKATAN JALAN SUKARAJA - GIRI SAKO</t>
  </si>
  <si>
    <t>620/KONT-BANG/PUPR-KS/X/2019/42.57</t>
  </si>
  <si>
    <t>PENINGKATAN JALAN KOTO KARI - CIBERLIN</t>
  </si>
  <si>
    <t>KOTO KARI - CIBERLIN</t>
  </si>
  <si>
    <t>620/KONT-BANG/PUPR-KS/IX/2019/35.37</t>
  </si>
  <si>
    <t>PENINGKATAN JALAN KEPALA PULAU - PULAU MADINAH</t>
  </si>
  <si>
    <t>620/KONT-BANG/PUPR-KS/X/2019/40.61</t>
  </si>
  <si>
    <t>PENINGKATAN JALAN DUSUN TUO - GUNUNG MELINTANG</t>
  </si>
  <si>
    <t>620/KONT-BANG/PUPR-KS/IX/2019/36.06</t>
  </si>
  <si>
    <t>PENINGKATAN JALAN SIMP. TERATAK BARU - TERATAK BARU</t>
  </si>
  <si>
    <t>620/KONT-BANG/PUPR-KS/X/2019/40.49</t>
  </si>
  <si>
    <t>PENINGKATAN JALAN SIMP. CAMBAI - MUNSALO (ASPAL)</t>
  </si>
  <si>
    <t>620/KONT-BANG/PUPR-KS/X/2019/41.55</t>
  </si>
  <si>
    <t>07/10/2019</t>
  </si>
  <si>
    <t>BELAKANG KANTOR CAMAT GUNUNG TOAR</t>
  </si>
  <si>
    <t>620/KONT-BANG/PUPR-KS/X/2019/40.64</t>
  </si>
  <si>
    <t>SEBERANG TALUK HILIR</t>
  </si>
  <si>
    <t>PULAU TONGAH SIBERAKUN</t>
  </si>
  <si>
    <t>PENINGKATAN JALAN SAKO TRANS SKP II</t>
  </si>
  <si>
    <t>620/KONT-BANG/PUPR-KS/X/2019/40.55</t>
  </si>
  <si>
    <t>620/KONT-BANG/PUPR-KS/X/2019/40.67</t>
  </si>
  <si>
    <t>PENINGKATAN JALAN SEB. TALUK - DUTA PALMA</t>
  </si>
  <si>
    <t>620/ADD.F/BANG/PUPR-KS/XII/2019/52.07</t>
  </si>
  <si>
    <t>SEB. TALUK - DUTA PALMA</t>
  </si>
  <si>
    <t>PENINGKATAN JALAN MANGGIS KELURAHAN SINAMBEK LINGKUNGAN III</t>
  </si>
  <si>
    <t>JALAN MANGGIS KELURAHAN SINAMBEK LINGKUNGAN III</t>
  </si>
  <si>
    <t>URPIL</t>
  </si>
  <si>
    <t>JALAN KUARAN DESA BERINGIN TALUK KUANTAN</t>
  </si>
  <si>
    <t>LUAI - RANTAU SIALANG</t>
  </si>
  <si>
    <t>620/KONT-BANG/PUPR-KS/IX/2019/35.40</t>
  </si>
  <si>
    <t>PENINGKATAN JALAN PEMBATANG - TELUK PAUH (ASPAL)</t>
  </si>
  <si>
    <t>PEMBATANG - TELUK PAUH</t>
  </si>
  <si>
    <t>620/KONT-BANG/PUPR-KS/X/2019/40.52</t>
  </si>
  <si>
    <t>ASPAL</t>
  </si>
  <si>
    <t>JALAN MENUJU JEMBATAN INUMAN</t>
  </si>
  <si>
    <t>620/ADD.F/BANG/PUPR-KS/XII/2019/53.85</t>
  </si>
  <si>
    <t>620/ADD.F/BANG/PUPR/X/2019/47.69</t>
  </si>
  <si>
    <t>620/SP/PUPR-KS/XI/2019/46.76</t>
  </si>
  <si>
    <t>PENINGKATAN JALAN KANTOR CAMAT PANGEAN (URUGAN PILIHAN)</t>
  </si>
  <si>
    <t>620/SPK/PUPR-KS/XI/2019/46.74</t>
  </si>
  <si>
    <t>GANTI RUGI</t>
  </si>
  <si>
    <t>630/KONT-BANG/PUPR-KS/V/2019/15.14</t>
  </si>
  <si>
    <t>620/SP/PUPR-KS/XI/2019/46.80</t>
  </si>
  <si>
    <t>PENINGKATAN JALAN SANGAU-SIBEROBAH (ASPAL) (DAK)</t>
  </si>
  <si>
    <t>SANGAU-SIBEROBAH</t>
  </si>
  <si>
    <t>620/ADD.I/BANG/PUPR-KS/VII/2019/25.57</t>
  </si>
  <si>
    <t>Penyusutan Tahun 2019</t>
  </si>
  <si>
    <t>Penyusutan s.d Tahun 2019</t>
  </si>
  <si>
    <t>Nilai Buku s.d. Tahun 2019</t>
  </si>
  <si>
    <t>Penyusutan s.d Th 2019</t>
  </si>
  <si>
    <t>DESA SAKO PANGEAN</t>
  </si>
  <si>
    <t>DESA PASAR BARU PANGEAN</t>
  </si>
  <si>
    <t>641/KONT/PUPR-CK/2018/08.11</t>
  </si>
  <si>
    <t>Reklas dari aset lain-lain tahun 2019</t>
  </si>
  <si>
    <t>02.03.01.02.04</t>
  </si>
  <si>
    <t>TOYOTA/KIJANG INNOVA LUXURY G M/T</t>
  </si>
  <si>
    <t>TOYOTA</t>
  </si>
  <si>
    <t>MHFXW42G7E2300424</t>
  </si>
  <si>
    <t>ITR 790566474D</t>
  </si>
  <si>
    <t>MUTASI DARI SETDA TAHUN 2019</t>
  </si>
  <si>
    <t>NEW AVANZA 1.3 E M/T</t>
  </si>
  <si>
    <t>MHKM5EA2JFJ004467</t>
  </si>
  <si>
    <t>1NRF037008</t>
  </si>
  <si>
    <t>BM 1291 K</t>
  </si>
  <si>
    <t>BM 17 K / BM 1054 K</t>
  </si>
  <si>
    <t>MHKM5EA2JFK000919</t>
  </si>
  <si>
    <t>1NRF040547</t>
  </si>
  <si>
    <t>BM 1269 K</t>
  </si>
  <si>
    <t>02.03.01.02.02</t>
  </si>
  <si>
    <t xml:space="preserve">MITSUBISHI STRADA/L 200 </t>
  </si>
  <si>
    <t>2835</t>
  </si>
  <si>
    <t>MMBCNK5706F010948</t>
  </si>
  <si>
    <t>4M40ZA1329</t>
  </si>
  <si>
    <t>BM 8038 K</t>
  </si>
  <si>
    <t>MUTASI DARI DISHUB TAHUN 2019</t>
  </si>
  <si>
    <t>BM 8066 K</t>
  </si>
  <si>
    <t>MUTASI DARI ?</t>
  </si>
  <si>
    <t>TRIBUN UTAMA GELANGGANG PACU JALUR TEPIAN NYIUR MELAMBAI CERENTI</t>
  </si>
  <si>
    <t>TRIBUN UTAMA GELANGGANG PACU JALUR TEPIAN TIGO MUARO INUMAN</t>
  </si>
  <si>
    <t>SEBERANG DESA PULAU ARO</t>
  </si>
  <si>
    <t>614/KONT-SDA/KPA-PPK/IV/2019/003.01</t>
  </si>
  <si>
    <t>LOANING DAN NORMALISASI SUNGAI JERING KELURAHAN SUNGAI JERING</t>
  </si>
  <si>
    <t>LOANING SUNGAI JERING KELURAHAN SUNGAI JERING</t>
  </si>
  <si>
    <t>LOANING SEI. PEMETUNG DESA TOAR</t>
  </si>
  <si>
    <t>SEI. PEMETUNG DESA TOAR</t>
  </si>
  <si>
    <t>614/SPK-SDA/XI/2019/03.35</t>
  </si>
  <si>
    <t>SALURAN PEMBUANG DUSUN MACANG MANIS DESA TANJUNG SIMANDOLAK</t>
  </si>
  <si>
    <t>614/SPK-SDA/XI/2019/03.42</t>
  </si>
  <si>
    <t>DUSUN MACANG MANIS DESA TANJUNG SIMANDOLAK</t>
  </si>
  <si>
    <t>LOANING SUNGAI SINAMBEK (SMK 3)</t>
  </si>
  <si>
    <t>SALURAN DRAINASE PASAR USANG BASERAH</t>
  </si>
  <si>
    <t>620/SP/PUPR-KS/XI/2019/46.84</t>
  </si>
  <si>
    <t>SALURAN DRAINASE PASAR BARU BASERAH</t>
  </si>
  <si>
    <t>620/SP/PUPR-KS/XI/2019/46.78</t>
  </si>
  <si>
    <t>DRAINASE RUAS JALAN PERUMNAS - TK PEMBINA</t>
  </si>
  <si>
    <t>620/SP/PUPR-KS/XI/2019/46.82</t>
  </si>
  <si>
    <t>BRONJONG PENAHAN TEBING SUNGAI BATANG PANGEAN</t>
  </si>
  <si>
    <t>614/SPK-SDA/XI/2019/03.33</t>
  </si>
  <si>
    <t>SUNGAI BATANG PANGEAN</t>
  </si>
  <si>
    <t>TURAP TEBING KUANTAN KOCIK PL. BARU KOPAH</t>
  </si>
  <si>
    <t>611/SPK-SDA/VI/2019/02.22</t>
  </si>
  <si>
    <t>PL. BARU KOPAH</t>
  </si>
  <si>
    <t>DESA SANGAU KEC. KUANTAN MUDIK</t>
  </si>
  <si>
    <t>PENAHAN TEBING SUNGAI SALO DESA SANGAU</t>
  </si>
  <si>
    <t>614/SPK-SDA/XI/2019/03.34</t>
  </si>
  <si>
    <t>TURAP RUAS JALAN PANGEAN-SITUGAL</t>
  </si>
  <si>
    <t>620/SP/PUPR-KS/XI/2019/47.79</t>
  </si>
  <si>
    <t>TURAP PENGAMANAN TEBING SUNGAI KUANTAN DUSUN BOTUANG SEBERANG DESA PULAU ARO</t>
  </si>
  <si>
    <t>614/KONT-SDA/KPA-PPK/V/2019/003.04</t>
  </si>
  <si>
    <t>BATANG KOBAN LUBUK AMBACANG</t>
  </si>
  <si>
    <t>04.14.04.06.07</t>
  </si>
  <si>
    <t>TURAP PENAHAN TEBING MESJID RAUDATUL JANNAH DESA KOTO SENTAJO</t>
  </si>
  <si>
    <t>614/KONT-SDA/KPA-PPK/IX/2019/03.29</t>
  </si>
  <si>
    <t>JARINGAN IRIGASI DI LUBUK AMBACANG I</t>
  </si>
  <si>
    <t>611/KONT-SDA/KPA-PPK/IV/2019/02.01</t>
  </si>
  <si>
    <t>87 M</t>
  </si>
  <si>
    <t>TANGGUL BPA AUR DURI</t>
  </si>
  <si>
    <t>04.14.01.05.01</t>
  </si>
  <si>
    <t>614/SPK-SDA/XI/2019/03.38</t>
  </si>
  <si>
    <t>AUR DURI KUANTAN MUDIK</t>
  </si>
  <si>
    <t>JARINGAN IRIGASI TEBERAU PANJANG</t>
  </si>
  <si>
    <t>614/SPK-SDA/XI/2019/03.45</t>
  </si>
  <si>
    <t>JARINGAN IRIGASI PULAU RUMPUT</t>
  </si>
  <si>
    <t>614/SPK-SDA/XI/2019/03.44</t>
  </si>
  <si>
    <t>PULAU RUMPUT</t>
  </si>
  <si>
    <t>JARINGAN IRIGASI DI MUARO TOMBANG (SALURAN PRIMER/JARINGAN, SALURAN DAN BANGUNAN PELENGKAP)</t>
  </si>
  <si>
    <t>611/SPK-SDA/VI/2019/02.17</t>
  </si>
  <si>
    <t>614/SPK-SDA/XI/2019/03.39</t>
  </si>
  <si>
    <t>KASANG KUANTAN MUDIK</t>
  </si>
  <si>
    <t>BENDUNGAN SUNGAI SIMUJUR</t>
  </si>
  <si>
    <t>04.14.01.02.01</t>
  </si>
  <si>
    <t>CEK DAM PASONGIK DESA MUARO SENTAJO</t>
  </si>
  <si>
    <t>MUARA LANGSAT</t>
  </si>
  <si>
    <t>611/KONT-SDA/KPA-PPK/IX/2019/03.30</t>
  </si>
  <si>
    <t>LOANING CEK DAM MUARA LANGSAT</t>
  </si>
  <si>
    <t>MUARO SENTAJO</t>
  </si>
  <si>
    <t>614/SPK-SDA/XI/2019/03.43</t>
  </si>
  <si>
    <t>REHABILITASI BENDUNGAN DESA GIRI SAKO</t>
  </si>
  <si>
    <t>611/KONT-SDA/KPA-PPK/IX/2019/03.31</t>
  </si>
  <si>
    <t>GIRI SAKO</t>
  </si>
  <si>
    <t>PERBAIKAN BENDUNGAN PETAPAHAN (PASCA BENCANA)</t>
  </si>
  <si>
    <t>PETAPAHAN GUNUNG TOAR</t>
  </si>
  <si>
    <t>611/SPK-SDA/VII/2019/01.09</t>
  </si>
  <si>
    <t>614/SPK-SDA/XI/2019/03.40</t>
  </si>
  <si>
    <t>JARINGAN PERPIPAAN SPAM IKK KUANTAN HILIR</t>
  </si>
  <si>
    <t>DESA LEBUH LURUS DAN PASAR INUMAN</t>
  </si>
  <si>
    <t>JARINGAN PERPIPAAN SPAM IKK INUMAN</t>
  </si>
  <si>
    <t>JARINGAN PERPIPAAN SPAM IKK KUANTAN TENGAH</t>
  </si>
  <si>
    <t>DESA SEBERANG TALUK HILIR, KOTO TALUK DAN PULAU ARO</t>
  </si>
  <si>
    <t>DESA KAMPUNG MEDAN DAN KELURAHAN PASAR BARU BASERAH</t>
  </si>
  <si>
    <t>690/KONT/PUPR-CK/IV/2019/06.43</t>
  </si>
  <si>
    <t>690/KONT/PUPR-CK/2019/06.24</t>
  </si>
  <si>
    <t>690/KONT/PUPR-CK/IV/2019/06.63</t>
  </si>
  <si>
    <t>614/SPK-SDA/XI/2019/03.37</t>
  </si>
  <si>
    <t>SUNGAI SINAMBEK (SMKN 3)</t>
  </si>
  <si>
    <t>614/SPK-SDA/XI/2019/03.36</t>
  </si>
  <si>
    <t>614/SPK-SDA/XI/2019/03.48</t>
  </si>
  <si>
    <t>614/SPK-SDA/XI/2019/03.46</t>
  </si>
  <si>
    <t>611/KONT-SDA/KPA-PPK/IX/2019/03.35</t>
  </si>
  <si>
    <t>614/SPK-SDA/XI/2019/03.41</t>
  </si>
  <si>
    <t>614/SPK-SDA/XI/2019/03.47</t>
  </si>
  <si>
    <t>641/KONT/PUPR-CK/2019/08.09</t>
  </si>
  <si>
    <t>MUSHALLA KANTOR DPRD</t>
  </si>
  <si>
    <t>640/KONT/PUPR-CK/2019/09.40</t>
  </si>
  <si>
    <t>KOMPLEK PERKANTORAN DPRD</t>
  </si>
  <si>
    <t>REHAB/RENOVASI GEDUNG SERBAGUNA KECAMATAN LOGAS TANAH DARAT</t>
  </si>
  <si>
    <t>S/D 2013</t>
  </si>
  <si>
    <t>DESA KOPAH</t>
  </si>
  <si>
    <t>DESA KOTO KARI</t>
  </si>
  <si>
    <t>DESA MUARA PETAI</t>
  </si>
  <si>
    <t>RUMAH DINAS JABATAN KAPOLRES</t>
  </si>
  <si>
    <t>RUMAH DINAS JABATAN KAJARI</t>
  </si>
  <si>
    <t>PENINGKATAN JALAN SIMP.4 PT. WANASARI - SUKAMAJU</t>
  </si>
  <si>
    <t>SIMP.4 PT. WANASARI - SUKAMAJU</t>
  </si>
  <si>
    <t>PENINGKATAN JALAN SEI. SIRIH - SP.4 PT. WANASARI</t>
  </si>
  <si>
    <t>PENINGKATAN JALAN PERUMNAS - BERINGIN</t>
  </si>
  <si>
    <t>620/SP/PUPR-KS/IX/2019/35.45</t>
  </si>
  <si>
    <t>PENINGKATAN JALAN SIMP. RAMBAHAN - RAMBAHAN</t>
  </si>
  <si>
    <t>PENINGKATAN JALAN MUDIK ULO - SUMPU</t>
  </si>
  <si>
    <t>MENUJU PUSKESMAS RAWAT INAP GUNUNG TOAR</t>
  </si>
  <si>
    <t>PENINGKATAN JALAN LOGAS - SUMBER DATAR</t>
  </si>
  <si>
    <t>620/KONT-BANG/PUPR-KS/IX/2019/36.19</t>
  </si>
  <si>
    <t>PENINGKATAN JALAN SEI. PERUPUK - TELUK PAUH</t>
  </si>
  <si>
    <t>PENINGKATAN JALAN SP. KOMPE BERANGIN - KAMPUNG BARU + NESS II CERENTI</t>
  </si>
  <si>
    <t>620/KONT-BANG/PUPR-KS/IX/2019/34.75</t>
  </si>
  <si>
    <t>PENINGKATAN JALAN SIP. SEI ALA - SEI ALA</t>
  </si>
  <si>
    <t>KAPITALISASI BARU</t>
  </si>
  <si>
    <t>SP BANDAR ALAI - BANDAR ALAI</t>
  </si>
  <si>
    <t xml:space="preserve">PENINGKATAN JALAN SP BANDAR ALAI - BANDAR ALAI </t>
  </si>
  <si>
    <t>BELUM ADA RUAS</t>
  </si>
  <si>
    <t>MENUJU AREAL PUSKESMAS KEC. GUNUNG TOAR</t>
  </si>
  <si>
    <t>04.13.01.05.04</t>
  </si>
  <si>
    <t>KAPITALISASI 2019 (BLM ADA SK)</t>
  </si>
  <si>
    <t>PENINGKATAN JALAN BELAKANG KANTOR CAMAT GUNUNG TOAR</t>
  </si>
  <si>
    <t>PENINGKATAN JALAN SEBERANG TALUK HILIR</t>
  </si>
  <si>
    <t>PENINGKATAN JALAN PULAU TONGAH SIBERAKUN</t>
  </si>
  <si>
    <t>620/KONT-BANG/PUPR-KS/IX/2019/35.33</t>
  </si>
  <si>
    <t>PENINGKATAN JALAN PULAU KOMANG KOTO SENTAJO</t>
  </si>
  <si>
    <t>PENINGKATAN JALAN LUAI - RANTAU SIALANG</t>
  </si>
  <si>
    <t>JALAN MENUJU KANTOR CAMAT PANGEAN</t>
  </si>
  <si>
    <t>BOX CULVERT JALAN BARU SEI. PERUPUK</t>
  </si>
  <si>
    <t>PENINGKATAN JALAN MENUJU JEMBATAN INUMAN</t>
  </si>
  <si>
    <t xml:space="preserve">PENINGKATAN JALAN KUARAN DESA BERINGIN TALUK KUANTAN </t>
  </si>
  <si>
    <t>SEI. PERUPUK</t>
  </si>
  <si>
    <t>620/SP/PUPR-KS/XI/2019/46.86</t>
  </si>
  <si>
    <t>BOX CULVERT DESA SUMBER JAYA</t>
  </si>
  <si>
    <t>620/SP/PUPR-KS/XI/2019/47.88</t>
  </si>
  <si>
    <t>BOX CULVERT KELURAHAN MUARA LEMBU</t>
  </si>
  <si>
    <t>KELURAHAN MUARA LEMBU</t>
  </si>
  <si>
    <t>620/SP/PUPR-KS/XI/2019/47.81</t>
  </si>
  <si>
    <t>BOX CULVERT JALAN PRODUKSI DESA TITIAN MODANG</t>
  </si>
  <si>
    <t>620/SP/PUPR-KS/XI/2019/48.60</t>
  </si>
  <si>
    <t>PENINGKATAN JALAN KOTO BARU - SUKA MAJU (ASPAL) (DAK)</t>
  </si>
  <si>
    <t>620/KONT-BANG/PUPR-KS/VI/2019/21.35</t>
  </si>
  <si>
    <t>PENINGKATAN JALAN LEPAU GADING - PANGEAN</t>
  </si>
  <si>
    <t>620/KONT-BANG/PUPR-KS/VII/2019/23.17</t>
  </si>
  <si>
    <t>PEMBANGUNAN KANTOR DINAS SATPOL PP</t>
  </si>
  <si>
    <t>GEDUNG KANTOR SATPOL PP</t>
  </si>
  <si>
    <t>PEMB. HALAMAN KANTOR DINAS SATPOL PP</t>
  </si>
  <si>
    <t>KANTOR DINAS SATPOL PP</t>
  </si>
  <si>
    <t>BM 8051 K</t>
  </si>
  <si>
    <t>BM 8052 K</t>
  </si>
  <si>
    <t>BM 8053 K</t>
  </si>
  <si>
    <t>BM 8054 K</t>
  </si>
  <si>
    <t>BM 8055 K</t>
  </si>
  <si>
    <t>BM 8056 K</t>
  </si>
  <si>
    <t>BM 8057 K</t>
  </si>
  <si>
    <t>BM 8058 K</t>
  </si>
  <si>
    <t>JEMBATAN SEI.TIU HILIR-MUARA PETAI</t>
  </si>
  <si>
    <t>JEMBATAN GANTUNG TELUK KUANTAN</t>
  </si>
  <si>
    <t>641/KONT/PUPR-CK/2019/07.18</t>
  </si>
  <si>
    <t>PEMBANGUNAN GEDUNG PUSTAKA KAB. KUANTAN SINGINGI (BANGUNAN RANGKA)</t>
  </si>
  <si>
    <t>PEMBANGUNAN JEMBATAN GUNUNG TOAR (BANGUNAN BAWAH)</t>
  </si>
  <si>
    <t>PENINGKATAN JALAN KOTO RAJO - PULAU JAMBU (RIGID) (DAK)</t>
  </si>
  <si>
    <t>620/KONT-BANG/PUPR-KS/VI/2019/20.30</t>
  </si>
  <si>
    <t>KOTO RAJO - PULAU JAMBU</t>
  </si>
  <si>
    <t>REVIEW DED REHABILITASI HOTEL KUANTAN SINGINGI</t>
  </si>
  <si>
    <t>641/SP-PRC/PUPR-CK/2019/02.68</t>
  </si>
  <si>
    <t>BOX CULVERT DESA KOTO RAJO</t>
  </si>
  <si>
    <t>TRIBUN UTAMA (HAKIM) PANCANG FINIS DESA PULAU BANJAR KARI</t>
  </si>
  <si>
    <t>TRIBUN UTAMA  GELANGGANG PACU JALUR TEPIAN LUBUK SOBAE BASERAH</t>
  </si>
  <si>
    <t>TRIBUN UTAMA GELANGGANG PACU JALUR TEPIAN PANTAI DESA LUBUK TERENTANG</t>
  </si>
  <si>
    <t>TRIBUN UTAMA GELANGGANG PACU JALUR TEPIAN PINCURAN SATI BENAI</t>
  </si>
  <si>
    <t>TRIBUN UTAMA GELANGGANG PACU JALUR TEPIAN H. SAIDINA ALI LUBUK JAMBI</t>
  </si>
  <si>
    <t>40 M2</t>
  </si>
  <si>
    <t>480 M2</t>
  </si>
  <si>
    <t>SARANA &amp; PRASARANA AIR BERSIH PERDESAAN DI KEC. KUANTAN TENGAH</t>
  </si>
  <si>
    <t>SARANA SANITASI AIR BERSIH DAN MCK UNTUK MASYARAKAT MISKIN</t>
  </si>
  <si>
    <t>10 TURAP PADA KECAMATAN KUANTAN TENGAH, GUNUNG TOAR DAN KUANTAN HILIR SERTA REHABILITASI SEI. GEMURU</t>
  </si>
  <si>
    <t>KONSTRUKSI BENDUNGAN</t>
  </si>
  <si>
    <t>REHABILITASI JARINGAN IRIGASI DI LUBUK AMBACANG I</t>
  </si>
  <si>
    <t>SALURAN DRAINASE DESA SUNGAI MANAU</t>
  </si>
  <si>
    <t>DRAINASE JALAN LINGKAR KOPAH</t>
  </si>
  <si>
    <t>04.14.04.05.12</t>
  </si>
  <si>
    <t>PERBAIKAN JEMBATAN AIR HITAM RUAS JALAN SANGAU-SIBEROBAH KM 14+200</t>
  </si>
  <si>
    <t>x</t>
  </si>
  <si>
    <t>02.02.03.04.03</t>
  </si>
  <si>
    <t>02.02.03.05.07</t>
  </si>
  <si>
    <t>02.06.02.06.50</t>
  </si>
  <si>
    <t>02.06.02.01.48</t>
  </si>
  <si>
    <t>02.06.02.01.49</t>
  </si>
  <si>
    <t>02.06.02.06.18</t>
  </si>
  <si>
    <t>03.11.02.03.01</t>
  </si>
  <si>
    <t>03.11.01.11.01</t>
  </si>
  <si>
    <t>03.12.02.02.01</t>
  </si>
  <si>
    <t xml:space="preserve">RUMAH ADAT SETIANG DAN TOAR </t>
  </si>
  <si>
    <t>03.12.06.01.03</t>
  </si>
  <si>
    <t>KANTOR DINAS PEKERJAAN UMUM DAN PENATAAN RUANG (KIMPRASWIL)</t>
  </si>
  <si>
    <t>KANTOR BADAN INFORMASI KOMUNIKASI &amp; KESATUAN BANGSA</t>
  </si>
  <si>
    <t xml:space="preserve">KANTOR DINAS PETERNAKAN </t>
  </si>
  <si>
    <t>MESS PEMDA KUANTAN SINGINGI DI PEKANBARU</t>
  </si>
  <si>
    <t>BALAI DIKLAT (EX. RUMAH SAKIT TELUK KUANTAN)</t>
  </si>
  <si>
    <t>WISMA JALUR TELUK KUANTAN</t>
  </si>
  <si>
    <t>RUMAH DINAS JABATAN BUPATI</t>
  </si>
  <si>
    <t>RUMAH DINAS JABATAN WAKIL BUPATI</t>
  </si>
  <si>
    <t>RUMAH DINAS JABATAN SEKRETARIS DAERAH</t>
  </si>
  <si>
    <t>RUMAH DINAS JABATAN KETUA DAN WAKIL KETUA DPRD</t>
  </si>
  <si>
    <t>RUMAH DINAS JABATAN WAKIL KETUA I DPRD</t>
  </si>
  <si>
    <t>RUMAH DINAS JABATAN WAKIL KETUA II DPRD</t>
  </si>
  <si>
    <t>GEDUNG KANTOR BUPATI KUANTAN SINGINGI + PAGAR</t>
  </si>
  <si>
    <t xml:space="preserve">MASJID AGUNG KUANTAN SINGINGI </t>
  </si>
  <si>
    <t>LANJUTAN KANTOR KEPALA DESA PL. KOMANG SENTAJO</t>
  </si>
  <si>
    <t>LANJUTAN KANTOR KEPALA DESA SUMPU</t>
  </si>
  <si>
    <t>KTR KEPALA DESA</t>
  </si>
  <si>
    <t>KTR KEPALA DESA KOPAH 120 M2</t>
  </si>
  <si>
    <t>KTR KEPALA DESA KOTO KARI 120 M2</t>
  </si>
  <si>
    <t>KTR KEPALA DESA MUARA PETAI 120</t>
  </si>
  <si>
    <t>KANTOR KEPALA DESA DESA KOTO BARU</t>
  </si>
  <si>
    <t>KANTOR KEPALA DESA DESA SEI. PAKU</t>
  </si>
  <si>
    <t>KANTOR KEPALA DESA DESA SIMPANG RAYA</t>
  </si>
  <si>
    <t>KANTOR KEPALA DESA PULAU PANJANG CERENTI</t>
  </si>
  <si>
    <t>KANTOR KEPALA DESA PL. BAYUR</t>
  </si>
  <si>
    <t>KANTOR KEPALA DESA PL. JAMBU</t>
  </si>
  <si>
    <t>KANTOR KEPALA DESA PULAU PANJANG HILIR INUMAN</t>
  </si>
  <si>
    <t>KANTOR KEPALA DESA RANTAU SIALANG</t>
  </si>
  <si>
    <t>KANTOR KEPALA DESA PL. RENGAS</t>
  </si>
  <si>
    <t>KANTOR KEPALA DESA TANAH BEKALI</t>
  </si>
  <si>
    <t>KANTOR KEPALA DESA SEBERANG SUNGAI</t>
  </si>
  <si>
    <t xml:space="preserve"> KANTOR KEPALA DESA SAKO MARGA SARI</t>
  </si>
  <si>
    <t>KANTOR KEPALA DESA SUNGAI LANGSAT KEC. PANGEAN</t>
  </si>
  <si>
    <t>KANTOR KEPALA DESA MUARA TIU MAKMUR</t>
  </si>
  <si>
    <t>KANTOR KEPALA DESA PULAU BARU KOPAH</t>
  </si>
  <si>
    <t>KANTOR KEPALA DESA LOGAS HILIR</t>
  </si>
  <si>
    <t>KANTOR KEPALA DESA SUNGAI KUNING</t>
  </si>
  <si>
    <t xml:space="preserve">KANTOR KEPALA DESA RAWANG OGUANG </t>
  </si>
  <si>
    <t xml:space="preserve">KANTOR KEPALA DESA KOTO SENTAJO </t>
  </si>
  <si>
    <t xml:space="preserve">KANTOR KEPALA DESA BANJAR PADANG </t>
  </si>
  <si>
    <t xml:space="preserve">KANTOR KEPALA DESA PANGKALAN </t>
  </si>
  <si>
    <t xml:space="preserve">KANTOR KEPALA DESA PETAI BARU </t>
  </si>
  <si>
    <t xml:space="preserve">KANTOR KEPALA DESA JAKE </t>
  </si>
  <si>
    <t xml:space="preserve">KANTOR KEPALA DESA LUBUK AMBACANG </t>
  </si>
  <si>
    <t>TGL</t>
  </si>
  <si>
    <t>JALAN SEB. TELUK KUANTAN - SEB. BENAI</t>
  </si>
  <si>
    <t>JALAN JAKE-KOTO KOMBU-LB. AMBACANG</t>
  </si>
  <si>
    <t>JALAN SENTAJO - MUARA LANGSAT</t>
  </si>
  <si>
    <t>JALAN KP. BARU SENTAJO - BENAI</t>
  </si>
  <si>
    <t>JALAN SEB. TELUK KUANTAN - DUTA PALMA</t>
  </si>
  <si>
    <t>JALAN SIMP. BERINGIN - BERINGIN</t>
  </si>
  <si>
    <t>JALAN SIMP. CAMBAI - MUNSALO</t>
  </si>
  <si>
    <t>JALAN SINAMBEK - STADION OLAHRAGA</t>
  </si>
  <si>
    <t>JALAN DESA PL. KOPUNG - SEI. KUANTAN</t>
  </si>
  <si>
    <t>JALAN PERUMNAS - SIMPANG PERKANTORAN PEMDA</t>
  </si>
  <si>
    <t>JALAN SEB. TELUK - SIBEROBAH</t>
  </si>
  <si>
    <t>JALAN STM (BELIBIS)</t>
  </si>
  <si>
    <t>JALAN SUDIRMAN - JP. KM. 164 + 500</t>
  </si>
  <si>
    <t>JALAN KAMPUNG DATAR - PL. KOMANG</t>
  </si>
  <si>
    <t>JALAN TERMINAL-SENTAJO</t>
  </si>
  <si>
    <t>JALAN SIMP. STM BERINGIN - SAWAH</t>
  </si>
  <si>
    <t>JALAN BUNDARAN DPRD - JL. PROPINSI</t>
  </si>
  <si>
    <t>JALAN LINGKAR PERINDAGKOP</t>
  </si>
  <si>
    <t>JALAN LUBUK JAMBI - LUBUK AMBACANG</t>
  </si>
  <si>
    <t>JALAN PANTAI - AIR BULUH</t>
  </si>
  <si>
    <t>JALAN SEI. BESAR - BTS. SUMBAR</t>
  </si>
  <si>
    <t>JALAN SANGAU - SIBEROBAH</t>
  </si>
  <si>
    <t>JALAN LUBUK JAMBI - SAIK</t>
  </si>
  <si>
    <t>JALAN SIMP. 4 PANGKALAN - MUARA PETAI</t>
  </si>
  <si>
    <t>JALAN SIMP. KINALI - BUKIT KAUMAN</t>
  </si>
  <si>
    <t>JALAN GUNUNG - PL. MUNGKUR</t>
  </si>
  <si>
    <t>JALAN KAMPUNG BARU TOAR - GUNUNG</t>
  </si>
  <si>
    <t>JALAN SIMP. SEI. ALA - SEI. ALA</t>
  </si>
  <si>
    <t>JALAN SIMP. SEI. PINANG - TANJUNG</t>
  </si>
  <si>
    <t>JALAN SAIK - KOTO KOMBU</t>
  </si>
  <si>
    <t>JALAN MUDIK ULO - SUMPU</t>
  </si>
  <si>
    <t>JALAN MUDIK ULO - TANJUNG MEDANG</t>
  </si>
  <si>
    <t>JALAN BASERAH - PERHENTIAN LUAS</t>
  </si>
  <si>
    <t>JALAN SIMP. TERATAK BARU - TERATAK BARU</t>
  </si>
  <si>
    <t>JALAN DUSUN TUO - GUNUNG MELINTANG</t>
  </si>
  <si>
    <t>JALAN KOTO RAJO - PL. JAMBU</t>
  </si>
  <si>
    <t>JALAN PANGEAN-PULAU KUMPAI</t>
  </si>
  <si>
    <t>JALAN PANGEAN - BATAS PELALAWAN</t>
  </si>
  <si>
    <t>JALAN SAKO - TRANS SKP II</t>
  </si>
  <si>
    <t>JALAN PAUH ANGIT - PS. USANG PANGEAN</t>
  </si>
  <si>
    <t>JALAN TANAH BEKALI</t>
  </si>
  <si>
    <t xml:space="preserve">JALAN PAUH ANGIT - RAWANG BINJAI </t>
  </si>
  <si>
    <t>JALAN SIMP. RAMBAHAN - RAMBAHAN</t>
  </si>
  <si>
    <t>JALAN SUKARAJA - GIRI SAKO</t>
  </si>
  <si>
    <t>JALAN SAKO MARGA SARI - KUANTAN SAKO</t>
  </si>
  <si>
    <t>JALAN LOGAS - AIR MAS</t>
  </si>
  <si>
    <t>JALAN SIMP. HANDOYO - SUMBER DATAR</t>
  </si>
  <si>
    <t>JALAN LOGAS-SUMBER DATAR</t>
  </si>
  <si>
    <t>JALAN PASIR MAS - SAKO MARGASARI</t>
  </si>
  <si>
    <t>JALAN AIR MAS - SEI. KERANJI</t>
  </si>
  <si>
    <t>JALAN SIMP. PETAI - PABRIK PT. WANASARI</t>
  </si>
  <si>
    <t>JALAN KOTO BARU - SUKA MAJU</t>
  </si>
  <si>
    <t>JALAN SIM. 4 PT. WANASARI - DESA SUKA MAJU (ASPAL)</t>
  </si>
  <si>
    <t>JALAN SP. SEI. SIRIH - SEI. KUNING - SP. 4 PT. WANASARI</t>
  </si>
  <si>
    <t>JALAN SIMP. MUARA BAHAN - MUARA BAHAN</t>
  </si>
  <si>
    <t>JALAN BENAI - PL. LANCANG</t>
  </si>
  <si>
    <t>JALAN LEPAU GADING - PANGEAN</t>
  </si>
  <si>
    <t>JALAN SENTAJO - TERATAK AIR HITAM</t>
  </si>
  <si>
    <t>JALAN BENAI - KOTO RAJO</t>
  </si>
  <si>
    <t>JALAN SIMANDOLAK - PENYEBERANGAN TANJUNG</t>
  </si>
  <si>
    <t>JALAN GUNUNG KESIANGAN - PL. KALIMANTING</t>
  </si>
  <si>
    <t>JALAN TALONTAM - BANJAR BENAI</t>
  </si>
  <si>
    <t>JALAN KOMPE BERANGIN - KP. BARU CERENTI</t>
  </si>
  <si>
    <t>JALAN NEES II CERENTI - KOMPE BERANGIN</t>
  </si>
  <si>
    <t>JALAN SEI. PERUPUK - TELUK PAUH</t>
  </si>
  <si>
    <t>JALAN TELUK PAUH - PESIKAIAN</t>
  </si>
  <si>
    <t>JALAN SEI. PERUPUK - PULAU BAYUR</t>
  </si>
  <si>
    <t>JALAN INUMAN - PULAU BUSUK</t>
  </si>
  <si>
    <t>JALAN MENUJU AREAL PUSKESMAS KEC. GUNUNG TOAR</t>
  </si>
  <si>
    <t>JEMBATAN SEI. TIU RANGKA BAJA (BANGUNAN ATAS) (KLAS B 1 X 40 M)</t>
  </si>
  <si>
    <t>TANAH UNTUK BANGUNAN TEMPAT KERJA/JASA</t>
  </si>
  <si>
    <t>TANAH BANGUNAN PENGAIRAN</t>
  </si>
  <si>
    <t>TANAH BANGUNAN JALAN DAN JEMBATAN</t>
  </si>
  <si>
    <t>TANAH UNTUK BANGUNAN AIR</t>
  </si>
  <si>
    <t xml:space="preserve">PEMBEBASAN TANAH DAN RUMAH MASYARAKAT UNTUK PEMBUKAAN JALAN BARU </t>
  </si>
  <si>
    <t>BANDAR ALAI KARI - PINTU GOBANG KARI KEC. KUANTAN TENGAH</t>
  </si>
  <si>
    <t>TANAH UNTUK PELEBARAN JALAN DIPONEGORO TELUK KUANTAN (70 UNIT RUMAH)</t>
  </si>
  <si>
    <t>JALAN DIPONEGORO TELUK KUANTAN KELURAHAN PS. TELUK KUANTAN</t>
  </si>
  <si>
    <t>DANAU KOTO RAJO ?</t>
  </si>
  <si>
    <t>RUMBIO TALUK</t>
  </si>
  <si>
    <t>SENTAJO II</t>
  </si>
  <si>
    <t>RAWA SAWAH</t>
  </si>
  <si>
    <t>RAWANG UDANG</t>
  </si>
  <si>
    <t>TANAH DI BAWAH TURAP PENAHAN TEBING SUNGAI KUANTAN ARENA PACU JALUR TEPIAN NAROSA  TELUK KUANTAN</t>
  </si>
  <si>
    <t>TANAH DI BAWAH TURAP PENAHAN TEBING SUNGAI GEMURUH KOTO TALUK</t>
  </si>
  <si>
    <t>TANAH DI BAWAH TURAP TRIBUN PL. GODANG KARI</t>
  </si>
  <si>
    <t>TANAH DI BAWAH TURAP PENAHAN TEBING SUNGAI KUANTAN DUSUN BETUNG SEBERANG PL. ARO</t>
  </si>
  <si>
    <t>TANAH DI BAWAH TANGGUL TUNAS TABOBAK BANDAR ALAI</t>
  </si>
  <si>
    <t>TANAH DI BAWAH TALUD SEI SINAMBEK ARAH KARI</t>
  </si>
  <si>
    <t>TANAH DI BAWAH TALUD/ LOANING SEI LILISAN KOTO TALUK</t>
  </si>
  <si>
    <t xml:space="preserve">TANAH DI BAWAH  TALUD/ LOANING SEI JAKE </t>
  </si>
  <si>
    <t>TANAH DI BAWAH  LOANING SEI. JERING KEL. SIMPANG TIGA</t>
  </si>
  <si>
    <t>TANAH DI BAWAH  LOANING SEI. JAO, KEL. SIMPANG TIGA</t>
  </si>
  <si>
    <t>TANAH DI BAWAH BRONJONG SEI. SINAMBEK (MESJID RAYA)</t>
  </si>
  <si>
    <t xml:space="preserve">TANAH DI BAWAH BRONJONG SEI. PIK UDANG BELAKANG SMK KARI </t>
  </si>
  <si>
    <t>TANAH DI BAWAH BRONJONG SEI. BAROMBAN PL. GODANG KARI</t>
  </si>
  <si>
    <t>TANAH DI BAWAH BRONJONG SUNGAI JERING KEL. SIMPANG TIGA</t>
  </si>
  <si>
    <t>KECAMATAN KUANTAN TENGAH</t>
  </si>
  <si>
    <t>TANAH UNTUK BANGUNAN PENGAMAN SUNGAI DAN PENANGGULANGAN BENCANA ALAM</t>
  </si>
  <si>
    <t>TANAH DI BAWAH  DRAINASE TUGU CERANO SEI SINAMBEK</t>
  </si>
  <si>
    <t>TANAH DI BAWAH  DRAINASE SEI JERING BELAKANG BALAI ADAT</t>
  </si>
  <si>
    <t>TANAH DI BAWAH  DRAINASE SEI SINAMBEK TUGU CERANO</t>
  </si>
  <si>
    <t>TANAH DI BAWAH  DRAINASE SEI SINAMBEK (SMK 3 TELUK KUANTAN)</t>
  </si>
  <si>
    <t>TANAH DI BAWAH  DRAINASE KELURAHAN SIMPANG TIGA</t>
  </si>
  <si>
    <t>TANAH DI BAWAH  DRAINASE DARI EMBUNG PEMDA KE SUNGAI SINAMBEK</t>
  </si>
  <si>
    <t>TANAH DI BAWAH TRIBUN BENAI</t>
  </si>
  <si>
    <t>KECAMATAN BENAI</t>
  </si>
  <si>
    <t>TANAH DI BAWAH TURAP PENAHAN TEBING SUNGAI KUANTAN BABU</t>
  </si>
  <si>
    <t>TANAH DI BAWAH TURAP TRIBUN PULAU KOMANG SENTAJO</t>
  </si>
  <si>
    <t>TANAH DI BAWAH TURAP TANGGA BATU PL. KOMANG SENTAJO</t>
  </si>
  <si>
    <t>TANAH DI BAWAH TALUD/ LOANING  SEI SINAMBEK HILIR MUARO SENTAJO</t>
  </si>
  <si>
    <t>TANAH DI BAWAH TALUD/ LOANING  SEI MARIMBUNGAN KOTO SENTAJO</t>
  </si>
  <si>
    <t>TANAH DI BAWAH BRONJONG / TALUD SEI GERINGGING BARU</t>
  </si>
  <si>
    <t>TANAH DI BAWAH BRONJONG SUNGAI MAKAM DESA LANGSAT HULU</t>
  </si>
  <si>
    <t>KECAMATAN SENTAJO RAYA</t>
  </si>
  <si>
    <t>TANAH DI BAWAH LOANING DRAINASE SUNGAI GERANCI DESA GERINGGING BARU</t>
  </si>
  <si>
    <t>TANAH DI BAWAH LOANING DRAINASE SUNGAI MARIMBUNGAN DESA KAMPUNG BARU SENTAJO</t>
  </si>
  <si>
    <t>TANAH DI BAWAH TURAP TRIBUN PANGEAN</t>
  </si>
  <si>
    <t>TANAH DI BAWAH BRONJONG SUNGAI LIBUAI PASAR BARU PANGEAN</t>
  </si>
  <si>
    <t>TANAH DI BAWAH BRONJONG SUNGAI BATANG PANGEAN</t>
  </si>
  <si>
    <t>KECAMATAN PANGEAN</t>
  </si>
  <si>
    <t>TANAH DI BAWAH TURAP PENAHANTEBING SUNGAI KUANTAN ARENA PACU JALUR TEPIAN LUBUK SOBAE BASERAH</t>
  </si>
  <si>
    <t xml:space="preserve">TANAH DI BAWAH TURAP TRIBUN BASERAH </t>
  </si>
  <si>
    <t>TANAH DI BAWAH BRONJONG KELURAHAN PASAR BARU BASERAH</t>
  </si>
  <si>
    <t>TANAH DI BAWAH TURAP SEI KUANTAN PULAU PANJANG CERENTI</t>
  </si>
  <si>
    <t>TANAH DI BAWAH TALUD/ LOANING SEI PERUPUK DESA PULAU PANJANG CERENTI</t>
  </si>
  <si>
    <t>TANAH DI BAWAH TALUD/ LOANING SUNGAI PINCURAN BETUNG KOTO CERENTI</t>
  </si>
  <si>
    <t>TANAH DI BAWAH BRONJONG SEI PERUPUK PULAU PANJANG CERENTI</t>
  </si>
  <si>
    <t>TANAH DI BAWAH DRAINASE SEI. LINGKARAN PL. PANJANG CERENTI</t>
  </si>
  <si>
    <t>TANAH DI BAWAH TRIBUN CERENTI</t>
  </si>
  <si>
    <t>KECAMATAN CERENTI</t>
  </si>
  <si>
    <t>TANAH DI BAWAH TURAP PENAHAN TEBING SEI. KUANTAN KERESEK</t>
  </si>
  <si>
    <t>TANAH DI BAWAH BRONJONG SEI. PETAPAHAN</t>
  </si>
  <si>
    <t>TANAH DI BAWAH BRONJONG SUNGAI TOAR</t>
  </si>
  <si>
    <t>TANAH DI BAWAH BRONJONG SUNGAI PETAPAHAN ARAH BENDUNG</t>
  </si>
  <si>
    <t>TANAH DI BAWAH BRONJONG PENAHAN TEBING SUNGAI TOAR</t>
  </si>
  <si>
    <t>TANAH DI BAWAH BRONJONG SUNGAI PEMETUNG DESA TOAR</t>
  </si>
  <si>
    <t>TANAH DI BAWAH TRIBUN LUBUK TERENTANG</t>
  </si>
  <si>
    <t>KECAMATAN GUNUNG TOAR</t>
  </si>
  <si>
    <t>TANAH DI BAWAH BRONJONG SEI. CONGAR</t>
  </si>
  <si>
    <t>TANAH DI BAWAH BRONJONG SEI. PATAI DESA PATAI</t>
  </si>
  <si>
    <t>TANAH DI BAWAH BRONJONG SUNGAI MANAU</t>
  </si>
  <si>
    <t>TANAH DI BAWAH BRUNJONG SUNGAI SALO CENGAR</t>
  </si>
  <si>
    <t>TANAH DI BAWAH BRONJONG SUNGAI SIMUJUR DESA KASANG</t>
  </si>
  <si>
    <t>TANAH DI BAWAH BRONJONG SUNGAI ALAHAN DESA KOTO LUBUK JAMBI</t>
  </si>
  <si>
    <t>TANAH DI BAWAH BRONJONG SEI SALO DESA SANGAU</t>
  </si>
  <si>
    <t>TANAH DI BAWAH LOANING MUARO TOMBANG</t>
  </si>
  <si>
    <t>TANAH DI BAWAH BRONJONG SEI SANGAU</t>
  </si>
  <si>
    <t>TANAH DI BAWAH DRAINASE SUNGAI MANAU</t>
  </si>
  <si>
    <t>TANAH DI BAWAH TRIBUN LUBUK JAMBI</t>
  </si>
  <si>
    <t>KECAMATAN KUANTAN MUDIK</t>
  </si>
  <si>
    <t xml:space="preserve">TANAH DI BAWAH TRIBUN SUNGAI PINANG </t>
  </si>
  <si>
    <t>TANAH DI BAWAH BRONJONG SEI LINGKUE</t>
  </si>
  <si>
    <t>KECAMATAN HULU KUANTAN</t>
  </si>
  <si>
    <t>KECAMATAN PUCUK RANTAU</t>
  </si>
  <si>
    <t>TANAH DI BAWAH TURAP PENAHAN TEBING SEI LINGGA LOGAS</t>
  </si>
  <si>
    <t>TANAH DI BAWAH TURAP PENAHAN TEBING SUNGAI MTS SINGINGI MUARA LEMBU</t>
  </si>
  <si>
    <t>TANAH DI BAWAH TALUD/ LOANING SEI LINGGA DESA LOGAS</t>
  </si>
  <si>
    <t>TANAH DI BAWAH BRONJONG SEI LOGAS</t>
  </si>
  <si>
    <t>TANAH DI BAWAH BRONJONG SEI. LARAYO DESA PANGKALAN INDARUNG</t>
  </si>
  <si>
    <t>TANAH DI BAWAH BRONJONG SUNGAI LEMBU</t>
  </si>
  <si>
    <t>TANAH DI BAWAH DRAINASE KELURAHAN MUARA LEMBU</t>
  </si>
  <si>
    <t>KECAMATAN SINGINGI</t>
  </si>
  <si>
    <t xml:space="preserve">TANAH DI BAWAH LOANING DESA TANJUNG PAUH </t>
  </si>
  <si>
    <t>TANAH DI BAWAH DRAINASE SUNGAI SUMBER JAYA</t>
  </si>
  <si>
    <t>TANAH DI BAWAH TRIBUN INUMAN</t>
  </si>
  <si>
    <t>KECAMATAN SINGINGI HILIR</t>
  </si>
  <si>
    <t>TANAH DI BAWAH BENDUNGAN GIRI SAKO</t>
  </si>
  <si>
    <t>TANAH UNTUK BANGUNAN AIR IRIGASI</t>
  </si>
  <si>
    <t>TANAH DI BAWAH CEK DAM PASONGIK DESA MUARO SENTAJO</t>
  </si>
  <si>
    <t>TANAH DI BAWAH LOANING CEK DAM MUARA LANGSAT</t>
  </si>
  <si>
    <t>TANAH DI BAWAH JARINGAN IRIGASI PULAU RUMPUT</t>
  </si>
  <si>
    <t>TANAH DI BAWAH JARINGAN IRIGASI TEBERAU PANJANG</t>
  </si>
  <si>
    <t>TANAH DI BAWAH TURAP TEBING KUANTAN KOCIAK PL. BARU KOPAH</t>
  </si>
  <si>
    <t>TANAH DI BAWAH LOANING SUNGAI NANUN DESA BERINGIN</t>
  </si>
  <si>
    <t>TANAH DI BAWAH LOANING SUNGAI JERING KEL. SUNGAI JERING</t>
  </si>
  <si>
    <t>TANAH DI BAWAH NORMALISASI SUNGAI LINTANG - SINAMBEK</t>
  </si>
  <si>
    <t>TANAH DI BAWAH PENAHAN TEBING SUNGAI MAHDULUM</t>
  </si>
  <si>
    <t>TANAH DI BAWAH SALURAN DRAINASE SUNGAI SINAMBEK (TUGU C)</t>
  </si>
  <si>
    <t>TANJ. SIMANDOLAK</t>
  </si>
  <si>
    <t>SINAMBEK</t>
  </si>
  <si>
    <t>AIR MAS</t>
  </si>
  <si>
    <t>TANAH DI BAWAH TURAP PENAHAN TEBING MESJID RAUDATUL JANAH DESA KOTO SENTAJO</t>
  </si>
  <si>
    <t>TANAH DI BAWAH LOANING DAN NORMALISASI SUNGAI JERING KELURAHAN SUNGAI JERING</t>
  </si>
  <si>
    <t>TANAH DI BAWAH LOANING SUNGAI GERINGGING DESA GERINGGING BARU</t>
  </si>
  <si>
    <t>TANAH DI BAWAH NORMALISASI SUNGAI LANGSAT DESA LANGSAT HULU</t>
  </si>
  <si>
    <t>TANAH DI BAWAH SALURAN PEMBUANG DUSUN MANCANG MANIS DESA TANJUNG SIMANDOLAK</t>
  </si>
  <si>
    <t>TANAH DI BAWAH TALUD BRONJONG SUNGAI TAPIOKA DESA LANGSAT HULU</t>
  </si>
  <si>
    <t>TANAH DI BAWAH TURAP/BRONJONG SUNGAI JERING KELURAHAN SUNGAI JERING</t>
  </si>
  <si>
    <t>TANAH DI BAWAH BOX CULVERT DAN NORMALISASI SUNGAI GERINGGING DESA TITIAN MODANG</t>
  </si>
  <si>
    <t>TANAH DI BAWAH TALUD BRONJONG DAN NORMALISASI SUNGAI BATANG PAKU DESA SEI PAKU</t>
  </si>
  <si>
    <t>TANAH DI BAWAH TALUD BRONJONG DAN NORMALISASI SUNGAI DESA SIDODADI</t>
  </si>
  <si>
    <t>TANAH DI BAWAH TURAP PENAHAN TEBING SD DESA SUNGAI PAKU</t>
  </si>
  <si>
    <t>TANAH DI BAWAH DRAINASE SEI JERING</t>
  </si>
  <si>
    <t>TANAH DI BAWAH SALURAN DRAENASE DESA SUNGAI KERANJI</t>
  </si>
  <si>
    <t>TANAH DI BAWAH SALURAN DRAENASE KELURAHAN MUARA LEMBU</t>
  </si>
  <si>
    <t>TANAH DI BAWAH SALURAN DRAENASE PASAR SUNGAI KUNING</t>
  </si>
  <si>
    <t>TANAH DI BAWAH SALURAN DRAENASE DESA SAWAH</t>
  </si>
  <si>
    <t>TANAH DI BAWAH SALURAN AREA PERSAWAHAN DESA TANJUNG SIMANDOLAK</t>
  </si>
  <si>
    <t>TANAH DI BAWAH TURAP DESA TANJUNG PAUH</t>
  </si>
  <si>
    <t>TANAH DI BAWAH BRONJONG DAN NORMALISASI SUNGAI KAYU ARO KELURAHAN MUARA LEMBU</t>
  </si>
  <si>
    <t>TANAH DI BAWAH BRONJONG DAN NORMALISASI DESA SIDODADI</t>
  </si>
  <si>
    <t>TANAH DI BAWAH BRONJONG DAN NORMALISASI SUNGAI KOLASEK DESA AIR MAS</t>
  </si>
  <si>
    <t>TANAH DI BAWAH BRONJONG DAN NORMALISASI SUNGAI KUNING</t>
  </si>
  <si>
    <t>02.03.01.03.02</t>
  </si>
  <si>
    <t>02.03.01.03.01</t>
  </si>
  <si>
    <t>02.03.01.03.03</t>
  </si>
  <si>
    <t>TANAH DI BAWAH CEK DAM DESA SUKARAJA</t>
  </si>
  <si>
    <t>AKM. PENYUSUTAN S.D 2019</t>
  </si>
  <si>
    <t>Hak Pakai</t>
  </si>
  <si>
    <t>a. Beringin Taluk</t>
  </si>
  <si>
    <t xml:space="preserve"> Ps. Baru Pangean</t>
  </si>
  <si>
    <t>DESA SAKO MARGA SARI KEC.LOGAS TANAH DARAT</t>
  </si>
  <si>
    <t>Koto Tuo</t>
  </si>
  <si>
    <t>a. Pelepasan Hak</t>
  </si>
  <si>
    <t>a. Luar Parit Desa Koto Teluk</t>
  </si>
  <si>
    <t>a. Beringin Teluk Kuantan</t>
  </si>
  <si>
    <t>Kab.Kuantan Singingi</t>
  </si>
  <si>
    <t xml:space="preserve">   Kp Medan</t>
  </si>
  <si>
    <t>Koto  Peraku</t>
  </si>
  <si>
    <t>a. Koto Lubuk Jambi</t>
  </si>
  <si>
    <t>JL. TALUK RENGAT BENAI KECIL KEC.BENAI</t>
  </si>
  <si>
    <t>Dusun Pasir Jaya Benai Kecil</t>
  </si>
  <si>
    <t>a. Kab.Kuantan Singingi</t>
  </si>
  <si>
    <t>a. Surat Keterangan</t>
  </si>
  <si>
    <t>BM 26 K</t>
  </si>
  <si>
    <t>F. KONSTRUKSI DALAM PENGERJAAN</t>
  </si>
  <si>
    <t>NO. KODE LOKASI : 12.04.06.18.01.13.00</t>
  </si>
  <si>
    <t>E. ASET TETAP LAINNYA</t>
  </si>
  <si>
    <t>PENGURUS BARANG,</t>
  </si>
  <si>
    <t>KABUPATEN KUANTAN SINGINGI,</t>
  </si>
  <si>
    <t>B. PERALATAN DAN MESIN</t>
  </si>
  <si>
    <t>A. TANAH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</si>
</sst>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_(* \(#,##0\);_(* &quot;-&quot;_);_(@_)"/>
    <numFmt numFmtId="43" formatCode="_(* #,##0.00_);_(* \(#,##0.00\);_(* &quot;-&quot;??_);_(@_)"/>
    <numFmt numFmtId="164" formatCode="_-* #,##0_-;\-* #,##0_-;_-* &quot;-&quot;_-;_-@_-"/>
    <numFmt numFmtId="165" formatCode="_-* #,##0.00_-;\-* #,##0.00_-;_-* &quot;-&quot;??_-;_-@_-"/>
    <numFmt numFmtId="166" formatCode="_(* #,##0.00_);_(* \(#,##0.00\);_(* &quot;-&quot;_);_(@_)"/>
    <numFmt numFmtId="167" formatCode="dd\-mmm\-yyyy"/>
    <numFmt numFmtId="168" formatCode="#,##0_ ;\-#,##0\ "/>
    <numFmt numFmtId="169" formatCode="#,##0;[Red]#,##0"/>
    <numFmt numFmtId="170" formatCode="_(* #,##0.0000000_);_(* \(#,##0.0000000\);_(* &quot;-&quot;??_);_(@_)"/>
    <numFmt numFmtId="171" formatCode="_(* #,##0.000_);_(* \(#,##0.000\);_(* &quot;-&quot;_);_(@_)"/>
    <numFmt numFmtId="172" formatCode="_-* #,##0_-;\-* #,##0_-;_-* &quot;-&quot;??_-;_-@_-"/>
    <numFmt numFmtId="173" formatCode="dd/mm/yyyy;@"/>
  </numFmts>
  <fonts count="61" x14ac:knownFonts="1">
    <font>
      <sz val="11"/>
      <color theme="1"/>
      <name val="Calibri"/>
      <family val="2"/>
      <charset val="1"/>
      <scheme val="minor"/>
    </font>
    <font>
      <sz val="11"/>
      <color theme="1"/>
      <name val="Calibri"/>
      <family val="2"/>
      <charset val="1"/>
      <scheme val="minor"/>
    </font>
    <font>
      <sz val="11"/>
      <color theme="1"/>
      <name val="Calibri"/>
      <family val="2"/>
      <scheme val="minor"/>
    </font>
    <font>
      <b/>
      <sz val="20"/>
      <color theme="1"/>
      <name val="Calibri"/>
      <family val="2"/>
      <scheme val="minor"/>
    </font>
    <font>
      <b/>
      <sz val="11"/>
      <color theme="1"/>
      <name val="Calibri"/>
      <family val="2"/>
      <scheme val="minor"/>
    </font>
    <font>
      <sz val="11"/>
      <color indexed="8"/>
      <name val="Calibri"/>
      <family val="2"/>
      <charset val="1"/>
    </font>
    <font>
      <sz val="10"/>
      <color theme="1"/>
      <name val="Calibri"/>
      <family val="2"/>
      <scheme val="minor"/>
    </font>
    <font>
      <sz val="11"/>
      <color rgb="FF006100"/>
      <name val="Calibri"/>
      <family val="2"/>
      <scheme val="minor"/>
    </font>
    <font>
      <sz val="11"/>
      <name val="Calibri"/>
      <family val="2"/>
      <scheme val="minor"/>
    </font>
    <font>
      <sz val="10"/>
      <name val="Calibri"/>
      <family val="2"/>
      <scheme val="minor"/>
    </font>
    <font>
      <b/>
      <u/>
      <sz val="11"/>
      <color theme="1"/>
      <name val="Calibri"/>
      <family val="2"/>
      <scheme val="minor"/>
    </font>
    <font>
      <b/>
      <sz val="10"/>
      <color theme="1"/>
      <name val="Calibri"/>
      <family val="2"/>
      <scheme val="minor"/>
    </font>
    <font>
      <b/>
      <sz val="10"/>
      <color rgb="FFFF0000"/>
      <name val="Calibri"/>
      <family val="2"/>
      <scheme val="minor"/>
    </font>
    <font>
      <b/>
      <sz val="10"/>
      <name val="Calibri"/>
      <family val="2"/>
      <scheme val="minor"/>
    </font>
    <font>
      <sz val="11"/>
      <color indexed="8"/>
      <name val="Calibri"/>
      <family val="2"/>
    </font>
    <font>
      <b/>
      <u/>
      <sz val="10"/>
      <color theme="1"/>
      <name val="Calibri"/>
      <family val="2"/>
      <scheme val="minor"/>
    </font>
    <font>
      <sz val="10"/>
      <color theme="0"/>
      <name val="Calibri"/>
      <family val="2"/>
      <scheme val="minor"/>
    </font>
    <font>
      <sz val="20"/>
      <color theme="1"/>
      <name val="Calibri"/>
      <family val="2"/>
      <scheme val="minor"/>
    </font>
    <font>
      <b/>
      <sz val="11"/>
      <name val="Calibri"/>
      <family val="2"/>
      <scheme val="minor"/>
    </font>
    <font>
      <b/>
      <sz val="9"/>
      <color theme="1"/>
      <name val="Calibri"/>
      <family val="2"/>
      <scheme val="minor"/>
    </font>
    <font>
      <sz val="10"/>
      <color theme="1"/>
      <name val="Arial"/>
      <family val="2"/>
    </font>
    <font>
      <sz val="11"/>
      <color rgb="FF000000"/>
      <name val="Calibri"/>
      <family val="2"/>
    </font>
    <font>
      <b/>
      <sz val="11"/>
      <color rgb="FF000000"/>
      <name val="Arial Narrow"/>
      <family val="2"/>
    </font>
    <font>
      <sz val="11"/>
      <color rgb="FF000000"/>
      <name val="Arial Narrow"/>
      <family val="2"/>
    </font>
    <font>
      <b/>
      <sz val="10"/>
      <color rgb="FF000000"/>
      <name val="Arial Narrow"/>
      <family val="2"/>
    </font>
    <font>
      <sz val="10"/>
      <color rgb="FF000000"/>
      <name val="Arial Narrow"/>
      <family val="2"/>
    </font>
    <font>
      <sz val="10"/>
      <color rgb="FFFF0000"/>
      <name val="Calibri"/>
      <family val="2"/>
      <scheme val="minor"/>
    </font>
    <font>
      <b/>
      <sz val="12"/>
      <color theme="1"/>
      <name val="Arial Narrow"/>
      <family val="2"/>
    </font>
    <font>
      <sz val="12"/>
      <color theme="1"/>
      <name val="Arial Narrow"/>
      <family val="2"/>
    </font>
    <font>
      <sz val="12"/>
      <color rgb="FF000000"/>
      <name val="Arial Narrow"/>
      <family val="2"/>
    </font>
    <font>
      <sz val="10"/>
      <name val="Arial"/>
      <family val="2"/>
    </font>
    <font>
      <sz val="12"/>
      <name val="Arial Narrow"/>
      <family val="2"/>
    </font>
    <font>
      <b/>
      <u/>
      <sz val="11"/>
      <name val="Calibri"/>
      <family val="2"/>
      <scheme val="minor"/>
    </font>
    <font>
      <sz val="12"/>
      <color theme="0"/>
      <name val="Arial Narrow"/>
      <family val="2"/>
    </font>
    <font>
      <b/>
      <sz val="12"/>
      <color rgb="FF000000"/>
      <name val="Arial Narrow"/>
      <family val="2"/>
    </font>
    <font>
      <b/>
      <sz val="11"/>
      <color theme="1"/>
      <name val="Tahoma"/>
      <family val="2"/>
    </font>
    <font>
      <sz val="11"/>
      <color theme="1"/>
      <name val="Tahoma"/>
      <family val="2"/>
    </font>
    <font>
      <b/>
      <sz val="20"/>
      <color theme="1"/>
      <name val="Tahoma"/>
      <family val="2"/>
    </font>
    <font>
      <sz val="20"/>
      <color theme="1"/>
      <name val="Tahoma"/>
      <family val="2"/>
    </font>
    <font>
      <b/>
      <sz val="10"/>
      <color theme="1"/>
      <name val="Tahoma"/>
      <family val="2"/>
    </font>
    <font>
      <b/>
      <sz val="10"/>
      <name val="Tahoma"/>
      <family val="2"/>
    </font>
    <font>
      <sz val="10"/>
      <color theme="1"/>
      <name val="Tahoma"/>
      <family val="2"/>
    </font>
    <font>
      <b/>
      <sz val="9"/>
      <color theme="1"/>
      <name val="Tahoma"/>
      <family val="2"/>
    </font>
    <font>
      <b/>
      <u/>
      <sz val="10"/>
      <color theme="1"/>
      <name val="Tahoma"/>
      <family val="2"/>
    </font>
    <font>
      <sz val="9"/>
      <color theme="1"/>
      <name val="Tahoma"/>
      <family val="2"/>
    </font>
    <font>
      <b/>
      <sz val="12"/>
      <color theme="1"/>
      <name val="Tahoma"/>
      <family val="2"/>
    </font>
    <font>
      <sz val="10"/>
      <color theme="0"/>
      <name val="Tahoma"/>
      <family val="2"/>
    </font>
    <font>
      <sz val="10"/>
      <color indexed="8"/>
      <name val="Tahoma"/>
      <family val="2"/>
    </font>
    <font>
      <sz val="11"/>
      <name val="Tahoma"/>
      <family val="2"/>
    </font>
    <font>
      <b/>
      <sz val="20"/>
      <color theme="1"/>
      <name val="Cambria"/>
      <family val="1"/>
    </font>
    <font>
      <sz val="11"/>
      <name val="Cambria"/>
      <family val="1"/>
    </font>
    <font>
      <sz val="11"/>
      <color theme="1"/>
      <name val="Cambria"/>
      <family val="1"/>
    </font>
    <font>
      <b/>
      <u/>
      <sz val="11"/>
      <color theme="1"/>
      <name val="Cambria"/>
      <family val="1"/>
    </font>
    <font>
      <b/>
      <sz val="11"/>
      <color theme="1"/>
      <name val="Cambria"/>
      <family val="1"/>
    </font>
    <font>
      <b/>
      <sz val="11"/>
      <name val="Cambria"/>
      <family val="1"/>
    </font>
    <font>
      <b/>
      <sz val="11"/>
      <color rgb="FFFF0000"/>
      <name val="Cambria"/>
      <family val="1"/>
    </font>
    <font>
      <sz val="11"/>
      <color indexed="8"/>
      <name val="Cambria"/>
      <family val="1"/>
    </font>
    <font>
      <sz val="11"/>
      <color theme="0"/>
      <name val="Cambria"/>
      <family val="1"/>
    </font>
    <font>
      <b/>
      <sz val="11"/>
      <color theme="0"/>
      <name val="Cambria"/>
      <family val="1"/>
    </font>
    <font>
      <b/>
      <u/>
      <sz val="11"/>
      <name val="Cambria"/>
      <family val="1"/>
    </font>
    <font>
      <b/>
      <sz val="20"/>
      <name val="Cambria"/>
      <family val="1"/>
    </font>
  </fonts>
  <fills count="17">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4"/>
        <bgColor indexed="64"/>
      </patternFill>
    </fill>
    <fill>
      <patternFill patternType="solid">
        <fgColor theme="8" tint="0.39997558519241921"/>
        <bgColor indexed="64"/>
      </patternFill>
    </fill>
    <fill>
      <patternFill patternType="solid">
        <fgColor rgb="FF92D05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bgColor indexed="64"/>
      </patternFill>
    </fill>
    <fill>
      <patternFill patternType="solid">
        <fgColor theme="4" tint="0.39997558519241921"/>
        <bgColor indexed="64"/>
      </patternFill>
    </fill>
    <fill>
      <patternFill patternType="solid">
        <fgColor rgb="FF00B0F0"/>
        <bgColor indexed="64"/>
      </patternFill>
    </fill>
    <fill>
      <patternFill patternType="solid">
        <fgColor theme="9" tint="0.39997558519241921"/>
        <bgColor indexed="64"/>
      </patternFill>
    </fill>
    <fill>
      <patternFill patternType="solid">
        <fgColor theme="5" tint="0.79998168889431442"/>
        <bgColor indexed="64"/>
      </patternFill>
    </fill>
  </fills>
  <borders count="58">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right style="thin">
        <color auto="1"/>
      </right>
      <top style="thin">
        <color auto="1"/>
      </top>
      <bottom/>
      <diagonal/>
    </border>
    <border>
      <left/>
      <right style="thin">
        <color auto="1"/>
      </right>
      <top/>
      <bottom style="thin">
        <color auto="1"/>
      </bottom>
      <diagonal/>
    </border>
    <border>
      <left/>
      <right/>
      <top/>
      <bottom style="thin">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double">
        <color auto="1"/>
      </left>
      <right style="thin">
        <color auto="1"/>
      </right>
      <top/>
      <bottom style="thin">
        <color auto="1"/>
      </bottom>
      <diagonal/>
    </border>
    <border>
      <left style="thin">
        <color auto="1"/>
      </left>
      <right style="double">
        <color auto="1"/>
      </right>
      <top/>
      <bottom style="thin">
        <color auto="1"/>
      </bottom>
      <diagonal/>
    </border>
    <border>
      <left style="double">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double">
        <color auto="1"/>
      </right>
      <top style="thin">
        <color auto="1"/>
      </top>
      <bottom style="medium">
        <color auto="1"/>
      </bottom>
      <diagonal/>
    </border>
    <border>
      <left style="medium">
        <color auto="1"/>
      </left>
      <right style="medium">
        <color auto="1"/>
      </right>
      <top/>
      <bottom/>
      <diagonal/>
    </border>
    <border>
      <left style="double">
        <color auto="1"/>
      </left>
      <right style="thin">
        <color auto="1"/>
      </right>
      <top style="thin">
        <color auto="1"/>
      </top>
      <bottom/>
      <diagonal/>
    </border>
    <border>
      <left style="thin">
        <color auto="1"/>
      </left>
      <right style="double">
        <color auto="1"/>
      </right>
      <top style="thin">
        <color auto="1"/>
      </top>
      <bottom/>
      <diagonal/>
    </border>
    <border>
      <left style="thin">
        <color auto="1"/>
      </left>
      <right style="thin">
        <color auto="1"/>
      </right>
      <top/>
      <bottom style="double">
        <color auto="1"/>
      </bottom>
      <diagonal/>
    </border>
    <border>
      <left/>
      <right/>
      <top style="thin">
        <color auto="1"/>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style="thin">
        <color auto="1"/>
      </right>
      <top/>
      <bottom style="medium">
        <color auto="1"/>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auto="1"/>
      </left>
      <right style="thin">
        <color auto="1"/>
      </right>
      <top/>
      <bottom style="hair">
        <color auto="1"/>
      </bottom>
      <diagonal/>
    </border>
    <border>
      <left style="thin">
        <color auto="1"/>
      </left>
      <right style="thin">
        <color auto="1"/>
      </right>
      <top style="hair">
        <color auto="1"/>
      </top>
      <bottom/>
      <diagonal/>
    </border>
    <border>
      <left style="thin">
        <color indexed="64"/>
      </left>
      <right style="thin">
        <color indexed="64"/>
      </right>
      <top style="double">
        <color indexed="64"/>
      </top>
      <bottom/>
      <diagonal/>
    </border>
    <border>
      <left/>
      <right style="thin">
        <color auto="1"/>
      </right>
      <top/>
      <bottom/>
      <diagonal/>
    </border>
    <border>
      <left style="double">
        <color indexed="64"/>
      </left>
      <right/>
      <top/>
      <bottom/>
      <diagonal/>
    </border>
    <border>
      <left style="thin">
        <color auto="1"/>
      </left>
      <right/>
      <top style="double">
        <color auto="1"/>
      </top>
      <bottom/>
      <diagonal/>
    </border>
    <border>
      <left/>
      <right style="thin">
        <color auto="1"/>
      </right>
      <top style="double">
        <color auto="1"/>
      </top>
      <bottom/>
      <diagonal/>
    </border>
    <border>
      <left style="thin">
        <color auto="1"/>
      </left>
      <right/>
      <top/>
      <bottom style="double">
        <color auto="1"/>
      </bottom>
      <diagonal/>
    </border>
    <border>
      <left/>
      <right style="thin">
        <color auto="1"/>
      </right>
      <top/>
      <bottom style="double">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double">
        <color indexed="64"/>
      </bottom>
      <diagonal/>
    </border>
    <border>
      <left style="thin">
        <color auto="1"/>
      </left>
      <right style="thin">
        <color auto="1"/>
      </right>
      <top style="medium">
        <color auto="1"/>
      </top>
      <bottom style="double">
        <color indexed="64"/>
      </bottom>
      <diagonal/>
    </border>
    <border>
      <left style="thin">
        <color auto="1"/>
      </left>
      <right style="medium">
        <color auto="1"/>
      </right>
      <top style="medium">
        <color auto="1"/>
      </top>
      <bottom style="double">
        <color indexed="64"/>
      </bottom>
      <diagonal/>
    </border>
    <border>
      <left style="thin">
        <color auto="1"/>
      </left>
      <right/>
      <top style="hair">
        <color auto="1"/>
      </top>
      <bottom style="hair">
        <color auto="1"/>
      </bottom>
      <diagonal/>
    </border>
  </borders>
  <cellStyleXfs count="23">
    <xf numFmtId="0" fontId="0" fillId="0" borderId="0"/>
    <xf numFmtId="41" fontId="1" fillId="0" borderId="0" applyFont="0" applyFill="0" applyBorder="0" applyAlignment="0" applyProtection="0"/>
    <xf numFmtId="0" fontId="2" fillId="0" borderId="0"/>
    <xf numFmtId="43" fontId="2" fillId="0" borderId="0" applyFont="0" applyFill="0" applyBorder="0" applyAlignment="0" applyProtection="0"/>
    <xf numFmtId="0" fontId="5" fillId="0" borderId="0"/>
    <xf numFmtId="0" fontId="7" fillId="2" borderId="0" applyNumberFormat="0" applyBorder="0" applyAlignment="0" applyProtection="0"/>
    <xf numFmtId="41" fontId="2" fillId="0" borderId="0" applyFont="0" applyFill="0" applyBorder="0" applyAlignment="0" applyProtection="0"/>
    <xf numFmtId="41" fontId="1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21" fillId="0" borderId="0"/>
    <xf numFmtId="43" fontId="2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2" fillId="0" borderId="0"/>
    <xf numFmtId="41" fontId="1" fillId="0" borderId="0" applyFont="0" applyFill="0" applyBorder="0" applyAlignment="0" applyProtection="0"/>
    <xf numFmtId="0" fontId="30"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2076">
    <xf numFmtId="0" fontId="0" fillId="0" borderId="0" xfId="0"/>
    <xf numFmtId="0" fontId="2" fillId="0" borderId="0" xfId="2" applyFill="1"/>
    <xf numFmtId="0" fontId="2" fillId="0" borderId="0" xfId="2"/>
    <xf numFmtId="0" fontId="2" fillId="0" borderId="0" xfId="2" applyFill="1" applyBorder="1"/>
    <xf numFmtId="0" fontId="2" fillId="0" borderId="7" xfId="2" applyFill="1" applyBorder="1" applyAlignment="1">
      <alignment horizontal="center" wrapText="1"/>
    </xf>
    <xf numFmtId="0" fontId="2" fillId="0" borderId="7" xfId="2" applyFill="1" applyBorder="1" applyAlignment="1">
      <alignment horizontal="center"/>
    </xf>
    <xf numFmtId="0" fontId="6" fillId="0" borderId="7" xfId="4" applyFont="1" applyFill="1" applyBorder="1" applyAlignment="1">
      <alignment horizontal="center" vertical="center"/>
    </xf>
    <xf numFmtId="0" fontId="2" fillId="0" borderId="7" xfId="2" applyFont="1" applyFill="1" applyBorder="1" applyAlignment="1">
      <alignment horizontal="center" vertical="center"/>
    </xf>
    <xf numFmtId="0" fontId="2" fillId="0" borderId="7" xfId="2" applyFill="1" applyBorder="1"/>
    <xf numFmtId="0" fontId="2" fillId="0" borderId="0" xfId="2" applyFont="1" applyFill="1" applyAlignment="1"/>
    <xf numFmtId="0" fontId="2" fillId="0" borderId="0" xfId="2" applyFill="1" applyAlignment="1"/>
    <xf numFmtId="41" fontId="0" fillId="0" borderId="0" xfId="6" applyFont="1"/>
    <xf numFmtId="0" fontId="11" fillId="0" borderId="0" xfId="2" applyFont="1" applyFill="1"/>
    <xf numFmtId="0" fontId="11" fillId="0" borderId="0" xfId="2" applyFont="1" applyFill="1" applyAlignment="1">
      <alignment horizontal="center"/>
    </xf>
    <xf numFmtId="0" fontId="6" fillId="0" borderId="3" xfId="4" applyFont="1" applyFill="1" applyBorder="1" applyAlignment="1">
      <alignment horizontal="center" vertical="center"/>
    </xf>
    <xf numFmtId="0" fontId="2" fillId="0" borderId="3" xfId="2" applyFill="1" applyBorder="1"/>
    <xf numFmtId="0" fontId="6" fillId="0" borderId="7" xfId="2" applyFont="1" applyFill="1" applyBorder="1"/>
    <xf numFmtId="0" fontId="6" fillId="0" borderId="0" xfId="2" applyFont="1"/>
    <xf numFmtId="0" fontId="6" fillId="0" borderId="0" xfId="2" applyFont="1" applyFill="1"/>
    <xf numFmtId="0" fontId="6" fillId="0" borderId="0" xfId="2" applyFont="1" applyFill="1" applyAlignment="1"/>
    <xf numFmtId="0" fontId="13" fillId="0" borderId="7" xfId="4" applyFont="1" applyFill="1" applyBorder="1" applyAlignment="1">
      <alignment horizontal="center" vertical="center"/>
    </xf>
    <xf numFmtId="0" fontId="11" fillId="0" borderId="11" xfId="2" applyFont="1" applyFill="1" applyBorder="1" applyAlignment="1"/>
    <xf numFmtId="0" fontId="11" fillId="0" borderId="11" xfId="2" applyFont="1" applyFill="1" applyBorder="1" applyAlignment="1">
      <alignment horizontal="center"/>
    </xf>
    <xf numFmtId="0" fontId="11" fillId="0" borderId="11" xfId="2" applyFont="1" applyFill="1" applyBorder="1" applyAlignment="1">
      <alignment horizontal="left"/>
    </xf>
    <xf numFmtId="0" fontId="3" fillId="0" borderId="0" xfId="2" applyFont="1" applyFill="1" applyAlignment="1">
      <alignment horizontal="left"/>
    </xf>
    <xf numFmtId="0" fontId="11" fillId="0" borderId="7" xfId="2" applyFont="1" applyFill="1" applyBorder="1" applyAlignment="1">
      <alignment horizontal="left" vertical="center"/>
    </xf>
    <xf numFmtId="0" fontId="6" fillId="0" borderId="1" xfId="2" applyFont="1" applyFill="1" applyBorder="1" applyAlignment="1">
      <alignment horizontal="left" vertical="center"/>
    </xf>
    <xf numFmtId="0" fontId="6" fillId="0" borderId="5" xfId="2" applyNumberFormat="1" applyFont="1" applyFill="1" applyBorder="1" applyAlignment="1">
      <alignment vertical="top" wrapText="1"/>
    </xf>
    <xf numFmtId="166" fontId="2" fillId="0" borderId="0" xfId="2" applyNumberFormat="1" applyFill="1"/>
    <xf numFmtId="41" fontId="0" fillId="0" borderId="0" xfId="6" applyFont="1" applyFill="1"/>
    <xf numFmtId="0" fontId="6" fillId="0" borderId="1" xfId="2" applyFont="1" applyFill="1" applyBorder="1" applyAlignment="1">
      <alignment horizontal="center" vertical="center"/>
    </xf>
    <xf numFmtId="0" fontId="11" fillId="0" borderId="6" xfId="2" applyFont="1" applyFill="1" applyBorder="1" applyAlignment="1">
      <alignment horizontal="center" vertical="center"/>
    </xf>
    <xf numFmtId="0" fontId="6" fillId="0" borderId="7" xfId="2" applyFont="1" applyFill="1" applyBorder="1" applyAlignment="1">
      <alignment horizontal="center" vertical="center" wrapText="1"/>
    </xf>
    <xf numFmtId="0" fontId="6" fillId="0" borderId="7" xfId="2" applyFont="1" applyFill="1" applyBorder="1" applyAlignment="1">
      <alignment horizontal="center" vertical="center"/>
    </xf>
    <xf numFmtId="0" fontId="4" fillId="0" borderId="20" xfId="4" applyFont="1" applyFill="1" applyBorder="1" applyAlignment="1">
      <alignment horizontal="center" vertical="center"/>
    </xf>
    <xf numFmtId="0" fontId="4" fillId="0" borderId="6" xfId="0" applyFont="1" applyFill="1" applyBorder="1" applyAlignment="1">
      <alignment horizontal="center" vertical="center"/>
    </xf>
    <xf numFmtId="0" fontId="4" fillId="0" borderId="6" xfId="4" applyFont="1" applyFill="1" applyBorder="1" applyAlignment="1">
      <alignment horizontal="center" vertical="center"/>
    </xf>
    <xf numFmtId="0" fontId="4" fillId="0" borderId="6" xfId="0" applyFont="1" applyFill="1" applyBorder="1" applyAlignment="1">
      <alignment horizontal="center" vertical="center" wrapText="1"/>
    </xf>
    <xf numFmtId="0" fontId="4" fillId="0" borderId="21" xfId="4" applyFont="1" applyFill="1" applyBorder="1" applyAlignment="1">
      <alignment horizontal="center" vertical="center"/>
    </xf>
    <xf numFmtId="0" fontId="6" fillId="0" borderId="3" xfId="2" applyFont="1" applyFill="1" applyBorder="1" applyAlignment="1">
      <alignment vertical="center"/>
    </xf>
    <xf numFmtId="0" fontId="6" fillId="0" borderId="7" xfId="2" applyFont="1" applyFill="1" applyBorder="1" applyAlignment="1">
      <alignment vertical="center"/>
    </xf>
    <xf numFmtId="0" fontId="2" fillId="0" borderId="0" xfId="2" applyAlignment="1">
      <alignment vertical="center"/>
    </xf>
    <xf numFmtId="41" fontId="0" fillId="0" borderId="0" xfId="6" applyFont="1" applyAlignment="1">
      <alignment vertical="center"/>
    </xf>
    <xf numFmtId="0" fontId="4" fillId="0" borderId="3" xfId="2" applyFont="1" applyFill="1" applyBorder="1" applyAlignment="1">
      <alignment vertical="center"/>
    </xf>
    <xf numFmtId="0" fontId="4" fillId="0" borderId="7" xfId="2" applyFont="1" applyFill="1" applyBorder="1" applyAlignment="1">
      <alignment vertical="center"/>
    </xf>
    <xf numFmtId="0" fontId="4" fillId="0" borderId="0" xfId="2" applyFont="1" applyAlignment="1">
      <alignment vertical="center"/>
    </xf>
    <xf numFmtId="0" fontId="2" fillId="0" borderId="3" xfId="2" applyFill="1" applyBorder="1" applyAlignment="1">
      <alignment vertical="center"/>
    </xf>
    <xf numFmtId="0" fontId="2" fillId="0" borderId="7" xfId="2" applyFill="1" applyBorder="1" applyAlignment="1">
      <alignment vertical="center"/>
    </xf>
    <xf numFmtId="0" fontId="2" fillId="0" borderId="0" xfId="2" applyFill="1" applyAlignment="1">
      <alignment vertical="center"/>
    </xf>
    <xf numFmtId="0" fontId="2" fillId="0" borderId="0" xfId="2" applyAlignment="1">
      <alignment horizontal="center" vertical="center"/>
    </xf>
    <xf numFmtId="0" fontId="4" fillId="0" borderId="15" xfId="4" applyFont="1" applyFill="1" applyBorder="1" applyAlignment="1">
      <alignment horizontal="center" vertical="center"/>
    </xf>
    <xf numFmtId="0" fontId="4" fillId="0" borderId="7" xfId="4" applyFont="1" applyFill="1" applyBorder="1" applyAlignment="1">
      <alignment horizontal="center" vertical="center"/>
    </xf>
    <xf numFmtId="0" fontId="4" fillId="0" borderId="16" xfId="4" applyFont="1" applyFill="1" applyBorder="1" applyAlignment="1">
      <alignment horizontal="center" vertical="center"/>
    </xf>
    <xf numFmtId="0" fontId="6" fillId="0" borderId="15" xfId="2" applyFont="1" applyFill="1" applyBorder="1" applyAlignment="1">
      <alignment horizontal="left" vertical="center"/>
    </xf>
    <xf numFmtId="0" fontId="11" fillId="0" borderId="7" xfId="2" applyFont="1" applyFill="1" applyBorder="1" applyAlignment="1">
      <alignment horizontal="left" wrapText="1"/>
    </xf>
    <xf numFmtId="0" fontId="6" fillId="0" borderId="7" xfId="2" applyFont="1" applyFill="1" applyBorder="1" applyAlignment="1">
      <alignment horizontal="center"/>
    </xf>
    <xf numFmtId="43" fontId="12" fillId="0" borderId="7" xfId="2" applyNumberFormat="1" applyFont="1" applyFill="1" applyBorder="1"/>
    <xf numFmtId="0" fontId="6" fillId="0" borderId="16" xfId="2" applyFont="1" applyFill="1" applyBorder="1" applyAlignment="1">
      <alignment horizontal="center"/>
    </xf>
    <xf numFmtId="0" fontId="11" fillId="0" borderId="15" xfId="2" applyFont="1" applyFill="1" applyBorder="1" applyAlignment="1">
      <alignment horizontal="left" vertical="center"/>
    </xf>
    <xf numFmtId="0" fontId="11" fillId="0" borderId="7" xfId="2" applyFont="1" applyFill="1" applyBorder="1" applyAlignment="1">
      <alignment horizontal="left" vertical="center" wrapText="1"/>
    </xf>
    <xf numFmtId="43" fontId="13" fillId="0" borderId="7" xfId="2" applyNumberFormat="1" applyFont="1" applyFill="1" applyBorder="1" applyAlignment="1">
      <alignment vertical="center"/>
    </xf>
    <xf numFmtId="0" fontId="6" fillId="0" borderId="16" xfId="2" applyFont="1" applyFill="1" applyBorder="1" applyAlignment="1">
      <alignment horizontal="center" vertical="center"/>
    </xf>
    <xf numFmtId="0" fontId="12" fillId="0" borderId="7" xfId="2" applyFont="1" applyFill="1" applyBorder="1" applyAlignment="1">
      <alignment vertical="center"/>
    </xf>
    <xf numFmtId="0" fontId="11" fillId="0" borderId="7" xfId="2" applyFont="1" applyFill="1" applyBorder="1" applyAlignment="1">
      <alignment vertical="center"/>
    </xf>
    <xf numFmtId="166" fontId="11" fillId="0" borderId="7" xfId="2" applyNumberFormat="1" applyFont="1" applyFill="1" applyBorder="1" applyAlignment="1">
      <alignment vertical="center"/>
    </xf>
    <xf numFmtId="0" fontId="6" fillId="0" borderId="7" xfId="2" applyFont="1" applyFill="1" applyBorder="1" applyAlignment="1">
      <alignment horizontal="left" vertical="center" wrapText="1"/>
    </xf>
    <xf numFmtId="0" fontId="6" fillId="0" borderId="7" xfId="2" quotePrefix="1" applyFont="1" applyFill="1" applyBorder="1" applyAlignment="1">
      <alignment horizontal="center" vertical="center" wrapText="1"/>
    </xf>
    <xf numFmtId="0" fontId="6" fillId="0" borderId="7" xfId="2" applyFont="1" applyFill="1" applyBorder="1" applyAlignment="1">
      <alignment vertical="center" wrapText="1"/>
    </xf>
    <xf numFmtId="166" fontId="6" fillId="0" borderId="7" xfId="6" applyNumberFormat="1" applyFont="1" applyFill="1" applyBorder="1" applyAlignment="1">
      <alignment vertical="center" wrapText="1"/>
    </xf>
    <xf numFmtId="0" fontId="6" fillId="0" borderId="15" xfId="2" applyFont="1" applyBorder="1" applyAlignment="1">
      <alignment vertical="center"/>
    </xf>
    <xf numFmtId="0" fontId="6" fillId="0" borderId="7" xfId="2" applyFont="1" applyBorder="1" applyAlignment="1">
      <alignment vertical="center"/>
    </xf>
    <xf numFmtId="41" fontId="6" fillId="0" borderId="7" xfId="6" applyFont="1" applyFill="1" applyBorder="1" applyAlignment="1">
      <alignment vertical="center" wrapText="1"/>
    </xf>
    <xf numFmtId="0" fontId="6" fillId="0" borderId="7" xfId="2" applyFont="1" applyFill="1" applyBorder="1" applyAlignment="1">
      <alignment horizontal="left" vertical="center"/>
    </xf>
    <xf numFmtId="0" fontId="6" fillId="0" borderId="15" xfId="2" applyFont="1" applyFill="1" applyBorder="1" applyAlignment="1">
      <alignment vertical="center"/>
    </xf>
    <xf numFmtId="0" fontId="6" fillId="0" borderId="16" xfId="2" applyFont="1" applyBorder="1" applyAlignment="1">
      <alignment vertical="center"/>
    </xf>
    <xf numFmtId="0" fontId="11" fillId="0" borderId="7" xfId="2" applyFont="1" applyBorder="1" applyAlignment="1">
      <alignment vertical="center"/>
    </xf>
    <xf numFmtId="0" fontId="11" fillId="0" borderId="16" xfId="2" applyFont="1" applyBorder="1" applyAlignment="1">
      <alignment vertical="center"/>
    </xf>
    <xf numFmtId="0" fontId="9" fillId="0" borderId="7" xfId="2" applyFont="1" applyFill="1" applyBorder="1" applyAlignment="1">
      <alignment horizontal="left" vertical="center"/>
    </xf>
    <xf numFmtId="41" fontId="9" fillId="0" borderId="7" xfId="7" applyFont="1" applyFill="1" applyBorder="1" applyAlignment="1">
      <alignment horizontal="left" vertical="center" wrapText="1"/>
    </xf>
    <xf numFmtId="0" fontId="9" fillId="0" borderId="7" xfId="2" quotePrefix="1" applyFont="1" applyFill="1" applyBorder="1" applyAlignment="1">
      <alignment horizontal="left" vertical="center"/>
    </xf>
    <xf numFmtId="0" fontId="11" fillId="0" borderId="15" xfId="2" applyFont="1" applyFill="1" applyBorder="1" applyAlignment="1">
      <alignment horizontal="center" vertical="center" wrapText="1"/>
    </xf>
    <xf numFmtId="0" fontId="6" fillId="0" borderId="7" xfId="2" quotePrefix="1" applyFont="1" applyFill="1" applyBorder="1" applyAlignment="1">
      <alignment vertical="center"/>
    </xf>
    <xf numFmtId="0" fontId="6" fillId="0" borderId="7" xfId="2" applyFont="1" applyBorder="1" applyAlignment="1">
      <alignment horizontal="center" vertical="center"/>
    </xf>
    <xf numFmtId="0" fontId="6" fillId="0" borderId="7" xfId="2" quotePrefix="1" applyFont="1" applyFill="1" applyBorder="1" applyAlignment="1">
      <alignment horizontal="center" vertical="center"/>
    </xf>
    <xf numFmtId="0" fontId="6" fillId="0" borderId="7" xfId="2" quotePrefix="1" applyFont="1" applyBorder="1" applyAlignment="1">
      <alignment vertical="center"/>
    </xf>
    <xf numFmtId="0" fontId="6" fillId="0" borderId="7" xfId="2" quotePrefix="1" applyFont="1" applyBorder="1" applyAlignment="1">
      <alignment horizontal="center" vertical="center"/>
    </xf>
    <xf numFmtId="0" fontId="11" fillId="0" borderId="15" xfId="2" applyFont="1" applyBorder="1" applyAlignment="1">
      <alignment vertical="center"/>
    </xf>
    <xf numFmtId="0" fontId="6" fillId="0" borderId="22" xfId="2" applyFont="1" applyBorder="1" applyAlignment="1">
      <alignment vertical="center"/>
    </xf>
    <xf numFmtId="0" fontId="6" fillId="0" borderId="23" xfId="2" applyFont="1" applyBorder="1" applyAlignment="1">
      <alignment vertical="center"/>
    </xf>
    <xf numFmtId="0" fontId="6" fillId="0" borderId="24" xfId="2" applyFont="1" applyBorder="1" applyAlignment="1">
      <alignment vertical="center"/>
    </xf>
    <xf numFmtId="0" fontId="13" fillId="0" borderId="20" xfId="4" applyFont="1" applyFill="1" applyBorder="1" applyAlignment="1">
      <alignment horizontal="center" vertical="center"/>
    </xf>
    <xf numFmtId="0" fontId="13" fillId="0" borderId="6" xfId="4" applyFont="1" applyFill="1" applyBorder="1" applyAlignment="1">
      <alignment horizontal="center" vertical="center"/>
    </xf>
    <xf numFmtId="0" fontId="13" fillId="0" borderId="6" xfId="0" applyFont="1" applyFill="1" applyBorder="1" applyAlignment="1">
      <alignment horizontal="center" vertical="center"/>
    </xf>
    <xf numFmtId="0" fontId="13" fillId="0" borderId="21" xfId="4" applyFont="1" applyFill="1" applyBorder="1" applyAlignment="1">
      <alignment horizontal="center" vertical="center"/>
    </xf>
    <xf numFmtId="0" fontId="13" fillId="0" borderId="15" xfId="4" applyFont="1" applyFill="1" applyBorder="1" applyAlignment="1">
      <alignment horizontal="center" vertical="center"/>
    </xf>
    <xf numFmtId="0" fontId="13" fillId="0" borderId="16" xfId="4" applyFont="1" applyFill="1" applyBorder="1" applyAlignment="1">
      <alignment horizontal="center" vertical="center"/>
    </xf>
    <xf numFmtId="0" fontId="11" fillId="0" borderId="7" xfId="2" applyFont="1" applyFill="1" applyBorder="1" applyAlignment="1">
      <alignment vertical="center" wrapText="1"/>
    </xf>
    <xf numFmtId="0" fontId="13" fillId="0" borderId="7" xfId="2" applyFont="1" applyFill="1" applyBorder="1" applyAlignment="1">
      <alignment vertical="center" wrapText="1"/>
    </xf>
    <xf numFmtId="0" fontId="13" fillId="0" borderId="7" xfId="2" applyFont="1" applyFill="1" applyBorder="1" applyAlignment="1">
      <alignment vertical="center"/>
    </xf>
    <xf numFmtId="0" fontId="13" fillId="0" borderId="7" xfId="2" applyFont="1" applyFill="1" applyBorder="1" applyAlignment="1">
      <alignment horizontal="left" vertical="center"/>
    </xf>
    <xf numFmtId="0" fontId="13" fillId="0" borderId="16" xfId="2" applyFont="1" applyFill="1" applyBorder="1" applyAlignment="1">
      <alignment vertical="center"/>
    </xf>
    <xf numFmtId="0" fontId="11" fillId="0" borderId="16" xfId="2" applyFont="1" applyFill="1" applyBorder="1" applyAlignment="1">
      <alignment vertical="center"/>
    </xf>
    <xf numFmtId="0" fontId="6" fillId="0" borderId="7" xfId="2" applyFont="1" applyFill="1" applyBorder="1" applyAlignment="1" applyProtection="1">
      <alignment horizontal="left" vertical="center" wrapText="1"/>
    </xf>
    <xf numFmtId="0" fontId="6" fillId="0" borderId="7" xfId="2" applyFont="1" applyFill="1" applyBorder="1" applyAlignment="1" applyProtection="1">
      <alignment horizontal="center" vertical="center" wrapText="1"/>
    </xf>
    <xf numFmtId="1" fontId="6" fillId="0" borderId="7" xfId="2" applyNumberFormat="1" applyFont="1" applyFill="1" applyBorder="1" applyAlignment="1" applyProtection="1">
      <alignment horizontal="center" vertical="center" wrapText="1"/>
    </xf>
    <xf numFmtId="0" fontId="16" fillId="0" borderId="16" xfId="2" applyFont="1" applyFill="1" applyBorder="1" applyAlignment="1">
      <alignment horizontal="left" vertical="center"/>
    </xf>
    <xf numFmtId="41" fontId="11" fillId="0" borderId="7" xfId="2" applyNumberFormat="1" applyFont="1" applyFill="1" applyBorder="1" applyAlignment="1">
      <alignment vertical="center"/>
    </xf>
    <xf numFmtId="0" fontId="6" fillId="0" borderId="22" xfId="2" applyFont="1" applyFill="1" applyBorder="1" applyAlignment="1">
      <alignment vertical="center"/>
    </xf>
    <xf numFmtId="0" fontId="6" fillId="0" borderId="23" xfId="2" applyFont="1" applyFill="1" applyBorder="1" applyAlignment="1">
      <alignment horizontal="left" vertical="center" wrapText="1"/>
    </xf>
    <xf numFmtId="0" fontId="6" fillId="0" borderId="23" xfId="2" applyFont="1" applyFill="1" applyBorder="1" applyAlignment="1">
      <alignment vertical="center" wrapText="1"/>
    </xf>
    <xf numFmtId="0" fontId="6" fillId="0" borderId="23" xfId="2" applyFont="1" applyFill="1" applyBorder="1" applyAlignment="1">
      <alignment vertical="center"/>
    </xf>
    <xf numFmtId="0" fontId="6" fillId="0" borderId="23" xfId="2" applyFont="1" applyFill="1" applyBorder="1" applyAlignment="1">
      <alignment horizontal="center" vertical="center"/>
    </xf>
    <xf numFmtId="0" fontId="6" fillId="0" borderId="23" xfId="2" applyFont="1" applyFill="1" applyBorder="1" applyAlignment="1">
      <alignment horizontal="center" vertical="center" wrapText="1"/>
    </xf>
    <xf numFmtId="41" fontId="6" fillId="0" borderId="23" xfId="6" applyFont="1" applyFill="1" applyBorder="1" applyAlignment="1">
      <alignment vertical="center" wrapText="1"/>
    </xf>
    <xf numFmtId="0" fontId="6" fillId="0" borderId="24" xfId="2" applyFont="1" applyFill="1" applyBorder="1" applyAlignment="1">
      <alignment horizontal="center" vertical="center"/>
    </xf>
    <xf numFmtId="166" fontId="6" fillId="0" borderId="0" xfId="6" applyNumberFormat="1" applyFont="1" applyFill="1" applyAlignment="1">
      <alignment vertical="center"/>
    </xf>
    <xf numFmtId="0" fontId="6" fillId="0" borderId="0" xfId="2" applyFont="1" applyFill="1" applyAlignment="1">
      <alignment vertical="center"/>
    </xf>
    <xf numFmtId="43" fontId="11" fillId="0" borderId="0" xfId="2" applyNumberFormat="1" applyFont="1" applyFill="1" applyAlignment="1">
      <alignment vertical="center"/>
    </xf>
    <xf numFmtId="166" fontId="11" fillId="0" borderId="0" xfId="6" applyNumberFormat="1" applyFont="1" applyFill="1" applyAlignment="1">
      <alignment vertical="center"/>
    </xf>
    <xf numFmtId="0" fontId="11" fillId="0" borderId="0" xfId="2" applyFont="1" applyFill="1" applyAlignment="1">
      <alignment vertical="center"/>
    </xf>
    <xf numFmtId="0" fontId="6" fillId="0" borderId="0" xfId="2" applyFont="1" applyFill="1" applyAlignment="1">
      <alignment vertical="center" wrapText="1"/>
    </xf>
    <xf numFmtId="0" fontId="11" fillId="0" borderId="0" xfId="2" applyFont="1" applyFill="1" applyAlignment="1">
      <alignment vertical="center" wrapText="1"/>
    </xf>
    <xf numFmtId="0" fontId="3" fillId="0" borderId="0" xfId="2" applyFont="1" applyFill="1" applyBorder="1" applyAlignment="1"/>
    <xf numFmtId="0" fontId="3" fillId="0" borderId="0" xfId="2" applyFont="1" applyFill="1" applyBorder="1" applyAlignment="1">
      <alignment horizontal="center"/>
    </xf>
    <xf numFmtId="0" fontId="3" fillId="0" borderId="0" xfId="2" applyFont="1" applyFill="1" applyBorder="1" applyAlignment="1">
      <alignment horizontal="left"/>
    </xf>
    <xf numFmtId="0" fontId="6" fillId="0" borderId="7" xfId="2" applyFont="1" applyFill="1" applyBorder="1" applyAlignment="1">
      <alignment horizontal="left"/>
    </xf>
    <xf numFmtId="0" fontId="6" fillId="0" borderId="16" xfId="2" applyFont="1" applyFill="1" applyBorder="1"/>
    <xf numFmtId="0" fontId="6" fillId="0" borderId="16" xfId="2" applyFont="1" applyFill="1" applyBorder="1" applyAlignment="1">
      <alignment vertical="center"/>
    </xf>
    <xf numFmtId="41" fontId="6" fillId="0" borderId="7" xfId="6" applyFont="1" applyFill="1" applyBorder="1" applyAlignment="1">
      <alignment horizontal="left" vertical="center" wrapText="1"/>
    </xf>
    <xf numFmtId="166" fontId="2" fillId="0" borderId="7" xfId="1" applyNumberFormat="1" applyFont="1" applyFill="1" applyBorder="1" applyAlignment="1">
      <alignment vertical="center"/>
    </xf>
    <xf numFmtId="0" fontId="6" fillId="0" borderId="15" xfId="2" applyFont="1" applyFill="1" applyBorder="1" applyAlignment="1">
      <alignment vertical="center" wrapText="1"/>
    </xf>
    <xf numFmtId="0" fontId="6" fillId="0" borderId="7" xfId="2" quotePrefix="1" applyFont="1" applyFill="1" applyBorder="1" applyAlignment="1">
      <alignment horizontal="left" vertical="center" wrapText="1"/>
    </xf>
    <xf numFmtId="0" fontId="6" fillId="0" borderId="16" xfId="2" applyFont="1" applyFill="1" applyBorder="1" applyAlignment="1">
      <alignment vertical="center" wrapText="1"/>
    </xf>
    <xf numFmtId="0" fontId="11" fillId="0" borderId="15" xfId="2" applyFont="1" applyFill="1" applyBorder="1" applyAlignment="1">
      <alignment horizontal="left" vertical="center" wrapText="1"/>
    </xf>
    <xf numFmtId="0" fontId="6" fillId="0" borderId="16" xfId="2" applyFont="1" applyFill="1" applyBorder="1" applyAlignment="1">
      <alignment horizontal="center" vertical="center" wrapText="1"/>
    </xf>
    <xf numFmtId="0" fontId="2" fillId="0" borderId="7" xfId="0" applyFont="1" applyFill="1" applyBorder="1" applyAlignment="1">
      <alignment vertical="center"/>
    </xf>
    <xf numFmtId="0" fontId="11" fillId="0" borderId="16" xfId="2" applyFont="1" applyFill="1" applyBorder="1" applyAlignment="1">
      <alignment vertical="center" wrapText="1"/>
    </xf>
    <xf numFmtId="0" fontId="2" fillId="0" borderId="15" xfId="2" applyFont="1" applyFill="1" applyBorder="1" applyAlignment="1">
      <alignment vertical="center"/>
    </xf>
    <xf numFmtId="0" fontId="6" fillId="0" borderId="15" xfId="2" applyFont="1" applyFill="1" applyBorder="1" applyAlignment="1">
      <alignment horizontal="center" vertical="center"/>
    </xf>
    <xf numFmtId="0" fontId="15" fillId="0" borderId="15" xfId="2" applyFont="1" applyFill="1" applyBorder="1" applyAlignment="1">
      <alignment horizontal="center" vertical="center"/>
    </xf>
    <xf numFmtId="0" fontId="2" fillId="0" borderId="22" xfId="2" applyFont="1" applyFill="1" applyBorder="1" applyAlignment="1">
      <alignment vertical="center"/>
    </xf>
    <xf numFmtId="0" fontId="2" fillId="0" borderId="23" xfId="2" applyFont="1" applyFill="1" applyBorder="1" applyAlignment="1">
      <alignment vertical="center"/>
    </xf>
    <xf numFmtId="0" fontId="2" fillId="0" borderId="23" xfId="2" applyFont="1" applyFill="1" applyBorder="1" applyAlignment="1">
      <alignment horizontal="center" vertical="center"/>
    </xf>
    <xf numFmtId="0" fontId="2" fillId="0" borderId="23" xfId="2" applyFont="1" applyFill="1" applyBorder="1" applyAlignment="1">
      <alignment horizontal="left" vertical="center"/>
    </xf>
    <xf numFmtId="0" fontId="2" fillId="0" borderId="24" xfId="2" applyFont="1" applyFill="1" applyBorder="1" applyAlignment="1">
      <alignment vertical="center"/>
    </xf>
    <xf numFmtId="0" fontId="11" fillId="0" borderId="20" xfId="4" applyFont="1" applyFill="1" applyBorder="1" applyAlignment="1">
      <alignment horizontal="center" vertical="center"/>
    </xf>
    <xf numFmtId="0" fontId="11" fillId="0" borderId="6" xfId="4" applyFont="1" applyFill="1" applyBorder="1" applyAlignment="1">
      <alignment horizontal="center" vertical="center"/>
    </xf>
    <xf numFmtId="0" fontId="11" fillId="0" borderId="6" xfId="2" applyFont="1" applyFill="1" applyBorder="1" applyAlignment="1">
      <alignment horizontal="left" vertical="center"/>
    </xf>
    <xf numFmtId="0" fontId="11" fillId="0" borderId="21" xfId="4" applyFont="1" applyFill="1" applyBorder="1" applyAlignment="1">
      <alignment horizontal="center" vertical="center"/>
    </xf>
    <xf numFmtId="0" fontId="17" fillId="0" borderId="0" xfId="2" applyFont="1" applyFill="1" applyAlignment="1">
      <alignment horizontal="center"/>
    </xf>
    <xf numFmtId="0" fontId="17" fillId="0" borderId="0" xfId="2" applyFont="1" applyFill="1" applyBorder="1" applyAlignment="1">
      <alignment horizontal="center"/>
    </xf>
    <xf numFmtId="0" fontId="17" fillId="0" borderId="0" xfId="2" applyFont="1" applyFill="1" applyBorder="1" applyAlignment="1"/>
    <xf numFmtId="0" fontId="6" fillId="0" borderId="1" xfId="2" applyFont="1" applyFill="1" applyBorder="1" applyAlignment="1">
      <alignment vertical="center"/>
    </xf>
    <xf numFmtId="0" fontId="11" fillId="0" borderId="15" xfId="0" applyFont="1" applyFill="1" applyBorder="1" applyAlignment="1">
      <alignment vertical="center"/>
    </xf>
    <xf numFmtId="0" fontId="6" fillId="0" borderId="22" xfId="2" applyFont="1" applyFill="1" applyBorder="1"/>
    <xf numFmtId="0" fontId="6" fillId="0" borderId="23" xfId="2" applyNumberFormat="1" applyFont="1" applyFill="1" applyBorder="1" applyAlignment="1">
      <alignment vertical="top" wrapText="1"/>
    </xf>
    <xf numFmtId="0" fontId="6" fillId="0" borderId="23" xfId="2" applyFont="1" applyFill="1" applyBorder="1"/>
    <xf numFmtId="0" fontId="6" fillId="0" borderId="23" xfId="2" applyNumberFormat="1" applyFont="1" applyFill="1" applyBorder="1" applyAlignment="1">
      <alignment horizontal="center" vertical="top" wrapText="1"/>
    </xf>
    <xf numFmtId="166" fontId="6" fillId="0" borderId="23" xfId="6" applyNumberFormat="1" applyFont="1" applyFill="1" applyBorder="1" applyAlignment="1">
      <alignment horizontal="right" vertical="top" wrapText="1"/>
    </xf>
    <xf numFmtId="0" fontId="6" fillId="0" borderId="24" xfId="2" applyFont="1" applyFill="1" applyBorder="1"/>
    <xf numFmtId="0" fontId="6" fillId="0" borderId="7" xfId="2" applyNumberFormat="1" applyFont="1" applyFill="1" applyBorder="1" applyAlignment="1">
      <alignment vertical="center" wrapText="1"/>
    </xf>
    <xf numFmtId="0" fontId="6" fillId="0" borderId="7" xfId="2" applyNumberFormat="1" applyFont="1" applyFill="1" applyBorder="1" applyAlignment="1">
      <alignment horizontal="left" vertical="center" wrapText="1"/>
    </xf>
    <xf numFmtId="0" fontId="6" fillId="0" borderId="7" xfId="2" applyNumberFormat="1" applyFont="1" applyFill="1" applyBorder="1" applyAlignment="1">
      <alignment horizontal="center" vertical="center" wrapText="1"/>
    </xf>
    <xf numFmtId="166" fontId="6" fillId="0" borderId="7" xfId="6" applyNumberFormat="1" applyFont="1" applyFill="1" applyBorder="1" applyAlignment="1">
      <alignment horizontal="right" vertical="center" wrapText="1"/>
    </xf>
    <xf numFmtId="0" fontId="9" fillId="0" borderId="25" xfId="9" applyFont="1" applyBorder="1" applyAlignment="1">
      <alignment horizontal="left" vertical="center"/>
    </xf>
    <xf numFmtId="0" fontId="9" fillId="0" borderId="25" xfId="9" applyFont="1" applyBorder="1" applyAlignment="1">
      <alignment horizontal="center" vertical="center"/>
    </xf>
    <xf numFmtId="0" fontId="13" fillId="0" borderId="25" xfId="9" applyFont="1" applyBorder="1" applyAlignment="1">
      <alignment horizontal="center" vertical="center"/>
    </xf>
    <xf numFmtId="0" fontId="9" fillId="0" borderId="25" xfId="9" quotePrefix="1" applyFont="1" applyBorder="1" applyAlignment="1">
      <alignment horizontal="center" vertical="center"/>
    </xf>
    <xf numFmtId="0" fontId="6" fillId="3" borderId="15" xfId="2" applyFont="1" applyFill="1" applyBorder="1" applyAlignment="1">
      <alignment vertical="center"/>
    </xf>
    <xf numFmtId="0" fontId="6" fillId="3" borderId="7" xfId="2" applyFont="1" applyFill="1" applyBorder="1" applyAlignment="1">
      <alignment horizontal="left" vertical="center" wrapText="1"/>
    </xf>
    <xf numFmtId="0" fontId="6" fillId="3" borderId="7" xfId="2" applyFont="1" applyFill="1" applyBorder="1" applyAlignment="1">
      <alignment vertical="center" wrapText="1"/>
    </xf>
    <xf numFmtId="0" fontId="6" fillId="3" borderId="7" xfId="2" applyFont="1" applyFill="1" applyBorder="1" applyAlignment="1">
      <alignment vertical="center"/>
    </xf>
    <xf numFmtId="0" fontId="6" fillId="3" borderId="7" xfId="2" applyFont="1" applyFill="1" applyBorder="1" applyAlignment="1">
      <alignment horizontal="left" vertical="center"/>
    </xf>
    <xf numFmtId="0" fontId="6" fillId="3" borderId="7" xfId="2" applyFont="1" applyFill="1" applyBorder="1" applyAlignment="1">
      <alignment horizontal="center" vertical="center" wrapText="1"/>
    </xf>
    <xf numFmtId="0" fontId="2" fillId="3" borderId="0" xfId="2" applyFill="1" applyAlignment="1">
      <alignment vertical="center"/>
    </xf>
    <xf numFmtId="0" fontId="6" fillId="0" borderId="26" xfId="2" applyFont="1" applyFill="1" applyBorder="1" applyAlignment="1">
      <alignment vertical="center"/>
    </xf>
    <xf numFmtId="0" fontId="6" fillId="0" borderId="1" xfId="2" applyFont="1" applyFill="1" applyBorder="1" applyAlignment="1">
      <alignment horizontal="left" vertical="center" wrapText="1"/>
    </xf>
    <xf numFmtId="0" fontId="6" fillId="0" borderId="1" xfId="2" applyFont="1" applyFill="1" applyBorder="1" applyAlignment="1">
      <alignment vertical="center" wrapText="1"/>
    </xf>
    <xf numFmtId="0" fontId="6" fillId="0" borderId="1" xfId="2" applyFont="1" applyFill="1" applyBorder="1" applyAlignment="1">
      <alignment horizontal="center" vertical="center" wrapText="1"/>
    </xf>
    <xf numFmtId="41" fontId="6" fillId="0" borderId="1" xfId="6" applyFont="1" applyFill="1" applyBorder="1" applyAlignment="1">
      <alignment vertical="center" wrapText="1"/>
    </xf>
    <xf numFmtId="0" fontId="6" fillId="0" borderId="27" xfId="2" applyFont="1" applyFill="1" applyBorder="1" applyAlignment="1">
      <alignment horizontal="center" vertical="center"/>
    </xf>
    <xf numFmtId="0" fontId="2" fillId="0" borderId="1" xfId="2" applyFont="1" applyFill="1" applyBorder="1" applyAlignment="1">
      <alignment horizontal="left" vertical="center" wrapText="1"/>
    </xf>
    <xf numFmtId="0" fontId="2" fillId="0" borderId="1" xfId="2" applyFont="1" applyFill="1" applyBorder="1" applyAlignment="1">
      <alignment vertical="center" wrapText="1"/>
    </xf>
    <xf numFmtId="0" fontId="2" fillId="0" borderId="1" xfId="2" applyFont="1" applyFill="1" applyBorder="1" applyAlignment="1">
      <alignment vertical="center"/>
    </xf>
    <xf numFmtId="0" fontId="2" fillId="0" borderId="1" xfId="2" applyFont="1" applyFill="1" applyBorder="1" applyAlignment="1">
      <alignment horizontal="center" vertical="center"/>
    </xf>
    <xf numFmtId="0" fontId="2" fillId="0" borderId="1" xfId="2" applyFont="1" applyFill="1" applyBorder="1" applyAlignment="1">
      <alignment horizontal="center" vertical="center" wrapText="1"/>
    </xf>
    <xf numFmtId="0" fontId="4" fillId="0" borderId="7" xfId="2" applyFont="1" applyFill="1" applyBorder="1" applyAlignment="1">
      <alignment vertical="center" wrapText="1"/>
    </xf>
    <xf numFmtId="0" fontId="2" fillId="0" borderId="26" xfId="2" applyFont="1" applyFill="1" applyBorder="1" applyAlignment="1">
      <alignment vertical="center"/>
    </xf>
    <xf numFmtId="0" fontId="6" fillId="0" borderId="27" xfId="2" applyFont="1" applyFill="1" applyBorder="1" applyAlignment="1">
      <alignment vertical="center"/>
    </xf>
    <xf numFmtId="0" fontId="6" fillId="0" borderId="28" xfId="2" applyNumberFormat="1" applyFont="1" applyFill="1" applyBorder="1" applyAlignment="1">
      <alignment vertical="top" wrapText="1"/>
    </xf>
    <xf numFmtId="0" fontId="6" fillId="0" borderId="26" xfId="2" applyFont="1" applyFill="1" applyBorder="1" applyAlignment="1">
      <alignment horizontal="left" vertical="center"/>
    </xf>
    <xf numFmtId="0" fontId="6" fillId="0" borderId="1" xfId="2" applyNumberFormat="1" applyFont="1" applyFill="1" applyBorder="1" applyAlignment="1">
      <alignment vertical="center" wrapText="1"/>
    </xf>
    <xf numFmtId="0" fontId="6" fillId="0" borderId="1" xfId="2" applyNumberFormat="1" applyFont="1" applyFill="1" applyBorder="1" applyAlignment="1">
      <alignment horizontal="left" vertical="center" wrapText="1"/>
    </xf>
    <xf numFmtId="0" fontId="6" fillId="0" borderId="1" xfId="2" applyNumberFormat="1" applyFont="1" applyFill="1" applyBorder="1" applyAlignment="1">
      <alignment horizontal="center" vertical="center" wrapText="1"/>
    </xf>
    <xf numFmtId="166" fontId="6" fillId="0" borderId="1" xfId="6" applyNumberFormat="1" applyFont="1" applyFill="1" applyBorder="1" applyAlignment="1">
      <alignment horizontal="right" vertical="center" wrapText="1"/>
    </xf>
    <xf numFmtId="0" fontId="6" fillId="3" borderId="16" xfId="2" applyFont="1" applyFill="1" applyBorder="1" applyAlignment="1">
      <alignment horizontal="center" vertical="center"/>
    </xf>
    <xf numFmtId="41" fontId="6" fillId="0" borderId="0" xfId="1" applyFont="1" applyFill="1" applyAlignment="1">
      <alignment vertical="center"/>
    </xf>
    <xf numFmtId="0" fontId="8" fillId="0" borderId="0" xfId="2" applyFont="1"/>
    <xf numFmtId="0" fontId="8" fillId="0" borderId="0" xfId="2" applyFont="1" applyFill="1" applyBorder="1" applyAlignment="1">
      <alignment vertical="center" wrapText="1"/>
    </xf>
    <xf numFmtId="0" fontId="8" fillId="0" borderId="0" xfId="2" applyFont="1" applyFill="1" applyBorder="1" applyAlignment="1">
      <alignment horizontal="center" vertical="center" wrapText="1"/>
    </xf>
    <xf numFmtId="0" fontId="8" fillId="0" borderId="0" xfId="2" applyFont="1" applyFill="1" applyBorder="1" applyAlignment="1">
      <alignment horizontal="left" vertical="center"/>
    </xf>
    <xf numFmtId="0" fontId="8" fillId="0" borderId="0" xfId="2" applyFont="1" applyFill="1"/>
    <xf numFmtId="0" fontId="0" fillId="0" borderId="7" xfId="0" applyFont="1" applyFill="1" applyBorder="1" applyAlignment="1">
      <alignment vertical="center"/>
    </xf>
    <xf numFmtId="0" fontId="11" fillId="0" borderId="7" xfId="0" applyFont="1" applyFill="1" applyBorder="1" applyAlignment="1">
      <alignment vertical="center"/>
    </xf>
    <xf numFmtId="0" fontId="11" fillId="0" borderId="7" xfId="0" applyFont="1" applyFill="1" applyBorder="1" applyAlignment="1">
      <alignment horizontal="center" vertical="center"/>
    </xf>
    <xf numFmtId="0" fontId="0" fillId="0" borderId="0" xfId="0" applyAlignment="1">
      <alignment horizontal="center" vertical="center"/>
    </xf>
    <xf numFmtId="0" fontId="11" fillId="0" borderId="0" xfId="0" applyFont="1" applyFill="1" applyAlignment="1">
      <alignment vertical="center"/>
    </xf>
    <xf numFmtId="0" fontId="6" fillId="0" borderId="0" xfId="0" applyFont="1" applyFill="1" applyAlignment="1">
      <alignment vertical="center"/>
    </xf>
    <xf numFmtId="41" fontId="6" fillId="0" borderId="0" xfId="6" applyFont="1" applyFill="1" applyAlignment="1">
      <alignment vertical="center"/>
    </xf>
    <xf numFmtId="0" fontId="11" fillId="0" borderId="0" xfId="0" applyFont="1" applyFill="1" applyAlignment="1">
      <alignment horizontal="center" vertical="center"/>
    </xf>
    <xf numFmtId="166" fontId="6" fillId="0" borderId="0" xfId="0" applyNumberFormat="1" applyFont="1" applyFill="1" applyAlignment="1">
      <alignment vertical="center"/>
    </xf>
    <xf numFmtId="0" fontId="0" fillId="0" borderId="8" xfId="0" applyFont="1" applyFill="1" applyBorder="1" applyAlignment="1">
      <alignment horizontal="left" wrapText="1"/>
    </xf>
    <xf numFmtId="0" fontId="11" fillId="3" borderId="0" xfId="0" applyFont="1" applyFill="1" applyAlignment="1">
      <alignment vertical="center"/>
    </xf>
    <xf numFmtId="0" fontId="6" fillId="3" borderId="0" xfId="0" applyFont="1" applyFill="1" applyAlignment="1">
      <alignment vertical="center"/>
    </xf>
    <xf numFmtId="41" fontId="6" fillId="3" borderId="0" xfId="6" applyFont="1" applyFill="1" applyAlignment="1">
      <alignment vertical="center"/>
    </xf>
    <xf numFmtId="0" fontId="11" fillId="3" borderId="0" xfId="0" applyFont="1" applyFill="1" applyAlignment="1">
      <alignment horizontal="center" vertical="center"/>
    </xf>
    <xf numFmtId="41" fontId="4" fillId="0" borderId="0" xfId="2" applyNumberFormat="1" applyFont="1" applyAlignment="1">
      <alignment vertical="center"/>
    </xf>
    <xf numFmtId="43" fontId="4" fillId="0" borderId="0" xfId="2" applyNumberFormat="1" applyFont="1" applyAlignment="1">
      <alignment vertical="center"/>
    </xf>
    <xf numFmtId="0" fontId="6" fillId="0" borderId="0" xfId="0" applyFont="1" applyFill="1"/>
    <xf numFmtId="41" fontId="11" fillId="0" borderId="0" xfId="2" applyNumberFormat="1" applyFont="1" applyFill="1" applyAlignment="1">
      <alignment vertical="center"/>
    </xf>
    <xf numFmtId="41" fontId="20" fillId="0" borderId="7" xfId="1" applyFont="1" applyFill="1" applyBorder="1" applyAlignment="1">
      <alignment horizontal="left" vertical="center"/>
    </xf>
    <xf numFmtId="166" fontId="11" fillId="0" borderId="0" xfId="2" applyNumberFormat="1" applyFont="1" applyFill="1" applyAlignment="1">
      <alignment vertical="center"/>
    </xf>
    <xf numFmtId="166" fontId="2" fillId="0" borderId="0" xfId="2" applyNumberFormat="1" applyAlignment="1">
      <alignment vertical="center"/>
    </xf>
    <xf numFmtId="0" fontId="4" fillId="0" borderId="0" xfId="0" applyFont="1" applyAlignment="1">
      <alignment horizontal="center" vertical="center"/>
    </xf>
    <xf numFmtId="0" fontId="4" fillId="4" borderId="0" xfId="0" applyFont="1" applyFill="1" applyAlignment="1">
      <alignment horizontal="center" vertical="center"/>
    </xf>
    <xf numFmtId="0" fontId="4" fillId="4" borderId="0" xfId="0" applyFont="1" applyFill="1" applyAlignment="1">
      <alignment vertical="center"/>
    </xf>
    <xf numFmtId="0" fontId="4" fillId="0" borderId="0" xfId="0" applyFont="1" applyAlignment="1">
      <alignment vertical="center"/>
    </xf>
    <xf numFmtId="21" fontId="0" fillId="0" borderId="0" xfId="0" applyNumberFormat="1" applyAlignment="1">
      <alignment horizontal="center" vertical="center"/>
    </xf>
    <xf numFmtId="0" fontId="0" fillId="0" borderId="0" xfId="0" applyAlignment="1">
      <alignment vertical="center"/>
    </xf>
    <xf numFmtId="0" fontId="0" fillId="0" borderId="0" xfId="0" quotePrefix="1" applyAlignment="1">
      <alignment horizontal="center" vertical="center"/>
    </xf>
    <xf numFmtId="21" fontId="0" fillId="0" borderId="0" xfId="0" quotePrefix="1" applyNumberFormat="1" applyAlignment="1">
      <alignment horizontal="center" vertical="center"/>
    </xf>
    <xf numFmtId="166" fontId="2" fillId="0" borderId="0" xfId="1" applyNumberFormat="1" applyFont="1"/>
    <xf numFmtId="166" fontId="11" fillId="0" borderId="7" xfId="1" applyNumberFormat="1" applyFont="1" applyFill="1" applyBorder="1" applyAlignment="1">
      <alignment vertical="center"/>
    </xf>
    <xf numFmtId="166" fontId="6" fillId="0" borderId="0" xfId="1" applyNumberFormat="1" applyFont="1" applyFill="1" applyAlignment="1">
      <alignment vertical="center"/>
    </xf>
    <xf numFmtId="166" fontId="2" fillId="0" borderId="0" xfId="1" applyNumberFormat="1" applyFont="1" applyAlignment="1">
      <alignment vertical="center"/>
    </xf>
    <xf numFmtId="166" fontId="4" fillId="0" borderId="0" xfId="1" applyNumberFormat="1" applyFont="1" applyAlignment="1">
      <alignment vertical="center"/>
    </xf>
    <xf numFmtId="166" fontId="6" fillId="3" borderId="0" xfId="1" applyNumberFormat="1" applyFont="1" applyFill="1" applyAlignment="1">
      <alignment vertical="center"/>
    </xf>
    <xf numFmtId="166" fontId="11" fillId="0" borderId="7" xfId="1" applyNumberFormat="1" applyFont="1" applyFill="1" applyBorder="1" applyAlignment="1">
      <alignment vertical="center" wrapText="1"/>
    </xf>
    <xf numFmtId="166" fontId="6" fillId="0" borderId="0" xfId="1" quotePrefix="1" applyNumberFormat="1" applyFont="1" applyFill="1" applyAlignment="1">
      <alignment vertical="center"/>
    </xf>
    <xf numFmtId="0" fontId="0" fillId="3" borderId="8" xfId="0" applyFont="1" applyFill="1" applyBorder="1" applyAlignment="1">
      <alignment horizontal="left" wrapText="1"/>
    </xf>
    <xf numFmtId="0" fontId="6" fillId="3" borderId="7" xfId="2" quotePrefix="1" applyFont="1" applyFill="1" applyBorder="1" applyAlignment="1">
      <alignment horizontal="center" vertical="center" wrapText="1"/>
    </xf>
    <xf numFmtId="166" fontId="6" fillId="3" borderId="0" xfId="1" quotePrefix="1" applyNumberFormat="1" applyFont="1" applyFill="1" applyAlignment="1">
      <alignment vertical="center"/>
    </xf>
    <xf numFmtId="166" fontId="18" fillId="0" borderId="0" xfId="1" applyNumberFormat="1" applyFont="1" applyFill="1" applyBorder="1" applyAlignment="1">
      <alignment vertical="center"/>
    </xf>
    <xf numFmtId="0" fontId="9" fillId="0" borderId="16" xfId="2" applyFont="1" applyFill="1" applyBorder="1" applyAlignment="1">
      <alignment horizontal="left" vertical="center"/>
    </xf>
    <xf numFmtId="166" fontId="9" fillId="0" borderId="16" xfId="1" applyNumberFormat="1" applyFont="1" applyFill="1" applyBorder="1" applyAlignment="1">
      <alignment horizontal="left" vertical="center"/>
    </xf>
    <xf numFmtId="166" fontId="2" fillId="0" borderId="0" xfId="1" applyNumberFormat="1" applyFont="1" applyFill="1" applyAlignment="1">
      <alignment vertical="center"/>
    </xf>
    <xf numFmtId="166" fontId="6" fillId="0" borderId="0" xfId="1" applyNumberFormat="1" applyFont="1"/>
    <xf numFmtId="0" fontId="2" fillId="0" borderId="1" xfId="2" applyFont="1" applyFill="1" applyBorder="1" applyAlignment="1">
      <alignment horizontal="left" vertical="center"/>
    </xf>
    <xf numFmtId="0" fontId="6" fillId="0" borderId="5" xfId="2" applyNumberFormat="1" applyFont="1" applyFill="1" applyBorder="1" applyAlignment="1">
      <alignment vertical="center" wrapText="1"/>
    </xf>
    <xf numFmtId="166" fontId="3" fillId="0" borderId="0" xfId="1" applyNumberFormat="1" applyFont="1" applyFill="1" applyAlignment="1">
      <alignment horizontal="center"/>
    </xf>
    <xf numFmtId="166" fontId="11" fillId="0" borderId="7" xfId="1" applyNumberFormat="1" applyFont="1" applyFill="1" applyBorder="1"/>
    <xf numFmtId="166" fontId="6" fillId="0" borderId="7" xfId="1" applyNumberFormat="1" applyFont="1" applyFill="1" applyBorder="1" applyAlignment="1">
      <alignment vertical="center"/>
    </xf>
    <xf numFmtId="166" fontId="6" fillId="0" borderId="7" xfId="1" applyNumberFormat="1" applyFont="1" applyFill="1" applyBorder="1" applyAlignment="1">
      <alignment vertical="center" wrapText="1"/>
    </xf>
    <xf numFmtId="166" fontId="6" fillId="0" borderId="7" xfId="1" applyNumberFormat="1" applyFont="1" applyFill="1" applyBorder="1" applyAlignment="1">
      <alignment horizontal="center" vertical="center" wrapText="1"/>
    </xf>
    <xf numFmtId="166" fontId="6" fillId="0" borderId="1" xfId="1" applyNumberFormat="1" applyFont="1" applyFill="1" applyBorder="1" applyAlignment="1">
      <alignment vertical="center" wrapText="1"/>
    </xf>
    <xf numFmtId="166" fontId="2" fillId="0" borderId="23" xfId="1" applyNumberFormat="1" applyFont="1" applyFill="1" applyBorder="1" applyAlignment="1">
      <alignment vertical="center"/>
    </xf>
    <xf numFmtId="166" fontId="2" fillId="0" borderId="1" xfId="1" applyNumberFormat="1" applyFont="1" applyFill="1" applyBorder="1" applyAlignment="1">
      <alignment vertical="center"/>
    </xf>
    <xf numFmtId="166" fontId="2" fillId="0" borderId="0" xfId="1" applyNumberFormat="1" applyFont="1" applyFill="1" applyAlignment="1"/>
    <xf numFmtId="166" fontId="2" fillId="0" borderId="0" xfId="1" applyNumberFormat="1" applyFont="1" applyFill="1"/>
    <xf numFmtId="166" fontId="6" fillId="0" borderId="0" xfId="1" applyNumberFormat="1" applyFont="1" applyFill="1"/>
    <xf numFmtId="166" fontId="6" fillId="0" borderId="8" xfId="1" applyNumberFormat="1" applyFont="1" applyFill="1" applyBorder="1" applyAlignment="1">
      <alignment vertical="center" wrapText="1"/>
    </xf>
    <xf numFmtId="166" fontId="11" fillId="0" borderId="0" xfId="1" applyNumberFormat="1" applyFont="1" applyFill="1" applyAlignment="1">
      <alignment vertical="center"/>
    </xf>
    <xf numFmtId="166" fontId="11" fillId="0" borderId="0" xfId="1" applyNumberFormat="1" applyFont="1" applyFill="1" applyBorder="1" applyAlignment="1">
      <alignment vertical="center"/>
    </xf>
    <xf numFmtId="0" fontId="2" fillId="0" borderId="29" xfId="2" applyFill="1" applyBorder="1" applyAlignment="1">
      <alignment horizontal="center" wrapText="1"/>
    </xf>
    <xf numFmtId="0" fontId="2" fillId="0" borderId="0" xfId="2" applyFill="1" applyBorder="1" applyAlignment="1">
      <alignment horizontal="center" vertical="center" wrapText="1"/>
    </xf>
    <xf numFmtId="0" fontId="2" fillId="0" borderId="32" xfId="2" applyFill="1" applyBorder="1" applyAlignment="1">
      <alignment horizontal="center"/>
    </xf>
    <xf numFmtId="0" fontId="6" fillId="0" borderId="0" xfId="2" applyFont="1" applyFill="1" applyBorder="1" applyAlignment="1">
      <alignment vertical="center"/>
    </xf>
    <xf numFmtId="0" fontId="4" fillId="0" borderId="0" xfId="2" applyFont="1" applyFill="1" applyBorder="1" applyAlignment="1">
      <alignment vertical="center"/>
    </xf>
    <xf numFmtId="0" fontId="2" fillId="0" borderId="0" xfId="2" applyFill="1" applyBorder="1" applyAlignment="1">
      <alignment vertical="center"/>
    </xf>
    <xf numFmtId="41" fontId="2" fillId="0" borderId="0" xfId="2" applyNumberFormat="1" applyAlignment="1">
      <alignment vertical="center"/>
    </xf>
    <xf numFmtId="0" fontId="3" fillId="0" borderId="0" xfId="2" applyFont="1" applyFill="1" applyAlignment="1">
      <alignment horizontal="center"/>
    </xf>
    <xf numFmtId="0" fontId="2" fillId="0" borderId="0" xfId="2" applyFill="1" applyAlignment="1">
      <alignment horizontal="center"/>
    </xf>
    <xf numFmtId="165" fontId="4" fillId="0" borderId="0" xfId="2" applyNumberFormat="1" applyFont="1" applyAlignment="1">
      <alignment vertical="center"/>
    </xf>
    <xf numFmtId="166" fontId="11" fillId="0" borderId="0" xfId="1" applyNumberFormat="1" applyFont="1" applyFill="1"/>
    <xf numFmtId="166" fontId="4" fillId="0" borderId="6" xfId="1" applyNumberFormat="1" applyFont="1" applyFill="1" applyBorder="1" applyAlignment="1">
      <alignment horizontal="center" vertical="center"/>
    </xf>
    <xf numFmtId="166" fontId="12" fillId="0" borderId="7" xfId="1" applyNumberFormat="1" applyFont="1" applyFill="1" applyBorder="1"/>
    <xf numFmtId="166" fontId="13" fillId="0" borderId="7" xfId="1" applyNumberFormat="1" applyFont="1" applyFill="1" applyBorder="1" applyAlignment="1">
      <alignment vertical="center"/>
    </xf>
    <xf numFmtId="166" fontId="6" fillId="3" borderId="7" xfId="1" applyNumberFormat="1" applyFont="1" applyFill="1" applyBorder="1" applyAlignment="1">
      <alignment vertical="center" wrapText="1"/>
    </xf>
    <xf numFmtId="166" fontId="6" fillId="0" borderId="7" xfId="1" applyNumberFormat="1" applyFont="1" applyBorder="1" applyAlignment="1">
      <alignment vertical="center"/>
    </xf>
    <xf numFmtId="166" fontId="11" fillId="0" borderId="7" xfId="1" applyNumberFormat="1" applyFont="1" applyBorder="1" applyAlignment="1">
      <alignment vertical="center"/>
    </xf>
    <xf numFmtId="166" fontId="6" fillId="0" borderId="7" xfId="1" applyNumberFormat="1" applyFont="1" applyFill="1" applyBorder="1" applyAlignment="1">
      <alignment horizontal="right" vertical="center"/>
    </xf>
    <xf numFmtId="166" fontId="9" fillId="0" borderId="25" xfId="1" applyNumberFormat="1" applyFont="1" applyBorder="1" applyAlignment="1">
      <alignment horizontal="right" vertical="center"/>
    </xf>
    <xf numFmtId="166" fontId="6" fillId="0" borderId="23" xfId="1" applyNumberFormat="1" applyFont="1" applyBorder="1" applyAlignment="1">
      <alignment vertical="center"/>
    </xf>
    <xf numFmtId="0" fontId="11" fillId="0" borderId="16" xfId="2" applyFont="1" applyFill="1" applyBorder="1" applyAlignment="1">
      <alignment horizontal="center" vertical="center"/>
    </xf>
    <xf numFmtId="0" fontId="11" fillId="0" borderId="7" xfId="2" applyFont="1" applyFill="1" applyBorder="1" applyAlignment="1">
      <alignment horizontal="center" vertical="center"/>
    </xf>
    <xf numFmtId="165" fontId="2" fillId="0" borderId="0" xfId="2" applyNumberFormat="1" applyAlignment="1">
      <alignment vertical="center"/>
    </xf>
    <xf numFmtId="0" fontId="2" fillId="0" borderId="0" xfId="2" applyFill="1" applyAlignment="1">
      <alignment horizontal="center"/>
    </xf>
    <xf numFmtId="0" fontId="3" fillId="0" borderId="0" xfId="2" applyFont="1" applyFill="1" applyAlignment="1">
      <alignment horizontal="center"/>
    </xf>
    <xf numFmtId="0" fontId="13" fillId="0" borderId="7" xfId="2" applyFont="1" applyFill="1" applyBorder="1" applyAlignment="1">
      <alignment horizontal="center" vertical="center"/>
    </xf>
    <xf numFmtId="0" fontId="11" fillId="0" borderId="7" xfId="2" applyFont="1" applyFill="1" applyBorder="1" applyAlignment="1">
      <alignment horizontal="center" vertical="center"/>
    </xf>
    <xf numFmtId="166" fontId="18" fillId="0" borderId="8" xfId="1" applyNumberFormat="1" applyFont="1" applyFill="1" applyBorder="1"/>
    <xf numFmtId="166" fontId="18" fillId="0" borderId="0" xfId="1" applyNumberFormat="1" applyFont="1" applyFill="1" applyBorder="1"/>
    <xf numFmtId="166" fontId="4" fillId="0" borderId="0" xfId="1" applyNumberFormat="1" applyFont="1" applyFill="1" applyBorder="1" applyAlignment="1">
      <alignment vertical="center"/>
    </xf>
    <xf numFmtId="0" fontId="4" fillId="0" borderId="0" xfId="2" applyFont="1" applyFill="1" applyAlignment="1">
      <alignment vertical="center"/>
    </xf>
    <xf numFmtId="166" fontId="4" fillId="0" borderId="0" xfId="1" applyNumberFormat="1" applyFont="1" applyFill="1" applyAlignment="1">
      <alignment vertical="center"/>
    </xf>
    <xf numFmtId="0" fontId="0" fillId="0" borderId="0" xfId="0" applyFill="1"/>
    <xf numFmtId="0" fontId="2" fillId="0" borderId="0" xfId="2" applyFill="1" applyAlignment="1">
      <alignment horizontal="center" vertical="center"/>
    </xf>
    <xf numFmtId="0" fontId="3" fillId="0" borderId="0" xfId="2" applyFont="1" applyFill="1" applyAlignment="1">
      <alignment horizontal="center"/>
    </xf>
    <xf numFmtId="0" fontId="2" fillId="0" borderId="0" xfId="2" applyFill="1" applyAlignment="1">
      <alignment horizontal="center"/>
    </xf>
    <xf numFmtId="0" fontId="11" fillId="0" borderId="16" xfId="2" applyFont="1" applyFill="1" applyBorder="1" applyAlignment="1">
      <alignment horizontal="center" vertical="center"/>
    </xf>
    <xf numFmtId="0" fontId="11" fillId="0" borderId="7" xfId="2" applyFont="1" applyFill="1" applyBorder="1" applyAlignment="1">
      <alignment horizontal="center" vertical="center"/>
    </xf>
    <xf numFmtId="0" fontId="11" fillId="0" borderId="0" xfId="0" applyFont="1" applyFill="1"/>
    <xf numFmtId="0" fontId="4" fillId="0" borderId="0" xfId="2" applyFont="1" applyFill="1"/>
    <xf numFmtId="166" fontId="4" fillId="0" borderId="0" xfId="1" applyNumberFormat="1" applyFont="1" applyFill="1"/>
    <xf numFmtId="41" fontId="4" fillId="0" borderId="0" xfId="1" applyFont="1" applyFill="1" applyAlignment="1">
      <alignment vertical="center"/>
    </xf>
    <xf numFmtId="43" fontId="4" fillId="0" borderId="0" xfId="2" applyNumberFormat="1" applyFont="1" applyFill="1" applyAlignment="1">
      <alignment vertical="center"/>
    </xf>
    <xf numFmtId="0" fontId="2" fillId="0" borderId="0" xfId="2" applyFill="1" applyAlignment="1">
      <alignment horizontal="left"/>
    </xf>
    <xf numFmtId="41" fontId="2" fillId="0" borderId="0" xfId="2" applyNumberFormat="1" applyFill="1"/>
    <xf numFmtId="43" fontId="11" fillId="0" borderId="0" xfId="2" applyNumberFormat="1" applyFont="1" applyFill="1"/>
    <xf numFmtId="0" fontId="19" fillId="0" borderId="7" xfId="0" applyFont="1" applyFill="1" applyBorder="1"/>
    <xf numFmtId="166" fontId="19" fillId="0" borderId="7" xfId="1" applyNumberFormat="1" applyFont="1" applyFill="1" applyBorder="1"/>
    <xf numFmtId="41" fontId="6" fillId="0" borderId="0" xfId="2" applyNumberFormat="1" applyFont="1" applyFill="1"/>
    <xf numFmtId="41" fontId="6" fillId="0" borderId="0" xfId="2" applyNumberFormat="1" applyFont="1" applyFill="1" applyAlignment="1">
      <alignment vertical="center"/>
    </xf>
    <xf numFmtId="166" fontId="6" fillId="0" borderId="0" xfId="1" applyNumberFormat="1" applyFont="1" applyFill="1" applyAlignment="1">
      <alignment vertical="center" wrapText="1"/>
    </xf>
    <xf numFmtId="41" fontId="6" fillId="0" borderId="0" xfId="2" applyNumberFormat="1" applyFont="1" applyFill="1" applyAlignment="1">
      <alignment vertical="center" wrapText="1"/>
    </xf>
    <xf numFmtId="0" fontId="2" fillId="0" borderId="0" xfId="2" applyFont="1" applyFill="1"/>
    <xf numFmtId="166" fontId="2" fillId="0" borderId="0" xfId="1" applyNumberFormat="1" applyFont="1" applyFill="1" applyBorder="1" applyAlignment="1"/>
    <xf numFmtId="0" fontId="2" fillId="0" borderId="0" xfId="2" applyFont="1" applyFill="1" applyBorder="1" applyAlignment="1">
      <alignment horizontal="center"/>
    </xf>
    <xf numFmtId="165" fontId="2" fillId="0" borderId="0" xfId="2" applyNumberFormat="1" applyFont="1" applyFill="1" applyBorder="1" applyAlignment="1"/>
    <xf numFmtId="1" fontId="19" fillId="0" borderId="7" xfId="1" applyNumberFormat="1" applyFont="1" applyFill="1" applyBorder="1" applyAlignment="1">
      <alignment horizontal="center" vertical="center"/>
    </xf>
    <xf numFmtId="165" fontId="4" fillId="0" borderId="0" xfId="2" applyNumberFormat="1" applyFont="1" applyFill="1" applyAlignment="1">
      <alignment vertical="center"/>
    </xf>
    <xf numFmtId="166" fontId="11" fillId="0" borderId="11" xfId="1" applyNumberFormat="1" applyFont="1" applyFill="1" applyBorder="1" applyAlignment="1"/>
    <xf numFmtId="166" fontId="13" fillId="0" borderId="6" xfId="1" applyNumberFormat="1" applyFont="1" applyFill="1" applyBorder="1" applyAlignment="1">
      <alignment horizontal="center" vertical="center"/>
    </xf>
    <xf numFmtId="166" fontId="13" fillId="0" borderId="7" xfId="1" applyNumberFormat="1" applyFont="1" applyFill="1" applyBorder="1" applyAlignment="1">
      <alignment horizontal="center" vertical="center"/>
    </xf>
    <xf numFmtId="166" fontId="6" fillId="0" borderId="23" xfId="1" applyNumberFormat="1" applyFont="1" applyFill="1" applyBorder="1" applyAlignment="1">
      <alignment vertical="center" wrapText="1"/>
    </xf>
    <xf numFmtId="166" fontId="2" fillId="0" borderId="1" xfId="1" applyNumberFormat="1" applyFont="1" applyFill="1" applyBorder="1" applyAlignment="1">
      <alignment vertical="center" wrapText="1"/>
    </xf>
    <xf numFmtId="0" fontId="3" fillId="0" borderId="0" xfId="2" applyFont="1" applyFill="1" applyAlignment="1">
      <alignment horizontal="center"/>
    </xf>
    <xf numFmtId="0" fontId="2" fillId="0" borderId="0" xfId="2" applyFill="1" applyAlignment="1">
      <alignment horizontal="center"/>
    </xf>
    <xf numFmtId="0" fontId="2" fillId="0" borderId="0" xfId="2" applyFont="1" applyFill="1" applyAlignment="1">
      <alignment horizontal="center"/>
    </xf>
    <xf numFmtId="166" fontId="11" fillId="0" borderId="6" xfId="1" applyNumberFormat="1" applyFont="1" applyFill="1" applyBorder="1" applyAlignment="1">
      <alignment horizontal="center" vertical="center"/>
    </xf>
    <xf numFmtId="0" fontId="11" fillId="0" borderId="7" xfId="2" applyFont="1" applyFill="1" applyBorder="1" applyAlignment="1">
      <alignment horizontal="center" vertical="center" wrapText="1"/>
    </xf>
    <xf numFmtId="0" fontId="11" fillId="0" borderId="7" xfId="2" applyFont="1" applyFill="1" applyBorder="1" applyAlignment="1">
      <alignment horizontal="center" vertical="center"/>
    </xf>
    <xf numFmtId="0" fontId="6" fillId="3" borderId="7" xfId="2" applyFont="1" applyFill="1" applyBorder="1" applyAlignment="1">
      <alignment horizontal="center" vertical="center"/>
    </xf>
    <xf numFmtId="41" fontId="6" fillId="0" borderId="7" xfId="1" applyFont="1" applyFill="1" applyBorder="1" applyAlignment="1">
      <alignment horizontal="left" vertical="center"/>
    </xf>
    <xf numFmtId="0" fontId="2" fillId="0" borderId="33" xfId="2" applyFont="1" applyFill="1" applyBorder="1" applyAlignment="1">
      <alignment horizontal="center" vertical="center"/>
    </xf>
    <xf numFmtId="0" fontId="23" fillId="0" borderId="0" xfId="11" applyFont="1" applyFill="1"/>
    <xf numFmtId="0" fontId="24" fillId="5" borderId="1" xfId="11" applyFont="1" applyFill="1" applyBorder="1" applyAlignment="1">
      <alignment horizontal="center" vertical="center" wrapText="1"/>
    </xf>
    <xf numFmtId="0" fontId="24" fillId="5" borderId="1" xfId="11" applyFont="1" applyFill="1" applyBorder="1" applyAlignment="1">
      <alignment horizontal="center" vertical="center"/>
    </xf>
    <xf numFmtId="0" fontId="23" fillId="0" borderId="0" xfId="11" applyFont="1" applyFill="1" applyAlignment="1">
      <alignment horizontal="center" vertical="center"/>
    </xf>
    <xf numFmtId="0" fontId="25" fillId="0" borderId="36" xfId="11" applyFont="1" applyFill="1" applyBorder="1" applyAlignment="1">
      <alignment horizontal="center"/>
    </xf>
    <xf numFmtId="0" fontId="25" fillId="0" borderId="36" xfId="11" applyFont="1" applyFill="1" applyBorder="1"/>
    <xf numFmtId="3" fontId="25" fillId="0" borderId="36" xfId="11" applyNumberFormat="1" applyFont="1" applyFill="1" applyBorder="1"/>
    <xf numFmtId="43" fontId="25" fillId="0" borderId="36" xfId="12" applyNumberFormat="1" applyFont="1" applyFill="1" applyBorder="1"/>
    <xf numFmtId="0" fontId="25" fillId="0" borderId="8" xfId="11" applyFont="1" applyFill="1" applyBorder="1" applyAlignment="1">
      <alignment horizontal="center"/>
    </xf>
    <xf numFmtId="0" fontId="25" fillId="0" borderId="8" xfId="11" applyFont="1" applyFill="1" applyBorder="1"/>
    <xf numFmtId="3" fontId="25" fillId="0" borderId="8" xfId="11" applyNumberFormat="1" applyFont="1" applyFill="1" applyBorder="1"/>
    <xf numFmtId="43" fontId="25" fillId="0" borderId="8" xfId="12" applyNumberFormat="1" applyFont="1" applyFill="1" applyBorder="1"/>
    <xf numFmtId="0" fontId="25" fillId="0" borderId="37" xfId="11" applyFont="1" applyFill="1" applyBorder="1" applyAlignment="1">
      <alignment horizontal="center"/>
    </xf>
    <xf numFmtId="0" fontId="25" fillId="0" borderId="37" xfId="11" applyFont="1" applyFill="1" applyBorder="1"/>
    <xf numFmtId="3" fontId="25" fillId="0" borderId="37" xfId="11" applyNumberFormat="1" applyFont="1" applyFill="1" applyBorder="1"/>
    <xf numFmtId="43" fontId="25" fillId="0" borderId="37" xfId="12" applyNumberFormat="1" applyFont="1" applyFill="1" applyBorder="1"/>
    <xf numFmtId="0" fontId="24" fillId="0" borderId="7" xfId="11" applyFont="1" applyFill="1" applyBorder="1" applyAlignment="1">
      <alignment horizontal="center"/>
    </xf>
    <xf numFmtId="3" fontId="24" fillId="0" borderId="7" xfId="11" applyNumberFormat="1" applyFont="1" applyFill="1" applyBorder="1"/>
    <xf numFmtId="43" fontId="24" fillId="0" borderId="7" xfId="12" applyNumberFormat="1" applyFont="1" applyFill="1" applyBorder="1"/>
    <xf numFmtId="0" fontId="24" fillId="0" borderId="7" xfId="11" applyFont="1" applyFill="1" applyBorder="1"/>
    <xf numFmtId="0" fontId="22" fillId="0" borderId="0" xfId="11" applyFont="1" applyFill="1"/>
    <xf numFmtId="0" fontId="23" fillId="0" borderId="0" xfId="11" applyFont="1" applyFill="1" applyAlignment="1">
      <alignment horizontal="center"/>
    </xf>
    <xf numFmtId="41" fontId="17" fillId="0" borderId="0" xfId="1" applyFont="1" applyFill="1" applyAlignment="1">
      <alignment horizontal="center" vertical="center"/>
    </xf>
    <xf numFmtId="41" fontId="17" fillId="0" borderId="0" xfId="1" applyFont="1" applyFill="1" applyBorder="1" applyAlignment="1">
      <alignment horizontal="center" vertical="center"/>
    </xf>
    <xf numFmtId="41" fontId="11" fillId="0" borderId="6" xfId="1" applyFont="1" applyFill="1" applyBorder="1" applyAlignment="1">
      <alignment horizontal="center" vertical="center"/>
    </xf>
    <xf numFmtId="41" fontId="6" fillId="0" borderId="7" xfId="1" applyFont="1" applyFill="1" applyBorder="1" applyAlignment="1">
      <alignment horizontal="center" vertical="center"/>
    </xf>
    <xf numFmtId="41" fontId="2" fillId="0" borderId="1" xfId="1" applyFont="1" applyFill="1" applyBorder="1" applyAlignment="1">
      <alignment horizontal="center" vertical="center"/>
    </xf>
    <xf numFmtId="41" fontId="6" fillId="0" borderId="7" xfId="1" applyFont="1" applyFill="1" applyBorder="1" applyAlignment="1">
      <alignment horizontal="center" vertical="center" wrapText="1"/>
    </xf>
    <xf numFmtId="41" fontId="6" fillId="0" borderId="1" xfId="1" applyFont="1" applyFill="1" applyBorder="1" applyAlignment="1">
      <alignment horizontal="center" vertical="center"/>
    </xf>
    <xf numFmtId="41" fontId="2" fillId="0" borderId="23" xfId="1" applyFont="1" applyFill="1" applyBorder="1" applyAlignment="1">
      <alignment horizontal="center" vertical="center"/>
    </xf>
    <xf numFmtId="41" fontId="4" fillId="0" borderId="7" xfId="1" applyFont="1" applyFill="1" applyBorder="1" applyAlignment="1">
      <alignment horizontal="center" vertical="center" wrapText="1"/>
    </xf>
    <xf numFmtId="41" fontId="2" fillId="0" borderId="0" xfId="1" applyFont="1" applyFill="1" applyAlignment="1">
      <alignment horizontal="center" vertical="center"/>
    </xf>
    <xf numFmtId="41" fontId="6" fillId="0" borderId="7" xfId="1" applyFont="1" applyFill="1" applyBorder="1" applyAlignment="1">
      <alignment vertical="center"/>
    </xf>
    <xf numFmtId="0" fontId="6" fillId="0" borderId="6" xfId="2" applyFont="1" applyFill="1" applyBorder="1" applyAlignment="1">
      <alignment horizontal="center" vertical="center"/>
    </xf>
    <xf numFmtId="0" fontId="2" fillId="0" borderId="7" xfId="2" applyFont="1" applyFill="1" applyBorder="1" applyAlignment="1">
      <alignment vertical="center" wrapText="1"/>
    </xf>
    <xf numFmtId="41" fontId="17" fillId="0" borderId="0" xfId="1" applyFont="1" applyFill="1" applyAlignment="1">
      <alignment horizontal="center"/>
    </xf>
    <xf numFmtId="41" fontId="17" fillId="0" borderId="0" xfId="1" applyFont="1" applyFill="1" applyBorder="1" applyAlignment="1">
      <alignment horizontal="center"/>
    </xf>
    <xf numFmtId="41" fontId="6" fillId="0" borderId="7" xfId="1" applyFont="1" applyFill="1" applyBorder="1" applyAlignment="1">
      <alignment horizontal="center"/>
    </xf>
    <xf numFmtId="41" fontId="6" fillId="0" borderId="7" xfId="1" applyFont="1" applyFill="1" applyBorder="1" applyAlignment="1">
      <alignment vertical="center" wrapText="1"/>
    </xf>
    <xf numFmtId="41" fontId="2" fillId="0" borderId="7" xfId="1" applyFont="1" applyFill="1" applyBorder="1" applyAlignment="1">
      <alignment vertical="center" wrapText="1"/>
    </xf>
    <xf numFmtId="41" fontId="2" fillId="0" borderId="0" xfId="1" applyFont="1" applyFill="1" applyAlignment="1"/>
    <xf numFmtId="41" fontId="2" fillId="0" borderId="0" xfId="1" applyFont="1" applyFill="1" applyAlignment="1">
      <alignment horizontal="left"/>
    </xf>
    <xf numFmtId="41" fontId="2" fillId="0" borderId="0" xfId="1" applyFont="1" applyFill="1" applyAlignment="1">
      <alignment horizontal="center"/>
    </xf>
    <xf numFmtId="1" fontId="6" fillId="0" borderId="6" xfId="1" applyNumberFormat="1" applyFont="1" applyFill="1" applyBorder="1" applyAlignment="1">
      <alignment horizontal="center" vertical="center"/>
    </xf>
    <xf numFmtId="0" fontId="6" fillId="3" borderId="0" xfId="2" applyFont="1" applyFill="1" applyAlignment="1">
      <alignment vertical="center"/>
    </xf>
    <xf numFmtId="0" fontId="6" fillId="3" borderId="0" xfId="0" applyFont="1" applyFill="1"/>
    <xf numFmtId="0" fontId="6" fillId="3" borderId="15" xfId="2" applyFont="1" applyFill="1" applyBorder="1" applyAlignment="1">
      <alignment horizontal="left" vertical="center"/>
    </xf>
    <xf numFmtId="41" fontId="6" fillId="3" borderId="7" xfId="1" applyFont="1" applyFill="1" applyBorder="1" applyAlignment="1">
      <alignment horizontal="center" vertical="center"/>
    </xf>
    <xf numFmtId="166" fontId="6" fillId="3" borderId="7" xfId="1" applyNumberFormat="1" applyFont="1" applyFill="1" applyBorder="1" applyAlignment="1">
      <alignment vertical="center"/>
    </xf>
    <xf numFmtId="0" fontId="6" fillId="3" borderId="16" xfId="2" applyFont="1" applyFill="1" applyBorder="1" applyAlignment="1">
      <alignment vertical="center"/>
    </xf>
    <xf numFmtId="41" fontId="6" fillId="3" borderId="7" xfId="1" applyFont="1" applyFill="1" applyBorder="1" applyAlignment="1">
      <alignment horizontal="center" vertical="center" wrapText="1"/>
    </xf>
    <xf numFmtId="41" fontId="6" fillId="3" borderId="7" xfId="1" applyFont="1" applyFill="1" applyBorder="1" applyAlignment="1">
      <alignment vertical="center"/>
    </xf>
    <xf numFmtId="166" fontId="6" fillId="3" borderId="7" xfId="1" applyNumberFormat="1" applyFont="1" applyFill="1" applyBorder="1" applyAlignment="1">
      <alignment horizontal="center" vertical="center" wrapText="1"/>
    </xf>
    <xf numFmtId="166" fontId="6" fillId="3" borderId="7" xfId="6" applyNumberFormat="1" applyFont="1" applyFill="1" applyBorder="1" applyAlignment="1">
      <alignment vertical="center" wrapText="1"/>
    </xf>
    <xf numFmtId="0" fontId="11" fillId="0" borderId="0" xfId="2" applyFont="1" applyFill="1" applyAlignment="1">
      <alignment horizontal="center" vertical="center" wrapText="1"/>
    </xf>
    <xf numFmtId="0" fontId="3" fillId="0" borderId="0" xfId="2" applyFont="1" applyFill="1" applyAlignment="1">
      <alignment horizontal="center"/>
    </xf>
    <xf numFmtId="0" fontId="2" fillId="0" borderId="0" xfId="2" applyFill="1" applyAlignment="1">
      <alignment horizontal="center"/>
    </xf>
    <xf numFmtId="0" fontId="2" fillId="0" borderId="0" xfId="2" applyFont="1" applyFill="1" applyAlignment="1">
      <alignment horizontal="center"/>
    </xf>
    <xf numFmtId="0" fontId="11" fillId="0" borderId="0" xfId="2" applyFont="1" applyFill="1" applyAlignment="1">
      <alignment horizontal="center" vertical="center" wrapText="1"/>
    </xf>
    <xf numFmtId="0" fontId="11" fillId="0" borderId="7" xfId="2" applyFont="1" applyFill="1" applyBorder="1" applyAlignment="1">
      <alignment horizontal="center" vertical="center" wrapText="1"/>
    </xf>
    <xf numFmtId="0" fontId="11" fillId="0" borderId="7" xfId="2" applyFont="1" applyFill="1" applyBorder="1" applyAlignment="1">
      <alignment horizontal="center" vertical="center"/>
    </xf>
    <xf numFmtId="0" fontId="6" fillId="0" borderId="7" xfId="2" quotePrefix="1" applyFont="1" applyFill="1" applyBorder="1" applyAlignment="1">
      <alignment vertical="center" wrapText="1"/>
    </xf>
    <xf numFmtId="166" fontId="6" fillId="0" borderId="7" xfId="1" quotePrefix="1" applyNumberFormat="1" applyFont="1" applyFill="1" applyBorder="1" applyAlignment="1">
      <alignment vertical="center" wrapText="1"/>
    </xf>
    <xf numFmtId="41" fontId="6" fillId="0" borderId="7" xfId="1" quotePrefix="1" applyFont="1" applyFill="1" applyBorder="1" applyAlignment="1">
      <alignment vertical="center" wrapText="1"/>
    </xf>
    <xf numFmtId="41" fontId="6" fillId="0" borderId="6" xfId="1" applyFont="1" applyFill="1" applyBorder="1" applyAlignment="1">
      <alignment horizontal="center" vertical="center"/>
    </xf>
    <xf numFmtId="0" fontId="26" fillId="0" borderId="0" xfId="2" applyFont="1" applyFill="1" applyAlignment="1">
      <alignment vertical="center"/>
    </xf>
    <xf numFmtId="0" fontId="6" fillId="6" borderId="0" xfId="2" applyFont="1" applyFill="1" applyAlignment="1">
      <alignment vertical="center"/>
    </xf>
    <xf numFmtId="0" fontId="6" fillId="6" borderId="0" xfId="0" applyFont="1" applyFill="1"/>
    <xf numFmtId="0" fontId="6" fillId="6" borderId="15" xfId="2" applyFont="1" applyFill="1" applyBorder="1" applyAlignment="1">
      <alignment horizontal="left" vertical="center"/>
    </xf>
    <xf numFmtId="0" fontId="6" fillId="6" borderId="7" xfId="2" applyFont="1" applyFill="1" applyBorder="1" applyAlignment="1">
      <alignment vertical="center" wrapText="1"/>
    </xf>
    <xf numFmtId="0" fontId="6" fillId="6" borderId="7" xfId="2" applyFont="1" applyFill="1" applyBorder="1" applyAlignment="1">
      <alignment horizontal="center" vertical="center"/>
    </xf>
    <xf numFmtId="0" fontId="11" fillId="6" borderId="7" xfId="2" applyFont="1" applyFill="1" applyBorder="1" applyAlignment="1">
      <alignment vertical="center"/>
    </xf>
    <xf numFmtId="41" fontId="6" fillId="6" borderId="7" xfId="1" applyFont="1" applyFill="1" applyBorder="1" applyAlignment="1">
      <alignment horizontal="center" vertical="center"/>
    </xf>
    <xf numFmtId="0" fontId="6" fillId="6" borderId="7" xfId="2" applyFont="1" applyFill="1" applyBorder="1" applyAlignment="1">
      <alignment vertical="center"/>
    </xf>
    <xf numFmtId="0" fontId="6" fillId="6" borderId="7" xfId="2" applyFont="1" applyFill="1" applyBorder="1" applyAlignment="1">
      <alignment horizontal="left" vertical="center"/>
    </xf>
    <xf numFmtId="166" fontId="6" fillId="6" borderId="7" xfId="1" applyNumberFormat="1" applyFont="1" applyFill="1" applyBorder="1" applyAlignment="1">
      <alignment vertical="center"/>
    </xf>
    <xf numFmtId="0" fontId="6" fillId="6" borderId="16" xfId="2" applyFont="1" applyFill="1" applyBorder="1" applyAlignment="1">
      <alignment vertical="center"/>
    </xf>
    <xf numFmtId="0" fontId="11" fillId="6" borderId="0" xfId="0" applyFont="1" applyFill="1" applyAlignment="1">
      <alignment vertical="center"/>
    </xf>
    <xf numFmtId="0" fontId="6" fillId="6" borderId="0" xfId="0" applyFont="1" applyFill="1" applyAlignment="1">
      <alignment vertical="center"/>
    </xf>
    <xf numFmtId="166" fontId="6" fillId="6" borderId="0" xfId="1" applyNumberFormat="1" applyFont="1" applyFill="1" applyAlignment="1">
      <alignment vertical="center"/>
    </xf>
    <xf numFmtId="41" fontId="6" fillId="6" borderId="0" xfId="6" applyFont="1" applyFill="1" applyAlignment="1">
      <alignment vertical="center"/>
    </xf>
    <xf numFmtId="166" fontId="6" fillId="6" borderId="0" xfId="1" quotePrefix="1" applyNumberFormat="1" applyFont="1" applyFill="1" applyAlignment="1">
      <alignment vertical="center"/>
    </xf>
    <xf numFmtId="0" fontId="9" fillId="0" borderId="0" xfId="2" applyFont="1" applyFill="1" applyAlignment="1">
      <alignment vertical="center"/>
    </xf>
    <xf numFmtId="0" fontId="9" fillId="0" borderId="0" xfId="2" applyFont="1" applyFill="1" applyAlignment="1">
      <alignment vertical="center" wrapText="1"/>
    </xf>
    <xf numFmtId="0" fontId="1" fillId="0" borderId="0" xfId="13" applyFill="1"/>
    <xf numFmtId="4" fontId="1" fillId="0" borderId="0" xfId="13" applyNumberFormat="1" applyFill="1"/>
    <xf numFmtId="0" fontId="28" fillId="0" borderId="0" xfId="14" applyFont="1" applyFill="1" applyAlignment="1">
      <alignment horizontal="center"/>
    </xf>
    <xf numFmtId="0" fontId="28" fillId="0" borderId="0" xfId="14" applyFont="1" applyFill="1"/>
    <xf numFmtId="165" fontId="28" fillId="0" borderId="0" xfId="15" applyNumberFormat="1" applyFont="1" applyFill="1" applyBorder="1" applyAlignment="1">
      <alignment horizontal="center" vertical="center" wrapText="1"/>
    </xf>
    <xf numFmtId="0" fontId="29" fillId="0" borderId="0" xfId="14" applyNumberFormat="1" applyFont="1" applyFill="1" applyBorder="1" applyAlignment="1">
      <alignment horizontal="center" vertical="center" wrapText="1"/>
    </xf>
    <xf numFmtId="0" fontId="28" fillId="0" borderId="0" xfId="14" applyFont="1" applyFill="1" applyBorder="1"/>
    <xf numFmtId="0" fontId="27" fillId="0" borderId="0" xfId="14" applyFont="1" applyFill="1" applyBorder="1" applyAlignment="1">
      <alignment horizontal="center" vertical="center" wrapText="1"/>
    </xf>
    <xf numFmtId="0" fontId="27" fillId="0" borderId="0" xfId="14" applyFont="1" applyFill="1" applyBorder="1" applyAlignment="1">
      <alignment vertical="center" wrapText="1"/>
    </xf>
    <xf numFmtId="166" fontId="27" fillId="0" borderId="0" xfId="17" applyNumberFormat="1" applyFont="1" applyFill="1" applyBorder="1" applyAlignment="1">
      <alignment vertical="center" wrapText="1"/>
    </xf>
    <xf numFmtId="166" fontId="28" fillId="0" borderId="0" xfId="17" applyNumberFormat="1" applyFont="1" applyFill="1" applyBorder="1" applyAlignment="1">
      <alignment horizontal="center" vertical="center" wrapText="1"/>
    </xf>
    <xf numFmtId="166" fontId="28" fillId="0" borderId="0" xfId="17" applyNumberFormat="1" applyFont="1" applyFill="1" applyAlignment="1">
      <alignment horizontal="center" vertical="center" wrapText="1"/>
    </xf>
    <xf numFmtId="0" fontId="28" fillId="0" borderId="0" xfId="14" applyFont="1" applyFill="1" applyAlignment="1">
      <alignment horizontal="center" vertical="center" wrapText="1"/>
    </xf>
    <xf numFmtId="14" fontId="27" fillId="0" borderId="0" xfId="14" applyNumberFormat="1" applyFont="1" applyFill="1" applyBorder="1" applyAlignment="1">
      <alignment horizontal="center" vertical="center" wrapText="1"/>
    </xf>
    <xf numFmtId="14" fontId="27" fillId="0" borderId="7" xfId="14" applyNumberFormat="1" applyFont="1" applyFill="1" applyBorder="1" applyAlignment="1">
      <alignment horizontal="center" vertical="center" wrapText="1"/>
    </xf>
    <xf numFmtId="1" fontId="27" fillId="0" borderId="7" xfId="14" applyNumberFormat="1" applyFont="1" applyFill="1" applyBorder="1" applyAlignment="1">
      <alignment horizontal="center" vertical="center" wrapText="1"/>
    </xf>
    <xf numFmtId="0" fontId="27" fillId="0" borderId="7" xfId="14" applyFont="1" applyFill="1" applyBorder="1" applyAlignment="1">
      <alignment horizontal="center" vertical="center"/>
    </xf>
    <xf numFmtId="1" fontId="27" fillId="0" borderId="0" xfId="14" applyNumberFormat="1" applyFont="1" applyFill="1" applyBorder="1" applyAlignment="1">
      <alignment horizontal="center" vertical="center" wrapText="1"/>
    </xf>
    <xf numFmtId="0" fontId="31" fillId="8" borderId="7" xfId="18" applyFont="1" applyFill="1" applyBorder="1" applyAlignment="1">
      <alignment horizontal="left"/>
    </xf>
    <xf numFmtId="14" fontId="31" fillId="8" borderId="7" xfId="14" applyNumberFormat="1" applyFont="1" applyFill="1" applyBorder="1" applyAlignment="1">
      <alignment horizontal="center" vertical="top" wrapText="1"/>
    </xf>
    <xf numFmtId="1" fontId="31" fillId="8" borderId="7" xfId="14" applyNumberFormat="1" applyFont="1" applyFill="1" applyBorder="1" applyAlignment="1">
      <alignment wrapText="1"/>
    </xf>
    <xf numFmtId="3" fontId="31" fillId="8" borderId="7" xfId="14" applyNumberFormat="1" applyFont="1" applyFill="1" applyBorder="1" applyAlignment="1">
      <alignment horizontal="center" vertical="top" wrapText="1"/>
    </xf>
    <xf numFmtId="3" fontId="31" fillId="8" borderId="7" xfId="15" applyNumberFormat="1" applyFont="1" applyFill="1" applyBorder="1" applyAlignment="1">
      <alignment horizontal="center" vertical="top" wrapText="1"/>
    </xf>
    <xf numFmtId="1" fontId="31" fillId="8" borderId="7" xfId="14" applyNumberFormat="1" applyFont="1" applyFill="1" applyBorder="1" applyAlignment="1">
      <alignment horizontal="center" vertical="top" wrapText="1"/>
    </xf>
    <xf numFmtId="167" fontId="31" fillId="8" borderId="7" xfId="14" applyNumberFormat="1" applyFont="1" applyFill="1" applyBorder="1" applyAlignment="1">
      <alignment horizontal="center" vertical="top" wrapText="1"/>
    </xf>
    <xf numFmtId="168" fontId="31" fillId="8" borderId="7" xfId="14" applyNumberFormat="1" applyFont="1" applyFill="1" applyBorder="1" applyAlignment="1">
      <alignment horizontal="center" vertical="top" wrapText="1"/>
    </xf>
    <xf numFmtId="4" fontId="31" fillId="8" borderId="7" xfId="14" applyNumberFormat="1" applyFont="1" applyFill="1" applyBorder="1" applyAlignment="1">
      <alignment horizontal="right" vertical="top" wrapText="1"/>
    </xf>
    <xf numFmtId="0" fontId="31" fillId="8" borderId="7" xfId="14" applyFont="1" applyFill="1" applyBorder="1" applyAlignment="1">
      <alignment horizontal="center" vertical="top" wrapText="1"/>
    </xf>
    <xf numFmtId="168" fontId="28" fillId="8" borderId="7" xfId="14" applyNumberFormat="1" applyFont="1" applyFill="1" applyBorder="1" applyAlignment="1">
      <alignment horizontal="center" vertical="top" wrapText="1"/>
    </xf>
    <xf numFmtId="1" fontId="31" fillId="8" borderId="7" xfId="14" applyNumberFormat="1" applyFont="1" applyFill="1" applyBorder="1" applyAlignment="1">
      <alignment horizontal="left" vertical="top" wrapText="1"/>
    </xf>
    <xf numFmtId="43" fontId="31" fillId="0" borderId="0" xfId="14" applyNumberFormat="1" applyFont="1" applyFill="1" applyBorder="1" applyAlignment="1">
      <alignment horizontal="center" vertical="top" wrapText="1"/>
    </xf>
    <xf numFmtId="169" fontId="32" fillId="0" borderId="30" xfId="19" applyNumberFormat="1" applyFont="1" applyFill="1" applyBorder="1"/>
    <xf numFmtId="0" fontId="31" fillId="0" borderId="29" xfId="14" applyFont="1" applyFill="1" applyBorder="1" applyAlignment="1">
      <alignment horizontal="center" vertical="top" wrapText="1"/>
    </xf>
    <xf numFmtId="0" fontId="31" fillId="0" borderId="0" xfId="14" applyFont="1" applyFill="1" applyBorder="1" applyAlignment="1">
      <alignment horizontal="center" vertical="top" wrapText="1"/>
    </xf>
    <xf numFmtId="14" fontId="31" fillId="0" borderId="0" xfId="14" applyNumberFormat="1" applyFont="1" applyFill="1" applyBorder="1" applyAlignment="1">
      <alignment horizontal="center" vertical="top" wrapText="1"/>
    </xf>
    <xf numFmtId="0" fontId="31" fillId="0" borderId="0" xfId="17" applyNumberFormat="1" applyFont="1" applyFill="1" applyBorder="1" applyAlignment="1">
      <alignment horizontal="center" vertical="top" wrapText="1"/>
    </xf>
    <xf numFmtId="166" fontId="31" fillId="0" borderId="0" xfId="17" applyNumberFormat="1" applyFont="1" applyFill="1" applyBorder="1" applyAlignment="1">
      <alignment horizontal="center" vertical="top" wrapText="1"/>
    </xf>
    <xf numFmtId="0" fontId="31" fillId="0" borderId="0" xfId="14" applyNumberFormat="1" applyFont="1" applyFill="1" applyBorder="1" applyAlignment="1">
      <alignment horizontal="center" vertical="top" wrapText="1"/>
    </xf>
    <xf numFmtId="166" fontId="31" fillId="0" borderId="0" xfId="14" applyNumberFormat="1" applyFont="1" applyFill="1" applyBorder="1" applyAlignment="1">
      <alignment horizontal="center" vertical="top" wrapText="1"/>
    </xf>
    <xf numFmtId="170" fontId="31" fillId="0" borderId="0" xfId="14" applyNumberFormat="1" applyFont="1" applyFill="1" applyBorder="1" applyAlignment="1">
      <alignment horizontal="center" vertical="top" wrapText="1"/>
    </xf>
    <xf numFmtId="171" fontId="31" fillId="0" borderId="0" xfId="14" applyNumberFormat="1" applyFont="1" applyFill="1" applyBorder="1" applyAlignment="1">
      <alignment horizontal="center" vertical="top" wrapText="1"/>
    </xf>
    <xf numFmtId="166" fontId="31" fillId="0" borderId="0" xfId="17" applyNumberFormat="1" applyFont="1" applyFill="1" applyAlignment="1">
      <alignment horizontal="center" vertical="top" wrapText="1"/>
    </xf>
    <xf numFmtId="0" fontId="31" fillId="0" borderId="0" xfId="14" applyFont="1" applyFill="1" applyAlignment="1">
      <alignment horizontal="center" vertical="top" wrapText="1"/>
    </xf>
    <xf numFmtId="14" fontId="31" fillId="0" borderId="0" xfId="14" applyNumberFormat="1" applyFont="1" applyFill="1" applyAlignment="1">
      <alignment horizontal="center" vertical="top" wrapText="1"/>
    </xf>
    <xf numFmtId="0" fontId="28" fillId="0" borderId="7" xfId="14" applyFont="1" applyFill="1" applyBorder="1" applyAlignment="1">
      <alignment vertical="top" wrapText="1"/>
    </xf>
    <xf numFmtId="1" fontId="28" fillId="0" borderId="7" xfId="14" applyNumberFormat="1" applyFont="1" applyFill="1" applyBorder="1" applyAlignment="1">
      <alignment horizontal="center" vertical="top" wrapText="1"/>
    </xf>
    <xf numFmtId="14" fontId="28" fillId="0" borderId="7" xfId="14" applyNumberFormat="1" applyFont="1" applyFill="1" applyBorder="1" applyAlignment="1">
      <alignment horizontal="center" vertical="top" wrapText="1"/>
    </xf>
    <xf numFmtId="1" fontId="28" fillId="0" borderId="7" xfId="14" applyNumberFormat="1" applyFont="1" applyFill="1" applyBorder="1" applyAlignment="1">
      <alignment wrapText="1"/>
    </xf>
    <xf numFmtId="3" fontId="28" fillId="0" borderId="7" xfId="15" applyNumberFormat="1" applyFont="1" applyFill="1" applyBorder="1" applyAlignment="1">
      <alignment horizontal="center" vertical="top" wrapText="1"/>
    </xf>
    <xf numFmtId="1" fontId="31" fillId="0" borderId="7" xfId="14" applyNumberFormat="1" applyFont="1" applyFill="1" applyBorder="1" applyAlignment="1">
      <alignment horizontal="center" vertical="top" wrapText="1"/>
    </xf>
    <xf numFmtId="3" fontId="28" fillId="0" borderId="7" xfId="14" applyNumberFormat="1" applyFont="1" applyFill="1" applyBorder="1" applyAlignment="1">
      <alignment horizontal="center" vertical="top" wrapText="1"/>
    </xf>
    <xf numFmtId="168" fontId="28" fillId="0" borderId="7" xfId="14" applyNumberFormat="1" applyFont="1" applyFill="1" applyBorder="1" applyAlignment="1">
      <alignment horizontal="center" vertical="top" wrapText="1"/>
    </xf>
    <xf numFmtId="4" fontId="31" fillId="0" borderId="7" xfId="14" applyNumberFormat="1" applyFont="1" applyFill="1" applyBorder="1" applyAlignment="1">
      <alignment horizontal="center" vertical="top" wrapText="1"/>
    </xf>
    <xf numFmtId="4" fontId="31" fillId="0" borderId="7" xfId="14" applyNumberFormat="1" applyFont="1" applyFill="1" applyBorder="1" applyAlignment="1">
      <alignment horizontal="right" vertical="top" wrapText="1"/>
    </xf>
    <xf numFmtId="0" fontId="33" fillId="0" borderId="7" xfId="14" applyFont="1" applyFill="1" applyBorder="1" applyAlignment="1">
      <alignment horizontal="left" vertical="top" wrapText="1"/>
    </xf>
    <xf numFmtId="166" fontId="28" fillId="0" borderId="0" xfId="17" applyNumberFormat="1" applyFont="1" applyFill="1" applyBorder="1" applyAlignment="1">
      <alignment horizontal="center" vertical="top" wrapText="1"/>
    </xf>
    <xf numFmtId="169" fontId="1" fillId="0" borderId="31" xfId="19" applyNumberFormat="1" applyFill="1" applyBorder="1"/>
    <xf numFmtId="0" fontId="28" fillId="0" borderId="0" xfId="14" applyFont="1" applyFill="1" applyBorder="1" applyAlignment="1">
      <alignment horizontal="center" vertical="top" wrapText="1"/>
    </xf>
    <xf numFmtId="14" fontId="29" fillId="0" borderId="0" xfId="14" applyNumberFormat="1" applyFont="1" applyFill="1" applyBorder="1" applyAlignment="1">
      <alignment horizontal="center" vertical="top" wrapText="1"/>
    </xf>
    <xf numFmtId="43" fontId="28" fillId="0" borderId="0" xfId="14" applyNumberFormat="1" applyFont="1" applyFill="1" applyBorder="1" applyAlignment="1">
      <alignment horizontal="center" vertical="top" wrapText="1"/>
    </xf>
    <xf numFmtId="14" fontId="28" fillId="0" borderId="0" xfId="14" applyNumberFormat="1" applyFont="1" applyFill="1" applyBorder="1" applyAlignment="1">
      <alignment horizontal="center" vertical="top" wrapText="1"/>
    </xf>
    <xf numFmtId="0" fontId="28" fillId="0" borderId="0" xfId="17" applyNumberFormat="1" applyFont="1" applyFill="1" applyBorder="1" applyAlignment="1">
      <alignment horizontal="center" vertical="top" wrapText="1"/>
    </xf>
    <xf numFmtId="0" fontId="28" fillId="0" borderId="0" xfId="14" applyNumberFormat="1" applyFont="1" applyFill="1" applyBorder="1" applyAlignment="1">
      <alignment horizontal="center" vertical="top" wrapText="1"/>
    </xf>
    <xf numFmtId="166" fontId="28" fillId="0" borderId="0" xfId="14" applyNumberFormat="1" applyFont="1" applyFill="1" applyBorder="1" applyAlignment="1">
      <alignment horizontal="center" vertical="top" wrapText="1"/>
    </xf>
    <xf numFmtId="170" fontId="28" fillId="0" borderId="0" xfId="14" applyNumberFormat="1" applyFont="1" applyFill="1" applyBorder="1" applyAlignment="1">
      <alignment horizontal="center" vertical="top" wrapText="1"/>
    </xf>
    <xf numFmtId="171" fontId="28" fillId="0" borderId="0" xfId="14" applyNumberFormat="1" applyFont="1" applyFill="1" applyBorder="1" applyAlignment="1">
      <alignment horizontal="center" vertical="top" wrapText="1"/>
    </xf>
    <xf numFmtId="166" fontId="28" fillId="0" borderId="0" xfId="17" applyNumberFormat="1" applyFont="1" applyFill="1" applyAlignment="1">
      <alignment horizontal="center" vertical="top" wrapText="1"/>
    </xf>
    <xf numFmtId="0" fontId="28" fillId="0" borderId="0" xfId="14" applyFont="1" applyFill="1" applyAlignment="1">
      <alignment horizontal="center" vertical="top" wrapText="1"/>
    </xf>
    <xf numFmtId="14" fontId="28" fillId="0" borderId="0" xfId="14" applyNumberFormat="1" applyFont="1" applyFill="1" applyAlignment="1">
      <alignment horizontal="center" vertical="top" wrapText="1"/>
    </xf>
    <xf numFmtId="0" fontId="31" fillId="0" borderId="7" xfId="18" applyFont="1" applyFill="1" applyBorder="1"/>
    <xf numFmtId="0" fontId="31" fillId="0" borderId="7" xfId="18" applyFont="1" applyFill="1" applyBorder="1" applyAlignment="1">
      <alignment horizontal="left"/>
    </xf>
    <xf numFmtId="9" fontId="29" fillId="0" borderId="7" xfId="20" applyFont="1" applyFill="1" applyBorder="1" applyAlignment="1">
      <alignment horizontal="center" vertical="top" wrapText="1"/>
    </xf>
    <xf numFmtId="165" fontId="28" fillId="0" borderId="0" xfId="15" applyNumberFormat="1" applyFont="1" applyFill="1" applyBorder="1" applyAlignment="1">
      <alignment horizontal="center" vertical="top" wrapText="1"/>
    </xf>
    <xf numFmtId="169" fontId="4" fillId="0" borderId="31" xfId="19" applyNumberFormat="1" applyFont="1" applyFill="1" applyBorder="1"/>
    <xf numFmtId="0" fontId="28" fillId="0" borderId="7" xfId="14" applyFont="1" applyFill="1" applyBorder="1" applyAlignment="1">
      <alignment vertical="top"/>
    </xf>
    <xf numFmtId="0" fontId="28" fillId="0" borderId="7" xfId="13" applyFont="1" applyFill="1" applyBorder="1"/>
    <xf numFmtId="4" fontId="28" fillId="0" borderId="32" xfId="14" applyNumberFormat="1" applyFont="1" applyFill="1" applyBorder="1" applyAlignment="1">
      <alignment horizontal="center" vertical="top" wrapText="1"/>
    </xf>
    <xf numFmtId="0" fontId="28" fillId="0" borderId="11" xfId="14" applyFont="1" applyFill="1" applyBorder="1" applyAlignment="1">
      <alignment horizontal="center" vertical="top" wrapText="1"/>
    </xf>
    <xf numFmtId="4" fontId="28" fillId="0" borderId="0" xfId="14" applyNumberFormat="1" applyFont="1" applyFill="1" applyBorder="1" applyAlignment="1">
      <alignment horizontal="center" vertical="top" wrapText="1"/>
    </xf>
    <xf numFmtId="167" fontId="29" fillId="0" borderId="7" xfId="14" applyNumberFormat="1" applyFont="1" applyFill="1" applyBorder="1" applyAlignment="1">
      <alignment horizontal="center" vertical="top" wrapText="1"/>
    </xf>
    <xf numFmtId="4" fontId="29" fillId="0" borderId="7" xfId="14" applyNumberFormat="1" applyFont="1" applyFill="1" applyBorder="1" applyAlignment="1">
      <alignment horizontal="center" vertical="top" wrapText="1"/>
    </xf>
    <xf numFmtId="165" fontId="28" fillId="0" borderId="7" xfId="15" applyNumberFormat="1" applyFont="1" applyFill="1" applyBorder="1" applyAlignment="1">
      <alignment horizontal="center" vertical="top" wrapText="1"/>
    </xf>
    <xf numFmtId="4" fontId="28" fillId="0" borderId="7" xfId="17" applyNumberFormat="1" applyFont="1" applyFill="1" applyBorder="1" applyAlignment="1">
      <alignment horizontal="right" vertical="top" wrapText="1"/>
    </xf>
    <xf numFmtId="0" fontId="28" fillId="0" borderId="7" xfId="15" applyNumberFormat="1" applyFont="1" applyFill="1" applyBorder="1" applyAlignment="1">
      <alignment horizontal="center" vertical="top" wrapText="1"/>
    </xf>
    <xf numFmtId="167" fontId="28" fillId="0" borderId="7" xfId="14" applyNumberFormat="1" applyFont="1" applyFill="1" applyBorder="1" applyAlignment="1">
      <alignment horizontal="center" vertical="top" wrapText="1"/>
    </xf>
    <xf numFmtId="0" fontId="28" fillId="0" borderId="7" xfId="14" applyFont="1" applyFill="1" applyBorder="1" applyAlignment="1">
      <alignment horizontal="left" vertical="top" wrapText="1"/>
    </xf>
    <xf numFmtId="3" fontId="27" fillId="0" borderId="7" xfId="14" applyNumberFormat="1" applyFont="1" applyFill="1" applyBorder="1" applyAlignment="1">
      <alignment horizontal="center" vertical="top" wrapText="1"/>
    </xf>
    <xf numFmtId="172" fontId="27" fillId="0" borderId="7" xfId="15" applyNumberFormat="1" applyFont="1" applyFill="1" applyBorder="1" applyAlignment="1">
      <alignment horizontal="center" vertical="top" wrapText="1"/>
    </xf>
    <xf numFmtId="167" fontId="34" fillId="0" borderId="7" xfId="14" applyNumberFormat="1" applyFont="1" applyFill="1" applyBorder="1" applyAlignment="1">
      <alignment horizontal="center" vertical="top" wrapText="1"/>
    </xf>
    <xf numFmtId="168" fontId="27" fillId="0" borderId="7" xfId="14" applyNumberFormat="1" applyFont="1" applyFill="1" applyBorder="1" applyAlignment="1">
      <alignment horizontal="center" vertical="top" wrapText="1"/>
    </xf>
    <xf numFmtId="4" fontId="34" fillId="0" borderId="7" xfId="14" applyNumberFormat="1" applyFont="1" applyFill="1" applyBorder="1" applyAlignment="1">
      <alignment horizontal="center" vertical="top" wrapText="1"/>
    </xf>
    <xf numFmtId="165" fontId="27" fillId="0" borderId="7" xfId="15" applyNumberFormat="1" applyFont="1" applyFill="1" applyBorder="1" applyAlignment="1">
      <alignment horizontal="center" vertical="top" wrapText="1"/>
    </xf>
    <xf numFmtId="4" fontId="27" fillId="0" borderId="7" xfId="17" applyNumberFormat="1" applyFont="1" applyFill="1" applyBorder="1" applyAlignment="1">
      <alignment horizontal="right" vertical="top" wrapText="1"/>
    </xf>
    <xf numFmtId="0" fontId="27" fillId="0" borderId="7" xfId="15" applyNumberFormat="1" applyFont="1" applyFill="1" applyBorder="1" applyAlignment="1">
      <alignment horizontal="center" vertical="top" wrapText="1"/>
    </xf>
    <xf numFmtId="167" fontId="27" fillId="0" borderId="7" xfId="14" applyNumberFormat="1" applyFont="1" applyFill="1" applyBorder="1" applyAlignment="1">
      <alignment horizontal="center" vertical="top" wrapText="1"/>
    </xf>
    <xf numFmtId="0" fontId="27" fillId="0" borderId="7" xfId="14" applyFont="1" applyFill="1" applyBorder="1" applyAlignment="1">
      <alignment horizontal="center" vertical="top" wrapText="1"/>
    </xf>
    <xf numFmtId="0" fontId="27" fillId="0" borderId="0" xfId="14" applyFont="1" applyFill="1" applyBorder="1" applyAlignment="1">
      <alignment horizontal="center" vertical="top" wrapText="1"/>
    </xf>
    <xf numFmtId="14" fontId="34" fillId="0" borderId="0" xfId="14" applyNumberFormat="1" applyFont="1" applyFill="1" applyBorder="1" applyAlignment="1">
      <alignment horizontal="center" vertical="top" wrapText="1"/>
    </xf>
    <xf numFmtId="43" fontId="27" fillId="0" borderId="0" xfId="14" applyNumberFormat="1" applyFont="1" applyFill="1" applyBorder="1" applyAlignment="1">
      <alignment horizontal="center" vertical="top" wrapText="1"/>
    </xf>
    <xf numFmtId="14" fontId="27" fillId="0" borderId="0" xfId="14" applyNumberFormat="1" applyFont="1" applyFill="1" applyBorder="1" applyAlignment="1">
      <alignment horizontal="center" vertical="top" wrapText="1"/>
    </xf>
    <xf numFmtId="0" fontId="27" fillId="0" borderId="0" xfId="17" applyNumberFormat="1" applyFont="1" applyFill="1" applyBorder="1" applyAlignment="1">
      <alignment horizontal="center" vertical="top" wrapText="1"/>
    </xf>
    <xf numFmtId="166" fontId="27" fillId="0" borderId="0" xfId="17" applyNumberFormat="1" applyFont="1" applyFill="1" applyBorder="1" applyAlignment="1">
      <alignment horizontal="center" vertical="top" wrapText="1"/>
    </xf>
    <xf numFmtId="0" fontId="27" fillId="0" borderId="0" xfId="14" applyNumberFormat="1" applyFont="1" applyFill="1" applyBorder="1" applyAlignment="1">
      <alignment horizontal="center" vertical="top" wrapText="1"/>
    </xf>
    <xf numFmtId="166" fontId="27" fillId="0" borderId="0" xfId="14" applyNumberFormat="1" applyFont="1" applyFill="1" applyBorder="1" applyAlignment="1">
      <alignment horizontal="center" vertical="top" wrapText="1"/>
    </xf>
    <xf numFmtId="170" fontId="27" fillId="0" borderId="0" xfId="14" applyNumberFormat="1" applyFont="1" applyFill="1" applyBorder="1" applyAlignment="1">
      <alignment horizontal="center" vertical="top" wrapText="1"/>
    </xf>
    <xf numFmtId="171" fontId="27" fillId="0" borderId="0" xfId="14" applyNumberFormat="1" applyFont="1" applyFill="1" applyBorder="1" applyAlignment="1">
      <alignment horizontal="center" vertical="top" wrapText="1"/>
    </xf>
    <xf numFmtId="166" fontId="27" fillId="0" borderId="0" xfId="17" applyNumberFormat="1" applyFont="1" applyFill="1" applyAlignment="1">
      <alignment horizontal="center" vertical="top" wrapText="1"/>
    </xf>
    <xf numFmtId="0" fontId="27" fillId="0" borderId="0" xfId="14" applyFont="1" applyFill="1" applyAlignment="1">
      <alignment horizontal="center" vertical="top" wrapText="1"/>
    </xf>
    <xf numFmtId="14" fontId="27" fillId="0" borderId="0" xfId="14" applyNumberFormat="1" applyFont="1" applyFill="1" applyAlignment="1">
      <alignment horizontal="center" vertical="top" wrapText="1"/>
    </xf>
    <xf numFmtId="43" fontId="28" fillId="0" borderId="0" xfId="14" applyNumberFormat="1" applyFont="1" applyFill="1"/>
    <xf numFmtId="43" fontId="31" fillId="8" borderId="7" xfId="18" applyNumberFormat="1" applyFont="1" applyFill="1" applyBorder="1"/>
    <xf numFmtId="43" fontId="31" fillId="0" borderId="7" xfId="18" applyNumberFormat="1" applyFont="1" applyFill="1" applyBorder="1"/>
    <xf numFmtId="169" fontId="1" fillId="0" borderId="32" xfId="19" applyNumberFormat="1" applyFill="1" applyBorder="1"/>
    <xf numFmtId="0" fontId="31" fillId="8" borderId="7" xfId="18" applyFont="1" applyFill="1" applyBorder="1"/>
    <xf numFmtId="1" fontId="29" fillId="0" borderId="7" xfId="14" applyNumberFormat="1" applyFont="1" applyFill="1" applyBorder="1" applyAlignment="1">
      <alignment horizontal="center" vertical="top" wrapText="1"/>
    </xf>
    <xf numFmtId="3" fontId="27" fillId="0" borderId="7" xfId="14" applyNumberFormat="1" applyFont="1" applyFill="1" applyBorder="1" applyAlignment="1">
      <alignment horizontal="center" vertical="center" wrapText="1"/>
    </xf>
    <xf numFmtId="172" fontId="27" fillId="0" borderId="7" xfId="15" applyNumberFormat="1" applyFont="1" applyFill="1" applyBorder="1" applyAlignment="1">
      <alignment horizontal="center" vertical="center" wrapText="1"/>
    </xf>
    <xf numFmtId="167" fontId="34" fillId="0" borderId="7" xfId="14" applyNumberFormat="1" applyFont="1" applyFill="1" applyBorder="1" applyAlignment="1">
      <alignment horizontal="center" vertical="center" wrapText="1"/>
    </xf>
    <xf numFmtId="168" fontId="27" fillId="0" borderId="7" xfId="14" applyNumberFormat="1" applyFont="1" applyFill="1" applyBorder="1" applyAlignment="1">
      <alignment horizontal="center" vertical="center" wrapText="1"/>
    </xf>
    <xf numFmtId="165" fontId="27" fillId="0" borderId="7" xfId="15" applyNumberFormat="1" applyFont="1" applyFill="1" applyBorder="1" applyAlignment="1">
      <alignment horizontal="center" vertical="center" wrapText="1"/>
    </xf>
    <xf numFmtId="4" fontId="27" fillId="0" borderId="7" xfId="17" applyNumberFormat="1" applyFont="1" applyFill="1" applyBorder="1" applyAlignment="1">
      <alignment horizontal="right" vertical="center" wrapText="1"/>
    </xf>
    <xf numFmtId="0" fontId="27" fillId="0" borderId="7" xfId="15" applyNumberFormat="1" applyFont="1" applyFill="1" applyBorder="1" applyAlignment="1">
      <alignment horizontal="center" vertical="center" wrapText="1"/>
    </xf>
    <xf numFmtId="167" fontId="27" fillId="0" borderId="7" xfId="14" applyNumberFormat="1" applyFont="1" applyFill="1" applyBorder="1" applyAlignment="1">
      <alignment horizontal="center" vertical="center" wrapText="1"/>
    </xf>
    <xf numFmtId="14" fontId="34" fillId="0" borderId="0" xfId="14" applyNumberFormat="1" applyFont="1" applyFill="1" applyBorder="1" applyAlignment="1">
      <alignment horizontal="center" vertical="center" wrapText="1"/>
    </xf>
    <xf numFmtId="43" fontId="27" fillId="0" borderId="0" xfId="14" applyNumberFormat="1" applyFont="1" applyFill="1" applyBorder="1" applyAlignment="1">
      <alignment horizontal="center" vertical="center" wrapText="1"/>
    </xf>
    <xf numFmtId="0" fontId="27" fillId="0" borderId="0" xfId="17" applyNumberFormat="1" applyFont="1" applyFill="1" applyBorder="1" applyAlignment="1">
      <alignment horizontal="center" vertical="center" wrapText="1"/>
    </xf>
    <xf numFmtId="166" fontId="27" fillId="0" borderId="0" xfId="17" applyNumberFormat="1" applyFont="1" applyFill="1" applyBorder="1" applyAlignment="1">
      <alignment horizontal="center" vertical="center" wrapText="1"/>
    </xf>
    <xf numFmtId="0" fontId="27" fillId="0" borderId="0" xfId="14" applyNumberFormat="1" applyFont="1" applyFill="1" applyBorder="1" applyAlignment="1">
      <alignment horizontal="center" vertical="center" wrapText="1"/>
    </xf>
    <xf numFmtId="166" fontId="27" fillId="0" borderId="0" xfId="14" applyNumberFormat="1" applyFont="1" applyFill="1" applyBorder="1" applyAlignment="1">
      <alignment horizontal="center" vertical="center" wrapText="1"/>
    </xf>
    <xf numFmtId="170" fontId="27" fillId="0" borderId="0" xfId="14" applyNumberFormat="1" applyFont="1" applyFill="1" applyBorder="1" applyAlignment="1">
      <alignment horizontal="center" vertical="center" wrapText="1"/>
    </xf>
    <xf numFmtId="171" fontId="27" fillId="0" borderId="0" xfId="14" applyNumberFormat="1" applyFont="1" applyFill="1" applyBorder="1" applyAlignment="1">
      <alignment horizontal="center" vertical="center" wrapText="1"/>
    </xf>
    <xf numFmtId="166" fontId="27" fillId="0" borderId="0" xfId="17" applyNumberFormat="1" applyFont="1" applyFill="1" applyAlignment="1">
      <alignment horizontal="center" vertical="center" wrapText="1"/>
    </xf>
    <xf numFmtId="0" fontId="27" fillId="0" borderId="0" xfId="14" applyFont="1" applyFill="1" applyAlignment="1">
      <alignment horizontal="center" vertical="center" wrapText="1"/>
    </xf>
    <xf numFmtId="14" fontId="27" fillId="0" borderId="0" xfId="14" applyNumberFormat="1" applyFont="1" applyFill="1" applyAlignment="1">
      <alignment horizontal="center" vertical="center" wrapText="1"/>
    </xf>
    <xf numFmtId="0" fontId="27" fillId="0" borderId="11" xfId="14" applyFont="1" applyFill="1" applyBorder="1" applyAlignment="1"/>
    <xf numFmtId="169" fontId="32" fillId="0" borderId="31" xfId="19" applyNumberFormat="1" applyFont="1" applyFill="1" applyBorder="1"/>
    <xf numFmtId="166" fontId="6" fillId="0" borderId="7" xfId="1" applyNumberFormat="1" applyFont="1" applyFill="1" applyBorder="1" applyAlignment="1">
      <alignment horizontal="left" vertical="center" wrapText="1"/>
    </xf>
    <xf numFmtId="0" fontId="27" fillId="0" borderId="11" xfId="14" applyFont="1" applyFill="1" applyBorder="1" applyAlignment="1">
      <alignment horizontal="left"/>
    </xf>
    <xf numFmtId="3" fontId="31" fillId="0" borderId="7" xfId="14" applyNumberFormat="1" applyFont="1" applyFill="1" applyBorder="1" applyAlignment="1">
      <alignment horizontal="center" vertical="top" wrapText="1"/>
    </xf>
    <xf numFmtId="14" fontId="31" fillId="0" borderId="7" xfId="14" applyNumberFormat="1" applyFont="1" applyFill="1" applyBorder="1" applyAlignment="1">
      <alignment horizontal="center" vertical="top" wrapText="1"/>
    </xf>
    <xf numFmtId="1" fontId="31" fillId="0" borderId="7" xfId="14" applyNumberFormat="1" applyFont="1" applyFill="1" applyBorder="1" applyAlignment="1">
      <alignment wrapText="1"/>
    </xf>
    <xf numFmtId="3" fontId="31" fillId="0" borderId="7" xfId="15" applyNumberFormat="1" applyFont="1" applyFill="1" applyBorder="1" applyAlignment="1">
      <alignment horizontal="center" vertical="top" wrapText="1"/>
    </xf>
    <xf numFmtId="1" fontId="31" fillId="0" borderId="7" xfId="14" applyNumberFormat="1" applyFont="1" applyFill="1" applyBorder="1" applyAlignment="1">
      <alignment horizontal="left" vertical="top" wrapText="1"/>
    </xf>
    <xf numFmtId="166" fontId="1" fillId="0" borderId="0" xfId="1" applyNumberFormat="1" applyFill="1"/>
    <xf numFmtId="166" fontId="28" fillId="0" borderId="0" xfId="1" applyNumberFormat="1" applyFont="1" applyFill="1" applyBorder="1"/>
    <xf numFmtId="166" fontId="27" fillId="0" borderId="0" xfId="1" applyNumberFormat="1" applyFont="1" applyFill="1" applyBorder="1" applyAlignment="1">
      <alignment horizontal="center" vertical="center" wrapText="1"/>
    </xf>
    <xf numFmtId="166" fontId="31" fillId="0" borderId="9" xfId="1" applyNumberFormat="1" applyFont="1" applyFill="1" applyBorder="1" applyAlignment="1">
      <alignment horizontal="center" vertical="top" wrapText="1"/>
    </xf>
    <xf numFmtId="166" fontId="31" fillId="0" borderId="39" xfId="1" applyNumberFormat="1" applyFont="1" applyFill="1" applyBorder="1" applyAlignment="1">
      <alignment horizontal="center" vertical="top" wrapText="1"/>
    </xf>
    <xf numFmtId="166" fontId="28" fillId="0" borderId="39" xfId="1" applyNumberFormat="1" applyFont="1" applyFill="1" applyBorder="1" applyAlignment="1">
      <alignment horizontal="center" vertical="top" wrapText="1"/>
    </xf>
    <xf numFmtId="166" fontId="28" fillId="0" borderId="0" xfId="1" applyNumberFormat="1" applyFont="1" applyFill="1" applyBorder="1" applyAlignment="1">
      <alignment horizontal="center" vertical="top" wrapText="1"/>
    </xf>
    <xf numFmtId="166" fontId="28" fillId="0" borderId="10" xfId="1" applyNumberFormat="1" applyFont="1" applyFill="1" applyBorder="1" applyAlignment="1">
      <alignment horizontal="center" vertical="top" wrapText="1"/>
    </xf>
    <xf numFmtId="166" fontId="27" fillId="0" borderId="0" xfId="1" applyNumberFormat="1" applyFont="1" applyFill="1" applyBorder="1" applyAlignment="1">
      <alignment horizontal="center" vertical="top" wrapText="1"/>
    </xf>
    <xf numFmtId="166" fontId="31" fillId="0" borderId="0" xfId="1" applyNumberFormat="1" applyFont="1" applyFill="1" applyBorder="1" applyAlignment="1">
      <alignment horizontal="center" vertical="top" wrapText="1"/>
    </xf>
    <xf numFmtId="1" fontId="28" fillId="0" borderId="7" xfId="14" applyNumberFormat="1" applyFont="1" applyFill="1" applyBorder="1" applyAlignment="1">
      <alignment horizontal="left" vertical="top" wrapText="1"/>
    </xf>
    <xf numFmtId="169" fontId="1" fillId="0" borderId="0" xfId="19" applyNumberFormat="1" applyFill="1" applyBorder="1"/>
    <xf numFmtId="9" fontId="29" fillId="0" borderId="7" xfId="21" applyFont="1" applyFill="1" applyBorder="1" applyAlignment="1">
      <alignment horizontal="center" vertical="top" wrapText="1"/>
    </xf>
    <xf numFmtId="0" fontId="27" fillId="0" borderId="0" xfId="14" applyFont="1" applyFill="1" applyBorder="1" applyAlignment="1">
      <alignment horizontal="center" vertical="center"/>
    </xf>
    <xf numFmtId="3" fontId="27" fillId="0" borderId="0" xfId="14" applyNumberFormat="1" applyFont="1" applyFill="1" applyBorder="1" applyAlignment="1">
      <alignment horizontal="center" vertical="center" wrapText="1"/>
    </xf>
    <xf numFmtId="172" fontId="27" fillId="0" borderId="0" xfId="15" applyNumberFormat="1" applyFont="1" applyFill="1" applyBorder="1" applyAlignment="1">
      <alignment horizontal="center" vertical="center" wrapText="1"/>
    </xf>
    <xf numFmtId="167" fontId="34" fillId="0" borderId="0" xfId="14" applyNumberFormat="1" applyFont="1" applyFill="1" applyBorder="1" applyAlignment="1">
      <alignment horizontal="center" vertical="center" wrapText="1"/>
    </xf>
    <xf numFmtId="168" fontId="27" fillId="0" borderId="0" xfId="14" applyNumberFormat="1" applyFont="1" applyFill="1" applyBorder="1" applyAlignment="1">
      <alignment horizontal="center" vertical="center" wrapText="1"/>
    </xf>
    <xf numFmtId="165" fontId="27" fillId="0" borderId="0" xfId="15" applyNumberFormat="1" applyFont="1" applyFill="1" applyBorder="1" applyAlignment="1">
      <alignment horizontal="center" vertical="center" wrapText="1"/>
    </xf>
    <xf numFmtId="4" fontId="27" fillId="0" borderId="0" xfId="17" applyNumberFormat="1" applyFont="1" applyFill="1" applyBorder="1" applyAlignment="1">
      <alignment horizontal="right" vertical="center" wrapText="1"/>
    </xf>
    <xf numFmtId="0" fontId="27" fillId="0" borderId="0" xfId="15" applyNumberFormat="1" applyFont="1" applyFill="1" applyBorder="1" applyAlignment="1">
      <alignment horizontal="center" vertical="center" wrapText="1"/>
    </xf>
    <xf numFmtId="167" fontId="27" fillId="0" borderId="0" xfId="14" applyNumberFormat="1" applyFont="1" applyFill="1" applyBorder="1" applyAlignment="1">
      <alignment horizontal="center" vertical="center" wrapText="1"/>
    </xf>
    <xf numFmtId="168" fontId="31" fillId="0" borderId="7" xfId="14" applyNumberFormat="1" applyFont="1" applyFill="1" applyBorder="1" applyAlignment="1">
      <alignment horizontal="center" vertical="top" wrapText="1"/>
    </xf>
    <xf numFmtId="0" fontId="27" fillId="0" borderId="0" xfId="14" applyFont="1" applyFill="1" applyBorder="1" applyAlignment="1">
      <alignment horizontal="center" vertical="top"/>
    </xf>
    <xf numFmtId="3" fontId="27" fillId="0" borderId="0" xfId="14" applyNumberFormat="1" applyFont="1" applyFill="1" applyBorder="1" applyAlignment="1">
      <alignment horizontal="center" vertical="top" wrapText="1"/>
    </xf>
    <xf numFmtId="172" fontId="27" fillId="0" borderId="0" xfId="15" applyNumberFormat="1" applyFont="1" applyFill="1" applyBorder="1" applyAlignment="1">
      <alignment horizontal="center" vertical="top" wrapText="1"/>
    </xf>
    <xf numFmtId="167" fontId="34" fillId="0" borderId="0" xfId="14" applyNumberFormat="1" applyFont="1" applyFill="1" applyBorder="1" applyAlignment="1">
      <alignment horizontal="center" vertical="top" wrapText="1"/>
    </xf>
    <xf numFmtId="168" fontId="27" fillId="0" borderId="0" xfId="14" applyNumberFormat="1" applyFont="1" applyFill="1" applyBorder="1" applyAlignment="1">
      <alignment horizontal="center" vertical="top" wrapText="1"/>
    </xf>
    <xf numFmtId="4" fontId="34" fillId="0" borderId="0" xfId="14" applyNumberFormat="1" applyFont="1" applyFill="1" applyBorder="1" applyAlignment="1">
      <alignment horizontal="center" vertical="top" wrapText="1"/>
    </xf>
    <xf numFmtId="165" fontId="27" fillId="0" borderId="0" xfId="15" applyNumberFormat="1" applyFont="1" applyFill="1" applyBorder="1" applyAlignment="1">
      <alignment horizontal="center" vertical="top" wrapText="1"/>
    </xf>
    <xf numFmtId="4" fontId="27" fillId="0" borderId="0" xfId="17" applyNumberFormat="1" applyFont="1" applyFill="1" applyBorder="1" applyAlignment="1">
      <alignment horizontal="right" vertical="top" wrapText="1"/>
    </xf>
    <xf numFmtId="0" fontId="27" fillId="0" borderId="0" xfId="15" applyNumberFormat="1" applyFont="1" applyFill="1" applyBorder="1" applyAlignment="1">
      <alignment horizontal="center" vertical="top" wrapText="1"/>
    </xf>
    <xf numFmtId="167" fontId="27" fillId="0" borderId="0" xfId="14" applyNumberFormat="1" applyFont="1" applyFill="1" applyBorder="1" applyAlignment="1">
      <alignment horizontal="center" vertical="top" wrapText="1"/>
    </xf>
    <xf numFmtId="167" fontId="31" fillId="0" borderId="7" xfId="14" applyNumberFormat="1" applyFont="1" applyFill="1" applyBorder="1" applyAlignment="1">
      <alignment horizontal="center" vertical="top" wrapText="1"/>
    </xf>
    <xf numFmtId="0" fontId="31" fillId="0" borderId="7" xfId="14" applyFont="1" applyFill="1" applyBorder="1" applyAlignment="1">
      <alignment horizontal="center" vertical="top" wrapText="1"/>
    </xf>
    <xf numFmtId="0" fontId="31" fillId="9" borderId="7" xfId="18" applyFont="1" applyFill="1" applyBorder="1" applyAlignment="1">
      <alignment horizontal="left"/>
    </xf>
    <xf numFmtId="14" fontId="31" fillId="9" borderId="7" xfId="14" applyNumberFormat="1" applyFont="1" applyFill="1" applyBorder="1" applyAlignment="1">
      <alignment horizontal="center" vertical="top" wrapText="1"/>
    </xf>
    <xf numFmtId="1" fontId="31" fillId="9" borderId="7" xfId="14" applyNumberFormat="1" applyFont="1" applyFill="1" applyBorder="1" applyAlignment="1">
      <alignment wrapText="1"/>
    </xf>
    <xf numFmtId="3" fontId="31" fillId="9" borderId="7" xfId="14" applyNumberFormat="1" applyFont="1" applyFill="1" applyBorder="1" applyAlignment="1">
      <alignment horizontal="center" vertical="top" wrapText="1"/>
    </xf>
    <xf numFmtId="3" fontId="31" fillId="9" borderId="7" xfId="15" applyNumberFormat="1" applyFont="1" applyFill="1" applyBorder="1" applyAlignment="1">
      <alignment horizontal="center" vertical="top" wrapText="1"/>
    </xf>
    <xf numFmtId="1" fontId="31" fillId="9" borderId="7" xfId="14" applyNumberFormat="1" applyFont="1" applyFill="1" applyBorder="1" applyAlignment="1">
      <alignment horizontal="center" vertical="top" wrapText="1"/>
    </xf>
    <xf numFmtId="167" fontId="31" fillId="9" borderId="7" xfId="14" applyNumberFormat="1" applyFont="1" applyFill="1" applyBorder="1" applyAlignment="1">
      <alignment horizontal="center" vertical="top" wrapText="1"/>
    </xf>
    <xf numFmtId="168" fontId="31" fillId="9" borderId="7" xfId="14" applyNumberFormat="1" applyFont="1" applyFill="1" applyBorder="1" applyAlignment="1">
      <alignment horizontal="center" vertical="top" wrapText="1"/>
    </xf>
    <xf numFmtId="4" fontId="31" fillId="9" borderId="7" xfId="14" applyNumberFormat="1" applyFont="1" applyFill="1" applyBorder="1" applyAlignment="1">
      <alignment horizontal="center" vertical="top" wrapText="1"/>
    </xf>
    <xf numFmtId="4" fontId="31" fillId="9" borderId="7" xfId="14" applyNumberFormat="1" applyFont="1" applyFill="1" applyBorder="1" applyAlignment="1">
      <alignment horizontal="right" vertical="top" wrapText="1"/>
    </xf>
    <xf numFmtId="0" fontId="31" fillId="9" borderId="7" xfId="14" applyFont="1" applyFill="1" applyBorder="1" applyAlignment="1">
      <alignment horizontal="center" vertical="top" wrapText="1"/>
    </xf>
    <xf numFmtId="168" fontId="28" fillId="9" borderId="7" xfId="14" applyNumberFormat="1" applyFont="1" applyFill="1" applyBorder="1" applyAlignment="1">
      <alignment horizontal="center" vertical="top" wrapText="1"/>
    </xf>
    <xf numFmtId="1" fontId="31" fillId="9" borderId="7" xfId="14" applyNumberFormat="1" applyFont="1" applyFill="1" applyBorder="1" applyAlignment="1">
      <alignment horizontal="left" vertical="top" wrapText="1"/>
    </xf>
    <xf numFmtId="166" fontId="27" fillId="0" borderId="7" xfId="1" applyNumberFormat="1" applyFont="1" applyFill="1" applyBorder="1" applyAlignment="1">
      <alignment horizontal="center" vertical="top" wrapText="1"/>
    </xf>
    <xf numFmtId="166" fontId="28" fillId="0" borderId="0" xfId="1" applyNumberFormat="1" applyFont="1" applyFill="1"/>
    <xf numFmtId="166" fontId="28" fillId="0" borderId="7" xfId="1" applyNumberFormat="1" applyFont="1" applyFill="1" applyBorder="1" applyAlignment="1">
      <alignment horizontal="center" vertical="top" wrapText="1"/>
    </xf>
    <xf numFmtId="166" fontId="28" fillId="8" borderId="7" xfId="1" applyNumberFormat="1" applyFont="1" applyFill="1" applyBorder="1" applyAlignment="1">
      <alignment horizontal="center" vertical="top" wrapText="1"/>
    </xf>
    <xf numFmtId="166" fontId="0" fillId="0" borderId="0" xfId="1" applyNumberFormat="1" applyFont="1" applyFill="1"/>
    <xf numFmtId="166" fontId="28" fillId="9" borderId="7" xfId="1" applyNumberFormat="1" applyFont="1" applyFill="1" applyBorder="1" applyAlignment="1">
      <alignment horizontal="center" vertical="top" wrapText="1"/>
    </xf>
    <xf numFmtId="166" fontId="31" fillId="0" borderId="7" xfId="1" applyNumberFormat="1" applyFont="1" applyFill="1" applyBorder="1" applyAlignment="1">
      <alignment horizontal="center" vertical="top" wrapText="1"/>
    </xf>
    <xf numFmtId="166" fontId="31" fillId="8" borderId="7" xfId="1" applyNumberFormat="1" applyFont="1" applyFill="1" applyBorder="1" applyAlignment="1">
      <alignment horizontal="center" vertical="top" wrapText="1"/>
    </xf>
    <xf numFmtId="166" fontId="31" fillId="9" borderId="7" xfId="1" applyNumberFormat="1" applyFont="1" applyFill="1" applyBorder="1" applyAlignment="1">
      <alignment horizontal="center" vertical="top" wrapText="1"/>
    </xf>
    <xf numFmtId="166" fontId="31" fillId="0" borderId="7" xfId="1" applyNumberFormat="1" applyFont="1" applyFill="1" applyBorder="1"/>
    <xf numFmtId="166" fontId="28" fillId="0" borderId="7" xfId="1" applyNumberFormat="1" applyFont="1" applyFill="1" applyBorder="1" applyAlignment="1">
      <alignment vertical="top" wrapText="1"/>
    </xf>
    <xf numFmtId="166" fontId="27" fillId="0" borderId="7" xfId="1" applyNumberFormat="1" applyFont="1" applyFill="1" applyBorder="1" applyAlignment="1">
      <alignment vertical="top"/>
    </xf>
    <xf numFmtId="166" fontId="27" fillId="0" borderId="0" xfId="1" applyNumberFormat="1" applyFont="1" applyFill="1" applyBorder="1" applyAlignment="1">
      <alignment vertical="top"/>
    </xf>
    <xf numFmtId="166" fontId="31" fillId="8" borderId="7" xfId="1" applyNumberFormat="1" applyFont="1" applyFill="1" applyBorder="1"/>
    <xf numFmtId="166" fontId="27" fillId="7" borderId="7" xfId="1" applyNumberFormat="1" applyFont="1" applyFill="1" applyBorder="1" applyAlignment="1">
      <alignment vertical="top"/>
    </xf>
    <xf numFmtId="166" fontId="27" fillId="7" borderId="7" xfId="1" applyNumberFormat="1" applyFont="1" applyFill="1" applyBorder="1" applyAlignment="1">
      <alignment vertical="center"/>
    </xf>
    <xf numFmtId="166" fontId="31" fillId="9" borderId="7" xfId="1" applyNumberFormat="1" applyFont="1" applyFill="1" applyBorder="1"/>
    <xf numFmtId="165" fontId="1" fillId="0" borderId="0" xfId="13" applyNumberFormat="1" applyFill="1"/>
    <xf numFmtId="0" fontId="27" fillId="0" borderId="0" xfId="16" applyFont="1" applyFill="1" applyBorder="1" applyAlignment="1">
      <alignment horizontal="center" vertical="center" wrapText="1"/>
    </xf>
    <xf numFmtId="0" fontId="28" fillId="0" borderId="7" xfId="14" applyFont="1" applyFill="1" applyBorder="1" applyAlignment="1">
      <alignment horizontal="center" vertical="top" wrapText="1"/>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0" xfId="16" applyFont="1" applyFill="1" applyBorder="1" applyAlignment="1">
      <alignment horizontal="center" vertical="center" wrapText="1"/>
    </xf>
    <xf numFmtId="0" fontId="28" fillId="0" borderId="7" xfId="14" applyFont="1" applyFill="1" applyBorder="1" applyAlignment="1">
      <alignment horizontal="center" vertical="top" wrapText="1"/>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6" borderId="0" xfId="14" applyFont="1" applyFill="1"/>
    <xf numFmtId="0" fontId="27" fillId="6" borderId="11" xfId="14" applyFont="1" applyFill="1" applyBorder="1" applyAlignment="1"/>
    <xf numFmtId="0" fontId="27" fillId="6" borderId="11" xfId="14" applyFont="1" applyFill="1" applyBorder="1" applyAlignment="1">
      <alignment horizontal="left"/>
    </xf>
    <xf numFmtId="0" fontId="28" fillId="6" borderId="0" xfId="14" applyFont="1" applyFill="1" applyAlignment="1">
      <alignment horizontal="center"/>
    </xf>
    <xf numFmtId="166" fontId="28" fillId="6" borderId="0" xfId="1" applyNumberFormat="1" applyFont="1" applyFill="1"/>
    <xf numFmtId="165" fontId="28" fillId="6" borderId="0" xfId="15" applyNumberFormat="1" applyFont="1" applyFill="1" applyBorder="1" applyAlignment="1">
      <alignment horizontal="center" vertical="center" wrapText="1"/>
    </xf>
    <xf numFmtId="0" fontId="29" fillId="6" borderId="0" xfId="14" applyNumberFormat="1" applyFont="1" applyFill="1" applyBorder="1" applyAlignment="1">
      <alignment horizontal="center" vertical="center" wrapText="1"/>
    </xf>
    <xf numFmtId="0" fontId="28" fillId="6" borderId="0" xfId="14" applyFont="1" applyFill="1" applyBorder="1"/>
    <xf numFmtId="166" fontId="28" fillId="6" borderId="0" xfId="1" applyNumberFormat="1" applyFont="1" applyFill="1" applyBorder="1"/>
    <xf numFmtId="0" fontId="11" fillId="10" borderId="0" xfId="0" applyFont="1" applyFill="1" applyAlignment="1">
      <alignment vertical="center"/>
    </xf>
    <xf numFmtId="0" fontId="6" fillId="10" borderId="0" xfId="0" applyFont="1" applyFill="1" applyAlignment="1">
      <alignment vertical="center"/>
    </xf>
    <xf numFmtId="166" fontId="6" fillId="10" borderId="0" xfId="1" applyNumberFormat="1" applyFont="1" applyFill="1" applyAlignment="1">
      <alignment vertical="center"/>
    </xf>
    <xf numFmtId="166" fontId="6" fillId="10" borderId="0" xfId="1" quotePrefix="1" applyNumberFormat="1" applyFont="1" applyFill="1" applyAlignment="1">
      <alignment vertical="center"/>
    </xf>
    <xf numFmtId="0" fontId="11" fillId="11" borderId="0" xfId="0" applyFont="1" applyFill="1" applyAlignment="1">
      <alignment vertical="center"/>
    </xf>
    <xf numFmtId="0" fontId="6" fillId="10" borderId="15" xfId="2" applyFont="1" applyFill="1" applyBorder="1" applyAlignment="1">
      <alignment vertical="center"/>
    </xf>
    <xf numFmtId="0" fontId="6" fillId="10" borderId="7" xfId="2" applyFont="1" applyFill="1" applyBorder="1" applyAlignment="1">
      <alignment vertical="center" wrapText="1"/>
    </xf>
    <xf numFmtId="166" fontId="6" fillId="10" borderId="7" xfId="1" applyNumberFormat="1" applyFont="1" applyFill="1" applyBorder="1" applyAlignment="1">
      <alignment vertical="center" wrapText="1"/>
    </xf>
    <xf numFmtId="0" fontId="6" fillId="0" borderId="0" xfId="2" quotePrefix="1" applyFont="1" applyFill="1" applyAlignment="1">
      <alignment vertical="center"/>
    </xf>
    <xf numFmtId="0" fontId="6" fillId="12" borderId="0" xfId="2" applyFont="1" applyFill="1" applyAlignment="1">
      <alignment vertical="center"/>
    </xf>
    <xf numFmtId="0" fontId="6" fillId="12" borderId="0" xfId="0" applyFont="1" applyFill="1"/>
    <xf numFmtId="0" fontId="6" fillId="12" borderId="15" xfId="2" applyFont="1" applyFill="1" applyBorder="1" applyAlignment="1">
      <alignment horizontal="left" vertical="center"/>
    </xf>
    <xf numFmtId="0" fontId="6" fillId="12" borderId="7" xfId="2" applyFont="1" applyFill="1" applyBorder="1" applyAlignment="1">
      <alignment vertical="center" wrapText="1"/>
    </xf>
    <xf numFmtId="0" fontId="11" fillId="12" borderId="0" xfId="0" applyFont="1" applyFill="1" applyAlignment="1">
      <alignment vertical="center"/>
    </xf>
    <xf numFmtId="0" fontId="6" fillId="12" borderId="0" xfId="0" applyFont="1" applyFill="1" applyAlignment="1">
      <alignment vertical="center"/>
    </xf>
    <xf numFmtId="166" fontId="6" fillId="12" borderId="0" xfId="1" applyNumberFormat="1" applyFont="1" applyFill="1" applyAlignment="1">
      <alignment vertical="center"/>
    </xf>
    <xf numFmtId="41" fontId="6" fillId="12" borderId="0" xfId="6" applyFont="1" applyFill="1" applyAlignment="1">
      <alignment vertical="center"/>
    </xf>
    <xf numFmtId="166" fontId="6" fillId="12" borderId="0" xfId="1" quotePrefix="1" applyNumberFormat="1" applyFont="1" applyFill="1" applyAlignment="1">
      <alignment vertical="center"/>
    </xf>
    <xf numFmtId="0" fontId="6" fillId="12" borderId="7" xfId="2" applyFont="1" applyFill="1" applyBorder="1" applyAlignment="1">
      <alignment horizontal="center" vertical="center" wrapText="1"/>
    </xf>
    <xf numFmtId="0" fontId="4" fillId="0" borderId="0" xfId="2" applyFont="1" applyFill="1" applyAlignment="1">
      <alignment horizontal="center"/>
    </xf>
    <xf numFmtId="0" fontId="4" fillId="0" borderId="0" xfId="2" applyFont="1" applyFill="1" applyAlignment="1">
      <alignment horizontal="center" vertical="center"/>
    </xf>
    <xf numFmtId="166" fontId="6" fillId="0" borderId="7" xfId="1" applyNumberFormat="1" applyFont="1" applyFill="1" applyBorder="1" applyAlignment="1">
      <alignment horizontal="left" vertical="center"/>
    </xf>
    <xf numFmtId="0" fontId="2" fillId="10" borderId="0" xfId="2" applyFill="1" applyAlignment="1">
      <alignment horizontal="center" vertical="center"/>
    </xf>
    <xf numFmtId="0" fontId="2" fillId="10" borderId="0" xfId="2" applyFill="1" applyAlignment="1">
      <alignment vertical="center"/>
    </xf>
    <xf numFmtId="0" fontId="6" fillId="10" borderId="7" xfId="2" applyFont="1" applyFill="1" applyBorder="1" applyAlignment="1">
      <alignment horizontal="left" vertical="center" wrapText="1"/>
    </xf>
    <xf numFmtId="166" fontId="6" fillId="10" borderId="7" xfId="1" applyNumberFormat="1" applyFont="1" applyFill="1" applyBorder="1" applyAlignment="1">
      <alignment horizontal="left" vertical="center" wrapText="1"/>
    </xf>
    <xf numFmtId="0" fontId="6" fillId="10" borderId="7" xfId="2" applyFont="1" applyFill="1" applyBorder="1" applyAlignment="1">
      <alignment horizontal="center" vertical="center"/>
    </xf>
    <xf numFmtId="0" fontId="6" fillId="10" borderId="7" xfId="2" applyFont="1" applyFill="1" applyBorder="1" applyAlignment="1">
      <alignment vertical="center"/>
    </xf>
    <xf numFmtId="0" fontId="6" fillId="10" borderId="7" xfId="2" applyFont="1" applyFill="1" applyBorder="1" applyAlignment="1">
      <alignment horizontal="center" vertical="center" wrapText="1"/>
    </xf>
    <xf numFmtId="0" fontId="6" fillId="10" borderId="16" xfId="2" applyFont="1" applyFill="1" applyBorder="1" applyAlignment="1">
      <alignment horizontal="center" vertical="center"/>
    </xf>
    <xf numFmtId="166" fontId="6" fillId="10" borderId="0" xfId="0" applyNumberFormat="1" applyFont="1" applyFill="1" applyAlignment="1">
      <alignment vertical="center"/>
    </xf>
    <xf numFmtId="0" fontId="6" fillId="10" borderId="7" xfId="2" applyFont="1" applyFill="1" applyBorder="1" applyAlignment="1" applyProtection="1">
      <alignment horizontal="left" vertical="center" wrapText="1"/>
    </xf>
    <xf numFmtId="0" fontId="1" fillId="0" borderId="0" xfId="13" applyNumberFormat="1" applyFill="1"/>
    <xf numFmtId="0" fontId="28" fillId="0" borderId="0" xfId="14" applyNumberFormat="1" applyFont="1" applyFill="1"/>
    <xf numFmtId="0" fontId="27" fillId="0" borderId="7" xfId="14" applyNumberFormat="1" applyFont="1" applyFill="1" applyBorder="1" applyAlignment="1">
      <alignment horizontal="center" vertical="center"/>
    </xf>
    <xf numFmtId="0" fontId="31" fillId="0" borderId="7" xfId="14" applyNumberFormat="1" applyFont="1" applyFill="1" applyBorder="1" applyAlignment="1">
      <alignment horizontal="center" vertical="top" wrapText="1"/>
    </xf>
    <xf numFmtId="0" fontId="28" fillId="0" borderId="7" xfId="14" applyNumberFormat="1" applyFont="1" applyFill="1" applyBorder="1" applyAlignment="1">
      <alignment horizontal="center" vertical="top" wrapText="1"/>
    </xf>
    <xf numFmtId="0" fontId="27" fillId="0" borderId="7" xfId="14" applyNumberFormat="1" applyFont="1" applyFill="1" applyBorder="1" applyAlignment="1">
      <alignment horizontal="center" vertical="top" wrapText="1"/>
    </xf>
    <xf numFmtId="0" fontId="31" fillId="9" borderId="7" xfId="14" applyNumberFormat="1" applyFont="1" applyFill="1" applyBorder="1" applyAlignment="1">
      <alignment horizontal="center" vertical="top" wrapText="1"/>
    </xf>
    <xf numFmtId="0" fontId="1" fillId="0" borderId="0" xfId="13" applyFill="1" applyAlignment="1">
      <alignment horizontal="center" vertical="center"/>
    </xf>
    <xf numFmtId="0" fontId="28" fillId="0" borderId="7" xfId="14" applyFont="1" applyFill="1" applyBorder="1" applyAlignment="1">
      <alignment horizontal="center" vertical="center"/>
    </xf>
    <xf numFmtId="0" fontId="27" fillId="0" borderId="11" xfId="14" applyFont="1" applyFill="1" applyBorder="1" applyAlignment="1">
      <alignment horizontal="left" vertical="center"/>
    </xf>
    <xf numFmtId="0" fontId="28" fillId="9" borderId="7" xfId="14" applyFont="1" applyFill="1" applyBorder="1" applyAlignment="1">
      <alignment horizontal="center" vertical="center" wrapText="1"/>
    </xf>
    <xf numFmtId="1" fontId="6" fillId="10" borderId="7" xfId="2" applyNumberFormat="1" applyFont="1" applyFill="1" applyBorder="1" applyAlignment="1" applyProtection="1">
      <alignment horizontal="center" vertical="center" wrapText="1"/>
    </xf>
    <xf numFmtId="0" fontId="6" fillId="10" borderId="7" xfId="2" applyFont="1" applyFill="1" applyBorder="1" applyAlignment="1">
      <alignment horizontal="left" vertical="center"/>
    </xf>
    <xf numFmtId="0" fontId="31" fillId="0" borderId="11" xfId="14" applyFont="1" applyFill="1" applyBorder="1" applyAlignment="1">
      <alignment horizontal="center" vertical="top" wrapText="1"/>
    </xf>
    <xf numFmtId="169" fontId="32" fillId="0" borderId="0" xfId="19" applyNumberFormat="1" applyFont="1" applyFill="1" applyBorder="1"/>
    <xf numFmtId="169" fontId="32" fillId="0" borderId="11" xfId="19" applyNumberFormat="1" applyFont="1" applyFill="1" applyBorder="1"/>
    <xf numFmtId="166" fontId="31" fillId="0" borderId="11" xfId="1" applyNumberFormat="1" applyFont="1" applyFill="1" applyBorder="1" applyAlignment="1">
      <alignment horizontal="center" vertical="top" wrapText="1"/>
    </xf>
    <xf numFmtId="0" fontId="27" fillId="0" borderId="11" xfId="14" applyFont="1" applyFill="1" applyBorder="1" applyAlignment="1">
      <alignment horizontal="center" vertical="top"/>
    </xf>
    <xf numFmtId="0" fontId="27" fillId="0" borderId="29" xfId="14" applyFont="1" applyFill="1" applyBorder="1" applyAlignment="1">
      <alignment horizontal="center" vertical="top"/>
    </xf>
    <xf numFmtId="0" fontId="27" fillId="0" borderId="29" xfId="14" applyFont="1" applyFill="1" applyBorder="1" applyAlignment="1">
      <alignment horizontal="center" vertical="top"/>
    </xf>
    <xf numFmtId="169" fontId="1" fillId="0" borderId="29" xfId="19" applyNumberFormat="1" applyFill="1" applyBorder="1"/>
    <xf numFmtId="165" fontId="28" fillId="0" borderId="29" xfId="15" applyNumberFormat="1" applyFont="1" applyFill="1" applyBorder="1" applyAlignment="1">
      <alignment horizontal="center" vertical="top" wrapText="1"/>
    </xf>
    <xf numFmtId="166" fontId="28" fillId="0" borderId="29" xfId="1" applyNumberFormat="1" applyFont="1" applyFill="1" applyBorder="1" applyAlignment="1">
      <alignment horizontal="center" vertical="top" wrapText="1"/>
    </xf>
    <xf numFmtId="0" fontId="16" fillId="10" borderId="16" xfId="2" applyFont="1" applyFill="1" applyBorder="1" applyAlignment="1">
      <alignment horizontal="left"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0" borderId="7" xfId="14" applyFont="1" applyFill="1" applyBorder="1" applyAlignment="1">
      <alignment horizontal="center" vertical="center" wrapText="1"/>
    </xf>
    <xf numFmtId="0" fontId="28" fillId="0" borderId="7" xfId="14" applyFont="1" applyFill="1" applyBorder="1" applyAlignment="1">
      <alignment horizontal="center" vertical="top" wrapText="1"/>
    </xf>
    <xf numFmtId="166" fontId="9" fillId="10" borderId="16" xfId="1" applyNumberFormat="1" applyFont="1" applyFill="1" applyBorder="1" applyAlignment="1">
      <alignment horizontal="left" vertical="center"/>
    </xf>
    <xf numFmtId="41" fontId="6" fillId="10" borderId="7" xfId="1" applyFont="1" applyFill="1" applyBorder="1" applyAlignment="1">
      <alignment horizontal="left" vertical="center"/>
    </xf>
    <xf numFmtId="0" fontId="2" fillId="0" borderId="0" xfId="2" applyFont="1" applyFill="1" applyAlignment="1">
      <alignment vertical="center"/>
    </xf>
    <xf numFmtId="0" fontId="2" fillId="0" borderId="0" xfId="1" applyNumberFormat="1" applyFont="1" applyFill="1" applyAlignment="1">
      <alignment horizontal="center" vertical="center"/>
    </xf>
    <xf numFmtId="0" fontId="6" fillId="0" borderId="0" xfId="1" applyNumberFormat="1" applyFont="1" applyFill="1" applyAlignment="1">
      <alignment horizontal="center" vertical="center"/>
    </xf>
    <xf numFmtId="0" fontId="11" fillId="0" borderId="7" xfId="1" applyNumberFormat="1" applyFont="1" applyFill="1" applyBorder="1" applyAlignment="1">
      <alignment horizontal="center" vertical="center"/>
    </xf>
    <xf numFmtId="0" fontId="11" fillId="0" borderId="0" xfId="1" applyNumberFormat="1" applyFont="1" applyFill="1" applyAlignment="1">
      <alignment horizontal="center" vertical="center"/>
    </xf>
    <xf numFmtId="0" fontId="4" fillId="0" borderId="0" xfId="1" applyNumberFormat="1" applyFont="1" applyFill="1" applyAlignment="1">
      <alignment horizontal="center" vertical="center"/>
    </xf>
    <xf numFmtId="0" fontId="6" fillId="10" borderId="0" xfId="1" applyNumberFormat="1" applyFont="1" applyFill="1" applyAlignment="1">
      <alignment horizontal="center" vertical="center"/>
    </xf>
    <xf numFmtId="0" fontId="6" fillId="10" borderId="7" xfId="2" applyFont="1" applyFill="1" applyBorder="1" applyAlignment="1" applyProtection="1">
      <alignment horizontal="center" vertical="center" wrapText="1"/>
    </xf>
    <xf numFmtId="0" fontId="0" fillId="0" borderId="0" xfId="13" applyFont="1" applyFill="1" applyAlignment="1">
      <alignment horizontal="center" vertical="center"/>
    </xf>
    <xf numFmtId="0" fontId="0" fillId="0" borderId="0" xfId="13" applyFont="1" applyFill="1"/>
    <xf numFmtId="166" fontId="27" fillId="13" borderId="7" xfId="1" applyNumberFormat="1" applyFont="1" applyFill="1" applyBorder="1" applyAlignment="1">
      <alignment vertical="top"/>
    </xf>
    <xf numFmtId="0" fontId="28" fillId="0" borderId="7" xfId="14" applyFont="1" applyFill="1" applyBorder="1" applyAlignment="1">
      <alignment horizontal="center" vertical="top" wrapText="1"/>
    </xf>
    <xf numFmtId="0" fontId="6" fillId="12" borderId="7" xfId="2" applyFont="1" applyFill="1" applyBorder="1" applyAlignment="1">
      <alignment horizontal="center" vertical="center"/>
    </xf>
    <xf numFmtId="0" fontId="11" fillId="12" borderId="7" xfId="2" applyFont="1" applyFill="1" applyBorder="1" applyAlignment="1">
      <alignment vertical="center"/>
    </xf>
    <xf numFmtId="41" fontId="6" fillId="12" borderId="7" xfId="1" applyFont="1" applyFill="1" applyBorder="1" applyAlignment="1">
      <alignment horizontal="center" vertical="center"/>
    </xf>
    <xf numFmtId="0" fontId="6" fillId="12" borderId="7" xfId="2" applyFont="1" applyFill="1" applyBorder="1" applyAlignment="1">
      <alignment vertical="center"/>
    </xf>
    <xf numFmtId="0" fontId="6" fillId="12" borderId="7" xfId="2" applyFont="1" applyFill="1" applyBorder="1" applyAlignment="1">
      <alignment horizontal="left" vertical="center"/>
    </xf>
    <xf numFmtId="166" fontId="6" fillId="12" borderId="7" xfId="1" applyNumberFormat="1" applyFont="1" applyFill="1" applyBorder="1" applyAlignment="1">
      <alignment vertical="center"/>
    </xf>
    <xf numFmtId="0" fontId="6" fillId="12" borderId="16" xfId="2" applyFont="1" applyFill="1" applyBorder="1" applyAlignment="1">
      <alignment vertical="center"/>
    </xf>
    <xf numFmtId="0" fontId="6" fillId="12" borderId="15" xfId="2" applyFont="1" applyFill="1" applyBorder="1" applyAlignment="1">
      <alignment vertical="center"/>
    </xf>
    <xf numFmtId="0" fontId="6" fillId="12" borderId="7" xfId="2" applyFont="1" applyFill="1" applyBorder="1" applyAlignment="1">
      <alignment horizontal="left" vertical="center" wrapText="1"/>
    </xf>
    <xf numFmtId="41" fontId="6" fillId="12" borderId="7" xfId="1" applyFont="1" applyFill="1" applyBorder="1" applyAlignment="1">
      <alignment horizontal="center" vertical="center" wrapText="1"/>
    </xf>
    <xf numFmtId="41" fontId="6" fillId="12" borderId="7" xfId="1" applyFont="1" applyFill="1" applyBorder="1" applyAlignment="1">
      <alignment vertical="center"/>
    </xf>
    <xf numFmtId="166" fontId="6" fillId="12" borderId="7" xfId="1" applyNumberFormat="1" applyFont="1" applyFill="1" applyBorder="1" applyAlignment="1">
      <alignment horizontal="center" vertical="center" wrapText="1"/>
    </xf>
    <xf numFmtId="166" fontId="6" fillId="12" borderId="7" xfId="6" applyNumberFormat="1" applyFont="1" applyFill="1" applyBorder="1" applyAlignment="1">
      <alignment vertical="center" wrapText="1"/>
    </xf>
    <xf numFmtId="0" fontId="6" fillId="12" borderId="16" xfId="2" applyFont="1" applyFill="1" applyBorder="1" applyAlignment="1">
      <alignment horizontal="center" vertical="center"/>
    </xf>
    <xf numFmtId="0" fontId="28" fillId="0" borderId="7" xfId="14" applyFont="1" applyFill="1" applyBorder="1" applyAlignment="1">
      <alignment vertical="center" wrapText="1"/>
    </xf>
    <xf numFmtId="169" fontId="1" fillId="0" borderId="11" xfId="19" applyNumberFormat="1" applyFill="1" applyBorder="1"/>
    <xf numFmtId="166" fontId="28" fillId="0" borderId="11" xfId="1" applyNumberFormat="1" applyFont="1" applyFill="1" applyBorder="1" applyAlignment="1">
      <alignment horizontal="center" vertical="top" wrapText="1"/>
    </xf>
    <xf numFmtId="0" fontId="27" fillId="0" borderId="29" xfId="14" applyFont="1" applyFill="1" applyBorder="1" applyAlignment="1">
      <alignment horizontal="center" vertical="center"/>
    </xf>
    <xf numFmtId="0" fontId="27" fillId="0" borderId="11" xfId="14" applyFont="1" applyFill="1" applyBorder="1" applyAlignment="1">
      <alignment horizontal="center" vertical="center"/>
    </xf>
    <xf numFmtId="165" fontId="28" fillId="0" borderId="11" xfId="15" applyNumberFormat="1" applyFont="1" applyFill="1" applyBorder="1" applyAlignment="1">
      <alignment horizontal="center" vertical="top" wrapText="1"/>
    </xf>
    <xf numFmtId="166" fontId="28" fillId="0" borderId="9" xfId="1" applyNumberFormat="1" applyFont="1" applyFill="1" applyBorder="1" applyAlignment="1">
      <alignment horizontal="center" vertical="top" wrapText="1"/>
    </xf>
    <xf numFmtId="0" fontId="0" fillId="0" borderId="0" xfId="13" applyNumberFormat="1" applyFont="1" applyFill="1"/>
    <xf numFmtId="0" fontId="31" fillId="8" borderId="7" xfId="14" applyNumberFormat="1" applyFont="1" applyFill="1" applyBorder="1" applyAlignment="1">
      <alignment horizontal="center" vertical="top" wrapText="1"/>
    </xf>
    <xf numFmtId="0" fontId="28" fillId="6" borderId="0" xfId="14" applyNumberFormat="1" applyFont="1" applyFill="1"/>
    <xf numFmtId="166" fontId="29" fillId="0" borderId="7" xfId="1" applyNumberFormat="1" applyFont="1" applyFill="1" applyBorder="1" applyAlignment="1">
      <alignment horizontal="center" vertical="top" wrapText="1"/>
    </xf>
    <xf numFmtId="166" fontId="34" fillId="0" borderId="7" xfId="1" applyNumberFormat="1" applyFont="1" applyFill="1" applyBorder="1" applyAlignment="1">
      <alignment horizontal="center" vertical="top" wrapText="1"/>
    </xf>
    <xf numFmtId="166" fontId="34" fillId="0" borderId="0" xfId="1" applyNumberFormat="1" applyFont="1" applyFill="1" applyBorder="1" applyAlignment="1">
      <alignment horizontal="center" vertical="top" wrapText="1"/>
    </xf>
    <xf numFmtId="166" fontId="34" fillId="0" borderId="7" xfId="1" applyNumberFormat="1" applyFont="1" applyFill="1" applyBorder="1" applyAlignment="1">
      <alignment horizontal="center" vertical="center" wrapText="1"/>
    </xf>
    <xf numFmtId="166" fontId="34" fillId="0" borderId="0" xfId="1" applyNumberFormat="1" applyFont="1" applyFill="1" applyBorder="1" applyAlignment="1">
      <alignment horizontal="center" vertical="center" wrapText="1"/>
    </xf>
    <xf numFmtId="166" fontId="11" fillId="0" borderId="6" xfId="1" applyNumberFormat="1" applyFont="1" applyFill="1" applyBorder="1" applyAlignment="1">
      <alignment horizontal="center" vertical="center"/>
    </xf>
    <xf numFmtId="0" fontId="28" fillId="0" borderId="7" xfId="14" applyFont="1" applyFill="1" applyBorder="1" applyAlignment="1">
      <alignment horizontal="center" vertical="top" wrapText="1"/>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0" borderId="7" xfId="14" applyFont="1" applyFill="1" applyBorder="1" applyAlignment="1">
      <alignment horizontal="center" vertical="top" wrapText="1"/>
    </xf>
    <xf numFmtId="0" fontId="28" fillId="0" borderId="29" xfId="14" applyFont="1" applyFill="1" applyBorder="1" applyAlignment="1">
      <alignment horizontal="center" vertical="top" wrapText="1"/>
    </xf>
    <xf numFmtId="166" fontId="27" fillId="0" borderId="0" xfId="1" applyNumberFormat="1" applyFont="1" applyFill="1" applyBorder="1" applyAlignment="1">
      <alignment vertical="center"/>
    </xf>
    <xf numFmtId="0" fontId="2" fillId="0" borderId="0" xfId="2" applyFill="1" applyAlignment="1">
      <alignment horizontal="center"/>
    </xf>
    <xf numFmtId="0" fontId="3" fillId="0" borderId="0" xfId="2" applyFont="1" applyFill="1" applyAlignment="1">
      <alignment horizontal="center"/>
    </xf>
    <xf numFmtId="0" fontId="6" fillId="0" borderId="0" xfId="2" applyFont="1" applyFill="1" applyAlignment="1">
      <alignment horizontal="center"/>
    </xf>
    <xf numFmtId="0" fontId="13" fillId="0" borderId="7" xfId="2" applyFont="1" applyFill="1" applyBorder="1" applyAlignment="1">
      <alignment horizontal="center" vertical="center"/>
    </xf>
    <xf numFmtId="0" fontId="11" fillId="0" borderId="7" xfId="2" applyFont="1" applyFill="1" applyBorder="1" applyAlignment="1">
      <alignment horizontal="center" vertical="center"/>
    </xf>
    <xf numFmtId="166" fontId="3" fillId="0" borderId="0" xfId="1" applyNumberFormat="1" applyFont="1" applyFill="1" applyAlignment="1">
      <alignment horizontal="center"/>
    </xf>
    <xf numFmtId="0" fontId="28" fillId="0" borderId="7" xfId="14" applyFont="1" applyFill="1" applyBorder="1" applyAlignment="1">
      <alignment horizontal="center" vertical="top" wrapText="1"/>
    </xf>
    <xf numFmtId="166" fontId="0" fillId="0" borderId="0" xfId="1" applyNumberFormat="1" applyFont="1"/>
    <xf numFmtId="0" fontId="0" fillId="0" borderId="0" xfId="0" applyAlignment="1">
      <alignment horizontal="center" vertical="center" wrapText="1"/>
    </xf>
    <xf numFmtId="166" fontId="0" fillId="0" borderId="0" xfId="1" applyNumberFormat="1" applyFont="1" applyAlignment="1">
      <alignment horizontal="center" vertical="center" wrapText="1"/>
    </xf>
    <xf numFmtId="0" fontId="0" fillId="0" borderId="0" xfId="0" applyFill="1" applyAlignment="1">
      <alignment vertical="center"/>
    </xf>
    <xf numFmtId="0" fontId="0" fillId="10" borderId="0" xfId="0" applyFill="1" applyAlignment="1">
      <alignment vertical="center"/>
    </xf>
    <xf numFmtId="0" fontId="28" fillId="0" borderId="7" xfId="14" applyFont="1" applyFill="1" applyBorder="1" applyAlignment="1">
      <alignment horizontal="center" vertical="top" wrapText="1"/>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29" xfId="14" applyFont="1" applyFill="1" applyBorder="1" applyAlignment="1">
      <alignment horizontal="center" vertical="top"/>
    </xf>
    <xf numFmtId="0" fontId="28" fillId="0" borderId="7" xfId="14" applyFont="1" applyFill="1" applyBorder="1" applyAlignment="1">
      <alignment horizontal="center" vertical="top" wrapText="1"/>
    </xf>
    <xf numFmtId="0" fontId="31" fillId="11" borderId="0" xfId="14" applyFont="1" applyFill="1" applyAlignment="1">
      <alignment horizontal="center" vertical="top" wrapText="1"/>
    </xf>
    <xf numFmtId="0" fontId="28" fillId="11" borderId="7" xfId="14" applyFont="1" applyFill="1" applyBorder="1" applyAlignment="1">
      <alignment horizontal="center" vertical="center" wrapText="1"/>
    </xf>
    <xf numFmtId="0" fontId="31" fillId="11" borderId="7" xfId="18" applyFont="1" applyFill="1" applyBorder="1" applyAlignment="1">
      <alignment horizontal="left"/>
    </xf>
    <xf numFmtId="14" fontId="31" fillId="11" borderId="7" xfId="14" applyNumberFormat="1" applyFont="1" applyFill="1" applyBorder="1" applyAlignment="1">
      <alignment horizontal="center" vertical="top" wrapText="1"/>
    </xf>
    <xf numFmtId="1" fontId="31" fillId="11" borderId="7" xfId="14" applyNumberFormat="1" applyFont="1" applyFill="1" applyBorder="1" applyAlignment="1">
      <alignment wrapText="1"/>
    </xf>
    <xf numFmtId="166" fontId="31" fillId="11" borderId="7" xfId="1" applyNumberFormat="1" applyFont="1" applyFill="1" applyBorder="1"/>
    <xf numFmtId="1" fontId="28" fillId="11" borderId="7" xfId="14" applyNumberFormat="1" applyFont="1" applyFill="1" applyBorder="1" applyAlignment="1">
      <alignment horizontal="center" vertical="top" wrapText="1"/>
    </xf>
    <xf numFmtId="3" fontId="31" fillId="11" borderId="7" xfId="15" applyNumberFormat="1" applyFont="1" applyFill="1" applyBorder="1" applyAlignment="1">
      <alignment horizontal="center" vertical="top" wrapText="1"/>
    </xf>
    <xf numFmtId="1" fontId="31" fillId="11" borderId="7" xfId="14" applyNumberFormat="1" applyFont="1" applyFill="1" applyBorder="1" applyAlignment="1">
      <alignment horizontal="center" vertical="top" wrapText="1"/>
    </xf>
    <xf numFmtId="9" fontId="29" fillId="11" borderId="7" xfId="20" applyFont="1" applyFill="1" applyBorder="1" applyAlignment="1">
      <alignment horizontal="center" vertical="top" wrapText="1"/>
    </xf>
    <xf numFmtId="3" fontId="28" fillId="11" borderId="7" xfId="14" applyNumberFormat="1" applyFont="1" applyFill="1" applyBorder="1" applyAlignment="1">
      <alignment horizontal="center" vertical="top" wrapText="1"/>
    </xf>
    <xf numFmtId="0" fontId="28" fillId="11" borderId="7" xfId="14" applyNumberFormat="1" applyFont="1" applyFill="1" applyBorder="1" applyAlignment="1">
      <alignment horizontal="center" vertical="top" wrapText="1"/>
    </xf>
    <xf numFmtId="168" fontId="28" fillId="11" borderId="7" xfId="14" applyNumberFormat="1" applyFont="1" applyFill="1" applyBorder="1" applyAlignment="1">
      <alignment horizontal="center" vertical="top" wrapText="1"/>
    </xf>
    <xf numFmtId="4" fontId="31" fillId="11" borderId="7" xfId="14" applyNumberFormat="1" applyFont="1" applyFill="1" applyBorder="1" applyAlignment="1">
      <alignment horizontal="center" vertical="top" wrapText="1"/>
    </xf>
    <xf numFmtId="4" fontId="31" fillId="11" borderId="7" xfId="14" applyNumberFormat="1" applyFont="1" applyFill="1" applyBorder="1" applyAlignment="1">
      <alignment horizontal="right" vertical="top" wrapText="1"/>
    </xf>
    <xf numFmtId="0" fontId="28" fillId="11" borderId="7" xfId="14" applyFont="1" applyFill="1" applyBorder="1" applyAlignment="1">
      <alignment horizontal="center" vertical="top" wrapText="1"/>
    </xf>
    <xf numFmtId="166" fontId="28" fillId="11" borderId="7" xfId="1" applyNumberFormat="1" applyFont="1" applyFill="1" applyBorder="1" applyAlignment="1">
      <alignment horizontal="center" vertical="top" wrapText="1"/>
    </xf>
    <xf numFmtId="1" fontId="31" fillId="11" borderId="7" xfId="14" applyNumberFormat="1" applyFont="1" applyFill="1" applyBorder="1" applyAlignment="1">
      <alignment horizontal="left" vertical="top" wrapText="1"/>
    </xf>
    <xf numFmtId="43" fontId="31" fillId="11" borderId="0" xfId="14" applyNumberFormat="1" applyFont="1" applyFill="1" applyBorder="1" applyAlignment="1">
      <alignment horizontal="center" vertical="top" wrapText="1"/>
    </xf>
    <xf numFmtId="169" fontId="32" fillId="11" borderId="0" xfId="19" applyNumberFormat="1" applyFont="1" applyFill="1" applyBorder="1"/>
    <xf numFmtId="0" fontId="31" fillId="11" borderId="0" xfId="14" applyFont="1" applyFill="1" applyBorder="1" applyAlignment="1">
      <alignment horizontal="center" vertical="top" wrapText="1"/>
    </xf>
    <xf numFmtId="166" fontId="31" fillId="11" borderId="0" xfId="1" applyNumberFormat="1" applyFont="1" applyFill="1" applyBorder="1" applyAlignment="1">
      <alignment horizontal="center" vertical="top" wrapText="1"/>
    </xf>
    <xf numFmtId="14" fontId="31" fillId="11" borderId="0" xfId="14" applyNumberFormat="1" applyFont="1" applyFill="1" applyBorder="1" applyAlignment="1">
      <alignment horizontal="center" vertical="top" wrapText="1"/>
    </xf>
    <xf numFmtId="0" fontId="31" fillId="11" borderId="0" xfId="17" applyNumberFormat="1" applyFont="1" applyFill="1" applyBorder="1" applyAlignment="1">
      <alignment horizontal="center" vertical="top" wrapText="1"/>
    </xf>
    <xf numFmtId="166" fontId="31" fillId="11" borderId="0" xfId="17" applyNumberFormat="1" applyFont="1" applyFill="1" applyBorder="1" applyAlignment="1">
      <alignment horizontal="center" vertical="top" wrapText="1"/>
    </xf>
    <xf numFmtId="0" fontId="31" fillId="11" borderId="0" xfId="14" applyNumberFormat="1" applyFont="1" applyFill="1" applyBorder="1" applyAlignment="1">
      <alignment horizontal="center" vertical="top" wrapText="1"/>
    </xf>
    <xf numFmtId="166" fontId="31" fillId="11" borderId="0" xfId="14" applyNumberFormat="1" applyFont="1" applyFill="1" applyBorder="1" applyAlignment="1">
      <alignment horizontal="center" vertical="top" wrapText="1"/>
    </xf>
    <xf numFmtId="170" fontId="31" fillId="11" borderId="0" xfId="14" applyNumberFormat="1" applyFont="1" applyFill="1" applyBorder="1" applyAlignment="1">
      <alignment horizontal="center" vertical="top" wrapText="1"/>
    </xf>
    <xf numFmtId="171" fontId="31" fillId="11" borderId="0" xfId="14" applyNumberFormat="1" applyFont="1" applyFill="1" applyBorder="1" applyAlignment="1">
      <alignment horizontal="center" vertical="top" wrapText="1"/>
    </xf>
    <xf numFmtId="166" fontId="31" fillId="11" borderId="0" xfId="17" applyNumberFormat="1" applyFont="1" applyFill="1" applyAlignment="1">
      <alignment horizontal="center" vertical="top" wrapText="1"/>
    </xf>
    <xf numFmtId="14" fontId="31" fillId="11" borderId="0" xfId="14" applyNumberFormat="1" applyFont="1" applyFill="1" applyAlignment="1">
      <alignment horizontal="center" vertical="top" wrapText="1"/>
    </xf>
    <xf numFmtId="0" fontId="2" fillId="11" borderId="0" xfId="2" applyFill="1" applyAlignment="1">
      <alignment horizontal="center" vertical="center"/>
    </xf>
    <xf numFmtId="0" fontId="2" fillId="11" borderId="0" xfId="2" applyFill="1" applyAlignment="1">
      <alignment vertical="center"/>
    </xf>
    <xf numFmtId="0" fontId="0" fillId="11" borderId="0" xfId="0" applyFill="1" applyAlignment="1">
      <alignment vertical="center"/>
    </xf>
    <xf numFmtId="0" fontId="6" fillId="11" borderId="15" xfId="2" applyFont="1" applyFill="1" applyBorder="1" applyAlignment="1">
      <alignment vertical="center"/>
    </xf>
    <xf numFmtId="0" fontId="6" fillId="11" borderId="7" xfId="2" applyFont="1" applyFill="1" applyBorder="1" applyAlignment="1">
      <alignment horizontal="left" vertical="center" wrapText="1"/>
    </xf>
    <xf numFmtId="166" fontId="6" fillId="11" borderId="7" xfId="1" applyNumberFormat="1" applyFont="1" applyFill="1" applyBorder="1" applyAlignment="1">
      <alignment horizontal="left" vertical="center" wrapText="1"/>
    </xf>
    <xf numFmtId="0" fontId="6" fillId="11" borderId="7" xfId="2" applyFont="1" applyFill="1" applyBorder="1" applyAlignment="1">
      <alignment vertical="center" wrapText="1"/>
    </xf>
    <xf numFmtId="0" fontId="6" fillId="11" borderId="7" xfId="2" applyFont="1" applyFill="1" applyBorder="1" applyAlignment="1">
      <alignment horizontal="center" vertical="center"/>
    </xf>
    <xf numFmtId="0" fontId="6" fillId="11" borderId="7" xfId="2" applyFont="1" applyFill="1" applyBorder="1" applyAlignment="1">
      <alignment vertical="center"/>
    </xf>
    <xf numFmtId="0" fontId="6" fillId="11" borderId="7" xfId="2" applyFont="1" applyFill="1" applyBorder="1" applyAlignment="1" applyProtection="1">
      <alignment horizontal="left" vertical="center" wrapText="1"/>
    </xf>
    <xf numFmtId="0" fontId="6" fillId="11" borderId="7" xfId="2" applyFont="1" applyFill="1" applyBorder="1" applyAlignment="1">
      <alignment horizontal="center" vertical="center" wrapText="1"/>
    </xf>
    <xf numFmtId="166" fontId="6" fillId="11" borderId="7" xfId="1" applyNumberFormat="1" applyFont="1" applyFill="1" applyBorder="1" applyAlignment="1">
      <alignment vertical="center" wrapText="1"/>
    </xf>
    <xf numFmtId="0" fontId="6" fillId="11" borderId="16" xfId="2" applyFont="1" applyFill="1" applyBorder="1" applyAlignment="1">
      <alignment horizontal="center" vertical="center"/>
    </xf>
    <xf numFmtId="0" fontId="6" fillId="11" borderId="0" xfId="0" applyFont="1" applyFill="1" applyAlignment="1">
      <alignment vertical="center"/>
    </xf>
    <xf numFmtId="166" fontId="6" fillId="11" borderId="0" xfId="1" applyNumberFormat="1" applyFont="1" applyFill="1" applyAlignment="1">
      <alignment vertical="center"/>
    </xf>
    <xf numFmtId="0" fontId="6" fillId="11" borderId="0" xfId="1" applyNumberFormat="1" applyFont="1" applyFill="1" applyAlignment="1">
      <alignment horizontal="center" vertical="center"/>
    </xf>
    <xf numFmtId="166" fontId="6" fillId="11" borderId="0" xfId="1" quotePrefix="1" applyNumberFormat="1" applyFont="1" applyFill="1" applyAlignment="1">
      <alignment vertical="center"/>
    </xf>
    <xf numFmtId="166" fontId="6" fillId="11" borderId="0" xfId="0" applyNumberFormat="1" applyFont="1" applyFill="1" applyAlignment="1">
      <alignment vertical="center"/>
    </xf>
    <xf numFmtId="0" fontId="6" fillId="11" borderId="7" xfId="2" applyFont="1" applyFill="1" applyBorder="1" applyAlignment="1">
      <alignment horizontal="left" vertical="center"/>
    </xf>
    <xf numFmtId="0" fontId="16" fillId="11" borderId="16" xfId="2" applyFont="1" applyFill="1" applyBorder="1" applyAlignment="1">
      <alignment horizontal="left"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0" borderId="7" xfId="14" applyFont="1" applyFill="1" applyBorder="1" applyAlignment="1">
      <alignment horizontal="center" vertical="top" wrapText="1"/>
    </xf>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29" xfId="14" applyFont="1" applyFill="1" applyBorder="1" applyAlignment="1">
      <alignment horizontal="center" vertical="top"/>
    </xf>
    <xf numFmtId="0" fontId="28" fillId="0" borderId="7" xfId="14" applyFont="1" applyFill="1" applyBorder="1" applyAlignment="1">
      <alignment horizontal="center" vertical="top" wrapText="1"/>
    </xf>
    <xf numFmtId="41" fontId="36" fillId="0" borderId="0" xfId="1" applyFont="1" applyFill="1" applyAlignment="1">
      <alignment horizontal="center" vertical="center"/>
    </xf>
    <xf numFmtId="41" fontId="38" fillId="0" borderId="0" xfId="1" applyFont="1" applyFill="1" applyAlignment="1">
      <alignment horizontal="center" vertical="center"/>
    </xf>
    <xf numFmtId="41" fontId="38" fillId="0" borderId="0" xfId="1" applyFont="1" applyFill="1" applyBorder="1" applyAlignment="1">
      <alignment horizontal="center" vertical="center"/>
    </xf>
    <xf numFmtId="0" fontId="39" fillId="0" borderId="20" xfId="4" applyFont="1" applyFill="1" applyBorder="1" applyAlignment="1">
      <alignment horizontal="center" vertical="center"/>
    </xf>
    <xf numFmtId="0" fontId="39" fillId="0" borderId="6" xfId="4" applyFont="1" applyFill="1" applyBorder="1" applyAlignment="1">
      <alignment horizontal="center" vertical="center"/>
    </xf>
    <xf numFmtId="0" fontId="39" fillId="0" borderId="6" xfId="2" applyFont="1" applyFill="1" applyBorder="1" applyAlignment="1">
      <alignment horizontal="center" vertical="center"/>
    </xf>
    <xf numFmtId="41" fontId="39" fillId="0" borderId="6" xfId="1" applyFont="1" applyFill="1" applyBorder="1" applyAlignment="1">
      <alignment horizontal="center" vertical="center"/>
    </xf>
    <xf numFmtId="0" fontId="41" fillId="0" borderId="6" xfId="2" applyFont="1" applyFill="1" applyBorder="1" applyAlignment="1">
      <alignment horizontal="center" vertical="center"/>
    </xf>
    <xf numFmtId="41" fontId="41" fillId="0" borderId="6" xfId="1" applyFont="1" applyFill="1" applyBorder="1" applyAlignment="1">
      <alignment horizontal="center" vertical="center"/>
    </xf>
    <xf numFmtId="0" fontId="39" fillId="0" borderId="6" xfId="2" applyFont="1" applyFill="1" applyBorder="1" applyAlignment="1">
      <alignment horizontal="left" vertical="center"/>
    </xf>
    <xf numFmtId="0" fontId="39" fillId="0" borderId="21" xfId="4" applyFont="1" applyFill="1" applyBorder="1" applyAlignment="1">
      <alignment horizontal="center" vertical="center"/>
    </xf>
    <xf numFmtId="1" fontId="42" fillId="0" borderId="7" xfId="1" applyNumberFormat="1" applyFont="1" applyFill="1" applyBorder="1" applyAlignment="1">
      <alignment horizontal="center" vertical="center"/>
    </xf>
    <xf numFmtId="0" fontId="41" fillId="0" borderId="15" xfId="2" applyFont="1" applyFill="1" applyBorder="1" applyAlignment="1">
      <alignment horizontal="left" vertical="center"/>
    </xf>
    <xf numFmtId="41" fontId="41" fillId="0" borderId="7" xfId="1" applyFont="1" applyFill="1" applyBorder="1" applyAlignment="1">
      <alignment horizontal="center" vertical="center"/>
    </xf>
    <xf numFmtId="0" fontId="41" fillId="0" borderId="0" xfId="2" applyFont="1" applyFill="1" applyAlignment="1">
      <alignment vertical="center"/>
    </xf>
    <xf numFmtId="0" fontId="39" fillId="0" borderId="15" xfId="2" applyFont="1" applyFill="1" applyBorder="1" applyAlignment="1">
      <alignment horizontal="left" vertical="center"/>
    </xf>
    <xf numFmtId="0" fontId="39" fillId="0" borderId="7" xfId="2" applyFont="1" applyFill="1" applyBorder="1" applyAlignment="1">
      <alignment vertical="center" wrapText="1"/>
    </xf>
    <xf numFmtId="166" fontId="39" fillId="0" borderId="7" xfId="1" applyNumberFormat="1" applyFont="1" applyFill="1" applyBorder="1" applyAlignment="1">
      <alignment vertical="center" wrapText="1"/>
    </xf>
    <xf numFmtId="0" fontId="41" fillId="0" borderId="7" xfId="2" applyFont="1" applyFill="1" applyBorder="1" applyAlignment="1">
      <alignment horizontal="center" vertical="center"/>
    </xf>
    <xf numFmtId="0" fontId="41" fillId="0" borderId="7" xfId="2" applyFont="1" applyFill="1" applyBorder="1" applyAlignment="1">
      <alignment vertical="center"/>
    </xf>
    <xf numFmtId="0" fontId="41" fillId="0" borderId="7" xfId="2" applyFont="1" applyFill="1" applyBorder="1" applyAlignment="1">
      <alignment horizontal="left" vertical="center"/>
    </xf>
    <xf numFmtId="166" fontId="39" fillId="0" borderId="7" xfId="1" applyNumberFormat="1" applyFont="1" applyFill="1" applyBorder="1" applyAlignment="1">
      <alignment vertical="center"/>
    </xf>
    <xf numFmtId="0" fontId="41" fillId="0" borderId="16" xfId="2" applyFont="1" applyFill="1" applyBorder="1" applyAlignment="1">
      <alignment vertical="center"/>
    </xf>
    <xf numFmtId="166" fontId="41" fillId="0" borderId="0" xfId="6" applyNumberFormat="1" applyFont="1" applyFill="1" applyAlignment="1">
      <alignment vertical="center"/>
    </xf>
    <xf numFmtId="41" fontId="41" fillId="0" borderId="0" xfId="1" applyFont="1" applyFill="1" applyAlignment="1">
      <alignment vertical="center"/>
    </xf>
    <xf numFmtId="166" fontId="41" fillId="0" borderId="0" xfId="1" applyNumberFormat="1" applyFont="1" applyFill="1" applyAlignment="1">
      <alignment vertical="center"/>
    </xf>
    <xf numFmtId="0" fontId="39" fillId="0" borderId="0" xfId="2" applyFont="1" applyFill="1" applyAlignment="1">
      <alignment vertical="center"/>
    </xf>
    <xf numFmtId="0" fontId="39" fillId="0" borderId="7" xfId="2" applyFont="1" applyFill="1" applyBorder="1" applyAlignment="1">
      <alignment horizontal="center" vertical="center"/>
    </xf>
    <xf numFmtId="0" fontId="39" fillId="0" borderId="7" xfId="2" applyFont="1" applyFill="1" applyBorder="1" applyAlignment="1">
      <alignment vertical="center"/>
    </xf>
    <xf numFmtId="0" fontId="39" fillId="0" borderId="7" xfId="2" applyFont="1" applyFill="1" applyBorder="1" applyAlignment="1">
      <alignment horizontal="left" vertical="center"/>
    </xf>
    <xf numFmtId="0" fontId="39" fillId="0" borderId="16" xfId="2" applyFont="1" applyFill="1" applyBorder="1" applyAlignment="1">
      <alignment vertical="center"/>
    </xf>
    <xf numFmtId="43" fontId="39" fillId="0" borderId="0" xfId="2" applyNumberFormat="1" applyFont="1" applyFill="1" applyAlignment="1">
      <alignment vertical="center"/>
    </xf>
    <xf numFmtId="166" fontId="39" fillId="0" borderId="0" xfId="6" applyNumberFormat="1" applyFont="1" applyFill="1" applyAlignment="1">
      <alignment vertical="center"/>
    </xf>
    <xf numFmtId="166" fontId="39" fillId="0" borderId="0" xfId="2" applyNumberFormat="1" applyFont="1" applyFill="1" applyAlignment="1">
      <alignment vertical="center"/>
    </xf>
    <xf numFmtId="0" fontId="41" fillId="0" borderId="0" xfId="0" applyFont="1" applyFill="1"/>
    <xf numFmtId="0" fontId="41" fillId="0" borderId="7" xfId="2" applyFont="1" applyFill="1" applyBorder="1" applyAlignment="1">
      <alignment vertical="center" wrapText="1"/>
    </xf>
    <xf numFmtId="166" fontId="41" fillId="0" borderId="7" xfId="1" applyNumberFormat="1" applyFont="1" applyFill="1" applyBorder="1" applyAlignment="1">
      <alignment vertical="center" wrapText="1"/>
    </xf>
    <xf numFmtId="0" fontId="41" fillId="0" borderId="7" xfId="2" quotePrefix="1" applyFont="1" applyFill="1" applyBorder="1" applyAlignment="1">
      <alignment vertical="center" wrapText="1"/>
    </xf>
    <xf numFmtId="41" fontId="41" fillId="0" borderId="7" xfId="1" quotePrefix="1" applyFont="1" applyFill="1" applyBorder="1" applyAlignment="1">
      <alignment vertical="center" wrapText="1"/>
    </xf>
    <xf numFmtId="166" fontId="41" fillId="0" borderId="7" xfId="1" quotePrefix="1" applyNumberFormat="1" applyFont="1" applyFill="1" applyBorder="1" applyAlignment="1">
      <alignment vertical="center" wrapText="1"/>
    </xf>
    <xf numFmtId="0" fontId="39" fillId="0" borderId="0" xfId="0" applyFont="1" applyFill="1" applyAlignment="1">
      <alignment vertical="center"/>
    </xf>
    <xf numFmtId="0" fontId="41" fillId="0" borderId="0" xfId="0" applyFont="1" applyFill="1" applyAlignment="1">
      <alignment vertical="center"/>
    </xf>
    <xf numFmtId="41" fontId="41" fillId="0" borderId="0" xfId="6" applyFont="1" applyFill="1" applyAlignment="1">
      <alignment vertical="center"/>
    </xf>
    <xf numFmtId="166" fontId="41" fillId="0" borderId="0" xfId="1" quotePrefix="1" applyNumberFormat="1" applyFont="1" applyFill="1" applyAlignment="1">
      <alignment vertical="center"/>
    </xf>
    <xf numFmtId="0" fontId="41" fillId="0" borderId="0" xfId="2" applyFont="1" applyFill="1" applyAlignment="1">
      <alignment vertical="center" wrapText="1"/>
    </xf>
    <xf numFmtId="0" fontId="41" fillId="0" borderId="15" xfId="2" applyFont="1" applyFill="1" applyBorder="1" applyAlignment="1">
      <alignment vertical="center" wrapText="1"/>
    </xf>
    <xf numFmtId="1" fontId="41" fillId="0" borderId="0" xfId="2" applyNumberFormat="1" applyFont="1" applyFill="1" applyAlignment="1">
      <alignment vertical="center"/>
    </xf>
    <xf numFmtId="0" fontId="41" fillId="0" borderId="15" xfId="2" applyFont="1" applyFill="1" applyBorder="1" applyAlignment="1">
      <alignment vertical="center"/>
    </xf>
    <xf numFmtId="0" fontId="41" fillId="6" borderId="0" xfId="2" applyFont="1" applyFill="1" applyAlignment="1">
      <alignment vertical="center"/>
    </xf>
    <xf numFmtId="0" fontId="41" fillId="6" borderId="15" xfId="2" applyFont="1" applyFill="1" applyBorder="1" applyAlignment="1">
      <alignment vertical="center"/>
    </xf>
    <xf numFmtId="0" fontId="41" fillId="6" borderId="7" xfId="2" applyFont="1" applyFill="1" applyBorder="1" applyAlignment="1">
      <alignment vertical="center" wrapText="1"/>
    </xf>
    <xf numFmtId="166" fontId="41" fillId="6" borderId="7" xfId="1" applyNumberFormat="1" applyFont="1" applyFill="1" applyBorder="1" applyAlignment="1">
      <alignment vertical="center" wrapText="1"/>
    </xf>
    <xf numFmtId="0" fontId="39" fillId="6" borderId="0" xfId="0" applyFont="1" applyFill="1" applyAlignment="1">
      <alignment vertical="center"/>
    </xf>
    <xf numFmtId="0" fontId="41" fillId="6" borderId="0" xfId="0" applyFont="1" applyFill="1" applyAlignment="1">
      <alignment vertical="center"/>
    </xf>
    <xf numFmtId="0" fontId="41" fillId="6" borderId="15" xfId="2" applyFont="1" applyFill="1" applyBorder="1" applyAlignment="1">
      <alignment horizontal="left" vertical="center"/>
    </xf>
    <xf numFmtId="166" fontId="41" fillId="0" borderId="0" xfId="2" applyNumberFormat="1" applyFont="1" applyFill="1" applyAlignment="1">
      <alignment vertical="center"/>
    </xf>
    <xf numFmtId="166" fontId="41" fillId="0" borderId="7" xfId="1" applyNumberFormat="1" applyFont="1" applyFill="1" applyBorder="1" applyAlignment="1">
      <alignment vertical="center"/>
    </xf>
    <xf numFmtId="0" fontId="41" fillId="0" borderId="1" xfId="2" applyFont="1" applyFill="1" applyBorder="1" applyAlignment="1">
      <alignment horizontal="center" vertical="center"/>
    </xf>
    <xf numFmtId="0" fontId="41" fillId="0" borderId="1" xfId="2" applyFont="1" applyFill="1" applyBorder="1" applyAlignment="1">
      <alignment vertical="center"/>
    </xf>
    <xf numFmtId="41" fontId="41" fillId="0" borderId="1" xfId="1" applyFont="1" applyFill="1" applyBorder="1" applyAlignment="1">
      <alignment horizontal="center" vertical="center"/>
    </xf>
    <xf numFmtId="0" fontId="41" fillId="0" borderId="7" xfId="2" applyFont="1" applyFill="1" applyBorder="1" applyAlignment="1">
      <alignment horizontal="center" vertical="center" wrapText="1"/>
    </xf>
    <xf numFmtId="166" fontId="41" fillId="0" borderId="1" xfId="1" applyNumberFormat="1" applyFont="1" applyFill="1" applyBorder="1" applyAlignment="1">
      <alignment vertical="center" wrapText="1"/>
    </xf>
    <xf numFmtId="166" fontId="41" fillId="0" borderId="7" xfId="6" applyNumberFormat="1" applyFont="1" applyFill="1" applyBorder="1" applyAlignment="1">
      <alignment vertical="center" wrapText="1"/>
    </xf>
    <xf numFmtId="0" fontId="41" fillId="0" borderId="16" xfId="2" applyFont="1" applyFill="1" applyBorder="1" applyAlignment="1">
      <alignment horizontal="center" vertical="center"/>
    </xf>
    <xf numFmtId="0" fontId="41" fillId="0" borderId="7" xfId="2" applyFont="1" applyFill="1" applyBorder="1" applyAlignment="1">
      <alignment horizontal="left" vertical="center" wrapText="1"/>
    </xf>
    <xf numFmtId="41" fontId="41" fillId="0" borderId="7" xfId="1" applyFont="1" applyFill="1" applyBorder="1" applyAlignment="1">
      <alignment horizontal="center" vertical="center" wrapText="1"/>
    </xf>
    <xf numFmtId="41" fontId="41" fillId="0" borderId="7" xfId="1" applyFont="1" applyFill="1" applyBorder="1" applyAlignment="1">
      <alignment vertical="center"/>
    </xf>
    <xf numFmtId="166" fontId="41" fillId="0" borderId="7" xfId="1" applyNumberFormat="1" applyFont="1" applyFill="1" applyBorder="1" applyAlignment="1">
      <alignment horizontal="center" vertical="center" wrapText="1"/>
    </xf>
    <xf numFmtId="0" fontId="36" fillId="0" borderId="23" xfId="2" applyFont="1" applyFill="1" applyBorder="1" applyAlignment="1">
      <alignment horizontal="center" vertical="center"/>
    </xf>
    <xf numFmtId="0" fontId="36" fillId="0" borderId="23" xfId="2" applyFont="1" applyFill="1" applyBorder="1" applyAlignment="1">
      <alignment vertical="center"/>
    </xf>
    <xf numFmtId="41" fontId="36" fillId="0" borderId="23" xfId="1" applyFont="1" applyFill="1" applyBorder="1" applyAlignment="1">
      <alignment horizontal="center" vertical="center"/>
    </xf>
    <xf numFmtId="166" fontId="36" fillId="0" borderId="23" xfId="1" applyNumberFormat="1" applyFont="1" applyFill="1" applyBorder="1" applyAlignment="1">
      <alignment vertical="center"/>
    </xf>
    <xf numFmtId="166" fontId="36" fillId="0" borderId="7" xfId="1" applyNumberFormat="1" applyFont="1" applyFill="1" applyBorder="1" applyAlignment="1">
      <alignment vertical="center"/>
    </xf>
    <xf numFmtId="41" fontId="41" fillId="0" borderId="7" xfId="6" applyFont="1" applyFill="1" applyBorder="1" applyAlignment="1">
      <alignment horizontal="left" vertical="center" wrapText="1"/>
    </xf>
    <xf numFmtId="166" fontId="41" fillId="0" borderId="7" xfId="1" applyNumberFormat="1" applyFont="1" applyFill="1" applyBorder="1" applyAlignment="1">
      <alignment horizontal="left" vertical="center" wrapText="1"/>
    </xf>
    <xf numFmtId="0" fontId="36" fillId="0" borderId="1" xfId="2" applyFont="1" applyFill="1" applyBorder="1" applyAlignment="1">
      <alignment horizontal="left" vertical="center"/>
    </xf>
    <xf numFmtId="0" fontId="41" fillId="0" borderId="5" xfId="2" applyNumberFormat="1" applyFont="1" applyFill="1" applyBorder="1" applyAlignment="1">
      <alignment vertical="center" wrapText="1"/>
    </xf>
    <xf numFmtId="166" fontId="41" fillId="0" borderId="5" xfId="1" applyNumberFormat="1" applyFont="1" applyFill="1" applyBorder="1" applyAlignment="1">
      <alignment vertical="center" wrapText="1"/>
    </xf>
    <xf numFmtId="0" fontId="36" fillId="0" borderId="1" xfId="2" applyFont="1" applyFill="1" applyBorder="1" applyAlignment="1">
      <alignment horizontal="center" vertical="center"/>
    </xf>
    <xf numFmtId="0" fontId="36" fillId="0" borderId="1" xfId="2" applyFont="1" applyFill="1" applyBorder="1" applyAlignment="1">
      <alignment vertical="center"/>
    </xf>
    <xf numFmtId="41" fontId="36" fillId="0" borderId="1" xfId="1" applyFont="1" applyFill="1" applyBorder="1" applyAlignment="1">
      <alignment horizontal="center" vertical="center"/>
    </xf>
    <xf numFmtId="166" fontId="36" fillId="0" borderId="1" xfId="1" applyNumberFormat="1" applyFont="1" applyFill="1" applyBorder="1" applyAlignment="1">
      <alignment vertical="center"/>
    </xf>
    <xf numFmtId="166" fontId="41" fillId="0" borderId="0" xfId="1" applyNumberFormat="1" applyFont="1" applyFill="1" applyAlignment="1">
      <alignment vertical="center" wrapText="1"/>
    </xf>
    <xf numFmtId="0" fontId="39" fillId="0" borderId="15" xfId="0" applyFont="1" applyFill="1" applyBorder="1" applyAlignment="1">
      <alignment vertical="center"/>
    </xf>
    <xf numFmtId="166" fontId="39" fillId="0" borderId="0" xfId="1" applyNumberFormat="1" applyFont="1" applyFill="1" applyBorder="1" applyAlignment="1">
      <alignment vertical="center"/>
    </xf>
    <xf numFmtId="0" fontId="41" fillId="0" borderId="7" xfId="2" quotePrefix="1" applyFont="1" applyFill="1" applyBorder="1" applyAlignment="1">
      <alignment horizontal="left" vertical="center" wrapText="1"/>
    </xf>
    <xf numFmtId="166" fontId="41" fillId="0" borderId="7" xfId="1" quotePrefix="1" applyNumberFormat="1" applyFont="1" applyFill="1" applyBorder="1" applyAlignment="1">
      <alignment horizontal="left" vertical="center" wrapText="1"/>
    </xf>
    <xf numFmtId="0" fontId="41" fillId="12" borderId="7" xfId="2" applyFont="1" applyFill="1" applyBorder="1" applyAlignment="1">
      <alignment horizontal="center" vertical="center" wrapText="1"/>
    </xf>
    <xf numFmtId="0" fontId="41" fillId="0" borderId="16" xfId="2" applyFont="1" applyFill="1" applyBorder="1" applyAlignment="1">
      <alignment vertical="center" wrapText="1"/>
    </xf>
    <xf numFmtId="0" fontId="39" fillId="0" borderId="0" xfId="2" applyFont="1" applyFill="1" applyAlignment="1">
      <alignment vertical="center" wrapText="1"/>
    </xf>
    <xf numFmtId="0" fontId="39" fillId="0" borderId="15" xfId="2" applyFont="1" applyFill="1" applyBorder="1" applyAlignment="1">
      <alignment horizontal="left" vertical="center" wrapText="1"/>
    </xf>
    <xf numFmtId="41" fontId="41" fillId="0" borderId="7" xfId="1" applyFont="1" applyFill="1" applyBorder="1" applyAlignment="1">
      <alignment vertical="center" wrapText="1"/>
    </xf>
    <xf numFmtId="0" fontId="41" fillId="0" borderId="16" xfId="2" applyFont="1" applyFill="1" applyBorder="1" applyAlignment="1">
      <alignment horizontal="center" vertical="center" wrapText="1"/>
    </xf>
    <xf numFmtId="0" fontId="36" fillId="0" borderId="7" xfId="0" applyFont="1" applyFill="1" applyBorder="1" applyAlignment="1">
      <alignment vertical="center"/>
    </xf>
    <xf numFmtId="0" fontId="39" fillId="0" borderId="7" xfId="2" applyFont="1" applyFill="1" applyBorder="1" applyAlignment="1">
      <alignment horizontal="left" vertical="center" wrapText="1"/>
    </xf>
    <xf numFmtId="166" fontId="39" fillId="0" borderId="7" xfId="1" applyNumberFormat="1" applyFont="1" applyFill="1" applyBorder="1" applyAlignment="1">
      <alignment horizontal="left" vertical="center" wrapText="1"/>
    </xf>
    <xf numFmtId="0" fontId="39" fillId="0" borderId="7" xfId="2" applyFont="1" applyFill="1" applyBorder="1" applyAlignment="1">
      <alignment horizontal="center" vertical="center" wrapText="1"/>
    </xf>
    <xf numFmtId="0" fontId="39" fillId="0" borderId="16" xfId="2" applyFont="1" applyFill="1" applyBorder="1" applyAlignment="1">
      <alignment vertical="center" wrapText="1"/>
    </xf>
    <xf numFmtId="166" fontId="39" fillId="0" borderId="7" xfId="1" applyNumberFormat="1" applyFont="1" applyFill="1" applyBorder="1" applyAlignment="1">
      <alignment horizontal="center" vertical="center" wrapText="1"/>
    </xf>
    <xf numFmtId="0" fontId="35" fillId="0" borderId="7" xfId="2" applyFont="1" applyFill="1" applyBorder="1" applyAlignment="1">
      <alignment vertical="center" wrapText="1"/>
    </xf>
    <xf numFmtId="41" fontId="35" fillId="0" borderId="7" xfId="1" applyFont="1" applyFill="1" applyBorder="1" applyAlignment="1">
      <alignment horizontal="center" vertical="center" wrapText="1"/>
    </xf>
    <xf numFmtId="0" fontId="36" fillId="0" borderId="7" xfId="2" applyFont="1" applyFill="1" applyBorder="1" applyAlignment="1">
      <alignment vertical="center" wrapText="1"/>
    </xf>
    <xf numFmtId="41" fontId="36" fillId="0" borderId="7" xfId="1" applyFont="1" applyFill="1" applyBorder="1" applyAlignment="1">
      <alignment vertical="center" wrapText="1"/>
    </xf>
    <xf numFmtId="0" fontId="36" fillId="0" borderId="0" xfId="2" applyFont="1" applyFill="1" applyAlignment="1">
      <alignment vertical="center"/>
    </xf>
    <xf numFmtId="0" fontId="36" fillId="0" borderId="15" xfId="2" applyFont="1" applyFill="1" applyBorder="1" applyAlignment="1">
      <alignment vertical="center"/>
    </xf>
    <xf numFmtId="0" fontId="41" fillId="0" borderId="15" xfId="2" applyFont="1" applyFill="1" applyBorder="1" applyAlignment="1">
      <alignment horizontal="center" vertical="center"/>
    </xf>
    <xf numFmtId="0" fontId="43" fillId="0" borderId="15" xfId="2" applyFont="1" applyFill="1" applyBorder="1" applyAlignment="1">
      <alignment horizontal="center" vertical="center"/>
    </xf>
    <xf numFmtId="0" fontId="36" fillId="0" borderId="0" xfId="2" applyFont="1" applyFill="1" applyAlignment="1">
      <alignment horizontal="center" vertical="center"/>
    </xf>
    <xf numFmtId="0" fontId="36" fillId="0" borderId="26" xfId="2" applyFont="1" applyFill="1" applyBorder="1" applyAlignment="1">
      <alignment vertical="center"/>
    </xf>
    <xf numFmtId="0" fontId="41" fillId="0" borderId="1" xfId="2" applyFont="1" applyFill="1" applyBorder="1" applyAlignment="1">
      <alignment horizontal="left" vertical="center"/>
    </xf>
    <xf numFmtId="0" fontId="41" fillId="0" borderId="27" xfId="2" applyFont="1" applyFill="1" applyBorder="1" applyAlignment="1">
      <alignment vertical="center"/>
    </xf>
    <xf numFmtId="0" fontId="36" fillId="0" borderId="22" xfId="2" applyFont="1" applyFill="1" applyBorder="1" applyAlignment="1">
      <alignment vertical="center"/>
    </xf>
    <xf numFmtId="0" fontId="36" fillId="0" borderId="33" xfId="2" applyFont="1" applyFill="1" applyBorder="1" applyAlignment="1">
      <alignment horizontal="center" vertical="center"/>
    </xf>
    <xf numFmtId="0" fontId="36" fillId="0" borderId="23" xfId="2" applyFont="1" applyFill="1" applyBorder="1" applyAlignment="1">
      <alignment horizontal="left" vertical="center"/>
    </xf>
    <xf numFmtId="0" fontId="36" fillId="0" borderId="24" xfId="2" applyFont="1" applyFill="1" applyBorder="1" applyAlignment="1">
      <alignment vertical="center"/>
    </xf>
    <xf numFmtId="166" fontId="36" fillId="0" borderId="0" xfId="1" applyNumberFormat="1" applyFont="1" applyFill="1" applyAlignment="1">
      <alignment vertical="center"/>
    </xf>
    <xf numFmtId="166" fontId="41" fillId="0" borderId="8" xfId="1" applyNumberFormat="1" applyFont="1" applyFill="1" applyBorder="1" applyAlignment="1">
      <alignment vertical="center" wrapText="1"/>
    </xf>
    <xf numFmtId="41" fontId="41" fillId="0" borderId="0" xfId="2" applyNumberFormat="1" applyFont="1" applyFill="1" applyAlignment="1">
      <alignment vertical="center" wrapText="1"/>
    </xf>
    <xf numFmtId="166" fontId="39" fillId="0" borderId="0" xfId="1" applyNumberFormat="1" applyFont="1" applyFill="1" applyAlignment="1">
      <alignment vertical="center"/>
    </xf>
    <xf numFmtId="41" fontId="41" fillId="0" borderId="0" xfId="2" applyNumberFormat="1" applyFont="1" applyFill="1" applyAlignment="1">
      <alignment vertical="center"/>
    </xf>
    <xf numFmtId="41" fontId="39" fillId="0" borderId="0" xfId="2" applyNumberFormat="1" applyFont="1" applyFill="1" applyAlignment="1">
      <alignment vertical="center"/>
    </xf>
    <xf numFmtId="0" fontId="39" fillId="0" borderId="0" xfId="2" applyFont="1" applyFill="1" applyBorder="1" applyAlignment="1">
      <alignment vertical="center"/>
    </xf>
    <xf numFmtId="43" fontId="41" fillId="0" borderId="0" xfId="2" applyNumberFormat="1" applyFont="1" applyFill="1" applyAlignment="1">
      <alignment vertical="center"/>
    </xf>
    <xf numFmtId="0" fontId="40" fillId="0" borderId="31" xfId="2" applyFont="1" applyFill="1" applyBorder="1" applyAlignment="1">
      <alignment horizontal="center" vertical="center"/>
    </xf>
    <xf numFmtId="0" fontId="39" fillId="0" borderId="32" xfId="4" applyFont="1" applyFill="1" applyBorder="1" applyAlignment="1">
      <alignment horizontal="center" vertical="center"/>
    </xf>
    <xf numFmtId="0" fontId="41" fillId="0" borderId="0" xfId="2" applyFont="1" applyFill="1" applyBorder="1" applyAlignment="1">
      <alignment vertical="center"/>
    </xf>
    <xf numFmtId="0" fontId="41" fillId="0" borderId="0" xfId="2" quotePrefix="1" applyFont="1" applyFill="1" applyBorder="1" applyAlignment="1">
      <alignment vertical="center" wrapText="1"/>
    </xf>
    <xf numFmtId="0" fontId="41" fillId="0" borderId="0" xfId="2" applyFont="1" applyFill="1" applyBorder="1" applyAlignment="1">
      <alignment horizontal="center" vertical="center"/>
    </xf>
    <xf numFmtId="0" fontId="41" fillId="0" borderId="0" xfId="2" applyFont="1" applyFill="1" applyBorder="1" applyAlignment="1">
      <alignment vertical="center" wrapText="1"/>
    </xf>
    <xf numFmtId="0" fontId="41" fillId="0" borderId="0" xfId="2" applyFont="1" applyFill="1" applyBorder="1" applyAlignment="1">
      <alignment horizontal="center" vertical="center" wrapText="1"/>
    </xf>
    <xf numFmtId="0" fontId="39" fillId="0" borderId="0" xfId="2" applyFont="1" applyFill="1" applyBorder="1" applyAlignment="1">
      <alignment vertical="center" wrapText="1"/>
    </xf>
    <xf numFmtId="0" fontId="36" fillId="0" borderId="0" xfId="2" applyFont="1" applyFill="1" applyBorder="1" applyAlignment="1">
      <alignment vertical="center"/>
    </xf>
    <xf numFmtId="0" fontId="36" fillId="0" borderId="0" xfId="2" applyFont="1" applyFill="1" applyAlignment="1">
      <alignment horizontal="left" vertical="center"/>
    </xf>
    <xf numFmtId="166" fontId="37" fillId="0" borderId="0" xfId="1" applyNumberFormat="1" applyFont="1" applyFill="1" applyAlignment="1">
      <alignment horizontal="center" vertical="center"/>
    </xf>
    <xf numFmtId="0" fontId="38" fillId="0" borderId="0" xfId="2" applyFont="1" applyFill="1" applyAlignment="1">
      <alignment horizontal="center" vertical="center"/>
    </xf>
    <xf numFmtId="0" fontId="37" fillId="0" borderId="0" xfId="2" applyFont="1" applyFill="1" applyAlignment="1">
      <alignment horizontal="left" vertical="center"/>
    </xf>
    <xf numFmtId="166" fontId="39" fillId="0" borderId="0" xfId="1" applyNumberFormat="1" applyFont="1" applyFill="1" applyBorder="1" applyAlignment="1">
      <alignment horizontal="left" vertical="center"/>
    </xf>
    <xf numFmtId="0" fontId="39" fillId="0" borderId="0" xfId="2" applyFont="1" applyFill="1" applyAlignment="1">
      <alignment horizontal="center" vertical="center"/>
    </xf>
    <xf numFmtId="0" fontId="37" fillId="0" borderId="0" xfId="2" applyFont="1" applyFill="1" applyBorder="1" applyAlignment="1">
      <alignment vertical="center"/>
    </xf>
    <xf numFmtId="0" fontId="38" fillId="0" borderId="0" xfId="2" applyFont="1" applyFill="1" applyBorder="1" applyAlignment="1">
      <alignment horizontal="center" vertical="center"/>
    </xf>
    <xf numFmtId="0" fontId="38" fillId="0" borderId="0" xfId="2" applyFont="1" applyFill="1" applyBorder="1" applyAlignment="1">
      <alignment vertical="center"/>
    </xf>
    <xf numFmtId="0" fontId="37" fillId="0" borderId="0" xfId="2" applyFont="1" applyFill="1" applyBorder="1" applyAlignment="1">
      <alignment horizontal="left" vertical="center"/>
    </xf>
    <xf numFmtId="0" fontId="37" fillId="0" borderId="0" xfId="2" applyFont="1" applyFill="1" applyBorder="1" applyAlignment="1">
      <alignment horizontal="center" vertical="center"/>
    </xf>
    <xf numFmtId="166" fontId="36" fillId="0" borderId="0" xfId="1" applyNumberFormat="1" applyFont="1" applyFill="1" applyBorder="1" applyAlignment="1">
      <alignment vertical="center"/>
    </xf>
    <xf numFmtId="165" fontId="36" fillId="0" borderId="0" xfId="2" applyNumberFormat="1" applyFont="1" applyFill="1" applyBorder="1" applyAlignment="1">
      <alignment horizontal="center" vertical="center"/>
    </xf>
    <xf numFmtId="165" fontId="36" fillId="0" borderId="0" xfId="2" applyNumberFormat="1" applyFont="1" applyFill="1" applyBorder="1" applyAlignment="1">
      <alignment vertical="center"/>
    </xf>
    <xf numFmtId="0" fontId="44" fillId="0" borderId="7" xfId="0" applyFont="1" applyFill="1" applyBorder="1" applyAlignment="1">
      <alignment vertical="center"/>
    </xf>
    <xf numFmtId="0" fontId="42" fillId="0" borderId="7" xfId="0" applyFont="1" applyFill="1" applyBorder="1" applyAlignment="1">
      <alignment vertical="center"/>
    </xf>
    <xf numFmtId="166" fontId="42" fillId="0" borderId="7" xfId="1" applyNumberFormat="1" applyFont="1" applyFill="1" applyBorder="1" applyAlignment="1">
      <alignment vertical="center"/>
    </xf>
    <xf numFmtId="41" fontId="36" fillId="0" borderId="0" xfId="2" applyNumberFormat="1" applyFont="1" applyFill="1" applyAlignment="1">
      <alignment vertical="center"/>
    </xf>
    <xf numFmtId="0" fontId="41" fillId="0" borderId="28" xfId="2" applyNumberFormat="1" applyFont="1" applyFill="1" applyBorder="1" applyAlignment="1">
      <alignment vertical="center" wrapText="1"/>
    </xf>
    <xf numFmtId="41" fontId="36" fillId="0" borderId="0" xfId="1" applyFont="1" applyFill="1" applyAlignment="1">
      <alignment vertical="center"/>
    </xf>
    <xf numFmtId="0" fontId="36" fillId="0" borderId="0" xfId="2" applyFont="1" applyFill="1" applyAlignment="1">
      <alignment horizontal="center" vertical="center"/>
    </xf>
    <xf numFmtId="41" fontId="36" fillId="0" borderId="0" xfId="1" applyFont="1" applyFill="1" applyAlignment="1">
      <alignment horizontal="left" vertical="center"/>
    </xf>
    <xf numFmtId="0" fontId="41" fillId="0" borderId="0" xfId="2" applyFont="1" applyFill="1" applyAlignment="1">
      <alignment horizontal="center" vertical="center"/>
    </xf>
    <xf numFmtId="0" fontId="41" fillId="10" borderId="0" xfId="2" applyFont="1" applyFill="1" applyAlignment="1">
      <alignment vertical="center"/>
    </xf>
    <xf numFmtId="0" fontId="41" fillId="10" borderId="0" xfId="0" applyFont="1" applyFill="1"/>
    <xf numFmtId="0" fontId="41" fillId="10" borderId="15" xfId="2" applyFont="1" applyFill="1" applyBorder="1" applyAlignment="1">
      <alignment horizontal="left" vertical="center"/>
    </xf>
    <xf numFmtId="0" fontId="41" fillId="10" borderId="7" xfId="2" quotePrefix="1" applyFont="1" applyFill="1" applyBorder="1" applyAlignment="1">
      <alignment vertical="center" wrapText="1"/>
    </xf>
    <xf numFmtId="166" fontId="41" fillId="10" borderId="7" xfId="1" quotePrefix="1" applyNumberFormat="1" applyFont="1" applyFill="1" applyBorder="1" applyAlignment="1">
      <alignment vertical="center" wrapText="1"/>
    </xf>
    <xf numFmtId="41" fontId="41" fillId="10" borderId="7" xfId="1" quotePrefix="1" applyFont="1" applyFill="1" applyBorder="1" applyAlignment="1">
      <alignment vertical="center" wrapText="1"/>
    </xf>
    <xf numFmtId="0" fontId="41" fillId="10" borderId="0" xfId="2" quotePrefix="1" applyFont="1" applyFill="1" applyBorder="1" applyAlignment="1">
      <alignment vertical="center" wrapText="1"/>
    </xf>
    <xf numFmtId="0" fontId="39" fillId="10" borderId="0" xfId="0" applyFont="1" applyFill="1" applyAlignment="1">
      <alignment vertical="center"/>
    </xf>
    <xf numFmtId="0" fontId="41" fillId="10" borderId="0" xfId="0" applyFont="1" applyFill="1" applyAlignment="1">
      <alignment vertical="center"/>
    </xf>
    <xf numFmtId="166" fontId="41" fillId="10" borderId="0" xfId="1" applyNumberFormat="1" applyFont="1" applyFill="1" applyAlignment="1">
      <alignment vertical="center"/>
    </xf>
    <xf numFmtId="41" fontId="41" fillId="10" borderId="0" xfId="6" applyFont="1" applyFill="1" applyAlignment="1">
      <alignment vertical="center"/>
    </xf>
    <xf numFmtId="166" fontId="41" fillId="10" borderId="0" xfId="1" quotePrefix="1" applyNumberFormat="1" applyFont="1" applyFill="1" applyAlignment="1">
      <alignment vertical="center"/>
    </xf>
    <xf numFmtId="0" fontId="41" fillId="10" borderId="7" xfId="2" applyFont="1" applyFill="1" applyBorder="1" applyAlignment="1">
      <alignment vertical="center" wrapText="1"/>
    </xf>
    <xf numFmtId="166" fontId="41" fillId="10" borderId="7" xfId="1" applyNumberFormat="1" applyFont="1" applyFill="1" applyBorder="1" applyAlignment="1">
      <alignment vertical="center" wrapText="1"/>
    </xf>
    <xf numFmtId="0" fontId="41" fillId="10" borderId="0" xfId="2" applyFont="1" applyFill="1" applyAlignment="1">
      <alignment vertical="center" wrapText="1"/>
    </xf>
    <xf numFmtId="0" fontId="41" fillId="10" borderId="15" xfId="2" applyFont="1" applyFill="1" applyBorder="1" applyAlignment="1">
      <alignment vertical="center" wrapText="1"/>
    </xf>
    <xf numFmtId="0" fontId="41" fillId="10" borderId="15" xfId="2" applyFont="1" applyFill="1" applyBorder="1" applyAlignment="1">
      <alignment vertical="center"/>
    </xf>
    <xf numFmtId="0" fontId="41" fillId="0" borderId="0" xfId="2" quotePrefix="1" applyFont="1" applyFill="1" applyAlignment="1">
      <alignment vertical="center"/>
    </xf>
    <xf numFmtId="0" fontId="41" fillId="6" borderId="0" xfId="0" applyFont="1" applyFill="1"/>
    <xf numFmtId="166" fontId="41" fillId="6" borderId="0" xfId="1" applyNumberFormat="1" applyFont="1" applyFill="1" applyAlignment="1">
      <alignment vertical="center"/>
    </xf>
    <xf numFmtId="41" fontId="41" fillId="6" borderId="0" xfId="6" applyFont="1" applyFill="1" applyAlignment="1">
      <alignment vertical="center"/>
    </xf>
    <xf numFmtId="166" fontId="41" fillId="6" borderId="0" xfId="1" quotePrefix="1" applyNumberFormat="1" applyFont="1" applyFill="1" applyAlignment="1">
      <alignment vertical="center"/>
    </xf>
    <xf numFmtId="0" fontId="41" fillId="6" borderId="7" xfId="2" applyFont="1" applyFill="1" applyBorder="1" applyAlignment="1">
      <alignment horizontal="center" vertical="center"/>
    </xf>
    <xf numFmtId="0" fontId="39" fillId="6" borderId="7" xfId="2" applyFont="1" applyFill="1" applyBorder="1" applyAlignment="1">
      <alignment vertical="center"/>
    </xf>
    <xf numFmtId="41" fontId="41" fillId="6" borderId="7" xfId="1" applyFont="1" applyFill="1" applyBorder="1" applyAlignment="1">
      <alignment horizontal="center" vertical="center"/>
    </xf>
    <xf numFmtId="0" fontId="41" fillId="6" borderId="7" xfId="2" applyFont="1" applyFill="1" applyBorder="1" applyAlignment="1">
      <alignment vertical="center"/>
    </xf>
    <xf numFmtId="0" fontId="41" fillId="6" borderId="7" xfId="2" applyFont="1" applyFill="1" applyBorder="1" applyAlignment="1">
      <alignment horizontal="left" vertical="center"/>
    </xf>
    <xf numFmtId="166" fontId="41" fillId="6" borderId="7" xfId="1" applyNumberFormat="1" applyFont="1" applyFill="1" applyBorder="1" applyAlignment="1">
      <alignment vertical="center"/>
    </xf>
    <xf numFmtId="0" fontId="41" fillId="6" borderId="16" xfId="2" applyFont="1" applyFill="1" applyBorder="1" applyAlignment="1">
      <alignment vertical="center"/>
    </xf>
    <xf numFmtId="0" fontId="41" fillId="6" borderId="0" xfId="2" applyFont="1" applyFill="1" applyBorder="1" applyAlignment="1">
      <alignment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29" xfId="14" applyFont="1" applyFill="1" applyBorder="1" applyAlignment="1">
      <alignment horizontal="center" vertical="top"/>
    </xf>
    <xf numFmtId="0" fontId="28" fillId="0" borderId="7" xfId="14" applyFont="1" applyFill="1" applyBorder="1" applyAlignment="1">
      <alignment horizontal="center" vertical="top" wrapText="1"/>
    </xf>
    <xf numFmtId="0" fontId="36" fillId="0" borderId="0" xfId="2" applyFont="1" applyFill="1" applyAlignment="1">
      <alignment horizontal="center"/>
    </xf>
    <xf numFmtId="0" fontId="36" fillId="0" borderId="0" xfId="2" applyFont="1" applyFill="1"/>
    <xf numFmtId="166" fontId="36" fillId="0" borderId="0" xfId="1" applyNumberFormat="1" applyFont="1" applyFill="1"/>
    <xf numFmtId="0" fontId="36" fillId="0" borderId="0" xfId="2" applyFont="1" applyFill="1" applyAlignment="1">
      <alignment horizontal="left"/>
    </xf>
    <xf numFmtId="0" fontId="36" fillId="0" borderId="0" xfId="1" applyNumberFormat="1" applyFont="1" applyFill="1" applyAlignment="1">
      <alignment horizontal="center" vertical="center"/>
    </xf>
    <xf numFmtId="166" fontId="37" fillId="0" borderId="0" xfId="1" applyNumberFormat="1" applyFont="1" applyFill="1" applyAlignment="1">
      <alignment horizontal="center"/>
    </xf>
    <xf numFmtId="0" fontId="37" fillId="0" borderId="0" xfId="2" applyFont="1" applyFill="1" applyAlignment="1">
      <alignment horizontal="left"/>
    </xf>
    <xf numFmtId="166" fontId="45" fillId="0" borderId="0" xfId="1" applyNumberFormat="1" applyFont="1" applyFill="1" applyAlignment="1">
      <alignment horizontal="center"/>
    </xf>
    <xf numFmtId="0" fontId="41" fillId="0" borderId="0" xfId="2" applyFont="1" applyFill="1" applyAlignment="1">
      <alignment horizontal="center"/>
    </xf>
    <xf numFmtId="0" fontId="41" fillId="0" borderId="0" xfId="2" applyFont="1" applyFill="1"/>
    <xf numFmtId="0" fontId="39" fillId="0" borderId="11" xfId="2" applyFont="1" applyFill="1" applyBorder="1" applyAlignment="1"/>
    <xf numFmtId="0" fontId="39" fillId="0" borderId="0" xfId="2" applyFont="1" applyFill="1"/>
    <xf numFmtId="166" fontId="39" fillId="0" borderId="0" xfId="1" applyNumberFormat="1" applyFont="1" applyFill="1"/>
    <xf numFmtId="0" fontId="39" fillId="0" borderId="11" xfId="2" applyFont="1" applyFill="1" applyBorder="1" applyAlignment="1">
      <alignment horizontal="left"/>
    </xf>
    <xf numFmtId="0" fontId="39" fillId="0" borderId="11" xfId="2" applyFont="1" applyFill="1" applyBorder="1" applyAlignment="1">
      <alignment horizontal="center"/>
    </xf>
    <xf numFmtId="166" fontId="39" fillId="0" borderId="11" xfId="1" applyNumberFormat="1" applyFont="1" applyFill="1" applyBorder="1" applyAlignment="1"/>
    <xf numFmtId="166" fontId="41" fillId="0" borderId="0" xfId="1" applyNumberFormat="1" applyFont="1" applyFill="1"/>
    <xf numFmtId="0" fontId="41" fillId="0" borderId="0" xfId="1" applyNumberFormat="1" applyFont="1" applyFill="1" applyAlignment="1">
      <alignment horizontal="center" vertical="center"/>
    </xf>
    <xf numFmtId="0" fontId="39" fillId="0" borderId="0" xfId="2" applyFont="1" applyFill="1" applyAlignment="1">
      <alignment horizontal="center"/>
    </xf>
    <xf numFmtId="0" fontId="35" fillId="0" borderId="0" xfId="2" applyFont="1" applyFill="1" applyAlignment="1">
      <alignment horizontal="center"/>
    </xf>
    <xf numFmtId="0" fontId="35" fillId="0" borderId="0" xfId="2" applyFont="1" applyFill="1"/>
    <xf numFmtId="0" fontId="35" fillId="0" borderId="0" xfId="2" applyFont="1" applyFill="1" applyAlignment="1">
      <alignment vertical="center"/>
    </xf>
    <xf numFmtId="0" fontId="40" fillId="0" borderId="20" xfId="4" applyFont="1" applyFill="1" applyBorder="1" applyAlignment="1">
      <alignment horizontal="center" vertical="center"/>
    </xf>
    <xf numFmtId="0" fontId="40" fillId="0" borderId="6" xfId="4" applyFont="1" applyFill="1" applyBorder="1" applyAlignment="1">
      <alignment horizontal="center" vertical="center"/>
    </xf>
    <xf numFmtId="166" fontId="40" fillId="0" borderId="6" xfId="1" applyNumberFormat="1" applyFont="1" applyFill="1" applyBorder="1" applyAlignment="1">
      <alignment horizontal="center" vertical="center"/>
    </xf>
    <xf numFmtId="0" fontId="40" fillId="0" borderId="6" xfId="0" applyFont="1" applyFill="1" applyBorder="1" applyAlignment="1">
      <alignment horizontal="center" vertical="center"/>
    </xf>
    <xf numFmtId="0" fontId="40" fillId="0" borderId="21" xfId="4" applyFont="1" applyFill="1" applyBorder="1" applyAlignment="1">
      <alignment horizontal="center" vertical="center"/>
    </xf>
    <xf numFmtId="166" fontId="35" fillId="0" borderId="0" xfId="1" applyNumberFormat="1" applyFont="1" applyFill="1"/>
    <xf numFmtId="0" fontId="35" fillId="0" borderId="0" xfId="1" applyNumberFormat="1" applyFont="1" applyFill="1" applyAlignment="1">
      <alignment horizontal="center" vertical="center"/>
    </xf>
    <xf numFmtId="0" fontId="40" fillId="0" borderId="15" xfId="4" applyFont="1" applyFill="1" applyBorder="1" applyAlignment="1">
      <alignment horizontal="center" vertical="center"/>
    </xf>
    <xf numFmtId="0" fontId="40" fillId="0" borderId="7" xfId="4" applyFont="1" applyFill="1" applyBorder="1" applyAlignment="1">
      <alignment horizontal="center" vertical="center"/>
    </xf>
    <xf numFmtId="166" fontId="40" fillId="0" borderId="7" xfId="1" applyNumberFormat="1" applyFont="1" applyFill="1" applyBorder="1" applyAlignment="1">
      <alignment horizontal="center" vertical="center"/>
    </xf>
    <xf numFmtId="0" fontId="40" fillId="0" borderId="16" xfId="4" applyFont="1" applyFill="1" applyBorder="1" applyAlignment="1">
      <alignment horizontal="center" vertical="center"/>
    </xf>
    <xf numFmtId="0" fontId="35" fillId="0" borderId="0" xfId="2" applyFont="1" applyFill="1" applyAlignment="1">
      <alignment horizontal="center" vertical="center"/>
    </xf>
    <xf numFmtId="0" fontId="40" fillId="0" borderId="7" xfId="2" applyFont="1" applyFill="1" applyBorder="1" applyAlignment="1">
      <alignment vertical="center"/>
    </xf>
    <xf numFmtId="0" fontId="40" fillId="0" borderId="7" xfId="2" applyFont="1" applyFill="1" applyBorder="1" applyAlignment="1">
      <alignment horizontal="left" vertical="center"/>
    </xf>
    <xf numFmtId="166" fontId="40" fillId="0" borderId="7" xfId="1" applyNumberFormat="1" applyFont="1" applyFill="1" applyBorder="1" applyAlignment="1">
      <alignment vertical="center"/>
    </xf>
    <xf numFmtId="0" fontId="40" fillId="0" borderId="16" xfId="2" applyFont="1" applyFill="1" applyBorder="1" applyAlignment="1">
      <alignment vertical="center"/>
    </xf>
    <xf numFmtId="41" fontId="35" fillId="0" borderId="0" xfId="1" applyFont="1" applyFill="1" applyAlignment="1">
      <alignment vertical="center"/>
    </xf>
    <xf numFmtId="166" fontId="35" fillId="0" borderId="0" xfId="1" applyNumberFormat="1" applyFont="1" applyFill="1" applyAlignment="1">
      <alignment vertical="center"/>
    </xf>
    <xf numFmtId="43" fontId="35" fillId="0" borderId="0" xfId="2" applyNumberFormat="1" applyFont="1" applyFill="1" applyAlignment="1">
      <alignment vertical="center"/>
    </xf>
    <xf numFmtId="0" fontId="36" fillId="0" borderId="0" xfId="0" applyFont="1" applyFill="1" applyAlignment="1">
      <alignment vertical="center"/>
    </xf>
    <xf numFmtId="165" fontId="35" fillId="0" borderId="0" xfId="2" applyNumberFormat="1" applyFont="1" applyFill="1" applyAlignment="1">
      <alignment vertical="center"/>
    </xf>
    <xf numFmtId="166" fontId="41" fillId="0" borderId="0" xfId="0" applyNumberFormat="1" applyFont="1" applyFill="1" applyAlignment="1">
      <alignment vertical="center"/>
    </xf>
    <xf numFmtId="0" fontId="41" fillId="0" borderId="7" xfId="2" applyFont="1" applyFill="1" applyBorder="1" applyAlignment="1" applyProtection="1">
      <alignment horizontal="left" vertical="center" wrapText="1"/>
    </xf>
    <xf numFmtId="0" fontId="41" fillId="0" borderId="7" xfId="2" applyFont="1" applyFill="1" applyBorder="1" applyAlignment="1" applyProtection="1">
      <alignment horizontal="center" vertical="center" wrapText="1"/>
    </xf>
    <xf numFmtId="1" fontId="41" fillId="0" borderId="7" xfId="2" applyNumberFormat="1" applyFont="1" applyFill="1" applyBorder="1" applyAlignment="1" applyProtection="1">
      <alignment horizontal="center" vertical="center" wrapText="1"/>
    </xf>
    <xf numFmtId="0" fontId="46" fillId="0" borderId="16" xfId="2" applyFont="1" applyFill="1" applyBorder="1" applyAlignment="1">
      <alignment horizontal="left" vertical="center"/>
    </xf>
    <xf numFmtId="0" fontId="36" fillId="6" borderId="0" xfId="2" applyFont="1" applyFill="1" applyAlignment="1">
      <alignment horizontal="center" vertical="center"/>
    </xf>
    <xf numFmtId="0" fontId="36" fillId="6" borderId="0" xfId="2" applyFont="1" applyFill="1" applyAlignment="1">
      <alignment vertical="center"/>
    </xf>
    <xf numFmtId="0" fontId="36" fillId="6" borderId="0" xfId="0" applyFont="1" applyFill="1" applyAlignment="1">
      <alignment vertical="center"/>
    </xf>
    <xf numFmtId="0" fontId="41" fillId="6" borderId="7" xfId="2" applyFont="1" applyFill="1" applyBorder="1" applyAlignment="1">
      <alignment horizontal="left" vertical="center" wrapText="1"/>
    </xf>
    <xf numFmtId="166" fontId="41" fillId="6" borderId="7" xfId="1" applyNumberFormat="1" applyFont="1" applyFill="1" applyBorder="1" applyAlignment="1">
      <alignment horizontal="left" vertical="center" wrapText="1"/>
    </xf>
    <xf numFmtId="0" fontId="41" fillId="6" borderId="7" xfId="2" applyFont="1" applyFill="1" applyBorder="1" applyAlignment="1">
      <alignment horizontal="center" vertical="center" wrapText="1"/>
    </xf>
    <xf numFmtId="0" fontId="46" fillId="6" borderId="16" xfId="2" applyFont="1" applyFill="1" applyBorder="1" applyAlignment="1">
      <alignment horizontal="left" vertical="center"/>
    </xf>
    <xf numFmtId="0" fontId="36" fillId="10" borderId="0" xfId="2" applyFont="1" applyFill="1" applyAlignment="1">
      <alignment vertical="center"/>
    </xf>
    <xf numFmtId="41" fontId="41" fillId="0" borderId="7" xfId="1" applyFont="1" applyFill="1" applyBorder="1" applyAlignment="1">
      <alignment horizontal="left" vertical="center"/>
    </xf>
    <xf numFmtId="166" fontId="41" fillId="0" borderId="7" xfId="1" applyNumberFormat="1" applyFont="1" applyFill="1" applyBorder="1" applyAlignment="1">
      <alignment horizontal="left" vertical="center"/>
    </xf>
    <xf numFmtId="0" fontId="41" fillId="0" borderId="26" xfId="2" applyFont="1" applyFill="1" applyBorder="1" applyAlignment="1">
      <alignment vertical="center"/>
    </xf>
    <xf numFmtId="0" fontId="41" fillId="0" borderId="23" xfId="2" applyFont="1" applyFill="1" applyBorder="1" applyAlignment="1">
      <alignment horizontal="left" vertical="center" wrapText="1"/>
    </xf>
    <xf numFmtId="166" fontId="41" fillId="0" borderId="23" xfId="1" applyNumberFormat="1" applyFont="1" applyFill="1" applyBorder="1" applyAlignment="1">
      <alignment horizontal="left" vertical="center" wrapText="1"/>
    </xf>
    <xf numFmtId="0" fontId="41" fillId="0" borderId="23" xfId="2" applyFont="1" applyFill="1" applyBorder="1" applyAlignment="1">
      <alignment vertical="center" wrapText="1"/>
    </xf>
    <xf numFmtId="0" fontId="41" fillId="0" borderId="23" xfId="2" applyFont="1" applyFill="1" applyBorder="1" applyAlignment="1">
      <alignment vertical="center"/>
    </xf>
    <xf numFmtId="0" fontId="41" fillId="0" borderId="23" xfId="2" applyFont="1" applyFill="1" applyBorder="1" applyAlignment="1">
      <alignment horizontal="center" vertical="center"/>
    </xf>
    <xf numFmtId="0" fontId="41" fillId="0" borderId="23" xfId="2" applyFont="1" applyFill="1" applyBorder="1" applyAlignment="1">
      <alignment horizontal="center" vertical="center" wrapText="1"/>
    </xf>
    <xf numFmtId="166" fontId="41" fillId="0" borderId="23" xfId="1" applyNumberFormat="1" applyFont="1" applyFill="1" applyBorder="1" applyAlignment="1">
      <alignment vertical="center" wrapText="1"/>
    </xf>
    <xf numFmtId="0" fontId="41" fillId="0" borderId="27" xfId="2" applyFont="1" applyFill="1" applyBorder="1" applyAlignment="1">
      <alignment horizontal="center" vertical="center"/>
    </xf>
    <xf numFmtId="0" fontId="41" fillId="0" borderId="1" xfId="2" applyFont="1" applyFill="1" applyBorder="1" applyAlignment="1">
      <alignment horizontal="left" vertical="center" wrapText="1"/>
    </xf>
    <xf numFmtId="166" fontId="41" fillId="0" borderId="1" xfId="1" applyNumberFormat="1" applyFont="1" applyFill="1" applyBorder="1" applyAlignment="1">
      <alignment horizontal="left" vertical="center" wrapText="1"/>
    </xf>
    <xf numFmtId="0" fontId="36" fillId="0" borderId="1" xfId="2" applyFont="1" applyFill="1" applyBorder="1" applyAlignment="1">
      <alignment horizontal="center" vertical="center" wrapText="1"/>
    </xf>
    <xf numFmtId="0" fontId="36" fillId="0" borderId="1" xfId="2" applyFont="1" applyFill="1" applyBorder="1" applyAlignment="1">
      <alignment horizontal="left" vertical="center" wrapText="1"/>
    </xf>
    <xf numFmtId="0" fontId="36" fillId="0" borderId="1" xfId="2" applyFont="1" applyFill="1" applyBorder="1" applyAlignment="1">
      <alignment vertical="center" wrapText="1"/>
    </xf>
    <xf numFmtId="166" fontId="36" fillId="0" borderId="1" xfId="1" applyNumberFormat="1" applyFont="1" applyFill="1" applyBorder="1" applyAlignment="1">
      <alignment vertical="center" wrapText="1"/>
    </xf>
    <xf numFmtId="0" fontId="41" fillId="0" borderId="22" xfId="2" applyFont="1" applyFill="1" applyBorder="1" applyAlignment="1">
      <alignment vertical="center"/>
    </xf>
    <xf numFmtId="0" fontId="41" fillId="0" borderId="24" xfId="2" applyFont="1" applyFill="1" applyBorder="1" applyAlignment="1">
      <alignment horizontal="center" vertical="center"/>
    </xf>
    <xf numFmtId="0" fontId="41" fillId="0" borderId="0" xfId="2" applyFont="1" applyFill="1" applyAlignment="1"/>
    <xf numFmtId="166" fontId="41" fillId="0" borderId="0" xfId="1" applyNumberFormat="1" applyFont="1" applyFill="1" applyAlignment="1"/>
    <xf numFmtId="0" fontId="39" fillId="0" borderId="0" xfId="2" applyFont="1" applyFill="1" applyBorder="1" applyAlignment="1"/>
    <xf numFmtId="0" fontId="40" fillId="0" borderId="0" xfId="4" applyFont="1" applyFill="1" applyBorder="1" applyAlignment="1">
      <alignment horizontal="center" vertical="center"/>
    </xf>
    <xf numFmtId="0" fontId="40" fillId="0" borderId="0" xfId="2" applyFont="1" applyFill="1" applyBorder="1" applyAlignment="1">
      <alignment vertical="center"/>
    </xf>
    <xf numFmtId="0" fontId="6" fillId="10" borderId="0" xfId="2" applyFont="1" applyFill="1" applyBorder="1" applyAlignment="1">
      <alignment horizontal="center" vertical="center"/>
    </xf>
    <xf numFmtId="0" fontId="6" fillId="0" borderId="0" xfId="2" applyFont="1" applyFill="1" applyBorder="1" applyAlignment="1">
      <alignment horizontal="center" vertical="center"/>
    </xf>
    <xf numFmtId="0" fontId="16" fillId="0" borderId="0" xfId="2" applyFont="1" applyFill="1" applyBorder="1" applyAlignment="1">
      <alignment horizontal="left" vertical="center"/>
    </xf>
    <xf numFmtId="0" fontId="6" fillId="11" borderId="0" xfId="2" applyFont="1" applyFill="1" applyBorder="1" applyAlignment="1">
      <alignment horizontal="center" vertical="center"/>
    </xf>
    <xf numFmtId="0" fontId="46" fillId="0" borderId="0" xfId="2" applyFont="1" applyFill="1" applyBorder="1" applyAlignment="1">
      <alignment horizontal="left" vertical="center"/>
    </xf>
    <xf numFmtId="0" fontId="16" fillId="10" borderId="0" xfId="2" applyFont="1" applyFill="1" applyBorder="1" applyAlignment="1">
      <alignment horizontal="left" vertical="center"/>
    </xf>
    <xf numFmtId="0" fontId="46" fillId="6" borderId="0" xfId="2" applyFont="1" applyFill="1" applyBorder="1" applyAlignment="1">
      <alignment horizontal="left" vertical="center"/>
    </xf>
    <xf numFmtId="0" fontId="16" fillId="11" borderId="0" xfId="2" applyFont="1" applyFill="1" applyBorder="1" applyAlignment="1">
      <alignment horizontal="left" vertical="center"/>
    </xf>
    <xf numFmtId="166" fontId="9" fillId="10" borderId="0" xfId="1" applyNumberFormat="1" applyFont="1" applyFill="1" applyBorder="1" applyAlignment="1">
      <alignment horizontal="left" vertical="center"/>
    </xf>
    <xf numFmtId="0" fontId="9" fillId="0" borderId="0" xfId="2" applyFont="1" applyFill="1" applyBorder="1" applyAlignment="1">
      <alignment horizontal="left" vertical="center"/>
    </xf>
    <xf numFmtId="0" fontId="39" fillId="0" borderId="0" xfId="0" applyFont="1" applyFill="1" applyAlignment="1">
      <alignment horizontal="center" vertical="center"/>
    </xf>
    <xf numFmtId="41" fontId="36" fillId="0" borderId="0" xfId="6" applyFont="1" applyFill="1" applyAlignment="1">
      <alignment vertical="center"/>
    </xf>
    <xf numFmtId="0" fontId="41" fillId="0" borderId="7" xfId="2" quotePrefix="1" applyFont="1" applyFill="1" applyBorder="1" applyAlignment="1">
      <alignment horizontal="center" vertical="center" wrapText="1"/>
    </xf>
    <xf numFmtId="0" fontId="39" fillId="0" borderId="15" xfId="2" applyFont="1" applyFill="1" applyBorder="1" applyAlignment="1">
      <alignment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0" borderId="7" xfId="14" applyFont="1" applyFill="1" applyBorder="1" applyAlignment="1">
      <alignment horizontal="center" vertical="top" wrapText="1"/>
    </xf>
    <xf numFmtId="0" fontId="36" fillId="10" borderId="0" xfId="2" applyFont="1" applyFill="1" applyAlignment="1">
      <alignment horizontal="center" vertical="center"/>
    </xf>
    <xf numFmtId="0" fontId="36" fillId="10" borderId="0" xfId="0" applyFont="1" applyFill="1" applyAlignment="1">
      <alignment vertical="center"/>
    </xf>
    <xf numFmtId="0" fontId="41" fillId="10" borderId="7" xfId="2" applyFont="1" applyFill="1" applyBorder="1" applyAlignment="1">
      <alignment horizontal="left" vertical="center" wrapText="1"/>
    </xf>
    <xf numFmtId="166" fontId="41" fillId="10" borderId="7" xfId="1" applyNumberFormat="1" applyFont="1" applyFill="1" applyBorder="1" applyAlignment="1">
      <alignment horizontal="left" vertical="center" wrapText="1"/>
    </xf>
    <xf numFmtId="0" fontId="41" fillId="10" borderId="7" xfId="2" applyFont="1" applyFill="1" applyBorder="1" applyAlignment="1">
      <alignment horizontal="center" vertical="center"/>
    </xf>
    <xf numFmtId="0" fontId="41" fillId="10" borderId="7" xfId="2" applyFont="1" applyFill="1" applyBorder="1" applyAlignment="1">
      <alignment vertical="center"/>
    </xf>
    <xf numFmtId="0" fontId="41" fillId="10" borderId="7" xfId="2" applyFont="1" applyFill="1" applyBorder="1" applyAlignment="1">
      <alignment horizontal="left" vertical="center"/>
    </xf>
    <xf numFmtId="0" fontId="41" fillId="10" borderId="7" xfId="2" applyFont="1" applyFill="1" applyBorder="1" applyAlignment="1">
      <alignment horizontal="center" vertical="center" wrapText="1"/>
    </xf>
    <xf numFmtId="165" fontId="41" fillId="10" borderId="7" xfId="2" applyNumberFormat="1" applyFont="1" applyFill="1" applyBorder="1" applyAlignment="1">
      <alignment vertical="center"/>
    </xf>
    <xf numFmtId="0" fontId="46" fillId="10" borderId="16" xfId="2" applyFont="1" applyFill="1" applyBorder="1" applyAlignment="1">
      <alignment horizontal="left" vertical="center"/>
    </xf>
    <xf numFmtId="0" fontId="46" fillId="10" borderId="0" xfId="2" applyFont="1" applyFill="1" applyBorder="1" applyAlignment="1">
      <alignment horizontal="left" vertical="center"/>
    </xf>
    <xf numFmtId="0" fontId="39" fillId="10" borderId="0" xfId="0" applyFont="1" applyFill="1" applyAlignment="1">
      <alignment horizontal="center" vertical="center"/>
    </xf>
    <xf numFmtId="0" fontId="41" fillId="10" borderId="0" xfId="1" applyNumberFormat="1" applyFont="1" applyFill="1" applyAlignment="1">
      <alignment horizontal="center" vertical="center"/>
    </xf>
    <xf numFmtId="166" fontId="41" fillId="10" borderId="0" xfId="0" applyNumberFormat="1" applyFont="1" applyFill="1" applyAlignment="1">
      <alignment vertical="center"/>
    </xf>
    <xf numFmtId="0" fontId="41" fillId="0" borderId="7" xfId="2" applyNumberFormat="1" applyFont="1" applyFill="1" applyBorder="1" applyAlignment="1">
      <alignment vertical="center" wrapText="1"/>
    </xf>
    <xf numFmtId="166" fontId="8" fillId="0" borderId="0" xfId="1" applyNumberFormat="1" applyFont="1"/>
    <xf numFmtId="43" fontId="11" fillId="0" borderId="7" xfId="2" applyNumberFormat="1" applyFont="1" applyFill="1" applyBorder="1" applyAlignment="1">
      <alignment horizontal="right" vertical="center"/>
    </xf>
    <xf numFmtId="41" fontId="2" fillId="0" borderId="0" xfId="2" applyNumberFormat="1" applyFill="1" applyAlignment="1">
      <alignment vertical="center"/>
    </xf>
    <xf numFmtId="173" fontId="6" fillId="0" borderId="1" xfId="2" applyNumberFormat="1" applyFont="1" applyFill="1" applyBorder="1" applyAlignment="1">
      <alignment horizontal="center" vertical="center"/>
    </xf>
    <xf numFmtId="166" fontId="8" fillId="0" borderId="0" xfId="1" applyNumberFormat="1" applyFont="1" applyFill="1" applyBorder="1" applyAlignment="1">
      <alignment horizontal="left" vertical="center"/>
    </xf>
    <xf numFmtId="0" fontId="6" fillId="0" borderId="23" xfId="2" applyFont="1" applyFill="1" applyBorder="1" applyAlignment="1">
      <alignment horizontal="center"/>
    </xf>
    <xf numFmtId="166" fontId="8" fillId="0" borderId="0" xfId="1" applyNumberFormat="1" applyFont="1" applyFill="1"/>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8" fillId="0" borderId="7" xfId="14" applyFont="1" applyFill="1" applyBorder="1" applyAlignment="1">
      <alignment horizontal="center" vertical="top" wrapText="1"/>
    </xf>
    <xf numFmtId="0" fontId="36" fillId="0" borderId="0" xfId="2" applyFont="1" applyFill="1" applyAlignment="1">
      <alignment horizontal="center" vertical="center"/>
    </xf>
    <xf numFmtId="0" fontId="27" fillId="0" borderId="7" xfId="14"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0" borderId="7" xfId="14" applyFont="1" applyFill="1" applyBorder="1" applyAlignment="1">
      <alignment horizontal="center" vertical="top" wrapText="1"/>
    </xf>
    <xf numFmtId="0" fontId="41" fillId="10" borderId="7" xfId="2" quotePrefix="1" applyFont="1" applyFill="1" applyBorder="1" applyAlignment="1">
      <alignment horizontal="center" vertical="center" wrapText="1"/>
    </xf>
    <xf numFmtId="0" fontId="37" fillId="0" borderId="0" xfId="2" applyFont="1" applyFill="1" applyAlignment="1">
      <alignment horizontal="center" vertical="center"/>
    </xf>
    <xf numFmtId="0" fontId="39" fillId="0" borderId="0" xfId="2" applyFont="1" applyFill="1" applyAlignment="1">
      <alignment horizontal="center" vertical="center" wrapText="1"/>
    </xf>
    <xf numFmtId="166" fontId="39" fillId="0" borderId="6" xfId="1" applyNumberFormat="1" applyFont="1" applyFill="1" applyBorder="1" applyAlignment="1">
      <alignment horizontal="center" vertical="center"/>
    </xf>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8" fillId="0" borderId="7" xfId="14" applyFont="1" applyFill="1" applyBorder="1" applyAlignment="1">
      <alignment horizontal="center" vertical="top" wrapText="1"/>
    </xf>
    <xf numFmtId="0" fontId="36" fillId="0" borderId="0" xfId="2" applyFont="1" applyFill="1" applyAlignment="1">
      <alignment horizontal="center" vertical="center"/>
    </xf>
    <xf numFmtId="0" fontId="27" fillId="0" borderId="7" xfId="14"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0" borderId="7" xfId="14" applyFont="1" applyFill="1" applyBorder="1" applyAlignment="1">
      <alignment horizontal="center" vertical="top" wrapText="1"/>
    </xf>
    <xf numFmtId="0" fontId="41" fillId="3" borderId="0" xfId="2" applyFont="1" applyFill="1" applyAlignment="1">
      <alignment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8" fillId="0" borderId="7" xfId="14" applyFont="1" applyFill="1" applyBorder="1" applyAlignment="1">
      <alignment horizontal="center" vertical="top" wrapText="1"/>
    </xf>
    <xf numFmtId="0" fontId="36" fillId="0" borderId="0" xfId="2" applyFont="1" applyFill="1" applyAlignment="1">
      <alignment horizontal="center" vertical="center"/>
    </xf>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6" borderId="11" xfId="14" applyFont="1" applyFill="1" applyBorder="1" applyAlignment="1">
      <alignment horizontal="center" vertical="center"/>
    </xf>
    <xf numFmtId="0" fontId="27" fillId="0" borderId="7" xfId="14"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41" fillId="0" borderId="2" xfId="2" applyFont="1" applyFill="1" applyBorder="1" applyAlignment="1">
      <alignment horizontal="center" vertical="center"/>
    </xf>
    <xf numFmtId="0" fontId="37" fillId="0" borderId="0" xfId="2" applyFont="1" applyFill="1" applyAlignment="1">
      <alignment horizontal="center" vertical="center"/>
    </xf>
    <xf numFmtId="0" fontId="39" fillId="0" borderId="0" xfId="2" applyFont="1" applyFill="1" applyBorder="1" applyAlignment="1">
      <alignment horizontal="left" vertical="center"/>
    </xf>
    <xf numFmtId="0" fontId="40" fillId="0" borderId="41" xfId="2" applyFont="1" applyFill="1" applyBorder="1" applyAlignment="1">
      <alignment horizontal="center" vertical="center" wrapText="1"/>
    </xf>
    <xf numFmtId="0" fontId="40" fillId="0" borderId="31" xfId="2" applyFont="1" applyFill="1" applyBorder="1" applyAlignment="1">
      <alignment horizontal="center" vertical="center" wrapText="1"/>
    </xf>
    <xf numFmtId="0" fontId="40" fillId="0" borderId="43" xfId="2" applyFont="1" applyFill="1" applyBorder="1" applyAlignment="1">
      <alignment horizontal="center" vertical="center" wrapText="1"/>
    </xf>
    <xf numFmtId="0" fontId="39" fillId="0" borderId="2" xfId="2" applyFont="1" applyFill="1" applyBorder="1" applyAlignment="1">
      <alignment vertical="center"/>
    </xf>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165" fontId="41" fillId="0" borderId="0" xfId="2" applyNumberFormat="1" applyFont="1" applyFill="1" applyBorder="1" applyAlignment="1">
      <alignment horizontal="center"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41" fontId="39" fillId="0" borderId="7" xfId="1" applyFont="1" applyFill="1" applyBorder="1" applyAlignment="1">
      <alignment horizontal="center" vertical="center" wrapText="1"/>
    </xf>
    <xf numFmtId="41" fontId="39" fillId="0" borderId="7" xfId="1" applyFont="1" applyFill="1" applyBorder="1" applyAlignment="1">
      <alignment vertical="center"/>
    </xf>
    <xf numFmtId="166" fontId="39" fillId="0" borderId="7" xfId="6" applyNumberFormat="1" applyFont="1" applyFill="1" applyBorder="1" applyAlignment="1">
      <alignment vertical="center" wrapText="1"/>
    </xf>
    <xf numFmtId="0" fontId="39" fillId="0" borderId="2" xfId="2" applyFont="1" applyFill="1" applyBorder="1" applyAlignment="1">
      <alignment horizontal="center" vertical="center"/>
    </xf>
    <xf numFmtId="0" fontId="39" fillId="0" borderId="0" xfId="2" applyFont="1" applyFill="1" applyBorder="1" applyAlignment="1">
      <alignment horizontal="center" vertical="center"/>
    </xf>
    <xf numFmtId="41" fontId="39" fillId="0" borderId="0" xfId="6" applyFont="1" applyFill="1" applyAlignment="1">
      <alignment vertical="center"/>
    </xf>
    <xf numFmtId="0" fontId="41" fillId="9" borderId="0" xfId="2" applyFont="1" applyFill="1" applyAlignment="1">
      <alignment vertical="center"/>
    </xf>
    <xf numFmtId="0" fontId="41" fillId="9" borderId="15" xfId="2" applyFont="1" applyFill="1" applyBorder="1" applyAlignment="1">
      <alignment horizontal="left" vertical="center"/>
    </xf>
    <xf numFmtId="0" fontId="41" fillId="9" borderId="7" xfId="2" applyFont="1" applyFill="1" applyBorder="1" applyAlignment="1">
      <alignment vertical="center" wrapText="1"/>
    </xf>
    <xf numFmtId="166" fontId="41" fillId="9" borderId="7" xfId="1" applyNumberFormat="1" applyFont="1" applyFill="1" applyBorder="1" applyAlignment="1">
      <alignment vertical="center" wrapText="1"/>
    </xf>
    <xf numFmtId="0" fontId="41" fillId="9" borderId="7" xfId="2" applyFont="1" applyFill="1" applyBorder="1" applyAlignment="1">
      <alignment horizontal="center" vertical="center"/>
    </xf>
    <xf numFmtId="0" fontId="39" fillId="9" borderId="7" xfId="2" applyFont="1" applyFill="1" applyBorder="1" applyAlignment="1">
      <alignment vertical="center"/>
    </xf>
    <xf numFmtId="41" fontId="41" fillId="9" borderId="7" xfId="1" applyFont="1" applyFill="1" applyBorder="1" applyAlignment="1">
      <alignment horizontal="center" vertical="center"/>
    </xf>
    <xf numFmtId="0" fontId="41" fillId="9" borderId="7" xfId="2" applyFont="1" applyFill="1" applyBorder="1" applyAlignment="1">
      <alignment vertical="center"/>
    </xf>
    <xf numFmtId="166" fontId="41" fillId="9" borderId="7" xfId="1" applyNumberFormat="1" applyFont="1" applyFill="1" applyBorder="1" applyAlignment="1">
      <alignment vertical="center"/>
    </xf>
    <xf numFmtId="0" fontId="41" fillId="9" borderId="0" xfId="2" applyFont="1" applyFill="1" applyBorder="1" applyAlignment="1">
      <alignment vertical="center"/>
    </xf>
    <xf numFmtId="0" fontId="41" fillId="9" borderId="0" xfId="0" applyFont="1" applyFill="1" applyAlignment="1">
      <alignment vertical="center"/>
    </xf>
    <xf numFmtId="166" fontId="41" fillId="9" borderId="0" xfId="1" applyNumberFormat="1" applyFont="1" applyFill="1" applyAlignment="1">
      <alignment vertical="center"/>
    </xf>
    <xf numFmtId="41" fontId="41" fillId="9" borderId="0" xfId="6" applyFont="1" applyFill="1" applyAlignment="1">
      <alignment vertical="center"/>
    </xf>
    <xf numFmtId="166" fontId="41" fillId="9" borderId="0" xfId="1" quotePrefix="1" applyNumberFormat="1" applyFont="1" applyFill="1" applyAlignment="1">
      <alignment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0" fontId="41" fillId="0" borderId="0" xfId="2" applyFont="1" applyFill="1" applyAlignment="1">
      <alignment horizontal="center" vertical="center"/>
    </xf>
    <xf numFmtId="0" fontId="37" fillId="0" borderId="0" xfId="2" applyFont="1" applyFill="1" applyAlignment="1">
      <alignment horizontal="center" vertical="center"/>
    </xf>
    <xf numFmtId="166" fontId="39" fillId="0" borderId="6" xfId="1" applyNumberFormat="1" applyFont="1" applyFill="1" applyBorder="1" applyAlignment="1">
      <alignment horizontal="center" vertical="center"/>
    </xf>
    <xf numFmtId="0" fontId="27" fillId="0" borderId="7" xfId="14"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0" xfId="16"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37" fillId="0" borderId="0" xfId="2" applyFont="1" applyFill="1" applyAlignment="1">
      <alignment vertical="center"/>
    </xf>
    <xf numFmtId="0" fontId="36" fillId="0" borderId="0" xfId="2" applyFont="1" applyFill="1" applyAlignment="1">
      <alignment horizontal="center" vertical="center"/>
    </xf>
    <xf numFmtId="0" fontId="41" fillId="14" borderId="0" xfId="2" applyFont="1" applyFill="1" applyAlignment="1">
      <alignment vertical="center"/>
    </xf>
    <xf numFmtId="166" fontId="41" fillId="9" borderId="16" xfId="1" applyNumberFormat="1" applyFont="1" applyFill="1" applyBorder="1" applyAlignment="1">
      <alignment vertical="center"/>
    </xf>
    <xf numFmtId="0" fontId="41" fillId="14" borderId="15" xfId="2" applyFont="1" applyFill="1" applyBorder="1" applyAlignment="1">
      <alignment horizontal="left" vertical="center"/>
    </xf>
    <xf numFmtId="166" fontId="41" fillId="14" borderId="7" xfId="1" applyNumberFormat="1" applyFont="1" applyFill="1" applyBorder="1" applyAlignment="1">
      <alignment vertical="center" wrapText="1"/>
    </xf>
    <xf numFmtId="0" fontId="41" fillId="14" borderId="7" xfId="2" applyFont="1" applyFill="1" applyBorder="1" applyAlignment="1">
      <alignment horizontal="center" vertical="center"/>
    </xf>
    <xf numFmtId="0" fontId="39" fillId="14" borderId="7" xfId="2" applyFont="1" applyFill="1" applyBorder="1" applyAlignment="1">
      <alignment vertical="center"/>
    </xf>
    <xf numFmtId="41" fontId="41" fillId="14" borderId="7" xfId="1" applyFont="1" applyFill="1" applyBorder="1" applyAlignment="1">
      <alignment horizontal="center" vertical="center"/>
    </xf>
    <xf numFmtId="0" fontId="41" fillId="14" borderId="7" xfId="2" applyFont="1" applyFill="1" applyBorder="1" applyAlignment="1">
      <alignment vertical="center"/>
    </xf>
    <xf numFmtId="0" fontId="41" fillId="14" borderId="8" xfId="0" applyFont="1" applyFill="1" applyBorder="1" applyAlignment="1">
      <alignment vertical="center" wrapText="1"/>
    </xf>
    <xf numFmtId="166" fontId="41" fillId="14" borderId="8" xfId="1" applyNumberFormat="1" applyFont="1" applyFill="1" applyBorder="1" applyAlignment="1">
      <alignment horizontal="right" vertical="center" wrapText="1"/>
    </xf>
    <xf numFmtId="0" fontId="41" fillId="14" borderId="8" xfId="0" applyFont="1" applyFill="1" applyBorder="1" applyAlignment="1">
      <alignment horizontal="center" vertical="center" wrapText="1"/>
    </xf>
    <xf numFmtId="0" fontId="41" fillId="15" borderId="0" xfId="2" applyFont="1" applyFill="1" applyAlignment="1">
      <alignment vertical="center"/>
    </xf>
    <xf numFmtId="0" fontId="41" fillId="15" borderId="15" xfId="2" applyFont="1" applyFill="1" applyBorder="1" applyAlignment="1">
      <alignment horizontal="left" vertical="center"/>
    </xf>
    <xf numFmtId="166" fontId="41" fillId="15" borderId="7" xfId="1" applyNumberFormat="1" applyFont="1" applyFill="1" applyBorder="1" applyAlignment="1">
      <alignment vertical="center" wrapText="1"/>
    </xf>
    <xf numFmtId="0" fontId="41" fillId="15" borderId="7" xfId="2" applyFont="1" applyFill="1" applyBorder="1" applyAlignment="1">
      <alignment horizontal="center" vertical="center"/>
    </xf>
    <xf numFmtId="0" fontId="39" fillId="15" borderId="7" xfId="2" applyFont="1" applyFill="1" applyBorder="1" applyAlignment="1">
      <alignment vertical="center"/>
    </xf>
    <xf numFmtId="0" fontId="41" fillId="15" borderId="7" xfId="2" applyFont="1" applyFill="1" applyBorder="1" applyAlignment="1">
      <alignment vertical="center"/>
    </xf>
    <xf numFmtId="166" fontId="41" fillId="15" borderId="7" xfId="1" applyNumberFormat="1" applyFont="1" applyFill="1" applyBorder="1" applyAlignment="1">
      <alignment vertical="center"/>
    </xf>
    <xf numFmtId="0" fontId="41" fillId="15" borderId="16" xfId="2" applyFont="1" applyFill="1" applyBorder="1" applyAlignment="1">
      <alignment vertical="center"/>
    </xf>
    <xf numFmtId="0" fontId="41" fillId="15" borderId="8" xfId="0" applyNumberFormat="1" applyFont="1" applyFill="1" applyBorder="1" applyAlignment="1">
      <alignment horizontal="left" vertical="center" wrapText="1"/>
    </xf>
    <xf numFmtId="0" fontId="41" fillId="16" borderId="0" xfId="2" applyFont="1" applyFill="1" applyAlignment="1">
      <alignment vertical="center"/>
    </xf>
    <xf numFmtId="0" fontId="41" fillId="16" borderId="15" xfId="2" applyFont="1" applyFill="1" applyBorder="1" applyAlignment="1">
      <alignment horizontal="left" vertical="center"/>
    </xf>
    <xf numFmtId="166" fontId="41" fillId="16" borderId="7" xfId="1" applyNumberFormat="1" applyFont="1" applyFill="1" applyBorder="1" applyAlignment="1">
      <alignment vertical="center" wrapText="1"/>
    </xf>
    <xf numFmtId="0" fontId="41" fillId="16" borderId="7" xfId="2" applyFont="1" applyFill="1" applyBorder="1" applyAlignment="1">
      <alignment horizontal="center" vertical="center"/>
    </xf>
    <xf numFmtId="0" fontId="39" fillId="16" borderId="7" xfId="2" applyFont="1" applyFill="1" applyBorder="1" applyAlignment="1">
      <alignment vertical="center"/>
    </xf>
    <xf numFmtId="0" fontId="41" fillId="16" borderId="7" xfId="2" applyFont="1" applyFill="1" applyBorder="1" applyAlignment="1">
      <alignment vertical="center"/>
    </xf>
    <xf numFmtId="166" fontId="41" fillId="16" borderId="7" xfId="1" applyNumberFormat="1" applyFont="1" applyFill="1" applyBorder="1" applyAlignment="1">
      <alignment vertical="center"/>
    </xf>
    <xf numFmtId="0" fontId="41" fillId="16" borderId="8" xfId="1" quotePrefix="1" applyNumberFormat="1" applyFont="1" applyFill="1" applyBorder="1" applyAlignment="1">
      <alignment vertical="center" wrapText="1"/>
    </xf>
    <xf numFmtId="0" fontId="41" fillId="16" borderId="8" xfId="0" applyFont="1" applyFill="1" applyBorder="1" applyAlignment="1">
      <alignment vertical="center" wrapText="1"/>
    </xf>
    <xf numFmtId="0" fontId="41" fillId="16" borderId="8" xfId="0" applyFont="1" applyFill="1" applyBorder="1" applyAlignment="1">
      <alignment horizontal="center" vertical="center" wrapText="1"/>
    </xf>
    <xf numFmtId="0" fontId="41" fillId="14" borderId="8" xfId="1" quotePrefix="1" applyNumberFormat="1" applyFont="1" applyFill="1" applyBorder="1" applyAlignment="1">
      <alignment vertical="center" wrapText="1"/>
    </xf>
    <xf numFmtId="0" fontId="47" fillId="16" borderId="8" xfId="1" quotePrefix="1" applyNumberFormat="1" applyFont="1" applyFill="1" applyBorder="1" applyAlignment="1">
      <alignment vertical="center" wrapText="1"/>
    </xf>
    <xf numFmtId="0" fontId="47" fillId="15" borderId="8" xfId="1" quotePrefix="1" applyNumberFormat="1" applyFont="1" applyFill="1" applyBorder="1" applyAlignment="1">
      <alignment horizontal="left" vertical="center" wrapText="1"/>
    </xf>
    <xf numFmtId="0" fontId="41" fillId="0" borderId="5" xfId="2" applyFont="1" applyFill="1" applyBorder="1" applyAlignment="1">
      <alignment vertical="center" wrapText="1"/>
    </xf>
    <xf numFmtId="0" fontId="41" fillId="0" borderId="5" xfId="2" applyFont="1" applyFill="1" applyBorder="1" applyAlignment="1">
      <alignment horizontal="center" vertical="center"/>
    </xf>
    <xf numFmtId="166" fontId="41" fillId="0" borderId="16" xfId="1" applyNumberFormat="1" applyFont="1" applyFill="1" applyBorder="1" applyAlignment="1">
      <alignment vertical="center"/>
    </xf>
    <xf numFmtId="0" fontId="41" fillId="0" borderId="26" xfId="2" applyFont="1" applyFill="1" applyBorder="1" applyAlignment="1">
      <alignment horizontal="left" vertical="center"/>
    </xf>
    <xf numFmtId="0" fontId="39" fillId="0" borderId="1" xfId="2" applyFont="1" applyFill="1" applyBorder="1" applyAlignment="1">
      <alignment vertical="center"/>
    </xf>
    <xf numFmtId="166" fontId="41" fillId="0" borderId="1" xfId="1" applyNumberFormat="1" applyFont="1" applyFill="1" applyBorder="1" applyAlignment="1">
      <alignment vertical="center"/>
    </xf>
    <xf numFmtId="166" fontId="41" fillId="0" borderId="27" xfId="1" applyNumberFormat="1" applyFont="1" applyFill="1" applyBorder="1" applyAlignment="1">
      <alignment vertical="center"/>
    </xf>
    <xf numFmtId="0" fontId="41" fillId="0" borderId="0" xfId="2" applyFont="1" applyFill="1" applyAlignment="1">
      <alignment horizontal="center" vertical="center"/>
    </xf>
    <xf numFmtId="0" fontId="41" fillId="0" borderId="0" xfId="2" applyFont="1" applyFill="1" applyAlignment="1">
      <alignment horizontal="center"/>
    </xf>
    <xf numFmtId="0" fontId="43" fillId="0" borderId="0" xfId="2" applyFont="1" applyFill="1" applyAlignment="1">
      <alignment horizontal="center"/>
    </xf>
    <xf numFmtId="0" fontId="40" fillId="0" borderId="7" xfId="2" applyFont="1" applyFill="1" applyBorder="1" applyAlignment="1">
      <alignment horizontal="center" vertical="center"/>
    </xf>
    <xf numFmtId="0" fontId="36" fillId="0" borderId="0" xfId="2" applyFont="1" applyFill="1" applyAlignment="1">
      <alignment horizontal="center"/>
    </xf>
    <xf numFmtId="0" fontId="37" fillId="0" borderId="0" xfId="2" applyFont="1" applyFill="1" applyAlignment="1">
      <alignment horizontal="center"/>
    </xf>
    <xf numFmtId="0" fontId="36" fillId="0" borderId="0" xfId="2" applyFont="1" applyFill="1" applyAlignment="1">
      <alignment horizontal="center" vertical="center"/>
    </xf>
    <xf numFmtId="0" fontId="40" fillId="0" borderId="7" xfId="2" applyFont="1" applyFill="1" applyBorder="1" applyAlignment="1">
      <alignment vertical="center" wrapText="1"/>
    </xf>
    <xf numFmtId="0" fontId="2" fillId="0" borderId="0" xfId="2" applyFill="1" applyAlignment="1">
      <alignment horizontal="center"/>
    </xf>
    <xf numFmtId="0" fontId="2" fillId="0" borderId="0" xfId="2" applyAlignment="1">
      <alignment horizontal="center"/>
    </xf>
    <xf numFmtId="0" fontId="36" fillId="12" borderId="0" xfId="2" applyFont="1" applyFill="1" applyAlignment="1">
      <alignment horizontal="center" vertical="center"/>
    </xf>
    <xf numFmtId="0" fontId="36" fillId="12" borderId="0" xfId="2" applyFont="1" applyFill="1" applyAlignment="1">
      <alignment vertical="center"/>
    </xf>
    <xf numFmtId="0" fontId="36" fillId="12" borderId="0" xfId="0" applyFont="1" applyFill="1" applyAlignment="1">
      <alignment vertical="center"/>
    </xf>
    <xf numFmtId="0" fontId="41" fillId="12" borderId="15" xfId="2" applyFont="1" applyFill="1" applyBorder="1" applyAlignment="1">
      <alignment vertical="center"/>
    </xf>
    <xf numFmtId="0" fontId="41" fillId="12" borderId="7" xfId="2" applyFont="1" applyFill="1" applyBorder="1" applyAlignment="1">
      <alignment horizontal="left" vertical="center" wrapText="1"/>
    </xf>
    <xf numFmtId="166" fontId="41" fillId="12" borderId="7" xfId="1" applyNumberFormat="1" applyFont="1" applyFill="1" applyBorder="1" applyAlignment="1">
      <alignment horizontal="left" vertical="center" wrapText="1"/>
    </xf>
    <xf numFmtId="0" fontId="41" fillId="12" borderId="7" xfId="2" applyFont="1" applyFill="1" applyBorder="1" applyAlignment="1">
      <alignment vertical="center" wrapText="1"/>
    </xf>
    <xf numFmtId="0" fontId="41" fillId="12" borderId="7" xfId="2" applyFont="1" applyFill="1" applyBorder="1" applyAlignment="1">
      <alignment horizontal="center" vertical="center"/>
    </xf>
    <xf numFmtId="0" fontId="41" fillId="12" borderId="7" xfId="2" applyFont="1" applyFill="1" applyBorder="1" applyAlignment="1">
      <alignment vertical="center"/>
    </xf>
    <xf numFmtId="0" fontId="41" fillId="12" borderId="7" xfId="2" applyFont="1" applyFill="1" applyBorder="1" applyAlignment="1">
      <alignment horizontal="left" vertical="center"/>
    </xf>
    <xf numFmtId="166" fontId="41" fillId="12" borderId="7" xfId="1" applyNumberFormat="1" applyFont="1" applyFill="1" applyBorder="1" applyAlignment="1">
      <alignment vertical="center" wrapText="1"/>
    </xf>
    <xf numFmtId="0" fontId="46" fillId="12" borderId="16" xfId="2" applyFont="1" applyFill="1" applyBorder="1" applyAlignment="1">
      <alignment horizontal="left" vertical="center"/>
    </xf>
    <xf numFmtId="0" fontId="46" fillId="12" borderId="0" xfId="2" applyFont="1" applyFill="1" applyBorder="1" applyAlignment="1">
      <alignment horizontal="left" vertical="center"/>
    </xf>
    <xf numFmtId="0" fontId="39" fillId="12" borderId="0" xfId="0" applyFont="1" applyFill="1" applyAlignment="1">
      <alignment horizontal="center" vertical="center"/>
    </xf>
    <xf numFmtId="0" fontId="41" fillId="12" borderId="0" xfId="0" applyFont="1" applyFill="1" applyAlignment="1">
      <alignment vertical="center"/>
    </xf>
    <xf numFmtId="166" fontId="41" fillId="12" borderId="0" xfId="1" applyNumberFormat="1" applyFont="1" applyFill="1" applyAlignment="1">
      <alignment vertical="center"/>
    </xf>
    <xf numFmtId="0" fontId="41" fillId="12" borderId="0" xfId="1" applyNumberFormat="1" applyFont="1" applyFill="1" applyAlignment="1">
      <alignment horizontal="center" vertical="center"/>
    </xf>
    <xf numFmtId="166" fontId="41" fillId="12" borderId="0" xfId="1" quotePrefix="1" applyNumberFormat="1" applyFont="1" applyFill="1" applyAlignment="1">
      <alignment vertical="center"/>
    </xf>
    <xf numFmtId="166" fontId="41" fillId="12" borderId="0" xfId="0" applyNumberFormat="1" applyFont="1" applyFill="1" applyAlignment="1">
      <alignment vertical="center"/>
    </xf>
    <xf numFmtId="41" fontId="41" fillId="12" borderId="7" xfId="1" applyFont="1" applyFill="1" applyBorder="1" applyAlignment="1">
      <alignment horizontal="left" vertical="center"/>
    </xf>
    <xf numFmtId="166" fontId="41" fillId="12" borderId="7" xfId="1" applyNumberFormat="1" applyFont="1" applyFill="1" applyBorder="1" applyAlignment="1">
      <alignment horizontal="left" vertical="center"/>
    </xf>
    <xf numFmtId="0" fontId="2" fillId="12" borderId="0" xfId="2" applyFill="1" applyAlignment="1">
      <alignment horizontal="center" vertical="center"/>
    </xf>
    <xf numFmtId="0" fontId="2" fillId="12" borderId="0" xfId="2" applyFill="1" applyAlignment="1">
      <alignment vertical="center"/>
    </xf>
    <xf numFmtId="0" fontId="0" fillId="12" borderId="0" xfId="0" applyFill="1" applyAlignment="1">
      <alignment vertical="center"/>
    </xf>
    <xf numFmtId="41" fontId="6" fillId="12" borderId="7" xfId="1" applyFont="1" applyFill="1" applyBorder="1" applyAlignment="1">
      <alignment horizontal="left" vertical="center"/>
    </xf>
    <xf numFmtId="166" fontId="6" fillId="12" borderId="7" xfId="1" applyNumberFormat="1" applyFont="1" applyFill="1" applyBorder="1" applyAlignment="1">
      <alignment horizontal="left" vertical="center"/>
    </xf>
    <xf numFmtId="166" fontId="6" fillId="12" borderId="7" xfId="1" applyNumberFormat="1" applyFont="1" applyFill="1" applyBorder="1" applyAlignment="1">
      <alignment vertical="center" wrapText="1"/>
    </xf>
    <xf numFmtId="0" fontId="16" fillId="12" borderId="16" xfId="2" applyFont="1" applyFill="1" applyBorder="1" applyAlignment="1">
      <alignment horizontal="left" vertical="center"/>
    </xf>
    <xf numFmtId="0" fontId="16" fillId="12" borderId="0" xfId="2" applyFont="1" applyFill="1" applyBorder="1" applyAlignment="1">
      <alignment horizontal="left" vertical="center"/>
    </xf>
    <xf numFmtId="0" fontId="6" fillId="12" borderId="0" xfId="1" applyNumberFormat="1" applyFont="1" applyFill="1" applyAlignment="1">
      <alignment horizontal="center" vertical="center"/>
    </xf>
    <xf numFmtId="166" fontId="6" fillId="12" borderId="0" xfId="0" applyNumberFormat="1" applyFont="1" applyFill="1" applyAlignment="1">
      <alignment vertical="center"/>
    </xf>
    <xf numFmtId="166" fontId="6" fillId="12" borderId="7" xfId="1" applyNumberFormat="1" applyFont="1" applyFill="1" applyBorder="1" applyAlignment="1">
      <alignment horizontal="left" vertical="center" wrapText="1"/>
    </xf>
    <xf numFmtId="0" fontId="41" fillId="0" borderId="0" xfId="2" applyFont="1" applyFill="1" applyAlignment="1">
      <alignment horizontal="center" vertical="center"/>
    </xf>
    <xf numFmtId="0" fontId="36" fillId="0" borderId="0" xfId="2" applyFont="1" applyFill="1" applyAlignment="1">
      <alignment horizontal="center"/>
    </xf>
    <xf numFmtId="0" fontId="36" fillId="0" borderId="0" xfId="2" applyFont="1" applyFill="1" applyAlignment="1">
      <alignment horizontal="center" vertical="center"/>
    </xf>
    <xf numFmtId="0" fontId="36" fillId="0" borderId="0" xfId="2" applyFont="1" applyFill="1" applyAlignment="1">
      <alignment horizontal="center"/>
    </xf>
    <xf numFmtId="0" fontId="36" fillId="0" borderId="0" xfId="2" applyFont="1" applyFill="1" applyAlignment="1">
      <alignment horizontal="center" vertical="center"/>
    </xf>
    <xf numFmtId="0" fontId="36" fillId="0" borderId="0" xfId="2" applyFont="1" applyFill="1" applyAlignment="1">
      <alignment horizontal="left" wrapText="1"/>
    </xf>
    <xf numFmtId="0" fontId="48" fillId="0" borderId="0" xfId="2" applyFont="1" applyFill="1" applyAlignment="1">
      <alignment horizontal="center" vertical="center"/>
    </xf>
    <xf numFmtId="0" fontId="36" fillId="0" borderId="0" xfId="2" applyFont="1" applyFill="1" applyAlignment="1">
      <alignment vertical="center" wrapText="1"/>
    </xf>
    <xf numFmtId="0" fontId="36" fillId="0" borderId="0" xfId="2" applyFont="1" applyFill="1" applyAlignment="1">
      <alignment horizontal="center" vertical="center" wrapText="1"/>
    </xf>
    <xf numFmtId="0" fontId="36" fillId="0" borderId="0" xfId="2" applyFont="1"/>
    <xf numFmtId="166" fontId="48" fillId="0" borderId="0" xfId="1" applyNumberFormat="1" applyFont="1"/>
    <xf numFmtId="166" fontId="36" fillId="0" borderId="0" xfId="1" applyNumberFormat="1" applyFont="1"/>
    <xf numFmtId="0" fontId="36" fillId="0" borderId="0" xfId="2" applyFont="1" applyAlignment="1">
      <alignment horizontal="center"/>
    </xf>
    <xf numFmtId="0" fontId="27" fillId="0" borderId="7" xfId="14" applyFont="1" applyFill="1" applyBorder="1" applyAlignment="1">
      <alignment horizontal="center" vertical="center" wrapText="1"/>
    </xf>
    <xf numFmtId="0" fontId="36" fillId="0" borderId="0" xfId="2" applyFont="1" applyFill="1" applyBorder="1"/>
    <xf numFmtId="0" fontId="28" fillId="0" borderId="7" xfId="14" applyFont="1" applyFill="1" applyBorder="1" applyAlignment="1">
      <alignment horizontal="center" vertical="center" wrapText="1"/>
    </xf>
    <xf numFmtId="0" fontId="27" fillId="0" borderId="0" xfId="16"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3" xfId="16" applyFont="1" applyFill="1" applyBorder="1" applyAlignment="1">
      <alignment horizontal="center" vertical="center" wrapText="1"/>
    </xf>
    <xf numFmtId="41" fontId="27" fillId="0" borderId="0" xfId="1" applyFont="1" applyFill="1" applyBorder="1" applyAlignment="1">
      <alignment horizontal="center" vertical="top" wrapText="1"/>
    </xf>
    <xf numFmtId="41" fontId="1" fillId="0" borderId="0" xfId="1" applyFill="1"/>
    <xf numFmtId="0" fontId="1" fillId="0" borderId="0" xfId="13" applyFill="1" applyAlignment="1">
      <alignment horizontal="left"/>
    </xf>
    <xf numFmtId="0" fontId="0" fillId="0" borderId="0" xfId="13" applyFont="1" applyFill="1" applyAlignment="1">
      <alignment horizontal="left"/>
    </xf>
    <xf numFmtId="0" fontId="28" fillId="0" borderId="0" xfId="14" applyFont="1" applyFill="1" applyAlignment="1">
      <alignment horizontal="left"/>
    </xf>
    <xf numFmtId="0" fontId="28" fillId="0" borderId="0" xfId="14" applyFont="1" applyFill="1" applyAlignment="1">
      <alignment horizontal="left" vertical="center" wrapText="1"/>
    </xf>
    <xf numFmtId="0" fontId="31" fillId="0" borderId="0" xfId="14" applyFont="1" applyFill="1" applyAlignment="1">
      <alignment horizontal="left" vertical="top" wrapText="1"/>
    </xf>
    <xf numFmtId="0" fontId="28" fillId="0" borderId="0" xfId="14" applyFont="1" applyFill="1" applyAlignment="1">
      <alignment horizontal="left" vertical="top" wrapText="1"/>
    </xf>
    <xf numFmtId="0" fontId="27" fillId="0" borderId="0" xfId="14" applyFont="1" applyFill="1" applyAlignment="1">
      <alignment horizontal="left" vertical="top" wrapText="1"/>
    </xf>
    <xf numFmtId="0" fontId="27" fillId="0" borderId="0" xfId="14" applyFont="1" applyFill="1" applyAlignment="1">
      <alignment horizontal="left" vertical="center" wrapText="1"/>
    </xf>
    <xf numFmtId="165" fontId="27" fillId="0" borderId="0" xfId="14" applyNumberFormat="1" applyFont="1" applyFill="1" applyBorder="1" applyAlignment="1">
      <alignment horizontal="center" vertical="top" wrapText="1"/>
    </xf>
    <xf numFmtId="0" fontId="28" fillId="0" borderId="7" xfId="14" applyFont="1" applyFill="1" applyBorder="1" applyAlignment="1">
      <alignment horizontal="center" vertical="center" wrapText="1"/>
    </xf>
    <xf numFmtId="0" fontId="28" fillId="0" borderId="7" xfId="14" applyFont="1" applyFill="1" applyBorder="1" applyAlignment="1">
      <alignment horizontal="center" vertical="center" wrapText="1"/>
    </xf>
    <xf numFmtId="0" fontId="28" fillId="0" borderId="7" xfId="14" applyFont="1" applyFill="1" applyBorder="1" applyAlignment="1">
      <alignment horizontal="center" vertical="center" wrapText="1"/>
    </xf>
    <xf numFmtId="0" fontId="28" fillId="6" borderId="0" xfId="14" applyFont="1" applyFill="1" applyAlignment="1">
      <alignment horizontal="left"/>
    </xf>
    <xf numFmtId="0" fontId="48" fillId="0" borderId="0" xfId="2" applyFont="1" applyFill="1" applyAlignment="1">
      <alignment vertical="center"/>
    </xf>
    <xf numFmtId="41" fontId="48" fillId="0" borderId="0" xfId="1" applyFont="1" applyFill="1" applyAlignment="1">
      <alignment horizontal="center" vertical="center"/>
    </xf>
    <xf numFmtId="0" fontId="48" fillId="0" borderId="0" xfId="2" applyFont="1" applyAlignment="1">
      <alignment vertical="center"/>
    </xf>
    <xf numFmtId="0" fontId="48" fillId="0" borderId="0" xfId="2" applyFont="1" applyAlignment="1">
      <alignment horizontal="center" vertical="center"/>
    </xf>
    <xf numFmtId="41" fontId="48" fillId="0" borderId="0" xfId="1" applyFont="1" applyAlignment="1">
      <alignment horizontal="center" vertical="center"/>
    </xf>
    <xf numFmtId="0" fontId="48" fillId="0" borderId="0" xfId="2" applyFont="1" applyFill="1" applyAlignment="1">
      <alignment vertical="center" wrapText="1"/>
    </xf>
    <xf numFmtId="0" fontId="48" fillId="0" borderId="0" xfId="2" applyFont="1" applyAlignment="1">
      <alignment vertical="center" wrapText="1"/>
    </xf>
    <xf numFmtId="43" fontId="48" fillId="0" borderId="0" xfId="3" applyFont="1" applyFill="1" applyAlignment="1">
      <alignment horizontal="center" vertical="center" wrapText="1"/>
    </xf>
    <xf numFmtId="43" fontId="48" fillId="0" borderId="0" xfId="3" applyFont="1" applyAlignment="1">
      <alignment horizontal="center" vertical="center" wrapText="1"/>
    </xf>
    <xf numFmtId="166" fontId="50" fillId="0" borderId="0" xfId="1" applyNumberFormat="1" applyFont="1"/>
    <xf numFmtId="166" fontId="51" fillId="0" borderId="0" xfId="1" applyNumberFormat="1" applyFont="1"/>
    <xf numFmtId="0" fontId="51" fillId="0" borderId="0" xfId="2" applyFont="1"/>
    <xf numFmtId="0" fontId="51" fillId="0" borderId="0" xfId="2" applyFont="1" applyAlignment="1">
      <alignment vertical="center"/>
    </xf>
    <xf numFmtId="0" fontId="51" fillId="0" borderId="0" xfId="2" applyFont="1" applyFill="1" applyAlignment="1">
      <alignment vertical="center"/>
    </xf>
    <xf numFmtId="0" fontId="51" fillId="0" borderId="0" xfId="2" applyFont="1" applyFill="1" applyAlignment="1">
      <alignment horizontal="center" vertical="center"/>
    </xf>
    <xf numFmtId="166" fontId="50" fillId="0" borderId="0" xfId="1" applyNumberFormat="1" applyFont="1" applyAlignment="1">
      <alignment vertical="center"/>
    </xf>
    <xf numFmtId="166" fontId="51" fillId="0" borderId="0" xfId="1" applyNumberFormat="1" applyFont="1" applyAlignment="1">
      <alignment vertical="center"/>
    </xf>
    <xf numFmtId="0" fontId="50" fillId="0" borderId="0" xfId="2" applyFont="1"/>
    <xf numFmtId="165" fontId="51" fillId="0" borderId="0" xfId="2" applyNumberFormat="1" applyFont="1"/>
    <xf numFmtId="0" fontId="50" fillId="0" borderId="0" xfId="2" applyFont="1" applyFill="1" applyBorder="1" applyAlignment="1">
      <alignment vertical="center" wrapText="1"/>
    </xf>
    <xf numFmtId="41" fontId="51" fillId="0" borderId="0" xfId="2" applyNumberFormat="1" applyFont="1" applyFill="1" applyAlignment="1">
      <alignment vertical="center"/>
    </xf>
    <xf numFmtId="0" fontId="50" fillId="0" borderId="0" xfId="2" applyFont="1" applyFill="1" applyBorder="1" applyAlignment="1">
      <alignment horizontal="center" vertical="center" wrapText="1"/>
    </xf>
    <xf numFmtId="0" fontId="50" fillId="0" borderId="0" xfId="2" applyFont="1" applyFill="1" applyBorder="1" applyAlignment="1">
      <alignment horizontal="left" vertical="center"/>
    </xf>
    <xf numFmtId="166" fontId="50" fillId="0" borderId="0" xfId="1" applyNumberFormat="1" applyFont="1" applyFill="1" applyBorder="1" applyAlignment="1">
      <alignment horizontal="left" vertical="center"/>
    </xf>
    <xf numFmtId="166" fontId="51" fillId="0" borderId="0" xfId="1" applyNumberFormat="1" applyFont="1" applyFill="1" applyAlignment="1">
      <alignment vertical="center"/>
    </xf>
    <xf numFmtId="0" fontId="50" fillId="0" borderId="0" xfId="2" applyFont="1" applyFill="1"/>
    <xf numFmtId="0" fontId="51" fillId="0" borderId="0" xfId="2" applyFont="1" applyFill="1"/>
    <xf numFmtId="0" fontId="51" fillId="0" borderId="0" xfId="2" applyFont="1" applyFill="1" applyAlignment="1">
      <alignment horizontal="center"/>
    </xf>
    <xf numFmtId="166" fontId="50" fillId="0" borderId="0" xfId="1" applyNumberFormat="1" applyFont="1" applyFill="1"/>
    <xf numFmtId="166" fontId="51" fillId="0" borderId="0" xfId="1" applyNumberFormat="1" applyFont="1" applyFill="1"/>
    <xf numFmtId="0" fontId="53" fillId="0" borderId="0" xfId="2" applyFont="1" applyFill="1" applyAlignment="1">
      <alignment vertical="center"/>
    </xf>
    <xf numFmtId="0" fontId="51" fillId="0" borderId="7" xfId="2" applyFont="1" applyFill="1" applyBorder="1"/>
    <xf numFmtId="0" fontId="51" fillId="0" borderId="7" xfId="2" applyFont="1" applyFill="1" applyBorder="1" applyAlignment="1">
      <alignment horizontal="center"/>
    </xf>
    <xf numFmtId="0" fontId="53" fillId="0" borderId="7" xfId="2" applyFont="1" applyFill="1" applyBorder="1" applyAlignment="1">
      <alignment vertical="center" wrapText="1"/>
    </xf>
    <xf numFmtId="0" fontId="51" fillId="0" borderId="7" xfId="2" applyFont="1" applyFill="1" applyBorder="1" applyAlignment="1">
      <alignment horizontal="left"/>
    </xf>
    <xf numFmtId="43" fontId="53" fillId="0" borderId="7" xfId="2" applyNumberFormat="1" applyFont="1" applyFill="1" applyBorder="1" applyAlignment="1">
      <alignment horizontal="right" vertical="center"/>
    </xf>
    <xf numFmtId="0" fontId="51" fillId="0" borderId="7" xfId="2" applyNumberFormat="1" applyFont="1" applyFill="1" applyBorder="1" applyAlignment="1">
      <alignment vertical="center" wrapText="1"/>
    </xf>
    <xf numFmtId="0" fontId="51" fillId="0" borderId="7" xfId="2" applyFont="1" applyFill="1" applyBorder="1" applyAlignment="1">
      <alignment vertical="center"/>
    </xf>
    <xf numFmtId="0" fontId="51" fillId="0" borderId="7" xfId="2" applyNumberFormat="1" applyFont="1" applyFill="1" applyBorder="1" applyAlignment="1">
      <alignment horizontal="left" vertical="center" wrapText="1"/>
    </xf>
    <xf numFmtId="0" fontId="51" fillId="0" borderId="7" xfId="2" applyFont="1" applyFill="1" applyBorder="1" applyAlignment="1">
      <alignment horizontal="center" vertical="center"/>
    </xf>
    <xf numFmtId="0" fontId="51" fillId="0" borderId="7" xfId="2" applyNumberFormat="1" applyFont="1" applyFill="1" applyBorder="1" applyAlignment="1">
      <alignment horizontal="center" vertical="center" wrapText="1"/>
    </xf>
    <xf numFmtId="166" fontId="51" fillId="0" borderId="7" xfId="6" applyNumberFormat="1" applyFont="1" applyFill="1" applyBorder="1" applyAlignment="1">
      <alignment horizontal="right" vertical="center" wrapText="1"/>
    </xf>
    <xf numFmtId="0" fontId="51" fillId="0" borderId="23" xfId="2" applyNumberFormat="1" applyFont="1" applyFill="1" applyBorder="1" applyAlignment="1">
      <alignment vertical="top" wrapText="1"/>
    </xf>
    <xf numFmtId="0" fontId="51" fillId="0" borderId="23" xfId="2" applyFont="1" applyFill="1" applyBorder="1"/>
    <xf numFmtId="0" fontId="51" fillId="0" borderId="23" xfId="2" applyFont="1" applyFill="1" applyBorder="1" applyAlignment="1">
      <alignment horizontal="center"/>
    </xf>
    <xf numFmtId="0" fontId="51" fillId="0" borderId="23" xfId="2" applyNumberFormat="1" applyFont="1" applyFill="1" applyBorder="1" applyAlignment="1">
      <alignment horizontal="center" vertical="top" wrapText="1"/>
    </xf>
    <xf numFmtId="166" fontId="51" fillId="0" borderId="23" xfId="6" applyNumberFormat="1" applyFont="1" applyFill="1" applyBorder="1" applyAlignment="1">
      <alignment horizontal="right" vertical="top" wrapText="1"/>
    </xf>
    <xf numFmtId="0" fontId="53" fillId="0" borderId="0" xfId="2" applyFont="1" applyFill="1" applyAlignment="1">
      <alignment horizontal="center" vertical="center"/>
    </xf>
    <xf numFmtId="0" fontId="51" fillId="0" borderId="49" xfId="2" applyFont="1" applyFill="1" applyBorder="1"/>
    <xf numFmtId="0" fontId="51" fillId="0" borderId="48" xfId="2" applyFont="1" applyFill="1" applyBorder="1" applyAlignment="1">
      <alignment horizontal="center" vertical="center"/>
    </xf>
    <xf numFmtId="0" fontId="51" fillId="0" borderId="49" xfId="2" applyFont="1" applyFill="1" applyBorder="1" applyAlignment="1">
      <alignment vertical="center"/>
    </xf>
    <xf numFmtId="14" fontId="51" fillId="0" borderId="7" xfId="2" applyNumberFormat="1" applyFont="1" applyFill="1" applyBorder="1" applyAlignment="1">
      <alignment horizontal="center" vertical="center"/>
    </xf>
    <xf numFmtId="0" fontId="51" fillId="0" borderId="7" xfId="2" applyFont="1" applyFill="1" applyBorder="1" applyAlignment="1">
      <alignment vertical="center" wrapText="1"/>
    </xf>
    <xf numFmtId="41" fontId="51" fillId="0" borderId="7" xfId="1" applyFont="1" applyFill="1" applyBorder="1" applyAlignment="1">
      <alignment vertical="center"/>
    </xf>
    <xf numFmtId="0" fontId="51" fillId="0" borderId="50" xfId="2" applyFont="1" applyFill="1" applyBorder="1" applyAlignment="1">
      <alignment horizontal="center" vertical="center"/>
    </xf>
    <xf numFmtId="0" fontId="51" fillId="0" borderId="51" xfId="2" applyFont="1" applyFill="1" applyBorder="1"/>
    <xf numFmtId="0" fontId="51" fillId="0" borderId="52" xfId="2" applyFont="1" applyFill="1" applyBorder="1" applyAlignment="1">
      <alignment horizontal="left" vertical="center"/>
    </xf>
    <xf numFmtId="0" fontId="51" fillId="0" borderId="6" xfId="2" applyFont="1" applyFill="1" applyBorder="1"/>
    <xf numFmtId="0" fontId="51" fillId="0" borderId="6" xfId="2" applyFont="1" applyFill="1" applyBorder="1" applyAlignment="1">
      <alignment horizontal="center"/>
    </xf>
    <xf numFmtId="43" fontId="55" fillId="0" borderId="6" xfId="2" applyNumberFormat="1" applyFont="1" applyFill="1" applyBorder="1"/>
    <xf numFmtId="0" fontId="51" fillId="0" borderId="53" xfId="2" applyFont="1" applyFill="1" applyBorder="1"/>
    <xf numFmtId="0" fontId="53" fillId="0" borderId="54" xfId="4" applyFont="1" applyFill="1" applyBorder="1" applyAlignment="1">
      <alignment horizontal="center" vertical="center"/>
    </xf>
    <xf numFmtId="0" fontId="53" fillId="0" borderId="55" xfId="4" applyFont="1" applyFill="1" applyBorder="1" applyAlignment="1">
      <alignment horizontal="center" vertical="center"/>
    </xf>
    <xf numFmtId="0" fontId="53" fillId="0" borderId="56" xfId="4" applyFont="1" applyFill="1" applyBorder="1" applyAlignment="1">
      <alignment horizontal="center" vertical="center"/>
    </xf>
    <xf numFmtId="0" fontId="53" fillId="0" borderId="48" xfId="2" applyFont="1" applyFill="1" applyBorder="1" applyAlignment="1">
      <alignment horizontal="left" vertical="center"/>
    </xf>
    <xf numFmtId="166" fontId="50" fillId="0" borderId="0" xfId="1" applyNumberFormat="1" applyFont="1" applyFill="1" applyAlignment="1">
      <alignment vertical="center"/>
    </xf>
    <xf numFmtId="166" fontId="51" fillId="0" borderId="0" xfId="2" applyNumberFormat="1" applyFont="1" applyFill="1" applyAlignment="1">
      <alignment vertical="center"/>
    </xf>
    <xf numFmtId="41" fontId="51" fillId="0" borderId="0" xfId="6" applyFont="1" applyFill="1" applyAlignment="1">
      <alignment vertical="center"/>
    </xf>
    <xf numFmtId="166" fontId="54" fillId="0" borderId="0" xfId="1" applyNumberFormat="1" applyFont="1" applyFill="1" applyAlignment="1">
      <alignment vertical="center"/>
    </xf>
    <xf numFmtId="166" fontId="53" fillId="0" borderId="0" xfId="1" applyNumberFormat="1" applyFont="1" applyFill="1" applyAlignment="1">
      <alignment vertical="center"/>
    </xf>
    <xf numFmtId="166" fontId="53" fillId="0" borderId="0" xfId="2" applyNumberFormat="1" applyFont="1" applyFill="1" applyAlignment="1">
      <alignment vertical="center"/>
    </xf>
    <xf numFmtId="41" fontId="53" fillId="0" borderId="0" xfId="6" applyFont="1" applyFill="1" applyAlignment="1">
      <alignment vertical="center"/>
    </xf>
    <xf numFmtId="0" fontId="52" fillId="0" borderId="0" xfId="2" applyFont="1" applyFill="1" applyAlignment="1">
      <alignment horizontal="center" vertical="center"/>
    </xf>
    <xf numFmtId="0" fontId="52" fillId="0" borderId="0" xfId="2" applyFont="1" applyFill="1" applyAlignment="1">
      <alignment vertical="center"/>
    </xf>
    <xf numFmtId="0" fontId="53" fillId="0" borderId="0" xfId="2" applyFont="1" applyFill="1"/>
    <xf numFmtId="0" fontId="53" fillId="0" borderId="7" xfId="0" applyFont="1" applyFill="1" applyBorder="1" applyAlignment="1">
      <alignment horizontal="center" vertical="center"/>
    </xf>
    <xf numFmtId="43" fontId="53" fillId="0" borderId="7" xfId="2" applyNumberFormat="1" applyFont="1" applyFill="1" applyBorder="1" applyAlignment="1">
      <alignment vertical="center"/>
    </xf>
    <xf numFmtId="0" fontId="51" fillId="0" borderId="7" xfId="2" applyFont="1" applyBorder="1"/>
    <xf numFmtId="0" fontId="51" fillId="0" borderId="7" xfId="2" applyFont="1" applyFill="1" applyBorder="1" applyAlignment="1">
      <alignment horizontal="left" vertical="center" wrapText="1"/>
    </xf>
    <xf numFmtId="0" fontId="51" fillId="0" borderId="7" xfId="2" applyFont="1" applyBorder="1" applyAlignment="1">
      <alignment vertical="center"/>
    </xf>
    <xf numFmtId="166" fontId="51" fillId="0" borderId="7" xfId="6" applyNumberFormat="1" applyFont="1" applyFill="1" applyBorder="1" applyAlignment="1">
      <alignment vertical="center"/>
    </xf>
    <xf numFmtId="0" fontId="51" fillId="0" borderId="23" xfId="2" applyFont="1" applyFill="1" applyBorder="1" applyAlignment="1">
      <alignment horizontal="center" vertical="center"/>
    </xf>
    <xf numFmtId="0" fontId="51" fillId="0" borderId="23" xfId="2" applyFont="1" applyBorder="1"/>
    <xf numFmtId="0" fontId="53" fillId="0" borderId="0" xfId="2" applyFont="1" applyFill="1" applyBorder="1" applyAlignment="1"/>
    <xf numFmtId="0" fontId="51" fillId="0" borderId="49" xfId="2" applyFont="1" applyBorder="1"/>
    <xf numFmtId="0" fontId="51" fillId="0" borderId="48" xfId="2" applyFont="1" applyBorder="1" applyAlignment="1">
      <alignment vertical="center"/>
    </xf>
    <xf numFmtId="0" fontId="51" fillId="0" borderId="49" xfId="2" applyFont="1" applyBorder="1" applyAlignment="1">
      <alignment vertical="center"/>
    </xf>
    <xf numFmtId="0" fontId="51" fillId="0" borderId="48" xfId="2" applyFont="1" applyBorder="1"/>
    <xf numFmtId="0" fontId="53" fillId="0" borderId="48" xfId="2" applyFont="1" applyFill="1" applyBorder="1" applyAlignment="1">
      <alignment vertical="top"/>
    </xf>
    <xf numFmtId="0" fontId="51" fillId="0" borderId="50" xfId="2" applyFont="1" applyBorder="1"/>
    <xf numFmtId="0" fontId="51" fillId="0" borderId="51" xfId="2" applyFont="1" applyBorder="1"/>
    <xf numFmtId="0" fontId="53" fillId="0" borderId="55" xfId="0" applyFont="1" applyFill="1" applyBorder="1" applyAlignment="1">
      <alignment horizontal="center" vertical="center"/>
    </xf>
    <xf numFmtId="0" fontId="53" fillId="0" borderId="7" xfId="2" applyFont="1" applyFill="1" applyBorder="1" applyAlignment="1">
      <alignment horizontal="center" vertical="center"/>
    </xf>
    <xf numFmtId="0" fontId="53" fillId="0" borderId="7" xfId="2" applyFont="1" applyBorder="1"/>
    <xf numFmtId="0" fontId="53" fillId="0" borderId="0" xfId="2" applyFont="1" applyAlignment="1">
      <alignment vertical="center"/>
    </xf>
    <xf numFmtId="0" fontId="51" fillId="0" borderId="0" xfId="2" applyFont="1" applyFill="1" applyAlignment="1">
      <alignment vertical="center" wrapText="1"/>
    </xf>
    <xf numFmtId="166" fontId="51" fillId="0" borderId="0" xfId="1" applyNumberFormat="1" applyFont="1" applyFill="1" applyBorder="1" applyAlignment="1">
      <alignment vertical="center"/>
    </xf>
    <xf numFmtId="165" fontId="51" fillId="0" borderId="0" xfId="2" applyNumberFormat="1" applyFont="1" applyFill="1" applyBorder="1" applyAlignment="1">
      <alignment vertical="center"/>
    </xf>
    <xf numFmtId="166" fontId="53" fillId="0" borderId="1" xfId="1" applyNumberFormat="1" applyFont="1" applyFill="1" applyBorder="1" applyAlignment="1">
      <alignment vertical="center" wrapText="1"/>
    </xf>
    <xf numFmtId="0" fontId="53" fillId="0" borderId="1" xfId="1" applyNumberFormat="1" applyFont="1" applyFill="1" applyBorder="1" applyAlignment="1">
      <alignment horizontal="center" vertical="center" wrapText="1"/>
    </xf>
    <xf numFmtId="0" fontId="51" fillId="0" borderId="0" xfId="2" applyFont="1" applyFill="1" applyBorder="1" applyAlignment="1">
      <alignment vertical="center"/>
    </xf>
    <xf numFmtId="0" fontId="51" fillId="0" borderId="0" xfId="0" applyFont="1" applyFill="1" applyAlignment="1">
      <alignment vertical="center"/>
    </xf>
    <xf numFmtId="166" fontId="51" fillId="0" borderId="0" xfId="1" quotePrefix="1" applyNumberFormat="1" applyFont="1" applyFill="1" applyAlignment="1">
      <alignment vertical="center"/>
    </xf>
    <xf numFmtId="0" fontId="51" fillId="0" borderId="0" xfId="2" applyFont="1" applyFill="1" applyAlignment="1">
      <alignment horizontal="center" vertical="center" wrapText="1"/>
    </xf>
    <xf numFmtId="166" fontId="51" fillId="0" borderId="0" xfId="1" applyNumberFormat="1" applyFont="1" applyFill="1" applyAlignment="1">
      <alignment horizontal="center" vertical="center"/>
    </xf>
    <xf numFmtId="41" fontId="51" fillId="0" borderId="0" xfId="1" applyFont="1" applyFill="1" applyAlignment="1">
      <alignment horizontal="left" vertical="center"/>
    </xf>
    <xf numFmtId="41" fontId="51" fillId="0" borderId="0" xfId="1" applyFont="1" applyFill="1" applyAlignment="1">
      <alignment horizontal="center" vertical="center"/>
    </xf>
    <xf numFmtId="165" fontId="51" fillId="0" borderId="0" xfId="2" applyNumberFormat="1" applyFont="1" applyFill="1" applyAlignment="1">
      <alignment vertical="center"/>
    </xf>
    <xf numFmtId="41" fontId="51" fillId="0" borderId="0" xfId="1" applyFont="1" applyFill="1" applyAlignment="1">
      <alignment vertical="center"/>
    </xf>
    <xf numFmtId="0" fontId="53" fillId="0" borderId="0" xfId="2" applyFont="1" applyFill="1" applyAlignment="1">
      <alignment horizontal="center" vertical="center" wrapText="1"/>
    </xf>
    <xf numFmtId="166" fontId="53" fillId="0" borderId="0" xfId="1" applyNumberFormat="1" applyFont="1" applyFill="1" applyAlignment="1">
      <alignment horizontal="center" vertical="center"/>
    </xf>
    <xf numFmtId="0" fontId="53" fillId="0" borderId="0" xfId="2" applyFont="1" applyFill="1" applyAlignment="1">
      <alignment vertical="center" wrapText="1"/>
    </xf>
    <xf numFmtId="0" fontId="53" fillId="0" borderId="0" xfId="2" applyFont="1" applyFill="1" applyBorder="1" applyAlignment="1">
      <alignment vertical="center"/>
    </xf>
    <xf numFmtId="0" fontId="51" fillId="0" borderId="0" xfId="2" applyFont="1" applyFill="1" applyBorder="1" applyAlignment="1">
      <alignment horizontal="center" vertical="center"/>
    </xf>
    <xf numFmtId="41" fontId="51" fillId="0" borderId="0" xfId="1" applyFont="1" applyFill="1" applyBorder="1" applyAlignment="1">
      <alignment horizontal="left" vertical="center"/>
    </xf>
    <xf numFmtId="41" fontId="51" fillId="0" borderId="0" xfId="1" applyFont="1" applyFill="1" applyBorder="1" applyAlignment="1">
      <alignment horizontal="center" vertical="center"/>
    </xf>
    <xf numFmtId="0" fontId="53" fillId="0" borderId="0" xfId="2" applyFont="1" applyFill="1" applyBorder="1" applyAlignment="1">
      <alignment vertical="center" wrapText="1"/>
    </xf>
    <xf numFmtId="0" fontId="53" fillId="0" borderId="0" xfId="2" applyFont="1" applyFill="1" applyBorder="1" applyAlignment="1">
      <alignment horizontal="center" vertical="center"/>
    </xf>
    <xf numFmtId="165" fontId="51" fillId="0" borderId="0" xfId="2" applyNumberFormat="1" applyFont="1" applyFill="1" applyBorder="1" applyAlignment="1">
      <alignment horizontal="center" vertical="center"/>
    </xf>
    <xf numFmtId="0" fontId="54" fillId="0" borderId="0" xfId="2" applyFont="1" applyFill="1" applyBorder="1" applyAlignment="1">
      <alignment horizontal="center" vertical="center"/>
    </xf>
    <xf numFmtId="43" fontId="53" fillId="0" borderId="0" xfId="2" applyNumberFormat="1" applyFont="1" applyFill="1" applyAlignment="1">
      <alignment vertical="center"/>
    </xf>
    <xf numFmtId="0" fontId="54" fillId="0" borderId="7" xfId="2" applyFont="1" applyFill="1" applyBorder="1" applyAlignment="1">
      <alignment horizontal="center" vertical="center"/>
    </xf>
    <xf numFmtId="41" fontId="53" fillId="0" borderId="7" xfId="1" applyFont="1" applyFill="1" applyBorder="1" applyAlignment="1">
      <alignment horizontal="left" vertical="center"/>
    </xf>
    <xf numFmtId="41" fontId="51" fillId="0" borderId="7" xfId="1" applyFont="1" applyFill="1" applyBorder="1" applyAlignment="1">
      <alignment horizontal="center" vertical="center"/>
    </xf>
    <xf numFmtId="0" fontId="51" fillId="0" borderId="7" xfId="2" applyFont="1" applyFill="1" applyBorder="1" applyAlignment="1">
      <alignment horizontal="center" vertical="center" wrapText="1"/>
    </xf>
    <xf numFmtId="1" fontId="53" fillId="0" borderId="7" xfId="1" applyNumberFormat="1" applyFont="1" applyFill="1" applyBorder="1" applyAlignment="1">
      <alignment horizontal="center" vertical="center"/>
    </xf>
    <xf numFmtId="0" fontId="53" fillId="0" borderId="11" xfId="4" applyFont="1" applyFill="1" applyBorder="1" applyAlignment="1">
      <alignment horizontal="center" vertical="center"/>
    </xf>
    <xf numFmtId="0" fontId="51" fillId="0" borderId="7" xfId="0" applyFont="1" applyFill="1" applyBorder="1" applyAlignment="1">
      <alignment vertical="center"/>
    </xf>
    <xf numFmtId="0" fontId="53" fillId="0" borderId="7" xfId="0" applyFont="1" applyFill="1" applyBorder="1" applyAlignment="1">
      <alignment vertical="center"/>
    </xf>
    <xf numFmtId="166" fontId="53" fillId="0" borderId="7" xfId="1" applyNumberFormat="1" applyFont="1" applyFill="1" applyBorder="1" applyAlignment="1">
      <alignment vertical="center"/>
    </xf>
    <xf numFmtId="0" fontId="51" fillId="0" borderId="2" xfId="2" applyFont="1" applyFill="1" applyBorder="1" applyAlignment="1">
      <alignment vertical="center" wrapText="1"/>
    </xf>
    <xf numFmtId="0" fontId="53" fillId="0" borderId="7" xfId="2" applyFont="1" applyFill="1" applyBorder="1" applyAlignment="1">
      <alignment vertical="center"/>
    </xf>
    <xf numFmtId="41" fontId="53" fillId="0" borderId="7" xfId="1" applyFont="1" applyFill="1" applyBorder="1" applyAlignment="1">
      <alignment horizontal="center" vertical="center"/>
    </xf>
    <xf numFmtId="166" fontId="53" fillId="0" borderId="0" xfId="6" applyNumberFormat="1" applyFont="1" applyFill="1" applyAlignment="1">
      <alignment vertical="center"/>
    </xf>
    <xf numFmtId="41" fontId="53" fillId="0" borderId="0" xfId="1" applyFont="1" applyFill="1" applyAlignment="1">
      <alignment vertical="center"/>
    </xf>
    <xf numFmtId="41" fontId="51" fillId="0" borderId="7" xfId="1" applyFont="1" applyFill="1" applyBorder="1" applyAlignment="1">
      <alignment horizontal="left" vertical="center"/>
    </xf>
    <xf numFmtId="43" fontId="51" fillId="0" borderId="0" xfId="2" applyNumberFormat="1" applyFont="1" applyFill="1" applyAlignment="1">
      <alignment vertical="center"/>
    </xf>
    <xf numFmtId="166" fontId="53" fillId="0" borderId="0" xfId="1" applyNumberFormat="1" applyFont="1" applyFill="1" applyBorder="1" applyAlignment="1">
      <alignment vertical="center"/>
    </xf>
    <xf numFmtId="165" fontId="53" fillId="0" borderId="0" xfId="2" applyNumberFormat="1" applyFont="1" applyFill="1" applyAlignment="1">
      <alignment vertical="center"/>
    </xf>
    <xf numFmtId="0" fontId="51" fillId="0" borderId="0" xfId="0" applyFont="1" applyFill="1"/>
    <xf numFmtId="0" fontId="51" fillId="0" borderId="7" xfId="2" quotePrefix="1" applyFont="1" applyFill="1" applyBorder="1" applyAlignment="1">
      <alignment horizontal="center" vertical="center" wrapText="1"/>
    </xf>
    <xf numFmtId="0" fontId="51" fillId="0" borderId="7" xfId="2" quotePrefix="1" applyFont="1" applyFill="1" applyBorder="1" applyAlignment="1">
      <alignment vertical="center" wrapText="1"/>
    </xf>
    <xf numFmtId="41" fontId="51" fillId="0" borderId="7" xfId="1" quotePrefix="1" applyFont="1" applyFill="1" applyBorder="1" applyAlignment="1">
      <alignment vertical="center" wrapText="1"/>
    </xf>
    <xf numFmtId="166" fontId="51" fillId="0" borderId="7" xfId="1" quotePrefix="1" applyNumberFormat="1" applyFont="1" applyFill="1" applyBorder="1" applyAlignment="1">
      <alignment vertical="center" wrapText="1"/>
    </xf>
    <xf numFmtId="0" fontId="51" fillId="0" borderId="0" xfId="2" quotePrefix="1" applyFont="1" applyFill="1" applyBorder="1" applyAlignment="1">
      <alignment vertical="center" wrapText="1"/>
    </xf>
    <xf numFmtId="0" fontId="53" fillId="0" borderId="0" xfId="0" applyFont="1" applyFill="1" applyAlignment="1">
      <alignment vertical="center"/>
    </xf>
    <xf numFmtId="0" fontId="51" fillId="0" borderId="7" xfId="0" applyFont="1" applyFill="1" applyBorder="1" applyAlignment="1">
      <alignment vertical="center" wrapText="1"/>
    </xf>
    <xf numFmtId="166" fontId="51" fillId="0" borderId="7" xfId="1" applyNumberFormat="1" applyFont="1" applyFill="1" applyBorder="1" applyAlignment="1">
      <alignment horizontal="right" vertical="center" wrapText="1"/>
    </xf>
    <xf numFmtId="0" fontId="51" fillId="0" borderId="7" xfId="0" applyFont="1" applyFill="1" applyBorder="1" applyAlignment="1">
      <alignment horizontal="center" vertical="center" wrapText="1"/>
    </xf>
    <xf numFmtId="41" fontId="51" fillId="0" borderId="7" xfId="1" applyFont="1" applyFill="1" applyBorder="1" applyAlignment="1">
      <alignment horizontal="center" vertical="center" wrapText="1"/>
    </xf>
    <xf numFmtId="166" fontId="51" fillId="0" borderId="7" xfId="1" applyNumberFormat="1" applyFont="1" applyFill="1" applyBorder="1" applyAlignment="1">
      <alignment horizontal="center" vertical="center" wrapText="1"/>
    </xf>
    <xf numFmtId="166" fontId="51" fillId="0" borderId="7" xfId="6" applyNumberFormat="1" applyFont="1" applyFill="1" applyBorder="1" applyAlignment="1">
      <alignment vertical="center" wrapText="1"/>
    </xf>
    <xf numFmtId="166" fontId="51" fillId="0" borderId="7" xfId="1" applyNumberFormat="1" applyFont="1" applyFill="1" applyBorder="1" applyAlignment="1">
      <alignment vertical="center"/>
    </xf>
    <xf numFmtId="0" fontId="51" fillId="0" borderId="7" xfId="2" applyNumberFormat="1" applyFont="1" applyFill="1" applyBorder="1" applyAlignment="1">
      <alignment horizontal="center" vertical="center"/>
    </xf>
    <xf numFmtId="0" fontId="51" fillId="0" borderId="7" xfId="0" applyFont="1" applyFill="1" applyBorder="1" applyAlignment="1">
      <alignment vertical="top" wrapText="1"/>
    </xf>
    <xf numFmtId="0" fontId="51" fillId="0" borderId="7" xfId="0" applyFont="1" applyFill="1" applyBorder="1" applyAlignment="1">
      <alignment horizontal="center" vertical="top" wrapText="1"/>
    </xf>
    <xf numFmtId="41" fontId="51" fillId="0" borderId="7" xfId="1" quotePrefix="1" applyFont="1" applyFill="1" applyBorder="1" applyAlignment="1">
      <alignment horizontal="left" vertical="center" wrapText="1"/>
    </xf>
    <xf numFmtId="0" fontId="51" fillId="0" borderId="7" xfId="0" applyNumberFormat="1" applyFont="1" applyFill="1" applyBorder="1" applyAlignment="1">
      <alignment horizontal="left" vertical="center" wrapText="1"/>
    </xf>
    <xf numFmtId="0" fontId="51" fillId="0" borderId="7" xfId="0" applyNumberFormat="1" applyFont="1" applyFill="1" applyBorder="1" applyAlignment="1">
      <alignment horizontal="center" vertical="center" wrapText="1"/>
    </xf>
    <xf numFmtId="0" fontId="51" fillId="0" borderId="7" xfId="0" applyFont="1" applyFill="1" applyBorder="1" applyAlignment="1">
      <alignment horizontal="left" vertical="top" wrapText="1"/>
    </xf>
    <xf numFmtId="166" fontId="51" fillId="0" borderId="7" xfId="1" applyNumberFormat="1" applyFont="1" applyFill="1" applyBorder="1" applyAlignment="1">
      <alignment vertical="top" wrapText="1"/>
    </xf>
    <xf numFmtId="0" fontId="51" fillId="0" borderId="7" xfId="0" applyFont="1" applyFill="1" applyBorder="1" applyAlignment="1">
      <alignment horizontal="left" vertical="center" wrapText="1"/>
    </xf>
    <xf numFmtId="166" fontId="51" fillId="0" borderId="7" xfId="1" applyNumberFormat="1" applyFont="1" applyFill="1" applyBorder="1" applyAlignment="1">
      <alignment vertical="center" wrapText="1"/>
    </xf>
    <xf numFmtId="41" fontId="51" fillId="0" borderId="7" xfId="1" applyFont="1" applyFill="1" applyBorder="1" applyAlignment="1">
      <alignment horizontal="left" vertical="center" wrapText="1"/>
    </xf>
    <xf numFmtId="1" fontId="51" fillId="0" borderId="0" xfId="2" applyNumberFormat="1" applyFont="1" applyFill="1" applyAlignment="1">
      <alignment vertical="center"/>
    </xf>
    <xf numFmtId="0" fontId="51" fillId="3" borderId="0" xfId="2" applyFont="1" applyFill="1" applyAlignment="1">
      <alignment vertical="center"/>
    </xf>
    <xf numFmtId="0" fontId="51" fillId="0" borderId="7" xfId="0" applyNumberFormat="1" applyFont="1" applyFill="1" applyBorder="1" applyAlignment="1">
      <alignment vertical="center" wrapText="1"/>
    </xf>
    <xf numFmtId="0" fontId="51" fillId="0" borderId="7" xfId="2" quotePrefix="1" applyNumberFormat="1" applyFont="1" applyFill="1" applyBorder="1" applyAlignment="1">
      <alignment horizontal="center" vertical="center" wrapText="1"/>
    </xf>
    <xf numFmtId="0" fontId="51" fillId="0" borderId="0" xfId="2" applyFont="1" applyFill="1" applyBorder="1" applyAlignment="1">
      <alignment horizontal="left" vertical="center"/>
    </xf>
    <xf numFmtId="166" fontId="51" fillId="0" borderId="7" xfId="1" applyNumberFormat="1" applyFont="1" applyFill="1" applyBorder="1" applyAlignment="1">
      <alignment horizontal="left" vertical="center"/>
    </xf>
    <xf numFmtId="166" fontId="51" fillId="0" borderId="7" xfId="2" applyNumberFormat="1" applyFont="1" applyFill="1" applyBorder="1" applyAlignment="1">
      <alignment horizontal="center" vertical="center"/>
    </xf>
    <xf numFmtId="166" fontId="51" fillId="0" borderId="7" xfId="1" applyNumberFormat="1" applyFont="1" applyFill="1" applyBorder="1" applyAlignment="1">
      <alignment horizontal="center" vertical="center"/>
    </xf>
    <xf numFmtId="166" fontId="51" fillId="0" borderId="7" xfId="6" applyNumberFormat="1" applyFont="1" applyFill="1" applyBorder="1" applyAlignment="1">
      <alignment horizontal="center" vertical="center" wrapText="1"/>
    </xf>
    <xf numFmtId="166" fontId="51" fillId="0" borderId="0" xfId="1" applyNumberFormat="1" applyFont="1" applyFill="1" applyAlignment="1">
      <alignment vertical="center" wrapText="1"/>
    </xf>
    <xf numFmtId="41" fontId="53" fillId="0" borderId="0" xfId="2" applyNumberFormat="1" applyFont="1" applyFill="1" applyAlignment="1">
      <alignment vertical="center" wrapText="1"/>
    </xf>
    <xf numFmtId="0" fontId="51" fillId="0" borderId="2" xfId="2" quotePrefix="1" applyFont="1" applyFill="1" applyBorder="1" applyAlignment="1">
      <alignment horizontal="left" vertical="center" wrapText="1"/>
    </xf>
    <xf numFmtId="0" fontId="51" fillId="0" borderId="0" xfId="2" applyFont="1" applyFill="1" applyBorder="1" applyAlignment="1">
      <alignment vertical="center" wrapText="1"/>
    </xf>
    <xf numFmtId="166" fontId="51" fillId="0" borderId="0" xfId="2" applyNumberFormat="1" applyFont="1" applyFill="1" applyAlignment="1">
      <alignment vertical="center" wrapText="1"/>
    </xf>
    <xf numFmtId="0" fontId="51" fillId="3" borderId="0" xfId="2" applyFont="1" applyFill="1" applyBorder="1" applyAlignment="1">
      <alignment vertical="center"/>
    </xf>
    <xf numFmtId="0" fontId="51" fillId="3" borderId="0" xfId="0" applyFont="1" applyFill="1" applyAlignment="1">
      <alignment vertical="center"/>
    </xf>
    <xf numFmtId="166" fontId="51" fillId="3" borderId="0" xfId="1" applyNumberFormat="1" applyFont="1" applyFill="1" applyAlignment="1">
      <alignment vertical="center"/>
    </xf>
    <xf numFmtId="41" fontId="51" fillId="3" borderId="0" xfId="6" applyFont="1" applyFill="1" applyAlignment="1">
      <alignment vertical="center"/>
    </xf>
    <xf numFmtId="166" fontId="51" fillId="3" borderId="0" xfId="1" quotePrefix="1" applyNumberFormat="1" applyFont="1" applyFill="1" applyAlignment="1">
      <alignment vertical="center"/>
    </xf>
    <xf numFmtId="41" fontId="51" fillId="0" borderId="7" xfId="1" applyFont="1" applyFill="1" applyBorder="1" applyAlignment="1">
      <alignment vertical="center" wrapText="1"/>
    </xf>
    <xf numFmtId="0" fontId="51" fillId="0" borderId="0" xfId="2" applyFont="1" applyFill="1" applyBorder="1" applyAlignment="1">
      <alignment horizontal="center" vertical="center" wrapText="1"/>
    </xf>
    <xf numFmtId="166" fontId="51" fillId="0" borderId="7" xfId="1" applyNumberFormat="1" applyFont="1" applyFill="1" applyBorder="1" applyAlignment="1">
      <alignment horizontal="left" vertical="center" wrapText="1"/>
    </xf>
    <xf numFmtId="0" fontId="53" fillId="0" borderId="7" xfId="2" applyFont="1" applyFill="1" applyBorder="1" applyAlignment="1">
      <alignment horizontal="center" vertical="center" wrapText="1"/>
    </xf>
    <xf numFmtId="166" fontId="53" fillId="0" borderId="7" xfId="1" applyNumberFormat="1" applyFont="1" applyFill="1" applyBorder="1" applyAlignment="1">
      <alignment vertical="center" wrapText="1"/>
    </xf>
    <xf numFmtId="41" fontId="53" fillId="0" borderId="0" xfId="2" applyNumberFormat="1" applyFont="1" applyFill="1" applyAlignment="1">
      <alignment vertical="center"/>
    </xf>
    <xf numFmtId="0" fontId="51" fillId="0" borderId="23" xfId="2" applyFont="1" applyFill="1" applyBorder="1" applyAlignment="1">
      <alignment vertical="center"/>
    </xf>
    <xf numFmtId="41" fontId="51" fillId="0" borderId="23" xfId="1" applyFont="1" applyFill="1" applyBorder="1" applyAlignment="1">
      <alignment horizontal="center" vertical="center"/>
    </xf>
    <xf numFmtId="0" fontId="51" fillId="0" borderId="23" xfId="2" applyFont="1" applyFill="1" applyBorder="1" applyAlignment="1">
      <alignment vertical="center" wrapText="1"/>
    </xf>
    <xf numFmtId="0" fontId="51" fillId="0" borderId="23" xfId="2" applyFont="1" applyFill="1" applyBorder="1" applyAlignment="1">
      <alignment horizontal="center" vertical="center" wrapText="1"/>
    </xf>
    <xf numFmtId="166" fontId="51" fillId="0" borderId="23" xfId="1" applyNumberFormat="1" applyFont="1" applyFill="1" applyBorder="1" applyAlignment="1">
      <alignment vertical="center"/>
    </xf>
    <xf numFmtId="0" fontId="53" fillId="0" borderId="49" xfId="2" applyFont="1" applyFill="1" applyBorder="1" applyAlignment="1">
      <alignment vertical="center"/>
    </xf>
    <xf numFmtId="0" fontId="51" fillId="0" borderId="49" xfId="2" quotePrefix="1" applyFont="1" applyFill="1" applyBorder="1" applyAlignment="1">
      <alignment vertical="center" wrapText="1"/>
    </xf>
    <xf numFmtId="0" fontId="51" fillId="0" borderId="7" xfId="1" quotePrefix="1" applyNumberFormat="1" applyFont="1" applyFill="1" applyBorder="1" applyAlignment="1">
      <alignment vertical="center" wrapText="1"/>
    </xf>
    <xf numFmtId="0" fontId="51" fillId="0" borderId="49" xfId="0" applyFont="1" applyFill="1" applyBorder="1" applyAlignment="1">
      <alignment vertical="center" wrapText="1"/>
    </xf>
    <xf numFmtId="0" fontId="51" fillId="0" borderId="49" xfId="2" applyFont="1" applyFill="1" applyBorder="1" applyAlignment="1">
      <alignment horizontal="center" vertical="center"/>
    </xf>
    <xf numFmtId="0" fontId="51" fillId="0" borderId="48" xfId="2" applyFont="1" applyFill="1" applyBorder="1" applyAlignment="1">
      <alignment horizontal="center" vertical="center" wrapText="1"/>
    </xf>
    <xf numFmtId="0" fontId="56" fillId="0" borderId="7" xfId="1" quotePrefix="1" applyNumberFormat="1" applyFont="1" applyFill="1" applyBorder="1" applyAlignment="1">
      <alignment vertical="center" wrapText="1"/>
    </xf>
    <xf numFmtId="41" fontId="56" fillId="0" borderId="7" xfId="1" applyFont="1" applyFill="1" applyBorder="1" applyAlignment="1">
      <alignment vertical="center" wrapText="1"/>
    </xf>
    <xf numFmtId="0" fontId="56" fillId="0" borderId="7" xfId="1" applyNumberFormat="1" applyFont="1" applyFill="1" applyBorder="1" applyAlignment="1">
      <alignment horizontal="left" vertical="center" wrapText="1"/>
    </xf>
    <xf numFmtId="0" fontId="56" fillId="0" borderId="7" xfId="0" quotePrefix="1" applyFont="1" applyFill="1" applyBorder="1" applyAlignment="1">
      <alignment vertical="center" wrapText="1"/>
    </xf>
    <xf numFmtId="0" fontId="51" fillId="0" borderId="49" xfId="0" applyFont="1" applyFill="1" applyBorder="1" applyAlignment="1">
      <alignment horizontal="center" vertical="top" wrapText="1"/>
    </xf>
    <xf numFmtId="0" fontId="51" fillId="0" borderId="49" xfId="0" applyFont="1" applyFill="1" applyBorder="1" applyAlignment="1">
      <alignment vertical="top" wrapText="1"/>
    </xf>
    <xf numFmtId="0" fontId="51" fillId="0" borderId="7" xfId="1" quotePrefix="1" applyNumberFormat="1" applyFont="1" applyFill="1" applyBorder="1" applyAlignment="1">
      <alignment horizontal="left" vertical="center" wrapText="1"/>
    </xf>
    <xf numFmtId="41" fontId="56" fillId="0" borderId="7" xfId="1" quotePrefix="1" applyFont="1" applyFill="1" applyBorder="1" applyAlignment="1">
      <alignment vertical="center" wrapText="1"/>
    </xf>
    <xf numFmtId="0" fontId="51" fillId="0" borderId="49" xfId="0" applyFont="1" applyFill="1" applyBorder="1" applyAlignment="1">
      <alignment horizontal="center" vertical="center" wrapText="1"/>
    </xf>
    <xf numFmtId="0" fontId="51" fillId="0" borderId="7" xfId="0" quotePrefix="1" applyNumberFormat="1" applyFont="1" applyFill="1" applyBorder="1" applyAlignment="1">
      <alignment vertical="center" wrapText="1"/>
    </xf>
    <xf numFmtId="0" fontId="53" fillId="0" borderId="48" xfId="2" applyFont="1" applyFill="1" applyBorder="1" applyAlignment="1">
      <alignment horizontal="center" vertical="center"/>
    </xf>
    <xf numFmtId="41" fontId="56" fillId="0" borderId="7" xfId="0" quotePrefix="1" applyNumberFormat="1" applyFont="1" applyFill="1" applyBorder="1" applyAlignment="1">
      <alignment vertical="center" wrapText="1"/>
    </xf>
    <xf numFmtId="41" fontId="51" fillId="0" borderId="7" xfId="6" applyFont="1" applyFill="1" applyBorder="1" applyAlignment="1">
      <alignment horizontal="left" vertical="center" wrapText="1"/>
    </xf>
    <xf numFmtId="0" fontId="56" fillId="0" borderId="7" xfId="1" quotePrefix="1" applyNumberFormat="1" applyFont="1" applyFill="1" applyBorder="1" applyAlignment="1">
      <alignment horizontal="left" vertical="center" wrapText="1"/>
    </xf>
    <xf numFmtId="0" fontId="51" fillId="0" borderId="7" xfId="0" quotePrefix="1" applyFont="1" applyFill="1" applyBorder="1" applyAlignment="1">
      <alignment vertical="center" wrapText="1"/>
    </xf>
    <xf numFmtId="0" fontId="51" fillId="0" borderId="49" xfId="2" applyFont="1" applyFill="1" applyBorder="1" applyAlignment="1">
      <alignment horizontal="left" vertical="center"/>
    </xf>
    <xf numFmtId="0" fontId="53" fillId="0" borderId="48" xfId="0" applyFont="1" applyFill="1" applyBorder="1" applyAlignment="1">
      <alignment horizontal="center" vertical="center"/>
    </xf>
    <xf numFmtId="0" fontId="51" fillId="0" borderId="7" xfId="2" quotePrefix="1" applyFont="1" applyFill="1" applyBorder="1" applyAlignment="1">
      <alignment horizontal="left" vertical="center" wrapText="1"/>
    </xf>
    <xf numFmtId="166" fontId="51" fillId="0" borderId="7" xfId="1" quotePrefix="1" applyNumberFormat="1" applyFont="1" applyFill="1" applyBorder="1" applyAlignment="1">
      <alignment horizontal="left" vertical="center" wrapText="1"/>
    </xf>
    <xf numFmtId="0" fontId="51" fillId="0" borderId="49" xfId="2" applyFont="1" applyFill="1" applyBorder="1" applyAlignment="1">
      <alignment vertical="center" wrapText="1"/>
    </xf>
    <xf numFmtId="0" fontId="53" fillId="0" borderId="48" xfId="2" applyFont="1" applyFill="1" applyBorder="1" applyAlignment="1">
      <alignment horizontal="center" vertical="center" wrapText="1"/>
    </xf>
    <xf numFmtId="0" fontId="51" fillId="0" borderId="49" xfId="2" applyFont="1" applyFill="1" applyBorder="1" applyAlignment="1">
      <alignment horizontal="center" vertical="center" wrapText="1"/>
    </xf>
    <xf numFmtId="0" fontId="53" fillId="0" borderId="7" xfId="2" applyFont="1" applyFill="1" applyBorder="1" applyAlignment="1">
      <alignment horizontal="left" vertical="center" wrapText="1"/>
    </xf>
    <xf numFmtId="166" fontId="53" fillId="0" borderId="7" xfId="1" applyNumberFormat="1" applyFont="1" applyFill="1" applyBorder="1" applyAlignment="1">
      <alignment horizontal="left" vertical="center" wrapText="1"/>
    </xf>
    <xf numFmtId="0" fontId="53" fillId="0" borderId="49" xfId="2" applyFont="1" applyFill="1" applyBorder="1" applyAlignment="1">
      <alignment vertical="center" wrapText="1"/>
    </xf>
    <xf numFmtId="166" fontId="53" fillId="0" borderId="7" xfId="1" applyNumberFormat="1" applyFont="1" applyFill="1" applyBorder="1" applyAlignment="1">
      <alignment horizontal="center" vertical="center" wrapText="1"/>
    </xf>
    <xf numFmtId="0" fontId="52" fillId="0" borderId="48" xfId="2" applyFont="1" applyFill="1" applyBorder="1" applyAlignment="1">
      <alignment horizontal="center" vertical="center"/>
    </xf>
    <xf numFmtId="0" fontId="51" fillId="0" borderId="23" xfId="2" applyNumberFormat="1" applyFont="1" applyFill="1" applyBorder="1" applyAlignment="1">
      <alignment vertical="center" wrapText="1"/>
    </xf>
    <xf numFmtId="166" fontId="51" fillId="0" borderId="23" xfId="1" applyNumberFormat="1" applyFont="1" applyFill="1" applyBorder="1" applyAlignment="1">
      <alignment vertical="center" wrapText="1"/>
    </xf>
    <xf numFmtId="0" fontId="51" fillId="0" borderId="51" xfId="2" applyFont="1" applyFill="1" applyBorder="1" applyAlignment="1">
      <alignment vertical="center"/>
    </xf>
    <xf numFmtId="0" fontId="51" fillId="0" borderId="6" xfId="2" applyFont="1" applyFill="1" applyBorder="1" applyAlignment="1">
      <alignment horizontal="center" vertical="center"/>
    </xf>
    <xf numFmtId="41" fontId="51" fillId="0" borderId="6" xfId="1" applyFont="1" applyFill="1" applyBorder="1" applyAlignment="1">
      <alignment horizontal="center" vertical="center"/>
    </xf>
    <xf numFmtId="0" fontId="54" fillId="0" borderId="23" xfId="2" applyFont="1" applyFill="1" applyBorder="1" applyAlignment="1">
      <alignment horizontal="center" vertical="center"/>
    </xf>
    <xf numFmtId="0" fontId="51" fillId="0" borderId="52" xfId="2" applyFont="1" applyFill="1" applyBorder="1" applyAlignment="1">
      <alignment horizontal="center" vertical="center"/>
    </xf>
    <xf numFmtId="0" fontId="51" fillId="0" borderId="6" xfId="2" applyFont="1" applyFill="1" applyBorder="1" applyAlignment="1">
      <alignment vertical="center" wrapText="1"/>
    </xf>
    <xf numFmtId="166" fontId="51" fillId="0" borderId="6" xfId="1" applyNumberFormat="1" applyFont="1" applyFill="1" applyBorder="1" applyAlignment="1">
      <alignment vertical="center"/>
    </xf>
    <xf numFmtId="0" fontId="51" fillId="0" borderId="6" xfId="2" applyFont="1" applyFill="1" applyBorder="1" applyAlignment="1">
      <alignment vertical="center"/>
    </xf>
    <xf numFmtId="166" fontId="53" fillId="0" borderId="6" xfId="1" applyNumberFormat="1" applyFont="1" applyFill="1" applyBorder="1" applyAlignment="1">
      <alignment vertical="center"/>
    </xf>
    <xf numFmtId="0" fontId="51" fillId="0" borderId="53" xfId="2" applyFont="1" applyFill="1" applyBorder="1" applyAlignment="1">
      <alignment vertical="center"/>
    </xf>
    <xf numFmtId="0" fontId="53" fillId="0" borderId="55" xfId="4" applyFont="1" applyFill="1" applyBorder="1" applyAlignment="1">
      <alignment vertical="center"/>
    </xf>
    <xf numFmtId="0" fontId="53" fillId="0" borderId="55" xfId="2" applyFont="1" applyFill="1" applyBorder="1" applyAlignment="1">
      <alignment horizontal="center" vertical="center"/>
    </xf>
    <xf numFmtId="0" fontId="51" fillId="0" borderId="55" xfId="2" applyFont="1" applyFill="1" applyBorder="1" applyAlignment="1">
      <alignment horizontal="center" vertical="center"/>
    </xf>
    <xf numFmtId="0" fontId="51" fillId="0" borderId="55" xfId="2" applyFont="1" applyFill="1" applyBorder="1" applyAlignment="1">
      <alignment horizontal="center" vertical="center" wrapText="1"/>
    </xf>
    <xf numFmtId="1" fontId="53" fillId="0" borderId="55" xfId="1" applyNumberFormat="1" applyFont="1" applyFill="1" applyBorder="1" applyAlignment="1">
      <alignment horizontal="center" vertical="center"/>
    </xf>
    <xf numFmtId="0" fontId="53" fillId="0" borderId="48" xfId="2" quotePrefix="1" applyFont="1" applyFill="1" applyBorder="1" applyAlignment="1">
      <alignment horizontal="left" vertical="center"/>
    </xf>
    <xf numFmtId="0" fontId="53" fillId="0" borderId="48" xfId="0" quotePrefix="1" applyFont="1" applyFill="1" applyBorder="1" applyAlignment="1">
      <alignment horizontal="center" vertical="center"/>
    </xf>
    <xf numFmtId="0" fontId="54" fillId="0" borderId="23" xfId="2" applyFont="1" applyFill="1" applyBorder="1" applyAlignment="1">
      <alignment horizontal="center" vertical="center" wrapText="1"/>
    </xf>
    <xf numFmtId="1" fontId="54" fillId="0" borderId="23" xfId="2" applyNumberFormat="1" applyFont="1" applyFill="1" applyBorder="1" applyAlignment="1">
      <alignment horizontal="center" vertical="center"/>
    </xf>
    <xf numFmtId="41" fontId="53" fillId="0" borderId="0" xfId="1" applyFont="1" applyFill="1" applyAlignment="1">
      <alignment horizontal="left" vertical="center"/>
    </xf>
    <xf numFmtId="0" fontId="58" fillId="0" borderId="0" xfId="2" applyFont="1" applyFill="1" applyAlignment="1">
      <alignment vertical="center"/>
    </xf>
    <xf numFmtId="0" fontId="51" fillId="0" borderId="0" xfId="2" applyFont="1" applyFill="1" applyBorder="1"/>
    <xf numFmtId="0" fontId="53" fillId="0" borderId="0" xfId="2" applyFont="1" applyFill="1" applyAlignment="1">
      <alignment horizontal="center"/>
    </xf>
    <xf numFmtId="0" fontId="51" fillId="0" borderId="0" xfId="1" applyNumberFormat="1" applyFont="1" applyFill="1" applyAlignment="1">
      <alignment horizontal="center" vertical="center"/>
    </xf>
    <xf numFmtId="0" fontId="54" fillId="0" borderId="0" xfId="2" applyFont="1" applyFill="1" applyAlignment="1">
      <alignment horizontal="center" vertical="center"/>
    </xf>
    <xf numFmtId="0" fontId="53" fillId="0" borderId="0" xfId="2" applyFont="1" applyFill="1" applyAlignment="1">
      <alignment horizontal="left" wrapText="1"/>
    </xf>
    <xf numFmtId="166" fontId="53" fillId="0" borderId="0" xfId="1" applyNumberFormat="1" applyFont="1" applyFill="1" applyAlignment="1">
      <alignment horizontal="center"/>
    </xf>
    <xf numFmtId="0" fontId="54" fillId="0" borderId="6" xfId="2" applyFont="1" applyFill="1" applyBorder="1" applyAlignment="1">
      <alignment horizontal="center" vertical="center"/>
    </xf>
    <xf numFmtId="166" fontId="53" fillId="0" borderId="6" xfId="1" applyNumberFormat="1" applyFont="1" applyFill="1" applyBorder="1" applyAlignment="1">
      <alignment horizontal="center" vertical="center" wrapText="1"/>
    </xf>
    <xf numFmtId="0" fontId="53" fillId="0" borderId="6" xfId="1" applyNumberFormat="1" applyFont="1" applyFill="1" applyBorder="1" applyAlignment="1">
      <alignment horizontal="center" vertical="center" wrapText="1"/>
    </xf>
    <xf numFmtId="0" fontId="53" fillId="0" borderId="0" xfId="2" applyFont="1" applyFill="1" applyBorder="1"/>
    <xf numFmtId="0" fontId="54" fillId="0" borderId="0" xfId="4" applyFont="1" applyFill="1" applyBorder="1" applyAlignment="1">
      <alignment horizontal="center" vertical="center"/>
    </xf>
    <xf numFmtId="166" fontId="53" fillId="0" borderId="0" xfId="1" applyNumberFormat="1" applyFont="1" applyFill="1"/>
    <xf numFmtId="0" fontId="53" fillId="0" borderId="0" xfId="1" applyNumberFormat="1" applyFont="1" applyFill="1" applyAlignment="1">
      <alignment horizontal="center" vertical="center"/>
    </xf>
    <xf numFmtId="0" fontId="54" fillId="0" borderId="7" xfId="2" applyFont="1" applyFill="1" applyBorder="1" applyAlignment="1">
      <alignment horizontal="center" vertical="center" wrapText="1"/>
    </xf>
    <xf numFmtId="0" fontId="54" fillId="0" borderId="7" xfId="2" applyFont="1" applyFill="1" applyBorder="1" applyAlignment="1">
      <alignment vertical="center"/>
    </xf>
    <xf numFmtId="0" fontId="54" fillId="0" borderId="7" xfId="2" applyFont="1" applyFill="1" applyBorder="1" applyAlignment="1">
      <alignment horizontal="left" vertical="center" wrapText="1"/>
    </xf>
    <xf numFmtId="166" fontId="54" fillId="0" borderId="7" xfId="1" applyNumberFormat="1" applyFont="1" applyFill="1" applyBorder="1" applyAlignment="1">
      <alignment vertical="center"/>
    </xf>
    <xf numFmtId="0" fontId="54" fillId="0" borderId="0" xfId="2" applyFont="1" applyFill="1" applyBorder="1" applyAlignment="1">
      <alignment vertical="center"/>
    </xf>
    <xf numFmtId="0" fontId="53" fillId="0" borderId="0" xfId="0" applyFont="1" applyFill="1" applyAlignment="1">
      <alignment horizontal="center" vertical="center"/>
    </xf>
    <xf numFmtId="166" fontId="51" fillId="0" borderId="0" xfId="0" applyNumberFormat="1" applyFont="1" applyFill="1" applyAlignment="1">
      <alignment vertical="center"/>
    </xf>
    <xf numFmtId="0" fontId="51" fillId="0" borderId="7" xfId="2" applyFont="1" applyFill="1" applyBorder="1" applyAlignment="1" applyProtection="1">
      <alignment horizontal="left" vertical="center" wrapText="1"/>
    </xf>
    <xf numFmtId="0" fontId="51" fillId="0" borderId="7" xfId="2" applyFont="1" applyFill="1" applyBorder="1" applyAlignment="1" applyProtection="1">
      <alignment horizontal="center" vertical="center" wrapText="1"/>
    </xf>
    <xf numFmtId="1" fontId="51" fillId="0" borderId="7" xfId="2" applyNumberFormat="1" applyFont="1" applyFill="1" applyBorder="1" applyAlignment="1" applyProtection="1">
      <alignment horizontal="center" vertical="center" wrapText="1"/>
    </xf>
    <xf numFmtId="165" fontId="51" fillId="0" borderId="7" xfId="2" applyNumberFormat="1" applyFont="1" applyFill="1" applyBorder="1" applyAlignment="1">
      <alignment vertical="center"/>
    </xf>
    <xf numFmtId="41" fontId="51" fillId="0" borderId="0" xfId="1" applyFont="1" applyFill="1" applyBorder="1" applyAlignment="1">
      <alignment horizontal="left" vertical="center" wrapText="1"/>
    </xf>
    <xf numFmtId="0" fontId="51" fillId="0" borderId="7" xfId="2" quotePrefix="1" applyFont="1" applyFill="1" applyBorder="1" applyAlignment="1">
      <alignment horizontal="center" vertical="center"/>
    </xf>
    <xf numFmtId="0" fontId="51" fillId="0" borderId="7" xfId="2" applyFont="1" applyFill="1" applyBorder="1" applyAlignment="1">
      <alignment horizontal="left" vertical="center"/>
    </xf>
    <xf numFmtId="0" fontId="51" fillId="0" borderId="23" xfId="2" applyFont="1" applyFill="1" applyBorder="1" applyAlignment="1">
      <alignment horizontal="left" vertical="center" wrapText="1"/>
    </xf>
    <xf numFmtId="0" fontId="50" fillId="0" borderId="0" xfId="2" applyFont="1" applyFill="1" applyAlignment="1">
      <alignment horizontal="center" vertical="center"/>
    </xf>
    <xf numFmtId="0" fontId="51" fillId="0" borderId="0" xfId="2" applyFont="1" applyFill="1" applyAlignment="1">
      <alignment horizontal="left" wrapText="1"/>
    </xf>
    <xf numFmtId="0" fontId="53" fillId="0" borderId="0" xfId="2" applyFont="1" applyFill="1" applyBorder="1" applyAlignment="1">
      <alignment horizontal="left" vertical="center" wrapText="1"/>
    </xf>
    <xf numFmtId="0" fontId="54" fillId="0" borderId="48" xfId="2" applyFont="1" applyFill="1" applyBorder="1" applyAlignment="1">
      <alignment horizontal="center" vertical="center"/>
    </xf>
    <xf numFmtId="0" fontId="54" fillId="0" borderId="49" xfId="2" applyFont="1" applyFill="1" applyBorder="1" applyAlignment="1">
      <alignment vertical="center"/>
    </xf>
    <xf numFmtId="0" fontId="50" fillId="0" borderId="48" xfId="2" applyFont="1" applyFill="1" applyBorder="1" applyAlignment="1">
      <alignment horizontal="center" vertical="center"/>
    </xf>
    <xf numFmtId="0" fontId="57" fillId="0" borderId="49" xfId="2" applyFont="1" applyFill="1" applyBorder="1" applyAlignment="1">
      <alignment horizontal="left" vertical="center"/>
    </xf>
    <xf numFmtId="0" fontId="50" fillId="0" borderId="49" xfId="2" applyFont="1" applyFill="1" applyBorder="1" applyAlignment="1">
      <alignment horizontal="left" vertical="center"/>
    </xf>
    <xf numFmtId="0" fontId="51" fillId="0" borderId="7" xfId="1" applyNumberFormat="1" applyFont="1" applyFill="1" applyBorder="1" applyAlignment="1">
      <alignment vertical="center" wrapText="1"/>
    </xf>
    <xf numFmtId="0" fontId="50" fillId="0" borderId="50" xfId="2" applyFont="1" applyFill="1" applyBorder="1" applyAlignment="1">
      <alignment horizontal="center" vertical="center"/>
    </xf>
    <xf numFmtId="0" fontId="51" fillId="0" borderId="51" xfId="2" applyFont="1" applyFill="1" applyBorder="1" applyAlignment="1">
      <alignment horizontal="center" vertical="center"/>
    </xf>
    <xf numFmtId="0" fontId="54" fillId="0" borderId="52" xfId="4" applyFont="1" applyFill="1" applyBorder="1" applyAlignment="1">
      <alignment horizontal="center" vertical="center"/>
    </xf>
    <xf numFmtId="0" fontId="54" fillId="0" borderId="6" xfId="4" applyFont="1" applyFill="1" applyBorder="1" applyAlignment="1">
      <alignment horizontal="center" vertical="center"/>
    </xf>
    <xf numFmtId="0" fontId="54" fillId="0" borderId="53" xfId="4" applyFont="1" applyFill="1" applyBorder="1" applyAlignment="1">
      <alignment horizontal="center" vertical="center"/>
    </xf>
    <xf numFmtId="0" fontId="54" fillId="0" borderId="6" xfId="2" applyFont="1" applyFill="1" applyBorder="1" applyAlignment="1">
      <alignment horizontal="center" vertical="center" wrapText="1"/>
    </xf>
    <xf numFmtId="166" fontId="54" fillId="0" borderId="6" xfId="1" applyNumberFormat="1" applyFont="1" applyFill="1" applyBorder="1" applyAlignment="1">
      <alignment horizontal="center" vertical="center"/>
    </xf>
    <xf numFmtId="0" fontId="54" fillId="0" borderId="54" xfId="4" applyFont="1" applyFill="1" applyBorder="1" applyAlignment="1">
      <alignment horizontal="center" vertical="center"/>
    </xf>
    <xf numFmtId="0" fontId="54" fillId="0" borderId="55" xfId="4" applyFont="1" applyFill="1" applyBorder="1" applyAlignment="1">
      <alignment horizontal="center" vertical="center"/>
    </xf>
    <xf numFmtId="0" fontId="54" fillId="0" borderId="55" xfId="0" applyFont="1" applyFill="1" applyBorder="1" applyAlignment="1">
      <alignment horizontal="center" vertical="center"/>
    </xf>
    <xf numFmtId="0" fontId="54" fillId="0" borderId="55" xfId="0" applyFont="1" applyFill="1" applyBorder="1" applyAlignment="1">
      <alignment horizontal="center" vertical="center" wrapText="1"/>
    </xf>
    <xf numFmtId="1" fontId="54" fillId="0" borderId="55" xfId="1" applyNumberFormat="1" applyFont="1" applyFill="1" applyBorder="1" applyAlignment="1">
      <alignment horizontal="center" vertical="center"/>
    </xf>
    <xf numFmtId="0" fontId="54" fillId="0" borderId="56" xfId="4" applyFont="1" applyFill="1" applyBorder="1" applyAlignment="1">
      <alignment horizontal="center" vertical="center"/>
    </xf>
    <xf numFmtId="0" fontId="53" fillId="0" borderId="0" xfId="2" applyFont="1" applyFill="1" applyAlignment="1">
      <alignment horizontal="left" vertical="center" wrapText="1"/>
    </xf>
    <xf numFmtId="0" fontId="50" fillId="0" borderId="49" xfId="2" applyFont="1" applyFill="1" applyBorder="1" applyAlignment="1">
      <alignment horizontal="left" vertical="center" wrapText="1"/>
    </xf>
    <xf numFmtId="0" fontId="51" fillId="0" borderId="5" xfId="2" applyFont="1" applyFill="1" applyBorder="1" applyAlignment="1">
      <alignment horizontal="center" vertical="center" wrapText="1"/>
    </xf>
    <xf numFmtId="0" fontId="51" fillId="0" borderId="0" xfId="0" applyFont="1" applyFill="1" applyAlignment="1">
      <alignment horizontal="center" vertical="center"/>
    </xf>
    <xf numFmtId="0" fontId="51" fillId="0" borderId="5" xfId="2" applyFont="1" applyFill="1" applyBorder="1" applyAlignment="1">
      <alignment horizontal="center" vertical="center"/>
    </xf>
    <xf numFmtId="0" fontId="51" fillId="0" borderId="3" xfId="2" applyFont="1" applyFill="1" applyBorder="1" applyAlignment="1">
      <alignment vertical="center"/>
    </xf>
    <xf numFmtId="166" fontId="54" fillId="0" borderId="8" xfId="1" applyNumberFormat="1" applyFont="1" applyFill="1" applyBorder="1" applyAlignment="1">
      <alignment vertical="center"/>
    </xf>
    <xf numFmtId="166" fontId="54" fillId="0" borderId="0" xfId="1" applyNumberFormat="1" applyFont="1" applyFill="1" applyBorder="1" applyAlignment="1">
      <alignment vertical="center"/>
    </xf>
    <xf numFmtId="0" fontId="53" fillId="0" borderId="3" xfId="2" applyFont="1" applyFill="1" applyBorder="1" applyAlignment="1">
      <alignment vertical="center"/>
    </xf>
    <xf numFmtId="165" fontId="53" fillId="0" borderId="0" xfId="2" applyNumberFormat="1" applyFont="1" applyFill="1" applyBorder="1" applyAlignment="1">
      <alignment vertical="center"/>
    </xf>
    <xf numFmtId="166" fontId="53" fillId="0" borderId="8" xfId="1" applyNumberFormat="1" applyFont="1" applyFill="1" applyBorder="1" applyAlignment="1">
      <alignment vertical="center"/>
    </xf>
    <xf numFmtId="0" fontId="51" fillId="0" borderId="3" xfId="4" applyFont="1" applyFill="1" applyBorder="1" applyAlignment="1">
      <alignment horizontal="center" vertical="center"/>
    </xf>
    <xf numFmtId="0" fontId="51" fillId="0" borderId="7" xfId="4" applyFont="1" applyFill="1" applyBorder="1" applyAlignment="1">
      <alignment horizontal="center" vertical="center"/>
    </xf>
    <xf numFmtId="0" fontId="51" fillId="0" borderId="6" xfId="4" applyFont="1" applyFill="1" applyBorder="1" applyAlignment="1">
      <alignment horizontal="center" vertical="center"/>
    </xf>
    <xf numFmtId="0" fontId="53" fillId="0" borderId="7" xfId="2" applyFont="1" applyFill="1" applyBorder="1" applyAlignment="1">
      <alignment horizontal="left" vertical="center"/>
    </xf>
    <xf numFmtId="0" fontId="55" fillId="0" borderId="7" xfId="2" applyFont="1" applyFill="1" applyBorder="1" applyAlignment="1">
      <alignment horizontal="center" vertical="center"/>
    </xf>
    <xf numFmtId="41" fontId="51" fillId="0" borderId="7" xfId="6" applyFont="1" applyFill="1" applyBorder="1" applyAlignment="1">
      <alignment vertical="center" wrapText="1"/>
    </xf>
    <xf numFmtId="0" fontId="50" fillId="0" borderId="7" xfId="2" applyFont="1" applyFill="1" applyBorder="1" applyAlignment="1">
      <alignment horizontal="left" vertical="center"/>
    </xf>
    <xf numFmtId="41" fontId="50" fillId="0" borderId="7" xfId="7" applyFont="1" applyFill="1" applyBorder="1" applyAlignment="1">
      <alignment horizontal="left" vertical="center" wrapText="1"/>
    </xf>
    <xf numFmtId="0" fontId="50" fillId="0" borderId="7" xfId="2" quotePrefix="1" applyFont="1" applyFill="1" applyBorder="1" applyAlignment="1">
      <alignment horizontal="left" vertical="center"/>
    </xf>
    <xf numFmtId="0" fontId="57" fillId="0" borderId="7" xfId="2" applyFont="1" applyFill="1" applyBorder="1" applyAlignment="1">
      <alignment horizontal="left" vertical="center"/>
    </xf>
    <xf numFmtId="0" fontId="57" fillId="0" borderId="7" xfId="2" applyFont="1" applyFill="1" applyBorder="1" applyAlignment="1">
      <alignment horizontal="left" vertical="center" wrapText="1"/>
    </xf>
    <xf numFmtId="0" fontId="57" fillId="0" borderId="7" xfId="2" applyFont="1" applyFill="1" applyBorder="1" applyAlignment="1">
      <alignment horizontal="center" vertical="center"/>
    </xf>
    <xf numFmtId="0" fontId="57" fillId="0" borderId="7" xfId="2" applyFont="1" applyFill="1" applyBorder="1" applyAlignment="1">
      <alignment horizontal="center" vertical="center" wrapText="1"/>
    </xf>
    <xf numFmtId="0" fontId="57" fillId="0" borderId="7" xfId="2" applyFont="1" applyFill="1" applyBorder="1" applyAlignment="1">
      <alignment vertical="center"/>
    </xf>
    <xf numFmtId="166" fontId="57" fillId="0" borderId="7" xfId="1" applyNumberFormat="1" applyFont="1" applyFill="1" applyBorder="1" applyAlignment="1">
      <alignment vertical="center" wrapText="1"/>
    </xf>
    <xf numFmtId="0" fontId="53" fillId="3" borderId="0" xfId="0" applyFont="1" applyFill="1" applyAlignment="1">
      <alignment horizontal="center" vertical="center"/>
    </xf>
    <xf numFmtId="166" fontId="51" fillId="0" borderId="7" xfId="1" applyNumberFormat="1" applyFont="1" applyFill="1" applyBorder="1" applyAlignment="1">
      <alignment horizontal="right" vertical="center"/>
    </xf>
    <xf numFmtId="166" fontId="50" fillId="0" borderId="7" xfId="1" applyNumberFormat="1" applyFont="1" applyFill="1" applyBorder="1" applyAlignment="1">
      <alignment horizontal="right" vertical="center"/>
    </xf>
    <xf numFmtId="0" fontId="50" fillId="0" borderId="7" xfId="9" applyFont="1" applyFill="1" applyBorder="1" applyAlignment="1">
      <alignment horizontal="left" vertical="center"/>
    </xf>
    <xf numFmtId="0" fontId="50" fillId="0" borderId="7" xfId="9" applyFont="1" applyFill="1" applyBorder="1" applyAlignment="1">
      <alignment horizontal="center" vertical="center"/>
    </xf>
    <xf numFmtId="0" fontId="54" fillId="0" borderId="7" xfId="9" applyFont="1" applyFill="1" applyBorder="1" applyAlignment="1">
      <alignment horizontal="center" vertical="center"/>
    </xf>
    <xf numFmtId="0" fontId="50" fillId="0" borderId="7" xfId="9" quotePrefix="1" applyFont="1" applyFill="1" applyBorder="1" applyAlignment="1">
      <alignment horizontal="center" vertical="center"/>
    </xf>
    <xf numFmtId="0" fontId="51" fillId="0" borderId="57" xfId="0" applyFont="1" applyFill="1" applyBorder="1" applyAlignment="1">
      <alignment horizontal="left" vertical="center" wrapText="1"/>
    </xf>
    <xf numFmtId="0" fontId="53" fillId="0" borderId="49" xfId="2" applyFont="1" applyFill="1" applyBorder="1" applyAlignment="1">
      <alignment horizontal="center" vertical="center" wrapText="1"/>
    </xf>
    <xf numFmtId="0" fontId="51" fillId="0" borderId="49" xfId="2" applyFont="1" applyFill="1" applyBorder="1" applyAlignment="1">
      <alignment horizontal="left" vertical="center" wrapText="1"/>
    </xf>
    <xf numFmtId="0" fontId="57" fillId="0" borderId="48" xfId="2" applyFont="1" applyFill="1" applyBorder="1" applyAlignment="1">
      <alignment horizontal="center" vertical="center"/>
    </xf>
    <xf numFmtId="0" fontId="57" fillId="0" borderId="49" xfId="2" applyFont="1" applyFill="1" applyBorder="1" applyAlignment="1">
      <alignment horizontal="left" vertical="center" wrapText="1"/>
    </xf>
    <xf numFmtId="0" fontId="51" fillId="0" borderId="48" xfId="2" applyFont="1" applyFill="1" applyBorder="1" applyAlignment="1">
      <alignment vertical="center"/>
    </xf>
    <xf numFmtId="0" fontId="53" fillId="0" borderId="48" xfId="2" applyFont="1" applyFill="1" applyBorder="1" applyAlignment="1">
      <alignment vertical="center"/>
    </xf>
    <xf numFmtId="0" fontId="51" fillId="0" borderId="50" xfId="2" applyFont="1" applyFill="1" applyBorder="1" applyAlignment="1">
      <alignment vertical="center"/>
    </xf>
    <xf numFmtId="0" fontId="51" fillId="0" borderId="51" xfId="2" applyFont="1" applyFill="1" applyBorder="1" applyAlignment="1">
      <alignment vertical="center" wrapText="1"/>
    </xf>
    <xf numFmtId="0" fontId="53" fillId="0" borderId="6" xfId="2" applyFont="1" applyFill="1" applyBorder="1" applyAlignment="1">
      <alignment horizontal="left" vertical="center" wrapText="1"/>
    </xf>
    <xf numFmtId="166" fontId="55" fillId="0" borderId="6" xfId="1" applyNumberFormat="1" applyFont="1" applyFill="1" applyBorder="1" applyAlignment="1">
      <alignment vertical="center"/>
    </xf>
    <xf numFmtId="0" fontId="51" fillId="0" borderId="53" xfId="2" applyFont="1" applyFill="1" applyBorder="1" applyAlignment="1">
      <alignment horizontal="center" vertical="center" wrapText="1"/>
    </xf>
    <xf numFmtId="0" fontId="53" fillId="0" borderId="55" xfId="0" applyFont="1" applyFill="1" applyBorder="1" applyAlignment="1">
      <alignment horizontal="center" vertical="center" wrapText="1"/>
    </xf>
    <xf numFmtId="0" fontId="53" fillId="0" borderId="56" xfId="4" applyFont="1" applyFill="1" applyBorder="1" applyAlignment="1">
      <alignment horizontal="center" vertical="center" wrapText="1"/>
    </xf>
    <xf numFmtId="0" fontId="53" fillId="0" borderId="55" xfId="1" applyNumberFormat="1" applyFont="1" applyFill="1" applyBorder="1" applyAlignment="1">
      <alignment horizontal="center" vertical="center"/>
    </xf>
    <xf numFmtId="0" fontId="50" fillId="0" borderId="0" xfId="2" applyFont="1" applyAlignment="1">
      <alignment vertical="center"/>
    </xf>
    <xf numFmtId="0" fontId="50" fillId="0" borderId="0" xfId="2" applyFont="1" applyFill="1" applyBorder="1" applyAlignment="1">
      <alignment vertical="center"/>
    </xf>
    <xf numFmtId="41" fontId="50" fillId="0" borderId="0" xfId="1" applyFont="1" applyFill="1" applyBorder="1" applyAlignment="1">
      <alignment horizontal="center" vertical="center"/>
    </xf>
    <xf numFmtId="0" fontId="50" fillId="0" borderId="0" xfId="2" applyFont="1" applyFill="1" applyBorder="1" applyAlignment="1">
      <alignment horizontal="center" vertical="center"/>
    </xf>
    <xf numFmtId="43" fontId="50" fillId="0" borderId="0" xfId="3" applyFont="1" applyFill="1" applyBorder="1" applyAlignment="1">
      <alignment horizontal="center" vertical="center" wrapText="1"/>
    </xf>
    <xf numFmtId="0" fontId="50" fillId="0" borderId="0" xfId="2" applyFont="1" applyFill="1" applyAlignment="1">
      <alignment vertical="center"/>
    </xf>
    <xf numFmtId="0" fontId="50" fillId="0" borderId="0" xfId="2" applyFont="1" applyAlignment="1">
      <alignment horizontal="center" vertical="center"/>
    </xf>
    <xf numFmtId="0" fontId="50" fillId="0" borderId="0" xfId="4" applyFont="1" applyFill="1" applyBorder="1" applyAlignment="1">
      <alignment horizontal="center" vertical="center"/>
    </xf>
    <xf numFmtId="41" fontId="50" fillId="0" borderId="7" xfId="1" applyFont="1" applyFill="1" applyBorder="1" applyAlignment="1">
      <alignment horizontal="center" vertical="center"/>
    </xf>
    <xf numFmtId="0" fontId="50" fillId="0" borderId="7" xfId="5" applyFont="1" applyFill="1" applyBorder="1" applyAlignment="1">
      <alignment vertical="center" wrapText="1"/>
    </xf>
    <xf numFmtId="0" fontId="50" fillId="0" borderId="7" xfId="5" applyFont="1" applyFill="1" applyBorder="1" applyAlignment="1">
      <alignment horizontal="center" vertical="center"/>
    </xf>
    <xf numFmtId="43" fontId="50" fillId="0" borderId="7" xfId="5" applyNumberFormat="1" applyFont="1" applyFill="1" applyBorder="1" applyAlignment="1">
      <alignment horizontal="left" vertical="center" wrapText="1"/>
    </xf>
    <xf numFmtId="0" fontId="50" fillId="0" borderId="7" xfId="5" applyFont="1" applyFill="1" applyBorder="1" applyAlignment="1">
      <alignment vertical="center"/>
    </xf>
    <xf numFmtId="43" fontId="50" fillId="0" borderId="7" xfId="5" applyNumberFormat="1" applyFont="1" applyFill="1" applyBorder="1" applyAlignment="1">
      <alignment vertical="center"/>
    </xf>
    <xf numFmtId="0" fontId="50" fillId="0" borderId="0" xfId="5" applyFont="1" applyFill="1" applyBorder="1" applyAlignment="1">
      <alignment vertical="center" wrapText="1"/>
    </xf>
    <xf numFmtId="0" fontId="50" fillId="0" borderId="0" xfId="5" applyFont="1" applyFill="1" applyBorder="1" applyAlignment="1">
      <alignment vertical="center"/>
    </xf>
    <xf numFmtId="0" fontId="50" fillId="0" borderId="0" xfId="5" applyFont="1" applyFill="1" applyAlignment="1">
      <alignment vertical="center"/>
    </xf>
    <xf numFmtId="14" fontId="50" fillId="0" borderId="7" xfId="5" applyNumberFormat="1" applyFont="1" applyFill="1" applyBorder="1" applyAlignment="1">
      <alignment vertical="center"/>
    </xf>
    <xf numFmtId="0" fontId="50" fillId="0" borderId="11" xfId="5" applyFont="1" applyFill="1" applyBorder="1" applyAlignment="1">
      <alignment vertical="center" wrapText="1"/>
    </xf>
    <xf numFmtId="0" fontId="50" fillId="0" borderId="7" xfId="5" applyFont="1" applyFill="1" applyBorder="1" applyAlignment="1">
      <alignment horizontal="center" vertical="center" wrapText="1"/>
    </xf>
    <xf numFmtId="0" fontId="50" fillId="0" borderId="4" xfId="5" applyFont="1" applyFill="1" applyBorder="1" applyAlignment="1">
      <alignment vertical="center" wrapText="1"/>
    </xf>
    <xf numFmtId="0" fontId="50" fillId="0" borderId="4" xfId="5" applyFont="1" applyFill="1" applyBorder="1" applyAlignment="1">
      <alignment vertical="center"/>
    </xf>
    <xf numFmtId="0" fontId="50" fillId="0" borderId="7" xfId="5" applyFont="1" applyFill="1" applyBorder="1" applyAlignment="1">
      <alignment horizontal="left" vertical="center" wrapText="1"/>
    </xf>
    <xf numFmtId="166" fontId="50" fillId="0" borderId="7" xfId="5" applyNumberFormat="1" applyFont="1" applyFill="1" applyBorder="1" applyAlignment="1">
      <alignment vertical="center"/>
    </xf>
    <xf numFmtId="0" fontId="50" fillId="0" borderId="29" xfId="5" applyFont="1" applyFill="1" applyBorder="1" applyAlignment="1">
      <alignment vertical="center"/>
    </xf>
    <xf numFmtId="0" fontId="50" fillId="0" borderId="11" xfId="5" applyFont="1" applyFill="1" applyBorder="1" applyAlignment="1">
      <alignment vertical="center"/>
    </xf>
    <xf numFmtId="166" fontId="50" fillId="0" borderId="7" xfId="1" applyNumberFormat="1" applyFont="1" applyFill="1" applyBorder="1" applyAlignment="1">
      <alignment horizontal="center" vertical="center"/>
    </xf>
    <xf numFmtId="0" fontId="50" fillId="0" borderId="23" xfId="2" applyFont="1" applyFill="1" applyBorder="1" applyAlignment="1">
      <alignment vertical="center" wrapText="1"/>
    </xf>
    <xf numFmtId="0" fontId="50" fillId="0" borderId="23" xfId="2" applyFont="1" applyFill="1" applyBorder="1" applyAlignment="1">
      <alignment horizontal="center" vertical="center"/>
    </xf>
    <xf numFmtId="0" fontId="50" fillId="0" borderId="23" xfId="2" applyFont="1" applyFill="1" applyBorder="1" applyAlignment="1">
      <alignment vertical="center"/>
    </xf>
    <xf numFmtId="41" fontId="50" fillId="0" borderId="23" xfId="1" applyFont="1" applyFill="1" applyBorder="1" applyAlignment="1">
      <alignment horizontal="center" vertical="center"/>
    </xf>
    <xf numFmtId="43" fontId="50" fillId="0" borderId="23" xfId="3" applyFont="1" applyFill="1" applyBorder="1" applyAlignment="1">
      <alignment horizontal="center" vertical="center" wrapText="1"/>
    </xf>
    <xf numFmtId="43" fontId="50" fillId="0" borderId="23" xfId="3" applyFont="1" applyFill="1" applyBorder="1" applyAlignment="1">
      <alignment vertical="center"/>
    </xf>
    <xf numFmtId="0" fontId="50" fillId="0" borderId="40" xfId="2" applyFont="1" applyFill="1" applyBorder="1" applyAlignment="1">
      <alignment vertical="center"/>
    </xf>
    <xf numFmtId="0" fontId="50" fillId="0" borderId="0" xfId="5" applyFont="1" applyFill="1" applyBorder="1" applyAlignment="1">
      <alignment horizontal="center" vertical="center"/>
    </xf>
    <xf numFmtId="43" fontId="50" fillId="0" borderId="0" xfId="3" applyFont="1" applyFill="1" applyBorder="1" applyAlignment="1">
      <alignment vertical="center"/>
    </xf>
    <xf numFmtId="0" fontId="50" fillId="0" borderId="0" xfId="2" applyFont="1" applyAlignment="1">
      <alignment vertical="center" wrapText="1"/>
    </xf>
    <xf numFmtId="41" fontId="50" fillId="0" borderId="0" xfId="1" applyFont="1" applyAlignment="1">
      <alignment horizontal="center" vertical="center"/>
    </xf>
    <xf numFmtId="43" fontId="50" fillId="0" borderId="0" xfId="3" applyFont="1" applyAlignment="1">
      <alignment horizontal="center" vertical="center" wrapText="1"/>
    </xf>
    <xf numFmtId="165" fontId="50" fillId="0" borderId="0" xfId="2" applyNumberFormat="1" applyFont="1" applyAlignment="1">
      <alignment vertical="center" wrapText="1"/>
    </xf>
    <xf numFmtId="0" fontId="50" fillId="0" borderId="40" xfId="2" applyFont="1" applyBorder="1" applyAlignment="1">
      <alignment vertical="center"/>
    </xf>
    <xf numFmtId="0" fontId="59" fillId="0" borderId="0" xfId="2" applyFont="1" applyFill="1" applyAlignment="1">
      <alignment vertical="center"/>
    </xf>
    <xf numFmtId="0" fontId="59" fillId="0" borderId="0" xfId="2" applyFont="1" applyAlignment="1">
      <alignment horizontal="center" vertical="center"/>
    </xf>
    <xf numFmtId="41" fontId="50" fillId="0" borderId="0" xfId="1" applyFont="1" applyFill="1" applyBorder="1" applyAlignment="1">
      <alignment vertical="center"/>
    </xf>
    <xf numFmtId="0" fontId="50" fillId="0" borderId="48" xfId="5" applyFont="1" applyFill="1" applyBorder="1" applyAlignment="1">
      <alignment horizontal="center" vertical="center"/>
    </xf>
    <xf numFmtId="0" fontId="50" fillId="0" borderId="49" xfId="5" applyFont="1" applyFill="1" applyBorder="1" applyAlignment="1">
      <alignment vertical="center" wrapText="1"/>
    </xf>
    <xf numFmtId="166" fontId="50" fillId="0" borderId="49" xfId="5" applyNumberFormat="1" applyFont="1" applyFill="1" applyBorder="1" applyAlignment="1">
      <alignment vertical="center" wrapText="1"/>
    </xf>
    <xf numFmtId="165" fontId="50" fillId="0" borderId="49" xfId="5" applyNumberFormat="1" applyFont="1" applyFill="1" applyBorder="1" applyAlignment="1">
      <alignment vertical="center" wrapText="1"/>
    </xf>
    <xf numFmtId="165" fontId="50" fillId="0" borderId="7" xfId="5" applyNumberFormat="1" applyFont="1" applyFill="1" applyBorder="1" applyAlignment="1">
      <alignment vertical="center"/>
    </xf>
    <xf numFmtId="0" fontId="50" fillId="0" borderId="50" xfId="5" applyFont="1" applyFill="1" applyBorder="1" applyAlignment="1">
      <alignment horizontal="center" vertical="center"/>
    </xf>
    <xf numFmtId="0" fontId="50" fillId="0" borderId="51" xfId="2" applyFont="1" applyFill="1" applyBorder="1" applyAlignment="1">
      <alignment vertical="center" wrapText="1"/>
    </xf>
    <xf numFmtId="0" fontId="50" fillId="0" borderId="52" xfId="2" applyFont="1" applyFill="1" applyBorder="1" applyAlignment="1">
      <alignment horizontal="center" vertical="center"/>
    </xf>
    <xf numFmtId="0" fontId="54" fillId="0" borderId="6" xfId="2" applyFont="1" applyFill="1" applyBorder="1" applyAlignment="1">
      <alignment horizontal="left" vertical="center" wrapText="1"/>
    </xf>
    <xf numFmtId="0" fontId="50" fillId="0" borderId="6" xfId="2" applyFont="1" applyFill="1" applyBorder="1" applyAlignment="1">
      <alignment horizontal="center" vertical="center"/>
    </xf>
    <xf numFmtId="0" fontId="50" fillId="0" borderId="6" xfId="2" applyFont="1" applyFill="1" applyBorder="1" applyAlignment="1">
      <alignment vertical="center"/>
    </xf>
    <xf numFmtId="41" fontId="50" fillId="0" borderId="6" xfId="1" applyFont="1" applyFill="1" applyBorder="1" applyAlignment="1">
      <alignment horizontal="center" vertical="center"/>
    </xf>
    <xf numFmtId="0" fontId="50" fillId="0" borderId="6" xfId="2" applyFont="1" applyFill="1" applyBorder="1" applyAlignment="1">
      <alignment vertical="center" wrapText="1"/>
    </xf>
    <xf numFmtId="43" fontId="50" fillId="0" borderId="6" xfId="3" applyFont="1" applyFill="1" applyBorder="1" applyAlignment="1">
      <alignment horizontal="center" vertical="center" wrapText="1"/>
    </xf>
    <xf numFmtId="43" fontId="54" fillId="0" borderId="6" xfId="2" applyNumberFormat="1" applyFont="1" applyFill="1" applyBorder="1" applyAlignment="1">
      <alignment vertical="center"/>
    </xf>
    <xf numFmtId="41" fontId="50" fillId="0" borderId="53" xfId="1" applyFont="1" applyFill="1" applyBorder="1" applyAlignment="1">
      <alignment vertical="center" wrapText="1"/>
    </xf>
    <xf numFmtId="0" fontId="54" fillId="0" borderId="55" xfId="4" applyFont="1" applyFill="1" applyBorder="1" applyAlignment="1">
      <alignment horizontal="center" vertical="center" wrapText="1"/>
    </xf>
    <xf numFmtId="41" fontId="54" fillId="0" borderId="55" xfId="1" applyFont="1" applyFill="1" applyBorder="1" applyAlignment="1">
      <alignment horizontal="center" vertical="center"/>
    </xf>
    <xf numFmtId="0" fontId="54" fillId="0" borderId="56" xfId="4" applyFont="1" applyFill="1" applyBorder="1" applyAlignment="1">
      <alignment horizontal="center" vertical="center" wrapText="1"/>
    </xf>
    <xf numFmtId="0" fontId="54" fillId="0" borderId="0" xfId="2" applyFont="1" applyFill="1" applyAlignment="1">
      <alignment vertical="center"/>
    </xf>
    <xf numFmtId="41" fontId="54" fillId="0" borderId="0" xfId="1" applyFont="1" applyAlignment="1">
      <alignment horizontal="center" vertical="center"/>
    </xf>
    <xf numFmtId="0" fontId="54" fillId="0" borderId="0" xfId="2" applyFont="1" applyAlignment="1">
      <alignment vertical="center" wrapText="1"/>
    </xf>
    <xf numFmtId="43" fontId="54" fillId="0" borderId="0" xfId="3" applyFont="1" applyAlignment="1">
      <alignment horizontal="center" vertical="center" wrapText="1"/>
    </xf>
    <xf numFmtId="0" fontId="54" fillId="0" borderId="0" xfId="2" applyFont="1" applyAlignment="1">
      <alignment horizontal="center" vertical="center"/>
    </xf>
    <xf numFmtId="0" fontId="54" fillId="0" borderId="0" xfId="2" applyFont="1" applyAlignment="1">
      <alignment vertical="center"/>
    </xf>
    <xf numFmtId="0" fontId="54" fillId="0" borderId="0" xfId="2" applyFont="1" applyFill="1" applyAlignment="1">
      <alignment vertical="center" wrapText="1"/>
    </xf>
    <xf numFmtId="0" fontId="15" fillId="0" borderId="0" xfId="2" applyFont="1" applyFill="1" applyAlignment="1">
      <alignment horizontal="center"/>
    </xf>
    <xf numFmtId="0" fontId="15" fillId="0" borderId="0" xfId="2" applyFont="1" applyAlignment="1">
      <alignment horizontal="center"/>
    </xf>
    <xf numFmtId="0" fontId="6" fillId="0" borderId="0" xfId="2" applyFont="1" applyFill="1" applyAlignment="1">
      <alignment horizontal="center"/>
    </xf>
    <xf numFmtId="0" fontId="6" fillId="0" borderId="0" xfId="2" applyFont="1" applyAlignment="1">
      <alignment horizontal="center"/>
    </xf>
    <xf numFmtId="0" fontId="11" fillId="0" borderId="29" xfId="0" applyFont="1" applyFill="1" applyBorder="1" applyAlignment="1">
      <alignment horizontal="center" vertical="center"/>
    </xf>
    <xf numFmtId="0" fontId="11" fillId="0" borderId="0" xfId="0" applyFont="1" applyFill="1" applyBorder="1" applyAlignment="1">
      <alignment horizontal="center" vertical="center"/>
    </xf>
    <xf numFmtId="0" fontId="11" fillId="0" borderId="11" xfId="0" applyFont="1" applyFill="1" applyBorder="1" applyAlignment="1">
      <alignment horizontal="center" vertical="center"/>
    </xf>
    <xf numFmtId="0" fontId="4" fillId="0" borderId="7" xfId="2" applyFont="1" applyFill="1" applyBorder="1" applyAlignment="1">
      <alignment horizontal="center" vertical="center"/>
    </xf>
    <xf numFmtId="0" fontId="4" fillId="0" borderId="18" xfId="2" applyFont="1" applyFill="1" applyBorder="1" applyAlignment="1">
      <alignment horizontal="center" vertical="center"/>
    </xf>
    <xf numFmtId="0" fontId="6" fillId="0" borderId="9" xfId="2" applyFont="1" applyFill="1" applyBorder="1" applyAlignment="1">
      <alignment horizontal="center" vertical="center" wrapText="1"/>
    </xf>
    <xf numFmtId="0" fontId="6" fillId="0" borderId="10" xfId="2" applyFont="1" applyFill="1" applyBorder="1" applyAlignment="1">
      <alignment horizontal="center" vertical="center" wrapText="1"/>
    </xf>
    <xf numFmtId="0" fontId="2" fillId="0" borderId="2" xfId="2" applyFill="1" applyBorder="1" applyAlignment="1">
      <alignment horizontal="center" vertical="center" wrapText="1"/>
    </xf>
    <xf numFmtId="0" fontId="2" fillId="0" borderId="3" xfId="2" applyFill="1" applyBorder="1" applyAlignment="1">
      <alignment horizontal="center" vertical="center" wrapText="1"/>
    </xf>
    <xf numFmtId="166" fontId="11" fillId="0" borderId="29" xfId="1" applyNumberFormat="1" applyFont="1" applyFill="1" applyBorder="1" applyAlignment="1">
      <alignment horizontal="center" vertical="center" wrapText="1"/>
    </xf>
    <xf numFmtId="166" fontId="11" fillId="0" borderId="0" xfId="1" applyNumberFormat="1" applyFont="1" applyFill="1" applyBorder="1" applyAlignment="1">
      <alignment horizontal="center" vertical="center" wrapText="1"/>
    </xf>
    <xf numFmtId="166" fontId="11" fillId="0" borderId="11" xfId="1" applyNumberFormat="1" applyFont="1" applyFill="1" applyBorder="1" applyAlignment="1">
      <alignment horizontal="center" vertical="center" wrapText="1"/>
    </xf>
    <xf numFmtId="0" fontId="11" fillId="0" borderId="30" xfId="0" applyFont="1" applyFill="1" applyBorder="1" applyAlignment="1">
      <alignment horizontal="center" vertical="center"/>
    </xf>
    <xf numFmtId="0" fontId="11" fillId="0" borderId="31" xfId="0" applyFont="1" applyFill="1" applyBorder="1" applyAlignment="1">
      <alignment horizontal="center" vertical="center"/>
    </xf>
    <xf numFmtId="0" fontId="11" fillId="0" borderId="32" xfId="0" applyFont="1" applyFill="1" applyBorder="1" applyAlignment="1">
      <alignment horizontal="center" vertical="center"/>
    </xf>
    <xf numFmtId="166" fontId="11" fillId="0" borderId="29" xfId="1" applyNumberFormat="1" applyFont="1" applyFill="1" applyBorder="1" applyAlignment="1">
      <alignment horizontal="center" vertical="center"/>
    </xf>
    <xf numFmtId="166" fontId="11" fillId="0" borderId="0" xfId="1" applyNumberFormat="1" applyFont="1" applyFill="1" applyBorder="1" applyAlignment="1">
      <alignment horizontal="center" vertical="center"/>
    </xf>
    <xf numFmtId="166" fontId="11" fillId="0" borderId="11" xfId="1" applyNumberFormat="1" applyFont="1" applyFill="1" applyBorder="1" applyAlignment="1">
      <alignment horizontal="center" vertical="center"/>
    </xf>
    <xf numFmtId="0" fontId="4" fillId="0" borderId="13" xfId="2" applyFont="1" applyFill="1" applyBorder="1" applyAlignment="1">
      <alignment horizontal="center" vertical="center" wrapText="1"/>
    </xf>
    <xf numFmtId="0" fontId="4" fillId="0" borderId="7" xfId="2" applyFont="1" applyFill="1" applyBorder="1" applyAlignment="1">
      <alignment horizontal="center" vertical="center" wrapText="1"/>
    </xf>
    <xf numFmtId="0" fontId="4" fillId="0" borderId="18" xfId="2" applyFont="1" applyFill="1" applyBorder="1" applyAlignment="1">
      <alignment horizontal="center" vertical="center" wrapText="1"/>
    </xf>
    <xf numFmtId="166" fontId="4" fillId="0" borderId="13" xfId="1" applyNumberFormat="1" applyFont="1" applyFill="1" applyBorder="1" applyAlignment="1">
      <alignment horizontal="center" vertical="center" wrapText="1"/>
    </xf>
    <xf numFmtId="166" fontId="4" fillId="0" borderId="7" xfId="1" applyNumberFormat="1" applyFont="1" applyFill="1" applyBorder="1" applyAlignment="1">
      <alignment horizontal="center" vertical="center" wrapText="1"/>
    </xf>
    <xf numFmtId="166" fontId="4" fillId="0" borderId="18" xfId="1" applyNumberFormat="1" applyFont="1" applyFill="1" applyBorder="1" applyAlignment="1">
      <alignment horizontal="center" vertical="center" wrapText="1"/>
    </xf>
    <xf numFmtId="0" fontId="4" fillId="0" borderId="14" xfId="2" applyFont="1" applyFill="1" applyBorder="1" applyAlignment="1">
      <alignment horizontal="center" vertical="center"/>
    </xf>
    <xf numFmtId="0" fontId="4" fillId="0" borderId="16" xfId="2" applyFont="1" applyFill="1" applyBorder="1" applyAlignment="1">
      <alignment horizontal="center" vertical="center"/>
    </xf>
    <xf numFmtId="0" fontId="4" fillId="0" borderId="19" xfId="2" applyFont="1" applyFill="1" applyBorder="1" applyAlignment="1">
      <alignment horizontal="center" vertical="center"/>
    </xf>
    <xf numFmtId="0" fontId="2" fillId="0" borderId="4" xfId="2" applyFill="1" applyBorder="1" applyAlignment="1">
      <alignment horizontal="center" wrapText="1"/>
    </xf>
    <xf numFmtId="0" fontId="2" fillId="0" borderId="3" xfId="2" applyFill="1" applyBorder="1" applyAlignment="1">
      <alignment horizontal="center" wrapText="1"/>
    </xf>
    <xf numFmtId="0" fontId="3" fillId="0" borderId="0" xfId="2" applyFont="1" applyFill="1" applyAlignment="1">
      <alignment horizontal="center"/>
    </xf>
    <xf numFmtId="0" fontId="4" fillId="0" borderId="12" xfId="4" applyFont="1" applyFill="1" applyBorder="1" applyAlignment="1">
      <alignment horizontal="center" vertical="center" wrapText="1"/>
    </xf>
    <xf numFmtId="0" fontId="4" fillId="0" borderId="15" xfId="4" applyFont="1" applyFill="1" applyBorder="1" applyAlignment="1">
      <alignment horizontal="center" vertical="center" wrapText="1"/>
    </xf>
    <xf numFmtId="0" fontId="4" fillId="0" borderId="17" xfId="4" applyFont="1" applyFill="1" applyBorder="1" applyAlignment="1">
      <alignment horizontal="center" vertical="center" wrapText="1"/>
    </xf>
    <xf numFmtId="0" fontId="4" fillId="0" borderId="13" xfId="0" applyFont="1" applyFill="1" applyBorder="1" applyAlignment="1">
      <alignment horizontal="center" vertical="center"/>
    </xf>
    <xf numFmtId="0" fontId="4" fillId="0" borderId="7" xfId="0" applyFont="1" applyFill="1" applyBorder="1" applyAlignment="1">
      <alignment horizontal="center" vertical="center"/>
    </xf>
    <xf numFmtId="0" fontId="4" fillId="0" borderId="18" xfId="0" applyFont="1" applyFill="1" applyBorder="1" applyAlignment="1">
      <alignment horizontal="center" vertical="center"/>
    </xf>
    <xf numFmtId="0" fontId="54" fillId="0" borderId="0" xfId="2" applyFont="1" applyFill="1" applyBorder="1" applyAlignment="1">
      <alignment horizontal="center" vertical="center"/>
    </xf>
    <xf numFmtId="0" fontId="54" fillId="0" borderId="0" xfId="2" applyFont="1" applyFill="1" applyAlignment="1">
      <alignment horizontal="center" vertical="center"/>
    </xf>
    <xf numFmtId="0" fontId="59" fillId="0" borderId="0" xfId="2" applyFont="1" applyFill="1" applyAlignment="1">
      <alignment horizontal="center" vertical="center"/>
    </xf>
    <xf numFmtId="0" fontId="54" fillId="0" borderId="7" xfId="2" applyFont="1" applyFill="1" applyBorder="1" applyAlignment="1">
      <alignment horizontal="center" vertical="center" wrapText="1"/>
    </xf>
    <xf numFmtId="0" fontId="54" fillId="0" borderId="23" xfId="2" applyFont="1" applyFill="1" applyBorder="1" applyAlignment="1">
      <alignment horizontal="center" vertical="center" wrapText="1"/>
    </xf>
    <xf numFmtId="0" fontId="54" fillId="0" borderId="7" xfId="2" applyFont="1" applyFill="1" applyBorder="1" applyAlignment="1">
      <alignment horizontal="center" vertical="center"/>
    </xf>
    <xf numFmtId="0" fontId="54" fillId="0" borderId="0" xfId="2" applyFont="1" applyAlignment="1">
      <alignment horizontal="center" vertical="center"/>
    </xf>
    <xf numFmtId="0" fontId="59" fillId="0" borderId="0" xfId="2" applyFont="1" applyAlignment="1">
      <alignment horizontal="center" vertical="center"/>
    </xf>
    <xf numFmtId="0" fontId="60" fillId="0" borderId="0" xfId="2" applyFont="1" applyFill="1" applyAlignment="1">
      <alignment horizontal="center" vertical="center"/>
    </xf>
    <xf numFmtId="0" fontId="54" fillId="0" borderId="45" xfId="4" applyFont="1" applyFill="1" applyBorder="1" applyAlignment="1">
      <alignment horizontal="center" vertical="center" wrapText="1"/>
    </xf>
    <xf numFmtId="0" fontId="54" fillId="0" borderId="48" xfId="4" applyFont="1" applyFill="1" applyBorder="1" applyAlignment="1">
      <alignment horizontal="center" vertical="center" wrapText="1"/>
    </xf>
    <xf numFmtId="0" fontId="54" fillId="0" borderId="50" xfId="4" applyFont="1" applyFill="1" applyBorder="1" applyAlignment="1">
      <alignment horizontal="center" vertical="center" wrapText="1"/>
    </xf>
    <xf numFmtId="0" fontId="54" fillId="0" borderId="46" xfId="2" applyFont="1" applyFill="1" applyBorder="1" applyAlignment="1">
      <alignment horizontal="center" vertical="center" wrapText="1"/>
    </xf>
    <xf numFmtId="41" fontId="54" fillId="0" borderId="46" xfId="1" applyFont="1" applyFill="1" applyBorder="1" applyAlignment="1">
      <alignment horizontal="center" vertical="center" wrapText="1"/>
    </xf>
    <xf numFmtId="41" fontId="54" fillId="0" borderId="7" xfId="1" applyFont="1" applyFill="1" applyBorder="1" applyAlignment="1">
      <alignment horizontal="center" vertical="center" wrapText="1"/>
    </xf>
    <xf numFmtId="41" fontId="54" fillId="0" borderId="23" xfId="1" applyFont="1" applyFill="1" applyBorder="1" applyAlignment="1">
      <alignment horizontal="center" vertical="center" wrapText="1"/>
    </xf>
    <xf numFmtId="0" fontId="54" fillId="0" borderId="46" xfId="2" applyFont="1" applyFill="1" applyBorder="1" applyAlignment="1">
      <alignment horizontal="center" vertical="center"/>
    </xf>
    <xf numFmtId="0" fontId="54" fillId="0" borderId="23" xfId="2" applyFont="1" applyFill="1" applyBorder="1" applyAlignment="1">
      <alignment horizontal="center" vertical="center"/>
    </xf>
    <xf numFmtId="0" fontId="54" fillId="0" borderId="47" xfId="2" applyFont="1" applyFill="1" applyBorder="1" applyAlignment="1">
      <alignment horizontal="center" vertical="center" wrapText="1"/>
    </xf>
    <xf numFmtId="0" fontId="54" fillId="0" borderId="49" xfId="2" applyFont="1" applyFill="1" applyBorder="1" applyAlignment="1">
      <alignment horizontal="center" vertical="center" wrapText="1"/>
    </xf>
    <xf numFmtId="0" fontId="54" fillId="0" borderId="51" xfId="2" applyFont="1" applyFill="1" applyBorder="1" applyAlignment="1">
      <alignment horizontal="center" vertical="center" wrapText="1"/>
    </xf>
    <xf numFmtId="0" fontId="53" fillId="0" borderId="0" xfId="2" applyFont="1" applyFill="1" applyBorder="1" applyAlignment="1">
      <alignment horizontal="center" vertical="center"/>
    </xf>
    <xf numFmtId="0" fontId="53" fillId="0" borderId="0" xfId="2" applyFont="1" applyFill="1" applyAlignment="1">
      <alignment horizontal="center" vertical="center"/>
    </xf>
    <xf numFmtId="0" fontId="52" fillId="0" borderId="0" xfId="2" applyFont="1" applyFill="1" applyAlignment="1">
      <alignment horizontal="center" vertical="center"/>
    </xf>
    <xf numFmtId="0" fontId="49" fillId="0" borderId="0" xfId="2" applyFont="1" applyFill="1" applyAlignment="1">
      <alignment horizontal="center" vertical="center"/>
    </xf>
    <xf numFmtId="0" fontId="54" fillId="0" borderId="46" xfId="0" applyFont="1" applyFill="1" applyBorder="1" applyAlignment="1">
      <alignment horizontal="center" vertical="center"/>
    </xf>
    <xf numFmtId="0" fontId="54" fillId="0" borderId="7" xfId="0" applyFont="1" applyFill="1" applyBorder="1" applyAlignment="1">
      <alignment horizontal="center" vertical="center"/>
    </xf>
    <xf numFmtId="0" fontId="54" fillId="0" borderId="23" xfId="0" applyFont="1" applyFill="1" applyBorder="1" applyAlignment="1">
      <alignment horizontal="center" vertical="center"/>
    </xf>
    <xf numFmtId="166" fontId="54" fillId="0" borderId="46" xfId="1" applyNumberFormat="1" applyFont="1" applyFill="1" applyBorder="1" applyAlignment="1">
      <alignment horizontal="center" vertical="center" wrapText="1"/>
    </xf>
    <xf numFmtId="166" fontId="54" fillId="0" borderId="7" xfId="1" applyNumberFormat="1" applyFont="1" applyFill="1" applyBorder="1" applyAlignment="1">
      <alignment horizontal="center" vertical="center" wrapText="1"/>
    </xf>
    <xf numFmtId="166" fontId="54" fillId="0" borderId="23" xfId="1" applyNumberFormat="1" applyFont="1" applyFill="1" applyBorder="1" applyAlignment="1">
      <alignment horizontal="center" vertical="center" wrapText="1"/>
    </xf>
    <xf numFmtId="0" fontId="53" fillId="0" borderId="47" xfId="2" applyFont="1" applyFill="1" applyBorder="1" applyAlignment="1">
      <alignment horizontal="center" vertical="center" wrapText="1"/>
    </xf>
    <xf numFmtId="0" fontId="53" fillId="0" borderId="49" xfId="2" applyFont="1" applyFill="1" applyBorder="1" applyAlignment="1">
      <alignment horizontal="center" vertical="center" wrapText="1"/>
    </xf>
    <xf numFmtId="0" fontId="53" fillId="0" borderId="51" xfId="2" applyFont="1" applyFill="1" applyBorder="1" applyAlignment="1">
      <alignment horizontal="center" vertical="center" wrapText="1"/>
    </xf>
    <xf numFmtId="0" fontId="51" fillId="0" borderId="4" xfId="2" applyFont="1" applyFill="1" applyBorder="1" applyAlignment="1">
      <alignment horizontal="center" vertical="center" wrapText="1"/>
    </xf>
    <xf numFmtId="0" fontId="51" fillId="0" borderId="3" xfId="2" applyFont="1" applyFill="1" applyBorder="1" applyAlignment="1">
      <alignment horizontal="center" vertical="center" wrapText="1"/>
    </xf>
    <xf numFmtId="166" fontId="53" fillId="0" borderId="29" xfId="1" applyNumberFormat="1" applyFont="1" applyFill="1" applyBorder="1" applyAlignment="1">
      <alignment horizontal="center" vertical="center"/>
    </xf>
    <xf numFmtId="166" fontId="53" fillId="0" borderId="0" xfId="1" applyNumberFormat="1" applyFont="1" applyFill="1" applyBorder="1" applyAlignment="1">
      <alignment horizontal="center" vertical="center"/>
    </xf>
    <xf numFmtId="166" fontId="53" fillId="0" borderId="11" xfId="1" applyNumberFormat="1" applyFont="1" applyFill="1" applyBorder="1" applyAlignment="1">
      <alignment horizontal="center" vertical="center"/>
    </xf>
    <xf numFmtId="0" fontId="51" fillId="0" borderId="9" xfId="2" applyFont="1" applyFill="1" applyBorder="1" applyAlignment="1">
      <alignment horizontal="center" vertical="center" wrapText="1"/>
    </xf>
    <xf numFmtId="0" fontId="51" fillId="0" borderId="10" xfId="2" applyFont="1" applyFill="1" applyBorder="1" applyAlignment="1">
      <alignment horizontal="center" vertical="center" wrapText="1"/>
    </xf>
    <xf numFmtId="0" fontId="51" fillId="0" borderId="2" xfId="2" applyFont="1" applyFill="1" applyBorder="1" applyAlignment="1">
      <alignment horizontal="center" vertical="center" wrapText="1"/>
    </xf>
    <xf numFmtId="166" fontId="53" fillId="0" borderId="29" xfId="1" applyNumberFormat="1" applyFont="1" applyFill="1" applyBorder="1" applyAlignment="1">
      <alignment horizontal="center" vertical="center" wrapText="1"/>
    </xf>
    <xf numFmtId="166" fontId="53" fillId="0" borderId="0" xfId="1" applyNumberFormat="1" applyFont="1" applyFill="1" applyBorder="1" applyAlignment="1">
      <alignment horizontal="center" vertical="center" wrapText="1"/>
    </xf>
    <xf numFmtId="166" fontId="53" fillId="0" borderId="11" xfId="1" applyNumberFormat="1" applyFont="1" applyFill="1" applyBorder="1" applyAlignment="1">
      <alignment horizontal="center" vertical="center" wrapText="1"/>
    </xf>
    <xf numFmtId="0" fontId="53" fillId="0" borderId="29" xfId="0" applyFont="1" applyFill="1" applyBorder="1" applyAlignment="1">
      <alignment horizontal="center" vertical="center"/>
    </xf>
    <xf numFmtId="0" fontId="53" fillId="0" borderId="0" xfId="0" applyFont="1" applyFill="1" applyBorder="1" applyAlignment="1">
      <alignment horizontal="center" vertical="center"/>
    </xf>
    <xf numFmtId="0" fontId="53" fillId="0" borderId="11" xfId="0" applyFont="1" applyFill="1" applyBorder="1" applyAlignment="1">
      <alignment horizontal="center" vertical="center"/>
    </xf>
    <xf numFmtId="0" fontId="53" fillId="0" borderId="29" xfId="0" applyFont="1" applyFill="1" applyBorder="1" applyAlignment="1">
      <alignment horizontal="center" vertical="center" wrapText="1"/>
    </xf>
    <xf numFmtId="0" fontId="53" fillId="0" borderId="0" xfId="0" applyFont="1" applyFill="1" applyBorder="1" applyAlignment="1">
      <alignment horizontal="center" vertical="center" wrapText="1"/>
    </xf>
    <xf numFmtId="0" fontId="53" fillId="0" borderId="11" xfId="0" applyFont="1" applyFill="1" applyBorder="1" applyAlignment="1">
      <alignment horizontal="center" vertical="center" wrapText="1"/>
    </xf>
    <xf numFmtId="0" fontId="53" fillId="0" borderId="30" xfId="0" applyFont="1" applyFill="1" applyBorder="1" applyAlignment="1">
      <alignment horizontal="center" vertical="center" wrapText="1"/>
    </xf>
    <xf numFmtId="0" fontId="53" fillId="0" borderId="31" xfId="0" applyFont="1" applyFill="1" applyBorder="1" applyAlignment="1">
      <alignment horizontal="center" vertical="center" wrapText="1"/>
    </xf>
    <xf numFmtId="0" fontId="53" fillId="0" borderId="32" xfId="0" applyFont="1" applyFill="1" applyBorder="1" applyAlignment="1">
      <alignment horizontal="center" vertical="center" wrapText="1"/>
    </xf>
    <xf numFmtId="0" fontId="13" fillId="0" borderId="13" xfId="2" applyFont="1" applyFill="1" applyBorder="1" applyAlignment="1">
      <alignment horizontal="center" vertical="center" wrapText="1"/>
    </xf>
    <xf numFmtId="0" fontId="13" fillId="0" borderId="7" xfId="2" applyFont="1" applyFill="1" applyBorder="1" applyAlignment="1">
      <alignment horizontal="center" vertical="center" wrapText="1"/>
    </xf>
    <xf numFmtId="0" fontId="13" fillId="0" borderId="18" xfId="2" applyFont="1" applyFill="1" applyBorder="1" applyAlignment="1">
      <alignment horizontal="center" vertical="center" wrapText="1"/>
    </xf>
    <xf numFmtId="0" fontId="13" fillId="0" borderId="14" xfId="2" applyFont="1" applyFill="1" applyBorder="1" applyAlignment="1">
      <alignment horizontal="center" vertical="center"/>
    </xf>
    <xf numFmtId="0" fontId="13" fillId="0" borderId="16" xfId="2" applyFont="1" applyFill="1" applyBorder="1" applyAlignment="1">
      <alignment horizontal="center" vertical="center"/>
    </xf>
    <xf numFmtId="0" fontId="13" fillId="0" borderId="19" xfId="2" applyFont="1" applyFill="1" applyBorder="1" applyAlignment="1">
      <alignment horizontal="center" vertical="center"/>
    </xf>
    <xf numFmtId="0" fontId="13" fillId="0" borderId="12" xfId="4" applyFont="1" applyFill="1" applyBorder="1" applyAlignment="1">
      <alignment horizontal="center" vertical="center" wrapText="1"/>
    </xf>
    <xf numFmtId="0" fontId="13" fillId="0" borderId="15" xfId="4" applyFont="1" applyFill="1" applyBorder="1" applyAlignment="1">
      <alignment horizontal="center" vertical="center" wrapText="1"/>
    </xf>
    <xf numFmtId="0" fontId="13" fillId="0" borderId="17" xfId="4" applyFont="1" applyFill="1" applyBorder="1" applyAlignment="1">
      <alignment horizontal="center" vertical="center" wrapText="1"/>
    </xf>
    <xf numFmtId="0" fontId="2" fillId="0" borderId="0" xfId="2" applyFill="1" applyAlignment="1">
      <alignment horizontal="center"/>
    </xf>
    <xf numFmtId="0" fontId="13" fillId="0" borderId="7" xfId="2" applyFont="1" applyFill="1" applyBorder="1" applyAlignment="1">
      <alignment horizontal="center" vertical="center"/>
    </xf>
    <xf numFmtId="0" fontId="13" fillId="0" borderId="18" xfId="2" applyFont="1" applyFill="1" applyBorder="1" applyAlignment="1">
      <alignment horizontal="center" vertical="center"/>
    </xf>
    <xf numFmtId="166" fontId="13" fillId="0" borderId="13" xfId="1" applyNumberFormat="1" applyFont="1" applyFill="1" applyBorder="1" applyAlignment="1">
      <alignment horizontal="center" vertical="center" wrapText="1"/>
    </xf>
    <xf numFmtId="166" fontId="13" fillId="0" borderId="7" xfId="1" applyNumberFormat="1" applyFont="1" applyFill="1" applyBorder="1" applyAlignment="1">
      <alignment horizontal="center" vertical="center" wrapText="1"/>
    </xf>
    <xf numFmtId="166" fontId="13" fillId="0" borderId="18" xfId="1" applyNumberFormat="1" applyFont="1" applyFill="1" applyBorder="1" applyAlignment="1">
      <alignment horizontal="center" vertical="center" wrapText="1"/>
    </xf>
    <xf numFmtId="0" fontId="11" fillId="0" borderId="0" xfId="2" applyFont="1" applyFill="1" applyAlignment="1">
      <alignment horizontal="center" vertical="center" wrapText="1"/>
    </xf>
    <xf numFmtId="0" fontId="37" fillId="0" borderId="0" xfId="2" applyFont="1" applyFill="1" applyAlignment="1">
      <alignment horizontal="center"/>
    </xf>
    <xf numFmtId="0" fontId="39" fillId="0" borderId="0" xfId="2" applyFont="1" applyFill="1" applyAlignment="1">
      <alignment horizontal="center" vertical="center" wrapText="1"/>
    </xf>
    <xf numFmtId="0" fontId="40" fillId="0" borderId="12" xfId="4" applyFont="1" applyFill="1" applyBorder="1" applyAlignment="1">
      <alignment horizontal="center" vertical="center" wrapText="1"/>
    </xf>
    <xf numFmtId="0" fontId="40" fillId="0" borderId="15" xfId="4" applyFont="1" applyFill="1" applyBorder="1" applyAlignment="1">
      <alignment horizontal="center" vertical="center" wrapText="1"/>
    </xf>
    <xf numFmtId="0" fontId="40" fillId="0" borderId="17" xfId="4" applyFont="1" applyFill="1" applyBorder="1" applyAlignment="1">
      <alignment horizontal="center" vertical="center" wrapText="1"/>
    </xf>
    <xf numFmtId="0" fontId="40" fillId="0" borderId="13" xfId="2" applyFont="1" applyFill="1" applyBorder="1" applyAlignment="1">
      <alignment horizontal="center" vertical="center" wrapText="1"/>
    </xf>
    <xf numFmtId="0" fontId="40" fillId="0" borderId="7" xfId="2" applyFont="1" applyFill="1" applyBorder="1" applyAlignment="1">
      <alignment horizontal="center" vertical="center" wrapText="1"/>
    </xf>
    <xf numFmtId="0" fontId="40" fillId="0" borderId="18" xfId="2" applyFont="1" applyFill="1" applyBorder="1" applyAlignment="1">
      <alignment horizontal="center" vertical="center" wrapText="1"/>
    </xf>
    <xf numFmtId="166" fontId="40" fillId="0" borderId="38" xfId="1" applyNumberFormat="1" applyFont="1" applyFill="1" applyBorder="1" applyAlignment="1">
      <alignment horizontal="center" vertical="center" wrapText="1"/>
    </xf>
    <xf numFmtId="166" fontId="40" fillId="0" borderId="5" xfId="1" applyNumberFormat="1" applyFont="1" applyFill="1" applyBorder="1" applyAlignment="1">
      <alignment horizontal="center" vertical="center" wrapText="1"/>
    </xf>
    <xf numFmtId="166" fontId="40" fillId="0" borderId="28" xfId="1" applyNumberFormat="1" applyFont="1" applyFill="1" applyBorder="1" applyAlignment="1">
      <alignment horizontal="center" vertical="center" wrapText="1"/>
    </xf>
    <xf numFmtId="166" fontId="39" fillId="0" borderId="1" xfId="1" applyNumberFormat="1" applyFont="1" applyFill="1" applyBorder="1" applyAlignment="1">
      <alignment horizontal="center" vertical="center"/>
    </xf>
    <xf numFmtId="166" fontId="39" fillId="0" borderId="5" xfId="1" applyNumberFormat="1" applyFont="1" applyFill="1" applyBorder="1" applyAlignment="1">
      <alignment horizontal="center" vertical="center"/>
    </xf>
    <xf numFmtId="166" fontId="39" fillId="0" borderId="6" xfId="1" applyNumberFormat="1" applyFont="1" applyFill="1" applyBorder="1" applyAlignment="1">
      <alignment horizontal="center" vertical="center"/>
    </xf>
    <xf numFmtId="0" fontId="36" fillId="0" borderId="0" xfId="2" applyFont="1" applyFill="1" applyAlignment="1">
      <alignment horizontal="center"/>
    </xf>
    <xf numFmtId="0" fontId="39" fillId="0" borderId="1" xfId="0" applyFont="1" applyFill="1" applyBorder="1" applyAlignment="1">
      <alignment horizontal="center" vertical="center" wrapText="1"/>
    </xf>
    <xf numFmtId="0" fontId="39" fillId="0" borderId="5" xfId="0" applyFont="1" applyFill="1" applyBorder="1" applyAlignment="1">
      <alignment horizontal="center" vertical="center" wrapText="1"/>
    </xf>
    <xf numFmtId="0" fontId="39" fillId="0" borderId="6" xfId="0" applyFont="1" applyFill="1" applyBorder="1" applyAlignment="1">
      <alignment horizontal="center" vertical="center" wrapText="1"/>
    </xf>
    <xf numFmtId="166" fontId="35" fillId="0" borderId="7" xfId="1" applyNumberFormat="1" applyFont="1" applyFill="1" applyBorder="1" applyAlignment="1">
      <alignment horizontal="center" vertical="center" wrapText="1"/>
    </xf>
    <xf numFmtId="166" fontId="39" fillId="0" borderId="1" xfId="1" applyNumberFormat="1" applyFont="1" applyFill="1" applyBorder="1" applyAlignment="1">
      <alignment horizontal="center" vertical="center" wrapText="1"/>
    </xf>
    <xf numFmtId="166" fontId="39" fillId="0" borderId="5" xfId="1" applyNumberFormat="1" applyFont="1" applyFill="1" applyBorder="1" applyAlignment="1">
      <alignment horizontal="center" vertical="center" wrapText="1"/>
    </xf>
    <xf numFmtId="166" fontId="39" fillId="0" borderId="6" xfId="1" applyNumberFormat="1" applyFont="1" applyFill="1" applyBorder="1" applyAlignment="1">
      <alignment horizontal="center" vertical="center" wrapText="1"/>
    </xf>
    <xf numFmtId="0" fontId="39" fillId="0" borderId="1" xfId="0" applyFont="1" applyFill="1" applyBorder="1" applyAlignment="1">
      <alignment horizontal="center" vertical="center"/>
    </xf>
    <xf numFmtId="0" fontId="39" fillId="0" borderId="5" xfId="0" applyFont="1" applyFill="1" applyBorder="1" applyAlignment="1">
      <alignment horizontal="center" vertical="center"/>
    </xf>
    <xf numFmtId="0" fontId="39" fillId="0" borderId="6" xfId="0" applyFont="1" applyFill="1" applyBorder="1" applyAlignment="1">
      <alignment horizontal="center" vertical="center"/>
    </xf>
    <xf numFmtId="0" fontId="40" fillId="0" borderId="7" xfId="2" applyFont="1" applyFill="1" applyBorder="1" applyAlignment="1">
      <alignment horizontal="center" vertical="center"/>
    </xf>
    <xf numFmtId="0" fontId="40" fillId="0" borderId="18" xfId="2" applyFont="1" applyFill="1" applyBorder="1" applyAlignment="1">
      <alignment horizontal="center" vertical="center"/>
    </xf>
    <xf numFmtId="166" fontId="35" fillId="0" borderId="1" xfId="1" applyNumberFormat="1" applyFont="1" applyFill="1" applyBorder="1" applyAlignment="1">
      <alignment horizontal="center" vertical="center" wrapText="1"/>
    </xf>
    <xf numFmtId="166" fontId="35" fillId="0" borderId="6" xfId="1" applyNumberFormat="1" applyFont="1" applyFill="1" applyBorder="1" applyAlignment="1">
      <alignment horizontal="center" vertical="center" wrapText="1"/>
    </xf>
    <xf numFmtId="166" fontId="40" fillId="0" borderId="13" xfId="1" applyNumberFormat="1" applyFont="1" applyFill="1" applyBorder="1" applyAlignment="1">
      <alignment horizontal="center" vertical="center" wrapText="1"/>
    </xf>
    <xf numFmtId="166" fontId="40" fillId="0" borderId="7" xfId="1" applyNumberFormat="1" applyFont="1" applyFill="1" applyBorder="1" applyAlignment="1">
      <alignment horizontal="center" vertical="center" wrapText="1"/>
    </xf>
    <xf numFmtId="166" fontId="40" fillId="0" borderId="18" xfId="1" applyNumberFormat="1" applyFont="1" applyFill="1" applyBorder="1" applyAlignment="1">
      <alignment horizontal="center" vertical="center" wrapText="1"/>
    </xf>
    <xf numFmtId="0" fontId="40" fillId="0" borderId="14" xfId="2" applyFont="1" applyFill="1" applyBorder="1" applyAlignment="1">
      <alignment horizontal="center" vertical="center"/>
    </xf>
    <xf numFmtId="0" fontId="40" fillId="0" borderId="16" xfId="2" applyFont="1" applyFill="1" applyBorder="1" applyAlignment="1">
      <alignment horizontal="center" vertical="center"/>
    </xf>
    <xf numFmtId="0" fontId="40" fillId="0" borderId="19" xfId="2" applyFont="1" applyFill="1" applyBorder="1" applyAlignment="1">
      <alignment horizontal="center" vertical="center"/>
    </xf>
    <xf numFmtId="0" fontId="41" fillId="0" borderId="0" xfId="2" applyFont="1" applyFill="1" applyAlignment="1">
      <alignment horizontal="center"/>
    </xf>
    <xf numFmtId="0" fontId="43" fillId="0" borderId="0" xfId="2" applyFont="1" applyFill="1" applyAlignment="1">
      <alignment horizontal="center"/>
    </xf>
    <xf numFmtId="0" fontId="53" fillId="0" borderId="0" xfId="2" applyFont="1" applyFill="1" applyBorder="1" applyAlignment="1">
      <alignment horizontal="center" vertical="center" wrapText="1"/>
    </xf>
    <xf numFmtId="0" fontId="54" fillId="0" borderId="47" xfId="2" applyFont="1" applyFill="1" applyBorder="1" applyAlignment="1">
      <alignment horizontal="center" vertical="center"/>
    </xf>
    <xf numFmtId="0" fontId="54" fillId="0" borderId="51" xfId="2" applyFont="1" applyFill="1" applyBorder="1" applyAlignment="1">
      <alignment horizontal="center" vertical="center"/>
    </xf>
    <xf numFmtId="0" fontId="53" fillId="0" borderId="1" xfId="0" applyFont="1" applyFill="1" applyBorder="1" applyAlignment="1">
      <alignment horizontal="center" vertical="center"/>
    </xf>
    <xf numFmtId="0" fontId="53" fillId="0" borderId="6" xfId="0" applyFont="1" applyFill="1" applyBorder="1" applyAlignment="1">
      <alignment horizontal="center" vertical="center"/>
    </xf>
    <xf numFmtId="166" fontId="53" fillId="0" borderId="1" xfId="1" applyNumberFormat="1" applyFont="1" applyFill="1" applyBorder="1" applyAlignment="1">
      <alignment horizontal="center" vertical="center" wrapText="1"/>
    </xf>
    <xf numFmtId="166" fontId="53" fillId="0" borderId="6" xfId="1" applyNumberFormat="1" applyFont="1" applyFill="1" applyBorder="1" applyAlignment="1">
      <alignment horizontal="center" vertical="center" wrapText="1"/>
    </xf>
    <xf numFmtId="166" fontId="53" fillId="0" borderId="2" xfId="1" applyNumberFormat="1" applyFont="1" applyFill="1" applyBorder="1" applyAlignment="1">
      <alignment horizontal="center" vertical="center" wrapText="1"/>
    </xf>
    <xf numFmtId="166" fontId="53" fillId="0" borderId="4" xfId="1" applyNumberFormat="1" applyFont="1" applyFill="1" applyBorder="1" applyAlignment="1">
      <alignment horizontal="center" vertical="center" wrapText="1"/>
    </xf>
    <xf numFmtId="166" fontId="53" fillId="0" borderId="3" xfId="1" applyNumberFormat="1" applyFont="1" applyFill="1" applyBorder="1" applyAlignment="1">
      <alignment horizontal="center" vertical="center" wrapText="1"/>
    </xf>
    <xf numFmtId="0" fontId="53" fillId="0" borderId="1" xfId="0" applyFont="1" applyFill="1" applyBorder="1" applyAlignment="1">
      <alignment horizontal="center" vertical="center" wrapText="1"/>
    </xf>
    <xf numFmtId="0" fontId="53" fillId="0" borderId="6" xfId="0" applyFont="1" applyFill="1" applyBorder="1" applyAlignment="1">
      <alignment horizontal="center" vertical="center" wrapText="1"/>
    </xf>
    <xf numFmtId="166" fontId="53" fillId="0" borderId="1" xfId="1" applyNumberFormat="1" applyFont="1" applyFill="1" applyBorder="1" applyAlignment="1">
      <alignment horizontal="center" vertical="center"/>
    </xf>
    <xf numFmtId="166" fontId="53" fillId="0" borderId="6" xfId="1" applyNumberFormat="1" applyFont="1" applyFill="1" applyBorder="1" applyAlignment="1">
      <alignment horizontal="center" vertical="center"/>
    </xf>
    <xf numFmtId="0" fontId="27" fillId="0" borderId="2" xfId="14" applyFont="1" applyFill="1" applyBorder="1" applyAlignment="1">
      <alignment horizontal="center" vertical="top"/>
    </xf>
    <xf numFmtId="0" fontId="27" fillId="0" borderId="4" xfId="14" applyFont="1" applyFill="1" applyBorder="1" applyAlignment="1">
      <alignment horizontal="center" vertical="top"/>
    </xf>
    <xf numFmtId="0" fontId="27" fillId="0" borderId="3" xfId="14" applyFont="1" applyFill="1" applyBorder="1" applyAlignment="1">
      <alignment horizontal="center" vertical="top"/>
    </xf>
    <xf numFmtId="0" fontId="27" fillId="0" borderId="0" xfId="16" applyFont="1" applyFill="1" applyBorder="1" applyAlignment="1">
      <alignment horizontal="center" vertical="center" wrapText="1"/>
    </xf>
    <xf numFmtId="0" fontId="27" fillId="0" borderId="1" xfId="16" applyFont="1" applyFill="1" applyBorder="1" applyAlignment="1">
      <alignment horizontal="center" vertical="center" wrapText="1"/>
    </xf>
    <xf numFmtId="0" fontId="27" fillId="0" borderId="6" xfId="16" applyFont="1" applyFill="1" applyBorder="1" applyAlignment="1">
      <alignment horizontal="center" vertical="center" wrapText="1"/>
    </xf>
    <xf numFmtId="0" fontId="27" fillId="0" borderId="30" xfId="14" applyFont="1" applyFill="1" applyBorder="1" applyAlignment="1">
      <alignment horizontal="center" vertical="center" wrapText="1"/>
    </xf>
    <xf numFmtId="0" fontId="27" fillId="0" borderId="32" xfId="14" applyFont="1" applyFill="1" applyBorder="1" applyAlignment="1">
      <alignment horizontal="center" vertical="center" wrapText="1"/>
    </xf>
    <xf numFmtId="0" fontId="27" fillId="0" borderId="1" xfId="14" applyFont="1" applyFill="1" applyBorder="1" applyAlignment="1">
      <alignment horizontal="center" vertical="center" wrapText="1"/>
    </xf>
    <xf numFmtId="0" fontId="27" fillId="0" borderId="6" xfId="14" applyFont="1" applyFill="1" applyBorder="1" applyAlignment="1">
      <alignment horizontal="center" vertical="center" wrapText="1"/>
    </xf>
    <xf numFmtId="166" fontId="27" fillId="0" borderId="30" xfId="1" applyNumberFormat="1" applyFont="1" applyFill="1" applyBorder="1" applyAlignment="1">
      <alignment horizontal="center" vertical="center" wrapText="1"/>
    </xf>
    <xf numFmtId="166" fontId="27" fillId="0" borderId="32" xfId="1" applyNumberFormat="1" applyFont="1" applyFill="1" applyBorder="1" applyAlignment="1">
      <alignment horizontal="center" vertical="center" wrapText="1"/>
    </xf>
    <xf numFmtId="0" fontId="27" fillId="0" borderId="7" xfId="14" applyFont="1" applyFill="1" applyBorder="1" applyAlignment="1">
      <alignment horizontal="center" vertical="center" wrapText="1"/>
    </xf>
    <xf numFmtId="166" fontId="27" fillId="0" borderId="7" xfId="1" applyNumberFormat="1" applyFont="1" applyFill="1" applyBorder="1" applyAlignment="1">
      <alignment horizontal="center" vertical="center" wrapText="1"/>
    </xf>
    <xf numFmtId="0" fontId="27" fillId="0" borderId="5" xfId="14" applyFont="1" applyFill="1" applyBorder="1" applyAlignment="1">
      <alignment horizontal="center" vertical="center" wrapText="1"/>
    </xf>
    <xf numFmtId="0" fontId="27" fillId="0" borderId="7" xfId="14" applyNumberFormat="1" applyFont="1" applyFill="1" applyBorder="1" applyAlignment="1">
      <alignment horizontal="center" vertical="center" wrapText="1"/>
    </xf>
    <xf numFmtId="0" fontId="27" fillId="0" borderId="2" xfId="16" applyFont="1" applyFill="1" applyBorder="1" applyAlignment="1">
      <alignment horizontal="center" vertical="center" wrapText="1"/>
    </xf>
    <xf numFmtId="0" fontId="27" fillId="0" borderId="3" xfId="16" applyFont="1" applyFill="1" applyBorder="1" applyAlignment="1">
      <alignment horizontal="center" vertical="center" wrapText="1"/>
    </xf>
    <xf numFmtId="0" fontId="27" fillId="0" borderId="4" xfId="16" applyFont="1" applyFill="1" applyBorder="1" applyAlignment="1">
      <alignment horizontal="center" vertical="center" wrapText="1"/>
    </xf>
    <xf numFmtId="0" fontId="27" fillId="0" borderId="7" xfId="16" applyFont="1" applyFill="1" applyBorder="1" applyAlignment="1">
      <alignment horizontal="center" vertical="center" wrapText="1"/>
    </xf>
    <xf numFmtId="0" fontId="27" fillId="0" borderId="5" xfId="16" applyFont="1" applyFill="1" applyBorder="1" applyAlignment="1">
      <alignment horizontal="center" vertical="center" wrapText="1"/>
    </xf>
    <xf numFmtId="0" fontId="27" fillId="0" borderId="30" xfId="14" applyFont="1" applyFill="1" applyBorder="1" applyAlignment="1">
      <alignment horizontal="center" vertical="top"/>
    </xf>
    <xf numFmtId="0" fontId="27" fillId="0" borderId="29" xfId="14" applyFont="1" applyFill="1" applyBorder="1" applyAlignment="1">
      <alignment horizontal="center" vertical="top"/>
    </xf>
    <xf numFmtId="0" fontId="3" fillId="0" borderId="0" xfId="2" applyFont="1" applyFill="1" applyAlignment="1"/>
    <xf numFmtId="0" fontId="11" fillId="0" borderId="0" xfId="2" applyFont="1" applyFill="1" applyBorder="1" applyAlignment="1">
      <alignment horizontal="center"/>
    </xf>
    <xf numFmtId="0" fontId="13" fillId="0" borderId="5" xfId="2" applyFont="1" applyFill="1" applyBorder="1" applyAlignment="1">
      <alignment horizontal="center" vertical="center" wrapText="1"/>
    </xf>
    <xf numFmtId="0" fontId="13" fillId="0" borderId="28" xfId="2" applyFont="1" applyFill="1" applyBorder="1" applyAlignment="1">
      <alignment horizontal="center" vertical="center" wrapText="1"/>
    </xf>
    <xf numFmtId="166" fontId="11" fillId="0" borderId="1" xfId="1" applyNumberFormat="1" applyFont="1" applyFill="1" applyBorder="1" applyAlignment="1">
      <alignment horizontal="center" vertical="center" wrapText="1"/>
    </xf>
    <xf numFmtId="166" fontId="11" fillId="0" borderId="5" xfId="1" applyNumberFormat="1" applyFont="1" applyFill="1" applyBorder="1" applyAlignment="1">
      <alignment horizontal="center" vertical="center" wrapText="1"/>
    </xf>
    <xf numFmtId="166" fontId="11" fillId="0" borderId="6" xfId="1"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1" xfId="0" applyFont="1" applyFill="1" applyBorder="1" applyAlignment="1">
      <alignment horizontal="center" vertical="center"/>
    </xf>
    <xf numFmtId="0" fontId="11" fillId="0" borderId="5" xfId="0" applyFont="1" applyFill="1" applyBorder="1" applyAlignment="1">
      <alignment horizontal="center" vertical="center"/>
    </xf>
    <xf numFmtId="0" fontId="11" fillId="0" borderId="6" xfId="0" applyFont="1" applyFill="1" applyBorder="1" applyAlignment="1">
      <alignment horizontal="center" vertical="center"/>
    </xf>
    <xf numFmtId="166" fontId="11" fillId="0" borderId="1" xfId="1" applyNumberFormat="1" applyFont="1" applyFill="1" applyBorder="1" applyAlignment="1">
      <alignment horizontal="center" vertical="center"/>
    </xf>
    <xf numFmtId="166" fontId="11" fillId="0" borderId="5" xfId="1" applyNumberFormat="1" applyFont="1" applyFill="1" applyBorder="1" applyAlignment="1">
      <alignment horizontal="center" vertical="center"/>
    </xf>
    <xf numFmtId="166" fontId="11" fillId="0" borderId="6" xfId="1" applyNumberFormat="1" applyFont="1" applyFill="1" applyBorder="1" applyAlignment="1">
      <alignment horizontal="center" vertical="center"/>
    </xf>
    <xf numFmtId="1" fontId="13" fillId="0" borderId="7" xfId="2" applyNumberFormat="1" applyFont="1" applyFill="1" applyBorder="1" applyAlignment="1">
      <alignment horizontal="center" vertical="center"/>
    </xf>
    <xf numFmtId="1" fontId="13" fillId="0" borderId="18" xfId="2" applyNumberFormat="1" applyFont="1" applyFill="1" applyBorder="1" applyAlignment="1">
      <alignment horizontal="center" vertical="center"/>
    </xf>
    <xf numFmtId="0" fontId="13" fillId="0" borderId="34" xfId="2" applyFont="1" applyFill="1" applyBorder="1" applyAlignment="1">
      <alignment horizontal="center" vertical="center" wrapText="1"/>
    </xf>
    <xf numFmtId="0" fontId="13" fillId="0" borderId="35" xfId="2" applyFont="1" applyFill="1" applyBorder="1" applyAlignment="1">
      <alignment horizontal="center" vertical="center" wrapText="1"/>
    </xf>
    <xf numFmtId="0" fontId="13" fillId="0" borderId="38" xfId="2" applyFont="1" applyFill="1" applyBorder="1" applyAlignment="1">
      <alignment horizontal="center" vertical="center" wrapText="1"/>
    </xf>
    <xf numFmtId="166" fontId="3" fillId="0" borderId="0" xfId="1" applyNumberFormat="1" applyFont="1" applyFill="1" applyAlignment="1">
      <alignment horizontal="center"/>
    </xf>
    <xf numFmtId="0" fontId="11" fillId="0" borderId="0" xfId="2" applyFont="1" applyFill="1" applyBorder="1" applyAlignment="1">
      <alignment horizontal="left"/>
    </xf>
    <xf numFmtId="41" fontId="13" fillId="0" borderId="13" xfId="1" applyFont="1" applyFill="1" applyBorder="1" applyAlignment="1">
      <alignment horizontal="center" vertical="center" wrapText="1"/>
    </xf>
    <xf numFmtId="41" fontId="13" fillId="0" borderId="7" xfId="1" applyFont="1" applyFill="1" applyBorder="1" applyAlignment="1">
      <alignment horizontal="center" vertical="center" wrapText="1"/>
    </xf>
    <xf numFmtId="41" fontId="13" fillId="0" borderId="18" xfId="1" applyFont="1" applyFill="1" applyBorder="1" applyAlignment="1">
      <alignment horizontal="center" vertical="center" wrapText="1"/>
    </xf>
    <xf numFmtId="166" fontId="6" fillId="0" borderId="0" xfId="1" applyNumberFormat="1" applyFont="1" applyFill="1" applyAlignment="1">
      <alignment horizontal="center"/>
    </xf>
    <xf numFmtId="166" fontId="15" fillId="0" borderId="0" xfId="1" applyNumberFormat="1" applyFont="1" applyFill="1" applyAlignment="1">
      <alignment horizontal="center"/>
    </xf>
    <xf numFmtId="0" fontId="41" fillId="0" borderId="0" xfId="2" applyFont="1" applyFill="1" applyAlignment="1">
      <alignment horizontal="center" vertical="center"/>
    </xf>
    <xf numFmtId="0" fontId="36" fillId="0" borderId="0" xfId="2" applyFont="1" applyFill="1" applyAlignment="1">
      <alignment horizontal="center" vertical="center"/>
    </xf>
    <xf numFmtId="0" fontId="43" fillId="0" borderId="0" xfId="2" applyFont="1" applyFill="1" applyAlignment="1">
      <alignment horizontal="center" vertical="center"/>
    </xf>
    <xf numFmtId="0" fontId="40" fillId="0" borderId="5" xfId="2" applyFont="1" applyFill="1" applyBorder="1" applyAlignment="1">
      <alignment horizontal="center" vertical="center" wrapText="1"/>
    </xf>
    <xf numFmtId="0" fontId="40" fillId="0" borderId="28" xfId="2" applyFont="1" applyFill="1" applyBorder="1" applyAlignment="1">
      <alignment horizontal="center" vertical="center" wrapText="1"/>
    </xf>
    <xf numFmtId="1" fontId="40" fillId="0" borderId="7" xfId="2" applyNumberFormat="1" applyFont="1" applyFill="1" applyBorder="1" applyAlignment="1">
      <alignment horizontal="center" vertical="center"/>
    </xf>
    <xf numFmtId="1" fontId="40" fillId="0" borderId="18" xfId="2" applyNumberFormat="1" applyFont="1" applyFill="1" applyBorder="1" applyAlignment="1">
      <alignment horizontal="center" vertical="center"/>
    </xf>
    <xf numFmtId="0" fontId="37" fillId="0" borderId="0" xfId="2" applyFont="1" applyFill="1" applyAlignment="1">
      <alignment horizontal="center" vertical="center"/>
    </xf>
    <xf numFmtId="0" fontId="37" fillId="0" borderId="0" xfId="2" applyFont="1" applyFill="1" applyAlignment="1">
      <alignment vertical="center"/>
    </xf>
    <xf numFmtId="0" fontId="39" fillId="0" borderId="0" xfId="2" applyFont="1" applyFill="1" applyBorder="1" applyAlignment="1">
      <alignment horizontal="left" vertical="center"/>
    </xf>
    <xf numFmtId="0" fontId="40" fillId="0" borderId="41" xfId="2" applyFont="1" applyFill="1" applyBorder="1" applyAlignment="1">
      <alignment horizontal="center" vertical="center" wrapText="1"/>
    </xf>
    <xf numFmtId="0" fontId="40" fillId="0" borderId="42" xfId="2" applyFont="1" applyFill="1" applyBorder="1" applyAlignment="1">
      <alignment horizontal="center" vertical="center" wrapText="1"/>
    </xf>
    <xf numFmtId="0" fontId="40" fillId="0" borderId="31" xfId="2" applyFont="1" applyFill="1" applyBorder="1" applyAlignment="1">
      <alignment horizontal="center" vertical="center" wrapText="1"/>
    </xf>
    <xf numFmtId="0" fontId="40" fillId="0" borderId="39" xfId="2" applyFont="1" applyFill="1" applyBorder="1" applyAlignment="1">
      <alignment horizontal="center" vertical="center" wrapText="1"/>
    </xf>
    <xf numFmtId="0" fontId="40" fillId="0" borderId="43" xfId="2" applyFont="1" applyFill="1" applyBorder="1" applyAlignment="1">
      <alignment horizontal="center" vertical="center" wrapText="1"/>
    </xf>
    <xf numFmtId="0" fontId="40" fillId="0" borderId="44" xfId="2" applyFont="1" applyFill="1" applyBorder="1" applyAlignment="1">
      <alignment horizontal="center" vertical="center" wrapText="1"/>
    </xf>
    <xf numFmtId="0" fontId="40" fillId="0" borderId="34" xfId="2" applyFont="1" applyFill="1" applyBorder="1" applyAlignment="1">
      <alignment horizontal="center" vertical="center" wrapText="1"/>
    </xf>
    <xf numFmtId="0" fontId="40" fillId="0" borderId="35" xfId="2" applyFont="1" applyFill="1" applyBorder="1" applyAlignment="1">
      <alignment horizontal="center" vertical="center" wrapText="1"/>
    </xf>
    <xf numFmtId="0" fontId="40" fillId="0" borderId="38" xfId="2" applyFont="1" applyFill="1" applyBorder="1" applyAlignment="1">
      <alignment horizontal="center" vertical="center" wrapText="1"/>
    </xf>
    <xf numFmtId="41" fontId="40" fillId="0" borderId="13" xfId="1" applyFont="1" applyFill="1" applyBorder="1" applyAlignment="1">
      <alignment horizontal="center" vertical="center" wrapText="1"/>
    </xf>
    <xf numFmtId="41" fontId="40" fillId="0" borderId="7" xfId="1" applyFont="1" applyFill="1" applyBorder="1" applyAlignment="1">
      <alignment horizontal="center" vertical="center" wrapText="1"/>
    </xf>
    <xf numFmtId="41" fontId="40" fillId="0" borderId="18" xfId="1" applyFont="1" applyFill="1" applyBorder="1" applyAlignment="1">
      <alignment horizontal="center" vertical="center" wrapText="1"/>
    </xf>
    <xf numFmtId="0" fontId="49" fillId="0" borderId="0" xfId="2" applyFont="1" applyFill="1" applyAlignment="1">
      <alignment vertical="center"/>
    </xf>
    <xf numFmtId="41" fontId="49" fillId="0" borderId="0" xfId="1" applyFont="1" applyFill="1" applyAlignment="1">
      <alignment horizontal="left" vertical="center"/>
    </xf>
    <xf numFmtId="166" fontId="53" fillId="0" borderId="30" xfId="1" applyNumberFormat="1" applyFont="1" applyFill="1" applyBorder="1" applyAlignment="1">
      <alignment horizontal="center" vertical="center" wrapText="1"/>
    </xf>
    <xf numFmtId="166" fontId="53" fillId="0" borderId="9" xfId="1" applyNumberFormat="1" applyFont="1" applyFill="1" applyBorder="1" applyAlignment="1">
      <alignment horizontal="center" vertical="center" wrapText="1"/>
    </xf>
    <xf numFmtId="0" fontId="53" fillId="0" borderId="0" xfId="2" applyFont="1" applyFill="1" applyAlignment="1">
      <alignment horizontal="center" vertical="center" wrapText="1"/>
    </xf>
    <xf numFmtId="0" fontId="53" fillId="0" borderId="5" xfId="0" applyFont="1" applyFill="1" applyBorder="1" applyAlignment="1">
      <alignment horizontal="center" vertical="center"/>
    </xf>
    <xf numFmtId="0" fontId="53" fillId="0" borderId="5" xfId="0" applyFont="1" applyFill="1" applyBorder="1" applyAlignment="1">
      <alignment horizontal="center" vertical="center" wrapText="1"/>
    </xf>
    <xf numFmtId="166" fontId="53" fillId="0" borderId="5" xfId="1" applyNumberFormat="1" applyFont="1" applyFill="1" applyBorder="1" applyAlignment="1">
      <alignment horizontal="center" vertical="center" wrapText="1"/>
    </xf>
    <xf numFmtId="166" fontId="27" fillId="0" borderId="1" xfId="1" applyNumberFormat="1" applyFont="1" applyFill="1" applyBorder="1" applyAlignment="1">
      <alignment horizontal="center" vertical="center" wrapText="1"/>
    </xf>
    <xf numFmtId="166" fontId="27" fillId="0" borderId="6" xfId="1" applyNumberFormat="1" applyFont="1" applyFill="1" applyBorder="1" applyAlignment="1">
      <alignment horizontal="center" vertical="center" wrapText="1"/>
    </xf>
    <xf numFmtId="0" fontId="27" fillId="0" borderId="2" xfId="14" applyFont="1" applyFill="1" applyBorder="1" applyAlignment="1">
      <alignment horizontal="center" vertical="center"/>
    </xf>
    <xf numFmtId="0" fontId="27" fillId="0" borderId="4" xfId="14" applyFont="1" applyFill="1" applyBorder="1" applyAlignment="1">
      <alignment horizontal="center" vertical="center"/>
    </xf>
    <xf numFmtId="0" fontId="27" fillId="0" borderId="3" xfId="14" applyFont="1" applyFill="1" applyBorder="1" applyAlignment="1">
      <alignment horizontal="center" vertical="center"/>
    </xf>
    <xf numFmtId="166" fontId="27" fillId="7" borderId="7" xfId="1" applyNumberFormat="1" applyFont="1" applyFill="1" applyBorder="1" applyAlignment="1">
      <alignment horizontal="center" vertical="center" wrapText="1"/>
    </xf>
    <xf numFmtId="0" fontId="53" fillId="0" borderId="0" xfId="2" applyFont="1" applyAlignment="1">
      <alignment horizontal="center" vertical="center"/>
    </xf>
    <xf numFmtId="0" fontId="52" fillId="0" borderId="0" xfId="2" applyFont="1" applyAlignment="1">
      <alignment horizontal="center" vertical="center"/>
    </xf>
    <xf numFmtId="0" fontId="49" fillId="0" borderId="0" xfId="2" applyFont="1" applyFill="1" applyAlignment="1">
      <alignment horizontal="center"/>
    </xf>
    <xf numFmtId="0" fontId="53" fillId="0" borderId="0" xfId="2" applyFont="1" applyFill="1" applyAlignment="1">
      <alignment horizontal="center"/>
    </xf>
    <xf numFmtId="0" fontId="53" fillId="0" borderId="45" xfId="4" applyFont="1" applyFill="1" applyBorder="1" applyAlignment="1">
      <alignment horizontal="center" vertical="center" wrapText="1"/>
    </xf>
    <xf numFmtId="0" fontId="53" fillId="0" borderId="48" xfId="4" applyFont="1" applyFill="1" applyBorder="1" applyAlignment="1">
      <alignment horizontal="center" vertical="center" wrapText="1"/>
    </xf>
    <xf numFmtId="0" fontId="53" fillId="0" borderId="50" xfId="4" applyFont="1" applyFill="1" applyBorder="1" applyAlignment="1">
      <alignment horizontal="center" vertical="center" wrapText="1"/>
    </xf>
    <xf numFmtId="0" fontId="53" fillId="0" borderId="46" xfId="2" applyFont="1" applyFill="1" applyBorder="1" applyAlignment="1">
      <alignment horizontal="center" vertical="center" wrapText="1"/>
    </xf>
    <xf numFmtId="0" fontId="53" fillId="0" borderId="7" xfId="2" applyFont="1" applyFill="1" applyBorder="1" applyAlignment="1">
      <alignment horizontal="center" vertical="center" wrapText="1"/>
    </xf>
    <xf numFmtId="0" fontId="53" fillId="0" borderId="23" xfId="2" applyFont="1" applyFill="1" applyBorder="1" applyAlignment="1">
      <alignment horizontal="center" vertical="center" wrapText="1"/>
    </xf>
    <xf numFmtId="0" fontId="53" fillId="0" borderId="46" xfId="4" applyFont="1" applyFill="1" applyBorder="1" applyAlignment="1">
      <alignment horizontal="center" vertical="center" wrapText="1"/>
    </xf>
    <xf numFmtId="0" fontId="53" fillId="0" borderId="7" xfId="4" applyFont="1" applyFill="1" applyBorder="1" applyAlignment="1">
      <alignment horizontal="center" vertical="center" wrapText="1"/>
    </xf>
    <xf numFmtId="0" fontId="53" fillId="0" borderId="23" xfId="4" applyFont="1" applyFill="1" applyBorder="1" applyAlignment="1">
      <alignment horizontal="center" vertical="center" wrapText="1"/>
    </xf>
    <xf numFmtId="0" fontId="53" fillId="0" borderId="47" xfId="2" applyFont="1" applyFill="1" applyBorder="1" applyAlignment="1">
      <alignment horizontal="center" vertical="center"/>
    </xf>
    <xf numFmtId="0" fontId="53" fillId="0" borderId="49" xfId="2" applyFont="1" applyFill="1" applyBorder="1" applyAlignment="1">
      <alignment horizontal="center" vertical="center"/>
    </xf>
    <xf numFmtId="0" fontId="53" fillId="0" borderId="51" xfId="2" applyFont="1" applyFill="1" applyBorder="1" applyAlignment="1">
      <alignment horizontal="center" vertical="center"/>
    </xf>
    <xf numFmtId="0" fontId="53" fillId="0" borderId="7" xfId="2" applyFont="1" applyFill="1" applyBorder="1" applyAlignment="1">
      <alignment horizontal="center" vertical="center"/>
    </xf>
    <xf numFmtId="0" fontId="53" fillId="0" borderId="23" xfId="2" applyFont="1" applyFill="1" applyBorder="1" applyAlignment="1">
      <alignment horizontal="center" vertical="center"/>
    </xf>
    <xf numFmtId="0" fontId="2" fillId="0" borderId="0" xfId="2" applyAlignment="1">
      <alignment horizontal="center"/>
    </xf>
    <xf numFmtId="0" fontId="10" fillId="0" borderId="0" xfId="2" applyFont="1" applyFill="1" applyAlignment="1">
      <alignment horizontal="center"/>
    </xf>
    <xf numFmtId="0" fontId="0" fillId="0" borderId="0" xfId="2" applyFont="1" applyFill="1" applyAlignment="1">
      <alignment horizontal="center"/>
    </xf>
    <xf numFmtId="0" fontId="18" fillId="0" borderId="13" xfId="2" applyFont="1" applyFill="1" applyBorder="1" applyAlignment="1">
      <alignment horizontal="center" vertical="center" wrapText="1"/>
    </xf>
    <xf numFmtId="0" fontId="18" fillId="0" borderId="7" xfId="2" applyFont="1" applyFill="1" applyBorder="1" applyAlignment="1">
      <alignment horizontal="center" vertical="center" wrapText="1"/>
    </xf>
    <xf numFmtId="0" fontId="18" fillId="0" borderId="7" xfId="2" applyFont="1" applyFill="1" applyBorder="1" applyAlignment="1">
      <alignment horizontal="center" vertical="center"/>
    </xf>
    <xf numFmtId="0" fontId="4" fillId="0" borderId="13" xfId="4" applyFont="1" applyFill="1" applyBorder="1" applyAlignment="1">
      <alignment horizontal="center" vertical="center" wrapText="1"/>
    </xf>
    <xf numFmtId="0" fontId="4" fillId="0" borderId="7" xfId="4" applyFont="1" applyFill="1" applyBorder="1" applyAlignment="1">
      <alignment horizontal="center" vertical="center" wrapText="1"/>
    </xf>
    <xf numFmtId="0" fontId="4" fillId="0" borderId="13" xfId="0" applyFont="1" applyBorder="1" applyAlignment="1">
      <alignment horizontal="center" vertical="center"/>
    </xf>
    <xf numFmtId="0" fontId="53" fillId="0" borderId="46" xfId="0" applyFont="1" applyBorder="1" applyAlignment="1">
      <alignment horizontal="center" vertical="center"/>
    </xf>
    <xf numFmtId="0" fontId="36" fillId="0" borderId="0" xfId="2" applyFont="1" applyAlignment="1">
      <alignment horizontal="center"/>
    </xf>
    <xf numFmtId="0" fontId="22" fillId="0" borderId="0" xfId="11" applyFont="1" applyFill="1" applyAlignment="1">
      <alignment horizontal="center"/>
    </xf>
    <xf numFmtId="0" fontId="40" fillId="0" borderId="13" xfId="2" applyFont="1" applyFill="1" applyBorder="1" applyAlignment="1">
      <alignment vertical="center" wrapText="1"/>
    </xf>
    <xf numFmtId="0" fontId="40" fillId="0" borderId="7" xfId="2" applyFont="1" applyFill="1" applyBorder="1" applyAlignment="1">
      <alignment vertical="center" wrapText="1"/>
    </xf>
    <xf numFmtId="0" fontId="40" fillId="0" borderId="18" xfId="2" applyFont="1" applyFill="1" applyBorder="1" applyAlignment="1">
      <alignment vertical="center" wrapText="1"/>
    </xf>
  </cellXfs>
  <cellStyles count="23">
    <cellStyle name="Comma [0]" xfId="1" builtinId="6"/>
    <cellStyle name="Comma [0] 2" xfId="6" xr:uid="{00000000-0005-0000-0000-000001000000}"/>
    <cellStyle name="Comma [0] 2 2" xfId="7" xr:uid="{00000000-0005-0000-0000-000002000000}"/>
    <cellStyle name="Comma [0] 2 2 6" xfId="17" xr:uid="{00000000-0005-0000-0000-000003000000}"/>
    <cellStyle name="Comma [0] 3" xfId="22" xr:uid="{00000000-0005-0000-0000-000004000000}"/>
    <cellStyle name="Comma 2" xfId="3" xr:uid="{00000000-0005-0000-0000-000005000000}"/>
    <cellStyle name="Comma 2 9" xfId="15" xr:uid="{00000000-0005-0000-0000-000006000000}"/>
    <cellStyle name="Comma 3" xfId="12" xr:uid="{00000000-0005-0000-0000-000007000000}"/>
    <cellStyle name="Comma 5 6" xfId="10" xr:uid="{00000000-0005-0000-0000-000008000000}"/>
    <cellStyle name="Good 2" xfId="5" xr:uid="{00000000-0005-0000-0000-000009000000}"/>
    <cellStyle name="Normal" xfId="0" builtinId="0"/>
    <cellStyle name="Normal 12 2" xfId="19" xr:uid="{00000000-0005-0000-0000-00000B000000}"/>
    <cellStyle name="Normal 2" xfId="2" xr:uid="{00000000-0005-0000-0000-00000C000000}"/>
    <cellStyle name="Normal 2 2 17" xfId="16" xr:uid="{00000000-0005-0000-0000-00000D000000}"/>
    <cellStyle name="Normal 2 3 3" xfId="14" xr:uid="{00000000-0005-0000-0000-00000E000000}"/>
    <cellStyle name="Normal 3" xfId="11" xr:uid="{00000000-0005-0000-0000-00000F000000}"/>
    <cellStyle name="Normal 3 10" xfId="18" xr:uid="{00000000-0005-0000-0000-000010000000}"/>
    <cellStyle name="Normal 4" xfId="4" xr:uid="{00000000-0005-0000-0000-000011000000}"/>
    <cellStyle name="Normal 41" xfId="13" xr:uid="{00000000-0005-0000-0000-000012000000}"/>
    <cellStyle name="Normal 5 11" xfId="9" xr:uid="{00000000-0005-0000-0000-000013000000}"/>
    <cellStyle name="Normal 5 8" xfId="8" xr:uid="{00000000-0005-0000-0000-000014000000}"/>
    <cellStyle name="Percent" xfId="21" builtinId="5"/>
    <cellStyle name="Percent 8" xfId="20" xr:uid="{00000000-0005-0000-0000-000016000000}"/>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externalLink" Target="externalLinks/externalLink1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externalLink" Target="externalLinks/externalLink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154778</xdr:colOff>
      <xdr:row>1</xdr:row>
      <xdr:rowOff>166688</xdr:rowOff>
    </xdr:from>
    <xdr:to>
      <xdr:col>2</xdr:col>
      <xdr:colOff>530896</xdr:colOff>
      <xdr:row>3</xdr:row>
      <xdr:rowOff>234963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64378" y="357188"/>
          <a:ext cx="804743" cy="592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154778</xdr:colOff>
      <xdr:row>1</xdr:row>
      <xdr:rowOff>166688</xdr:rowOff>
    </xdr:from>
    <xdr:to>
      <xdr:col>2</xdr:col>
      <xdr:colOff>530896</xdr:colOff>
      <xdr:row>3</xdr:row>
      <xdr:rowOff>234963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64378" y="357188"/>
          <a:ext cx="804743" cy="592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276488</xdr:colOff>
      <xdr:row>1</xdr:row>
      <xdr:rowOff>347397</xdr:rowOff>
    </xdr:from>
    <xdr:to>
      <xdr:col>1</xdr:col>
      <xdr:colOff>1039018</xdr:colOff>
      <xdr:row>3</xdr:row>
      <xdr:rowOff>120648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919955" y="533664"/>
          <a:ext cx="762530" cy="7553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590208</xdr:colOff>
      <xdr:row>2</xdr:row>
      <xdr:rowOff>280079</xdr:rowOff>
    </xdr:from>
    <xdr:to>
      <xdr:col>2</xdr:col>
      <xdr:colOff>1428751</xdr:colOff>
      <xdr:row>4</xdr:row>
      <xdr:rowOff>31749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188922" y="642936"/>
          <a:ext cx="838543" cy="8039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133348</xdr:colOff>
      <xdr:row>1</xdr:row>
      <xdr:rowOff>38107</xdr:rowOff>
    </xdr:from>
    <xdr:ext cx="742951" cy="752467"/>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42948" y="228607"/>
          <a:ext cx="742951" cy="752467"/>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133348</xdr:colOff>
      <xdr:row>1</xdr:row>
      <xdr:rowOff>38107</xdr:rowOff>
    </xdr:from>
    <xdr:ext cx="742951" cy="752467"/>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742948" y="228607"/>
          <a:ext cx="742951" cy="752467"/>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133348</xdr:colOff>
      <xdr:row>1</xdr:row>
      <xdr:rowOff>38107</xdr:rowOff>
    </xdr:from>
    <xdr:ext cx="742951" cy="752467"/>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028948" y="228607"/>
          <a:ext cx="742951" cy="75246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133348</xdr:colOff>
      <xdr:row>1</xdr:row>
      <xdr:rowOff>38107</xdr:rowOff>
    </xdr:from>
    <xdr:ext cx="742951" cy="752467"/>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057398" y="219082"/>
          <a:ext cx="742951" cy="75246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3</xdr:col>
      <xdr:colOff>133348</xdr:colOff>
      <xdr:row>1</xdr:row>
      <xdr:rowOff>38107</xdr:rowOff>
    </xdr:from>
    <xdr:ext cx="742951" cy="752467"/>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057398" y="219082"/>
          <a:ext cx="742951" cy="752467"/>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2</xdr:col>
      <xdr:colOff>371473</xdr:colOff>
      <xdr:row>1</xdr:row>
      <xdr:rowOff>196857</xdr:rowOff>
    </xdr:from>
    <xdr:ext cx="742951" cy="816341"/>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371473" y="371482"/>
          <a:ext cx="742951" cy="816341"/>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6</xdr:col>
      <xdr:colOff>23812</xdr:colOff>
      <xdr:row>1</xdr:row>
      <xdr:rowOff>35725</xdr:rowOff>
    </xdr:from>
    <xdr:to>
      <xdr:col>7</xdr:col>
      <xdr:colOff>333375</xdr:colOff>
      <xdr:row>3</xdr:row>
      <xdr:rowOff>123825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33412" y="226225"/>
          <a:ext cx="823912" cy="7548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23812</xdr:colOff>
      <xdr:row>1</xdr:row>
      <xdr:rowOff>35725</xdr:rowOff>
    </xdr:from>
    <xdr:to>
      <xdr:col>6</xdr:col>
      <xdr:colOff>333375</xdr:colOff>
      <xdr:row>3</xdr:row>
      <xdr:rowOff>123825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2462212" y="226225"/>
          <a:ext cx="823913" cy="7548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23812</xdr:colOff>
      <xdr:row>1</xdr:row>
      <xdr:rowOff>35725</xdr:rowOff>
    </xdr:from>
    <xdr:to>
      <xdr:col>6</xdr:col>
      <xdr:colOff>333375</xdr:colOff>
      <xdr:row>3</xdr:row>
      <xdr:rowOff>123824</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900362" y="216700"/>
          <a:ext cx="823913" cy="73579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551975</xdr:colOff>
      <xdr:row>1</xdr:row>
      <xdr:rowOff>148614</xdr:rowOff>
    </xdr:from>
    <xdr:to>
      <xdr:col>4</xdr:col>
      <xdr:colOff>863552</xdr:colOff>
      <xdr:row>3</xdr:row>
      <xdr:rowOff>134055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51975" y="332058"/>
          <a:ext cx="890133" cy="88855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23812</xdr:colOff>
      <xdr:row>1</xdr:row>
      <xdr:rowOff>35725</xdr:rowOff>
    </xdr:from>
    <xdr:to>
      <xdr:col>5</xdr:col>
      <xdr:colOff>333375</xdr:colOff>
      <xdr:row>3</xdr:row>
      <xdr:rowOff>123824</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2624137" y="216700"/>
          <a:ext cx="823913" cy="73579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94363</xdr:colOff>
      <xdr:row>0</xdr:row>
      <xdr:rowOff>78140</xdr:rowOff>
    </xdr:from>
    <xdr:to>
      <xdr:col>1</xdr:col>
      <xdr:colOff>812095</xdr:colOff>
      <xdr:row>3</xdr:row>
      <xdr:rowOff>4939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588252" y="78140"/>
          <a:ext cx="717732" cy="75935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261932</xdr:colOff>
      <xdr:row>1</xdr:row>
      <xdr:rowOff>23812</xdr:rowOff>
    </xdr:from>
    <xdr:to>
      <xdr:col>1</xdr:col>
      <xdr:colOff>638049</xdr:colOff>
      <xdr:row>3</xdr:row>
      <xdr:rowOff>219075</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61932" y="214312"/>
          <a:ext cx="804742" cy="86201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676435</xdr:colOff>
      <xdr:row>1</xdr:row>
      <xdr:rowOff>139926</xdr:rowOff>
    </xdr:from>
    <xdr:to>
      <xdr:col>1</xdr:col>
      <xdr:colOff>1487598</xdr:colOff>
      <xdr:row>3</xdr:row>
      <xdr:rowOff>168861</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1253708" y="313108"/>
          <a:ext cx="811163" cy="87560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23812</xdr:colOff>
      <xdr:row>1</xdr:row>
      <xdr:rowOff>35725</xdr:rowOff>
    </xdr:from>
    <xdr:to>
      <xdr:col>3</xdr:col>
      <xdr:colOff>333374</xdr:colOff>
      <xdr:row>3</xdr:row>
      <xdr:rowOff>123824</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271837" y="216700"/>
          <a:ext cx="823913" cy="735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indows10/Downloads/KANTOR/1.%20PERWAKILAN%20PEKANBARU/16.%20Sensus%20BMD%20Inhu/02.%20Sensus%20SKPD%202012/P_KIB%202007%20SD%202012%20Kehutanan_Ed%20Jul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ASA/2018/ASET/KAPITALISASI/LKPD%20KOLUT%202006%20NET%20BUANGET/BUKU%201/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ASA/2018/ASET/KAPITALISASI/My%20Work/HAPSEM%20I%20KENDARI%202007/2_LHP%20Kendari%20Semester%20I%202007/1_LKPD/05_LHP%20LKPD%20Kolaka%20Utara/Buku%201/LRA%20Keuangan%20Audit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ERLENGKAPAN/Dinas%20Pendidikanf_master%20KK%20Penyusutan%20Aset%20Tetap_Akrua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KANTOR/1.%20PERWAKILAN%20PEKANBARU/16.%20Sensus%20BMD%20Inhu/02.%20Sensus%20SKPD%202012/P_KIB%202007%20SD%202012%20Kehutanan_Ed%20Juli.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SASA/2018/ASET/KAPITALISASI/LRA%20Kolut%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ASET%202016/Penyusutan%202015/Dinas%20Kesehatan%202014.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SASA/2018/ASET/PENYUSUTAN/Dinas%20Kependudukan%20dan%20Pencatatan%20Sipi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DATA%202016/WTP%202016/BPK%202017/KIB%20PENYUSUTAN%202016/Dinas%20Bina%20Marga%20dan%20Sumber%20Daya%20Air%202016.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KIB%202014/8.%20Kartu%20Inventaris%20Ruangan%20(KIR)%202015%20SMT%20I%20-%20BACKUP.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ATA%20INVENTARIS%202014%20yang%20ada%20perubahan%20data/KKS%20DAN%20KIB%20DINAS%20KOPERASI%20UMKM/KIB%202010%20S.D%202014%20Koperasi%20UKM.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SASA/2018/ASET/KAPITALISASI/Kolaka%20Utara/Book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FILE%20SASA/2018/ASET/Daftar%20Kapitalisas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v>0</v>
          </cell>
        </row>
        <row r="3">
          <cell r="H3">
            <v>0</v>
          </cell>
        </row>
        <row r="4">
          <cell r="H4">
            <v>0</v>
          </cell>
        </row>
        <row r="5">
          <cell r="H5">
            <v>0</v>
          </cell>
        </row>
        <row r="6">
          <cell r="H6">
            <v>0</v>
          </cell>
        </row>
        <row r="7">
          <cell r="H7">
            <v>0</v>
          </cell>
        </row>
        <row r="8">
          <cell r="H8">
            <v>0</v>
          </cell>
        </row>
        <row r="9">
          <cell r="H9">
            <v>0</v>
          </cell>
        </row>
        <row r="10">
          <cell r="H10">
            <v>0</v>
          </cell>
        </row>
        <row r="11">
          <cell r="H11">
            <v>0</v>
          </cell>
        </row>
        <row r="12">
          <cell r="H12">
            <v>0</v>
          </cell>
        </row>
        <row r="13">
          <cell r="H13">
            <v>0</v>
          </cell>
        </row>
        <row r="14">
          <cell r="H14">
            <v>0</v>
          </cell>
        </row>
        <row r="15">
          <cell r="H15">
            <v>0</v>
          </cell>
        </row>
        <row r="16">
          <cell r="H16">
            <v>0</v>
          </cell>
        </row>
        <row r="17">
          <cell r="H17">
            <v>0</v>
          </cell>
        </row>
        <row r="18">
          <cell r="H18">
            <v>0</v>
          </cell>
        </row>
        <row r="19">
          <cell r="H19">
            <v>0</v>
          </cell>
        </row>
        <row r="20">
          <cell r="H20">
            <v>0</v>
          </cell>
        </row>
        <row r="21">
          <cell r="H21">
            <v>0</v>
          </cell>
        </row>
        <row r="22">
          <cell r="H22">
            <v>0</v>
          </cell>
        </row>
        <row r="23">
          <cell r="H23">
            <v>0</v>
          </cell>
        </row>
        <row r="24">
          <cell r="H24">
            <v>0</v>
          </cell>
        </row>
        <row r="25">
          <cell r="H25">
            <v>0</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row r="36">
          <cell r="H36">
            <v>0</v>
          </cell>
        </row>
        <row r="37">
          <cell r="H37">
            <v>0</v>
          </cell>
        </row>
        <row r="38">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v>0</v>
          </cell>
        </row>
        <row r="137">
          <cell r="H137">
            <v>0</v>
          </cell>
        </row>
        <row r="138">
          <cell r="H138">
            <v>0</v>
          </cell>
        </row>
        <row r="139">
          <cell r="H139">
            <v>0</v>
          </cell>
        </row>
        <row r="140">
          <cell r="H140">
            <v>0</v>
          </cell>
        </row>
        <row r="141">
          <cell r="H141">
            <v>0</v>
          </cell>
        </row>
        <row r="142">
          <cell r="H142">
            <v>0</v>
          </cell>
        </row>
        <row r="143">
          <cell r="H143">
            <v>0</v>
          </cell>
        </row>
        <row r="144">
          <cell r="H144">
            <v>0</v>
          </cell>
        </row>
        <row r="145">
          <cell r="H145">
            <v>0</v>
          </cell>
        </row>
        <row r="146">
          <cell r="H146">
            <v>0</v>
          </cell>
        </row>
        <row r="147">
          <cell r="H147">
            <v>0</v>
          </cell>
        </row>
        <row r="148">
          <cell r="H148">
            <v>0</v>
          </cell>
        </row>
        <row r="149">
          <cell r="H149">
            <v>0</v>
          </cell>
        </row>
        <row r="150">
          <cell r="H150">
            <v>0</v>
          </cell>
        </row>
        <row r="151">
          <cell r="H151">
            <v>0</v>
          </cell>
        </row>
        <row r="152">
          <cell r="H152">
            <v>0</v>
          </cell>
        </row>
        <row r="153">
          <cell r="H153">
            <v>0</v>
          </cell>
        </row>
        <row r="154">
          <cell r="H154">
            <v>0</v>
          </cell>
        </row>
        <row r="155">
          <cell r="H155">
            <v>0</v>
          </cell>
        </row>
        <row r="156">
          <cell r="H156">
            <v>0</v>
          </cell>
        </row>
        <row r="157">
          <cell r="H157">
            <v>0</v>
          </cell>
        </row>
        <row r="158">
          <cell r="H158">
            <v>0</v>
          </cell>
        </row>
        <row r="159">
          <cell r="H159">
            <v>0</v>
          </cell>
        </row>
        <row r="160">
          <cell r="H160">
            <v>0</v>
          </cell>
        </row>
        <row r="161">
          <cell r="H161">
            <v>0</v>
          </cell>
        </row>
        <row r="162">
          <cell r="H162">
            <v>0</v>
          </cell>
        </row>
        <row r="163">
          <cell r="H163">
            <v>0</v>
          </cell>
        </row>
        <row r="164">
          <cell r="H164">
            <v>0</v>
          </cell>
        </row>
        <row r="165">
          <cell r="H165">
            <v>0</v>
          </cell>
        </row>
        <row r="166">
          <cell r="H166">
            <v>0</v>
          </cell>
        </row>
        <row r="167">
          <cell r="H167">
            <v>0</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0</v>
          </cell>
        </row>
        <row r="177">
          <cell r="H177">
            <v>0</v>
          </cell>
        </row>
        <row r="178">
          <cell r="H178">
            <v>0</v>
          </cell>
        </row>
        <row r="179">
          <cell r="H179">
            <v>0</v>
          </cell>
        </row>
        <row r="180">
          <cell r="H180">
            <v>0</v>
          </cell>
        </row>
        <row r="181">
          <cell r="H181">
            <v>0</v>
          </cell>
        </row>
        <row r="182">
          <cell r="H182">
            <v>0</v>
          </cell>
        </row>
        <row r="183">
          <cell r="H183">
            <v>0</v>
          </cell>
        </row>
        <row r="184">
          <cell r="H184">
            <v>0</v>
          </cell>
        </row>
        <row r="185">
          <cell r="H185">
            <v>0</v>
          </cell>
        </row>
        <row r="186">
          <cell r="H186">
            <v>0</v>
          </cell>
        </row>
        <row r="187">
          <cell r="H187">
            <v>0</v>
          </cell>
        </row>
        <row r="188">
          <cell r="H188">
            <v>0</v>
          </cell>
        </row>
        <row r="189">
          <cell r="H189">
            <v>0</v>
          </cell>
        </row>
        <row r="190">
          <cell r="H190">
            <v>0</v>
          </cell>
        </row>
        <row r="191">
          <cell r="H191">
            <v>0</v>
          </cell>
        </row>
        <row r="192">
          <cell r="H192">
            <v>0</v>
          </cell>
        </row>
        <row r="193">
          <cell r="H193">
            <v>0</v>
          </cell>
        </row>
        <row r="194">
          <cell r="H194">
            <v>0</v>
          </cell>
        </row>
        <row r="195">
          <cell r="H195">
            <v>0</v>
          </cell>
        </row>
        <row r="196">
          <cell r="H196">
            <v>0</v>
          </cell>
        </row>
        <row r="197">
          <cell r="H197">
            <v>0</v>
          </cell>
        </row>
        <row r="198">
          <cell r="H198">
            <v>0</v>
          </cell>
        </row>
        <row r="199">
          <cell r="H199">
            <v>0</v>
          </cell>
        </row>
        <row r="200">
          <cell r="H200">
            <v>0</v>
          </cell>
        </row>
        <row r="201">
          <cell r="H201">
            <v>0</v>
          </cell>
        </row>
        <row r="202">
          <cell r="H202">
            <v>0</v>
          </cell>
        </row>
        <row r="203">
          <cell r="H203">
            <v>0</v>
          </cell>
        </row>
        <row r="204">
          <cell r="H204">
            <v>0</v>
          </cell>
        </row>
        <row r="205">
          <cell r="H205">
            <v>0</v>
          </cell>
        </row>
        <row r="206">
          <cell r="H206">
            <v>0</v>
          </cell>
        </row>
        <row r="207">
          <cell r="H207">
            <v>0</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v>0</v>
          </cell>
        </row>
        <row r="229">
          <cell r="H229">
            <v>0</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v>
          </cell>
        </row>
        <row r="239">
          <cell r="H239">
            <v>0</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row r="250">
          <cell r="H250">
            <v>0</v>
          </cell>
        </row>
        <row r="251">
          <cell r="H251">
            <v>0</v>
          </cell>
        </row>
        <row r="252">
          <cell r="H252">
            <v>0</v>
          </cell>
        </row>
        <row r="253">
          <cell r="H253">
            <v>0</v>
          </cell>
        </row>
        <row r="254">
          <cell r="H254">
            <v>0</v>
          </cell>
        </row>
        <row r="255">
          <cell r="H255">
            <v>0</v>
          </cell>
        </row>
        <row r="256">
          <cell r="H256">
            <v>0</v>
          </cell>
        </row>
        <row r="257">
          <cell r="H257">
            <v>0</v>
          </cell>
        </row>
        <row r="258">
          <cell r="H258">
            <v>0</v>
          </cell>
        </row>
        <row r="259">
          <cell r="H259">
            <v>0</v>
          </cell>
        </row>
        <row r="260">
          <cell r="H260">
            <v>0</v>
          </cell>
        </row>
        <row r="261">
          <cell r="H261">
            <v>0</v>
          </cell>
        </row>
        <row r="262">
          <cell r="H262">
            <v>0</v>
          </cell>
        </row>
        <row r="263">
          <cell r="H263">
            <v>0</v>
          </cell>
        </row>
        <row r="264">
          <cell r="H264">
            <v>0</v>
          </cell>
        </row>
        <row r="265">
          <cell r="H265">
            <v>0</v>
          </cell>
        </row>
        <row r="266">
          <cell r="H266">
            <v>0</v>
          </cell>
        </row>
        <row r="267">
          <cell r="H267">
            <v>0</v>
          </cell>
        </row>
        <row r="268">
          <cell r="H268">
            <v>0</v>
          </cell>
        </row>
        <row r="269">
          <cell r="H269">
            <v>0</v>
          </cell>
        </row>
        <row r="270">
          <cell r="H270">
            <v>0</v>
          </cell>
        </row>
        <row r="271">
          <cell r="H271">
            <v>0</v>
          </cell>
        </row>
        <row r="272">
          <cell r="H272">
            <v>0</v>
          </cell>
        </row>
        <row r="273">
          <cell r="H273">
            <v>0</v>
          </cell>
        </row>
        <row r="274">
          <cell r="H274">
            <v>0</v>
          </cell>
        </row>
        <row r="275">
          <cell r="H275">
            <v>0</v>
          </cell>
        </row>
        <row r="276">
          <cell r="H276">
            <v>0</v>
          </cell>
        </row>
        <row r="277">
          <cell r="H277">
            <v>0</v>
          </cell>
        </row>
        <row r="278">
          <cell r="H278">
            <v>0</v>
          </cell>
        </row>
        <row r="279">
          <cell r="H279">
            <v>0</v>
          </cell>
        </row>
        <row r="280">
          <cell r="H280">
            <v>0</v>
          </cell>
        </row>
        <row r="281">
          <cell r="H281">
            <v>0</v>
          </cell>
        </row>
        <row r="282">
          <cell r="H282">
            <v>0</v>
          </cell>
        </row>
        <row r="283">
          <cell r="H283">
            <v>0</v>
          </cell>
        </row>
        <row r="284">
          <cell r="H284">
            <v>0</v>
          </cell>
        </row>
        <row r="285">
          <cell r="H285">
            <v>0</v>
          </cell>
        </row>
        <row r="286">
          <cell r="H286">
            <v>0</v>
          </cell>
        </row>
        <row r="287">
          <cell r="H287">
            <v>0</v>
          </cell>
        </row>
        <row r="288">
          <cell r="H288">
            <v>0</v>
          </cell>
        </row>
        <row r="289">
          <cell r="H289">
            <v>0</v>
          </cell>
        </row>
        <row r="290">
          <cell r="H290">
            <v>0</v>
          </cell>
        </row>
        <row r="291">
          <cell r="H291">
            <v>0</v>
          </cell>
        </row>
        <row r="292">
          <cell r="H292">
            <v>0</v>
          </cell>
        </row>
        <row r="293">
          <cell r="H293">
            <v>0</v>
          </cell>
        </row>
        <row r="294">
          <cell r="H294">
            <v>0</v>
          </cell>
        </row>
        <row r="295">
          <cell r="H295">
            <v>0</v>
          </cell>
        </row>
        <row r="296">
          <cell r="H296">
            <v>0</v>
          </cell>
        </row>
        <row r="297">
          <cell r="H297">
            <v>0</v>
          </cell>
        </row>
        <row r="298">
          <cell r="H298">
            <v>0</v>
          </cell>
        </row>
        <row r="299">
          <cell r="H299">
            <v>0</v>
          </cell>
        </row>
        <row r="300">
          <cell r="H300">
            <v>0</v>
          </cell>
        </row>
        <row r="301">
          <cell r="H301">
            <v>0</v>
          </cell>
        </row>
        <row r="302">
          <cell r="H302">
            <v>0</v>
          </cell>
        </row>
        <row r="303">
          <cell r="H303">
            <v>0</v>
          </cell>
        </row>
        <row r="304">
          <cell r="H304">
            <v>0</v>
          </cell>
        </row>
        <row r="305">
          <cell r="H305">
            <v>0</v>
          </cell>
        </row>
        <row r="306">
          <cell r="H306">
            <v>0</v>
          </cell>
        </row>
        <row r="307">
          <cell r="H307">
            <v>0</v>
          </cell>
        </row>
        <row r="308">
          <cell r="H308">
            <v>0</v>
          </cell>
        </row>
        <row r="309">
          <cell r="H309">
            <v>0</v>
          </cell>
        </row>
        <row r="310">
          <cell r="H310">
            <v>0</v>
          </cell>
        </row>
        <row r="311">
          <cell r="H311">
            <v>0</v>
          </cell>
        </row>
        <row r="312">
          <cell r="H312">
            <v>0</v>
          </cell>
        </row>
        <row r="313">
          <cell r="H313">
            <v>0</v>
          </cell>
        </row>
        <row r="314">
          <cell r="H314">
            <v>0</v>
          </cell>
        </row>
        <row r="315">
          <cell r="H315">
            <v>0</v>
          </cell>
        </row>
        <row r="316">
          <cell r="H316">
            <v>0</v>
          </cell>
        </row>
        <row r="317">
          <cell r="H317">
            <v>0</v>
          </cell>
        </row>
        <row r="318">
          <cell r="H318">
            <v>0</v>
          </cell>
        </row>
        <row r="319">
          <cell r="H319">
            <v>0</v>
          </cell>
        </row>
        <row r="320">
          <cell r="H320">
            <v>0</v>
          </cell>
        </row>
        <row r="321">
          <cell r="H321">
            <v>0</v>
          </cell>
        </row>
        <row r="322">
          <cell r="H322">
            <v>0</v>
          </cell>
        </row>
        <row r="323">
          <cell r="H323">
            <v>0</v>
          </cell>
        </row>
        <row r="324">
          <cell r="H324">
            <v>0</v>
          </cell>
        </row>
        <row r="325">
          <cell r="H325">
            <v>0</v>
          </cell>
        </row>
        <row r="326">
          <cell r="H326">
            <v>0</v>
          </cell>
        </row>
        <row r="327">
          <cell r="H327">
            <v>0</v>
          </cell>
        </row>
        <row r="328">
          <cell r="H328">
            <v>0</v>
          </cell>
        </row>
        <row r="329">
          <cell r="H329">
            <v>0</v>
          </cell>
        </row>
        <row r="330">
          <cell r="H330">
            <v>0</v>
          </cell>
        </row>
        <row r="331">
          <cell r="H331">
            <v>0</v>
          </cell>
        </row>
        <row r="332">
          <cell r="H332">
            <v>0</v>
          </cell>
        </row>
        <row r="333">
          <cell r="H333">
            <v>0</v>
          </cell>
        </row>
        <row r="334">
          <cell r="H334">
            <v>0</v>
          </cell>
        </row>
        <row r="335">
          <cell r="H335">
            <v>0</v>
          </cell>
        </row>
        <row r="336">
          <cell r="H336">
            <v>0</v>
          </cell>
        </row>
        <row r="337">
          <cell r="H337">
            <v>0</v>
          </cell>
        </row>
        <row r="338">
          <cell r="H338">
            <v>0</v>
          </cell>
        </row>
        <row r="339">
          <cell r="H339">
            <v>0</v>
          </cell>
        </row>
        <row r="340">
          <cell r="H340">
            <v>0</v>
          </cell>
        </row>
        <row r="341">
          <cell r="H341">
            <v>0</v>
          </cell>
        </row>
        <row r="342">
          <cell r="H342">
            <v>0</v>
          </cell>
        </row>
        <row r="343">
          <cell r="H343">
            <v>0</v>
          </cell>
        </row>
        <row r="344">
          <cell r="H344">
            <v>0</v>
          </cell>
        </row>
        <row r="345">
          <cell r="H345">
            <v>0</v>
          </cell>
        </row>
        <row r="346">
          <cell r="H346">
            <v>0</v>
          </cell>
        </row>
        <row r="347">
          <cell r="H347">
            <v>0</v>
          </cell>
        </row>
        <row r="348">
          <cell r="H348">
            <v>0</v>
          </cell>
        </row>
        <row r="349">
          <cell r="H349">
            <v>0</v>
          </cell>
        </row>
        <row r="350">
          <cell r="H350">
            <v>0</v>
          </cell>
        </row>
        <row r="351">
          <cell r="H351">
            <v>0</v>
          </cell>
        </row>
        <row r="352">
          <cell r="H352">
            <v>0</v>
          </cell>
        </row>
        <row r="353">
          <cell r="H353">
            <v>0</v>
          </cell>
        </row>
        <row r="354">
          <cell r="H354">
            <v>0</v>
          </cell>
        </row>
        <row r="355">
          <cell r="H355">
            <v>0</v>
          </cell>
        </row>
        <row r="356">
          <cell r="H356">
            <v>0</v>
          </cell>
        </row>
        <row r="357">
          <cell r="H357">
            <v>0</v>
          </cell>
        </row>
        <row r="358">
          <cell r="H358">
            <v>0</v>
          </cell>
        </row>
        <row r="359">
          <cell r="H359">
            <v>0</v>
          </cell>
        </row>
        <row r="360">
          <cell r="H360">
            <v>0</v>
          </cell>
        </row>
        <row r="361">
          <cell r="H361">
            <v>0</v>
          </cell>
        </row>
        <row r="362">
          <cell r="H362">
            <v>0</v>
          </cell>
        </row>
        <row r="363">
          <cell r="H363">
            <v>0</v>
          </cell>
        </row>
        <row r="364">
          <cell r="H364">
            <v>0</v>
          </cell>
        </row>
        <row r="365">
          <cell r="H365">
            <v>0</v>
          </cell>
        </row>
        <row r="366">
          <cell r="H366">
            <v>0</v>
          </cell>
        </row>
        <row r="367">
          <cell r="H367">
            <v>0</v>
          </cell>
        </row>
        <row r="368">
          <cell r="H368">
            <v>0</v>
          </cell>
        </row>
        <row r="369">
          <cell r="H369">
            <v>0</v>
          </cell>
        </row>
        <row r="370">
          <cell r="H370">
            <v>0</v>
          </cell>
        </row>
        <row r="371">
          <cell r="H371">
            <v>0</v>
          </cell>
        </row>
        <row r="372">
          <cell r="H372">
            <v>0</v>
          </cell>
        </row>
        <row r="373">
          <cell r="H373">
            <v>0</v>
          </cell>
        </row>
        <row r="374">
          <cell r="H374">
            <v>0</v>
          </cell>
        </row>
        <row r="375">
          <cell r="H375">
            <v>0</v>
          </cell>
        </row>
        <row r="376">
          <cell r="H376">
            <v>0</v>
          </cell>
        </row>
        <row r="377">
          <cell r="H377">
            <v>0</v>
          </cell>
        </row>
        <row r="378">
          <cell r="H378">
            <v>0</v>
          </cell>
        </row>
        <row r="379">
          <cell r="H379">
            <v>0</v>
          </cell>
        </row>
        <row r="380">
          <cell r="H380">
            <v>0</v>
          </cell>
        </row>
        <row r="381">
          <cell r="H381">
            <v>0</v>
          </cell>
        </row>
        <row r="382">
          <cell r="H382">
            <v>0</v>
          </cell>
        </row>
        <row r="383">
          <cell r="H383">
            <v>0</v>
          </cell>
        </row>
        <row r="384">
          <cell r="H384">
            <v>0</v>
          </cell>
        </row>
        <row r="385">
          <cell r="H385">
            <v>0</v>
          </cell>
        </row>
        <row r="386">
          <cell r="H386">
            <v>0</v>
          </cell>
        </row>
        <row r="387">
          <cell r="H387">
            <v>0</v>
          </cell>
        </row>
        <row r="388">
          <cell r="H388">
            <v>0</v>
          </cell>
        </row>
        <row r="389">
          <cell r="H389">
            <v>0</v>
          </cell>
        </row>
        <row r="390">
          <cell r="H390">
            <v>0</v>
          </cell>
        </row>
        <row r="391">
          <cell r="H391">
            <v>0</v>
          </cell>
        </row>
        <row r="392">
          <cell r="H392">
            <v>0</v>
          </cell>
        </row>
        <row r="393">
          <cell r="H393">
            <v>0</v>
          </cell>
        </row>
        <row r="394">
          <cell r="H394">
            <v>0</v>
          </cell>
        </row>
        <row r="395">
          <cell r="H395">
            <v>0</v>
          </cell>
        </row>
        <row r="396">
          <cell r="H396">
            <v>0</v>
          </cell>
        </row>
        <row r="397">
          <cell r="H397">
            <v>0</v>
          </cell>
        </row>
        <row r="398">
          <cell r="H398">
            <v>0</v>
          </cell>
        </row>
        <row r="399">
          <cell r="H399">
            <v>0</v>
          </cell>
        </row>
        <row r="400">
          <cell r="H400">
            <v>0</v>
          </cell>
        </row>
        <row r="401">
          <cell r="H401">
            <v>0</v>
          </cell>
        </row>
        <row r="402">
          <cell r="H402">
            <v>0</v>
          </cell>
        </row>
        <row r="403">
          <cell r="H403">
            <v>0</v>
          </cell>
        </row>
        <row r="404">
          <cell r="H404">
            <v>0</v>
          </cell>
        </row>
        <row r="405">
          <cell r="H405">
            <v>0</v>
          </cell>
        </row>
        <row r="406">
          <cell r="H406">
            <v>0</v>
          </cell>
        </row>
        <row r="407">
          <cell r="H407">
            <v>0</v>
          </cell>
        </row>
        <row r="408">
          <cell r="H408">
            <v>0</v>
          </cell>
        </row>
        <row r="409">
          <cell r="H409">
            <v>0</v>
          </cell>
        </row>
        <row r="410">
          <cell r="H410">
            <v>0</v>
          </cell>
        </row>
        <row r="411">
          <cell r="H411">
            <v>0</v>
          </cell>
        </row>
        <row r="412">
          <cell r="H412">
            <v>0</v>
          </cell>
        </row>
        <row r="413">
          <cell r="H413">
            <v>0</v>
          </cell>
        </row>
        <row r="414">
          <cell r="H414">
            <v>0</v>
          </cell>
        </row>
        <row r="415">
          <cell r="H415">
            <v>0</v>
          </cell>
        </row>
        <row r="416">
          <cell r="H416">
            <v>0</v>
          </cell>
        </row>
        <row r="417">
          <cell r="H417">
            <v>0</v>
          </cell>
        </row>
        <row r="418">
          <cell r="H418">
            <v>0</v>
          </cell>
        </row>
        <row r="419">
          <cell r="H419">
            <v>0</v>
          </cell>
        </row>
        <row r="420">
          <cell r="H420">
            <v>0</v>
          </cell>
        </row>
        <row r="421">
          <cell r="H421">
            <v>0</v>
          </cell>
        </row>
        <row r="422">
          <cell r="H422">
            <v>0</v>
          </cell>
        </row>
        <row r="423">
          <cell r="H423">
            <v>0</v>
          </cell>
        </row>
        <row r="424">
          <cell r="H424">
            <v>0</v>
          </cell>
        </row>
        <row r="425">
          <cell r="H425">
            <v>0</v>
          </cell>
        </row>
        <row r="426">
          <cell r="H426">
            <v>0</v>
          </cell>
        </row>
        <row r="427">
          <cell r="H427">
            <v>0</v>
          </cell>
        </row>
        <row r="428">
          <cell r="H428">
            <v>0</v>
          </cell>
        </row>
        <row r="429">
          <cell r="H429">
            <v>0</v>
          </cell>
        </row>
        <row r="430">
          <cell r="H430">
            <v>0</v>
          </cell>
        </row>
        <row r="431">
          <cell r="H431">
            <v>0</v>
          </cell>
        </row>
        <row r="432">
          <cell r="H432">
            <v>0</v>
          </cell>
        </row>
        <row r="433">
          <cell r="H433">
            <v>0</v>
          </cell>
        </row>
        <row r="434">
          <cell r="H434">
            <v>0</v>
          </cell>
        </row>
        <row r="435">
          <cell r="H435">
            <v>0</v>
          </cell>
        </row>
        <row r="436">
          <cell r="H436">
            <v>0</v>
          </cell>
        </row>
        <row r="437">
          <cell r="H437">
            <v>0</v>
          </cell>
        </row>
        <row r="438">
          <cell r="H438">
            <v>0</v>
          </cell>
        </row>
        <row r="439">
          <cell r="H439">
            <v>0</v>
          </cell>
        </row>
        <row r="440">
          <cell r="H440">
            <v>0</v>
          </cell>
        </row>
        <row r="441">
          <cell r="H441">
            <v>0</v>
          </cell>
        </row>
        <row r="442">
          <cell r="H442">
            <v>0</v>
          </cell>
        </row>
        <row r="443">
          <cell r="H443">
            <v>0</v>
          </cell>
        </row>
        <row r="444">
          <cell r="H444">
            <v>0</v>
          </cell>
        </row>
        <row r="445">
          <cell r="H445">
            <v>0</v>
          </cell>
        </row>
        <row r="446">
          <cell r="H446">
            <v>0</v>
          </cell>
        </row>
        <row r="447">
          <cell r="H447">
            <v>0</v>
          </cell>
        </row>
        <row r="448">
          <cell r="H448">
            <v>0</v>
          </cell>
        </row>
        <row r="449">
          <cell r="H449">
            <v>0</v>
          </cell>
        </row>
        <row r="450">
          <cell r="H450">
            <v>0</v>
          </cell>
        </row>
        <row r="451">
          <cell r="H451">
            <v>0</v>
          </cell>
        </row>
        <row r="452">
          <cell r="H452">
            <v>0</v>
          </cell>
        </row>
        <row r="453">
          <cell r="H453">
            <v>0</v>
          </cell>
        </row>
        <row r="454">
          <cell r="H454">
            <v>0</v>
          </cell>
        </row>
        <row r="455">
          <cell r="H455">
            <v>0</v>
          </cell>
        </row>
        <row r="456">
          <cell r="H456">
            <v>0</v>
          </cell>
        </row>
        <row r="457">
          <cell r="H457">
            <v>0</v>
          </cell>
        </row>
        <row r="458">
          <cell r="H458">
            <v>0</v>
          </cell>
        </row>
        <row r="459">
          <cell r="H459">
            <v>0</v>
          </cell>
        </row>
        <row r="460">
          <cell r="H460">
            <v>0</v>
          </cell>
        </row>
        <row r="461">
          <cell r="H461">
            <v>0</v>
          </cell>
        </row>
        <row r="462">
          <cell r="H462">
            <v>0</v>
          </cell>
        </row>
        <row r="463">
          <cell r="H463">
            <v>0</v>
          </cell>
        </row>
        <row r="464">
          <cell r="H464">
            <v>0</v>
          </cell>
        </row>
        <row r="465">
          <cell r="H465">
            <v>0</v>
          </cell>
        </row>
        <row r="466">
          <cell r="H466">
            <v>0</v>
          </cell>
        </row>
        <row r="467">
          <cell r="H467">
            <v>0</v>
          </cell>
        </row>
        <row r="468">
          <cell r="H468">
            <v>0</v>
          </cell>
        </row>
        <row r="469">
          <cell r="H469">
            <v>0</v>
          </cell>
        </row>
        <row r="470">
          <cell r="H470">
            <v>0</v>
          </cell>
        </row>
        <row r="471">
          <cell r="H471">
            <v>0</v>
          </cell>
        </row>
        <row r="472">
          <cell r="H472">
            <v>0</v>
          </cell>
        </row>
        <row r="473">
          <cell r="H473">
            <v>0</v>
          </cell>
        </row>
        <row r="474">
          <cell r="H474">
            <v>0</v>
          </cell>
        </row>
        <row r="475">
          <cell r="H475">
            <v>0</v>
          </cell>
        </row>
        <row r="476">
          <cell r="H476">
            <v>0</v>
          </cell>
        </row>
        <row r="477">
          <cell r="H477">
            <v>0</v>
          </cell>
        </row>
        <row r="478">
          <cell r="H478">
            <v>0</v>
          </cell>
        </row>
        <row r="479">
          <cell r="H479">
            <v>0</v>
          </cell>
        </row>
        <row r="480">
          <cell r="H480">
            <v>0</v>
          </cell>
        </row>
        <row r="481">
          <cell r="H481">
            <v>0</v>
          </cell>
        </row>
        <row r="482">
          <cell r="H482">
            <v>0</v>
          </cell>
        </row>
        <row r="483">
          <cell r="H483">
            <v>0</v>
          </cell>
        </row>
        <row r="484">
          <cell r="H484">
            <v>0</v>
          </cell>
        </row>
        <row r="485">
          <cell r="H485">
            <v>0</v>
          </cell>
        </row>
        <row r="486">
          <cell r="H486">
            <v>0</v>
          </cell>
        </row>
        <row r="487">
          <cell r="H487">
            <v>0</v>
          </cell>
        </row>
        <row r="488">
          <cell r="H488">
            <v>0</v>
          </cell>
        </row>
        <row r="489">
          <cell r="H489">
            <v>0</v>
          </cell>
        </row>
        <row r="490">
          <cell r="H490">
            <v>0</v>
          </cell>
        </row>
        <row r="491">
          <cell r="H491">
            <v>0</v>
          </cell>
        </row>
        <row r="492">
          <cell r="H492">
            <v>0</v>
          </cell>
        </row>
        <row r="493">
          <cell r="H493">
            <v>0</v>
          </cell>
        </row>
        <row r="494">
          <cell r="H494">
            <v>0</v>
          </cell>
        </row>
        <row r="495">
          <cell r="H495">
            <v>0</v>
          </cell>
        </row>
        <row r="496">
          <cell r="H496">
            <v>0</v>
          </cell>
        </row>
        <row r="497">
          <cell r="H497">
            <v>0</v>
          </cell>
        </row>
        <row r="498">
          <cell r="H498">
            <v>0</v>
          </cell>
        </row>
        <row r="499">
          <cell r="H499">
            <v>0</v>
          </cell>
        </row>
        <row r="500">
          <cell r="H500">
            <v>0</v>
          </cell>
        </row>
        <row r="501">
          <cell r="H501">
            <v>0</v>
          </cell>
        </row>
        <row r="502">
          <cell r="H502">
            <v>0</v>
          </cell>
        </row>
        <row r="503">
          <cell r="H503">
            <v>0</v>
          </cell>
        </row>
        <row r="504">
          <cell r="H504">
            <v>0</v>
          </cell>
        </row>
        <row r="505">
          <cell r="H505">
            <v>0</v>
          </cell>
        </row>
        <row r="506">
          <cell r="H506">
            <v>0</v>
          </cell>
        </row>
        <row r="507">
          <cell r="H507">
            <v>0</v>
          </cell>
        </row>
        <row r="508">
          <cell r="H508">
            <v>0</v>
          </cell>
        </row>
        <row r="509">
          <cell r="H509">
            <v>0</v>
          </cell>
        </row>
        <row r="510">
          <cell r="H510">
            <v>0</v>
          </cell>
        </row>
        <row r="511">
          <cell r="H511">
            <v>0</v>
          </cell>
        </row>
        <row r="512">
          <cell r="H512">
            <v>0</v>
          </cell>
        </row>
        <row r="513">
          <cell r="H513">
            <v>0</v>
          </cell>
        </row>
        <row r="514">
          <cell r="H514">
            <v>0</v>
          </cell>
        </row>
        <row r="515">
          <cell r="H515">
            <v>0</v>
          </cell>
        </row>
        <row r="516">
          <cell r="H516">
            <v>0</v>
          </cell>
        </row>
        <row r="517">
          <cell r="H517">
            <v>0</v>
          </cell>
        </row>
        <row r="518">
          <cell r="H518">
            <v>0</v>
          </cell>
        </row>
        <row r="519">
          <cell r="H519">
            <v>0</v>
          </cell>
        </row>
        <row r="520">
          <cell r="H520">
            <v>0</v>
          </cell>
        </row>
        <row r="521">
          <cell r="H521">
            <v>0</v>
          </cell>
        </row>
        <row r="522">
          <cell r="H522">
            <v>0</v>
          </cell>
        </row>
        <row r="523">
          <cell r="H523">
            <v>0</v>
          </cell>
        </row>
        <row r="524">
          <cell r="H524">
            <v>0</v>
          </cell>
        </row>
        <row r="525">
          <cell r="H525">
            <v>0</v>
          </cell>
        </row>
        <row r="526">
          <cell r="H526">
            <v>0</v>
          </cell>
        </row>
        <row r="527">
          <cell r="H527">
            <v>0</v>
          </cell>
        </row>
        <row r="528">
          <cell r="H528">
            <v>0</v>
          </cell>
        </row>
        <row r="529">
          <cell r="H529">
            <v>0</v>
          </cell>
        </row>
        <row r="530">
          <cell r="H530">
            <v>0</v>
          </cell>
        </row>
        <row r="531">
          <cell r="H531">
            <v>0</v>
          </cell>
        </row>
        <row r="532">
          <cell r="H532">
            <v>0</v>
          </cell>
        </row>
        <row r="533">
          <cell r="H533">
            <v>0</v>
          </cell>
        </row>
        <row r="534">
          <cell r="H534">
            <v>0</v>
          </cell>
        </row>
        <row r="535">
          <cell r="H535">
            <v>0</v>
          </cell>
        </row>
        <row r="536">
          <cell r="H536">
            <v>0</v>
          </cell>
        </row>
        <row r="537">
          <cell r="H537">
            <v>0</v>
          </cell>
        </row>
        <row r="538">
          <cell r="H538">
            <v>0</v>
          </cell>
        </row>
        <row r="539">
          <cell r="H539">
            <v>0</v>
          </cell>
        </row>
        <row r="540">
          <cell r="H540">
            <v>0</v>
          </cell>
        </row>
        <row r="541">
          <cell r="H541">
            <v>0</v>
          </cell>
        </row>
        <row r="542">
          <cell r="H542">
            <v>0</v>
          </cell>
        </row>
        <row r="543">
          <cell r="H543">
            <v>0</v>
          </cell>
        </row>
        <row r="544">
          <cell r="H544">
            <v>0</v>
          </cell>
        </row>
        <row r="545">
          <cell r="H545">
            <v>0</v>
          </cell>
        </row>
        <row r="546">
          <cell r="H546">
            <v>0</v>
          </cell>
        </row>
        <row r="547">
          <cell r="H547">
            <v>0</v>
          </cell>
        </row>
        <row r="548">
          <cell r="H548">
            <v>0</v>
          </cell>
        </row>
        <row r="549">
          <cell r="H549">
            <v>0</v>
          </cell>
        </row>
        <row r="550">
          <cell r="H550">
            <v>0</v>
          </cell>
        </row>
        <row r="551">
          <cell r="H551">
            <v>0</v>
          </cell>
        </row>
        <row r="552">
          <cell r="H552">
            <v>0</v>
          </cell>
        </row>
        <row r="553">
          <cell r="H553">
            <v>0</v>
          </cell>
        </row>
        <row r="554">
          <cell r="H554">
            <v>0</v>
          </cell>
        </row>
        <row r="555">
          <cell r="H555">
            <v>0</v>
          </cell>
        </row>
        <row r="556">
          <cell r="H556">
            <v>0</v>
          </cell>
        </row>
        <row r="557">
          <cell r="H557">
            <v>0</v>
          </cell>
        </row>
        <row r="558">
          <cell r="H558">
            <v>0</v>
          </cell>
        </row>
        <row r="559">
          <cell r="H559">
            <v>0</v>
          </cell>
        </row>
        <row r="560">
          <cell r="H560">
            <v>0</v>
          </cell>
        </row>
        <row r="561">
          <cell r="H561">
            <v>0</v>
          </cell>
        </row>
        <row r="562">
          <cell r="H562">
            <v>0</v>
          </cell>
        </row>
        <row r="563">
          <cell r="H563">
            <v>0</v>
          </cell>
        </row>
        <row r="564">
          <cell r="H564">
            <v>0</v>
          </cell>
        </row>
        <row r="565">
          <cell r="H565">
            <v>0</v>
          </cell>
        </row>
        <row r="566">
          <cell r="H566">
            <v>0</v>
          </cell>
        </row>
        <row r="567">
          <cell r="H567">
            <v>0</v>
          </cell>
        </row>
        <row r="568">
          <cell r="H568">
            <v>0</v>
          </cell>
        </row>
        <row r="569">
          <cell r="H569">
            <v>0</v>
          </cell>
        </row>
        <row r="570">
          <cell r="H570">
            <v>0</v>
          </cell>
        </row>
        <row r="571">
          <cell r="H571">
            <v>0</v>
          </cell>
        </row>
        <row r="572">
          <cell r="H572">
            <v>0</v>
          </cell>
        </row>
        <row r="573">
          <cell r="H573">
            <v>0</v>
          </cell>
        </row>
        <row r="574">
          <cell r="H574">
            <v>0</v>
          </cell>
        </row>
        <row r="575">
          <cell r="H575">
            <v>0</v>
          </cell>
        </row>
        <row r="576">
          <cell r="H576">
            <v>0</v>
          </cell>
        </row>
        <row r="577">
          <cell r="H577">
            <v>0</v>
          </cell>
        </row>
        <row r="578">
          <cell r="H578">
            <v>0</v>
          </cell>
        </row>
        <row r="579">
          <cell r="H579">
            <v>0</v>
          </cell>
        </row>
        <row r="580">
          <cell r="H580">
            <v>0</v>
          </cell>
        </row>
        <row r="581">
          <cell r="H581">
            <v>0</v>
          </cell>
        </row>
        <row r="582">
          <cell r="H582">
            <v>0</v>
          </cell>
        </row>
        <row r="583">
          <cell r="H583">
            <v>0</v>
          </cell>
        </row>
        <row r="584">
          <cell r="H584">
            <v>0</v>
          </cell>
        </row>
        <row r="585">
          <cell r="H585">
            <v>0</v>
          </cell>
        </row>
        <row r="586">
          <cell r="H586">
            <v>0</v>
          </cell>
        </row>
        <row r="587">
          <cell r="H587">
            <v>0</v>
          </cell>
        </row>
        <row r="588">
          <cell r="H588">
            <v>0</v>
          </cell>
        </row>
        <row r="589">
          <cell r="H589">
            <v>0</v>
          </cell>
        </row>
        <row r="590">
          <cell r="H590">
            <v>0</v>
          </cell>
        </row>
        <row r="591">
          <cell r="H591">
            <v>0</v>
          </cell>
        </row>
        <row r="592">
          <cell r="H592">
            <v>0</v>
          </cell>
        </row>
        <row r="593">
          <cell r="H593">
            <v>0</v>
          </cell>
        </row>
        <row r="594">
          <cell r="H594">
            <v>0</v>
          </cell>
        </row>
        <row r="595">
          <cell r="H595">
            <v>0</v>
          </cell>
        </row>
        <row r="596">
          <cell r="H596">
            <v>0</v>
          </cell>
        </row>
        <row r="597">
          <cell r="H597">
            <v>0</v>
          </cell>
        </row>
        <row r="598">
          <cell r="H598">
            <v>0</v>
          </cell>
        </row>
        <row r="599">
          <cell r="H599">
            <v>0</v>
          </cell>
        </row>
        <row r="600">
          <cell r="H600">
            <v>0</v>
          </cell>
        </row>
        <row r="601">
          <cell r="H601">
            <v>0</v>
          </cell>
        </row>
        <row r="602">
          <cell r="H602">
            <v>0</v>
          </cell>
        </row>
        <row r="603">
          <cell r="H603">
            <v>0</v>
          </cell>
        </row>
        <row r="604">
          <cell r="H604">
            <v>0</v>
          </cell>
        </row>
        <row r="605">
          <cell r="H605">
            <v>0</v>
          </cell>
        </row>
        <row r="606">
          <cell r="H606">
            <v>0</v>
          </cell>
        </row>
        <row r="607">
          <cell r="H607">
            <v>0</v>
          </cell>
        </row>
        <row r="608">
          <cell r="H608">
            <v>0</v>
          </cell>
        </row>
        <row r="609">
          <cell r="H609">
            <v>0</v>
          </cell>
        </row>
        <row r="610">
          <cell r="H610">
            <v>0</v>
          </cell>
        </row>
        <row r="611">
          <cell r="H611">
            <v>0</v>
          </cell>
        </row>
        <row r="612">
          <cell r="H612">
            <v>0</v>
          </cell>
        </row>
        <row r="613">
          <cell r="H613">
            <v>0</v>
          </cell>
        </row>
        <row r="614">
          <cell r="H614">
            <v>0</v>
          </cell>
        </row>
        <row r="615">
          <cell r="H615">
            <v>0</v>
          </cell>
        </row>
        <row r="616">
          <cell r="H616">
            <v>0</v>
          </cell>
        </row>
        <row r="617">
          <cell r="H617">
            <v>0</v>
          </cell>
        </row>
        <row r="618">
          <cell r="H618">
            <v>0</v>
          </cell>
        </row>
        <row r="619">
          <cell r="H619">
            <v>0</v>
          </cell>
        </row>
        <row r="620">
          <cell r="H620">
            <v>0</v>
          </cell>
        </row>
        <row r="621">
          <cell r="H621">
            <v>0</v>
          </cell>
        </row>
        <row r="622">
          <cell r="H622">
            <v>0</v>
          </cell>
        </row>
        <row r="623">
          <cell r="H623">
            <v>0</v>
          </cell>
        </row>
        <row r="624">
          <cell r="H624">
            <v>0</v>
          </cell>
        </row>
        <row r="625">
          <cell r="H625">
            <v>0</v>
          </cell>
        </row>
        <row r="626">
          <cell r="H626">
            <v>0</v>
          </cell>
        </row>
        <row r="627">
          <cell r="H627">
            <v>0</v>
          </cell>
        </row>
        <row r="628">
          <cell r="H628">
            <v>0</v>
          </cell>
        </row>
        <row r="629">
          <cell r="H629">
            <v>0</v>
          </cell>
        </row>
        <row r="630">
          <cell r="H630">
            <v>0</v>
          </cell>
        </row>
        <row r="631">
          <cell r="H631">
            <v>0</v>
          </cell>
        </row>
        <row r="632">
          <cell r="H632">
            <v>0</v>
          </cell>
        </row>
        <row r="633">
          <cell r="H633">
            <v>0</v>
          </cell>
        </row>
        <row r="634">
          <cell r="H634">
            <v>0</v>
          </cell>
        </row>
        <row r="635">
          <cell r="H635">
            <v>0</v>
          </cell>
        </row>
        <row r="636">
          <cell r="H636">
            <v>0</v>
          </cell>
        </row>
        <row r="637">
          <cell r="H637">
            <v>0</v>
          </cell>
        </row>
        <row r="638">
          <cell r="H638">
            <v>0</v>
          </cell>
        </row>
        <row r="639">
          <cell r="H639">
            <v>0</v>
          </cell>
        </row>
        <row r="640">
          <cell r="H640">
            <v>0</v>
          </cell>
        </row>
        <row r="641">
          <cell r="H641">
            <v>0</v>
          </cell>
        </row>
        <row r="642">
          <cell r="H642">
            <v>0</v>
          </cell>
        </row>
        <row r="643">
          <cell r="H643">
            <v>0</v>
          </cell>
        </row>
        <row r="644">
          <cell r="H644">
            <v>0</v>
          </cell>
        </row>
        <row r="645">
          <cell r="H645">
            <v>0</v>
          </cell>
        </row>
        <row r="646">
          <cell r="H646">
            <v>0</v>
          </cell>
        </row>
        <row r="647">
          <cell r="H647">
            <v>0</v>
          </cell>
        </row>
        <row r="648">
          <cell r="H648">
            <v>0</v>
          </cell>
        </row>
        <row r="649">
          <cell r="H649">
            <v>0</v>
          </cell>
        </row>
        <row r="650">
          <cell r="H650">
            <v>0</v>
          </cell>
        </row>
        <row r="651">
          <cell r="H651">
            <v>0</v>
          </cell>
        </row>
        <row r="652">
          <cell r="H652">
            <v>0</v>
          </cell>
        </row>
        <row r="653">
          <cell r="H653">
            <v>0</v>
          </cell>
        </row>
        <row r="654">
          <cell r="H654">
            <v>0</v>
          </cell>
        </row>
        <row r="655">
          <cell r="H655">
            <v>0</v>
          </cell>
        </row>
        <row r="656">
          <cell r="H656">
            <v>0</v>
          </cell>
        </row>
        <row r="657">
          <cell r="H657">
            <v>0</v>
          </cell>
        </row>
        <row r="658">
          <cell r="H658">
            <v>0</v>
          </cell>
        </row>
        <row r="659">
          <cell r="H659">
            <v>0</v>
          </cell>
        </row>
        <row r="660">
          <cell r="H660">
            <v>0</v>
          </cell>
        </row>
        <row r="661">
          <cell r="H661">
            <v>0</v>
          </cell>
        </row>
        <row r="662">
          <cell r="H662">
            <v>0</v>
          </cell>
        </row>
        <row r="663">
          <cell r="H663">
            <v>0</v>
          </cell>
        </row>
        <row r="664">
          <cell r="H664">
            <v>0</v>
          </cell>
        </row>
        <row r="665">
          <cell r="H665">
            <v>0</v>
          </cell>
        </row>
        <row r="666">
          <cell r="H666">
            <v>0</v>
          </cell>
        </row>
        <row r="667">
          <cell r="H667">
            <v>0</v>
          </cell>
        </row>
        <row r="668">
          <cell r="H668">
            <v>0</v>
          </cell>
        </row>
        <row r="669">
          <cell r="H669">
            <v>0</v>
          </cell>
        </row>
        <row r="670">
          <cell r="H670">
            <v>0</v>
          </cell>
        </row>
        <row r="671">
          <cell r="H671">
            <v>0</v>
          </cell>
        </row>
        <row r="672">
          <cell r="H672">
            <v>0</v>
          </cell>
        </row>
        <row r="673">
          <cell r="H673">
            <v>0</v>
          </cell>
        </row>
        <row r="674">
          <cell r="H674">
            <v>0</v>
          </cell>
        </row>
        <row r="675">
          <cell r="H675">
            <v>0</v>
          </cell>
        </row>
        <row r="676">
          <cell r="H676">
            <v>0</v>
          </cell>
        </row>
        <row r="677">
          <cell r="H677">
            <v>0</v>
          </cell>
        </row>
        <row r="678">
          <cell r="H678">
            <v>0</v>
          </cell>
        </row>
        <row r="679">
          <cell r="H679">
            <v>0</v>
          </cell>
        </row>
        <row r="680">
          <cell r="H680">
            <v>0</v>
          </cell>
        </row>
        <row r="681">
          <cell r="H681">
            <v>0</v>
          </cell>
        </row>
        <row r="682">
          <cell r="H682">
            <v>0</v>
          </cell>
        </row>
        <row r="683">
          <cell r="H683">
            <v>0</v>
          </cell>
        </row>
        <row r="684">
          <cell r="H684">
            <v>0</v>
          </cell>
        </row>
        <row r="685">
          <cell r="H685">
            <v>0</v>
          </cell>
        </row>
        <row r="686">
          <cell r="H686">
            <v>0</v>
          </cell>
        </row>
        <row r="687">
          <cell r="H687">
            <v>0</v>
          </cell>
        </row>
        <row r="688">
          <cell r="H688">
            <v>0</v>
          </cell>
        </row>
        <row r="689">
          <cell r="H689">
            <v>0</v>
          </cell>
        </row>
        <row r="690">
          <cell r="H690">
            <v>0</v>
          </cell>
        </row>
        <row r="691">
          <cell r="H691">
            <v>0</v>
          </cell>
        </row>
        <row r="692">
          <cell r="H692">
            <v>0</v>
          </cell>
        </row>
        <row r="693">
          <cell r="H693">
            <v>0</v>
          </cell>
        </row>
        <row r="694">
          <cell r="H694">
            <v>0</v>
          </cell>
        </row>
        <row r="695">
          <cell r="H695">
            <v>0</v>
          </cell>
        </row>
        <row r="696">
          <cell r="H696">
            <v>0</v>
          </cell>
        </row>
        <row r="697">
          <cell r="H697">
            <v>0</v>
          </cell>
        </row>
        <row r="698">
          <cell r="H698">
            <v>0</v>
          </cell>
        </row>
        <row r="699">
          <cell r="H699">
            <v>0</v>
          </cell>
        </row>
        <row r="700">
          <cell r="H700">
            <v>0</v>
          </cell>
        </row>
        <row r="701">
          <cell r="H701">
            <v>0</v>
          </cell>
        </row>
        <row r="702">
          <cell r="H702">
            <v>0</v>
          </cell>
        </row>
        <row r="703">
          <cell r="H703">
            <v>0</v>
          </cell>
        </row>
        <row r="704">
          <cell r="H704">
            <v>0</v>
          </cell>
        </row>
        <row r="705">
          <cell r="H705">
            <v>0</v>
          </cell>
        </row>
        <row r="706">
          <cell r="H706">
            <v>0</v>
          </cell>
        </row>
        <row r="707">
          <cell r="H707">
            <v>0</v>
          </cell>
        </row>
        <row r="708">
          <cell r="H708">
            <v>0</v>
          </cell>
        </row>
        <row r="709">
          <cell r="H709">
            <v>0</v>
          </cell>
        </row>
        <row r="710">
          <cell r="H710">
            <v>0</v>
          </cell>
        </row>
        <row r="711">
          <cell r="H711">
            <v>0</v>
          </cell>
        </row>
        <row r="712">
          <cell r="H712">
            <v>0</v>
          </cell>
        </row>
        <row r="713">
          <cell r="H713">
            <v>0</v>
          </cell>
        </row>
        <row r="714">
          <cell r="H714">
            <v>0</v>
          </cell>
        </row>
        <row r="715">
          <cell r="H715">
            <v>0</v>
          </cell>
        </row>
        <row r="716">
          <cell r="H716">
            <v>0</v>
          </cell>
        </row>
        <row r="717">
          <cell r="H717">
            <v>0</v>
          </cell>
        </row>
        <row r="718">
          <cell r="H718">
            <v>0</v>
          </cell>
        </row>
        <row r="719">
          <cell r="H719">
            <v>0</v>
          </cell>
        </row>
        <row r="720">
          <cell r="H720">
            <v>0</v>
          </cell>
        </row>
        <row r="721">
          <cell r="H721">
            <v>0</v>
          </cell>
        </row>
        <row r="722">
          <cell r="H722">
            <v>0</v>
          </cell>
        </row>
        <row r="723">
          <cell r="H723">
            <v>0</v>
          </cell>
        </row>
        <row r="724">
          <cell r="H724">
            <v>0</v>
          </cell>
        </row>
        <row r="725">
          <cell r="H725">
            <v>0</v>
          </cell>
        </row>
        <row r="726">
          <cell r="H726">
            <v>0</v>
          </cell>
        </row>
        <row r="727">
          <cell r="H727">
            <v>0</v>
          </cell>
        </row>
        <row r="728">
          <cell r="H728">
            <v>0</v>
          </cell>
        </row>
        <row r="729">
          <cell r="H729">
            <v>0</v>
          </cell>
        </row>
        <row r="730">
          <cell r="H730">
            <v>0</v>
          </cell>
        </row>
        <row r="731">
          <cell r="H731">
            <v>0</v>
          </cell>
        </row>
        <row r="732">
          <cell r="H732">
            <v>0</v>
          </cell>
        </row>
        <row r="733">
          <cell r="H733">
            <v>0</v>
          </cell>
        </row>
        <row r="734">
          <cell r="H734">
            <v>0</v>
          </cell>
        </row>
        <row r="735">
          <cell r="H735">
            <v>0</v>
          </cell>
        </row>
        <row r="736">
          <cell r="H736">
            <v>0</v>
          </cell>
        </row>
        <row r="737">
          <cell r="H737">
            <v>0</v>
          </cell>
        </row>
        <row r="738">
          <cell r="H738">
            <v>0</v>
          </cell>
        </row>
        <row r="739">
          <cell r="H739">
            <v>0</v>
          </cell>
        </row>
        <row r="740">
          <cell r="H740">
            <v>0</v>
          </cell>
        </row>
        <row r="741">
          <cell r="H741">
            <v>0</v>
          </cell>
        </row>
        <row r="742">
          <cell r="H742">
            <v>0</v>
          </cell>
        </row>
        <row r="743">
          <cell r="H743">
            <v>0</v>
          </cell>
        </row>
        <row r="744">
          <cell r="H744">
            <v>0</v>
          </cell>
        </row>
        <row r="745">
          <cell r="H745">
            <v>0</v>
          </cell>
        </row>
        <row r="746">
          <cell r="H746">
            <v>0</v>
          </cell>
        </row>
        <row r="747">
          <cell r="H747">
            <v>0</v>
          </cell>
        </row>
        <row r="748">
          <cell r="H748">
            <v>0</v>
          </cell>
        </row>
        <row r="749">
          <cell r="H749">
            <v>0</v>
          </cell>
        </row>
        <row r="750">
          <cell r="H750">
            <v>0</v>
          </cell>
        </row>
        <row r="751">
          <cell r="H751">
            <v>0</v>
          </cell>
        </row>
        <row r="752">
          <cell r="H752">
            <v>0</v>
          </cell>
        </row>
        <row r="753">
          <cell r="H753">
            <v>0</v>
          </cell>
        </row>
        <row r="754">
          <cell r="H754">
            <v>0</v>
          </cell>
        </row>
        <row r="755">
          <cell r="H755">
            <v>0</v>
          </cell>
        </row>
        <row r="756">
          <cell r="H756">
            <v>0</v>
          </cell>
        </row>
        <row r="757">
          <cell r="H757">
            <v>0</v>
          </cell>
        </row>
        <row r="758">
          <cell r="H758">
            <v>0</v>
          </cell>
        </row>
        <row r="759">
          <cell r="H759">
            <v>0</v>
          </cell>
        </row>
        <row r="760">
          <cell r="H760">
            <v>0</v>
          </cell>
        </row>
        <row r="761">
          <cell r="H761">
            <v>0</v>
          </cell>
        </row>
        <row r="762">
          <cell r="H762">
            <v>0</v>
          </cell>
        </row>
        <row r="763">
          <cell r="H763">
            <v>0</v>
          </cell>
        </row>
        <row r="764">
          <cell r="H764">
            <v>0</v>
          </cell>
        </row>
        <row r="765">
          <cell r="H765">
            <v>0</v>
          </cell>
        </row>
        <row r="766">
          <cell r="H766">
            <v>0</v>
          </cell>
        </row>
        <row r="767">
          <cell r="H767">
            <v>0</v>
          </cell>
        </row>
        <row r="768">
          <cell r="H768">
            <v>0</v>
          </cell>
        </row>
        <row r="769">
          <cell r="H769">
            <v>0</v>
          </cell>
        </row>
        <row r="770">
          <cell r="H770">
            <v>0</v>
          </cell>
        </row>
        <row r="771">
          <cell r="H771">
            <v>0</v>
          </cell>
        </row>
        <row r="772">
          <cell r="H772">
            <v>0</v>
          </cell>
        </row>
        <row r="773">
          <cell r="H773">
            <v>0</v>
          </cell>
        </row>
        <row r="774">
          <cell r="H774">
            <v>0</v>
          </cell>
        </row>
        <row r="775">
          <cell r="H775">
            <v>0</v>
          </cell>
        </row>
        <row r="776">
          <cell r="H776">
            <v>0</v>
          </cell>
        </row>
        <row r="777">
          <cell r="H777">
            <v>0</v>
          </cell>
        </row>
        <row r="778">
          <cell r="H778">
            <v>0</v>
          </cell>
        </row>
        <row r="779">
          <cell r="H779">
            <v>0</v>
          </cell>
        </row>
        <row r="780">
          <cell r="H780">
            <v>0</v>
          </cell>
        </row>
        <row r="781">
          <cell r="H781">
            <v>0</v>
          </cell>
        </row>
        <row r="782">
          <cell r="H782">
            <v>0</v>
          </cell>
        </row>
        <row r="783">
          <cell r="H783">
            <v>0</v>
          </cell>
        </row>
        <row r="784">
          <cell r="H784">
            <v>0</v>
          </cell>
        </row>
        <row r="785">
          <cell r="H785">
            <v>0</v>
          </cell>
        </row>
        <row r="786">
          <cell r="H786">
            <v>0</v>
          </cell>
        </row>
        <row r="787">
          <cell r="H787">
            <v>0</v>
          </cell>
        </row>
        <row r="788">
          <cell r="H788">
            <v>0</v>
          </cell>
        </row>
        <row r="789">
          <cell r="H789">
            <v>0</v>
          </cell>
        </row>
        <row r="790">
          <cell r="H790">
            <v>0</v>
          </cell>
        </row>
        <row r="791">
          <cell r="H791">
            <v>0</v>
          </cell>
        </row>
        <row r="792">
          <cell r="H792">
            <v>0</v>
          </cell>
        </row>
        <row r="793">
          <cell r="H793">
            <v>0</v>
          </cell>
        </row>
        <row r="794">
          <cell r="H794">
            <v>0</v>
          </cell>
        </row>
        <row r="795">
          <cell r="H795">
            <v>0</v>
          </cell>
        </row>
        <row r="796">
          <cell r="H796">
            <v>0</v>
          </cell>
        </row>
        <row r="797">
          <cell r="H797">
            <v>0</v>
          </cell>
        </row>
        <row r="798">
          <cell r="H798">
            <v>0</v>
          </cell>
        </row>
        <row r="799">
          <cell r="H799">
            <v>0</v>
          </cell>
        </row>
        <row r="800">
          <cell r="H800">
            <v>0</v>
          </cell>
        </row>
        <row r="801">
          <cell r="H801">
            <v>0</v>
          </cell>
        </row>
        <row r="802">
          <cell r="H802">
            <v>0</v>
          </cell>
        </row>
        <row r="803">
          <cell r="H803">
            <v>0</v>
          </cell>
        </row>
        <row r="804">
          <cell r="H804">
            <v>0</v>
          </cell>
        </row>
        <row r="805">
          <cell r="H805">
            <v>0</v>
          </cell>
        </row>
        <row r="806">
          <cell r="H806">
            <v>0</v>
          </cell>
        </row>
        <row r="807">
          <cell r="H807">
            <v>0</v>
          </cell>
        </row>
        <row r="808">
          <cell r="H808">
            <v>0</v>
          </cell>
        </row>
        <row r="809">
          <cell r="H809">
            <v>0</v>
          </cell>
        </row>
        <row r="810">
          <cell r="H810">
            <v>0</v>
          </cell>
        </row>
        <row r="811">
          <cell r="H811">
            <v>0</v>
          </cell>
        </row>
        <row r="812">
          <cell r="H812">
            <v>0</v>
          </cell>
        </row>
        <row r="813">
          <cell r="H813">
            <v>0</v>
          </cell>
        </row>
        <row r="814">
          <cell r="H814">
            <v>0</v>
          </cell>
        </row>
        <row r="815">
          <cell r="H815">
            <v>0</v>
          </cell>
        </row>
        <row r="816">
          <cell r="H816">
            <v>0</v>
          </cell>
        </row>
        <row r="817">
          <cell r="H817">
            <v>0</v>
          </cell>
        </row>
        <row r="818">
          <cell r="H818">
            <v>0</v>
          </cell>
        </row>
        <row r="819">
          <cell r="H819">
            <v>0</v>
          </cell>
        </row>
        <row r="820">
          <cell r="H820">
            <v>0</v>
          </cell>
        </row>
        <row r="821">
          <cell r="H821">
            <v>0</v>
          </cell>
        </row>
        <row r="822">
          <cell r="H822">
            <v>0</v>
          </cell>
        </row>
        <row r="823">
          <cell r="H823">
            <v>0</v>
          </cell>
        </row>
        <row r="824">
          <cell r="H824">
            <v>0</v>
          </cell>
        </row>
        <row r="825">
          <cell r="H825">
            <v>0</v>
          </cell>
        </row>
        <row r="826">
          <cell r="H826">
            <v>0</v>
          </cell>
        </row>
        <row r="827">
          <cell r="H827">
            <v>0</v>
          </cell>
        </row>
        <row r="828">
          <cell r="H828">
            <v>0</v>
          </cell>
        </row>
        <row r="829">
          <cell r="H829">
            <v>0</v>
          </cell>
        </row>
        <row r="830">
          <cell r="H830">
            <v>0</v>
          </cell>
        </row>
        <row r="831">
          <cell r="H831">
            <v>0</v>
          </cell>
        </row>
        <row r="832">
          <cell r="H832">
            <v>0</v>
          </cell>
        </row>
        <row r="833">
          <cell r="H833">
            <v>0</v>
          </cell>
        </row>
        <row r="834">
          <cell r="H834">
            <v>0</v>
          </cell>
        </row>
        <row r="835">
          <cell r="H835">
            <v>0</v>
          </cell>
        </row>
        <row r="836">
          <cell r="H836">
            <v>0</v>
          </cell>
        </row>
        <row r="837">
          <cell r="H837">
            <v>0</v>
          </cell>
        </row>
        <row r="838">
          <cell r="H838">
            <v>0</v>
          </cell>
        </row>
        <row r="839">
          <cell r="H839">
            <v>0</v>
          </cell>
        </row>
        <row r="840">
          <cell r="H840">
            <v>0</v>
          </cell>
        </row>
        <row r="841">
          <cell r="H841">
            <v>0</v>
          </cell>
        </row>
        <row r="842">
          <cell r="H842">
            <v>0</v>
          </cell>
        </row>
        <row r="843">
          <cell r="H843">
            <v>0</v>
          </cell>
        </row>
        <row r="844">
          <cell r="H844">
            <v>0</v>
          </cell>
        </row>
        <row r="845">
          <cell r="H845">
            <v>0</v>
          </cell>
        </row>
        <row r="846">
          <cell r="H846">
            <v>0</v>
          </cell>
        </row>
        <row r="847">
          <cell r="H847">
            <v>0</v>
          </cell>
        </row>
        <row r="848">
          <cell r="H848">
            <v>0</v>
          </cell>
        </row>
        <row r="849">
          <cell r="H849">
            <v>0</v>
          </cell>
        </row>
        <row r="850">
          <cell r="H850">
            <v>0</v>
          </cell>
        </row>
        <row r="851">
          <cell r="H851">
            <v>0</v>
          </cell>
        </row>
        <row r="852">
          <cell r="H852">
            <v>0</v>
          </cell>
        </row>
        <row r="853">
          <cell r="H853">
            <v>0</v>
          </cell>
        </row>
        <row r="854">
          <cell r="H854">
            <v>0</v>
          </cell>
        </row>
        <row r="855">
          <cell r="H855">
            <v>0</v>
          </cell>
        </row>
        <row r="856">
          <cell r="H856">
            <v>0</v>
          </cell>
        </row>
        <row r="857">
          <cell r="H857">
            <v>0</v>
          </cell>
        </row>
        <row r="858">
          <cell r="H858">
            <v>0</v>
          </cell>
        </row>
        <row r="859">
          <cell r="H859">
            <v>0</v>
          </cell>
        </row>
        <row r="860">
          <cell r="H860">
            <v>0</v>
          </cell>
        </row>
        <row r="861">
          <cell r="H861">
            <v>0</v>
          </cell>
        </row>
        <row r="862">
          <cell r="H862">
            <v>0</v>
          </cell>
        </row>
        <row r="863">
          <cell r="H863">
            <v>0</v>
          </cell>
        </row>
        <row r="864">
          <cell r="H864">
            <v>0</v>
          </cell>
        </row>
        <row r="865">
          <cell r="H865">
            <v>0</v>
          </cell>
        </row>
        <row r="866">
          <cell r="H866">
            <v>0</v>
          </cell>
        </row>
        <row r="867">
          <cell r="H867">
            <v>0</v>
          </cell>
        </row>
        <row r="868">
          <cell r="H868">
            <v>0</v>
          </cell>
        </row>
        <row r="869">
          <cell r="H869">
            <v>0</v>
          </cell>
        </row>
        <row r="870">
          <cell r="H870">
            <v>0</v>
          </cell>
        </row>
        <row r="871">
          <cell r="H871">
            <v>0</v>
          </cell>
        </row>
        <row r="872">
          <cell r="H872">
            <v>0</v>
          </cell>
        </row>
        <row r="873">
          <cell r="H873">
            <v>0</v>
          </cell>
        </row>
        <row r="874">
          <cell r="H874">
            <v>0</v>
          </cell>
        </row>
        <row r="875">
          <cell r="H875">
            <v>0</v>
          </cell>
        </row>
        <row r="876">
          <cell r="H876">
            <v>0</v>
          </cell>
        </row>
        <row r="877">
          <cell r="H877">
            <v>0</v>
          </cell>
        </row>
        <row r="878">
          <cell r="H878">
            <v>0</v>
          </cell>
        </row>
        <row r="879">
          <cell r="H879">
            <v>0</v>
          </cell>
        </row>
        <row r="880">
          <cell r="H880">
            <v>0</v>
          </cell>
        </row>
        <row r="881">
          <cell r="H881">
            <v>0</v>
          </cell>
        </row>
        <row r="882">
          <cell r="H882">
            <v>0</v>
          </cell>
        </row>
        <row r="883">
          <cell r="H883">
            <v>0</v>
          </cell>
        </row>
        <row r="884">
          <cell r="H884">
            <v>0</v>
          </cell>
        </row>
        <row r="885">
          <cell r="H885">
            <v>0</v>
          </cell>
        </row>
        <row r="886">
          <cell r="H886">
            <v>0</v>
          </cell>
        </row>
        <row r="887">
          <cell r="H887">
            <v>0</v>
          </cell>
        </row>
        <row r="888">
          <cell r="H888">
            <v>0</v>
          </cell>
        </row>
        <row r="889">
          <cell r="H889">
            <v>0</v>
          </cell>
        </row>
        <row r="890">
          <cell r="H890">
            <v>0</v>
          </cell>
        </row>
        <row r="891">
          <cell r="H891">
            <v>0</v>
          </cell>
        </row>
        <row r="892">
          <cell r="H892">
            <v>0</v>
          </cell>
        </row>
        <row r="893">
          <cell r="H893">
            <v>0</v>
          </cell>
        </row>
        <row r="894">
          <cell r="H894">
            <v>0</v>
          </cell>
        </row>
        <row r="895">
          <cell r="H895">
            <v>0</v>
          </cell>
        </row>
        <row r="896">
          <cell r="H896">
            <v>0</v>
          </cell>
        </row>
        <row r="897">
          <cell r="H897">
            <v>0</v>
          </cell>
        </row>
        <row r="898">
          <cell r="H898">
            <v>0</v>
          </cell>
        </row>
        <row r="899">
          <cell r="H899">
            <v>0</v>
          </cell>
        </row>
        <row r="900">
          <cell r="H900">
            <v>0</v>
          </cell>
        </row>
        <row r="901">
          <cell r="H901">
            <v>0</v>
          </cell>
        </row>
        <row r="902">
          <cell r="H902">
            <v>0</v>
          </cell>
        </row>
        <row r="903">
          <cell r="H903">
            <v>0</v>
          </cell>
        </row>
        <row r="904">
          <cell r="H904">
            <v>0</v>
          </cell>
        </row>
        <row r="905">
          <cell r="H905">
            <v>0</v>
          </cell>
        </row>
        <row r="906">
          <cell r="H906">
            <v>0</v>
          </cell>
        </row>
        <row r="907">
          <cell r="H907">
            <v>0</v>
          </cell>
        </row>
        <row r="908">
          <cell r="H908">
            <v>0</v>
          </cell>
        </row>
        <row r="909">
          <cell r="H909">
            <v>0</v>
          </cell>
        </row>
        <row r="910">
          <cell r="H910">
            <v>0</v>
          </cell>
        </row>
        <row r="911">
          <cell r="H911">
            <v>0</v>
          </cell>
        </row>
        <row r="912">
          <cell r="H912">
            <v>0</v>
          </cell>
        </row>
        <row r="913">
          <cell r="H913">
            <v>0</v>
          </cell>
        </row>
        <row r="914">
          <cell r="H914">
            <v>0</v>
          </cell>
        </row>
        <row r="915">
          <cell r="H915">
            <v>0</v>
          </cell>
        </row>
        <row r="916">
          <cell r="H916">
            <v>0</v>
          </cell>
        </row>
        <row r="917">
          <cell r="H917">
            <v>0</v>
          </cell>
        </row>
        <row r="918">
          <cell r="H918">
            <v>0</v>
          </cell>
        </row>
        <row r="919">
          <cell r="H919">
            <v>0</v>
          </cell>
        </row>
        <row r="920">
          <cell r="H920">
            <v>0</v>
          </cell>
        </row>
        <row r="921">
          <cell r="H921">
            <v>0</v>
          </cell>
        </row>
        <row r="922">
          <cell r="H922">
            <v>0</v>
          </cell>
        </row>
        <row r="923">
          <cell r="H923">
            <v>0</v>
          </cell>
        </row>
        <row r="924">
          <cell r="H924">
            <v>0</v>
          </cell>
        </row>
        <row r="925">
          <cell r="H925">
            <v>0</v>
          </cell>
        </row>
        <row r="926">
          <cell r="H926">
            <v>0</v>
          </cell>
        </row>
        <row r="927">
          <cell r="H927">
            <v>0</v>
          </cell>
        </row>
        <row r="928">
          <cell r="H928">
            <v>0</v>
          </cell>
        </row>
        <row r="929">
          <cell r="H929">
            <v>0</v>
          </cell>
        </row>
        <row r="930">
          <cell r="H930">
            <v>0</v>
          </cell>
        </row>
        <row r="931">
          <cell r="H931">
            <v>0</v>
          </cell>
        </row>
        <row r="932">
          <cell r="H932">
            <v>0</v>
          </cell>
        </row>
        <row r="933">
          <cell r="H933">
            <v>0</v>
          </cell>
        </row>
        <row r="934">
          <cell r="H934">
            <v>0</v>
          </cell>
        </row>
        <row r="935">
          <cell r="H935">
            <v>0</v>
          </cell>
        </row>
        <row r="936">
          <cell r="H936">
            <v>0</v>
          </cell>
        </row>
        <row r="937">
          <cell r="H937">
            <v>0</v>
          </cell>
        </row>
        <row r="938">
          <cell r="H938">
            <v>0</v>
          </cell>
        </row>
        <row r="939">
          <cell r="H939">
            <v>0</v>
          </cell>
        </row>
        <row r="940">
          <cell r="H940">
            <v>0</v>
          </cell>
        </row>
        <row r="941">
          <cell r="H941">
            <v>0</v>
          </cell>
        </row>
        <row r="942">
          <cell r="H942">
            <v>0</v>
          </cell>
        </row>
        <row r="943">
          <cell r="H943">
            <v>0</v>
          </cell>
        </row>
        <row r="944">
          <cell r="H944">
            <v>0</v>
          </cell>
        </row>
        <row r="945">
          <cell r="H945">
            <v>0</v>
          </cell>
        </row>
        <row r="946">
          <cell r="H946">
            <v>0</v>
          </cell>
        </row>
        <row r="947">
          <cell r="H947">
            <v>0</v>
          </cell>
        </row>
        <row r="948">
          <cell r="H948">
            <v>0</v>
          </cell>
        </row>
        <row r="949">
          <cell r="H949">
            <v>0</v>
          </cell>
        </row>
        <row r="950">
          <cell r="H950">
            <v>0</v>
          </cell>
        </row>
        <row r="951">
          <cell r="H951">
            <v>0</v>
          </cell>
        </row>
        <row r="952">
          <cell r="H952">
            <v>0</v>
          </cell>
        </row>
        <row r="953">
          <cell r="H953">
            <v>0</v>
          </cell>
        </row>
        <row r="954">
          <cell r="H954">
            <v>0</v>
          </cell>
        </row>
        <row r="955">
          <cell r="H955">
            <v>0</v>
          </cell>
        </row>
        <row r="956">
          <cell r="H956">
            <v>0</v>
          </cell>
        </row>
        <row r="957">
          <cell r="H957">
            <v>0</v>
          </cell>
        </row>
        <row r="958">
          <cell r="H958">
            <v>0</v>
          </cell>
        </row>
        <row r="959">
          <cell r="H959">
            <v>0</v>
          </cell>
        </row>
        <row r="960">
          <cell r="H960">
            <v>0</v>
          </cell>
        </row>
        <row r="961">
          <cell r="H961">
            <v>0</v>
          </cell>
        </row>
        <row r="962">
          <cell r="H962">
            <v>0</v>
          </cell>
        </row>
        <row r="963">
          <cell r="H963">
            <v>0</v>
          </cell>
        </row>
        <row r="964">
          <cell r="H964">
            <v>0</v>
          </cell>
        </row>
        <row r="965">
          <cell r="H965">
            <v>0</v>
          </cell>
        </row>
        <row r="966">
          <cell r="H966">
            <v>0</v>
          </cell>
        </row>
        <row r="967">
          <cell r="H967">
            <v>0</v>
          </cell>
        </row>
        <row r="968">
          <cell r="H968">
            <v>0</v>
          </cell>
        </row>
        <row r="969">
          <cell r="H969">
            <v>0</v>
          </cell>
        </row>
        <row r="970">
          <cell r="H970">
            <v>0</v>
          </cell>
        </row>
        <row r="971">
          <cell r="H971">
            <v>0</v>
          </cell>
        </row>
        <row r="972">
          <cell r="H972">
            <v>0</v>
          </cell>
        </row>
        <row r="973">
          <cell r="H973">
            <v>0</v>
          </cell>
        </row>
        <row r="974">
          <cell r="H974">
            <v>0</v>
          </cell>
        </row>
        <row r="975">
          <cell r="H975">
            <v>0</v>
          </cell>
        </row>
        <row r="976">
          <cell r="H976">
            <v>0</v>
          </cell>
        </row>
        <row r="977">
          <cell r="H977">
            <v>0</v>
          </cell>
        </row>
        <row r="978">
          <cell r="H978">
            <v>0</v>
          </cell>
        </row>
        <row r="979">
          <cell r="H979">
            <v>0</v>
          </cell>
        </row>
        <row r="980">
          <cell r="H980">
            <v>0</v>
          </cell>
        </row>
        <row r="981">
          <cell r="H981">
            <v>0</v>
          </cell>
        </row>
        <row r="982">
          <cell r="H982">
            <v>0</v>
          </cell>
        </row>
        <row r="983">
          <cell r="H983">
            <v>0</v>
          </cell>
        </row>
        <row r="984">
          <cell r="H984">
            <v>0</v>
          </cell>
        </row>
        <row r="985">
          <cell r="H985">
            <v>0</v>
          </cell>
        </row>
        <row r="986">
          <cell r="H986">
            <v>0</v>
          </cell>
        </row>
        <row r="987">
          <cell r="H987">
            <v>0</v>
          </cell>
        </row>
        <row r="988">
          <cell r="H988">
            <v>0</v>
          </cell>
        </row>
        <row r="989">
          <cell r="H989">
            <v>0</v>
          </cell>
        </row>
        <row r="990">
          <cell r="H990">
            <v>0</v>
          </cell>
        </row>
        <row r="991">
          <cell r="H991">
            <v>0</v>
          </cell>
        </row>
        <row r="992">
          <cell r="H992">
            <v>0</v>
          </cell>
        </row>
        <row r="993">
          <cell r="H993">
            <v>0</v>
          </cell>
        </row>
        <row r="994">
          <cell r="H994">
            <v>0</v>
          </cell>
        </row>
        <row r="995">
          <cell r="H995">
            <v>0</v>
          </cell>
        </row>
        <row r="996">
          <cell r="H996">
            <v>0</v>
          </cell>
        </row>
        <row r="997">
          <cell r="H997">
            <v>0</v>
          </cell>
        </row>
        <row r="998">
          <cell r="H998">
            <v>0</v>
          </cell>
        </row>
        <row r="999">
          <cell r="H999">
            <v>0</v>
          </cell>
        </row>
        <row r="1000">
          <cell r="H1000">
            <v>0</v>
          </cell>
        </row>
        <row r="1001">
          <cell r="H1001">
            <v>0</v>
          </cell>
        </row>
        <row r="1002">
          <cell r="H1002">
            <v>0</v>
          </cell>
        </row>
        <row r="1003">
          <cell r="H1003">
            <v>0</v>
          </cell>
        </row>
        <row r="1004">
          <cell r="H1004">
            <v>0</v>
          </cell>
        </row>
        <row r="1005">
          <cell r="H1005">
            <v>0</v>
          </cell>
        </row>
        <row r="1006">
          <cell r="H1006">
            <v>0</v>
          </cell>
        </row>
        <row r="1007">
          <cell r="H1007">
            <v>0</v>
          </cell>
        </row>
        <row r="1008">
          <cell r="H1008">
            <v>0</v>
          </cell>
        </row>
        <row r="1009">
          <cell r="H1009">
            <v>0</v>
          </cell>
        </row>
        <row r="1010">
          <cell r="H1010">
            <v>0</v>
          </cell>
        </row>
        <row r="1011">
          <cell r="H1011">
            <v>0</v>
          </cell>
        </row>
        <row r="1012">
          <cell r="H1012">
            <v>0</v>
          </cell>
        </row>
        <row r="1013">
          <cell r="H1013">
            <v>0</v>
          </cell>
        </row>
        <row r="1014">
          <cell r="H1014">
            <v>0</v>
          </cell>
        </row>
        <row r="1015">
          <cell r="H1015">
            <v>0</v>
          </cell>
        </row>
        <row r="1016">
          <cell r="H1016">
            <v>0</v>
          </cell>
        </row>
        <row r="1017">
          <cell r="H1017">
            <v>0</v>
          </cell>
        </row>
        <row r="1018">
          <cell r="H1018">
            <v>0</v>
          </cell>
        </row>
        <row r="1019">
          <cell r="H1019">
            <v>0</v>
          </cell>
        </row>
        <row r="1020">
          <cell r="H1020">
            <v>0</v>
          </cell>
        </row>
        <row r="1021">
          <cell r="H1021">
            <v>0</v>
          </cell>
        </row>
        <row r="1022">
          <cell r="H1022">
            <v>0</v>
          </cell>
        </row>
        <row r="1023">
          <cell r="H1023">
            <v>0</v>
          </cell>
        </row>
        <row r="1024">
          <cell r="H1024">
            <v>0</v>
          </cell>
        </row>
        <row r="1025">
          <cell r="H1025">
            <v>0</v>
          </cell>
        </row>
        <row r="1026">
          <cell r="H1026">
            <v>0</v>
          </cell>
        </row>
        <row r="1027">
          <cell r="H1027">
            <v>0</v>
          </cell>
        </row>
        <row r="1028">
          <cell r="H1028">
            <v>0</v>
          </cell>
        </row>
        <row r="1029">
          <cell r="H1029">
            <v>0</v>
          </cell>
        </row>
        <row r="1030">
          <cell r="H1030">
            <v>0</v>
          </cell>
        </row>
        <row r="1031">
          <cell r="H1031">
            <v>0</v>
          </cell>
        </row>
        <row r="1032">
          <cell r="H1032">
            <v>0</v>
          </cell>
        </row>
        <row r="1033">
          <cell r="H1033">
            <v>0</v>
          </cell>
        </row>
        <row r="1034">
          <cell r="H1034">
            <v>0</v>
          </cell>
        </row>
        <row r="1035">
          <cell r="H1035">
            <v>0</v>
          </cell>
        </row>
        <row r="1036">
          <cell r="H1036">
            <v>0</v>
          </cell>
        </row>
        <row r="1037">
          <cell r="H1037">
            <v>0</v>
          </cell>
        </row>
        <row r="1038">
          <cell r="H1038">
            <v>0</v>
          </cell>
        </row>
        <row r="1039">
          <cell r="H1039">
            <v>0</v>
          </cell>
        </row>
        <row r="1040">
          <cell r="H1040">
            <v>0</v>
          </cell>
        </row>
        <row r="1041">
          <cell r="H1041">
            <v>0</v>
          </cell>
        </row>
        <row r="1042">
          <cell r="H1042">
            <v>0</v>
          </cell>
        </row>
        <row r="1043">
          <cell r="H1043">
            <v>0</v>
          </cell>
        </row>
        <row r="1044">
          <cell r="H1044">
            <v>0</v>
          </cell>
        </row>
        <row r="1045">
          <cell r="H1045">
            <v>0</v>
          </cell>
        </row>
        <row r="1046">
          <cell r="H1046">
            <v>0</v>
          </cell>
        </row>
        <row r="1047">
          <cell r="H1047">
            <v>0</v>
          </cell>
        </row>
        <row r="1048">
          <cell r="H1048">
            <v>0</v>
          </cell>
        </row>
        <row r="1049">
          <cell r="H1049">
            <v>0</v>
          </cell>
        </row>
        <row r="1050">
          <cell r="H1050">
            <v>0</v>
          </cell>
        </row>
        <row r="1051">
          <cell r="H1051">
            <v>0</v>
          </cell>
        </row>
        <row r="1052">
          <cell r="H1052">
            <v>0</v>
          </cell>
        </row>
        <row r="1053">
          <cell r="H1053">
            <v>0</v>
          </cell>
        </row>
        <row r="1054">
          <cell r="H1054">
            <v>0</v>
          </cell>
        </row>
        <row r="1055">
          <cell r="H1055">
            <v>0</v>
          </cell>
        </row>
        <row r="1056">
          <cell r="H1056">
            <v>0</v>
          </cell>
        </row>
        <row r="1057">
          <cell r="H1057">
            <v>0</v>
          </cell>
        </row>
        <row r="1058">
          <cell r="H1058">
            <v>0</v>
          </cell>
        </row>
        <row r="1059">
          <cell r="H1059">
            <v>0</v>
          </cell>
        </row>
        <row r="1060">
          <cell r="H1060">
            <v>0</v>
          </cell>
        </row>
        <row r="1061">
          <cell r="H1061">
            <v>0</v>
          </cell>
        </row>
        <row r="1062">
          <cell r="H1062">
            <v>0</v>
          </cell>
        </row>
        <row r="1063">
          <cell r="H1063">
            <v>0</v>
          </cell>
        </row>
        <row r="1064">
          <cell r="H1064">
            <v>0</v>
          </cell>
        </row>
        <row r="1065">
          <cell r="H1065">
            <v>0</v>
          </cell>
        </row>
        <row r="1066">
          <cell r="H1066">
            <v>0</v>
          </cell>
        </row>
        <row r="1067">
          <cell r="H1067">
            <v>0</v>
          </cell>
        </row>
        <row r="1068">
          <cell r="H1068">
            <v>0</v>
          </cell>
        </row>
        <row r="1069">
          <cell r="H1069">
            <v>0</v>
          </cell>
        </row>
        <row r="1070">
          <cell r="H1070">
            <v>0</v>
          </cell>
        </row>
        <row r="1071">
          <cell r="H1071">
            <v>0</v>
          </cell>
        </row>
        <row r="1072">
          <cell r="H1072">
            <v>0</v>
          </cell>
        </row>
        <row r="1073">
          <cell r="H1073">
            <v>0</v>
          </cell>
        </row>
        <row r="1074">
          <cell r="H1074">
            <v>0</v>
          </cell>
        </row>
        <row r="1075">
          <cell r="H1075">
            <v>0</v>
          </cell>
        </row>
        <row r="1076">
          <cell r="H1076">
            <v>0</v>
          </cell>
        </row>
        <row r="1077">
          <cell r="H1077">
            <v>0</v>
          </cell>
        </row>
        <row r="1078">
          <cell r="H1078">
            <v>0</v>
          </cell>
        </row>
        <row r="1079">
          <cell r="H1079">
            <v>0</v>
          </cell>
        </row>
        <row r="1080">
          <cell r="H1080">
            <v>0</v>
          </cell>
        </row>
        <row r="1081">
          <cell r="H1081">
            <v>0</v>
          </cell>
        </row>
        <row r="1082">
          <cell r="H1082">
            <v>0</v>
          </cell>
        </row>
        <row r="1083">
          <cell r="H1083">
            <v>0</v>
          </cell>
        </row>
        <row r="1084">
          <cell r="H1084">
            <v>0</v>
          </cell>
        </row>
        <row r="1085">
          <cell r="H1085">
            <v>0</v>
          </cell>
        </row>
        <row r="1086">
          <cell r="H1086">
            <v>0</v>
          </cell>
        </row>
        <row r="1087">
          <cell r="H1087">
            <v>0</v>
          </cell>
        </row>
        <row r="1088">
          <cell r="H1088">
            <v>0</v>
          </cell>
        </row>
        <row r="1089">
          <cell r="H1089">
            <v>0</v>
          </cell>
        </row>
        <row r="1090">
          <cell r="H1090">
            <v>0</v>
          </cell>
        </row>
        <row r="1091">
          <cell r="H1091">
            <v>0</v>
          </cell>
        </row>
        <row r="1092">
          <cell r="H1092">
            <v>0</v>
          </cell>
        </row>
        <row r="1093">
          <cell r="H1093">
            <v>0</v>
          </cell>
        </row>
        <row r="1094">
          <cell r="H1094">
            <v>0</v>
          </cell>
        </row>
        <row r="1095">
          <cell r="H1095">
            <v>0</v>
          </cell>
        </row>
        <row r="1096">
          <cell r="H1096">
            <v>0</v>
          </cell>
        </row>
        <row r="1097">
          <cell r="H1097">
            <v>0</v>
          </cell>
        </row>
        <row r="1098">
          <cell r="H1098">
            <v>0</v>
          </cell>
        </row>
        <row r="1099">
          <cell r="H1099">
            <v>0</v>
          </cell>
        </row>
        <row r="1100">
          <cell r="H1100">
            <v>0</v>
          </cell>
        </row>
        <row r="1101">
          <cell r="H1101">
            <v>0</v>
          </cell>
        </row>
        <row r="1102">
          <cell r="H1102">
            <v>0</v>
          </cell>
        </row>
        <row r="1103">
          <cell r="H1103">
            <v>0</v>
          </cell>
        </row>
        <row r="1104">
          <cell r="H1104">
            <v>0</v>
          </cell>
        </row>
        <row r="1105">
          <cell r="H1105">
            <v>0</v>
          </cell>
        </row>
        <row r="1106">
          <cell r="H1106">
            <v>0</v>
          </cell>
        </row>
        <row r="1107">
          <cell r="H1107">
            <v>0</v>
          </cell>
        </row>
        <row r="1108">
          <cell r="H1108">
            <v>0</v>
          </cell>
        </row>
        <row r="1109">
          <cell r="H1109">
            <v>0</v>
          </cell>
        </row>
        <row r="1110">
          <cell r="H1110">
            <v>0</v>
          </cell>
        </row>
        <row r="1111">
          <cell r="H1111">
            <v>0</v>
          </cell>
        </row>
        <row r="1112">
          <cell r="H1112">
            <v>0</v>
          </cell>
        </row>
        <row r="1113">
          <cell r="H1113">
            <v>0</v>
          </cell>
        </row>
        <row r="1114">
          <cell r="H1114">
            <v>0</v>
          </cell>
        </row>
        <row r="1115">
          <cell r="H1115">
            <v>0</v>
          </cell>
        </row>
        <row r="1116">
          <cell r="H1116">
            <v>0</v>
          </cell>
        </row>
        <row r="1117">
          <cell r="H1117">
            <v>0</v>
          </cell>
        </row>
        <row r="1118">
          <cell r="H1118">
            <v>0</v>
          </cell>
        </row>
        <row r="1119">
          <cell r="H1119">
            <v>0</v>
          </cell>
        </row>
        <row r="1120">
          <cell r="H1120">
            <v>0</v>
          </cell>
        </row>
        <row r="1121">
          <cell r="H1121">
            <v>0</v>
          </cell>
        </row>
        <row r="1122">
          <cell r="H1122">
            <v>0</v>
          </cell>
        </row>
        <row r="1123">
          <cell r="H1123">
            <v>0</v>
          </cell>
        </row>
        <row r="1124">
          <cell r="H1124">
            <v>0</v>
          </cell>
        </row>
        <row r="1125">
          <cell r="H1125">
            <v>0</v>
          </cell>
        </row>
        <row r="1126">
          <cell r="H1126">
            <v>0</v>
          </cell>
        </row>
        <row r="1127">
          <cell r="H1127">
            <v>0</v>
          </cell>
        </row>
        <row r="1128">
          <cell r="H1128">
            <v>0</v>
          </cell>
        </row>
        <row r="1129">
          <cell r="H1129">
            <v>0</v>
          </cell>
        </row>
        <row r="1130">
          <cell r="H1130">
            <v>0</v>
          </cell>
        </row>
        <row r="1131">
          <cell r="H1131">
            <v>0</v>
          </cell>
        </row>
        <row r="1132">
          <cell r="H1132">
            <v>0</v>
          </cell>
        </row>
        <row r="1133">
          <cell r="H1133">
            <v>0</v>
          </cell>
        </row>
        <row r="1134">
          <cell r="H1134">
            <v>0</v>
          </cell>
        </row>
        <row r="1135">
          <cell r="H1135">
            <v>0</v>
          </cell>
        </row>
        <row r="1136">
          <cell r="H1136">
            <v>0</v>
          </cell>
        </row>
        <row r="1137">
          <cell r="H1137">
            <v>0</v>
          </cell>
        </row>
        <row r="1138">
          <cell r="H1138">
            <v>0</v>
          </cell>
        </row>
        <row r="1139">
          <cell r="H1139">
            <v>0</v>
          </cell>
        </row>
        <row r="1140">
          <cell r="H1140">
            <v>0</v>
          </cell>
        </row>
        <row r="1141">
          <cell r="H1141">
            <v>0</v>
          </cell>
        </row>
        <row r="1142">
          <cell r="H1142">
            <v>0</v>
          </cell>
        </row>
        <row r="1143">
          <cell r="H1143">
            <v>0</v>
          </cell>
        </row>
        <row r="1144">
          <cell r="H1144">
            <v>0</v>
          </cell>
        </row>
        <row r="1145">
          <cell r="H1145">
            <v>0</v>
          </cell>
        </row>
        <row r="1146">
          <cell r="H1146">
            <v>0</v>
          </cell>
        </row>
        <row r="1147">
          <cell r="H1147">
            <v>0</v>
          </cell>
        </row>
        <row r="1148">
          <cell r="H1148">
            <v>0</v>
          </cell>
        </row>
        <row r="1149">
          <cell r="H1149">
            <v>0</v>
          </cell>
        </row>
        <row r="1150">
          <cell r="H1150">
            <v>0</v>
          </cell>
        </row>
        <row r="1151">
          <cell r="H1151">
            <v>0</v>
          </cell>
        </row>
        <row r="1152">
          <cell r="H1152">
            <v>0</v>
          </cell>
        </row>
        <row r="1153">
          <cell r="H1153">
            <v>0</v>
          </cell>
        </row>
        <row r="1154">
          <cell r="H1154">
            <v>0</v>
          </cell>
        </row>
        <row r="1155">
          <cell r="H1155">
            <v>0</v>
          </cell>
        </row>
        <row r="1156">
          <cell r="H1156">
            <v>0</v>
          </cell>
        </row>
        <row r="1157">
          <cell r="H1157">
            <v>0</v>
          </cell>
        </row>
        <row r="1158">
          <cell r="H1158">
            <v>0</v>
          </cell>
        </row>
        <row r="1159">
          <cell r="H1159">
            <v>0</v>
          </cell>
        </row>
        <row r="1160">
          <cell r="H1160">
            <v>0</v>
          </cell>
        </row>
        <row r="1161">
          <cell r="H1161">
            <v>0</v>
          </cell>
        </row>
        <row r="1162">
          <cell r="H1162">
            <v>0</v>
          </cell>
        </row>
        <row r="1163">
          <cell r="H1163">
            <v>0</v>
          </cell>
        </row>
        <row r="1164">
          <cell r="H1164">
            <v>0</v>
          </cell>
        </row>
        <row r="1165">
          <cell r="H1165">
            <v>0</v>
          </cell>
        </row>
        <row r="1166">
          <cell r="H1166">
            <v>0</v>
          </cell>
        </row>
        <row r="1167">
          <cell r="H1167">
            <v>0</v>
          </cell>
        </row>
        <row r="1168">
          <cell r="H1168">
            <v>0</v>
          </cell>
        </row>
        <row r="1169">
          <cell r="H1169">
            <v>0</v>
          </cell>
        </row>
        <row r="1170">
          <cell r="H1170">
            <v>0</v>
          </cell>
        </row>
        <row r="1171">
          <cell r="H1171">
            <v>0</v>
          </cell>
        </row>
        <row r="1172">
          <cell r="H1172">
            <v>0</v>
          </cell>
        </row>
        <row r="1173">
          <cell r="H1173">
            <v>0</v>
          </cell>
        </row>
        <row r="1174">
          <cell r="H1174">
            <v>0</v>
          </cell>
        </row>
        <row r="1175">
          <cell r="H1175">
            <v>0</v>
          </cell>
        </row>
        <row r="1176">
          <cell r="H1176">
            <v>0</v>
          </cell>
        </row>
        <row r="1177">
          <cell r="H1177">
            <v>0</v>
          </cell>
        </row>
        <row r="1178">
          <cell r="H1178">
            <v>0</v>
          </cell>
        </row>
        <row r="1179">
          <cell r="H1179">
            <v>0</v>
          </cell>
        </row>
        <row r="1180">
          <cell r="H1180">
            <v>0</v>
          </cell>
        </row>
        <row r="1181">
          <cell r="H1181">
            <v>0</v>
          </cell>
        </row>
        <row r="1182">
          <cell r="H1182">
            <v>0</v>
          </cell>
        </row>
        <row r="1183">
          <cell r="H1183">
            <v>0</v>
          </cell>
        </row>
        <row r="1184">
          <cell r="H1184">
            <v>0</v>
          </cell>
        </row>
        <row r="1185">
          <cell r="H1185">
            <v>0</v>
          </cell>
        </row>
        <row r="1186">
          <cell r="H1186">
            <v>0</v>
          </cell>
        </row>
        <row r="1187">
          <cell r="H1187">
            <v>0</v>
          </cell>
        </row>
        <row r="1188">
          <cell r="H1188">
            <v>0</v>
          </cell>
        </row>
        <row r="1189">
          <cell r="H1189">
            <v>0</v>
          </cell>
        </row>
        <row r="1190">
          <cell r="H1190">
            <v>0</v>
          </cell>
        </row>
        <row r="1191">
          <cell r="H1191">
            <v>0</v>
          </cell>
        </row>
        <row r="1192">
          <cell r="H1192">
            <v>0</v>
          </cell>
        </row>
        <row r="1193">
          <cell r="H1193">
            <v>0</v>
          </cell>
        </row>
        <row r="1194">
          <cell r="H1194">
            <v>0</v>
          </cell>
        </row>
        <row r="1195">
          <cell r="H1195">
            <v>0</v>
          </cell>
        </row>
        <row r="1196">
          <cell r="H1196">
            <v>0</v>
          </cell>
        </row>
        <row r="1197">
          <cell r="H1197">
            <v>0</v>
          </cell>
        </row>
        <row r="1198">
          <cell r="H1198">
            <v>0</v>
          </cell>
        </row>
        <row r="1199">
          <cell r="H1199">
            <v>0</v>
          </cell>
        </row>
        <row r="1200">
          <cell r="H1200">
            <v>0</v>
          </cell>
        </row>
        <row r="1201">
          <cell r="H1201">
            <v>0</v>
          </cell>
        </row>
        <row r="1202">
          <cell r="H1202">
            <v>0</v>
          </cell>
        </row>
        <row r="1203">
          <cell r="H1203">
            <v>0</v>
          </cell>
        </row>
        <row r="1204">
          <cell r="H1204">
            <v>0</v>
          </cell>
        </row>
        <row r="1205">
          <cell r="H1205">
            <v>0</v>
          </cell>
        </row>
        <row r="1206">
          <cell r="H1206">
            <v>0</v>
          </cell>
        </row>
        <row r="1207">
          <cell r="H1207">
            <v>0</v>
          </cell>
        </row>
        <row r="1208">
          <cell r="H1208">
            <v>0</v>
          </cell>
        </row>
        <row r="1209">
          <cell r="H1209">
            <v>0</v>
          </cell>
        </row>
        <row r="1210">
          <cell r="H1210">
            <v>0</v>
          </cell>
        </row>
        <row r="1211">
          <cell r="H1211">
            <v>0</v>
          </cell>
        </row>
        <row r="1212">
          <cell r="H1212">
            <v>0</v>
          </cell>
        </row>
        <row r="1213">
          <cell r="H1213">
            <v>0</v>
          </cell>
        </row>
        <row r="1214">
          <cell r="H1214">
            <v>0</v>
          </cell>
        </row>
        <row r="1215">
          <cell r="H1215">
            <v>0</v>
          </cell>
        </row>
        <row r="1216">
          <cell r="H1216">
            <v>0</v>
          </cell>
        </row>
        <row r="1217">
          <cell r="H1217">
            <v>0</v>
          </cell>
        </row>
        <row r="1218">
          <cell r="H1218">
            <v>0</v>
          </cell>
        </row>
        <row r="1219">
          <cell r="H1219">
            <v>0</v>
          </cell>
        </row>
        <row r="1220">
          <cell r="H1220">
            <v>0</v>
          </cell>
        </row>
        <row r="1221">
          <cell r="H1221">
            <v>0</v>
          </cell>
        </row>
        <row r="1222">
          <cell r="H1222">
            <v>0</v>
          </cell>
        </row>
        <row r="1223">
          <cell r="H1223">
            <v>0</v>
          </cell>
        </row>
        <row r="1224">
          <cell r="H1224">
            <v>0</v>
          </cell>
        </row>
        <row r="1225">
          <cell r="H1225">
            <v>0</v>
          </cell>
        </row>
        <row r="1226">
          <cell r="H1226">
            <v>0</v>
          </cell>
        </row>
        <row r="1227">
          <cell r="H1227">
            <v>0</v>
          </cell>
        </row>
        <row r="1228">
          <cell r="H1228">
            <v>0</v>
          </cell>
        </row>
        <row r="1229">
          <cell r="H1229">
            <v>0</v>
          </cell>
        </row>
        <row r="1230">
          <cell r="H1230">
            <v>0</v>
          </cell>
        </row>
        <row r="1231">
          <cell r="H1231">
            <v>0</v>
          </cell>
        </row>
        <row r="1232">
          <cell r="H1232">
            <v>0</v>
          </cell>
        </row>
        <row r="1233">
          <cell r="H1233">
            <v>0</v>
          </cell>
        </row>
        <row r="1234">
          <cell r="H1234">
            <v>0</v>
          </cell>
        </row>
        <row r="1235">
          <cell r="H1235">
            <v>0</v>
          </cell>
        </row>
        <row r="1236">
          <cell r="H1236">
            <v>0</v>
          </cell>
        </row>
        <row r="1237">
          <cell r="H1237">
            <v>0</v>
          </cell>
        </row>
        <row r="1238">
          <cell r="H1238">
            <v>0</v>
          </cell>
        </row>
        <row r="1239">
          <cell r="H1239">
            <v>0</v>
          </cell>
        </row>
        <row r="1240">
          <cell r="H1240">
            <v>0</v>
          </cell>
        </row>
        <row r="1241">
          <cell r="H1241">
            <v>0</v>
          </cell>
        </row>
        <row r="1242">
          <cell r="H1242">
            <v>0</v>
          </cell>
        </row>
        <row r="1243">
          <cell r="H1243">
            <v>0</v>
          </cell>
        </row>
        <row r="1244">
          <cell r="H1244">
            <v>0</v>
          </cell>
        </row>
        <row r="1245">
          <cell r="H1245">
            <v>0</v>
          </cell>
        </row>
        <row r="1246">
          <cell r="H1246">
            <v>0</v>
          </cell>
        </row>
        <row r="1247">
          <cell r="H1247">
            <v>0</v>
          </cell>
        </row>
        <row r="1248">
          <cell r="H1248">
            <v>0</v>
          </cell>
        </row>
        <row r="1249">
          <cell r="H1249">
            <v>0</v>
          </cell>
        </row>
        <row r="1250">
          <cell r="H1250">
            <v>0</v>
          </cell>
        </row>
        <row r="1251">
          <cell r="H1251">
            <v>0</v>
          </cell>
        </row>
        <row r="1252">
          <cell r="H1252">
            <v>0</v>
          </cell>
        </row>
        <row r="1253">
          <cell r="H1253">
            <v>0</v>
          </cell>
        </row>
        <row r="1254">
          <cell r="H1254">
            <v>0</v>
          </cell>
        </row>
        <row r="1255">
          <cell r="H1255">
            <v>0</v>
          </cell>
        </row>
        <row r="1256">
          <cell r="H1256">
            <v>0</v>
          </cell>
        </row>
        <row r="1257">
          <cell r="H1257">
            <v>0</v>
          </cell>
        </row>
        <row r="1258">
          <cell r="H1258">
            <v>0</v>
          </cell>
        </row>
        <row r="1259">
          <cell r="H1259">
            <v>0</v>
          </cell>
        </row>
        <row r="1260">
          <cell r="H1260">
            <v>0</v>
          </cell>
        </row>
        <row r="1261">
          <cell r="H1261">
            <v>0</v>
          </cell>
        </row>
        <row r="1262">
          <cell r="H1262">
            <v>0</v>
          </cell>
        </row>
        <row r="1263">
          <cell r="H1263">
            <v>0</v>
          </cell>
        </row>
        <row r="1264">
          <cell r="H1264">
            <v>0</v>
          </cell>
        </row>
        <row r="1265">
          <cell r="H1265">
            <v>0</v>
          </cell>
        </row>
        <row r="1266">
          <cell r="H1266">
            <v>0</v>
          </cell>
        </row>
        <row r="1267">
          <cell r="H1267">
            <v>0</v>
          </cell>
        </row>
        <row r="1268">
          <cell r="H1268">
            <v>0</v>
          </cell>
        </row>
        <row r="1269">
          <cell r="H1269">
            <v>0</v>
          </cell>
        </row>
        <row r="1270">
          <cell r="H1270">
            <v>0</v>
          </cell>
        </row>
        <row r="1271">
          <cell r="H1271">
            <v>0</v>
          </cell>
        </row>
        <row r="1272">
          <cell r="H1272">
            <v>0</v>
          </cell>
        </row>
        <row r="1273">
          <cell r="H1273">
            <v>0</v>
          </cell>
        </row>
        <row r="1274">
          <cell r="H1274">
            <v>0</v>
          </cell>
        </row>
        <row r="1275">
          <cell r="H1275">
            <v>0</v>
          </cell>
        </row>
        <row r="1276">
          <cell r="H1276">
            <v>0</v>
          </cell>
        </row>
        <row r="1277">
          <cell r="H1277">
            <v>0</v>
          </cell>
        </row>
        <row r="1278">
          <cell r="H1278">
            <v>0</v>
          </cell>
        </row>
        <row r="1279">
          <cell r="H1279">
            <v>0</v>
          </cell>
        </row>
        <row r="1280">
          <cell r="H1280">
            <v>0</v>
          </cell>
        </row>
        <row r="1281">
          <cell r="H1281">
            <v>0</v>
          </cell>
        </row>
        <row r="1282">
          <cell r="H1282">
            <v>0</v>
          </cell>
        </row>
        <row r="1283">
          <cell r="H1283">
            <v>0</v>
          </cell>
        </row>
        <row r="1284">
          <cell r="H1284">
            <v>0</v>
          </cell>
        </row>
        <row r="1285">
          <cell r="H1285">
            <v>0</v>
          </cell>
        </row>
        <row r="1286">
          <cell r="H1286">
            <v>0</v>
          </cell>
        </row>
        <row r="1287">
          <cell r="H1287">
            <v>0</v>
          </cell>
        </row>
        <row r="1288">
          <cell r="H1288">
            <v>0</v>
          </cell>
        </row>
        <row r="1289">
          <cell r="H1289">
            <v>0</v>
          </cell>
        </row>
        <row r="1290">
          <cell r="H1290">
            <v>0</v>
          </cell>
        </row>
        <row r="1291">
          <cell r="H1291">
            <v>0</v>
          </cell>
        </row>
        <row r="1292">
          <cell r="H1292">
            <v>0</v>
          </cell>
        </row>
        <row r="1293">
          <cell r="H1293">
            <v>0</v>
          </cell>
        </row>
        <row r="1294">
          <cell r="H1294">
            <v>0</v>
          </cell>
        </row>
        <row r="1295">
          <cell r="H1295">
            <v>0</v>
          </cell>
        </row>
        <row r="1296">
          <cell r="H1296">
            <v>0</v>
          </cell>
        </row>
        <row r="1297">
          <cell r="H1297">
            <v>0</v>
          </cell>
        </row>
        <row r="1298">
          <cell r="H1298">
            <v>0</v>
          </cell>
        </row>
        <row r="1299">
          <cell r="H1299">
            <v>0</v>
          </cell>
        </row>
        <row r="1300">
          <cell r="H1300">
            <v>0</v>
          </cell>
        </row>
        <row r="1301">
          <cell r="H1301">
            <v>0</v>
          </cell>
        </row>
        <row r="1302">
          <cell r="H1302">
            <v>0</v>
          </cell>
        </row>
        <row r="1303">
          <cell r="H1303">
            <v>0</v>
          </cell>
        </row>
        <row r="1304">
          <cell r="H1304">
            <v>0</v>
          </cell>
        </row>
        <row r="1305">
          <cell r="H1305">
            <v>0</v>
          </cell>
        </row>
        <row r="1306">
          <cell r="H1306">
            <v>0</v>
          </cell>
        </row>
        <row r="1307">
          <cell r="H1307">
            <v>0</v>
          </cell>
        </row>
        <row r="1308">
          <cell r="H1308">
            <v>0</v>
          </cell>
        </row>
        <row r="1309">
          <cell r="H1309">
            <v>0</v>
          </cell>
        </row>
        <row r="1310">
          <cell r="H1310">
            <v>0</v>
          </cell>
        </row>
        <row r="1311">
          <cell r="H1311">
            <v>0</v>
          </cell>
        </row>
        <row r="1312">
          <cell r="H1312">
            <v>0</v>
          </cell>
        </row>
        <row r="1313">
          <cell r="H1313">
            <v>0</v>
          </cell>
        </row>
        <row r="1314">
          <cell r="H1314">
            <v>0</v>
          </cell>
        </row>
        <row r="1315">
          <cell r="H1315">
            <v>0</v>
          </cell>
        </row>
        <row r="1316">
          <cell r="H1316">
            <v>0</v>
          </cell>
        </row>
        <row r="1317">
          <cell r="H1317">
            <v>0</v>
          </cell>
        </row>
        <row r="1318">
          <cell r="H1318">
            <v>0</v>
          </cell>
        </row>
        <row r="1319">
          <cell r="H1319">
            <v>0</v>
          </cell>
        </row>
        <row r="1320">
          <cell r="H1320">
            <v>0</v>
          </cell>
        </row>
        <row r="1321">
          <cell r="H1321">
            <v>0</v>
          </cell>
        </row>
        <row r="1322">
          <cell r="H1322">
            <v>0</v>
          </cell>
        </row>
        <row r="1323">
          <cell r="H1323">
            <v>0</v>
          </cell>
        </row>
        <row r="1324">
          <cell r="H1324">
            <v>0</v>
          </cell>
        </row>
        <row r="1325">
          <cell r="H1325">
            <v>0</v>
          </cell>
        </row>
        <row r="1326">
          <cell r="H1326">
            <v>0</v>
          </cell>
        </row>
        <row r="1327">
          <cell r="H1327">
            <v>0</v>
          </cell>
        </row>
        <row r="1328">
          <cell r="H1328">
            <v>0</v>
          </cell>
        </row>
        <row r="1329">
          <cell r="H1329">
            <v>0</v>
          </cell>
        </row>
        <row r="1330">
          <cell r="H1330">
            <v>0</v>
          </cell>
        </row>
        <row r="1331">
          <cell r="H1331">
            <v>0</v>
          </cell>
        </row>
        <row r="1332">
          <cell r="H1332">
            <v>0</v>
          </cell>
        </row>
        <row r="1333">
          <cell r="H1333">
            <v>0</v>
          </cell>
        </row>
        <row r="1334">
          <cell r="H1334">
            <v>0</v>
          </cell>
        </row>
        <row r="1335">
          <cell r="H1335">
            <v>0</v>
          </cell>
        </row>
        <row r="1336">
          <cell r="H1336">
            <v>0</v>
          </cell>
        </row>
        <row r="1337">
          <cell r="H1337">
            <v>0</v>
          </cell>
        </row>
        <row r="1338">
          <cell r="H1338">
            <v>0</v>
          </cell>
        </row>
        <row r="1339">
          <cell r="H1339">
            <v>0</v>
          </cell>
        </row>
        <row r="1340">
          <cell r="H1340">
            <v>0</v>
          </cell>
        </row>
        <row r="1341">
          <cell r="H1341">
            <v>0</v>
          </cell>
        </row>
        <row r="1342">
          <cell r="H1342">
            <v>0</v>
          </cell>
        </row>
        <row r="1343">
          <cell r="H1343">
            <v>0</v>
          </cell>
        </row>
        <row r="1344">
          <cell r="H1344">
            <v>0</v>
          </cell>
        </row>
        <row r="1345">
          <cell r="H1345">
            <v>0</v>
          </cell>
        </row>
        <row r="1346">
          <cell r="H1346">
            <v>0</v>
          </cell>
        </row>
        <row r="1347">
          <cell r="H1347">
            <v>0</v>
          </cell>
        </row>
        <row r="1348">
          <cell r="H1348">
            <v>0</v>
          </cell>
        </row>
        <row r="1349">
          <cell r="H1349">
            <v>0</v>
          </cell>
        </row>
        <row r="1350">
          <cell r="H1350">
            <v>0</v>
          </cell>
        </row>
        <row r="1351">
          <cell r="H1351">
            <v>0</v>
          </cell>
        </row>
        <row r="1352">
          <cell r="H1352">
            <v>0</v>
          </cell>
        </row>
        <row r="1353">
          <cell r="H1353">
            <v>0</v>
          </cell>
        </row>
        <row r="1354">
          <cell r="H1354">
            <v>0</v>
          </cell>
        </row>
        <row r="1355">
          <cell r="H1355">
            <v>0</v>
          </cell>
        </row>
        <row r="1356">
          <cell r="H1356">
            <v>0</v>
          </cell>
        </row>
        <row r="1357">
          <cell r="H1357">
            <v>0</v>
          </cell>
        </row>
        <row r="1358">
          <cell r="H1358">
            <v>0</v>
          </cell>
        </row>
        <row r="1359">
          <cell r="H1359">
            <v>0</v>
          </cell>
        </row>
        <row r="1360">
          <cell r="H1360">
            <v>0</v>
          </cell>
        </row>
        <row r="1361">
          <cell r="H1361">
            <v>0</v>
          </cell>
        </row>
        <row r="1362">
          <cell r="H1362">
            <v>0</v>
          </cell>
        </row>
        <row r="1363">
          <cell r="H1363">
            <v>0</v>
          </cell>
        </row>
        <row r="1364">
          <cell r="H1364">
            <v>0</v>
          </cell>
        </row>
        <row r="1365">
          <cell r="H1365">
            <v>0</v>
          </cell>
        </row>
        <row r="1366">
          <cell r="H1366">
            <v>0</v>
          </cell>
        </row>
        <row r="1367">
          <cell r="H1367">
            <v>0</v>
          </cell>
        </row>
        <row r="1368">
          <cell r="H1368">
            <v>0</v>
          </cell>
        </row>
        <row r="1369">
          <cell r="H1369">
            <v>0</v>
          </cell>
        </row>
        <row r="1370">
          <cell r="H1370">
            <v>0</v>
          </cell>
        </row>
        <row r="1371">
          <cell r="H1371">
            <v>0</v>
          </cell>
        </row>
        <row r="1372">
          <cell r="H1372">
            <v>0</v>
          </cell>
        </row>
        <row r="1373">
          <cell r="H1373">
            <v>0</v>
          </cell>
        </row>
        <row r="1374">
          <cell r="H1374">
            <v>0</v>
          </cell>
        </row>
        <row r="1375">
          <cell r="H1375">
            <v>0</v>
          </cell>
        </row>
        <row r="1376">
          <cell r="H1376">
            <v>0</v>
          </cell>
        </row>
        <row r="1377">
          <cell r="H1377">
            <v>0</v>
          </cell>
        </row>
        <row r="1378">
          <cell r="H1378">
            <v>0</v>
          </cell>
        </row>
        <row r="1379">
          <cell r="H1379">
            <v>0</v>
          </cell>
        </row>
        <row r="1380">
          <cell r="H1380">
            <v>0</v>
          </cell>
        </row>
        <row r="1381">
          <cell r="H1381">
            <v>0</v>
          </cell>
        </row>
        <row r="1382">
          <cell r="H1382">
            <v>0</v>
          </cell>
        </row>
        <row r="1383">
          <cell r="H1383">
            <v>0</v>
          </cell>
        </row>
        <row r="1384">
          <cell r="H1384">
            <v>0</v>
          </cell>
        </row>
        <row r="1385">
          <cell r="H1385">
            <v>0</v>
          </cell>
        </row>
        <row r="1386">
          <cell r="H1386">
            <v>0</v>
          </cell>
        </row>
        <row r="1387">
          <cell r="H1387">
            <v>0</v>
          </cell>
        </row>
        <row r="1388">
          <cell r="H1388">
            <v>0</v>
          </cell>
        </row>
        <row r="1389">
          <cell r="H1389">
            <v>0</v>
          </cell>
        </row>
        <row r="1390">
          <cell r="H1390">
            <v>0</v>
          </cell>
        </row>
        <row r="1391">
          <cell r="H1391">
            <v>0</v>
          </cell>
        </row>
        <row r="1392">
          <cell r="H1392">
            <v>0</v>
          </cell>
        </row>
        <row r="1393">
          <cell r="H1393">
            <v>0</v>
          </cell>
        </row>
        <row r="1394">
          <cell r="H1394">
            <v>0</v>
          </cell>
        </row>
        <row r="1395">
          <cell r="H1395">
            <v>0</v>
          </cell>
        </row>
        <row r="1396">
          <cell r="H1396">
            <v>0</v>
          </cell>
        </row>
        <row r="1397">
          <cell r="H1397">
            <v>0</v>
          </cell>
        </row>
        <row r="1398">
          <cell r="H1398">
            <v>0</v>
          </cell>
        </row>
        <row r="1399">
          <cell r="H1399">
            <v>0</v>
          </cell>
        </row>
        <row r="1400">
          <cell r="H1400">
            <v>0</v>
          </cell>
        </row>
        <row r="1401">
          <cell r="H1401">
            <v>0</v>
          </cell>
        </row>
        <row r="1402">
          <cell r="H1402">
            <v>0</v>
          </cell>
        </row>
        <row r="1403">
          <cell r="H1403">
            <v>0</v>
          </cell>
        </row>
        <row r="1404">
          <cell r="H1404">
            <v>0</v>
          </cell>
        </row>
        <row r="1405">
          <cell r="H1405">
            <v>0</v>
          </cell>
        </row>
        <row r="1406">
          <cell r="H1406">
            <v>0</v>
          </cell>
        </row>
        <row r="1407">
          <cell r="H1407">
            <v>0</v>
          </cell>
        </row>
        <row r="1408">
          <cell r="H1408">
            <v>0</v>
          </cell>
        </row>
        <row r="1409">
          <cell r="H1409">
            <v>0</v>
          </cell>
        </row>
        <row r="1410">
          <cell r="H1410">
            <v>0</v>
          </cell>
        </row>
        <row r="1411">
          <cell r="H1411">
            <v>0</v>
          </cell>
        </row>
        <row r="1412">
          <cell r="H1412">
            <v>0</v>
          </cell>
        </row>
        <row r="1413">
          <cell r="H1413">
            <v>0</v>
          </cell>
        </row>
        <row r="1414">
          <cell r="H1414">
            <v>0</v>
          </cell>
        </row>
        <row r="1415">
          <cell r="H1415">
            <v>0</v>
          </cell>
        </row>
        <row r="1416">
          <cell r="H1416">
            <v>0</v>
          </cell>
        </row>
        <row r="1417">
          <cell r="H1417">
            <v>0</v>
          </cell>
        </row>
        <row r="1418">
          <cell r="H1418">
            <v>0</v>
          </cell>
        </row>
        <row r="1419">
          <cell r="H1419">
            <v>0</v>
          </cell>
        </row>
        <row r="1420">
          <cell r="H1420">
            <v>0</v>
          </cell>
        </row>
        <row r="1421">
          <cell r="H1421">
            <v>0</v>
          </cell>
        </row>
        <row r="1422">
          <cell r="H1422">
            <v>0</v>
          </cell>
        </row>
        <row r="1423">
          <cell r="H1423">
            <v>0</v>
          </cell>
        </row>
        <row r="1424">
          <cell r="H1424">
            <v>0</v>
          </cell>
        </row>
        <row r="1425">
          <cell r="H1425">
            <v>0</v>
          </cell>
        </row>
        <row r="1426">
          <cell r="H1426">
            <v>0</v>
          </cell>
        </row>
        <row r="1427">
          <cell r="H1427">
            <v>0</v>
          </cell>
        </row>
        <row r="1428">
          <cell r="H1428">
            <v>0</v>
          </cell>
        </row>
        <row r="1429">
          <cell r="H1429">
            <v>0</v>
          </cell>
        </row>
        <row r="1430">
          <cell r="H1430">
            <v>0</v>
          </cell>
        </row>
        <row r="1431">
          <cell r="H1431">
            <v>0</v>
          </cell>
        </row>
        <row r="1432">
          <cell r="H1432">
            <v>0</v>
          </cell>
        </row>
        <row r="1433">
          <cell r="H1433">
            <v>0</v>
          </cell>
        </row>
        <row r="1434">
          <cell r="H1434">
            <v>0</v>
          </cell>
        </row>
        <row r="1435">
          <cell r="H1435">
            <v>0</v>
          </cell>
        </row>
        <row r="1436">
          <cell r="H1436">
            <v>0</v>
          </cell>
        </row>
        <row r="1437">
          <cell r="H1437">
            <v>0</v>
          </cell>
        </row>
        <row r="1438">
          <cell r="H1438">
            <v>0</v>
          </cell>
        </row>
        <row r="1439">
          <cell r="H1439">
            <v>0</v>
          </cell>
        </row>
        <row r="1440">
          <cell r="H1440">
            <v>0</v>
          </cell>
        </row>
        <row r="1441">
          <cell r="H1441">
            <v>0</v>
          </cell>
        </row>
        <row r="1442">
          <cell r="H1442">
            <v>0</v>
          </cell>
        </row>
        <row r="1443">
          <cell r="H1443">
            <v>0</v>
          </cell>
        </row>
        <row r="1444">
          <cell r="H1444">
            <v>0</v>
          </cell>
        </row>
        <row r="1445">
          <cell r="H1445">
            <v>0</v>
          </cell>
        </row>
        <row r="1446">
          <cell r="H1446">
            <v>0</v>
          </cell>
        </row>
        <row r="1447">
          <cell r="H1447">
            <v>0</v>
          </cell>
        </row>
        <row r="1448">
          <cell r="H1448">
            <v>0</v>
          </cell>
        </row>
        <row r="1449">
          <cell r="H1449">
            <v>0</v>
          </cell>
        </row>
        <row r="1450">
          <cell r="H1450">
            <v>0</v>
          </cell>
        </row>
        <row r="1451">
          <cell r="H1451">
            <v>0</v>
          </cell>
        </row>
        <row r="1452">
          <cell r="H1452">
            <v>0</v>
          </cell>
        </row>
        <row r="1453">
          <cell r="H1453">
            <v>0</v>
          </cell>
        </row>
        <row r="1454">
          <cell r="H1454">
            <v>0</v>
          </cell>
        </row>
        <row r="1455">
          <cell r="H1455">
            <v>0</v>
          </cell>
        </row>
        <row r="1456">
          <cell r="H1456">
            <v>0</v>
          </cell>
        </row>
        <row r="1457">
          <cell r="H1457">
            <v>0</v>
          </cell>
        </row>
        <row r="1458">
          <cell r="H1458">
            <v>0</v>
          </cell>
        </row>
        <row r="1459">
          <cell r="H1459">
            <v>0</v>
          </cell>
        </row>
        <row r="1460">
          <cell r="H1460">
            <v>0</v>
          </cell>
        </row>
        <row r="1461">
          <cell r="H1461">
            <v>0</v>
          </cell>
        </row>
        <row r="1462">
          <cell r="H1462">
            <v>0</v>
          </cell>
        </row>
        <row r="1463">
          <cell r="H1463">
            <v>0</v>
          </cell>
        </row>
        <row r="1464">
          <cell r="H1464">
            <v>0</v>
          </cell>
        </row>
        <row r="1465">
          <cell r="H1465">
            <v>0</v>
          </cell>
        </row>
        <row r="1466">
          <cell r="H1466">
            <v>0</v>
          </cell>
        </row>
        <row r="1467">
          <cell r="H1467">
            <v>0</v>
          </cell>
        </row>
        <row r="1468">
          <cell r="H1468">
            <v>0</v>
          </cell>
        </row>
        <row r="1469">
          <cell r="H1469">
            <v>0</v>
          </cell>
        </row>
        <row r="1470">
          <cell r="H1470">
            <v>0</v>
          </cell>
        </row>
        <row r="1471">
          <cell r="H1471">
            <v>0</v>
          </cell>
        </row>
        <row r="1472">
          <cell r="H1472">
            <v>0</v>
          </cell>
        </row>
        <row r="1473">
          <cell r="H1473">
            <v>0</v>
          </cell>
        </row>
        <row r="1474">
          <cell r="H1474">
            <v>0</v>
          </cell>
        </row>
        <row r="1475">
          <cell r="H1475">
            <v>0</v>
          </cell>
        </row>
        <row r="1476">
          <cell r="H1476">
            <v>0</v>
          </cell>
        </row>
        <row r="1477">
          <cell r="H1477">
            <v>0</v>
          </cell>
        </row>
        <row r="1478">
          <cell r="H1478">
            <v>0</v>
          </cell>
        </row>
        <row r="1479">
          <cell r="H1479">
            <v>0</v>
          </cell>
        </row>
        <row r="1480">
          <cell r="H1480">
            <v>0</v>
          </cell>
        </row>
        <row r="1481">
          <cell r="H1481">
            <v>0</v>
          </cell>
        </row>
        <row r="1482">
          <cell r="H1482">
            <v>0</v>
          </cell>
        </row>
        <row r="1483">
          <cell r="H1483">
            <v>0</v>
          </cell>
        </row>
        <row r="1484">
          <cell r="H1484">
            <v>0</v>
          </cell>
        </row>
        <row r="1485">
          <cell r="H1485">
            <v>0</v>
          </cell>
        </row>
        <row r="1486">
          <cell r="H1486">
            <v>0</v>
          </cell>
        </row>
        <row r="1487">
          <cell r="H1487">
            <v>0</v>
          </cell>
        </row>
        <row r="1488">
          <cell r="H1488">
            <v>0</v>
          </cell>
        </row>
        <row r="1489">
          <cell r="H1489">
            <v>0</v>
          </cell>
        </row>
        <row r="1490">
          <cell r="H1490">
            <v>0</v>
          </cell>
        </row>
        <row r="1491">
          <cell r="H1491">
            <v>0</v>
          </cell>
        </row>
        <row r="1492">
          <cell r="H1492">
            <v>0</v>
          </cell>
        </row>
        <row r="1493">
          <cell r="H1493">
            <v>0</v>
          </cell>
        </row>
        <row r="1494">
          <cell r="H1494">
            <v>0</v>
          </cell>
        </row>
        <row r="1495">
          <cell r="H1495">
            <v>0</v>
          </cell>
        </row>
        <row r="1496">
          <cell r="H1496">
            <v>0</v>
          </cell>
        </row>
        <row r="1497">
          <cell r="H1497">
            <v>0</v>
          </cell>
        </row>
        <row r="1498">
          <cell r="H1498">
            <v>0</v>
          </cell>
        </row>
        <row r="1499">
          <cell r="H1499">
            <v>0</v>
          </cell>
        </row>
        <row r="1500">
          <cell r="H1500">
            <v>0</v>
          </cell>
        </row>
        <row r="1501">
          <cell r="H1501">
            <v>0</v>
          </cell>
        </row>
        <row r="1502">
          <cell r="H1502">
            <v>0</v>
          </cell>
        </row>
        <row r="1503">
          <cell r="H1503">
            <v>0</v>
          </cell>
        </row>
        <row r="1504">
          <cell r="H1504">
            <v>0</v>
          </cell>
        </row>
        <row r="1505">
          <cell r="H1505">
            <v>0</v>
          </cell>
        </row>
        <row r="1506">
          <cell r="H1506">
            <v>0</v>
          </cell>
        </row>
        <row r="1507">
          <cell r="H1507">
            <v>0</v>
          </cell>
        </row>
        <row r="1508">
          <cell r="H1508">
            <v>0</v>
          </cell>
        </row>
        <row r="1509">
          <cell r="H1509">
            <v>0</v>
          </cell>
        </row>
        <row r="1510">
          <cell r="H1510">
            <v>0</v>
          </cell>
        </row>
        <row r="1511">
          <cell r="H1511">
            <v>0</v>
          </cell>
        </row>
        <row r="1512">
          <cell r="H1512">
            <v>0</v>
          </cell>
        </row>
        <row r="1513">
          <cell r="H1513">
            <v>0</v>
          </cell>
        </row>
        <row r="1514">
          <cell r="H1514">
            <v>0</v>
          </cell>
        </row>
        <row r="1515">
          <cell r="H1515">
            <v>0</v>
          </cell>
        </row>
        <row r="1516">
          <cell r="H1516">
            <v>0</v>
          </cell>
        </row>
        <row r="1517">
          <cell r="H1517">
            <v>0</v>
          </cell>
        </row>
        <row r="1518">
          <cell r="H1518">
            <v>0</v>
          </cell>
        </row>
        <row r="1519">
          <cell r="H1519">
            <v>0</v>
          </cell>
        </row>
        <row r="1520">
          <cell r="H1520">
            <v>0</v>
          </cell>
        </row>
        <row r="1521">
          <cell r="H1521">
            <v>0</v>
          </cell>
        </row>
        <row r="1522">
          <cell r="H1522">
            <v>0</v>
          </cell>
        </row>
        <row r="1523">
          <cell r="H1523">
            <v>0</v>
          </cell>
        </row>
        <row r="1524">
          <cell r="H1524">
            <v>0</v>
          </cell>
        </row>
        <row r="1525">
          <cell r="H1525">
            <v>0</v>
          </cell>
        </row>
        <row r="1526">
          <cell r="H1526">
            <v>0</v>
          </cell>
        </row>
        <row r="1527">
          <cell r="H1527">
            <v>0</v>
          </cell>
        </row>
        <row r="1528">
          <cell r="H1528">
            <v>0</v>
          </cell>
        </row>
        <row r="1529">
          <cell r="H1529">
            <v>0</v>
          </cell>
        </row>
        <row r="1530">
          <cell r="H1530">
            <v>0</v>
          </cell>
        </row>
        <row r="1531">
          <cell r="H1531">
            <v>0</v>
          </cell>
        </row>
        <row r="1532">
          <cell r="H1532">
            <v>0</v>
          </cell>
        </row>
        <row r="1533">
          <cell r="H1533">
            <v>0</v>
          </cell>
        </row>
        <row r="1534">
          <cell r="H1534">
            <v>0</v>
          </cell>
        </row>
        <row r="1535">
          <cell r="H1535">
            <v>0</v>
          </cell>
        </row>
        <row r="1536">
          <cell r="H1536">
            <v>0</v>
          </cell>
        </row>
        <row r="1537">
          <cell r="H1537">
            <v>0</v>
          </cell>
        </row>
        <row r="1538">
          <cell r="H1538">
            <v>0</v>
          </cell>
        </row>
        <row r="1539">
          <cell r="H1539">
            <v>0</v>
          </cell>
        </row>
        <row r="1540">
          <cell r="H1540">
            <v>0</v>
          </cell>
        </row>
        <row r="1541">
          <cell r="H1541">
            <v>0</v>
          </cell>
        </row>
        <row r="1542">
          <cell r="H1542">
            <v>0</v>
          </cell>
        </row>
        <row r="1543">
          <cell r="H1543">
            <v>0</v>
          </cell>
        </row>
        <row r="1544">
          <cell r="H1544">
            <v>0</v>
          </cell>
        </row>
        <row r="1545">
          <cell r="H1545">
            <v>0</v>
          </cell>
        </row>
        <row r="1546">
          <cell r="H1546">
            <v>0</v>
          </cell>
        </row>
        <row r="1547">
          <cell r="H1547">
            <v>0</v>
          </cell>
        </row>
        <row r="1548">
          <cell r="H1548">
            <v>0</v>
          </cell>
        </row>
        <row r="1549">
          <cell r="H1549">
            <v>0</v>
          </cell>
        </row>
        <row r="1550">
          <cell r="H1550">
            <v>0</v>
          </cell>
        </row>
        <row r="1551">
          <cell r="H1551">
            <v>0</v>
          </cell>
        </row>
        <row r="1552">
          <cell r="H1552">
            <v>0</v>
          </cell>
        </row>
        <row r="1553">
          <cell r="H1553">
            <v>0</v>
          </cell>
        </row>
        <row r="1554">
          <cell r="H1554">
            <v>0</v>
          </cell>
        </row>
        <row r="1555">
          <cell r="H1555">
            <v>0</v>
          </cell>
        </row>
        <row r="1556">
          <cell r="H1556">
            <v>0</v>
          </cell>
        </row>
        <row r="1557">
          <cell r="H1557">
            <v>0</v>
          </cell>
        </row>
        <row r="1558">
          <cell r="H1558">
            <v>0</v>
          </cell>
        </row>
        <row r="1559">
          <cell r="H1559">
            <v>0</v>
          </cell>
        </row>
        <row r="1560">
          <cell r="H1560">
            <v>0</v>
          </cell>
        </row>
        <row r="1561">
          <cell r="H1561">
            <v>0</v>
          </cell>
        </row>
        <row r="1562">
          <cell r="H1562">
            <v>0</v>
          </cell>
        </row>
        <row r="1563">
          <cell r="H1563">
            <v>0</v>
          </cell>
        </row>
        <row r="1564">
          <cell r="H1564">
            <v>0</v>
          </cell>
        </row>
        <row r="1565">
          <cell r="H1565">
            <v>0</v>
          </cell>
        </row>
        <row r="1566">
          <cell r="H1566">
            <v>0</v>
          </cell>
        </row>
        <row r="1567">
          <cell r="H1567">
            <v>0</v>
          </cell>
        </row>
        <row r="1568">
          <cell r="H1568">
            <v>0</v>
          </cell>
        </row>
        <row r="1569">
          <cell r="H1569">
            <v>0</v>
          </cell>
        </row>
        <row r="1570">
          <cell r="H1570">
            <v>0</v>
          </cell>
        </row>
        <row r="1571">
          <cell r="H1571">
            <v>0</v>
          </cell>
        </row>
        <row r="1572">
          <cell r="H1572">
            <v>0</v>
          </cell>
        </row>
        <row r="1573">
          <cell r="H1573">
            <v>0</v>
          </cell>
        </row>
        <row r="1574">
          <cell r="H1574">
            <v>0</v>
          </cell>
        </row>
        <row r="1575">
          <cell r="H1575">
            <v>0</v>
          </cell>
        </row>
        <row r="1576">
          <cell r="H1576">
            <v>0</v>
          </cell>
        </row>
        <row r="1577">
          <cell r="H1577">
            <v>0</v>
          </cell>
        </row>
        <row r="1578">
          <cell r="H1578">
            <v>0</v>
          </cell>
        </row>
        <row r="1579">
          <cell r="H1579">
            <v>0</v>
          </cell>
        </row>
        <row r="1580">
          <cell r="H1580">
            <v>0</v>
          </cell>
        </row>
        <row r="1581">
          <cell r="H1581">
            <v>0</v>
          </cell>
        </row>
        <row r="1582">
          <cell r="H1582">
            <v>0</v>
          </cell>
        </row>
        <row r="1583">
          <cell r="H1583">
            <v>0</v>
          </cell>
        </row>
        <row r="1584">
          <cell r="H1584">
            <v>0</v>
          </cell>
        </row>
        <row r="1585">
          <cell r="H1585">
            <v>0</v>
          </cell>
        </row>
        <row r="1586">
          <cell r="H1586">
            <v>0</v>
          </cell>
        </row>
        <row r="1587">
          <cell r="H1587">
            <v>0</v>
          </cell>
        </row>
        <row r="1588">
          <cell r="H1588">
            <v>0</v>
          </cell>
        </row>
        <row r="1589">
          <cell r="H1589">
            <v>0</v>
          </cell>
        </row>
        <row r="1590">
          <cell r="H1590">
            <v>0</v>
          </cell>
        </row>
        <row r="1591">
          <cell r="H1591">
            <v>0</v>
          </cell>
        </row>
        <row r="1592">
          <cell r="H1592">
            <v>0</v>
          </cell>
        </row>
        <row r="1593">
          <cell r="H1593">
            <v>0</v>
          </cell>
        </row>
        <row r="1594">
          <cell r="H1594">
            <v>0</v>
          </cell>
        </row>
        <row r="1595">
          <cell r="H1595">
            <v>0</v>
          </cell>
        </row>
        <row r="1596">
          <cell r="H1596">
            <v>0</v>
          </cell>
        </row>
        <row r="1597">
          <cell r="H1597">
            <v>0</v>
          </cell>
        </row>
        <row r="1598">
          <cell r="H1598">
            <v>0</v>
          </cell>
        </row>
        <row r="1599">
          <cell r="H1599">
            <v>0</v>
          </cell>
        </row>
        <row r="1600">
          <cell r="H1600">
            <v>0</v>
          </cell>
        </row>
        <row r="1601">
          <cell r="H1601">
            <v>0</v>
          </cell>
        </row>
        <row r="1602">
          <cell r="H1602">
            <v>0</v>
          </cell>
        </row>
        <row r="1603">
          <cell r="H1603">
            <v>0</v>
          </cell>
        </row>
        <row r="1604">
          <cell r="H1604">
            <v>0</v>
          </cell>
        </row>
        <row r="1605">
          <cell r="H1605">
            <v>0</v>
          </cell>
        </row>
        <row r="1606">
          <cell r="H1606">
            <v>0</v>
          </cell>
        </row>
        <row r="1607">
          <cell r="H1607">
            <v>0</v>
          </cell>
        </row>
        <row r="1608">
          <cell r="H1608">
            <v>0</v>
          </cell>
        </row>
        <row r="1609">
          <cell r="H1609">
            <v>0</v>
          </cell>
        </row>
        <row r="1610">
          <cell r="H1610">
            <v>0</v>
          </cell>
        </row>
        <row r="1611">
          <cell r="H1611">
            <v>0</v>
          </cell>
        </row>
        <row r="1612">
          <cell r="H1612">
            <v>0</v>
          </cell>
        </row>
        <row r="1613">
          <cell r="H1613">
            <v>0</v>
          </cell>
        </row>
        <row r="1614">
          <cell r="H1614">
            <v>0</v>
          </cell>
        </row>
        <row r="1615">
          <cell r="H1615">
            <v>0</v>
          </cell>
        </row>
        <row r="1616">
          <cell r="H1616">
            <v>0</v>
          </cell>
        </row>
        <row r="1617">
          <cell r="H1617">
            <v>0</v>
          </cell>
        </row>
        <row r="1618">
          <cell r="H1618">
            <v>0</v>
          </cell>
        </row>
        <row r="1619">
          <cell r="H1619">
            <v>0</v>
          </cell>
        </row>
        <row r="1620">
          <cell r="H1620">
            <v>0</v>
          </cell>
        </row>
        <row r="1621">
          <cell r="H1621">
            <v>0</v>
          </cell>
        </row>
        <row r="1622">
          <cell r="H1622">
            <v>0</v>
          </cell>
        </row>
        <row r="1623">
          <cell r="H1623">
            <v>0</v>
          </cell>
        </row>
        <row r="1624">
          <cell r="H1624">
            <v>0</v>
          </cell>
        </row>
        <row r="1625">
          <cell r="H1625">
            <v>0</v>
          </cell>
        </row>
        <row r="1626">
          <cell r="H1626">
            <v>0</v>
          </cell>
        </row>
        <row r="1627">
          <cell r="H1627">
            <v>0</v>
          </cell>
        </row>
        <row r="1628">
          <cell r="H1628">
            <v>0</v>
          </cell>
        </row>
        <row r="1629">
          <cell r="H1629">
            <v>0</v>
          </cell>
        </row>
        <row r="1630">
          <cell r="H1630">
            <v>0</v>
          </cell>
        </row>
        <row r="1631">
          <cell r="H1631">
            <v>0</v>
          </cell>
        </row>
        <row r="1632">
          <cell r="H1632">
            <v>0</v>
          </cell>
        </row>
        <row r="1633">
          <cell r="H1633">
            <v>0</v>
          </cell>
        </row>
        <row r="1634">
          <cell r="H1634">
            <v>0</v>
          </cell>
        </row>
        <row r="1635">
          <cell r="H1635">
            <v>0</v>
          </cell>
        </row>
        <row r="1636">
          <cell r="H1636">
            <v>0</v>
          </cell>
        </row>
        <row r="1637">
          <cell r="H1637">
            <v>0</v>
          </cell>
        </row>
        <row r="1638">
          <cell r="H1638">
            <v>0</v>
          </cell>
        </row>
        <row r="1639">
          <cell r="H1639">
            <v>0</v>
          </cell>
        </row>
        <row r="1640">
          <cell r="H1640">
            <v>0</v>
          </cell>
        </row>
        <row r="1641">
          <cell r="H1641">
            <v>0</v>
          </cell>
        </row>
        <row r="1642">
          <cell r="H1642">
            <v>0</v>
          </cell>
        </row>
        <row r="1643">
          <cell r="H1643">
            <v>0</v>
          </cell>
        </row>
        <row r="1644">
          <cell r="H1644">
            <v>0</v>
          </cell>
        </row>
        <row r="1645">
          <cell r="H1645">
            <v>0</v>
          </cell>
        </row>
        <row r="1646">
          <cell r="H1646">
            <v>0</v>
          </cell>
        </row>
        <row r="1647">
          <cell r="H1647">
            <v>0</v>
          </cell>
        </row>
        <row r="1648">
          <cell r="H1648">
            <v>0</v>
          </cell>
        </row>
        <row r="1649">
          <cell r="H1649">
            <v>0</v>
          </cell>
        </row>
        <row r="1650">
          <cell r="H1650">
            <v>0</v>
          </cell>
        </row>
        <row r="1651">
          <cell r="H1651">
            <v>0</v>
          </cell>
        </row>
        <row r="1652">
          <cell r="H1652">
            <v>0</v>
          </cell>
        </row>
        <row r="1653">
          <cell r="H1653">
            <v>0</v>
          </cell>
        </row>
        <row r="1654">
          <cell r="H1654">
            <v>0</v>
          </cell>
        </row>
        <row r="1655">
          <cell r="H1655">
            <v>0</v>
          </cell>
        </row>
        <row r="1656">
          <cell r="H1656">
            <v>0</v>
          </cell>
        </row>
        <row r="1657">
          <cell r="H1657">
            <v>0</v>
          </cell>
        </row>
        <row r="1658">
          <cell r="H1658">
            <v>0</v>
          </cell>
        </row>
        <row r="1659">
          <cell r="H1659">
            <v>0</v>
          </cell>
        </row>
        <row r="1660">
          <cell r="H1660">
            <v>0</v>
          </cell>
        </row>
        <row r="1661">
          <cell r="H1661">
            <v>0</v>
          </cell>
        </row>
        <row r="1662">
          <cell r="H1662">
            <v>0</v>
          </cell>
        </row>
        <row r="1663">
          <cell r="H1663">
            <v>0</v>
          </cell>
        </row>
        <row r="1664">
          <cell r="H1664">
            <v>0</v>
          </cell>
        </row>
        <row r="1665">
          <cell r="H1665">
            <v>0</v>
          </cell>
        </row>
        <row r="1666">
          <cell r="H1666">
            <v>0</v>
          </cell>
        </row>
        <row r="1667">
          <cell r="H1667">
            <v>0</v>
          </cell>
        </row>
        <row r="1668">
          <cell r="H1668">
            <v>0</v>
          </cell>
        </row>
        <row r="1669">
          <cell r="H1669">
            <v>0</v>
          </cell>
        </row>
        <row r="1670">
          <cell r="H1670">
            <v>0</v>
          </cell>
        </row>
        <row r="1671">
          <cell r="H1671">
            <v>0</v>
          </cell>
        </row>
        <row r="1672">
          <cell r="H1672">
            <v>0</v>
          </cell>
        </row>
        <row r="1673">
          <cell r="H1673">
            <v>0</v>
          </cell>
        </row>
        <row r="1674">
          <cell r="H1674">
            <v>0</v>
          </cell>
        </row>
        <row r="1675">
          <cell r="H1675">
            <v>0</v>
          </cell>
        </row>
        <row r="1676">
          <cell r="H1676">
            <v>0</v>
          </cell>
        </row>
        <row r="1677">
          <cell r="H1677">
            <v>0</v>
          </cell>
        </row>
        <row r="1678">
          <cell r="H1678">
            <v>0</v>
          </cell>
        </row>
        <row r="1679">
          <cell r="H1679">
            <v>0</v>
          </cell>
        </row>
        <row r="1680">
          <cell r="H1680">
            <v>0</v>
          </cell>
        </row>
        <row r="1681">
          <cell r="H1681">
            <v>0</v>
          </cell>
        </row>
        <row r="1682">
          <cell r="H1682">
            <v>0</v>
          </cell>
        </row>
        <row r="1683">
          <cell r="H1683">
            <v>0</v>
          </cell>
        </row>
        <row r="1684">
          <cell r="H1684">
            <v>0</v>
          </cell>
        </row>
        <row r="1685">
          <cell r="H1685">
            <v>0</v>
          </cell>
        </row>
        <row r="1686">
          <cell r="H1686">
            <v>0</v>
          </cell>
        </row>
        <row r="1687">
          <cell r="H1687">
            <v>0</v>
          </cell>
        </row>
        <row r="1688">
          <cell r="H1688">
            <v>0</v>
          </cell>
        </row>
        <row r="1689">
          <cell r="H1689">
            <v>0</v>
          </cell>
        </row>
        <row r="1690">
          <cell r="H1690">
            <v>0</v>
          </cell>
        </row>
        <row r="1691">
          <cell r="H1691">
            <v>0</v>
          </cell>
        </row>
        <row r="1692">
          <cell r="H1692">
            <v>0</v>
          </cell>
        </row>
        <row r="1693">
          <cell r="H1693">
            <v>0</v>
          </cell>
        </row>
        <row r="1694">
          <cell r="H1694">
            <v>0</v>
          </cell>
        </row>
        <row r="1695">
          <cell r="H1695">
            <v>0</v>
          </cell>
        </row>
        <row r="1696">
          <cell r="H1696">
            <v>0</v>
          </cell>
        </row>
        <row r="1697">
          <cell r="H1697">
            <v>0</v>
          </cell>
        </row>
        <row r="1698">
          <cell r="H1698">
            <v>0</v>
          </cell>
        </row>
        <row r="1699">
          <cell r="H1699">
            <v>0</v>
          </cell>
        </row>
        <row r="1700">
          <cell r="H1700">
            <v>0</v>
          </cell>
        </row>
        <row r="1701">
          <cell r="H1701">
            <v>0</v>
          </cell>
        </row>
        <row r="1702">
          <cell r="H1702">
            <v>0</v>
          </cell>
        </row>
        <row r="1703">
          <cell r="H1703">
            <v>0</v>
          </cell>
        </row>
        <row r="1704">
          <cell r="H1704">
            <v>0</v>
          </cell>
        </row>
        <row r="1705">
          <cell r="H1705">
            <v>0</v>
          </cell>
        </row>
        <row r="1706">
          <cell r="H1706">
            <v>0</v>
          </cell>
        </row>
        <row r="1707">
          <cell r="H1707">
            <v>0</v>
          </cell>
        </row>
        <row r="1708">
          <cell r="H1708">
            <v>0</v>
          </cell>
        </row>
        <row r="1709">
          <cell r="H1709">
            <v>0</v>
          </cell>
        </row>
        <row r="1710">
          <cell r="H1710">
            <v>0</v>
          </cell>
        </row>
        <row r="1711">
          <cell r="H1711">
            <v>0</v>
          </cell>
        </row>
        <row r="1712">
          <cell r="H1712">
            <v>0</v>
          </cell>
        </row>
        <row r="1713">
          <cell r="H1713">
            <v>0</v>
          </cell>
        </row>
        <row r="1714">
          <cell r="H1714">
            <v>0</v>
          </cell>
        </row>
        <row r="1715">
          <cell r="H1715">
            <v>0</v>
          </cell>
        </row>
        <row r="1716">
          <cell r="H1716">
            <v>0</v>
          </cell>
        </row>
        <row r="1717">
          <cell r="H1717">
            <v>0</v>
          </cell>
        </row>
        <row r="1718">
          <cell r="H1718">
            <v>0</v>
          </cell>
        </row>
        <row r="1719">
          <cell r="H1719">
            <v>0</v>
          </cell>
        </row>
        <row r="1720">
          <cell r="H1720">
            <v>0</v>
          </cell>
        </row>
        <row r="1721">
          <cell r="H1721">
            <v>0</v>
          </cell>
        </row>
        <row r="1722">
          <cell r="H1722">
            <v>0</v>
          </cell>
        </row>
        <row r="1723">
          <cell r="H1723">
            <v>0</v>
          </cell>
        </row>
        <row r="1724">
          <cell r="H1724">
            <v>0</v>
          </cell>
        </row>
        <row r="1725">
          <cell r="H1725">
            <v>0</v>
          </cell>
        </row>
        <row r="1726">
          <cell r="H1726">
            <v>0</v>
          </cell>
        </row>
        <row r="1727">
          <cell r="H1727">
            <v>0</v>
          </cell>
        </row>
        <row r="1728">
          <cell r="H1728">
            <v>0</v>
          </cell>
        </row>
        <row r="1729">
          <cell r="H1729">
            <v>0</v>
          </cell>
        </row>
        <row r="1730">
          <cell r="H1730">
            <v>0</v>
          </cell>
        </row>
        <row r="1731">
          <cell r="H1731">
            <v>0</v>
          </cell>
        </row>
        <row r="1732">
          <cell r="H1732">
            <v>0</v>
          </cell>
        </row>
        <row r="1733">
          <cell r="H1733">
            <v>0</v>
          </cell>
        </row>
        <row r="1734">
          <cell r="H1734">
            <v>0</v>
          </cell>
        </row>
        <row r="1735">
          <cell r="H1735">
            <v>0</v>
          </cell>
        </row>
        <row r="1736">
          <cell r="H1736">
            <v>0</v>
          </cell>
        </row>
        <row r="1737">
          <cell r="H1737">
            <v>0</v>
          </cell>
        </row>
        <row r="1738">
          <cell r="H1738">
            <v>0</v>
          </cell>
        </row>
        <row r="1739">
          <cell r="H1739">
            <v>0</v>
          </cell>
        </row>
        <row r="1740">
          <cell r="H1740">
            <v>0</v>
          </cell>
        </row>
        <row r="1741">
          <cell r="H1741">
            <v>0</v>
          </cell>
        </row>
        <row r="1742">
          <cell r="H1742">
            <v>0</v>
          </cell>
        </row>
        <row r="1743">
          <cell r="H1743">
            <v>0</v>
          </cell>
        </row>
        <row r="1744">
          <cell r="H1744">
            <v>0</v>
          </cell>
        </row>
        <row r="1745">
          <cell r="H1745">
            <v>0</v>
          </cell>
        </row>
        <row r="1746">
          <cell r="H1746">
            <v>0</v>
          </cell>
        </row>
        <row r="1747">
          <cell r="H1747">
            <v>0</v>
          </cell>
        </row>
        <row r="1748">
          <cell r="H1748">
            <v>0</v>
          </cell>
        </row>
        <row r="1749">
          <cell r="H1749">
            <v>0</v>
          </cell>
        </row>
        <row r="1750">
          <cell r="H1750">
            <v>0</v>
          </cell>
        </row>
        <row r="1751">
          <cell r="H1751">
            <v>0</v>
          </cell>
        </row>
        <row r="1752">
          <cell r="H1752">
            <v>0</v>
          </cell>
        </row>
        <row r="1753">
          <cell r="H1753">
            <v>0</v>
          </cell>
        </row>
        <row r="1754">
          <cell r="H1754">
            <v>0</v>
          </cell>
        </row>
        <row r="1755">
          <cell r="H1755">
            <v>0</v>
          </cell>
        </row>
        <row r="1756">
          <cell r="H1756">
            <v>0</v>
          </cell>
        </row>
        <row r="1757">
          <cell r="H1757">
            <v>0</v>
          </cell>
        </row>
        <row r="1758">
          <cell r="H1758">
            <v>0</v>
          </cell>
        </row>
        <row r="1759">
          <cell r="H1759">
            <v>0</v>
          </cell>
        </row>
        <row r="1760">
          <cell r="H1760">
            <v>0</v>
          </cell>
        </row>
        <row r="1761">
          <cell r="H1761">
            <v>0</v>
          </cell>
        </row>
        <row r="1762">
          <cell r="H1762">
            <v>0</v>
          </cell>
        </row>
        <row r="1763">
          <cell r="H1763">
            <v>0</v>
          </cell>
        </row>
        <row r="1764">
          <cell r="H1764">
            <v>0</v>
          </cell>
        </row>
        <row r="1765">
          <cell r="H1765">
            <v>0</v>
          </cell>
        </row>
        <row r="1766">
          <cell r="H1766">
            <v>0</v>
          </cell>
        </row>
        <row r="1767">
          <cell r="H1767">
            <v>0</v>
          </cell>
        </row>
        <row r="1768">
          <cell r="H1768">
            <v>0</v>
          </cell>
        </row>
        <row r="1769">
          <cell r="H1769">
            <v>0</v>
          </cell>
        </row>
        <row r="1770">
          <cell r="H1770">
            <v>0</v>
          </cell>
        </row>
        <row r="1771">
          <cell r="H1771">
            <v>0</v>
          </cell>
        </row>
        <row r="1772">
          <cell r="H1772">
            <v>0</v>
          </cell>
        </row>
        <row r="1773">
          <cell r="H1773">
            <v>0</v>
          </cell>
        </row>
        <row r="1774">
          <cell r="H1774">
            <v>0</v>
          </cell>
        </row>
        <row r="1775">
          <cell r="H1775">
            <v>0</v>
          </cell>
        </row>
        <row r="1776">
          <cell r="H1776">
            <v>0</v>
          </cell>
        </row>
        <row r="1777">
          <cell r="H1777">
            <v>0</v>
          </cell>
        </row>
        <row r="1778">
          <cell r="H1778">
            <v>0</v>
          </cell>
        </row>
        <row r="1779">
          <cell r="H1779">
            <v>0</v>
          </cell>
        </row>
        <row r="1780">
          <cell r="H1780">
            <v>0</v>
          </cell>
        </row>
        <row r="1781">
          <cell r="H1781">
            <v>0</v>
          </cell>
        </row>
        <row r="1782">
          <cell r="H1782">
            <v>0</v>
          </cell>
        </row>
        <row r="1783">
          <cell r="H1783">
            <v>0</v>
          </cell>
        </row>
        <row r="1784">
          <cell r="H1784">
            <v>0</v>
          </cell>
        </row>
        <row r="1785">
          <cell r="H1785">
            <v>0</v>
          </cell>
        </row>
        <row r="1786">
          <cell r="H1786">
            <v>0</v>
          </cell>
        </row>
        <row r="1787">
          <cell r="H1787">
            <v>0</v>
          </cell>
        </row>
        <row r="1788">
          <cell r="H1788">
            <v>0</v>
          </cell>
        </row>
        <row r="1789">
          <cell r="H1789">
            <v>0</v>
          </cell>
        </row>
        <row r="1790">
          <cell r="H1790">
            <v>0</v>
          </cell>
        </row>
        <row r="1791">
          <cell r="H1791">
            <v>0</v>
          </cell>
        </row>
        <row r="1792">
          <cell r="H1792">
            <v>0</v>
          </cell>
        </row>
        <row r="1793">
          <cell r="H1793">
            <v>0</v>
          </cell>
        </row>
        <row r="1794">
          <cell r="H1794">
            <v>0</v>
          </cell>
        </row>
        <row r="1795">
          <cell r="H1795">
            <v>0</v>
          </cell>
        </row>
        <row r="1796">
          <cell r="H1796">
            <v>0</v>
          </cell>
        </row>
        <row r="1797">
          <cell r="H1797">
            <v>0</v>
          </cell>
        </row>
        <row r="1798">
          <cell r="H1798">
            <v>0</v>
          </cell>
        </row>
        <row r="1799">
          <cell r="H1799">
            <v>0</v>
          </cell>
        </row>
        <row r="1800">
          <cell r="H1800">
            <v>0</v>
          </cell>
        </row>
        <row r="1801">
          <cell r="H1801">
            <v>0</v>
          </cell>
        </row>
        <row r="1802">
          <cell r="H1802">
            <v>0</v>
          </cell>
        </row>
        <row r="1803">
          <cell r="H1803">
            <v>0</v>
          </cell>
        </row>
        <row r="1804">
          <cell r="H1804">
            <v>0</v>
          </cell>
        </row>
        <row r="1805">
          <cell r="H1805">
            <v>0</v>
          </cell>
        </row>
        <row r="1806">
          <cell r="H1806">
            <v>0</v>
          </cell>
        </row>
        <row r="1807">
          <cell r="H1807">
            <v>0</v>
          </cell>
        </row>
        <row r="1808">
          <cell r="H1808">
            <v>0</v>
          </cell>
        </row>
        <row r="1809">
          <cell r="H1809">
            <v>0</v>
          </cell>
        </row>
        <row r="1810">
          <cell r="H1810">
            <v>0</v>
          </cell>
        </row>
        <row r="1811">
          <cell r="H1811">
            <v>0</v>
          </cell>
        </row>
        <row r="1812">
          <cell r="H1812">
            <v>0</v>
          </cell>
        </row>
        <row r="1813">
          <cell r="H1813">
            <v>0</v>
          </cell>
        </row>
        <row r="1814">
          <cell r="H1814">
            <v>0</v>
          </cell>
        </row>
        <row r="1815">
          <cell r="H1815">
            <v>0</v>
          </cell>
        </row>
        <row r="1816">
          <cell r="H1816">
            <v>0</v>
          </cell>
        </row>
        <row r="1817">
          <cell r="H1817">
            <v>0</v>
          </cell>
        </row>
        <row r="1818">
          <cell r="H1818">
            <v>0</v>
          </cell>
        </row>
        <row r="1819">
          <cell r="H1819">
            <v>0</v>
          </cell>
        </row>
        <row r="1820">
          <cell r="H1820">
            <v>0</v>
          </cell>
        </row>
        <row r="1821">
          <cell r="H1821">
            <v>0</v>
          </cell>
        </row>
        <row r="1822">
          <cell r="H1822">
            <v>0</v>
          </cell>
        </row>
        <row r="1823">
          <cell r="H1823">
            <v>0</v>
          </cell>
        </row>
        <row r="1824">
          <cell r="H1824">
            <v>0</v>
          </cell>
        </row>
        <row r="1825">
          <cell r="H1825">
            <v>0</v>
          </cell>
        </row>
        <row r="1826">
          <cell r="H1826">
            <v>0</v>
          </cell>
        </row>
        <row r="1827">
          <cell r="H1827">
            <v>0</v>
          </cell>
        </row>
        <row r="1828">
          <cell r="H1828">
            <v>0</v>
          </cell>
        </row>
        <row r="1829">
          <cell r="H1829">
            <v>0</v>
          </cell>
        </row>
        <row r="1830">
          <cell r="H1830">
            <v>0</v>
          </cell>
        </row>
        <row r="1831">
          <cell r="H1831">
            <v>0</v>
          </cell>
        </row>
        <row r="1832">
          <cell r="H1832">
            <v>0</v>
          </cell>
        </row>
        <row r="1833">
          <cell r="H1833">
            <v>0</v>
          </cell>
        </row>
        <row r="1834">
          <cell r="H1834">
            <v>0</v>
          </cell>
        </row>
        <row r="1835">
          <cell r="H1835">
            <v>0</v>
          </cell>
        </row>
        <row r="1836">
          <cell r="H1836">
            <v>0</v>
          </cell>
        </row>
        <row r="1837">
          <cell r="H1837">
            <v>0</v>
          </cell>
        </row>
        <row r="1838">
          <cell r="H1838">
            <v>0</v>
          </cell>
        </row>
        <row r="1839">
          <cell r="H1839">
            <v>0</v>
          </cell>
        </row>
        <row r="1840">
          <cell r="H1840">
            <v>0</v>
          </cell>
        </row>
        <row r="1841">
          <cell r="H1841">
            <v>0</v>
          </cell>
        </row>
        <row r="1842">
          <cell r="H1842">
            <v>0</v>
          </cell>
        </row>
        <row r="1843">
          <cell r="H1843">
            <v>0</v>
          </cell>
        </row>
        <row r="1844">
          <cell r="H1844">
            <v>0</v>
          </cell>
        </row>
        <row r="1845">
          <cell r="H1845">
            <v>0</v>
          </cell>
        </row>
        <row r="1846">
          <cell r="H1846">
            <v>0</v>
          </cell>
        </row>
        <row r="1847">
          <cell r="H1847">
            <v>0</v>
          </cell>
        </row>
        <row r="1848">
          <cell r="H1848">
            <v>0</v>
          </cell>
        </row>
        <row r="1849">
          <cell r="H1849">
            <v>0</v>
          </cell>
        </row>
        <row r="1850">
          <cell r="H1850">
            <v>0</v>
          </cell>
        </row>
        <row r="1851">
          <cell r="H1851">
            <v>0</v>
          </cell>
        </row>
        <row r="1852">
          <cell r="H1852">
            <v>0</v>
          </cell>
        </row>
        <row r="1853">
          <cell r="H1853">
            <v>0</v>
          </cell>
        </row>
        <row r="1854">
          <cell r="H1854">
            <v>0</v>
          </cell>
        </row>
        <row r="1855">
          <cell r="H1855">
            <v>0</v>
          </cell>
        </row>
        <row r="1856">
          <cell r="H1856">
            <v>0</v>
          </cell>
        </row>
        <row r="1857">
          <cell r="H1857">
            <v>0</v>
          </cell>
        </row>
        <row r="1858">
          <cell r="H1858">
            <v>0</v>
          </cell>
        </row>
        <row r="1859">
          <cell r="H1859">
            <v>0</v>
          </cell>
        </row>
        <row r="1860">
          <cell r="H1860">
            <v>0</v>
          </cell>
        </row>
        <row r="1861">
          <cell r="H1861">
            <v>0</v>
          </cell>
        </row>
        <row r="1862">
          <cell r="H1862">
            <v>0</v>
          </cell>
        </row>
        <row r="1863">
          <cell r="H1863">
            <v>0</v>
          </cell>
        </row>
        <row r="1864">
          <cell r="H1864">
            <v>0</v>
          </cell>
        </row>
        <row r="1865">
          <cell r="H1865">
            <v>0</v>
          </cell>
        </row>
        <row r="1866">
          <cell r="H1866">
            <v>0</v>
          </cell>
        </row>
        <row r="1867">
          <cell r="H1867">
            <v>0</v>
          </cell>
        </row>
        <row r="1868">
          <cell r="H1868">
            <v>0</v>
          </cell>
        </row>
        <row r="1869">
          <cell r="H1869">
            <v>0</v>
          </cell>
        </row>
        <row r="1870">
          <cell r="H1870">
            <v>0</v>
          </cell>
        </row>
        <row r="1871">
          <cell r="H1871">
            <v>0</v>
          </cell>
        </row>
        <row r="1872">
          <cell r="H1872">
            <v>0</v>
          </cell>
        </row>
        <row r="1873">
          <cell r="H1873">
            <v>0</v>
          </cell>
        </row>
        <row r="1874">
          <cell r="H1874">
            <v>0</v>
          </cell>
        </row>
        <row r="1875">
          <cell r="H1875">
            <v>0</v>
          </cell>
        </row>
        <row r="1876">
          <cell r="H1876">
            <v>0</v>
          </cell>
        </row>
        <row r="1877">
          <cell r="H1877">
            <v>0</v>
          </cell>
        </row>
        <row r="1878">
          <cell r="H1878">
            <v>0</v>
          </cell>
        </row>
        <row r="1879">
          <cell r="H1879">
            <v>0</v>
          </cell>
        </row>
        <row r="1880">
          <cell r="H1880">
            <v>0</v>
          </cell>
        </row>
        <row r="1881">
          <cell r="H1881">
            <v>0</v>
          </cell>
        </row>
        <row r="1882">
          <cell r="H1882">
            <v>0</v>
          </cell>
        </row>
        <row r="1883">
          <cell r="H1883">
            <v>0</v>
          </cell>
        </row>
        <row r="1884">
          <cell r="H1884">
            <v>0</v>
          </cell>
        </row>
        <row r="1885">
          <cell r="H1885">
            <v>0</v>
          </cell>
        </row>
        <row r="1886">
          <cell r="H1886">
            <v>0</v>
          </cell>
        </row>
        <row r="1887">
          <cell r="H1887">
            <v>0</v>
          </cell>
        </row>
        <row r="1888">
          <cell r="H1888">
            <v>0</v>
          </cell>
        </row>
        <row r="1889">
          <cell r="H1889">
            <v>0</v>
          </cell>
        </row>
        <row r="1890">
          <cell r="H1890">
            <v>0</v>
          </cell>
        </row>
        <row r="1891">
          <cell r="H1891">
            <v>0</v>
          </cell>
        </row>
        <row r="1892">
          <cell r="H1892">
            <v>0</v>
          </cell>
        </row>
        <row r="1893">
          <cell r="H1893">
            <v>0</v>
          </cell>
        </row>
        <row r="1894">
          <cell r="H1894">
            <v>0</v>
          </cell>
        </row>
        <row r="1895">
          <cell r="H1895">
            <v>0</v>
          </cell>
        </row>
        <row r="1896">
          <cell r="H1896">
            <v>0</v>
          </cell>
        </row>
        <row r="1897">
          <cell r="H1897">
            <v>0</v>
          </cell>
        </row>
        <row r="1898">
          <cell r="H1898">
            <v>0</v>
          </cell>
        </row>
        <row r="1899">
          <cell r="H1899">
            <v>0</v>
          </cell>
        </row>
        <row r="1900">
          <cell r="H1900">
            <v>0</v>
          </cell>
        </row>
        <row r="1901">
          <cell r="H1901">
            <v>0</v>
          </cell>
        </row>
        <row r="1902">
          <cell r="H1902">
            <v>0</v>
          </cell>
        </row>
        <row r="1903">
          <cell r="H1903">
            <v>0</v>
          </cell>
        </row>
        <row r="1904">
          <cell r="H1904">
            <v>0</v>
          </cell>
        </row>
        <row r="1905">
          <cell r="H1905">
            <v>0</v>
          </cell>
        </row>
        <row r="1906">
          <cell r="H1906">
            <v>0</v>
          </cell>
        </row>
        <row r="1907">
          <cell r="H1907">
            <v>0</v>
          </cell>
        </row>
        <row r="1908">
          <cell r="H1908">
            <v>0</v>
          </cell>
        </row>
        <row r="1909">
          <cell r="H1909">
            <v>0</v>
          </cell>
        </row>
        <row r="1910">
          <cell r="H1910">
            <v>0</v>
          </cell>
        </row>
        <row r="1911">
          <cell r="H1911">
            <v>0</v>
          </cell>
        </row>
        <row r="1912">
          <cell r="H1912">
            <v>0</v>
          </cell>
        </row>
        <row r="1913">
          <cell r="H1913">
            <v>0</v>
          </cell>
        </row>
        <row r="1914">
          <cell r="H1914">
            <v>0</v>
          </cell>
        </row>
        <row r="1915">
          <cell r="H1915">
            <v>0</v>
          </cell>
        </row>
        <row r="1916">
          <cell r="H1916">
            <v>0</v>
          </cell>
        </row>
        <row r="1917">
          <cell r="H1917">
            <v>0</v>
          </cell>
        </row>
        <row r="1918">
          <cell r="H1918">
            <v>0</v>
          </cell>
        </row>
        <row r="1919">
          <cell r="H1919">
            <v>0</v>
          </cell>
        </row>
        <row r="1920">
          <cell r="H1920">
            <v>0</v>
          </cell>
        </row>
        <row r="1921">
          <cell r="H1921">
            <v>0</v>
          </cell>
        </row>
        <row r="1922">
          <cell r="H1922">
            <v>0</v>
          </cell>
        </row>
        <row r="1923">
          <cell r="H1923">
            <v>0</v>
          </cell>
        </row>
        <row r="1924">
          <cell r="H1924">
            <v>0</v>
          </cell>
        </row>
        <row r="1925">
          <cell r="H1925">
            <v>0</v>
          </cell>
        </row>
        <row r="1926">
          <cell r="H1926">
            <v>0</v>
          </cell>
        </row>
        <row r="1927">
          <cell r="H1927">
            <v>0</v>
          </cell>
        </row>
        <row r="1928">
          <cell r="H1928">
            <v>0</v>
          </cell>
        </row>
        <row r="1929">
          <cell r="H1929">
            <v>0</v>
          </cell>
        </row>
        <row r="1930">
          <cell r="H1930">
            <v>0</v>
          </cell>
        </row>
        <row r="1931">
          <cell r="H1931">
            <v>0</v>
          </cell>
        </row>
        <row r="1932">
          <cell r="H1932">
            <v>0</v>
          </cell>
        </row>
        <row r="1933">
          <cell r="H1933">
            <v>0</v>
          </cell>
        </row>
        <row r="1934">
          <cell r="H1934">
            <v>0</v>
          </cell>
        </row>
        <row r="1935">
          <cell r="H1935">
            <v>0</v>
          </cell>
        </row>
        <row r="1936">
          <cell r="H1936">
            <v>0</v>
          </cell>
        </row>
        <row r="1937">
          <cell r="H1937">
            <v>0</v>
          </cell>
        </row>
        <row r="1938">
          <cell r="H1938">
            <v>0</v>
          </cell>
        </row>
        <row r="1939">
          <cell r="H1939">
            <v>0</v>
          </cell>
        </row>
        <row r="1940">
          <cell r="H1940">
            <v>0</v>
          </cell>
        </row>
        <row r="1941">
          <cell r="H1941">
            <v>0</v>
          </cell>
        </row>
        <row r="1942">
          <cell r="H1942">
            <v>0</v>
          </cell>
        </row>
        <row r="1943">
          <cell r="H1943">
            <v>0</v>
          </cell>
        </row>
        <row r="1944">
          <cell r="H1944">
            <v>0</v>
          </cell>
        </row>
        <row r="1945">
          <cell r="H1945">
            <v>0</v>
          </cell>
        </row>
        <row r="1946">
          <cell r="H1946">
            <v>0</v>
          </cell>
        </row>
        <row r="1947">
          <cell r="H1947">
            <v>0</v>
          </cell>
        </row>
        <row r="1948">
          <cell r="H1948">
            <v>0</v>
          </cell>
        </row>
        <row r="1949">
          <cell r="H1949">
            <v>0</v>
          </cell>
        </row>
        <row r="1950">
          <cell r="H1950">
            <v>0</v>
          </cell>
        </row>
        <row r="1951">
          <cell r="H1951">
            <v>0</v>
          </cell>
        </row>
        <row r="1952">
          <cell r="H1952">
            <v>0</v>
          </cell>
        </row>
        <row r="1953">
          <cell r="H1953">
            <v>0</v>
          </cell>
        </row>
        <row r="1954">
          <cell r="H1954">
            <v>0</v>
          </cell>
        </row>
        <row r="1955">
          <cell r="H1955">
            <v>0</v>
          </cell>
        </row>
        <row r="1956">
          <cell r="H1956">
            <v>0</v>
          </cell>
        </row>
        <row r="1957">
          <cell r="H1957">
            <v>0</v>
          </cell>
        </row>
        <row r="1958">
          <cell r="H1958">
            <v>0</v>
          </cell>
        </row>
        <row r="1959">
          <cell r="H1959">
            <v>0</v>
          </cell>
        </row>
        <row r="1960">
          <cell r="H1960">
            <v>0</v>
          </cell>
        </row>
        <row r="1961">
          <cell r="H1961">
            <v>0</v>
          </cell>
        </row>
        <row r="1962">
          <cell r="H1962">
            <v>0</v>
          </cell>
        </row>
        <row r="1963">
          <cell r="H1963">
            <v>0</v>
          </cell>
        </row>
        <row r="1964">
          <cell r="H1964">
            <v>0</v>
          </cell>
        </row>
        <row r="1965">
          <cell r="H1965">
            <v>0</v>
          </cell>
        </row>
        <row r="1966">
          <cell r="H1966">
            <v>0</v>
          </cell>
        </row>
        <row r="1967">
          <cell r="H1967">
            <v>0</v>
          </cell>
        </row>
        <row r="1968">
          <cell r="H1968">
            <v>0</v>
          </cell>
        </row>
        <row r="1969">
          <cell r="H1969">
            <v>0</v>
          </cell>
        </row>
        <row r="1970">
          <cell r="H1970">
            <v>0</v>
          </cell>
        </row>
        <row r="1971">
          <cell r="H1971">
            <v>0</v>
          </cell>
        </row>
        <row r="1972">
          <cell r="H1972">
            <v>0</v>
          </cell>
        </row>
        <row r="1973">
          <cell r="H1973">
            <v>0</v>
          </cell>
        </row>
        <row r="1974">
          <cell r="H1974">
            <v>0</v>
          </cell>
        </row>
        <row r="1975">
          <cell r="H1975">
            <v>0</v>
          </cell>
        </row>
        <row r="1976">
          <cell r="H1976">
            <v>0</v>
          </cell>
        </row>
        <row r="1977">
          <cell r="H1977">
            <v>0</v>
          </cell>
        </row>
        <row r="1978">
          <cell r="H1978">
            <v>0</v>
          </cell>
        </row>
        <row r="1979">
          <cell r="H1979">
            <v>0</v>
          </cell>
        </row>
        <row r="1980">
          <cell r="H1980">
            <v>0</v>
          </cell>
        </row>
        <row r="1981">
          <cell r="H1981">
            <v>0</v>
          </cell>
        </row>
        <row r="1982">
          <cell r="H1982">
            <v>0</v>
          </cell>
        </row>
        <row r="1983">
          <cell r="H1983">
            <v>0</v>
          </cell>
        </row>
        <row r="1984">
          <cell r="H1984">
            <v>0</v>
          </cell>
        </row>
        <row r="1985">
          <cell r="H1985">
            <v>0</v>
          </cell>
        </row>
        <row r="1986">
          <cell r="H1986">
            <v>0</v>
          </cell>
        </row>
        <row r="1987">
          <cell r="H1987">
            <v>0</v>
          </cell>
        </row>
        <row r="1988">
          <cell r="H1988">
            <v>0</v>
          </cell>
        </row>
        <row r="1989">
          <cell r="H1989">
            <v>0</v>
          </cell>
        </row>
        <row r="1990">
          <cell r="H1990">
            <v>0</v>
          </cell>
        </row>
        <row r="1991">
          <cell r="H1991">
            <v>0</v>
          </cell>
        </row>
        <row r="1992">
          <cell r="H1992">
            <v>0</v>
          </cell>
        </row>
        <row r="1993">
          <cell r="H1993">
            <v>0</v>
          </cell>
        </row>
        <row r="1994">
          <cell r="H1994">
            <v>0</v>
          </cell>
        </row>
        <row r="1995">
          <cell r="H1995">
            <v>0</v>
          </cell>
        </row>
        <row r="1996">
          <cell r="H1996">
            <v>0</v>
          </cell>
        </row>
        <row r="1997">
          <cell r="H1997">
            <v>0</v>
          </cell>
        </row>
        <row r="1998">
          <cell r="H1998">
            <v>0</v>
          </cell>
        </row>
        <row r="1999">
          <cell r="H1999">
            <v>0</v>
          </cell>
        </row>
        <row r="2000">
          <cell r="H2000">
            <v>0</v>
          </cell>
        </row>
        <row r="2001">
          <cell r="H2001">
            <v>0</v>
          </cell>
        </row>
        <row r="2002">
          <cell r="H2002">
            <v>0</v>
          </cell>
        </row>
        <row r="2003">
          <cell r="H2003">
            <v>0</v>
          </cell>
        </row>
        <row r="2004">
          <cell r="H2004">
            <v>0</v>
          </cell>
        </row>
        <row r="2005">
          <cell r="H2005">
            <v>0</v>
          </cell>
        </row>
        <row r="2006">
          <cell r="H2006">
            <v>0</v>
          </cell>
        </row>
        <row r="2007">
          <cell r="H2007">
            <v>0</v>
          </cell>
        </row>
        <row r="2008">
          <cell r="H2008">
            <v>0</v>
          </cell>
        </row>
        <row r="2009">
          <cell r="H2009">
            <v>0</v>
          </cell>
        </row>
        <row r="2010">
          <cell r="H2010">
            <v>0</v>
          </cell>
        </row>
        <row r="2011">
          <cell r="H2011">
            <v>0</v>
          </cell>
        </row>
        <row r="2012">
          <cell r="H2012">
            <v>0</v>
          </cell>
        </row>
        <row r="2013">
          <cell r="H2013">
            <v>0</v>
          </cell>
        </row>
        <row r="2014">
          <cell r="H2014">
            <v>0</v>
          </cell>
        </row>
        <row r="2015">
          <cell r="H2015">
            <v>0</v>
          </cell>
        </row>
        <row r="2016">
          <cell r="H2016">
            <v>0</v>
          </cell>
        </row>
        <row r="2017">
          <cell r="H2017">
            <v>0</v>
          </cell>
        </row>
        <row r="2018">
          <cell r="H2018">
            <v>0</v>
          </cell>
        </row>
        <row r="2019">
          <cell r="H2019">
            <v>0</v>
          </cell>
        </row>
        <row r="2020">
          <cell r="H2020">
            <v>0</v>
          </cell>
        </row>
        <row r="2021">
          <cell r="H2021">
            <v>0</v>
          </cell>
        </row>
        <row r="2022">
          <cell r="H2022">
            <v>0</v>
          </cell>
        </row>
        <row r="2023">
          <cell r="H2023">
            <v>0</v>
          </cell>
        </row>
        <row r="2024">
          <cell r="H2024">
            <v>0</v>
          </cell>
        </row>
        <row r="2025">
          <cell r="H2025">
            <v>0</v>
          </cell>
        </row>
        <row r="2026">
          <cell r="H2026">
            <v>0</v>
          </cell>
        </row>
        <row r="2027">
          <cell r="H2027">
            <v>0</v>
          </cell>
        </row>
        <row r="2028">
          <cell r="H2028">
            <v>0</v>
          </cell>
        </row>
        <row r="2029">
          <cell r="H2029">
            <v>0</v>
          </cell>
        </row>
        <row r="2030">
          <cell r="H2030">
            <v>0</v>
          </cell>
        </row>
        <row r="2031">
          <cell r="H2031">
            <v>0</v>
          </cell>
        </row>
        <row r="2032">
          <cell r="H2032">
            <v>0</v>
          </cell>
        </row>
        <row r="2033">
          <cell r="H2033">
            <v>0</v>
          </cell>
        </row>
        <row r="2034">
          <cell r="H2034">
            <v>0</v>
          </cell>
        </row>
        <row r="2035">
          <cell r="H2035">
            <v>0</v>
          </cell>
        </row>
        <row r="2036">
          <cell r="H2036">
            <v>0</v>
          </cell>
        </row>
        <row r="2037">
          <cell r="H2037">
            <v>0</v>
          </cell>
        </row>
        <row r="2038">
          <cell r="H2038">
            <v>0</v>
          </cell>
        </row>
        <row r="2039">
          <cell r="H2039">
            <v>0</v>
          </cell>
        </row>
        <row r="2040">
          <cell r="H2040">
            <v>0</v>
          </cell>
        </row>
        <row r="2041">
          <cell r="H2041">
            <v>0</v>
          </cell>
        </row>
        <row r="2042">
          <cell r="H2042">
            <v>0</v>
          </cell>
        </row>
        <row r="2043">
          <cell r="H2043">
            <v>0</v>
          </cell>
        </row>
        <row r="2044">
          <cell r="H2044">
            <v>0</v>
          </cell>
        </row>
        <row r="2045">
          <cell r="H2045">
            <v>0</v>
          </cell>
        </row>
        <row r="2046">
          <cell r="H2046">
            <v>0</v>
          </cell>
        </row>
        <row r="2047">
          <cell r="H2047">
            <v>0</v>
          </cell>
        </row>
        <row r="2048">
          <cell r="H2048">
            <v>0</v>
          </cell>
        </row>
        <row r="2049">
          <cell r="H2049">
            <v>0</v>
          </cell>
        </row>
        <row r="2050">
          <cell r="H2050">
            <v>0</v>
          </cell>
        </row>
        <row r="2051">
          <cell r="H2051">
            <v>0</v>
          </cell>
        </row>
        <row r="2052">
          <cell r="H2052">
            <v>0</v>
          </cell>
        </row>
        <row r="2053">
          <cell r="H2053">
            <v>0</v>
          </cell>
        </row>
        <row r="2054">
          <cell r="H2054">
            <v>0</v>
          </cell>
        </row>
        <row r="2055">
          <cell r="H2055">
            <v>0</v>
          </cell>
        </row>
        <row r="2056">
          <cell r="H2056">
            <v>0</v>
          </cell>
        </row>
        <row r="2057">
          <cell r="H2057">
            <v>0</v>
          </cell>
        </row>
        <row r="2058">
          <cell r="H2058">
            <v>0</v>
          </cell>
        </row>
        <row r="2059">
          <cell r="H2059">
            <v>0</v>
          </cell>
        </row>
        <row r="2060">
          <cell r="H2060">
            <v>0</v>
          </cell>
        </row>
        <row r="2061">
          <cell r="H2061">
            <v>0</v>
          </cell>
        </row>
        <row r="2062">
          <cell r="H2062">
            <v>0</v>
          </cell>
        </row>
        <row r="2063">
          <cell r="H2063">
            <v>0</v>
          </cell>
        </row>
        <row r="2064">
          <cell r="H2064">
            <v>0</v>
          </cell>
        </row>
        <row r="2065">
          <cell r="H2065">
            <v>0</v>
          </cell>
        </row>
        <row r="2066">
          <cell r="H2066">
            <v>0</v>
          </cell>
        </row>
        <row r="2067">
          <cell r="H2067">
            <v>0</v>
          </cell>
        </row>
        <row r="2068">
          <cell r="H2068">
            <v>0</v>
          </cell>
        </row>
        <row r="2069">
          <cell r="H2069">
            <v>0</v>
          </cell>
        </row>
        <row r="2070">
          <cell r="H2070">
            <v>0</v>
          </cell>
        </row>
        <row r="2071">
          <cell r="H2071">
            <v>0</v>
          </cell>
        </row>
        <row r="2072">
          <cell r="H2072">
            <v>0</v>
          </cell>
        </row>
        <row r="2073">
          <cell r="H2073">
            <v>0</v>
          </cell>
        </row>
        <row r="2074">
          <cell r="H2074">
            <v>0</v>
          </cell>
        </row>
        <row r="2075">
          <cell r="H2075">
            <v>0</v>
          </cell>
        </row>
        <row r="2076">
          <cell r="H2076">
            <v>0</v>
          </cell>
        </row>
        <row r="2077">
          <cell r="H2077">
            <v>0</v>
          </cell>
        </row>
        <row r="2078">
          <cell r="H2078">
            <v>0</v>
          </cell>
        </row>
        <row r="2079">
          <cell r="H2079">
            <v>0</v>
          </cell>
        </row>
        <row r="2080">
          <cell r="H2080">
            <v>0</v>
          </cell>
        </row>
        <row r="2081">
          <cell r="H2081">
            <v>0</v>
          </cell>
        </row>
        <row r="2082">
          <cell r="H2082">
            <v>0</v>
          </cell>
        </row>
        <row r="2083">
          <cell r="H2083">
            <v>0</v>
          </cell>
        </row>
        <row r="2084">
          <cell r="H2084">
            <v>0</v>
          </cell>
        </row>
        <row r="2085">
          <cell r="H2085">
            <v>0</v>
          </cell>
        </row>
        <row r="2086">
          <cell r="H2086">
            <v>0</v>
          </cell>
        </row>
        <row r="2087">
          <cell r="H2087">
            <v>0</v>
          </cell>
        </row>
        <row r="2088">
          <cell r="H2088">
            <v>0</v>
          </cell>
        </row>
        <row r="2089">
          <cell r="H2089">
            <v>0</v>
          </cell>
        </row>
        <row r="2090">
          <cell r="H2090">
            <v>0</v>
          </cell>
        </row>
        <row r="2091">
          <cell r="H2091">
            <v>0</v>
          </cell>
        </row>
        <row r="2092">
          <cell r="H2092">
            <v>0</v>
          </cell>
        </row>
        <row r="2093">
          <cell r="H2093">
            <v>0</v>
          </cell>
        </row>
        <row r="2094">
          <cell r="H2094">
            <v>0</v>
          </cell>
        </row>
        <row r="2095">
          <cell r="H2095">
            <v>0</v>
          </cell>
        </row>
        <row r="2096">
          <cell r="H2096">
            <v>0</v>
          </cell>
        </row>
        <row r="2097">
          <cell r="H2097">
            <v>0</v>
          </cell>
        </row>
        <row r="2098">
          <cell r="H2098">
            <v>0</v>
          </cell>
        </row>
        <row r="2099">
          <cell r="H2099">
            <v>0</v>
          </cell>
        </row>
        <row r="2100">
          <cell r="H2100">
            <v>0</v>
          </cell>
        </row>
        <row r="2101">
          <cell r="H2101">
            <v>0</v>
          </cell>
        </row>
        <row r="2102">
          <cell r="H2102">
            <v>0</v>
          </cell>
        </row>
        <row r="2103">
          <cell r="H2103">
            <v>0</v>
          </cell>
        </row>
        <row r="2104">
          <cell r="H2104">
            <v>0</v>
          </cell>
        </row>
        <row r="2105">
          <cell r="H2105">
            <v>0</v>
          </cell>
        </row>
        <row r="2106">
          <cell r="H2106">
            <v>0</v>
          </cell>
        </row>
        <row r="2107">
          <cell r="H2107">
            <v>0</v>
          </cell>
        </row>
        <row r="2108">
          <cell r="H2108">
            <v>0</v>
          </cell>
        </row>
        <row r="2109">
          <cell r="H2109">
            <v>0</v>
          </cell>
        </row>
        <row r="2110">
          <cell r="H2110">
            <v>0</v>
          </cell>
        </row>
        <row r="2111">
          <cell r="H2111">
            <v>0</v>
          </cell>
        </row>
        <row r="2112">
          <cell r="H2112">
            <v>0</v>
          </cell>
        </row>
        <row r="2113">
          <cell r="H2113">
            <v>0</v>
          </cell>
        </row>
        <row r="2114">
          <cell r="H2114">
            <v>0</v>
          </cell>
        </row>
        <row r="2115">
          <cell r="H2115">
            <v>0</v>
          </cell>
        </row>
        <row r="2116">
          <cell r="H2116">
            <v>0</v>
          </cell>
        </row>
        <row r="2117">
          <cell r="H2117">
            <v>0</v>
          </cell>
        </row>
        <row r="2118">
          <cell r="H2118">
            <v>0</v>
          </cell>
        </row>
        <row r="2119">
          <cell r="H2119">
            <v>0</v>
          </cell>
        </row>
        <row r="2120">
          <cell r="H2120">
            <v>0</v>
          </cell>
        </row>
        <row r="2121">
          <cell r="H2121">
            <v>0</v>
          </cell>
        </row>
        <row r="2122">
          <cell r="H2122">
            <v>0</v>
          </cell>
        </row>
        <row r="2123">
          <cell r="H2123">
            <v>0</v>
          </cell>
        </row>
        <row r="2124">
          <cell r="H2124">
            <v>0</v>
          </cell>
        </row>
        <row r="2125">
          <cell r="H2125">
            <v>0</v>
          </cell>
        </row>
        <row r="2126">
          <cell r="H2126">
            <v>0</v>
          </cell>
        </row>
        <row r="2127">
          <cell r="H2127">
            <v>0</v>
          </cell>
        </row>
        <row r="2128">
          <cell r="H2128">
            <v>0</v>
          </cell>
        </row>
        <row r="2129">
          <cell r="H2129">
            <v>0</v>
          </cell>
        </row>
        <row r="2130">
          <cell r="H2130">
            <v>0</v>
          </cell>
        </row>
        <row r="2131">
          <cell r="H2131">
            <v>0</v>
          </cell>
        </row>
        <row r="2132">
          <cell r="H2132">
            <v>0</v>
          </cell>
        </row>
        <row r="2133">
          <cell r="H2133">
            <v>0</v>
          </cell>
        </row>
        <row r="2134">
          <cell r="H2134">
            <v>0</v>
          </cell>
        </row>
        <row r="2135">
          <cell r="H2135">
            <v>0</v>
          </cell>
        </row>
        <row r="2136">
          <cell r="H2136">
            <v>0</v>
          </cell>
        </row>
        <row r="2137">
          <cell r="H2137">
            <v>0</v>
          </cell>
        </row>
        <row r="2138">
          <cell r="H2138">
            <v>0</v>
          </cell>
        </row>
        <row r="2139">
          <cell r="H2139">
            <v>0</v>
          </cell>
        </row>
        <row r="2140">
          <cell r="H2140">
            <v>0</v>
          </cell>
        </row>
        <row r="2141">
          <cell r="H2141">
            <v>0</v>
          </cell>
        </row>
        <row r="2142">
          <cell r="H2142">
            <v>0</v>
          </cell>
        </row>
        <row r="2143">
          <cell r="H2143">
            <v>0</v>
          </cell>
        </row>
        <row r="2144">
          <cell r="H2144">
            <v>0</v>
          </cell>
        </row>
        <row r="2145">
          <cell r="H2145">
            <v>0</v>
          </cell>
        </row>
        <row r="2146">
          <cell r="H2146">
            <v>0</v>
          </cell>
        </row>
        <row r="2147">
          <cell r="H2147">
            <v>0</v>
          </cell>
        </row>
        <row r="2148">
          <cell r="H2148">
            <v>0</v>
          </cell>
        </row>
        <row r="2149">
          <cell r="H2149">
            <v>0</v>
          </cell>
        </row>
        <row r="2150">
          <cell r="H2150">
            <v>0</v>
          </cell>
        </row>
        <row r="2151">
          <cell r="H2151">
            <v>0</v>
          </cell>
        </row>
        <row r="2152">
          <cell r="H2152">
            <v>0</v>
          </cell>
        </row>
        <row r="2153">
          <cell r="H2153">
            <v>0</v>
          </cell>
        </row>
        <row r="2154">
          <cell r="H2154">
            <v>0</v>
          </cell>
        </row>
        <row r="2155">
          <cell r="H2155">
            <v>0</v>
          </cell>
        </row>
        <row r="2156">
          <cell r="H2156">
            <v>0</v>
          </cell>
        </row>
        <row r="2157">
          <cell r="H2157">
            <v>0</v>
          </cell>
        </row>
        <row r="2158">
          <cell r="H2158">
            <v>0</v>
          </cell>
        </row>
        <row r="2159">
          <cell r="H2159">
            <v>0</v>
          </cell>
        </row>
        <row r="2160">
          <cell r="H2160">
            <v>0</v>
          </cell>
        </row>
        <row r="2161">
          <cell r="H2161">
            <v>0</v>
          </cell>
        </row>
        <row r="2162">
          <cell r="H2162">
            <v>0</v>
          </cell>
        </row>
        <row r="2163">
          <cell r="H2163">
            <v>0</v>
          </cell>
        </row>
        <row r="2164">
          <cell r="H2164">
            <v>0</v>
          </cell>
        </row>
        <row r="2165">
          <cell r="H2165">
            <v>0</v>
          </cell>
        </row>
        <row r="2166">
          <cell r="H2166">
            <v>0</v>
          </cell>
        </row>
        <row r="2167">
          <cell r="H2167">
            <v>0</v>
          </cell>
        </row>
        <row r="2168">
          <cell r="H2168">
            <v>0</v>
          </cell>
        </row>
        <row r="2169">
          <cell r="H2169">
            <v>0</v>
          </cell>
        </row>
        <row r="2170">
          <cell r="H2170">
            <v>0</v>
          </cell>
        </row>
        <row r="2171">
          <cell r="H2171">
            <v>0</v>
          </cell>
        </row>
        <row r="2172">
          <cell r="H2172">
            <v>0</v>
          </cell>
        </row>
        <row r="2173">
          <cell r="H2173">
            <v>0</v>
          </cell>
        </row>
        <row r="2174">
          <cell r="H2174">
            <v>0</v>
          </cell>
        </row>
        <row r="2175">
          <cell r="H2175">
            <v>0</v>
          </cell>
        </row>
        <row r="2176">
          <cell r="H2176">
            <v>0</v>
          </cell>
        </row>
        <row r="2177">
          <cell r="H2177">
            <v>0</v>
          </cell>
        </row>
        <row r="2178">
          <cell r="H2178">
            <v>0</v>
          </cell>
        </row>
        <row r="2179">
          <cell r="H2179">
            <v>0</v>
          </cell>
        </row>
        <row r="2180">
          <cell r="H2180">
            <v>0</v>
          </cell>
        </row>
        <row r="2181">
          <cell r="H2181">
            <v>0</v>
          </cell>
        </row>
        <row r="2182">
          <cell r="H2182">
            <v>0</v>
          </cell>
        </row>
        <row r="2183">
          <cell r="H2183">
            <v>0</v>
          </cell>
        </row>
        <row r="2184">
          <cell r="H2184">
            <v>0</v>
          </cell>
        </row>
        <row r="2185">
          <cell r="H2185">
            <v>0</v>
          </cell>
        </row>
        <row r="2186">
          <cell r="H2186">
            <v>0</v>
          </cell>
        </row>
        <row r="2187">
          <cell r="H2187">
            <v>0</v>
          </cell>
        </row>
        <row r="2188">
          <cell r="H2188">
            <v>0</v>
          </cell>
        </row>
        <row r="2189">
          <cell r="H2189">
            <v>0</v>
          </cell>
        </row>
        <row r="2190">
          <cell r="H2190">
            <v>0</v>
          </cell>
        </row>
        <row r="2191">
          <cell r="H2191">
            <v>0</v>
          </cell>
        </row>
        <row r="2192">
          <cell r="H2192">
            <v>0</v>
          </cell>
        </row>
        <row r="2193">
          <cell r="H2193">
            <v>0</v>
          </cell>
        </row>
        <row r="2194">
          <cell r="H2194">
            <v>0</v>
          </cell>
        </row>
        <row r="2195">
          <cell r="H2195">
            <v>0</v>
          </cell>
        </row>
        <row r="2196">
          <cell r="H2196">
            <v>0</v>
          </cell>
        </row>
        <row r="2197">
          <cell r="H2197">
            <v>0</v>
          </cell>
        </row>
        <row r="2198">
          <cell r="H2198">
            <v>0</v>
          </cell>
        </row>
        <row r="2199">
          <cell r="H2199">
            <v>0</v>
          </cell>
        </row>
        <row r="2200">
          <cell r="H2200">
            <v>0</v>
          </cell>
        </row>
        <row r="2201">
          <cell r="H2201">
            <v>0</v>
          </cell>
        </row>
        <row r="2202">
          <cell r="H2202">
            <v>0</v>
          </cell>
        </row>
        <row r="2203">
          <cell r="H2203">
            <v>0</v>
          </cell>
        </row>
        <row r="2204">
          <cell r="H2204">
            <v>0</v>
          </cell>
        </row>
        <row r="2205">
          <cell r="H2205">
            <v>0</v>
          </cell>
        </row>
        <row r="2206">
          <cell r="H2206">
            <v>0</v>
          </cell>
        </row>
        <row r="2207">
          <cell r="H2207">
            <v>0</v>
          </cell>
        </row>
        <row r="2208">
          <cell r="H2208">
            <v>0</v>
          </cell>
        </row>
        <row r="2209">
          <cell r="H2209">
            <v>0</v>
          </cell>
        </row>
        <row r="2210">
          <cell r="H2210">
            <v>0</v>
          </cell>
        </row>
        <row r="2211">
          <cell r="H2211">
            <v>0</v>
          </cell>
        </row>
        <row r="2212">
          <cell r="H2212">
            <v>0</v>
          </cell>
        </row>
        <row r="2213">
          <cell r="H2213">
            <v>0</v>
          </cell>
        </row>
        <row r="2214">
          <cell r="H2214">
            <v>0</v>
          </cell>
        </row>
        <row r="2215">
          <cell r="H2215">
            <v>0</v>
          </cell>
        </row>
        <row r="2216">
          <cell r="H2216">
            <v>0</v>
          </cell>
        </row>
        <row r="2217">
          <cell r="H2217">
            <v>0</v>
          </cell>
        </row>
        <row r="2218">
          <cell r="H2218">
            <v>0</v>
          </cell>
        </row>
        <row r="2219">
          <cell r="H2219">
            <v>0</v>
          </cell>
        </row>
        <row r="2220">
          <cell r="H2220">
            <v>0</v>
          </cell>
        </row>
        <row r="2221">
          <cell r="H2221">
            <v>0</v>
          </cell>
        </row>
        <row r="2222">
          <cell r="H2222">
            <v>0</v>
          </cell>
        </row>
        <row r="2223">
          <cell r="H2223">
            <v>0</v>
          </cell>
        </row>
        <row r="2224">
          <cell r="H2224">
            <v>0</v>
          </cell>
        </row>
        <row r="2225">
          <cell r="H2225">
            <v>0</v>
          </cell>
        </row>
        <row r="2226">
          <cell r="H2226">
            <v>0</v>
          </cell>
        </row>
        <row r="2227">
          <cell r="H2227">
            <v>0</v>
          </cell>
        </row>
        <row r="2228">
          <cell r="H2228">
            <v>0</v>
          </cell>
        </row>
        <row r="2229">
          <cell r="H2229">
            <v>0</v>
          </cell>
        </row>
        <row r="2230">
          <cell r="H2230">
            <v>0</v>
          </cell>
        </row>
        <row r="2231">
          <cell r="H2231">
            <v>0</v>
          </cell>
        </row>
        <row r="2232">
          <cell r="H2232">
            <v>0</v>
          </cell>
        </row>
        <row r="2233">
          <cell r="H2233">
            <v>0</v>
          </cell>
        </row>
        <row r="2234">
          <cell r="H2234">
            <v>0</v>
          </cell>
        </row>
        <row r="2235">
          <cell r="H2235">
            <v>0</v>
          </cell>
        </row>
        <row r="2236">
          <cell r="H2236">
            <v>0</v>
          </cell>
        </row>
        <row r="2237">
          <cell r="H2237">
            <v>0</v>
          </cell>
        </row>
        <row r="2238">
          <cell r="H2238">
            <v>0</v>
          </cell>
        </row>
        <row r="2239">
          <cell r="H2239">
            <v>0</v>
          </cell>
        </row>
        <row r="2240">
          <cell r="H2240">
            <v>0</v>
          </cell>
        </row>
        <row r="2241">
          <cell r="H2241">
            <v>0</v>
          </cell>
        </row>
        <row r="2242">
          <cell r="H2242">
            <v>0</v>
          </cell>
        </row>
        <row r="2243">
          <cell r="H2243">
            <v>0</v>
          </cell>
        </row>
        <row r="2244">
          <cell r="H2244">
            <v>0</v>
          </cell>
        </row>
        <row r="2245">
          <cell r="H2245">
            <v>0</v>
          </cell>
        </row>
        <row r="2246">
          <cell r="H2246">
            <v>0</v>
          </cell>
        </row>
        <row r="2247">
          <cell r="H2247">
            <v>0</v>
          </cell>
        </row>
        <row r="2248">
          <cell r="H2248">
            <v>0</v>
          </cell>
        </row>
        <row r="2249">
          <cell r="H2249">
            <v>0</v>
          </cell>
        </row>
        <row r="2250">
          <cell r="H2250">
            <v>0</v>
          </cell>
        </row>
        <row r="2251">
          <cell r="H2251">
            <v>0</v>
          </cell>
        </row>
        <row r="2252">
          <cell r="H2252">
            <v>0</v>
          </cell>
        </row>
        <row r="2253">
          <cell r="H2253">
            <v>0</v>
          </cell>
        </row>
        <row r="2254">
          <cell r="H2254">
            <v>0</v>
          </cell>
        </row>
        <row r="2255">
          <cell r="H2255">
            <v>0</v>
          </cell>
        </row>
        <row r="2256">
          <cell r="H2256">
            <v>0</v>
          </cell>
        </row>
        <row r="2257">
          <cell r="H2257">
            <v>0</v>
          </cell>
        </row>
        <row r="2258">
          <cell r="H2258">
            <v>0</v>
          </cell>
        </row>
        <row r="2259">
          <cell r="H2259">
            <v>0</v>
          </cell>
        </row>
        <row r="2260">
          <cell r="H2260">
            <v>0</v>
          </cell>
        </row>
        <row r="2261">
          <cell r="H2261">
            <v>0</v>
          </cell>
        </row>
        <row r="2262">
          <cell r="H2262">
            <v>0</v>
          </cell>
        </row>
        <row r="2263">
          <cell r="H2263">
            <v>0</v>
          </cell>
        </row>
        <row r="2264">
          <cell r="H2264">
            <v>0</v>
          </cell>
        </row>
        <row r="2265">
          <cell r="H2265">
            <v>0</v>
          </cell>
        </row>
        <row r="2266">
          <cell r="H2266">
            <v>0</v>
          </cell>
        </row>
        <row r="2267">
          <cell r="H2267">
            <v>0</v>
          </cell>
        </row>
        <row r="2268">
          <cell r="H2268">
            <v>0</v>
          </cell>
        </row>
        <row r="2269">
          <cell r="H2269">
            <v>0</v>
          </cell>
        </row>
        <row r="2270">
          <cell r="H2270">
            <v>0</v>
          </cell>
        </row>
        <row r="2271">
          <cell r="H2271">
            <v>0</v>
          </cell>
        </row>
        <row r="2272">
          <cell r="H2272">
            <v>0</v>
          </cell>
        </row>
        <row r="2273">
          <cell r="H2273">
            <v>0</v>
          </cell>
        </row>
        <row r="2274">
          <cell r="H2274">
            <v>0</v>
          </cell>
        </row>
        <row r="2275">
          <cell r="H2275">
            <v>0</v>
          </cell>
        </row>
        <row r="2276">
          <cell r="H2276">
            <v>0</v>
          </cell>
        </row>
        <row r="2277">
          <cell r="H2277">
            <v>0</v>
          </cell>
        </row>
        <row r="2278">
          <cell r="H2278">
            <v>0</v>
          </cell>
        </row>
        <row r="2279">
          <cell r="H2279">
            <v>0</v>
          </cell>
        </row>
        <row r="2280">
          <cell r="H2280">
            <v>0</v>
          </cell>
        </row>
        <row r="2281">
          <cell r="H2281">
            <v>0</v>
          </cell>
        </row>
        <row r="2282">
          <cell r="H2282">
            <v>0</v>
          </cell>
        </row>
        <row r="2283">
          <cell r="H2283">
            <v>0</v>
          </cell>
        </row>
        <row r="2284">
          <cell r="H2284">
            <v>0</v>
          </cell>
        </row>
        <row r="2285">
          <cell r="H2285">
            <v>0</v>
          </cell>
        </row>
        <row r="2286">
          <cell r="H2286">
            <v>0</v>
          </cell>
        </row>
        <row r="2287">
          <cell r="H2287">
            <v>0</v>
          </cell>
        </row>
        <row r="2288">
          <cell r="H2288">
            <v>0</v>
          </cell>
        </row>
        <row r="2289">
          <cell r="H2289">
            <v>0</v>
          </cell>
        </row>
        <row r="2290">
          <cell r="H2290">
            <v>0</v>
          </cell>
        </row>
        <row r="2291">
          <cell r="H2291">
            <v>0</v>
          </cell>
        </row>
        <row r="2292">
          <cell r="H2292">
            <v>0</v>
          </cell>
        </row>
        <row r="2293">
          <cell r="H2293">
            <v>0</v>
          </cell>
        </row>
        <row r="2294">
          <cell r="H2294">
            <v>0</v>
          </cell>
        </row>
        <row r="2295">
          <cell r="H2295">
            <v>0</v>
          </cell>
        </row>
        <row r="2296">
          <cell r="H2296">
            <v>0</v>
          </cell>
        </row>
        <row r="2297">
          <cell r="H2297">
            <v>0</v>
          </cell>
        </row>
        <row r="2298">
          <cell r="H2298">
            <v>0</v>
          </cell>
        </row>
        <row r="2299">
          <cell r="H2299">
            <v>0</v>
          </cell>
        </row>
        <row r="2300">
          <cell r="H2300">
            <v>0</v>
          </cell>
        </row>
        <row r="2301">
          <cell r="H2301">
            <v>0</v>
          </cell>
        </row>
        <row r="2302">
          <cell r="H2302">
            <v>0</v>
          </cell>
        </row>
        <row r="2303">
          <cell r="H2303">
            <v>0</v>
          </cell>
        </row>
        <row r="2304">
          <cell r="H2304">
            <v>0</v>
          </cell>
        </row>
        <row r="2305">
          <cell r="H2305">
            <v>0</v>
          </cell>
        </row>
        <row r="2306">
          <cell r="H2306">
            <v>0</v>
          </cell>
        </row>
        <row r="2307">
          <cell r="H2307">
            <v>0</v>
          </cell>
        </row>
        <row r="2308">
          <cell r="H2308">
            <v>0</v>
          </cell>
        </row>
        <row r="2309">
          <cell r="H2309">
            <v>0</v>
          </cell>
        </row>
        <row r="2310">
          <cell r="H2310">
            <v>0</v>
          </cell>
        </row>
        <row r="2311">
          <cell r="H2311">
            <v>0</v>
          </cell>
        </row>
        <row r="2312">
          <cell r="H2312">
            <v>0</v>
          </cell>
        </row>
        <row r="2313">
          <cell r="H2313">
            <v>0</v>
          </cell>
        </row>
        <row r="2314">
          <cell r="H2314">
            <v>0</v>
          </cell>
        </row>
        <row r="2315">
          <cell r="H2315">
            <v>0</v>
          </cell>
        </row>
        <row r="2316">
          <cell r="H2316">
            <v>0</v>
          </cell>
        </row>
        <row r="2317">
          <cell r="H2317">
            <v>0</v>
          </cell>
        </row>
        <row r="2318">
          <cell r="H2318">
            <v>0</v>
          </cell>
        </row>
        <row r="2319">
          <cell r="H2319">
            <v>0</v>
          </cell>
        </row>
        <row r="2320">
          <cell r="H2320">
            <v>0</v>
          </cell>
        </row>
        <row r="2321">
          <cell r="H2321">
            <v>0</v>
          </cell>
        </row>
        <row r="2322">
          <cell r="H2322">
            <v>0</v>
          </cell>
        </row>
        <row r="2323">
          <cell r="H2323">
            <v>0</v>
          </cell>
        </row>
        <row r="2324">
          <cell r="H2324">
            <v>0</v>
          </cell>
        </row>
        <row r="2325">
          <cell r="H2325">
            <v>0</v>
          </cell>
        </row>
        <row r="2326">
          <cell r="H2326">
            <v>0</v>
          </cell>
        </row>
        <row r="2327">
          <cell r="H2327">
            <v>0</v>
          </cell>
        </row>
        <row r="2328">
          <cell r="H2328">
            <v>0</v>
          </cell>
        </row>
        <row r="2329">
          <cell r="H2329">
            <v>0</v>
          </cell>
        </row>
        <row r="2330">
          <cell r="H2330">
            <v>0</v>
          </cell>
        </row>
        <row r="2331">
          <cell r="H2331">
            <v>0</v>
          </cell>
        </row>
        <row r="2332">
          <cell r="H2332">
            <v>0</v>
          </cell>
        </row>
        <row r="2333">
          <cell r="H2333">
            <v>0</v>
          </cell>
        </row>
        <row r="2334">
          <cell r="H2334">
            <v>0</v>
          </cell>
        </row>
        <row r="2335">
          <cell r="H2335">
            <v>0</v>
          </cell>
        </row>
        <row r="2336">
          <cell r="H2336">
            <v>0</v>
          </cell>
        </row>
        <row r="2337">
          <cell r="H2337">
            <v>0</v>
          </cell>
        </row>
        <row r="2338">
          <cell r="H2338">
            <v>0</v>
          </cell>
        </row>
        <row r="2339">
          <cell r="H2339">
            <v>0</v>
          </cell>
        </row>
        <row r="2340">
          <cell r="H2340">
            <v>0</v>
          </cell>
        </row>
        <row r="2341">
          <cell r="H2341">
            <v>0</v>
          </cell>
        </row>
        <row r="2342">
          <cell r="H2342">
            <v>0</v>
          </cell>
        </row>
        <row r="2343">
          <cell r="H2343">
            <v>0</v>
          </cell>
        </row>
        <row r="2344">
          <cell r="H2344">
            <v>0</v>
          </cell>
        </row>
        <row r="2345">
          <cell r="H2345">
            <v>0</v>
          </cell>
        </row>
        <row r="2346">
          <cell r="H2346">
            <v>0</v>
          </cell>
        </row>
        <row r="2347">
          <cell r="H2347">
            <v>0</v>
          </cell>
        </row>
        <row r="2348">
          <cell r="H2348">
            <v>0</v>
          </cell>
        </row>
        <row r="2349">
          <cell r="H2349">
            <v>0</v>
          </cell>
        </row>
        <row r="2350">
          <cell r="H2350">
            <v>0</v>
          </cell>
        </row>
        <row r="2351">
          <cell r="H2351">
            <v>0</v>
          </cell>
        </row>
        <row r="2352">
          <cell r="H2352">
            <v>0</v>
          </cell>
        </row>
        <row r="2353">
          <cell r="H2353">
            <v>0</v>
          </cell>
        </row>
        <row r="2354">
          <cell r="H2354">
            <v>0</v>
          </cell>
        </row>
        <row r="2355">
          <cell r="H2355">
            <v>0</v>
          </cell>
        </row>
        <row r="2356">
          <cell r="H2356">
            <v>0</v>
          </cell>
        </row>
        <row r="2357">
          <cell r="H2357">
            <v>0</v>
          </cell>
        </row>
        <row r="2358">
          <cell r="H2358">
            <v>0</v>
          </cell>
        </row>
        <row r="2359">
          <cell r="H2359">
            <v>0</v>
          </cell>
        </row>
        <row r="2360">
          <cell r="H2360">
            <v>0</v>
          </cell>
        </row>
        <row r="2361">
          <cell r="H2361">
            <v>0</v>
          </cell>
        </row>
        <row r="2362">
          <cell r="H2362">
            <v>0</v>
          </cell>
        </row>
        <row r="2363">
          <cell r="H2363">
            <v>0</v>
          </cell>
        </row>
        <row r="2364">
          <cell r="H2364">
            <v>0</v>
          </cell>
        </row>
        <row r="2365">
          <cell r="H2365">
            <v>0</v>
          </cell>
        </row>
        <row r="2366">
          <cell r="H2366">
            <v>0</v>
          </cell>
        </row>
        <row r="2367">
          <cell r="H2367">
            <v>0</v>
          </cell>
        </row>
        <row r="2368">
          <cell r="H2368">
            <v>0</v>
          </cell>
        </row>
        <row r="2369">
          <cell r="H2369">
            <v>0</v>
          </cell>
        </row>
        <row r="2370">
          <cell r="H2370">
            <v>0</v>
          </cell>
        </row>
        <row r="2371">
          <cell r="H2371">
            <v>0</v>
          </cell>
        </row>
        <row r="2372">
          <cell r="H2372">
            <v>0</v>
          </cell>
        </row>
        <row r="2373">
          <cell r="H2373">
            <v>0</v>
          </cell>
        </row>
        <row r="2374">
          <cell r="H2374">
            <v>0</v>
          </cell>
        </row>
        <row r="2375">
          <cell r="H2375">
            <v>0</v>
          </cell>
        </row>
        <row r="2376">
          <cell r="H2376">
            <v>0</v>
          </cell>
        </row>
        <row r="2377">
          <cell r="H2377">
            <v>0</v>
          </cell>
        </row>
        <row r="2378">
          <cell r="H2378">
            <v>0</v>
          </cell>
        </row>
        <row r="2379">
          <cell r="H2379">
            <v>0</v>
          </cell>
        </row>
        <row r="2380">
          <cell r="H2380">
            <v>0</v>
          </cell>
        </row>
        <row r="2381">
          <cell r="H2381">
            <v>0</v>
          </cell>
        </row>
        <row r="2382">
          <cell r="H2382">
            <v>0</v>
          </cell>
        </row>
        <row r="2383">
          <cell r="H2383">
            <v>0</v>
          </cell>
        </row>
        <row r="2384">
          <cell r="H2384">
            <v>0</v>
          </cell>
        </row>
        <row r="2385">
          <cell r="H2385">
            <v>0</v>
          </cell>
        </row>
        <row r="2386">
          <cell r="H2386">
            <v>0</v>
          </cell>
        </row>
        <row r="2387">
          <cell r="H2387">
            <v>0</v>
          </cell>
        </row>
        <row r="2388">
          <cell r="H2388">
            <v>0</v>
          </cell>
        </row>
        <row r="2389">
          <cell r="H2389">
            <v>0</v>
          </cell>
        </row>
        <row r="2390">
          <cell r="H2390">
            <v>0</v>
          </cell>
        </row>
        <row r="2391">
          <cell r="H2391">
            <v>0</v>
          </cell>
        </row>
        <row r="2392">
          <cell r="H2392">
            <v>0</v>
          </cell>
        </row>
        <row r="2393">
          <cell r="H2393">
            <v>0</v>
          </cell>
        </row>
        <row r="2394">
          <cell r="H2394">
            <v>0</v>
          </cell>
        </row>
        <row r="2395">
          <cell r="H2395">
            <v>0</v>
          </cell>
        </row>
        <row r="2396">
          <cell r="H2396">
            <v>0</v>
          </cell>
        </row>
        <row r="2397">
          <cell r="H2397">
            <v>0</v>
          </cell>
        </row>
        <row r="2398">
          <cell r="H2398">
            <v>0</v>
          </cell>
        </row>
        <row r="2399">
          <cell r="H2399">
            <v>0</v>
          </cell>
        </row>
        <row r="2400">
          <cell r="H2400">
            <v>0</v>
          </cell>
        </row>
        <row r="2401">
          <cell r="H2401">
            <v>0</v>
          </cell>
        </row>
        <row r="2402">
          <cell r="H2402">
            <v>0</v>
          </cell>
        </row>
        <row r="2403">
          <cell r="H2403">
            <v>0</v>
          </cell>
        </row>
        <row r="2404">
          <cell r="H2404">
            <v>0</v>
          </cell>
        </row>
        <row r="2405">
          <cell r="H2405">
            <v>0</v>
          </cell>
        </row>
        <row r="2406">
          <cell r="H2406">
            <v>0</v>
          </cell>
        </row>
        <row r="2407">
          <cell r="H2407">
            <v>0</v>
          </cell>
        </row>
        <row r="2408">
          <cell r="H2408">
            <v>0</v>
          </cell>
        </row>
        <row r="2409">
          <cell r="H2409">
            <v>0</v>
          </cell>
        </row>
        <row r="2410">
          <cell r="H2410">
            <v>0</v>
          </cell>
        </row>
        <row r="2411">
          <cell r="H2411">
            <v>0</v>
          </cell>
        </row>
        <row r="2412">
          <cell r="H2412">
            <v>0</v>
          </cell>
        </row>
        <row r="2413">
          <cell r="H2413">
            <v>0</v>
          </cell>
        </row>
        <row r="2414">
          <cell r="H2414">
            <v>0</v>
          </cell>
        </row>
        <row r="2415">
          <cell r="H2415">
            <v>0</v>
          </cell>
        </row>
        <row r="2416">
          <cell r="H2416">
            <v>0</v>
          </cell>
        </row>
        <row r="2417">
          <cell r="H2417">
            <v>0</v>
          </cell>
        </row>
        <row r="2418">
          <cell r="H2418">
            <v>0</v>
          </cell>
        </row>
        <row r="2419">
          <cell r="H2419">
            <v>0</v>
          </cell>
        </row>
        <row r="2420">
          <cell r="H2420">
            <v>0</v>
          </cell>
        </row>
        <row r="2421">
          <cell r="H2421">
            <v>0</v>
          </cell>
        </row>
        <row r="2422">
          <cell r="H2422">
            <v>0</v>
          </cell>
        </row>
        <row r="2423">
          <cell r="H2423">
            <v>0</v>
          </cell>
        </row>
        <row r="2424">
          <cell r="H2424">
            <v>0</v>
          </cell>
        </row>
        <row r="2425">
          <cell r="H2425">
            <v>0</v>
          </cell>
        </row>
        <row r="2426">
          <cell r="H2426">
            <v>0</v>
          </cell>
        </row>
        <row r="2427">
          <cell r="H2427">
            <v>0</v>
          </cell>
        </row>
        <row r="2428">
          <cell r="H2428">
            <v>0</v>
          </cell>
        </row>
        <row r="2429">
          <cell r="H2429">
            <v>0</v>
          </cell>
        </row>
        <row r="2430">
          <cell r="H2430">
            <v>0</v>
          </cell>
        </row>
        <row r="2431">
          <cell r="H2431">
            <v>0</v>
          </cell>
        </row>
        <row r="2432">
          <cell r="H2432">
            <v>0</v>
          </cell>
        </row>
        <row r="2433">
          <cell r="H2433">
            <v>0</v>
          </cell>
        </row>
        <row r="2434">
          <cell r="H2434">
            <v>0</v>
          </cell>
        </row>
        <row r="2435">
          <cell r="H2435">
            <v>0</v>
          </cell>
        </row>
        <row r="2436">
          <cell r="H2436">
            <v>0</v>
          </cell>
        </row>
        <row r="2437">
          <cell r="H2437">
            <v>0</v>
          </cell>
        </row>
        <row r="2438">
          <cell r="H2438">
            <v>0</v>
          </cell>
        </row>
        <row r="2439">
          <cell r="H2439">
            <v>0</v>
          </cell>
        </row>
        <row r="2440">
          <cell r="H2440">
            <v>0</v>
          </cell>
        </row>
        <row r="2441">
          <cell r="H2441">
            <v>0</v>
          </cell>
        </row>
        <row r="2442">
          <cell r="H2442">
            <v>0</v>
          </cell>
        </row>
        <row r="2443">
          <cell r="H2443">
            <v>0</v>
          </cell>
        </row>
        <row r="2444">
          <cell r="H2444">
            <v>0</v>
          </cell>
        </row>
        <row r="2445">
          <cell r="H2445">
            <v>0</v>
          </cell>
        </row>
        <row r="2446">
          <cell r="H2446">
            <v>0</v>
          </cell>
        </row>
        <row r="2447">
          <cell r="H2447">
            <v>0</v>
          </cell>
        </row>
        <row r="2448">
          <cell r="H2448">
            <v>0</v>
          </cell>
        </row>
        <row r="2449">
          <cell r="H2449">
            <v>0</v>
          </cell>
        </row>
        <row r="2450">
          <cell r="H2450">
            <v>0</v>
          </cell>
        </row>
        <row r="2451">
          <cell r="H2451">
            <v>0</v>
          </cell>
        </row>
        <row r="2452">
          <cell r="H2452">
            <v>0</v>
          </cell>
        </row>
        <row r="2453">
          <cell r="H2453">
            <v>0</v>
          </cell>
        </row>
        <row r="2454">
          <cell r="H2454">
            <v>0</v>
          </cell>
        </row>
        <row r="2455">
          <cell r="H2455">
            <v>0</v>
          </cell>
        </row>
        <row r="2456">
          <cell r="H2456">
            <v>0</v>
          </cell>
        </row>
        <row r="2457">
          <cell r="H2457">
            <v>0</v>
          </cell>
        </row>
        <row r="2458">
          <cell r="H2458">
            <v>0</v>
          </cell>
        </row>
        <row r="2459">
          <cell r="H2459">
            <v>0</v>
          </cell>
        </row>
        <row r="2460">
          <cell r="H2460">
            <v>0</v>
          </cell>
        </row>
        <row r="2461">
          <cell r="H2461">
            <v>0</v>
          </cell>
        </row>
        <row r="2462">
          <cell r="H2462">
            <v>0</v>
          </cell>
        </row>
        <row r="2463">
          <cell r="H2463">
            <v>0</v>
          </cell>
        </row>
        <row r="2464">
          <cell r="H2464">
            <v>0</v>
          </cell>
        </row>
        <row r="2465">
          <cell r="H2465">
            <v>0</v>
          </cell>
        </row>
        <row r="2466">
          <cell r="H2466">
            <v>0</v>
          </cell>
        </row>
        <row r="2467">
          <cell r="H2467">
            <v>0</v>
          </cell>
        </row>
        <row r="2468">
          <cell r="H2468">
            <v>0</v>
          </cell>
        </row>
        <row r="2469">
          <cell r="H2469">
            <v>0</v>
          </cell>
        </row>
        <row r="2470">
          <cell r="H2470">
            <v>0</v>
          </cell>
        </row>
        <row r="2471">
          <cell r="H2471">
            <v>0</v>
          </cell>
        </row>
        <row r="2472">
          <cell r="H2472">
            <v>0</v>
          </cell>
        </row>
        <row r="2473">
          <cell r="H2473">
            <v>0</v>
          </cell>
        </row>
        <row r="2474">
          <cell r="H2474">
            <v>0</v>
          </cell>
        </row>
        <row r="2475">
          <cell r="H2475">
            <v>0</v>
          </cell>
        </row>
        <row r="2476">
          <cell r="H2476">
            <v>0</v>
          </cell>
        </row>
        <row r="2477">
          <cell r="H2477">
            <v>0</v>
          </cell>
        </row>
        <row r="2478">
          <cell r="H2478">
            <v>0</v>
          </cell>
        </row>
        <row r="2479">
          <cell r="H2479">
            <v>0</v>
          </cell>
        </row>
        <row r="2480">
          <cell r="H2480">
            <v>0</v>
          </cell>
        </row>
        <row r="2481">
          <cell r="H2481">
            <v>0</v>
          </cell>
        </row>
        <row r="2482">
          <cell r="H2482">
            <v>0</v>
          </cell>
        </row>
        <row r="2483">
          <cell r="H2483">
            <v>0</v>
          </cell>
        </row>
        <row r="2484">
          <cell r="H2484">
            <v>0</v>
          </cell>
        </row>
        <row r="2485">
          <cell r="H2485">
            <v>0</v>
          </cell>
        </row>
        <row r="2486">
          <cell r="H2486">
            <v>0</v>
          </cell>
        </row>
        <row r="2487">
          <cell r="H2487">
            <v>0</v>
          </cell>
        </row>
        <row r="2488">
          <cell r="H2488">
            <v>0</v>
          </cell>
        </row>
        <row r="2489">
          <cell r="H2489">
            <v>0</v>
          </cell>
        </row>
        <row r="2490">
          <cell r="H2490">
            <v>0</v>
          </cell>
        </row>
        <row r="2491">
          <cell r="H2491">
            <v>0</v>
          </cell>
        </row>
        <row r="2492">
          <cell r="H2492">
            <v>0</v>
          </cell>
        </row>
        <row r="2493">
          <cell r="H2493">
            <v>0</v>
          </cell>
        </row>
        <row r="2494">
          <cell r="H2494">
            <v>0</v>
          </cell>
        </row>
        <row r="2495">
          <cell r="H2495">
            <v>0</v>
          </cell>
        </row>
        <row r="2496">
          <cell r="H2496">
            <v>0</v>
          </cell>
        </row>
        <row r="2497">
          <cell r="H2497">
            <v>0</v>
          </cell>
        </row>
        <row r="2498">
          <cell r="H2498">
            <v>0</v>
          </cell>
        </row>
        <row r="2499">
          <cell r="H2499">
            <v>0</v>
          </cell>
        </row>
        <row r="2500">
          <cell r="H2500">
            <v>0</v>
          </cell>
        </row>
        <row r="2501">
          <cell r="H2501">
            <v>0</v>
          </cell>
        </row>
        <row r="2502">
          <cell r="H2502">
            <v>0</v>
          </cell>
        </row>
        <row r="2503">
          <cell r="H2503">
            <v>0</v>
          </cell>
        </row>
        <row r="2504">
          <cell r="H2504">
            <v>0</v>
          </cell>
        </row>
        <row r="2505">
          <cell r="H2505">
            <v>0</v>
          </cell>
        </row>
        <row r="2506">
          <cell r="H2506">
            <v>0</v>
          </cell>
        </row>
        <row r="2507">
          <cell r="H2507">
            <v>0</v>
          </cell>
        </row>
        <row r="2508">
          <cell r="H2508">
            <v>0</v>
          </cell>
        </row>
        <row r="2509">
          <cell r="H2509">
            <v>0</v>
          </cell>
        </row>
        <row r="2510">
          <cell r="H2510">
            <v>0</v>
          </cell>
        </row>
        <row r="2511">
          <cell r="H2511">
            <v>0</v>
          </cell>
        </row>
        <row r="2512">
          <cell r="H2512">
            <v>0</v>
          </cell>
        </row>
        <row r="2513">
          <cell r="H2513">
            <v>0</v>
          </cell>
        </row>
        <row r="2514">
          <cell r="H2514">
            <v>0</v>
          </cell>
        </row>
        <row r="2515">
          <cell r="H2515">
            <v>0</v>
          </cell>
        </row>
        <row r="2516">
          <cell r="H2516">
            <v>0</v>
          </cell>
        </row>
        <row r="2517">
          <cell r="H2517">
            <v>0</v>
          </cell>
        </row>
        <row r="2518">
          <cell r="H2518">
            <v>0</v>
          </cell>
        </row>
        <row r="2519">
          <cell r="H2519">
            <v>0</v>
          </cell>
        </row>
        <row r="2520">
          <cell r="H2520">
            <v>0</v>
          </cell>
        </row>
        <row r="2521">
          <cell r="H2521">
            <v>0</v>
          </cell>
        </row>
        <row r="2522">
          <cell r="H2522">
            <v>0</v>
          </cell>
        </row>
        <row r="2523">
          <cell r="H2523">
            <v>0</v>
          </cell>
        </row>
        <row r="2524">
          <cell r="H2524">
            <v>0</v>
          </cell>
        </row>
        <row r="2525">
          <cell r="H2525">
            <v>0</v>
          </cell>
        </row>
        <row r="2526">
          <cell r="H2526">
            <v>0</v>
          </cell>
        </row>
        <row r="2527">
          <cell r="H2527">
            <v>0</v>
          </cell>
        </row>
        <row r="2528">
          <cell r="H2528">
            <v>0</v>
          </cell>
        </row>
        <row r="2529">
          <cell r="H2529">
            <v>0</v>
          </cell>
        </row>
        <row r="2530">
          <cell r="H2530">
            <v>0</v>
          </cell>
        </row>
        <row r="2531">
          <cell r="H2531">
            <v>0</v>
          </cell>
        </row>
        <row r="2532">
          <cell r="H2532">
            <v>0</v>
          </cell>
        </row>
        <row r="2533">
          <cell r="H2533">
            <v>0</v>
          </cell>
        </row>
        <row r="2534">
          <cell r="H2534">
            <v>0</v>
          </cell>
        </row>
        <row r="2535">
          <cell r="H2535">
            <v>0</v>
          </cell>
        </row>
        <row r="2536">
          <cell r="H2536">
            <v>0</v>
          </cell>
        </row>
        <row r="2537">
          <cell r="H2537">
            <v>0</v>
          </cell>
        </row>
        <row r="2538">
          <cell r="H2538">
            <v>0</v>
          </cell>
        </row>
        <row r="2539">
          <cell r="H2539">
            <v>0</v>
          </cell>
        </row>
        <row r="2540">
          <cell r="H2540">
            <v>0</v>
          </cell>
        </row>
        <row r="2541">
          <cell r="H2541">
            <v>0</v>
          </cell>
        </row>
        <row r="2542">
          <cell r="H2542">
            <v>0</v>
          </cell>
        </row>
        <row r="2543">
          <cell r="H2543">
            <v>0</v>
          </cell>
        </row>
        <row r="2544">
          <cell r="H2544">
            <v>0</v>
          </cell>
        </row>
        <row r="2545">
          <cell r="H2545">
            <v>0</v>
          </cell>
        </row>
        <row r="2546">
          <cell r="H2546">
            <v>0</v>
          </cell>
        </row>
        <row r="2547">
          <cell r="H2547">
            <v>0</v>
          </cell>
        </row>
        <row r="2548">
          <cell r="H2548">
            <v>0</v>
          </cell>
        </row>
        <row r="2549">
          <cell r="H2549">
            <v>0</v>
          </cell>
        </row>
        <row r="2550">
          <cell r="H2550">
            <v>0</v>
          </cell>
        </row>
        <row r="2551">
          <cell r="H2551">
            <v>0</v>
          </cell>
        </row>
        <row r="2552">
          <cell r="H2552">
            <v>0</v>
          </cell>
        </row>
        <row r="2553">
          <cell r="H2553">
            <v>0</v>
          </cell>
        </row>
        <row r="2554">
          <cell r="H2554">
            <v>0</v>
          </cell>
        </row>
        <row r="2555">
          <cell r="H2555">
            <v>0</v>
          </cell>
        </row>
        <row r="2556">
          <cell r="H2556">
            <v>0</v>
          </cell>
        </row>
        <row r="2557">
          <cell r="H2557">
            <v>0</v>
          </cell>
        </row>
        <row r="2558">
          <cell r="H2558">
            <v>0</v>
          </cell>
        </row>
        <row r="2559">
          <cell r="H2559">
            <v>0</v>
          </cell>
        </row>
        <row r="2560">
          <cell r="H2560">
            <v>0</v>
          </cell>
        </row>
        <row r="2561">
          <cell r="H2561">
            <v>0</v>
          </cell>
        </row>
        <row r="2562">
          <cell r="H2562">
            <v>0</v>
          </cell>
        </row>
        <row r="2563">
          <cell r="H2563">
            <v>0</v>
          </cell>
        </row>
        <row r="2564">
          <cell r="H2564">
            <v>0</v>
          </cell>
        </row>
        <row r="2565">
          <cell r="H2565">
            <v>0</v>
          </cell>
        </row>
        <row r="2566">
          <cell r="H2566">
            <v>0</v>
          </cell>
        </row>
        <row r="2567">
          <cell r="H2567">
            <v>0</v>
          </cell>
        </row>
        <row r="2568">
          <cell r="H2568">
            <v>0</v>
          </cell>
        </row>
        <row r="2569">
          <cell r="H2569">
            <v>0</v>
          </cell>
        </row>
        <row r="2570">
          <cell r="H2570">
            <v>0</v>
          </cell>
        </row>
        <row r="2571">
          <cell r="H2571">
            <v>0</v>
          </cell>
        </row>
        <row r="2572">
          <cell r="H2572">
            <v>0</v>
          </cell>
        </row>
        <row r="2573">
          <cell r="H2573">
            <v>0</v>
          </cell>
        </row>
        <row r="2574">
          <cell r="H2574">
            <v>0</v>
          </cell>
        </row>
        <row r="2575">
          <cell r="H2575">
            <v>0</v>
          </cell>
        </row>
        <row r="2576">
          <cell r="H2576">
            <v>0</v>
          </cell>
        </row>
        <row r="2577">
          <cell r="H2577">
            <v>0</v>
          </cell>
        </row>
        <row r="2578">
          <cell r="H2578">
            <v>0</v>
          </cell>
        </row>
        <row r="2579">
          <cell r="H2579">
            <v>0</v>
          </cell>
        </row>
        <row r="2580">
          <cell r="H2580">
            <v>0</v>
          </cell>
        </row>
        <row r="2581">
          <cell r="H2581">
            <v>0</v>
          </cell>
        </row>
        <row r="2582">
          <cell r="H2582">
            <v>0</v>
          </cell>
        </row>
        <row r="2583">
          <cell r="H2583">
            <v>0</v>
          </cell>
        </row>
        <row r="2584">
          <cell r="H2584">
            <v>0</v>
          </cell>
        </row>
        <row r="2585">
          <cell r="H2585">
            <v>0</v>
          </cell>
        </row>
        <row r="2586">
          <cell r="H2586">
            <v>0</v>
          </cell>
        </row>
        <row r="2587">
          <cell r="H2587">
            <v>0</v>
          </cell>
        </row>
        <row r="2588">
          <cell r="H2588">
            <v>0</v>
          </cell>
        </row>
        <row r="2589">
          <cell r="H2589">
            <v>0</v>
          </cell>
        </row>
        <row r="2590">
          <cell r="H2590">
            <v>0</v>
          </cell>
        </row>
        <row r="2591">
          <cell r="H2591">
            <v>0</v>
          </cell>
        </row>
        <row r="2592">
          <cell r="H2592">
            <v>0</v>
          </cell>
        </row>
        <row r="2593">
          <cell r="H2593">
            <v>0</v>
          </cell>
        </row>
        <row r="2594">
          <cell r="H2594">
            <v>0</v>
          </cell>
        </row>
        <row r="2595">
          <cell r="H2595">
            <v>0</v>
          </cell>
        </row>
        <row r="2596">
          <cell r="H2596">
            <v>0</v>
          </cell>
        </row>
        <row r="2597">
          <cell r="H2597">
            <v>0</v>
          </cell>
        </row>
        <row r="2598">
          <cell r="H2598">
            <v>0</v>
          </cell>
        </row>
        <row r="2599">
          <cell r="H2599">
            <v>0</v>
          </cell>
        </row>
        <row r="2600">
          <cell r="H2600">
            <v>0</v>
          </cell>
        </row>
        <row r="2601">
          <cell r="H2601">
            <v>0</v>
          </cell>
        </row>
        <row r="2602">
          <cell r="H2602">
            <v>0</v>
          </cell>
        </row>
        <row r="2603">
          <cell r="H2603">
            <v>0</v>
          </cell>
        </row>
        <row r="2604">
          <cell r="H2604">
            <v>0</v>
          </cell>
        </row>
        <row r="2605">
          <cell r="H2605">
            <v>0</v>
          </cell>
        </row>
        <row r="2606">
          <cell r="H2606">
            <v>0</v>
          </cell>
        </row>
        <row r="2607">
          <cell r="H2607">
            <v>0</v>
          </cell>
        </row>
        <row r="2608">
          <cell r="H2608">
            <v>0</v>
          </cell>
        </row>
        <row r="2609">
          <cell r="H2609">
            <v>0</v>
          </cell>
        </row>
        <row r="2610">
          <cell r="H2610">
            <v>0</v>
          </cell>
        </row>
        <row r="2611">
          <cell r="H2611">
            <v>0</v>
          </cell>
        </row>
        <row r="2612">
          <cell r="H2612">
            <v>0</v>
          </cell>
        </row>
        <row r="2613">
          <cell r="H2613">
            <v>0</v>
          </cell>
        </row>
        <row r="2614">
          <cell r="H2614">
            <v>0</v>
          </cell>
        </row>
        <row r="2615">
          <cell r="H2615">
            <v>0</v>
          </cell>
        </row>
        <row r="2616">
          <cell r="H2616">
            <v>0</v>
          </cell>
        </row>
        <row r="2617">
          <cell r="H2617">
            <v>0</v>
          </cell>
        </row>
        <row r="2618">
          <cell r="H2618">
            <v>0</v>
          </cell>
        </row>
        <row r="2619">
          <cell r="H2619">
            <v>0</v>
          </cell>
        </row>
        <row r="2620">
          <cell r="H2620">
            <v>0</v>
          </cell>
        </row>
        <row r="2621">
          <cell r="H2621">
            <v>0</v>
          </cell>
        </row>
        <row r="2622">
          <cell r="H2622">
            <v>0</v>
          </cell>
        </row>
        <row r="2623">
          <cell r="H2623">
            <v>0</v>
          </cell>
        </row>
        <row r="2624">
          <cell r="H2624">
            <v>0</v>
          </cell>
        </row>
        <row r="2625">
          <cell r="H2625">
            <v>0</v>
          </cell>
        </row>
        <row r="2626">
          <cell r="H2626">
            <v>0</v>
          </cell>
        </row>
        <row r="2627">
          <cell r="H2627">
            <v>0</v>
          </cell>
        </row>
        <row r="2628">
          <cell r="H2628">
            <v>0</v>
          </cell>
        </row>
        <row r="2629">
          <cell r="H2629">
            <v>0</v>
          </cell>
        </row>
        <row r="2630">
          <cell r="H2630">
            <v>0</v>
          </cell>
        </row>
        <row r="2631">
          <cell r="H2631">
            <v>0</v>
          </cell>
        </row>
        <row r="2632">
          <cell r="H2632">
            <v>0</v>
          </cell>
        </row>
        <row r="2633">
          <cell r="H2633">
            <v>0</v>
          </cell>
        </row>
        <row r="2634">
          <cell r="H2634">
            <v>0</v>
          </cell>
        </row>
        <row r="2635">
          <cell r="H2635">
            <v>0</v>
          </cell>
        </row>
        <row r="2636">
          <cell r="H2636">
            <v>0</v>
          </cell>
        </row>
        <row r="2637">
          <cell r="H2637">
            <v>0</v>
          </cell>
        </row>
        <row r="2638">
          <cell r="H2638">
            <v>0</v>
          </cell>
        </row>
        <row r="2639">
          <cell r="H2639">
            <v>0</v>
          </cell>
        </row>
        <row r="2640">
          <cell r="H2640">
            <v>0</v>
          </cell>
        </row>
        <row r="2641">
          <cell r="H2641">
            <v>0</v>
          </cell>
        </row>
        <row r="2642">
          <cell r="H2642">
            <v>0</v>
          </cell>
        </row>
        <row r="2643">
          <cell r="H2643">
            <v>0</v>
          </cell>
        </row>
        <row r="2644">
          <cell r="H2644">
            <v>0</v>
          </cell>
        </row>
        <row r="2645">
          <cell r="H2645">
            <v>0</v>
          </cell>
        </row>
        <row r="2646">
          <cell r="H2646">
            <v>0</v>
          </cell>
        </row>
        <row r="2647">
          <cell r="H2647">
            <v>0</v>
          </cell>
        </row>
        <row r="2648">
          <cell r="H2648">
            <v>0</v>
          </cell>
        </row>
        <row r="2649">
          <cell r="H2649">
            <v>0</v>
          </cell>
        </row>
        <row r="2650">
          <cell r="H2650">
            <v>0</v>
          </cell>
        </row>
        <row r="2651">
          <cell r="H2651">
            <v>0</v>
          </cell>
        </row>
        <row r="2652">
          <cell r="H2652">
            <v>0</v>
          </cell>
        </row>
        <row r="2653">
          <cell r="H2653">
            <v>0</v>
          </cell>
        </row>
        <row r="2654">
          <cell r="H2654">
            <v>0</v>
          </cell>
        </row>
        <row r="2655">
          <cell r="H2655">
            <v>0</v>
          </cell>
        </row>
        <row r="2656">
          <cell r="H2656">
            <v>0</v>
          </cell>
        </row>
        <row r="2657">
          <cell r="H2657">
            <v>0</v>
          </cell>
        </row>
        <row r="2658">
          <cell r="H2658">
            <v>0</v>
          </cell>
        </row>
        <row r="2659">
          <cell r="H2659">
            <v>0</v>
          </cell>
        </row>
        <row r="2660">
          <cell r="H2660">
            <v>0</v>
          </cell>
        </row>
        <row r="2661">
          <cell r="H2661">
            <v>0</v>
          </cell>
        </row>
        <row r="2662">
          <cell r="H2662">
            <v>0</v>
          </cell>
        </row>
        <row r="2663">
          <cell r="H2663">
            <v>0</v>
          </cell>
        </row>
        <row r="2664">
          <cell r="H2664">
            <v>0</v>
          </cell>
        </row>
        <row r="2665">
          <cell r="H2665">
            <v>0</v>
          </cell>
        </row>
        <row r="2666">
          <cell r="H2666">
            <v>0</v>
          </cell>
        </row>
        <row r="2667">
          <cell r="H2667">
            <v>0</v>
          </cell>
        </row>
        <row r="2668">
          <cell r="H2668">
            <v>0</v>
          </cell>
        </row>
        <row r="2669">
          <cell r="H2669">
            <v>0</v>
          </cell>
        </row>
        <row r="2670">
          <cell r="H2670">
            <v>0</v>
          </cell>
        </row>
        <row r="2671">
          <cell r="H2671">
            <v>0</v>
          </cell>
        </row>
        <row r="2672">
          <cell r="H2672">
            <v>0</v>
          </cell>
        </row>
        <row r="2673">
          <cell r="H2673">
            <v>0</v>
          </cell>
        </row>
        <row r="2674">
          <cell r="H2674">
            <v>0</v>
          </cell>
        </row>
        <row r="2675">
          <cell r="H2675">
            <v>0</v>
          </cell>
        </row>
        <row r="2676">
          <cell r="H2676">
            <v>0</v>
          </cell>
        </row>
        <row r="2677">
          <cell r="H2677">
            <v>0</v>
          </cell>
        </row>
        <row r="2678">
          <cell r="H2678">
            <v>0</v>
          </cell>
        </row>
        <row r="2679">
          <cell r="H2679">
            <v>0</v>
          </cell>
        </row>
        <row r="2680">
          <cell r="H2680">
            <v>0</v>
          </cell>
        </row>
        <row r="2681">
          <cell r="H2681">
            <v>0</v>
          </cell>
        </row>
        <row r="2682">
          <cell r="H2682">
            <v>0</v>
          </cell>
        </row>
        <row r="2683">
          <cell r="H2683">
            <v>0</v>
          </cell>
        </row>
        <row r="2684">
          <cell r="H2684">
            <v>0</v>
          </cell>
        </row>
        <row r="2685">
          <cell r="H2685">
            <v>0</v>
          </cell>
        </row>
        <row r="2686">
          <cell r="H2686">
            <v>0</v>
          </cell>
        </row>
        <row r="2687">
          <cell r="H2687">
            <v>0</v>
          </cell>
        </row>
        <row r="2688">
          <cell r="H2688">
            <v>0</v>
          </cell>
        </row>
        <row r="2689">
          <cell r="H2689">
            <v>0</v>
          </cell>
        </row>
        <row r="2690">
          <cell r="H2690">
            <v>0</v>
          </cell>
        </row>
        <row r="2691">
          <cell r="H2691">
            <v>0</v>
          </cell>
        </row>
        <row r="2692">
          <cell r="H2692">
            <v>0</v>
          </cell>
        </row>
        <row r="2693">
          <cell r="H2693">
            <v>0</v>
          </cell>
        </row>
        <row r="2694">
          <cell r="H2694">
            <v>0</v>
          </cell>
        </row>
        <row r="2695">
          <cell r="H2695">
            <v>0</v>
          </cell>
        </row>
        <row r="2696">
          <cell r="H2696">
            <v>0</v>
          </cell>
        </row>
        <row r="2697">
          <cell r="H2697">
            <v>0</v>
          </cell>
        </row>
        <row r="2698">
          <cell r="H2698">
            <v>0</v>
          </cell>
        </row>
        <row r="2699">
          <cell r="H2699">
            <v>0</v>
          </cell>
        </row>
        <row r="2700">
          <cell r="H2700">
            <v>0</v>
          </cell>
        </row>
        <row r="2701">
          <cell r="H2701">
            <v>0</v>
          </cell>
        </row>
        <row r="2702">
          <cell r="H2702">
            <v>0</v>
          </cell>
        </row>
        <row r="2703">
          <cell r="H2703">
            <v>0</v>
          </cell>
        </row>
        <row r="2704">
          <cell r="H2704">
            <v>0</v>
          </cell>
        </row>
        <row r="2705">
          <cell r="H2705">
            <v>0</v>
          </cell>
        </row>
        <row r="2706">
          <cell r="H2706">
            <v>0</v>
          </cell>
        </row>
        <row r="2707">
          <cell r="H2707">
            <v>0</v>
          </cell>
        </row>
        <row r="2708">
          <cell r="H2708">
            <v>0</v>
          </cell>
        </row>
        <row r="2709">
          <cell r="H2709">
            <v>0</v>
          </cell>
        </row>
        <row r="2710">
          <cell r="H2710">
            <v>0</v>
          </cell>
        </row>
        <row r="2711">
          <cell r="H2711">
            <v>0</v>
          </cell>
        </row>
        <row r="2712">
          <cell r="H2712">
            <v>0</v>
          </cell>
        </row>
        <row r="2713">
          <cell r="H2713">
            <v>0</v>
          </cell>
        </row>
        <row r="2714">
          <cell r="H2714">
            <v>0</v>
          </cell>
        </row>
        <row r="2715">
          <cell r="H2715">
            <v>0</v>
          </cell>
        </row>
        <row r="2716">
          <cell r="H2716">
            <v>0</v>
          </cell>
        </row>
        <row r="2717">
          <cell r="H2717">
            <v>0</v>
          </cell>
        </row>
        <row r="2718">
          <cell r="H2718">
            <v>0</v>
          </cell>
        </row>
        <row r="2719">
          <cell r="H2719">
            <v>0</v>
          </cell>
        </row>
        <row r="2720">
          <cell r="H2720">
            <v>0</v>
          </cell>
        </row>
        <row r="2721">
          <cell r="H2721">
            <v>0</v>
          </cell>
        </row>
        <row r="2722">
          <cell r="H2722">
            <v>0</v>
          </cell>
        </row>
        <row r="2723">
          <cell r="H2723">
            <v>0</v>
          </cell>
        </row>
        <row r="2724">
          <cell r="H2724">
            <v>0</v>
          </cell>
        </row>
        <row r="2725">
          <cell r="H2725">
            <v>0</v>
          </cell>
        </row>
        <row r="2726">
          <cell r="H2726">
            <v>0</v>
          </cell>
        </row>
        <row r="2727">
          <cell r="H2727">
            <v>0</v>
          </cell>
        </row>
        <row r="2728">
          <cell r="H2728">
            <v>0</v>
          </cell>
        </row>
        <row r="2729">
          <cell r="H2729">
            <v>0</v>
          </cell>
        </row>
        <row r="2730">
          <cell r="H2730">
            <v>0</v>
          </cell>
        </row>
        <row r="2731">
          <cell r="H2731">
            <v>0</v>
          </cell>
        </row>
        <row r="2732">
          <cell r="H2732">
            <v>0</v>
          </cell>
        </row>
        <row r="2733">
          <cell r="H2733">
            <v>0</v>
          </cell>
        </row>
        <row r="2734">
          <cell r="H2734">
            <v>0</v>
          </cell>
        </row>
        <row r="2735">
          <cell r="H2735">
            <v>0</v>
          </cell>
        </row>
        <row r="2736">
          <cell r="H2736">
            <v>0</v>
          </cell>
        </row>
        <row r="2737">
          <cell r="H2737">
            <v>0</v>
          </cell>
        </row>
        <row r="2738">
          <cell r="H2738">
            <v>0</v>
          </cell>
        </row>
        <row r="2739">
          <cell r="H2739">
            <v>0</v>
          </cell>
        </row>
        <row r="2740">
          <cell r="H2740">
            <v>0</v>
          </cell>
        </row>
        <row r="2741">
          <cell r="H2741">
            <v>0</v>
          </cell>
        </row>
        <row r="2742">
          <cell r="H2742">
            <v>0</v>
          </cell>
        </row>
        <row r="2743">
          <cell r="H2743">
            <v>0</v>
          </cell>
        </row>
        <row r="2744">
          <cell r="H2744">
            <v>0</v>
          </cell>
        </row>
        <row r="2745">
          <cell r="H2745">
            <v>0</v>
          </cell>
        </row>
        <row r="2746">
          <cell r="H2746">
            <v>0</v>
          </cell>
        </row>
        <row r="2747">
          <cell r="H2747">
            <v>0</v>
          </cell>
        </row>
        <row r="2748">
          <cell r="H2748">
            <v>0</v>
          </cell>
        </row>
        <row r="2749">
          <cell r="H2749">
            <v>0</v>
          </cell>
        </row>
        <row r="2750">
          <cell r="H2750">
            <v>0</v>
          </cell>
        </row>
        <row r="2751">
          <cell r="H2751">
            <v>0</v>
          </cell>
        </row>
        <row r="2752">
          <cell r="H2752">
            <v>0</v>
          </cell>
        </row>
        <row r="2753">
          <cell r="H2753">
            <v>0</v>
          </cell>
        </row>
        <row r="2754">
          <cell r="H2754">
            <v>0</v>
          </cell>
        </row>
        <row r="2755">
          <cell r="H2755">
            <v>0</v>
          </cell>
        </row>
        <row r="2756">
          <cell r="H2756">
            <v>0</v>
          </cell>
        </row>
        <row r="2757">
          <cell r="H2757">
            <v>0</v>
          </cell>
        </row>
        <row r="2758">
          <cell r="H2758">
            <v>0</v>
          </cell>
        </row>
        <row r="2759">
          <cell r="H2759">
            <v>0</v>
          </cell>
        </row>
        <row r="2760">
          <cell r="H2760">
            <v>0</v>
          </cell>
        </row>
        <row r="2761">
          <cell r="H2761">
            <v>0</v>
          </cell>
        </row>
        <row r="2762">
          <cell r="H2762">
            <v>0</v>
          </cell>
        </row>
        <row r="2763">
          <cell r="H2763">
            <v>0</v>
          </cell>
        </row>
        <row r="2764">
          <cell r="H2764">
            <v>0</v>
          </cell>
        </row>
        <row r="2765">
          <cell r="H2765">
            <v>0</v>
          </cell>
        </row>
        <row r="2766">
          <cell r="H2766">
            <v>0</v>
          </cell>
        </row>
        <row r="2767">
          <cell r="H2767">
            <v>0</v>
          </cell>
        </row>
        <row r="2768">
          <cell r="H2768">
            <v>0</v>
          </cell>
        </row>
        <row r="2769">
          <cell r="H2769">
            <v>0</v>
          </cell>
        </row>
        <row r="2770">
          <cell r="H2770">
            <v>0</v>
          </cell>
        </row>
        <row r="2771">
          <cell r="H2771">
            <v>0</v>
          </cell>
        </row>
        <row r="2772">
          <cell r="H2772">
            <v>0</v>
          </cell>
        </row>
        <row r="2773">
          <cell r="H2773">
            <v>0</v>
          </cell>
        </row>
        <row r="2774">
          <cell r="H2774">
            <v>0</v>
          </cell>
        </row>
        <row r="2775">
          <cell r="H2775">
            <v>0</v>
          </cell>
        </row>
        <row r="2776">
          <cell r="H2776">
            <v>0</v>
          </cell>
        </row>
        <row r="2777">
          <cell r="H2777">
            <v>0</v>
          </cell>
        </row>
        <row r="2778">
          <cell r="H2778">
            <v>0</v>
          </cell>
        </row>
        <row r="2779">
          <cell r="H2779">
            <v>0</v>
          </cell>
        </row>
        <row r="2780">
          <cell r="H2780">
            <v>0</v>
          </cell>
        </row>
        <row r="2781">
          <cell r="H2781">
            <v>0</v>
          </cell>
        </row>
        <row r="2782">
          <cell r="H2782">
            <v>0</v>
          </cell>
        </row>
        <row r="2783">
          <cell r="H2783">
            <v>0</v>
          </cell>
        </row>
        <row r="2784">
          <cell r="H2784">
            <v>0</v>
          </cell>
        </row>
        <row r="2785">
          <cell r="H2785">
            <v>0</v>
          </cell>
        </row>
        <row r="2786">
          <cell r="H2786">
            <v>0</v>
          </cell>
        </row>
        <row r="2787">
          <cell r="H2787">
            <v>0</v>
          </cell>
        </row>
        <row r="2788">
          <cell r="H2788">
            <v>0</v>
          </cell>
        </row>
        <row r="2789">
          <cell r="H2789">
            <v>0</v>
          </cell>
        </row>
        <row r="2790">
          <cell r="H2790">
            <v>0</v>
          </cell>
        </row>
        <row r="2791">
          <cell r="H2791">
            <v>0</v>
          </cell>
        </row>
        <row r="2792">
          <cell r="H2792">
            <v>0</v>
          </cell>
        </row>
        <row r="2793">
          <cell r="H2793">
            <v>0</v>
          </cell>
        </row>
        <row r="2794">
          <cell r="H2794">
            <v>0</v>
          </cell>
        </row>
        <row r="2795">
          <cell r="H2795">
            <v>0</v>
          </cell>
        </row>
        <row r="2796">
          <cell r="H2796">
            <v>0</v>
          </cell>
        </row>
        <row r="2797">
          <cell r="H2797">
            <v>0</v>
          </cell>
        </row>
        <row r="2798">
          <cell r="H2798">
            <v>0</v>
          </cell>
        </row>
        <row r="2799">
          <cell r="H2799">
            <v>0</v>
          </cell>
        </row>
        <row r="2800">
          <cell r="H2800">
            <v>0</v>
          </cell>
        </row>
        <row r="2801">
          <cell r="H2801">
            <v>0</v>
          </cell>
        </row>
        <row r="2802">
          <cell r="H2802">
            <v>0</v>
          </cell>
        </row>
        <row r="2803">
          <cell r="H2803">
            <v>0</v>
          </cell>
        </row>
        <row r="2804">
          <cell r="H2804">
            <v>0</v>
          </cell>
        </row>
        <row r="2805">
          <cell r="H2805">
            <v>0</v>
          </cell>
        </row>
        <row r="2806">
          <cell r="H2806">
            <v>0</v>
          </cell>
        </row>
        <row r="2807">
          <cell r="H2807">
            <v>0</v>
          </cell>
        </row>
        <row r="2808">
          <cell r="H2808">
            <v>0</v>
          </cell>
        </row>
        <row r="2809">
          <cell r="H2809">
            <v>0</v>
          </cell>
        </row>
        <row r="2810">
          <cell r="H2810">
            <v>0</v>
          </cell>
        </row>
        <row r="2811">
          <cell r="H2811">
            <v>0</v>
          </cell>
        </row>
        <row r="2812">
          <cell r="H2812">
            <v>0</v>
          </cell>
        </row>
        <row r="2813">
          <cell r="H2813">
            <v>0</v>
          </cell>
        </row>
        <row r="2814">
          <cell r="H2814">
            <v>0</v>
          </cell>
        </row>
        <row r="2815">
          <cell r="H2815">
            <v>0</v>
          </cell>
        </row>
        <row r="2816">
          <cell r="H2816">
            <v>0</v>
          </cell>
        </row>
        <row r="2817">
          <cell r="H2817">
            <v>0</v>
          </cell>
        </row>
        <row r="2818">
          <cell r="H2818">
            <v>0</v>
          </cell>
        </row>
        <row r="2819">
          <cell r="H2819">
            <v>0</v>
          </cell>
        </row>
        <row r="2820">
          <cell r="H2820">
            <v>0</v>
          </cell>
        </row>
        <row r="2821">
          <cell r="H2821">
            <v>0</v>
          </cell>
        </row>
        <row r="2822">
          <cell r="H2822">
            <v>0</v>
          </cell>
        </row>
        <row r="2823">
          <cell r="H2823">
            <v>0</v>
          </cell>
        </row>
        <row r="2824">
          <cell r="H2824">
            <v>0</v>
          </cell>
        </row>
        <row r="2825">
          <cell r="H2825">
            <v>0</v>
          </cell>
        </row>
        <row r="2826">
          <cell r="H2826">
            <v>0</v>
          </cell>
        </row>
        <row r="2827">
          <cell r="H2827">
            <v>0</v>
          </cell>
        </row>
        <row r="2828">
          <cell r="H2828">
            <v>0</v>
          </cell>
        </row>
        <row r="2829">
          <cell r="H2829">
            <v>0</v>
          </cell>
        </row>
        <row r="2830">
          <cell r="H2830">
            <v>0</v>
          </cell>
        </row>
        <row r="2831">
          <cell r="H2831">
            <v>0</v>
          </cell>
        </row>
        <row r="2832">
          <cell r="H2832">
            <v>0</v>
          </cell>
        </row>
        <row r="2833">
          <cell r="H2833">
            <v>0</v>
          </cell>
        </row>
        <row r="2834">
          <cell r="H2834">
            <v>0</v>
          </cell>
        </row>
        <row r="2835">
          <cell r="H2835">
            <v>0</v>
          </cell>
        </row>
        <row r="2836">
          <cell r="H2836">
            <v>0</v>
          </cell>
        </row>
        <row r="2837">
          <cell r="H2837">
            <v>0</v>
          </cell>
        </row>
        <row r="2838">
          <cell r="H2838">
            <v>0</v>
          </cell>
        </row>
        <row r="2839">
          <cell r="H2839">
            <v>0</v>
          </cell>
        </row>
        <row r="2840">
          <cell r="H2840">
            <v>0</v>
          </cell>
        </row>
        <row r="2841">
          <cell r="H2841">
            <v>0</v>
          </cell>
        </row>
        <row r="2842">
          <cell r="H2842">
            <v>0</v>
          </cell>
        </row>
        <row r="2843">
          <cell r="H2843">
            <v>0</v>
          </cell>
        </row>
        <row r="2844">
          <cell r="H2844">
            <v>0</v>
          </cell>
        </row>
        <row r="2845">
          <cell r="H2845">
            <v>0</v>
          </cell>
        </row>
        <row r="2846">
          <cell r="H2846">
            <v>0</v>
          </cell>
        </row>
        <row r="2847">
          <cell r="H2847">
            <v>0</v>
          </cell>
        </row>
        <row r="2848">
          <cell r="H2848">
            <v>0</v>
          </cell>
        </row>
        <row r="2849">
          <cell r="H2849">
            <v>0</v>
          </cell>
        </row>
        <row r="2850">
          <cell r="H2850">
            <v>0</v>
          </cell>
        </row>
        <row r="2851">
          <cell r="H2851">
            <v>0</v>
          </cell>
        </row>
        <row r="2852">
          <cell r="H2852">
            <v>0</v>
          </cell>
        </row>
        <row r="2853">
          <cell r="H2853">
            <v>0</v>
          </cell>
        </row>
        <row r="2854">
          <cell r="H2854">
            <v>0</v>
          </cell>
        </row>
        <row r="2855">
          <cell r="H2855">
            <v>0</v>
          </cell>
        </row>
        <row r="2856">
          <cell r="H2856">
            <v>0</v>
          </cell>
        </row>
        <row r="2857">
          <cell r="H2857">
            <v>0</v>
          </cell>
        </row>
        <row r="2858">
          <cell r="H2858">
            <v>0</v>
          </cell>
        </row>
        <row r="2859">
          <cell r="H2859">
            <v>0</v>
          </cell>
        </row>
        <row r="2860">
          <cell r="H2860">
            <v>0</v>
          </cell>
        </row>
        <row r="2861">
          <cell r="H2861">
            <v>0</v>
          </cell>
        </row>
        <row r="2862">
          <cell r="H2862">
            <v>0</v>
          </cell>
        </row>
        <row r="2863">
          <cell r="H2863">
            <v>0</v>
          </cell>
        </row>
        <row r="2864">
          <cell r="H2864">
            <v>0</v>
          </cell>
        </row>
        <row r="2865">
          <cell r="H2865">
            <v>0</v>
          </cell>
        </row>
        <row r="2866">
          <cell r="H2866">
            <v>0</v>
          </cell>
        </row>
        <row r="2867">
          <cell r="H2867">
            <v>0</v>
          </cell>
        </row>
        <row r="2868">
          <cell r="H2868">
            <v>0</v>
          </cell>
        </row>
        <row r="2869">
          <cell r="H2869">
            <v>0</v>
          </cell>
        </row>
        <row r="2870">
          <cell r="H2870">
            <v>0</v>
          </cell>
        </row>
        <row r="2871">
          <cell r="H2871">
            <v>0</v>
          </cell>
        </row>
        <row r="2872">
          <cell r="H2872">
            <v>0</v>
          </cell>
        </row>
        <row r="2873">
          <cell r="H2873">
            <v>0</v>
          </cell>
        </row>
        <row r="2874">
          <cell r="H2874">
            <v>0</v>
          </cell>
        </row>
        <row r="2875">
          <cell r="H2875">
            <v>0</v>
          </cell>
        </row>
        <row r="2876">
          <cell r="H2876">
            <v>0</v>
          </cell>
        </row>
        <row r="2877">
          <cell r="H2877">
            <v>0</v>
          </cell>
        </row>
        <row r="2878">
          <cell r="H2878">
            <v>0</v>
          </cell>
        </row>
        <row r="2879">
          <cell r="H2879">
            <v>0</v>
          </cell>
        </row>
        <row r="2880">
          <cell r="H2880">
            <v>0</v>
          </cell>
        </row>
        <row r="2881">
          <cell r="H2881">
            <v>0</v>
          </cell>
        </row>
        <row r="2882">
          <cell r="H2882">
            <v>0</v>
          </cell>
        </row>
        <row r="2883">
          <cell r="H2883">
            <v>0</v>
          </cell>
        </row>
        <row r="2884">
          <cell r="H2884">
            <v>0</v>
          </cell>
        </row>
        <row r="2885">
          <cell r="H2885">
            <v>0</v>
          </cell>
        </row>
        <row r="2886">
          <cell r="H2886">
            <v>0</v>
          </cell>
        </row>
        <row r="2887">
          <cell r="H2887">
            <v>0</v>
          </cell>
        </row>
        <row r="2888">
          <cell r="H2888">
            <v>0</v>
          </cell>
        </row>
        <row r="2889">
          <cell r="H2889">
            <v>0</v>
          </cell>
        </row>
        <row r="2890">
          <cell r="H2890">
            <v>0</v>
          </cell>
        </row>
        <row r="2891">
          <cell r="H2891">
            <v>0</v>
          </cell>
        </row>
        <row r="2892">
          <cell r="H2892">
            <v>0</v>
          </cell>
        </row>
        <row r="2893">
          <cell r="H2893">
            <v>0</v>
          </cell>
        </row>
        <row r="2894">
          <cell r="H2894">
            <v>0</v>
          </cell>
        </row>
        <row r="2895">
          <cell r="H2895">
            <v>0</v>
          </cell>
        </row>
        <row r="2896">
          <cell r="H2896">
            <v>0</v>
          </cell>
        </row>
        <row r="2897">
          <cell r="H2897">
            <v>0</v>
          </cell>
        </row>
        <row r="2898">
          <cell r="H2898">
            <v>0</v>
          </cell>
        </row>
        <row r="2899">
          <cell r="H2899">
            <v>0</v>
          </cell>
        </row>
        <row r="2900">
          <cell r="H2900">
            <v>0</v>
          </cell>
        </row>
        <row r="2901">
          <cell r="H2901">
            <v>0</v>
          </cell>
        </row>
        <row r="2902">
          <cell r="H2902">
            <v>0</v>
          </cell>
        </row>
        <row r="2903">
          <cell r="H2903">
            <v>0</v>
          </cell>
        </row>
        <row r="2904">
          <cell r="H2904">
            <v>0</v>
          </cell>
        </row>
        <row r="2905">
          <cell r="H2905">
            <v>0</v>
          </cell>
        </row>
        <row r="2906">
          <cell r="H2906">
            <v>0</v>
          </cell>
        </row>
        <row r="2907">
          <cell r="H2907">
            <v>0</v>
          </cell>
        </row>
        <row r="2908">
          <cell r="H2908">
            <v>0</v>
          </cell>
        </row>
        <row r="2909">
          <cell r="H2909">
            <v>0</v>
          </cell>
        </row>
        <row r="2910">
          <cell r="H2910">
            <v>0</v>
          </cell>
        </row>
        <row r="2911">
          <cell r="H2911">
            <v>0</v>
          </cell>
        </row>
        <row r="2912">
          <cell r="H2912">
            <v>0</v>
          </cell>
        </row>
        <row r="2913">
          <cell r="H2913">
            <v>0</v>
          </cell>
        </row>
        <row r="2914">
          <cell r="H2914">
            <v>0</v>
          </cell>
        </row>
        <row r="2915">
          <cell r="H2915">
            <v>0</v>
          </cell>
        </row>
        <row r="2916">
          <cell r="H2916">
            <v>0</v>
          </cell>
        </row>
        <row r="2917">
          <cell r="H2917">
            <v>0</v>
          </cell>
        </row>
        <row r="2918">
          <cell r="H2918">
            <v>0</v>
          </cell>
        </row>
        <row r="2919">
          <cell r="H2919">
            <v>0</v>
          </cell>
        </row>
        <row r="2920">
          <cell r="H2920">
            <v>0</v>
          </cell>
        </row>
        <row r="2921">
          <cell r="H2921">
            <v>0</v>
          </cell>
        </row>
        <row r="2922">
          <cell r="H2922">
            <v>0</v>
          </cell>
        </row>
        <row r="2923">
          <cell r="H2923">
            <v>0</v>
          </cell>
        </row>
        <row r="2924">
          <cell r="H2924">
            <v>0</v>
          </cell>
        </row>
        <row r="2925">
          <cell r="H2925">
            <v>0</v>
          </cell>
        </row>
        <row r="2926">
          <cell r="H2926">
            <v>0</v>
          </cell>
        </row>
        <row r="2927">
          <cell r="H2927">
            <v>0</v>
          </cell>
        </row>
        <row r="2928">
          <cell r="H2928">
            <v>0</v>
          </cell>
        </row>
        <row r="2929">
          <cell r="H2929">
            <v>0</v>
          </cell>
        </row>
        <row r="2930">
          <cell r="H2930">
            <v>0</v>
          </cell>
        </row>
        <row r="2931">
          <cell r="H2931">
            <v>0</v>
          </cell>
        </row>
        <row r="2932">
          <cell r="H2932">
            <v>0</v>
          </cell>
        </row>
        <row r="2933">
          <cell r="H2933">
            <v>0</v>
          </cell>
        </row>
        <row r="2934">
          <cell r="H2934">
            <v>0</v>
          </cell>
        </row>
        <row r="2935">
          <cell r="H2935">
            <v>0</v>
          </cell>
        </row>
        <row r="2936">
          <cell r="H2936">
            <v>0</v>
          </cell>
        </row>
        <row r="2937">
          <cell r="H2937">
            <v>0</v>
          </cell>
        </row>
        <row r="2938">
          <cell r="H2938">
            <v>0</v>
          </cell>
        </row>
        <row r="2939">
          <cell r="H2939">
            <v>0</v>
          </cell>
        </row>
        <row r="2940">
          <cell r="H2940">
            <v>0</v>
          </cell>
        </row>
        <row r="2941">
          <cell r="H2941">
            <v>0</v>
          </cell>
        </row>
        <row r="2942">
          <cell r="H2942">
            <v>0</v>
          </cell>
        </row>
        <row r="2943">
          <cell r="H2943">
            <v>0</v>
          </cell>
        </row>
        <row r="2944">
          <cell r="H2944">
            <v>0</v>
          </cell>
        </row>
        <row r="2945">
          <cell r="H2945">
            <v>0</v>
          </cell>
        </row>
        <row r="2946">
          <cell r="H2946">
            <v>0</v>
          </cell>
        </row>
        <row r="2947">
          <cell r="H2947">
            <v>0</v>
          </cell>
        </row>
        <row r="2948">
          <cell r="H2948">
            <v>0</v>
          </cell>
        </row>
        <row r="2949">
          <cell r="H2949">
            <v>0</v>
          </cell>
        </row>
        <row r="2950">
          <cell r="H2950">
            <v>0</v>
          </cell>
        </row>
        <row r="2951">
          <cell r="H2951">
            <v>0</v>
          </cell>
        </row>
        <row r="2952">
          <cell r="H2952">
            <v>0</v>
          </cell>
        </row>
        <row r="2953">
          <cell r="H2953">
            <v>0</v>
          </cell>
        </row>
        <row r="2954">
          <cell r="H2954">
            <v>0</v>
          </cell>
        </row>
        <row r="2955">
          <cell r="H2955">
            <v>0</v>
          </cell>
        </row>
        <row r="2956">
          <cell r="H2956">
            <v>0</v>
          </cell>
        </row>
        <row r="2957">
          <cell r="H2957">
            <v>0</v>
          </cell>
        </row>
        <row r="2958">
          <cell r="H2958">
            <v>0</v>
          </cell>
        </row>
        <row r="2959">
          <cell r="H2959">
            <v>0</v>
          </cell>
        </row>
        <row r="2960">
          <cell r="H2960">
            <v>0</v>
          </cell>
        </row>
        <row r="2961">
          <cell r="H2961">
            <v>0</v>
          </cell>
        </row>
        <row r="2962">
          <cell r="H2962">
            <v>0</v>
          </cell>
        </row>
        <row r="2963">
          <cell r="H2963">
            <v>0</v>
          </cell>
        </row>
        <row r="2964">
          <cell r="H2964">
            <v>0</v>
          </cell>
        </row>
        <row r="2965">
          <cell r="H2965">
            <v>0</v>
          </cell>
        </row>
        <row r="2966">
          <cell r="H2966">
            <v>0</v>
          </cell>
        </row>
        <row r="2967">
          <cell r="H2967">
            <v>0</v>
          </cell>
        </row>
        <row r="2968">
          <cell r="H2968">
            <v>0</v>
          </cell>
        </row>
        <row r="2969">
          <cell r="H2969">
            <v>0</v>
          </cell>
        </row>
        <row r="2970">
          <cell r="H2970">
            <v>0</v>
          </cell>
        </row>
        <row r="2971">
          <cell r="H2971">
            <v>0</v>
          </cell>
        </row>
        <row r="2972">
          <cell r="H2972">
            <v>0</v>
          </cell>
        </row>
        <row r="2973">
          <cell r="H2973">
            <v>0</v>
          </cell>
        </row>
        <row r="2974">
          <cell r="H2974">
            <v>0</v>
          </cell>
        </row>
        <row r="2975">
          <cell r="H2975">
            <v>0</v>
          </cell>
        </row>
        <row r="2976">
          <cell r="H2976">
            <v>0</v>
          </cell>
        </row>
        <row r="2977">
          <cell r="H2977">
            <v>0</v>
          </cell>
        </row>
        <row r="2978">
          <cell r="H2978">
            <v>0</v>
          </cell>
        </row>
        <row r="2979">
          <cell r="H2979">
            <v>0</v>
          </cell>
        </row>
        <row r="2980">
          <cell r="H2980">
            <v>0</v>
          </cell>
        </row>
        <row r="2981">
          <cell r="H2981">
            <v>0</v>
          </cell>
        </row>
        <row r="2982">
          <cell r="H2982">
            <v>0</v>
          </cell>
        </row>
        <row r="2983">
          <cell r="H2983">
            <v>0</v>
          </cell>
        </row>
        <row r="2984">
          <cell r="H2984">
            <v>0</v>
          </cell>
        </row>
        <row r="2985">
          <cell r="H2985">
            <v>0</v>
          </cell>
        </row>
        <row r="2986">
          <cell r="H2986">
            <v>0</v>
          </cell>
        </row>
        <row r="2987">
          <cell r="H2987">
            <v>0</v>
          </cell>
        </row>
        <row r="2988">
          <cell r="H2988">
            <v>0</v>
          </cell>
        </row>
        <row r="2989">
          <cell r="H2989">
            <v>0</v>
          </cell>
        </row>
        <row r="2990">
          <cell r="H2990">
            <v>0</v>
          </cell>
        </row>
        <row r="2991">
          <cell r="H2991">
            <v>0</v>
          </cell>
        </row>
        <row r="2992">
          <cell r="H2992">
            <v>0</v>
          </cell>
        </row>
        <row r="2993">
          <cell r="H2993">
            <v>0</v>
          </cell>
        </row>
        <row r="2994">
          <cell r="H2994">
            <v>0</v>
          </cell>
        </row>
        <row r="2995">
          <cell r="H2995">
            <v>0</v>
          </cell>
        </row>
        <row r="2996">
          <cell r="H2996">
            <v>0</v>
          </cell>
        </row>
        <row r="2997">
          <cell r="H2997">
            <v>0</v>
          </cell>
        </row>
        <row r="2998">
          <cell r="H2998">
            <v>0</v>
          </cell>
        </row>
        <row r="2999">
          <cell r="H2999">
            <v>0</v>
          </cell>
        </row>
        <row r="3000">
          <cell r="H3000">
            <v>0</v>
          </cell>
        </row>
        <row r="3001">
          <cell r="H3001">
            <v>0</v>
          </cell>
        </row>
        <row r="3002">
          <cell r="H3002">
            <v>0</v>
          </cell>
        </row>
        <row r="3003">
          <cell r="H3003">
            <v>0</v>
          </cell>
        </row>
        <row r="3004">
          <cell r="H3004">
            <v>0</v>
          </cell>
        </row>
        <row r="3005">
          <cell r="H3005">
            <v>0</v>
          </cell>
        </row>
        <row r="3006">
          <cell r="H3006">
            <v>0</v>
          </cell>
        </row>
        <row r="3007">
          <cell r="H3007">
            <v>0</v>
          </cell>
        </row>
        <row r="3008">
          <cell r="H3008">
            <v>0</v>
          </cell>
        </row>
        <row r="3009">
          <cell r="H3009">
            <v>0</v>
          </cell>
        </row>
        <row r="3010">
          <cell r="H3010">
            <v>0</v>
          </cell>
        </row>
        <row r="3011">
          <cell r="H3011">
            <v>0</v>
          </cell>
        </row>
        <row r="3012">
          <cell r="H3012">
            <v>0</v>
          </cell>
        </row>
        <row r="3013">
          <cell r="H3013">
            <v>0</v>
          </cell>
        </row>
        <row r="3014">
          <cell r="H3014">
            <v>0</v>
          </cell>
        </row>
        <row r="3015">
          <cell r="H3015">
            <v>0</v>
          </cell>
        </row>
        <row r="3016">
          <cell r="H3016">
            <v>0</v>
          </cell>
        </row>
        <row r="3017">
          <cell r="H3017">
            <v>0</v>
          </cell>
        </row>
        <row r="3018">
          <cell r="H3018">
            <v>0</v>
          </cell>
        </row>
        <row r="3019">
          <cell r="H3019">
            <v>0</v>
          </cell>
        </row>
        <row r="3020">
          <cell r="H3020">
            <v>0</v>
          </cell>
        </row>
        <row r="3021">
          <cell r="H3021">
            <v>0</v>
          </cell>
        </row>
        <row r="3022">
          <cell r="H3022">
            <v>0</v>
          </cell>
        </row>
        <row r="3023">
          <cell r="H3023">
            <v>0</v>
          </cell>
        </row>
        <row r="3024">
          <cell r="H3024">
            <v>0</v>
          </cell>
        </row>
        <row r="3025">
          <cell r="H3025">
            <v>0</v>
          </cell>
        </row>
        <row r="3026">
          <cell r="H3026">
            <v>0</v>
          </cell>
        </row>
        <row r="3027">
          <cell r="H3027">
            <v>0</v>
          </cell>
        </row>
        <row r="3028">
          <cell r="H3028">
            <v>0</v>
          </cell>
        </row>
        <row r="3029">
          <cell r="H3029">
            <v>0</v>
          </cell>
        </row>
        <row r="3030">
          <cell r="H3030">
            <v>0</v>
          </cell>
        </row>
        <row r="3031">
          <cell r="H3031">
            <v>0</v>
          </cell>
        </row>
        <row r="3032">
          <cell r="H3032">
            <v>0</v>
          </cell>
        </row>
        <row r="3033">
          <cell r="H3033">
            <v>0</v>
          </cell>
        </row>
        <row r="3034">
          <cell r="H3034">
            <v>0</v>
          </cell>
        </row>
        <row r="3035">
          <cell r="H3035">
            <v>0</v>
          </cell>
        </row>
        <row r="3036">
          <cell r="H3036">
            <v>0</v>
          </cell>
        </row>
        <row r="3037">
          <cell r="H3037">
            <v>0</v>
          </cell>
        </row>
        <row r="3038">
          <cell r="H3038">
            <v>0</v>
          </cell>
        </row>
        <row r="3039">
          <cell r="H3039">
            <v>0</v>
          </cell>
        </row>
        <row r="3040">
          <cell r="H3040">
            <v>0</v>
          </cell>
        </row>
        <row r="3041">
          <cell r="H3041">
            <v>0</v>
          </cell>
        </row>
        <row r="3042">
          <cell r="H3042">
            <v>0</v>
          </cell>
        </row>
        <row r="3043">
          <cell r="H3043">
            <v>0</v>
          </cell>
        </row>
        <row r="3044">
          <cell r="H3044">
            <v>0</v>
          </cell>
        </row>
        <row r="3045">
          <cell r="H3045">
            <v>0</v>
          </cell>
        </row>
        <row r="3046">
          <cell r="H3046">
            <v>0</v>
          </cell>
        </row>
        <row r="3047">
          <cell r="H3047">
            <v>0</v>
          </cell>
        </row>
        <row r="3048">
          <cell r="H3048">
            <v>0</v>
          </cell>
        </row>
        <row r="3049">
          <cell r="H3049">
            <v>0</v>
          </cell>
        </row>
        <row r="3050">
          <cell r="H3050">
            <v>0</v>
          </cell>
        </row>
        <row r="3051">
          <cell r="H3051">
            <v>0</v>
          </cell>
        </row>
        <row r="3052">
          <cell r="H3052">
            <v>0</v>
          </cell>
        </row>
        <row r="3053">
          <cell r="H3053">
            <v>0</v>
          </cell>
        </row>
        <row r="3054">
          <cell r="H3054">
            <v>0</v>
          </cell>
        </row>
        <row r="3055">
          <cell r="H3055">
            <v>0</v>
          </cell>
        </row>
        <row r="3056">
          <cell r="H3056">
            <v>0</v>
          </cell>
        </row>
        <row r="3057">
          <cell r="H3057">
            <v>0</v>
          </cell>
        </row>
        <row r="3058">
          <cell r="H3058">
            <v>0</v>
          </cell>
        </row>
        <row r="3059">
          <cell r="H3059">
            <v>0</v>
          </cell>
        </row>
        <row r="3060">
          <cell r="H3060">
            <v>0</v>
          </cell>
        </row>
        <row r="3061">
          <cell r="H3061">
            <v>0</v>
          </cell>
        </row>
        <row r="3062">
          <cell r="H3062">
            <v>0</v>
          </cell>
        </row>
        <row r="3063">
          <cell r="H3063">
            <v>0</v>
          </cell>
        </row>
        <row r="3064">
          <cell r="H3064">
            <v>0</v>
          </cell>
        </row>
        <row r="3065">
          <cell r="H3065">
            <v>0</v>
          </cell>
        </row>
        <row r="3066">
          <cell r="H3066">
            <v>0</v>
          </cell>
        </row>
        <row r="3067">
          <cell r="H3067">
            <v>0</v>
          </cell>
        </row>
        <row r="3068">
          <cell r="H3068">
            <v>0</v>
          </cell>
        </row>
        <row r="3069">
          <cell r="H3069">
            <v>0</v>
          </cell>
        </row>
        <row r="3070">
          <cell r="H3070">
            <v>0</v>
          </cell>
        </row>
        <row r="3071">
          <cell r="H3071">
            <v>0</v>
          </cell>
        </row>
        <row r="3072">
          <cell r="H3072">
            <v>0</v>
          </cell>
        </row>
        <row r="3073">
          <cell r="H3073">
            <v>0</v>
          </cell>
        </row>
        <row r="3074">
          <cell r="H3074">
            <v>0</v>
          </cell>
        </row>
        <row r="3075">
          <cell r="H3075">
            <v>0</v>
          </cell>
        </row>
        <row r="3076">
          <cell r="H3076">
            <v>0</v>
          </cell>
        </row>
        <row r="3077">
          <cell r="H3077">
            <v>0</v>
          </cell>
        </row>
        <row r="3078">
          <cell r="H3078">
            <v>0</v>
          </cell>
        </row>
        <row r="3079">
          <cell r="H3079">
            <v>0</v>
          </cell>
        </row>
        <row r="3080">
          <cell r="H3080">
            <v>0</v>
          </cell>
        </row>
        <row r="3081">
          <cell r="H3081">
            <v>0</v>
          </cell>
        </row>
        <row r="3082">
          <cell r="H3082">
            <v>0</v>
          </cell>
        </row>
        <row r="3083">
          <cell r="H3083">
            <v>0</v>
          </cell>
        </row>
        <row r="3084">
          <cell r="H3084">
            <v>0</v>
          </cell>
        </row>
        <row r="3085">
          <cell r="H3085">
            <v>0</v>
          </cell>
        </row>
        <row r="3086">
          <cell r="H3086">
            <v>0</v>
          </cell>
        </row>
        <row r="3087">
          <cell r="H3087">
            <v>0</v>
          </cell>
        </row>
        <row r="3088">
          <cell r="H3088">
            <v>0</v>
          </cell>
        </row>
        <row r="3089">
          <cell r="H3089">
            <v>0</v>
          </cell>
        </row>
        <row r="3090">
          <cell r="H3090">
            <v>0</v>
          </cell>
        </row>
        <row r="3091">
          <cell r="H3091">
            <v>0</v>
          </cell>
        </row>
        <row r="3092">
          <cell r="H3092">
            <v>0</v>
          </cell>
        </row>
        <row r="3093">
          <cell r="H3093">
            <v>0</v>
          </cell>
        </row>
        <row r="3094">
          <cell r="H3094">
            <v>0</v>
          </cell>
        </row>
        <row r="3095">
          <cell r="H3095">
            <v>0</v>
          </cell>
        </row>
        <row r="3096">
          <cell r="H3096">
            <v>0</v>
          </cell>
        </row>
        <row r="3097">
          <cell r="H3097">
            <v>0</v>
          </cell>
        </row>
        <row r="3098">
          <cell r="H3098">
            <v>0</v>
          </cell>
        </row>
        <row r="3099">
          <cell r="H3099">
            <v>0</v>
          </cell>
        </row>
        <row r="3100">
          <cell r="H3100">
            <v>0</v>
          </cell>
        </row>
        <row r="3101">
          <cell r="H3101">
            <v>0</v>
          </cell>
        </row>
        <row r="3102">
          <cell r="H3102">
            <v>0</v>
          </cell>
        </row>
        <row r="3103">
          <cell r="H3103">
            <v>0</v>
          </cell>
        </row>
        <row r="3104">
          <cell r="H3104">
            <v>0</v>
          </cell>
        </row>
        <row r="3105">
          <cell r="H3105">
            <v>0</v>
          </cell>
        </row>
        <row r="3106">
          <cell r="H3106">
            <v>0</v>
          </cell>
        </row>
        <row r="3107">
          <cell r="H3107">
            <v>0</v>
          </cell>
        </row>
        <row r="3108">
          <cell r="H3108">
            <v>0</v>
          </cell>
        </row>
        <row r="3109">
          <cell r="H3109">
            <v>0</v>
          </cell>
        </row>
        <row r="3110">
          <cell r="H3110">
            <v>0</v>
          </cell>
        </row>
        <row r="3111">
          <cell r="H3111">
            <v>0</v>
          </cell>
        </row>
        <row r="3112">
          <cell r="H3112">
            <v>0</v>
          </cell>
        </row>
        <row r="3113">
          <cell r="H3113">
            <v>0</v>
          </cell>
        </row>
        <row r="3114">
          <cell r="H3114">
            <v>0</v>
          </cell>
        </row>
        <row r="3115">
          <cell r="H3115">
            <v>0</v>
          </cell>
        </row>
        <row r="3116">
          <cell r="H3116">
            <v>0</v>
          </cell>
        </row>
        <row r="3117">
          <cell r="H3117">
            <v>0</v>
          </cell>
        </row>
        <row r="3118">
          <cell r="H3118">
            <v>0</v>
          </cell>
        </row>
        <row r="3119">
          <cell r="H3119">
            <v>0</v>
          </cell>
        </row>
        <row r="3120">
          <cell r="H3120">
            <v>0</v>
          </cell>
        </row>
        <row r="3121">
          <cell r="H3121">
            <v>0</v>
          </cell>
        </row>
        <row r="3122">
          <cell r="H3122">
            <v>0</v>
          </cell>
        </row>
        <row r="3123">
          <cell r="H3123">
            <v>0</v>
          </cell>
        </row>
        <row r="3124">
          <cell r="H3124">
            <v>0</v>
          </cell>
        </row>
        <row r="3125">
          <cell r="H3125">
            <v>0</v>
          </cell>
        </row>
        <row r="3126">
          <cell r="H3126">
            <v>0</v>
          </cell>
        </row>
        <row r="3127">
          <cell r="H3127">
            <v>0</v>
          </cell>
        </row>
        <row r="3128">
          <cell r="H3128">
            <v>0</v>
          </cell>
        </row>
        <row r="3129">
          <cell r="H3129">
            <v>0</v>
          </cell>
        </row>
        <row r="3130">
          <cell r="H3130">
            <v>0</v>
          </cell>
        </row>
        <row r="3131">
          <cell r="H3131">
            <v>0</v>
          </cell>
        </row>
        <row r="3132">
          <cell r="H3132">
            <v>0</v>
          </cell>
        </row>
        <row r="3133">
          <cell r="H3133">
            <v>0</v>
          </cell>
        </row>
        <row r="3134">
          <cell r="H3134">
            <v>0</v>
          </cell>
        </row>
        <row r="3135">
          <cell r="H3135">
            <v>0</v>
          </cell>
        </row>
        <row r="3136">
          <cell r="H3136">
            <v>0</v>
          </cell>
        </row>
        <row r="3137">
          <cell r="H3137">
            <v>0</v>
          </cell>
        </row>
        <row r="3138">
          <cell r="H3138">
            <v>0</v>
          </cell>
        </row>
        <row r="3139">
          <cell r="H3139">
            <v>0</v>
          </cell>
        </row>
        <row r="3140">
          <cell r="H3140">
            <v>0</v>
          </cell>
        </row>
        <row r="3141">
          <cell r="H3141">
            <v>0</v>
          </cell>
        </row>
        <row r="3142">
          <cell r="H3142">
            <v>0</v>
          </cell>
        </row>
        <row r="3143">
          <cell r="H3143">
            <v>0</v>
          </cell>
        </row>
        <row r="3144">
          <cell r="H3144">
            <v>0</v>
          </cell>
        </row>
        <row r="3145">
          <cell r="H3145">
            <v>0</v>
          </cell>
        </row>
        <row r="3146">
          <cell r="H3146">
            <v>0</v>
          </cell>
        </row>
        <row r="3147">
          <cell r="H3147">
            <v>0</v>
          </cell>
        </row>
        <row r="3148">
          <cell r="H3148">
            <v>0</v>
          </cell>
        </row>
        <row r="3149">
          <cell r="H3149">
            <v>0</v>
          </cell>
        </row>
        <row r="3150">
          <cell r="H3150">
            <v>0</v>
          </cell>
        </row>
        <row r="3151">
          <cell r="H3151">
            <v>0</v>
          </cell>
        </row>
        <row r="3152">
          <cell r="H3152">
            <v>0</v>
          </cell>
        </row>
        <row r="3153">
          <cell r="H3153">
            <v>0</v>
          </cell>
        </row>
        <row r="3154">
          <cell r="H3154">
            <v>0</v>
          </cell>
        </row>
        <row r="3155">
          <cell r="H3155">
            <v>0</v>
          </cell>
        </row>
        <row r="3156">
          <cell r="H3156">
            <v>0</v>
          </cell>
        </row>
        <row r="3157">
          <cell r="H3157">
            <v>0</v>
          </cell>
        </row>
        <row r="3158">
          <cell r="H3158">
            <v>0</v>
          </cell>
        </row>
        <row r="3159">
          <cell r="H3159">
            <v>0</v>
          </cell>
        </row>
        <row r="3160">
          <cell r="H3160">
            <v>0</v>
          </cell>
        </row>
        <row r="3161">
          <cell r="H3161">
            <v>0</v>
          </cell>
        </row>
        <row r="3162">
          <cell r="H3162">
            <v>0</v>
          </cell>
        </row>
        <row r="3163">
          <cell r="H3163">
            <v>0</v>
          </cell>
        </row>
        <row r="3164">
          <cell r="H3164">
            <v>0</v>
          </cell>
        </row>
        <row r="3165">
          <cell r="H3165">
            <v>0</v>
          </cell>
        </row>
        <row r="3166">
          <cell r="H3166">
            <v>0</v>
          </cell>
        </row>
        <row r="3167">
          <cell r="H3167">
            <v>0</v>
          </cell>
        </row>
        <row r="3168">
          <cell r="H3168">
            <v>0</v>
          </cell>
        </row>
        <row r="3169">
          <cell r="H3169">
            <v>0</v>
          </cell>
        </row>
        <row r="3170">
          <cell r="H3170">
            <v>0</v>
          </cell>
        </row>
        <row r="3171">
          <cell r="H3171">
            <v>0</v>
          </cell>
        </row>
        <row r="3172">
          <cell r="H3172">
            <v>0</v>
          </cell>
        </row>
        <row r="3173">
          <cell r="H3173">
            <v>0</v>
          </cell>
        </row>
        <row r="3174">
          <cell r="H3174">
            <v>0</v>
          </cell>
        </row>
        <row r="3175">
          <cell r="H3175">
            <v>0</v>
          </cell>
        </row>
        <row r="3176">
          <cell r="H3176">
            <v>0</v>
          </cell>
        </row>
        <row r="3177">
          <cell r="H3177">
            <v>0</v>
          </cell>
        </row>
        <row r="3178">
          <cell r="H3178">
            <v>0</v>
          </cell>
        </row>
        <row r="3179">
          <cell r="H3179">
            <v>0</v>
          </cell>
        </row>
        <row r="3180">
          <cell r="H3180">
            <v>0</v>
          </cell>
        </row>
        <row r="3181">
          <cell r="H3181">
            <v>0</v>
          </cell>
        </row>
        <row r="3182">
          <cell r="H3182">
            <v>0</v>
          </cell>
        </row>
        <row r="3183">
          <cell r="H3183">
            <v>0</v>
          </cell>
        </row>
        <row r="3184">
          <cell r="H3184">
            <v>0</v>
          </cell>
        </row>
        <row r="3185">
          <cell r="H3185">
            <v>0</v>
          </cell>
        </row>
        <row r="3186">
          <cell r="H3186">
            <v>0</v>
          </cell>
        </row>
        <row r="3187">
          <cell r="H3187">
            <v>0</v>
          </cell>
        </row>
        <row r="3188">
          <cell r="H3188">
            <v>0</v>
          </cell>
        </row>
        <row r="3189">
          <cell r="H3189">
            <v>0</v>
          </cell>
        </row>
        <row r="3190">
          <cell r="H3190">
            <v>0</v>
          </cell>
        </row>
        <row r="3191">
          <cell r="H3191">
            <v>0</v>
          </cell>
        </row>
        <row r="3192">
          <cell r="H3192">
            <v>0</v>
          </cell>
        </row>
        <row r="3193">
          <cell r="H3193">
            <v>0</v>
          </cell>
        </row>
        <row r="3194">
          <cell r="H3194">
            <v>0</v>
          </cell>
        </row>
        <row r="3195">
          <cell r="H3195">
            <v>0</v>
          </cell>
        </row>
        <row r="3196">
          <cell r="H3196">
            <v>0</v>
          </cell>
        </row>
        <row r="3197">
          <cell r="H3197">
            <v>0</v>
          </cell>
        </row>
        <row r="3198">
          <cell r="H3198">
            <v>0</v>
          </cell>
        </row>
        <row r="3199">
          <cell r="H3199">
            <v>0</v>
          </cell>
        </row>
        <row r="3200">
          <cell r="H3200">
            <v>0</v>
          </cell>
        </row>
        <row r="3201">
          <cell r="H3201">
            <v>0</v>
          </cell>
        </row>
        <row r="3202">
          <cell r="H3202">
            <v>0</v>
          </cell>
        </row>
        <row r="3203">
          <cell r="H3203">
            <v>0</v>
          </cell>
        </row>
        <row r="3204">
          <cell r="H3204">
            <v>0</v>
          </cell>
        </row>
        <row r="3205">
          <cell r="H3205">
            <v>0</v>
          </cell>
        </row>
        <row r="3206">
          <cell r="H3206">
            <v>0</v>
          </cell>
        </row>
        <row r="3207">
          <cell r="H3207">
            <v>0</v>
          </cell>
        </row>
        <row r="3208">
          <cell r="H3208">
            <v>0</v>
          </cell>
        </row>
        <row r="3209">
          <cell r="H3209">
            <v>0</v>
          </cell>
        </row>
        <row r="3210">
          <cell r="H3210">
            <v>0</v>
          </cell>
        </row>
        <row r="3211">
          <cell r="H3211">
            <v>0</v>
          </cell>
        </row>
        <row r="3212">
          <cell r="H3212">
            <v>0</v>
          </cell>
        </row>
        <row r="3213">
          <cell r="H3213">
            <v>0</v>
          </cell>
        </row>
        <row r="3214">
          <cell r="H3214">
            <v>0</v>
          </cell>
        </row>
        <row r="3215">
          <cell r="H3215">
            <v>0</v>
          </cell>
        </row>
        <row r="3216">
          <cell r="H3216">
            <v>0</v>
          </cell>
        </row>
        <row r="3217">
          <cell r="H3217">
            <v>0</v>
          </cell>
        </row>
        <row r="3218">
          <cell r="H3218">
            <v>0</v>
          </cell>
        </row>
        <row r="3219">
          <cell r="H3219">
            <v>0</v>
          </cell>
        </row>
        <row r="3220">
          <cell r="H3220">
            <v>0</v>
          </cell>
        </row>
        <row r="3221">
          <cell r="H3221">
            <v>0</v>
          </cell>
        </row>
        <row r="3222">
          <cell r="H3222">
            <v>0</v>
          </cell>
        </row>
        <row r="3223">
          <cell r="H3223">
            <v>0</v>
          </cell>
        </row>
        <row r="3224">
          <cell r="H3224">
            <v>0</v>
          </cell>
        </row>
        <row r="3225">
          <cell r="H3225">
            <v>0</v>
          </cell>
        </row>
        <row r="3226">
          <cell r="H3226">
            <v>0</v>
          </cell>
        </row>
        <row r="3227">
          <cell r="H3227">
            <v>0</v>
          </cell>
        </row>
        <row r="3228">
          <cell r="H3228">
            <v>0</v>
          </cell>
        </row>
        <row r="3229">
          <cell r="H3229">
            <v>0</v>
          </cell>
        </row>
        <row r="3230">
          <cell r="H3230">
            <v>0</v>
          </cell>
        </row>
        <row r="3231">
          <cell r="H3231">
            <v>0</v>
          </cell>
        </row>
        <row r="3232">
          <cell r="H3232">
            <v>0</v>
          </cell>
        </row>
        <row r="3233">
          <cell r="H3233">
            <v>0</v>
          </cell>
        </row>
        <row r="3234">
          <cell r="H3234">
            <v>0</v>
          </cell>
        </row>
        <row r="3235">
          <cell r="H3235">
            <v>0</v>
          </cell>
        </row>
        <row r="3236">
          <cell r="H3236">
            <v>0</v>
          </cell>
        </row>
        <row r="3237">
          <cell r="H3237">
            <v>0</v>
          </cell>
        </row>
        <row r="3238">
          <cell r="H3238">
            <v>0</v>
          </cell>
        </row>
        <row r="3239">
          <cell r="H3239">
            <v>0</v>
          </cell>
        </row>
        <row r="3240">
          <cell r="H3240">
            <v>0</v>
          </cell>
        </row>
        <row r="3241">
          <cell r="H3241">
            <v>0</v>
          </cell>
        </row>
        <row r="3242">
          <cell r="H3242">
            <v>0</v>
          </cell>
        </row>
        <row r="3243">
          <cell r="H3243">
            <v>0</v>
          </cell>
        </row>
        <row r="3244">
          <cell r="H3244">
            <v>0</v>
          </cell>
        </row>
        <row r="3245">
          <cell r="H3245">
            <v>0</v>
          </cell>
        </row>
        <row r="3246">
          <cell r="H3246">
            <v>0</v>
          </cell>
        </row>
        <row r="3247">
          <cell r="H3247">
            <v>0</v>
          </cell>
        </row>
        <row r="3248">
          <cell r="H3248">
            <v>0</v>
          </cell>
        </row>
        <row r="3249">
          <cell r="H3249">
            <v>0</v>
          </cell>
        </row>
        <row r="3250">
          <cell r="H3250">
            <v>0</v>
          </cell>
        </row>
        <row r="3251">
          <cell r="H3251">
            <v>0</v>
          </cell>
        </row>
        <row r="3252">
          <cell r="H3252">
            <v>0</v>
          </cell>
        </row>
        <row r="3253">
          <cell r="H3253">
            <v>0</v>
          </cell>
        </row>
        <row r="3254">
          <cell r="H3254">
            <v>0</v>
          </cell>
        </row>
        <row r="3255">
          <cell r="H3255">
            <v>0</v>
          </cell>
        </row>
        <row r="3256">
          <cell r="H3256">
            <v>0</v>
          </cell>
        </row>
        <row r="3257">
          <cell r="H3257">
            <v>0</v>
          </cell>
        </row>
        <row r="3258">
          <cell r="H3258">
            <v>0</v>
          </cell>
        </row>
        <row r="3259">
          <cell r="H3259">
            <v>0</v>
          </cell>
        </row>
        <row r="3260">
          <cell r="H3260">
            <v>0</v>
          </cell>
        </row>
        <row r="3261">
          <cell r="H3261">
            <v>0</v>
          </cell>
        </row>
        <row r="3262">
          <cell r="H3262">
            <v>0</v>
          </cell>
        </row>
        <row r="3263">
          <cell r="H3263">
            <v>0</v>
          </cell>
        </row>
        <row r="3264">
          <cell r="H3264">
            <v>0</v>
          </cell>
        </row>
        <row r="3265">
          <cell r="H3265">
            <v>0</v>
          </cell>
        </row>
        <row r="3266">
          <cell r="H3266">
            <v>0</v>
          </cell>
        </row>
        <row r="3267">
          <cell r="H3267">
            <v>0</v>
          </cell>
        </row>
        <row r="3268">
          <cell r="H3268">
            <v>0</v>
          </cell>
        </row>
        <row r="3269">
          <cell r="H3269">
            <v>0</v>
          </cell>
        </row>
        <row r="3270">
          <cell r="H3270">
            <v>0</v>
          </cell>
        </row>
        <row r="3271">
          <cell r="H3271">
            <v>0</v>
          </cell>
        </row>
        <row r="3272">
          <cell r="H3272">
            <v>0</v>
          </cell>
        </row>
        <row r="3273">
          <cell r="H3273">
            <v>0</v>
          </cell>
        </row>
        <row r="3274">
          <cell r="H3274">
            <v>0</v>
          </cell>
        </row>
        <row r="3275">
          <cell r="H3275">
            <v>0</v>
          </cell>
        </row>
        <row r="3276">
          <cell r="H3276">
            <v>0</v>
          </cell>
        </row>
        <row r="3277">
          <cell r="H3277">
            <v>0</v>
          </cell>
        </row>
        <row r="3278">
          <cell r="H3278">
            <v>0</v>
          </cell>
        </row>
        <row r="3279">
          <cell r="H3279">
            <v>0</v>
          </cell>
        </row>
        <row r="3280">
          <cell r="H3280">
            <v>0</v>
          </cell>
        </row>
        <row r="3281">
          <cell r="H3281">
            <v>0</v>
          </cell>
        </row>
        <row r="3282">
          <cell r="H3282">
            <v>0</v>
          </cell>
        </row>
        <row r="3283">
          <cell r="H3283">
            <v>0</v>
          </cell>
        </row>
        <row r="3284">
          <cell r="H3284">
            <v>0</v>
          </cell>
        </row>
        <row r="3285">
          <cell r="H3285">
            <v>0</v>
          </cell>
        </row>
        <row r="3286">
          <cell r="H3286">
            <v>0</v>
          </cell>
        </row>
        <row r="3287">
          <cell r="H3287">
            <v>0</v>
          </cell>
        </row>
        <row r="3288">
          <cell r="H3288">
            <v>0</v>
          </cell>
        </row>
        <row r="3289">
          <cell r="H3289">
            <v>0</v>
          </cell>
        </row>
        <row r="3290">
          <cell r="H3290">
            <v>0</v>
          </cell>
        </row>
        <row r="3291">
          <cell r="H3291">
            <v>0</v>
          </cell>
        </row>
        <row r="3292">
          <cell r="H3292">
            <v>0</v>
          </cell>
        </row>
        <row r="3293">
          <cell r="H3293">
            <v>0</v>
          </cell>
        </row>
        <row r="3294">
          <cell r="H3294">
            <v>0</v>
          </cell>
        </row>
        <row r="3295">
          <cell r="H3295">
            <v>0</v>
          </cell>
        </row>
        <row r="3296">
          <cell r="H3296">
            <v>0</v>
          </cell>
        </row>
        <row r="3297">
          <cell r="H3297">
            <v>0</v>
          </cell>
        </row>
        <row r="3298">
          <cell r="H3298">
            <v>0</v>
          </cell>
        </row>
        <row r="3299">
          <cell r="H3299">
            <v>0</v>
          </cell>
        </row>
        <row r="3300">
          <cell r="H3300">
            <v>0</v>
          </cell>
        </row>
        <row r="3301">
          <cell r="H3301">
            <v>0</v>
          </cell>
        </row>
        <row r="3302">
          <cell r="H3302">
            <v>0</v>
          </cell>
        </row>
        <row r="3303">
          <cell r="H3303">
            <v>0</v>
          </cell>
        </row>
        <row r="3304">
          <cell r="H3304">
            <v>0</v>
          </cell>
        </row>
        <row r="3305">
          <cell r="H3305">
            <v>0</v>
          </cell>
        </row>
        <row r="3306">
          <cell r="H3306">
            <v>0</v>
          </cell>
        </row>
        <row r="3307">
          <cell r="H3307">
            <v>0</v>
          </cell>
        </row>
        <row r="3308">
          <cell r="H3308">
            <v>0</v>
          </cell>
        </row>
        <row r="3309">
          <cell r="H3309">
            <v>0</v>
          </cell>
        </row>
        <row r="3310">
          <cell r="H3310">
            <v>0</v>
          </cell>
        </row>
        <row r="3311">
          <cell r="H3311">
            <v>0</v>
          </cell>
        </row>
        <row r="3312">
          <cell r="H3312">
            <v>0</v>
          </cell>
        </row>
        <row r="3313">
          <cell r="H3313">
            <v>0</v>
          </cell>
        </row>
        <row r="3314">
          <cell r="H3314">
            <v>0</v>
          </cell>
        </row>
        <row r="3315">
          <cell r="H3315">
            <v>0</v>
          </cell>
        </row>
        <row r="3316">
          <cell r="H3316">
            <v>0</v>
          </cell>
        </row>
        <row r="3317">
          <cell r="H3317">
            <v>0</v>
          </cell>
        </row>
        <row r="3318">
          <cell r="H3318">
            <v>0</v>
          </cell>
        </row>
        <row r="3319">
          <cell r="H3319">
            <v>0</v>
          </cell>
        </row>
        <row r="3320">
          <cell r="H3320">
            <v>0</v>
          </cell>
        </row>
        <row r="3321">
          <cell r="H3321">
            <v>0</v>
          </cell>
        </row>
        <row r="3322">
          <cell r="H3322">
            <v>0</v>
          </cell>
        </row>
        <row r="3323">
          <cell r="H3323">
            <v>0</v>
          </cell>
        </row>
        <row r="3324">
          <cell r="H3324">
            <v>0</v>
          </cell>
        </row>
        <row r="3325">
          <cell r="H3325">
            <v>0</v>
          </cell>
        </row>
        <row r="3326">
          <cell r="H3326">
            <v>0</v>
          </cell>
        </row>
        <row r="3327">
          <cell r="H3327">
            <v>0</v>
          </cell>
        </row>
        <row r="3328">
          <cell r="H3328">
            <v>0</v>
          </cell>
        </row>
        <row r="3329">
          <cell r="H3329">
            <v>0</v>
          </cell>
        </row>
        <row r="3330">
          <cell r="H3330">
            <v>0</v>
          </cell>
        </row>
        <row r="3331">
          <cell r="H3331">
            <v>0</v>
          </cell>
        </row>
        <row r="3332">
          <cell r="H3332">
            <v>0</v>
          </cell>
        </row>
        <row r="3333">
          <cell r="H3333">
            <v>0</v>
          </cell>
        </row>
        <row r="3334">
          <cell r="H3334">
            <v>0</v>
          </cell>
        </row>
        <row r="3335">
          <cell r="H3335">
            <v>0</v>
          </cell>
        </row>
        <row r="3336">
          <cell r="H3336">
            <v>0</v>
          </cell>
        </row>
        <row r="3337">
          <cell r="H3337">
            <v>0</v>
          </cell>
        </row>
        <row r="3338">
          <cell r="H3338">
            <v>0</v>
          </cell>
        </row>
        <row r="3339">
          <cell r="H3339">
            <v>0</v>
          </cell>
        </row>
        <row r="3340">
          <cell r="H3340">
            <v>0</v>
          </cell>
        </row>
        <row r="3341">
          <cell r="H3341">
            <v>0</v>
          </cell>
        </row>
        <row r="3342">
          <cell r="H3342">
            <v>0</v>
          </cell>
        </row>
        <row r="3343">
          <cell r="H3343">
            <v>0</v>
          </cell>
        </row>
        <row r="3344">
          <cell r="H3344">
            <v>0</v>
          </cell>
        </row>
        <row r="3345">
          <cell r="H3345">
            <v>0</v>
          </cell>
        </row>
        <row r="3346">
          <cell r="H3346">
            <v>0</v>
          </cell>
        </row>
        <row r="3347">
          <cell r="H3347">
            <v>0</v>
          </cell>
        </row>
        <row r="3348">
          <cell r="H3348">
            <v>0</v>
          </cell>
        </row>
        <row r="3349">
          <cell r="H3349">
            <v>0</v>
          </cell>
        </row>
        <row r="3350">
          <cell r="H3350">
            <v>0</v>
          </cell>
        </row>
        <row r="3351">
          <cell r="H3351">
            <v>0</v>
          </cell>
        </row>
        <row r="3352">
          <cell r="H3352">
            <v>0</v>
          </cell>
        </row>
        <row r="3353">
          <cell r="H3353">
            <v>0</v>
          </cell>
        </row>
        <row r="3354">
          <cell r="H3354">
            <v>0</v>
          </cell>
        </row>
        <row r="3355">
          <cell r="H3355">
            <v>0</v>
          </cell>
        </row>
        <row r="3356">
          <cell r="H3356">
            <v>0</v>
          </cell>
        </row>
        <row r="3357">
          <cell r="H3357">
            <v>0</v>
          </cell>
        </row>
        <row r="3358">
          <cell r="H3358">
            <v>0</v>
          </cell>
        </row>
        <row r="3359">
          <cell r="H3359">
            <v>0</v>
          </cell>
        </row>
        <row r="3360">
          <cell r="H3360">
            <v>0</v>
          </cell>
        </row>
        <row r="3361">
          <cell r="H3361">
            <v>0</v>
          </cell>
        </row>
        <row r="3362">
          <cell r="H3362">
            <v>0</v>
          </cell>
        </row>
        <row r="3363">
          <cell r="H3363">
            <v>0</v>
          </cell>
        </row>
        <row r="3364">
          <cell r="H3364">
            <v>0</v>
          </cell>
        </row>
        <row r="3365">
          <cell r="H3365">
            <v>0</v>
          </cell>
        </row>
        <row r="3366">
          <cell r="H3366">
            <v>0</v>
          </cell>
        </row>
        <row r="3367">
          <cell r="H3367">
            <v>0</v>
          </cell>
        </row>
        <row r="3368">
          <cell r="H3368">
            <v>0</v>
          </cell>
        </row>
        <row r="3369">
          <cell r="H3369">
            <v>0</v>
          </cell>
        </row>
        <row r="3370">
          <cell r="H3370">
            <v>0</v>
          </cell>
        </row>
        <row r="3371">
          <cell r="H3371">
            <v>0</v>
          </cell>
        </row>
        <row r="3372">
          <cell r="H3372">
            <v>0</v>
          </cell>
        </row>
        <row r="3373">
          <cell r="H3373">
            <v>0</v>
          </cell>
        </row>
        <row r="3374">
          <cell r="H3374">
            <v>0</v>
          </cell>
        </row>
        <row r="3375">
          <cell r="H3375">
            <v>0</v>
          </cell>
        </row>
        <row r="3376">
          <cell r="H3376">
            <v>0</v>
          </cell>
        </row>
        <row r="3377">
          <cell r="H3377">
            <v>0</v>
          </cell>
        </row>
        <row r="3378">
          <cell r="H3378">
            <v>0</v>
          </cell>
        </row>
        <row r="3379">
          <cell r="H3379">
            <v>0</v>
          </cell>
        </row>
        <row r="3380">
          <cell r="H3380">
            <v>0</v>
          </cell>
        </row>
        <row r="3381">
          <cell r="H3381">
            <v>0</v>
          </cell>
        </row>
        <row r="3382">
          <cell r="H3382">
            <v>0</v>
          </cell>
        </row>
        <row r="3383">
          <cell r="H3383">
            <v>0</v>
          </cell>
        </row>
        <row r="3384">
          <cell r="H3384">
            <v>0</v>
          </cell>
        </row>
        <row r="3385">
          <cell r="H3385">
            <v>0</v>
          </cell>
        </row>
        <row r="3386">
          <cell r="H3386">
            <v>0</v>
          </cell>
        </row>
        <row r="3387">
          <cell r="H3387">
            <v>0</v>
          </cell>
        </row>
        <row r="3388">
          <cell r="H3388">
            <v>0</v>
          </cell>
        </row>
        <row r="3389">
          <cell r="H3389">
            <v>0</v>
          </cell>
        </row>
        <row r="3390">
          <cell r="H3390">
            <v>0</v>
          </cell>
        </row>
        <row r="3391">
          <cell r="H3391">
            <v>0</v>
          </cell>
        </row>
        <row r="3392">
          <cell r="H3392">
            <v>0</v>
          </cell>
        </row>
        <row r="3393">
          <cell r="H3393">
            <v>0</v>
          </cell>
        </row>
        <row r="3394">
          <cell r="H3394">
            <v>0</v>
          </cell>
        </row>
        <row r="3395">
          <cell r="H3395">
            <v>0</v>
          </cell>
        </row>
        <row r="3396">
          <cell r="H3396">
            <v>0</v>
          </cell>
        </row>
        <row r="3397">
          <cell r="H3397">
            <v>0</v>
          </cell>
        </row>
        <row r="3398">
          <cell r="H3398">
            <v>0</v>
          </cell>
        </row>
        <row r="3399">
          <cell r="H3399">
            <v>0</v>
          </cell>
        </row>
        <row r="3400">
          <cell r="H3400">
            <v>0</v>
          </cell>
        </row>
        <row r="3401">
          <cell r="H3401">
            <v>0</v>
          </cell>
        </row>
        <row r="3402">
          <cell r="H3402">
            <v>0</v>
          </cell>
        </row>
        <row r="3403">
          <cell r="H3403">
            <v>0</v>
          </cell>
        </row>
        <row r="3404">
          <cell r="H3404">
            <v>0</v>
          </cell>
        </row>
        <row r="3405">
          <cell r="H3405">
            <v>0</v>
          </cell>
        </row>
        <row r="3406">
          <cell r="H3406">
            <v>0</v>
          </cell>
        </row>
        <row r="3407">
          <cell r="H3407">
            <v>0</v>
          </cell>
        </row>
        <row r="3408">
          <cell r="H3408">
            <v>0</v>
          </cell>
        </row>
        <row r="3409">
          <cell r="H3409">
            <v>0</v>
          </cell>
        </row>
        <row r="3410">
          <cell r="H3410">
            <v>0</v>
          </cell>
        </row>
        <row r="3411">
          <cell r="H3411">
            <v>0</v>
          </cell>
        </row>
        <row r="3412">
          <cell r="H3412">
            <v>0</v>
          </cell>
        </row>
        <row r="3413">
          <cell r="H3413">
            <v>0</v>
          </cell>
        </row>
        <row r="3414">
          <cell r="H3414">
            <v>0</v>
          </cell>
        </row>
        <row r="3415">
          <cell r="H3415">
            <v>0</v>
          </cell>
        </row>
        <row r="3416">
          <cell r="H3416">
            <v>0</v>
          </cell>
        </row>
        <row r="3417">
          <cell r="H3417">
            <v>0</v>
          </cell>
        </row>
        <row r="3418">
          <cell r="H3418">
            <v>0</v>
          </cell>
        </row>
        <row r="3419">
          <cell r="H3419">
            <v>0</v>
          </cell>
        </row>
        <row r="3420">
          <cell r="H3420">
            <v>0</v>
          </cell>
        </row>
        <row r="3421">
          <cell r="H3421">
            <v>0</v>
          </cell>
        </row>
        <row r="3422">
          <cell r="H3422">
            <v>0</v>
          </cell>
        </row>
        <row r="3423">
          <cell r="H3423">
            <v>0</v>
          </cell>
        </row>
        <row r="3424">
          <cell r="H3424">
            <v>0</v>
          </cell>
        </row>
        <row r="3425">
          <cell r="H3425">
            <v>0</v>
          </cell>
        </row>
        <row r="3426">
          <cell r="H3426">
            <v>0</v>
          </cell>
        </row>
        <row r="3427">
          <cell r="H3427">
            <v>0</v>
          </cell>
        </row>
        <row r="3428">
          <cell r="H3428">
            <v>0</v>
          </cell>
        </row>
        <row r="3429">
          <cell r="H3429">
            <v>0</v>
          </cell>
        </row>
        <row r="3430">
          <cell r="H3430">
            <v>0</v>
          </cell>
        </row>
        <row r="3431">
          <cell r="H3431">
            <v>0</v>
          </cell>
        </row>
        <row r="3432">
          <cell r="H3432">
            <v>0</v>
          </cell>
        </row>
        <row r="3433">
          <cell r="H3433">
            <v>0</v>
          </cell>
        </row>
        <row r="3434">
          <cell r="H3434">
            <v>0</v>
          </cell>
        </row>
        <row r="3435">
          <cell r="H3435">
            <v>0</v>
          </cell>
        </row>
        <row r="3436">
          <cell r="H3436">
            <v>0</v>
          </cell>
        </row>
        <row r="3437">
          <cell r="H3437">
            <v>0</v>
          </cell>
        </row>
        <row r="3438">
          <cell r="H3438">
            <v>0</v>
          </cell>
        </row>
        <row r="3439">
          <cell r="H3439">
            <v>0</v>
          </cell>
        </row>
        <row r="3440">
          <cell r="H3440">
            <v>0</v>
          </cell>
        </row>
        <row r="3441">
          <cell r="H3441">
            <v>0</v>
          </cell>
        </row>
        <row r="3442">
          <cell r="H3442">
            <v>0</v>
          </cell>
        </row>
        <row r="3443">
          <cell r="H3443">
            <v>0</v>
          </cell>
        </row>
        <row r="3444">
          <cell r="H3444">
            <v>0</v>
          </cell>
        </row>
        <row r="3445">
          <cell r="H3445">
            <v>0</v>
          </cell>
        </row>
        <row r="3446">
          <cell r="H3446">
            <v>0</v>
          </cell>
        </row>
        <row r="3447">
          <cell r="H3447">
            <v>0</v>
          </cell>
        </row>
        <row r="3448">
          <cell r="H3448">
            <v>0</v>
          </cell>
        </row>
        <row r="3449">
          <cell r="H3449">
            <v>0</v>
          </cell>
        </row>
        <row r="3450">
          <cell r="H3450">
            <v>0</v>
          </cell>
        </row>
        <row r="3451">
          <cell r="H3451">
            <v>0</v>
          </cell>
        </row>
        <row r="3452">
          <cell r="H3452">
            <v>0</v>
          </cell>
        </row>
        <row r="3453">
          <cell r="H3453">
            <v>0</v>
          </cell>
        </row>
        <row r="3454">
          <cell r="H3454">
            <v>0</v>
          </cell>
        </row>
        <row r="3455">
          <cell r="H3455">
            <v>0</v>
          </cell>
        </row>
        <row r="3456">
          <cell r="H3456">
            <v>0</v>
          </cell>
        </row>
        <row r="3457">
          <cell r="H3457">
            <v>0</v>
          </cell>
        </row>
        <row r="3458">
          <cell r="H3458">
            <v>0</v>
          </cell>
        </row>
        <row r="3459">
          <cell r="H3459">
            <v>0</v>
          </cell>
        </row>
        <row r="3460">
          <cell r="H3460">
            <v>0</v>
          </cell>
        </row>
        <row r="3461">
          <cell r="H3461">
            <v>0</v>
          </cell>
        </row>
        <row r="3462">
          <cell r="H3462">
            <v>0</v>
          </cell>
        </row>
        <row r="3463">
          <cell r="H3463">
            <v>0</v>
          </cell>
        </row>
        <row r="3464">
          <cell r="H3464">
            <v>0</v>
          </cell>
        </row>
        <row r="3465">
          <cell r="H3465">
            <v>0</v>
          </cell>
        </row>
        <row r="3466">
          <cell r="H3466">
            <v>0</v>
          </cell>
        </row>
        <row r="3467">
          <cell r="H3467">
            <v>0</v>
          </cell>
        </row>
        <row r="3468">
          <cell r="H3468">
            <v>0</v>
          </cell>
        </row>
        <row r="3469">
          <cell r="H3469">
            <v>0</v>
          </cell>
        </row>
        <row r="3470">
          <cell r="H3470">
            <v>0</v>
          </cell>
        </row>
        <row r="3471">
          <cell r="H3471">
            <v>0</v>
          </cell>
        </row>
        <row r="3472">
          <cell r="H3472">
            <v>0</v>
          </cell>
        </row>
        <row r="3473">
          <cell r="H3473">
            <v>0</v>
          </cell>
        </row>
        <row r="3474">
          <cell r="H3474">
            <v>0</v>
          </cell>
        </row>
        <row r="3475">
          <cell r="H3475">
            <v>0</v>
          </cell>
        </row>
        <row r="3476">
          <cell r="H3476">
            <v>0</v>
          </cell>
        </row>
        <row r="3477">
          <cell r="H3477">
            <v>0</v>
          </cell>
        </row>
        <row r="3478">
          <cell r="H3478">
            <v>0</v>
          </cell>
        </row>
        <row r="3479">
          <cell r="H3479">
            <v>0</v>
          </cell>
        </row>
        <row r="3480">
          <cell r="H3480">
            <v>0</v>
          </cell>
        </row>
        <row r="3481">
          <cell r="H3481">
            <v>0</v>
          </cell>
        </row>
        <row r="3482">
          <cell r="H3482">
            <v>0</v>
          </cell>
        </row>
        <row r="3483">
          <cell r="H3483">
            <v>0</v>
          </cell>
        </row>
        <row r="3484">
          <cell r="H3484">
            <v>0</v>
          </cell>
        </row>
        <row r="3485">
          <cell r="H3485">
            <v>0</v>
          </cell>
        </row>
        <row r="3486">
          <cell r="H3486">
            <v>0</v>
          </cell>
        </row>
        <row r="3487">
          <cell r="H3487">
            <v>0</v>
          </cell>
        </row>
        <row r="3488">
          <cell r="H3488">
            <v>0</v>
          </cell>
        </row>
        <row r="3489">
          <cell r="H3489">
            <v>0</v>
          </cell>
        </row>
        <row r="3490">
          <cell r="H3490">
            <v>0</v>
          </cell>
        </row>
        <row r="3491">
          <cell r="H3491">
            <v>0</v>
          </cell>
        </row>
        <row r="3492">
          <cell r="H3492">
            <v>0</v>
          </cell>
        </row>
        <row r="3493">
          <cell r="H3493">
            <v>0</v>
          </cell>
        </row>
        <row r="3494">
          <cell r="H3494">
            <v>0</v>
          </cell>
        </row>
        <row r="3495">
          <cell r="H3495">
            <v>0</v>
          </cell>
        </row>
        <row r="3496">
          <cell r="H3496">
            <v>0</v>
          </cell>
        </row>
        <row r="3497">
          <cell r="H3497">
            <v>0</v>
          </cell>
        </row>
        <row r="3498">
          <cell r="H3498">
            <v>0</v>
          </cell>
        </row>
        <row r="3499">
          <cell r="H3499">
            <v>0</v>
          </cell>
        </row>
        <row r="3500">
          <cell r="H3500">
            <v>0</v>
          </cell>
        </row>
        <row r="3501">
          <cell r="H3501">
            <v>0</v>
          </cell>
        </row>
        <row r="3502">
          <cell r="H3502">
            <v>0</v>
          </cell>
        </row>
        <row r="3503">
          <cell r="H3503">
            <v>0</v>
          </cell>
        </row>
        <row r="3504">
          <cell r="H3504">
            <v>0</v>
          </cell>
        </row>
        <row r="3505">
          <cell r="H3505">
            <v>0</v>
          </cell>
        </row>
        <row r="3506">
          <cell r="H3506">
            <v>0</v>
          </cell>
        </row>
        <row r="3507">
          <cell r="H3507">
            <v>0</v>
          </cell>
        </row>
        <row r="3508">
          <cell r="H3508">
            <v>0</v>
          </cell>
        </row>
        <row r="3509">
          <cell r="H3509">
            <v>0</v>
          </cell>
        </row>
        <row r="3510">
          <cell r="H3510">
            <v>0</v>
          </cell>
        </row>
        <row r="3511">
          <cell r="H3511">
            <v>0</v>
          </cell>
        </row>
        <row r="3512">
          <cell r="H3512">
            <v>0</v>
          </cell>
        </row>
        <row r="3513">
          <cell r="H3513">
            <v>0</v>
          </cell>
        </row>
        <row r="3514">
          <cell r="H3514">
            <v>0</v>
          </cell>
        </row>
        <row r="3515">
          <cell r="H3515">
            <v>0</v>
          </cell>
        </row>
        <row r="3516">
          <cell r="H3516">
            <v>0</v>
          </cell>
        </row>
        <row r="3517">
          <cell r="H3517">
            <v>0</v>
          </cell>
        </row>
        <row r="3518">
          <cell r="H3518">
            <v>0</v>
          </cell>
        </row>
        <row r="3519">
          <cell r="H3519">
            <v>0</v>
          </cell>
        </row>
        <row r="3520">
          <cell r="H3520">
            <v>0</v>
          </cell>
        </row>
        <row r="3521">
          <cell r="H3521">
            <v>0</v>
          </cell>
        </row>
        <row r="3522">
          <cell r="H3522">
            <v>0</v>
          </cell>
        </row>
        <row r="3523">
          <cell r="H3523">
            <v>0</v>
          </cell>
        </row>
        <row r="3524">
          <cell r="H3524">
            <v>0</v>
          </cell>
        </row>
        <row r="3525">
          <cell r="H3525">
            <v>0</v>
          </cell>
        </row>
        <row r="3526">
          <cell r="H3526">
            <v>0</v>
          </cell>
        </row>
        <row r="3527">
          <cell r="H3527">
            <v>0</v>
          </cell>
        </row>
        <row r="3528">
          <cell r="H3528">
            <v>0</v>
          </cell>
        </row>
        <row r="3529">
          <cell r="H3529">
            <v>0</v>
          </cell>
        </row>
        <row r="3530">
          <cell r="H3530">
            <v>0</v>
          </cell>
        </row>
        <row r="3531">
          <cell r="H3531">
            <v>0</v>
          </cell>
        </row>
        <row r="3532">
          <cell r="H3532">
            <v>0</v>
          </cell>
        </row>
        <row r="3533">
          <cell r="H3533">
            <v>0</v>
          </cell>
        </row>
        <row r="3534">
          <cell r="H3534">
            <v>0</v>
          </cell>
        </row>
        <row r="3535">
          <cell r="H3535">
            <v>0</v>
          </cell>
        </row>
        <row r="3536">
          <cell r="H3536">
            <v>0</v>
          </cell>
        </row>
        <row r="3537">
          <cell r="H3537">
            <v>0</v>
          </cell>
        </row>
        <row r="3538">
          <cell r="H3538">
            <v>0</v>
          </cell>
        </row>
        <row r="3539">
          <cell r="H3539">
            <v>0</v>
          </cell>
        </row>
        <row r="3540">
          <cell r="H3540">
            <v>0</v>
          </cell>
        </row>
        <row r="3541">
          <cell r="H3541">
            <v>0</v>
          </cell>
        </row>
        <row r="3542">
          <cell r="H3542">
            <v>0</v>
          </cell>
        </row>
        <row r="3543">
          <cell r="H3543">
            <v>0</v>
          </cell>
        </row>
        <row r="3544">
          <cell r="H3544">
            <v>0</v>
          </cell>
        </row>
        <row r="3545">
          <cell r="H3545">
            <v>0</v>
          </cell>
        </row>
        <row r="3546">
          <cell r="H3546">
            <v>0</v>
          </cell>
        </row>
        <row r="3547">
          <cell r="H3547">
            <v>0</v>
          </cell>
        </row>
        <row r="3548">
          <cell r="H3548">
            <v>0</v>
          </cell>
        </row>
        <row r="3549">
          <cell r="H3549">
            <v>0</v>
          </cell>
        </row>
        <row r="3550">
          <cell r="H3550">
            <v>0</v>
          </cell>
        </row>
        <row r="3551">
          <cell r="H3551">
            <v>0</v>
          </cell>
        </row>
        <row r="3552">
          <cell r="H3552">
            <v>0</v>
          </cell>
        </row>
        <row r="3553">
          <cell r="H3553">
            <v>0</v>
          </cell>
        </row>
        <row r="3554">
          <cell r="H3554">
            <v>0</v>
          </cell>
        </row>
        <row r="3555">
          <cell r="H3555">
            <v>0</v>
          </cell>
        </row>
        <row r="3556">
          <cell r="H3556">
            <v>0</v>
          </cell>
        </row>
        <row r="3557">
          <cell r="H3557">
            <v>0</v>
          </cell>
        </row>
        <row r="3558">
          <cell r="H3558">
            <v>0</v>
          </cell>
        </row>
        <row r="3559">
          <cell r="H3559">
            <v>0</v>
          </cell>
        </row>
        <row r="3560">
          <cell r="H3560">
            <v>0</v>
          </cell>
        </row>
        <row r="3561">
          <cell r="H3561">
            <v>0</v>
          </cell>
        </row>
        <row r="3562">
          <cell r="H3562">
            <v>0</v>
          </cell>
        </row>
        <row r="3563">
          <cell r="H3563">
            <v>0</v>
          </cell>
        </row>
        <row r="3564">
          <cell r="H3564">
            <v>0</v>
          </cell>
        </row>
        <row r="3565">
          <cell r="H3565">
            <v>0</v>
          </cell>
        </row>
        <row r="3566">
          <cell r="H3566">
            <v>0</v>
          </cell>
        </row>
        <row r="3567">
          <cell r="H3567">
            <v>0</v>
          </cell>
        </row>
        <row r="3568">
          <cell r="H3568">
            <v>0</v>
          </cell>
        </row>
        <row r="3569">
          <cell r="H3569">
            <v>0</v>
          </cell>
        </row>
        <row r="3570">
          <cell r="H3570">
            <v>0</v>
          </cell>
        </row>
        <row r="3571">
          <cell r="H3571">
            <v>0</v>
          </cell>
        </row>
        <row r="3572">
          <cell r="H3572">
            <v>0</v>
          </cell>
        </row>
        <row r="3573">
          <cell r="H3573">
            <v>0</v>
          </cell>
        </row>
        <row r="3574">
          <cell r="H3574">
            <v>0</v>
          </cell>
        </row>
        <row r="3575">
          <cell r="H3575">
            <v>0</v>
          </cell>
        </row>
        <row r="3576">
          <cell r="H3576">
            <v>0</v>
          </cell>
        </row>
        <row r="3577">
          <cell r="H3577">
            <v>0</v>
          </cell>
        </row>
        <row r="3578">
          <cell r="H3578">
            <v>0</v>
          </cell>
        </row>
        <row r="3579">
          <cell r="H3579">
            <v>0</v>
          </cell>
        </row>
        <row r="3580">
          <cell r="H3580">
            <v>0</v>
          </cell>
        </row>
        <row r="3581">
          <cell r="H3581">
            <v>0</v>
          </cell>
        </row>
        <row r="3582">
          <cell r="H3582">
            <v>0</v>
          </cell>
        </row>
        <row r="3583">
          <cell r="H3583">
            <v>0</v>
          </cell>
        </row>
        <row r="3584">
          <cell r="H3584">
            <v>0</v>
          </cell>
        </row>
        <row r="3585">
          <cell r="H3585">
            <v>0</v>
          </cell>
        </row>
        <row r="3586">
          <cell r="H3586">
            <v>0</v>
          </cell>
        </row>
        <row r="3587">
          <cell r="H3587">
            <v>0</v>
          </cell>
        </row>
        <row r="3588">
          <cell r="H3588">
            <v>0</v>
          </cell>
        </row>
        <row r="3589">
          <cell r="H3589">
            <v>0</v>
          </cell>
        </row>
        <row r="3590">
          <cell r="H3590">
            <v>0</v>
          </cell>
        </row>
        <row r="3591">
          <cell r="H3591">
            <v>0</v>
          </cell>
        </row>
        <row r="3592">
          <cell r="H3592">
            <v>0</v>
          </cell>
        </row>
        <row r="3593">
          <cell r="H3593">
            <v>0</v>
          </cell>
        </row>
        <row r="3594">
          <cell r="H3594">
            <v>0</v>
          </cell>
        </row>
        <row r="3595">
          <cell r="H3595">
            <v>0</v>
          </cell>
        </row>
        <row r="3596">
          <cell r="H3596">
            <v>0</v>
          </cell>
        </row>
        <row r="3597">
          <cell r="H3597">
            <v>0</v>
          </cell>
        </row>
        <row r="3598">
          <cell r="H3598">
            <v>0</v>
          </cell>
        </row>
        <row r="3599">
          <cell r="H3599">
            <v>0</v>
          </cell>
        </row>
        <row r="3600">
          <cell r="H3600">
            <v>0</v>
          </cell>
        </row>
        <row r="3601">
          <cell r="H3601">
            <v>0</v>
          </cell>
        </row>
        <row r="3602">
          <cell r="H3602">
            <v>0</v>
          </cell>
        </row>
        <row r="3603">
          <cell r="H3603">
            <v>0</v>
          </cell>
        </row>
        <row r="3604">
          <cell r="H3604">
            <v>0</v>
          </cell>
        </row>
        <row r="3605">
          <cell r="H3605">
            <v>0</v>
          </cell>
        </row>
        <row r="3606">
          <cell r="H3606">
            <v>0</v>
          </cell>
        </row>
        <row r="3607">
          <cell r="H3607">
            <v>0</v>
          </cell>
        </row>
        <row r="3608">
          <cell r="H3608">
            <v>0</v>
          </cell>
        </row>
        <row r="3609">
          <cell r="H3609">
            <v>0</v>
          </cell>
        </row>
        <row r="3610">
          <cell r="H3610">
            <v>0</v>
          </cell>
        </row>
        <row r="3611">
          <cell r="H3611">
            <v>0</v>
          </cell>
        </row>
        <row r="3612">
          <cell r="H3612">
            <v>0</v>
          </cell>
        </row>
        <row r="3613">
          <cell r="H3613">
            <v>0</v>
          </cell>
        </row>
        <row r="3614">
          <cell r="H3614">
            <v>0</v>
          </cell>
        </row>
        <row r="3615">
          <cell r="H3615">
            <v>0</v>
          </cell>
        </row>
        <row r="3616">
          <cell r="H3616">
            <v>0</v>
          </cell>
        </row>
        <row r="3617">
          <cell r="H3617">
            <v>0</v>
          </cell>
        </row>
        <row r="3618">
          <cell r="H3618">
            <v>0</v>
          </cell>
        </row>
        <row r="3619">
          <cell r="H3619">
            <v>0</v>
          </cell>
        </row>
        <row r="3620">
          <cell r="H3620">
            <v>0</v>
          </cell>
        </row>
        <row r="3621">
          <cell r="H3621">
            <v>0</v>
          </cell>
        </row>
        <row r="3622">
          <cell r="H3622">
            <v>0</v>
          </cell>
        </row>
        <row r="3623">
          <cell r="H3623">
            <v>0</v>
          </cell>
        </row>
        <row r="3624">
          <cell r="H3624">
            <v>0</v>
          </cell>
        </row>
        <row r="3625">
          <cell r="H3625">
            <v>0</v>
          </cell>
        </row>
        <row r="3626">
          <cell r="H3626">
            <v>0</v>
          </cell>
        </row>
        <row r="3627">
          <cell r="H3627">
            <v>0</v>
          </cell>
        </row>
        <row r="3628">
          <cell r="H3628">
            <v>0</v>
          </cell>
        </row>
        <row r="3629">
          <cell r="H3629">
            <v>0</v>
          </cell>
        </row>
        <row r="3630">
          <cell r="H3630">
            <v>0</v>
          </cell>
        </row>
        <row r="3631">
          <cell r="H3631">
            <v>0</v>
          </cell>
        </row>
        <row r="3632">
          <cell r="H3632">
            <v>0</v>
          </cell>
        </row>
        <row r="3633">
          <cell r="H3633">
            <v>0</v>
          </cell>
        </row>
        <row r="3634">
          <cell r="H3634">
            <v>0</v>
          </cell>
        </row>
        <row r="3635">
          <cell r="H3635">
            <v>0</v>
          </cell>
        </row>
        <row r="3636">
          <cell r="H3636">
            <v>0</v>
          </cell>
        </row>
        <row r="3637">
          <cell r="H3637">
            <v>0</v>
          </cell>
        </row>
        <row r="3638">
          <cell r="H3638">
            <v>0</v>
          </cell>
        </row>
        <row r="3639">
          <cell r="H3639">
            <v>0</v>
          </cell>
        </row>
        <row r="3640">
          <cell r="H3640">
            <v>0</v>
          </cell>
        </row>
        <row r="3641">
          <cell r="H3641">
            <v>0</v>
          </cell>
        </row>
        <row r="3642">
          <cell r="H3642">
            <v>0</v>
          </cell>
        </row>
        <row r="3643">
          <cell r="H3643">
            <v>0</v>
          </cell>
        </row>
        <row r="3644">
          <cell r="H3644">
            <v>0</v>
          </cell>
        </row>
        <row r="3645">
          <cell r="H3645">
            <v>0</v>
          </cell>
        </row>
        <row r="3646">
          <cell r="H3646">
            <v>0</v>
          </cell>
        </row>
        <row r="3647">
          <cell r="H3647">
            <v>0</v>
          </cell>
        </row>
        <row r="3648">
          <cell r="H3648">
            <v>0</v>
          </cell>
        </row>
        <row r="3649">
          <cell r="H3649">
            <v>0</v>
          </cell>
        </row>
        <row r="3650">
          <cell r="H3650">
            <v>0</v>
          </cell>
        </row>
        <row r="3651">
          <cell r="H3651">
            <v>0</v>
          </cell>
        </row>
        <row r="3652">
          <cell r="H3652">
            <v>0</v>
          </cell>
        </row>
        <row r="3653">
          <cell r="H3653">
            <v>0</v>
          </cell>
        </row>
        <row r="3654">
          <cell r="H3654">
            <v>0</v>
          </cell>
        </row>
        <row r="3655">
          <cell r="H3655">
            <v>0</v>
          </cell>
        </row>
        <row r="3656">
          <cell r="H3656">
            <v>0</v>
          </cell>
        </row>
        <row r="3657">
          <cell r="H3657">
            <v>0</v>
          </cell>
        </row>
        <row r="3658">
          <cell r="H3658">
            <v>0</v>
          </cell>
        </row>
        <row r="3659">
          <cell r="H3659">
            <v>0</v>
          </cell>
        </row>
        <row r="3660">
          <cell r="H3660">
            <v>0</v>
          </cell>
        </row>
        <row r="3661">
          <cell r="H3661">
            <v>0</v>
          </cell>
        </row>
        <row r="3662">
          <cell r="H3662">
            <v>0</v>
          </cell>
        </row>
        <row r="3663">
          <cell r="H3663">
            <v>0</v>
          </cell>
        </row>
        <row r="3664">
          <cell r="H3664">
            <v>0</v>
          </cell>
        </row>
        <row r="3665">
          <cell r="H3665">
            <v>0</v>
          </cell>
        </row>
        <row r="3666">
          <cell r="H3666">
            <v>0</v>
          </cell>
        </row>
        <row r="3667">
          <cell r="H3667">
            <v>0</v>
          </cell>
        </row>
        <row r="3668">
          <cell r="H3668">
            <v>0</v>
          </cell>
        </row>
        <row r="3669">
          <cell r="H3669">
            <v>0</v>
          </cell>
        </row>
        <row r="3670">
          <cell r="H3670">
            <v>0</v>
          </cell>
        </row>
        <row r="3671">
          <cell r="H3671">
            <v>0</v>
          </cell>
        </row>
        <row r="3672">
          <cell r="H3672">
            <v>0</v>
          </cell>
        </row>
        <row r="3673">
          <cell r="H3673">
            <v>0</v>
          </cell>
        </row>
        <row r="3674">
          <cell r="H3674">
            <v>0</v>
          </cell>
        </row>
        <row r="3675">
          <cell r="H3675">
            <v>0</v>
          </cell>
        </row>
        <row r="3676">
          <cell r="H3676">
            <v>0</v>
          </cell>
        </row>
        <row r="3677">
          <cell r="H3677">
            <v>0</v>
          </cell>
        </row>
        <row r="3678">
          <cell r="H3678">
            <v>0</v>
          </cell>
        </row>
        <row r="3679">
          <cell r="H3679">
            <v>0</v>
          </cell>
        </row>
        <row r="3680">
          <cell r="H3680">
            <v>0</v>
          </cell>
        </row>
        <row r="3681">
          <cell r="H3681">
            <v>0</v>
          </cell>
        </row>
        <row r="3682">
          <cell r="H3682">
            <v>0</v>
          </cell>
        </row>
        <row r="3683">
          <cell r="H3683">
            <v>0</v>
          </cell>
        </row>
        <row r="3684">
          <cell r="H3684">
            <v>0</v>
          </cell>
        </row>
        <row r="3685">
          <cell r="H3685">
            <v>0</v>
          </cell>
        </row>
        <row r="3686">
          <cell r="H3686">
            <v>0</v>
          </cell>
        </row>
        <row r="3687">
          <cell r="H3687">
            <v>0</v>
          </cell>
        </row>
        <row r="3688">
          <cell r="H3688">
            <v>0</v>
          </cell>
        </row>
        <row r="3689">
          <cell r="H3689">
            <v>0</v>
          </cell>
        </row>
        <row r="3690">
          <cell r="H3690">
            <v>0</v>
          </cell>
        </row>
        <row r="3691">
          <cell r="H3691">
            <v>0</v>
          </cell>
        </row>
        <row r="3692">
          <cell r="H3692">
            <v>0</v>
          </cell>
        </row>
        <row r="3693">
          <cell r="H3693">
            <v>0</v>
          </cell>
        </row>
        <row r="3694">
          <cell r="H3694">
            <v>0</v>
          </cell>
        </row>
        <row r="3695">
          <cell r="H3695">
            <v>0</v>
          </cell>
        </row>
        <row r="3696">
          <cell r="H3696">
            <v>0</v>
          </cell>
        </row>
        <row r="3697">
          <cell r="H3697">
            <v>0</v>
          </cell>
        </row>
        <row r="3698">
          <cell r="H3698">
            <v>0</v>
          </cell>
        </row>
        <row r="3699">
          <cell r="H3699">
            <v>0</v>
          </cell>
        </row>
        <row r="3700">
          <cell r="H3700">
            <v>0</v>
          </cell>
        </row>
        <row r="3701">
          <cell r="H3701">
            <v>0</v>
          </cell>
        </row>
        <row r="3702">
          <cell r="H3702">
            <v>0</v>
          </cell>
        </row>
        <row r="3703">
          <cell r="H3703">
            <v>0</v>
          </cell>
        </row>
        <row r="3704">
          <cell r="H3704">
            <v>0</v>
          </cell>
        </row>
        <row r="3705">
          <cell r="H3705">
            <v>0</v>
          </cell>
        </row>
        <row r="3706">
          <cell r="H3706">
            <v>0</v>
          </cell>
        </row>
        <row r="3707">
          <cell r="H3707">
            <v>0</v>
          </cell>
        </row>
        <row r="3708">
          <cell r="H3708">
            <v>0</v>
          </cell>
        </row>
        <row r="3709">
          <cell r="H3709">
            <v>0</v>
          </cell>
        </row>
        <row r="3710">
          <cell r="H3710">
            <v>0</v>
          </cell>
        </row>
        <row r="3711">
          <cell r="H3711">
            <v>0</v>
          </cell>
        </row>
        <row r="3712">
          <cell r="H3712">
            <v>0</v>
          </cell>
        </row>
        <row r="3713">
          <cell r="H3713">
            <v>0</v>
          </cell>
        </row>
        <row r="3714">
          <cell r="H3714">
            <v>0</v>
          </cell>
        </row>
        <row r="3715">
          <cell r="H3715">
            <v>0</v>
          </cell>
        </row>
        <row r="3716">
          <cell r="H3716">
            <v>0</v>
          </cell>
        </row>
        <row r="3717">
          <cell r="H3717">
            <v>0</v>
          </cell>
        </row>
        <row r="3718">
          <cell r="H3718">
            <v>0</v>
          </cell>
        </row>
        <row r="3719">
          <cell r="H3719">
            <v>0</v>
          </cell>
        </row>
        <row r="3720">
          <cell r="H3720">
            <v>0</v>
          </cell>
        </row>
        <row r="3721">
          <cell r="H3721">
            <v>0</v>
          </cell>
        </row>
        <row r="3722">
          <cell r="H3722">
            <v>0</v>
          </cell>
        </row>
        <row r="3723">
          <cell r="H3723">
            <v>0</v>
          </cell>
        </row>
        <row r="3724">
          <cell r="H3724">
            <v>0</v>
          </cell>
        </row>
        <row r="3725">
          <cell r="H3725">
            <v>0</v>
          </cell>
        </row>
        <row r="3726">
          <cell r="H3726">
            <v>0</v>
          </cell>
        </row>
        <row r="3727">
          <cell r="H3727">
            <v>0</v>
          </cell>
        </row>
        <row r="3728">
          <cell r="H3728">
            <v>0</v>
          </cell>
        </row>
        <row r="3729">
          <cell r="H3729">
            <v>0</v>
          </cell>
        </row>
        <row r="3730">
          <cell r="H3730">
            <v>0</v>
          </cell>
        </row>
        <row r="3731">
          <cell r="H3731">
            <v>0</v>
          </cell>
        </row>
        <row r="3732">
          <cell r="H3732">
            <v>0</v>
          </cell>
        </row>
        <row r="3733">
          <cell r="H3733">
            <v>0</v>
          </cell>
        </row>
        <row r="3734">
          <cell r="H3734">
            <v>0</v>
          </cell>
        </row>
        <row r="3735">
          <cell r="H3735">
            <v>0</v>
          </cell>
        </row>
        <row r="3736">
          <cell r="H3736">
            <v>0</v>
          </cell>
        </row>
        <row r="3737">
          <cell r="H3737">
            <v>0</v>
          </cell>
        </row>
        <row r="3738">
          <cell r="H3738">
            <v>0</v>
          </cell>
        </row>
        <row r="3739">
          <cell r="H3739">
            <v>0</v>
          </cell>
        </row>
        <row r="3740">
          <cell r="H3740">
            <v>0</v>
          </cell>
        </row>
        <row r="3741">
          <cell r="H3741">
            <v>0</v>
          </cell>
        </row>
        <row r="3742">
          <cell r="H3742">
            <v>0</v>
          </cell>
        </row>
        <row r="3743">
          <cell r="H3743">
            <v>0</v>
          </cell>
        </row>
        <row r="3744">
          <cell r="H3744">
            <v>0</v>
          </cell>
        </row>
        <row r="3745">
          <cell r="H3745">
            <v>0</v>
          </cell>
        </row>
        <row r="3746">
          <cell r="H3746">
            <v>0</v>
          </cell>
        </row>
        <row r="3747">
          <cell r="H3747">
            <v>0</v>
          </cell>
        </row>
        <row r="3748">
          <cell r="H3748">
            <v>0</v>
          </cell>
        </row>
        <row r="3749">
          <cell r="H3749">
            <v>0</v>
          </cell>
        </row>
        <row r="3750">
          <cell r="H3750">
            <v>0</v>
          </cell>
        </row>
        <row r="3751">
          <cell r="H3751">
            <v>0</v>
          </cell>
        </row>
        <row r="3752">
          <cell r="H3752">
            <v>0</v>
          </cell>
        </row>
        <row r="3753">
          <cell r="H3753">
            <v>0</v>
          </cell>
        </row>
        <row r="3754">
          <cell r="H3754">
            <v>0</v>
          </cell>
        </row>
        <row r="3755">
          <cell r="H3755">
            <v>0</v>
          </cell>
        </row>
        <row r="3756">
          <cell r="H3756">
            <v>0</v>
          </cell>
        </row>
        <row r="3757">
          <cell r="H3757">
            <v>0</v>
          </cell>
        </row>
        <row r="3758">
          <cell r="H3758">
            <v>0</v>
          </cell>
        </row>
        <row r="3759">
          <cell r="H3759">
            <v>0</v>
          </cell>
        </row>
        <row r="3760">
          <cell r="H3760">
            <v>0</v>
          </cell>
        </row>
        <row r="3761">
          <cell r="H3761">
            <v>0</v>
          </cell>
        </row>
        <row r="3762">
          <cell r="H3762">
            <v>0</v>
          </cell>
        </row>
        <row r="3763">
          <cell r="H3763">
            <v>0</v>
          </cell>
        </row>
        <row r="3764">
          <cell r="H3764">
            <v>0</v>
          </cell>
        </row>
        <row r="3765">
          <cell r="H3765">
            <v>0</v>
          </cell>
        </row>
        <row r="3766">
          <cell r="H3766">
            <v>0</v>
          </cell>
        </row>
        <row r="3767">
          <cell r="H3767">
            <v>0</v>
          </cell>
        </row>
        <row r="3768">
          <cell r="H3768">
            <v>0</v>
          </cell>
        </row>
        <row r="3769">
          <cell r="H3769">
            <v>0</v>
          </cell>
        </row>
        <row r="3770">
          <cell r="H3770">
            <v>0</v>
          </cell>
        </row>
        <row r="3771">
          <cell r="H3771">
            <v>0</v>
          </cell>
        </row>
        <row r="3772">
          <cell r="H3772">
            <v>0</v>
          </cell>
        </row>
        <row r="3773">
          <cell r="H3773">
            <v>0</v>
          </cell>
        </row>
        <row r="3774">
          <cell r="H3774">
            <v>0</v>
          </cell>
        </row>
        <row r="3775">
          <cell r="H3775">
            <v>0</v>
          </cell>
        </row>
        <row r="3776">
          <cell r="H3776">
            <v>0</v>
          </cell>
        </row>
        <row r="3777">
          <cell r="H3777">
            <v>0</v>
          </cell>
        </row>
        <row r="3778">
          <cell r="H3778">
            <v>0</v>
          </cell>
        </row>
        <row r="3779">
          <cell r="H3779">
            <v>0</v>
          </cell>
        </row>
        <row r="3780">
          <cell r="H3780">
            <v>0</v>
          </cell>
        </row>
        <row r="3781">
          <cell r="H3781">
            <v>0</v>
          </cell>
        </row>
        <row r="3782">
          <cell r="H3782">
            <v>0</v>
          </cell>
        </row>
        <row r="3783">
          <cell r="H3783">
            <v>0</v>
          </cell>
        </row>
        <row r="3784">
          <cell r="H3784">
            <v>0</v>
          </cell>
        </row>
        <row r="3785">
          <cell r="H3785">
            <v>0</v>
          </cell>
        </row>
        <row r="3786">
          <cell r="H3786">
            <v>0</v>
          </cell>
        </row>
        <row r="3787">
          <cell r="H3787">
            <v>0</v>
          </cell>
        </row>
        <row r="3788">
          <cell r="H3788">
            <v>0</v>
          </cell>
        </row>
        <row r="3789">
          <cell r="H3789">
            <v>0</v>
          </cell>
        </row>
        <row r="3790">
          <cell r="H3790">
            <v>0</v>
          </cell>
        </row>
        <row r="3791">
          <cell r="H3791">
            <v>0</v>
          </cell>
        </row>
        <row r="3792">
          <cell r="H3792">
            <v>0</v>
          </cell>
        </row>
        <row r="3793">
          <cell r="H3793">
            <v>0</v>
          </cell>
        </row>
        <row r="3794">
          <cell r="H3794">
            <v>0</v>
          </cell>
        </row>
        <row r="3795">
          <cell r="H3795">
            <v>0</v>
          </cell>
        </row>
        <row r="3796">
          <cell r="H3796">
            <v>0</v>
          </cell>
        </row>
        <row r="3797">
          <cell r="H3797">
            <v>0</v>
          </cell>
        </row>
        <row r="3798">
          <cell r="H3798">
            <v>0</v>
          </cell>
        </row>
        <row r="3799">
          <cell r="H3799">
            <v>0</v>
          </cell>
        </row>
        <row r="3800">
          <cell r="H3800">
            <v>0</v>
          </cell>
        </row>
        <row r="3801">
          <cell r="H3801">
            <v>0</v>
          </cell>
        </row>
        <row r="3802">
          <cell r="H3802">
            <v>0</v>
          </cell>
        </row>
        <row r="3803">
          <cell r="H3803">
            <v>0</v>
          </cell>
        </row>
        <row r="3804">
          <cell r="H3804">
            <v>0</v>
          </cell>
        </row>
        <row r="3805">
          <cell r="H3805">
            <v>0</v>
          </cell>
        </row>
        <row r="3806">
          <cell r="H3806">
            <v>0</v>
          </cell>
        </row>
        <row r="3807">
          <cell r="H3807">
            <v>0</v>
          </cell>
        </row>
        <row r="3808">
          <cell r="H3808">
            <v>0</v>
          </cell>
        </row>
        <row r="3809">
          <cell r="H3809">
            <v>0</v>
          </cell>
        </row>
        <row r="3810">
          <cell r="H3810">
            <v>0</v>
          </cell>
        </row>
        <row r="3811">
          <cell r="H3811">
            <v>0</v>
          </cell>
        </row>
        <row r="3812">
          <cell r="H3812">
            <v>0</v>
          </cell>
        </row>
        <row r="3813">
          <cell r="H3813">
            <v>0</v>
          </cell>
        </row>
        <row r="3814">
          <cell r="H3814">
            <v>0</v>
          </cell>
        </row>
        <row r="3815">
          <cell r="H3815">
            <v>0</v>
          </cell>
        </row>
        <row r="3816">
          <cell r="H3816">
            <v>0</v>
          </cell>
        </row>
        <row r="3817">
          <cell r="H3817">
            <v>0</v>
          </cell>
        </row>
        <row r="3818">
          <cell r="H3818">
            <v>0</v>
          </cell>
        </row>
        <row r="3819">
          <cell r="H3819">
            <v>0</v>
          </cell>
        </row>
        <row r="3820">
          <cell r="H3820">
            <v>0</v>
          </cell>
        </row>
        <row r="3821">
          <cell r="H3821">
            <v>0</v>
          </cell>
        </row>
        <row r="3822">
          <cell r="H3822">
            <v>0</v>
          </cell>
        </row>
        <row r="3823">
          <cell r="H3823">
            <v>0</v>
          </cell>
        </row>
        <row r="3824">
          <cell r="H3824">
            <v>0</v>
          </cell>
        </row>
        <row r="3825">
          <cell r="H3825">
            <v>0</v>
          </cell>
        </row>
        <row r="3826">
          <cell r="H3826">
            <v>0</v>
          </cell>
        </row>
        <row r="3827">
          <cell r="H3827">
            <v>0</v>
          </cell>
        </row>
        <row r="3828">
          <cell r="H3828">
            <v>0</v>
          </cell>
        </row>
        <row r="3829">
          <cell r="H3829">
            <v>0</v>
          </cell>
        </row>
        <row r="3830">
          <cell r="H3830">
            <v>0</v>
          </cell>
        </row>
        <row r="3831">
          <cell r="H3831">
            <v>0</v>
          </cell>
        </row>
        <row r="3832">
          <cell r="H3832">
            <v>0</v>
          </cell>
        </row>
        <row r="3833">
          <cell r="H3833">
            <v>0</v>
          </cell>
        </row>
        <row r="3834">
          <cell r="H3834">
            <v>0</v>
          </cell>
        </row>
        <row r="3835">
          <cell r="H3835">
            <v>0</v>
          </cell>
        </row>
        <row r="3836">
          <cell r="H3836">
            <v>0</v>
          </cell>
        </row>
        <row r="3837">
          <cell r="H3837">
            <v>0</v>
          </cell>
        </row>
        <row r="3838">
          <cell r="H3838">
            <v>0</v>
          </cell>
        </row>
        <row r="3839">
          <cell r="H3839">
            <v>0</v>
          </cell>
        </row>
        <row r="3840">
          <cell r="H3840">
            <v>0</v>
          </cell>
        </row>
        <row r="3841">
          <cell r="H3841">
            <v>0</v>
          </cell>
        </row>
        <row r="3842">
          <cell r="H3842">
            <v>0</v>
          </cell>
        </row>
        <row r="3843">
          <cell r="H3843">
            <v>0</v>
          </cell>
        </row>
        <row r="3844">
          <cell r="H3844">
            <v>0</v>
          </cell>
        </row>
        <row r="3845">
          <cell r="H3845">
            <v>0</v>
          </cell>
        </row>
        <row r="3846">
          <cell r="H3846">
            <v>0</v>
          </cell>
        </row>
        <row r="3847">
          <cell r="H3847">
            <v>0</v>
          </cell>
        </row>
        <row r="3848">
          <cell r="H3848">
            <v>0</v>
          </cell>
        </row>
        <row r="3849">
          <cell r="H3849">
            <v>0</v>
          </cell>
        </row>
        <row r="3850">
          <cell r="H3850">
            <v>0</v>
          </cell>
        </row>
        <row r="3851">
          <cell r="H3851">
            <v>0</v>
          </cell>
        </row>
        <row r="3852">
          <cell r="H3852">
            <v>0</v>
          </cell>
        </row>
        <row r="3853">
          <cell r="H3853">
            <v>0</v>
          </cell>
        </row>
        <row r="3854">
          <cell r="H3854">
            <v>0</v>
          </cell>
        </row>
        <row r="3855">
          <cell r="H3855">
            <v>0</v>
          </cell>
        </row>
        <row r="3856">
          <cell r="H3856">
            <v>0</v>
          </cell>
        </row>
        <row r="3857">
          <cell r="H3857">
            <v>0</v>
          </cell>
        </row>
        <row r="3858">
          <cell r="H3858">
            <v>0</v>
          </cell>
        </row>
        <row r="3859">
          <cell r="H3859">
            <v>0</v>
          </cell>
        </row>
        <row r="3860">
          <cell r="H3860">
            <v>0</v>
          </cell>
        </row>
        <row r="3861">
          <cell r="H3861">
            <v>0</v>
          </cell>
        </row>
        <row r="3862">
          <cell r="H3862">
            <v>0</v>
          </cell>
        </row>
        <row r="3863">
          <cell r="H3863">
            <v>0</v>
          </cell>
        </row>
        <row r="3864">
          <cell r="H3864">
            <v>0</v>
          </cell>
        </row>
        <row r="3865">
          <cell r="H3865">
            <v>0</v>
          </cell>
        </row>
        <row r="3866">
          <cell r="H3866">
            <v>0</v>
          </cell>
        </row>
        <row r="3867">
          <cell r="H3867">
            <v>0</v>
          </cell>
        </row>
        <row r="3868">
          <cell r="H3868">
            <v>0</v>
          </cell>
        </row>
        <row r="3869">
          <cell r="H3869">
            <v>0</v>
          </cell>
        </row>
        <row r="3870">
          <cell r="H3870">
            <v>0</v>
          </cell>
        </row>
        <row r="3871">
          <cell r="H3871">
            <v>0</v>
          </cell>
        </row>
        <row r="3872">
          <cell r="H3872">
            <v>0</v>
          </cell>
        </row>
        <row r="3873">
          <cell r="H3873">
            <v>0</v>
          </cell>
        </row>
        <row r="3874">
          <cell r="H3874">
            <v>0</v>
          </cell>
        </row>
        <row r="3875">
          <cell r="H3875">
            <v>0</v>
          </cell>
        </row>
        <row r="3876">
          <cell r="H3876">
            <v>0</v>
          </cell>
        </row>
        <row r="3877">
          <cell r="H3877">
            <v>0</v>
          </cell>
        </row>
        <row r="3878">
          <cell r="H3878">
            <v>0</v>
          </cell>
        </row>
        <row r="3879">
          <cell r="H3879">
            <v>0</v>
          </cell>
        </row>
        <row r="3880">
          <cell r="H3880">
            <v>0</v>
          </cell>
        </row>
        <row r="3881">
          <cell r="H3881">
            <v>0</v>
          </cell>
        </row>
        <row r="3882">
          <cell r="H3882">
            <v>0</v>
          </cell>
        </row>
        <row r="3883">
          <cell r="H3883">
            <v>0</v>
          </cell>
        </row>
        <row r="3884">
          <cell r="H3884">
            <v>0</v>
          </cell>
        </row>
        <row r="3885">
          <cell r="H3885">
            <v>0</v>
          </cell>
        </row>
        <row r="3886">
          <cell r="H3886">
            <v>0</v>
          </cell>
        </row>
        <row r="3887">
          <cell r="H3887">
            <v>0</v>
          </cell>
        </row>
        <row r="3888">
          <cell r="H3888">
            <v>0</v>
          </cell>
        </row>
        <row r="3889">
          <cell r="H3889">
            <v>0</v>
          </cell>
        </row>
        <row r="3890">
          <cell r="H3890">
            <v>0</v>
          </cell>
        </row>
        <row r="3891">
          <cell r="H3891">
            <v>0</v>
          </cell>
        </row>
        <row r="3892">
          <cell r="H3892">
            <v>0</v>
          </cell>
        </row>
        <row r="3893">
          <cell r="H3893">
            <v>0</v>
          </cell>
        </row>
        <row r="3894">
          <cell r="H3894">
            <v>0</v>
          </cell>
        </row>
        <row r="3895">
          <cell r="H3895">
            <v>0</v>
          </cell>
        </row>
        <row r="3896">
          <cell r="H3896">
            <v>0</v>
          </cell>
        </row>
        <row r="3897">
          <cell r="H3897">
            <v>0</v>
          </cell>
        </row>
        <row r="3898">
          <cell r="H3898">
            <v>0</v>
          </cell>
        </row>
        <row r="3899">
          <cell r="H3899">
            <v>0</v>
          </cell>
        </row>
        <row r="3900">
          <cell r="H3900">
            <v>0</v>
          </cell>
        </row>
        <row r="3901">
          <cell r="H3901">
            <v>0</v>
          </cell>
        </row>
        <row r="3902">
          <cell r="H3902">
            <v>0</v>
          </cell>
        </row>
        <row r="3903">
          <cell r="H3903">
            <v>0</v>
          </cell>
        </row>
        <row r="3904">
          <cell r="H3904">
            <v>0</v>
          </cell>
        </row>
        <row r="3905">
          <cell r="H3905">
            <v>0</v>
          </cell>
        </row>
        <row r="3906">
          <cell r="H3906">
            <v>0</v>
          </cell>
        </row>
        <row r="3907">
          <cell r="H3907">
            <v>0</v>
          </cell>
        </row>
        <row r="3908">
          <cell r="H3908">
            <v>0</v>
          </cell>
        </row>
        <row r="3909">
          <cell r="H3909">
            <v>0</v>
          </cell>
        </row>
        <row r="3910">
          <cell r="H3910">
            <v>0</v>
          </cell>
        </row>
        <row r="3911">
          <cell r="H3911">
            <v>0</v>
          </cell>
        </row>
        <row r="3912">
          <cell r="H3912">
            <v>0</v>
          </cell>
        </row>
        <row r="3913">
          <cell r="H3913">
            <v>0</v>
          </cell>
        </row>
        <row r="3914">
          <cell r="H3914">
            <v>0</v>
          </cell>
        </row>
        <row r="3915">
          <cell r="H3915">
            <v>0</v>
          </cell>
        </row>
        <row r="3916">
          <cell r="H3916">
            <v>0</v>
          </cell>
        </row>
        <row r="3917">
          <cell r="H3917">
            <v>0</v>
          </cell>
        </row>
        <row r="3918">
          <cell r="H3918">
            <v>0</v>
          </cell>
        </row>
        <row r="3919">
          <cell r="H3919">
            <v>0</v>
          </cell>
        </row>
        <row r="3920">
          <cell r="H3920">
            <v>0</v>
          </cell>
        </row>
        <row r="3921">
          <cell r="H3921">
            <v>0</v>
          </cell>
        </row>
        <row r="3922">
          <cell r="H3922">
            <v>0</v>
          </cell>
        </row>
        <row r="3923">
          <cell r="H3923">
            <v>0</v>
          </cell>
        </row>
        <row r="3924">
          <cell r="H3924">
            <v>0</v>
          </cell>
        </row>
        <row r="3925">
          <cell r="H3925">
            <v>0</v>
          </cell>
        </row>
        <row r="3926">
          <cell r="H3926">
            <v>0</v>
          </cell>
        </row>
        <row r="3927">
          <cell r="H3927">
            <v>0</v>
          </cell>
        </row>
        <row r="3928">
          <cell r="H3928">
            <v>0</v>
          </cell>
        </row>
        <row r="3929">
          <cell r="H3929">
            <v>0</v>
          </cell>
        </row>
        <row r="3930">
          <cell r="H3930">
            <v>0</v>
          </cell>
        </row>
        <row r="3931">
          <cell r="H3931">
            <v>0</v>
          </cell>
        </row>
        <row r="3932">
          <cell r="H3932">
            <v>0</v>
          </cell>
        </row>
        <row r="3933">
          <cell r="H3933">
            <v>0</v>
          </cell>
        </row>
        <row r="3934">
          <cell r="H3934">
            <v>0</v>
          </cell>
        </row>
        <row r="3935">
          <cell r="H3935">
            <v>0</v>
          </cell>
        </row>
        <row r="3936">
          <cell r="H3936">
            <v>0</v>
          </cell>
        </row>
        <row r="3937">
          <cell r="H3937">
            <v>0</v>
          </cell>
        </row>
        <row r="3938">
          <cell r="H3938">
            <v>0</v>
          </cell>
        </row>
        <row r="3939">
          <cell r="H3939">
            <v>0</v>
          </cell>
        </row>
        <row r="3940">
          <cell r="H3940">
            <v>0</v>
          </cell>
        </row>
        <row r="3941">
          <cell r="H3941">
            <v>0</v>
          </cell>
        </row>
        <row r="3942">
          <cell r="H3942">
            <v>0</v>
          </cell>
        </row>
        <row r="3943">
          <cell r="H3943">
            <v>0</v>
          </cell>
        </row>
        <row r="3944">
          <cell r="H3944">
            <v>0</v>
          </cell>
        </row>
        <row r="3945">
          <cell r="H3945">
            <v>0</v>
          </cell>
        </row>
        <row r="3946">
          <cell r="H3946">
            <v>0</v>
          </cell>
        </row>
        <row r="3947">
          <cell r="H3947">
            <v>0</v>
          </cell>
        </row>
        <row r="3948">
          <cell r="H3948">
            <v>0</v>
          </cell>
        </row>
        <row r="3949">
          <cell r="H3949">
            <v>0</v>
          </cell>
        </row>
        <row r="3950">
          <cell r="H3950">
            <v>0</v>
          </cell>
        </row>
        <row r="3951">
          <cell r="H3951">
            <v>0</v>
          </cell>
        </row>
        <row r="3952">
          <cell r="H3952">
            <v>0</v>
          </cell>
        </row>
        <row r="3953">
          <cell r="H3953">
            <v>0</v>
          </cell>
        </row>
        <row r="3954">
          <cell r="H3954">
            <v>0</v>
          </cell>
        </row>
        <row r="3955">
          <cell r="H3955">
            <v>0</v>
          </cell>
        </row>
        <row r="3956">
          <cell r="H3956">
            <v>0</v>
          </cell>
        </row>
        <row r="3957">
          <cell r="H3957">
            <v>0</v>
          </cell>
        </row>
        <row r="3958">
          <cell r="H3958">
            <v>0</v>
          </cell>
        </row>
        <row r="3959">
          <cell r="H3959">
            <v>0</v>
          </cell>
        </row>
        <row r="3960">
          <cell r="H3960">
            <v>0</v>
          </cell>
        </row>
        <row r="3961">
          <cell r="H3961">
            <v>0</v>
          </cell>
        </row>
        <row r="3962">
          <cell r="H3962">
            <v>0</v>
          </cell>
        </row>
        <row r="3963">
          <cell r="H3963">
            <v>0</v>
          </cell>
        </row>
        <row r="3964">
          <cell r="H3964">
            <v>0</v>
          </cell>
        </row>
        <row r="3965">
          <cell r="H3965">
            <v>0</v>
          </cell>
        </row>
        <row r="3966">
          <cell r="H3966">
            <v>0</v>
          </cell>
        </row>
        <row r="3967">
          <cell r="H3967">
            <v>0</v>
          </cell>
        </row>
        <row r="3968">
          <cell r="H3968">
            <v>0</v>
          </cell>
        </row>
        <row r="3969">
          <cell r="H3969">
            <v>0</v>
          </cell>
        </row>
        <row r="3970">
          <cell r="H3970">
            <v>0</v>
          </cell>
        </row>
        <row r="3971">
          <cell r="H3971">
            <v>0</v>
          </cell>
        </row>
        <row r="3972">
          <cell r="H3972">
            <v>0</v>
          </cell>
        </row>
        <row r="3973">
          <cell r="H3973">
            <v>0</v>
          </cell>
        </row>
        <row r="3974">
          <cell r="H3974">
            <v>0</v>
          </cell>
        </row>
        <row r="3975">
          <cell r="H3975">
            <v>0</v>
          </cell>
        </row>
        <row r="3976">
          <cell r="H3976">
            <v>0</v>
          </cell>
        </row>
        <row r="3977">
          <cell r="H3977">
            <v>0</v>
          </cell>
        </row>
        <row r="3978">
          <cell r="H3978">
            <v>0</v>
          </cell>
        </row>
        <row r="3979">
          <cell r="H3979">
            <v>0</v>
          </cell>
        </row>
        <row r="3980">
          <cell r="H3980">
            <v>0</v>
          </cell>
        </row>
        <row r="3981">
          <cell r="H3981">
            <v>0</v>
          </cell>
        </row>
        <row r="3982">
          <cell r="H3982">
            <v>0</v>
          </cell>
        </row>
        <row r="3983">
          <cell r="H3983">
            <v>0</v>
          </cell>
        </row>
        <row r="3984">
          <cell r="H3984">
            <v>0</v>
          </cell>
        </row>
        <row r="3985">
          <cell r="H3985">
            <v>0</v>
          </cell>
        </row>
        <row r="3986">
          <cell r="H3986">
            <v>0</v>
          </cell>
        </row>
        <row r="3987">
          <cell r="H3987">
            <v>0</v>
          </cell>
        </row>
        <row r="3988">
          <cell r="H3988">
            <v>0</v>
          </cell>
        </row>
        <row r="3989">
          <cell r="H3989">
            <v>0</v>
          </cell>
        </row>
        <row r="3990">
          <cell r="H3990">
            <v>0</v>
          </cell>
        </row>
        <row r="3991">
          <cell r="H3991">
            <v>0</v>
          </cell>
        </row>
        <row r="3992">
          <cell r="H3992">
            <v>0</v>
          </cell>
        </row>
        <row r="3993">
          <cell r="H3993">
            <v>0</v>
          </cell>
        </row>
        <row r="3994">
          <cell r="H3994">
            <v>0</v>
          </cell>
        </row>
        <row r="3995">
          <cell r="H3995">
            <v>0</v>
          </cell>
        </row>
        <row r="3996">
          <cell r="H3996">
            <v>0</v>
          </cell>
        </row>
        <row r="3997">
          <cell r="H3997">
            <v>0</v>
          </cell>
        </row>
        <row r="3998">
          <cell r="H3998">
            <v>0</v>
          </cell>
        </row>
        <row r="3999">
          <cell r="H3999">
            <v>0</v>
          </cell>
        </row>
        <row r="4000">
          <cell r="H4000">
            <v>0</v>
          </cell>
        </row>
        <row r="4001">
          <cell r="H4001">
            <v>0</v>
          </cell>
        </row>
        <row r="4002">
          <cell r="H4002">
            <v>0</v>
          </cell>
        </row>
        <row r="4003">
          <cell r="H4003">
            <v>0</v>
          </cell>
        </row>
        <row r="4004">
          <cell r="H4004">
            <v>0</v>
          </cell>
        </row>
        <row r="4005">
          <cell r="H4005">
            <v>0</v>
          </cell>
        </row>
        <row r="4006">
          <cell r="H4006">
            <v>0</v>
          </cell>
        </row>
        <row r="4007">
          <cell r="H4007">
            <v>0</v>
          </cell>
        </row>
        <row r="4008">
          <cell r="H4008">
            <v>0</v>
          </cell>
        </row>
        <row r="4009">
          <cell r="H4009">
            <v>0</v>
          </cell>
        </row>
        <row r="4010">
          <cell r="H4010">
            <v>0</v>
          </cell>
        </row>
        <row r="4011">
          <cell r="H4011">
            <v>0</v>
          </cell>
        </row>
        <row r="4012">
          <cell r="H4012">
            <v>0</v>
          </cell>
        </row>
        <row r="4013">
          <cell r="H4013">
            <v>0</v>
          </cell>
        </row>
        <row r="4014">
          <cell r="H4014">
            <v>0</v>
          </cell>
        </row>
        <row r="4015">
          <cell r="H4015">
            <v>0</v>
          </cell>
        </row>
        <row r="4016">
          <cell r="H4016">
            <v>0</v>
          </cell>
        </row>
        <row r="4017">
          <cell r="H4017">
            <v>0</v>
          </cell>
        </row>
        <row r="4018">
          <cell r="H4018">
            <v>0</v>
          </cell>
        </row>
        <row r="4019">
          <cell r="H4019">
            <v>0</v>
          </cell>
        </row>
        <row r="4020">
          <cell r="H4020">
            <v>0</v>
          </cell>
        </row>
        <row r="4021">
          <cell r="H4021">
            <v>0</v>
          </cell>
        </row>
        <row r="4022">
          <cell r="H4022">
            <v>0</v>
          </cell>
        </row>
        <row r="4023">
          <cell r="H4023">
            <v>0</v>
          </cell>
        </row>
        <row r="4024">
          <cell r="H4024">
            <v>0</v>
          </cell>
        </row>
        <row r="4025">
          <cell r="H4025">
            <v>0</v>
          </cell>
        </row>
        <row r="4026">
          <cell r="H4026">
            <v>0</v>
          </cell>
        </row>
        <row r="4027">
          <cell r="H4027">
            <v>0</v>
          </cell>
        </row>
        <row r="4028">
          <cell r="H4028">
            <v>0</v>
          </cell>
        </row>
        <row r="4029">
          <cell r="H4029">
            <v>0</v>
          </cell>
        </row>
        <row r="4030">
          <cell r="H4030">
            <v>0</v>
          </cell>
        </row>
        <row r="4031">
          <cell r="H4031">
            <v>0</v>
          </cell>
        </row>
        <row r="4032">
          <cell r="H4032">
            <v>0</v>
          </cell>
        </row>
        <row r="4033">
          <cell r="H4033">
            <v>0</v>
          </cell>
        </row>
        <row r="4034">
          <cell r="H4034">
            <v>0</v>
          </cell>
        </row>
        <row r="4035">
          <cell r="H4035">
            <v>0</v>
          </cell>
        </row>
        <row r="4036">
          <cell r="H4036">
            <v>0</v>
          </cell>
        </row>
        <row r="4037">
          <cell r="H4037">
            <v>0</v>
          </cell>
        </row>
        <row r="4038">
          <cell r="H4038">
            <v>0</v>
          </cell>
        </row>
        <row r="4039">
          <cell r="H4039">
            <v>0</v>
          </cell>
        </row>
        <row r="4040">
          <cell r="H4040">
            <v>0</v>
          </cell>
        </row>
        <row r="4041">
          <cell r="H4041">
            <v>0</v>
          </cell>
        </row>
        <row r="4042">
          <cell r="H4042">
            <v>0</v>
          </cell>
        </row>
        <row r="4043">
          <cell r="H4043">
            <v>0</v>
          </cell>
        </row>
        <row r="4044">
          <cell r="H4044">
            <v>0</v>
          </cell>
        </row>
        <row r="4045">
          <cell r="H4045">
            <v>0</v>
          </cell>
        </row>
        <row r="4046">
          <cell r="H4046">
            <v>0</v>
          </cell>
        </row>
        <row r="4047">
          <cell r="H4047">
            <v>0</v>
          </cell>
        </row>
        <row r="4048">
          <cell r="H4048">
            <v>0</v>
          </cell>
        </row>
        <row r="4049">
          <cell r="H4049">
            <v>0</v>
          </cell>
        </row>
        <row r="4050">
          <cell r="H4050">
            <v>0</v>
          </cell>
        </row>
        <row r="4051">
          <cell r="H4051">
            <v>0</v>
          </cell>
        </row>
        <row r="4052">
          <cell r="H4052">
            <v>0</v>
          </cell>
        </row>
        <row r="4053">
          <cell r="H4053">
            <v>0</v>
          </cell>
        </row>
        <row r="4054">
          <cell r="H4054">
            <v>0</v>
          </cell>
        </row>
        <row r="4055">
          <cell r="H4055">
            <v>0</v>
          </cell>
        </row>
        <row r="4056">
          <cell r="H4056">
            <v>0</v>
          </cell>
        </row>
        <row r="4057">
          <cell r="H4057">
            <v>0</v>
          </cell>
        </row>
        <row r="4058">
          <cell r="H4058">
            <v>0</v>
          </cell>
        </row>
        <row r="4059">
          <cell r="H4059">
            <v>0</v>
          </cell>
        </row>
        <row r="4060">
          <cell r="H4060">
            <v>0</v>
          </cell>
        </row>
        <row r="4061">
          <cell r="H4061">
            <v>0</v>
          </cell>
        </row>
        <row r="4062">
          <cell r="H4062">
            <v>0</v>
          </cell>
        </row>
        <row r="4063">
          <cell r="H4063">
            <v>0</v>
          </cell>
        </row>
        <row r="4064">
          <cell r="H4064">
            <v>0</v>
          </cell>
        </row>
        <row r="4065">
          <cell r="H4065">
            <v>0</v>
          </cell>
        </row>
        <row r="4066">
          <cell r="H4066">
            <v>0</v>
          </cell>
        </row>
        <row r="4067">
          <cell r="H4067">
            <v>0</v>
          </cell>
        </row>
        <row r="4068">
          <cell r="H4068">
            <v>0</v>
          </cell>
        </row>
        <row r="4069">
          <cell r="H4069">
            <v>0</v>
          </cell>
        </row>
        <row r="4070">
          <cell r="H4070">
            <v>0</v>
          </cell>
        </row>
        <row r="4071">
          <cell r="H4071">
            <v>0</v>
          </cell>
        </row>
        <row r="4072">
          <cell r="H4072">
            <v>0</v>
          </cell>
        </row>
        <row r="4073">
          <cell r="H4073">
            <v>0</v>
          </cell>
        </row>
        <row r="4074">
          <cell r="H4074">
            <v>0</v>
          </cell>
        </row>
        <row r="4075">
          <cell r="H4075">
            <v>0</v>
          </cell>
        </row>
        <row r="4076">
          <cell r="H4076">
            <v>0</v>
          </cell>
        </row>
        <row r="4077">
          <cell r="H4077">
            <v>0</v>
          </cell>
        </row>
        <row r="4078">
          <cell r="H4078">
            <v>0</v>
          </cell>
        </row>
        <row r="4079">
          <cell r="H4079">
            <v>0</v>
          </cell>
        </row>
        <row r="4080">
          <cell r="H4080">
            <v>0</v>
          </cell>
        </row>
        <row r="4081">
          <cell r="H4081">
            <v>0</v>
          </cell>
        </row>
        <row r="4082">
          <cell r="H4082">
            <v>0</v>
          </cell>
        </row>
        <row r="4083">
          <cell r="H4083">
            <v>0</v>
          </cell>
        </row>
        <row r="4084">
          <cell r="H4084">
            <v>0</v>
          </cell>
        </row>
        <row r="4085">
          <cell r="H4085">
            <v>0</v>
          </cell>
        </row>
        <row r="4086">
          <cell r="H4086">
            <v>0</v>
          </cell>
        </row>
        <row r="4087">
          <cell r="H4087">
            <v>0</v>
          </cell>
        </row>
        <row r="4088">
          <cell r="H4088">
            <v>0</v>
          </cell>
        </row>
        <row r="4089">
          <cell r="H4089">
            <v>0</v>
          </cell>
        </row>
        <row r="4090">
          <cell r="H4090">
            <v>0</v>
          </cell>
        </row>
        <row r="4091">
          <cell r="H4091">
            <v>0</v>
          </cell>
        </row>
        <row r="4092">
          <cell r="H4092">
            <v>0</v>
          </cell>
        </row>
        <row r="4093">
          <cell r="H4093">
            <v>0</v>
          </cell>
        </row>
        <row r="4094">
          <cell r="H4094">
            <v>0</v>
          </cell>
        </row>
        <row r="4095">
          <cell r="H4095">
            <v>0</v>
          </cell>
        </row>
        <row r="4096">
          <cell r="H4096">
            <v>0</v>
          </cell>
        </row>
        <row r="4097">
          <cell r="H4097">
            <v>0</v>
          </cell>
        </row>
        <row r="4098">
          <cell r="H4098">
            <v>0</v>
          </cell>
        </row>
        <row r="4099">
          <cell r="H4099">
            <v>0</v>
          </cell>
        </row>
        <row r="4100">
          <cell r="H4100">
            <v>0</v>
          </cell>
        </row>
        <row r="4101">
          <cell r="H4101">
            <v>0</v>
          </cell>
        </row>
        <row r="4102">
          <cell r="H4102">
            <v>0</v>
          </cell>
        </row>
        <row r="4103">
          <cell r="H4103">
            <v>0</v>
          </cell>
        </row>
        <row r="4104">
          <cell r="H4104">
            <v>0</v>
          </cell>
        </row>
        <row r="4105">
          <cell r="H4105">
            <v>0</v>
          </cell>
        </row>
        <row r="4106">
          <cell r="H4106">
            <v>0</v>
          </cell>
        </row>
        <row r="4107">
          <cell r="H4107">
            <v>0</v>
          </cell>
        </row>
        <row r="4108">
          <cell r="H4108">
            <v>0</v>
          </cell>
        </row>
        <row r="4109">
          <cell r="H4109">
            <v>0</v>
          </cell>
        </row>
        <row r="4110">
          <cell r="H4110">
            <v>0</v>
          </cell>
        </row>
        <row r="4111">
          <cell r="H4111">
            <v>0</v>
          </cell>
        </row>
        <row r="4112">
          <cell r="H4112">
            <v>0</v>
          </cell>
        </row>
        <row r="4113">
          <cell r="H4113">
            <v>0</v>
          </cell>
        </row>
        <row r="4114">
          <cell r="H4114">
            <v>0</v>
          </cell>
        </row>
        <row r="4115">
          <cell r="H4115">
            <v>0</v>
          </cell>
        </row>
        <row r="4116">
          <cell r="H4116">
            <v>0</v>
          </cell>
        </row>
        <row r="4117">
          <cell r="H4117">
            <v>0</v>
          </cell>
        </row>
        <row r="4118">
          <cell r="H4118">
            <v>0</v>
          </cell>
        </row>
        <row r="4119">
          <cell r="H4119">
            <v>0</v>
          </cell>
        </row>
        <row r="4120">
          <cell r="H4120">
            <v>0</v>
          </cell>
        </row>
        <row r="4121">
          <cell r="H4121">
            <v>0</v>
          </cell>
        </row>
        <row r="4122">
          <cell r="H4122">
            <v>0</v>
          </cell>
        </row>
        <row r="4123">
          <cell r="H4123">
            <v>0</v>
          </cell>
        </row>
        <row r="4124">
          <cell r="H4124">
            <v>0</v>
          </cell>
        </row>
        <row r="4125">
          <cell r="H4125">
            <v>0</v>
          </cell>
        </row>
        <row r="4126">
          <cell r="H4126">
            <v>0</v>
          </cell>
        </row>
        <row r="4127">
          <cell r="H4127">
            <v>0</v>
          </cell>
        </row>
        <row r="4128">
          <cell r="H4128">
            <v>0</v>
          </cell>
        </row>
        <row r="4129">
          <cell r="H4129">
            <v>0</v>
          </cell>
        </row>
        <row r="4130">
          <cell r="H4130">
            <v>0</v>
          </cell>
        </row>
        <row r="4131">
          <cell r="H4131">
            <v>0</v>
          </cell>
        </row>
        <row r="4132">
          <cell r="H4132">
            <v>0</v>
          </cell>
        </row>
        <row r="4133">
          <cell r="H4133">
            <v>0</v>
          </cell>
        </row>
        <row r="4134">
          <cell r="H4134">
            <v>0</v>
          </cell>
        </row>
        <row r="4135">
          <cell r="H4135">
            <v>0</v>
          </cell>
        </row>
        <row r="4136">
          <cell r="H4136">
            <v>0</v>
          </cell>
        </row>
        <row r="4137">
          <cell r="H4137">
            <v>0</v>
          </cell>
        </row>
        <row r="4138">
          <cell r="H4138">
            <v>0</v>
          </cell>
        </row>
        <row r="4139">
          <cell r="H4139">
            <v>0</v>
          </cell>
        </row>
        <row r="4140">
          <cell r="H4140">
            <v>0</v>
          </cell>
        </row>
        <row r="4141">
          <cell r="H4141">
            <v>0</v>
          </cell>
        </row>
        <row r="4142">
          <cell r="H4142">
            <v>0</v>
          </cell>
        </row>
        <row r="4143">
          <cell r="H4143">
            <v>0</v>
          </cell>
        </row>
        <row r="4144">
          <cell r="H4144">
            <v>0</v>
          </cell>
        </row>
        <row r="4145">
          <cell r="H4145">
            <v>0</v>
          </cell>
        </row>
        <row r="4146">
          <cell r="H4146">
            <v>0</v>
          </cell>
        </row>
        <row r="4147">
          <cell r="H4147">
            <v>0</v>
          </cell>
        </row>
        <row r="4148">
          <cell r="H4148">
            <v>0</v>
          </cell>
        </row>
        <row r="4149">
          <cell r="H4149">
            <v>0</v>
          </cell>
        </row>
        <row r="4150">
          <cell r="H4150">
            <v>0</v>
          </cell>
        </row>
        <row r="4151">
          <cell r="H4151">
            <v>0</v>
          </cell>
        </row>
        <row r="4152">
          <cell r="H4152">
            <v>0</v>
          </cell>
        </row>
        <row r="4153">
          <cell r="H4153">
            <v>0</v>
          </cell>
        </row>
        <row r="4154">
          <cell r="H4154">
            <v>0</v>
          </cell>
        </row>
        <row r="4155">
          <cell r="H4155">
            <v>0</v>
          </cell>
        </row>
        <row r="4156">
          <cell r="H4156">
            <v>0</v>
          </cell>
        </row>
        <row r="4157">
          <cell r="H4157">
            <v>0</v>
          </cell>
        </row>
        <row r="4158">
          <cell r="H4158">
            <v>0</v>
          </cell>
        </row>
        <row r="4159">
          <cell r="H4159">
            <v>0</v>
          </cell>
        </row>
        <row r="4160">
          <cell r="H4160">
            <v>0</v>
          </cell>
        </row>
        <row r="4161">
          <cell r="H4161">
            <v>0</v>
          </cell>
        </row>
        <row r="4162">
          <cell r="H4162">
            <v>0</v>
          </cell>
        </row>
        <row r="4163">
          <cell r="H4163">
            <v>0</v>
          </cell>
        </row>
        <row r="4164">
          <cell r="H4164">
            <v>0</v>
          </cell>
        </row>
        <row r="4165">
          <cell r="H4165">
            <v>0</v>
          </cell>
        </row>
        <row r="4166">
          <cell r="H4166">
            <v>0</v>
          </cell>
        </row>
        <row r="4167">
          <cell r="H4167">
            <v>0</v>
          </cell>
        </row>
        <row r="4168">
          <cell r="H4168">
            <v>0</v>
          </cell>
        </row>
        <row r="4169">
          <cell r="H4169">
            <v>0</v>
          </cell>
        </row>
        <row r="4170">
          <cell r="H4170">
            <v>0</v>
          </cell>
        </row>
        <row r="4171">
          <cell r="H4171">
            <v>0</v>
          </cell>
        </row>
        <row r="4172">
          <cell r="H4172">
            <v>0</v>
          </cell>
        </row>
        <row r="4173">
          <cell r="H4173">
            <v>0</v>
          </cell>
        </row>
        <row r="4174">
          <cell r="H4174">
            <v>0</v>
          </cell>
        </row>
        <row r="4175">
          <cell r="H4175">
            <v>0</v>
          </cell>
        </row>
        <row r="4176">
          <cell r="H4176">
            <v>0</v>
          </cell>
        </row>
        <row r="4177">
          <cell r="H4177">
            <v>0</v>
          </cell>
        </row>
        <row r="4178">
          <cell r="H4178">
            <v>0</v>
          </cell>
        </row>
        <row r="4179">
          <cell r="H4179">
            <v>0</v>
          </cell>
        </row>
        <row r="4180">
          <cell r="H4180">
            <v>0</v>
          </cell>
        </row>
        <row r="4181">
          <cell r="H4181">
            <v>0</v>
          </cell>
        </row>
        <row r="4182">
          <cell r="H4182">
            <v>0</v>
          </cell>
        </row>
        <row r="4183">
          <cell r="H4183">
            <v>0</v>
          </cell>
        </row>
        <row r="4184">
          <cell r="H4184">
            <v>0</v>
          </cell>
        </row>
        <row r="4185">
          <cell r="H4185">
            <v>0</v>
          </cell>
        </row>
        <row r="4186">
          <cell r="H4186">
            <v>0</v>
          </cell>
        </row>
        <row r="4187">
          <cell r="H4187">
            <v>0</v>
          </cell>
        </row>
        <row r="4188">
          <cell r="H4188">
            <v>0</v>
          </cell>
        </row>
        <row r="4189">
          <cell r="H4189">
            <v>0</v>
          </cell>
        </row>
        <row r="4190">
          <cell r="H4190">
            <v>0</v>
          </cell>
        </row>
        <row r="4191">
          <cell r="H4191">
            <v>0</v>
          </cell>
        </row>
        <row r="4192">
          <cell r="H4192">
            <v>0</v>
          </cell>
        </row>
        <row r="4193">
          <cell r="H4193">
            <v>0</v>
          </cell>
        </row>
        <row r="4194">
          <cell r="H4194">
            <v>0</v>
          </cell>
        </row>
        <row r="4195">
          <cell r="H4195">
            <v>0</v>
          </cell>
        </row>
        <row r="4196">
          <cell r="H4196">
            <v>0</v>
          </cell>
        </row>
        <row r="4197">
          <cell r="H4197">
            <v>0</v>
          </cell>
        </row>
        <row r="4198">
          <cell r="H4198">
            <v>0</v>
          </cell>
        </row>
        <row r="4199">
          <cell r="H4199">
            <v>0</v>
          </cell>
        </row>
        <row r="4200">
          <cell r="H4200">
            <v>0</v>
          </cell>
        </row>
        <row r="4201">
          <cell r="H4201">
            <v>0</v>
          </cell>
        </row>
        <row r="4202">
          <cell r="H4202">
            <v>0</v>
          </cell>
        </row>
        <row r="4203">
          <cell r="H4203">
            <v>0</v>
          </cell>
        </row>
        <row r="4204">
          <cell r="H4204">
            <v>0</v>
          </cell>
        </row>
        <row r="4205">
          <cell r="H4205">
            <v>0</v>
          </cell>
        </row>
        <row r="4206">
          <cell r="H4206">
            <v>0</v>
          </cell>
        </row>
        <row r="4207">
          <cell r="H4207">
            <v>0</v>
          </cell>
        </row>
        <row r="4208">
          <cell r="H4208">
            <v>0</v>
          </cell>
        </row>
        <row r="4209">
          <cell r="H4209">
            <v>0</v>
          </cell>
        </row>
        <row r="4210">
          <cell r="H4210">
            <v>0</v>
          </cell>
        </row>
        <row r="4211">
          <cell r="H4211">
            <v>0</v>
          </cell>
        </row>
        <row r="4212">
          <cell r="H4212">
            <v>0</v>
          </cell>
        </row>
        <row r="4213">
          <cell r="H4213">
            <v>0</v>
          </cell>
        </row>
        <row r="4214">
          <cell r="H4214">
            <v>0</v>
          </cell>
        </row>
        <row r="4215">
          <cell r="H4215">
            <v>0</v>
          </cell>
        </row>
        <row r="4216">
          <cell r="H4216">
            <v>0</v>
          </cell>
        </row>
        <row r="4217">
          <cell r="H4217">
            <v>0</v>
          </cell>
        </row>
        <row r="4218">
          <cell r="H4218">
            <v>0</v>
          </cell>
        </row>
        <row r="4219">
          <cell r="H4219">
            <v>0</v>
          </cell>
        </row>
        <row r="4220">
          <cell r="H4220">
            <v>0</v>
          </cell>
        </row>
        <row r="4221">
          <cell r="H4221">
            <v>0</v>
          </cell>
        </row>
        <row r="4222">
          <cell r="H4222">
            <v>0</v>
          </cell>
        </row>
        <row r="4223">
          <cell r="H4223">
            <v>0</v>
          </cell>
        </row>
        <row r="4224">
          <cell r="H4224">
            <v>0</v>
          </cell>
        </row>
        <row r="4225">
          <cell r="H4225">
            <v>0</v>
          </cell>
        </row>
        <row r="4226">
          <cell r="H4226">
            <v>0</v>
          </cell>
        </row>
        <row r="4227">
          <cell r="H4227">
            <v>0</v>
          </cell>
        </row>
        <row r="4228">
          <cell r="H4228">
            <v>0</v>
          </cell>
        </row>
        <row r="4229">
          <cell r="H4229">
            <v>0</v>
          </cell>
        </row>
        <row r="4230">
          <cell r="H4230">
            <v>0</v>
          </cell>
        </row>
        <row r="4231">
          <cell r="H4231">
            <v>0</v>
          </cell>
        </row>
        <row r="4232">
          <cell r="H4232">
            <v>0</v>
          </cell>
        </row>
        <row r="4233">
          <cell r="H4233">
            <v>0</v>
          </cell>
        </row>
        <row r="4234">
          <cell r="H4234">
            <v>0</v>
          </cell>
        </row>
        <row r="4235">
          <cell r="H4235">
            <v>0</v>
          </cell>
        </row>
        <row r="4236">
          <cell r="H4236">
            <v>0</v>
          </cell>
        </row>
        <row r="4237">
          <cell r="H4237">
            <v>0</v>
          </cell>
        </row>
        <row r="4238">
          <cell r="H4238">
            <v>0</v>
          </cell>
        </row>
        <row r="4239">
          <cell r="H4239">
            <v>0</v>
          </cell>
        </row>
        <row r="4240">
          <cell r="H4240">
            <v>0</v>
          </cell>
        </row>
        <row r="4241">
          <cell r="H4241">
            <v>0</v>
          </cell>
        </row>
        <row r="4242">
          <cell r="H4242">
            <v>0</v>
          </cell>
        </row>
        <row r="4243">
          <cell r="H4243">
            <v>0</v>
          </cell>
        </row>
        <row r="4244">
          <cell r="H4244">
            <v>0</v>
          </cell>
        </row>
        <row r="4245">
          <cell r="H4245">
            <v>0</v>
          </cell>
        </row>
        <row r="4246">
          <cell r="H4246">
            <v>0</v>
          </cell>
        </row>
        <row r="4247">
          <cell r="H4247">
            <v>0</v>
          </cell>
        </row>
        <row r="4248">
          <cell r="H4248">
            <v>0</v>
          </cell>
        </row>
        <row r="4249">
          <cell r="H4249">
            <v>0</v>
          </cell>
        </row>
        <row r="4250">
          <cell r="H4250">
            <v>0</v>
          </cell>
        </row>
        <row r="4251">
          <cell r="H4251">
            <v>0</v>
          </cell>
        </row>
        <row r="4252">
          <cell r="H4252">
            <v>0</v>
          </cell>
        </row>
        <row r="4253">
          <cell r="H4253">
            <v>0</v>
          </cell>
        </row>
        <row r="4254">
          <cell r="H4254">
            <v>0</v>
          </cell>
        </row>
        <row r="4255">
          <cell r="H4255">
            <v>0</v>
          </cell>
        </row>
        <row r="4256">
          <cell r="H4256">
            <v>0</v>
          </cell>
        </row>
        <row r="4257">
          <cell r="H4257">
            <v>0</v>
          </cell>
        </row>
        <row r="4258">
          <cell r="H4258">
            <v>0</v>
          </cell>
        </row>
        <row r="4259">
          <cell r="H4259">
            <v>0</v>
          </cell>
        </row>
        <row r="4260">
          <cell r="H4260">
            <v>0</v>
          </cell>
        </row>
        <row r="4261">
          <cell r="H4261">
            <v>0</v>
          </cell>
        </row>
        <row r="4262">
          <cell r="H4262">
            <v>0</v>
          </cell>
        </row>
        <row r="4263">
          <cell r="H4263">
            <v>0</v>
          </cell>
        </row>
        <row r="4264">
          <cell r="H4264">
            <v>0</v>
          </cell>
        </row>
        <row r="4265">
          <cell r="H4265">
            <v>0</v>
          </cell>
        </row>
        <row r="4266">
          <cell r="H4266">
            <v>0</v>
          </cell>
        </row>
        <row r="4267">
          <cell r="H4267">
            <v>0</v>
          </cell>
        </row>
        <row r="4268">
          <cell r="H4268">
            <v>0</v>
          </cell>
        </row>
        <row r="4269">
          <cell r="H4269">
            <v>0</v>
          </cell>
        </row>
        <row r="4270">
          <cell r="H4270">
            <v>0</v>
          </cell>
        </row>
        <row r="4271">
          <cell r="H4271">
            <v>0</v>
          </cell>
        </row>
        <row r="4272">
          <cell r="H4272">
            <v>0</v>
          </cell>
        </row>
        <row r="4273">
          <cell r="H4273">
            <v>0</v>
          </cell>
        </row>
        <row r="4274">
          <cell r="H4274">
            <v>0</v>
          </cell>
        </row>
        <row r="4275">
          <cell r="H4275">
            <v>0</v>
          </cell>
        </row>
        <row r="4276">
          <cell r="H4276">
            <v>0</v>
          </cell>
        </row>
        <row r="4277">
          <cell r="H4277">
            <v>0</v>
          </cell>
        </row>
        <row r="4278">
          <cell r="H4278">
            <v>0</v>
          </cell>
        </row>
        <row r="4279">
          <cell r="H4279">
            <v>0</v>
          </cell>
        </row>
        <row r="4280">
          <cell r="H4280">
            <v>0</v>
          </cell>
        </row>
        <row r="4281">
          <cell r="H4281">
            <v>0</v>
          </cell>
        </row>
        <row r="4282">
          <cell r="H4282">
            <v>0</v>
          </cell>
        </row>
        <row r="4283">
          <cell r="H4283">
            <v>0</v>
          </cell>
        </row>
        <row r="4284">
          <cell r="H4284">
            <v>0</v>
          </cell>
        </row>
        <row r="4285">
          <cell r="H4285">
            <v>0</v>
          </cell>
        </row>
        <row r="4286">
          <cell r="H4286">
            <v>0</v>
          </cell>
        </row>
        <row r="4287">
          <cell r="H4287">
            <v>0</v>
          </cell>
        </row>
        <row r="4288">
          <cell r="H4288">
            <v>0</v>
          </cell>
        </row>
        <row r="4289">
          <cell r="H4289">
            <v>0</v>
          </cell>
        </row>
        <row r="4290">
          <cell r="H4290">
            <v>0</v>
          </cell>
        </row>
        <row r="4291">
          <cell r="H4291">
            <v>0</v>
          </cell>
        </row>
        <row r="4292">
          <cell r="H4292">
            <v>0</v>
          </cell>
        </row>
        <row r="4293">
          <cell r="H4293">
            <v>0</v>
          </cell>
        </row>
        <row r="4294">
          <cell r="H4294">
            <v>0</v>
          </cell>
        </row>
        <row r="4295">
          <cell r="H4295">
            <v>0</v>
          </cell>
        </row>
        <row r="4296">
          <cell r="H4296">
            <v>0</v>
          </cell>
        </row>
        <row r="4297">
          <cell r="H4297">
            <v>0</v>
          </cell>
        </row>
        <row r="4298">
          <cell r="H4298">
            <v>0</v>
          </cell>
        </row>
        <row r="4299">
          <cell r="H4299">
            <v>0</v>
          </cell>
        </row>
        <row r="4300">
          <cell r="H4300">
            <v>0</v>
          </cell>
        </row>
        <row r="4301">
          <cell r="H4301">
            <v>0</v>
          </cell>
        </row>
        <row r="4302">
          <cell r="H4302">
            <v>0</v>
          </cell>
        </row>
        <row r="4303">
          <cell r="H4303">
            <v>0</v>
          </cell>
        </row>
        <row r="4304">
          <cell r="H4304">
            <v>0</v>
          </cell>
        </row>
        <row r="4305">
          <cell r="H4305">
            <v>0</v>
          </cell>
        </row>
        <row r="4306">
          <cell r="H4306">
            <v>0</v>
          </cell>
        </row>
        <row r="4307">
          <cell r="H4307">
            <v>0</v>
          </cell>
        </row>
        <row r="4308">
          <cell r="H4308">
            <v>0</v>
          </cell>
        </row>
        <row r="4309">
          <cell r="H4309">
            <v>0</v>
          </cell>
        </row>
        <row r="4310">
          <cell r="H4310">
            <v>0</v>
          </cell>
        </row>
        <row r="4311">
          <cell r="H4311">
            <v>0</v>
          </cell>
        </row>
        <row r="4312">
          <cell r="H4312">
            <v>0</v>
          </cell>
        </row>
        <row r="4313">
          <cell r="H4313">
            <v>0</v>
          </cell>
        </row>
        <row r="4314">
          <cell r="H4314">
            <v>0</v>
          </cell>
        </row>
        <row r="4315">
          <cell r="H4315">
            <v>0</v>
          </cell>
        </row>
        <row r="4316">
          <cell r="H4316">
            <v>0</v>
          </cell>
        </row>
        <row r="4317">
          <cell r="H4317">
            <v>0</v>
          </cell>
        </row>
        <row r="4318">
          <cell r="H4318">
            <v>0</v>
          </cell>
        </row>
        <row r="4319">
          <cell r="H4319">
            <v>0</v>
          </cell>
        </row>
        <row r="4320">
          <cell r="H4320">
            <v>0</v>
          </cell>
        </row>
        <row r="4321">
          <cell r="H4321">
            <v>0</v>
          </cell>
        </row>
        <row r="4322">
          <cell r="H4322">
            <v>0</v>
          </cell>
        </row>
        <row r="4323">
          <cell r="H4323">
            <v>0</v>
          </cell>
        </row>
        <row r="4324">
          <cell r="H4324">
            <v>0</v>
          </cell>
        </row>
        <row r="4325">
          <cell r="H4325">
            <v>0</v>
          </cell>
        </row>
        <row r="4326">
          <cell r="H4326">
            <v>0</v>
          </cell>
        </row>
        <row r="4327">
          <cell r="H4327">
            <v>0</v>
          </cell>
        </row>
        <row r="4328">
          <cell r="H4328">
            <v>0</v>
          </cell>
        </row>
        <row r="4329">
          <cell r="H4329">
            <v>0</v>
          </cell>
        </row>
        <row r="4330">
          <cell r="H4330">
            <v>0</v>
          </cell>
        </row>
        <row r="4331">
          <cell r="H4331">
            <v>0</v>
          </cell>
        </row>
        <row r="4332">
          <cell r="H4332">
            <v>0</v>
          </cell>
        </row>
        <row r="4333">
          <cell r="H4333">
            <v>0</v>
          </cell>
        </row>
        <row r="4334">
          <cell r="H4334">
            <v>0</v>
          </cell>
        </row>
        <row r="4335">
          <cell r="H4335">
            <v>0</v>
          </cell>
        </row>
        <row r="4336">
          <cell r="H4336">
            <v>0</v>
          </cell>
        </row>
        <row r="4337">
          <cell r="H4337">
            <v>0</v>
          </cell>
        </row>
        <row r="4338">
          <cell r="H4338">
            <v>0</v>
          </cell>
        </row>
        <row r="4339">
          <cell r="H4339">
            <v>0</v>
          </cell>
        </row>
        <row r="4340">
          <cell r="H4340">
            <v>0</v>
          </cell>
        </row>
        <row r="4341">
          <cell r="H4341">
            <v>0</v>
          </cell>
        </row>
        <row r="4342">
          <cell r="H4342">
            <v>0</v>
          </cell>
        </row>
        <row r="4343">
          <cell r="H4343">
            <v>0</v>
          </cell>
        </row>
        <row r="4344">
          <cell r="H4344">
            <v>0</v>
          </cell>
        </row>
        <row r="4345">
          <cell r="H4345">
            <v>0</v>
          </cell>
        </row>
        <row r="4346">
          <cell r="H4346">
            <v>0</v>
          </cell>
        </row>
        <row r="4347">
          <cell r="H4347">
            <v>0</v>
          </cell>
        </row>
        <row r="4348">
          <cell r="H4348">
            <v>0</v>
          </cell>
        </row>
        <row r="4349">
          <cell r="H4349">
            <v>0</v>
          </cell>
        </row>
        <row r="4350">
          <cell r="H4350">
            <v>0</v>
          </cell>
        </row>
        <row r="4351">
          <cell r="H4351">
            <v>0</v>
          </cell>
        </row>
        <row r="4352">
          <cell r="H4352">
            <v>0</v>
          </cell>
        </row>
        <row r="4353">
          <cell r="H4353">
            <v>0</v>
          </cell>
        </row>
        <row r="4354">
          <cell r="H4354">
            <v>0</v>
          </cell>
        </row>
        <row r="4355">
          <cell r="H4355">
            <v>0</v>
          </cell>
        </row>
        <row r="4356">
          <cell r="H4356">
            <v>0</v>
          </cell>
        </row>
        <row r="4357">
          <cell r="H4357">
            <v>0</v>
          </cell>
        </row>
        <row r="4358">
          <cell r="H4358">
            <v>0</v>
          </cell>
        </row>
        <row r="4359">
          <cell r="H4359">
            <v>0</v>
          </cell>
        </row>
        <row r="4360">
          <cell r="H4360">
            <v>0</v>
          </cell>
        </row>
        <row r="4361">
          <cell r="H4361">
            <v>0</v>
          </cell>
        </row>
        <row r="4362">
          <cell r="H4362">
            <v>0</v>
          </cell>
        </row>
        <row r="4363">
          <cell r="H4363">
            <v>0</v>
          </cell>
        </row>
        <row r="4364">
          <cell r="H4364">
            <v>0</v>
          </cell>
        </row>
        <row r="4365">
          <cell r="H4365">
            <v>0</v>
          </cell>
        </row>
        <row r="4366">
          <cell r="H4366">
            <v>0</v>
          </cell>
        </row>
        <row r="4367">
          <cell r="H4367">
            <v>0</v>
          </cell>
        </row>
        <row r="4368">
          <cell r="H4368">
            <v>0</v>
          </cell>
        </row>
        <row r="4369">
          <cell r="H4369">
            <v>0</v>
          </cell>
        </row>
        <row r="4370">
          <cell r="H4370">
            <v>0</v>
          </cell>
        </row>
        <row r="4371">
          <cell r="H4371">
            <v>0</v>
          </cell>
        </row>
        <row r="4372">
          <cell r="H4372">
            <v>0</v>
          </cell>
        </row>
        <row r="4373">
          <cell r="H4373">
            <v>0</v>
          </cell>
        </row>
        <row r="4374">
          <cell r="H4374">
            <v>0</v>
          </cell>
        </row>
        <row r="4375">
          <cell r="H4375">
            <v>0</v>
          </cell>
        </row>
        <row r="4376">
          <cell r="H4376">
            <v>0</v>
          </cell>
        </row>
        <row r="4377">
          <cell r="H4377">
            <v>0</v>
          </cell>
        </row>
        <row r="4378">
          <cell r="H4378">
            <v>0</v>
          </cell>
        </row>
        <row r="4379">
          <cell r="H4379">
            <v>0</v>
          </cell>
        </row>
        <row r="4380">
          <cell r="H4380">
            <v>0</v>
          </cell>
        </row>
        <row r="4381">
          <cell r="H4381">
            <v>0</v>
          </cell>
        </row>
        <row r="4382">
          <cell r="H4382">
            <v>0</v>
          </cell>
        </row>
        <row r="4383">
          <cell r="H4383">
            <v>0</v>
          </cell>
        </row>
        <row r="4384">
          <cell r="H4384">
            <v>0</v>
          </cell>
        </row>
        <row r="4385">
          <cell r="H4385">
            <v>0</v>
          </cell>
        </row>
        <row r="4386">
          <cell r="H4386">
            <v>0</v>
          </cell>
        </row>
        <row r="4387">
          <cell r="H4387">
            <v>0</v>
          </cell>
        </row>
        <row r="4388">
          <cell r="H4388">
            <v>0</v>
          </cell>
        </row>
        <row r="4389">
          <cell r="H4389">
            <v>0</v>
          </cell>
        </row>
        <row r="4390">
          <cell r="H4390">
            <v>0</v>
          </cell>
        </row>
        <row r="4391">
          <cell r="H4391">
            <v>0</v>
          </cell>
        </row>
        <row r="4392">
          <cell r="H4392">
            <v>0</v>
          </cell>
        </row>
        <row r="4393">
          <cell r="H4393">
            <v>0</v>
          </cell>
        </row>
        <row r="4394">
          <cell r="H4394">
            <v>0</v>
          </cell>
        </row>
        <row r="4395">
          <cell r="H4395">
            <v>0</v>
          </cell>
        </row>
        <row r="4396">
          <cell r="H4396">
            <v>0</v>
          </cell>
        </row>
        <row r="4397">
          <cell r="H4397">
            <v>0</v>
          </cell>
        </row>
        <row r="4398">
          <cell r="H4398">
            <v>0</v>
          </cell>
        </row>
        <row r="4399">
          <cell r="H4399">
            <v>0</v>
          </cell>
        </row>
        <row r="4400">
          <cell r="H4400">
            <v>0</v>
          </cell>
        </row>
        <row r="4401">
          <cell r="H4401">
            <v>0</v>
          </cell>
        </row>
        <row r="4402">
          <cell r="H4402">
            <v>0</v>
          </cell>
        </row>
        <row r="4403">
          <cell r="H4403">
            <v>0</v>
          </cell>
        </row>
        <row r="4404">
          <cell r="H4404">
            <v>0</v>
          </cell>
        </row>
        <row r="4405">
          <cell r="H4405">
            <v>0</v>
          </cell>
        </row>
        <row r="4406">
          <cell r="H4406">
            <v>0</v>
          </cell>
        </row>
        <row r="4407">
          <cell r="H4407">
            <v>0</v>
          </cell>
        </row>
        <row r="4408">
          <cell r="H4408">
            <v>0</v>
          </cell>
        </row>
        <row r="4409">
          <cell r="H4409">
            <v>0</v>
          </cell>
        </row>
        <row r="4410">
          <cell r="H4410">
            <v>0</v>
          </cell>
        </row>
        <row r="4411">
          <cell r="H4411">
            <v>0</v>
          </cell>
        </row>
        <row r="4412">
          <cell r="H4412">
            <v>0</v>
          </cell>
        </row>
        <row r="4413">
          <cell r="H4413">
            <v>0</v>
          </cell>
        </row>
        <row r="4414">
          <cell r="H4414">
            <v>0</v>
          </cell>
        </row>
        <row r="4415">
          <cell r="H4415">
            <v>0</v>
          </cell>
        </row>
        <row r="4416">
          <cell r="H4416">
            <v>0</v>
          </cell>
        </row>
        <row r="4417">
          <cell r="H4417">
            <v>0</v>
          </cell>
        </row>
        <row r="4418">
          <cell r="H4418">
            <v>0</v>
          </cell>
        </row>
        <row r="4419">
          <cell r="H4419">
            <v>0</v>
          </cell>
        </row>
        <row r="4420">
          <cell r="H4420">
            <v>0</v>
          </cell>
        </row>
        <row r="4421">
          <cell r="H4421">
            <v>0</v>
          </cell>
        </row>
        <row r="4422">
          <cell r="H4422">
            <v>0</v>
          </cell>
        </row>
        <row r="4423">
          <cell r="H4423">
            <v>0</v>
          </cell>
        </row>
        <row r="4424">
          <cell r="H4424">
            <v>0</v>
          </cell>
        </row>
        <row r="4425">
          <cell r="H4425">
            <v>0</v>
          </cell>
        </row>
        <row r="4426">
          <cell r="H4426">
            <v>0</v>
          </cell>
        </row>
        <row r="4427">
          <cell r="H4427">
            <v>0</v>
          </cell>
        </row>
        <row r="4428">
          <cell r="H4428">
            <v>0</v>
          </cell>
        </row>
        <row r="4429">
          <cell r="H4429">
            <v>0</v>
          </cell>
        </row>
        <row r="4430">
          <cell r="H4430">
            <v>0</v>
          </cell>
        </row>
        <row r="4431">
          <cell r="H4431">
            <v>0</v>
          </cell>
        </row>
        <row r="4432">
          <cell r="H4432">
            <v>0</v>
          </cell>
        </row>
        <row r="4433">
          <cell r="H4433">
            <v>0</v>
          </cell>
        </row>
        <row r="4434">
          <cell r="H4434">
            <v>0</v>
          </cell>
        </row>
        <row r="4435">
          <cell r="H4435">
            <v>0</v>
          </cell>
        </row>
        <row r="4436">
          <cell r="H4436">
            <v>0</v>
          </cell>
        </row>
        <row r="4437">
          <cell r="H4437">
            <v>0</v>
          </cell>
        </row>
        <row r="4438">
          <cell r="H4438">
            <v>0</v>
          </cell>
        </row>
        <row r="4439">
          <cell r="H4439">
            <v>0</v>
          </cell>
        </row>
        <row r="4440">
          <cell r="H4440">
            <v>0</v>
          </cell>
        </row>
        <row r="4441">
          <cell r="H4441">
            <v>0</v>
          </cell>
        </row>
        <row r="4442">
          <cell r="H4442">
            <v>0</v>
          </cell>
        </row>
        <row r="4443">
          <cell r="H4443">
            <v>0</v>
          </cell>
        </row>
        <row r="4444">
          <cell r="H4444">
            <v>0</v>
          </cell>
        </row>
        <row r="4445">
          <cell r="H4445">
            <v>0</v>
          </cell>
        </row>
        <row r="4446">
          <cell r="H4446">
            <v>0</v>
          </cell>
        </row>
        <row r="4447">
          <cell r="H4447">
            <v>0</v>
          </cell>
        </row>
        <row r="4448">
          <cell r="H4448">
            <v>0</v>
          </cell>
        </row>
        <row r="4449">
          <cell r="H4449">
            <v>0</v>
          </cell>
        </row>
        <row r="4450">
          <cell r="H4450">
            <v>0</v>
          </cell>
        </row>
        <row r="4451">
          <cell r="H4451">
            <v>0</v>
          </cell>
        </row>
        <row r="4452">
          <cell r="H4452">
            <v>0</v>
          </cell>
        </row>
        <row r="4453">
          <cell r="H4453">
            <v>0</v>
          </cell>
        </row>
        <row r="4454">
          <cell r="H4454">
            <v>0</v>
          </cell>
        </row>
        <row r="4455">
          <cell r="H4455">
            <v>0</v>
          </cell>
        </row>
        <row r="4456">
          <cell r="H4456">
            <v>0</v>
          </cell>
        </row>
        <row r="4457">
          <cell r="H4457">
            <v>0</v>
          </cell>
        </row>
        <row r="4458">
          <cell r="H4458">
            <v>0</v>
          </cell>
        </row>
        <row r="4459">
          <cell r="H4459">
            <v>0</v>
          </cell>
        </row>
        <row r="4460">
          <cell r="H4460">
            <v>0</v>
          </cell>
        </row>
        <row r="4461">
          <cell r="H4461">
            <v>0</v>
          </cell>
        </row>
        <row r="4462">
          <cell r="H4462">
            <v>0</v>
          </cell>
        </row>
        <row r="4463">
          <cell r="H4463">
            <v>0</v>
          </cell>
        </row>
        <row r="4464">
          <cell r="H4464">
            <v>0</v>
          </cell>
        </row>
        <row r="4465">
          <cell r="H4465">
            <v>0</v>
          </cell>
        </row>
        <row r="4466">
          <cell r="H4466">
            <v>0</v>
          </cell>
        </row>
        <row r="4467">
          <cell r="H4467">
            <v>0</v>
          </cell>
        </row>
        <row r="4468">
          <cell r="H4468">
            <v>0</v>
          </cell>
        </row>
        <row r="4469">
          <cell r="H4469">
            <v>0</v>
          </cell>
        </row>
        <row r="4470">
          <cell r="H4470">
            <v>0</v>
          </cell>
        </row>
        <row r="4471">
          <cell r="H4471">
            <v>0</v>
          </cell>
        </row>
        <row r="4472">
          <cell r="H4472">
            <v>0</v>
          </cell>
        </row>
        <row r="4473">
          <cell r="H4473">
            <v>0</v>
          </cell>
        </row>
        <row r="4474">
          <cell r="H4474">
            <v>0</v>
          </cell>
        </row>
        <row r="4475">
          <cell r="H4475">
            <v>0</v>
          </cell>
        </row>
        <row r="4476">
          <cell r="H4476">
            <v>0</v>
          </cell>
        </row>
        <row r="4477">
          <cell r="H4477">
            <v>0</v>
          </cell>
        </row>
        <row r="4478">
          <cell r="H4478">
            <v>0</v>
          </cell>
        </row>
        <row r="4479">
          <cell r="H4479">
            <v>0</v>
          </cell>
        </row>
        <row r="4480">
          <cell r="H4480">
            <v>0</v>
          </cell>
        </row>
        <row r="4481">
          <cell r="H4481">
            <v>0</v>
          </cell>
        </row>
        <row r="4482">
          <cell r="H4482">
            <v>0</v>
          </cell>
        </row>
        <row r="4483">
          <cell r="H4483">
            <v>0</v>
          </cell>
        </row>
        <row r="4484">
          <cell r="H4484">
            <v>0</v>
          </cell>
        </row>
        <row r="4485">
          <cell r="H4485">
            <v>0</v>
          </cell>
        </row>
        <row r="4486">
          <cell r="H4486">
            <v>0</v>
          </cell>
        </row>
        <row r="4487">
          <cell r="H4487">
            <v>0</v>
          </cell>
        </row>
        <row r="4488">
          <cell r="H4488">
            <v>0</v>
          </cell>
        </row>
        <row r="4489">
          <cell r="H4489">
            <v>0</v>
          </cell>
        </row>
        <row r="4490">
          <cell r="H4490">
            <v>0</v>
          </cell>
        </row>
        <row r="4491">
          <cell r="H4491">
            <v>0</v>
          </cell>
        </row>
        <row r="4492">
          <cell r="H4492">
            <v>0</v>
          </cell>
        </row>
        <row r="4493">
          <cell r="H4493">
            <v>0</v>
          </cell>
        </row>
        <row r="4494">
          <cell r="H4494">
            <v>0</v>
          </cell>
        </row>
        <row r="4495">
          <cell r="H4495">
            <v>0</v>
          </cell>
        </row>
        <row r="4496">
          <cell r="H4496">
            <v>0</v>
          </cell>
        </row>
        <row r="4497">
          <cell r="H4497">
            <v>0</v>
          </cell>
        </row>
        <row r="4498">
          <cell r="H4498">
            <v>0</v>
          </cell>
        </row>
        <row r="4499">
          <cell r="H4499">
            <v>0</v>
          </cell>
        </row>
        <row r="4500">
          <cell r="H4500">
            <v>0</v>
          </cell>
        </row>
        <row r="4501">
          <cell r="H4501">
            <v>0</v>
          </cell>
        </row>
        <row r="4502">
          <cell r="H4502">
            <v>0</v>
          </cell>
        </row>
        <row r="4503">
          <cell r="H4503">
            <v>0</v>
          </cell>
        </row>
        <row r="4504">
          <cell r="H4504">
            <v>0</v>
          </cell>
        </row>
        <row r="4505">
          <cell r="H4505">
            <v>0</v>
          </cell>
        </row>
        <row r="4506">
          <cell r="H4506">
            <v>0</v>
          </cell>
        </row>
        <row r="4507">
          <cell r="H4507">
            <v>0</v>
          </cell>
        </row>
        <row r="4508">
          <cell r="H4508">
            <v>0</v>
          </cell>
        </row>
        <row r="4509">
          <cell r="H4509">
            <v>0</v>
          </cell>
        </row>
        <row r="4510">
          <cell r="H4510">
            <v>0</v>
          </cell>
        </row>
        <row r="4511">
          <cell r="H4511">
            <v>0</v>
          </cell>
        </row>
        <row r="4512">
          <cell r="H4512">
            <v>0</v>
          </cell>
        </row>
        <row r="4513">
          <cell r="H4513">
            <v>0</v>
          </cell>
        </row>
        <row r="4514">
          <cell r="H4514">
            <v>0</v>
          </cell>
        </row>
        <row r="4515">
          <cell r="H4515">
            <v>0</v>
          </cell>
        </row>
        <row r="4516">
          <cell r="H4516">
            <v>0</v>
          </cell>
        </row>
        <row r="4517">
          <cell r="H4517">
            <v>0</v>
          </cell>
        </row>
        <row r="4518">
          <cell r="H4518">
            <v>0</v>
          </cell>
        </row>
        <row r="4519">
          <cell r="H4519">
            <v>0</v>
          </cell>
        </row>
        <row r="4520">
          <cell r="H4520">
            <v>0</v>
          </cell>
        </row>
        <row r="4521">
          <cell r="H4521">
            <v>0</v>
          </cell>
        </row>
        <row r="4522">
          <cell r="H4522">
            <v>0</v>
          </cell>
        </row>
        <row r="4523">
          <cell r="H4523">
            <v>0</v>
          </cell>
        </row>
        <row r="4524">
          <cell r="H4524">
            <v>0</v>
          </cell>
        </row>
        <row r="4525">
          <cell r="H4525">
            <v>0</v>
          </cell>
        </row>
        <row r="4526">
          <cell r="H4526">
            <v>0</v>
          </cell>
        </row>
        <row r="4527">
          <cell r="H4527">
            <v>0</v>
          </cell>
        </row>
        <row r="4528">
          <cell r="H4528">
            <v>0</v>
          </cell>
        </row>
        <row r="4529">
          <cell r="H4529">
            <v>0</v>
          </cell>
        </row>
        <row r="4530">
          <cell r="H4530">
            <v>0</v>
          </cell>
        </row>
        <row r="4531">
          <cell r="H4531">
            <v>0</v>
          </cell>
        </row>
        <row r="4532">
          <cell r="H4532">
            <v>0</v>
          </cell>
        </row>
        <row r="4533">
          <cell r="H4533">
            <v>0</v>
          </cell>
        </row>
        <row r="4534">
          <cell r="H4534">
            <v>0</v>
          </cell>
        </row>
        <row r="4535">
          <cell r="H4535">
            <v>0</v>
          </cell>
        </row>
        <row r="4536">
          <cell r="H4536">
            <v>0</v>
          </cell>
        </row>
        <row r="4537">
          <cell r="H4537">
            <v>0</v>
          </cell>
        </row>
        <row r="4538">
          <cell r="H4538">
            <v>0</v>
          </cell>
        </row>
        <row r="4539">
          <cell r="H4539">
            <v>0</v>
          </cell>
        </row>
        <row r="4540">
          <cell r="H4540">
            <v>0</v>
          </cell>
        </row>
        <row r="4541">
          <cell r="H4541">
            <v>0</v>
          </cell>
        </row>
        <row r="4542">
          <cell r="H4542">
            <v>0</v>
          </cell>
        </row>
        <row r="4543">
          <cell r="H4543">
            <v>0</v>
          </cell>
        </row>
        <row r="4544">
          <cell r="H4544">
            <v>0</v>
          </cell>
        </row>
        <row r="4545">
          <cell r="H4545">
            <v>0</v>
          </cell>
        </row>
        <row r="4546">
          <cell r="H4546">
            <v>0</v>
          </cell>
        </row>
        <row r="4547">
          <cell r="H4547">
            <v>0</v>
          </cell>
        </row>
        <row r="4548">
          <cell r="H4548">
            <v>0</v>
          </cell>
        </row>
        <row r="4549">
          <cell r="H4549">
            <v>0</v>
          </cell>
        </row>
        <row r="4550">
          <cell r="H4550">
            <v>0</v>
          </cell>
        </row>
        <row r="4551">
          <cell r="H4551">
            <v>0</v>
          </cell>
        </row>
        <row r="4552">
          <cell r="H4552">
            <v>0</v>
          </cell>
        </row>
        <row r="4553">
          <cell r="H4553">
            <v>0</v>
          </cell>
        </row>
        <row r="4554">
          <cell r="H4554">
            <v>0</v>
          </cell>
        </row>
        <row r="4555">
          <cell r="H4555">
            <v>0</v>
          </cell>
        </row>
        <row r="4556">
          <cell r="H4556">
            <v>0</v>
          </cell>
        </row>
        <row r="4557">
          <cell r="H4557">
            <v>0</v>
          </cell>
        </row>
        <row r="4558">
          <cell r="H4558">
            <v>0</v>
          </cell>
        </row>
        <row r="4559">
          <cell r="H4559">
            <v>0</v>
          </cell>
        </row>
        <row r="4560">
          <cell r="H4560">
            <v>0</v>
          </cell>
        </row>
        <row r="4561">
          <cell r="H4561">
            <v>0</v>
          </cell>
        </row>
        <row r="4562">
          <cell r="H4562">
            <v>0</v>
          </cell>
        </row>
        <row r="4563">
          <cell r="H4563">
            <v>0</v>
          </cell>
        </row>
        <row r="4564">
          <cell r="H4564">
            <v>0</v>
          </cell>
        </row>
        <row r="4565">
          <cell r="H4565">
            <v>0</v>
          </cell>
        </row>
        <row r="4566">
          <cell r="H4566">
            <v>0</v>
          </cell>
        </row>
        <row r="4567">
          <cell r="H4567">
            <v>0</v>
          </cell>
        </row>
        <row r="4568">
          <cell r="H4568">
            <v>0</v>
          </cell>
        </row>
        <row r="4569">
          <cell r="H4569">
            <v>0</v>
          </cell>
        </row>
        <row r="4570">
          <cell r="H4570">
            <v>0</v>
          </cell>
        </row>
        <row r="4571">
          <cell r="H4571">
            <v>0</v>
          </cell>
        </row>
        <row r="4572">
          <cell r="H4572">
            <v>0</v>
          </cell>
        </row>
        <row r="4573">
          <cell r="H4573">
            <v>0</v>
          </cell>
        </row>
        <row r="4574">
          <cell r="H4574">
            <v>0</v>
          </cell>
        </row>
        <row r="4575">
          <cell r="H4575">
            <v>0</v>
          </cell>
        </row>
        <row r="4576">
          <cell r="H4576">
            <v>0</v>
          </cell>
        </row>
        <row r="4577">
          <cell r="H4577">
            <v>0</v>
          </cell>
        </row>
        <row r="4578">
          <cell r="H4578">
            <v>0</v>
          </cell>
        </row>
        <row r="4579">
          <cell r="H4579">
            <v>0</v>
          </cell>
        </row>
        <row r="4580">
          <cell r="H4580">
            <v>0</v>
          </cell>
        </row>
        <row r="4581">
          <cell r="H4581">
            <v>0</v>
          </cell>
        </row>
        <row r="4582">
          <cell r="H4582">
            <v>0</v>
          </cell>
        </row>
        <row r="4583">
          <cell r="H4583">
            <v>0</v>
          </cell>
        </row>
        <row r="4584">
          <cell r="H4584">
            <v>0</v>
          </cell>
        </row>
        <row r="4585">
          <cell r="H4585">
            <v>0</v>
          </cell>
        </row>
        <row r="4586">
          <cell r="H4586">
            <v>0</v>
          </cell>
        </row>
        <row r="4587">
          <cell r="H4587">
            <v>0</v>
          </cell>
        </row>
        <row r="4588">
          <cell r="H4588">
            <v>0</v>
          </cell>
        </row>
        <row r="4589">
          <cell r="H4589">
            <v>0</v>
          </cell>
        </row>
        <row r="4590">
          <cell r="H4590">
            <v>0</v>
          </cell>
        </row>
        <row r="4591">
          <cell r="H4591">
            <v>0</v>
          </cell>
        </row>
        <row r="4592">
          <cell r="H4592">
            <v>0</v>
          </cell>
        </row>
        <row r="4593">
          <cell r="H4593">
            <v>0</v>
          </cell>
        </row>
        <row r="4594">
          <cell r="H4594">
            <v>0</v>
          </cell>
        </row>
        <row r="4595">
          <cell r="H4595">
            <v>0</v>
          </cell>
        </row>
        <row r="4596">
          <cell r="H4596">
            <v>0</v>
          </cell>
        </row>
        <row r="4597">
          <cell r="H4597">
            <v>0</v>
          </cell>
        </row>
        <row r="4598">
          <cell r="H4598">
            <v>0</v>
          </cell>
        </row>
        <row r="4599">
          <cell r="H4599">
            <v>0</v>
          </cell>
        </row>
        <row r="4600">
          <cell r="H4600">
            <v>0</v>
          </cell>
        </row>
        <row r="4601">
          <cell r="H4601">
            <v>0</v>
          </cell>
        </row>
        <row r="4602">
          <cell r="H4602">
            <v>0</v>
          </cell>
        </row>
        <row r="4603">
          <cell r="H4603">
            <v>0</v>
          </cell>
        </row>
        <row r="4604">
          <cell r="H4604">
            <v>0</v>
          </cell>
        </row>
        <row r="4605">
          <cell r="H4605">
            <v>0</v>
          </cell>
        </row>
        <row r="4606">
          <cell r="H4606">
            <v>0</v>
          </cell>
        </row>
        <row r="4607">
          <cell r="H4607">
            <v>0</v>
          </cell>
        </row>
        <row r="4608">
          <cell r="H4608">
            <v>0</v>
          </cell>
        </row>
        <row r="4609">
          <cell r="H4609">
            <v>0</v>
          </cell>
        </row>
        <row r="4610">
          <cell r="H4610">
            <v>0</v>
          </cell>
        </row>
        <row r="4611">
          <cell r="H4611">
            <v>0</v>
          </cell>
        </row>
        <row r="4612">
          <cell r="H4612">
            <v>0</v>
          </cell>
        </row>
        <row r="4613">
          <cell r="H4613">
            <v>0</v>
          </cell>
        </row>
        <row r="4614">
          <cell r="H4614">
            <v>0</v>
          </cell>
        </row>
        <row r="4615">
          <cell r="H4615">
            <v>0</v>
          </cell>
        </row>
        <row r="4616">
          <cell r="H4616">
            <v>0</v>
          </cell>
        </row>
        <row r="4617">
          <cell r="H4617">
            <v>0</v>
          </cell>
        </row>
        <row r="4618">
          <cell r="H4618">
            <v>0</v>
          </cell>
        </row>
        <row r="4619">
          <cell r="H4619">
            <v>0</v>
          </cell>
        </row>
        <row r="4620">
          <cell r="H4620">
            <v>0</v>
          </cell>
        </row>
        <row r="4621">
          <cell r="H4621">
            <v>0</v>
          </cell>
        </row>
        <row r="4622">
          <cell r="H4622">
            <v>0</v>
          </cell>
        </row>
        <row r="4623">
          <cell r="H4623">
            <v>0</v>
          </cell>
        </row>
        <row r="4624">
          <cell r="H4624">
            <v>0</v>
          </cell>
        </row>
        <row r="4625">
          <cell r="H4625">
            <v>0</v>
          </cell>
        </row>
        <row r="4626">
          <cell r="H4626">
            <v>0</v>
          </cell>
        </row>
        <row r="4627">
          <cell r="H4627">
            <v>0</v>
          </cell>
        </row>
        <row r="4628">
          <cell r="H4628">
            <v>0</v>
          </cell>
        </row>
        <row r="4629">
          <cell r="H4629">
            <v>0</v>
          </cell>
        </row>
        <row r="4630">
          <cell r="H4630">
            <v>0</v>
          </cell>
        </row>
        <row r="4631">
          <cell r="H4631">
            <v>0</v>
          </cell>
        </row>
        <row r="4632">
          <cell r="H4632">
            <v>0</v>
          </cell>
        </row>
        <row r="4633">
          <cell r="H4633">
            <v>0</v>
          </cell>
        </row>
        <row r="4634">
          <cell r="H4634">
            <v>0</v>
          </cell>
        </row>
        <row r="4635">
          <cell r="H4635">
            <v>0</v>
          </cell>
        </row>
        <row r="4636">
          <cell r="H4636">
            <v>0</v>
          </cell>
        </row>
        <row r="4637">
          <cell r="H4637">
            <v>0</v>
          </cell>
        </row>
        <row r="4638">
          <cell r="H4638">
            <v>0</v>
          </cell>
        </row>
        <row r="4639">
          <cell r="H4639">
            <v>0</v>
          </cell>
        </row>
        <row r="4640">
          <cell r="H4640">
            <v>0</v>
          </cell>
        </row>
        <row r="4641">
          <cell r="H4641">
            <v>0</v>
          </cell>
        </row>
        <row r="4642">
          <cell r="H4642">
            <v>0</v>
          </cell>
        </row>
        <row r="4643">
          <cell r="H4643">
            <v>0</v>
          </cell>
        </row>
        <row r="4644">
          <cell r="H4644">
            <v>0</v>
          </cell>
        </row>
        <row r="4645">
          <cell r="H4645">
            <v>0</v>
          </cell>
        </row>
        <row r="4646">
          <cell r="H4646">
            <v>0</v>
          </cell>
        </row>
        <row r="4647">
          <cell r="H4647">
            <v>0</v>
          </cell>
        </row>
        <row r="4648">
          <cell r="H4648">
            <v>0</v>
          </cell>
        </row>
        <row r="4649">
          <cell r="H4649">
            <v>0</v>
          </cell>
        </row>
        <row r="4650">
          <cell r="H4650">
            <v>0</v>
          </cell>
        </row>
        <row r="4651">
          <cell r="H4651">
            <v>0</v>
          </cell>
        </row>
        <row r="4652">
          <cell r="H4652">
            <v>0</v>
          </cell>
        </row>
        <row r="4653">
          <cell r="H4653">
            <v>0</v>
          </cell>
        </row>
        <row r="4654">
          <cell r="H4654">
            <v>0</v>
          </cell>
        </row>
        <row r="4655">
          <cell r="H4655">
            <v>0</v>
          </cell>
        </row>
        <row r="4656">
          <cell r="H4656">
            <v>0</v>
          </cell>
        </row>
        <row r="4657">
          <cell r="H4657">
            <v>0</v>
          </cell>
        </row>
        <row r="4658">
          <cell r="H4658">
            <v>0</v>
          </cell>
        </row>
        <row r="4659">
          <cell r="H4659">
            <v>0</v>
          </cell>
        </row>
        <row r="4660">
          <cell r="H4660">
            <v>0</v>
          </cell>
        </row>
        <row r="4661">
          <cell r="H4661">
            <v>0</v>
          </cell>
        </row>
        <row r="4662">
          <cell r="H4662">
            <v>0</v>
          </cell>
        </row>
        <row r="4663">
          <cell r="H4663">
            <v>0</v>
          </cell>
        </row>
        <row r="4664">
          <cell r="H4664">
            <v>0</v>
          </cell>
        </row>
        <row r="4665">
          <cell r="H4665">
            <v>0</v>
          </cell>
        </row>
        <row r="4666">
          <cell r="H4666">
            <v>0</v>
          </cell>
        </row>
        <row r="4667">
          <cell r="H4667">
            <v>0</v>
          </cell>
        </row>
        <row r="4668">
          <cell r="H4668">
            <v>0</v>
          </cell>
        </row>
        <row r="4669">
          <cell r="H4669">
            <v>0</v>
          </cell>
        </row>
        <row r="4670">
          <cell r="H4670">
            <v>0</v>
          </cell>
        </row>
        <row r="4671">
          <cell r="H4671">
            <v>0</v>
          </cell>
        </row>
        <row r="4672">
          <cell r="H4672">
            <v>0</v>
          </cell>
        </row>
        <row r="4673">
          <cell r="H4673">
            <v>0</v>
          </cell>
        </row>
        <row r="4674">
          <cell r="H4674">
            <v>0</v>
          </cell>
        </row>
        <row r="4675">
          <cell r="H4675">
            <v>0</v>
          </cell>
        </row>
        <row r="4676">
          <cell r="H4676">
            <v>0</v>
          </cell>
        </row>
        <row r="4677">
          <cell r="H4677">
            <v>0</v>
          </cell>
        </row>
        <row r="4678">
          <cell r="H4678">
            <v>0</v>
          </cell>
        </row>
        <row r="4679">
          <cell r="H4679">
            <v>0</v>
          </cell>
        </row>
        <row r="4680">
          <cell r="H4680">
            <v>0</v>
          </cell>
        </row>
        <row r="4681">
          <cell r="H4681">
            <v>0</v>
          </cell>
        </row>
        <row r="4682">
          <cell r="H4682">
            <v>0</v>
          </cell>
        </row>
        <row r="4683">
          <cell r="H4683">
            <v>0</v>
          </cell>
        </row>
        <row r="4684">
          <cell r="H4684">
            <v>0</v>
          </cell>
        </row>
        <row r="4685">
          <cell r="H4685">
            <v>0</v>
          </cell>
        </row>
        <row r="4686">
          <cell r="H4686">
            <v>0</v>
          </cell>
        </row>
        <row r="4687">
          <cell r="H4687">
            <v>0</v>
          </cell>
        </row>
        <row r="4688">
          <cell r="H4688">
            <v>0</v>
          </cell>
        </row>
        <row r="4689">
          <cell r="H4689">
            <v>0</v>
          </cell>
        </row>
        <row r="4690">
          <cell r="H4690">
            <v>0</v>
          </cell>
        </row>
        <row r="4691">
          <cell r="H4691">
            <v>0</v>
          </cell>
        </row>
        <row r="4692">
          <cell r="H4692">
            <v>0</v>
          </cell>
        </row>
        <row r="4693">
          <cell r="H4693">
            <v>0</v>
          </cell>
        </row>
        <row r="4694">
          <cell r="H4694">
            <v>0</v>
          </cell>
        </row>
        <row r="4695">
          <cell r="H4695">
            <v>0</v>
          </cell>
        </row>
        <row r="4696">
          <cell r="H4696">
            <v>0</v>
          </cell>
        </row>
        <row r="4697">
          <cell r="H4697">
            <v>0</v>
          </cell>
        </row>
        <row r="4698">
          <cell r="H4698">
            <v>0</v>
          </cell>
        </row>
        <row r="4699">
          <cell r="H4699">
            <v>0</v>
          </cell>
        </row>
        <row r="4700">
          <cell r="H4700">
            <v>0</v>
          </cell>
        </row>
        <row r="4701">
          <cell r="H4701">
            <v>0</v>
          </cell>
        </row>
        <row r="4702">
          <cell r="H4702">
            <v>0</v>
          </cell>
        </row>
        <row r="4703">
          <cell r="H4703">
            <v>0</v>
          </cell>
        </row>
        <row r="4704">
          <cell r="H4704">
            <v>0</v>
          </cell>
        </row>
        <row r="4705">
          <cell r="H4705">
            <v>0</v>
          </cell>
        </row>
        <row r="4706">
          <cell r="H4706">
            <v>0</v>
          </cell>
        </row>
        <row r="4707">
          <cell r="H4707">
            <v>0</v>
          </cell>
        </row>
        <row r="4708">
          <cell r="H4708">
            <v>0</v>
          </cell>
        </row>
        <row r="4709">
          <cell r="H4709">
            <v>0</v>
          </cell>
        </row>
        <row r="4710">
          <cell r="H4710">
            <v>0</v>
          </cell>
        </row>
        <row r="4711">
          <cell r="H4711">
            <v>0</v>
          </cell>
        </row>
        <row r="4712">
          <cell r="H4712">
            <v>0</v>
          </cell>
        </row>
        <row r="4713">
          <cell r="H4713">
            <v>0</v>
          </cell>
        </row>
        <row r="4714">
          <cell r="H4714">
            <v>0</v>
          </cell>
        </row>
        <row r="4715">
          <cell r="H4715">
            <v>0</v>
          </cell>
        </row>
        <row r="4716">
          <cell r="H4716">
            <v>0</v>
          </cell>
        </row>
        <row r="4717">
          <cell r="H4717">
            <v>0</v>
          </cell>
        </row>
        <row r="4718">
          <cell r="H4718">
            <v>0</v>
          </cell>
        </row>
        <row r="4719">
          <cell r="H4719">
            <v>0</v>
          </cell>
        </row>
        <row r="4720">
          <cell r="H4720">
            <v>0</v>
          </cell>
        </row>
        <row r="4721">
          <cell r="H4721">
            <v>0</v>
          </cell>
        </row>
        <row r="4722">
          <cell r="H4722">
            <v>0</v>
          </cell>
        </row>
        <row r="4723">
          <cell r="H4723">
            <v>0</v>
          </cell>
        </row>
        <row r="4724">
          <cell r="H4724">
            <v>0</v>
          </cell>
        </row>
        <row r="4725">
          <cell r="H4725">
            <v>0</v>
          </cell>
        </row>
        <row r="4726">
          <cell r="H4726">
            <v>0</v>
          </cell>
        </row>
        <row r="4727">
          <cell r="H4727">
            <v>0</v>
          </cell>
        </row>
        <row r="4728">
          <cell r="H4728">
            <v>0</v>
          </cell>
        </row>
        <row r="4729">
          <cell r="H4729">
            <v>0</v>
          </cell>
        </row>
        <row r="4730">
          <cell r="H4730">
            <v>0</v>
          </cell>
        </row>
        <row r="4731">
          <cell r="H4731">
            <v>0</v>
          </cell>
        </row>
        <row r="4732">
          <cell r="H4732">
            <v>0</v>
          </cell>
        </row>
        <row r="4733">
          <cell r="H4733">
            <v>0</v>
          </cell>
        </row>
        <row r="4734">
          <cell r="H4734">
            <v>0</v>
          </cell>
        </row>
        <row r="4735">
          <cell r="H4735">
            <v>0</v>
          </cell>
        </row>
        <row r="4736">
          <cell r="H4736">
            <v>0</v>
          </cell>
        </row>
        <row r="4737">
          <cell r="H4737">
            <v>0</v>
          </cell>
        </row>
        <row r="4738">
          <cell r="H4738">
            <v>0</v>
          </cell>
        </row>
        <row r="4739">
          <cell r="H4739">
            <v>0</v>
          </cell>
        </row>
        <row r="4740">
          <cell r="H4740">
            <v>0</v>
          </cell>
        </row>
        <row r="4741">
          <cell r="H4741">
            <v>0</v>
          </cell>
        </row>
        <row r="4742">
          <cell r="H4742">
            <v>0</v>
          </cell>
        </row>
        <row r="4743">
          <cell r="H4743">
            <v>0</v>
          </cell>
        </row>
        <row r="4744">
          <cell r="H4744">
            <v>0</v>
          </cell>
        </row>
        <row r="4745">
          <cell r="H4745">
            <v>0</v>
          </cell>
        </row>
        <row r="4746">
          <cell r="H4746">
            <v>0</v>
          </cell>
        </row>
        <row r="4747">
          <cell r="H4747">
            <v>0</v>
          </cell>
        </row>
        <row r="4748">
          <cell r="H4748">
            <v>0</v>
          </cell>
        </row>
        <row r="4749">
          <cell r="H4749">
            <v>0</v>
          </cell>
        </row>
        <row r="4750">
          <cell r="H4750">
            <v>0</v>
          </cell>
        </row>
        <row r="4751">
          <cell r="H4751">
            <v>0</v>
          </cell>
        </row>
        <row r="4752">
          <cell r="H4752">
            <v>0</v>
          </cell>
        </row>
        <row r="4753">
          <cell r="H4753">
            <v>0</v>
          </cell>
        </row>
        <row r="4754">
          <cell r="H4754">
            <v>0</v>
          </cell>
        </row>
        <row r="4755">
          <cell r="H4755">
            <v>0</v>
          </cell>
        </row>
        <row r="4756">
          <cell r="H4756">
            <v>0</v>
          </cell>
        </row>
        <row r="4757">
          <cell r="H4757">
            <v>0</v>
          </cell>
        </row>
        <row r="4758">
          <cell r="H4758">
            <v>0</v>
          </cell>
        </row>
        <row r="4759">
          <cell r="H4759">
            <v>0</v>
          </cell>
        </row>
        <row r="4760">
          <cell r="H4760">
            <v>0</v>
          </cell>
        </row>
        <row r="4761">
          <cell r="H4761">
            <v>0</v>
          </cell>
        </row>
        <row r="4762">
          <cell r="H4762">
            <v>0</v>
          </cell>
        </row>
        <row r="4763">
          <cell r="H4763">
            <v>0</v>
          </cell>
        </row>
        <row r="4764">
          <cell r="H4764">
            <v>0</v>
          </cell>
        </row>
        <row r="4765">
          <cell r="H4765">
            <v>0</v>
          </cell>
        </row>
        <row r="4766">
          <cell r="H4766">
            <v>0</v>
          </cell>
        </row>
        <row r="4767">
          <cell r="H4767">
            <v>0</v>
          </cell>
        </row>
        <row r="4768">
          <cell r="H4768">
            <v>0</v>
          </cell>
        </row>
        <row r="4769">
          <cell r="H4769">
            <v>0</v>
          </cell>
        </row>
        <row r="4770">
          <cell r="H4770">
            <v>0</v>
          </cell>
        </row>
        <row r="4771">
          <cell r="H4771">
            <v>0</v>
          </cell>
        </row>
        <row r="4772">
          <cell r="H4772">
            <v>0</v>
          </cell>
        </row>
        <row r="4773">
          <cell r="H4773">
            <v>0</v>
          </cell>
        </row>
        <row r="4774">
          <cell r="H4774">
            <v>0</v>
          </cell>
        </row>
        <row r="4775">
          <cell r="H4775">
            <v>0</v>
          </cell>
        </row>
        <row r="4776">
          <cell r="H4776">
            <v>0</v>
          </cell>
        </row>
        <row r="4777">
          <cell r="H4777">
            <v>0</v>
          </cell>
        </row>
        <row r="4778">
          <cell r="H4778">
            <v>0</v>
          </cell>
        </row>
        <row r="4779">
          <cell r="H4779">
            <v>0</v>
          </cell>
        </row>
        <row r="4780">
          <cell r="H4780">
            <v>0</v>
          </cell>
        </row>
        <row r="4781">
          <cell r="H4781">
            <v>0</v>
          </cell>
        </row>
        <row r="4782">
          <cell r="H4782">
            <v>0</v>
          </cell>
        </row>
        <row r="4783">
          <cell r="H4783">
            <v>0</v>
          </cell>
        </row>
        <row r="4784">
          <cell r="H4784">
            <v>0</v>
          </cell>
        </row>
        <row r="4785">
          <cell r="H4785">
            <v>0</v>
          </cell>
        </row>
        <row r="4786">
          <cell r="H4786">
            <v>0</v>
          </cell>
        </row>
        <row r="4787">
          <cell r="H4787">
            <v>0</v>
          </cell>
        </row>
        <row r="4788">
          <cell r="H4788">
            <v>0</v>
          </cell>
        </row>
        <row r="4789">
          <cell r="H4789">
            <v>0</v>
          </cell>
        </row>
        <row r="4790">
          <cell r="H4790">
            <v>0</v>
          </cell>
        </row>
        <row r="4791">
          <cell r="H4791">
            <v>0</v>
          </cell>
        </row>
        <row r="4792">
          <cell r="H4792">
            <v>0</v>
          </cell>
        </row>
        <row r="4793">
          <cell r="H4793">
            <v>0</v>
          </cell>
        </row>
        <row r="4794">
          <cell r="H4794">
            <v>0</v>
          </cell>
        </row>
        <row r="4795">
          <cell r="H4795">
            <v>0</v>
          </cell>
        </row>
        <row r="4796">
          <cell r="H4796">
            <v>0</v>
          </cell>
        </row>
        <row r="4797">
          <cell r="H4797">
            <v>0</v>
          </cell>
        </row>
        <row r="4798">
          <cell r="H4798">
            <v>0</v>
          </cell>
        </row>
        <row r="4799">
          <cell r="H4799">
            <v>0</v>
          </cell>
        </row>
        <row r="4800">
          <cell r="H4800">
            <v>0</v>
          </cell>
        </row>
        <row r="4801">
          <cell r="H4801">
            <v>0</v>
          </cell>
        </row>
        <row r="4802">
          <cell r="H4802">
            <v>0</v>
          </cell>
        </row>
        <row r="4803">
          <cell r="H4803">
            <v>0</v>
          </cell>
        </row>
        <row r="4804">
          <cell r="H4804">
            <v>0</v>
          </cell>
        </row>
        <row r="4805">
          <cell r="H4805">
            <v>0</v>
          </cell>
        </row>
        <row r="4806">
          <cell r="H4806">
            <v>0</v>
          </cell>
        </row>
        <row r="4807">
          <cell r="H4807">
            <v>0</v>
          </cell>
        </row>
        <row r="4808">
          <cell r="H4808">
            <v>0</v>
          </cell>
        </row>
        <row r="4809">
          <cell r="H4809">
            <v>0</v>
          </cell>
        </row>
        <row r="4810">
          <cell r="H4810">
            <v>0</v>
          </cell>
        </row>
        <row r="4811">
          <cell r="H4811">
            <v>0</v>
          </cell>
        </row>
        <row r="4812">
          <cell r="H4812">
            <v>0</v>
          </cell>
        </row>
        <row r="4813">
          <cell r="H4813">
            <v>0</v>
          </cell>
        </row>
        <row r="4814">
          <cell r="H4814">
            <v>0</v>
          </cell>
        </row>
        <row r="4815">
          <cell r="H4815">
            <v>0</v>
          </cell>
        </row>
        <row r="4816">
          <cell r="H4816">
            <v>0</v>
          </cell>
        </row>
        <row r="4817">
          <cell r="H4817">
            <v>0</v>
          </cell>
        </row>
        <row r="4818">
          <cell r="H4818">
            <v>0</v>
          </cell>
        </row>
        <row r="4819">
          <cell r="H4819">
            <v>0</v>
          </cell>
        </row>
        <row r="4820">
          <cell r="H4820">
            <v>0</v>
          </cell>
        </row>
        <row r="4821">
          <cell r="H4821">
            <v>0</v>
          </cell>
        </row>
        <row r="4822">
          <cell r="H4822">
            <v>0</v>
          </cell>
        </row>
        <row r="4823">
          <cell r="H4823">
            <v>0</v>
          </cell>
        </row>
        <row r="4824">
          <cell r="H4824">
            <v>0</v>
          </cell>
        </row>
        <row r="4825">
          <cell r="H4825">
            <v>0</v>
          </cell>
        </row>
        <row r="4826">
          <cell r="H4826">
            <v>0</v>
          </cell>
        </row>
        <row r="4827">
          <cell r="H4827">
            <v>0</v>
          </cell>
        </row>
        <row r="4828">
          <cell r="H4828">
            <v>0</v>
          </cell>
        </row>
        <row r="4829">
          <cell r="H4829">
            <v>0</v>
          </cell>
        </row>
        <row r="4830">
          <cell r="H4830">
            <v>0</v>
          </cell>
        </row>
        <row r="4831">
          <cell r="H4831">
            <v>0</v>
          </cell>
        </row>
        <row r="4832">
          <cell r="H4832">
            <v>0</v>
          </cell>
        </row>
        <row r="4833">
          <cell r="H4833">
            <v>0</v>
          </cell>
        </row>
        <row r="4834">
          <cell r="H4834">
            <v>0</v>
          </cell>
        </row>
        <row r="4835">
          <cell r="H4835">
            <v>0</v>
          </cell>
        </row>
        <row r="4836">
          <cell r="H4836">
            <v>0</v>
          </cell>
        </row>
        <row r="4837">
          <cell r="H4837">
            <v>0</v>
          </cell>
        </row>
        <row r="4838">
          <cell r="H4838">
            <v>0</v>
          </cell>
        </row>
        <row r="4839">
          <cell r="H4839">
            <v>0</v>
          </cell>
        </row>
        <row r="4840">
          <cell r="H4840">
            <v>0</v>
          </cell>
        </row>
        <row r="4841">
          <cell r="H4841">
            <v>0</v>
          </cell>
        </row>
        <row r="4842">
          <cell r="H4842">
            <v>0</v>
          </cell>
        </row>
        <row r="4843">
          <cell r="H4843">
            <v>0</v>
          </cell>
        </row>
        <row r="4844">
          <cell r="H4844">
            <v>0</v>
          </cell>
        </row>
        <row r="4845">
          <cell r="H4845">
            <v>0</v>
          </cell>
        </row>
        <row r="4846">
          <cell r="H4846">
            <v>0</v>
          </cell>
        </row>
        <row r="4847">
          <cell r="H4847">
            <v>0</v>
          </cell>
        </row>
        <row r="4848">
          <cell r="H4848">
            <v>0</v>
          </cell>
        </row>
        <row r="4849">
          <cell r="H4849">
            <v>0</v>
          </cell>
        </row>
        <row r="4850">
          <cell r="H4850">
            <v>0</v>
          </cell>
        </row>
        <row r="4851">
          <cell r="H4851">
            <v>0</v>
          </cell>
        </row>
        <row r="4852">
          <cell r="H4852">
            <v>0</v>
          </cell>
        </row>
        <row r="4853">
          <cell r="H4853">
            <v>0</v>
          </cell>
        </row>
        <row r="4854">
          <cell r="H4854">
            <v>0</v>
          </cell>
        </row>
        <row r="4855">
          <cell r="H4855">
            <v>0</v>
          </cell>
        </row>
        <row r="4856">
          <cell r="H4856">
            <v>0</v>
          </cell>
        </row>
        <row r="4857">
          <cell r="H4857">
            <v>0</v>
          </cell>
        </row>
        <row r="4858">
          <cell r="H4858">
            <v>0</v>
          </cell>
        </row>
        <row r="4859">
          <cell r="H4859">
            <v>0</v>
          </cell>
        </row>
        <row r="4860">
          <cell r="H4860">
            <v>0</v>
          </cell>
        </row>
        <row r="4861">
          <cell r="H4861">
            <v>0</v>
          </cell>
        </row>
        <row r="4862">
          <cell r="H4862">
            <v>0</v>
          </cell>
        </row>
        <row r="4863">
          <cell r="H4863">
            <v>0</v>
          </cell>
        </row>
        <row r="4864">
          <cell r="H4864">
            <v>0</v>
          </cell>
        </row>
        <row r="4865">
          <cell r="H4865">
            <v>0</v>
          </cell>
        </row>
        <row r="4866">
          <cell r="H4866">
            <v>0</v>
          </cell>
        </row>
        <row r="4867">
          <cell r="H4867">
            <v>0</v>
          </cell>
        </row>
        <row r="4868">
          <cell r="H4868">
            <v>0</v>
          </cell>
        </row>
        <row r="4869">
          <cell r="H4869">
            <v>0</v>
          </cell>
        </row>
        <row r="4870">
          <cell r="H4870">
            <v>0</v>
          </cell>
        </row>
        <row r="4871">
          <cell r="H4871">
            <v>0</v>
          </cell>
        </row>
        <row r="4872">
          <cell r="H4872">
            <v>0</v>
          </cell>
        </row>
        <row r="4873">
          <cell r="H4873">
            <v>0</v>
          </cell>
        </row>
        <row r="4874">
          <cell r="H4874">
            <v>0</v>
          </cell>
        </row>
        <row r="4875">
          <cell r="H4875">
            <v>0</v>
          </cell>
        </row>
        <row r="4876">
          <cell r="H4876">
            <v>0</v>
          </cell>
        </row>
        <row r="4877">
          <cell r="H4877">
            <v>0</v>
          </cell>
        </row>
        <row r="4878">
          <cell r="H4878">
            <v>0</v>
          </cell>
        </row>
        <row r="4879">
          <cell r="H4879">
            <v>0</v>
          </cell>
        </row>
        <row r="4880">
          <cell r="H4880">
            <v>0</v>
          </cell>
        </row>
        <row r="4881">
          <cell r="H4881">
            <v>0</v>
          </cell>
        </row>
        <row r="4882">
          <cell r="H4882">
            <v>0</v>
          </cell>
        </row>
        <row r="4883">
          <cell r="H4883">
            <v>0</v>
          </cell>
        </row>
        <row r="4884">
          <cell r="H4884">
            <v>0</v>
          </cell>
        </row>
        <row r="4885">
          <cell r="H4885">
            <v>0</v>
          </cell>
        </row>
        <row r="4886">
          <cell r="H4886">
            <v>0</v>
          </cell>
        </row>
        <row r="4887">
          <cell r="H4887">
            <v>0</v>
          </cell>
        </row>
        <row r="4888">
          <cell r="H4888">
            <v>0</v>
          </cell>
        </row>
        <row r="4889">
          <cell r="H4889">
            <v>0</v>
          </cell>
        </row>
        <row r="4890">
          <cell r="H4890">
            <v>0</v>
          </cell>
        </row>
        <row r="4891">
          <cell r="H4891">
            <v>0</v>
          </cell>
        </row>
        <row r="4892">
          <cell r="H4892">
            <v>0</v>
          </cell>
        </row>
        <row r="4893">
          <cell r="H4893">
            <v>0</v>
          </cell>
        </row>
        <row r="4894">
          <cell r="H4894">
            <v>0</v>
          </cell>
        </row>
        <row r="4895">
          <cell r="H4895">
            <v>0</v>
          </cell>
        </row>
        <row r="4896">
          <cell r="H4896">
            <v>0</v>
          </cell>
        </row>
        <row r="4897">
          <cell r="H4897">
            <v>0</v>
          </cell>
        </row>
        <row r="4898">
          <cell r="H4898">
            <v>0</v>
          </cell>
        </row>
        <row r="4899">
          <cell r="H4899">
            <v>0</v>
          </cell>
        </row>
        <row r="4900">
          <cell r="H4900">
            <v>0</v>
          </cell>
        </row>
        <row r="4901">
          <cell r="H4901">
            <v>0</v>
          </cell>
        </row>
        <row r="4902">
          <cell r="H4902">
            <v>0</v>
          </cell>
        </row>
        <row r="4903">
          <cell r="H4903">
            <v>0</v>
          </cell>
        </row>
        <row r="4904">
          <cell r="H4904">
            <v>0</v>
          </cell>
        </row>
        <row r="4905">
          <cell r="H4905">
            <v>0</v>
          </cell>
        </row>
        <row r="4906">
          <cell r="H4906">
            <v>0</v>
          </cell>
        </row>
        <row r="4907">
          <cell r="H4907">
            <v>0</v>
          </cell>
        </row>
        <row r="4908">
          <cell r="H4908">
            <v>0</v>
          </cell>
        </row>
        <row r="4909">
          <cell r="H4909">
            <v>0</v>
          </cell>
        </row>
        <row r="4910">
          <cell r="H4910">
            <v>0</v>
          </cell>
        </row>
        <row r="4911">
          <cell r="H4911">
            <v>0</v>
          </cell>
        </row>
        <row r="4912">
          <cell r="H4912">
            <v>0</v>
          </cell>
        </row>
        <row r="4913">
          <cell r="H4913">
            <v>0</v>
          </cell>
        </row>
        <row r="4914">
          <cell r="H4914">
            <v>0</v>
          </cell>
        </row>
        <row r="4915">
          <cell r="H4915">
            <v>0</v>
          </cell>
        </row>
        <row r="4916">
          <cell r="H4916">
            <v>0</v>
          </cell>
        </row>
        <row r="4917">
          <cell r="H4917">
            <v>0</v>
          </cell>
        </row>
        <row r="4918">
          <cell r="H4918">
            <v>0</v>
          </cell>
        </row>
        <row r="4919">
          <cell r="H4919">
            <v>0</v>
          </cell>
        </row>
        <row r="4920">
          <cell r="H4920">
            <v>0</v>
          </cell>
        </row>
        <row r="4921">
          <cell r="H4921">
            <v>0</v>
          </cell>
        </row>
        <row r="4922">
          <cell r="H4922">
            <v>0</v>
          </cell>
        </row>
        <row r="4923">
          <cell r="H4923">
            <v>0</v>
          </cell>
        </row>
        <row r="4924">
          <cell r="H4924">
            <v>0</v>
          </cell>
        </row>
        <row r="4925">
          <cell r="H4925">
            <v>0</v>
          </cell>
        </row>
        <row r="4926">
          <cell r="H4926">
            <v>0</v>
          </cell>
        </row>
        <row r="4927">
          <cell r="H4927">
            <v>0</v>
          </cell>
        </row>
        <row r="4928">
          <cell r="H4928">
            <v>0</v>
          </cell>
        </row>
        <row r="4929">
          <cell r="H4929">
            <v>0</v>
          </cell>
        </row>
        <row r="4930">
          <cell r="H4930">
            <v>0</v>
          </cell>
        </row>
        <row r="4931">
          <cell r="H4931">
            <v>0</v>
          </cell>
        </row>
        <row r="4932">
          <cell r="H4932">
            <v>0</v>
          </cell>
        </row>
        <row r="4933">
          <cell r="H4933">
            <v>0</v>
          </cell>
        </row>
        <row r="4934">
          <cell r="H4934">
            <v>0</v>
          </cell>
        </row>
        <row r="4935">
          <cell r="H4935">
            <v>0</v>
          </cell>
        </row>
        <row r="4936">
          <cell r="H4936">
            <v>0</v>
          </cell>
        </row>
        <row r="4937">
          <cell r="H4937">
            <v>0</v>
          </cell>
        </row>
        <row r="4938">
          <cell r="H4938">
            <v>0</v>
          </cell>
        </row>
        <row r="4939">
          <cell r="H4939">
            <v>0</v>
          </cell>
        </row>
        <row r="4940">
          <cell r="H4940">
            <v>0</v>
          </cell>
        </row>
        <row r="4941">
          <cell r="H4941">
            <v>0</v>
          </cell>
        </row>
        <row r="4942">
          <cell r="H4942">
            <v>0</v>
          </cell>
        </row>
        <row r="4943">
          <cell r="H4943">
            <v>0</v>
          </cell>
        </row>
        <row r="4944">
          <cell r="H4944">
            <v>0</v>
          </cell>
        </row>
        <row r="4945">
          <cell r="H4945">
            <v>0</v>
          </cell>
        </row>
        <row r="4946">
          <cell r="H4946">
            <v>0</v>
          </cell>
        </row>
        <row r="4947">
          <cell r="H4947">
            <v>0</v>
          </cell>
        </row>
        <row r="4948">
          <cell r="H4948">
            <v>0</v>
          </cell>
        </row>
        <row r="4949">
          <cell r="H4949">
            <v>0</v>
          </cell>
        </row>
        <row r="4950">
          <cell r="H4950">
            <v>0</v>
          </cell>
        </row>
        <row r="4951">
          <cell r="H4951">
            <v>0</v>
          </cell>
        </row>
        <row r="4952">
          <cell r="H4952">
            <v>0</v>
          </cell>
        </row>
        <row r="4953">
          <cell r="H4953">
            <v>0</v>
          </cell>
        </row>
        <row r="4954">
          <cell r="H4954">
            <v>0</v>
          </cell>
        </row>
        <row r="4955">
          <cell r="H4955">
            <v>0</v>
          </cell>
        </row>
        <row r="4956">
          <cell r="H4956">
            <v>0</v>
          </cell>
        </row>
        <row r="4957">
          <cell r="H4957">
            <v>0</v>
          </cell>
        </row>
        <row r="4958">
          <cell r="H4958">
            <v>0</v>
          </cell>
        </row>
        <row r="4959">
          <cell r="H4959">
            <v>0</v>
          </cell>
        </row>
        <row r="4960">
          <cell r="H4960">
            <v>0</v>
          </cell>
        </row>
        <row r="4961">
          <cell r="H4961">
            <v>0</v>
          </cell>
        </row>
        <row r="4962">
          <cell r="H4962">
            <v>0</v>
          </cell>
        </row>
        <row r="4963">
          <cell r="H4963">
            <v>0</v>
          </cell>
        </row>
        <row r="4964">
          <cell r="H4964">
            <v>0</v>
          </cell>
        </row>
        <row r="4965">
          <cell r="H4965">
            <v>0</v>
          </cell>
        </row>
        <row r="4966">
          <cell r="H4966">
            <v>0</v>
          </cell>
        </row>
        <row r="4967">
          <cell r="H4967">
            <v>0</v>
          </cell>
        </row>
        <row r="4968">
          <cell r="H4968">
            <v>0</v>
          </cell>
        </row>
        <row r="4969">
          <cell r="H4969">
            <v>0</v>
          </cell>
        </row>
        <row r="4970">
          <cell r="H4970">
            <v>0</v>
          </cell>
        </row>
        <row r="4971">
          <cell r="H4971">
            <v>0</v>
          </cell>
        </row>
        <row r="4972">
          <cell r="H4972">
            <v>0</v>
          </cell>
        </row>
        <row r="4973">
          <cell r="H4973">
            <v>0</v>
          </cell>
        </row>
        <row r="4974">
          <cell r="H4974">
            <v>0</v>
          </cell>
        </row>
        <row r="4975">
          <cell r="H4975">
            <v>0</v>
          </cell>
        </row>
        <row r="4976">
          <cell r="H4976">
            <v>0</v>
          </cell>
        </row>
        <row r="4977">
          <cell r="H4977">
            <v>0</v>
          </cell>
        </row>
        <row r="4978">
          <cell r="H4978">
            <v>0</v>
          </cell>
        </row>
        <row r="4979">
          <cell r="H4979">
            <v>0</v>
          </cell>
        </row>
        <row r="4980">
          <cell r="H4980">
            <v>0</v>
          </cell>
        </row>
        <row r="4981">
          <cell r="H4981">
            <v>0</v>
          </cell>
        </row>
        <row r="4982">
          <cell r="H4982">
            <v>0</v>
          </cell>
        </row>
        <row r="4983">
          <cell r="H4983">
            <v>0</v>
          </cell>
        </row>
        <row r="4984">
          <cell r="H4984">
            <v>0</v>
          </cell>
        </row>
        <row r="4985">
          <cell r="H4985">
            <v>0</v>
          </cell>
        </row>
        <row r="4986">
          <cell r="H4986">
            <v>0</v>
          </cell>
        </row>
        <row r="4987">
          <cell r="H4987">
            <v>0</v>
          </cell>
        </row>
        <row r="4988">
          <cell r="H4988">
            <v>0</v>
          </cell>
        </row>
        <row r="4989">
          <cell r="H4989">
            <v>0</v>
          </cell>
        </row>
        <row r="4990">
          <cell r="H4990">
            <v>0</v>
          </cell>
        </row>
        <row r="4991">
          <cell r="H4991">
            <v>0</v>
          </cell>
        </row>
        <row r="4992">
          <cell r="H4992">
            <v>0</v>
          </cell>
        </row>
        <row r="4993">
          <cell r="H4993">
            <v>0</v>
          </cell>
        </row>
        <row r="4994">
          <cell r="H4994">
            <v>0</v>
          </cell>
        </row>
        <row r="4995">
          <cell r="H4995">
            <v>0</v>
          </cell>
        </row>
        <row r="4996">
          <cell r="H4996">
            <v>0</v>
          </cell>
        </row>
        <row r="4997">
          <cell r="H4997">
            <v>0</v>
          </cell>
        </row>
        <row r="4998">
          <cell r="H4998">
            <v>0</v>
          </cell>
        </row>
        <row r="4999">
          <cell r="H4999">
            <v>0</v>
          </cell>
        </row>
        <row r="5000">
          <cell r="H5000">
            <v>0</v>
          </cell>
        </row>
        <row r="5001">
          <cell r="H5001">
            <v>0</v>
          </cell>
        </row>
        <row r="5002">
          <cell r="H5002">
            <v>0</v>
          </cell>
        </row>
        <row r="5003">
          <cell r="H5003">
            <v>0</v>
          </cell>
        </row>
        <row r="5004">
          <cell r="H5004">
            <v>0</v>
          </cell>
        </row>
        <row r="5005">
          <cell r="H5005">
            <v>0</v>
          </cell>
        </row>
        <row r="5006">
          <cell r="H5006">
            <v>0</v>
          </cell>
        </row>
        <row r="5007">
          <cell r="H5007">
            <v>0</v>
          </cell>
        </row>
        <row r="5008">
          <cell r="H5008">
            <v>0</v>
          </cell>
        </row>
        <row r="5009">
          <cell r="H5009">
            <v>0</v>
          </cell>
        </row>
        <row r="5010">
          <cell r="H5010">
            <v>0</v>
          </cell>
        </row>
        <row r="5011">
          <cell r="H5011">
            <v>0</v>
          </cell>
        </row>
        <row r="5012">
          <cell r="H5012">
            <v>0</v>
          </cell>
        </row>
        <row r="5013">
          <cell r="H5013">
            <v>0</v>
          </cell>
        </row>
        <row r="5014">
          <cell r="H5014">
            <v>0</v>
          </cell>
        </row>
        <row r="5015">
          <cell r="H5015">
            <v>0</v>
          </cell>
        </row>
        <row r="5016">
          <cell r="H5016">
            <v>0</v>
          </cell>
        </row>
        <row r="5017">
          <cell r="H5017">
            <v>0</v>
          </cell>
        </row>
        <row r="5018">
          <cell r="H5018">
            <v>0</v>
          </cell>
        </row>
        <row r="5019">
          <cell r="H5019">
            <v>0</v>
          </cell>
        </row>
        <row r="5020">
          <cell r="H5020">
            <v>0</v>
          </cell>
        </row>
        <row r="5021">
          <cell r="H5021">
            <v>0</v>
          </cell>
        </row>
        <row r="5022">
          <cell r="H5022">
            <v>0</v>
          </cell>
        </row>
        <row r="5023">
          <cell r="H5023">
            <v>0</v>
          </cell>
        </row>
        <row r="5024">
          <cell r="H5024">
            <v>0</v>
          </cell>
        </row>
        <row r="5025">
          <cell r="H5025">
            <v>0</v>
          </cell>
        </row>
        <row r="5026">
          <cell r="H5026">
            <v>0</v>
          </cell>
        </row>
        <row r="5027">
          <cell r="H5027">
            <v>0</v>
          </cell>
        </row>
        <row r="5028">
          <cell r="H5028">
            <v>0</v>
          </cell>
        </row>
        <row r="5029">
          <cell r="H5029">
            <v>0</v>
          </cell>
        </row>
        <row r="5030">
          <cell r="H5030">
            <v>0</v>
          </cell>
        </row>
        <row r="5031">
          <cell r="H5031">
            <v>0</v>
          </cell>
        </row>
        <row r="5032">
          <cell r="H5032">
            <v>0</v>
          </cell>
        </row>
        <row r="5033">
          <cell r="H5033">
            <v>0</v>
          </cell>
        </row>
        <row r="5034">
          <cell r="H5034">
            <v>0</v>
          </cell>
        </row>
        <row r="5035">
          <cell r="H5035">
            <v>0</v>
          </cell>
        </row>
        <row r="5036">
          <cell r="H5036">
            <v>0</v>
          </cell>
        </row>
        <row r="5037">
          <cell r="H5037">
            <v>0</v>
          </cell>
        </row>
        <row r="5038">
          <cell r="H5038">
            <v>0</v>
          </cell>
        </row>
        <row r="5039">
          <cell r="H5039">
            <v>0</v>
          </cell>
        </row>
        <row r="5040">
          <cell r="H5040">
            <v>0</v>
          </cell>
        </row>
        <row r="5041">
          <cell r="H5041">
            <v>0</v>
          </cell>
        </row>
        <row r="5042">
          <cell r="H5042">
            <v>0</v>
          </cell>
        </row>
        <row r="5043">
          <cell r="H5043">
            <v>0</v>
          </cell>
        </row>
        <row r="5044">
          <cell r="H5044">
            <v>0</v>
          </cell>
        </row>
        <row r="5045">
          <cell r="H5045">
            <v>0</v>
          </cell>
        </row>
        <row r="5046">
          <cell r="H5046">
            <v>0</v>
          </cell>
        </row>
        <row r="5047">
          <cell r="H5047">
            <v>0</v>
          </cell>
        </row>
        <row r="5048">
          <cell r="H5048">
            <v>0</v>
          </cell>
        </row>
        <row r="5049">
          <cell r="H5049">
            <v>0</v>
          </cell>
        </row>
        <row r="5050">
          <cell r="H5050">
            <v>0</v>
          </cell>
        </row>
        <row r="5051">
          <cell r="H5051">
            <v>0</v>
          </cell>
        </row>
        <row r="5052">
          <cell r="H5052">
            <v>0</v>
          </cell>
        </row>
        <row r="5053">
          <cell r="H5053">
            <v>0</v>
          </cell>
        </row>
        <row r="5054">
          <cell r="H5054">
            <v>0</v>
          </cell>
        </row>
        <row r="5055">
          <cell r="H5055">
            <v>0</v>
          </cell>
        </row>
        <row r="5056">
          <cell r="H5056">
            <v>0</v>
          </cell>
        </row>
        <row r="5057">
          <cell r="H5057">
            <v>0</v>
          </cell>
        </row>
        <row r="5058">
          <cell r="H5058">
            <v>0</v>
          </cell>
        </row>
        <row r="5059">
          <cell r="H5059">
            <v>0</v>
          </cell>
        </row>
        <row r="5060">
          <cell r="H5060">
            <v>0</v>
          </cell>
        </row>
        <row r="5061">
          <cell r="H5061">
            <v>0</v>
          </cell>
        </row>
        <row r="5062">
          <cell r="H5062">
            <v>0</v>
          </cell>
        </row>
        <row r="5063">
          <cell r="H5063">
            <v>0</v>
          </cell>
        </row>
        <row r="5064">
          <cell r="H5064">
            <v>0</v>
          </cell>
        </row>
        <row r="5065">
          <cell r="H5065">
            <v>0</v>
          </cell>
        </row>
        <row r="5066">
          <cell r="H5066">
            <v>0</v>
          </cell>
        </row>
        <row r="5067">
          <cell r="H5067">
            <v>0</v>
          </cell>
        </row>
        <row r="5068">
          <cell r="H5068">
            <v>0</v>
          </cell>
        </row>
        <row r="5069">
          <cell r="H5069">
            <v>0</v>
          </cell>
        </row>
        <row r="5070">
          <cell r="H5070">
            <v>0</v>
          </cell>
        </row>
        <row r="5071">
          <cell r="H5071">
            <v>0</v>
          </cell>
        </row>
        <row r="5072">
          <cell r="H5072">
            <v>0</v>
          </cell>
        </row>
        <row r="5073">
          <cell r="H5073">
            <v>0</v>
          </cell>
        </row>
        <row r="5074">
          <cell r="H5074">
            <v>0</v>
          </cell>
        </row>
        <row r="5075">
          <cell r="H5075">
            <v>0</v>
          </cell>
        </row>
        <row r="5076">
          <cell r="H5076">
            <v>0</v>
          </cell>
        </row>
        <row r="5077">
          <cell r="H5077">
            <v>0</v>
          </cell>
        </row>
        <row r="5078">
          <cell r="H5078">
            <v>0</v>
          </cell>
        </row>
        <row r="5079">
          <cell r="H5079">
            <v>0</v>
          </cell>
        </row>
        <row r="5080">
          <cell r="H5080">
            <v>0</v>
          </cell>
        </row>
        <row r="5081">
          <cell r="H5081">
            <v>0</v>
          </cell>
        </row>
        <row r="5082">
          <cell r="H5082">
            <v>0</v>
          </cell>
        </row>
        <row r="5083">
          <cell r="H5083">
            <v>0</v>
          </cell>
        </row>
        <row r="5084">
          <cell r="H5084">
            <v>0</v>
          </cell>
        </row>
        <row r="5085">
          <cell r="H5085">
            <v>0</v>
          </cell>
        </row>
        <row r="5086">
          <cell r="H5086">
            <v>0</v>
          </cell>
        </row>
        <row r="5087">
          <cell r="H5087">
            <v>0</v>
          </cell>
        </row>
        <row r="5088">
          <cell r="H5088">
            <v>0</v>
          </cell>
        </row>
        <row r="5089">
          <cell r="H5089">
            <v>0</v>
          </cell>
        </row>
        <row r="5090">
          <cell r="H5090">
            <v>0</v>
          </cell>
        </row>
        <row r="5091">
          <cell r="H5091">
            <v>0</v>
          </cell>
        </row>
        <row r="5092">
          <cell r="H5092">
            <v>0</v>
          </cell>
        </row>
        <row r="5093">
          <cell r="H5093">
            <v>0</v>
          </cell>
        </row>
        <row r="5094">
          <cell r="H5094">
            <v>0</v>
          </cell>
        </row>
        <row r="5095">
          <cell r="H5095">
            <v>0</v>
          </cell>
        </row>
        <row r="5096">
          <cell r="H5096">
            <v>0</v>
          </cell>
        </row>
        <row r="5097">
          <cell r="H5097">
            <v>0</v>
          </cell>
        </row>
        <row r="5098">
          <cell r="H5098">
            <v>0</v>
          </cell>
        </row>
        <row r="5099">
          <cell r="H5099">
            <v>0</v>
          </cell>
        </row>
        <row r="5100">
          <cell r="H5100">
            <v>0</v>
          </cell>
        </row>
        <row r="5101">
          <cell r="H5101">
            <v>0</v>
          </cell>
        </row>
        <row r="5102">
          <cell r="H5102">
            <v>0</v>
          </cell>
        </row>
        <row r="5103">
          <cell r="H5103">
            <v>0</v>
          </cell>
        </row>
        <row r="5104">
          <cell r="H5104">
            <v>0</v>
          </cell>
        </row>
        <row r="5105">
          <cell r="H5105">
            <v>0</v>
          </cell>
        </row>
        <row r="5106">
          <cell r="H5106">
            <v>0</v>
          </cell>
        </row>
        <row r="5107">
          <cell r="H5107">
            <v>0</v>
          </cell>
        </row>
        <row r="5108">
          <cell r="H5108">
            <v>0</v>
          </cell>
        </row>
        <row r="5109">
          <cell r="H5109">
            <v>0</v>
          </cell>
        </row>
        <row r="5110">
          <cell r="H5110">
            <v>0</v>
          </cell>
        </row>
        <row r="5111">
          <cell r="H5111">
            <v>0</v>
          </cell>
        </row>
        <row r="5112">
          <cell r="H5112">
            <v>0</v>
          </cell>
        </row>
        <row r="5113">
          <cell r="H5113">
            <v>0</v>
          </cell>
        </row>
        <row r="5114">
          <cell r="H5114">
            <v>0</v>
          </cell>
        </row>
        <row r="5115">
          <cell r="H5115">
            <v>0</v>
          </cell>
        </row>
        <row r="5116">
          <cell r="H5116">
            <v>0</v>
          </cell>
        </row>
        <row r="5117">
          <cell r="H5117">
            <v>0</v>
          </cell>
        </row>
        <row r="5118">
          <cell r="H5118">
            <v>0</v>
          </cell>
        </row>
        <row r="5119">
          <cell r="H5119">
            <v>0</v>
          </cell>
        </row>
        <row r="5120">
          <cell r="H5120">
            <v>0</v>
          </cell>
        </row>
        <row r="5121">
          <cell r="H5121">
            <v>0</v>
          </cell>
        </row>
        <row r="5122">
          <cell r="H5122">
            <v>0</v>
          </cell>
        </row>
        <row r="5123">
          <cell r="H5123">
            <v>0</v>
          </cell>
        </row>
        <row r="5124">
          <cell r="H5124">
            <v>0</v>
          </cell>
        </row>
        <row r="5125">
          <cell r="H5125">
            <v>0</v>
          </cell>
        </row>
        <row r="5126">
          <cell r="H5126">
            <v>0</v>
          </cell>
        </row>
        <row r="5127">
          <cell r="H5127">
            <v>0</v>
          </cell>
        </row>
        <row r="5128">
          <cell r="H5128">
            <v>0</v>
          </cell>
        </row>
        <row r="5129">
          <cell r="H5129">
            <v>0</v>
          </cell>
        </row>
        <row r="5130">
          <cell r="H5130">
            <v>0</v>
          </cell>
        </row>
        <row r="5131">
          <cell r="H5131">
            <v>0</v>
          </cell>
        </row>
        <row r="5132">
          <cell r="H5132">
            <v>0</v>
          </cell>
        </row>
        <row r="5133">
          <cell r="H5133">
            <v>0</v>
          </cell>
        </row>
        <row r="5134">
          <cell r="H5134">
            <v>0</v>
          </cell>
        </row>
        <row r="5135">
          <cell r="H5135">
            <v>0</v>
          </cell>
        </row>
        <row r="5136">
          <cell r="H5136">
            <v>0</v>
          </cell>
        </row>
        <row r="5137">
          <cell r="H5137">
            <v>0</v>
          </cell>
        </row>
        <row r="5138">
          <cell r="H5138">
            <v>0</v>
          </cell>
        </row>
        <row r="5139">
          <cell r="H5139">
            <v>0</v>
          </cell>
        </row>
        <row r="5140">
          <cell r="H5140">
            <v>0</v>
          </cell>
        </row>
        <row r="5141">
          <cell r="H5141">
            <v>0</v>
          </cell>
        </row>
        <row r="5142">
          <cell r="H5142">
            <v>0</v>
          </cell>
        </row>
        <row r="5143">
          <cell r="H5143">
            <v>0</v>
          </cell>
        </row>
        <row r="5144">
          <cell r="H5144">
            <v>0</v>
          </cell>
        </row>
        <row r="5145">
          <cell r="H5145">
            <v>0</v>
          </cell>
        </row>
        <row r="5146">
          <cell r="H5146">
            <v>0</v>
          </cell>
        </row>
        <row r="5147">
          <cell r="H5147">
            <v>0</v>
          </cell>
        </row>
        <row r="5148">
          <cell r="H5148">
            <v>0</v>
          </cell>
        </row>
        <row r="5149">
          <cell r="H5149">
            <v>0</v>
          </cell>
        </row>
        <row r="5150">
          <cell r="H5150">
            <v>0</v>
          </cell>
        </row>
        <row r="5151">
          <cell r="H5151">
            <v>0</v>
          </cell>
        </row>
        <row r="5152">
          <cell r="H5152">
            <v>0</v>
          </cell>
        </row>
        <row r="5153">
          <cell r="H5153">
            <v>0</v>
          </cell>
        </row>
        <row r="5154">
          <cell r="H5154">
            <v>0</v>
          </cell>
        </row>
        <row r="5155">
          <cell r="H5155">
            <v>0</v>
          </cell>
        </row>
        <row r="5156">
          <cell r="H5156">
            <v>0</v>
          </cell>
        </row>
        <row r="5157">
          <cell r="H5157">
            <v>0</v>
          </cell>
        </row>
        <row r="5158">
          <cell r="H5158">
            <v>0</v>
          </cell>
        </row>
        <row r="5159">
          <cell r="H5159">
            <v>0</v>
          </cell>
        </row>
        <row r="5160">
          <cell r="H5160">
            <v>0</v>
          </cell>
        </row>
        <row r="5161">
          <cell r="H5161">
            <v>0</v>
          </cell>
        </row>
        <row r="5162">
          <cell r="H5162">
            <v>0</v>
          </cell>
        </row>
        <row r="5163">
          <cell r="H5163">
            <v>0</v>
          </cell>
        </row>
        <row r="5164">
          <cell r="H5164">
            <v>0</v>
          </cell>
        </row>
        <row r="5165">
          <cell r="H5165">
            <v>0</v>
          </cell>
        </row>
        <row r="5166">
          <cell r="H5166">
            <v>0</v>
          </cell>
        </row>
        <row r="5167">
          <cell r="H5167">
            <v>0</v>
          </cell>
        </row>
        <row r="5168">
          <cell r="H5168">
            <v>0</v>
          </cell>
        </row>
        <row r="5169">
          <cell r="H5169">
            <v>0</v>
          </cell>
        </row>
        <row r="5170">
          <cell r="H5170">
            <v>0</v>
          </cell>
        </row>
        <row r="5171">
          <cell r="H5171">
            <v>0</v>
          </cell>
        </row>
        <row r="5172">
          <cell r="H5172">
            <v>0</v>
          </cell>
        </row>
        <row r="5173">
          <cell r="H5173">
            <v>0</v>
          </cell>
        </row>
        <row r="5174">
          <cell r="H5174">
            <v>0</v>
          </cell>
        </row>
        <row r="5175">
          <cell r="H5175">
            <v>0</v>
          </cell>
        </row>
        <row r="5176">
          <cell r="H5176">
            <v>0</v>
          </cell>
        </row>
        <row r="5177">
          <cell r="H5177">
            <v>0</v>
          </cell>
        </row>
        <row r="5178">
          <cell r="H5178">
            <v>0</v>
          </cell>
        </row>
        <row r="5179">
          <cell r="H5179">
            <v>0</v>
          </cell>
        </row>
        <row r="5180">
          <cell r="H5180">
            <v>0</v>
          </cell>
        </row>
        <row r="5181">
          <cell r="H5181">
            <v>0</v>
          </cell>
        </row>
        <row r="5182">
          <cell r="H5182">
            <v>0</v>
          </cell>
        </row>
        <row r="5183">
          <cell r="H5183">
            <v>0</v>
          </cell>
        </row>
        <row r="5184">
          <cell r="H5184">
            <v>0</v>
          </cell>
        </row>
        <row r="5185">
          <cell r="H5185">
            <v>0</v>
          </cell>
        </row>
        <row r="5186">
          <cell r="H5186">
            <v>0</v>
          </cell>
        </row>
        <row r="5187">
          <cell r="H5187">
            <v>0</v>
          </cell>
        </row>
        <row r="5188">
          <cell r="H5188">
            <v>0</v>
          </cell>
        </row>
        <row r="5189">
          <cell r="H5189">
            <v>0</v>
          </cell>
        </row>
        <row r="5190">
          <cell r="H5190">
            <v>0</v>
          </cell>
        </row>
        <row r="5191">
          <cell r="H5191">
            <v>0</v>
          </cell>
        </row>
        <row r="5192">
          <cell r="H5192">
            <v>0</v>
          </cell>
        </row>
        <row r="5193">
          <cell r="H5193">
            <v>0</v>
          </cell>
        </row>
        <row r="5194">
          <cell r="H5194">
            <v>0</v>
          </cell>
        </row>
        <row r="5195">
          <cell r="H5195">
            <v>0</v>
          </cell>
        </row>
        <row r="5196">
          <cell r="H5196">
            <v>0</v>
          </cell>
        </row>
        <row r="5197">
          <cell r="H5197">
            <v>0</v>
          </cell>
        </row>
        <row r="5198">
          <cell r="H5198">
            <v>0</v>
          </cell>
        </row>
        <row r="5199">
          <cell r="H5199">
            <v>0</v>
          </cell>
        </row>
        <row r="5200">
          <cell r="H5200">
            <v>0</v>
          </cell>
        </row>
        <row r="5201">
          <cell r="H5201">
            <v>0</v>
          </cell>
        </row>
        <row r="5202">
          <cell r="H5202">
            <v>0</v>
          </cell>
        </row>
        <row r="5203">
          <cell r="H5203">
            <v>0</v>
          </cell>
        </row>
        <row r="5204">
          <cell r="H5204">
            <v>0</v>
          </cell>
        </row>
        <row r="5205">
          <cell r="H5205">
            <v>0</v>
          </cell>
        </row>
        <row r="5206">
          <cell r="H5206">
            <v>0</v>
          </cell>
        </row>
        <row r="5207">
          <cell r="H5207">
            <v>0</v>
          </cell>
        </row>
        <row r="5208">
          <cell r="H5208">
            <v>0</v>
          </cell>
        </row>
        <row r="5209">
          <cell r="H5209">
            <v>0</v>
          </cell>
        </row>
        <row r="5210">
          <cell r="H5210">
            <v>0</v>
          </cell>
        </row>
        <row r="5211">
          <cell r="H5211">
            <v>0</v>
          </cell>
        </row>
        <row r="5212">
          <cell r="H5212">
            <v>0</v>
          </cell>
        </row>
        <row r="5213">
          <cell r="H5213">
            <v>0</v>
          </cell>
        </row>
        <row r="5214">
          <cell r="H5214">
            <v>0</v>
          </cell>
        </row>
        <row r="5215">
          <cell r="H5215">
            <v>0</v>
          </cell>
        </row>
        <row r="5216">
          <cell r="H5216">
            <v>0</v>
          </cell>
        </row>
        <row r="5217">
          <cell r="H5217">
            <v>0</v>
          </cell>
        </row>
        <row r="5218">
          <cell r="H5218">
            <v>0</v>
          </cell>
        </row>
        <row r="5219">
          <cell r="H5219">
            <v>0</v>
          </cell>
        </row>
        <row r="5220">
          <cell r="H5220">
            <v>0</v>
          </cell>
        </row>
        <row r="5221">
          <cell r="H5221">
            <v>0</v>
          </cell>
        </row>
        <row r="5222">
          <cell r="H5222">
            <v>0</v>
          </cell>
        </row>
        <row r="5223">
          <cell r="H5223">
            <v>0</v>
          </cell>
        </row>
        <row r="5224">
          <cell r="H5224">
            <v>0</v>
          </cell>
        </row>
        <row r="5225">
          <cell r="H5225">
            <v>0</v>
          </cell>
        </row>
        <row r="5226">
          <cell r="H5226">
            <v>0</v>
          </cell>
        </row>
        <row r="5227">
          <cell r="H5227">
            <v>0</v>
          </cell>
        </row>
        <row r="5228">
          <cell r="H5228">
            <v>0</v>
          </cell>
        </row>
        <row r="5229">
          <cell r="H5229">
            <v>0</v>
          </cell>
        </row>
        <row r="5230">
          <cell r="H5230">
            <v>0</v>
          </cell>
        </row>
        <row r="5231">
          <cell r="H5231">
            <v>0</v>
          </cell>
        </row>
        <row r="5232">
          <cell r="H5232">
            <v>0</v>
          </cell>
        </row>
        <row r="5233">
          <cell r="H5233">
            <v>0</v>
          </cell>
        </row>
        <row r="5234">
          <cell r="H5234">
            <v>0</v>
          </cell>
        </row>
        <row r="5235">
          <cell r="H5235">
            <v>0</v>
          </cell>
        </row>
        <row r="5236">
          <cell r="H5236">
            <v>0</v>
          </cell>
        </row>
        <row r="5237">
          <cell r="H5237">
            <v>0</v>
          </cell>
        </row>
        <row r="5238">
          <cell r="H5238">
            <v>0</v>
          </cell>
        </row>
        <row r="5239">
          <cell r="H5239">
            <v>0</v>
          </cell>
        </row>
        <row r="5240">
          <cell r="H5240">
            <v>0</v>
          </cell>
        </row>
        <row r="5241">
          <cell r="H5241">
            <v>0</v>
          </cell>
        </row>
        <row r="5242">
          <cell r="H5242">
            <v>0</v>
          </cell>
        </row>
        <row r="5243">
          <cell r="H5243">
            <v>0</v>
          </cell>
        </row>
        <row r="5244">
          <cell r="H5244">
            <v>0</v>
          </cell>
        </row>
        <row r="5245">
          <cell r="H5245">
            <v>0</v>
          </cell>
        </row>
        <row r="5246">
          <cell r="H5246">
            <v>0</v>
          </cell>
        </row>
        <row r="5247">
          <cell r="H5247">
            <v>0</v>
          </cell>
        </row>
        <row r="5248">
          <cell r="H5248">
            <v>0</v>
          </cell>
        </row>
        <row r="5249">
          <cell r="H5249">
            <v>0</v>
          </cell>
        </row>
        <row r="5250">
          <cell r="H5250">
            <v>0</v>
          </cell>
        </row>
        <row r="5251">
          <cell r="H5251">
            <v>0</v>
          </cell>
        </row>
        <row r="5252">
          <cell r="H5252">
            <v>0</v>
          </cell>
        </row>
        <row r="5253">
          <cell r="H5253">
            <v>0</v>
          </cell>
        </row>
        <row r="5254">
          <cell r="H5254">
            <v>0</v>
          </cell>
        </row>
        <row r="5255">
          <cell r="H5255">
            <v>0</v>
          </cell>
        </row>
        <row r="5256">
          <cell r="H5256">
            <v>0</v>
          </cell>
        </row>
        <row r="5257">
          <cell r="H5257">
            <v>0</v>
          </cell>
        </row>
        <row r="5258">
          <cell r="H5258">
            <v>0</v>
          </cell>
        </row>
        <row r="5259">
          <cell r="H5259">
            <v>0</v>
          </cell>
        </row>
        <row r="5260">
          <cell r="H5260">
            <v>0</v>
          </cell>
        </row>
        <row r="5261">
          <cell r="H5261">
            <v>0</v>
          </cell>
        </row>
        <row r="5262">
          <cell r="H5262">
            <v>0</v>
          </cell>
        </row>
        <row r="5263">
          <cell r="H5263">
            <v>0</v>
          </cell>
        </row>
        <row r="5264">
          <cell r="H5264">
            <v>0</v>
          </cell>
        </row>
        <row r="5265">
          <cell r="H5265">
            <v>0</v>
          </cell>
        </row>
        <row r="5266">
          <cell r="H5266">
            <v>0</v>
          </cell>
        </row>
        <row r="5267">
          <cell r="H5267">
            <v>0</v>
          </cell>
        </row>
        <row r="5268">
          <cell r="H5268">
            <v>0</v>
          </cell>
        </row>
        <row r="5269">
          <cell r="H5269">
            <v>0</v>
          </cell>
        </row>
        <row r="5270">
          <cell r="H5270">
            <v>0</v>
          </cell>
        </row>
        <row r="5271">
          <cell r="H5271">
            <v>0</v>
          </cell>
        </row>
        <row r="5272">
          <cell r="H5272">
            <v>0</v>
          </cell>
        </row>
        <row r="5273">
          <cell r="H5273">
            <v>0</v>
          </cell>
        </row>
        <row r="5274">
          <cell r="H5274">
            <v>0</v>
          </cell>
        </row>
        <row r="5275">
          <cell r="H5275">
            <v>0</v>
          </cell>
        </row>
        <row r="5276">
          <cell r="H5276">
            <v>0</v>
          </cell>
        </row>
        <row r="5277">
          <cell r="H5277">
            <v>0</v>
          </cell>
        </row>
        <row r="5278">
          <cell r="H5278">
            <v>0</v>
          </cell>
        </row>
        <row r="5279">
          <cell r="H5279">
            <v>0</v>
          </cell>
        </row>
        <row r="5280">
          <cell r="H5280">
            <v>0</v>
          </cell>
        </row>
        <row r="5281">
          <cell r="H5281">
            <v>0</v>
          </cell>
        </row>
        <row r="5282">
          <cell r="H5282">
            <v>0</v>
          </cell>
        </row>
        <row r="5283">
          <cell r="H5283">
            <v>0</v>
          </cell>
        </row>
        <row r="5284">
          <cell r="H5284">
            <v>0</v>
          </cell>
        </row>
        <row r="5285">
          <cell r="H5285">
            <v>0</v>
          </cell>
        </row>
        <row r="5286">
          <cell r="H5286">
            <v>0</v>
          </cell>
        </row>
        <row r="5287">
          <cell r="H5287">
            <v>0</v>
          </cell>
        </row>
        <row r="5288">
          <cell r="H5288">
            <v>0</v>
          </cell>
        </row>
        <row r="5289">
          <cell r="H5289">
            <v>0</v>
          </cell>
        </row>
        <row r="5290">
          <cell r="H5290">
            <v>0</v>
          </cell>
        </row>
        <row r="5291">
          <cell r="H5291">
            <v>0</v>
          </cell>
        </row>
        <row r="5292">
          <cell r="H5292">
            <v>0</v>
          </cell>
        </row>
        <row r="5293">
          <cell r="H5293">
            <v>0</v>
          </cell>
        </row>
        <row r="5294">
          <cell r="H5294">
            <v>0</v>
          </cell>
        </row>
        <row r="5295">
          <cell r="H5295">
            <v>0</v>
          </cell>
        </row>
        <row r="5296">
          <cell r="H5296">
            <v>0</v>
          </cell>
        </row>
        <row r="5297">
          <cell r="H5297">
            <v>0</v>
          </cell>
        </row>
        <row r="5298">
          <cell r="H5298">
            <v>0</v>
          </cell>
        </row>
        <row r="5299">
          <cell r="H5299">
            <v>0</v>
          </cell>
        </row>
        <row r="5300">
          <cell r="H5300">
            <v>0</v>
          </cell>
        </row>
        <row r="5301">
          <cell r="H5301">
            <v>0</v>
          </cell>
        </row>
        <row r="5302">
          <cell r="H5302">
            <v>0</v>
          </cell>
        </row>
        <row r="5303">
          <cell r="H5303">
            <v>0</v>
          </cell>
        </row>
        <row r="5304">
          <cell r="H5304">
            <v>0</v>
          </cell>
        </row>
        <row r="5305">
          <cell r="H5305">
            <v>0</v>
          </cell>
        </row>
        <row r="5306">
          <cell r="H5306">
            <v>0</v>
          </cell>
        </row>
        <row r="5307">
          <cell r="H5307">
            <v>0</v>
          </cell>
        </row>
        <row r="5308">
          <cell r="H5308">
            <v>0</v>
          </cell>
        </row>
        <row r="5309">
          <cell r="H5309">
            <v>0</v>
          </cell>
        </row>
        <row r="5310">
          <cell r="H5310">
            <v>0</v>
          </cell>
        </row>
        <row r="5311">
          <cell r="H5311">
            <v>0</v>
          </cell>
        </row>
        <row r="5312">
          <cell r="H5312">
            <v>0</v>
          </cell>
        </row>
        <row r="5313">
          <cell r="H5313">
            <v>0</v>
          </cell>
        </row>
        <row r="5314">
          <cell r="H5314">
            <v>0</v>
          </cell>
        </row>
        <row r="5315">
          <cell r="H5315">
            <v>0</v>
          </cell>
        </row>
        <row r="5316">
          <cell r="H5316">
            <v>0</v>
          </cell>
        </row>
        <row r="5317">
          <cell r="H5317">
            <v>0</v>
          </cell>
        </row>
        <row r="5318">
          <cell r="H5318">
            <v>0</v>
          </cell>
        </row>
        <row r="5319">
          <cell r="H5319">
            <v>0</v>
          </cell>
        </row>
        <row r="5320">
          <cell r="H5320">
            <v>0</v>
          </cell>
        </row>
        <row r="5321">
          <cell r="H5321">
            <v>0</v>
          </cell>
        </row>
        <row r="5322">
          <cell r="H5322">
            <v>0</v>
          </cell>
        </row>
        <row r="5323">
          <cell r="H5323">
            <v>0</v>
          </cell>
        </row>
        <row r="5324">
          <cell r="H5324">
            <v>0</v>
          </cell>
        </row>
        <row r="5325">
          <cell r="H5325">
            <v>0</v>
          </cell>
        </row>
        <row r="5326">
          <cell r="H5326">
            <v>0</v>
          </cell>
        </row>
        <row r="5327">
          <cell r="H5327">
            <v>0</v>
          </cell>
        </row>
        <row r="5328">
          <cell r="H5328">
            <v>0</v>
          </cell>
        </row>
        <row r="5329">
          <cell r="H5329">
            <v>0</v>
          </cell>
        </row>
        <row r="5330">
          <cell r="H5330">
            <v>0</v>
          </cell>
        </row>
        <row r="5331">
          <cell r="H5331">
            <v>0</v>
          </cell>
        </row>
        <row r="5332">
          <cell r="H5332">
            <v>0</v>
          </cell>
        </row>
        <row r="5333">
          <cell r="H5333">
            <v>0</v>
          </cell>
        </row>
        <row r="5334">
          <cell r="H5334">
            <v>0</v>
          </cell>
        </row>
        <row r="5335">
          <cell r="H5335">
            <v>0</v>
          </cell>
        </row>
        <row r="5336">
          <cell r="H5336">
            <v>0</v>
          </cell>
        </row>
        <row r="5337">
          <cell r="H5337">
            <v>0</v>
          </cell>
        </row>
        <row r="5338">
          <cell r="H5338">
            <v>0</v>
          </cell>
        </row>
        <row r="5339">
          <cell r="H5339">
            <v>0</v>
          </cell>
        </row>
        <row r="5340">
          <cell r="H5340">
            <v>0</v>
          </cell>
        </row>
        <row r="5341">
          <cell r="H5341">
            <v>0</v>
          </cell>
        </row>
        <row r="5342">
          <cell r="H5342">
            <v>0</v>
          </cell>
        </row>
        <row r="5343">
          <cell r="H5343">
            <v>0</v>
          </cell>
        </row>
        <row r="5344">
          <cell r="H5344">
            <v>0</v>
          </cell>
        </row>
        <row r="5345">
          <cell r="H5345">
            <v>0</v>
          </cell>
        </row>
        <row r="5346">
          <cell r="H5346">
            <v>0</v>
          </cell>
        </row>
        <row r="5347">
          <cell r="H5347">
            <v>0</v>
          </cell>
        </row>
        <row r="5348">
          <cell r="H5348">
            <v>0</v>
          </cell>
        </row>
        <row r="5349">
          <cell r="H5349">
            <v>0</v>
          </cell>
        </row>
        <row r="5350">
          <cell r="H5350">
            <v>0</v>
          </cell>
        </row>
        <row r="5351">
          <cell r="H5351">
            <v>0</v>
          </cell>
        </row>
        <row r="5352">
          <cell r="H5352">
            <v>0</v>
          </cell>
        </row>
        <row r="5353">
          <cell r="H5353">
            <v>0</v>
          </cell>
        </row>
        <row r="5354">
          <cell r="H5354">
            <v>0</v>
          </cell>
        </row>
        <row r="5355">
          <cell r="H5355">
            <v>0</v>
          </cell>
        </row>
        <row r="5356">
          <cell r="H5356">
            <v>0</v>
          </cell>
        </row>
        <row r="5357">
          <cell r="H5357">
            <v>0</v>
          </cell>
        </row>
        <row r="5358">
          <cell r="H5358">
            <v>0</v>
          </cell>
        </row>
        <row r="5359">
          <cell r="H5359">
            <v>0</v>
          </cell>
        </row>
        <row r="5360">
          <cell r="H5360">
            <v>0</v>
          </cell>
        </row>
        <row r="5361">
          <cell r="H5361">
            <v>0</v>
          </cell>
        </row>
        <row r="5362">
          <cell r="H5362">
            <v>0</v>
          </cell>
        </row>
        <row r="5363">
          <cell r="H5363">
            <v>0</v>
          </cell>
        </row>
        <row r="5364">
          <cell r="H5364">
            <v>0</v>
          </cell>
        </row>
        <row r="5365">
          <cell r="H5365">
            <v>0</v>
          </cell>
        </row>
        <row r="5366">
          <cell r="H5366">
            <v>0</v>
          </cell>
        </row>
        <row r="5367">
          <cell r="H5367">
            <v>0</v>
          </cell>
        </row>
        <row r="5368">
          <cell r="H5368">
            <v>0</v>
          </cell>
        </row>
        <row r="5369">
          <cell r="H5369">
            <v>0</v>
          </cell>
        </row>
        <row r="5370">
          <cell r="H5370">
            <v>0</v>
          </cell>
        </row>
        <row r="5371">
          <cell r="H5371">
            <v>0</v>
          </cell>
        </row>
        <row r="5372">
          <cell r="H5372">
            <v>0</v>
          </cell>
        </row>
        <row r="5373">
          <cell r="H5373">
            <v>0</v>
          </cell>
        </row>
        <row r="5374">
          <cell r="H5374">
            <v>0</v>
          </cell>
        </row>
        <row r="5375">
          <cell r="H5375">
            <v>0</v>
          </cell>
        </row>
        <row r="5376">
          <cell r="H5376">
            <v>0</v>
          </cell>
        </row>
        <row r="5377">
          <cell r="H5377">
            <v>0</v>
          </cell>
        </row>
        <row r="5378">
          <cell r="H5378">
            <v>0</v>
          </cell>
        </row>
        <row r="5379">
          <cell r="H5379">
            <v>0</v>
          </cell>
        </row>
        <row r="5380">
          <cell r="H5380">
            <v>0</v>
          </cell>
        </row>
        <row r="5381">
          <cell r="H5381">
            <v>0</v>
          </cell>
        </row>
        <row r="5382">
          <cell r="H5382">
            <v>0</v>
          </cell>
        </row>
        <row r="5383">
          <cell r="H5383">
            <v>0</v>
          </cell>
        </row>
        <row r="5384">
          <cell r="H5384">
            <v>0</v>
          </cell>
        </row>
        <row r="5385">
          <cell r="H5385">
            <v>0</v>
          </cell>
        </row>
        <row r="5386">
          <cell r="H5386">
            <v>0</v>
          </cell>
        </row>
        <row r="5387">
          <cell r="H5387">
            <v>0</v>
          </cell>
        </row>
        <row r="5388">
          <cell r="H5388">
            <v>0</v>
          </cell>
        </row>
        <row r="5389">
          <cell r="H5389">
            <v>0</v>
          </cell>
        </row>
        <row r="5390">
          <cell r="H5390">
            <v>0</v>
          </cell>
        </row>
        <row r="5391">
          <cell r="H5391">
            <v>0</v>
          </cell>
        </row>
        <row r="5392">
          <cell r="H5392">
            <v>0</v>
          </cell>
        </row>
        <row r="5393">
          <cell r="H5393">
            <v>0</v>
          </cell>
        </row>
        <row r="5394">
          <cell r="H5394">
            <v>0</v>
          </cell>
        </row>
        <row r="5395">
          <cell r="H5395">
            <v>0</v>
          </cell>
        </row>
        <row r="5396">
          <cell r="H5396">
            <v>0</v>
          </cell>
        </row>
        <row r="5397">
          <cell r="H5397">
            <v>0</v>
          </cell>
        </row>
        <row r="5398">
          <cell r="H5398">
            <v>0</v>
          </cell>
        </row>
        <row r="5399">
          <cell r="H5399">
            <v>0</v>
          </cell>
        </row>
        <row r="5400">
          <cell r="H5400">
            <v>0</v>
          </cell>
        </row>
        <row r="5401">
          <cell r="H5401">
            <v>0</v>
          </cell>
        </row>
        <row r="5402">
          <cell r="H5402">
            <v>0</v>
          </cell>
        </row>
        <row r="5403">
          <cell r="H5403">
            <v>0</v>
          </cell>
        </row>
        <row r="5404">
          <cell r="H5404">
            <v>0</v>
          </cell>
        </row>
        <row r="5405">
          <cell r="H5405">
            <v>0</v>
          </cell>
        </row>
        <row r="5406">
          <cell r="H5406">
            <v>0</v>
          </cell>
        </row>
        <row r="5407">
          <cell r="H5407">
            <v>0</v>
          </cell>
        </row>
        <row r="5408">
          <cell r="H5408">
            <v>0</v>
          </cell>
        </row>
        <row r="5409">
          <cell r="H5409">
            <v>0</v>
          </cell>
        </row>
        <row r="5410">
          <cell r="H5410">
            <v>0</v>
          </cell>
        </row>
        <row r="5411">
          <cell r="H5411">
            <v>0</v>
          </cell>
        </row>
        <row r="5412">
          <cell r="H5412">
            <v>0</v>
          </cell>
        </row>
        <row r="5413">
          <cell r="H5413">
            <v>0</v>
          </cell>
        </row>
        <row r="5414">
          <cell r="H5414">
            <v>0</v>
          </cell>
        </row>
        <row r="5415">
          <cell r="H5415">
            <v>0</v>
          </cell>
        </row>
        <row r="5416">
          <cell r="H5416">
            <v>0</v>
          </cell>
        </row>
        <row r="5417">
          <cell r="H5417">
            <v>0</v>
          </cell>
        </row>
        <row r="5418">
          <cell r="H5418">
            <v>0</v>
          </cell>
        </row>
        <row r="5419">
          <cell r="H5419">
            <v>0</v>
          </cell>
        </row>
        <row r="5420">
          <cell r="H5420">
            <v>0</v>
          </cell>
        </row>
        <row r="5421">
          <cell r="H5421">
            <v>0</v>
          </cell>
        </row>
        <row r="5422">
          <cell r="H5422">
            <v>0</v>
          </cell>
        </row>
        <row r="5423">
          <cell r="H5423">
            <v>0</v>
          </cell>
        </row>
        <row r="5424">
          <cell r="H5424">
            <v>0</v>
          </cell>
        </row>
        <row r="5425">
          <cell r="H5425">
            <v>0</v>
          </cell>
        </row>
        <row r="5426">
          <cell r="H5426">
            <v>0</v>
          </cell>
        </row>
        <row r="5427">
          <cell r="H5427">
            <v>0</v>
          </cell>
        </row>
        <row r="5428">
          <cell r="H5428">
            <v>0</v>
          </cell>
        </row>
        <row r="5429">
          <cell r="H5429">
            <v>0</v>
          </cell>
        </row>
        <row r="5430">
          <cell r="H5430">
            <v>0</v>
          </cell>
        </row>
        <row r="5431">
          <cell r="H5431">
            <v>0</v>
          </cell>
        </row>
        <row r="5432">
          <cell r="H5432">
            <v>0</v>
          </cell>
        </row>
        <row r="5433">
          <cell r="H5433">
            <v>0</v>
          </cell>
        </row>
        <row r="5434">
          <cell r="H5434">
            <v>0</v>
          </cell>
        </row>
        <row r="5435">
          <cell r="H5435">
            <v>0</v>
          </cell>
        </row>
        <row r="5436">
          <cell r="H5436">
            <v>0</v>
          </cell>
        </row>
        <row r="5437">
          <cell r="H5437">
            <v>0</v>
          </cell>
        </row>
        <row r="5438">
          <cell r="H5438">
            <v>0</v>
          </cell>
        </row>
        <row r="5439">
          <cell r="H5439">
            <v>0</v>
          </cell>
        </row>
        <row r="5440">
          <cell r="H5440">
            <v>0</v>
          </cell>
        </row>
        <row r="5441">
          <cell r="H5441">
            <v>0</v>
          </cell>
        </row>
        <row r="5442">
          <cell r="H5442">
            <v>0</v>
          </cell>
        </row>
        <row r="5443">
          <cell r="H5443">
            <v>0</v>
          </cell>
        </row>
        <row r="5444">
          <cell r="H5444">
            <v>0</v>
          </cell>
        </row>
        <row r="5445">
          <cell r="H5445">
            <v>0</v>
          </cell>
        </row>
        <row r="5446">
          <cell r="H5446">
            <v>0</v>
          </cell>
        </row>
        <row r="5447">
          <cell r="H5447">
            <v>0</v>
          </cell>
        </row>
        <row r="5448">
          <cell r="H5448">
            <v>0</v>
          </cell>
        </row>
        <row r="5449">
          <cell r="H5449">
            <v>0</v>
          </cell>
        </row>
        <row r="5450">
          <cell r="H5450">
            <v>0</v>
          </cell>
        </row>
        <row r="5451">
          <cell r="H5451">
            <v>0</v>
          </cell>
        </row>
        <row r="5452">
          <cell r="H5452">
            <v>0</v>
          </cell>
        </row>
        <row r="5453">
          <cell r="H5453">
            <v>0</v>
          </cell>
        </row>
        <row r="5454">
          <cell r="H5454">
            <v>0</v>
          </cell>
        </row>
        <row r="5455">
          <cell r="H5455">
            <v>0</v>
          </cell>
        </row>
        <row r="5456">
          <cell r="H5456">
            <v>0</v>
          </cell>
        </row>
        <row r="5457">
          <cell r="H5457">
            <v>0</v>
          </cell>
        </row>
        <row r="5458">
          <cell r="H5458">
            <v>0</v>
          </cell>
        </row>
        <row r="5459">
          <cell r="H5459">
            <v>0</v>
          </cell>
        </row>
        <row r="5460">
          <cell r="H5460">
            <v>0</v>
          </cell>
        </row>
        <row r="5461">
          <cell r="H5461">
            <v>0</v>
          </cell>
        </row>
        <row r="5462">
          <cell r="H5462">
            <v>0</v>
          </cell>
        </row>
        <row r="5463">
          <cell r="H5463">
            <v>0</v>
          </cell>
        </row>
        <row r="5464">
          <cell r="H5464">
            <v>0</v>
          </cell>
        </row>
        <row r="5465">
          <cell r="H5465">
            <v>0</v>
          </cell>
        </row>
        <row r="5466">
          <cell r="H5466">
            <v>0</v>
          </cell>
        </row>
        <row r="5467">
          <cell r="H5467">
            <v>0</v>
          </cell>
        </row>
        <row r="5468">
          <cell r="H5468">
            <v>0</v>
          </cell>
        </row>
        <row r="5469">
          <cell r="H5469">
            <v>0</v>
          </cell>
        </row>
        <row r="5470">
          <cell r="H5470">
            <v>0</v>
          </cell>
        </row>
        <row r="5471">
          <cell r="H5471">
            <v>0</v>
          </cell>
        </row>
        <row r="5472">
          <cell r="H5472">
            <v>0</v>
          </cell>
        </row>
        <row r="5473">
          <cell r="H5473">
            <v>0</v>
          </cell>
        </row>
        <row r="5474">
          <cell r="H5474">
            <v>0</v>
          </cell>
        </row>
        <row r="5475">
          <cell r="H5475">
            <v>0</v>
          </cell>
        </row>
        <row r="5476">
          <cell r="H5476">
            <v>0</v>
          </cell>
        </row>
        <row r="5477">
          <cell r="H5477">
            <v>0</v>
          </cell>
        </row>
        <row r="5478">
          <cell r="H5478">
            <v>0</v>
          </cell>
        </row>
        <row r="5479">
          <cell r="H5479">
            <v>0</v>
          </cell>
        </row>
        <row r="5480">
          <cell r="H5480">
            <v>0</v>
          </cell>
        </row>
        <row r="5481">
          <cell r="H5481">
            <v>0</v>
          </cell>
        </row>
        <row r="5482">
          <cell r="H5482">
            <v>0</v>
          </cell>
        </row>
        <row r="5483">
          <cell r="H5483">
            <v>0</v>
          </cell>
        </row>
        <row r="5484">
          <cell r="H5484">
            <v>0</v>
          </cell>
        </row>
        <row r="5485">
          <cell r="H5485">
            <v>0</v>
          </cell>
        </row>
        <row r="5486">
          <cell r="H5486">
            <v>0</v>
          </cell>
        </row>
        <row r="5487">
          <cell r="H5487">
            <v>0</v>
          </cell>
        </row>
        <row r="5488">
          <cell r="H5488">
            <v>0</v>
          </cell>
        </row>
        <row r="5489">
          <cell r="H5489">
            <v>0</v>
          </cell>
        </row>
        <row r="5490">
          <cell r="H5490">
            <v>0</v>
          </cell>
        </row>
        <row r="5491">
          <cell r="H5491">
            <v>0</v>
          </cell>
        </row>
        <row r="5492">
          <cell r="H5492">
            <v>0</v>
          </cell>
        </row>
        <row r="5493">
          <cell r="H5493">
            <v>0</v>
          </cell>
        </row>
        <row r="5494">
          <cell r="H5494">
            <v>0</v>
          </cell>
        </row>
        <row r="5495">
          <cell r="H5495">
            <v>0</v>
          </cell>
        </row>
        <row r="5496">
          <cell r="H5496">
            <v>0</v>
          </cell>
        </row>
        <row r="5497">
          <cell r="H5497">
            <v>0</v>
          </cell>
        </row>
        <row r="5498">
          <cell r="H5498">
            <v>0</v>
          </cell>
        </row>
        <row r="5499">
          <cell r="H5499">
            <v>0</v>
          </cell>
        </row>
        <row r="5500">
          <cell r="H5500">
            <v>0</v>
          </cell>
        </row>
        <row r="5501">
          <cell r="H5501">
            <v>0</v>
          </cell>
        </row>
        <row r="5502">
          <cell r="H5502">
            <v>0</v>
          </cell>
        </row>
        <row r="5503">
          <cell r="H5503">
            <v>0</v>
          </cell>
        </row>
        <row r="5504">
          <cell r="H5504">
            <v>0</v>
          </cell>
        </row>
        <row r="5505">
          <cell r="H5505">
            <v>0</v>
          </cell>
        </row>
        <row r="5506">
          <cell r="H5506">
            <v>0</v>
          </cell>
        </row>
        <row r="5507">
          <cell r="H5507">
            <v>0</v>
          </cell>
        </row>
        <row r="5508">
          <cell r="H5508">
            <v>0</v>
          </cell>
        </row>
        <row r="5509">
          <cell r="H5509">
            <v>0</v>
          </cell>
        </row>
        <row r="5510">
          <cell r="H5510">
            <v>0</v>
          </cell>
        </row>
        <row r="5511">
          <cell r="H5511">
            <v>0</v>
          </cell>
        </row>
        <row r="5512">
          <cell r="H5512">
            <v>0</v>
          </cell>
        </row>
        <row r="5513">
          <cell r="H5513">
            <v>0</v>
          </cell>
        </row>
        <row r="5514">
          <cell r="H5514">
            <v>0</v>
          </cell>
        </row>
        <row r="5515">
          <cell r="H5515">
            <v>0</v>
          </cell>
        </row>
        <row r="5516">
          <cell r="H5516">
            <v>0</v>
          </cell>
        </row>
        <row r="5517">
          <cell r="H5517">
            <v>0</v>
          </cell>
        </row>
        <row r="5518">
          <cell r="H5518">
            <v>0</v>
          </cell>
        </row>
        <row r="5519">
          <cell r="H5519">
            <v>0</v>
          </cell>
        </row>
        <row r="5520">
          <cell r="H5520">
            <v>0</v>
          </cell>
        </row>
        <row r="5521">
          <cell r="H5521">
            <v>0</v>
          </cell>
        </row>
        <row r="5522">
          <cell r="H5522">
            <v>0</v>
          </cell>
        </row>
        <row r="5523">
          <cell r="H5523">
            <v>0</v>
          </cell>
        </row>
        <row r="5524">
          <cell r="H5524">
            <v>0</v>
          </cell>
        </row>
        <row r="5525">
          <cell r="H5525">
            <v>0</v>
          </cell>
        </row>
        <row r="5526">
          <cell r="H5526">
            <v>0</v>
          </cell>
        </row>
        <row r="5527">
          <cell r="H5527">
            <v>0</v>
          </cell>
        </row>
        <row r="5528">
          <cell r="H5528">
            <v>0</v>
          </cell>
        </row>
        <row r="5529">
          <cell r="H5529">
            <v>0</v>
          </cell>
        </row>
        <row r="5530">
          <cell r="H5530">
            <v>0</v>
          </cell>
        </row>
        <row r="5531">
          <cell r="H5531">
            <v>0</v>
          </cell>
        </row>
        <row r="5532">
          <cell r="H5532">
            <v>0</v>
          </cell>
        </row>
        <row r="5533">
          <cell r="H5533">
            <v>0</v>
          </cell>
        </row>
        <row r="5534">
          <cell r="H5534">
            <v>0</v>
          </cell>
        </row>
        <row r="5535">
          <cell r="H5535">
            <v>0</v>
          </cell>
        </row>
        <row r="5536">
          <cell r="H5536">
            <v>0</v>
          </cell>
        </row>
        <row r="5537">
          <cell r="H5537">
            <v>0</v>
          </cell>
        </row>
        <row r="5538">
          <cell r="H5538">
            <v>0</v>
          </cell>
        </row>
        <row r="5539">
          <cell r="H5539">
            <v>0</v>
          </cell>
        </row>
        <row r="5540">
          <cell r="H5540">
            <v>0</v>
          </cell>
        </row>
        <row r="5541">
          <cell r="H5541">
            <v>0</v>
          </cell>
        </row>
        <row r="5542">
          <cell r="H5542">
            <v>0</v>
          </cell>
        </row>
        <row r="5543">
          <cell r="H5543">
            <v>0</v>
          </cell>
        </row>
        <row r="5544">
          <cell r="H5544">
            <v>0</v>
          </cell>
        </row>
        <row r="5545">
          <cell r="H5545">
            <v>0</v>
          </cell>
        </row>
        <row r="5546">
          <cell r="H5546">
            <v>0</v>
          </cell>
        </row>
        <row r="5547">
          <cell r="H5547">
            <v>0</v>
          </cell>
        </row>
        <row r="5548">
          <cell r="H5548">
            <v>0</v>
          </cell>
        </row>
        <row r="5549">
          <cell r="H5549">
            <v>0</v>
          </cell>
        </row>
        <row r="5550">
          <cell r="H5550">
            <v>0</v>
          </cell>
        </row>
        <row r="5551">
          <cell r="H5551">
            <v>0</v>
          </cell>
        </row>
        <row r="5552">
          <cell r="H5552">
            <v>0</v>
          </cell>
        </row>
        <row r="5553">
          <cell r="H5553">
            <v>0</v>
          </cell>
        </row>
        <row r="5554">
          <cell r="H5554">
            <v>0</v>
          </cell>
        </row>
        <row r="5555">
          <cell r="H5555">
            <v>0</v>
          </cell>
        </row>
        <row r="5556">
          <cell r="H5556">
            <v>0</v>
          </cell>
        </row>
        <row r="5557">
          <cell r="H5557">
            <v>0</v>
          </cell>
        </row>
        <row r="5558">
          <cell r="H5558">
            <v>0</v>
          </cell>
        </row>
        <row r="5559">
          <cell r="H5559">
            <v>0</v>
          </cell>
        </row>
        <row r="5560">
          <cell r="H5560">
            <v>0</v>
          </cell>
        </row>
        <row r="5561">
          <cell r="H5561">
            <v>0</v>
          </cell>
        </row>
        <row r="5562">
          <cell r="H5562">
            <v>0</v>
          </cell>
        </row>
        <row r="5563">
          <cell r="H5563">
            <v>0</v>
          </cell>
        </row>
        <row r="5564">
          <cell r="H5564">
            <v>0</v>
          </cell>
        </row>
        <row r="5565">
          <cell r="H5565">
            <v>0</v>
          </cell>
        </row>
        <row r="5566">
          <cell r="H5566">
            <v>0</v>
          </cell>
        </row>
        <row r="5567">
          <cell r="H5567">
            <v>0</v>
          </cell>
        </row>
        <row r="5568">
          <cell r="H5568">
            <v>0</v>
          </cell>
        </row>
        <row r="5569">
          <cell r="H5569">
            <v>0</v>
          </cell>
        </row>
        <row r="5570">
          <cell r="H5570">
            <v>0</v>
          </cell>
        </row>
        <row r="5571">
          <cell r="H5571">
            <v>0</v>
          </cell>
        </row>
        <row r="5572">
          <cell r="H5572">
            <v>0</v>
          </cell>
        </row>
        <row r="5573">
          <cell r="H5573">
            <v>0</v>
          </cell>
        </row>
        <row r="5574">
          <cell r="H5574">
            <v>0</v>
          </cell>
        </row>
        <row r="5575">
          <cell r="H5575">
            <v>0</v>
          </cell>
        </row>
        <row r="5576">
          <cell r="H5576">
            <v>0</v>
          </cell>
        </row>
        <row r="5577">
          <cell r="H5577">
            <v>0</v>
          </cell>
        </row>
        <row r="5578">
          <cell r="H5578">
            <v>0</v>
          </cell>
        </row>
        <row r="5579">
          <cell r="H5579">
            <v>0</v>
          </cell>
        </row>
        <row r="5580">
          <cell r="H5580">
            <v>0</v>
          </cell>
        </row>
        <row r="5581">
          <cell r="H5581">
            <v>0</v>
          </cell>
        </row>
        <row r="5582">
          <cell r="H5582">
            <v>0</v>
          </cell>
        </row>
        <row r="5583">
          <cell r="H5583">
            <v>0</v>
          </cell>
        </row>
        <row r="5584">
          <cell r="H5584">
            <v>0</v>
          </cell>
        </row>
        <row r="5585">
          <cell r="H5585">
            <v>0</v>
          </cell>
        </row>
        <row r="5586">
          <cell r="H5586">
            <v>0</v>
          </cell>
        </row>
        <row r="5587">
          <cell r="H5587">
            <v>0</v>
          </cell>
        </row>
        <row r="5588">
          <cell r="H5588">
            <v>0</v>
          </cell>
        </row>
        <row r="5589">
          <cell r="H5589">
            <v>0</v>
          </cell>
        </row>
        <row r="5590">
          <cell r="H5590">
            <v>0</v>
          </cell>
        </row>
        <row r="5591">
          <cell r="H5591">
            <v>0</v>
          </cell>
        </row>
        <row r="5592">
          <cell r="H5592">
            <v>0</v>
          </cell>
        </row>
        <row r="5593">
          <cell r="H5593">
            <v>0</v>
          </cell>
        </row>
        <row r="5594">
          <cell r="H5594">
            <v>0</v>
          </cell>
        </row>
        <row r="5595">
          <cell r="H5595">
            <v>0</v>
          </cell>
        </row>
        <row r="5596">
          <cell r="H5596">
            <v>0</v>
          </cell>
        </row>
        <row r="5597">
          <cell r="H5597">
            <v>0</v>
          </cell>
        </row>
        <row r="5598">
          <cell r="H5598">
            <v>0</v>
          </cell>
        </row>
        <row r="5599">
          <cell r="H5599">
            <v>0</v>
          </cell>
        </row>
        <row r="5600">
          <cell r="H5600">
            <v>0</v>
          </cell>
        </row>
        <row r="5601">
          <cell r="H5601">
            <v>0</v>
          </cell>
        </row>
        <row r="5602">
          <cell r="H5602">
            <v>0</v>
          </cell>
        </row>
        <row r="5603">
          <cell r="H5603">
            <v>0</v>
          </cell>
        </row>
        <row r="5604">
          <cell r="H5604">
            <v>0</v>
          </cell>
        </row>
        <row r="5605">
          <cell r="H5605">
            <v>0</v>
          </cell>
        </row>
        <row r="5606">
          <cell r="H5606">
            <v>0</v>
          </cell>
        </row>
        <row r="5607">
          <cell r="H5607">
            <v>0</v>
          </cell>
        </row>
        <row r="5608">
          <cell r="H5608">
            <v>0</v>
          </cell>
        </row>
        <row r="5609">
          <cell r="H5609">
            <v>0</v>
          </cell>
        </row>
        <row r="5610">
          <cell r="H5610">
            <v>0</v>
          </cell>
        </row>
        <row r="5611">
          <cell r="H5611">
            <v>0</v>
          </cell>
        </row>
        <row r="5612">
          <cell r="H5612">
            <v>0</v>
          </cell>
        </row>
        <row r="5613">
          <cell r="H5613">
            <v>0</v>
          </cell>
        </row>
        <row r="5614">
          <cell r="H5614">
            <v>0</v>
          </cell>
        </row>
        <row r="5615">
          <cell r="H5615">
            <v>0</v>
          </cell>
        </row>
        <row r="5616">
          <cell r="H5616">
            <v>0</v>
          </cell>
        </row>
        <row r="5617">
          <cell r="H5617">
            <v>0</v>
          </cell>
        </row>
        <row r="5618">
          <cell r="H5618">
            <v>0</v>
          </cell>
        </row>
        <row r="5619">
          <cell r="H5619">
            <v>0</v>
          </cell>
        </row>
        <row r="5620">
          <cell r="H5620">
            <v>0</v>
          </cell>
        </row>
        <row r="5621">
          <cell r="H5621">
            <v>0</v>
          </cell>
        </row>
        <row r="5622">
          <cell r="H5622">
            <v>0</v>
          </cell>
        </row>
        <row r="5623">
          <cell r="H5623">
            <v>0</v>
          </cell>
        </row>
        <row r="5624">
          <cell r="H5624">
            <v>0</v>
          </cell>
        </row>
        <row r="5625">
          <cell r="H5625">
            <v>0</v>
          </cell>
        </row>
        <row r="5626">
          <cell r="H5626">
            <v>0</v>
          </cell>
        </row>
        <row r="5627">
          <cell r="H5627">
            <v>0</v>
          </cell>
        </row>
        <row r="5628">
          <cell r="H5628">
            <v>0</v>
          </cell>
        </row>
        <row r="5629">
          <cell r="H5629">
            <v>0</v>
          </cell>
        </row>
        <row r="5630">
          <cell r="H5630">
            <v>0</v>
          </cell>
        </row>
        <row r="5631">
          <cell r="H5631">
            <v>0</v>
          </cell>
        </row>
        <row r="5632">
          <cell r="H5632">
            <v>0</v>
          </cell>
        </row>
        <row r="5633">
          <cell r="H5633">
            <v>0</v>
          </cell>
        </row>
        <row r="5634">
          <cell r="H5634">
            <v>0</v>
          </cell>
        </row>
        <row r="5635">
          <cell r="H5635">
            <v>0</v>
          </cell>
        </row>
        <row r="5636">
          <cell r="H5636">
            <v>0</v>
          </cell>
        </row>
        <row r="5637">
          <cell r="H5637">
            <v>0</v>
          </cell>
        </row>
        <row r="5638">
          <cell r="H5638">
            <v>0</v>
          </cell>
        </row>
        <row r="5639">
          <cell r="H5639">
            <v>0</v>
          </cell>
        </row>
        <row r="5640">
          <cell r="H5640">
            <v>0</v>
          </cell>
        </row>
        <row r="5641">
          <cell r="H5641">
            <v>0</v>
          </cell>
        </row>
        <row r="5642">
          <cell r="H5642">
            <v>0</v>
          </cell>
        </row>
        <row r="5643">
          <cell r="H5643">
            <v>0</v>
          </cell>
        </row>
        <row r="5644">
          <cell r="H5644">
            <v>0</v>
          </cell>
        </row>
        <row r="5645">
          <cell r="H5645">
            <v>0</v>
          </cell>
        </row>
        <row r="5646">
          <cell r="H5646">
            <v>0</v>
          </cell>
        </row>
        <row r="5647">
          <cell r="H5647">
            <v>0</v>
          </cell>
        </row>
        <row r="5648">
          <cell r="H5648">
            <v>0</v>
          </cell>
        </row>
        <row r="5649">
          <cell r="H5649">
            <v>0</v>
          </cell>
        </row>
        <row r="5650">
          <cell r="H5650">
            <v>0</v>
          </cell>
        </row>
        <row r="5651">
          <cell r="H5651">
            <v>0</v>
          </cell>
        </row>
        <row r="5652">
          <cell r="H5652">
            <v>0</v>
          </cell>
        </row>
        <row r="5653">
          <cell r="H5653">
            <v>0</v>
          </cell>
        </row>
        <row r="5654">
          <cell r="H5654">
            <v>0</v>
          </cell>
        </row>
        <row r="5655">
          <cell r="H5655">
            <v>0</v>
          </cell>
        </row>
        <row r="5656">
          <cell r="H5656">
            <v>0</v>
          </cell>
        </row>
        <row r="5657">
          <cell r="H5657">
            <v>0</v>
          </cell>
        </row>
        <row r="5658">
          <cell r="H5658">
            <v>0</v>
          </cell>
        </row>
        <row r="5659">
          <cell r="H5659">
            <v>0</v>
          </cell>
        </row>
        <row r="5660">
          <cell r="H5660">
            <v>0</v>
          </cell>
        </row>
        <row r="5661">
          <cell r="H5661">
            <v>0</v>
          </cell>
        </row>
        <row r="5662">
          <cell r="H5662">
            <v>0</v>
          </cell>
        </row>
        <row r="5663">
          <cell r="H5663">
            <v>0</v>
          </cell>
        </row>
        <row r="5664">
          <cell r="H5664">
            <v>0</v>
          </cell>
        </row>
        <row r="5665">
          <cell r="H5665">
            <v>0</v>
          </cell>
        </row>
        <row r="5666">
          <cell r="H5666">
            <v>0</v>
          </cell>
        </row>
        <row r="5667">
          <cell r="H5667">
            <v>0</v>
          </cell>
        </row>
        <row r="5668">
          <cell r="H5668">
            <v>0</v>
          </cell>
        </row>
        <row r="5669">
          <cell r="H5669">
            <v>0</v>
          </cell>
        </row>
        <row r="5670">
          <cell r="H5670">
            <v>0</v>
          </cell>
        </row>
        <row r="5671">
          <cell r="H5671">
            <v>0</v>
          </cell>
        </row>
        <row r="5672">
          <cell r="H5672">
            <v>0</v>
          </cell>
        </row>
        <row r="5673">
          <cell r="H5673">
            <v>0</v>
          </cell>
        </row>
        <row r="5674">
          <cell r="H5674">
            <v>0</v>
          </cell>
        </row>
        <row r="5675">
          <cell r="H5675">
            <v>0</v>
          </cell>
        </row>
        <row r="5676">
          <cell r="H5676">
            <v>0</v>
          </cell>
        </row>
        <row r="5677">
          <cell r="H5677">
            <v>0</v>
          </cell>
        </row>
        <row r="5678">
          <cell r="H5678">
            <v>0</v>
          </cell>
        </row>
        <row r="5679">
          <cell r="H5679">
            <v>0</v>
          </cell>
        </row>
        <row r="5680">
          <cell r="H5680">
            <v>0</v>
          </cell>
        </row>
        <row r="5681">
          <cell r="H5681">
            <v>0</v>
          </cell>
        </row>
        <row r="5682">
          <cell r="H5682">
            <v>0</v>
          </cell>
        </row>
        <row r="5683">
          <cell r="H5683">
            <v>0</v>
          </cell>
        </row>
        <row r="5684">
          <cell r="H5684">
            <v>0</v>
          </cell>
        </row>
        <row r="5685">
          <cell r="H5685">
            <v>0</v>
          </cell>
        </row>
        <row r="5686">
          <cell r="H5686">
            <v>0</v>
          </cell>
        </row>
        <row r="5687">
          <cell r="H5687">
            <v>0</v>
          </cell>
        </row>
        <row r="5688">
          <cell r="H5688">
            <v>0</v>
          </cell>
        </row>
        <row r="5689">
          <cell r="H5689">
            <v>0</v>
          </cell>
        </row>
        <row r="5690">
          <cell r="H5690">
            <v>0</v>
          </cell>
        </row>
        <row r="5691">
          <cell r="H5691">
            <v>0</v>
          </cell>
        </row>
        <row r="5692">
          <cell r="H5692">
            <v>0</v>
          </cell>
        </row>
        <row r="5693">
          <cell r="H5693">
            <v>0</v>
          </cell>
        </row>
        <row r="5694">
          <cell r="H5694">
            <v>0</v>
          </cell>
        </row>
        <row r="5695">
          <cell r="H5695">
            <v>0</v>
          </cell>
        </row>
        <row r="5696">
          <cell r="H5696">
            <v>0</v>
          </cell>
        </row>
        <row r="5697">
          <cell r="H5697">
            <v>0</v>
          </cell>
        </row>
        <row r="5698">
          <cell r="H5698">
            <v>0</v>
          </cell>
        </row>
        <row r="5699">
          <cell r="H5699">
            <v>0</v>
          </cell>
        </row>
        <row r="5700">
          <cell r="H5700">
            <v>0</v>
          </cell>
        </row>
        <row r="5701">
          <cell r="H5701">
            <v>0</v>
          </cell>
        </row>
        <row r="5702">
          <cell r="H5702">
            <v>0</v>
          </cell>
        </row>
        <row r="5703">
          <cell r="H5703">
            <v>0</v>
          </cell>
        </row>
        <row r="5704">
          <cell r="H5704">
            <v>0</v>
          </cell>
        </row>
        <row r="5705">
          <cell r="H5705">
            <v>0</v>
          </cell>
        </row>
        <row r="5706">
          <cell r="H5706">
            <v>0</v>
          </cell>
        </row>
        <row r="5707">
          <cell r="H5707">
            <v>0</v>
          </cell>
        </row>
        <row r="5708">
          <cell r="H5708">
            <v>0</v>
          </cell>
        </row>
        <row r="5709">
          <cell r="H5709">
            <v>0</v>
          </cell>
        </row>
        <row r="5710">
          <cell r="H5710">
            <v>0</v>
          </cell>
        </row>
        <row r="5711">
          <cell r="H5711">
            <v>0</v>
          </cell>
        </row>
        <row r="5712">
          <cell r="H5712">
            <v>0</v>
          </cell>
        </row>
        <row r="5713">
          <cell r="H5713">
            <v>0</v>
          </cell>
        </row>
        <row r="5714">
          <cell r="H5714">
            <v>0</v>
          </cell>
        </row>
        <row r="5715">
          <cell r="H5715">
            <v>0</v>
          </cell>
        </row>
        <row r="5716">
          <cell r="H5716">
            <v>0</v>
          </cell>
        </row>
        <row r="5717">
          <cell r="H5717">
            <v>0</v>
          </cell>
        </row>
        <row r="5718">
          <cell r="H5718">
            <v>0</v>
          </cell>
        </row>
        <row r="5719">
          <cell r="H5719">
            <v>0</v>
          </cell>
        </row>
        <row r="5720">
          <cell r="H5720">
            <v>0</v>
          </cell>
        </row>
        <row r="5721">
          <cell r="H5721">
            <v>0</v>
          </cell>
        </row>
        <row r="5722">
          <cell r="H5722">
            <v>0</v>
          </cell>
        </row>
        <row r="5723">
          <cell r="H5723">
            <v>0</v>
          </cell>
        </row>
        <row r="5724">
          <cell r="H5724">
            <v>0</v>
          </cell>
        </row>
        <row r="5725">
          <cell r="H5725">
            <v>0</v>
          </cell>
        </row>
        <row r="5726">
          <cell r="H5726">
            <v>0</v>
          </cell>
        </row>
        <row r="5727">
          <cell r="H5727">
            <v>0</v>
          </cell>
        </row>
        <row r="5728">
          <cell r="H5728">
            <v>0</v>
          </cell>
        </row>
        <row r="5729">
          <cell r="H5729">
            <v>0</v>
          </cell>
        </row>
        <row r="5730">
          <cell r="H5730">
            <v>0</v>
          </cell>
        </row>
        <row r="5731">
          <cell r="H5731">
            <v>0</v>
          </cell>
        </row>
        <row r="5732">
          <cell r="H5732">
            <v>0</v>
          </cell>
        </row>
        <row r="5733">
          <cell r="H5733">
            <v>0</v>
          </cell>
        </row>
        <row r="5734">
          <cell r="H5734">
            <v>0</v>
          </cell>
        </row>
        <row r="5735">
          <cell r="H5735">
            <v>0</v>
          </cell>
        </row>
        <row r="5736">
          <cell r="H5736">
            <v>0</v>
          </cell>
        </row>
        <row r="5737">
          <cell r="H5737">
            <v>0</v>
          </cell>
        </row>
        <row r="5738">
          <cell r="H5738">
            <v>0</v>
          </cell>
        </row>
        <row r="5739">
          <cell r="H5739">
            <v>0</v>
          </cell>
        </row>
        <row r="5740">
          <cell r="H5740">
            <v>0</v>
          </cell>
        </row>
        <row r="5741">
          <cell r="H5741">
            <v>0</v>
          </cell>
        </row>
        <row r="5742">
          <cell r="H5742">
            <v>0</v>
          </cell>
        </row>
        <row r="5743">
          <cell r="H5743">
            <v>0</v>
          </cell>
        </row>
        <row r="5744">
          <cell r="H5744">
            <v>0</v>
          </cell>
        </row>
        <row r="5745">
          <cell r="H5745">
            <v>0</v>
          </cell>
        </row>
        <row r="5746">
          <cell r="H5746">
            <v>0</v>
          </cell>
        </row>
        <row r="5747">
          <cell r="H5747">
            <v>0</v>
          </cell>
        </row>
        <row r="5748">
          <cell r="H5748">
            <v>0</v>
          </cell>
        </row>
        <row r="5749">
          <cell r="H5749">
            <v>0</v>
          </cell>
        </row>
        <row r="5750">
          <cell r="H5750">
            <v>0</v>
          </cell>
        </row>
        <row r="5751">
          <cell r="H5751">
            <v>0</v>
          </cell>
        </row>
        <row r="5752">
          <cell r="H5752">
            <v>0</v>
          </cell>
        </row>
        <row r="5753">
          <cell r="H5753">
            <v>0</v>
          </cell>
        </row>
        <row r="5754">
          <cell r="H5754">
            <v>0</v>
          </cell>
        </row>
        <row r="5755">
          <cell r="H5755">
            <v>0</v>
          </cell>
        </row>
        <row r="5756">
          <cell r="H5756">
            <v>0</v>
          </cell>
        </row>
        <row r="5757">
          <cell r="H5757">
            <v>0</v>
          </cell>
        </row>
        <row r="5758">
          <cell r="H5758">
            <v>0</v>
          </cell>
        </row>
        <row r="5759">
          <cell r="H5759">
            <v>0</v>
          </cell>
        </row>
        <row r="5760">
          <cell r="H5760">
            <v>0</v>
          </cell>
        </row>
        <row r="5761">
          <cell r="H5761">
            <v>0</v>
          </cell>
        </row>
        <row r="5762">
          <cell r="H5762">
            <v>0</v>
          </cell>
        </row>
        <row r="5763">
          <cell r="H5763">
            <v>0</v>
          </cell>
        </row>
        <row r="5764">
          <cell r="H5764">
            <v>0</v>
          </cell>
        </row>
        <row r="5765">
          <cell r="H5765">
            <v>0</v>
          </cell>
        </row>
        <row r="5766">
          <cell r="H5766">
            <v>0</v>
          </cell>
        </row>
        <row r="5767">
          <cell r="H5767">
            <v>0</v>
          </cell>
        </row>
        <row r="5768">
          <cell r="H5768">
            <v>0</v>
          </cell>
        </row>
        <row r="5769">
          <cell r="H5769">
            <v>0</v>
          </cell>
        </row>
        <row r="5770">
          <cell r="H5770">
            <v>0</v>
          </cell>
        </row>
        <row r="5771">
          <cell r="H5771">
            <v>0</v>
          </cell>
        </row>
        <row r="5772">
          <cell r="H5772">
            <v>0</v>
          </cell>
        </row>
        <row r="5773">
          <cell r="H5773">
            <v>0</v>
          </cell>
        </row>
        <row r="5774">
          <cell r="H5774">
            <v>0</v>
          </cell>
        </row>
        <row r="5775">
          <cell r="H5775">
            <v>0</v>
          </cell>
        </row>
        <row r="5776">
          <cell r="H5776">
            <v>0</v>
          </cell>
        </row>
        <row r="5777">
          <cell r="H5777">
            <v>0</v>
          </cell>
        </row>
        <row r="5778">
          <cell r="H5778">
            <v>0</v>
          </cell>
        </row>
        <row r="5779">
          <cell r="H5779">
            <v>0</v>
          </cell>
        </row>
        <row r="5780">
          <cell r="H5780">
            <v>0</v>
          </cell>
        </row>
        <row r="5781">
          <cell r="H5781">
            <v>0</v>
          </cell>
        </row>
        <row r="5782">
          <cell r="H5782">
            <v>0</v>
          </cell>
        </row>
        <row r="5783">
          <cell r="H5783">
            <v>0</v>
          </cell>
        </row>
        <row r="5784">
          <cell r="H5784">
            <v>0</v>
          </cell>
        </row>
        <row r="5785">
          <cell r="H5785">
            <v>0</v>
          </cell>
        </row>
        <row r="5786">
          <cell r="H5786">
            <v>0</v>
          </cell>
        </row>
        <row r="5787">
          <cell r="H5787">
            <v>0</v>
          </cell>
        </row>
        <row r="5788">
          <cell r="H5788">
            <v>0</v>
          </cell>
        </row>
        <row r="5789">
          <cell r="H5789">
            <v>0</v>
          </cell>
        </row>
        <row r="5790">
          <cell r="H5790">
            <v>0</v>
          </cell>
        </row>
        <row r="5791">
          <cell r="H5791">
            <v>0</v>
          </cell>
        </row>
        <row r="5792">
          <cell r="H5792">
            <v>0</v>
          </cell>
        </row>
        <row r="5793">
          <cell r="H5793">
            <v>0</v>
          </cell>
        </row>
        <row r="5794">
          <cell r="H5794">
            <v>0</v>
          </cell>
        </row>
        <row r="5795">
          <cell r="H5795">
            <v>0</v>
          </cell>
        </row>
        <row r="5796">
          <cell r="H5796">
            <v>0</v>
          </cell>
        </row>
        <row r="5797">
          <cell r="H5797">
            <v>0</v>
          </cell>
        </row>
        <row r="5798">
          <cell r="H5798">
            <v>0</v>
          </cell>
        </row>
        <row r="5799">
          <cell r="H5799">
            <v>0</v>
          </cell>
        </row>
        <row r="5800">
          <cell r="H5800">
            <v>0</v>
          </cell>
        </row>
        <row r="5801">
          <cell r="H5801">
            <v>0</v>
          </cell>
        </row>
        <row r="5802">
          <cell r="H5802">
            <v>0</v>
          </cell>
        </row>
        <row r="5803">
          <cell r="H5803">
            <v>0</v>
          </cell>
        </row>
        <row r="5804">
          <cell r="H5804">
            <v>0</v>
          </cell>
        </row>
        <row r="5805">
          <cell r="H5805">
            <v>0</v>
          </cell>
        </row>
        <row r="5806">
          <cell r="H5806">
            <v>0</v>
          </cell>
        </row>
        <row r="5807">
          <cell r="H5807">
            <v>0</v>
          </cell>
        </row>
        <row r="5808">
          <cell r="H5808">
            <v>0</v>
          </cell>
        </row>
        <row r="5809">
          <cell r="H5809">
            <v>0</v>
          </cell>
        </row>
        <row r="5810">
          <cell r="H5810">
            <v>0</v>
          </cell>
        </row>
        <row r="5811">
          <cell r="H5811">
            <v>0</v>
          </cell>
        </row>
        <row r="5812">
          <cell r="H5812">
            <v>0</v>
          </cell>
        </row>
        <row r="5813">
          <cell r="H5813">
            <v>0</v>
          </cell>
        </row>
        <row r="5814">
          <cell r="H5814">
            <v>0</v>
          </cell>
        </row>
        <row r="5815">
          <cell r="H5815">
            <v>0</v>
          </cell>
        </row>
        <row r="5816">
          <cell r="H5816">
            <v>0</v>
          </cell>
        </row>
        <row r="5817">
          <cell r="H5817">
            <v>0</v>
          </cell>
        </row>
        <row r="5818">
          <cell r="H5818">
            <v>0</v>
          </cell>
        </row>
        <row r="5819">
          <cell r="H5819">
            <v>0</v>
          </cell>
        </row>
        <row r="5820">
          <cell r="H5820">
            <v>0</v>
          </cell>
        </row>
        <row r="5821">
          <cell r="H5821">
            <v>0</v>
          </cell>
        </row>
        <row r="5822">
          <cell r="H5822">
            <v>0</v>
          </cell>
        </row>
        <row r="5823">
          <cell r="H5823">
            <v>0</v>
          </cell>
        </row>
        <row r="5824">
          <cell r="H5824">
            <v>0</v>
          </cell>
        </row>
        <row r="5825">
          <cell r="H5825">
            <v>0</v>
          </cell>
        </row>
        <row r="5826">
          <cell r="H5826">
            <v>0</v>
          </cell>
        </row>
        <row r="5827">
          <cell r="H5827">
            <v>0</v>
          </cell>
        </row>
        <row r="5828">
          <cell r="H5828">
            <v>0</v>
          </cell>
        </row>
        <row r="5829">
          <cell r="H5829">
            <v>0</v>
          </cell>
        </row>
        <row r="5830">
          <cell r="H5830">
            <v>0</v>
          </cell>
        </row>
        <row r="5831">
          <cell r="H5831">
            <v>0</v>
          </cell>
        </row>
        <row r="5832">
          <cell r="H5832">
            <v>0</v>
          </cell>
        </row>
        <row r="5833">
          <cell r="H5833">
            <v>0</v>
          </cell>
        </row>
        <row r="5834">
          <cell r="H5834">
            <v>0</v>
          </cell>
        </row>
        <row r="5835">
          <cell r="H5835">
            <v>0</v>
          </cell>
        </row>
        <row r="5836">
          <cell r="H5836">
            <v>0</v>
          </cell>
        </row>
        <row r="5837">
          <cell r="H5837">
            <v>0</v>
          </cell>
        </row>
        <row r="5838">
          <cell r="H5838">
            <v>0</v>
          </cell>
        </row>
        <row r="5839">
          <cell r="H5839">
            <v>0</v>
          </cell>
        </row>
        <row r="5840">
          <cell r="H5840">
            <v>0</v>
          </cell>
        </row>
        <row r="5841">
          <cell r="H5841">
            <v>0</v>
          </cell>
        </row>
        <row r="5842">
          <cell r="H5842">
            <v>0</v>
          </cell>
        </row>
        <row r="5843">
          <cell r="H5843">
            <v>0</v>
          </cell>
        </row>
        <row r="5844">
          <cell r="H5844">
            <v>0</v>
          </cell>
        </row>
        <row r="5845">
          <cell r="H5845">
            <v>0</v>
          </cell>
        </row>
        <row r="5846">
          <cell r="H5846">
            <v>0</v>
          </cell>
        </row>
        <row r="5847">
          <cell r="H5847">
            <v>0</v>
          </cell>
        </row>
        <row r="5848">
          <cell r="H5848">
            <v>0</v>
          </cell>
        </row>
        <row r="5849">
          <cell r="H5849">
            <v>0</v>
          </cell>
        </row>
        <row r="5850">
          <cell r="H5850">
            <v>0</v>
          </cell>
        </row>
        <row r="5851">
          <cell r="H5851">
            <v>0</v>
          </cell>
        </row>
        <row r="5852">
          <cell r="H5852">
            <v>0</v>
          </cell>
        </row>
        <row r="5853">
          <cell r="H5853">
            <v>0</v>
          </cell>
        </row>
        <row r="5854">
          <cell r="H5854">
            <v>0</v>
          </cell>
        </row>
        <row r="5855">
          <cell r="H5855">
            <v>0</v>
          </cell>
        </row>
        <row r="5856">
          <cell r="H5856">
            <v>0</v>
          </cell>
        </row>
        <row r="5857">
          <cell r="H5857">
            <v>0</v>
          </cell>
        </row>
        <row r="5858">
          <cell r="H5858">
            <v>0</v>
          </cell>
        </row>
        <row r="5859">
          <cell r="H5859">
            <v>0</v>
          </cell>
        </row>
        <row r="5860">
          <cell r="H5860">
            <v>0</v>
          </cell>
        </row>
        <row r="5861">
          <cell r="H5861">
            <v>0</v>
          </cell>
        </row>
        <row r="5862">
          <cell r="H5862">
            <v>0</v>
          </cell>
        </row>
        <row r="5863">
          <cell r="H5863">
            <v>0</v>
          </cell>
        </row>
        <row r="5864">
          <cell r="H5864">
            <v>0</v>
          </cell>
        </row>
        <row r="5865">
          <cell r="H5865">
            <v>0</v>
          </cell>
        </row>
        <row r="5866">
          <cell r="H5866">
            <v>0</v>
          </cell>
        </row>
        <row r="5867">
          <cell r="H5867">
            <v>0</v>
          </cell>
        </row>
        <row r="5868">
          <cell r="H5868">
            <v>0</v>
          </cell>
        </row>
        <row r="5869">
          <cell r="H5869">
            <v>0</v>
          </cell>
        </row>
        <row r="5870">
          <cell r="H5870">
            <v>0</v>
          </cell>
        </row>
        <row r="5871">
          <cell r="H5871">
            <v>0</v>
          </cell>
        </row>
        <row r="5872">
          <cell r="H5872">
            <v>0</v>
          </cell>
        </row>
        <row r="5873">
          <cell r="H5873">
            <v>0</v>
          </cell>
        </row>
        <row r="5874">
          <cell r="H5874">
            <v>0</v>
          </cell>
        </row>
        <row r="5875">
          <cell r="H5875">
            <v>0</v>
          </cell>
        </row>
        <row r="5876">
          <cell r="H5876">
            <v>0</v>
          </cell>
        </row>
        <row r="5877">
          <cell r="H5877">
            <v>0</v>
          </cell>
        </row>
        <row r="5878">
          <cell r="H5878">
            <v>0</v>
          </cell>
        </row>
        <row r="5879">
          <cell r="H5879">
            <v>0</v>
          </cell>
        </row>
        <row r="5880">
          <cell r="H5880">
            <v>0</v>
          </cell>
        </row>
        <row r="5881">
          <cell r="H5881">
            <v>0</v>
          </cell>
        </row>
        <row r="5882">
          <cell r="H5882">
            <v>0</v>
          </cell>
        </row>
        <row r="5883">
          <cell r="H5883">
            <v>0</v>
          </cell>
        </row>
        <row r="5884">
          <cell r="H5884">
            <v>0</v>
          </cell>
        </row>
        <row r="5885">
          <cell r="H5885">
            <v>0</v>
          </cell>
        </row>
        <row r="5886">
          <cell r="H5886">
            <v>0</v>
          </cell>
        </row>
        <row r="5887">
          <cell r="H5887">
            <v>0</v>
          </cell>
        </row>
        <row r="5888">
          <cell r="H5888">
            <v>0</v>
          </cell>
        </row>
        <row r="5889">
          <cell r="H5889">
            <v>0</v>
          </cell>
        </row>
        <row r="5890">
          <cell r="H5890">
            <v>0</v>
          </cell>
        </row>
        <row r="5891">
          <cell r="H5891">
            <v>0</v>
          </cell>
        </row>
        <row r="5892">
          <cell r="H5892">
            <v>0</v>
          </cell>
        </row>
        <row r="5893">
          <cell r="H5893">
            <v>0</v>
          </cell>
        </row>
        <row r="5894">
          <cell r="H5894">
            <v>0</v>
          </cell>
        </row>
        <row r="5895">
          <cell r="H5895">
            <v>0</v>
          </cell>
        </row>
        <row r="5896">
          <cell r="H5896">
            <v>0</v>
          </cell>
        </row>
        <row r="5897">
          <cell r="H5897">
            <v>0</v>
          </cell>
        </row>
        <row r="5898">
          <cell r="H5898">
            <v>0</v>
          </cell>
        </row>
        <row r="5899">
          <cell r="H5899">
            <v>0</v>
          </cell>
        </row>
        <row r="5900">
          <cell r="H5900">
            <v>0</v>
          </cell>
        </row>
        <row r="5901">
          <cell r="H5901">
            <v>0</v>
          </cell>
        </row>
        <row r="5902">
          <cell r="H5902">
            <v>0</v>
          </cell>
        </row>
        <row r="5903">
          <cell r="H5903">
            <v>0</v>
          </cell>
        </row>
        <row r="5904">
          <cell r="H5904">
            <v>0</v>
          </cell>
        </row>
        <row r="5905">
          <cell r="H5905">
            <v>0</v>
          </cell>
        </row>
        <row r="5906">
          <cell r="H5906">
            <v>0</v>
          </cell>
        </row>
        <row r="5907">
          <cell r="H5907">
            <v>0</v>
          </cell>
        </row>
        <row r="5908">
          <cell r="H5908">
            <v>0</v>
          </cell>
        </row>
        <row r="5909">
          <cell r="H5909">
            <v>0</v>
          </cell>
        </row>
        <row r="5910">
          <cell r="H5910">
            <v>0</v>
          </cell>
        </row>
        <row r="5911">
          <cell r="H5911">
            <v>0</v>
          </cell>
        </row>
        <row r="5912">
          <cell r="H5912">
            <v>0</v>
          </cell>
        </row>
        <row r="5913">
          <cell r="H5913">
            <v>0</v>
          </cell>
        </row>
        <row r="5914">
          <cell r="H5914">
            <v>0</v>
          </cell>
        </row>
        <row r="5915">
          <cell r="H5915">
            <v>0</v>
          </cell>
        </row>
        <row r="5916">
          <cell r="H5916">
            <v>0</v>
          </cell>
        </row>
        <row r="5917">
          <cell r="H5917">
            <v>0</v>
          </cell>
        </row>
        <row r="5918">
          <cell r="H5918">
            <v>0</v>
          </cell>
        </row>
        <row r="5919">
          <cell r="H5919">
            <v>0</v>
          </cell>
        </row>
        <row r="5920">
          <cell r="H5920">
            <v>0</v>
          </cell>
        </row>
        <row r="5921">
          <cell r="H5921">
            <v>0</v>
          </cell>
        </row>
        <row r="5922">
          <cell r="H5922">
            <v>0</v>
          </cell>
        </row>
        <row r="5923">
          <cell r="H5923">
            <v>0</v>
          </cell>
        </row>
        <row r="5924">
          <cell r="H5924">
            <v>0</v>
          </cell>
        </row>
        <row r="5925">
          <cell r="H5925">
            <v>0</v>
          </cell>
        </row>
        <row r="5926">
          <cell r="H5926">
            <v>0</v>
          </cell>
        </row>
        <row r="5927">
          <cell r="H5927">
            <v>0</v>
          </cell>
        </row>
        <row r="5928">
          <cell r="H5928">
            <v>0</v>
          </cell>
        </row>
        <row r="5929">
          <cell r="H5929">
            <v>0</v>
          </cell>
        </row>
        <row r="5930">
          <cell r="H5930">
            <v>0</v>
          </cell>
        </row>
        <row r="5931">
          <cell r="H5931">
            <v>0</v>
          </cell>
        </row>
        <row r="5932">
          <cell r="H5932">
            <v>0</v>
          </cell>
        </row>
        <row r="5933">
          <cell r="H5933">
            <v>0</v>
          </cell>
        </row>
        <row r="5934">
          <cell r="H5934">
            <v>0</v>
          </cell>
        </row>
        <row r="5935">
          <cell r="H5935">
            <v>0</v>
          </cell>
        </row>
        <row r="5936">
          <cell r="H5936">
            <v>0</v>
          </cell>
        </row>
        <row r="5937">
          <cell r="H5937">
            <v>0</v>
          </cell>
        </row>
        <row r="5938">
          <cell r="H5938">
            <v>0</v>
          </cell>
        </row>
        <row r="5939">
          <cell r="H5939">
            <v>0</v>
          </cell>
        </row>
        <row r="5940">
          <cell r="H5940">
            <v>0</v>
          </cell>
        </row>
        <row r="5941">
          <cell r="H5941">
            <v>0</v>
          </cell>
        </row>
        <row r="5942">
          <cell r="H5942">
            <v>0</v>
          </cell>
        </row>
        <row r="5943">
          <cell r="H5943">
            <v>0</v>
          </cell>
        </row>
        <row r="5944">
          <cell r="H5944">
            <v>0</v>
          </cell>
        </row>
        <row r="5945">
          <cell r="H5945">
            <v>0</v>
          </cell>
        </row>
        <row r="5946">
          <cell r="H5946">
            <v>0</v>
          </cell>
        </row>
        <row r="5947">
          <cell r="H5947">
            <v>0</v>
          </cell>
        </row>
        <row r="5948">
          <cell r="H5948">
            <v>0</v>
          </cell>
        </row>
        <row r="5949">
          <cell r="H5949">
            <v>0</v>
          </cell>
        </row>
        <row r="5950">
          <cell r="H5950">
            <v>0</v>
          </cell>
        </row>
        <row r="5951">
          <cell r="H5951">
            <v>0</v>
          </cell>
        </row>
        <row r="5952">
          <cell r="H5952">
            <v>0</v>
          </cell>
        </row>
        <row r="5953">
          <cell r="H5953">
            <v>0</v>
          </cell>
        </row>
        <row r="5954">
          <cell r="H5954">
            <v>0</v>
          </cell>
        </row>
        <row r="5955">
          <cell r="H5955">
            <v>0</v>
          </cell>
        </row>
        <row r="5956">
          <cell r="H5956">
            <v>0</v>
          </cell>
        </row>
        <row r="5957">
          <cell r="H5957">
            <v>0</v>
          </cell>
        </row>
        <row r="5958">
          <cell r="H5958">
            <v>0</v>
          </cell>
        </row>
        <row r="5959">
          <cell r="H5959">
            <v>0</v>
          </cell>
        </row>
        <row r="5960">
          <cell r="H5960">
            <v>0</v>
          </cell>
        </row>
        <row r="5961">
          <cell r="H5961">
            <v>0</v>
          </cell>
        </row>
        <row r="5962">
          <cell r="H5962">
            <v>0</v>
          </cell>
        </row>
        <row r="5963">
          <cell r="H5963">
            <v>0</v>
          </cell>
        </row>
        <row r="5964">
          <cell r="H5964">
            <v>0</v>
          </cell>
        </row>
        <row r="5965">
          <cell r="H5965">
            <v>0</v>
          </cell>
        </row>
        <row r="5966">
          <cell r="H5966">
            <v>0</v>
          </cell>
        </row>
        <row r="5967">
          <cell r="H5967">
            <v>0</v>
          </cell>
        </row>
        <row r="5968">
          <cell r="H5968">
            <v>0</v>
          </cell>
        </row>
        <row r="5969">
          <cell r="H5969">
            <v>0</v>
          </cell>
        </row>
        <row r="5970">
          <cell r="H5970">
            <v>0</v>
          </cell>
        </row>
        <row r="5971">
          <cell r="H5971">
            <v>0</v>
          </cell>
        </row>
        <row r="5972">
          <cell r="H5972">
            <v>0</v>
          </cell>
        </row>
        <row r="5973">
          <cell r="H5973">
            <v>0</v>
          </cell>
        </row>
        <row r="5974">
          <cell r="H5974">
            <v>0</v>
          </cell>
        </row>
        <row r="5975">
          <cell r="H5975">
            <v>0</v>
          </cell>
        </row>
        <row r="5976">
          <cell r="H5976">
            <v>0</v>
          </cell>
        </row>
        <row r="5977">
          <cell r="H5977">
            <v>0</v>
          </cell>
        </row>
        <row r="5978">
          <cell r="H5978">
            <v>0</v>
          </cell>
        </row>
        <row r="5979">
          <cell r="H5979">
            <v>0</v>
          </cell>
        </row>
        <row r="5980">
          <cell r="H5980">
            <v>0</v>
          </cell>
        </row>
        <row r="5981">
          <cell r="H5981">
            <v>0</v>
          </cell>
        </row>
        <row r="5982">
          <cell r="H5982">
            <v>0</v>
          </cell>
        </row>
        <row r="5983">
          <cell r="H5983">
            <v>0</v>
          </cell>
        </row>
        <row r="5984">
          <cell r="H5984">
            <v>0</v>
          </cell>
        </row>
        <row r="5985">
          <cell r="H5985">
            <v>0</v>
          </cell>
        </row>
        <row r="5986">
          <cell r="H5986">
            <v>0</v>
          </cell>
        </row>
        <row r="5987">
          <cell r="H5987">
            <v>0</v>
          </cell>
        </row>
        <row r="5988">
          <cell r="H5988">
            <v>0</v>
          </cell>
        </row>
        <row r="5989">
          <cell r="H5989">
            <v>0</v>
          </cell>
        </row>
        <row r="5990">
          <cell r="H5990">
            <v>0</v>
          </cell>
        </row>
        <row r="5991">
          <cell r="H5991">
            <v>0</v>
          </cell>
        </row>
        <row r="5992">
          <cell r="H5992">
            <v>0</v>
          </cell>
        </row>
        <row r="5993">
          <cell r="H5993">
            <v>0</v>
          </cell>
        </row>
        <row r="5994">
          <cell r="H5994">
            <v>0</v>
          </cell>
        </row>
        <row r="5995">
          <cell r="H5995">
            <v>0</v>
          </cell>
        </row>
        <row r="5996">
          <cell r="H5996">
            <v>0</v>
          </cell>
        </row>
        <row r="5997">
          <cell r="H5997">
            <v>0</v>
          </cell>
        </row>
        <row r="5998">
          <cell r="H5998">
            <v>0</v>
          </cell>
        </row>
        <row r="5999">
          <cell r="H5999">
            <v>0</v>
          </cell>
        </row>
        <row r="6000">
          <cell r="H6000">
            <v>0</v>
          </cell>
        </row>
        <row r="6001">
          <cell r="H6001">
            <v>0</v>
          </cell>
        </row>
        <row r="6002">
          <cell r="H6002">
            <v>0</v>
          </cell>
        </row>
        <row r="6003">
          <cell r="H6003">
            <v>0</v>
          </cell>
        </row>
        <row r="6004">
          <cell r="H6004">
            <v>0</v>
          </cell>
        </row>
        <row r="6005">
          <cell r="H6005">
            <v>0</v>
          </cell>
        </row>
        <row r="6006">
          <cell r="H6006">
            <v>0</v>
          </cell>
        </row>
        <row r="6007">
          <cell r="H6007">
            <v>0</v>
          </cell>
        </row>
        <row r="6008">
          <cell r="H6008">
            <v>0</v>
          </cell>
        </row>
        <row r="6009">
          <cell r="H6009">
            <v>0</v>
          </cell>
        </row>
        <row r="6010">
          <cell r="H6010">
            <v>0</v>
          </cell>
        </row>
        <row r="6011">
          <cell r="H6011">
            <v>0</v>
          </cell>
        </row>
        <row r="6012">
          <cell r="H6012">
            <v>0</v>
          </cell>
        </row>
        <row r="6013">
          <cell r="H6013">
            <v>0</v>
          </cell>
        </row>
        <row r="6014">
          <cell r="H6014">
            <v>0</v>
          </cell>
        </row>
        <row r="6015">
          <cell r="H6015">
            <v>0</v>
          </cell>
        </row>
        <row r="6016">
          <cell r="H6016">
            <v>0</v>
          </cell>
        </row>
        <row r="6017">
          <cell r="H6017">
            <v>0</v>
          </cell>
        </row>
        <row r="6018">
          <cell r="H6018">
            <v>0</v>
          </cell>
        </row>
        <row r="6019">
          <cell r="H6019">
            <v>0</v>
          </cell>
        </row>
        <row r="6020">
          <cell r="H6020">
            <v>0</v>
          </cell>
        </row>
        <row r="6021">
          <cell r="H6021">
            <v>0</v>
          </cell>
        </row>
        <row r="6022">
          <cell r="H6022">
            <v>0</v>
          </cell>
        </row>
        <row r="6023">
          <cell r="H6023">
            <v>0</v>
          </cell>
        </row>
        <row r="6024">
          <cell r="H6024">
            <v>0</v>
          </cell>
        </row>
        <row r="6025">
          <cell r="H6025">
            <v>0</v>
          </cell>
        </row>
        <row r="6026">
          <cell r="H6026">
            <v>0</v>
          </cell>
        </row>
        <row r="6027">
          <cell r="H6027">
            <v>0</v>
          </cell>
        </row>
        <row r="6028">
          <cell r="H6028">
            <v>0</v>
          </cell>
        </row>
        <row r="6029">
          <cell r="H6029">
            <v>0</v>
          </cell>
        </row>
        <row r="6030">
          <cell r="H6030">
            <v>0</v>
          </cell>
        </row>
        <row r="6031">
          <cell r="H6031">
            <v>0</v>
          </cell>
        </row>
        <row r="6032">
          <cell r="H6032">
            <v>0</v>
          </cell>
        </row>
        <row r="6033">
          <cell r="H6033">
            <v>0</v>
          </cell>
        </row>
        <row r="6034">
          <cell r="H6034">
            <v>0</v>
          </cell>
        </row>
        <row r="6035">
          <cell r="H6035">
            <v>0</v>
          </cell>
        </row>
        <row r="6036">
          <cell r="H6036">
            <v>0</v>
          </cell>
        </row>
        <row r="6037">
          <cell r="H6037">
            <v>0</v>
          </cell>
        </row>
        <row r="6038">
          <cell r="H6038">
            <v>0</v>
          </cell>
        </row>
        <row r="6039">
          <cell r="H6039">
            <v>0</v>
          </cell>
        </row>
        <row r="6040">
          <cell r="H6040">
            <v>0</v>
          </cell>
        </row>
        <row r="6041">
          <cell r="H6041">
            <v>0</v>
          </cell>
        </row>
        <row r="6042">
          <cell r="H6042">
            <v>0</v>
          </cell>
        </row>
        <row r="6043">
          <cell r="H6043">
            <v>0</v>
          </cell>
        </row>
        <row r="6044">
          <cell r="H6044">
            <v>0</v>
          </cell>
        </row>
        <row r="6045">
          <cell r="H6045">
            <v>0</v>
          </cell>
        </row>
        <row r="6046">
          <cell r="H6046">
            <v>0</v>
          </cell>
        </row>
        <row r="6047">
          <cell r="H6047">
            <v>0</v>
          </cell>
        </row>
        <row r="6048">
          <cell r="H6048">
            <v>0</v>
          </cell>
        </row>
        <row r="6049">
          <cell r="H6049">
            <v>0</v>
          </cell>
        </row>
        <row r="6050">
          <cell r="H6050">
            <v>0</v>
          </cell>
        </row>
        <row r="6051">
          <cell r="H6051">
            <v>0</v>
          </cell>
        </row>
        <row r="6052">
          <cell r="H6052">
            <v>0</v>
          </cell>
        </row>
        <row r="6053">
          <cell r="H6053">
            <v>0</v>
          </cell>
        </row>
        <row r="6054">
          <cell r="H6054">
            <v>0</v>
          </cell>
        </row>
        <row r="6055">
          <cell r="H6055">
            <v>0</v>
          </cell>
        </row>
        <row r="6056">
          <cell r="H6056">
            <v>0</v>
          </cell>
        </row>
        <row r="6057">
          <cell r="H6057">
            <v>0</v>
          </cell>
        </row>
        <row r="6058">
          <cell r="H6058">
            <v>0</v>
          </cell>
        </row>
        <row r="6059">
          <cell r="H6059">
            <v>0</v>
          </cell>
        </row>
        <row r="6060">
          <cell r="H6060">
            <v>0</v>
          </cell>
        </row>
        <row r="6061">
          <cell r="H6061">
            <v>0</v>
          </cell>
        </row>
        <row r="6062">
          <cell r="H6062">
            <v>0</v>
          </cell>
        </row>
        <row r="6063">
          <cell r="H6063">
            <v>0</v>
          </cell>
        </row>
        <row r="6064">
          <cell r="H6064">
            <v>0</v>
          </cell>
        </row>
        <row r="6065">
          <cell r="H6065">
            <v>0</v>
          </cell>
        </row>
        <row r="6066">
          <cell r="H6066">
            <v>0</v>
          </cell>
        </row>
        <row r="6067">
          <cell r="H6067">
            <v>0</v>
          </cell>
        </row>
        <row r="6068">
          <cell r="H6068">
            <v>0</v>
          </cell>
        </row>
        <row r="6069">
          <cell r="H6069">
            <v>0</v>
          </cell>
        </row>
        <row r="6070">
          <cell r="H6070">
            <v>0</v>
          </cell>
        </row>
        <row r="6071">
          <cell r="H6071">
            <v>0</v>
          </cell>
        </row>
        <row r="6072">
          <cell r="H6072">
            <v>0</v>
          </cell>
        </row>
        <row r="6073">
          <cell r="H6073">
            <v>0</v>
          </cell>
        </row>
        <row r="6074">
          <cell r="H6074">
            <v>0</v>
          </cell>
        </row>
        <row r="6075">
          <cell r="H6075">
            <v>0</v>
          </cell>
        </row>
        <row r="6076">
          <cell r="H6076">
            <v>0</v>
          </cell>
        </row>
        <row r="6077">
          <cell r="H6077">
            <v>0</v>
          </cell>
        </row>
        <row r="6078">
          <cell r="H6078">
            <v>0</v>
          </cell>
        </row>
        <row r="6079">
          <cell r="H6079">
            <v>0</v>
          </cell>
        </row>
        <row r="6080">
          <cell r="H6080">
            <v>0</v>
          </cell>
        </row>
        <row r="6081">
          <cell r="H6081">
            <v>0</v>
          </cell>
        </row>
        <row r="6082">
          <cell r="H6082">
            <v>0</v>
          </cell>
        </row>
        <row r="6083">
          <cell r="H6083">
            <v>0</v>
          </cell>
        </row>
        <row r="6084">
          <cell r="H6084">
            <v>0</v>
          </cell>
        </row>
        <row r="6085">
          <cell r="H6085">
            <v>0</v>
          </cell>
        </row>
        <row r="6086">
          <cell r="H6086">
            <v>0</v>
          </cell>
        </row>
        <row r="6087">
          <cell r="H6087">
            <v>0</v>
          </cell>
        </row>
        <row r="6088">
          <cell r="H6088">
            <v>0</v>
          </cell>
        </row>
        <row r="6089">
          <cell r="H6089">
            <v>0</v>
          </cell>
        </row>
        <row r="6090">
          <cell r="H6090">
            <v>0</v>
          </cell>
        </row>
        <row r="6091">
          <cell r="H6091">
            <v>0</v>
          </cell>
        </row>
        <row r="6092">
          <cell r="H6092">
            <v>0</v>
          </cell>
        </row>
        <row r="6093">
          <cell r="H6093">
            <v>0</v>
          </cell>
        </row>
        <row r="6094">
          <cell r="H6094">
            <v>0</v>
          </cell>
        </row>
        <row r="6095">
          <cell r="H6095">
            <v>0</v>
          </cell>
        </row>
        <row r="6096">
          <cell r="H6096">
            <v>0</v>
          </cell>
        </row>
        <row r="6097">
          <cell r="H6097">
            <v>0</v>
          </cell>
        </row>
        <row r="6098">
          <cell r="H6098">
            <v>0</v>
          </cell>
        </row>
        <row r="6099">
          <cell r="H6099">
            <v>0</v>
          </cell>
        </row>
        <row r="6100">
          <cell r="H6100">
            <v>0</v>
          </cell>
        </row>
        <row r="6101">
          <cell r="H6101">
            <v>0</v>
          </cell>
        </row>
        <row r="6102">
          <cell r="H6102">
            <v>0</v>
          </cell>
        </row>
        <row r="6103">
          <cell r="H6103">
            <v>0</v>
          </cell>
        </row>
        <row r="6104">
          <cell r="H6104">
            <v>0</v>
          </cell>
        </row>
        <row r="6105">
          <cell r="H6105">
            <v>0</v>
          </cell>
        </row>
        <row r="6106">
          <cell r="H6106">
            <v>0</v>
          </cell>
        </row>
        <row r="6107">
          <cell r="H6107">
            <v>0</v>
          </cell>
        </row>
        <row r="6108">
          <cell r="H6108">
            <v>0</v>
          </cell>
        </row>
        <row r="6109">
          <cell r="H6109">
            <v>0</v>
          </cell>
        </row>
        <row r="6110">
          <cell r="H6110">
            <v>0</v>
          </cell>
        </row>
        <row r="6111">
          <cell r="H6111">
            <v>0</v>
          </cell>
        </row>
        <row r="6112">
          <cell r="H6112">
            <v>0</v>
          </cell>
        </row>
        <row r="6113">
          <cell r="H6113">
            <v>0</v>
          </cell>
        </row>
        <row r="6114">
          <cell r="H6114">
            <v>0</v>
          </cell>
        </row>
        <row r="6115">
          <cell r="H6115">
            <v>0</v>
          </cell>
        </row>
        <row r="6116">
          <cell r="H6116">
            <v>0</v>
          </cell>
        </row>
        <row r="6117">
          <cell r="H6117">
            <v>0</v>
          </cell>
        </row>
        <row r="6118">
          <cell r="H6118">
            <v>0</v>
          </cell>
        </row>
        <row r="6119">
          <cell r="H6119">
            <v>0</v>
          </cell>
        </row>
        <row r="6120">
          <cell r="H6120">
            <v>0</v>
          </cell>
        </row>
        <row r="6121">
          <cell r="H6121">
            <v>0</v>
          </cell>
        </row>
        <row r="6122">
          <cell r="H6122">
            <v>0</v>
          </cell>
        </row>
        <row r="6123">
          <cell r="H6123">
            <v>0</v>
          </cell>
        </row>
        <row r="6124">
          <cell r="H6124">
            <v>0</v>
          </cell>
        </row>
        <row r="6125">
          <cell r="H6125">
            <v>0</v>
          </cell>
        </row>
        <row r="6126">
          <cell r="H6126">
            <v>0</v>
          </cell>
        </row>
        <row r="6127">
          <cell r="H6127">
            <v>0</v>
          </cell>
        </row>
        <row r="6128">
          <cell r="H6128">
            <v>0</v>
          </cell>
        </row>
        <row r="6129">
          <cell r="H6129">
            <v>0</v>
          </cell>
        </row>
        <row r="6130">
          <cell r="H6130">
            <v>0</v>
          </cell>
        </row>
        <row r="6131">
          <cell r="H6131">
            <v>0</v>
          </cell>
        </row>
        <row r="6132">
          <cell r="H6132">
            <v>0</v>
          </cell>
        </row>
        <row r="6133">
          <cell r="H6133">
            <v>0</v>
          </cell>
        </row>
        <row r="6134">
          <cell r="H6134">
            <v>0</v>
          </cell>
        </row>
        <row r="6135">
          <cell r="H6135">
            <v>0</v>
          </cell>
        </row>
        <row r="6136">
          <cell r="H6136">
            <v>0</v>
          </cell>
        </row>
        <row r="6137">
          <cell r="H6137">
            <v>0</v>
          </cell>
        </row>
        <row r="6138">
          <cell r="H6138">
            <v>0</v>
          </cell>
        </row>
        <row r="6139">
          <cell r="H6139">
            <v>0</v>
          </cell>
        </row>
        <row r="6140">
          <cell r="H6140">
            <v>0</v>
          </cell>
        </row>
        <row r="6141">
          <cell r="H6141">
            <v>0</v>
          </cell>
        </row>
        <row r="6142">
          <cell r="H6142">
            <v>0</v>
          </cell>
        </row>
        <row r="6143">
          <cell r="H6143">
            <v>0</v>
          </cell>
        </row>
        <row r="6144">
          <cell r="H6144">
            <v>0</v>
          </cell>
        </row>
        <row r="6145">
          <cell r="H6145">
            <v>0</v>
          </cell>
        </row>
        <row r="6146">
          <cell r="H6146">
            <v>0</v>
          </cell>
        </row>
        <row r="6147">
          <cell r="H6147">
            <v>0</v>
          </cell>
        </row>
        <row r="6148">
          <cell r="H6148">
            <v>0</v>
          </cell>
        </row>
        <row r="6149">
          <cell r="H6149">
            <v>0</v>
          </cell>
        </row>
        <row r="6150">
          <cell r="H6150">
            <v>0</v>
          </cell>
        </row>
        <row r="6151">
          <cell r="H6151">
            <v>0</v>
          </cell>
        </row>
        <row r="6152">
          <cell r="H6152">
            <v>0</v>
          </cell>
        </row>
        <row r="6153">
          <cell r="H6153">
            <v>0</v>
          </cell>
        </row>
        <row r="6154">
          <cell r="H6154">
            <v>0</v>
          </cell>
        </row>
        <row r="6155">
          <cell r="H6155">
            <v>0</v>
          </cell>
        </row>
        <row r="6156">
          <cell r="H6156">
            <v>0</v>
          </cell>
        </row>
        <row r="6157">
          <cell r="H6157">
            <v>0</v>
          </cell>
        </row>
        <row r="6158">
          <cell r="H6158">
            <v>0</v>
          </cell>
        </row>
        <row r="6159">
          <cell r="H6159">
            <v>0</v>
          </cell>
        </row>
        <row r="6160">
          <cell r="H6160">
            <v>0</v>
          </cell>
        </row>
        <row r="6161">
          <cell r="H6161">
            <v>0</v>
          </cell>
        </row>
        <row r="6162">
          <cell r="H6162">
            <v>0</v>
          </cell>
        </row>
        <row r="6163">
          <cell r="H6163">
            <v>0</v>
          </cell>
        </row>
        <row r="6164">
          <cell r="H6164">
            <v>0</v>
          </cell>
        </row>
        <row r="6165">
          <cell r="H6165">
            <v>0</v>
          </cell>
        </row>
        <row r="6166">
          <cell r="H6166">
            <v>0</v>
          </cell>
        </row>
        <row r="6167">
          <cell r="H6167">
            <v>0</v>
          </cell>
        </row>
        <row r="6168">
          <cell r="H6168">
            <v>0</v>
          </cell>
        </row>
        <row r="6169">
          <cell r="H6169">
            <v>0</v>
          </cell>
        </row>
        <row r="6170">
          <cell r="H6170">
            <v>0</v>
          </cell>
        </row>
        <row r="6171">
          <cell r="H6171">
            <v>0</v>
          </cell>
        </row>
        <row r="6172">
          <cell r="H6172">
            <v>0</v>
          </cell>
        </row>
        <row r="6173">
          <cell r="H6173">
            <v>0</v>
          </cell>
        </row>
        <row r="6174">
          <cell r="H6174">
            <v>0</v>
          </cell>
        </row>
        <row r="6175">
          <cell r="H6175">
            <v>0</v>
          </cell>
        </row>
        <row r="6176">
          <cell r="H6176">
            <v>0</v>
          </cell>
        </row>
        <row r="6177">
          <cell r="H6177">
            <v>0</v>
          </cell>
        </row>
        <row r="6178">
          <cell r="H6178">
            <v>0</v>
          </cell>
        </row>
        <row r="6179">
          <cell r="H6179">
            <v>0</v>
          </cell>
        </row>
        <row r="6180">
          <cell r="H6180">
            <v>0</v>
          </cell>
        </row>
        <row r="6181">
          <cell r="H6181">
            <v>0</v>
          </cell>
        </row>
        <row r="6182">
          <cell r="H6182">
            <v>0</v>
          </cell>
        </row>
        <row r="6183">
          <cell r="H6183">
            <v>0</v>
          </cell>
        </row>
        <row r="6184">
          <cell r="H6184">
            <v>0</v>
          </cell>
        </row>
        <row r="6185">
          <cell r="H6185">
            <v>0</v>
          </cell>
        </row>
        <row r="6186">
          <cell r="H6186">
            <v>0</v>
          </cell>
        </row>
        <row r="6187">
          <cell r="H6187">
            <v>0</v>
          </cell>
        </row>
        <row r="6188">
          <cell r="H6188">
            <v>0</v>
          </cell>
        </row>
        <row r="6189">
          <cell r="H6189">
            <v>0</v>
          </cell>
        </row>
        <row r="6190">
          <cell r="H6190">
            <v>0</v>
          </cell>
        </row>
        <row r="6191">
          <cell r="H6191">
            <v>0</v>
          </cell>
        </row>
        <row r="6192">
          <cell r="H6192">
            <v>0</v>
          </cell>
        </row>
        <row r="6193">
          <cell r="H6193">
            <v>0</v>
          </cell>
        </row>
        <row r="6194">
          <cell r="H6194">
            <v>0</v>
          </cell>
        </row>
        <row r="6195">
          <cell r="H6195">
            <v>0</v>
          </cell>
        </row>
        <row r="6196">
          <cell r="H6196">
            <v>0</v>
          </cell>
        </row>
        <row r="6197">
          <cell r="H6197">
            <v>0</v>
          </cell>
        </row>
        <row r="6198">
          <cell r="H6198">
            <v>0</v>
          </cell>
        </row>
        <row r="6199">
          <cell r="H6199">
            <v>0</v>
          </cell>
        </row>
        <row r="6200">
          <cell r="H6200">
            <v>0</v>
          </cell>
        </row>
        <row r="6201">
          <cell r="H6201">
            <v>0</v>
          </cell>
        </row>
        <row r="6202">
          <cell r="H6202">
            <v>0</v>
          </cell>
        </row>
        <row r="6203">
          <cell r="H6203">
            <v>0</v>
          </cell>
        </row>
        <row r="6204">
          <cell r="H6204">
            <v>0</v>
          </cell>
        </row>
        <row r="6205">
          <cell r="H6205">
            <v>0</v>
          </cell>
        </row>
        <row r="6206">
          <cell r="H6206">
            <v>0</v>
          </cell>
        </row>
        <row r="6207">
          <cell r="H6207">
            <v>0</v>
          </cell>
        </row>
        <row r="6208">
          <cell r="H6208">
            <v>0</v>
          </cell>
        </row>
        <row r="6209">
          <cell r="H6209">
            <v>0</v>
          </cell>
        </row>
        <row r="6210">
          <cell r="H6210">
            <v>0</v>
          </cell>
        </row>
        <row r="6211">
          <cell r="H6211">
            <v>0</v>
          </cell>
        </row>
        <row r="6212">
          <cell r="H6212">
            <v>0</v>
          </cell>
        </row>
        <row r="6213">
          <cell r="H6213">
            <v>0</v>
          </cell>
        </row>
        <row r="6214">
          <cell r="H6214">
            <v>0</v>
          </cell>
        </row>
        <row r="6215">
          <cell r="H6215">
            <v>0</v>
          </cell>
        </row>
        <row r="6216">
          <cell r="H6216">
            <v>0</v>
          </cell>
        </row>
        <row r="6217">
          <cell r="H6217">
            <v>0</v>
          </cell>
        </row>
        <row r="6218">
          <cell r="H6218">
            <v>0</v>
          </cell>
        </row>
        <row r="6219">
          <cell r="H6219">
            <v>0</v>
          </cell>
        </row>
        <row r="6220">
          <cell r="H6220">
            <v>0</v>
          </cell>
        </row>
        <row r="6221">
          <cell r="H6221">
            <v>0</v>
          </cell>
        </row>
        <row r="6222">
          <cell r="H6222">
            <v>0</v>
          </cell>
        </row>
        <row r="6223">
          <cell r="H6223">
            <v>0</v>
          </cell>
        </row>
        <row r="6224">
          <cell r="H6224">
            <v>0</v>
          </cell>
        </row>
        <row r="6225">
          <cell r="H6225">
            <v>0</v>
          </cell>
        </row>
        <row r="6226">
          <cell r="H6226">
            <v>0</v>
          </cell>
        </row>
        <row r="6227">
          <cell r="H6227">
            <v>0</v>
          </cell>
        </row>
        <row r="6228">
          <cell r="H6228">
            <v>0</v>
          </cell>
        </row>
        <row r="6229">
          <cell r="H6229">
            <v>0</v>
          </cell>
        </row>
        <row r="6230">
          <cell r="H6230">
            <v>0</v>
          </cell>
        </row>
        <row r="6231">
          <cell r="H6231">
            <v>0</v>
          </cell>
        </row>
        <row r="6232">
          <cell r="H6232">
            <v>0</v>
          </cell>
        </row>
        <row r="6233">
          <cell r="H6233">
            <v>0</v>
          </cell>
        </row>
        <row r="6234">
          <cell r="H6234">
            <v>0</v>
          </cell>
        </row>
        <row r="6235">
          <cell r="H6235">
            <v>0</v>
          </cell>
        </row>
        <row r="6236">
          <cell r="H6236">
            <v>0</v>
          </cell>
        </row>
        <row r="6237">
          <cell r="H6237">
            <v>0</v>
          </cell>
        </row>
        <row r="6238">
          <cell r="H6238">
            <v>0</v>
          </cell>
        </row>
        <row r="6239">
          <cell r="H6239">
            <v>0</v>
          </cell>
        </row>
        <row r="6240">
          <cell r="H6240">
            <v>0</v>
          </cell>
        </row>
        <row r="6241">
          <cell r="H6241">
            <v>0</v>
          </cell>
        </row>
        <row r="6242">
          <cell r="H6242">
            <v>0</v>
          </cell>
        </row>
        <row r="6243">
          <cell r="H6243">
            <v>0</v>
          </cell>
        </row>
        <row r="6244">
          <cell r="H6244">
            <v>0</v>
          </cell>
        </row>
        <row r="6245">
          <cell r="H6245">
            <v>0</v>
          </cell>
        </row>
        <row r="6246">
          <cell r="H6246">
            <v>0</v>
          </cell>
        </row>
        <row r="6247">
          <cell r="H6247">
            <v>0</v>
          </cell>
        </row>
        <row r="6248">
          <cell r="H6248">
            <v>0</v>
          </cell>
        </row>
        <row r="6249">
          <cell r="H6249">
            <v>0</v>
          </cell>
        </row>
        <row r="6250">
          <cell r="H6250">
            <v>0</v>
          </cell>
        </row>
        <row r="6251">
          <cell r="H6251">
            <v>0</v>
          </cell>
        </row>
        <row r="6252">
          <cell r="H6252">
            <v>0</v>
          </cell>
        </row>
        <row r="6253">
          <cell r="H6253">
            <v>0</v>
          </cell>
        </row>
        <row r="6254">
          <cell r="H6254">
            <v>0</v>
          </cell>
        </row>
        <row r="6255">
          <cell r="H6255">
            <v>0</v>
          </cell>
        </row>
        <row r="6256">
          <cell r="H6256">
            <v>0</v>
          </cell>
        </row>
        <row r="6257">
          <cell r="H6257">
            <v>0</v>
          </cell>
        </row>
        <row r="6258">
          <cell r="H6258">
            <v>0</v>
          </cell>
        </row>
        <row r="6259">
          <cell r="H6259">
            <v>0</v>
          </cell>
        </row>
        <row r="6260">
          <cell r="H6260">
            <v>0</v>
          </cell>
        </row>
        <row r="6261">
          <cell r="H6261">
            <v>0</v>
          </cell>
        </row>
        <row r="6262">
          <cell r="H6262">
            <v>0</v>
          </cell>
        </row>
        <row r="6263">
          <cell r="H6263">
            <v>0</v>
          </cell>
        </row>
        <row r="6264">
          <cell r="H6264">
            <v>0</v>
          </cell>
        </row>
        <row r="6265">
          <cell r="H6265">
            <v>0</v>
          </cell>
        </row>
        <row r="6266">
          <cell r="H6266">
            <v>0</v>
          </cell>
        </row>
        <row r="6267">
          <cell r="H6267">
            <v>0</v>
          </cell>
        </row>
        <row r="6268">
          <cell r="H6268">
            <v>0</v>
          </cell>
        </row>
        <row r="6269">
          <cell r="H6269">
            <v>0</v>
          </cell>
        </row>
        <row r="6270">
          <cell r="H6270">
            <v>0</v>
          </cell>
        </row>
        <row r="6271">
          <cell r="H6271">
            <v>0</v>
          </cell>
        </row>
        <row r="6272">
          <cell r="H6272">
            <v>0</v>
          </cell>
        </row>
        <row r="6273">
          <cell r="H6273">
            <v>0</v>
          </cell>
        </row>
        <row r="6274">
          <cell r="H6274">
            <v>0</v>
          </cell>
        </row>
        <row r="6275">
          <cell r="H6275">
            <v>0</v>
          </cell>
        </row>
        <row r="6276">
          <cell r="H6276">
            <v>0</v>
          </cell>
        </row>
        <row r="6277">
          <cell r="H6277">
            <v>0</v>
          </cell>
        </row>
        <row r="6278">
          <cell r="H6278">
            <v>0</v>
          </cell>
        </row>
        <row r="6279">
          <cell r="H6279">
            <v>0</v>
          </cell>
        </row>
        <row r="6280">
          <cell r="H6280">
            <v>0</v>
          </cell>
        </row>
        <row r="6281">
          <cell r="H6281">
            <v>0</v>
          </cell>
        </row>
        <row r="6282">
          <cell r="H6282">
            <v>0</v>
          </cell>
        </row>
        <row r="6283">
          <cell r="H6283">
            <v>0</v>
          </cell>
        </row>
        <row r="6284">
          <cell r="H6284">
            <v>0</v>
          </cell>
        </row>
        <row r="6285">
          <cell r="H6285">
            <v>0</v>
          </cell>
        </row>
        <row r="6286">
          <cell r="H6286">
            <v>0</v>
          </cell>
        </row>
        <row r="6287">
          <cell r="H6287">
            <v>0</v>
          </cell>
        </row>
        <row r="6288">
          <cell r="H6288">
            <v>0</v>
          </cell>
        </row>
        <row r="6289">
          <cell r="H6289">
            <v>0</v>
          </cell>
        </row>
        <row r="6290">
          <cell r="H6290">
            <v>0</v>
          </cell>
        </row>
        <row r="6291">
          <cell r="H6291">
            <v>0</v>
          </cell>
        </row>
        <row r="6292">
          <cell r="H6292">
            <v>0</v>
          </cell>
        </row>
        <row r="6293">
          <cell r="H6293">
            <v>0</v>
          </cell>
        </row>
        <row r="6294">
          <cell r="H6294">
            <v>0</v>
          </cell>
        </row>
        <row r="6295">
          <cell r="H6295">
            <v>0</v>
          </cell>
        </row>
        <row r="6296">
          <cell r="H6296">
            <v>0</v>
          </cell>
        </row>
        <row r="6297">
          <cell r="H6297">
            <v>0</v>
          </cell>
        </row>
        <row r="6298">
          <cell r="H6298">
            <v>0</v>
          </cell>
        </row>
        <row r="6299">
          <cell r="H6299">
            <v>0</v>
          </cell>
        </row>
        <row r="6300">
          <cell r="H6300">
            <v>0</v>
          </cell>
        </row>
        <row r="6301">
          <cell r="H6301">
            <v>0</v>
          </cell>
        </row>
        <row r="6302">
          <cell r="H6302">
            <v>0</v>
          </cell>
        </row>
        <row r="6303">
          <cell r="H6303">
            <v>0</v>
          </cell>
        </row>
        <row r="6304">
          <cell r="H6304">
            <v>0</v>
          </cell>
        </row>
        <row r="6305">
          <cell r="H6305">
            <v>0</v>
          </cell>
        </row>
        <row r="6306">
          <cell r="H6306">
            <v>0</v>
          </cell>
        </row>
        <row r="6307">
          <cell r="H6307">
            <v>0</v>
          </cell>
        </row>
        <row r="6308">
          <cell r="H6308">
            <v>0</v>
          </cell>
        </row>
        <row r="6309">
          <cell r="H6309">
            <v>0</v>
          </cell>
        </row>
        <row r="6310">
          <cell r="H6310">
            <v>0</v>
          </cell>
        </row>
        <row r="6311">
          <cell r="H6311">
            <v>0</v>
          </cell>
        </row>
        <row r="6312">
          <cell r="H6312">
            <v>0</v>
          </cell>
        </row>
        <row r="6313">
          <cell r="H6313">
            <v>0</v>
          </cell>
        </row>
        <row r="6314">
          <cell r="H6314">
            <v>0</v>
          </cell>
        </row>
        <row r="6315">
          <cell r="H6315">
            <v>0</v>
          </cell>
        </row>
        <row r="6316">
          <cell r="H6316">
            <v>0</v>
          </cell>
        </row>
        <row r="6317">
          <cell r="H6317">
            <v>0</v>
          </cell>
        </row>
        <row r="6318">
          <cell r="H6318">
            <v>0</v>
          </cell>
        </row>
        <row r="6319">
          <cell r="H6319">
            <v>0</v>
          </cell>
        </row>
        <row r="6320">
          <cell r="H6320">
            <v>0</v>
          </cell>
        </row>
        <row r="6321">
          <cell r="H6321">
            <v>0</v>
          </cell>
        </row>
        <row r="6322">
          <cell r="H6322">
            <v>0</v>
          </cell>
        </row>
        <row r="6323">
          <cell r="H6323">
            <v>0</v>
          </cell>
        </row>
        <row r="6324">
          <cell r="H6324">
            <v>0</v>
          </cell>
        </row>
        <row r="6325">
          <cell r="H6325">
            <v>0</v>
          </cell>
        </row>
        <row r="6326">
          <cell r="H6326">
            <v>0</v>
          </cell>
        </row>
        <row r="6327">
          <cell r="H6327">
            <v>0</v>
          </cell>
        </row>
        <row r="6328">
          <cell r="H6328">
            <v>0</v>
          </cell>
        </row>
        <row r="6329">
          <cell r="H6329">
            <v>0</v>
          </cell>
        </row>
        <row r="6330">
          <cell r="H6330">
            <v>0</v>
          </cell>
        </row>
        <row r="6331">
          <cell r="H6331">
            <v>0</v>
          </cell>
        </row>
        <row r="6332">
          <cell r="H6332">
            <v>0</v>
          </cell>
        </row>
        <row r="6333">
          <cell r="H6333">
            <v>0</v>
          </cell>
        </row>
        <row r="6334">
          <cell r="H6334">
            <v>0</v>
          </cell>
        </row>
        <row r="6335">
          <cell r="H6335">
            <v>0</v>
          </cell>
        </row>
        <row r="6336">
          <cell r="H6336">
            <v>0</v>
          </cell>
        </row>
        <row r="6337">
          <cell r="H6337">
            <v>0</v>
          </cell>
        </row>
        <row r="6338">
          <cell r="H6338">
            <v>0</v>
          </cell>
        </row>
        <row r="6339">
          <cell r="H6339">
            <v>0</v>
          </cell>
        </row>
        <row r="6340">
          <cell r="H6340">
            <v>0</v>
          </cell>
        </row>
        <row r="6341">
          <cell r="H6341">
            <v>0</v>
          </cell>
        </row>
        <row r="6342">
          <cell r="H6342">
            <v>0</v>
          </cell>
        </row>
        <row r="6343">
          <cell r="H6343">
            <v>0</v>
          </cell>
        </row>
        <row r="6344">
          <cell r="H6344">
            <v>0</v>
          </cell>
        </row>
        <row r="6345">
          <cell r="H6345">
            <v>0</v>
          </cell>
        </row>
        <row r="6346">
          <cell r="H6346">
            <v>0</v>
          </cell>
        </row>
        <row r="6347">
          <cell r="H6347">
            <v>0</v>
          </cell>
        </row>
        <row r="6348">
          <cell r="H6348">
            <v>0</v>
          </cell>
        </row>
        <row r="6349">
          <cell r="H6349">
            <v>0</v>
          </cell>
        </row>
        <row r="6350">
          <cell r="H6350">
            <v>0</v>
          </cell>
        </row>
        <row r="6351">
          <cell r="H6351">
            <v>0</v>
          </cell>
        </row>
        <row r="6352">
          <cell r="H6352">
            <v>0</v>
          </cell>
        </row>
        <row r="6353">
          <cell r="H6353">
            <v>0</v>
          </cell>
        </row>
        <row r="6354">
          <cell r="H6354">
            <v>0</v>
          </cell>
        </row>
        <row r="6355">
          <cell r="H6355">
            <v>0</v>
          </cell>
        </row>
        <row r="6356">
          <cell r="H6356">
            <v>0</v>
          </cell>
        </row>
        <row r="6357">
          <cell r="H6357">
            <v>0</v>
          </cell>
        </row>
        <row r="6358">
          <cell r="H6358">
            <v>0</v>
          </cell>
        </row>
        <row r="6359">
          <cell r="H6359">
            <v>0</v>
          </cell>
        </row>
        <row r="6360">
          <cell r="H6360">
            <v>0</v>
          </cell>
        </row>
        <row r="6361">
          <cell r="H6361">
            <v>0</v>
          </cell>
        </row>
        <row r="6362">
          <cell r="H6362">
            <v>0</v>
          </cell>
        </row>
        <row r="6363">
          <cell r="H6363">
            <v>0</v>
          </cell>
        </row>
        <row r="6364">
          <cell r="H6364">
            <v>0</v>
          </cell>
        </row>
        <row r="6365">
          <cell r="H6365">
            <v>0</v>
          </cell>
        </row>
        <row r="6366">
          <cell r="H6366">
            <v>0</v>
          </cell>
        </row>
        <row r="6367">
          <cell r="H6367">
            <v>0</v>
          </cell>
        </row>
        <row r="6368">
          <cell r="H6368">
            <v>0</v>
          </cell>
        </row>
        <row r="6369">
          <cell r="H6369">
            <v>0</v>
          </cell>
        </row>
        <row r="6370">
          <cell r="H6370">
            <v>0</v>
          </cell>
        </row>
        <row r="6371">
          <cell r="H6371">
            <v>0</v>
          </cell>
        </row>
        <row r="6372">
          <cell r="H6372">
            <v>0</v>
          </cell>
        </row>
        <row r="6373">
          <cell r="H6373">
            <v>0</v>
          </cell>
        </row>
        <row r="6374">
          <cell r="H6374">
            <v>0</v>
          </cell>
        </row>
        <row r="6375">
          <cell r="H6375">
            <v>0</v>
          </cell>
        </row>
        <row r="6376">
          <cell r="H6376">
            <v>0</v>
          </cell>
        </row>
        <row r="6377">
          <cell r="H6377">
            <v>0</v>
          </cell>
        </row>
        <row r="6378">
          <cell r="H6378">
            <v>0</v>
          </cell>
        </row>
        <row r="6379">
          <cell r="H6379">
            <v>0</v>
          </cell>
        </row>
        <row r="6380">
          <cell r="H6380">
            <v>0</v>
          </cell>
        </row>
        <row r="6381">
          <cell r="H6381">
            <v>0</v>
          </cell>
        </row>
        <row r="6382">
          <cell r="H6382">
            <v>0</v>
          </cell>
        </row>
        <row r="6383">
          <cell r="H6383">
            <v>0</v>
          </cell>
        </row>
        <row r="6384">
          <cell r="H6384">
            <v>0</v>
          </cell>
        </row>
        <row r="6385">
          <cell r="H6385">
            <v>0</v>
          </cell>
        </row>
        <row r="6386">
          <cell r="H6386">
            <v>0</v>
          </cell>
        </row>
        <row r="6387">
          <cell r="H6387">
            <v>0</v>
          </cell>
        </row>
        <row r="6388">
          <cell r="H6388">
            <v>0</v>
          </cell>
        </row>
        <row r="6389">
          <cell r="H6389">
            <v>0</v>
          </cell>
        </row>
        <row r="6390">
          <cell r="H6390">
            <v>0</v>
          </cell>
        </row>
        <row r="6391">
          <cell r="H6391">
            <v>0</v>
          </cell>
        </row>
        <row r="6392">
          <cell r="H6392">
            <v>0</v>
          </cell>
        </row>
        <row r="6393">
          <cell r="H6393">
            <v>0</v>
          </cell>
        </row>
        <row r="6394">
          <cell r="H6394">
            <v>0</v>
          </cell>
        </row>
        <row r="6395">
          <cell r="H6395">
            <v>0</v>
          </cell>
        </row>
        <row r="6396">
          <cell r="H6396">
            <v>0</v>
          </cell>
        </row>
        <row r="6397">
          <cell r="H6397">
            <v>0</v>
          </cell>
        </row>
        <row r="6398">
          <cell r="H6398">
            <v>0</v>
          </cell>
        </row>
        <row r="6399">
          <cell r="H6399">
            <v>0</v>
          </cell>
        </row>
        <row r="6400">
          <cell r="H6400">
            <v>0</v>
          </cell>
        </row>
        <row r="6401">
          <cell r="H6401">
            <v>0</v>
          </cell>
        </row>
        <row r="6402">
          <cell r="H6402">
            <v>0</v>
          </cell>
        </row>
        <row r="6403">
          <cell r="H6403">
            <v>0</v>
          </cell>
        </row>
        <row r="6404">
          <cell r="H6404">
            <v>0</v>
          </cell>
        </row>
        <row r="6405">
          <cell r="H6405">
            <v>0</v>
          </cell>
        </row>
        <row r="6406">
          <cell r="H6406">
            <v>0</v>
          </cell>
        </row>
        <row r="6407">
          <cell r="H6407">
            <v>0</v>
          </cell>
        </row>
        <row r="6408">
          <cell r="H6408">
            <v>0</v>
          </cell>
        </row>
        <row r="6409">
          <cell r="H6409">
            <v>0</v>
          </cell>
        </row>
        <row r="6410">
          <cell r="H6410">
            <v>0</v>
          </cell>
        </row>
        <row r="6411">
          <cell r="H6411">
            <v>0</v>
          </cell>
        </row>
        <row r="6412">
          <cell r="H6412">
            <v>0</v>
          </cell>
        </row>
        <row r="6413">
          <cell r="H6413">
            <v>0</v>
          </cell>
        </row>
        <row r="6414">
          <cell r="H6414">
            <v>0</v>
          </cell>
        </row>
        <row r="6415">
          <cell r="H6415">
            <v>0</v>
          </cell>
        </row>
        <row r="6416">
          <cell r="H6416">
            <v>0</v>
          </cell>
        </row>
        <row r="6417">
          <cell r="H6417">
            <v>0</v>
          </cell>
        </row>
        <row r="6418">
          <cell r="H6418">
            <v>0</v>
          </cell>
        </row>
        <row r="6419">
          <cell r="H6419">
            <v>0</v>
          </cell>
        </row>
        <row r="6420">
          <cell r="H6420">
            <v>0</v>
          </cell>
        </row>
        <row r="6421">
          <cell r="H6421">
            <v>0</v>
          </cell>
        </row>
        <row r="6422">
          <cell r="H6422">
            <v>0</v>
          </cell>
        </row>
        <row r="6423">
          <cell r="H6423">
            <v>0</v>
          </cell>
        </row>
        <row r="6424">
          <cell r="H6424">
            <v>0</v>
          </cell>
        </row>
        <row r="6425">
          <cell r="H6425">
            <v>0</v>
          </cell>
        </row>
        <row r="6426">
          <cell r="H6426">
            <v>0</v>
          </cell>
        </row>
        <row r="6427">
          <cell r="H6427">
            <v>0</v>
          </cell>
        </row>
        <row r="6428">
          <cell r="H6428">
            <v>0</v>
          </cell>
        </row>
        <row r="6429">
          <cell r="H6429">
            <v>0</v>
          </cell>
        </row>
        <row r="6430">
          <cell r="H6430">
            <v>0</v>
          </cell>
        </row>
        <row r="6431">
          <cell r="H6431">
            <v>0</v>
          </cell>
        </row>
        <row r="6432">
          <cell r="H6432">
            <v>0</v>
          </cell>
        </row>
        <row r="6433">
          <cell r="H6433">
            <v>0</v>
          </cell>
        </row>
        <row r="6434">
          <cell r="H6434">
            <v>0</v>
          </cell>
        </row>
        <row r="6435">
          <cell r="H6435">
            <v>0</v>
          </cell>
        </row>
        <row r="6436">
          <cell r="H6436">
            <v>0</v>
          </cell>
        </row>
        <row r="6437">
          <cell r="H6437">
            <v>0</v>
          </cell>
        </row>
        <row r="6438">
          <cell r="H6438">
            <v>0</v>
          </cell>
        </row>
        <row r="6439">
          <cell r="H6439">
            <v>0</v>
          </cell>
        </row>
        <row r="6440">
          <cell r="H6440">
            <v>0</v>
          </cell>
        </row>
        <row r="6441">
          <cell r="H6441">
            <v>0</v>
          </cell>
        </row>
        <row r="6442">
          <cell r="H6442">
            <v>0</v>
          </cell>
        </row>
        <row r="6443">
          <cell r="H6443">
            <v>0</v>
          </cell>
        </row>
        <row r="6444">
          <cell r="H6444">
            <v>0</v>
          </cell>
        </row>
        <row r="6445">
          <cell r="H6445">
            <v>0</v>
          </cell>
        </row>
        <row r="6446">
          <cell r="H6446">
            <v>0</v>
          </cell>
        </row>
        <row r="6447">
          <cell r="H6447">
            <v>0</v>
          </cell>
        </row>
        <row r="6448">
          <cell r="H6448">
            <v>0</v>
          </cell>
        </row>
        <row r="6449">
          <cell r="H6449">
            <v>0</v>
          </cell>
        </row>
        <row r="6450">
          <cell r="H6450">
            <v>0</v>
          </cell>
        </row>
        <row r="6451">
          <cell r="H6451">
            <v>0</v>
          </cell>
        </row>
        <row r="6452">
          <cell r="H6452">
            <v>0</v>
          </cell>
        </row>
        <row r="6453">
          <cell r="H6453">
            <v>0</v>
          </cell>
        </row>
        <row r="6454">
          <cell r="H6454">
            <v>0</v>
          </cell>
        </row>
        <row r="6455">
          <cell r="H6455">
            <v>0</v>
          </cell>
        </row>
        <row r="6456">
          <cell r="H6456">
            <v>0</v>
          </cell>
        </row>
        <row r="6457">
          <cell r="H6457">
            <v>0</v>
          </cell>
        </row>
        <row r="6458">
          <cell r="H6458">
            <v>0</v>
          </cell>
        </row>
        <row r="6459">
          <cell r="H6459">
            <v>0</v>
          </cell>
        </row>
        <row r="6460">
          <cell r="H6460">
            <v>0</v>
          </cell>
        </row>
        <row r="6461">
          <cell r="H6461">
            <v>0</v>
          </cell>
        </row>
        <row r="6462">
          <cell r="H6462">
            <v>0</v>
          </cell>
        </row>
        <row r="6463">
          <cell r="H6463">
            <v>0</v>
          </cell>
        </row>
        <row r="6464">
          <cell r="H6464">
            <v>0</v>
          </cell>
        </row>
        <row r="6465">
          <cell r="H6465">
            <v>0</v>
          </cell>
        </row>
        <row r="6466">
          <cell r="H6466">
            <v>0</v>
          </cell>
        </row>
        <row r="6467">
          <cell r="H6467">
            <v>0</v>
          </cell>
        </row>
        <row r="6468">
          <cell r="H6468">
            <v>0</v>
          </cell>
        </row>
        <row r="6469">
          <cell r="H6469">
            <v>0</v>
          </cell>
        </row>
        <row r="6470">
          <cell r="H6470">
            <v>0</v>
          </cell>
        </row>
        <row r="6471">
          <cell r="H6471">
            <v>0</v>
          </cell>
        </row>
        <row r="6472">
          <cell r="H6472">
            <v>0</v>
          </cell>
        </row>
        <row r="6473">
          <cell r="H6473">
            <v>0</v>
          </cell>
        </row>
        <row r="6474">
          <cell r="H6474">
            <v>0</v>
          </cell>
        </row>
        <row r="6475">
          <cell r="H6475">
            <v>0</v>
          </cell>
        </row>
        <row r="6476">
          <cell r="H6476">
            <v>0</v>
          </cell>
        </row>
        <row r="6477">
          <cell r="H6477">
            <v>0</v>
          </cell>
        </row>
        <row r="6478">
          <cell r="H6478">
            <v>0</v>
          </cell>
        </row>
        <row r="6479">
          <cell r="H6479">
            <v>0</v>
          </cell>
        </row>
        <row r="6480">
          <cell r="H6480">
            <v>0</v>
          </cell>
        </row>
        <row r="6481">
          <cell r="H6481">
            <v>0</v>
          </cell>
        </row>
        <row r="6482">
          <cell r="H6482">
            <v>0</v>
          </cell>
        </row>
        <row r="6483">
          <cell r="H6483">
            <v>0</v>
          </cell>
        </row>
        <row r="6484">
          <cell r="H6484">
            <v>0</v>
          </cell>
        </row>
        <row r="6485">
          <cell r="H6485">
            <v>0</v>
          </cell>
        </row>
        <row r="6486">
          <cell r="H6486">
            <v>0</v>
          </cell>
        </row>
        <row r="6487">
          <cell r="H6487">
            <v>0</v>
          </cell>
        </row>
        <row r="6488">
          <cell r="H6488">
            <v>0</v>
          </cell>
        </row>
        <row r="6489">
          <cell r="H6489">
            <v>0</v>
          </cell>
        </row>
        <row r="6490">
          <cell r="H6490">
            <v>0</v>
          </cell>
        </row>
        <row r="6491">
          <cell r="H6491">
            <v>0</v>
          </cell>
        </row>
        <row r="6492">
          <cell r="H6492">
            <v>0</v>
          </cell>
        </row>
        <row r="6493">
          <cell r="H6493">
            <v>0</v>
          </cell>
        </row>
        <row r="6494">
          <cell r="H6494">
            <v>0</v>
          </cell>
        </row>
        <row r="6495">
          <cell r="H6495">
            <v>0</v>
          </cell>
        </row>
        <row r="6496">
          <cell r="H6496">
            <v>0</v>
          </cell>
        </row>
        <row r="6497">
          <cell r="H6497">
            <v>0</v>
          </cell>
        </row>
        <row r="6498">
          <cell r="H6498">
            <v>0</v>
          </cell>
        </row>
        <row r="6499">
          <cell r="H6499">
            <v>0</v>
          </cell>
        </row>
        <row r="6500">
          <cell r="H6500">
            <v>0</v>
          </cell>
        </row>
        <row r="6501">
          <cell r="H6501">
            <v>0</v>
          </cell>
        </row>
        <row r="6502">
          <cell r="H6502">
            <v>0</v>
          </cell>
        </row>
        <row r="6503">
          <cell r="H6503">
            <v>0</v>
          </cell>
        </row>
        <row r="6504">
          <cell r="H6504">
            <v>0</v>
          </cell>
        </row>
        <row r="6505">
          <cell r="H6505">
            <v>0</v>
          </cell>
        </row>
        <row r="6506">
          <cell r="H6506">
            <v>0</v>
          </cell>
        </row>
        <row r="6507">
          <cell r="H6507">
            <v>0</v>
          </cell>
        </row>
        <row r="6508">
          <cell r="H6508">
            <v>0</v>
          </cell>
        </row>
        <row r="6509">
          <cell r="H6509">
            <v>0</v>
          </cell>
        </row>
        <row r="6510">
          <cell r="H6510">
            <v>0</v>
          </cell>
        </row>
        <row r="6511">
          <cell r="H6511">
            <v>0</v>
          </cell>
        </row>
        <row r="6512">
          <cell r="H6512">
            <v>0</v>
          </cell>
        </row>
        <row r="6513">
          <cell r="H6513">
            <v>0</v>
          </cell>
        </row>
        <row r="6514">
          <cell r="H6514">
            <v>0</v>
          </cell>
        </row>
        <row r="6515">
          <cell r="H6515">
            <v>0</v>
          </cell>
        </row>
        <row r="6516">
          <cell r="H6516">
            <v>0</v>
          </cell>
        </row>
        <row r="6517">
          <cell r="H6517">
            <v>0</v>
          </cell>
        </row>
        <row r="6518">
          <cell r="H6518">
            <v>0</v>
          </cell>
        </row>
        <row r="6519">
          <cell r="H6519">
            <v>0</v>
          </cell>
        </row>
        <row r="6520">
          <cell r="H6520">
            <v>0</v>
          </cell>
        </row>
        <row r="6521">
          <cell r="H6521">
            <v>0</v>
          </cell>
        </row>
        <row r="6522">
          <cell r="H6522">
            <v>0</v>
          </cell>
        </row>
        <row r="6523">
          <cell r="H6523">
            <v>0</v>
          </cell>
        </row>
        <row r="6524">
          <cell r="H6524">
            <v>0</v>
          </cell>
        </row>
        <row r="6525">
          <cell r="H6525">
            <v>0</v>
          </cell>
        </row>
        <row r="6526">
          <cell r="H6526">
            <v>0</v>
          </cell>
        </row>
        <row r="6527">
          <cell r="H6527">
            <v>0</v>
          </cell>
        </row>
        <row r="6528">
          <cell r="H6528">
            <v>0</v>
          </cell>
        </row>
        <row r="6529">
          <cell r="H6529">
            <v>0</v>
          </cell>
        </row>
        <row r="6530">
          <cell r="H6530">
            <v>0</v>
          </cell>
        </row>
        <row r="6531">
          <cell r="H6531">
            <v>0</v>
          </cell>
        </row>
        <row r="6532">
          <cell r="H6532">
            <v>0</v>
          </cell>
        </row>
        <row r="6533">
          <cell r="H6533">
            <v>0</v>
          </cell>
        </row>
        <row r="6534">
          <cell r="H6534">
            <v>0</v>
          </cell>
        </row>
        <row r="6535">
          <cell r="H6535">
            <v>0</v>
          </cell>
        </row>
        <row r="6536">
          <cell r="H6536">
            <v>0</v>
          </cell>
        </row>
        <row r="6537">
          <cell r="H6537">
            <v>0</v>
          </cell>
        </row>
        <row r="6538">
          <cell r="H6538">
            <v>0</v>
          </cell>
        </row>
        <row r="6539">
          <cell r="H6539">
            <v>0</v>
          </cell>
        </row>
        <row r="6540">
          <cell r="H6540">
            <v>0</v>
          </cell>
        </row>
        <row r="6541">
          <cell r="H6541">
            <v>0</v>
          </cell>
        </row>
        <row r="6542">
          <cell r="H6542">
            <v>0</v>
          </cell>
        </row>
        <row r="6543">
          <cell r="H6543">
            <v>0</v>
          </cell>
        </row>
        <row r="6544">
          <cell r="H6544">
            <v>0</v>
          </cell>
        </row>
        <row r="6545">
          <cell r="H6545">
            <v>0</v>
          </cell>
        </row>
        <row r="6546">
          <cell r="H6546">
            <v>0</v>
          </cell>
        </row>
        <row r="6547">
          <cell r="H6547">
            <v>0</v>
          </cell>
        </row>
        <row r="6548">
          <cell r="H6548">
            <v>0</v>
          </cell>
        </row>
        <row r="6549">
          <cell r="H6549">
            <v>0</v>
          </cell>
        </row>
        <row r="6550">
          <cell r="H6550">
            <v>0</v>
          </cell>
        </row>
        <row r="6551">
          <cell r="H6551">
            <v>0</v>
          </cell>
        </row>
        <row r="6552">
          <cell r="H6552">
            <v>0</v>
          </cell>
        </row>
        <row r="6553">
          <cell r="H6553">
            <v>0</v>
          </cell>
        </row>
        <row r="6554">
          <cell r="H6554">
            <v>0</v>
          </cell>
        </row>
        <row r="6555">
          <cell r="H6555">
            <v>0</v>
          </cell>
        </row>
        <row r="6556">
          <cell r="H6556">
            <v>0</v>
          </cell>
        </row>
        <row r="6557">
          <cell r="H6557">
            <v>0</v>
          </cell>
        </row>
        <row r="6558">
          <cell r="H6558">
            <v>0</v>
          </cell>
        </row>
        <row r="6559">
          <cell r="H6559">
            <v>0</v>
          </cell>
        </row>
        <row r="6560">
          <cell r="H6560">
            <v>0</v>
          </cell>
        </row>
        <row r="6561">
          <cell r="H6561">
            <v>0</v>
          </cell>
        </row>
        <row r="6562">
          <cell r="H6562">
            <v>0</v>
          </cell>
        </row>
        <row r="6563">
          <cell r="H6563">
            <v>0</v>
          </cell>
        </row>
        <row r="6564">
          <cell r="H6564">
            <v>0</v>
          </cell>
        </row>
        <row r="6565">
          <cell r="H6565">
            <v>0</v>
          </cell>
        </row>
        <row r="6566">
          <cell r="H6566">
            <v>0</v>
          </cell>
        </row>
        <row r="6567">
          <cell r="H6567">
            <v>0</v>
          </cell>
        </row>
        <row r="6568">
          <cell r="H6568">
            <v>0</v>
          </cell>
        </row>
        <row r="6569">
          <cell r="H6569">
            <v>0</v>
          </cell>
        </row>
        <row r="6570">
          <cell r="H6570">
            <v>0</v>
          </cell>
        </row>
        <row r="6571">
          <cell r="H6571">
            <v>0</v>
          </cell>
        </row>
        <row r="6572">
          <cell r="H6572">
            <v>0</v>
          </cell>
        </row>
        <row r="6573">
          <cell r="H6573">
            <v>0</v>
          </cell>
        </row>
        <row r="6574">
          <cell r="H6574">
            <v>0</v>
          </cell>
        </row>
        <row r="6575">
          <cell r="H6575">
            <v>0</v>
          </cell>
        </row>
        <row r="6576">
          <cell r="H6576">
            <v>0</v>
          </cell>
        </row>
        <row r="6577">
          <cell r="H6577">
            <v>0</v>
          </cell>
        </row>
        <row r="6578">
          <cell r="H6578">
            <v>0</v>
          </cell>
        </row>
        <row r="6579">
          <cell r="H6579">
            <v>0</v>
          </cell>
        </row>
        <row r="6580">
          <cell r="H6580">
            <v>0</v>
          </cell>
        </row>
        <row r="6581">
          <cell r="H6581">
            <v>0</v>
          </cell>
        </row>
        <row r="6582">
          <cell r="H6582">
            <v>0</v>
          </cell>
        </row>
        <row r="6583">
          <cell r="H6583">
            <v>0</v>
          </cell>
        </row>
        <row r="6584">
          <cell r="H6584">
            <v>0</v>
          </cell>
        </row>
        <row r="6585">
          <cell r="H6585">
            <v>0</v>
          </cell>
        </row>
        <row r="6586">
          <cell r="H6586">
            <v>0</v>
          </cell>
        </row>
        <row r="6587">
          <cell r="H6587">
            <v>0</v>
          </cell>
        </row>
        <row r="6588">
          <cell r="H6588">
            <v>0</v>
          </cell>
        </row>
        <row r="6589">
          <cell r="H6589">
            <v>0</v>
          </cell>
        </row>
        <row r="6590">
          <cell r="H6590">
            <v>0</v>
          </cell>
        </row>
        <row r="6591">
          <cell r="H6591">
            <v>0</v>
          </cell>
        </row>
        <row r="6592">
          <cell r="H6592">
            <v>0</v>
          </cell>
        </row>
        <row r="6593">
          <cell r="H6593">
            <v>0</v>
          </cell>
        </row>
        <row r="6594">
          <cell r="H6594">
            <v>0</v>
          </cell>
        </row>
        <row r="6595">
          <cell r="H6595">
            <v>0</v>
          </cell>
        </row>
        <row r="6596">
          <cell r="H6596">
            <v>0</v>
          </cell>
        </row>
        <row r="6597">
          <cell r="H6597">
            <v>0</v>
          </cell>
        </row>
        <row r="6598">
          <cell r="H6598">
            <v>0</v>
          </cell>
        </row>
        <row r="6599">
          <cell r="H6599">
            <v>0</v>
          </cell>
        </row>
        <row r="6600">
          <cell r="H6600">
            <v>0</v>
          </cell>
        </row>
        <row r="6601">
          <cell r="H6601">
            <v>0</v>
          </cell>
        </row>
        <row r="6602">
          <cell r="H6602">
            <v>0</v>
          </cell>
        </row>
        <row r="6603">
          <cell r="H6603">
            <v>0</v>
          </cell>
        </row>
        <row r="6604">
          <cell r="H6604">
            <v>0</v>
          </cell>
        </row>
        <row r="6605">
          <cell r="H6605">
            <v>0</v>
          </cell>
        </row>
        <row r="6606">
          <cell r="H6606">
            <v>0</v>
          </cell>
        </row>
        <row r="6607">
          <cell r="H6607">
            <v>0</v>
          </cell>
        </row>
        <row r="6608">
          <cell r="H6608">
            <v>0</v>
          </cell>
        </row>
        <row r="6609">
          <cell r="H6609">
            <v>0</v>
          </cell>
        </row>
        <row r="6610">
          <cell r="H6610">
            <v>0</v>
          </cell>
        </row>
        <row r="6611">
          <cell r="H6611">
            <v>0</v>
          </cell>
        </row>
        <row r="6612">
          <cell r="H6612">
            <v>0</v>
          </cell>
        </row>
        <row r="6613">
          <cell r="H6613">
            <v>0</v>
          </cell>
        </row>
        <row r="6614">
          <cell r="H6614">
            <v>0</v>
          </cell>
        </row>
        <row r="6615">
          <cell r="H6615">
            <v>0</v>
          </cell>
        </row>
        <row r="6616">
          <cell r="H6616">
            <v>0</v>
          </cell>
        </row>
        <row r="6617">
          <cell r="H6617">
            <v>0</v>
          </cell>
        </row>
        <row r="6618">
          <cell r="H6618">
            <v>0</v>
          </cell>
        </row>
        <row r="6619">
          <cell r="H6619">
            <v>0</v>
          </cell>
        </row>
        <row r="6620">
          <cell r="H6620">
            <v>0</v>
          </cell>
        </row>
        <row r="6621">
          <cell r="H6621">
            <v>0</v>
          </cell>
        </row>
        <row r="6622">
          <cell r="H6622">
            <v>0</v>
          </cell>
        </row>
        <row r="6623">
          <cell r="H6623">
            <v>0</v>
          </cell>
        </row>
        <row r="6624">
          <cell r="H6624">
            <v>0</v>
          </cell>
        </row>
        <row r="6625">
          <cell r="H6625">
            <v>0</v>
          </cell>
        </row>
        <row r="6626">
          <cell r="H6626">
            <v>0</v>
          </cell>
        </row>
        <row r="6627">
          <cell r="H6627">
            <v>0</v>
          </cell>
        </row>
        <row r="6628">
          <cell r="H6628">
            <v>0</v>
          </cell>
        </row>
        <row r="6629">
          <cell r="H6629">
            <v>0</v>
          </cell>
        </row>
        <row r="6630">
          <cell r="H6630">
            <v>0</v>
          </cell>
        </row>
        <row r="6631">
          <cell r="H6631">
            <v>0</v>
          </cell>
        </row>
        <row r="6632">
          <cell r="H6632">
            <v>0</v>
          </cell>
        </row>
        <row r="6633">
          <cell r="H6633">
            <v>0</v>
          </cell>
        </row>
        <row r="6634">
          <cell r="H6634">
            <v>0</v>
          </cell>
        </row>
        <row r="6635">
          <cell r="H6635">
            <v>0</v>
          </cell>
        </row>
        <row r="6636">
          <cell r="H6636">
            <v>0</v>
          </cell>
        </row>
        <row r="6637">
          <cell r="H6637">
            <v>0</v>
          </cell>
        </row>
        <row r="6638">
          <cell r="H6638">
            <v>0</v>
          </cell>
        </row>
        <row r="6639">
          <cell r="H6639">
            <v>0</v>
          </cell>
        </row>
        <row r="6640">
          <cell r="H6640">
            <v>0</v>
          </cell>
        </row>
        <row r="6641">
          <cell r="H6641">
            <v>0</v>
          </cell>
        </row>
        <row r="6642">
          <cell r="H6642">
            <v>0</v>
          </cell>
        </row>
        <row r="6643">
          <cell r="H6643">
            <v>0</v>
          </cell>
        </row>
        <row r="6644">
          <cell r="H6644">
            <v>0</v>
          </cell>
        </row>
        <row r="6645">
          <cell r="H6645">
            <v>0</v>
          </cell>
        </row>
        <row r="6646">
          <cell r="H6646">
            <v>0</v>
          </cell>
        </row>
        <row r="6647">
          <cell r="H6647">
            <v>0</v>
          </cell>
        </row>
        <row r="6648">
          <cell r="H6648">
            <v>0</v>
          </cell>
        </row>
        <row r="6649">
          <cell r="H6649">
            <v>0</v>
          </cell>
        </row>
        <row r="6650">
          <cell r="H6650">
            <v>0</v>
          </cell>
        </row>
        <row r="6651">
          <cell r="H6651">
            <v>0</v>
          </cell>
        </row>
        <row r="6652">
          <cell r="H6652">
            <v>0</v>
          </cell>
        </row>
        <row r="6653">
          <cell r="H6653">
            <v>0</v>
          </cell>
        </row>
        <row r="6654">
          <cell r="H6654">
            <v>0</v>
          </cell>
        </row>
        <row r="6655">
          <cell r="H6655">
            <v>0</v>
          </cell>
        </row>
        <row r="6656">
          <cell r="H6656">
            <v>0</v>
          </cell>
        </row>
        <row r="6657">
          <cell r="H6657">
            <v>0</v>
          </cell>
        </row>
        <row r="6658">
          <cell r="H6658">
            <v>0</v>
          </cell>
        </row>
        <row r="6659">
          <cell r="H6659">
            <v>0</v>
          </cell>
        </row>
        <row r="6660">
          <cell r="H6660">
            <v>0</v>
          </cell>
        </row>
        <row r="6661">
          <cell r="H6661">
            <v>0</v>
          </cell>
        </row>
        <row r="6662">
          <cell r="H6662">
            <v>0</v>
          </cell>
        </row>
        <row r="6663">
          <cell r="H6663">
            <v>0</v>
          </cell>
        </row>
        <row r="6664">
          <cell r="H6664">
            <v>0</v>
          </cell>
        </row>
        <row r="6665">
          <cell r="H6665">
            <v>0</v>
          </cell>
        </row>
        <row r="6666">
          <cell r="H6666">
            <v>0</v>
          </cell>
        </row>
        <row r="6667">
          <cell r="H6667">
            <v>0</v>
          </cell>
        </row>
        <row r="6668">
          <cell r="H6668">
            <v>0</v>
          </cell>
        </row>
        <row r="6669">
          <cell r="H6669">
            <v>0</v>
          </cell>
        </row>
        <row r="6670">
          <cell r="H6670">
            <v>0</v>
          </cell>
        </row>
        <row r="6671">
          <cell r="H6671">
            <v>0</v>
          </cell>
        </row>
        <row r="6672">
          <cell r="H6672">
            <v>0</v>
          </cell>
        </row>
        <row r="6673">
          <cell r="H6673">
            <v>0</v>
          </cell>
        </row>
        <row r="6674">
          <cell r="H6674">
            <v>0</v>
          </cell>
        </row>
        <row r="6675">
          <cell r="H6675">
            <v>0</v>
          </cell>
        </row>
        <row r="6676">
          <cell r="H6676">
            <v>0</v>
          </cell>
        </row>
        <row r="6677">
          <cell r="H6677">
            <v>0</v>
          </cell>
        </row>
        <row r="6678">
          <cell r="H6678">
            <v>0</v>
          </cell>
        </row>
        <row r="6679">
          <cell r="H6679">
            <v>0</v>
          </cell>
        </row>
        <row r="6680">
          <cell r="H6680">
            <v>0</v>
          </cell>
        </row>
        <row r="6681">
          <cell r="H6681">
            <v>0</v>
          </cell>
        </row>
        <row r="6682">
          <cell r="H6682">
            <v>0</v>
          </cell>
        </row>
        <row r="6683">
          <cell r="H6683">
            <v>0</v>
          </cell>
        </row>
        <row r="6684">
          <cell r="H6684">
            <v>0</v>
          </cell>
        </row>
        <row r="6685">
          <cell r="H6685">
            <v>0</v>
          </cell>
        </row>
        <row r="6686">
          <cell r="H6686">
            <v>0</v>
          </cell>
        </row>
        <row r="6687">
          <cell r="H6687">
            <v>0</v>
          </cell>
        </row>
        <row r="6688">
          <cell r="H6688">
            <v>0</v>
          </cell>
        </row>
        <row r="6689">
          <cell r="H6689">
            <v>0</v>
          </cell>
        </row>
        <row r="6690">
          <cell r="H6690">
            <v>0</v>
          </cell>
        </row>
        <row r="6691">
          <cell r="H6691">
            <v>0</v>
          </cell>
        </row>
        <row r="6692">
          <cell r="H6692">
            <v>0</v>
          </cell>
        </row>
        <row r="6693">
          <cell r="H6693">
            <v>0</v>
          </cell>
        </row>
        <row r="6694">
          <cell r="H6694">
            <v>0</v>
          </cell>
        </row>
        <row r="6695">
          <cell r="H6695">
            <v>0</v>
          </cell>
        </row>
        <row r="6696">
          <cell r="H6696">
            <v>0</v>
          </cell>
        </row>
        <row r="6697">
          <cell r="H6697">
            <v>0</v>
          </cell>
        </row>
        <row r="6698">
          <cell r="H6698">
            <v>0</v>
          </cell>
        </row>
        <row r="6699">
          <cell r="H6699">
            <v>0</v>
          </cell>
        </row>
        <row r="6700">
          <cell r="H6700">
            <v>0</v>
          </cell>
        </row>
        <row r="6701">
          <cell r="H6701">
            <v>0</v>
          </cell>
        </row>
        <row r="6702">
          <cell r="H6702">
            <v>0</v>
          </cell>
        </row>
        <row r="6703">
          <cell r="H6703">
            <v>0</v>
          </cell>
        </row>
        <row r="6704">
          <cell r="H6704">
            <v>0</v>
          </cell>
        </row>
        <row r="6705">
          <cell r="H6705">
            <v>0</v>
          </cell>
        </row>
        <row r="6706">
          <cell r="H6706">
            <v>0</v>
          </cell>
        </row>
        <row r="6707">
          <cell r="H6707">
            <v>0</v>
          </cell>
        </row>
        <row r="6708">
          <cell r="H6708">
            <v>0</v>
          </cell>
        </row>
        <row r="6709">
          <cell r="H6709">
            <v>0</v>
          </cell>
        </row>
        <row r="6710">
          <cell r="H6710">
            <v>0</v>
          </cell>
        </row>
        <row r="6711">
          <cell r="H6711">
            <v>0</v>
          </cell>
        </row>
        <row r="6712">
          <cell r="H6712">
            <v>0</v>
          </cell>
        </row>
        <row r="6713">
          <cell r="H6713">
            <v>0</v>
          </cell>
        </row>
        <row r="6714">
          <cell r="H6714">
            <v>0</v>
          </cell>
        </row>
        <row r="6715">
          <cell r="H6715">
            <v>0</v>
          </cell>
        </row>
        <row r="6716">
          <cell r="H6716">
            <v>0</v>
          </cell>
        </row>
        <row r="6717">
          <cell r="H6717">
            <v>0</v>
          </cell>
        </row>
        <row r="6718">
          <cell r="H6718">
            <v>0</v>
          </cell>
        </row>
        <row r="6719">
          <cell r="H6719">
            <v>0</v>
          </cell>
        </row>
        <row r="6720">
          <cell r="H6720">
            <v>0</v>
          </cell>
        </row>
        <row r="6721">
          <cell r="H6721">
            <v>0</v>
          </cell>
        </row>
        <row r="6722">
          <cell r="H6722">
            <v>0</v>
          </cell>
        </row>
        <row r="6723">
          <cell r="H6723">
            <v>0</v>
          </cell>
        </row>
        <row r="6724">
          <cell r="H6724">
            <v>0</v>
          </cell>
        </row>
        <row r="6725">
          <cell r="H6725">
            <v>0</v>
          </cell>
        </row>
        <row r="6726">
          <cell r="H6726">
            <v>0</v>
          </cell>
        </row>
        <row r="6727">
          <cell r="H6727">
            <v>0</v>
          </cell>
        </row>
        <row r="6728">
          <cell r="H6728">
            <v>0</v>
          </cell>
        </row>
        <row r="6729">
          <cell r="H6729">
            <v>0</v>
          </cell>
        </row>
        <row r="6730">
          <cell r="H6730">
            <v>0</v>
          </cell>
        </row>
        <row r="6731">
          <cell r="H6731">
            <v>0</v>
          </cell>
        </row>
        <row r="6732">
          <cell r="H6732">
            <v>0</v>
          </cell>
        </row>
        <row r="6733">
          <cell r="H6733">
            <v>0</v>
          </cell>
        </row>
        <row r="6734">
          <cell r="H6734">
            <v>0</v>
          </cell>
        </row>
        <row r="6735">
          <cell r="H6735">
            <v>0</v>
          </cell>
        </row>
        <row r="6736">
          <cell r="H6736">
            <v>0</v>
          </cell>
        </row>
        <row r="6737">
          <cell r="H6737">
            <v>0</v>
          </cell>
        </row>
        <row r="6738">
          <cell r="H6738">
            <v>0</v>
          </cell>
        </row>
        <row r="6739">
          <cell r="H6739">
            <v>0</v>
          </cell>
        </row>
        <row r="6740">
          <cell r="H6740">
            <v>0</v>
          </cell>
        </row>
        <row r="6741">
          <cell r="H6741">
            <v>0</v>
          </cell>
        </row>
        <row r="6742">
          <cell r="H6742">
            <v>0</v>
          </cell>
        </row>
        <row r="6743">
          <cell r="H6743">
            <v>0</v>
          </cell>
        </row>
        <row r="6744">
          <cell r="H6744">
            <v>0</v>
          </cell>
        </row>
        <row r="6745">
          <cell r="H6745">
            <v>0</v>
          </cell>
        </row>
        <row r="6746">
          <cell r="H6746">
            <v>0</v>
          </cell>
        </row>
        <row r="6747">
          <cell r="H6747">
            <v>0</v>
          </cell>
        </row>
        <row r="6748">
          <cell r="H6748">
            <v>0</v>
          </cell>
        </row>
        <row r="6749">
          <cell r="H6749">
            <v>0</v>
          </cell>
        </row>
        <row r="6750">
          <cell r="H6750">
            <v>0</v>
          </cell>
        </row>
        <row r="6751">
          <cell r="H6751">
            <v>0</v>
          </cell>
        </row>
        <row r="6752">
          <cell r="H6752">
            <v>0</v>
          </cell>
        </row>
        <row r="6753">
          <cell r="H6753">
            <v>0</v>
          </cell>
        </row>
        <row r="6754">
          <cell r="H6754">
            <v>0</v>
          </cell>
        </row>
        <row r="6755">
          <cell r="H6755">
            <v>0</v>
          </cell>
        </row>
        <row r="6756">
          <cell r="H6756">
            <v>0</v>
          </cell>
        </row>
        <row r="6757">
          <cell r="H6757">
            <v>0</v>
          </cell>
        </row>
        <row r="6758">
          <cell r="H6758">
            <v>0</v>
          </cell>
        </row>
        <row r="6759">
          <cell r="H6759">
            <v>0</v>
          </cell>
        </row>
        <row r="6760">
          <cell r="H6760">
            <v>0</v>
          </cell>
        </row>
        <row r="6761">
          <cell r="H6761">
            <v>0</v>
          </cell>
        </row>
        <row r="6762">
          <cell r="H6762">
            <v>0</v>
          </cell>
        </row>
        <row r="6763">
          <cell r="H6763">
            <v>0</v>
          </cell>
        </row>
        <row r="6764">
          <cell r="H6764">
            <v>0</v>
          </cell>
        </row>
        <row r="6765">
          <cell r="H6765">
            <v>0</v>
          </cell>
        </row>
        <row r="6766">
          <cell r="H6766">
            <v>0</v>
          </cell>
        </row>
        <row r="6767">
          <cell r="H6767">
            <v>0</v>
          </cell>
        </row>
        <row r="6768">
          <cell r="H6768">
            <v>0</v>
          </cell>
        </row>
        <row r="6769">
          <cell r="H6769">
            <v>0</v>
          </cell>
        </row>
        <row r="6770">
          <cell r="H6770">
            <v>0</v>
          </cell>
        </row>
        <row r="6771">
          <cell r="H6771">
            <v>0</v>
          </cell>
        </row>
        <row r="6772">
          <cell r="H6772">
            <v>0</v>
          </cell>
        </row>
        <row r="6773">
          <cell r="H6773">
            <v>0</v>
          </cell>
        </row>
        <row r="6774">
          <cell r="H6774">
            <v>0</v>
          </cell>
        </row>
        <row r="6775">
          <cell r="H6775">
            <v>0</v>
          </cell>
        </row>
        <row r="6776">
          <cell r="H6776">
            <v>0</v>
          </cell>
        </row>
        <row r="6777">
          <cell r="H6777">
            <v>0</v>
          </cell>
        </row>
        <row r="6778">
          <cell r="H6778">
            <v>0</v>
          </cell>
        </row>
        <row r="6779">
          <cell r="H6779">
            <v>0</v>
          </cell>
        </row>
        <row r="6780">
          <cell r="H6780">
            <v>0</v>
          </cell>
        </row>
        <row r="6781">
          <cell r="H6781">
            <v>0</v>
          </cell>
        </row>
        <row r="6782">
          <cell r="H6782">
            <v>0</v>
          </cell>
        </row>
        <row r="6783">
          <cell r="H6783">
            <v>0</v>
          </cell>
        </row>
        <row r="6784">
          <cell r="H6784">
            <v>0</v>
          </cell>
        </row>
        <row r="6785">
          <cell r="H6785">
            <v>0</v>
          </cell>
        </row>
        <row r="6786">
          <cell r="H6786">
            <v>0</v>
          </cell>
        </row>
        <row r="6787">
          <cell r="H6787">
            <v>0</v>
          </cell>
        </row>
        <row r="6788">
          <cell r="H6788">
            <v>0</v>
          </cell>
        </row>
        <row r="6789">
          <cell r="H6789">
            <v>0</v>
          </cell>
        </row>
        <row r="6790">
          <cell r="H6790">
            <v>0</v>
          </cell>
        </row>
        <row r="6791">
          <cell r="H6791">
            <v>0</v>
          </cell>
        </row>
        <row r="6792">
          <cell r="H6792">
            <v>0</v>
          </cell>
        </row>
        <row r="6793">
          <cell r="H6793">
            <v>0</v>
          </cell>
        </row>
        <row r="6794">
          <cell r="H6794">
            <v>0</v>
          </cell>
        </row>
        <row r="6795">
          <cell r="H6795">
            <v>0</v>
          </cell>
        </row>
        <row r="6796">
          <cell r="H6796">
            <v>0</v>
          </cell>
        </row>
        <row r="6797">
          <cell r="H6797">
            <v>0</v>
          </cell>
        </row>
        <row r="6798">
          <cell r="H6798">
            <v>0</v>
          </cell>
        </row>
        <row r="6799">
          <cell r="H6799">
            <v>0</v>
          </cell>
        </row>
        <row r="6800">
          <cell r="H6800">
            <v>0</v>
          </cell>
        </row>
        <row r="6801">
          <cell r="H6801">
            <v>0</v>
          </cell>
        </row>
        <row r="6802">
          <cell r="H6802">
            <v>0</v>
          </cell>
        </row>
        <row r="6803">
          <cell r="H6803">
            <v>0</v>
          </cell>
        </row>
        <row r="6804">
          <cell r="H6804">
            <v>0</v>
          </cell>
        </row>
        <row r="6805">
          <cell r="H6805">
            <v>0</v>
          </cell>
        </row>
        <row r="6806">
          <cell r="H6806">
            <v>0</v>
          </cell>
        </row>
        <row r="6807">
          <cell r="H6807">
            <v>0</v>
          </cell>
        </row>
        <row r="6808">
          <cell r="H6808">
            <v>0</v>
          </cell>
        </row>
        <row r="6809">
          <cell r="H6809">
            <v>0</v>
          </cell>
        </row>
        <row r="6810">
          <cell r="H6810">
            <v>0</v>
          </cell>
        </row>
        <row r="6811">
          <cell r="H6811">
            <v>0</v>
          </cell>
        </row>
        <row r="6812">
          <cell r="H6812">
            <v>0</v>
          </cell>
        </row>
        <row r="6813">
          <cell r="H6813">
            <v>0</v>
          </cell>
        </row>
        <row r="6814">
          <cell r="H6814">
            <v>0</v>
          </cell>
        </row>
        <row r="6815">
          <cell r="H6815">
            <v>0</v>
          </cell>
        </row>
        <row r="6816">
          <cell r="H6816">
            <v>0</v>
          </cell>
        </row>
        <row r="6817">
          <cell r="H6817">
            <v>0</v>
          </cell>
        </row>
        <row r="6818">
          <cell r="H6818">
            <v>0</v>
          </cell>
        </row>
        <row r="6819">
          <cell r="H6819">
            <v>0</v>
          </cell>
        </row>
        <row r="6820">
          <cell r="H6820">
            <v>0</v>
          </cell>
        </row>
        <row r="6821">
          <cell r="H6821">
            <v>0</v>
          </cell>
        </row>
        <row r="6822">
          <cell r="H6822">
            <v>0</v>
          </cell>
        </row>
        <row r="6823">
          <cell r="H6823">
            <v>0</v>
          </cell>
        </row>
        <row r="6824">
          <cell r="H6824">
            <v>0</v>
          </cell>
        </row>
        <row r="6825">
          <cell r="H6825">
            <v>0</v>
          </cell>
        </row>
        <row r="6826">
          <cell r="H6826">
            <v>0</v>
          </cell>
        </row>
        <row r="6827">
          <cell r="H6827">
            <v>0</v>
          </cell>
        </row>
        <row r="6828">
          <cell r="H6828">
            <v>0</v>
          </cell>
        </row>
        <row r="6829">
          <cell r="H6829">
            <v>0</v>
          </cell>
        </row>
        <row r="6830">
          <cell r="H6830">
            <v>0</v>
          </cell>
        </row>
        <row r="6831">
          <cell r="H6831">
            <v>0</v>
          </cell>
        </row>
        <row r="6832">
          <cell r="H6832">
            <v>0</v>
          </cell>
        </row>
        <row r="6833">
          <cell r="H6833">
            <v>0</v>
          </cell>
        </row>
        <row r="6834">
          <cell r="H6834">
            <v>0</v>
          </cell>
        </row>
        <row r="6835">
          <cell r="H6835">
            <v>0</v>
          </cell>
        </row>
        <row r="6836">
          <cell r="H6836">
            <v>0</v>
          </cell>
        </row>
        <row r="6837">
          <cell r="H6837">
            <v>0</v>
          </cell>
        </row>
        <row r="6838">
          <cell r="H6838">
            <v>0</v>
          </cell>
        </row>
        <row r="6839">
          <cell r="H6839">
            <v>0</v>
          </cell>
        </row>
        <row r="6840">
          <cell r="H6840">
            <v>0</v>
          </cell>
        </row>
        <row r="6841">
          <cell r="H6841">
            <v>0</v>
          </cell>
        </row>
        <row r="6842">
          <cell r="H6842">
            <v>0</v>
          </cell>
        </row>
        <row r="6843">
          <cell r="H6843">
            <v>0</v>
          </cell>
        </row>
        <row r="6844">
          <cell r="H6844">
            <v>0</v>
          </cell>
        </row>
        <row r="6845">
          <cell r="H6845">
            <v>0</v>
          </cell>
        </row>
        <row r="6846">
          <cell r="H6846">
            <v>0</v>
          </cell>
        </row>
        <row r="6847">
          <cell r="H6847">
            <v>0</v>
          </cell>
        </row>
        <row r="6848">
          <cell r="H6848">
            <v>0</v>
          </cell>
        </row>
        <row r="6849">
          <cell r="H6849">
            <v>0</v>
          </cell>
        </row>
        <row r="6850">
          <cell r="H6850">
            <v>0</v>
          </cell>
        </row>
        <row r="6851">
          <cell r="H6851">
            <v>0</v>
          </cell>
        </row>
        <row r="6852">
          <cell r="H6852">
            <v>0</v>
          </cell>
        </row>
        <row r="6853">
          <cell r="H6853">
            <v>0</v>
          </cell>
        </row>
        <row r="6854">
          <cell r="H6854">
            <v>0</v>
          </cell>
        </row>
        <row r="6855">
          <cell r="H6855">
            <v>0</v>
          </cell>
        </row>
        <row r="6856">
          <cell r="H6856">
            <v>0</v>
          </cell>
        </row>
        <row r="6857">
          <cell r="H6857">
            <v>0</v>
          </cell>
        </row>
        <row r="6858">
          <cell r="H6858">
            <v>0</v>
          </cell>
        </row>
        <row r="6859">
          <cell r="H6859">
            <v>0</v>
          </cell>
        </row>
        <row r="6860">
          <cell r="H6860">
            <v>0</v>
          </cell>
        </row>
        <row r="6861">
          <cell r="H6861">
            <v>0</v>
          </cell>
        </row>
        <row r="6862">
          <cell r="H6862">
            <v>0</v>
          </cell>
        </row>
        <row r="6863">
          <cell r="H6863">
            <v>0</v>
          </cell>
        </row>
        <row r="6864">
          <cell r="H6864">
            <v>0</v>
          </cell>
        </row>
        <row r="6865">
          <cell r="H6865">
            <v>0</v>
          </cell>
        </row>
        <row r="6866">
          <cell r="H6866">
            <v>0</v>
          </cell>
        </row>
        <row r="6867">
          <cell r="H6867">
            <v>0</v>
          </cell>
        </row>
        <row r="6868">
          <cell r="H6868">
            <v>0</v>
          </cell>
        </row>
        <row r="6869">
          <cell r="H6869">
            <v>0</v>
          </cell>
        </row>
        <row r="6870">
          <cell r="H6870">
            <v>0</v>
          </cell>
        </row>
        <row r="6871">
          <cell r="H6871">
            <v>0</v>
          </cell>
        </row>
        <row r="6872">
          <cell r="H6872">
            <v>0</v>
          </cell>
        </row>
        <row r="6873">
          <cell r="H6873">
            <v>0</v>
          </cell>
        </row>
        <row r="6874">
          <cell r="H6874">
            <v>0</v>
          </cell>
        </row>
        <row r="6875">
          <cell r="H6875">
            <v>0</v>
          </cell>
        </row>
        <row r="6876">
          <cell r="H6876">
            <v>0</v>
          </cell>
        </row>
        <row r="6877">
          <cell r="H6877">
            <v>0</v>
          </cell>
        </row>
        <row r="6878">
          <cell r="H6878">
            <v>0</v>
          </cell>
        </row>
        <row r="6879">
          <cell r="H6879">
            <v>0</v>
          </cell>
        </row>
        <row r="6880">
          <cell r="H6880">
            <v>0</v>
          </cell>
        </row>
        <row r="6881">
          <cell r="H6881">
            <v>0</v>
          </cell>
        </row>
        <row r="6882">
          <cell r="H6882">
            <v>0</v>
          </cell>
        </row>
        <row r="6883">
          <cell r="H6883">
            <v>0</v>
          </cell>
        </row>
        <row r="6884">
          <cell r="H6884">
            <v>0</v>
          </cell>
        </row>
        <row r="6885">
          <cell r="H6885">
            <v>0</v>
          </cell>
        </row>
        <row r="6886">
          <cell r="H6886">
            <v>0</v>
          </cell>
        </row>
        <row r="6887">
          <cell r="H6887">
            <v>0</v>
          </cell>
        </row>
        <row r="6888">
          <cell r="H6888">
            <v>0</v>
          </cell>
        </row>
        <row r="6889">
          <cell r="H6889">
            <v>0</v>
          </cell>
        </row>
        <row r="6890">
          <cell r="H6890">
            <v>0</v>
          </cell>
        </row>
        <row r="6891">
          <cell r="H6891">
            <v>0</v>
          </cell>
        </row>
        <row r="6892">
          <cell r="H6892">
            <v>0</v>
          </cell>
        </row>
        <row r="6893">
          <cell r="H6893">
            <v>0</v>
          </cell>
        </row>
        <row r="6894">
          <cell r="H6894">
            <v>0</v>
          </cell>
        </row>
        <row r="6895">
          <cell r="H6895">
            <v>0</v>
          </cell>
        </row>
        <row r="6896">
          <cell r="H6896">
            <v>0</v>
          </cell>
        </row>
        <row r="6897">
          <cell r="H6897">
            <v>0</v>
          </cell>
        </row>
        <row r="6898">
          <cell r="H6898">
            <v>0</v>
          </cell>
        </row>
        <row r="6899">
          <cell r="H6899">
            <v>0</v>
          </cell>
        </row>
        <row r="6900">
          <cell r="H6900">
            <v>0</v>
          </cell>
        </row>
        <row r="6901">
          <cell r="H6901">
            <v>0</v>
          </cell>
        </row>
        <row r="6902">
          <cell r="H6902">
            <v>0</v>
          </cell>
        </row>
        <row r="6903">
          <cell r="H6903">
            <v>0</v>
          </cell>
        </row>
        <row r="6904">
          <cell r="H6904">
            <v>0</v>
          </cell>
        </row>
        <row r="6905">
          <cell r="H6905">
            <v>0</v>
          </cell>
        </row>
        <row r="6906">
          <cell r="H6906">
            <v>0</v>
          </cell>
        </row>
        <row r="6907">
          <cell r="H6907">
            <v>0</v>
          </cell>
        </row>
        <row r="6908">
          <cell r="H6908">
            <v>0</v>
          </cell>
        </row>
        <row r="6909">
          <cell r="H6909">
            <v>0</v>
          </cell>
        </row>
        <row r="6910">
          <cell r="H6910">
            <v>0</v>
          </cell>
        </row>
        <row r="6911">
          <cell r="H6911">
            <v>0</v>
          </cell>
        </row>
        <row r="6912">
          <cell r="H6912">
            <v>0</v>
          </cell>
        </row>
        <row r="6913">
          <cell r="H6913">
            <v>0</v>
          </cell>
        </row>
        <row r="6914">
          <cell r="H6914">
            <v>0</v>
          </cell>
        </row>
        <row r="6915">
          <cell r="H6915">
            <v>0</v>
          </cell>
        </row>
        <row r="6916">
          <cell r="H6916">
            <v>0</v>
          </cell>
        </row>
        <row r="6917">
          <cell r="H6917">
            <v>0</v>
          </cell>
        </row>
        <row r="6918">
          <cell r="H6918">
            <v>0</v>
          </cell>
        </row>
        <row r="6919">
          <cell r="H6919">
            <v>0</v>
          </cell>
        </row>
        <row r="6920">
          <cell r="H6920">
            <v>0</v>
          </cell>
        </row>
        <row r="6921">
          <cell r="H6921">
            <v>0</v>
          </cell>
        </row>
        <row r="6922">
          <cell r="H6922">
            <v>0</v>
          </cell>
        </row>
        <row r="6923">
          <cell r="H6923">
            <v>0</v>
          </cell>
        </row>
        <row r="6924">
          <cell r="H6924">
            <v>0</v>
          </cell>
        </row>
        <row r="6925">
          <cell r="H6925">
            <v>0</v>
          </cell>
        </row>
        <row r="6926">
          <cell r="H6926">
            <v>0</v>
          </cell>
        </row>
        <row r="6927">
          <cell r="H6927">
            <v>0</v>
          </cell>
        </row>
        <row r="6928">
          <cell r="H6928">
            <v>0</v>
          </cell>
        </row>
        <row r="6929">
          <cell r="H6929">
            <v>0</v>
          </cell>
        </row>
        <row r="6930">
          <cell r="H6930">
            <v>0</v>
          </cell>
        </row>
        <row r="6931">
          <cell r="H6931">
            <v>0</v>
          </cell>
        </row>
        <row r="6932">
          <cell r="H6932">
            <v>0</v>
          </cell>
        </row>
        <row r="6933">
          <cell r="H6933">
            <v>0</v>
          </cell>
        </row>
        <row r="6934">
          <cell r="H6934">
            <v>0</v>
          </cell>
        </row>
        <row r="6935">
          <cell r="H6935">
            <v>0</v>
          </cell>
        </row>
        <row r="6936">
          <cell r="H6936">
            <v>0</v>
          </cell>
        </row>
        <row r="6937">
          <cell r="H6937">
            <v>0</v>
          </cell>
        </row>
        <row r="6938">
          <cell r="H6938">
            <v>0</v>
          </cell>
        </row>
        <row r="6939">
          <cell r="H6939">
            <v>0</v>
          </cell>
        </row>
        <row r="6940">
          <cell r="H6940">
            <v>0</v>
          </cell>
        </row>
        <row r="6941">
          <cell r="H6941">
            <v>0</v>
          </cell>
        </row>
        <row r="6942">
          <cell r="H6942">
            <v>0</v>
          </cell>
        </row>
        <row r="6943">
          <cell r="H6943">
            <v>0</v>
          </cell>
        </row>
        <row r="6944">
          <cell r="H6944">
            <v>0</v>
          </cell>
        </row>
        <row r="6945">
          <cell r="H6945">
            <v>0</v>
          </cell>
        </row>
        <row r="6946">
          <cell r="H6946">
            <v>0</v>
          </cell>
        </row>
        <row r="6947">
          <cell r="H6947">
            <v>0</v>
          </cell>
        </row>
        <row r="6948">
          <cell r="H6948">
            <v>0</v>
          </cell>
        </row>
        <row r="6949">
          <cell r="H6949">
            <v>0</v>
          </cell>
        </row>
        <row r="6950">
          <cell r="H6950">
            <v>0</v>
          </cell>
        </row>
        <row r="6951">
          <cell r="H6951">
            <v>0</v>
          </cell>
        </row>
        <row r="6952">
          <cell r="H6952">
            <v>0</v>
          </cell>
        </row>
        <row r="6953">
          <cell r="H6953">
            <v>0</v>
          </cell>
        </row>
        <row r="6954">
          <cell r="H6954">
            <v>0</v>
          </cell>
        </row>
        <row r="6955">
          <cell r="H6955">
            <v>0</v>
          </cell>
        </row>
        <row r="6956">
          <cell r="H6956">
            <v>0</v>
          </cell>
        </row>
        <row r="6957">
          <cell r="H6957">
            <v>0</v>
          </cell>
        </row>
        <row r="6958">
          <cell r="H6958">
            <v>0</v>
          </cell>
        </row>
        <row r="6959">
          <cell r="H6959">
            <v>0</v>
          </cell>
        </row>
        <row r="6960">
          <cell r="H6960">
            <v>0</v>
          </cell>
        </row>
        <row r="6961">
          <cell r="H6961">
            <v>0</v>
          </cell>
        </row>
        <row r="6962">
          <cell r="H6962">
            <v>0</v>
          </cell>
        </row>
        <row r="6963">
          <cell r="H6963">
            <v>0</v>
          </cell>
        </row>
        <row r="6964">
          <cell r="H6964">
            <v>0</v>
          </cell>
        </row>
        <row r="6965">
          <cell r="H6965">
            <v>0</v>
          </cell>
        </row>
        <row r="6966">
          <cell r="H6966">
            <v>0</v>
          </cell>
        </row>
        <row r="6967">
          <cell r="H6967">
            <v>0</v>
          </cell>
        </row>
        <row r="6968">
          <cell r="H6968">
            <v>0</v>
          </cell>
        </row>
        <row r="6969">
          <cell r="H6969">
            <v>0</v>
          </cell>
        </row>
        <row r="6970">
          <cell r="H6970">
            <v>0</v>
          </cell>
        </row>
        <row r="6971">
          <cell r="H6971">
            <v>0</v>
          </cell>
        </row>
        <row r="6972">
          <cell r="H6972">
            <v>0</v>
          </cell>
        </row>
        <row r="6973">
          <cell r="H6973">
            <v>0</v>
          </cell>
        </row>
        <row r="6974">
          <cell r="H6974">
            <v>0</v>
          </cell>
        </row>
        <row r="6975">
          <cell r="H6975">
            <v>0</v>
          </cell>
        </row>
        <row r="6976">
          <cell r="H6976">
            <v>0</v>
          </cell>
        </row>
        <row r="6977">
          <cell r="H6977">
            <v>0</v>
          </cell>
        </row>
        <row r="6978">
          <cell r="H6978">
            <v>0</v>
          </cell>
        </row>
        <row r="6979">
          <cell r="H6979">
            <v>0</v>
          </cell>
        </row>
        <row r="6980">
          <cell r="H6980">
            <v>0</v>
          </cell>
        </row>
        <row r="6981">
          <cell r="H6981">
            <v>0</v>
          </cell>
        </row>
        <row r="6982">
          <cell r="H6982">
            <v>0</v>
          </cell>
        </row>
        <row r="6983">
          <cell r="H6983">
            <v>0</v>
          </cell>
        </row>
        <row r="6984">
          <cell r="H6984">
            <v>0</v>
          </cell>
        </row>
        <row r="6985">
          <cell r="H6985">
            <v>0</v>
          </cell>
        </row>
        <row r="6986">
          <cell r="H6986">
            <v>0</v>
          </cell>
        </row>
        <row r="6987">
          <cell r="H6987">
            <v>0</v>
          </cell>
        </row>
        <row r="6988">
          <cell r="H6988">
            <v>0</v>
          </cell>
        </row>
        <row r="6989">
          <cell r="H6989">
            <v>0</v>
          </cell>
        </row>
        <row r="6990">
          <cell r="H6990">
            <v>0</v>
          </cell>
        </row>
        <row r="6991">
          <cell r="H6991">
            <v>0</v>
          </cell>
        </row>
        <row r="6992">
          <cell r="H6992">
            <v>0</v>
          </cell>
        </row>
        <row r="6993">
          <cell r="H6993">
            <v>0</v>
          </cell>
        </row>
        <row r="6994">
          <cell r="H6994">
            <v>0</v>
          </cell>
        </row>
        <row r="6995">
          <cell r="H6995">
            <v>0</v>
          </cell>
        </row>
        <row r="6996">
          <cell r="H6996">
            <v>0</v>
          </cell>
        </row>
        <row r="6997">
          <cell r="H6997">
            <v>0</v>
          </cell>
        </row>
        <row r="6998">
          <cell r="H6998">
            <v>0</v>
          </cell>
        </row>
        <row r="6999">
          <cell r="H6999">
            <v>0</v>
          </cell>
        </row>
        <row r="7000">
          <cell r="H7000">
            <v>0</v>
          </cell>
        </row>
        <row r="7001">
          <cell r="H7001">
            <v>0</v>
          </cell>
        </row>
        <row r="7002">
          <cell r="H7002">
            <v>0</v>
          </cell>
        </row>
        <row r="7003">
          <cell r="H7003">
            <v>0</v>
          </cell>
        </row>
        <row r="7004">
          <cell r="H7004">
            <v>0</v>
          </cell>
        </row>
        <row r="7005">
          <cell r="H7005">
            <v>0</v>
          </cell>
        </row>
        <row r="7006">
          <cell r="H7006">
            <v>0</v>
          </cell>
        </row>
        <row r="7007">
          <cell r="H7007">
            <v>0</v>
          </cell>
        </row>
        <row r="7008">
          <cell r="H7008">
            <v>0</v>
          </cell>
        </row>
        <row r="7009">
          <cell r="H7009">
            <v>0</v>
          </cell>
        </row>
        <row r="7010">
          <cell r="H7010">
            <v>0</v>
          </cell>
        </row>
        <row r="7011">
          <cell r="H7011">
            <v>0</v>
          </cell>
        </row>
        <row r="7012">
          <cell r="H7012">
            <v>0</v>
          </cell>
        </row>
        <row r="7013">
          <cell r="H7013">
            <v>0</v>
          </cell>
        </row>
        <row r="7014">
          <cell r="H7014">
            <v>0</v>
          </cell>
        </row>
        <row r="7015">
          <cell r="H7015">
            <v>0</v>
          </cell>
        </row>
        <row r="7016">
          <cell r="H7016">
            <v>0</v>
          </cell>
        </row>
        <row r="7017">
          <cell r="H7017">
            <v>0</v>
          </cell>
        </row>
        <row r="7018">
          <cell r="H7018">
            <v>0</v>
          </cell>
        </row>
        <row r="7019">
          <cell r="H7019">
            <v>0</v>
          </cell>
        </row>
        <row r="7020">
          <cell r="H7020">
            <v>0</v>
          </cell>
        </row>
        <row r="7021">
          <cell r="H7021">
            <v>0</v>
          </cell>
        </row>
        <row r="7022">
          <cell r="H7022">
            <v>0</v>
          </cell>
        </row>
        <row r="7023">
          <cell r="H7023">
            <v>0</v>
          </cell>
        </row>
        <row r="7024">
          <cell r="H7024">
            <v>0</v>
          </cell>
        </row>
        <row r="7025">
          <cell r="H7025">
            <v>0</v>
          </cell>
        </row>
        <row r="7026">
          <cell r="H7026">
            <v>0</v>
          </cell>
        </row>
        <row r="7027">
          <cell r="H7027">
            <v>0</v>
          </cell>
        </row>
        <row r="7028">
          <cell r="H7028">
            <v>0</v>
          </cell>
        </row>
        <row r="7029">
          <cell r="H7029">
            <v>0</v>
          </cell>
        </row>
        <row r="7030">
          <cell r="H7030">
            <v>0</v>
          </cell>
        </row>
        <row r="7031">
          <cell r="H7031">
            <v>0</v>
          </cell>
        </row>
        <row r="7032">
          <cell r="H7032">
            <v>0</v>
          </cell>
        </row>
        <row r="7033">
          <cell r="H7033">
            <v>0</v>
          </cell>
        </row>
        <row r="7034">
          <cell r="H7034">
            <v>0</v>
          </cell>
        </row>
        <row r="7035">
          <cell r="H7035">
            <v>0</v>
          </cell>
        </row>
        <row r="7036">
          <cell r="H7036">
            <v>0</v>
          </cell>
        </row>
        <row r="7037">
          <cell r="H7037">
            <v>0</v>
          </cell>
        </row>
        <row r="7038">
          <cell r="H7038">
            <v>0</v>
          </cell>
        </row>
        <row r="7039">
          <cell r="H7039">
            <v>0</v>
          </cell>
        </row>
        <row r="7040">
          <cell r="H7040">
            <v>0</v>
          </cell>
        </row>
        <row r="7041">
          <cell r="H7041">
            <v>0</v>
          </cell>
        </row>
        <row r="7042">
          <cell r="H7042">
            <v>0</v>
          </cell>
        </row>
        <row r="7043">
          <cell r="H7043">
            <v>0</v>
          </cell>
        </row>
        <row r="7044">
          <cell r="H7044">
            <v>0</v>
          </cell>
        </row>
        <row r="7045">
          <cell r="H7045">
            <v>0</v>
          </cell>
        </row>
        <row r="7046">
          <cell r="H7046">
            <v>0</v>
          </cell>
        </row>
        <row r="7047">
          <cell r="H7047">
            <v>0</v>
          </cell>
        </row>
        <row r="7048">
          <cell r="H7048">
            <v>0</v>
          </cell>
        </row>
        <row r="7049">
          <cell r="H7049">
            <v>0</v>
          </cell>
        </row>
        <row r="7050">
          <cell r="H7050">
            <v>0</v>
          </cell>
        </row>
        <row r="7051">
          <cell r="H7051">
            <v>0</v>
          </cell>
        </row>
        <row r="7052">
          <cell r="H7052">
            <v>0</v>
          </cell>
        </row>
        <row r="7053">
          <cell r="H7053">
            <v>0</v>
          </cell>
        </row>
        <row r="7054">
          <cell r="H7054">
            <v>0</v>
          </cell>
        </row>
        <row r="7055">
          <cell r="H7055">
            <v>0</v>
          </cell>
        </row>
        <row r="7056">
          <cell r="H7056">
            <v>0</v>
          </cell>
        </row>
        <row r="7057">
          <cell r="H7057">
            <v>0</v>
          </cell>
        </row>
        <row r="7058">
          <cell r="H7058">
            <v>0</v>
          </cell>
        </row>
        <row r="7059">
          <cell r="H7059">
            <v>0</v>
          </cell>
        </row>
        <row r="7060">
          <cell r="H7060">
            <v>0</v>
          </cell>
        </row>
        <row r="7061">
          <cell r="H7061">
            <v>0</v>
          </cell>
        </row>
        <row r="7062">
          <cell r="H7062">
            <v>0</v>
          </cell>
        </row>
        <row r="7063">
          <cell r="H7063">
            <v>0</v>
          </cell>
        </row>
        <row r="7064">
          <cell r="H7064">
            <v>0</v>
          </cell>
        </row>
        <row r="7065">
          <cell r="H7065">
            <v>0</v>
          </cell>
        </row>
        <row r="7066">
          <cell r="H7066">
            <v>0</v>
          </cell>
        </row>
        <row r="7067">
          <cell r="H7067">
            <v>0</v>
          </cell>
        </row>
        <row r="7068">
          <cell r="H7068">
            <v>0</v>
          </cell>
        </row>
        <row r="7069">
          <cell r="H7069">
            <v>0</v>
          </cell>
        </row>
        <row r="7070">
          <cell r="H7070">
            <v>0</v>
          </cell>
        </row>
        <row r="7071">
          <cell r="H7071">
            <v>0</v>
          </cell>
        </row>
        <row r="7072">
          <cell r="H7072">
            <v>0</v>
          </cell>
        </row>
        <row r="7073">
          <cell r="H7073">
            <v>0</v>
          </cell>
        </row>
        <row r="7074">
          <cell r="H7074">
            <v>0</v>
          </cell>
        </row>
        <row r="7075">
          <cell r="H7075">
            <v>0</v>
          </cell>
        </row>
        <row r="7076">
          <cell r="H7076">
            <v>0</v>
          </cell>
        </row>
        <row r="7077">
          <cell r="H7077">
            <v>0</v>
          </cell>
        </row>
        <row r="7078">
          <cell r="H7078">
            <v>0</v>
          </cell>
        </row>
        <row r="7079">
          <cell r="H7079">
            <v>0</v>
          </cell>
        </row>
        <row r="7080">
          <cell r="H7080">
            <v>0</v>
          </cell>
        </row>
        <row r="7081">
          <cell r="H7081">
            <v>0</v>
          </cell>
        </row>
        <row r="7082">
          <cell r="H7082">
            <v>0</v>
          </cell>
        </row>
        <row r="7083">
          <cell r="H7083">
            <v>0</v>
          </cell>
        </row>
        <row r="7084">
          <cell r="H7084">
            <v>0</v>
          </cell>
        </row>
        <row r="7085">
          <cell r="H7085">
            <v>0</v>
          </cell>
        </row>
        <row r="7086">
          <cell r="H7086">
            <v>0</v>
          </cell>
        </row>
        <row r="7087">
          <cell r="H7087">
            <v>0</v>
          </cell>
        </row>
        <row r="7088">
          <cell r="H7088">
            <v>0</v>
          </cell>
        </row>
        <row r="7089">
          <cell r="H7089">
            <v>0</v>
          </cell>
        </row>
        <row r="7090">
          <cell r="H7090">
            <v>0</v>
          </cell>
        </row>
        <row r="7091">
          <cell r="H7091">
            <v>0</v>
          </cell>
        </row>
        <row r="7092">
          <cell r="H7092">
            <v>0</v>
          </cell>
        </row>
        <row r="7093">
          <cell r="H7093">
            <v>0</v>
          </cell>
        </row>
        <row r="7094">
          <cell r="H7094">
            <v>0</v>
          </cell>
        </row>
        <row r="7095">
          <cell r="H7095">
            <v>0</v>
          </cell>
        </row>
        <row r="7096">
          <cell r="H7096">
            <v>0</v>
          </cell>
        </row>
        <row r="7097">
          <cell r="H7097">
            <v>0</v>
          </cell>
        </row>
        <row r="7098">
          <cell r="H7098">
            <v>0</v>
          </cell>
        </row>
        <row r="7099">
          <cell r="H7099">
            <v>0</v>
          </cell>
        </row>
        <row r="7100">
          <cell r="H7100">
            <v>0</v>
          </cell>
        </row>
        <row r="7101">
          <cell r="H7101">
            <v>0</v>
          </cell>
        </row>
        <row r="7102">
          <cell r="H7102">
            <v>0</v>
          </cell>
        </row>
        <row r="7103">
          <cell r="H7103">
            <v>0</v>
          </cell>
        </row>
        <row r="7104">
          <cell r="H7104">
            <v>0</v>
          </cell>
        </row>
        <row r="7105">
          <cell r="H7105">
            <v>0</v>
          </cell>
        </row>
        <row r="7106">
          <cell r="H7106">
            <v>0</v>
          </cell>
        </row>
        <row r="7107">
          <cell r="H7107">
            <v>0</v>
          </cell>
        </row>
        <row r="7108">
          <cell r="H7108">
            <v>0</v>
          </cell>
        </row>
        <row r="7109">
          <cell r="H7109">
            <v>0</v>
          </cell>
        </row>
        <row r="7110">
          <cell r="H7110">
            <v>0</v>
          </cell>
        </row>
        <row r="7111">
          <cell r="H7111">
            <v>0</v>
          </cell>
        </row>
        <row r="7112">
          <cell r="H7112">
            <v>0</v>
          </cell>
        </row>
        <row r="7113">
          <cell r="H7113">
            <v>0</v>
          </cell>
        </row>
        <row r="7114">
          <cell r="H7114">
            <v>0</v>
          </cell>
        </row>
        <row r="7115">
          <cell r="H7115">
            <v>0</v>
          </cell>
        </row>
        <row r="7116">
          <cell r="H7116">
            <v>0</v>
          </cell>
        </row>
        <row r="7117">
          <cell r="H7117">
            <v>0</v>
          </cell>
        </row>
        <row r="7118">
          <cell r="H7118">
            <v>0</v>
          </cell>
        </row>
        <row r="7119">
          <cell r="H7119">
            <v>0</v>
          </cell>
        </row>
        <row r="7120">
          <cell r="H7120">
            <v>0</v>
          </cell>
        </row>
        <row r="7121">
          <cell r="H7121">
            <v>0</v>
          </cell>
        </row>
        <row r="7122">
          <cell r="H7122">
            <v>0</v>
          </cell>
        </row>
        <row r="7123">
          <cell r="H7123">
            <v>0</v>
          </cell>
        </row>
        <row r="7124">
          <cell r="H7124">
            <v>0</v>
          </cell>
        </row>
        <row r="7125">
          <cell r="H7125">
            <v>0</v>
          </cell>
        </row>
        <row r="7126">
          <cell r="H7126">
            <v>0</v>
          </cell>
        </row>
        <row r="7127">
          <cell r="H7127">
            <v>0</v>
          </cell>
        </row>
        <row r="7128">
          <cell r="H7128">
            <v>0</v>
          </cell>
        </row>
        <row r="7129">
          <cell r="H7129">
            <v>0</v>
          </cell>
        </row>
        <row r="7130">
          <cell r="H7130">
            <v>0</v>
          </cell>
        </row>
        <row r="7131">
          <cell r="H7131">
            <v>0</v>
          </cell>
        </row>
        <row r="7132">
          <cell r="H7132">
            <v>0</v>
          </cell>
        </row>
        <row r="7133">
          <cell r="H7133">
            <v>0</v>
          </cell>
        </row>
        <row r="7134">
          <cell r="H7134">
            <v>0</v>
          </cell>
        </row>
        <row r="7135">
          <cell r="H7135">
            <v>0</v>
          </cell>
        </row>
        <row r="7136">
          <cell r="H7136">
            <v>0</v>
          </cell>
        </row>
        <row r="7137">
          <cell r="H7137">
            <v>0</v>
          </cell>
        </row>
        <row r="7138">
          <cell r="H7138">
            <v>0</v>
          </cell>
        </row>
        <row r="7139">
          <cell r="H7139">
            <v>0</v>
          </cell>
        </row>
        <row r="7140">
          <cell r="H7140">
            <v>0</v>
          </cell>
        </row>
        <row r="7141">
          <cell r="H7141">
            <v>0</v>
          </cell>
        </row>
        <row r="7142">
          <cell r="H7142">
            <v>0</v>
          </cell>
        </row>
        <row r="7143">
          <cell r="H7143">
            <v>0</v>
          </cell>
        </row>
        <row r="7144">
          <cell r="H7144">
            <v>0</v>
          </cell>
        </row>
        <row r="7145">
          <cell r="H7145">
            <v>0</v>
          </cell>
        </row>
        <row r="7146">
          <cell r="H7146">
            <v>0</v>
          </cell>
        </row>
        <row r="7147">
          <cell r="H7147">
            <v>0</v>
          </cell>
        </row>
        <row r="7148">
          <cell r="H7148">
            <v>0</v>
          </cell>
        </row>
        <row r="7149">
          <cell r="H7149">
            <v>0</v>
          </cell>
        </row>
        <row r="7150">
          <cell r="H7150">
            <v>0</v>
          </cell>
        </row>
        <row r="7151">
          <cell r="H7151">
            <v>0</v>
          </cell>
        </row>
        <row r="7152">
          <cell r="H7152">
            <v>0</v>
          </cell>
        </row>
        <row r="7153">
          <cell r="H7153">
            <v>0</v>
          </cell>
        </row>
        <row r="7154">
          <cell r="H7154">
            <v>0</v>
          </cell>
        </row>
        <row r="7155">
          <cell r="H7155">
            <v>0</v>
          </cell>
        </row>
        <row r="7156">
          <cell r="H7156">
            <v>0</v>
          </cell>
        </row>
        <row r="7157">
          <cell r="H7157">
            <v>0</v>
          </cell>
        </row>
        <row r="7158">
          <cell r="H7158">
            <v>0</v>
          </cell>
        </row>
        <row r="7159">
          <cell r="H7159">
            <v>0</v>
          </cell>
        </row>
        <row r="7160">
          <cell r="H7160">
            <v>0</v>
          </cell>
        </row>
        <row r="7161">
          <cell r="H7161">
            <v>0</v>
          </cell>
        </row>
        <row r="7162">
          <cell r="H7162">
            <v>0</v>
          </cell>
        </row>
        <row r="7163">
          <cell r="H7163">
            <v>0</v>
          </cell>
        </row>
        <row r="7164">
          <cell r="H7164">
            <v>0</v>
          </cell>
        </row>
        <row r="7165">
          <cell r="H7165">
            <v>0</v>
          </cell>
        </row>
        <row r="7166">
          <cell r="H7166">
            <v>0</v>
          </cell>
        </row>
        <row r="7167">
          <cell r="H7167">
            <v>0</v>
          </cell>
        </row>
        <row r="7168">
          <cell r="H7168">
            <v>0</v>
          </cell>
        </row>
        <row r="7169">
          <cell r="H7169">
            <v>0</v>
          </cell>
        </row>
        <row r="7170">
          <cell r="H7170">
            <v>0</v>
          </cell>
        </row>
        <row r="7171">
          <cell r="H7171">
            <v>0</v>
          </cell>
        </row>
        <row r="7172">
          <cell r="H7172">
            <v>0</v>
          </cell>
        </row>
        <row r="7173">
          <cell r="H7173">
            <v>0</v>
          </cell>
        </row>
        <row r="7174">
          <cell r="H7174">
            <v>0</v>
          </cell>
        </row>
        <row r="7175">
          <cell r="H7175">
            <v>0</v>
          </cell>
        </row>
        <row r="7176">
          <cell r="H7176">
            <v>0</v>
          </cell>
        </row>
        <row r="7177">
          <cell r="H7177">
            <v>0</v>
          </cell>
        </row>
        <row r="7178">
          <cell r="H7178">
            <v>0</v>
          </cell>
        </row>
        <row r="7179">
          <cell r="H7179">
            <v>0</v>
          </cell>
        </row>
        <row r="7180">
          <cell r="H7180">
            <v>0</v>
          </cell>
        </row>
        <row r="7181">
          <cell r="H7181">
            <v>0</v>
          </cell>
        </row>
        <row r="7182">
          <cell r="H7182">
            <v>0</v>
          </cell>
        </row>
        <row r="7183">
          <cell r="H7183">
            <v>0</v>
          </cell>
        </row>
        <row r="7184">
          <cell r="H7184">
            <v>0</v>
          </cell>
        </row>
        <row r="7185">
          <cell r="H7185">
            <v>0</v>
          </cell>
        </row>
        <row r="7186">
          <cell r="H7186">
            <v>0</v>
          </cell>
        </row>
        <row r="7187">
          <cell r="H7187">
            <v>0</v>
          </cell>
        </row>
        <row r="7188">
          <cell r="H7188">
            <v>0</v>
          </cell>
        </row>
        <row r="7189">
          <cell r="H7189">
            <v>0</v>
          </cell>
        </row>
        <row r="7190">
          <cell r="H7190">
            <v>0</v>
          </cell>
        </row>
        <row r="7191">
          <cell r="H7191">
            <v>0</v>
          </cell>
        </row>
        <row r="7192">
          <cell r="H7192">
            <v>0</v>
          </cell>
        </row>
        <row r="7193">
          <cell r="H7193">
            <v>0</v>
          </cell>
        </row>
        <row r="7194">
          <cell r="H7194">
            <v>0</v>
          </cell>
        </row>
        <row r="7195">
          <cell r="H7195">
            <v>0</v>
          </cell>
        </row>
        <row r="7196">
          <cell r="H7196">
            <v>0</v>
          </cell>
        </row>
        <row r="7197">
          <cell r="H7197">
            <v>0</v>
          </cell>
        </row>
        <row r="7198">
          <cell r="H7198">
            <v>0</v>
          </cell>
        </row>
        <row r="7199">
          <cell r="H7199">
            <v>0</v>
          </cell>
        </row>
        <row r="7200">
          <cell r="H7200">
            <v>0</v>
          </cell>
        </row>
        <row r="7201">
          <cell r="H7201">
            <v>0</v>
          </cell>
        </row>
        <row r="7202">
          <cell r="H7202">
            <v>0</v>
          </cell>
        </row>
        <row r="7203">
          <cell r="H7203">
            <v>0</v>
          </cell>
        </row>
        <row r="7204">
          <cell r="H7204">
            <v>0</v>
          </cell>
        </row>
        <row r="7205">
          <cell r="H7205">
            <v>0</v>
          </cell>
        </row>
        <row r="7206">
          <cell r="H7206">
            <v>0</v>
          </cell>
        </row>
        <row r="7207">
          <cell r="H7207">
            <v>0</v>
          </cell>
        </row>
        <row r="7208">
          <cell r="H7208">
            <v>0</v>
          </cell>
        </row>
        <row r="7209">
          <cell r="H7209">
            <v>0</v>
          </cell>
        </row>
        <row r="7210">
          <cell r="H7210">
            <v>0</v>
          </cell>
        </row>
        <row r="7211">
          <cell r="H7211">
            <v>0</v>
          </cell>
        </row>
        <row r="7212">
          <cell r="H7212">
            <v>0</v>
          </cell>
        </row>
        <row r="7213">
          <cell r="H7213">
            <v>0</v>
          </cell>
        </row>
        <row r="7214">
          <cell r="H7214">
            <v>0</v>
          </cell>
        </row>
        <row r="7215">
          <cell r="H7215">
            <v>0</v>
          </cell>
        </row>
        <row r="7216">
          <cell r="H7216">
            <v>0</v>
          </cell>
        </row>
        <row r="7217">
          <cell r="H7217">
            <v>0</v>
          </cell>
        </row>
        <row r="7218">
          <cell r="H7218">
            <v>0</v>
          </cell>
        </row>
        <row r="7219">
          <cell r="H7219">
            <v>0</v>
          </cell>
        </row>
        <row r="7220">
          <cell r="H7220">
            <v>0</v>
          </cell>
        </row>
        <row r="7221">
          <cell r="H7221">
            <v>0</v>
          </cell>
        </row>
        <row r="7222">
          <cell r="H7222">
            <v>0</v>
          </cell>
        </row>
        <row r="7223">
          <cell r="H7223">
            <v>0</v>
          </cell>
        </row>
        <row r="7224">
          <cell r="H7224">
            <v>0</v>
          </cell>
        </row>
        <row r="7225">
          <cell r="H7225">
            <v>0</v>
          </cell>
        </row>
        <row r="7226">
          <cell r="H7226">
            <v>0</v>
          </cell>
        </row>
        <row r="7227">
          <cell r="H7227">
            <v>0</v>
          </cell>
        </row>
        <row r="7228">
          <cell r="H7228">
            <v>0</v>
          </cell>
        </row>
        <row r="7229">
          <cell r="H7229">
            <v>0</v>
          </cell>
        </row>
        <row r="7230">
          <cell r="H7230">
            <v>0</v>
          </cell>
        </row>
        <row r="7231">
          <cell r="H7231">
            <v>0</v>
          </cell>
        </row>
        <row r="7232">
          <cell r="H7232">
            <v>0</v>
          </cell>
        </row>
        <row r="7233">
          <cell r="H7233">
            <v>0</v>
          </cell>
        </row>
        <row r="7234">
          <cell r="H7234">
            <v>0</v>
          </cell>
        </row>
        <row r="7235">
          <cell r="H7235">
            <v>0</v>
          </cell>
        </row>
        <row r="7236">
          <cell r="H7236">
            <v>0</v>
          </cell>
        </row>
        <row r="7237">
          <cell r="H7237">
            <v>0</v>
          </cell>
        </row>
        <row r="7238">
          <cell r="H7238">
            <v>0</v>
          </cell>
        </row>
        <row r="7239">
          <cell r="H7239">
            <v>0</v>
          </cell>
        </row>
        <row r="7240">
          <cell r="H7240">
            <v>0</v>
          </cell>
        </row>
        <row r="7241">
          <cell r="H7241">
            <v>0</v>
          </cell>
        </row>
        <row r="7242">
          <cell r="H7242">
            <v>0</v>
          </cell>
        </row>
        <row r="7243">
          <cell r="H7243">
            <v>0</v>
          </cell>
        </row>
        <row r="7244">
          <cell r="H7244">
            <v>0</v>
          </cell>
        </row>
        <row r="7245">
          <cell r="H7245">
            <v>0</v>
          </cell>
        </row>
        <row r="7246">
          <cell r="H7246">
            <v>0</v>
          </cell>
        </row>
        <row r="7247">
          <cell r="H7247">
            <v>0</v>
          </cell>
        </row>
        <row r="7248">
          <cell r="H7248">
            <v>0</v>
          </cell>
        </row>
        <row r="7249">
          <cell r="H7249">
            <v>0</v>
          </cell>
        </row>
        <row r="7250">
          <cell r="H7250">
            <v>0</v>
          </cell>
        </row>
        <row r="7251">
          <cell r="H7251">
            <v>0</v>
          </cell>
        </row>
        <row r="7252">
          <cell r="H7252">
            <v>0</v>
          </cell>
        </row>
        <row r="7253">
          <cell r="H7253">
            <v>0</v>
          </cell>
        </row>
        <row r="7254">
          <cell r="H7254">
            <v>0</v>
          </cell>
        </row>
        <row r="7255">
          <cell r="H7255">
            <v>0</v>
          </cell>
        </row>
        <row r="7256">
          <cell r="H7256">
            <v>0</v>
          </cell>
        </row>
        <row r="7257">
          <cell r="H7257">
            <v>0</v>
          </cell>
        </row>
        <row r="7258">
          <cell r="H7258">
            <v>0</v>
          </cell>
        </row>
        <row r="7259">
          <cell r="H7259">
            <v>0</v>
          </cell>
        </row>
        <row r="7260">
          <cell r="H7260">
            <v>0</v>
          </cell>
        </row>
        <row r="7261">
          <cell r="H7261">
            <v>0</v>
          </cell>
        </row>
        <row r="7262">
          <cell r="H7262">
            <v>0</v>
          </cell>
        </row>
        <row r="7263">
          <cell r="H7263">
            <v>0</v>
          </cell>
        </row>
        <row r="7264">
          <cell r="H7264">
            <v>0</v>
          </cell>
        </row>
        <row r="7265">
          <cell r="H7265">
            <v>0</v>
          </cell>
        </row>
        <row r="7266">
          <cell r="H7266">
            <v>0</v>
          </cell>
        </row>
        <row r="7267">
          <cell r="H7267">
            <v>0</v>
          </cell>
        </row>
        <row r="7268">
          <cell r="H7268">
            <v>0</v>
          </cell>
        </row>
        <row r="7269">
          <cell r="H7269">
            <v>0</v>
          </cell>
        </row>
        <row r="7270">
          <cell r="H7270">
            <v>0</v>
          </cell>
        </row>
        <row r="7271">
          <cell r="H7271">
            <v>0</v>
          </cell>
        </row>
        <row r="7272">
          <cell r="H7272">
            <v>0</v>
          </cell>
        </row>
        <row r="7273">
          <cell r="H7273">
            <v>0</v>
          </cell>
        </row>
        <row r="7274">
          <cell r="H7274">
            <v>0</v>
          </cell>
        </row>
        <row r="7275">
          <cell r="H7275">
            <v>0</v>
          </cell>
        </row>
        <row r="7276">
          <cell r="H7276">
            <v>0</v>
          </cell>
        </row>
        <row r="7277">
          <cell r="H7277">
            <v>0</v>
          </cell>
        </row>
        <row r="7278">
          <cell r="H7278">
            <v>0</v>
          </cell>
        </row>
        <row r="7279">
          <cell r="H7279">
            <v>0</v>
          </cell>
        </row>
        <row r="7280">
          <cell r="H7280">
            <v>0</v>
          </cell>
        </row>
        <row r="7281">
          <cell r="H7281">
            <v>0</v>
          </cell>
        </row>
        <row r="7282">
          <cell r="H7282">
            <v>0</v>
          </cell>
        </row>
        <row r="7283">
          <cell r="H7283">
            <v>0</v>
          </cell>
        </row>
        <row r="7284">
          <cell r="H7284">
            <v>0</v>
          </cell>
        </row>
        <row r="7285">
          <cell r="H7285">
            <v>0</v>
          </cell>
        </row>
        <row r="7286">
          <cell r="H7286">
            <v>0</v>
          </cell>
        </row>
        <row r="7287">
          <cell r="H7287">
            <v>0</v>
          </cell>
        </row>
        <row r="7288">
          <cell r="H7288">
            <v>0</v>
          </cell>
        </row>
        <row r="7289">
          <cell r="H7289">
            <v>0</v>
          </cell>
        </row>
        <row r="7290">
          <cell r="H7290">
            <v>0</v>
          </cell>
        </row>
        <row r="7291">
          <cell r="H7291">
            <v>0</v>
          </cell>
        </row>
        <row r="7292">
          <cell r="H7292">
            <v>0</v>
          </cell>
        </row>
        <row r="7293">
          <cell r="H7293">
            <v>0</v>
          </cell>
        </row>
        <row r="7294">
          <cell r="H7294">
            <v>0</v>
          </cell>
        </row>
        <row r="7295">
          <cell r="H7295">
            <v>0</v>
          </cell>
        </row>
        <row r="7296">
          <cell r="H7296">
            <v>0</v>
          </cell>
        </row>
        <row r="7297">
          <cell r="H7297">
            <v>0</v>
          </cell>
        </row>
        <row r="7298">
          <cell r="H7298">
            <v>0</v>
          </cell>
        </row>
        <row r="7299">
          <cell r="H7299">
            <v>0</v>
          </cell>
        </row>
        <row r="7300">
          <cell r="H7300">
            <v>0</v>
          </cell>
        </row>
        <row r="7301">
          <cell r="H7301">
            <v>0</v>
          </cell>
        </row>
        <row r="7302">
          <cell r="H7302">
            <v>0</v>
          </cell>
        </row>
        <row r="7303">
          <cell r="H7303">
            <v>0</v>
          </cell>
        </row>
        <row r="7304">
          <cell r="H7304">
            <v>0</v>
          </cell>
        </row>
        <row r="7305">
          <cell r="H7305">
            <v>0</v>
          </cell>
        </row>
        <row r="7306">
          <cell r="H7306">
            <v>0</v>
          </cell>
        </row>
        <row r="7307">
          <cell r="H7307">
            <v>0</v>
          </cell>
        </row>
        <row r="7308">
          <cell r="H7308">
            <v>0</v>
          </cell>
        </row>
        <row r="7309">
          <cell r="H7309">
            <v>0</v>
          </cell>
        </row>
        <row r="7310">
          <cell r="H7310">
            <v>0</v>
          </cell>
        </row>
        <row r="7311">
          <cell r="H7311">
            <v>0</v>
          </cell>
        </row>
        <row r="7312">
          <cell r="H7312">
            <v>0</v>
          </cell>
        </row>
        <row r="7313">
          <cell r="H7313">
            <v>0</v>
          </cell>
        </row>
        <row r="7314">
          <cell r="H7314">
            <v>0</v>
          </cell>
        </row>
        <row r="7315">
          <cell r="H7315">
            <v>0</v>
          </cell>
        </row>
        <row r="7316">
          <cell r="H7316">
            <v>0</v>
          </cell>
        </row>
        <row r="7317">
          <cell r="H7317">
            <v>0</v>
          </cell>
        </row>
        <row r="7318">
          <cell r="H7318">
            <v>0</v>
          </cell>
        </row>
        <row r="7319">
          <cell r="H7319">
            <v>0</v>
          </cell>
        </row>
        <row r="7320">
          <cell r="H7320">
            <v>0</v>
          </cell>
        </row>
        <row r="7321">
          <cell r="H7321">
            <v>0</v>
          </cell>
        </row>
        <row r="7322">
          <cell r="H7322">
            <v>0</v>
          </cell>
        </row>
        <row r="7323">
          <cell r="H7323">
            <v>0</v>
          </cell>
        </row>
        <row r="7324">
          <cell r="H7324">
            <v>0</v>
          </cell>
        </row>
        <row r="7325">
          <cell r="H7325">
            <v>0</v>
          </cell>
        </row>
        <row r="7326">
          <cell r="H7326">
            <v>0</v>
          </cell>
        </row>
        <row r="7327">
          <cell r="H7327">
            <v>0</v>
          </cell>
        </row>
        <row r="7328">
          <cell r="H7328">
            <v>0</v>
          </cell>
        </row>
        <row r="7329">
          <cell r="H7329">
            <v>0</v>
          </cell>
        </row>
        <row r="7330">
          <cell r="H7330">
            <v>0</v>
          </cell>
        </row>
        <row r="7331">
          <cell r="H7331">
            <v>0</v>
          </cell>
        </row>
        <row r="7332">
          <cell r="H7332">
            <v>0</v>
          </cell>
        </row>
        <row r="7333">
          <cell r="H7333">
            <v>0</v>
          </cell>
        </row>
        <row r="7334">
          <cell r="H7334">
            <v>0</v>
          </cell>
        </row>
        <row r="7335">
          <cell r="H7335">
            <v>0</v>
          </cell>
        </row>
        <row r="7336">
          <cell r="H7336">
            <v>0</v>
          </cell>
        </row>
        <row r="7337">
          <cell r="H7337">
            <v>0</v>
          </cell>
        </row>
        <row r="7338">
          <cell r="H7338">
            <v>0</v>
          </cell>
        </row>
        <row r="7339">
          <cell r="H7339">
            <v>0</v>
          </cell>
        </row>
        <row r="7340">
          <cell r="H7340">
            <v>0</v>
          </cell>
        </row>
        <row r="7341">
          <cell r="H7341">
            <v>0</v>
          </cell>
        </row>
        <row r="7342">
          <cell r="H7342">
            <v>0</v>
          </cell>
        </row>
        <row r="7343">
          <cell r="H7343">
            <v>0</v>
          </cell>
        </row>
        <row r="7344">
          <cell r="H7344">
            <v>0</v>
          </cell>
        </row>
        <row r="7345">
          <cell r="H7345">
            <v>0</v>
          </cell>
        </row>
        <row r="7346">
          <cell r="H7346">
            <v>0</v>
          </cell>
        </row>
        <row r="7347">
          <cell r="H7347">
            <v>0</v>
          </cell>
        </row>
        <row r="7348">
          <cell r="H7348">
            <v>0</v>
          </cell>
        </row>
        <row r="7349">
          <cell r="H7349">
            <v>0</v>
          </cell>
        </row>
        <row r="7350">
          <cell r="H7350">
            <v>0</v>
          </cell>
        </row>
        <row r="7351">
          <cell r="H7351">
            <v>0</v>
          </cell>
        </row>
        <row r="7352">
          <cell r="H7352">
            <v>0</v>
          </cell>
        </row>
        <row r="7353">
          <cell r="H7353">
            <v>0</v>
          </cell>
        </row>
        <row r="7354">
          <cell r="H7354">
            <v>0</v>
          </cell>
        </row>
        <row r="7355">
          <cell r="H7355">
            <v>0</v>
          </cell>
        </row>
        <row r="7356">
          <cell r="H7356">
            <v>0</v>
          </cell>
        </row>
        <row r="7357">
          <cell r="H7357">
            <v>0</v>
          </cell>
        </row>
        <row r="7358">
          <cell r="H7358">
            <v>0</v>
          </cell>
        </row>
        <row r="7359">
          <cell r="H7359">
            <v>0</v>
          </cell>
        </row>
        <row r="7360">
          <cell r="H7360">
            <v>0</v>
          </cell>
        </row>
        <row r="7361">
          <cell r="H7361">
            <v>0</v>
          </cell>
        </row>
        <row r="7362">
          <cell r="H7362">
            <v>0</v>
          </cell>
        </row>
        <row r="7363">
          <cell r="H7363">
            <v>0</v>
          </cell>
        </row>
        <row r="7364">
          <cell r="H7364">
            <v>0</v>
          </cell>
        </row>
        <row r="7365">
          <cell r="H7365">
            <v>0</v>
          </cell>
        </row>
        <row r="7366">
          <cell r="H7366">
            <v>0</v>
          </cell>
        </row>
        <row r="7367">
          <cell r="H7367">
            <v>0</v>
          </cell>
        </row>
        <row r="7368">
          <cell r="H7368">
            <v>0</v>
          </cell>
        </row>
        <row r="7369">
          <cell r="H7369">
            <v>0</v>
          </cell>
        </row>
        <row r="7370">
          <cell r="H7370">
            <v>0</v>
          </cell>
        </row>
        <row r="7371">
          <cell r="H7371">
            <v>0</v>
          </cell>
        </row>
        <row r="7372">
          <cell r="H7372">
            <v>0</v>
          </cell>
        </row>
        <row r="7373">
          <cell r="H7373">
            <v>0</v>
          </cell>
        </row>
        <row r="7374">
          <cell r="H7374">
            <v>0</v>
          </cell>
        </row>
        <row r="7375">
          <cell r="H7375">
            <v>0</v>
          </cell>
        </row>
        <row r="7376">
          <cell r="H7376">
            <v>0</v>
          </cell>
        </row>
        <row r="7377">
          <cell r="H7377">
            <v>0</v>
          </cell>
        </row>
        <row r="7378">
          <cell r="H7378">
            <v>0</v>
          </cell>
        </row>
        <row r="7379">
          <cell r="H7379">
            <v>0</v>
          </cell>
        </row>
        <row r="7380">
          <cell r="H7380">
            <v>0</v>
          </cell>
        </row>
        <row r="7381">
          <cell r="H7381">
            <v>0</v>
          </cell>
        </row>
        <row r="7382">
          <cell r="H7382">
            <v>0</v>
          </cell>
        </row>
        <row r="7383">
          <cell r="H7383">
            <v>0</v>
          </cell>
        </row>
        <row r="7384">
          <cell r="H7384">
            <v>0</v>
          </cell>
        </row>
        <row r="7385">
          <cell r="H7385">
            <v>0</v>
          </cell>
        </row>
        <row r="7386">
          <cell r="H7386">
            <v>0</v>
          </cell>
        </row>
        <row r="7387">
          <cell r="H7387">
            <v>0</v>
          </cell>
        </row>
        <row r="7388">
          <cell r="H7388">
            <v>0</v>
          </cell>
        </row>
        <row r="7389">
          <cell r="H7389">
            <v>0</v>
          </cell>
        </row>
        <row r="7390">
          <cell r="H7390">
            <v>0</v>
          </cell>
        </row>
        <row r="7391">
          <cell r="H7391">
            <v>0</v>
          </cell>
        </row>
        <row r="7392">
          <cell r="H7392">
            <v>0</v>
          </cell>
        </row>
        <row r="7393">
          <cell r="H7393">
            <v>0</v>
          </cell>
        </row>
        <row r="7394">
          <cell r="H7394">
            <v>0</v>
          </cell>
        </row>
        <row r="7395">
          <cell r="H7395">
            <v>0</v>
          </cell>
        </row>
        <row r="7396">
          <cell r="H7396">
            <v>0</v>
          </cell>
        </row>
        <row r="7397">
          <cell r="H7397">
            <v>0</v>
          </cell>
        </row>
        <row r="7398">
          <cell r="H7398">
            <v>0</v>
          </cell>
        </row>
        <row r="7399">
          <cell r="H7399">
            <v>0</v>
          </cell>
        </row>
        <row r="7400">
          <cell r="H7400">
            <v>0</v>
          </cell>
        </row>
        <row r="7401">
          <cell r="H7401">
            <v>0</v>
          </cell>
        </row>
        <row r="7402">
          <cell r="H7402">
            <v>0</v>
          </cell>
        </row>
        <row r="7403">
          <cell r="H7403">
            <v>0</v>
          </cell>
        </row>
        <row r="7404">
          <cell r="H7404">
            <v>0</v>
          </cell>
        </row>
        <row r="7405">
          <cell r="H7405">
            <v>0</v>
          </cell>
        </row>
        <row r="7406">
          <cell r="H7406">
            <v>0</v>
          </cell>
        </row>
        <row r="7407">
          <cell r="H7407">
            <v>0</v>
          </cell>
        </row>
        <row r="7408">
          <cell r="H7408">
            <v>0</v>
          </cell>
        </row>
        <row r="7409">
          <cell r="H7409">
            <v>0</v>
          </cell>
        </row>
        <row r="7410">
          <cell r="H7410">
            <v>0</v>
          </cell>
        </row>
        <row r="7411">
          <cell r="H7411">
            <v>0</v>
          </cell>
        </row>
        <row r="7412">
          <cell r="H7412">
            <v>0</v>
          </cell>
        </row>
        <row r="7413">
          <cell r="H7413">
            <v>0</v>
          </cell>
        </row>
        <row r="7414">
          <cell r="H7414">
            <v>0</v>
          </cell>
        </row>
        <row r="7415">
          <cell r="H7415">
            <v>0</v>
          </cell>
        </row>
        <row r="7416">
          <cell r="H7416">
            <v>0</v>
          </cell>
        </row>
        <row r="7417">
          <cell r="H7417">
            <v>0</v>
          </cell>
        </row>
        <row r="7418">
          <cell r="H7418">
            <v>0</v>
          </cell>
        </row>
        <row r="7419">
          <cell r="H7419">
            <v>0</v>
          </cell>
        </row>
        <row r="7420">
          <cell r="H7420">
            <v>0</v>
          </cell>
        </row>
        <row r="7421">
          <cell r="H7421">
            <v>0</v>
          </cell>
        </row>
        <row r="7422">
          <cell r="H7422">
            <v>0</v>
          </cell>
        </row>
        <row r="7423">
          <cell r="H7423">
            <v>0</v>
          </cell>
        </row>
        <row r="7424">
          <cell r="H7424">
            <v>0</v>
          </cell>
        </row>
        <row r="7425">
          <cell r="H7425">
            <v>0</v>
          </cell>
        </row>
        <row r="7426">
          <cell r="H7426">
            <v>0</v>
          </cell>
        </row>
        <row r="7427">
          <cell r="H7427">
            <v>0</v>
          </cell>
        </row>
        <row r="7428">
          <cell r="H7428">
            <v>0</v>
          </cell>
        </row>
        <row r="7429">
          <cell r="H7429">
            <v>0</v>
          </cell>
        </row>
        <row r="7430">
          <cell r="H7430">
            <v>0</v>
          </cell>
        </row>
        <row r="7431">
          <cell r="H7431">
            <v>0</v>
          </cell>
        </row>
        <row r="7432">
          <cell r="H7432">
            <v>0</v>
          </cell>
        </row>
        <row r="7433">
          <cell r="H7433">
            <v>0</v>
          </cell>
        </row>
        <row r="7434">
          <cell r="H7434">
            <v>0</v>
          </cell>
        </row>
        <row r="7435">
          <cell r="H7435">
            <v>0</v>
          </cell>
        </row>
        <row r="7436">
          <cell r="H7436">
            <v>0</v>
          </cell>
        </row>
        <row r="7437">
          <cell r="H7437">
            <v>0</v>
          </cell>
        </row>
        <row r="7438">
          <cell r="H7438">
            <v>0</v>
          </cell>
        </row>
        <row r="7439">
          <cell r="H7439">
            <v>0</v>
          </cell>
        </row>
        <row r="7440">
          <cell r="H7440">
            <v>0</v>
          </cell>
        </row>
        <row r="7441">
          <cell r="H7441">
            <v>0</v>
          </cell>
        </row>
        <row r="7442">
          <cell r="H7442">
            <v>0</v>
          </cell>
        </row>
        <row r="7443">
          <cell r="H7443">
            <v>0</v>
          </cell>
        </row>
        <row r="7444">
          <cell r="H7444">
            <v>0</v>
          </cell>
        </row>
        <row r="7445">
          <cell r="H7445">
            <v>0</v>
          </cell>
        </row>
        <row r="7446">
          <cell r="H7446">
            <v>0</v>
          </cell>
        </row>
        <row r="7447">
          <cell r="H7447">
            <v>0</v>
          </cell>
        </row>
        <row r="7448">
          <cell r="H7448">
            <v>0</v>
          </cell>
        </row>
        <row r="7449">
          <cell r="H7449">
            <v>0</v>
          </cell>
        </row>
        <row r="7450">
          <cell r="H7450">
            <v>0</v>
          </cell>
        </row>
        <row r="7451">
          <cell r="H7451">
            <v>0</v>
          </cell>
        </row>
        <row r="7452">
          <cell r="H7452">
            <v>0</v>
          </cell>
        </row>
        <row r="7453">
          <cell r="H7453">
            <v>0</v>
          </cell>
        </row>
        <row r="7454">
          <cell r="H7454">
            <v>0</v>
          </cell>
        </row>
        <row r="7455">
          <cell r="H7455">
            <v>0</v>
          </cell>
        </row>
        <row r="7456">
          <cell r="H7456">
            <v>0</v>
          </cell>
        </row>
        <row r="7457">
          <cell r="H7457">
            <v>0</v>
          </cell>
        </row>
        <row r="7458">
          <cell r="H7458">
            <v>0</v>
          </cell>
        </row>
        <row r="7459">
          <cell r="H7459">
            <v>0</v>
          </cell>
        </row>
        <row r="7460">
          <cell r="H7460">
            <v>0</v>
          </cell>
        </row>
        <row r="7461">
          <cell r="H7461">
            <v>0</v>
          </cell>
        </row>
        <row r="7462">
          <cell r="H7462">
            <v>0</v>
          </cell>
        </row>
        <row r="7463">
          <cell r="H7463">
            <v>0</v>
          </cell>
        </row>
        <row r="7464">
          <cell r="H7464">
            <v>0</v>
          </cell>
        </row>
        <row r="7465">
          <cell r="H7465">
            <v>0</v>
          </cell>
        </row>
        <row r="7466">
          <cell r="H7466">
            <v>0</v>
          </cell>
        </row>
        <row r="7467">
          <cell r="H7467">
            <v>0</v>
          </cell>
        </row>
        <row r="7468">
          <cell r="H7468">
            <v>0</v>
          </cell>
        </row>
        <row r="7469">
          <cell r="H7469">
            <v>0</v>
          </cell>
        </row>
        <row r="7470">
          <cell r="H7470">
            <v>0</v>
          </cell>
        </row>
        <row r="7471">
          <cell r="H7471">
            <v>0</v>
          </cell>
        </row>
        <row r="7472">
          <cell r="H7472">
            <v>0</v>
          </cell>
        </row>
        <row r="7473">
          <cell r="H7473">
            <v>0</v>
          </cell>
        </row>
        <row r="7474">
          <cell r="H7474">
            <v>0</v>
          </cell>
        </row>
        <row r="7475">
          <cell r="H7475">
            <v>0</v>
          </cell>
        </row>
        <row r="7476">
          <cell r="H7476">
            <v>0</v>
          </cell>
        </row>
        <row r="7477">
          <cell r="H7477">
            <v>0</v>
          </cell>
        </row>
        <row r="7478">
          <cell r="H7478">
            <v>0</v>
          </cell>
        </row>
        <row r="7479">
          <cell r="H7479">
            <v>0</v>
          </cell>
        </row>
        <row r="7480">
          <cell r="H7480">
            <v>0</v>
          </cell>
        </row>
        <row r="7481">
          <cell r="H7481">
            <v>0</v>
          </cell>
        </row>
        <row r="7482">
          <cell r="H7482">
            <v>0</v>
          </cell>
        </row>
        <row r="7483">
          <cell r="H7483">
            <v>0</v>
          </cell>
        </row>
        <row r="7484">
          <cell r="H7484">
            <v>0</v>
          </cell>
        </row>
        <row r="7485">
          <cell r="H7485">
            <v>0</v>
          </cell>
        </row>
        <row r="7486">
          <cell r="H7486">
            <v>0</v>
          </cell>
        </row>
        <row r="7487">
          <cell r="H7487">
            <v>0</v>
          </cell>
        </row>
        <row r="7488">
          <cell r="H7488">
            <v>0</v>
          </cell>
        </row>
        <row r="7489">
          <cell r="H7489">
            <v>0</v>
          </cell>
        </row>
        <row r="7490">
          <cell r="H7490">
            <v>0</v>
          </cell>
        </row>
        <row r="7491">
          <cell r="H7491">
            <v>0</v>
          </cell>
        </row>
        <row r="7492">
          <cell r="H7492">
            <v>0</v>
          </cell>
        </row>
        <row r="7493">
          <cell r="H7493">
            <v>0</v>
          </cell>
        </row>
        <row r="7494">
          <cell r="H7494">
            <v>0</v>
          </cell>
        </row>
        <row r="7495">
          <cell r="H7495">
            <v>0</v>
          </cell>
        </row>
        <row r="7496">
          <cell r="H7496">
            <v>0</v>
          </cell>
        </row>
        <row r="7497">
          <cell r="H7497">
            <v>0</v>
          </cell>
        </row>
        <row r="7498">
          <cell r="H7498">
            <v>0</v>
          </cell>
        </row>
        <row r="7499">
          <cell r="H7499">
            <v>0</v>
          </cell>
        </row>
        <row r="7500">
          <cell r="H7500">
            <v>0</v>
          </cell>
        </row>
        <row r="7501">
          <cell r="H7501">
            <v>0</v>
          </cell>
        </row>
        <row r="7502">
          <cell r="H7502">
            <v>0</v>
          </cell>
        </row>
        <row r="7503">
          <cell r="H7503">
            <v>0</v>
          </cell>
        </row>
        <row r="7504">
          <cell r="H7504">
            <v>0</v>
          </cell>
        </row>
        <row r="7505">
          <cell r="H7505">
            <v>0</v>
          </cell>
        </row>
        <row r="7506">
          <cell r="H7506">
            <v>0</v>
          </cell>
        </row>
        <row r="7507">
          <cell r="H7507">
            <v>0</v>
          </cell>
        </row>
        <row r="7508">
          <cell r="H7508">
            <v>0</v>
          </cell>
        </row>
        <row r="7509">
          <cell r="H7509">
            <v>0</v>
          </cell>
        </row>
        <row r="7510">
          <cell r="H7510">
            <v>0</v>
          </cell>
        </row>
        <row r="7511">
          <cell r="H7511">
            <v>0</v>
          </cell>
        </row>
        <row r="7512">
          <cell r="H7512">
            <v>0</v>
          </cell>
        </row>
        <row r="7513">
          <cell r="H7513">
            <v>0</v>
          </cell>
        </row>
        <row r="7514">
          <cell r="H7514">
            <v>0</v>
          </cell>
        </row>
        <row r="7515">
          <cell r="H7515">
            <v>0</v>
          </cell>
        </row>
        <row r="7516">
          <cell r="H7516">
            <v>0</v>
          </cell>
        </row>
        <row r="7517">
          <cell r="H7517">
            <v>0</v>
          </cell>
        </row>
        <row r="7518">
          <cell r="H7518">
            <v>0</v>
          </cell>
        </row>
        <row r="7519">
          <cell r="H7519">
            <v>0</v>
          </cell>
        </row>
        <row r="7520">
          <cell r="H7520">
            <v>0</v>
          </cell>
        </row>
        <row r="7521">
          <cell r="H7521">
            <v>0</v>
          </cell>
        </row>
        <row r="7522">
          <cell r="H7522">
            <v>0</v>
          </cell>
        </row>
        <row r="7523">
          <cell r="H7523">
            <v>0</v>
          </cell>
        </row>
        <row r="7524">
          <cell r="H7524">
            <v>0</v>
          </cell>
        </row>
        <row r="7525">
          <cell r="H7525">
            <v>0</v>
          </cell>
        </row>
        <row r="7526">
          <cell r="H7526">
            <v>0</v>
          </cell>
        </row>
        <row r="7527">
          <cell r="H7527">
            <v>0</v>
          </cell>
        </row>
        <row r="7528">
          <cell r="H7528">
            <v>0</v>
          </cell>
        </row>
        <row r="7529">
          <cell r="H7529">
            <v>0</v>
          </cell>
        </row>
        <row r="7530">
          <cell r="H7530">
            <v>0</v>
          </cell>
        </row>
        <row r="7531">
          <cell r="H7531">
            <v>0</v>
          </cell>
        </row>
        <row r="7532">
          <cell r="H7532">
            <v>0</v>
          </cell>
        </row>
        <row r="7533">
          <cell r="H7533">
            <v>0</v>
          </cell>
        </row>
        <row r="7534">
          <cell r="H7534">
            <v>0</v>
          </cell>
        </row>
        <row r="7535">
          <cell r="H7535">
            <v>0</v>
          </cell>
        </row>
        <row r="7536">
          <cell r="H7536">
            <v>0</v>
          </cell>
        </row>
        <row r="7537">
          <cell r="H7537">
            <v>0</v>
          </cell>
        </row>
        <row r="7538">
          <cell r="H7538">
            <v>0</v>
          </cell>
        </row>
        <row r="7539">
          <cell r="H7539">
            <v>0</v>
          </cell>
        </row>
        <row r="7540">
          <cell r="H7540">
            <v>0</v>
          </cell>
        </row>
        <row r="7541">
          <cell r="H7541">
            <v>0</v>
          </cell>
        </row>
        <row r="7542">
          <cell r="H7542">
            <v>0</v>
          </cell>
        </row>
        <row r="7543">
          <cell r="H7543">
            <v>0</v>
          </cell>
        </row>
        <row r="7544">
          <cell r="H7544">
            <v>0</v>
          </cell>
        </row>
        <row r="7545">
          <cell r="H7545">
            <v>0</v>
          </cell>
        </row>
        <row r="7546">
          <cell r="H7546">
            <v>0</v>
          </cell>
        </row>
        <row r="7547">
          <cell r="H7547">
            <v>0</v>
          </cell>
        </row>
        <row r="7548">
          <cell r="H7548">
            <v>0</v>
          </cell>
        </row>
        <row r="7549">
          <cell r="H7549">
            <v>0</v>
          </cell>
        </row>
        <row r="7550">
          <cell r="H7550">
            <v>0</v>
          </cell>
        </row>
        <row r="7551">
          <cell r="H7551">
            <v>0</v>
          </cell>
        </row>
        <row r="7552">
          <cell r="H7552">
            <v>0</v>
          </cell>
        </row>
        <row r="7553">
          <cell r="H7553">
            <v>0</v>
          </cell>
        </row>
        <row r="7554">
          <cell r="H7554">
            <v>0</v>
          </cell>
        </row>
        <row r="7555">
          <cell r="H7555">
            <v>0</v>
          </cell>
        </row>
        <row r="7556">
          <cell r="H7556">
            <v>0</v>
          </cell>
        </row>
        <row r="7557">
          <cell r="H7557">
            <v>0</v>
          </cell>
        </row>
        <row r="7558">
          <cell r="H7558">
            <v>0</v>
          </cell>
        </row>
        <row r="7559">
          <cell r="H7559">
            <v>0</v>
          </cell>
        </row>
        <row r="7560">
          <cell r="H7560">
            <v>0</v>
          </cell>
        </row>
        <row r="7561">
          <cell r="H7561">
            <v>0</v>
          </cell>
        </row>
        <row r="7562">
          <cell r="H7562">
            <v>0</v>
          </cell>
        </row>
        <row r="7563">
          <cell r="H7563">
            <v>0</v>
          </cell>
        </row>
        <row r="7564">
          <cell r="H7564">
            <v>0</v>
          </cell>
        </row>
        <row r="7565">
          <cell r="H7565">
            <v>0</v>
          </cell>
        </row>
        <row r="7566">
          <cell r="H7566">
            <v>0</v>
          </cell>
        </row>
        <row r="7567">
          <cell r="H7567">
            <v>0</v>
          </cell>
        </row>
        <row r="7568">
          <cell r="H7568">
            <v>0</v>
          </cell>
        </row>
        <row r="7569">
          <cell r="H7569">
            <v>0</v>
          </cell>
        </row>
        <row r="7570">
          <cell r="H7570">
            <v>0</v>
          </cell>
        </row>
        <row r="7571">
          <cell r="H7571">
            <v>0</v>
          </cell>
        </row>
        <row r="7572">
          <cell r="H7572">
            <v>0</v>
          </cell>
        </row>
        <row r="7573">
          <cell r="H7573">
            <v>0</v>
          </cell>
        </row>
        <row r="7574">
          <cell r="H7574">
            <v>0</v>
          </cell>
        </row>
        <row r="7575">
          <cell r="H7575">
            <v>0</v>
          </cell>
        </row>
        <row r="7576">
          <cell r="H7576">
            <v>0</v>
          </cell>
        </row>
        <row r="7577">
          <cell r="H7577">
            <v>0</v>
          </cell>
        </row>
        <row r="7578">
          <cell r="H7578">
            <v>0</v>
          </cell>
        </row>
        <row r="7579">
          <cell r="H7579">
            <v>0</v>
          </cell>
        </row>
        <row r="7580">
          <cell r="H7580">
            <v>0</v>
          </cell>
        </row>
        <row r="7581">
          <cell r="H7581">
            <v>0</v>
          </cell>
        </row>
        <row r="7582">
          <cell r="H7582">
            <v>0</v>
          </cell>
        </row>
        <row r="7583">
          <cell r="H7583">
            <v>0</v>
          </cell>
        </row>
        <row r="7584">
          <cell r="H7584">
            <v>0</v>
          </cell>
        </row>
        <row r="7585">
          <cell r="H7585">
            <v>0</v>
          </cell>
        </row>
        <row r="7586">
          <cell r="H7586">
            <v>0</v>
          </cell>
        </row>
        <row r="7587">
          <cell r="H7587">
            <v>0</v>
          </cell>
        </row>
        <row r="7588">
          <cell r="H7588">
            <v>0</v>
          </cell>
        </row>
        <row r="7589">
          <cell r="H7589">
            <v>0</v>
          </cell>
        </row>
        <row r="7590">
          <cell r="H7590">
            <v>0</v>
          </cell>
        </row>
        <row r="7591">
          <cell r="H7591">
            <v>0</v>
          </cell>
        </row>
        <row r="7592">
          <cell r="H7592">
            <v>0</v>
          </cell>
        </row>
        <row r="7593">
          <cell r="H7593">
            <v>0</v>
          </cell>
        </row>
        <row r="7594">
          <cell r="H7594">
            <v>0</v>
          </cell>
        </row>
        <row r="7595">
          <cell r="H7595">
            <v>0</v>
          </cell>
        </row>
        <row r="7596">
          <cell r="H7596">
            <v>0</v>
          </cell>
        </row>
        <row r="7597">
          <cell r="H7597">
            <v>0</v>
          </cell>
        </row>
        <row r="7598">
          <cell r="H7598">
            <v>0</v>
          </cell>
        </row>
        <row r="7599">
          <cell r="H7599">
            <v>0</v>
          </cell>
        </row>
        <row r="7600">
          <cell r="H7600">
            <v>0</v>
          </cell>
        </row>
        <row r="7601">
          <cell r="H7601">
            <v>0</v>
          </cell>
        </row>
        <row r="7602">
          <cell r="H7602">
            <v>0</v>
          </cell>
        </row>
        <row r="7603">
          <cell r="H7603">
            <v>0</v>
          </cell>
        </row>
        <row r="7604">
          <cell r="H7604">
            <v>0</v>
          </cell>
        </row>
        <row r="7605">
          <cell r="H7605">
            <v>0</v>
          </cell>
        </row>
        <row r="7606">
          <cell r="H7606">
            <v>0</v>
          </cell>
        </row>
        <row r="7607">
          <cell r="H7607">
            <v>0</v>
          </cell>
        </row>
        <row r="7608">
          <cell r="H7608">
            <v>0</v>
          </cell>
        </row>
        <row r="7609">
          <cell r="H7609">
            <v>0</v>
          </cell>
        </row>
        <row r="7610">
          <cell r="H7610">
            <v>0</v>
          </cell>
        </row>
        <row r="7611">
          <cell r="H7611">
            <v>0</v>
          </cell>
        </row>
        <row r="7612">
          <cell r="H7612">
            <v>0</v>
          </cell>
        </row>
        <row r="7613">
          <cell r="H7613">
            <v>0</v>
          </cell>
        </row>
        <row r="7614">
          <cell r="H7614">
            <v>0</v>
          </cell>
        </row>
        <row r="7615">
          <cell r="H7615">
            <v>0</v>
          </cell>
        </row>
        <row r="7616">
          <cell r="H7616">
            <v>0</v>
          </cell>
        </row>
        <row r="7617">
          <cell r="H7617">
            <v>0</v>
          </cell>
        </row>
        <row r="7618">
          <cell r="H7618">
            <v>0</v>
          </cell>
        </row>
        <row r="7619">
          <cell r="H7619">
            <v>0</v>
          </cell>
        </row>
        <row r="7620">
          <cell r="H7620">
            <v>0</v>
          </cell>
        </row>
        <row r="7621">
          <cell r="H7621">
            <v>0</v>
          </cell>
        </row>
        <row r="7622">
          <cell r="H7622">
            <v>0</v>
          </cell>
        </row>
        <row r="7623">
          <cell r="H7623">
            <v>0</v>
          </cell>
        </row>
        <row r="7624">
          <cell r="H7624">
            <v>0</v>
          </cell>
        </row>
        <row r="7625">
          <cell r="H7625">
            <v>0</v>
          </cell>
        </row>
        <row r="7626">
          <cell r="H7626">
            <v>0</v>
          </cell>
        </row>
        <row r="7627">
          <cell r="H7627">
            <v>0</v>
          </cell>
        </row>
        <row r="7628">
          <cell r="H7628">
            <v>0</v>
          </cell>
        </row>
        <row r="7629">
          <cell r="H7629">
            <v>0</v>
          </cell>
        </row>
        <row r="7630">
          <cell r="H7630">
            <v>0</v>
          </cell>
        </row>
        <row r="7631">
          <cell r="H7631">
            <v>0</v>
          </cell>
        </row>
        <row r="7632">
          <cell r="H7632">
            <v>0</v>
          </cell>
        </row>
        <row r="7633">
          <cell r="H7633">
            <v>0</v>
          </cell>
        </row>
        <row r="7634">
          <cell r="H7634">
            <v>0</v>
          </cell>
        </row>
        <row r="7635">
          <cell r="H7635">
            <v>0</v>
          </cell>
        </row>
        <row r="7636">
          <cell r="H7636">
            <v>0</v>
          </cell>
        </row>
        <row r="7637">
          <cell r="H7637">
            <v>0</v>
          </cell>
        </row>
        <row r="7638">
          <cell r="H7638">
            <v>0</v>
          </cell>
        </row>
        <row r="7639">
          <cell r="H7639">
            <v>0</v>
          </cell>
        </row>
        <row r="7640">
          <cell r="H7640">
            <v>0</v>
          </cell>
        </row>
        <row r="7641">
          <cell r="H7641">
            <v>0</v>
          </cell>
        </row>
        <row r="7642">
          <cell r="H7642">
            <v>0</v>
          </cell>
        </row>
        <row r="7643">
          <cell r="H7643">
            <v>0</v>
          </cell>
        </row>
        <row r="7644">
          <cell r="H7644">
            <v>0</v>
          </cell>
        </row>
        <row r="7645">
          <cell r="H7645">
            <v>0</v>
          </cell>
        </row>
        <row r="7646">
          <cell r="H7646">
            <v>0</v>
          </cell>
        </row>
        <row r="7647">
          <cell r="H7647">
            <v>0</v>
          </cell>
        </row>
        <row r="7648">
          <cell r="H7648">
            <v>0</v>
          </cell>
        </row>
        <row r="7649">
          <cell r="H7649">
            <v>0</v>
          </cell>
        </row>
        <row r="7650">
          <cell r="H7650">
            <v>0</v>
          </cell>
        </row>
        <row r="7651">
          <cell r="H7651">
            <v>0</v>
          </cell>
        </row>
        <row r="7652">
          <cell r="H7652">
            <v>0</v>
          </cell>
        </row>
        <row r="7653">
          <cell r="H7653">
            <v>0</v>
          </cell>
        </row>
        <row r="7654">
          <cell r="H7654">
            <v>0</v>
          </cell>
        </row>
        <row r="7655">
          <cell r="H7655">
            <v>0</v>
          </cell>
        </row>
        <row r="7656">
          <cell r="H7656">
            <v>0</v>
          </cell>
        </row>
        <row r="7657">
          <cell r="H7657">
            <v>0</v>
          </cell>
        </row>
        <row r="7658">
          <cell r="H7658">
            <v>0</v>
          </cell>
        </row>
        <row r="7659">
          <cell r="H7659">
            <v>0</v>
          </cell>
        </row>
        <row r="7660">
          <cell r="H7660">
            <v>0</v>
          </cell>
        </row>
        <row r="7661">
          <cell r="H7661">
            <v>0</v>
          </cell>
        </row>
        <row r="7662">
          <cell r="H7662">
            <v>0</v>
          </cell>
        </row>
        <row r="7663">
          <cell r="H7663">
            <v>0</v>
          </cell>
        </row>
        <row r="7664">
          <cell r="H7664">
            <v>0</v>
          </cell>
        </row>
        <row r="7665">
          <cell r="H7665">
            <v>0</v>
          </cell>
        </row>
        <row r="7666">
          <cell r="H7666">
            <v>0</v>
          </cell>
        </row>
        <row r="7667">
          <cell r="H7667">
            <v>0</v>
          </cell>
        </row>
        <row r="7668">
          <cell r="H7668">
            <v>0</v>
          </cell>
        </row>
        <row r="7669">
          <cell r="H7669">
            <v>0</v>
          </cell>
        </row>
        <row r="7670">
          <cell r="H7670">
            <v>0</v>
          </cell>
        </row>
        <row r="7671">
          <cell r="H7671">
            <v>0</v>
          </cell>
        </row>
        <row r="7672">
          <cell r="H7672">
            <v>0</v>
          </cell>
        </row>
        <row r="7673">
          <cell r="H7673">
            <v>0</v>
          </cell>
        </row>
        <row r="7674">
          <cell r="H7674">
            <v>0</v>
          </cell>
        </row>
        <row r="7675">
          <cell r="H7675">
            <v>0</v>
          </cell>
        </row>
        <row r="7676">
          <cell r="H7676">
            <v>0</v>
          </cell>
        </row>
        <row r="7677">
          <cell r="H7677">
            <v>0</v>
          </cell>
        </row>
        <row r="7678">
          <cell r="H7678">
            <v>0</v>
          </cell>
        </row>
        <row r="7679">
          <cell r="H7679">
            <v>0</v>
          </cell>
        </row>
        <row r="7680">
          <cell r="H7680">
            <v>0</v>
          </cell>
        </row>
        <row r="7681">
          <cell r="H7681">
            <v>0</v>
          </cell>
        </row>
        <row r="7682">
          <cell r="H7682">
            <v>0</v>
          </cell>
        </row>
        <row r="7683">
          <cell r="H7683">
            <v>0</v>
          </cell>
        </row>
        <row r="7684">
          <cell r="H7684">
            <v>0</v>
          </cell>
        </row>
        <row r="7685">
          <cell r="H7685">
            <v>0</v>
          </cell>
        </row>
        <row r="7686">
          <cell r="H7686">
            <v>0</v>
          </cell>
        </row>
        <row r="7687">
          <cell r="H7687">
            <v>0</v>
          </cell>
        </row>
        <row r="7688">
          <cell r="H7688">
            <v>0</v>
          </cell>
        </row>
        <row r="7689">
          <cell r="H7689">
            <v>0</v>
          </cell>
        </row>
        <row r="7690">
          <cell r="H7690">
            <v>0</v>
          </cell>
        </row>
        <row r="7691">
          <cell r="H7691">
            <v>0</v>
          </cell>
        </row>
        <row r="7692">
          <cell r="H7692">
            <v>0</v>
          </cell>
        </row>
        <row r="7693">
          <cell r="H7693">
            <v>0</v>
          </cell>
        </row>
        <row r="7694">
          <cell r="H7694">
            <v>0</v>
          </cell>
        </row>
        <row r="7695">
          <cell r="H7695">
            <v>0</v>
          </cell>
        </row>
        <row r="7696">
          <cell r="H7696">
            <v>0</v>
          </cell>
        </row>
        <row r="7697">
          <cell r="H7697">
            <v>0</v>
          </cell>
        </row>
        <row r="7698">
          <cell r="H7698">
            <v>0</v>
          </cell>
        </row>
        <row r="7699">
          <cell r="H7699">
            <v>0</v>
          </cell>
        </row>
        <row r="7700">
          <cell r="H7700">
            <v>0</v>
          </cell>
        </row>
        <row r="7701">
          <cell r="H7701">
            <v>0</v>
          </cell>
        </row>
        <row r="7702">
          <cell r="H7702">
            <v>0</v>
          </cell>
        </row>
        <row r="7703">
          <cell r="H7703">
            <v>0</v>
          </cell>
        </row>
        <row r="7704">
          <cell r="H7704">
            <v>0</v>
          </cell>
        </row>
        <row r="7705">
          <cell r="H7705">
            <v>0</v>
          </cell>
        </row>
        <row r="7706">
          <cell r="H7706">
            <v>0</v>
          </cell>
        </row>
        <row r="7707">
          <cell r="H7707">
            <v>0</v>
          </cell>
        </row>
        <row r="7708">
          <cell r="H7708">
            <v>0</v>
          </cell>
        </row>
        <row r="7709">
          <cell r="H7709">
            <v>0</v>
          </cell>
        </row>
        <row r="7710">
          <cell r="H7710">
            <v>0</v>
          </cell>
        </row>
        <row r="7711">
          <cell r="H7711">
            <v>0</v>
          </cell>
        </row>
        <row r="7712">
          <cell r="H7712">
            <v>0</v>
          </cell>
        </row>
        <row r="7713">
          <cell r="H7713">
            <v>0</v>
          </cell>
        </row>
        <row r="7714">
          <cell r="H7714">
            <v>0</v>
          </cell>
        </row>
        <row r="7715">
          <cell r="H7715">
            <v>0</v>
          </cell>
        </row>
        <row r="7716">
          <cell r="H7716">
            <v>0</v>
          </cell>
        </row>
        <row r="7717">
          <cell r="H7717">
            <v>0</v>
          </cell>
        </row>
        <row r="7718">
          <cell r="H7718">
            <v>0</v>
          </cell>
        </row>
        <row r="7719">
          <cell r="H7719">
            <v>0</v>
          </cell>
        </row>
        <row r="7720">
          <cell r="H7720">
            <v>0</v>
          </cell>
        </row>
        <row r="7721">
          <cell r="H7721">
            <v>0</v>
          </cell>
        </row>
        <row r="7722">
          <cell r="H7722">
            <v>0</v>
          </cell>
        </row>
        <row r="7723">
          <cell r="H7723">
            <v>0</v>
          </cell>
        </row>
        <row r="7724">
          <cell r="H7724">
            <v>0</v>
          </cell>
        </row>
        <row r="7725">
          <cell r="H7725">
            <v>0</v>
          </cell>
        </row>
        <row r="7726">
          <cell r="H7726">
            <v>0</v>
          </cell>
        </row>
        <row r="7727">
          <cell r="H7727">
            <v>0</v>
          </cell>
        </row>
        <row r="7728">
          <cell r="H7728">
            <v>0</v>
          </cell>
        </row>
        <row r="7729">
          <cell r="H7729">
            <v>0</v>
          </cell>
        </row>
        <row r="7730">
          <cell r="H7730">
            <v>0</v>
          </cell>
        </row>
        <row r="7731">
          <cell r="H7731">
            <v>0</v>
          </cell>
        </row>
        <row r="7732">
          <cell r="H7732">
            <v>0</v>
          </cell>
        </row>
        <row r="7733">
          <cell r="H7733">
            <v>0</v>
          </cell>
        </row>
        <row r="7734">
          <cell r="H7734">
            <v>0</v>
          </cell>
        </row>
        <row r="7735">
          <cell r="H7735">
            <v>0</v>
          </cell>
        </row>
        <row r="7736">
          <cell r="H7736">
            <v>0</v>
          </cell>
        </row>
        <row r="7737">
          <cell r="H7737">
            <v>0</v>
          </cell>
        </row>
        <row r="7738">
          <cell r="H7738">
            <v>0</v>
          </cell>
        </row>
        <row r="7739">
          <cell r="H7739">
            <v>0</v>
          </cell>
        </row>
        <row r="7740">
          <cell r="H7740">
            <v>0</v>
          </cell>
        </row>
        <row r="7741">
          <cell r="H7741">
            <v>0</v>
          </cell>
        </row>
        <row r="7742">
          <cell r="H7742">
            <v>0</v>
          </cell>
        </row>
        <row r="7743">
          <cell r="H7743">
            <v>0</v>
          </cell>
        </row>
        <row r="7744">
          <cell r="H7744">
            <v>0</v>
          </cell>
        </row>
        <row r="7745">
          <cell r="H7745">
            <v>0</v>
          </cell>
        </row>
        <row r="7746">
          <cell r="H7746">
            <v>0</v>
          </cell>
        </row>
        <row r="7747">
          <cell r="H7747">
            <v>0</v>
          </cell>
        </row>
        <row r="7748">
          <cell r="H7748">
            <v>0</v>
          </cell>
        </row>
        <row r="7749">
          <cell r="H7749">
            <v>0</v>
          </cell>
        </row>
        <row r="7750">
          <cell r="H7750">
            <v>0</v>
          </cell>
        </row>
        <row r="7751">
          <cell r="H7751">
            <v>0</v>
          </cell>
        </row>
        <row r="7752">
          <cell r="H7752">
            <v>0</v>
          </cell>
        </row>
        <row r="7753">
          <cell r="H7753">
            <v>0</v>
          </cell>
        </row>
        <row r="7754">
          <cell r="H7754">
            <v>0</v>
          </cell>
        </row>
        <row r="7755">
          <cell r="H7755">
            <v>0</v>
          </cell>
        </row>
        <row r="7756">
          <cell r="H7756">
            <v>0</v>
          </cell>
        </row>
        <row r="7757">
          <cell r="H7757">
            <v>0</v>
          </cell>
        </row>
        <row r="7758">
          <cell r="H7758">
            <v>0</v>
          </cell>
        </row>
        <row r="7759">
          <cell r="H7759">
            <v>0</v>
          </cell>
        </row>
        <row r="7760">
          <cell r="H7760">
            <v>0</v>
          </cell>
        </row>
        <row r="7761">
          <cell r="H7761">
            <v>0</v>
          </cell>
        </row>
        <row r="7762">
          <cell r="H7762">
            <v>0</v>
          </cell>
        </row>
        <row r="7763">
          <cell r="H7763">
            <v>0</v>
          </cell>
        </row>
        <row r="7764">
          <cell r="H7764">
            <v>0</v>
          </cell>
        </row>
        <row r="7765">
          <cell r="H7765">
            <v>0</v>
          </cell>
        </row>
        <row r="7766">
          <cell r="H7766">
            <v>0</v>
          </cell>
        </row>
        <row r="7767">
          <cell r="H7767">
            <v>0</v>
          </cell>
        </row>
        <row r="7768">
          <cell r="H7768">
            <v>0</v>
          </cell>
        </row>
        <row r="7769">
          <cell r="H7769">
            <v>0</v>
          </cell>
        </row>
        <row r="7770">
          <cell r="H7770">
            <v>0</v>
          </cell>
        </row>
        <row r="7771">
          <cell r="H7771">
            <v>0</v>
          </cell>
        </row>
        <row r="7772">
          <cell r="H7772">
            <v>0</v>
          </cell>
        </row>
        <row r="7773">
          <cell r="H7773">
            <v>0</v>
          </cell>
        </row>
        <row r="7774">
          <cell r="H7774">
            <v>0</v>
          </cell>
        </row>
        <row r="7775">
          <cell r="H7775">
            <v>0</v>
          </cell>
        </row>
        <row r="7776">
          <cell r="H7776">
            <v>0</v>
          </cell>
        </row>
        <row r="7777">
          <cell r="H7777">
            <v>0</v>
          </cell>
        </row>
        <row r="7778">
          <cell r="H7778">
            <v>0</v>
          </cell>
        </row>
        <row r="7779">
          <cell r="H7779">
            <v>0</v>
          </cell>
        </row>
        <row r="7780">
          <cell r="H7780">
            <v>0</v>
          </cell>
        </row>
        <row r="7781">
          <cell r="H7781">
            <v>0</v>
          </cell>
        </row>
        <row r="7782">
          <cell r="H7782">
            <v>0</v>
          </cell>
        </row>
        <row r="7783">
          <cell r="H7783">
            <v>0</v>
          </cell>
        </row>
        <row r="7784">
          <cell r="H7784">
            <v>0</v>
          </cell>
        </row>
        <row r="7785">
          <cell r="H7785">
            <v>0</v>
          </cell>
        </row>
        <row r="7786">
          <cell r="H7786">
            <v>0</v>
          </cell>
        </row>
        <row r="7787">
          <cell r="H7787">
            <v>0</v>
          </cell>
        </row>
        <row r="7788">
          <cell r="H7788">
            <v>0</v>
          </cell>
        </row>
        <row r="7789">
          <cell r="H7789">
            <v>0</v>
          </cell>
        </row>
        <row r="7790">
          <cell r="H7790">
            <v>0</v>
          </cell>
        </row>
        <row r="7791">
          <cell r="H7791">
            <v>0</v>
          </cell>
        </row>
        <row r="7792">
          <cell r="H7792">
            <v>0</v>
          </cell>
        </row>
        <row r="7793">
          <cell r="H7793">
            <v>0</v>
          </cell>
        </row>
        <row r="7794">
          <cell r="H7794">
            <v>0</v>
          </cell>
        </row>
        <row r="7795">
          <cell r="H7795">
            <v>0</v>
          </cell>
        </row>
        <row r="7796">
          <cell r="H7796">
            <v>0</v>
          </cell>
        </row>
        <row r="7797">
          <cell r="H7797">
            <v>0</v>
          </cell>
        </row>
        <row r="7798">
          <cell r="H7798">
            <v>0</v>
          </cell>
        </row>
        <row r="7799">
          <cell r="H7799">
            <v>0</v>
          </cell>
        </row>
        <row r="7800">
          <cell r="H7800">
            <v>0</v>
          </cell>
        </row>
        <row r="7801">
          <cell r="H7801">
            <v>0</v>
          </cell>
        </row>
        <row r="7802">
          <cell r="H7802">
            <v>0</v>
          </cell>
        </row>
        <row r="7803">
          <cell r="H7803">
            <v>0</v>
          </cell>
        </row>
        <row r="7804">
          <cell r="H7804">
            <v>0</v>
          </cell>
        </row>
        <row r="7805">
          <cell r="H7805">
            <v>0</v>
          </cell>
        </row>
        <row r="7806">
          <cell r="H7806">
            <v>0</v>
          </cell>
        </row>
        <row r="7807">
          <cell r="H7807">
            <v>0</v>
          </cell>
        </row>
        <row r="7808">
          <cell r="H7808">
            <v>0</v>
          </cell>
        </row>
        <row r="7809">
          <cell r="H7809">
            <v>0</v>
          </cell>
        </row>
        <row r="7810">
          <cell r="H7810">
            <v>0</v>
          </cell>
        </row>
        <row r="7811">
          <cell r="H7811">
            <v>0</v>
          </cell>
        </row>
        <row r="7812">
          <cell r="H7812">
            <v>0</v>
          </cell>
        </row>
        <row r="7813">
          <cell r="H7813">
            <v>0</v>
          </cell>
        </row>
        <row r="7814">
          <cell r="H7814">
            <v>0</v>
          </cell>
        </row>
        <row r="7815">
          <cell r="H7815">
            <v>0</v>
          </cell>
        </row>
        <row r="7816">
          <cell r="H7816">
            <v>0</v>
          </cell>
        </row>
        <row r="7817">
          <cell r="H7817">
            <v>0</v>
          </cell>
        </row>
        <row r="7818">
          <cell r="H7818">
            <v>0</v>
          </cell>
        </row>
        <row r="7819">
          <cell r="H7819">
            <v>0</v>
          </cell>
        </row>
        <row r="7820">
          <cell r="H7820">
            <v>0</v>
          </cell>
        </row>
        <row r="7821">
          <cell r="H7821">
            <v>0</v>
          </cell>
        </row>
        <row r="7822">
          <cell r="H7822">
            <v>0</v>
          </cell>
        </row>
        <row r="7823">
          <cell r="H7823">
            <v>0</v>
          </cell>
        </row>
        <row r="7824">
          <cell r="H7824">
            <v>0</v>
          </cell>
        </row>
        <row r="7825">
          <cell r="H7825">
            <v>0</v>
          </cell>
        </row>
        <row r="7826">
          <cell r="H7826">
            <v>0</v>
          </cell>
        </row>
        <row r="7827">
          <cell r="H7827">
            <v>0</v>
          </cell>
        </row>
        <row r="7828">
          <cell r="H7828">
            <v>0</v>
          </cell>
        </row>
        <row r="7829">
          <cell r="H7829">
            <v>0</v>
          </cell>
        </row>
        <row r="7830">
          <cell r="H7830">
            <v>0</v>
          </cell>
        </row>
        <row r="7831">
          <cell r="H7831">
            <v>0</v>
          </cell>
        </row>
        <row r="7832">
          <cell r="H7832">
            <v>0</v>
          </cell>
        </row>
        <row r="7833">
          <cell r="H7833">
            <v>0</v>
          </cell>
        </row>
        <row r="7834">
          <cell r="H7834">
            <v>0</v>
          </cell>
        </row>
        <row r="7835">
          <cell r="H7835">
            <v>0</v>
          </cell>
        </row>
        <row r="7836">
          <cell r="H7836">
            <v>0</v>
          </cell>
        </row>
        <row r="7837">
          <cell r="H7837">
            <v>0</v>
          </cell>
        </row>
        <row r="7838">
          <cell r="H7838">
            <v>0</v>
          </cell>
        </row>
        <row r="7839">
          <cell r="H7839">
            <v>0</v>
          </cell>
        </row>
        <row r="7840">
          <cell r="H7840">
            <v>0</v>
          </cell>
        </row>
        <row r="7841">
          <cell r="H7841">
            <v>0</v>
          </cell>
        </row>
        <row r="7842">
          <cell r="H7842">
            <v>0</v>
          </cell>
        </row>
        <row r="7843">
          <cell r="H7843">
            <v>0</v>
          </cell>
        </row>
        <row r="7844">
          <cell r="H7844">
            <v>0</v>
          </cell>
        </row>
        <row r="7845">
          <cell r="H7845">
            <v>0</v>
          </cell>
        </row>
        <row r="7846">
          <cell r="H7846">
            <v>0</v>
          </cell>
        </row>
        <row r="7847">
          <cell r="H7847">
            <v>0</v>
          </cell>
        </row>
        <row r="7848">
          <cell r="H7848">
            <v>0</v>
          </cell>
        </row>
        <row r="7849">
          <cell r="H7849">
            <v>0</v>
          </cell>
        </row>
        <row r="7850">
          <cell r="H7850">
            <v>0</v>
          </cell>
        </row>
        <row r="7851">
          <cell r="H7851">
            <v>0</v>
          </cell>
        </row>
        <row r="7852">
          <cell r="H7852">
            <v>0</v>
          </cell>
        </row>
        <row r="7853">
          <cell r="H7853">
            <v>0</v>
          </cell>
        </row>
        <row r="7854">
          <cell r="H7854">
            <v>0</v>
          </cell>
        </row>
        <row r="7855">
          <cell r="H7855">
            <v>0</v>
          </cell>
        </row>
        <row r="7856">
          <cell r="H7856">
            <v>0</v>
          </cell>
        </row>
        <row r="7857">
          <cell r="H7857">
            <v>0</v>
          </cell>
        </row>
        <row r="7858">
          <cell r="H7858">
            <v>0</v>
          </cell>
        </row>
        <row r="7859">
          <cell r="H7859">
            <v>0</v>
          </cell>
        </row>
        <row r="7860">
          <cell r="H7860">
            <v>0</v>
          </cell>
        </row>
        <row r="7861">
          <cell r="H7861">
            <v>0</v>
          </cell>
        </row>
        <row r="7862">
          <cell r="H7862">
            <v>0</v>
          </cell>
        </row>
        <row r="7863">
          <cell r="H7863">
            <v>0</v>
          </cell>
        </row>
        <row r="7864">
          <cell r="H7864">
            <v>0</v>
          </cell>
        </row>
        <row r="7865">
          <cell r="H7865">
            <v>0</v>
          </cell>
        </row>
        <row r="7866">
          <cell r="H7866">
            <v>0</v>
          </cell>
        </row>
        <row r="7867">
          <cell r="H7867">
            <v>0</v>
          </cell>
        </row>
        <row r="7868">
          <cell r="H7868">
            <v>0</v>
          </cell>
        </row>
        <row r="7869">
          <cell r="H7869">
            <v>0</v>
          </cell>
        </row>
        <row r="7870">
          <cell r="H7870">
            <v>0</v>
          </cell>
        </row>
        <row r="7871">
          <cell r="H7871">
            <v>0</v>
          </cell>
        </row>
        <row r="7872">
          <cell r="H7872">
            <v>0</v>
          </cell>
        </row>
        <row r="7873">
          <cell r="H7873">
            <v>0</v>
          </cell>
        </row>
        <row r="7874">
          <cell r="H7874">
            <v>0</v>
          </cell>
        </row>
        <row r="7875">
          <cell r="H7875">
            <v>0</v>
          </cell>
        </row>
        <row r="7876">
          <cell r="H7876">
            <v>0</v>
          </cell>
        </row>
        <row r="7877">
          <cell r="H7877">
            <v>0</v>
          </cell>
        </row>
        <row r="7878">
          <cell r="H7878">
            <v>0</v>
          </cell>
        </row>
        <row r="7879">
          <cell r="H7879">
            <v>0</v>
          </cell>
        </row>
        <row r="7880">
          <cell r="H7880">
            <v>0</v>
          </cell>
        </row>
        <row r="7881">
          <cell r="H7881">
            <v>0</v>
          </cell>
        </row>
        <row r="7882">
          <cell r="H7882">
            <v>0</v>
          </cell>
        </row>
        <row r="7883">
          <cell r="H7883">
            <v>0</v>
          </cell>
        </row>
        <row r="7884">
          <cell r="H7884">
            <v>0</v>
          </cell>
        </row>
        <row r="7885">
          <cell r="H7885">
            <v>0</v>
          </cell>
        </row>
        <row r="7886">
          <cell r="H7886">
            <v>0</v>
          </cell>
        </row>
        <row r="7887">
          <cell r="H7887">
            <v>0</v>
          </cell>
        </row>
        <row r="7888">
          <cell r="H7888">
            <v>0</v>
          </cell>
        </row>
        <row r="7889">
          <cell r="H7889">
            <v>0</v>
          </cell>
        </row>
        <row r="7890">
          <cell r="H7890">
            <v>0</v>
          </cell>
        </row>
        <row r="7891">
          <cell r="H7891">
            <v>0</v>
          </cell>
        </row>
        <row r="7892">
          <cell r="H7892">
            <v>0</v>
          </cell>
        </row>
        <row r="7893">
          <cell r="H7893">
            <v>0</v>
          </cell>
        </row>
        <row r="7894">
          <cell r="H7894">
            <v>0</v>
          </cell>
        </row>
        <row r="7895">
          <cell r="H7895">
            <v>0</v>
          </cell>
        </row>
        <row r="7896">
          <cell r="H7896">
            <v>0</v>
          </cell>
        </row>
        <row r="7897">
          <cell r="H7897">
            <v>0</v>
          </cell>
        </row>
        <row r="7898">
          <cell r="H7898">
            <v>0</v>
          </cell>
        </row>
        <row r="7899">
          <cell r="H7899">
            <v>0</v>
          </cell>
        </row>
        <row r="7900">
          <cell r="H7900">
            <v>0</v>
          </cell>
        </row>
        <row r="7901">
          <cell r="H7901">
            <v>0</v>
          </cell>
        </row>
        <row r="7902">
          <cell r="H7902">
            <v>0</v>
          </cell>
        </row>
        <row r="7903">
          <cell r="H7903">
            <v>0</v>
          </cell>
        </row>
        <row r="7904">
          <cell r="H7904">
            <v>0</v>
          </cell>
        </row>
        <row r="7905">
          <cell r="H7905">
            <v>0</v>
          </cell>
        </row>
        <row r="7906">
          <cell r="H7906">
            <v>0</v>
          </cell>
        </row>
        <row r="7907">
          <cell r="H7907">
            <v>0</v>
          </cell>
        </row>
        <row r="7908">
          <cell r="H7908">
            <v>0</v>
          </cell>
        </row>
        <row r="7909">
          <cell r="H7909">
            <v>0</v>
          </cell>
        </row>
        <row r="7910">
          <cell r="H7910">
            <v>0</v>
          </cell>
        </row>
        <row r="7911">
          <cell r="H7911">
            <v>0</v>
          </cell>
        </row>
        <row r="7912">
          <cell r="H7912">
            <v>0</v>
          </cell>
        </row>
        <row r="7913">
          <cell r="H7913">
            <v>0</v>
          </cell>
        </row>
        <row r="7914">
          <cell r="H7914">
            <v>0</v>
          </cell>
        </row>
        <row r="7915">
          <cell r="H7915">
            <v>0</v>
          </cell>
        </row>
        <row r="7916">
          <cell r="H7916">
            <v>0</v>
          </cell>
        </row>
        <row r="7917">
          <cell r="H7917">
            <v>0</v>
          </cell>
        </row>
        <row r="7918">
          <cell r="H7918">
            <v>0</v>
          </cell>
        </row>
        <row r="7919">
          <cell r="H7919">
            <v>0</v>
          </cell>
        </row>
        <row r="7920">
          <cell r="H7920">
            <v>0</v>
          </cell>
        </row>
        <row r="7921">
          <cell r="H7921">
            <v>0</v>
          </cell>
        </row>
        <row r="7922">
          <cell r="H7922">
            <v>0</v>
          </cell>
        </row>
        <row r="7923">
          <cell r="H7923">
            <v>0</v>
          </cell>
        </row>
        <row r="7924">
          <cell r="H7924">
            <v>0</v>
          </cell>
        </row>
        <row r="7925">
          <cell r="H7925">
            <v>0</v>
          </cell>
        </row>
        <row r="7926">
          <cell r="H7926">
            <v>0</v>
          </cell>
        </row>
        <row r="7927">
          <cell r="H7927">
            <v>0</v>
          </cell>
        </row>
        <row r="7928">
          <cell r="H7928">
            <v>0</v>
          </cell>
        </row>
        <row r="7929">
          <cell r="H7929">
            <v>0</v>
          </cell>
        </row>
        <row r="7930">
          <cell r="H7930">
            <v>0</v>
          </cell>
        </row>
        <row r="7931">
          <cell r="H7931">
            <v>0</v>
          </cell>
        </row>
        <row r="7932">
          <cell r="H7932">
            <v>0</v>
          </cell>
        </row>
        <row r="7933">
          <cell r="H7933">
            <v>0</v>
          </cell>
        </row>
        <row r="7934">
          <cell r="H7934">
            <v>0</v>
          </cell>
        </row>
        <row r="7935">
          <cell r="H7935">
            <v>0</v>
          </cell>
        </row>
        <row r="7936">
          <cell r="H7936">
            <v>0</v>
          </cell>
        </row>
        <row r="7937">
          <cell r="H7937">
            <v>0</v>
          </cell>
        </row>
        <row r="7938">
          <cell r="H7938">
            <v>0</v>
          </cell>
        </row>
        <row r="7939">
          <cell r="H7939">
            <v>0</v>
          </cell>
        </row>
        <row r="7940">
          <cell r="H7940">
            <v>0</v>
          </cell>
        </row>
        <row r="7941">
          <cell r="H7941">
            <v>0</v>
          </cell>
        </row>
        <row r="7942">
          <cell r="H7942">
            <v>0</v>
          </cell>
        </row>
        <row r="7943">
          <cell r="H7943">
            <v>0</v>
          </cell>
        </row>
        <row r="7944">
          <cell r="H7944">
            <v>0</v>
          </cell>
        </row>
        <row r="7945">
          <cell r="H7945">
            <v>0</v>
          </cell>
        </row>
        <row r="7946">
          <cell r="H7946">
            <v>0</v>
          </cell>
        </row>
        <row r="7947">
          <cell r="H7947">
            <v>0</v>
          </cell>
        </row>
        <row r="7948">
          <cell r="H7948">
            <v>0</v>
          </cell>
        </row>
        <row r="7949">
          <cell r="H7949">
            <v>0</v>
          </cell>
        </row>
        <row r="7950">
          <cell r="H7950">
            <v>0</v>
          </cell>
        </row>
        <row r="7951">
          <cell r="H7951">
            <v>0</v>
          </cell>
        </row>
      </sheetData>
      <sheetData sheetId="1"/>
      <sheetData sheetId="2"/>
      <sheetData sheetId="3"/>
      <sheetData sheetId="4"/>
      <sheetData sheetId="5"/>
      <sheetData sheetId="6"/>
      <sheetData sheetId="7">
        <row r="2">
          <cell r="B2" t="str">
            <v>1.00.00</v>
          </cell>
        </row>
      </sheetData>
      <sheetData sheetId="8"/>
      <sheetData sheetId="9"/>
      <sheetData sheetId="10"/>
      <sheetData sheetId="11"/>
      <sheetData sheetId="12"/>
      <sheetData sheetId="1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de barang"/>
      <sheetName val="MASA MANFAAT"/>
      <sheetName val="KIB A"/>
      <sheetName val="KIB A aud"/>
      <sheetName val="KIB A EKSEKUSI baru"/>
      <sheetName val="KIB B ( + )"/>
      <sheetName val="KIB C"/>
      <sheetName val="KIB D"/>
      <sheetName val="KIB E"/>
      <sheetName val="KIB F"/>
      <sheetName val="KIB B&lt;300000"/>
      <sheetName val="Di bwh nilai kapitalisasi"/>
      <sheetName val="Sheet1"/>
      <sheetName val="KODE BARANG MASTER DISDI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2.05.00</v>
          </cell>
          <cell r="C29" t="str">
            <v>ALAT PERTANIAN</v>
          </cell>
          <cell r="D29">
            <v>2</v>
          </cell>
        </row>
        <row r="30">
          <cell r="B30" t="str">
            <v>2.04.02</v>
          </cell>
          <cell r="C30" t="str">
            <v>Alat Bengkel Tak Bermesin</v>
          </cell>
          <cell r="D30">
            <v>3</v>
          </cell>
          <cell r="E30">
            <v>5</v>
          </cell>
        </row>
        <row r="31">
          <cell r="B31" t="str">
            <v>2.04.03</v>
          </cell>
          <cell r="C31" t="str">
            <v>Alat Ukur</v>
          </cell>
          <cell r="D31">
            <v>3</v>
          </cell>
          <cell r="E31">
            <v>5</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4.14.01</v>
          </cell>
          <cell r="C76" t="str">
            <v>Bangunan Air Irigasi</v>
          </cell>
          <cell r="D76">
            <v>3</v>
          </cell>
          <cell r="E76">
            <v>50</v>
          </cell>
        </row>
        <row r="77">
          <cell r="B77" t="str">
            <v>4.14.04</v>
          </cell>
          <cell r="C77" t="str">
            <v>BANGUNAN PENGAMAN SUNGAI DAN PENANGGULANGAN BENCANA ALAM</v>
          </cell>
          <cell r="D77">
            <v>3</v>
          </cell>
          <cell r="E77">
            <v>10</v>
          </cell>
        </row>
        <row r="78">
          <cell r="B78" t="str">
            <v>4.14.05</v>
          </cell>
          <cell r="C78" t="str">
            <v>BANGUNAN PENGEMBANGAN SUMBER AIR DAN AIR TNH</v>
          </cell>
          <cell r="D78">
            <v>3</v>
          </cell>
          <cell r="E78">
            <v>30</v>
          </cell>
        </row>
        <row r="79">
          <cell r="B79" t="str">
            <v>4.14.08</v>
          </cell>
          <cell r="C79" t="str">
            <v>BANGUNAN AIR</v>
          </cell>
          <cell r="D79">
            <v>3</v>
          </cell>
          <cell r="E79">
            <v>40</v>
          </cell>
        </row>
        <row r="80">
          <cell r="B80" t="str">
            <v>4.15.00</v>
          </cell>
          <cell r="C80" t="str">
            <v>INSTALASI</v>
          </cell>
          <cell r="D80">
            <v>2</v>
          </cell>
        </row>
        <row r="81">
          <cell r="B81" t="str">
            <v>4.15.01</v>
          </cell>
          <cell r="C81" t="str">
            <v>INSTALASI AIR MINUM/BERSIH</v>
          </cell>
          <cell r="D81">
            <v>3</v>
          </cell>
          <cell r="E81">
            <v>30</v>
          </cell>
        </row>
        <row r="82">
          <cell r="B82" t="str">
            <v>4.15.03</v>
          </cell>
          <cell r="C82" t="str">
            <v>INSTALASI PENGOLAHAN SAMPAH NON ORGANIK</v>
          </cell>
          <cell r="D82">
            <v>3</v>
          </cell>
          <cell r="E82">
            <v>10</v>
          </cell>
        </row>
        <row r="83">
          <cell r="B83" t="str">
            <v>4.15.04</v>
          </cell>
          <cell r="C83" t="str">
            <v>INSTALASI PENGOLAHAN BAHAN BANGUNAN</v>
          </cell>
          <cell r="D83">
            <v>3</v>
          </cell>
          <cell r="E83">
            <v>10</v>
          </cell>
        </row>
        <row r="84">
          <cell r="B84" t="str">
            <v>4.15.06</v>
          </cell>
          <cell r="C84" t="str">
            <v>INSTALASI GARDU LISTRIK</v>
          </cell>
          <cell r="D84">
            <v>3</v>
          </cell>
          <cell r="E84">
            <v>40</v>
          </cell>
        </row>
        <row r="85">
          <cell r="B85" t="str">
            <v>4.15.07</v>
          </cell>
          <cell r="C85" t="str">
            <v>INSTALASI PERTAHANAN</v>
          </cell>
          <cell r="D85">
            <v>3</v>
          </cell>
          <cell r="E85">
            <v>30</v>
          </cell>
        </row>
        <row r="86">
          <cell r="B86" t="str">
            <v>4.15.08</v>
          </cell>
          <cell r="C86" t="str">
            <v>INSTALASI GAS</v>
          </cell>
          <cell r="D86">
            <v>3</v>
          </cell>
          <cell r="E86">
            <v>30</v>
          </cell>
        </row>
        <row r="87">
          <cell r="B87" t="str">
            <v>4.15.09</v>
          </cell>
          <cell r="C87" t="str">
            <v>INSTALASI PENGAMAN</v>
          </cell>
          <cell r="D87">
            <v>3</v>
          </cell>
          <cell r="E87">
            <v>20</v>
          </cell>
        </row>
        <row r="88">
          <cell r="B88" t="str">
            <v>4.16.00</v>
          </cell>
          <cell r="C88" t="str">
            <v>JARINGAN</v>
          </cell>
          <cell r="D88">
            <v>2</v>
          </cell>
        </row>
        <row r="89">
          <cell r="B89" t="str">
            <v>4.16.02</v>
          </cell>
          <cell r="C89" t="str">
            <v>JARINGAN LISTRIK</v>
          </cell>
          <cell r="D89">
            <v>3</v>
          </cell>
          <cell r="E89">
            <v>40</v>
          </cell>
        </row>
        <row r="90">
          <cell r="B90" t="str">
            <v>4.16.03</v>
          </cell>
          <cell r="C90" t="str">
            <v>JARINGAN TELEPON</v>
          </cell>
          <cell r="D90">
            <v>3</v>
          </cell>
          <cell r="E90">
            <v>20</v>
          </cell>
        </row>
        <row r="91">
          <cell r="B91" t="str">
            <v>4.16.04</v>
          </cell>
          <cell r="C91" t="str">
            <v>JARINGAN GAS</v>
          </cell>
          <cell r="D91">
            <v>3</v>
          </cell>
          <cell r="E91">
            <v>30</v>
          </cell>
        </row>
        <row r="92">
          <cell r="B92" t="str">
            <v>5.00.00</v>
          </cell>
          <cell r="C92" t="str">
            <v>GOLONGAN ASSET TETAP LAINNYA</v>
          </cell>
          <cell r="D92">
            <v>1</v>
          </cell>
        </row>
        <row r="93">
          <cell r="B93" t="str">
            <v>5.17.00</v>
          </cell>
          <cell r="C93" t="str">
            <v>BUKU DAN PERPUSTAKAAN</v>
          </cell>
          <cell r="D93">
            <v>2</v>
          </cell>
        </row>
        <row r="94">
          <cell r="B94" t="str">
            <v>5.17.01</v>
          </cell>
          <cell r="C94" t="str">
            <v>BUKU</v>
          </cell>
          <cell r="D94">
            <v>3</v>
          </cell>
        </row>
        <row r="95">
          <cell r="B95" t="str">
            <v>5.17.03</v>
          </cell>
          <cell r="C95" t="str">
            <v>BARANG-BARANG PERPUSTAKAAN</v>
          </cell>
          <cell r="D95">
            <v>3</v>
          </cell>
        </row>
        <row r="96">
          <cell r="B96" t="str">
            <v>5.18.00</v>
          </cell>
          <cell r="C96" t="str">
            <v>BARANG BERCORAK KEBUDAYAAN</v>
          </cell>
          <cell r="D96">
            <v>2</v>
          </cell>
        </row>
        <row r="97">
          <cell r="B97" t="str">
            <v>5.18.01</v>
          </cell>
          <cell r="C97" t="str">
            <v>BARANG BERCORAK KEBUDAYAAN</v>
          </cell>
          <cell r="D97">
            <v>3</v>
          </cell>
        </row>
        <row r="98">
          <cell r="B98" t="str">
            <v>5.18.02</v>
          </cell>
          <cell r="C98" t="str">
            <v>ALAT OLAH RAGA LAINNYA</v>
          </cell>
          <cell r="D98">
            <v>3</v>
          </cell>
        </row>
        <row r="99">
          <cell r="B99" t="str">
            <v>5.19.00</v>
          </cell>
          <cell r="C99" t="str">
            <v>HEWAN DAN TERNAK SERTA TANAMAN</v>
          </cell>
          <cell r="D99">
            <v>2</v>
          </cell>
        </row>
        <row r="100">
          <cell r="B100" t="str">
            <v>5.19.01</v>
          </cell>
          <cell r="C100" t="str">
            <v>HEWAN</v>
          </cell>
          <cell r="D100">
            <v>3</v>
          </cell>
        </row>
        <row r="101">
          <cell r="B101" t="str">
            <v>6.00.00</v>
          </cell>
          <cell r="C101" t="str">
            <v>GOLONGAN KONSTRUKSI DLM PENGERJAAN</v>
          </cell>
          <cell r="D101">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de barang"/>
      <sheetName val="jns_aset"/>
      <sheetName val="MASA MANFAAT"/>
      <sheetName val="UE"/>
      <sheetName val="KIB A"/>
      <sheetName val="KIB B"/>
      <sheetName val="KIB C"/>
      <sheetName val="KIB D"/>
      <sheetName val="KIB E"/>
      <sheetName val="KIB F"/>
      <sheetName val="KIB B&lt;300000"/>
      <sheetName val="note2017"/>
      <sheetName val="Sheet2"/>
    </sheetNames>
    <sheetDataSet>
      <sheetData sheetId="0">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4.14.01</v>
          </cell>
          <cell r="C76" t="str">
            <v>Bangunan Air Irigasi</v>
          </cell>
          <cell r="D76">
            <v>3</v>
          </cell>
          <cell r="E76">
            <v>50</v>
          </cell>
        </row>
        <row r="77">
          <cell r="B77" t="str">
            <v>4.14.04</v>
          </cell>
          <cell r="C77" t="str">
            <v>BANGUNAN PENGAMAN SUNGAI DAN PENANGGULANGAN BENCANA ALAM</v>
          </cell>
          <cell r="D77">
            <v>3</v>
          </cell>
          <cell r="E77">
            <v>10</v>
          </cell>
        </row>
        <row r="78">
          <cell r="B78" t="str">
            <v>4.14.05</v>
          </cell>
          <cell r="C78" t="str">
            <v>BANGUNAN PENGEMBANGAN SUMBER AIR DAN AIR TNH</v>
          </cell>
          <cell r="D78">
            <v>3</v>
          </cell>
          <cell r="E78">
            <v>30</v>
          </cell>
        </row>
        <row r="79">
          <cell r="B79" t="str">
            <v>4.14.08</v>
          </cell>
          <cell r="C79" t="str">
            <v>BANGUNAN AIR</v>
          </cell>
          <cell r="D79">
            <v>3</v>
          </cell>
          <cell r="E79">
            <v>40</v>
          </cell>
        </row>
        <row r="80">
          <cell r="B80" t="str">
            <v>4.15.00</v>
          </cell>
          <cell r="C80" t="str">
            <v>INSTALASI</v>
          </cell>
          <cell r="D80">
            <v>2</v>
          </cell>
        </row>
        <row r="81">
          <cell r="B81" t="str">
            <v>4.15.01</v>
          </cell>
          <cell r="C81" t="str">
            <v>INSTALASI AIR MINUM/BERSIH</v>
          </cell>
          <cell r="D81">
            <v>3</v>
          </cell>
          <cell r="E81">
            <v>30</v>
          </cell>
        </row>
        <row r="82">
          <cell r="B82" t="str">
            <v>4.15.03</v>
          </cell>
          <cell r="C82" t="str">
            <v>INSTALASI PENGOLAHAN SAMPAH NON ORGANIK</v>
          </cell>
          <cell r="D82">
            <v>3</v>
          </cell>
          <cell r="E82">
            <v>10</v>
          </cell>
        </row>
        <row r="83">
          <cell r="B83" t="str">
            <v>4.15.04</v>
          </cell>
          <cell r="C83" t="str">
            <v>INSTALASI PENGOLAHAN BAHAN BANGUNAN</v>
          </cell>
          <cell r="D83">
            <v>3</v>
          </cell>
          <cell r="E83">
            <v>10</v>
          </cell>
        </row>
        <row r="84">
          <cell r="B84" t="str">
            <v>4.15.06</v>
          </cell>
          <cell r="C84" t="str">
            <v>INSTALASI GARDU LISTRIK</v>
          </cell>
          <cell r="D84">
            <v>3</v>
          </cell>
          <cell r="E84">
            <v>40</v>
          </cell>
        </row>
        <row r="85">
          <cell r="B85" t="str">
            <v>4.15.07</v>
          </cell>
          <cell r="C85" t="str">
            <v>INSTALASI PERTAHANAN</v>
          </cell>
          <cell r="D85">
            <v>3</v>
          </cell>
          <cell r="E85">
            <v>30</v>
          </cell>
        </row>
        <row r="86">
          <cell r="B86" t="str">
            <v>4.15.08</v>
          </cell>
          <cell r="C86" t="str">
            <v>INSTALASI GAS</v>
          </cell>
          <cell r="D86">
            <v>3</v>
          </cell>
          <cell r="E86">
            <v>30</v>
          </cell>
        </row>
        <row r="87">
          <cell r="B87" t="str">
            <v>4.15.09</v>
          </cell>
          <cell r="C87" t="str">
            <v>INSTALASI PENGAMAN</v>
          </cell>
          <cell r="D87">
            <v>3</v>
          </cell>
          <cell r="E87">
            <v>20</v>
          </cell>
        </row>
        <row r="88">
          <cell r="B88" t="str">
            <v>4.16.00</v>
          </cell>
          <cell r="C88" t="str">
            <v>JARINGAN</v>
          </cell>
          <cell r="D88">
            <v>2</v>
          </cell>
        </row>
        <row r="89">
          <cell r="B89" t="str">
            <v>4.16.02</v>
          </cell>
          <cell r="C89" t="str">
            <v>JARINGAN LISTRIK</v>
          </cell>
          <cell r="D89">
            <v>3</v>
          </cell>
          <cell r="E89">
            <v>40</v>
          </cell>
        </row>
        <row r="90">
          <cell r="B90" t="str">
            <v>4.16.03</v>
          </cell>
          <cell r="C90" t="str">
            <v>JARINGAN TELEPON</v>
          </cell>
          <cell r="D90">
            <v>3</v>
          </cell>
          <cell r="E90">
            <v>20</v>
          </cell>
        </row>
        <row r="91">
          <cell r="B91" t="str">
            <v>4.16.04</v>
          </cell>
          <cell r="C91" t="str">
            <v>JARINGAN GAS</v>
          </cell>
          <cell r="D91">
            <v>3</v>
          </cell>
          <cell r="E91">
            <v>30</v>
          </cell>
        </row>
        <row r="92">
          <cell r="B92" t="str">
            <v>5.00.00</v>
          </cell>
          <cell r="C92" t="str">
            <v>GOLONGAN ASSET TETAP LAINNYA</v>
          </cell>
          <cell r="D92">
            <v>1</v>
          </cell>
        </row>
        <row r="93">
          <cell r="B93" t="str">
            <v>5.17.00</v>
          </cell>
          <cell r="C93" t="str">
            <v>BUKU DAN PERPUSTAKAAN</v>
          </cell>
          <cell r="D93">
            <v>2</v>
          </cell>
        </row>
        <row r="94">
          <cell r="B94" t="str">
            <v>5.17.01</v>
          </cell>
          <cell r="C94" t="str">
            <v>BUKU</v>
          </cell>
          <cell r="D94">
            <v>3</v>
          </cell>
        </row>
        <row r="95">
          <cell r="B95" t="str">
            <v>5.17.03</v>
          </cell>
          <cell r="C95" t="str">
            <v>BARANG-BARANG PERPUSTAKAAN</v>
          </cell>
          <cell r="D95">
            <v>3</v>
          </cell>
        </row>
        <row r="96">
          <cell r="B96" t="str">
            <v>5.18.00</v>
          </cell>
          <cell r="C96" t="str">
            <v>BARANG BERCORAK KEBUDAYAAN</v>
          </cell>
          <cell r="D96">
            <v>2</v>
          </cell>
        </row>
        <row r="97">
          <cell r="B97" t="str">
            <v>5.18.01</v>
          </cell>
          <cell r="C97" t="str">
            <v>BARANG BERCORAK KEBUDAYAAN</v>
          </cell>
          <cell r="D97">
            <v>3</v>
          </cell>
        </row>
        <row r="98">
          <cell r="B98" t="str">
            <v>5.18.02</v>
          </cell>
          <cell r="C98" t="str">
            <v>ALAT OLAH RAGA LAINNYA</v>
          </cell>
          <cell r="D98">
            <v>3</v>
          </cell>
        </row>
        <row r="99">
          <cell r="B99" t="str">
            <v>5.19.00</v>
          </cell>
          <cell r="C99" t="str">
            <v>HEWAN DAN TERNAK SERTA TANAMAN</v>
          </cell>
          <cell r="D99">
            <v>2</v>
          </cell>
        </row>
        <row r="100">
          <cell r="B100" t="str">
            <v>5.19.01</v>
          </cell>
          <cell r="C100" t="str">
            <v>HEWAN</v>
          </cell>
          <cell r="D100">
            <v>3</v>
          </cell>
        </row>
        <row r="101">
          <cell r="B101" t="str">
            <v>6.00.00</v>
          </cell>
          <cell r="C101" t="str">
            <v>GOLONGAN KONSTRUKSI DLM PENGERJAAN</v>
          </cell>
          <cell r="D101">
            <v>1</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de barang"/>
      <sheetName val="MASA MANFAAT"/>
      <sheetName val="KIB A (2013)"/>
      <sheetName val="KIB A"/>
      <sheetName val="KIB A eksekusi"/>
      <sheetName val="KIB B ( - )"/>
      <sheetName val="KIB C"/>
      <sheetName val="KIB D"/>
      <sheetName val="Sheet2"/>
      <sheetName val="KIB D gabung"/>
      <sheetName val="KIB E"/>
      <sheetName val="KIB F"/>
      <sheetName val="KIB B &lt;300000"/>
      <sheetName val="Sheet1"/>
      <sheetName val="penting"/>
    </sheetNames>
    <sheetDataSet>
      <sheetData sheetId="0"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4.13.02</v>
          </cell>
          <cell r="C75" t="str">
            <v>JEMBATAN</v>
          </cell>
          <cell r="D75">
            <v>3</v>
          </cell>
          <cell r="E75">
            <v>50</v>
          </cell>
        </row>
        <row r="76">
          <cell r="B76" t="str">
            <v>4.14.00</v>
          </cell>
          <cell r="C76" t="str">
            <v>BANGUNAN AIR/IRIGASI</v>
          </cell>
          <cell r="D76">
            <v>2</v>
          </cell>
        </row>
        <row r="77">
          <cell r="B77" t="str">
            <v>4.14.01</v>
          </cell>
          <cell r="C77" t="str">
            <v>Bangunan Air Irigasi</v>
          </cell>
          <cell r="D77">
            <v>3</v>
          </cell>
          <cell r="E77">
            <v>50</v>
          </cell>
        </row>
        <row r="78">
          <cell r="B78" t="str">
            <v>4.14.02</v>
          </cell>
          <cell r="C78" t="str">
            <v>BANGUNAN AIR PASANG SURUT</v>
          </cell>
          <cell r="D78">
            <v>3</v>
          </cell>
        </row>
        <row r="79">
          <cell r="B79" t="str">
            <v>4.14.03</v>
          </cell>
          <cell r="C79" t="str">
            <v>Bangunan Air Pengembang Rawa Dan Poder</v>
          </cell>
          <cell r="D79">
            <v>3</v>
          </cell>
          <cell r="E79">
            <v>25</v>
          </cell>
        </row>
        <row r="80">
          <cell r="B80" t="str">
            <v>4.14.04</v>
          </cell>
          <cell r="C80" t="str">
            <v>BANGUNAN PENGAMAN SUNGAI DAN PENANGGULANGAN BENCANA ALAM</v>
          </cell>
          <cell r="D80">
            <v>3</v>
          </cell>
          <cell r="E80">
            <v>10</v>
          </cell>
        </row>
        <row r="81">
          <cell r="B81" t="str">
            <v>4.14.05</v>
          </cell>
          <cell r="C81" t="str">
            <v>BANGUNAN PENGEMBANGAN SUMBER AIR DAN AIR TNH</v>
          </cell>
          <cell r="D81">
            <v>3</v>
          </cell>
          <cell r="E81">
            <v>30</v>
          </cell>
        </row>
        <row r="82">
          <cell r="B82" t="str">
            <v>4.14.08</v>
          </cell>
          <cell r="C82" t="str">
            <v>BANGUNAN AIR</v>
          </cell>
          <cell r="D82">
            <v>3</v>
          </cell>
          <cell r="E82">
            <v>40</v>
          </cell>
        </row>
        <row r="83">
          <cell r="B83" t="str">
            <v>4.15.00</v>
          </cell>
          <cell r="C83" t="str">
            <v>INSTALASI</v>
          </cell>
          <cell r="D83">
            <v>2</v>
          </cell>
        </row>
        <row r="84">
          <cell r="B84" t="str">
            <v>4.15.01</v>
          </cell>
          <cell r="C84" t="str">
            <v>INSTALASI AIR MINUM/BERSIH</v>
          </cell>
          <cell r="D84">
            <v>3</v>
          </cell>
          <cell r="E84">
            <v>30</v>
          </cell>
        </row>
        <row r="85">
          <cell r="B85" t="str">
            <v>4.15.03</v>
          </cell>
          <cell r="C85" t="str">
            <v>INSTALASI PENGOLAHAN SAMPAH NON ORGANIK</v>
          </cell>
          <cell r="D85">
            <v>3</v>
          </cell>
          <cell r="E85">
            <v>10</v>
          </cell>
        </row>
        <row r="86">
          <cell r="B86" t="str">
            <v>4.15.04</v>
          </cell>
          <cell r="C86" t="str">
            <v>INSTALASI PENGOLAHAN BAHAN BANGUNAN</v>
          </cell>
          <cell r="D86">
            <v>3</v>
          </cell>
          <cell r="E86">
            <v>10</v>
          </cell>
        </row>
        <row r="87">
          <cell r="B87" t="str">
            <v>4.15.06</v>
          </cell>
          <cell r="C87" t="str">
            <v>INSTALASI GARDU LISTRIK</v>
          </cell>
          <cell r="D87">
            <v>3</v>
          </cell>
          <cell r="E87">
            <v>40</v>
          </cell>
        </row>
        <row r="88">
          <cell r="B88" t="str">
            <v>4.15.07</v>
          </cell>
          <cell r="C88" t="str">
            <v>INSTALASI PERTAHANAN</v>
          </cell>
          <cell r="D88">
            <v>3</v>
          </cell>
          <cell r="E88">
            <v>30</v>
          </cell>
        </row>
        <row r="89">
          <cell r="B89" t="str">
            <v>4.15.08</v>
          </cell>
          <cell r="C89" t="str">
            <v>INSTALASI GAS</v>
          </cell>
          <cell r="D89">
            <v>3</v>
          </cell>
          <cell r="E89">
            <v>30</v>
          </cell>
        </row>
        <row r="90">
          <cell r="B90" t="str">
            <v>4.15.09</v>
          </cell>
          <cell r="C90" t="str">
            <v>INSTALASI PENGAMAN</v>
          </cell>
          <cell r="D90">
            <v>3</v>
          </cell>
          <cell r="E90">
            <v>20</v>
          </cell>
        </row>
        <row r="91">
          <cell r="B91" t="str">
            <v>4.16.00</v>
          </cell>
          <cell r="C91" t="str">
            <v>JARINGAN</v>
          </cell>
          <cell r="D91">
            <v>2</v>
          </cell>
        </row>
        <row r="92">
          <cell r="B92" t="str">
            <v>4.16.01</v>
          </cell>
          <cell r="C92" t="str">
            <v>JARINGAN AIR MINUM</v>
          </cell>
          <cell r="D92">
            <v>3</v>
          </cell>
          <cell r="E92">
            <v>30</v>
          </cell>
        </row>
        <row r="93">
          <cell r="B93" t="str">
            <v>4.16.02</v>
          </cell>
          <cell r="C93" t="str">
            <v>JARINGAN LISTRIK</v>
          </cell>
          <cell r="D93">
            <v>3</v>
          </cell>
          <cell r="E93">
            <v>40</v>
          </cell>
        </row>
        <row r="94">
          <cell r="B94" t="str">
            <v>4.16.03</v>
          </cell>
          <cell r="C94" t="str">
            <v>JARINGAN TELEPON</v>
          </cell>
          <cell r="D94">
            <v>3</v>
          </cell>
          <cell r="E94">
            <v>20</v>
          </cell>
        </row>
        <row r="95">
          <cell r="B95" t="str">
            <v>4.16.04</v>
          </cell>
          <cell r="C95" t="str">
            <v>JARINGAN GAS</v>
          </cell>
          <cell r="D95">
            <v>3</v>
          </cell>
          <cell r="E95">
            <v>30</v>
          </cell>
        </row>
        <row r="96">
          <cell r="B96" t="str">
            <v>5.00.00</v>
          </cell>
          <cell r="C96" t="str">
            <v>GOLONGAN ASSET TETAP LAINNYA</v>
          </cell>
          <cell r="D96">
            <v>1</v>
          </cell>
        </row>
        <row r="97">
          <cell r="B97" t="str">
            <v>5.17.00</v>
          </cell>
          <cell r="C97" t="str">
            <v>BUKU DAN PERPUSTAKAAN</v>
          </cell>
          <cell r="D97">
            <v>2</v>
          </cell>
        </row>
        <row r="98">
          <cell r="B98" t="str">
            <v>5.17.01</v>
          </cell>
          <cell r="C98" t="str">
            <v>BUKU</v>
          </cell>
          <cell r="D98">
            <v>3</v>
          </cell>
        </row>
        <row r="99">
          <cell r="B99" t="str">
            <v>5.17.03</v>
          </cell>
          <cell r="C99" t="str">
            <v>BARANG-BARANG PERPUSTAKAAN</v>
          </cell>
          <cell r="D99">
            <v>3</v>
          </cell>
        </row>
        <row r="100">
          <cell r="B100" t="str">
            <v>5.18.00</v>
          </cell>
          <cell r="C100" t="str">
            <v>BARANG BERCORAK KEBUDAYAAN</v>
          </cell>
          <cell r="D100">
            <v>2</v>
          </cell>
        </row>
        <row r="101">
          <cell r="B101" t="str">
            <v>5.18.01</v>
          </cell>
          <cell r="C101" t="str">
            <v>BARANG BERCORAK KEBUDAYAAN</v>
          </cell>
          <cell r="D101">
            <v>3</v>
          </cell>
        </row>
        <row r="102">
          <cell r="B102" t="str">
            <v>5.18.02</v>
          </cell>
          <cell r="C102" t="str">
            <v>ALAT OLAH RAGA LAINNYA</v>
          </cell>
          <cell r="D102">
            <v>3</v>
          </cell>
        </row>
        <row r="103">
          <cell r="B103" t="str">
            <v>5.19.00</v>
          </cell>
          <cell r="C103" t="str">
            <v>HEWAN DAN TERNAK SERTA TANAMAN</v>
          </cell>
          <cell r="D103">
            <v>2</v>
          </cell>
        </row>
        <row r="104">
          <cell r="B104" t="str">
            <v>5.19.01</v>
          </cell>
          <cell r="C104" t="str">
            <v>HEWAN</v>
          </cell>
          <cell r="D104">
            <v>3</v>
          </cell>
        </row>
        <row r="105">
          <cell r="B105" t="str">
            <v>6.00.00</v>
          </cell>
          <cell r="C105" t="str">
            <v>GOLONGAN KONSTRUKSI DLM PENGERJAAN</v>
          </cell>
          <cell r="D105">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DANG"/>
      <sheetName val="COVER"/>
      <sheetName val="RUANG A"/>
      <sheetName val="RUANG B"/>
      <sheetName val="UMUM"/>
      <sheetName val="SEKBAN"/>
      <sheetName val="KABAN"/>
      <sheetName val="PROGRAM"/>
      <sheetName val="KEUANGAN"/>
      <sheetName val="DIKLAT"/>
      <sheetName val="PEMBINAAN"/>
      <sheetName val="PERENCANAAN"/>
      <sheetName val="MUTASI"/>
      <sheetName val="MAKAN"/>
      <sheetName val="MUSHALL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 (2)"/>
      <sheetName val="A.TANAH  PENGGABUNGAN 2015"/>
      <sheetName val="A.TANAH  PERUBAHAN  (2)"/>
      <sheetName val="A.TANAH"/>
      <sheetName val="B. PELTN BPKB  PERUBAHAN ( 2 )"/>
      <sheetName val="B. PELTN MSIN  PENGGABUNGAN2015"/>
      <sheetName val="B. PELTN MSIN  PERUBAHAN (2)"/>
      <sheetName val="B. PELTN MSIN "/>
      <sheetName val="C.GEDUNG  pengabungan 2015"/>
      <sheetName val="C.GEDUNG perubahan (2)"/>
      <sheetName val="C.GEDUNG"/>
      <sheetName val="D.JIJ PENGABUNGAN 2015"/>
      <sheetName val="D.JIJ"/>
      <sheetName val="E.ATL PENGABUNGAN 2015"/>
      <sheetName val="E.ATL"/>
      <sheetName val="F.AL"/>
      <sheetName val="BI"/>
      <sheetName val="2011"/>
      <sheetName val="JLH REKAP  (2) 2015"/>
      <sheetName val="JLH REKAP"/>
      <sheetName val="REKAP KIB"/>
      <sheetName val="Sheet1"/>
      <sheetName val="B. PELTN MSIN  PENGGABUNGAN2014"/>
      <sheetName val="ASET YANG RUSAK"/>
    </sheetNames>
    <sheetDataSet>
      <sheetData sheetId="0" refreshError="1"/>
      <sheetData sheetId="1">
        <row r="35">
          <cell r="P35">
            <v>5470552.0423859162</v>
          </cell>
        </row>
      </sheetData>
      <sheetData sheetId="2"/>
      <sheetData sheetId="3"/>
      <sheetData sheetId="4"/>
      <sheetData sheetId="5">
        <row r="12">
          <cell r="P12">
            <v>342331999.99999994</v>
          </cell>
        </row>
      </sheetData>
      <sheetData sheetId="6"/>
      <sheetData sheetId="7">
        <row r="19">
          <cell r="U19">
            <v>3993077.9968591868</v>
          </cell>
        </row>
      </sheetData>
      <sheetData sheetId="8">
        <row r="19">
          <cell r="U19">
            <v>3993077.9968591868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14">
          <cell r="Z14">
            <v>1083637147.6107485</v>
          </cell>
        </row>
      </sheetData>
      <sheetData sheetId="22"/>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C"/>
      <sheetName val="Sheet2"/>
      <sheetName val="KIB D"/>
      <sheetName val="Sheet3"/>
      <sheetName val="Sheet1"/>
      <sheetName val="Sheet4"/>
    </sheetNames>
    <sheetDataSet>
      <sheetData sheetId="0"/>
      <sheetData sheetId="1"/>
      <sheetData sheetId="2"/>
      <sheetData sheetId="3"/>
      <sheetData sheetId="4"/>
      <sheetData sheetId="5">
        <row r="4">
          <cell r="D4">
            <v>9520000000</v>
          </cell>
          <cell r="E4">
            <v>2001</v>
          </cell>
        </row>
        <row r="5">
          <cell r="D5">
            <v>9504000000</v>
          </cell>
          <cell r="E5">
            <v>2001</v>
          </cell>
        </row>
        <row r="6">
          <cell r="D6">
            <v>9883854526</v>
          </cell>
          <cell r="E6">
            <v>2001</v>
          </cell>
        </row>
        <row r="7">
          <cell r="D7">
            <v>1008000000</v>
          </cell>
          <cell r="E7">
            <v>2001</v>
          </cell>
        </row>
        <row r="8">
          <cell r="D8">
            <v>5145000000</v>
          </cell>
          <cell r="E8">
            <v>2001</v>
          </cell>
        </row>
        <row r="9">
          <cell r="D9">
            <v>16253400000</v>
          </cell>
          <cell r="E9">
            <v>2001</v>
          </cell>
        </row>
        <row r="10">
          <cell r="D10">
            <v>378000000</v>
          </cell>
          <cell r="E10">
            <v>2001</v>
          </cell>
        </row>
        <row r="11">
          <cell r="D11">
            <v>2275000000</v>
          </cell>
          <cell r="E11">
            <v>2001</v>
          </cell>
        </row>
        <row r="12">
          <cell r="D12">
            <v>3584000000</v>
          </cell>
          <cell r="E12">
            <v>2001</v>
          </cell>
        </row>
        <row r="13">
          <cell r="D13">
            <v>2520000000</v>
          </cell>
          <cell r="E13">
            <v>2001</v>
          </cell>
        </row>
        <row r="14">
          <cell r="D14">
            <v>1680000000</v>
          </cell>
          <cell r="E14">
            <v>2001</v>
          </cell>
        </row>
        <row r="15">
          <cell r="D15">
            <v>1456000000</v>
          </cell>
          <cell r="E15">
            <v>2001</v>
          </cell>
        </row>
        <row r="16">
          <cell r="D16">
            <v>1050000000</v>
          </cell>
          <cell r="E16">
            <v>2001</v>
          </cell>
        </row>
        <row r="17">
          <cell r="D17">
            <v>1575000000</v>
          </cell>
          <cell r="E17">
            <v>2001</v>
          </cell>
        </row>
        <row r="18">
          <cell r="D18">
            <v>2940000000</v>
          </cell>
          <cell r="E18">
            <v>2001</v>
          </cell>
        </row>
        <row r="19">
          <cell r="D19">
            <v>190125000</v>
          </cell>
          <cell r="E19">
            <v>2001</v>
          </cell>
        </row>
        <row r="20">
          <cell r="D20">
            <v>292500000</v>
          </cell>
          <cell r="E20">
            <v>2001</v>
          </cell>
        </row>
        <row r="21">
          <cell r="D21">
            <v>1568000000</v>
          </cell>
          <cell r="E21">
            <v>2001</v>
          </cell>
        </row>
        <row r="22">
          <cell r="D22">
            <v>1792000000</v>
          </cell>
          <cell r="E22">
            <v>2001</v>
          </cell>
        </row>
        <row r="23">
          <cell r="D23">
            <v>15680000000</v>
          </cell>
          <cell r="E23">
            <v>2001</v>
          </cell>
        </row>
        <row r="24">
          <cell r="D24">
            <v>2362500000</v>
          </cell>
          <cell r="E24">
            <v>2001</v>
          </cell>
        </row>
        <row r="25">
          <cell r="D25">
            <v>470400000</v>
          </cell>
          <cell r="E25">
            <v>2001</v>
          </cell>
        </row>
        <row r="26">
          <cell r="D26">
            <v>22932000000</v>
          </cell>
          <cell r="E26">
            <v>2001</v>
          </cell>
        </row>
        <row r="27">
          <cell r="D27">
            <v>14883166858.823</v>
          </cell>
          <cell r="E27">
            <v>2001</v>
          </cell>
        </row>
        <row r="28">
          <cell r="D28">
            <v>7982951762.6100006</v>
          </cell>
          <cell r="E28">
            <v>2001</v>
          </cell>
        </row>
        <row r="29">
          <cell r="D29">
            <v>9141204662</v>
          </cell>
          <cell r="E29">
            <v>2001</v>
          </cell>
        </row>
        <row r="30">
          <cell r="D30">
            <v>4900000000</v>
          </cell>
          <cell r="E30">
            <v>2001</v>
          </cell>
        </row>
        <row r="31">
          <cell r="D31">
            <v>4410000000</v>
          </cell>
          <cell r="E31">
            <v>2001</v>
          </cell>
        </row>
        <row r="32">
          <cell r="D32">
            <v>1056000000</v>
          </cell>
          <cell r="E32">
            <v>2001</v>
          </cell>
        </row>
        <row r="33">
          <cell r="D33">
            <v>4029052001.6099997</v>
          </cell>
          <cell r="E33">
            <v>2001</v>
          </cell>
        </row>
        <row r="34">
          <cell r="D34">
            <v>3741417795</v>
          </cell>
          <cell r="E34">
            <v>2001</v>
          </cell>
        </row>
        <row r="35">
          <cell r="D35">
            <v>525000000</v>
          </cell>
          <cell r="E35">
            <v>2001</v>
          </cell>
        </row>
        <row r="36">
          <cell r="D36">
            <v>173880000</v>
          </cell>
          <cell r="E36">
            <v>2001</v>
          </cell>
        </row>
        <row r="37">
          <cell r="D37">
            <v>5670000000</v>
          </cell>
          <cell r="E37">
            <v>2001</v>
          </cell>
        </row>
        <row r="38">
          <cell r="D38">
            <v>614250000</v>
          </cell>
          <cell r="E38">
            <v>2001</v>
          </cell>
        </row>
        <row r="39">
          <cell r="D39">
            <v>1375920000</v>
          </cell>
          <cell r="E39">
            <v>2001</v>
          </cell>
        </row>
        <row r="40">
          <cell r="D40">
            <v>262500000</v>
          </cell>
          <cell r="E40">
            <v>2001</v>
          </cell>
        </row>
        <row r="41">
          <cell r="D41">
            <v>756000000</v>
          </cell>
          <cell r="E41">
            <v>2001</v>
          </cell>
        </row>
        <row r="42">
          <cell r="D42">
            <v>630000000</v>
          </cell>
          <cell r="E42">
            <v>2001</v>
          </cell>
        </row>
        <row r="43">
          <cell r="D43">
            <v>2252250000</v>
          </cell>
          <cell r="E43">
            <v>2001</v>
          </cell>
        </row>
        <row r="44">
          <cell r="D44">
            <v>90000000</v>
          </cell>
          <cell r="E44">
            <v>2001</v>
          </cell>
        </row>
        <row r="45">
          <cell r="D45">
            <v>108000000</v>
          </cell>
          <cell r="E45">
            <v>2001</v>
          </cell>
        </row>
        <row r="46">
          <cell r="D46">
            <v>4725000000</v>
          </cell>
          <cell r="E46">
            <v>2001</v>
          </cell>
        </row>
        <row r="47">
          <cell r="D47">
            <v>216000000</v>
          </cell>
          <cell r="E47">
            <v>2001</v>
          </cell>
        </row>
        <row r="48">
          <cell r="D48">
            <v>168750000</v>
          </cell>
          <cell r="E48">
            <v>2001</v>
          </cell>
        </row>
        <row r="49">
          <cell r="D49">
            <v>180000000</v>
          </cell>
          <cell r="E49">
            <v>2001</v>
          </cell>
        </row>
        <row r="50">
          <cell r="D50">
            <v>336000000</v>
          </cell>
          <cell r="E50">
            <v>2001</v>
          </cell>
        </row>
        <row r="51">
          <cell r="D51">
            <v>999000000</v>
          </cell>
          <cell r="E51">
            <v>2001</v>
          </cell>
        </row>
        <row r="52">
          <cell r="D52">
            <v>468000000</v>
          </cell>
          <cell r="E52">
            <v>2001</v>
          </cell>
        </row>
        <row r="53">
          <cell r="D53">
            <v>2856000000</v>
          </cell>
          <cell r="E53">
            <v>2001</v>
          </cell>
        </row>
        <row r="54">
          <cell r="D54">
            <v>2940000000</v>
          </cell>
          <cell r="E54">
            <v>2001</v>
          </cell>
        </row>
        <row r="55">
          <cell r="D55">
            <v>107250000</v>
          </cell>
          <cell r="E55">
            <v>2001</v>
          </cell>
        </row>
        <row r="56">
          <cell r="D56">
            <v>4725000000</v>
          </cell>
          <cell r="E56">
            <v>2001</v>
          </cell>
        </row>
        <row r="57">
          <cell r="D57">
            <v>31588402771.260002</v>
          </cell>
          <cell r="E57">
            <v>2001</v>
          </cell>
        </row>
        <row r="58">
          <cell r="D58">
            <v>1134000000</v>
          </cell>
          <cell r="E58">
            <v>2001</v>
          </cell>
        </row>
        <row r="59">
          <cell r="D59">
            <v>7275000000</v>
          </cell>
          <cell r="E59">
            <v>2001</v>
          </cell>
        </row>
        <row r="60">
          <cell r="D60">
            <v>234097500</v>
          </cell>
          <cell r="E60">
            <v>2001</v>
          </cell>
        </row>
        <row r="61">
          <cell r="D61">
            <v>949130000</v>
          </cell>
          <cell r="E61">
            <v>2001</v>
          </cell>
        </row>
        <row r="62">
          <cell r="D62">
            <v>386750000</v>
          </cell>
          <cell r="E62">
            <v>2001</v>
          </cell>
        </row>
        <row r="63">
          <cell r="D63">
            <v>153562500</v>
          </cell>
          <cell r="E63">
            <v>2001</v>
          </cell>
        </row>
        <row r="64">
          <cell r="D64">
            <v>268450000</v>
          </cell>
          <cell r="E64">
            <v>2001</v>
          </cell>
        </row>
        <row r="65">
          <cell r="D65">
            <v>428610000</v>
          </cell>
          <cell r="E65">
            <v>2001</v>
          </cell>
        </row>
        <row r="66">
          <cell r="D66">
            <v>87587500</v>
          </cell>
          <cell r="E66">
            <v>2001</v>
          </cell>
        </row>
        <row r="67">
          <cell r="D67">
            <v>324187500</v>
          </cell>
          <cell r="E67">
            <v>2001</v>
          </cell>
        </row>
        <row r="68">
          <cell r="D68">
            <v>1305000000</v>
          </cell>
          <cell r="E68">
            <v>2001</v>
          </cell>
        </row>
        <row r="69">
          <cell r="D69">
            <v>118755000</v>
          </cell>
          <cell r="E69">
            <v>2001</v>
          </cell>
        </row>
        <row r="70">
          <cell r="D70">
            <v>68040000</v>
          </cell>
          <cell r="E70">
            <v>2001</v>
          </cell>
        </row>
        <row r="71">
          <cell r="D71">
            <v>86450000</v>
          </cell>
          <cell r="E71">
            <v>2001</v>
          </cell>
        </row>
        <row r="72">
          <cell r="D72">
            <v>145600000</v>
          </cell>
          <cell r="E72">
            <v>2001</v>
          </cell>
        </row>
        <row r="73">
          <cell r="D73">
            <v>145600000</v>
          </cell>
          <cell r="E73">
            <v>2001</v>
          </cell>
        </row>
        <row r="74">
          <cell r="D74">
            <v>174720000</v>
          </cell>
          <cell r="E74">
            <v>2001</v>
          </cell>
        </row>
        <row r="75">
          <cell r="D75">
            <v>317362500</v>
          </cell>
          <cell r="E75">
            <v>2001</v>
          </cell>
        </row>
        <row r="76">
          <cell r="D76">
            <v>1742422500</v>
          </cell>
          <cell r="E76">
            <v>2001</v>
          </cell>
        </row>
        <row r="77">
          <cell r="D77">
            <v>216125000</v>
          </cell>
          <cell r="E77">
            <v>2001</v>
          </cell>
        </row>
        <row r="78">
          <cell r="D78">
            <v>1650550765</v>
          </cell>
          <cell r="E78">
            <v>2001</v>
          </cell>
        </row>
        <row r="79">
          <cell r="D79">
            <v>630000000</v>
          </cell>
          <cell r="E79">
            <v>2001</v>
          </cell>
        </row>
        <row r="80">
          <cell r="D80">
            <v>9359649503.9899998</v>
          </cell>
          <cell r="E80">
            <v>2001</v>
          </cell>
        </row>
        <row r="81">
          <cell r="D81">
            <v>2275000000</v>
          </cell>
          <cell r="E81">
            <v>2001</v>
          </cell>
        </row>
        <row r="82">
          <cell r="D82">
            <v>3890250000</v>
          </cell>
          <cell r="E82">
            <v>2001</v>
          </cell>
        </row>
        <row r="83">
          <cell r="D83">
            <v>4299750000</v>
          </cell>
          <cell r="E83">
            <v>2001</v>
          </cell>
        </row>
        <row r="84">
          <cell r="D84">
            <v>2591976598.3800001</v>
          </cell>
          <cell r="E84">
            <v>2001</v>
          </cell>
        </row>
        <row r="85">
          <cell r="D85">
            <v>540000000</v>
          </cell>
          <cell r="E85">
            <v>2001</v>
          </cell>
        </row>
        <row r="86">
          <cell r="D86">
            <v>1620000000</v>
          </cell>
          <cell r="E86">
            <v>2001</v>
          </cell>
        </row>
        <row r="87">
          <cell r="D87">
            <v>540000000</v>
          </cell>
          <cell r="E87">
            <v>2001</v>
          </cell>
        </row>
        <row r="88">
          <cell r="D88">
            <v>900000000</v>
          </cell>
          <cell r="E88">
            <v>2001</v>
          </cell>
        </row>
        <row r="89">
          <cell r="D89">
            <v>175500000</v>
          </cell>
          <cell r="E89">
            <v>2001</v>
          </cell>
        </row>
        <row r="90">
          <cell r="D90">
            <v>675000000</v>
          </cell>
          <cell r="E90">
            <v>2001</v>
          </cell>
        </row>
        <row r="91">
          <cell r="D91">
            <v>3360000000</v>
          </cell>
          <cell r="E91">
            <v>2001</v>
          </cell>
        </row>
        <row r="92">
          <cell r="D92">
            <v>2700000000</v>
          </cell>
          <cell r="E92">
            <v>2001</v>
          </cell>
        </row>
        <row r="93">
          <cell r="D93">
            <v>288000000</v>
          </cell>
          <cell r="E93">
            <v>2001</v>
          </cell>
        </row>
        <row r="94">
          <cell r="D94">
            <v>3273925686</v>
          </cell>
          <cell r="E94">
            <v>2001</v>
          </cell>
        </row>
        <row r="95">
          <cell r="D95">
            <v>2475000000</v>
          </cell>
          <cell r="E95">
            <v>2001</v>
          </cell>
        </row>
        <row r="96">
          <cell r="D96">
            <v>450000000</v>
          </cell>
          <cell r="E96">
            <v>2001</v>
          </cell>
        </row>
        <row r="97">
          <cell r="D97">
            <v>46812964265.480003</v>
          </cell>
          <cell r="E97">
            <v>2001</v>
          </cell>
        </row>
        <row r="98">
          <cell r="D98">
            <v>6975000000</v>
          </cell>
          <cell r="E98">
            <v>2001</v>
          </cell>
        </row>
        <row r="99">
          <cell r="D99">
            <v>20175343360</v>
          </cell>
          <cell r="E99">
            <v>2001</v>
          </cell>
        </row>
        <row r="100">
          <cell r="D100">
            <v>13778074379</v>
          </cell>
          <cell r="E100">
            <v>2001</v>
          </cell>
        </row>
        <row r="101">
          <cell r="D101">
            <v>4420800000</v>
          </cell>
          <cell r="E101">
            <v>2001</v>
          </cell>
        </row>
        <row r="102">
          <cell r="D102">
            <v>175500000</v>
          </cell>
          <cell r="E102">
            <v>2001</v>
          </cell>
        </row>
        <row r="103">
          <cell r="D103">
            <v>3360000000</v>
          </cell>
          <cell r="E103">
            <v>2001</v>
          </cell>
        </row>
        <row r="104">
          <cell r="D104">
            <v>2080000000</v>
          </cell>
          <cell r="E104">
            <v>2001</v>
          </cell>
        </row>
        <row r="105">
          <cell r="D105">
            <v>980850000</v>
          </cell>
          <cell r="E105">
            <v>2001</v>
          </cell>
        </row>
        <row r="106">
          <cell r="D106">
            <v>506250000</v>
          </cell>
          <cell r="E106">
            <v>2001</v>
          </cell>
        </row>
        <row r="107">
          <cell r="D107">
            <v>1108800000</v>
          </cell>
          <cell r="E107">
            <v>2001</v>
          </cell>
        </row>
        <row r="108">
          <cell r="D108">
            <v>1142400000</v>
          </cell>
          <cell r="E108">
            <v>2001</v>
          </cell>
        </row>
        <row r="109">
          <cell r="D109">
            <v>913733028</v>
          </cell>
          <cell r="E109">
            <v>2001</v>
          </cell>
        </row>
        <row r="110">
          <cell r="D110">
            <v>15371093732.342295</v>
          </cell>
          <cell r="E110">
            <v>2001</v>
          </cell>
        </row>
        <row r="111">
          <cell r="D111">
            <v>2058000000</v>
          </cell>
          <cell r="E111">
            <v>2001</v>
          </cell>
        </row>
        <row r="112">
          <cell r="D112">
            <v>2016000000</v>
          </cell>
          <cell r="E112">
            <v>2001</v>
          </cell>
        </row>
        <row r="113">
          <cell r="D113">
            <v>1176000000</v>
          </cell>
          <cell r="E113">
            <v>2001</v>
          </cell>
        </row>
        <row r="114">
          <cell r="D114">
            <v>1848000000</v>
          </cell>
          <cell r="E114">
            <v>2001</v>
          </cell>
        </row>
        <row r="115">
          <cell r="D115">
            <v>4200000000</v>
          </cell>
          <cell r="E115">
            <v>2001</v>
          </cell>
        </row>
        <row r="116">
          <cell r="D116">
            <v>4992000000</v>
          </cell>
          <cell r="E116">
            <v>2001</v>
          </cell>
        </row>
        <row r="117">
          <cell r="D117">
            <v>8400000000</v>
          </cell>
          <cell r="E117">
            <v>2001</v>
          </cell>
        </row>
        <row r="118">
          <cell r="D118">
            <v>12022715750</v>
          </cell>
          <cell r="E118">
            <v>2001</v>
          </cell>
        </row>
        <row r="119">
          <cell r="D119">
            <v>1300000000</v>
          </cell>
          <cell r="E119">
            <v>2001</v>
          </cell>
        </row>
        <row r="120">
          <cell r="D120">
            <v>14400000000</v>
          </cell>
          <cell r="E120">
            <v>2001</v>
          </cell>
        </row>
        <row r="121">
          <cell r="D121">
            <v>16170000000</v>
          </cell>
          <cell r="E121">
            <v>2001</v>
          </cell>
        </row>
        <row r="122">
          <cell r="D122">
            <v>819000000</v>
          </cell>
          <cell r="E122">
            <v>2001</v>
          </cell>
        </row>
        <row r="123">
          <cell r="D123">
            <v>303750000</v>
          </cell>
          <cell r="E123">
            <v>2001</v>
          </cell>
        </row>
        <row r="124">
          <cell r="D124">
            <v>17280000000</v>
          </cell>
          <cell r="E124">
            <v>2001</v>
          </cell>
        </row>
        <row r="125">
          <cell r="D125">
            <v>56840000000</v>
          </cell>
          <cell r="E125">
            <v>2001</v>
          </cell>
        </row>
        <row r="126">
          <cell r="D126">
            <v>15288000000</v>
          </cell>
          <cell r="E126">
            <v>2001</v>
          </cell>
        </row>
        <row r="127">
          <cell r="D127">
            <v>11424000000</v>
          </cell>
          <cell r="E127">
            <v>2001</v>
          </cell>
        </row>
        <row r="128">
          <cell r="D128">
            <v>15680000000</v>
          </cell>
          <cell r="E128">
            <v>2001</v>
          </cell>
        </row>
        <row r="129">
          <cell r="D129">
            <v>3060956544</v>
          </cell>
          <cell r="E129">
            <v>2001</v>
          </cell>
        </row>
        <row r="130">
          <cell r="D130">
            <v>4992000000</v>
          </cell>
          <cell r="E130">
            <v>2001</v>
          </cell>
        </row>
        <row r="131">
          <cell r="D131">
            <v>4302632417</v>
          </cell>
          <cell r="E131">
            <v>2001</v>
          </cell>
        </row>
        <row r="132">
          <cell r="D132">
            <v>1755000000</v>
          </cell>
          <cell r="E132">
            <v>2001</v>
          </cell>
        </row>
        <row r="133">
          <cell r="D133">
            <v>5376000000</v>
          </cell>
          <cell r="E133">
            <v>2001</v>
          </cell>
        </row>
        <row r="134">
          <cell r="D134">
            <v>998400000</v>
          </cell>
          <cell r="E134">
            <v>2001</v>
          </cell>
        </row>
        <row r="135">
          <cell r="D135">
            <v>1248000000</v>
          </cell>
          <cell r="E135">
            <v>2001</v>
          </cell>
        </row>
        <row r="136">
          <cell r="D136">
            <v>1190400000</v>
          </cell>
          <cell r="E136">
            <v>2001</v>
          </cell>
        </row>
        <row r="137">
          <cell r="D137">
            <v>580500000</v>
          </cell>
          <cell r="E137">
            <v>2001</v>
          </cell>
        </row>
        <row r="138">
          <cell r="D138">
            <v>261000000</v>
          </cell>
          <cell r="E138">
            <v>2001</v>
          </cell>
        </row>
        <row r="139">
          <cell r="D139">
            <v>3159000000</v>
          </cell>
          <cell r="E139">
            <v>2001</v>
          </cell>
        </row>
        <row r="140">
          <cell r="D140">
            <v>6552000000</v>
          </cell>
          <cell r="E140">
            <v>2001</v>
          </cell>
        </row>
        <row r="141">
          <cell r="D141">
            <v>765000000</v>
          </cell>
          <cell r="E141">
            <v>2001</v>
          </cell>
        </row>
        <row r="142">
          <cell r="D142">
            <v>6048000000</v>
          </cell>
          <cell r="E142">
            <v>2001</v>
          </cell>
        </row>
        <row r="143">
          <cell r="D143">
            <v>2937600000</v>
          </cell>
          <cell r="E143">
            <v>2001</v>
          </cell>
        </row>
        <row r="144">
          <cell r="D144">
            <v>720000000</v>
          </cell>
          <cell r="E144">
            <v>2001</v>
          </cell>
        </row>
        <row r="145">
          <cell r="D145">
            <v>1080000000</v>
          </cell>
          <cell r="E145">
            <v>2001</v>
          </cell>
        </row>
        <row r="146">
          <cell r="D146">
            <v>1011456000</v>
          </cell>
          <cell r="E146">
            <v>2001</v>
          </cell>
        </row>
        <row r="147">
          <cell r="D147">
            <v>3640000000</v>
          </cell>
          <cell r="E147">
            <v>2001</v>
          </cell>
        </row>
        <row r="148">
          <cell r="D148">
            <v>3071250000</v>
          </cell>
          <cell r="E148">
            <v>2001</v>
          </cell>
        </row>
        <row r="149">
          <cell r="D149">
            <v>3240000000</v>
          </cell>
          <cell r="E149">
            <v>2001</v>
          </cell>
        </row>
        <row r="150">
          <cell r="D150">
            <v>2835000000</v>
          </cell>
          <cell r="E150">
            <v>2001</v>
          </cell>
        </row>
        <row r="151">
          <cell r="D151">
            <v>1215000000</v>
          </cell>
          <cell r="E151">
            <v>2001</v>
          </cell>
        </row>
        <row r="152">
          <cell r="D152">
            <v>2835000000</v>
          </cell>
          <cell r="E152">
            <v>2001</v>
          </cell>
        </row>
        <row r="153">
          <cell r="D153">
            <v>3000000000</v>
          </cell>
          <cell r="E153">
            <v>2001</v>
          </cell>
        </row>
        <row r="154">
          <cell r="D154">
            <v>263250000</v>
          </cell>
          <cell r="E154">
            <v>2001</v>
          </cell>
        </row>
        <row r="155">
          <cell r="D155">
            <v>5119353361.6199999</v>
          </cell>
          <cell r="E155">
            <v>2001</v>
          </cell>
        </row>
        <row r="156">
          <cell r="D156">
            <v>2304000000</v>
          </cell>
          <cell r="E156">
            <v>2001</v>
          </cell>
        </row>
        <row r="157">
          <cell r="D157">
            <v>643500000</v>
          </cell>
          <cell r="E157">
            <v>2001</v>
          </cell>
        </row>
        <row r="158">
          <cell r="D158">
            <v>1008000000</v>
          </cell>
          <cell r="E158">
            <v>2001</v>
          </cell>
        </row>
        <row r="159">
          <cell r="D159">
            <v>1440000000</v>
          </cell>
          <cell r="E159">
            <v>2001</v>
          </cell>
        </row>
        <row r="160">
          <cell r="D160">
            <v>864000000</v>
          </cell>
          <cell r="E160">
            <v>2001</v>
          </cell>
        </row>
        <row r="161">
          <cell r="D161">
            <v>540000000</v>
          </cell>
          <cell r="E161">
            <v>2001</v>
          </cell>
        </row>
        <row r="162">
          <cell r="D162">
            <v>3160500000</v>
          </cell>
          <cell r="E162">
            <v>2001</v>
          </cell>
        </row>
        <row r="163">
          <cell r="D163">
            <v>1323000000</v>
          </cell>
          <cell r="E163">
            <v>2001</v>
          </cell>
        </row>
        <row r="164">
          <cell r="D164">
            <v>648000000</v>
          </cell>
          <cell r="E164">
            <v>2001</v>
          </cell>
        </row>
        <row r="165">
          <cell r="D165">
            <v>1440000000</v>
          </cell>
          <cell r="E165">
            <v>2001</v>
          </cell>
        </row>
        <row r="166">
          <cell r="D166">
            <v>787500000</v>
          </cell>
          <cell r="E166">
            <v>2001</v>
          </cell>
        </row>
        <row r="167">
          <cell r="D167">
            <v>700000000</v>
          </cell>
          <cell r="E167">
            <v>2001</v>
          </cell>
        </row>
        <row r="168">
          <cell r="D168">
            <v>536747180</v>
          </cell>
          <cell r="E168">
            <v>2001</v>
          </cell>
        </row>
        <row r="169">
          <cell r="D169">
            <v>600000000</v>
          </cell>
          <cell r="E169">
            <v>2001</v>
          </cell>
        </row>
        <row r="170">
          <cell r="D170">
            <v>243750000</v>
          </cell>
          <cell r="E170">
            <v>2001</v>
          </cell>
        </row>
        <row r="171">
          <cell r="D171">
            <v>787500000</v>
          </cell>
          <cell r="E171">
            <v>2001</v>
          </cell>
        </row>
        <row r="172">
          <cell r="D172">
            <v>4613760526</v>
          </cell>
          <cell r="E172">
            <v>2001</v>
          </cell>
        </row>
        <row r="173">
          <cell r="D173">
            <v>832000000</v>
          </cell>
          <cell r="E173">
            <v>2001</v>
          </cell>
        </row>
        <row r="174">
          <cell r="D174">
            <v>187200000</v>
          </cell>
          <cell r="E174">
            <v>2001</v>
          </cell>
        </row>
        <row r="175">
          <cell r="D175">
            <v>525000000</v>
          </cell>
          <cell r="E175">
            <v>2001</v>
          </cell>
        </row>
        <row r="176">
          <cell r="D176">
            <v>1115572260</v>
          </cell>
          <cell r="E176">
            <v>2001</v>
          </cell>
        </row>
        <row r="177">
          <cell r="D177">
            <v>537600000</v>
          </cell>
          <cell r="E177">
            <v>2001</v>
          </cell>
        </row>
        <row r="178">
          <cell r="D178">
            <v>1229280000</v>
          </cell>
          <cell r="E178">
            <v>2001</v>
          </cell>
        </row>
        <row r="179">
          <cell r="D179">
            <v>180000000</v>
          </cell>
          <cell r="E179">
            <v>2001</v>
          </cell>
        </row>
        <row r="180">
          <cell r="D180">
            <v>975000000</v>
          </cell>
          <cell r="E180">
            <v>2001</v>
          </cell>
        </row>
        <row r="181">
          <cell r="D181">
            <v>472500000</v>
          </cell>
          <cell r="E181">
            <v>2001</v>
          </cell>
        </row>
        <row r="182">
          <cell r="D182">
            <v>337500000</v>
          </cell>
          <cell r="E182">
            <v>2001</v>
          </cell>
        </row>
        <row r="183">
          <cell r="D183">
            <v>441000000</v>
          </cell>
          <cell r="E183">
            <v>2001</v>
          </cell>
        </row>
        <row r="184">
          <cell r="D184">
            <v>472500000</v>
          </cell>
          <cell r="E184">
            <v>2001</v>
          </cell>
        </row>
        <row r="185">
          <cell r="D185">
            <v>405000000</v>
          </cell>
          <cell r="E185">
            <v>2001</v>
          </cell>
        </row>
        <row r="186">
          <cell r="D186">
            <v>810000000</v>
          </cell>
          <cell r="E186">
            <v>2001</v>
          </cell>
        </row>
        <row r="187">
          <cell r="D187">
            <v>47250000</v>
          </cell>
          <cell r="E187">
            <v>2001</v>
          </cell>
        </row>
        <row r="188">
          <cell r="D188">
            <v>378000000</v>
          </cell>
          <cell r="E188">
            <v>2001</v>
          </cell>
        </row>
        <row r="189">
          <cell r="D189">
            <v>270000000</v>
          </cell>
          <cell r="E189">
            <v>2001</v>
          </cell>
        </row>
        <row r="190">
          <cell r="D190">
            <v>453375000</v>
          </cell>
          <cell r="E190">
            <v>2001</v>
          </cell>
        </row>
        <row r="191">
          <cell r="D191">
            <v>1215000000</v>
          </cell>
          <cell r="E191">
            <v>2001</v>
          </cell>
        </row>
        <row r="192">
          <cell r="D192">
            <v>239400000</v>
          </cell>
          <cell r="E192">
            <v>2001</v>
          </cell>
        </row>
        <row r="193">
          <cell r="D193">
            <v>1770000000</v>
          </cell>
          <cell r="E193">
            <v>2001</v>
          </cell>
        </row>
        <row r="194">
          <cell r="D194">
            <v>1248000000</v>
          </cell>
          <cell r="E194">
            <v>2001</v>
          </cell>
        </row>
        <row r="195">
          <cell r="D195">
            <v>6600000000</v>
          </cell>
          <cell r="E195">
            <v>2004</v>
          </cell>
        </row>
        <row r="196">
          <cell r="D196">
            <v>841500000</v>
          </cell>
          <cell r="E196">
            <v>2006</v>
          </cell>
        </row>
        <row r="197">
          <cell r="D197">
            <v>7560000000</v>
          </cell>
          <cell r="E197">
            <v>1993</v>
          </cell>
        </row>
        <row r="198">
          <cell r="D198">
            <v>945000000</v>
          </cell>
          <cell r="E198">
            <v>1996</v>
          </cell>
        </row>
        <row r="199">
          <cell r="D199">
            <v>286650000</v>
          </cell>
          <cell r="E199">
            <v>1942</v>
          </cell>
        </row>
        <row r="200">
          <cell r="D200">
            <v>420000000</v>
          </cell>
          <cell r="E200">
            <v>1980</v>
          </cell>
        </row>
        <row r="201">
          <cell r="D201">
            <v>128000000</v>
          </cell>
          <cell r="E201">
            <v>2006</v>
          </cell>
        </row>
        <row r="202">
          <cell r="D202">
            <v>7177500000</v>
          </cell>
          <cell r="E202">
            <v>2005</v>
          </cell>
        </row>
        <row r="203">
          <cell r="D203">
            <v>336000000</v>
          </cell>
          <cell r="E203">
            <v>2006</v>
          </cell>
        </row>
        <row r="204">
          <cell r="D204">
            <v>294000000</v>
          </cell>
          <cell r="E204">
            <v>1942</v>
          </cell>
        </row>
        <row r="205">
          <cell r="D205">
            <v>504000000</v>
          </cell>
          <cell r="E205">
            <v>1980</v>
          </cell>
        </row>
        <row r="206">
          <cell r="D206">
            <v>150000000</v>
          </cell>
          <cell r="E206">
            <v>2006</v>
          </cell>
        </row>
        <row r="207">
          <cell r="D207">
            <v>162000000</v>
          </cell>
          <cell r="E207">
            <v>1999</v>
          </cell>
        </row>
        <row r="208">
          <cell r="D208">
            <v>841500000</v>
          </cell>
          <cell r="E208">
            <v>2006</v>
          </cell>
        </row>
        <row r="209">
          <cell r="D209">
            <v>2772000000</v>
          </cell>
          <cell r="E209">
            <v>1987</v>
          </cell>
        </row>
        <row r="210">
          <cell r="D210">
            <v>308000000</v>
          </cell>
          <cell r="E210">
            <v>1999</v>
          </cell>
        </row>
        <row r="211">
          <cell r="D211">
            <v>1155000000</v>
          </cell>
          <cell r="E211">
            <v>2003</v>
          </cell>
        </row>
        <row r="212">
          <cell r="D212">
            <v>374400000</v>
          </cell>
          <cell r="E212">
            <v>2000</v>
          </cell>
        </row>
        <row r="213">
          <cell r="D213">
            <v>345600000</v>
          </cell>
          <cell r="E213">
            <v>1981</v>
          </cell>
        </row>
        <row r="214">
          <cell r="D214">
            <v>3168000000</v>
          </cell>
          <cell r="E214">
            <v>1999</v>
          </cell>
        </row>
        <row r="215">
          <cell r="D215">
            <v>388800000</v>
          </cell>
          <cell r="E215">
            <v>1990</v>
          </cell>
        </row>
        <row r="216">
          <cell r="D216">
            <v>648000000</v>
          </cell>
          <cell r="E216">
            <v>1990</v>
          </cell>
        </row>
        <row r="217">
          <cell r="D217">
            <v>374400000</v>
          </cell>
          <cell r="E217">
            <v>2000</v>
          </cell>
        </row>
        <row r="218">
          <cell r="D218">
            <v>388800000</v>
          </cell>
          <cell r="E218">
            <v>1990</v>
          </cell>
        </row>
        <row r="219">
          <cell r="D219">
            <v>345600000</v>
          </cell>
          <cell r="E219">
            <v>1987</v>
          </cell>
        </row>
        <row r="220">
          <cell r="D220">
            <v>486000000</v>
          </cell>
          <cell r="E220">
            <v>1991</v>
          </cell>
        </row>
        <row r="221">
          <cell r="D221">
            <v>230400000</v>
          </cell>
          <cell r="E221">
            <v>2006</v>
          </cell>
        </row>
        <row r="222">
          <cell r="D222">
            <v>378000000</v>
          </cell>
          <cell r="E222">
            <v>1990</v>
          </cell>
        </row>
        <row r="223">
          <cell r="D223">
            <v>576000000</v>
          </cell>
          <cell r="E223">
            <v>1987</v>
          </cell>
        </row>
        <row r="224">
          <cell r="D224">
            <v>432000000</v>
          </cell>
          <cell r="E224">
            <v>2006</v>
          </cell>
        </row>
        <row r="225">
          <cell r="D225">
            <v>226800000</v>
          </cell>
          <cell r="E225">
            <v>1992</v>
          </cell>
        </row>
        <row r="226">
          <cell r="D226">
            <v>324000000</v>
          </cell>
          <cell r="E226">
            <v>2006</v>
          </cell>
        </row>
        <row r="227">
          <cell r="D227">
            <v>140400000</v>
          </cell>
          <cell r="E227">
            <v>2004</v>
          </cell>
        </row>
        <row r="228">
          <cell r="D228">
            <v>396000000</v>
          </cell>
          <cell r="E228">
            <v>1982</v>
          </cell>
        </row>
        <row r="229">
          <cell r="D229">
            <v>140400000</v>
          </cell>
          <cell r="E229">
            <v>2004</v>
          </cell>
        </row>
        <row r="230">
          <cell r="D230">
            <v>720000000</v>
          </cell>
          <cell r="E230">
            <v>2006</v>
          </cell>
        </row>
        <row r="231">
          <cell r="D231">
            <v>384000000</v>
          </cell>
          <cell r="E231">
            <v>2005</v>
          </cell>
        </row>
        <row r="232">
          <cell r="D232">
            <v>140400000</v>
          </cell>
          <cell r="E232">
            <v>2004</v>
          </cell>
        </row>
        <row r="233">
          <cell r="D233">
            <v>135000000</v>
          </cell>
          <cell r="E233">
            <v>1996</v>
          </cell>
        </row>
        <row r="234">
          <cell r="D234">
            <v>252000000</v>
          </cell>
          <cell r="E234">
            <v>1995</v>
          </cell>
        </row>
        <row r="235">
          <cell r="D235">
            <v>336000000</v>
          </cell>
          <cell r="E235">
            <v>1978</v>
          </cell>
        </row>
        <row r="236">
          <cell r="D236">
            <v>528000000</v>
          </cell>
          <cell r="E236">
            <v>1990</v>
          </cell>
        </row>
        <row r="237">
          <cell r="D237">
            <v>180000000</v>
          </cell>
          <cell r="E237">
            <v>1990</v>
          </cell>
        </row>
        <row r="238">
          <cell r="D238">
            <v>252000000</v>
          </cell>
          <cell r="E238">
            <v>1984</v>
          </cell>
        </row>
        <row r="239">
          <cell r="D239">
            <v>486000000</v>
          </cell>
          <cell r="E239">
            <v>1986</v>
          </cell>
        </row>
        <row r="240">
          <cell r="D240">
            <v>1848000000</v>
          </cell>
          <cell r="E240">
            <v>1988</v>
          </cell>
        </row>
        <row r="241">
          <cell r="D241">
            <v>422400000</v>
          </cell>
          <cell r="E241">
            <v>1981</v>
          </cell>
        </row>
        <row r="242">
          <cell r="D242">
            <v>1320000000</v>
          </cell>
          <cell r="E242">
            <v>2006</v>
          </cell>
        </row>
        <row r="243">
          <cell r="D243">
            <v>528000000</v>
          </cell>
          <cell r="E243">
            <v>2006</v>
          </cell>
        </row>
        <row r="244">
          <cell r="D244">
            <v>2125200000</v>
          </cell>
          <cell r="E244">
            <v>1987</v>
          </cell>
        </row>
        <row r="245">
          <cell r="D245">
            <v>841500000</v>
          </cell>
          <cell r="E245">
            <v>2004</v>
          </cell>
        </row>
        <row r="246">
          <cell r="D246">
            <v>495000000</v>
          </cell>
          <cell r="E246">
            <v>2001</v>
          </cell>
        </row>
        <row r="247">
          <cell r="D247">
            <v>2059200000</v>
          </cell>
          <cell r="E247">
            <v>2004</v>
          </cell>
        </row>
        <row r="248">
          <cell r="D248">
            <v>495000000</v>
          </cell>
          <cell r="E248">
            <v>2001</v>
          </cell>
        </row>
        <row r="249">
          <cell r="D249">
            <v>841500000</v>
          </cell>
          <cell r="E249">
            <v>2004</v>
          </cell>
        </row>
        <row r="250">
          <cell r="D250">
            <v>150000000</v>
          </cell>
          <cell r="E250">
            <v>2006</v>
          </cell>
        </row>
        <row r="251">
          <cell r="D251">
            <v>1750542695.4095719</v>
          </cell>
          <cell r="E251">
            <v>2007</v>
          </cell>
        </row>
        <row r="252">
          <cell r="D252">
            <v>1797674273.4540961</v>
          </cell>
          <cell r="E252">
            <v>2007</v>
          </cell>
        </row>
        <row r="253">
          <cell r="D253">
            <v>2826398290.872139</v>
          </cell>
          <cell r="E253">
            <v>2007</v>
          </cell>
        </row>
        <row r="254">
          <cell r="D254">
            <v>1990033077.2583308</v>
          </cell>
          <cell r="E254">
            <v>2007</v>
          </cell>
        </row>
        <row r="255">
          <cell r="D255">
            <v>2194386304.3273997</v>
          </cell>
          <cell r="E255">
            <v>2007</v>
          </cell>
        </row>
        <row r="256">
          <cell r="D256">
            <v>5037798091.3787003</v>
          </cell>
          <cell r="E256">
            <v>2007</v>
          </cell>
        </row>
        <row r="257">
          <cell r="D257">
            <v>1259881574.9739072</v>
          </cell>
          <cell r="E257">
            <v>2007</v>
          </cell>
        </row>
        <row r="258">
          <cell r="D258">
            <v>1445197841.9462903</v>
          </cell>
          <cell r="E258">
            <v>2007</v>
          </cell>
        </row>
        <row r="259">
          <cell r="D259">
            <v>3995337645.1723862</v>
          </cell>
          <cell r="E259">
            <v>2007</v>
          </cell>
        </row>
        <row r="260">
          <cell r="D260">
            <v>92623120.774719015</v>
          </cell>
          <cell r="E260">
            <v>2007</v>
          </cell>
        </row>
        <row r="261">
          <cell r="D261">
            <v>9470100204.3266697</v>
          </cell>
          <cell r="E261">
            <v>2007</v>
          </cell>
        </row>
        <row r="262">
          <cell r="D262">
            <v>1495355556.08446</v>
          </cell>
          <cell r="E262">
            <v>2007</v>
          </cell>
        </row>
        <row r="263">
          <cell r="D263">
            <v>1601590326.3398361</v>
          </cell>
          <cell r="E263">
            <v>2007</v>
          </cell>
        </row>
        <row r="264">
          <cell r="D264">
            <v>1236351311.7744997</v>
          </cell>
          <cell r="E264">
            <v>2007</v>
          </cell>
        </row>
        <row r="265">
          <cell r="D265">
            <v>1286184534.3929939</v>
          </cell>
          <cell r="E265">
            <v>2007</v>
          </cell>
        </row>
        <row r="266">
          <cell r="D266">
            <v>3309782443.4143963</v>
          </cell>
          <cell r="E266">
            <v>2007</v>
          </cell>
        </row>
        <row r="267">
          <cell r="D267">
            <v>2746245475.7522197</v>
          </cell>
          <cell r="E267">
            <v>2007</v>
          </cell>
        </row>
        <row r="268">
          <cell r="D268">
            <v>2013774833.48155</v>
          </cell>
          <cell r="E268">
            <v>2007</v>
          </cell>
        </row>
        <row r="269">
          <cell r="D269">
            <v>5825831760.3196297</v>
          </cell>
          <cell r="E269">
            <v>2007</v>
          </cell>
        </row>
        <row r="270">
          <cell r="D270">
            <v>1143090531.604764</v>
          </cell>
          <cell r="E270">
            <v>2007</v>
          </cell>
        </row>
        <row r="271">
          <cell r="D271">
            <v>364880737.00996</v>
          </cell>
          <cell r="E271">
            <v>2007</v>
          </cell>
        </row>
        <row r="272">
          <cell r="D272">
            <v>2746245475.7522197</v>
          </cell>
          <cell r="E272">
            <v>2007</v>
          </cell>
        </row>
        <row r="273">
          <cell r="D273">
            <v>789287288.45564878</v>
          </cell>
          <cell r="E273">
            <v>2007</v>
          </cell>
        </row>
        <row r="274">
          <cell r="D274">
            <v>677119699.41373801</v>
          </cell>
          <cell r="E274">
            <v>2007</v>
          </cell>
        </row>
        <row r="275">
          <cell r="D275">
            <v>789287288.44000006</v>
          </cell>
          <cell r="E275">
            <v>2007</v>
          </cell>
        </row>
        <row r="276">
          <cell r="D276">
            <v>786808471.61551905</v>
          </cell>
          <cell r="E276">
            <v>2007</v>
          </cell>
        </row>
        <row r="277">
          <cell r="D277">
            <v>732909624.99453104</v>
          </cell>
          <cell r="E277">
            <v>2007</v>
          </cell>
        </row>
        <row r="278">
          <cell r="D278">
            <v>646450700.572227</v>
          </cell>
          <cell r="E278">
            <v>2007</v>
          </cell>
        </row>
        <row r="279">
          <cell r="D279">
            <v>680558937.49492168</v>
          </cell>
          <cell r="E279">
            <v>2007</v>
          </cell>
        </row>
        <row r="280">
          <cell r="D280">
            <v>631947584.81671309</v>
          </cell>
          <cell r="E280">
            <v>2007</v>
          </cell>
        </row>
        <row r="281">
          <cell r="D281">
            <v>659658905.78583896</v>
          </cell>
          <cell r="E281">
            <v>2007</v>
          </cell>
        </row>
        <row r="282">
          <cell r="D282">
            <v>667654574.73438203</v>
          </cell>
          <cell r="E282">
            <v>2007</v>
          </cell>
        </row>
        <row r="283">
          <cell r="D283">
            <v>705972610.72970796</v>
          </cell>
          <cell r="E283">
            <v>2007</v>
          </cell>
        </row>
        <row r="284">
          <cell r="D284">
            <v>779831709.96329999</v>
          </cell>
          <cell r="E284">
            <v>2007</v>
          </cell>
        </row>
        <row r="285">
          <cell r="D285">
            <v>890878662.61464095</v>
          </cell>
          <cell r="E285">
            <v>2007</v>
          </cell>
        </row>
        <row r="286">
          <cell r="D286">
            <v>786272302.10877895</v>
          </cell>
          <cell r="E286">
            <v>2007</v>
          </cell>
        </row>
        <row r="287">
          <cell r="D287">
            <v>695109994.81529498</v>
          </cell>
          <cell r="E287">
            <v>2007</v>
          </cell>
        </row>
        <row r="288">
          <cell r="D288">
            <v>929480817.58420205</v>
          </cell>
          <cell r="E288">
            <v>2007</v>
          </cell>
        </row>
        <row r="289">
          <cell r="D289">
            <v>738816590.76175904</v>
          </cell>
          <cell r="E289">
            <v>2007</v>
          </cell>
        </row>
        <row r="290">
          <cell r="D290">
            <v>1400963703.44068</v>
          </cell>
          <cell r="E290">
            <v>2015</v>
          </cell>
        </row>
        <row r="291">
          <cell r="D291">
            <v>1606819122.6242001</v>
          </cell>
          <cell r="E291">
            <v>2007</v>
          </cell>
        </row>
        <row r="292">
          <cell r="D292">
            <v>966122240.69814003</v>
          </cell>
          <cell r="E292">
            <v>2007</v>
          </cell>
        </row>
        <row r="293">
          <cell r="D293">
            <v>1327353361.6165369</v>
          </cell>
          <cell r="E293">
            <v>2007</v>
          </cell>
        </row>
        <row r="294">
          <cell r="D294">
            <v>6847118208.5808697</v>
          </cell>
          <cell r="E294">
            <v>2007</v>
          </cell>
        </row>
        <row r="295">
          <cell r="D295">
            <v>2864585047.9665399</v>
          </cell>
          <cell r="E295">
            <v>2007</v>
          </cell>
        </row>
        <row r="296">
          <cell r="D296">
            <v>1327353361.6165369</v>
          </cell>
          <cell r="E296">
            <v>2007</v>
          </cell>
        </row>
        <row r="297">
          <cell r="D297">
            <v>1327353361.6165369</v>
          </cell>
          <cell r="E297">
            <v>2007</v>
          </cell>
        </row>
        <row r="298">
          <cell r="D298">
            <v>1327353361.6165369</v>
          </cell>
          <cell r="E298">
            <v>2007</v>
          </cell>
        </row>
        <row r="299">
          <cell r="D299">
            <v>1327353361.6165369</v>
          </cell>
          <cell r="E299">
            <v>2007</v>
          </cell>
        </row>
        <row r="300">
          <cell r="D300">
            <v>1110059695.6493311</v>
          </cell>
          <cell r="E300">
            <v>2007</v>
          </cell>
        </row>
        <row r="301">
          <cell r="D301">
            <v>1327353361.6165369</v>
          </cell>
          <cell r="E301">
            <v>2007</v>
          </cell>
        </row>
        <row r="302">
          <cell r="D302">
            <v>636337766.08424675</v>
          </cell>
          <cell r="E302">
            <v>2007</v>
          </cell>
        </row>
        <row r="303">
          <cell r="D303">
            <v>837379143.13253343</v>
          </cell>
          <cell r="E303">
            <v>2007</v>
          </cell>
        </row>
        <row r="304">
          <cell r="D304">
            <v>4984557066.1999998</v>
          </cell>
          <cell r="E304">
            <v>2007</v>
          </cell>
        </row>
        <row r="305">
          <cell r="D305">
            <v>3783819547.1500001</v>
          </cell>
          <cell r="E305">
            <v>2007</v>
          </cell>
        </row>
        <row r="306">
          <cell r="D306">
            <v>749497417.32000005</v>
          </cell>
          <cell r="E306">
            <v>2007</v>
          </cell>
        </row>
        <row r="307">
          <cell r="D307">
            <v>1012401500</v>
          </cell>
          <cell r="E307">
            <v>2007</v>
          </cell>
        </row>
        <row r="308">
          <cell r="D308">
            <v>14991856876.784245</v>
          </cell>
          <cell r="E308">
            <v>2007</v>
          </cell>
        </row>
        <row r="309">
          <cell r="D309">
            <v>1004635245.0665743</v>
          </cell>
          <cell r="E309">
            <v>2007</v>
          </cell>
        </row>
        <row r="310">
          <cell r="D310">
            <v>3087425688.1593609</v>
          </cell>
          <cell r="E310">
            <v>2007</v>
          </cell>
        </row>
        <row r="311">
          <cell r="D311">
            <v>2113731899.5999999</v>
          </cell>
          <cell r="E311">
            <v>2007</v>
          </cell>
        </row>
        <row r="312">
          <cell r="D312">
            <v>29986611460</v>
          </cell>
          <cell r="E312">
            <v>2008</v>
          </cell>
        </row>
        <row r="313">
          <cell r="D313">
            <v>8726284111.1459866</v>
          </cell>
          <cell r="E313">
            <v>2008</v>
          </cell>
        </row>
        <row r="314">
          <cell r="D314">
            <v>5674612893</v>
          </cell>
          <cell r="E314">
            <v>2008</v>
          </cell>
        </row>
        <row r="315">
          <cell r="D315">
            <v>1685204437</v>
          </cell>
          <cell r="E315">
            <v>2008</v>
          </cell>
        </row>
        <row r="316">
          <cell r="D316">
            <v>1969256837</v>
          </cell>
          <cell r="E316">
            <v>2008</v>
          </cell>
        </row>
        <row r="317">
          <cell r="D317">
            <v>10544570566</v>
          </cell>
          <cell r="E317">
            <v>2008</v>
          </cell>
        </row>
        <row r="318">
          <cell r="D318">
            <v>5288983329</v>
          </cell>
          <cell r="E318">
            <v>2008</v>
          </cell>
        </row>
        <row r="319">
          <cell r="D319">
            <v>711641781</v>
          </cell>
          <cell r="E319">
            <v>2008</v>
          </cell>
        </row>
        <row r="320">
          <cell r="D320">
            <v>4998589477</v>
          </cell>
          <cell r="E320">
            <v>2008</v>
          </cell>
        </row>
        <row r="321">
          <cell r="D321">
            <v>829088158</v>
          </cell>
          <cell r="E321">
            <v>2008</v>
          </cell>
        </row>
        <row r="322">
          <cell r="D322">
            <v>250000000</v>
          </cell>
          <cell r="E322">
            <v>2008</v>
          </cell>
        </row>
        <row r="323">
          <cell r="D323">
            <v>5108967559.5763826</v>
          </cell>
          <cell r="E323">
            <v>2008</v>
          </cell>
        </row>
        <row r="324">
          <cell r="D324">
            <v>2130596812.9205101</v>
          </cell>
          <cell r="E324">
            <v>2008</v>
          </cell>
        </row>
        <row r="325">
          <cell r="D325">
            <v>837796595</v>
          </cell>
          <cell r="E325">
            <v>2008</v>
          </cell>
        </row>
        <row r="326">
          <cell r="D326">
            <v>523294499</v>
          </cell>
          <cell r="E326">
            <v>2008</v>
          </cell>
        </row>
        <row r="327">
          <cell r="D327">
            <v>498235979.05180186</v>
          </cell>
          <cell r="E327">
            <v>2008</v>
          </cell>
        </row>
        <row r="328">
          <cell r="D328">
            <v>400080843</v>
          </cell>
          <cell r="E328">
            <v>2008</v>
          </cell>
        </row>
        <row r="329">
          <cell r="D329">
            <v>326364200</v>
          </cell>
          <cell r="E329">
            <v>2008</v>
          </cell>
        </row>
        <row r="330">
          <cell r="D330">
            <v>22133964474</v>
          </cell>
          <cell r="E330">
            <v>2009</v>
          </cell>
        </row>
        <row r="331">
          <cell r="D331">
            <v>22007615819</v>
          </cell>
          <cell r="E331">
            <v>2009</v>
          </cell>
        </row>
        <row r="332">
          <cell r="D332">
            <v>530573293</v>
          </cell>
          <cell r="E332">
            <v>2009</v>
          </cell>
        </row>
        <row r="333">
          <cell r="D333">
            <v>3574205433</v>
          </cell>
          <cell r="E333">
            <v>2009</v>
          </cell>
        </row>
        <row r="334">
          <cell r="D334">
            <v>1200224056</v>
          </cell>
          <cell r="E334">
            <v>2009</v>
          </cell>
        </row>
        <row r="335">
          <cell r="D335">
            <v>20917123303</v>
          </cell>
          <cell r="E335">
            <v>2010</v>
          </cell>
        </row>
        <row r="336">
          <cell r="D336">
            <v>1977632629</v>
          </cell>
          <cell r="E336">
            <v>2010</v>
          </cell>
        </row>
        <row r="337">
          <cell r="D337">
            <v>1192070199</v>
          </cell>
          <cell r="E337">
            <v>2010</v>
          </cell>
        </row>
        <row r="338">
          <cell r="D338">
            <v>2978274268.4109097</v>
          </cell>
          <cell r="E338">
            <v>2011</v>
          </cell>
        </row>
        <row r="339">
          <cell r="D339">
            <v>1759387701.9008303</v>
          </cell>
          <cell r="E339">
            <v>2011</v>
          </cell>
        </row>
        <row r="340">
          <cell r="D340">
            <v>1487022334.5887914</v>
          </cell>
          <cell r="E340">
            <v>2011</v>
          </cell>
        </row>
        <row r="341">
          <cell r="D341">
            <v>3557254334.12431</v>
          </cell>
          <cell r="E341">
            <v>2011</v>
          </cell>
        </row>
        <row r="342">
          <cell r="D342">
            <v>3257404911.7153997</v>
          </cell>
          <cell r="E342">
            <v>2011</v>
          </cell>
        </row>
        <row r="343">
          <cell r="D343">
            <v>3841002466.5544596</v>
          </cell>
          <cell r="E343">
            <v>2011</v>
          </cell>
        </row>
        <row r="344">
          <cell r="D344">
            <v>672970829.95844185</v>
          </cell>
          <cell r="E344">
            <v>2011</v>
          </cell>
        </row>
        <row r="345">
          <cell r="D345">
            <v>720415026.35516441</v>
          </cell>
          <cell r="E345">
            <v>2011</v>
          </cell>
        </row>
        <row r="346">
          <cell r="D346">
            <v>4609392818.7695818</v>
          </cell>
          <cell r="E346">
            <v>2011</v>
          </cell>
        </row>
        <row r="347">
          <cell r="D347">
            <v>666142171.96289265</v>
          </cell>
          <cell r="E347">
            <v>2011</v>
          </cell>
        </row>
        <row r="348">
          <cell r="D348">
            <v>1650335467.45</v>
          </cell>
          <cell r="E348">
            <v>2011</v>
          </cell>
        </row>
        <row r="349">
          <cell r="D349">
            <v>562181911.29999995</v>
          </cell>
          <cell r="E349">
            <v>2011</v>
          </cell>
        </row>
        <row r="350">
          <cell r="D350">
            <v>16031900</v>
          </cell>
          <cell r="E350">
            <v>2011</v>
          </cell>
        </row>
        <row r="351">
          <cell r="D351">
            <v>56100500</v>
          </cell>
          <cell r="E351">
            <v>2011</v>
          </cell>
        </row>
        <row r="352">
          <cell r="D352">
            <v>56964700</v>
          </cell>
          <cell r="E352">
            <v>2011</v>
          </cell>
        </row>
        <row r="353">
          <cell r="D353">
            <v>1798246935</v>
          </cell>
          <cell r="E353">
            <v>2011</v>
          </cell>
        </row>
        <row r="354">
          <cell r="D354">
            <v>84556900</v>
          </cell>
          <cell r="E354">
            <v>2011</v>
          </cell>
        </row>
        <row r="355">
          <cell r="D355">
            <v>3830922576</v>
          </cell>
          <cell r="E355">
            <v>2011</v>
          </cell>
        </row>
        <row r="356">
          <cell r="D356">
            <v>1722640846.3199999</v>
          </cell>
          <cell r="E356">
            <v>2011</v>
          </cell>
        </row>
        <row r="357">
          <cell r="D357">
            <v>6948665692.3699999</v>
          </cell>
          <cell r="E357">
            <v>2011</v>
          </cell>
        </row>
        <row r="358">
          <cell r="D358">
            <v>7667608917.5499992</v>
          </cell>
          <cell r="E358">
            <v>2011</v>
          </cell>
        </row>
        <row r="359">
          <cell r="D359">
            <v>8087400</v>
          </cell>
          <cell r="E359">
            <v>2012</v>
          </cell>
        </row>
        <row r="360">
          <cell r="D360">
            <v>1131370695.543797</v>
          </cell>
          <cell r="E360">
            <v>2012</v>
          </cell>
        </row>
        <row r="361">
          <cell r="D361">
            <v>1636229063.0043535</v>
          </cell>
          <cell r="E361">
            <v>2012</v>
          </cell>
        </row>
        <row r="362">
          <cell r="D362">
            <v>1136545521.504935</v>
          </cell>
          <cell r="E362">
            <v>2012</v>
          </cell>
        </row>
        <row r="363">
          <cell r="D363">
            <v>1244781279.9893248</v>
          </cell>
          <cell r="E363">
            <v>2012</v>
          </cell>
        </row>
        <row r="364">
          <cell r="D364">
            <v>2776676476.1366801</v>
          </cell>
          <cell r="E364">
            <v>2012</v>
          </cell>
        </row>
        <row r="365">
          <cell r="D365">
            <v>1560463250.3707366</v>
          </cell>
          <cell r="E365">
            <v>2012</v>
          </cell>
        </row>
        <row r="366">
          <cell r="D366">
            <v>410267652.64856702</v>
          </cell>
          <cell r="E366">
            <v>2012</v>
          </cell>
        </row>
        <row r="367">
          <cell r="D367">
            <v>3314762916.41675</v>
          </cell>
          <cell r="E367">
            <v>2012</v>
          </cell>
        </row>
        <row r="368">
          <cell r="D368">
            <v>3138518318.2668023</v>
          </cell>
          <cell r="E368">
            <v>2012</v>
          </cell>
        </row>
        <row r="369">
          <cell r="D369">
            <v>3248767238.5415602</v>
          </cell>
          <cell r="E369">
            <v>2012</v>
          </cell>
        </row>
        <row r="370">
          <cell r="D370">
            <v>1467969946.0446103</v>
          </cell>
          <cell r="E370">
            <v>2012</v>
          </cell>
        </row>
        <row r="371">
          <cell r="D371">
            <v>3429496091.4810162</v>
          </cell>
          <cell r="E371">
            <v>2012</v>
          </cell>
        </row>
        <row r="372">
          <cell r="D372">
            <v>2671864502.9721117</v>
          </cell>
          <cell r="E372">
            <v>2012</v>
          </cell>
        </row>
        <row r="373">
          <cell r="D373">
            <v>4766925638.6591597</v>
          </cell>
          <cell r="E373">
            <v>2012</v>
          </cell>
        </row>
        <row r="374">
          <cell r="D374">
            <v>1598810500.7151661</v>
          </cell>
          <cell r="E374">
            <v>2012</v>
          </cell>
        </row>
        <row r="375">
          <cell r="D375">
            <v>1899132200.4191258</v>
          </cell>
          <cell r="E375">
            <v>2012</v>
          </cell>
        </row>
        <row r="376">
          <cell r="D376">
            <v>1571078911.2345409</v>
          </cell>
          <cell r="E376">
            <v>2012</v>
          </cell>
        </row>
        <row r="377">
          <cell r="D377">
            <v>8033301761.4229603</v>
          </cell>
          <cell r="E377">
            <v>2012</v>
          </cell>
        </row>
        <row r="378">
          <cell r="D378">
            <v>1597174170.3423619</v>
          </cell>
          <cell r="E378">
            <v>2012</v>
          </cell>
        </row>
        <row r="379">
          <cell r="D379">
            <v>1462268233.7791154</v>
          </cell>
          <cell r="E379">
            <v>2012</v>
          </cell>
        </row>
        <row r="380">
          <cell r="D380">
            <v>1593664584.2917645</v>
          </cell>
          <cell r="E380">
            <v>2012</v>
          </cell>
        </row>
        <row r="381">
          <cell r="D381">
            <v>1600078073.018373</v>
          </cell>
          <cell r="E381">
            <v>2012</v>
          </cell>
        </row>
        <row r="382">
          <cell r="D382">
            <v>1536783053.2370956</v>
          </cell>
          <cell r="E382">
            <v>2012</v>
          </cell>
        </row>
        <row r="383">
          <cell r="D383">
            <v>3289380516.7796202</v>
          </cell>
          <cell r="E383">
            <v>2012</v>
          </cell>
        </row>
        <row r="384">
          <cell r="D384">
            <v>11987663158.4603</v>
          </cell>
          <cell r="E384">
            <v>2012</v>
          </cell>
        </row>
        <row r="385">
          <cell r="D385">
            <v>3331381781.9313898</v>
          </cell>
          <cell r="E385">
            <v>2012</v>
          </cell>
        </row>
        <row r="386">
          <cell r="D386">
            <v>7204662185.0902042</v>
          </cell>
          <cell r="E386">
            <v>2012</v>
          </cell>
        </row>
        <row r="387">
          <cell r="D387">
            <v>1032348746.5314332</v>
          </cell>
          <cell r="E387">
            <v>2012</v>
          </cell>
        </row>
        <row r="388">
          <cell r="D388">
            <v>1145248023.880646</v>
          </cell>
          <cell r="E388">
            <v>2012</v>
          </cell>
        </row>
        <row r="389">
          <cell r="D389">
            <v>76019206.029997841</v>
          </cell>
          <cell r="E389">
            <v>2012</v>
          </cell>
        </row>
        <row r="390">
          <cell r="D390">
            <v>76115535.321222559</v>
          </cell>
          <cell r="E390">
            <v>2012</v>
          </cell>
        </row>
        <row r="391">
          <cell r="D391">
            <v>102755972.83967289</v>
          </cell>
          <cell r="E391">
            <v>2012</v>
          </cell>
        </row>
        <row r="392">
          <cell r="D392">
            <v>83626402.271583661</v>
          </cell>
          <cell r="E392">
            <v>2012</v>
          </cell>
        </row>
        <row r="393">
          <cell r="D393">
            <v>61843579.711400554</v>
          </cell>
          <cell r="E393">
            <v>2012</v>
          </cell>
        </row>
        <row r="394">
          <cell r="D394">
            <v>3375384144</v>
          </cell>
          <cell r="E394">
            <v>2012</v>
          </cell>
        </row>
        <row r="395">
          <cell r="D395">
            <v>3935487059</v>
          </cell>
          <cell r="E395">
            <v>2012</v>
          </cell>
        </row>
        <row r="396">
          <cell r="D396">
            <v>2219297579</v>
          </cell>
          <cell r="E396">
            <v>2013</v>
          </cell>
        </row>
        <row r="397">
          <cell r="D397">
            <v>1284742209</v>
          </cell>
          <cell r="E397">
            <v>2013</v>
          </cell>
        </row>
        <row r="398">
          <cell r="D398">
            <v>1749736768</v>
          </cell>
          <cell r="E398">
            <v>2013</v>
          </cell>
        </row>
        <row r="399">
          <cell r="D399">
            <v>1663779645</v>
          </cell>
          <cell r="E399">
            <v>2013</v>
          </cell>
        </row>
        <row r="400">
          <cell r="D400">
            <v>5337508027</v>
          </cell>
          <cell r="E400">
            <v>2013</v>
          </cell>
        </row>
        <row r="401">
          <cell r="D401">
            <v>3623464863</v>
          </cell>
          <cell r="E401">
            <v>2013</v>
          </cell>
        </row>
        <row r="402">
          <cell r="D402">
            <v>1768063472</v>
          </cell>
          <cell r="E402">
            <v>2013</v>
          </cell>
        </row>
        <row r="403">
          <cell r="D403">
            <v>1780990624</v>
          </cell>
          <cell r="E403">
            <v>2013</v>
          </cell>
        </row>
        <row r="404">
          <cell r="D404">
            <v>1721445175</v>
          </cell>
          <cell r="E404">
            <v>2013</v>
          </cell>
        </row>
        <row r="405">
          <cell r="D405">
            <v>3025459495</v>
          </cell>
          <cell r="E405">
            <v>2013</v>
          </cell>
        </row>
        <row r="406">
          <cell r="D406">
            <v>5749727762</v>
          </cell>
          <cell r="E406">
            <v>2013</v>
          </cell>
        </row>
        <row r="407">
          <cell r="D407">
            <v>716925612</v>
          </cell>
          <cell r="E407">
            <v>2013</v>
          </cell>
        </row>
        <row r="408">
          <cell r="D408">
            <v>1027221016</v>
          </cell>
          <cell r="E408">
            <v>2013</v>
          </cell>
        </row>
        <row r="409">
          <cell r="D409">
            <v>8623468047</v>
          </cell>
          <cell r="E409">
            <v>2013</v>
          </cell>
        </row>
        <row r="410">
          <cell r="D410">
            <v>2280941691</v>
          </cell>
          <cell r="E410">
            <v>2013</v>
          </cell>
        </row>
        <row r="411">
          <cell r="D411">
            <v>2104052688</v>
          </cell>
          <cell r="E411">
            <v>2013</v>
          </cell>
        </row>
        <row r="412">
          <cell r="D412">
            <v>1827236217</v>
          </cell>
          <cell r="E412">
            <v>2013</v>
          </cell>
        </row>
        <row r="413">
          <cell r="D413">
            <v>1701051417</v>
          </cell>
          <cell r="E413">
            <v>2013</v>
          </cell>
        </row>
        <row r="414">
          <cell r="D414">
            <v>1684357399</v>
          </cell>
          <cell r="E414">
            <v>2013</v>
          </cell>
        </row>
        <row r="415">
          <cell r="D415">
            <v>783907728</v>
          </cell>
          <cell r="E415">
            <v>2013</v>
          </cell>
        </row>
        <row r="416">
          <cell r="D416">
            <v>198785526</v>
          </cell>
          <cell r="E416">
            <v>2013</v>
          </cell>
        </row>
        <row r="417">
          <cell r="D417">
            <v>2229465896</v>
          </cell>
          <cell r="E417">
            <v>2013</v>
          </cell>
        </row>
        <row r="418">
          <cell r="D418">
            <v>195230504</v>
          </cell>
          <cell r="E418">
            <v>2013</v>
          </cell>
        </row>
        <row r="419">
          <cell r="D419">
            <v>272429048</v>
          </cell>
          <cell r="E419">
            <v>2014</v>
          </cell>
        </row>
        <row r="420">
          <cell r="D420">
            <v>2236254252</v>
          </cell>
          <cell r="E420">
            <v>2014</v>
          </cell>
        </row>
        <row r="421">
          <cell r="D421">
            <v>1858553044</v>
          </cell>
          <cell r="E421">
            <v>2014</v>
          </cell>
        </row>
        <row r="422">
          <cell r="D422">
            <v>1872278823</v>
          </cell>
          <cell r="E422">
            <v>2014</v>
          </cell>
        </row>
        <row r="423">
          <cell r="D423">
            <v>1212803223</v>
          </cell>
          <cell r="E423">
            <v>2014</v>
          </cell>
        </row>
        <row r="424">
          <cell r="D424">
            <v>197719954</v>
          </cell>
          <cell r="E424">
            <v>2014</v>
          </cell>
        </row>
        <row r="425">
          <cell r="D425">
            <v>197994103</v>
          </cell>
          <cell r="E425">
            <v>2014</v>
          </cell>
        </row>
        <row r="426">
          <cell r="D426">
            <v>187443170</v>
          </cell>
          <cell r="E426">
            <v>2014</v>
          </cell>
        </row>
        <row r="427">
          <cell r="D427">
            <v>1834435855</v>
          </cell>
          <cell r="E427">
            <v>2014</v>
          </cell>
        </row>
        <row r="428">
          <cell r="D428">
            <v>692444812</v>
          </cell>
          <cell r="E428">
            <v>2014</v>
          </cell>
        </row>
        <row r="429">
          <cell r="D429">
            <v>1894172066</v>
          </cell>
          <cell r="E429">
            <v>2014</v>
          </cell>
        </row>
        <row r="430">
          <cell r="D430">
            <v>5255870053</v>
          </cell>
          <cell r="E430">
            <v>2014</v>
          </cell>
        </row>
        <row r="431">
          <cell r="D431">
            <v>3769961879</v>
          </cell>
          <cell r="E431">
            <v>2014</v>
          </cell>
        </row>
        <row r="432">
          <cell r="D432">
            <v>1172323688</v>
          </cell>
          <cell r="E432">
            <v>2014</v>
          </cell>
        </row>
        <row r="433">
          <cell r="D433">
            <v>254080364</v>
          </cell>
          <cell r="E433">
            <v>2014</v>
          </cell>
        </row>
        <row r="434">
          <cell r="D434">
            <v>2410554234</v>
          </cell>
          <cell r="E434">
            <v>2014</v>
          </cell>
        </row>
        <row r="435">
          <cell r="D435">
            <v>1930134008</v>
          </cell>
          <cell r="E435">
            <v>2014</v>
          </cell>
        </row>
        <row r="436">
          <cell r="D436">
            <v>197942320</v>
          </cell>
          <cell r="E436">
            <v>2014</v>
          </cell>
        </row>
        <row r="437">
          <cell r="D437">
            <v>1927376842</v>
          </cell>
          <cell r="E437">
            <v>2014</v>
          </cell>
        </row>
        <row r="438">
          <cell r="D438">
            <v>321413975</v>
          </cell>
          <cell r="E438">
            <v>2014</v>
          </cell>
        </row>
        <row r="439">
          <cell r="D439">
            <v>1913817758</v>
          </cell>
          <cell r="E439">
            <v>2014</v>
          </cell>
        </row>
        <row r="440">
          <cell r="D440">
            <v>9827462391.6313477</v>
          </cell>
          <cell r="E440">
            <v>2014</v>
          </cell>
        </row>
        <row r="441">
          <cell r="D441">
            <v>1947872840</v>
          </cell>
          <cell r="E441">
            <v>2014</v>
          </cell>
        </row>
        <row r="442">
          <cell r="D442">
            <v>197462951</v>
          </cell>
          <cell r="E442">
            <v>2014</v>
          </cell>
        </row>
        <row r="443">
          <cell r="D443">
            <v>198146512</v>
          </cell>
          <cell r="E443">
            <v>2014</v>
          </cell>
        </row>
        <row r="444">
          <cell r="D444">
            <v>197600820</v>
          </cell>
          <cell r="E444">
            <v>2014</v>
          </cell>
        </row>
        <row r="445">
          <cell r="D445">
            <v>198334296</v>
          </cell>
          <cell r="E445">
            <v>2014</v>
          </cell>
        </row>
        <row r="446">
          <cell r="D446">
            <v>197935199</v>
          </cell>
          <cell r="E446">
            <v>2014</v>
          </cell>
        </row>
        <row r="447">
          <cell r="D447">
            <v>197798349</v>
          </cell>
          <cell r="E447">
            <v>2014</v>
          </cell>
        </row>
        <row r="448">
          <cell r="D448">
            <v>197815874</v>
          </cell>
          <cell r="E448">
            <v>2014</v>
          </cell>
        </row>
        <row r="449">
          <cell r="D449">
            <v>1914115810</v>
          </cell>
          <cell r="E449">
            <v>2014</v>
          </cell>
        </row>
        <row r="450">
          <cell r="D450">
            <v>446302277</v>
          </cell>
          <cell r="E450">
            <v>2014</v>
          </cell>
        </row>
        <row r="451">
          <cell r="D451">
            <v>371814177</v>
          </cell>
          <cell r="E451">
            <v>2014</v>
          </cell>
        </row>
        <row r="452">
          <cell r="D452">
            <v>197910872</v>
          </cell>
          <cell r="E452">
            <v>2014</v>
          </cell>
        </row>
        <row r="453">
          <cell r="D453">
            <v>197392348</v>
          </cell>
          <cell r="E453">
            <v>2014</v>
          </cell>
        </row>
        <row r="454">
          <cell r="D454">
            <v>197742059</v>
          </cell>
          <cell r="E454">
            <v>2014</v>
          </cell>
        </row>
        <row r="455">
          <cell r="D455">
            <v>197566438</v>
          </cell>
          <cell r="E455">
            <v>2014</v>
          </cell>
        </row>
        <row r="456">
          <cell r="D456">
            <v>197650648</v>
          </cell>
          <cell r="E456">
            <v>2014</v>
          </cell>
        </row>
        <row r="457">
          <cell r="D457">
            <v>197626838</v>
          </cell>
          <cell r="E457">
            <v>2014</v>
          </cell>
        </row>
        <row r="458">
          <cell r="D458">
            <v>196879677</v>
          </cell>
          <cell r="E458">
            <v>2014</v>
          </cell>
        </row>
        <row r="459">
          <cell r="D459">
            <v>197078483</v>
          </cell>
          <cell r="E459">
            <v>2014</v>
          </cell>
        </row>
        <row r="460">
          <cell r="D460">
            <v>197436525</v>
          </cell>
          <cell r="E460">
            <v>2014</v>
          </cell>
        </row>
        <row r="461">
          <cell r="D461">
            <v>197544440</v>
          </cell>
          <cell r="E461">
            <v>2014</v>
          </cell>
        </row>
        <row r="462">
          <cell r="D462">
            <v>192182044</v>
          </cell>
          <cell r="E462">
            <v>2014</v>
          </cell>
        </row>
        <row r="463">
          <cell r="D463">
            <v>187069610</v>
          </cell>
          <cell r="E463">
            <v>2014</v>
          </cell>
        </row>
        <row r="464">
          <cell r="D464">
            <v>197659444</v>
          </cell>
          <cell r="E464">
            <v>2014</v>
          </cell>
        </row>
        <row r="465">
          <cell r="D465">
            <v>196939048</v>
          </cell>
          <cell r="E465">
            <v>2014</v>
          </cell>
        </row>
        <row r="466">
          <cell r="D466">
            <v>198230943</v>
          </cell>
          <cell r="E466">
            <v>2014</v>
          </cell>
        </row>
        <row r="467">
          <cell r="D467">
            <v>197782386</v>
          </cell>
          <cell r="E467">
            <v>2014</v>
          </cell>
        </row>
        <row r="468">
          <cell r="D468">
            <v>197436838</v>
          </cell>
          <cell r="E468">
            <v>2014</v>
          </cell>
        </row>
        <row r="469">
          <cell r="D469">
            <v>1892921442</v>
          </cell>
          <cell r="E469">
            <v>2014</v>
          </cell>
        </row>
        <row r="470">
          <cell r="D470">
            <v>189452159</v>
          </cell>
          <cell r="E470">
            <v>2014</v>
          </cell>
        </row>
        <row r="471">
          <cell r="D471">
            <v>197613420</v>
          </cell>
          <cell r="E471">
            <v>2014</v>
          </cell>
        </row>
        <row r="472">
          <cell r="D472">
            <v>197861466</v>
          </cell>
          <cell r="E472">
            <v>2014</v>
          </cell>
        </row>
        <row r="473">
          <cell r="D473">
            <v>49779000</v>
          </cell>
          <cell r="E473">
            <v>2014</v>
          </cell>
        </row>
        <row r="474">
          <cell r="D474">
            <v>5771596592</v>
          </cell>
          <cell r="E474">
            <v>2015</v>
          </cell>
        </row>
        <row r="475">
          <cell r="D475">
            <v>3199037978</v>
          </cell>
          <cell r="E475">
            <v>2015</v>
          </cell>
        </row>
        <row r="476">
          <cell r="D476">
            <v>2127760813</v>
          </cell>
          <cell r="E476">
            <v>2015</v>
          </cell>
        </row>
        <row r="477">
          <cell r="D477">
            <v>1931170394</v>
          </cell>
          <cell r="E477">
            <v>2015</v>
          </cell>
        </row>
        <row r="478">
          <cell r="D478">
            <v>4142581848.1999998</v>
          </cell>
          <cell r="E478">
            <v>2015</v>
          </cell>
        </row>
        <row r="479">
          <cell r="D479">
            <v>2691692465</v>
          </cell>
          <cell r="E479">
            <v>2015</v>
          </cell>
        </row>
        <row r="480">
          <cell r="D480">
            <v>8656542443.2000008</v>
          </cell>
          <cell r="E480">
            <v>2015</v>
          </cell>
        </row>
        <row r="481">
          <cell r="D481">
            <v>1038080204</v>
          </cell>
          <cell r="E481">
            <v>2015</v>
          </cell>
        </row>
        <row r="482">
          <cell r="D482">
            <v>3131158428</v>
          </cell>
          <cell r="E482">
            <v>2015</v>
          </cell>
        </row>
        <row r="483">
          <cell r="D483">
            <v>2128040770</v>
          </cell>
          <cell r="E483">
            <v>2015</v>
          </cell>
        </row>
        <row r="484">
          <cell r="D484">
            <v>1990157144</v>
          </cell>
          <cell r="E484">
            <v>2015</v>
          </cell>
        </row>
        <row r="485">
          <cell r="D485">
            <v>2091776958</v>
          </cell>
          <cell r="E485">
            <v>2015</v>
          </cell>
        </row>
        <row r="486">
          <cell r="D486">
            <v>2126653104.2</v>
          </cell>
          <cell r="E486">
            <v>2015</v>
          </cell>
        </row>
        <row r="487">
          <cell r="D487">
            <v>3147563153</v>
          </cell>
          <cell r="E487">
            <v>2015</v>
          </cell>
        </row>
        <row r="488">
          <cell r="D488">
            <v>3073451038</v>
          </cell>
          <cell r="E488">
            <v>2015</v>
          </cell>
        </row>
        <row r="489">
          <cell r="D489">
            <v>3166464963</v>
          </cell>
          <cell r="E489">
            <v>2015</v>
          </cell>
        </row>
        <row r="490">
          <cell r="D490">
            <v>2122086666</v>
          </cell>
          <cell r="E490">
            <v>2015</v>
          </cell>
        </row>
        <row r="491">
          <cell r="D491">
            <v>2025740168</v>
          </cell>
          <cell r="E491">
            <v>2015</v>
          </cell>
        </row>
        <row r="492">
          <cell r="D492">
            <v>2153193000</v>
          </cell>
          <cell r="E492">
            <v>2015</v>
          </cell>
        </row>
        <row r="493">
          <cell r="D493">
            <v>2038722656.2</v>
          </cell>
          <cell r="E493">
            <v>2015</v>
          </cell>
        </row>
        <row r="494">
          <cell r="D494">
            <v>1656251100</v>
          </cell>
          <cell r="E494">
            <v>2015</v>
          </cell>
        </row>
        <row r="495">
          <cell r="D495">
            <v>3760564386.1999998</v>
          </cell>
          <cell r="E495">
            <v>2015</v>
          </cell>
        </row>
        <row r="496">
          <cell r="D496">
            <v>2482976673</v>
          </cell>
          <cell r="E496">
            <v>2015</v>
          </cell>
        </row>
        <row r="497">
          <cell r="D497">
            <v>2128408453</v>
          </cell>
          <cell r="E497">
            <v>2015</v>
          </cell>
        </row>
        <row r="498">
          <cell r="D498">
            <v>2132575732</v>
          </cell>
          <cell r="E498">
            <v>2015</v>
          </cell>
        </row>
        <row r="499">
          <cell r="D499">
            <v>2066023866.2</v>
          </cell>
          <cell r="E499">
            <v>2015</v>
          </cell>
        </row>
        <row r="500">
          <cell r="D500">
            <v>1212664598</v>
          </cell>
          <cell r="E500">
            <v>2015</v>
          </cell>
        </row>
        <row r="501">
          <cell r="D501">
            <v>2361312163</v>
          </cell>
          <cell r="E501">
            <v>2015</v>
          </cell>
        </row>
        <row r="502">
          <cell r="D502">
            <v>1855632664.2</v>
          </cell>
          <cell r="E502">
            <v>2015</v>
          </cell>
        </row>
        <row r="503">
          <cell r="D503">
            <v>2083405986.2</v>
          </cell>
          <cell r="E503">
            <v>2015</v>
          </cell>
        </row>
        <row r="504">
          <cell r="D504">
            <v>2349817980</v>
          </cell>
          <cell r="E504">
            <v>2015</v>
          </cell>
        </row>
        <row r="505">
          <cell r="D505">
            <v>247494064</v>
          </cell>
          <cell r="E505">
            <v>2015</v>
          </cell>
        </row>
        <row r="506">
          <cell r="D506">
            <v>2801026132</v>
          </cell>
          <cell r="E506">
            <v>2015</v>
          </cell>
        </row>
        <row r="507">
          <cell r="D507">
            <v>2023879506</v>
          </cell>
          <cell r="E507">
            <v>2015</v>
          </cell>
        </row>
        <row r="508">
          <cell r="D508">
            <v>6993176545.3037949</v>
          </cell>
          <cell r="E508">
            <v>2015</v>
          </cell>
        </row>
        <row r="509">
          <cell r="D509">
            <v>5113308736.9644003</v>
          </cell>
          <cell r="E509">
            <v>2015</v>
          </cell>
        </row>
        <row r="510">
          <cell r="D510">
            <v>6147420832.6300564</v>
          </cell>
          <cell r="E510">
            <v>2015</v>
          </cell>
        </row>
        <row r="511">
          <cell r="D511">
            <v>4424469137.1017532</v>
          </cell>
          <cell r="E511">
            <v>2015</v>
          </cell>
        </row>
        <row r="512">
          <cell r="D512">
            <v>194299755</v>
          </cell>
          <cell r="E512">
            <v>2015</v>
          </cell>
        </row>
        <row r="513">
          <cell r="D513">
            <v>187607827</v>
          </cell>
          <cell r="E513">
            <v>2015</v>
          </cell>
        </row>
        <row r="514">
          <cell r="D514">
            <v>1976709313</v>
          </cell>
          <cell r="E514">
            <v>2015</v>
          </cell>
        </row>
        <row r="515">
          <cell r="D515">
            <v>1945562821</v>
          </cell>
          <cell r="E515">
            <v>2015</v>
          </cell>
        </row>
        <row r="516">
          <cell r="D516">
            <v>194273678</v>
          </cell>
          <cell r="E516">
            <v>2015</v>
          </cell>
        </row>
        <row r="517">
          <cell r="D517">
            <v>469897527</v>
          </cell>
          <cell r="E517">
            <v>2015</v>
          </cell>
        </row>
        <row r="518">
          <cell r="D518">
            <v>194582579</v>
          </cell>
          <cell r="E518">
            <v>2015</v>
          </cell>
        </row>
        <row r="519">
          <cell r="D519">
            <v>194304755</v>
          </cell>
          <cell r="E519">
            <v>2015</v>
          </cell>
        </row>
        <row r="520">
          <cell r="D520">
            <v>194194110</v>
          </cell>
          <cell r="E520">
            <v>2015</v>
          </cell>
        </row>
        <row r="521">
          <cell r="D521">
            <v>191295534</v>
          </cell>
          <cell r="E521">
            <v>2015</v>
          </cell>
        </row>
        <row r="522">
          <cell r="D522">
            <v>195476550</v>
          </cell>
          <cell r="E522">
            <v>2015</v>
          </cell>
        </row>
        <row r="523">
          <cell r="D523">
            <v>193212995</v>
          </cell>
          <cell r="E523">
            <v>2015</v>
          </cell>
        </row>
        <row r="524">
          <cell r="D524">
            <v>193532549</v>
          </cell>
          <cell r="E524">
            <v>2015</v>
          </cell>
        </row>
        <row r="525">
          <cell r="D525">
            <v>192293177</v>
          </cell>
          <cell r="E525">
            <v>2015</v>
          </cell>
        </row>
        <row r="526">
          <cell r="D526">
            <v>190538964</v>
          </cell>
          <cell r="E526">
            <v>2015</v>
          </cell>
        </row>
        <row r="527">
          <cell r="D527">
            <v>121648894</v>
          </cell>
          <cell r="E527">
            <v>2015</v>
          </cell>
        </row>
        <row r="528">
          <cell r="D528">
            <v>1945177628</v>
          </cell>
          <cell r="E528">
            <v>2015</v>
          </cell>
        </row>
        <row r="529">
          <cell r="D529">
            <v>2197200060</v>
          </cell>
          <cell r="E529">
            <v>2015</v>
          </cell>
        </row>
        <row r="530">
          <cell r="D530">
            <v>2122831297</v>
          </cell>
          <cell r="E530">
            <v>2015</v>
          </cell>
        </row>
        <row r="531">
          <cell r="D531">
            <v>8378965790.1999998</v>
          </cell>
          <cell r="E531">
            <v>2015</v>
          </cell>
        </row>
        <row r="532">
          <cell r="D532">
            <v>2059213886</v>
          </cell>
          <cell r="E532">
            <v>2015</v>
          </cell>
        </row>
        <row r="533">
          <cell r="D533">
            <v>2125785396</v>
          </cell>
          <cell r="E533">
            <v>2015</v>
          </cell>
        </row>
        <row r="534">
          <cell r="D534">
            <v>191142383</v>
          </cell>
          <cell r="E534">
            <v>2015</v>
          </cell>
        </row>
        <row r="535">
          <cell r="D535">
            <v>190265603</v>
          </cell>
          <cell r="E535">
            <v>2015</v>
          </cell>
        </row>
        <row r="536">
          <cell r="D536">
            <v>741801931</v>
          </cell>
          <cell r="E536">
            <v>2015</v>
          </cell>
        </row>
        <row r="537">
          <cell r="D537">
            <v>194535396</v>
          </cell>
          <cell r="E537">
            <v>2015</v>
          </cell>
        </row>
        <row r="538">
          <cell r="D538">
            <v>194109943</v>
          </cell>
          <cell r="E538">
            <v>2015</v>
          </cell>
        </row>
        <row r="539">
          <cell r="D539">
            <v>194305774</v>
          </cell>
          <cell r="E539">
            <v>2015</v>
          </cell>
        </row>
        <row r="540">
          <cell r="D540">
            <v>192442791</v>
          </cell>
          <cell r="E540">
            <v>2015</v>
          </cell>
        </row>
        <row r="541">
          <cell r="D541">
            <v>195564131</v>
          </cell>
          <cell r="E541">
            <v>2015</v>
          </cell>
        </row>
        <row r="542">
          <cell r="D542">
            <v>194585175</v>
          </cell>
          <cell r="E542">
            <v>2015</v>
          </cell>
        </row>
        <row r="543">
          <cell r="D543">
            <v>194014396</v>
          </cell>
          <cell r="E543">
            <v>2015</v>
          </cell>
        </row>
        <row r="544">
          <cell r="D544">
            <v>28270054450.200001</v>
          </cell>
          <cell r="E544">
            <v>2015</v>
          </cell>
        </row>
        <row r="545">
          <cell r="D545">
            <v>1777518495</v>
          </cell>
          <cell r="E545">
            <v>2015</v>
          </cell>
        </row>
        <row r="546">
          <cell r="D546">
            <v>2539770681</v>
          </cell>
          <cell r="E546">
            <v>2015</v>
          </cell>
        </row>
        <row r="547">
          <cell r="D547">
            <v>246942569</v>
          </cell>
          <cell r="E547">
            <v>2015</v>
          </cell>
        </row>
        <row r="548">
          <cell r="D548">
            <v>191714919</v>
          </cell>
          <cell r="E548">
            <v>2015</v>
          </cell>
        </row>
        <row r="549">
          <cell r="D549">
            <v>133925703</v>
          </cell>
          <cell r="E549">
            <v>2015</v>
          </cell>
        </row>
        <row r="550">
          <cell r="D550">
            <v>191639680</v>
          </cell>
          <cell r="E550">
            <v>2015</v>
          </cell>
        </row>
        <row r="551">
          <cell r="D551">
            <v>192010205</v>
          </cell>
          <cell r="E551">
            <v>2015</v>
          </cell>
        </row>
        <row r="552">
          <cell r="D552">
            <v>190930494</v>
          </cell>
          <cell r="E552">
            <v>2015</v>
          </cell>
        </row>
        <row r="553">
          <cell r="D553">
            <v>674055175</v>
          </cell>
          <cell r="E553">
            <v>2015</v>
          </cell>
        </row>
        <row r="554">
          <cell r="D554">
            <v>194413644</v>
          </cell>
          <cell r="E554">
            <v>2015</v>
          </cell>
        </row>
        <row r="555">
          <cell r="D555">
            <v>194508025</v>
          </cell>
          <cell r="E555">
            <v>2015</v>
          </cell>
        </row>
        <row r="556">
          <cell r="D556">
            <v>194125619</v>
          </cell>
          <cell r="E556">
            <v>2015</v>
          </cell>
        </row>
        <row r="557">
          <cell r="D557">
            <v>194469172</v>
          </cell>
          <cell r="E557">
            <v>2015</v>
          </cell>
        </row>
        <row r="558">
          <cell r="D558">
            <v>8141572842.6999998</v>
          </cell>
          <cell r="E558">
            <v>2016</v>
          </cell>
        </row>
        <row r="559">
          <cell r="D559">
            <v>8147247049.011054</v>
          </cell>
          <cell r="E559">
            <v>2016</v>
          </cell>
        </row>
        <row r="560">
          <cell r="D560">
            <v>2960652854.1300001</v>
          </cell>
          <cell r="E560">
            <v>2016</v>
          </cell>
        </row>
        <row r="561">
          <cell r="D561">
            <v>1997824226.8399999</v>
          </cell>
          <cell r="E561">
            <v>2016</v>
          </cell>
        </row>
        <row r="562">
          <cell r="D562">
            <v>4868290282.0367718</v>
          </cell>
          <cell r="E562">
            <v>2016</v>
          </cell>
        </row>
        <row r="563">
          <cell r="D563">
            <v>1945903540.0999999</v>
          </cell>
          <cell r="E563">
            <v>2016</v>
          </cell>
        </row>
        <row r="564">
          <cell r="D564">
            <v>2819328226.6399999</v>
          </cell>
          <cell r="E564">
            <v>2016</v>
          </cell>
        </row>
        <row r="565">
          <cell r="D565">
            <v>9785377200</v>
          </cell>
          <cell r="E565">
            <v>2016</v>
          </cell>
        </row>
        <row r="566">
          <cell r="D566">
            <v>2400192423</v>
          </cell>
          <cell r="E566">
            <v>2016</v>
          </cell>
        </row>
        <row r="567">
          <cell r="D567">
            <v>8482176848.3360138</v>
          </cell>
          <cell r="E567">
            <v>2016</v>
          </cell>
        </row>
        <row r="568">
          <cell r="D568">
            <v>5591436679.1599998</v>
          </cell>
          <cell r="E568">
            <v>2016</v>
          </cell>
        </row>
        <row r="569">
          <cell r="D569">
            <v>5487724779.8400002</v>
          </cell>
          <cell r="E569">
            <v>2016</v>
          </cell>
        </row>
        <row r="570">
          <cell r="D570">
            <v>1890595464.96</v>
          </cell>
          <cell r="E570">
            <v>2016</v>
          </cell>
        </row>
        <row r="571">
          <cell r="D571">
            <v>2933446349.48</v>
          </cell>
          <cell r="E571">
            <v>2016</v>
          </cell>
        </row>
        <row r="572">
          <cell r="D572">
            <v>4250968123.3900442</v>
          </cell>
          <cell r="E572">
            <v>2016</v>
          </cell>
        </row>
        <row r="573">
          <cell r="D573">
            <v>2398001772.73</v>
          </cell>
          <cell r="E573">
            <v>2016</v>
          </cell>
        </row>
        <row r="574">
          <cell r="D574">
            <v>4682270294.1660614</v>
          </cell>
          <cell r="E574">
            <v>2016</v>
          </cell>
        </row>
        <row r="575">
          <cell r="D575">
            <v>3797259567.7199998</v>
          </cell>
          <cell r="E575">
            <v>2016</v>
          </cell>
        </row>
        <row r="576">
          <cell r="D576">
            <v>5854757832.3698645</v>
          </cell>
          <cell r="E576">
            <v>2016</v>
          </cell>
        </row>
        <row r="577">
          <cell r="D577">
            <v>4070073728.3230543</v>
          </cell>
          <cell r="E577">
            <v>2016</v>
          </cell>
        </row>
        <row r="578">
          <cell r="D578">
            <v>5335623040.4074984</v>
          </cell>
          <cell r="E578">
            <v>2016</v>
          </cell>
        </row>
        <row r="579">
          <cell r="D579">
            <v>2201551942.5196371</v>
          </cell>
          <cell r="E579">
            <v>2016</v>
          </cell>
        </row>
        <row r="580">
          <cell r="D580">
            <v>6046396941.1700001</v>
          </cell>
          <cell r="E580">
            <v>2016</v>
          </cell>
        </row>
        <row r="581">
          <cell r="D581">
            <v>1766998059.23</v>
          </cell>
          <cell r="E581">
            <v>2016</v>
          </cell>
        </row>
        <row r="582">
          <cell r="D582">
            <v>1944916077.3699999</v>
          </cell>
          <cell r="E582">
            <v>2016</v>
          </cell>
        </row>
        <row r="583">
          <cell r="D583">
            <v>1944689998.1099999</v>
          </cell>
          <cell r="E583">
            <v>2016</v>
          </cell>
        </row>
        <row r="584">
          <cell r="D584">
            <v>2522478651.5700002</v>
          </cell>
          <cell r="E584">
            <v>2016</v>
          </cell>
        </row>
        <row r="585">
          <cell r="D585">
            <v>998055696.14999998</v>
          </cell>
          <cell r="E585">
            <v>2016</v>
          </cell>
        </row>
        <row r="586">
          <cell r="D586">
            <v>198356308</v>
          </cell>
          <cell r="E586">
            <v>2016</v>
          </cell>
        </row>
        <row r="587">
          <cell r="D587">
            <v>197669566</v>
          </cell>
          <cell r="E587">
            <v>2016</v>
          </cell>
        </row>
        <row r="588">
          <cell r="D588">
            <v>49212500</v>
          </cell>
          <cell r="E588">
            <v>2013</v>
          </cell>
        </row>
        <row r="589">
          <cell r="D589">
            <v>1578446994</v>
          </cell>
          <cell r="E589">
            <v>2014</v>
          </cell>
        </row>
        <row r="590">
          <cell r="D590">
            <v>246942569</v>
          </cell>
          <cell r="E590">
            <v>2015</v>
          </cell>
        </row>
        <row r="591">
          <cell r="D591">
            <v>14872500</v>
          </cell>
          <cell r="E591">
            <v>2011</v>
          </cell>
        </row>
        <row r="592">
          <cell r="D592">
            <v>97700000</v>
          </cell>
          <cell r="E592">
            <v>2012</v>
          </cell>
        </row>
        <row r="593">
          <cell r="D593">
            <v>98837000</v>
          </cell>
          <cell r="E593">
            <v>2012</v>
          </cell>
        </row>
        <row r="594">
          <cell r="D594">
            <v>98808000</v>
          </cell>
          <cell r="E594">
            <v>2012</v>
          </cell>
        </row>
        <row r="595">
          <cell r="D595">
            <v>99133000</v>
          </cell>
          <cell r="E595">
            <v>2012</v>
          </cell>
        </row>
        <row r="596">
          <cell r="D596">
            <v>85228200.18037653</v>
          </cell>
          <cell r="E596">
            <v>2013</v>
          </cell>
        </row>
        <row r="597">
          <cell r="D597">
            <v>394888000</v>
          </cell>
          <cell r="E597">
            <v>2015</v>
          </cell>
        </row>
        <row r="598">
          <cell r="D598">
            <v>10790891754</v>
          </cell>
          <cell r="E598">
            <v>2007</v>
          </cell>
        </row>
        <row r="599">
          <cell r="D599">
            <v>1519697850</v>
          </cell>
          <cell r="E599">
            <v>2007</v>
          </cell>
        </row>
        <row r="600">
          <cell r="D600">
            <v>9817024325</v>
          </cell>
          <cell r="E600">
            <v>2007</v>
          </cell>
        </row>
        <row r="601">
          <cell r="D601">
            <v>2336767000</v>
          </cell>
          <cell r="E601">
            <v>2007</v>
          </cell>
        </row>
        <row r="602">
          <cell r="D602">
            <v>1300003636.4000001</v>
          </cell>
          <cell r="E602">
            <v>2007</v>
          </cell>
        </row>
        <row r="603">
          <cell r="D603">
            <v>130000363.59999999</v>
          </cell>
          <cell r="E603">
            <v>2007</v>
          </cell>
        </row>
        <row r="604">
          <cell r="D604">
            <v>993901000</v>
          </cell>
          <cell r="E604">
            <v>2007</v>
          </cell>
        </row>
        <row r="605">
          <cell r="D605">
            <v>474381180</v>
          </cell>
          <cell r="E605">
            <v>2007</v>
          </cell>
        </row>
        <row r="606">
          <cell r="D606">
            <v>2703573800</v>
          </cell>
          <cell r="E606">
            <v>2007</v>
          </cell>
        </row>
        <row r="607">
          <cell r="D607">
            <v>44799000</v>
          </cell>
          <cell r="E607">
            <v>2007</v>
          </cell>
        </row>
        <row r="608">
          <cell r="D608">
            <v>387073802.91121233</v>
          </cell>
          <cell r="E608">
            <v>2008</v>
          </cell>
        </row>
        <row r="609">
          <cell r="D609">
            <v>993199090.17379224</v>
          </cell>
          <cell r="E609">
            <v>2008</v>
          </cell>
        </row>
        <row r="610">
          <cell r="D610">
            <v>254393659.82620782</v>
          </cell>
          <cell r="E610">
            <v>2008</v>
          </cell>
        </row>
        <row r="611">
          <cell r="D611">
            <v>240015540</v>
          </cell>
          <cell r="E611">
            <v>2008</v>
          </cell>
        </row>
        <row r="612">
          <cell r="D612">
            <v>162000000</v>
          </cell>
          <cell r="E612">
            <v>2008</v>
          </cell>
        </row>
        <row r="613">
          <cell r="D613">
            <v>133560660.74659312</v>
          </cell>
          <cell r="E613">
            <v>2008</v>
          </cell>
        </row>
        <row r="614">
          <cell r="D614">
            <v>133367239.25340688</v>
          </cell>
          <cell r="E614">
            <v>2008</v>
          </cell>
        </row>
        <row r="615">
          <cell r="D615">
            <v>266240349.76335436</v>
          </cell>
          <cell r="E615">
            <v>2008</v>
          </cell>
        </row>
        <row r="616">
          <cell r="D616">
            <v>391678610.4209711</v>
          </cell>
          <cell r="E616">
            <v>2008</v>
          </cell>
        </row>
        <row r="617">
          <cell r="D617">
            <v>78630016.685688838</v>
          </cell>
          <cell r="E617">
            <v>2008</v>
          </cell>
        </row>
        <row r="618">
          <cell r="D618">
            <v>162801023.12998566</v>
          </cell>
          <cell r="E618">
            <v>2008</v>
          </cell>
        </row>
        <row r="619">
          <cell r="D619">
            <v>1346900000</v>
          </cell>
          <cell r="E619">
            <v>2008</v>
          </cell>
        </row>
        <row r="620">
          <cell r="D620">
            <v>103501800</v>
          </cell>
          <cell r="E620">
            <v>2008</v>
          </cell>
        </row>
        <row r="621">
          <cell r="D621">
            <v>126169200</v>
          </cell>
          <cell r="E621">
            <v>2008</v>
          </cell>
        </row>
        <row r="622">
          <cell r="D622">
            <v>166466700</v>
          </cell>
          <cell r="E622">
            <v>2008</v>
          </cell>
        </row>
        <row r="623">
          <cell r="D623">
            <v>103188000</v>
          </cell>
          <cell r="E623">
            <v>2008</v>
          </cell>
        </row>
        <row r="624">
          <cell r="D624">
            <v>170169300</v>
          </cell>
          <cell r="E624">
            <v>2008</v>
          </cell>
        </row>
        <row r="625">
          <cell r="D625">
            <v>88200000</v>
          </cell>
          <cell r="E625">
            <v>2008</v>
          </cell>
        </row>
        <row r="626">
          <cell r="D626">
            <v>103501800</v>
          </cell>
          <cell r="E626">
            <v>2008</v>
          </cell>
        </row>
        <row r="627">
          <cell r="D627">
            <v>100798200</v>
          </cell>
          <cell r="E627">
            <v>2008</v>
          </cell>
        </row>
        <row r="628">
          <cell r="D628">
            <v>99850500</v>
          </cell>
          <cell r="E628">
            <v>2008</v>
          </cell>
        </row>
        <row r="629">
          <cell r="D629">
            <v>155017800</v>
          </cell>
          <cell r="E629">
            <v>2008</v>
          </cell>
        </row>
        <row r="630">
          <cell r="D630">
            <v>11500000</v>
          </cell>
          <cell r="E630">
            <v>2008</v>
          </cell>
        </row>
        <row r="631">
          <cell r="D631">
            <v>14018800</v>
          </cell>
          <cell r="E631">
            <v>2008</v>
          </cell>
        </row>
        <row r="632">
          <cell r="D632">
            <v>18496300</v>
          </cell>
          <cell r="E632">
            <v>2008</v>
          </cell>
        </row>
        <row r="633">
          <cell r="D633">
            <v>11250000</v>
          </cell>
          <cell r="E633">
            <v>2008</v>
          </cell>
        </row>
        <row r="634">
          <cell r="D634">
            <v>18907700</v>
          </cell>
          <cell r="E634">
            <v>2008</v>
          </cell>
        </row>
        <row r="635">
          <cell r="D635">
            <v>9800000</v>
          </cell>
          <cell r="E635">
            <v>2008</v>
          </cell>
        </row>
        <row r="636">
          <cell r="D636">
            <v>11700000</v>
          </cell>
          <cell r="E636">
            <v>2008</v>
          </cell>
        </row>
        <row r="637">
          <cell r="D637">
            <v>11000000</v>
          </cell>
          <cell r="E637">
            <v>2008</v>
          </cell>
        </row>
        <row r="638">
          <cell r="D638">
            <v>11094500</v>
          </cell>
          <cell r="E638">
            <v>2008</v>
          </cell>
        </row>
        <row r="639">
          <cell r="D639">
            <v>17224400</v>
          </cell>
          <cell r="E639">
            <v>2008</v>
          </cell>
        </row>
        <row r="640">
          <cell r="D640">
            <v>487790000</v>
          </cell>
          <cell r="E640">
            <v>2008</v>
          </cell>
        </row>
        <row r="641">
          <cell r="D641">
            <v>2611532728</v>
          </cell>
          <cell r="E641">
            <v>2008</v>
          </cell>
        </row>
        <row r="642">
          <cell r="D642">
            <v>278070909</v>
          </cell>
          <cell r="E642">
            <v>2008</v>
          </cell>
        </row>
        <row r="643">
          <cell r="D643">
            <v>261153272</v>
          </cell>
          <cell r="E643">
            <v>2008</v>
          </cell>
        </row>
        <row r="644">
          <cell r="D644">
            <v>27807091</v>
          </cell>
          <cell r="E644">
            <v>2008</v>
          </cell>
        </row>
        <row r="645">
          <cell r="D645">
            <v>1208559000</v>
          </cell>
          <cell r="E645">
            <v>2008</v>
          </cell>
        </row>
        <row r="646">
          <cell r="D646">
            <v>278624000</v>
          </cell>
          <cell r="E646">
            <v>2008</v>
          </cell>
        </row>
        <row r="647">
          <cell r="D647">
            <v>58546000</v>
          </cell>
          <cell r="E647">
            <v>2008</v>
          </cell>
        </row>
        <row r="648">
          <cell r="D648">
            <v>962466046.16631413</v>
          </cell>
          <cell r="E648">
            <v>2008</v>
          </cell>
        </row>
        <row r="649">
          <cell r="D649">
            <v>188000000</v>
          </cell>
          <cell r="E649">
            <v>2013</v>
          </cell>
        </row>
        <row r="650">
          <cell r="D650">
            <v>390003200</v>
          </cell>
          <cell r="E650">
            <v>2013</v>
          </cell>
        </row>
        <row r="651">
          <cell r="D651">
            <v>94800000</v>
          </cell>
          <cell r="E651">
            <v>2013</v>
          </cell>
        </row>
        <row r="652">
          <cell r="D652">
            <v>369945000</v>
          </cell>
          <cell r="E652">
            <v>2013</v>
          </cell>
        </row>
        <row r="653">
          <cell r="D653">
            <v>156828000</v>
          </cell>
          <cell r="E653">
            <v>2013</v>
          </cell>
        </row>
        <row r="654">
          <cell r="D654">
            <v>766949312.29735994</v>
          </cell>
          <cell r="E654">
            <v>2009</v>
          </cell>
        </row>
        <row r="655">
          <cell r="D655">
            <v>1568052481.3917563</v>
          </cell>
          <cell r="E655">
            <v>2009</v>
          </cell>
        </row>
        <row r="656">
          <cell r="D656">
            <v>474869332.85883301</v>
          </cell>
          <cell r="E656">
            <v>2010</v>
          </cell>
        </row>
        <row r="657">
          <cell r="D657">
            <v>406454267.44035602</v>
          </cell>
          <cell r="E657">
            <v>2010</v>
          </cell>
        </row>
        <row r="658">
          <cell r="D658">
            <v>49225000</v>
          </cell>
          <cell r="E658">
            <v>2011</v>
          </cell>
        </row>
        <row r="659">
          <cell r="D659">
            <v>360271116.84319699</v>
          </cell>
          <cell r="E659">
            <v>2011</v>
          </cell>
        </row>
        <row r="660">
          <cell r="D660">
            <v>105422055.34248437</v>
          </cell>
          <cell r="E660">
            <v>2011</v>
          </cell>
        </row>
        <row r="661">
          <cell r="D661">
            <v>82118232.582566783</v>
          </cell>
          <cell r="E661">
            <v>2011</v>
          </cell>
        </row>
        <row r="662">
          <cell r="D662">
            <v>162793847.5657101</v>
          </cell>
          <cell r="E662">
            <v>2011</v>
          </cell>
        </row>
        <row r="663">
          <cell r="D663">
            <v>45039631.159846455</v>
          </cell>
          <cell r="E663">
            <v>2011</v>
          </cell>
        </row>
        <row r="664">
          <cell r="D664">
            <v>38395822.261578523</v>
          </cell>
          <cell r="E664">
            <v>2011</v>
          </cell>
        </row>
        <row r="665">
          <cell r="D665">
            <v>493388676.94870102</v>
          </cell>
          <cell r="E665">
            <v>2012</v>
          </cell>
        </row>
        <row r="666">
          <cell r="D666">
            <v>388878394.88692087</v>
          </cell>
          <cell r="E666">
            <v>2012</v>
          </cell>
        </row>
        <row r="667">
          <cell r="D667">
            <v>30012703.490769427</v>
          </cell>
          <cell r="E667">
            <v>2012</v>
          </cell>
        </row>
        <row r="668">
          <cell r="D668">
            <v>49449125.880956002</v>
          </cell>
          <cell r="E668">
            <v>2012</v>
          </cell>
        </row>
        <row r="669">
          <cell r="D669">
            <v>482796398.79265285</v>
          </cell>
          <cell r="E669">
            <v>2012</v>
          </cell>
        </row>
        <row r="670">
          <cell r="D670">
            <v>198265000</v>
          </cell>
          <cell r="E670">
            <v>2013</v>
          </cell>
        </row>
        <row r="671">
          <cell r="D671">
            <v>198168000</v>
          </cell>
          <cell r="E671">
            <v>2013</v>
          </cell>
        </row>
        <row r="672">
          <cell r="D672">
            <v>74529390.572603837</v>
          </cell>
          <cell r="E672">
            <v>2013</v>
          </cell>
        </row>
        <row r="673">
          <cell r="D673">
            <v>412452000</v>
          </cell>
          <cell r="E673">
            <v>2013</v>
          </cell>
        </row>
        <row r="674">
          <cell r="D674">
            <v>718008000</v>
          </cell>
          <cell r="E674">
            <v>2013</v>
          </cell>
        </row>
        <row r="675">
          <cell r="D675">
            <v>221324968.6019634</v>
          </cell>
          <cell r="E675">
            <v>2013</v>
          </cell>
        </row>
        <row r="676">
          <cell r="D676">
            <v>246003000</v>
          </cell>
          <cell r="E676">
            <v>2014</v>
          </cell>
        </row>
        <row r="677">
          <cell r="D677">
            <v>601050000</v>
          </cell>
          <cell r="E677">
            <v>2014</v>
          </cell>
        </row>
        <row r="678">
          <cell r="D678">
            <v>198898000</v>
          </cell>
          <cell r="E678">
            <v>2014</v>
          </cell>
        </row>
        <row r="679">
          <cell r="D679">
            <v>142292000</v>
          </cell>
          <cell r="E679">
            <v>2014</v>
          </cell>
        </row>
        <row r="680">
          <cell r="D680">
            <v>144231000</v>
          </cell>
          <cell r="E680">
            <v>2014</v>
          </cell>
        </row>
        <row r="681">
          <cell r="D681">
            <v>114261885.15693964</v>
          </cell>
          <cell r="E681">
            <v>2014</v>
          </cell>
        </row>
        <row r="682">
          <cell r="D682">
            <v>74728376.872205257</v>
          </cell>
          <cell r="E682">
            <v>2014</v>
          </cell>
        </row>
        <row r="683">
          <cell r="D683">
            <v>19068737.970855102</v>
          </cell>
          <cell r="E683">
            <v>2014</v>
          </cell>
        </row>
        <row r="684">
          <cell r="D684">
            <v>137833000</v>
          </cell>
          <cell r="E684">
            <v>2015</v>
          </cell>
        </row>
        <row r="685">
          <cell r="D685">
            <v>365000000</v>
          </cell>
          <cell r="E685">
            <v>2016</v>
          </cell>
        </row>
        <row r="686">
          <cell r="D686">
            <v>577777000</v>
          </cell>
          <cell r="E686">
            <v>2016</v>
          </cell>
        </row>
        <row r="687">
          <cell r="D687">
            <v>555000000</v>
          </cell>
          <cell r="E687">
            <v>2016</v>
          </cell>
        </row>
        <row r="688">
          <cell r="D688">
            <v>10200000</v>
          </cell>
          <cell r="E688">
            <v>1980</v>
          </cell>
        </row>
        <row r="689">
          <cell r="D689">
            <v>33150000</v>
          </cell>
          <cell r="E689">
            <v>2004</v>
          </cell>
        </row>
        <row r="690">
          <cell r="D690">
            <v>19337500</v>
          </cell>
          <cell r="E690">
            <v>1975</v>
          </cell>
        </row>
        <row r="691">
          <cell r="D691">
            <v>19337500</v>
          </cell>
          <cell r="E691">
            <v>1975</v>
          </cell>
        </row>
        <row r="692">
          <cell r="D692">
            <v>382500000</v>
          </cell>
          <cell r="E692">
            <v>1999</v>
          </cell>
        </row>
        <row r="693">
          <cell r="D693">
            <v>17680000</v>
          </cell>
          <cell r="E693">
            <v>1986</v>
          </cell>
        </row>
        <row r="694">
          <cell r="D694">
            <v>20825000</v>
          </cell>
          <cell r="E694">
            <v>1981</v>
          </cell>
        </row>
        <row r="695">
          <cell r="D695">
            <v>20825000</v>
          </cell>
          <cell r="E695">
            <v>1978</v>
          </cell>
        </row>
        <row r="696">
          <cell r="D696">
            <v>9520000</v>
          </cell>
          <cell r="E696">
            <v>1985</v>
          </cell>
        </row>
        <row r="697">
          <cell r="D697">
            <v>74850000</v>
          </cell>
          <cell r="E697">
            <v>1970</v>
          </cell>
        </row>
        <row r="698">
          <cell r="D698">
            <v>408000000</v>
          </cell>
          <cell r="E698">
            <v>1992</v>
          </cell>
        </row>
        <row r="699">
          <cell r="D699">
            <v>28000000</v>
          </cell>
          <cell r="E699">
            <v>1986</v>
          </cell>
        </row>
        <row r="700">
          <cell r="D700">
            <v>16800000</v>
          </cell>
          <cell r="E700">
            <v>2000</v>
          </cell>
        </row>
        <row r="701">
          <cell r="D701">
            <v>88200000</v>
          </cell>
          <cell r="E701">
            <v>2000</v>
          </cell>
        </row>
        <row r="702">
          <cell r="D702">
            <v>72800000</v>
          </cell>
          <cell r="E702">
            <v>2000</v>
          </cell>
        </row>
        <row r="703">
          <cell r="D703">
            <v>72800000</v>
          </cell>
          <cell r="E703">
            <v>2000</v>
          </cell>
        </row>
        <row r="704">
          <cell r="D704">
            <v>72800000</v>
          </cell>
          <cell r="E704">
            <v>2000</v>
          </cell>
        </row>
        <row r="705">
          <cell r="D705">
            <v>210000000</v>
          </cell>
          <cell r="E705">
            <v>2000</v>
          </cell>
        </row>
        <row r="706">
          <cell r="D706">
            <v>2779648000</v>
          </cell>
          <cell r="E706">
            <v>2007</v>
          </cell>
        </row>
        <row r="707">
          <cell r="D707">
            <v>282200000</v>
          </cell>
          <cell r="E707">
            <v>2007</v>
          </cell>
        </row>
        <row r="708">
          <cell r="D708">
            <v>220000000</v>
          </cell>
          <cell r="E708">
            <v>2008</v>
          </cell>
        </row>
        <row r="709">
          <cell r="D709">
            <v>6440797062</v>
          </cell>
          <cell r="E709">
            <v>2009</v>
          </cell>
        </row>
        <row r="710">
          <cell r="D710">
            <v>49222000</v>
          </cell>
          <cell r="E710">
            <v>2010</v>
          </cell>
        </row>
        <row r="711">
          <cell r="D711">
            <v>2566886647</v>
          </cell>
          <cell r="E711">
            <v>2010</v>
          </cell>
        </row>
        <row r="712">
          <cell r="D712">
            <v>1283493564</v>
          </cell>
          <cell r="E712">
            <v>2010</v>
          </cell>
        </row>
        <row r="713">
          <cell r="D713">
            <v>563256690.27361846</v>
          </cell>
          <cell r="E713">
            <v>2011</v>
          </cell>
        </row>
        <row r="714">
          <cell r="D714">
            <v>364211928.3288675</v>
          </cell>
          <cell r="E714">
            <v>2011</v>
          </cell>
        </row>
        <row r="715">
          <cell r="D715">
            <v>365047601.72667986</v>
          </cell>
          <cell r="E715">
            <v>2011</v>
          </cell>
        </row>
        <row r="716">
          <cell r="D716">
            <v>620888795.27332008</v>
          </cell>
          <cell r="E716">
            <v>2011</v>
          </cell>
        </row>
        <row r="717">
          <cell r="D717">
            <v>9859150</v>
          </cell>
          <cell r="E717">
            <v>2011</v>
          </cell>
        </row>
        <row r="718">
          <cell r="D718">
            <v>16524015</v>
          </cell>
          <cell r="E718">
            <v>2011</v>
          </cell>
        </row>
        <row r="719">
          <cell r="D719">
            <v>39305670</v>
          </cell>
          <cell r="E719">
            <v>2011</v>
          </cell>
        </row>
        <row r="720">
          <cell r="D720">
            <v>132520350</v>
          </cell>
          <cell r="E720">
            <v>2011</v>
          </cell>
        </row>
        <row r="721">
          <cell r="D721">
            <v>431293227.73232901</v>
          </cell>
          <cell r="E721">
            <v>2012</v>
          </cell>
        </row>
        <row r="722">
          <cell r="D722">
            <v>274556745.46946824</v>
          </cell>
          <cell r="E722">
            <v>2012</v>
          </cell>
        </row>
        <row r="723">
          <cell r="D723">
            <v>387796432.0453642</v>
          </cell>
          <cell r="E723">
            <v>2012</v>
          </cell>
        </row>
        <row r="724">
          <cell r="D724">
            <v>90837130.90006797</v>
          </cell>
          <cell r="E724">
            <v>2012</v>
          </cell>
        </row>
        <row r="725">
          <cell r="D725">
            <v>100902046.8516902</v>
          </cell>
          <cell r="E725">
            <v>2012</v>
          </cell>
        </row>
        <row r="726">
          <cell r="D726">
            <v>462808554.4462983</v>
          </cell>
          <cell r="E726">
            <v>2012</v>
          </cell>
        </row>
        <row r="727">
          <cell r="D727">
            <v>303731994.89147037</v>
          </cell>
          <cell r="E727">
            <v>2012</v>
          </cell>
        </row>
        <row r="728">
          <cell r="D728">
            <v>311209754.13048106</v>
          </cell>
          <cell r="E728">
            <v>2013</v>
          </cell>
        </row>
        <row r="729">
          <cell r="D729">
            <v>306191245.86951894</v>
          </cell>
          <cell r="E729">
            <v>2013</v>
          </cell>
        </row>
        <row r="730">
          <cell r="D730">
            <v>428031998.81311899</v>
          </cell>
          <cell r="E730">
            <v>2013</v>
          </cell>
        </row>
        <row r="731">
          <cell r="D731">
            <v>461923046.19</v>
          </cell>
          <cell r="E731">
            <v>2013</v>
          </cell>
        </row>
        <row r="732">
          <cell r="D732">
            <v>364356538.12</v>
          </cell>
          <cell r="E732">
            <v>2013</v>
          </cell>
        </row>
        <row r="733">
          <cell r="D733">
            <v>1203700390</v>
          </cell>
          <cell r="E733">
            <v>2013</v>
          </cell>
        </row>
        <row r="734">
          <cell r="D734">
            <v>199750000</v>
          </cell>
          <cell r="E734">
            <v>2013</v>
          </cell>
        </row>
        <row r="735">
          <cell r="D735">
            <v>199750000</v>
          </cell>
          <cell r="E735">
            <v>2013</v>
          </cell>
        </row>
        <row r="736">
          <cell r="D736">
            <v>99750000</v>
          </cell>
          <cell r="E736">
            <v>2013</v>
          </cell>
        </row>
        <row r="737">
          <cell r="D737">
            <v>199870000</v>
          </cell>
          <cell r="E737">
            <v>2013</v>
          </cell>
        </row>
        <row r="738">
          <cell r="D738">
            <v>199850000</v>
          </cell>
          <cell r="E738">
            <v>2013</v>
          </cell>
        </row>
        <row r="739">
          <cell r="D739">
            <v>199875000</v>
          </cell>
          <cell r="E739">
            <v>2013</v>
          </cell>
        </row>
        <row r="740">
          <cell r="D740">
            <v>124750000</v>
          </cell>
          <cell r="E740">
            <v>2013</v>
          </cell>
        </row>
        <row r="741">
          <cell r="D741">
            <v>199750000</v>
          </cell>
          <cell r="E741">
            <v>2013</v>
          </cell>
        </row>
        <row r="742">
          <cell r="D742">
            <v>197739968</v>
          </cell>
          <cell r="E742">
            <v>2014</v>
          </cell>
        </row>
        <row r="743">
          <cell r="D743">
            <v>197918604</v>
          </cell>
          <cell r="E743">
            <v>2014</v>
          </cell>
        </row>
        <row r="744">
          <cell r="D744">
            <v>197925372</v>
          </cell>
          <cell r="E744">
            <v>2014</v>
          </cell>
        </row>
        <row r="745">
          <cell r="D745">
            <v>197626366</v>
          </cell>
          <cell r="E745">
            <v>2014</v>
          </cell>
        </row>
        <row r="746">
          <cell r="D746">
            <v>904050000</v>
          </cell>
          <cell r="E746">
            <v>2014</v>
          </cell>
        </row>
        <row r="747">
          <cell r="D747">
            <v>173287568.5703457</v>
          </cell>
          <cell r="E747">
            <v>2014</v>
          </cell>
        </row>
        <row r="748">
          <cell r="D748">
            <v>194364451.48156792</v>
          </cell>
          <cell r="E748">
            <v>2014</v>
          </cell>
        </row>
        <row r="749">
          <cell r="D749">
            <v>194266334.13678473</v>
          </cell>
          <cell r="E749">
            <v>2014</v>
          </cell>
        </row>
        <row r="750">
          <cell r="D750">
            <v>194205094.58212945</v>
          </cell>
          <cell r="E750">
            <v>2014</v>
          </cell>
        </row>
        <row r="751">
          <cell r="D751">
            <v>186951267.2291722</v>
          </cell>
          <cell r="E751">
            <v>2014</v>
          </cell>
        </row>
        <row r="752">
          <cell r="D752">
            <v>1101649000</v>
          </cell>
          <cell r="E752">
            <v>2014</v>
          </cell>
        </row>
        <row r="753">
          <cell r="D753">
            <v>201132000</v>
          </cell>
          <cell r="E753">
            <v>2014</v>
          </cell>
        </row>
        <row r="754">
          <cell r="D754">
            <v>150472353.22522232</v>
          </cell>
          <cell r="E754">
            <v>2014</v>
          </cell>
        </row>
        <row r="755">
          <cell r="D755">
            <v>150140095.77079391</v>
          </cell>
          <cell r="E755">
            <v>2014</v>
          </cell>
        </row>
        <row r="756">
          <cell r="D756">
            <v>199807551.00398377</v>
          </cell>
          <cell r="E756">
            <v>2014</v>
          </cell>
        </row>
        <row r="757">
          <cell r="D757">
            <v>199202385.13592538</v>
          </cell>
          <cell r="E757">
            <v>2014</v>
          </cell>
        </row>
        <row r="758">
          <cell r="D758">
            <v>199168358.08113036</v>
          </cell>
          <cell r="E758">
            <v>2014</v>
          </cell>
        </row>
        <row r="759">
          <cell r="D759">
            <v>149118563.66056189</v>
          </cell>
          <cell r="E759">
            <v>2014</v>
          </cell>
        </row>
        <row r="760">
          <cell r="D760">
            <v>199192377.17863271</v>
          </cell>
          <cell r="E760">
            <v>2014</v>
          </cell>
        </row>
        <row r="761">
          <cell r="D761">
            <v>199293457.54728854</v>
          </cell>
          <cell r="E761">
            <v>2014</v>
          </cell>
        </row>
        <row r="762">
          <cell r="D762">
            <v>199223401.84623992</v>
          </cell>
          <cell r="E762">
            <v>2014</v>
          </cell>
        </row>
        <row r="763">
          <cell r="D763">
            <v>199256428.1053057</v>
          </cell>
          <cell r="E763">
            <v>2014</v>
          </cell>
        </row>
        <row r="764">
          <cell r="D764">
            <v>199240415.37363744</v>
          </cell>
          <cell r="E764">
            <v>2014</v>
          </cell>
        </row>
        <row r="765">
          <cell r="D765">
            <v>199287452.77291292</v>
          </cell>
          <cell r="E765">
            <v>2014</v>
          </cell>
        </row>
        <row r="766">
          <cell r="D766">
            <v>199229406.62061554</v>
          </cell>
          <cell r="E766">
            <v>2014</v>
          </cell>
        </row>
        <row r="767">
          <cell r="D767">
            <v>164213565.64507365</v>
          </cell>
          <cell r="E767">
            <v>2014</v>
          </cell>
        </row>
        <row r="768">
          <cell r="D768">
            <v>199158350.12383768</v>
          </cell>
          <cell r="E768">
            <v>2014</v>
          </cell>
        </row>
        <row r="769">
          <cell r="D769">
            <v>199310471.07468602</v>
          </cell>
          <cell r="E769">
            <v>2014</v>
          </cell>
        </row>
        <row r="770">
          <cell r="D770">
            <v>199179366.83415228</v>
          </cell>
          <cell r="E770">
            <v>2014</v>
          </cell>
        </row>
        <row r="771">
          <cell r="D771">
            <v>200305000</v>
          </cell>
          <cell r="E771">
            <v>2014</v>
          </cell>
        </row>
        <row r="772">
          <cell r="D772">
            <v>198265000</v>
          </cell>
          <cell r="E772">
            <v>2014</v>
          </cell>
        </row>
        <row r="773">
          <cell r="D773">
            <v>199600000</v>
          </cell>
          <cell r="E773">
            <v>2014</v>
          </cell>
        </row>
        <row r="774">
          <cell r="D774">
            <v>199532000</v>
          </cell>
          <cell r="E774">
            <v>2014</v>
          </cell>
        </row>
        <row r="775">
          <cell r="D775">
            <v>200050000</v>
          </cell>
          <cell r="E775">
            <v>2014</v>
          </cell>
        </row>
        <row r="776">
          <cell r="D776">
            <v>200200000</v>
          </cell>
          <cell r="E776">
            <v>2014</v>
          </cell>
        </row>
        <row r="777">
          <cell r="D777">
            <v>199710000</v>
          </cell>
          <cell r="E777">
            <v>2014</v>
          </cell>
        </row>
        <row r="778">
          <cell r="D778">
            <v>199750000</v>
          </cell>
          <cell r="E778">
            <v>2014</v>
          </cell>
        </row>
        <row r="779">
          <cell r="D779">
            <v>200025000</v>
          </cell>
          <cell r="E779">
            <v>2014</v>
          </cell>
        </row>
        <row r="780">
          <cell r="D780">
            <v>199930000</v>
          </cell>
          <cell r="E780">
            <v>2014</v>
          </cell>
        </row>
        <row r="781">
          <cell r="D781">
            <v>199000000</v>
          </cell>
          <cell r="E781">
            <v>2014</v>
          </cell>
        </row>
        <row r="782">
          <cell r="D782">
            <v>199167000</v>
          </cell>
          <cell r="E782">
            <v>2014</v>
          </cell>
        </row>
        <row r="783">
          <cell r="D783">
            <v>198300000</v>
          </cell>
          <cell r="E783">
            <v>2014</v>
          </cell>
        </row>
        <row r="784">
          <cell r="D784">
            <v>197650000</v>
          </cell>
          <cell r="E784">
            <v>2014</v>
          </cell>
        </row>
        <row r="785">
          <cell r="D785">
            <v>198150000</v>
          </cell>
          <cell r="E785">
            <v>2014</v>
          </cell>
        </row>
        <row r="786">
          <cell r="D786">
            <v>195475522</v>
          </cell>
          <cell r="E786">
            <v>2015</v>
          </cell>
        </row>
        <row r="787">
          <cell r="D787">
            <v>193579751</v>
          </cell>
          <cell r="E787">
            <v>2015</v>
          </cell>
        </row>
        <row r="788">
          <cell r="D788">
            <v>194854327</v>
          </cell>
          <cell r="E788">
            <v>2015</v>
          </cell>
        </row>
        <row r="789">
          <cell r="D789">
            <v>194008286</v>
          </cell>
          <cell r="E789">
            <v>2015</v>
          </cell>
        </row>
        <row r="790">
          <cell r="D790">
            <v>194273613</v>
          </cell>
          <cell r="E790">
            <v>2015</v>
          </cell>
        </row>
        <row r="791">
          <cell r="D791">
            <v>193725722</v>
          </cell>
          <cell r="E791">
            <v>2015</v>
          </cell>
        </row>
        <row r="792">
          <cell r="D792">
            <v>194683613</v>
          </cell>
          <cell r="E792">
            <v>2015</v>
          </cell>
        </row>
        <row r="793">
          <cell r="D793">
            <v>193951280</v>
          </cell>
          <cell r="E793">
            <v>2015</v>
          </cell>
        </row>
        <row r="794">
          <cell r="D794">
            <v>184030734</v>
          </cell>
          <cell r="E794">
            <v>2015</v>
          </cell>
        </row>
        <row r="795">
          <cell r="D795">
            <v>194469852</v>
          </cell>
          <cell r="E795">
            <v>2015</v>
          </cell>
        </row>
        <row r="796">
          <cell r="D796">
            <v>188897648</v>
          </cell>
          <cell r="E796">
            <v>2015</v>
          </cell>
        </row>
        <row r="797">
          <cell r="D797">
            <v>1374815000</v>
          </cell>
          <cell r="E797">
            <v>2015</v>
          </cell>
        </row>
        <row r="798">
          <cell r="D798">
            <v>1013490000</v>
          </cell>
          <cell r="E798">
            <v>2015</v>
          </cell>
        </row>
        <row r="799">
          <cell r="D799">
            <v>182640000</v>
          </cell>
          <cell r="E799">
            <v>2015</v>
          </cell>
        </row>
        <row r="800">
          <cell r="D800">
            <v>181790000</v>
          </cell>
          <cell r="E800">
            <v>2015</v>
          </cell>
        </row>
        <row r="801">
          <cell r="D801">
            <v>180955000</v>
          </cell>
          <cell r="E801">
            <v>2015</v>
          </cell>
        </row>
        <row r="802">
          <cell r="D802">
            <v>182340000</v>
          </cell>
          <cell r="E802">
            <v>2015</v>
          </cell>
        </row>
        <row r="803">
          <cell r="D803">
            <v>182140000</v>
          </cell>
          <cell r="E803">
            <v>2015</v>
          </cell>
        </row>
        <row r="804">
          <cell r="D804">
            <v>181304000</v>
          </cell>
          <cell r="E804">
            <v>2015</v>
          </cell>
        </row>
        <row r="805">
          <cell r="D805">
            <v>182524000</v>
          </cell>
          <cell r="E805">
            <v>2015</v>
          </cell>
        </row>
        <row r="806">
          <cell r="D806">
            <v>182932000</v>
          </cell>
          <cell r="E806">
            <v>2015</v>
          </cell>
        </row>
        <row r="807">
          <cell r="D807">
            <v>180962000</v>
          </cell>
          <cell r="E807">
            <v>2015</v>
          </cell>
        </row>
        <row r="808">
          <cell r="D808">
            <v>180961000</v>
          </cell>
          <cell r="E808">
            <v>2015</v>
          </cell>
        </row>
        <row r="809">
          <cell r="D809">
            <v>181590000</v>
          </cell>
          <cell r="E809">
            <v>2015</v>
          </cell>
        </row>
        <row r="810">
          <cell r="D810">
            <v>180145000</v>
          </cell>
          <cell r="E810">
            <v>2015</v>
          </cell>
        </row>
        <row r="811">
          <cell r="D811">
            <v>181404000</v>
          </cell>
          <cell r="E811">
            <v>2015</v>
          </cell>
        </row>
        <row r="812">
          <cell r="D812">
            <v>180771000</v>
          </cell>
          <cell r="E812">
            <v>2015</v>
          </cell>
        </row>
        <row r="813">
          <cell r="D813">
            <v>174040000</v>
          </cell>
          <cell r="E813">
            <v>2015</v>
          </cell>
        </row>
        <row r="814">
          <cell r="D814">
            <v>179840000</v>
          </cell>
          <cell r="E814">
            <v>2015</v>
          </cell>
        </row>
        <row r="815">
          <cell r="D815">
            <v>180140000</v>
          </cell>
          <cell r="E815">
            <v>2015</v>
          </cell>
        </row>
        <row r="816">
          <cell r="D816">
            <v>180040000</v>
          </cell>
          <cell r="E816">
            <v>2015</v>
          </cell>
        </row>
        <row r="817">
          <cell r="D817">
            <v>189350000</v>
          </cell>
          <cell r="E817">
            <v>2015</v>
          </cell>
        </row>
        <row r="818">
          <cell r="D818">
            <v>809566000</v>
          </cell>
          <cell r="E818">
            <v>2015</v>
          </cell>
        </row>
        <row r="819">
          <cell r="D819">
            <v>391901000</v>
          </cell>
          <cell r="E819">
            <v>2015</v>
          </cell>
        </row>
        <row r="820">
          <cell r="D820">
            <v>464259700</v>
          </cell>
          <cell r="E820">
            <v>2015</v>
          </cell>
        </row>
        <row r="821">
          <cell r="D821">
            <v>191981000</v>
          </cell>
          <cell r="E821">
            <v>2015</v>
          </cell>
        </row>
        <row r="822">
          <cell r="D822">
            <v>190936000</v>
          </cell>
          <cell r="E822">
            <v>2015</v>
          </cell>
        </row>
        <row r="823">
          <cell r="D823">
            <v>191500000</v>
          </cell>
          <cell r="E823">
            <v>2015</v>
          </cell>
        </row>
        <row r="824">
          <cell r="D824">
            <v>191200000</v>
          </cell>
          <cell r="E824">
            <v>2015</v>
          </cell>
        </row>
        <row r="825">
          <cell r="D825">
            <v>190820000</v>
          </cell>
          <cell r="E825">
            <v>2015</v>
          </cell>
        </row>
        <row r="826">
          <cell r="D826">
            <v>190360000</v>
          </cell>
          <cell r="E826">
            <v>2015</v>
          </cell>
        </row>
        <row r="827">
          <cell r="D827">
            <v>191477000</v>
          </cell>
          <cell r="E827">
            <v>2015</v>
          </cell>
        </row>
        <row r="828">
          <cell r="D828">
            <v>190690000</v>
          </cell>
          <cell r="E828">
            <v>2015</v>
          </cell>
        </row>
        <row r="829">
          <cell r="D829">
            <v>191846000</v>
          </cell>
          <cell r="E829">
            <v>2015</v>
          </cell>
        </row>
        <row r="830">
          <cell r="D830">
            <v>1241345150</v>
          </cell>
          <cell r="E830">
            <v>2015</v>
          </cell>
        </row>
        <row r="831">
          <cell r="D831">
            <v>34650000</v>
          </cell>
          <cell r="E831">
            <v>2016</v>
          </cell>
        </row>
        <row r="832">
          <cell r="D832">
            <v>1436621000</v>
          </cell>
          <cell r="E832">
            <v>2016</v>
          </cell>
        </row>
        <row r="833">
          <cell r="D833">
            <v>1469936000</v>
          </cell>
          <cell r="E833">
            <v>2016</v>
          </cell>
        </row>
        <row r="834">
          <cell r="D834">
            <v>343248700</v>
          </cell>
          <cell r="E834">
            <v>2016</v>
          </cell>
        </row>
        <row r="835">
          <cell r="D835">
            <v>671012000</v>
          </cell>
          <cell r="E835">
            <v>2016</v>
          </cell>
        </row>
        <row r="836">
          <cell r="D836">
            <v>604876000</v>
          </cell>
          <cell r="E836">
            <v>2016</v>
          </cell>
        </row>
        <row r="837">
          <cell r="D837">
            <v>198750000</v>
          </cell>
          <cell r="E837">
            <v>2016</v>
          </cell>
        </row>
        <row r="838">
          <cell r="D838">
            <v>956331940.60419047</v>
          </cell>
          <cell r="E838">
            <v>2016</v>
          </cell>
        </row>
        <row r="839">
          <cell r="D839">
            <v>336929357.28234023</v>
          </cell>
          <cell r="E839">
            <v>2016</v>
          </cell>
        </row>
        <row r="840">
          <cell r="D840">
            <v>1135941291.9377246</v>
          </cell>
          <cell r="E840">
            <v>2016</v>
          </cell>
        </row>
        <row r="841">
          <cell r="D841">
            <v>362743119.08185184</v>
          </cell>
          <cell r="E841">
            <v>2016</v>
          </cell>
        </row>
        <row r="842">
          <cell r="D842">
            <v>718915413.7353797</v>
          </cell>
          <cell r="E842">
            <v>2016</v>
          </cell>
        </row>
        <row r="843">
          <cell r="D843">
            <v>790283293.48653066</v>
          </cell>
          <cell r="E843">
            <v>2016</v>
          </cell>
        </row>
        <row r="844">
          <cell r="D844">
            <v>340989191.43586475</v>
          </cell>
          <cell r="E844">
            <v>2016</v>
          </cell>
        </row>
        <row r="845">
          <cell r="D845">
            <v>708347994.3886112</v>
          </cell>
          <cell r="E845">
            <v>2016</v>
          </cell>
        </row>
        <row r="846">
          <cell r="D846">
            <v>190702953</v>
          </cell>
          <cell r="E846">
            <v>2016</v>
          </cell>
        </row>
        <row r="847">
          <cell r="D847">
            <v>320329000</v>
          </cell>
          <cell r="E847">
            <v>2016</v>
          </cell>
        </row>
        <row r="848">
          <cell r="D848">
            <v>919375000</v>
          </cell>
          <cell r="E848">
            <v>2015</v>
          </cell>
        </row>
        <row r="849">
          <cell r="D849">
            <v>1775636000</v>
          </cell>
          <cell r="E849">
            <v>2015</v>
          </cell>
        </row>
        <row r="850">
          <cell r="D850">
            <v>314300000</v>
          </cell>
          <cell r="E850">
            <v>2015</v>
          </cell>
        </row>
        <row r="851">
          <cell r="D851">
            <v>0</v>
          </cell>
        </row>
        <row r="852">
          <cell r="D852">
            <v>0</v>
          </cell>
        </row>
        <row r="853">
          <cell r="D853">
            <v>0</v>
          </cell>
        </row>
        <row r="854">
          <cell r="D854">
            <v>0</v>
          </cell>
        </row>
        <row r="855">
          <cell r="D855">
            <v>0</v>
          </cell>
        </row>
        <row r="856">
          <cell r="D856">
            <v>0</v>
          </cell>
        </row>
        <row r="857">
          <cell r="D857">
            <v>0</v>
          </cell>
        </row>
        <row r="858">
          <cell r="D858">
            <v>0</v>
          </cell>
        </row>
        <row r="859">
          <cell r="D859">
            <v>0</v>
          </cell>
        </row>
        <row r="860">
          <cell r="D860">
            <v>0</v>
          </cell>
        </row>
        <row r="861">
          <cell r="D861">
            <v>0</v>
          </cell>
        </row>
        <row r="862">
          <cell r="D862">
            <v>0</v>
          </cell>
        </row>
        <row r="863">
          <cell r="D863">
            <v>0</v>
          </cell>
        </row>
        <row r="864">
          <cell r="D864">
            <v>0</v>
          </cell>
        </row>
        <row r="865">
          <cell r="D865">
            <v>0</v>
          </cell>
        </row>
        <row r="866">
          <cell r="D866">
            <v>0</v>
          </cell>
        </row>
        <row r="867">
          <cell r="D867">
            <v>0</v>
          </cell>
        </row>
        <row r="868">
          <cell r="D868">
            <v>0</v>
          </cell>
        </row>
        <row r="869">
          <cell r="D869">
            <v>0</v>
          </cell>
        </row>
        <row r="870">
          <cell r="D870">
            <v>0</v>
          </cell>
        </row>
        <row r="871">
          <cell r="D871">
            <v>0</v>
          </cell>
        </row>
        <row r="872">
          <cell r="D872">
            <v>0</v>
          </cell>
        </row>
        <row r="873">
          <cell r="D873">
            <v>0</v>
          </cell>
        </row>
        <row r="874">
          <cell r="D874">
            <v>0</v>
          </cell>
        </row>
        <row r="875">
          <cell r="D875">
            <v>0</v>
          </cell>
        </row>
        <row r="876">
          <cell r="D876">
            <v>0</v>
          </cell>
        </row>
        <row r="877">
          <cell r="D877">
            <v>0</v>
          </cell>
        </row>
        <row r="878">
          <cell r="D878">
            <v>0</v>
          </cell>
        </row>
        <row r="879">
          <cell r="D879">
            <v>0</v>
          </cell>
        </row>
        <row r="880">
          <cell r="D880">
            <v>0</v>
          </cell>
        </row>
        <row r="881">
          <cell r="D881">
            <v>0</v>
          </cell>
        </row>
        <row r="882">
          <cell r="D882">
            <v>0</v>
          </cell>
        </row>
        <row r="883">
          <cell r="D883">
            <v>0</v>
          </cell>
        </row>
        <row r="884">
          <cell r="D884">
            <v>0</v>
          </cell>
        </row>
        <row r="885">
          <cell r="D885">
            <v>0</v>
          </cell>
        </row>
        <row r="886">
          <cell r="D886">
            <v>0</v>
          </cell>
        </row>
        <row r="887">
          <cell r="D887">
            <v>0</v>
          </cell>
        </row>
        <row r="888">
          <cell r="D888">
            <v>0</v>
          </cell>
        </row>
        <row r="889">
          <cell r="D889">
            <v>0</v>
          </cell>
        </row>
        <row r="890">
          <cell r="D890">
            <v>0</v>
          </cell>
        </row>
        <row r="891">
          <cell r="D891">
            <v>0</v>
          </cell>
        </row>
        <row r="892">
          <cell r="D892">
            <v>0</v>
          </cell>
        </row>
        <row r="893">
          <cell r="D893">
            <v>0</v>
          </cell>
        </row>
        <row r="894">
          <cell r="D894">
            <v>0</v>
          </cell>
        </row>
        <row r="895">
          <cell r="D895">
            <v>0</v>
          </cell>
        </row>
        <row r="896">
          <cell r="D896">
            <v>0</v>
          </cell>
        </row>
        <row r="897">
          <cell r="D897">
            <v>0</v>
          </cell>
        </row>
        <row r="898">
          <cell r="D898">
            <v>0</v>
          </cell>
        </row>
        <row r="899">
          <cell r="D899">
            <v>0</v>
          </cell>
        </row>
        <row r="900">
          <cell r="D900">
            <v>0</v>
          </cell>
        </row>
        <row r="901">
          <cell r="D901">
            <v>0</v>
          </cell>
        </row>
        <row r="902">
          <cell r="D902">
            <v>0</v>
          </cell>
        </row>
        <row r="903">
          <cell r="D903">
            <v>0</v>
          </cell>
        </row>
        <row r="904">
          <cell r="D904">
            <v>0</v>
          </cell>
        </row>
        <row r="905">
          <cell r="D905">
            <v>0</v>
          </cell>
        </row>
        <row r="906">
          <cell r="D906">
            <v>0</v>
          </cell>
        </row>
        <row r="907">
          <cell r="D907">
            <v>0</v>
          </cell>
        </row>
        <row r="908">
          <cell r="D908">
            <v>0</v>
          </cell>
        </row>
        <row r="909">
          <cell r="D909">
            <v>0</v>
          </cell>
        </row>
        <row r="910">
          <cell r="D910">
            <v>0</v>
          </cell>
        </row>
        <row r="911">
          <cell r="D911">
            <v>0</v>
          </cell>
        </row>
        <row r="912">
          <cell r="D912">
            <v>0</v>
          </cell>
        </row>
        <row r="913">
          <cell r="D913">
            <v>0</v>
          </cell>
        </row>
        <row r="914">
          <cell r="D914">
            <v>0</v>
          </cell>
        </row>
        <row r="915">
          <cell r="D915">
            <v>0</v>
          </cell>
        </row>
        <row r="916">
          <cell r="D916">
            <v>0</v>
          </cell>
        </row>
        <row r="917">
          <cell r="D917">
            <v>0</v>
          </cell>
        </row>
        <row r="918">
          <cell r="D918">
            <v>0</v>
          </cell>
        </row>
        <row r="919">
          <cell r="D919">
            <v>0</v>
          </cell>
        </row>
        <row r="920">
          <cell r="D920">
            <v>0</v>
          </cell>
        </row>
        <row r="921">
          <cell r="D921">
            <v>0</v>
          </cell>
        </row>
        <row r="922">
          <cell r="D922">
            <v>0</v>
          </cell>
        </row>
        <row r="923">
          <cell r="D923">
            <v>0</v>
          </cell>
        </row>
        <row r="924">
          <cell r="D924">
            <v>0</v>
          </cell>
        </row>
        <row r="925">
          <cell r="D925">
            <v>0</v>
          </cell>
        </row>
        <row r="926">
          <cell r="D926">
            <v>0</v>
          </cell>
        </row>
        <row r="927">
          <cell r="D927">
            <v>0</v>
          </cell>
        </row>
        <row r="928">
          <cell r="D928">
            <v>0</v>
          </cell>
        </row>
        <row r="929">
          <cell r="D929">
            <v>0</v>
          </cell>
        </row>
        <row r="930">
          <cell r="D930">
            <v>0</v>
          </cell>
        </row>
        <row r="931">
          <cell r="D931">
            <v>0</v>
          </cell>
        </row>
        <row r="932">
          <cell r="D932">
            <v>0</v>
          </cell>
        </row>
        <row r="933">
          <cell r="D933">
            <v>0</v>
          </cell>
        </row>
        <row r="934">
          <cell r="D934">
            <v>0</v>
          </cell>
        </row>
        <row r="935">
          <cell r="D935">
            <v>0</v>
          </cell>
        </row>
        <row r="936">
          <cell r="D936">
            <v>0</v>
          </cell>
        </row>
        <row r="937">
          <cell r="D937">
            <v>0</v>
          </cell>
        </row>
        <row r="938">
          <cell r="D938">
            <v>0</v>
          </cell>
        </row>
        <row r="939">
          <cell r="D939">
            <v>0</v>
          </cell>
        </row>
        <row r="940">
          <cell r="D940">
            <v>0</v>
          </cell>
        </row>
        <row r="941">
          <cell r="D941">
            <v>0</v>
          </cell>
        </row>
        <row r="942">
          <cell r="D942">
            <v>0</v>
          </cell>
        </row>
        <row r="943">
          <cell r="D943">
            <v>0</v>
          </cell>
        </row>
        <row r="944">
          <cell r="D944">
            <v>0</v>
          </cell>
        </row>
        <row r="945">
          <cell r="D945">
            <v>0</v>
          </cell>
        </row>
        <row r="946">
          <cell r="D946">
            <v>0</v>
          </cell>
        </row>
        <row r="947">
          <cell r="D947">
            <v>0</v>
          </cell>
        </row>
        <row r="948">
          <cell r="D948">
            <v>0</v>
          </cell>
        </row>
        <row r="949">
          <cell r="D949">
            <v>0</v>
          </cell>
        </row>
        <row r="950">
          <cell r="D950">
            <v>0</v>
          </cell>
        </row>
        <row r="951">
          <cell r="D951">
            <v>0</v>
          </cell>
        </row>
        <row r="952">
          <cell r="D952">
            <v>0</v>
          </cell>
        </row>
        <row r="953">
          <cell r="D953">
            <v>0</v>
          </cell>
        </row>
        <row r="954">
          <cell r="D954">
            <v>0</v>
          </cell>
        </row>
        <row r="955">
          <cell r="D955">
            <v>0</v>
          </cell>
        </row>
        <row r="956">
          <cell r="D956">
            <v>0</v>
          </cell>
        </row>
        <row r="957">
          <cell r="D957">
            <v>0</v>
          </cell>
        </row>
        <row r="958">
          <cell r="D958">
            <v>0</v>
          </cell>
        </row>
        <row r="959">
          <cell r="D959">
            <v>0</v>
          </cell>
        </row>
        <row r="960">
          <cell r="D960">
            <v>0</v>
          </cell>
        </row>
        <row r="961">
          <cell r="D961">
            <v>0</v>
          </cell>
        </row>
        <row r="962">
          <cell r="D962">
            <v>0</v>
          </cell>
        </row>
        <row r="963">
          <cell r="D963">
            <v>0</v>
          </cell>
        </row>
        <row r="964">
          <cell r="D964">
            <v>0</v>
          </cell>
        </row>
        <row r="965">
          <cell r="D965">
            <v>0</v>
          </cell>
        </row>
        <row r="966">
          <cell r="D966">
            <v>0</v>
          </cell>
        </row>
        <row r="967">
          <cell r="D967">
            <v>0</v>
          </cell>
        </row>
        <row r="968">
          <cell r="D968">
            <v>0</v>
          </cell>
        </row>
        <row r="969">
          <cell r="D969">
            <v>0</v>
          </cell>
        </row>
        <row r="970">
          <cell r="D970">
            <v>0</v>
          </cell>
        </row>
        <row r="971">
          <cell r="D971">
            <v>0</v>
          </cell>
        </row>
        <row r="972">
          <cell r="D972">
            <v>0</v>
          </cell>
        </row>
        <row r="973">
          <cell r="D973">
            <v>0</v>
          </cell>
        </row>
        <row r="974">
          <cell r="D974">
            <v>0</v>
          </cell>
        </row>
        <row r="975">
          <cell r="D975">
            <v>0</v>
          </cell>
        </row>
        <row r="976">
          <cell r="D976">
            <v>0</v>
          </cell>
        </row>
        <row r="977">
          <cell r="D977">
            <v>0</v>
          </cell>
        </row>
        <row r="978">
          <cell r="D978">
            <v>0</v>
          </cell>
        </row>
        <row r="979">
          <cell r="D979">
            <v>0</v>
          </cell>
        </row>
        <row r="980">
          <cell r="D980">
            <v>0</v>
          </cell>
        </row>
        <row r="981">
          <cell r="D981">
            <v>0</v>
          </cell>
        </row>
        <row r="982">
          <cell r="D982">
            <v>0</v>
          </cell>
        </row>
        <row r="983">
          <cell r="D983">
            <v>0</v>
          </cell>
        </row>
        <row r="984">
          <cell r="D984">
            <v>0</v>
          </cell>
        </row>
        <row r="985">
          <cell r="D985">
            <v>0</v>
          </cell>
        </row>
        <row r="986">
          <cell r="D986">
            <v>0</v>
          </cell>
        </row>
        <row r="987">
          <cell r="D987">
            <v>0</v>
          </cell>
        </row>
        <row r="988">
          <cell r="D988">
            <v>0</v>
          </cell>
        </row>
        <row r="989">
          <cell r="D989">
            <v>0</v>
          </cell>
        </row>
        <row r="990">
          <cell r="D990">
            <v>0</v>
          </cell>
        </row>
        <row r="991">
          <cell r="D991">
            <v>0</v>
          </cell>
        </row>
        <row r="992">
          <cell r="D992">
            <v>0</v>
          </cell>
        </row>
        <row r="993">
          <cell r="D993">
            <v>0</v>
          </cell>
        </row>
        <row r="994">
          <cell r="D994">
            <v>0</v>
          </cell>
        </row>
        <row r="995">
          <cell r="D995">
            <v>0</v>
          </cell>
        </row>
        <row r="996">
          <cell r="D996">
            <v>0</v>
          </cell>
        </row>
        <row r="997">
          <cell r="D997">
            <v>0</v>
          </cell>
        </row>
        <row r="998">
          <cell r="D998">
            <v>0</v>
          </cell>
        </row>
        <row r="999">
          <cell r="D999">
            <v>0</v>
          </cell>
        </row>
        <row r="1000">
          <cell r="D1000">
            <v>0</v>
          </cell>
        </row>
        <row r="1001">
          <cell r="D1001">
            <v>0</v>
          </cell>
        </row>
        <row r="1002">
          <cell r="D1002">
            <v>0</v>
          </cell>
        </row>
        <row r="1003">
          <cell r="D1003">
            <v>0</v>
          </cell>
        </row>
        <row r="1004">
          <cell r="D1004">
            <v>0</v>
          </cell>
        </row>
        <row r="1005">
          <cell r="D1005">
            <v>0</v>
          </cell>
        </row>
        <row r="1006">
          <cell r="D1006">
            <v>0</v>
          </cell>
        </row>
        <row r="1007">
          <cell r="D1007">
            <v>0</v>
          </cell>
        </row>
        <row r="1008">
          <cell r="D1008">
            <v>0</v>
          </cell>
        </row>
        <row r="1009">
          <cell r="D1009">
            <v>0</v>
          </cell>
        </row>
        <row r="1010">
          <cell r="D1010">
            <v>0</v>
          </cell>
        </row>
        <row r="1011">
          <cell r="D1011">
            <v>0</v>
          </cell>
        </row>
        <row r="1012">
          <cell r="D1012">
            <v>0</v>
          </cell>
        </row>
        <row r="1013">
          <cell r="D1013">
            <v>0</v>
          </cell>
        </row>
        <row r="1014">
          <cell r="D1014">
            <v>0</v>
          </cell>
        </row>
        <row r="1015">
          <cell r="D1015">
            <v>0</v>
          </cell>
        </row>
        <row r="1016">
          <cell r="D1016">
            <v>0</v>
          </cell>
        </row>
        <row r="1017">
          <cell r="D1017">
            <v>0</v>
          </cell>
        </row>
        <row r="1018">
          <cell r="D1018">
            <v>0</v>
          </cell>
        </row>
        <row r="1019">
          <cell r="D1019">
            <v>0</v>
          </cell>
        </row>
        <row r="1020">
          <cell r="D1020">
            <v>0</v>
          </cell>
        </row>
        <row r="1021">
          <cell r="D1021">
            <v>0</v>
          </cell>
        </row>
        <row r="1022">
          <cell r="D1022">
            <v>0</v>
          </cell>
        </row>
        <row r="1023">
          <cell r="D1023">
            <v>0</v>
          </cell>
        </row>
        <row r="1024">
          <cell r="D1024">
            <v>0</v>
          </cell>
        </row>
        <row r="1025">
          <cell r="D1025">
            <v>0</v>
          </cell>
        </row>
        <row r="1026">
          <cell r="D1026">
            <v>0</v>
          </cell>
        </row>
        <row r="1027">
          <cell r="D1027">
            <v>0</v>
          </cell>
        </row>
        <row r="1028">
          <cell r="D1028">
            <v>0</v>
          </cell>
        </row>
        <row r="1029">
          <cell r="D1029">
            <v>0</v>
          </cell>
        </row>
        <row r="1030">
          <cell r="D1030">
            <v>0</v>
          </cell>
        </row>
        <row r="1031">
          <cell r="D1031">
            <v>0</v>
          </cell>
        </row>
        <row r="1032">
          <cell r="D1032">
            <v>0</v>
          </cell>
        </row>
        <row r="1033">
          <cell r="D1033">
            <v>0</v>
          </cell>
        </row>
        <row r="1034">
          <cell r="D1034">
            <v>0</v>
          </cell>
        </row>
        <row r="1035">
          <cell r="D1035">
            <v>0</v>
          </cell>
        </row>
        <row r="1036">
          <cell r="D1036">
            <v>0</v>
          </cell>
        </row>
        <row r="1037">
          <cell r="D1037">
            <v>0</v>
          </cell>
        </row>
        <row r="1038">
          <cell r="D1038">
            <v>0</v>
          </cell>
        </row>
        <row r="1039">
          <cell r="D1039">
            <v>0</v>
          </cell>
        </row>
        <row r="1040">
          <cell r="D1040">
            <v>0</v>
          </cell>
        </row>
        <row r="1041">
          <cell r="D1041">
            <v>0</v>
          </cell>
        </row>
        <row r="1042">
          <cell r="D1042">
            <v>0</v>
          </cell>
        </row>
        <row r="1043">
          <cell r="D1043">
            <v>0</v>
          </cell>
        </row>
        <row r="1044">
          <cell r="D1044">
            <v>0</v>
          </cell>
        </row>
        <row r="1045">
          <cell r="D1045">
            <v>0</v>
          </cell>
        </row>
        <row r="1046">
          <cell r="D1046">
            <v>0</v>
          </cell>
        </row>
        <row r="1047">
          <cell r="D1047">
            <v>0</v>
          </cell>
        </row>
        <row r="1048">
          <cell r="D1048">
            <v>0</v>
          </cell>
        </row>
        <row r="1049">
          <cell r="D1049">
            <v>0</v>
          </cell>
        </row>
        <row r="1050">
          <cell r="D1050">
            <v>0</v>
          </cell>
        </row>
        <row r="1051">
          <cell r="D1051">
            <v>0</v>
          </cell>
        </row>
        <row r="1052">
          <cell r="D1052">
            <v>0</v>
          </cell>
        </row>
        <row r="1053">
          <cell r="D1053">
            <v>0</v>
          </cell>
        </row>
        <row r="1054">
          <cell r="D1054">
            <v>0</v>
          </cell>
        </row>
        <row r="1055">
          <cell r="D1055">
            <v>0</v>
          </cell>
        </row>
        <row r="1056">
          <cell r="D1056">
            <v>0</v>
          </cell>
        </row>
        <row r="1057">
          <cell r="D1057">
            <v>0</v>
          </cell>
        </row>
        <row r="1058">
          <cell r="D1058">
            <v>0</v>
          </cell>
        </row>
        <row r="1059">
          <cell r="D1059">
            <v>0</v>
          </cell>
        </row>
        <row r="1060">
          <cell r="D1060">
            <v>0</v>
          </cell>
        </row>
        <row r="1061">
          <cell r="D1061">
            <v>0</v>
          </cell>
        </row>
        <row r="1062">
          <cell r="D1062">
            <v>0</v>
          </cell>
        </row>
        <row r="1063">
          <cell r="D1063">
            <v>0</v>
          </cell>
        </row>
        <row r="1064">
          <cell r="D1064">
            <v>0</v>
          </cell>
        </row>
        <row r="1065">
          <cell r="D1065">
            <v>0</v>
          </cell>
        </row>
        <row r="1066">
          <cell r="D1066">
            <v>0</v>
          </cell>
        </row>
        <row r="1067">
          <cell r="D1067">
            <v>0</v>
          </cell>
        </row>
        <row r="1068">
          <cell r="D1068">
            <v>0</v>
          </cell>
        </row>
        <row r="1069">
          <cell r="D1069">
            <v>0</v>
          </cell>
        </row>
        <row r="1070">
          <cell r="D1070">
            <v>0</v>
          </cell>
        </row>
        <row r="1071">
          <cell r="D1071">
            <v>0</v>
          </cell>
        </row>
        <row r="1072">
          <cell r="D1072">
            <v>0</v>
          </cell>
        </row>
        <row r="1073">
          <cell r="D1073">
            <v>0</v>
          </cell>
        </row>
        <row r="1074">
          <cell r="D1074">
            <v>0</v>
          </cell>
        </row>
        <row r="1075">
          <cell r="D1075">
            <v>0</v>
          </cell>
        </row>
        <row r="1076">
          <cell r="D1076">
            <v>0</v>
          </cell>
        </row>
        <row r="1077">
          <cell r="D1077">
            <v>0</v>
          </cell>
        </row>
        <row r="1078">
          <cell r="D1078">
            <v>0</v>
          </cell>
        </row>
        <row r="1079">
          <cell r="D1079">
            <v>0</v>
          </cell>
        </row>
        <row r="1080">
          <cell r="D1080">
            <v>0</v>
          </cell>
        </row>
        <row r="1081">
          <cell r="D1081">
            <v>0</v>
          </cell>
        </row>
        <row r="1082">
          <cell r="D1082">
            <v>0</v>
          </cell>
        </row>
        <row r="1083">
          <cell r="D1083">
            <v>0</v>
          </cell>
        </row>
        <row r="1084">
          <cell r="D1084">
            <v>0</v>
          </cell>
        </row>
        <row r="1085">
          <cell r="D1085">
            <v>0</v>
          </cell>
        </row>
        <row r="1086">
          <cell r="D1086">
            <v>0</v>
          </cell>
        </row>
        <row r="1087">
          <cell r="D1087">
            <v>0</v>
          </cell>
        </row>
        <row r="1088">
          <cell r="D1088">
            <v>0</v>
          </cell>
        </row>
        <row r="1089">
          <cell r="D1089">
            <v>0</v>
          </cell>
        </row>
        <row r="1090">
          <cell r="D1090">
            <v>0</v>
          </cell>
        </row>
        <row r="1091">
          <cell r="D1091">
            <v>0</v>
          </cell>
        </row>
        <row r="1092">
          <cell r="D1092">
            <v>0</v>
          </cell>
        </row>
        <row r="1093">
          <cell r="D1093">
            <v>0</v>
          </cell>
        </row>
        <row r="1094">
          <cell r="D1094">
            <v>0</v>
          </cell>
        </row>
        <row r="1095">
          <cell r="D1095">
            <v>0</v>
          </cell>
        </row>
        <row r="1096">
          <cell r="D1096">
            <v>0</v>
          </cell>
        </row>
        <row r="1097">
          <cell r="D1097">
            <v>0</v>
          </cell>
        </row>
        <row r="1098">
          <cell r="D1098">
            <v>0</v>
          </cell>
        </row>
        <row r="1099">
          <cell r="D1099">
            <v>0</v>
          </cell>
        </row>
        <row r="1100">
          <cell r="D1100">
            <v>0</v>
          </cell>
        </row>
        <row r="1101">
          <cell r="D1101">
            <v>0</v>
          </cell>
        </row>
        <row r="1102">
          <cell r="D1102">
            <v>0</v>
          </cell>
        </row>
        <row r="1103">
          <cell r="D1103">
            <v>0</v>
          </cell>
        </row>
        <row r="1104">
          <cell r="D1104">
            <v>0</v>
          </cell>
        </row>
        <row r="1105">
          <cell r="D1105">
            <v>0</v>
          </cell>
        </row>
        <row r="1106">
          <cell r="D1106">
            <v>0</v>
          </cell>
        </row>
        <row r="1107">
          <cell r="D1107">
            <v>0</v>
          </cell>
        </row>
        <row r="1108">
          <cell r="D1108">
            <v>0</v>
          </cell>
        </row>
        <row r="1109">
          <cell r="D1109">
            <v>0</v>
          </cell>
        </row>
        <row r="1110">
          <cell r="D1110">
            <v>0</v>
          </cell>
        </row>
        <row r="1111">
          <cell r="D1111">
            <v>0</v>
          </cell>
        </row>
        <row r="1112">
          <cell r="D1112">
            <v>0</v>
          </cell>
        </row>
        <row r="1113">
          <cell r="D1113">
            <v>0</v>
          </cell>
        </row>
        <row r="1114">
          <cell r="D1114">
            <v>0</v>
          </cell>
        </row>
        <row r="1115">
          <cell r="D1115">
            <v>0</v>
          </cell>
        </row>
        <row r="1116">
          <cell r="D1116">
            <v>0</v>
          </cell>
        </row>
        <row r="1117">
          <cell r="D1117">
            <v>0</v>
          </cell>
        </row>
        <row r="1118">
          <cell r="D1118">
            <v>0</v>
          </cell>
        </row>
        <row r="1119">
          <cell r="D1119">
            <v>0</v>
          </cell>
        </row>
        <row r="1120">
          <cell r="D1120">
            <v>0</v>
          </cell>
        </row>
        <row r="1121">
          <cell r="D1121">
            <v>0</v>
          </cell>
        </row>
        <row r="1122">
          <cell r="D1122">
            <v>0</v>
          </cell>
        </row>
        <row r="1123">
          <cell r="D1123">
            <v>0</v>
          </cell>
        </row>
        <row r="1124">
          <cell r="D1124">
            <v>0</v>
          </cell>
        </row>
        <row r="1125">
          <cell r="D1125">
            <v>0</v>
          </cell>
        </row>
        <row r="1126">
          <cell r="D1126">
            <v>0</v>
          </cell>
        </row>
        <row r="1127">
          <cell r="D1127">
            <v>0</v>
          </cell>
        </row>
        <row r="1128">
          <cell r="D1128">
            <v>0</v>
          </cell>
        </row>
        <row r="1129">
          <cell r="D1129">
            <v>0</v>
          </cell>
        </row>
        <row r="1130">
          <cell r="D1130">
            <v>0</v>
          </cell>
        </row>
        <row r="1131">
          <cell r="D1131">
            <v>0</v>
          </cell>
        </row>
        <row r="1132">
          <cell r="D1132">
            <v>0</v>
          </cell>
        </row>
        <row r="1133">
          <cell r="D1133">
            <v>0</v>
          </cell>
        </row>
        <row r="1134">
          <cell r="D1134">
            <v>0</v>
          </cell>
        </row>
        <row r="1135">
          <cell r="D1135">
            <v>0</v>
          </cell>
        </row>
        <row r="1136">
          <cell r="D1136">
            <v>0</v>
          </cell>
        </row>
        <row r="1137">
          <cell r="D1137">
            <v>0</v>
          </cell>
        </row>
        <row r="1138">
          <cell r="D1138">
            <v>0</v>
          </cell>
        </row>
        <row r="1139">
          <cell r="D1139">
            <v>0</v>
          </cell>
        </row>
        <row r="1140">
          <cell r="D1140">
            <v>0</v>
          </cell>
        </row>
        <row r="1141">
          <cell r="D1141">
            <v>0</v>
          </cell>
        </row>
        <row r="1142">
          <cell r="D1142">
            <v>0</v>
          </cell>
        </row>
        <row r="1143">
          <cell r="D1143">
            <v>0</v>
          </cell>
        </row>
        <row r="1144">
          <cell r="D1144">
            <v>0</v>
          </cell>
        </row>
        <row r="1145">
          <cell r="D1145">
            <v>0</v>
          </cell>
        </row>
        <row r="1146">
          <cell r="D1146">
            <v>0</v>
          </cell>
        </row>
        <row r="1147">
          <cell r="D1147">
            <v>0</v>
          </cell>
        </row>
        <row r="1148">
          <cell r="D1148">
            <v>0</v>
          </cell>
        </row>
        <row r="1149">
          <cell r="D1149">
            <v>0</v>
          </cell>
        </row>
        <row r="1150">
          <cell r="D1150">
            <v>0</v>
          </cell>
        </row>
        <row r="1151">
          <cell r="D1151">
            <v>0</v>
          </cell>
        </row>
        <row r="1152">
          <cell r="D1152">
            <v>0</v>
          </cell>
        </row>
        <row r="1153">
          <cell r="D1153">
            <v>0</v>
          </cell>
        </row>
        <row r="1154">
          <cell r="D1154">
            <v>0</v>
          </cell>
        </row>
        <row r="1155">
          <cell r="D1155">
            <v>0</v>
          </cell>
        </row>
        <row r="1156">
          <cell r="D1156">
            <v>0</v>
          </cell>
        </row>
        <row r="1157">
          <cell r="D1157">
            <v>0</v>
          </cell>
        </row>
        <row r="1158">
          <cell r="D1158">
            <v>0</v>
          </cell>
        </row>
        <row r="1159">
          <cell r="D1159">
            <v>0</v>
          </cell>
        </row>
        <row r="1160">
          <cell r="D1160">
            <v>0</v>
          </cell>
        </row>
        <row r="1161">
          <cell r="D1161">
            <v>0</v>
          </cell>
        </row>
        <row r="1162">
          <cell r="D1162">
            <v>0</v>
          </cell>
        </row>
        <row r="1163">
          <cell r="D1163">
            <v>0</v>
          </cell>
        </row>
        <row r="1164">
          <cell r="D1164">
            <v>0</v>
          </cell>
        </row>
        <row r="1165">
          <cell r="D1165">
            <v>0</v>
          </cell>
        </row>
        <row r="1166">
          <cell r="D1166">
            <v>0</v>
          </cell>
        </row>
        <row r="1167">
          <cell r="D1167">
            <v>0</v>
          </cell>
        </row>
        <row r="1168">
          <cell r="D1168">
            <v>0</v>
          </cell>
        </row>
        <row r="1169">
          <cell r="D1169">
            <v>0</v>
          </cell>
        </row>
        <row r="1170">
          <cell r="D1170">
            <v>0</v>
          </cell>
        </row>
        <row r="1171">
          <cell r="D1171">
            <v>0</v>
          </cell>
        </row>
        <row r="1172">
          <cell r="D1172">
            <v>0</v>
          </cell>
        </row>
        <row r="1173">
          <cell r="D1173">
            <v>0</v>
          </cell>
        </row>
        <row r="1174">
          <cell r="D1174">
            <v>0</v>
          </cell>
        </row>
        <row r="1175">
          <cell r="D1175">
            <v>0</v>
          </cell>
        </row>
        <row r="1176">
          <cell r="D1176">
            <v>0</v>
          </cell>
        </row>
        <row r="1177">
          <cell r="D1177">
            <v>0</v>
          </cell>
        </row>
        <row r="1178">
          <cell r="D1178">
            <v>0</v>
          </cell>
        </row>
        <row r="1179">
          <cell r="D1179">
            <v>0</v>
          </cell>
        </row>
        <row r="1180">
          <cell r="D1180">
            <v>0</v>
          </cell>
        </row>
        <row r="1181">
          <cell r="D1181">
            <v>0</v>
          </cell>
        </row>
        <row r="1182">
          <cell r="D1182">
            <v>0</v>
          </cell>
        </row>
        <row r="1183">
          <cell r="D1183">
            <v>0</v>
          </cell>
        </row>
        <row r="1184">
          <cell r="D1184">
            <v>0</v>
          </cell>
        </row>
        <row r="1185">
          <cell r="D1185">
            <v>0</v>
          </cell>
        </row>
        <row r="1186">
          <cell r="D1186">
            <v>0</v>
          </cell>
        </row>
        <row r="1187">
          <cell r="D1187">
            <v>0</v>
          </cell>
        </row>
        <row r="1188">
          <cell r="D1188">
            <v>0</v>
          </cell>
        </row>
        <row r="1189">
          <cell r="D1189">
            <v>0</v>
          </cell>
        </row>
        <row r="1190">
          <cell r="D1190">
            <v>0</v>
          </cell>
        </row>
        <row r="1191">
          <cell r="D1191">
            <v>0</v>
          </cell>
        </row>
        <row r="1192">
          <cell r="D1192">
            <v>0</v>
          </cell>
        </row>
        <row r="1193">
          <cell r="D1193">
            <v>0</v>
          </cell>
        </row>
        <row r="1194">
          <cell r="D1194">
            <v>0</v>
          </cell>
        </row>
        <row r="1195">
          <cell r="D1195">
            <v>0</v>
          </cell>
        </row>
        <row r="1196">
          <cell r="D1196">
            <v>0</v>
          </cell>
        </row>
        <row r="1197">
          <cell r="D1197">
            <v>0</v>
          </cell>
        </row>
        <row r="1198">
          <cell r="D1198">
            <v>0</v>
          </cell>
        </row>
        <row r="1199">
          <cell r="D1199">
            <v>0</v>
          </cell>
        </row>
        <row r="1200">
          <cell r="D1200">
            <v>0</v>
          </cell>
        </row>
        <row r="1201">
          <cell r="D1201">
            <v>0</v>
          </cell>
        </row>
        <row r="1202">
          <cell r="D1202">
            <v>0</v>
          </cell>
        </row>
        <row r="1203">
          <cell r="D1203">
            <v>0</v>
          </cell>
        </row>
        <row r="1204">
          <cell r="D1204">
            <v>0</v>
          </cell>
        </row>
        <row r="1205">
          <cell r="D1205">
            <v>0</v>
          </cell>
        </row>
        <row r="1206">
          <cell r="D1206">
            <v>0</v>
          </cell>
        </row>
        <row r="1207">
          <cell r="D1207">
            <v>0</v>
          </cell>
        </row>
        <row r="1208">
          <cell r="D1208">
            <v>0</v>
          </cell>
        </row>
        <row r="1209">
          <cell r="D1209">
            <v>0</v>
          </cell>
        </row>
        <row r="1210">
          <cell r="D1210">
            <v>0</v>
          </cell>
        </row>
        <row r="1211">
          <cell r="D1211">
            <v>0</v>
          </cell>
        </row>
        <row r="1212">
          <cell r="D1212">
            <v>0</v>
          </cell>
        </row>
        <row r="1213">
          <cell r="D1213">
            <v>0</v>
          </cell>
        </row>
        <row r="1214">
          <cell r="D1214">
            <v>0</v>
          </cell>
        </row>
        <row r="1215">
          <cell r="D1215">
            <v>0</v>
          </cell>
        </row>
        <row r="1216">
          <cell r="D1216">
            <v>0</v>
          </cell>
        </row>
        <row r="1217">
          <cell r="D1217">
            <v>0</v>
          </cell>
        </row>
        <row r="1218">
          <cell r="D1218">
            <v>0</v>
          </cell>
        </row>
        <row r="1219">
          <cell r="D1219">
            <v>0</v>
          </cell>
        </row>
        <row r="1220">
          <cell r="D1220">
            <v>0</v>
          </cell>
        </row>
        <row r="1221">
          <cell r="D1221">
            <v>0</v>
          </cell>
        </row>
        <row r="1222">
          <cell r="D1222">
            <v>0</v>
          </cell>
        </row>
        <row r="1223">
          <cell r="D1223">
            <v>0</v>
          </cell>
        </row>
        <row r="1224">
          <cell r="D1224">
            <v>0</v>
          </cell>
        </row>
        <row r="1225">
          <cell r="D1225">
            <v>0</v>
          </cell>
        </row>
        <row r="1226">
          <cell r="D1226">
            <v>0</v>
          </cell>
        </row>
        <row r="1227">
          <cell r="D1227">
            <v>0</v>
          </cell>
        </row>
        <row r="1228">
          <cell r="D1228">
            <v>0</v>
          </cell>
        </row>
        <row r="1229">
          <cell r="D1229">
            <v>0</v>
          </cell>
        </row>
        <row r="1230">
          <cell r="D1230">
            <v>0</v>
          </cell>
        </row>
        <row r="1231">
          <cell r="D1231">
            <v>0</v>
          </cell>
        </row>
        <row r="1232">
          <cell r="D1232">
            <v>0</v>
          </cell>
        </row>
        <row r="1233">
          <cell r="D1233">
            <v>0</v>
          </cell>
        </row>
        <row r="1234">
          <cell r="D1234">
            <v>0</v>
          </cell>
        </row>
        <row r="1235">
          <cell r="D1235">
            <v>0</v>
          </cell>
        </row>
        <row r="1236">
          <cell r="D1236">
            <v>0</v>
          </cell>
        </row>
        <row r="1237">
          <cell r="D1237">
            <v>0</v>
          </cell>
        </row>
        <row r="1238">
          <cell r="D1238">
            <v>0</v>
          </cell>
        </row>
        <row r="1239">
          <cell r="D1239">
            <v>0</v>
          </cell>
        </row>
        <row r="1240">
          <cell r="D1240">
            <v>0</v>
          </cell>
        </row>
        <row r="1241">
          <cell r="D1241">
            <v>0</v>
          </cell>
        </row>
        <row r="1242">
          <cell r="D1242">
            <v>0</v>
          </cell>
        </row>
        <row r="1243">
          <cell r="D1243">
            <v>0</v>
          </cell>
        </row>
        <row r="1244">
          <cell r="D1244">
            <v>0</v>
          </cell>
        </row>
        <row r="1245">
          <cell r="D1245">
            <v>0</v>
          </cell>
        </row>
        <row r="1246">
          <cell r="D1246">
            <v>0</v>
          </cell>
        </row>
        <row r="1247">
          <cell r="D1247">
            <v>0</v>
          </cell>
        </row>
        <row r="1248">
          <cell r="D1248">
            <v>0</v>
          </cell>
        </row>
        <row r="1249">
          <cell r="D1249">
            <v>0</v>
          </cell>
        </row>
        <row r="1250">
          <cell r="D1250">
            <v>0</v>
          </cell>
        </row>
        <row r="1251">
          <cell r="D1251">
            <v>0</v>
          </cell>
        </row>
        <row r="1252">
          <cell r="D1252">
            <v>0</v>
          </cell>
        </row>
        <row r="1253">
          <cell r="D1253">
            <v>0</v>
          </cell>
        </row>
        <row r="1254">
          <cell r="D1254">
            <v>0</v>
          </cell>
        </row>
        <row r="1255">
          <cell r="D1255">
            <v>0</v>
          </cell>
        </row>
        <row r="1256">
          <cell r="D1256">
            <v>0</v>
          </cell>
        </row>
        <row r="1257">
          <cell r="D1257">
            <v>0</v>
          </cell>
        </row>
        <row r="1258">
          <cell r="D1258">
            <v>0</v>
          </cell>
        </row>
        <row r="1259">
          <cell r="D1259">
            <v>0</v>
          </cell>
        </row>
        <row r="1260">
          <cell r="D1260">
            <v>0</v>
          </cell>
        </row>
        <row r="1261">
          <cell r="D1261">
            <v>0</v>
          </cell>
        </row>
        <row r="1262">
          <cell r="D1262">
            <v>0</v>
          </cell>
        </row>
        <row r="1263">
          <cell r="D1263">
            <v>0</v>
          </cell>
        </row>
        <row r="1264">
          <cell r="D1264">
            <v>0</v>
          </cell>
        </row>
        <row r="1265">
          <cell r="D1265">
            <v>0</v>
          </cell>
        </row>
        <row r="1266">
          <cell r="D1266">
            <v>0</v>
          </cell>
        </row>
        <row r="1267">
          <cell r="D1267">
            <v>0</v>
          </cell>
        </row>
        <row r="1268">
          <cell r="D1268">
            <v>0</v>
          </cell>
        </row>
        <row r="1269">
          <cell r="D1269">
            <v>0</v>
          </cell>
        </row>
        <row r="1270">
          <cell r="D1270">
            <v>0</v>
          </cell>
        </row>
        <row r="1271">
          <cell r="D1271">
            <v>0</v>
          </cell>
        </row>
        <row r="1272">
          <cell r="D1272">
            <v>0</v>
          </cell>
        </row>
        <row r="1273">
          <cell r="D1273">
            <v>0</v>
          </cell>
        </row>
        <row r="1274">
          <cell r="D1274">
            <v>0</v>
          </cell>
        </row>
        <row r="1275">
          <cell r="D1275">
            <v>0</v>
          </cell>
        </row>
        <row r="1276">
          <cell r="D1276">
            <v>0</v>
          </cell>
        </row>
        <row r="1277">
          <cell r="D1277">
            <v>0</v>
          </cell>
        </row>
        <row r="1278">
          <cell r="D1278">
            <v>0</v>
          </cell>
        </row>
        <row r="1279">
          <cell r="D1279">
            <v>0</v>
          </cell>
        </row>
        <row r="1280">
          <cell r="D1280">
            <v>0</v>
          </cell>
        </row>
        <row r="1281">
          <cell r="D1281">
            <v>0</v>
          </cell>
        </row>
        <row r="1282">
          <cell r="D1282">
            <v>0</v>
          </cell>
        </row>
        <row r="1283">
          <cell r="D1283">
            <v>0</v>
          </cell>
        </row>
        <row r="1284">
          <cell r="D1284">
            <v>0</v>
          </cell>
        </row>
        <row r="1285">
          <cell r="D1285">
            <v>0</v>
          </cell>
        </row>
        <row r="1286">
          <cell r="D1286">
            <v>0</v>
          </cell>
        </row>
        <row r="1287">
          <cell r="D1287">
            <v>0</v>
          </cell>
        </row>
        <row r="1288">
          <cell r="D1288">
            <v>0</v>
          </cell>
        </row>
        <row r="1289">
          <cell r="D1289">
            <v>0</v>
          </cell>
        </row>
        <row r="1290">
          <cell r="D1290">
            <v>0</v>
          </cell>
        </row>
        <row r="1291">
          <cell r="D1291">
            <v>0</v>
          </cell>
        </row>
        <row r="1292">
          <cell r="D1292">
            <v>0</v>
          </cell>
        </row>
        <row r="1293">
          <cell r="D1293">
            <v>0</v>
          </cell>
        </row>
        <row r="1294">
          <cell r="D1294">
            <v>0</v>
          </cell>
        </row>
        <row r="1295">
          <cell r="D1295">
            <v>0</v>
          </cell>
        </row>
        <row r="1296">
          <cell r="D1296">
            <v>0</v>
          </cell>
        </row>
        <row r="1297">
          <cell r="D1297">
            <v>0</v>
          </cell>
        </row>
        <row r="1298">
          <cell r="D1298">
            <v>0</v>
          </cell>
        </row>
        <row r="1299">
          <cell r="D1299">
            <v>0</v>
          </cell>
        </row>
        <row r="1300">
          <cell r="D1300">
            <v>0</v>
          </cell>
        </row>
        <row r="1301">
          <cell r="D1301">
            <v>0</v>
          </cell>
        </row>
        <row r="1302">
          <cell r="D1302">
            <v>0</v>
          </cell>
        </row>
        <row r="1303">
          <cell r="D1303">
            <v>0</v>
          </cell>
        </row>
        <row r="1304">
          <cell r="D1304">
            <v>0</v>
          </cell>
        </row>
        <row r="1305">
          <cell r="D1305">
            <v>0</v>
          </cell>
        </row>
        <row r="1306">
          <cell r="D1306">
            <v>0</v>
          </cell>
        </row>
        <row r="1307">
          <cell r="D1307">
            <v>0</v>
          </cell>
        </row>
        <row r="1308">
          <cell r="D1308">
            <v>0</v>
          </cell>
        </row>
        <row r="1309">
          <cell r="D1309">
            <v>0</v>
          </cell>
        </row>
        <row r="1310">
          <cell r="D1310">
            <v>0</v>
          </cell>
        </row>
        <row r="1311">
          <cell r="D1311">
            <v>0</v>
          </cell>
        </row>
        <row r="1312">
          <cell r="D1312">
            <v>0</v>
          </cell>
        </row>
        <row r="1313">
          <cell r="D1313">
            <v>0</v>
          </cell>
        </row>
        <row r="1314">
          <cell r="D1314">
            <v>0</v>
          </cell>
        </row>
        <row r="1315">
          <cell r="D1315">
            <v>0</v>
          </cell>
        </row>
        <row r="1316">
          <cell r="D1316">
            <v>0</v>
          </cell>
        </row>
        <row r="1317">
          <cell r="D1317">
            <v>0</v>
          </cell>
        </row>
        <row r="1318">
          <cell r="D1318">
            <v>0</v>
          </cell>
        </row>
        <row r="1319">
          <cell r="D1319">
            <v>0</v>
          </cell>
        </row>
        <row r="1320">
          <cell r="D1320">
            <v>0</v>
          </cell>
        </row>
        <row r="1321">
          <cell r="D1321">
            <v>0</v>
          </cell>
        </row>
        <row r="1322">
          <cell r="D1322">
            <v>0</v>
          </cell>
        </row>
        <row r="1323">
          <cell r="D1323">
            <v>0</v>
          </cell>
        </row>
        <row r="1324">
          <cell r="D1324">
            <v>0</v>
          </cell>
        </row>
        <row r="1325">
          <cell r="D1325">
            <v>0</v>
          </cell>
        </row>
        <row r="1326">
          <cell r="D1326">
            <v>0</v>
          </cell>
        </row>
        <row r="1327">
          <cell r="D1327">
            <v>0</v>
          </cell>
        </row>
        <row r="1328">
          <cell r="D1328">
            <v>0</v>
          </cell>
        </row>
        <row r="1329">
          <cell r="D1329">
            <v>0</v>
          </cell>
        </row>
        <row r="1330">
          <cell r="D1330">
            <v>0</v>
          </cell>
        </row>
        <row r="1331">
          <cell r="D1331">
            <v>0</v>
          </cell>
        </row>
        <row r="1332">
          <cell r="D1332">
            <v>0</v>
          </cell>
        </row>
        <row r="1333">
          <cell r="D1333">
            <v>0</v>
          </cell>
        </row>
        <row r="1334">
          <cell r="D1334">
            <v>0</v>
          </cell>
        </row>
        <row r="1335">
          <cell r="D1335">
            <v>0</v>
          </cell>
        </row>
        <row r="1336">
          <cell r="D1336">
            <v>0</v>
          </cell>
        </row>
        <row r="1337">
          <cell r="D1337">
            <v>0</v>
          </cell>
        </row>
        <row r="1338">
          <cell r="D1338">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384"/>
  <sheetViews>
    <sheetView view="pageBreakPreview" topLeftCell="B4" zoomScale="70" zoomScaleNormal="70" zoomScaleSheetLayoutView="70" workbookViewId="0">
      <pane xSplit="8" ySplit="7" topLeftCell="K180" activePane="bottomRight" state="frozen"/>
      <selection activeCell="B4" sqref="B4"/>
      <selection pane="topRight" activeCell="J4" sqref="J4"/>
      <selection pane="bottomLeft" activeCell="B11" sqref="B11"/>
      <selection pane="bottomRight" activeCell="M328" sqref="M328"/>
    </sheetView>
  </sheetViews>
  <sheetFormatPr baseColWidth="10" defaultColWidth="9.1640625" defaultRowHeight="15" x14ac:dyDescent="0.2"/>
  <cols>
    <col min="1" max="1" width="9.1640625" style="2"/>
    <col min="2" max="2" width="6.5" style="2" bestFit="1" customWidth="1"/>
    <col min="3" max="3" width="18.6640625" style="2" customWidth="1"/>
    <col min="4" max="4" width="23.5" style="2" customWidth="1"/>
    <col min="5" max="5" width="15.83203125" style="2" customWidth="1"/>
    <col min="6" max="6" width="18.5" style="2" bestFit="1" customWidth="1"/>
    <col min="7" max="7" width="9.83203125" style="2" customWidth="1"/>
    <col min="8" max="8" width="20" style="2" bestFit="1" customWidth="1"/>
    <col min="9" max="9" width="11.5" style="2" customWidth="1"/>
    <col min="10" max="10" width="15.33203125" style="2" customWidth="1"/>
    <col min="11" max="11" width="20" style="2" bestFit="1" customWidth="1"/>
    <col min="12" max="12" width="15.5" style="2" bestFit="1" customWidth="1"/>
    <col min="13" max="13" width="10.6640625" style="2" bestFit="1" customWidth="1"/>
    <col min="14" max="14" width="10.5" style="2" customWidth="1"/>
    <col min="15" max="15" width="10.83203125" style="2" customWidth="1"/>
    <col min="16" max="16" width="18.6640625" style="231" bestFit="1" customWidth="1"/>
    <col min="17" max="17" width="11" style="2" bestFit="1" customWidth="1"/>
    <col min="18" max="20" width="0" style="2" hidden="1" customWidth="1"/>
    <col min="21" max="21" width="12.5" style="2" customWidth="1"/>
    <col min="22" max="22" width="9.1640625" style="2"/>
    <col min="23" max="23" width="21.5" style="2" customWidth="1"/>
    <col min="24" max="24" width="21.5" style="11" customWidth="1"/>
    <col min="25" max="25" width="21.5" style="2" customWidth="1"/>
    <col min="26" max="26" width="21.5" style="231" customWidth="1"/>
    <col min="27" max="27" width="21.5" style="2" customWidth="1"/>
    <col min="28" max="34" width="21.5" style="231" customWidth="1"/>
    <col min="35" max="35" width="21.5" style="2" hidden="1" customWidth="1"/>
    <col min="36" max="36" width="21.5" style="2" customWidth="1"/>
    <col min="37" max="39" width="17.5" style="2" bestFit="1" customWidth="1"/>
    <col min="40" max="16384" width="9.1640625" style="2"/>
  </cols>
  <sheetData>
    <row r="1" spans="1:38" x14ac:dyDescent="0.2">
      <c r="B1" s="1"/>
      <c r="C1" s="1"/>
      <c r="D1" s="1"/>
      <c r="E1" s="1"/>
      <c r="F1" s="1"/>
      <c r="G1" s="1"/>
      <c r="H1" s="1"/>
      <c r="I1" s="271"/>
      <c r="J1" s="1"/>
      <c r="K1" s="1"/>
      <c r="L1" s="1"/>
      <c r="M1" s="1"/>
      <c r="N1" s="1"/>
      <c r="O1" s="1"/>
      <c r="P1" s="258"/>
      <c r="Q1" s="271"/>
      <c r="R1" s="1"/>
      <c r="S1" s="1"/>
      <c r="T1" s="1"/>
      <c r="U1" s="1"/>
      <c r="V1" s="1"/>
    </row>
    <row r="2" spans="1:38" x14ac:dyDescent="0.2">
      <c r="B2" s="1"/>
      <c r="C2" s="1"/>
      <c r="D2" s="1"/>
      <c r="E2" s="1"/>
      <c r="F2" s="1"/>
      <c r="G2" s="1"/>
      <c r="H2" s="1"/>
      <c r="I2" s="271"/>
      <c r="J2" s="1"/>
      <c r="K2" s="1"/>
      <c r="L2" s="1"/>
      <c r="M2" s="1"/>
      <c r="N2" s="1"/>
      <c r="O2" s="1"/>
      <c r="P2" s="258"/>
      <c r="Q2" s="271"/>
      <c r="R2" s="1"/>
      <c r="S2" s="1"/>
      <c r="T2" s="1"/>
      <c r="U2" s="1"/>
      <c r="V2" s="1"/>
    </row>
    <row r="3" spans="1:38" ht="26" x14ac:dyDescent="0.3">
      <c r="B3" s="1828" t="s">
        <v>30</v>
      </c>
      <c r="C3" s="1828"/>
      <c r="D3" s="1828"/>
      <c r="E3" s="1828"/>
      <c r="F3" s="1828"/>
      <c r="G3" s="1828"/>
      <c r="H3" s="1828"/>
      <c r="I3" s="1828"/>
      <c r="J3" s="1828"/>
      <c r="K3" s="1828"/>
      <c r="L3" s="1828"/>
      <c r="M3" s="1828"/>
      <c r="N3" s="1828"/>
      <c r="O3" s="1828"/>
      <c r="P3" s="1828"/>
      <c r="Q3" s="1828"/>
      <c r="R3" s="1828"/>
      <c r="S3" s="1828"/>
      <c r="T3" s="1828"/>
      <c r="U3" s="270"/>
      <c r="V3" s="270"/>
    </row>
    <row r="4" spans="1:38" ht="26" x14ac:dyDescent="0.3">
      <c r="B4" s="1828" t="s">
        <v>31</v>
      </c>
      <c r="C4" s="1828"/>
      <c r="D4" s="1828"/>
      <c r="E4" s="1828"/>
      <c r="F4" s="1828"/>
      <c r="G4" s="1828"/>
      <c r="H4" s="1828"/>
      <c r="I4" s="1828"/>
      <c r="J4" s="1828"/>
      <c r="K4" s="1828"/>
      <c r="L4" s="1828"/>
      <c r="M4" s="1828"/>
      <c r="N4" s="1828"/>
      <c r="O4" s="1828"/>
      <c r="P4" s="1828"/>
      <c r="Q4" s="1828"/>
      <c r="R4" s="1828"/>
      <c r="S4" s="1828"/>
      <c r="T4" s="1828"/>
      <c r="U4" s="270"/>
      <c r="V4" s="270"/>
    </row>
    <row r="5" spans="1:38" ht="14.25" customHeight="1" x14ac:dyDescent="0.3">
      <c r="B5" s="1828"/>
      <c r="C5" s="1828"/>
      <c r="D5" s="1828"/>
      <c r="E5" s="1828"/>
      <c r="F5" s="1828"/>
      <c r="G5" s="1828"/>
      <c r="H5" s="1828"/>
      <c r="I5" s="1828"/>
      <c r="J5" s="1828"/>
      <c r="K5" s="1828"/>
      <c r="L5" s="1828"/>
      <c r="M5" s="1828"/>
      <c r="N5" s="1828"/>
      <c r="O5" s="1828"/>
      <c r="P5" s="1828"/>
      <c r="Q5" s="1828"/>
      <c r="R5" s="1828"/>
      <c r="S5" s="1828"/>
      <c r="T5" s="1828"/>
      <c r="U5" s="270"/>
      <c r="V5" s="270"/>
    </row>
    <row r="6" spans="1:38" ht="16" thickBot="1" x14ac:dyDescent="0.25">
      <c r="B6" s="12" t="s">
        <v>32</v>
      </c>
      <c r="C6" s="12"/>
      <c r="D6" s="12" t="s">
        <v>33</v>
      </c>
      <c r="E6" s="12"/>
      <c r="F6" s="12"/>
      <c r="G6" s="12"/>
      <c r="H6" s="12"/>
      <c r="I6" s="13"/>
      <c r="J6" s="12"/>
      <c r="K6" s="12"/>
      <c r="L6" s="12"/>
      <c r="M6" s="12"/>
      <c r="N6" s="12"/>
      <c r="O6" s="12"/>
      <c r="P6" s="273"/>
      <c r="Q6" s="13"/>
      <c r="R6" s="1"/>
      <c r="S6" s="1"/>
      <c r="T6" s="1"/>
      <c r="U6" s="1"/>
      <c r="V6" s="1"/>
    </row>
    <row r="7" spans="1:38" ht="27" customHeight="1" thickTop="1" x14ac:dyDescent="0.2">
      <c r="B7" s="1829" t="s">
        <v>869</v>
      </c>
      <c r="C7" s="1832" t="s">
        <v>877</v>
      </c>
      <c r="D7" s="1817" t="s">
        <v>870</v>
      </c>
      <c r="E7" s="1817" t="s">
        <v>878</v>
      </c>
      <c r="F7" s="1817" t="s">
        <v>905</v>
      </c>
      <c r="G7" s="1817" t="s">
        <v>906</v>
      </c>
      <c r="H7" s="1817" t="s">
        <v>907</v>
      </c>
      <c r="I7" s="1817" t="s">
        <v>908</v>
      </c>
      <c r="J7" s="1817" t="s">
        <v>883</v>
      </c>
      <c r="K7" s="1817"/>
      <c r="L7" s="1817"/>
      <c r="M7" s="1817"/>
      <c r="N7" s="1817"/>
      <c r="O7" s="1817" t="s">
        <v>909</v>
      </c>
      <c r="P7" s="1820" t="s">
        <v>910</v>
      </c>
      <c r="Q7" s="1823" t="s">
        <v>911</v>
      </c>
      <c r="R7" s="1826" t="s">
        <v>2</v>
      </c>
      <c r="S7" s="1826"/>
      <c r="T7" s="1827"/>
      <c r="U7" s="263"/>
      <c r="V7" s="263"/>
      <c r="W7" s="1811" t="s">
        <v>2279</v>
      </c>
      <c r="X7" s="1799" t="s">
        <v>2280</v>
      </c>
      <c r="Y7" s="1799" t="s">
        <v>2281</v>
      </c>
      <c r="Z7" s="1814" t="s">
        <v>2282</v>
      </c>
      <c r="AA7" s="1799" t="s">
        <v>2283</v>
      </c>
      <c r="AB7" s="1808" t="s">
        <v>2284</v>
      </c>
      <c r="AC7" s="1808" t="s">
        <v>2285</v>
      </c>
      <c r="AD7" s="1808" t="s">
        <v>2286</v>
      </c>
      <c r="AE7" s="1808" t="s">
        <v>2287</v>
      </c>
      <c r="AF7" s="1808" t="s">
        <v>2294</v>
      </c>
      <c r="AG7" s="1808" t="s">
        <v>2478</v>
      </c>
      <c r="AH7" s="1808" t="s">
        <v>2480</v>
      </c>
      <c r="AI7" s="204" t="s">
        <v>2288</v>
      </c>
      <c r="AJ7" s="1799" t="s">
        <v>2289</v>
      </c>
    </row>
    <row r="8" spans="1:38" x14ac:dyDescent="0.2">
      <c r="B8" s="1830"/>
      <c r="C8" s="1833"/>
      <c r="D8" s="1818"/>
      <c r="E8" s="1818"/>
      <c r="F8" s="1818"/>
      <c r="G8" s="1818"/>
      <c r="H8" s="1818"/>
      <c r="I8" s="1818"/>
      <c r="J8" s="1802" t="s">
        <v>912</v>
      </c>
      <c r="K8" s="1802" t="s">
        <v>913</v>
      </c>
      <c r="L8" s="1802" t="s">
        <v>914</v>
      </c>
      <c r="M8" s="1802" t="s">
        <v>915</v>
      </c>
      <c r="N8" s="1802" t="s">
        <v>34</v>
      </c>
      <c r="O8" s="1818"/>
      <c r="P8" s="1821"/>
      <c r="Q8" s="1824"/>
      <c r="R8" s="1804" t="s">
        <v>3</v>
      </c>
      <c r="S8" s="1806" t="s">
        <v>4</v>
      </c>
      <c r="T8" s="1807"/>
      <c r="U8" s="264"/>
      <c r="V8" s="264"/>
      <c r="W8" s="1812"/>
      <c r="X8" s="1800"/>
      <c r="Y8" s="1800"/>
      <c r="Z8" s="1815"/>
      <c r="AA8" s="1800"/>
      <c r="AB8" s="1809"/>
      <c r="AC8" s="1809"/>
      <c r="AD8" s="1809"/>
      <c r="AE8" s="1809"/>
      <c r="AF8" s="1809"/>
      <c r="AG8" s="1809"/>
      <c r="AH8" s="1809"/>
      <c r="AI8" s="205"/>
      <c r="AJ8" s="1800"/>
    </row>
    <row r="9" spans="1:38" ht="17" thickBot="1" x14ac:dyDescent="0.25">
      <c r="B9" s="1831"/>
      <c r="C9" s="1834"/>
      <c r="D9" s="1819"/>
      <c r="E9" s="1819"/>
      <c r="F9" s="1819"/>
      <c r="G9" s="1819"/>
      <c r="H9" s="1819"/>
      <c r="I9" s="1819"/>
      <c r="J9" s="1803"/>
      <c r="K9" s="1803"/>
      <c r="L9" s="1803"/>
      <c r="M9" s="1803"/>
      <c r="N9" s="1803"/>
      <c r="O9" s="1819"/>
      <c r="P9" s="1822"/>
      <c r="Q9" s="1825"/>
      <c r="R9" s="1805"/>
      <c r="S9" s="4" t="s">
        <v>5</v>
      </c>
      <c r="T9" s="5" t="s">
        <v>6</v>
      </c>
      <c r="U9" s="265"/>
      <c r="V9" s="265"/>
      <c r="W9" s="1813"/>
      <c r="X9" s="1801"/>
      <c r="Y9" s="1801"/>
      <c r="Z9" s="1816"/>
      <c r="AA9" s="1801"/>
      <c r="AB9" s="1810"/>
      <c r="AC9" s="1810"/>
      <c r="AD9" s="1810"/>
      <c r="AE9" s="1810"/>
      <c r="AF9" s="1810"/>
      <c r="AG9" s="1810"/>
      <c r="AH9" s="1810"/>
      <c r="AI9" s="205"/>
      <c r="AJ9" s="1801"/>
    </row>
    <row r="10" spans="1:38" ht="16" thickTop="1" x14ac:dyDescent="0.2">
      <c r="B10" s="34">
        <v>1</v>
      </c>
      <c r="C10" s="35">
        <v>2</v>
      </c>
      <c r="D10" s="36">
        <v>3</v>
      </c>
      <c r="E10" s="36">
        <v>4</v>
      </c>
      <c r="F10" s="36">
        <v>5</v>
      </c>
      <c r="G10" s="35">
        <v>6</v>
      </c>
      <c r="H10" s="36">
        <v>7</v>
      </c>
      <c r="I10" s="36">
        <v>8</v>
      </c>
      <c r="J10" s="36">
        <v>9</v>
      </c>
      <c r="K10" s="35">
        <v>10</v>
      </c>
      <c r="L10" s="36">
        <v>11</v>
      </c>
      <c r="M10" s="36">
        <v>12</v>
      </c>
      <c r="N10" s="35">
        <v>13</v>
      </c>
      <c r="O10" s="37">
        <v>14</v>
      </c>
      <c r="P10" s="274">
        <v>15</v>
      </c>
      <c r="Q10" s="38">
        <v>16</v>
      </c>
      <c r="R10" s="14">
        <v>26</v>
      </c>
      <c r="S10" s="7">
        <v>27</v>
      </c>
      <c r="T10" s="6">
        <v>28</v>
      </c>
      <c r="U10" s="6"/>
      <c r="V10" s="6"/>
      <c r="W10" s="203"/>
      <c r="X10" s="203"/>
      <c r="Y10" s="203"/>
      <c r="Z10" s="232"/>
      <c r="AA10" s="203"/>
      <c r="AB10" s="237"/>
      <c r="AC10" s="237"/>
      <c r="AD10" s="237"/>
      <c r="AE10" s="237"/>
      <c r="AF10" s="237"/>
      <c r="AG10" s="237"/>
      <c r="AH10" s="237"/>
      <c r="AI10" s="204"/>
      <c r="AJ10" s="203"/>
    </row>
    <row r="11" spans="1:38" hidden="1" x14ac:dyDescent="0.2">
      <c r="B11" s="53"/>
      <c r="C11" s="54"/>
      <c r="D11" s="16"/>
      <c r="E11" s="16"/>
      <c r="F11" s="16"/>
      <c r="G11" s="16"/>
      <c r="H11" s="16"/>
      <c r="I11" s="55"/>
      <c r="J11" s="16"/>
      <c r="K11" s="16"/>
      <c r="L11" s="16"/>
      <c r="M11" s="16"/>
      <c r="N11" s="16"/>
      <c r="O11" s="16"/>
      <c r="P11" s="275"/>
      <c r="Q11" s="57"/>
      <c r="R11" s="15"/>
      <c r="S11" s="8"/>
      <c r="T11" s="8"/>
      <c r="U11" s="3"/>
      <c r="V11" s="3"/>
      <c r="W11" s="206"/>
      <c r="X11" s="207"/>
      <c r="Y11" s="207"/>
      <c r="Z11" s="233"/>
      <c r="AA11" s="208"/>
      <c r="AB11" s="290"/>
      <c r="AC11" s="233"/>
      <c r="AD11" s="233"/>
      <c r="AE11" s="233"/>
      <c r="AF11" s="233"/>
      <c r="AG11" s="233"/>
      <c r="AH11" s="233"/>
      <c r="AI11" s="209"/>
      <c r="AJ11" s="210"/>
    </row>
    <row r="12" spans="1:38" s="41" customFormat="1" ht="30.75" hidden="1" customHeight="1" x14ac:dyDescent="0.2">
      <c r="B12" s="58" t="s">
        <v>35</v>
      </c>
      <c r="C12" s="59" t="s">
        <v>916</v>
      </c>
      <c r="D12" s="40"/>
      <c r="E12" s="40"/>
      <c r="F12" s="40"/>
      <c r="G12" s="40"/>
      <c r="H12" s="40"/>
      <c r="I12" s="33"/>
      <c r="J12" s="40"/>
      <c r="K12" s="40"/>
      <c r="L12" s="40"/>
      <c r="M12" s="40"/>
      <c r="N12" s="40"/>
      <c r="O12" s="40"/>
      <c r="P12" s="276">
        <f>P13+P44+P56+P74+P111+P327+P345+P363+P365</f>
        <v>10712722208.125738</v>
      </c>
      <c r="Q12" s="61"/>
      <c r="R12" s="39"/>
      <c r="S12" s="40"/>
      <c r="T12" s="40"/>
      <c r="U12" s="266"/>
      <c r="V12" s="266"/>
      <c r="W12" s="206"/>
      <c r="X12" s="207"/>
      <c r="Y12" s="207"/>
      <c r="Z12" s="233"/>
      <c r="AA12" s="208"/>
      <c r="AB12" s="290"/>
      <c r="AC12" s="290"/>
      <c r="AD12" s="290"/>
      <c r="AE12" s="290"/>
      <c r="AF12" s="291"/>
      <c r="AG12" s="242" t="e">
        <f>AG13+AG44+AG56+AG74+AG111+AG327+AG345+AG360+AG363+AG365</f>
        <v>#VALUE!</v>
      </c>
      <c r="AH12" s="242" t="e">
        <f>AH13+AH44+AH56+AH74+AH111+AH327+AH345+AH360+AH363+AH365</f>
        <v>#VALUE!</v>
      </c>
      <c r="AI12" s="242">
        <f>AI13+AI44+AI56+AI74+AI111+AI327+AI345+AI360+AI363+AI365</f>
        <v>522467</v>
      </c>
      <c r="AJ12" s="242" t="e">
        <f>AJ13+AJ44+AJ56+AJ74+AJ111+AJ327+AJ345+AJ360+AJ363+AJ365</f>
        <v>#VALUE!</v>
      </c>
    </row>
    <row r="13" spans="1:38" s="45" customFormat="1" ht="30.75" hidden="1" customHeight="1" x14ac:dyDescent="0.2">
      <c r="B13" s="58" t="s">
        <v>36</v>
      </c>
      <c r="C13" s="59" t="s">
        <v>917</v>
      </c>
      <c r="D13" s="62"/>
      <c r="E13" s="62"/>
      <c r="F13" s="63"/>
      <c r="G13" s="63"/>
      <c r="H13" s="63"/>
      <c r="I13" s="284"/>
      <c r="J13" s="63"/>
      <c r="K13" s="63"/>
      <c r="L13" s="63"/>
      <c r="M13" s="63"/>
      <c r="N13" s="63"/>
      <c r="O13" s="63"/>
      <c r="P13" s="232">
        <f>SUM(P14:P42)</f>
        <v>6360966769.5369196</v>
      </c>
      <c r="Q13" s="283"/>
      <c r="R13" s="43"/>
      <c r="S13" s="44"/>
      <c r="T13" s="44"/>
      <c r="U13" s="267"/>
      <c r="V13" s="267"/>
      <c r="W13" s="206"/>
      <c r="X13" s="207"/>
      <c r="Y13" s="207"/>
      <c r="Z13" s="233"/>
      <c r="AA13" s="208"/>
      <c r="AB13" s="292">
        <f t="shared" ref="AB13:AH13" si="0">SUM(AB14:AB42)</f>
        <v>4251868967.1559019</v>
      </c>
      <c r="AC13" s="292">
        <f t="shared" si="0"/>
        <v>389183260.9536919</v>
      </c>
      <c r="AD13" s="292">
        <f t="shared" si="0"/>
        <v>341183261.9536919</v>
      </c>
      <c r="AE13" s="292">
        <f t="shared" si="0"/>
        <v>300183264.95369184</v>
      </c>
      <c r="AF13" s="292">
        <f t="shared" si="0"/>
        <v>255683266.95369187</v>
      </c>
      <c r="AG13" s="292" t="e">
        <f t="shared" si="0"/>
        <v>#VALUE!</v>
      </c>
      <c r="AH13" s="292" t="e">
        <f t="shared" si="0"/>
        <v>#VALUE!</v>
      </c>
      <c r="AI13" s="209"/>
      <c r="AJ13" s="292">
        <f>SUM(AJ14:AJ28)</f>
        <v>186230145.00000024</v>
      </c>
      <c r="AK13" s="217" t="e">
        <f>AH13-AG13</f>
        <v>#VALUE!</v>
      </c>
      <c r="AL13" s="272"/>
    </row>
    <row r="14" spans="1:38" s="41" customFormat="1" ht="30.75" hidden="1" customHeight="1" x14ac:dyDescent="0.2">
      <c r="A14" s="211" t="s">
        <v>2290</v>
      </c>
      <c r="B14" s="53"/>
      <c r="C14" s="65" t="s">
        <v>37</v>
      </c>
      <c r="D14" s="40" t="s">
        <v>38</v>
      </c>
      <c r="E14" s="66" t="s">
        <v>39</v>
      </c>
      <c r="F14" s="65" t="s">
        <v>40</v>
      </c>
      <c r="G14" s="32"/>
      <c r="H14" s="65" t="s">
        <v>1007</v>
      </c>
      <c r="I14" s="32">
        <v>2000</v>
      </c>
      <c r="J14" s="40"/>
      <c r="K14" s="65" t="s">
        <v>41</v>
      </c>
      <c r="L14" s="65" t="s">
        <v>42</v>
      </c>
      <c r="M14" s="65" t="s">
        <v>38</v>
      </c>
      <c r="N14" s="67"/>
      <c r="O14" s="32" t="s">
        <v>12</v>
      </c>
      <c r="P14" s="252">
        <v>450000000</v>
      </c>
      <c r="Q14" s="61" t="s">
        <v>43</v>
      </c>
      <c r="R14" s="46"/>
      <c r="S14" s="47"/>
      <c r="T14" s="47"/>
      <c r="U14" s="268"/>
      <c r="V14" s="268"/>
      <c r="W14" s="206" t="str">
        <f>A14</f>
        <v>2.02.01</v>
      </c>
      <c r="X14" s="207" t="str">
        <f t="shared" ref="X14:X28" si="1">VLOOKUP(W14,kelompok,2,0)</f>
        <v>Alat-alat Besar Darat</v>
      </c>
      <c r="Y14" s="207">
        <f t="shared" ref="Y14:Y28" si="2">VLOOKUP(W14,MASAMANFAAT,4,0)</f>
        <v>10</v>
      </c>
      <c r="Z14" s="233">
        <f>(P14-10)/Y14</f>
        <v>44999999</v>
      </c>
      <c r="AA14" s="208">
        <f>2013-AI14</f>
        <v>13</v>
      </c>
      <c r="AB14" s="233">
        <f>IF(AA14&gt;Y14,P14-10,Z14*AA14)</f>
        <v>449999990</v>
      </c>
      <c r="AC14" s="233">
        <f>IF(P14-10=AB14,0,Z14)</f>
        <v>0</v>
      </c>
      <c r="AD14" s="233">
        <f>IF(P14-10=AB14+AC14,0,Z14)</f>
        <v>0</v>
      </c>
      <c r="AE14" s="233">
        <f>IF(P14-10=AB14+AC14+AD14,0,Z14)</f>
        <v>0</v>
      </c>
      <c r="AF14" s="238">
        <f>IF(P14-10=AB14+AC14+AD14+AE14,0,Z14)</f>
        <v>0</v>
      </c>
      <c r="AG14" s="238">
        <f>IF(P14-10=AB14+AC14+AD14+AE14+AF14,0,Z14)</f>
        <v>0</v>
      </c>
      <c r="AH14" s="238">
        <f>SUM(AB14:AG14)</f>
        <v>449999990</v>
      </c>
      <c r="AI14" s="209">
        <f>I14</f>
        <v>2000</v>
      </c>
      <c r="AJ14" s="210">
        <f>P14-AH14</f>
        <v>10</v>
      </c>
    </row>
    <row r="15" spans="1:38" s="41" customFormat="1" ht="30.75" hidden="1" customHeight="1" x14ac:dyDescent="0.2">
      <c r="A15" s="211" t="s">
        <v>2290</v>
      </c>
      <c r="B15" s="69"/>
      <c r="C15" s="70" t="s">
        <v>44</v>
      </c>
      <c r="D15" s="70" t="s">
        <v>45</v>
      </c>
      <c r="E15" s="66" t="s">
        <v>39</v>
      </c>
      <c r="F15" s="65" t="s">
        <v>46</v>
      </c>
      <c r="G15" s="32" t="s">
        <v>47</v>
      </c>
      <c r="H15" s="65" t="s">
        <v>1007</v>
      </c>
      <c r="I15" s="32" t="s">
        <v>48</v>
      </c>
      <c r="J15" s="40"/>
      <c r="K15" s="65" t="s">
        <v>49</v>
      </c>
      <c r="L15" s="65" t="s">
        <v>50</v>
      </c>
      <c r="M15" s="65" t="s">
        <v>51</v>
      </c>
      <c r="N15" s="67" t="s">
        <v>52</v>
      </c>
      <c r="O15" s="32" t="s">
        <v>12</v>
      </c>
      <c r="P15" s="252">
        <v>40000000</v>
      </c>
      <c r="Q15" s="61"/>
      <c r="W15" s="206" t="str">
        <f t="shared" ref="W15:W28" si="3">A15</f>
        <v>2.02.01</v>
      </c>
      <c r="X15" s="207" t="str">
        <f t="shared" si="1"/>
        <v>Alat-alat Besar Darat</v>
      </c>
      <c r="Y15" s="207">
        <f t="shared" si="2"/>
        <v>10</v>
      </c>
      <c r="Z15" s="233">
        <f t="shared" ref="Z15:Z28" si="4">(P15-10)/Y15</f>
        <v>3999999</v>
      </c>
      <c r="AA15" s="208">
        <f t="shared" ref="AA15:AA27" si="5">2013-AI15</f>
        <v>13</v>
      </c>
      <c r="AB15" s="233">
        <f t="shared" ref="AB15:AB28" si="6">IF(AA15&gt;Y15,P15-10,Z15*AA15)</f>
        <v>39999990</v>
      </c>
      <c r="AC15" s="233">
        <f t="shared" ref="AC15:AC28" si="7">IF(P15-10=AB15,0,Z15)</f>
        <v>0</v>
      </c>
      <c r="AD15" s="233">
        <f t="shared" ref="AD15:AD28" si="8">IF(P15-10=AB15+AC15,0,Z15)</f>
        <v>0</v>
      </c>
      <c r="AE15" s="233">
        <f t="shared" ref="AE15:AE28" si="9">IF(P15-10=AB15+AC15+AD15,0,Z15)</f>
        <v>0</v>
      </c>
      <c r="AF15" s="233">
        <f t="shared" ref="AF15:AF28" si="10">IF(P15-10=AB15+AC15+AD15+AE15,0,Z15)</f>
        <v>0</v>
      </c>
      <c r="AG15" s="238">
        <f t="shared" ref="AG15:AG28" si="11">IF(P15-10=AB15+AC15+AD15+AE15+AF15,0,Z15)</f>
        <v>0</v>
      </c>
      <c r="AH15" s="238">
        <f t="shared" ref="AH15:AH28" si="12">SUM(AB15:AG15)</f>
        <v>39999990</v>
      </c>
      <c r="AI15" s="209" t="str">
        <f t="shared" ref="AI15:AI28" si="13">I15</f>
        <v>2000</v>
      </c>
      <c r="AJ15" s="210">
        <f t="shared" ref="AJ15:AJ28" si="14">P15-AH15</f>
        <v>10</v>
      </c>
      <c r="AL15" s="222"/>
    </row>
    <row r="16" spans="1:38" s="41" customFormat="1" ht="30.75" hidden="1" customHeight="1" x14ac:dyDescent="0.2">
      <c r="A16" s="211" t="s">
        <v>2290</v>
      </c>
      <c r="B16" s="69"/>
      <c r="C16" s="70" t="s">
        <v>53</v>
      </c>
      <c r="D16" s="70" t="s">
        <v>54</v>
      </c>
      <c r="E16" s="66" t="s">
        <v>39</v>
      </c>
      <c r="F16" s="65" t="s">
        <v>55</v>
      </c>
      <c r="G16" s="32" t="s">
        <v>56</v>
      </c>
      <c r="H16" s="65" t="s">
        <v>1007</v>
      </c>
      <c r="I16" s="32" t="s">
        <v>57</v>
      </c>
      <c r="J16" s="40"/>
      <c r="K16" s="65" t="s">
        <v>58</v>
      </c>
      <c r="L16" s="65" t="s">
        <v>59</v>
      </c>
      <c r="M16" s="65"/>
      <c r="N16" s="67"/>
      <c r="O16" s="32" t="s">
        <v>12</v>
      </c>
      <c r="P16" s="252">
        <v>280000000</v>
      </c>
      <c r="Q16" s="61" t="s">
        <v>43</v>
      </c>
      <c r="W16" s="206" t="str">
        <f t="shared" si="3"/>
        <v>2.02.01</v>
      </c>
      <c r="X16" s="207" t="str">
        <f t="shared" si="1"/>
        <v>Alat-alat Besar Darat</v>
      </c>
      <c r="Y16" s="207">
        <f t="shared" si="2"/>
        <v>10</v>
      </c>
      <c r="Z16" s="233">
        <f t="shared" si="4"/>
        <v>27999999</v>
      </c>
      <c r="AA16" s="208">
        <f t="shared" si="5"/>
        <v>11</v>
      </c>
      <c r="AB16" s="233">
        <f t="shared" si="6"/>
        <v>279999990</v>
      </c>
      <c r="AC16" s="233">
        <f t="shared" si="7"/>
        <v>0</v>
      </c>
      <c r="AD16" s="233">
        <f t="shared" si="8"/>
        <v>0</v>
      </c>
      <c r="AE16" s="233">
        <f t="shared" si="9"/>
        <v>0</v>
      </c>
      <c r="AF16" s="233">
        <f t="shared" si="10"/>
        <v>0</v>
      </c>
      <c r="AG16" s="238">
        <f t="shared" si="11"/>
        <v>0</v>
      </c>
      <c r="AH16" s="238">
        <f t="shared" si="12"/>
        <v>279999990</v>
      </c>
      <c r="AI16" s="209" t="str">
        <f t="shared" si="13"/>
        <v>2002</v>
      </c>
      <c r="AJ16" s="210">
        <f t="shared" si="14"/>
        <v>10</v>
      </c>
    </row>
    <row r="17" spans="1:37" s="174" customFormat="1" ht="30.75" hidden="1" customHeight="1" x14ac:dyDescent="0.2">
      <c r="A17" s="239" t="s">
        <v>2290</v>
      </c>
      <c r="B17" s="168"/>
      <c r="C17" s="171" t="s">
        <v>60</v>
      </c>
      <c r="D17" s="171" t="s">
        <v>61</v>
      </c>
      <c r="E17" s="240" t="s">
        <v>39</v>
      </c>
      <c r="F17" s="169" t="s">
        <v>62</v>
      </c>
      <c r="G17" s="173" t="s">
        <v>63</v>
      </c>
      <c r="H17" s="169" t="s">
        <v>1007</v>
      </c>
      <c r="I17" s="173" t="s">
        <v>57</v>
      </c>
      <c r="J17" s="171"/>
      <c r="K17" s="169" t="s">
        <v>64</v>
      </c>
      <c r="L17" s="169" t="s">
        <v>65</v>
      </c>
      <c r="M17" s="169"/>
      <c r="N17" s="170"/>
      <c r="O17" s="173" t="s">
        <v>12</v>
      </c>
      <c r="P17" s="277">
        <f>400000000+155410000</f>
        <v>555410000</v>
      </c>
      <c r="Q17" s="195" t="s">
        <v>43</v>
      </c>
      <c r="W17" s="212" t="str">
        <f t="shared" si="3"/>
        <v>2.02.01</v>
      </c>
      <c r="X17" s="213" t="str">
        <f t="shared" si="1"/>
        <v>Alat-alat Besar Darat</v>
      </c>
      <c r="Y17" s="213">
        <f t="shared" si="2"/>
        <v>10</v>
      </c>
      <c r="Z17" s="236">
        <f t="shared" si="4"/>
        <v>55540999</v>
      </c>
      <c r="AA17" s="214">
        <f t="shared" si="5"/>
        <v>11</v>
      </c>
      <c r="AB17" s="236">
        <f t="shared" si="6"/>
        <v>555409990</v>
      </c>
      <c r="AC17" s="236">
        <f t="shared" si="7"/>
        <v>0</v>
      </c>
      <c r="AD17" s="236">
        <f t="shared" si="8"/>
        <v>0</v>
      </c>
      <c r="AE17" s="236">
        <f t="shared" si="9"/>
        <v>0</v>
      </c>
      <c r="AF17" s="236">
        <f t="shared" si="10"/>
        <v>0</v>
      </c>
      <c r="AG17" s="241">
        <f t="shared" si="11"/>
        <v>0</v>
      </c>
      <c r="AH17" s="238">
        <f t="shared" si="12"/>
        <v>555409990</v>
      </c>
      <c r="AI17" s="215" t="str">
        <f t="shared" si="13"/>
        <v>2002</v>
      </c>
      <c r="AJ17" s="210">
        <f t="shared" si="14"/>
        <v>10</v>
      </c>
      <c r="AK17" s="174" t="s">
        <v>2481</v>
      </c>
    </row>
    <row r="18" spans="1:37" s="41" customFormat="1" ht="30.75" hidden="1" customHeight="1" x14ac:dyDescent="0.2">
      <c r="A18" s="211" t="s">
        <v>2290</v>
      </c>
      <c r="B18" s="69"/>
      <c r="C18" s="70" t="s">
        <v>66</v>
      </c>
      <c r="D18" s="70" t="s">
        <v>67</v>
      </c>
      <c r="E18" s="66" t="s">
        <v>68</v>
      </c>
      <c r="F18" s="65" t="s">
        <v>69</v>
      </c>
      <c r="G18" s="32" t="s">
        <v>70</v>
      </c>
      <c r="H18" s="65" t="s">
        <v>1007</v>
      </c>
      <c r="I18" s="32" t="s">
        <v>57</v>
      </c>
      <c r="J18" s="40"/>
      <c r="K18" s="65" t="s">
        <v>71</v>
      </c>
      <c r="L18" s="65" t="s">
        <v>59</v>
      </c>
      <c r="M18" s="65"/>
      <c r="N18" s="67"/>
      <c r="O18" s="32" t="s">
        <v>12</v>
      </c>
      <c r="P18" s="252">
        <v>250000000</v>
      </c>
      <c r="Q18" s="61" t="s">
        <v>43</v>
      </c>
      <c r="W18" s="206" t="str">
        <f t="shared" si="3"/>
        <v>2.02.01</v>
      </c>
      <c r="X18" s="207" t="str">
        <f t="shared" si="1"/>
        <v>Alat-alat Besar Darat</v>
      </c>
      <c r="Y18" s="207">
        <f t="shared" si="2"/>
        <v>10</v>
      </c>
      <c r="Z18" s="233">
        <f t="shared" si="4"/>
        <v>24999999</v>
      </c>
      <c r="AA18" s="208">
        <f t="shared" si="5"/>
        <v>11</v>
      </c>
      <c r="AB18" s="233">
        <f t="shared" si="6"/>
        <v>249999990</v>
      </c>
      <c r="AC18" s="233">
        <f t="shared" si="7"/>
        <v>0</v>
      </c>
      <c r="AD18" s="233">
        <f t="shared" si="8"/>
        <v>0</v>
      </c>
      <c r="AE18" s="233">
        <f t="shared" si="9"/>
        <v>0</v>
      </c>
      <c r="AF18" s="233">
        <f t="shared" si="10"/>
        <v>0</v>
      </c>
      <c r="AG18" s="238">
        <f t="shared" si="11"/>
        <v>0</v>
      </c>
      <c r="AH18" s="238">
        <f t="shared" si="12"/>
        <v>249999990</v>
      </c>
      <c r="AI18" s="209" t="str">
        <f t="shared" si="13"/>
        <v>2002</v>
      </c>
      <c r="AJ18" s="210">
        <f t="shared" si="14"/>
        <v>10</v>
      </c>
    </row>
    <row r="19" spans="1:37" s="41" customFormat="1" ht="30.75" hidden="1" customHeight="1" x14ac:dyDescent="0.2">
      <c r="A19" s="211" t="s">
        <v>2290</v>
      </c>
      <c r="B19" s="69"/>
      <c r="C19" s="70" t="s">
        <v>72</v>
      </c>
      <c r="D19" s="70" t="s">
        <v>73</v>
      </c>
      <c r="E19" s="66" t="s">
        <v>39</v>
      </c>
      <c r="F19" s="65" t="s">
        <v>74</v>
      </c>
      <c r="G19" s="32" t="s">
        <v>75</v>
      </c>
      <c r="H19" s="65" t="s">
        <v>1007</v>
      </c>
      <c r="I19" s="32" t="s">
        <v>57</v>
      </c>
      <c r="J19" s="40"/>
      <c r="K19" s="65" t="s">
        <v>76</v>
      </c>
      <c r="L19" s="65" t="s">
        <v>77</v>
      </c>
      <c r="M19" s="65" t="s">
        <v>78</v>
      </c>
      <c r="N19" s="71" t="s">
        <v>79</v>
      </c>
      <c r="O19" s="32" t="s">
        <v>12</v>
      </c>
      <c r="P19" s="252">
        <v>90000000</v>
      </c>
      <c r="Q19" s="61" t="s">
        <v>43</v>
      </c>
      <c r="W19" s="206" t="str">
        <f t="shared" si="3"/>
        <v>2.02.01</v>
      </c>
      <c r="X19" s="207" t="str">
        <f t="shared" si="1"/>
        <v>Alat-alat Besar Darat</v>
      </c>
      <c r="Y19" s="207">
        <f t="shared" si="2"/>
        <v>10</v>
      </c>
      <c r="Z19" s="233">
        <f t="shared" si="4"/>
        <v>8999999</v>
      </c>
      <c r="AA19" s="208">
        <f t="shared" si="5"/>
        <v>11</v>
      </c>
      <c r="AB19" s="233">
        <f t="shared" si="6"/>
        <v>89999990</v>
      </c>
      <c r="AC19" s="233">
        <f t="shared" si="7"/>
        <v>0</v>
      </c>
      <c r="AD19" s="233">
        <f t="shared" si="8"/>
        <v>0</v>
      </c>
      <c r="AE19" s="233">
        <f t="shared" si="9"/>
        <v>0</v>
      </c>
      <c r="AF19" s="233">
        <f t="shared" si="10"/>
        <v>0</v>
      </c>
      <c r="AG19" s="238">
        <f t="shared" si="11"/>
        <v>0</v>
      </c>
      <c r="AH19" s="238">
        <f t="shared" si="12"/>
        <v>89999990</v>
      </c>
      <c r="AI19" s="209" t="str">
        <f t="shared" si="13"/>
        <v>2002</v>
      </c>
      <c r="AJ19" s="210">
        <f t="shared" si="14"/>
        <v>10</v>
      </c>
    </row>
    <row r="20" spans="1:37" s="41" customFormat="1" ht="30.75" hidden="1" customHeight="1" x14ac:dyDescent="0.2">
      <c r="A20" s="211" t="s">
        <v>2290</v>
      </c>
      <c r="B20" s="69"/>
      <c r="C20" s="70" t="s">
        <v>80</v>
      </c>
      <c r="D20" s="70" t="s">
        <v>81</v>
      </c>
      <c r="E20" s="66" t="s">
        <v>39</v>
      </c>
      <c r="F20" s="65" t="s">
        <v>82</v>
      </c>
      <c r="G20" s="32" t="s">
        <v>83</v>
      </c>
      <c r="H20" s="65" t="s">
        <v>1007</v>
      </c>
      <c r="I20" s="32" t="s">
        <v>84</v>
      </c>
      <c r="J20" s="40"/>
      <c r="K20" s="65" t="s">
        <v>85</v>
      </c>
      <c r="L20" s="65" t="s">
        <v>86</v>
      </c>
      <c r="M20" s="65"/>
      <c r="N20" s="71"/>
      <c r="O20" s="32" t="s">
        <v>12</v>
      </c>
      <c r="P20" s="252">
        <v>400000000</v>
      </c>
      <c r="Q20" s="61" t="s">
        <v>43</v>
      </c>
      <c r="W20" s="206" t="str">
        <f t="shared" si="3"/>
        <v>2.02.01</v>
      </c>
      <c r="X20" s="207" t="str">
        <f t="shared" si="1"/>
        <v>Alat-alat Besar Darat</v>
      </c>
      <c r="Y20" s="207">
        <f t="shared" si="2"/>
        <v>10</v>
      </c>
      <c r="Z20" s="233">
        <f t="shared" si="4"/>
        <v>39999999</v>
      </c>
      <c r="AA20" s="208">
        <f t="shared" si="5"/>
        <v>10</v>
      </c>
      <c r="AB20" s="233">
        <f t="shared" si="6"/>
        <v>399999990</v>
      </c>
      <c r="AC20" s="233">
        <f t="shared" si="7"/>
        <v>0</v>
      </c>
      <c r="AD20" s="233">
        <f t="shared" si="8"/>
        <v>0</v>
      </c>
      <c r="AE20" s="233">
        <f t="shared" si="9"/>
        <v>0</v>
      </c>
      <c r="AF20" s="233">
        <f t="shared" si="10"/>
        <v>0</v>
      </c>
      <c r="AG20" s="238">
        <f t="shared" si="11"/>
        <v>0</v>
      </c>
      <c r="AH20" s="238">
        <f t="shared" si="12"/>
        <v>399999990</v>
      </c>
      <c r="AI20" s="209" t="str">
        <f t="shared" si="13"/>
        <v>2003</v>
      </c>
      <c r="AJ20" s="210">
        <f t="shared" si="14"/>
        <v>10</v>
      </c>
    </row>
    <row r="21" spans="1:37" s="41" customFormat="1" ht="30.75" hidden="1" customHeight="1" x14ac:dyDescent="0.2">
      <c r="A21" s="211" t="s">
        <v>2290</v>
      </c>
      <c r="B21" s="69"/>
      <c r="C21" s="70" t="s">
        <v>60</v>
      </c>
      <c r="D21" s="70" t="s">
        <v>61</v>
      </c>
      <c r="E21" s="66" t="s">
        <v>68</v>
      </c>
      <c r="F21" s="65" t="s">
        <v>87</v>
      </c>
      <c r="G21" s="32" t="s">
        <v>88</v>
      </c>
      <c r="H21" s="65" t="s">
        <v>1007</v>
      </c>
      <c r="I21" s="32" t="s">
        <v>89</v>
      </c>
      <c r="J21" s="40"/>
      <c r="K21" s="65" t="s">
        <v>90</v>
      </c>
      <c r="L21" s="65" t="s">
        <v>91</v>
      </c>
      <c r="M21" s="65"/>
      <c r="N21" s="67"/>
      <c r="O21" s="32" t="s">
        <v>12</v>
      </c>
      <c r="P21" s="252">
        <v>480000000</v>
      </c>
      <c r="Q21" s="61" t="s">
        <v>43</v>
      </c>
      <c r="W21" s="206" t="str">
        <f t="shared" si="3"/>
        <v>2.02.01</v>
      </c>
      <c r="X21" s="207" t="str">
        <f t="shared" si="1"/>
        <v>Alat-alat Besar Darat</v>
      </c>
      <c r="Y21" s="207">
        <f t="shared" si="2"/>
        <v>10</v>
      </c>
      <c r="Z21" s="233">
        <f t="shared" si="4"/>
        <v>47999999</v>
      </c>
      <c r="AA21" s="208">
        <f t="shared" si="5"/>
        <v>9</v>
      </c>
      <c r="AB21" s="233">
        <f t="shared" si="6"/>
        <v>431999991</v>
      </c>
      <c r="AC21" s="233">
        <f t="shared" si="7"/>
        <v>47999999</v>
      </c>
      <c r="AD21" s="233">
        <f t="shared" si="8"/>
        <v>0</v>
      </c>
      <c r="AE21" s="233">
        <f t="shared" si="9"/>
        <v>0</v>
      </c>
      <c r="AF21" s="233">
        <f t="shared" si="10"/>
        <v>0</v>
      </c>
      <c r="AG21" s="238">
        <f t="shared" si="11"/>
        <v>0</v>
      </c>
      <c r="AH21" s="238">
        <f t="shared" si="12"/>
        <v>479999990</v>
      </c>
      <c r="AI21" s="209" t="str">
        <f t="shared" si="13"/>
        <v>2004</v>
      </c>
      <c r="AJ21" s="210">
        <f t="shared" si="14"/>
        <v>10</v>
      </c>
    </row>
    <row r="22" spans="1:37" s="174" customFormat="1" ht="30.75" hidden="1" customHeight="1" x14ac:dyDescent="0.2">
      <c r="A22" s="239" t="s">
        <v>2290</v>
      </c>
      <c r="B22" s="168"/>
      <c r="C22" s="171" t="s">
        <v>66</v>
      </c>
      <c r="D22" s="171" t="s">
        <v>67</v>
      </c>
      <c r="E22" s="240" t="s">
        <v>39</v>
      </c>
      <c r="F22" s="169" t="s">
        <v>69</v>
      </c>
      <c r="G22" s="173" t="s">
        <v>70</v>
      </c>
      <c r="H22" s="169" t="s">
        <v>1007</v>
      </c>
      <c r="I22" s="173" t="s">
        <v>92</v>
      </c>
      <c r="J22" s="171"/>
      <c r="K22" s="169" t="s">
        <v>93</v>
      </c>
      <c r="L22" s="169" t="s">
        <v>94</v>
      </c>
      <c r="M22" s="169"/>
      <c r="N22" s="170"/>
      <c r="O22" s="173" t="s">
        <v>12</v>
      </c>
      <c r="P22" s="277">
        <v>300000000</v>
      </c>
      <c r="Q22" s="195" t="s">
        <v>43</v>
      </c>
      <c r="W22" s="212" t="str">
        <f t="shared" si="3"/>
        <v>2.02.01</v>
      </c>
      <c r="X22" s="213" t="str">
        <f t="shared" si="1"/>
        <v>Alat-alat Besar Darat</v>
      </c>
      <c r="Y22" s="213">
        <f t="shared" si="2"/>
        <v>10</v>
      </c>
      <c r="Z22" s="236">
        <f t="shared" si="4"/>
        <v>29999999</v>
      </c>
      <c r="AA22" s="214">
        <f t="shared" si="5"/>
        <v>8</v>
      </c>
      <c r="AB22" s="236">
        <f t="shared" si="6"/>
        <v>239999992</v>
      </c>
      <c r="AC22" s="236">
        <f t="shared" si="7"/>
        <v>29999999</v>
      </c>
      <c r="AD22" s="236">
        <f t="shared" si="8"/>
        <v>29999999</v>
      </c>
      <c r="AE22" s="236">
        <f t="shared" si="9"/>
        <v>0</v>
      </c>
      <c r="AF22" s="236">
        <f t="shared" si="10"/>
        <v>0</v>
      </c>
      <c r="AG22" s="241">
        <f t="shared" si="11"/>
        <v>0</v>
      </c>
      <c r="AH22" s="238">
        <f t="shared" si="12"/>
        <v>299999990</v>
      </c>
      <c r="AI22" s="215" t="str">
        <f t="shared" si="13"/>
        <v>2005</v>
      </c>
      <c r="AJ22" s="210">
        <f t="shared" si="14"/>
        <v>10</v>
      </c>
      <c r="AK22" s="174" t="s">
        <v>2481</v>
      </c>
    </row>
    <row r="23" spans="1:37" s="41" customFormat="1" ht="30.75" hidden="1" customHeight="1" x14ac:dyDescent="0.2">
      <c r="A23" s="211" t="s">
        <v>2290</v>
      </c>
      <c r="B23" s="69"/>
      <c r="C23" s="70" t="s">
        <v>95</v>
      </c>
      <c r="D23" s="70" t="s">
        <v>96</v>
      </c>
      <c r="E23" s="66" t="s">
        <v>39</v>
      </c>
      <c r="F23" s="65" t="s">
        <v>97</v>
      </c>
      <c r="G23" s="32" t="s">
        <v>98</v>
      </c>
      <c r="H23" s="65" t="s">
        <v>1007</v>
      </c>
      <c r="I23" s="32" t="s">
        <v>92</v>
      </c>
      <c r="J23" s="40"/>
      <c r="K23" s="65"/>
      <c r="L23" s="65" t="s">
        <v>99</v>
      </c>
      <c r="M23" s="65"/>
      <c r="N23" s="71"/>
      <c r="O23" s="32" t="s">
        <v>12</v>
      </c>
      <c r="P23" s="252">
        <v>10000000</v>
      </c>
      <c r="Q23" s="61" t="s">
        <v>43</v>
      </c>
      <c r="W23" s="206" t="str">
        <f t="shared" si="3"/>
        <v>2.02.01</v>
      </c>
      <c r="X23" s="207" t="str">
        <f t="shared" si="1"/>
        <v>Alat-alat Besar Darat</v>
      </c>
      <c r="Y23" s="207">
        <f t="shared" si="2"/>
        <v>10</v>
      </c>
      <c r="Z23" s="233">
        <f t="shared" si="4"/>
        <v>999999</v>
      </c>
      <c r="AA23" s="208">
        <f t="shared" si="5"/>
        <v>8</v>
      </c>
      <c r="AB23" s="233">
        <f t="shared" si="6"/>
        <v>7999992</v>
      </c>
      <c r="AC23" s="233">
        <f t="shared" si="7"/>
        <v>999999</v>
      </c>
      <c r="AD23" s="233">
        <f t="shared" si="8"/>
        <v>999999</v>
      </c>
      <c r="AE23" s="233">
        <f t="shared" si="9"/>
        <v>0</v>
      </c>
      <c r="AF23" s="233">
        <f t="shared" si="10"/>
        <v>0</v>
      </c>
      <c r="AG23" s="238">
        <f t="shared" si="11"/>
        <v>0</v>
      </c>
      <c r="AH23" s="238">
        <f t="shared" si="12"/>
        <v>9999990</v>
      </c>
      <c r="AI23" s="209" t="str">
        <f t="shared" si="13"/>
        <v>2005</v>
      </c>
      <c r="AJ23" s="210">
        <f t="shared" si="14"/>
        <v>10</v>
      </c>
    </row>
    <row r="24" spans="1:37" s="41" customFormat="1" ht="30.75" hidden="1" customHeight="1" x14ac:dyDescent="0.2">
      <c r="A24" s="211" t="s">
        <v>2290</v>
      </c>
      <c r="B24" s="69"/>
      <c r="C24" s="70" t="s">
        <v>72</v>
      </c>
      <c r="D24" s="70" t="s">
        <v>73</v>
      </c>
      <c r="E24" s="66" t="s">
        <v>68</v>
      </c>
      <c r="F24" s="65" t="s">
        <v>74</v>
      </c>
      <c r="G24" s="32" t="s">
        <v>75</v>
      </c>
      <c r="H24" s="65" t="s">
        <v>1007</v>
      </c>
      <c r="I24" s="32" t="s">
        <v>92</v>
      </c>
      <c r="J24" s="40"/>
      <c r="K24" s="65" t="s">
        <v>100</v>
      </c>
      <c r="L24" s="65" t="s">
        <v>101</v>
      </c>
      <c r="M24" s="65" t="s">
        <v>102</v>
      </c>
      <c r="N24" s="71" t="s">
        <v>103</v>
      </c>
      <c r="O24" s="32" t="s">
        <v>12</v>
      </c>
      <c r="P24" s="252">
        <v>100000000</v>
      </c>
      <c r="Q24" s="61" t="s">
        <v>43</v>
      </c>
      <c r="W24" s="206" t="str">
        <f t="shared" si="3"/>
        <v>2.02.01</v>
      </c>
      <c r="X24" s="207" t="str">
        <f t="shared" si="1"/>
        <v>Alat-alat Besar Darat</v>
      </c>
      <c r="Y24" s="207">
        <f t="shared" si="2"/>
        <v>10</v>
      </c>
      <c r="Z24" s="233">
        <f t="shared" si="4"/>
        <v>9999999</v>
      </c>
      <c r="AA24" s="208">
        <f t="shared" si="5"/>
        <v>8</v>
      </c>
      <c r="AB24" s="233">
        <f t="shared" si="6"/>
        <v>79999992</v>
      </c>
      <c r="AC24" s="233">
        <f t="shared" si="7"/>
        <v>9999999</v>
      </c>
      <c r="AD24" s="233">
        <f t="shared" si="8"/>
        <v>9999999</v>
      </c>
      <c r="AE24" s="233">
        <f t="shared" si="9"/>
        <v>0</v>
      </c>
      <c r="AF24" s="233">
        <f t="shared" si="10"/>
        <v>0</v>
      </c>
      <c r="AG24" s="238">
        <f t="shared" si="11"/>
        <v>0</v>
      </c>
      <c r="AH24" s="238">
        <f t="shared" si="12"/>
        <v>99999990</v>
      </c>
      <c r="AI24" s="209" t="str">
        <f t="shared" si="13"/>
        <v>2005</v>
      </c>
      <c r="AJ24" s="210">
        <f t="shared" si="14"/>
        <v>10</v>
      </c>
    </row>
    <row r="25" spans="1:37" s="41" customFormat="1" ht="30.75" hidden="1" customHeight="1" x14ac:dyDescent="0.2">
      <c r="A25" s="211" t="s">
        <v>2290</v>
      </c>
      <c r="B25" s="69"/>
      <c r="C25" s="70" t="s">
        <v>104</v>
      </c>
      <c r="D25" s="70" t="s">
        <v>105</v>
      </c>
      <c r="E25" s="66" t="s">
        <v>39</v>
      </c>
      <c r="F25" s="65" t="s">
        <v>106</v>
      </c>
      <c r="G25" s="32" t="s">
        <v>107</v>
      </c>
      <c r="H25" s="65" t="s">
        <v>1007</v>
      </c>
      <c r="I25" s="32" t="s">
        <v>108</v>
      </c>
      <c r="J25" s="40"/>
      <c r="K25" s="65" t="s">
        <v>109</v>
      </c>
      <c r="L25" s="65" t="s">
        <v>110</v>
      </c>
      <c r="M25" s="65"/>
      <c r="N25" s="67"/>
      <c r="O25" s="32" t="s">
        <v>12</v>
      </c>
      <c r="P25" s="252">
        <v>350000000</v>
      </c>
      <c r="Q25" s="61" t="s">
        <v>43</v>
      </c>
      <c r="W25" s="206" t="str">
        <f t="shared" si="3"/>
        <v>2.02.01</v>
      </c>
      <c r="X25" s="207" t="str">
        <f t="shared" si="1"/>
        <v>Alat-alat Besar Darat</v>
      </c>
      <c r="Y25" s="207">
        <f t="shared" si="2"/>
        <v>10</v>
      </c>
      <c r="Z25" s="233">
        <f t="shared" si="4"/>
        <v>34999999</v>
      </c>
      <c r="AA25" s="208">
        <f t="shared" si="5"/>
        <v>7</v>
      </c>
      <c r="AB25" s="233">
        <f t="shared" si="6"/>
        <v>244999993</v>
      </c>
      <c r="AC25" s="233">
        <f t="shared" si="7"/>
        <v>34999999</v>
      </c>
      <c r="AD25" s="233">
        <f t="shared" si="8"/>
        <v>34999999</v>
      </c>
      <c r="AE25" s="233">
        <f t="shared" si="9"/>
        <v>34999999</v>
      </c>
      <c r="AF25" s="233">
        <f t="shared" si="10"/>
        <v>0</v>
      </c>
      <c r="AG25" s="238">
        <f t="shared" si="11"/>
        <v>0</v>
      </c>
      <c r="AH25" s="238">
        <f t="shared" si="12"/>
        <v>349999990</v>
      </c>
      <c r="AI25" s="209" t="str">
        <f t="shared" si="13"/>
        <v>2006</v>
      </c>
      <c r="AJ25" s="210">
        <f t="shared" si="14"/>
        <v>10</v>
      </c>
    </row>
    <row r="26" spans="1:37" s="41" customFormat="1" ht="30.75" hidden="1" customHeight="1" x14ac:dyDescent="0.2">
      <c r="A26" s="211" t="s">
        <v>2290</v>
      </c>
      <c r="B26" s="69"/>
      <c r="C26" s="70" t="s">
        <v>111</v>
      </c>
      <c r="D26" s="70" t="s">
        <v>112</v>
      </c>
      <c r="E26" s="66" t="s">
        <v>39</v>
      </c>
      <c r="F26" s="65" t="s">
        <v>87</v>
      </c>
      <c r="G26" s="32" t="s">
        <v>113</v>
      </c>
      <c r="H26" s="65" t="s">
        <v>1007</v>
      </c>
      <c r="I26" s="32" t="s">
        <v>108</v>
      </c>
      <c r="J26" s="40"/>
      <c r="K26" s="65" t="s">
        <v>114</v>
      </c>
      <c r="L26" s="65" t="s">
        <v>115</v>
      </c>
      <c r="M26" s="65" t="s">
        <v>116</v>
      </c>
      <c r="N26" s="71" t="s">
        <v>117</v>
      </c>
      <c r="O26" s="32" t="s">
        <v>12</v>
      </c>
      <c r="P26" s="252">
        <v>95000000</v>
      </c>
      <c r="Q26" s="61" t="s">
        <v>43</v>
      </c>
      <c r="W26" s="206" t="str">
        <f t="shared" si="3"/>
        <v>2.02.01</v>
      </c>
      <c r="X26" s="207" t="str">
        <f t="shared" si="1"/>
        <v>Alat-alat Besar Darat</v>
      </c>
      <c r="Y26" s="207">
        <f t="shared" si="2"/>
        <v>10</v>
      </c>
      <c r="Z26" s="233">
        <f t="shared" si="4"/>
        <v>9499999</v>
      </c>
      <c r="AA26" s="208">
        <f t="shared" si="5"/>
        <v>7</v>
      </c>
      <c r="AB26" s="233">
        <f t="shared" si="6"/>
        <v>66499993</v>
      </c>
      <c r="AC26" s="233">
        <f t="shared" si="7"/>
        <v>9499999</v>
      </c>
      <c r="AD26" s="233">
        <f t="shared" si="8"/>
        <v>9499999</v>
      </c>
      <c r="AE26" s="233">
        <f t="shared" si="9"/>
        <v>9499999</v>
      </c>
      <c r="AF26" s="233">
        <f t="shared" si="10"/>
        <v>0</v>
      </c>
      <c r="AG26" s="238">
        <f t="shared" si="11"/>
        <v>0</v>
      </c>
      <c r="AH26" s="238">
        <f t="shared" si="12"/>
        <v>94999990</v>
      </c>
      <c r="AI26" s="209" t="str">
        <f t="shared" si="13"/>
        <v>2006</v>
      </c>
      <c r="AJ26" s="210">
        <f t="shared" si="14"/>
        <v>10</v>
      </c>
    </row>
    <row r="27" spans="1:37" s="41" customFormat="1" ht="30.75" hidden="1" customHeight="1" x14ac:dyDescent="0.2">
      <c r="A27" s="211" t="s">
        <v>2290</v>
      </c>
      <c r="B27" s="69"/>
      <c r="C27" s="70" t="s">
        <v>118</v>
      </c>
      <c r="D27" s="70" t="s">
        <v>38</v>
      </c>
      <c r="E27" s="70"/>
      <c r="F27" s="72" t="s">
        <v>52</v>
      </c>
      <c r="G27" s="40"/>
      <c r="H27" s="65" t="s">
        <v>119</v>
      </c>
      <c r="I27" s="32">
        <v>2007</v>
      </c>
      <c r="J27" s="40"/>
      <c r="K27" s="72"/>
      <c r="L27" s="72"/>
      <c r="M27" s="72"/>
      <c r="N27" s="40"/>
      <c r="O27" s="32" t="s">
        <v>12</v>
      </c>
      <c r="P27" s="252">
        <v>1831938360.2898991</v>
      </c>
      <c r="Q27" s="61" t="s">
        <v>43</v>
      </c>
      <c r="W27" s="206" t="str">
        <f t="shared" si="3"/>
        <v>2.02.01</v>
      </c>
      <c r="X27" s="207" t="str">
        <f t="shared" si="1"/>
        <v>Alat-alat Besar Darat</v>
      </c>
      <c r="Y27" s="207">
        <f t="shared" si="2"/>
        <v>10</v>
      </c>
      <c r="Z27" s="233">
        <f t="shared" si="4"/>
        <v>183193835.02898991</v>
      </c>
      <c r="AA27" s="208">
        <f t="shared" si="5"/>
        <v>6</v>
      </c>
      <c r="AB27" s="233">
        <f t="shared" si="6"/>
        <v>1099163010.1739395</v>
      </c>
      <c r="AC27" s="233">
        <f t="shared" si="7"/>
        <v>183193835.02898991</v>
      </c>
      <c r="AD27" s="233">
        <f t="shared" si="8"/>
        <v>183193835.02898991</v>
      </c>
      <c r="AE27" s="233">
        <f t="shared" si="9"/>
        <v>183193835.02898991</v>
      </c>
      <c r="AF27" s="233">
        <f t="shared" si="10"/>
        <v>183193835.02898991</v>
      </c>
      <c r="AG27" s="238">
        <f t="shared" si="11"/>
        <v>0</v>
      </c>
      <c r="AH27" s="238">
        <f t="shared" si="12"/>
        <v>1831938350.2898989</v>
      </c>
      <c r="AI27" s="209">
        <f t="shared" si="13"/>
        <v>2007</v>
      </c>
      <c r="AJ27" s="210">
        <f t="shared" si="14"/>
        <v>10.000000238418579</v>
      </c>
    </row>
    <row r="28" spans="1:37" s="48" customFormat="1" ht="30.75" hidden="1" customHeight="1" x14ac:dyDescent="0.2">
      <c r="A28" s="211" t="s">
        <v>2290</v>
      </c>
      <c r="B28" s="73"/>
      <c r="C28" s="40" t="s">
        <v>2623</v>
      </c>
      <c r="D28" s="67" t="s">
        <v>2479</v>
      </c>
      <c r="E28" s="40"/>
      <c r="F28" s="72" t="s">
        <v>52</v>
      </c>
      <c r="G28" s="40"/>
      <c r="H28" s="65" t="s">
        <v>52</v>
      </c>
      <c r="I28" s="32">
        <v>2014</v>
      </c>
      <c r="J28" s="40"/>
      <c r="K28" s="72"/>
      <c r="L28" s="72"/>
      <c r="M28" s="72"/>
      <c r="N28" s="40"/>
      <c r="O28" s="32" t="s">
        <v>12</v>
      </c>
      <c r="P28" s="252">
        <v>372460000</v>
      </c>
      <c r="Q28" s="61"/>
      <c r="W28" s="206" t="str">
        <f t="shared" si="3"/>
        <v>2.02.01</v>
      </c>
      <c r="X28" s="207" t="str">
        <f t="shared" si="1"/>
        <v>Alat-alat Besar Darat</v>
      </c>
      <c r="Y28" s="207">
        <f t="shared" si="2"/>
        <v>10</v>
      </c>
      <c r="Z28" s="233">
        <f t="shared" si="4"/>
        <v>37245999</v>
      </c>
      <c r="AA28" s="208"/>
      <c r="AB28" s="233">
        <f t="shared" si="6"/>
        <v>0</v>
      </c>
      <c r="AC28" s="233">
        <f t="shared" si="7"/>
        <v>37245999</v>
      </c>
      <c r="AD28" s="233">
        <f t="shared" si="8"/>
        <v>37245999</v>
      </c>
      <c r="AE28" s="233">
        <f t="shared" si="9"/>
        <v>37245999</v>
      </c>
      <c r="AF28" s="233">
        <f t="shared" si="10"/>
        <v>37245999</v>
      </c>
      <c r="AG28" s="238">
        <f t="shared" si="11"/>
        <v>37245999</v>
      </c>
      <c r="AH28" s="238">
        <f t="shared" si="12"/>
        <v>186229995</v>
      </c>
      <c r="AI28" s="209">
        <f t="shared" si="13"/>
        <v>2014</v>
      </c>
      <c r="AJ28" s="210">
        <f t="shared" si="14"/>
        <v>186230005</v>
      </c>
    </row>
    <row r="29" spans="1:37" s="41" customFormat="1" ht="30.75" hidden="1" customHeight="1" x14ac:dyDescent="0.2">
      <c r="A29" t="s">
        <v>2292</v>
      </c>
      <c r="B29" s="69"/>
      <c r="C29" s="40" t="s">
        <v>2623</v>
      </c>
      <c r="D29" s="65" t="s">
        <v>1688</v>
      </c>
      <c r="E29" s="70"/>
      <c r="F29" s="65"/>
      <c r="G29" s="32"/>
      <c r="H29" s="65"/>
      <c r="I29" s="32">
        <v>2012</v>
      </c>
      <c r="J29" s="40"/>
      <c r="K29" s="72"/>
      <c r="L29" s="65"/>
      <c r="M29" s="40"/>
      <c r="N29" s="40"/>
      <c r="O29" s="32" t="s">
        <v>12</v>
      </c>
      <c r="P29" s="252">
        <v>30017466.536394723</v>
      </c>
      <c r="Q29" s="61"/>
      <c r="W29" s="206" t="str">
        <f t="shared" ref="W29:W42" si="15">MID(C29,2,7)</f>
        <v>2.02.01</v>
      </c>
      <c r="X29" s="207" t="str">
        <f t="shared" ref="X29:X36" si="16">VLOOKUP(W29,kelompok,2,0)</f>
        <v>Alat-alat Besar Darat</v>
      </c>
      <c r="Y29" s="207">
        <f t="shared" ref="Y29:Y36" si="17">VLOOKUP(W29,MASAMANFAAT,4,0)</f>
        <v>10</v>
      </c>
      <c r="Z29" s="233">
        <f t="shared" ref="Z29:Z36" si="18">(P29-10)/Y29</f>
        <v>3001745.6536394721</v>
      </c>
      <c r="AA29" s="208">
        <f t="shared" ref="AA29:AA36" si="19">2013-AI29</f>
        <v>1</v>
      </c>
      <c r="AB29" s="233">
        <f t="shared" ref="AB29:AB36" si="20">IF(AA29&gt;Y29,P29-10,Z29*AA29)</f>
        <v>3001745.6536394721</v>
      </c>
      <c r="AC29" s="233">
        <f t="shared" ref="AC29:AC36" si="21">IF(P29-10=AB29,0,Z29)</f>
        <v>3001745.6536394721</v>
      </c>
      <c r="AD29" s="233">
        <f t="shared" ref="AD29:AD36" si="22">IF(P29-10=AB29+AC29,0,Z29)</f>
        <v>3001745.6536394721</v>
      </c>
      <c r="AE29" s="233">
        <f t="shared" ref="AE29:AE36" si="23">IF(P29-10=AB29+AC29+AD29,0,Z29)</f>
        <v>3001745.6536394721</v>
      </c>
      <c r="AF29" s="233">
        <f t="shared" ref="AF29:AF36" si="24">IF(P29-10=AB29+AC29+AD29+AE29,0,Z29)</f>
        <v>3001745.6536394721</v>
      </c>
      <c r="AG29" s="238">
        <f t="shared" ref="AG29:AG36" si="25">IF(P29-10=AB29+AC29+AD29+AE29+AF29,0,Z29)</f>
        <v>3001745.6536394721</v>
      </c>
      <c r="AH29" s="238">
        <f t="shared" ref="AH29:AH36" si="26">SUM(AB29:AG29)</f>
        <v>18010473.921836834</v>
      </c>
      <c r="AI29" s="209">
        <f t="shared" ref="AI29:AI36" si="27">I29</f>
        <v>2012</v>
      </c>
      <c r="AJ29" s="210">
        <f t="shared" ref="AJ29:AJ36" si="28">P29-AH29</f>
        <v>12006992.614557888</v>
      </c>
    </row>
    <row r="30" spans="1:37" s="41" customFormat="1" ht="30.75" hidden="1" customHeight="1" x14ac:dyDescent="0.2">
      <c r="A30" t="s">
        <v>2292</v>
      </c>
      <c r="B30" s="69"/>
      <c r="C30" s="40" t="s">
        <v>2623</v>
      </c>
      <c r="D30" s="65" t="s">
        <v>1689</v>
      </c>
      <c r="E30" s="70"/>
      <c r="F30" s="65"/>
      <c r="G30" s="32"/>
      <c r="H30" s="65"/>
      <c r="I30" s="32">
        <v>2012</v>
      </c>
      <c r="J30" s="40"/>
      <c r="K30" s="72"/>
      <c r="L30" s="65"/>
      <c r="M30" s="40"/>
      <c r="N30" s="40"/>
      <c r="O30" s="32" t="s">
        <v>12</v>
      </c>
      <c r="P30" s="252">
        <v>29794076.960655369</v>
      </c>
      <c r="Q30" s="61"/>
      <c r="W30" s="206" t="str">
        <f t="shared" si="15"/>
        <v>2.02.01</v>
      </c>
      <c r="X30" s="207" t="str">
        <f t="shared" si="16"/>
        <v>Alat-alat Besar Darat</v>
      </c>
      <c r="Y30" s="207">
        <f t="shared" si="17"/>
        <v>10</v>
      </c>
      <c r="Z30" s="233">
        <f t="shared" si="18"/>
        <v>2979406.6960655367</v>
      </c>
      <c r="AA30" s="208">
        <f t="shared" si="19"/>
        <v>1</v>
      </c>
      <c r="AB30" s="233">
        <f t="shared" si="20"/>
        <v>2979406.6960655367</v>
      </c>
      <c r="AC30" s="233">
        <f t="shared" si="21"/>
        <v>2979406.6960655367</v>
      </c>
      <c r="AD30" s="233">
        <f t="shared" si="22"/>
        <v>2979406.6960655367</v>
      </c>
      <c r="AE30" s="233">
        <f t="shared" si="23"/>
        <v>2979406.6960655367</v>
      </c>
      <c r="AF30" s="233">
        <f t="shared" si="24"/>
        <v>2979406.6960655367</v>
      </c>
      <c r="AG30" s="238">
        <f t="shared" si="25"/>
        <v>2979406.6960655367</v>
      </c>
      <c r="AH30" s="238">
        <f t="shared" si="26"/>
        <v>17876440.176393222</v>
      </c>
      <c r="AI30" s="209">
        <f t="shared" si="27"/>
        <v>2012</v>
      </c>
      <c r="AJ30" s="210">
        <f t="shared" si="28"/>
        <v>11917636.784262147</v>
      </c>
    </row>
    <row r="31" spans="1:37" s="41" customFormat="1" ht="30.75" hidden="1" customHeight="1" x14ac:dyDescent="0.2">
      <c r="A31" t="s">
        <v>2292</v>
      </c>
      <c r="B31" s="69"/>
      <c r="C31" s="40" t="s">
        <v>2623</v>
      </c>
      <c r="D31" s="65" t="s">
        <v>1690</v>
      </c>
      <c r="E31" s="70"/>
      <c r="F31" s="65"/>
      <c r="G31" s="32"/>
      <c r="H31" s="65"/>
      <c r="I31" s="32">
        <v>2012</v>
      </c>
      <c r="J31" s="40"/>
      <c r="K31" s="72"/>
      <c r="L31" s="65"/>
      <c r="M31" s="40"/>
      <c r="N31" s="40"/>
      <c r="O31" s="32" t="s">
        <v>12</v>
      </c>
      <c r="P31" s="252">
        <v>29990050.543008529</v>
      </c>
      <c r="Q31" s="61"/>
      <c r="W31" s="206" t="str">
        <f t="shared" si="15"/>
        <v>2.02.01</v>
      </c>
      <c r="X31" s="207" t="str">
        <f t="shared" si="16"/>
        <v>Alat-alat Besar Darat</v>
      </c>
      <c r="Y31" s="207">
        <f t="shared" si="17"/>
        <v>10</v>
      </c>
      <c r="Z31" s="233">
        <f t="shared" si="18"/>
        <v>2999004.0543008531</v>
      </c>
      <c r="AA31" s="208">
        <f t="shared" si="19"/>
        <v>1</v>
      </c>
      <c r="AB31" s="233">
        <f t="shared" si="20"/>
        <v>2999004.0543008531</v>
      </c>
      <c r="AC31" s="233">
        <f t="shared" si="21"/>
        <v>2999004.0543008531</v>
      </c>
      <c r="AD31" s="233">
        <f t="shared" si="22"/>
        <v>2999004.0543008531</v>
      </c>
      <c r="AE31" s="233">
        <f t="shared" si="23"/>
        <v>2999004.0543008531</v>
      </c>
      <c r="AF31" s="233">
        <f t="shared" si="24"/>
        <v>2999004.0543008531</v>
      </c>
      <c r="AG31" s="238">
        <f t="shared" si="25"/>
        <v>2999004.0543008531</v>
      </c>
      <c r="AH31" s="238">
        <f t="shared" si="26"/>
        <v>17994024.325805116</v>
      </c>
      <c r="AI31" s="209">
        <f t="shared" si="27"/>
        <v>2012</v>
      </c>
      <c r="AJ31" s="210">
        <f t="shared" si="28"/>
        <v>11996026.217203412</v>
      </c>
    </row>
    <row r="32" spans="1:37" s="41" customFormat="1" ht="30.75" hidden="1" customHeight="1" x14ac:dyDescent="0.2">
      <c r="A32" t="s">
        <v>2292</v>
      </c>
      <c r="B32" s="69"/>
      <c r="C32" s="40" t="s">
        <v>2623</v>
      </c>
      <c r="D32" s="65" t="s">
        <v>1691</v>
      </c>
      <c r="E32" s="70"/>
      <c r="F32" s="65"/>
      <c r="G32" s="32"/>
      <c r="H32" s="65"/>
      <c r="I32" s="32">
        <v>2012</v>
      </c>
      <c r="J32" s="40"/>
      <c r="K32" s="72"/>
      <c r="L32" s="65"/>
      <c r="M32" s="40"/>
      <c r="N32" s="40"/>
      <c r="O32" s="32" t="s">
        <v>12</v>
      </c>
      <c r="P32" s="252">
        <v>29990050.543008529</v>
      </c>
      <c r="Q32" s="61"/>
      <c r="W32" s="206" t="str">
        <f t="shared" si="15"/>
        <v>2.02.01</v>
      </c>
      <c r="X32" s="207" t="str">
        <f t="shared" si="16"/>
        <v>Alat-alat Besar Darat</v>
      </c>
      <c r="Y32" s="207">
        <f t="shared" si="17"/>
        <v>10</v>
      </c>
      <c r="Z32" s="233">
        <f t="shared" si="18"/>
        <v>2999004.0543008531</v>
      </c>
      <c r="AA32" s="208">
        <f t="shared" si="19"/>
        <v>1</v>
      </c>
      <c r="AB32" s="233">
        <f t="shared" si="20"/>
        <v>2999004.0543008531</v>
      </c>
      <c r="AC32" s="233">
        <f t="shared" si="21"/>
        <v>2999004.0543008531</v>
      </c>
      <c r="AD32" s="233">
        <f t="shared" si="22"/>
        <v>2999004.0543008531</v>
      </c>
      <c r="AE32" s="233">
        <f t="shared" si="23"/>
        <v>2999004.0543008531</v>
      </c>
      <c r="AF32" s="233">
        <f t="shared" si="24"/>
        <v>2999004.0543008531</v>
      </c>
      <c r="AG32" s="238">
        <f t="shared" si="25"/>
        <v>2999004.0543008531</v>
      </c>
      <c r="AH32" s="238">
        <f t="shared" si="26"/>
        <v>17994024.325805116</v>
      </c>
      <c r="AI32" s="209">
        <f t="shared" si="27"/>
        <v>2012</v>
      </c>
      <c r="AJ32" s="210">
        <f t="shared" si="28"/>
        <v>11996026.217203412</v>
      </c>
    </row>
    <row r="33" spans="1:38" s="41" customFormat="1" ht="30.75" hidden="1" customHeight="1" x14ac:dyDescent="0.2">
      <c r="A33" t="s">
        <v>2292</v>
      </c>
      <c r="B33" s="69"/>
      <c r="C33" s="40" t="s">
        <v>2623</v>
      </c>
      <c r="D33" s="65" t="s">
        <v>1692</v>
      </c>
      <c r="E33" s="70"/>
      <c r="F33" s="65"/>
      <c r="G33" s="32"/>
      <c r="H33" s="65"/>
      <c r="I33" s="32">
        <v>2012</v>
      </c>
      <c r="J33" s="40"/>
      <c r="K33" s="72"/>
      <c r="L33" s="65"/>
      <c r="M33" s="40"/>
      <c r="N33" s="40"/>
      <c r="O33" s="32" t="s">
        <v>12</v>
      </c>
      <c r="P33" s="252">
        <v>30045897.936943371</v>
      </c>
      <c r="Q33" s="61"/>
      <c r="W33" s="206" t="str">
        <f t="shared" si="15"/>
        <v>2.02.01</v>
      </c>
      <c r="X33" s="207" t="str">
        <f t="shared" si="16"/>
        <v>Alat-alat Besar Darat</v>
      </c>
      <c r="Y33" s="207">
        <f t="shared" si="17"/>
        <v>10</v>
      </c>
      <c r="Z33" s="233">
        <f t="shared" si="18"/>
        <v>3004588.7936943369</v>
      </c>
      <c r="AA33" s="208">
        <f t="shared" si="19"/>
        <v>1</v>
      </c>
      <c r="AB33" s="233">
        <f t="shared" si="20"/>
        <v>3004588.7936943369</v>
      </c>
      <c r="AC33" s="233">
        <f t="shared" si="21"/>
        <v>3004588.7936943369</v>
      </c>
      <c r="AD33" s="233">
        <f t="shared" si="22"/>
        <v>3004588.7936943369</v>
      </c>
      <c r="AE33" s="233">
        <f t="shared" si="23"/>
        <v>3004588.7936943369</v>
      </c>
      <c r="AF33" s="233">
        <f t="shared" si="24"/>
        <v>3004588.7936943369</v>
      </c>
      <c r="AG33" s="238">
        <f t="shared" si="25"/>
        <v>3004588.7936943369</v>
      </c>
      <c r="AH33" s="238">
        <f t="shared" si="26"/>
        <v>18027532.76216602</v>
      </c>
      <c r="AI33" s="209">
        <f t="shared" si="27"/>
        <v>2012</v>
      </c>
      <c r="AJ33" s="210">
        <f t="shared" si="28"/>
        <v>12018365.174777351</v>
      </c>
    </row>
    <row r="34" spans="1:38" s="41" customFormat="1" ht="30.75" hidden="1" customHeight="1" x14ac:dyDescent="0.2">
      <c r="A34" t="s">
        <v>2292</v>
      </c>
      <c r="B34" s="69"/>
      <c r="C34" s="40" t="s">
        <v>2623</v>
      </c>
      <c r="D34" s="65" t="s">
        <v>1693</v>
      </c>
      <c r="E34" s="70"/>
      <c r="F34" s="65"/>
      <c r="G34" s="32"/>
      <c r="H34" s="65"/>
      <c r="I34" s="32">
        <v>2012</v>
      </c>
      <c r="J34" s="40"/>
      <c r="K34" s="72"/>
      <c r="L34" s="65"/>
      <c r="M34" s="40"/>
      <c r="N34" s="40"/>
      <c r="O34" s="32" t="s">
        <v>12</v>
      </c>
      <c r="P34" s="252">
        <v>8123257.2996129422</v>
      </c>
      <c r="Q34" s="61"/>
      <c r="W34" s="206" t="str">
        <f t="shared" si="15"/>
        <v>2.02.01</v>
      </c>
      <c r="X34" s="207" t="str">
        <f t="shared" si="16"/>
        <v>Alat-alat Besar Darat</v>
      </c>
      <c r="Y34" s="207">
        <f t="shared" si="17"/>
        <v>10</v>
      </c>
      <c r="Z34" s="233">
        <f t="shared" si="18"/>
        <v>812324.72996129422</v>
      </c>
      <c r="AA34" s="208">
        <f t="shared" si="19"/>
        <v>1</v>
      </c>
      <c r="AB34" s="233">
        <f t="shared" si="20"/>
        <v>812324.72996129422</v>
      </c>
      <c r="AC34" s="233">
        <f t="shared" si="21"/>
        <v>812324.72996129422</v>
      </c>
      <c r="AD34" s="233">
        <f t="shared" si="22"/>
        <v>812324.72996129422</v>
      </c>
      <c r="AE34" s="233">
        <f t="shared" si="23"/>
        <v>812324.72996129422</v>
      </c>
      <c r="AF34" s="233">
        <f t="shared" si="24"/>
        <v>812324.72996129422</v>
      </c>
      <c r="AG34" s="238">
        <f t="shared" si="25"/>
        <v>812324.72996129422</v>
      </c>
      <c r="AH34" s="238">
        <f t="shared" si="26"/>
        <v>4873948.3797677653</v>
      </c>
      <c r="AI34" s="209">
        <f t="shared" si="27"/>
        <v>2012</v>
      </c>
      <c r="AJ34" s="210">
        <f t="shared" si="28"/>
        <v>3249308.9198451769</v>
      </c>
    </row>
    <row r="35" spans="1:38" s="41" customFormat="1" ht="30.75" hidden="1" customHeight="1" x14ac:dyDescent="0.2">
      <c r="A35" t="s">
        <v>2292</v>
      </c>
      <c r="B35" s="69"/>
      <c r="C35" s="40" t="s">
        <v>2623</v>
      </c>
      <c r="D35" s="65" t="s">
        <v>1694</v>
      </c>
      <c r="E35" s="70"/>
      <c r="F35" s="65"/>
      <c r="G35" s="32"/>
      <c r="H35" s="65"/>
      <c r="I35" s="32">
        <v>2013</v>
      </c>
      <c r="J35" s="40"/>
      <c r="K35" s="72"/>
      <c r="L35" s="65"/>
      <c r="M35" s="40"/>
      <c r="N35" s="40"/>
      <c r="O35" s="32" t="s">
        <v>12</v>
      </c>
      <c r="P35" s="252">
        <v>94651393.896150351</v>
      </c>
      <c r="Q35" s="61"/>
      <c r="W35" s="206" t="str">
        <f t="shared" si="15"/>
        <v>2.02.01</v>
      </c>
      <c r="X35" s="207" t="str">
        <f t="shared" si="16"/>
        <v>Alat-alat Besar Darat</v>
      </c>
      <c r="Y35" s="207">
        <f t="shared" si="17"/>
        <v>10</v>
      </c>
      <c r="Z35" s="233">
        <f t="shared" si="18"/>
        <v>9465138.3896150347</v>
      </c>
      <c r="AA35" s="208">
        <f t="shared" si="19"/>
        <v>0</v>
      </c>
      <c r="AB35" s="233">
        <f t="shared" si="20"/>
        <v>0</v>
      </c>
      <c r="AC35" s="233">
        <f t="shared" si="21"/>
        <v>9465138.3896150347</v>
      </c>
      <c r="AD35" s="233">
        <f t="shared" si="22"/>
        <v>9465138.3896150347</v>
      </c>
      <c r="AE35" s="233">
        <f t="shared" si="23"/>
        <v>9465138.3896150347</v>
      </c>
      <c r="AF35" s="233">
        <f t="shared" si="24"/>
        <v>9465138.3896150347</v>
      </c>
      <c r="AG35" s="238">
        <f t="shared" si="25"/>
        <v>9465138.3896150347</v>
      </c>
      <c r="AH35" s="238">
        <f t="shared" si="26"/>
        <v>47325691.948075175</v>
      </c>
      <c r="AI35" s="209">
        <f t="shared" si="27"/>
        <v>2013</v>
      </c>
      <c r="AJ35" s="210">
        <f t="shared" si="28"/>
        <v>47325701.948075175</v>
      </c>
    </row>
    <row r="36" spans="1:38" s="41" customFormat="1" ht="30.75" hidden="1" customHeight="1" x14ac:dyDescent="0.2">
      <c r="A36" t="s">
        <v>2292</v>
      </c>
      <c r="B36" s="69"/>
      <c r="C36" s="40" t="s">
        <v>2623</v>
      </c>
      <c r="D36" s="65" t="s">
        <v>1695</v>
      </c>
      <c r="E36" s="70"/>
      <c r="F36" s="65"/>
      <c r="G36" s="32"/>
      <c r="H36" s="65"/>
      <c r="I36" s="32">
        <v>2013</v>
      </c>
      <c r="J36" s="40"/>
      <c r="K36" s="72"/>
      <c r="L36" s="65"/>
      <c r="M36" s="40"/>
      <c r="N36" s="40"/>
      <c r="O36" s="32" t="s">
        <v>12</v>
      </c>
      <c r="P36" s="252">
        <v>99822215.531245813</v>
      </c>
      <c r="Q36" s="61"/>
      <c r="W36" s="206" t="str">
        <f t="shared" si="15"/>
        <v>2.02.01</v>
      </c>
      <c r="X36" s="207" t="str">
        <f t="shared" si="16"/>
        <v>Alat-alat Besar Darat</v>
      </c>
      <c r="Y36" s="207">
        <f t="shared" si="17"/>
        <v>10</v>
      </c>
      <c r="Z36" s="233">
        <f t="shared" si="18"/>
        <v>9982220.5531245805</v>
      </c>
      <c r="AA36" s="208">
        <f t="shared" si="19"/>
        <v>0</v>
      </c>
      <c r="AB36" s="233">
        <f t="shared" si="20"/>
        <v>0</v>
      </c>
      <c r="AC36" s="233">
        <f t="shared" si="21"/>
        <v>9982220.5531245805</v>
      </c>
      <c r="AD36" s="233">
        <f t="shared" si="22"/>
        <v>9982220.5531245805</v>
      </c>
      <c r="AE36" s="233">
        <f t="shared" si="23"/>
        <v>9982220.5531245805</v>
      </c>
      <c r="AF36" s="233">
        <f t="shared" si="24"/>
        <v>9982220.5531245805</v>
      </c>
      <c r="AG36" s="238">
        <f t="shared" si="25"/>
        <v>9982220.5531245805</v>
      </c>
      <c r="AH36" s="238">
        <f t="shared" si="26"/>
        <v>49911102.765622899</v>
      </c>
      <c r="AI36" s="209">
        <f t="shared" si="27"/>
        <v>2013</v>
      </c>
      <c r="AJ36" s="210">
        <f t="shared" si="28"/>
        <v>49911112.765622914</v>
      </c>
    </row>
    <row r="37" spans="1:38" s="41" customFormat="1" ht="30.75" hidden="1" customHeight="1" x14ac:dyDescent="0.2">
      <c r="A37"/>
      <c r="B37" s="69"/>
      <c r="C37" s="40" t="s">
        <v>2623</v>
      </c>
      <c r="D37" s="65" t="s">
        <v>2617</v>
      </c>
      <c r="E37" s="70"/>
      <c r="F37" s="65"/>
      <c r="G37" s="32"/>
      <c r="H37" s="65"/>
      <c r="I37" s="32">
        <v>2017</v>
      </c>
      <c r="J37" s="40"/>
      <c r="K37" s="72"/>
      <c r="L37" s="65"/>
      <c r="M37" s="40"/>
      <c r="N37" s="40"/>
      <c r="O37" s="32" t="s">
        <v>12</v>
      </c>
      <c r="P37" s="252">
        <v>49599000</v>
      </c>
      <c r="Q37" s="61"/>
      <c r="W37" s="206" t="str">
        <f t="shared" si="15"/>
        <v>2.02.01</v>
      </c>
      <c r="X37" s="207" t="str">
        <f t="shared" ref="X37:X42" si="29">VLOOKUP(W37,UE,2)</f>
        <v>4.16.04</v>
      </c>
      <c r="Y37" s="207" t="str">
        <f t="shared" ref="Y37:Y42" si="30">VLOOKUP(W37,UE,3)</f>
        <v>Jaringan Gas</v>
      </c>
      <c r="Z37" s="233" t="e">
        <f t="shared" ref="Z37:Z42" si="31">(P37-10)/Y37</f>
        <v>#VALUE!</v>
      </c>
      <c r="AA37" s="208"/>
      <c r="AB37" s="233"/>
      <c r="AC37" s="233"/>
      <c r="AD37" s="233"/>
      <c r="AE37" s="233"/>
      <c r="AF37" s="233"/>
      <c r="AG37" s="238" t="e">
        <f t="shared" ref="AG37:AG42" si="32">IF(P37-10=AB37+AC37+AD37+AE37+AF37,0,Z37)</f>
        <v>#VALUE!</v>
      </c>
      <c r="AH37" s="238" t="e">
        <f t="shared" ref="AH37:AH42" si="33">SUM(AB37:AG37)</f>
        <v>#VALUE!</v>
      </c>
      <c r="AI37" s="209">
        <f t="shared" ref="AI37:AI42" si="34">I37</f>
        <v>2017</v>
      </c>
      <c r="AJ37" s="210" t="e">
        <f t="shared" ref="AJ37:AJ42" si="35">P37-AH37</f>
        <v>#VALUE!</v>
      </c>
      <c r="AK37" s="234"/>
    </row>
    <row r="38" spans="1:38" s="41" customFormat="1" ht="30.75" hidden="1" customHeight="1" x14ac:dyDescent="0.2">
      <c r="A38"/>
      <c r="B38" s="69"/>
      <c r="C38" s="40" t="s">
        <v>2623</v>
      </c>
      <c r="D38" s="65" t="s">
        <v>2618</v>
      </c>
      <c r="E38" s="70"/>
      <c r="F38" s="65"/>
      <c r="G38" s="32"/>
      <c r="H38" s="65"/>
      <c r="I38" s="32">
        <v>2017</v>
      </c>
      <c r="J38" s="40"/>
      <c r="K38" s="72"/>
      <c r="L38" s="65"/>
      <c r="M38" s="40"/>
      <c r="N38" s="40"/>
      <c r="O38" s="32" t="s">
        <v>12</v>
      </c>
      <c r="P38" s="252">
        <v>45930000</v>
      </c>
      <c r="Q38" s="61"/>
      <c r="W38" s="206" t="str">
        <f t="shared" si="15"/>
        <v>2.02.01</v>
      </c>
      <c r="X38" s="207" t="str">
        <f t="shared" si="29"/>
        <v>4.16.04</v>
      </c>
      <c r="Y38" s="207" t="str">
        <f t="shared" si="30"/>
        <v>Jaringan Gas</v>
      </c>
      <c r="Z38" s="233" t="e">
        <f t="shared" si="31"/>
        <v>#VALUE!</v>
      </c>
      <c r="AA38" s="208"/>
      <c r="AB38" s="233"/>
      <c r="AC38" s="233"/>
      <c r="AD38" s="233"/>
      <c r="AE38" s="233"/>
      <c r="AF38" s="233"/>
      <c r="AG38" s="238" t="e">
        <f t="shared" si="32"/>
        <v>#VALUE!</v>
      </c>
      <c r="AH38" s="238" t="e">
        <f t="shared" si="33"/>
        <v>#VALUE!</v>
      </c>
      <c r="AI38" s="209">
        <f t="shared" si="34"/>
        <v>2017</v>
      </c>
      <c r="AJ38" s="210" t="e">
        <f t="shared" si="35"/>
        <v>#VALUE!</v>
      </c>
      <c r="AK38" s="234"/>
    </row>
    <row r="39" spans="1:38" s="41" customFormat="1" ht="30.75" hidden="1" customHeight="1" x14ac:dyDescent="0.2">
      <c r="A39"/>
      <c r="B39" s="69"/>
      <c r="C39" s="40" t="s">
        <v>2623</v>
      </c>
      <c r="D39" s="65" t="s">
        <v>2619</v>
      </c>
      <c r="E39" s="70"/>
      <c r="F39" s="65"/>
      <c r="G39" s="32"/>
      <c r="H39" s="65"/>
      <c r="I39" s="32">
        <v>2017</v>
      </c>
      <c r="J39" s="40"/>
      <c r="K39" s="72"/>
      <c r="L39" s="65"/>
      <c r="M39" s="40"/>
      <c r="N39" s="40"/>
      <c r="O39" s="32" t="s">
        <v>12</v>
      </c>
      <c r="P39" s="252">
        <v>25850000</v>
      </c>
      <c r="Q39" s="61"/>
      <c r="W39" s="206" t="str">
        <f t="shared" si="15"/>
        <v>2.02.01</v>
      </c>
      <c r="X39" s="207" t="str">
        <f t="shared" si="29"/>
        <v>4.16.04</v>
      </c>
      <c r="Y39" s="207" t="str">
        <f t="shared" si="30"/>
        <v>Jaringan Gas</v>
      </c>
      <c r="Z39" s="233" t="e">
        <f t="shared" si="31"/>
        <v>#VALUE!</v>
      </c>
      <c r="AA39" s="208"/>
      <c r="AB39" s="233"/>
      <c r="AC39" s="233"/>
      <c r="AD39" s="233"/>
      <c r="AE39" s="233"/>
      <c r="AF39" s="233"/>
      <c r="AG39" s="238" t="e">
        <f t="shared" si="32"/>
        <v>#VALUE!</v>
      </c>
      <c r="AH39" s="238" t="e">
        <f t="shared" si="33"/>
        <v>#VALUE!</v>
      </c>
      <c r="AI39" s="209">
        <f t="shared" si="34"/>
        <v>2017</v>
      </c>
      <c r="AJ39" s="210" t="e">
        <f t="shared" si="35"/>
        <v>#VALUE!</v>
      </c>
      <c r="AK39" s="234"/>
    </row>
    <row r="40" spans="1:38" s="41" customFormat="1" ht="30.75" hidden="1" customHeight="1" x14ac:dyDescent="0.2">
      <c r="A40"/>
      <c r="B40" s="69"/>
      <c r="C40" s="40" t="s">
        <v>2623</v>
      </c>
      <c r="D40" s="65" t="s">
        <v>2620</v>
      </c>
      <c r="E40" s="70"/>
      <c r="F40" s="65"/>
      <c r="G40" s="32"/>
      <c r="H40" s="65"/>
      <c r="I40" s="32">
        <v>2017</v>
      </c>
      <c r="J40" s="40"/>
      <c r="K40" s="72"/>
      <c r="L40" s="65"/>
      <c r="M40" s="40"/>
      <c r="N40" s="40"/>
      <c r="O40" s="32" t="s">
        <v>12</v>
      </c>
      <c r="P40" s="252">
        <v>120780000</v>
      </c>
      <c r="Q40" s="61"/>
      <c r="W40" s="206" t="str">
        <f t="shared" si="15"/>
        <v>2.02.01</v>
      </c>
      <c r="X40" s="207" t="str">
        <f t="shared" si="29"/>
        <v>4.16.04</v>
      </c>
      <c r="Y40" s="207" t="str">
        <f t="shared" si="30"/>
        <v>Jaringan Gas</v>
      </c>
      <c r="Z40" s="233" t="e">
        <f t="shared" si="31"/>
        <v>#VALUE!</v>
      </c>
      <c r="AA40" s="208"/>
      <c r="AB40" s="233"/>
      <c r="AC40" s="233"/>
      <c r="AD40" s="233"/>
      <c r="AE40" s="233"/>
      <c r="AF40" s="233"/>
      <c r="AG40" s="238" t="e">
        <f t="shared" si="32"/>
        <v>#VALUE!</v>
      </c>
      <c r="AH40" s="238" t="e">
        <f t="shared" si="33"/>
        <v>#VALUE!</v>
      </c>
      <c r="AI40" s="209">
        <f t="shared" si="34"/>
        <v>2017</v>
      </c>
      <c r="AJ40" s="210" t="e">
        <f t="shared" si="35"/>
        <v>#VALUE!</v>
      </c>
      <c r="AK40" s="234"/>
    </row>
    <row r="41" spans="1:38" s="41" customFormat="1" ht="30.75" hidden="1" customHeight="1" x14ac:dyDescent="0.2">
      <c r="A41"/>
      <c r="B41" s="69"/>
      <c r="C41" s="40" t="s">
        <v>2623</v>
      </c>
      <c r="D41" s="65" t="s">
        <v>2621</v>
      </c>
      <c r="E41" s="70"/>
      <c r="F41" s="65"/>
      <c r="G41" s="32"/>
      <c r="H41" s="65"/>
      <c r="I41" s="32">
        <v>2017</v>
      </c>
      <c r="J41" s="40"/>
      <c r="K41" s="72"/>
      <c r="L41" s="65"/>
      <c r="M41" s="40"/>
      <c r="N41" s="40"/>
      <c r="O41" s="32" t="s">
        <v>12</v>
      </c>
      <c r="P41" s="252">
        <v>98700000</v>
      </c>
      <c r="Q41" s="61"/>
      <c r="W41" s="206" t="str">
        <f t="shared" si="15"/>
        <v>2.02.01</v>
      </c>
      <c r="X41" s="207" t="str">
        <f t="shared" si="29"/>
        <v>4.16.04</v>
      </c>
      <c r="Y41" s="207" t="str">
        <f t="shared" si="30"/>
        <v>Jaringan Gas</v>
      </c>
      <c r="Z41" s="233" t="e">
        <f t="shared" si="31"/>
        <v>#VALUE!</v>
      </c>
      <c r="AA41" s="208"/>
      <c r="AB41" s="233"/>
      <c r="AC41" s="233"/>
      <c r="AD41" s="233"/>
      <c r="AE41" s="233"/>
      <c r="AF41" s="233"/>
      <c r="AG41" s="238" t="e">
        <f t="shared" si="32"/>
        <v>#VALUE!</v>
      </c>
      <c r="AH41" s="238" t="e">
        <f t="shared" si="33"/>
        <v>#VALUE!</v>
      </c>
      <c r="AI41" s="209">
        <f t="shared" si="34"/>
        <v>2017</v>
      </c>
      <c r="AJ41" s="210" t="e">
        <f t="shared" si="35"/>
        <v>#VALUE!</v>
      </c>
      <c r="AK41" s="234"/>
    </row>
    <row r="42" spans="1:38" s="41" customFormat="1" ht="30.75" hidden="1" customHeight="1" x14ac:dyDescent="0.2">
      <c r="A42"/>
      <c r="B42" s="69"/>
      <c r="C42" s="40" t="s">
        <v>2623</v>
      </c>
      <c r="D42" s="65" t="s">
        <v>2622</v>
      </c>
      <c r="E42" s="70"/>
      <c r="F42" s="65"/>
      <c r="G42" s="32"/>
      <c r="H42" s="65"/>
      <c r="I42" s="32">
        <v>2017</v>
      </c>
      <c r="J42" s="40"/>
      <c r="K42" s="72"/>
      <c r="L42" s="65"/>
      <c r="M42" s="40"/>
      <c r="N42" s="40"/>
      <c r="O42" s="32" t="s">
        <v>12</v>
      </c>
      <c r="P42" s="252">
        <v>62865000</v>
      </c>
      <c r="Q42" s="61"/>
      <c r="W42" s="206" t="str">
        <f t="shared" si="15"/>
        <v>2.02.01</v>
      </c>
      <c r="X42" s="207" t="str">
        <f t="shared" si="29"/>
        <v>4.16.04</v>
      </c>
      <c r="Y42" s="207" t="str">
        <f t="shared" si="30"/>
        <v>Jaringan Gas</v>
      </c>
      <c r="Z42" s="233" t="e">
        <f t="shared" si="31"/>
        <v>#VALUE!</v>
      </c>
      <c r="AA42" s="208"/>
      <c r="AB42" s="233"/>
      <c r="AC42" s="233"/>
      <c r="AD42" s="233"/>
      <c r="AE42" s="233"/>
      <c r="AF42" s="233"/>
      <c r="AG42" s="238" t="e">
        <f t="shared" si="32"/>
        <v>#VALUE!</v>
      </c>
      <c r="AH42" s="238" t="e">
        <f t="shared" si="33"/>
        <v>#VALUE!</v>
      </c>
      <c r="AI42" s="209">
        <f t="shared" si="34"/>
        <v>2017</v>
      </c>
      <c r="AJ42" s="210" t="e">
        <f t="shared" si="35"/>
        <v>#VALUE!</v>
      </c>
      <c r="AK42" s="234"/>
    </row>
    <row r="43" spans="1:38" s="41" customFormat="1" ht="30.75" hidden="1" customHeight="1" x14ac:dyDescent="0.2">
      <c r="B43" s="69"/>
      <c r="C43" s="70" t="s">
        <v>52</v>
      </c>
      <c r="D43" s="70" t="s">
        <v>52</v>
      </c>
      <c r="E43" s="70"/>
      <c r="F43" s="70" t="s">
        <v>52</v>
      </c>
      <c r="G43" s="70"/>
      <c r="H43" s="70" t="s">
        <v>52</v>
      </c>
      <c r="I43" s="70"/>
      <c r="J43" s="70"/>
      <c r="K43" s="70"/>
      <c r="L43" s="70"/>
      <c r="M43" s="70"/>
      <c r="N43" s="70"/>
      <c r="O43" s="70"/>
      <c r="P43" s="278"/>
      <c r="Q43" s="74"/>
      <c r="X43" s="42">
        <f>IF(P43&lt;300000,P43,"0")</f>
        <v>0</v>
      </c>
      <c r="Z43" s="234"/>
      <c r="AB43" s="234"/>
      <c r="AC43" s="234"/>
      <c r="AD43" s="234"/>
      <c r="AE43" s="234"/>
      <c r="AF43" s="234"/>
      <c r="AG43" s="234"/>
      <c r="AH43" s="234"/>
    </row>
    <row r="44" spans="1:38" s="45" customFormat="1" ht="30.75" hidden="1" customHeight="1" x14ac:dyDescent="0.2">
      <c r="B44" s="58" t="s">
        <v>120</v>
      </c>
      <c r="C44" s="59" t="s">
        <v>918</v>
      </c>
      <c r="D44" s="75" t="s">
        <v>52</v>
      </c>
      <c r="E44" s="75"/>
      <c r="F44" s="75" t="s">
        <v>52</v>
      </c>
      <c r="G44" s="75"/>
      <c r="H44" s="75" t="s">
        <v>52</v>
      </c>
      <c r="I44" s="75"/>
      <c r="J44" s="75"/>
      <c r="K44" s="75"/>
      <c r="L44" s="75"/>
      <c r="M44" s="75"/>
      <c r="N44" s="75"/>
      <c r="O44" s="75"/>
      <c r="P44" s="279">
        <f>SUBTOTAL(9,P45:P54)</f>
        <v>0</v>
      </c>
      <c r="Q44" s="76"/>
      <c r="X44" s="42"/>
      <c r="Z44" s="235"/>
      <c r="AB44" s="235">
        <f t="shared" ref="AB44:AG44" si="36">SUM(AB45:AB54)</f>
        <v>3170655602.6086569</v>
      </c>
      <c r="AC44" s="235">
        <f t="shared" si="36"/>
        <v>514525937.10144275</v>
      </c>
      <c r="AD44" s="235">
        <f t="shared" si="36"/>
        <v>0</v>
      </c>
      <c r="AE44" s="235">
        <f t="shared" si="36"/>
        <v>0</v>
      </c>
      <c r="AF44" s="235">
        <f t="shared" si="36"/>
        <v>0</v>
      </c>
      <c r="AG44" s="235">
        <f t="shared" si="36"/>
        <v>0</v>
      </c>
      <c r="AH44" s="235">
        <f>SUM(AH45:AH54)</f>
        <v>3685181539.7101002</v>
      </c>
      <c r="AI44" s="235">
        <f>SUM(AI45:AI54)</f>
        <v>16056</v>
      </c>
      <c r="AJ44" s="235">
        <f>SUM(AJ45:AJ54)</f>
        <v>100.00000047683716</v>
      </c>
      <c r="AK44" s="217">
        <f>AH44-AG44</f>
        <v>3685181539.7101002</v>
      </c>
      <c r="AL44" s="272">
        <f>AH44-AG44</f>
        <v>3685181539.7101002</v>
      </c>
    </row>
    <row r="45" spans="1:38" s="41" customFormat="1" ht="30.75" hidden="1" customHeight="1" x14ac:dyDescent="0.2">
      <c r="A45" t="s">
        <v>2291</v>
      </c>
      <c r="B45" s="69"/>
      <c r="C45" s="77" t="s">
        <v>121</v>
      </c>
      <c r="D45" s="78" t="s">
        <v>122</v>
      </c>
      <c r="E45" s="40"/>
      <c r="F45" s="65" t="s">
        <v>123</v>
      </c>
      <c r="G45" s="32" t="s">
        <v>124</v>
      </c>
      <c r="H45" s="65" t="s">
        <v>1007</v>
      </c>
      <c r="I45" s="32" t="s">
        <v>48</v>
      </c>
      <c r="J45" s="40"/>
      <c r="K45" s="65" t="s">
        <v>125</v>
      </c>
      <c r="L45" s="65" t="s">
        <v>126</v>
      </c>
      <c r="M45" s="65" t="s">
        <v>127</v>
      </c>
      <c r="N45" s="70"/>
      <c r="O45" s="32" t="s">
        <v>12</v>
      </c>
      <c r="P45" s="252">
        <v>80000000</v>
      </c>
      <c r="Q45" s="61" t="s">
        <v>43</v>
      </c>
      <c r="W45" s="206" t="str">
        <f t="shared" ref="W45:W54" si="37">A45</f>
        <v>2.03.01</v>
      </c>
      <c r="X45" s="207" t="str">
        <f t="shared" ref="X45:X54" si="38">VLOOKUP(W45,kelompok,2,0)</f>
        <v>Alat Angkutan Darat Bermotor</v>
      </c>
      <c r="Y45" s="207">
        <f t="shared" ref="Y45:Y54" si="39">VLOOKUP(W45,MASAMANFAAT,4,0)</f>
        <v>7</v>
      </c>
      <c r="Z45" s="233">
        <f t="shared" ref="Z45:Z54" si="40">(P45-10)/Y45</f>
        <v>11428570</v>
      </c>
      <c r="AA45" s="208">
        <f t="shared" ref="AA45:AA54" si="41">2013-AI45</f>
        <v>13</v>
      </c>
      <c r="AB45" s="233">
        <f t="shared" ref="AB45:AB54" si="42">IF(AA45&gt;Y45,P45-10,Z45*AA45)</f>
        <v>79999990</v>
      </c>
      <c r="AC45" s="233">
        <f t="shared" ref="AC45:AC54" si="43">IF(P45-10=AB45,0,Z45)</f>
        <v>0</v>
      </c>
      <c r="AD45" s="233">
        <f t="shared" ref="AD45:AD54" si="44">IF(P45-10=AB45+AC45,0,Z45)</f>
        <v>0</v>
      </c>
      <c r="AE45" s="233">
        <f t="shared" ref="AE45:AE54" si="45">IF(P45-10=AB45+AC45+AD45,0,Z45)</f>
        <v>0</v>
      </c>
      <c r="AF45" s="233">
        <f t="shared" ref="AF45:AF54" si="46">IF(P45-10=AB45+AC45+AD45+AE45,0,Z45)</f>
        <v>0</v>
      </c>
      <c r="AG45" s="238">
        <f t="shared" ref="AG45:AG54" si="47">IF(P45-10=AB45+AC45+AD45+AE45+AF45,0,Z45)</f>
        <v>0</v>
      </c>
      <c r="AH45" s="238">
        <f t="shared" ref="AH45:AH54" si="48">SUM(AB45:AG45)</f>
        <v>79999990</v>
      </c>
      <c r="AI45" s="209" t="str">
        <f t="shared" ref="AI45:AI54" si="49">I45</f>
        <v>2000</v>
      </c>
      <c r="AJ45" s="210">
        <f t="shared" ref="AJ45:AJ54" si="50">P45-AH45</f>
        <v>10</v>
      </c>
    </row>
    <row r="46" spans="1:38" s="41" customFormat="1" ht="30.75" hidden="1" customHeight="1" x14ac:dyDescent="0.2">
      <c r="A46" t="s">
        <v>2291</v>
      </c>
      <c r="B46" s="69"/>
      <c r="C46" s="77" t="s">
        <v>128</v>
      </c>
      <c r="D46" s="78" t="s">
        <v>129</v>
      </c>
      <c r="E46" s="40"/>
      <c r="F46" s="65" t="s">
        <v>130</v>
      </c>
      <c r="G46" s="32" t="s">
        <v>131</v>
      </c>
      <c r="H46" s="65" t="s">
        <v>193</v>
      </c>
      <c r="I46" s="32" t="s">
        <v>48</v>
      </c>
      <c r="J46" s="40"/>
      <c r="K46" s="65" t="s">
        <v>132</v>
      </c>
      <c r="L46" s="65" t="s">
        <v>133</v>
      </c>
      <c r="M46" s="65" t="s">
        <v>134</v>
      </c>
      <c r="N46" s="70"/>
      <c r="O46" s="32" t="s">
        <v>12</v>
      </c>
      <c r="P46" s="252">
        <v>3500000</v>
      </c>
      <c r="Q46" s="61" t="s">
        <v>135</v>
      </c>
      <c r="W46" s="206" t="str">
        <f t="shared" si="37"/>
        <v>2.03.01</v>
      </c>
      <c r="X46" s="207" t="str">
        <f t="shared" si="38"/>
        <v>Alat Angkutan Darat Bermotor</v>
      </c>
      <c r="Y46" s="207">
        <f t="shared" si="39"/>
        <v>7</v>
      </c>
      <c r="Z46" s="233">
        <f t="shared" si="40"/>
        <v>499998.57142857142</v>
      </c>
      <c r="AA46" s="208">
        <f t="shared" si="41"/>
        <v>13</v>
      </c>
      <c r="AB46" s="233">
        <f t="shared" si="42"/>
        <v>3499990</v>
      </c>
      <c r="AC46" s="233">
        <f t="shared" si="43"/>
        <v>0</v>
      </c>
      <c r="AD46" s="233">
        <f t="shared" si="44"/>
        <v>0</v>
      </c>
      <c r="AE46" s="233">
        <f t="shared" si="45"/>
        <v>0</v>
      </c>
      <c r="AF46" s="233">
        <f t="shared" si="46"/>
        <v>0</v>
      </c>
      <c r="AG46" s="238">
        <f t="shared" si="47"/>
        <v>0</v>
      </c>
      <c r="AH46" s="238">
        <f t="shared" si="48"/>
        <v>3499990</v>
      </c>
      <c r="AI46" s="209" t="str">
        <f t="shared" si="49"/>
        <v>2000</v>
      </c>
      <c r="AJ46" s="210">
        <f t="shared" si="50"/>
        <v>10</v>
      </c>
    </row>
    <row r="47" spans="1:38" s="41" customFormat="1" ht="30.75" hidden="1" customHeight="1" x14ac:dyDescent="0.2">
      <c r="A47" t="s">
        <v>2291</v>
      </c>
      <c r="B47" s="69"/>
      <c r="C47" s="77" t="s">
        <v>136</v>
      </c>
      <c r="D47" s="78" t="s">
        <v>927</v>
      </c>
      <c r="E47" s="40"/>
      <c r="F47" s="65" t="s">
        <v>137</v>
      </c>
      <c r="G47" s="32"/>
      <c r="H47" s="65" t="s">
        <v>119</v>
      </c>
      <c r="I47" s="32">
        <v>2007</v>
      </c>
      <c r="J47" s="40"/>
      <c r="K47" s="79"/>
      <c r="L47" s="79"/>
      <c r="M47" s="79"/>
      <c r="N47" s="70"/>
      <c r="O47" s="32" t="s">
        <v>12</v>
      </c>
      <c r="P47" s="252">
        <v>603469248.395805</v>
      </c>
      <c r="Q47" s="61" t="s">
        <v>43</v>
      </c>
      <c r="W47" s="206" t="str">
        <f t="shared" si="37"/>
        <v>2.03.01</v>
      </c>
      <c r="X47" s="207" t="str">
        <f t="shared" si="38"/>
        <v>Alat Angkutan Darat Bermotor</v>
      </c>
      <c r="Y47" s="207">
        <f t="shared" si="39"/>
        <v>7</v>
      </c>
      <c r="Z47" s="233">
        <f t="shared" si="40"/>
        <v>86209891.199400708</v>
      </c>
      <c r="AA47" s="208">
        <f t="shared" si="41"/>
        <v>6</v>
      </c>
      <c r="AB47" s="233">
        <f t="shared" si="42"/>
        <v>517259347.19640422</v>
      </c>
      <c r="AC47" s="233">
        <f t="shared" si="43"/>
        <v>86209891.199400708</v>
      </c>
      <c r="AD47" s="233">
        <f t="shared" si="44"/>
        <v>0</v>
      </c>
      <c r="AE47" s="233">
        <f t="shared" si="45"/>
        <v>0</v>
      </c>
      <c r="AF47" s="233">
        <f t="shared" si="46"/>
        <v>0</v>
      </c>
      <c r="AG47" s="238">
        <f t="shared" si="47"/>
        <v>0</v>
      </c>
      <c r="AH47" s="238">
        <f t="shared" si="48"/>
        <v>603469238.39580488</v>
      </c>
      <c r="AI47" s="209">
        <f t="shared" si="49"/>
        <v>2007</v>
      </c>
      <c r="AJ47" s="210">
        <f t="shared" si="50"/>
        <v>10.00000011920929</v>
      </c>
    </row>
    <row r="48" spans="1:38" s="41" customFormat="1" ht="30.75" hidden="1" customHeight="1" x14ac:dyDescent="0.2">
      <c r="A48" t="s">
        <v>2291</v>
      </c>
      <c r="B48" s="69"/>
      <c r="C48" s="77" t="s">
        <v>136</v>
      </c>
      <c r="D48" s="78" t="s">
        <v>927</v>
      </c>
      <c r="E48" s="40"/>
      <c r="F48" s="65" t="s">
        <v>137</v>
      </c>
      <c r="G48" s="32"/>
      <c r="H48" s="65" t="s">
        <v>119</v>
      </c>
      <c r="I48" s="32">
        <v>2007</v>
      </c>
      <c r="J48" s="40"/>
      <c r="K48" s="79"/>
      <c r="L48" s="79"/>
      <c r="M48" s="79"/>
      <c r="N48" s="70"/>
      <c r="O48" s="32" t="s">
        <v>12</v>
      </c>
      <c r="P48" s="252">
        <v>603469248.395805</v>
      </c>
      <c r="Q48" s="61" t="s">
        <v>43</v>
      </c>
      <c r="W48" s="206" t="str">
        <f t="shared" si="37"/>
        <v>2.03.01</v>
      </c>
      <c r="X48" s="207" t="str">
        <f t="shared" si="38"/>
        <v>Alat Angkutan Darat Bermotor</v>
      </c>
      <c r="Y48" s="207">
        <f t="shared" si="39"/>
        <v>7</v>
      </c>
      <c r="Z48" s="233">
        <f t="shared" si="40"/>
        <v>86209891.199400708</v>
      </c>
      <c r="AA48" s="208">
        <f t="shared" si="41"/>
        <v>6</v>
      </c>
      <c r="AB48" s="233">
        <f t="shared" si="42"/>
        <v>517259347.19640422</v>
      </c>
      <c r="AC48" s="233">
        <f t="shared" si="43"/>
        <v>86209891.199400708</v>
      </c>
      <c r="AD48" s="233">
        <f t="shared" si="44"/>
        <v>0</v>
      </c>
      <c r="AE48" s="233">
        <f t="shared" si="45"/>
        <v>0</v>
      </c>
      <c r="AF48" s="233">
        <f t="shared" si="46"/>
        <v>0</v>
      </c>
      <c r="AG48" s="238">
        <f t="shared" si="47"/>
        <v>0</v>
      </c>
      <c r="AH48" s="238">
        <f t="shared" si="48"/>
        <v>603469238.39580488</v>
      </c>
      <c r="AI48" s="209">
        <f t="shared" si="49"/>
        <v>2007</v>
      </c>
      <c r="AJ48" s="210">
        <f t="shared" si="50"/>
        <v>10.00000011920929</v>
      </c>
    </row>
    <row r="49" spans="1:39" s="41" customFormat="1" ht="30.75" hidden="1" customHeight="1" x14ac:dyDescent="0.2">
      <c r="A49" t="s">
        <v>2291</v>
      </c>
      <c r="B49" s="69"/>
      <c r="C49" s="77" t="s">
        <v>136</v>
      </c>
      <c r="D49" s="78" t="s">
        <v>927</v>
      </c>
      <c r="E49" s="40"/>
      <c r="F49" s="65" t="s">
        <v>137</v>
      </c>
      <c r="G49" s="32"/>
      <c r="H49" s="65" t="s">
        <v>119</v>
      </c>
      <c r="I49" s="32">
        <v>2007</v>
      </c>
      <c r="J49" s="40"/>
      <c r="K49" s="79"/>
      <c r="L49" s="79"/>
      <c r="M49" s="79"/>
      <c r="N49" s="70"/>
      <c r="O49" s="32" t="s">
        <v>12</v>
      </c>
      <c r="P49" s="252">
        <v>603469248.395805</v>
      </c>
      <c r="Q49" s="61" t="s">
        <v>43</v>
      </c>
      <c r="W49" s="206" t="str">
        <f t="shared" si="37"/>
        <v>2.03.01</v>
      </c>
      <c r="X49" s="207" t="str">
        <f t="shared" si="38"/>
        <v>Alat Angkutan Darat Bermotor</v>
      </c>
      <c r="Y49" s="207">
        <f t="shared" si="39"/>
        <v>7</v>
      </c>
      <c r="Z49" s="233">
        <f t="shared" si="40"/>
        <v>86209891.199400708</v>
      </c>
      <c r="AA49" s="208">
        <f t="shared" si="41"/>
        <v>6</v>
      </c>
      <c r="AB49" s="233">
        <f t="shared" si="42"/>
        <v>517259347.19640422</v>
      </c>
      <c r="AC49" s="233">
        <f t="shared" si="43"/>
        <v>86209891.199400708</v>
      </c>
      <c r="AD49" s="233">
        <f t="shared" si="44"/>
        <v>0</v>
      </c>
      <c r="AE49" s="233">
        <f t="shared" si="45"/>
        <v>0</v>
      </c>
      <c r="AF49" s="233">
        <f t="shared" si="46"/>
        <v>0</v>
      </c>
      <c r="AG49" s="238">
        <f t="shared" si="47"/>
        <v>0</v>
      </c>
      <c r="AH49" s="238">
        <f t="shared" si="48"/>
        <v>603469238.39580488</v>
      </c>
      <c r="AI49" s="209">
        <f t="shared" si="49"/>
        <v>2007</v>
      </c>
      <c r="AJ49" s="210">
        <f t="shared" si="50"/>
        <v>10.00000011920929</v>
      </c>
    </row>
    <row r="50" spans="1:39" s="41" customFormat="1" ht="30.75" hidden="1" customHeight="1" x14ac:dyDescent="0.2">
      <c r="A50" t="s">
        <v>2291</v>
      </c>
      <c r="B50" s="69"/>
      <c r="C50" s="77" t="s">
        <v>136</v>
      </c>
      <c r="D50" s="78" t="s">
        <v>927</v>
      </c>
      <c r="E50" s="40"/>
      <c r="F50" s="65" t="s">
        <v>137</v>
      </c>
      <c r="G50" s="32"/>
      <c r="H50" s="65" t="s">
        <v>119</v>
      </c>
      <c r="I50" s="32">
        <v>2007</v>
      </c>
      <c r="J50" s="40"/>
      <c r="K50" s="79"/>
      <c r="L50" s="79"/>
      <c r="M50" s="79"/>
      <c r="N50" s="70"/>
      <c r="O50" s="32" t="s">
        <v>12</v>
      </c>
      <c r="P50" s="252">
        <v>603469248.395805</v>
      </c>
      <c r="Q50" s="61" t="s">
        <v>43</v>
      </c>
      <c r="W50" s="206" t="str">
        <f t="shared" si="37"/>
        <v>2.03.01</v>
      </c>
      <c r="X50" s="207" t="str">
        <f t="shared" si="38"/>
        <v>Alat Angkutan Darat Bermotor</v>
      </c>
      <c r="Y50" s="207">
        <f t="shared" si="39"/>
        <v>7</v>
      </c>
      <c r="Z50" s="233">
        <f t="shared" si="40"/>
        <v>86209891.199400708</v>
      </c>
      <c r="AA50" s="208">
        <f t="shared" si="41"/>
        <v>6</v>
      </c>
      <c r="AB50" s="233">
        <f t="shared" si="42"/>
        <v>517259347.19640422</v>
      </c>
      <c r="AC50" s="233">
        <f t="shared" si="43"/>
        <v>86209891.199400708</v>
      </c>
      <c r="AD50" s="233">
        <f t="shared" si="44"/>
        <v>0</v>
      </c>
      <c r="AE50" s="233">
        <f t="shared" si="45"/>
        <v>0</v>
      </c>
      <c r="AF50" s="233">
        <f t="shared" si="46"/>
        <v>0</v>
      </c>
      <c r="AG50" s="238">
        <f t="shared" si="47"/>
        <v>0</v>
      </c>
      <c r="AH50" s="238">
        <f t="shared" si="48"/>
        <v>603469238.39580488</v>
      </c>
      <c r="AI50" s="209">
        <f t="shared" si="49"/>
        <v>2007</v>
      </c>
      <c r="AJ50" s="210">
        <f t="shared" si="50"/>
        <v>10.00000011920929</v>
      </c>
    </row>
    <row r="51" spans="1:39" s="41" customFormat="1" ht="30.75" hidden="1" customHeight="1" x14ac:dyDescent="0.2">
      <c r="A51" t="s">
        <v>2291</v>
      </c>
      <c r="B51" s="69"/>
      <c r="C51" s="77" t="s">
        <v>136</v>
      </c>
      <c r="D51" s="78" t="s">
        <v>928</v>
      </c>
      <c r="E51" s="40"/>
      <c r="F51" s="65" t="s">
        <v>991</v>
      </c>
      <c r="G51" s="32"/>
      <c r="H51" s="65" t="s">
        <v>119</v>
      </c>
      <c r="I51" s="32">
        <v>2007</v>
      </c>
      <c r="J51" s="40"/>
      <c r="K51" s="79"/>
      <c r="L51" s="79"/>
      <c r="M51" s="79"/>
      <c r="N51" s="70"/>
      <c r="O51" s="32" t="s">
        <v>12</v>
      </c>
      <c r="P51" s="252">
        <v>296951161.53171998</v>
      </c>
      <c r="Q51" s="61" t="s">
        <v>43</v>
      </c>
      <c r="W51" s="206" t="str">
        <f t="shared" si="37"/>
        <v>2.03.01</v>
      </c>
      <c r="X51" s="207" t="str">
        <f t="shared" si="38"/>
        <v>Alat Angkutan Darat Bermotor</v>
      </c>
      <c r="Y51" s="207">
        <f t="shared" si="39"/>
        <v>7</v>
      </c>
      <c r="Z51" s="233">
        <f t="shared" si="40"/>
        <v>42421593.075959995</v>
      </c>
      <c r="AA51" s="208">
        <f t="shared" si="41"/>
        <v>6</v>
      </c>
      <c r="AB51" s="233">
        <f t="shared" si="42"/>
        <v>254529558.45575997</v>
      </c>
      <c r="AC51" s="233">
        <f t="shared" si="43"/>
        <v>42421593.075959995</v>
      </c>
      <c r="AD51" s="233">
        <f t="shared" si="44"/>
        <v>0</v>
      </c>
      <c r="AE51" s="233">
        <f t="shared" si="45"/>
        <v>0</v>
      </c>
      <c r="AF51" s="233">
        <f t="shared" si="46"/>
        <v>0</v>
      </c>
      <c r="AG51" s="238">
        <f t="shared" si="47"/>
        <v>0</v>
      </c>
      <c r="AH51" s="238">
        <f t="shared" si="48"/>
        <v>296951151.53171998</v>
      </c>
      <c r="AI51" s="209">
        <f t="shared" si="49"/>
        <v>2007</v>
      </c>
      <c r="AJ51" s="210">
        <f t="shared" si="50"/>
        <v>10</v>
      </c>
    </row>
    <row r="52" spans="1:39" s="41" customFormat="1" ht="30.75" hidden="1" customHeight="1" x14ac:dyDescent="0.2">
      <c r="A52" t="s">
        <v>2291</v>
      </c>
      <c r="B52" s="69"/>
      <c r="C52" s="72" t="s">
        <v>136</v>
      </c>
      <c r="D52" s="65" t="s">
        <v>928</v>
      </c>
      <c r="E52" s="40"/>
      <c r="F52" s="65" t="s">
        <v>992</v>
      </c>
      <c r="G52" s="32"/>
      <c r="H52" s="65" t="s">
        <v>119</v>
      </c>
      <c r="I52" s="32">
        <v>2007</v>
      </c>
      <c r="J52" s="40"/>
      <c r="K52" s="72"/>
      <c r="L52" s="72"/>
      <c r="M52" s="72"/>
      <c r="N52" s="70"/>
      <c r="O52" s="32" t="s">
        <v>12</v>
      </c>
      <c r="P52" s="252">
        <v>296951161.53171998</v>
      </c>
      <c r="Q52" s="61" t="s">
        <v>43</v>
      </c>
      <c r="W52" s="206" t="str">
        <f t="shared" si="37"/>
        <v>2.03.01</v>
      </c>
      <c r="X52" s="207" t="str">
        <f t="shared" si="38"/>
        <v>Alat Angkutan Darat Bermotor</v>
      </c>
      <c r="Y52" s="207">
        <f t="shared" si="39"/>
        <v>7</v>
      </c>
      <c r="Z52" s="233">
        <f t="shared" si="40"/>
        <v>42421593.075959995</v>
      </c>
      <c r="AA52" s="208">
        <f t="shared" si="41"/>
        <v>6</v>
      </c>
      <c r="AB52" s="233">
        <f t="shared" si="42"/>
        <v>254529558.45575997</v>
      </c>
      <c r="AC52" s="233">
        <f t="shared" si="43"/>
        <v>42421593.075959995</v>
      </c>
      <c r="AD52" s="233">
        <f t="shared" si="44"/>
        <v>0</v>
      </c>
      <c r="AE52" s="233">
        <f t="shared" si="45"/>
        <v>0</v>
      </c>
      <c r="AF52" s="233">
        <f t="shared" si="46"/>
        <v>0</v>
      </c>
      <c r="AG52" s="238">
        <f t="shared" si="47"/>
        <v>0</v>
      </c>
      <c r="AH52" s="238">
        <f t="shared" si="48"/>
        <v>296951151.53171998</v>
      </c>
      <c r="AI52" s="209">
        <f t="shared" si="49"/>
        <v>2007</v>
      </c>
      <c r="AJ52" s="210">
        <f t="shared" si="50"/>
        <v>10</v>
      </c>
    </row>
    <row r="53" spans="1:39" s="41" customFormat="1" ht="30.75" hidden="1" customHeight="1" x14ac:dyDescent="0.2">
      <c r="A53" t="s">
        <v>2291</v>
      </c>
      <c r="B53" s="69"/>
      <c r="C53" s="72" t="s">
        <v>136</v>
      </c>
      <c r="D53" s="65" t="s">
        <v>928</v>
      </c>
      <c r="E53" s="40"/>
      <c r="F53" s="65" t="s">
        <v>992</v>
      </c>
      <c r="G53" s="32"/>
      <c r="H53" s="65" t="s">
        <v>119</v>
      </c>
      <c r="I53" s="32">
        <v>2007</v>
      </c>
      <c r="J53" s="40"/>
      <c r="K53" s="72"/>
      <c r="L53" s="72"/>
      <c r="M53" s="40"/>
      <c r="N53" s="70"/>
      <c r="O53" s="32" t="s">
        <v>12</v>
      </c>
      <c r="P53" s="252">
        <v>296951161.53171998</v>
      </c>
      <c r="Q53" s="61" t="s">
        <v>43</v>
      </c>
      <c r="W53" s="206" t="str">
        <f t="shared" si="37"/>
        <v>2.03.01</v>
      </c>
      <c r="X53" s="207" t="str">
        <f t="shared" si="38"/>
        <v>Alat Angkutan Darat Bermotor</v>
      </c>
      <c r="Y53" s="207">
        <f t="shared" si="39"/>
        <v>7</v>
      </c>
      <c r="Z53" s="233">
        <f t="shared" si="40"/>
        <v>42421593.075959995</v>
      </c>
      <c r="AA53" s="208">
        <f t="shared" si="41"/>
        <v>6</v>
      </c>
      <c r="AB53" s="233">
        <f t="shared" si="42"/>
        <v>254529558.45575997</v>
      </c>
      <c r="AC53" s="233">
        <f t="shared" si="43"/>
        <v>42421593.075959995</v>
      </c>
      <c r="AD53" s="233">
        <f t="shared" si="44"/>
        <v>0</v>
      </c>
      <c r="AE53" s="233">
        <f t="shared" si="45"/>
        <v>0</v>
      </c>
      <c r="AF53" s="233">
        <f t="shared" si="46"/>
        <v>0</v>
      </c>
      <c r="AG53" s="238">
        <f t="shared" si="47"/>
        <v>0</v>
      </c>
      <c r="AH53" s="238">
        <f t="shared" si="48"/>
        <v>296951151.53171998</v>
      </c>
      <c r="AI53" s="209">
        <f t="shared" si="49"/>
        <v>2007</v>
      </c>
      <c r="AJ53" s="210">
        <f t="shared" si="50"/>
        <v>10</v>
      </c>
    </row>
    <row r="54" spans="1:39" s="41" customFormat="1" ht="30.75" hidden="1" customHeight="1" x14ac:dyDescent="0.2">
      <c r="A54" t="s">
        <v>2291</v>
      </c>
      <c r="B54" s="69"/>
      <c r="C54" s="72" t="s">
        <v>136</v>
      </c>
      <c r="D54" s="65" t="s">
        <v>928</v>
      </c>
      <c r="E54" s="40"/>
      <c r="F54" s="65" t="s">
        <v>992</v>
      </c>
      <c r="G54" s="32"/>
      <c r="H54" s="65" t="s">
        <v>119</v>
      </c>
      <c r="I54" s="32">
        <v>2007</v>
      </c>
      <c r="J54" s="40"/>
      <c r="K54" s="72"/>
      <c r="L54" s="72"/>
      <c r="M54" s="40"/>
      <c r="N54" s="70"/>
      <c r="O54" s="32" t="s">
        <v>12</v>
      </c>
      <c r="P54" s="252">
        <v>296951161.53171998</v>
      </c>
      <c r="Q54" s="61" t="s">
        <v>43</v>
      </c>
      <c r="W54" s="206" t="str">
        <f t="shared" si="37"/>
        <v>2.03.01</v>
      </c>
      <c r="X54" s="207" t="str">
        <f t="shared" si="38"/>
        <v>Alat Angkutan Darat Bermotor</v>
      </c>
      <c r="Y54" s="207">
        <f t="shared" si="39"/>
        <v>7</v>
      </c>
      <c r="Z54" s="233">
        <f t="shared" si="40"/>
        <v>42421593.075959995</v>
      </c>
      <c r="AA54" s="208">
        <f t="shared" si="41"/>
        <v>6</v>
      </c>
      <c r="AB54" s="233">
        <f t="shared" si="42"/>
        <v>254529558.45575997</v>
      </c>
      <c r="AC54" s="233">
        <f t="shared" si="43"/>
        <v>42421593.075959995</v>
      </c>
      <c r="AD54" s="233">
        <f t="shared" si="44"/>
        <v>0</v>
      </c>
      <c r="AE54" s="233">
        <f t="shared" si="45"/>
        <v>0</v>
      </c>
      <c r="AF54" s="233">
        <f t="shared" si="46"/>
        <v>0</v>
      </c>
      <c r="AG54" s="238">
        <f t="shared" si="47"/>
        <v>0</v>
      </c>
      <c r="AH54" s="238">
        <f t="shared" si="48"/>
        <v>296951151.53171998</v>
      </c>
      <c r="AI54" s="209">
        <f t="shared" si="49"/>
        <v>2007</v>
      </c>
      <c r="AJ54" s="210">
        <f t="shared" si="50"/>
        <v>10</v>
      </c>
    </row>
    <row r="55" spans="1:39" s="41" customFormat="1" ht="30.75" hidden="1" customHeight="1" x14ac:dyDescent="0.2">
      <c r="B55" s="69"/>
      <c r="C55" s="70" t="s">
        <v>52</v>
      </c>
      <c r="D55" s="70" t="s">
        <v>52</v>
      </c>
      <c r="E55" s="70"/>
      <c r="F55" s="70" t="s">
        <v>52</v>
      </c>
      <c r="G55" s="70"/>
      <c r="H55" s="70" t="s">
        <v>52</v>
      </c>
      <c r="I55" s="70"/>
      <c r="J55" s="70"/>
      <c r="K55" s="70"/>
      <c r="L55" s="70"/>
      <c r="M55" s="70"/>
      <c r="N55" s="70"/>
      <c r="O55" s="70"/>
      <c r="P55" s="278"/>
      <c r="Q55" s="74"/>
      <c r="X55" s="42">
        <f>IF(P55&lt;300000,P55,"0")</f>
        <v>0</v>
      </c>
      <c r="Z55" s="234"/>
      <c r="AB55" s="234"/>
      <c r="AC55" s="234"/>
      <c r="AD55" s="234"/>
      <c r="AE55" s="234"/>
      <c r="AF55" s="234"/>
      <c r="AG55" s="234"/>
      <c r="AH55" s="234"/>
    </row>
    <row r="56" spans="1:39" s="45" customFormat="1" ht="30.75" hidden="1" customHeight="1" x14ac:dyDescent="0.2">
      <c r="B56" s="58" t="s">
        <v>138</v>
      </c>
      <c r="C56" s="59" t="s">
        <v>919</v>
      </c>
      <c r="D56" s="75" t="s">
        <v>52</v>
      </c>
      <c r="E56" s="75"/>
      <c r="F56" s="75" t="s">
        <v>52</v>
      </c>
      <c r="G56" s="75"/>
      <c r="H56" s="75" t="s">
        <v>52</v>
      </c>
      <c r="I56" s="75"/>
      <c r="J56" s="75"/>
      <c r="K56" s="75"/>
      <c r="L56" s="75"/>
      <c r="M56" s="75"/>
      <c r="N56" s="75"/>
      <c r="O56" s="75"/>
      <c r="P56" s="279">
        <f>SUBTOTAL(9,P57:P72)</f>
        <v>112500</v>
      </c>
      <c r="Q56" s="76"/>
      <c r="X56" s="42">
        <f>IF(P56&lt;300000,P56,"0")</f>
        <v>112500</v>
      </c>
      <c r="Z56" s="235"/>
      <c r="AB56" s="235">
        <f t="shared" ref="AB56:AJ56" si="51">SUM(AB57:AB72)</f>
        <v>61441112.081517681</v>
      </c>
      <c r="AC56" s="235">
        <f t="shared" si="51"/>
        <v>13835947.88717912</v>
      </c>
      <c r="AD56" s="235">
        <f t="shared" si="51"/>
        <v>13835947.88717912</v>
      </c>
      <c r="AE56" s="235">
        <f t="shared" si="51"/>
        <v>13835947.88717912</v>
      </c>
      <c r="AF56" s="235">
        <f t="shared" si="51"/>
        <v>12919701.887179118</v>
      </c>
      <c r="AG56" s="235">
        <f t="shared" si="51"/>
        <v>9569637</v>
      </c>
      <c r="AH56" s="235">
        <f t="shared" si="51"/>
        <v>125438294.63023415</v>
      </c>
      <c r="AI56" s="216">
        <f t="shared" si="51"/>
        <v>12054</v>
      </c>
      <c r="AJ56" s="216">
        <f t="shared" si="51"/>
        <v>28709071</v>
      </c>
      <c r="AK56" s="217">
        <f>AH56-AG56</f>
        <v>115868657.63023415</v>
      </c>
      <c r="AL56" s="216">
        <f>SUM(AB56:AE56)</f>
        <v>102948955.74305505</v>
      </c>
      <c r="AM56" s="216">
        <f>AH56-AG56</f>
        <v>115868657.63023415</v>
      </c>
    </row>
    <row r="57" spans="1:39" s="41" customFormat="1" ht="30.75" hidden="1" customHeight="1" x14ac:dyDescent="0.2">
      <c r="A57" t="s">
        <v>2292</v>
      </c>
      <c r="B57" s="69"/>
      <c r="C57" s="67" t="s">
        <v>139</v>
      </c>
      <c r="D57" s="65" t="s">
        <v>140</v>
      </c>
      <c r="E57" s="66" t="s">
        <v>39</v>
      </c>
      <c r="F57" s="65" t="s">
        <v>52</v>
      </c>
      <c r="G57" s="32"/>
      <c r="H57" s="65" t="s">
        <v>52</v>
      </c>
      <c r="I57" s="32" t="s">
        <v>141</v>
      </c>
      <c r="J57" s="40"/>
      <c r="K57" s="72"/>
      <c r="L57" s="65"/>
      <c r="M57" s="40"/>
      <c r="N57" s="40"/>
      <c r="O57" s="32" t="s">
        <v>12</v>
      </c>
      <c r="P57" s="252">
        <v>840000</v>
      </c>
      <c r="Q57" s="61" t="s">
        <v>43</v>
      </c>
      <c r="W57" s="206" t="str">
        <f t="shared" ref="W57:W72" si="52">A57</f>
        <v>2.04.01</v>
      </c>
      <c r="X57" s="207" t="str">
        <f t="shared" ref="X57:X109" si="53">VLOOKUP(W57,kelompok,2,0)</f>
        <v>Alat Bengkel Bermesin</v>
      </c>
      <c r="Y57" s="207">
        <f t="shared" ref="Y57:Y72" si="54">VLOOKUP(W57,MASAMANFAAT,4,0)</f>
        <v>10</v>
      </c>
      <c r="Z57" s="233">
        <f t="shared" ref="Z57:Z72" si="55">(P57-10)/Y57</f>
        <v>83999</v>
      </c>
      <c r="AA57" s="208">
        <f t="shared" ref="AA57:AA72" si="56">2013-AI57</f>
        <v>27</v>
      </c>
      <c r="AB57" s="233">
        <f t="shared" ref="AB57:AB72" si="57">IF(AA57&gt;Y57,P57-10,Z57*AA57)</f>
        <v>839990</v>
      </c>
      <c r="AC57" s="233">
        <f t="shared" ref="AC57:AC72" si="58">IF(P57-10=AB57,0,Z57)</f>
        <v>0</v>
      </c>
      <c r="AD57" s="233">
        <f t="shared" ref="AD57:AD72" si="59">IF(P57-10=AB57+AC57,0,Z57)</f>
        <v>0</v>
      </c>
      <c r="AE57" s="233">
        <f t="shared" ref="AE57:AE72" si="60">IF(P57-10=AB57+AC57+AD57,0,Z57)</f>
        <v>0</v>
      </c>
      <c r="AF57" s="233">
        <f t="shared" ref="AF57:AF72" si="61">IF(P57-10=AB57+AC57+AD57+AE57,0,Z57)</f>
        <v>0</v>
      </c>
      <c r="AG57" s="238">
        <f t="shared" ref="AG57:AG72" si="62">IF(P57-10=AB57+AC57+AD57+AE57+AF57,0,Z57)</f>
        <v>0</v>
      </c>
      <c r="AH57" s="238">
        <f t="shared" ref="AH57:AH72" si="63">SUM(AB57:AG57)</f>
        <v>839990</v>
      </c>
      <c r="AI57" s="209" t="str">
        <f t="shared" ref="AI57:AI72" si="64">I57</f>
        <v>1986</v>
      </c>
      <c r="AJ57" s="210">
        <f t="shared" ref="AJ57:AJ72" si="65">P57-AH57</f>
        <v>10</v>
      </c>
    </row>
    <row r="58" spans="1:39" s="41" customFormat="1" ht="30.75" hidden="1" customHeight="1" x14ac:dyDescent="0.2">
      <c r="A58" t="s">
        <v>2293</v>
      </c>
      <c r="B58" s="69"/>
      <c r="C58" s="67" t="s">
        <v>139</v>
      </c>
      <c r="D58" s="65" t="s">
        <v>142</v>
      </c>
      <c r="E58" s="66" t="s">
        <v>39</v>
      </c>
      <c r="F58" s="65" t="s">
        <v>52</v>
      </c>
      <c r="G58" s="32"/>
      <c r="H58" s="65" t="s">
        <v>52</v>
      </c>
      <c r="I58" s="32" t="s">
        <v>141</v>
      </c>
      <c r="J58" s="40"/>
      <c r="K58" s="72"/>
      <c r="L58" s="65"/>
      <c r="M58" s="40"/>
      <c r="N58" s="40"/>
      <c r="O58" s="32" t="s">
        <v>12</v>
      </c>
      <c r="P58" s="252">
        <v>2250000</v>
      </c>
      <c r="Q58" s="61" t="s">
        <v>43</v>
      </c>
      <c r="W58" s="206" t="str">
        <f t="shared" si="52"/>
        <v>2.04.02</v>
      </c>
      <c r="X58" s="207" t="str">
        <f t="shared" si="53"/>
        <v>Alat Bengkel Tak Bermesin</v>
      </c>
      <c r="Y58" s="207">
        <f t="shared" si="54"/>
        <v>5</v>
      </c>
      <c r="Z58" s="233">
        <f t="shared" si="55"/>
        <v>449998</v>
      </c>
      <c r="AA58" s="208">
        <f t="shared" si="56"/>
        <v>27</v>
      </c>
      <c r="AB58" s="233">
        <f t="shared" si="57"/>
        <v>2249990</v>
      </c>
      <c r="AC58" s="233">
        <f t="shared" si="58"/>
        <v>0</v>
      </c>
      <c r="AD58" s="233">
        <f t="shared" si="59"/>
        <v>0</v>
      </c>
      <c r="AE58" s="233">
        <f t="shared" si="60"/>
        <v>0</v>
      </c>
      <c r="AF58" s="233">
        <f t="shared" si="61"/>
        <v>0</v>
      </c>
      <c r="AG58" s="238">
        <f t="shared" si="62"/>
        <v>0</v>
      </c>
      <c r="AH58" s="238">
        <f t="shared" si="63"/>
        <v>2249990</v>
      </c>
      <c r="AI58" s="209" t="str">
        <f t="shared" si="64"/>
        <v>1986</v>
      </c>
      <c r="AJ58" s="210">
        <f t="shared" si="65"/>
        <v>10</v>
      </c>
    </row>
    <row r="59" spans="1:39" s="41" customFormat="1" ht="30.75" hidden="1" customHeight="1" x14ac:dyDescent="0.2">
      <c r="A59" t="s">
        <v>2293</v>
      </c>
      <c r="B59" s="69"/>
      <c r="C59" s="67" t="s">
        <v>143</v>
      </c>
      <c r="D59" s="65" t="s">
        <v>144</v>
      </c>
      <c r="E59" s="66" t="s">
        <v>39</v>
      </c>
      <c r="F59" s="65" t="s">
        <v>52</v>
      </c>
      <c r="G59" s="32"/>
      <c r="H59" s="65" t="s">
        <v>52</v>
      </c>
      <c r="I59" s="32" t="s">
        <v>141</v>
      </c>
      <c r="J59" s="40"/>
      <c r="K59" s="72"/>
      <c r="L59" s="65"/>
      <c r="M59" s="40"/>
      <c r="N59" s="40"/>
      <c r="O59" s="32" t="s">
        <v>12</v>
      </c>
      <c r="P59" s="252">
        <v>3500000</v>
      </c>
      <c r="Q59" s="61" t="s">
        <v>43</v>
      </c>
      <c r="W59" s="206" t="str">
        <f t="shared" si="52"/>
        <v>2.04.02</v>
      </c>
      <c r="X59" s="207" t="str">
        <f t="shared" si="53"/>
        <v>Alat Bengkel Tak Bermesin</v>
      </c>
      <c r="Y59" s="207">
        <f t="shared" si="54"/>
        <v>5</v>
      </c>
      <c r="Z59" s="233">
        <f t="shared" si="55"/>
        <v>699998</v>
      </c>
      <c r="AA59" s="208">
        <f t="shared" si="56"/>
        <v>27</v>
      </c>
      <c r="AB59" s="233">
        <f t="shared" si="57"/>
        <v>3499990</v>
      </c>
      <c r="AC59" s="233">
        <f t="shared" si="58"/>
        <v>0</v>
      </c>
      <c r="AD59" s="233">
        <f t="shared" si="59"/>
        <v>0</v>
      </c>
      <c r="AE59" s="233">
        <f t="shared" si="60"/>
        <v>0</v>
      </c>
      <c r="AF59" s="233">
        <f t="shared" si="61"/>
        <v>0</v>
      </c>
      <c r="AG59" s="238">
        <f t="shared" si="62"/>
        <v>0</v>
      </c>
      <c r="AH59" s="238">
        <f t="shared" si="63"/>
        <v>3499990</v>
      </c>
      <c r="AI59" s="209" t="str">
        <f t="shared" si="64"/>
        <v>1986</v>
      </c>
      <c r="AJ59" s="210">
        <f t="shared" si="65"/>
        <v>10</v>
      </c>
    </row>
    <row r="60" spans="1:39" s="41" customFormat="1" ht="30.75" hidden="1" customHeight="1" x14ac:dyDescent="0.2">
      <c r="A60" t="s">
        <v>2293</v>
      </c>
      <c r="B60" s="69"/>
      <c r="C60" s="67" t="s">
        <v>139</v>
      </c>
      <c r="D60" s="65" t="s">
        <v>142</v>
      </c>
      <c r="E60" s="66" t="s">
        <v>68</v>
      </c>
      <c r="F60" s="65" t="s">
        <v>52</v>
      </c>
      <c r="G60" s="32"/>
      <c r="H60" s="65" t="s">
        <v>52</v>
      </c>
      <c r="I60" s="32" t="s">
        <v>145</v>
      </c>
      <c r="J60" s="40"/>
      <c r="K60" s="72"/>
      <c r="L60" s="65"/>
      <c r="M60" s="40"/>
      <c r="N60" s="40"/>
      <c r="O60" s="32" t="s">
        <v>12</v>
      </c>
      <c r="P60" s="252">
        <v>1750000</v>
      </c>
      <c r="Q60" s="61" t="s">
        <v>43</v>
      </c>
      <c r="W60" s="206" t="str">
        <f t="shared" si="52"/>
        <v>2.04.02</v>
      </c>
      <c r="X60" s="207" t="str">
        <f t="shared" si="53"/>
        <v>Alat Bengkel Tak Bermesin</v>
      </c>
      <c r="Y60" s="207">
        <f t="shared" si="54"/>
        <v>5</v>
      </c>
      <c r="Z60" s="233">
        <f t="shared" si="55"/>
        <v>349998</v>
      </c>
      <c r="AA60" s="208">
        <f t="shared" si="56"/>
        <v>23</v>
      </c>
      <c r="AB60" s="233">
        <f t="shared" si="57"/>
        <v>1749990</v>
      </c>
      <c r="AC60" s="233">
        <f t="shared" si="58"/>
        <v>0</v>
      </c>
      <c r="AD60" s="233">
        <f t="shared" si="59"/>
        <v>0</v>
      </c>
      <c r="AE60" s="233">
        <f t="shared" si="60"/>
        <v>0</v>
      </c>
      <c r="AF60" s="233">
        <f t="shared" si="61"/>
        <v>0</v>
      </c>
      <c r="AG60" s="238">
        <f t="shared" si="62"/>
        <v>0</v>
      </c>
      <c r="AH60" s="238">
        <f t="shared" si="63"/>
        <v>1749990</v>
      </c>
      <c r="AI60" s="209" t="str">
        <f t="shared" si="64"/>
        <v>1990</v>
      </c>
      <c r="AJ60" s="210">
        <f t="shared" si="65"/>
        <v>10</v>
      </c>
    </row>
    <row r="61" spans="1:39" s="41" customFormat="1" ht="30.75" hidden="1" customHeight="1" x14ac:dyDescent="0.2">
      <c r="A61" t="s">
        <v>2293</v>
      </c>
      <c r="B61" s="69"/>
      <c r="C61" s="67" t="s">
        <v>143</v>
      </c>
      <c r="D61" s="65" t="s">
        <v>144</v>
      </c>
      <c r="E61" s="66" t="s">
        <v>68</v>
      </c>
      <c r="F61" s="65" t="s">
        <v>52</v>
      </c>
      <c r="G61" s="32"/>
      <c r="H61" s="65" t="s">
        <v>52</v>
      </c>
      <c r="I61" s="32" t="s">
        <v>48</v>
      </c>
      <c r="J61" s="40"/>
      <c r="K61" s="72"/>
      <c r="L61" s="65"/>
      <c r="M61" s="40"/>
      <c r="N61" s="40"/>
      <c r="O61" s="32" t="s">
        <v>12</v>
      </c>
      <c r="P61" s="252">
        <v>3500000</v>
      </c>
      <c r="Q61" s="61" t="s">
        <v>43</v>
      </c>
      <c r="W61" s="206" t="str">
        <f t="shared" si="52"/>
        <v>2.04.02</v>
      </c>
      <c r="X61" s="207" t="str">
        <f t="shared" si="53"/>
        <v>Alat Bengkel Tak Bermesin</v>
      </c>
      <c r="Y61" s="207">
        <f t="shared" si="54"/>
        <v>5</v>
      </c>
      <c r="Z61" s="233">
        <f t="shared" si="55"/>
        <v>699998</v>
      </c>
      <c r="AA61" s="208">
        <f t="shared" si="56"/>
        <v>13</v>
      </c>
      <c r="AB61" s="233">
        <f t="shared" si="57"/>
        <v>3499990</v>
      </c>
      <c r="AC61" s="233">
        <f t="shared" si="58"/>
        <v>0</v>
      </c>
      <c r="AD61" s="233">
        <f t="shared" si="59"/>
        <v>0</v>
      </c>
      <c r="AE61" s="233">
        <f t="shared" si="60"/>
        <v>0</v>
      </c>
      <c r="AF61" s="233">
        <f t="shared" si="61"/>
        <v>0</v>
      </c>
      <c r="AG61" s="238">
        <f t="shared" si="62"/>
        <v>0</v>
      </c>
      <c r="AH61" s="238">
        <f t="shared" si="63"/>
        <v>3499990</v>
      </c>
      <c r="AI61" s="209" t="str">
        <f t="shared" si="64"/>
        <v>2000</v>
      </c>
      <c r="AJ61" s="210">
        <f t="shared" si="65"/>
        <v>10</v>
      </c>
    </row>
    <row r="62" spans="1:39" s="41" customFormat="1" ht="30.75" hidden="1" customHeight="1" x14ac:dyDescent="0.2">
      <c r="A62" t="s">
        <v>2292</v>
      </c>
      <c r="B62" s="69"/>
      <c r="C62" s="67" t="s">
        <v>146</v>
      </c>
      <c r="D62" s="65" t="s">
        <v>147</v>
      </c>
      <c r="E62" s="66" t="s">
        <v>39</v>
      </c>
      <c r="F62" s="65" t="s">
        <v>52</v>
      </c>
      <c r="G62" s="32"/>
      <c r="H62" s="65" t="s">
        <v>52</v>
      </c>
      <c r="I62" s="32" t="s">
        <v>108</v>
      </c>
      <c r="J62" s="40"/>
      <c r="K62" s="72"/>
      <c r="L62" s="65"/>
      <c r="M62" s="40"/>
      <c r="N62" s="40"/>
      <c r="O62" s="32" t="s">
        <v>12</v>
      </c>
      <c r="P62" s="252">
        <v>4500000</v>
      </c>
      <c r="Q62" s="61" t="s">
        <v>43</v>
      </c>
      <c r="W62" s="206" t="str">
        <f t="shared" si="52"/>
        <v>2.04.01</v>
      </c>
      <c r="X62" s="207" t="str">
        <f t="shared" si="53"/>
        <v>Alat Bengkel Bermesin</v>
      </c>
      <c r="Y62" s="207">
        <f t="shared" si="54"/>
        <v>10</v>
      </c>
      <c r="Z62" s="233">
        <f t="shared" si="55"/>
        <v>449999</v>
      </c>
      <c r="AA62" s="208">
        <f t="shared" si="56"/>
        <v>7</v>
      </c>
      <c r="AB62" s="233">
        <f t="shared" si="57"/>
        <v>3149993</v>
      </c>
      <c r="AC62" s="233">
        <f t="shared" si="58"/>
        <v>449999</v>
      </c>
      <c r="AD62" s="233">
        <f t="shared" si="59"/>
        <v>449999</v>
      </c>
      <c r="AE62" s="233">
        <f t="shared" si="60"/>
        <v>449999</v>
      </c>
      <c r="AF62" s="233">
        <f t="shared" si="61"/>
        <v>0</v>
      </c>
      <c r="AG62" s="238">
        <f t="shared" si="62"/>
        <v>0</v>
      </c>
      <c r="AH62" s="238">
        <f t="shared" si="63"/>
        <v>4499990</v>
      </c>
      <c r="AI62" s="209" t="str">
        <f t="shared" si="64"/>
        <v>2006</v>
      </c>
      <c r="AJ62" s="210">
        <f t="shared" si="65"/>
        <v>10</v>
      </c>
    </row>
    <row r="63" spans="1:39" s="41" customFormat="1" ht="30.75" hidden="1" customHeight="1" x14ac:dyDescent="0.2">
      <c r="A63" t="s">
        <v>2292</v>
      </c>
      <c r="B63" s="69"/>
      <c r="C63" s="67" t="s">
        <v>148</v>
      </c>
      <c r="D63" s="65" t="s">
        <v>149</v>
      </c>
      <c r="E63" s="66" t="s">
        <v>39</v>
      </c>
      <c r="F63" s="65" t="s">
        <v>52</v>
      </c>
      <c r="G63" s="32"/>
      <c r="H63" s="65" t="s">
        <v>52</v>
      </c>
      <c r="I63" s="32" t="s">
        <v>108</v>
      </c>
      <c r="J63" s="40"/>
      <c r="K63" s="72"/>
      <c r="L63" s="65"/>
      <c r="M63" s="40"/>
      <c r="N63" s="40"/>
      <c r="O63" s="32" t="s">
        <v>12</v>
      </c>
      <c r="P63" s="252">
        <v>3750000</v>
      </c>
      <c r="Q63" s="61" t="s">
        <v>43</v>
      </c>
      <c r="W63" s="206" t="str">
        <f t="shared" si="52"/>
        <v>2.04.01</v>
      </c>
      <c r="X63" s="207" t="str">
        <f t="shared" si="53"/>
        <v>Alat Bengkel Bermesin</v>
      </c>
      <c r="Y63" s="207">
        <f t="shared" si="54"/>
        <v>10</v>
      </c>
      <c r="Z63" s="233">
        <f t="shared" si="55"/>
        <v>374999</v>
      </c>
      <c r="AA63" s="208">
        <f t="shared" si="56"/>
        <v>7</v>
      </c>
      <c r="AB63" s="233">
        <f t="shared" si="57"/>
        <v>2624993</v>
      </c>
      <c r="AC63" s="233">
        <f t="shared" si="58"/>
        <v>374999</v>
      </c>
      <c r="AD63" s="233">
        <f t="shared" si="59"/>
        <v>374999</v>
      </c>
      <c r="AE63" s="233">
        <f t="shared" si="60"/>
        <v>374999</v>
      </c>
      <c r="AF63" s="233">
        <f t="shared" si="61"/>
        <v>0</v>
      </c>
      <c r="AG63" s="238">
        <f t="shared" si="62"/>
        <v>0</v>
      </c>
      <c r="AH63" s="238">
        <f t="shared" si="63"/>
        <v>3749990</v>
      </c>
      <c r="AI63" s="209" t="str">
        <f t="shared" si="64"/>
        <v>2006</v>
      </c>
      <c r="AJ63" s="210">
        <f t="shared" si="65"/>
        <v>10</v>
      </c>
    </row>
    <row r="64" spans="1:39" s="41" customFormat="1" ht="30.75" hidden="1" customHeight="1" x14ac:dyDescent="0.2">
      <c r="A64" t="s">
        <v>2293</v>
      </c>
      <c r="B64" s="69"/>
      <c r="C64" s="67" t="s">
        <v>150</v>
      </c>
      <c r="D64" s="65" t="s">
        <v>151</v>
      </c>
      <c r="E64" s="66" t="s">
        <v>39</v>
      </c>
      <c r="F64" s="65" t="s">
        <v>52</v>
      </c>
      <c r="G64" s="32"/>
      <c r="H64" s="65" t="s">
        <v>52</v>
      </c>
      <c r="I64" s="32" t="s">
        <v>108</v>
      </c>
      <c r="J64" s="40"/>
      <c r="K64" s="72"/>
      <c r="L64" s="65"/>
      <c r="M64" s="40"/>
      <c r="N64" s="40"/>
      <c r="O64" s="32" t="s">
        <v>12</v>
      </c>
      <c r="P64" s="252">
        <v>1800000</v>
      </c>
      <c r="Q64" s="61" t="s">
        <v>43</v>
      </c>
      <c r="W64" s="206" t="str">
        <f t="shared" si="52"/>
        <v>2.04.02</v>
      </c>
      <c r="X64" s="207" t="str">
        <f t="shared" si="53"/>
        <v>Alat Bengkel Tak Bermesin</v>
      </c>
      <c r="Y64" s="207">
        <f t="shared" si="54"/>
        <v>5</v>
      </c>
      <c r="Z64" s="233">
        <f t="shared" si="55"/>
        <v>359998</v>
      </c>
      <c r="AA64" s="208">
        <f t="shared" si="56"/>
        <v>7</v>
      </c>
      <c r="AB64" s="233">
        <f t="shared" si="57"/>
        <v>1799990</v>
      </c>
      <c r="AC64" s="233">
        <f t="shared" si="58"/>
        <v>0</v>
      </c>
      <c r="AD64" s="233">
        <f t="shared" si="59"/>
        <v>0</v>
      </c>
      <c r="AE64" s="233">
        <f t="shared" si="60"/>
        <v>0</v>
      </c>
      <c r="AF64" s="233">
        <f t="shared" si="61"/>
        <v>0</v>
      </c>
      <c r="AG64" s="238">
        <f t="shared" si="62"/>
        <v>0</v>
      </c>
      <c r="AH64" s="238">
        <f t="shared" si="63"/>
        <v>1799990</v>
      </c>
      <c r="AI64" s="209" t="str">
        <f t="shared" si="64"/>
        <v>2006</v>
      </c>
      <c r="AJ64" s="210">
        <f t="shared" si="65"/>
        <v>10</v>
      </c>
    </row>
    <row r="65" spans="1:37" s="41" customFormat="1" ht="30.75" hidden="1" customHeight="1" x14ac:dyDescent="0.2">
      <c r="A65" t="s">
        <v>2292</v>
      </c>
      <c r="B65" s="69"/>
      <c r="C65" s="67" t="s">
        <v>143</v>
      </c>
      <c r="D65" s="65" t="s">
        <v>152</v>
      </c>
      <c r="E65" s="66" t="s">
        <v>39</v>
      </c>
      <c r="F65" s="65" t="s">
        <v>52</v>
      </c>
      <c r="G65" s="32"/>
      <c r="H65" s="65" t="s">
        <v>52</v>
      </c>
      <c r="I65" s="32" t="s">
        <v>108</v>
      </c>
      <c r="J65" s="40"/>
      <c r="K65" s="72"/>
      <c r="L65" s="65"/>
      <c r="M65" s="40"/>
      <c r="N65" s="40"/>
      <c r="O65" s="32" t="s">
        <v>12</v>
      </c>
      <c r="P65" s="252">
        <v>800000</v>
      </c>
      <c r="Q65" s="61" t="s">
        <v>43</v>
      </c>
      <c r="W65" s="206" t="str">
        <f t="shared" si="52"/>
        <v>2.04.01</v>
      </c>
      <c r="X65" s="207" t="str">
        <f t="shared" si="53"/>
        <v>Alat Bengkel Bermesin</v>
      </c>
      <c r="Y65" s="207">
        <f t="shared" si="54"/>
        <v>10</v>
      </c>
      <c r="Z65" s="233">
        <f t="shared" si="55"/>
        <v>79999</v>
      </c>
      <c r="AA65" s="208">
        <f t="shared" si="56"/>
        <v>7</v>
      </c>
      <c r="AB65" s="233">
        <f t="shared" si="57"/>
        <v>559993</v>
      </c>
      <c r="AC65" s="233">
        <f t="shared" si="58"/>
        <v>79999</v>
      </c>
      <c r="AD65" s="233">
        <f t="shared" si="59"/>
        <v>79999</v>
      </c>
      <c r="AE65" s="233">
        <f t="shared" si="60"/>
        <v>79999</v>
      </c>
      <c r="AF65" s="233">
        <f t="shared" si="61"/>
        <v>0</v>
      </c>
      <c r="AG65" s="238">
        <f t="shared" si="62"/>
        <v>0</v>
      </c>
      <c r="AH65" s="238">
        <f t="shared" si="63"/>
        <v>799990</v>
      </c>
      <c r="AI65" s="209" t="str">
        <f t="shared" si="64"/>
        <v>2006</v>
      </c>
      <c r="AJ65" s="210">
        <f t="shared" si="65"/>
        <v>10</v>
      </c>
    </row>
    <row r="66" spans="1:37" s="41" customFormat="1" ht="30.75" customHeight="1" x14ac:dyDescent="0.2">
      <c r="A66" t="s">
        <v>2292</v>
      </c>
      <c r="B66" s="69"/>
      <c r="C66" s="67" t="s">
        <v>153</v>
      </c>
      <c r="D66" s="65" t="s">
        <v>154</v>
      </c>
      <c r="E66" s="66" t="s">
        <v>39</v>
      </c>
      <c r="F66" s="65" t="s">
        <v>52</v>
      </c>
      <c r="G66" s="32"/>
      <c r="H66" s="65" t="s">
        <v>52</v>
      </c>
      <c r="I66" s="32" t="s">
        <v>108</v>
      </c>
      <c r="J66" s="40"/>
      <c r="K66" s="72"/>
      <c r="L66" s="65"/>
      <c r="M66" s="40"/>
      <c r="N66" s="40"/>
      <c r="O66" s="32" t="s">
        <v>12</v>
      </c>
      <c r="P66" s="252">
        <v>112500</v>
      </c>
      <c r="Q66" s="61" t="s">
        <v>43</v>
      </c>
      <c r="U66" s="41" t="s">
        <v>43</v>
      </c>
      <c r="V66" s="41" t="s">
        <v>2615</v>
      </c>
      <c r="W66" s="206" t="str">
        <f t="shared" si="52"/>
        <v>2.04.01</v>
      </c>
      <c r="X66" s="207" t="str">
        <f t="shared" si="53"/>
        <v>Alat Bengkel Bermesin</v>
      </c>
      <c r="Y66" s="207">
        <f t="shared" si="54"/>
        <v>10</v>
      </c>
      <c r="Z66" s="233">
        <f t="shared" si="55"/>
        <v>11249</v>
      </c>
      <c r="AA66" s="208">
        <f t="shared" si="56"/>
        <v>7</v>
      </c>
      <c r="AB66" s="233">
        <f t="shared" si="57"/>
        <v>78743</v>
      </c>
      <c r="AC66" s="233">
        <f t="shared" si="58"/>
        <v>11249</v>
      </c>
      <c r="AD66" s="233">
        <f t="shared" si="59"/>
        <v>11249</v>
      </c>
      <c r="AE66" s="233">
        <f t="shared" si="60"/>
        <v>11249</v>
      </c>
      <c r="AF66" s="233">
        <f t="shared" si="61"/>
        <v>0</v>
      </c>
      <c r="AG66" s="238">
        <f t="shared" si="62"/>
        <v>0</v>
      </c>
      <c r="AH66" s="238">
        <f t="shared" si="63"/>
        <v>112490</v>
      </c>
      <c r="AI66" s="209" t="str">
        <f t="shared" si="64"/>
        <v>2006</v>
      </c>
      <c r="AJ66" s="210">
        <f t="shared" si="65"/>
        <v>10</v>
      </c>
      <c r="AK66" s="234">
        <f>AH66-AG66</f>
        <v>112490</v>
      </c>
    </row>
    <row r="67" spans="1:37" s="41" customFormat="1" ht="30.75" hidden="1" customHeight="1" x14ac:dyDescent="0.2">
      <c r="A67" t="s">
        <v>2292</v>
      </c>
      <c r="B67" s="69"/>
      <c r="C67" s="67" t="s">
        <v>155</v>
      </c>
      <c r="D67" s="65" t="s">
        <v>929</v>
      </c>
      <c r="E67" s="32"/>
      <c r="F67" s="65" t="s">
        <v>993</v>
      </c>
      <c r="G67" s="32"/>
      <c r="H67" s="65" t="s">
        <v>191</v>
      </c>
      <c r="I67" s="32">
        <v>2007</v>
      </c>
      <c r="J67" s="40"/>
      <c r="K67" s="72"/>
      <c r="L67" s="65"/>
      <c r="M67" s="40"/>
      <c r="N67" s="40"/>
      <c r="O67" s="32" t="s">
        <v>12</v>
      </c>
      <c r="P67" s="252">
        <v>14945584.59768462</v>
      </c>
      <c r="Q67" s="61" t="s">
        <v>43</v>
      </c>
      <c r="W67" s="206" t="str">
        <f t="shared" si="52"/>
        <v>2.04.01</v>
      </c>
      <c r="X67" s="207" t="str">
        <f t="shared" si="53"/>
        <v>Alat Bengkel Bermesin</v>
      </c>
      <c r="Y67" s="207">
        <f t="shared" si="54"/>
        <v>10</v>
      </c>
      <c r="Z67" s="233">
        <f t="shared" si="55"/>
        <v>1494557.459768462</v>
      </c>
      <c r="AA67" s="208">
        <f t="shared" si="56"/>
        <v>6</v>
      </c>
      <c r="AB67" s="233">
        <f t="shared" si="57"/>
        <v>8967344.758610772</v>
      </c>
      <c r="AC67" s="233">
        <f t="shared" si="58"/>
        <v>1494557.459768462</v>
      </c>
      <c r="AD67" s="233">
        <f t="shared" si="59"/>
        <v>1494557.459768462</v>
      </c>
      <c r="AE67" s="233">
        <f t="shared" si="60"/>
        <v>1494557.459768462</v>
      </c>
      <c r="AF67" s="233">
        <f t="shared" si="61"/>
        <v>1494557.459768462</v>
      </c>
      <c r="AG67" s="238">
        <f t="shared" si="62"/>
        <v>0</v>
      </c>
      <c r="AH67" s="238">
        <f t="shared" si="63"/>
        <v>14945574.597684622</v>
      </c>
      <c r="AI67" s="209">
        <f t="shared" si="64"/>
        <v>2007</v>
      </c>
      <c r="AJ67" s="210">
        <f t="shared" si="65"/>
        <v>9.9999999981373549</v>
      </c>
    </row>
    <row r="68" spans="1:37" s="41" customFormat="1" ht="30.75" hidden="1" customHeight="1" x14ac:dyDescent="0.2">
      <c r="A68" t="s">
        <v>2292</v>
      </c>
      <c r="B68" s="69"/>
      <c r="C68" s="67" t="s">
        <v>156</v>
      </c>
      <c r="D68" s="65" t="s">
        <v>930</v>
      </c>
      <c r="E68" s="32"/>
      <c r="F68" s="65" t="s">
        <v>52</v>
      </c>
      <c r="G68" s="32"/>
      <c r="H68" s="65" t="s">
        <v>191</v>
      </c>
      <c r="I68" s="32">
        <v>2007</v>
      </c>
      <c r="J68" s="40"/>
      <c r="K68" s="72"/>
      <c r="L68" s="65"/>
      <c r="M68" s="40"/>
      <c r="N68" s="40"/>
      <c r="O68" s="32" t="s">
        <v>12</v>
      </c>
      <c r="P68" s="252">
        <v>18555084.274106566</v>
      </c>
      <c r="Q68" s="61" t="s">
        <v>43</v>
      </c>
      <c r="W68" s="206" t="str">
        <f t="shared" si="52"/>
        <v>2.04.01</v>
      </c>
      <c r="X68" s="207" t="str">
        <f t="shared" si="53"/>
        <v>Alat Bengkel Bermesin</v>
      </c>
      <c r="Y68" s="207">
        <f t="shared" si="54"/>
        <v>10</v>
      </c>
      <c r="Z68" s="233">
        <f t="shared" si="55"/>
        <v>1855507.4274106566</v>
      </c>
      <c r="AA68" s="208">
        <f t="shared" si="56"/>
        <v>6</v>
      </c>
      <c r="AB68" s="233">
        <f t="shared" si="57"/>
        <v>11133044.56446394</v>
      </c>
      <c r="AC68" s="233">
        <f t="shared" si="58"/>
        <v>1855507.4274106566</v>
      </c>
      <c r="AD68" s="233">
        <f t="shared" si="59"/>
        <v>1855507.4274106566</v>
      </c>
      <c r="AE68" s="233">
        <f t="shared" si="60"/>
        <v>1855507.4274106566</v>
      </c>
      <c r="AF68" s="233">
        <f t="shared" si="61"/>
        <v>1855507.4274106566</v>
      </c>
      <c r="AG68" s="238">
        <f t="shared" si="62"/>
        <v>0</v>
      </c>
      <c r="AH68" s="238">
        <f t="shared" si="63"/>
        <v>18555074.274106566</v>
      </c>
      <c r="AI68" s="209">
        <f t="shared" si="64"/>
        <v>2007</v>
      </c>
      <c r="AJ68" s="210">
        <f t="shared" si="65"/>
        <v>10</v>
      </c>
    </row>
    <row r="69" spans="1:37" s="41" customFormat="1" ht="30.75" hidden="1" customHeight="1" x14ac:dyDescent="0.2">
      <c r="A69" t="s">
        <v>2293</v>
      </c>
      <c r="B69" s="69"/>
      <c r="C69" s="67" t="s">
        <v>157</v>
      </c>
      <c r="D69" s="65" t="s">
        <v>931</v>
      </c>
      <c r="E69" s="32"/>
      <c r="F69" s="65" t="s">
        <v>52</v>
      </c>
      <c r="G69" s="32"/>
      <c r="H69" s="65" t="s">
        <v>191</v>
      </c>
      <c r="I69" s="32">
        <v>2007</v>
      </c>
      <c r="J69" s="40"/>
      <c r="K69" s="72"/>
      <c r="L69" s="65"/>
      <c r="M69" s="40"/>
      <c r="N69" s="40"/>
      <c r="O69" s="32" t="s">
        <v>12</v>
      </c>
      <c r="P69" s="252">
        <v>2147796.7584429677</v>
      </c>
      <c r="Q69" s="61" t="s">
        <v>43</v>
      </c>
      <c r="W69" s="206" t="str">
        <f t="shared" si="52"/>
        <v>2.04.02</v>
      </c>
      <c r="X69" s="207" t="str">
        <f t="shared" si="53"/>
        <v>Alat Bengkel Tak Bermesin</v>
      </c>
      <c r="Y69" s="207">
        <f t="shared" si="54"/>
        <v>5</v>
      </c>
      <c r="Z69" s="233">
        <f t="shared" si="55"/>
        <v>429557.35168859351</v>
      </c>
      <c r="AA69" s="208">
        <f t="shared" si="56"/>
        <v>6</v>
      </c>
      <c r="AB69" s="233">
        <f t="shared" si="57"/>
        <v>2147786.7584429677</v>
      </c>
      <c r="AC69" s="233">
        <f t="shared" si="58"/>
        <v>0</v>
      </c>
      <c r="AD69" s="233">
        <f t="shared" si="59"/>
        <v>0</v>
      </c>
      <c r="AE69" s="233">
        <f t="shared" si="60"/>
        <v>0</v>
      </c>
      <c r="AF69" s="233">
        <f t="shared" si="61"/>
        <v>0</v>
      </c>
      <c r="AG69" s="238">
        <f t="shared" si="62"/>
        <v>0</v>
      </c>
      <c r="AH69" s="238">
        <f t="shared" si="63"/>
        <v>2147786.7584429677</v>
      </c>
      <c r="AI69" s="209">
        <f t="shared" si="64"/>
        <v>2007</v>
      </c>
      <c r="AJ69" s="210">
        <f t="shared" si="65"/>
        <v>10</v>
      </c>
    </row>
    <row r="70" spans="1:37" s="174" customFormat="1" ht="30.75" hidden="1" customHeight="1" x14ac:dyDescent="0.2">
      <c r="A70" t="s">
        <v>2292</v>
      </c>
      <c r="B70" s="168"/>
      <c r="C70" s="170" t="s">
        <v>158</v>
      </c>
      <c r="D70" s="169" t="s">
        <v>932</v>
      </c>
      <c r="E70" s="171"/>
      <c r="F70" s="169" t="s">
        <v>994</v>
      </c>
      <c r="G70" s="173" t="s">
        <v>159</v>
      </c>
      <c r="H70" s="169" t="s">
        <v>119</v>
      </c>
      <c r="I70" s="173">
        <v>2011</v>
      </c>
      <c r="J70" s="171"/>
      <c r="K70" s="172"/>
      <c r="L70" s="169" t="s">
        <v>160</v>
      </c>
      <c r="M70" s="171"/>
      <c r="N70" s="171"/>
      <c r="O70" s="173" t="s">
        <v>12</v>
      </c>
      <c r="P70" s="277">
        <v>25156723.419203747</v>
      </c>
      <c r="Q70" s="195" t="s">
        <v>43</v>
      </c>
      <c r="W70" s="212" t="str">
        <f t="shared" si="52"/>
        <v>2.04.01</v>
      </c>
      <c r="X70" s="213" t="str">
        <f t="shared" si="53"/>
        <v>Alat Bengkel Bermesin</v>
      </c>
      <c r="Y70" s="213">
        <f t="shared" si="54"/>
        <v>10</v>
      </c>
      <c r="Z70" s="236">
        <f t="shared" si="55"/>
        <v>2515671.3419203749</v>
      </c>
      <c r="AA70" s="214">
        <f t="shared" si="56"/>
        <v>2</v>
      </c>
      <c r="AB70" s="236">
        <f t="shared" si="57"/>
        <v>5031342.6838407498</v>
      </c>
      <c r="AC70" s="236">
        <f t="shared" si="58"/>
        <v>2515671.3419203749</v>
      </c>
      <c r="AD70" s="236">
        <f t="shared" si="59"/>
        <v>2515671.3419203749</v>
      </c>
      <c r="AE70" s="236">
        <f t="shared" si="60"/>
        <v>2515671.3419203749</v>
      </c>
      <c r="AF70" s="236">
        <f t="shared" si="61"/>
        <v>2515671.3419203749</v>
      </c>
      <c r="AG70" s="238">
        <f t="shared" si="62"/>
        <v>2515671.3419203749</v>
      </c>
      <c r="AH70" s="238">
        <f t="shared" si="63"/>
        <v>17609699.393442627</v>
      </c>
      <c r="AI70" s="209">
        <f t="shared" si="64"/>
        <v>2011</v>
      </c>
      <c r="AJ70" s="210">
        <f t="shared" si="65"/>
        <v>7547024.02576112</v>
      </c>
    </row>
    <row r="71" spans="1:37" s="174" customFormat="1" ht="30.75" hidden="1" customHeight="1" x14ac:dyDescent="0.2">
      <c r="A71" t="s">
        <v>2292</v>
      </c>
      <c r="B71" s="168"/>
      <c r="C71" s="170" t="s">
        <v>161</v>
      </c>
      <c r="D71" s="169" t="s">
        <v>932</v>
      </c>
      <c r="E71" s="171"/>
      <c r="F71" s="169" t="s">
        <v>994</v>
      </c>
      <c r="G71" s="173" t="s">
        <v>162</v>
      </c>
      <c r="H71" s="169" t="s">
        <v>119</v>
      </c>
      <c r="I71" s="173">
        <v>2011</v>
      </c>
      <c r="J71" s="171"/>
      <c r="K71" s="172"/>
      <c r="L71" s="169" t="s">
        <v>163</v>
      </c>
      <c r="M71" s="171"/>
      <c r="N71" s="171"/>
      <c r="O71" s="173" t="s">
        <v>12</v>
      </c>
      <c r="P71" s="277">
        <v>25156723.419203747</v>
      </c>
      <c r="Q71" s="195" t="s">
        <v>43</v>
      </c>
      <c r="W71" s="212" t="str">
        <f t="shared" si="52"/>
        <v>2.04.01</v>
      </c>
      <c r="X71" s="213" t="str">
        <f t="shared" si="53"/>
        <v>Alat Bengkel Bermesin</v>
      </c>
      <c r="Y71" s="213">
        <f t="shared" si="54"/>
        <v>10</v>
      </c>
      <c r="Z71" s="236">
        <f t="shared" si="55"/>
        <v>2515671.3419203749</v>
      </c>
      <c r="AA71" s="214">
        <f t="shared" si="56"/>
        <v>2</v>
      </c>
      <c r="AB71" s="236">
        <f t="shared" si="57"/>
        <v>5031342.6838407498</v>
      </c>
      <c r="AC71" s="236">
        <f t="shared" si="58"/>
        <v>2515671.3419203749</v>
      </c>
      <c r="AD71" s="236">
        <f t="shared" si="59"/>
        <v>2515671.3419203749</v>
      </c>
      <c r="AE71" s="236">
        <f t="shared" si="60"/>
        <v>2515671.3419203749</v>
      </c>
      <c r="AF71" s="236">
        <f t="shared" si="61"/>
        <v>2515671.3419203749</v>
      </c>
      <c r="AG71" s="238">
        <f t="shared" si="62"/>
        <v>2515671.3419203749</v>
      </c>
      <c r="AH71" s="238">
        <f t="shared" si="63"/>
        <v>17609699.393442627</v>
      </c>
      <c r="AI71" s="209">
        <f t="shared" si="64"/>
        <v>2011</v>
      </c>
      <c r="AJ71" s="210">
        <f t="shared" si="65"/>
        <v>7547024.02576112</v>
      </c>
    </row>
    <row r="72" spans="1:37" s="41" customFormat="1" ht="30.75" hidden="1" customHeight="1" x14ac:dyDescent="0.2">
      <c r="A72" t="s">
        <v>2292</v>
      </c>
      <c r="B72" s="69"/>
      <c r="C72" s="67" t="s">
        <v>164</v>
      </c>
      <c r="D72" s="65" t="s">
        <v>933</v>
      </c>
      <c r="E72" s="70"/>
      <c r="F72" s="65" t="s">
        <v>994</v>
      </c>
      <c r="G72" s="32" t="s">
        <v>165</v>
      </c>
      <c r="H72" s="65" t="s">
        <v>119</v>
      </c>
      <c r="I72" s="32">
        <v>2011</v>
      </c>
      <c r="J72" s="40"/>
      <c r="K72" s="72"/>
      <c r="L72" s="65" t="s">
        <v>166</v>
      </c>
      <c r="M72" s="40"/>
      <c r="N72" s="40"/>
      <c r="O72" s="32" t="s">
        <v>12</v>
      </c>
      <c r="P72" s="252">
        <v>45382953.161592506</v>
      </c>
      <c r="Q72" s="61" t="s">
        <v>43</v>
      </c>
      <c r="W72" s="206" t="str">
        <f t="shared" si="52"/>
        <v>2.04.01</v>
      </c>
      <c r="X72" s="207" t="str">
        <f t="shared" si="53"/>
        <v>Alat Bengkel Bermesin</v>
      </c>
      <c r="Y72" s="207">
        <f t="shared" si="54"/>
        <v>10</v>
      </c>
      <c r="Z72" s="233">
        <f t="shared" si="55"/>
        <v>4538294.3161592502</v>
      </c>
      <c r="AA72" s="208">
        <f t="shared" si="56"/>
        <v>2</v>
      </c>
      <c r="AB72" s="233">
        <f t="shared" si="57"/>
        <v>9076588.6323185004</v>
      </c>
      <c r="AC72" s="233">
        <f t="shared" si="58"/>
        <v>4538294.3161592502</v>
      </c>
      <c r="AD72" s="233">
        <f t="shared" si="59"/>
        <v>4538294.3161592502</v>
      </c>
      <c r="AE72" s="233">
        <f t="shared" si="60"/>
        <v>4538294.3161592502</v>
      </c>
      <c r="AF72" s="233">
        <f t="shared" si="61"/>
        <v>4538294.3161592502</v>
      </c>
      <c r="AG72" s="238">
        <f t="shared" si="62"/>
        <v>4538294.3161592502</v>
      </c>
      <c r="AH72" s="238">
        <f t="shared" si="63"/>
        <v>31768060.213114746</v>
      </c>
      <c r="AI72" s="209">
        <f t="shared" si="64"/>
        <v>2011</v>
      </c>
      <c r="AJ72" s="210">
        <f t="shared" si="65"/>
        <v>13614892.94847776</v>
      </c>
    </row>
    <row r="73" spans="1:37" s="41" customFormat="1" ht="30.75" hidden="1" customHeight="1" x14ac:dyDescent="0.2">
      <c r="B73" s="69"/>
      <c r="C73" s="70" t="s">
        <v>52</v>
      </c>
      <c r="D73" s="70" t="s">
        <v>52</v>
      </c>
      <c r="E73" s="70"/>
      <c r="F73" s="70" t="s">
        <v>52</v>
      </c>
      <c r="G73" s="70"/>
      <c r="H73" s="70" t="s">
        <v>52</v>
      </c>
      <c r="I73" s="70"/>
      <c r="J73" s="70"/>
      <c r="K73" s="70"/>
      <c r="L73" s="70"/>
      <c r="M73" s="70"/>
      <c r="N73" s="70"/>
      <c r="O73" s="70"/>
      <c r="P73" s="278"/>
      <c r="Q73" s="74"/>
      <c r="X73" s="42">
        <f>IF(P73&lt;300000,P73,"0")</f>
        <v>0</v>
      </c>
      <c r="Z73" s="234"/>
      <c r="AB73" s="234"/>
      <c r="AC73" s="234"/>
      <c r="AD73" s="234"/>
      <c r="AE73" s="234"/>
      <c r="AF73" s="234"/>
      <c r="AG73" s="234"/>
      <c r="AH73" s="234"/>
    </row>
    <row r="74" spans="1:37" s="45" customFormat="1" ht="30.75" hidden="1" customHeight="1" x14ac:dyDescent="0.2">
      <c r="B74" s="80" t="s">
        <v>167</v>
      </c>
      <c r="C74" s="59" t="s">
        <v>920</v>
      </c>
      <c r="D74" s="75" t="s">
        <v>52</v>
      </c>
      <c r="E74" s="75"/>
      <c r="F74" s="75" t="s">
        <v>52</v>
      </c>
      <c r="G74" s="75"/>
      <c r="H74" s="75" t="s">
        <v>52</v>
      </c>
      <c r="I74" s="75"/>
      <c r="J74" s="75"/>
      <c r="K74" s="75"/>
      <c r="L74" s="75"/>
      <c r="M74" s="75"/>
      <c r="N74" s="75"/>
      <c r="O74" s="75"/>
      <c r="P74" s="279">
        <f>SUM(P75:P109)</f>
        <v>953411053.26223254</v>
      </c>
      <c r="Q74" s="76"/>
      <c r="W74" s="206"/>
      <c r="X74" s="207"/>
      <c r="Y74" s="207"/>
      <c r="Z74" s="233"/>
      <c r="AA74" s="208"/>
      <c r="AB74" s="233">
        <f t="shared" ref="AB74:AG74" si="66">SUM(AB75:AB109)</f>
        <v>463313163.31555802</v>
      </c>
      <c r="AC74" s="233">
        <f t="shared" si="66"/>
        <v>116520101.65777907</v>
      </c>
      <c r="AD74" s="233">
        <f t="shared" si="66"/>
        <v>115771995.40777907</v>
      </c>
      <c r="AE74" s="233">
        <f t="shared" si="66"/>
        <v>115771995.40777907</v>
      </c>
      <c r="AF74" s="233">
        <f t="shared" si="66"/>
        <v>45702149.157779031</v>
      </c>
      <c r="AG74" s="233">
        <f t="shared" si="66"/>
        <v>30508400.407779034</v>
      </c>
      <c r="AH74" s="233">
        <f>SUM(AH75:AH109)</f>
        <v>887587805.35445321</v>
      </c>
      <c r="AI74" s="233">
        <f>SUM(AI75:AI76)</f>
        <v>0</v>
      </c>
      <c r="AJ74" s="233">
        <f>SUM(AJ75:AJ76)</f>
        <v>20</v>
      </c>
      <c r="AK74" s="217">
        <f>AB74+AC74+AD74+AE74+AF74</f>
        <v>857079404.94667423</v>
      </c>
    </row>
    <row r="75" spans="1:37" s="41" customFormat="1" ht="30.75" hidden="1" customHeight="1" x14ac:dyDescent="0.2">
      <c r="A75" t="s">
        <v>2295</v>
      </c>
      <c r="B75" s="69"/>
      <c r="C75" s="65" t="s">
        <v>168</v>
      </c>
      <c r="D75" s="65" t="s">
        <v>169</v>
      </c>
      <c r="E75" s="66" t="s">
        <v>39</v>
      </c>
      <c r="F75" s="65" t="s">
        <v>55</v>
      </c>
      <c r="G75" s="40"/>
      <c r="H75" s="65" t="s">
        <v>52</v>
      </c>
      <c r="I75" s="32" t="s">
        <v>108</v>
      </c>
      <c r="J75" s="70"/>
      <c r="K75" s="70"/>
      <c r="L75" s="70"/>
      <c r="M75" s="70"/>
      <c r="N75" s="70"/>
      <c r="O75" s="32" t="s">
        <v>12</v>
      </c>
      <c r="P75" s="252">
        <v>8800000</v>
      </c>
      <c r="Q75" s="61" t="s">
        <v>43</v>
      </c>
      <c r="W75" s="206" t="str">
        <f t="shared" ref="W75:W109" si="67">A75</f>
        <v>2.05.01</v>
      </c>
      <c r="X75" s="207" t="str">
        <f t="shared" si="53"/>
        <v>ALAT PENGOLAHAN</v>
      </c>
      <c r="Y75" s="207">
        <f t="shared" ref="Y75:Y109" si="68">VLOOKUP(W75,MASAMANFAAT,4,0)</f>
        <v>4</v>
      </c>
      <c r="Z75" s="233">
        <f t="shared" ref="Z75:Z109" si="69">(P75-10)/Y75</f>
        <v>2199997.5</v>
      </c>
      <c r="AA75" s="208">
        <f t="shared" ref="AA75:AA108" si="70">2013-AI75</f>
        <v>7</v>
      </c>
      <c r="AB75" s="233">
        <f t="shared" ref="AB75:AB109" si="71">IF(AA75&gt;Y75,P75-10,Z75*AA75)</f>
        <v>8799990</v>
      </c>
      <c r="AC75" s="233">
        <f t="shared" ref="AC75:AC109" si="72">IF(P75-10=AB75,0,Z75)</f>
        <v>0</v>
      </c>
      <c r="AD75" s="233">
        <f t="shared" ref="AD75:AD109" si="73">IF(P75-10=AB75+AC75,0,Z75)</f>
        <v>0</v>
      </c>
      <c r="AE75" s="233">
        <f t="shared" ref="AE75:AE109" si="74">IF(P75-10=AB75+AC75+AD75,0,Z75)</f>
        <v>0</v>
      </c>
      <c r="AF75" s="233">
        <f t="shared" ref="AF75:AF109" si="75">IF(P75-10=AB75+AC75+AD75+AE75,0,Z75)</f>
        <v>0</v>
      </c>
      <c r="AG75" s="238">
        <f t="shared" ref="AG75:AG109" si="76">IF(P75-10=AB75+AC75+AD75+AE75+AF75,0,Z75)</f>
        <v>0</v>
      </c>
      <c r="AH75" s="238">
        <f t="shared" ref="AH75:AH109" si="77">SUM(AB75:AG75)</f>
        <v>8799990</v>
      </c>
      <c r="AI75" s="209" t="str">
        <f t="shared" ref="AI75:AI109" si="78">I75</f>
        <v>2006</v>
      </c>
      <c r="AJ75" s="210">
        <f t="shared" ref="AJ75:AJ109" si="79">P75-AH75</f>
        <v>10</v>
      </c>
    </row>
    <row r="76" spans="1:37" s="41" customFormat="1" ht="30.75" hidden="1" customHeight="1" x14ac:dyDescent="0.2">
      <c r="A76" t="s">
        <v>2295</v>
      </c>
      <c r="B76" s="69"/>
      <c r="C76" s="65" t="s">
        <v>168</v>
      </c>
      <c r="D76" s="65" t="s">
        <v>169</v>
      </c>
      <c r="E76" s="66" t="s">
        <v>68</v>
      </c>
      <c r="F76" s="65" t="s">
        <v>55</v>
      </c>
      <c r="G76" s="40"/>
      <c r="H76" s="65" t="s">
        <v>52</v>
      </c>
      <c r="I76" s="32" t="s">
        <v>108</v>
      </c>
      <c r="J76" s="70"/>
      <c r="K76" s="70"/>
      <c r="L76" s="70"/>
      <c r="M76" s="70"/>
      <c r="N76" s="70"/>
      <c r="O76" s="32" t="s">
        <v>12</v>
      </c>
      <c r="P76" s="252">
        <v>8800000</v>
      </c>
      <c r="Q76" s="61" t="s">
        <v>43</v>
      </c>
      <c r="W76" s="206" t="str">
        <f t="shared" si="67"/>
        <v>2.05.01</v>
      </c>
      <c r="X76" s="207" t="str">
        <f t="shared" si="53"/>
        <v>ALAT PENGOLAHAN</v>
      </c>
      <c r="Y76" s="207">
        <f t="shared" si="68"/>
        <v>4</v>
      </c>
      <c r="Z76" s="233">
        <f t="shared" si="69"/>
        <v>2199997.5</v>
      </c>
      <c r="AA76" s="208">
        <f t="shared" si="70"/>
        <v>7</v>
      </c>
      <c r="AB76" s="233">
        <f t="shared" si="71"/>
        <v>8799990</v>
      </c>
      <c r="AC76" s="233">
        <f t="shared" si="72"/>
        <v>0</v>
      </c>
      <c r="AD76" s="233">
        <f t="shared" si="73"/>
        <v>0</v>
      </c>
      <c r="AE76" s="233">
        <f t="shared" si="74"/>
        <v>0</v>
      </c>
      <c r="AF76" s="233">
        <f t="shared" si="75"/>
        <v>0</v>
      </c>
      <c r="AG76" s="238">
        <f t="shared" si="76"/>
        <v>0</v>
      </c>
      <c r="AH76" s="238">
        <f t="shared" si="77"/>
        <v>8799990</v>
      </c>
      <c r="AI76" s="209" t="str">
        <f t="shared" si="78"/>
        <v>2006</v>
      </c>
      <c r="AJ76" s="210">
        <f t="shared" si="79"/>
        <v>10</v>
      </c>
    </row>
    <row r="77" spans="1:37" s="41" customFormat="1" ht="30.75" customHeight="1" x14ac:dyDescent="0.2">
      <c r="A77" t="s">
        <v>2300</v>
      </c>
      <c r="B77" s="69"/>
      <c r="C77" s="65" t="s">
        <v>331</v>
      </c>
      <c r="D77" s="65" t="s">
        <v>332</v>
      </c>
      <c r="E77" s="70"/>
      <c r="F77" s="65" t="s">
        <v>9</v>
      </c>
      <c r="G77" s="32"/>
      <c r="H77" s="65" t="s">
        <v>181</v>
      </c>
      <c r="I77" s="32" t="s">
        <v>141</v>
      </c>
      <c r="J77" s="32"/>
      <c r="K77" s="40"/>
      <c r="L77" s="32"/>
      <c r="M77" s="40"/>
      <c r="N77" s="40"/>
      <c r="O77" s="32" t="s">
        <v>12</v>
      </c>
      <c r="P77" s="252">
        <v>350000</v>
      </c>
      <c r="Q77" s="61" t="s">
        <v>43</v>
      </c>
      <c r="V77" s="41" t="s">
        <v>2615</v>
      </c>
      <c r="W77" s="206" t="str">
        <f t="shared" si="67"/>
        <v>2.09.01</v>
      </c>
      <c r="X77" s="207" t="str">
        <f t="shared" si="53"/>
        <v>UNIT UNIT LABORATORIUM</v>
      </c>
      <c r="Y77" s="207">
        <f t="shared" si="68"/>
        <v>8</v>
      </c>
      <c r="Z77" s="233">
        <f t="shared" si="69"/>
        <v>43748.75</v>
      </c>
      <c r="AA77" s="208">
        <f t="shared" si="70"/>
        <v>27</v>
      </c>
      <c r="AB77" s="233">
        <f t="shared" si="71"/>
        <v>349990</v>
      </c>
      <c r="AC77" s="233">
        <f t="shared" si="72"/>
        <v>0</v>
      </c>
      <c r="AD77" s="233">
        <f t="shared" si="73"/>
        <v>0</v>
      </c>
      <c r="AE77" s="233">
        <f t="shared" si="74"/>
        <v>0</v>
      </c>
      <c r="AF77" s="233">
        <f t="shared" si="75"/>
        <v>0</v>
      </c>
      <c r="AG77" s="238">
        <f t="shared" si="76"/>
        <v>0</v>
      </c>
      <c r="AH77" s="238">
        <f t="shared" si="77"/>
        <v>349990</v>
      </c>
      <c r="AI77" s="209" t="str">
        <f t="shared" si="78"/>
        <v>1986</v>
      </c>
      <c r="AJ77" s="210">
        <f t="shared" si="79"/>
        <v>10</v>
      </c>
      <c r="AK77" s="234">
        <f t="shared" ref="AK77:AK82" si="80">AH77-AG77</f>
        <v>349990</v>
      </c>
    </row>
    <row r="78" spans="1:37" s="41" customFormat="1" ht="30.75" customHeight="1" x14ac:dyDescent="0.2">
      <c r="A78" t="s">
        <v>2300</v>
      </c>
      <c r="B78" s="69"/>
      <c r="C78" s="65" t="s">
        <v>331</v>
      </c>
      <c r="D78" s="65" t="s">
        <v>333</v>
      </c>
      <c r="E78" s="70"/>
      <c r="F78" s="65" t="s">
        <v>334</v>
      </c>
      <c r="G78" s="32"/>
      <c r="H78" s="65" t="s">
        <v>335</v>
      </c>
      <c r="I78" s="32" t="s">
        <v>141</v>
      </c>
      <c r="J78" s="32"/>
      <c r="K78" s="40"/>
      <c r="L78" s="32"/>
      <c r="M78" s="40"/>
      <c r="N78" s="40"/>
      <c r="O78" s="32" t="s">
        <v>12</v>
      </c>
      <c r="P78" s="252">
        <v>350000</v>
      </c>
      <c r="Q78" s="61" t="s">
        <v>43</v>
      </c>
      <c r="V78" s="41" t="s">
        <v>2615</v>
      </c>
      <c r="W78" s="206" t="str">
        <f t="shared" si="67"/>
        <v>2.09.01</v>
      </c>
      <c r="X78" s="207" t="str">
        <f t="shared" si="53"/>
        <v>UNIT UNIT LABORATORIUM</v>
      </c>
      <c r="Y78" s="207">
        <f t="shared" si="68"/>
        <v>8</v>
      </c>
      <c r="Z78" s="233">
        <f t="shared" si="69"/>
        <v>43748.75</v>
      </c>
      <c r="AA78" s="208">
        <f t="shared" si="70"/>
        <v>27</v>
      </c>
      <c r="AB78" s="233">
        <f t="shared" si="71"/>
        <v>349990</v>
      </c>
      <c r="AC78" s="233">
        <f t="shared" si="72"/>
        <v>0</v>
      </c>
      <c r="AD78" s="233">
        <f t="shared" si="73"/>
        <v>0</v>
      </c>
      <c r="AE78" s="233">
        <f t="shared" si="74"/>
        <v>0</v>
      </c>
      <c r="AF78" s="233">
        <f t="shared" si="75"/>
        <v>0</v>
      </c>
      <c r="AG78" s="238">
        <f t="shared" si="76"/>
        <v>0</v>
      </c>
      <c r="AH78" s="238">
        <f t="shared" si="77"/>
        <v>349990</v>
      </c>
      <c r="AI78" s="209" t="str">
        <f t="shared" si="78"/>
        <v>1986</v>
      </c>
      <c r="AJ78" s="210">
        <f t="shared" si="79"/>
        <v>10</v>
      </c>
      <c r="AK78" s="234">
        <f t="shared" si="80"/>
        <v>349990</v>
      </c>
    </row>
    <row r="79" spans="1:37" s="41" customFormat="1" ht="30.75" customHeight="1" x14ac:dyDescent="0.2">
      <c r="A79" t="s">
        <v>2300</v>
      </c>
      <c r="B79" s="69"/>
      <c r="C79" s="65" t="s">
        <v>331</v>
      </c>
      <c r="D79" s="65" t="s">
        <v>332</v>
      </c>
      <c r="E79" s="70"/>
      <c r="F79" s="65" t="s">
        <v>9</v>
      </c>
      <c r="G79" s="32"/>
      <c r="H79" s="65" t="s">
        <v>181</v>
      </c>
      <c r="I79" s="32" t="s">
        <v>141</v>
      </c>
      <c r="J79" s="32"/>
      <c r="K79" s="40"/>
      <c r="L79" s="32"/>
      <c r="M79" s="40"/>
      <c r="N79" s="40"/>
      <c r="O79" s="32" t="s">
        <v>12</v>
      </c>
      <c r="P79" s="252">
        <v>350000</v>
      </c>
      <c r="Q79" s="61" t="s">
        <v>43</v>
      </c>
      <c r="V79" s="41" t="s">
        <v>2615</v>
      </c>
      <c r="W79" s="206" t="str">
        <f t="shared" si="67"/>
        <v>2.09.01</v>
      </c>
      <c r="X79" s="207" t="str">
        <f t="shared" si="53"/>
        <v>UNIT UNIT LABORATORIUM</v>
      </c>
      <c r="Y79" s="207">
        <f t="shared" si="68"/>
        <v>8</v>
      </c>
      <c r="Z79" s="233">
        <f t="shared" si="69"/>
        <v>43748.75</v>
      </c>
      <c r="AA79" s="208">
        <f t="shared" si="70"/>
        <v>27</v>
      </c>
      <c r="AB79" s="233">
        <f t="shared" si="71"/>
        <v>349990</v>
      </c>
      <c r="AC79" s="233">
        <f t="shared" si="72"/>
        <v>0</v>
      </c>
      <c r="AD79" s="233">
        <f t="shared" si="73"/>
        <v>0</v>
      </c>
      <c r="AE79" s="233">
        <f t="shared" si="74"/>
        <v>0</v>
      </c>
      <c r="AF79" s="233">
        <f t="shared" si="75"/>
        <v>0</v>
      </c>
      <c r="AG79" s="238">
        <f t="shared" si="76"/>
        <v>0</v>
      </c>
      <c r="AH79" s="238">
        <f t="shared" si="77"/>
        <v>349990</v>
      </c>
      <c r="AI79" s="209" t="str">
        <f t="shared" si="78"/>
        <v>1986</v>
      </c>
      <c r="AJ79" s="210">
        <f t="shared" si="79"/>
        <v>10</v>
      </c>
      <c r="AK79" s="234">
        <f t="shared" si="80"/>
        <v>349990</v>
      </c>
    </row>
    <row r="80" spans="1:37" s="41" customFormat="1" ht="30.75" customHeight="1" x14ac:dyDescent="0.2">
      <c r="A80" t="s">
        <v>2300</v>
      </c>
      <c r="B80" s="69"/>
      <c r="C80" s="65" t="s">
        <v>331</v>
      </c>
      <c r="D80" s="65" t="s">
        <v>332</v>
      </c>
      <c r="E80" s="70"/>
      <c r="F80" s="65" t="s">
        <v>9</v>
      </c>
      <c r="G80" s="32"/>
      <c r="H80" s="65" t="s">
        <v>181</v>
      </c>
      <c r="I80" s="32" t="s">
        <v>48</v>
      </c>
      <c r="J80" s="32"/>
      <c r="K80" s="40"/>
      <c r="L80" s="32"/>
      <c r="M80" s="40"/>
      <c r="N80" s="40"/>
      <c r="O80" s="32" t="s">
        <v>12</v>
      </c>
      <c r="P80" s="252">
        <v>350000</v>
      </c>
      <c r="Q80" s="61" t="s">
        <v>43</v>
      </c>
      <c r="V80" s="41" t="s">
        <v>2615</v>
      </c>
      <c r="W80" s="206" t="str">
        <f t="shared" si="67"/>
        <v>2.09.01</v>
      </c>
      <c r="X80" s="207" t="str">
        <f t="shared" si="53"/>
        <v>UNIT UNIT LABORATORIUM</v>
      </c>
      <c r="Y80" s="207">
        <f t="shared" si="68"/>
        <v>8</v>
      </c>
      <c r="Z80" s="233">
        <f t="shared" si="69"/>
        <v>43748.75</v>
      </c>
      <c r="AA80" s="208">
        <f t="shared" si="70"/>
        <v>13</v>
      </c>
      <c r="AB80" s="233">
        <f t="shared" si="71"/>
        <v>349990</v>
      </c>
      <c r="AC80" s="233">
        <f t="shared" si="72"/>
        <v>0</v>
      </c>
      <c r="AD80" s="233">
        <f t="shared" si="73"/>
        <v>0</v>
      </c>
      <c r="AE80" s="233">
        <f t="shared" si="74"/>
        <v>0</v>
      </c>
      <c r="AF80" s="233">
        <f t="shared" si="75"/>
        <v>0</v>
      </c>
      <c r="AG80" s="238">
        <f t="shared" si="76"/>
        <v>0</v>
      </c>
      <c r="AH80" s="238">
        <f t="shared" si="77"/>
        <v>349990</v>
      </c>
      <c r="AI80" s="209" t="str">
        <f t="shared" si="78"/>
        <v>2000</v>
      </c>
      <c r="AJ80" s="210">
        <f t="shared" si="79"/>
        <v>10</v>
      </c>
      <c r="AK80" s="234">
        <f t="shared" si="80"/>
        <v>349990</v>
      </c>
    </row>
    <row r="81" spans="1:37" s="41" customFormat="1" ht="30.75" customHeight="1" x14ac:dyDescent="0.2">
      <c r="A81" t="s">
        <v>2300</v>
      </c>
      <c r="B81" s="69"/>
      <c r="C81" s="65" t="s">
        <v>336</v>
      </c>
      <c r="D81" s="65" t="s">
        <v>337</v>
      </c>
      <c r="E81" s="70"/>
      <c r="F81" s="65" t="s">
        <v>9</v>
      </c>
      <c r="G81" s="32"/>
      <c r="H81" s="65" t="s">
        <v>181</v>
      </c>
      <c r="I81" s="32" t="s">
        <v>92</v>
      </c>
      <c r="J81" s="32"/>
      <c r="K81" s="40"/>
      <c r="L81" s="32"/>
      <c r="M81" s="40"/>
      <c r="N81" s="40"/>
      <c r="O81" s="32" t="s">
        <v>12</v>
      </c>
      <c r="P81" s="252">
        <v>93750</v>
      </c>
      <c r="Q81" s="61" t="s">
        <v>43</v>
      </c>
      <c r="V81" s="41" t="s">
        <v>2615</v>
      </c>
      <c r="W81" s="206" t="str">
        <f t="shared" si="67"/>
        <v>2.09.01</v>
      </c>
      <c r="X81" s="207" t="str">
        <f t="shared" si="53"/>
        <v>UNIT UNIT LABORATORIUM</v>
      </c>
      <c r="Y81" s="207">
        <f t="shared" si="68"/>
        <v>8</v>
      </c>
      <c r="Z81" s="233">
        <f t="shared" si="69"/>
        <v>11717.5</v>
      </c>
      <c r="AA81" s="208">
        <f t="shared" si="70"/>
        <v>8</v>
      </c>
      <c r="AB81" s="233">
        <f t="shared" si="71"/>
        <v>93740</v>
      </c>
      <c r="AC81" s="233">
        <f t="shared" si="72"/>
        <v>0</v>
      </c>
      <c r="AD81" s="233">
        <f t="shared" si="73"/>
        <v>0</v>
      </c>
      <c r="AE81" s="233">
        <f t="shared" si="74"/>
        <v>0</v>
      </c>
      <c r="AF81" s="233">
        <f t="shared" si="75"/>
        <v>0</v>
      </c>
      <c r="AG81" s="238">
        <f t="shared" si="76"/>
        <v>0</v>
      </c>
      <c r="AH81" s="238">
        <f t="shared" si="77"/>
        <v>93740</v>
      </c>
      <c r="AI81" s="209" t="str">
        <f t="shared" si="78"/>
        <v>2005</v>
      </c>
      <c r="AJ81" s="210">
        <f t="shared" si="79"/>
        <v>10</v>
      </c>
      <c r="AK81" s="234">
        <f t="shared" si="80"/>
        <v>93740</v>
      </c>
    </row>
    <row r="82" spans="1:37" s="41" customFormat="1" ht="30.75" customHeight="1" x14ac:dyDescent="0.2">
      <c r="A82" t="s">
        <v>2300</v>
      </c>
      <c r="B82" s="69"/>
      <c r="C82" s="65" t="s">
        <v>338</v>
      </c>
      <c r="D82" s="65" t="s">
        <v>339</v>
      </c>
      <c r="E82" s="70"/>
      <c r="F82" s="65" t="s">
        <v>340</v>
      </c>
      <c r="G82" s="32"/>
      <c r="H82" s="65" t="s">
        <v>181</v>
      </c>
      <c r="I82" s="32" t="s">
        <v>92</v>
      </c>
      <c r="J82" s="32"/>
      <c r="K82" s="40"/>
      <c r="L82" s="32"/>
      <c r="M82" s="40"/>
      <c r="N82" s="40"/>
      <c r="O82" s="32" t="s">
        <v>12</v>
      </c>
      <c r="P82" s="252">
        <v>187500</v>
      </c>
      <c r="Q82" s="61" t="s">
        <v>43</v>
      </c>
      <c r="V82" s="41" t="s">
        <v>2615</v>
      </c>
      <c r="W82" s="206" t="str">
        <f t="shared" si="67"/>
        <v>2.09.01</v>
      </c>
      <c r="X82" s="207" t="str">
        <f t="shared" si="53"/>
        <v>UNIT UNIT LABORATORIUM</v>
      </c>
      <c r="Y82" s="207">
        <f t="shared" si="68"/>
        <v>8</v>
      </c>
      <c r="Z82" s="233">
        <f t="shared" si="69"/>
        <v>23436.25</v>
      </c>
      <c r="AA82" s="208">
        <f t="shared" si="70"/>
        <v>8</v>
      </c>
      <c r="AB82" s="233">
        <f t="shared" si="71"/>
        <v>187490</v>
      </c>
      <c r="AC82" s="233">
        <f t="shared" si="72"/>
        <v>0</v>
      </c>
      <c r="AD82" s="233">
        <f t="shared" si="73"/>
        <v>0</v>
      </c>
      <c r="AE82" s="233">
        <f t="shared" si="74"/>
        <v>0</v>
      </c>
      <c r="AF82" s="233">
        <f t="shared" si="75"/>
        <v>0</v>
      </c>
      <c r="AG82" s="238">
        <f t="shared" si="76"/>
        <v>0</v>
      </c>
      <c r="AH82" s="238">
        <f t="shared" si="77"/>
        <v>187490</v>
      </c>
      <c r="AI82" s="209" t="str">
        <f t="shared" si="78"/>
        <v>2005</v>
      </c>
      <c r="AJ82" s="210">
        <f t="shared" si="79"/>
        <v>10</v>
      </c>
      <c r="AK82" s="234">
        <f t="shared" si="80"/>
        <v>187490</v>
      </c>
    </row>
    <row r="83" spans="1:37" s="41" customFormat="1" ht="30.75" hidden="1" customHeight="1" x14ac:dyDescent="0.2">
      <c r="A83" t="s">
        <v>2300</v>
      </c>
      <c r="B83" s="69"/>
      <c r="C83" s="65" t="s">
        <v>341</v>
      </c>
      <c r="D83" s="65" t="s">
        <v>342</v>
      </c>
      <c r="E83" s="70"/>
      <c r="F83" s="65" t="s">
        <v>55</v>
      </c>
      <c r="G83" s="32"/>
      <c r="H83" s="65" t="s">
        <v>181</v>
      </c>
      <c r="I83" s="32" t="s">
        <v>92</v>
      </c>
      <c r="J83" s="32"/>
      <c r="K83" s="40"/>
      <c r="L83" s="32"/>
      <c r="M83" s="40"/>
      <c r="N83" s="40"/>
      <c r="O83" s="32" t="s">
        <v>12</v>
      </c>
      <c r="P83" s="252">
        <v>1500000</v>
      </c>
      <c r="Q83" s="61" t="s">
        <v>43</v>
      </c>
      <c r="W83" s="206" t="str">
        <f t="shared" si="67"/>
        <v>2.09.01</v>
      </c>
      <c r="X83" s="207" t="str">
        <f t="shared" si="53"/>
        <v>UNIT UNIT LABORATORIUM</v>
      </c>
      <c r="Y83" s="207">
        <f t="shared" si="68"/>
        <v>8</v>
      </c>
      <c r="Z83" s="233">
        <f t="shared" si="69"/>
        <v>187498.75</v>
      </c>
      <c r="AA83" s="208">
        <f t="shared" si="70"/>
        <v>8</v>
      </c>
      <c r="AB83" s="233">
        <f t="shared" si="71"/>
        <v>1499990</v>
      </c>
      <c r="AC83" s="233">
        <f t="shared" si="72"/>
        <v>0</v>
      </c>
      <c r="AD83" s="233">
        <f t="shared" si="73"/>
        <v>0</v>
      </c>
      <c r="AE83" s="233">
        <f t="shared" si="74"/>
        <v>0</v>
      </c>
      <c r="AF83" s="233">
        <f t="shared" si="75"/>
        <v>0</v>
      </c>
      <c r="AG83" s="238">
        <f t="shared" si="76"/>
        <v>0</v>
      </c>
      <c r="AH83" s="238">
        <f t="shared" si="77"/>
        <v>1499990</v>
      </c>
      <c r="AI83" s="209" t="str">
        <f t="shared" si="78"/>
        <v>2005</v>
      </c>
      <c r="AJ83" s="210">
        <f t="shared" si="79"/>
        <v>10</v>
      </c>
      <c r="AK83" s="234">
        <f>SUM(AB83:AF83)</f>
        <v>1499990</v>
      </c>
    </row>
    <row r="84" spans="1:37" s="41" customFormat="1" ht="30.75" customHeight="1" x14ac:dyDescent="0.2">
      <c r="A84" t="s">
        <v>2300</v>
      </c>
      <c r="B84" s="69"/>
      <c r="C84" s="65" t="s">
        <v>343</v>
      </c>
      <c r="D84" s="65" t="s">
        <v>344</v>
      </c>
      <c r="E84" s="70"/>
      <c r="F84" s="65" t="s">
        <v>345</v>
      </c>
      <c r="G84" s="32"/>
      <c r="H84" s="65" t="s">
        <v>181</v>
      </c>
      <c r="I84" s="32" t="s">
        <v>92</v>
      </c>
      <c r="J84" s="32"/>
      <c r="K84" s="40"/>
      <c r="L84" s="32"/>
      <c r="M84" s="40"/>
      <c r="N84" s="40"/>
      <c r="O84" s="32" t="s">
        <v>12</v>
      </c>
      <c r="P84" s="252">
        <v>93750</v>
      </c>
      <c r="Q84" s="61" t="s">
        <v>43</v>
      </c>
      <c r="V84" s="41" t="s">
        <v>2615</v>
      </c>
      <c r="W84" s="206" t="str">
        <f t="shared" si="67"/>
        <v>2.09.01</v>
      </c>
      <c r="X84" s="207" t="str">
        <f t="shared" si="53"/>
        <v>UNIT UNIT LABORATORIUM</v>
      </c>
      <c r="Y84" s="207">
        <f t="shared" si="68"/>
        <v>8</v>
      </c>
      <c r="Z84" s="233">
        <f t="shared" si="69"/>
        <v>11717.5</v>
      </c>
      <c r="AA84" s="208">
        <f t="shared" si="70"/>
        <v>8</v>
      </c>
      <c r="AB84" s="233">
        <f t="shared" si="71"/>
        <v>93740</v>
      </c>
      <c r="AC84" s="233">
        <f t="shared" si="72"/>
        <v>0</v>
      </c>
      <c r="AD84" s="233">
        <f t="shared" si="73"/>
        <v>0</v>
      </c>
      <c r="AE84" s="233">
        <f t="shared" si="74"/>
        <v>0</v>
      </c>
      <c r="AF84" s="233">
        <f t="shared" si="75"/>
        <v>0</v>
      </c>
      <c r="AG84" s="238">
        <f t="shared" si="76"/>
        <v>0</v>
      </c>
      <c r="AH84" s="238">
        <f t="shared" si="77"/>
        <v>93740</v>
      </c>
      <c r="AI84" s="209" t="str">
        <f t="shared" si="78"/>
        <v>2005</v>
      </c>
      <c r="AJ84" s="210">
        <f t="shared" si="79"/>
        <v>10</v>
      </c>
      <c r="AK84" s="234">
        <f t="shared" ref="AK84:AK90" si="81">AH84-AG84</f>
        <v>93740</v>
      </c>
    </row>
    <row r="85" spans="1:37" s="41" customFormat="1" ht="30.75" customHeight="1" x14ac:dyDescent="0.2">
      <c r="A85" t="s">
        <v>2300</v>
      </c>
      <c r="B85" s="69"/>
      <c r="C85" s="65" t="s">
        <v>346</v>
      </c>
      <c r="D85" s="65" t="s">
        <v>347</v>
      </c>
      <c r="E85" s="70"/>
      <c r="F85" s="65" t="s">
        <v>348</v>
      </c>
      <c r="G85" s="32"/>
      <c r="H85" s="65" t="s">
        <v>191</v>
      </c>
      <c r="I85" s="32" t="s">
        <v>92</v>
      </c>
      <c r="J85" s="32"/>
      <c r="K85" s="40"/>
      <c r="L85" s="32"/>
      <c r="M85" s="40"/>
      <c r="N85" s="40"/>
      <c r="O85" s="32" t="s">
        <v>12</v>
      </c>
      <c r="P85" s="252">
        <v>375000</v>
      </c>
      <c r="Q85" s="61" t="s">
        <v>43</v>
      </c>
      <c r="V85" s="41" t="s">
        <v>2615</v>
      </c>
      <c r="W85" s="206" t="str">
        <f t="shared" si="67"/>
        <v>2.09.01</v>
      </c>
      <c r="X85" s="207" t="str">
        <f t="shared" si="53"/>
        <v>UNIT UNIT LABORATORIUM</v>
      </c>
      <c r="Y85" s="207">
        <f t="shared" si="68"/>
        <v>8</v>
      </c>
      <c r="Z85" s="233">
        <f t="shared" si="69"/>
        <v>46873.75</v>
      </c>
      <c r="AA85" s="208">
        <f t="shared" si="70"/>
        <v>8</v>
      </c>
      <c r="AB85" s="233">
        <f t="shared" si="71"/>
        <v>374990</v>
      </c>
      <c r="AC85" s="233">
        <f t="shared" si="72"/>
        <v>0</v>
      </c>
      <c r="AD85" s="233">
        <f t="shared" si="73"/>
        <v>0</v>
      </c>
      <c r="AE85" s="233">
        <f t="shared" si="74"/>
        <v>0</v>
      </c>
      <c r="AF85" s="233">
        <f t="shared" si="75"/>
        <v>0</v>
      </c>
      <c r="AG85" s="238">
        <f t="shared" si="76"/>
        <v>0</v>
      </c>
      <c r="AH85" s="238">
        <f t="shared" si="77"/>
        <v>374990</v>
      </c>
      <c r="AI85" s="209" t="str">
        <f t="shared" si="78"/>
        <v>2005</v>
      </c>
      <c r="AJ85" s="210">
        <f t="shared" si="79"/>
        <v>10</v>
      </c>
      <c r="AK85" s="234">
        <f t="shared" si="81"/>
        <v>374990</v>
      </c>
    </row>
    <row r="86" spans="1:37" s="41" customFormat="1" ht="30.75" customHeight="1" x14ac:dyDescent="0.2">
      <c r="A86" t="s">
        <v>2300</v>
      </c>
      <c r="B86" s="69"/>
      <c r="C86" s="65" t="s">
        <v>349</v>
      </c>
      <c r="D86" s="65" t="s">
        <v>350</v>
      </c>
      <c r="E86" s="70"/>
      <c r="F86" s="65" t="s">
        <v>351</v>
      </c>
      <c r="G86" s="32"/>
      <c r="H86" s="65" t="s">
        <v>191</v>
      </c>
      <c r="I86" s="32" t="s">
        <v>108</v>
      </c>
      <c r="J86" s="32"/>
      <c r="K86" s="40"/>
      <c r="L86" s="32"/>
      <c r="M86" s="40"/>
      <c r="N86" s="40"/>
      <c r="O86" s="32" t="s">
        <v>12</v>
      </c>
      <c r="P86" s="252">
        <v>200000</v>
      </c>
      <c r="Q86" s="61" t="s">
        <v>43</v>
      </c>
      <c r="V86" s="41" t="s">
        <v>2615</v>
      </c>
      <c r="W86" s="206" t="str">
        <f t="shared" si="67"/>
        <v>2.09.01</v>
      </c>
      <c r="X86" s="207" t="str">
        <f t="shared" si="53"/>
        <v>UNIT UNIT LABORATORIUM</v>
      </c>
      <c r="Y86" s="207">
        <f t="shared" si="68"/>
        <v>8</v>
      </c>
      <c r="Z86" s="233">
        <f t="shared" si="69"/>
        <v>24998.75</v>
      </c>
      <c r="AA86" s="208">
        <f t="shared" si="70"/>
        <v>7</v>
      </c>
      <c r="AB86" s="233">
        <f t="shared" si="71"/>
        <v>174991.25</v>
      </c>
      <c r="AC86" s="233">
        <f t="shared" si="72"/>
        <v>24998.75</v>
      </c>
      <c r="AD86" s="233">
        <f t="shared" si="73"/>
        <v>0</v>
      </c>
      <c r="AE86" s="233">
        <f t="shared" si="74"/>
        <v>0</v>
      </c>
      <c r="AF86" s="233">
        <f t="shared" si="75"/>
        <v>0</v>
      </c>
      <c r="AG86" s="238">
        <f t="shared" si="76"/>
        <v>0</v>
      </c>
      <c r="AH86" s="238">
        <f t="shared" si="77"/>
        <v>199990</v>
      </c>
      <c r="AI86" s="209" t="str">
        <f t="shared" si="78"/>
        <v>2006</v>
      </c>
      <c r="AJ86" s="210">
        <f t="shared" si="79"/>
        <v>10</v>
      </c>
      <c r="AK86" s="234">
        <f t="shared" si="81"/>
        <v>199990</v>
      </c>
    </row>
    <row r="87" spans="1:37" s="41" customFormat="1" ht="30.75" customHeight="1" x14ac:dyDescent="0.2">
      <c r="A87" t="s">
        <v>2300</v>
      </c>
      <c r="B87" s="69"/>
      <c r="C87" s="65" t="s">
        <v>352</v>
      </c>
      <c r="D87" s="65" t="s">
        <v>353</v>
      </c>
      <c r="E87" s="70"/>
      <c r="F87" s="65" t="s">
        <v>354</v>
      </c>
      <c r="G87" s="32"/>
      <c r="H87" s="65" t="s">
        <v>191</v>
      </c>
      <c r="I87" s="32" t="s">
        <v>108</v>
      </c>
      <c r="J87" s="32"/>
      <c r="K87" s="40"/>
      <c r="L87" s="32"/>
      <c r="M87" s="40"/>
      <c r="N87" s="40"/>
      <c r="O87" s="32" t="s">
        <v>12</v>
      </c>
      <c r="P87" s="252">
        <v>400000</v>
      </c>
      <c r="Q87" s="61" t="s">
        <v>43</v>
      </c>
      <c r="V87" s="41" t="s">
        <v>2615</v>
      </c>
      <c r="W87" s="206" t="str">
        <f t="shared" si="67"/>
        <v>2.09.01</v>
      </c>
      <c r="X87" s="207" t="str">
        <f t="shared" si="53"/>
        <v>UNIT UNIT LABORATORIUM</v>
      </c>
      <c r="Y87" s="207">
        <f t="shared" si="68"/>
        <v>8</v>
      </c>
      <c r="Z87" s="233">
        <f t="shared" si="69"/>
        <v>49998.75</v>
      </c>
      <c r="AA87" s="208">
        <f t="shared" si="70"/>
        <v>7</v>
      </c>
      <c r="AB87" s="233">
        <f t="shared" si="71"/>
        <v>349991.25</v>
      </c>
      <c r="AC87" s="233">
        <f t="shared" si="72"/>
        <v>49998.75</v>
      </c>
      <c r="AD87" s="233">
        <f t="shared" si="73"/>
        <v>0</v>
      </c>
      <c r="AE87" s="233">
        <f t="shared" si="74"/>
        <v>0</v>
      </c>
      <c r="AF87" s="233">
        <f t="shared" si="75"/>
        <v>0</v>
      </c>
      <c r="AG87" s="238">
        <f t="shared" si="76"/>
        <v>0</v>
      </c>
      <c r="AH87" s="238">
        <f t="shared" si="77"/>
        <v>399990</v>
      </c>
      <c r="AI87" s="209" t="str">
        <f t="shared" si="78"/>
        <v>2006</v>
      </c>
      <c r="AJ87" s="210">
        <f t="shared" si="79"/>
        <v>10</v>
      </c>
      <c r="AK87" s="234">
        <f t="shared" si="81"/>
        <v>399990</v>
      </c>
    </row>
    <row r="88" spans="1:37" s="41" customFormat="1" ht="30.75" customHeight="1" x14ac:dyDescent="0.2">
      <c r="A88" t="s">
        <v>2300</v>
      </c>
      <c r="B88" s="69"/>
      <c r="C88" s="65" t="s">
        <v>355</v>
      </c>
      <c r="D88" s="65" t="s">
        <v>356</v>
      </c>
      <c r="E88" s="70"/>
      <c r="F88" s="65" t="s">
        <v>340</v>
      </c>
      <c r="G88" s="32"/>
      <c r="H88" s="65" t="s">
        <v>191</v>
      </c>
      <c r="I88" s="32" t="s">
        <v>108</v>
      </c>
      <c r="J88" s="32"/>
      <c r="K88" s="40"/>
      <c r="L88" s="32"/>
      <c r="M88" s="40"/>
      <c r="N88" s="40"/>
      <c r="O88" s="32" t="s">
        <v>12</v>
      </c>
      <c r="P88" s="252">
        <v>120000</v>
      </c>
      <c r="Q88" s="61" t="s">
        <v>43</v>
      </c>
      <c r="V88" s="41" t="s">
        <v>2615</v>
      </c>
      <c r="W88" s="206" t="str">
        <f t="shared" si="67"/>
        <v>2.09.01</v>
      </c>
      <c r="X88" s="207" t="str">
        <f t="shared" si="53"/>
        <v>UNIT UNIT LABORATORIUM</v>
      </c>
      <c r="Y88" s="207">
        <f t="shared" si="68"/>
        <v>8</v>
      </c>
      <c r="Z88" s="233">
        <f t="shared" si="69"/>
        <v>14998.75</v>
      </c>
      <c r="AA88" s="208">
        <f t="shared" si="70"/>
        <v>7</v>
      </c>
      <c r="AB88" s="233">
        <f t="shared" si="71"/>
        <v>104991.25</v>
      </c>
      <c r="AC88" s="233">
        <f t="shared" si="72"/>
        <v>14998.75</v>
      </c>
      <c r="AD88" s="233">
        <f t="shared" si="73"/>
        <v>0</v>
      </c>
      <c r="AE88" s="233">
        <f t="shared" si="74"/>
        <v>0</v>
      </c>
      <c r="AF88" s="233">
        <f t="shared" si="75"/>
        <v>0</v>
      </c>
      <c r="AG88" s="238">
        <f t="shared" si="76"/>
        <v>0</v>
      </c>
      <c r="AH88" s="238">
        <f t="shared" si="77"/>
        <v>119990</v>
      </c>
      <c r="AI88" s="209" t="str">
        <f t="shared" si="78"/>
        <v>2006</v>
      </c>
      <c r="AJ88" s="210">
        <f t="shared" si="79"/>
        <v>10</v>
      </c>
      <c r="AK88" s="234">
        <f t="shared" si="81"/>
        <v>119990</v>
      </c>
    </row>
    <row r="89" spans="1:37" s="41" customFormat="1" ht="30.75" customHeight="1" x14ac:dyDescent="0.2">
      <c r="A89" t="s">
        <v>2300</v>
      </c>
      <c r="B89" s="69"/>
      <c r="C89" s="65" t="s">
        <v>357</v>
      </c>
      <c r="D89" s="65" t="s">
        <v>358</v>
      </c>
      <c r="E89" s="70"/>
      <c r="F89" s="65" t="s">
        <v>9</v>
      </c>
      <c r="G89" s="32"/>
      <c r="H89" s="65" t="s">
        <v>191</v>
      </c>
      <c r="I89" s="32" t="s">
        <v>108</v>
      </c>
      <c r="J89" s="32"/>
      <c r="K89" s="40"/>
      <c r="L89" s="32"/>
      <c r="M89" s="40"/>
      <c r="N89" s="40"/>
      <c r="O89" s="32" t="s">
        <v>12</v>
      </c>
      <c r="P89" s="252">
        <v>200000</v>
      </c>
      <c r="Q89" s="61" t="s">
        <v>43</v>
      </c>
      <c r="V89" s="41" t="s">
        <v>2615</v>
      </c>
      <c r="W89" s="206" t="str">
        <f t="shared" si="67"/>
        <v>2.09.01</v>
      </c>
      <c r="X89" s="207" t="str">
        <f t="shared" si="53"/>
        <v>UNIT UNIT LABORATORIUM</v>
      </c>
      <c r="Y89" s="207">
        <f t="shared" si="68"/>
        <v>8</v>
      </c>
      <c r="Z89" s="233">
        <f t="shared" si="69"/>
        <v>24998.75</v>
      </c>
      <c r="AA89" s="208">
        <f t="shared" si="70"/>
        <v>7</v>
      </c>
      <c r="AB89" s="233">
        <f t="shared" si="71"/>
        <v>174991.25</v>
      </c>
      <c r="AC89" s="233">
        <f t="shared" si="72"/>
        <v>24998.75</v>
      </c>
      <c r="AD89" s="233">
        <f t="shared" si="73"/>
        <v>0</v>
      </c>
      <c r="AE89" s="233">
        <f t="shared" si="74"/>
        <v>0</v>
      </c>
      <c r="AF89" s="233">
        <f t="shared" si="75"/>
        <v>0</v>
      </c>
      <c r="AG89" s="238">
        <f t="shared" si="76"/>
        <v>0</v>
      </c>
      <c r="AH89" s="238">
        <f t="shared" si="77"/>
        <v>199990</v>
      </c>
      <c r="AI89" s="209" t="str">
        <f t="shared" si="78"/>
        <v>2006</v>
      </c>
      <c r="AJ89" s="210">
        <f t="shared" si="79"/>
        <v>10</v>
      </c>
      <c r="AK89" s="234">
        <f t="shared" si="81"/>
        <v>199990</v>
      </c>
    </row>
    <row r="90" spans="1:37" s="41" customFormat="1" ht="30.75" customHeight="1" x14ac:dyDescent="0.2">
      <c r="A90" t="s">
        <v>2300</v>
      </c>
      <c r="B90" s="69"/>
      <c r="C90" s="65" t="s">
        <v>359</v>
      </c>
      <c r="D90" s="65" t="s">
        <v>360</v>
      </c>
      <c r="E90" s="70"/>
      <c r="F90" s="65" t="s">
        <v>55</v>
      </c>
      <c r="G90" s="32"/>
      <c r="H90" s="65" t="s">
        <v>174</v>
      </c>
      <c r="I90" s="32" t="s">
        <v>108</v>
      </c>
      <c r="J90" s="32"/>
      <c r="K90" s="40"/>
      <c r="L90" s="32"/>
      <c r="M90" s="40"/>
      <c r="N90" s="40"/>
      <c r="O90" s="32" t="s">
        <v>12</v>
      </c>
      <c r="P90" s="252">
        <v>120000</v>
      </c>
      <c r="Q90" s="61" t="s">
        <v>43</v>
      </c>
      <c r="V90" s="41" t="s">
        <v>2615</v>
      </c>
      <c r="W90" s="206" t="str">
        <f t="shared" si="67"/>
        <v>2.09.01</v>
      </c>
      <c r="X90" s="207" t="str">
        <f t="shared" si="53"/>
        <v>UNIT UNIT LABORATORIUM</v>
      </c>
      <c r="Y90" s="207">
        <f t="shared" si="68"/>
        <v>8</v>
      </c>
      <c r="Z90" s="233">
        <f t="shared" si="69"/>
        <v>14998.75</v>
      </c>
      <c r="AA90" s="208">
        <f t="shared" si="70"/>
        <v>7</v>
      </c>
      <c r="AB90" s="233">
        <f t="shared" si="71"/>
        <v>104991.25</v>
      </c>
      <c r="AC90" s="233">
        <f t="shared" si="72"/>
        <v>14998.75</v>
      </c>
      <c r="AD90" s="233">
        <f t="shared" si="73"/>
        <v>0</v>
      </c>
      <c r="AE90" s="233">
        <f t="shared" si="74"/>
        <v>0</v>
      </c>
      <c r="AF90" s="233">
        <f t="shared" si="75"/>
        <v>0</v>
      </c>
      <c r="AG90" s="238">
        <f t="shared" si="76"/>
        <v>0</v>
      </c>
      <c r="AH90" s="238">
        <f t="shared" si="77"/>
        <v>119990</v>
      </c>
      <c r="AI90" s="209" t="str">
        <f t="shared" si="78"/>
        <v>2006</v>
      </c>
      <c r="AJ90" s="210">
        <f t="shared" si="79"/>
        <v>10</v>
      </c>
      <c r="AK90" s="234">
        <f t="shared" si="81"/>
        <v>119990</v>
      </c>
    </row>
    <row r="91" spans="1:37" s="41" customFormat="1" ht="30.75" hidden="1" customHeight="1" x14ac:dyDescent="0.2">
      <c r="A91" t="s">
        <v>2300</v>
      </c>
      <c r="B91" s="69"/>
      <c r="C91" s="65" t="s">
        <v>361</v>
      </c>
      <c r="D91" s="65" t="s">
        <v>362</v>
      </c>
      <c r="E91" s="70"/>
      <c r="F91" s="65" t="s">
        <v>9</v>
      </c>
      <c r="G91" s="32"/>
      <c r="H91" s="65" t="s">
        <v>9</v>
      </c>
      <c r="I91" s="32" t="s">
        <v>108</v>
      </c>
      <c r="J91" s="32"/>
      <c r="K91" s="40"/>
      <c r="L91" s="32"/>
      <c r="M91" s="40"/>
      <c r="N91" s="40"/>
      <c r="O91" s="32" t="s">
        <v>12</v>
      </c>
      <c r="P91" s="252">
        <v>2600000</v>
      </c>
      <c r="Q91" s="61" t="s">
        <v>43</v>
      </c>
      <c r="W91" s="206" t="str">
        <f t="shared" si="67"/>
        <v>2.09.01</v>
      </c>
      <c r="X91" s="207" t="str">
        <f t="shared" si="53"/>
        <v>UNIT UNIT LABORATORIUM</v>
      </c>
      <c r="Y91" s="207">
        <f t="shared" si="68"/>
        <v>8</v>
      </c>
      <c r="Z91" s="233">
        <f t="shared" si="69"/>
        <v>324998.75</v>
      </c>
      <c r="AA91" s="208">
        <f t="shared" si="70"/>
        <v>7</v>
      </c>
      <c r="AB91" s="233">
        <f t="shared" si="71"/>
        <v>2274991.25</v>
      </c>
      <c r="AC91" s="233">
        <f t="shared" si="72"/>
        <v>324998.75</v>
      </c>
      <c r="AD91" s="233">
        <f t="shared" si="73"/>
        <v>0</v>
      </c>
      <c r="AE91" s="233">
        <f t="shared" si="74"/>
        <v>0</v>
      </c>
      <c r="AF91" s="233">
        <f t="shared" si="75"/>
        <v>0</v>
      </c>
      <c r="AG91" s="238">
        <f t="shared" si="76"/>
        <v>0</v>
      </c>
      <c r="AH91" s="238">
        <f t="shared" si="77"/>
        <v>2599990</v>
      </c>
      <c r="AI91" s="209" t="str">
        <f t="shared" si="78"/>
        <v>2006</v>
      </c>
      <c r="AJ91" s="210">
        <f t="shared" si="79"/>
        <v>10</v>
      </c>
      <c r="AK91" s="234">
        <f>SUM(AB91:AF91)</f>
        <v>2599990</v>
      </c>
    </row>
    <row r="92" spans="1:37" s="41" customFormat="1" ht="30.75" customHeight="1" x14ac:dyDescent="0.2">
      <c r="A92" t="s">
        <v>2300</v>
      </c>
      <c r="B92" s="69"/>
      <c r="C92" s="65" t="s">
        <v>363</v>
      </c>
      <c r="D92" s="65" t="s">
        <v>364</v>
      </c>
      <c r="E92" s="70"/>
      <c r="F92" s="65" t="s">
        <v>55</v>
      </c>
      <c r="G92" s="32"/>
      <c r="H92" s="65" t="s">
        <v>9</v>
      </c>
      <c r="I92" s="32" t="s">
        <v>108</v>
      </c>
      <c r="J92" s="32"/>
      <c r="K92" s="40"/>
      <c r="L92" s="32"/>
      <c r="M92" s="40"/>
      <c r="N92" s="40"/>
      <c r="O92" s="32" t="s">
        <v>12</v>
      </c>
      <c r="P92" s="252">
        <v>100000</v>
      </c>
      <c r="Q92" s="61" t="s">
        <v>43</v>
      </c>
      <c r="V92" s="41" t="s">
        <v>2615</v>
      </c>
      <c r="W92" s="206" t="str">
        <f t="shared" si="67"/>
        <v>2.09.01</v>
      </c>
      <c r="X92" s="207" t="str">
        <f t="shared" si="53"/>
        <v>UNIT UNIT LABORATORIUM</v>
      </c>
      <c r="Y92" s="207">
        <f t="shared" si="68"/>
        <v>8</v>
      </c>
      <c r="Z92" s="233">
        <f t="shared" si="69"/>
        <v>12498.75</v>
      </c>
      <c r="AA92" s="208">
        <f t="shared" si="70"/>
        <v>7</v>
      </c>
      <c r="AB92" s="233">
        <f t="shared" si="71"/>
        <v>87491.25</v>
      </c>
      <c r="AC92" s="233">
        <f t="shared" si="72"/>
        <v>12498.75</v>
      </c>
      <c r="AD92" s="233">
        <f t="shared" si="73"/>
        <v>0</v>
      </c>
      <c r="AE92" s="233">
        <f t="shared" si="74"/>
        <v>0</v>
      </c>
      <c r="AF92" s="233">
        <f t="shared" si="75"/>
        <v>0</v>
      </c>
      <c r="AG92" s="238">
        <f t="shared" si="76"/>
        <v>0</v>
      </c>
      <c r="AH92" s="238">
        <f t="shared" si="77"/>
        <v>99990</v>
      </c>
      <c r="AI92" s="209" t="str">
        <f t="shared" si="78"/>
        <v>2006</v>
      </c>
      <c r="AJ92" s="210">
        <f t="shared" si="79"/>
        <v>10</v>
      </c>
      <c r="AK92" s="234">
        <f t="shared" ref="AK92:AK100" si="82">AH92-AG92</f>
        <v>99990</v>
      </c>
    </row>
    <row r="93" spans="1:37" s="41" customFormat="1" ht="30.75" customHeight="1" x14ac:dyDescent="0.2">
      <c r="A93" t="s">
        <v>2300</v>
      </c>
      <c r="B93" s="69"/>
      <c r="C93" s="65" t="s">
        <v>365</v>
      </c>
      <c r="D93" s="65" t="s">
        <v>366</v>
      </c>
      <c r="E93" s="70"/>
      <c r="F93" s="65" t="s">
        <v>55</v>
      </c>
      <c r="G93" s="32"/>
      <c r="H93" s="65" t="s">
        <v>9</v>
      </c>
      <c r="I93" s="32" t="s">
        <v>108</v>
      </c>
      <c r="J93" s="32"/>
      <c r="K93" s="40"/>
      <c r="L93" s="32"/>
      <c r="M93" s="40"/>
      <c r="N93" s="40"/>
      <c r="O93" s="32" t="s">
        <v>12</v>
      </c>
      <c r="P93" s="252">
        <v>240000</v>
      </c>
      <c r="Q93" s="61" t="s">
        <v>43</v>
      </c>
      <c r="V93" s="41" t="s">
        <v>2615</v>
      </c>
      <c r="W93" s="206" t="str">
        <f t="shared" si="67"/>
        <v>2.09.01</v>
      </c>
      <c r="X93" s="207" t="str">
        <f t="shared" si="53"/>
        <v>UNIT UNIT LABORATORIUM</v>
      </c>
      <c r="Y93" s="207">
        <f t="shared" si="68"/>
        <v>8</v>
      </c>
      <c r="Z93" s="233">
        <f t="shared" si="69"/>
        <v>29998.75</v>
      </c>
      <c r="AA93" s="208">
        <f t="shared" si="70"/>
        <v>7</v>
      </c>
      <c r="AB93" s="233">
        <f t="shared" si="71"/>
        <v>209991.25</v>
      </c>
      <c r="AC93" s="233">
        <f t="shared" si="72"/>
        <v>29998.75</v>
      </c>
      <c r="AD93" s="233">
        <f t="shared" si="73"/>
        <v>0</v>
      </c>
      <c r="AE93" s="233">
        <f t="shared" si="74"/>
        <v>0</v>
      </c>
      <c r="AF93" s="233">
        <f t="shared" si="75"/>
        <v>0</v>
      </c>
      <c r="AG93" s="238">
        <f t="shared" si="76"/>
        <v>0</v>
      </c>
      <c r="AH93" s="238">
        <f t="shared" si="77"/>
        <v>239990</v>
      </c>
      <c r="AI93" s="209" t="str">
        <f t="shared" si="78"/>
        <v>2006</v>
      </c>
      <c r="AJ93" s="210">
        <f t="shared" si="79"/>
        <v>10</v>
      </c>
      <c r="AK93" s="234">
        <f t="shared" si="82"/>
        <v>239990</v>
      </c>
    </row>
    <row r="94" spans="1:37" s="41" customFormat="1" ht="30.75" customHeight="1" x14ac:dyDescent="0.2">
      <c r="A94" t="s">
        <v>2300</v>
      </c>
      <c r="B94" s="69"/>
      <c r="C94" s="65" t="s">
        <v>367</v>
      </c>
      <c r="D94" s="65" t="s">
        <v>368</v>
      </c>
      <c r="E94" s="70"/>
      <c r="F94" s="65" t="s">
        <v>9</v>
      </c>
      <c r="G94" s="32"/>
      <c r="H94" s="65" t="s">
        <v>9</v>
      </c>
      <c r="I94" s="32" t="s">
        <v>108</v>
      </c>
      <c r="J94" s="32"/>
      <c r="K94" s="40"/>
      <c r="L94" s="32"/>
      <c r="M94" s="40"/>
      <c r="N94" s="40"/>
      <c r="O94" s="32" t="s">
        <v>12</v>
      </c>
      <c r="P94" s="252">
        <v>120000</v>
      </c>
      <c r="Q94" s="61" t="s">
        <v>43</v>
      </c>
      <c r="V94" s="41" t="s">
        <v>2615</v>
      </c>
      <c r="W94" s="206" t="str">
        <f t="shared" si="67"/>
        <v>2.09.01</v>
      </c>
      <c r="X94" s="207" t="str">
        <f t="shared" si="53"/>
        <v>UNIT UNIT LABORATORIUM</v>
      </c>
      <c r="Y94" s="207">
        <f t="shared" si="68"/>
        <v>8</v>
      </c>
      <c r="Z94" s="233">
        <f t="shared" si="69"/>
        <v>14998.75</v>
      </c>
      <c r="AA94" s="208">
        <f t="shared" si="70"/>
        <v>7</v>
      </c>
      <c r="AB94" s="233">
        <f t="shared" si="71"/>
        <v>104991.25</v>
      </c>
      <c r="AC94" s="233">
        <f t="shared" si="72"/>
        <v>14998.75</v>
      </c>
      <c r="AD94" s="233">
        <f t="shared" si="73"/>
        <v>0</v>
      </c>
      <c r="AE94" s="233">
        <f t="shared" si="74"/>
        <v>0</v>
      </c>
      <c r="AF94" s="233">
        <f t="shared" si="75"/>
        <v>0</v>
      </c>
      <c r="AG94" s="238">
        <f t="shared" si="76"/>
        <v>0</v>
      </c>
      <c r="AH94" s="238">
        <f t="shared" si="77"/>
        <v>119990</v>
      </c>
      <c r="AI94" s="209" t="str">
        <f t="shared" si="78"/>
        <v>2006</v>
      </c>
      <c r="AJ94" s="210">
        <f t="shared" si="79"/>
        <v>10</v>
      </c>
      <c r="AK94" s="234">
        <f t="shared" si="82"/>
        <v>119990</v>
      </c>
    </row>
    <row r="95" spans="1:37" s="41" customFormat="1" ht="30.75" customHeight="1" x14ac:dyDescent="0.2">
      <c r="A95" t="s">
        <v>2300</v>
      </c>
      <c r="B95" s="69"/>
      <c r="C95" s="65" t="s">
        <v>346</v>
      </c>
      <c r="D95" s="65" t="s">
        <v>347</v>
      </c>
      <c r="E95" s="70"/>
      <c r="F95" s="65" t="s">
        <v>348</v>
      </c>
      <c r="G95" s="32"/>
      <c r="H95" s="65" t="s">
        <v>9</v>
      </c>
      <c r="I95" s="32" t="s">
        <v>108</v>
      </c>
      <c r="J95" s="32"/>
      <c r="K95" s="40"/>
      <c r="L95" s="32"/>
      <c r="M95" s="40"/>
      <c r="N95" s="40"/>
      <c r="O95" s="32" t="s">
        <v>12</v>
      </c>
      <c r="P95" s="252">
        <v>400000</v>
      </c>
      <c r="Q95" s="61" t="s">
        <v>43</v>
      </c>
      <c r="V95" s="41" t="s">
        <v>2615</v>
      </c>
      <c r="W95" s="206" t="str">
        <f t="shared" si="67"/>
        <v>2.09.01</v>
      </c>
      <c r="X95" s="207" t="str">
        <f t="shared" si="53"/>
        <v>UNIT UNIT LABORATORIUM</v>
      </c>
      <c r="Y95" s="207">
        <f t="shared" si="68"/>
        <v>8</v>
      </c>
      <c r="Z95" s="233">
        <f t="shared" si="69"/>
        <v>49998.75</v>
      </c>
      <c r="AA95" s="208">
        <f t="shared" si="70"/>
        <v>7</v>
      </c>
      <c r="AB95" s="233">
        <f t="shared" si="71"/>
        <v>349991.25</v>
      </c>
      <c r="AC95" s="233">
        <f t="shared" si="72"/>
        <v>49998.75</v>
      </c>
      <c r="AD95" s="233">
        <f t="shared" si="73"/>
        <v>0</v>
      </c>
      <c r="AE95" s="233">
        <f t="shared" si="74"/>
        <v>0</v>
      </c>
      <c r="AF95" s="233">
        <f t="shared" si="75"/>
        <v>0</v>
      </c>
      <c r="AG95" s="238">
        <f t="shared" si="76"/>
        <v>0</v>
      </c>
      <c r="AH95" s="238">
        <f t="shared" si="77"/>
        <v>399990</v>
      </c>
      <c r="AI95" s="209" t="str">
        <f t="shared" si="78"/>
        <v>2006</v>
      </c>
      <c r="AJ95" s="210">
        <f t="shared" si="79"/>
        <v>10</v>
      </c>
      <c r="AK95" s="234">
        <f t="shared" si="82"/>
        <v>399990</v>
      </c>
    </row>
    <row r="96" spans="1:37" s="41" customFormat="1" ht="30.75" customHeight="1" x14ac:dyDescent="0.2">
      <c r="A96" t="s">
        <v>2300</v>
      </c>
      <c r="B96" s="69"/>
      <c r="C96" s="65" t="s">
        <v>369</v>
      </c>
      <c r="D96" s="65" t="s">
        <v>370</v>
      </c>
      <c r="E96" s="70"/>
      <c r="F96" s="65" t="s">
        <v>55</v>
      </c>
      <c r="G96" s="32"/>
      <c r="H96" s="65" t="s">
        <v>181</v>
      </c>
      <c r="I96" s="32" t="s">
        <v>108</v>
      </c>
      <c r="J96" s="32"/>
      <c r="K96" s="40"/>
      <c r="L96" s="32"/>
      <c r="M96" s="40"/>
      <c r="N96" s="40"/>
      <c r="O96" s="32" t="s">
        <v>12</v>
      </c>
      <c r="P96" s="252">
        <v>350000</v>
      </c>
      <c r="Q96" s="61" t="s">
        <v>43</v>
      </c>
      <c r="V96" s="41" t="s">
        <v>2615</v>
      </c>
      <c r="W96" s="206" t="str">
        <f t="shared" si="67"/>
        <v>2.09.01</v>
      </c>
      <c r="X96" s="207" t="str">
        <f t="shared" si="53"/>
        <v>UNIT UNIT LABORATORIUM</v>
      </c>
      <c r="Y96" s="207">
        <f t="shared" si="68"/>
        <v>8</v>
      </c>
      <c r="Z96" s="233">
        <f t="shared" si="69"/>
        <v>43748.75</v>
      </c>
      <c r="AA96" s="208">
        <f t="shared" si="70"/>
        <v>7</v>
      </c>
      <c r="AB96" s="233">
        <f t="shared" si="71"/>
        <v>306241.25</v>
      </c>
      <c r="AC96" s="233">
        <f t="shared" si="72"/>
        <v>43748.75</v>
      </c>
      <c r="AD96" s="233">
        <f t="shared" si="73"/>
        <v>0</v>
      </c>
      <c r="AE96" s="233">
        <f t="shared" si="74"/>
        <v>0</v>
      </c>
      <c r="AF96" s="233">
        <f t="shared" si="75"/>
        <v>0</v>
      </c>
      <c r="AG96" s="238">
        <f t="shared" si="76"/>
        <v>0</v>
      </c>
      <c r="AH96" s="238">
        <f t="shared" si="77"/>
        <v>349990</v>
      </c>
      <c r="AI96" s="209" t="str">
        <f t="shared" si="78"/>
        <v>2006</v>
      </c>
      <c r="AJ96" s="210">
        <f t="shared" si="79"/>
        <v>10</v>
      </c>
      <c r="AK96" s="234">
        <f t="shared" si="82"/>
        <v>349990</v>
      </c>
    </row>
    <row r="97" spans="1:39" s="41" customFormat="1" ht="30.75" customHeight="1" x14ac:dyDescent="0.2">
      <c r="A97" t="s">
        <v>2300</v>
      </c>
      <c r="B97" s="69"/>
      <c r="C97" s="65" t="s">
        <v>341</v>
      </c>
      <c r="D97" s="65" t="s">
        <v>371</v>
      </c>
      <c r="E97" s="70"/>
      <c r="F97" s="65" t="s">
        <v>55</v>
      </c>
      <c r="G97" s="32"/>
      <c r="H97" s="65" t="s">
        <v>181</v>
      </c>
      <c r="I97" s="32" t="s">
        <v>108</v>
      </c>
      <c r="J97" s="32"/>
      <c r="K97" s="40"/>
      <c r="L97" s="32"/>
      <c r="M97" s="40"/>
      <c r="N97" s="40"/>
      <c r="O97" s="32" t="s">
        <v>12</v>
      </c>
      <c r="P97" s="252">
        <v>375000</v>
      </c>
      <c r="Q97" s="61" t="s">
        <v>43</v>
      </c>
      <c r="V97" s="41" t="s">
        <v>2615</v>
      </c>
      <c r="W97" s="206" t="str">
        <f t="shared" si="67"/>
        <v>2.09.01</v>
      </c>
      <c r="X97" s="207" t="str">
        <f t="shared" si="53"/>
        <v>UNIT UNIT LABORATORIUM</v>
      </c>
      <c r="Y97" s="207">
        <f t="shared" si="68"/>
        <v>8</v>
      </c>
      <c r="Z97" s="233">
        <f t="shared" si="69"/>
        <v>46873.75</v>
      </c>
      <c r="AA97" s="208">
        <f t="shared" si="70"/>
        <v>7</v>
      </c>
      <c r="AB97" s="233">
        <f t="shared" si="71"/>
        <v>328116.25</v>
      </c>
      <c r="AC97" s="233">
        <f t="shared" si="72"/>
        <v>46873.75</v>
      </c>
      <c r="AD97" s="233">
        <f t="shared" si="73"/>
        <v>0</v>
      </c>
      <c r="AE97" s="233">
        <f t="shared" si="74"/>
        <v>0</v>
      </c>
      <c r="AF97" s="233">
        <f t="shared" si="75"/>
        <v>0</v>
      </c>
      <c r="AG97" s="238">
        <f t="shared" si="76"/>
        <v>0</v>
      </c>
      <c r="AH97" s="238">
        <f t="shared" si="77"/>
        <v>374990</v>
      </c>
      <c r="AI97" s="209" t="str">
        <f t="shared" si="78"/>
        <v>2006</v>
      </c>
      <c r="AJ97" s="210">
        <f t="shared" si="79"/>
        <v>10</v>
      </c>
      <c r="AK97" s="234">
        <f t="shared" si="82"/>
        <v>374990</v>
      </c>
    </row>
    <row r="98" spans="1:39" s="41" customFormat="1" ht="30.75" customHeight="1" x14ac:dyDescent="0.2">
      <c r="A98" t="s">
        <v>2300</v>
      </c>
      <c r="B98" s="69"/>
      <c r="C98" s="65" t="s">
        <v>372</v>
      </c>
      <c r="D98" s="65" t="s">
        <v>373</v>
      </c>
      <c r="E98" s="70"/>
      <c r="F98" s="65" t="s">
        <v>345</v>
      </c>
      <c r="G98" s="32"/>
      <c r="H98" s="65" t="s">
        <v>191</v>
      </c>
      <c r="I98" s="32" t="s">
        <v>108</v>
      </c>
      <c r="J98" s="32"/>
      <c r="K98" s="40"/>
      <c r="L98" s="32"/>
      <c r="M98" s="40"/>
      <c r="N98" s="40"/>
      <c r="O98" s="32" t="s">
        <v>12</v>
      </c>
      <c r="P98" s="252">
        <v>240000</v>
      </c>
      <c r="Q98" s="61" t="s">
        <v>43</v>
      </c>
      <c r="V98" s="41" t="s">
        <v>2615</v>
      </c>
      <c r="W98" s="206" t="str">
        <f t="shared" si="67"/>
        <v>2.09.01</v>
      </c>
      <c r="X98" s="207" t="str">
        <f t="shared" si="53"/>
        <v>UNIT UNIT LABORATORIUM</v>
      </c>
      <c r="Y98" s="207">
        <f t="shared" si="68"/>
        <v>8</v>
      </c>
      <c r="Z98" s="233">
        <f t="shared" si="69"/>
        <v>29998.75</v>
      </c>
      <c r="AA98" s="208">
        <f t="shared" si="70"/>
        <v>7</v>
      </c>
      <c r="AB98" s="233">
        <f t="shared" si="71"/>
        <v>209991.25</v>
      </c>
      <c r="AC98" s="233">
        <f t="shared" si="72"/>
        <v>29998.75</v>
      </c>
      <c r="AD98" s="233">
        <f t="shared" si="73"/>
        <v>0</v>
      </c>
      <c r="AE98" s="233">
        <f t="shared" si="74"/>
        <v>0</v>
      </c>
      <c r="AF98" s="233">
        <f t="shared" si="75"/>
        <v>0</v>
      </c>
      <c r="AG98" s="238">
        <f t="shared" si="76"/>
        <v>0</v>
      </c>
      <c r="AH98" s="238">
        <f t="shared" si="77"/>
        <v>239990</v>
      </c>
      <c r="AI98" s="209" t="str">
        <f t="shared" si="78"/>
        <v>2006</v>
      </c>
      <c r="AJ98" s="210">
        <f t="shared" si="79"/>
        <v>10</v>
      </c>
      <c r="AK98" s="234">
        <f t="shared" si="82"/>
        <v>239990</v>
      </c>
    </row>
    <row r="99" spans="1:39" s="41" customFormat="1" ht="30.75" customHeight="1" x14ac:dyDescent="0.2">
      <c r="A99" t="s">
        <v>2300</v>
      </c>
      <c r="B99" s="69"/>
      <c r="C99" s="65" t="s">
        <v>374</v>
      </c>
      <c r="D99" s="65" t="s">
        <v>375</v>
      </c>
      <c r="E99" s="70"/>
      <c r="F99" s="65" t="s">
        <v>55</v>
      </c>
      <c r="G99" s="32"/>
      <c r="H99" s="65" t="s">
        <v>191</v>
      </c>
      <c r="I99" s="32" t="s">
        <v>108</v>
      </c>
      <c r="J99" s="32"/>
      <c r="K99" s="40"/>
      <c r="L99" s="32"/>
      <c r="M99" s="40"/>
      <c r="N99" s="40"/>
      <c r="O99" s="32" t="s">
        <v>12</v>
      </c>
      <c r="P99" s="252">
        <v>120000</v>
      </c>
      <c r="Q99" s="61" t="s">
        <v>43</v>
      </c>
      <c r="V99" s="41" t="s">
        <v>2615</v>
      </c>
      <c r="W99" s="206" t="str">
        <f t="shared" si="67"/>
        <v>2.09.01</v>
      </c>
      <c r="X99" s="207" t="str">
        <f t="shared" si="53"/>
        <v>UNIT UNIT LABORATORIUM</v>
      </c>
      <c r="Y99" s="207">
        <f t="shared" si="68"/>
        <v>8</v>
      </c>
      <c r="Z99" s="233">
        <f t="shared" si="69"/>
        <v>14998.75</v>
      </c>
      <c r="AA99" s="208">
        <f t="shared" si="70"/>
        <v>7</v>
      </c>
      <c r="AB99" s="233">
        <f t="shared" si="71"/>
        <v>104991.25</v>
      </c>
      <c r="AC99" s="233">
        <f t="shared" si="72"/>
        <v>14998.75</v>
      </c>
      <c r="AD99" s="233">
        <f t="shared" si="73"/>
        <v>0</v>
      </c>
      <c r="AE99" s="233">
        <f t="shared" si="74"/>
        <v>0</v>
      </c>
      <c r="AF99" s="233">
        <f t="shared" si="75"/>
        <v>0</v>
      </c>
      <c r="AG99" s="238">
        <f t="shared" si="76"/>
        <v>0</v>
      </c>
      <c r="AH99" s="238">
        <f t="shared" si="77"/>
        <v>119990</v>
      </c>
      <c r="AI99" s="209" t="str">
        <f t="shared" si="78"/>
        <v>2006</v>
      </c>
      <c r="AJ99" s="210">
        <f t="shared" si="79"/>
        <v>10</v>
      </c>
      <c r="AK99" s="234">
        <f t="shared" si="82"/>
        <v>119990</v>
      </c>
    </row>
    <row r="100" spans="1:39" s="41" customFormat="1" ht="30.75" customHeight="1" x14ac:dyDescent="0.2">
      <c r="A100" t="s">
        <v>2300</v>
      </c>
      <c r="B100" s="69"/>
      <c r="C100" s="65" t="s">
        <v>376</v>
      </c>
      <c r="D100" s="65" t="s">
        <v>377</v>
      </c>
      <c r="E100" s="70"/>
      <c r="F100" s="65" t="s">
        <v>9</v>
      </c>
      <c r="G100" s="32"/>
      <c r="H100" s="65" t="s">
        <v>378</v>
      </c>
      <c r="I100" s="32" t="s">
        <v>108</v>
      </c>
      <c r="J100" s="32"/>
      <c r="K100" s="40"/>
      <c r="L100" s="32"/>
      <c r="M100" s="40"/>
      <c r="N100" s="40"/>
      <c r="O100" s="32" t="s">
        <v>12</v>
      </c>
      <c r="P100" s="252">
        <v>400000</v>
      </c>
      <c r="Q100" s="61" t="s">
        <v>43</v>
      </c>
      <c r="V100" s="41" t="s">
        <v>2615</v>
      </c>
      <c r="W100" s="206" t="str">
        <f t="shared" si="67"/>
        <v>2.09.01</v>
      </c>
      <c r="X100" s="207" t="str">
        <f t="shared" si="53"/>
        <v>UNIT UNIT LABORATORIUM</v>
      </c>
      <c r="Y100" s="207">
        <f t="shared" si="68"/>
        <v>8</v>
      </c>
      <c r="Z100" s="233">
        <f t="shared" si="69"/>
        <v>49998.75</v>
      </c>
      <c r="AA100" s="208">
        <f t="shared" si="70"/>
        <v>7</v>
      </c>
      <c r="AB100" s="233">
        <f t="shared" si="71"/>
        <v>349991.25</v>
      </c>
      <c r="AC100" s="233">
        <f t="shared" si="72"/>
        <v>49998.75</v>
      </c>
      <c r="AD100" s="233">
        <f t="shared" si="73"/>
        <v>0</v>
      </c>
      <c r="AE100" s="233">
        <f t="shared" si="74"/>
        <v>0</v>
      </c>
      <c r="AF100" s="233">
        <f t="shared" si="75"/>
        <v>0</v>
      </c>
      <c r="AG100" s="238">
        <f t="shared" si="76"/>
        <v>0</v>
      </c>
      <c r="AH100" s="238">
        <f t="shared" si="77"/>
        <v>399990</v>
      </c>
      <c r="AI100" s="209" t="str">
        <f t="shared" si="78"/>
        <v>2006</v>
      </c>
      <c r="AJ100" s="210">
        <f t="shared" si="79"/>
        <v>10</v>
      </c>
      <c r="AK100" s="234">
        <f t="shared" si="82"/>
        <v>399990</v>
      </c>
    </row>
    <row r="101" spans="1:39" s="41" customFormat="1" ht="30.75" hidden="1" customHeight="1" x14ac:dyDescent="0.2">
      <c r="A101" t="s">
        <v>2300</v>
      </c>
      <c r="B101" s="69"/>
      <c r="C101" s="65" t="s">
        <v>52</v>
      </c>
      <c r="D101" s="65" t="s">
        <v>981</v>
      </c>
      <c r="E101" s="70"/>
      <c r="F101" s="65" t="s">
        <v>52</v>
      </c>
      <c r="G101" s="32"/>
      <c r="H101" s="65" t="s">
        <v>52</v>
      </c>
      <c r="I101" s="32">
        <v>2008</v>
      </c>
      <c r="J101" s="70"/>
      <c r="K101" s="70"/>
      <c r="L101" s="70"/>
      <c r="M101" s="70"/>
      <c r="N101" s="70"/>
      <c r="O101" s="32" t="s">
        <v>12</v>
      </c>
      <c r="P101" s="252">
        <v>348203041.88366759</v>
      </c>
      <c r="Q101" s="61" t="s">
        <v>43</v>
      </c>
      <c r="W101" s="206" t="str">
        <f t="shared" si="67"/>
        <v>2.09.01</v>
      </c>
      <c r="X101" s="207" t="str">
        <f t="shared" si="53"/>
        <v>UNIT UNIT LABORATORIUM</v>
      </c>
      <c r="Y101" s="207">
        <f t="shared" si="68"/>
        <v>8</v>
      </c>
      <c r="Z101" s="233">
        <f t="shared" si="69"/>
        <v>43525378.985458449</v>
      </c>
      <c r="AA101" s="208">
        <f t="shared" si="70"/>
        <v>5</v>
      </c>
      <c r="AB101" s="233">
        <f t="shared" si="71"/>
        <v>217626894.92729223</v>
      </c>
      <c r="AC101" s="233">
        <f t="shared" si="72"/>
        <v>43525378.985458449</v>
      </c>
      <c r="AD101" s="233">
        <f t="shared" si="73"/>
        <v>43525378.985458449</v>
      </c>
      <c r="AE101" s="233">
        <f t="shared" si="74"/>
        <v>43525378.985458449</v>
      </c>
      <c r="AF101" s="233">
        <f t="shared" si="75"/>
        <v>0</v>
      </c>
      <c r="AG101" s="238">
        <f t="shared" si="76"/>
        <v>0</v>
      </c>
      <c r="AH101" s="238">
        <f t="shared" si="77"/>
        <v>348203031.88366753</v>
      </c>
      <c r="AI101" s="209">
        <f t="shared" si="78"/>
        <v>2008</v>
      </c>
      <c r="AJ101" s="210">
        <f t="shared" si="79"/>
        <v>10.000000059604645</v>
      </c>
      <c r="AK101" s="234">
        <f t="shared" ref="AK101:AK109" si="83">SUM(AB101:AF101)</f>
        <v>348203031.88366753</v>
      </c>
    </row>
    <row r="102" spans="1:39" s="41" customFormat="1" ht="30.75" hidden="1" customHeight="1" x14ac:dyDescent="0.2">
      <c r="A102" t="s">
        <v>2300</v>
      </c>
      <c r="B102" s="69"/>
      <c r="C102" s="65" t="s">
        <v>52</v>
      </c>
      <c r="D102" s="65" t="s">
        <v>982</v>
      </c>
      <c r="E102" s="70"/>
      <c r="F102" s="65" t="s">
        <v>52</v>
      </c>
      <c r="G102" s="32"/>
      <c r="H102" s="65" t="s">
        <v>52</v>
      </c>
      <c r="I102" s="32">
        <v>2008</v>
      </c>
      <c r="J102" s="70"/>
      <c r="K102" s="70"/>
      <c r="L102" s="70"/>
      <c r="M102" s="70"/>
      <c r="N102" s="70"/>
      <c r="O102" s="32" t="s">
        <v>12</v>
      </c>
      <c r="P102" s="252">
        <v>190544131.65718848</v>
      </c>
      <c r="Q102" s="61" t="s">
        <v>43</v>
      </c>
      <c r="W102" s="206" t="str">
        <f t="shared" si="67"/>
        <v>2.09.01</v>
      </c>
      <c r="X102" s="207" t="str">
        <f t="shared" si="53"/>
        <v>UNIT UNIT LABORATORIUM</v>
      </c>
      <c r="Y102" s="207">
        <f t="shared" si="68"/>
        <v>8</v>
      </c>
      <c r="Z102" s="233">
        <f t="shared" si="69"/>
        <v>23818015.207148559</v>
      </c>
      <c r="AA102" s="208">
        <f t="shared" si="70"/>
        <v>5</v>
      </c>
      <c r="AB102" s="233">
        <f t="shared" si="71"/>
        <v>119090076.03574279</v>
      </c>
      <c r="AC102" s="233">
        <f t="shared" si="72"/>
        <v>23818015.207148559</v>
      </c>
      <c r="AD102" s="233">
        <f t="shared" si="73"/>
        <v>23818015.207148559</v>
      </c>
      <c r="AE102" s="233">
        <f t="shared" si="74"/>
        <v>23818015.207148559</v>
      </c>
      <c r="AF102" s="233">
        <f t="shared" si="75"/>
        <v>0</v>
      </c>
      <c r="AG102" s="238">
        <f t="shared" si="76"/>
        <v>0</v>
      </c>
      <c r="AH102" s="238">
        <f t="shared" si="77"/>
        <v>190544121.65718845</v>
      </c>
      <c r="AI102" s="209">
        <f t="shared" si="78"/>
        <v>2008</v>
      </c>
      <c r="AJ102" s="210">
        <f t="shared" si="79"/>
        <v>10.000000029802322</v>
      </c>
      <c r="AK102" s="234">
        <f t="shared" si="83"/>
        <v>190544121.65718845</v>
      </c>
    </row>
    <row r="103" spans="1:39" s="41" customFormat="1" ht="30.75" hidden="1" customHeight="1" x14ac:dyDescent="0.2">
      <c r="A103" t="s">
        <v>2300</v>
      </c>
      <c r="B103" s="69"/>
      <c r="C103" s="65" t="s">
        <v>52</v>
      </c>
      <c r="D103" s="65" t="s">
        <v>983</v>
      </c>
      <c r="E103" s="70"/>
      <c r="F103" s="65" t="s">
        <v>52</v>
      </c>
      <c r="G103" s="32"/>
      <c r="H103" s="65" t="s">
        <v>52</v>
      </c>
      <c r="I103" s="32">
        <v>2008</v>
      </c>
      <c r="J103" s="70"/>
      <c r="K103" s="70"/>
      <c r="L103" s="70"/>
      <c r="M103" s="70"/>
      <c r="N103" s="70"/>
      <c r="O103" s="32" t="s">
        <v>12</v>
      </c>
      <c r="P103" s="252">
        <v>21811626.45914397</v>
      </c>
      <c r="Q103" s="61" t="s">
        <v>43</v>
      </c>
      <c r="W103" s="206" t="str">
        <f t="shared" si="67"/>
        <v>2.09.01</v>
      </c>
      <c r="X103" s="207" t="str">
        <f t="shared" si="53"/>
        <v>UNIT UNIT LABORATORIUM</v>
      </c>
      <c r="Y103" s="207">
        <f t="shared" si="68"/>
        <v>8</v>
      </c>
      <c r="Z103" s="233">
        <f t="shared" si="69"/>
        <v>2726452.0573929963</v>
      </c>
      <c r="AA103" s="208">
        <f t="shared" si="70"/>
        <v>5</v>
      </c>
      <c r="AB103" s="233">
        <f t="shared" si="71"/>
        <v>13632260.286964981</v>
      </c>
      <c r="AC103" s="233">
        <f t="shared" si="72"/>
        <v>2726452.0573929963</v>
      </c>
      <c r="AD103" s="233">
        <f t="shared" si="73"/>
        <v>2726452.0573929963</v>
      </c>
      <c r="AE103" s="233">
        <f t="shared" si="74"/>
        <v>2726452.0573929963</v>
      </c>
      <c r="AF103" s="233">
        <f t="shared" si="75"/>
        <v>0</v>
      </c>
      <c r="AG103" s="238">
        <f t="shared" si="76"/>
        <v>0</v>
      </c>
      <c r="AH103" s="238">
        <f t="shared" si="77"/>
        <v>21811616.45914397</v>
      </c>
      <c r="AI103" s="209">
        <f t="shared" si="78"/>
        <v>2008</v>
      </c>
      <c r="AJ103" s="210">
        <f t="shared" si="79"/>
        <v>10</v>
      </c>
      <c r="AK103" s="234">
        <f t="shared" si="83"/>
        <v>21811616.45914397</v>
      </c>
    </row>
    <row r="104" spans="1:39" s="41" customFormat="1" ht="30.75" hidden="1" customHeight="1" x14ac:dyDescent="0.2">
      <c r="A104" t="s">
        <v>2300</v>
      </c>
      <c r="B104" s="69"/>
      <c r="C104" s="65" t="s">
        <v>52</v>
      </c>
      <c r="D104" s="65" t="s">
        <v>984</v>
      </c>
      <c r="E104" s="70"/>
      <c r="F104" s="65" t="s">
        <v>52</v>
      </c>
      <c r="G104" s="32"/>
      <c r="H104" s="65" t="s">
        <v>52</v>
      </c>
      <c r="I104" s="32">
        <v>2009</v>
      </c>
      <c r="J104" s="70"/>
      <c r="K104" s="70"/>
      <c r="L104" s="70"/>
      <c r="M104" s="70"/>
      <c r="N104" s="70"/>
      <c r="O104" s="32" t="s">
        <v>12</v>
      </c>
      <c r="P104" s="252">
        <v>121550000</v>
      </c>
      <c r="Q104" s="61" t="s">
        <v>43</v>
      </c>
      <c r="W104" s="206" t="str">
        <f t="shared" si="67"/>
        <v>2.09.01</v>
      </c>
      <c r="X104" s="207" t="str">
        <f t="shared" si="53"/>
        <v>UNIT UNIT LABORATORIUM</v>
      </c>
      <c r="Y104" s="207">
        <f t="shared" si="68"/>
        <v>8</v>
      </c>
      <c r="Z104" s="233">
        <f t="shared" si="69"/>
        <v>15193748.75</v>
      </c>
      <c r="AA104" s="208">
        <f t="shared" si="70"/>
        <v>4</v>
      </c>
      <c r="AB104" s="233">
        <f t="shared" si="71"/>
        <v>60774995</v>
      </c>
      <c r="AC104" s="233">
        <f t="shared" si="72"/>
        <v>15193748.75</v>
      </c>
      <c r="AD104" s="233">
        <f t="shared" si="73"/>
        <v>15193748.75</v>
      </c>
      <c r="AE104" s="233">
        <f t="shared" si="74"/>
        <v>15193748.75</v>
      </c>
      <c r="AF104" s="233">
        <f t="shared" si="75"/>
        <v>15193748.75</v>
      </c>
      <c r="AG104" s="238">
        <f t="shared" si="76"/>
        <v>0</v>
      </c>
      <c r="AH104" s="238">
        <f t="shared" si="77"/>
        <v>121549990</v>
      </c>
      <c r="AI104" s="209">
        <f t="shared" si="78"/>
        <v>2009</v>
      </c>
      <c r="AJ104" s="210">
        <f t="shared" si="79"/>
        <v>10</v>
      </c>
      <c r="AK104" s="234">
        <f t="shared" si="83"/>
        <v>121549990</v>
      </c>
    </row>
    <row r="105" spans="1:39" s="41" customFormat="1" ht="30.75" hidden="1" customHeight="1" x14ac:dyDescent="0.2">
      <c r="A105" t="s">
        <v>2300</v>
      </c>
      <c r="B105" s="69"/>
      <c r="C105" s="65" t="s">
        <v>52</v>
      </c>
      <c r="D105" s="65" t="s">
        <v>985</v>
      </c>
      <c r="E105" s="70"/>
      <c r="F105" s="65" t="s">
        <v>52</v>
      </c>
      <c r="G105" s="32"/>
      <c r="H105" s="65" t="s">
        <v>174</v>
      </c>
      <c r="I105" s="32">
        <v>2011</v>
      </c>
      <c r="J105" s="70"/>
      <c r="K105" s="70"/>
      <c r="L105" s="70"/>
      <c r="M105" s="70"/>
      <c r="N105" s="70"/>
      <c r="O105" s="32" t="s">
        <v>12</v>
      </c>
      <c r="P105" s="252">
        <v>15549974.909400286</v>
      </c>
      <c r="Q105" s="61" t="s">
        <v>43</v>
      </c>
      <c r="W105" s="206" t="str">
        <f t="shared" si="67"/>
        <v>2.09.01</v>
      </c>
      <c r="X105" s="207" t="str">
        <f t="shared" si="53"/>
        <v>UNIT UNIT LABORATORIUM</v>
      </c>
      <c r="Y105" s="207">
        <f t="shared" si="68"/>
        <v>8</v>
      </c>
      <c r="Z105" s="233">
        <f t="shared" si="69"/>
        <v>1943745.6136750358</v>
      </c>
      <c r="AA105" s="208">
        <f t="shared" si="70"/>
        <v>2</v>
      </c>
      <c r="AB105" s="233">
        <f t="shared" si="71"/>
        <v>3887491.2273500715</v>
      </c>
      <c r="AC105" s="233">
        <f t="shared" si="72"/>
        <v>1943745.6136750358</v>
      </c>
      <c r="AD105" s="233">
        <f t="shared" si="73"/>
        <v>1943745.6136750358</v>
      </c>
      <c r="AE105" s="233">
        <f t="shared" si="74"/>
        <v>1943745.6136750358</v>
      </c>
      <c r="AF105" s="233">
        <f t="shared" si="75"/>
        <v>1943745.6136750358</v>
      </c>
      <c r="AG105" s="238">
        <f t="shared" si="76"/>
        <v>1943745.6136750358</v>
      </c>
      <c r="AH105" s="238">
        <f t="shared" si="77"/>
        <v>13606219.295725251</v>
      </c>
      <c r="AI105" s="209">
        <f t="shared" si="78"/>
        <v>2011</v>
      </c>
      <c r="AJ105" s="210">
        <f t="shared" si="79"/>
        <v>1943755.6136750355</v>
      </c>
      <c r="AK105" s="234">
        <f t="shared" si="83"/>
        <v>11662473.682050215</v>
      </c>
    </row>
    <row r="106" spans="1:39" s="41" customFormat="1" ht="30.75" hidden="1" customHeight="1" x14ac:dyDescent="0.2">
      <c r="A106" t="s">
        <v>2300</v>
      </c>
      <c r="B106" s="69"/>
      <c r="C106" s="65" t="s">
        <v>52</v>
      </c>
      <c r="D106" s="65" t="s">
        <v>986</v>
      </c>
      <c r="E106" s="70"/>
      <c r="F106" s="65" t="s">
        <v>52</v>
      </c>
      <c r="G106" s="32" t="s">
        <v>379</v>
      </c>
      <c r="H106" s="65" t="s">
        <v>174</v>
      </c>
      <c r="I106" s="32">
        <v>2011</v>
      </c>
      <c r="J106" s="70"/>
      <c r="K106" s="70"/>
      <c r="L106" s="70"/>
      <c r="M106" s="70"/>
      <c r="N106" s="70"/>
      <c r="O106" s="32" t="s">
        <v>12</v>
      </c>
      <c r="P106" s="252">
        <v>24461306.061232746</v>
      </c>
      <c r="Q106" s="61" t="s">
        <v>43</v>
      </c>
      <c r="W106" s="206" t="str">
        <f t="shared" si="67"/>
        <v>2.09.01</v>
      </c>
      <c r="X106" s="207" t="str">
        <f t="shared" si="53"/>
        <v>UNIT UNIT LABORATORIUM</v>
      </c>
      <c r="Y106" s="207">
        <f t="shared" si="68"/>
        <v>8</v>
      </c>
      <c r="Z106" s="233">
        <f t="shared" si="69"/>
        <v>3057662.0076540932</v>
      </c>
      <c r="AA106" s="208">
        <f t="shared" si="70"/>
        <v>2</v>
      </c>
      <c r="AB106" s="233">
        <f t="shared" si="71"/>
        <v>6115324.0153081864</v>
      </c>
      <c r="AC106" s="233">
        <f t="shared" si="72"/>
        <v>3057662.0076540932</v>
      </c>
      <c r="AD106" s="233">
        <f t="shared" si="73"/>
        <v>3057662.0076540932</v>
      </c>
      <c r="AE106" s="233">
        <f t="shared" si="74"/>
        <v>3057662.0076540932</v>
      </c>
      <c r="AF106" s="233">
        <f t="shared" si="75"/>
        <v>3057662.0076540932</v>
      </c>
      <c r="AG106" s="238">
        <f t="shared" si="76"/>
        <v>3057662.0076540932</v>
      </c>
      <c r="AH106" s="238">
        <f t="shared" si="77"/>
        <v>21403634.053578652</v>
      </c>
      <c r="AI106" s="209">
        <f t="shared" si="78"/>
        <v>2011</v>
      </c>
      <c r="AJ106" s="210">
        <f t="shared" si="79"/>
        <v>3057672.0076540932</v>
      </c>
      <c r="AK106" s="234">
        <f t="shared" si="83"/>
        <v>18345972.045924559</v>
      </c>
    </row>
    <row r="107" spans="1:39" s="41" customFormat="1" ht="30.75" hidden="1" customHeight="1" x14ac:dyDescent="0.2">
      <c r="A107" t="s">
        <v>2300</v>
      </c>
      <c r="B107" s="69"/>
      <c r="C107" s="65" t="s">
        <v>52</v>
      </c>
      <c r="D107" s="65" t="s">
        <v>987</v>
      </c>
      <c r="E107" s="70"/>
      <c r="F107" s="65" t="s">
        <v>380</v>
      </c>
      <c r="G107" s="32">
        <v>0.2</v>
      </c>
      <c r="H107" s="65" t="s">
        <v>174</v>
      </c>
      <c r="I107" s="32">
        <v>2011</v>
      </c>
      <c r="J107" s="70"/>
      <c r="K107" s="70"/>
      <c r="L107" s="70"/>
      <c r="M107" s="70"/>
      <c r="N107" s="70"/>
      <c r="O107" s="32" t="s">
        <v>12</v>
      </c>
      <c r="P107" s="252">
        <v>12559595.328248454</v>
      </c>
      <c r="Q107" s="61" t="s">
        <v>43</v>
      </c>
      <c r="W107" s="206" t="str">
        <f t="shared" si="67"/>
        <v>2.09.01</v>
      </c>
      <c r="X107" s="207" t="str">
        <f t="shared" si="53"/>
        <v>UNIT UNIT LABORATORIUM</v>
      </c>
      <c r="Y107" s="207">
        <f t="shared" si="68"/>
        <v>8</v>
      </c>
      <c r="Z107" s="233">
        <f t="shared" si="69"/>
        <v>1569948.1660310568</v>
      </c>
      <c r="AA107" s="208">
        <f t="shared" si="70"/>
        <v>2</v>
      </c>
      <c r="AB107" s="233">
        <f t="shared" si="71"/>
        <v>3139896.3320621136</v>
      </c>
      <c r="AC107" s="233">
        <f t="shared" si="72"/>
        <v>1569948.1660310568</v>
      </c>
      <c r="AD107" s="233">
        <f t="shared" si="73"/>
        <v>1569948.1660310568</v>
      </c>
      <c r="AE107" s="233">
        <f t="shared" si="74"/>
        <v>1569948.1660310568</v>
      </c>
      <c r="AF107" s="233">
        <f t="shared" si="75"/>
        <v>1569948.1660310568</v>
      </c>
      <c r="AG107" s="238">
        <f t="shared" si="76"/>
        <v>1569948.1660310568</v>
      </c>
      <c r="AH107" s="238">
        <f t="shared" si="77"/>
        <v>10989637.162217397</v>
      </c>
      <c r="AI107" s="209">
        <f t="shared" si="78"/>
        <v>2011</v>
      </c>
      <c r="AJ107" s="210">
        <f t="shared" si="79"/>
        <v>1569958.166031057</v>
      </c>
      <c r="AK107" s="234">
        <f t="shared" si="83"/>
        <v>9419688.9961863402</v>
      </c>
    </row>
    <row r="108" spans="1:39" s="41" customFormat="1" ht="30.75" hidden="1" customHeight="1" x14ac:dyDescent="0.2">
      <c r="A108" t="s">
        <v>2300</v>
      </c>
      <c r="B108" s="69"/>
      <c r="C108" s="65" t="s">
        <v>52</v>
      </c>
      <c r="D108" s="65" t="s">
        <v>988</v>
      </c>
      <c r="E108" s="70"/>
      <c r="F108" s="65" t="s">
        <v>52</v>
      </c>
      <c r="G108" s="32">
        <v>190</v>
      </c>
      <c r="H108" s="65" t="s">
        <v>119</v>
      </c>
      <c r="I108" s="32">
        <v>2011</v>
      </c>
      <c r="J108" s="70"/>
      <c r="K108" s="70"/>
      <c r="L108" s="70"/>
      <c r="M108" s="70"/>
      <c r="N108" s="70"/>
      <c r="O108" s="32" t="s">
        <v>12</v>
      </c>
      <c r="P108" s="252">
        <v>50238376.963350788</v>
      </c>
      <c r="Q108" s="61" t="s">
        <v>43</v>
      </c>
      <c r="W108" s="206" t="str">
        <f t="shared" si="67"/>
        <v>2.09.01</v>
      </c>
      <c r="X108" s="207" t="str">
        <f t="shared" si="53"/>
        <v>UNIT UNIT LABORATORIUM</v>
      </c>
      <c r="Y108" s="207">
        <f t="shared" si="68"/>
        <v>8</v>
      </c>
      <c r="Z108" s="233">
        <f t="shared" si="69"/>
        <v>6279795.8704188485</v>
      </c>
      <c r="AA108" s="208">
        <f t="shared" si="70"/>
        <v>2</v>
      </c>
      <c r="AB108" s="233">
        <f t="shared" si="71"/>
        <v>12559591.740837697</v>
      </c>
      <c r="AC108" s="233">
        <f t="shared" si="72"/>
        <v>6279795.8704188485</v>
      </c>
      <c r="AD108" s="233">
        <f t="shared" si="73"/>
        <v>6279795.8704188485</v>
      </c>
      <c r="AE108" s="233">
        <f t="shared" si="74"/>
        <v>6279795.8704188485</v>
      </c>
      <c r="AF108" s="233">
        <f t="shared" si="75"/>
        <v>6279795.8704188485</v>
      </c>
      <c r="AG108" s="238">
        <f t="shared" si="76"/>
        <v>6279795.8704188485</v>
      </c>
      <c r="AH108" s="238">
        <f t="shared" si="77"/>
        <v>43958571.092931934</v>
      </c>
      <c r="AI108" s="209">
        <f t="shared" si="78"/>
        <v>2011</v>
      </c>
      <c r="AJ108" s="210">
        <f t="shared" si="79"/>
        <v>6279805.8704188541</v>
      </c>
      <c r="AK108" s="234">
        <f t="shared" si="83"/>
        <v>37678775.222513087</v>
      </c>
    </row>
    <row r="109" spans="1:39" s="41" customFormat="1" ht="30.75" hidden="1" customHeight="1" x14ac:dyDescent="0.2">
      <c r="A109" t="s">
        <v>2300</v>
      </c>
      <c r="B109" s="69"/>
      <c r="C109" s="65" t="s">
        <v>52</v>
      </c>
      <c r="D109" s="65" t="s">
        <v>989</v>
      </c>
      <c r="E109" s="70" t="s">
        <v>868</v>
      </c>
      <c r="F109" s="65" t="s">
        <v>52</v>
      </c>
      <c r="G109" s="32"/>
      <c r="H109" s="65" t="s">
        <v>52</v>
      </c>
      <c r="I109" s="32">
        <v>2015</v>
      </c>
      <c r="J109" s="70"/>
      <c r="K109" s="70"/>
      <c r="L109" s="70"/>
      <c r="M109" s="70"/>
      <c r="N109" s="70"/>
      <c r="O109" s="32" t="s">
        <v>12</v>
      </c>
      <c r="P109" s="252">
        <v>141258000</v>
      </c>
      <c r="Q109" s="61" t="s">
        <v>43</v>
      </c>
      <c r="U109" s="269">
        <f>P109/4</f>
        <v>35314500</v>
      </c>
      <c r="W109" s="206" t="str">
        <f t="shared" si="67"/>
        <v>2.09.01</v>
      </c>
      <c r="X109" s="207" t="str">
        <f t="shared" si="53"/>
        <v>UNIT UNIT LABORATORIUM</v>
      </c>
      <c r="Y109" s="207">
        <f t="shared" si="68"/>
        <v>8</v>
      </c>
      <c r="Z109" s="233">
        <f t="shared" si="69"/>
        <v>17657248.75</v>
      </c>
      <c r="AA109" s="208"/>
      <c r="AB109" s="233">
        <f t="shared" si="71"/>
        <v>0</v>
      </c>
      <c r="AC109" s="233">
        <f t="shared" si="72"/>
        <v>17657248.75</v>
      </c>
      <c r="AD109" s="233">
        <f t="shared" si="73"/>
        <v>17657248.75</v>
      </c>
      <c r="AE109" s="233">
        <f t="shared" si="74"/>
        <v>17657248.75</v>
      </c>
      <c r="AF109" s="233">
        <f t="shared" si="75"/>
        <v>17657248.75</v>
      </c>
      <c r="AG109" s="238">
        <f t="shared" si="76"/>
        <v>17657248.75</v>
      </c>
      <c r="AH109" s="238">
        <f t="shared" si="77"/>
        <v>88286243.75</v>
      </c>
      <c r="AI109" s="209">
        <f t="shared" si="78"/>
        <v>2015</v>
      </c>
      <c r="AJ109" s="210">
        <f t="shared" si="79"/>
        <v>52971756.25</v>
      </c>
      <c r="AK109" s="234">
        <f t="shared" si="83"/>
        <v>70628995</v>
      </c>
    </row>
    <row r="110" spans="1:39" s="41" customFormat="1" ht="30.75" hidden="1" customHeight="1" x14ac:dyDescent="0.2">
      <c r="B110" s="69"/>
      <c r="C110" s="70" t="s">
        <v>52</v>
      </c>
      <c r="D110" s="70" t="s">
        <v>52</v>
      </c>
      <c r="E110" s="70"/>
      <c r="F110" s="70" t="s">
        <v>52</v>
      </c>
      <c r="G110" s="70"/>
      <c r="H110" s="70" t="s">
        <v>52</v>
      </c>
      <c r="I110" s="70"/>
      <c r="J110" s="70"/>
      <c r="K110" s="70"/>
      <c r="L110" s="70"/>
      <c r="M110" s="70"/>
      <c r="N110" s="70"/>
      <c r="O110" s="70"/>
      <c r="P110" s="278"/>
      <c r="Q110" s="74"/>
      <c r="X110" s="42">
        <f>IF(P110&lt;300000,P110,"0")</f>
        <v>0</v>
      </c>
      <c r="Z110" s="234"/>
      <c r="AB110" s="234"/>
      <c r="AC110" s="234"/>
      <c r="AD110" s="234"/>
      <c r="AE110" s="234"/>
      <c r="AF110" s="234"/>
      <c r="AG110" s="234"/>
      <c r="AH110" s="234"/>
    </row>
    <row r="111" spans="1:39" s="45" customFormat="1" ht="30.75" hidden="1" customHeight="1" x14ac:dyDescent="0.2">
      <c r="B111" s="58" t="s">
        <v>170</v>
      </c>
      <c r="C111" s="59" t="s">
        <v>921</v>
      </c>
      <c r="D111" s="75" t="s">
        <v>52</v>
      </c>
      <c r="E111" s="75"/>
      <c r="F111" s="75" t="s">
        <v>52</v>
      </c>
      <c r="G111" s="75"/>
      <c r="H111" s="75" t="s">
        <v>52</v>
      </c>
      <c r="I111" s="75"/>
      <c r="J111" s="75"/>
      <c r="K111" s="75"/>
      <c r="L111" s="75"/>
      <c r="M111" s="75"/>
      <c r="N111" s="75"/>
      <c r="O111" s="75"/>
      <c r="P111" s="279">
        <f>SUM(P112:P325)</f>
        <v>2127906990.5288804</v>
      </c>
      <c r="Q111" s="76"/>
      <c r="X111" s="42" t="str">
        <f>IF(P111&lt;300000,P111,"0")</f>
        <v>0</v>
      </c>
      <c r="Z111" s="235"/>
      <c r="AB111" s="235">
        <f>SUM(AB112:AB319)</f>
        <v>569431225.8729471</v>
      </c>
      <c r="AC111" s="235">
        <f>SUM(AC112:AC319)</f>
        <v>388168155.42163819</v>
      </c>
      <c r="AD111" s="235">
        <f>SUM(AD112:AD319)</f>
        <v>365070067.3359375</v>
      </c>
      <c r="AE111" s="235">
        <f>SUM(AE112:AE319)</f>
        <v>324236740.05489218</v>
      </c>
      <c r="AF111" s="235">
        <f>SUM(AF112:AF319)</f>
        <v>295806290.83765006</v>
      </c>
      <c r="AG111" s="235" t="e">
        <f>SUM(AG112:AG325)</f>
        <v>#VALUE!</v>
      </c>
      <c r="AH111" s="235" t="e">
        <f>SUM(AH112:AH325)</f>
        <v>#VALUE!</v>
      </c>
      <c r="AI111" s="235">
        <f>SUM(AI112:AI325)</f>
        <v>429978</v>
      </c>
      <c r="AJ111" s="235" t="e">
        <f>SUM(AJ112:AJ325)</f>
        <v>#VALUE!</v>
      </c>
      <c r="AK111" s="217">
        <f>AB111+AC111+AD111+AE111+AF111</f>
        <v>1942712479.5230649</v>
      </c>
      <c r="AL111" s="216">
        <f>SUM(AB111:AE111)</f>
        <v>1646906188.6854148</v>
      </c>
      <c r="AM111" s="272" t="e">
        <f>AH111-AG111</f>
        <v>#VALUE!</v>
      </c>
    </row>
    <row r="112" spans="1:39" s="41" customFormat="1" ht="30.75" hidden="1" customHeight="1" x14ac:dyDescent="0.2">
      <c r="A112" s="41" t="s">
        <v>2296</v>
      </c>
      <c r="B112" s="69"/>
      <c r="C112" s="65" t="s">
        <v>171</v>
      </c>
      <c r="D112" s="65" t="s">
        <v>172</v>
      </c>
      <c r="E112" s="40"/>
      <c r="F112" s="65" t="s">
        <v>173</v>
      </c>
      <c r="G112" s="40"/>
      <c r="H112" s="65" t="s">
        <v>174</v>
      </c>
      <c r="I112" s="32">
        <v>2001</v>
      </c>
      <c r="J112" s="40"/>
      <c r="K112" s="72"/>
      <c r="L112" s="72"/>
      <c r="M112" s="40"/>
      <c r="N112" s="40"/>
      <c r="O112" s="32" t="s">
        <v>12</v>
      </c>
      <c r="P112" s="251">
        <v>1625000</v>
      </c>
      <c r="Q112" s="61"/>
      <c r="W112" s="206" t="str">
        <f t="shared" ref="W112:W175" si="84">A112</f>
        <v>2.06.03</v>
      </c>
      <c r="X112" s="207" t="str">
        <f t="shared" ref="X112:X175" si="85">VLOOKUP(W112,kelompok,2,0)</f>
        <v>KOMPUTER</v>
      </c>
      <c r="Y112" s="207">
        <f t="shared" ref="Y112:Y175" si="86">VLOOKUP(W112,MASAMANFAAT,4,0)</f>
        <v>4</v>
      </c>
      <c r="Z112" s="233">
        <f t="shared" ref="Z112:Z175" si="87">(P112-10)/Y112</f>
        <v>406247.5</v>
      </c>
      <c r="AA112" s="208">
        <f t="shared" ref="AA112:AA175" si="88">2013-AI112</f>
        <v>12</v>
      </c>
      <c r="AB112" s="233">
        <f t="shared" ref="AB112:AB175" si="89">IF(AA112&gt;Y112,P112-10,Z112*AA112)</f>
        <v>1624990</v>
      </c>
      <c r="AC112" s="233">
        <f t="shared" ref="AC112:AC175" si="90">IF(P112-10=AB112,0,Z112)</f>
        <v>0</v>
      </c>
      <c r="AD112" s="233">
        <f t="shared" ref="AD112:AD175" si="91">IF(P112-10=AB112+AC112,0,Z112)</f>
        <v>0</v>
      </c>
      <c r="AE112" s="233">
        <f t="shared" ref="AE112:AE175" si="92">IF(P112-10=AB112+AC112+AD112,0,Z112)</f>
        <v>0</v>
      </c>
      <c r="AF112" s="233">
        <f t="shared" ref="AF112:AF175" si="93">IF(P112-10=AB112+AC112+AD112+AE112,0,Z112)</f>
        <v>0</v>
      </c>
      <c r="AG112" s="238">
        <f t="shared" ref="AG112:AG175" si="94">IF(P112-10=AB112+AC112+AD112+AE112+AF112,0,Z112)</f>
        <v>0</v>
      </c>
      <c r="AH112" s="238">
        <f t="shared" ref="AH112:AH175" si="95">SUM(AB112:AG112)</f>
        <v>1624990</v>
      </c>
      <c r="AI112" s="209">
        <f t="shared" ref="AI112:AI175" si="96">I112</f>
        <v>2001</v>
      </c>
      <c r="AJ112" s="210">
        <f t="shared" ref="AJ112:AJ175" si="97">P112-AH112</f>
        <v>10</v>
      </c>
    </row>
    <row r="113" spans="1:37" s="41" customFormat="1" ht="30.75" hidden="1" customHeight="1" x14ac:dyDescent="0.2">
      <c r="A113" s="41" t="s">
        <v>2297</v>
      </c>
      <c r="B113" s="69"/>
      <c r="C113" s="65" t="s">
        <v>171</v>
      </c>
      <c r="D113" s="65" t="s">
        <v>172</v>
      </c>
      <c r="E113" s="40"/>
      <c r="F113" s="65" t="s">
        <v>173</v>
      </c>
      <c r="G113" s="40"/>
      <c r="H113" s="65" t="s">
        <v>174</v>
      </c>
      <c r="I113" s="32">
        <v>2001</v>
      </c>
      <c r="J113" s="40"/>
      <c r="K113" s="72"/>
      <c r="L113" s="72"/>
      <c r="M113" s="40"/>
      <c r="N113" s="40"/>
      <c r="O113" s="32" t="s">
        <v>12</v>
      </c>
      <c r="P113" s="251">
        <v>1787500</v>
      </c>
      <c r="Q113" s="61" t="s">
        <v>43</v>
      </c>
      <c r="W113" s="206" t="str">
        <f t="shared" si="84"/>
        <v>2.06.02</v>
      </c>
      <c r="X113" s="207" t="str">
        <f t="shared" si="85"/>
        <v>ALAT RUMAH TANGGA</v>
      </c>
      <c r="Y113" s="207">
        <f t="shared" si="86"/>
        <v>5</v>
      </c>
      <c r="Z113" s="233">
        <f t="shared" si="87"/>
        <v>357498</v>
      </c>
      <c r="AA113" s="208">
        <f t="shared" si="88"/>
        <v>12</v>
      </c>
      <c r="AB113" s="233">
        <f t="shared" si="89"/>
        <v>1787490</v>
      </c>
      <c r="AC113" s="233">
        <f t="shared" si="90"/>
        <v>0</v>
      </c>
      <c r="AD113" s="233">
        <f t="shared" si="91"/>
        <v>0</v>
      </c>
      <c r="AE113" s="233">
        <f t="shared" si="92"/>
        <v>0</v>
      </c>
      <c r="AF113" s="233">
        <f t="shared" si="93"/>
        <v>0</v>
      </c>
      <c r="AG113" s="238">
        <f t="shared" si="94"/>
        <v>0</v>
      </c>
      <c r="AH113" s="238">
        <f t="shared" si="95"/>
        <v>1787490</v>
      </c>
      <c r="AI113" s="209">
        <f t="shared" si="96"/>
        <v>2001</v>
      </c>
      <c r="AJ113" s="210">
        <f t="shared" si="97"/>
        <v>10</v>
      </c>
    </row>
    <row r="114" spans="1:37" s="41" customFormat="1" ht="30.75" hidden="1" customHeight="1" x14ac:dyDescent="0.2">
      <c r="A114" s="41" t="s">
        <v>2297</v>
      </c>
      <c r="B114" s="69"/>
      <c r="C114" s="65" t="s">
        <v>175</v>
      </c>
      <c r="D114" s="65" t="s">
        <v>176</v>
      </c>
      <c r="E114" s="40"/>
      <c r="F114" s="65" t="s">
        <v>177</v>
      </c>
      <c r="G114" s="40"/>
      <c r="H114" s="65" t="s">
        <v>178</v>
      </c>
      <c r="I114" s="32">
        <v>2002</v>
      </c>
      <c r="J114" s="40"/>
      <c r="K114" s="72"/>
      <c r="L114" s="72"/>
      <c r="M114" s="40"/>
      <c r="N114" s="40"/>
      <c r="O114" s="32" t="s">
        <v>12</v>
      </c>
      <c r="P114" s="251">
        <v>552500</v>
      </c>
      <c r="Q114" s="61" t="s">
        <v>43</v>
      </c>
      <c r="W114" s="206" t="str">
        <f t="shared" si="84"/>
        <v>2.06.02</v>
      </c>
      <c r="X114" s="207" t="str">
        <f t="shared" si="85"/>
        <v>ALAT RUMAH TANGGA</v>
      </c>
      <c r="Y114" s="207">
        <f t="shared" si="86"/>
        <v>5</v>
      </c>
      <c r="Z114" s="233">
        <f t="shared" si="87"/>
        <v>110498</v>
      </c>
      <c r="AA114" s="208">
        <f t="shared" si="88"/>
        <v>11</v>
      </c>
      <c r="AB114" s="233">
        <f t="shared" si="89"/>
        <v>552490</v>
      </c>
      <c r="AC114" s="233">
        <f t="shared" si="90"/>
        <v>0</v>
      </c>
      <c r="AD114" s="233">
        <f t="shared" si="91"/>
        <v>0</v>
      </c>
      <c r="AE114" s="233">
        <f t="shared" si="92"/>
        <v>0</v>
      </c>
      <c r="AF114" s="233">
        <f t="shared" si="93"/>
        <v>0</v>
      </c>
      <c r="AG114" s="238">
        <f t="shared" si="94"/>
        <v>0</v>
      </c>
      <c r="AH114" s="238">
        <f t="shared" si="95"/>
        <v>552490</v>
      </c>
      <c r="AI114" s="209">
        <f t="shared" si="96"/>
        <v>2002</v>
      </c>
      <c r="AJ114" s="210">
        <f t="shared" si="97"/>
        <v>10</v>
      </c>
    </row>
    <row r="115" spans="1:37" s="41" customFormat="1" ht="30.75" hidden="1" customHeight="1" x14ac:dyDescent="0.2">
      <c r="A115" s="41" t="s">
        <v>2296</v>
      </c>
      <c r="B115" s="69"/>
      <c r="C115" s="65" t="s">
        <v>179</v>
      </c>
      <c r="D115" s="65" t="s">
        <v>180</v>
      </c>
      <c r="E115" s="40"/>
      <c r="F115" s="65" t="s">
        <v>177</v>
      </c>
      <c r="G115" s="40"/>
      <c r="H115" s="65" t="s">
        <v>181</v>
      </c>
      <c r="I115" s="32">
        <v>2002</v>
      </c>
      <c r="J115" s="40"/>
      <c r="K115" s="72"/>
      <c r="L115" s="72"/>
      <c r="M115" s="40"/>
      <c r="N115" s="40"/>
      <c r="O115" s="32" t="s">
        <v>12</v>
      </c>
      <c r="P115" s="251">
        <v>4420000</v>
      </c>
      <c r="Q115" s="61" t="s">
        <v>43</v>
      </c>
      <c r="W115" s="206" t="str">
        <f t="shared" si="84"/>
        <v>2.06.03</v>
      </c>
      <c r="X115" s="207" t="str">
        <f t="shared" si="85"/>
        <v>KOMPUTER</v>
      </c>
      <c r="Y115" s="207">
        <f t="shared" si="86"/>
        <v>4</v>
      </c>
      <c r="Z115" s="233">
        <f t="shared" si="87"/>
        <v>1104997.5</v>
      </c>
      <c r="AA115" s="208">
        <f t="shared" si="88"/>
        <v>11</v>
      </c>
      <c r="AB115" s="233">
        <f t="shared" si="89"/>
        <v>4419990</v>
      </c>
      <c r="AC115" s="233">
        <f t="shared" si="90"/>
        <v>0</v>
      </c>
      <c r="AD115" s="233">
        <f t="shared" si="91"/>
        <v>0</v>
      </c>
      <c r="AE115" s="233">
        <f t="shared" si="92"/>
        <v>0</v>
      </c>
      <c r="AF115" s="233">
        <f t="shared" si="93"/>
        <v>0</v>
      </c>
      <c r="AG115" s="238">
        <f t="shared" si="94"/>
        <v>0</v>
      </c>
      <c r="AH115" s="238">
        <f t="shared" si="95"/>
        <v>4419990</v>
      </c>
      <c r="AI115" s="209">
        <f t="shared" si="96"/>
        <v>2002</v>
      </c>
      <c r="AJ115" s="210">
        <f t="shared" si="97"/>
        <v>10</v>
      </c>
    </row>
    <row r="116" spans="1:37" s="41" customFormat="1" ht="30.75" customHeight="1" x14ac:dyDescent="0.2">
      <c r="A116" s="41" t="s">
        <v>2296</v>
      </c>
      <c r="B116" s="69"/>
      <c r="C116" s="65" t="s">
        <v>182</v>
      </c>
      <c r="D116" s="65" t="s">
        <v>183</v>
      </c>
      <c r="E116" s="40"/>
      <c r="F116" s="65" t="s">
        <v>184</v>
      </c>
      <c r="G116" s="40"/>
      <c r="H116" s="65" t="s">
        <v>174</v>
      </c>
      <c r="I116" s="32">
        <v>2002</v>
      </c>
      <c r="J116" s="40"/>
      <c r="K116" s="72"/>
      <c r="L116" s="72"/>
      <c r="M116" s="40"/>
      <c r="N116" s="40"/>
      <c r="O116" s="32" t="s">
        <v>12</v>
      </c>
      <c r="P116" s="251">
        <v>269750</v>
      </c>
      <c r="Q116" s="61" t="s">
        <v>43</v>
      </c>
      <c r="V116" s="41" t="s">
        <v>2615</v>
      </c>
      <c r="W116" s="206" t="str">
        <f t="shared" si="84"/>
        <v>2.06.03</v>
      </c>
      <c r="X116" s="207" t="str">
        <f t="shared" si="85"/>
        <v>KOMPUTER</v>
      </c>
      <c r="Y116" s="207">
        <f t="shared" si="86"/>
        <v>4</v>
      </c>
      <c r="Z116" s="233">
        <f t="shared" si="87"/>
        <v>67435</v>
      </c>
      <c r="AA116" s="208">
        <f t="shared" si="88"/>
        <v>11</v>
      </c>
      <c r="AB116" s="233">
        <f t="shared" si="89"/>
        <v>269740</v>
      </c>
      <c r="AC116" s="233">
        <f t="shared" si="90"/>
        <v>0</v>
      </c>
      <c r="AD116" s="233">
        <f t="shared" si="91"/>
        <v>0</v>
      </c>
      <c r="AE116" s="233">
        <f t="shared" si="92"/>
        <v>0</v>
      </c>
      <c r="AF116" s="233">
        <f t="shared" si="93"/>
        <v>0</v>
      </c>
      <c r="AG116" s="238">
        <f t="shared" si="94"/>
        <v>0</v>
      </c>
      <c r="AH116" s="238">
        <f t="shared" si="95"/>
        <v>269740</v>
      </c>
      <c r="AI116" s="209">
        <f t="shared" si="96"/>
        <v>2002</v>
      </c>
      <c r="AJ116" s="210">
        <f t="shared" si="97"/>
        <v>10</v>
      </c>
      <c r="AK116" s="285">
        <f>AH116-AG116</f>
        <v>269740</v>
      </c>
    </row>
    <row r="117" spans="1:37" s="41" customFormat="1" ht="30.75" customHeight="1" x14ac:dyDescent="0.2">
      <c r="A117" s="41" t="s">
        <v>2297</v>
      </c>
      <c r="B117" s="69"/>
      <c r="C117" s="65" t="s">
        <v>185</v>
      </c>
      <c r="D117" s="65" t="s">
        <v>186</v>
      </c>
      <c r="E117" s="40"/>
      <c r="F117" s="65" t="s">
        <v>187</v>
      </c>
      <c r="G117" s="40"/>
      <c r="H117" s="65" t="s">
        <v>181</v>
      </c>
      <c r="I117" s="32">
        <v>2002</v>
      </c>
      <c r="J117" s="40"/>
      <c r="K117" s="72"/>
      <c r="L117" s="72"/>
      <c r="M117" s="40"/>
      <c r="N117" s="40"/>
      <c r="O117" s="32" t="s">
        <v>12</v>
      </c>
      <c r="P117" s="251">
        <v>81250</v>
      </c>
      <c r="Q117" s="61" t="s">
        <v>43</v>
      </c>
      <c r="V117" s="41" t="s">
        <v>2615</v>
      </c>
      <c r="W117" s="206" t="str">
        <f t="shared" si="84"/>
        <v>2.06.02</v>
      </c>
      <c r="X117" s="207" t="str">
        <f t="shared" si="85"/>
        <v>ALAT RUMAH TANGGA</v>
      </c>
      <c r="Y117" s="207">
        <f t="shared" si="86"/>
        <v>5</v>
      </c>
      <c r="Z117" s="233">
        <f t="shared" si="87"/>
        <v>16248</v>
      </c>
      <c r="AA117" s="208">
        <f t="shared" si="88"/>
        <v>11</v>
      </c>
      <c r="AB117" s="233">
        <f t="shared" si="89"/>
        <v>81240</v>
      </c>
      <c r="AC117" s="233">
        <f t="shared" si="90"/>
        <v>0</v>
      </c>
      <c r="AD117" s="233">
        <f t="shared" si="91"/>
        <v>0</v>
      </c>
      <c r="AE117" s="233">
        <f t="shared" si="92"/>
        <v>0</v>
      </c>
      <c r="AF117" s="233">
        <f t="shared" si="93"/>
        <v>0</v>
      </c>
      <c r="AG117" s="238">
        <f t="shared" si="94"/>
        <v>0</v>
      </c>
      <c r="AH117" s="238">
        <f t="shared" si="95"/>
        <v>81240</v>
      </c>
      <c r="AI117" s="209">
        <f t="shared" si="96"/>
        <v>2002</v>
      </c>
      <c r="AJ117" s="210">
        <f t="shared" si="97"/>
        <v>10</v>
      </c>
      <c r="AK117" s="285">
        <f>AH117-AG117</f>
        <v>81240</v>
      </c>
    </row>
    <row r="118" spans="1:37" s="41" customFormat="1" ht="30.75" hidden="1" customHeight="1" x14ac:dyDescent="0.2">
      <c r="A118" s="41" t="s">
        <v>2297</v>
      </c>
      <c r="B118" s="69"/>
      <c r="C118" s="65" t="s">
        <v>171</v>
      </c>
      <c r="D118" s="65" t="s">
        <v>172</v>
      </c>
      <c r="E118" s="40"/>
      <c r="F118" s="65" t="s">
        <v>173</v>
      </c>
      <c r="G118" s="40"/>
      <c r="H118" s="65" t="s">
        <v>174</v>
      </c>
      <c r="I118" s="32">
        <v>2002</v>
      </c>
      <c r="J118" s="40"/>
      <c r="K118" s="72"/>
      <c r="L118" s="72"/>
      <c r="M118" s="40"/>
      <c r="N118" s="40"/>
      <c r="O118" s="32" t="s">
        <v>12</v>
      </c>
      <c r="P118" s="251">
        <v>1625000</v>
      </c>
      <c r="Q118" s="61" t="s">
        <v>43</v>
      </c>
      <c r="W118" s="206" t="str">
        <f t="shared" si="84"/>
        <v>2.06.02</v>
      </c>
      <c r="X118" s="207" t="str">
        <f t="shared" si="85"/>
        <v>ALAT RUMAH TANGGA</v>
      </c>
      <c r="Y118" s="207">
        <f t="shared" si="86"/>
        <v>5</v>
      </c>
      <c r="Z118" s="233">
        <f t="shared" si="87"/>
        <v>324998</v>
      </c>
      <c r="AA118" s="208">
        <f t="shared" si="88"/>
        <v>11</v>
      </c>
      <c r="AB118" s="233">
        <f t="shared" si="89"/>
        <v>1624990</v>
      </c>
      <c r="AC118" s="233">
        <f t="shared" si="90"/>
        <v>0</v>
      </c>
      <c r="AD118" s="233">
        <f t="shared" si="91"/>
        <v>0</v>
      </c>
      <c r="AE118" s="233">
        <f t="shared" si="92"/>
        <v>0</v>
      </c>
      <c r="AF118" s="233">
        <f t="shared" si="93"/>
        <v>0</v>
      </c>
      <c r="AG118" s="238">
        <f t="shared" si="94"/>
        <v>0</v>
      </c>
      <c r="AH118" s="238">
        <f t="shared" si="95"/>
        <v>1624990</v>
      </c>
      <c r="AI118" s="209">
        <f t="shared" si="96"/>
        <v>2002</v>
      </c>
      <c r="AJ118" s="210">
        <f t="shared" si="97"/>
        <v>10</v>
      </c>
    </row>
    <row r="119" spans="1:37" s="41" customFormat="1" ht="30.75" hidden="1" customHeight="1" x14ac:dyDescent="0.2">
      <c r="A119" s="41" t="s">
        <v>2297</v>
      </c>
      <c r="B119" s="69"/>
      <c r="C119" s="65" t="s">
        <v>171</v>
      </c>
      <c r="D119" s="65" t="s">
        <v>172</v>
      </c>
      <c r="E119" s="40"/>
      <c r="F119" s="65" t="s">
        <v>173</v>
      </c>
      <c r="G119" s="40"/>
      <c r="H119" s="65" t="s">
        <v>174</v>
      </c>
      <c r="I119" s="32">
        <v>2002</v>
      </c>
      <c r="J119" s="40"/>
      <c r="K119" s="72"/>
      <c r="L119" s="72"/>
      <c r="M119" s="40"/>
      <c r="N119" s="40"/>
      <c r="O119" s="32" t="s">
        <v>12</v>
      </c>
      <c r="P119" s="251">
        <v>1625000</v>
      </c>
      <c r="Q119" s="61"/>
      <c r="W119" s="206" t="str">
        <f t="shared" si="84"/>
        <v>2.06.02</v>
      </c>
      <c r="X119" s="207" t="str">
        <f t="shared" si="85"/>
        <v>ALAT RUMAH TANGGA</v>
      </c>
      <c r="Y119" s="207">
        <f t="shared" si="86"/>
        <v>5</v>
      </c>
      <c r="Z119" s="233">
        <f t="shared" si="87"/>
        <v>324998</v>
      </c>
      <c r="AA119" s="208">
        <f t="shared" si="88"/>
        <v>11</v>
      </c>
      <c r="AB119" s="233">
        <f t="shared" si="89"/>
        <v>1624990</v>
      </c>
      <c r="AC119" s="233">
        <f t="shared" si="90"/>
        <v>0</v>
      </c>
      <c r="AD119" s="233">
        <f t="shared" si="91"/>
        <v>0</v>
      </c>
      <c r="AE119" s="233">
        <f t="shared" si="92"/>
        <v>0</v>
      </c>
      <c r="AF119" s="233">
        <f t="shared" si="93"/>
        <v>0</v>
      </c>
      <c r="AG119" s="238">
        <f t="shared" si="94"/>
        <v>0</v>
      </c>
      <c r="AH119" s="238">
        <f t="shared" si="95"/>
        <v>1624990</v>
      </c>
      <c r="AI119" s="209">
        <f t="shared" si="96"/>
        <v>2002</v>
      </c>
      <c r="AJ119" s="210">
        <f t="shared" si="97"/>
        <v>10</v>
      </c>
    </row>
    <row r="120" spans="1:37" s="41" customFormat="1" ht="30.75" hidden="1" customHeight="1" x14ac:dyDescent="0.2">
      <c r="A120" s="41" t="s">
        <v>2297</v>
      </c>
      <c r="B120" s="69"/>
      <c r="C120" s="65" t="s">
        <v>188</v>
      </c>
      <c r="D120" s="65" t="s">
        <v>189</v>
      </c>
      <c r="E120" s="40"/>
      <c r="F120" s="65" t="s">
        <v>190</v>
      </c>
      <c r="G120" s="40"/>
      <c r="H120" s="65" t="s">
        <v>191</v>
      </c>
      <c r="I120" s="32">
        <v>2002</v>
      </c>
      <c r="J120" s="40"/>
      <c r="K120" s="72"/>
      <c r="L120" s="72"/>
      <c r="M120" s="40"/>
      <c r="N120" s="40"/>
      <c r="O120" s="32" t="s">
        <v>12</v>
      </c>
      <c r="P120" s="251">
        <v>595000</v>
      </c>
      <c r="Q120" s="61" t="s">
        <v>43</v>
      </c>
      <c r="W120" s="206" t="str">
        <f t="shared" si="84"/>
        <v>2.06.02</v>
      </c>
      <c r="X120" s="207" t="str">
        <f t="shared" si="85"/>
        <v>ALAT RUMAH TANGGA</v>
      </c>
      <c r="Y120" s="207">
        <f t="shared" si="86"/>
        <v>5</v>
      </c>
      <c r="Z120" s="233">
        <f t="shared" si="87"/>
        <v>118998</v>
      </c>
      <c r="AA120" s="208">
        <f t="shared" si="88"/>
        <v>11</v>
      </c>
      <c r="AB120" s="233">
        <f t="shared" si="89"/>
        <v>594990</v>
      </c>
      <c r="AC120" s="233">
        <f t="shared" si="90"/>
        <v>0</v>
      </c>
      <c r="AD120" s="233">
        <f t="shared" si="91"/>
        <v>0</v>
      </c>
      <c r="AE120" s="233">
        <f t="shared" si="92"/>
        <v>0</v>
      </c>
      <c r="AF120" s="233">
        <f t="shared" si="93"/>
        <v>0</v>
      </c>
      <c r="AG120" s="238">
        <f t="shared" si="94"/>
        <v>0</v>
      </c>
      <c r="AH120" s="238">
        <f t="shared" si="95"/>
        <v>594990</v>
      </c>
      <c r="AI120" s="209">
        <f t="shared" si="96"/>
        <v>2002</v>
      </c>
      <c r="AJ120" s="210">
        <f t="shared" si="97"/>
        <v>10</v>
      </c>
    </row>
    <row r="121" spans="1:37" s="41" customFormat="1" ht="30.75" hidden="1" customHeight="1" x14ac:dyDescent="0.2">
      <c r="A121" s="41" t="s">
        <v>2297</v>
      </c>
      <c r="B121" s="69"/>
      <c r="C121" s="65" t="s">
        <v>188</v>
      </c>
      <c r="D121" s="65" t="s">
        <v>189</v>
      </c>
      <c r="E121" s="40"/>
      <c r="F121" s="65" t="s">
        <v>192</v>
      </c>
      <c r="G121" s="40"/>
      <c r="H121" s="65" t="s">
        <v>193</v>
      </c>
      <c r="I121" s="32">
        <v>2003</v>
      </c>
      <c r="J121" s="40"/>
      <c r="K121" s="72"/>
      <c r="L121" s="72"/>
      <c r="M121" s="40"/>
      <c r="N121" s="40"/>
      <c r="O121" s="32" t="s">
        <v>12</v>
      </c>
      <c r="P121" s="251">
        <v>1050000</v>
      </c>
      <c r="Q121" s="61" t="s">
        <v>43</v>
      </c>
      <c r="W121" s="206" t="str">
        <f t="shared" si="84"/>
        <v>2.06.02</v>
      </c>
      <c r="X121" s="207" t="str">
        <f t="shared" si="85"/>
        <v>ALAT RUMAH TANGGA</v>
      </c>
      <c r="Y121" s="207">
        <f t="shared" si="86"/>
        <v>5</v>
      </c>
      <c r="Z121" s="233">
        <f t="shared" si="87"/>
        <v>209998</v>
      </c>
      <c r="AA121" s="208">
        <f t="shared" si="88"/>
        <v>10</v>
      </c>
      <c r="AB121" s="233">
        <f t="shared" si="89"/>
        <v>1049990</v>
      </c>
      <c r="AC121" s="233">
        <f t="shared" si="90"/>
        <v>0</v>
      </c>
      <c r="AD121" s="233">
        <f t="shared" si="91"/>
        <v>0</v>
      </c>
      <c r="AE121" s="233">
        <f t="shared" si="92"/>
        <v>0</v>
      </c>
      <c r="AF121" s="233">
        <f t="shared" si="93"/>
        <v>0</v>
      </c>
      <c r="AG121" s="238">
        <f t="shared" si="94"/>
        <v>0</v>
      </c>
      <c r="AH121" s="238">
        <f t="shared" si="95"/>
        <v>1049990</v>
      </c>
      <c r="AI121" s="209">
        <f t="shared" si="96"/>
        <v>2003</v>
      </c>
      <c r="AJ121" s="210">
        <f t="shared" si="97"/>
        <v>10</v>
      </c>
    </row>
    <row r="122" spans="1:37" s="41" customFormat="1" ht="30.75" hidden="1" customHeight="1" x14ac:dyDescent="0.2">
      <c r="A122" s="41" t="s">
        <v>2297</v>
      </c>
      <c r="B122" s="69"/>
      <c r="C122" s="65" t="s">
        <v>171</v>
      </c>
      <c r="D122" s="65" t="s">
        <v>172</v>
      </c>
      <c r="E122" s="40"/>
      <c r="F122" s="65" t="s">
        <v>194</v>
      </c>
      <c r="G122" s="40"/>
      <c r="H122" s="65" t="s">
        <v>174</v>
      </c>
      <c r="I122" s="32">
        <v>2003</v>
      </c>
      <c r="J122" s="40"/>
      <c r="K122" s="72"/>
      <c r="L122" s="72"/>
      <c r="M122" s="40"/>
      <c r="N122" s="40"/>
      <c r="O122" s="32" t="s">
        <v>12</v>
      </c>
      <c r="P122" s="251">
        <v>3439200</v>
      </c>
      <c r="Q122" s="61" t="s">
        <v>43</v>
      </c>
      <c r="W122" s="206" t="str">
        <f t="shared" si="84"/>
        <v>2.06.02</v>
      </c>
      <c r="X122" s="207" t="str">
        <f t="shared" si="85"/>
        <v>ALAT RUMAH TANGGA</v>
      </c>
      <c r="Y122" s="207">
        <f t="shared" si="86"/>
        <v>5</v>
      </c>
      <c r="Z122" s="233">
        <f t="shared" si="87"/>
        <v>687838</v>
      </c>
      <c r="AA122" s="208">
        <f t="shared" si="88"/>
        <v>10</v>
      </c>
      <c r="AB122" s="233">
        <f t="shared" si="89"/>
        <v>3439190</v>
      </c>
      <c r="AC122" s="233">
        <f t="shared" si="90"/>
        <v>0</v>
      </c>
      <c r="AD122" s="233">
        <f t="shared" si="91"/>
        <v>0</v>
      </c>
      <c r="AE122" s="233">
        <f t="shared" si="92"/>
        <v>0</v>
      </c>
      <c r="AF122" s="233">
        <f t="shared" si="93"/>
        <v>0</v>
      </c>
      <c r="AG122" s="238">
        <f t="shared" si="94"/>
        <v>0</v>
      </c>
      <c r="AH122" s="238">
        <f t="shared" si="95"/>
        <v>3439190</v>
      </c>
      <c r="AI122" s="209">
        <f t="shared" si="96"/>
        <v>2003</v>
      </c>
      <c r="AJ122" s="210">
        <f t="shared" si="97"/>
        <v>10</v>
      </c>
    </row>
    <row r="123" spans="1:37" s="41" customFormat="1" ht="30.75" hidden="1" customHeight="1" x14ac:dyDescent="0.2">
      <c r="A123" s="41" t="s">
        <v>2296</v>
      </c>
      <c r="B123" s="69"/>
      <c r="C123" s="65" t="s">
        <v>179</v>
      </c>
      <c r="D123" s="65" t="s">
        <v>180</v>
      </c>
      <c r="E123" s="40"/>
      <c r="F123" s="65" t="s">
        <v>173</v>
      </c>
      <c r="G123" s="40"/>
      <c r="H123" s="65" t="s">
        <v>181</v>
      </c>
      <c r="I123" s="32">
        <v>2003</v>
      </c>
      <c r="J123" s="40"/>
      <c r="K123" s="72"/>
      <c r="L123" s="72"/>
      <c r="M123" s="40"/>
      <c r="N123" s="40"/>
      <c r="O123" s="32" t="s">
        <v>12</v>
      </c>
      <c r="P123" s="251">
        <v>3500000</v>
      </c>
      <c r="Q123" s="61" t="s">
        <v>43</v>
      </c>
      <c r="W123" s="206" t="str">
        <f t="shared" si="84"/>
        <v>2.06.03</v>
      </c>
      <c r="X123" s="207" t="str">
        <f t="shared" si="85"/>
        <v>KOMPUTER</v>
      </c>
      <c r="Y123" s="207">
        <f t="shared" si="86"/>
        <v>4</v>
      </c>
      <c r="Z123" s="233">
        <f t="shared" si="87"/>
        <v>874997.5</v>
      </c>
      <c r="AA123" s="208">
        <f t="shared" si="88"/>
        <v>10</v>
      </c>
      <c r="AB123" s="233">
        <f t="shared" si="89"/>
        <v>3499990</v>
      </c>
      <c r="AC123" s="233">
        <f t="shared" si="90"/>
        <v>0</v>
      </c>
      <c r="AD123" s="233">
        <f t="shared" si="91"/>
        <v>0</v>
      </c>
      <c r="AE123" s="233">
        <f t="shared" si="92"/>
        <v>0</v>
      </c>
      <c r="AF123" s="233">
        <f t="shared" si="93"/>
        <v>0</v>
      </c>
      <c r="AG123" s="238">
        <f t="shared" si="94"/>
        <v>0</v>
      </c>
      <c r="AH123" s="238">
        <f t="shared" si="95"/>
        <v>3499990</v>
      </c>
      <c r="AI123" s="209">
        <f t="shared" si="96"/>
        <v>2003</v>
      </c>
      <c r="AJ123" s="210">
        <f t="shared" si="97"/>
        <v>10</v>
      </c>
    </row>
    <row r="124" spans="1:37" s="41" customFormat="1" ht="30.75" customHeight="1" x14ac:dyDescent="0.2">
      <c r="A124" s="41" t="s">
        <v>2296</v>
      </c>
      <c r="B124" s="69"/>
      <c r="C124" s="65" t="s">
        <v>182</v>
      </c>
      <c r="D124" s="65" t="s">
        <v>183</v>
      </c>
      <c r="E124" s="40"/>
      <c r="F124" s="65" t="s">
        <v>195</v>
      </c>
      <c r="G124" s="40"/>
      <c r="H124" s="65" t="s">
        <v>174</v>
      </c>
      <c r="I124" s="32">
        <v>2003</v>
      </c>
      <c r="J124" s="40"/>
      <c r="K124" s="72"/>
      <c r="L124" s="72"/>
      <c r="M124" s="40"/>
      <c r="N124" s="40"/>
      <c r="O124" s="32" t="s">
        <v>12</v>
      </c>
      <c r="P124" s="251">
        <v>245000</v>
      </c>
      <c r="Q124" s="61" t="s">
        <v>43</v>
      </c>
      <c r="V124" s="41" t="s">
        <v>2615</v>
      </c>
      <c r="W124" s="206" t="str">
        <f t="shared" si="84"/>
        <v>2.06.03</v>
      </c>
      <c r="X124" s="207" t="str">
        <f t="shared" si="85"/>
        <v>KOMPUTER</v>
      </c>
      <c r="Y124" s="207">
        <f t="shared" si="86"/>
        <v>4</v>
      </c>
      <c r="Z124" s="233">
        <f t="shared" si="87"/>
        <v>61247.5</v>
      </c>
      <c r="AA124" s="208">
        <f t="shared" si="88"/>
        <v>10</v>
      </c>
      <c r="AB124" s="233">
        <f t="shared" si="89"/>
        <v>244990</v>
      </c>
      <c r="AC124" s="233">
        <f t="shared" si="90"/>
        <v>0</v>
      </c>
      <c r="AD124" s="233">
        <f t="shared" si="91"/>
        <v>0</v>
      </c>
      <c r="AE124" s="233">
        <f t="shared" si="92"/>
        <v>0</v>
      </c>
      <c r="AF124" s="233">
        <f t="shared" si="93"/>
        <v>0</v>
      </c>
      <c r="AG124" s="238">
        <f t="shared" si="94"/>
        <v>0</v>
      </c>
      <c r="AH124" s="238">
        <f t="shared" si="95"/>
        <v>244990</v>
      </c>
      <c r="AI124" s="209">
        <f t="shared" si="96"/>
        <v>2003</v>
      </c>
      <c r="AJ124" s="210">
        <f t="shared" si="97"/>
        <v>10</v>
      </c>
      <c r="AK124" s="285">
        <f>AH124-AG124</f>
        <v>244990</v>
      </c>
    </row>
    <row r="125" spans="1:37" s="41" customFormat="1" ht="30.75" hidden="1" customHeight="1" x14ac:dyDescent="0.2">
      <c r="A125" s="41" t="s">
        <v>2296</v>
      </c>
      <c r="B125" s="69"/>
      <c r="C125" s="65" t="s">
        <v>179</v>
      </c>
      <c r="D125" s="65" t="s">
        <v>180</v>
      </c>
      <c r="E125" s="40"/>
      <c r="F125" s="65" t="s">
        <v>173</v>
      </c>
      <c r="G125" s="40"/>
      <c r="H125" s="65" t="s">
        <v>181</v>
      </c>
      <c r="I125" s="32">
        <v>2003</v>
      </c>
      <c r="J125" s="40"/>
      <c r="K125" s="72"/>
      <c r="L125" s="72"/>
      <c r="M125" s="40"/>
      <c r="N125" s="40"/>
      <c r="O125" s="32" t="s">
        <v>12</v>
      </c>
      <c r="P125" s="251">
        <v>3500000</v>
      </c>
      <c r="Q125" s="61" t="s">
        <v>43</v>
      </c>
      <c r="W125" s="206" t="str">
        <f t="shared" si="84"/>
        <v>2.06.03</v>
      </c>
      <c r="X125" s="207" t="str">
        <f t="shared" si="85"/>
        <v>KOMPUTER</v>
      </c>
      <c r="Y125" s="207">
        <f t="shared" si="86"/>
        <v>4</v>
      </c>
      <c r="Z125" s="233">
        <f t="shared" si="87"/>
        <v>874997.5</v>
      </c>
      <c r="AA125" s="208">
        <f t="shared" si="88"/>
        <v>10</v>
      </c>
      <c r="AB125" s="233">
        <f t="shared" si="89"/>
        <v>3499990</v>
      </c>
      <c r="AC125" s="233">
        <f t="shared" si="90"/>
        <v>0</v>
      </c>
      <c r="AD125" s="233">
        <f t="shared" si="91"/>
        <v>0</v>
      </c>
      <c r="AE125" s="233">
        <f t="shared" si="92"/>
        <v>0</v>
      </c>
      <c r="AF125" s="233">
        <f t="shared" si="93"/>
        <v>0</v>
      </c>
      <c r="AG125" s="238">
        <f t="shared" si="94"/>
        <v>0</v>
      </c>
      <c r="AH125" s="238">
        <f t="shared" si="95"/>
        <v>3499990</v>
      </c>
      <c r="AI125" s="209">
        <f t="shared" si="96"/>
        <v>2003</v>
      </c>
      <c r="AJ125" s="210">
        <f t="shared" si="97"/>
        <v>10</v>
      </c>
    </row>
    <row r="126" spans="1:37" s="41" customFormat="1" ht="30.75" customHeight="1" x14ac:dyDescent="0.2">
      <c r="A126" s="41" t="s">
        <v>2296</v>
      </c>
      <c r="B126" s="69"/>
      <c r="C126" s="65" t="s">
        <v>182</v>
      </c>
      <c r="D126" s="65" t="s">
        <v>183</v>
      </c>
      <c r="E126" s="40"/>
      <c r="F126" s="65" t="s">
        <v>196</v>
      </c>
      <c r="G126" s="40"/>
      <c r="H126" s="65" t="s">
        <v>174</v>
      </c>
      <c r="I126" s="32">
        <v>2003</v>
      </c>
      <c r="J126" s="40"/>
      <c r="K126" s="72"/>
      <c r="L126" s="72"/>
      <c r="M126" s="40"/>
      <c r="N126" s="40"/>
      <c r="O126" s="32" t="s">
        <v>12</v>
      </c>
      <c r="P126" s="251">
        <v>336000</v>
      </c>
      <c r="Q126" s="61" t="s">
        <v>43</v>
      </c>
      <c r="V126" s="41" t="s">
        <v>2615</v>
      </c>
      <c r="W126" s="206" t="str">
        <f t="shared" si="84"/>
        <v>2.06.03</v>
      </c>
      <c r="X126" s="207" t="str">
        <f t="shared" si="85"/>
        <v>KOMPUTER</v>
      </c>
      <c r="Y126" s="207">
        <f t="shared" si="86"/>
        <v>4</v>
      </c>
      <c r="Z126" s="233">
        <f t="shared" si="87"/>
        <v>83997.5</v>
      </c>
      <c r="AA126" s="208">
        <f t="shared" si="88"/>
        <v>10</v>
      </c>
      <c r="AB126" s="233">
        <f t="shared" si="89"/>
        <v>335990</v>
      </c>
      <c r="AC126" s="233">
        <f t="shared" si="90"/>
        <v>0</v>
      </c>
      <c r="AD126" s="233">
        <f t="shared" si="91"/>
        <v>0</v>
      </c>
      <c r="AE126" s="233">
        <f t="shared" si="92"/>
        <v>0</v>
      </c>
      <c r="AF126" s="233">
        <f t="shared" si="93"/>
        <v>0</v>
      </c>
      <c r="AG126" s="238">
        <f t="shared" si="94"/>
        <v>0</v>
      </c>
      <c r="AH126" s="238">
        <f t="shared" si="95"/>
        <v>335990</v>
      </c>
      <c r="AI126" s="209">
        <f t="shared" si="96"/>
        <v>2003</v>
      </c>
      <c r="AJ126" s="210">
        <f t="shared" si="97"/>
        <v>10</v>
      </c>
      <c r="AK126" s="285">
        <f>AH126-AG126</f>
        <v>335990</v>
      </c>
    </row>
    <row r="127" spans="1:37" s="41" customFormat="1" ht="30.75" hidden="1" customHeight="1" x14ac:dyDescent="0.2">
      <c r="A127" s="41" t="s">
        <v>2297</v>
      </c>
      <c r="B127" s="69"/>
      <c r="C127" s="65" t="s">
        <v>197</v>
      </c>
      <c r="D127" s="65" t="s">
        <v>198</v>
      </c>
      <c r="E127" s="40"/>
      <c r="F127" s="65" t="s">
        <v>199</v>
      </c>
      <c r="G127" s="40"/>
      <c r="H127" s="65" t="s">
        <v>200</v>
      </c>
      <c r="I127" s="32">
        <v>2003</v>
      </c>
      <c r="J127" s="40"/>
      <c r="K127" s="72"/>
      <c r="L127" s="72"/>
      <c r="M127" s="40"/>
      <c r="N127" s="40"/>
      <c r="O127" s="32" t="s">
        <v>12</v>
      </c>
      <c r="P127" s="251">
        <v>3780000</v>
      </c>
      <c r="Q127" s="61" t="s">
        <v>43</v>
      </c>
      <c r="W127" s="206" t="str">
        <f t="shared" si="84"/>
        <v>2.06.02</v>
      </c>
      <c r="X127" s="207" t="str">
        <f t="shared" si="85"/>
        <v>ALAT RUMAH TANGGA</v>
      </c>
      <c r="Y127" s="207">
        <f t="shared" si="86"/>
        <v>5</v>
      </c>
      <c r="Z127" s="233">
        <f t="shared" si="87"/>
        <v>755998</v>
      </c>
      <c r="AA127" s="208">
        <f t="shared" si="88"/>
        <v>10</v>
      </c>
      <c r="AB127" s="233">
        <f t="shared" si="89"/>
        <v>3779990</v>
      </c>
      <c r="AC127" s="233">
        <f t="shared" si="90"/>
        <v>0</v>
      </c>
      <c r="AD127" s="233">
        <f t="shared" si="91"/>
        <v>0</v>
      </c>
      <c r="AE127" s="233">
        <f t="shared" si="92"/>
        <v>0</v>
      </c>
      <c r="AF127" s="233">
        <f t="shared" si="93"/>
        <v>0</v>
      </c>
      <c r="AG127" s="238">
        <f t="shared" si="94"/>
        <v>0</v>
      </c>
      <c r="AH127" s="238">
        <f t="shared" si="95"/>
        <v>3779990</v>
      </c>
      <c r="AI127" s="209">
        <f t="shared" si="96"/>
        <v>2003</v>
      </c>
      <c r="AJ127" s="210">
        <f t="shared" si="97"/>
        <v>10</v>
      </c>
    </row>
    <row r="128" spans="1:37" s="41" customFormat="1" ht="30.75" hidden="1" customHeight="1" x14ac:dyDescent="0.2">
      <c r="A128" s="41" t="s">
        <v>2297</v>
      </c>
      <c r="B128" s="69"/>
      <c r="C128" s="65" t="s">
        <v>175</v>
      </c>
      <c r="D128" s="65" t="s">
        <v>176</v>
      </c>
      <c r="E128" s="40"/>
      <c r="F128" s="65" t="s">
        <v>201</v>
      </c>
      <c r="G128" s="40"/>
      <c r="H128" s="65" t="s">
        <v>178</v>
      </c>
      <c r="I128" s="32">
        <v>2003</v>
      </c>
      <c r="J128" s="40"/>
      <c r="K128" s="72"/>
      <c r="L128" s="72"/>
      <c r="M128" s="40"/>
      <c r="N128" s="40"/>
      <c r="O128" s="32" t="s">
        <v>12</v>
      </c>
      <c r="P128" s="251">
        <v>700000</v>
      </c>
      <c r="Q128" s="61" t="s">
        <v>43</v>
      </c>
      <c r="W128" s="206" t="str">
        <f t="shared" si="84"/>
        <v>2.06.02</v>
      </c>
      <c r="X128" s="207" t="str">
        <f t="shared" si="85"/>
        <v>ALAT RUMAH TANGGA</v>
      </c>
      <c r="Y128" s="207">
        <f t="shared" si="86"/>
        <v>5</v>
      </c>
      <c r="Z128" s="233">
        <f t="shared" si="87"/>
        <v>139998</v>
      </c>
      <c r="AA128" s="208">
        <f t="shared" si="88"/>
        <v>10</v>
      </c>
      <c r="AB128" s="233">
        <f t="shared" si="89"/>
        <v>699990</v>
      </c>
      <c r="AC128" s="233">
        <f t="shared" si="90"/>
        <v>0</v>
      </c>
      <c r="AD128" s="233">
        <f t="shared" si="91"/>
        <v>0</v>
      </c>
      <c r="AE128" s="233">
        <f t="shared" si="92"/>
        <v>0</v>
      </c>
      <c r="AF128" s="233">
        <f t="shared" si="93"/>
        <v>0</v>
      </c>
      <c r="AG128" s="238">
        <f t="shared" si="94"/>
        <v>0</v>
      </c>
      <c r="AH128" s="238">
        <f t="shared" si="95"/>
        <v>699990</v>
      </c>
      <c r="AI128" s="209">
        <f t="shared" si="96"/>
        <v>2003</v>
      </c>
      <c r="AJ128" s="210">
        <f t="shared" si="97"/>
        <v>10</v>
      </c>
    </row>
    <row r="129" spans="1:37" s="41" customFormat="1" ht="30.75" hidden="1" customHeight="1" x14ac:dyDescent="0.2">
      <c r="A129" s="41" t="s">
        <v>2296</v>
      </c>
      <c r="B129" s="69"/>
      <c r="C129" s="65" t="s">
        <v>179</v>
      </c>
      <c r="D129" s="65" t="s">
        <v>180</v>
      </c>
      <c r="E129" s="40"/>
      <c r="F129" s="65" t="s">
        <v>201</v>
      </c>
      <c r="G129" s="40"/>
      <c r="H129" s="65" t="s">
        <v>181</v>
      </c>
      <c r="I129" s="32">
        <v>2003</v>
      </c>
      <c r="J129" s="40"/>
      <c r="K129" s="72"/>
      <c r="L129" s="72"/>
      <c r="M129" s="40"/>
      <c r="N129" s="40"/>
      <c r="O129" s="32" t="s">
        <v>12</v>
      </c>
      <c r="P129" s="251">
        <v>2240000</v>
      </c>
      <c r="Q129" s="61" t="s">
        <v>43</v>
      </c>
      <c r="W129" s="206" t="str">
        <f t="shared" si="84"/>
        <v>2.06.03</v>
      </c>
      <c r="X129" s="207" t="str">
        <f t="shared" si="85"/>
        <v>KOMPUTER</v>
      </c>
      <c r="Y129" s="207">
        <f t="shared" si="86"/>
        <v>4</v>
      </c>
      <c r="Z129" s="233">
        <f t="shared" si="87"/>
        <v>559997.5</v>
      </c>
      <c r="AA129" s="208">
        <f t="shared" si="88"/>
        <v>10</v>
      </c>
      <c r="AB129" s="233">
        <f t="shared" si="89"/>
        <v>2239990</v>
      </c>
      <c r="AC129" s="233">
        <f t="shared" si="90"/>
        <v>0</v>
      </c>
      <c r="AD129" s="233">
        <f t="shared" si="91"/>
        <v>0</v>
      </c>
      <c r="AE129" s="233">
        <f t="shared" si="92"/>
        <v>0</v>
      </c>
      <c r="AF129" s="233">
        <f t="shared" si="93"/>
        <v>0</v>
      </c>
      <c r="AG129" s="238">
        <f t="shared" si="94"/>
        <v>0</v>
      </c>
      <c r="AH129" s="238">
        <f t="shared" si="95"/>
        <v>2239990</v>
      </c>
      <c r="AI129" s="209">
        <f t="shared" si="96"/>
        <v>2003</v>
      </c>
      <c r="AJ129" s="210">
        <f t="shared" si="97"/>
        <v>10</v>
      </c>
    </row>
    <row r="130" spans="1:37" s="41" customFormat="1" ht="30.75" hidden="1" customHeight="1" x14ac:dyDescent="0.2">
      <c r="A130" s="41" t="s">
        <v>2297</v>
      </c>
      <c r="B130" s="69"/>
      <c r="C130" s="65" t="s">
        <v>202</v>
      </c>
      <c r="D130" s="65" t="s">
        <v>203</v>
      </c>
      <c r="E130" s="40"/>
      <c r="F130" s="65" t="s">
        <v>204</v>
      </c>
      <c r="G130" s="40"/>
      <c r="H130" s="65" t="s">
        <v>174</v>
      </c>
      <c r="I130" s="32">
        <v>2003</v>
      </c>
      <c r="J130" s="40"/>
      <c r="K130" s="72"/>
      <c r="L130" s="72"/>
      <c r="M130" s="40"/>
      <c r="N130" s="40"/>
      <c r="O130" s="32" t="s">
        <v>12</v>
      </c>
      <c r="P130" s="251">
        <v>875000</v>
      </c>
      <c r="Q130" s="61" t="s">
        <v>43</v>
      </c>
      <c r="W130" s="206" t="str">
        <f t="shared" si="84"/>
        <v>2.06.02</v>
      </c>
      <c r="X130" s="207" t="str">
        <f t="shared" si="85"/>
        <v>ALAT RUMAH TANGGA</v>
      </c>
      <c r="Y130" s="207">
        <f t="shared" si="86"/>
        <v>5</v>
      </c>
      <c r="Z130" s="233">
        <f t="shared" si="87"/>
        <v>174998</v>
      </c>
      <c r="AA130" s="208">
        <f t="shared" si="88"/>
        <v>10</v>
      </c>
      <c r="AB130" s="233">
        <f t="shared" si="89"/>
        <v>874990</v>
      </c>
      <c r="AC130" s="233">
        <f t="shared" si="90"/>
        <v>0</v>
      </c>
      <c r="AD130" s="233">
        <f t="shared" si="91"/>
        <v>0</v>
      </c>
      <c r="AE130" s="233">
        <f t="shared" si="92"/>
        <v>0</v>
      </c>
      <c r="AF130" s="233">
        <f t="shared" si="93"/>
        <v>0</v>
      </c>
      <c r="AG130" s="238">
        <f t="shared" si="94"/>
        <v>0</v>
      </c>
      <c r="AH130" s="238">
        <f t="shared" si="95"/>
        <v>874990</v>
      </c>
      <c r="AI130" s="209">
        <f t="shared" si="96"/>
        <v>2003</v>
      </c>
      <c r="AJ130" s="210">
        <f t="shared" si="97"/>
        <v>10</v>
      </c>
    </row>
    <row r="131" spans="1:37" s="41" customFormat="1" ht="30.75" hidden="1" customHeight="1" x14ac:dyDescent="0.2">
      <c r="A131" s="41" t="s">
        <v>2296</v>
      </c>
      <c r="B131" s="69"/>
      <c r="C131" s="65" t="s">
        <v>182</v>
      </c>
      <c r="D131" s="65" t="s">
        <v>183</v>
      </c>
      <c r="E131" s="40"/>
      <c r="F131" s="65" t="s">
        <v>184</v>
      </c>
      <c r="G131" s="40"/>
      <c r="H131" s="65" t="s">
        <v>174</v>
      </c>
      <c r="I131" s="32">
        <v>2003</v>
      </c>
      <c r="J131" s="40"/>
      <c r="K131" s="72"/>
      <c r="L131" s="72"/>
      <c r="M131" s="40"/>
      <c r="N131" s="40"/>
      <c r="O131" s="32" t="s">
        <v>12</v>
      </c>
      <c r="P131" s="251">
        <v>745000</v>
      </c>
      <c r="Q131" s="61" t="s">
        <v>43</v>
      </c>
      <c r="W131" s="206" t="str">
        <f t="shared" si="84"/>
        <v>2.06.03</v>
      </c>
      <c r="X131" s="207" t="str">
        <f t="shared" si="85"/>
        <v>KOMPUTER</v>
      </c>
      <c r="Y131" s="207">
        <f t="shared" si="86"/>
        <v>4</v>
      </c>
      <c r="Z131" s="233">
        <f t="shared" si="87"/>
        <v>186247.5</v>
      </c>
      <c r="AA131" s="208">
        <f t="shared" si="88"/>
        <v>10</v>
      </c>
      <c r="AB131" s="233">
        <f t="shared" si="89"/>
        <v>744990</v>
      </c>
      <c r="AC131" s="233">
        <f t="shared" si="90"/>
        <v>0</v>
      </c>
      <c r="AD131" s="233">
        <f t="shared" si="91"/>
        <v>0</v>
      </c>
      <c r="AE131" s="233">
        <f t="shared" si="92"/>
        <v>0</v>
      </c>
      <c r="AF131" s="233">
        <f t="shared" si="93"/>
        <v>0</v>
      </c>
      <c r="AG131" s="238">
        <f t="shared" si="94"/>
        <v>0</v>
      </c>
      <c r="AH131" s="238">
        <f t="shared" si="95"/>
        <v>744990</v>
      </c>
      <c r="AI131" s="209">
        <f t="shared" si="96"/>
        <v>2003</v>
      </c>
      <c r="AJ131" s="210">
        <f t="shared" si="97"/>
        <v>10</v>
      </c>
    </row>
    <row r="132" spans="1:37" s="41" customFormat="1" ht="30.75" hidden="1" customHeight="1" x14ac:dyDescent="0.2">
      <c r="A132" s="41" t="s">
        <v>2297</v>
      </c>
      <c r="B132" s="69"/>
      <c r="C132" s="65" t="s">
        <v>175</v>
      </c>
      <c r="D132" s="65" t="s">
        <v>176</v>
      </c>
      <c r="E132" s="40"/>
      <c r="F132" s="65" t="s">
        <v>205</v>
      </c>
      <c r="G132" s="40"/>
      <c r="H132" s="65" t="s">
        <v>178</v>
      </c>
      <c r="I132" s="32">
        <v>2003</v>
      </c>
      <c r="J132" s="40"/>
      <c r="K132" s="72"/>
      <c r="L132" s="72"/>
      <c r="M132" s="40"/>
      <c r="N132" s="40"/>
      <c r="O132" s="32" t="s">
        <v>12</v>
      </c>
      <c r="P132" s="251">
        <v>595000</v>
      </c>
      <c r="Q132" s="61" t="s">
        <v>43</v>
      </c>
      <c r="W132" s="206" t="str">
        <f t="shared" si="84"/>
        <v>2.06.02</v>
      </c>
      <c r="X132" s="207" t="str">
        <f t="shared" si="85"/>
        <v>ALAT RUMAH TANGGA</v>
      </c>
      <c r="Y132" s="207">
        <f t="shared" si="86"/>
        <v>5</v>
      </c>
      <c r="Z132" s="233">
        <f t="shared" si="87"/>
        <v>118998</v>
      </c>
      <c r="AA132" s="208">
        <f t="shared" si="88"/>
        <v>10</v>
      </c>
      <c r="AB132" s="233">
        <f t="shared" si="89"/>
        <v>594990</v>
      </c>
      <c r="AC132" s="233">
        <f t="shared" si="90"/>
        <v>0</v>
      </c>
      <c r="AD132" s="233">
        <f t="shared" si="91"/>
        <v>0</v>
      </c>
      <c r="AE132" s="233">
        <f t="shared" si="92"/>
        <v>0</v>
      </c>
      <c r="AF132" s="233">
        <f t="shared" si="93"/>
        <v>0</v>
      </c>
      <c r="AG132" s="238">
        <f t="shared" si="94"/>
        <v>0</v>
      </c>
      <c r="AH132" s="238">
        <f t="shared" si="95"/>
        <v>594990</v>
      </c>
      <c r="AI132" s="209">
        <f t="shared" si="96"/>
        <v>2003</v>
      </c>
      <c r="AJ132" s="210">
        <f t="shared" si="97"/>
        <v>10</v>
      </c>
    </row>
    <row r="133" spans="1:37" s="41" customFormat="1" ht="30.75" hidden="1" customHeight="1" x14ac:dyDescent="0.2">
      <c r="A133" s="41" t="s">
        <v>2296</v>
      </c>
      <c r="B133" s="69"/>
      <c r="C133" s="65" t="s">
        <v>179</v>
      </c>
      <c r="D133" s="65" t="s">
        <v>180</v>
      </c>
      <c r="E133" s="40"/>
      <c r="F133" s="65" t="s">
        <v>206</v>
      </c>
      <c r="G133" s="40"/>
      <c r="H133" s="65" t="s">
        <v>181</v>
      </c>
      <c r="I133" s="32">
        <v>2003</v>
      </c>
      <c r="J133" s="40"/>
      <c r="K133" s="72"/>
      <c r="L133" s="72"/>
      <c r="M133" s="40"/>
      <c r="N133" s="40"/>
      <c r="O133" s="32" t="s">
        <v>12</v>
      </c>
      <c r="P133" s="251">
        <v>2240000</v>
      </c>
      <c r="Q133" s="61" t="s">
        <v>43</v>
      </c>
      <c r="W133" s="206" t="str">
        <f t="shared" si="84"/>
        <v>2.06.03</v>
      </c>
      <c r="X133" s="207" t="str">
        <f t="shared" si="85"/>
        <v>KOMPUTER</v>
      </c>
      <c r="Y133" s="207">
        <f t="shared" si="86"/>
        <v>4</v>
      </c>
      <c r="Z133" s="233">
        <f t="shared" si="87"/>
        <v>559997.5</v>
      </c>
      <c r="AA133" s="208">
        <f t="shared" si="88"/>
        <v>10</v>
      </c>
      <c r="AB133" s="233">
        <f t="shared" si="89"/>
        <v>2239990</v>
      </c>
      <c r="AC133" s="233">
        <f t="shared" si="90"/>
        <v>0</v>
      </c>
      <c r="AD133" s="233">
        <f t="shared" si="91"/>
        <v>0</v>
      </c>
      <c r="AE133" s="233">
        <f t="shared" si="92"/>
        <v>0</v>
      </c>
      <c r="AF133" s="233">
        <f t="shared" si="93"/>
        <v>0</v>
      </c>
      <c r="AG133" s="238">
        <f t="shared" si="94"/>
        <v>0</v>
      </c>
      <c r="AH133" s="238">
        <f t="shared" si="95"/>
        <v>2239990</v>
      </c>
      <c r="AI133" s="209">
        <f t="shared" si="96"/>
        <v>2003</v>
      </c>
      <c r="AJ133" s="210">
        <f t="shared" si="97"/>
        <v>10</v>
      </c>
    </row>
    <row r="134" spans="1:37" s="41" customFormat="1" ht="30.75" customHeight="1" x14ac:dyDescent="0.2">
      <c r="A134" s="41" t="s">
        <v>2297</v>
      </c>
      <c r="B134" s="69"/>
      <c r="C134" s="65" t="s">
        <v>175</v>
      </c>
      <c r="D134" s="65" t="s">
        <v>176</v>
      </c>
      <c r="E134" s="40"/>
      <c r="F134" s="65" t="s">
        <v>205</v>
      </c>
      <c r="G134" s="40"/>
      <c r="H134" s="65" t="s">
        <v>178</v>
      </c>
      <c r="I134" s="32">
        <v>2003</v>
      </c>
      <c r="J134" s="40"/>
      <c r="K134" s="72"/>
      <c r="L134" s="72"/>
      <c r="M134" s="40"/>
      <c r="N134" s="40"/>
      <c r="O134" s="32" t="s">
        <v>12</v>
      </c>
      <c r="P134" s="251">
        <v>340000</v>
      </c>
      <c r="Q134" s="61" t="s">
        <v>43</v>
      </c>
      <c r="V134" s="41" t="s">
        <v>2615</v>
      </c>
      <c r="W134" s="206" t="str">
        <f t="shared" si="84"/>
        <v>2.06.02</v>
      </c>
      <c r="X134" s="207" t="str">
        <f t="shared" si="85"/>
        <v>ALAT RUMAH TANGGA</v>
      </c>
      <c r="Y134" s="207">
        <f t="shared" si="86"/>
        <v>5</v>
      </c>
      <c r="Z134" s="233">
        <f t="shared" si="87"/>
        <v>67998</v>
      </c>
      <c r="AA134" s="208">
        <f t="shared" si="88"/>
        <v>10</v>
      </c>
      <c r="AB134" s="233">
        <f t="shared" si="89"/>
        <v>339990</v>
      </c>
      <c r="AC134" s="233">
        <f t="shared" si="90"/>
        <v>0</v>
      </c>
      <c r="AD134" s="233">
        <f t="shared" si="91"/>
        <v>0</v>
      </c>
      <c r="AE134" s="233">
        <f t="shared" si="92"/>
        <v>0</v>
      </c>
      <c r="AF134" s="233">
        <f t="shared" si="93"/>
        <v>0</v>
      </c>
      <c r="AG134" s="238">
        <f t="shared" si="94"/>
        <v>0</v>
      </c>
      <c r="AH134" s="238">
        <f t="shared" si="95"/>
        <v>339990</v>
      </c>
      <c r="AI134" s="209">
        <f t="shared" si="96"/>
        <v>2003</v>
      </c>
      <c r="AJ134" s="210">
        <f t="shared" si="97"/>
        <v>10</v>
      </c>
      <c r="AK134" s="285">
        <f>AH134-AG134</f>
        <v>339990</v>
      </c>
    </row>
    <row r="135" spans="1:37" s="41" customFormat="1" ht="30.75" customHeight="1" x14ac:dyDescent="0.2">
      <c r="A135" s="41" t="s">
        <v>2297</v>
      </c>
      <c r="B135" s="69"/>
      <c r="C135" s="65" t="s">
        <v>175</v>
      </c>
      <c r="D135" s="65" t="s">
        <v>176</v>
      </c>
      <c r="E135" s="40"/>
      <c r="F135" s="65" t="s">
        <v>207</v>
      </c>
      <c r="G135" s="40"/>
      <c r="H135" s="65" t="s">
        <v>178</v>
      </c>
      <c r="I135" s="32">
        <v>2003</v>
      </c>
      <c r="J135" s="40"/>
      <c r="K135" s="72"/>
      <c r="L135" s="72"/>
      <c r="M135" s="40"/>
      <c r="N135" s="40"/>
      <c r="O135" s="32" t="s">
        <v>12</v>
      </c>
      <c r="P135" s="251">
        <v>340000</v>
      </c>
      <c r="Q135" s="61" t="s">
        <v>43</v>
      </c>
      <c r="V135" s="41" t="s">
        <v>2615</v>
      </c>
      <c r="W135" s="206" t="str">
        <f t="shared" si="84"/>
        <v>2.06.02</v>
      </c>
      <c r="X135" s="207" t="str">
        <f t="shared" si="85"/>
        <v>ALAT RUMAH TANGGA</v>
      </c>
      <c r="Y135" s="207">
        <f t="shared" si="86"/>
        <v>5</v>
      </c>
      <c r="Z135" s="233">
        <f t="shared" si="87"/>
        <v>67998</v>
      </c>
      <c r="AA135" s="208">
        <f t="shared" si="88"/>
        <v>10</v>
      </c>
      <c r="AB135" s="233">
        <f t="shared" si="89"/>
        <v>339990</v>
      </c>
      <c r="AC135" s="233">
        <f t="shared" si="90"/>
        <v>0</v>
      </c>
      <c r="AD135" s="233">
        <f t="shared" si="91"/>
        <v>0</v>
      </c>
      <c r="AE135" s="233">
        <f t="shared" si="92"/>
        <v>0</v>
      </c>
      <c r="AF135" s="233">
        <f t="shared" si="93"/>
        <v>0</v>
      </c>
      <c r="AG135" s="238">
        <f t="shared" si="94"/>
        <v>0</v>
      </c>
      <c r="AH135" s="238">
        <f t="shared" si="95"/>
        <v>339990</v>
      </c>
      <c r="AI135" s="209">
        <f t="shared" si="96"/>
        <v>2003</v>
      </c>
      <c r="AJ135" s="210">
        <f t="shared" si="97"/>
        <v>10</v>
      </c>
      <c r="AK135" s="285">
        <f>AH135-AG135</f>
        <v>339990</v>
      </c>
    </row>
    <row r="136" spans="1:37" s="41" customFormat="1" ht="30.75" customHeight="1" x14ac:dyDescent="0.2">
      <c r="A136" s="41" t="s">
        <v>2297</v>
      </c>
      <c r="B136" s="69"/>
      <c r="C136" s="65" t="s">
        <v>208</v>
      </c>
      <c r="D136" s="65" t="s">
        <v>209</v>
      </c>
      <c r="E136" s="40"/>
      <c r="F136" s="65" t="s">
        <v>199</v>
      </c>
      <c r="G136" s="40"/>
      <c r="H136" s="65" t="s">
        <v>210</v>
      </c>
      <c r="I136" s="32">
        <v>2003</v>
      </c>
      <c r="J136" s="40"/>
      <c r="K136" s="72"/>
      <c r="L136" s="72"/>
      <c r="M136" s="40"/>
      <c r="N136" s="40"/>
      <c r="O136" s="32" t="s">
        <v>12</v>
      </c>
      <c r="P136" s="251">
        <v>490000</v>
      </c>
      <c r="Q136" s="61" t="s">
        <v>43</v>
      </c>
      <c r="V136" s="41" t="s">
        <v>2615</v>
      </c>
      <c r="W136" s="206" t="str">
        <f t="shared" si="84"/>
        <v>2.06.02</v>
      </c>
      <c r="X136" s="207" t="str">
        <f t="shared" si="85"/>
        <v>ALAT RUMAH TANGGA</v>
      </c>
      <c r="Y136" s="207">
        <f t="shared" si="86"/>
        <v>5</v>
      </c>
      <c r="Z136" s="233">
        <f t="shared" si="87"/>
        <v>97998</v>
      </c>
      <c r="AA136" s="208">
        <f t="shared" si="88"/>
        <v>10</v>
      </c>
      <c r="AB136" s="233">
        <f t="shared" si="89"/>
        <v>489990</v>
      </c>
      <c r="AC136" s="233">
        <f t="shared" si="90"/>
        <v>0</v>
      </c>
      <c r="AD136" s="233">
        <f t="shared" si="91"/>
        <v>0</v>
      </c>
      <c r="AE136" s="233">
        <f t="shared" si="92"/>
        <v>0</v>
      </c>
      <c r="AF136" s="233">
        <f t="shared" si="93"/>
        <v>0</v>
      </c>
      <c r="AG136" s="238">
        <f t="shared" si="94"/>
        <v>0</v>
      </c>
      <c r="AH136" s="238">
        <f t="shared" si="95"/>
        <v>489990</v>
      </c>
      <c r="AI136" s="209">
        <f t="shared" si="96"/>
        <v>2003</v>
      </c>
      <c r="AJ136" s="210">
        <f t="shared" si="97"/>
        <v>10</v>
      </c>
      <c r="AK136" s="285">
        <f>AH136-AG136</f>
        <v>489990</v>
      </c>
    </row>
    <row r="137" spans="1:37" s="41" customFormat="1" ht="30.75" hidden="1" customHeight="1" x14ac:dyDescent="0.2">
      <c r="A137" s="41" t="s">
        <v>2297</v>
      </c>
      <c r="B137" s="69"/>
      <c r="C137" s="65" t="s">
        <v>211</v>
      </c>
      <c r="D137" s="65" t="s">
        <v>212</v>
      </c>
      <c r="E137" s="40"/>
      <c r="F137" s="65" t="s">
        <v>199</v>
      </c>
      <c r="G137" s="40"/>
      <c r="H137" s="65" t="s">
        <v>213</v>
      </c>
      <c r="I137" s="32">
        <v>2005</v>
      </c>
      <c r="J137" s="40"/>
      <c r="K137" s="72"/>
      <c r="L137" s="72"/>
      <c r="M137" s="40"/>
      <c r="N137" s="40"/>
      <c r="O137" s="32" t="s">
        <v>12</v>
      </c>
      <c r="P137" s="251">
        <v>770000</v>
      </c>
      <c r="Q137" s="61" t="s">
        <v>43</v>
      </c>
      <c r="W137" s="206" t="str">
        <f t="shared" si="84"/>
        <v>2.06.02</v>
      </c>
      <c r="X137" s="207" t="str">
        <f t="shared" si="85"/>
        <v>ALAT RUMAH TANGGA</v>
      </c>
      <c r="Y137" s="207">
        <f t="shared" si="86"/>
        <v>5</v>
      </c>
      <c r="Z137" s="233">
        <f t="shared" si="87"/>
        <v>153998</v>
      </c>
      <c r="AA137" s="208">
        <f t="shared" si="88"/>
        <v>8</v>
      </c>
      <c r="AB137" s="233">
        <f t="shared" si="89"/>
        <v>769990</v>
      </c>
      <c r="AC137" s="233">
        <f t="shared" si="90"/>
        <v>0</v>
      </c>
      <c r="AD137" s="233">
        <f t="shared" si="91"/>
        <v>0</v>
      </c>
      <c r="AE137" s="233">
        <f t="shared" si="92"/>
        <v>0</v>
      </c>
      <c r="AF137" s="233">
        <f t="shared" si="93"/>
        <v>0</v>
      </c>
      <c r="AG137" s="238">
        <f t="shared" si="94"/>
        <v>0</v>
      </c>
      <c r="AH137" s="238">
        <f t="shared" si="95"/>
        <v>769990</v>
      </c>
      <c r="AI137" s="209">
        <f t="shared" si="96"/>
        <v>2005</v>
      </c>
      <c r="AJ137" s="210">
        <f t="shared" si="97"/>
        <v>10</v>
      </c>
    </row>
    <row r="138" spans="1:37" s="41" customFormat="1" ht="30.75" hidden="1" customHeight="1" x14ac:dyDescent="0.2">
      <c r="A138" s="41" t="s">
        <v>2297</v>
      </c>
      <c r="B138" s="69"/>
      <c r="C138" s="65" t="s">
        <v>197</v>
      </c>
      <c r="D138" s="65" t="s">
        <v>198</v>
      </c>
      <c r="E138" s="40"/>
      <c r="F138" s="65" t="s">
        <v>199</v>
      </c>
      <c r="G138" s="40"/>
      <c r="H138" s="65" t="s">
        <v>214</v>
      </c>
      <c r="I138" s="32">
        <v>2005</v>
      </c>
      <c r="J138" s="40"/>
      <c r="K138" s="72"/>
      <c r="L138" s="72"/>
      <c r="M138" s="40"/>
      <c r="N138" s="40"/>
      <c r="O138" s="32" t="s">
        <v>12</v>
      </c>
      <c r="P138" s="251">
        <v>637500</v>
      </c>
      <c r="Q138" s="61" t="s">
        <v>43</v>
      </c>
      <c r="W138" s="206" t="str">
        <f t="shared" si="84"/>
        <v>2.06.02</v>
      </c>
      <c r="X138" s="207" t="str">
        <f t="shared" si="85"/>
        <v>ALAT RUMAH TANGGA</v>
      </c>
      <c r="Y138" s="207">
        <f t="shared" si="86"/>
        <v>5</v>
      </c>
      <c r="Z138" s="233">
        <f t="shared" si="87"/>
        <v>127498</v>
      </c>
      <c r="AA138" s="208">
        <f t="shared" si="88"/>
        <v>8</v>
      </c>
      <c r="AB138" s="233">
        <f t="shared" si="89"/>
        <v>637490</v>
      </c>
      <c r="AC138" s="233">
        <f t="shared" si="90"/>
        <v>0</v>
      </c>
      <c r="AD138" s="233">
        <f t="shared" si="91"/>
        <v>0</v>
      </c>
      <c r="AE138" s="233">
        <f t="shared" si="92"/>
        <v>0</v>
      </c>
      <c r="AF138" s="233">
        <f t="shared" si="93"/>
        <v>0</v>
      </c>
      <c r="AG138" s="238">
        <f t="shared" si="94"/>
        <v>0</v>
      </c>
      <c r="AH138" s="238">
        <f t="shared" si="95"/>
        <v>637490</v>
      </c>
      <c r="AI138" s="209">
        <f t="shared" si="96"/>
        <v>2005</v>
      </c>
      <c r="AJ138" s="210">
        <f t="shared" si="97"/>
        <v>10</v>
      </c>
    </row>
    <row r="139" spans="1:37" s="41" customFormat="1" ht="30.75" customHeight="1" x14ac:dyDescent="0.2">
      <c r="A139" s="41" t="s">
        <v>2297</v>
      </c>
      <c r="B139" s="69"/>
      <c r="C139" s="65" t="s">
        <v>215</v>
      </c>
      <c r="D139" s="65" t="s">
        <v>216</v>
      </c>
      <c r="E139" s="40"/>
      <c r="F139" s="65" t="s">
        <v>217</v>
      </c>
      <c r="G139" s="40"/>
      <c r="H139" s="65" t="s">
        <v>218</v>
      </c>
      <c r="I139" s="32">
        <v>2005</v>
      </c>
      <c r="J139" s="40"/>
      <c r="K139" s="72"/>
      <c r="L139" s="72"/>
      <c r="M139" s="40"/>
      <c r="N139" s="40"/>
      <c r="O139" s="32" t="s">
        <v>12</v>
      </c>
      <c r="P139" s="251">
        <v>175000</v>
      </c>
      <c r="Q139" s="61" t="s">
        <v>43</v>
      </c>
      <c r="V139" s="41" t="s">
        <v>2615</v>
      </c>
      <c r="W139" s="206" t="str">
        <f t="shared" si="84"/>
        <v>2.06.02</v>
      </c>
      <c r="X139" s="207" t="str">
        <f t="shared" si="85"/>
        <v>ALAT RUMAH TANGGA</v>
      </c>
      <c r="Y139" s="207">
        <f t="shared" si="86"/>
        <v>5</v>
      </c>
      <c r="Z139" s="233">
        <f t="shared" si="87"/>
        <v>34998</v>
      </c>
      <c r="AA139" s="208">
        <f t="shared" si="88"/>
        <v>8</v>
      </c>
      <c r="AB139" s="233">
        <f t="shared" si="89"/>
        <v>174990</v>
      </c>
      <c r="AC139" s="233">
        <f t="shared" si="90"/>
        <v>0</v>
      </c>
      <c r="AD139" s="233">
        <f t="shared" si="91"/>
        <v>0</v>
      </c>
      <c r="AE139" s="233">
        <f t="shared" si="92"/>
        <v>0</v>
      </c>
      <c r="AF139" s="233">
        <f t="shared" si="93"/>
        <v>0</v>
      </c>
      <c r="AG139" s="238">
        <f t="shared" si="94"/>
        <v>0</v>
      </c>
      <c r="AH139" s="238">
        <f t="shared" si="95"/>
        <v>174990</v>
      </c>
      <c r="AI139" s="209">
        <f t="shared" si="96"/>
        <v>2005</v>
      </c>
      <c r="AJ139" s="210">
        <f t="shared" si="97"/>
        <v>10</v>
      </c>
      <c r="AK139" s="285">
        <f>AH139-AG139</f>
        <v>174990</v>
      </c>
    </row>
    <row r="140" spans="1:37" s="41" customFormat="1" ht="30.75" hidden="1" customHeight="1" x14ac:dyDescent="0.2">
      <c r="A140" s="41" t="s">
        <v>2297</v>
      </c>
      <c r="B140" s="69"/>
      <c r="C140" s="65" t="s">
        <v>175</v>
      </c>
      <c r="D140" s="65" t="s">
        <v>176</v>
      </c>
      <c r="E140" s="40"/>
      <c r="F140" s="65" t="s">
        <v>177</v>
      </c>
      <c r="G140" s="40"/>
      <c r="H140" s="65" t="s">
        <v>178</v>
      </c>
      <c r="I140" s="32">
        <v>2005</v>
      </c>
      <c r="J140" s="40"/>
      <c r="K140" s="72"/>
      <c r="L140" s="72"/>
      <c r="M140" s="40"/>
      <c r="N140" s="40"/>
      <c r="O140" s="32" t="s">
        <v>12</v>
      </c>
      <c r="P140" s="251">
        <v>750000</v>
      </c>
      <c r="Q140" s="61" t="s">
        <v>43</v>
      </c>
      <c r="W140" s="206" t="str">
        <f t="shared" si="84"/>
        <v>2.06.02</v>
      </c>
      <c r="X140" s="207" t="str">
        <f t="shared" si="85"/>
        <v>ALAT RUMAH TANGGA</v>
      </c>
      <c r="Y140" s="207">
        <f t="shared" si="86"/>
        <v>5</v>
      </c>
      <c r="Z140" s="233">
        <f t="shared" si="87"/>
        <v>149998</v>
      </c>
      <c r="AA140" s="208">
        <f t="shared" si="88"/>
        <v>8</v>
      </c>
      <c r="AB140" s="233">
        <f t="shared" si="89"/>
        <v>749990</v>
      </c>
      <c r="AC140" s="233">
        <f t="shared" si="90"/>
        <v>0</v>
      </c>
      <c r="AD140" s="233">
        <f t="shared" si="91"/>
        <v>0</v>
      </c>
      <c r="AE140" s="233">
        <f t="shared" si="92"/>
        <v>0</v>
      </c>
      <c r="AF140" s="233">
        <f t="shared" si="93"/>
        <v>0</v>
      </c>
      <c r="AG140" s="238">
        <f t="shared" si="94"/>
        <v>0</v>
      </c>
      <c r="AH140" s="238">
        <f t="shared" si="95"/>
        <v>749990</v>
      </c>
      <c r="AI140" s="209">
        <f t="shared" si="96"/>
        <v>2005</v>
      </c>
      <c r="AJ140" s="210">
        <f t="shared" si="97"/>
        <v>10</v>
      </c>
    </row>
    <row r="141" spans="1:37" s="41" customFormat="1" ht="30.75" customHeight="1" x14ac:dyDescent="0.2">
      <c r="A141" s="41" t="s">
        <v>2297</v>
      </c>
      <c r="B141" s="69"/>
      <c r="C141" s="65" t="s">
        <v>219</v>
      </c>
      <c r="D141" s="65" t="s">
        <v>220</v>
      </c>
      <c r="E141" s="40"/>
      <c r="F141" s="65" t="s">
        <v>221</v>
      </c>
      <c r="G141" s="40"/>
      <c r="H141" s="65" t="s">
        <v>222</v>
      </c>
      <c r="I141" s="32">
        <v>2005</v>
      </c>
      <c r="J141" s="40"/>
      <c r="K141" s="72"/>
      <c r="L141" s="72"/>
      <c r="M141" s="40"/>
      <c r="N141" s="40"/>
      <c r="O141" s="32" t="s">
        <v>12</v>
      </c>
      <c r="P141" s="251">
        <v>150000</v>
      </c>
      <c r="Q141" s="61" t="s">
        <v>43</v>
      </c>
      <c r="V141" s="41" t="s">
        <v>2615</v>
      </c>
      <c r="W141" s="206" t="str">
        <f t="shared" si="84"/>
        <v>2.06.02</v>
      </c>
      <c r="X141" s="207" t="str">
        <f t="shared" si="85"/>
        <v>ALAT RUMAH TANGGA</v>
      </c>
      <c r="Y141" s="207">
        <f t="shared" si="86"/>
        <v>5</v>
      </c>
      <c r="Z141" s="233">
        <f t="shared" si="87"/>
        <v>29998</v>
      </c>
      <c r="AA141" s="208">
        <f t="shared" si="88"/>
        <v>8</v>
      </c>
      <c r="AB141" s="233">
        <f t="shared" si="89"/>
        <v>149990</v>
      </c>
      <c r="AC141" s="233">
        <f t="shared" si="90"/>
        <v>0</v>
      </c>
      <c r="AD141" s="233">
        <f t="shared" si="91"/>
        <v>0</v>
      </c>
      <c r="AE141" s="233">
        <f t="shared" si="92"/>
        <v>0</v>
      </c>
      <c r="AF141" s="233">
        <f t="shared" si="93"/>
        <v>0</v>
      </c>
      <c r="AG141" s="238">
        <f t="shared" si="94"/>
        <v>0</v>
      </c>
      <c r="AH141" s="238">
        <f t="shared" si="95"/>
        <v>149990</v>
      </c>
      <c r="AI141" s="209">
        <f t="shared" si="96"/>
        <v>2005</v>
      </c>
      <c r="AJ141" s="210">
        <f t="shared" si="97"/>
        <v>10</v>
      </c>
      <c r="AK141" s="285">
        <f>AH141-AG141</f>
        <v>149990</v>
      </c>
    </row>
    <row r="142" spans="1:37" s="41" customFormat="1" ht="30.75" customHeight="1" x14ac:dyDescent="0.2">
      <c r="A142" s="41" t="s">
        <v>2297</v>
      </c>
      <c r="B142" s="69"/>
      <c r="C142" s="65" t="s">
        <v>223</v>
      </c>
      <c r="D142" s="65" t="s">
        <v>224</v>
      </c>
      <c r="E142" s="40"/>
      <c r="F142" s="65" t="s">
        <v>199</v>
      </c>
      <c r="G142" s="40"/>
      <c r="H142" s="65" t="s">
        <v>225</v>
      </c>
      <c r="I142" s="32">
        <v>2005</v>
      </c>
      <c r="J142" s="40"/>
      <c r="K142" s="72"/>
      <c r="L142" s="72"/>
      <c r="M142" s="40"/>
      <c r="N142" s="40"/>
      <c r="O142" s="32" t="s">
        <v>12</v>
      </c>
      <c r="P142" s="251">
        <v>162500</v>
      </c>
      <c r="Q142" s="61" t="s">
        <v>43</v>
      </c>
      <c r="V142" s="41" t="s">
        <v>2615</v>
      </c>
      <c r="W142" s="206" t="str">
        <f t="shared" si="84"/>
        <v>2.06.02</v>
      </c>
      <c r="X142" s="207" t="str">
        <f t="shared" si="85"/>
        <v>ALAT RUMAH TANGGA</v>
      </c>
      <c r="Y142" s="207">
        <f t="shared" si="86"/>
        <v>5</v>
      </c>
      <c r="Z142" s="233">
        <f t="shared" si="87"/>
        <v>32498</v>
      </c>
      <c r="AA142" s="208">
        <f t="shared" si="88"/>
        <v>8</v>
      </c>
      <c r="AB142" s="233">
        <f t="shared" si="89"/>
        <v>162490</v>
      </c>
      <c r="AC142" s="233">
        <f t="shared" si="90"/>
        <v>0</v>
      </c>
      <c r="AD142" s="233">
        <f t="shared" si="91"/>
        <v>0</v>
      </c>
      <c r="AE142" s="233">
        <f t="shared" si="92"/>
        <v>0</v>
      </c>
      <c r="AF142" s="233">
        <f t="shared" si="93"/>
        <v>0</v>
      </c>
      <c r="AG142" s="238">
        <f t="shared" si="94"/>
        <v>0</v>
      </c>
      <c r="AH142" s="238">
        <f t="shared" si="95"/>
        <v>162490</v>
      </c>
      <c r="AI142" s="209">
        <f t="shared" si="96"/>
        <v>2005</v>
      </c>
      <c r="AJ142" s="210">
        <f t="shared" si="97"/>
        <v>10</v>
      </c>
      <c r="AK142" s="285">
        <f>AH142-AG142</f>
        <v>162490</v>
      </c>
    </row>
    <row r="143" spans="1:37" s="41" customFormat="1" ht="30.75" hidden="1" customHeight="1" x14ac:dyDescent="0.2">
      <c r="A143" s="41" t="s">
        <v>2297</v>
      </c>
      <c r="B143" s="69"/>
      <c r="C143" s="65" t="s">
        <v>175</v>
      </c>
      <c r="D143" s="65" t="s">
        <v>176</v>
      </c>
      <c r="E143" s="40"/>
      <c r="F143" s="65" t="s">
        <v>201</v>
      </c>
      <c r="G143" s="40"/>
      <c r="H143" s="65" t="s">
        <v>178</v>
      </c>
      <c r="I143" s="32">
        <v>2005</v>
      </c>
      <c r="J143" s="40"/>
      <c r="K143" s="72"/>
      <c r="L143" s="72"/>
      <c r="M143" s="40"/>
      <c r="N143" s="40"/>
      <c r="O143" s="32" t="s">
        <v>12</v>
      </c>
      <c r="P143" s="251">
        <v>750000</v>
      </c>
      <c r="Q143" s="61" t="s">
        <v>43</v>
      </c>
      <c r="W143" s="206" t="str">
        <f t="shared" si="84"/>
        <v>2.06.02</v>
      </c>
      <c r="X143" s="207" t="str">
        <f t="shared" si="85"/>
        <v>ALAT RUMAH TANGGA</v>
      </c>
      <c r="Y143" s="207">
        <f t="shared" si="86"/>
        <v>5</v>
      </c>
      <c r="Z143" s="233">
        <f t="shared" si="87"/>
        <v>149998</v>
      </c>
      <c r="AA143" s="208">
        <f t="shared" si="88"/>
        <v>8</v>
      </c>
      <c r="AB143" s="233">
        <f t="shared" si="89"/>
        <v>749990</v>
      </c>
      <c r="AC143" s="233">
        <f t="shared" si="90"/>
        <v>0</v>
      </c>
      <c r="AD143" s="233">
        <f t="shared" si="91"/>
        <v>0</v>
      </c>
      <c r="AE143" s="233">
        <f t="shared" si="92"/>
        <v>0</v>
      </c>
      <c r="AF143" s="233">
        <f t="shared" si="93"/>
        <v>0</v>
      </c>
      <c r="AG143" s="238">
        <f t="shared" si="94"/>
        <v>0</v>
      </c>
      <c r="AH143" s="238">
        <f t="shared" si="95"/>
        <v>749990</v>
      </c>
      <c r="AI143" s="209">
        <f t="shared" si="96"/>
        <v>2005</v>
      </c>
      <c r="AJ143" s="210">
        <f t="shared" si="97"/>
        <v>10</v>
      </c>
    </row>
    <row r="144" spans="1:37" s="41" customFormat="1" ht="30.75" customHeight="1" x14ac:dyDescent="0.2">
      <c r="A144" s="41" t="s">
        <v>2296</v>
      </c>
      <c r="B144" s="69"/>
      <c r="C144" s="65" t="s">
        <v>182</v>
      </c>
      <c r="D144" s="65" t="s">
        <v>183</v>
      </c>
      <c r="E144" s="40"/>
      <c r="F144" s="65" t="s">
        <v>195</v>
      </c>
      <c r="G144" s="40"/>
      <c r="H144" s="65" t="s">
        <v>174</v>
      </c>
      <c r="I144" s="32">
        <v>2005</v>
      </c>
      <c r="J144" s="40"/>
      <c r="K144" s="72"/>
      <c r="L144" s="72"/>
      <c r="M144" s="40"/>
      <c r="N144" s="40"/>
      <c r="O144" s="32" t="s">
        <v>12</v>
      </c>
      <c r="P144" s="251">
        <v>296000</v>
      </c>
      <c r="Q144" s="61" t="s">
        <v>43</v>
      </c>
      <c r="V144" s="41" t="s">
        <v>2615</v>
      </c>
      <c r="W144" s="206" t="str">
        <f t="shared" si="84"/>
        <v>2.06.03</v>
      </c>
      <c r="X144" s="207" t="str">
        <f t="shared" si="85"/>
        <v>KOMPUTER</v>
      </c>
      <c r="Y144" s="207">
        <f t="shared" si="86"/>
        <v>4</v>
      </c>
      <c r="Z144" s="233">
        <f t="shared" si="87"/>
        <v>73997.5</v>
      </c>
      <c r="AA144" s="208">
        <f t="shared" si="88"/>
        <v>8</v>
      </c>
      <c r="AB144" s="233">
        <f t="shared" si="89"/>
        <v>295990</v>
      </c>
      <c r="AC144" s="233">
        <f t="shared" si="90"/>
        <v>0</v>
      </c>
      <c r="AD144" s="233">
        <f t="shared" si="91"/>
        <v>0</v>
      </c>
      <c r="AE144" s="233">
        <f t="shared" si="92"/>
        <v>0</v>
      </c>
      <c r="AF144" s="233">
        <f t="shared" si="93"/>
        <v>0</v>
      </c>
      <c r="AG144" s="238">
        <f t="shared" si="94"/>
        <v>0</v>
      </c>
      <c r="AH144" s="238">
        <f t="shared" si="95"/>
        <v>295990</v>
      </c>
      <c r="AI144" s="209">
        <f t="shared" si="96"/>
        <v>2005</v>
      </c>
      <c r="AJ144" s="210">
        <f t="shared" si="97"/>
        <v>10</v>
      </c>
      <c r="AK144" s="285">
        <f>AH144-AG144</f>
        <v>295990</v>
      </c>
    </row>
    <row r="145" spans="1:37" s="41" customFormat="1" ht="30.75" hidden="1" customHeight="1" x14ac:dyDescent="0.2">
      <c r="A145" s="41" t="s">
        <v>2296</v>
      </c>
      <c r="B145" s="69"/>
      <c r="C145" s="65" t="s">
        <v>179</v>
      </c>
      <c r="D145" s="65" t="s">
        <v>180</v>
      </c>
      <c r="E145" s="40"/>
      <c r="F145" s="65" t="s">
        <v>206</v>
      </c>
      <c r="G145" s="40"/>
      <c r="H145" s="65" t="s">
        <v>181</v>
      </c>
      <c r="I145" s="32">
        <v>2005</v>
      </c>
      <c r="J145" s="40"/>
      <c r="K145" s="72"/>
      <c r="L145" s="72"/>
      <c r="M145" s="40"/>
      <c r="N145" s="40"/>
      <c r="O145" s="32" t="s">
        <v>12</v>
      </c>
      <c r="P145" s="251">
        <v>2400000</v>
      </c>
      <c r="Q145" s="61" t="s">
        <v>43</v>
      </c>
      <c r="W145" s="206" t="str">
        <f t="shared" si="84"/>
        <v>2.06.03</v>
      </c>
      <c r="X145" s="207" t="str">
        <f t="shared" si="85"/>
        <v>KOMPUTER</v>
      </c>
      <c r="Y145" s="207">
        <f t="shared" si="86"/>
        <v>4</v>
      </c>
      <c r="Z145" s="233">
        <f t="shared" si="87"/>
        <v>599997.5</v>
      </c>
      <c r="AA145" s="208">
        <f t="shared" si="88"/>
        <v>8</v>
      </c>
      <c r="AB145" s="233">
        <f t="shared" si="89"/>
        <v>2399990</v>
      </c>
      <c r="AC145" s="233">
        <f t="shared" si="90"/>
        <v>0</v>
      </c>
      <c r="AD145" s="233">
        <f t="shared" si="91"/>
        <v>0</v>
      </c>
      <c r="AE145" s="233">
        <f t="shared" si="92"/>
        <v>0</v>
      </c>
      <c r="AF145" s="233">
        <f t="shared" si="93"/>
        <v>0</v>
      </c>
      <c r="AG145" s="238">
        <f t="shared" si="94"/>
        <v>0</v>
      </c>
      <c r="AH145" s="238">
        <f t="shared" si="95"/>
        <v>2399990</v>
      </c>
      <c r="AI145" s="209">
        <f t="shared" si="96"/>
        <v>2005</v>
      </c>
      <c r="AJ145" s="210">
        <f t="shared" si="97"/>
        <v>10</v>
      </c>
    </row>
    <row r="146" spans="1:37" s="41" customFormat="1" ht="30.75" customHeight="1" x14ac:dyDescent="0.2">
      <c r="A146" s="41" t="s">
        <v>2297</v>
      </c>
      <c r="B146" s="69"/>
      <c r="C146" s="65" t="s">
        <v>185</v>
      </c>
      <c r="D146" s="65" t="s">
        <v>186</v>
      </c>
      <c r="E146" s="40"/>
      <c r="F146" s="65" t="s">
        <v>226</v>
      </c>
      <c r="G146" s="40"/>
      <c r="H146" s="65" t="s">
        <v>181</v>
      </c>
      <c r="I146" s="32">
        <v>2005</v>
      </c>
      <c r="J146" s="40"/>
      <c r="K146" s="72"/>
      <c r="L146" s="72"/>
      <c r="M146" s="40"/>
      <c r="N146" s="40"/>
      <c r="O146" s="32" t="s">
        <v>12</v>
      </c>
      <c r="P146" s="251">
        <v>93750</v>
      </c>
      <c r="Q146" s="61" t="s">
        <v>43</v>
      </c>
      <c r="V146" s="41" t="s">
        <v>2615</v>
      </c>
      <c r="W146" s="206" t="str">
        <f t="shared" si="84"/>
        <v>2.06.02</v>
      </c>
      <c r="X146" s="207" t="str">
        <f t="shared" si="85"/>
        <v>ALAT RUMAH TANGGA</v>
      </c>
      <c r="Y146" s="207">
        <f t="shared" si="86"/>
        <v>5</v>
      </c>
      <c r="Z146" s="233">
        <f t="shared" si="87"/>
        <v>18748</v>
      </c>
      <c r="AA146" s="208">
        <f t="shared" si="88"/>
        <v>8</v>
      </c>
      <c r="AB146" s="233">
        <f t="shared" si="89"/>
        <v>93740</v>
      </c>
      <c r="AC146" s="233">
        <f t="shared" si="90"/>
        <v>0</v>
      </c>
      <c r="AD146" s="233">
        <f t="shared" si="91"/>
        <v>0</v>
      </c>
      <c r="AE146" s="233">
        <f t="shared" si="92"/>
        <v>0</v>
      </c>
      <c r="AF146" s="233">
        <f t="shared" si="93"/>
        <v>0</v>
      </c>
      <c r="AG146" s="238">
        <f t="shared" si="94"/>
        <v>0</v>
      </c>
      <c r="AH146" s="238">
        <f t="shared" si="95"/>
        <v>93740</v>
      </c>
      <c r="AI146" s="209">
        <f t="shared" si="96"/>
        <v>2005</v>
      </c>
      <c r="AJ146" s="210">
        <f t="shared" si="97"/>
        <v>10</v>
      </c>
      <c r="AK146" s="285">
        <f>AH146-AG146</f>
        <v>93740</v>
      </c>
    </row>
    <row r="147" spans="1:37" s="41" customFormat="1" ht="30.75" hidden="1" customHeight="1" x14ac:dyDescent="0.2">
      <c r="A147" s="41" t="s">
        <v>2297</v>
      </c>
      <c r="B147" s="69"/>
      <c r="C147" s="65" t="s">
        <v>171</v>
      </c>
      <c r="D147" s="65" t="s">
        <v>172</v>
      </c>
      <c r="E147" s="40"/>
      <c r="F147" s="65" t="s">
        <v>177</v>
      </c>
      <c r="G147" s="40"/>
      <c r="H147" s="65" t="s">
        <v>174</v>
      </c>
      <c r="I147" s="32">
        <v>2005</v>
      </c>
      <c r="J147" s="40"/>
      <c r="K147" s="72"/>
      <c r="L147" s="72"/>
      <c r="M147" s="40"/>
      <c r="N147" s="40"/>
      <c r="O147" s="32" t="s">
        <v>12</v>
      </c>
      <c r="P147" s="251">
        <v>2250000</v>
      </c>
      <c r="Q147" s="61" t="s">
        <v>43</v>
      </c>
      <c r="W147" s="206" t="str">
        <f t="shared" si="84"/>
        <v>2.06.02</v>
      </c>
      <c r="X147" s="207" t="str">
        <f t="shared" si="85"/>
        <v>ALAT RUMAH TANGGA</v>
      </c>
      <c r="Y147" s="207">
        <f t="shared" si="86"/>
        <v>5</v>
      </c>
      <c r="Z147" s="233">
        <f t="shared" si="87"/>
        <v>449998</v>
      </c>
      <c r="AA147" s="208">
        <f t="shared" si="88"/>
        <v>8</v>
      </c>
      <c r="AB147" s="233">
        <f t="shared" si="89"/>
        <v>2249990</v>
      </c>
      <c r="AC147" s="233">
        <f t="shared" si="90"/>
        <v>0</v>
      </c>
      <c r="AD147" s="233">
        <f t="shared" si="91"/>
        <v>0</v>
      </c>
      <c r="AE147" s="233">
        <f t="shared" si="92"/>
        <v>0</v>
      </c>
      <c r="AF147" s="233">
        <f t="shared" si="93"/>
        <v>0</v>
      </c>
      <c r="AG147" s="238">
        <f t="shared" si="94"/>
        <v>0</v>
      </c>
      <c r="AH147" s="238">
        <f t="shared" si="95"/>
        <v>2249990</v>
      </c>
      <c r="AI147" s="209">
        <f t="shared" si="96"/>
        <v>2005</v>
      </c>
      <c r="AJ147" s="210">
        <f t="shared" si="97"/>
        <v>10</v>
      </c>
    </row>
    <row r="148" spans="1:37" s="41" customFormat="1" ht="30.75" hidden="1" customHeight="1" x14ac:dyDescent="0.2">
      <c r="A148" s="41" t="s">
        <v>2296</v>
      </c>
      <c r="B148" s="69"/>
      <c r="C148" s="65" t="s">
        <v>182</v>
      </c>
      <c r="D148" s="65" t="s">
        <v>183</v>
      </c>
      <c r="E148" s="40"/>
      <c r="F148" s="65" t="s">
        <v>184</v>
      </c>
      <c r="G148" s="40"/>
      <c r="H148" s="65" t="s">
        <v>174</v>
      </c>
      <c r="I148" s="32">
        <v>2005</v>
      </c>
      <c r="J148" s="40"/>
      <c r="K148" s="72"/>
      <c r="L148" s="72"/>
      <c r="M148" s="40"/>
      <c r="N148" s="40"/>
      <c r="O148" s="32" t="s">
        <v>12</v>
      </c>
      <c r="P148" s="251">
        <v>1117500</v>
      </c>
      <c r="Q148" s="61" t="s">
        <v>43</v>
      </c>
      <c r="W148" s="206" t="str">
        <f t="shared" si="84"/>
        <v>2.06.03</v>
      </c>
      <c r="X148" s="207" t="str">
        <f t="shared" si="85"/>
        <v>KOMPUTER</v>
      </c>
      <c r="Y148" s="207">
        <f t="shared" si="86"/>
        <v>4</v>
      </c>
      <c r="Z148" s="233">
        <f t="shared" si="87"/>
        <v>279372.5</v>
      </c>
      <c r="AA148" s="208">
        <f t="shared" si="88"/>
        <v>8</v>
      </c>
      <c r="AB148" s="233">
        <f t="shared" si="89"/>
        <v>1117490</v>
      </c>
      <c r="AC148" s="233">
        <f t="shared" si="90"/>
        <v>0</v>
      </c>
      <c r="AD148" s="233">
        <f t="shared" si="91"/>
        <v>0</v>
      </c>
      <c r="AE148" s="233">
        <f t="shared" si="92"/>
        <v>0</v>
      </c>
      <c r="AF148" s="233">
        <f t="shared" si="93"/>
        <v>0</v>
      </c>
      <c r="AG148" s="238">
        <f t="shared" si="94"/>
        <v>0</v>
      </c>
      <c r="AH148" s="238">
        <f t="shared" si="95"/>
        <v>1117490</v>
      </c>
      <c r="AI148" s="209">
        <f t="shared" si="96"/>
        <v>2005</v>
      </c>
      <c r="AJ148" s="210">
        <f t="shared" si="97"/>
        <v>10</v>
      </c>
    </row>
    <row r="149" spans="1:37" s="41" customFormat="1" ht="30.75" hidden="1" customHeight="1" x14ac:dyDescent="0.2">
      <c r="A149" s="41" t="s">
        <v>2297</v>
      </c>
      <c r="B149" s="69"/>
      <c r="C149" s="65" t="s">
        <v>175</v>
      </c>
      <c r="D149" s="65" t="s">
        <v>176</v>
      </c>
      <c r="E149" s="40"/>
      <c r="F149" s="65" t="s">
        <v>173</v>
      </c>
      <c r="G149" s="40"/>
      <c r="H149" s="65" t="s">
        <v>178</v>
      </c>
      <c r="I149" s="32">
        <v>2005</v>
      </c>
      <c r="J149" s="40"/>
      <c r="K149" s="72"/>
      <c r="L149" s="72"/>
      <c r="M149" s="40"/>
      <c r="N149" s="40"/>
      <c r="O149" s="32" t="s">
        <v>12</v>
      </c>
      <c r="P149" s="251">
        <v>552500</v>
      </c>
      <c r="Q149" s="61" t="s">
        <v>43</v>
      </c>
      <c r="W149" s="206" t="str">
        <f t="shared" si="84"/>
        <v>2.06.02</v>
      </c>
      <c r="X149" s="207" t="str">
        <f t="shared" si="85"/>
        <v>ALAT RUMAH TANGGA</v>
      </c>
      <c r="Y149" s="207">
        <f t="shared" si="86"/>
        <v>5</v>
      </c>
      <c r="Z149" s="233">
        <f t="shared" si="87"/>
        <v>110498</v>
      </c>
      <c r="AA149" s="208">
        <f t="shared" si="88"/>
        <v>8</v>
      </c>
      <c r="AB149" s="233">
        <f t="shared" si="89"/>
        <v>552490</v>
      </c>
      <c r="AC149" s="233">
        <f t="shared" si="90"/>
        <v>0</v>
      </c>
      <c r="AD149" s="233">
        <f t="shared" si="91"/>
        <v>0</v>
      </c>
      <c r="AE149" s="233">
        <f t="shared" si="92"/>
        <v>0</v>
      </c>
      <c r="AF149" s="233">
        <f t="shared" si="93"/>
        <v>0</v>
      </c>
      <c r="AG149" s="238">
        <f t="shared" si="94"/>
        <v>0</v>
      </c>
      <c r="AH149" s="238">
        <f t="shared" si="95"/>
        <v>552490</v>
      </c>
      <c r="AI149" s="209">
        <f t="shared" si="96"/>
        <v>2005</v>
      </c>
      <c r="AJ149" s="210">
        <f t="shared" si="97"/>
        <v>10</v>
      </c>
    </row>
    <row r="150" spans="1:37" s="41" customFormat="1" ht="30.75" hidden="1" customHeight="1" x14ac:dyDescent="0.2">
      <c r="A150" s="41" t="s">
        <v>2296</v>
      </c>
      <c r="B150" s="69"/>
      <c r="C150" s="65" t="s">
        <v>179</v>
      </c>
      <c r="D150" s="65" t="s">
        <v>180</v>
      </c>
      <c r="E150" s="40"/>
      <c r="F150" s="65" t="s">
        <v>227</v>
      </c>
      <c r="G150" s="40"/>
      <c r="H150" s="65" t="s">
        <v>181</v>
      </c>
      <c r="I150" s="32">
        <v>2005</v>
      </c>
      <c r="J150" s="40"/>
      <c r="K150" s="72"/>
      <c r="L150" s="72"/>
      <c r="M150" s="40"/>
      <c r="N150" s="40"/>
      <c r="O150" s="32" t="s">
        <v>12</v>
      </c>
      <c r="P150" s="251">
        <v>2145000</v>
      </c>
      <c r="Q150" s="61" t="s">
        <v>43</v>
      </c>
      <c r="W150" s="206" t="str">
        <f t="shared" si="84"/>
        <v>2.06.03</v>
      </c>
      <c r="X150" s="207" t="str">
        <f t="shared" si="85"/>
        <v>KOMPUTER</v>
      </c>
      <c r="Y150" s="207">
        <f t="shared" si="86"/>
        <v>4</v>
      </c>
      <c r="Z150" s="233">
        <f t="shared" si="87"/>
        <v>536247.5</v>
      </c>
      <c r="AA150" s="208">
        <f t="shared" si="88"/>
        <v>8</v>
      </c>
      <c r="AB150" s="233">
        <f t="shared" si="89"/>
        <v>2144990</v>
      </c>
      <c r="AC150" s="233">
        <f t="shared" si="90"/>
        <v>0</v>
      </c>
      <c r="AD150" s="233">
        <f t="shared" si="91"/>
        <v>0</v>
      </c>
      <c r="AE150" s="233">
        <f t="shared" si="92"/>
        <v>0</v>
      </c>
      <c r="AF150" s="233">
        <f t="shared" si="93"/>
        <v>0</v>
      </c>
      <c r="AG150" s="238">
        <f t="shared" si="94"/>
        <v>0</v>
      </c>
      <c r="AH150" s="238">
        <f t="shared" si="95"/>
        <v>2144990</v>
      </c>
      <c r="AI150" s="209">
        <f t="shared" si="96"/>
        <v>2005</v>
      </c>
      <c r="AJ150" s="210">
        <f t="shared" si="97"/>
        <v>10</v>
      </c>
    </row>
    <row r="151" spans="1:37" s="41" customFormat="1" ht="30.75" customHeight="1" x14ac:dyDescent="0.2">
      <c r="A151" s="41" t="s">
        <v>2297</v>
      </c>
      <c r="B151" s="69"/>
      <c r="C151" s="65" t="s">
        <v>202</v>
      </c>
      <c r="D151" s="65" t="s">
        <v>203</v>
      </c>
      <c r="E151" s="40"/>
      <c r="F151" s="65" t="s">
        <v>9</v>
      </c>
      <c r="G151" s="40"/>
      <c r="H151" s="65" t="s">
        <v>174</v>
      </c>
      <c r="I151" s="32">
        <v>2005</v>
      </c>
      <c r="J151" s="40"/>
      <c r="K151" s="72"/>
      <c r="L151" s="72"/>
      <c r="M151" s="40"/>
      <c r="N151" s="40"/>
      <c r="O151" s="32" t="s">
        <v>12</v>
      </c>
      <c r="P151" s="251">
        <v>455000</v>
      </c>
      <c r="Q151" s="61" t="s">
        <v>43</v>
      </c>
      <c r="V151" s="41" t="s">
        <v>2615</v>
      </c>
      <c r="W151" s="206" t="str">
        <f t="shared" si="84"/>
        <v>2.06.02</v>
      </c>
      <c r="X151" s="207" t="str">
        <f t="shared" si="85"/>
        <v>ALAT RUMAH TANGGA</v>
      </c>
      <c r="Y151" s="207">
        <f t="shared" si="86"/>
        <v>5</v>
      </c>
      <c r="Z151" s="233">
        <f t="shared" si="87"/>
        <v>90998</v>
      </c>
      <c r="AA151" s="208">
        <f t="shared" si="88"/>
        <v>8</v>
      </c>
      <c r="AB151" s="233">
        <f t="shared" si="89"/>
        <v>454990</v>
      </c>
      <c r="AC151" s="233">
        <f t="shared" si="90"/>
        <v>0</v>
      </c>
      <c r="AD151" s="233">
        <f t="shared" si="91"/>
        <v>0</v>
      </c>
      <c r="AE151" s="233">
        <f t="shared" si="92"/>
        <v>0</v>
      </c>
      <c r="AF151" s="233">
        <f t="shared" si="93"/>
        <v>0</v>
      </c>
      <c r="AG151" s="238">
        <f t="shared" si="94"/>
        <v>0</v>
      </c>
      <c r="AH151" s="238">
        <f t="shared" si="95"/>
        <v>454990</v>
      </c>
      <c r="AI151" s="209">
        <f t="shared" si="96"/>
        <v>2005</v>
      </c>
      <c r="AJ151" s="210">
        <f t="shared" si="97"/>
        <v>10</v>
      </c>
      <c r="AK151" s="285">
        <f>AH151-AG151</f>
        <v>454990</v>
      </c>
    </row>
    <row r="152" spans="1:37" s="41" customFormat="1" ht="30.75" customHeight="1" x14ac:dyDescent="0.2">
      <c r="A152" s="41" t="s">
        <v>2297</v>
      </c>
      <c r="B152" s="69"/>
      <c r="C152" s="65" t="s">
        <v>185</v>
      </c>
      <c r="D152" s="65" t="s">
        <v>186</v>
      </c>
      <c r="E152" s="40"/>
      <c r="F152" s="65" t="s">
        <v>228</v>
      </c>
      <c r="G152" s="40"/>
      <c r="H152" s="65" t="s">
        <v>174</v>
      </c>
      <c r="I152" s="32">
        <v>2005</v>
      </c>
      <c r="J152" s="40"/>
      <c r="K152" s="72"/>
      <c r="L152" s="40"/>
      <c r="M152" s="40"/>
      <c r="N152" s="40"/>
      <c r="O152" s="32" t="s">
        <v>12</v>
      </c>
      <c r="P152" s="251">
        <v>75000</v>
      </c>
      <c r="Q152" s="61" t="s">
        <v>43</v>
      </c>
      <c r="V152" s="41" t="s">
        <v>2615</v>
      </c>
      <c r="W152" s="206" t="str">
        <f t="shared" si="84"/>
        <v>2.06.02</v>
      </c>
      <c r="X152" s="207" t="str">
        <f t="shared" si="85"/>
        <v>ALAT RUMAH TANGGA</v>
      </c>
      <c r="Y152" s="207">
        <f t="shared" si="86"/>
        <v>5</v>
      </c>
      <c r="Z152" s="233">
        <f t="shared" si="87"/>
        <v>14998</v>
      </c>
      <c r="AA152" s="208">
        <f t="shared" si="88"/>
        <v>8</v>
      </c>
      <c r="AB152" s="233">
        <f t="shared" si="89"/>
        <v>74990</v>
      </c>
      <c r="AC152" s="233">
        <f t="shared" si="90"/>
        <v>0</v>
      </c>
      <c r="AD152" s="233">
        <f t="shared" si="91"/>
        <v>0</v>
      </c>
      <c r="AE152" s="233">
        <f t="shared" si="92"/>
        <v>0</v>
      </c>
      <c r="AF152" s="233">
        <f t="shared" si="93"/>
        <v>0</v>
      </c>
      <c r="AG152" s="238">
        <f t="shared" si="94"/>
        <v>0</v>
      </c>
      <c r="AH152" s="238">
        <f t="shared" si="95"/>
        <v>74990</v>
      </c>
      <c r="AI152" s="209">
        <f t="shared" si="96"/>
        <v>2005</v>
      </c>
      <c r="AJ152" s="210">
        <f t="shared" si="97"/>
        <v>10</v>
      </c>
      <c r="AK152" s="285">
        <f>AH152-AG152</f>
        <v>74990</v>
      </c>
    </row>
    <row r="153" spans="1:37" s="41" customFormat="1" ht="30.75" hidden="1" customHeight="1" x14ac:dyDescent="0.2">
      <c r="A153" s="41" t="s">
        <v>2296</v>
      </c>
      <c r="B153" s="69"/>
      <c r="C153" s="65" t="s">
        <v>229</v>
      </c>
      <c r="D153" s="65" t="s">
        <v>230</v>
      </c>
      <c r="E153" s="40"/>
      <c r="F153" s="65" t="s">
        <v>231</v>
      </c>
      <c r="G153" s="40"/>
      <c r="H153" s="65" t="s">
        <v>178</v>
      </c>
      <c r="I153" s="32">
        <v>2005</v>
      </c>
      <c r="J153" s="40"/>
      <c r="K153" s="72"/>
      <c r="L153" s="40"/>
      <c r="M153" s="40"/>
      <c r="N153" s="40"/>
      <c r="O153" s="32" t="s">
        <v>12</v>
      </c>
      <c r="P153" s="251">
        <v>8212500</v>
      </c>
      <c r="Q153" s="61" t="s">
        <v>43</v>
      </c>
      <c r="W153" s="206" t="str">
        <f t="shared" si="84"/>
        <v>2.06.03</v>
      </c>
      <c r="X153" s="207" t="str">
        <f t="shared" si="85"/>
        <v>KOMPUTER</v>
      </c>
      <c r="Y153" s="207">
        <f t="shared" si="86"/>
        <v>4</v>
      </c>
      <c r="Z153" s="233">
        <f t="shared" si="87"/>
        <v>2053122.5</v>
      </c>
      <c r="AA153" s="208">
        <f t="shared" si="88"/>
        <v>8</v>
      </c>
      <c r="AB153" s="233">
        <f t="shared" si="89"/>
        <v>8212490</v>
      </c>
      <c r="AC153" s="233">
        <f t="shared" si="90"/>
        <v>0</v>
      </c>
      <c r="AD153" s="233">
        <f t="shared" si="91"/>
        <v>0</v>
      </c>
      <c r="AE153" s="233">
        <f t="shared" si="92"/>
        <v>0</v>
      </c>
      <c r="AF153" s="233">
        <f t="shared" si="93"/>
        <v>0</v>
      </c>
      <c r="AG153" s="238">
        <f t="shared" si="94"/>
        <v>0</v>
      </c>
      <c r="AH153" s="238">
        <f t="shared" si="95"/>
        <v>8212490</v>
      </c>
      <c r="AI153" s="209">
        <f t="shared" si="96"/>
        <v>2005</v>
      </c>
      <c r="AJ153" s="210">
        <f t="shared" si="97"/>
        <v>10</v>
      </c>
    </row>
    <row r="154" spans="1:37" s="41" customFormat="1" ht="30.75" hidden="1" customHeight="1" x14ac:dyDescent="0.2">
      <c r="A154" s="41" t="s">
        <v>2296</v>
      </c>
      <c r="B154" s="69"/>
      <c r="C154" s="65" t="s">
        <v>182</v>
      </c>
      <c r="D154" s="65" t="s">
        <v>183</v>
      </c>
      <c r="E154" s="40"/>
      <c r="F154" s="65" t="s">
        <v>195</v>
      </c>
      <c r="G154" s="40"/>
      <c r="H154" s="65" t="s">
        <v>174</v>
      </c>
      <c r="I154" s="32">
        <v>2005</v>
      </c>
      <c r="J154" s="40"/>
      <c r="K154" s="72"/>
      <c r="L154" s="40"/>
      <c r="M154" s="40"/>
      <c r="N154" s="40"/>
      <c r="O154" s="32" t="s">
        <v>12</v>
      </c>
      <c r="P154" s="251">
        <v>555000</v>
      </c>
      <c r="Q154" s="61" t="s">
        <v>43</v>
      </c>
      <c r="W154" s="206" t="str">
        <f t="shared" si="84"/>
        <v>2.06.03</v>
      </c>
      <c r="X154" s="207" t="str">
        <f t="shared" si="85"/>
        <v>KOMPUTER</v>
      </c>
      <c r="Y154" s="207">
        <f t="shared" si="86"/>
        <v>4</v>
      </c>
      <c r="Z154" s="233">
        <f t="shared" si="87"/>
        <v>138747.5</v>
      </c>
      <c r="AA154" s="208">
        <f t="shared" si="88"/>
        <v>8</v>
      </c>
      <c r="AB154" s="233">
        <f t="shared" si="89"/>
        <v>554990</v>
      </c>
      <c r="AC154" s="233">
        <f t="shared" si="90"/>
        <v>0</v>
      </c>
      <c r="AD154" s="233">
        <f t="shared" si="91"/>
        <v>0</v>
      </c>
      <c r="AE154" s="233">
        <f t="shared" si="92"/>
        <v>0</v>
      </c>
      <c r="AF154" s="233">
        <f t="shared" si="93"/>
        <v>0</v>
      </c>
      <c r="AG154" s="238">
        <f t="shared" si="94"/>
        <v>0</v>
      </c>
      <c r="AH154" s="238">
        <f t="shared" si="95"/>
        <v>554990</v>
      </c>
      <c r="AI154" s="209">
        <f t="shared" si="96"/>
        <v>2005</v>
      </c>
      <c r="AJ154" s="210">
        <f t="shared" si="97"/>
        <v>10</v>
      </c>
    </row>
    <row r="155" spans="1:37" s="41" customFormat="1" ht="30.75" hidden="1" customHeight="1" x14ac:dyDescent="0.2">
      <c r="A155" s="41" t="s">
        <v>2297</v>
      </c>
      <c r="B155" s="69"/>
      <c r="C155" s="65" t="s">
        <v>175</v>
      </c>
      <c r="D155" s="65" t="s">
        <v>176</v>
      </c>
      <c r="E155" s="40"/>
      <c r="F155" s="65" t="s">
        <v>173</v>
      </c>
      <c r="G155" s="40"/>
      <c r="H155" s="65" t="s">
        <v>178</v>
      </c>
      <c r="I155" s="32">
        <v>2005</v>
      </c>
      <c r="J155" s="40"/>
      <c r="K155" s="72"/>
      <c r="L155" s="40"/>
      <c r="M155" s="40"/>
      <c r="N155" s="40"/>
      <c r="O155" s="32" t="s">
        <v>12</v>
      </c>
      <c r="P155" s="251">
        <v>637500</v>
      </c>
      <c r="Q155" s="61" t="s">
        <v>43</v>
      </c>
      <c r="W155" s="206" t="str">
        <f t="shared" si="84"/>
        <v>2.06.02</v>
      </c>
      <c r="X155" s="207" t="str">
        <f t="shared" si="85"/>
        <v>ALAT RUMAH TANGGA</v>
      </c>
      <c r="Y155" s="207">
        <f t="shared" si="86"/>
        <v>5</v>
      </c>
      <c r="Z155" s="233">
        <f t="shared" si="87"/>
        <v>127498</v>
      </c>
      <c r="AA155" s="208">
        <f t="shared" si="88"/>
        <v>8</v>
      </c>
      <c r="AB155" s="233">
        <f t="shared" si="89"/>
        <v>637490</v>
      </c>
      <c r="AC155" s="233">
        <f t="shared" si="90"/>
        <v>0</v>
      </c>
      <c r="AD155" s="233">
        <f t="shared" si="91"/>
        <v>0</v>
      </c>
      <c r="AE155" s="233">
        <f t="shared" si="92"/>
        <v>0</v>
      </c>
      <c r="AF155" s="233">
        <f t="shared" si="93"/>
        <v>0</v>
      </c>
      <c r="AG155" s="238">
        <f t="shared" si="94"/>
        <v>0</v>
      </c>
      <c r="AH155" s="238">
        <f t="shared" si="95"/>
        <v>637490</v>
      </c>
      <c r="AI155" s="209">
        <f t="shared" si="96"/>
        <v>2005</v>
      </c>
      <c r="AJ155" s="210">
        <f t="shared" si="97"/>
        <v>10</v>
      </c>
    </row>
    <row r="156" spans="1:37" s="41" customFormat="1" ht="30.75" hidden="1" customHeight="1" x14ac:dyDescent="0.2">
      <c r="A156" s="41" t="s">
        <v>2296</v>
      </c>
      <c r="B156" s="69"/>
      <c r="C156" s="65" t="s">
        <v>179</v>
      </c>
      <c r="D156" s="65" t="s">
        <v>180</v>
      </c>
      <c r="E156" s="40"/>
      <c r="F156" s="65" t="s">
        <v>206</v>
      </c>
      <c r="G156" s="40"/>
      <c r="H156" s="65" t="s">
        <v>181</v>
      </c>
      <c r="I156" s="32">
        <v>2005</v>
      </c>
      <c r="J156" s="40"/>
      <c r="K156" s="72"/>
      <c r="L156" s="40"/>
      <c r="M156" s="40"/>
      <c r="N156" s="40"/>
      <c r="O156" s="32" t="s">
        <v>12</v>
      </c>
      <c r="P156" s="251">
        <v>2400000</v>
      </c>
      <c r="Q156" s="61" t="s">
        <v>43</v>
      </c>
      <c r="W156" s="206" t="str">
        <f t="shared" si="84"/>
        <v>2.06.03</v>
      </c>
      <c r="X156" s="207" t="str">
        <f t="shared" si="85"/>
        <v>KOMPUTER</v>
      </c>
      <c r="Y156" s="207">
        <f t="shared" si="86"/>
        <v>4</v>
      </c>
      <c r="Z156" s="233">
        <f t="shared" si="87"/>
        <v>599997.5</v>
      </c>
      <c r="AA156" s="208">
        <f t="shared" si="88"/>
        <v>8</v>
      </c>
      <c r="AB156" s="233">
        <f t="shared" si="89"/>
        <v>2399990</v>
      </c>
      <c r="AC156" s="233">
        <f t="shared" si="90"/>
        <v>0</v>
      </c>
      <c r="AD156" s="233">
        <f t="shared" si="91"/>
        <v>0</v>
      </c>
      <c r="AE156" s="233">
        <f t="shared" si="92"/>
        <v>0</v>
      </c>
      <c r="AF156" s="233">
        <f t="shared" si="93"/>
        <v>0</v>
      </c>
      <c r="AG156" s="238">
        <f t="shared" si="94"/>
        <v>0</v>
      </c>
      <c r="AH156" s="238">
        <f t="shared" si="95"/>
        <v>2399990</v>
      </c>
      <c r="AI156" s="209">
        <f t="shared" si="96"/>
        <v>2005</v>
      </c>
      <c r="AJ156" s="210">
        <f t="shared" si="97"/>
        <v>10</v>
      </c>
    </row>
    <row r="157" spans="1:37" s="41" customFormat="1" ht="30.75" customHeight="1" x14ac:dyDescent="0.2">
      <c r="A157" s="41" t="s">
        <v>2296</v>
      </c>
      <c r="B157" s="69"/>
      <c r="C157" s="65" t="s">
        <v>182</v>
      </c>
      <c r="D157" s="65" t="s">
        <v>183</v>
      </c>
      <c r="E157" s="40"/>
      <c r="F157" s="65" t="s">
        <v>184</v>
      </c>
      <c r="G157" s="40"/>
      <c r="H157" s="65" t="s">
        <v>174</v>
      </c>
      <c r="I157" s="32">
        <v>2005</v>
      </c>
      <c r="J157" s="40"/>
      <c r="K157" s="72"/>
      <c r="L157" s="40"/>
      <c r="M157" s="40"/>
      <c r="N157" s="40"/>
      <c r="O157" s="32" t="s">
        <v>12</v>
      </c>
      <c r="P157" s="251">
        <v>311250</v>
      </c>
      <c r="Q157" s="61" t="s">
        <v>43</v>
      </c>
      <c r="V157" s="41" t="s">
        <v>2615</v>
      </c>
      <c r="W157" s="206" t="str">
        <f t="shared" si="84"/>
        <v>2.06.03</v>
      </c>
      <c r="X157" s="207" t="str">
        <f t="shared" si="85"/>
        <v>KOMPUTER</v>
      </c>
      <c r="Y157" s="207">
        <f t="shared" si="86"/>
        <v>4</v>
      </c>
      <c r="Z157" s="233">
        <f t="shared" si="87"/>
        <v>77810</v>
      </c>
      <c r="AA157" s="208">
        <f t="shared" si="88"/>
        <v>8</v>
      </c>
      <c r="AB157" s="233">
        <f t="shared" si="89"/>
        <v>311240</v>
      </c>
      <c r="AC157" s="233">
        <f t="shared" si="90"/>
        <v>0</v>
      </c>
      <c r="AD157" s="233">
        <f t="shared" si="91"/>
        <v>0</v>
      </c>
      <c r="AE157" s="233">
        <f t="shared" si="92"/>
        <v>0</v>
      </c>
      <c r="AF157" s="233">
        <f t="shared" si="93"/>
        <v>0</v>
      </c>
      <c r="AG157" s="238">
        <f t="shared" si="94"/>
        <v>0</v>
      </c>
      <c r="AH157" s="238">
        <f t="shared" si="95"/>
        <v>311240</v>
      </c>
      <c r="AI157" s="209">
        <f t="shared" si="96"/>
        <v>2005</v>
      </c>
      <c r="AJ157" s="210">
        <f t="shared" si="97"/>
        <v>10</v>
      </c>
      <c r="AK157" s="285">
        <f>AH157-AG157</f>
        <v>311240</v>
      </c>
    </row>
    <row r="158" spans="1:37" s="41" customFormat="1" ht="30.75" hidden="1" customHeight="1" x14ac:dyDescent="0.2">
      <c r="A158" s="41" t="s">
        <v>2296</v>
      </c>
      <c r="B158" s="69"/>
      <c r="C158" s="65" t="s">
        <v>179</v>
      </c>
      <c r="D158" s="65" t="s">
        <v>180</v>
      </c>
      <c r="E158" s="40"/>
      <c r="F158" s="65" t="s">
        <v>173</v>
      </c>
      <c r="G158" s="40"/>
      <c r="H158" s="65" t="s">
        <v>181</v>
      </c>
      <c r="I158" s="32">
        <v>2005</v>
      </c>
      <c r="J158" s="40"/>
      <c r="K158" s="72"/>
      <c r="L158" s="40"/>
      <c r="M158" s="40"/>
      <c r="N158" s="40"/>
      <c r="O158" s="32" t="s">
        <v>12</v>
      </c>
      <c r="P158" s="251">
        <v>1925000</v>
      </c>
      <c r="Q158" s="61" t="s">
        <v>43</v>
      </c>
      <c r="W158" s="206" t="str">
        <f t="shared" si="84"/>
        <v>2.06.03</v>
      </c>
      <c r="X158" s="207" t="str">
        <f t="shared" si="85"/>
        <v>KOMPUTER</v>
      </c>
      <c r="Y158" s="207">
        <f t="shared" si="86"/>
        <v>4</v>
      </c>
      <c r="Z158" s="233">
        <f t="shared" si="87"/>
        <v>481247.5</v>
      </c>
      <c r="AA158" s="208">
        <f t="shared" si="88"/>
        <v>8</v>
      </c>
      <c r="AB158" s="233">
        <f t="shared" si="89"/>
        <v>1924990</v>
      </c>
      <c r="AC158" s="233">
        <f t="shared" si="90"/>
        <v>0</v>
      </c>
      <c r="AD158" s="233">
        <f t="shared" si="91"/>
        <v>0</v>
      </c>
      <c r="AE158" s="233">
        <f t="shared" si="92"/>
        <v>0</v>
      </c>
      <c r="AF158" s="233">
        <f t="shared" si="93"/>
        <v>0</v>
      </c>
      <c r="AG158" s="238">
        <f t="shared" si="94"/>
        <v>0</v>
      </c>
      <c r="AH158" s="238">
        <f t="shared" si="95"/>
        <v>1924990</v>
      </c>
      <c r="AI158" s="209">
        <f t="shared" si="96"/>
        <v>2005</v>
      </c>
      <c r="AJ158" s="210">
        <f t="shared" si="97"/>
        <v>10</v>
      </c>
    </row>
    <row r="159" spans="1:37" s="41" customFormat="1" ht="30.75" customHeight="1" x14ac:dyDescent="0.2">
      <c r="A159" s="41" t="s">
        <v>2297</v>
      </c>
      <c r="B159" s="69"/>
      <c r="C159" s="65" t="s">
        <v>232</v>
      </c>
      <c r="D159" s="65" t="s">
        <v>233</v>
      </c>
      <c r="E159" s="40"/>
      <c r="F159" s="65" t="s">
        <v>199</v>
      </c>
      <c r="G159" s="40"/>
      <c r="H159" s="65" t="s">
        <v>214</v>
      </c>
      <c r="I159" s="32">
        <v>2005</v>
      </c>
      <c r="J159" s="40"/>
      <c r="K159" s="72"/>
      <c r="L159" s="40"/>
      <c r="M159" s="40"/>
      <c r="N159" s="40"/>
      <c r="O159" s="32" t="s">
        <v>12</v>
      </c>
      <c r="P159" s="251">
        <v>140000</v>
      </c>
      <c r="Q159" s="61" t="s">
        <v>43</v>
      </c>
      <c r="V159" s="41" t="s">
        <v>2615</v>
      </c>
      <c r="W159" s="206" t="str">
        <f t="shared" si="84"/>
        <v>2.06.02</v>
      </c>
      <c r="X159" s="207" t="str">
        <f t="shared" si="85"/>
        <v>ALAT RUMAH TANGGA</v>
      </c>
      <c r="Y159" s="207">
        <f t="shared" si="86"/>
        <v>5</v>
      </c>
      <c r="Z159" s="233">
        <f t="shared" si="87"/>
        <v>27998</v>
      </c>
      <c r="AA159" s="208">
        <f t="shared" si="88"/>
        <v>8</v>
      </c>
      <c r="AB159" s="233">
        <f t="shared" si="89"/>
        <v>139990</v>
      </c>
      <c r="AC159" s="233">
        <f t="shared" si="90"/>
        <v>0</v>
      </c>
      <c r="AD159" s="233">
        <f t="shared" si="91"/>
        <v>0</v>
      </c>
      <c r="AE159" s="233">
        <f t="shared" si="92"/>
        <v>0</v>
      </c>
      <c r="AF159" s="233">
        <f t="shared" si="93"/>
        <v>0</v>
      </c>
      <c r="AG159" s="238">
        <f t="shared" si="94"/>
        <v>0</v>
      </c>
      <c r="AH159" s="238">
        <f t="shared" si="95"/>
        <v>139990</v>
      </c>
      <c r="AI159" s="209">
        <f t="shared" si="96"/>
        <v>2005</v>
      </c>
      <c r="AJ159" s="210">
        <f t="shared" si="97"/>
        <v>10</v>
      </c>
      <c r="AK159" s="285">
        <f>AH159-AG159</f>
        <v>139990</v>
      </c>
    </row>
    <row r="160" spans="1:37" s="41" customFormat="1" ht="30.75" hidden="1" customHeight="1" x14ac:dyDescent="0.2">
      <c r="A160" s="41" t="s">
        <v>2297</v>
      </c>
      <c r="B160" s="69"/>
      <c r="C160" s="65" t="s">
        <v>175</v>
      </c>
      <c r="D160" s="65" t="s">
        <v>176</v>
      </c>
      <c r="E160" s="40"/>
      <c r="F160" s="65" t="s">
        <v>173</v>
      </c>
      <c r="G160" s="40"/>
      <c r="H160" s="65" t="s">
        <v>178</v>
      </c>
      <c r="I160" s="32">
        <v>2006</v>
      </c>
      <c r="J160" s="40"/>
      <c r="K160" s="72"/>
      <c r="L160" s="40"/>
      <c r="M160" s="40"/>
      <c r="N160" s="40"/>
      <c r="O160" s="32" t="s">
        <v>12</v>
      </c>
      <c r="P160" s="251">
        <v>800000</v>
      </c>
      <c r="Q160" s="61" t="s">
        <v>43</v>
      </c>
      <c r="W160" s="206" t="str">
        <f t="shared" si="84"/>
        <v>2.06.02</v>
      </c>
      <c r="X160" s="207" t="str">
        <f t="shared" si="85"/>
        <v>ALAT RUMAH TANGGA</v>
      </c>
      <c r="Y160" s="207">
        <f t="shared" si="86"/>
        <v>5</v>
      </c>
      <c r="Z160" s="233">
        <f t="shared" si="87"/>
        <v>159998</v>
      </c>
      <c r="AA160" s="208">
        <f t="shared" si="88"/>
        <v>7</v>
      </c>
      <c r="AB160" s="233">
        <f t="shared" si="89"/>
        <v>799990</v>
      </c>
      <c r="AC160" s="233">
        <f t="shared" si="90"/>
        <v>0</v>
      </c>
      <c r="AD160" s="233">
        <f t="shared" si="91"/>
        <v>0</v>
      </c>
      <c r="AE160" s="233">
        <f t="shared" si="92"/>
        <v>0</v>
      </c>
      <c r="AF160" s="233">
        <f t="shared" si="93"/>
        <v>0</v>
      </c>
      <c r="AG160" s="238">
        <f t="shared" si="94"/>
        <v>0</v>
      </c>
      <c r="AH160" s="238">
        <f t="shared" si="95"/>
        <v>799990</v>
      </c>
      <c r="AI160" s="209">
        <f t="shared" si="96"/>
        <v>2006</v>
      </c>
      <c r="AJ160" s="210">
        <f t="shared" si="97"/>
        <v>10</v>
      </c>
    </row>
    <row r="161" spans="1:37" s="41" customFormat="1" ht="30.75" hidden="1" customHeight="1" x14ac:dyDescent="0.2">
      <c r="A161" s="41" t="s">
        <v>2297</v>
      </c>
      <c r="B161" s="69"/>
      <c r="C161" s="65" t="s">
        <v>202</v>
      </c>
      <c r="D161" s="65" t="s">
        <v>203</v>
      </c>
      <c r="E161" s="40"/>
      <c r="F161" s="65" t="s">
        <v>204</v>
      </c>
      <c r="G161" s="40"/>
      <c r="H161" s="65" t="s">
        <v>174</v>
      </c>
      <c r="I161" s="32">
        <v>2006</v>
      </c>
      <c r="J161" s="40"/>
      <c r="K161" s="72"/>
      <c r="L161" s="40"/>
      <c r="M161" s="40"/>
      <c r="N161" s="40"/>
      <c r="O161" s="32" t="s">
        <v>12</v>
      </c>
      <c r="P161" s="251">
        <v>937500</v>
      </c>
      <c r="Q161" s="61" t="s">
        <v>43</v>
      </c>
      <c r="W161" s="206" t="str">
        <f t="shared" si="84"/>
        <v>2.06.02</v>
      </c>
      <c r="X161" s="207" t="str">
        <f t="shared" si="85"/>
        <v>ALAT RUMAH TANGGA</v>
      </c>
      <c r="Y161" s="207">
        <f t="shared" si="86"/>
        <v>5</v>
      </c>
      <c r="Z161" s="233">
        <f t="shared" si="87"/>
        <v>187498</v>
      </c>
      <c r="AA161" s="208">
        <f t="shared" si="88"/>
        <v>7</v>
      </c>
      <c r="AB161" s="233">
        <f t="shared" si="89"/>
        <v>937490</v>
      </c>
      <c r="AC161" s="233">
        <f t="shared" si="90"/>
        <v>0</v>
      </c>
      <c r="AD161" s="233">
        <f t="shared" si="91"/>
        <v>0</v>
      </c>
      <c r="AE161" s="233">
        <f t="shared" si="92"/>
        <v>0</v>
      </c>
      <c r="AF161" s="233">
        <f t="shared" si="93"/>
        <v>0</v>
      </c>
      <c r="AG161" s="238">
        <f t="shared" si="94"/>
        <v>0</v>
      </c>
      <c r="AH161" s="238">
        <f t="shared" si="95"/>
        <v>937490</v>
      </c>
      <c r="AI161" s="209">
        <f t="shared" si="96"/>
        <v>2006</v>
      </c>
      <c r="AJ161" s="210">
        <f t="shared" si="97"/>
        <v>10</v>
      </c>
    </row>
    <row r="162" spans="1:37" s="41" customFormat="1" ht="30.75" hidden="1" customHeight="1" x14ac:dyDescent="0.2">
      <c r="A162" s="41" t="s">
        <v>2297</v>
      </c>
      <c r="B162" s="69"/>
      <c r="C162" s="65" t="s">
        <v>234</v>
      </c>
      <c r="D162" s="65" t="s">
        <v>198</v>
      </c>
      <c r="E162" s="40"/>
      <c r="F162" s="65" t="s">
        <v>199</v>
      </c>
      <c r="G162" s="40"/>
      <c r="H162" s="65" t="s">
        <v>235</v>
      </c>
      <c r="I162" s="32">
        <v>2006</v>
      </c>
      <c r="J162" s="40"/>
      <c r="K162" s="72"/>
      <c r="L162" s="40"/>
      <c r="M162" s="40"/>
      <c r="N162" s="40"/>
      <c r="O162" s="32" t="s">
        <v>12</v>
      </c>
      <c r="P162" s="251">
        <v>680000</v>
      </c>
      <c r="Q162" s="61" t="s">
        <v>43</v>
      </c>
      <c r="W162" s="206" t="str">
        <f t="shared" si="84"/>
        <v>2.06.02</v>
      </c>
      <c r="X162" s="207" t="str">
        <f t="shared" si="85"/>
        <v>ALAT RUMAH TANGGA</v>
      </c>
      <c r="Y162" s="207">
        <f t="shared" si="86"/>
        <v>5</v>
      </c>
      <c r="Z162" s="233">
        <f t="shared" si="87"/>
        <v>135998</v>
      </c>
      <c r="AA162" s="208">
        <f t="shared" si="88"/>
        <v>7</v>
      </c>
      <c r="AB162" s="233">
        <f t="shared" si="89"/>
        <v>679990</v>
      </c>
      <c r="AC162" s="233">
        <f t="shared" si="90"/>
        <v>0</v>
      </c>
      <c r="AD162" s="233">
        <f t="shared" si="91"/>
        <v>0</v>
      </c>
      <c r="AE162" s="233">
        <f t="shared" si="92"/>
        <v>0</v>
      </c>
      <c r="AF162" s="233">
        <f t="shared" si="93"/>
        <v>0</v>
      </c>
      <c r="AG162" s="238">
        <f t="shared" si="94"/>
        <v>0</v>
      </c>
      <c r="AH162" s="238">
        <f t="shared" si="95"/>
        <v>679990</v>
      </c>
      <c r="AI162" s="209">
        <f t="shared" si="96"/>
        <v>2006</v>
      </c>
      <c r="AJ162" s="210">
        <f t="shared" si="97"/>
        <v>10</v>
      </c>
    </row>
    <row r="163" spans="1:37" s="41" customFormat="1" ht="30.75" hidden="1" customHeight="1" x14ac:dyDescent="0.2">
      <c r="A163" s="41" t="s">
        <v>2296</v>
      </c>
      <c r="B163" s="69"/>
      <c r="C163" s="65" t="s">
        <v>179</v>
      </c>
      <c r="D163" s="65" t="s">
        <v>180</v>
      </c>
      <c r="E163" s="40"/>
      <c r="F163" s="65" t="s">
        <v>205</v>
      </c>
      <c r="G163" s="40"/>
      <c r="H163" s="65" t="s">
        <v>181</v>
      </c>
      <c r="I163" s="32">
        <v>2006</v>
      </c>
      <c r="J163" s="40"/>
      <c r="K163" s="72"/>
      <c r="L163" s="40"/>
      <c r="M163" s="40"/>
      <c r="N163" s="40"/>
      <c r="O163" s="32" t="s">
        <v>12</v>
      </c>
      <c r="P163" s="251">
        <v>6150000</v>
      </c>
      <c r="Q163" s="61" t="s">
        <v>43</v>
      </c>
      <c r="W163" s="206" t="str">
        <f t="shared" si="84"/>
        <v>2.06.03</v>
      </c>
      <c r="X163" s="207" t="str">
        <f t="shared" si="85"/>
        <v>KOMPUTER</v>
      </c>
      <c r="Y163" s="207">
        <f t="shared" si="86"/>
        <v>4</v>
      </c>
      <c r="Z163" s="233">
        <f t="shared" si="87"/>
        <v>1537497.5</v>
      </c>
      <c r="AA163" s="208">
        <f t="shared" si="88"/>
        <v>7</v>
      </c>
      <c r="AB163" s="233">
        <f t="shared" si="89"/>
        <v>6149990</v>
      </c>
      <c r="AC163" s="233">
        <f t="shared" si="90"/>
        <v>0</v>
      </c>
      <c r="AD163" s="233">
        <f t="shared" si="91"/>
        <v>0</v>
      </c>
      <c r="AE163" s="233">
        <f t="shared" si="92"/>
        <v>0</v>
      </c>
      <c r="AF163" s="233">
        <f t="shared" si="93"/>
        <v>0</v>
      </c>
      <c r="AG163" s="238">
        <f t="shared" si="94"/>
        <v>0</v>
      </c>
      <c r="AH163" s="238">
        <f t="shared" si="95"/>
        <v>6149990</v>
      </c>
      <c r="AI163" s="209">
        <f t="shared" si="96"/>
        <v>2006</v>
      </c>
      <c r="AJ163" s="210">
        <f t="shared" si="97"/>
        <v>10</v>
      </c>
    </row>
    <row r="164" spans="1:37" s="41" customFormat="1" ht="30.75" hidden="1" customHeight="1" x14ac:dyDescent="0.2">
      <c r="A164" s="41" t="s">
        <v>2296</v>
      </c>
      <c r="B164" s="69"/>
      <c r="C164" s="65" t="s">
        <v>179</v>
      </c>
      <c r="D164" s="65" t="s">
        <v>180</v>
      </c>
      <c r="E164" s="40"/>
      <c r="F164" s="65" t="s">
        <v>206</v>
      </c>
      <c r="G164" s="40"/>
      <c r="H164" s="65" t="s">
        <v>181</v>
      </c>
      <c r="I164" s="32">
        <v>2006</v>
      </c>
      <c r="J164" s="40"/>
      <c r="K164" s="72"/>
      <c r="L164" s="40"/>
      <c r="M164" s="40"/>
      <c r="N164" s="40"/>
      <c r="O164" s="32" t="s">
        <v>12</v>
      </c>
      <c r="P164" s="251">
        <v>2400000</v>
      </c>
      <c r="Q164" s="61" t="s">
        <v>43</v>
      </c>
      <c r="W164" s="206" t="str">
        <f t="shared" si="84"/>
        <v>2.06.03</v>
      </c>
      <c r="X164" s="207" t="str">
        <f t="shared" si="85"/>
        <v>KOMPUTER</v>
      </c>
      <c r="Y164" s="207">
        <f t="shared" si="86"/>
        <v>4</v>
      </c>
      <c r="Z164" s="233">
        <f t="shared" si="87"/>
        <v>599997.5</v>
      </c>
      <c r="AA164" s="208">
        <f t="shared" si="88"/>
        <v>7</v>
      </c>
      <c r="AB164" s="233">
        <f t="shared" si="89"/>
        <v>2399990</v>
      </c>
      <c r="AC164" s="233">
        <f t="shared" si="90"/>
        <v>0</v>
      </c>
      <c r="AD164" s="233">
        <f t="shared" si="91"/>
        <v>0</v>
      </c>
      <c r="AE164" s="233">
        <f t="shared" si="92"/>
        <v>0</v>
      </c>
      <c r="AF164" s="233">
        <f t="shared" si="93"/>
        <v>0</v>
      </c>
      <c r="AG164" s="238">
        <f t="shared" si="94"/>
        <v>0</v>
      </c>
      <c r="AH164" s="238">
        <f t="shared" si="95"/>
        <v>2399990</v>
      </c>
      <c r="AI164" s="209">
        <f t="shared" si="96"/>
        <v>2006</v>
      </c>
      <c r="AJ164" s="210">
        <f t="shared" si="97"/>
        <v>10</v>
      </c>
    </row>
    <row r="165" spans="1:37" s="41" customFormat="1" ht="30.75" customHeight="1" x14ac:dyDescent="0.2">
      <c r="A165" s="41" t="s">
        <v>2296</v>
      </c>
      <c r="B165" s="69"/>
      <c r="C165" s="65" t="s">
        <v>182</v>
      </c>
      <c r="D165" s="65" t="s">
        <v>183</v>
      </c>
      <c r="E165" s="40"/>
      <c r="F165" s="65" t="s">
        <v>195</v>
      </c>
      <c r="G165" s="40"/>
      <c r="H165" s="65" t="s">
        <v>174</v>
      </c>
      <c r="I165" s="32">
        <v>2006</v>
      </c>
      <c r="J165" s="40"/>
      <c r="K165" s="72"/>
      <c r="L165" s="40"/>
      <c r="M165" s="40"/>
      <c r="N165" s="40"/>
      <c r="O165" s="32" t="s">
        <v>12</v>
      </c>
      <c r="P165" s="251">
        <v>360000</v>
      </c>
      <c r="Q165" s="61" t="s">
        <v>43</v>
      </c>
      <c r="V165" s="41" t="s">
        <v>2615</v>
      </c>
      <c r="W165" s="206" t="str">
        <f t="shared" si="84"/>
        <v>2.06.03</v>
      </c>
      <c r="X165" s="207" t="str">
        <f t="shared" si="85"/>
        <v>KOMPUTER</v>
      </c>
      <c r="Y165" s="207">
        <f t="shared" si="86"/>
        <v>4</v>
      </c>
      <c r="Z165" s="233">
        <f t="shared" si="87"/>
        <v>89997.5</v>
      </c>
      <c r="AA165" s="208">
        <f t="shared" si="88"/>
        <v>7</v>
      </c>
      <c r="AB165" s="233">
        <f t="shared" si="89"/>
        <v>359990</v>
      </c>
      <c r="AC165" s="233">
        <f t="shared" si="90"/>
        <v>0</v>
      </c>
      <c r="AD165" s="233">
        <f t="shared" si="91"/>
        <v>0</v>
      </c>
      <c r="AE165" s="233">
        <f t="shared" si="92"/>
        <v>0</v>
      </c>
      <c r="AF165" s="233">
        <f t="shared" si="93"/>
        <v>0</v>
      </c>
      <c r="AG165" s="238">
        <f t="shared" si="94"/>
        <v>0</v>
      </c>
      <c r="AH165" s="238">
        <f t="shared" si="95"/>
        <v>359990</v>
      </c>
      <c r="AI165" s="209">
        <f t="shared" si="96"/>
        <v>2006</v>
      </c>
      <c r="AJ165" s="210">
        <f t="shared" si="97"/>
        <v>10</v>
      </c>
      <c r="AK165" s="285">
        <f>AH165-AG165</f>
        <v>359990</v>
      </c>
    </row>
    <row r="166" spans="1:37" s="41" customFormat="1" ht="30.75" hidden="1" customHeight="1" x14ac:dyDescent="0.2">
      <c r="A166" s="41" t="s">
        <v>2297</v>
      </c>
      <c r="B166" s="69"/>
      <c r="C166" s="65" t="s">
        <v>236</v>
      </c>
      <c r="D166" s="65" t="s">
        <v>237</v>
      </c>
      <c r="E166" s="40"/>
      <c r="F166" s="65" t="s">
        <v>199</v>
      </c>
      <c r="G166" s="40"/>
      <c r="H166" s="65" t="s">
        <v>238</v>
      </c>
      <c r="I166" s="32">
        <v>2006</v>
      </c>
      <c r="J166" s="40"/>
      <c r="K166" s="72"/>
      <c r="L166" s="40"/>
      <c r="M166" s="40"/>
      <c r="N166" s="40"/>
      <c r="O166" s="32" t="s">
        <v>12</v>
      </c>
      <c r="P166" s="251">
        <v>1125000</v>
      </c>
      <c r="Q166" s="61" t="s">
        <v>43</v>
      </c>
      <c r="W166" s="206" t="str">
        <f t="shared" si="84"/>
        <v>2.06.02</v>
      </c>
      <c r="X166" s="207" t="str">
        <f t="shared" si="85"/>
        <v>ALAT RUMAH TANGGA</v>
      </c>
      <c r="Y166" s="207">
        <f t="shared" si="86"/>
        <v>5</v>
      </c>
      <c r="Z166" s="233">
        <f t="shared" si="87"/>
        <v>224998</v>
      </c>
      <c r="AA166" s="208">
        <f t="shared" si="88"/>
        <v>7</v>
      </c>
      <c r="AB166" s="233">
        <f t="shared" si="89"/>
        <v>1124990</v>
      </c>
      <c r="AC166" s="233">
        <f t="shared" si="90"/>
        <v>0</v>
      </c>
      <c r="AD166" s="233">
        <f t="shared" si="91"/>
        <v>0</v>
      </c>
      <c r="AE166" s="233">
        <f t="shared" si="92"/>
        <v>0</v>
      </c>
      <c r="AF166" s="233">
        <f t="shared" si="93"/>
        <v>0</v>
      </c>
      <c r="AG166" s="238">
        <f t="shared" si="94"/>
        <v>0</v>
      </c>
      <c r="AH166" s="238">
        <f t="shared" si="95"/>
        <v>1124990</v>
      </c>
      <c r="AI166" s="209">
        <f t="shared" si="96"/>
        <v>2006</v>
      </c>
      <c r="AJ166" s="210">
        <f t="shared" si="97"/>
        <v>10</v>
      </c>
    </row>
    <row r="167" spans="1:37" s="41" customFormat="1" ht="30.75" hidden="1" customHeight="1" x14ac:dyDescent="0.2">
      <c r="A167" s="41" t="s">
        <v>2297</v>
      </c>
      <c r="B167" s="69"/>
      <c r="C167" s="65" t="s">
        <v>171</v>
      </c>
      <c r="D167" s="65" t="s">
        <v>172</v>
      </c>
      <c r="E167" s="40"/>
      <c r="F167" s="65" t="s">
        <v>173</v>
      </c>
      <c r="G167" s="40"/>
      <c r="H167" s="65" t="s">
        <v>174</v>
      </c>
      <c r="I167" s="32">
        <v>2006</v>
      </c>
      <c r="J167" s="40"/>
      <c r="K167" s="72"/>
      <c r="L167" s="40"/>
      <c r="M167" s="40"/>
      <c r="N167" s="40"/>
      <c r="O167" s="32" t="s">
        <v>12</v>
      </c>
      <c r="P167" s="251">
        <v>3750000</v>
      </c>
      <c r="Q167" s="61" t="s">
        <v>43</v>
      </c>
      <c r="W167" s="206" t="str">
        <f t="shared" si="84"/>
        <v>2.06.02</v>
      </c>
      <c r="X167" s="207" t="str">
        <f t="shared" si="85"/>
        <v>ALAT RUMAH TANGGA</v>
      </c>
      <c r="Y167" s="207">
        <f t="shared" si="86"/>
        <v>5</v>
      </c>
      <c r="Z167" s="233">
        <f t="shared" si="87"/>
        <v>749998</v>
      </c>
      <c r="AA167" s="208">
        <f t="shared" si="88"/>
        <v>7</v>
      </c>
      <c r="AB167" s="233">
        <f t="shared" si="89"/>
        <v>3749990</v>
      </c>
      <c r="AC167" s="233">
        <f t="shared" si="90"/>
        <v>0</v>
      </c>
      <c r="AD167" s="233">
        <f t="shared" si="91"/>
        <v>0</v>
      </c>
      <c r="AE167" s="233">
        <f t="shared" si="92"/>
        <v>0</v>
      </c>
      <c r="AF167" s="233">
        <f t="shared" si="93"/>
        <v>0</v>
      </c>
      <c r="AG167" s="238">
        <f t="shared" si="94"/>
        <v>0</v>
      </c>
      <c r="AH167" s="238">
        <f t="shared" si="95"/>
        <v>3749990</v>
      </c>
      <c r="AI167" s="209">
        <f t="shared" si="96"/>
        <v>2006</v>
      </c>
      <c r="AJ167" s="210">
        <f t="shared" si="97"/>
        <v>10</v>
      </c>
    </row>
    <row r="168" spans="1:37" s="41" customFormat="1" ht="30.75" customHeight="1" x14ac:dyDescent="0.2">
      <c r="A168" s="41" t="s">
        <v>2297</v>
      </c>
      <c r="B168" s="69"/>
      <c r="C168" s="65" t="s">
        <v>239</v>
      </c>
      <c r="D168" s="65" t="s">
        <v>240</v>
      </c>
      <c r="E168" s="40"/>
      <c r="F168" s="65" t="s">
        <v>199</v>
      </c>
      <c r="G168" s="40"/>
      <c r="H168" s="65" t="s">
        <v>238</v>
      </c>
      <c r="I168" s="32">
        <v>2006</v>
      </c>
      <c r="J168" s="40"/>
      <c r="K168" s="72"/>
      <c r="L168" s="40"/>
      <c r="M168" s="40"/>
      <c r="N168" s="40"/>
      <c r="O168" s="32" t="s">
        <v>12</v>
      </c>
      <c r="P168" s="251">
        <v>375000</v>
      </c>
      <c r="Q168" s="61" t="s">
        <v>43</v>
      </c>
      <c r="V168" s="41" t="s">
        <v>2615</v>
      </c>
      <c r="W168" s="206" t="str">
        <f t="shared" si="84"/>
        <v>2.06.02</v>
      </c>
      <c r="X168" s="207" t="str">
        <f t="shared" si="85"/>
        <v>ALAT RUMAH TANGGA</v>
      </c>
      <c r="Y168" s="207">
        <f t="shared" si="86"/>
        <v>5</v>
      </c>
      <c r="Z168" s="233">
        <f t="shared" si="87"/>
        <v>74998</v>
      </c>
      <c r="AA168" s="208">
        <f t="shared" si="88"/>
        <v>7</v>
      </c>
      <c r="AB168" s="233">
        <f t="shared" si="89"/>
        <v>374990</v>
      </c>
      <c r="AC168" s="233">
        <f t="shared" si="90"/>
        <v>0</v>
      </c>
      <c r="AD168" s="233">
        <f t="shared" si="91"/>
        <v>0</v>
      </c>
      <c r="AE168" s="233">
        <f t="shared" si="92"/>
        <v>0</v>
      </c>
      <c r="AF168" s="233">
        <f t="shared" si="93"/>
        <v>0</v>
      </c>
      <c r="AG168" s="238">
        <f t="shared" si="94"/>
        <v>0</v>
      </c>
      <c r="AH168" s="238">
        <f t="shared" si="95"/>
        <v>374990</v>
      </c>
      <c r="AI168" s="209">
        <f t="shared" si="96"/>
        <v>2006</v>
      </c>
      <c r="AJ168" s="210">
        <f t="shared" si="97"/>
        <v>10</v>
      </c>
      <c r="AK168" s="285">
        <f>AH168-AG168</f>
        <v>374990</v>
      </c>
    </row>
    <row r="169" spans="1:37" s="41" customFormat="1" ht="30.75" hidden="1" customHeight="1" x14ac:dyDescent="0.2">
      <c r="A169" s="41" t="s">
        <v>2297</v>
      </c>
      <c r="B169" s="69"/>
      <c r="C169" s="65" t="s">
        <v>241</v>
      </c>
      <c r="D169" s="65" t="s">
        <v>242</v>
      </c>
      <c r="E169" s="40"/>
      <c r="F169" s="65" t="s">
        <v>199</v>
      </c>
      <c r="G169" s="40"/>
      <c r="H169" s="65" t="s">
        <v>213</v>
      </c>
      <c r="I169" s="32">
        <v>2006</v>
      </c>
      <c r="J169" s="40"/>
      <c r="K169" s="72"/>
      <c r="L169" s="40"/>
      <c r="M169" s="40"/>
      <c r="N169" s="40"/>
      <c r="O169" s="32" t="s">
        <v>12</v>
      </c>
      <c r="P169" s="251">
        <v>2250000</v>
      </c>
      <c r="Q169" s="61" t="s">
        <v>43</v>
      </c>
      <c r="W169" s="206" t="str">
        <f t="shared" si="84"/>
        <v>2.06.02</v>
      </c>
      <c r="X169" s="207" t="str">
        <f t="shared" si="85"/>
        <v>ALAT RUMAH TANGGA</v>
      </c>
      <c r="Y169" s="207">
        <f t="shared" si="86"/>
        <v>5</v>
      </c>
      <c r="Z169" s="233">
        <f t="shared" si="87"/>
        <v>449998</v>
      </c>
      <c r="AA169" s="208">
        <f t="shared" si="88"/>
        <v>7</v>
      </c>
      <c r="AB169" s="233">
        <f t="shared" si="89"/>
        <v>2249990</v>
      </c>
      <c r="AC169" s="233">
        <f t="shared" si="90"/>
        <v>0</v>
      </c>
      <c r="AD169" s="233">
        <f t="shared" si="91"/>
        <v>0</v>
      </c>
      <c r="AE169" s="233">
        <f t="shared" si="92"/>
        <v>0</v>
      </c>
      <c r="AF169" s="233">
        <f t="shared" si="93"/>
        <v>0</v>
      </c>
      <c r="AG169" s="238">
        <f t="shared" si="94"/>
        <v>0</v>
      </c>
      <c r="AH169" s="238">
        <f t="shared" si="95"/>
        <v>2249990</v>
      </c>
      <c r="AI169" s="209">
        <f t="shared" si="96"/>
        <v>2006</v>
      </c>
      <c r="AJ169" s="210">
        <f t="shared" si="97"/>
        <v>10</v>
      </c>
    </row>
    <row r="170" spans="1:37" s="41" customFormat="1" ht="30.75" customHeight="1" x14ac:dyDescent="0.2">
      <c r="A170" s="41" t="s">
        <v>2297</v>
      </c>
      <c r="B170" s="69"/>
      <c r="C170" s="65" t="s">
        <v>239</v>
      </c>
      <c r="D170" s="65" t="s">
        <v>240</v>
      </c>
      <c r="E170" s="40"/>
      <c r="F170" s="65" t="s">
        <v>199</v>
      </c>
      <c r="G170" s="40"/>
      <c r="H170" s="65" t="s">
        <v>238</v>
      </c>
      <c r="I170" s="32">
        <v>2006</v>
      </c>
      <c r="J170" s="40"/>
      <c r="K170" s="72"/>
      <c r="L170" s="40"/>
      <c r="M170" s="40"/>
      <c r="N170" s="40"/>
      <c r="O170" s="32" t="s">
        <v>12</v>
      </c>
      <c r="P170" s="251">
        <v>375000</v>
      </c>
      <c r="Q170" s="61" t="s">
        <v>43</v>
      </c>
      <c r="V170" s="41" t="s">
        <v>2615</v>
      </c>
      <c r="W170" s="206" t="str">
        <f t="shared" si="84"/>
        <v>2.06.02</v>
      </c>
      <c r="X170" s="207" t="str">
        <f t="shared" si="85"/>
        <v>ALAT RUMAH TANGGA</v>
      </c>
      <c r="Y170" s="207">
        <f t="shared" si="86"/>
        <v>5</v>
      </c>
      <c r="Z170" s="233">
        <f t="shared" si="87"/>
        <v>74998</v>
      </c>
      <c r="AA170" s="208">
        <f t="shared" si="88"/>
        <v>7</v>
      </c>
      <c r="AB170" s="233">
        <f t="shared" si="89"/>
        <v>374990</v>
      </c>
      <c r="AC170" s="233">
        <f t="shared" si="90"/>
        <v>0</v>
      </c>
      <c r="AD170" s="233">
        <f t="shared" si="91"/>
        <v>0</v>
      </c>
      <c r="AE170" s="233">
        <f t="shared" si="92"/>
        <v>0</v>
      </c>
      <c r="AF170" s="233">
        <f t="shared" si="93"/>
        <v>0</v>
      </c>
      <c r="AG170" s="238">
        <f t="shared" si="94"/>
        <v>0</v>
      </c>
      <c r="AH170" s="238">
        <f t="shared" si="95"/>
        <v>374990</v>
      </c>
      <c r="AI170" s="209">
        <f t="shared" si="96"/>
        <v>2006</v>
      </c>
      <c r="AJ170" s="210">
        <f t="shared" si="97"/>
        <v>10</v>
      </c>
      <c r="AK170" s="285">
        <f>AH170-AG170</f>
        <v>374990</v>
      </c>
    </row>
    <row r="171" spans="1:37" s="41" customFormat="1" ht="30.75" hidden="1" customHeight="1" x14ac:dyDescent="0.2">
      <c r="A171" s="41" t="s">
        <v>2297</v>
      </c>
      <c r="B171" s="69"/>
      <c r="C171" s="65" t="s">
        <v>197</v>
      </c>
      <c r="D171" s="65" t="s">
        <v>243</v>
      </c>
      <c r="E171" s="40"/>
      <c r="F171" s="65" t="s">
        <v>199</v>
      </c>
      <c r="G171" s="40"/>
      <c r="H171" s="65" t="s">
        <v>238</v>
      </c>
      <c r="I171" s="32">
        <v>2006</v>
      </c>
      <c r="J171" s="40"/>
      <c r="K171" s="72"/>
      <c r="L171" s="40"/>
      <c r="M171" s="40"/>
      <c r="N171" s="40"/>
      <c r="O171" s="32" t="s">
        <v>12</v>
      </c>
      <c r="P171" s="251">
        <v>1125000</v>
      </c>
      <c r="Q171" s="61" t="s">
        <v>43</v>
      </c>
      <c r="W171" s="206" t="str">
        <f t="shared" si="84"/>
        <v>2.06.02</v>
      </c>
      <c r="X171" s="207" t="str">
        <f t="shared" si="85"/>
        <v>ALAT RUMAH TANGGA</v>
      </c>
      <c r="Y171" s="207">
        <f t="shared" si="86"/>
        <v>5</v>
      </c>
      <c r="Z171" s="233">
        <f t="shared" si="87"/>
        <v>224998</v>
      </c>
      <c r="AA171" s="208">
        <f t="shared" si="88"/>
        <v>7</v>
      </c>
      <c r="AB171" s="233">
        <f t="shared" si="89"/>
        <v>1124990</v>
      </c>
      <c r="AC171" s="233">
        <f t="shared" si="90"/>
        <v>0</v>
      </c>
      <c r="AD171" s="233">
        <f t="shared" si="91"/>
        <v>0</v>
      </c>
      <c r="AE171" s="233">
        <f t="shared" si="92"/>
        <v>0</v>
      </c>
      <c r="AF171" s="233">
        <f t="shared" si="93"/>
        <v>0</v>
      </c>
      <c r="AG171" s="238">
        <f t="shared" si="94"/>
        <v>0</v>
      </c>
      <c r="AH171" s="238">
        <f t="shared" si="95"/>
        <v>1124990</v>
      </c>
      <c r="AI171" s="209">
        <f t="shared" si="96"/>
        <v>2006</v>
      </c>
      <c r="AJ171" s="210">
        <f t="shared" si="97"/>
        <v>10</v>
      </c>
    </row>
    <row r="172" spans="1:37" s="41" customFormat="1" ht="30.75" hidden="1" customHeight="1" x14ac:dyDescent="0.2">
      <c r="A172" s="41" t="s">
        <v>2297</v>
      </c>
      <c r="B172" s="69"/>
      <c r="C172" s="65" t="s">
        <v>239</v>
      </c>
      <c r="D172" s="65" t="s">
        <v>240</v>
      </c>
      <c r="E172" s="40"/>
      <c r="F172" s="65" t="s">
        <v>244</v>
      </c>
      <c r="G172" s="40"/>
      <c r="H172" s="65" t="s">
        <v>238</v>
      </c>
      <c r="I172" s="32">
        <v>2006</v>
      </c>
      <c r="J172" s="40"/>
      <c r="K172" s="72"/>
      <c r="L172" s="40"/>
      <c r="M172" s="40"/>
      <c r="N172" s="40"/>
      <c r="O172" s="32" t="s">
        <v>12</v>
      </c>
      <c r="P172" s="251">
        <v>600000</v>
      </c>
      <c r="Q172" s="61" t="s">
        <v>43</v>
      </c>
      <c r="W172" s="206" t="str">
        <f t="shared" si="84"/>
        <v>2.06.02</v>
      </c>
      <c r="X172" s="207" t="str">
        <f t="shared" si="85"/>
        <v>ALAT RUMAH TANGGA</v>
      </c>
      <c r="Y172" s="207">
        <f t="shared" si="86"/>
        <v>5</v>
      </c>
      <c r="Z172" s="233">
        <f t="shared" si="87"/>
        <v>119998</v>
      </c>
      <c r="AA172" s="208">
        <f t="shared" si="88"/>
        <v>7</v>
      </c>
      <c r="AB172" s="233">
        <f t="shared" si="89"/>
        <v>599990</v>
      </c>
      <c r="AC172" s="233">
        <f t="shared" si="90"/>
        <v>0</v>
      </c>
      <c r="AD172" s="233">
        <f t="shared" si="91"/>
        <v>0</v>
      </c>
      <c r="AE172" s="233">
        <f t="shared" si="92"/>
        <v>0</v>
      </c>
      <c r="AF172" s="233">
        <f t="shared" si="93"/>
        <v>0</v>
      </c>
      <c r="AG172" s="238">
        <f t="shared" si="94"/>
        <v>0</v>
      </c>
      <c r="AH172" s="238">
        <f t="shared" si="95"/>
        <v>599990</v>
      </c>
      <c r="AI172" s="209">
        <f t="shared" si="96"/>
        <v>2006</v>
      </c>
      <c r="AJ172" s="210">
        <f t="shared" si="97"/>
        <v>10</v>
      </c>
    </row>
    <row r="173" spans="1:37" s="41" customFormat="1" ht="30.75" hidden="1" customHeight="1" x14ac:dyDescent="0.2">
      <c r="A173" s="41" t="s">
        <v>2297</v>
      </c>
      <c r="B173" s="69"/>
      <c r="C173" s="65" t="s">
        <v>245</v>
      </c>
      <c r="D173" s="65" t="s">
        <v>246</v>
      </c>
      <c r="E173" s="40"/>
      <c r="F173" s="65" t="s">
        <v>195</v>
      </c>
      <c r="G173" s="40"/>
      <c r="H173" s="65" t="s">
        <v>222</v>
      </c>
      <c r="I173" s="32">
        <v>2006</v>
      </c>
      <c r="J173" s="40"/>
      <c r="K173" s="72"/>
      <c r="L173" s="40"/>
      <c r="M173" s="40"/>
      <c r="N173" s="40"/>
      <c r="O173" s="32" t="s">
        <v>12</v>
      </c>
      <c r="P173" s="251">
        <v>63000000</v>
      </c>
      <c r="Q173" s="61" t="s">
        <v>43</v>
      </c>
      <c r="W173" s="206" t="str">
        <f t="shared" si="84"/>
        <v>2.06.02</v>
      </c>
      <c r="X173" s="207" t="str">
        <f t="shared" si="85"/>
        <v>ALAT RUMAH TANGGA</v>
      </c>
      <c r="Y173" s="207">
        <f t="shared" si="86"/>
        <v>5</v>
      </c>
      <c r="Z173" s="233">
        <f t="shared" si="87"/>
        <v>12599998</v>
      </c>
      <c r="AA173" s="208">
        <f t="shared" si="88"/>
        <v>7</v>
      </c>
      <c r="AB173" s="233">
        <f t="shared" si="89"/>
        <v>62999990</v>
      </c>
      <c r="AC173" s="233">
        <f t="shared" si="90"/>
        <v>0</v>
      </c>
      <c r="AD173" s="233">
        <f t="shared" si="91"/>
        <v>0</v>
      </c>
      <c r="AE173" s="233">
        <f t="shared" si="92"/>
        <v>0</v>
      </c>
      <c r="AF173" s="233">
        <f t="shared" si="93"/>
        <v>0</v>
      </c>
      <c r="AG173" s="238">
        <f t="shared" si="94"/>
        <v>0</v>
      </c>
      <c r="AH173" s="238">
        <f t="shared" si="95"/>
        <v>62999990</v>
      </c>
      <c r="AI173" s="209">
        <f t="shared" si="96"/>
        <v>2006</v>
      </c>
      <c r="AJ173" s="210">
        <f t="shared" si="97"/>
        <v>10</v>
      </c>
    </row>
    <row r="174" spans="1:37" s="41" customFormat="1" ht="30.75" hidden="1" customHeight="1" x14ac:dyDescent="0.2">
      <c r="A174" s="41" t="s">
        <v>2297</v>
      </c>
      <c r="B174" s="69"/>
      <c r="C174" s="65" t="s">
        <v>171</v>
      </c>
      <c r="D174" s="65" t="s">
        <v>172</v>
      </c>
      <c r="E174" s="40"/>
      <c r="F174" s="65" t="s">
        <v>173</v>
      </c>
      <c r="G174" s="40"/>
      <c r="H174" s="65" t="s">
        <v>174</v>
      </c>
      <c r="I174" s="32">
        <v>2006</v>
      </c>
      <c r="J174" s="40"/>
      <c r="K174" s="72"/>
      <c r="L174" s="40"/>
      <c r="M174" s="40"/>
      <c r="N174" s="40"/>
      <c r="O174" s="32" t="s">
        <v>12</v>
      </c>
      <c r="P174" s="251">
        <v>1787500</v>
      </c>
      <c r="Q174" s="61" t="s">
        <v>43</v>
      </c>
      <c r="W174" s="206" t="str">
        <f t="shared" si="84"/>
        <v>2.06.02</v>
      </c>
      <c r="X174" s="207" t="str">
        <f t="shared" si="85"/>
        <v>ALAT RUMAH TANGGA</v>
      </c>
      <c r="Y174" s="207">
        <f t="shared" si="86"/>
        <v>5</v>
      </c>
      <c r="Z174" s="233">
        <f t="shared" si="87"/>
        <v>357498</v>
      </c>
      <c r="AA174" s="208">
        <f t="shared" si="88"/>
        <v>7</v>
      </c>
      <c r="AB174" s="233">
        <f t="shared" si="89"/>
        <v>1787490</v>
      </c>
      <c r="AC174" s="233">
        <f t="shared" si="90"/>
        <v>0</v>
      </c>
      <c r="AD174" s="233">
        <f t="shared" si="91"/>
        <v>0</v>
      </c>
      <c r="AE174" s="233">
        <f t="shared" si="92"/>
        <v>0</v>
      </c>
      <c r="AF174" s="233">
        <f t="shared" si="93"/>
        <v>0</v>
      </c>
      <c r="AG174" s="238">
        <f t="shared" si="94"/>
        <v>0</v>
      </c>
      <c r="AH174" s="238">
        <f t="shared" si="95"/>
        <v>1787490</v>
      </c>
      <c r="AI174" s="209">
        <f t="shared" si="96"/>
        <v>2006</v>
      </c>
      <c r="AJ174" s="210">
        <f t="shared" si="97"/>
        <v>10</v>
      </c>
    </row>
    <row r="175" spans="1:37" s="41" customFormat="1" ht="30.75" hidden="1" customHeight="1" x14ac:dyDescent="0.2">
      <c r="A175" s="41" t="s">
        <v>2296</v>
      </c>
      <c r="B175" s="69"/>
      <c r="C175" s="65" t="s">
        <v>182</v>
      </c>
      <c r="D175" s="65" t="s">
        <v>183</v>
      </c>
      <c r="E175" s="40"/>
      <c r="F175" s="65" t="s">
        <v>184</v>
      </c>
      <c r="G175" s="40"/>
      <c r="H175" s="65" t="s">
        <v>174</v>
      </c>
      <c r="I175" s="32">
        <v>2006</v>
      </c>
      <c r="J175" s="40"/>
      <c r="K175" s="72"/>
      <c r="L175" s="40"/>
      <c r="M175" s="40"/>
      <c r="N175" s="40"/>
      <c r="O175" s="32" t="s">
        <v>12</v>
      </c>
      <c r="P175" s="251">
        <v>1117500</v>
      </c>
      <c r="Q175" s="61" t="s">
        <v>43</v>
      </c>
      <c r="W175" s="206" t="str">
        <f t="shared" si="84"/>
        <v>2.06.03</v>
      </c>
      <c r="X175" s="207" t="str">
        <f t="shared" si="85"/>
        <v>KOMPUTER</v>
      </c>
      <c r="Y175" s="207">
        <f t="shared" si="86"/>
        <v>4</v>
      </c>
      <c r="Z175" s="233">
        <f t="shared" si="87"/>
        <v>279372.5</v>
      </c>
      <c r="AA175" s="208">
        <f t="shared" si="88"/>
        <v>7</v>
      </c>
      <c r="AB175" s="233">
        <f t="shared" si="89"/>
        <v>1117490</v>
      </c>
      <c r="AC175" s="233">
        <f t="shared" si="90"/>
        <v>0</v>
      </c>
      <c r="AD175" s="233">
        <f t="shared" si="91"/>
        <v>0</v>
      </c>
      <c r="AE175" s="233">
        <f t="shared" si="92"/>
        <v>0</v>
      </c>
      <c r="AF175" s="233">
        <f t="shared" si="93"/>
        <v>0</v>
      </c>
      <c r="AG175" s="238">
        <f t="shared" si="94"/>
        <v>0</v>
      </c>
      <c r="AH175" s="238">
        <f t="shared" si="95"/>
        <v>1117490</v>
      </c>
      <c r="AI175" s="209">
        <f t="shared" si="96"/>
        <v>2006</v>
      </c>
      <c r="AJ175" s="210">
        <f t="shared" si="97"/>
        <v>10</v>
      </c>
    </row>
    <row r="176" spans="1:37" s="41" customFormat="1" ht="30.75" hidden="1" customHeight="1" x14ac:dyDescent="0.2">
      <c r="A176" s="41" t="s">
        <v>2296</v>
      </c>
      <c r="B176" s="69"/>
      <c r="C176" s="65" t="s">
        <v>179</v>
      </c>
      <c r="D176" s="65" t="s">
        <v>180</v>
      </c>
      <c r="E176" s="40"/>
      <c r="F176" s="65" t="s">
        <v>227</v>
      </c>
      <c r="G176" s="40"/>
      <c r="H176" s="65" t="s">
        <v>181</v>
      </c>
      <c r="I176" s="32">
        <v>2006</v>
      </c>
      <c r="J176" s="40"/>
      <c r="K176" s="72"/>
      <c r="L176" s="40"/>
      <c r="M176" s="40"/>
      <c r="N176" s="40"/>
      <c r="O176" s="32" t="s">
        <v>12</v>
      </c>
      <c r="P176" s="251">
        <v>2475000</v>
      </c>
      <c r="Q176" s="61" t="s">
        <v>43</v>
      </c>
      <c r="W176" s="206" t="str">
        <f t="shared" ref="W176:W239" si="98">A176</f>
        <v>2.06.03</v>
      </c>
      <c r="X176" s="207" t="str">
        <f t="shared" ref="X176:X239" si="99">VLOOKUP(W176,kelompok,2,0)</f>
        <v>KOMPUTER</v>
      </c>
      <c r="Y176" s="207">
        <f t="shared" ref="Y176:Y239" si="100">VLOOKUP(W176,MASAMANFAAT,4,0)</f>
        <v>4</v>
      </c>
      <c r="Z176" s="233">
        <f t="shared" ref="Z176:Z239" si="101">(P176-10)/Y176</f>
        <v>618747.5</v>
      </c>
      <c r="AA176" s="208">
        <f t="shared" ref="AA176:AA239" si="102">2013-AI176</f>
        <v>7</v>
      </c>
      <c r="AB176" s="233">
        <f t="shared" ref="AB176:AB239" si="103">IF(AA176&gt;Y176,P176-10,Z176*AA176)</f>
        <v>2474990</v>
      </c>
      <c r="AC176" s="233">
        <f t="shared" ref="AC176:AC239" si="104">IF(P176-10=AB176,0,Z176)</f>
        <v>0</v>
      </c>
      <c r="AD176" s="233">
        <f t="shared" ref="AD176:AD239" si="105">IF(P176-10=AB176+AC176,0,Z176)</f>
        <v>0</v>
      </c>
      <c r="AE176" s="233">
        <f t="shared" ref="AE176:AE239" si="106">IF(P176-10=AB176+AC176+AD176,0,Z176)</f>
        <v>0</v>
      </c>
      <c r="AF176" s="233">
        <f t="shared" ref="AF176:AF239" si="107">IF(P176-10=AB176+AC176+AD176+AE176,0,Z176)</f>
        <v>0</v>
      </c>
      <c r="AG176" s="238">
        <f t="shared" ref="AG176:AG239" si="108">IF(P176-10=AB176+AC176+AD176+AE176+AF176,0,Z176)</f>
        <v>0</v>
      </c>
      <c r="AH176" s="238">
        <f t="shared" ref="AH176:AH239" si="109">SUM(AB176:AG176)</f>
        <v>2474990</v>
      </c>
      <c r="AI176" s="209">
        <f t="shared" ref="AI176:AI239" si="110">I176</f>
        <v>2006</v>
      </c>
      <c r="AJ176" s="210">
        <f t="shared" ref="AJ176:AJ239" si="111">P176-AH176</f>
        <v>10</v>
      </c>
    </row>
    <row r="177" spans="1:37" s="41" customFormat="1" ht="30.75" hidden="1" customHeight="1" x14ac:dyDescent="0.2">
      <c r="A177" s="41" t="s">
        <v>2297</v>
      </c>
      <c r="B177" s="69"/>
      <c r="C177" s="65" t="s">
        <v>208</v>
      </c>
      <c r="D177" s="65" t="s">
        <v>209</v>
      </c>
      <c r="E177" s="40"/>
      <c r="F177" s="65" t="s">
        <v>199</v>
      </c>
      <c r="G177" s="40"/>
      <c r="H177" s="65" t="s">
        <v>247</v>
      </c>
      <c r="I177" s="32">
        <v>2006</v>
      </c>
      <c r="J177" s="40"/>
      <c r="K177" s="72"/>
      <c r="L177" s="40"/>
      <c r="M177" s="40"/>
      <c r="N177" s="40"/>
      <c r="O177" s="32" t="s">
        <v>12</v>
      </c>
      <c r="P177" s="251">
        <v>525000</v>
      </c>
      <c r="Q177" s="61" t="s">
        <v>43</v>
      </c>
      <c r="W177" s="206" t="str">
        <f t="shared" si="98"/>
        <v>2.06.02</v>
      </c>
      <c r="X177" s="207" t="str">
        <f t="shared" si="99"/>
        <v>ALAT RUMAH TANGGA</v>
      </c>
      <c r="Y177" s="207">
        <f t="shared" si="100"/>
        <v>5</v>
      </c>
      <c r="Z177" s="233">
        <f t="shared" si="101"/>
        <v>104998</v>
      </c>
      <c r="AA177" s="208">
        <f t="shared" si="102"/>
        <v>7</v>
      </c>
      <c r="AB177" s="233">
        <f t="shared" si="103"/>
        <v>524990</v>
      </c>
      <c r="AC177" s="233">
        <f t="shared" si="104"/>
        <v>0</v>
      </c>
      <c r="AD177" s="233">
        <f t="shared" si="105"/>
        <v>0</v>
      </c>
      <c r="AE177" s="233">
        <f t="shared" si="106"/>
        <v>0</v>
      </c>
      <c r="AF177" s="233">
        <f t="shared" si="107"/>
        <v>0</v>
      </c>
      <c r="AG177" s="238">
        <f t="shared" si="108"/>
        <v>0</v>
      </c>
      <c r="AH177" s="238">
        <f t="shared" si="109"/>
        <v>524990</v>
      </c>
      <c r="AI177" s="209">
        <f t="shared" si="110"/>
        <v>2006</v>
      </c>
      <c r="AJ177" s="210">
        <f t="shared" si="111"/>
        <v>10</v>
      </c>
    </row>
    <row r="178" spans="1:37" s="41" customFormat="1" ht="30.75" hidden="1" customHeight="1" x14ac:dyDescent="0.2">
      <c r="A178" s="41" t="s">
        <v>2296</v>
      </c>
      <c r="B178" s="69"/>
      <c r="C178" s="65" t="s">
        <v>182</v>
      </c>
      <c r="D178" s="65" t="s">
        <v>183</v>
      </c>
      <c r="E178" s="40"/>
      <c r="F178" s="65" t="s">
        <v>184</v>
      </c>
      <c r="G178" s="40"/>
      <c r="H178" s="65" t="s">
        <v>174</v>
      </c>
      <c r="I178" s="32">
        <v>2006</v>
      </c>
      <c r="J178" s="40"/>
      <c r="K178" s="72"/>
      <c r="L178" s="40"/>
      <c r="M178" s="40"/>
      <c r="N178" s="40"/>
      <c r="O178" s="32" t="s">
        <v>12</v>
      </c>
      <c r="P178" s="251">
        <v>1117500</v>
      </c>
      <c r="Q178" s="61" t="s">
        <v>43</v>
      </c>
      <c r="W178" s="206" t="str">
        <f t="shared" si="98"/>
        <v>2.06.03</v>
      </c>
      <c r="X178" s="207" t="str">
        <f t="shared" si="99"/>
        <v>KOMPUTER</v>
      </c>
      <c r="Y178" s="207">
        <f t="shared" si="100"/>
        <v>4</v>
      </c>
      <c r="Z178" s="233">
        <f t="shared" si="101"/>
        <v>279372.5</v>
      </c>
      <c r="AA178" s="208">
        <f t="shared" si="102"/>
        <v>7</v>
      </c>
      <c r="AB178" s="233">
        <f t="shared" si="103"/>
        <v>1117490</v>
      </c>
      <c r="AC178" s="233">
        <f t="shared" si="104"/>
        <v>0</v>
      </c>
      <c r="AD178" s="233">
        <f t="shared" si="105"/>
        <v>0</v>
      </c>
      <c r="AE178" s="233">
        <f t="shared" si="106"/>
        <v>0</v>
      </c>
      <c r="AF178" s="233">
        <f t="shared" si="107"/>
        <v>0</v>
      </c>
      <c r="AG178" s="238">
        <f t="shared" si="108"/>
        <v>0</v>
      </c>
      <c r="AH178" s="238">
        <f t="shared" si="109"/>
        <v>1117490</v>
      </c>
      <c r="AI178" s="209">
        <f t="shared" si="110"/>
        <v>2006</v>
      </c>
      <c r="AJ178" s="210">
        <f t="shared" si="111"/>
        <v>10</v>
      </c>
    </row>
    <row r="179" spans="1:37" s="41" customFormat="1" ht="30.75" hidden="1" customHeight="1" x14ac:dyDescent="0.2">
      <c r="A179" s="41" t="s">
        <v>2297</v>
      </c>
      <c r="B179" s="69"/>
      <c r="C179" s="65" t="s">
        <v>171</v>
      </c>
      <c r="D179" s="65" t="s">
        <v>172</v>
      </c>
      <c r="E179" s="40"/>
      <c r="F179" s="65" t="s">
        <v>173</v>
      </c>
      <c r="G179" s="40"/>
      <c r="H179" s="65" t="s">
        <v>174</v>
      </c>
      <c r="I179" s="32">
        <v>2006</v>
      </c>
      <c r="J179" s="40"/>
      <c r="K179" s="72"/>
      <c r="L179" s="40"/>
      <c r="M179" s="40"/>
      <c r="N179" s="40"/>
      <c r="O179" s="32" t="s">
        <v>12</v>
      </c>
      <c r="P179" s="251">
        <v>2062500</v>
      </c>
      <c r="Q179" s="61" t="s">
        <v>43</v>
      </c>
      <c r="W179" s="206" t="str">
        <f t="shared" si="98"/>
        <v>2.06.02</v>
      </c>
      <c r="X179" s="207" t="str">
        <f t="shared" si="99"/>
        <v>ALAT RUMAH TANGGA</v>
      </c>
      <c r="Y179" s="207">
        <f t="shared" si="100"/>
        <v>5</v>
      </c>
      <c r="Z179" s="233">
        <f t="shared" si="101"/>
        <v>412498</v>
      </c>
      <c r="AA179" s="208">
        <f t="shared" si="102"/>
        <v>7</v>
      </c>
      <c r="AB179" s="233">
        <f t="shared" si="103"/>
        <v>2062490</v>
      </c>
      <c r="AC179" s="233">
        <f t="shared" si="104"/>
        <v>0</v>
      </c>
      <c r="AD179" s="233">
        <f t="shared" si="105"/>
        <v>0</v>
      </c>
      <c r="AE179" s="233">
        <f t="shared" si="106"/>
        <v>0</v>
      </c>
      <c r="AF179" s="233">
        <f t="shared" si="107"/>
        <v>0</v>
      </c>
      <c r="AG179" s="238">
        <f t="shared" si="108"/>
        <v>0</v>
      </c>
      <c r="AH179" s="238">
        <f t="shared" si="109"/>
        <v>2062490</v>
      </c>
      <c r="AI179" s="209">
        <f t="shared" si="110"/>
        <v>2006</v>
      </c>
      <c r="AJ179" s="210">
        <f t="shared" si="111"/>
        <v>10</v>
      </c>
    </row>
    <row r="180" spans="1:37" s="41" customFormat="1" ht="30.75" customHeight="1" x14ac:dyDescent="0.2">
      <c r="A180" s="41" t="s">
        <v>2297</v>
      </c>
      <c r="B180" s="69"/>
      <c r="C180" s="65" t="s">
        <v>208</v>
      </c>
      <c r="D180" s="65" t="s">
        <v>209</v>
      </c>
      <c r="E180" s="40"/>
      <c r="F180" s="65" t="s">
        <v>199</v>
      </c>
      <c r="G180" s="40"/>
      <c r="H180" s="65" t="s">
        <v>210</v>
      </c>
      <c r="I180" s="32">
        <v>2006</v>
      </c>
      <c r="J180" s="40"/>
      <c r="K180" s="72"/>
      <c r="L180" s="40"/>
      <c r="M180" s="40"/>
      <c r="N180" s="40"/>
      <c r="O180" s="32" t="s">
        <v>12</v>
      </c>
      <c r="P180" s="251">
        <v>187500</v>
      </c>
      <c r="Q180" s="61" t="s">
        <v>43</v>
      </c>
      <c r="V180" s="41" t="s">
        <v>2615</v>
      </c>
      <c r="W180" s="206" t="str">
        <f t="shared" si="98"/>
        <v>2.06.02</v>
      </c>
      <c r="X180" s="207" t="str">
        <f t="shared" si="99"/>
        <v>ALAT RUMAH TANGGA</v>
      </c>
      <c r="Y180" s="207">
        <f t="shared" si="100"/>
        <v>5</v>
      </c>
      <c r="Z180" s="233">
        <f t="shared" si="101"/>
        <v>37498</v>
      </c>
      <c r="AA180" s="208">
        <f t="shared" si="102"/>
        <v>7</v>
      </c>
      <c r="AB180" s="233">
        <f t="shared" si="103"/>
        <v>187490</v>
      </c>
      <c r="AC180" s="233">
        <f t="shared" si="104"/>
        <v>0</v>
      </c>
      <c r="AD180" s="233">
        <f t="shared" si="105"/>
        <v>0</v>
      </c>
      <c r="AE180" s="233">
        <f t="shared" si="106"/>
        <v>0</v>
      </c>
      <c r="AF180" s="233">
        <f t="shared" si="107"/>
        <v>0</v>
      </c>
      <c r="AG180" s="238">
        <f t="shared" si="108"/>
        <v>0</v>
      </c>
      <c r="AH180" s="238">
        <f t="shared" si="109"/>
        <v>187490</v>
      </c>
      <c r="AI180" s="209">
        <f t="shared" si="110"/>
        <v>2006</v>
      </c>
      <c r="AJ180" s="210">
        <f t="shared" si="111"/>
        <v>10</v>
      </c>
      <c r="AK180" s="285">
        <f>AH180-AG180</f>
        <v>187490</v>
      </c>
    </row>
    <row r="181" spans="1:37" s="41" customFormat="1" ht="30.75" customHeight="1" x14ac:dyDescent="0.2">
      <c r="A181" s="41" t="s">
        <v>2297</v>
      </c>
      <c r="B181" s="69"/>
      <c r="C181" s="65" t="s">
        <v>248</v>
      </c>
      <c r="D181" s="65" t="s">
        <v>249</v>
      </c>
      <c r="E181" s="40"/>
      <c r="F181" s="65" t="s">
        <v>250</v>
      </c>
      <c r="G181" s="40"/>
      <c r="H181" s="65" t="s">
        <v>251</v>
      </c>
      <c r="I181" s="32">
        <v>2006</v>
      </c>
      <c r="J181" s="40"/>
      <c r="K181" s="72"/>
      <c r="L181" s="40"/>
      <c r="M181" s="40"/>
      <c r="N181" s="40"/>
      <c r="O181" s="32" t="s">
        <v>12</v>
      </c>
      <c r="P181" s="251">
        <v>113750</v>
      </c>
      <c r="Q181" s="61"/>
      <c r="V181" s="41" t="s">
        <v>2615</v>
      </c>
      <c r="W181" s="206" t="str">
        <f t="shared" si="98"/>
        <v>2.06.02</v>
      </c>
      <c r="X181" s="207" t="str">
        <f t="shared" si="99"/>
        <v>ALAT RUMAH TANGGA</v>
      </c>
      <c r="Y181" s="207">
        <f t="shared" si="100"/>
        <v>5</v>
      </c>
      <c r="Z181" s="233">
        <f t="shared" si="101"/>
        <v>22748</v>
      </c>
      <c r="AA181" s="208">
        <f t="shared" si="102"/>
        <v>7</v>
      </c>
      <c r="AB181" s="233">
        <f t="shared" si="103"/>
        <v>113740</v>
      </c>
      <c r="AC181" s="233">
        <f t="shared" si="104"/>
        <v>0</v>
      </c>
      <c r="AD181" s="233">
        <f t="shared" si="105"/>
        <v>0</v>
      </c>
      <c r="AE181" s="233">
        <f t="shared" si="106"/>
        <v>0</v>
      </c>
      <c r="AF181" s="233">
        <f t="shared" si="107"/>
        <v>0</v>
      </c>
      <c r="AG181" s="238">
        <f t="shared" si="108"/>
        <v>0</v>
      </c>
      <c r="AH181" s="238">
        <f t="shared" si="109"/>
        <v>113740</v>
      </c>
      <c r="AI181" s="209">
        <f t="shared" si="110"/>
        <v>2006</v>
      </c>
      <c r="AJ181" s="210">
        <f t="shared" si="111"/>
        <v>10</v>
      </c>
      <c r="AK181" s="285">
        <f>AH181-AG181</f>
        <v>113740</v>
      </c>
    </row>
    <row r="182" spans="1:37" s="41" customFormat="1" ht="30.75" hidden="1" customHeight="1" x14ac:dyDescent="0.2">
      <c r="A182" s="41" t="s">
        <v>2296</v>
      </c>
      <c r="B182" s="69"/>
      <c r="C182" s="65" t="s">
        <v>182</v>
      </c>
      <c r="D182" s="65" t="s">
        <v>183</v>
      </c>
      <c r="E182" s="40"/>
      <c r="F182" s="65" t="s">
        <v>184</v>
      </c>
      <c r="G182" s="40"/>
      <c r="H182" s="65" t="s">
        <v>174</v>
      </c>
      <c r="I182" s="32">
        <v>2006</v>
      </c>
      <c r="J182" s="40"/>
      <c r="K182" s="72"/>
      <c r="L182" s="40"/>
      <c r="M182" s="40"/>
      <c r="N182" s="40"/>
      <c r="O182" s="32" t="s">
        <v>12</v>
      </c>
      <c r="P182" s="251">
        <v>1200000</v>
      </c>
      <c r="Q182" s="61"/>
      <c r="W182" s="206" t="str">
        <f t="shared" si="98"/>
        <v>2.06.03</v>
      </c>
      <c r="X182" s="207" t="str">
        <f t="shared" si="99"/>
        <v>KOMPUTER</v>
      </c>
      <c r="Y182" s="207">
        <f t="shared" si="100"/>
        <v>4</v>
      </c>
      <c r="Z182" s="233">
        <f t="shared" si="101"/>
        <v>299997.5</v>
      </c>
      <c r="AA182" s="208">
        <f t="shared" si="102"/>
        <v>7</v>
      </c>
      <c r="AB182" s="233">
        <f t="shared" si="103"/>
        <v>1199990</v>
      </c>
      <c r="AC182" s="233">
        <f t="shared" si="104"/>
        <v>0</v>
      </c>
      <c r="AD182" s="233">
        <f t="shared" si="105"/>
        <v>0</v>
      </c>
      <c r="AE182" s="233">
        <f t="shared" si="106"/>
        <v>0</v>
      </c>
      <c r="AF182" s="233">
        <f t="shared" si="107"/>
        <v>0</v>
      </c>
      <c r="AG182" s="238">
        <f t="shared" si="108"/>
        <v>0</v>
      </c>
      <c r="AH182" s="238">
        <f t="shared" si="109"/>
        <v>1199990</v>
      </c>
      <c r="AI182" s="209">
        <f t="shared" si="110"/>
        <v>2006</v>
      </c>
      <c r="AJ182" s="210">
        <f t="shared" si="111"/>
        <v>10</v>
      </c>
    </row>
    <row r="183" spans="1:37" s="41" customFormat="1" ht="30.75" hidden="1" customHeight="1" x14ac:dyDescent="0.2">
      <c r="A183" s="41" t="s">
        <v>2297</v>
      </c>
      <c r="B183" s="69"/>
      <c r="C183" s="65" t="s">
        <v>252</v>
      </c>
      <c r="D183" s="65" t="s">
        <v>934</v>
      </c>
      <c r="E183" s="40"/>
      <c r="F183" s="65" t="s">
        <v>52</v>
      </c>
      <c r="G183" s="40"/>
      <c r="H183" s="65" t="s">
        <v>253</v>
      </c>
      <c r="I183" s="32">
        <v>2007</v>
      </c>
      <c r="J183" s="40"/>
      <c r="K183" s="72"/>
      <c r="L183" s="40"/>
      <c r="M183" s="40"/>
      <c r="N183" s="40"/>
      <c r="O183" s="32" t="s">
        <v>12</v>
      </c>
      <c r="P183" s="251">
        <v>2400000</v>
      </c>
      <c r="Q183" s="61" t="s">
        <v>43</v>
      </c>
      <c r="W183" s="206" t="str">
        <f t="shared" si="98"/>
        <v>2.06.02</v>
      </c>
      <c r="X183" s="207" t="str">
        <f t="shared" si="99"/>
        <v>ALAT RUMAH TANGGA</v>
      </c>
      <c r="Y183" s="207">
        <f t="shared" si="100"/>
        <v>5</v>
      </c>
      <c r="Z183" s="233">
        <f t="shared" si="101"/>
        <v>479998</v>
      </c>
      <c r="AA183" s="208">
        <f t="shared" si="102"/>
        <v>6</v>
      </c>
      <c r="AB183" s="233">
        <f t="shared" si="103"/>
        <v>2399990</v>
      </c>
      <c r="AC183" s="233">
        <f t="shared" si="104"/>
        <v>0</v>
      </c>
      <c r="AD183" s="233">
        <f t="shared" si="105"/>
        <v>0</v>
      </c>
      <c r="AE183" s="233">
        <f t="shared" si="106"/>
        <v>0</v>
      </c>
      <c r="AF183" s="233">
        <f t="shared" si="107"/>
        <v>0</v>
      </c>
      <c r="AG183" s="238">
        <f t="shared" si="108"/>
        <v>0</v>
      </c>
      <c r="AH183" s="238">
        <f t="shared" si="109"/>
        <v>2399990</v>
      </c>
      <c r="AI183" s="209">
        <f t="shared" si="110"/>
        <v>2007</v>
      </c>
      <c r="AJ183" s="210">
        <f t="shared" si="111"/>
        <v>10</v>
      </c>
    </row>
    <row r="184" spans="1:37" s="41" customFormat="1" ht="30.75" hidden="1" customHeight="1" x14ac:dyDescent="0.2">
      <c r="A184" s="41" t="s">
        <v>2297</v>
      </c>
      <c r="B184" s="69"/>
      <c r="C184" s="65" t="s">
        <v>254</v>
      </c>
      <c r="D184" s="65" t="s">
        <v>212</v>
      </c>
      <c r="E184" s="40"/>
      <c r="F184" s="65" t="s">
        <v>52</v>
      </c>
      <c r="G184" s="40"/>
      <c r="H184" s="65" t="s">
        <v>213</v>
      </c>
      <c r="I184" s="32">
        <v>2007</v>
      </c>
      <c r="J184" s="40"/>
      <c r="K184" s="72"/>
      <c r="L184" s="40"/>
      <c r="M184" s="40"/>
      <c r="N184" s="40"/>
      <c r="O184" s="32" t="s">
        <v>12</v>
      </c>
      <c r="P184" s="251">
        <v>1800000</v>
      </c>
      <c r="Q184" s="61" t="s">
        <v>43</v>
      </c>
      <c r="W184" s="206" t="str">
        <f t="shared" si="98"/>
        <v>2.06.02</v>
      </c>
      <c r="X184" s="207" t="str">
        <f t="shared" si="99"/>
        <v>ALAT RUMAH TANGGA</v>
      </c>
      <c r="Y184" s="207">
        <f t="shared" si="100"/>
        <v>5</v>
      </c>
      <c r="Z184" s="233">
        <f t="shared" si="101"/>
        <v>359998</v>
      </c>
      <c r="AA184" s="208">
        <f t="shared" si="102"/>
        <v>6</v>
      </c>
      <c r="AB184" s="233">
        <f t="shared" si="103"/>
        <v>1799990</v>
      </c>
      <c r="AC184" s="233">
        <f t="shared" si="104"/>
        <v>0</v>
      </c>
      <c r="AD184" s="233">
        <f t="shared" si="105"/>
        <v>0</v>
      </c>
      <c r="AE184" s="233">
        <f t="shared" si="106"/>
        <v>0</v>
      </c>
      <c r="AF184" s="233">
        <f t="shared" si="107"/>
        <v>0</v>
      </c>
      <c r="AG184" s="238">
        <f t="shared" si="108"/>
        <v>0</v>
      </c>
      <c r="AH184" s="238">
        <f t="shared" si="109"/>
        <v>1799990</v>
      </c>
      <c r="AI184" s="209">
        <f t="shared" si="110"/>
        <v>2007</v>
      </c>
      <c r="AJ184" s="210">
        <f t="shared" si="111"/>
        <v>10</v>
      </c>
    </row>
    <row r="185" spans="1:37" s="41" customFormat="1" ht="30.75" hidden="1" customHeight="1" x14ac:dyDescent="0.2">
      <c r="A185" s="41" t="s">
        <v>2297</v>
      </c>
      <c r="B185" s="69"/>
      <c r="C185" s="65" t="s">
        <v>255</v>
      </c>
      <c r="D185" s="65" t="s">
        <v>935</v>
      </c>
      <c r="E185" s="40"/>
      <c r="F185" s="65" t="s">
        <v>52</v>
      </c>
      <c r="G185" s="40"/>
      <c r="H185" s="65" t="s">
        <v>1008</v>
      </c>
      <c r="I185" s="32">
        <v>2007</v>
      </c>
      <c r="J185" s="40"/>
      <c r="K185" s="72"/>
      <c r="L185" s="40"/>
      <c r="M185" s="40"/>
      <c r="N185" s="40"/>
      <c r="O185" s="32" t="s">
        <v>12</v>
      </c>
      <c r="P185" s="251">
        <v>600000</v>
      </c>
      <c r="Q185" s="61" t="s">
        <v>43</v>
      </c>
      <c r="W185" s="206" t="str">
        <f t="shared" si="98"/>
        <v>2.06.02</v>
      </c>
      <c r="X185" s="207" t="str">
        <f t="shared" si="99"/>
        <v>ALAT RUMAH TANGGA</v>
      </c>
      <c r="Y185" s="207">
        <f t="shared" si="100"/>
        <v>5</v>
      </c>
      <c r="Z185" s="233">
        <f t="shared" si="101"/>
        <v>119998</v>
      </c>
      <c r="AA185" s="208">
        <f t="shared" si="102"/>
        <v>6</v>
      </c>
      <c r="AB185" s="233">
        <f t="shared" si="103"/>
        <v>599990</v>
      </c>
      <c r="AC185" s="233">
        <f t="shared" si="104"/>
        <v>0</v>
      </c>
      <c r="AD185" s="233">
        <f t="shared" si="105"/>
        <v>0</v>
      </c>
      <c r="AE185" s="233">
        <f t="shared" si="106"/>
        <v>0</v>
      </c>
      <c r="AF185" s="233">
        <f t="shared" si="107"/>
        <v>0</v>
      </c>
      <c r="AG185" s="238">
        <f t="shared" si="108"/>
        <v>0</v>
      </c>
      <c r="AH185" s="238">
        <f t="shared" si="109"/>
        <v>599990</v>
      </c>
      <c r="AI185" s="209">
        <f t="shared" si="110"/>
        <v>2007</v>
      </c>
      <c r="AJ185" s="210">
        <f t="shared" si="111"/>
        <v>10</v>
      </c>
    </row>
    <row r="186" spans="1:37" s="41" customFormat="1" ht="30.75" hidden="1" customHeight="1" x14ac:dyDescent="0.2">
      <c r="A186" s="41" t="s">
        <v>2296</v>
      </c>
      <c r="B186" s="69"/>
      <c r="C186" s="65" t="s">
        <v>256</v>
      </c>
      <c r="D186" s="65" t="s">
        <v>936</v>
      </c>
      <c r="E186" s="40"/>
      <c r="F186" s="65" t="s">
        <v>52</v>
      </c>
      <c r="G186" s="40"/>
      <c r="H186" s="65" t="s">
        <v>222</v>
      </c>
      <c r="I186" s="32">
        <v>2007</v>
      </c>
      <c r="J186" s="40"/>
      <c r="K186" s="72"/>
      <c r="L186" s="40"/>
      <c r="M186" s="40"/>
      <c r="N186" s="40"/>
      <c r="O186" s="32" t="s">
        <v>12</v>
      </c>
      <c r="P186" s="251">
        <v>7499670.7109235516</v>
      </c>
      <c r="Q186" s="61" t="s">
        <v>43</v>
      </c>
      <c r="W186" s="206" t="str">
        <f t="shared" si="98"/>
        <v>2.06.03</v>
      </c>
      <c r="X186" s="207" t="str">
        <f t="shared" si="99"/>
        <v>KOMPUTER</v>
      </c>
      <c r="Y186" s="207">
        <f t="shared" si="100"/>
        <v>4</v>
      </c>
      <c r="Z186" s="233">
        <f t="shared" si="101"/>
        <v>1874915.1777308879</v>
      </c>
      <c r="AA186" s="208">
        <f t="shared" si="102"/>
        <v>6</v>
      </c>
      <c r="AB186" s="233">
        <f t="shared" si="103"/>
        <v>7499660.7109235516</v>
      </c>
      <c r="AC186" s="233">
        <f t="shared" si="104"/>
        <v>0</v>
      </c>
      <c r="AD186" s="233">
        <f t="shared" si="105"/>
        <v>0</v>
      </c>
      <c r="AE186" s="233">
        <f t="shared" si="106"/>
        <v>0</v>
      </c>
      <c r="AF186" s="233">
        <f t="shared" si="107"/>
        <v>0</v>
      </c>
      <c r="AG186" s="238">
        <f t="shared" si="108"/>
        <v>0</v>
      </c>
      <c r="AH186" s="238">
        <f t="shared" si="109"/>
        <v>7499660.7109235516</v>
      </c>
      <c r="AI186" s="209">
        <f t="shared" si="110"/>
        <v>2007</v>
      </c>
      <c r="AJ186" s="210">
        <f t="shared" si="111"/>
        <v>10</v>
      </c>
    </row>
    <row r="187" spans="1:37" s="41" customFormat="1" ht="30.75" hidden="1" customHeight="1" x14ac:dyDescent="0.2">
      <c r="A187" s="41" t="s">
        <v>2297</v>
      </c>
      <c r="B187" s="69"/>
      <c r="C187" s="65" t="s">
        <v>257</v>
      </c>
      <c r="D187" s="65" t="s">
        <v>189</v>
      </c>
      <c r="E187" s="40"/>
      <c r="F187" s="65" t="s">
        <v>52</v>
      </c>
      <c r="G187" s="40"/>
      <c r="H187" s="65" t="s">
        <v>191</v>
      </c>
      <c r="I187" s="32">
        <v>2008</v>
      </c>
      <c r="J187" s="40"/>
      <c r="K187" s="72"/>
      <c r="L187" s="40"/>
      <c r="M187" s="40"/>
      <c r="N187" s="40"/>
      <c r="O187" s="32" t="s">
        <v>12</v>
      </c>
      <c r="P187" s="251">
        <v>4900000</v>
      </c>
      <c r="Q187" s="61" t="s">
        <v>43</v>
      </c>
      <c r="W187" s="206" t="str">
        <f t="shared" si="98"/>
        <v>2.06.02</v>
      </c>
      <c r="X187" s="207" t="str">
        <f t="shared" si="99"/>
        <v>ALAT RUMAH TANGGA</v>
      </c>
      <c r="Y187" s="207">
        <f t="shared" si="100"/>
        <v>5</v>
      </c>
      <c r="Z187" s="233">
        <f t="shared" si="101"/>
        <v>979998</v>
      </c>
      <c r="AA187" s="208">
        <f t="shared" si="102"/>
        <v>5</v>
      </c>
      <c r="AB187" s="233">
        <f t="shared" si="103"/>
        <v>4899990</v>
      </c>
      <c r="AC187" s="233">
        <f t="shared" si="104"/>
        <v>0</v>
      </c>
      <c r="AD187" s="233">
        <f t="shared" si="105"/>
        <v>0</v>
      </c>
      <c r="AE187" s="233">
        <f t="shared" si="106"/>
        <v>0</v>
      </c>
      <c r="AF187" s="233">
        <f t="shared" si="107"/>
        <v>0</v>
      </c>
      <c r="AG187" s="238">
        <f t="shared" si="108"/>
        <v>0</v>
      </c>
      <c r="AH187" s="238">
        <f t="shared" si="109"/>
        <v>4899990</v>
      </c>
      <c r="AI187" s="209">
        <f t="shared" si="110"/>
        <v>2008</v>
      </c>
      <c r="AJ187" s="210">
        <f t="shared" si="111"/>
        <v>10</v>
      </c>
    </row>
    <row r="188" spans="1:37" s="41" customFormat="1" ht="30.75" hidden="1" customHeight="1" x14ac:dyDescent="0.2">
      <c r="A188" s="41" t="s">
        <v>2297</v>
      </c>
      <c r="B188" s="69"/>
      <c r="C188" s="70" t="s">
        <v>52</v>
      </c>
      <c r="D188" s="65" t="s">
        <v>937</v>
      </c>
      <c r="E188" s="40"/>
      <c r="F188" s="65" t="s">
        <v>52</v>
      </c>
      <c r="G188" s="40"/>
      <c r="H188" s="65" t="s">
        <v>52</v>
      </c>
      <c r="I188" s="32">
        <v>2008</v>
      </c>
      <c r="J188" s="40"/>
      <c r="K188" s="72"/>
      <c r="L188" s="40"/>
      <c r="M188" s="40"/>
      <c r="N188" s="40"/>
      <c r="O188" s="32" t="s">
        <v>12</v>
      </c>
      <c r="P188" s="251">
        <v>8427000</v>
      </c>
      <c r="Q188" s="61" t="s">
        <v>43</v>
      </c>
      <c r="W188" s="206" t="str">
        <f t="shared" si="98"/>
        <v>2.06.02</v>
      </c>
      <c r="X188" s="207" t="str">
        <f t="shared" si="99"/>
        <v>ALAT RUMAH TANGGA</v>
      </c>
      <c r="Y188" s="207">
        <f t="shared" si="100"/>
        <v>5</v>
      </c>
      <c r="Z188" s="233">
        <f t="shared" si="101"/>
        <v>1685398</v>
      </c>
      <c r="AA188" s="208">
        <f t="shared" si="102"/>
        <v>5</v>
      </c>
      <c r="AB188" s="233">
        <f t="shared" si="103"/>
        <v>8426990</v>
      </c>
      <c r="AC188" s="233">
        <f t="shared" si="104"/>
        <v>0</v>
      </c>
      <c r="AD188" s="233">
        <f t="shared" si="105"/>
        <v>0</v>
      </c>
      <c r="AE188" s="233">
        <f t="shared" si="106"/>
        <v>0</v>
      </c>
      <c r="AF188" s="233">
        <f t="shared" si="107"/>
        <v>0</v>
      </c>
      <c r="AG188" s="238">
        <f t="shared" si="108"/>
        <v>0</v>
      </c>
      <c r="AH188" s="238">
        <f t="shared" si="109"/>
        <v>8426990</v>
      </c>
      <c r="AI188" s="209">
        <f t="shared" si="110"/>
        <v>2008</v>
      </c>
      <c r="AJ188" s="210">
        <f t="shared" si="111"/>
        <v>10</v>
      </c>
    </row>
    <row r="189" spans="1:37" s="41" customFormat="1" ht="30.75" hidden="1" customHeight="1" x14ac:dyDescent="0.2">
      <c r="A189" s="41" t="s">
        <v>2297</v>
      </c>
      <c r="B189" s="69"/>
      <c r="C189" s="70" t="s">
        <v>52</v>
      </c>
      <c r="D189" s="65" t="s">
        <v>938</v>
      </c>
      <c r="E189" s="40"/>
      <c r="F189" s="65" t="s">
        <v>52</v>
      </c>
      <c r="G189" s="40"/>
      <c r="H189" s="65" t="s">
        <v>52</v>
      </c>
      <c r="I189" s="32">
        <v>2008</v>
      </c>
      <c r="J189" s="40"/>
      <c r="K189" s="72"/>
      <c r="L189" s="40"/>
      <c r="M189" s="40"/>
      <c r="N189" s="40"/>
      <c r="O189" s="32" t="s">
        <v>12</v>
      </c>
      <c r="P189" s="251">
        <v>12000000</v>
      </c>
      <c r="Q189" s="61" t="s">
        <v>43</v>
      </c>
      <c r="W189" s="206" t="str">
        <f t="shared" si="98"/>
        <v>2.06.02</v>
      </c>
      <c r="X189" s="207" t="str">
        <f t="shared" si="99"/>
        <v>ALAT RUMAH TANGGA</v>
      </c>
      <c r="Y189" s="207">
        <f t="shared" si="100"/>
        <v>5</v>
      </c>
      <c r="Z189" s="233">
        <f t="shared" si="101"/>
        <v>2399998</v>
      </c>
      <c r="AA189" s="208">
        <f t="shared" si="102"/>
        <v>5</v>
      </c>
      <c r="AB189" s="233">
        <f t="shared" si="103"/>
        <v>11999990</v>
      </c>
      <c r="AC189" s="233">
        <f t="shared" si="104"/>
        <v>0</v>
      </c>
      <c r="AD189" s="233">
        <f t="shared" si="105"/>
        <v>0</v>
      </c>
      <c r="AE189" s="233">
        <f t="shared" si="106"/>
        <v>0</v>
      </c>
      <c r="AF189" s="233">
        <f t="shared" si="107"/>
        <v>0</v>
      </c>
      <c r="AG189" s="238">
        <f t="shared" si="108"/>
        <v>0</v>
      </c>
      <c r="AH189" s="238">
        <f t="shared" si="109"/>
        <v>11999990</v>
      </c>
      <c r="AI189" s="209">
        <f t="shared" si="110"/>
        <v>2008</v>
      </c>
      <c r="AJ189" s="210">
        <f t="shared" si="111"/>
        <v>10</v>
      </c>
    </row>
    <row r="190" spans="1:37" s="41" customFormat="1" ht="30.75" hidden="1" customHeight="1" x14ac:dyDescent="0.2">
      <c r="A190" s="41" t="s">
        <v>2297</v>
      </c>
      <c r="B190" s="69"/>
      <c r="C190" s="70" t="s">
        <v>52</v>
      </c>
      <c r="D190" s="65" t="s">
        <v>939</v>
      </c>
      <c r="E190" s="40"/>
      <c r="F190" s="65" t="s">
        <v>52</v>
      </c>
      <c r="G190" s="40"/>
      <c r="H190" s="65" t="s">
        <v>181</v>
      </c>
      <c r="I190" s="32">
        <v>2008</v>
      </c>
      <c r="J190" s="40"/>
      <c r="K190" s="72"/>
      <c r="L190" s="40"/>
      <c r="M190" s="40"/>
      <c r="N190" s="40"/>
      <c r="O190" s="32" t="s">
        <v>12</v>
      </c>
      <c r="P190" s="251">
        <v>24852000</v>
      </c>
      <c r="Q190" s="61" t="s">
        <v>43</v>
      </c>
      <c r="W190" s="206" t="str">
        <f t="shared" si="98"/>
        <v>2.06.02</v>
      </c>
      <c r="X190" s="207" t="str">
        <f t="shared" si="99"/>
        <v>ALAT RUMAH TANGGA</v>
      </c>
      <c r="Y190" s="207">
        <f t="shared" si="100"/>
        <v>5</v>
      </c>
      <c r="Z190" s="233">
        <f t="shared" si="101"/>
        <v>4970398</v>
      </c>
      <c r="AA190" s="208">
        <f t="shared" si="102"/>
        <v>5</v>
      </c>
      <c r="AB190" s="233">
        <f t="shared" si="103"/>
        <v>24851990</v>
      </c>
      <c r="AC190" s="233">
        <f t="shared" si="104"/>
        <v>0</v>
      </c>
      <c r="AD190" s="233">
        <f t="shared" si="105"/>
        <v>0</v>
      </c>
      <c r="AE190" s="233">
        <f t="shared" si="106"/>
        <v>0</v>
      </c>
      <c r="AF190" s="233">
        <f t="shared" si="107"/>
        <v>0</v>
      </c>
      <c r="AG190" s="238">
        <f t="shared" si="108"/>
        <v>0</v>
      </c>
      <c r="AH190" s="238">
        <f t="shared" si="109"/>
        <v>24851990</v>
      </c>
      <c r="AI190" s="209">
        <f t="shared" si="110"/>
        <v>2008</v>
      </c>
      <c r="AJ190" s="210">
        <f t="shared" si="111"/>
        <v>10</v>
      </c>
    </row>
    <row r="191" spans="1:37" s="41" customFormat="1" ht="30.75" hidden="1" customHeight="1" x14ac:dyDescent="0.2">
      <c r="A191" s="41" t="s">
        <v>2297</v>
      </c>
      <c r="B191" s="69"/>
      <c r="C191" s="70" t="s">
        <v>52</v>
      </c>
      <c r="D191" s="65" t="s">
        <v>940</v>
      </c>
      <c r="E191" s="40"/>
      <c r="F191" s="65" t="s">
        <v>52</v>
      </c>
      <c r="G191" s="40"/>
      <c r="H191" s="65" t="s">
        <v>238</v>
      </c>
      <c r="I191" s="32">
        <v>2008</v>
      </c>
      <c r="J191" s="40"/>
      <c r="K191" s="72"/>
      <c r="L191" s="40"/>
      <c r="M191" s="40"/>
      <c r="N191" s="40"/>
      <c r="O191" s="32" t="s">
        <v>12</v>
      </c>
      <c r="P191" s="251">
        <v>3625000</v>
      </c>
      <c r="Q191" s="61" t="s">
        <v>43</v>
      </c>
      <c r="W191" s="206" t="str">
        <f t="shared" si="98"/>
        <v>2.06.02</v>
      </c>
      <c r="X191" s="207" t="str">
        <f t="shared" si="99"/>
        <v>ALAT RUMAH TANGGA</v>
      </c>
      <c r="Y191" s="207">
        <f t="shared" si="100"/>
        <v>5</v>
      </c>
      <c r="Z191" s="233">
        <f t="shared" si="101"/>
        <v>724998</v>
      </c>
      <c r="AA191" s="208">
        <f t="shared" si="102"/>
        <v>5</v>
      </c>
      <c r="AB191" s="233">
        <f t="shared" si="103"/>
        <v>3624990</v>
      </c>
      <c r="AC191" s="233">
        <f t="shared" si="104"/>
        <v>0</v>
      </c>
      <c r="AD191" s="233">
        <f t="shared" si="105"/>
        <v>0</v>
      </c>
      <c r="AE191" s="233">
        <f t="shared" si="106"/>
        <v>0</v>
      </c>
      <c r="AF191" s="233">
        <f t="shared" si="107"/>
        <v>0</v>
      </c>
      <c r="AG191" s="238">
        <f t="shared" si="108"/>
        <v>0</v>
      </c>
      <c r="AH191" s="238">
        <f t="shared" si="109"/>
        <v>3624990</v>
      </c>
      <c r="AI191" s="209">
        <f t="shared" si="110"/>
        <v>2008</v>
      </c>
      <c r="AJ191" s="210">
        <f t="shared" si="111"/>
        <v>10</v>
      </c>
    </row>
    <row r="192" spans="1:37" s="41" customFormat="1" ht="30.75" hidden="1" customHeight="1" x14ac:dyDescent="0.2">
      <c r="A192" s="41" t="s">
        <v>2297</v>
      </c>
      <c r="B192" s="69"/>
      <c r="C192" s="70" t="s">
        <v>52</v>
      </c>
      <c r="D192" s="65" t="s">
        <v>941</v>
      </c>
      <c r="E192" s="40"/>
      <c r="F192" s="65" t="s">
        <v>52</v>
      </c>
      <c r="G192" s="40"/>
      <c r="H192" s="65" t="s">
        <v>238</v>
      </c>
      <c r="I192" s="32">
        <v>2008</v>
      </c>
      <c r="J192" s="40"/>
      <c r="K192" s="72"/>
      <c r="L192" s="40"/>
      <c r="M192" s="40"/>
      <c r="N192" s="40"/>
      <c r="O192" s="32" t="s">
        <v>12</v>
      </c>
      <c r="P192" s="251">
        <v>2925000</v>
      </c>
      <c r="Q192" s="61" t="s">
        <v>43</v>
      </c>
      <c r="W192" s="206" t="str">
        <f t="shared" si="98"/>
        <v>2.06.02</v>
      </c>
      <c r="X192" s="207" t="str">
        <f t="shared" si="99"/>
        <v>ALAT RUMAH TANGGA</v>
      </c>
      <c r="Y192" s="207">
        <f t="shared" si="100"/>
        <v>5</v>
      </c>
      <c r="Z192" s="233">
        <f t="shared" si="101"/>
        <v>584998</v>
      </c>
      <c r="AA192" s="208">
        <f t="shared" si="102"/>
        <v>5</v>
      </c>
      <c r="AB192" s="233">
        <f t="shared" si="103"/>
        <v>2924990</v>
      </c>
      <c r="AC192" s="233">
        <f t="shared" si="104"/>
        <v>0</v>
      </c>
      <c r="AD192" s="233">
        <f t="shared" si="105"/>
        <v>0</v>
      </c>
      <c r="AE192" s="233">
        <f t="shared" si="106"/>
        <v>0</v>
      </c>
      <c r="AF192" s="233">
        <f t="shared" si="107"/>
        <v>0</v>
      </c>
      <c r="AG192" s="238">
        <f t="shared" si="108"/>
        <v>0</v>
      </c>
      <c r="AH192" s="238">
        <f t="shared" si="109"/>
        <v>2924990</v>
      </c>
      <c r="AI192" s="209">
        <f t="shared" si="110"/>
        <v>2008</v>
      </c>
      <c r="AJ192" s="210">
        <f t="shared" si="111"/>
        <v>10</v>
      </c>
    </row>
    <row r="193" spans="1:36" s="41" customFormat="1" ht="30.75" hidden="1" customHeight="1" x14ac:dyDescent="0.2">
      <c r="A193" s="41" t="s">
        <v>2296</v>
      </c>
      <c r="B193" s="69"/>
      <c r="C193" s="70" t="s">
        <v>52</v>
      </c>
      <c r="D193" s="65" t="s">
        <v>942</v>
      </c>
      <c r="E193" s="40"/>
      <c r="F193" s="65" t="s">
        <v>52</v>
      </c>
      <c r="G193" s="40"/>
      <c r="H193" s="65" t="s">
        <v>193</v>
      </c>
      <c r="I193" s="32">
        <v>2008</v>
      </c>
      <c r="J193" s="40"/>
      <c r="K193" s="72"/>
      <c r="L193" s="40"/>
      <c r="M193" s="40"/>
      <c r="N193" s="40"/>
      <c r="O193" s="32" t="s">
        <v>12</v>
      </c>
      <c r="P193" s="251">
        <v>14850000</v>
      </c>
      <c r="Q193" s="61" t="s">
        <v>43</v>
      </c>
      <c r="W193" s="206" t="str">
        <f t="shared" si="98"/>
        <v>2.06.03</v>
      </c>
      <c r="X193" s="207" t="str">
        <f t="shared" si="99"/>
        <v>KOMPUTER</v>
      </c>
      <c r="Y193" s="207">
        <f t="shared" si="100"/>
        <v>4</v>
      </c>
      <c r="Z193" s="233">
        <f t="shared" si="101"/>
        <v>3712497.5</v>
      </c>
      <c r="AA193" s="208">
        <f t="shared" si="102"/>
        <v>5</v>
      </c>
      <c r="AB193" s="233">
        <f t="shared" si="103"/>
        <v>14849990</v>
      </c>
      <c r="AC193" s="233">
        <f t="shared" si="104"/>
        <v>0</v>
      </c>
      <c r="AD193" s="233">
        <f t="shared" si="105"/>
        <v>0</v>
      </c>
      <c r="AE193" s="233">
        <f t="shared" si="106"/>
        <v>0</v>
      </c>
      <c r="AF193" s="233">
        <f t="shared" si="107"/>
        <v>0</v>
      </c>
      <c r="AG193" s="238">
        <f t="shared" si="108"/>
        <v>0</v>
      </c>
      <c r="AH193" s="238">
        <f t="shared" si="109"/>
        <v>14849990</v>
      </c>
      <c r="AI193" s="209">
        <f t="shared" si="110"/>
        <v>2008</v>
      </c>
      <c r="AJ193" s="210">
        <f t="shared" si="111"/>
        <v>10</v>
      </c>
    </row>
    <row r="194" spans="1:36" s="41" customFormat="1" ht="30.75" hidden="1" customHeight="1" x14ac:dyDescent="0.2">
      <c r="A194" s="41" t="s">
        <v>2297</v>
      </c>
      <c r="B194" s="69"/>
      <c r="C194" s="70" t="s">
        <v>52</v>
      </c>
      <c r="D194" s="65" t="s">
        <v>943</v>
      </c>
      <c r="E194" s="40"/>
      <c r="F194" s="65" t="s">
        <v>52</v>
      </c>
      <c r="G194" s="40"/>
      <c r="H194" s="65" t="s">
        <v>193</v>
      </c>
      <c r="I194" s="32">
        <v>2008</v>
      </c>
      <c r="J194" s="40"/>
      <c r="K194" s="72"/>
      <c r="L194" s="40"/>
      <c r="M194" s="40"/>
      <c r="N194" s="40"/>
      <c r="O194" s="32" t="s">
        <v>12</v>
      </c>
      <c r="P194" s="251">
        <v>13640000</v>
      </c>
      <c r="Q194" s="61" t="s">
        <v>43</v>
      </c>
      <c r="W194" s="206" t="str">
        <f t="shared" si="98"/>
        <v>2.06.02</v>
      </c>
      <c r="X194" s="207" t="str">
        <f t="shared" si="99"/>
        <v>ALAT RUMAH TANGGA</v>
      </c>
      <c r="Y194" s="207">
        <f t="shared" si="100"/>
        <v>5</v>
      </c>
      <c r="Z194" s="233">
        <f t="shared" si="101"/>
        <v>2727998</v>
      </c>
      <c r="AA194" s="208">
        <f t="shared" si="102"/>
        <v>5</v>
      </c>
      <c r="AB194" s="233">
        <f t="shared" si="103"/>
        <v>13639990</v>
      </c>
      <c r="AC194" s="233">
        <f t="shared" si="104"/>
        <v>0</v>
      </c>
      <c r="AD194" s="233">
        <f t="shared" si="105"/>
        <v>0</v>
      </c>
      <c r="AE194" s="233">
        <f t="shared" si="106"/>
        <v>0</v>
      </c>
      <c r="AF194" s="233">
        <f t="shared" si="107"/>
        <v>0</v>
      </c>
      <c r="AG194" s="238">
        <f t="shared" si="108"/>
        <v>0</v>
      </c>
      <c r="AH194" s="238">
        <f t="shared" si="109"/>
        <v>13639990</v>
      </c>
      <c r="AI194" s="209">
        <f t="shared" si="110"/>
        <v>2008</v>
      </c>
      <c r="AJ194" s="210">
        <f t="shared" si="111"/>
        <v>10</v>
      </c>
    </row>
    <row r="195" spans="1:36" s="41" customFormat="1" ht="30.75" hidden="1" customHeight="1" x14ac:dyDescent="0.2">
      <c r="A195" s="41" t="s">
        <v>2296</v>
      </c>
      <c r="B195" s="69"/>
      <c r="C195" s="70" t="s">
        <v>52</v>
      </c>
      <c r="D195" s="65" t="s">
        <v>944</v>
      </c>
      <c r="E195" s="40"/>
      <c r="F195" s="65" t="s">
        <v>52</v>
      </c>
      <c r="G195" s="40"/>
      <c r="H195" s="65" t="s">
        <v>193</v>
      </c>
      <c r="I195" s="32">
        <v>2009</v>
      </c>
      <c r="J195" s="40"/>
      <c r="K195" s="72"/>
      <c r="L195" s="40"/>
      <c r="M195" s="40"/>
      <c r="N195" s="40"/>
      <c r="O195" s="32" t="s">
        <v>12</v>
      </c>
      <c r="P195" s="251">
        <v>14850000</v>
      </c>
      <c r="Q195" s="61" t="s">
        <v>43</v>
      </c>
      <c r="W195" s="206" t="str">
        <f t="shared" si="98"/>
        <v>2.06.03</v>
      </c>
      <c r="X195" s="207" t="str">
        <f t="shared" si="99"/>
        <v>KOMPUTER</v>
      </c>
      <c r="Y195" s="207">
        <f t="shared" si="100"/>
        <v>4</v>
      </c>
      <c r="Z195" s="233">
        <f t="shared" si="101"/>
        <v>3712497.5</v>
      </c>
      <c r="AA195" s="208">
        <f t="shared" si="102"/>
        <v>4</v>
      </c>
      <c r="AB195" s="233">
        <f t="shared" si="103"/>
        <v>14849990</v>
      </c>
      <c r="AC195" s="233">
        <f t="shared" si="104"/>
        <v>0</v>
      </c>
      <c r="AD195" s="233">
        <f t="shared" si="105"/>
        <v>0</v>
      </c>
      <c r="AE195" s="233">
        <f t="shared" si="106"/>
        <v>0</v>
      </c>
      <c r="AF195" s="233">
        <f t="shared" si="107"/>
        <v>0</v>
      </c>
      <c r="AG195" s="238">
        <f t="shared" si="108"/>
        <v>0</v>
      </c>
      <c r="AH195" s="238">
        <f t="shared" si="109"/>
        <v>14849990</v>
      </c>
      <c r="AI195" s="209">
        <f t="shared" si="110"/>
        <v>2009</v>
      </c>
      <c r="AJ195" s="210">
        <f t="shared" si="111"/>
        <v>10</v>
      </c>
    </row>
    <row r="196" spans="1:36" s="41" customFormat="1" ht="30.75" hidden="1" customHeight="1" x14ac:dyDescent="0.2">
      <c r="A196" s="41" t="s">
        <v>2296</v>
      </c>
      <c r="B196" s="69"/>
      <c r="C196" s="70" t="s">
        <v>52</v>
      </c>
      <c r="D196" s="65" t="s">
        <v>183</v>
      </c>
      <c r="E196" s="40"/>
      <c r="F196" s="65" t="s">
        <v>52</v>
      </c>
      <c r="G196" s="40"/>
      <c r="H196" s="65" t="s">
        <v>193</v>
      </c>
      <c r="I196" s="32">
        <v>2009</v>
      </c>
      <c r="J196" s="40"/>
      <c r="K196" s="72"/>
      <c r="L196" s="40"/>
      <c r="M196" s="40"/>
      <c r="N196" s="40"/>
      <c r="O196" s="32" t="s">
        <v>12</v>
      </c>
      <c r="P196" s="251">
        <v>4500000</v>
      </c>
      <c r="Q196" s="61" t="s">
        <v>43</v>
      </c>
      <c r="W196" s="206" t="str">
        <f t="shared" si="98"/>
        <v>2.06.03</v>
      </c>
      <c r="X196" s="207" t="str">
        <f t="shared" si="99"/>
        <v>KOMPUTER</v>
      </c>
      <c r="Y196" s="207">
        <f t="shared" si="100"/>
        <v>4</v>
      </c>
      <c r="Z196" s="233">
        <f t="shared" si="101"/>
        <v>1124997.5</v>
      </c>
      <c r="AA196" s="208">
        <f t="shared" si="102"/>
        <v>4</v>
      </c>
      <c r="AB196" s="233">
        <f t="shared" si="103"/>
        <v>4499990</v>
      </c>
      <c r="AC196" s="233">
        <f t="shared" si="104"/>
        <v>0</v>
      </c>
      <c r="AD196" s="233">
        <f t="shared" si="105"/>
        <v>0</v>
      </c>
      <c r="AE196" s="233">
        <f t="shared" si="106"/>
        <v>0</v>
      </c>
      <c r="AF196" s="233">
        <f t="shared" si="107"/>
        <v>0</v>
      </c>
      <c r="AG196" s="238">
        <f t="shared" si="108"/>
        <v>0</v>
      </c>
      <c r="AH196" s="238">
        <f t="shared" si="109"/>
        <v>4499990</v>
      </c>
      <c r="AI196" s="209">
        <f t="shared" si="110"/>
        <v>2009</v>
      </c>
      <c r="AJ196" s="210">
        <f t="shared" si="111"/>
        <v>10</v>
      </c>
    </row>
    <row r="197" spans="1:36" s="41" customFormat="1" ht="30.75" hidden="1" customHeight="1" x14ac:dyDescent="0.2">
      <c r="A197" s="41" t="s">
        <v>2296</v>
      </c>
      <c r="B197" s="69"/>
      <c r="C197" s="70" t="s">
        <v>52</v>
      </c>
      <c r="D197" s="65" t="s">
        <v>945</v>
      </c>
      <c r="E197" s="40"/>
      <c r="F197" s="65" t="s">
        <v>258</v>
      </c>
      <c r="G197" s="40"/>
      <c r="H197" s="65" t="s">
        <v>193</v>
      </c>
      <c r="I197" s="32">
        <v>2011</v>
      </c>
      <c r="J197" s="40"/>
      <c r="K197" s="72"/>
      <c r="L197" s="40"/>
      <c r="M197" s="40"/>
      <c r="N197" s="40"/>
      <c r="O197" s="32" t="s">
        <v>12</v>
      </c>
      <c r="P197" s="251">
        <v>9625000</v>
      </c>
      <c r="Q197" s="61" t="s">
        <v>43</v>
      </c>
      <c r="W197" s="206" t="str">
        <f t="shared" si="98"/>
        <v>2.06.03</v>
      </c>
      <c r="X197" s="207" t="str">
        <f t="shared" si="99"/>
        <v>KOMPUTER</v>
      </c>
      <c r="Y197" s="207">
        <f t="shared" si="100"/>
        <v>4</v>
      </c>
      <c r="Z197" s="233">
        <f t="shared" si="101"/>
        <v>2406247.5</v>
      </c>
      <c r="AA197" s="208">
        <f t="shared" si="102"/>
        <v>2</v>
      </c>
      <c r="AB197" s="233">
        <f t="shared" si="103"/>
        <v>4812495</v>
      </c>
      <c r="AC197" s="233">
        <f t="shared" si="104"/>
        <v>2406247.5</v>
      </c>
      <c r="AD197" s="233">
        <f t="shared" si="105"/>
        <v>2406247.5</v>
      </c>
      <c r="AE197" s="233">
        <f t="shared" si="106"/>
        <v>0</v>
      </c>
      <c r="AF197" s="233">
        <f t="shared" si="107"/>
        <v>0</v>
      </c>
      <c r="AG197" s="238">
        <f t="shared" si="108"/>
        <v>0</v>
      </c>
      <c r="AH197" s="238">
        <f t="shared" si="109"/>
        <v>9624990</v>
      </c>
      <c r="AI197" s="209">
        <f t="shared" si="110"/>
        <v>2011</v>
      </c>
      <c r="AJ197" s="210">
        <f t="shared" si="111"/>
        <v>10</v>
      </c>
    </row>
    <row r="198" spans="1:36" s="41" customFormat="1" ht="30.75" hidden="1" customHeight="1" x14ac:dyDescent="0.2">
      <c r="A198" s="41" t="s">
        <v>2296</v>
      </c>
      <c r="B198" s="69"/>
      <c r="C198" s="70" t="s">
        <v>52</v>
      </c>
      <c r="D198" s="65" t="s">
        <v>945</v>
      </c>
      <c r="E198" s="40"/>
      <c r="F198" s="65" t="s">
        <v>258</v>
      </c>
      <c r="G198" s="40"/>
      <c r="H198" s="65" t="s">
        <v>193</v>
      </c>
      <c r="I198" s="32">
        <v>2011</v>
      </c>
      <c r="J198" s="40"/>
      <c r="K198" s="72"/>
      <c r="L198" s="40"/>
      <c r="M198" s="40"/>
      <c r="N198" s="40"/>
      <c r="O198" s="32" t="s">
        <v>12</v>
      </c>
      <c r="P198" s="251">
        <v>9625000</v>
      </c>
      <c r="Q198" s="61" t="s">
        <v>43</v>
      </c>
      <c r="W198" s="206" t="str">
        <f t="shared" si="98"/>
        <v>2.06.03</v>
      </c>
      <c r="X198" s="207" t="str">
        <f t="shared" si="99"/>
        <v>KOMPUTER</v>
      </c>
      <c r="Y198" s="207">
        <f t="shared" si="100"/>
        <v>4</v>
      </c>
      <c r="Z198" s="233">
        <f t="shared" si="101"/>
        <v>2406247.5</v>
      </c>
      <c r="AA198" s="208">
        <f t="shared" si="102"/>
        <v>2</v>
      </c>
      <c r="AB198" s="233">
        <f t="shared" si="103"/>
        <v>4812495</v>
      </c>
      <c r="AC198" s="233">
        <f t="shared" si="104"/>
        <v>2406247.5</v>
      </c>
      <c r="AD198" s="233">
        <f t="shared" si="105"/>
        <v>2406247.5</v>
      </c>
      <c r="AE198" s="233">
        <f t="shared" si="106"/>
        <v>0</v>
      </c>
      <c r="AF198" s="233">
        <f t="shared" si="107"/>
        <v>0</v>
      </c>
      <c r="AG198" s="238">
        <f t="shared" si="108"/>
        <v>0</v>
      </c>
      <c r="AH198" s="238">
        <f t="shared" si="109"/>
        <v>9624990</v>
      </c>
      <c r="AI198" s="209">
        <f t="shared" si="110"/>
        <v>2011</v>
      </c>
      <c r="AJ198" s="210">
        <f t="shared" si="111"/>
        <v>10</v>
      </c>
    </row>
    <row r="199" spans="1:36" s="41" customFormat="1" ht="30.75" hidden="1" customHeight="1" x14ac:dyDescent="0.2">
      <c r="A199" s="41" t="s">
        <v>2296</v>
      </c>
      <c r="B199" s="69"/>
      <c r="C199" s="70" t="s">
        <v>52</v>
      </c>
      <c r="D199" s="65" t="s">
        <v>942</v>
      </c>
      <c r="E199" s="40"/>
      <c r="F199" s="65" t="s">
        <v>995</v>
      </c>
      <c r="G199" s="40"/>
      <c r="H199" s="65" t="s">
        <v>193</v>
      </c>
      <c r="I199" s="32">
        <v>2011</v>
      </c>
      <c r="J199" s="40"/>
      <c r="K199" s="72"/>
      <c r="L199" s="40"/>
      <c r="M199" s="40"/>
      <c r="N199" s="40"/>
      <c r="O199" s="32" t="s">
        <v>12</v>
      </c>
      <c r="P199" s="251">
        <v>14850000</v>
      </c>
      <c r="Q199" s="61" t="s">
        <v>43</v>
      </c>
      <c r="W199" s="206" t="str">
        <f t="shared" si="98"/>
        <v>2.06.03</v>
      </c>
      <c r="X199" s="207" t="str">
        <f t="shared" si="99"/>
        <v>KOMPUTER</v>
      </c>
      <c r="Y199" s="207">
        <f t="shared" si="100"/>
        <v>4</v>
      </c>
      <c r="Z199" s="233">
        <f t="shared" si="101"/>
        <v>3712497.5</v>
      </c>
      <c r="AA199" s="208">
        <f t="shared" si="102"/>
        <v>2</v>
      </c>
      <c r="AB199" s="233">
        <f t="shared" si="103"/>
        <v>7424995</v>
      </c>
      <c r="AC199" s="233">
        <f t="shared" si="104"/>
        <v>3712497.5</v>
      </c>
      <c r="AD199" s="233">
        <f t="shared" si="105"/>
        <v>3712497.5</v>
      </c>
      <c r="AE199" s="233">
        <f t="shared" si="106"/>
        <v>0</v>
      </c>
      <c r="AF199" s="233">
        <f t="shared" si="107"/>
        <v>0</v>
      </c>
      <c r="AG199" s="238">
        <f t="shared" si="108"/>
        <v>0</v>
      </c>
      <c r="AH199" s="238">
        <f t="shared" si="109"/>
        <v>14849990</v>
      </c>
      <c r="AI199" s="209">
        <f t="shared" si="110"/>
        <v>2011</v>
      </c>
      <c r="AJ199" s="210">
        <f t="shared" si="111"/>
        <v>10</v>
      </c>
    </row>
    <row r="200" spans="1:36" s="41" customFormat="1" ht="30.75" hidden="1" customHeight="1" x14ac:dyDescent="0.2">
      <c r="A200" s="41" t="s">
        <v>2296</v>
      </c>
      <c r="B200" s="69"/>
      <c r="C200" s="70" t="s">
        <v>52</v>
      </c>
      <c r="D200" s="65" t="s">
        <v>942</v>
      </c>
      <c r="E200" s="40"/>
      <c r="F200" s="65" t="s">
        <v>995</v>
      </c>
      <c r="G200" s="40"/>
      <c r="H200" s="65" t="s">
        <v>193</v>
      </c>
      <c r="I200" s="32">
        <v>2011</v>
      </c>
      <c r="J200" s="40"/>
      <c r="K200" s="72"/>
      <c r="L200" s="40"/>
      <c r="M200" s="40"/>
      <c r="N200" s="40"/>
      <c r="O200" s="32" t="s">
        <v>12</v>
      </c>
      <c r="P200" s="251">
        <v>14850000</v>
      </c>
      <c r="Q200" s="61" t="s">
        <v>43</v>
      </c>
      <c r="W200" s="206" t="str">
        <f t="shared" si="98"/>
        <v>2.06.03</v>
      </c>
      <c r="X200" s="207" t="str">
        <f t="shared" si="99"/>
        <v>KOMPUTER</v>
      </c>
      <c r="Y200" s="207">
        <f t="shared" si="100"/>
        <v>4</v>
      </c>
      <c r="Z200" s="233">
        <f t="shared" si="101"/>
        <v>3712497.5</v>
      </c>
      <c r="AA200" s="208">
        <f t="shared" si="102"/>
        <v>2</v>
      </c>
      <c r="AB200" s="233">
        <f t="shared" si="103"/>
        <v>7424995</v>
      </c>
      <c r="AC200" s="233">
        <f t="shared" si="104"/>
        <v>3712497.5</v>
      </c>
      <c r="AD200" s="233">
        <f t="shared" si="105"/>
        <v>3712497.5</v>
      </c>
      <c r="AE200" s="233">
        <f t="shared" si="106"/>
        <v>0</v>
      </c>
      <c r="AF200" s="233">
        <f t="shared" si="107"/>
        <v>0</v>
      </c>
      <c r="AG200" s="238">
        <f t="shared" si="108"/>
        <v>0</v>
      </c>
      <c r="AH200" s="238">
        <f t="shared" si="109"/>
        <v>14849990</v>
      </c>
      <c r="AI200" s="209">
        <f t="shared" si="110"/>
        <v>2011</v>
      </c>
      <c r="AJ200" s="210">
        <f t="shared" si="111"/>
        <v>10</v>
      </c>
    </row>
    <row r="201" spans="1:36" s="41" customFormat="1" ht="30.75" hidden="1" customHeight="1" x14ac:dyDescent="0.2">
      <c r="A201" s="41" t="s">
        <v>2296</v>
      </c>
      <c r="B201" s="69"/>
      <c r="C201" s="70" t="s">
        <v>52</v>
      </c>
      <c r="D201" s="65" t="s">
        <v>942</v>
      </c>
      <c r="E201" s="40"/>
      <c r="F201" s="65" t="s">
        <v>995</v>
      </c>
      <c r="G201" s="40"/>
      <c r="H201" s="65" t="s">
        <v>193</v>
      </c>
      <c r="I201" s="32">
        <v>2011</v>
      </c>
      <c r="J201" s="40"/>
      <c r="K201" s="72"/>
      <c r="L201" s="40"/>
      <c r="M201" s="40"/>
      <c r="N201" s="40"/>
      <c r="O201" s="32" t="s">
        <v>12</v>
      </c>
      <c r="P201" s="251">
        <v>14850000</v>
      </c>
      <c r="Q201" s="61" t="s">
        <v>43</v>
      </c>
      <c r="W201" s="206" t="str">
        <f t="shared" si="98"/>
        <v>2.06.03</v>
      </c>
      <c r="X201" s="207" t="str">
        <f t="shared" si="99"/>
        <v>KOMPUTER</v>
      </c>
      <c r="Y201" s="207">
        <f t="shared" si="100"/>
        <v>4</v>
      </c>
      <c r="Z201" s="233">
        <f t="shared" si="101"/>
        <v>3712497.5</v>
      </c>
      <c r="AA201" s="208">
        <f t="shared" si="102"/>
        <v>2</v>
      </c>
      <c r="AB201" s="233">
        <f t="shared" si="103"/>
        <v>7424995</v>
      </c>
      <c r="AC201" s="233">
        <f t="shared" si="104"/>
        <v>3712497.5</v>
      </c>
      <c r="AD201" s="233">
        <f t="shared" si="105"/>
        <v>3712497.5</v>
      </c>
      <c r="AE201" s="233">
        <f t="shared" si="106"/>
        <v>0</v>
      </c>
      <c r="AF201" s="233">
        <f t="shared" si="107"/>
        <v>0</v>
      </c>
      <c r="AG201" s="238">
        <f t="shared" si="108"/>
        <v>0</v>
      </c>
      <c r="AH201" s="238">
        <f t="shared" si="109"/>
        <v>14849990</v>
      </c>
      <c r="AI201" s="209">
        <f t="shared" si="110"/>
        <v>2011</v>
      </c>
      <c r="AJ201" s="210">
        <f t="shared" si="111"/>
        <v>10</v>
      </c>
    </row>
    <row r="202" spans="1:36" s="41" customFormat="1" ht="30.75" hidden="1" customHeight="1" x14ac:dyDescent="0.2">
      <c r="A202" s="41" t="s">
        <v>2296</v>
      </c>
      <c r="B202" s="69"/>
      <c r="C202" s="70" t="s">
        <v>52</v>
      </c>
      <c r="D202" s="65" t="s">
        <v>942</v>
      </c>
      <c r="E202" s="40"/>
      <c r="F202" s="65" t="s">
        <v>995</v>
      </c>
      <c r="G202" s="40"/>
      <c r="H202" s="65" t="s">
        <v>193</v>
      </c>
      <c r="I202" s="32">
        <v>2011</v>
      </c>
      <c r="J202" s="40"/>
      <c r="K202" s="72"/>
      <c r="L202" s="40"/>
      <c r="M202" s="40"/>
      <c r="N202" s="40"/>
      <c r="O202" s="32" t="s">
        <v>12</v>
      </c>
      <c r="P202" s="251">
        <v>14850000</v>
      </c>
      <c r="Q202" s="61" t="s">
        <v>43</v>
      </c>
      <c r="W202" s="206" t="str">
        <f t="shared" si="98"/>
        <v>2.06.03</v>
      </c>
      <c r="X202" s="207" t="str">
        <f t="shared" si="99"/>
        <v>KOMPUTER</v>
      </c>
      <c r="Y202" s="207">
        <f t="shared" si="100"/>
        <v>4</v>
      </c>
      <c r="Z202" s="233">
        <f t="shared" si="101"/>
        <v>3712497.5</v>
      </c>
      <c r="AA202" s="208">
        <f t="shared" si="102"/>
        <v>2</v>
      </c>
      <c r="AB202" s="233">
        <f t="shared" si="103"/>
        <v>7424995</v>
      </c>
      <c r="AC202" s="233">
        <f t="shared" si="104"/>
        <v>3712497.5</v>
      </c>
      <c r="AD202" s="233">
        <f t="shared" si="105"/>
        <v>3712497.5</v>
      </c>
      <c r="AE202" s="233">
        <f t="shared" si="106"/>
        <v>0</v>
      </c>
      <c r="AF202" s="233">
        <f t="shared" si="107"/>
        <v>0</v>
      </c>
      <c r="AG202" s="238">
        <f t="shared" si="108"/>
        <v>0</v>
      </c>
      <c r="AH202" s="238">
        <f t="shared" si="109"/>
        <v>14849990</v>
      </c>
      <c r="AI202" s="209">
        <f t="shared" si="110"/>
        <v>2011</v>
      </c>
      <c r="AJ202" s="210">
        <f t="shared" si="111"/>
        <v>10</v>
      </c>
    </row>
    <row r="203" spans="1:36" s="41" customFormat="1" ht="30.75" hidden="1" customHeight="1" x14ac:dyDescent="0.2">
      <c r="A203" s="41" t="s">
        <v>2296</v>
      </c>
      <c r="B203" s="69"/>
      <c r="C203" s="70" t="s">
        <v>52</v>
      </c>
      <c r="D203" s="65" t="s">
        <v>942</v>
      </c>
      <c r="E203" s="40"/>
      <c r="F203" s="65" t="s">
        <v>995</v>
      </c>
      <c r="G203" s="40"/>
      <c r="H203" s="65" t="s">
        <v>193</v>
      </c>
      <c r="I203" s="32">
        <v>2011</v>
      </c>
      <c r="J203" s="40"/>
      <c r="K203" s="72"/>
      <c r="L203" s="40"/>
      <c r="M203" s="40"/>
      <c r="N203" s="40"/>
      <c r="O203" s="32" t="s">
        <v>12</v>
      </c>
      <c r="P203" s="251">
        <v>14850000</v>
      </c>
      <c r="Q203" s="61" t="s">
        <v>43</v>
      </c>
      <c r="W203" s="206" t="str">
        <f t="shared" si="98"/>
        <v>2.06.03</v>
      </c>
      <c r="X203" s="207" t="str">
        <f t="shared" si="99"/>
        <v>KOMPUTER</v>
      </c>
      <c r="Y203" s="207">
        <f t="shared" si="100"/>
        <v>4</v>
      </c>
      <c r="Z203" s="233">
        <f t="shared" si="101"/>
        <v>3712497.5</v>
      </c>
      <c r="AA203" s="208">
        <f t="shared" si="102"/>
        <v>2</v>
      </c>
      <c r="AB203" s="233">
        <f t="shared" si="103"/>
        <v>7424995</v>
      </c>
      <c r="AC203" s="233">
        <f t="shared" si="104"/>
        <v>3712497.5</v>
      </c>
      <c r="AD203" s="233">
        <f t="shared" si="105"/>
        <v>3712497.5</v>
      </c>
      <c r="AE203" s="233">
        <f t="shared" si="106"/>
        <v>0</v>
      </c>
      <c r="AF203" s="233">
        <f t="shared" si="107"/>
        <v>0</v>
      </c>
      <c r="AG203" s="238">
        <f t="shared" si="108"/>
        <v>0</v>
      </c>
      <c r="AH203" s="238">
        <f t="shared" si="109"/>
        <v>14849990</v>
      </c>
      <c r="AI203" s="209">
        <f t="shared" si="110"/>
        <v>2011</v>
      </c>
      <c r="AJ203" s="210">
        <f t="shared" si="111"/>
        <v>10</v>
      </c>
    </row>
    <row r="204" spans="1:36" s="41" customFormat="1" ht="30.75" hidden="1" customHeight="1" x14ac:dyDescent="0.2">
      <c r="A204" s="41" t="s">
        <v>2296</v>
      </c>
      <c r="B204" s="69"/>
      <c r="C204" s="70" t="s">
        <v>52</v>
      </c>
      <c r="D204" s="65" t="s">
        <v>183</v>
      </c>
      <c r="E204" s="40"/>
      <c r="F204" s="65" t="s">
        <v>996</v>
      </c>
      <c r="G204" s="40"/>
      <c r="H204" s="65" t="s">
        <v>193</v>
      </c>
      <c r="I204" s="32">
        <v>2011</v>
      </c>
      <c r="J204" s="40"/>
      <c r="K204" s="72"/>
      <c r="L204" s="40"/>
      <c r="M204" s="40"/>
      <c r="N204" s="40"/>
      <c r="O204" s="32" t="s">
        <v>12</v>
      </c>
      <c r="P204" s="251">
        <v>4785000</v>
      </c>
      <c r="Q204" s="61" t="s">
        <v>43</v>
      </c>
      <c r="W204" s="206" t="str">
        <f t="shared" si="98"/>
        <v>2.06.03</v>
      </c>
      <c r="X204" s="207" t="str">
        <f t="shared" si="99"/>
        <v>KOMPUTER</v>
      </c>
      <c r="Y204" s="207">
        <f t="shared" si="100"/>
        <v>4</v>
      </c>
      <c r="Z204" s="233">
        <f t="shared" si="101"/>
        <v>1196247.5</v>
      </c>
      <c r="AA204" s="208">
        <f t="shared" si="102"/>
        <v>2</v>
      </c>
      <c r="AB204" s="233">
        <f t="shared" si="103"/>
        <v>2392495</v>
      </c>
      <c r="AC204" s="233">
        <f t="shared" si="104"/>
        <v>1196247.5</v>
      </c>
      <c r="AD204" s="233">
        <f t="shared" si="105"/>
        <v>1196247.5</v>
      </c>
      <c r="AE204" s="233">
        <f t="shared" si="106"/>
        <v>0</v>
      </c>
      <c r="AF204" s="233">
        <f t="shared" si="107"/>
        <v>0</v>
      </c>
      <c r="AG204" s="238">
        <f t="shared" si="108"/>
        <v>0</v>
      </c>
      <c r="AH204" s="238">
        <f t="shared" si="109"/>
        <v>4784990</v>
      </c>
      <c r="AI204" s="209">
        <f t="shared" si="110"/>
        <v>2011</v>
      </c>
      <c r="AJ204" s="210">
        <f t="shared" si="111"/>
        <v>10</v>
      </c>
    </row>
    <row r="205" spans="1:36" s="41" customFormat="1" ht="30.75" hidden="1" customHeight="1" x14ac:dyDescent="0.2">
      <c r="A205" s="41" t="s">
        <v>2296</v>
      </c>
      <c r="B205" s="69"/>
      <c r="C205" s="70" t="s">
        <v>52</v>
      </c>
      <c r="D205" s="65" t="s">
        <v>183</v>
      </c>
      <c r="E205" s="40"/>
      <c r="F205" s="65" t="s">
        <v>996</v>
      </c>
      <c r="G205" s="40"/>
      <c r="H205" s="65" t="s">
        <v>193</v>
      </c>
      <c r="I205" s="32">
        <v>2011</v>
      </c>
      <c r="J205" s="40"/>
      <c r="K205" s="72"/>
      <c r="L205" s="40"/>
      <c r="M205" s="40"/>
      <c r="N205" s="40"/>
      <c r="O205" s="32" t="s">
        <v>12</v>
      </c>
      <c r="P205" s="251">
        <v>4785000</v>
      </c>
      <c r="Q205" s="61" t="s">
        <v>43</v>
      </c>
      <c r="W205" s="206" t="str">
        <f t="shared" si="98"/>
        <v>2.06.03</v>
      </c>
      <c r="X205" s="207" t="str">
        <f t="shared" si="99"/>
        <v>KOMPUTER</v>
      </c>
      <c r="Y205" s="207">
        <f t="shared" si="100"/>
        <v>4</v>
      </c>
      <c r="Z205" s="233">
        <f>(P205-10)/Y205</f>
        <v>1196247.5</v>
      </c>
      <c r="AA205" s="208">
        <f t="shared" si="102"/>
        <v>2</v>
      </c>
      <c r="AB205" s="233">
        <f t="shared" si="103"/>
        <v>2392495</v>
      </c>
      <c r="AC205" s="233">
        <f t="shared" si="104"/>
        <v>1196247.5</v>
      </c>
      <c r="AD205" s="233">
        <f t="shared" si="105"/>
        <v>1196247.5</v>
      </c>
      <c r="AE205" s="233">
        <f t="shared" si="106"/>
        <v>0</v>
      </c>
      <c r="AF205" s="233">
        <f t="shared" si="107"/>
        <v>0</v>
      </c>
      <c r="AG205" s="238">
        <f t="shared" si="108"/>
        <v>0</v>
      </c>
      <c r="AH205" s="238">
        <f t="shared" si="109"/>
        <v>4784990</v>
      </c>
      <c r="AI205" s="209">
        <f t="shared" si="110"/>
        <v>2011</v>
      </c>
      <c r="AJ205" s="210">
        <f t="shared" si="111"/>
        <v>10</v>
      </c>
    </row>
    <row r="206" spans="1:36" s="41" customFormat="1" ht="30.75" hidden="1" customHeight="1" x14ac:dyDescent="0.2">
      <c r="A206" s="41" t="s">
        <v>2296</v>
      </c>
      <c r="B206" s="69"/>
      <c r="C206" s="70" t="s">
        <v>52</v>
      </c>
      <c r="D206" s="65" t="s">
        <v>183</v>
      </c>
      <c r="E206" s="40"/>
      <c r="F206" s="65" t="s">
        <v>996</v>
      </c>
      <c r="G206" s="40"/>
      <c r="H206" s="65" t="s">
        <v>193</v>
      </c>
      <c r="I206" s="32">
        <v>2011</v>
      </c>
      <c r="J206" s="40"/>
      <c r="K206" s="72"/>
      <c r="L206" s="40"/>
      <c r="M206" s="40"/>
      <c r="N206" s="40"/>
      <c r="O206" s="32" t="s">
        <v>12</v>
      </c>
      <c r="P206" s="251">
        <v>4785000</v>
      </c>
      <c r="Q206" s="61" t="s">
        <v>43</v>
      </c>
      <c r="W206" s="206" t="str">
        <f t="shared" si="98"/>
        <v>2.06.03</v>
      </c>
      <c r="X206" s="207" t="str">
        <f t="shared" si="99"/>
        <v>KOMPUTER</v>
      </c>
      <c r="Y206" s="207">
        <f t="shared" si="100"/>
        <v>4</v>
      </c>
      <c r="Z206" s="233">
        <f t="shared" si="101"/>
        <v>1196247.5</v>
      </c>
      <c r="AA206" s="208">
        <f t="shared" si="102"/>
        <v>2</v>
      </c>
      <c r="AB206" s="233">
        <f t="shared" si="103"/>
        <v>2392495</v>
      </c>
      <c r="AC206" s="233">
        <f t="shared" si="104"/>
        <v>1196247.5</v>
      </c>
      <c r="AD206" s="233">
        <f t="shared" si="105"/>
        <v>1196247.5</v>
      </c>
      <c r="AE206" s="233">
        <f t="shared" si="106"/>
        <v>0</v>
      </c>
      <c r="AF206" s="233">
        <f t="shared" si="107"/>
        <v>0</v>
      </c>
      <c r="AG206" s="238">
        <f t="shared" si="108"/>
        <v>0</v>
      </c>
      <c r="AH206" s="238">
        <f t="shared" si="109"/>
        <v>4784990</v>
      </c>
      <c r="AI206" s="209">
        <f t="shared" si="110"/>
        <v>2011</v>
      </c>
      <c r="AJ206" s="210">
        <f t="shared" si="111"/>
        <v>10</v>
      </c>
    </row>
    <row r="207" spans="1:36" s="41" customFormat="1" ht="30.75" hidden="1" customHeight="1" x14ac:dyDescent="0.2">
      <c r="A207" s="41" t="s">
        <v>2296</v>
      </c>
      <c r="B207" s="69"/>
      <c r="C207" s="70" t="s">
        <v>52</v>
      </c>
      <c r="D207" s="65" t="s">
        <v>183</v>
      </c>
      <c r="E207" s="40"/>
      <c r="F207" s="72" t="s">
        <v>195</v>
      </c>
      <c r="G207" s="40"/>
      <c r="H207" s="65" t="s">
        <v>193</v>
      </c>
      <c r="I207" s="32">
        <v>2011</v>
      </c>
      <c r="J207" s="40"/>
      <c r="K207" s="72"/>
      <c r="L207" s="40"/>
      <c r="M207" s="40"/>
      <c r="N207" s="40"/>
      <c r="O207" s="32" t="s">
        <v>12</v>
      </c>
      <c r="P207" s="280">
        <v>1000000</v>
      </c>
      <c r="Q207" s="61" t="s">
        <v>43</v>
      </c>
      <c r="W207" s="206" t="str">
        <f t="shared" si="98"/>
        <v>2.06.03</v>
      </c>
      <c r="X207" s="207" t="str">
        <f t="shared" si="99"/>
        <v>KOMPUTER</v>
      </c>
      <c r="Y207" s="207">
        <f t="shared" si="100"/>
        <v>4</v>
      </c>
      <c r="Z207" s="233">
        <f t="shared" si="101"/>
        <v>249997.5</v>
      </c>
      <c r="AA207" s="208">
        <f t="shared" si="102"/>
        <v>2</v>
      </c>
      <c r="AB207" s="233">
        <f t="shared" si="103"/>
        <v>499995</v>
      </c>
      <c r="AC207" s="233">
        <f t="shared" si="104"/>
        <v>249997.5</v>
      </c>
      <c r="AD207" s="233">
        <f t="shared" si="105"/>
        <v>249997.5</v>
      </c>
      <c r="AE207" s="233">
        <f t="shared" si="106"/>
        <v>0</v>
      </c>
      <c r="AF207" s="233">
        <f t="shared" si="107"/>
        <v>0</v>
      </c>
      <c r="AG207" s="238">
        <f t="shared" si="108"/>
        <v>0</v>
      </c>
      <c r="AH207" s="238">
        <f t="shared" si="109"/>
        <v>999990</v>
      </c>
      <c r="AI207" s="209">
        <f t="shared" si="110"/>
        <v>2011</v>
      </c>
      <c r="AJ207" s="210">
        <f t="shared" si="111"/>
        <v>10</v>
      </c>
    </row>
    <row r="208" spans="1:36" s="41" customFormat="1" ht="30.75" hidden="1" customHeight="1" x14ac:dyDescent="0.2">
      <c r="A208" s="41" t="s">
        <v>2297</v>
      </c>
      <c r="B208" s="69"/>
      <c r="C208" s="70" t="s">
        <v>52</v>
      </c>
      <c r="D208" s="70" t="s">
        <v>946</v>
      </c>
      <c r="E208" s="40"/>
      <c r="F208" s="72" t="s">
        <v>52</v>
      </c>
      <c r="G208" s="40"/>
      <c r="H208" s="65" t="s">
        <v>1009</v>
      </c>
      <c r="I208" s="32">
        <v>2012</v>
      </c>
      <c r="J208" s="40"/>
      <c r="K208" s="72"/>
      <c r="L208" s="40"/>
      <c r="M208" s="40"/>
      <c r="N208" s="40"/>
      <c r="O208" s="32" t="s">
        <v>12</v>
      </c>
      <c r="P208" s="252">
        <v>64500000</v>
      </c>
      <c r="Q208" s="61" t="s">
        <v>43</v>
      </c>
      <c r="W208" s="206" t="str">
        <f t="shared" si="98"/>
        <v>2.06.02</v>
      </c>
      <c r="X208" s="207" t="str">
        <f t="shared" si="99"/>
        <v>ALAT RUMAH TANGGA</v>
      </c>
      <c r="Y208" s="207">
        <f t="shared" si="100"/>
        <v>5</v>
      </c>
      <c r="Z208" s="233">
        <f t="shared" si="101"/>
        <v>12899998</v>
      </c>
      <c r="AA208" s="208">
        <f t="shared" si="102"/>
        <v>1</v>
      </c>
      <c r="AB208" s="233">
        <f t="shared" si="103"/>
        <v>12899998</v>
      </c>
      <c r="AC208" s="233">
        <f t="shared" si="104"/>
        <v>12899998</v>
      </c>
      <c r="AD208" s="233">
        <f t="shared" si="105"/>
        <v>12899998</v>
      </c>
      <c r="AE208" s="233">
        <f t="shared" si="106"/>
        <v>12899998</v>
      </c>
      <c r="AF208" s="233">
        <f t="shared" si="107"/>
        <v>12899998</v>
      </c>
      <c r="AG208" s="238">
        <f t="shared" si="108"/>
        <v>0</v>
      </c>
      <c r="AH208" s="238">
        <f t="shared" si="109"/>
        <v>64499990</v>
      </c>
      <c r="AI208" s="209">
        <f t="shared" si="110"/>
        <v>2012</v>
      </c>
      <c r="AJ208" s="210">
        <f t="shared" si="111"/>
        <v>10</v>
      </c>
    </row>
    <row r="209" spans="1:36" s="41" customFormat="1" ht="30.75" hidden="1" customHeight="1" x14ac:dyDescent="0.2">
      <c r="A209" s="41" t="s">
        <v>2297</v>
      </c>
      <c r="B209" s="69"/>
      <c r="C209" s="70" t="s">
        <v>52</v>
      </c>
      <c r="D209" s="70" t="s">
        <v>947</v>
      </c>
      <c r="E209" s="40"/>
      <c r="F209" s="72" t="s">
        <v>52</v>
      </c>
      <c r="G209" s="40"/>
      <c r="H209" s="65" t="s">
        <v>52</v>
      </c>
      <c r="I209" s="32">
        <v>2012</v>
      </c>
      <c r="J209" s="40"/>
      <c r="K209" s="72"/>
      <c r="L209" s="40"/>
      <c r="M209" s="40"/>
      <c r="N209" s="40"/>
      <c r="O209" s="32" t="s">
        <v>12</v>
      </c>
      <c r="P209" s="252">
        <v>18240000</v>
      </c>
      <c r="Q209" s="61" t="s">
        <v>43</v>
      </c>
      <c r="W209" s="206" t="str">
        <f t="shared" si="98"/>
        <v>2.06.02</v>
      </c>
      <c r="X209" s="207" t="str">
        <f t="shared" si="99"/>
        <v>ALAT RUMAH TANGGA</v>
      </c>
      <c r="Y209" s="207">
        <f t="shared" si="100"/>
        <v>5</v>
      </c>
      <c r="Z209" s="233">
        <f t="shared" si="101"/>
        <v>3647998</v>
      </c>
      <c r="AA209" s="208">
        <f t="shared" si="102"/>
        <v>1</v>
      </c>
      <c r="AB209" s="233">
        <f t="shared" si="103"/>
        <v>3647998</v>
      </c>
      <c r="AC209" s="233">
        <f t="shared" si="104"/>
        <v>3647998</v>
      </c>
      <c r="AD209" s="233">
        <f t="shared" si="105"/>
        <v>3647998</v>
      </c>
      <c r="AE209" s="233">
        <f t="shared" si="106"/>
        <v>3647998</v>
      </c>
      <c r="AF209" s="233">
        <f t="shared" si="107"/>
        <v>3647998</v>
      </c>
      <c r="AG209" s="238">
        <f t="shared" si="108"/>
        <v>0</v>
      </c>
      <c r="AH209" s="238">
        <f t="shared" si="109"/>
        <v>18239990</v>
      </c>
      <c r="AI209" s="209">
        <f t="shared" si="110"/>
        <v>2012</v>
      </c>
      <c r="AJ209" s="210">
        <f t="shared" si="111"/>
        <v>10</v>
      </c>
    </row>
    <row r="210" spans="1:36" s="41" customFormat="1" ht="30.75" hidden="1" customHeight="1" x14ac:dyDescent="0.2">
      <c r="A210" s="41" t="s">
        <v>2297</v>
      </c>
      <c r="B210" s="69"/>
      <c r="C210" s="70" t="s">
        <v>52</v>
      </c>
      <c r="D210" s="70" t="s">
        <v>172</v>
      </c>
      <c r="E210" s="40"/>
      <c r="F210" s="72" t="s">
        <v>259</v>
      </c>
      <c r="G210" s="40"/>
      <c r="H210" s="65" t="s">
        <v>52</v>
      </c>
      <c r="I210" s="32">
        <v>2012</v>
      </c>
      <c r="J210" s="40"/>
      <c r="K210" s="72"/>
      <c r="L210" s="40"/>
      <c r="M210" s="40"/>
      <c r="N210" s="40"/>
      <c r="O210" s="32" t="s">
        <v>12</v>
      </c>
      <c r="P210" s="252">
        <v>3850000</v>
      </c>
      <c r="Q210" s="61" t="s">
        <v>43</v>
      </c>
      <c r="W210" s="206" t="str">
        <f t="shared" si="98"/>
        <v>2.06.02</v>
      </c>
      <c r="X210" s="207" t="str">
        <f t="shared" si="99"/>
        <v>ALAT RUMAH TANGGA</v>
      </c>
      <c r="Y210" s="207">
        <f t="shared" si="100"/>
        <v>5</v>
      </c>
      <c r="Z210" s="233">
        <f t="shared" si="101"/>
        <v>769998</v>
      </c>
      <c r="AA210" s="208">
        <f t="shared" si="102"/>
        <v>1</v>
      </c>
      <c r="AB210" s="233">
        <f t="shared" si="103"/>
        <v>769998</v>
      </c>
      <c r="AC210" s="233">
        <f t="shared" si="104"/>
        <v>769998</v>
      </c>
      <c r="AD210" s="233">
        <f t="shared" si="105"/>
        <v>769998</v>
      </c>
      <c r="AE210" s="233">
        <f t="shared" si="106"/>
        <v>769998</v>
      </c>
      <c r="AF210" s="233">
        <f t="shared" si="107"/>
        <v>769998</v>
      </c>
      <c r="AG210" s="238">
        <f t="shared" si="108"/>
        <v>0</v>
      </c>
      <c r="AH210" s="238">
        <f t="shared" si="109"/>
        <v>3849990</v>
      </c>
      <c r="AI210" s="209">
        <f t="shared" si="110"/>
        <v>2012</v>
      </c>
      <c r="AJ210" s="210">
        <f t="shared" si="111"/>
        <v>10</v>
      </c>
    </row>
    <row r="211" spans="1:36" s="41" customFormat="1" ht="30.75" hidden="1" customHeight="1" x14ac:dyDescent="0.2">
      <c r="A211" s="41" t="s">
        <v>2297</v>
      </c>
      <c r="B211" s="69"/>
      <c r="C211" s="70" t="s">
        <v>52</v>
      </c>
      <c r="D211" s="70" t="s">
        <v>172</v>
      </c>
      <c r="E211" s="40"/>
      <c r="F211" s="72" t="s">
        <v>259</v>
      </c>
      <c r="G211" s="40"/>
      <c r="H211" s="65" t="s">
        <v>52</v>
      </c>
      <c r="I211" s="32">
        <v>2012</v>
      </c>
      <c r="J211" s="40"/>
      <c r="K211" s="72"/>
      <c r="L211" s="40"/>
      <c r="M211" s="40"/>
      <c r="N211" s="40"/>
      <c r="O211" s="32" t="s">
        <v>12</v>
      </c>
      <c r="P211" s="252">
        <v>3850000</v>
      </c>
      <c r="Q211" s="61" t="s">
        <v>43</v>
      </c>
      <c r="W211" s="206" t="str">
        <f t="shared" si="98"/>
        <v>2.06.02</v>
      </c>
      <c r="X211" s="207" t="str">
        <f t="shared" si="99"/>
        <v>ALAT RUMAH TANGGA</v>
      </c>
      <c r="Y211" s="207">
        <f t="shared" si="100"/>
        <v>5</v>
      </c>
      <c r="Z211" s="233">
        <f t="shared" si="101"/>
        <v>769998</v>
      </c>
      <c r="AA211" s="208">
        <f t="shared" si="102"/>
        <v>1</v>
      </c>
      <c r="AB211" s="233">
        <f t="shared" si="103"/>
        <v>769998</v>
      </c>
      <c r="AC211" s="233">
        <f t="shared" si="104"/>
        <v>769998</v>
      </c>
      <c r="AD211" s="233">
        <f t="shared" si="105"/>
        <v>769998</v>
      </c>
      <c r="AE211" s="233">
        <f t="shared" si="106"/>
        <v>769998</v>
      </c>
      <c r="AF211" s="233">
        <f t="shared" si="107"/>
        <v>769998</v>
      </c>
      <c r="AG211" s="238">
        <f t="shared" si="108"/>
        <v>0</v>
      </c>
      <c r="AH211" s="238">
        <f t="shared" si="109"/>
        <v>3849990</v>
      </c>
      <c r="AI211" s="209">
        <f t="shared" si="110"/>
        <v>2012</v>
      </c>
      <c r="AJ211" s="210">
        <f t="shared" si="111"/>
        <v>10</v>
      </c>
    </row>
    <row r="212" spans="1:36" s="41" customFormat="1" ht="30.75" hidden="1" customHeight="1" x14ac:dyDescent="0.2">
      <c r="A212" s="41" t="s">
        <v>2297</v>
      </c>
      <c r="B212" s="69"/>
      <c r="C212" s="70" t="s">
        <v>52</v>
      </c>
      <c r="D212" s="70" t="s">
        <v>172</v>
      </c>
      <c r="E212" s="40"/>
      <c r="F212" s="72" t="s">
        <v>259</v>
      </c>
      <c r="G212" s="40"/>
      <c r="H212" s="65" t="s">
        <v>52</v>
      </c>
      <c r="I212" s="32">
        <v>2012</v>
      </c>
      <c r="J212" s="40"/>
      <c r="K212" s="72"/>
      <c r="L212" s="40"/>
      <c r="M212" s="40"/>
      <c r="N212" s="40"/>
      <c r="O212" s="32" t="s">
        <v>12</v>
      </c>
      <c r="P212" s="252">
        <v>3850000</v>
      </c>
      <c r="Q212" s="61" t="s">
        <v>43</v>
      </c>
      <c r="W212" s="206" t="str">
        <f t="shared" si="98"/>
        <v>2.06.02</v>
      </c>
      <c r="X212" s="207" t="str">
        <f t="shared" si="99"/>
        <v>ALAT RUMAH TANGGA</v>
      </c>
      <c r="Y212" s="207">
        <f t="shared" si="100"/>
        <v>5</v>
      </c>
      <c r="Z212" s="233">
        <f t="shared" si="101"/>
        <v>769998</v>
      </c>
      <c r="AA212" s="208">
        <f t="shared" si="102"/>
        <v>1</v>
      </c>
      <c r="AB212" s="233">
        <f t="shared" si="103"/>
        <v>769998</v>
      </c>
      <c r="AC212" s="233">
        <f t="shared" si="104"/>
        <v>769998</v>
      </c>
      <c r="AD212" s="233">
        <f t="shared" si="105"/>
        <v>769998</v>
      </c>
      <c r="AE212" s="233">
        <f t="shared" si="106"/>
        <v>769998</v>
      </c>
      <c r="AF212" s="233">
        <f t="shared" si="107"/>
        <v>769998</v>
      </c>
      <c r="AG212" s="238">
        <f t="shared" si="108"/>
        <v>0</v>
      </c>
      <c r="AH212" s="238">
        <f t="shared" si="109"/>
        <v>3849990</v>
      </c>
      <c r="AI212" s="209">
        <f t="shared" si="110"/>
        <v>2012</v>
      </c>
      <c r="AJ212" s="210">
        <f t="shared" si="111"/>
        <v>10</v>
      </c>
    </row>
    <row r="213" spans="1:36" s="41" customFormat="1" ht="30.75" hidden="1" customHeight="1" x14ac:dyDescent="0.2">
      <c r="A213" s="41" t="s">
        <v>2297</v>
      </c>
      <c r="B213" s="69"/>
      <c r="C213" s="70" t="s">
        <v>52</v>
      </c>
      <c r="D213" s="70" t="s">
        <v>172</v>
      </c>
      <c r="E213" s="40"/>
      <c r="F213" s="72" t="s">
        <v>259</v>
      </c>
      <c r="G213" s="40"/>
      <c r="H213" s="65" t="s">
        <v>52</v>
      </c>
      <c r="I213" s="32">
        <v>2012</v>
      </c>
      <c r="J213" s="40"/>
      <c r="K213" s="72"/>
      <c r="L213" s="40"/>
      <c r="M213" s="40"/>
      <c r="N213" s="40"/>
      <c r="O213" s="32" t="s">
        <v>12</v>
      </c>
      <c r="P213" s="252">
        <v>3850000</v>
      </c>
      <c r="Q213" s="61" t="s">
        <v>43</v>
      </c>
      <c r="W213" s="206" t="str">
        <f t="shared" si="98"/>
        <v>2.06.02</v>
      </c>
      <c r="X213" s="207" t="str">
        <f t="shared" si="99"/>
        <v>ALAT RUMAH TANGGA</v>
      </c>
      <c r="Y213" s="207">
        <f t="shared" si="100"/>
        <v>5</v>
      </c>
      <c r="Z213" s="233">
        <f t="shared" si="101"/>
        <v>769998</v>
      </c>
      <c r="AA213" s="208">
        <f t="shared" si="102"/>
        <v>1</v>
      </c>
      <c r="AB213" s="233">
        <f t="shared" si="103"/>
        <v>769998</v>
      </c>
      <c r="AC213" s="233">
        <f t="shared" si="104"/>
        <v>769998</v>
      </c>
      <c r="AD213" s="233">
        <f t="shared" si="105"/>
        <v>769998</v>
      </c>
      <c r="AE213" s="233">
        <f t="shared" si="106"/>
        <v>769998</v>
      </c>
      <c r="AF213" s="233">
        <f t="shared" si="107"/>
        <v>769998</v>
      </c>
      <c r="AG213" s="238">
        <f t="shared" si="108"/>
        <v>0</v>
      </c>
      <c r="AH213" s="238">
        <f t="shared" si="109"/>
        <v>3849990</v>
      </c>
      <c r="AI213" s="209">
        <f t="shared" si="110"/>
        <v>2012</v>
      </c>
      <c r="AJ213" s="210">
        <f t="shared" si="111"/>
        <v>10</v>
      </c>
    </row>
    <row r="214" spans="1:36" s="41" customFormat="1" ht="30.75" hidden="1" customHeight="1" x14ac:dyDescent="0.2">
      <c r="A214" s="41" t="s">
        <v>2297</v>
      </c>
      <c r="B214" s="69"/>
      <c r="C214" s="70" t="s">
        <v>52</v>
      </c>
      <c r="D214" s="70" t="s">
        <v>172</v>
      </c>
      <c r="E214" s="40"/>
      <c r="F214" s="72" t="s">
        <v>259</v>
      </c>
      <c r="G214" s="40"/>
      <c r="H214" s="65" t="s">
        <v>52</v>
      </c>
      <c r="I214" s="32">
        <v>2012</v>
      </c>
      <c r="J214" s="40"/>
      <c r="K214" s="72"/>
      <c r="L214" s="40"/>
      <c r="M214" s="40"/>
      <c r="N214" s="40"/>
      <c r="O214" s="32" t="s">
        <v>12</v>
      </c>
      <c r="P214" s="252">
        <v>3850000</v>
      </c>
      <c r="Q214" s="61" t="s">
        <v>43</v>
      </c>
      <c r="W214" s="206" t="str">
        <f t="shared" si="98"/>
        <v>2.06.02</v>
      </c>
      <c r="X214" s="207" t="str">
        <f t="shared" si="99"/>
        <v>ALAT RUMAH TANGGA</v>
      </c>
      <c r="Y214" s="207">
        <f t="shared" si="100"/>
        <v>5</v>
      </c>
      <c r="Z214" s="233">
        <f t="shared" si="101"/>
        <v>769998</v>
      </c>
      <c r="AA214" s="208">
        <f t="shared" si="102"/>
        <v>1</v>
      </c>
      <c r="AB214" s="233">
        <f t="shared" si="103"/>
        <v>769998</v>
      </c>
      <c r="AC214" s="233">
        <f t="shared" si="104"/>
        <v>769998</v>
      </c>
      <c r="AD214" s="233">
        <f t="shared" si="105"/>
        <v>769998</v>
      </c>
      <c r="AE214" s="233">
        <f t="shared" si="106"/>
        <v>769998</v>
      </c>
      <c r="AF214" s="233">
        <f t="shared" si="107"/>
        <v>769998</v>
      </c>
      <c r="AG214" s="238">
        <f t="shared" si="108"/>
        <v>0</v>
      </c>
      <c r="AH214" s="238">
        <f t="shared" si="109"/>
        <v>3849990</v>
      </c>
      <c r="AI214" s="209">
        <f t="shared" si="110"/>
        <v>2012</v>
      </c>
      <c r="AJ214" s="210">
        <f t="shared" si="111"/>
        <v>10</v>
      </c>
    </row>
    <row r="215" spans="1:36" s="41" customFormat="1" ht="30.75" hidden="1" customHeight="1" x14ac:dyDescent="0.2">
      <c r="A215" s="41" t="s">
        <v>2296</v>
      </c>
      <c r="B215" s="69"/>
      <c r="C215" s="70" t="s">
        <v>52</v>
      </c>
      <c r="D215" s="70" t="s">
        <v>230</v>
      </c>
      <c r="E215" s="40"/>
      <c r="F215" s="72" t="s">
        <v>997</v>
      </c>
      <c r="G215" s="40"/>
      <c r="H215" s="65" t="s">
        <v>193</v>
      </c>
      <c r="I215" s="32">
        <v>2012</v>
      </c>
      <c r="J215" s="40"/>
      <c r="K215" s="72"/>
      <c r="L215" s="40"/>
      <c r="M215" s="40"/>
      <c r="N215" s="40"/>
      <c r="O215" s="32" t="s">
        <v>12</v>
      </c>
      <c r="P215" s="252">
        <v>6429500</v>
      </c>
      <c r="Q215" s="61" t="s">
        <v>43</v>
      </c>
      <c r="W215" s="206" t="str">
        <f t="shared" si="98"/>
        <v>2.06.03</v>
      </c>
      <c r="X215" s="207" t="str">
        <f t="shared" si="99"/>
        <v>KOMPUTER</v>
      </c>
      <c r="Y215" s="207">
        <f t="shared" si="100"/>
        <v>4</v>
      </c>
      <c r="Z215" s="233">
        <f t="shared" si="101"/>
        <v>1607372.5</v>
      </c>
      <c r="AA215" s="208">
        <f t="shared" si="102"/>
        <v>1</v>
      </c>
      <c r="AB215" s="233">
        <f t="shared" si="103"/>
        <v>1607372.5</v>
      </c>
      <c r="AC215" s="233">
        <f t="shared" si="104"/>
        <v>1607372.5</v>
      </c>
      <c r="AD215" s="233">
        <f t="shared" si="105"/>
        <v>1607372.5</v>
      </c>
      <c r="AE215" s="233">
        <f t="shared" si="106"/>
        <v>1607372.5</v>
      </c>
      <c r="AF215" s="233">
        <f t="shared" si="107"/>
        <v>0</v>
      </c>
      <c r="AG215" s="238">
        <f t="shared" si="108"/>
        <v>0</v>
      </c>
      <c r="AH215" s="238">
        <f t="shared" si="109"/>
        <v>6429490</v>
      </c>
      <c r="AI215" s="209">
        <f t="shared" si="110"/>
        <v>2012</v>
      </c>
      <c r="AJ215" s="210">
        <f t="shared" si="111"/>
        <v>10</v>
      </c>
    </row>
    <row r="216" spans="1:36" s="41" customFormat="1" ht="30.75" hidden="1" customHeight="1" x14ac:dyDescent="0.2">
      <c r="A216" s="41" t="s">
        <v>2296</v>
      </c>
      <c r="B216" s="69"/>
      <c r="C216" s="70" t="s">
        <v>52</v>
      </c>
      <c r="D216" s="70" t="s">
        <v>230</v>
      </c>
      <c r="E216" s="40"/>
      <c r="F216" s="72" t="s">
        <v>997</v>
      </c>
      <c r="G216" s="40"/>
      <c r="H216" s="65" t="s">
        <v>193</v>
      </c>
      <c r="I216" s="32">
        <v>2012</v>
      </c>
      <c r="J216" s="40"/>
      <c r="K216" s="72"/>
      <c r="L216" s="40"/>
      <c r="M216" s="40"/>
      <c r="N216" s="40"/>
      <c r="O216" s="32" t="s">
        <v>12</v>
      </c>
      <c r="P216" s="252">
        <v>6429500</v>
      </c>
      <c r="Q216" s="61" t="s">
        <v>43</v>
      </c>
      <c r="W216" s="206" t="str">
        <f t="shared" si="98"/>
        <v>2.06.03</v>
      </c>
      <c r="X216" s="207" t="str">
        <f t="shared" si="99"/>
        <v>KOMPUTER</v>
      </c>
      <c r="Y216" s="207">
        <f t="shared" si="100"/>
        <v>4</v>
      </c>
      <c r="Z216" s="233">
        <f t="shared" si="101"/>
        <v>1607372.5</v>
      </c>
      <c r="AA216" s="208">
        <f t="shared" si="102"/>
        <v>1</v>
      </c>
      <c r="AB216" s="233">
        <f t="shared" si="103"/>
        <v>1607372.5</v>
      </c>
      <c r="AC216" s="233">
        <f t="shared" si="104"/>
        <v>1607372.5</v>
      </c>
      <c r="AD216" s="233">
        <f t="shared" si="105"/>
        <v>1607372.5</v>
      </c>
      <c r="AE216" s="233">
        <f t="shared" si="106"/>
        <v>1607372.5</v>
      </c>
      <c r="AF216" s="233">
        <f t="shared" si="107"/>
        <v>0</v>
      </c>
      <c r="AG216" s="238">
        <f t="shared" si="108"/>
        <v>0</v>
      </c>
      <c r="AH216" s="238">
        <f t="shared" si="109"/>
        <v>6429490</v>
      </c>
      <c r="AI216" s="209">
        <f t="shared" si="110"/>
        <v>2012</v>
      </c>
      <c r="AJ216" s="210">
        <f t="shared" si="111"/>
        <v>10</v>
      </c>
    </row>
    <row r="217" spans="1:36" s="41" customFormat="1" ht="30.75" hidden="1" customHeight="1" x14ac:dyDescent="0.2">
      <c r="A217" s="41" t="s">
        <v>2296</v>
      </c>
      <c r="B217" s="69"/>
      <c r="C217" s="70" t="s">
        <v>52</v>
      </c>
      <c r="D217" s="70" t="s">
        <v>230</v>
      </c>
      <c r="E217" s="40"/>
      <c r="F217" s="72" t="s">
        <v>997</v>
      </c>
      <c r="G217" s="40"/>
      <c r="H217" s="65" t="s">
        <v>193</v>
      </c>
      <c r="I217" s="32">
        <v>2012</v>
      </c>
      <c r="J217" s="40"/>
      <c r="K217" s="72"/>
      <c r="L217" s="40"/>
      <c r="M217" s="40"/>
      <c r="N217" s="40"/>
      <c r="O217" s="32" t="s">
        <v>12</v>
      </c>
      <c r="P217" s="252">
        <v>6429500</v>
      </c>
      <c r="Q217" s="61" t="s">
        <v>43</v>
      </c>
      <c r="W217" s="206" t="str">
        <f t="shared" si="98"/>
        <v>2.06.03</v>
      </c>
      <c r="X217" s="207" t="str">
        <f t="shared" si="99"/>
        <v>KOMPUTER</v>
      </c>
      <c r="Y217" s="207">
        <f t="shared" si="100"/>
        <v>4</v>
      </c>
      <c r="Z217" s="233">
        <f t="shared" si="101"/>
        <v>1607372.5</v>
      </c>
      <c r="AA217" s="208">
        <f t="shared" si="102"/>
        <v>1</v>
      </c>
      <c r="AB217" s="233">
        <f t="shared" si="103"/>
        <v>1607372.5</v>
      </c>
      <c r="AC217" s="233">
        <f t="shared" si="104"/>
        <v>1607372.5</v>
      </c>
      <c r="AD217" s="233">
        <f t="shared" si="105"/>
        <v>1607372.5</v>
      </c>
      <c r="AE217" s="233">
        <f t="shared" si="106"/>
        <v>1607372.5</v>
      </c>
      <c r="AF217" s="233">
        <f t="shared" si="107"/>
        <v>0</v>
      </c>
      <c r="AG217" s="238">
        <f t="shared" si="108"/>
        <v>0</v>
      </c>
      <c r="AH217" s="238">
        <f t="shared" si="109"/>
        <v>6429490</v>
      </c>
      <c r="AI217" s="209">
        <f t="shared" si="110"/>
        <v>2012</v>
      </c>
      <c r="AJ217" s="210">
        <f t="shared" si="111"/>
        <v>10</v>
      </c>
    </row>
    <row r="218" spans="1:36" s="41" customFormat="1" ht="30.75" hidden="1" customHeight="1" x14ac:dyDescent="0.2">
      <c r="A218" s="41" t="s">
        <v>2296</v>
      </c>
      <c r="B218" s="69"/>
      <c r="C218" s="70" t="s">
        <v>52</v>
      </c>
      <c r="D218" s="70" t="s">
        <v>230</v>
      </c>
      <c r="E218" s="40"/>
      <c r="F218" s="72" t="s">
        <v>997</v>
      </c>
      <c r="G218" s="40"/>
      <c r="H218" s="65" t="s">
        <v>193</v>
      </c>
      <c r="I218" s="32">
        <v>2012</v>
      </c>
      <c r="J218" s="40"/>
      <c r="K218" s="72"/>
      <c r="L218" s="40"/>
      <c r="M218" s="40"/>
      <c r="N218" s="40"/>
      <c r="O218" s="32" t="s">
        <v>12</v>
      </c>
      <c r="P218" s="252">
        <v>6429500</v>
      </c>
      <c r="Q218" s="61" t="s">
        <v>43</v>
      </c>
      <c r="W218" s="206" t="str">
        <f t="shared" si="98"/>
        <v>2.06.03</v>
      </c>
      <c r="X218" s="207" t="str">
        <f t="shared" si="99"/>
        <v>KOMPUTER</v>
      </c>
      <c r="Y218" s="207">
        <f t="shared" si="100"/>
        <v>4</v>
      </c>
      <c r="Z218" s="233">
        <f t="shared" si="101"/>
        <v>1607372.5</v>
      </c>
      <c r="AA218" s="208">
        <f t="shared" si="102"/>
        <v>1</v>
      </c>
      <c r="AB218" s="233">
        <f t="shared" si="103"/>
        <v>1607372.5</v>
      </c>
      <c r="AC218" s="233">
        <f t="shared" si="104"/>
        <v>1607372.5</v>
      </c>
      <c r="AD218" s="233">
        <f t="shared" si="105"/>
        <v>1607372.5</v>
      </c>
      <c r="AE218" s="233">
        <f t="shared" si="106"/>
        <v>1607372.5</v>
      </c>
      <c r="AF218" s="233">
        <f t="shared" si="107"/>
        <v>0</v>
      </c>
      <c r="AG218" s="238">
        <f t="shared" si="108"/>
        <v>0</v>
      </c>
      <c r="AH218" s="238">
        <f t="shared" si="109"/>
        <v>6429490</v>
      </c>
      <c r="AI218" s="209">
        <f t="shared" si="110"/>
        <v>2012</v>
      </c>
      <c r="AJ218" s="210">
        <f t="shared" si="111"/>
        <v>10</v>
      </c>
    </row>
    <row r="219" spans="1:36" s="41" customFormat="1" ht="30.75" hidden="1" customHeight="1" x14ac:dyDescent="0.2">
      <c r="A219" s="41" t="s">
        <v>2296</v>
      </c>
      <c r="B219" s="69"/>
      <c r="C219" s="70" t="s">
        <v>52</v>
      </c>
      <c r="D219" s="70" t="s">
        <v>948</v>
      </c>
      <c r="E219" s="40"/>
      <c r="F219" s="72" t="s">
        <v>258</v>
      </c>
      <c r="G219" s="40"/>
      <c r="H219" s="65" t="s">
        <v>193</v>
      </c>
      <c r="I219" s="32">
        <v>2012</v>
      </c>
      <c r="J219" s="40"/>
      <c r="K219" s="72"/>
      <c r="L219" s="40"/>
      <c r="M219" s="40"/>
      <c r="N219" s="40"/>
      <c r="O219" s="32" t="s">
        <v>12</v>
      </c>
      <c r="P219" s="252">
        <v>5866666.666666667</v>
      </c>
      <c r="Q219" s="61" t="s">
        <v>43</v>
      </c>
      <c r="W219" s="206" t="str">
        <f t="shared" si="98"/>
        <v>2.06.03</v>
      </c>
      <c r="X219" s="207" t="str">
        <f t="shared" si="99"/>
        <v>KOMPUTER</v>
      </c>
      <c r="Y219" s="207">
        <f t="shared" si="100"/>
        <v>4</v>
      </c>
      <c r="Z219" s="233">
        <f t="shared" si="101"/>
        <v>1466664.1666666667</v>
      </c>
      <c r="AA219" s="208">
        <f t="shared" si="102"/>
        <v>1</v>
      </c>
      <c r="AB219" s="233">
        <f t="shared" si="103"/>
        <v>1466664.1666666667</v>
      </c>
      <c r="AC219" s="233">
        <f t="shared" si="104"/>
        <v>1466664.1666666667</v>
      </c>
      <c r="AD219" s="233">
        <f t="shared" si="105"/>
        <v>1466664.1666666667</v>
      </c>
      <c r="AE219" s="233">
        <f t="shared" si="106"/>
        <v>1466664.1666666667</v>
      </c>
      <c r="AF219" s="233">
        <f t="shared" si="107"/>
        <v>0</v>
      </c>
      <c r="AG219" s="238">
        <f t="shared" si="108"/>
        <v>0</v>
      </c>
      <c r="AH219" s="238">
        <f t="shared" si="109"/>
        <v>5866656.666666667</v>
      </c>
      <c r="AI219" s="209">
        <f t="shared" si="110"/>
        <v>2012</v>
      </c>
      <c r="AJ219" s="210">
        <f t="shared" si="111"/>
        <v>10</v>
      </c>
    </row>
    <row r="220" spans="1:36" s="41" customFormat="1" ht="30.75" hidden="1" customHeight="1" x14ac:dyDescent="0.2">
      <c r="A220" s="41" t="s">
        <v>2296</v>
      </c>
      <c r="B220" s="69"/>
      <c r="C220" s="70" t="s">
        <v>52</v>
      </c>
      <c r="D220" s="70" t="s">
        <v>948</v>
      </c>
      <c r="E220" s="40"/>
      <c r="F220" s="72" t="s">
        <v>258</v>
      </c>
      <c r="G220" s="40"/>
      <c r="H220" s="65" t="s">
        <v>193</v>
      </c>
      <c r="I220" s="32">
        <v>2012</v>
      </c>
      <c r="J220" s="40"/>
      <c r="K220" s="72"/>
      <c r="L220" s="40"/>
      <c r="M220" s="40"/>
      <c r="N220" s="40"/>
      <c r="O220" s="32" t="s">
        <v>12</v>
      </c>
      <c r="P220" s="252">
        <v>5866666.666666667</v>
      </c>
      <c r="Q220" s="61" t="s">
        <v>43</v>
      </c>
      <c r="W220" s="206" t="str">
        <f t="shared" si="98"/>
        <v>2.06.03</v>
      </c>
      <c r="X220" s="207" t="str">
        <f t="shared" si="99"/>
        <v>KOMPUTER</v>
      </c>
      <c r="Y220" s="207">
        <f t="shared" si="100"/>
        <v>4</v>
      </c>
      <c r="Z220" s="233">
        <f t="shared" si="101"/>
        <v>1466664.1666666667</v>
      </c>
      <c r="AA220" s="208">
        <f t="shared" si="102"/>
        <v>1</v>
      </c>
      <c r="AB220" s="233">
        <f t="shared" si="103"/>
        <v>1466664.1666666667</v>
      </c>
      <c r="AC220" s="233">
        <f t="shared" si="104"/>
        <v>1466664.1666666667</v>
      </c>
      <c r="AD220" s="233">
        <f t="shared" si="105"/>
        <v>1466664.1666666667</v>
      </c>
      <c r="AE220" s="233">
        <f t="shared" si="106"/>
        <v>1466664.1666666667</v>
      </c>
      <c r="AF220" s="233">
        <f t="shared" si="107"/>
        <v>0</v>
      </c>
      <c r="AG220" s="238">
        <f t="shared" si="108"/>
        <v>0</v>
      </c>
      <c r="AH220" s="238">
        <f t="shared" si="109"/>
        <v>5866656.666666667</v>
      </c>
      <c r="AI220" s="209">
        <f t="shared" si="110"/>
        <v>2012</v>
      </c>
      <c r="AJ220" s="210">
        <f t="shared" si="111"/>
        <v>10</v>
      </c>
    </row>
    <row r="221" spans="1:36" s="41" customFormat="1" ht="30.75" hidden="1" customHeight="1" x14ac:dyDescent="0.2">
      <c r="A221" s="41" t="s">
        <v>2296</v>
      </c>
      <c r="B221" s="69"/>
      <c r="C221" s="70" t="s">
        <v>52</v>
      </c>
      <c r="D221" s="70" t="s">
        <v>948</v>
      </c>
      <c r="E221" s="40"/>
      <c r="F221" s="72" t="s">
        <v>258</v>
      </c>
      <c r="G221" s="40"/>
      <c r="H221" s="65" t="s">
        <v>193</v>
      </c>
      <c r="I221" s="32">
        <v>2012</v>
      </c>
      <c r="J221" s="40"/>
      <c r="K221" s="72"/>
      <c r="L221" s="40"/>
      <c r="M221" s="40"/>
      <c r="N221" s="40"/>
      <c r="O221" s="32" t="s">
        <v>12</v>
      </c>
      <c r="P221" s="252">
        <v>5866666.666666667</v>
      </c>
      <c r="Q221" s="61" t="s">
        <v>43</v>
      </c>
      <c r="W221" s="206" t="str">
        <f t="shared" si="98"/>
        <v>2.06.03</v>
      </c>
      <c r="X221" s="207" t="str">
        <f t="shared" si="99"/>
        <v>KOMPUTER</v>
      </c>
      <c r="Y221" s="207">
        <f t="shared" si="100"/>
        <v>4</v>
      </c>
      <c r="Z221" s="233">
        <f t="shared" si="101"/>
        <v>1466664.1666666667</v>
      </c>
      <c r="AA221" s="208">
        <f t="shared" si="102"/>
        <v>1</v>
      </c>
      <c r="AB221" s="233">
        <f t="shared" si="103"/>
        <v>1466664.1666666667</v>
      </c>
      <c r="AC221" s="233">
        <f t="shared" si="104"/>
        <v>1466664.1666666667</v>
      </c>
      <c r="AD221" s="233">
        <f t="shared" si="105"/>
        <v>1466664.1666666667</v>
      </c>
      <c r="AE221" s="233">
        <f t="shared" si="106"/>
        <v>1466664.1666666667</v>
      </c>
      <c r="AF221" s="233">
        <f t="shared" si="107"/>
        <v>0</v>
      </c>
      <c r="AG221" s="238">
        <f t="shared" si="108"/>
        <v>0</v>
      </c>
      <c r="AH221" s="238">
        <f t="shared" si="109"/>
        <v>5866656.666666667</v>
      </c>
      <c r="AI221" s="209">
        <f t="shared" si="110"/>
        <v>2012</v>
      </c>
      <c r="AJ221" s="210">
        <f t="shared" si="111"/>
        <v>10</v>
      </c>
    </row>
    <row r="222" spans="1:36" s="41" customFormat="1" ht="30.75" hidden="1" customHeight="1" x14ac:dyDescent="0.2">
      <c r="A222" s="41" t="s">
        <v>2296</v>
      </c>
      <c r="B222" s="69"/>
      <c r="C222" s="70" t="s">
        <v>52</v>
      </c>
      <c r="D222" s="70" t="s">
        <v>183</v>
      </c>
      <c r="E222" s="40"/>
      <c r="F222" s="72" t="s">
        <v>998</v>
      </c>
      <c r="G222" s="40"/>
      <c r="H222" s="65" t="s">
        <v>193</v>
      </c>
      <c r="I222" s="32">
        <v>2012</v>
      </c>
      <c r="J222" s="40"/>
      <c r="K222" s="72"/>
      <c r="L222" s="40"/>
      <c r="M222" s="40"/>
      <c r="N222" s="40"/>
      <c r="O222" s="32" t="s">
        <v>12</v>
      </c>
      <c r="P222" s="252">
        <v>1000000</v>
      </c>
      <c r="Q222" s="61" t="s">
        <v>43</v>
      </c>
      <c r="W222" s="206" t="str">
        <f t="shared" si="98"/>
        <v>2.06.03</v>
      </c>
      <c r="X222" s="207" t="str">
        <f t="shared" si="99"/>
        <v>KOMPUTER</v>
      </c>
      <c r="Y222" s="207">
        <f t="shared" si="100"/>
        <v>4</v>
      </c>
      <c r="Z222" s="233">
        <f t="shared" si="101"/>
        <v>249997.5</v>
      </c>
      <c r="AA222" s="208">
        <f t="shared" si="102"/>
        <v>1</v>
      </c>
      <c r="AB222" s="233">
        <f t="shared" si="103"/>
        <v>249997.5</v>
      </c>
      <c r="AC222" s="233">
        <f t="shared" si="104"/>
        <v>249997.5</v>
      </c>
      <c r="AD222" s="233">
        <f t="shared" si="105"/>
        <v>249997.5</v>
      </c>
      <c r="AE222" s="233">
        <f t="shared" si="106"/>
        <v>249997.5</v>
      </c>
      <c r="AF222" s="233">
        <f t="shared" si="107"/>
        <v>0</v>
      </c>
      <c r="AG222" s="238">
        <f t="shared" si="108"/>
        <v>0</v>
      </c>
      <c r="AH222" s="238">
        <f t="shared" si="109"/>
        <v>999990</v>
      </c>
      <c r="AI222" s="209">
        <f t="shared" si="110"/>
        <v>2012</v>
      </c>
      <c r="AJ222" s="210">
        <f t="shared" si="111"/>
        <v>10</v>
      </c>
    </row>
    <row r="223" spans="1:36" s="41" customFormat="1" ht="30.75" hidden="1" customHeight="1" x14ac:dyDescent="0.2">
      <c r="A223" s="41" t="s">
        <v>2296</v>
      </c>
      <c r="B223" s="69"/>
      <c r="C223" s="70" t="s">
        <v>52</v>
      </c>
      <c r="D223" s="70" t="s">
        <v>183</v>
      </c>
      <c r="E223" s="40"/>
      <c r="F223" s="72" t="s">
        <v>998</v>
      </c>
      <c r="G223" s="40"/>
      <c r="H223" s="65" t="s">
        <v>193</v>
      </c>
      <c r="I223" s="32">
        <v>2012</v>
      </c>
      <c r="J223" s="40"/>
      <c r="K223" s="72"/>
      <c r="L223" s="40"/>
      <c r="M223" s="40"/>
      <c r="N223" s="40"/>
      <c r="O223" s="32" t="s">
        <v>12</v>
      </c>
      <c r="P223" s="252">
        <v>1000000</v>
      </c>
      <c r="Q223" s="61" t="s">
        <v>43</v>
      </c>
      <c r="W223" s="206" t="str">
        <f t="shared" si="98"/>
        <v>2.06.03</v>
      </c>
      <c r="X223" s="207" t="str">
        <f t="shared" si="99"/>
        <v>KOMPUTER</v>
      </c>
      <c r="Y223" s="207">
        <f t="shared" si="100"/>
        <v>4</v>
      </c>
      <c r="Z223" s="233">
        <f t="shared" si="101"/>
        <v>249997.5</v>
      </c>
      <c r="AA223" s="208">
        <f t="shared" si="102"/>
        <v>1</v>
      </c>
      <c r="AB223" s="233">
        <f t="shared" si="103"/>
        <v>249997.5</v>
      </c>
      <c r="AC223" s="233">
        <f t="shared" si="104"/>
        <v>249997.5</v>
      </c>
      <c r="AD223" s="233">
        <f t="shared" si="105"/>
        <v>249997.5</v>
      </c>
      <c r="AE223" s="233">
        <f t="shared" si="106"/>
        <v>249997.5</v>
      </c>
      <c r="AF223" s="233">
        <f t="shared" si="107"/>
        <v>0</v>
      </c>
      <c r="AG223" s="238">
        <f t="shared" si="108"/>
        <v>0</v>
      </c>
      <c r="AH223" s="238">
        <f t="shared" si="109"/>
        <v>999990</v>
      </c>
      <c r="AI223" s="209">
        <f t="shared" si="110"/>
        <v>2012</v>
      </c>
      <c r="AJ223" s="210">
        <f t="shared" si="111"/>
        <v>10</v>
      </c>
    </row>
    <row r="224" spans="1:36" s="41" customFormat="1" ht="30.75" hidden="1" customHeight="1" x14ac:dyDescent="0.2">
      <c r="A224" s="41" t="s">
        <v>2296</v>
      </c>
      <c r="B224" s="69"/>
      <c r="C224" s="70" t="s">
        <v>52</v>
      </c>
      <c r="D224" s="70" t="s">
        <v>183</v>
      </c>
      <c r="E224" s="40"/>
      <c r="F224" s="72" t="s">
        <v>998</v>
      </c>
      <c r="G224" s="40"/>
      <c r="H224" s="65" t="s">
        <v>193</v>
      </c>
      <c r="I224" s="32">
        <v>2012</v>
      </c>
      <c r="J224" s="40"/>
      <c r="K224" s="72"/>
      <c r="L224" s="40"/>
      <c r="M224" s="40"/>
      <c r="N224" s="40"/>
      <c r="O224" s="32" t="s">
        <v>12</v>
      </c>
      <c r="P224" s="252">
        <v>1000000</v>
      </c>
      <c r="Q224" s="61" t="s">
        <v>43</v>
      </c>
      <c r="W224" s="206" t="str">
        <f t="shared" si="98"/>
        <v>2.06.03</v>
      </c>
      <c r="X224" s="207" t="str">
        <f t="shared" si="99"/>
        <v>KOMPUTER</v>
      </c>
      <c r="Y224" s="207">
        <f t="shared" si="100"/>
        <v>4</v>
      </c>
      <c r="Z224" s="233">
        <f t="shared" si="101"/>
        <v>249997.5</v>
      </c>
      <c r="AA224" s="208">
        <f t="shared" si="102"/>
        <v>1</v>
      </c>
      <c r="AB224" s="233">
        <f t="shared" si="103"/>
        <v>249997.5</v>
      </c>
      <c r="AC224" s="233">
        <f t="shared" si="104"/>
        <v>249997.5</v>
      </c>
      <c r="AD224" s="233">
        <f t="shared" si="105"/>
        <v>249997.5</v>
      </c>
      <c r="AE224" s="233">
        <f t="shared" si="106"/>
        <v>249997.5</v>
      </c>
      <c r="AF224" s="233">
        <f t="shared" si="107"/>
        <v>0</v>
      </c>
      <c r="AG224" s="238">
        <f t="shared" si="108"/>
        <v>0</v>
      </c>
      <c r="AH224" s="238">
        <f t="shared" si="109"/>
        <v>999990</v>
      </c>
      <c r="AI224" s="209">
        <f t="shared" si="110"/>
        <v>2012</v>
      </c>
      <c r="AJ224" s="210">
        <f t="shared" si="111"/>
        <v>10</v>
      </c>
    </row>
    <row r="225" spans="1:37" s="41" customFormat="1" ht="30.75" customHeight="1" x14ac:dyDescent="0.2">
      <c r="A225" s="41" t="s">
        <v>2297</v>
      </c>
      <c r="B225" s="69"/>
      <c r="C225" s="70" t="s">
        <v>52</v>
      </c>
      <c r="D225" s="70" t="s">
        <v>949</v>
      </c>
      <c r="E225" s="40" t="s">
        <v>260</v>
      </c>
      <c r="F225" s="72" t="s">
        <v>52</v>
      </c>
      <c r="G225" s="40"/>
      <c r="H225" s="65" t="s">
        <v>218</v>
      </c>
      <c r="I225" s="32">
        <v>2012</v>
      </c>
      <c r="J225" s="40"/>
      <c r="K225" s="72"/>
      <c r="L225" s="40"/>
      <c r="M225" s="40"/>
      <c r="N225" s="40"/>
      <c r="O225" s="32" t="s">
        <v>12</v>
      </c>
      <c r="P225" s="280">
        <v>14000000</v>
      </c>
      <c r="Q225" s="61" t="s">
        <v>43</v>
      </c>
      <c r="U225" s="269">
        <f>P225/60</f>
        <v>233333.33333333334</v>
      </c>
      <c r="V225" s="41" t="s">
        <v>2615</v>
      </c>
      <c r="W225" s="206" t="str">
        <f t="shared" si="98"/>
        <v>2.06.02</v>
      </c>
      <c r="X225" s="207" t="str">
        <f t="shared" si="99"/>
        <v>ALAT RUMAH TANGGA</v>
      </c>
      <c r="Y225" s="207">
        <f t="shared" si="100"/>
        <v>5</v>
      </c>
      <c r="Z225" s="233">
        <f t="shared" si="101"/>
        <v>2799998</v>
      </c>
      <c r="AA225" s="208">
        <f t="shared" si="102"/>
        <v>1</v>
      </c>
      <c r="AB225" s="233">
        <f t="shared" si="103"/>
        <v>2799998</v>
      </c>
      <c r="AC225" s="233">
        <f t="shared" si="104"/>
        <v>2799998</v>
      </c>
      <c r="AD225" s="233">
        <f t="shared" si="105"/>
        <v>2799998</v>
      </c>
      <c r="AE225" s="233">
        <f t="shared" si="106"/>
        <v>2799998</v>
      </c>
      <c r="AF225" s="233">
        <f t="shared" si="107"/>
        <v>2799998</v>
      </c>
      <c r="AG225" s="238">
        <f t="shared" si="108"/>
        <v>0</v>
      </c>
      <c r="AH225" s="238">
        <f t="shared" si="109"/>
        <v>13999990</v>
      </c>
      <c r="AI225" s="209">
        <f t="shared" si="110"/>
        <v>2012</v>
      </c>
      <c r="AJ225" s="210">
        <f t="shared" si="111"/>
        <v>10</v>
      </c>
      <c r="AK225" s="285">
        <f>AH225-AG225</f>
        <v>13999990</v>
      </c>
    </row>
    <row r="226" spans="1:37" s="41" customFormat="1" ht="30.75" hidden="1" customHeight="1" x14ac:dyDescent="0.2">
      <c r="A226" s="41" t="s">
        <v>2297</v>
      </c>
      <c r="B226" s="69"/>
      <c r="C226" s="70" t="s">
        <v>52</v>
      </c>
      <c r="D226" s="70" t="s">
        <v>237</v>
      </c>
      <c r="E226" s="40"/>
      <c r="F226" s="72" t="s">
        <v>52</v>
      </c>
      <c r="G226" s="40"/>
      <c r="H226" s="65" t="s">
        <v>52</v>
      </c>
      <c r="I226" s="32">
        <v>2012</v>
      </c>
      <c r="J226" s="40"/>
      <c r="K226" s="72"/>
      <c r="L226" s="40"/>
      <c r="M226" s="40"/>
      <c r="N226" s="40"/>
      <c r="O226" s="32" t="s">
        <v>12</v>
      </c>
      <c r="P226" s="280">
        <v>22000000</v>
      </c>
      <c r="Q226" s="61" t="s">
        <v>43</v>
      </c>
      <c r="W226" s="206" t="str">
        <f t="shared" si="98"/>
        <v>2.06.02</v>
      </c>
      <c r="X226" s="207" t="str">
        <f t="shared" si="99"/>
        <v>ALAT RUMAH TANGGA</v>
      </c>
      <c r="Y226" s="207">
        <f t="shared" si="100"/>
        <v>5</v>
      </c>
      <c r="Z226" s="233">
        <f t="shared" si="101"/>
        <v>4399998</v>
      </c>
      <c r="AA226" s="208">
        <f t="shared" si="102"/>
        <v>1</v>
      </c>
      <c r="AB226" s="233">
        <f t="shared" si="103"/>
        <v>4399998</v>
      </c>
      <c r="AC226" s="233">
        <f t="shared" si="104"/>
        <v>4399998</v>
      </c>
      <c r="AD226" s="233">
        <f t="shared" si="105"/>
        <v>4399998</v>
      </c>
      <c r="AE226" s="233">
        <f t="shared" si="106"/>
        <v>4399998</v>
      </c>
      <c r="AF226" s="233">
        <f t="shared" si="107"/>
        <v>4399998</v>
      </c>
      <c r="AG226" s="238">
        <f t="shared" si="108"/>
        <v>0</v>
      </c>
      <c r="AH226" s="238">
        <f t="shared" si="109"/>
        <v>21999990</v>
      </c>
      <c r="AI226" s="209">
        <f t="shared" si="110"/>
        <v>2012</v>
      </c>
      <c r="AJ226" s="210">
        <f t="shared" si="111"/>
        <v>10</v>
      </c>
    </row>
    <row r="227" spans="1:37" s="41" customFormat="1" ht="30.75" hidden="1" customHeight="1" x14ac:dyDescent="0.2">
      <c r="A227" s="41" t="s">
        <v>2297</v>
      </c>
      <c r="B227" s="69"/>
      <c r="C227" s="70" t="s">
        <v>52</v>
      </c>
      <c r="D227" s="70" t="s">
        <v>950</v>
      </c>
      <c r="E227" s="81" t="s">
        <v>261</v>
      </c>
      <c r="F227" s="72" t="s">
        <v>262</v>
      </c>
      <c r="G227" s="40"/>
      <c r="H227" s="65" t="s">
        <v>191</v>
      </c>
      <c r="I227" s="32">
        <v>2012</v>
      </c>
      <c r="J227" s="40"/>
      <c r="K227" s="72"/>
      <c r="L227" s="40"/>
      <c r="M227" s="40"/>
      <c r="N227" s="40"/>
      <c r="O227" s="32" t="s">
        <v>12</v>
      </c>
      <c r="P227" s="280">
        <v>2000000</v>
      </c>
      <c r="Q227" s="61" t="s">
        <v>43</v>
      </c>
      <c r="W227" s="206" t="str">
        <f t="shared" si="98"/>
        <v>2.06.02</v>
      </c>
      <c r="X227" s="207" t="str">
        <f t="shared" si="99"/>
        <v>ALAT RUMAH TANGGA</v>
      </c>
      <c r="Y227" s="207">
        <f t="shared" si="100"/>
        <v>5</v>
      </c>
      <c r="Z227" s="233">
        <f t="shared" si="101"/>
        <v>399998</v>
      </c>
      <c r="AA227" s="208">
        <f t="shared" si="102"/>
        <v>1</v>
      </c>
      <c r="AB227" s="233">
        <f t="shared" si="103"/>
        <v>399998</v>
      </c>
      <c r="AC227" s="233">
        <f t="shared" si="104"/>
        <v>399998</v>
      </c>
      <c r="AD227" s="233">
        <f t="shared" si="105"/>
        <v>399998</v>
      </c>
      <c r="AE227" s="233">
        <f t="shared" si="106"/>
        <v>399998</v>
      </c>
      <c r="AF227" s="233">
        <f t="shared" si="107"/>
        <v>399998</v>
      </c>
      <c r="AG227" s="238">
        <f t="shared" si="108"/>
        <v>0</v>
      </c>
      <c r="AH227" s="238">
        <f t="shared" si="109"/>
        <v>1999990</v>
      </c>
      <c r="AI227" s="209">
        <f t="shared" si="110"/>
        <v>2012</v>
      </c>
      <c r="AJ227" s="210">
        <f t="shared" si="111"/>
        <v>10</v>
      </c>
    </row>
    <row r="228" spans="1:37" s="41" customFormat="1" ht="30.75" hidden="1" customHeight="1" x14ac:dyDescent="0.2">
      <c r="A228" s="41" t="s">
        <v>2297</v>
      </c>
      <c r="B228" s="69"/>
      <c r="C228" s="70" t="s">
        <v>52</v>
      </c>
      <c r="D228" s="70" t="s">
        <v>950</v>
      </c>
      <c r="E228" s="81" t="s">
        <v>263</v>
      </c>
      <c r="F228" s="72" t="s">
        <v>262</v>
      </c>
      <c r="G228" s="40"/>
      <c r="H228" s="65" t="s">
        <v>191</v>
      </c>
      <c r="I228" s="32">
        <v>2012</v>
      </c>
      <c r="J228" s="40"/>
      <c r="K228" s="72"/>
      <c r="L228" s="40"/>
      <c r="M228" s="40"/>
      <c r="N228" s="40"/>
      <c r="O228" s="32" t="s">
        <v>12</v>
      </c>
      <c r="P228" s="280">
        <v>2000000</v>
      </c>
      <c r="Q228" s="61" t="s">
        <v>43</v>
      </c>
      <c r="W228" s="206" t="str">
        <f t="shared" si="98"/>
        <v>2.06.02</v>
      </c>
      <c r="X228" s="207" t="str">
        <f t="shared" si="99"/>
        <v>ALAT RUMAH TANGGA</v>
      </c>
      <c r="Y228" s="207">
        <f t="shared" si="100"/>
        <v>5</v>
      </c>
      <c r="Z228" s="233">
        <f t="shared" si="101"/>
        <v>399998</v>
      </c>
      <c r="AA228" s="208">
        <f t="shared" si="102"/>
        <v>1</v>
      </c>
      <c r="AB228" s="233">
        <f t="shared" si="103"/>
        <v>399998</v>
      </c>
      <c r="AC228" s="233">
        <f t="shared" si="104"/>
        <v>399998</v>
      </c>
      <c r="AD228" s="233">
        <f t="shared" si="105"/>
        <v>399998</v>
      </c>
      <c r="AE228" s="233">
        <f t="shared" si="106"/>
        <v>399998</v>
      </c>
      <c r="AF228" s="233">
        <f t="shared" si="107"/>
        <v>399998</v>
      </c>
      <c r="AG228" s="238">
        <f t="shared" si="108"/>
        <v>0</v>
      </c>
      <c r="AH228" s="238">
        <f t="shared" si="109"/>
        <v>1999990</v>
      </c>
      <c r="AI228" s="209">
        <f t="shared" si="110"/>
        <v>2012</v>
      </c>
      <c r="AJ228" s="210">
        <f t="shared" si="111"/>
        <v>10</v>
      </c>
    </row>
    <row r="229" spans="1:37" s="41" customFormat="1" ht="30.75" hidden="1" customHeight="1" x14ac:dyDescent="0.2">
      <c r="A229" s="41" t="s">
        <v>2297</v>
      </c>
      <c r="B229" s="69"/>
      <c r="C229" s="70" t="s">
        <v>52</v>
      </c>
      <c r="D229" s="70" t="s">
        <v>950</v>
      </c>
      <c r="E229" s="81" t="s">
        <v>264</v>
      </c>
      <c r="F229" s="72" t="s">
        <v>262</v>
      </c>
      <c r="G229" s="40"/>
      <c r="H229" s="65" t="s">
        <v>191</v>
      </c>
      <c r="I229" s="32">
        <v>2012</v>
      </c>
      <c r="J229" s="40"/>
      <c r="K229" s="72"/>
      <c r="L229" s="40"/>
      <c r="M229" s="40"/>
      <c r="N229" s="40"/>
      <c r="O229" s="32" t="s">
        <v>12</v>
      </c>
      <c r="P229" s="280">
        <v>2000000</v>
      </c>
      <c r="Q229" s="61" t="s">
        <v>43</v>
      </c>
      <c r="W229" s="206" t="str">
        <f t="shared" si="98"/>
        <v>2.06.02</v>
      </c>
      <c r="X229" s="207" t="str">
        <f t="shared" si="99"/>
        <v>ALAT RUMAH TANGGA</v>
      </c>
      <c r="Y229" s="207">
        <f t="shared" si="100"/>
        <v>5</v>
      </c>
      <c r="Z229" s="233">
        <f t="shared" si="101"/>
        <v>399998</v>
      </c>
      <c r="AA229" s="208">
        <f t="shared" si="102"/>
        <v>1</v>
      </c>
      <c r="AB229" s="233">
        <f t="shared" si="103"/>
        <v>399998</v>
      </c>
      <c r="AC229" s="233">
        <f t="shared" si="104"/>
        <v>399998</v>
      </c>
      <c r="AD229" s="233">
        <f t="shared" si="105"/>
        <v>399998</v>
      </c>
      <c r="AE229" s="233">
        <f t="shared" si="106"/>
        <v>399998</v>
      </c>
      <c r="AF229" s="233">
        <f t="shared" si="107"/>
        <v>399998</v>
      </c>
      <c r="AG229" s="238">
        <f t="shared" si="108"/>
        <v>0</v>
      </c>
      <c r="AH229" s="238">
        <f t="shared" si="109"/>
        <v>1999990</v>
      </c>
      <c r="AI229" s="209">
        <f t="shared" si="110"/>
        <v>2012</v>
      </c>
      <c r="AJ229" s="210">
        <f t="shared" si="111"/>
        <v>10</v>
      </c>
    </row>
    <row r="230" spans="1:37" s="41" customFormat="1" ht="30.75" hidden="1" customHeight="1" x14ac:dyDescent="0.2">
      <c r="A230" s="41" t="s">
        <v>2297</v>
      </c>
      <c r="B230" s="69"/>
      <c r="C230" s="70" t="s">
        <v>52</v>
      </c>
      <c r="D230" s="70" t="s">
        <v>950</v>
      </c>
      <c r="E230" s="81" t="s">
        <v>265</v>
      </c>
      <c r="F230" s="72" t="s">
        <v>262</v>
      </c>
      <c r="G230" s="40"/>
      <c r="H230" s="65" t="s">
        <v>191</v>
      </c>
      <c r="I230" s="32">
        <v>2012</v>
      </c>
      <c r="J230" s="40"/>
      <c r="K230" s="72"/>
      <c r="L230" s="40"/>
      <c r="M230" s="40"/>
      <c r="N230" s="40"/>
      <c r="O230" s="32" t="s">
        <v>12</v>
      </c>
      <c r="P230" s="280">
        <v>2000000</v>
      </c>
      <c r="Q230" s="61" t="s">
        <v>43</v>
      </c>
      <c r="W230" s="206" t="str">
        <f t="shared" si="98"/>
        <v>2.06.02</v>
      </c>
      <c r="X230" s="207" t="str">
        <f t="shared" si="99"/>
        <v>ALAT RUMAH TANGGA</v>
      </c>
      <c r="Y230" s="207">
        <f t="shared" si="100"/>
        <v>5</v>
      </c>
      <c r="Z230" s="233">
        <f t="shared" si="101"/>
        <v>399998</v>
      </c>
      <c r="AA230" s="208">
        <f t="shared" si="102"/>
        <v>1</v>
      </c>
      <c r="AB230" s="233">
        <f t="shared" si="103"/>
        <v>399998</v>
      </c>
      <c r="AC230" s="233">
        <f t="shared" si="104"/>
        <v>399998</v>
      </c>
      <c r="AD230" s="233">
        <f t="shared" si="105"/>
        <v>399998</v>
      </c>
      <c r="AE230" s="233">
        <f t="shared" si="106"/>
        <v>399998</v>
      </c>
      <c r="AF230" s="233">
        <f t="shared" si="107"/>
        <v>399998</v>
      </c>
      <c r="AG230" s="238">
        <f t="shared" si="108"/>
        <v>0</v>
      </c>
      <c r="AH230" s="238">
        <f t="shared" si="109"/>
        <v>1999990</v>
      </c>
      <c r="AI230" s="209">
        <f t="shared" si="110"/>
        <v>2012</v>
      </c>
      <c r="AJ230" s="210">
        <f t="shared" si="111"/>
        <v>10</v>
      </c>
    </row>
    <row r="231" spans="1:37" s="41" customFormat="1" ht="30.75" hidden="1" customHeight="1" x14ac:dyDescent="0.2">
      <c r="A231" s="41" t="s">
        <v>2297</v>
      </c>
      <c r="B231" s="69"/>
      <c r="C231" s="70" t="s">
        <v>52</v>
      </c>
      <c r="D231" s="70" t="s">
        <v>950</v>
      </c>
      <c r="E231" s="81" t="s">
        <v>266</v>
      </c>
      <c r="F231" s="72" t="s">
        <v>262</v>
      </c>
      <c r="G231" s="40"/>
      <c r="H231" s="65" t="s">
        <v>191</v>
      </c>
      <c r="I231" s="32">
        <v>2012</v>
      </c>
      <c r="J231" s="40"/>
      <c r="K231" s="72"/>
      <c r="L231" s="40"/>
      <c r="M231" s="40"/>
      <c r="N231" s="40"/>
      <c r="O231" s="32" t="s">
        <v>12</v>
      </c>
      <c r="P231" s="280">
        <v>2000000</v>
      </c>
      <c r="Q231" s="61" t="s">
        <v>43</v>
      </c>
      <c r="W231" s="206" t="str">
        <f t="shared" si="98"/>
        <v>2.06.02</v>
      </c>
      <c r="X231" s="207" t="str">
        <f t="shared" si="99"/>
        <v>ALAT RUMAH TANGGA</v>
      </c>
      <c r="Y231" s="207">
        <f t="shared" si="100"/>
        <v>5</v>
      </c>
      <c r="Z231" s="233">
        <f t="shared" si="101"/>
        <v>399998</v>
      </c>
      <c r="AA231" s="208">
        <f t="shared" si="102"/>
        <v>1</v>
      </c>
      <c r="AB231" s="233">
        <f t="shared" si="103"/>
        <v>399998</v>
      </c>
      <c r="AC231" s="233">
        <f t="shared" si="104"/>
        <v>399998</v>
      </c>
      <c r="AD231" s="233">
        <f t="shared" si="105"/>
        <v>399998</v>
      </c>
      <c r="AE231" s="233">
        <f t="shared" si="106"/>
        <v>399998</v>
      </c>
      <c r="AF231" s="233">
        <f t="shared" si="107"/>
        <v>399998</v>
      </c>
      <c r="AG231" s="238">
        <f t="shared" si="108"/>
        <v>0</v>
      </c>
      <c r="AH231" s="238">
        <f t="shared" si="109"/>
        <v>1999990</v>
      </c>
      <c r="AI231" s="209">
        <f t="shared" si="110"/>
        <v>2012</v>
      </c>
      <c r="AJ231" s="210">
        <f t="shared" si="111"/>
        <v>10</v>
      </c>
    </row>
    <row r="232" spans="1:37" s="41" customFormat="1" ht="30.75" hidden="1" customHeight="1" x14ac:dyDescent="0.2">
      <c r="A232" s="41" t="s">
        <v>2297</v>
      </c>
      <c r="B232" s="69"/>
      <c r="C232" s="70" t="s">
        <v>52</v>
      </c>
      <c r="D232" s="70" t="s">
        <v>951</v>
      </c>
      <c r="E232" s="81" t="s">
        <v>261</v>
      </c>
      <c r="F232" s="72" t="s">
        <v>52</v>
      </c>
      <c r="G232" s="40"/>
      <c r="H232" s="65" t="s">
        <v>213</v>
      </c>
      <c r="I232" s="32">
        <v>2012</v>
      </c>
      <c r="J232" s="40"/>
      <c r="K232" s="72"/>
      <c r="L232" s="40"/>
      <c r="M232" s="40"/>
      <c r="N232" s="40"/>
      <c r="O232" s="32" t="s">
        <v>12</v>
      </c>
      <c r="P232" s="280">
        <v>2350000</v>
      </c>
      <c r="Q232" s="61" t="s">
        <v>43</v>
      </c>
      <c r="W232" s="206" t="str">
        <f t="shared" si="98"/>
        <v>2.06.02</v>
      </c>
      <c r="X232" s="207" t="str">
        <f t="shared" si="99"/>
        <v>ALAT RUMAH TANGGA</v>
      </c>
      <c r="Y232" s="207">
        <f t="shared" si="100"/>
        <v>5</v>
      </c>
      <c r="Z232" s="233">
        <f t="shared" si="101"/>
        <v>469998</v>
      </c>
      <c r="AA232" s="208">
        <f t="shared" si="102"/>
        <v>1</v>
      </c>
      <c r="AB232" s="233">
        <f t="shared" si="103"/>
        <v>469998</v>
      </c>
      <c r="AC232" s="233">
        <f t="shared" si="104"/>
        <v>469998</v>
      </c>
      <c r="AD232" s="233">
        <f t="shared" si="105"/>
        <v>469998</v>
      </c>
      <c r="AE232" s="233">
        <f t="shared" si="106"/>
        <v>469998</v>
      </c>
      <c r="AF232" s="233">
        <f t="shared" si="107"/>
        <v>469998</v>
      </c>
      <c r="AG232" s="238">
        <f t="shared" si="108"/>
        <v>0</v>
      </c>
      <c r="AH232" s="238">
        <f t="shared" si="109"/>
        <v>2349990</v>
      </c>
      <c r="AI232" s="209">
        <f t="shared" si="110"/>
        <v>2012</v>
      </c>
      <c r="AJ232" s="210">
        <f t="shared" si="111"/>
        <v>10</v>
      </c>
    </row>
    <row r="233" spans="1:37" s="41" customFormat="1" ht="30.75" hidden="1" customHeight="1" x14ac:dyDescent="0.2">
      <c r="A233" s="41" t="s">
        <v>2297</v>
      </c>
      <c r="B233" s="69"/>
      <c r="C233" s="70" t="s">
        <v>52</v>
      </c>
      <c r="D233" s="70" t="s">
        <v>951</v>
      </c>
      <c r="E233" s="81" t="s">
        <v>263</v>
      </c>
      <c r="F233" s="72" t="s">
        <v>52</v>
      </c>
      <c r="G233" s="40"/>
      <c r="H233" s="65" t="s">
        <v>213</v>
      </c>
      <c r="I233" s="32">
        <v>2012</v>
      </c>
      <c r="J233" s="40"/>
      <c r="K233" s="72"/>
      <c r="L233" s="40"/>
      <c r="M233" s="40"/>
      <c r="N233" s="40"/>
      <c r="O233" s="32" t="s">
        <v>12</v>
      </c>
      <c r="P233" s="280">
        <v>2350000</v>
      </c>
      <c r="Q233" s="61" t="s">
        <v>43</v>
      </c>
      <c r="W233" s="206" t="str">
        <f t="shared" si="98"/>
        <v>2.06.02</v>
      </c>
      <c r="X233" s="207" t="str">
        <f t="shared" si="99"/>
        <v>ALAT RUMAH TANGGA</v>
      </c>
      <c r="Y233" s="207">
        <f t="shared" si="100"/>
        <v>5</v>
      </c>
      <c r="Z233" s="233">
        <f t="shared" si="101"/>
        <v>469998</v>
      </c>
      <c r="AA233" s="208">
        <f t="shared" si="102"/>
        <v>1</v>
      </c>
      <c r="AB233" s="233">
        <f t="shared" si="103"/>
        <v>469998</v>
      </c>
      <c r="AC233" s="233">
        <f t="shared" si="104"/>
        <v>469998</v>
      </c>
      <c r="AD233" s="233">
        <f t="shared" si="105"/>
        <v>469998</v>
      </c>
      <c r="AE233" s="233">
        <f t="shared" si="106"/>
        <v>469998</v>
      </c>
      <c r="AF233" s="233">
        <f t="shared" si="107"/>
        <v>469998</v>
      </c>
      <c r="AG233" s="238">
        <f t="shared" si="108"/>
        <v>0</v>
      </c>
      <c r="AH233" s="238">
        <f t="shared" si="109"/>
        <v>2349990</v>
      </c>
      <c r="AI233" s="209">
        <f t="shared" si="110"/>
        <v>2012</v>
      </c>
      <c r="AJ233" s="210">
        <f t="shared" si="111"/>
        <v>10</v>
      </c>
    </row>
    <row r="234" spans="1:37" s="41" customFormat="1" ht="30.75" hidden="1" customHeight="1" x14ac:dyDescent="0.2">
      <c r="A234" s="41" t="s">
        <v>2297</v>
      </c>
      <c r="B234" s="69"/>
      <c r="C234" s="70" t="s">
        <v>52</v>
      </c>
      <c r="D234" s="70" t="s">
        <v>951</v>
      </c>
      <c r="E234" s="81" t="s">
        <v>264</v>
      </c>
      <c r="F234" s="72" t="s">
        <v>52</v>
      </c>
      <c r="G234" s="40"/>
      <c r="H234" s="65" t="s">
        <v>213</v>
      </c>
      <c r="I234" s="32">
        <v>2012</v>
      </c>
      <c r="J234" s="40"/>
      <c r="K234" s="72"/>
      <c r="L234" s="40"/>
      <c r="M234" s="40"/>
      <c r="N234" s="40"/>
      <c r="O234" s="32" t="s">
        <v>12</v>
      </c>
      <c r="P234" s="280">
        <v>2350000</v>
      </c>
      <c r="Q234" s="61" t="s">
        <v>43</v>
      </c>
      <c r="W234" s="206" t="str">
        <f t="shared" si="98"/>
        <v>2.06.02</v>
      </c>
      <c r="X234" s="207" t="str">
        <f t="shared" si="99"/>
        <v>ALAT RUMAH TANGGA</v>
      </c>
      <c r="Y234" s="207">
        <f t="shared" si="100"/>
        <v>5</v>
      </c>
      <c r="Z234" s="233">
        <f t="shared" si="101"/>
        <v>469998</v>
      </c>
      <c r="AA234" s="208">
        <f t="shared" si="102"/>
        <v>1</v>
      </c>
      <c r="AB234" s="233">
        <f t="shared" si="103"/>
        <v>469998</v>
      </c>
      <c r="AC234" s="233">
        <f t="shared" si="104"/>
        <v>469998</v>
      </c>
      <c r="AD234" s="233">
        <f t="shared" si="105"/>
        <v>469998</v>
      </c>
      <c r="AE234" s="233">
        <f t="shared" si="106"/>
        <v>469998</v>
      </c>
      <c r="AF234" s="233">
        <f t="shared" si="107"/>
        <v>469998</v>
      </c>
      <c r="AG234" s="238">
        <f t="shared" si="108"/>
        <v>0</v>
      </c>
      <c r="AH234" s="238">
        <f t="shared" si="109"/>
        <v>2349990</v>
      </c>
      <c r="AI234" s="209">
        <f t="shared" si="110"/>
        <v>2012</v>
      </c>
      <c r="AJ234" s="210">
        <f t="shared" si="111"/>
        <v>10</v>
      </c>
    </row>
    <row r="235" spans="1:37" s="41" customFormat="1" ht="30.75" hidden="1" customHeight="1" x14ac:dyDescent="0.2">
      <c r="A235" s="41" t="s">
        <v>2297</v>
      </c>
      <c r="B235" s="69"/>
      <c r="C235" s="70" t="s">
        <v>52</v>
      </c>
      <c r="D235" s="70" t="s">
        <v>951</v>
      </c>
      <c r="E235" s="81" t="s">
        <v>265</v>
      </c>
      <c r="F235" s="72" t="s">
        <v>52</v>
      </c>
      <c r="G235" s="40"/>
      <c r="H235" s="65" t="s">
        <v>213</v>
      </c>
      <c r="I235" s="32">
        <v>2012</v>
      </c>
      <c r="J235" s="40"/>
      <c r="K235" s="72"/>
      <c r="L235" s="40"/>
      <c r="M235" s="40"/>
      <c r="N235" s="40"/>
      <c r="O235" s="32" t="s">
        <v>12</v>
      </c>
      <c r="P235" s="280">
        <v>2350000</v>
      </c>
      <c r="Q235" s="61" t="s">
        <v>43</v>
      </c>
      <c r="W235" s="206" t="str">
        <f t="shared" si="98"/>
        <v>2.06.02</v>
      </c>
      <c r="X235" s="207" t="str">
        <f t="shared" si="99"/>
        <v>ALAT RUMAH TANGGA</v>
      </c>
      <c r="Y235" s="207">
        <f t="shared" si="100"/>
        <v>5</v>
      </c>
      <c r="Z235" s="233">
        <f t="shared" si="101"/>
        <v>469998</v>
      </c>
      <c r="AA235" s="208">
        <f t="shared" si="102"/>
        <v>1</v>
      </c>
      <c r="AB235" s="233">
        <f t="shared" si="103"/>
        <v>469998</v>
      </c>
      <c r="AC235" s="233">
        <f t="shared" si="104"/>
        <v>469998</v>
      </c>
      <c r="AD235" s="233">
        <f t="shared" si="105"/>
        <v>469998</v>
      </c>
      <c r="AE235" s="233">
        <f t="shared" si="106"/>
        <v>469998</v>
      </c>
      <c r="AF235" s="233">
        <f t="shared" si="107"/>
        <v>469998</v>
      </c>
      <c r="AG235" s="238">
        <f t="shared" si="108"/>
        <v>0</v>
      </c>
      <c r="AH235" s="238">
        <f t="shared" si="109"/>
        <v>2349990</v>
      </c>
      <c r="AI235" s="209">
        <f t="shared" si="110"/>
        <v>2012</v>
      </c>
      <c r="AJ235" s="210">
        <f t="shared" si="111"/>
        <v>10</v>
      </c>
    </row>
    <row r="236" spans="1:37" s="41" customFormat="1" ht="30.75" hidden="1" customHeight="1" x14ac:dyDescent="0.2">
      <c r="A236" s="41" t="s">
        <v>2297</v>
      </c>
      <c r="B236" s="69"/>
      <c r="C236" s="70" t="s">
        <v>52</v>
      </c>
      <c r="D236" s="70" t="s">
        <v>951</v>
      </c>
      <c r="E236" s="81" t="s">
        <v>266</v>
      </c>
      <c r="F236" s="72" t="s">
        <v>52</v>
      </c>
      <c r="G236" s="40"/>
      <c r="H236" s="65" t="s">
        <v>213</v>
      </c>
      <c r="I236" s="32">
        <v>2012</v>
      </c>
      <c r="J236" s="40"/>
      <c r="K236" s="72"/>
      <c r="L236" s="40"/>
      <c r="M236" s="40"/>
      <c r="N236" s="40"/>
      <c r="O236" s="32" t="s">
        <v>12</v>
      </c>
      <c r="P236" s="280">
        <v>2350000</v>
      </c>
      <c r="Q236" s="61" t="s">
        <v>43</v>
      </c>
      <c r="W236" s="206" t="str">
        <f t="shared" si="98"/>
        <v>2.06.02</v>
      </c>
      <c r="X236" s="207" t="str">
        <f t="shared" si="99"/>
        <v>ALAT RUMAH TANGGA</v>
      </c>
      <c r="Y236" s="207">
        <f t="shared" si="100"/>
        <v>5</v>
      </c>
      <c r="Z236" s="233">
        <f t="shared" si="101"/>
        <v>469998</v>
      </c>
      <c r="AA236" s="208">
        <f t="shared" si="102"/>
        <v>1</v>
      </c>
      <c r="AB236" s="233">
        <f t="shared" si="103"/>
        <v>469998</v>
      </c>
      <c r="AC236" s="233">
        <f t="shared" si="104"/>
        <v>469998</v>
      </c>
      <c r="AD236" s="233">
        <f t="shared" si="105"/>
        <v>469998</v>
      </c>
      <c r="AE236" s="233">
        <f t="shared" si="106"/>
        <v>469998</v>
      </c>
      <c r="AF236" s="233">
        <f t="shared" si="107"/>
        <v>469998</v>
      </c>
      <c r="AG236" s="238">
        <f t="shared" si="108"/>
        <v>0</v>
      </c>
      <c r="AH236" s="238">
        <f t="shared" si="109"/>
        <v>2349990</v>
      </c>
      <c r="AI236" s="209">
        <f t="shared" si="110"/>
        <v>2012</v>
      </c>
      <c r="AJ236" s="210">
        <f t="shared" si="111"/>
        <v>10</v>
      </c>
    </row>
    <row r="237" spans="1:37" s="41" customFormat="1" ht="30.75" hidden="1" customHeight="1" x14ac:dyDescent="0.2">
      <c r="A237" s="41" t="s">
        <v>2297</v>
      </c>
      <c r="B237" s="69"/>
      <c r="C237" s="70" t="s">
        <v>52</v>
      </c>
      <c r="D237" s="70" t="s">
        <v>951</v>
      </c>
      <c r="E237" s="81" t="s">
        <v>267</v>
      </c>
      <c r="F237" s="72" t="s">
        <v>52</v>
      </c>
      <c r="G237" s="40"/>
      <c r="H237" s="65" t="s">
        <v>213</v>
      </c>
      <c r="I237" s="32">
        <v>2012</v>
      </c>
      <c r="J237" s="40"/>
      <c r="K237" s="72"/>
      <c r="L237" s="40"/>
      <c r="M237" s="40"/>
      <c r="N237" s="40"/>
      <c r="O237" s="32" t="s">
        <v>12</v>
      </c>
      <c r="P237" s="280">
        <v>2350000</v>
      </c>
      <c r="Q237" s="61" t="s">
        <v>43</v>
      </c>
      <c r="W237" s="206" t="str">
        <f t="shared" si="98"/>
        <v>2.06.02</v>
      </c>
      <c r="X237" s="207" t="str">
        <f t="shared" si="99"/>
        <v>ALAT RUMAH TANGGA</v>
      </c>
      <c r="Y237" s="207">
        <f t="shared" si="100"/>
        <v>5</v>
      </c>
      <c r="Z237" s="233">
        <f t="shared" si="101"/>
        <v>469998</v>
      </c>
      <c r="AA237" s="208">
        <f t="shared" si="102"/>
        <v>1</v>
      </c>
      <c r="AB237" s="233">
        <f t="shared" si="103"/>
        <v>469998</v>
      </c>
      <c r="AC237" s="233">
        <f t="shared" si="104"/>
        <v>469998</v>
      </c>
      <c r="AD237" s="233">
        <f t="shared" si="105"/>
        <v>469998</v>
      </c>
      <c r="AE237" s="233">
        <f t="shared" si="106"/>
        <v>469998</v>
      </c>
      <c r="AF237" s="233">
        <f t="shared" si="107"/>
        <v>469998</v>
      </c>
      <c r="AG237" s="238">
        <f t="shared" si="108"/>
        <v>0</v>
      </c>
      <c r="AH237" s="238">
        <f t="shared" si="109"/>
        <v>2349990</v>
      </c>
      <c r="AI237" s="209">
        <f t="shared" si="110"/>
        <v>2012</v>
      </c>
      <c r="AJ237" s="210">
        <f t="shared" si="111"/>
        <v>10</v>
      </c>
    </row>
    <row r="238" spans="1:37" s="41" customFormat="1" ht="30.75" hidden="1" customHeight="1" x14ac:dyDescent="0.2">
      <c r="A238" s="41" t="s">
        <v>2297</v>
      </c>
      <c r="B238" s="69"/>
      <c r="C238" s="70" t="s">
        <v>52</v>
      </c>
      <c r="D238" s="70" t="s">
        <v>951</v>
      </c>
      <c r="E238" s="81" t="s">
        <v>268</v>
      </c>
      <c r="F238" s="72" t="s">
        <v>52</v>
      </c>
      <c r="G238" s="40"/>
      <c r="H238" s="65" t="s">
        <v>213</v>
      </c>
      <c r="I238" s="32">
        <v>2012</v>
      </c>
      <c r="J238" s="40"/>
      <c r="K238" s="72"/>
      <c r="L238" s="40"/>
      <c r="M238" s="40"/>
      <c r="N238" s="40"/>
      <c r="O238" s="32" t="s">
        <v>12</v>
      </c>
      <c r="P238" s="280">
        <v>2350000</v>
      </c>
      <c r="Q238" s="61" t="s">
        <v>43</v>
      </c>
      <c r="W238" s="206" t="str">
        <f t="shared" si="98"/>
        <v>2.06.02</v>
      </c>
      <c r="X238" s="207" t="str">
        <f t="shared" si="99"/>
        <v>ALAT RUMAH TANGGA</v>
      </c>
      <c r="Y238" s="207">
        <f t="shared" si="100"/>
        <v>5</v>
      </c>
      <c r="Z238" s="233">
        <f t="shared" si="101"/>
        <v>469998</v>
      </c>
      <c r="AA238" s="208">
        <f t="shared" si="102"/>
        <v>1</v>
      </c>
      <c r="AB238" s="233">
        <f t="shared" si="103"/>
        <v>469998</v>
      </c>
      <c r="AC238" s="233">
        <f t="shared" si="104"/>
        <v>469998</v>
      </c>
      <c r="AD238" s="233">
        <f t="shared" si="105"/>
        <v>469998</v>
      </c>
      <c r="AE238" s="233">
        <f t="shared" si="106"/>
        <v>469998</v>
      </c>
      <c r="AF238" s="233">
        <f t="shared" si="107"/>
        <v>469998</v>
      </c>
      <c r="AG238" s="238">
        <f t="shared" si="108"/>
        <v>0</v>
      </c>
      <c r="AH238" s="238">
        <f t="shared" si="109"/>
        <v>2349990</v>
      </c>
      <c r="AI238" s="209">
        <f t="shared" si="110"/>
        <v>2012</v>
      </c>
      <c r="AJ238" s="210">
        <f t="shared" si="111"/>
        <v>10</v>
      </c>
    </row>
    <row r="239" spans="1:37" s="41" customFormat="1" ht="30.75" hidden="1" customHeight="1" x14ac:dyDescent="0.2">
      <c r="A239" s="41" t="s">
        <v>2297</v>
      </c>
      <c r="B239" s="69"/>
      <c r="C239" s="70" t="s">
        <v>52</v>
      </c>
      <c r="D239" s="70" t="s">
        <v>951</v>
      </c>
      <c r="E239" s="81" t="s">
        <v>269</v>
      </c>
      <c r="F239" s="72" t="s">
        <v>52</v>
      </c>
      <c r="G239" s="40"/>
      <c r="H239" s="65" t="s">
        <v>213</v>
      </c>
      <c r="I239" s="32">
        <v>2012</v>
      </c>
      <c r="J239" s="40"/>
      <c r="K239" s="72"/>
      <c r="L239" s="40"/>
      <c r="M239" s="40"/>
      <c r="N239" s="40"/>
      <c r="O239" s="32" t="s">
        <v>12</v>
      </c>
      <c r="P239" s="280">
        <v>2350000</v>
      </c>
      <c r="Q239" s="61" t="s">
        <v>43</v>
      </c>
      <c r="W239" s="206" t="str">
        <f t="shared" si="98"/>
        <v>2.06.02</v>
      </c>
      <c r="X239" s="207" t="str">
        <f t="shared" si="99"/>
        <v>ALAT RUMAH TANGGA</v>
      </c>
      <c r="Y239" s="207">
        <f t="shared" si="100"/>
        <v>5</v>
      </c>
      <c r="Z239" s="233">
        <f t="shared" si="101"/>
        <v>469998</v>
      </c>
      <c r="AA239" s="208">
        <f t="shared" si="102"/>
        <v>1</v>
      </c>
      <c r="AB239" s="233">
        <f t="shared" si="103"/>
        <v>469998</v>
      </c>
      <c r="AC239" s="233">
        <f t="shared" si="104"/>
        <v>469998</v>
      </c>
      <c r="AD239" s="233">
        <f t="shared" si="105"/>
        <v>469998</v>
      </c>
      <c r="AE239" s="233">
        <f t="shared" si="106"/>
        <v>469998</v>
      </c>
      <c r="AF239" s="233">
        <f t="shared" si="107"/>
        <v>469998</v>
      </c>
      <c r="AG239" s="238">
        <f t="shared" si="108"/>
        <v>0</v>
      </c>
      <c r="AH239" s="238">
        <f t="shared" si="109"/>
        <v>2349990</v>
      </c>
      <c r="AI239" s="209">
        <f t="shared" si="110"/>
        <v>2012</v>
      </c>
      <c r="AJ239" s="210">
        <f t="shared" si="111"/>
        <v>10</v>
      </c>
    </row>
    <row r="240" spans="1:37" s="41" customFormat="1" ht="30.75" hidden="1" customHeight="1" x14ac:dyDescent="0.2">
      <c r="A240" s="41" t="s">
        <v>2297</v>
      </c>
      <c r="B240" s="69"/>
      <c r="C240" s="70" t="s">
        <v>52</v>
      </c>
      <c r="D240" s="70" t="s">
        <v>952</v>
      </c>
      <c r="E240" s="40" t="s">
        <v>261</v>
      </c>
      <c r="F240" s="72" t="s">
        <v>52</v>
      </c>
      <c r="G240" s="40"/>
      <c r="H240" s="65" t="s">
        <v>213</v>
      </c>
      <c r="I240" s="32">
        <v>2012</v>
      </c>
      <c r="J240" s="40"/>
      <c r="K240" s="72"/>
      <c r="L240" s="40"/>
      <c r="M240" s="40"/>
      <c r="N240" s="40"/>
      <c r="O240" s="32" t="s">
        <v>12</v>
      </c>
      <c r="P240" s="280">
        <v>4800000</v>
      </c>
      <c r="Q240" s="61" t="s">
        <v>43</v>
      </c>
      <c r="W240" s="206" t="str">
        <f t="shared" ref="W240:W303" si="112">A240</f>
        <v>2.06.02</v>
      </c>
      <c r="X240" s="207" t="str">
        <f t="shared" ref="X240:X303" si="113">VLOOKUP(W240,kelompok,2,0)</f>
        <v>ALAT RUMAH TANGGA</v>
      </c>
      <c r="Y240" s="207">
        <f t="shared" ref="Y240:Y303" si="114">VLOOKUP(W240,MASAMANFAAT,4,0)</f>
        <v>5</v>
      </c>
      <c r="Z240" s="233">
        <f t="shared" ref="Z240:Z303" si="115">(P240-10)/Y240</f>
        <v>959998</v>
      </c>
      <c r="AA240" s="208">
        <f t="shared" ref="AA240:AA303" si="116">2013-AI240</f>
        <v>1</v>
      </c>
      <c r="AB240" s="233">
        <f t="shared" ref="AB240:AB303" si="117">IF(AA240&gt;Y240,P240-10,Z240*AA240)</f>
        <v>959998</v>
      </c>
      <c r="AC240" s="233">
        <f t="shared" ref="AC240:AC303" si="118">IF(P240-10=AB240,0,Z240)</f>
        <v>959998</v>
      </c>
      <c r="AD240" s="233">
        <f t="shared" ref="AD240:AD303" si="119">IF(P240-10=AB240+AC240,0,Z240)</f>
        <v>959998</v>
      </c>
      <c r="AE240" s="233">
        <f t="shared" ref="AE240:AE303" si="120">IF(P240-10=AB240+AC240+AD240,0,Z240)</f>
        <v>959998</v>
      </c>
      <c r="AF240" s="233">
        <f t="shared" ref="AF240:AF303" si="121">IF(P240-10=AB240+AC240+AD240+AE240,0,Z240)</f>
        <v>959998</v>
      </c>
      <c r="AG240" s="238">
        <f t="shared" ref="AG240:AG303" si="122">IF(P240-10=AB240+AC240+AD240+AE240+AF240,0,Z240)</f>
        <v>0</v>
      </c>
      <c r="AH240" s="238">
        <f t="shared" ref="AH240:AH303" si="123">SUM(AB240:AG240)</f>
        <v>4799990</v>
      </c>
      <c r="AI240" s="209">
        <f t="shared" ref="AI240:AI303" si="124">I240</f>
        <v>2012</v>
      </c>
      <c r="AJ240" s="210">
        <f t="shared" ref="AJ240:AJ303" si="125">P240-AH240</f>
        <v>10</v>
      </c>
    </row>
    <row r="241" spans="1:37" s="41" customFormat="1" ht="30.75" hidden="1" customHeight="1" x14ac:dyDescent="0.2">
      <c r="A241" s="41" t="s">
        <v>2297</v>
      </c>
      <c r="B241" s="69"/>
      <c r="C241" s="70" t="s">
        <v>52</v>
      </c>
      <c r="D241" s="70" t="s">
        <v>953</v>
      </c>
      <c r="E241" s="40" t="s">
        <v>270</v>
      </c>
      <c r="F241" s="72" t="s">
        <v>52</v>
      </c>
      <c r="G241" s="40"/>
      <c r="H241" s="65" t="s">
        <v>213</v>
      </c>
      <c r="I241" s="32">
        <v>2012</v>
      </c>
      <c r="J241" s="40"/>
      <c r="K241" s="72"/>
      <c r="L241" s="40"/>
      <c r="M241" s="40"/>
      <c r="N241" s="40"/>
      <c r="O241" s="32" t="s">
        <v>12</v>
      </c>
      <c r="P241" s="280">
        <v>9600000</v>
      </c>
      <c r="Q241" s="61" t="s">
        <v>43</v>
      </c>
      <c r="U241" s="269">
        <f>P241/2</f>
        <v>4800000</v>
      </c>
      <c r="W241" s="206" t="str">
        <f t="shared" si="112"/>
        <v>2.06.02</v>
      </c>
      <c r="X241" s="207" t="str">
        <f t="shared" si="113"/>
        <v>ALAT RUMAH TANGGA</v>
      </c>
      <c r="Y241" s="207">
        <f t="shared" si="114"/>
        <v>5</v>
      </c>
      <c r="Z241" s="233">
        <f t="shared" si="115"/>
        <v>1919998</v>
      </c>
      <c r="AA241" s="208">
        <f t="shared" si="116"/>
        <v>1</v>
      </c>
      <c r="AB241" s="233">
        <f t="shared" si="117"/>
        <v>1919998</v>
      </c>
      <c r="AC241" s="233">
        <f t="shared" si="118"/>
        <v>1919998</v>
      </c>
      <c r="AD241" s="233">
        <f t="shared" si="119"/>
        <v>1919998</v>
      </c>
      <c r="AE241" s="233">
        <f t="shared" si="120"/>
        <v>1919998</v>
      </c>
      <c r="AF241" s="233">
        <f t="shared" si="121"/>
        <v>1919998</v>
      </c>
      <c r="AG241" s="238">
        <f t="shared" si="122"/>
        <v>0</v>
      </c>
      <c r="AH241" s="238">
        <f t="shared" si="123"/>
        <v>9599990</v>
      </c>
      <c r="AI241" s="209">
        <f t="shared" si="124"/>
        <v>2012</v>
      </c>
      <c r="AJ241" s="210">
        <f t="shared" si="125"/>
        <v>10</v>
      </c>
    </row>
    <row r="242" spans="1:37" s="41" customFormat="1" ht="30.75" hidden="1" customHeight="1" x14ac:dyDescent="0.2">
      <c r="A242" s="41" t="s">
        <v>2297</v>
      </c>
      <c r="B242" s="69"/>
      <c r="C242" s="70" t="s">
        <v>52</v>
      </c>
      <c r="D242" s="70" t="s">
        <v>954</v>
      </c>
      <c r="E242" s="81" t="s">
        <v>261</v>
      </c>
      <c r="F242" s="72" t="s">
        <v>52</v>
      </c>
      <c r="G242" s="40"/>
      <c r="H242" s="65" t="s">
        <v>213</v>
      </c>
      <c r="I242" s="32">
        <v>2012</v>
      </c>
      <c r="J242" s="40"/>
      <c r="K242" s="72"/>
      <c r="L242" s="40"/>
      <c r="M242" s="40"/>
      <c r="N242" s="40"/>
      <c r="O242" s="32" t="s">
        <v>12</v>
      </c>
      <c r="P242" s="280">
        <v>1250000</v>
      </c>
      <c r="Q242" s="61" t="s">
        <v>43</v>
      </c>
      <c r="W242" s="206" t="str">
        <f t="shared" si="112"/>
        <v>2.06.02</v>
      </c>
      <c r="X242" s="207" t="str">
        <f t="shared" si="113"/>
        <v>ALAT RUMAH TANGGA</v>
      </c>
      <c r="Y242" s="207">
        <f t="shared" si="114"/>
        <v>5</v>
      </c>
      <c r="Z242" s="233">
        <f t="shared" si="115"/>
        <v>249998</v>
      </c>
      <c r="AA242" s="208">
        <f t="shared" si="116"/>
        <v>1</v>
      </c>
      <c r="AB242" s="233">
        <f t="shared" si="117"/>
        <v>249998</v>
      </c>
      <c r="AC242" s="233">
        <f t="shared" si="118"/>
        <v>249998</v>
      </c>
      <c r="AD242" s="233">
        <f t="shared" si="119"/>
        <v>249998</v>
      </c>
      <c r="AE242" s="233">
        <f t="shared" si="120"/>
        <v>249998</v>
      </c>
      <c r="AF242" s="233">
        <f t="shared" si="121"/>
        <v>249998</v>
      </c>
      <c r="AG242" s="238">
        <f t="shared" si="122"/>
        <v>0</v>
      </c>
      <c r="AH242" s="238">
        <f t="shared" si="123"/>
        <v>1249990</v>
      </c>
      <c r="AI242" s="209">
        <f t="shared" si="124"/>
        <v>2012</v>
      </c>
      <c r="AJ242" s="210">
        <f t="shared" si="125"/>
        <v>10</v>
      </c>
    </row>
    <row r="243" spans="1:37" s="41" customFormat="1" ht="30.75" hidden="1" customHeight="1" x14ac:dyDescent="0.2">
      <c r="A243" s="41" t="s">
        <v>2297</v>
      </c>
      <c r="B243" s="69"/>
      <c r="C243" s="70" t="s">
        <v>52</v>
      </c>
      <c r="D243" s="70" t="s">
        <v>954</v>
      </c>
      <c r="E243" s="81" t="s">
        <v>263</v>
      </c>
      <c r="F243" s="72" t="s">
        <v>52</v>
      </c>
      <c r="G243" s="40"/>
      <c r="H243" s="65" t="s">
        <v>213</v>
      </c>
      <c r="I243" s="32">
        <v>2012</v>
      </c>
      <c r="J243" s="40"/>
      <c r="K243" s="72"/>
      <c r="L243" s="40"/>
      <c r="M243" s="40"/>
      <c r="N243" s="40"/>
      <c r="O243" s="32" t="s">
        <v>12</v>
      </c>
      <c r="P243" s="280">
        <v>1250000</v>
      </c>
      <c r="Q243" s="61" t="s">
        <v>43</v>
      </c>
      <c r="W243" s="206" t="str">
        <f t="shared" si="112"/>
        <v>2.06.02</v>
      </c>
      <c r="X243" s="207" t="str">
        <f t="shared" si="113"/>
        <v>ALAT RUMAH TANGGA</v>
      </c>
      <c r="Y243" s="207">
        <f t="shared" si="114"/>
        <v>5</v>
      </c>
      <c r="Z243" s="233">
        <f t="shared" si="115"/>
        <v>249998</v>
      </c>
      <c r="AA243" s="208">
        <f t="shared" si="116"/>
        <v>1</v>
      </c>
      <c r="AB243" s="233">
        <f t="shared" si="117"/>
        <v>249998</v>
      </c>
      <c r="AC243" s="233">
        <f t="shared" si="118"/>
        <v>249998</v>
      </c>
      <c r="AD243" s="233">
        <f t="shared" si="119"/>
        <v>249998</v>
      </c>
      <c r="AE243" s="233">
        <f t="shared" si="120"/>
        <v>249998</v>
      </c>
      <c r="AF243" s="233">
        <f t="shared" si="121"/>
        <v>249998</v>
      </c>
      <c r="AG243" s="238">
        <f t="shared" si="122"/>
        <v>0</v>
      </c>
      <c r="AH243" s="238">
        <f t="shared" si="123"/>
        <v>1249990</v>
      </c>
      <c r="AI243" s="209">
        <f t="shared" si="124"/>
        <v>2012</v>
      </c>
      <c r="AJ243" s="210">
        <f t="shared" si="125"/>
        <v>10</v>
      </c>
    </row>
    <row r="244" spans="1:37" s="41" customFormat="1" ht="30.75" hidden="1" customHeight="1" x14ac:dyDescent="0.2">
      <c r="A244" s="41" t="s">
        <v>2297</v>
      </c>
      <c r="B244" s="69"/>
      <c r="C244" s="70" t="s">
        <v>52</v>
      </c>
      <c r="D244" s="70" t="s">
        <v>954</v>
      </c>
      <c r="E244" s="81" t="s">
        <v>264</v>
      </c>
      <c r="F244" s="72" t="s">
        <v>52</v>
      </c>
      <c r="G244" s="40"/>
      <c r="H244" s="65" t="s">
        <v>213</v>
      </c>
      <c r="I244" s="32">
        <v>2012</v>
      </c>
      <c r="J244" s="40"/>
      <c r="K244" s="72"/>
      <c r="L244" s="40"/>
      <c r="M244" s="40"/>
      <c r="N244" s="40"/>
      <c r="O244" s="32" t="s">
        <v>12</v>
      </c>
      <c r="P244" s="280">
        <v>1250000</v>
      </c>
      <c r="Q244" s="61" t="s">
        <v>43</v>
      </c>
      <c r="W244" s="206" t="str">
        <f t="shared" si="112"/>
        <v>2.06.02</v>
      </c>
      <c r="X244" s="207" t="str">
        <f t="shared" si="113"/>
        <v>ALAT RUMAH TANGGA</v>
      </c>
      <c r="Y244" s="207">
        <f t="shared" si="114"/>
        <v>5</v>
      </c>
      <c r="Z244" s="233">
        <f t="shared" si="115"/>
        <v>249998</v>
      </c>
      <c r="AA244" s="208">
        <f t="shared" si="116"/>
        <v>1</v>
      </c>
      <c r="AB244" s="233">
        <f t="shared" si="117"/>
        <v>249998</v>
      </c>
      <c r="AC244" s="233">
        <f t="shared" si="118"/>
        <v>249998</v>
      </c>
      <c r="AD244" s="233">
        <f t="shared" si="119"/>
        <v>249998</v>
      </c>
      <c r="AE244" s="233">
        <f t="shared" si="120"/>
        <v>249998</v>
      </c>
      <c r="AF244" s="233">
        <f t="shared" si="121"/>
        <v>249998</v>
      </c>
      <c r="AG244" s="238">
        <f t="shared" si="122"/>
        <v>0</v>
      </c>
      <c r="AH244" s="238">
        <f t="shared" si="123"/>
        <v>1249990</v>
      </c>
      <c r="AI244" s="209">
        <f t="shared" si="124"/>
        <v>2012</v>
      </c>
      <c r="AJ244" s="210">
        <f t="shared" si="125"/>
        <v>10</v>
      </c>
    </row>
    <row r="245" spans="1:37" s="41" customFormat="1" ht="30.75" hidden="1" customHeight="1" x14ac:dyDescent="0.2">
      <c r="A245" s="41" t="s">
        <v>2297</v>
      </c>
      <c r="B245" s="69"/>
      <c r="C245" s="70" t="s">
        <v>52</v>
      </c>
      <c r="D245" s="70" t="s">
        <v>954</v>
      </c>
      <c r="E245" s="81" t="s">
        <v>265</v>
      </c>
      <c r="F245" s="72" t="s">
        <v>52</v>
      </c>
      <c r="G245" s="40"/>
      <c r="H245" s="65" t="s">
        <v>213</v>
      </c>
      <c r="I245" s="32">
        <v>2012</v>
      </c>
      <c r="J245" s="40"/>
      <c r="K245" s="72"/>
      <c r="L245" s="40"/>
      <c r="M245" s="40"/>
      <c r="N245" s="40"/>
      <c r="O245" s="32" t="s">
        <v>12</v>
      </c>
      <c r="P245" s="280">
        <v>1250000</v>
      </c>
      <c r="Q245" s="61" t="s">
        <v>43</v>
      </c>
      <c r="W245" s="206" t="str">
        <f t="shared" si="112"/>
        <v>2.06.02</v>
      </c>
      <c r="X245" s="207" t="str">
        <f t="shared" si="113"/>
        <v>ALAT RUMAH TANGGA</v>
      </c>
      <c r="Y245" s="207">
        <f t="shared" si="114"/>
        <v>5</v>
      </c>
      <c r="Z245" s="233">
        <f t="shared" si="115"/>
        <v>249998</v>
      </c>
      <c r="AA245" s="208">
        <f t="shared" si="116"/>
        <v>1</v>
      </c>
      <c r="AB245" s="233">
        <f t="shared" si="117"/>
        <v>249998</v>
      </c>
      <c r="AC245" s="233">
        <f t="shared" si="118"/>
        <v>249998</v>
      </c>
      <c r="AD245" s="233">
        <f t="shared" si="119"/>
        <v>249998</v>
      </c>
      <c r="AE245" s="233">
        <f t="shared" si="120"/>
        <v>249998</v>
      </c>
      <c r="AF245" s="233">
        <f t="shared" si="121"/>
        <v>249998</v>
      </c>
      <c r="AG245" s="238">
        <f t="shared" si="122"/>
        <v>0</v>
      </c>
      <c r="AH245" s="238">
        <f t="shared" si="123"/>
        <v>1249990</v>
      </c>
      <c r="AI245" s="209">
        <f t="shared" si="124"/>
        <v>2012</v>
      </c>
      <c r="AJ245" s="210">
        <f t="shared" si="125"/>
        <v>10</v>
      </c>
    </row>
    <row r="246" spans="1:37" s="41" customFormat="1" ht="30.75" hidden="1" customHeight="1" x14ac:dyDescent="0.2">
      <c r="A246" s="41" t="s">
        <v>2297</v>
      </c>
      <c r="B246" s="69"/>
      <c r="C246" s="70" t="s">
        <v>52</v>
      </c>
      <c r="D246" s="70" t="s">
        <v>954</v>
      </c>
      <c r="E246" s="81" t="s">
        <v>266</v>
      </c>
      <c r="F246" s="72" t="s">
        <v>52</v>
      </c>
      <c r="G246" s="40"/>
      <c r="H246" s="65" t="s">
        <v>213</v>
      </c>
      <c r="I246" s="32">
        <v>2012</v>
      </c>
      <c r="J246" s="40"/>
      <c r="K246" s="72"/>
      <c r="L246" s="40"/>
      <c r="M246" s="40"/>
      <c r="N246" s="40"/>
      <c r="O246" s="32" t="s">
        <v>12</v>
      </c>
      <c r="P246" s="280">
        <v>1250000</v>
      </c>
      <c r="Q246" s="61" t="s">
        <v>43</v>
      </c>
      <c r="W246" s="206" t="str">
        <f t="shared" si="112"/>
        <v>2.06.02</v>
      </c>
      <c r="X246" s="207" t="str">
        <f t="shared" si="113"/>
        <v>ALAT RUMAH TANGGA</v>
      </c>
      <c r="Y246" s="207">
        <f t="shared" si="114"/>
        <v>5</v>
      </c>
      <c r="Z246" s="233">
        <f t="shared" si="115"/>
        <v>249998</v>
      </c>
      <c r="AA246" s="208">
        <f t="shared" si="116"/>
        <v>1</v>
      </c>
      <c r="AB246" s="233">
        <f t="shared" si="117"/>
        <v>249998</v>
      </c>
      <c r="AC246" s="233">
        <f t="shared" si="118"/>
        <v>249998</v>
      </c>
      <c r="AD246" s="233">
        <f t="shared" si="119"/>
        <v>249998</v>
      </c>
      <c r="AE246" s="233">
        <f t="shared" si="120"/>
        <v>249998</v>
      </c>
      <c r="AF246" s="233">
        <f t="shared" si="121"/>
        <v>249998</v>
      </c>
      <c r="AG246" s="238">
        <f t="shared" si="122"/>
        <v>0</v>
      </c>
      <c r="AH246" s="238">
        <f t="shared" si="123"/>
        <v>1249990</v>
      </c>
      <c r="AI246" s="209">
        <f t="shared" si="124"/>
        <v>2012</v>
      </c>
      <c r="AJ246" s="210">
        <f t="shared" si="125"/>
        <v>10</v>
      </c>
    </row>
    <row r="247" spans="1:37" s="41" customFormat="1" ht="30.75" hidden="1" customHeight="1" x14ac:dyDescent="0.2">
      <c r="A247" s="41" t="s">
        <v>2297</v>
      </c>
      <c r="B247" s="69"/>
      <c r="C247" s="70" t="s">
        <v>52</v>
      </c>
      <c r="D247" s="70" t="s">
        <v>955</v>
      </c>
      <c r="E247" s="81" t="s">
        <v>261</v>
      </c>
      <c r="F247" s="72" t="s">
        <v>52</v>
      </c>
      <c r="G247" s="40"/>
      <c r="H247" s="65" t="s">
        <v>1010</v>
      </c>
      <c r="I247" s="32">
        <v>2012</v>
      </c>
      <c r="J247" s="40"/>
      <c r="K247" s="72"/>
      <c r="L247" s="40"/>
      <c r="M247" s="40"/>
      <c r="N247" s="40"/>
      <c r="O247" s="32" t="s">
        <v>12</v>
      </c>
      <c r="P247" s="280">
        <v>2400000</v>
      </c>
      <c r="Q247" s="61" t="s">
        <v>43</v>
      </c>
      <c r="W247" s="206" t="str">
        <f t="shared" si="112"/>
        <v>2.06.02</v>
      </c>
      <c r="X247" s="207" t="str">
        <f t="shared" si="113"/>
        <v>ALAT RUMAH TANGGA</v>
      </c>
      <c r="Y247" s="207">
        <f t="shared" si="114"/>
        <v>5</v>
      </c>
      <c r="Z247" s="233">
        <f t="shared" si="115"/>
        <v>479998</v>
      </c>
      <c r="AA247" s="208">
        <f t="shared" si="116"/>
        <v>1</v>
      </c>
      <c r="AB247" s="233">
        <f t="shared" si="117"/>
        <v>479998</v>
      </c>
      <c r="AC247" s="233">
        <f t="shared" si="118"/>
        <v>479998</v>
      </c>
      <c r="AD247" s="233">
        <f t="shared" si="119"/>
        <v>479998</v>
      </c>
      <c r="AE247" s="233">
        <f t="shared" si="120"/>
        <v>479998</v>
      </c>
      <c r="AF247" s="233">
        <f t="shared" si="121"/>
        <v>479998</v>
      </c>
      <c r="AG247" s="238">
        <f t="shared" si="122"/>
        <v>0</v>
      </c>
      <c r="AH247" s="238">
        <f t="shared" si="123"/>
        <v>2399990</v>
      </c>
      <c r="AI247" s="209">
        <f t="shared" si="124"/>
        <v>2012</v>
      </c>
      <c r="AJ247" s="210">
        <f t="shared" si="125"/>
        <v>10</v>
      </c>
    </row>
    <row r="248" spans="1:37" s="41" customFormat="1" ht="30.75" hidden="1" customHeight="1" x14ac:dyDescent="0.2">
      <c r="A248" s="41" t="s">
        <v>2297</v>
      </c>
      <c r="B248" s="69"/>
      <c r="C248" s="70" t="s">
        <v>52</v>
      </c>
      <c r="D248" s="70" t="s">
        <v>955</v>
      </c>
      <c r="E248" s="81" t="s">
        <v>263</v>
      </c>
      <c r="F248" s="72" t="s">
        <v>52</v>
      </c>
      <c r="G248" s="40"/>
      <c r="H248" s="65" t="s">
        <v>1010</v>
      </c>
      <c r="I248" s="32">
        <v>2012</v>
      </c>
      <c r="J248" s="40"/>
      <c r="K248" s="72"/>
      <c r="L248" s="40"/>
      <c r="M248" s="40"/>
      <c r="N248" s="40"/>
      <c r="O248" s="32" t="s">
        <v>12</v>
      </c>
      <c r="P248" s="280">
        <v>2400000</v>
      </c>
      <c r="Q248" s="61" t="s">
        <v>43</v>
      </c>
      <c r="W248" s="206" t="str">
        <f t="shared" si="112"/>
        <v>2.06.02</v>
      </c>
      <c r="X248" s="207" t="str">
        <f t="shared" si="113"/>
        <v>ALAT RUMAH TANGGA</v>
      </c>
      <c r="Y248" s="207">
        <f t="shared" si="114"/>
        <v>5</v>
      </c>
      <c r="Z248" s="233">
        <f t="shared" si="115"/>
        <v>479998</v>
      </c>
      <c r="AA248" s="208">
        <f t="shared" si="116"/>
        <v>1</v>
      </c>
      <c r="AB248" s="233">
        <f t="shared" si="117"/>
        <v>479998</v>
      </c>
      <c r="AC248" s="233">
        <f t="shared" si="118"/>
        <v>479998</v>
      </c>
      <c r="AD248" s="233">
        <f t="shared" si="119"/>
        <v>479998</v>
      </c>
      <c r="AE248" s="233">
        <f t="shared" si="120"/>
        <v>479998</v>
      </c>
      <c r="AF248" s="233">
        <f t="shared" si="121"/>
        <v>479998</v>
      </c>
      <c r="AG248" s="238">
        <f t="shared" si="122"/>
        <v>0</v>
      </c>
      <c r="AH248" s="238">
        <f t="shared" si="123"/>
        <v>2399990</v>
      </c>
      <c r="AI248" s="209">
        <f t="shared" si="124"/>
        <v>2012</v>
      </c>
      <c r="AJ248" s="210">
        <f t="shared" si="125"/>
        <v>10</v>
      </c>
    </row>
    <row r="249" spans="1:37" s="41" customFormat="1" ht="30.75" hidden="1" customHeight="1" x14ac:dyDescent="0.2">
      <c r="A249" s="41" t="s">
        <v>2297</v>
      </c>
      <c r="B249" s="69"/>
      <c r="C249" s="70" t="s">
        <v>52</v>
      </c>
      <c r="D249" s="70" t="s">
        <v>955</v>
      </c>
      <c r="E249" s="81" t="s">
        <v>263</v>
      </c>
      <c r="F249" s="72" t="s">
        <v>52</v>
      </c>
      <c r="G249" s="40"/>
      <c r="H249" s="65" t="s">
        <v>1010</v>
      </c>
      <c r="I249" s="32">
        <v>2012</v>
      </c>
      <c r="J249" s="40"/>
      <c r="K249" s="72"/>
      <c r="L249" s="40"/>
      <c r="M249" s="40"/>
      <c r="N249" s="40"/>
      <c r="O249" s="70"/>
      <c r="P249" s="280">
        <v>2400000</v>
      </c>
      <c r="Q249" s="61" t="s">
        <v>43</v>
      </c>
      <c r="W249" s="206" t="str">
        <f t="shared" si="112"/>
        <v>2.06.02</v>
      </c>
      <c r="X249" s="207" t="str">
        <f t="shared" si="113"/>
        <v>ALAT RUMAH TANGGA</v>
      </c>
      <c r="Y249" s="207">
        <f t="shared" si="114"/>
        <v>5</v>
      </c>
      <c r="Z249" s="233">
        <f t="shared" si="115"/>
        <v>479998</v>
      </c>
      <c r="AA249" s="208">
        <f t="shared" si="116"/>
        <v>1</v>
      </c>
      <c r="AB249" s="233">
        <f t="shared" si="117"/>
        <v>479998</v>
      </c>
      <c r="AC249" s="233">
        <f t="shared" si="118"/>
        <v>479998</v>
      </c>
      <c r="AD249" s="233">
        <f t="shared" si="119"/>
        <v>479998</v>
      </c>
      <c r="AE249" s="233">
        <f t="shared" si="120"/>
        <v>479998</v>
      </c>
      <c r="AF249" s="233">
        <f t="shared" si="121"/>
        <v>479998</v>
      </c>
      <c r="AG249" s="238">
        <f t="shared" si="122"/>
        <v>0</v>
      </c>
      <c r="AH249" s="238">
        <f t="shared" si="123"/>
        <v>2399990</v>
      </c>
      <c r="AI249" s="209">
        <f t="shared" si="124"/>
        <v>2012</v>
      </c>
      <c r="AJ249" s="210">
        <f t="shared" si="125"/>
        <v>10</v>
      </c>
    </row>
    <row r="250" spans="1:37" s="41" customFormat="1" ht="30.75" hidden="1" customHeight="1" x14ac:dyDescent="0.2">
      <c r="A250" s="41" t="s">
        <v>2297</v>
      </c>
      <c r="B250" s="69"/>
      <c r="C250" s="70" t="s">
        <v>52</v>
      </c>
      <c r="D250" s="70" t="s">
        <v>955</v>
      </c>
      <c r="E250" s="81" t="s">
        <v>265</v>
      </c>
      <c r="F250" s="72" t="s">
        <v>52</v>
      </c>
      <c r="G250" s="40"/>
      <c r="H250" s="65" t="s">
        <v>1010</v>
      </c>
      <c r="I250" s="32">
        <v>2012</v>
      </c>
      <c r="J250" s="40"/>
      <c r="K250" s="72"/>
      <c r="L250" s="40"/>
      <c r="M250" s="40"/>
      <c r="N250" s="40"/>
      <c r="O250" s="70"/>
      <c r="P250" s="280">
        <v>2400000</v>
      </c>
      <c r="Q250" s="61" t="s">
        <v>43</v>
      </c>
      <c r="W250" s="206" t="str">
        <f t="shared" si="112"/>
        <v>2.06.02</v>
      </c>
      <c r="X250" s="207" t="str">
        <f t="shared" si="113"/>
        <v>ALAT RUMAH TANGGA</v>
      </c>
      <c r="Y250" s="207">
        <f t="shared" si="114"/>
        <v>5</v>
      </c>
      <c r="Z250" s="233">
        <f t="shared" si="115"/>
        <v>479998</v>
      </c>
      <c r="AA250" s="208">
        <f t="shared" si="116"/>
        <v>1</v>
      </c>
      <c r="AB250" s="233">
        <f t="shared" si="117"/>
        <v>479998</v>
      </c>
      <c r="AC250" s="233">
        <f t="shared" si="118"/>
        <v>479998</v>
      </c>
      <c r="AD250" s="233">
        <f t="shared" si="119"/>
        <v>479998</v>
      </c>
      <c r="AE250" s="233">
        <f t="shared" si="120"/>
        <v>479998</v>
      </c>
      <c r="AF250" s="233">
        <f t="shared" si="121"/>
        <v>479998</v>
      </c>
      <c r="AG250" s="238">
        <f t="shared" si="122"/>
        <v>0</v>
      </c>
      <c r="AH250" s="238">
        <f t="shared" si="123"/>
        <v>2399990</v>
      </c>
      <c r="AI250" s="209">
        <f t="shared" si="124"/>
        <v>2012</v>
      </c>
      <c r="AJ250" s="210">
        <f t="shared" si="125"/>
        <v>10</v>
      </c>
    </row>
    <row r="251" spans="1:37" s="41" customFormat="1" ht="30.75" hidden="1" customHeight="1" x14ac:dyDescent="0.2">
      <c r="A251" s="41" t="s">
        <v>2297</v>
      </c>
      <c r="B251" s="69"/>
      <c r="C251" s="70" t="s">
        <v>52</v>
      </c>
      <c r="D251" s="70" t="s">
        <v>955</v>
      </c>
      <c r="E251" s="81" t="s">
        <v>266</v>
      </c>
      <c r="F251" s="72" t="s">
        <v>52</v>
      </c>
      <c r="G251" s="40"/>
      <c r="H251" s="65" t="s">
        <v>1010</v>
      </c>
      <c r="I251" s="32">
        <v>2012</v>
      </c>
      <c r="J251" s="40"/>
      <c r="K251" s="72"/>
      <c r="L251" s="40"/>
      <c r="M251" s="40"/>
      <c r="N251" s="40"/>
      <c r="O251" s="70"/>
      <c r="P251" s="280">
        <v>2400000</v>
      </c>
      <c r="Q251" s="61" t="s">
        <v>43</v>
      </c>
      <c r="W251" s="206" t="str">
        <f t="shared" si="112"/>
        <v>2.06.02</v>
      </c>
      <c r="X251" s="207" t="str">
        <f t="shared" si="113"/>
        <v>ALAT RUMAH TANGGA</v>
      </c>
      <c r="Y251" s="207">
        <f t="shared" si="114"/>
        <v>5</v>
      </c>
      <c r="Z251" s="233">
        <f t="shared" si="115"/>
        <v>479998</v>
      </c>
      <c r="AA251" s="208">
        <f t="shared" si="116"/>
        <v>1</v>
      </c>
      <c r="AB251" s="233">
        <f t="shared" si="117"/>
        <v>479998</v>
      </c>
      <c r="AC251" s="233">
        <f t="shared" si="118"/>
        <v>479998</v>
      </c>
      <c r="AD251" s="233">
        <f t="shared" si="119"/>
        <v>479998</v>
      </c>
      <c r="AE251" s="233">
        <f t="shared" si="120"/>
        <v>479998</v>
      </c>
      <c r="AF251" s="233">
        <f t="shared" si="121"/>
        <v>479998</v>
      </c>
      <c r="AG251" s="238">
        <f t="shared" si="122"/>
        <v>0</v>
      </c>
      <c r="AH251" s="238">
        <f t="shared" si="123"/>
        <v>2399990</v>
      </c>
      <c r="AI251" s="209">
        <f t="shared" si="124"/>
        <v>2012</v>
      </c>
      <c r="AJ251" s="210">
        <f t="shared" si="125"/>
        <v>10</v>
      </c>
    </row>
    <row r="252" spans="1:37" s="41" customFormat="1" ht="30.75" customHeight="1" x14ac:dyDescent="0.2">
      <c r="A252" s="41" t="s">
        <v>2297</v>
      </c>
      <c r="B252" s="69"/>
      <c r="C252" s="70" t="s">
        <v>52</v>
      </c>
      <c r="D252" s="70" t="s">
        <v>941</v>
      </c>
      <c r="E252" s="40" t="s">
        <v>260</v>
      </c>
      <c r="F252" s="72" t="s">
        <v>52</v>
      </c>
      <c r="G252" s="40"/>
      <c r="H252" s="65" t="s">
        <v>1010</v>
      </c>
      <c r="I252" s="32">
        <v>2012</v>
      </c>
      <c r="J252" s="40"/>
      <c r="K252" s="72"/>
      <c r="L252" s="40"/>
      <c r="M252" s="40"/>
      <c r="N252" s="40"/>
      <c r="O252" s="70"/>
      <c r="P252" s="280">
        <v>16500000</v>
      </c>
      <c r="Q252" s="61" t="s">
        <v>43</v>
      </c>
      <c r="U252" s="269">
        <f>P252/60</f>
        <v>275000</v>
      </c>
      <c r="V252" s="41" t="s">
        <v>2615</v>
      </c>
      <c r="W252" s="206" t="str">
        <f t="shared" si="112"/>
        <v>2.06.02</v>
      </c>
      <c r="X252" s="207" t="str">
        <f t="shared" si="113"/>
        <v>ALAT RUMAH TANGGA</v>
      </c>
      <c r="Y252" s="207">
        <f t="shared" si="114"/>
        <v>5</v>
      </c>
      <c r="Z252" s="233">
        <f t="shared" si="115"/>
        <v>3299998</v>
      </c>
      <c r="AA252" s="208">
        <f t="shared" si="116"/>
        <v>1</v>
      </c>
      <c r="AB252" s="233">
        <f t="shared" si="117"/>
        <v>3299998</v>
      </c>
      <c r="AC252" s="233">
        <f t="shared" si="118"/>
        <v>3299998</v>
      </c>
      <c r="AD252" s="233">
        <f t="shared" si="119"/>
        <v>3299998</v>
      </c>
      <c r="AE252" s="233">
        <f t="shared" si="120"/>
        <v>3299998</v>
      </c>
      <c r="AF252" s="233">
        <f t="shared" si="121"/>
        <v>3299998</v>
      </c>
      <c r="AG252" s="238">
        <f t="shared" si="122"/>
        <v>0</v>
      </c>
      <c r="AH252" s="238">
        <f t="shared" si="123"/>
        <v>16499990</v>
      </c>
      <c r="AI252" s="209">
        <f t="shared" si="124"/>
        <v>2012</v>
      </c>
      <c r="AJ252" s="210">
        <f t="shared" si="125"/>
        <v>10</v>
      </c>
      <c r="AK252" s="285">
        <f>AH252-AG252</f>
        <v>16499990</v>
      </c>
    </row>
    <row r="253" spans="1:37" s="41" customFormat="1" ht="30.75" hidden="1" customHeight="1" x14ac:dyDescent="0.2">
      <c r="A253" s="41" t="s">
        <v>2297</v>
      </c>
      <c r="B253" s="69"/>
      <c r="C253" s="70" t="s">
        <v>52</v>
      </c>
      <c r="D253" s="70" t="s">
        <v>956</v>
      </c>
      <c r="E253" s="40"/>
      <c r="F253" s="72" t="s">
        <v>52</v>
      </c>
      <c r="G253" s="40"/>
      <c r="H253" s="65" t="s">
        <v>52</v>
      </c>
      <c r="I253" s="82">
        <v>2013</v>
      </c>
      <c r="J253" s="40"/>
      <c r="K253" s="72"/>
      <c r="L253" s="40"/>
      <c r="M253" s="40"/>
      <c r="N253" s="40"/>
      <c r="O253" s="82" t="s">
        <v>12</v>
      </c>
      <c r="P253" s="280">
        <v>100636739.93953978</v>
      </c>
      <c r="Q253" s="61"/>
      <c r="W253" s="206" t="str">
        <f t="shared" si="112"/>
        <v>2.06.02</v>
      </c>
      <c r="X253" s="207" t="str">
        <f t="shared" si="113"/>
        <v>ALAT RUMAH TANGGA</v>
      </c>
      <c r="Y253" s="207">
        <f t="shared" si="114"/>
        <v>5</v>
      </c>
      <c r="Z253" s="233">
        <f t="shared" si="115"/>
        <v>20127345.987907954</v>
      </c>
      <c r="AA253" s="208">
        <f t="shared" si="116"/>
        <v>0</v>
      </c>
      <c r="AB253" s="233">
        <f t="shared" si="117"/>
        <v>0</v>
      </c>
      <c r="AC253" s="233">
        <f t="shared" si="118"/>
        <v>20127345.987907954</v>
      </c>
      <c r="AD253" s="233">
        <f t="shared" si="119"/>
        <v>20127345.987907954</v>
      </c>
      <c r="AE253" s="233">
        <f t="shared" si="120"/>
        <v>20127345.987907954</v>
      </c>
      <c r="AF253" s="233">
        <f t="shared" si="121"/>
        <v>20127345.987907954</v>
      </c>
      <c r="AG253" s="238">
        <f t="shared" si="122"/>
        <v>20127345.987907954</v>
      </c>
      <c r="AH253" s="238">
        <f t="shared" si="123"/>
        <v>100636729.93953976</v>
      </c>
      <c r="AI253" s="209">
        <f t="shared" si="124"/>
        <v>2013</v>
      </c>
      <c r="AJ253" s="210">
        <f t="shared" si="125"/>
        <v>10.000000014901161</v>
      </c>
    </row>
    <row r="254" spans="1:37" s="41" customFormat="1" ht="30.75" hidden="1" customHeight="1" x14ac:dyDescent="0.2">
      <c r="A254" s="41" t="s">
        <v>2297</v>
      </c>
      <c r="B254" s="69"/>
      <c r="C254" s="70" t="s">
        <v>52</v>
      </c>
      <c r="D254" s="70" t="s">
        <v>957</v>
      </c>
      <c r="E254" s="40"/>
      <c r="F254" s="72" t="s">
        <v>52</v>
      </c>
      <c r="G254" s="40"/>
      <c r="H254" s="65" t="s">
        <v>52</v>
      </c>
      <c r="I254" s="82">
        <v>2013</v>
      </c>
      <c r="J254" s="40"/>
      <c r="K254" s="72"/>
      <c r="L254" s="40"/>
      <c r="M254" s="40"/>
      <c r="N254" s="40"/>
      <c r="O254" s="82" t="s">
        <v>12</v>
      </c>
      <c r="P254" s="280">
        <v>151582855.59412351</v>
      </c>
      <c r="Q254" s="61"/>
      <c r="W254" s="206" t="str">
        <f t="shared" si="112"/>
        <v>2.06.02</v>
      </c>
      <c r="X254" s="207" t="str">
        <f t="shared" si="113"/>
        <v>ALAT RUMAH TANGGA</v>
      </c>
      <c r="Y254" s="207">
        <f t="shared" si="114"/>
        <v>5</v>
      </c>
      <c r="Z254" s="233">
        <f t="shared" si="115"/>
        <v>30316569.118824702</v>
      </c>
      <c r="AA254" s="208">
        <f t="shared" si="116"/>
        <v>0</v>
      </c>
      <c r="AB254" s="233">
        <f t="shared" si="117"/>
        <v>0</v>
      </c>
      <c r="AC254" s="233">
        <f t="shared" si="118"/>
        <v>30316569.118824702</v>
      </c>
      <c r="AD254" s="233">
        <f t="shared" si="119"/>
        <v>30316569.118824702</v>
      </c>
      <c r="AE254" s="233">
        <f t="shared" si="120"/>
        <v>30316569.118824702</v>
      </c>
      <c r="AF254" s="233">
        <f t="shared" si="121"/>
        <v>30316569.118824702</v>
      </c>
      <c r="AG254" s="238">
        <f t="shared" si="122"/>
        <v>30316569.118824702</v>
      </c>
      <c r="AH254" s="238">
        <f t="shared" si="123"/>
        <v>151582845.59412351</v>
      </c>
      <c r="AI254" s="209">
        <f t="shared" si="124"/>
        <v>2013</v>
      </c>
      <c r="AJ254" s="210">
        <f t="shared" si="125"/>
        <v>10</v>
      </c>
    </row>
    <row r="255" spans="1:37" s="41" customFormat="1" ht="30.75" hidden="1" customHeight="1" x14ac:dyDescent="0.2">
      <c r="A255" s="41" t="s">
        <v>2297</v>
      </c>
      <c r="B255" s="69"/>
      <c r="C255" s="70" t="s">
        <v>52</v>
      </c>
      <c r="D255" s="70" t="s">
        <v>958</v>
      </c>
      <c r="E255" s="83" t="s">
        <v>271</v>
      </c>
      <c r="F255" s="72" t="s">
        <v>52</v>
      </c>
      <c r="G255" s="40"/>
      <c r="H255" s="72" t="s">
        <v>238</v>
      </c>
      <c r="I255" s="82">
        <v>2013</v>
      </c>
      <c r="J255" s="40"/>
      <c r="K255" s="72"/>
      <c r="L255" s="40"/>
      <c r="M255" s="40"/>
      <c r="N255" s="40"/>
      <c r="O255" s="82" t="s">
        <v>12</v>
      </c>
      <c r="P255" s="280">
        <v>10964969.450101834</v>
      </c>
      <c r="Q255" s="61"/>
      <c r="U255" s="269">
        <f>P255/9</f>
        <v>1218329.9389002037</v>
      </c>
      <c r="W255" s="206" t="str">
        <f t="shared" si="112"/>
        <v>2.06.02</v>
      </c>
      <c r="X255" s="207" t="str">
        <f t="shared" si="113"/>
        <v>ALAT RUMAH TANGGA</v>
      </c>
      <c r="Y255" s="207">
        <f t="shared" si="114"/>
        <v>5</v>
      </c>
      <c r="Z255" s="233">
        <f t="shared" si="115"/>
        <v>2192991.8900203668</v>
      </c>
      <c r="AA255" s="208">
        <f t="shared" si="116"/>
        <v>0</v>
      </c>
      <c r="AB255" s="233">
        <f t="shared" si="117"/>
        <v>0</v>
      </c>
      <c r="AC255" s="233">
        <f t="shared" si="118"/>
        <v>2192991.8900203668</v>
      </c>
      <c r="AD255" s="233">
        <f t="shared" si="119"/>
        <v>2192991.8900203668</v>
      </c>
      <c r="AE255" s="233">
        <f t="shared" si="120"/>
        <v>2192991.8900203668</v>
      </c>
      <c r="AF255" s="233">
        <f t="shared" si="121"/>
        <v>2192991.8900203668</v>
      </c>
      <c r="AG255" s="238">
        <f t="shared" si="122"/>
        <v>2192991.8900203668</v>
      </c>
      <c r="AH255" s="238">
        <f t="shared" si="123"/>
        <v>10964959.450101834</v>
      </c>
      <c r="AI255" s="209">
        <f t="shared" si="124"/>
        <v>2013</v>
      </c>
      <c r="AJ255" s="210">
        <f t="shared" si="125"/>
        <v>10</v>
      </c>
    </row>
    <row r="256" spans="1:37" s="41" customFormat="1" ht="30.75" hidden="1" customHeight="1" x14ac:dyDescent="0.2">
      <c r="A256" s="41" t="s">
        <v>2297</v>
      </c>
      <c r="B256" s="69"/>
      <c r="C256" s="70" t="s">
        <v>52</v>
      </c>
      <c r="D256" s="70" t="s">
        <v>959</v>
      </c>
      <c r="E256" s="83" t="s">
        <v>271</v>
      </c>
      <c r="F256" s="72" t="s">
        <v>52</v>
      </c>
      <c r="G256" s="40"/>
      <c r="H256" s="72" t="s">
        <v>238</v>
      </c>
      <c r="I256" s="82">
        <v>2013</v>
      </c>
      <c r="J256" s="40"/>
      <c r="K256" s="72"/>
      <c r="L256" s="40"/>
      <c r="M256" s="40"/>
      <c r="N256" s="40"/>
      <c r="O256" s="82" t="s">
        <v>12</v>
      </c>
      <c r="P256" s="280">
        <v>6396232.1792260697</v>
      </c>
      <c r="Q256" s="61"/>
      <c r="U256" s="269">
        <f>P256/9</f>
        <v>710692.46435845224</v>
      </c>
      <c r="W256" s="206" t="str">
        <f t="shared" si="112"/>
        <v>2.06.02</v>
      </c>
      <c r="X256" s="207" t="str">
        <f t="shared" si="113"/>
        <v>ALAT RUMAH TANGGA</v>
      </c>
      <c r="Y256" s="207">
        <f t="shared" si="114"/>
        <v>5</v>
      </c>
      <c r="Z256" s="233">
        <f t="shared" si="115"/>
        <v>1279244.4358452139</v>
      </c>
      <c r="AA256" s="208">
        <f t="shared" si="116"/>
        <v>0</v>
      </c>
      <c r="AB256" s="233">
        <f t="shared" si="117"/>
        <v>0</v>
      </c>
      <c r="AC256" s="233">
        <f t="shared" si="118"/>
        <v>1279244.4358452139</v>
      </c>
      <c r="AD256" s="233">
        <f t="shared" si="119"/>
        <v>1279244.4358452139</v>
      </c>
      <c r="AE256" s="233">
        <f t="shared" si="120"/>
        <v>1279244.4358452139</v>
      </c>
      <c r="AF256" s="233">
        <f t="shared" si="121"/>
        <v>1279244.4358452139</v>
      </c>
      <c r="AG256" s="238">
        <f t="shared" si="122"/>
        <v>1279244.4358452139</v>
      </c>
      <c r="AH256" s="238">
        <f t="shared" si="123"/>
        <v>6396222.1792260697</v>
      </c>
      <c r="AI256" s="209">
        <f t="shared" si="124"/>
        <v>2013</v>
      </c>
      <c r="AJ256" s="210">
        <f t="shared" si="125"/>
        <v>10</v>
      </c>
    </row>
    <row r="257" spans="1:36" s="41" customFormat="1" ht="30.75" hidden="1" customHeight="1" x14ac:dyDescent="0.2">
      <c r="A257" s="41" t="s">
        <v>2297</v>
      </c>
      <c r="B257" s="69"/>
      <c r="C257" s="70" t="s">
        <v>52</v>
      </c>
      <c r="D257" s="70" t="s">
        <v>209</v>
      </c>
      <c r="E257" s="83" t="s">
        <v>271</v>
      </c>
      <c r="F257" s="72" t="s">
        <v>52</v>
      </c>
      <c r="G257" s="40"/>
      <c r="H257" s="72" t="s">
        <v>1011</v>
      </c>
      <c r="I257" s="82">
        <v>2013</v>
      </c>
      <c r="J257" s="40"/>
      <c r="K257" s="72"/>
      <c r="L257" s="40"/>
      <c r="M257" s="40"/>
      <c r="N257" s="40"/>
      <c r="O257" s="82" t="s">
        <v>12</v>
      </c>
      <c r="P257" s="280">
        <v>18274949.083503056</v>
      </c>
      <c r="Q257" s="61"/>
      <c r="U257" s="269">
        <f>P257/9</f>
        <v>2030549.8981670062</v>
      </c>
      <c r="W257" s="206" t="str">
        <f t="shared" si="112"/>
        <v>2.06.02</v>
      </c>
      <c r="X257" s="207" t="str">
        <f t="shared" si="113"/>
        <v>ALAT RUMAH TANGGA</v>
      </c>
      <c r="Y257" s="207">
        <f t="shared" si="114"/>
        <v>5</v>
      </c>
      <c r="Z257" s="233">
        <f t="shared" si="115"/>
        <v>3654987.8167006113</v>
      </c>
      <c r="AA257" s="208">
        <f t="shared" si="116"/>
        <v>0</v>
      </c>
      <c r="AB257" s="233">
        <f t="shared" si="117"/>
        <v>0</v>
      </c>
      <c r="AC257" s="233">
        <f t="shared" si="118"/>
        <v>3654987.8167006113</v>
      </c>
      <c r="AD257" s="233">
        <f t="shared" si="119"/>
        <v>3654987.8167006113</v>
      </c>
      <c r="AE257" s="233">
        <f t="shared" si="120"/>
        <v>3654987.8167006113</v>
      </c>
      <c r="AF257" s="233">
        <f t="shared" si="121"/>
        <v>3654987.8167006113</v>
      </c>
      <c r="AG257" s="238">
        <f t="shared" si="122"/>
        <v>3654987.8167006113</v>
      </c>
      <c r="AH257" s="238">
        <f t="shared" si="123"/>
        <v>18274939.083503056</v>
      </c>
      <c r="AI257" s="209">
        <f t="shared" si="124"/>
        <v>2013</v>
      </c>
      <c r="AJ257" s="210">
        <f t="shared" si="125"/>
        <v>10</v>
      </c>
    </row>
    <row r="258" spans="1:36" s="41" customFormat="1" ht="30.75" hidden="1" customHeight="1" x14ac:dyDescent="0.2">
      <c r="A258" s="41" t="s">
        <v>2297</v>
      </c>
      <c r="B258" s="69"/>
      <c r="C258" s="70" t="s">
        <v>52</v>
      </c>
      <c r="D258" s="70" t="s">
        <v>960</v>
      </c>
      <c r="E258" s="83" t="s">
        <v>39</v>
      </c>
      <c r="F258" s="72" t="s">
        <v>52</v>
      </c>
      <c r="G258" s="40"/>
      <c r="H258" s="72" t="s">
        <v>1012</v>
      </c>
      <c r="I258" s="82">
        <v>2013</v>
      </c>
      <c r="J258" s="40"/>
      <c r="K258" s="72"/>
      <c r="L258" s="40"/>
      <c r="M258" s="40"/>
      <c r="N258" s="40"/>
      <c r="O258" s="82" t="s">
        <v>12</v>
      </c>
      <c r="P258" s="280">
        <v>5076374.7454175148</v>
      </c>
      <c r="Q258" s="61"/>
      <c r="W258" s="206" t="str">
        <f t="shared" si="112"/>
        <v>2.06.02</v>
      </c>
      <c r="X258" s="207" t="str">
        <f t="shared" si="113"/>
        <v>ALAT RUMAH TANGGA</v>
      </c>
      <c r="Y258" s="207">
        <f t="shared" si="114"/>
        <v>5</v>
      </c>
      <c r="Z258" s="233">
        <f t="shared" si="115"/>
        <v>1015272.949083503</v>
      </c>
      <c r="AA258" s="208">
        <f t="shared" si="116"/>
        <v>0</v>
      </c>
      <c r="AB258" s="233">
        <f t="shared" si="117"/>
        <v>0</v>
      </c>
      <c r="AC258" s="233">
        <f t="shared" si="118"/>
        <v>1015272.949083503</v>
      </c>
      <c r="AD258" s="233">
        <f t="shared" si="119"/>
        <v>1015272.949083503</v>
      </c>
      <c r="AE258" s="233">
        <f t="shared" si="120"/>
        <v>1015272.949083503</v>
      </c>
      <c r="AF258" s="233">
        <f t="shared" si="121"/>
        <v>1015272.949083503</v>
      </c>
      <c r="AG258" s="238">
        <f t="shared" si="122"/>
        <v>1015272.949083503</v>
      </c>
      <c r="AH258" s="238">
        <f t="shared" si="123"/>
        <v>5076364.7454175148</v>
      </c>
      <c r="AI258" s="209">
        <f t="shared" si="124"/>
        <v>2013</v>
      </c>
      <c r="AJ258" s="210">
        <f t="shared" si="125"/>
        <v>10</v>
      </c>
    </row>
    <row r="259" spans="1:36" s="41" customFormat="1" ht="30.75" hidden="1" customHeight="1" x14ac:dyDescent="0.2">
      <c r="A259" s="41" t="s">
        <v>2297</v>
      </c>
      <c r="B259" s="69"/>
      <c r="C259" s="70" t="s">
        <v>52</v>
      </c>
      <c r="D259" s="70" t="s">
        <v>961</v>
      </c>
      <c r="E259" s="83" t="s">
        <v>273</v>
      </c>
      <c r="F259" s="72" t="s">
        <v>52</v>
      </c>
      <c r="G259" s="40"/>
      <c r="H259" s="72" t="s">
        <v>238</v>
      </c>
      <c r="I259" s="82">
        <v>2013</v>
      </c>
      <c r="J259" s="40"/>
      <c r="K259" s="72"/>
      <c r="L259" s="40"/>
      <c r="M259" s="40"/>
      <c r="N259" s="40"/>
      <c r="O259" s="82" t="s">
        <v>12</v>
      </c>
      <c r="P259" s="280">
        <v>9137474.5417515282</v>
      </c>
      <c r="Q259" s="61"/>
      <c r="U259" s="269">
        <f>P259/4</f>
        <v>2284368.635437882</v>
      </c>
      <c r="W259" s="206" t="str">
        <f t="shared" si="112"/>
        <v>2.06.02</v>
      </c>
      <c r="X259" s="207" t="str">
        <f t="shared" si="113"/>
        <v>ALAT RUMAH TANGGA</v>
      </c>
      <c r="Y259" s="207">
        <f t="shared" si="114"/>
        <v>5</v>
      </c>
      <c r="Z259" s="233">
        <f t="shared" si="115"/>
        <v>1827492.9083503056</v>
      </c>
      <c r="AA259" s="208">
        <f t="shared" si="116"/>
        <v>0</v>
      </c>
      <c r="AB259" s="233">
        <f t="shared" si="117"/>
        <v>0</v>
      </c>
      <c r="AC259" s="233">
        <f t="shared" si="118"/>
        <v>1827492.9083503056</v>
      </c>
      <c r="AD259" s="233">
        <f t="shared" si="119"/>
        <v>1827492.9083503056</v>
      </c>
      <c r="AE259" s="233">
        <f t="shared" si="120"/>
        <v>1827492.9083503056</v>
      </c>
      <c r="AF259" s="233">
        <f t="shared" si="121"/>
        <v>1827492.9083503056</v>
      </c>
      <c r="AG259" s="238">
        <f t="shared" si="122"/>
        <v>1827492.9083503056</v>
      </c>
      <c r="AH259" s="238">
        <f t="shared" si="123"/>
        <v>9137464.5417515282</v>
      </c>
      <c r="AI259" s="209">
        <f t="shared" si="124"/>
        <v>2013</v>
      </c>
      <c r="AJ259" s="210">
        <f t="shared" si="125"/>
        <v>10</v>
      </c>
    </row>
    <row r="260" spans="1:36" s="41" customFormat="1" ht="30.75" hidden="1" customHeight="1" x14ac:dyDescent="0.2">
      <c r="A260" s="41" t="s">
        <v>2296</v>
      </c>
      <c r="B260" s="69"/>
      <c r="C260" s="70" t="s">
        <v>52</v>
      </c>
      <c r="D260" s="70" t="s">
        <v>962</v>
      </c>
      <c r="E260" s="83" t="s">
        <v>274</v>
      </c>
      <c r="F260" s="72" t="s">
        <v>999</v>
      </c>
      <c r="G260" s="40"/>
      <c r="H260" s="65" t="s">
        <v>281</v>
      </c>
      <c r="I260" s="82">
        <v>2013</v>
      </c>
      <c r="J260" s="40"/>
      <c r="K260" s="72"/>
      <c r="L260" s="40"/>
      <c r="M260" s="40"/>
      <c r="N260" s="40"/>
      <c r="O260" s="82" t="s">
        <v>12</v>
      </c>
      <c r="P260" s="280">
        <v>59840000</v>
      </c>
      <c r="Q260" s="61"/>
      <c r="U260" s="269">
        <f>P260/2</f>
        <v>29920000</v>
      </c>
      <c r="W260" s="206" t="str">
        <f t="shared" si="112"/>
        <v>2.06.03</v>
      </c>
      <c r="X260" s="207" t="str">
        <f t="shared" si="113"/>
        <v>KOMPUTER</v>
      </c>
      <c r="Y260" s="207">
        <f t="shared" si="114"/>
        <v>4</v>
      </c>
      <c r="Z260" s="233">
        <f t="shared" si="115"/>
        <v>14959997.5</v>
      </c>
      <c r="AA260" s="208">
        <f t="shared" si="116"/>
        <v>0</v>
      </c>
      <c r="AB260" s="233">
        <f t="shared" si="117"/>
        <v>0</v>
      </c>
      <c r="AC260" s="233">
        <f t="shared" si="118"/>
        <v>14959997.5</v>
      </c>
      <c r="AD260" s="233">
        <f t="shared" si="119"/>
        <v>14959997.5</v>
      </c>
      <c r="AE260" s="233">
        <f t="shared" si="120"/>
        <v>14959997.5</v>
      </c>
      <c r="AF260" s="233">
        <f t="shared" si="121"/>
        <v>14959997.5</v>
      </c>
      <c r="AG260" s="238">
        <f t="shared" si="122"/>
        <v>0</v>
      </c>
      <c r="AH260" s="238">
        <f t="shared" si="123"/>
        <v>59839990</v>
      </c>
      <c r="AI260" s="209">
        <f t="shared" si="124"/>
        <v>2013</v>
      </c>
      <c r="AJ260" s="210">
        <f t="shared" si="125"/>
        <v>10</v>
      </c>
    </row>
    <row r="261" spans="1:36" s="41" customFormat="1" ht="30.75" hidden="1" customHeight="1" x14ac:dyDescent="0.2">
      <c r="A261" s="41" t="s">
        <v>2296</v>
      </c>
      <c r="B261" s="69"/>
      <c r="C261" s="70" t="s">
        <v>52</v>
      </c>
      <c r="D261" s="70" t="s">
        <v>963</v>
      </c>
      <c r="E261" s="83" t="s">
        <v>274</v>
      </c>
      <c r="F261" s="72" t="s">
        <v>195</v>
      </c>
      <c r="G261" s="40"/>
      <c r="H261" s="65" t="s">
        <v>281</v>
      </c>
      <c r="I261" s="82">
        <v>2013</v>
      </c>
      <c r="J261" s="40"/>
      <c r="K261" s="72"/>
      <c r="L261" s="40"/>
      <c r="M261" s="40"/>
      <c r="N261" s="40"/>
      <c r="O261" s="82" t="s">
        <v>12</v>
      </c>
      <c r="P261" s="280">
        <v>33750000</v>
      </c>
      <c r="Q261" s="61"/>
      <c r="U261" s="269">
        <f>P261/2</f>
        <v>16875000</v>
      </c>
      <c r="W261" s="206" t="str">
        <f t="shared" si="112"/>
        <v>2.06.03</v>
      </c>
      <c r="X261" s="207" t="str">
        <f t="shared" si="113"/>
        <v>KOMPUTER</v>
      </c>
      <c r="Y261" s="207">
        <f t="shared" si="114"/>
        <v>4</v>
      </c>
      <c r="Z261" s="233">
        <f t="shared" si="115"/>
        <v>8437497.5</v>
      </c>
      <c r="AA261" s="208">
        <f t="shared" si="116"/>
        <v>0</v>
      </c>
      <c r="AB261" s="233">
        <f t="shared" si="117"/>
        <v>0</v>
      </c>
      <c r="AC261" s="233">
        <f t="shared" si="118"/>
        <v>8437497.5</v>
      </c>
      <c r="AD261" s="233">
        <f t="shared" si="119"/>
        <v>8437497.5</v>
      </c>
      <c r="AE261" s="233">
        <f t="shared" si="120"/>
        <v>8437497.5</v>
      </c>
      <c r="AF261" s="233">
        <f t="shared" si="121"/>
        <v>8437497.5</v>
      </c>
      <c r="AG261" s="238">
        <f t="shared" si="122"/>
        <v>0</v>
      </c>
      <c r="AH261" s="238">
        <f t="shared" si="123"/>
        <v>33749990</v>
      </c>
      <c r="AI261" s="209">
        <f t="shared" si="124"/>
        <v>2013</v>
      </c>
      <c r="AJ261" s="210">
        <f t="shared" si="125"/>
        <v>10</v>
      </c>
    </row>
    <row r="262" spans="1:36" s="41" customFormat="1" ht="30.75" hidden="1" customHeight="1" x14ac:dyDescent="0.2">
      <c r="A262" s="41" t="s">
        <v>2296</v>
      </c>
      <c r="B262" s="69"/>
      <c r="C262" s="70" t="s">
        <v>52</v>
      </c>
      <c r="D262" s="70" t="s">
        <v>964</v>
      </c>
      <c r="E262" s="83" t="s">
        <v>275</v>
      </c>
      <c r="F262" s="72" t="s">
        <v>52</v>
      </c>
      <c r="G262" s="40"/>
      <c r="H262" s="65" t="s">
        <v>281</v>
      </c>
      <c r="I262" s="82">
        <v>2013</v>
      </c>
      <c r="J262" s="40"/>
      <c r="K262" s="72"/>
      <c r="L262" s="40"/>
      <c r="M262" s="40"/>
      <c r="N262" s="40"/>
      <c r="O262" s="82" t="s">
        <v>12</v>
      </c>
      <c r="P262" s="280">
        <v>27082568.807339448</v>
      </c>
      <c r="Q262" s="61"/>
      <c r="U262" s="269">
        <f>P262/3</f>
        <v>9027522.9357798155</v>
      </c>
      <c r="W262" s="206" t="str">
        <f t="shared" si="112"/>
        <v>2.06.03</v>
      </c>
      <c r="X262" s="207" t="str">
        <f t="shared" si="113"/>
        <v>KOMPUTER</v>
      </c>
      <c r="Y262" s="207">
        <f t="shared" si="114"/>
        <v>4</v>
      </c>
      <c r="Z262" s="233">
        <f t="shared" si="115"/>
        <v>6770639.7018348621</v>
      </c>
      <c r="AA262" s="208">
        <f t="shared" si="116"/>
        <v>0</v>
      </c>
      <c r="AB262" s="233">
        <f t="shared" si="117"/>
        <v>0</v>
      </c>
      <c r="AC262" s="233">
        <f t="shared" si="118"/>
        <v>6770639.7018348621</v>
      </c>
      <c r="AD262" s="233">
        <f t="shared" si="119"/>
        <v>6770639.7018348621</v>
      </c>
      <c r="AE262" s="233">
        <f t="shared" si="120"/>
        <v>6770639.7018348621</v>
      </c>
      <c r="AF262" s="233">
        <f t="shared" si="121"/>
        <v>6770639.7018348621</v>
      </c>
      <c r="AG262" s="238">
        <f t="shared" si="122"/>
        <v>0</v>
      </c>
      <c r="AH262" s="238">
        <f t="shared" si="123"/>
        <v>27082558.807339448</v>
      </c>
      <c r="AI262" s="209">
        <f t="shared" si="124"/>
        <v>2013</v>
      </c>
      <c r="AJ262" s="210">
        <f t="shared" si="125"/>
        <v>10</v>
      </c>
    </row>
    <row r="263" spans="1:36" s="41" customFormat="1" ht="30.75" hidden="1" customHeight="1" x14ac:dyDescent="0.2">
      <c r="A263" s="41" t="s">
        <v>2297</v>
      </c>
      <c r="B263" s="69"/>
      <c r="C263" s="70" t="s">
        <v>52</v>
      </c>
      <c r="D263" s="70" t="s">
        <v>965</v>
      </c>
      <c r="E263" s="83" t="s">
        <v>273</v>
      </c>
      <c r="F263" s="72" t="s">
        <v>52</v>
      </c>
      <c r="G263" s="40"/>
      <c r="H263" s="65" t="s">
        <v>213</v>
      </c>
      <c r="I263" s="82">
        <v>2013</v>
      </c>
      <c r="J263" s="40"/>
      <c r="K263" s="72"/>
      <c r="L263" s="40"/>
      <c r="M263" s="40"/>
      <c r="N263" s="40"/>
      <c r="O263" s="82" t="s">
        <v>12</v>
      </c>
      <c r="P263" s="280">
        <v>24073394.495412845</v>
      </c>
      <c r="Q263" s="61"/>
      <c r="U263" s="269">
        <f>P263/4</f>
        <v>6018348.6238532113</v>
      </c>
      <c r="W263" s="206" t="str">
        <f t="shared" si="112"/>
        <v>2.06.02</v>
      </c>
      <c r="X263" s="207" t="str">
        <f t="shared" si="113"/>
        <v>ALAT RUMAH TANGGA</v>
      </c>
      <c r="Y263" s="207">
        <f t="shared" si="114"/>
        <v>5</v>
      </c>
      <c r="Z263" s="233">
        <f t="shared" si="115"/>
        <v>4814676.8990825694</v>
      </c>
      <c r="AA263" s="208">
        <f t="shared" si="116"/>
        <v>0</v>
      </c>
      <c r="AB263" s="233">
        <f t="shared" si="117"/>
        <v>0</v>
      </c>
      <c r="AC263" s="233">
        <f t="shared" si="118"/>
        <v>4814676.8990825694</v>
      </c>
      <c r="AD263" s="233">
        <f t="shared" si="119"/>
        <v>4814676.8990825694</v>
      </c>
      <c r="AE263" s="233">
        <f t="shared" si="120"/>
        <v>4814676.8990825694</v>
      </c>
      <c r="AF263" s="233">
        <f t="shared" si="121"/>
        <v>4814676.8990825694</v>
      </c>
      <c r="AG263" s="238">
        <f t="shared" si="122"/>
        <v>4814676.8990825694</v>
      </c>
      <c r="AH263" s="238">
        <f t="shared" si="123"/>
        <v>24073384.495412849</v>
      </c>
      <c r="AI263" s="209">
        <f t="shared" si="124"/>
        <v>2013</v>
      </c>
      <c r="AJ263" s="210">
        <f t="shared" si="125"/>
        <v>9.9999999962747097</v>
      </c>
    </row>
    <row r="264" spans="1:36" s="48" customFormat="1" ht="30.75" hidden="1" customHeight="1" x14ac:dyDescent="0.2">
      <c r="A264" s="48" t="s">
        <v>2297</v>
      </c>
      <c r="B264" s="73"/>
      <c r="C264" s="40" t="s">
        <v>276</v>
      </c>
      <c r="D264" s="67" t="s">
        <v>966</v>
      </c>
      <c r="E264" s="83" t="s">
        <v>277</v>
      </c>
      <c r="F264" s="72" t="s">
        <v>1000</v>
      </c>
      <c r="G264" s="40"/>
      <c r="H264" s="65" t="s">
        <v>281</v>
      </c>
      <c r="I264" s="33">
        <v>2014</v>
      </c>
      <c r="J264" s="40"/>
      <c r="K264" s="72"/>
      <c r="L264" s="40"/>
      <c r="M264" s="40"/>
      <c r="N264" s="40"/>
      <c r="O264" s="33" t="s">
        <v>12</v>
      </c>
      <c r="P264" s="280">
        <v>154639375</v>
      </c>
      <c r="Q264" s="61"/>
      <c r="U264" s="269">
        <f>P264/1</f>
        <v>154639375</v>
      </c>
      <c r="W264" s="206" t="str">
        <f t="shared" si="112"/>
        <v>2.06.02</v>
      </c>
      <c r="X264" s="207" t="str">
        <f t="shared" si="113"/>
        <v>ALAT RUMAH TANGGA</v>
      </c>
      <c r="Y264" s="207">
        <f t="shared" si="114"/>
        <v>5</v>
      </c>
      <c r="Z264" s="233">
        <f t="shared" si="115"/>
        <v>30927873</v>
      </c>
      <c r="AA264" s="208"/>
      <c r="AB264" s="233"/>
      <c r="AC264" s="233">
        <f t="shared" si="118"/>
        <v>30927873</v>
      </c>
      <c r="AD264" s="233">
        <f t="shared" si="119"/>
        <v>30927873</v>
      </c>
      <c r="AE264" s="233">
        <f t="shared" si="120"/>
        <v>30927873</v>
      </c>
      <c r="AF264" s="233">
        <f t="shared" si="121"/>
        <v>30927873</v>
      </c>
      <c r="AG264" s="238">
        <f t="shared" si="122"/>
        <v>30927873</v>
      </c>
      <c r="AH264" s="238">
        <f t="shared" si="123"/>
        <v>154639365</v>
      </c>
      <c r="AI264" s="209">
        <f t="shared" si="124"/>
        <v>2014</v>
      </c>
      <c r="AJ264" s="210">
        <f t="shared" si="125"/>
        <v>10</v>
      </c>
    </row>
    <row r="265" spans="1:36" s="48" customFormat="1" ht="30.75" hidden="1" customHeight="1" x14ac:dyDescent="0.2">
      <c r="A265" s="48" t="s">
        <v>2297</v>
      </c>
      <c r="B265" s="73"/>
      <c r="C265" s="40" t="s">
        <v>278</v>
      </c>
      <c r="D265" s="67" t="s">
        <v>172</v>
      </c>
      <c r="E265" s="83" t="s">
        <v>279</v>
      </c>
      <c r="F265" s="72" t="s">
        <v>52</v>
      </c>
      <c r="G265" s="40" t="s">
        <v>280</v>
      </c>
      <c r="H265" s="65" t="s">
        <v>281</v>
      </c>
      <c r="I265" s="33">
        <v>2014</v>
      </c>
      <c r="J265" s="40"/>
      <c r="K265" s="72"/>
      <c r="L265" s="40"/>
      <c r="M265" s="40"/>
      <c r="N265" s="40"/>
      <c r="O265" s="33" t="s">
        <v>12</v>
      </c>
      <c r="P265" s="280">
        <v>23000000</v>
      </c>
      <c r="Q265" s="61"/>
      <c r="U265" s="269">
        <f>P265/5</f>
        <v>4600000</v>
      </c>
      <c r="W265" s="206" t="str">
        <f t="shared" si="112"/>
        <v>2.06.02</v>
      </c>
      <c r="X265" s="207" t="str">
        <f t="shared" si="113"/>
        <v>ALAT RUMAH TANGGA</v>
      </c>
      <c r="Y265" s="207">
        <f t="shared" si="114"/>
        <v>5</v>
      </c>
      <c r="Z265" s="233">
        <f t="shared" si="115"/>
        <v>4599998</v>
      </c>
      <c r="AA265" s="208"/>
      <c r="AB265" s="233"/>
      <c r="AC265" s="233">
        <f t="shared" si="118"/>
        <v>4599998</v>
      </c>
      <c r="AD265" s="233">
        <f t="shared" si="119"/>
        <v>4599998</v>
      </c>
      <c r="AE265" s="233">
        <f t="shared" si="120"/>
        <v>4599998</v>
      </c>
      <c r="AF265" s="233">
        <f t="shared" si="121"/>
        <v>4599998</v>
      </c>
      <c r="AG265" s="238">
        <f t="shared" si="122"/>
        <v>4599998</v>
      </c>
      <c r="AH265" s="238">
        <f t="shared" si="123"/>
        <v>22999990</v>
      </c>
      <c r="AI265" s="209">
        <f t="shared" si="124"/>
        <v>2014</v>
      </c>
      <c r="AJ265" s="210">
        <f t="shared" si="125"/>
        <v>10</v>
      </c>
    </row>
    <row r="266" spans="1:36" s="48" customFormat="1" ht="30.75" hidden="1" customHeight="1" x14ac:dyDescent="0.2">
      <c r="A266" s="48" t="s">
        <v>2297</v>
      </c>
      <c r="B266" s="73"/>
      <c r="C266" s="40" t="s">
        <v>278</v>
      </c>
      <c r="D266" s="67" t="s">
        <v>282</v>
      </c>
      <c r="E266" s="83" t="s">
        <v>283</v>
      </c>
      <c r="F266" s="72" t="s">
        <v>52</v>
      </c>
      <c r="G266" s="40" t="s">
        <v>284</v>
      </c>
      <c r="H266" s="65" t="s">
        <v>281</v>
      </c>
      <c r="I266" s="33">
        <v>2014</v>
      </c>
      <c r="J266" s="40"/>
      <c r="K266" s="72"/>
      <c r="L266" s="40"/>
      <c r="M266" s="40"/>
      <c r="N266" s="40"/>
      <c r="O266" s="33" t="s">
        <v>12</v>
      </c>
      <c r="P266" s="280">
        <v>15200000</v>
      </c>
      <c r="Q266" s="61"/>
      <c r="U266" s="269">
        <f>P266/2</f>
        <v>7600000</v>
      </c>
      <c r="W266" s="206" t="str">
        <f t="shared" si="112"/>
        <v>2.06.02</v>
      </c>
      <c r="X266" s="207" t="str">
        <f t="shared" si="113"/>
        <v>ALAT RUMAH TANGGA</v>
      </c>
      <c r="Y266" s="207">
        <f t="shared" si="114"/>
        <v>5</v>
      </c>
      <c r="Z266" s="233">
        <f t="shared" si="115"/>
        <v>3039998</v>
      </c>
      <c r="AA266" s="208"/>
      <c r="AB266" s="233"/>
      <c r="AC266" s="233">
        <f t="shared" si="118"/>
        <v>3039998</v>
      </c>
      <c r="AD266" s="233">
        <f t="shared" si="119"/>
        <v>3039998</v>
      </c>
      <c r="AE266" s="233">
        <f t="shared" si="120"/>
        <v>3039998</v>
      </c>
      <c r="AF266" s="233">
        <f t="shared" si="121"/>
        <v>3039998</v>
      </c>
      <c r="AG266" s="238">
        <f t="shared" si="122"/>
        <v>3039998</v>
      </c>
      <c r="AH266" s="238">
        <f t="shared" si="123"/>
        <v>15199990</v>
      </c>
      <c r="AI266" s="209">
        <f t="shared" si="124"/>
        <v>2014</v>
      </c>
      <c r="AJ266" s="210">
        <f t="shared" si="125"/>
        <v>10</v>
      </c>
    </row>
    <row r="267" spans="1:36" s="48" customFormat="1" ht="30.75" hidden="1" customHeight="1" x14ac:dyDescent="0.2">
      <c r="A267" s="48" t="s">
        <v>2297</v>
      </c>
      <c r="B267" s="73"/>
      <c r="C267" s="40" t="s">
        <v>285</v>
      </c>
      <c r="D267" s="67" t="s">
        <v>967</v>
      </c>
      <c r="E267" s="83" t="s">
        <v>277</v>
      </c>
      <c r="F267" s="72" t="s">
        <v>52</v>
      </c>
      <c r="G267" s="40" t="s">
        <v>2278</v>
      </c>
      <c r="H267" s="65" t="s">
        <v>281</v>
      </c>
      <c r="I267" s="33">
        <v>2014</v>
      </c>
      <c r="J267" s="40"/>
      <c r="K267" s="72"/>
      <c r="L267" s="40"/>
      <c r="M267" s="40"/>
      <c r="N267" s="40"/>
      <c r="O267" s="33" t="s">
        <v>12</v>
      </c>
      <c r="P267" s="280">
        <v>24500000</v>
      </c>
      <c r="Q267" s="61"/>
      <c r="U267" s="269">
        <f>P267/1</f>
        <v>24500000</v>
      </c>
      <c r="W267" s="206" t="str">
        <f t="shared" si="112"/>
        <v>2.06.02</v>
      </c>
      <c r="X267" s="207" t="str">
        <f t="shared" si="113"/>
        <v>ALAT RUMAH TANGGA</v>
      </c>
      <c r="Y267" s="207">
        <f t="shared" si="114"/>
        <v>5</v>
      </c>
      <c r="Z267" s="233">
        <f t="shared" si="115"/>
        <v>4899998</v>
      </c>
      <c r="AA267" s="208"/>
      <c r="AB267" s="233"/>
      <c r="AC267" s="233">
        <f t="shared" si="118"/>
        <v>4899998</v>
      </c>
      <c r="AD267" s="233">
        <f t="shared" si="119"/>
        <v>4899998</v>
      </c>
      <c r="AE267" s="233">
        <f t="shared" si="120"/>
        <v>4899998</v>
      </c>
      <c r="AF267" s="233">
        <f t="shared" si="121"/>
        <v>4899998</v>
      </c>
      <c r="AG267" s="238">
        <f t="shared" si="122"/>
        <v>4899998</v>
      </c>
      <c r="AH267" s="238">
        <f t="shared" si="123"/>
        <v>24499990</v>
      </c>
      <c r="AI267" s="209">
        <f t="shared" si="124"/>
        <v>2014</v>
      </c>
      <c r="AJ267" s="210">
        <f t="shared" si="125"/>
        <v>10</v>
      </c>
    </row>
    <row r="268" spans="1:36" s="48" customFormat="1" ht="30.75" hidden="1" customHeight="1" x14ac:dyDescent="0.2">
      <c r="A268" s="48" t="s">
        <v>2297</v>
      </c>
      <c r="B268" s="73"/>
      <c r="C268" s="40" t="s">
        <v>286</v>
      </c>
      <c r="D268" s="67" t="s">
        <v>968</v>
      </c>
      <c r="E268" s="83" t="s">
        <v>277</v>
      </c>
      <c r="F268" s="72" t="s">
        <v>52</v>
      </c>
      <c r="G268" s="40" t="s">
        <v>287</v>
      </c>
      <c r="H268" s="65" t="s">
        <v>281</v>
      </c>
      <c r="I268" s="33">
        <v>2014</v>
      </c>
      <c r="J268" s="40"/>
      <c r="K268" s="72"/>
      <c r="L268" s="40"/>
      <c r="M268" s="40"/>
      <c r="N268" s="40"/>
      <c r="O268" s="33" t="s">
        <v>12</v>
      </c>
      <c r="P268" s="280">
        <v>49700000</v>
      </c>
      <c r="Q268" s="61"/>
      <c r="U268" s="269">
        <f>P268/1</f>
        <v>49700000</v>
      </c>
      <c r="W268" s="206" t="str">
        <f t="shared" si="112"/>
        <v>2.06.02</v>
      </c>
      <c r="X268" s="207" t="str">
        <f t="shared" si="113"/>
        <v>ALAT RUMAH TANGGA</v>
      </c>
      <c r="Y268" s="207">
        <f t="shared" si="114"/>
        <v>5</v>
      </c>
      <c r="Z268" s="233">
        <f t="shared" si="115"/>
        <v>9939998</v>
      </c>
      <c r="AA268" s="208"/>
      <c r="AB268" s="233"/>
      <c r="AC268" s="233">
        <f t="shared" si="118"/>
        <v>9939998</v>
      </c>
      <c r="AD268" s="233">
        <f t="shared" si="119"/>
        <v>9939998</v>
      </c>
      <c r="AE268" s="233">
        <f t="shared" si="120"/>
        <v>9939998</v>
      </c>
      <c r="AF268" s="233">
        <f t="shared" si="121"/>
        <v>9939998</v>
      </c>
      <c r="AG268" s="238">
        <f t="shared" si="122"/>
        <v>9939998</v>
      </c>
      <c r="AH268" s="238">
        <f t="shared" si="123"/>
        <v>49699990</v>
      </c>
      <c r="AI268" s="209">
        <f t="shared" si="124"/>
        <v>2014</v>
      </c>
      <c r="AJ268" s="210">
        <f t="shared" si="125"/>
        <v>10</v>
      </c>
    </row>
    <row r="269" spans="1:36" s="48" customFormat="1" ht="30.75" hidden="1" customHeight="1" x14ac:dyDescent="0.2">
      <c r="A269" s="48" t="s">
        <v>2297</v>
      </c>
      <c r="B269" s="73"/>
      <c r="C269" s="40" t="s">
        <v>288</v>
      </c>
      <c r="D269" s="67" t="s">
        <v>969</v>
      </c>
      <c r="E269" s="83" t="s">
        <v>277</v>
      </c>
      <c r="F269" s="72" t="s">
        <v>52</v>
      </c>
      <c r="G269" s="40"/>
      <c r="H269" s="65" t="s">
        <v>289</v>
      </c>
      <c r="I269" s="33">
        <v>2014</v>
      </c>
      <c r="J269" s="40"/>
      <c r="K269" s="72"/>
      <c r="L269" s="40"/>
      <c r="M269" s="40"/>
      <c r="N269" s="40"/>
      <c r="O269" s="33" t="s">
        <v>12</v>
      </c>
      <c r="P269" s="280">
        <v>6000000</v>
      </c>
      <c r="Q269" s="61"/>
      <c r="U269" s="269">
        <f>P269/1</f>
        <v>6000000</v>
      </c>
      <c r="W269" s="206" t="str">
        <f t="shared" si="112"/>
        <v>2.06.02</v>
      </c>
      <c r="X269" s="207" t="str">
        <f t="shared" si="113"/>
        <v>ALAT RUMAH TANGGA</v>
      </c>
      <c r="Y269" s="207">
        <f t="shared" si="114"/>
        <v>5</v>
      </c>
      <c r="Z269" s="233">
        <f t="shared" si="115"/>
        <v>1199998</v>
      </c>
      <c r="AA269" s="208"/>
      <c r="AB269" s="233"/>
      <c r="AC269" s="233">
        <f t="shared" si="118"/>
        <v>1199998</v>
      </c>
      <c r="AD269" s="233">
        <f t="shared" si="119"/>
        <v>1199998</v>
      </c>
      <c r="AE269" s="233">
        <f t="shared" si="120"/>
        <v>1199998</v>
      </c>
      <c r="AF269" s="233">
        <f t="shared" si="121"/>
        <v>1199998</v>
      </c>
      <c r="AG269" s="238">
        <f t="shared" si="122"/>
        <v>1199998</v>
      </c>
      <c r="AH269" s="238">
        <f t="shared" si="123"/>
        <v>5999990</v>
      </c>
      <c r="AI269" s="209">
        <f t="shared" si="124"/>
        <v>2014</v>
      </c>
      <c r="AJ269" s="210">
        <f t="shared" si="125"/>
        <v>10</v>
      </c>
    </row>
    <row r="270" spans="1:36" s="48" customFormat="1" ht="30.75" hidden="1" customHeight="1" x14ac:dyDescent="0.2">
      <c r="A270" s="48" t="s">
        <v>2297</v>
      </c>
      <c r="B270" s="73"/>
      <c r="C270" s="40" t="s">
        <v>290</v>
      </c>
      <c r="D270" s="67" t="s">
        <v>958</v>
      </c>
      <c r="E270" s="83" t="s">
        <v>291</v>
      </c>
      <c r="F270" s="72" t="s">
        <v>52</v>
      </c>
      <c r="G270" s="40"/>
      <c r="H270" s="65" t="s">
        <v>289</v>
      </c>
      <c r="I270" s="33">
        <v>2014</v>
      </c>
      <c r="J270" s="40"/>
      <c r="K270" s="72"/>
      <c r="L270" s="40"/>
      <c r="M270" s="40"/>
      <c r="N270" s="40"/>
      <c r="O270" s="33" t="s">
        <v>12</v>
      </c>
      <c r="P270" s="280">
        <v>15000000</v>
      </c>
      <c r="Q270" s="61"/>
      <c r="U270" s="269">
        <f>P270/3</f>
        <v>5000000</v>
      </c>
      <c r="W270" s="206" t="str">
        <f t="shared" si="112"/>
        <v>2.06.02</v>
      </c>
      <c r="X270" s="207" t="str">
        <f t="shared" si="113"/>
        <v>ALAT RUMAH TANGGA</v>
      </c>
      <c r="Y270" s="207">
        <f t="shared" si="114"/>
        <v>5</v>
      </c>
      <c r="Z270" s="233">
        <f t="shared" si="115"/>
        <v>2999998</v>
      </c>
      <c r="AA270" s="208"/>
      <c r="AB270" s="233"/>
      <c r="AC270" s="233">
        <f t="shared" si="118"/>
        <v>2999998</v>
      </c>
      <c r="AD270" s="233">
        <f t="shared" si="119"/>
        <v>2999998</v>
      </c>
      <c r="AE270" s="233">
        <f t="shared" si="120"/>
        <v>2999998</v>
      </c>
      <c r="AF270" s="233">
        <f t="shared" si="121"/>
        <v>2999998</v>
      </c>
      <c r="AG270" s="238">
        <f t="shared" si="122"/>
        <v>2999998</v>
      </c>
      <c r="AH270" s="238">
        <f t="shared" si="123"/>
        <v>14999990</v>
      </c>
      <c r="AI270" s="209">
        <f t="shared" si="124"/>
        <v>2014</v>
      </c>
      <c r="AJ270" s="210">
        <f t="shared" si="125"/>
        <v>10</v>
      </c>
    </row>
    <row r="271" spans="1:36" s="48" customFormat="1" ht="30.75" hidden="1" customHeight="1" x14ac:dyDescent="0.2">
      <c r="A271" s="48" t="s">
        <v>2297</v>
      </c>
      <c r="B271" s="73"/>
      <c r="C271" s="40" t="s">
        <v>292</v>
      </c>
      <c r="D271" s="67" t="s">
        <v>970</v>
      </c>
      <c r="E271" s="83" t="s">
        <v>277</v>
      </c>
      <c r="F271" s="72" t="s">
        <v>52</v>
      </c>
      <c r="G271" s="40"/>
      <c r="H271" s="65" t="s">
        <v>281</v>
      </c>
      <c r="I271" s="33">
        <v>2014</v>
      </c>
      <c r="J271" s="40"/>
      <c r="K271" s="72"/>
      <c r="L271" s="40"/>
      <c r="M271" s="40"/>
      <c r="N271" s="40"/>
      <c r="O271" s="33" t="s">
        <v>12</v>
      </c>
      <c r="P271" s="280">
        <v>4000000</v>
      </c>
      <c r="Q271" s="61"/>
      <c r="U271" s="269">
        <f>P271/1</f>
        <v>4000000</v>
      </c>
      <c r="W271" s="206" t="str">
        <f t="shared" si="112"/>
        <v>2.06.02</v>
      </c>
      <c r="X271" s="207" t="str">
        <f t="shared" si="113"/>
        <v>ALAT RUMAH TANGGA</v>
      </c>
      <c r="Y271" s="207">
        <f t="shared" si="114"/>
        <v>5</v>
      </c>
      <c r="Z271" s="233">
        <f t="shared" si="115"/>
        <v>799998</v>
      </c>
      <c r="AA271" s="208"/>
      <c r="AB271" s="233"/>
      <c r="AC271" s="233">
        <f t="shared" si="118"/>
        <v>799998</v>
      </c>
      <c r="AD271" s="233">
        <f t="shared" si="119"/>
        <v>799998</v>
      </c>
      <c r="AE271" s="233">
        <f t="shared" si="120"/>
        <v>799998</v>
      </c>
      <c r="AF271" s="233">
        <f t="shared" si="121"/>
        <v>799998</v>
      </c>
      <c r="AG271" s="238">
        <f t="shared" si="122"/>
        <v>799998</v>
      </c>
      <c r="AH271" s="238">
        <f t="shared" si="123"/>
        <v>3999990</v>
      </c>
      <c r="AI271" s="209">
        <f t="shared" si="124"/>
        <v>2014</v>
      </c>
      <c r="AJ271" s="210">
        <f t="shared" si="125"/>
        <v>10</v>
      </c>
    </row>
    <row r="272" spans="1:36" s="48" customFormat="1" ht="30.75" hidden="1" customHeight="1" x14ac:dyDescent="0.2">
      <c r="A272" s="48" t="s">
        <v>2297</v>
      </c>
      <c r="B272" s="73"/>
      <c r="C272" s="40" t="s">
        <v>293</v>
      </c>
      <c r="D272" s="67" t="s">
        <v>209</v>
      </c>
      <c r="E272" s="83" t="s">
        <v>291</v>
      </c>
      <c r="F272" s="72" t="s">
        <v>294</v>
      </c>
      <c r="G272" s="40"/>
      <c r="H272" s="65" t="s">
        <v>281</v>
      </c>
      <c r="I272" s="33">
        <v>2014</v>
      </c>
      <c r="J272" s="40"/>
      <c r="K272" s="72"/>
      <c r="L272" s="40"/>
      <c r="M272" s="40"/>
      <c r="N272" s="40"/>
      <c r="O272" s="33" t="s">
        <v>12</v>
      </c>
      <c r="P272" s="280">
        <v>8100000</v>
      </c>
      <c r="Q272" s="61"/>
      <c r="U272" s="269">
        <f>P272/3</f>
        <v>2700000</v>
      </c>
      <c r="W272" s="206" t="str">
        <f t="shared" si="112"/>
        <v>2.06.02</v>
      </c>
      <c r="X272" s="207" t="str">
        <f t="shared" si="113"/>
        <v>ALAT RUMAH TANGGA</v>
      </c>
      <c r="Y272" s="207">
        <f t="shared" si="114"/>
        <v>5</v>
      </c>
      <c r="Z272" s="233">
        <f t="shared" si="115"/>
        <v>1619998</v>
      </c>
      <c r="AA272" s="208"/>
      <c r="AB272" s="233"/>
      <c r="AC272" s="233">
        <f t="shared" si="118"/>
        <v>1619998</v>
      </c>
      <c r="AD272" s="233">
        <f t="shared" si="119"/>
        <v>1619998</v>
      </c>
      <c r="AE272" s="233">
        <f t="shared" si="120"/>
        <v>1619998</v>
      </c>
      <c r="AF272" s="233">
        <f t="shared" si="121"/>
        <v>1619998</v>
      </c>
      <c r="AG272" s="238">
        <f t="shared" si="122"/>
        <v>1619998</v>
      </c>
      <c r="AH272" s="238">
        <f t="shared" si="123"/>
        <v>8099990</v>
      </c>
      <c r="AI272" s="209">
        <f t="shared" si="124"/>
        <v>2014</v>
      </c>
      <c r="AJ272" s="210">
        <f t="shared" si="125"/>
        <v>10</v>
      </c>
    </row>
    <row r="273" spans="1:36" s="48" customFormat="1" ht="30.75" hidden="1" customHeight="1" x14ac:dyDescent="0.2">
      <c r="A273" s="48" t="s">
        <v>2296</v>
      </c>
      <c r="B273" s="73"/>
      <c r="C273" s="40" t="s">
        <v>295</v>
      </c>
      <c r="D273" s="67" t="s">
        <v>296</v>
      </c>
      <c r="E273" s="83" t="s">
        <v>283</v>
      </c>
      <c r="F273" s="72" t="s">
        <v>52</v>
      </c>
      <c r="G273" s="40" t="s">
        <v>297</v>
      </c>
      <c r="H273" s="65" t="s">
        <v>281</v>
      </c>
      <c r="I273" s="33">
        <v>2014</v>
      </c>
      <c r="J273" s="40"/>
      <c r="K273" s="72"/>
      <c r="L273" s="40"/>
      <c r="M273" s="40"/>
      <c r="N273" s="40"/>
      <c r="O273" s="33" t="s">
        <v>12</v>
      </c>
      <c r="P273" s="280">
        <v>62260000</v>
      </c>
      <c r="Q273" s="61"/>
      <c r="U273" s="269">
        <f>P273/2</f>
        <v>31130000</v>
      </c>
      <c r="W273" s="206" t="str">
        <f t="shared" si="112"/>
        <v>2.06.03</v>
      </c>
      <c r="X273" s="207" t="str">
        <f t="shared" si="113"/>
        <v>KOMPUTER</v>
      </c>
      <c r="Y273" s="207">
        <f t="shared" si="114"/>
        <v>4</v>
      </c>
      <c r="Z273" s="233">
        <f t="shared" si="115"/>
        <v>15564997.5</v>
      </c>
      <c r="AA273" s="208"/>
      <c r="AB273" s="233"/>
      <c r="AC273" s="233">
        <f t="shared" si="118"/>
        <v>15564997.5</v>
      </c>
      <c r="AD273" s="233">
        <f t="shared" si="119"/>
        <v>15564997.5</v>
      </c>
      <c r="AE273" s="233">
        <f t="shared" si="120"/>
        <v>15564997.5</v>
      </c>
      <c r="AF273" s="233">
        <f t="shared" si="121"/>
        <v>15564997.5</v>
      </c>
      <c r="AG273" s="238">
        <f t="shared" si="122"/>
        <v>0</v>
      </c>
      <c r="AH273" s="238">
        <f t="shared" si="123"/>
        <v>62259990</v>
      </c>
      <c r="AI273" s="209">
        <f t="shared" si="124"/>
        <v>2014</v>
      </c>
      <c r="AJ273" s="210">
        <f t="shared" si="125"/>
        <v>10</v>
      </c>
    </row>
    <row r="274" spans="1:36" s="48" customFormat="1" ht="30.75" hidden="1" customHeight="1" x14ac:dyDescent="0.2">
      <c r="A274" s="48" t="s">
        <v>2296</v>
      </c>
      <c r="B274" s="73"/>
      <c r="C274" s="40" t="s">
        <v>298</v>
      </c>
      <c r="D274" s="67" t="s">
        <v>230</v>
      </c>
      <c r="E274" s="83" t="s">
        <v>279</v>
      </c>
      <c r="F274" s="72" t="s">
        <v>52</v>
      </c>
      <c r="G274" s="40"/>
      <c r="H274" s="65" t="s">
        <v>281</v>
      </c>
      <c r="I274" s="33">
        <v>2014</v>
      </c>
      <c r="J274" s="40"/>
      <c r="K274" s="72"/>
      <c r="L274" s="40"/>
      <c r="M274" s="40"/>
      <c r="N274" s="40"/>
      <c r="O274" s="33" t="s">
        <v>12</v>
      </c>
      <c r="P274" s="280">
        <v>74525000</v>
      </c>
      <c r="Q274" s="61"/>
      <c r="U274" s="269">
        <f>P274/5</f>
        <v>14905000</v>
      </c>
      <c r="W274" s="206" t="str">
        <f t="shared" si="112"/>
        <v>2.06.03</v>
      </c>
      <c r="X274" s="207" t="str">
        <f t="shared" si="113"/>
        <v>KOMPUTER</v>
      </c>
      <c r="Y274" s="207">
        <f t="shared" si="114"/>
        <v>4</v>
      </c>
      <c r="Z274" s="233">
        <f t="shared" si="115"/>
        <v>18631247.5</v>
      </c>
      <c r="AA274" s="208"/>
      <c r="AB274" s="233"/>
      <c r="AC274" s="233">
        <f t="shared" si="118"/>
        <v>18631247.5</v>
      </c>
      <c r="AD274" s="233">
        <f t="shared" si="119"/>
        <v>18631247.5</v>
      </c>
      <c r="AE274" s="233">
        <f t="shared" si="120"/>
        <v>18631247.5</v>
      </c>
      <c r="AF274" s="233">
        <f t="shared" si="121"/>
        <v>18631247.5</v>
      </c>
      <c r="AG274" s="238">
        <f t="shared" si="122"/>
        <v>0</v>
      </c>
      <c r="AH274" s="238">
        <f t="shared" si="123"/>
        <v>74524990</v>
      </c>
      <c r="AI274" s="209">
        <f t="shared" si="124"/>
        <v>2014</v>
      </c>
      <c r="AJ274" s="210">
        <f t="shared" si="125"/>
        <v>10</v>
      </c>
    </row>
    <row r="275" spans="1:36" s="48" customFormat="1" ht="30.75" hidden="1" customHeight="1" x14ac:dyDescent="0.2">
      <c r="A275" s="48" t="s">
        <v>2296</v>
      </c>
      <c r="B275" s="73"/>
      <c r="C275" s="40" t="s">
        <v>299</v>
      </c>
      <c r="D275" s="67" t="s">
        <v>183</v>
      </c>
      <c r="E275" s="83" t="s">
        <v>283</v>
      </c>
      <c r="F275" s="72" t="s">
        <v>195</v>
      </c>
      <c r="G275" s="40"/>
      <c r="H275" s="65" t="s">
        <v>281</v>
      </c>
      <c r="I275" s="33">
        <v>2014</v>
      </c>
      <c r="J275" s="40"/>
      <c r="K275" s="72"/>
      <c r="L275" s="40"/>
      <c r="M275" s="40"/>
      <c r="N275" s="40"/>
      <c r="O275" s="33" t="s">
        <v>12</v>
      </c>
      <c r="P275" s="280">
        <v>3000000</v>
      </c>
      <c r="Q275" s="61"/>
      <c r="U275" s="269">
        <f>P275/2</f>
        <v>1500000</v>
      </c>
      <c r="W275" s="206" t="str">
        <f t="shared" si="112"/>
        <v>2.06.03</v>
      </c>
      <c r="X275" s="207" t="str">
        <f t="shared" si="113"/>
        <v>KOMPUTER</v>
      </c>
      <c r="Y275" s="207">
        <f t="shared" si="114"/>
        <v>4</v>
      </c>
      <c r="Z275" s="233">
        <f t="shared" si="115"/>
        <v>749997.5</v>
      </c>
      <c r="AA275" s="208"/>
      <c r="AB275" s="233"/>
      <c r="AC275" s="233">
        <f t="shared" si="118"/>
        <v>749997.5</v>
      </c>
      <c r="AD275" s="233">
        <f t="shared" si="119"/>
        <v>749997.5</v>
      </c>
      <c r="AE275" s="233">
        <f t="shared" si="120"/>
        <v>749997.5</v>
      </c>
      <c r="AF275" s="233">
        <f t="shared" si="121"/>
        <v>749997.5</v>
      </c>
      <c r="AG275" s="238">
        <f t="shared" si="122"/>
        <v>0</v>
      </c>
      <c r="AH275" s="238">
        <f t="shared" si="123"/>
        <v>2999990</v>
      </c>
      <c r="AI275" s="209">
        <f t="shared" si="124"/>
        <v>2014</v>
      </c>
      <c r="AJ275" s="210">
        <f t="shared" si="125"/>
        <v>10</v>
      </c>
    </row>
    <row r="276" spans="1:36" s="48" customFormat="1" ht="30.75" hidden="1" customHeight="1" x14ac:dyDescent="0.2">
      <c r="A276" s="48" t="s">
        <v>2296</v>
      </c>
      <c r="B276" s="73"/>
      <c r="C276" s="40" t="s">
        <v>299</v>
      </c>
      <c r="D276" s="67" t="s">
        <v>183</v>
      </c>
      <c r="E276" s="83" t="s">
        <v>277</v>
      </c>
      <c r="F276" s="65" t="s">
        <v>300</v>
      </c>
      <c r="G276" s="40" t="s">
        <v>301</v>
      </c>
      <c r="H276" s="65" t="s">
        <v>281</v>
      </c>
      <c r="I276" s="33">
        <v>2014</v>
      </c>
      <c r="J276" s="40"/>
      <c r="K276" s="72"/>
      <c r="L276" s="40"/>
      <c r="M276" s="40"/>
      <c r="N276" s="40"/>
      <c r="O276" s="33" t="s">
        <v>12</v>
      </c>
      <c r="P276" s="280">
        <v>5000000</v>
      </c>
      <c r="Q276" s="61"/>
      <c r="U276" s="269">
        <f>P276/1</f>
        <v>5000000</v>
      </c>
      <c r="W276" s="206" t="str">
        <f t="shared" si="112"/>
        <v>2.06.03</v>
      </c>
      <c r="X276" s="207" t="str">
        <f t="shared" si="113"/>
        <v>KOMPUTER</v>
      </c>
      <c r="Y276" s="207">
        <f t="shared" si="114"/>
        <v>4</v>
      </c>
      <c r="Z276" s="233">
        <f t="shared" si="115"/>
        <v>1249997.5</v>
      </c>
      <c r="AA276" s="208"/>
      <c r="AB276" s="233"/>
      <c r="AC276" s="233">
        <f t="shared" si="118"/>
        <v>1249997.5</v>
      </c>
      <c r="AD276" s="233">
        <f t="shared" si="119"/>
        <v>1249997.5</v>
      </c>
      <c r="AE276" s="233">
        <f t="shared" si="120"/>
        <v>1249997.5</v>
      </c>
      <c r="AF276" s="233">
        <f t="shared" si="121"/>
        <v>1249997.5</v>
      </c>
      <c r="AG276" s="238">
        <f t="shared" si="122"/>
        <v>0</v>
      </c>
      <c r="AH276" s="238">
        <f t="shared" si="123"/>
        <v>4999990</v>
      </c>
      <c r="AI276" s="209">
        <f t="shared" si="124"/>
        <v>2014</v>
      </c>
      <c r="AJ276" s="210">
        <f t="shared" si="125"/>
        <v>10</v>
      </c>
    </row>
    <row r="277" spans="1:36" s="48" customFormat="1" ht="30.75" hidden="1" customHeight="1" x14ac:dyDescent="0.2">
      <c r="A277" s="48" t="s">
        <v>2296</v>
      </c>
      <c r="B277" s="73"/>
      <c r="C277" s="40" t="s">
        <v>299</v>
      </c>
      <c r="D277" s="67" t="s">
        <v>183</v>
      </c>
      <c r="E277" s="83" t="s">
        <v>277</v>
      </c>
      <c r="F277" s="72" t="s">
        <v>302</v>
      </c>
      <c r="G277" s="40"/>
      <c r="H277" s="65" t="s">
        <v>281</v>
      </c>
      <c r="I277" s="33">
        <v>2014</v>
      </c>
      <c r="J277" s="40"/>
      <c r="K277" s="72"/>
      <c r="L277" s="40"/>
      <c r="M277" s="40"/>
      <c r="N277" s="40"/>
      <c r="O277" s="33" t="s">
        <v>12</v>
      </c>
      <c r="P277" s="280">
        <v>2000000</v>
      </c>
      <c r="Q277" s="61"/>
      <c r="U277" s="269">
        <f>P277/1</f>
        <v>2000000</v>
      </c>
      <c r="W277" s="206" t="str">
        <f t="shared" si="112"/>
        <v>2.06.03</v>
      </c>
      <c r="X277" s="207" t="str">
        <f t="shared" si="113"/>
        <v>KOMPUTER</v>
      </c>
      <c r="Y277" s="207">
        <f t="shared" si="114"/>
        <v>4</v>
      </c>
      <c r="Z277" s="233">
        <f t="shared" si="115"/>
        <v>499997.5</v>
      </c>
      <c r="AA277" s="208"/>
      <c r="AB277" s="233"/>
      <c r="AC277" s="233">
        <f t="shared" si="118"/>
        <v>499997.5</v>
      </c>
      <c r="AD277" s="233">
        <f t="shared" si="119"/>
        <v>499997.5</v>
      </c>
      <c r="AE277" s="233">
        <f t="shared" si="120"/>
        <v>499997.5</v>
      </c>
      <c r="AF277" s="233">
        <f t="shared" si="121"/>
        <v>499997.5</v>
      </c>
      <c r="AG277" s="238">
        <f t="shared" si="122"/>
        <v>0</v>
      </c>
      <c r="AH277" s="238">
        <f t="shared" si="123"/>
        <v>1999990</v>
      </c>
      <c r="AI277" s="209">
        <f t="shared" si="124"/>
        <v>2014</v>
      </c>
      <c r="AJ277" s="210">
        <f t="shared" si="125"/>
        <v>10</v>
      </c>
    </row>
    <row r="278" spans="1:36" s="48" customFormat="1" ht="30.75" hidden="1" customHeight="1" x14ac:dyDescent="0.2">
      <c r="A278" s="48" t="s">
        <v>2297</v>
      </c>
      <c r="B278" s="73"/>
      <c r="C278" s="40" t="s">
        <v>2322</v>
      </c>
      <c r="D278" s="67" t="s">
        <v>1696</v>
      </c>
      <c r="E278" s="83" t="s">
        <v>1697</v>
      </c>
      <c r="F278" s="72"/>
      <c r="G278" s="40"/>
      <c r="H278" s="65"/>
      <c r="I278" s="33">
        <v>2009</v>
      </c>
      <c r="J278" s="40"/>
      <c r="K278" s="72"/>
      <c r="L278" s="40"/>
      <c r="M278" s="40"/>
      <c r="N278" s="40"/>
      <c r="O278" s="33" t="s">
        <v>12</v>
      </c>
      <c r="P278" s="280">
        <v>6021058.4716146002</v>
      </c>
      <c r="Q278" s="61"/>
      <c r="U278" s="269">
        <f>P278/4</f>
        <v>1505264.61790365</v>
      </c>
      <c r="W278" s="206" t="str">
        <f t="shared" si="112"/>
        <v>2.06.02</v>
      </c>
      <c r="X278" s="207" t="str">
        <f t="shared" si="113"/>
        <v>ALAT RUMAH TANGGA</v>
      </c>
      <c r="Y278" s="207">
        <f t="shared" si="114"/>
        <v>5</v>
      </c>
      <c r="Z278" s="233">
        <f t="shared" si="115"/>
        <v>1204209.6943229199</v>
      </c>
      <c r="AA278" s="208">
        <f t="shared" si="116"/>
        <v>4</v>
      </c>
      <c r="AB278" s="233">
        <f t="shared" si="117"/>
        <v>4816838.7772916798</v>
      </c>
      <c r="AC278" s="233">
        <f t="shared" si="118"/>
        <v>1204209.6943229199</v>
      </c>
      <c r="AD278" s="233">
        <f t="shared" si="119"/>
        <v>0</v>
      </c>
      <c r="AE278" s="233">
        <f t="shared" si="120"/>
        <v>0</v>
      </c>
      <c r="AF278" s="233">
        <f t="shared" si="121"/>
        <v>0</v>
      </c>
      <c r="AG278" s="238">
        <f t="shared" si="122"/>
        <v>0</v>
      </c>
      <c r="AH278" s="238">
        <f t="shared" si="123"/>
        <v>6021048.4716145992</v>
      </c>
      <c r="AI278" s="209">
        <f t="shared" si="124"/>
        <v>2009</v>
      </c>
      <c r="AJ278" s="210">
        <f t="shared" si="125"/>
        <v>10.000000000931323</v>
      </c>
    </row>
    <row r="279" spans="1:36" s="48" customFormat="1" ht="30.75" hidden="1" customHeight="1" x14ac:dyDescent="0.2">
      <c r="A279" s="48" t="s">
        <v>2297</v>
      </c>
      <c r="B279" s="73"/>
      <c r="C279" s="40" t="s">
        <v>2322</v>
      </c>
      <c r="D279" s="67" t="s">
        <v>1696</v>
      </c>
      <c r="E279" s="83" t="s">
        <v>1698</v>
      </c>
      <c r="F279" s="72"/>
      <c r="G279" s="40"/>
      <c r="H279" s="65"/>
      <c r="I279" s="33">
        <v>2009</v>
      </c>
      <c r="J279" s="40"/>
      <c r="K279" s="72"/>
      <c r="L279" s="40"/>
      <c r="M279" s="40"/>
      <c r="N279" s="40"/>
      <c r="O279" s="33" t="s">
        <v>12</v>
      </c>
      <c r="P279" s="280">
        <v>3010529.2358073001</v>
      </c>
      <c r="Q279" s="61"/>
      <c r="U279" s="269">
        <f>P279/2</f>
        <v>1505264.61790365</v>
      </c>
      <c r="W279" s="206" t="str">
        <f t="shared" si="112"/>
        <v>2.06.02</v>
      </c>
      <c r="X279" s="207" t="str">
        <f t="shared" si="113"/>
        <v>ALAT RUMAH TANGGA</v>
      </c>
      <c r="Y279" s="207">
        <f t="shared" si="114"/>
        <v>5</v>
      </c>
      <c r="Z279" s="233">
        <f t="shared" si="115"/>
        <v>602103.84716145997</v>
      </c>
      <c r="AA279" s="208">
        <f t="shared" si="116"/>
        <v>4</v>
      </c>
      <c r="AB279" s="233">
        <f t="shared" si="117"/>
        <v>2408415.3886458399</v>
      </c>
      <c r="AC279" s="233">
        <f t="shared" si="118"/>
        <v>602103.84716145997</v>
      </c>
      <c r="AD279" s="233">
        <f t="shared" si="119"/>
        <v>0</v>
      </c>
      <c r="AE279" s="233">
        <f t="shared" si="120"/>
        <v>0</v>
      </c>
      <c r="AF279" s="233">
        <f t="shared" si="121"/>
        <v>0</v>
      </c>
      <c r="AG279" s="238">
        <f t="shared" si="122"/>
        <v>0</v>
      </c>
      <c r="AH279" s="238">
        <f t="shared" si="123"/>
        <v>3010519.2358072996</v>
      </c>
      <c r="AI279" s="209">
        <f t="shared" si="124"/>
        <v>2009</v>
      </c>
      <c r="AJ279" s="210">
        <f t="shared" si="125"/>
        <v>10.000000000465661</v>
      </c>
    </row>
    <row r="280" spans="1:36" s="48" customFormat="1" ht="30.75" hidden="1" customHeight="1" x14ac:dyDescent="0.2">
      <c r="A280" s="48" t="s">
        <v>2297</v>
      </c>
      <c r="B280" s="73"/>
      <c r="C280" s="40" t="s">
        <v>2322</v>
      </c>
      <c r="D280" s="67" t="s">
        <v>1696</v>
      </c>
      <c r="E280" s="83" t="s">
        <v>1699</v>
      </c>
      <c r="F280" s="72"/>
      <c r="G280" s="40"/>
      <c r="H280" s="65"/>
      <c r="I280" s="33">
        <v>2009</v>
      </c>
      <c r="J280" s="40"/>
      <c r="K280" s="72"/>
      <c r="L280" s="40"/>
      <c r="M280" s="40"/>
      <c r="N280" s="40"/>
      <c r="O280" s="33" t="s">
        <v>12</v>
      </c>
      <c r="P280" s="280">
        <v>3010529.2358073001</v>
      </c>
      <c r="Q280" s="61"/>
      <c r="U280" s="269">
        <f>P280/2</f>
        <v>1505264.61790365</v>
      </c>
      <c r="W280" s="206" t="str">
        <f t="shared" si="112"/>
        <v>2.06.02</v>
      </c>
      <c r="X280" s="207" t="str">
        <f t="shared" si="113"/>
        <v>ALAT RUMAH TANGGA</v>
      </c>
      <c r="Y280" s="207">
        <f t="shared" si="114"/>
        <v>5</v>
      </c>
      <c r="Z280" s="233">
        <f t="shared" si="115"/>
        <v>602103.84716145997</v>
      </c>
      <c r="AA280" s="208">
        <f t="shared" si="116"/>
        <v>4</v>
      </c>
      <c r="AB280" s="233">
        <f t="shared" si="117"/>
        <v>2408415.3886458399</v>
      </c>
      <c r="AC280" s="233">
        <f t="shared" si="118"/>
        <v>602103.84716145997</v>
      </c>
      <c r="AD280" s="233">
        <f t="shared" si="119"/>
        <v>0</v>
      </c>
      <c r="AE280" s="233">
        <f t="shared" si="120"/>
        <v>0</v>
      </c>
      <c r="AF280" s="233">
        <f t="shared" si="121"/>
        <v>0</v>
      </c>
      <c r="AG280" s="238">
        <f t="shared" si="122"/>
        <v>0</v>
      </c>
      <c r="AH280" s="238">
        <f t="shared" si="123"/>
        <v>3010519.2358072996</v>
      </c>
      <c r="AI280" s="209">
        <f t="shared" si="124"/>
        <v>2009</v>
      </c>
      <c r="AJ280" s="210">
        <f t="shared" si="125"/>
        <v>10.000000000465661</v>
      </c>
    </row>
    <row r="281" spans="1:36" s="48" customFormat="1" ht="30.75" hidden="1" customHeight="1" x14ac:dyDescent="0.2">
      <c r="A281" s="48" t="s">
        <v>2297</v>
      </c>
      <c r="B281" s="73"/>
      <c r="C281" s="40" t="s">
        <v>2322</v>
      </c>
      <c r="D281" s="67" t="s">
        <v>1696</v>
      </c>
      <c r="E281" s="83" t="s">
        <v>1700</v>
      </c>
      <c r="F281" s="72"/>
      <c r="G281" s="40"/>
      <c r="H281" s="65"/>
      <c r="I281" s="33">
        <v>2009</v>
      </c>
      <c r="J281" s="40"/>
      <c r="K281" s="72"/>
      <c r="L281" s="40"/>
      <c r="M281" s="40"/>
      <c r="N281" s="40"/>
      <c r="O281" s="33" t="s">
        <v>12</v>
      </c>
      <c r="P281" s="280">
        <v>4515793.8537109504</v>
      </c>
      <c r="Q281" s="61"/>
      <c r="U281" s="269">
        <f>P281/3</f>
        <v>1505264.61790365</v>
      </c>
      <c r="W281" s="206" t="str">
        <f t="shared" si="112"/>
        <v>2.06.02</v>
      </c>
      <c r="X281" s="207" t="str">
        <f t="shared" si="113"/>
        <v>ALAT RUMAH TANGGA</v>
      </c>
      <c r="Y281" s="207">
        <f t="shared" si="114"/>
        <v>5</v>
      </c>
      <c r="Z281" s="233">
        <f t="shared" si="115"/>
        <v>903156.77074219007</v>
      </c>
      <c r="AA281" s="208">
        <f t="shared" si="116"/>
        <v>4</v>
      </c>
      <c r="AB281" s="233">
        <f t="shared" si="117"/>
        <v>3612627.0829687603</v>
      </c>
      <c r="AC281" s="233">
        <f t="shared" si="118"/>
        <v>903156.77074219007</v>
      </c>
      <c r="AD281" s="233">
        <f t="shared" si="119"/>
        <v>0</v>
      </c>
      <c r="AE281" s="233">
        <f t="shared" si="120"/>
        <v>0</v>
      </c>
      <c r="AF281" s="233">
        <f t="shared" si="121"/>
        <v>0</v>
      </c>
      <c r="AG281" s="238">
        <f t="shared" si="122"/>
        <v>0</v>
      </c>
      <c r="AH281" s="238">
        <f t="shared" si="123"/>
        <v>4515783.8537109504</v>
      </c>
      <c r="AI281" s="209">
        <f t="shared" si="124"/>
        <v>2009</v>
      </c>
      <c r="AJ281" s="210">
        <f t="shared" si="125"/>
        <v>10</v>
      </c>
    </row>
    <row r="282" spans="1:36" s="48" customFormat="1" ht="30.75" hidden="1" customHeight="1" x14ac:dyDescent="0.2">
      <c r="A282" s="48" t="s">
        <v>2297</v>
      </c>
      <c r="B282" s="73"/>
      <c r="C282" s="40" t="s">
        <v>2322</v>
      </c>
      <c r="D282" s="67" t="s">
        <v>1696</v>
      </c>
      <c r="E282" s="83" t="s">
        <v>1701</v>
      </c>
      <c r="F282" s="72"/>
      <c r="G282" s="40"/>
      <c r="H282" s="65"/>
      <c r="I282" s="33">
        <v>2009</v>
      </c>
      <c r="J282" s="40"/>
      <c r="K282" s="72"/>
      <c r="L282" s="40"/>
      <c r="M282" s="40"/>
      <c r="N282" s="40"/>
      <c r="O282" s="33" t="s">
        <v>12</v>
      </c>
      <c r="P282" s="280">
        <v>1505264.61790365</v>
      </c>
      <c r="Q282" s="61"/>
      <c r="W282" s="206" t="str">
        <f t="shared" si="112"/>
        <v>2.06.02</v>
      </c>
      <c r="X282" s="207" t="str">
        <f t="shared" si="113"/>
        <v>ALAT RUMAH TANGGA</v>
      </c>
      <c r="Y282" s="207">
        <f t="shared" si="114"/>
        <v>5</v>
      </c>
      <c r="Z282" s="233">
        <f t="shared" si="115"/>
        <v>301050.92358072998</v>
      </c>
      <c r="AA282" s="208">
        <f t="shared" si="116"/>
        <v>4</v>
      </c>
      <c r="AB282" s="233">
        <f t="shared" si="117"/>
        <v>1204203.6943229199</v>
      </c>
      <c r="AC282" s="233">
        <f t="shared" si="118"/>
        <v>301050.92358072998</v>
      </c>
      <c r="AD282" s="233">
        <f t="shared" si="119"/>
        <v>0</v>
      </c>
      <c r="AE282" s="233">
        <f t="shared" si="120"/>
        <v>0</v>
      </c>
      <c r="AF282" s="233">
        <f t="shared" si="121"/>
        <v>0</v>
      </c>
      <c r="AG282" s="238">
        <f t="shared" si="122"/>
        <v>0</v>
      </c>
      <c r="AH282" s="238">
        <f t="shared" si="123"/>
        <v>1505254.6179036498</v>
      </c>
      <c r="AI282" s="209">
        <f t="shared" si="124"/>
        <v>2009</v>
      </c>
      <c r="AJ282" s="210">
        <f t="shared" si="125"/>
        <v>10.000000000232831</v>
      </c>
    </row>
    <row r="283" spans="1:36" s="48" customFormat="1" ht="30.75" hidden="1" customHeight="1" x14ac:dyDescent="0.2">
      <c r="A283" s="48" t="s">
        <v>2297</v>
      </c>
      <c r="B283" s="73"/>
      <c r="C283" s="40" t="s">
        <v>2322</v>
      </c>
      <c r="D283" s="67" t="s">
        <v>1696</v>
      </c>
      <c r="E283" s="83" t="s">
        <v>1702</v>
      </c>
      <c r="F283" s="72"/>
      <c r="G283" s="40"/>
      <c r="H283" s="65"/>
      <c r="I283" s="33">
        <v>2009</v>
      </c>
      <c r="J283" s="40"/>
      <c r="K283" s="72"/>
      <c r="L283" s="40"/>
      <c r="M283" s="40"/>
      <c r="N283" s="40"/>
      <c r="O283" s="33" t="s">
        <v>12</v>
      </c>
      <c r="P283" s="280">
        <v>4515793.8537109504</v>
      </c>
      <c r="Q283" s="61"/>
      <c r="U283" s="269">
        <f>P283/3</f>
        <v>1505264.61790365</v>
      </c>
      <c r="W283" s="206" t="str">
        <f t="shared" si="112"/>
        <v>2.06.02</v>
      </c>
      <c r="X283" s="207" t="str">
        <f t="shared" si="113"/>
        <v>ALAT RUMAH TANGGA</v>
      </c>
      <c r="Y283" s="207">
        <f t="shared" si="114"/>
        <v>5</v>
      </c>
      <c r="Z283" s="233">
        <f t="shared" si="115"/>
        <v>903156.77074219007</v>
      </c>
      <c r="AA283" s="208">
        <f t="shared" si="116"/>
        <v>4</v>
      </c>
      <c r="AB283" s="233">
        <f t="shared" si="117"/>
        <v>3612627.0829687603</v>
      </c>
      <c r="AC283" s="233">
        <f t="shared" si="118"/>
        <v>903156.77074219007</v>
      </c>
      <c r="AD283" s="233">
        <f t="shared" si="119"/>
        <v>0</v>
      </c>
      <c r="AE283" s="233">
        <f t="shared" si="120"/>
        <v>0</v>
      </c>
      <c r="AF283" s="233">
        <f t="shared" si="121"/>
        <v>0</v>
      </c>
      <c r="AG283" s="238">
        <f t="shared" si="122"/>
        <v>0</v>
      </c>
      <c r="AH283" s="238">
        <f t="shared" si="123"/>
        <v>4515783.8537109504</v>
      </c>
      <c r="AI283" s="209">
        <f t="shared" si="124"/>
        <v>2009</v>
      </c>
      <c r="AJ283" s="210">
        <f t="shared" si="125"/>
        <v>10</v>
      </c>
    </row>
    <row r="284" spans="1:36" s="48" customFormat="1" ht="30.75" hidden="1" customHeight="1" x14ac:dyDescent="0.2">
      <c r="A284" s="48" t="s">
        <v>2297</v>
      </c>
      <c r="B284" s="73"/>
      <c r="C284" s="40" t="s">
        <v>2322</v>
      </c>
      <c r="D284" s="67" t="s">
        <v>1696</v>
      </c>
      <c r="E284" s="83" t="s">
        <v>1703</v>
      </c>
      <c r="F284" s="72"/>
      <c r="G284" s="40"/>
      <c r="H284" s="65"/>
      <c r="I284" s="33">
        <v>2009</v>
      </c>
      <c r="J284" s="40"/>
      <c r="K284" s="72"/>
      <c r="L284" s="40"/>
      <c r="M284" s="40"/>
      <c r="N284" s="40"/>
      <c r="O284" s="33" t="s">
        <v>12</v>
      </c>
      <c r="P284" s="280">
        <v>21073704.650651101</v>
      </c>
      <c r="Q284" s="61"/>
      <c r="U284" s="269">
        <f>P284/14</f>
        <v>1505264.61790365</v>
      </c>
      <c r="W284" s="206" t="str">
        <f t="shared" si="112"/>
        <v>2.06.02</v>
      </c>
      <c r="X284" s="207" t="str">
        <f t="shared" si="113"/>
        <v>ALAT RUMAH TANGGA</v>
      </c>
      <c r="Y284" s="207">
        <f t="shared" si="114"/>
        <v>5</v>
      </c>
      <c r="Z284" s="233">
        <f t="shared" si="115"/>
        <v>4214738.93013022</v>
      </c>
      <c r="AA284" s="208">
        <f t="shared" si="116"/>
        <v>4</v>
      </c>
      <c r="AB284" s="233">
        <f t="shared" si="117"/>
        <v>16858955.72052088</v>
      </c>
      <c r="AC284" s="233">
        <f t="shared" si="118"/>
        <v>4214738.93013022</v>
      </c>
      <c r="AD284" s="233">
        <f t="shared" si="119"/>
        <v>0</v>
      </c>
      <c r="AE284" s="233">
        <f t="shared" si="120"/>
        <v>0</v>
      </c>
      <c r="AF284" s="233">
        <f t="shared" si="121"/>
        <v>0</v>
      </c>
      <c r="AG284" s="238">
        <f t="shared" si="122"/>
        <v>0</v>
      </c>
      <c r="AH284" s="238">
        <f t="shared" si="123"/>
        <v>21073694.650651101</v>
      </c>
      <c r="AI284" s="209">
        <f t="shared" si="124"/>
        <v>2009</v>
      </c>
      <c r="AJ284" s="210">
        <f t="shared" si="125"/>
        <v>10</v>
      </c>
    </row>
    <row r="285" spans="1:36" s="48" customFormat="1" ht="30.75" hidden="1" customHeight="1" x14ac:dyDescent="0.2">
      <c r="A285" s="48" t="s">
        <v>2297</v>
      </c>
      <c r="B285" s="73"/>
      <c r="C285" s="40" t="s">
        <v>2323</v>
      </c>
      <c r="D285" s="67" t="s">
        <v>1704</v>
      </c>
      <c r="E285" s="83" t="s">
        <v>1705</v>
      </c>
      <c r="F285" s="72"/>
      <c r="G285" s="40"/>
      <c r="H285" s="65"/>
      <c r="I285" s="33">
        <v>2009</v>
      </c>
      <c r="J285" s="40"/>
      <c r="K285" s="72"/>
      <c r="L285" s="40"/>
      <c r="M285" s="40"/>
      <c r="N285" s="40"/>
      <c r="O285" s="33" t="s">
        <v>12</v>
      </c>
      <c r="P285" s="280">
        <v>14968181.25</v>
      </c>
      <c r="Q285" s="61"/>
      <c r="U285" s="269">
        <f>P285/3</f>
        <v>4989393.75</v>
      </c>
      <c r="W285" s="206" t="str">
        <f t="shared" si="112"/>
        <v>2.06.02</v>
      </c>
      <c r="X285" s="207" t="str">
        <f t="shared" si="113"/>
        <v>ALAT RUMAH TANGGA</v>
      </c>
      <c r="Y285" s="207">
        <f t="shared" si="114"/>
        <v>5</v>
      </c>
      <c r="Z285" s="233">
        <f t="shared" si="115"/>
        <v>2993634.25</v>
      </c>
      <c r="AA285" s="208">
        <f t="shared" si="116"/>
        <v>4</v>
      </c>
      <c r="AB285" s="233">
        <f t="shared" si="117"/>
        <v>11974537</v>
      </c>
      <c r="AC285" s="233">
        <f t="shared" si="118"/>
        <v>2993634.25</v>
      </c>
      <c r="AD285" s="233">
        <f t="shared" si="119"/>
        <v>0</v>
      </c>
      <c r="AE285" s="233">
        <f t="shared" si="120"/>
        <v>0</v>
      </c>
      <c r="AF285" s="233">
        <f t="shared" si="121"/>
        <v>0</v>
      </c>
      <c r="AG285" s="238">
        <f t="shared" si="122"/>
        <v>0</v>
      </c>
      <c r="AH285" s="238">
        <f t="shared" si="123"/>
        <v>14968171.25</v>
      </c>
      <c r="AI285" s="209">
        <f t="shared" si="124"/>
        <v>2009</v>
      </c>
      <c r="AJ285" s="210">
        <f t="shared" si="125"/>
        <v>10</v>
      </c>
    </row>
    <row r="286" spans="1:36" s="48" customFormat="1" ht="30.75" hidden="1" customHeight="1" x14ac:dyDescent="0.2">
      <c r="A286" s="48" t="s">
        <v>2297</v>
      </c>
      <c r="B286" s="73"/>
      <c r="C286" s="40" t="s">
        <v>2323</v>
      </c>
      <c r="D286" s="67" t="s">
        <v>1704</v>
      </c>
      <c r="E286" s="83" t="s">
        <v>265</v>
      </c>
      <c r="F286" s="72"/>
      <c r="G286" s="40"/>
      <c r="H286" s="65"/>
      <c r="I286" s="33">
        <v>2009</v>
      </c>
      <c r="J286" s="40"/>
      <c r="K286" s="72"/>
      <c r="L286" s="40"/>
      <c r="M286" s="40"/>
      <c r="N286" s="40"/>
      <c r="O286" s="33" t="s">
        <v>12</v>
      </c>
      <c r="P286" s="280">
        <v>4989393.75</v>
      </c>
      <c r="Q286" s="61"/>
      <c r="W286" s="206" t="str">
        <f t="shared" si="112"/>
        <v>2.06.02</v>
      </c>
      <c r="X286" s="207" t="str">
        <f t="shared" si="113"/>
        <v>ALAT RUMAH TANGGA</v>
      </c>
      <c r="Y286" s="207">
        <f t="shared" si="114"/>
        <v>5</v>
      </c>
      <c r="Z286" s="233">
        <f t="shared" si="115"/>
        <v>997876.75</v>
      </c>
      <c r="AA286" s="208">
        <f t="shared" si="116"/>
        <v>4</v>
      </c>
      <c r="AB286" s="233">
        <f t="shared" si="117"/>
        <v>3991507</v>
      </c>
      <c r="AC286" s="233">
        <f t="shared" si="118"/>
        <v>997876.75</v>
      </c>
      <c r="AD286" s="233">
        <f t="shared" si="119"/>
        <v>0</v>
      </c>
      <c r="AE286" s="233">
        <f t="shared" si="120"/>
        <v>0</v>
      </c>
      <c r="AF286" s="233">
        <f t="shared" si="121"/>
        <v>0</v>
      </c>
      <c r="AG286" s="238">
        <f t="shared" si="122"/>
        <v>0</v>
      </c>
      <c r="AH286" s="238">
        <f t="shared" si="123"/>
        <v>4989383.75</v>
      </c>
      <c r="AI286" s="209">
        <f t="shared" si="124"/>
        <v>2009</v>
      </c>
      <c r="AJ286" s="210">
        <f t="shared" si="125"/>
        <v>10</v>
      </c>
    </row>
    <row r="287" spans="1:36" s="48" customFormat="1" ht="30.75" hidden="1" customHeight="1" x14ac:dyDescent="0.2">
      <c r="A287" s="48" t="s">
        <v>2297</v>
      </c>
      <c r="B287" s="73"/>
      <c r="C287" s="40" t="s">
        <v>2324</v>
      </c>
      <c r="D287" s="67" t="s">
        <v>1706</v>
      </c>
      <c r="E287" s="83" t="s">
        <v>1707</v>
      </c>
      <c r="F287" s="72"/>
      <c r="G287" s="40"/>
      <c r="H287" s="65"/>
      <c r="I287" s="33">
        <v>2009</v>
      </c>
      <c r="J287" s="40"/>
      <c r="K287" s="72"/>
      <c r="L287" s="40"/>
      <c r="M287" s="40"/>
      <c r="N287" s="40"/>
      <c r="O287" s="33" t="s">
        <v>12</v>
      </c>
      <c r="P287" s="280">
        <v>4938995.833333334</v>
      </c>
      <c r="Q287" s="61"/>
      <c r="U287" s="269">
        <f>P287/2</f>
        <v>2469497.916666667</v>
      </c>
      <c r="W287" s="206" t="str">
        <f t="shared" si="112"/>
        <v>2.06.02</v>
      </c>
      <c r="X287" s="207" t="str">
        <f t="shared" si="113"/>
        <v>ALAT RUMAH TANGGA</v>
      </c>
      <c r="Y287" s="207">
        <f t="shared" si="114"/>
        <v>5</v>
      </c>
      <c r="Z287" s="233">
        <f t="shared" si="115"/>
        <v>987797.16666666674</v>
      </c>
      <c r="AA287" s="208">
        <f t="shared" si="116"/>
        <v>4</v>
      </c>
      <c r="AB287" s="233">
        <f t="shared" si="117"/>
        <v>3951188.666666667</v>
      </c>
      <c r="AC287" s="233">
        <f t="shared" si="118"/>
        <v>987797.16666666674</v>
      </c>
      <c r="AD287" s="233">
        <f t="shared" si="119"/>
        <v>0</v>
      </c>
      <c r="AE287" s="233">
        <f t="shared" si="120"/>
        <v>0</v>
      </c>
      <c r="AF287" s="233">
        <f t="shared" si="121"/>
        <v>0</v>
      </c>
      <c r="AG287" s="238">
        <f t="shared" si="122"/>
        <v>0</v>
      </c>
      <c r="AH287" s="238">
        <f t="shared" si="123"/>
        <v>4938985.833333334</v>
      </c>
      <c r="AI287" s="209">
        <f t="shared" si="124"/>
        <v>2009</v>
      </c>
      <c r="AJ287" s="210">
        <f t="shared" si="125"/>
        <v>10</v>
      </c>
    </row>
    <row r="288" spans="1:36" s="48" customFormat="1" ht="30.75" hidden="1" customHeight="1" x14ac:dyDescent="0.2">
      <c r="A288" s="48" t="s">
        <v>2297</v>
      </c>
      <c r="B288" s="73"/>
      <c r="C288" s="40" t="s">
        <v>2324</v>
      </c>
      <c r="D288" s="67" t="s">
        <v>1706</v>
      </c>
      <c r="E288" s="83" t="s">
        <v>1708</v>
      </c>
      <c r="F288" s="72"/>
      <c r="G288" s="40"/>
      <c r="H288" s="65"/>
      <c r="I288" s="33">
        <v>2009</v>
      </c>
      <c r="J288" s="40"/>
      <c r="K288" s="72"/>
      <c r="L288" s="40"/>
      <c r="M288" s="40"/>
      <c r="N288" s="40"/>
      <c r="O288" s="33" t="s">
        <v>12</v>
      </c>
      <c r="P288" s="280">
        <v>4938995.833333334</v>
      </c>
      <c r="Q288" s="61"/>
      <c r="U288" s="269">
        <f>P288/2</f>
        <v>2469497.916666667</v>
      </c>
      <c r="W288" s="206" t="str">
        <f t="shared" si="112"/>
        <v>2.06.02</v>
      </c>
      <c r="X288" s="207" t="str">
        <f t="shared" si="113"/>
        <v>ALAT RUMAH TANGGA</v>
      </c>
      <c r="Y288" s="207">
        <f t="shared" si="114"/>
        <v>5</v>
      </c>
      <c r="Z288" s="233">
        <f t="shared" si="115"/>
        <v>987797.16666666674</v>
      </c>
      <c r="AA288" s="208">
        <f t="shared" si="116"/>
        <v>4</v>
      </c>
      <c r="AB288" s="233">
        <f t="shared" si="117"/>
        <v>3951188.666666667</v>
      </c>
      <c r="AC288" s="233">
        <f t="shared" si="118"/>
        <v>987797.16666666674</v>
      </c>
      <c r="AD288" s="233">
        <f t="shared" si="119"/>
        <v>0</v>
      </c>
      <c r="AE288" s="233">
        <f t="shared" si="120"/>
        <v>0</v>
      </c>
      <c r="AF288" s="233">
        <f t="shared" si="121"/>
        <v>0</v>
      </c>
      <c r="AG288" s="238">
        <f t="shared" si="122"/>
        <v>0</v>
      </c>
      <c r="AH288" s="238">
        <f t="shared" si="123"/>
        <v>4938985.833333334</v>
      </c>
      <c r="AI288" s="209">
        <f t="shared" si="124"/>
        <v>2009</v>
      </c>
      <c r="AJ288" s="210">
        <f t="shared" si="125"/>
        <v>10</v>
      </c>
    </row>
    <row r="289" spans="1:37" s="48" customFormat="1" ht="30.75" hidden="1" customHeight="1" x14ac:dyDescent="0.2">
      <c r="A289" s="48" t="s">
        <v>2297</v>
      </c>
      <c r="B289" s="73"/>
      <c r="C289" s="40" t="s">
        <v>2324</v>
      </c>
      <c r="D289" s="67" t="s">
        <v>1706</v>
      </c>
      <c r="E289" s="83" t="s">
        <v>1709</v>
      </c>
      <c r="F289" s="72"/>
      <c r="G289" s="40"/>
      <c r="H289" s="65"/>
      <c r="I289" s="33">
        <v>2009</v>
      </c>
      <c r="J289" s="40"/>
      <c r="K289" s="72"/>
      <c r="L289" s="40"/>
      <c r="M289" s="40"/>
      <c r="N289" s="40"/>
      <c r="O289" s="33" t="s">
        <v>12</v>
      </c>
      <c r="P289" s="280">
        <v>7408493.7500000009</v>
      </c>
      <c r="Q289" s="61"/>
      <c r="U289" s="269">
        <f>P289/3</f>
        <v>2469497.916666667</v>
      </c>
      <c r="W289" s="206" t="str">
        <f t="shared" si="112"/>
        <v>2.06.02</v>
      </c>
      <c r="X289" s="207" t="str">
        <f t="shared" si="113"/>
        <v>ALAT RUMAH TANGGA</v>
      </c>
      <c r="Y289" s="207">
        <f t="shared" si="114"/>
        <v>5</v>
      </c>
      <c r="Z289" s="233">
        <f t="shared" si="115"/>
        <v>1481696.7500000002</v>
      </c>
      <c r="AA289" s="208">
        <f t="shared" si="116"/>
        <v>4</v>
      </c>
      <c r="AB289" s="233">
        <f t="shared" si="117"/>
        <v>5926787.0000000009</v>
      </c>
      <c r="AC289" s="233">
        <f t="shared" si="118"/>
        <v>1481696.7500000002</v>
      </c>
      <c r="AD289" s="233">
        <f t="shared" si="119"/>
        <v>0</v>
      </c>
      <c r="AE289" s="233">
        <f t="shared" si="120"/>
        <v>0</v>
      </c>
      <c r="AF289" s="233">
        <f t="shared" si="121"/>
        <v>0</v>
      </c>
      <c r="AG289" s="238">
        <f t="shared" si="122"/>
        <v>0</v>
      </c>
      <c r="AH289" s="238">
        <f t="shared" si="123"/>
        <v>7408483.7500000009</v>
      </c>
      <c r="AI289" s="209">
        <f t="shared" si="124"/>
        <v>2009</v>
      </c>
      <c r="AJ289" s="210">
        <f t="shared" si="125"/>
        <v>10</v>
      </c>
    </row>
    <row r="290" spans="1:37" s="48" customFormat="1" ht="30.75" hidden="1" customHeight="1" x14ac:dyDescent="0.2">
      <c r="A290" s="48" t="s">
        <v>2297</v>
      </c>
      <c r="B290" s="73"/>
      <c r="C290" s="40" t="s">
        <v>2325</v>
      </c>
      <c r="D290" s="67" t="s">
        <v>1710</v>
      </c>
      <c r="E290" s="83" t="s">
        <v>263</v>
      </c>
      <c r="F290" s="72"/>
      <c r="G290" s="40"/>
      <c r="H290" s="65"/>
      <c r="I290" s="33">
        <v>2009</v>
      </c>
      <c r="J290" s="40"/>
      <c r="K290" s="72"/>
      <c r="L290" s="40"/>
      <c r="M290" s="40"/>
      <c r="N290" s="40"/>
      <c r="O290" s="33" t="s">
        <v>12</v>
      </c>
      <c r="P290" s="280">
        <v>4830000</v>
      </c>
      <c r="Q290" s="61"/>
      <c r="W290" s="206" t="str">
        <f t="shared" si="112"/>
        <v>2.06.02</v>
      </c>
      <c r="X290" s="207" t="str">
        <f t="shared" si="113"/>
        <v>ALAT RUMAH TANGGA</v>
      </c>
      <c r="Y290" s="207">
        <f t="shared" si="114"/>
        <v>5</v>
      </c>
      <c r="Z290" s="233">
        <f t="shared" si="115"/>
        <v>965998</v>
      </c>
      <c r="AA290" s="208">
        <f t="shared" si="116"/>
        <v>4</v>
      </c>
      <c r="AB290" s="233">
        <f t="shared" si="117"/>
        <v>3863992</v>
      </c>
      <c r="AC290" s="233">
        <f t="shared" si="118"/>
        <v>965998</v>
      </c>
      <c r="AD290" s="233">
        <f t="shared" si="119"/>
        <v>0</v>
      </c>
      <c r="AE290" s="233">
        <f t="shared" si="120"/>
        <v>0</v>
      </c>
      <c r="AF290" s="233">
        <f t="shared" si="121"/>
        <v>0</v>
      </c>
      <c r="AG290" s="238">
        <f t="shared" si="122"/>
        <v>0</v>
      </c>
      <c r="AH290" s="238">
        <f t="shared" si="123"/>
        <v>4829990</v>
      </c>
      <c r="AI290" s="209">
        <f t="shared" si="124"/>
        <v>2009</v>
      </c>
      <c r="AJ290" s="210">
        <f t="shared" si="125"/>
        <v>10</v>
      </c>
    </row>
    <row r="291" spans="1:37" s="48" customFormat="1" ht="30.75" hidden="1" customHeight="1" x14ac:dyDescent="0.2">
      <c r="A291" s="48" t="s">
        <v>2297</v>
      </c>
      <c r="B291" s="73"/>
      <c r="C291" s="40" t="s">
        <v>2325</v>
      </c>
      <c r="D291" s="67" t="s">
        <v>1710</v>
      </c>
      <c r="E291" s="83" t="s">
        <v>264</v>
      </c>
      <c r="F291" s="72"/>
      <c r="G291" s="40"/>
      <c r="H291" s="65"/>
      <c r="I291" s="33">
        <v>2009</v>
      </c>
      <c r="J291" s="40"/>
      <c r="K291" s="72"/>
      <c r="L291" s="40"/>
      <c r="M291" s="40"/>
      <c r="N291" s="40"/>
      <c r="O291" s="33" t="s">
        <v>12</v>
      </c>
      <c r="P291" s="280">
        <v>4830000</v>
      </c>
      <c r="Q291" s="61"/>
      <c r="W291" s="206" t="str">
        <f t="shared" si="112"/>
        <v>2.06.02</v>
      </c>
      <c r="X291" s="207" t="str">
        <f t="shared" si="113"/>
        <v>ALAT RUMAH TANGGA</v>
      </c>
      <c r="Y291" s="207">
        <f t="shared" si="114"/>
        <v>5</v>
      </c>
      <c r="Z291" s="233">
        <f t="shared" si="115"/>
        <v>965998</v>
      </c>
      <c r="AA291" s="208">
        <f t="shared" si="116"/>
        <v>4</v>
      </c>
      <c r="AB291" s="233">
        <f t="shared" si="117"/>
        <v>3863992</v>
      </c>
      <c r="AC291" s="233">
        <f t="shared" si="118"/>
        <v>965998</v>
      </c>
      <c r="AD291" s="233">
        <f t="shared" si="119"/>
        <v>0</v>
      </c>
      <c r="AE291" s="233">
        <f t="shared" si="120"/>
        <v>0</v>
      </c>
      <c r="AF291" s="233">
        <f t="shared" si="121"/>
        <v>0</v>
      </c>
      <c r="AG291" s="238">
        <f t="shared" si="122"/>
        <v>0</v>
      </c>
      <c r="AH291" s="238">
        <f t="shared" si="123"/>
        <v>4829990</v>
      </c>
      <c r="AI291" s="209">
        <f t="shared" si="124"/>
        <v>2009</v>
      </c>
      <c r="AJ291" s="210">
        <f t="shared" si="125"/>
        <v>10</v>
      </c>
    </row>
    <row r="292" spans="1:37" s="48" customFormat="1" ht="30.75" hidden="1" customHeight="1" x14ac:dyDescent="0.2">
      <c r="A292" s="48" t="s">
        <v>2297</v>
      </c>
      <c r="B292" s="73"/>
      <c r="C292" s="40" t="s">
        <v>2326</v>
      </c>
      <c r="D292" s="67" t="s">
        <v>1711</v>
      </c>
      <c r="E292" s="83" t="s">
        <v>1712</v>
      </c>
      <c r="F292" s="72"/>
      <c r="G292" s="40"/>
      <c r="H292" s="65"/>
      <c r="I292" s="33">
        <v>2009</v>
      </c>
      <c r="J292" s="40"/>
      <c r="K292" s="72"/>
      <c r="L292" s="40"/>
      <c r="M292" s="40"/>
      <c r="N292" s="40"/>
      <c r="O292" s="33" t="s">
        <v>12</v>
      </c>
      <c r="P292" s="280">
        <v>3548013.25</v>
      </c>
      <c r="Q292" s="61"/>
      <c r="U292" s="269">
        <f>P292/5</f>
        <v>709602.65</v>
      </c>
      <c r="W292" s="206" t="str">
        <f t="shared" si="112"/>
        <v>2.06.02</v>
      </c>
      <c r="X292" s="207" t="str">
        <f t="shared" si="113"/>
        <v>ALAT RUMAH TANGGA</v>
      </c>
      <c r="Y292" s="207">
        <f t="shared" si="114"/>
        <v>5</v>
      </c>
      <c r="Z292" s="233">
        <f t="shared" si="115"/>
        <v>709600.65</v>
      </c>
      <c r="AA292" s="208">
        <f t="shared" si="116"/>
        <v>4</v>
      </c>
      <c r="AB292" s="233">
        <f t="shared" si="117"/>
        <v>2838402.6</v>
      </c>
      <c r="AC292" s="233">
        <f t="shared" si="118"/>
        <v>709600.65</v>
      </c>
      <c r="AD292" s="233">
        <f t="shared" si="119"/>
        <v>0</v>
      </c>
      <c r="AE292" s="233">
        <f t="shared" si="120"/>
        <v>0</v>
      </c>
      <c r="AF292" s="233">
        <f t="shared" si="121"/>
        <v>0</v>
      </c>
      <c r="AG292" s="238">
        <f t="shared" si="122"/>
        <v>0</v>
      </c>
      <c r="AH292" s="238">
        <f t="shared" si="123"/>
        <v>3548003.25</v>
      </c>
      <c r="AI292" s="209">
        <f t="shared" si="124"/>
        <v>2009</v>
      </c>
      <c r="AJ292" s="210">
        <f t="shared" si="125"/>
        <v>10</v>
      </c>
    </row>
    <row r="293" spans="1:37" s="48" customFormat="1" ht="30.75" hidden="1" customHeight="1" x14ac:dyDescent="0.2">
      <c r="A293" s="48" t="s">
        <v>2297</v>
      </c>
      <c r="B293" s="73"/>
      <c r="C293" s="40" t="s">
        <v>2327</v>
      </c>
      <c r="D293" s="67" t="s">
        <v>1713</v>
      </c>
      <c r="E293" s="83" t="s">
        <v>263</v>
      </c>
      <c r="F293" s="72"/>
      <c r="G293" s="40"/>
      <c r="H293" s="65"/>
      <c r="I293" s="33">
        <v>2009</v>
      </c>
      <c r="J293" s="40"/>
      <c r="K293" s="72"/>
      <c r="L293" s="40"/>
      <c r="M293" s="40"/>
      <c r="N293" s="40"/>
      <c r="O293" s="33" t="s">
        <v>12</v>
      </c>
      <c r="P293" s="280">
        <v>1465924.2020833334</v>
      </c>
      <c r="Q293" s="61"/>
      <c r="W293" s="206" t="str">
        <f t="shared" si="112"/>
        <v>2.06.02</v>
      </c>
      <c r="X293" s="207" t="str">
        <f t="shared" si="113"/>
        <v>ALAT RUMAH TANGGA</v>
      </c>
      <c r="Y293" s="207">
        <f t="shared" si="114"/>
        <v>5</v>
      </c>
      <c r="Z293" s="233">
        <f t="shared" si="115"/>
        <v>293182.8404166667</v>
      </c>
      <c r="AA293" s="208">
        <f t="shared" si="116"/>
        <v>4</v>
      </c>
      <c r="AB293" s="233">
        <f t="shared" si="117"/>
        <v>1172731.3616666668</v>
      </c>
      <c r="AC293" s="233">
        <f t="shared" si="118"/>
        <v>293182.8404166667</v>
      </c>
      <c r="AD293" s="233">
        <f t="shared" si="119"/>
        <v>0</v>
      </c>
      <c r="AE293" s="233">
        <f t="shared" si="120"/>
        <v>0</v>
      </c>
      <c r="AF293" s="233">
        <f t="shared" si="121"/>
        <v>0</v>
      </c>
      <c r="AG293" s="238">
        <f t="shared" si="122"/>
        <v>0</v>
      </c>
      <c r="AH293" s="238">
        <f t="shared" si="123"/>
        <v>1465914.2020833334</v>
      </c>
      <c r="AI293" s="209">
        <f t="shared" si="124"/>
        <v>2009</v>
      </c>
      <c r="AJ293" s="210">
        <f t="shared" si="125"/>
        <v>10</v>
      </c>
    </row>
    <row r="294" spans="1:37" s="48" customFormat="1" ht="30.75" hidden="1" customHeight="1" x14ac:dyDescent="0.2">
      <c r="A294" s="48" t="s">
        <v>2297</v>
      </c>
      <c r="B294" s="73"/>
      <c r="C294" s="40" t="s">
        <v>2327</v>
      </c>
      <c r="D294" s="67" t="s">
        <v>1713</v>
      </c>
      <c r="E294" s="83" t="s">
        <v>264</v>
      </c>
      <c r="F294" s="72"/>
      <c r="G294" s="40"/>
      <c r="H294" s="65"/>
      <c r="I294" s="33">
        <v>2009</v>
      </c>
      <c r="J294" s="40"/>
      <c r="K294" s="72"/>
      <c r="L294" s="40"/>
      <c r="M294" s="40"/>
      <c r="N294" s="40"/>
      <c r="O294" s="33" t="s">
        <v>12</v>
      </c>
      <c r="P294" s="280">
        <v>1465924.2020833334</v>
      </c>
      <c r="Q294" s="61"/>
      <c r="W294" s="206" t="str">
        <f t="shared" si="112"/>
        <v>2.06.02</v>
      </c>
      <c r="X294" s="207" t="str">
        <f t="shared" si="113"/>
        <v>ALAT RUMAH TANGGA</v>
      </c>
      <c r="Y294" s="207">
        <f t="shared" si="114"/>
        <v>5</v>
      </c>
      <c r="Z294" s="233">
        <f t="shared" si="115"/>
        <v>293182.8404166667</v>
      </c>
      <c r="AA294" s="208">
        <f t="shared" si="116"/>
        <v>4</v>
      </c>
      <c r="AB294" s="233">
        <f t="shared" si="117"/>
        <v>1172731.3616666668</v>
      </c>
      <c r="AC294" s="233">
        <f t="shared" si="118"/>
        <v>293182.8404166667</v>
      </c>
      <c r="AD294" s="233">
        <f t="shared" si="119"/>
        <v>0</v>
      </c>
      <c r="AE294" s="233">
        <f t="shared" si="120"/>
        <v>0</v>
      </c>
      <c r="AF294" s="233">
        <f t="shared" si="121"/>
        <v>0</v>
      </c>
      <c r="AG294" s="238">
        <f t="shared" si="122"/>
        <v>0</v>
      </c>
      <c r="AH294" s="238">
        <f t="shared" si="123"/>
        <v>1465914.2020833334</v>
      </c>
      <c r="AI294" s="209">
        <f t="shared" si="124"/>
        <v>2009</v>
      </c>
      <c r="AJ294" s="210">
        <f t="shared" si="125"/>
        <v>10</v>
      </c>
    </row>
    <row r="295" spans="1:37" s="48" customFormat="1" ht="30.75" customHeight="1" x14ac:dyDescent="0.2">
      <c r="A295" s="48" t="s">
        <v>2297</v>
      </c>
      <c r="B295" s="73"/>
      <c r="C295" s="40" t="s">
        <v>2328</v>
      </c>
      <c r="D295" s="67" t="s">
        <v>1714</v>
      </c>
      <c r="E295" s="83" t="s">
        <v>283</v>
      </c>
      <c r="F295" s="72"/>
      <c r="G295" s="40"/>
      <c r="H295" s="65"/>
      <c r="I295" s="33">
        <v>2009</v>
      </c>
      <c r="J295" s="40"/>
      <c r="K295" s="72"/>
      <c r="L295" s="40"/>
      <c r="M295" s="40"/>
      <c r="N295" s="40"/>
      <c r="O295" s="33" t="s">
        <v>12</v>
      </c>
      <c r="P295" s="280">
        <v>546394</v>
      </c>
      <c r="Q295" s="61"/>
      <c r="U295" s="269">
        <f>P295/2</f>
        <v>273197</v>
      </c>
      <c r="V295" s="41" t="s">
        <v>2615</v>
      </c>
      <c r="W295" s="206" t="str">
        <f t="shared" si="112"/>
        <v>2.06.02</v>
      </c>
      <c r="X295" s="207" t="str">
        <f t="shared" si="113"/>
        <v>ALAT RUMAH TANGGA</v>
      </c>
      <c r="Y295" s="207">
        <f t="shared" si="114"/>
        <v>5</v>
      </c>
      <c r="Z295" s="233">
        <f t="shared" si="115"/>
        <v>109276.8</v>
      </c>
      <c r="AA295" s="208">
        <f t="shared" si="116"/>
        <v>4</v>
      </c>
      <c r="AB295" s="233">
        <f t="shared" si="117"/>
        <v>437107.20000000001</v>
      </c>
      <c r="AC295" s="233">
        <f t="shared" si="118"/>
        <v>109276.8</v>
      </c>
      <c r="AD295" s="233">
        <f t="shared" si="119"/>
        <v>0</v>
      </c>
      <c r="AE295" s="233">
        <f t="shared" si="120"/>
        <v>0</v>
      </c>
      <c r="AF295" s="233">
        <f t="shared" si="121"/>
        <v>0</v>
      </c>
      <c r="AG295" s="238">
        <f t="shared" si="122"/>
        <v>0</v>
      </c>
      <c r="AH295" s="238">
        <f t="shared" si="123"/>
        <v>546384</v>
      </c>
      <c r="AI295" s="209">
        <f t="shared" si="124"/>
        <v>2009</v>
      </c>
      <c r="AJ295" s="210">
        <f t="shared" si="125"/>
        <v>10</v>
      </c>
      <c r="AK295" s="285">
        <f>AH295-AG295</f>
        <v>546384</v>
      </c>
    </row>
    <row r="296" spans="1:37" s="48" customFormat="1" ht="30.75" hidden="1" customHeight="1" x14ac:dyDescent="0.2">
      <c r="A296" s="48" t="s">
        <v>2297</v>
      </c>
      <c r="B296" s="73"/>
      <c r="C296" s="40" t="s">
        <v>278</v>
      </c>
      <c r="D296" s="67" t="s">
        <v>172</v>
      </c>
      <c r="E296" s="83" t="s">
        <v>39</v>
      </c>
      <c r="F296" s="72" t="s">
        <v>1715</v>
      </c>
      <c r="G296" s="40" t="s">
        <v>1716</v>
      </c>
      <c r="H296" s="65" t="s">
        <v>1717</v>
      </c>
      <c r="I296" s="33">
        <v>2009</v>
      </c>
      <c r="J296" s="40" t="s">
        <v>9</v>
      </c>
      <c r="K296" s="72"/>
      <c r="L296" s="40"/>
      <c r="M296" s="40"/>
      <c r="N296" s="40"/>
      <c r="O296" s="33" t="s">
        <v>12</v>
      </c>
      <c r="P296" s="280">
        <v>6900000</v>
      </c>
      <c r="Q296" s="61"/>
      <c r="W296" s="206" t="str">
        <f t="shared" si="112"/>
        <v>2.06.02</v>
      </c>
      <c r="X296" s="207" t="str">
        <f t="shared" si="113"/>
        <v>ALAT RUMAH TANGGA</v>
      </c>
      <c r="Y296" s="207">
        <f t="shared" si="114"/>
        <v>5</v>
      </c>
      <c r="Z296" s="233">
        <f t="shared" si="115"/>
        <v>1379998</v>
      </c>
      <c r="AA296" s="208">
        <f t="shared" si="116"/>
        <v>4</v>
      </c>
      <c r="AB296" s="233">
        <f t="shared" si="117"/>
        <v>5519992</v>
      </c>
      <c r="AC296" s="233">
        <f t="shared" si="118"/>
        <v>1379998</v>
      </c>
      <c r="AD296" s="233">
        <f t="shared" si="119"/>
        <v>0</v>
      </c>
      <c r="AE296" s="233">
        <f t="shared" si="120"/>
        <v>0</v>
      </c>
      <c r="AF296" s="233">
        <f t="shared" si="121"/>
        <v>0</v>
      </c>
      <c r="AG296" s="238">
        <f t="shared" si="122"/>
        <v>0</v>
      </c>
      <c r="AH296" s="238">
        <f t="shared" si="123"/>
        <v>6899990</v>
      </c>
      <c r="AI296" s="209">
        <f t="shared" si="124"/>
        <v>2009</v>
      </c>
      <c r="AJ296" s="210">
        <f t="shared" si="125"/>
        <v>10</v>
      </c>
    </row>
    <row r="297" spans="1:37" s="48" customFormat="1" ht="30.75" hidden="1" customHeight="1" x14ac:dyDescent="0.2">
      <c r="A297" s="48" t="s">
        <v>2296</v>
      </c>
      <c r="B297" s="73"/>
      <c r="C297" s="40" t="s">
        <v>298</v>
      </c>
      <c r="D297" s="67" t="s">
        <v>1718</v>
      </c>
      <c r="E297" s="83" t="s">
        <v>1707</v>
      </c>
      <c r="F297" s="72"/>
      <c r="G297" s="40"/>
      <c r="H297" s="65"/>
      <c r="I297" s="33">
        <v>2009</v>
      </c>
      <c r="J297" s="40"/>
      <c r="K297" s="72"/>
      <c r="L297" s="40"/>
      <c r="M297" s="40"/>
      <c r="N297" s="40"/>
      <c r="O297" s="33" t="s">
        <v>12</v>
      </c>
      <c r="P297" s="280">
        <v>16566513.9098881</v>
      </c>
      <c r="Q297" s="61"/>
      <c r="U297" s="269">
        <f>P297/2</f>
        <v>8283256.9549440499</v>
      </c>
      <c r="W297" s="206" t="str">
        <f t="shared" si="112"/>
        <v>2.06.03</v>
      </c>
      <c r="X297" s="207" t="str">
        <f t="shared" si="113"/>
        <v>KOMPUTER</v>
      </c>
      <c r="Y297" s="207">
        <f t="shared" si="114"/>
        <v>4</v>
      </c>
      <c r="Z297" s="233">
        <f t="shared" si="115"/>
        <v>4141625.977472025</v>
      </c>
      <c r="AA297" s="208">
        <f t="shared" si="116"/>
        <v>4</v>
      </c>
      <c r="AB297" s="233">
        <f t="shared" si="117"/>
        <v>16566503.9098881</v>
      </c>
      <c r="AC297" s="233">
        <f t="shared" si="118"/>
        <v>0</v>
      </c>
      <c r="AD297" s="233">
        <f t="shared" si="119"/>
        <v>0</v>
      </c>
      <c r="AE297" s="233">
        <f t="shared" si="120"/>
        <v>0</v>
      </c>
      <c r="AF297" s="233">
        <f t="shared" si="121"/>
        <v>0</v>
      </c>
      <c r="AG297" s="238">
        <f t="shared" si="122"/>
        <v>0</v>
      </c>
      <c r="AH297" s="238">
        <f t="shared" si="123"/>
        <v>16566503.9098881</v>
      </c>
      <c r="AI297" s="209">
        <f t="shared" si="124"/>
        <v>2009</v>
      </c>
      <c r="AJ297" s="210">
        <f t="shared" si="125"/>
        <v>10</v>
      </c>
    </row>
    <row r="298" spans="1:37" s="48" customFormat="1" ht="30.75" hidden="1" customHeight="1" x14ac:dyDescent="0.2">
      <c r="A298" s="48" t="s">
        <v>2297</v>
      </c>
      <c r="B298" s="73"/>
      <c r="C298" s="40" t="s">
        <v>2329</v>
      </c>
      <c r="D298" s="67" t="s">
        <v>1719</v>
      </c>
      <c r="E298" s="83" t="s">
        <v>261</v>
      </c>
      <c r="F298" s="72"/>
      <c r="G298" s="40"/>
      <c r="H298" s="65"/>
      <c r="I298" s="33">
        <v>2009</v>
      </c>
      <c r="J298" s="40"/>
      <c r="K298" s="72"/>
      <c r="L298" s="40"/>
      <c r="M298" s="40"/>
      <c r="N298" s="40"/>
      <c r="O298" s="33" t="s">
        <v>12</v>
      </c>
      <c r="P298" s="280">
        <v>11007650.438463865</v>
      </c>
      <c r="Q298" s="61"/>
      <c r="W298" s="206" t="str">
        <f t="shared" si="112"/>
        <v>2.06.02</v>
      </c>
      <c r="X298" s="207" t="str">
        <f t="shared" si="113"/>
        <v>ALAT RUMAH TANGGA</v>
      </c>
      <c r="Y298" s="207">
        <f t="shared" si="114"/>
        <v>5</v>
      </c>
      <c r="Z298" s="233">
        <f t="shared" si="115"/>
        <v>2201528.087692773</v>
      </c>
      <c r="AA298" s="208">
        <f t="shared" si="116"/>
        <v>4</v>
      </c>
      <c r="AB298" s="233">
        <f t="shared" si="117"/>
        <v>8806112.3507710919</v>
      </c>
      <c r="AC298" s="233">
        <f t="shared" si="118"/>
        <v>2201528.087692773</v>
      </c>
      <c r="AD298" s="233">
        <f t="shared" si="119"/>
        <v>0</v>
      </c>
      <c r="AE298" s="233">
        <f t="shared" si="120"/>
        <v>0</v>
      </c>
      <c r="AF298" s="233">
        <f t="shared" si="121"/>
        <v>0</v>
      </c>
      <c r="AG298" s="238">
        <f t="shared" si="122"/>
        <v>0</v>
      </c>
      <c r="AH298" s="238">
        <f t="shared" si="123"/>
        <v>11007640.438463865</v>
      </c>
      <c r="AI298" s="209">
        <f t="shared" si="124"/>
        <v>2009</v>
      </c>
      <c r="AJ298" s="210">
        <f t="shared" si="125"/>
        <v>10</v>
      </c>
    </row>
    <row r="299" spans="1:37" s="41" customFormat="1" ht="30.75" hidden="1" customHeight="1" x14ac:dyDescent="0.2">
      <c r="A299" s="48" t="s">
        <v>2296</v>
      </c>
      <c r="B299" s="69"/>
      <c r="C299" s="70" t="s">
        <v>2330</v>
      </c>
      <c r="D299" s="70" t="s">
        <v>1720</v>
      </c>
      <c r="E299" s="70" t="s">
        <v>1707</v>
      </c>
      <c r="F299" s="70" t="s">
        <v>1721</v>
      </c>
      <c r="G299" s="70"/>
      <c r="H299" s="70"/>
      <c r="I299" s="70">
        <v>2011</v>
      </c>
      <c r="J299" s="70"/>
      <c r="K299" s="70"/>
      <c r="L299" s="70"/>
      <c r="M299" s="70"/>
      <c r="N299" s="70"/>
      <c r="O299" s="70" t="s">
        <v>12</v>
      </c>
      <c r="P299" s="278">
        <v>24694224</v>
      </c>
      <c r="Q299" s="74"/>
      <c r="U299" s="269">
        <f>P299/2</f>
        <v>12347112</v>
      </c>
      <c r="W299" s="206" t="str">
        <f t="shared" si="112"/>
        <v>2.06.03</v>
      </c>
      <c r="X299" s="207" t="str">
        <f t="shared" si="113"/>
        <v>KOMPUTER</v>
      </c>
      <c r="Y299" s="207">
        <f t="shared" si="114"/>
        <v>4</v>
      </c>
      <c r="Z299" s="233">
        <f t="shared" si="115"/>
        <v>6173553.5</v>
      </c>
      <c r="AA299" s="208">
        <f t="shared" si="116"/>
        <v>2</v>
      </c>
      <c r="AB299" s="233">
        <f t="shared" si="117"/>
        <v>12347107</v>
      </c>
      <c r="AC299" s="233">
        <f t="shared" si="118"/>
        <v>6173553.5</v>
      </c>
      <c r="AD299" s="233">
        <f t="shared" si="119"/>
        <v>6173553.5</v>
      </c>
      <c r="AE299" s="233">
        <f t="shared" si="120"/>
        <v>0</v>
      </c>
      <c r="AF299" s="233">
        <f t="shared" si="121"/>
        <v>0</v>
      </c>
      <c r="AG299" s="238">
        <f t="shared" si="122"/>
        <v>0</v>
      </c>
      <c r="AH299" s="238">
        <f t="shared" si="123"/>
        <v>24694214</v>
      </c>
      <c r="AI299" s="209">
        <f t="shared" si="124"/>
        <v>2011</v>
      </c>
      <c r="AJ299" s="210">
        <f t="shared" si="125"/>
        <v>10</v>
      </c>
    </row>
    <row r="300" spans="1:37" s="41" customFormat="1" ht="30.75" hidden="1" customHeight="1" x14ac:dyDescent="0.2">
      <c r="A300" s="48" t="s">
        <v>2296</v>
      </c>
      <c r="B300" s="69"/>
      <c r="C300" s="70" t="s">
        <v>299</v>
      </c>
      <c r="D300" s="70" t="s">
        <v>1722</v>
      </c>
      <c r="E300" s="70"/>
      <c r="F300" s="70"/>
      <c r="G300" s="70"/>
      <c r="H300" s="70"/>
      <c r="I300" s="70">
        <v>2011</v>
      </c>
      <c r="J300" s="70"/>
      <c r="K300" s="70"/>
      <c r="L300" s="70"/>
      <c r="M300" s="70"/>
      <c r="N300" s="70"/>
      <c r="O300" s="70" t="s">
        <v>12</v>
      </c>
      <c r="P300" s="278">
        <v>10204225.124181733</v>
      </c>
      <c r="Q300" s="74"/>
      <c r="W300" s="206" t="str">
        <f t="shared" si="112"/>
        <v>2.06.03</v>
      </c>
      <c r="X300" s="207" t="str">
        <f t="shared" si="113"/>
        <v>KOMPUTER</v>
      </c>
      <c r="Y300" s="207">
        <f t="shared" si="114"/>
        <v>4</v>
      </c>
      <c r="Z300" s="233">
        <f t="shared" si="115"/>
        <v>2551053.7810454331</v>
      </c>
      <c r="AA300" s="208">
        <f t="shared" si="116"/>
        <v>2</v>
      </c>
      <c r="AB300" s="233">
        <f t="shared" si="117"/>
        <v>5102107.5620908663</v>
      </c>
      <c r="AC300" s="233">
        <f t="shared" si="118"/>
        <v>2551053.7810454331</v>
      </c>
      <c r="AD300" s="233">
        <f t="shared" si="119"/>
        <v>2551053.7810454331</v>
      </c>
      <c r="AE300" s="233">
        <f t="shared" si="120"/>
        <v>0</v>
      </c>
      <c r="AF300" s="233">
        <f t="shared" si="121"/>
        <v>0</v>
      </c>
      <c r="AG300" s="238">
        <f t="shared" si="122"/>
        <v>0</v>
      </c>
      <c r="AH300" s="238">
        <f t="shared" si="123"/>
        <v>10204215.124181733</v>
      </c>
      <c r="AI300" s="209">
        <f t="shared" si="124"/>
        <v>2011</v>
      </c>
      <c r="AJ300" s="210">
        <f t="shared" si="125"/>
        <v>10</v>
      </c>
    </row>
    <row r="301" spans="1:37" s="41" customFormat="1" ht="30.75" hidden="1" customHeight="1" x14ac:dyDescent="0.2">
      <c r="A301" s="48" t="s">
        <v>2296</v>
      </c>
      <c r="B301" s="69"/>
      <c r="C301" s="70" t="s">
        <v>2330</v>
      </c>
      <c r="D301" s="70" t="s">
        <v>1723</v>
      </c>
      <c r="E301" s="70"/>
      <c r="F301" s="70"/>
      <c r="G301" s="70"/>
      <c r="H301" s="70"/>
      <c r="I301" s="70">
        <v>2011</v>
      </c>
      <c r="J301" s="70"/>
      <c r="K301" s="70"/>
      <c r="L301" s="70"/>
      <c r="M301" s="70"/>
      <c r="N301" s="70"/>
      <c r="O301" s="70" t="s">
        <v>12</v>
      </c>
      <c r="P301" s="278">
        <v>19580000</v>
      </c>
      <c r="Q301" s="74"/>
      <c r="W301" s="206" t="str">
        <f t="shared" si="112"/>
        <v>2.06.03</v>
      </c>
      <c r="X301" s="207" t="str">
        <f t="shared" si="113"/>
        <v>KOMPUTER</v>
      </c>
      <c r="Y301" s="207">
        <f t="shared" si="114"/>
        <v>4</v>
      </c>
      <c r="Z301" s="233">
        <f t="shared" si="115"/>
        <v>4894997.5</v>
      </c>
      <c r="AA301" s="208">
        <f t="shared" si="116"/>
        <v>2</v>
      </c>
      <c r="AB301" s="233">
        <f t="shared" si="117"/>
        <v>9789995</v>
      </c>
      <c r="AC301" s="233">
        <f t="shared" si="118"/>
        <v>4894997.5</v>
      </c>
      <c r="AD301" s="233">
        <f t="shared" si="119"/>
        <v>4894997.5</v>
      </c>
      <c r="AE301" s="233">
        <f t="shared" si="120"/>
        <v>0</v>
      </c>
      <c r="AF301" s="233">
        <f t="shared" si="121"/>
        <v>0</v>
      </c>
      <c r="AG301" s="238">
        <f t="shared" si="122"/>
        <v>0</v>
      </c>
      <c r="AH301" s="238">
        <f t="shared" si="123"/>
        <v>19579990</v>
      </c>
      <c r="AI301" s="209">
        <f t="shared" si="124"/>
        <v>2011</v>
      </c>
      <c r="AJ301" s="210">
        <f t="shared" si="125"/>
        <v>10</v>
      </c>
    </row>
    <row r="302" spans="1:37" s="41" customFormat="1" ht="30.75" hidden="1" customHeight="1" x14ac:dyDescent="0.2">
      <c r="A302" s="48" t="s">
        <v>2297</v>
      </c>
      <c r="B302" s="69"/>
      <c r="C302" s="70" t="s">
        <v>2324</v>
      </c>
      <c r="D302" s="70" t="s">
        <v>1724</v>
      </c>
      <c r="E302" s="70" t="s">
        <v>1725</v>
      </c>
      <c r="F302" s="70" t="s">
        <v>1726</v>
      </c>
      <c r="G302" s="70" t="s">
        <v>1727</v>
      </c>
      <c r="H302" s="70" t="s">
        <v>1728</v>
      </c>
      <c r="I302" s="70">
        <v>2012</v>
      </c>
      <c r="J302" s="70"/>
      <c r="K302" s="70"/>
      <c r="L302" s="70"/>
      <c r="M302" s="70"/>
      <c r="N302" s="70"/>
      <c r="O302" s="70" t="s">
        <v>12</v>
      </c>
      <c r="P302" s="278">
        <v>2500000</v>
      </c>
      <c r="Q302" s="74"/>
      <c r="U302" s="269">
        <f>P302/1</f>
        <v>2500000</v>
      </c>
      <c r="W302" s="206" t="str">
        <f t="shared" si="112"/>
        <v>2.06.02</v>
      </c>
      <c r="X302" s="207" t="str">
        <f t="shared" si="113"/>
        <v>ALAT RUMAH TANGGA</v>
      </c>
      <c r="Y302" s="207">
        <f t="shared" si="114"/>
        <v>5</v>
      </c>
      <c r="Z302" s="233">
        <f t="shared" si="115"/>
        <v>499998</v>
      </c>
      <c r="AA302" s="208">
        <f t="shared" si="116"/>
        <v>1</v>
      </c>
      <c r="AB302" s="233">
        <f t="shared" si="117"/>
        <v>499998</v>
      </c>
      <c r="AC302" s="233">
        <f t="shared" si="118"/>
        <v>499998</v>
      </c>
      <c r="AD302" s="233">
        <f t="shared" si="119"/>
        <v>499998</v>
      </c>
      <c r="AE302" s="233">
        <f t="shared" si="120"/>
        <v>499998</v>
      </c>
      <c r="AF302" s="233">
        <f t="shared" si="121"/>
        <v>499998</v>
      </c>
      <c r="AG302" s="238">
        <f t="shared" si="122"/>
        <v>0</v>
      </c>
      <c r="AH302" s="238">
        <f t="shared" si="123"/>
        <v>2499990</v>
      </c>
      <c r="AI302" s="209">
        <f t="shared" si="124"/>
        <v>2012</v>
      </c>
      <c r="AJ302" s="210">
        <f t="shared" si="125"/>
        <v>10</v>
      </c>
    </row>
    <row r="303" spans="1:37" s="41" customFormat="1" ht="30.75" hidden="1" customHeight="1" x14ac:dyDescent="0.2">
      <c r="A303" s="48" t="s">
        <v>2296</v>
      </c>
      <c r="B303" s="69"/>
      <c r="C303" s="70" t="s">
        <v>295</v>
      </c>
      <c r="D303" s="70" t="s">
        <v>944</v>
      </c>
      <c r="E303" s="70"/>
      <c r="F303" s="70" t="s">
        <v>258</v>
      </c>
      <c r="G303" s="70" t="s">
        <v>1729</v>
      </c>
      <c r="H303" s="70" t="s">
        <v>1730</v>
      </c>
      <c r="I303" s="70">
        <v>2012</v>
      </c>
      <c r="J303" s="70" t="s">
        <v>1730</v>
      </c>
      <c r="K303" s="70"/>
      <c r="L303" s="70"/>
      <c r="M303" s="70"/>
      <c r="N303" s="70"/>
      <c r="O303" s="70" t="s">
        <v>12</v>
      </c>
      <c r="P303" s="278">
        <v>19289766.3852318</v>
      </c>
      <c r="Q303" s="74"/>
      <c r="W303" s="206" t="str">
        <f t="shared" si="112"/>
        <v>2.06.03</v>
      </c>
      <c r="X303" s="207" t="str">
        <f t="shared" si="113"/>
        <v>KOMPUTER</v>
      </c>
      <c r="Y303" s="207">
        <f t="shared" si="114"/>
        <v>4</v>
      </c>
      <c r="Z303" s="233">
        <f t="shared" si="115"/>
        <v>4822439.0963079501</v>
      </c>
      <c r="AA303" s="208">
        <f t="shared" si="116"/>
        <v>1</v>
      </c>
      <c r="AB303" s="233">
        <f t="shared" si="117"/>
        <v>4822439.0963079501</v>
      </c>
      <c r="AC303" s="233">
        <f t="shared" si="118"/>
        <v>4822439.0963079501</v>
      </c>
      <c r="AD303" s="233">
        <f t="shared" si="119"/>
        <v>4822439.0963079501</v>
      </c>
      <c r="AE303" s="233">
        <f t="shared" si="120"/>
        <v>4822439.0963079501</v>
      </c>
      <c r="AF303" s="233">
        <f t="shared" si="121"/>
        <v>0</v>
      </c>
      <c r="AG303" s="238">
        <f t="shared" si="122"/>
        <v>0</v>
      </c>
      <c r="AH303" s="238">
        <f t="shared" si="123"/>
        <v>19289756.3852318</v>
      </c>
      <c r="AI303" s="209">
        <f t="shared" si="124"/>
        <v>2012</v>
      </c>
      <c r="AJ303" s="210">
        <f t="shared" si="125"/>
        <v>10</v>
      </c>
    </row>
    <row r="304" spans="1:37" s="41" customFormat="1" ht="30.75" hidden="1" customHeight="1" x14ac:dyDescent="0.2">
      <c r="A304" s="48" t="s">
        <v>2296</v>
      </c>
      <c r="B304" s="69"/>
      <c r="C304" s="70" t="s">
        <v>299</v>
      </c>
      <c r="D304" s="70" t="s">
        <v>1731</v>
      </c>
      <c r="E304" s="70"/>
      <c r="F304" s="70" t="s">
        <v>996</v>
      </c>
      <c r="G304" s="70"/>
      <c r="H304" s="70" t="s">
        <v>1730</v>
      </c>
      <c r="I304" s="70">
        <v>2012</v>
      </c>
      <c r="J304" s="70"/>
      <c r="K304" s="70"/>
      <c r="L304" s="70"/>
      <c r="M304" s="70"/>
      <c r="N304" s="70"/>
      <c r="O304" s="70" t="s">
        <v>12</v>
      </c>
      <c r="P304" s="278">
        <v>2009874.0698340011</v>
      </c>
      <c r="Q304" s="74"/>
      <c r="W304" s="206" t="str">
        <f t="shared" ref="W304:W319" si="126">A304</f>
        <v>2.06.03</v>
      </c>
      <c r="X304" s="207" t="str">
        <f t="shared" ref="X304:X319" si="127">VLOOKUP(W304,kelompok,2,0)</f>
        <v>KOMPUTER</v>
      </c>
      <c r="Y304" s="207">
        <f t="shared" ref="Y304:Y320" si="128">VLOOKUP(W304,MASAMANFAAT,4,0)</f>
        <v>4</v>
      </c>
      <c r="Z304" s="233">
        <f t="shared" ref="Z304:Z325" si="129">(P304-10)/Y304</f>
        <v>502466.01745850028</v>
      </c>
      <c r="AA304" s="208">
        <f t="shared" ref="AA304:AA317" si="130">2013-AI304</f>
        <v>1</v>
      </c>
      <c r="AB304" s="233">
        <f t="shared" ref="AB304:AB317" si="131">IF(AA304&gt;Y304,P304-10,Z304*AA304)</f>
        <v>502466.01745850028</v>
      </c>
      <c r="AC304" s="233">
        <f t="shared" ref="AC304:AC319" si="132">IF(P304-10=AB304,0,Z304)</f>
        <v>502466.01745850028</v>
      </c>
      <c r="AD304" s="233">
        <f t="shared" ref="AD304:AD319" si="133">IF(P304-10=AB304+AC304,0,Z304)</f>
        <v>502466.01745850028</v>
      </c>
      <c r="AE304" s="233">
        <f t="shared" ref="AE304:AE319" si="134">IF(P304-10=AB304+AC304+AD304,0,Z304)</f>
        <v>502466.01745850028</v>
      </c>
      <c r="AF304" s="233">
        <f t="shared" ref="AF304:AF319" si="135">IF(P304-10=AB304+AC304+AD304+AE304,0,Z304)</f>
        <v>0</v>
      </c>
      <c r="AG304" s="238">
        <f t="shared" ref="AG304:AG325" si="136">IF(P304-10=AB304+AC304+AD304+AE304+AF304,0,Z304)</f>
        <v>0</v>
      </c>
      <c r="AH304" s="238">
        <f t="shared" ref="AH304:AH325" si="137">SUM(AB304:AG304)</f>
        <v>2009864.0698340011</v>
      </c>
      <c r="AI304" s="209">
        <f t="shared" ref="AI304:AI325" si="138">I304</f>
        <v>2012</v>
      </c>
      <c r="AJ304" s="210">
        <f t="shared" ref="AJ304:AJ325" si="139">P304-AH304</f>
        <v>10</v>
      </c>
    </row>
    <row r="305" spans="1:37" s="41" customFormat="1" ht="30.75" hidden="1" customHeight="1" x14ac:dyDescent="0.2">
      <c r="A305" s="48" t="s">
        <v>2296</v>
      </c>
      <c r="B305" s="69"/>
      <c r="C305" s="70" t="s">
        <v>299</v>
      </c>
      <c r="D305" s="70" t="s">
        <v>1731</v>
      </c>
      <c r="E305" s="70" t="s">
        <v>39</v>
      </c>
      <c r="F305" s="70" t="s">
        <v>996</v>
      </c>
      <c r="G305" s="70"/>
      <c r="H305" s="70" t="s">
        <v>1730</v>
      </c>
      <c r="I305" s="70">
        <v>2012</v>
      </c>
      <c r="J305" s="70" t="s">
        <v>1732</v>
      </c>
      <c r="K305" s="70"/>
      <c r="L305" s="70"/>
      <c r="M305" s="70"/>
      <c r="N305" s="70"/>
      <c r="O305" s="70" t="s">
        <v>12</v>
      </c>
      <c r="P305" s="278">
        <v>2512342.5872925012</v>
      </c>
      <c r="Q305" s="74"/>
      <c r="W305" s="206" t="str">
        <f t="shared" si="126"/>
        <v>2.06.03</v>
      </c>
      <c r="X305" s="207" t="str">
        <f t="shared" si="127"/>
        <v>KOMPUTER</v>
      </c>
      <c r="Y305" s="207">
        <f t="shared" si="128"/>
        <v>4</v>
      </c>
      <c r="Z305" s="233">
        <f t="shared" si="129"/>
        <v>628083.14682312531</v>
      </c>
      <c r="AA305" s="208">
        <f t="shared" si="130"/>
        <v>1</v>
      </c>
      <c r="AB305" s="233">
        <f t="shared" si="131"/>
        <v>628083.14682312531</v>
      </c>
      <c r="AC305" s="233">
        <f t="shared" si="132"/>
        <v>628083.14682312531</v>
      </c>
      <c r="AD305" s="233">
        <f t="shared" si="133"/>
        <v>628083.14682312531</v>
      </c>
      <c r="AE305" s="233">
        <f t="shared" si="134"/>
        <v>628083.14682312531</v>
      </c>
      <c r="AF305" s="233">
        <f t="shared" si="135"/>
        <v>0</v>
      </c>
      <c r="AG305" s="238">
        <f t="shared" si="136"/>
        <v>0</v>
      </c>
      <c r="AH305" s="238">
        <f t="shared" si="137"/>
        <v>2512332.5872925012</v>
      </c>
      <c r="AI305" s="209">
        <f t="shared" si="138"/>
        <v>2012</v>
      </c>
      <c r="AJ305" s="210">
        <f t="shared" si="139"/>
        <v>10</v>
      </c>
    </row>
    <row r="306" spans="1:37" s="41" customFormat="1" ht="30.75" hidden="1" customHeight="1" x14ac:dyDescent="0.2">
      <c r="A306" s="48" t="s">
        <v>2296</v>
      </c>
      <c r="B306" s="69"/>
      <c r="C306" s="70" t="s">
        <v>298</v>
      </c>
      <c r="D306" s="70" t="s">
        <v>1718</v>
      </c>
      <c r="E306" s="70"/>
      <c r="F306" s="70" t="s">
        <v>999</v>
      </c>
      <c r="G306" s="70" t="s">
        <v>1729</v>
      </c>
      <c r="H306" s="70" t="s">
        <v>1730</v>
      </c>
      <c r="I306" s="70">
        <v>2012</v>
      </c>
      <c r="J306" s="70"/>
      <c r="K306" s="70"/>
      <c r="L306" s="70"/>
      <c r="M306" s="70"/>
      <c r="N306" s="70"/>
      <c r="O306" s="70" t="s">
        <v>12</v>
      </c>
      <c r="P306" s="278">
        <v>10058454.425363276</v>
      </c>
      <c r="Q306" s="74"/>
      <c r="W306" s="206" t="str">
        <f t="shared" si="126"/>
        <v>2.06.03</v>
      </c>
      <c r="X306" s="207" t="str">
        <f t="shared" si="127"/>
        <v>KOMPUTER</v>
      </c>
      <c r="Y306" s="207">
        <f t="shared" si="128"/>
        <v>4</v>
      </c>
      <c r="Z306" s="233">
        <f t="shared" si="129"/>
        <v>2514611.106340819</v>
      </c>
      <c r="AA306" s="208">
        <f t="shared" si="130"/>
        <v>1</v>
      </c>
      <c r="AB306" s="233">
        <f t="shared" si="131"/>
        <v>2514611.106340819</v>
      </c>
      <c r="AC306" s="233">
        <f t="shared" si="132"/>
        <v>2514611.106340819</v>
      </c>
      <c r="AD306" s="233">
        <f t="shared" si="133"/>
        <v>2514611.106340819</v>
      </c>
      <c r="AE306" s="233">
        <f t="shared" si="134"/>
        <v>2514611.106340819</v>
      </c>
      <c r="AF306" s="233">
        <f t="shared" si="135"/>
        <v>0</v>
      </c>
      <c r="AG306" s="238">
        <f t="shared" si="136"/>
        <v>0</v>
      </c>
      <c r="AH306" s="238">
        <f t="shared" si="137"/>
        <v>10058444.425363276</v>
      </c>
      <c r="AI306" s="209">
        <f t="shared" si="138"/>
        <v>2012</v>
      </c>
      <c r="AJ306" s="210">
        <f t="shared" si="139"/>
        <v>10</v>
      </c>
    </row>
    <row r="307" spans="1:37" s="41" customFormat="1" ht="30.75" hidden="1" customHeight="1" x14ac:dyDescent="0.2">
      <c r="A307" s="48" t="s">
        <v>2296</v>
      </c>
      <c r="B307" s="69"/>
      <c r="C307" s="70" t="s">
        <v>299</v>
      </c>
      <c r="D307" s="70" t="s">
        <v>183</v>
      </c>
      <c r="E307" s="70"/>
      <c r="F307" s="70" t="s">
        <v>195</v>
      </c>
      <c r="G307" s="70"/>
      <c r="H307" s="70"/>
      <c r="I307" s="70">
        <v>2012</v>
      </c>
      <c r="J307" s="70"/>
      <c r="K307" s="70"/>
      <c r="L307" s="70"/>
      <c r="M307" s="70"/>
      <c r="N307" s="70"/>
      <c r="O307" s="70" t="s">
        <v>12</v>
      </c>
      <c r="P307" s="278">
        <v>2646961.6908850726</v>
      </c>
      <c r="Q307" s="74"/>
      <c r="W307" s="206" t="str">
        <f t="shared" si="126"/>
        <v>2.06.03</v>
      </c>
      <c r="X307" s="207" t="str">
        <f t="shared" si="127"/>
        <v>KOMPUTER</v>
      </c>
      <c r="Y307" s="207">
        <f t="shared" si="128"/>
        <v>4</v>
      </c>
      <c r="Z307" s="233">
        <f t="shared" si="129"/>
        <v>661737.92272126814</v>
      </c>
      <c r="AA307" s="208">
        <f t="shared" si="130"/>
        <v>1</v>
      </c>
      <c r="AB307" s="233">
        <f t="shared" si="131"/>
        <v>661737.92272126814</v>
      </c>
      <c r="AC307" s="233">
        <f t="shared" si="132"/>
        <v>661737.92272126814</v>
      </c>
      <c r="AD307" s="233">
        <f t="shared" si="133"/>
        <v>661737.92272126814</v>
      </c>
      <c r="AE307" s="233">
        <f t="shared" si="134"/>
        <v>661737.92272126814</v>
      </c>
      <c r="AF307" s="233">
        <f t="shared" si="135"/>
        <v>0</v>
      </c>
      <c r="AG307" s="238">
        <f t="shared" si="136"/>
        <v>0</v>
      </c>
      <c r="AH307" s="238">
        <f t="shared" si="137"/>
        <v>2646951.6908850726</v>
      </c>
      <c r="AI307" s="209">
        <f t="shared" si="138"/>
        <v>2012</v>
      </c>
      <c r="AJ307" s="210">
        <f t="shared" si="139"/>
        <v>10</v>
      </c>
    </row>
    <row r="308" spans="1:37" s="41" customFormat="1" ht="30.75" hidden="1" customHeight="1" x14ac:dyDescent="0.2">
      <c r="A308" s="48" t="s">
        <v>2297</v>
      </c>
      <c r="B308" s="69"/>
      <c r="C308" s="70" t="s">
        <v>2322</v>
      </c>
      <c r="D308" s="70" t="s">
        <v>1733</v>
      </c>
      <c r="E308" s="70"/>
      <c r="F308" s="70"/>
      <c r="G308" s="70"/>
      <c r="H308" s="70" t="s">
        <v>191</v>
      </c>
      <c r="I308" s="70">
        <v>2012</v>
      </c>
      <c r="J308" s="70"/>
      <c r="K308" s="70"/>
      <c r="L308" s="70"/>
      <c r="M308" s="70"/>
      <c r="N308" s="70"/>
      <c r="O308" s="70" t="s">
        <v>12</v>
      </c>
      <c r="P308" s="278">
        <v>100125000</v>
      </c>
      <c r="Q308" s="74"/>
      <c r="W308" s="206" t="str">
        <f t="shared" si="126"/>
        <v>2.06.02</v>
      </c>
      <c r="X308" s="207" t="str">
        <f t="shared" si="127"/>
        <v>ALAT RUMAH TANGGA</v>
      </c>
      <c r="Y308" s="207">
        <f t="shared" si="128"/>
        <v>5</v>
      </c>
      <c r="Z308" s="233">
        <f t="shared" si="129"/>
        <v>20024998</v>
      </c>
      <c r="AA308" s="208">
        <f t="shared" si="130"/>
        <v>1</v>
      </c>
      <c r="AB308" s="233">
        <f t="shared" si="131"/>
        <v>20024998</v>
      </c>
      <c r="AC308" s="233">
        <f t="shared" si="132"/>
        <v>20024998</v>
      </c>
      <c r="AD308" s="233">
        <f t="shared" si="133"/>
        <v>20024998</v>
      </c>
      <c r="AE308" s="233">
        <f t="shared" si="134"/>
        <v>20024998</v>
      </c>
      <c r="AF308" s="233">
        <f t="shared" si="135"/>
        <v>20024998</v>
      </c>
      <c r="AG308" s="238">
        <f t="shared" si="136"/>
        <v>0</v>
      </c>
      <c r="AH308" s="238">
        <f t="shared" si="137"/>
        <v>100124990</v>
      </c>
      <c r="AI308" s="209">
        <f t="shared" si="138"/>
        <v>2012</v>
      </c>
      <c r="AJ308" s="210">
        <f t="shared" si="139"/>
        <v>10</v>
      </c>
    </row>
    <row r="309" spans="1:37" s="41" customFormat="1" ht="30.75" hidden="1" customHeight="1" x14ac:dyDescent="0.2">
      <c r="A309" s="48" t="s">
        <v>2297</v>
      </c>
      <c r="B309" s="69"/>
      <c r="C309" s="70" t="s">
        <v>2331</v>
      </c>
      <c r="D309" s="70" t="s">
        <v>1734</v>
      </c>
      <c r="E309" s="70"/>
      <c r="F309" s="70"/>
      <c r="G309" s="70"/>
      <c r="H309" s="70"/>
      <c r="I309" s="70">
        <v>2012</v>
      </c>
      <c r="J309" s="70"/>
      <c r="K309" s="70"/>
      <c r="L309" s="70"/>
      <c r="M309" s="70"/>
      <c r="N309" s="70"/>
      <c r="O309" s="70" t="s">
        <v>12</v>
      </c>
      <c r="P309" s="278">
        <v>48701865.649999999</v>
      </c>
      <c r="Q309" s="74"/>
      <c r="W309" s="206" t="str">
        <f t="shared" si="126"/>
        <v>2.06.02</v>
      </c>
      <c r="X309" s="207" t="str">
        <f t="shared" si="127"/>
        <v>ALAT RUMAH TANGGA</v>
      </c>
      <c r="Y309" s="207">
        <f t="shared" si="128"/>
        <v>5</v>
      </c>
      <c r="Z309" s="233">
        <f t="shared" si="129"/>
        <v>9740371.129999999</v>
      </c>
      <c r="AA309" s="208">
        <f t="shared" si="130"/>
        <v>1</v>
      </c>
      <c r="AB309" s="233">
        <f t="shared" si="131"/>
        <v>9740371.129999999</v>
      </c>
      <c r="AC309" s="233">
        <f t="shared" si="132"/>
        <v>9740371.129999999</v>
      </c>
      <c r="AD309" s="233">
        <f t="shared" si="133"/>
        <v>9740371.129999999</v>
      </c>
      <c r="AE309" s="233">
        <f t="shared" si="134"/>
        <v>9740371.129999999</v>
      </c>
      <c r="AF309" s="233">
        <f t="shared" si="135"/>
        <v>9740371.129999999</v>
      </c>
      <c r="AG309" s="238">
        <f t="shared" si="136"/>
        <v>0</v>
      </c>
      <c r="AH309" s="238">
        <f t="shared" si="137"/>
        <v>48701855.649999991</v>
      </c>
      <c r="AI309" s="209">
        <f t="shared" si="138"/>
        <v>2012</v>
      </c>
      <c r="AJ309" s="210">
        <f t="shared" si="139"/>
        <v>10.000000007450581</v>
      </c>
    </row>
    <row r="310" spans="1:37" s="41" customFormat="1" ht="30.75" hidden="1" customHeight="1" x14ac:dyDescent="0.2">
      <c r="A310" s="48" t="s">
        <v>2296</v>
      </c>
      <c r="B310" s="69"/>
      <c r="C310" s="70" t="s">
        <v>298</v>
      </c>
      <c r="D310" s="70" t="s">
        <v>1718</v>
      </c>
      <c r="E310" s="70"/>
      <c r="F310" s="70" t="s">
        <v>231</v>
      </c>
      <c r="G310" s="70" t="s">
        <v>1735</v>
      </c>
      <c r="H310" s="70" t="s">
        <v>1730</v>
      </c>
      <c r="I310" s="70">
        <v>2012</v>
      </c>
      <c r="J310" s="70"/>
      <c r="K310" s="70"/>
      <c r="L310" s="70"/>
      <c r="M310" s="70"/>
      <c r="N310" s="70"/>
      <c r="O310" s="70" t="s">
        <v>12</v>
      </c>
      <c r="P310" s="278">
        <v>22086567.710361429</v>
      </c>
      <c r="Q310" s="74"/>
      <c r="W310" s="206" t="str">
        <f t="shared" si="126"/>
        <v>2.06.03</v>
      </c>
      <c r="X310" s="207" t="str">
        <f t="shared" si="127"/>
        <v>KOMPUTER</v>
      </c>
      <c r="Y310" s="207">
        <f t="shared" si="128"/>
        <v>4</v>
      </c>
      <c r="Z310" s="233">
        <f t="shared" si="129"/>
        <v>5521639.4275903571</v>
      </c>
      <c r="AA310" s="208">
        <f t="shared" si="130"/>
        <v>1</v>
      </c>
      <c r="AB310" s="233">
        <f t="shared" si="131"/>
        <v>5521639.4275903571</v>
      </c>
      <c r="AC310" s="233">
        <f t="shared" si="132"/>
        <v>5521639.4275903571</v>
      </c>
      <c r="AD310" s="233">
        <f t="shared" si="133"/>
        <v>5521639.4275903571</v>
      </c>
      <c r="AE310" s="233">
        <f t="shared" si="134"/>
        <v>5521639.4275903571</v>
      </c>
      <c r="AF310" s="233">
        <f t="shared" si="135"/>
        <v>0</v>
      </c>
      <c r="AG310" s="238">
        <f t="shared" si="136"/>
        <v>0</v>
      </c>
      <c r="AH310" s="238">
        <f t="shared" si="137"/>
        <v>22086557.710361429</v>
      </c>
      <c r="AI310" s="209">
        <f t="shared" si="138"/>
        <v>2012</v>
      </c>
      <c r="AJ310" s="210">
        <f t="shared" si="139"/>
        <v>10</v>
      </c>
    </row>
    <row r="311" spans="1:37" s="41" customFormat="1" ht="30.75" hidden="1" customHeight="1" x14ac:dyDescent="0.2">
      <c r="A311" s="48" t="s">
        <v>2296</v>
      </c>
      <c r="B311" s="69"/>
      <c r="C311" s="70" t="s">
        <v>298</v>
      </c>
      <c r="D311" s="70" t="s">
        <v>1718</v>
      </c>
      <c r="E311" s="70" t="s">
        <v>1725</v>
      </c>
      <c r="F311" s="70" t="s">
        <v>1736</v>
      </c>
      <c r="G311" s="70" t="s">
        <v>1729</v>
      </c>
      <c r="H311" s="70" t="s">
        <v>1730</v>
      </c>
      <c r="I311" s="70">
        <v>2012</v>
      </c>
      <c r="J311" s="70" t="s">
        <v>1737</v>
      </c>
      <c r="K311" s="70"/>
      <c r="L311" s="70"/>
      <c r="M311" s="70"/>
      <c r="N311" s="70"/>
      <c r="O311" s="70" t="s">
        <v>12</v>
      </c>
      <c r="P311" s="278">
        <v>8800000</v>
      </c>
      <c r="Q311" s="74"/>
      <c r="U311" s="269">
        <f>P311/2</f>
        <v>4400000</v>
      </c>
      <c r="W311" s="206" t="str">
        <f t="shared" si="126"/>
        <v>2.06.03</v>
      </c>
      <c r="X311" s="207" t="str">
        <f t="shared" si="127"/>
        <v>KOMPUTER</v>
      </c>
      <c r="Y311" s="207">
        <f t="shared" si="128"/>
        <v>4</v>
      </c>
      <c r="Z311" s="233">
        <f t="shared" si="129"/>
        <v>2199997.5</v>
      </c>
      <c r="AA311" s="208">
        <f t="shared" si="130"/>
        <v>1</v>
      </c>
      <c r="AB311" s="233">
        <f t="shared" si="131"/>
        <v>2199997.5</v>
      </c>
      <c r="AC311" s="233">
        <f t="shared" si="132"/>
        <v>2199997.5</v>
      </c>
      <c r="AD311" s="233">
        <f t="shared" si="133"/>
        <v>2199997.5</v>
      </c>
      <c r="AE311" s="233">
        <f t="shared" si="134"/>
        <v>2199997.5</v>
      </c>
      <c r="AF311" s="233">
        <f t="shared" si="135"/>
        <v>0</v>
      </c>
      <c r="AG311" s="238">
        <f t="shared" si="136"/>
        <v>0</v>
      </c>
      <c r="AH311" s="238">
        <f t="shared" si="137"/>
        <v>8799990</v>
      </c>
      <c r="AI311" s="209">
        <f t="shared" si="138"/>
        <v>2012</v>
      </c>
      <c r="AJ311" s="210">
        <f t="shared" si="139"/>
        <v>10</v>
      </c>
    </row>
    <row r="312" spans="1:37" s="41" customFormat="1" ht="30.75" hidden="1" customHeight="1" x14ac:dyDescent="0.2">
      <c r="A312" s="48" t="s">
        <v>2297</v>
      </c>
      <c r="B312" s="69"/>
      <c r="C312" s="70" t="s">
        <v>2332</v>
      </c>
      <c r="D312" s="70" t="s">
        <v>1738</v>
      </c>
      <c r="E312" s="70"/>
      <c r="F312" s="70" t="s">
        <v>204</v>
      </c>
      <c r="G312" s="70"/>
      <c r="H312" s="70" t="s">
        <v>191</v>
      </c>
      <c r="I312" s="70">
        <v>2012</v>
      </c>
      <c r="J312" s="70" t="s">
        <v>1739</v>
      </c>
      <c r="K312" s="70"/>
      <c r="L312" s="70"/>
      <c r="M312" s="70"/>
      <c r="N312" s="70"/>
      <c r="O312" s="70" t="s">
        <v>12</v>
      </c>
      <c r="P312" s="278">
        <v>7916000</v>
      </c>
      <c r="Q312" s="74"/>
      <c r="W312" s="206" t="str">
        <f t="shared" si="126"/>
        <v>2.06.02</v>
      </c>
      <c r="X312" s="207" t="str">
        <f t="shared" si="127"/>
        <v>ALAT RUMAH TANGGA</v>
      </c>
      <c r="Y312" s="207">
        <f t="shared" si="128"/>
        <v>5</v>
      </c>
      <c r="Z312" s="233">
        <f t="shared" si="129"/>
        <v>1583198</v>
      </c>
      <c r="AA312" s="208">
        <f t="shared" si="130"/>
        <v>1</v>
      </c>
      <c r="AB312" s="233">
        <f t="shared" si="131"/>
        <v>1583198</v>
      </c>
      <c r="AC312" s="233">
        <f t="shared" si="132"/>
        <v>1583198</v>
      </c>
      <c r="AD312" s="233">
        <f t="shared" si="133"/>
        <v>1583198</v>
      </c>
      <c r="AE312" s="233">
        <f t="shared" si="134"/>
        <v>1583198</v>
      </c>
      <c r="AF312" s="233">
        <f t="shared" si="135"/>
        <v>1583198</v>
      </c>
      <c r="AG312" s="238">
        <f t="shared" si="136"/>
        <v>0</v>
      </c>
      <c r="AH312" s="238">
        <f t="shared" si="137"/>
        <v>7915990</v>
      </c>
      <c r="AI312" s="209">
        <f t="shared" si="138"/>
        <v>2012</v>
      </c>
      <c r="AJ312" s="210">
        <f t="shared" si="139"/>
        <v>10</v>
      </c>
    </row>
    <row r="313" spans="1:37" s="41" customFormat="1" ht="30.75" hidden="1" customHeight="1" x14ac:dyDescent="0.2">
      <c r="A313" s="48" t="s">
        <v>2297</v>
      </c>
      <c r="B313" s="69"/>
      <c r="C313" s="70" t="s">
        <v>278</v>
      </c>
      <c r="D313" s="70" t="s">
        <v>1740</v>
      </c>
      <c r="E313" s="70" t="s">
        <v>327</v>
      </c>
      <c r="F313" s="70"/>
      <c r="G313" s="70"/>
      <c r="H313" s="70" t="s">
        <v>1741</v>
      </c>
      <c r="I313" s="70">
        <v>2013</v>
      </c>
      <c r="J313" s="70"/>
      <c r="K313" s="70"/>
      <c r="L313" s="70"/>
      <c r="M313" s="70"/>
      <c r="N313" s="70"/>
      <c r="O313" s="70" t="s">
        <v>12</v>
      </c>
      <c r="P313" s="278">
        <v>4500000</v>
      </c>
      <c r="Q313" s="74"/>
      <c r="W313" s="206" t="str">
        <f t="shared" si="126"/>
        <v>2.06.02</v>
      </c>
      <c r="X313" s="207" t="str">
        <f t="shared" si="127"/>
        <v>ALAT RUMAH TANGGA</v>
      </c>
      <c r="Y313" s="207">
        <f t="shared" si="128"/>
        <v>5</v>
      </c>
      <c r="Z313" s="233">
        <f t="shared" si="129"/>
        <v>899998</v>
      </c>
      <c r="AA313" s="208">
        <f t="shared" si="130"/>
        <v>0</v>
      </c>
      <c r="AB313" s="233">
        <f t="shared" si="131"/>
        <v>0</v>
      </c>
      <c r="AC313" s="233">
        <f t="shared" si="132"/>
        <v>899998</v>
      </c>
      <c r="AD313" s="233">
        <f t="shared" si="133"/>
        <v>899998</v>
      </c>
      <c r="AE313" s="233">
        <f t="shared" si="134"/>
        <v>899998</v>
      </c>
      <c r="AF313" s="233">
        <f t="shared" si="135"/>
        <v>899998</v>
      </c>
      <c r="AG313" s="238">
        <f t="shared" si="136"/>
        <v>899998</v>
      </c>
      <c r="AH313" s="238">
        <f t="shared" si="137"/>
        <v>4499990</v>
      </c>
      <c r="AI313" s="209">
        <f t="shared" si="138"/>
        <v>2013</v>
      </c>
      <c r="AJ313" s="210">
        <f t="shared" si="139"/>
        <v>10</v>
      </c>
    </row>
    <row r="314" spans="1:37" s="41" customFormat="1" ht="30.75" hidden="1" customHeight="1" x14ac:dyDescent="0.2">
      <c r="A314" s="48" t="s">
        <v>2297</v>
      </c>
      <c r="B314" s="69"/>
      <c r="C314" s="70" t="s">
        <v>2332</v>
      </c>
      <c r="D314" s="70" t="s">
        <v>203</v>
      </c>
      <c r="E314" s="70" t="s">
        <v>39</v>
      </c>
      <c r="F314" s="70"/>
      <c r="G314" s="70"/>
      <c r="H314" s="70" t="s">
        <v>1717</v>
      </c>
      <c r="I314" s="70">
        <v>2013</v>
      </c>
      <c r="J314" s="70"/>
      <c r="K314" s="70"/>
      <c r="L314" s="70"/>
      <c r="M314" s="70"/>
      <c r="N314" s="70"/>
      <c r="O314" s="70" t="s">
        <v>12</v>
      </c>
      <c r="P314" s="278">
        <v>3600000</v>
      </c>
      <c r="Q314" s="74"/>
      <c r="W314" s="206" t="str">
        <f t="shared" si="126"/>
        <v>2.06.02</v>
      </c>
      <c r="X314" s="207" t="str">
        <f t="shared" si="127"/>
        <v>ALAT RUMAH TANGGA</v>
      </c>
      <c r="Y314" s="207">
        <f t="shared" si="128"/>
        <v>5</v>
      </c>
      <c r="Z314" s="233">
        <f t="shared" si="129"/>
        <v>719998</v>
      </c>
      <c r="AA314" s="208">
        <f t="shared" si="130"/>
        <v>0</v>
      </c>
      <c r="AB314" s="233">
        <f t="shared" si="131"/>
        <v>0</v>
      </c>
      <c r="AC314" s="233">
        <f t="shared" si="132"/>
        <v>719998</v>
      </c>
      <c r="AD314" s="233">
        <f t="shared" si="133"/>
        <v>719998</v>
      </c>
      <c r="AE314" s="233">
        <f t="shared" si="134"/>
        <v>719998</v>
      </c>
      <c r="AF314" s="233">
        <f t="shared" si="135"/>
        <v>719998</v>
      </c>
      <c r="AG314" s="238">
        <f t="shared" si="136"/>
        <v>719998</v>
      </c>
      <c r="AH314" s="238">
        <f t="shared" si="137"/>
        <v>3599990</v>
      </c>
      <c r="AI314" s="209">
        <f t="shared" si="138"/>
        <v>2013</v>
      </c>
      <c r="AJ314" s="210">
        <f t="shared" si="139"/>
        <v>10</v>
      </c>
    </row>
    <row r="315" spans="1:37" s="41" customFormat="1" ht="30.75" hidden="1" customHeight="1" x14ac:dyDescent="0.2">
      <c r="A315" s="48" t="s">
        <v>2297</v>
      </c>
      <c r="B315" s="69"/>
      <c r="C315" s="70" t="s">
        <v>2326</v>
      </c>
      <c r="D315" s="70" t="s">
        <v>1742</v>
      </c>
      <c r="E315" s="70" t="s">
        <v>1743</v>
      </c>
      <c r="F315" s="70"/>
      <c r="G315" s="70"/>
      <c r="H315" s="70"/>
      <c r="I315" s="70">
        <v>2013</v>
      </c>
      <c r="J315" s="70"/>
      <c r="K315" s="70"/>
      <c r="L315" s="70"/>
      <c r="M315" s="70"/>
      <c r="N315" s="70"/>
      <c r="O315" s="70" t="s">
        <v>12</v>
      </c>
      <c r="P315" s="278">
        <v>4500000</v>
      </c>
      <c r="Q315" s="74"/>
      <c r="U315" s="269">
        <f>P315/3</f>
        <v>1500000</v>
      </c>
      <c r="W315" s="206" t="str">
        <f t="shared" si="126"/>
        <v>2.06.02</v>
      </c>
      <c r="X315" s="207" t="str">
        <f t="shared" si="127"/>
        <v>ALAT RUMAH TANGGA</v>
      </c>
      <c r="Y315" s="207">
        <f t="shared" si="128"/>
        <v>5</v>
      </c>
      <c r="Z315" s="233">
        <f t="shared" si="129"/>
        <v>899998</v>
      </c>
      <c r="AA315" s="208">
        <f t="shared" si="130"/>
        <v>0</v>
      </c>
      <c r="AB315" s="233">
        <f t="shared" si="131"/>
        <v>0</v>
      </c>
      <c r="AC315" s="233">
        <f t="shared" si="132"/>
        <v>899998</v>
      </c>
      <c r="AD315" s="233">
        <f t="shared" si="133"/>
        <v>899998</v>
      </c>
      <c r="AE315" s="233">
        <f t="shared" si="134"/>
        <v>899998</v>
      </c>
      <c r="AF315" s="233">
        <f t="shared" si="135"/>
        <v>899998</v>
      </c>
      <c r="AG315" s="238">
        <f t="shared" si="136"/>
        <v>899998</v>
      </c>
      <c r="AH315" s="238">
        <f t="shared" si="137"/>
        <v>4499990</v>
      </c>
      <c r="AI315" s="209">
        <f t="shared" si="138"/>
        <v>2013</v>
      </c>
      <c r="AJ315" s="210">
        <f t="shared" si="139"/>
        <v>10</v>
      </c>
    </row>
    <row r="316" spans="1:37" s="41" customFormat="1" ht="30.75" customHeight="1" x14ac:dyDescent="0.2">
      <c r="A316" s="48" t="s">
        <v>2297</v>
      </c>
      <c r="B316" s="69"/>
      <c r="C316" s="70" t="s">
        <v>2328</v>
      </c>
      <c r="D316" s="70" t="s">
        <v>1744</v>
      </c>
      <c r="E316" s="70" t="s">
        <v>1745</v>
      </c>
      <c r="F316" s="70"/>
      <c r="G316" s="70"/>
      <c r="H316" s="70"/>
      <c r="I316" s="70">
        <v>2013</v>
      </c>
      <c r="J316" s="70"/>
      <c r="K316" s="70"/>
      <c r="L316" s="70"/>
      <c r="M316" s="70"/>
      <c r="N316" s="70"/>
      <c r="O316" s="70" t="s">
        <v>12</v>
      </c>
      <c r="P316" s="278">
        <v>3500000</v>
      </c>
      <c r="Q316" s="74"/>
      <c r="U316" s="269">
        <f>P316/7</f>
        <v>500000</v>
      </c>
      <c r="V316" s="41" t="s">
        <v>2615</v>
      </c>
      <c r="W316" s="206" t="str">
        <f t="shared" si="126"/>
        <v>2.06.02</v>
      </c>
      <c r="X316" s="207" t="str">
        <f t="shared" si="127"/>
        <v>ALAT RUMAH TANGGA</v>
      </c>
      <c r="Y316" s="207">
        <f t="shared" si="128"/>
        <v>5</v>
      </c>
      <c r="Z316" s="233">
        <f t="shared" si="129"/>
        <v>699998</v>
      </c>
      <c r="AA316" s="208">
        <f t="shared" si="130"/>
        <v>0</v>
      </c>
      <c r="AB316" s="233">
        <f t="shared" si="131"/>
        <v>0</v>
      </c>
      <c r="AC316" s="233">
        <f t="shared" si="132"/>
        <v>699998</v>
      </c>
      <c r="AD316" s="233">
        <f t="shared" si="133"/>
        <v>699998</v>
      </c>
      <c r="AE316" s="233">
        <f t="shared" si="134"/>
        <v>699998</v>
      </c>
      <c r="AF316" s="233">
        <f t="shared" si="135"/>
        <v>699998</v>
      </c>
      <c r="AG316" s="241">
        <f t="shared" si="136"/>
        <v>699998</v>
      </c>
      <c r="AH316" s="238">
        <f t="shared" si="137"/>
        <v>3499990</v>
      </c>
      <c r="AI316" s="209">
        <f t="shared" si="138"/>
        <v>2013</v>
      </c>
      <c r="AJ316" s="210">
        <f t="shared" si="139"/>
        <v>10</v>
      </c>
      <c r="AK316" s="285">
        <f>AH316-AG316</f>
        <v>2799992</v>
      </c>
    </row>
    <row r="317" spans="1:37" s="41" customFormat="1" ht="30.75" hidden="1" customHeight="1" x14ac:dyDescent="0.2">
      <c r="A317" s="48" t="s">
        <v>2296</v>
      </c>
      <c r="B317" s="69"/>
      <c r="C317" s="70" t="s">
        <v>299</v>
      </c>
      <c r="D317" s="70" t="s">
        <v>1746</v>
      </c>
      <c r="E317" s="70" t="s">
        <v>274</v>
      </c>
      <c r="F317" s="70"/>
      <c r="G317" s="70"/>
      <c r="H317" s="70" t="s">
        <v>1741</v>
      </c>
      <c r="I317" s="70">
        <v>2013</v>
      </c>
      <c r="J317" s="70"/>
      <c r="K317" s="70"/>
      <c r="L317" s="70"/>
      <c r="M317" s="70"/>
      <c r="N317" s="70"/>
      <c r="O317" s="70" t="s">
        <v>12</v>
      </c>
      <c r="P317" s="278">
        <v>5000000</v>
      </c>
      <c r="Q317" s="74"/>
      <c r="U317" s="269">
        <f>P317/2</f>
        <v>2500000</v>
      </c>
      <c r="W317" s="206" t="str">
        <f t="shared" si="126"/>
        <v>2.06.03</v>
      </c>
      <c r="X317" s="207" t="str">
        <f t="shared" si="127"/>
        <v>KOMPUTER</v>
      </c>
      <c r="Y317" s="207">
        <f t="shared" si="128"/>
        <v>4</v>
      </c>
      <c r="Z317" s="233">
        <f t="shared" si="129"/>
        <v>1249997.5</v>
      </c>
      <c r="AA317" s="208">
        <f t="shared" si="130"/>
        <v>0</v>
      </c>
      <c r="AB317" s="233">
        <f t="shared" si="131"/>
        <v>0</v>
      </c>
      <c r="AC317" s="233">
        <f t="shared" si="132"/>
        <v>1249997.5</v>
      </c>
      <c r="AD317" s="233">
        <f t="shared" si="133"/>
        <v>1249997.5</v>
      </c>
      <c r="AE317" s="233">
        <f t="shared" si="134"/>
        <v>1249997.5</v>
      </c>
      <c r="AF317" s="233">
        <f t="shared" si="135"/>
        <v>1249997.5</v>
      </c>
      <c r="AG317" s="238">
        <f t="shared" si="136"/>
        <v>0</v>
      </c>
      <c r="AH317" s="238">
        <f t="shared" si="137"/>
        <v>4999990</v>
      </c>
      <c r="AI317" s="209">
        <f t="shared" si="138"/>
        <v>2013</v>
      </c>
      <c r="AJ317" s="210">
        <f t="shared" si="139"/>
        <v>10</v>
      </c>
    </row>
    <row r="318" spans="1:37" s="41" customFormat="1" ht="30.75" hidden="1" customHeight="1" x14ac:dyDescent="0.2">
      <c r="A318" s="48" t="s">
        <v>2296</v>
      </c>
      <c r="B318" s="69"/>
      <c r="C318" s="70" t="s">
        <v>2330</v>
      </c>
      <c r="D318" s="70" t="s">
        <v>1720</v>
      </c>
      <c r="E318" s="70" t="s">
        <v>39</v>
      </c>
      <c r="F318" s="70"/>
      <c r="G318" s="70"/>
      <c r="H318" s="70" t="s">
        <v>1741</v>
      </c>
      <c r="I318" s="70">
        <v>2014</v>
      </c>
      <c r="J318" s="70"/>
      <c r="K318" s="70"/>
      <c r="L318" s="70"/>
      <c r="M318" s="70"/>
      <c r="N318" s="70"/>
      <c r="O318" s="70" t="s">
        <v>12</v>
      </c>
      <c r="P318" s="278">
        <v>19289000</v>
      </c>
      <c r="Q318" s="74"/>
      <c r="W318" s="206" t="str">
        <f t="shared" si="126"/>
        <v>2.06.03</v>
      </c>
      <c r="X318" s="207" t="str">
        <f t="shared" si="127"/>
        <v>KOMPUTER</v>
      </c>
      <c r="Y318" s="207">
        <f t="shared" si="128"/>
        <v>4</v>
      </c>
      <c r="Z318" s="233">
        <f t="shared" si="129"/>
        <v>4822247.5</v>
      </c>
      <c r="AA318" s="208"/>
      <c r="AB318" s="233"/>
      <c r="AC318" s="233">
        <f t="shared" si="132"/>
        <v>4822247.5</v>
      </c>
      <c r="AD318" s="233">
        <f t="shared" si="133"/>
        <v>4822247.5</v>
      </c>
      <c r="AE318" s="233">
        <f t="shared" si="134"/>
        <v>4822247.5</v>
      </c>
      <c r="AF318" s="233">
        <f t="shared" si="135"/>
        <v>4822247.5</v>
      </c>
      <c r="AG318" s="238">
        <f t="shared" si="136"/>
        <v>0</v>
      </c>
      <c r="AH318" s="238">
        <f t="shared" si="137"/>
        <v>19288990</v>
      </c>
      <c r="AI318" s="209">
        <f t="shared" si="138"/>
        <v>2014</v>
      </c>
      <c r="AJ318" s="210">
        <f t="shared" si="139"/>
        <v>10</v>
      </c>
    </row>
    <row r="319" spans="1:37" s="41" customFormat="1" ht="30.75" hidden="1" customHeight="1" x14ac:dyDescent="0.2">
      <c r="A319" s="48" t="s">
        <v>2296</v>
      </c>
      <c r="B319" s="69"/>
      <c r="C319" s="70" t="s">
        <v>2329</v>
      </c>
      <c r="D319" s="70" t="s">
        <v>2277</v>
      </c>
      <c r="E319" s="70"/>
      <c r="F319" s="70"/>
      <c r="G319" s="70"/>
      <c r="H319" s="70"/>
      <c r="I319" s="70">
        <v>2016</v>
      </c>
      <c r="J319" s="70"/>
      <c r="K319" s="70"/>
      <c r="L319" s="70"/>
      <c r="M319" s="70"/>
      <c r="N319" s="70"/>
      <c r="O319" s="70" t="s">
        <v>12</v>
      </c>
      <c r="P319" s="278">
        <v>77427000</v>
      </c>
      <c r="Q319" s="74"/>
      <c r="W319" s="206" t="str">
        <f t="shared" si="126"/>
        <v>2.06.03</v>
      </c>
      <c r="X319" s="207" t="str">
        <f t="shared" si="127"/>
        <v>KOMPUTER</v>
      </c>
      <c r="Y319" s="207">
        <f t="shared" si="128"/>
        <v>4</v>
      </c>
      <c r="Z319" s="233">
        <f t="shared" si="129"/>
        <v>19356747.5</v>
      </c>
      <c r="AA319" s="208"/>
      <c r="AB319" s="233"/>
      <c r="AC319" s="233">
        <f t="shared" si="132"/>
        <v>19356747.5</v>
      </c>
      <c r="AD319" s="233">
        <f t="shared" si="133"/>
        <v>19356747.5</v>
      </c>
      <c r="AE319" s="233">
        <f t="shared" si="134"/>
        <v>19356747.5</v>
      </c>
      <c r="AF319" s="233">
        <f t="shared" si="135"/>
        <v>19356747.5</v>
      </c>
      <c r="AG319" s="238">
        <f t="shared" si="136"/>
        <v>0</v>
      </c>
      <c r="AH319" s="238">
        <f t="shared" si="137"/>
        <v>77426990</v>
      </c>
      <c r="AI319" s="209">
        <f t="shared" si="138"/>
        <v>2016</v>
      </c>
      <c r="AJ319" s="210">
        <f t="shared" si="139"/>
        <v>10</v>
      </c>
    </row>
    <row r="320" spans="1:37" s="41" customFormat="1" ht="30.75" hidden="1" customHeight="1" x14ac:dyDescent="0.2">
      <c r="A320" s="48"/>
      <c r="B320" s="69"/>
      <c r="C320" s="70" t="s">
        <v>295</v>
      </c>
      <c r="D320" s="70" t="s">
        <v>944</v>
      </c>
      <c r="E320" s="70" t="s">
        <v>39</v>
      </c>
      <c r="F320" s="70"/>
      <c r="G320" s="70"/>
      <c r="H320" s="70"/>
      <c r="I320" s="70">
        <v>2017</v>
      </c>
      <c r="J320" s="70"/>
      <c r="K320" s="70"/>
      <c r="L320" s="70"/>
      <c r="M320" s="70"/>
      <c r="N320" s="70"/>
      <c r="O320" s="70" t="s">
        <v>12</v>
      </c>
      <c r="P320" s="278">
        <v>9845000</v>
      </c>
      <c r="Q320" s="74"/>
      <c r="W320" s="206" t="str">
        <f t="shared" ref="W320:W325" si="140">MID(C320,2,7)</f>
        <v>2.06.03</v>
      </c>
      <c r="X320" s="207" t="str">
        <f t="shared" ref="X320:X325" si="141">VLOOKUP(W320,UE,2)</f>
        <v>4.16.04</v>
      </c>
      <c r="Y320" s="207">
        <f t="shared" si="128"/>
        <v>4</v>
      </c>
      <c r="Z320" s="233">
        <f t="shared" si="129"/>
        <v>2461247.5</v>
      </c>
      <c r="AA320" s="208"/>
      <c r="AB320" s="233"/>
      <c r="AC320" s="233"/>
      <c r="AD320" s="233"/>
      <c r="AE320" s="233"/>
      <c r="AF320" s="233"/>
      <c r="AG320" s="238">
        <f t="shared" si="136"/>
        <v>2461247.5</v>
      </c>
      <c r="AH320" s="238">
        <f t="shared" si="137"/>
        <v>2461247.5</v>
      </c>
      <c r="AI320" s="209">
        <f t="shared" si="138"/>
        <v>2017</v>
      </c>
      <c r="AJ320" s="210">
        <f t="shared" si="139"/>
        <v>7383752.5</v>
      </c>
    </row>
    <row r="321" spans="1:38" s="41" customFormat="1" ht="30.75" hidden="1" customHeight="1" x14ac:dyDescent="0.2">
      <c r="A321" s="48"/>
      <c r="B321" s="69"/>
      <c r="C321" s="70" t="s">
        <v>295</v>
      </c>
      <c r="D321" s="70" t="s">
        <v>944</v>
      </c>
      <c r="E321" s="70" t="s">
        <v>39</v>
      </c>
      <c r="F321" s="70"/>
      <c r="G321" s="70"/>
      <c r="H321" s="70"/>
      <c r="I321" s="70">
        <v>2017</v>
      </c>
      <c r="J321" s="70"/>
      <c r="K321" s="70"/>
      <c r="L321" s="70"/>
      <c r="M321" s="70"/>
      <c r="N321" s="70"/>
      <c r="O321" s="70" t="s">
        <v>12</v>
      </c>
      <c r="P321" s="278">
        <v>9845000</v>
      </c>
      <c r="Q321" s="74"/>
      <c r="W321" s="206" t="str">
        <f t="shared" si="140"/>
        <v>2.06.03</v>
      </c>
      <c r="X321" s="207" t="str">
        <f t="shared" si="141"/>
        <v>4.16.04</v>
      </c>
      <c r="Y321" s="207" t="str">
        <f>VLOOKUP(W321,UE,3)</f>
        <v>Jaringan Gas</v>
      </c>
      <c r="Z321" s="233" t="e">
        <f t="shared" si="129"/>
        <v>#VALUE!</v>
      </c>
      <c r="AA321" s="208"/>
      <c r="AB321" s="233"/>
      <c r="AC321" s="233"/>
      <c r="AD321" s="233"/>
      <c r="AE321" s="233"/>
      <c r="AF321" s="233"/>
      <c r="AG321" s="238" t="e">
        <f t="shared" si="136"/>
        <v>#VALUE!</v>
      </c>
      <c r="AH321" s="238" t="e">
        <f t="shared" si="137"/>
        <v>#VALUE!</v>
      </c>
      <c r="AI321" s="209">
        <f t="shared" si="138"/>
        <v>2017</v>
      </c>
      <c r="AJ321" s="210" t="e">
        <f t="shared" si="139"/>
        <v>#VALUE!</v>
      </c>
    </row>
    <row r="322" spans="1:38" s="41" customFormat="1" ht="30.75" hidden="1" customHeight="1" x14ac:dyDescent="0.2">
      <c r="A322" s="48"/>
      <c r="B322" s="69"/>
      <c r="C322" s="70" t="s">
        <v>295</v>
      </c>
      <c r="D322" s="70" t="s">
        <v>944</v>
      </c>
      <c r="E322" s="70" t="s">
        <v>39</v>
      </c>
      <c r="F322" s="70"/>
      <c r="G322" s="70"/>
      <c r="H322" s="70"/>
      <c r="I322" s="70">
        <v>2017</v>
      </c>
      <c r="J322" s="70"/>
      <c r="K322" s="70"/>
      <c r="L322" s="70"/>
      <c r="M322" s="70"/>
      <c r="N322" s="70"/>
      <c r="O322" s="70" t="s">
        <v>12</v>
      </c>
      <c r="P322" s="278">
        <v>9845000</v>
      </c>
      <c r="Q322" s="74"/>
      <c r="W322" s="206" t="str">
        <f t="shared" si="140"/>
        <v>2.06.03</v>
      </c>
      <c r="X322" s="207" t="str">
        <f t="shared" si="141"/>
        <v>4.16.04</v>
      </c>
      <c r="Y322" s="207" t="str">
        <f>VLOOKUP(W322,UE,3)</f>
        <v>Jaringan Gas</v>
      </c>
      <c r="Z322" s="233" t="e">
        <f t="shared" si="129"/>
        <v>#VALUE!</v>
      </c>
      <c r="AA322" s="208"/>
      <c r="AB322" s="233"/>
      <c r="AC322" s="233"/>
      <c r="AD322" s="233"/>
      <c r="AE322" s="233"/>
      <c r="AF322" s="233"/>
      <c r="AG322" s="238" t="e">
        <f t="shared" si="136"/>
        <v>#VALUE!</v>
      </c>
      <c r="AH322" s="238" t="e">
        <f t="shared" si="137"/>
        <v>#VALUE!</v>
      </c>
      <c r="AI322" s="209">
        <f t="shared" si="138"/>
        <v>2017</v>
      </c>
      <c r="AJ322" s="210" t="e">
        <f t="shared" si="139"/>
        <v>#VALUE!</v>
      </c>
    </row>
    <row r="323" spans="1:38" s="41" customFormat="1" ht="30.75" hidden="1" customHeight="1" x14ac:dyDescent="0.2">
      <c r="A323" s="48"/>
      <c r="B323" s="69"/>
      <c r="C323" s="70" t="s">
        <v>295</v>
      </c>
      <c r="D323" s="70" t="s">
        <v>944</v>
      </c>
      <c r="E323" s="70" t="s">
        <v>39</v>
      </c>
      <c r="F323" s="70"/>
      <c r="G323" s="70"/>
      <c r="H323" s="70"/>
      <c r="I323" s="70">
        <v>2017</v>
      </c>
      <c r="J323" s="70"/>
      <c r="K323" s="70"/>
      <c r="L323" s="70"/>
      <c r="M323" s="70"/>
      <c r="N323" s="70"/>
      <c r="O323" s="70" t="s">
        <v>12</v>
      </c>
      <c r="P323" s="278">
        <v>9845000</v>
      </c>
      <c r="Q323" s="74"/>
      <c r="W323" s="206" t="str">
        <f t="shared" si="140"/>
        <v>2.06.03</v>
      </c>
      <c r="X323" s="207" t="str">
        <f t="shared" si="141"/>
        <v>4.16.04</v>
      </c>
      <c r="Y323" s="207" t="str">
        <f>VLOOKUP(W323,UE,3)</f>
        <v>Jaringan Gas</v>
      </c>
      <c r="Z323" s="233" t="e">
        <f t="shared" si="129"/>
        <v>#VALUE!</v>
      </c>
      <c r="AA323" s="208"/>
      <c r="AB323" s="233"/>
      <c r="AC323" s="233"/>
      <c r="AD323" s="233"/>
      <c r="AE323" s="233"/>
      <c r="AF323" s="233"/>
      <c r="AG323" s="238" t="e">
        <f t="shared" si="136"/>
        <v>#VALUE!</v>
      </c>
      <c r="AH323" s="238" t="e">
        <f t="shared" si="137"/>
        <v>#VALUE!</v>
      </c>
      <c r="AI323" s="209">
        <f t="shared" si="138"/>
        <v>2017</v>
      </c>
      <c r="AJ323" s="210" t="e">
        <f t="shared" si="139"/>
        <v>#VALUE!</v>
      </c>
    </row>
    <row r="324" spans="1:38" s="41" customFormat="1" ht="30.75" hidden="1" customHeight="1" x14ac:dyDescent="0.2">
      <c r="A324" s="48"/>
      <c r="B324" s="69"/>
      <c r="C324" s="70" t="s">
        <v>295</v>
      </c>
      <c r="D324" s="70" t="s">
        <v>944</v>
      </c>
      <c r="E324" s="70" t="s">
        <v>39</v>
      </c>
      <c r="F324" s="70"/>
      <c r="G324" s="70"/>
      <c r="H324" s="70"/>
      <c r="I324" s="70">
        <v>2017</v>
      </c>
      <c r="J324" s="70"/>
      <c r="K324" s="70"/>
      <c r="L324" s="70"/>
      <c r="M324" s="70"/>
      <c r="N324" s="70"/>
      <c r="O324" s="70" t="s">
        <v>12</v>
      </c>
      <c r="P324" s="278">
        <v>9845000</v>
      </c>
      <c r="Q324" s="74"/>
      <c r="W324" s="206" t="str">
        <f t="shared" si="140"/>
        <v>2.06.03</v>
      </c>
      <c r="X324" s="207" t="str">
        <f t="shared" si="141"/>
        <v>4.16.04</v>
      </c>
      <c r="Y324" s="207" t="str">
        <f>VLOOKUP(W324,UE,3)</f>
        <v>Jaringan Gas</v>
      </c>
      <c r="Z324" s="233" t="e">
        <f t="shared" si="129"/>
        <v>#VALUE!</v>
      </c>
      <c r="AA324" s="208"/>
      <c r="AB324" s="233"/>
      <c r="AC324" s="233"/>
      <c r="AD324" s="233"/>
      <c r="AE324" s="233"/>
      <c r="AF324" s="233"/>
      <c r="AG324" s="238" t="e">
        <f t="shared" si="136"/>
        <v>#VALUE!</v>
      </c>
      <c r="AH324" s="238" t="e">
        <f t="shared" si="137"/>
        <v>#VALUE!</v>
      </c>
      <c r="AI324" s="209">
        <f t="shared" si="138"/>
        <v>2017</v>
      </c>
      <c r="AJ324" s="210" t="e">
        <f t="shared" si="139"/>
        <v>#VALUE!</v>
      </c>
    </row>
    <row r="325" spans="1:38" s="41" customFormat="1" ht="30.75" hidden="1" customHeight="1" x14ac:dyDescent="0.2">
      <c r="A325" s="48"/>
      <c r="B325" s="69"/>
      <c r="C325" s="70" t="s">
        <v>299</v>
      </c>
      <c r="D325" s="70" t="s">
        <v>2333</v>
      </c>
      <c r="E325" s="70" t="s">
        <v>39</v>
      </c>
      <c r="F325" s="70"/>
      <c r="G325" s="70"/>
      <c r="H325" s="70"/>
      <c r="I325" s="70">
        <v>2017</v>
      </c>
      <c r="J325" s="70"/>
      <c r="K325" s="70"/>
      <c r="L325" s="70"/>
      <c r="M325" s="70"/>
      <c r="N325" s="70"/>
      <c r="O325" s="70" t="s">
        <v>12</v>
      </c>
      <c r="P325" s="278">
        <v>7491000</v>
      </c>
      <c r="Q325" s="74"/>
      <c r="W325" s="206" t="str">
        <f t="shared" si="140"/>
        <v>2.06.03</v>
      </c>
      <c r="X325" s="207" t="str">
        <f t="shared" si="141"/>
        <v>4.16.04</v>
      </c>
      <c r="Y325" s="207" t="str">
        <f>VLOOKUP(W325,UE,3)</f>
        <v>Jaringan Gas</v>
      </c>
      <c r="Z325" s="233" t="e">
        <f t="shared" si="129"/>
        <v>#VALUE!</v>
      </c>
      <c r="AA325" s="208"/>
      <c r="AB325" s="233"/>
      <c r="AC325" s="233"/>
      <c r="AD325" s="233"/>
      <c r="AE325" s="233"/>
      <c r="AF325" s="233"/>
      <c r="AG325" s="238" t="e">
        <f t="shared" si="136"/>
        <v>#VALUE!</v>
      </c>
      <c r="AH325" s="238" t="e">
        <f t="shared" si="137"/>
        <v>#VALUE!</v>
      </c>
      <c r="AI325" s="209">
        <f t="shared" si="138"/>
        <v>2017</v>
      </c>
      <c r="AJ325" s="210" t="e">
        <f t="shared" si="139"/>
        <v>#VALUE!</v>
      </c>
    </row>
    <row r="326" spans="1:38" s="41" customFormat="1" ht="30.75" hidden="1" customHeight="1" x14ac:dyDescent="0.2">
      <c r="B326" s="69"/>
      <c r="C326" s="70"/>
      <c r="D326" s="70"/>
      <c r="E326" s="70"/>
      <c r="F326" s="70"/>
      <c r="G326" s="70"/>
      <c r="H326" s="70"/>
      <c r="I326" s="70"/>
      <c r="J326" s="70"/>
      <c r="K326" s="70"/>
      <c r="L326" s="70"/>
      <c r="M326" s="70"/>
      <c r="N326" s="70"/>
      <c r="O326" s="70"/>
      <c r="P326" s="278"/>
      <c r="Q326" s="74"/>
      <c r="X326" s="42"/>
      <c r="Z326" s="234"/>
      <c r="AB326" s="234"/>
      <c r="AC326" s="234"/>
      <c r="AD326" s="234"/>
      <c r="AE326" s="234"/>
      <c r="AF326" s="234"/>
      <c r="AG326" s="234"/>
      <c r="AH326" s="234"/>
    </row>
    <row r="327" spans="1:38" s="45" customFormat="1" ht="30.75" hidden="1" customHeight="1" x14ac:dyDescent="0.2">
      <c r="B327" s="58" t="s">
        <v>303</v>
      </c>
      <c r="C327" s="59" t="s">
        <v>922</v>
      </c>
      <c r="D327" s="75" t="s">
        <v>52</v>
      </c>
      <c r="E327" s="75"/>
      <c r="F327" s="75" t="s">
        <v>52</v>
      </c>
      <c r="G327" s="75"/>
      <c r="H327" s="75" t="s">
        <v>52</v>
      </c>
      <c r="I327" s="75"/>
      <c r="J327" s="75"/>
      <c r="K327" s="75"/>
      <c r="L327" s="75"/>
      <c r="M327" s="75"/>
      <c r="N327" s="75"/>
      <c r="O327" s="75"/>
      <c r="P327" s="279">
        <f>SUM(P328:P343)</f>
        <v>120847995.8418192</v>
      </c>
      <c r="Q327" s="76"/>
      <c r="X327" s="42" t="str">
        <f>IF(P327&lt;300000,P327,"0")</f>
        <v>0</v>
      </c>
      <c r="Z327" s="235"/>
      <c r="AB327" s="235">
        <f t="shared" ref="AB327:AG327" si="142">SUM(AB328:AB343)</f>
        <v>12084727.828914298</v>
      </c>
      <c r="AC327" s="235">
        <f t="shared" si="142"/>
        <v>23918577.168363839</v>
      </c>
      <c r="AD327" s="235">
        <f t="shared" si="142"/>
        <v>23918577.168363839</v>
      </c>
      <c r="AE327" s="235">
        <f t="shared" si="142"/>
        <v>23918577.168363839</v>
      </c>
      <c r="AF327" s="235">
        <f t="shared" si="142"/>
        <v>23918577.168363839</v>
      </c>
      <c r="AG327" s="235">
        <f t="shared" si="142"/>
        <v>13088799.339449542</v>
      </c>
      <c r="AH327" s="235">
        <f>SUM(AH328:AH343)</f>
        <v>120847835.8418192</v>
      </c>
      <c r="AI327" s="235">
        <f>SUM(AI328:AI343)</f>
        <v>22139</v>
      </c>
      <c r="AJ327" s="235">
        <f>SUM(AJ328:AJ343)</f>
        <v>160</v>
      </c>
      <c r="AK327" s="217">
        <f>AB327+AC327+AD327+AE327+AF327</f>
        <v>107759036.50236966</v>
      </c>
      <c r="AL327" s="216">
        <f>SUM(AB327:AE327)</f>
        <v>83840459.334005818</v>
      </c>
    </row>
    <row r="328" spans="1:38" s="41" customFormat="1" ht="30.75" customHeight="1" x14ac:dyDescent="0.2">
      <c r="A328" t="s">
        <v>2298</v>
      </c>
      <c r="B328" s="69"/>
      <c r="C328" s="65" t="s">
        <v>304</v>
      </c>
      <c r="D328" s="65" t="s">
        <v>305</v>
      </c>
      <c r="E328" s="70"/>
      <c r="F328" s="65" t="s">
        <v>306</v>
      </c>
      <c r="G328" s="40"/>
      <c r="H328" s="65" t="s">
        <v>174</v>
      </c>
      <c r="I328" s="32" t="s">
        <v>307</v>
      </c>
      <c r="J328" s="40"/>
      <c r="K328" s="72"/>
      <c r="L328" s="40"/>
      <c r="M328" s="40"/>
      <c r="N328" s="40"/>
      <c r="O328" s="32" t="s">
        <v>12</v>
      </c>
      <c r="P328" s="252">
        <v>227500</v>
      </c>
      <c r="Q328" s="61" t="s">
        <v>135</v>
      </c>
      <c r="V328" s="41" t="s">
        <v>2615</v>
      </c>
      <c r="W328" s="206" t="str">
        <f t="shared" ref="W328:W343" si="143">A328</f>
        <v>2.07.01</v>
      </c>
      <c r="X328" s="207" t="str">
        <f t="shared" ref="X328:X343" si="144">VLOOKUP(W328,kelompok,2,0)</f>
        <v>ALAT STUDIO</v>
      </c>
      <c r="Y328" s="207">
        <f t="shared" ref="Y328:Y343" si="145">VLOOKUP(W328,MASAMANFAAT,4,0)</f>
        <v>5</v>
      </c>
      <c r="Z328" s="233">
        <f t="shared" ref="Z328:Z343" si="146">(P328-10)/Y328</f>
        <v>45498</v>
      </c>
      <c r="AA328" s="208">
        <f t="shared" ref="AA328:AA340" si="147">2013-AI328</f>
        <v>12</v>
      </c>
      <c r="AB328" s="233">
        <f t="shared" ref="AB328:AB343" si="148">IF(AA328&gt;Y328,P328-10,Z328*AA328)</f>
        <v>227490</v>
      </c>
      <c r="AC328" s="233">
        <f t="shared" ref="AC328:AC343" si="149">IF(P328-10=AB328,0,Z328)</f>
        <v>0</v>
      </c>
      <c r="AD328" s="233">
        <f t="shared" ref="AD328:AD343" si="150">IF(P328-10=AB328+AC328,0,Z328)</f>
        <v>0</v>
      </c>
      <c r="AE328" s="233">
        <f t="shared" ref="AE328:AE343" si="151">IF(P328-10=AB328+AC328+AD328,0,Z328)</f>
        <v>0</v>
      </c>
      <c r="AF328" s="233">
        <f t="shared" ref="AF328:AF343" si="152">IF(P328-10=AB328+AC328+AD328+AE328,0,Z328)</f>
        <v>0</v>
      </c>
      <c r="AG328" s="238">
        <f t="shared" ref="AG328:AG343" si="153">IF(P328-10=AB328+AC328+AD328+AE328+AF328,0,Z328)</f>
        <v>0</v>
      </c>
      <c r="AH328" s="238">
        <f t="shared" ref="AH328:AH343" si="154">SUM(AB328:AG328)</f>
        <v>227490</v>
      </c>
      <c r="AI328" s="209" t="str">
        <f t="shared" ref="AI328:AI343" si="155">I328</f>
        <v>2001</v>
      </c>
      <c r="AJ328" s="210">
        <f t="shared" ref="AJ328:AJ343" si="156">P328-AH328</f>
        <v>10</v>
      </c>
      <c r="AK328" s="285">
        <f>AH328-AG328</f>
        <v>227490</v>
      </c>
    </row>
    <row r="329" spans="1:38" s="41" customFormat="1" ht="30.75" customHeight="1" x14ac:dyDescent="0.2">
      <c r="A329" t="s">
        <v>2298</v>
      </c>
      <c r="B329" s="69"/>
      <c r="C329" s="65" t="s">
        <v>308</v>
      </c>
      <c r="D329" s="65" t="s">
        <v>309</v>
      </c>
      <c r="E329" s="70"/>
      <c r="F329" s="65" t="s">
        <v>306</v>
      </c>
      <c r="G329" s="40"/>
      <c r="H329" s="65" t="s">
        <v>174</v>
      </c>
      <c r="I329" s="32" t="s">
        <v>84</v>
      </c>
      <c r="J329" s="40"/>
      <c r="K329" s="72"/>
      <c r="L329" s="40"/>
      <c r="M329" s="40"/>
      <c r="N329" s="40"/>
      <c r="O329" s="32" t="s">
        <v>12</v>
      </c>
      <c r="P329" s="252">
        <v>150000</v>
      </c>
      <c r="Q329" s="61" t="s">
        <v>43</v>
      </c>
      <c r="V329" s="41" t="s">
        <v>2615</v>
      </c>
      <c r="W329" s="206" t="str">
        <f t="shared" si="143"/>
        <v>2.07.01</v>
      </c>
      <c r="X329" s="207" t="str">
        <f t="shared" si="144"/>
        <v>ALAT STUDIO</v>
      </c>
      <c r="Y329" s="207">
        <f t="shared" si="145"/>
        <v>5</v>
      </c>
      <c r="Z329" s="233">
        <f t="shared" si="146"/>
        <v>29998</v>
      </c>
      <c r="AA329" s="208">
        <f t="shared" si="147"/>
        <v>10</v>
      </c>
      <c r="AB329" s="233">
        <f t="shared" si="148"/>
        <v>149990</v>
      </c>
      <c r="AC329" s="233">
        <f t="shared" si="149"/>
        <v>0</v>
      </c>
      <c r="AD329" s="233">
        <f t="shared" si="150"/>
        <v>0</v>
      </c>
      <c r="AE329" s="233">
        <f t="shared" si="151"/>
        <v>0</v>
      </c>
      <c r="AF329" s="233">
        <f t="shared" si="152"/>
        <v>0</v>
      </c>
      <c r="AG329" s="238">
        <f t="shared" si="153"/>
        <v>0</v>
      </c>
      <c r="AH329" s="238">
        <f t="shared" si="154"/>
        <v>149990</v>
      </c>
      <c r="AI329" s="209" t="str">
        <f t="shared" si="155"/>
        <v>2003</v>
      </c>
      <c r="AJ329" s="210">
        <f t="shared" si="156"/>
        <v>10</v>
      </c>
      <c r="AK329" s="285">
        <f>AH329-AG329</f>
        <v>149990</v>
      </c>
    </row>
    <row r="330" spans="1:38" s="41" customFormat="1" ht="30.75" customHeight="1" x14ac:dyDescent="0.2">
      <c r="A330" t="s">
        <v>2298</v>
      </c>
      <c r="B330" s="69"/>
      <c r="C330" s="65" t="s">
        <v>304</v>
      </c>
      <c r="D330" s="65" t="s">
        <v>310</v>
      </c>
      <c r="E330" s="70"/>
      <c r="F330" s="65" t="s">
        <v>311</v>
      </c>
      <c r="G330" s="40"/>
      <c r="H330" s="65" t="s">
        <v>174</v>
      </c>
      <c r="I330" s="32" t="s">
        <v>92</v>
      </c>
      <c r="J330" s="40"/>
      <c r="K330" s="72"/>
      <c r="L330" s="40"/>
      <c r="M330" s="40"/>
      <c r="N330" s="40"/>
      <c r="O330" s="32" t="s">
        <v>12</v>
      </c>
      <c r="P330" s="252">
        <v>260000</v>
      </c>
      <c r="Q330" s="61" t="s">
        <v>135</v>
      </c>
      <c r="V330" s="41" t="s">
        <v>2615</v>
      </c>
      <c r="W330" s="206" t="str">
        <f t="shared" si="143"/>
        <v>2.07.01</v>
      </c>
      <c r="X330" s="207" t="str">
        <f t="shared" si="144"/>
        <v>ALAT STUDIO</v>
      </c>
      <c r="Y330" s="207">
        <f t="shared" si="145"/>
        <v>5</v>
      </c>
      <c r="Z330" s="233">
        <f t="shared" si="146"/>
        <v>51998</v>
      </c>
      <c r="AA330" s="208">
        <f t="shared" si="147"/>
        <v>8</v>
      </c>
      <c r="AB330" s="233">
        <f t="shared" si="148"/>
        <v>259990</v>
      </c>
      <c r="AC330" s="233">
        <f t="shared" si="149"/>
        <v>0</v>
      </c>
      <c r="AD330" s="233">
        <f t="shared" si="150"/>
        <v>0</v>
      </c>
      <c r="AE330" s="233">
        <f t="shared" si="151"/>
        <v>0</v>
      </c>
      <c r="AF330" s="233">
        <f t="shared" si="152"/>
        <v>0</v>
      </c>
      <c r="AG330" s="238">
        <f t="shared" si="153"/>
        <v>0</v>
      </c>
      <c r="AH330" s="238">
        <f t="shared" si="154"/>
        <v>259990</v>
      </c>
      <c r="AI330" s="209" t="str">
        <f t="shared" si="155"/>
        <v>2005</v>
      </c>
      <c r="AJ330" s="210">
        <f t="shared" si="156"/>
        <v>10</v>
      </c>
      <c r="AK330" s="285">
        <f>AH330-AG330</f>
        <v>259990</v>
      </c>
    </row>
    <row r="331" spans="1:38" s="41" customFormat="1" ht="30.75" customHeight="1" x14ac:dyDescent="0.2">
      <c r="A331" t="s">
        <v>2298</v>
      </c>
      <c r="B331" s="69"/>
      <c r="C331" s="65" t="s">
        <v>308</v>
      </c>
      <c r="D331" s="65" t="s">
        <v>309</v>
      </c>
      <c r="E331" s="70"/>
      <c r="F331" s="65" t="s">
        <v>311</v>
      </c>
      <c r="G331" s="40"/>
      <c r="H331" s="65" t="s">
        <v>174</v>
      </c>
      <c r="I331" s="32" t="s">
        <v>92</v>
      </c>
      <c r="J331" s="40"/>
      <c r="K331" s="72"/>
      <c r="L331" s="40"/>
      <c r="M331" s="40"/>
      <c r="N331" s="40"/>
      <c r="O331" s="32" t="s">
        <v>12</v>
      </c>
      <c r="P331" s="252">
        <v>422500</v>
      </c>
      <c r="Q331" s="61" t="s">
        <v>135</v>
      </c>
      <c r="V331" s="41" t="s">
        <v>2615</v>
      </c>
      <c r="W331" s="206" t="str">
        <f t="shared" si="143"/>
        <v>2.07.01</v>
      </c>
      <c r="X331" s="207" t="str">
        <f t="shared" si="144"/>
        <v>ALAT STUDIO</v>
      </c>
      <c r="Y331" s="207">
        <f t="shared" si="145"/>
        <v>5</v>
      </c>
      <c r="Z331" s="233">
        <f t="shared" si="146"/>
        <v>84498</v>
      </c>
      <c r="AA331" s="208">
        <f t="shared" si="147"/>
        <v>8</v>
      </c>
      <c r="AB331" s="233">
        <f t="shared" si="148"/>
        <v>422490</v>
      </c>
      <c r="AC331" s="233">
        <f t="shared" si="149"/>
        <v>0</v>
      </c>
      <c r="AD331" s="233">
        <f t="shared" si="150"/>
        <v>0</v>
      </c>
      <c r="AE331" s="233">
        <f t="shared" si="151"/>
        <v>0</v>
      </c>
      <c r="AF331" s="233">
        <f t="shared" si="152"/>
        <v>0</v>
      </c>
      <c r="AG331" s="238">
        <f t="shared" si="153"/>
        <v>0</v>
      </c>
      <c r="AH331" s="238">
        <f t="shared" si="154"/>
        <v>422490</v>
      </c>
      <c r="AI331" s="209" t="str">
        <f t="shared" si="155"/>
        <v>2005</v>
      </c>
      <c r="AJ331" s="210">
        <f t="shared" si="156"/>
        <v>10</v>
      </c>
      <c r="AK331" s="285">
        <f>AH331-AG331</f>
        <v>422490</v>
      </c>
    </row>
    <row r="332" spans="1:38" s="41" customFormat="1" ht="30.75" customHeight="1" x14ac:dyDescent="0.2">
      <c r="A332" t="s">
        <v>2298</v>
      </c>
      <c r="B332" s="69"/>
      <c r="C332" s="65" t="s">
        <v>308</v>
      </c>
      <c r="D332" s="65" t="s">
        <v>309</v>
      </c>
      <c r="E332" s="70"/>
      <c r="F332" s="65" t="s">
        <v>306</v>
      </c>
      <c r="G332" s="40"/>
      <c r="H332" s="65" t="s">
        <v>174</v>
      </c>
      <c r="I332" s="32" t="s">
        <v>92</v>
      </c>
      <c r="J332" s="40"/>
      <c r="K332" s="72"/>
      <c r="L332" s="40"/>
      <c r="M332" s="40"/>
      <c r="N332" s="40"/>
      <c r="O332" s="32" t="s">
        <v>12</v>
      </c>
      <c r="P332" s="252">
        <v>195000</v>
      </c>
      <c r="Q332" s="61" t="s">
        <v>135</v>
      </c>
      <c r="V332" s="41" t="s">
        <v>2615</v>
      </c>
      <c r="W332" s="206" t="str">
        <f t="shared" si="143"/>
        <v>2.07.01</v>
      </c>
      <c r="X332" s="207" t="str">
        <f t="shared" si="144"/>
        <v>ALAT STUDIO</v>
      </c>
      <c r="Y332" s="207">
        <f t="shared" si="145"/>
        <v>5</v>
      </c>
      <c r="Z332" s="233">
        <f t="shared" si="146"/>
        <v>38998</v>
      </c>
      <c r="AA332" s="208">
        <f t="shared" si="147"/>
        <v>8</v>
      </c>
      <c r="AB332" s="233">
        <f t="shared" si="148"/>
        <v>194990</v>
      </c>
      <c r="AC332" s="233">
        <f t="shared" si="149"/>
        <v>0</v>
      </c>
      <c r="AD332" s="233">
        <f t="shared" si="150"/>
        <v>0</v>
      </c>
      <c r="AE332" s="233">
        <f t="shared" si="151"/>
        <v>0</v>
      </c>
      <c r="AF332" s="233">
        <f t="shared" si="152"/>
        <v>0</v>
      </c>
      <c r="AG332" s="238">
        <f t="shared" si="153"/>
        <v>0</v>
      </c>
      <c r="AH332" s="238">
        <f t="shared" si="154"/>
        <v>194990</v>
      </c>
      <c r="AI332" s="209" t="str">
        <f t="shared" si="155"/>
        <v>2005</v>
      </c>
      <c r="AJ332" s="210">
        <f t="shared" si="156"/>
        <v>10</v>
      </c>
      <c r="AK332" s="285">
        <f>AH332-AG332</f>
        <v>194990</v>
      </c>
    </row>
    <row r="333" spans="1:38" s="41" customFormat="1" ht="30.75" hidden="1" customHeight="1" x14ac:dyDescent="0.2">
      <c r="A333" t="s">
        <v>2298</v>
      </c>
      <c r="B333" s="69"/>
      <c r="C333" s="65" t="s">
        <v>52</v>
      </c>
      <c r="D333" s="65" t="s">
        <v>971</v>
      </c>
      <c r="E333" s="70"/>
      <c r="F333" s="65" t="s">
        <v>1001</v>
      </c>
      <c r="G333" s="40"/>
      <c r="H333" s="65" t="s">
        <v>193</v>
      </c>
      <c r="I333" s="32">
        <v>2012</v>
      </c>
      <c r="J333" s="40"/>
      <c r="K333" s="72"/>
      <c r="L333" s="40"/>
      <c r="M333" s="40"/>
      <c r="N333" s="40"/>
      <c r="O333" s="32" t="s">
        <v>12</v>
      </c>
      <c r="P333" s="252">
        <v>5000000</v>
      </c>
      <c r="Q333" s="61" t="s">
        <v>43</v>
      </c>
      <c r="W333" s="206" t="str">
        <f t="shared" si="143"/>
        <v>2.07.01</v>
      </c>
      <c r="X333" s="207" t="str">
        <f t="shared" si="144"/>
        <v>ALAT STUDIO</v>
      </c>
      <c r="Y333" s="207">
        <f t="shared" si="145"/>
        <v>5</v>
      </c>
      <c r="Z333" s="233">
        <f t="shared" si="146"/>
        <v>999998</v>
      </c>
      <c r="AA333" s="208">
        <f t="shared" si="147"/>
        <v>1</v>
      </c>
      <c r="AB333" s="233">
        <f t="shared" si="148"/>
        <v>999998</v>
      </c>
      <c r="AC333" s="233">
        <f t="shared" si="149"/>
        <v>999998</v>
      </c>
      <c r="AD333" s="233">
        <f t="shared" si="150"/>
        <v>999998</v>
      </c>
      <c r="AE333" s="233">
        <f t="shared" si="151"/>
        <v>999998</v>
      </c>
      <c r="AF333" s="233">
        <f t="shared" si="152"/>
        <v>999998</v>
      </c>
      <c r="AG333" s="238">
        <f t="shared" si="153"/>
        <v>0</v>
      </c>
      <c r="AH333" s="238">
        <f t="shared" si="154"/>
        <v>4999990</v>
      </c>
      <c r="AI333" s="209">
        <f t="shared" si="155"/>
        <v>2012</v>
      </c>
      <c r="AJ333" s="210">
        <f t="shared" si="156"/>
        <v>10</v>
      </c>
    </row>
    <row r="334" spans="1:38" s="41" customFormat="1" ht="30.75" hidden="1" customHeight="1" x14ac:dyDescent="0.2">
      <c r="A334" t="s">
        <v>2298</v>
      </c>
      <c r="B334" s="69"/>
      <c r="C334" s="65" t="s">
        <v>52</v>
      </c>
      <c r="D334" s="65" t="s">
        <v>972</v>
      </c>
      <c r="E334" s="70"/>
      <c r="F334" s="65" t="s">
        <v>1002</v>
      </c>
      <c r="G334" s="40"/>
      <c r="H334" s="65" t="s">
        <v>193</v>
      </c>
      <c r="I334" s="32">
        <v>2012</v>
      </c>
      <c r="J334" s="40"/>
      <c r="K334" s="72"/>
      <c r="L334" s="40"/>
      <c r="M334" s="40"/>
      <c r="N334" s="40"/>
      <c r="O334" s="32" t="s">
        <v>12</v>
      </c>
      <c r="P334" s="252">
        <v>3000000</v>
      </c>
      <c r="Q334" s="61" t="s">
        <v>43</v>
      </c>
      <c r="W334" s="206" t="str">
        <f t="shared" si="143"/>
        <v>2.07.01</v>
      </c>
      <c r="X334" s="207" t="str">
        <f t="shared" si="144"/>
        <v>ALAT STUDIO</v>
      </c>
      <c r="Y334" s="207">
        <f t="shared" si="145"/>
        <v>5</v>
      </c>
      <c r="Z334" s="233">
        <f t="shared" si="146"/>
        <v>599998</v>
      </c>
      <c r="AA334" s="208">
        <f t="shared" si="147"/>
        <v>1</v>
      </c>
      <c r="AB334" s="233">
        <f t="shared" si="148"/>
        <v>599998</v>
      </c>
      <c r="AC334" s="233">
        <f t="shared" si="149"/>
        <v>599998</v>
      </c>
      <c r="AD334" s="233">
        <f t="shared" si="150"/>
        <v>599998</v>
      </c>
      <c r="AE334" s="233">
        <f t="shared" si="151"/>
        <v>599998</v>
      </c>
      <c r="AF334" s="233">
        <f t="shared" si="152"/>
        <v>599998</v>
      </c>
      <c r="AG334" s="238">
        <f t="shared" si="153"/>
        <v>0</v>
      </c>
      <c r="AH334" s="238">
        <f t="shared" si="154"/>
        <v>2999990</v>
      </c>
      <c r="AI334" s="209">
        <f t="shared" si="155"/>
        <v>2012</v>
      </c>
      <c r="AJ334" s="210">
        <f t="shared" si="156"/>
        <v>10</v>
      </c>
    </row>
    <row r="335" spans="1:38" s="41" customFormat="1" ht="30.75" hidden="1" customHeight="1" x14ac:dyDescent="0.2">
      <c r="A335" t="s">
        <v>2298</v>
      </c>
      <c r="B335" s="69"/>
      <c r="C335" s="65" t="s">
        <v>52</v>
      </c>
      <c r="D335" s="65" t="s">
        <v>973</v>
      </c>
      <c r="E335" s="70"/>
      <c r="F335" s="65" t="s">
        <v>311</v>
      </c>
      <c r="G335" s="40"/>
      <c r="H335" s="65" t="s">
        <v>193</v>
      </c>
      <c r="I335" s="32">
        <v>2012</v>
      </c>
      <c r="J335" s="40"/>
      <c r="K335" s="72"/>
      <c r="L335" s="40"/>
      <c r="M335" s="40"/>
      <c r="N335" s="40"/>
      <c r="O335" s="32" t="s">
        <v>12</v>
      </c>
      <c r="P335" s="252">
        <v>3000000</v>
      </c>
      <c r="Q335" s="61" t="s">
        <v>43</v>
      </c>
      <c r="W335" s="206" t="str">
        <f t="shared" si="143"/>
        <v>2.07.01</v>
      </c>
      <c r="X335" s="207" t="str">
        <f t="shared" si="144"/>
        <v>ALAT STUDIO</v>
      </c>
      <c r="Y335" s="207">
        <f t="shared" si="145"/>
        <v>5</v>
      </c>
      <c r="Z335" s="233">
        <f t="shared" si="146"/>
        <v>599998</v>
      </c>
      <c r="AA335" s="208">
        <f t="shared" si="147"/>
        <v>1</v>
      </c>
      <c r="AB335" s="233">
        <f t="shared" si="148"/>
        <v>599998</v>
      </c>
      <c r="AC335" s="233">
        <f t="shared" si="149"/>
        <v>599998</v>
      </c>
      <c r="AD335" s="233">
        <f t="shared" si="150"/>
        <v>599998</v>
      </c>
      <c r="AE335" s="233">
        <f t="shared" si="151"/>
        <v>599998</v>
      </c>
      <c r="AF335" s="233">
        <f t="shared" si="152"/>
        <v>599998</v>
      </c>
      <c r="AG335" s="238">
        <f t="shared" si="153"/>
        <v>0</v>
      </c>
      <c r="AH335" s="238">
        <f t="shared" si="154"/>
        <v>2999990</v>
      </c>
      <c r="AI335" s="209">
        <f t="shared" si="155"/>
        <v>2012</v>
      </c>
      <c r="AJ335" s="210">
        <f t="shared" si="156"/>
        <v>10</v>
      </c>
    </row>
    <row r="336" spans="1:38" s="41" customFormat="1" ht="30.75" hidden="1" customHeight="1" x14ac:dyDescent="0.2">
      <c r="A336" t="s">
        <v>2298</v>
      </c>
      <c r="B336" s="69"/>
      <c r="C336" s="65" t="s">
        <v>52</v>
      </c>
      <c r="D336" s="65" t="s">
        <v>974</v>
      </c>
      <c r="E336" s="70"/>
      <c r="F336" s="65" t="s">
        <v>1003</v>
      </c>
      <c r="G336" s="40"/>
      <c r="H336" s="65" t="s">
        <v>218</v>
      </c>
      <c r="I336" s="32">
        <v>2012</v>
      </c>
      <c r="J336" s="40"/>
      <c r="K336" s="72"/>
      <c r="L336" s="40"/>
      <c r="M336" s="40"/>
      <c r="N336" s="40"/>
      <c r="O336" s="32" t="s">
        <v>12</v>
      </c>
      <c r="P336" s="252">
        <v>2000000</v>
      </c>
      <c r="Q336" s="61" t="s">
        <v>43</v>
      </c>
      <c r="W336" s="206" t="str">
        <f t="shared" si="143"/>
        <v>2.07.01</v>
      </c>
      <c r="X336" s="207" t="str">
        <f t="shared" si="144"/>
        <v>ALAT STUDIO</v>
      </c>
      <c r="Y336" s="207">
        <f t="shared" si="145"/>
        <v>5</v>
      </c>
      <c r="Z336" s="233">
        <f t="shared" si="146"/>
        <v>399998</v>
      </c>
      <c r="AA336" s="208">
        <f t="shared" si="147"/>
        <v>1</v>
      </c>
      <c r="AB336" s="233">
        <f t="shared" si="148"/>
        <v>399998</v>
      </c>
      <c r="AC336" s="233">
        <f t="shared" si="149"/>
        <v>399998</v>
      </c>
      <c r="AD336" s="233">
        <f t="shared" si="150"/>
        <v>399998</v>
      </c>
      <c r="AE336" s="233">
        <f t="shared" si="151"/>
        <v>399998</v>
      </c>
      <c r="AF336" s="233">
        <f t="shared" si="152"/>
        <v>399998</v>
      </c>
      <c r="AG336" s="238">
        <f t="shared" si="153"/>
        <v>0</v>
      </c>
      <c r="AH336" s="238">
        <f t="shared" si="154"/>
        <v>1999990</v>
      </c>
      <c r="AI336" s="209">
        <f t="shared" si="155"/>
        <v>2012</v>
      </c>
      <c r="AJ336" s="210">
        <f t="shared" si="156"/>
        <v>10</v>
      </c>
    </row>
    <row r="337" spans="1:38" s="41" customFormat="1" ht="30.75" hidden="1" customHeight="1" x14ac:dyDescent="0.2">
      <c r="A337" t="s">
        <v>2298</v>
      </c>
      <c r="B337" s="69"/>
      <c r="C337" s="65"/>
      <c r="D337" s="164" t="s">
        <v>976</v>
      </c>
      <c r="E337" s="165"/>
      <c r="F337" s="164" t="s">
        <v>195</v>
      </c>
      <c r="G337" s="164"/>
      <c r="H337" s="164" t="s">
        <v>1747</v>
      </c>
      <c r="I337" s="165">
        <v>2012</v>
      </c>
      <c r="J337" s="166"/>
      <c r="K337" s="166"/>
      <c r="L337" s="166"/>
      <c r="M337" s="166"/>
      <c r="N337" s="166"/>
      <c r="O337" s="166"/>
      <c r="P337" s="281">
        <v>9000000</v>
      </c>
      <c r="Q337" s="61"/>
      <c r="W337" s="206" t="str">
        <f t="shared" si="143"/>
        <v>2.07.01</v>
      </c>
      <c r="X337" s="207" t="str">
        <f t="shared" si="144"/>
        <v>ALAT STUDIO</v>
      </c>
      <c r="Y337" s="207">
        <f t="shared" si="145"/>
        <v>5</v>
      </c>
      <c r="Z337" s="233">
        <f t="shared" si="146"/>
        <v>1799998</v>
      </c>
      <c r="AA337" s="208">
        <f t="shared" si="147"/>
        <v>1</v>
      </c>
      <c r="AB337" s="233">
        <f t="shared" si="148"/>
        <v>1799998</v>
      </c>
      <c r="AC337" s="233">
        <f t="shared" si="149"/>
        <v>1799998</v>
      </c>
      <c r="AD337" s="233">
        <f t="shared" si="150"/>
        <v>1799998</v>
      </c>
      <c r="AE337" s="233">
        <f t="shared" si="151"/>
        <v>1799998</v>
      </c>
      <c r="AF337" s="233">
        <f t="shared" si="152"/>
        <v>1799998</v>
      </c>
      <c r="AG337" s="238">
        <f t="shared" si="153"/>
        <v>0</v>
      </c>
      <c r="AH337" s="238">
        <f t="shared" si="154"/>
        <v>8999990</v>
      </c>
      <c r="AI337" s="209">
        <f t="shared" si="155"/>
        <v>2012</v>
      </c>
      <c r="AJ337" s="210">
        <f t="shared" si="156"/>
        <v>10</v>
      </c>
    </row>
    <row r="338" spans="1:38" s="41" customFormat="1" ht="30.75" hidden="1" customHeight="1" x14ac:dyDescent="0.2">
      <c r="A338" t="s">
        <v>2298</v>
      </c>
      <c r="B338" s="69"/>
      <c r="C338" s="65"/>
      <c r="D338" s="164" t="s">
        <v>971</v>
      </c>
      <c r="E338" s="165"/>
      <c r="F338" s="164" t="s">
        <v>1001</v>
      </c>
      <c r="G338" s="164"/>
      <c r="H338" s="164"/>
      <c r="I338" s="165">
        <v>2012</v>
      </c>
      <c r="J338" s="166"/>
      <c r="K338" s="166"/>
      <c r="L338" s="166"/>
      <c r="M338" s="166"/>
      <c r="N338" s="166"/>
      <c r="O338" s="166"/>
      <c r="P338" s="281">
        <v>22148959.144571491</v>
      </c>
      <c r="Q338" s="61"/>
      <c r="W338" s="206" t="str">
        <f t="shared" si="143"/>
        <v>2.07.01</v>
      </c>
      <c r="X338" s="207" t="str">
        <f t="shared" si="144"/>
        <v>ALAT STUDIO</v>
      </c>
      <c r="Y338" s="207">
        <f t="shared" si="145"/>
        <v>5</v>
      </c>
      <c r="Z338" s="233">
        <f t="shared" si="146"/>
        <v>4429789.8289142977</v>
      </c>
      <c r="AA338" s="208">
        <f t="shared" si="147"/>
        <v>1</v>
      </c>
      <c r="AB338" s="233">
        <f t="shared" si="148"/>
        <v>4429789.8289142977</v>
      </c>
      <c r="AC338" s="233">
        <f t="shared" si="149"/>
        <v>4429789.8289142977</v>
      </c>
      <c r="AD338" s="233">
        <f t="shared" si="150"/>
        <v>4429789.8289142977</v>
      </c>
      <c r="AE338" s="233">
        <f t="shared" si="151"/>
        <v>4429789.8289142977</v>
      </c>
      <c r="AF338" s="233">
        <f t="shared" si="152"/>
        <v>4429789.8289142977</v>
      </c>
      <c r="AG338" s="238">
        <f t="shared" si="153"/>
        <v>0</v>
      </c>
      <c r="AH338" s="238">
        <f t="shared" si="154"/>
        <v>22148949.144571491</v>
      </c>
      <c r="AI338" s="209">
        <f t="shared" si="155"/>
        <v>2012</v>
      </c>
      <c r="AJ338" s="210">
        <f t="shared" si="156"/>
        <v>10</v>
      </c>
    </row>
    <row r="339" spans="1:38" s="41" customFormat="1" ht="30.75" hidden="1" customHeight="1" x14ac:dyDescent="0.2">
      <c r="A339" t="s">
        <v>2298</v>
      </c>
      <c r="B339" s="69"/>
      <c r="C339" s="65"/>
      <c r="D339" s="164" t="s">
        <v>1748</v>
      </c>
      <c r="E339" s="167" t="s">
        <v>39</v>
      </c>
      <c r="F339" s="164"/>
      <c r="G339" s="164"/>
      <c r="H339" s="164" t="s">
        <v>1741</v>
      </c>
      <c r="I339" s="165">
        <v>2012</v>
      </c>
      <c r="J339" s="166"/>
      <c r="K339" s="166"/>
      <c r="L339" s="166"/>
      <c r="M339" s="166"/>
      <c r="N339" s="166"/>
      <c r="O339" s="166"/>
      <c r="P339" s="281">
        <v>10000000</v>
      </c>
      <c r="Q339" s="61"/>
      <c r="W339" s="206" t="str">
        <f t="shared" si="143"/>
        <v>2.07.01</v>
      </c>
      <c r="X339" s="207" t="str">
        <f t="shared" si="144"/>
        <v>ALAT STUDIO</v>
      </c>
      <c r="Y339" s="207">
        <f t="shared" si="145"/>
        <v>5</v>
      </c>
      <c r="Z339" s="233">
        <f t="shared" si="146"/>
        <v>1999998</v>
      </c>
      <c r="AA339" s="208">
        <f t="shared" si="147"/>
        <v>1</v>
      </c>
      <c r="AB339" s="233">
        <f t="shared" si="148"/>
        <v>1999998</v>
      </c>
      <c r="AC339" s="233">
        <f t="shared" si="149"/>
        <v>1999998</v>
      </c>
      <c r="AD339" s="233">
        <f t="shared" si="150"/>
        <v>1999998</v>
      </c>
      <c r="AE339" s="233">
        <f t="shared" si="151"/>
        <v>1999998</v>
      </c>
      <c r="AF339" s="233">
        <f t="shared" si="152"/>
        <v>1999998</v>
      </c>
      <c r="AG339" s="238">
        <f t="shared" si="153"/>
        <v>0</v>
      </c>
      <c r="AH339" s="238">
        <f t="shared" si="154"/>
        <v>9999990</v>
      </c>
      <c r="AI339" s="209">
        <f t="shared" si="155"/>
        <v>2012</v>
      </c>
      <c r="AJ339" s="210">
        <f t="shared" si="156"/>
        <v>10</v>
      </c>
    </row>
    <row r="340" spans="1:38" s="41" customFormat="1" ht="30.75" hidden="1" customHeight="1" x14ac:dyDescent="0.2">
      <c r="A340" t="s">
        <v>2298</v>
      </c>
      <c r="B340" s="69"/>
      <c r="C340" s="65" t="s">
        <v>52</v>
      </c>
      <c r="D340" s="65" t="s">
        <v>975</v>
      </c>
      <c r="E340" s="84" t="s">
        <v>275</v>
      </c>
      <c r="F340" s="65" t="s">
        <v>52</v>
      </c>
      <c r="G340" s="40"/>
      <c r="H340" s="65" t="s">
        <v>281</v>
      </c>
      <c r="I340" s="32">
        <v>2013</v>
      </c>
      <c r="J340" s="40"/>
      <c r="K340" s="72"/>
      <c r="L340" s="40"/>
      <c r="M340" s="40"/>
      <c r="N340" s="40"/>
      <c r="O340" s="32" t="s">
        <v>12</v>
      </c>
      <c r="P340" s="252">
        <v>14444036.697247706</v>
      </c>
      <c r="Q340" s="61"/>
      <c r="U340" s="269">
        <f>P340/3</f>
        <v>4814678.8990825685</v>
      </c>
      <c r="W340" s="206" t="str">
        <f t="shared" si="143"/>
        <v>2.07.01</v>
      </c>
      <c r="X340" s="207" t="str">
        <f t="shared" si="144"/>
        <v>ALAT STUDIO</v>
      </c>
      <c r="Y340" s="207">
        <f t="shared" si="145"/>
        <v>5</v>
      </c>
      <c r="Z340" s="233">
        <f t="shared" si="146"/>
        <v>2888805.3394495412</v>
      </c>
      <c r="AA340" s="208">
        <f t="shared" si="147"/>
        <v>0</v>
      </c>
      <c r="AB340" s="233">
        <f t="shared" si="148"/>
        <v>0</v>
      </c>
      <c r="AC340" s="233">
        <f t="shared" si="149"/>
        <v>2888805.3394495412</v>
      </c>
      <c r="AD340" s="233">
        <f t="shared" si="150"/>
        <v>2888805.3394495412</v>
      </c>
      <c r="AE340" s="233">
        <f t="shared" si="151"/>
        <v>2888805.3394495412</v>
      </c>
      <c r="AF340" s="233">
        <f t="shared" si="152"/>
        <v>2888805.3394495412</v>
      </c>
      <c r="AG340" s="238">
        <f t="shared" si="153"/>
        <v>2888805.3394495412</v>
      </c>
      <c r="AH340" s="238">
        <f t="shared" si="154"/>
        <v>14444026.697247706</v>
      </c>
      <c r="AI340" s="209">
        <f t="shared" si="155"/>
        <v>2013</v>
      </c>
      <c r="AJ340" s="210">
        <f t="shared" si="156"/>
        <v>10</v>
      </c>
    </row>
    <row r="341" spans="1:38" s="48" customFormat="1" ht="30.75" hidden="1" customHeight="1" x14ac:dyDescent="0.2">
      <c r="A341" t="s">
        <v>2298</v>
      </c>
      <c r="B341" s="73"/>
      <c r="C341" s="65" t="s">
        <v>312</v>
      </c>
      <c r="D341" s="65" t="s">
        <v>976</v>
      </c>
      <c r="E341" s="81" t="s">
        <v>283</v>
      </c>
      <c r="F341" s="65" t="s">
        <v>52</v>
      </c>
      <c r="G341" s="40"/>
      <c r="H341" s="65" t="s">
        <v>281</v>
      </c>
      <c r="I341" s="32">
        <v>2014</v>
      </c>
      <c r="J341" s="40"/>
      <c r="K341" s="72"/>
      <c r="L341" s="40"/>
      <c r="M341" s="40"/>
      <c r="N341" s="40"/>
      <c r="O341" s="32" t="s">
        <v>12</v>
      </c>
      <c r="P341" s="252">
        <v>12000000</v>
      </c>
      <c r="Q341" s="61"/>
      <c r="U341" s="269">
        <f>P341/2</f>
        <v>6000000</v>
      </c>
      <c r="W341" s="206" t="str">
        <f t="shared" si="143"/>
        <v>2.07.01</v>
      </c>
      <c r="X341" s="207" t="str">
        <f t="shared" si="144"/>
        <v>ALAT STUDIO</v>
      </c>
      <c r="Y341" s="207">
        <f t="shared" si="145"/>
        <v>5</v>
      </c>
      <c r="Z341" s="233">
        <f t="shared" si="146"/>
        <v>2399998</v>
      </c>
      <c r="AA341" s="208"/>
      <c r="AB341" s="233">
        <f t="shared" si="148"/>
        <v>0</v>
      </c>
      <c r="AC341" s="233">
        <f t="shared" si="149"/>
        <v>2399998</v>
      </c>
      <c r="AD341" s="233">
        <f t="shared" si="150"/>
        <v>2399998</v>
      </c>
      <c r="AE341" s="233">
        <f t="shared" si="151"/>
        <v>2399998</v>
      </c>
      <c r="AF341" s="233">
        <f t="shared" si="152"/>
        <v>2399998</v>
      </c>
      <c r="AG341" s="238">
        <f t="shared" si="153"/>
        <v>2399998</v>
      </c>
      <c r="AH341" s="238">
        <f t="shared" si="154"/>
        <v>11999990</v>
      </c>
      <c r="AI341" s="209">
        <f t="shared" si="155"/>
        <v>2014</v>
      </c>
      <c r="AJ341" s="210">
        <f t="shared" si="156"/>
        <v>10</v>
      </c>
    </row>
    <row r="342" spans="1:38" s="48" customFormat="1" ht="30.75" hidden="1" customHeight="1" x14ac:dyDescent="0.2">
      <c r="A342" t="s">
        <v>2298</v>
      </c>
      <c r="B342" s="73"/>
      <c r="C342" s="65" t="s">
        <v>313</v>
      </c>
      <c r="D342" s="65" t="s">
        <v>314</v>
      </c>
      <c r="E342" s="81" t="s">
        <v>277</v>
      </c>
      <c r="F342" s="65" t="s">
        <v>315</v>
      </c>
      <c r="G342" s="40" t="s">
        <v>316</v>
      </c>
      <c r="H342" s="65" t="s">
        <v>174</v>
      </c>
      <c r="I342" s="32">
        <v>2014</v>
      </c>
      <c r="J342" s="40"/>
      <c r="K342" s="72"/>
      <c r="L342" s="40"/>
      <c r="M342" s="40"/>
      <c r="N342" s="40"/>
      <c r="O342" s="32" t="s">
        <v>12</v>
      </c>
      <c r="P342" s="252">
        <v>4500000</v>
      </c>
      <c r="Q342" s="61"/>
      <c r="U342" s="269">
        <f>P342/1</f>
        <v>4500000</v>
      </c>
      <c r="W342" s="206" t="str">
        <f t="shared" si="143"/>
        <v>2.07.01</v>
      </c>
      <c r="X342" s="207" t="str">
        <f t="shared" si="144"/>
        <v>ALAT STUDIO</v>
      </c>
      <c r="Y342" s="207">
        <f t="shared" si="145"/>
        <v>5</v>
      </c>
      <c r="Z342" s="233">
        <f t="shared" si="146"/>
        <v>899998</v>
      </c>
      <c r="AA342" s="208"/>
      <c r="AB342" s="233">
        <f t="shared" si="148"/>
        <v>0</v>
      </c>
      <c r="AC342" s="233">
        <f t="shared" si="149"/>
        <v>899998</v>
      </c>
      <c r="AD342" s="233">
        <f t="shared" si="150"/>
        <v>899998</v>
      </c>
      <c r="AE342" s="233">
        <f t="shared" si="151"/>
        <v>899998</v>
      </c>
      <c r="AF342" s="233">
        <f t="shared" si="152"/>
        <v>899998</v>
      </c>
      <c r="AG342" s="238">
        <f t="shared" si="153"/>
        <v>899998</v>
      </c>
      <c r="AH342" s="238">
        <f t="shared" si="154"/>
        <v>4499990</v>
      </c>
      <c r="AI342" s="209">
        <f t="shared" si="155"/>
        <v>2014</v>
      </c>
      <c r="AJ342" s="210">
        <f t="shared" si="156"/>
        <v>10</v>
      </c>
    </row>
    <row r="343" spans="1:38" s="48" customFormat="1" ht="30.75" hidden="1" customHeight="1" x14ac:dyDescent="0.2">
      <c r="A343" t="s">
        <v>2298</v>
      </c>
      <c r="B343" s="73"/>
      <c r="C343" s="65" t="s">
        <v>317</v>
      </c>
      <c r="D343" s="65" t="s">
        <v>318</v>
      </c>
      <c r="E343" s="81" t="s">
        <v>277</v>
      </c>
      <c r="F343" s="65" t="s">
        <v>52</v>
      </c>
      <c r="G343" s="40"/>
      <c r="H343" s="65" t="s">
        <v>52</v>
      </c>
      <c r="I343" s="32">
        <v>2014</v>
      </c>
      <c r="J343" s="40"/>
      <c r="K343" s="72"/>
      <c r="L343" s="40"/>
      <c r="M343" s="40"/>
      <c r="N343" s="40"/>
      <c r="O343" s="32" t="s">
        <v>12</v>
      </c>
      <c r="P343" s="252">
        <v>34500000</v>
      </c>
      <c r="Q343" s="61"/>
      <c r="U343" s="269">
        <f>P343/1</f>
        <v>34500000</v>
      </c>
      <c r="W343" s="206" t="str">
        <f t="shared" si="143"/>
        <v>2.07.01</v>
      </c>
      <c r="X343" s="207" t="str">
        <f t="shared" si="144"/>
        <v>ALAT STUDIO</v>
      </c>
      <c r="Y343" s="207">
        <f t="shared" si="145"/>
        <v>5</v>
      </c>
      <c r="Z343" s="233">
        <f t="shared" si="146"/>
        <v>6899998</v>
      </c>
      <c r="AA343" s="208"/>
      <c r="AB343" s="233">
        <f t="shared" si="148"/>
        <v>0</v>
      </c>
      <c r="AC343" s="233">
        <f t="shared" si="149"/>
        <v>6899998</v>
      </c>
      <c r="AD343" s="233">
        <f t="shared" si="150"/>
        <v>6899998</v>
      </c>
      <c r="AE343" s="233">
        <f t="shared" si="151"/>
        <v>6899998</v>
      </c>
      <c r="AF343" s="233">
        <f t="shared" si="152"/>
        <v>6899998</v>
      </c>
      <c r="AG343" s="238">
        <f t="shared" si="153"/>
        <v>6899998</v>
      </c>
      <c r="AH343" s="238">
        <f t="shared" si="154"/>
        <v>34499990</v>
      </c>
      <c r="AI343" s="209">
        <f t="shared" si="155"/>
        <v>2014</v>
      </c>
      <c r="AJ343" s="210">
        <f t="shared" si="156"/>
        <v>10</v>
      </c>
    </row>
    <row r="344" spans="1:38" s="41" customFormat="1" ht="30.75" hidden="1" customHeight="1" x14ac:dyDescent="0.2">
      <c r="B344" s="69"/>
      <c r="C344" s="65" t="s">
        <v>52</v>
      </c>
      <c r="D344" s="65" t="s">
        <v>52</v>
      </c>
      <c r="E344" s="84"/>
      <c r="F344" s="65" t="s">
        <v>52</v>
      </c>
      <c r="G344" s="40"/>
      <c r="H344" s="65" t="s">
        <v>52</v>
      </c>
      <c r="I344" s="32"/>
      <c r="J344" s="40"/>
      <c r="K344" s="72"/>
      <c r="L344" s="40"/>
      <c r="M344" s="40"/>
      <c r="N344" s="40"/>
      <c r="O344" s="32"/>
      <c r="P344" s="252"/>
      <c r="Q344" s="61"/>
      <c r="X344" s="42"/>
      <c r="Z344" s="234"/>
      <c r="AB344" s="234"/>
      <c r="AC344" s="234"/>
      <c r="AD344" s="234"/>
      <c r="AE344" s="234"/>
      <c r="AF344" s="234"/>
      <c r="AG344" s="234"/>
      <c r="AH344" s="234"/>
    </row>
    <row r="345" spans="1:38" s="45" customFormat="1" ht="30.75" hidden="1" customHeight="1" x14ac:dyDescent="0.2">
      <c r="B345" s="58" t="s">
        <v>319</v>
      </c>
      <c r="C345" s="59" t="s">
        <v>923</v>
      </c>
      <c r="D345" s="75" t="s">
        <v>52</v>
      </c>
      <c r="E345" s="75"/>
      <c r="F345" s="75" t="s">
        <v>52</v>
      </c>
      <c r="G345" s="75"/>
      <c r="H345" s="75" t="s">
        <v>52</v>
      </c>
      <c r="I345" s="75"/>
      <c r="J345" s="75"/>
      <c r="K345" s="75"/>
      <c r="L345" s="75"/>
      <c r="M345" s="75"/>
      <c r="N345" s="75"/>
      <c r="O345" s="75"/>
      <c r="P345" s="279">
        <f>SUM(P346:P357)</f>
        <v>212065845.6936529</v>
      </c>
      <c r="Q345" s="76"/>
      <c r="X345" s="42" t="str">
        <f>IF(P345&lt;300000,P345,"0")</f>
        <v>0</v>
      </c>
      <c r="Z345" s="235"/>
      <c r="AB345" s="235">
        <f>SUM(AB346:AB356)</f>
        <v>52663143.138730578</v>
      </c>
      <c r="AC345" s="235">
        <f>SUM(AC346:AC356)</f>
        <v>38933149.138730586</v>
      </c>
      <c r="AD345" s="235">
        <f>SUM(AD346:AD356)</f>
        <v>38933149.138730586</v>
      </c>
      <c r="AE345" s="235">
        <f>SUM(AE346:AE356)</f>
        <v>38933149.138730586</v>
      </c>
      <c r="AF345" s="235">
        <f>SUM(AF346:AF356)</f>
        <v>18803155.138730578</v>
      </c>
      <c r="AG345" s="235" t="e">
        <f>SUM(AG346:AG357)</f>
        <v>#VALUE!</v>
      </c>
      <c r="AH345" s="235" t="e">
        <f>SUM(AH346:AH357)</f>
        <v>#VALUE!</v>
      </c>
      <c r="AI345" s="235">
        <f>SUM(AI346:AI357)</f>
        <v>22140</v>
      </c>
      <c r="AJ345" s="235" t="e">
        <f>SUM(AJ346:AJ357)</f>
        <v>#VALUE!</v>
      </c>
      <c r="AK345" s="217">
        <f>AB345+AC345+AD345+AE345+AF345</f>
        <v>188265745.69365293</v>
      </c>
      <c r="AL345" s="216">
        <f>SUM(AB345:AE345)</f>
        <v>169462590.55492234</v>
      </c>
    </row>
    <row r="346" spans="1:38" s="41" customFormat="1" ht="30.75" hidden="1" customHeight="1" x14ac:dyDescent="0.2">
      <c r="A346" t="s">
        <v>2299</v>
      </c>
      <c r="B346" s="69"/>
      <c r="C346" s="65" t="s">
        <v>320</v>
      </c>
      <c r="D346" s="65" t="s">
        <v>321</v>
      </c>
      <c r="E346" s="70"/>
      <c r="F346" s="65" t="s">
        <v>52</v>
      </c>
      <c r="G346" s="40"/>
      <c r="H346" s="65" t="s">
        <v>52</v>
      </c>
      <c r="I346" s="32" t="s">
        <v>57</v>
      </c>
      <c r="J346" s="40"/>
      <c r="K346" s="72"/>
      <c r="L346" s="32"/>
      <c r="M346" s="40"/>
      <c r="N346" s="40"/>
      <c r="O346" s="32" t="s">
        <v>12</v>
      </c>
      <c r="P346" s="252">
        <v>7500000</v>
      </c>
      <c r="Q346" s="61" t="s">
        <v>43</v>
      </c>
      <c r="W346" s="206" t="str">
        <f t="shared" ref="W346:W356" si="157">A346</f>
        <v>2.04.03</v>
      </c>
      <c r="X346" s="207" t="str">
        <f t="shared" ref="X346:X356" si="158">VLOOKUP(W346,kelompok,2,0)</f>
        <v>Alat Ukur</v>
      </c>
      <c r="Y346" s="207">
        <f t="shared" ref="Y346:Y356" si="159">VLOOKUP(W346,MASAMANFAAT,4,0)</f>
        <v>5</v>
      </c>
      <c r="Z346" s="233">
        <f t="shared" ref="Z346:Z357" si="160">(P346-10)/Y346</f>
        <v>1499998</v>
      </c>
      <c r="AA346" s="208">
        <f t="shared" ref="AA346:AA355" si="161">2013-AI346</f>
        <v>11</v>
      </c>
      <c r="AB346" s="233">
        <f t="shared" ref="AB346:AB356" si="162">IF(AA346&gt;Y346,P346-10,Z346*AA346)</f>
        <v>7499990</v>
      </c>
      <c r="AC346" s="233">
        <f t="shared" ref="AC346:AC356" si="163">IF(P346-10=AB346,0,Z346)</f>
        <v>0</v>
      </c>
      <c r="AD346" s="233">
        <f t="shared" ref="AD346:AD356" si="164">IF(P346-10=AB346+AC346,0,Z346)</f>
        <v>0</v>
      </c>
      <c r="AE346" s="233">
        <f t="shared" ref="AE346:AE356" si="165">IF(P346-10=AB346+AC346+AD346,0,Z346)</f>
        <v>0</v>
      </c>
      <c r="AF346" s="233">
        <f t="shared" ref="AF346:AF356" si="166">IF(P346-10=AB346+AC346+AD346+AE346,0,Z346)</f>
        <v>0</v>
      </c>
      <c r="AG346" s="238">
        <f t="shared" ref="AG346:AG357" si="167">IF(P346-10=AB346+AC346+AD346+AE346+AF346,0,Z346)</f>
        <v>0</v>
      </c>
      <c r="AH346" s="238">
        <f t="shared" ref="AH346:AH357" si="168">SUM(AB346:AG346)</f>
        <v>7499990</v>
      </c>
      <c r="AI346" s="209" t="str">
        <f t="shared" ref="AI346:AI357" si="169">I346</f>
        <v>2002</v>
      </c>
      <c r="AJ346" s="210">
        <f t="shared" ref="AJ346:AJ357" si="170">P346-AH346</f>
        <v>10</v>
      </c>
    </row>
    <row r="347" spans="1:38" s="41" customFormat="1" ht="30.75" hidden="1" customHeight="1" x14ac:dyDescent="0.2">
      <c r="A347" t="s">
        <v>2299</v>
      </c>
      <c r="B347" s="69"/>
      <c r="C347" s="72" t="s">
        <v>52</v>
      </c>
      <c r="D347" s="65" t="s">
        <v>977</v>
      </c>
      <c r="E347" s="70"/>
      <c r="F347" s="65" t="s">
        <v>1004</v>
      </c>
      <c r="G347" s="40"/>
      <c r="H347" s="65" t="s">
        <v>193</v>
      </c>
      <c r="I347" s="32">
        <v>2011</v>
      </c>
      <c r="J347" s="40"/>
      <c r="K347" s="40"/>
      <c r="L347" s="65" t="s">
        <v>322</v>
      </c>
      <c r="M347" s="40"/>
      <c r="N347" s="40"/>
      <c r="O347" s="32" t="s">
        <v>12</v>
      </c>
      <c r="P347" s="252">
        <v>89100000</v>
      </c>
      <c r="Q347" s="61" t="s">
        <v>43</v>
      </c>
      <c r="W347" s="206" t="str">
        <f t="shared" si="157"/>
        <v>2.04.03</v>
      </c>
      <c r="X347" s="207" t="str">
        <f t="shared" si="158"/>
        <v>Alat Ukur</v>
      </c>
      <c r="Y347" s="207">
        <f t="shared" si="159"/>
        <v>5</v>
      </c>
      <c r="Z347" s="233">
        <f t="shared" si="160"/>
        <v>17819998</v>
      </c>
      <c r="AA347" s="208">
        <f t="shared" si="161"/>
        <v>2</v>
      </c>
      <c r="AB347" s="233">
        <f t="shared" si="162"/>
        <v>35639996</v>
      </c>
      <c r="AC347" s="233">
        <f t="shared" si="163"/>
        <v>17819998</v>
      </c>
      <c r="AD347" s="233">
        <f t="shared" si="164"/>
        <v>17819998</v>
      </c>
      <c r="AE347" s="233">
        <f t="shared" si="165"/>
        <v>17819998</v>
      </c>
      <c r="AF347" s="233">
        <f t="shared" si="166"/>
        <v>0</v>
      </c>
      <c r="AG347" s="238">
        <f t="shared" si="167"/>
        <v>0</v>
      </c>
      <c r="AH347" s="238">
        <f t="shared" si="168"/>
        <v>89099990</v>
      </c>
      <c r="AI347" s="209">
        <f t="shared" si="169"/>
        <v>2011</v>
      </c>
      <c r="AJ347" s="210">
        <f t="shared" si="170"/>
        <v>10</v>
      </c>
    </row>
    <row r="348" spans="1:38" s="41" customFormat="1" ht="30.75" hidden="1" customHeight="1" x14ac:dyDescent="0.2">
      <c r="A348" t="s">
        <v>2299</v>
      </c>
      <c r="B348" s="69"/>
      <c r="C348" s="72" t="s">
        <v>52</v>
      </c>
      <c r="D348" s="65" t="s">
        <v>323</v>
      </c>
      <c r="E348" s="70"/>
      <c r="F348" s="65" t="s">
        <v>1005</v>
      </c>
      <c r="G348" s="40"/>
      <c r="H348" s="65" t="s">
        <v>193</v>
      </c>
      <c r="I348" s="32">
        <v>2011</v>
      </c>
      <c r="J348" s="40"/>
      <c r="K348" s="40"/>
      <c r="L348" s="65" t="s">
        <v>324</v>
      </c>
      <c r="M348" s="40"/>
      <c r="N348" s="40"/>
      <c r="O348" s="32" t="s">
        <v>12</v>
      </c>
      <c r="P348" s="252">
        <v>5775000</v>
      </c>
      <c r="Q348" s="61" t="s">
        <v>43</v>
      </c>
      <c r="W348" s="206" t="str">
        <f t="shared" si="157"/>
        <v>2.04.03</v>
      </c>
      <c r="X348" s="207" t="str">
        <f t="shared" si="158"/>
        <v>Alat Ukur</v>
      </c>
      <c r="Y348" s="207">
        <f t="shared" si="159"/>
        <v>5</v>
      </c>
      <c r="Z348" s="233">
        <f t="shared" si="160"/>
        <v>1154998</v>
      </c>
      <c r="AA348" s="208">
        <f t="shared" si="161"/>
        <v>2</v>
      </c>
      <c r="AB348" s="233">
        <f t="shared" si="162"/>
        <v>2309996</v>
      </c>
      <c r="AC348" s="233">
        <f t="shared" si="163"/>
        <v>1154998</v>
      </c>
      <c r="AD348" s="233">
        <f t="shared" si="164"/>
        <v>1154998</v>
      </c>
      <c r="AE348" s="233">
        <f t="shared" si="165"/>
        <v>1154998</v>
      </c>
      <c r="AF348" s="233">
        <f t="shared" si="166"/>
        <v>0</v>
      </c>
      <c r="AG348" s="238">
        <f t="shared" si="167"/>
        <v>0</v>
      </c>
      <c r="AH348" s="238">
        <f t="shared" si="168"/>
        <v>5774990</v>
      </c>
      <c r="AI348" s="209">
        <f t="shared" si="169"/>
        <v>2011</v>
      </c>
      <c r="AJ348" s="210">
        <f t="shared" si="170"/>
        <v>10</v>
      </c>
    </row>
    <row r="349" spans="1:38" s="41" customFormat="1" ht="30.75" hidden="1" customHeight="1" x14ac:dyDescent="0.2">
      <c r="A349" t="s">
        <v>2299</v>
      </c>
      <c r="B349" s="69"/>
      <c r="C349" s="72" t="s">
        <v>52</v>
      </c>
      <c r="D349" s="65" t="s">
        <v>323</v>
      </c>
      <c r="E349" s="70"/>
      <c r="F349" s="65" t="s">
        <v>1005</v>
      </c>
      <c r="G349" s="40"/>
      <c r="H349" s="65" t="s">
        <v>193</v>
      </c>
      <c r="I349" s="32">
        <v>2011</v>
      </c>
      <c r="J349" s="40"/>
      <c r="K349" s="40"/>
      <c r="L349" s="65" t="s">
        <v>325</v>
      </c>
      <c r="M349" s="40"/>
      <c r="N349" s="40"/>
      <c r="O349" s="32" t="s">
        <v>12</v>
      </c>
      <c r="P349" s="252">
        <v>5775000</v>
      </c>
      <c r="Q349" s="61" t="s">
        <v>43</v>
      </c>
      <c r="W349" s="206" t="str">
        <f t="shared" si="157"/>
        <v>2.04.03</v>
      </c>
      <c r="X349" s="207" t="str">
        <f t="shared" si="158"/>
        <v>Alat Ukur</v>
      </c>
      <c r="Y349" s="207">
        <f t="shared" si="159"/>
        <v>5</v>
      </c>
      <c r="Z349" s="233">
        <f t="shared" si="160"/>
        <v>1154998</v>
      </c>
      <c r="AA349" s="208">
        <f t="shared" si="161"/>
        <v>2</v>
      </c>
      <c r="AB349" s="233">
        <f t="shared" si="162"/>
        <v>2309996</v>
      </c>
      <c r="AC349" s="233">
        <f t="shared" si="163"/>
        <v>1154998</v>
      </c>
      <c r="AD349" s="233">
        <f t="shared" si="164"/>
        <v>1154998</v>
      </c>
      <c r="AE349" s="233">
        <f t="shared" si="165"/>
        <v>1154998</v>
      </c>
      <c r="AF349" s="233">
        <f t="shared" si="166"/>
        <v>0</v>
      </c>
      <c r="AG349" s="238">
        <f t="shared" si="167"/>
        <v>0</v>
      </c>
      <c r="AH349" s="238">
        <f t="shared" si="168"/>
        <v>5774990</v>
      </c>
      <c r="AI349" s="209">
        <f t="shared" si="169"/>
        <v>2011</v>
      </c>
      <c r="AJ349" s="210">
        <f t="shared" si="170"/>
        <v>10</v>
      </c>
    </row>
    <row r="350" spans="1:38" s="41" customFormat="1" ht="30.75" hidden="1" customHeight="1" x14ac:dyDescent="0.2">
      <c r="A350" t="s">
        <v>2299</v>
      </c>
      <c r="B350" s="69"/>
      <c r="C350" s="72"/>
      <c r="D350" s="65" t="s">
        <v>1749</v>
      </c>
      <c r="E350" s="70"/>
      <c r="F350" s="65" t="s">
        <v>1750</v>
      </c>
      <c r="G350" s="40"/>
      <c r="H350" s="65" t="s">
        <v>1747</v>
      </c>
      <c r="I350" s="32">
        <v>2012</v>
      </c>
      <c r="J350" s="40"/>
      <c r="K350" s="40"/>
      <c r="L350" s="65"/>
      <c r="M350" s="40"/>
      <c r="N350" s="40"/>
      <c r="O350" s="32"/>
      <c r="P350" s="252">
        <v>17015845.693652902</v>
      </c>
      <c r="Q350" s="61"/>
      <c r="W350" s="206" t="str">
        <f t="shared" si="157"/>
        <v>2.04.03</v>
      </c>
      <c r="X350" s="207" t="str">
        <f t="shared" si="158"/>
        <v>Alat Ukur</v>
      </c>
      <c r="Y350" s="207">
        <f t="shared" si="159"/>
        <v>5</v>
      </c>
      <c r="Z350" s="233">
        <f t="shared" si="160"/>
        <v>3403167.1387305805</v>
      </c>
      <c r="AA350" s="208">
        <f t="shared" si="161"/>
        <v>1</v>
      </c>
      <c r="AB350" s="233">
        <f t="shared" si="162"/>
        <v>3403167.1387305805</v>
      </c>
      <c r="AC350" s="233">
        <f t="shared" si="163"/>
        <v>3403167.1387305805</v>
      </c>
      <c r="AD350" s="233">
        <f t="shared" si="164"/>
        <v>3403167.1387305805</v>
      </c>
      <c r="AE350" s="233">
        <f t="shared" si="165"/>
        <v>3403167.1387305805</v>
      </c>
      <c r="AF350" s="233">
        <f t="shared" si="166"/>
        <v>3403167.1387305805</v>
      </c>
      <c r="AG350" s="238">
        <f t="shared" si="167"/>
        <v>0</v>
      </c>
      <c r="AH350" s="238">
        <f t="shared" si="168"/>
        <v>17015835.693652902</v>
      </c>
      <c r="AI350" s="209">
        <f t="shared" si="169"/>
        <v>2012</v>
      </c>
      <c r="AJ350" s="210">
        <f t="shared" si="170"/>
        <v>10</v>
      </c>
    </row>
    <row r="351" spans="1:38" s="41" customFormat="1" ht="30.75" hidden="1" customHeight="1" x14ac:dyDescent="0.2">
      <c r="A351" t="s">
        <v>2299</v>
      </c>
      <c r="B351" s="69"/>
      <c r="C351" s="72"/>
      <c r="D351" s="65" t="s">
        <v>1749</v>
      </c>
      <c r="E351" s="70"/>
      <c r="F351" s="65" t="s">
        <v>1750</v>
      </c>
      <c r="G351" s="40"/>
      <c r="H351" s="65" t="s">
        <v>1747</v>
      </c>
      <c r="I351" s="32">
        <v>2012</v>
      </c>
      <c r="J351" s="40"/>
      <c r="K351" s="40"/>
      <c r="L351" s="65"/>
      <c r="M351" s="40"/>
      <c r="N351" s="40"/>
      <c r="O351" s="32"/>
      <c r="P351" s="252">
        <v>7500000</v>
      </c>
      <c r="Q351" s="61"/>
      <c r="W351" s="206" t="str">
        <f t="shared" si="157"/>
        <v>2.04.03</v>
      </c>
      <c r="X351" s="207" t="str">
        <f t="shared" si="158"/>
        <v>Alat Ukur</v>
      </c>
      <c r="Y351" s="207">
        <f t="shared" si="159"/>
        <v>5</v>
      </c>
      <c r="Z351" s="233">
        <f t="shared" si="160"/>
        <v>1499998</v>
      </c>
      <c r="AA351" s="208">
        <f t="shared" si="161"/>
        <v>1</v>
      </c>
      <c r="AB351" s="233">
        <f t="shared" si="162"/>
        <v>1499998</v>
      </c>
      <c r="AC351" s="233">
        <f t="shared" si="163"/>
        <v>1499998</v>
      </c>
      <c r="AD351" s="233">
        <f t="shared" si="164"/>
        <v>1499998</v>
      </c>
      <c r="AE351" s="233">
        <f t="shared" si="165"/>
        <v>1499998</v>
      </c>
      <c r="AF351" s="233">
        <f t="shared" si="166"/>
        <v>1499998</v>
      </c>
      <c r="AG351" s="238">
        <f t="shared" si="167"/>
        <v>0</v>
      </c>
      <c r="AH351" s="238">
        <f t="shared" si="168"/>
        <v>7499990</v>
      </c>
      <c r="AI351" s="209">
        <f t="shared" si="169"/>
        <v>2012</v>
      </c>
      <c r="AJ351" s="210">
        <f t="shared" si="170"/>
        <v>10</v>
      </c>
    </row>
    <row r="352" spans="1:38" s="41" customFormat="1" ht="30.75" hidden="1" customHeight="1" x14ac:dyDescent="0.2">
      <c r="A352" t="s">
        <v>2299</v>
      </c>
      <c r="B352" s="69"/>
      <c r="C352" s="72" t="s">
        <v>52</v>
      </c>
      <c r="D352" s="65" t="s">
        <v>326</v>
      </c>
      <c r="E352" s="85" t="s">
        <v>327</v>
      </c>
      <c r="F352" s="65" t="s">
        <v>52</v>
      </c>
      <c r="G352" s="40"/>
      <c r="H352" s="65" t="s">
        <v>193</v>
      </c>
      <c r="I352" s="32">
        <v>2013</v>
      </c>
      <c r="J352" s="40"/>
      <c r="K352" s="40"/>
      <c r="L352" s="65"/>
      <c r="M352" s="40"/>
      <c r="N352" s="40"/>
      <c r="O352" s="32" t="s">
        <v>12</v>
      </c>
      <c r="P352" s="252">
        <v>34500000</v>
      </c>
      <c r="Q352" s="61"/>
      <c r="W352" s="206" t="str">
        <f t="shared" si="157"/>
        <v>2.04.03</v>
      </c>
      <c r="X352" s="207" t="str">
        <f t="shared" si="158"/>
        <v>Alat Ukur</v>
      </c>
      <c r="Y352" s="207">
        <f t="shared" si="159"/>
        <v>5</v>
      </c>
      <c r="Z352" s="233">
        <f t="shared" si="160"/>
        <v>6899998</v>
      </c>
      <c r="AA352" s="208">
        <f t="shared" si="161"/>
        <v>0</v>
      </c>
      <c r="AB352" s="233">
        <f t="shared" si="162"/>
        <v>0</v>
      </c>
      <c r="AC352" s="233">
        <f t="shared" si="163"/>
        <v>6899998</v>
      </c>
      <c r="AD352" s="233">
        <f t="shared" si="164"/>
        <v>6899998</v>
      </c>
      <c r="AE352" s="233">
        <f t="shared" si="165"/>
        <v>6899998</v>
      </c>
      <c r="AF352" s="233">
        <f t="shared" si="166"/>
        <v>6899998</v>
      </c>
      <c r="AG352" s="238">
        <f t="shared" si="167"/>
        <v>6899998</v>
      </c>
      <c r="AH352" s="238">
        <f t="shared" si="168"/>
        <v>34499990</v>
      </c>
      <c r="AI352" s="209">
        <f t="shared" si="169"/>
        <v>2013</v>
      </c>
      <c r="AJ352" s="210">
        <f t="shared" si="170"/>
        <v>10</v>
      </c>
    </row>
    <row r="353" spans="1:38" s="41" customFormat="1" ht="30.75" hidden="1" customHeight="1" x14ac:dyDescent="0.2">
      <c r="A353" t="s">
        <v>2299</v>
      </c>
      <c r="B353" s="69"/>
      <c r="C353" s="72" t="s">
        <v>52</v>
      </c>
      <c r="D353" s="65" t="s">
        <v>978</v>
      </c>
      <c r="E353" s="85" t="s">
        <v>274</v>
      </c>
      <c r="F353" s="65" t="s">
        <v>52</v>
      </c>
      <c r="G353" s="40"/>
      <c r="H353" s="65" t="s">
        <v>193</v>
      </c>
      <c r="I353" s="32">
        <v>2013</v>
      </c>
      <c r="J353" s="40"/>
      <c r="K353" s="40"/>
      <c r="L353" s="65"/>
      <c r="M353" s="40"/>
      <c r="N353" s="40"/>
      <c r="O353" s="32" t="s">
        <v>12</v>
      </c>
      <c r="P353" s="252">
        <v>14500000</v>
      </c>
      <c r="Q353" s="61"/>
      <c r="U353" s="269">
        <f>P353/2</f>
        <v>7250000</v>
      </c>
      <c r="W353" s="206" t="str">
        <f t="shared" si="157"/>
        <v>2.04.03</v>
      </c>
      <c r="X353" s="207" t="str">
        <f t="shared" si="158"/>
        <v>Alat Ukur</v>
      </c>
      <c r="Y353" s="207">
        <f t="shared" si="159"/>
        <v>5</v>
      </c>
      <c r="Z353" s="233">
        <f t="shared" si="160"/>
        <v>2899998</v>
      </c>
      <c r="AA353" s="208">
        <f t="shared" si="161"/>
        <v>0</v>
      </c>
      <c r="AB353" s="233">
        <f t="shared" si="162"/>
        <v>0</v>
      </c>
      <c r="AC353" s="233">
        <f t="shared" si="163"/>
        <v>2899998</v>
      </c>
      <c r="AD353" s="233">
        <f t="shared" si="164"/>
        <v>2899998</v>
      </c>
      <c r="AE353" s="233">
        <f t="shared" si="165"/>
        <v>2899998</v>
      </c>
      <c r="AF353" s="233">
        <f t="shared" si="166"/>
        <v>2899998</v>
      </c>
      <c r="AG353" s="238">
        <f t="shared" si="167"/>
        <v>2899998</v>
      </c>
      <c r="AH353" s="238">
        <f t="shared" si="168"/>
        <v>14499990</v>
      </c>
      <c r="AI353" s="209">
        <f t="shared" si="169"/>
        <v>2013</v>
      </c>
      <c r="AJ353" s="210">
        <f t="shared" si="170"/>
        <v>10</v>
      </c>
    </row>
    <row r="354" spans="1:38" s="41" customFormat="1" ht="30.75" hidden="1" customHeight="1" x14ac:dyDescent="0.2">
      <c r="A354" t="s">
        <v>2299</v>
      </c>
      <c r="B354" s="69"/>
      <c r="C354" s="72" t="s">
        <v>52</v>
      </c>
      <c r="D354" s="65" t="s">
        <v>979</v>
      </c>
      <c r="E354" s="85" t="s">
        <v>274</v>
      </c>
      <c r="F354" s="65" t="s">
        <v>52</v>
      </c>
      <c r="G354" s="40"/>
      <c r="H354" s="65" t="s">
        <v>193</v>
      </c>
      <c r="I354" s="32">
        <v>2013</v>
      </c>
      <c r="J354" s="40"/>
      <c r="K354" s="40"/>
      <c r="L354" s="65"/>
      <c r="M354" s="40"/>
      <c r="N354" s="40"/>
      <c r="O354" s="32" t="s">
        <v>12</v>
      </c>
      <c r="P354" s="252">
        <v>7000000</v>
      </c>
      <c r="Q354" s="61"/>
      <c r="U354" s="269">
        <f>P354/2</f>
        <v>3500000</v>
      </c>
      <c r="W354" s="206" t="str">
        <f t="shared" si="157"/>
        <v>2.04.03</v>
      </c>
      <c r="X354" s="207" t="str">
        <f t="shared" si="158"/>
        <v>Alat Ukur</v>
      </c>
      <c r="Y354" s="207">
        <f t="shared" si="159"/>
        <v>5</v>
      </c>
      <c r="Z354" s="233">
        <f t="shared" si="160"/>
        <v>1399998</v>
      </c>
      <c r="AA354" s="208">
        <f t="shared" si="161"/>
        <v>0</v>
      </c>
      <c r="AB354" s="233">
        <f t="shared" si="162"/>
        <v>0</v>
      </c>
      <c r="AC354" s="233">
        <f t="shared" si="163"/>
        <v>1399998</v>
      </c>
      <c r="AD354" s="233">
        <f t="shared" si="164"/>
        <v>1399998</v>
      </c>
      <c r="AE354" s="233">
        <f t="shared" si="165"/>
        <v>1399998</v>
      </c>
      <c r="AF354" s="233">
        <f t="shared" si="166"/>
        <v>1399998</v>
      </c>
      <c r="AG354" s="238">
        <f t="shared" si="167"/>
        <v>1399998</v>
      </c>
      <c r="AH354" s="238">
        <f t="shared" si="168"/>
        <v>6999990</v>
      </c>
      <c r="AI354" s="209">
        <f t="shared" si="169"/>
        <v>2013</v>
      </c>
      <c r="AJ354" s="210">
        <f t="shared" si="170"/>
        <v>10</v>
      </c>
    </row>
    <row r="355" spans="1:38" s="41" customFormat="1" ht="30.75" hidden="1" customHeight="1" x14ac:dyDescent="0.2">
      <c r="A355" t="s">
        <v>2299</v>
      </c>
      <c r="B355" s="69"/>
      <c r="C355" s="72" t="s">
        <v>52</v>
      </c>
      <c r="D355" s="65" t="s">
        <v>980</v>
      </c>
      <c r="E355" s="85" t="s">
        <v>274</v>
      </c>
      <c r="F355" s="65" t="s">
        <v>52</v>
      </c>
      <c r="G355" s="40"/>
      <c r="H355" s="65" t="s">
        <v>193</v>
      </c>
      <c r="I355" s="32">
        <v>2013</v>
      </c>
      <c r="J355" s="40"/>
      <c r="K355" s="40"/>
      <c r="L355" s="65"/>
      <c r="M355" s="40"/>
      <c r="N355" s="40"/>
      <c r="O355" s="32" t="s">
        <v>12</v>
      </c>
      <c r="P355" s="252">
        <v>7000000</v>
      </c>
      <c r="Q355" s="61"/>
      <c r="U355" s="269">
        <f>P355/2</f>
        <v>3500000</v>
      </c>
      <c r="W355" s="206" t="str">
        <f t="shared" si="157"/>
        <v>2.04.03</v>
      </c>
      <c r="X355" s="207" t="str">
        <f t="shared" si="158"/>
        <v>Alat Ukur</v>
      </c>
      <c r="Y355" s="207">
        <f t="shared" si="159"/>
        <v>5</v>
      </c>
      <c r="Z355" s="233">
        <f t="shared" si="160"/>
        <v>1399998</v>
      </c>
      <c r="AA355" s="208">
        <f t="shared" si="161"/>
        <v>0</v>
      </c>
      <c r="AB355" s="233">
        <f t="shared" si="162"/>
        <v>0</v>
      </c>
      <c r="AC355" s="233">
        <f t="shared" si="163"/>
        <v>1399998</v>
      </c>
      <c r="AD355" s="233">
        <f t="shared" si="164"/>
        <v>1399998</v>
      </c>
      <c r="AE355" s="233">
        <f t="shared" si="165"/>
        <v>1399998</v>
      </c>
      <c r="AF355" s="233">
        <f t="shared" si="166"/>
        <v>1399998</v>
      </c>
      <c r="AG355" s="238">
        <f t="shared" si="167"/>
        <v>1399998</v>
      </c>
      <c r="AH355" s="238">
        <f t="shared" si="168"/>
        <v>6999990</v>
      </c>
      <c r="AI355" s="209">
        <f t="shared" si="169"/>
        <v>2013</v>
      </c>
      <c r="AJ355" s="210">
        <f t="shared" si="170"/>
        <v>10</v>
      </c>
    </row>
    <row r="356" spans="1:38" s="48" customFormat="1" ht="30.75" hidden="1" customHeight="1" x14ac:dyDescent="0.2">
      <c r="A356" t="s">
        <v>2299</v>
      </c>
      <c r="B356" s="73"/>
      <c r="C356" s="72" t="s">
        <v>328</v>
      </c>
      <c r="D356" s="65" t="s">
        <v>979</v>
      </c>
      <c r="E356" s="83" t="s">
        <v>283</v>
      </c>
      <c r="F356" s="65" t="s">
        <v>52</v>
      </c>
      <c r="G356" s="40"/>
      <c r="H356" s="65" t="s">
        <v>281</v>
      </c>
      <c r="I356" s="32">
        <v>2014</v>
      </c>
      <c r="J356" s="40"/>
      <c r="K356" s="40"/>
      <c r="L356" s="65"/>
      <c r="M356" s="40"/>
      <c r="N356" s="40"/>
      <c r="O356" s="32" t="s">
        <v>12</v>
      </c>
      <c r="P356" s="252">
        <v>6500000</v>
      </c>
      <c r="Q356" s="61"/>
      <c r="U356" s="269">
        <f>P356/2</f>
        <v>3250000</v>
      </c>
      <c r="W356" s="206" t="str">
        <f t="shared" si="157"/>
        <v>2.04.03</v>
      </c>
      <c r="X356" s="207" t="str">
        <f t="shared" si="158"/>
        <v>Alat Ukur</v>
      </c>
      <c r="Y356" s="207">
        <f t="shared" si="159"/>
        <v>5</v>
      </c>
      <c r="Z356" s="233">
        <f t="shared" si="160"/>
        <v>1299998</v>
      </c>
      <c r="AA356" s="208"/>
      <c r="AB356" s="233">
        <f t="shared" si="162"/>
        <v>0</v>
      </c>
      <c r="AC356" s="233">
        <f t="shared" si="163"/>
        <v>1299998</v>
      </c>
      <c r="AD356" s="233">
        <f t="shared" si="164"/>
        <v>1299998</v>
      </c>
      <c r="AE356" s="233">
        <f t="shared" si="165"/>
        <v>1299998</v>
      </c>
      <c r="AF356" s="233">
        <f t="shared" si="166"/>
        <v>1299998</v>
      </c>
      <c r="AG356" s="238">
        <f t="shared" si="167"/>
        <v>1299998</v>
      </c>
      <c r="AH356" s="238">
        <f t="shared" si="168"/>
        <v>6499990</v>
      </c>
      <c r="AI356" s="209">
        <f t="shared" si="169"/>
        <v>2014</v>
      </c>
      <c r="AJ356" s="210">
        <f t="shared" si="170"/>
        <v>10</v>
      </c>
    </row>
    <row r="357" spans="1:38" s="41" customFormat="1" ht="30.75" hidden="1" customHeight="1" x14ac:dyDescent="0.2">
      <c r="B357" s="69"/>
      <c r="C357" s="72" t="s">
        <v>2329</v>
      </c>
      <c r="D357" s="65" t="s">
        <v>326</v>
      </c>
      <c r="E357" s="85" t="s">
        <v>327</v>
      </c>
      <c r="F357" s="65" t="s">
        <v>52</v>
      </c>
      <c r="G357" s="40"/>
      <c r="H357" s="65" t="s">
        <v>52</v>
      </c>
      <c r="I357" s="32">
        <v>2017</v>
      </c>
      <c r="J357" s="40"/>
      <c r="K357" s="40"/>
      <c r="L357" s="65"/>
      <c r="M357" s="40"/>
      <c r="N357" s="40"/>
      <c r="O357" s="32" t="s">
        <v>12</v>
      </c>
      <c r="P357" s="252">
        <v>9900000</v>
      </c>
      <c r="Q357" s="61"/>
      <c r="W357" s="206" t="str">
        <f>MID(C357,2,7)</f>
        <v>2.06.01</v>
      </c>
      <c r="X357" s="207" t="str">
        <f>VLOOKUP(W357,UE,2)</f>
        <v>4.16.04</v>
      </c>
      <c r="Y357" s="207" t="str">
        <f>VLOOKUP(W357,UE,3)</f>
        <v>Jaringan Gas</v>
      </c>
      <c r="Z357" s="233" t="e">
        <f t="shared" si="160"/>
        <v>#VALUE!</v>
      </c>
      <c r="AB357" s="234"/>
      <c r="AC357" s="234"/>
      <c r="AD357" s="234"/>
      <c r="AE357" s="234"/>
      <c r="AF357" s="234"/>
      <c r="AG357" s="238" t="e">
        <f t="shared" si="167"/>
        <v>#VALUE!</v>
      </c>
      <c r="AH357" s="238" t="e">
        <f t="shared" si="168"/>
        <v>#VALUE!</v>
      </c>
      <c r="AI357" s="209">
        <f t="shared" si="169"/>
        <v>2017</v>
      </c>
      <c r="AJ357" s="210" t="e">
        <f t="shared" si="170"/>
        <v>#VALUE!</v>
      </c>
    </row>
    <row r="358" spans="1:38" s="41" customFormat="1" ht="30.75" hidden="1" customHeight="1" x14ac:dyDescent="0.2">
      <c r="B358" s="69"/>
      <c r="C358" s="72" t="s">
        <v>52</v>
      </c>
      <c r="D358" s="65" t="s">
        <v>52</v>
      </c>
      <c r="E358" s="85"/>
      <c r="F358" s="65" t="s">
        <v>52</v>
      </c>
      <c r="G358" s="40"/>
      <c r="H358" s="65" t="s">
        <v>52</v>
      </c>
      <c r="I358" s="32"/>
      <c r="J358" s="40"/>
      <c r="K358" s="40"/>
      <c r="L358" s="65"/>
      <c r="M358" s="40"/>
      <c r="N358" s="40"/>
      <c r="O358" s="32"/>
      <c r="P358" s="252"/>
      <c r="Q358" s="61"/>
      <c r="X358" s="42"/>
      <c r="Z358" s="234"/>
      <c r="AB358" s="234"/>
      <c r="AC358" s="234"/>
      <c r="AD358" s="234"/>
      <c r="AE358" s="234"/>
      <c r="AF358" s="234"/>
      <c r="AG358" s="234"/>
      <c r="AH358" s="234"/>
    </row>
    <row r="359" spans="1:38" s="41" customFormat="1" ht="30.75" hidden="1" customHeight="1" x14ac:dyDescent="0.2">
      <c r="B359" s="69"/>
      <c r="C359" s="72" t="s">
        <v>52</v>
      </c>
      <c r="D359" s="65" t="s">
        <v>52</v>
      </c>
      <c r="E359" s="85"/>
      <c r="F359" s="65" t="s">
        <v>52</v>
      </c>
      <c r="G359" s="40"/>
      <c r="H359" s="65" t="s">
        <v>52</v>
      </c>
      <c r="I359" s="32"/>
      <c r="J359" s="40"/>
      <c r="K359" s="40"/>
      <c r="L359" s="65"/>
      <c r="M359" s="40"/>
      <c r="N359" s="40"/>
      <c r="O359" s="32"/>
      <c r="P359" s="252"/>
      <c r="Q359" s="61"/>
      <c r="X359" s="42"/>
      <c r="Z359" s="234"/>
      <c r="AB359" s="234"/>
      <c r="AC359" s="234"/>
      <c r="AD359" s="234"/>
      <c r="AE359" s="234"/>
      <c r="AF359" s="234"/>
      <c r="AG359" s="234"/>
      <c r="AH359" s="234"/>
    </row>
    <row r="360" spans="1:38" s="41" customFormat="1" ht="30.75" hidden="1" customHeight="1" x14ac:dyDescent="0.2">
      <c r="B360" s="86" t="s">
        <v>329</v>
      </c>
      <c r="C360" s="25" t="s">
        <v>924</v>
      </c>
      <c r="D360" s="65" t="s">
        <v>52</v>
      </c>
      <c r="E360" s="70"/>
      <c r="F360" s="65" t="s">
        <v>52</v>
      </c>
      <c r="G360" s="40"/>
      <c r="H360" s="65" t="s">
        <v>52</v>
      </c>
      <c r="I360" s="32"/>
      <c r="J360" s="40"/>
      <c r="K360" s="40"/>
      <c r="L360" s="65"/>
      <c r="M360" s="40"/>
      <c r="N360" s="40"/>
      <c r="O360" s="32"/>
      <c r="P360" s="252"/>
      <c r="Q360" s="61"/>
      <c r="X360" s="42">
        <f t="shared" ref="X360:X365" si="171">IF(P360&lt;300000,P360,"0")</f>
        <v>0</v>
      </c>
      <c r="Z360" s="234"/>
      <c r="AB360" s="234"/>
      <c r="AC360" s="234"/>
      <c r="AD360" s="234"/>
      <c r="AE360" s="234"/>
      <c r="AF360" s="234"/>
      <c r="AG360" s="234">
        <f>AG361</f>
        <v>0</v>
      </c>
      <c r="AH360" s="234">
        <f>AH361</f>
        <v>0</v>
      </c>
      <c r="AJ360" s="41">
        <f>AJ361</f>
        <v>0</v>
      </c>
    </row>
    <row r="361" spans="1:38" s="41" customFormat="1" ht="30.75" hidden="1" customHeight="1" x14ac:dyDescent="0.2">
      <c r="B361" s="69"/>
      <c r="C361" s="72" t="s">
        <v>52</v>
      </c>
      <c r="D361" s="65" t="s">
        <v>52</v>
      </c>
      <c r="E361" s="70"/>
      <c r="F361" s="65" t="s">
        <v>52</v>
      </c>
      <c r="G361" s="40"/>
      <c r="H361" s="65" t="s">
        <v>52</v>
      </c>
      <c r="I361" s="32"/>
      <c r="J361" s="40"/>
      <c r="K361" s="40"/>
      <c r="L361" s="65"/>
      <c r="M361" s="40"/>
      <c r="N361" s="40"/>
      <c r="O361" s="32"/>
      <c r="P361" s="252">
        <v>0</v>
      </c>
      <c r="Q361" s="61"/>
      <c r="W361" s="49"/>
      <c r="X361" s="42">
        <f t="shared" si="171"/>
        <v>0</v>
      </c>
      <c r="Z361" s="234"/>
      <c r="AB361" s="234"/>
      <c r="AC361" s="234"/>
      <c r="AD361" s="234"/>
      <c r="AE361" s="234"/>
      <c r="AF361" s="234"/>
      <c r="AG361" s="234"/>
      <c r="AH361" s="234"/>
    </row>
    <row r="362" spans="1:38" s="41" customFormat="1" ht="30.75" hidden="1" customHeight="1" x14ac:dyDescent="0.2">
      <c r="B362" s="69"/>
      <c r="C362" s="70" t="s">
        <v>52</v>
      </c>
      <c r="D362" s="70" t="s">
        <v>52</v>
      </c>
      <c r="E362" s="70"/>
      <c r="F362" s="70" t="s">
        <v>52</v>
      </c>
      <c r="G362" s="70"/>
      <c r="H362" s="70" t="s">
        <v>52</v>
      </c>
      <c r="I362" s="70"/>
      <c r="J362" s="70"/>
      <c r="K362" s="70"/>
      <c r="L362" s="70"/>
      <c r="M362" s="70"/>
      <c r="N362" s="70"/>
      <c r="O362" s="70"/>
      <c r="P362" s="278"/>
      <c r="Q362" s="74"/>
      <c r="X362" s="42">
        <f t="shared" si="171"/>
        <v>0</v>
      </c>
      <c r="Z362" s="234"/>
      <c r="AB362" s="234"/>
      <c r="AC362" s="234"/>
      <c r="AD362" s="234"/>
      <c r="AE362" s="234"/>
      <c r="AF362" s="234"/>
      <c r="AG362" s="234"/>
      <c r="AH362" s="234"/>
    </row>
    <row r="363" spans="1:38" s="45" customFormat="1" ht="30.75" hidden="1" customHeight="1" x14ac:dyDescent="0.2">
      <c r="B363" s="58" t="s">
        <v>330</v>
      </c>
      <c r="C363" s="59" t="s">
        <v>925</v>
      </c>
      <c r="D363" s="75" t="s">
        <v>52</v>
      </c>
      <c r="E363" s="75"/>
      <c r="F363" s="75" t="s">
        <v>52</v>
      </c>
      <c r="G363" s="75"/>
      <c r="H363" s="75" t="s">
        <v>52</v>
      </c>
      <c r="I363" s="75"/>
      <c r="J363" s="75"/>
      <c r="K363" s="75"/>
      <c r="L363" s="75"/>
      <c r="M363" s="75"/>
      <c r="N363" s="75"/>
      <c r="O363" s="75"/>
      <c r="P363" s="279">
        <f>SUM(P77:P109)</f>
        <v>935811053.26223254</v>
      </c>
      <c r="Q363" s="76"/>
      <c r="X363" s="42" t="str">
        <f t="shared" si="171"/>
        <v>0</v>
      </c>
      <c r="Z363" s="235"/>
      <c r="AB363" s="235">
        <f>AB364</f>
        <v>0</v>
      </c>
      <c r="AC363" s="235">
        <f t="shared" ref="AC363:AH363" si="172">AC364</f>
        <v>0</v>
      </c>
      <c r="AD363" s="235">
        <f t="shared" si="172"/>
        <v>0</v>
      </c>
      <c r="AE363" s="235">
        <f t="shared" si="172"/>
        <v>0</v>
      </c>
      <c r="AF363" s="235">
        <f t="shared" si="172"/>
        <v>0</v>
      </c>
      <c r="AG363" s="235">
        <f t="shared" si="172"/>
        <v>0</v>
      </c>
      <c r="AH363" s="235">
        <f t="shared" si="172"/>
        <v>0</v>
      </c>
      <c r="AI363" s="235">
        <f>SUM(AI77:AI109)</f>
        <v>18092</v>
      </c>
      <c r="AJ363" s="235">
        <f>AJ364</f>
        <v>0</v>
      </c>
      <c r="AK363" s="217">
        <f>AB363+AC363+AD363+AE363+AF363</f>
        <v>0</v>
      </c>
      <c r="AL363" s="216">
        <f>SUM(AB363:AE363)</f>
        <v>0</v>
      </c>
    </row>
    <row r="364" spans="1:38" s="41" customFormat="1" ht="30.75" hidden="1" customHeight="1" x14ac:dyDescent="0.2">
      <c r="B364" s="69"/>
      <c r="C364" s="70" t="s">
        <v>52</v>
      </c>
      <c r="D364" s="70" t="s">
        <v>52</v>
      </c>
      <c r="E364" s="70"/>
      <c r="F364" s="70" t="s">
        <v>52</v>
      </c>
      <c r="G364" s="70"/>
      <c r="H364" s="70" t="s">
        <v>52</v>
      </c>
      <c r="I364" s="70"/>
      <c r="J364" s="70"/>
      <c r="K364" s="70"/>
      <c r="L364" s="70"/>
      <c r="M364" s="70"/>
      <c r="N364" s="70"/>
      <c r="O364" s="70"/>
      <c r="P364" s="278"/>
      <c r="Q364" s="74"/>
      <c r="X364" s="42">
        <f t="shared" si="171"/>
        <v>0</v>
      </c>
      <c r="Z364" s="234"/>
      <c r="AB364" s="234"/>
      <c r="AC364" s="234"/>
      <c r="AD364" s="234"/>
      <c r="AE364" s="234"/>
      <c r="AF364" s="234"/>
      <c r="AG364" s="234"/>
      <c r="AH364" s="234"/>
    </row>
    <row r="365" spans="1:38" s="45" customFormat="1" ht="30.75" hidden="1" customHeight="1" x14ac:dyDescent="0.2">
      <c r="B365" s="58" t="s">
        <v>381</v>
      </c>
      <c r="C365" s="59" t="s">
        <v>926</v>
      </c>
      <c r="D365" s="75" t="s">
        <v>52</v>
      </c>
      <c r="E365" s="75"/>
      <c r="F365" s="75" t="s">
        <v>52</v>
      </c>
      <c r="G365" s="75"/>
      <c r="H365" s="75" t="s">
        <v>52</v>
      </c>
      <c r="I365" s="75"/>
      <c r="J365" s="75"/>
      <c r="K365" s="75"/>
      <c r="L365" s="75"/>
      <c r="M365" s="75"/>
      <c r="N365" s="75"/>
      <c r="O365" s="75"/>
      <c r="P365" s="279">
        <f>P366</f>
        <v>1600000</v>
      </c>
      <c r="Q365" s="76"/>
      <c r="X365" s="42" t="str">
        <f t="shared" si="171"/>
        <v>0</v>
      </c>
      <c r="Z365" s="235"/>
      <c r="AB365" s="235">
        <f>AB366</f>
        <v>1599990</v>
      </c>
      <c r="AC365" s="235">
        <f>AC366</f>
        <v>0</v>
      </c>
      <c r="AD365" s="235">
        <f>AD366</f>
        <v>0</v>
      </c>
      <c r="AE365" s="235">
        <f>AE366</f>
        <v>0</v>
      </c>
      <c r="AF365" s="235">
        <f>AF366</f>
        <v>0</v>
      </c>
      <c r="AG365" s="235">
        <f>SUM(AG366:AG367)</f>
        <v>0</v>
      </c>
      <c r="AH365" s="235">
        <f>SUM(AH366:AH367)</f>
        <v>1599990</v>
      </c>
      <c r="AI365" s="235">
        <f>SUM(AI366:AI367)</f>
        <v>2008</v>
      </c>
      <c r="AJ365" s="235">
        <f>SUM(AJ366:AJ367)</f>
        <v>10</v>
      </c>
      <c r="AK365" s="217">
        <f>AB365+AC365+AD365+AE365+AF365</f>
        <v>1599990</v>
      </c>
    </row>
    <row r="366" spans="1:38" s="41" customFormat="1" ht="30.75" hidden="1" customHeight="1" x14ac:dyDescent="0.2">
      <c r="A366" t="s">
        <v>2301</v>
      </c>
      <c r="B366" s="69"/>
      <c r="C366" s="65" t="s">
        <v>382</v>
      </c>
      <c r="D366" s="65" t="s">
        <v>990</v>
      </c>
      <c r="E366" s="70"/>
      <c r="F366" s="65" t="s">
        <v>1006</v>
      </c>
      <c r="G366" s="40" t="s">
        <v>383</v>
      </c>
      <c r="H366" s="65" t="s">
        <v>191</v>
      </c>
      <c r="I366" s="32">
        <v>2008</v>
      </c>
      <c r="J366" s="70"/>
      <c r="K366" s="70"/>
      <c r="L366" s="70"/>
      <c r="M366" s="70"/>
      <c r="N366" s="70"/>
      <c r="O366" s="32" t="s">
        <v>12</v>
      </c>
      <c r="P366" s="252">
        <v>1600000</v>
      </c>
      <c r="Q366" s="74"/>
      <c r="W366" s="206" t="str">
        <f>A366</f>
        <v>2.10.03</v>
      </c>
      <c r="X366" s="207" t="str">
        <f>VLOOKUP(W366,kelompok,2,0)</f>
        <v>AMUNIISI</v>
      </c>
      <c r="Y366" s="207">
        <f>VLOOKUP(W366,MASAMANFAAT,4,0)</f>
        <v>5</v>
      </c>
      <c r="Z366" s="233">
        <f>(P366-10)/Y366</f>
        <v>319998</v>
      </c>
      <c r="AA366" s="208">
        <f>2013-AI366</f>
        <v>5</v>
      </c>
      <c r="AB366" s="233">
        <f>IF(AA366&gt;Y366,P366-10,Z366*AA366)</f>
        <v>1599990</v>
      </c>
      <c r="AC366" s="233">
        <f>IF(P366-10=AB366,0,Z366)</f>
        <v>0</v>
      </c>
      <c r="AD366" s="233">
        <f>IF(P366-10=AB366+AC366,0,Z366)</f>
        <v>0</v>
      </c>
      <c r="AE366" s="233">
        <f>IF(P366-10=AB366+AC366+AD366,0,Z366)</f>
        <v>0</v>
      </c>
      <c r="AF366" s="233">
        <f>IF(P366-10=AB366+AC366+AD366+AE366,0,Z366)</f>
        <v>0</v>
      </c>
      <c r="AG366" s="238">
        <f>IF(P366-10=AB366+AC366+AD366+AE366+AF366,0,Z366)</f>
        <v>0</v>
      </c>
      <c r="AH366" s="238">
        <f>SUM(AB366:AG366)</f>
        <v>1599990</v>
      </c>
      <c r="AI366" s="209">
        <f>I366</f>
        <v>2008</v>
      </c>
      <c r="AJ366" s="210">
        <f>P366-AH366</f>
        <v>10</v>
      </c>
    </row>
    <row r="367" spans="1:38" s="41" customFormat="1" ht="30.75" hidden="1" customHeight="1" x14ac:dyDescent="0.2">
      <c r="B367" s="69"/>
      <c r="C367" s="70" t="s">
        <v>52</v>
      </c>
      <c r="D367" s="70" t="s">
        <v>52</v>
      </c>
      <c r="E367" s="70"/>
      <c r="F367" s="70" t="s">
        <v>52</v>
      </c>
      <c r="G367" s="70"/>
      <c r="H367" s="70" t="s">
        <v>52</v>
      </c>
      <c r="I367" s="70"/>
      <c r="J367" s="70"/>
      <c r="K367" s="70"/>
      <c r="L367" s="70"/>
      <c r="M367" s="70"/>
      <c r="N367" s="70"/>
      <c r="O367" s="70"/>
      <c r="P367" s="278"/>
      <c r="Q367" s="74"/>
      <c r="X367" s="42">
        <f>IF(P367&lt;300000,P367,"0")</f>
        <v>0</v>
      </c>
      <c r="Z367" s="234"/>
      <c r="AB367" s="234"/>
      <c r="AC367" s="234"/>
      <c r="AD367" s="234"/>
      <c r="AE367" s="234"/>
      <c r="AF367" s="234"/>
      <c r="AG367" s="234"/>
      <c r="AH367" s="234"/>
    </row>
    <row r="368" spans="1:38" s="41" customFormat="1" ht="30.75" hidden="1" customHeight="1" thickBot="1" x14ac:dyDescent="0.25">
      <c r="B368" s="87"/>
      <c r="C368" s="88"/>
      <c r="D368" s="88"/>
      <c r="E368" s="88"/>
      <c r="F368" s="88" t="s">
        <v>52</v>
      </c>
      <c r="G368" s="88"/>
      <c r="H368" s="88" t="s">
        <v>52</v>
      </c>
      <c r="I368" s="88"/>
      <c r="J368" s="88"/>
      <c r="K368" s="88"/>
      <c r="L368" s="88"/>
      <c r="M368" s="88"/>
      <c r="N368" s="88"/>
      <c r="O368" s="88"/>
      <c r="P368" s="282"/>
      <c r="Q368" s="89"/>
      <c r="X368" s="42">
        <f>IF(P368&lt;300000,P368,"0")</f>
        <v>0</v>
      </c>
      <c r="Z368" s="234"/>
      <c r="AB368" s="234"/>
      <c r="AC368" s="234"/>
      <c r="AD368" s="234"/>
      <c r="AE368" s="234"/>
      <c r="AF368" s="234"/>
      <c r="AG368" s="234"/>
      <c r="AH368" s="234"/>
    </row>
    <row r="369" spans="2:17" x14ac:dyDescent="0.2">
      <c r="B369" s="17"/>
      <c r="C369" s="17"/>
      <c r="D369" s="17"/>
      <c r="E369" s="17"/>
      <c r="F369" s="17"/>
      <c r="G369" s="17"/>
      <c r="H369" s="17"/>
      <c r="I369" s="17"/>
      <c r="J369" s="17"/>
      <c r="K369" s="17"/>
      <c r="L369" s="17"/>
      <c r="M369" s="17"/>
      <c r="N369" s="17"/>
      <c r="O369" s="17"/>
      <c r="P369" s="246"/>
      <c r="Q369" s="17"/>
    </row>
    <row r="370" spans="2:17" x14ac:dyDescent="0.2">
      <c r="B370" s="17"/>
      <c r="C370" s="17"/>
      <c r="D370" s="17"/>
      <c r="E370" s="17"/>
      <c r="F370" s="17"/>
      <c r="G370" s="17"/>
      <c r="H370" s="17"/>
      <c r="I370" s="17"/>
      <c r="J370" s="17"/>
      <c r="K370" s="17"/>
      <c r="L370" s="17"/>
      <c r="M370" s="1798"/>
      <c r="N370" s="1798"/>
      <c r="O370" s="1798"/>
      <c r="P370" s="1798"/>
      <c r="Q370" s="17"/>
    </row>
    <row r="371" spans="2:17" x14ac:dyDescent="0.2">
      <c r="B371" s="1797" t="s">
        <v>22</v>
      </c>
      <c r="C371" s="1797"/>
      <c r="D371" s="1797"/>
      <c r="E371" s="17"/>
      <c r="F371" s="17"/>
      <c r="G371" s="17"/>
      <c r="H371" s="17"/>
      <c r="I371" s="17"/>
      <c r="J371" s="17"/>
      <c r="K371" s="17"/>
      <c r="L371" s="17"/>
      <c r="M371" s="1798" t="s">
        <v>884</v>
      </c>
      <c r="N371" s="1798"/>
      <c r="O371" s="1798"/>
      <c r="P371" s="1798"/>
      <c r="Q371" s="17"/>
    </row>
    <row r="372" spans="2:17" x14ac:dyDescent="0.2">
      <c r="B372" s="1797" t="s">
        <v>23</v>
      </c>
      <c r="C372" s="1797"/>
      <c r="D372" s="1797"/>
      <c r="E372" s="17"/>
      <c r="F372" s="17"/>
      <c r="G372" s="17"/>
      <c r="H372" s="17"/>
      <c r="I372" s="17"/>
      <c r="J372" s="17"/>
      <c r="K372" s="17"/>
      <c r="L372" s="17"/>
      <c r="M372" s="1797" t="s">
        <v>24</v>
      </c>
      <c r="N372" s="1797"/>
      <c r="O372" s="1797"/>
      <c r="P372" s="1797"/>
      <c r="Q372" s="17"/>
    </row>
    <row r="373" spans="2:17" x14ac:dyDescent="0.2">
      <c r="B373" s="1797" t="s">
        <v>25</v>
      </c>
      <c r="C373" s="1797"/>
      <c r="D373" s="1797"/>
      <c r="E373" s="17"/>
      <c r="F373" s="17"/>
      <c r="G373" s="17"/>
      <c r="H373" s="17"/>
      <c r="I373" s="17"/>
      <c r="J373" s="17"/>
      <c r="K373" s="17"/>
      <c r="L373" s="17"/>
      <c r="M373" s="18"/>
      <c r="N373" s="18"/>
      <c r="O373" s="18"/>
      <c r="P373" s="259"/>
      <c r="Q373" s="17"/>
    </row>
    <row r="374" spans="2:17" x14ac:dyDescent="0.2">
      <c r="B374" s="19"/>
      <c r="C374" s="19"/>
      <c r="D374" s="19"/>
      <c r="E374" s="17"/>
      <c r="F374" s="17"/>
      <c r="G374" s="17"/>
      <c r="H374" s="17"/>
      <c r="I374" s="17"/>
      <c r="J374" s="17"/>
      <c r="K374" s="17"/>
      <c r="L374" s="17"/>
      <c r="M374" s="18"/>
      <c r="N374" s="18"/>
      <c r="O374" s="18"/>
      <c r="P374" s="259"/>
      <c r="Q374" s="17"/>
    </row>
    <row r="375" spans="2:17" x14ac:dyDescent="0.2">
      <c r="B375" s="19"/>
      <c r="C375" s="19"/>
      <c r="D375" s="19"/>
      <c r="E375" s="17"/>
      <c r="F375" s="17"/>
      <c r="G375" s="17"/>
      <c r="H375" s="17"/>
      <c r="I375" s="17"/>
      <c r="J375" s="17"/>
      <c r="K375" s="17"/>
      <c r="L375" s="17"/>
      <c r="M375" s="18"/>
      <c r="N375" s="18"/>
      <c r="O375" s="18"/>
      <c r="P375" s="259"/>
      <c r="Q375" s="17"/>
    </row>
    <row r="376" spans="2:17" x14ac:dyDescent="0.2">
      <c r="B376" s="18"/>
      <c r="C376" s="18"/>
      <c r="D376" s="18"/>
      <c r="E376" s="17"/>
      <c r="F376" s="17"/>
      <c r="G376" s="17"/>
      <c r="H376" s="17"/>
      <c r="I376" s="17"/>
      <c r="J376" s="17"/>
      <c r="K376" s="17"/>
      <c r="L376" s="17"/>
      <c r="M376" s="18"/>
      <c r="N376" s="18"/>
      <c r="O376" s="18"/>
      <c r="P376" s="259"/>
      <c r="Q376" s="17"/>
    </row>
    <row r="377" spans="2:17" x14ac:dyDescent="0.2">
      <c r="B377" s="18"/>
      <c r="C377" s="18"/>
      <c r="D377" s="18"/>
      <c r="E377" s="17"/>
      <c r="F377" s="17"/>
      <c r="G377" s="17"/>
      <c r="H377" s="17"/>
      <c r="I377" s="17"/>
      <c r="J377" s="17"/>
      <c r="K377" s="17"/>
      <c r="L377" s="17"/>
      <c r="M377" s="18"/>
      <c r="N377" s="18"/>
      <c r="O377" s="18"/>
      <c r="P377" s="259"/>
      <c r="Q377" s="17"/>
    </row>
    <row r="378" spans="2:17" x14ac:dyDescent="0.2">
      <c r="B378" s="18"/>
      <c r="C378" s="18"/>
      <c r="D378" s="18"/>
      <c r="E378" s="17"/>
      <c r="F378" s="17"/>
      <c r="G378" s="17"/>
      <c r="H378" s="17"/>
      <c r="I378" s="17"/>
      <c r="J378" s="17"/>
      <c r="K378" s="17"/>
      <c r="L378" s="17"/>
      <c r="M378" s="18"/>
      <c r="N378" s="18"/>
      <c r="O378" s="18"/>
      <c r="P378" s="259"/>
      <c r="Q378" s="17"/>
    </row>
    <row r="379" spans="2:17" x14ac:dyDescent="0.2">
      <c r="B379" s="1795" t="s">
        <v>26</v>
      </c>
      <c r="C379" s="1795"/>
      <c r="D379" s="1795"/>
      <c r="E379" s="17"/>
      <c r="F379" s="17"/>
      <c r="G379" s="17"/>
      <c r="H379" s="17"/>
      <c r="I379" s="17"/>
      <c r="J379" s="17"/>
      <c r="K379" s="17"/>
      <c r="L379" s="17"/>
      <c r="M379" s="1796" t="s">
        <v>27</v>
      </c>
      <c r="N379" s="1796"/>
      <c r="O379" s="1796"/>
      <c r="P379" s="1796"/>
      <c r="Q379" s="17"/>
    </row>
    <row r="380" spans="2:17" x14ac:dyDescent="0.2">
      <c r="B380" s="1797" t="s">
        <v>28</v>
      </c>
      <c r="C380" s="1797"/>
      <c r="D380" s="1797"/>
      <c r="E380" s="17"/>
      <c r="F380" s="17"/>
      <c r="G380" s="17"/>
      <c r="H380" s="17"/>
      <c r="I380" s="17"/>
      <c r="J380" s="17"/>
      <c r="K380" s="17"/>
      <c r="L380" s="17"/>
      <c r="M380" s="1798" t="s">
        <v>29</v>
      </c>
      <c r="N380" s="1798"/>
      <c r="O380" s="1798"/>
      <c r="P380" s="1798"/>
      <c r="Q380" s="17"/>
    </row>
    <row r="381" spans="2:17" x14ac:dyDescent="0.2">
      <c r="B381" s="17"/>
      <c r="C381" s="17"/>
      <c r="D381" s="17"/>
      <c r="E381" s="17"/>
      <c r="F381" s="17"/>
      <c r="G381" s="17"/>
      <c r="H381" s="17"/>
      <c r="I381" s="17"/>
      <c r="J381" s="17"/>
      <c r="K381" s="17"/>
      <c r="L381" s="17"/>
      <c r="M381" s="17"/>
      <c r="N381" s="17"/>
      <c r="O381" s="17"/>
      <c r="P381" s="246"/>
      <c r="Q381" s="17"/>
    </row>
    <row r="382" spans="2:17" x14ac:dyDescent="0.2">
      <c r="B382" s="17"/>
      <c r="C382" s="17"/>
      <c r="D382" s="17"/>
      <c r="E382" s="17"/>
      <c r="F382" s="17"/>
      <c r="G382" s="17"/>
      <c r="H382" s="17"/>
      <c r="I382" s="17"/>
      <c r="J382" s="17"/>
      <c r="K382" s="17"/>
      <c r="L382" s="17"/>
      <c r="M382" s="17"/>
      <c r="N382" s="17"/>
      <c r="O382" s="17"/>
      <c r="P382" s="246"/>
      <c r="Q382" s="17"/>
    </row>
    <row r="383" spans="2:17" x14ac:dyDescent="0.2">
      <c r="B383" s="17"/>
      <c r="C383" s="17"/>
      <c r="D383" s="17"/>
      <c r="E383" s="17"/>
      <c r="F383" s="17"/>
      <c r="G383" s="17"/>
      <c r="H383" s="17"/>
      <c r="I383" s="17"/>
      <c r="J383" s="17"/>
      <c r="K383" s="17"/>
      <c r="L383" s="17"/>
      <c r="M383" s="17"/>
      <c r="N383" s="17"/>
      <c r="O383" s="17"/>
      <c r="P383" s="246"/>
      <c r="Q383" s="17"/>
    </row>
    <row r="384" spans="2:17" x14ac:dyDescent="0.2">
      <c r="B384" s="17"/>
      <c r="C384" s="17"/>
      <c r="D384" s="17"/>
      <c r="E384" s="17"/>
      <c r="F384" s="17"/>
      <c r="G384" s="17"/>
      <c r="H384" s="17"/>
      <c r="I384" s="17"/>
      <c r="J384" s="17"/>
      <c r="K384" s="17"/>
      <c r="L384" s="17"/>
      <c r="M384" s="17"/>
      <c r="N384" s="17"/>
      <c r="O384" s="17"/>
      <c r="P384" s="246"/>
      <c r="Q384" s="17"/>
    </row>
  </sheetData>
  <autoFilter ref="B10:V368" xr:uid="{00000000-0009-0000-0000-000000000000}">
    <filterColumn colId="20">
      <customFilters>
        <customFilter operator="notEqual" val=" "/>
      </customFilters>
    </filterColumn>
  </autoFilter>
  <mergeCells count="46">
    <mergeCell ref="B3:T3"/>
    <mergeCell ref="B4:T4"/>
    <mergeCell ref="B5:T5"/>
    <mergeCell ref="B7:B9"/>
    <mergeCell ref="C7:C9"/>
    <mergeCell ref="D7:D9"/>
    <mergeCell ref="E7:E9"/>
    <mergeCell ref="F7:F9"/>
    <mergeCell ref="G7:G9"/>
    <mergeCell ref="H7:H9"/>
    <mergeCell ref="Y7:Y9"/>
    <mergeCell ref="Z7:Z9"/>
    <mergeCell ref="AA7:AA9"/>
    <mergeCell ref="AB7:AB9"/>
    <mergeCell ref="I7:I9"/>
    <mergeCell ref="J7:N7"/>
    <mergeCell ref="O7:O9"/>
    <mergeCell ref="P7:P9"/>
    <mergeCell ref="Q7:Q9"/>
    <mergeCell ref="R7:T7"/>
    <mergeCell ref="AJ7:AJ9"/>
    <mergeCell ref="J8:J9"/>
    <mergeCell ref="K8:K9"/>
    <mergeCell ref="L8:L9"/>
    <mergeCell ref="M8:M9"/>
    <mergeCell ref="N8:N9"/>
    <mergeCell ref="R8:R9"/>
    <mergeCell ref="S8:T8"/>
    <mergeCell ref="AC7:AC9"/>
    <mergeCell ref="AD7:AD9"/>
    <mergeCell ref="AE7:AE9"/>
    <mergeCell ref="AF7:AF9"/>
    <mergeCell ref="AG7:AG9"/>
    <mergeCell ref="AH7:AH9"/>
    <mergeCell ref="W7:W9"/>
    <mergeCell ref="X7:X9"/>
    <mergeCell ref="B379:D379"/>
    <mergeCell ref="M379:P379"/>
    <mergeCell ref="B380:D380"/>
    <mergeCell ref="M380:P380"/>
    <mergeCell ref="M370:P370"/>
    <mergeCell ref="B371:D371"/>
    <mergeCell ref="M371:P371"/>
    <mergeCell ref="B372:D372"/>
    <mergeCell ref="M372:P372"/>
    <mergeCell ref="B373:D373"/>
  </mergeCells>
  <pageMargins left="1.68" right="0.35" top="0.68" bottom="0.67" header="0.31496062992125984" footer="0.31496062992125984"/>
  <pageSetup paperSize="5" scale="63"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02"/>
  <sheetViews>
    <sheetView view="pageBreakPreview" topLeftCell="B4" zoomScale="70" zoomScaleNormal="70" zoomScaleSheetLayoutView="70" workbookViewId="0">
      <pane xSplit="8" ySplit="7" topLeftCell="W68" activePane="bottomRight" state="frozen"/>
      <selection activeCell="B4" sqref="B4"/>
      <selection pane="topRight" activeCell="J4" sqref="J4"/>
      <selection pane="bottomLeft" activeCell="B11" sqref="B11"/>
      <selection pane="bottomRight" activeCell="AK45" sqref="AK45:AK69"/>
    </sheetView>
  </sheetViews>
  <sheetFormatPr baseColWidth="10" defaultColWidth="9.1640625" defaultRowHeight="15" x14ac:dyDescent="0.2"/>
  <cols>
    <col min="1" max="1" width="9.1640625" style="2"/>
    <col min="2" max="2" width="6.5" style="2" bestFit="1" customWidth="1"/>
    <col min="3" max="3" width="18.6640625" style="2" customWidth="1"/>
    <col min="4" max="4" width="23.5" style="2" customWidth="1"/>
    <col min="5" max="5" width="15.83203125" style="2" customWidth="1"/>
    <col min="6" max="6" width="18.5" style="2" bestFit="1" customWidth="1"/>
    <col min="7" max="7" width="9.83203125" style="2" customWidth="1"/>
    <col min="8" max="8" width="20" style="2" bestFit="1" customWidth="1"/>
    <col min="9" max="9" width="11.5" style="2" customWidth="1"/>
    <col min="10" max="10" width="15.33203125" style="2" customWidth="1"/>
    <col min="11" max="11" width="20" style="2" bestFit="1" customWidth="1"/>
    <col min="12" max="12" width="15.5" style="2" bestFit="1" customWidth="1"/>
    <col min="13" max="13" width="10.6640625" style="2" bestFit="1" customWidth="1"/>
    <col min="14" max="14" width="10.5" style="2" customWidth="1"/>
    <col min="15" max="15" width="10.83203125" style="2" customWidth="1"/>
    <col min="16" max="16" width="18.6640625" style="231" bestFit="1" customWidth="1"/>
    <col min="17" max="17" width="11" style="2" bestFit="1" customWidth="1"/>
    <col min="18" max="20" width="0" style="2" hidden="1" customWidth="1"/>
    <col min="21" max="21" width="12.5" style="2" customWidth="1"/>
    <col min="22" max="22" width="9.1640625" style="2"/>
    <col min="23" max="23" width="21.5" style="2" customWidth="1"/>
    <col min="24" max="24" width="21.5" style="11" customWidth="1"/>
    <col min="25" max="25" width="21.5" style="2" customWidth="1"/>
    <col min="26" max="26" width="21.5" style="231" customWidth="1"/>
    <col min="27" max="27" width="21.5" style="2" customWidth="1"/>
    <col min="28" max="34" width="21.5" style="231" customWidth="1"/>
    <col min="35" max="35" width="21.5" style="2" hidden="1" customWidth="1"/>
    <col min="36" max="36" width="21.5" style="2" customWidth="1"/>
    <col min="37" max="37" width="17.5" style="2" bestFit="1" customWidth="1"/>
    <col min="38" max="16384" width="9.1640625" style="2"/>
  </cols>
  <sheetData>
    <row r="1" spans="2:36" x14ac:dyDescent="0.2">
      <c r="B1" s="1"/>
      <c r="C1" s="1"/>
      <c r="D1" s="1"/>
      <c r="E1" s="1"/>
      <c r="F1" s="1"/>
      <c r="G1" s="1"/>
      <c r="H1" s="1"/>
      <c r="I1" s="298"/>
      <c r="J1" s="1"/>
      <c r="K1" s="1"/>
      <c r="L1" s="1"/>
      <c r="M1" s="1"/>
      <c r="N1" s="1"/>
      <c r="O1" s="1"/>
      <c r="P1" s="258"/>
      <c r="Q1" s="298"/>
      <c r="R1" s="1"/>
      <c r="S1" s="1"/>
      <c r="T1" s="1"/>
      <c r="U1" s="1"/>
      <c r="V1" s="1"/>
    </row>
    <row r="2" spans="2:36" x14ac:dyDescent="0.2">
      <c r="B2" s="1"/>
      <c r="C2" s="1"/>
      <c r="D2" s="1"/>
      <c r="E2" s="1"/>
      <c r="F2" s="1"/>
      <c r="G2" s="1"/>
      <c r="H2" s="1"/>
      <c r="I2" s="298"/>
      <c r="J2" s="1"/>
      <c r="K2" s="1"/>
      <c r="L2" s="1"/>
      <c r="M2" s="1"/>
      <c r="N2" s="1"/>
      <c r="O2" s="1"/>
      <c r="P2" s="258"/>
      <c r="Q2" s="298"/>
      <c r="R2" s="1"/>
      <c r="S2" s="1"/>
      <c r="T2" s="1"/>
      <c r="U2" s="1"/>
      <c r="V2" s="1"/>
    </row>
    <row r="3" spans="2:36" ht="26" x14ac:dyDescent="0.3">
      <c r="B3" s="1828" t="s">
        <v>30</v>
      </c>
      <c r="C3" s="1828"/>
      <c r="D3" s="1828"/>
      <c r="E3" s="1828"/>
      <c r="F3" s="1828"/>
      <c r="G3" s="1828"/>
      <c r="H3" s="1828"/>
      <c r="I3" s="1828"/>
      <c r="J3" s="1828"/>
      <c r="K3" s="1828"/>
      <c r="L3" s="1828"/>
      <c r="M3" s="1828"/>
      <c r="N3" s="1828"/>
      <c r="O3" s="1828"/>
      <c r="P3" s="1828"/>
      <c r="Q3" s="1828"/>
      <c r="R3" s="1828"/>
      <c r="S3" s="1828"/>
      <c r="T3" s="1828"/>
      <c r="U3" s="297"/>
      <c r="V3" s="297"/>
    </row>
    <row r="4" spans="2:36" ht="26" x14ac:dyDescent="0.3">
      <c r="B4" s="1828" t="s">
        <v>31</v>
      </c>
      <c r="C4" s="1828"/>
      <c r="D4" s="1828"/>
      <c r="E4" s="1828"/>
      <c r="F4" s="1828"/>
      <c r="G4" s="1828"/>
      <c r="H4" s="1828"/>
      <c r="I4" s="1828"/>
      <c r="J4" s="1828"/>
      <c r="K4" s="1828"/>
      <c r="L4" s="1828"/>
      <c r="M4" s="1828"/>
      <c r="N4" s="1828"/>
      <c r="O4" s="1828"/>
      <c r="P4" s="1828"/>
      <c r="Q4" s="1828"/>
      <c r="R4" s="1828"/>
      <c r="S4" s="1828"/>
      <c r="T4" s="1828"/>
      <c r="U4" s="297"/>
      <c r="V4" s="297"/>
    </row>
    <row r="5" spans="2:36" ht="14.25" customHeight="1" x14ac:dyDescent="0.3">
      <c r="B5" s="1828"/>
      <c r="C5" s="1828"/>
      <c r="D5" s="1828"/>
      <c r="E5" s="1828"/>
      <c r="F5" s="1828"/>
      <c r="G5" s="1828"/>
      <c r="H5" s="1828"/>
      <c r="I5" s="1828"/>
      <c r="J5" s="1828"/>
      <c r="K5" s="1828"/>
      <c r="L5" s="1828"/>
      <c r="M5" s="1828"/>
      <c r="N5" s="1828"/>
      <c r="O5" s="1828"/>
      <c r="P5" s="1828"/>
      <c r="Q5" s="1828"/>
      <c r="R5" s="1828"/>
      <c r="S5" s="1828"/>
      <c r="T5" s="1828"/>
      <c r="U5" s="297"/>
      <c r="V5" s="297"/>
    </row>
    <row r="6" spans="2:36" ht="16" thickBot="1" x14ac:dyDescent="0.25">
      <c r="B6" s="12" t="s">
        <v>32</v>
      </c>
      <c r="C6" s="12"/>
      <c r="D6" s="12" t="s">
        <v>33</v>
      </c>
      <c r="E6" s="12"/>
      <c r="F6" s="12"/>
      <c r="G6" s="12"/>
      <c r="H6" s="12"/>
      <c r="I6" s="13"/>
      <c r="J6" s="12"/>
      <c r="K6" s="12"/>
      <c r="L6" s="12"/>
      <c r="M6" s="12"/>
      <c r="N6" s="12"/>
      <c r="O6" s="12"/>
      <c r="P6" s="273"/>
      <c r="Q6" s="13"/>
      <c r="R6" s="1"/>
      <c r="S6" s="1"/>
      <c r="T6" s="1"/>
      <c r="U6" s="1"/>
      <c r="V6" s="1"/>
    </row>
    <row r="7" spans="2:36" ht="27" customHeight="1" thickTop="1" x14ac:dyDescent="0.2">
      <c r="B7" s="1829" t="s">
        <v>869</v>
      </c>
      <c r="C7" s="1832" t="s">
        <v>877</v>
      </c>
      <c r="D7" s="1817" t="s">
        <v>870</v>
      </c>
      <c r="E7" s="1817" t="s">
        <v>878</v>
      </c>
      <c r="F7" s="1817" t="s">
        <v>905</v>
      </c>
      <c r="G7" s="1817" t="s">
        <v>906</v>
      </c>
      <c r="H7" s="1817" t="s">
        <v>907</v>
      </c>
      <c r="I7" s="1817" t="s">
        <v>908</v>
      </c>
      <c r="J7" s="1817" t="s">
        <v>883</v>
      </c>
      <c r="K7" s="1817"/>
      <c r="L7" s="1817"/>
      <c r="M7" s="1817"/>
      <c r="N7" s="1817"/>
      <c r="O7" s="1817" t="s">
        <v>909</v>
      </c>
      <c r="P7" s="1820" t="s">
        <v>910</v>
      </c>
      <c r="Q7" s="1823" t="s">
        <v>911</v>
      </c>
      <c r="R7" s="1826" t="s">
        <v>2</v>
      </c>
      <c r="S7" s="1826"/>
      <c r="T7" s="1827"/>
      <c r="U7" s="263"/>
      <c r="V7" s="263"/>
      <c r="W7" s="1811" t="s">
        <v>2279</v>
      </c>
      <c r="X7" s="1799" t="s">
        <v>2280</v>
      </c>
      <c r="Y7" s="1799" t="s">
        <v>2281</v>
      </c>
      <c r="Z7" s="1814" t="s">
        <v>2282</v>
      </c>
      <c r="AA7" s="1799" t="s">
        <v>2283</v>
      </c>
      <c r="AB7" s="1808" t="s">
        <v>2284</v>
      </c>
      <c r="AC7" s="1808" t="s">
        <v>2285</v>
      </c>
      <c r="AD7" s="1808" t="s">
        <v>2286</v>
      </c>
      <c r="AE7" s="1808" t="s">
        <v>2287</v>
      </c>
      <c r="AF7" s="1808" t="s">
        <v>2294</v>
      </c>
      <c r="AG7" s="1808" t="s">
        <v>2478</v>
      </c>
      <c r="AH7" s="1808" t="s">
        <v>2480</v>
      </c>
      <c r="AI7" s="204" t="s">
        <v>2288</v>
      </c>
      <c r="AJ7" s="1799" t="s">
        <v>2289</v>
      </c>
    </row>
    <row r="8" spans="2:36" x14ac:dyDescent="0.2">
      <c r="B8" s="1830"/>
      <c r="C8" s="1833"/>
      <c r="D8" s="1818"/>
      <c r="E8" s="1818"/>
      <c r="F8" s="1818"/>
      <c r="G8" s="1818"/>
      <c r="H8" s="1818"/>
      <c r="I8" s="1818"/>
      <c r="J8" s="1802" t="s">
        <v>912</v>
      </c>
      <c r="K8" s="1802" t="s">
        <v>913</v>
      </c>
      <c r="L8" s="1802" t="s">
        <v>914</v>
      </c>
      <c r="M8" s="1802" t="s">
        <v>915</v>
      </c>
      <c r="N8" s="1802" t="s">
        <v>34</v>
      </c>
      <c r="O8" s="1818"/>
      <c r="P8" s="1821"/>
      <c r="Q8" s="1824"/>
      <c r="R8" s="1804" t="s">
        <v>3</v>
      </c>
      <c r="S8" s="1806" t="s">
        <v>4</v>
      </c>
      <c r="T8" s="1807"/>
      <c r="U8" s="264"/>
      <c r="V8" s="264"/>
      <c r="W8" s="1812"/>
      <c r="X8" s="1800"/>
      <c r="Y8" s="1800"/>
      <c r="Z8" s="1815"/>
      <c r="AA8" s="1800"/>
      <c r="AB8" s="1809"/>
      <c r="AC8" s="1809"/>
      <c r="AD8" s="1809"/>
      <c r="AE8" s="1809"/>
      <c r="AF8" s="1809"/>
      <c r="AG8" s="1809"/>
      <c r="AH8" s="1809"/>
      <c r="AI8" s="205"/>
      <c r="AJ8" s="1800"/>
    </row>
    <row r="9" spans="2:36" ht="17" thickBot="1" x14ac:dyDescent="0.25">
      <c r="B9" s="1831"/>
      <c r="C9" s="1834"/>
      <c r="D9" s="1819"/>
      <c r="E9" s="1819"/>
      <c r="F9" s="1819"/>
      <c r="G9" s="1819"/>
      <c r="H9" s="1819"/>
      <c r="I9" s="1819"/>
      <c r="J9" s="1803"/>
      <c r="K9" s="1803"/>
      <c r="L9" s="1803"/>
      <c r="M9" s="1803"/>
      <c r="N9" s="1803"/>
      <c r="O9" s="1819"/>
      <c r="P9" s="1822"/>
      <c r="Q9" s="1825"/>
      <c r="R9" s="1805"/>
      <c r="S9" s="4" t="s">
        <v>5</v>
      </c>
      <c r="T9" s="5" t="s">
        <v>6</v>
      </c>
      <c r="U9" s="265"/>
      <c r="V9" s="265"/>
      <c r="W9" s="1813"/>
      <c r="X9" s="1801"/>
      <c r="Y9" s="1801"/>
      <c r="Z9" s="1816"/>
      <c r="AA9" s="1801"/>
      <c r="AB9" s="1810"/>
      <c r="AC9" s="1810"/>
      <c r="AD9" s="1810"/>
      <c r="AE9" s="1810"/>
      <c r="AF9" s="1810"/>
      <c r="AG9" s="1810"/>
      <c r="AH9" s="1810"/>
      <c r="AI9" s="205"/>
      <c r="AJ9" s="1801"/>
    </row>
    <row r="10" spans="2:36" ht="16" thickTop="1" x14ac:dyDescent="0.2">
      <c r="B10" s="34">
        <v>1</v>
      </c>
      <c r="C10" s="35">
        <v>2</v>
      </c>
      <c r="D10" s="36">
        <v>3</v>
      </c>
      <c r="E10" s="36">
        <v>4</v>
      </c>
      <c r="F10" s="36">
        <v>5</v>
      </c>
      <c r="G10" s="35">
        <v>6</v>
      </c>
      <c r="H10" s="36">
        <v>7</v>
      </c>
      <c r="I10" s="36">
        <v>8</v>
      </c>
      <c r="J10" s="36">
        <v>9</v>
      </c>
      <c r="K10" s="35">
        <v>10</v>
      </c>
      <c r="L10" s="36">
        <v>11</v>
      </c>
      <c r="M10" s="36">
        <v>12</v>
      </c>
      <c r="N10" s="35">
        <v>13</v>
      </c>
      <c r="O10" s="37">
        <v>14</v>
      </c>
      <c r="P10" s="274">
        <v>15</v>
      </c>
      <c r="Q10" s="38">
        <v>16</v>
      </c>
      <c r="R10" s="14">
        <v>26</v>
      </c>
      <c r="S10" s="7">
        <v>27</v>
      </c>
      <c r="T10" s="6">
        <v>28</v>
      </c>
      <c r="U10" s="6"/>
      <c r="V10" s="6"/>
      <c r="W10" s="203"/>
      <c r="X10" s="203"/>
      <c r="Y10" s="203"/>
      <c r="Z10" s="232"/>
      <c r="AA10" s="203"/>
      <c r="AB10" s="237"/>
      <c r="AC10" s="237"/>
      <c r="AD10" s="237"/>
      <c r="AE10" s="237"/>
      <c r="AF10" s="237"/>
      <c r="AG10" s="237"/>
      <c r="AH10" s="237"/>
      <c r="AI10" s="204"/>
      <c r="AJ10" s="203"/>
    </row>
    <row r="11" spans="2:36" x14ac:dyDescent="0.2">
      <c r="B11" s="53"/>
      <c r="C11" s="54"/>
      <c r="D11" s="16"/>
      <c r="E11" s="16"/>
      <c r="F11" s="16"/>
      <c r="G11" s="16"/>
      <c r="H11" s="16"/>
      <c r="I11" s="55"/>
      <c r="J11" s="16"/>
      <c r="K11" s="16"/>
      <c r="L11" s="16"/>
      <c r="M11" s="16"/>
      <c r="N11" s="16"/>
      <c r="O11" s="16"/>
      <c r="P11" s="275"/>
      <c r="Q11" s="57"/>
      <c r="R11" s="15"/>
      <c r="S11" s="8"/>
      <c r="T11" s="8"/>
      <c r="U11" s="3"/>
      <c r="V11" s="3"/>
      <c r="W11" s="206"/>
      <c r="X11" s="207"/>
      <c r="Y11" s="207"/>
      <c r="Z11" s="233"/>
      <c r="AA11" s="208"/>
      <c r="AB11" s="290"/>
      <c r="AC11" s="233"/>
      <c r="AD11" s="233"/>
      <c r="AE11" s="233"/>
      <c r="AF11" s="233"/>
      <c r="AG11" s="233"/>
      <c r="AH11" s="233"/>
      <c r="AI11" s="209"/>
      <c r="AJ11" s="210"/>
    </row>
    <row r="12" spans="2:36" s="41" customFormat="1" ht="30.75" customHeight="1" x14ac:dyDescent="0.2">
      <c r="B12" s="58" t="s">
        <v>35</v>
      </c>
      <c r="C12" s="59" t="s">
        <v>916</v>
      </c>
      <c r="D12" s="40"/>
      <c r="E12" s="40"/>
      <c r="F12" s="40"/>
      <c r="G12" s="40"/>
      <c r="H12" s="40"/>
      <c r="I12" s="33"/>
      <c r="J12" s="40"/>
      <c r="K12" s="40"/>
      <c r="L12" s="40"/>
      <c r="M12" s="40"/>
      <c r="N12" s="40"/>
      <c r="O12" s="40"/>
      <c r="P12" s="276">
        <f>P13+P15+P17+P20+P44+P71+P78+P82+P84</f>
        <v>46820644</v>
      </c>
      <c r="Q12" s="61"/>
      <c r="R12" s="39"/>
      <c r="S12" s="40"/>
      <c r="T12" s="40"/>
      <c r="U12" s="266"/>
      <c r="V12" s="266"/>
      <c r="W12" s="206"/>
      <c r="X12" s="207"/>
      <c r="Y12" s="207"/>
      <c r="Z12" s="233"/>
      <c r="AA12" s="208"/>
      <c r="AB12" s="276">
        <f t="shared" ref="AB12:AH12" ca="1" si="0">AB13+AB15+AB17+AB20+AB44+AB71+AB78+AB82+AB84</f>
        <v>0</v>
      </c>
      <c r="AC12" s="276">
        <f t="shared" ca="1" si="0"/>
        <v>0</v>
      </c>
      <c r="AD12" s="276">
        <f t="shared" ca="1" si="0"/>
        <v>0</v>
      </c>
      <c r="AE12" s="276">
        <f t="shared" ca="1" si="0"/>
        <v>0</v>
      </c>
      <c r="AF12" s="276">
        <f t="shared" ca="1" si="0"/>
        <v>0</v>
      </c>
      <c r="AG12" s="276">
        <f t="shared" ca="1" si="0"/>
        <v>0</v>
      </c>
      <c r="AH12" s="276">
        <f t="shared" ca="1" si="0"/>
        <v>0</v>
      </c>
      <c r="AI12" s="242"/>
      <c r="AJ12" s="276">
        <f ca="1">AJ13+AJ15+AJ17+AJ20+AJ44+AJ71+AJ78+AJ82+AJ84</f>
        <v>0</v>
      </c>
    </row>
    <row r="13" spans="2:36" s="45" customFormat="1" ht="30.75" customHeight="1" x14ac:dyDescent="0.2">
      <c r="B13" s="58" t="s">
        <v>36</v>
      </c>
      <c r="C13" s="59" t="s">
        <v>917</v>
      </c>
      <c r="D13" s="62"/>
      <c r="E13" s="62"/>
      <c r="F13" s="63"/>
      <c r="G13" s="63"/>
      <c r="H13" s="63"/>
      <c r="I13" s="300"/>
      <c r="J13" s="63"/>
      <c r="K13" s="63"/>
      <c r="L13" s="63"/>
      <c r="M13" s="63"/>
      <c r="N13" s="63"/>
      <c r="O13" s="63"/>
      <c r="P13" s="232">
        <f>P14</f>
        <v>0</v>
      </c>
      <c r="Q13" s="299"/>
      <c r="R13" s="43"/>
      <c r="S13" s="44"/>
      <c r="T13" s="44"/>
      <c r="U13" s="267"/>
      <c r="V13" s="267"/>
      <c r="W13" s="206"/>
      <c r="X13" s="207"/>
      <c r="Y13" s="207"/>
      <c r="Z13" s="233"/>
      <c r="AA13" s="208"/>
      <c r="AB13" s="292">
        <f ca="1">AB13</f>
        <v>0</v>
      </c>
      <c r="AC13" s="292">
        <f t="shared" ref="AC13:AJ13" ca="1" si="1">AC13</f>
        <v>0</v>
      </c>
      <c r="AD13" s="292">
        <f t="shared" ca="1" si="1"/>
        <v>0</v>
      </c>
      <c r="AE13" s="292">
        <f t="shared" ca="1" si="1"/>
        <v>0</v>
      </c>
      <c r="AF13" s="292">
        <f t="shared" ca="1" si="1"/>
        <v>0</v>
      </c>
      <c r="AG13" s="292">
        <f t="shared" ca="1" si="1"/>
        <v>0</v>
      </c>
      <c r="AH13" s="292">
        <f t="shared" ca="1" si="1"/>
        <v>0</v>
      </c>
      <c r="AI13" s="292">
        <f t="shared" ca="1" si="1"/>
        <v>0</v>
      </c>
      <c r="AJ13" s="292">
        <f t="shared" ca="1" si="1"/>
        <v>0</v>
      </c>
    </row>
    <row r="14" spans="2:36" s="41" customFormat="1" ht="30.75" customHeight="1" x14ac:dyDescent="0.2">
      <c r="B14" s="69"/>
      <c r="C14" s="70" t="s">
        <v>52</v>
      </c>
      <c r="D14" s="70" t="s">
        <v>52</v>
      </c>
      <c r="E14" s="70"/>
      <c r="F14" s="70" t="s">
        <v>52</v>
      </c>
      <c r="G14" s="70"/>
      <c r="H14" s="70" t="s">
        <v>52</v>
      </c>
      <c r="I14" s="70"/>
      <c r="J14" s="70"/>
      <c r="K14" s="70"/>
      <c r="L14" s="70"/>
      <c r="M14" s="70"/>
      <c r="N14" s="70"/>
      <c r="O14" s="70"/>
      <c r="P14" s="278"/>
      <c r="Q14" s="74"/>
      <c r="X14" s="42">
        <f>IF(P14&lt;300000,P14,"0")</f>
        <v>0</v>
      </c>
      <c r="Z14" s="234"/>
      <c r="AB14" s="234"/>
      <c r="AC14" s="234"/>
      <c r="AD14" s="234"/>
      <c r="AE14" s="234"/>
      <c r="AF14" s="234"/>
      <c r="AG14" s="234"/>
      <c r="AH14" s="234"/>
    </row>
    <row r="15" spans="2:36" s="45" customFormat="1" ht="30.75" customHeight="1" x14ac:dyDescent="0.2">
      <c r="B15" s="58" t="s">
        <v>120</v>
      </c>
      <c r="C15" s="59" t="s">
        <v>918</v>
      </c>
      <c r="D15" s="75" t="s">
        <v>52</v>
      </c>
      <c r="E15" s="75"/>
      <c r="F15" s="75" t="s">
        <v>52</v>
      </c>
      <c r="G15" s="75"/>
      <c r="H15" s="75" t="s">
        <v>52</v>
      </c>
      <c r="I15" s="75"/>
      <c r="J15" s="75"/>
      <c r="K15" s="75"/>
      <c r="L15" s="75"/>
      <c r="M15" s="75"/>
      <c r="N15" s="75"/>
      <c r="O15" s="75"/>
      <c r="P15" s="279">
        <f>P16</f>
        <v>0</v>
      </c>
      <c r="Q15" s="76"/>
      <c r="X15" s="42"/>
      <c r="Z15" s="235"/>
      <c r="AB15" s="235">
        <f>AB16</f>
        <v>0</v>
      </c>
      <c r="AC15" s="235">
        <f t="shared" ref="AC15:AJ15" si="2">AC16</f>
        <v>0</v>
      </c>
      <c r="AD15" s="235">
        <f t="shared" si="2"/>
        <v>0</v>
      </c>
      <c r="AE15" s="235">
        <f t="shared" si="2"/>
        <v>0</v>
      </c>
      <c r="AF15" s="235">
        <f t="shared" si="2"/>
        <v>0</v>
      </c>
      <c r="AG15" s="235">
        <f t="shared" si="2"/>
        <v>0</v>
      </c>
      <c r="AH15" s="235">
        <f t="shared" si="2"/>
        <v>0</v>
      </c>
      <c r="AI15" s="235">
        <f t="shared" si="2"/>
        <v>0</v>
      </c>
      <c r="AJ15" s="235">
        <f t="shared" si="2"/>
        <v>0</v>
      </c>
    </row>
    <row r="16" spans="2:36" s="41" customFormat="1" ht="30.75" customHeight="1" x14ac:dyDescent="0.2">
      <c r="B16" s="69"/>
      <c r="C16" s="70" t="s">
        <v>52</v>
      </c>
      <c r="D16" s="70" t="s">
        <v>52</v>
      </c>
      <c r="E16" s="70"/>
      <c r="F16" s="70" t="s">
        <v>52</v>
      </c>
      <c r="G16" s="70"/>
      <c r="H16" s="70" t="s">
        <v>52</v>
      </c>
      <c r="I16" s="70"/>
      <c r="J16" s="70"/>
      <c r="K16" s="70"/>
      <c r="L16" s="70"/>
      <c r="M16" s="70"/>
      <c r="N16" s="70"/>
      <c r="O16" s="70"/>
      <c r="P16" s="278"/>
      <c r="Q16" s="74"/>
      <c r="X16" s="42">
        <f>IF(P16&lt;300000,P16,"0")</f>
        <v>0</v>
      </c>
      <c r="Z16" s="234"/>
      <c r="AB16" s="234"/>
      <c r="AC16" s="234"/>
      <c r="AD16" s="234"/>
      <c r="AE16" s="234"/>
      <c r="AF16" s="234"/>
      <c r="AG16" s="234"/>
      <c r="AH16" s="234"/>
    </row>
    <row r="17" spans="1:37" s="45" customFormat="1" ht="30.75" customHeight="1" x14ac:dyDescent="0.2">
      <c r="B17" s="58" t="s">
        <v>138</v>
      </c>
      <c r="C17" s="59" t="s">
        <v>919</v>
      </c>
      <c r="D17" s="75" t="s">
        <v>52</v>
      </c>
      <c r="E17" s="75"/>
      <c r="F17" s="75" t="s">
        <v>52</v>
      </c>
      <c r="G17" s="75"/>
      <c r="H17" s="75" t="s">
        <v>52</v>
      </c>
      <c r="I17" s="75"/>
      <c r="J17" s="75"/>
      <c r="K17" s="75"/>
      <c r="L17" s="75"/>
      <c r="M17" s="75"/>
      <c r="N17" s="75"/>
      <c r="O17" s="75"/>
      <c r="P17" s="279">
        <f>SUBTOTAL(9,P18:P18)</f>
        <v>112500</v>
      </c>
      <c r="Q17" s="76"/>
      <c r="X17" s="42">
        <f>IF(P17&lt;300000,P17,"0")</f>
        <v>112500</v>
      </c>
      <c r="Z17" s="235"/>
      <c r="AB17" s="235">
        <f t="shared" ref="AB17:AJ17" si="3">SUM(AB18:AB18)</f>
        <v>78743</v>
      </c>
      <c r="AC17" s="235">
        <f t="shared" si="3"/>
        <v>11249</v>
      </c>
      <c r="AD17" s="235">
        <f t="shared" si="3"/>
        <v>11249</v>
      </c>
      <c r="AE17" s="235">
        <f t="shared" si="3"/>
        <v>11249</v>
      </c>
      <c r="AF17" s="235">
        <f t="shared" si="3"/>
        <v>0</v>
      </c>
      <c r="AG17" s="235">
        <f t="shared" si="3"/>
        <v>0</v>
      </c>
      <c r="AH17" s="235">
        <f t="shared" si="3"/>
        <v>112490</v>
      </c>
      <c r="AI17" s="216">
        <f t="shared" si="3"/>
        <v>0</v>
      </c>
      <c r="AJ17" s="216">
        <f t="shared" si="3"/>
        <v>10</v>
      </c>
      <c r="AK17" s="216">
        <f>AH17-AG17</f>
        <v>112490</v>
      </c>
    </row>
    <row r="18" spans="1:37" s="41" customFormat="1" ht="30.75" customHeight="1" x14ac:dyDescent="0.2">
      <c r="A18" t="s">
        <v>2292</v>
      </c>
      <c r="B18" s="69"/>
      <c r="C18" s="67" t="s">
        <v>153</v>
      </c>
      <c r="D18" s="65" t="s">
        <v>154</v>
      </c>
      <c r="E18" s="66" t="s">
        <v>39</v>
      </c>
      <c r="F18" s="65" t="s">
        <v>52</v>
      </c>
      <c r="G18" s="32"/>
      <c r="H18" s="65" t="s">
        <v>52</v>
      </c>
      <c r="I18" s="32" t="s">
        <v>108</v>
      </c>
      <c r="J18" s="40"/>
      <c r="K18" s="72"/>
      <c r="L18" s="65"/>
      <c r="M18" s="40"/>
      <c r="N18" s="40"/>
      <c r="O18" s="32" t="s">
        <v>12</v>
      </c>
      <c r="P18" s="252">
        <v>112500</v>
      </c>
      <c r="Q18" s="61" t="s">
        <v>43</v>
      </c>
      <c r="U18" s="41" t="s">
        <v>43</v>
      </c>
      <c r="V18" s="41" t="s">
        <v>2615</v>
      </c>
      <c r="W18" s="206" t="str">
        <f>A18</f>
        <v>2.04.01</v>
      </c>
      <c r="X18" s="207" t="str">
        <f t="shared" ref="X18:X42" si="4">VLOOKUP(W18,kelompok,2,0)</f>
        <v>Alat Bengkel Bermesin</v>
      </c>
      <c r="Y18" s="207">
        <f>VLOOKUP(W18,MASAMANFAAT,4,0)</f>
        <v>10</v>
      </c>
      <c r="Z18" s="233">
        <f>(P18-10)/Y18</f>
        <v>11249</v>
      </c>
      <c r="AA18" s="208">
        <f>2013-AI18</f>
        <v>7</v>
      </c>
      <c r="AB18" s="233">
        <f>IF(AA18&gt;Y18,P18-10,Z18*AA18)</f>
        <v>78743</v>
      </c>
      <c r="AC18" s="233">
        <f>IF(P18-10=AB18,0,Z18)</f>
        <v>11249</v>
      </c>
      <c r="AD18" s="233">
        <f>IF(P18-10=AB18+AC18,0,Z18)</f>
        <v>11249</v>
      </c>
      <c r="AE18" s="233">
        <f>IF(P18-10=AB18+AC18+AD18,0,Z18)</f>
        <v>11249</v>
      </c>
      <c r="AF18" s="233">
        <f>IF(P18-10=AB18+AC18+AD18+AE18,0,Z18)</f>
        <v>0</v>
      </c>
      <c r="AG18" s="238">
        <f>IF(P18-10=AB18+AC18+AD18+AE18+AF18,0,Z18)</f>
        <v>0</v>
      </c>
      <c r="AH18" s="238">
        <f>SUM(AB18:AG18)</f>
        <v>112490</v>
      </c>
      <c r="AI18" s="209" t="str">
        <f>I18</f>
        <v>2006</v>
      </c>
      <c r="AJ18" s="210">
        <f>P18-AH18</f>
        <v>10</v>
      </c>
    </row>
    <row r="19" spans="1:37" s="41" customFormat="1" ht="30.75" customHeight="1" x14ac:dyDescent="0.2">
      <c r="B19" s="69"/>
      <c r="C19" s="70" t="s">
        <v>52</v>
      </c>
      <c r="D19" s="70" t="s">
        <v>52</v>
      </c>
      <c r="E19" s="70"/>
      <c r="F19" s="70" t="s">
        <v>52</v>
      </c>
      <c r="G19" s="70"/>
      <c r="H19" s="70" t="s">
        <v>52</v>
      </c>
      <c r="I19" s="70"/>
      <c r="J19" s="70"/>
      <c r="K19" s="70"/>
      <c r="L19" s="70"/>
      <c r="M19" s="70"/>
      <c r="N19" s="70"/>
      <c r="O19" s="70"/>
      <c r="P19" s="278"/>
      <c r="Q19" s="74"/>
      <c r="X19" s="42">
        <f>IF(P19&lt;300000,P19,"0")</f>
        <v>0</v>
      </c>
      <c r="Z19" s="234"/>
      <c r="AB19" s="234"/>
      <c r="AC19" s="234"/>
      <c r="AD19" s="234"/>
      <c r="AE19" s="234"/>
      <c r="AF19" s="234"/>
      <c r="AG19" s="234"/>
      <c r="AH19" s="234"/>
    </row>
    <row r="20" spans="1:37" s="45" customFormat="1" ht="30.75" customHeight="1" x14ac:dyDescent="0.2">
      <c r="B20" s="80" t="s">
        <v>167</v>
      </c>
      <c r="C20" s="59" t="s">
        <v>920</v>
      </c>
      <c r="D20" s="75" t="s">
        <v>52</v>
      </c>
      <c r="E20" s="75"/>
      <c r="F20" s="75" t="s">
        <v>52</v>
      </c>
      <c r="G20" s="75"/>
      <c r="H20" s="75" t="s">
        <v>52</v>
      </c>
      <c r="I20" s="75"/>
      <c r="J20" s="75"/>
      <c r="K20" s="75"/>
      <c r="L20" s="75"/>
      <c r="M20" s="75"/>
      <c r="N20" s="75"/>
      <c r="O20" s="75"/>
      <c r="P20" s="279">
        <f>SUM(P21:P42)</f>
        <v>5535000</v>
      </c>
      <c r="Q20" s="76"/>
      <c r="W20" s="206"/>
      <c r="X20" s="207"/>
      <c r="Y20" s="207"/>
      <c r="Z20" s="233"/>
      <c r="AA20" s="208"/>
      <c r="AB20" s="233">
        <f t="shared" ref="AB20:AH20" si="5">SUM(AB21:AB42)</f>
        <v>5111672.5</v>
      </c>
      <c r="AC20" s="233">
        <f t="shared" si="5"/>
        <v>423107.5</v>
      </c>
      <c r="AD20" s="233">
        <f t="shared" si="5"/>
        <v>0</v>
      </c>
      <c r="AE20" s="233">
        <f t="shared" si="5"/>
        <v>0</v>
      </c>
      <c r="AF20" s="233">
        <f t="shared" si="5"/>
        <v>0</v>
      </c>
      <c r="AG20" s="233">
        <f t="shared" si="5"/>
        <v>0</v>
      </c>
      <c r="AH20" s="233">
        <f t="shared" si="5"/>
        <v>5534780</v>
      </c>
      <c r="AI20" s="233" t="e">
        <f>SUM(#REF!)</f>
        <v>#REF!</v>
      </c>
      <c r="AJ20" s="233">
        <f>SUM(AJ21:AJ42)</f>
        <v>220</v>
      </c>
    </row>
    <row r="21" spans="1:37" s="41" customFormat="1" ht="30.75" customHeight="1" x14ac:dyDescent="0.2">
      <c r="A21" t="s">
        <v>2300</v>
      </c>
      <c r="B21" s="69"/>
      <c r="C21" s="65" t="s">
        <v>331</v>
      </c>
      <c r="D21" s="65" t="s">
        <v>332</v>
      </c>
      <c r="E21" s="70"/>
      <c r="F21" s="65" t="s">
        <v>9</v>
      </c>
      <c r="G21" s="32"/>
      <c r="H21" s="65" t="s">
        <v>181</v>
      </c>
      <c r="I21" s="32" t="s">
        <v>141</v>
      </c>
      <c r="J21" s="32"/>
      <c r="K21" s="40"/>
      <c r="L21" s="32"/>
      <c r="M21" s="40"/>
      <c r="N21" s="40"/>
      <c r="O21" s="32" t="s">
        <v>12</v>
      </c>
      <c r="P21" s="252">
        <v>350000</v>
      </c>
      <c r="Q21" s="61" t="s">
        <v>43</v>
      </c>
      <c r="V21" s="41" t="s">
        <v>2615</v>
      </c>
      <c r="W21" s="206" t="str">
        <f t="shared" ref="W21:W42" si="6">A21</f>
        <v>2.09.01</v>
      </c>
      <c r="X21" s="207" t="str">
        <f t="shared" si="4"/>
        <v>UNIT UNIT LABORATORIUM</v>
      </c>
      <c r="Y21" s="207">
        <f t="shared" ref="Y21:Y42" si="7">VLOOKUP(W21,MASAMANFAAT,4,0)</f>
        <v>8</v>
      </c>
      <c r="Z21" s="233">
        <f t="shared" ref="Z21:Z42" si="8">(P21-10)/Y21</f>
        <v>43748.75</v>
      </c>
      <c r="AA21" s="208">
        <f t="shared" ref="AA21:AA42" si="9">2013-AI21</f>
        <v>27</v>
      </c>
      <c r="AB21" s="233">
        <f t="shared" ref="AB21:AB42" si="10">IF(AA21&gt;Y21,P21-10,Z21*AA21)</f>
        <v>349990</v>
      </c>
      <c r="AC21" s="233">
        <f t="shared" ref="AC21:AC42" si="11">IF(P21-10=AB21,0,Z21)</f>
        <v>0</v>
      </c>
      <c r="AD21" s="233">
        <f t="shared" ref="AD21:AD42" si="12">IF(P21-10=AB21+AC21,0,Z21)</f>
        <v>0</v>
      </c>
      <c r="AE21" s="233">
        <f t="shared" ref="AE21:AE42" si="13">IF(P21-10=AB21+AC21+AD21,0,Z21)</f>
        <v>0</v>
      </c>
      <c r="AF21" s="233">
        <f t="shared" ref="AF21:AF42" si="14">IF(P21-10=AB21+AC21+AD21+AE21,0,Z21)</f>
        <v>0</v>
      </c>
      <c r="AG21" s="238">
        <f t="shared" ref="AG21:AG42" si="15">IF(P21-10=AB21+AC21+AD21+AE21+AF21,0,Z21)</f>
        <v>0</v>
      </c>
      <c r="AH21" s="238">
        <f t="shared" ref="AH21:AH42" si="16">SUM(AB21:AG21)</f>
        <v>349990</v>
      </c>
      <c r="AI21" s="209" t="str">
        <f t="shared" ref="AI21:AI42" si="17">I21</f>
        <v>1986</v>
      </c>
      <c r="AJ21" s="210">
        <f t="shared" ref="AJ21:AJ42" si="18">P21-AH21</f>
        <v>10</v>
      </c>
    </row>
    <row r="22" spans="1:37" s="41" customFormat="1" ht="30.75" customHeight="1" x14ac:dyDescent="0.2">
      <c r="A22" t="s">
        <v>2300</v>
      </c>
      <c r="B22" s="69"/>
      <c r="C22" s="65" t="s">
        <v>331</v>
      </c>
      <c r="D22" s="65" t="s">
        <v>333</v>
      </c>
      <c r="E22" s="70"/>
      <c r="F22" s="65" t="s">
        <v>334</v>
      </c>
      <c r="G22" s="32"/>
      <c r="H22" s="65" t="s">
        <v>335</v>
      </c>
      <c r="I22" s="32" t="s">
        <v>141</v>
      </c>
      <c r="J22" s="32"/>
      <c r="K22" s="40"/>
      <c r="L22" s="32"/>
      <c r="M22" s="40"/>
      <c r="N22" s="40"/>
      <c r="O22" s="32" t="s">
        <v>12</v>
      </c>
      <c r="P22" s="252">
        <v>350000</v>
      </c>
      <c r="Q22" s="61" t="s">
        <v>43</v>
      </c>
      <c r="V22" s="41" t="s">
        <v>2615</v>
      </c>
      <c r="W22" s="206" t="str">
        <f t="shared" si="6"/>
        <v>2.09.01</v>
      </c>
      <c r="X22" s="207" t="str">
        <f t="shared" si="4"/>
        <v>UNIT UNIT LABORATORIUM</v>
      </c>
      <c r="Y22" s="207">
        <f t="shared" si="7"/>
        <v>8</v>
      </c>
      <c r="Z22" s="233">
        <f t="shared" si="8"/>
        <v>43748.75</v>
      </c>
      <c r="AA22" s="208">
        <f t="shared" si="9"/>
        <v>27</v>
      </c>
      <c r="AB22" s="233">
        <f t="shared" si="10"/>
        <v>349990</v>
      </c>
      <c r="AC22" s="233">
        <f t="shared" si="11"/>
        <v>0</v>
      </c>
      <c r="AD22" s="233">
        <f t="shared" si="12"/>
        <v>0</v>
      </c>
      <c r="AE22" s="233">
        <f t="shared" si="13"/>
        <v>0</v>
      </c>
      <c r="AF22" s="233">
        <f t="shared" si="14"/>
        <v>0</v>
      </c>
      <c r="AG22" s="238">
        <f t="shared" si="15"/>
        <v>0</v>
      </c>
      <c r="AH22" s="238">
        <f t="shared" si="16"/>
        <v>349990</v>
      </c>
      <c r="AI22" s="209" t="str">
        <f t="shared" si="17"/>
        <v>1986</v>
      </c>
      <c r="AJ22" s="210">
        <f t="shared" si="18"/>
        <v>10</v>
      </c>
    </row>
    <row r="23" spans="1:37" s="41" customFormat="1" ht="30.75" customHeight="1" x14ac:dyDescent="0.2">
      <c r="A23" t="s">
        <v>2300</v>
      </c>
      <c r="B23" s="69"/>
      <c r="C23" s="65" t="s">
        <v>331</v>
      </c>
      <c r="D23" s="65" t="s">
        <v>332</v>
      </c>
      <c r="E23" s="70"/>
      <c r="F23" s="65" t="s">
        <v>9</v>
      </c>
      <c r="G23" s="32"/>
      <c r="H23" s="65" t="s">
        <v>181</v>
      </c>
      <c r="I23" s="32" t="s">
        <v>141</v>
      </c>
      <c r="J23" s="32"/>
      <c r="K23" s="40"/>
      <c r="L23" s="32"/>
      <c r="M23" s="40"/>
      <c r="N23" s="40"/>
      <c r="O23" s="32" t="s">
        <v>12</v>
      </c>
      <c r="P23" s="252">
        <v>350000</v>
      </c>
      <c r="Q23" s="61" t="s">
        <v>43</v>
      </c>
      <c r="V23" s="41" t="s">
        <v>2615</v>
      </c>
      <c r="W23" s="206" t="str">
        <f t="shared" si="6"/>
        <v>2.09.01</v>
      </c>
      <c r="X23" s="207" t="str">
        <f t="shared" si="4"/>
        <v>UNIT UNIT LABORATORIUM</v>
      </c>
      <c r="Y23" s="207">
        <f t="shared" si="7"/>
        <v>8</v>
      </c>
      <c r="Z23" s="233">
        <f t="shared" si="8"/>
        <v>43748.75</v>
      </c>
      <c r="AA23" s="208">
        <f t="shared" si="9"/>
        <v>27</v>
      </c>
      <c r="AB23" s="233">
        <f t="shared" si="10"/>
        <v>349990</v>
      </c>
      <c r="AC23" s="233">
        <f t="shared" si="11"/>
        <v>0</v>
      </c>
      <c r="AD23" s="233">
        <f t="shared" si="12"/>
        <v>0</v>
      </c>
      <c r="AE23" s="233">
        <f t="shared" si="13"/>
        <v>0</v>
      </c>
      <c r="AF23" s="233">
        <f t="shared" si="14"/>
        <v>0</v>
      </c>
      <c r="AG23" s="238">
        <f t="shared" si="15"/>
        <v>0</v>
      </c>
      <c r="AH23" s="238">
        <f t="shared" si="16"/>
        <v>349990</v>
      </c>
      <c r="AI23" s="209" t="str">
        <f t="shared" si="17"/>
        <v>1986</v>
      </c>
      <c r="AJ23" s="210">
        <f t="shared" si="18"/>
        <v>10</v>
      </c>
    </row>
    <row r="24" spans="1:37" s="41" customFormat="1" ht="30.75" customHeight="1" x14ac:dyDescent="0.2">
      <c r="A24" t="s">
        <v>2300</v>
      </c>
      <c r="B24" s="69"/>
      <c r="C24" s="65" t="s">
        <v>331</v>
      </c>
      <c r="D24" s="65" t="s">
        <v>332</v>
      </c>
      <c r="E24" s="70"/>
      <c r="F24" s="65" t="s">
        <v>9</v>
      </c>
      <c r="G24" s="32"/>
      <c r="H24" s="65" t="s">
        <v>181</v>
      </c>
      <c r="I24" s="32" t="s">
        <v>48</v>
      </c>
      <c r="J24" s="32"/>
      <c r="K24" s="40"/>
      <c r="L24" s="32"/>
      <c r="M24" s="40"/>
      <c r="N24" s="40"/>
      <c r="O24" s="32" t="s">
        <v>12</v>
      </c>
      <c r="P24" s="252">
        <v>350000</v>
      </c>
      <c r="Q24" s="61" t="s">
        <v>43</v>
      </c>
      <c r="V24" s="41" t="s">
        <v>2615</v>
      </c>
      <c r="W24" s="206" t="str">
        <f t="shared" si="6"/>
        <v>2.09.01</v>
      </c>
      <c r="X24" s="207" t="str">
        <f t="shared" si="4"/>
        <v>UNIT UNIT LABORATORIUM</v>
      </c>
      <c r="Y24" s="207">
        <f t="shared" si="7"/>
        <v>8</v>
      </c>
      <c r="Z24" s="233">
        <f t="shared" si="8"/>
        <v>43748.75</v>
      </c>
      <c r="AA24" s="208">
        <f t="shared" si="9"/>
        <v>13</v>
      </c>
      <c r="AB24" s="233">
        <f t="shared" si="10"/>
        <v>349990</v>
      </c>
      <c r="AC24" s="233">
        <f t="shared" si="11"/>
        <v>0</v>
      </c>
      <c r="AD24" s="233">
        <f t="shared" si="12"/>
        <v>0</v>
      </c>
      <c r="AE24" s="233">
        <f t="shared" si="13"/>
        <v>0</v>
      </c>
      <c r="AF24" s="233">
        <f t="shared" si="14"/>
        <v>0</v>
      </c>
      <c r="AG24" s="238">
        <f t="shared" si="15"/>
        <v>0</v>
      </c>
      <c r="AH24" s="238">
        <f t="shared" si="16"/>
        <v>349990</v>
      </c>
      <c r="AI24" s="209" t="str">
        <f t="shared" si="17"/>
        <v>2000</v>
      </c>
      <c r="AJ24" s="210">
        <f t="shared" si="18"/>
        <v>10</v>
      </c>
    </row>
    <row r="25" spans="1:37" s="41" customFormat="1" ht="30.75" customHeight="1" x14ac:dyDescent="0.2">
      <c r="A25" t="s">
        <v>2300</v>
      </c>
      <c r="B25" s="69"/>
      <c r="C25" s="65" t="s">
        <v>336</v>
      </c>
      <c r="D25" s="65" t="s">
        <v>337</v>
      </c>
      <c r="E25" s="70"/>
      <c r="F25" s="65" t="s">
        <v>9</v>
      </c>
      <c r="G25" s="32"/>
      <c r="H25" s="65" t="s">
        <v>181</v>
      </c>
      <c r="I25" s="32" t="s">
        <v>92</v>
      </c>
      <c r="J25" s="32"/>
      <c r="K25" s="40"/>
      <c r="L25" s="32"/>
      <c r="M25" s="40"/>
      <c r="N25" s="40"/>
      <c r="O25" s="32" t="s">
        <v>12</v>
      </c>
      <c r="P25" s="252">
        <v>93750</v>
      </c>
      <c r="Q25" s="61" t="s">
        <v>43</v>
      </c>
      <c r="V25" s="41" t="s">
        <v>2615</v>
      </c>
      <c r="W25" s="206" t="str">
        <f t="shared" si="6"/>
        <v>2.09.01</v>
      </c>
      <c r="X25" s="207" t="str">
        <f t="shared" si="4"/>
        <v>UNIT UNIT LABORATORIUM</v>
      </c>
      <c r="Y25" s="207">
        <f t="shared" si="7"/>
        <v>8</v>
      </c>
      <c r="Z25" s="233">
        <f t="shared" si="8"/>
        <v>11717.5</v>
      </c>
      <c r="AA25" s="208">
        <f t="shared" si="9"/>
        <v>8</v>
      </c>
      <c r="AB25" s="233">
        <f t="shared" si="10"/>
        <v>93740</v>
      </c>
      <c r="AC25" s="233">
        <f t="shared" si="11"/>
        <v>0</v>
      </c>
      <c r="AD25" s="233">
        <f t="shared" si="12"/>
        <v>0</v>
      </c>
      <c r="AE25" s="233">
        <f t="shared" si="13"/>
        <v>0</v>
      </c>
      <c r="AF25" s="233">
        <f t="shared" si="14"/>
        <v>0</v>
      </c>
      <c r="AG25" s="238">
        <f t="shared" si="15"/>
        <v>0</v>
      </c>
      <c r="AH25" s="238">
        <f t="shared" si="16"/>
        <v>93740</v>
      </c>
      <c r="AI25" s="209" t="str">
        <f t="shared" si="17"/>
        <v>2005</v>
      </c>
      <c r="AJ25" s="210">
        <f t="shared" si="18"/>
        <v>10</v>
      </c>
    </row>
    <row r="26" spans="1:37" s="41" customFormat="1" ht="30.75" customHeight="1" x14ac:dyDescent="0.2">
      <c r="A26" t="s">
        <v>2300</v>
      </c>
      <c r="B26" s="69"/>
      <c r="C26" s="65" t="s">
        <v>338</v>
      </c>
      <c r="D26" s="65" t="s">
        <v>339</v>
      </c>
      <c r="E26" s="70"/>
      <c r="F26" s="65" t="s">
        <v>340</v>
      </c>
      <c r="G26" s="32"/>
      <c r="H26" s="65" t="s">
        <v>181</v>
      </c>
      <c r="I26" s="32" t="s">
        <v>92</v>
      </c>
      <c r="J26" s="32"/>
      <c r="K26" s="40"/>
      <c r="L26" s="32"/>
      <c r="M26" s="40"/>
      <c r="N26" s="40"/>
      <c r="O26" s="32" t="s">
        <v>12</v>
      </c>
      <c r="P26" s="252">
        <v>187500</v>
      </c>
      <c r="Q26" s="61" t="s">
        <v>43</v>
      </c>
      <c r="V26" s="41" t="s">
        <v>2615</v>
      </c>
      <c r="W26" s="206" t="str">
        <f t="shared" si="6"/>
        <v>2.09.01</v>
      </c>
      <c r="X26" s="207" t="str">
        <f t="shared" si="4"/>
        <v>UNIT UNIT LABORATORIUM</v>
      </c>
      <c r="Y26" s="207">
        <f t="shared" si="7"/>
        <v>8</v>
      </c>
      <c r="Z26" s="233">
        <f t="shared" si="8"/>
        <v>23436.25</v>
      </c>
      <c r="AA26" s="208">
        <f t="shared" si="9"/>
        <v>8</v>
      </c>
      <c r="AB26" s="233">
        <f t="shared" si="10"/>
        <v>187490</v>
      </c>
      <c r="AC26" s="233">
        <f t="shared" si="11"/>
        <v>0</v>
      </c>
      <c r="AD26" s="233">
        <f t="shared" si="12"/>
        <v>0</v>
      </c>
      <c r="AE26" s="233">
        <f t="shared" si="13"/>
        <v>0</v>
      </c>
      <c r="AF26" s="233">
        <f t="shared" si="14"/>
        <v>0</v>
      </c>
      <c r="AG26" s="238">
        <f t="shared" si="15"/>
        <v>0</v>
      </c>
      <c r="AH26" s="238">
        <f t="shared" si="16"/>
        <v>187490</v>
      </c>
      <c r="AI26" s="209" t="str">
        <f t="shared" si="17"/>
        <v>2005</v>
      </c>
      <c r="AJ26" s="210">
        <f t="shared" si="18"/>
        <v>10</v>
      </c>
    </row>
    <row r="27" spans="1:37" s="41" customFormat="1" ht="30.75" customHeight="1" x14ac:dyDescent="0.2">
      <c r="A27" t="s">
        <v>2300</v>
      </c>
      <c r="B27" s="69"/>
      <c r="C27" s="65" t="s">
        <v>343</v>
      </c>
      <c r="D27" s="65" t="s">
        <v>344</v>
      </c>
      <c r="E27" s="70"/>
      <c r="F27" s="65" t="s">
        <v>345</v>
      </c>
      <c r="G27" s="32"/>
      <c r="H27" s="65" t="s">
        <v>181</v>
      </c>
      <c r="I27" s="32" t="s">
        <v>92</v>
      </c>
      <c r="J27" s="32"/>
      <c r="K27" s="40"/>
      <c r="L27" s="32"/>
      <c r="M27" s="40"/>
      <c r="N27" s="40"/>
      <c r="O27" s="32" t="s">
        <v>12</v>
      </c>
      <c r="P27" s="252">
        <v>93750</v>
      </c>
      <c r="Q27" s="61" t="s">
        <v>43</v>
      </c>
      <c r="V27" s="41" t="s">
        <v>2615</v>
      </c>
      <c r="W27" s="206" t="str">
        <f t="shared" si="6"/>
        <v>2.09.01</v>
      </c>
      <c r="X27" s="207" t="str">
        <f t="shared" si="4"/>
        <v>UNIT UNIT LABORATORIUM</v>
      </c>
      <c r="Y27" s="207">
        <f t="shared" si="7"/>
        <v>8</v>
      </c>
      <c r="Z27" s="233">
        <f t="shared" si="8"/>
        <v>11717.5</v>
      </c>
      <c r="AA27" s="208">
        <f t="shared" si="9"/>
        <v>8</v>
      </c>
      <c r="AB27" s="233">
        <f t="shared" si="10"/>
        <v>93740</v>
      </c>
      <c r="AC27" s="233">
        <f t="shared" si="11"/>
        <v>0</v>
      </c>
      <c r="AD27" s="233">
        <f t="shared" si="12"/>
        <v>0</v>
      </c>
      <c r="AE27" s="233">
        <f t="shared" si="13"/>
        <v>0</v>
      </c>
      <c r="AF27" s="233">
        <f t="shared" si="14"/>
        <v>0</v>
      </c>
      <c r="AG27" s="238">
        <f t="shared" si="15"/>
        <v>0</v>
      </c>
      <c r="AH27" s="238">
        <f t="shared" si="16"/>
        <v>93740</v>
      </c>
      <c r="AI27" s="209" t="str">
        <f t="shared" si="17"/>
        <v>2005</v>
      </c>
      <c r="AJ27" s="210">
        <f t="shared" si="18"/>
        <v>10</v>
      </c>
    </row>
    <row r="28" spans="1:37" s="41" customFormat="1" ht="30.75" customHeight="1" x14ac:dyDescent="0.2">
      <c r="A28" t="s">
        <v>2300</v>
      </c>
      <c r="B28" s="69"/>
      <c r="C28" s="65" t="s">
        <v>346</v>
      </c>
      <c r="D28" s="65" t="s">
        <v>347</v>
      </c>
      <c r="E28" s="70"/>
      <c r="F28" s="65" t="s">
        <v>348</v>
      </c>
      <c r="G28" s="32"/>
      <c r="H28" s="65" t="s">
        <v>191</v>
      </c>
      <c r="I28" s="32" t="s">
        <v>92</v>
      </c>
      <c r="J28" s="32"/>
      <c r="K28" s="40"/>
      <c r="L28" s="32"/>
      <c r="M28" s="40"/>
      <c r="N28" s="40"/>
      <c r="O28" s="32" t="s">
        <v>12</v>
      </c>
      <c r="P28" s="252">
        <v>375000</v>
      </c>
      <c r="Q28" s="61" t="s">
        <v>43</v>
      </c>
      <c r="V28" s="41" t="s">
        <v>2615</v>
      </c>
      <c r="W28" s="206" t="str">
        <f t="shared" si="6"/>
        <v>2.09.01</v>
      </c>
      <c r="X28" s="207" t="str">
        <f t="shared" si="4"/>
        <v>UNIT UNIT LABORATORIUM</v>
      </c>
      <c r="Y28" s="207">
        <f t="shared" si="7"/>
        <v>8</v>
      </c>
      <c r="Z28" s="233">
        <f t="shared" si="8"/>
        <v>46873.75</v>
      </c>
      <c r="AA28" s="208">
        <f t="shared" si="9"/>
        <v>8</v>
      </c>
      <c r="AB28" s="233">
        <f t="shared" si="10"/>
        <v>374990</v>
      </c>
      <c r="AC28" s="233">
        <f t="shared" si="11"/>
        <v>0</v>
      </c>
      <c r="AD28" s="233">
        <f t="shared" si="12"/>
        <v>0</v>
      </c>
      <c r="AE28" s="233">
        <f t="shared" si="13"/>
        <v>0</v>
      </c>
      <c r="AF28" s="233">
        <f t="shared" si="14"/>
        <v>0</v>
      </c>
      <c r="AG28" s="238">
        <f t="shared" si="15"/>
        <v>0</v>
      </c>
      <c r="AH28" s="238">
        <f t="shared" si="16"/>
        <v>374990</v>
      </c>
      <c r="AI28" s="209" t="str">
        <f t="shared" si="17"/>
        <v>2005</v>
      </c>
      <c r="AJ28" s="210">
        <f t="shared" si="18"/>
        <v>10</v>
      </c>
    </row>
    <row r="29" spans="1:37" s="41" customFormat="1" ht="30.75" customHeight="1" x14ac:dyDescent="0.2">
      <c r="A29" t="s">
        <v>2300</v>
      </c>
      <c r="B29" s="69"/>
      <c r="C29" s="65" t="s">
        <v>349</v>
      </c>
      <c r="D29" s="65" t="s">
        <v>350</v>
      </c>
      <c r="E29" s="70"/>
      <c r="F29" s="65" t="s">
        <v>351</v>
      </c>
      <c r="G29" s="32"/>
      <c r="H29" s="65" t="s">
        <v>191</v>
      </c>
      <c r="I29" s="32" t="s">
        <v>108</v>
      </c>
      <c r="J29" s="32"/>
      <c r="K29" s="40"/>
      <c r="L29" s="32"/>
      <c r="M29" s="40"/>
      <c r="N29" s="40"/>
      <c r="O29" s="32" t="s">
        <v>12</v>
      </c>
      <c r="P29" s="252">
        <v>200000</v>
      </c>
      <c r="Q29" s="61" t="s">
        <v>43</v>
      </c>
      <c r="V29" s="41" t="s">
        <v>2615</v>
      </c>
      <c r="W29" s="206" t="str">
        <f t="shared" si="6"/>
        <v>2.09.01</v>
      </c>
      <c r="X29" s="207" t="str">
        <f t="shared" si="4"/>
        <v>UNIT UNIT LABORATORIUM</v>
      </c>
      <c r="Y29" s="207">
        <f t="shared" si="7"/>
        <v>8</v>
      </c>
      <c r="Z29" s="233">
        <f t="shared" si="8"/>
        <v>24998.75</v>
      </c>
      <c r="AA29" s="208">
        <f t="shared" si="9"/>
        <v>7</v>
      </c>
      <c r="AB29" s="233">
        <f t="shared" si="10"/>
        <v>174991.25</v>
      </c>
      <c r="AC29" s="233">
        <f t="shared" si="11"/>
        <v>24998.75</v>
      </c>
      <c r="AD29" s="233">
        <f t="shared" si="12"/>
        <v>0</v>
      </c>
      <c r="AE29" s="233">
        <f t="shared" si="13"/>
        <v>0</v>
      </c>
      <c r="AF29" s="233">
        <f t="shared" si="14"/>
        <v>0</v>
      </c>
      <c r="AG29" s="238">
        <f t="shared" si="15"/>
        <v>0</v>
      </c>
      <c r="AH29" s="238">
        <f t="shared" si="16"/>
        <v>199990</v>
      </c>
      <c r="AI29" s="209" t="str">
        <f t="shared" si="17"/>
        <v>2006</v>
      </c>
      <c r="AJ29" s="210">
        <f t="shared" si="18"/>
        <v>10</v>
      </c>
    </row>
    <row r="30" spans="1:37" s="41" customFormat="1" ht="30.75" customHeight="1" x14ac:dyDescent="0.2">
      <c r="A30" t="s">
        <v>2300</v>
      </c>
      <c r="B30" s="69"/>
      <c r="C30" s="65" t="s">
        <v>352</v>
      </c>
      <c r="D30" s="65" t="s">
        <v>353</v>
      </c>
      <c r="E30" s="70"/>
      <c r="F30" s="65" t="s">
        <v>354</v>
      </c>
      <c r="G30" s="32"/>
      <c r="H30" s="65" t="s">
        <v>191</v>
      </c>
      <c r="I30" s="32" t="s">
        <v>108</v>
      </c>
      <c r="J30" s="32"/>
      <c r="K30" s="40"/>
      <c r="L30" s="32"/>
      <c r="M30" s="40"/>
      <c r="N30" s="40"/>
      <c r="O30" s="32" t="s">
        <v>12</v>
      </c>
      <c r="P30" s="252">
        <v>400000</v>
      </c>
      <c r="Q30" s="61" t="s">
        <v>43</v>
      </c>
      <c r="V30" s="41" t="s">
        <v>2615</v>
      </c>
      <c r="W30" s="206" t="str">
        <f t="shared" si="6"/>
        <v>2.09.01</v>
      </c>
      <c r="X30" s="207" t="str">
        <f t="shared" si="4"/>
        <v>UNIT UNIT LABORATORIUM</v>
      </c>
      <c r="Y30" s="207">
        <f t="shared" si="7"/>
        <v>8</v>
      </c>
      <c r="Z30" s="233">
        <f t="shared" si="8"/>
        <v>49998.75</v>
      </c>
      <c r="AA30" s="208">
        <f t="shared" si="9"/>
        <v>7</v>
      </c>
      <c r="AB30" s="233">
        <f t="shared" si="10"/>
        <v>349991.25</v>
      </c>
      <c r="AC30" s="233">
        <f t="shared" si="11"/>
        <v>49998.75</v>
      </c>
      <c r="AD30" s="233">
        <f t="shared" si="12"/>
        <v>0</v>
      </c>
      <c r="AE30" s="233">
        <f t="shared" si="13"/>
        <v>0</v>
      </c>
      <c r="AF30" s="233">
        <f t="shared" si="14"/>
        <v>0</v>
      </c>
      <c r="AG30" s="238">
        <f t="shared" si="15"/>
        <v>0</v>
      </c>
      <c r="AH30" s="238">
        <f t="shared" si="16"/>
        <v>399990</v>
      </c>
      <c r="AI30" s="209" t="str">
        <f t="shared" si="17"/>
        <v>2006</v>
      </c>
      <c r="AJ30" s="210">
        <f t="shared" si="18"/>
        <v>10</v>
      </c>
    </row>
    <row r="31" spans="1:37" s="41" customFormat="1" ht="30.75" customHeight="1" x14ac:dyDescent="0.2">
      <c r="A31" t="s">
        <v>2300</v>
      </c>
      <c r="B31" s="69"/>
      <c r="C31" s="65" t="s">
        <v>355</v>
      </c>
      <c r="D31" s="65" t="s">
        <v>356</v>
      </c>
      <c r="E31" s="70"/>
      <c r="F31" s="65" t="s">
        <v>340</v>
      </c>
      <c r="G31" s="32"/>
      <c r="H31" s="65" t="s">
        <v>191</v>
      </c>
      <c r="I31" s="32" t="s">
        <v>108</v>
      </c>
      <c r="J31" s="32"/>
      <c r="K31" s="40"/>
      <c r="L31" s="32"/>
      <c r="M31" s="40"/>
      <c r="N31" s="40"/>
      <c r="O31" s="32" t="s">
        <v>12</v>
      </c>
      <c r="P31" s="252">
        <v>120000</v>
      </c>
      <c r="Q31" s="61" t="s">
        <v>43</v>
      </c>
      <c r="V31" s="41" t="s">
        <v>2615</v>
      </c>
      <c r="W31" s="206" t="str">
        <f t="shared" si="6"/>
        <v>2.09.01</v>
      </c>
      <c r="X31" s="207" t="str">
        <f t="shared" si="4"/>
        <v>UNIT UNIT LABORATORIUM</v>
      </c>
      <c r="Y31" s="207">
        <f t="shared" si="7"/>
        <v>8</v>
      </c>
      <c r="Z31" s="233">
        <f t="shared" si="8"/>
        <v>14998.75</v>
      </c>
      <c r="AA31" s="208">
        <f t="shared" si="9"/>
        <v>7</v>
      </c>
      <c r="AB31" s="233">
        <f t="shared" si="10"/>
        <v>104991.25</v>
      </c>
      <c r="AC31" s="233">
        <f t="shared" si="11"/>
        <v>14998.75</v>
      </c>
      <c r="AD31" s="233">
        <f t="shared" si="12"/>
        <v>0</v>
      </c>
      <c r="AE31" s="233">
        <f t="shared" si="13"/>
        <v>0</v>
      </c>
      <c r="AF31" s="233">
        <f t="shared" si="14"/>
        <v>0</v>
      </c>
      <c r="AG31" s="238">
        <f t="shared" si="15"/>
        <v>0</v>
      </c>
      <c r="AH31" s="238">
        <f t="shared" si="16"/>
        <v>119990</v>
      </c>
      <c r="AI31" s="209" t="str">
        <f t="shared" si="17"/>
        <v>2006</v>
      </c>
      <c r="AJ31" s="210">
        <f t="shared" si="18"/>
        <v>10</v>
      </c>
    </row>
    <row r="32" spans="1:37" s="41" customFormat="1" ht="30.75" customHeight="1" x14ac:dyDescent="0.2">
      <c r="A32" t="s">
        <v>2300</v>
      </c>
      <c r="B32" s="69"/>
      <c r="C32" s="65" t="s">
        <v>357</v>
      </c>
      <c r="D32" s="65" t="s">
        <v>358</v>
      </c>
      <c r="E32" s="70"/>
      <c r="F32" s="65" t="s">
        <v>9</v>
      </c>
      <c r="G32" s="32"/>
      <c r="H32" s="65" t="s">
        <v>191</v>
      </c>
      <c r="I32" s="32" t="s">
        <v>108</v>
      </c>
      <c r="J32" s="32"/>
      <c r="K32" s="40"/>
      <c r="L32" s="32"/>
      <c r="M32" s="40"/>
      <c r="N32" s="40"/>
      <c r="O32" s="32" t="s">
        <v>12</v>
      </c>
      <c r="P32" s="252">
        <v>200000</v>
      </c>
      <c r="Q32" s="61" t="s">
        <v>43</v>
      </c>
      <c r="V32" s="41" t="s">
        <v>2615</v>
      </c>
      <c r="W32" s="206" t="str">
        <f t="shared" si="6"/>
        <v>2.09.01</v>
      </c>
      <c r="X32" s="207" t="str">
        <f t="shared" si="4"/>
        <v>UNIT UNIT LABORATORIUM</v>
      </c>
      <c r="Y32" s="207">
        <f t="shared" si="7"/>
        <v>8</v>
      </c>
      <c r="Z32" s="233">
        <f t="shared" si="8"/>
        <v>24998.75</v>
      </c>
      <c r="AA32" s="208">
        <f t="shared" si="9"/>
        <v>7</v>
      </c>
      <c r="AB32" s="233">
        <f t="shared" si="10"/>
        <v>174991.25</v>
      </c>
      <c r="AC32" s="233">
        <f t="shared" si="11"/>
        <v>24998.75</v>
      </c>
      <c r="AD32" s="233">
        <f t="shared" si="12"/>
        <v>0</v>
      </c>
      <c r="AE32" s="233">
        <f t="shared" si="13"/>
        <v>0</v>
      </c>
      <c r="AF32" s="233">
        <f t="shared" si="14"/>
        <v>0</v>
      </c>
      <c r="AG32" s="238">
        <f t="shared" si="15"/>
        <v>0</v>
      </c>
      <c r="AH32" s="238">
        <f t="shared" si="16"/>
        <v>199990</v>
      </c>
      <c r="AI32" s="209" t="str">
        <f t="shared" si="17"/>
        <v>2006</v>
      </c>
      <c r="AJ32" s="210">
        <f t="shared" si="18"/>
        <v>10</v>
      </c>
    </row>
    <row r="33" spans="1:37" s="41" customFormat="1" ht="30.75" customHeight="1" x14ac:dyDescent="0.2">
      <c r="A33" t="s">
        <v>2300</v>
      </c>
      <c r="B33" s="69"/>
      <c r="C33" s="65" t="s">
        <v>359</v>
      </c>
      <c r="D33" s="65" t="s">
        <v>360</v>
      </c>
      <c r="E33" s="70"/>
      <c r="F33" s="65" t="s">
        <v>55</v>
      </c>
      <c r="G33" s="32"/>
      <c r="H33" s="65" t="s">
        <v>174</v>
      </c>
      <c r="I33" s="32" t="s">
        <v>108</v>
      </c>
      <c r="J33" s="32"/>
      <c r="K33" s="40"/>
      <c r="L33" s="32"/>
      <c r="M33" s="40"/>
      <c r="N33" s="40"/>
      <c r="O33" s="32" t="s">
        <v>12</v>
      </c>
      <c r="P33" s="252">
        <v>120000</v>
      </c>
      <c r="Q33" s="61" t="s">
        <v>43</v>
      </c>
      <c r="V33" s="41" t="s">
        <v>2615</v>
      </c>
      <c r="W33" s="206" t="str">
        <f t="shared" si="6"/>
        <v>2.09.01</v>
      </c>
      <c r="X33" s="207" t="str">
        <f t="shared" si="4"/>
        <v>UNIT UNIT LABORATORIUM</v>
      </c>
      <c r="Y33" s="207">
        <f t="shared" si="7"/>
        <v>8</v>
      </c>
      <c r="Z33" s="233">
        <f t="shared" si="8"/>
        <v>14998.75</v>
      </c>
      <c r="AA33" s="208">
        <f t="shared" si="9"/>
        <v>7</v>
      </c>
      <c r="AB33" s="233">
        <f t="shared" si="10"/>
        <v>104991.25</v>
      </c>
      <c r="AC33" s="233">
        <f t="shared" si="11"/>
        <v>14998.75</v>
      </c>
      <c r="AD33" s="233">
        <f t="shared" si="12"/>
        <v>0</v>
      </c>
      <c r="AE33" s="233">
        <f t="shared" si="13"/>
        <v>0</v>
      </c>
      <c r="AF33" s="233">
        <f t="shared" si="14"/>
        <v>0</v>
      </c>
      <c r="AG33" s="238">
        <f t="shared" si="15"/>
        <v>0</v>
      </c>
      <c r="AH33" s="238">
        <f t="shared" si="16"/>
        <v>119990</v>
      </c>
      <c r="AI33" s="209" t="str">
        <f t="shared" si="17"/>
        <v>2006</v>
      </c>
      <c r="AJ33" s="210">
        <f t="shared" si="18"/>
        <v>10</v>
      </c>
    </row>
    <row r="34" spans="1:37" s="41" customFormat="1" ht="30.75" customHeight="1" x14ac:dyDescent="0.2">
      <c r="A34" t="s">
        <v>2300</v>
      </c>
      <c r="B34" s="69"/>
      <c r="C34" s="65" t="s">
        <v>363</v>
      </c>
      <c r="D34" s="65" t="s">
        <v>364</v>
      </c>
      <c r="E34" s="70"/>
      <c r="F34" s="65" t="s">
        <v>55</v>
      </c>
      <c r="G34" s="32"/>
      <c r="H34" s="65" t="s">
        <v>9</v>
      </c>
      <c r="I34" s="32" t="s">
        <v>108</v>
      </c>
      <c r="J34" s="32"/>
      <c r="K34" s="40"/>
      <c r="L34" s="32"/>
      <c r="M34" s="40"/>
      <c r="N34" s="40"/>
      <c r="O34" s="32" t="s">
        <v>12</v>
      </c>
      <c r="P34" s="252">
        <v>100000</v>
      </c>
      <c r="Q34" s="61" t="s">
        <v>43</v>
      </c>
      <c r="V34" s="41" t="s">
        <v>2615</v>
      </c>
      <c r="W34" s="206" t="str">
        <f t="shared" si="6"/>
        <v>2.09.01</v>
      </c>
      <c r="X34" s="207" t="str">
        <f t="shared" si="4"/>
        <v>UNIT UNIT LABORATORIUM</v>
      </c>
      <c r="Y34" s="207">
        <f t="shared" si="7"/>
        <v>8</v>
      </c>
      <c r="Z34" s="233">
        <f t="shared" si="8"/>
        <v>12498.75</v>
      </c>
      <c r="AA34" s="208">
        <f t="shared" si="9"/>
        <v>7</v>
      </c>
      <c r="AB34" s="233">
        <f t="shared" si="10"/>
        <v>87491.25</v>
      </c>
      <c r="AC34" s="233">
        <f t="shared" si="11"/>
        <v>12498.75</v>
      </c>
      <c r="AD34" s="233">
        <f t="shared" si="12"/>
        <v>0</v>
      </c>
      <c r="AE34" s="233">
        <f t="shared" si="13"/>
        <v>0</v>
      </c>
      <c r="AF34" s="233">
        <f t="shared" si="14"/>
        <v>0</v>
      </c>
      <c r="AG34" s="238">
        <f t="shared" si="15"/>
        <v>0</v>
      </c>
      <c r="AH34" s="238">
        <f t="shared" si="16"/>
        <v>99990</v>
      </c>
      <c r="AI34" s="209" t="str">
        <f t="shared" si="17"/>
        <v>2006</v>
      </c>
      <c r="AJ34" s="210">
        <f t="shared" si="18"/>
        <v>10</v>
      </c>
    </row>
    <row r="35" spans="1:37" s="41" customFormat="1" ht="30.75" customHeight="1" x14ac:dyDescent="0.2">
      <c r="A35" t="s">
        <v>2300</v>
      </c>
      <c r="B35" s="69"/>
      <c r="C35" s="65" t="s">
        <v>365</v>
      </c>
      <c r="D35" s="65" t="s">
        <v>366</v>
      </c>
      <c r="E35" s="70"/>
      <c r="F35" s="65" t="s">
        <v>55</v>
      </c>
      <c r="G35" s="32"/>
      <c r="H35" s="65" t="s">
        <v>9</v>
      </c>
      <c r="I35" s="32" t="s">
        <v>108</v>
      </c>
      <c r="J35" s="32"/>
      <c r="K35" s="40"/>
      <c r="L35" s="32"/>
      <c r="M35" s="40"/>
      <c r="N35" s="40"/>
      <c r="O35" s="32" t="s">
        <v>12</v>
      </c>
      <c r="P35" s="252">
        <v>240000</v>
      </c>
      <c r="Q35" s="61" t="s">
        <v>43</v>
      </c>
      <c r="V35" s="41" t="s">
        <v>2615</v>
      </c>
      <c r="W35" s="206" t="str">
        <f t="shared" si="6"/>
        <v>2.09.01</v>
      </c>
      <c r="X35" s="207" t="str">
        <f t="shared" si="4"/>
        <v>UNIT UNIT LABORATORIUM</v>
      </c>
      <c r="Y35" s="207">
        <f t="shared" si="7"/>
        <v>8</v>
      </c>
      <c r="Z35" s="233">
        <f t="shared" si="8"/>
        <v>29998.75</v>
      </c>
      <c r="AA35" s="208">
        <f t="shared" si="9"/>
        <v>7</v>
      </c>
      <c r="AB35" s="233">
        <f t="shared" si="10"/>
        <v>209991.25</v>
      </c>
      <c r="AC35" s="233">
        <f t="shared" si="11"/>
        <v>29998.75</v>
      </c>
      <c r="AD35" s="233">
        <f t="shared" si="12"/>
        <v>0</v>
      </c>
      <c r="AE35" s="233">
        <f t="shared" si="13"/>
        <v>0</v>
      </c>
      <c r="AF35" s="233">
        <f t="shared" si="14"/>
        <v>0</v>
      </c>
      <c r="AG35" s="238">
        <f t="shared" si="15"/>
        <v>0</v>
      </c>
      <c r="AH35" s="238">
        <f t="shared" si="16"/>
        <v>239990</v>
      </c>
      <c r="AI35" s="209" t="str">
        <f t="shared" si="17"/>
        <v>2006</v>
      </c>
      <c r="AJ35" s="210">
        <f t="shared" si="18"/>
        <v>10</v>
      </c>
    </row>
    <row r="36" spans="1:37" s="41" customFormat="1" ht="30.75" customHeight="1" x14ac:dyDescent="0.2">
      <c r="A36" t="s">
        <v>2300</v>
      </c>
      <c r="B36" s="69"/>
      <c r="C36" s="65" t="s">
        <v>367</v>
      </c>
      <c r="D36" s="65" t="s">
        <v>368</v>
      </c>
      <c r="E36" s="70"/>
      <c r="F36" s="65" t="s">
        <v>9</v>
      </c>
      <c r="G36" s="32"/>
      <c r="H36" s="65" t="s">
        <v>9</v>
      </c>
      <c r="I36" s="32" t="s">
        <v>108</v>
      </c>
      <c r="J36" s="32"/>
      <c r="K36" s="40"/>
      <c r="L36" s="32"/>
      <c r="M36" s="40"/>
      <c r="N36" s="40"/>
      <c r="O36" s="32" t="s">
        <v>12</v>
      </c>
      <c r="P36" s="252">
        <v>120000</v>
      </c>
      <c r="Q36" s="61" t="s">
        <v>43</v>
      </c>
      <c r="V36" s="41" t="s">
        <v>2615</v>
      </c>
      <c r="W36" s="206" t="str">
        <f t="shared" si="6"/>
        <v>2.09.01</v>
      </c>
      <c r="X36" s="207" t="str">
        <f t="shared" si="4"/>
        <v>UNIT UNIT LABORATORIUM</v>
      </c>
      <c r="Y36" s="207">
        <f t="shared" si="7"/>
        <v>8</v>
      </c>
      <c r="Z36" s="233">
        <f t="shared" si="8"/>
        <v>14998.75</v>
      </c>
      <c r="AA36" s="208">
        <f t="shared" si="9"/>
        <v>7</v>
      </c>
      <c r="AB36" s="233">
        <f t="shared" si="10"/>
        <v>104991.25</v>
      </c>
      <c r="AC36" s="233">
        <f t="shared" si="11"/>
        <v>14998.75</v>
      </c>
      <c r="AD36" s="233">
        <f t="shared" si="12"/>
        <v>0</v>
      </c>
      <c r="AE36" s="233">
        <f t="shared" si="13"/>
        <v>0</v>
      </c>
      <c r="AF36" s="233">
        <f t="shared" si="14"/>
        <v>0</v>
      </c>
      <c r="AG36" s="238">
        <f t="shared" si="15"/>
        <v>0</v>
      </c>
      <c r="AH36" s="238">
        <f t="shared" si="16"/>
        <v>119990</v>
      </c>
      <c r="AI36" s="209" t="str">
        <f t="shared" si="17"/>
        <v>2006</v>
      </c>
      <c r="AJ36" s="210">
        <f t="shared" si="18"/>
        <v>10</v>
      </c>
    </row>
    <row r="37" spans="1:37" s="41" customFormat="1" ht="30.75" customHeight="1" x14ac:dyDescent="0.2">
      <c r="A37" t="s">
        <v>2300</v>
      </c>
      <c r="B37" s="69"/>
      <c r="C37" s="65" t="s">
        <v>346</v>
      </c>
      <c r="D37" s="65" t="s">
        <v>347</v>
      </c>
      <c r="E37" s="70"/>
      <c r="F37" s="65" t="s">
        <v>348</v>
      </c>
      <c r="G37" s="32"/>
      <c r="H37" s="65" t="s">
        <v>9</v>
      </c>
      <c r="I37" s="32" t="s">
        <v>108</v>
      </c>
      <c r="J37" s="32"/>
      <c r="K37" s="40"/>
      <c r="L37" s="32"/>
      <c r="M37" s="40"/>
      <c r="N37" s="40"/>
      <c r="O37" s="32" t="s">
        <v>12</v>
      </c>
      <c r="P37" s="252">
        <v>400000</v>
      </c>
      <c r="Q37" s="61" t="s">
        <v>43</v>
      </c>
      <c r="V37" s="41" t="s">
        <v>2615</v>
      </c>
      <c r="W37" s="206" t="str">
        <f t="shared" si="6"/>
        <v>2.09.01</v>
      </c>
      <c r="X37" s="207" t="str">
        <f t="shared" si="4"/>
        <v>UNIT UNIT LABORATORIUM</v>
      </c>
      <c r="Y37" s="207">
        <f t="shared" si="7"/>
        <v>8</v>
      </c>
      <c r="Z37" s="233">
        <f t="shared" si="8"/>
        <v>49998.75</v>
      </c>
      <c r="AA37" s="208">
        <f t="shared" si="9"/>
        <v>7</v>
      </c>
      <c r="AB37" s="233">
        <f t="shared" si="10"/>
        <v>349991.25</v>
      </c>
      <c r="AC37" s="233">
        <f t="shared" si="11"/>
        <v>49998.75</v>
      </c>
      <c r="AD37" s="233">
        <f t="shared" si="12"/>
        <v>0</v>
      </c>
      <c r="AE37" s="233">
        <f t="shared" si="13"/>
        <v>0</v>
      </c>
      <c r="AF37" s="233">
        <f t="shared" si="14"/>
        <v>0</v>
      </c>
      <c r="AG37" s="238">
        <f t="shared" si="15"/>
        <v>0</v>
      </c>
      <c r="AH37" s="238">
        <f t="shared" si="16"/>
        <v>399990</v>
      </c>
      <c r="AI37" s="209" t="str">
        <f t="shared" si="17"/>
        <v>2006</v>
      </c>
      <c r="AJ37" s="210">
        <f t="shared" si="18"/>
        <v>10</v>
      </c>
    </row>
    <row r="38" spans="1:37" s="41" customFormat="1" ht="30.75" customHeight="1" x14ac:dyDescent="0.2">
      <c r="A38" t="s">
        <v>2300</v>
      </c>
      <c r="B38" s="69"/>
      <c r="C38" s="65" t="s">
        <v>369</v>
      </c>
      <c r="D38" s="65" t="s">
        <v>370</v>
      </c>
      <c r="E38" s="70"/>
      <c r="F38" s="65" t="s">
        <v>55</v>
      </c>
      <c r="G38" s="32"/>
      <c r="H38" s="65" t="s">
        <v>181</v>
      </c>
      <c r="I38" s="32" t="s">
        <v>108</v>
      </c>
      <c r="J38" s="32"/>
      <c r="K38" s="40"/>
      <c r="L38" s="32"/>
      <c r="M38" s="40"/>
      <c r="N38" s="40"/>
      <c r="O38" s="32" t="s">
        <v>12</v>
      </c>
      <c r="P38" s="252">
        <v>350000</v>
      </c>
      <c r="Q38" s="61" t="s">
        <v>43</v>
      </c>
      <c r="V38" s="41" t="s">
        <v>2615</v>
      </c>
      <c r="W38" s="206" t="str">
        <f t="shared" si="6"/>
        <v>2.09.01</v>
      </c>
      <c r="X38" s="207" t="str">
        <f t="shared" si="4"/>
        <v>UNIT UNIT LABORATORIUM</v>
      </c>
      <c r="Y38" s="207">
        <f t="shared" si="7"/>
        <v>8</v>
      </c>
      <c r="Z38" s="233">
        <f t="shared" si="8"/>
        <v>43748.75</v>
      </c>
      <c r="AA38" s="208">
        <f t="shared" si="9"/>
        <v>7</v>
      </c>
      <c r="AB38" s="233">
        <f t="shared" si="10"/>
        <v>306241.25</v>
      </c>
      <c r="AC38" s="233">
        <f t="shared" si="11"/>
        <v>43748.75</v>
      </c>
      <c r="AD38" s="233">
        <f t="shared" si="12"/>
        <v>0</v>
      </c>
      <c r="AE38" s="233">
        <f t="shared" si="13"/>
        <v>0</v>
      </c>
      <c r="AF38" s="233">
        <f t="shared" si="14"/>
        <v>0</v>
      </c>
      <c r="AG38" s="238">
        <f t="shared" si="15"/>
        <v>0</v>
      </c>
      <c r="AH38" s="238">
        <f t="shared" si="16"/>
        <v>349990</v>
      </c>
      <c r="AI38" s="209" t="str">
        <f t="shared" si="17"/>
        <v>2006</v>
      </c>
      <c r="AJ38" s="210">
        <f t="shared" si="18"/>
        <v>10</v>
      </c>
    </row>
    <row r="39" spans="1:37" s="41" customFormat="1" ht="30.75" customHeight="1" x14ac:dyDescent="0.2">
      <c r="A39" t="s">
        <v>2300</v>
      </c>
      <c r="B39" s="69"/>
      <c r="C39" s="65" t="s">
        <v>341</v>
      </c>
      <c r="D39" s="65" t="s">
        <v>371</v>
      </c>
      <c r="E39" s="70"/>
      <c r="F39" s="65" t="s">
        <v>55</v>
      </c>
      <c r="G39" s="32"/>
      <c r="H39" s="65" t="s">
        <v>181</v>
      </c>
      <c r="I39" s="32" t="s">
        <v>108</v>
      </c>
      <c r="J39" s="32"/>
      <c r="K39" s="40"/>
      <c r="L39" s="32"/>
      <c r="M39" s="40"/>
      <c r="N39" s="40"/>
      <c r="O39" s="32" t="s">
        <v>12</v>
      </c>
      <c r="P39" s="252">
        <v>375000</v>
      </c>
      <c r="Q39" s="61" t="s">
        <v>43</v>
      </c>
      <c r="V39" s="41" t="s">
        <v>2615</v>
      </c>
      <c r="W39" s="206" t="str">
        <f t="shared" si="6"/>
        <v>2.09.01</v>
      </c>
      <c r="X39" s="207" t="str">
        <f t="shared" si="4"/>
        <v>UNIT UNIT LABORATORIUM</v>
      </c>
      <c r="Y39" s="207">
        <f t="shared" si="7"/>
        <v>8</v>
      </c>
      <c r="Z39" s="233">
        <f t="shared" si="8"/>
        <v>46873.75</v>
      </c>
      <c r="AA39" s="208">
        <f t="shared" si="9"/>
        <v>7</v>
      </c>
      <c r="AB39" s="233">
        <f t="shared" si="10"/>
        <v>328116.25</v>
      </c>
      <c r="AC39" s="233">
        <f t="shared" si="11"/>
        <v>46873.75</v>
      </c>
      <c r="AD39" s="233">
        <f t="shared" si="12"/>
        <v>0</v>
      </c>
      <c r="AE39" s="233">
        <f t="shared" si="13"/>
        <v>0</v>
      </c>
      <c r="AF39" s="233">
        <f t="shared" si="14"/>
        <v>0</v>
      </c>
      <c r="AG39" s="238">
        <f t="shared" si="15"/>
        <v>0</v>
      </c>
      <c r="AH39" s="238">
        <f t="shared" si="16"/>
        <v>374990</v>
      </c>
      <c r="AI39" s="209" t="str">
        <f t="shared" si="17"/>
        <v>2006</v>
      </c>
      <c r="AJ39" s="210">
        <f t="shared" si="18"/>
        <v>10</v>
      </c>
    </row>
    <row r="40" spans="1:37" s="41" customFormat="1" ht="30.75" customHeight="1" x14ac:dyDescent="0.2">
      <c r="A40" t="s">
        <v>2300</v>
      </c>
      <c r="B40" s="69"/>
      <c r="C40" s="65" t="s">
        <v>372</v>
      </c>
      <c r="D40" s="65" t="s">
        <v>373</v>
      </c>
      <c r="E40" s="70"/>
      <c r="F40" s="65" t="s">
        <v>345</v>
      </c>
      <c r="G40" s="32"/>
      <c r="H40" s="65" t="s">
        <v>191</v>
      </c>
      <c r="I40" s="32" t="s">
        <v>108</v>
      </c>
      <c r="J40" s="32"/>
      <c r="K40" s="40"/>
      <c r="L40" s="32"/>
      <c r="M40" s="40"/>
      <c r="N40" s="40"/>
      <c r="O40" s="32" t="s">
        <v>12</v>
      </c>
      <c r="P40" s="252">
        <v>240000</v>
      </c>
      <c r="Q40" s="61" t="s">
        <v>43</v>
      </c>
      <c r="V40" s="41" t="s">
        <v>2615</v>
      </c>
      <c r="W40" s="206" t="str">
        <f t="shared" si="6"/>
        <v>2.09.01</v>
      </c>
      <c r="X40" s="207" t="str">
        <f t="shared" si="4"/>
        <v>UNIT UNIT LABORATORIUM</v>
      </c>
      <c r="Y40" s="207">
        <f t="shared" si="7"/>
        <v>8</v>
      </c>
      <c r="Z40" s="233">
        <f t="shared" si="8"/>
        <v>29998.75</v>
      </c>
      <c r="AA40" s="208">
        <f t="shared" si="9"/>
        <v>7</v>
      </c>
      <c r="AB40" s="233">
        <f t="shared" si="10"/>
        <v>209991.25</v>
      </c>
      <c r="AC40" s="233">
        <f t="shared" si="11"/>
        <v>29998.75</v>
      </c>
      <c r="AD40" s="233">
        <f t="shared" si="12"/>
        <v>0</v>
      </c>
      <c r="AE40" s="233">
        <f t="shared" si="13"/>
        <v>0</v>
      </c>
      <c r="AF40" s="233">
        <f t="shared" si="14"/>
        <v>0</v>
      </c>
      <c r="AG40" s="238">
        <f t="shared" si="15"/>
        <v>0</v>
      </c>
      <c r="AH40" s="238">
        <f t="shared" si="16"/>
        <v>239990</v>
      </c>
      <c r="AI40" s="209" t="str">
        <f t="shared" si="17"/>
        <v>2006</v>
      </c>
      <c r="AJ40" s="210">
        <f t="shared" si="18"/>
        <v>10</v>
      </c>
    </row>
    <row r="41" spans="1:37" s="41" customFormat="1" ht="30.75" customHeight="1" x14ac:dyDescent="0.2">
      <c r="A41" t="s">
        <v>2300</v>
      </c>
      <c r="B41" s="69"/>
      <c r="C41" s="65" t="s">
        <v>374</v>
      </c>
      <c r="D41" s="65" t="s">
        <v>375</v>
      </c>
      <c r="E41" s="70"/>
      <c r="F41" s="65" t="s">
        <v>55</v>
      </c>
      <c r="G41" s="32"/>
      <c r="H41" s="65" t="s">
        <v>191</v>
      </c>
      <c r="I41" s="32" t="s">
        <v>108</v>
      </c>
      <c r="J41" s="32"/>
      <c r="K41" s="40"/>
      <c r="L41" s="32"/>
      <c r="M41" s="40"/>
      <c r="N41" s="40"/>
      <c r="O41" s="32" t="s">
        <v>12</v>
      </c>
      <c r="P41" s="252">
        <v>120000</v>
      </c>
      <c r="Q41" s="61" t="s">
        <v>43</v>
      </c>
      <c r="V41" s="41" t="s">
        <v>2615</v>
      </c>
      <c r="W41" s="206" t="str">
        <f t="shared" si="6"/>
        <v>2.09.01</v>
      </c>
      <c r="X41" s="207" t="str">
        <f t="shared" si="4"/>
        <v>UNIT UNIT LABORATORIUM</v>
      </c>
      <c r="Y41" s="207">
        <f t="shared" si="7"/>
        <v>8</v>
      </c>
      <c r="Z41" s="233">
        <f t="shared" si="8"/>
        <v>14998.75</v>
      </c>
      <c r="AA41" s="208">
        <f t="shared" si="9"/>
        <v>7</v>
      </c>
      <c r="AB41" s="233">
        <f t="shared" si="10"/>
        <v>104991.25</v>
      </c>
      <c r="AC41" s="233">
        <f t="shared" si="11"/>
        <v>14998.75</v>
      </c>
      <c r="AD41" s="233">
        <f t="shared" si="12"/>
        <v>0</v>
      </c>
      <c r="AE41" s="233">
        <f t="shared" si="13"/>
        <v>0</v>
      </c>
      <c r="AF41" s="233">
        <f t="shared" si="14"/>
        <v>0</v>
      </c>
      <c r="AG41" s="238">
        <f t="shared" si="15"/>
        <v>0</v>
      </c>
      <c r="AH41" s="238">
        <f t="shared" si="16"/>
        <v>119990</v>
      </c>
      <c r="AI41" s="209" t="str">
        <f t="shared" si="17"/>
        <v>2006</v>
      </c>
      <c r="AJ41" s="210">
        <f t="shared" si="18"/>
        <v>10</v>
      </c>
    </row>
    <row r="42" spans="1:37" s="41" customFormat="1" ht="30.75" customHeight="1" x14ac:dyDescent="0.2">
      <c r="A42" t="s">
        <v>2300</v>
      </c>
      <c r="B42" s="69"/>
      <c r="C42" s="65" t="s">
        <v>376</v>
      </c>
      <c r="D42" s="65" t="s">
        <v>377</v>
      </c>
      <c r="E42" s="70"/>
      <c r="F42" s="65" t="s">
        <v>9</v>
      </c>
      <c r="G42" s="32"/>
      <c r="H42" s="65" t="s">
        <v>378</v>
      </c>
      <c r="I42" s="32" t="s">
        <v>108</v>
      </c>
      <c r="J42" s="32"/>
      <c r="K42" s="40"/>
      <c r="L42" s="32"/>
      <c r="M42" s="40"/>
      <c r="N42" s="40"/>
      <c r="O42" s="32" t="s">
        <v>12</v>
      </c>
      <c r="P42" s="252">
        <v>400000</v>
      </c>
      <c r="Q42" s="61" t="s">
        <v>43</v>
      </c>
      <c r="V42" s="41" t="s">
        <v>2615</v>
      </c>
      <c r="W42" s="206" t="str">
        <f t="shared" si="6"/>
        <v>2.09.01</v>
      </c>
      <c r="X42" s="207" t="str">
        <f t="shared" si="4"/>
        <v>UNIT UNIT LABORATORIUM</v>
      </c>
      <c r="Y42" s="207">
        <f t="shared" si="7"/>
        <v>8</v>
      </c>
      <c r="Z42" s="233">
        <f t="shared" si="8"/>
        <v>49998.75</v>
      </c>
      <c r="AA42" s="208">
        <f t="shared" si="9"/>
        <v>7</v>
      </c>
      <c r="AB42" s="233">
        <f t="shared" si="10"/>
        <v>349991.25</v>
      </c>
      <c r="AC42" s="233">
        <f t="shared" si="11"/>
        <v>49998.75</v>
      </c>
      <c r="AD42" s="233">
        <f t="shared" si="12"/>
        <v>0</v>
      </c>
      <c r="AE42" s="233">
        <f t="shared" si="13"/>
        <v>0</v>
      </c>
      <c r="AF42" s="233">
        <f t="shared" si="14"/>
        <v>0</v>
      </c>
      <c r="AG42" s="238">
        <f t="shared" si="15"/>
        <v>0</v>
      </c>
      <c r="AH42" s="238">
        <f t="shared" si="16"/>
        <v>399990</v>
      </c>
      <c r="AI42" s="209" t="str">
        <f t="shared" si="17"/>
        <v>2006</v>
      </c>
      <c r="AJ42" s="210">
        <f t="shared" si="18"/>
        <v>10</v>
      </c>
    </row>
    <row r="43" spans="1:37" s="41" customFormat="1" ht="30.75" customHeight="1" x14ac:dyDescent="0.2">
      <c r="B43" s="69"/>
      <c r="C43" s="70" t="s">
        <v>52</v>
      </c>
      <c r="D43" s="70" t="s">
        <v>52</v>
      </c>
      <c r="E43" s="70"/>
      <c r="F43" s="70" t="s">
        <v>52</v>
      </c>
      <c r="G43" s="70"/>
      <c r="H43" s="70" t="s">
        <v>52</v>
      </c>
      <c r="I43" s="70"/>
      <c r="J43" s="70"/>
      <c r="K43" s="70"/>
      <c r="L43" s="70"/>
      <c r="M43" s="70"/>
      <c r="N43" s="70"/>
      <c r="O43" s="70"/>
      <c r="P43" s="278"/>
      <c r="Q43" s="74"/>
      <c r="X43" s="42">
        <f>IF(P43&lt;300000,P43,"0")</f>
        <v>0</v>
      </c>
      <c r="Z43" s="234"/>
      <c r="AB43" s="234"/>
      <c r="AC43" s="234"/>
      <c r="AD43" s="234"/>
      <c r="AE43" s="234"/>
      <c r="AF43" s="234"/>
      <c r="AG43" s="234"/>
      <c r="AH43" s="234"/>
    </row>
    <row r="44" spans="1:37" s="45" customFormat="1" ht="30.75" customHeight="1" x14ac:dyDescent="0.2">
      <c r="B44" s="58" t="s">
        <v>170</v>
      </c>
      <c r="C44" s="59" t="s">
        <v>921</v>
      </c>
      <c r="D44" s="75" t="s">
        <v>52</v>
      </c>
      <c r="E44" s="75"/>
      <c r="F44" s="75" t="s">
        <v>52</v>
      </c>
      <c r="G44" s="75"/>
      <c r="H44" s="75" t="s">
        <v>52</v>
      </c>
      <c r="I44" s="75"/>
      <c r="J44" s="75"/>
      <c r="K44" s="75"/>
      <c r="L44" s="75"/>
      <c r="M44" s="75"/>
      <c r="N44" s="75"/>
      <c r="O44" s="75"/>
      <c r="P44" s="279">
        <f>SUM(P45:P69)</f>
        <v>39918144</v>
      </c>
      <c r="Q44" s="76"/>
      <c r="X44" s="42" t="str">
        <f>IF(P44&lt;300000,P44,"0")</f>
        <v>0</v>
      </c>
      <c r="Z44" s="235"/>
      <c r="AB44" s="235">
        <f t="shared" ref="AB44:AJ44" si="19">SUM(AB45:AB69)</f>
        <v>11908643.199999999</v>
      </c>
      <c r="AC44" s="235">
        <f t="shared" si="19"/>
        <v>6909270.7999999998</v>
      </c>
      <c r="AD44" s="235">
        <f t="shared" si="19"/>
        <v>6799994</v>
      </c>
      <c r="AE44" s="235">
        <f t="shared" si="19"/>
        <v>6799994</v>
      </c>
      <c r="AF44" s="235">
        <f t="shared" si="19"/>
        <v>6799994</v>
      </c>
      <c r="AG44" s="235">
        <f t="shared" si="19"/>
        <v>0</v>
      </c>
      <c r="AH44" s="235">
        <f t="shared" si="19"/>
        <v>39217896</v>
      </c>
      <c r="AI44" s="235">
        <f t="shared" si="19"/>
        <v>50140</v>
      </c>
      <c r="AJ44" s="235">
        <f t="shared" si="19"/>
        <v>700248</v>
      </c>
      <c r="AK44" s="272">
        <f>AH44-AG44</f>
        <v>39217896</v>
      </c>
    </row>
    <row r="45" spans="1:37" s="41" customFormat="1" ht="30.75" customHeight="1" x14ac:dyDescent="0.2">
      <c r="A45" s="41" t="s">
        <v>2296</v>
      </c>
      <c r="B45" s="69"/>
      <c r="C45" s="65" t="s">
        <v>182</v>
      </c>
      <c r="D45" s="65" t="s">
        <v>183</v>
      </c>
      <c r="E45" s="40"/>
      <c r="F45" s="65" t="s">
        <v>184</v>
      </c>
      <c r="G45" s="40"/>
      <c r="H45" s="65" t="s">
        <v>174</v>
      </c>
      <c r="I45" s="32">
        <v>2002</v>
      </c>
      <c r="J45" s="40"/>
      <c r="K45" s="72"/>
      <c r="L45" s="72"/>
      <c r="M45" s="40"/>
      <c r="N45" s="40"/>
      <c r="O45" s="32" t="s">
        <v>12</v>
      </c>
      <c r="P45" s="251">
        <v>269750</v>
      </c>
      <c r="Q45" s="61" t="s">
        <v>43</v>
      </c>
      <c r="V45" s="41" t="s">
        <v>2615</v>
      </c>
      <c r="W45" s="206" t="str">
        <f t="shared" ref="W45:W63" si="20">A45</f>
        <v>2.06.03</v>
      </c>
      <c r="X45" s="207" t="str">
        <f t="shared" ref="X45:X63" si="21">VLOOKUP(W45,kelompok,2,0)</f>
        <v>KOMPUTER</v>
      </c>
      <c r="Y45" s="207">
        <f t="shared" ref="Y45:Y63" si="22">VLOOKUP(W45,MASAMANFAAT,4,0)</f>
        <v>4</v>
      </c>
      <c r="Z45" s="233">
        <f t="shared" ref="Z45:Z63" si="23">(P45-10)/Y45</f>
        <v>67435</v>
      </c>
      <c r="AA45" s="208">
        <f t="shared" ref="AA45:AA63" si="24">2013-AI45</f>
        <v>11</v>
      </c>
      <c r="AB45" s="233">
        <f t="shared" ref="AB45:AB63" si="25">IF(AA45&gt;Y45,P45-10,Z45*AA45)</f>
        <v>269740</v>
      </c>
      <c r="AC45" s="233">
        <f t="shared" ref="AC45:AC63" si="26">IF(P45-10=AB45,0,Z45)</f>
        <v>0</v>
      </c>
      <c r="AD45" s="233">
        <f t="shared" ref="AD45:AD63" si="27">IF(P45-10=AB45+AC45,0,Z45)</f>
        <v>0</v>
      </c>
      <c r="AE45" s="233">
        <f t="shared" ref="AE45:AE63" si="28">IF(P45-10=AB45+AC45+AD45,0,Z45)</f>
        <v>0</v>
      </c>
      <c r="AF45" s="233">
        <f t="shared" ref="AF45:AF63" si="29">IF(P45-10=AB45+AC45+AD45+AE45,0,Z45)</f>
        <v>0</v>
      </c>
      <c r="AG45" s="238">
        <f t="shared" ref="AG45:AG63" si="30">IF(P45-10=AB45+AC45+AD45+AE45+AF45,0,Z45)</f>
        <v>0</v>
      </c>
      <c r="AH45" s="238">
        <f t="shared" ref="AH45:AH63" si="31">SUM(AB45:AG45)</f>
        <v>269740</v>
      </c>
      <c r="AI45" s="209">
        <f t="shared" ref="AI45:AI63" si="32">I45</f>
        <v>2002</v>
      </c>
      <c r="AJ45" s="210">
        <f t="shared" ref="AJ45:AJ63" si="33">P45-AH45</f>
        <v>10</v>
      </c>
      <c r="AK45" s="272">
        <f t="shared" ref="AK45:AK69" si="34">AH45-AG45</f>
        <v>269740</v>
      </c>
    </row>
    <row r="46" spans="1:37" s="41" customFormat="1" ht="30.75" customHeight="1" x14ac:dyDescent="0.2">
      <c r="A46" s="41" t="s">
        <v>2297</v>
      </c>
      <c r="B46" s="69"/>
      <c r="C46" s="65" t="s">
        <v>185</v>
      </c>
      <c r="D46" s="65" t="s">
        <v>186</v>
      </c>
      <c r="E46" s="40"/>
      <c r="F46" s="65" t="s">
        <v>187</v>
      </c>
      <c r="G46" s="40"/>
      <c r="H46" s="65" t="s">
        <v>181</v>
      </c>
      <c r="I46" s="32">
        <v>2002</v>
      </c>
      <c r="J46" s="40"/>
      <c r="K46" s="72"/>
      <c r="L46" s="72"/>
      <c r="M46" s="40"/>
      <c r="N46" s="40"/>
      <c r="O46" s="32" t="s">
        <v>12</v>
      </c>
      <c r="P46" s="251">
        <v>81250</v>
      </c>
      <c r="Q46" s="61" t="s">
        <v>43</v>
      </c>
      <c r="V46" s="41" t="s">
        <v>2615</v>
      </c>
      <c r="W46" s="206" t="str">
        <f t="shared" si="20"/>
        <v>2.06.02</v>
      </c>
      <c r="X46" s="207" t="str">
        <f t="shared" si="21"/>
        <v>ALAT RUMAH TANGGA</v>
      </c>
      <c r="Y46" s="207">
        <f t="shared" si="22"/>
        <v>5</v>
      </c>
      <c r="Z46" s="233">
        <f t="shared" si="23"/>
        <v>16248</v>
      </c>
      <c r="AA46" s="208">
        <f t="shared" si="24"/>
        <v>11</v>
      </c>
      <c r="AB46" s="233">
        <f t="shared" si="25"/>
        <v>81240</v>
      </c>
      <c r="AC46" s="233">
        <f t="shared" si="26"/>
        <v>0</v>
      </c>
      <c r="AD46" s="233">
        <f t="shared" si="27"/>
        <v>0</v>
      </c>
      <c r="AE46" s="233">
        <f t="shared" si="28"/>
        <v>0</v>
      </c>
      <c r="AF46" s="233">
        <f t="shared" si="29"/>
        <v>0</v>
      </c>
      <c r="AG46" s="238">
        <f t="shared" si="30"/>
        <v>0</v>
      </c>
      <c r="AH46" s="238">
        <f t="shared" si="31"/>
        <v>81240</v>
      </c>
      <c r="AI46" s="209">
        <f t="shared" si="32"/>
        <v>2002</v>
      </c>
      <c r="AJ46" s="210">
        <f t="shared" si="33"/>
        <v>10</v>
      </c>
      <c r="AK46" s="272">
        <f t="shared" si="34"/>
        <v>81240</v>
      </c>
    </row>
    <row r="47" spans="1:37" s="41" customFormat="1" ht="30.75" customHeight="1" x14ac:dyDescent="0.2">
      <c r="A47" s="41" t="s">
        <v>2296</v>
      </c>
      <c r="B47" s="69"/>
      <c r="C47" s="65" t="s">
        <v>182</v>
      </c>
      <c r="D47" s="65" t="s">
        <v>183</v>
      </c>
      <c r="E47" s="40"/>
      <c r="F47" s="65" t="s">
        <v>195</v>
      </c>
      <c r="G47" s="40"/>
      <c r="H47" s="65" t="s">
        <v>174</v>
      </c>
      <c r="I47" s="32">
        <v>2003</v>
      </c>
      <c r="J47" s="40"/>
      <c r="K47" s="72"/>
      <c r="L47" s="72"/>
      <c r="M47" s="40"/>
      <c r="N47" s="40"/>
      <c r="O47" s="32" t="s">
        <v>12</v>
      </c>
      <c r="P47" s="251">
        <v>245000</v>
      </c>
      <c r="Q47" s="61" t="s">
        <v>43</v>
      </c>
      <c r="V47" s="41" t="s">
        <v>2615</v>
      </c>
      <c r="W47" s="206" t="str">
        <f t="shared" si="20"/>
        <v>2.06.03</v>
      </c>
      <c r="X47" s="207" t="str">
        <f t="shared" si="21"/>
        <v>KOMPUTER</v>
      </c>
      <c r="Y47" s="207">
        <f t="shared" si="22"/>
        <v>4</v>
      </c>
      <c r="Z47" s="233">
        <f t="shared" si="23"/>
        <v>61247.5</v>
      </c>
      <c r="AA47" s="208">
        <f t="shared" si="24"/>
        <v>10</v>
      </c>
      <c r="AB47" s="233">
        <f t="shared" si="25"/>
        <v>244990</v>
      </c>
      <c r="AC47" s="233">
        <f t="shared" si="26"/>
        <v>0</v>
      </c>
      <c r="AD47" s="233">
        <f t="shared" si="27"/>
        <v>0</v>
      </c>
      <c r="AE47" s="233">
        <f t="shared" si="28"/>
        <v>0</v>
      </c>
      <c r="AF47" s="233">
        <f t="shared" si="29"/>
        <v>0</v>
      </c>
      <c r="AG47" s="238">
        <f t="shared" si="30"/>
        <v>0</v>
      </c>
      <c r="AH47" s="238">
        <f t="shared" si="31"/>
        <v>244990</v>
      </c>
      <c r="AI47" s="209">
        <f t="shared" si="32"/>
        <v>2003</v>
      </c>
      <c r="AJ47" s="210">
        <f t="shared" si="33"/>
        <v>10</v>
      </c>
      <c r="AK47" s="272">
        <f t="shared" si="34"/>
        <v>244990</v>
      </c>
    </row>
    <row r="48" spans="1:37" s="41" customFormat="1" ht="30.75" customHeight="1" x14ac:dyDescent="0.2">
      <c r="A48" s="41" t="s">
        <v>2296</v>
      </c>
      <c r="B48" s="69"/>
      <c r="C48" s="65" t="s">
        <v>182</v>
      </c>
      <c r="D48" s="65" t="s">
        <v>183</v>
      </c>
      <c r="E48" s="40"/>
      <c r="F48" s="65" t="s">
        <v>196</v>
      </c>
      <c r="G48" s="40"/>
      <c r="H48" s="65" t="s">
        <v>174</v>
      </c>
      <c r="I48" s="32">
        <v>2003</v>
      </c>
      <c r="J48" s="40"/>
      <c r="K48" s="72"/>
      <c r="L48" s="72"/>
      <c r="M48" s="40"/>
      <c r="N48" s="40"/>
      <c r="O48" s="32" t="s">
        <v>12</v>
      </c>
      <c r="P48" s="251">
        <v>336000</v>
      </c>
      <c r="Q48" s="61" t="s">
        <v>43</v>
      </c>
      <c r="V48" s="41" t="s">
        <v>2615</v>
      </c>
      <c r="W48" s="206" t="str">
        <f t="shared" si="20"/>
        <v>2.06.03</v>
      </c>
      <c r="X48" s="207" t="str">
        <f t="shared" si="21"/>
        <v>KOMPUTER</v>
      </c>
      <c r="Y48" s="207">
        <f t="shared" si="22"/>
        <v>4</v>
      </c>
      <c r="Z48" s="233">
        <f t="shared" si="23"/>
        <v>83997.5</v>
      </c>
      <c r="AA48" s="208">
        <f t="shared" si="24"/>
        <v>10</v>
      </c>
      <c r="AB48" s="233">
        <f t="shared" si="25"/>
        <v>335990</v>
      </c>
      <c r="AC48" s="233">
        <f t="shared" si="26"/>
        <v>0</v>
      </c>
      <c r="AD48" s="233">
        <f t="shared" si="27"/>
        <v>0</v>
      </c>
      <c r="AE48" s="233">
        <f t="shared" si="28"/>
        <v>0</v>
      </c>
      <c r="AF48" s="233">
        <f t="shared" si="29"/>
        <v>0</v>
      </c>
      <c r="AG48" s="238">
        <f t="shared" si="30"/>
        <v>0</v>
      </c>
      <c r="AH48" s="238">
        <f t="shared" si="31"/>
        <v>335990</v>
      </c>
      <c r="AI48" s="209">
        <f t="shared" si="32"/>
        <v>2003</v>
      </c>
      <c r="AJ48" s="210">
        <f t="shared" si="33"/>
        <v>10</v>
      </c>
      <c r="AK48" s="272">
        <f t="shared" si="34"/>
        <v>335990</v>
      </c>
    </row>
    <row r="49" spans="1:37" s="41" customFormat="1" ht="30.75" customHeight="1" x14ac:dyDescent="0.2">
      <c r="A49" s="41" t="s">
        <v>2297</v>
      </c>
      <c r="B49" s="69"/>
      <c r="C49" s="65" t="s">
        <v>175</v>
      </c>
      <c r="D49" s="65" t="s">
        <v>176</v>
      </c>
      <c r="E49" s="40"/>
      <c r="F49" s="65" t="s">
        <v>205</v>
      </c>
      <c r="G49" s="40"/>
      <c r="H49" s="65" t="s">
        <v>178</v>
      </c>
      <c r="I49" s="32">
        <v>2003</v>
      </c>
      <c r="J49" s="40"/>
      <c r="K49" s="72"/>
      <c r="L49" s="72"/>
      <c r="M49" s="40"/>
      <c r="N49" s="40"/>
      <c r="O49" s="32" t="s">
        <v>12</v>
      </c>
      <c r="P49" s="251">
        <v>340000</v>
      </c>
      <c r="Q49" s="61" t="s">
        <v>43</v>
      </c>
      <c r="V49" s="41" t="s">
        <v>2615</v>
      </c>
      <c r="W49" s="206" t="str">
        <f t="shared" si="20"/>
        <v>2.06.02</v>
      </c>
      <c r="X49" s="207" t="str">
        <f t="shared" si="21"/>
        <v>ALAT RUMAH TANGGA</v>
      </c>
      <c r="Y49" s="207">
        <f t="shared" si="22"/>
        <v>5</v>
      </c>
      <c r="Z49" s="233">
        <f t="shared" si="23"/>
        <v>67998</v>
      </c>
      <c r="AA49" s="208">
        <f t="shared" si="24"/>
        <v>10</v>
      </c>
      <c r="AB49" s="233">
        <f t="shared" si="25"/>
        <v>339990</v>
      </c>
      <c r="AC49" s="233">
        <f t="shared" si="26"/>
        <v>0</v>
      </c>
      <c r="AD49" s="233">
        <f t="shared" si="27"/>
        <v>0</v>
      </c>
      <c r="AE49" s="233">
        <f t="shared" si="28"/>
        <v>0</v>
      </c>
      <c r="AF49" s="233">
        <f t="shared" si="29"/>
        <v>0</v>
      </c>
      <c r="AG49" s="238">
        <f t="shared" si="30"/>
        <v>0</v>
      </c>
      <c r="AH49" s="238">
        <f t="shared" si="31"/>
        <v>339990</v>
      </c>
      <c r="AI49" s="209">
        <f t="shared" si="32"/>
        <v>2003</v>
      </c>
      <c r="AJ49" s="210">
        <f t="shared" si="33"/>
        <v>10</v>
      </c>
      <c r="AK49" s="272">
        <f t="shared" si="34"/>
        <v>339990</v>
      </c>
    </row>
    <row r="50" spans="1:37" s="41" customFormat="1" ht="30.75" customHeight="1" x14ac:dyDescent="0.2">
      <c r="A50" s="41" t="s">
        <v>2297</v>
      </c>
      <c r="B50" s="69"/>
      <c r="C50" s="65" t="s">
        <v>175</v>
      </c>
      <c r="D50" s="65" t="s">
        <v>176</v>
      </c>
      <c r="E50" s="40"/>
      <c r="F50" s="65" t="s">
        <v>207</v>
      </c>
      <c r="G50" s="40"/>
      <c r="H50" s="65" t="s">
        <v>178</v>
      </c>
      <c r="I50" s="32">
        <v>2003</v>
      </c>
      <c r="J50" s="40"/>
      <c r="K50" s="72"/>
      <c r="L50" s="72"/>
      <c r="M50" s="40"/>
      <c r="N50" s="40"/>
      <c r="O50" s="32" t="s">
        <v>12</v>
      </c>
      <c r="P50" s="251">
        <v>340000</v>
      </c>
      <c r="Q50" s="61" t="s">
        <v>43</v>
      </c>
      <c r="V50" s="41" t="s">
        <v>2615</v>
      </c>
      <c r="W50" s="206" t="str">
        <f t="shared" si="20"/>
        <v>2.06.02</v>
      </c>
      <c r="X50" s="207" t="str">
        <f t="shared" si="21"/>
        <v>ALAT RUMAH TANGGA</v>
      </c>
      <c r="Y50" s="207">
        <f t="shared" si="22"/>
        <v>5</v>
      </c>
      <c r="Z50" s="233">
        <f t="shared" si="23"/>
        <v>67998</v>
      </c>
      <c r="AA50" s="208">
        <f t="shared" si="24"/>
        <v>10</v>
      </c>
      <c r="AB50" s="233">
        <f t="shared" si="25"/>
        <v>339990</v>
      </c>
      <c r="AC50" s="233">
        <f t="shared" si="26"/>
        <v>0</v>
      </c>
      <c r="AD50" s="233">
        <f t="shared" si="27"/>
        <v>0</v>
      </c>
      <c r="AE50" s="233">
        <f t="shared" si="28"/>
        <v>0</v>
      </c>
      <c r="AF50" s="233">
        <f t="shared" si="29"/>
        <v>0</v>
      </c>
      <c r="AG50" s="238">
        <f t="shared" si="30"/>
        <v>0</v>
      </c>
      <c r="AH50" s="238">
        <f t="shared" si="31"/>
        <v>339990</v>
      </c>
      <c r="AI50" s="209">
        <f t="shared" si="32"/>
        <v>2003</v>
      </c>
      <c r="AJ50" s="210">
        <f t="shared" si="33"/>
        <v>10</v>
      </c>
      <c r="AK50" s="272">
        <f t="shared" si="34"/>
        <v>339990</v>
      </c>
    </row>
    <row r="51" spans="1:37" s="41" customFormat="1" ht="30.75" customHeight="1" x14ac:dyDescent="0.2">
      <c r="A51" s="41" t="s">
        <v>2297</v>
      </c>
      <c r="B51" s="69"/>
      <c r="C51" s="65" t="s">
        <v>208</v>
      </c>
      <c r="D51" s="65" t="s">
        <v>209</v>
      </c>
      <c r="E51" s="40"/>
      <c r="F51" s="65" t="s">
        <v>199</v>
      </c>
      <c r="G51" s="40"/>
      <c r="H51" s="65" t="s">
        <v>210</v>
      </c>
      <c r="I51" s="32">
        <v>2003</v>
      </c>
      <c r="J51" s="40"/>
      <c r="K51" s="72"/>
      <c r="L51" s="72"/>
      <c r="M51" s="40"/>
      <c r="N51" s="40"/>
      <c r="O51" s="32" t="s">
        <v>12</v>
      </c>
      <c r="P51" s="251">
        <v>490000</v>
      </c>
      <c r="Q51" s="61" t="s">
        <v>43</v>
      </c>
      <c r="V51" s="41" t="s">
        <v>2615</v>
      </c>
      <c r="W51" s="206" t="str">
        <f t="shared" si="20"/>
        <v>2.06.02</v>
      </c>
      <c r="X51" s="207" t="str">
        <f t="shared" si="21"/>
        <v>ALAT RUMAH TANGGA</v>
      </c>
      <c r="Y51" s="207">
        <f t="shared" si="22"/>
        <v>5</v>
      </c>
      <c r="Z51" s="233">
        <f t="shared" si="23"/>
        <v>97998</v>
      </c>
      <c r="AA51" s="208">
        <f t="shared" si="24"/>
        <v>10</v>
      </c>
      <c r="AB51" s="233">
        <f t="shared" si="25"/>
        <v>489990</v>
      </c>
      <c r="AC51" s="233">
        <f t="shared" si="26"/>
        <v>0</v>
      </c>
      <c r="AD51" s="233">
        <f t="shared" si="27"/>
        <v>0</v>
      </c>
      <c r="AE51" s="233">
        <f t="shared" si="28"/>
        <v>0</v>
      </c>
      <c r="AF51" s="233">
        <f t="shared" si="29"/>
        <v>0</v>
      </c>
      <c r="AG51" s="238">
        <f t="shared" si="30"/>
        <v>0</v>
      </c>
      <c r="AH51" s="238">
        <f t="shared" si="31"/>
        <v>489990</v>
      </c>
      <c r="AI51" s="209">
        <f t="shared" si="32"/>
        <v>2003</v>
      </c>
      <c r="AJ51" s="210">
        <f t="shared" si="33"/>
        <v>10</v>
      </c>
      <c r="AK51" s="272">
        <f t="shared" si="34"/>
        <v>489990</v>
      </c>
    </row>
    <row r="52" spans="1:37" s="41" customFormat="1" ht="30.75" customHeight="1" x14ac:dyDescent="0.2">
      <c r="A52" s="41" t="s">
        <v>2297</v>
      </c>
      <c r="B52" s="69"/>
      <c r="C52" s="65" t="s">
        <v>215</v>
      </c>
      <c r="D52" s="65" t="s">
        <v>216</v>
      </c>
      <c r="E52" s="40"/>
      <c r="F52" s="65" t="s">
        <v>217</v>
      </c>
      <c r="G52" s="40"/>
      <c r="H52" s="65" t="s">
        <v>218</v>
      </c>
      <c r="I52" s="32">
        <v>2005</v>
      </c>
      <c r="J52" s="40"/>
      <c r="K52" s="72"/>
      <c r="L52" s="72"/>
      <c r="M52" s="40"/>
      <c r="N52" s="40"/>
      <c r="O52" s="32" t="s">
        <v>12</v>
      </c>
      <c r="P52" s="251">
        <v>175000</v>
      </c>
      <c r="Q52" s="61" t="s">
        <v>43</v>
      </c>
      <c r="V52" s="41" t="s">
        <v>2615</v>
      </c>
      <c r="W52" s="206" t="str">
        <f t="shared" si="20"/>
        <v>2.06.02</v>
      </c>
      <c r="X52" s="207" t="str">
        <f t="shared" si="21"/>
        <v>ALAT RUMAH TANGGA</v>
      </c>
      <c r="Y52" s="207">
        <f t="shared" si="22"/>
        <v>5</v>
      </c>
      <c r="Z52" s="233">
        <f t="shared" si="23"/>
        <v>34998</v>
      </c>
      <c r="AA52" s="208">
        <f t="shared" si="24"/>
        <v>8</v>
      </c>
      <c r="AB52" s="233">
        <f t="shared" si="25"/>
        <v>174990</v>
      </c>
      <c r="AC52" s="233">
        <f t="shared" si="26"/>
        <v>0</v>
      </c>
      <c r="AD52" s="233">
        <f t="shared" si="27"/>
        <v>0</v>
      </c>
      <c r="AE52" s="233">
        <f t="shared" si="28"/>
        <v>0</v>
      </c>
      <c r="AF52" s="233">
        <f t="shared" si="29"/>
        <v>0</v>
      </c>
      <c r="AG52" s="238">
        <f t="shared" si="30"/>
        <v>0</v>
      </c>
      <c r="AH52" s="238">
        <f t="shared" si="31"/>
        <v>174990</v>
      </c>
      <c r="AI52" s="209">
        <f t="shared" si="32"/>
        <v>2005</v>
      </c>
      <c r="AJ52" s="210">
        <f t="shared" si="33"/>
        <v>10</v>
      </c>
      <c r="AK52" s="272">
        <f t="shared" si="34"/>
        <v>174990</v>
      </c>
    </row>
    <row r="53" spans="1:37" s="41" customFormat="1" ht="30.75" customHeight="1" x14ac:dyDescent="0.2">
      <c r="A53" s="41" t="s">
        <v>2297</v>
      </c>
      <c r="B53" s="69"/>
      <c r="C53" s="65" t="s">
        <v>219</v>
      </c>
      <c r="D53" s="65" t="s">
        <v>220</v>
      </c>
      <c r="E53" s="40"/>
      <c r="F53" s="65" t="s">
        <v>221</v>
      </c>
      <c r="G53" s="40"/>
      <c r="H53" s="65" t="s">
        <v>222</v>
      </c>
      <c r="I53" s="32">
        <v>2005</v>
      </c>
      <c r="J53" s="40"/>
      <c r="K53" s="72"/>
      <c r="L53" s="72"/>
      <c r="M53" s="40"/>
      <c r="N53" s="40"/>
      <c r="O53" s="32" t="s">
        <v>12</v>
      </c>
      <c r="P53" s="251">
        <v>150000</v>
      </c>
      <c r="Q53" s="61" t="s">
        <v>43</v>
      </c>
      <c r="V53" s="41" t="s">
        <v>2615</v>
      </c>
      <c r="W53" s="206" t="str">
        <f t="shared" si="20"/>
        <v>2.06.02</v>
      </c>
      <c r="X53" s="207" t="str">
        <f t="shared" si="21"/>
        <v>ALAT RUMAH TANGGA</v>
      </c>
      <c r="Y53" s="207">
        <f t="shared" si="22"/>
        <v>5</v>
      </c>
      <c r="Z53" s="233">
        <f t="shared" si="23"/>
        <v>29998</v>
      </c>
      <c r="AA53" s="208">
        <f t="shared" si="24"/>
        <v>8</v>
      </c>
      <c r="AB53" s="233">
        <f t="shared" si="25"/>
        <v>149990</v>
      </c>
      <c r="AC53" s="233">
        <f t="shared" si="26"/>
        <v>0</v>
      </c>
      <c r="AD53" s="233">
        <f t="shared" si="27"/>
        <v>0</v>
      </c>
      <c r="AE53" s="233">
        <f t="shared" si="28"/>
        <v>0</v>
      </c>
      <c r="AF53" s="233">
        <f t="shared" si="29"/>
        <v>0</v>
      </c>
      <c r="AG53" s="238">
        <f t="shared" si="30"/>
        <v>0</v>
      </c>
      <c r="AH53" s="238">
        <f t="shared" si="31"/>
        <v>149990</v>
      </c>
      <c r="AI53" s="209">
        <f t="shared" si="32"/>
        <v>2005</v>
      </c>
      <c r="AJ53" s="210">
        <f t="shared" si="33"/>
        <v>10</v>
      </c>
      <c r="AK53" s="272">
        <f t="shared" si="34"/>
        <v>149990</v>
      </c>
    </row>
    <row r="54" spans="1:37" s="41" customFormat="1" ht="30.75" customHeight="1" x14ac:dyDescent="0.2">
      <c r="A54" s="41" t="s">
        <v>2297</v>
      </c>
      <c r="B54" s="69"/>
      <c r="C54" s="65" t="s">
        <v>223</v>
      </c>
      <c r="D54" s="65" t="s">
        <v>224</v>
      </c>
      <c r="E54" s="40"/>
      <c r="F54" s="65" t="s">
        <v>199</v>
      </c>
      <c r="G54" s="40"/>
      <c r="H54" s="65" t="s">
        <v>225</v>
      </c>
      <c r="I54" s="32">
        <v>2005</v>
      </c>
      <c r="J54" s="40"/>
      <c r="K54" s="72"/>
      <c r="L54" s="72"/>
      <c r="M54" s="40"/>
      <c r="N54" s="40"/>
      <c r="O54" s="32" t="s">
        <v>12</v>
      </c>
      <c r="P54" s="251">
        <v>162500</v>
      </c>
      <c r="Q54" s="61" t="s">
        <v>43</v>
      </c>
      <c r="V54" s="41" t="s">
        <v>2615</v>
      </c>
      <c r="W54" s="206" t="str">
        <f t="shared" si="20"/>
        <v>2.06.02</v>
      </c>
      <c r="X54" s="207" t="str">
        <f t="shared" si="21"/>
        <v>ALAT RUMAH TANGGA</v>
      </c>
      <c r="Y54" s="207">
        <f t="shared" si="22"/>
        <v>5</v>
      </c>
      <c r="Z54" s="233">
        <f t="shared" si="23"/>
        <v>32498</v>
      </c>
      <c r="AA54" s="208">
        <f t="shared" si="24"/>
        <v>8</v>
      </c>
      <c r="AB54" s="233">
        <f t="shared" si="25"/>
        <v>162490</v>
      </c>
      <c r="AC54" s="233">
        <f t="shared" si="26"/>
        <v>0</v>
      </c>
      <c r="AD54" s="233">
        <f t="shared" si="27"/>
        <v>0</v>
      </c>
      <c r="AE54" s="233">
        <f t="shared" si="28"/>
        <v>0</v>
      </c>
      <c r="AF54" s="233">
        <f t="shared" si="29"/>
        <v>0</v>
      </c>
      <c r="AG54" s="238">
        <f t="shared" si="30"/>
        <v>0</v>
      </c>
      <c r="AH54" s="238">
        <f t="shared" si="31"/>
        <v>162490</v>
      </c>
      <c r="AI54" s="209">
        <f t="shared" si="32"/>
        <v>2005</v>
      </c>
      <c r="AJ54" s="210">
        <f t="shared" si="33"/>
        <v>10</v>
      </c>
      <c r="AK54" s="272">
        <f t="shared" si="34"/>
        <v>162490</v>
      </c>
    </row>
    <row r="55" spans="1:37" s="41" customFormat="1" ht="30.75" customHeight="1" x14ac:dyDescent="0.2">
      <c r="A55" s="41" t="s">
        <v>2296</v>
      </c>
      <c r="B55" s="69"/>
      <c r="C55" s="65" t="s">
        <v>182</v>
      </c>
      <c r="D55" s="65" t="s">
        <v>183</v>
      </c>
      <c r="E55" s="40"/>
      <c r="F55" s="65" t="s">
        <v>195</v>
      </c>
      <c r="G55" s="40"/>
      <c r="H55" s="65" t="s">
        <v>174</v>
      </c>
      <c r="I55" s="32">
        <v>2005</v>
      </c>
      <c r="J55" s="40"/>
      <c r="K55" s="72"/>
      <c r="L55" s="72"/>
      <c r="M55" s="40"/>
      <c r="N55" s="40"/>
      <c r="O55" s="32" t="s">
        <v>12</v>
      </c>
      <c r="P55" s="251">
        <v>296000</v>
      </c>
      <c r="Q55" s="61" t="s">
        <v>43</v>
      </c>
      <c r="V55" s="41" t="s">
        <v>2615</v>
      </c>
      <c r="W55" s="206" t="str">
        <f t="shared" si="20"/>
        <v>2.06.03</v>
      </c>
      <c r="X55" s="207" t="str">
        <f t="shared" si="21"/>
        <v>KOMPUTER</v>
      </c>
      <c r="Y55" s="207">
        <f t="shared" si="22"/>
        <v>4</v>
      </c>
      <c r="Z55" s="233">
        <f t="shared" si="23"/>
        <v>73997.5</v>
      </c>
      <c r="AA55" s="208">
        <f t="shared" si="24"/>
        <v>8</v>
      </c>
      <c r="AB55" s="233">
        <f t="shared" si="25"/>
        <v>295990</v>
      </c>
      <c r="AC55" s="233">
        <f t="shared" si="26"/>
        <v>0</v>
      </c>
      <c r="AD55" s="233">
        <f t="shared" si="27"/>
        <v>0</v>
      </c>
      <c r="AE55" s="233">
        <f t="shared" si="28"/>
        <v>0</v>
      </c>
      <c r="AF55" s="233">
        <f t="shared" si="29"/>
        <v>0</v>
      </c>
      <c r="AG55" s="238">
        <f t="shared" si="30"/>
        <v>0</v>
      </c>
      <c r="AH55" s="238">
        <f t="shared" si="31"/>
        <v>295990</v>
      </c>
      <c r="AI55" s="209">
        <f t="shared" si="32"/>
        <v>2005</v>
      </c>
      <c r="AJ55" s="210">
        <f t="shared" si="33"/>
        <v>10</v>
      </c>
      <c r="AK55" s="272">
        <f t="shared" si="34"/>
        <v>295990</v>
      </c>
    </row>
    <row r="56" spans="1:37" s="41" customFormat="1" ht="30.75" customHeight="1" x14ac:dyDescent="0.2">
      <c r="A56" s="41" t="s">
        <v>2297</v>
      </c>
      <c r="B56" s="69"/>
      <c r="C56" s="65" t="s">
        <v>185</v>
      </c>
      <c r="D56" s="65" t="s">
        <v>186</v>
      </c>
      <c r="E56" s="40"/>
      <c r="F56" s="65" t="s">
        <v>226</v>
      </c>
      <c r="G56" s="40"/>
      <c r="H56" s="65" t="s">
        <v>181</v>
      </c>
      <c r="I56" s="32">
        <v>2005</v>
      </c>
      <c r="J56" s="40"/>
      <c r="K56" s="72"/>
      <c r="L56" s="72"/>
      <c r="M56" s="40"/>
      <c r="N56" s="40"/>
      <c r="O56" s="32" t="s">
        <v>12</v>
      </c>
      <c r="P56" s="251">
        <v>93750</v>
      </c>
      <c r="Q56" s="61" t="s">
        <v>43</v>
      </c>
      <c r="V56" s="41" t="s">
        <v>2615</v>
      </c>
      <c r="W56" s="206" t="str">
        <f t="shared" si="20"/>
        <v>2.06.02</v>
      </c>
      <c r="X56" s="207" t="str">
        <f t="shared" si="21"/>
        <v>ALAT RUMAH TANGGA</v>
      </c>
      <c r="Y56" s="207">
        <f t="shared" si="22"/>
        <v>5</v>
      </c>
      <c r="Z56" s="233">
        <f t="shared" si="23"/>
        <v>18748</v>
      </c>
      <c r="AA56" s="208">
        <f t="shared" si="24"/>
        <v>8</v>
      </c>
      <c r="AB56" s="233">
        <f t="shared" si="25"/>
        <v>93740</v>
      </c>
      <c r="AC56" s="233">
        <f t="shared" si="26"/>
        <v>0</v>
      </c>
      <c r="AD56" s="233">
        <f t="shared" si="27"/>
        <v>0</v>
      </c>
      <c r="AE56" s="233">
        <f t="shared" si="28"/>
        <v>0</v>
      </c>
      <c r="AF56" s="233">
        <f t="shared" si="29"/>
        <v>0</v>
      </c>
      <c r="AG56" s="238">
        <f t="shared" si="30"/>
        <v>0</v>
      </c>
      <c r="AH56" s="238">
        <f t="shared" si="31"/>
        <v>93740</v>
      </c>
      <c r="AI56" s="209">
        <f t="shared" si="32"/>
        <v>2005</v>
      </c>
      <c r="AJ56" s="210">
        <f t="shared" si="33"/>
        <v>10</v>
      </c>
      <c r="AK56" s="272">
        <f t="shared" si="34"/>
        <v>93740</v>
      </c>
    </row>
    <row r="57" spans="1:37" s="41" customFormat="1" ht="30.75" customHeight="1" x14ac:dyDescent="0.2">
      <c r="A57" s="41" t="s">
        <v>2297</v>
      </c>
      <c r="B57" s="69"/>
      <c r="C57" s="65" t="s">
        <v>202</v>
      </c>
      <c r="D57" s="65" t="s">
        <v>203</v>
      </c>
      <c r="E57" s="40"/>
      <c r="F57" s="65" t="s">
        <v>9</v>
      </c>
      <c r="G57" s="40"/>
      <c r="H57" s="65" t="s">
        <v>174</v>
      </c>
      <c r="I57" s="32">
        <v>2005</v>
      </c>
      <c r="J57" s="40"/>
      <c r="K57" s="72"/>
      <c r="L57" s="72"/>
      <c r="M57" s="40"/>
      <c r="N57" s="40"/>
      <c r="O57" s="32" t="s">
        <v>12</v>
      </c>
      <c r="P57" s="251">
        <v>455000</v>
      </c>
      <c r="Q57" s="61" t="s">
        <v>43</v>
      </c>
      <c r="V57" s="41" t="s">
        <v>2615</v>
      </c>
      <c r="W57" s="206" t="str">
        <f t="shared" si="20"/>
        <v>2.06.02</v>
      </c>
      <c r="X57" s="207" t="str">
        <f t="shared" si="21"/>
        <v>ALAT RUMAH TANGGA</v>
      </c>
      <c r="Y57" s="207">
        <f t="shared" si="22"/>
        <v>5</v>
      </c>
      <c r="Z57" s="233">
        <f t="shared" si="23"/>
        <v>90998</v>
      </c>
      <c r="AA57" s="208">
        <f t="shared" si="24"/>
        <v>8</v>
      </c>
      <c r="AB57" s="233">
        <f t="shared" si="25"/>
        <v>454990</v>
      </c>
      <c r="AC57" s="233">
        <f t="shared" si="26"/>
        <v>0</v>
      </c>
      <c r="AD57" s="233">
        <f t="shared" si="27"/>
        <v>0</v>
      </c>
      <c r="AE57" s="233">
        <f t="shared" si="28"/>
        <v>0</v>
      </c>
      <c r="AF57" s="233">
        <f t="shared" si="29"/>
        <v>0</v>
      </c>
      <c r="AG57" s="238">
        <f t="shared" si="30"/>
        <v>0</v>
      </c>
      <c r="AH57" s="238">
        <f t="shared" si="31"/>
        <v>454990</v>
      </c>
      <c r="AI57" s="209">
        <f t="shared" si="32"/>
        <v>2005</v>
      </c>
      <c r="AJ57" s="210">
        <f t="shared" si="33"/>
        <v>10</v>
      </c>
      <c r="AK57" s="272">
        <f t="shared" si="34"/>
        <v>454990</v>
      </c>
    </row>
    <row r="58" spans="1:37" s="41" customFormat="1" ht="30.75" customHeight="1" x14ac:dyDescent="0.2">
      <c r="A58" s="41" t="s">
        <v>2297</v>
      </c>
      <c r="B58" s="69"/>
      <c r="C58" s="65" t="s">
        <v>185</v>
      </c>
      <c r="D58" s="65" t="s">
        <v>186</v>
      </c>
      <c r="E58" s="40"/>
      <c r="F58" s="65" t="s">
        <v>228</v>
      </c>
      <c r="G58" s="40"/>
      <c r="H58" s="65" t="s">
        <v>174</v>
      </c>
      <c r="I58" s="32">
        <v>2005</v>
      </c>
      <c r="J58" s="40"/>
      <c r="K58" s="72"/>
      <c r="L58" s="40"/>
      <c r="M58" s="40"/>
      <c r="N58" s="40"/>
      <c r="O58" s="32" t="s">
        <v>12</v>
      </c>
      <c r="P58" s="251">
        <v>75000</v>
      </c>
      <c r="Q58" s="61" t="s">
        <v>43</v>
      </c>
      <c r="V58" s="41" t="s">
        <v>2615</v>
      </c>
      <c r="W58" s="206" t="str">
        <f t="shared" si="20"/>
        <v>2.06.02</v>
      </c>
      <c r="X58" s="207" t="str">
        <f t="shared" si="21"/>
        <v>ALAT RUMAH TANGGA</v>
      </c>
      <c r="Y58" s="207">
        <f t="shared" si="22"/>
        <v>5</v>
      </c>
      <c r="Z58" s="233">
        <f t="shared" si="23"/>
        <v>14998</v>
      </c>
      <c r="AA58" s="208">
        <f t="shared" si="24"/>
        <v>8</v>
      </c>
      <c r="AB58" s="233">
        <f t="shared" si="25"/>
        <v>74990</v>
      </c>
      <c r="AC58" s="233">
        <f t="shared" si="26"/>
        <v>0</v>
      </c>
      <c r="AD58" s="233">
        <f t="shared" si="27"/>
        <v>0</v>
      </c>
      <c r="AE58" s="233">
        <f t="shared" si="28"/>
        <v>0</v>
      </c>
      <c r="AF58" s="233">
        <f t="shared" si="29"/>
        <v>0</v>
      </c>
      <c r="AG58" s="238">
        <f t="shared" si="30"/>
        <v>0</v>
      </c>
      <c r="AH58" s="238">
        <f t="shared" si="31"/>
        <v>74990</v>
      </c>
      <c r="AI58" s="209">
        <f t="shared" si="32"/>
        <v>2005</v>
      </c>
      <c r="AJ58" s="210">
        <f t="shared" si="33"/>
        <v>10</v>
      </c>
      <c r="AK58" s="272">
        <f t="shared" si="34"/>
        <v>74990</v>
      </c>
    </row>
    <row r="59" spans="1:37" s="41" customFormat="1" ht="30.75" customHeight="1" x14ac:dyDescent="0.2">
      <c r="A59" s="41" t="s">
        <v>2296</v>
      </c>
      <c r="B59" s="69"/>
      <c r="C59" s="65" t="s">
        <v>182</v>
      </c>
      <c r="D59" s="65" t="s">
        <v>183</v>
      </c>
      <c r="E59" s="40"/>
      <c r="F59" s="65" t="s">
        <v>184</v>
      </c>
      <c r="G59" s="40"/>
      <c r="H59" s="65" t="s">
        <v>174</v>
      </c>
      <c r="I59" s="32">
        <v>2005</v>
      </c>
      <c r="J59" s="40"/>
      <c r="K59" s="72"/>
      <c r="L59" s="40"/>
      <c r="M59" s="40"/>
      <c r="N59" s="40"/>
      <c r="O59" s="32" t="s">
        <v>12</v>
      </c>
      <c r="P59" s="251">
        <v>311250</v>
      </c>
      <c r="Q59" s="61" t="s">
        <v>43</v>
      </c>
      <c r="V59" s="41" t="s">
        <v>2615</v>
      </c>
      <c r="W59" s="206" t="str">
        <f t="shared" si="20"/>
        <v>2.06.03</v>
      </c>
      <c r="X59" s="207" t="str">
        <f t="shared" si="21"/>
        <v>KOMPUTER</v>
      </c>
      <c r="Y59" s="207">
        <f t="shared" si="22"/>
        <v>4</v>
      </c>
      <c r="Z59" s="233">
        <f t="shared" si="23"/>
        <v>77810</v>
      </c>
      <c r="AA59" s="208">
        <f t="shared" si="24"/>
        <v>8</v>
      </c>
      <c r="AB59" s="233">
        <f t="shared" si="25"/>
        <v>311240</v>
      </c>
      <c r="AC59" s="233">
        <f t="shared" si="26"/>
        <v>0</v>
      </c>
      <c r="AD59" s="233">
        <f t="shared" si="27"/>
        <v>0</v>
      </c>
      <c r="AE59" s="233">
        <f t="shared" si="28"/>
        <v>0</v>
      </c>
      <c r="AF59" s="233">
        <f t="shared" si="29"/>
        <v>0</v>
      </c>
      <c r="AG59" s="238">
        <f t="shared" si="30"/>
        <v>0</v>
      </c>
      <c r="AH59" s="238">
        <f t="shared" si="31"/>
        <v>311240</v>
      </c>
      <c r="AI59" s="209">
        <f t="shared" si="32"/>
        <v>2005</v>
      </c>
      <c r="AJ59" s="210">
        <f t="shared" si="33"/>
        <v>10</v>
      </c>
      <c r="AK59" s="272">
        <f t="shared" si="34"/>
        <v>311240</v>
      </c>
    </row>
    <row r="60" spans="1:37" s="41" customFormat="1" ht="30.75" customHeight="1" x14ac:dyDescent="0.2">
      <c r="A60" s="41" t="s">
        <v>2297</v>
      </c>
      <c r="B60" s="69"/>
      <c r="C60" s="65" t="s">
        <v>232</v>
      </c>
      <c r="D60" s="65" t="s">
        <v>233</v>
      </c>
      <c r="E60" s="40"/>
      <c r="F60" s="65" t="s">
        <v>199</v>
      </c>
      <c r="G60" s="40"/>
      <c r="H60" s="65" t="s">
        <v>214</v>
      </c>
      <c r="I60" s="32">
        <v>2005</v>
      </c>
      <c r="J60" s="40"/>
      <c r="K60" s="72"/>
      <c r="L60" s="40"/>
      <c r="M60" s="40"/>
      <c r="N60" s="40"/>
      <c r="O60" s="32" t="s">
        <v>12</v>
      </c>
      <c r="P60" s="251">
        <v>140000</v>
      </c>
      <c r="Q60" s="61" t="s">
        <v>43</v>
      </c>
      <c r="V60" s="41" t="s">
        <v>2615</v>
      </c>
      <c r="W60" s="206" t="str">
        <f t="shared" si="20"/>
        <v>2.06.02</v>
      </c>
      <c r="X60" s="207" t="str">
        <f t="shared" si="21"/>
        <v>ALAT RUMAH TANGGA</v>
      </c>
      <c r="Y60" s="207">
        <f t="shared" si="22"/>
        <v>5</v>
      </c>
      <c r="Z60" s="233">
        <f t="shared" si="23"/>
        <v>27998</v>
      </c>
      <c r="AA60" s="208">
        <f t="shared" si="24"/>
        <v>8</v>
      </c>
      <c r="AB60" s="233">
        <f t="shared" si="25"/>
        <v>139990</v>
      </c>
      <c r="AC60" s="233">
        <f t="shared" si="26"/>
        <v>0</v>
      </c>
      <c r="AD60" s="233">
        <f t="shared" si="27"/>
        <v>0</v>
      </c>
      <c r="AE60" s="233">
        <f t="shared" si="28"/>
        <v>0</v>
      </c>
      <c r="AF60" s="233">
        <f t="shared" si="29"/>
        <v>0</v>
      </c>
      <c r="AG60" s="238">
        <f t="shared" si="30"/>
        <v>0</v>
      </c>
      <c r="AH60" s="238">
        <f t="shared" si="31"/>
        <v>139990</v>
      </c>
      <c r="AI60" s="209">
        <f t="shared" si="32"/>
        <v>2005</v>
      </c>
      <c r="AJ60" s="210">
        <f t="shared" si="33"/>
        <v>10</v>
      </c>
      <c r="AK60" s="272">
        <f t="shared" si="34"/>
        <v>139990</v>
      </c>
    </row>
    <row r="61" spans="1:37" s="41" customFormat="1" ht="30.75" customHeight="1" x14ac:dyDescent="0.2">
      <c r="A61" s="41" t="s">
        <v>2296</v>
      </c>
      <c r="B61" s="69"/>
      <c r="C61" s="65" t="s">
        <v>182</v>
      </c>
      <c r="D61" s="65" t="s">
        <v>183</v>
      </c>
      <c r="E61" s="40"/>
      <c r="F61" s="65" t="s">
        <v>195</v>
      </c>
      <c r="G61" s="40"/>
      <c r="H61" s="65" t="s">
        <v>174</v>
      </c>
      <c r="I61" s="32">
        <v>2006</v>
      </c>
      <c r="J61" s="40"/>
      <c r="K61" s="72"/>
      <c r="L61" s="40"/>
      <c r="M61" s="40"/>
      <c r="N61" s="40"/>
      <c r="O61" s="32" t="s">
        <v>12</v>
      </c>
      <c r="P61" s="251">
        <v>360000</v>
      </c>
      <c r="Q61" s="61" t="s">
        <v>43</v>
      </c>
      <c r="V61" s="41" t="s">
        <v>2615</v>
      </c>
      <c r="W61" s="206" t="str">
        <f t="shared" si="20"/>
        <v>2.06.03</v>
      </c>
      <c r="X61" s="207" t="str">
        <f t="shared" si="21"/>
        <v>KOMPUTER</v>
      </c>
      <c r="Y61" s="207">
        <f t="shared" si="22"/>
        <v>4</v>
      </c>
      <c r="Z61" s="233">
        <f t="shared" si="23"/>
        <v>89997.5</v>
      </c>
      <c r="AA61" s="208">
        <f t="shared" si="24"/>
        <v>7</v>
      </c>
      <c r="AB61" s="233">
        <f t="shared" si="25"/>
        <v>359990</v>
      </c>
      <c r="AC61" s="233">
        <f t="shared" si="26"/>
        <v>0</v>
      </c>
      <c r="AD61" s="233">
        <f t="shared" si="27"/>
        <v>0</v>
      </c>
      <c r="AE61" s="233">
        <f t="shared" si="28"/>
        <v>0</v>
      </c>
      <c r="AF61" s="233">
        <f t="shared" si="29"/>
        <v>0</v>
      </c>
      <c r="AG61" s="238">
        <f t="shared" si="30"/>
        <v>0</v>
      </c>
      <c r="AH61" s="238">
        <f t="shared" si="31"/>
        <v>359990</v>
      </c>
      <c r="AI61" s="209">
        <f t="shared" si="32"/>
        <v>2006</v>
      </c>
      <c r="AJ61" s="210">
        <f t="shared" si="33"/>
        <v>10</v>
      </c>
      <c r="AK61" s="272">
        <f t="shared" si="34"/>
        <v>359990</v>
      </c>
    </row>
    <row r="62" spans="1:37" s="41" customFormat="1" ht="30.75" customHeight="1" x14ac:dyDescent="0.2">
      <c r="A62" s="41" t="s">
        <v>2297</v>
      </c>
      <c r="B62" s="69"/>
      <c r="C62" s="65" t="s">
        <v>239</v>
      </c>
      <c r="D62" s="65" t="s">
        <v>240</v>
      </c>
      <c r="E62" s="40"/>
      <c r="F62" s="65" t="s">
        <v>199</v>
      </c>
      <c r="G62" s="40"/>
      <c r="H62" s="65" t="s">
        <v>238</v>
      </c>
      <c r="I62" s="32">
        <v>2006</v>
      </c>
      <c r="J62" s="40"/>
      <c r="K62" s="72"/>
      <c r="L62" s="40"/>
      <c r="M62" s="40"/>
      <c r="N62" s="40"/>
      <c r="O62" s="32" t="s">
        <v>12</v>
      </c>
      <c r="P62" s="251">
        <v>375000</v>
      </c>
      <c r="Q62" s="61" t="s">
        <v>43</v>
      </c>
      <c r="V62" s="41" t="s">
        <v>2615</v>
      </c>
      <c r="W62" s="206" t="str">
        <f t="shared" si="20"/>
        <v>2.06.02</v>
      </c>
      <c r="X62" s="207" t="str">
        <f t="shared" si="21"/>
        <v>ALAT RUMAH TANGGA</v>
      </c>
      <c r="Y62" s="207">
        <f t="shared" si="22"/>
        <v>5</v>
      </c>
      <c r="Z62" s="233">
        <f t="shared" si="23"/>
        <v>74998</v>
      </c>
      <c r="AA62" s="208">
        <f t="shared" si="24"/>
        <v>7</v>
      </c>
      <c r="AB62" s="233">
        <f t="shared" si="25"/>
        <v>374990</v>
      </c>
      <c r="AC62" s="233">
        <f t="shared" si="26"/>
        <v>0</v>
      </c>
      <c r="AD62" s="233">
        <f t="shared" si="27"/>
        <v>0</v>
      </c>
      <c r="AE62" s="233">
        <f t="shared" si="28"/>
        <v>0</v>
      </c>
      <c r="AF62" s="233">
        <f t="shared" si="29"/>
        <v>0</v>
      </c>
      <c r="AG62" s="238">
        <f t="shared" si="30"/>
        <v>0</v>
      </c>
      <c r="AH62" s="238">
        <f t="shared" si="31"/>
        <v>374990</v>
      </c>
      <c r="AI62" s="209">
        <f t="shared" si="32"/>
        <v>2006</v>
      </c>
      <c r="AJ62" s="210">
        <f t="shared" si="33"/>
        <v>10</v>
      </c>
      <c r="AK62" s="272">
        <f t="shared" si="34"/>
        <v>374990</v>
      </c>
    </row>
    <row r="63" spans="1:37" s="41" customFormat="1" ht="30.75" customHeight="1" x14ac:dyDescent="0.2">
      <c r="A63" s="41" t="s">
        <v>2297</v>
      </c>
      <c r="B63" s="69"/>
      <c r="C63" s="65" t="s">
        <v>239</v>
      </c>
      <c r="D63" s="65" t="s">
        <v>240</v>
      </c>
      <c r="E63" s="40"/>
      <c r="F63" s="65" t="s">
        <v>199</v>
      </c>
      <c r="G63" s="40"/>
      <c r="H63" s="65" t="s">
        <v>238</v>
      </c>
      <c r="I63" s="32">
        <v>2006</v>
      </c>
      <c r="J63" s="40"/>
      <c r="K63" s="72"/>
      <c r="L63" s="40"/>
      <c r="M63" s="40"/>
      <c r="N63" s="40"/>
      <c r="O63" s="32" t="s">
        <v>12</v>
      </c>
      <c r="P63" s="251">
        <v>375000</v>
      </c>
      <c r="Q63" s="61" t="s">
        <v>43</v>
      </c>
      <c r="V63" s="41" t="s">
        <v>2615</v>
      </c>
      <c r="W63" s="206" t="str">
        <f t="shared" si="20"/>
        <v>2.06.02</v>
      </c>
      <c r="X63" s="207" t="str">
        <f t="shared" si="21"/>
        <v>ALAT RUMAH TANGGA</v>
      </c>
      <c r="Y63" s="207">
        <f t="shared" si="22"/>
        <v>5</v>
      </c>
      <c r="Z63" s="233">
        <f t="shared" si="23"/>
        <v>74998</v>
      </c>
      <c r="AA63" s="208">
        <f t="shared" si="24"/>
        <v>7</v>
      </c>
      <c r="AB63" s="233">
        <f t="shared" si="25"/>
        <v>374990</v>
      </c>
      <c r="AC63" s="233">
        <f t="shared" si="26"/>
        <v>0</v>
      </c>
      <c r="AD63" s="233">
        <f t="shared" si="27"/>
        <v>0</v>
      </c>
      <c r="AE63" s="233">
        <f t="shared" si="28"/>
        <v>0</v>
      </c>
      <c r="AF63" s="233">
        <f t="shared" si="29"/>
        <v>0</v>
      </c>
      <c r="AG63" s="238">
        <f t="shared" si="30"/>
        <v>0</v>
      </c>
      <c r="AH63" s="238">
        <f t="shared" si="31"/>
        <v>374990</v>
      </c>
      <c r="AI63" s="209">
        <f t="shared" si="32"/>
        <v>2006</v>
      </c>
      <c r="AJ63" s="210">
        <f t="shared" si="33"/>
        <v>10</v>
      </c>
      <c r="AK63" s="272">
        <f t="shared" si="34"/>
        <v>374990</v>
      </c>
    </row>
    <row r="64" spans="1:37" s="41" customFormat="1" ht="30.75" customHeight="1" x14ac:dyDescent="0.2">
      <c r="A64" s="41" t="s">
        <v>2297</v>
      </c>
      <c r="B64" s="69"/>
      <c r="C64" s="65" t="s">
        <v>208</v>
      </c>
      <c r="D64" s="65" t="s">
        <v>209</v>
      </c>
      <c r="E64" s="40"/>
      <c r="F64" s="65" t="s">
        <v>199</v>
      </c>
      <c r="G64" s="40"/>
      <c r="H64" s="65" t="s">
        <v>210</v>
      </c>
      <c r="I64" s="32">
        <v>2006</v>
      </c>
      <c r="J64" s="40"/>
      <c r="K64" s="72"/>
      <c r="L64" s="40"/>
      <c r="M64" s="40"/>
      <c r="N64" s="40"/>
      <c r="O64" s="32" t="s">
        <v>12</v>
      </c>
      <c r="P64" s="251">
        <v>187500</v>
      </c>
      <c r="Q64" s="61" t="s">
        <v>43</v>
      </c>
      <c r="V64" s="41" t="s">
        <v>2615</v>
      </c>
      <c r="W64" s="206" t="str">
        <f t="shared" ref="W64:W69" si="35">A64</f>
        <v>2.06.02</v>
      </c>
      <c r="X64" s="207" t="str">
        <f t="shared" ref="X64:X69" si="36">VLOOKUP(W64,kelompok,2,0)</f>
        <v>ALAT RUMAH TANGGA</v>
      </c>
      <c r="Y64" s="207">
        <f t="shared" ref="Y64:Y69" si="37">VLOOKUP(W64,MASAMANFAAT,4,0)</f>
        <v>5</v>
      </c>
      <c r="Z64" s="233">
        <f t="shared" ref="Z64:Z69" si="38">(P64-10)/Y64</f>
        <v>37498</v>
      </c>
      <c r="AA64" s="208">
        <f t="shared" ref="AA64:AA69" si="39">2013-AI64</f>
        <v>7</v>
      </c>
      <c r="AB64" s="233">
        <f t="shared" ref="AB64:AB69" si="40">IF(AA64&gt;Y64,P64-10,Z64*AA64)</f>
        <v>187490</v>
      </c>
      <c r="AC64" s="233">
        <f t="shared" ref="AC64:AC69" si="41">IF(P64-10=AB64,0,Z64)</f>
        <v>0</v>
      </c>
      <c r="AD64" s="233">
        <f t="shared" ref="AD64:AD69" si="42">IF(P64-10=AB64+AC64,0,Z64)</f>
        <v>0</v>
      </c>
      <c r="AE64" s="233">
        <f t="shared" ref="AE64:AE69" si="43">IF(P64-10=AB64+AC64+AD64,0,Z64)</f>
        <v>0</v>
      </c>
      <c r="AF64" s="233">
        <f t="shared" ref="AF64:AF69" si="44">IF(P64-10=AB64+AC64+AD64+AE64,0,Z64)</f>
        <v>0</v>
      </c>
      <c r="AG64" s="238">
        <f>IF(P64-10=AB64+AC64+AD64+AE64+AF64,0,Z64)</f>
        <v>0</v>
      </c>
      <c r="AH64" s="238">
        <f t="shared" ref="AH64:AH69" si="45">SUM(AB64:AG64)</f>
        <v>187490</v>
      </c>
      <c r="AI64" s="209">
        <f t="shared" ref="AI64:AI69" si="46">I64</f>
        <v>2006</v>
      </c>
      <c r="AJ64" s="210">
        <f t="shared" ref="AJ64:AJ69" si="47">P64-AH64</f>
        <v>10</v>
      </c>
      <c r="AK64" s="272">
        <f t="shared" si="34"/>
        <v>187490</v>
      </c>
    </row>
    <row r="65" spans="1:37" s="41" customFormat="1" ht="30.75" customHeight="1" x14ac:dyDescent="0.2">
      <c r="A65" s="41" t="s">
        <v>2297</v>
      </c>
      <c r="B65" s="69"/>
      <c r="C65" s="65" t="s">
        <v>248</v>
      </c>
      <c r="D65" s="65" t="s">
        <v>249</v>
      </c>
      <c r="E65" s="40"/>
      <c r="F65" s="65" t="s">
        <v>250</v>
      </c>
      <c r="G65" s="40"/>
      <c r="H65" s="65" t="s">
        <v>251</v>
      </c>
      <c r="I65" s="32">
        <v>2006</v>
      </c>
      <c r="J65" s="40"/>
      <c r="K65" s="72"/>
      <c r="L65" s="40"/>
      <c r="M65" s="40"/>
      <c r="N65" s="40"/>
      <c r="O65" s="32" t="s">
        <v>12</v>
      </c>
      <c r="P65" s="251">
        <v>113750</v>
      </c>
      <c r="Q65" s="61"/>
      <c r="V65" s="41" t="s">
        <v>2615</v>
      </c>
      <c r="W65" s="206" t="str">
        <f t="shared" si="35"/>
        <v>2.06.02</v>
      </c>
      <c r="X65" s="207" t="str">
        <f t="shared" si="36"/>
        <v>ALAT RUMAH TANGGA</v>
      </c>
      <c r="Y65" s="207">
        <f t="shared" si="37"/>
        <v>5</v>
      </c>
      <c r="Z65" s="233">
        <f t="shared" si="38"/>
        <v>22748</v>
      </c>
      <c r="AA65" s="208">
        <f t="shared" si="39"/>
        <v>7</v>
      </c>
      <c r="AB65" s="233">
        <f t="shared" si="40"/>
        <v>113740</v>
      </c>
      <c r="AC65" s="233">
        <f t="shared" si="41"/>
        <v>0</v>
      </c>
      <c r="AD65" s="233">
        <f t="shared" si="42"/>
        <v>0</v>
      </c>
      <c r="AE65" s="233">
        <f t="shared" si="43"/>
        <v>0</v>
      </c>
      <c r="AF65" s="233">
        <f t="shared" si="44"/>
        <v>0</v>
      </c>
      <c r="AG65" s="238">
        <f>IF(P65-10=AB65+AC65+AD65+AE65+AF65,0,Z65)</f>
        <v>0</v>
      </c>
      <c r="AH65" s="238">
        <f t="shared" si="45"/>
        <v>113740</v>
      </c>
      <c r="AI65" s="209">
        <f t="shared" si="46"/>
        <v>2006</v>
      </c>
      <c r="AJ65" s="210">
        <f t="shared" si="47"/>
        <v>10</v>
      </c>
      <c r="AK65" s="272">
        <f t="shared" si="34"/>
        <v>113740</v>
      </c>
    </row>
    <row r="66" spans="1:37" s="41" customFormat="1" ht="30.75" customHeight="1" x14ac:dyDescent="0.2">
      <c r="A66" s="41" t="s">
        <v>2297</v>
      </c>
      <c r="B66" s="69"/>
      <c r="C66" s="70" t="s">
        <v>52</v>
      </c>
      <c r="D66" s="70" t="s">
        <v>949</v>
      </c>
      <c r="E66" s="40" t="s">
        <v>260</v>
      </c>
      <c r="F66" s="72" t="s">
        <v>52</v>
      </c>
      <c r="G66" s="40"/>
      <c r="H66" s="65" t="s">
        <v>218</v>
      </c>
      <c r="I66" s="32">
        <v>2012</v>
      </c>
      <c r="J66" s="40"/>
      <c r="K66" s="72"/>
      <c r="L66" s="40"/>
      <c r="M66" s="40"/>
      <c r="N66" s="40"/>
      <c r="O66" s="32" t="s">
        <v>12</v>
      </c>
      <c r="P66" s="280">
        <v>14000000</v>
      </c>
      <c r="Q66" s="61" t="s">
        <v>43</v>
      </c>
      <c r="U66" s="269">
        <f>P66/60</f>
        <v>233333.33333333334</v>
      </c>
      <c r="V66" s="41" t="s">
        <v>2615</v>
      </c>
      <c r="W66" s="206" t="str">
        <f t="shared" si="35"/>
        <v>2.06.02</v>
      </c>
      <c r="X66" s="207" t="str">
        <f t="shared" si="36"/>
        <v>ALAT RUMAH TANGGA</v>
      </c>
      <c r="Y66" s="207">
        <f t="shared" si="37"/>
        <v>5</v>
      </c>
      <c r="Z66" s="233">
        <f t="shared" si="38"/>
        <v>2799998</v>
      </c>
      <c r="AA66" s="208">
        <f t="shared" si="39"/>
        <v>1</v>
      </c>
      <c r="AB66" s="233">
        <f t="shared" si="40"/>
        <v>2799998</v>
      </c>
      <c r="AC66" s="233">
        <f t="shared" si="41"/>
        <v>2799998</v>
      </c>
      <c r="AD66" s="233">
        <f t="shared" si="42"/>
        <v>2799998</v>
      </c>
      <c r="AE66" s="233">
        <f t="shared" si="43"/>
        <v>2799998</v>
      </c>
      <c r="AF66" s="233">
        <f t="shared" si="44"/>
        <v>2799998</v>
      </c>
      <c r="AG66" s="238">
        <f>IF(P66-10=AB66+AC66+AD66+AE66+AF66,0,Z66)</f>
        <v>0</v>
      </c>
      <c r="AH66" s="238">
        <f t="shared" si="45"/>
        <v>13999990</v>
      </c>
      <c r="AI66" s="209">
        <f t="shared" si="46"/>
        <v>2012</v>
      </c>
      <c r="AJ66" s="210">
        <f t="shared" si="47"/>
        <v>10</v>
      </c>
      <c r="AK66" s="272">
        <f t="shared" si="34"/>
        <v>13999990</v>
      </c>
    </row>
    <row r="67" spans="1:37" s="41" customFormat="1" ht="30.75" customHeight="1" x14ac:dyDescent="0.2">
      <c r="A67" s="41" t="s">
        <v>2297</v>
      </c>
      <c r="B67" s="69"/>
      <c r="C67" s="70" t="s">
        <v>52</v>
      </c>
      <c r="D67" s="70" t="s">
        <v>941</v>
      </c>
      <c r="E67" s="40" t="s">
        <v>260</v>
      </c>
      <c r="F67" s="72" t="s">
        <v>52</v>
      </c>
      <c r="G67" s="40"/>
      <c r="H67" s="65" t="s">
        <v>1010</v>
      </c>
      <c r="I67" s="32">
        <v>2012</v>
      </c>
      <c r="J67" s="40"/>
      <c r="K67" s="72"/>
      <c r="L67" s="40"/>
      <c r="M67" s="40"/>
      <c r="N67" s="40"/>
      <c r="O67" s="70"/>
      <c r="P67" s="280">
        <v>16500000</v>
      </c>
      <c r="Q67" s="61" t="s">
        <v>43</v>
      </c>
      <c r="U67" s="269">
        <f>P67/60</f>
        <v>275000</v>
      </c>
      <c r="V67" s="41" t="s">
        <v>2615</v>
      </c>
      <c r="W67" s="206" t="str">
        <f t="shared" si="35"/>
        <v>2.06.02</v>
      </c>
      <c r="X67" s="207" t="str">
        <f t="shared" si="36"/>
        <v>ALAT RUMAH TANGGA</v>
      </c>
      <c r="Y67" s="207">
        <f t="shared" si="37"/>
        <v>5</v>
      </c>
      <c r="Z67" s="233">
        <f t="shared" si="38"/>
        <v>3299998</v>
      </c>
      <c r="AA67" s="208">
        <f t="shared" si="39"/>
        <v>1</v>
      </c>
      <c r="AB67" s="233">
        <f t="shared" si="40"/>
        <v>3299998</v>
      </c>
      <c r="AC67" s="233">
        <f t="shared" si="41"/>
        <v>3299998</v>
      </c>
      <c r="AD67" s="233">
        <f t="shared" si="42"/>
        <v>3299998</v>
      </c>
      <c r="AE67" s="233">
        <f t="shared" si="43"/>
        <v>3299998</v>
      </c>
      <c r="AF67" s="233">
        <f t="shared" si="44"/>
        <v>3299998</v>
      </c>
      <c r="AG67" s="238">
        <f>IF(P67-10=AB67+AC67+AD67+AE67+AF67,0,Z67)</f>
        <v>0</v>
      </c>
      <c r="AH67" s="238">
        <f t="shared" si="45"/>
        <v>16499990</v>
      </c>
      <c r="AI67" s="209">
        <f t="shared" si="46"/>
        <v>2012</v>
      </c>
      <c r="AJ67" s="210">
        <f t="shared" si="47"/>
        <v>10</v>
      </c>
      <c r="AK67" s="272">
        <f t="shared" si="34"/>
        <v>16499990</v>
      </c>
    </row>
    <row r="68" spans="1:37" s="48" customFormat="1" ht="30.75" customHeight="1" x14ac:dyDescent="0.2">
      <c r="A68" s="48" t="s">
        <v>2297</v>
      </c>
      <c r="B68" s="73"/>
      <c r="C68" s="40" t="s">
        <v>2328</v>
      </c>
      <c r="D68" s="67" t="s">
        <v>1714</v>
      </c>
      <c r="E68" s="83" t="s">
        <v>283</v>
      </c>
      <c r="F68" s="72"/>
      <c r="G68" s="40"/>
      <c r="H68" s="65"/>
      <c r="I68" s="33">
        <v>2009</v>
      </c>
      <c r="J68" s="40"/>
      <c r="K68" s="72"/>
      <c r="L68" s="40"/>
      <c r="M68" s="40"/>
      <c r="N68" s="40"/>
      <c r="O68" s="33" t="s">
        <v>12</v>
      </c>
      <c r="P68" s="280">
        <v>546394</v>
      </c>
      <c r="Q68" s="61"/>
      <c r="U68" s="269">
        <f>P68/2</f>
        <v>273197</v>
      </c>
      <c r="V68" s="41" t="s">
        <v>2615</v>
      </c>
      <c r="W68" s="206" t="str">
        <f t="shared" si="35"/>
        <v>2.06.02</v>
      </c>
      <c r="X68" s="207" t="str">
        <f t="shared" si="36"/>
        <v>ALAT RUMAH TANGGA</v>
      </c>
      <c r="Y68" s="207">
        <f t="shared" si="37"/>
        <v>5</v>
      </c>
      <c r="Z68" s="233">
        <f t="shared" si="38"/>
        <v>109276.8</v>
      </c>
      <c r="AA68" s="208">
        <f t="shared" si="39"/>
        <v>4</v>
      </c>
      <c r="AB68" s="233">
        <f t="shared" si="40"/>
        <v>437107.20000000001</v>
      </c>
      <c r="AC68" s="233">
        <f t="shared" si="41"/>
        <v>109276.8</v>
      </c>
      <c r="AD68" s="233">
        <f t="shared" si="42"/>
        <v>0</v>
      </c>
      <c r="AE68" s="233">
        <f t="shared" si="43"/>
        <v>0</v>
      </c>
      <c r="AF68" s="233">
        <f t="shared" si="44"/>
        <v>0</v>
      </c>
      <c r="AG68" s="238">
        <f>IF(P68-10=AB68+AC68+AD68+AE68+AF68,0,Z68)</f>
        <v>0</v>
      </c>
      <c r="AH68" s="238">
        <f t="shared" si="45"/>
        <v>546384</v>
      </c>
      <c r="AI68" s="209">
        <f t="shared" si="46"/>
        <v>2009</v>
      </c>
      <c r="AJ68" s="210">
        <f t="shared" si="47"/>
        <v>10</v>
      </c>
      <c r="AK68" s="272">
        <f t="shared" si="34"/>
        <v>546384</v>
      </c>
    </row>
    <row r="69" spans="1:37" s="41" customFormat="1" ht="30.75" customHeight="1" x14ac:dyDescent="0.2">
      <c r="A69" s="48" t="s">
        <v>2297</v>
      </c>
      <c r="B69" s="69"/>
      <c r="C69" s="70" t="s">
        <v>2328</v>
      </c>
      <c r="D69" s="70" t="s">
        <v>1744</v>
      </c>
      <c r="E69" s="70" t="s">
        <v>1745</v>
      </c>
      <c r="F69" s="70"/>
      <c r="G69" s="70"/>
      <c r="H69" s="70"/>
      <c r="I69" s="70">
        <v>2013</v>
      </c>
      <c r="J69" s="70"/>
      <c r="K69" s="70"/>
      <c r="L69" s="70"/>
      <c r="M69" s="70"/>
      <c r="N69" s="70"/>
      <c r="O69" s="70" t="s">
        <v>12</v>
      </c>
      <c r="P69" s="278">
        <v>3500000</v>
      </c>
      <c r="Q69" s="74"/>
      <c r="U69" s="269">
        <f>P69/7</f>
        <v>500000</v>
      </c>
      <c r="V69" s="41" t="s">
        <v>2615</v>
      </c>
      <c r="W69" s="206" t="str">
        <f t="shared" si="35"/>
        <v>2.06.02</v>
      </c>
      <c r="X69" s="207" t="str">
        <f t="shared" si="36"/>
        <v>ALAT RUMAH TANGGA</v>
      </c>
      <c r="Y69" s="207">
        <f t="shared" si="37"/>
        <v>5</v>
      </c>
      <c r="Z69" s="233">
        <f t="shared" si="38"/>
        <v>699998</v>
      </c>
      <c r="AA69" s="208">
        <f t="shared" si="39"/>
        <v>0</v>
      </c>
      <c r="AB69" s="233">
        <f t="shared" si="40"/>
        <v>0</v>
      </c>
      <c r="AC69" s="233">
        <f t="shared" si="41"/>
        <v>699998</v>
      </c>
      <c r="AD69" s="233">
        <f t="shared" si="42"/>
        <v>699998</v>
      </c>
      <c r="AE69" s="233">
        <f t="shared" si="43"/>
        <v>699998</v>
      </c>
      <c r="AF69" s="233">
        <f t="shared" si="44"/>
        <v>699998</v>
      </c>
      <c r="AG69" s="241">
        <v>0</v>
      </c>
      <c r="AH69" s="238">
        <f t="shared" si="45"/>
        <v>2799992</v>
      </c>
      <c r="AI69" s="209">
        <f t="shared" si="46"/>
        <v>2013</v>
      </c>
      <c r="AJ69" s="210">
        <f t="shared" si="47"/>
        <v>700008</v>
      </c>
      <c r="AK69" s="272">
        <f t="shared" si="34"/>
        <v>2799992</v>
      </c>
    </row>
    <row r="70" spans="1:37" s="41" customFormat="1" ht="30.75" customHeight="1" x14ac:dyDescent="0.2">
      <c r="B70" s="69"/>
      <c r="C70" s="70"/>
      <c r="D70" s="70"/>
      <c r="E70" s="70"/>
      <c r="F70" s="70"/>
      <c r="G70" s="70"/>
      <c r="H70" s="70"/>
      <c r="I70" s="70"/>
      <c r="J70" s="70"/>
      <c r="K70" s="70"/>
      <c r="L70" s="70"/>
      <c r="M70" s="70"/>
      <c r="N70" s="70"/>
      <c r="O70" s="70"/>
      <c r="P70" s="278"/>
      <c r="Q70" s="74"/>
      <c r="X70" s="42"/>
      <c r="Z70" s="234"/>
      <c r="AB70" s="234"/>
      <c r="AC70" s="234"/>
      <c r="AD70" s="234"/>
      <c r="AE70" s="234"/>
      <c r="AF70" s="234"/>
      <c r="AG70" s="234"/>
      <c r="AH70" s="234"/>
    </row>
    <row r="71" spans="1:37" s="45" customFormat="1" ht="30.75" customHeight="1" x14ac:dyDescent="0.2">
      <c r="B71" s="58" t="s">
        <v>303</v>
      </c>
      <c r="C71" s="59" t="s">
        <v>922</v>
      </c>
      <c r="D71" s="75" t="s">
        <v>52</v>
      </c>
      <c r="E71" s="75"/>
      <c r="F71" s="75" t="s">
        <v>52</v>
      </c>
      <c r="G71" s="75"/>
      <c r="H71" s="75" t="s">
        <v>52</v>
      </c>
      <c r="I71" s="75"/>
      <c r="J71" s="75"/>
      <c r="K71" s="75"/>
      <c r="L71" s="75"/>
      <c r="M71" s="75"/>
      <c r="N71" s="75"/>
      <c r="O71" s="75"/>
      <c r="P71" s="279">
        <f>SUM(P72:P76)</f>
        <v>1255000</v>
      </c>
      <c r="Q71" s="76"/>
      <c r="X71" s="42" t="str">
        <f t="shared" ref="X71:X86" si="48">IF(P71&lt;300000,P71,"0")</f>
        <v>0</v>
      </c>
      <c r="Z71" s="235"/>
      <c r="AB71" s="235">
        <f t="shared" ref="AB71:AJ71" si="49">SUM(AB72:AB76)</f>
        <v>1254950</v>
      </c>
      <c r="AC71" s="235">
        <f t="shared" si="49"/>
        <v>0</v>
      </c>
      <c r="AD71" s="235">
        <f t="shared" si="49"/>
        <v>0</v>
      </c>
      <c r="AE71" s="235">
        <f t="shared" si="49"/>
        <v>0</v>
      </c>
      <c r="AF71" s="235">
        <f t="shared" si="49"/>
        <v>0</v>
      </c>
      <c r="AG71" s="235">
        <f t="shared" si="49"/>
        <v>0</v>
      </c>
      <c r="AH71" s="235">
        <f t="shared" si="49"/>
        <v>1254950</v>
      </c>
      <c r="AI71" s="235">
        <f t="shared" si="49"/>
        <v>0</v>
      </c>
      <c r="AJ71" s="235">
        <f t="shared" si="49"/>
        <v>50</v>
      </c>
    </row>
    <row r="72" spans="1:37" s="41" customFormat="1" ht="30.75" customHeight="1" x14ac:dyDescent="0.2">
      <c r="A72" t="s">
        <v>2298</v>
      </c>
      <c r="B72" s="69"/>
      <c r="C72" s="65" t="s">
        <v>304</v>
      </c>
      <c r="D72" s="65" t="s">
        <v>305</v>
      </c>
      <c r="E72" s="70"/>
      <c r="F72" s="65" t="s">
        <v>306</v>
      </c>
      <c r="G72" s="40"/>
      <c r="H72" s="65" t="s">
        <v>174</v>
      </c>
      <c r="I72" s="32" t="s">
        <v>307</v>
      </c>
      <c r="J72" s="40"/>
      <c r="K72" s="72"/>
      <c r="L72" s="40"/>
      <c r="M72" s="40"/>
      <c r="N72" s="40"/>
      <c r="O72" s="32" t="s">
        <v>12</v>
      </c>
      <c r="P72" s="252">
        <v>227500</v>
      </c>
      <c r="Q72" s="61" t="s">
        <v>135</v>
      </c>
      <c r="V72" s="41" t="s">
        <v>2615</v>
      </c>
      <c r="W72" s="206" t="str">
        <f>A72</f>
        <v>2.07.01</v>
      </c>
      <c r="X72" s="207" t="str">
        <f>VLOOKUP(W72,kelompok,2,0)</f>
        <v>ALAT STUDIO</v>
      </c>
      <c r="Y72" s="207">
        <f>VLOOKUP(W72,MASAMANFAAT,4,0)</f>
        <v>5</v>
      </c>
      <c r="Z72" s="233">
        <f>(P72-10)/Y72</f>
        <v>45498</v>
      </c>
      <c r="AA72" s="208">
        <f>2013-AI72</f>
        <v>12</v>
      </c>
      <c r="AB72" s="233">
        <f>IF(AA72&gt;Y72,P72-10,Z72*AA72)</f>
        <v>227490</v>
      </c>
      <c r="AC72" s="233">
        <f>IF(P72-10=AB72,0,Z72)</f>
        <v>0</v>
      </c>
      <c r="AD72" s="233">
        <f>IF(P72-10=AB72+AC72,0,Z72)</f>
        <v>0</v>
      </c>
      <c r="AE72" s="233">
        <f>IF(P72-10=AB72+AC72+AD72,0,Z72)</f>
        <v>0</v>
      </c>
      <c r="AF72" s="233">
        <f>IF(P72-10=AB72+AC72+AD72+AE72,0,Z72)</f>
        <v>0</v>
      </c>
      <c r="AG72" s="238">
        <f>IF(P72-10=AB72+AC72+AD72+AE72+AF72,0,Z72)</f>
        <v>0</v>
      </c>
      <c r="AH72" s="238">
        <f>SUM(AB72:AG72)</f>
        <v>227490</v>
      </c>
      <c r="AI72" s="209" t="str">
        <f>I72</f>
        <v>2001</v>
      </c>
      <c r="AJ72" s="210">
        <f>P72-AH72</f>
        <v>10</v>
      </c>
    </row>
    <row r="73" spans="1:37" s="41" customFormat="1" ht="30.75" customHeight="1" x14ac:dyDescent="0.2">
      <c r="A73" t="s">
        <v>2298</v>
      </c>
      <c r="B73" s="69"/>
      <c r="C73" s="65" t="s">
        <v>308</v>
      </c>
      <c r="D73" s="65" t="s">
        <v>309</v>
      </c>
      <c r="E73" s="70"/>
      <c r="F73" s="65" t="s">
        <v>306</v>
      </c>
      <c r="G73" s="40"/>
      <c r="H73" s="65" t="s">
        <v>174</v>
      </c>
      <c r="I73" s="32" t="s">
        <v>84</v>
      </c>
      <c r="J73" s="40"/>
      <c r="K73" s="72"/>
      <c r="L73" s="40"/>
      <c r="M73" s="40"/>
      <c r="N73" s="40"/>
      <c r="O73" s="32" t="s">
        <v>12</v>
      </c>
      <c r="P73" s="252">
        <v>150000</v>
      </c>
      <c r="Q73" s="61" t="s">
        <v>43</v>
      </c>
      <c r="V73" s="41" t="s">
        <v>2615</v>
      </c>
      <c r="W73" s="206" t="str">
        <f>A73</f>
        <v>2.07.01</v>
      </c>
      <c r="X73" s="207" t="str">
        <f>VLOOKUP(W73,kelompok,2,0)</f>
        <v>ALAT STUDIO</v>
      </c>
      <c r="Y73" s="207">
        <f>VLOOKUP(W73,MASAMANFAAT,4,0)</f>
        <v>5</v>
      </c>
      <c r="Z73" s="233">
        <f>(P73-10)/Y73</f>
        <v>29998</v>
      </c>
      <c r="AA73" s="208">
        <f>2013-AI73</f>
        <v>10</v>
      </c>
      <c r="AB73" s="233">
        <f>IF(AA73&gt;Y73,P73-10,Z73*AA73)</f>
        <v>149990</v>
      </c>
      <c r="AC73" s="233">
        <f>IF(P73-10=AB73,0,Z73)</f>
        <v>0</v>
      </c>
      <c r="AD73" s="233">
        <f>IF(P73-10=AB73+AC73,0,Z73)</f>
        <v>0</v>
      </c>
      <c r="AE73" s="233">
        <f>IF(P73-10=AB73+AC73+AD73,0,Z73)</f>
        <v>0</v>
      </c>
      <c r="AF73" s="233">
        <f>IF(P73-10=AB73+AC73+AD73+AE73,0,Z73)</f>
        <v>0</v>
      </c>
      <c r="AG73" s="238">
        <f>IF(P73-10=AB73+AC73+AD73+AE73+AF73,0,Z73)</f>
        <v>0</v>
      </c>
      <c r="AH73" s="238">
        <f>SUM(AB73:AG73)</f>
        <v>149990</v>
      </c>
      <c r="AI73" s="209" t="str">
        <f>I73</f>
        <v>2003</v>
      </c>
      <c r="AJ73" s="210">
        <f>P73-AH73</f>
        <v>10</v>
      </c>
    </row>
    <row r="74" spans="1:37" s="41" customFormat="1" ht="30.75" customHeight="1" x14ac:dyDescent="0.2">
      <c r="A74" t="s">
        <v>2298</v>
      </c>
      <c r="B74" s="69"/>
      <c r="C74" s="65" t="s">
        <v>304</v>
      </c>
      <c r="D74" s="65" t="s">
        <v>310</v>
      </c>
      <c r="E74" s="70"/>
      <c r="F74" s="65" t="s">
        <v>311</v>
      </c>
      <c r="G74" s="40"/>
      <c r="H74" s="65" t="s">
        <v>174</v>
      </c>
      <c r="I74" s="32" t="s">
        <v>92</v>
      </c>
      <c r="J74" s="40"/>
      <c r="K74" s="72"/>
      <c r="L74" s="40"/>
      <c r="M74" s="40"/>
      <c r="N74" s="40"/>
      <c r="O74" s="32" t="s">
        <v>12</v>
      </c>
      <c r="P74" s="252">
        <v>260000</v>
      </c>
      <c r="Q74" s="61" t="s">
        <v>135</v>
      </c>
      <c r="V74" s="41" t="s">
        <v>2615</v>
      </c>
      <c r="W74" s="206" t="str">
        <f>A74</f>
        <v>2.07.01</v>
      </c>
      <c r="X74" s="207" t="str">
        <f>VLOOKUP(W74,kelompok,2,0)</f>
        <v>ALAT STUDIO</v>
      </c>
      <c r="Y74" s="207">
        <f>VLOOKUP(W74,MASAMANFAAT,4,0)</f>
        <v>5</v>
      </c>
      <c r="Z74" s="233">
        <f>(P74-10)/Y74</f>
        <v>51998</v>
      </c>
      <c r="AA74" s="208">
        <f>2013-AI74</f>
        <v>8</v>
      </c>
      <c r="AB74" s="233">
        <f>IF(AA74&gt;Y74,P74-10,Z74*AA74)</f>
        <v>259990</v>
      </c>
      <c r="AC74" s="233">
        <f>IF(P74-10=AB74,0,Z74)</f>
        <v>0</v>
      </c>
      <c r="AD74" s="233">
        <f>IF(P74-10=AB74+AC74,0,Z74)</f>
        <v>0</v>
      </c>
      <c r="AE74" s="233">
        <f>IF(P74-10=AB74+AC74+AD74,0,Z74)</f>
        <v>0</v>
      </c>
      <c r="AF74" s="233">
        <f>IF(P74-10=AB74+AC74+AD74+AE74,0,Z74)</f>
        <v>0</v>
      </c>
      <c r="AG74" s="238">
        <f>IF(P74-10=AB74+AC74+AD74+AE74+AF74,0,Z74)</f>
        <v>0</v>
      </c>
      <c r="AH74" s="238">
        <f>SUM(AB74:AG74)</f>
        <v>259990</v>
      </c>
      <c r="AI74" s="209" t="str">
        <f>I74</f>
        <v>2005</v>
      </c>
      <c r="AJ74" s="210">
        <f>P74-AH74</f>
        <v>10</v>
      </c>
    </row>
    <row r="75" spans="1:37" s="41" customFormat="1" ht="30.75" customHeight="1" x14ac:dyDescent="0.2">
      <c r="A75" t="s">
        <v>2298</v>
      </c>
      <c r="B75" s="69"/>
      <c r="C75" s="65" t="s">
        <v>308</v>
      </c>
      <c r="D75" s="65" t="s">
        <v>309</v>
      </c>
      <c r="E75" s="70"/>
      <c r="F75" s="65" t="s">
        <v>311</v>
      </c>
      <c r="G75" s="40"/>
      <c r="H75" s="65" t="s">
        <v>174</v>
      </c>
      <c r="I75" s="32" t="s">
        <v>92</v>
      </c>
      <c r="J75" s="40"/>
      <c r="K75" s="72"/>
      <c r="L75" s="40"/>
      <c r="M75" s="40"/>
      <c r="N75" s="40"/>
      <c r="O75" s="32" t="s">
        <v>12</v>
      </c>
      <c r="P75" s="252">
        <v>422500</v>
      </c>
      <c r="Q75" s="61" t="s">
        <v>135</v>
      </c>
      <c r="V75" s="41" t="s">
        <v>2615</v>
      </c>
      <c r="W75" s="206" t="str">
        <f>A75</f>
        <v>2.07.01</v>
      </c>
      <c r="X75" s="207" t="str">
        <f>VLOOKUP(W75,kelompok,2,0)</f>
        <v>ALAT STUDIO</v>
      </c>
      <c r="Y75" s="207">
        <f>VLOOKUP(W75,MASAMANFAAT,4,0)</f>
        <v>5</v>
      </c>
      <c r="Z75" s="233">
        <f>(P75-10)/Y75</f>
        <v>84498</v>
      </c>
      <c r="AA75" s="208">
        <f>2013-AI75</f>
        <v>8</v>
      </c>
      <c r="AB75" s="233">
        <f>IF(AA75&gt;Y75,P75-10,Z75*AA75)</f>
        <v>422490</v>
      </c>
      <c r="AC75" s="233">
        <f>IF(P75-10=AB75,0,Z75)</f>
        <v>0</v>
      </c>
      <c r="AD75" s="233">
        <f>IF(P75-10=AB75+AC75,0,Z75)</f>
        <v>0</v>
      </c>
      <c r="AE75" s="233">
        <f>IF(P75-10=AB75+AC75+AD75,0,Z75)</f>
        <v>0</v>
      </c>
      <c r="AF75" s="233">
        <f>IF(P75-10=AB75+AC75+AD75+AE75,0,Z75)</f>
        <v>0</v>
      </c>
      <c r="AG75" s="238">
        <f>IF(P75-10=AB75+AC75+AD75+AE75+AF75,0,Z75)</f>
        <v>0</v>
      </c>
      <c r="AH75" s="238">
        <f>SUM(AB75:AG75)</f>
        <v>422490</v>
      </c>
      <c r="AI75" s="209" t="str">
        <f>I75</f>
        <v>2005</v>
      </c>
      <c r="AJ75" s="210">
        <f>P75-AH75</f>
        <v>10</v>
      </c>
    </row>
    <row r="76" spans="1:37" s="41" customFormat="1" ht="30.75" customHeight="1" x14ac:dyDescent="0.2">
      <c r="A76" t="s">
        <v>2298</v>
      </c>
      <c r="B76" s="69"/>
      <c r="C76" s="65" t="s">
        <v>308</v>
      </c>
      <c r="D76" s="65" t="s">
        <v>309</v>
      </c>
      <c r="E76" s="70"/>
      <c r="F76" s="65" t="s">
        <v>306</v>
      </c>
      <c r="G76" s="40"/>
      <c r="H76" s="65" t="s">
        <v>174</v>
      </c>
      <c r="I76" s="32" t="s">
        <v>92</v>
      </c>
      <c r="J76" s="40"/>
      <c r="K76" s="72"/>
      <c r="L76" s="40"/>
      <c r="M76" s="40"/>
      <c r="N76" s="40"/>
      <c r="O76" s="32" t="s">
        <v>12</v>
      </c>
      <c r="P76" s="252">
        <v>195000</v>
      </c>
      <c r="Q76" s="61" t="s">
        <v>135</v>
      </c>
      <c r="V76" s="41" t="s">
        <v>2615</v>
      </c>
      <c r="W76" s="206" t="str">
        <f>A76</f>
        <v>2.07.01</v>
      </c>
      <c r="X76" s="207" t="str">
        <f>VLOOKUP(W76,kelompok,2,0)</f>
        <v>ALAT STUDIO</v>
      </c>
      <c r="Y76" s="207">
        <f>VLOOKUP(W76,MASAMANFAAT,4,0)</f>
        <v>5</v>
      </c>
      <c r="Z76" s="233">
        <f>(P76-10)/Y76</f>
        <v>38998</v>
      </c>
      <c r="AA76" s="208">
        <f>2013-AI76</f>
        <v>8</v>
      </c>
      <c r="AB76" s="233">
        <f>IF(AA76&gt;Y76,P76-10,Z76*AA76)</f>
        <v>194990</v>
      </c>
      <c r="AC76" s="233">
        <f>IF(P76-10=AB76,0,Z76)</f>
        <v>0</v>
      </c>
      <c r="AD76" s="233">
        <f>IF(P76-10=AB76+AC76,0,Z76)</f>
        <v>0</v>
      </c>
      <c r="AE76" s="233">
        <f>IF(P76-10=AB76+AC76+AD76,0,Z76)</f>
        <v>0</v>
      </c>
      <c r="AF76" s="233">
        <f>IF(P76-10=AB76+AC76+AD76+AE76,0,Z76)</f>
        <v>0</v>
      </c>
      <c r="AG76" s="238">
        <f>IF(P76-10=AB76+AC76+AD76+AE76+AF76,0,Z76)</f>
        <v>0</v>
      </c>
      <c r="AH76" s="238">
        <f>SUM(AB76:AG76)</f>
        <v>194990</v>
      </c>
      <c r="AI76" s="209" t="str">
        <f>I76</f>
        <v>2005</v>
      </c>
      <c r="AJ76" s="210">
        <f>P76-AH76</f>
        <v>10</v>
      </c>
    </row>
    <row r="77" spans="1:37" s="41" customFormat="1" ht="30.75" customHeight="1" x14ac:dyDescent="0.2">
      <c r="B77" s="69"/>
      <c r="C77" s="65" t="s">
        <v>52</v>
      </c>
      <c r="D77" s="65" t="s">
        <v>52</v>
      </c>
      <c r="E77" s="84"/>
      <c r="F77" s="65" t="s">
        <v>52</v>
      </c>
      <c r="G77" s="40"/>
      <c r="H77" s="65" t="s">
        <v>52</v>
      </c>
      <c r="I77" s="32"/>
      <c r="J77" s="40"/>
      <c r="K77" s="72"/>
      <c r="L77" s="40"/>
      <c r="M77" s="40"/>
      <c r="N77" s="40"/>
      <c r="O77" s="32"/>
      <c r="P77" s="252"/>
      <c r="Q77" s="61"/>
      <c r="X77" s="42"/>
      <c r="Z77" s="234"/>
      <c r="AB77" s="234"/>
      <c r="AC77" s="234"/>
      <c r="AD77" s="234"/>
      <c r="AE77" s="234"/>
      <c r="AF77" s="234"/>
      <c r="AG77" s="234"/>
      <c r="AH77" s="234"/>
    </row>
    <row r="78" spans="1:37" s="45" customFormat="1" ht="30.75" customHeight="1" x14ac:dyDescent="0.2">
      <c r="B78" s="58" t="s">
        <v>319</v>
      </c>
      <c r="C78" s="59" t="s">
        <v>923</v>
      </c>
      <c r="D78" s="75" t="s">
        <v>52</v>
      </c>
      <c r="E78" s="75"/>
      <c r="F78" s="75" t="s">
        <v>52</v>
      </c>
      <c r="G78" s="75"/>
      <c r="H78" s="75" t="s">
        <v>52</v>
      </c>
      <c r="I78" s="75"/>
      <c r="J78" s="75"/>
      <c r="K78" s="75"/>
      <c r="L78" s="75"/>
      <c r="M78" s="75"/>
      <c r="N78" s="75"/>
      <c r="O78" s="75"/>
      <c r="P78" s="279">
        <f>P79</f>
        <v>0</v>
      </c>
      <c r="Q78" s="76"/>
      <c r="X78" s="42">
        <f t="shared" si="48"/>
        <v>0</v>
      </c>
      <c r="Z78" s="235"/>
      <c r="AB78" s="235">
        <f>AB79</f>
        <v>0</v>
      </c>
      <c r="AC78" s="235">
        <f t="shared" ref="AC78:AJ78" si="50">AC79</f>
        <v>0</v>
      </c>
      <c r="AD78" s="235">
        <f t="shared" si="50"/>
        <v>0</v>
      </c>
      <c r="AE78" s="235">
        <f t="shared" si="50"/>
        <v>0</v>
      </c>
      <c r="AF78" s="235">
        <f t="shared" si="50"/>
        <v>0</v>
      </c>
      <c r="AG78" s="235">
        <f t="shared" si="50"/>
        <v>0</v>
      </c>
      <c r="AH78" s="235">
        <f t="shared" si="50"/>
        <v>0</v>
      </c>
      <c r="AI78" s="235">
        <f t="shared" si="50"/>
        <v>0</v>
      </c>
      <c r="AJ78" s="235">
        <f t="shared" si="50"/>
        <v>0</v>
      </c>
    </row>
    <row r="79" spans="1:37" s="41" customFormat="1" ht="30.75" customHeight="1" x14ac:dyDescent="0.2">
      <c r="B79" s="69"/>
      <c r="C79" s="72" t="s">
        <v>52</v>
      </c>
      <c r="D79" s="65" t="s">
        <v>52</v>
      </c>
      <c r="E79" s="85"/>
      <c r="F79" s="65" t="s">
        <v>52</v>
      </c>
      <c r="G79" s="40"/>
      <c r="H79" s="65" t="s">
        <v>52</v>
      </c>
      <c r="I79" s="32"/>
      <c r="J79" s="40"/>
      <c r="K79" s="40"/>
      <c r="L79" s="65"/>
      <c r="M79" s="40"/>
      <c r="N79" s="40"/>
      <c r="O79" s="32"/>
      <c r="P79" s="252"/>
      <c r="Q79" s="61"/>
      <c r="X79" s="42"/>
      <c r="Z79" s="234"/>
      <c r="AB79" s="234"/>
      <c r="AC79" s="234"/>
      <c r="AD79" s="234"/>
      <c r="AE79" s="234"/>
      <c r="AF79" s="234"/>
      <c r="AG79" s="234"/>
      <c r="AH79" s="234"/>
    </row>
    <row r="80" spans="1:37" s="41" customFormat="1" ht="30.75" customHeight="1" x14ac:dyDescent="0.2">
      <c r="B80" s="86" t="s">
        <v>329</v>
      </c>
      <c r="C80" s="25" t="s">
        <v>924</v>
      </c>
      <c r="D80" s="65" t="s">
        <v>52</v>
      </c>
      <c r="E80" s="70"/>
      <c r="F80" s="65" t="s">
        <v>52</v>
      </c>
      <c r="G80" s="40"/>
      <c r="H80" s="65" t="s">
        <v>52</v>
      </c>
      <c r="I80" s="32"/>
      <c r="J80" s="40"/>
      <c r="K80" s="40"/>
      <c r="L80" s="65"/>
      <c r="M80" s="40"/>
      <c r="N80" s="40"/>
      <c r="O80" s="32"/>
      <c r="P80" s="252">
        <f>P81</f>
        <v>0</v>
      </c>
      <c r="Q80" s="61"/>
      <c r="X80" s="42">
        <f t="shared" si="48"/>
        <v>0</v>
      </c>
      <c r="Z80" s="234"/>
      <c r="AB80" s="234"/>
      <c r="AC80" s="234"/>
      <c r="AD80" s="234"/>
      <c r="AE80" s="234"/>
      <c r="AF80" s="234"/>
      <c r="AG80" s="234">
        <f>AG81</f>
        <v>0</v>
      </c>
      <c r="AH80" s="234">
        <f>AH81</f>
        <v>0</v>
      </c>
      <c r="AJ80" s="41">
        <f>AJ81</f>
        <v>0</v>
      </c>
    </row>
    <row r="81" spans="2:36" s="41" customFormat="1" ht="30.75" customHeight="1" x14ac:dyDescent="0.2">
      <c r="B81" s="69"/>
      <c r="C81" s="72" t="s">
        <v>52</v>
      </c>
      <c r="D81" s="65" t="s">
        <v>52</v>
      </c>
      <c r="E81" s="70"/>
      <c r="F81" s="65" t="s">
        <v>52</v>
      </c>
      <c r="G81" s="40"/>
      <c r="H81" s="65" t="s">
        <v>52</v>
      </c>
      <c r="I81" s="32"/>
      <c r="J81" s="40"/>
      <c r="K81" s="40"/>
      <c r="L81" s="65"/>
      <c r="M81" s="40"/>
      <c r="N81" s="40"/>
      <c r="O81" s="32"/>
      <c r="P81" s="252">
        <v>0</v>
      </c>
      <c r="Q81" s="61"/>
      <c r="W81" s="49"/>
      <c r="X81" s="42">
        <f t="shared" si="48"/>
        <v>0</v>
      </c>
      <c r="Z81" s="234"/>
      <c r="AB81" s="234"/>
      <c r="AC81" s="234"/>
      <c r="AD81" s="234"/>
      <c r="AE81" s="234"/>
      <c r="AF81" s="234"/>
      <c r="AG81" s="234"/>
      <c r="AH81" s="234"/>
    </row>
    <row r="82" spans="2:36" s="45" customFormat="1" ht="30.75" customHeight="1" x14ac:dyDescent="0.2">
      <c r="B82" s="58" t="s">
        <v>330</v>
      </c>
      <c r="C82" s="59" t="s">
        <v>925</v>
      </c>
      <c r="D82" s="75" t="s">
        <v>52</v>
      </c>
      <c r="E82" s="75"/>
      <c r="F82" s="75" t="s">
        <v>52</v>
      </c>
      <c r="G82" s="75"/>
      <c r="H82" s="75" t="s">
        <v>52</v>
      </c>
      <c r="I82" s="75"/>
      <c r="J82" s="75"/>
      <c r="K82" s="75"/>
      <c r="L82" s="75"/>
      <c r="M82" s="75"/>
      <c r="N82" s="75"/>
      <c r="O82" s="75"/>
      <c r="P82" s="279">
        <f>P83</f>
        <v>0</v>
      </c>
      <c r="Q82" s="76"/>
      <c r="X82" s="42">
        <f t="shared" si="48"/>
        <v>0</v>
      </c>
      <c r="Z82" s="235"/>
      <c r="AB82" s="235">
        <f>AB83</f>
        <v>0</v>
      </c>
      <c r="AC82" s="235">
        <f t="shared" ref="AC82:AH82" si="51">AC83</f>
        <v>0</v>
      </c>
      <c r="AD82" s="235">
        <f t="shared" si="51"/>
        <v>0</v>
      </c>
      <c r="AE82" s="235">
        <f t="shared" si="51"/>
        <v>0</v>
      </c>
      <c r="AF82" s="235">
        <f t="shared" si="51"/>
        <v>0</v>
      </c>
      <c r="AG82" s="235">
        <f t="shared" si="51"/>
        <v>0</v>
      </c>
      <c r="AH82" s="235">
        <f t="shared" si="51"/>
        <v>0</v>
      </c>
      <c r="AI82" s="235">
        <f>SUM(AI21:AI42)</f>
        <v>0</v>
      </c>
      <c r="AJ82" s="235">
        <f>AJ83</f>
        <v>0</v>
      </c>
    </row>
    <row r="83" spans="2:36" s="41" customFormat="1" ht="30.75" customHeight="1" x14ac:dyDescent="0.2">
      <c r="B83" s="69"/>
      <c r="C83" s="70" t="s">
        <v>52</v>
      </c>
      <c r="D83" s="70" t="s">
        <v>52</v>
      </c>
      <c r="E83" s="70"/>
      <c r="F83" s="70" t="s">
        <v>52</v>
      </c>
      <c r="G83" s="70"/>
      <c r="H83" s="70" t="s">
        <v>52</v>
      </c>
      <c r="I83" s="70"/>
      <c r="J83" s="70"/>
      <c r="K83" s="70"/>
      <c r="L83" s="70"/>
      <c r="M83" s="70"/>
      <c r="N83" s="70"/>
      <c r="O83" s="70"/>
      <c r="P83" s="278"/>
      <c r="Q83" s="74"/>
      <c r="X83" s="42">
        <f t="shared" si="48"/>
        <v>0</v>
      </c>
      <c r="Z83" s="234"/>
      <c r="AB83" s="234"/>
      <c r="AC83" s="234"/>
      <c r="AD83" s="234"/>
      <c r="AE83" s="234"/>
      <c r="AF83" s="234"/>
      <c r="AG83" s="234"/>
      <c r="AH83" s="234"/>
    </row>
    <row r="84" spans="2:36" s="45" customFormat="1" ht="30.75" customHeight="1" x14ac:dyDescent="0.2">
      <c r="B84" s="58" t="s">
        <v>381</v>
      </c>
      <c r="C84" s="59" t="s">
        <v>926</v>
      </c>
      <c r="D84" s="75" t="s">
        <v>52</v>
      </c>
      <c r="E84" s="75"/>
      <c r="F84" s="75" t="s">
        <v>52</v>
      </c>
      <c r="G84" s="75"/>
      <c r="H84" s="75" t="s">
        <v>52</v>
      </c>
      <c r="I84" s="75"/>
      <c r="J84" s="75"/>
      <c r="K84" s="75"/>
      <c r="L84" s="75"/>
      <c r="M84" s="75"/>
      <c r="N84" s="75"/>
      <c r="O84" s="75"/>
      <c r="P84" s="279">
        <f>P85</f>
        <v>0</v>
      </c>
      <c r="Q84" s="76"/>
      <c r="X84" s="42">
        <f t="shared" si="48"/>
        <v>0</v>
      </c>
      <c r="Z84" s="235"/>
      <c r="AB84" s="235">
        <f>AB85</f>
        <v>0</v>
      </c>
      <c r="AC84" s="235">
        <f t="shared" ref="AC84:AH84" si="52">AC85</f>
        <v>0</v>
      </c>
      <c r="AD84" s="235">
        <f t="shared" si="52"/>
        <v>0</v>
      </c>
      <c r="AE84" s="235">
        <f t="shared" si="52"/>
        <v>0</v>
      </c>
      <c r="AF84" s="235">
        <f t="shared" si="52"/>
        <v>0</v>
      </c>
      <c r="AG84" s="235">
        <f t="shared" si="52"/>
        <v>0</v>
      </c>
      <c r="AH84" s="235">
        <f t="shared" si="52"/>
        <v>0</v>
      </c>
      <c r="AI84" s="235">
        <f>SUM(AI85:AI85)</f>
        <v>0</v>
      </c>
      <c r="AJ84" s="235">
        <f>SUM(AJ85:AJ85)</f>
        <v>0</v>
      </c>
    </row>
    <row r="85" spans="2:36" s="41" customFormat="1" ht="30.75" customHeight="1" x14ac:dyDescent="0.2">
      <c r="B85" s="69"/>
      <c r="C85" s="70" t="s">
        <v>52</v>
      </c>
      <c r="D85" s="70" t="s">
        <v>52</v>
      </c>
      <c r="E85" s="70"/>
      <c r="F85" s="70" t="s">
        <v>52</v>
      </c>
      <c r="G85" s="70"/>
      <c r="H85" s="70" t="s">
        <v>52</v>
      </c>
      <c r="I85" s="70"/>
      <c r="J85" s="70"/>
      <c r="K85" s="70"/>
      <c r="L85" s="70"/>
      <c r="M85" s="70"/>
      <c r="N85" s="70"/>
      <c r="O85" s="70"/>
      <c r="P85" s="278"/>
      <c r="Q85" s="74"/>
      <c r="X85" s="42">
        <f t="shared" si="48"/>
        <v>0</v>
      </c>
      <c r="Z85" s="234"/>
      <c r="AB85" s="234"/>
      <c r="AC85" s="234"/>
      <c r="AD85" s="234"/>
      <c r="AE85" s="234"/>
      <c r="AF85" s="234"/>
      <c r="AG85" s="234"/>
      <c r="AH85" s="234"/>
    </row>
    <row r="86" spans="2:36" s="41" customFormat="1" ht="30.75" customHeight="1" thickBot="1" x14ac:dyDescent="0.25">
      <c r="B86" s="87"/>
      <c r="C86" s="88"/>
      <c r="D86" s="88"/>
      <c r="E86" s="88"/>
      <c r="F86" s="88" t="s">
        <v>52</v>
      </c>
      <c r="G86" s="88"/>
      <c r="H86" s="88" t="s">
        <v>52</v>
      </c>
      <c r="I86" s="88"/>
      <c r="J86" s="88"/>
      <c r="K86" s="88"/>
      <c r="L86" s="88"/>
      <c r="M86" s="88"/>
      <c r="N86" s="88"/>
      <c r="O86" s="88"/>
      <c r="P86" s="282"/>
      <c r="Q86" s="89"/>
      <c r="X86" s="42">
        <f t="shared" si="48"/>
        <v>0</v>
      </c>
      <c r="Z86" s="234"/>
      <c r="AB86" s="234"/>
      <c r="AC86" s="234"/>
      <c r="AD86" s="234"/>
      <c r="AE86" s="234"/>
      <c r="AF86" s="234"/>
      <c r="AG86" s="234"/>
      <c r="AH86" s="234"/>
    </row>
    <row r="87" spans="2:36" x14ac:dyDescent="0.2">
      <c r="B87" s="17"/>
      <c r="C87" s="17"/>
      <c r="D87" s="17"/>
      <c r="E87" s="17"/>
      <c r="F87" s="17"/>
      <c r="G87" s="17"/>
      <c r="H87" s="17"/>
      <c r="I87" s="17"/>
      <c r="J87" s="17"/>
      <c r="K87" s="17"/>
      <c r="L87" s="17"/>
      <c r="M87" s="17"/>
      <c r="N87" s="17"/>
      <c r="O87" s="17"/>
      <c r="P87" s="246"/>
      <c r="Q87" s="17"/>
    </row>
    <row r="88" spans="2:36" x14ac:dyDescent="0.2">
      <c r="B88" s="17"/>
      <c r="C88" s="17"/>
      <c r="D88" s="17"/>
      <c r="E88" s="17"/>
      <c r="F88" s="17"/>
      <c r="G88" s="17"/>
      <c r="H88" s="17"/>
      <c r="I88" s="17"/>
      <c r="J88" s="17"/>
      <c r="K88" s="17"/>
      <c r="L88" s="17"/>
      <c r="M88" s="1798"/>
      <c r="N88" s="1798"/>
      <c r="O88" s="1798"/>
      <c r="P88" s="1798"/>
      <c r="Q88" s="17"/>
    </row>
    <row r="89" spans="2:36" x14ac:dyDescent="0.2">
      <c r="B89" s="1797" t="s">
        <v>22</v>
      </c>
      <c r="C89" s="1797"/>
      <c r="D89" s="1797"/>
      <c r="E89" s="17"/>
      <c r="F89" s="17"/>
      <c r="G89" s="17"/>
      <c r="H89" s="17"/>
      <c r="I89" s="17"/>
      <c r="J89" s="17"/>
      <c r="K89" s="17"/>
      <c r="L89" s="17"/>
      <c r="M89" s="1798" t="s">
        <v>884</v>
      </c>
      <c r="N89" s="1798"/>
      <c r="O89" s="1798"/>
      <c r="P89" s="1798"/>
      <c r="Q89" s="17"/>
    </row>
    <row r="90" spans="2:36" x14ac:dyDescent="0.2">
      <c r="B90" s="1797" t="s">
        <v>23</v>
      </c>
      <c r="C90" s="1797"/>
      <c r="D90" s="1797"/>
      <c r="E90" s="17"/>
      <c r="F90" s="17"/>
      <c r="G90" s="17"/>
      <c r="H90" s="17"/>
      <c r="I90" s="17"/>
      <c r="J90" s="17"/>
      <c r="K90" s="17"/>
      <c r="L90" s="17"/>
      <c r="M90" s="1797" t="s">
        <v>24</v>
      </c>
      <c r="N90" s="1797"/>
      <c r="O90" s="1797"/>
      <c r="P90" s="1797"/>
      <c r="Q90" s="17"/>
    </row>
    <row r="91" spans="2:36" x14ac:dyDescent="0.2">
      <c r="B91" s="1797" t="s">
        <v>25</v>
      </c>
      <c r="C91" s="1797"/>
      <c r="D91" s="1797"/>
      <c r="E91" s="17"/>
      <c r="F91" s="17"/>
      <c r="G91" s="17"/>
      <c r="H91" s="17"/>
      <c r="I91" s="17"/>
      <c r="J91" s="17"/>
      <c r="K91" s="17"/>
      <c r="L91" s="17"/>
      <c r="M91" s="18"/>
      <c r="N91" s="18"/>
      <c r="O91" s="18"/>
      <c r="P91" s="259"/>
      <c r="Q91" s="17"/>
    </row>
    <row r="92" spans="2:36" x14ac:dyDescent="0.2">
      <c r="B92" s="19"/>
      <c r="C92" s="19"/>
      <c r="D92" s="19"/>
      <c r="E92" s="17"/>
      <c r="F92" s="17"/>
      <c r="G92" s="17"/>
      <c r="H92" s="17"/>
      <c r="I92" s="17"/>
      <c r="J92" s="17"/>
      <c r="K92" s="17"/>
      <c r="L92" s="17"/>
      <c r="M92" s="18"/>
      <c r="N92" s="18"/>
      <c r="O92" s="18"/>
      <c r="P92" s="259"/>
      <c r="Q92" s="17"/>
    </row>
    <row r="93" spans="2:36" x14ac:dyDescent="0.2">
      <c r="B93" s="19"/>
      <c r="C93" s="19"/>
      <c r="D93" s="19"/>
      <c r="E93" s="17"/>
      <c r="F93" s="17"/>
      <c r="G93" s="17"/>
      <c r="H93" s="17"/>
      <c r="I93" s="17"/>
      <c r="J93" s="17"/>
      <c r="K93" s="17"/>
      <c r="L93" s="17"/>
      <c r="M93" s="18"/>
      <c r="N93" s="18"/>
      <c r="O93" s="18"/>
      <c r="P93" s="259"/>
      <c r="Q93" s="17"/>
    </row>
    <row r="94" spans="2:36" x14ac:dyDescent="0.2">
      <c r="B94" s="18"/>
      <c r="C94" s="18"/>
      <c r="D94" s="18"/>
      <c r="E94" s="17"/>
      <c r="F94" s="17"/>
      <c r="G94" s="17"/>
      <c r="H94" s="17"/>
      <c r="I94" s="17"/>
      <c r="J94" s="17"/>
      <c r="K94" s="17"/>
      <c r="L94" s="17"/>
      <c r="M94" s="18"/>
      <c r="N94" s="18"/>
      <c r="O94" s="18"/>
      <c r="P94" s="259"/>
      <c r="Q94" s="17"/>
    </row>
    <row r="95" spans="2:36" x14ac:dyDescent="0.2">
      <c r="B95" s="18"/>
      <c r="C95" s="18"/>
      <c r="D95" s="18"/>
      <c r="E95" s="17"/>
      <c r="F95" s="17"/>
      <c r="G95" s="17"/>
      <c r="H95" s="17"/>
      <c r="I95" s="17"/>
      <c r="J95" s="17"/>
      <c r="K95" s="17"/>
      <c r="L95" s="17"/>
      <c r="M95" s="18"/>
      <c r="N95" s="18"/>
      <c r="O95" s="18"/>
      <c r="P95" s="259"/>
      <c r="Q95" s="17"/>
    </row>
    <row r="96" spans="2:36" x14ac:dyDescent="0.2">
      <c r="B96" s="18"/>
      <c r="C96" s="18"/>
      <c r="D96" s="18"/>
      <c r="E96" s="17"/>
      <c r="F96" s="17"/>
      <c r="G96" s="17"/>
      <c r="H96" s="17"/>
      <c r="I96" s="17"/>
      <c r="J96" s="17"/>
      <c r="K96" s="17"/>
      <c r="L96" s="17"/>
      <c r="M96" s="18"/>
      <c r="N96" s="18"/>
      <c r="O96" s="18"/>
      <c r="P96" s="259"/>
      <c r="Q96" s="17"/>
    </row>
    <row r="97" spans="2:17" x14ac:dyDescent="0.2">
      <c r="B97" s="1795" t="s">
        <v>26</v>
      </c>
      <c r="C97" s="1795"/>
      <c r="D97" s="1795"/>
      <c r="E97" s="17"/>
      <c r="F97" s="17"/>
      <c r="G97" s="17"/>
      <c r="H97" s="17"/>
      <c r="I97" s="17"/>
      <c r="J97" s="17"/>
      <c r="K97" s="17"/>
      <c r="L97" s="17"/>
      <c r="M97" s="1796" t="s">
        <v>27</v>
      </c>
      <c r="N97" s="1796"/>
      <c r="O97" s="1796"/>
      <c r="P97" s="1796"/>
      <c r="Q97" s="17"/>
    </row>
    <row r="98" spans="2:17" x14ac:dyDescent="0.2">
      <c r="B98" s="1797" t="s">
        <v>28</v>
      </c>
      <c r="C98" s="1797"/>
      <c r="D98" s="1797"/>
      <c r="E98" s="17"/>
      <c r="F98" s="17"/>
      <c r="G98" s="17"/>
      <c r="H98" s="17"/>
      <c r="I98" s="17"/>
      <c r="J98" s="17"/>
      <c r="K98" s="17"/>
      <c r="L98" s="17"/>
      <c r="M98" s="1798" t="s">
        <v>29</v>
      </c>
      <c r="N98" s="1798"/>
      <c r="O98" s="1798"/>
      <c r="P98" s="1798"/>
      <c r="Q98" s="17"/>
    </row>
    <row r="99" spans="2:17" x14ac:dyDescent="0.2">
      <c r="B99" s="17"/>
      <c r="C99" s="17"/>
      <c r="D99" s="17"/>
      <c r="E99" s="17"/>
      <c r="F99" s="17"/>
      <c r="G99" s="17"/>
      <c r="H99" s="17"/>
      <c r="I99" s="17"/>
      <c r="J99" s="17"/>
      <c r="K99" s="17"/>
      <c r="L99" s="17"/>
      <c r="M99" s="17"/>
      <c r="N99" s="17"/>
      <c r="O99" s="17"/>
      <c r="P99" s="246"/>
      <c r="Q99" s="17"/>
    </row>
    <row r="100" spans="2:17" x14ac:dyDescent="0.2">
      <c r="B100" s="17"/>
      <c r="C100" s="17"/>
      <c r="D100" s="17"/>
      <c r="E100" s="17"/>
      <c r="F100" s="17"/>
      <c r="G100" s="17"/>
      <c r="H100" s="17"/>
      <c r="I100" s="17"/>
      <c r="J100" s="17"/>
      <c r="K100" s="17"/>
      <c r="L100" s="17"/>
      <c r="M100" s="17"/>
      <c r="N100" s="17"/>
      <c r="O100" s="17"/>
      <c r="P100" s="246"/>
      <c r="Q100" s="17"/>
    </row>
    <row r="101" spans="2:17" x14ac:dyDescent="0.2">
      <c r="B101" s="17"/>
      <c r="C101" s="17"/>
      <c r="D101" s="17"/>
      <c r="E101" s="17"/>
      <c r="F101" s="17"/>
      <c r="G101" s="17"/>
      <c r="H101" s="17"/>
      <c r="I101" s="17"/>
      <c r="J101" s="17"/>
      <c r="K101" s="17"/>
      <c r="L101" s="17"/>
      <c r="M101" s="17"/>
      <c r="N101" s="17"/>
      <c r="O101" s="17"/>
      <c r="P101" s="246"/>
      <c r="Q101" s="17"/>
    </row>
    <row r="102" spans="2:17" x14ac:dyDescent="0.2">
      <c r="B102" s="17"/>
      <c r="C102" s="17"/>
      <c r="D102" s="17"/>
      <c r="E102" s="17"/>
      <c r="F102" s="17"/>
      <c r="G102" s="17"/>
      <c r="H102" s="17"/>
      <c r="I102" s="17"/>
      <c r="J102" s="17"/>
      <c r="K102" s="17"/>
      <c r="L102" s="17"/>
      <c r="M102" s="17"/>
      <c r="N102" s="17"/>
      <c r="O102" s="17"/>
      <c r="P102" s="246"/>
      <c r="Q102" s="17"/>
    </row>
  </sheetData>
  <autoFilter ref="B10:V86" xr:uid="{00000000-0009-0000-0000-000001000000}"/>
  <mergeCells count="46">
    <mergeCell ref="B3:T3"/>
    <mergeCell ref="B4:T4"/>
    <mergeCell ref="B5:T5"/>
    <mergeCell ref="B7:B9"/>
    <mergeCell ref="C7:C9"/>
    <mergeCell ref="D7:D9"/>
    <mergeCell ref="E7:E9"/>
    <mergeCell ref="F7:F9"/>
    <mergeCell ref="G7:G9"/>
    <mergeCell ref="H7:H9"/>
    <mergeCell ref="Y7:Y9"/>
    <mergeCell ref="Z7:Z9"/>
    <mergeCell ref="AA7:AA9"/>
    <mergeCell ref="AB7:AB9"/>
    <mergeCell ref="I7:I9"/>
    <mergeCell ref="J7:N7"/>
    <mergeCell ref="O7:O9"/>
    <mergeCell ref="P7:P9"/>
    <mergeCell ref="Q7:Q9"/>
    <mergeCell ref="R7:T7"/>
    <mergeCell ref="AJ7:AJ9"/>
    <mergeCell ref="J8:J9"/>
    <mergeCell ref="K8:K9"/>
    <mergeCell ref="L8:L9"/>
    <mergeCell ref="M8:M9"/>
    <mergeCell ref="N8:N9"/>
    <mergeCell ref="R8:R9"/>
    <mergeCell ref="S8:T8"/>
    <mergeCell ref="AC7:AC9"/>
    <mergeCell ref="AD7:AD9"/>
    <mergeCell ref="AE7:AE9"/>
    <mergeCell ref="AF7:AF9"/>
    <mergeCell ref="AG7:AG9"/>
    <mergeCell ref="AH7:AH9"/>
    <mergeCell ref="W7:W9"/>
    <mergeCell ref="X7:X9"/>
    <mergeCell ref="B97:D97"/>
    <mergeCell ref="M97:P97"/>
    <mergeCell ref="B98:D98"/>
    <mergeCell ref="M98:P98"/>
    <mergeCell ref="M88:P88"/>
    <mergeCell ref="B89:D89"/>
    <mergeCell ref="M89:P89"/>
    <mergeCell ref="B90:D90"/>
    <mergeCell ref="M90:P90"/>
    <mergeCell ref="B91:D91"/>
  </mergeCells>
  <pageMargins left="1.68" right="0.35" top="0.68" bottom="0.67" header="0.31496062992125984" footer="0.31496062992125984"/>
  <pageSetup paperSize="5" scale="63"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55"/>
  <sheetViews>
    <sheetView view="pageBreakPreview" zoomScale="70" zoomScaleNormal="80" zoomScaleSheetLayoutView="70" workbookViewId="0">
      <selection activeCell="K548" sqref="K548"/>
    </sheetView>
  </sheetViews>
  <sheetFormatPr baseColWidth="10" defaultColWidth="9.1640625" defaultRowHeight="14" x14ac:dyDescent="0.2"/>
  <cols>
    <col min="1" max="1" width="8.5" style="1379" customWidth="1"/>
    <col min="2" max="2" width="51.5" style="1383" customWidth="1"/>
    <col min="3" max="3" width="15.1640625" style="1380" customWidth="1"/>
    <col min="4" max="4" width="12" style="1379" customWidth="1"/>
    <col min="5" max="5" width="13.5" style="1381" customWidth="1"/>
    <col min="6" max="6" width="13.5" style="1348" customWidth="1"/>
    <col min="7" max="7" width="47.6640625" style="1383" customWidth="1"/>
    <col min="8" max="8" width="20.33203125" style="1385" customWidth="1"/>
    <col min="9" max="9" width="13" style="1380" bestFit="1" customWidth="1"/>
    <col min="10" max="10" width="9.1640625" style="1379" customWidth="1"/>
    <col min="11" max="11" width="31.83203125" style="1379" customWidth="1"/>
    <col min="12" max="12" width="11.1640625" style="1380" customWidth="1"/>
    <col min="13" max="13" width="24.83203125" style="1379" customWidth="1"/>
    <col min="14" max="14" width="14.1640625" style="1383" customWidth="1"/>
    <col min="15" max="15" width="15.5" style="1379" customWidth="1"/>
    <col min="16" max="16" width="9.1640625" style="1379" customWidth="1"/>
    <col min="17" max="19" width="9.1640625" style="1379"/>
    <col min="20" max="20" width="9.33203125" style="1379" bestFit="1" customWidth="1"/>
    <col min="21" max="21" width="4" style="1379" customWidth="1"/>
    <col min="22" max="23" width="9.1640625" style="1379"/>
    <col min="24" max="24" width="21.33203125" style="1379" bestFit="1" customWidth="1"/>
    <col min="25" max="16384" width="9.1640625" style="1379"/>
  </cols>
  <sheetData>
    <row r="1" spans="1:24" x14ac:dyDescent="0.2">
      <c r="A1" s="1377"/>
      <c r="B1" s="1382"/>
      <c r="C1" s="1348"/>
      <c r="D1" s="1377"/>
      <c r="E1" s="1378"/>
      <c r="G1" s="1382"/>
      <c r="H1" s="1384"/>
      <c r="I1" s="1348"/>
      <c r="J1" s="1377"/>
      <c r="K1" s="1377"/>
      <c r="L1" s="1348"/>
      <c r="M1" s="1377"/>
      <c r="N1" s="1382"/>
      <c r="O1" s="1377"/>
      <c r="P1" s="1377"/>
    </row>
    <row r="2" spans="1:24" s="1725" customFormat="1" ht="38" customHeight="1" x14ac:dyDescent="0.2">
      <c r="A2" s="1843" t="s">
        <v>0</v>
      </c>
      <c r="B2" s="1843"/>
      <c r="C2" s="1843"/>
      <c r="D2" s="1843"/>
      <c r="E2" s="1843"/>
      <c r="F2" s="1843"/>
      <c r="G2" s="1843"/>
      <c r="H2" s="1843"/>
      <c r="I2" s="1843"/>
      <c r="J2" s="1843"/>
      <c r="K2" s="1843"/>
      <c r="L2" s="1843"/>
      <c r="M2" s="1843"/>
      <c r="N2" s="1843"/>
      <c r="O2" s="1843"/>
      <c r="P2" s="1630"/>
    </row>
    <row r="3" spans="1:24" s="1725" customFormat="1" ht="38" customHeight="1" x14ac:dyDescent="0.2">
      <c r="A3" s="1843" t="s">
        <v>6043</v>
      </c>
      <c r="B3" s="1843"/>
      <c r="C3" s="1843"/>
      <c r="D3" s="1843"/>
      <c r="E3" s="1843"/>
      <c r="F3" s="1843"/>
      <c r="G3" s="1843"/>
      <c r="H3" s="1843"/>
      <c r="I3" s="1843"/>
      <c r="J3" s="1843"/>
      <c r="K3" s="1843"/>
      <c r="L3" s="1843"/>
      <c r="M3" s="1843"/>
      <c r="N3" s="1843"/>
      <c r="O3" s="1843"/>
      <c r="P3" s="1630"/>
    </row>
    <row r="4" spans="1:24" s="1725" customFormat="1" ht="17.25" customHeight="1" x14ac:dyDescent="0.2">
      <c r="A4" s="1836"/>
      <c r="B4" s="1836"/>
      <c r="C4" s="1836"/>
      <c r="D4" s="1836"/>
      <c r="E4" s="1836"/>
      <c r="F4" s="1836"/>
      <c r="G4" s="1836"/>
      <c r="H4" s="1836"/>
      <c r="I4" s="1836"/>
      <c r="J4" s="1836"/>
      <c r="K4" s="1836"/>
      <c r="L4" s="1836"/>
      <c r="M4" s="1836"/>
      <c r="N4" s="1836"/>
      <c r="O4" s="1836"/>
      <c r="P4" s="1630"/>
    </row>
    <row r="5" spans="1:24" s="1725" customFormat="1" ht="24" customHeight="1" thickBot="1" x14ac:dyDescent="0.25">
      <c r="A5" s="1835" t="s">
        <v>1</v>
      </c>
      <c r="B5" s="1835"/>
      <c r="C5" s="1496"/>
      <c r="D5" s="1726"/>
      <c r="E5" s="1727"/>
      <c r="F5" s="1728"/>
      <c r="G5" s="1396"/>
      <c r="H5" s="1729"/>
      <c r="I5" s="1728"/>
      <c r="J5" s="1726"/>
      <c r="K5" s="1726"/>
      <c r="L5" s="1728"/>
      <c r="M5" s="1730"/>
      <c r="N5" s="1396"/>
      <c r="O5" s="1726"/>
      <c r="P5" s="1730"/>
    </row>
    <row r="6" spans="1:24" s="1725" customFormat="1" ht="26.25" customHeight="1" x14ac:dyDescent="0.2">
      <c r="A6" s="1844" t="s">
        <v>869</v>
      </c>
      <c r="B6" s="1847" t="s">
        <v>870</v>
      </c>
      <c r="C6" s="1847" t="s">
        <v>871</v>
      </c>
      <c r="D6" s="1847"/>
      <c r="E6" s="1848" t="s">
        <v>872</v>
      </c>
      <c r="F6" s="1847" t="s">
        <v>873</v>
      </c>
      <c r="G6" s="1847" t="s">
        <v>874</v>
      </c>
      <c r="H6" s="1847" t="s">
        <v>875</v>
      </c>
      <c r="I6" s="1847"/>
      <c r="J6" s="1847"/>
      <c r="K6" s="1851" t="s">
        <v>881</v>
      </c>
      <c r="L6" s="1847" t="s">
        <v>876</v>
      </c>
      <c r="M6" s="1847" t="s">
        <v>1105</v>
      </c>
      <c r="N6" s="1853" t="s">
        <v>911</v>
      </c>
      <c r="O6" s="1496"/>
      <c r="P6" s="1398"/>
    </row>
    <row r="7" spans="1:24" s="1731" customFormat="1" ht="24.75" customHeight="1" x14ac:dyDescent="0.2">
      <c r="A7" s="1845"/>
      <c r="B7" s="1838"/>
      <c r="C7" s="1838" t="s">
        <v>877</v>
      </c>
      <c r="D7" s="1838" t="s">
        <v>878</v>
      </c>
      <c r="E7" s="1849"/>
      <c r="F7" s="1838"/>
      <c r="G7" s="1838"/>
      <c r="H7" s="1838" t="s">
        <v>879</v>
      </c>
      <c r="I7" s="1840" t="s">
        <v>880</v>
      </c>
      <c r="J7" s="1840"/>
      <c r="K7" s="1840"/>
      <c r="L7" s="1838"/>
      <c r="M7" s="1838"/>
      <c r="N7" s="1854"/>
      <c r="O7" s="1496"/>
      <c r="P7" s="1398"/>
    </row>
    <row r="8" spans="1:24" s="1731" customFormat="1" ht="23.25" customHeight="1" thickBot="1" x14ac:dyDescent="0.25">
      <c r="A8" s="1846"/>
      <c r="B8" s="1839"/>
      <c r="C8" s="1839"/>
      <c r="D8" s="1839"/>
      <c r="E8" s="1850"/>
      <c r="F8" s="1839"/>
      <c r="G8" s="1839"/>
      <c r="H8" s="1839"/>
      <c r="I8" s="1609" t="s">
        <v>882</v>
      </c>
      <c r="J8" s="1609" t="s">
        <v>883</v>
      </c>
      <c r="K8" s="1852"/>
      <c r="L8" s="1839"/>
      <c r="M8" s="1839"/>
      <c r="N8" s="1855"/>
      <c r="O8" s="1496"/>
      <c r="P8" s="1728"/>
    </row>
    <row r="9" spans="1:24" s="1725" customFormat="1" ht="22" customHeight="1" thickBot="1" x14ac:dyDescent="0.25">
      <c r="A9" s="1671">
        <v>1</v>
      </c>
      <c r="B9" s="1785">
        <v>2</v>
      </c>
      <c r="C9" s="1673">
        <v>3</v>
      </c>
      <c r="D9" s="1672">
        <v>4</v>
      </c>
      <c r="E9" s="1786">
        <v>5</v>
      </c>
      <c r="F9" s="1672">
        <v>6</v>
      </c>
      <c r="G9" s="1674">
        <v>7</v>
      </c>
      <c r="H9" s="1785">
        <v>8</v>
      </c>
      <c r="I9" s="1673">
        <v>9</v>
      </c>
      <c r="J9" s="1672">
        <v>10</v>
      </c>
      <c r="K9" s="1673">
        <v>11</v>
      </c>
      <c r="L9" s="1672">
        <v>12</v>
      </c>
      <c r="M9" s="1673">
        <v>13</v>
      </c>
      <c r="N9" s="1787">
        <v>14</v>
      </c>
      <c r="O9" s="1637"/>
      <c r="P9" s="1732"/>
    </row>
    <row r="10" spans="1:24" s="1725" customFormat="1" ht="30" customHeight="1" thickTop="1" x14ac:dyDescent="0.2">
      <c r="A10" s="1776" t="s">
        <v>7</v>
      </c>
      <c r="B10" s="1777" t="s">
        <v>8</v>
      </c>
      <c r="C10" s="1778"/>
      <c r="D10" s="1779"/>
      <c r="E10" s="1780"/>
      <c r="F10" s="1778"/>
      <c r="G10" s="1781"/>
      <c r="H10" s="1782"/>
      <c r="I10" s="1778"/>
      <c r="J10" s="1779"/>
      <c r="K10" s="1779"/>
      <c r="L10" s="1778"/>
      <c r="M10" s="1783">
        <f>SUM(M11:M543)</f>
        <v>212833578881.75998</v>
      </c>
      <c r="N10" s="1784"/>
      <c r="O10" s="1768"/>
      <c r="P10" s="1726"/>
    </row>
    <row r="11" spans="1:24" s="1741" customFormat="1" ht="42" customHeight="1" x14ac:dyDescent="0.2">
      <c r="A11" s="1769">
        <v>1</v>
      </c>
      <c r="B11" s="1734" t="s">
        <v>885</v>
      </c>
      <c r="C11" s="1735" t="s">
        <v>1790</v>
      </c>
      <c r="D11" s="1735" t="s">
        <v>39</v>
      </c>
      <c r="E11" s="1733">
        <v>1000</v>
      </c>
      <c r="F11" s="1735">
        <v>2000</v>
      </c>
      <c r="G11" s="1734" t="s">
        <v>10</v>
      </c>
      <c r="H11" s="1736" t="s">
        <v>6020</v>
      </c>
      <c r="I11" s="1737">
        <v>0</v>
      </c>
      <c r="J11" s="1737">
        <v>0</v>
      </c>
      <c r="K11" s="1734" t="s">
        <v>5881</v>
      </c>
      <c r="L11" s="1735"/>
      <c r="M11" s="1738">
        <v>27500000</v>
      </c>
      <c r="N11" s="1770"/>
      <c r="O11" s="1739"/>
      <c r="P11" s="1740"/>
      <c r="T11" s="1725">
        <v>1</v>
      </c>
      <c r="U11" s="1725"/>
      <c r="V11" s="1725" t="str">
        <f>"0"&amp;T11&amp;"."&amp;"0"&amp;T12&amp;"."&amp;"0"&amp;T13&amp;"."&amp;"0"&amp;T14&amp;"."&amp;"0"&amp;T15</f>
        <v>01.01.011.04.010</v>
      </c>
      <c r="X11" s="1442">
        <v>1775483750</v>
      </c>
    </row>
    <row r="12" spans="1:24" s="1741" customFormat="1" ht="42" customHeight="1" x14ac:dyDescent="0.2">
      <c r="A12" s="1769">
        <v>2</v>
      </c>
      <c r="B12" s="1734" t="s">
        <v>13</v>
      </c>
      <c r="C12" s="1735" t="s">
        <v>4365</v>
      </c>
      <c r="D12" s="1735" t="s">
        <v>9</v>
      </c>
      <c r="E12" s="1733">
        <v>2234</v>
      </c>
      <c r="F12" s="1735">
        <v>2004</v>
      </c>
      <c r="G12" s="1734" t="s">
        <v>892</v>
      </c>
      <c r="H12" s="1736" t="s">
        <v>902</v>
      </c>
      <c r="I12" s="1737" t="s">
        <v>9</v>
      </c>
      <c r="J12" s="1737" t="s">
        <v>9</v>
      </c>
      <c r="K12" s="1734" t="s">
        <v>5883</v>
      </c>
      <c r="L12" s="1735" t="s">
        <v>12</v>
      </c>
      <c r="M12" s="1738">
        <v>390950000</v>
      </c>
      <c r="N12" s="1770"/>
      <c r="O12" s="1739"/>
      <c r="P12" s="1740"/>
      <c r="Q12" s="1741" t="str">
        <f>UPPER(K12)</f>
        <v>TANAH BANGUNAN JALAN DAN JEMBATAN</v>
      </c>
      <c r="T12" s="1725">
        <v>1</v>
      </c>
      <c r="U12" s="1725"/>
      <c r="V12" s="1725"/>
      <c r="X12" s="1442">
        <v>4577645973</v>
      </c>
    </row>
    <row r="13" spans="1:24" s="1741" customFormat="1" ht="42" customHeight="1" x14ac:dyDescent="0.2">
      <c r="A13" s="1769">
        <v>3</v>
      </c>
      <c r="B13" s="1734" t="s">
        <v>14</v>
      </c>
      <c r="C13" s="1735" t="s">
        <v>4365</v>
      </c>
      <c r="D13" s="1735" t="s">
        <v>9</v>
      </c>
      <c r="E13" s="1733">
        <v>1065</v>
      </c>
      <c r="F13" s="1735">
        <v>2004</v>
      </c>
      <c r="G13" s="1734" t="s">
        <v>893</v>
      </c>
      <c r="H13" s="1736" t="s">
        <v>902</v>
      </c>
      <c r="I13" s="1737" t="s">
        <v>9</v>
      </c>
      <c r="J13" s="1737" t="s">
        <v>9</v>
      </c>
      <c r="K13" s="1734" t="s">
        <v>5883</v>
      </c>
      <c r="L13" s="1735" t="s">
        <v>12</v>
      </c>
      <c r="M13" s="1738">
        <v>380000000</v>
      </c>
      <c r="N13" s="1770"/>
      <c r="O13" s="1739"/>
      <c r="P13" s="1740"/>
      <c r="T13" s="1725">
        <v>11</v>
      </c>
      <c r="U13" s="1725"/>
      <c r="V13" s="1725"/>
    </row>
    <row r="14" spans="1:24" s="1741" customFormat="1" ht="42" customHeight="1" x14ac:dyDescent="0.2">
      <c r="A14" s="1769">
        <v>4</v>
      </c>
      <c r="B14" s="1734" t="s">
        <v>15</v>
      </c>
      <c r="C14" s="1735" t="s">
        <v>4365</v>
      </c>
      <c r="D14" s="1735" t="s">
        <v>9</v>
      </c>
      <c r="E14" s="1733">
        <v>114</v>
      </c>
      <c r="F14" s="1735">
        <v>2006</v>
      </c>
      <c r="G14" s="1734" t="s">
        <v>894</v>
      </c>
      <c r="H14" s="1736" t="s">
        <v>902</v>
      </c>
      <c r="I14" s="1737" t="s">
        <v>9</v>
      </c>
      <c r="J14" s="1737" t="s">
        <v>9</v>
      </c>
      <c r="K14" s="1734" t="s">
        <v>5883</v>
      </c>
      <c r="L14" s="1735" t="s">
        <v>12</v>
      </c>
      <c r="M14" s="1738">
        <v>122116000</v>
      </c>
      <c r="N14" s="1770"/>
      <c r="O14" s="1739"/>
      <c r="P14" s="1740"/>
      <c r="T14" s="1725">
        <v>4</v>
      </c>
      <c r="U14" s="1725"/>
      <c r="V14" s="1725"/>
    </row>
    <row r="15" spans="1:24" s="1741" customFormat="1" ht="42" customHeight="1" x14ac:dyDescent="0.2">
      <c r="A15" s="1769">
        <v>5</v>
      </c>
      <c r="B15" s="1734" t="s">
        <v>16</v>
      </c>
      <c r="C15" s="1735" t="s">
        <v>4365</v>
      </c>
      <c r="D15" s="1735" t="s">
        <v>9</v>
      </c>
      <c r="E15" s="1733">
        <v>450</v>
      </c>
      <c r="F15" s="1735">
        <v>2005</v>
      </c>
      <c r="G15" s="1734" t="s">
        <v>895</v>
      </c>
      <c r="H15" s="1736" t="s">
        <v>902</v>
      </c>
      <c r="I15" s="1737" t="s">
        <v>9</v>
      </c>
      <c r="J15" s="1737" t="s">
        <v>9</v>
      </c>
      <c r="K15" s="1734" t="s">
        <v>5883</v>
      </c>
      <c r="L15" s="1735" t="s">
        <v>12</v>
      </c>
      <c r="M15" s="1738">
        <v>68000000</v>
      </c>
      <c r="N15" s="1770"/>
      <c r="O15" s="1739"/>
      <c r="P15" s="1740"/>
      <c r="T15" s="1725">
        <v>10</v>
      </c>
      <c r="U15" s="1725"/>
      <c r="V15" s="1725"/>
    </row>
    <row r="16" spans="1:24" s="1741" customFormat="1" ht="42" customHeight="1" x14ac:dyDescent="0.2">
      <c r="A16" s="1769">
        <v>6</v>
      </c>
      <c r="B16" s="1734" t="s">
        <v>886</v>
      </c>
      <c r="C16" s="1735" t="s">
        <v>4365</v>
      </c>
      <c r="D16" s="1735" t="s">
        <v>9</v>
      </c>
      <c r="E16" s="1733">
        <v>5500</v>
      </c>
      <c r="F16" s="1735">
        <v>2005</v>
      </c>
      <c r="G16" s="1734" t="s">
        <v>896</v>
      </c>
      <c r="H16" s="1736" t="s">
        <v>902</v>
      </c>
      <c r="I16" s="1737" t="s">
        <v>9</v>
      </c>
      <c r="J16" s="1737" t="s">
        <v>9</v>
      </c>
      <c r="K16" s="1734" t="s">
        <v>5883</v>
      </c>
      <c r="L16" s="1735" t="s">
        <v>12</v>
      </c>
      <c r="M16" s="1738">
        <v>207500000</v>
      </c>
      <c r="N16" s="1770"/>
      <c r="O16" s="1739"/>
      <c r="P16" s="1740"/>
    </row>
    <row r="17" spans="1:17" s="1741" customFormat="1" ht="42" customHeight="1" x14ac:dyDescent="0.2">
      <c r="A17" s="1769">
        <v>7</v>
      </c>
      <c r="B17" s="1734" t="s">
        <v>17</v>
      </c>
      <c r="C17" s="1735" t="s">
        <v>4365</v>
      </c>
      <c r="D17" s="1735" t="s">
        <v>9</v>
      </c>
      <c r="E17" s="1733">
        <v>1088</v>
      </c>
      <c r="F17" s="1735">
        <v>2009</v>
      </c>
      <c r="G17" s="1734" t="s">
        <v>895</v>
      </c>
      <c r="H17" s="1736" t="s">
        <v>902</v>
      </c>
      <c r="I17" s="1742">
        <v>41423</v>
      </c>
      <c r="J17" s="1737"/>
      <c r="K17" s="1734" t="s">
        <v>5883</v>
      </c>
      <c r="L17" s="1735" t="s">
        <v>12</v>
      </c>
      <c r="M17" s="1738">
        <v>215490800</v>
      </c>
      <c r="N17" s="1770"/>
      <c r="O17" s="1739"/>
      <c r="P17" s="1740"/>
    </row>
    <row r="18" spans="1:17" s="1741" customFormat="1" ht="42" customHeight="1" x14ac:dyDescent="0.2">
      <c r="A18" s="1769">
        <v>8</v>
      </c>
      <c r="B18" s="1734" t="s">
        <v>18</v>
      </c>
      <c r="C18" s="1735" t="s">
        <v>1790</v>
      </c>
      <c r="D18" s="1735" t="s">
        <v>9</v>
      </c>
      <c r="E18" s="1733">
        <v>5300</v>
      </c>
      <c r="F18" s="1735">
        <v>2002</v>
      </c>
      <c r="G18" s="1734" t="s">
        <v>6021</v>
      </c>
      <c r="H18" s="1736" t="s">
        <v>6020</v>
      </c>
      <c r="I18" s="1737">
        <v>0</v>
      </c>
      <c r="J18" s="1737">
        <v>0</v>
      </c>
      <c r="K18" s="1734" t="s">
        <v>5881</v>
      </c>
      <c r="L18" s="1735"/>
      <c r="M18" s="1738">
        <v>1491000000</v>
      </c>
      <c r="N18" s="1770"/>
      <c r="O18" s="1739"/>
      <c r="P18" s="1740"/>
    </row>
    <row r="19" spans="1:17" s="1741" customFormat="1" ht="42" customHeight="1" x14ac:dyDescent="0.2">
      <c r="A19" s="1769">
        <v>9</v>
      </c>
      <c r="B19" s="1734" t="s">
        <v>887</v>
      </c>
      <c r="C19" s="1735" t="s">
        <v>4365</v>
      </c>
      <c r="D19" s="1735" t="s">
        <v>9</v>
      </c>
      <c r="E19" s="1733">
        <v>948</v>
      </c>
      <c r="F19" s="1735" t="s">
        <v>9</v>
      </c>
      <c r="G19" s="1734" t="s">
        <v>898</v>
      </c>
      <c r="H19" s="1736" t="s">
        <v>902</v>
      </c>
      <c r="I19" s="1737" t="s">
        <v>9</v>
      </c>
      <c r="J19" s="1737" t="s">
        <v>9</v>
      </c>
      <c r="K19" s="1734" t="s">
        <v>5883</v>
      </c>
      <c r="L19" s="1735" t="s">
        <v>12</v>
      </c>
      <c r="M19" s="1738">
        <v>65000000</v>
      </c>
      <c r="N19" s="1770"/>
      <c r="O19" s="1739"/>
      <c r="P19" s="1740"/>
    </row>
    <row r="20" spans="1:17" s="1741" customFormat="1" ht="42" customHeight="1" x14ac:dyDescent="0.2">
      <c r="A20" s="1769">
        <v>10</v>
      </c>
      <c r="B20" s="1734" t="s">
        <v>19</v>
      </c>
      <c r="C20" s="1735" t="s">
        <v>1790</v>
      </c>
      <c r="D20" s="1735" t="s">
        <v>9</v>
      </c>
      <c r="E20" s="1733">
        <v>1283</v>
      </c>
      <c r="F20" s="1735">
        <v>2000</v>
      </c>
      <c r="G20" s="1734" t="s">
        <v>6022</v>
      </c>
      <c r="H20" s="1736" t="s">
        <v>6020</v>
      </c>
      <c r="I20" s="1737">
        <v>0</v>
      </c>
      <c r="J20" s="1737">
        <v>0</v>
      </c>
      <c r="K20" s="1734" t="s">
        <v>5881</v>
      </c>
      <c r="L20" s="1735" t="s">
        <v>433</v>
      </c>
      <c r="M20" s="1738">
        <v>51320000</v>
      </c>
      <c r="N20" s="1770"/>
      <c r="O20" s="1739"/>
      <c r="P20" s="1740"/>
    </row>
    <row r="21" spans="1:17" s="1741" customFormat="1" ht="42" customHeight="1" x14ac:dyDescent="0.2">
      <c r="A21" s="1769">
        <v>11</v>
      </c>
      <c r="B21" s="1734" t="s">
        <v>888</v>
      </c>
      <c r="C21" s="1735" t="s">
        <v>4365</v>
      </c>
      <c r="D21" s="1735" t="s">
        <v>9</v>
      </c>
      <c r="E21" s="1733">
        <v>15000</v>
      </c>
      <c r="F21" s="1735">
        <v>2006</v>
      </c>
      <c r="G21" s="1734" t="s">
        <v>899</v>
      </c>
      <c r="H21" s="1736" t="s">
        <v>902</v>
      </c>
      <c r="I21" s="1737" t="s">
        <v>9</v>
      </c>
      <c r="J21" s="1737" t="s">
        <v>9</v>
      </c>
      <c r="K21" s="1734" t="s">
        <v>5883</v>
      </c>
      <c r="L21" s="1735" t="s">
        <v>9</v>
      </c>
      <c r="M21" s="1738">
        <v>178200000</v>
      </c>
      <c r="N21" s="1770"/>
      <c r="O21" s="1739"/>
      <c r="P21" s="1740"/>
    </row>
    <row r="22" spans="1:17" s="1741" customFormat="1" ht="42" customHeight="1" x14ac:dyDescent="0.2">
      <c r="A22" s="1769">
        <v>12</v>
      </c>
      <c r="B22" s="1734" t="s">
        <v>889</v>
      </c>
      <c r="C22" s="1735" t="s">
        <v>4366</v>
      </c>
      <c r="D22" s="1735" t="s">
        <v>9</v>
      </c>
      <c r="E22" s="1733">
        <v>5625</v>
      </c>
      <c r="F22" s="1735" t="s">
        <v>9</v>
      </c>
      <c r="G22" s="1734" t="s">
        <v>899</v>
      </c>
      <c r="H22" s="1736" t="s">
        <v>903</v>
      </c>
      <c r="I22" s="1737" t="s">
        <v>9</v>
      </c>
      <c r="J22" s="1737" t="s">
        <v>9</v>
      </c>
      <c r="K22" s="1734" t="s">
        <v>5882</v>
      </c>
      <c r="L22" s="1735" t="s">
        <v>9</v>
      </c>
      <c r="M22" s="1738">
        <v>36562500</v>
      </c>
      <c r="N22" s="1770"/>
      <c r="O22" s="1739"/>
      <c r="P22" s="1740"/>
    </row>
    <row r="23" spans="1:17" s="1741" customFormat="1" ht="42" customHeight="1" x14ac:dyDescent="0.2">
      <c r="A23" s="1769">
        <v>13</v>
      </c>
      <c r="B23" s="1734" t="s">
        <v>885</v>
      </c>
      <c r="C23" s="1735" t="s">
        <v>1790</v>
      </c>
      <c r="D23" s="1735" t="s">
        <v>39</v>
      </c>
      <c r="E23" s="1733">
        <v>300</v>
      </c>
      <c r="F23" s="1735">
        <v>1999</v>
      </c>
      <c r="G23" s="1734" t="s">
        <v>6023</v>
      </c>
      <c r="H23" s="1736" t="s">
        <v>11</v>
      </c>
      <c r="I23" s="1737">
        <v>0</v>
      </c>
      <c r="J23" s="1737">
        <v>0</v>
      </c>
      <c r="K23" s="1734" t="s">
        <v>5881</v>
      </c>
      <c r="L23" s="1735" t="s">
        <v>12</v>
      </c>
      <c r="M23" s="1738">
        <v>75000000</v>
      </c>
      <c r="N23" s="1770"/>
      <c r="O23" s="1739"/>
      <c r="P23" s="1740"/>
    </row>
    <row r="24" spans="1:17" s="1741" customFormat="1" ht="42" customHeight="1" x14ac:dyDescent="0.2">
      <c r="A24" s="1769">
        <v>14</v>
      </c>
      <c r="B24" s="1734" t="s">
        <v>5885</v>
      </c>
      <c r="C24" s="1735" t="s">
        <v>4365</v>
      </c>
      <c r="D24" s="1735" t="s">
        <v>39</v>
      </c>
      <c r="E24" s="1733">
        <v>2574.5</v>
      </c>
      <c r="F24" s="1735">
        <v>2009</v>
      </c>
      <c r="G24" s="1734" t="s">
        <v>5886</v>
      </c>
      <c r="H24" s="1736" t="s">
        <v>902</v>
      </c>
      <c r="I24" s="1737" t="s">
        <v>9</v>
      </c>
      <c r="J24" s="1737" t="s">
        <v>9</v>
      </c>
      <c r="K24" s="1734" t="s">
        <v>5883</v>
      </c>
      <c r="L24" s="1735" t="s">
        <v>12</v>
      </c>
      <c r="M24" s="1738">
        <v>110513950</v>
      </c>
      <c r="N24" s="1770"/>
      <c r="O24" s="1743"/>
      <c r="P24" s="1740"/>
    </row>
    <row r="25" spans="1:17" s="1741" customFormat="1" ht="42" customHeight="1" x14ac:dyDescent="0.2">
      <c r="A25" s="1769">
        <v>15</v>
      </c>
      <c r="B25" s="1734" t="s">
        <v>890</v>
      </c>
      <c r="C25" s="1744" t="s">
        <v>4367</v>
      </c>
      <c r="D25" s="1735" t="s">
        <v>52</v>
      </c>
      <c r="E25" s="1733">
        <v>20000</v>
      </c>
      <c r="F25" s="1735">
        <v>2007</v>
      </c>
      <c r="G25" s="1734" t="s">
        <v>6024</v>
      </c>
      <c r="H25" s="1736" t="s">
        <v>6025</v>
      </c>
      <c r="I25" s="1737">
        <v>0</v>
      </c>
      <c r="J25" s="1737">
        <v>0</v>
      </c>
      <c r="K25" s="1734" t="s">
        <v>5881</v>
      </c>
      <c r="L25" s="1735" t="s">
        <v>12</v>
      </c>
      <c r="M25" s="1738">
        <v>71500000</v>
      </c>
      <c r="N25" s="1770"/>
      <c r="O25" s="1745"/>
      <c r="P25" s="1740"/>
    </row>
    <row r="26" spans="1:17" s="1741" customFormat="1" ht="42" customHeight="1" x14ac:dyDescent="0.2">
      <c r="A26" s="1769">
        <v>16</v>
      </c>
      <c r="B26" s="1734" t="s">
        <v>891</v>
      </c>
      <c r="C26" s="1735" t="s">
        <v>4365</v>
      </c>
      <c r="D26" s="1735" t="s">
        <v>52</v>
      </c>
      <c r="E26" s="1733">
        <v>3380</v>
      </c>
      <c r="F26" s="1735">
        <v>2014</v>
      </c>
      <c r="G26" s="1734" t="s">
        <v>897</v>
      </c>
      <c r="H26" s="1736" t="s">
        <v>904</v>
      </c>
      <c r="I26" s="1735"/>
      <c r="J26" s="1737"/>
      <c r="K26" s="1734" t="s">
        <v>5883</v>
      </c>
      <c r="L26" s="1735"/>
      <c r="M26" s="1738">
        <v>79410723</v>
      </c>
      <c r="N26" s="1770"/>
      <c r="O26" s="1746"/>
      <c r="P26" s="1740"/>
    </row>
    <row r="27" spans="1:17" s="1741" customFormat="1" ht="42" customHeight="1" x14ac:dyDescent="0.2">
      <c r="A27" s="1769">
        <v>17</v>
      </c>
      <c r="B27" s="1747" t="s">
        <v>5887</v>
      </c>
      <c r="C27" s="1735" t="s">
        <v>4365</v>
      </c>
      <c r="D27" s="1735" t="s">
        <v>52</v>
      </c>
      <c r="E27" s="1733">
        <v>0</v>
      </c>
      <c r="F27" s="1735">
        <v>2003</v>
      </c>
      <c r="G27" s="1734" t="s">
        <v>5888</v>
      </c>
      <c r="H27" s="1736" t="s">
        <v>904</v>
      </c>
      <c r="I27" s="1735"/>
      <c r="J27" s="1737"/>
      <c r="K27" s="1734" t="s">
        <v>5883</v>
      </c>
      <c r="L27" s="1735" t="s">
        <v>12</v>
      </c>
      <c r="M27" s="1748">
        <v>970000000</v>
      </c>
      <c r="N27" s="1770" t="s">
        <v>21</v>
      </c>
      <c r="O27" s="1749"/>
      <c r="P27" s="1740"/>
    </row>
    <row r="28" spans="1:17" s="1741" customFormat="1" ht="42" customHeight="1" x14ac:dyDescent="0.2">
      <c r="A28" s="1769">
        <v>18</v>
      </c>
      <c r="B28" s="1747" t="s">
        <v>1679</v>
      </c>
      <c r="C28" s="1735" t="s">
        <v>1790</v>
      </c>
      <c r="D28" s="1735" t="s">
        <v>39</v>
      </c>
      <c r="E28" s="1733">
        <v>3817.35</v>
      </c>
      <c r="F28" s="1735">
        <v>1991</v>
      </c>
      <c r="G28" s="1734" t="s">
        <v>6026</v>
      </c>
      <c r="H28" s="1736" t="s">
        <v>430</v>
      </c>
      <c r="I28" s="1735">
        <v>0</v>
      </c>
      <c r="J28" s="1737">
        <v>0</v>
      </c>
      <c r="K28" s="1734" t="s">
        <v>5881</v>
      </c>
      <c r="L28" s="1735" t="s">
        <v>12</v>
      </c>
      <c r="M28" s="1748">
        <v>477168750</v>
      </c>
      <c r="N28" s="1770"/>
      <c r="O28" s="1740"/>
      <c r="P28" s="1740"/>
    </row>
    <row r="29" spans="1:17" s="1741" customFormat="1" ht="42" customHeight="1" x14ac:dyDescent="0.2">
      <c r="A29" s="1769">
        <v>19</v>
      </c>
      <c r="B29" s="1747" t="s">
        <v>1680</v>
      </c>
      <c r="C29" s="1735" t="s">
        <v>4368</v>
      </c>
      <c r="D29" s="1735" t="s">
        <v>52</v>
      </c>
      <c r="E29" s="1733">
        <v>587</v>
      </c>
      <c r="F29" s="1735">
        <v>2006</v>
      </c>
      <c r="G29" s="1734" t="s">
        <v>6027</v>
      </c>
      <c r="H29" s="1736" t="s">
        <v>6025</v>
      </c>
      <c r="I29" s="1735">
        <v>0</v>
      </c>
      <c r="J29" s="1737">
        <v>0</v>
      </c>
      <c r="K29" s="1734" t="s">
        <v>5884</v>
      </c>
      <c r="L29" s="1735" t="s">
        <v>12</v>
      </c>
      <c r="M29" s="1748">
        <v>32212000</v>
      </c>
      <c r="N29" s="1770"/>
      <c r="O29" s="1750"/>
      <c r="P29" s="1740"/>
      <c r="Q29" s="1741" t="str">
        <f>UPPER(K29)</f>
        <v>TANAH UNTUK BANGUNAN AIR</v>
      </c>
    </row>
    <row r="30" spans="1:17" s="1741" customFormat="1" ht="42" customHeight="1" x14ac:dyDescent="0.2">
      <c r="A30" s="1769">
        <v>20</v>
      </c>
      <c r="B30" s="1747" t="s">
        <v>1681</v>
      </c>
      <c r="C30" s="1735" t="s">
        <v>1790</v>
      </c>
      <c r="D30" s="1735" t="s">
        <v>39</v>
      </c>
      <c r="E30" s="1733">
        <v>600</v>
      </c>
      <c r="F30" s="1735" t="s">
        <v>1682</v>
      </c>
      <c r="G30" s="1734" t="s">
        <v>467</v>
      </c>
      <c r="H30" s="1736" t="s">
        <v>6028</v>
      </c>
      <c r="I30" s="1735">
        <v>0</v>
      </c>
      <c r="J30" s="1737">
        <v>0</v>
      </c>
      <c r="K30" s="1734" t="s">
        <v>5881</v>
      </c>
      <c r="L30" s="1735" t="s">
        <v>12</v>
      </c>
      <c r="M30" s="1748">
        <v>75000000</v>
      </c>
      <c r="N30" s="1770"/>
      <c r="O30" s="1749"/>
      <c r="P30" s="1740"/>
    </row>
    <row r="31" spans="1:17" s="1741" customFormat="1" ht="42" customHeight="1" x14ac:dyDescent="0.2">
      <c r="A31" s="1769">
        <v>21</v>
      </c>
      <c r="B31" s="1747" t="s">
        <v>1683</v>
      </c>
      <c r="C31" s="1735" t="s">
        <v>1790</v>
      </c>
      <c r="D31" s="1735" t="s">
        <v>52</v>
      </c>
      <c r="E31" s="1733">
        <v>2242</v>
      </c>
      <c r="F31" s="1735">
        <v>1991</v>
      </c>
      <c r="G31" s="1734" t="s">
        <v>6029</v>
      </c>
      <c r="H31" s="1736" t="s">
        <v>6028</v>
      </c>
      <c r="I31" s="1735">
        <v>0</v>
      </c>
      <c r="J31" s="1737">
        <v>0</v>
      </c>
      <c r="K31" s="1734" t="s">
        <v>5881</v>
      </c>
      <c r="L31" s="1735" t="s">
        <v>12</v>
      </c>
      <c r="M31" s="1748">
        <v>224200000</v>
      </c>
      <c r="N31" s="1770"/>
      <c r="O31" s="1740"/>
      <c r="P31" s="1740"/>
    </row>
    <row r="32" spans="1:17" s="1741" customFormat="1" ht="42" customHeight="1" x14ac:dyDescent="0.2">
      <c r="A32" s="1769">
        <v>22</v>
      </c>
      <c r="B32" s="1747" t="s">
        <v>1684</v>
      </c>
      <c r="C32" s="1735" t="s">
        <v>4369</v>
      </c>
      <c r="D32" s="1735" t="s">
        <v>52</v>
      </c>
      <c r="E32" s="1733">
        <v>1074</v>
      </c>
      <c r="F32" s="1735" t="s">
        <v>9</v>
      </c>
      <c r="G32" s="1734" t="s">
        <v>4370</v>
      </c>
      <c r="H32" s="1736" t="s">
        <v>4371</v>
      </c>
      <c r="I32" s="1735"/>
      <c r="J32" s="1737"/>
      <c r="K32" s="1734" t="s">
        <v>5884</v>
      </c>
      <c r="L32" s="1735" t="s">
        <v>9</v>
      </c>
      <c r="M32" s="1748">
        <v>5370000</v>
      </c>
      <c r="N32" s="1770"/>
      <c r="O32" s="1740"/>
      <c r="P32" s="1740"/>
    </row>
    <row r="33" spans="1:16" s="1741" customFormat="1" ht="42" customHeight="1" x14ac:dyDescent="0.2">
      <c r="A33" s="1769">
        <v>23</v>
      </c>
      <c r="B33" s="1747" t="s">
        <v>1685</v>
      </c>
      <c r="C33" s="1735" t="s">
        <v>1790</v>
      </c>
      <c r="D33" s="1735" t="s">
        <v>52</v>
      </c>
      <c r="E33" s="1733">
        <v>20000</v>
      </c>
      <c r="F33" s="1735">
        <v>1990</v>
      </c>
      <c r="G33" s="1734" t="s">
        <v>6030</v>
      </c>
      <c r="H33" s="1736" t="s">
        <v>6020</v>
      </c>
      <c r="I33" s="1735">
        <v>0</v>
      </c>
      <c r="J33" s="1737">
        <v>0</v>
      </c>
      <c r="K33" s="1734" t="s">
        <v>5881</v>
      </c>
      <c r="L33" s="1735"/>
      <c r="M33" s="1748">
        <v>700000000</v>
      </c>
      <c r="N33" s="1770"/>
      <c r="O33" s="1740"/>
      <c r="P33" s="1740"/>
    </row>
    <row r="34" spans="1:16" s="1741" customFormat="1" ht="42" customHeight="1" x14ac:dyDescent="0.2">
      <c r="A34" s="1769">
        <v>24</v>
      </c>
      <c r="B34" s="1747" t="s">
        <v>1686</v>
      </c>
      <c r="C34" s="1735" t="s">
        <v>1790</v>
      </c>
      <c r="D34" s="1735" t="s">
        <v>52</v>
      </c>
      <c r="E34" s="1733">
        <v>382</v>
      </c>
      <c r="F34" s="1735">
        <v>1990</v>
      </c>
      <c r="G34" s="1734" t="s">
        <v>6031</v>
      </c>
      <c r="H34" s="1736" t="s">
        <v>6020</v>
      </c>
      <c r="I34" s="1735">
        <v>0</v>
      </c>
      <c r="J34" s="1737">
        <v>0</v>
      </c>
      <c r="K34" s="1734" t="s">
        <v>5881</v>
      </c>
      <c r="L34" s="1735"/>
      <c r="M34" s="1748">
        <v>19100000</v>
      </c>
      <c r="N34" s="1770"/>
      <c r="O34" s="1740"/>
      <c r="P34" s="1740"/>
    </row>
    <row r="35" spans="1:16" s="1741" customFormat="1" ht="42" customHeight="1" x14ac:dyDescent="0.2">
      <c r="A35" s="1769">
        <v>25</v>
      </c>
      <c r="B35" s="1747" t="s">
        <v>885</v>
      </c>
      <c r="C35" s="1735" t="s">
        <v>1790</v>
      </c>
      <c r="D35" s="1735" t="s">
        <v>39</v>
      </c>
      <c r="E35" s="1733">
        <v>1200</v>
      </c>
      <c r="F35" s="1735" t="s">
        <v>141</v>
      </c>
      <c r="G35" s="1734" t="s">
        <v>6032</v>
      </c>
      <c r="H35" s="1736" t="s">
        <v>430</v>
      </c>
      <c r="I35" s="1735">
        <v>0</v>
      </c>
      <c r="J35" s="1737">
        <v>0</v>
      </c>
      <c r="K35" s="1734" t="s">
        <v>5881</v>
      </c>
      <c r="L35" s="1735" t="s">
        <v>433</v>
      </c>
      <c r="M35" s="1748">
        <v>180000000</v>
      </c>
      <c r="N35" s="1770"/>
      <c r="O35" s="1740"/>
      <c r="P35" s="1740"/>
    </row>
    <row r="36" spans="1:16" s="1741" customFormat="1" ht="42" customHeight="1" x14ac:dyDescent="0.2">
      <c r="A36" s="1769">
        <v>26</v>
      </c>
      <c r="B36" s="1747" t="s">
        <v>1687</v>
      </c>
      <c r="C36" s="1735" t="s">
        <v>1790</v>
      </c>
      <c r="D36" s="1737"/>
      <c r="E36" s="1733">
        <v>629</v>
      </c>
      <c r="F36" s="1735">
        <v>1992</v>
      </c>
      <c r="G36" s="1734" t="s">
        <v>6033</v>
      </c>
      <c r="H36" s="1736" t="s">
        <v>6034</v>
      </c>
      <c r="I36" s="1735">
        <v>0</v>
      </c>
      <c r="J36" s="1737">
        <v>0</v>
      </c>
      <c r="K36" s="1734" t="s">
        <v>5881</v>
      </c>
      <c r="L36" s="1735"/>
      <c r="M36" s="1748">
        <v>22015000</v>
      </c>
      <c r="N36" s="1770"/>
      <c r="O36" s="1740"/>
      <c r="P36" s="1740"/>
    </row>
    <row r="37" spans="1:16" s="1741" customFormat="1" ht="42" customHeight="1" x14ac:dyDescent="0.2">
      <c r="A37" s="1769">
        <v>27</v>
      </c>
      <c r="B37" s="1747" t="s">
        <v>4372</v>
      </c>
      <c r="C37" s="1735" t="s">
        <v>4369</v>
      </c>
      <c r="D37" s="1737"/>
      <c r="E37" s="1733">
        <v>1200</v>
      </c>
      <c r="F37" s="1735">
        <v>1989</v>
      </c>
      <c r="G37" s="1734" t="s">
        <v>431</v>
      </c>
      <c r="H37" s="1736" t="s">
        <v>6035</v>
      </c>
      <c r="I37" s="1735">
        <v>0</v>
      </c>
      <c r="J37" s="1737">
        <v>0</v>
      </c>
      <c r="K37" s="1734" t="s">
        <v>5884</v>
      </c>
      <c r="L37" s="1735"/>
      <c r="M37" s="1748">
        <v>78000000</v>
      </c>
      <c r="N37" s="1770"/>
      <c r="O37" s="1740"/>
      <c r="P37" s="1740"/>
    </row>
    <row r="38" spans="1:16" s="1741" customFormat="1" ht="42" customHeight="1" x14ac:dyDescent="0.2">
      <c r="A38" s="1769">
        <v>28</v>
      </c>
      <c r="B38" s="1747" t="s">
        <v>4377</v>
      </c>
      <c r="C38" s="1735" t="s">
        <v>4365</v>
      </c>
      <c r="D38" s="1737"/>
      <c r="E38" s="1733">
        <v>93600</v>
      </c>
      <c r="F38" s="1735">
        <v>2018</v>
      </c>
      <c r="G38" s="1734" t="s">
        <v>624</v>
      </c>
      <c r="H38" s="1736" t="s">
        <v>902</v>
      </c>
      <c r="I38" s="1735">
        <v>2000</v>
      </c>
      <c r="J38" s="1737"/>
      <c r="K38" s="1734" t="s">
        <v>5883</v>
      </c>
      <c r="L38" s="1735"/>
      <c r="M38" s="1748">
        <v>300614400</v>
      </c>
      <c r="N38" s="1770" t="s">
        <v>4678</v>
      </c>
      <c r="O38" s="1740"/>
      <c r="P38" s="1740"/>
    </row>
    <row r="39" spans="1:16" s="1741" customFormat="1" ht="42" customHeight="1" x14ac:dyDescent="0.2">
      <c r="A39" s="1769">
        <v>29</v>
      </c>
      <c r="B39" s="1747" t="s">
        <v>4378</v>
      </c>
      <c r="C39" s="1735" t="s">
        <v>4365</v>
      </c>
      <c r="D39" s="1737"/>
      <c r="E39" s="1733">
        <v>106400</v>
      </c>
      <c r="F39" s="1735">
        <v>2018</v>
      </c>
      <c r="G39" s="1734" t="s">
        <v>621</v>
      </c>
      <c r="H39" s="1736" t="s">
        <v>902</v>
      </c>
      <c r="I39" s="1735">
        <v>2000</v>
      </c>
      <c r="J39" s="1737"/>
      <c r="K39" s="1734" t="s">
        <v>5883</v>
      </c>
      <c r="L39" s="1735"/>
      <c r="M39" s="1748">
        <v>253480000</v>
      </c>
      <c r="N39" s="1770" t="s">
        <v>4678</v>
      </c>
      <c r="O39" s="1740"/>
      <c r="P39" s="1740"/>
    </row>
    <row r="40" spans="1:16" s="1741" customFormat="1" ht="42" customHeight="1" x14ac:dyDescent="0.2">
      <c r="A40" s="1769">
        <v>30</v>
      </c>
      <c r="B40" s="1747" t="s">
        <v>4379</v>
      </c>
      <c r="C40" s="1735" t="s">
        <v>4365</v>
      </c>
      <c r="D40" s="1737"/>
      <c r="E40" s="1733">
        <v>157100</v>
      </c>
      <c r="F40" s="1735">
        <v>2018</v>
      </c>
      <c r="G40" s="1734" t="s">
        <v>3584</v>
      </c>
      <c r="H40" s="1736" t="s">
        <v>902</v>
      </c>
      <c r="I40" s="1735">
        <v>2000</v>
      </c>
      <c r="J40" s="1737"/>
      <c r="K40" s="1734" t="s">
        <v>5883</v>
      </c>
      <c r="L40" s="1735"/>
      <c r="M40" s="1748">
        <v>273720000</v>
      </c>
      <c r="N40" s="1770" t="s">
        <v>4678</v>
      </c>
      <c r="O40" s="1740"/>
      <c r="P40" s="1740"/>
    </row>
    <row r="41" spans="1:16" s="1741" customFormat="1" ht="42" customHeight="1" x14ac:dyDescent="0.2">
      <c r="A41" s="1769">
        <v>31</v>
      </c>
      <c r="B41" s="1747" t="s">
        <v>4380</v>
      </c>
      <c r="C41" s="1735" t="s">
        <v>4365</v>
      </c>
      <c r="D41" s="1737"/>
      <c r="E41" s="1733">
        <v>289500</v>
      </c>
      <c r="F41" s="1735">
        <v>2018</v>
      </c>
      <c r="G41" s="1734" t="s">
        <v>619</v>
      </c>
      <c r="H41" s="1736" t="s">
        <v>902</v>
      </c>
      <c r="I41" s="1735">
        <v>2000</v>
      </c>
      <c r="J41" s="1737"/>
      <c r="K41" s="1734" t="s">
        <v>5883</v>
      </c>
      <c r="L41" s="1735"/>
      <c r="M41" s="1748">
        <v>2314650000</v>
      </c>
      <c r="N41" s="1770" t="s">
        <v>4678</v>
      </c>
      <c r="O41" s="1740"/>
      <c r="P41" s="1740"/>
    </row>
    <row r="42" spans="1:16" s="1741" customFormat="1" ht="42" customHeight="1" x14ac:dyDescent="0.2">
      <c r="A42" s="1769">
        <v>32</v>
      </c>
      <c r="B42" s="1747" t="s">
        <v>4381</v>
      </c>
      <c r="C42" s="1735" t="s">
        <v>4365</v>
      </c>
      <c r="D42" s="1737"/>
      <c r="E42" s="1733">
        <v>124000</v>
      </c>
      <c r="F42" s="1735">
        <v>2018</v>
      </c>
      <c r="G42" s="1734" t="s">
        <v>620</v>
      </c>
      <c r="H42" s="1736" t="s">
        <v>902</v>
      </c>
      <c r="I42" s="1735">
        <v>2000</v>
      </c>
      <c r="J42" s="1737"/>
      <c r="K42" s="1734" t="s">
        <v>5883</v>
      </c>
      <c r="L42" s="1735"/>
      <c r="M42" s="1748">
        <v>303800000</v>
      </c>
      <c r="N42" s="1770" t="s">
        <v>4678</v>
      </c>
      <c r="O42" s="1740"/>
      <c r="P42" s="1740"/>
    </row>
    <row r="43" spans="1:16" s="1741" customFormat="1" ht="42" customHeight="1" x14ac:dyDescent="0.2">
      <c r="A43" s="1769">
        <v>33</v>
      </c>
      <c r="B43" s="1747" t="s">
        <v>4382</v>
      </c>
      <c r="C43" s="1735" t="s">
        <v>4365</v>
      </c>
      <c r="D43" s="1737"/>
      <c r="E43" s="1733">
        <v>21000</v>
      </c>
      <c r="F43" s="1735">
        <v>2018</v>
      </c>
      <c r="G43" s="1734" t="s">
        <v>616</v>
      </c>
      <c r="H43" s="1736" t="s">
        <v>902</v>
      </c>
      <c r="I43" s="1735">
        <v>2000</v>
      </c>
      <c r="J43" s="1737"/>
      <c r="K43" s="1734" t="s">
        <v>5883</v>
      </c>
      <c r="L43" s="1735"/>
      <c r="M43" s="1748">
        <v>294000000</v>
      </c>
      <c r="N43" s="1770" t="s">
        <v>4678</v>
      </c>
      <c r="O43" s="1740"/>
      <c r="P43" s="1740"/>
    </row>
    <row r="44" spans="1:16" s="1741" customFormat="1" ht="42" customHeight="1" x14ac:dyDescent="0.2">
      <c r="A44" s="1769">
        <v>34</v>
      </c>
      <c r="B44" s="1747" t="s">
        <v>4383</v>
      </c>
      <c r="C44" s="1735" t="s">
        <v>4365</v>
      </c>
      <c r="D44" s="1737"/>
      <c r="E44" s="1733">
        <v>38500</v>
      </c>
      <c r="F44" s="1735">
        <v>2018</v>
      </c>
      <c r="G44" s="1734" t="s">
        <v>617</v>
      </c>
      <c r="H44" s="1736" t="s">
        <v>902</v>
      </c>
      <c r="I44" s="1735">
        <v>2000</v>
      </c>
      <c r="J44" s="1737"/>
      <c r="K44" s="1734" t="s">
        <v>5883</v>
      </c>
      <c r="L44" s="1735"/>
      <c r="M44" s="1748">
        <v>675500000</v>
      </c>
      <c r="N44" s="1770" t="s">
        <v>4678</v>
      </c>
      <c r="O44" s="1740"/>
      <c r="P44" s="1740"/>
    </row>
    <row r="45" spans="1:16" s="1741" customFormat="1" ht="42" customHeight="1" x14ac:dyDescent="0.2">
      <c r="A45" s="1769">
        <v>35</v>
      </c>
      <c r="B45" s="1747" t="s">
        <v>4384</v>
      </c>
      <c r="C45" s="1735" t="s">
        <v>4365</v>
      </c>
      <c r="D45" s="1737"/>
      <c r="E45" s="1733">
        <v>14000</v>
      </c>
      <c r="F45" s="1735">
        <v>2018</v>
      </c>
      <c r="G45" s="1734" t="s">
        <v>618</v>
      </c>
      <c r="H45" s="1736" t="s">
        <v>902</v>
      </c>
      <c r="I45" s="1735">
        <v>2000</v>
      </c>
      <c r="J45" s="1737"/>
      <c r="K45" s="1734" t="s">
        <v>5883</v>
      </c>
      <c r="L45" s="1735"/>
      <c r="M45" s="1748">
        <v>196000000</v>
      </c>
      <c r="N45" s="1770" t="s">
        <v>4678</v>
      </c>
      <c r="O45" s="1740"/>
      <c r="P45" s="1740"/>
    </row>
    <row r="46" spans="1:16" s="1741" customFormat="1" ht="42" customHeight="1" x14ac:dyDescent="0.2">
      <c r="A46" s="1769">
        <v>36</v>
      </c>
      <c r="B46" s="1747" t="s">
        <v>4385</v>
      </c>
      <c r="C46" s="1735" t="s">
        <v>4365</v>
      </c>
      <c r="D46" s="1737"/>
      <c r="E46" s="1733">
        <v>28000</v>
      </c>
      <c r="F46" s="1735">
        <v>2018</v>
      </c>
      <c r="G46" s="1734" t="s">
        <v>613</v>
      </c>
      <c r="H46" s="1736" t="s">
        <v>902</v>
      </c>
      <c r="I46" s="1735">
        <v>2000</v>
      </c>
      <c r="J46" s="1737"/>
      <c r="K46" s="1734" t="s">
        <v>5883</v>
      </c>
      <c r="L46" s="1735"/>
      <c r="M46" s="1748">
        <v>347200000</v>
      </c>
      <c r="N46" s="1770" t="s">
        <v>4678</v>
      </c>
      <c r="O46" s="1740"/>
      <c r="P46" s="1740"/>
    </row>
    <row r="47" spans="1:16" s="1741" customFormat="1" ht="42" customHeight="1" x14ac:dyDescent="0.2">
      <c r="A47" s="1769">
        <v>37</v>
      </c>
      <c r="B47" s="1747" t="s">
        <v>4386</v>
      </c>
      <c r="C47" s="1735" t="s">
        <v>4365</v>
      </c>
      <c r="D47" s="1737"/>
      <c r="E47" s="1733">
        <v>84000</v>
      </c>
      <c r="F47" s="1735">
        <v>2018</v>
      </c>
      <c r="G47" s="1734" t="s">
        <v>614</v>
      </c>
      <c r="H47" s="1736" t="s">
        <v>902</v>
      </c>
      <c r="I47" s="1735">
        <v>2000</v>
      </c>
      <c r="J47" s="1737"/>
      <c r="K47" s="1734" t="s">
        <v>5883</v>
      </c>
      <c r="L47" s="1735"/>
      <c r="M47" s="1748">
        <v>180950000</v>
      </c>
      <c r="N47" s="1770" t="s">
        <v>4678</v>
      </c>
      <c r="O47" s="1740"/>
      <c r="P47" s="1740"/>
    </row>
    <row r="48" spans="1:16" s="1741" customFormat="1" ht="42" customHeight="1" x14ac:dyDescent="0.2">
      <c r="A48" s="1769">
        <v>38</v>
      </c>
      <c r="B48" s="1747" t="s">
        <v>4387</v>
      </c>
      <c r="C48" s="1735" t="s">
        <v>4365</v>
      </c>
      <c r="D48" s="1737"/>
      <c r="E48" s="1733">
        <v>297850</v>
      </c>
      <c r="F48" s="1735">
        <v>2018</v>
      </c>
      <c r="G48" s="1734" t="s">
        <v>3585</v>
      </c>
      <c r="H48" s="1736" t="s">
        <v>902</v>
      </c>
      <c r="I48" s="1735">
        <v>2000</v>
      </c>
      <c r="J48" s="1737"/>
      <c r="K48" s="1734" t="s">
        <v>5883</v>
      </c>
      <c r="L48" s="1735"/>
      <c r="M48" s="1748">
        <v>602808500</v>
      </c>
      <c r="N48" s="1770" t="s">
        <v>4678</v>
      </c>
      <c r="O48" s="1740"/>
      <c r="P48" s="1740"/>
    </row>
    <row r="49" spans="1:16" s="1741" customFormat="1" ht="42" customHeight="1" x14ac:dyDescent="0.2">
      <c r="A49" s="1769">
        <v>39</v>
      </c>
      <c r="B49" s="1747" t="s">
        <v>4388</v>
      </c>
      <c r="C49" s="1735" t="s">
        <v>4365</v>
      </c>
      <c r="D49" s="1737"/>
      <c r="E49" s="1733">
        <v>200000</v>
      </c>
      <c r="F49" s="1735">
        <v>2018</v>
      </c>
      <c r="G49" s="1734" t="s">
        <v>3586</v>
      </c>
      <c r="H49" s="1736" t="s">
        <v>902</v>
      </c>
      <c r="I49" s="1735">
        <v>2000</v>
      </c>
      <c r="J49" s="1737"/>
      <c r="K49" s="1734" t="s">
        <v>5883</v>
      </c>
      <c r="L49" s="1735"/>
      <c r="M49" s="1748">
        <v>1000000000</v>
      </c>
      <c r="N49" s="1770" t="s">
        <v>4678</v>
      </c>
      <c r="O49" s="1740"/>
      <c r="P49" s="1740"/>
    </row>
    <row r="50" spans="1:16" s="1741" customFormat="1" ht="42" customHeight="1" x14ac:dyDescent="0.2">
      <c r="A50" s="1769">
        <v>40</v>
      </c>
      <c r="B50" s="1747" t="s">
        <v>4389</v>
      </c>
      <c r="C50" s="1735" t="s">
        <v>4365</v>
      </c>
      <c r="D50" s="1737"/>
      <c r="E50" s="1733">
        <v>4200</v>
      </c>
      <c r="F50" s="1735">
        <v>2018</v>
      </c>
      <c r="G50" s="1734" t="s">
        <v>615</v>
      </c>
      <c r="H50" s="1736" t="s">
        <v>902</v>
      </c>
      <c r="I50" s="1735">
        <v>2000</v>
      </c>
      <c r="J50" s="1737"/>
      <c r="K50" s="1734" t="s">
        <v>5883</v>
      </c>
      <c r="L50" s="1735"/>
      <c r="M50" s="1748">
        <v>201600000</v>
      </c>
      <c r="N50" s="1770" t="s">
        <v>4678</v>
      </c>
      <c r="O50" s="1740"/>
      <c r="P50" s="1740"/>
    </row>
    <row r="51" spans="1:16" s="1741" customFormat="1" ht="42" customHeight="1" x14ac:dyDescent="0.2">
      <c r="A51" s="1769">
        <v>41</v>
      </c>
      <c r="B51" s="1747" t="s">
        <v>4390</v>
      </c>
      <c r="C51" s="1735" t="s">
        <v>4365</v>
      </c>
      <c r="D51" s="1737"/>
      <c r="E51" s="1733">
        <v>8400</v>
      </c>
      <c r="F51" s="1735">
        <v>2018</v>
      </c>
      <c r="G51" s="1734" t="s">
        <v>3587</v>
      </c>
      <c r="H51" s="1736" t="s">
        <v>902</v>
      </c>
      <c r="I51" s="1735">
        <v>2000</v>
      </c>
      <c r="J51" s="1737"/>
      <c r="K51" s="1734" t="s">
        <v>5883</v>
      </c>
      <c r="L51" s="1735"/>
      <c r="M51" s="1748">
        <v>14280000</v>
      </c>
      <c r="N51" s="1770" t="s">
        <v>4678</v>
      </c>
      <c r="O51" s="1740"/>
      <c r="P51" s="1740"/>
    </row>
    <row r="52" spans="1:16" s="1741" customFormat="1" ht="42" customHeight="1" x14ac:dyDescent="0.2">
      <c r="A52" s="1769">
        <v>42</v>
      </c>
      <c r="B52" s="1747" t="s">
        <v>4391</v>
      </c>
      <c r="C52" s="1735" t="s">
        <v>4365</v>
      </c>
      <c r="D52" s="1737"/>
      <c r="E52" s="1733">
        <v>17500</v>
      </c>
      <c r="F52" s="1735">
        <v>2018</v>
      </c>
      <c r="G52" s="1734" t="s">
        <v>3588</v>
      </c>
      <c r="H52" s="1736" t="s">
        <v>902</v>
      </c>
      <c r="I52" s="1735">
        <v>2000</v>
      </c>
      <c r="J52" s="1737"/>
      <c r="K52" s="1734" t="s">
        <v>5883</v>
      </c>
      <c r="L52" s="1735"/>
      <c r="M52" s="1748">
        <v>29750000</v>
      </c>
      <c r="N52" s="1770" t="s">
        <v>4678</v>
      </c>
      <c r="O52" s="1740"/>
      <c r="P52" s="1740"/>
    </row>
    <row r="53" spans="1:16" s="1741" customFormat="1" ht="42" customHeight="1" x14ac:dyDescent="0.2">
      <c r="A53" s="1769">
        <v>43</v>
      </c>
      <c r="B53" s="1747" t="s">
        <v>4392</v>
      </c>
      <c r="C53" s="1735" t="s">
        <v>4365</v>
      </c>
      <c r="D53" s="1737"/>
      <c r="E53" s="1733">
        <v>9100</v>
      </c>
      <c r="F53" s="1735">
        <v>2018</v>
      </c>
      <c r="G53" s="1734" t="s">
        <v>5011</v>
      </c>
      <c r="H53" s="1736" t="s">
        <v>902</v>
      </c>
      <c r="I53" s="1735">
        <v>2000</v>
      </c>
      <c r="J53" s="1737"/>
      <c r="K53" s="1734" t="s">
        <v>5883</v>
      </c>
      <c r="L53" s="1735"/>
      <c r="M53" s="1748">
        <v>10920000</v>
      </c>
      <c r="N53" s="1770" t="s">
        <v>4678</v>
      </c>
      <c r="O53" s="1740"/>
      <c r="P53" s="1740"/>
    </row>
    <row r="54" spans="1:16" s="1741" customFormat="1" ht="42" customHeight="1" x14ac:dyDescent="0.2">
      <c r="A54" s="1769">
        <v>44</v>
      </c>
      <c r="B54" s="1747" t="s">
        <v>4393</v>
      </c>
      <c r="C54" s="1735" t="s">
        <v>4365</v>
      </c>
      <c r="D54" s="1737"/>
      <c r="E54" s="1733">
        <v>50000</v>
      </c>
      <c r="F54" s="1735">
        <v>2018</v>
      </c>
      <c r="G54" s="1734" t="s">
        <v>3590</v>
      </c>
      <c r="H54" s="1736" t="s">
        <v>902</v>
      </c>
      <c r="I54" s="1735">
        <v>2000</v>
      </c>
      <c r="J54" s="1737"/>
      <c r="K54" s="1734" t="s">
        <v>5883</v>
      </c>
      <c r="L54" s="1735"/>
      <c r="M54" s="1748">
        <v>500000000</v>
      </c>
      <c r="N54" s="1770" t="s">
        <v>4678</v>
      </c>
      <c r="O54" s="1740"/>
      <c r="P54" s="1740"/>
    </row>
    <row r="55" spans="1:16" s="1741" customFormat="1" ht="42" customHeight="1" x14ac:dyDescent="0.2">
      <c r="A55" s="1769">
        <v>45</v>
      </c>
      <c r="B55" s="1747" t="s">
        <v>4394</v>
      </c>
      <c r="C55" s="1735" t="s">
        <v>4365</v>
      </c>
      <c r="D55" s="1737"/>
      <c r="E55" s="1733">
        <v>14000</v>
      </c>
      <c r="F55" s="1735">
        <v>2018</v>
      </c>
      <c r="G55" s="1734" t="s">
        <v>5012</v>
      </c>
      <c r="H55" s="1736" t="s">
        <v>902</v>
      </c>
      <c r="I55" s="1735">
        <v>2000</v>
      </c>
      <c r="J55" s="1737"/>
      <c r="K55" s="1734" t="s">
        <v>5883</v>
      </c>
      <c r="L55" s="1735"/>
      <c r="M55" s="1748">
        <v>140000000</v>
      </c>
      <c r="N55" s="1770" t="s">
        <v>4678</v>
      </c>
      <c r="O55" s="1740"/>
      <c r="P55" s="1740"/>
    </row>
    <row r="56" spans="1:16" s="1741" customFormat="1" ht="42" customHeight="1" x14ac:dyDescent="0.2">
      <c r="A56" s="1769">
        <v>46</v>
      </c>
      <c r="B56" s="1747" t="s">
        <v>4395</v>
      </c>
      <c r="C56" s="1735" t="s">
        <v>4365</v>
      </c>
      <c r="D56" s="1737"/>
      <c r="E56" s="1733">
        <v>120000</v>
      </c>
      <c r="F56" s="1735">
        <v>2018</v>
      </c>
      <c r="G56" s="1734" t="s">
        <v>607</v>
      </c>
      <c r="H56" s="1736" t="s">
        <v>902</v>
      </c>
      <c r="I56" s="1735">
        <v>2000</v>
      </c>
      <c r="J56" s="1737"/>
      <c r="K56" s="1734" t="s">
        <v>5883</v>
      </c>
      <c r="L56" s="1735"/>
      <c r="M56" s="1748">
        <v>12360000000</v>
      </c>
      <c r="N56" s="1770" t="s">
        <v>4678</v>
      </c>
      <c r="O56" s="1740"/>
      <c r="P56" s="1740"/>
    </row>
    <row r="57" spans="1:16" s="1741" customFormat="1" ht="42" customHeight="1" x14ac:dyDescent="0.2">
      <c r="A57" s="1769">
        <v>47</v>
      </c>
      <c r="B57" s="1747" t="s">
        <v>4396</v>
      </c>
      <c r="C57" s="1735" t="s">
        <v>4365</v>
      </c>
      <c r="D57" s="1737"/>
      <c r="E57" s="1733">
        <v>16000</v>
      </c>
      <c r="F57" s="1735">
        <v>2018</v>
      </c>
      <c r="G57" s="1734" t="s">
        <v>3592</v>
      </c>
      <c r="H57" s="1736" t="s">
        <v>902</v>
      </c>
      <c r="I57" s="1735">
        <v>2000</v>
      </c>
      <c r="J57" s="1737"/>
      <c r="K57" s="1734" t="s">
        <v>5883</v>
      </c>
      <c r="L57" s="1735"/>
      <c r="M57" s="1748">
        <v>27200000</v>
      </c>
      <c r="N57" s="1770" t="s">
        <v>4678</v>
      </c>
      <c r="O57" s="1740"/>
      <c r="P57" s="1740"/>
    </row>
    <row r="58" spans="1:16" s="1741" customFormat="1" ht="42" customHeight="1" x14ac:dyDescent="0.2">
      <c r="A58" s="1769">
        <v>48</v>
      </c>
      <c r="B58" s="1747" t="s">
        <v>4397</v>
      </c>
      <c r="C58" s="1735" t="s">
        <v>4365</v>
      </c>
      <c r="D58" s="1737"/>
      <c r="E58" s="1733">
        <v>30400</v>
      </c>
      <c r="F58" s="1735">
        <v>2018</v>
      </c>
      <c r="G58" s="1734" t="s">
        <v>603</v>
      </c>
      <c r="H58" s="1736" t="s">
        <v>902</v>
      </c>
      <c r="I58" s="1735">
        <v>2000</v>
      </c>
      <c r="J58" s="1737"/>
      <c r="K58" s="1734" t="s">
        <v>5883</v>
      </c>
      <c r="L58" s="1735"/>
      <c r="M58" s="1748">
        <v>3131200000</v>
      </c>
      <c r="N58" s="1770" t="s">
        <v>4678</v>
      </c>
      <c r="O58" s="1740"/>
      <c r="P58" s="1740"/>
    </row>
    <row r="59" spans="1:16" s="1741" customFormat="1" ht="42" customHeight="1" x14ac:dyDescent="0.2">
      <c r="A59" s="1769">
        <v>49</v>
      </c>
      <c r="B59" s="1747" t="s">
        <v>4398</v>
      </c>
      <c r="C59" s="1735" t="s">
        <v>4365</v>
      </c>
      <c r="D59" s="1737"/>
      <c r="E59" s="1733">
        <v>28000</v>
      </c>
      <c r="F59" s="1735">
        <v>2018</v>
      </c>
      <c r="G59" s="1734" t="s">
        <v>3593</v>
      </c>
      <c r="H59" s="1736" t="s">
        <v>902</v>
      </c>
      <c r="I59" s="1735">
        <v>2000</v>
      </c>
      <c r="J59" s="1737"/>
      <c r="K59" s="1734" t="s">
        <v>5883</v>
      </c>
      <c r="L59" s="1735"/>
      <c r="M59" s="1748">
        <v>1582000000</v>
      </c>
      <c r="N59" s="1770" t="s">
        <v>4678</v>
      </c>
      <c r="O59" s="1740"/>
      <c r="P59" s="1740"/>
    </row>
    <row r="60" spans="1:16" s="1741" customFormat="1" ht="42" customHeight="1" x14ac:dyDescent="0.2">
      <c r="A60" s="1769">
        <v>50</v>
      </c>
      <c r="B60" s="1747" t="s">
        <v>4399</v>
      </c>
      <c r="C60" s="1735" t="s">
        <v>4365</v>
      </c>
      <c r="D60" s="1737"/>
      <c r="E60" s="1733">
        <v>24000</v>
      </c>
      <c r="F60" s="1735">
        <v>2018</v>
      </c>
      <c r="G60" s="1734" t="s">
        <v>3594</v>
      </c>
      <c r="H60" s="1736" t="s">
        <v>902</v>
      </c>
      <c r="I60" s="1735">
        <v>2000</v>
      </c>
      <c r="J60" s="1737"/>
      <c r="K60" s="1734" t="s">
        <v>5883</v>
      </c>
      <c r="L60" s="1735"/>
      <c r="M60" s="1748">
        <v>336000000</v>
      </c>
      <c r="N60" s="1770" t="s">
        <v>4678</v>
      </c>
      <c r="O60" s="1740"/>
      <c r="P60" s="1740"/>
    </row>
    <row r="61" spans="1:16" s="1741" customFormat="1" ht="42" customHeight="1" x14ac:dyDescent="0.2">
      <c r="A61" s="1769">
        <v>51</v>
      </c>
      <c r="B61" s="1747" t="s">
        <v>4400</v>
      </c>
      <c r="C61" s="1735" t="s">
        <v>4365</v>
      </c>
      <c r="D61" s="1737"/>
      <c r="E61" s="1733">
        <v>19500</v>
      </c>
      <c r="F61" s="1735">
        <v>2018</v>
      </c>
      <c r="G61" s="1734" t="s">
        <v>3595</v>
      </c>
      <c r="H61" s="1736" t="s">
        <v>902</v>
      </c>
      <c r="I61" s="1735">
        <v>2000</v>
      </c>
      <c r="J61" s="1737"/>
      <c r="K61" s="1734" t="s">
        <v>5883</v>
      </c>
      <c r="L61" s="1735"/>
      <c r="M61" s="1748">
        <v>2407500000</v>
      </c>
      <c r="N61" s="1770" t="s">
        <v>4678</v>
      </c>
      <c r="O61" s="1740"/>
      <c r="P61" s="1740"/>
    </row>
    <row r="62" spans="1:16" s="1741" customFormat="1" ht="42" customHeight="1" x14ac:dyDescent="0.2">
      <c r="A62" s="1769">
        <v>52</v>
      </c>
      <c r="B62" s="1747" t="s">
        <v>4401</v>
      </c>
      <c r="C62" s="1735" t="s">
        <v>4365</v>
      </c>
      <c r="D62" s="1737"/>
      <c r="E62" s="1733">
        <v>32000</v>
      </c>
      <c r="F62" s="1735">
        <v>2018</v>
      </c>
      <c r="G62" s="1734" t="s">
        <v>3596</v>
      </c>
      <c r="H62" s="1736" t="s">
        <v>902</v>
      </c>
      <c r="I62" s="1735">
        <v>2000</v>
      </c>
      <c r="J62" s="1737"/>
      <c r="K62" s="1734" t="s">
        <v>5883</v>
      </c>
      <c r="L62" s="1735"/>
      <c r="M62" s="1748">
        <v>320000000</v>
      </c>
      <c r="N62" s="1770" t="s">
        <v>4678</v>
      </c>
      <c r="O62" s="1740"/>
      <c r="P62" s="1740"/>
    </row>
    <row r="63" spans="1:16" s="1741" customFormat="1" ht="42" customHeight="1" x14ac:dyDescent="0.2">
      <c r="A63" s="1769">
        <v>53</v>
      </c>
      <c r="B63" s="1747" t="s">
        <v>4402</v>
      </c>
      <c r="C63" s="1735" t="s">
        <v>4365</v>
      </c>
      <c r="D63" s="1737"/>
      <c r="E63" s="1733">
        <v>16000</v>
      </c>
      <c r="F63" s="1735">
        <v>2018</v>
      </c>
      <c r="G63" s="1734" t="s">
        <v>3597</v>
      </c>
      <c r="H63" s="1736" t="s">
        <v>902</v>
      </c>
      <c r="I63" s="1735">
        <v>2000</v>
      </c>
      <c r="J63" s="1737"/>
      <c r="K63" s="1734" t="s">
        <v>5883</v>
      </c>
      <c r="L63" s="1735"/>
      <c r="M63" s="1748">
        <v>160000000</v>
      </c>
      <c r="N63" s="1770" t="s">
        <v>4678</v>
      </c>
      <c r="O63" s="1740"/>
      <c r="P63" s="1740"/>
    </row>
    <row r="64" spans="1:16" s="1741" customFormat="1" ht="42" customHeight="1" x14ac:dyDescent="0.2">
      <c r="A64" s="1769">
        <v>54</v>
      </c>
      <c r="B64" s="1747" t="s">
        <v>4403</v>
      </c>
      <c r="C64" s="1735" t="s">
        <v>4365</v>
      </c>
      <c r="D64" s="1737"/>
      <c r="E64" s="1733">
        <v>112000</v>
      </c>
      <c r="F64" s="1735">
        <v>2018</v>
      </c>
      <c r="G64" s="1734" t="s">
        <v>5013</v>
      </c>
      <c r="H64" s="1736" t="s">
        <v>902</v>
      </c>
      <c r="I64" s="1735">
        <v>2000</v>
      </c>
      <c r="J64" s="1737"/>
      <c r="K64" s="1734" t="s">
        <v>5883</v>
      </c>
      <c r="L64" s="1735"/>
      <c r="M64" s="1748">
        <v>196940000</v>
      </c>
      <c r="N64" s="1770" t="s">
        <v>4678</v>
      </c>
      <c r="O64" s="1740"/>
      <c r="P64" s="1740"/>
    </row>
    <row r="65" spans="1:16" s="1741" customFormat="1" ht="42" customHeight="1" x14ac:dyDescent="0.2">
      <c r="A65" s="1769">
        <v>55</v>
      </c>
      <c r="B65" s="1747" t="s">
        <v>4404</v>
      </c>
      <c r="C65" s="1735" t="s">
        <v>4365</v>
      </c>
      <c r="D65" s="1737"/>
      <c r="E65" s="1733">
        <v>52000</v>
      </c>
      <c r="F65" s="1735">
        <v>2018</v>
      </c>
      <c r="G65" s="1734" t="s">
        <v>3598</v>
      </c>
      <c r="H65" s="1736" t="s">
        <v>902</v>
      </c>
      <c r="I65" s="1735">
        <v>2000</v>
      </c>
      <c r="J65" s="1737"/>
      <c r="K65" s="1734" t="s">
        <v>5883</v>
      </c>
      <c r="L65" s="1735"/>
      <c r="M65" s="1748">
        <v>977600000</v>
      </c>
      <c r="N65" s="1770" t="s">
        <v>4678</v>
      </c>
      <c r="O65" s="1740"/>
      <c r="P65" s="1740"/>
    </row>
    <row r="66" spans="1:16" s="1741" customFormat="1" ht="42" customHeight="1" x14ac:dyDescent="0.2">
      <c r="A66" s="1769">
        <v>56</v>
      </c>
      <c r="B66" s="1747" t="s">
        <v>4405</v>
      </c>
      <c r="C66" s="1735" t="s">
        <v>4365</v>
      </c>
      <c r="D66" s="1737"/>
      <c r="E66" s="1733">
        <v>20000</v>
      </c>
      <c r="F66" s="1735">
        <v>2018</v>
      </c>
      <c r="G66" s="1734" t="s">
        <v>893</v>
      </c>
      <c r="H66" s="1736" t="s">
        <v>902</v>
      </c>
      <c r="I66" s="1735">
        <v>2000</v>
      </c>
      <c r="J66" s="1737"/>
      <c r="K66" s="1734" t="s">
        <v>5883</v>
      </c>
      <c r="L66" s="1735"/>
      <c r="M66" s="1748">
        <v>1766400000</v>
      </c>
      <c r="N66" s="1770" t="s">
        <v>4678</v>
      </c>
      <c r="O66" s="1740"/>
      <c r="P66" s="1740"/>
    </row>
    <row r="67" spans="1:16" s="1741" customFormat="1" ht="42" customHeight="1" x14ac:dyDescent="0.2">
      <c r="A67" s="1769">
        <v>57</v>
      </c>
      <c r="B67" s="1747" t="s">
        <v>4406</v>
      </c>
      <c r="C67" s="1735" t="s">
        <v>4365</v>
      </c>
      <c r="D67" s="1737"/>
      <c r="E67" s="1733">
        <v>14000</v>
      </c>
      <c r="F67" s="1735">
        <v>2018</v>
      </c>
      <c r="G67" s="1734" t="s">
        <v>5014</v>
      </c>
      <c r="H67" s="1736" t="s">
        <v>902</v>
      </c>
      <c r="I67" s="1735">
        <v>2000</v>
      </c>
      <c r="J67" s="1737"/>
      <c r="K67" s="1734" t="s">
        <v>5883</v>
      </c>
      <c r="L67" s="1735"/>
      <c r="M67" s="1748">
        <v>196000000</v>
      </c>
      <c r="N67" s="1770" t="s">
        <v>4678</v>
      </c>
      <c r="O67" s="1740"/>
      <c r="P67" s="1740"/>
    </row>
    <row r="68" spans="1:16" s="1741" customFormat="1" ht="42" customHeight="1" x14ac:dyDescent="0.2">
      <c r="A68" s="1769">
        <v>58</v>
      </c>
      <c r="B68" s="1747" t="s">
        <v>4407</v>
      </c>
      <c r="C68" s="1735" t="s">
        <v>4365</v>
      </c>
      <c r="D68" s="1737"/>
      <c r="E68" s="1733">
        <v>7000</v>
      </c>
      <c r="F68" s="1735">
        <v>2018</v>
      </c>
      <c r="G68" s="1734" t="s">
        <v>599</v>
      </c>
      <c r="H68" s="1736" t="s">
        <v>902</v>
      </c>
      <c r="I68" s="1735">
        <v>2000</v>
      </c>
      <c r="J68" s="1737"/>
      <c r="K68" s="1734" t="s">
        <v>5883</v>
      </c>
      <c r="L68" s="1735"/>
      <c r="M68" s="1748">
        <v>721000000</v>
      </c>
      <c r="N68" s="1770" t="s">
        <v>4678</v>
      </c>
      <c r="O68" s="1740"/>
      <c r="P68" s="1740"/>
    </row>
    <row r="69" spans="1:16" s="1741" customFormat="1" ht="42" customHeight="1" x14ac:dyDescent="0.2">
      <c r="A69" s="1769">
        <v>59</v>
      </c>
      <c r="B69" s="1747" t="s">
        <v>4408</v>
      </c>
      <c r="C69" s="1735" t="s">
        <v>4365</v>
      </c>
      <c r="D69" s="1737"/>
      <c r="E69" s="1733">
        <v>8510</v>
      </c>
      <c r="F69" s="1735">
        <v>2018</v>
      </c>
      <c r="G69" s="1734" t="s">
        <v>4918</v>
      </c>
      <c r="H69" s="1736" t="s">
        <v>902</v>
      </c>
      <c r="I69" s="1735">
        <v>2000</v>
      </c>
      <c r="J69" s="1737"/>
      <c r="K69" s="1734" t="s">
        <v>5883</v>
      </c>
      <c r="L69" s="1735"/>
      <c r="M69" s="1748">
        <v>3948640000</v>
      </c>
      <c r="N69" s="1770" t="s">
        <v>4678</v>
      </c>
      <c r="O69" s="1740"/>
      <c r="P69" s="1740"/>
    </row>
    <row r="70" spans="1:16" s="1741" customFormat="1" ht="42" customHeight="1" x14ac:dyDescent="0.2">
      <c r="A70" s="1769">
        <v>60</v>
      </c>
      <c r="B70" s="1747" t="s">
        <v>4409</v>
      </c>
      <c r="C70" s="1735" t="s">
        <v>4365</v>
      </c>
      <c r="D70" s="1737"/>
      <c r="E70" s="1733">
        <v>2232</v>
      </c>
      <c r="F70" s="1735">
        <v>2018</v>
      </c>
      <c r="G70" s="1734" t="s">
        <v>4918</v>
      </c>
      <c r="H70" s="1736" t="s">
        <v>902</v>
      </c>
      <c r="I70" s="1735">
        <v>2000</v>
      </c>
      <c r="J70" s="1737"/>
      <c r="K70" s="1734" t="s">
        <v>5883</v>
      </c>
      <c r="L70" s="1735"/>
      <c r="M70" s="1748">
        <v>1035648000</v>
      </c>
      <c r="N70" s="1770" t="s">
        <v>4678</v>
      </c>
      <c r="O70" s="1740"/>
      <c r="P70" s="1740"/>
    </row>
    <row r="71" spans="1:16" s="1741" customFormat="1" ht="42" customHeight="1" x14ac:dyDescent="0.2">
      <c r="A71" s="1769">
        <v>61</v>
      </c>
      <c r="B71" s="1747" t="s">
        <v>4410</v>
      </c>
      <c r="C71" s="1735" t="s">
        <v>4365</v>
      </c>
      <c r="D71" s="1737"/>
      <c r="E71" s="1733">
        <v>1520</v>
      </c>
      <c r="F71" s="1735">
        <v>2018</v>
      </c>
      <c r="G71" s="1734" t="s">
        <v>4918</v>
      </c>
      <c r="H71" s="1736" t="s">
        <v>902</v>
      </c>
      <c r="I71" s="1735">
        <v>2000</v>
      </c>
      <c r="J71" s="1737"/>
      <c r="K71" s="1734" t="s">
        <v>5883</v>
      </c>
      <c r="L71" s="1735"/>
      <c r="M71" s="1748">
        <v>705280000</v>
      </c>
      <c r="N71" s="1770" t="s">
        <v>4678</v>
      </c>
      <c r="O71" s="1740"/>
      <c r="P71" s="1740"/>
    </row>
    <row r="72" spans="1:16" s="1741" customFormat="1" ht="42" customHeight="1" x14ac:dyDescent="0.2">
      <c r="A72" s="1769">
        <v>62</v>
      </c>
      <c r="B72" s="1747" t="s">
        <v>4411</v>
      </c>
      <c r="C72" s="1735" t="s">
        <v>4365</v>
      </c>
      <c r="D72" s="1737"/>
      <c r="E72" s="1733">
        <v>1024</v>
      </c>
      <c r="F72" s="1735">
        <v>2018</v>
      </c>
      <c r="G72" s="1734" t="s">
        <v>4918</v>
      </c>
      <c r="H72" s="1736" t="s">
        <v>902</v>
      </c>
      <c r="I72" s="1735">
        <v>2000</v>
      </c>
      <c r="J72" s="1737"/>
      <c r="K72" s="1734" t="s">
        <v>5883</v>
      </c>
      <c r="L72" s="1735"/>
      <c r="M72" s="1748">
        <v>475136000</v>
      </c>
      <c r="N72" s="1770" t="s">
        <v>4678</v>
      </c>
      <c r="O72" s="1740"/>
      <c r="P72" s="1740"/>
    </row>
    <row r="73" spans="1:16" s="1741" customFormat="1" ht="42" customHeight="1" x14ac:dyDescent="0.2">
      <c r="A73" s="1769">
        <v>63</v>
      </c>
      <c r="B73" s="1747" t="s">
        <v>4412</v>
      </c>
      <c r="C73" s="1735" t="s">
        <v>4365</v>
      </c>
      <c r="D73" s="1737"/>
      <c r="E73" s="1733">
        <v>1024</v>
      </c>
      <c r="F73" s="1735">
        <v>2018</v>
      </c>
      <c r="G73" s="1734" t="s">
        <v>4918</v>
      </c>
      <c r="H73" s="1736" t="s">
        <v>902</v>
      </c>
      <c r="I73" s="1735">
        <v>2000</v>
      </c>
      <c r="J73" s="1737"/>
      <c r="K73" s="1734" t="s">
        <v>5883</v>
      </c>
      <c r="L73" s="1735"/>
      <c r="M73" s="1748">
        <v>475136000</v>
      </c>
      <c r="N73" s="1770" t="s">
        <v>4678</v>
      </c>
      <c r="O73" s="1740"/>
      <c r="P73" s="1740"/>
    </row>
    <row r="74" spans="1:16" s="1741" customFormat="1" ht="42" customHeight="1" x14ac:dyDescent="0.2">
      <c r="A74" s="1769">
        <v>64</v>
      </c>
      <c r="B74" s="1747" t="s">
        <v>4413</v>
      </c>
      <c r="C74" s="1735" t="s">
        <v>4365</v>
      </c>
      <c r="D74" s="1737"/>
      <c r="E74" s="1733">
        <v>696</v>
      </c>
      <c r="F74" s="1735">
        <v>2018</v>
      </c>
      <c r="G74" s="1734" t="s">
        <v>4918</v>
      </c>
      <c r="H74" s="1736" t="s">
        <v>902</v>
      </c>
      <c r="I74" s="1735">
        <v>2000</v>
      </c>
      <c r="J74" s="1737"/>
      <c r="K74" s="1734" t="s">
        <v>5883</v>
      </c>
      <c r="L74" s="1735"/>
      <c r="M74" s="1748">
        <v>322944000</v>
      </c>
      <c r="N74" s="1770" t="s">
        <v>4678</v>
      </c>
      <c r="O74" s="1740"/>
      <c r="P74" s="1740"/>
    </row>
    <row r="75" spans="1:16" s="1741" customFormat="1" ht="42" customHeight="1" x14ac:dyDescent="0.2">
      <c r="A75" s="1769">
        <v>65</v>
      </c>
      <c r="B75" s="1747" t="s">
        <v>4414</v>
      </c>
      <c r="C75" s="1735" t="s">
        <v>4365</v>
      </c>
      <c r="D75" s="1737"/>
      <c r="E75" s="1733">
        <v>648</v>
      </c>
      <c r="F75" s="1735">
        <v>2018</v>
      </c>
      <c r="G75" s="1734" t="s">
        <v>4918</v>
      </c>
      <c r="H75" s="1736" t="s">
        <v>902</v>
      </c>
      <c r="I75" s="1735">
        <v>2000</v>
      </c>
      <c r="J75" s="1737"/>
      <c r="K75" s="1734" t="s">
        <v>5883</v>
      </c>
      <c r="L75" s="1735"/>
      <c r="M75" s="1748">
        <v>300672000</v>
      </c>
      <c r="N75" s="1770" t="s">
        <v>4678</v>
      </c>
      <c r="O75" s="1740"/>
      <c r="P75" s="1740"/>
    </row>
    <row r="76" spans="1:16" s="1741" customFormat="1" ht="42" customHeight="1" x14ac:dyDescent="0.2">
      <c r="A76" s="1769">
        <v>66</v>
      </c>
      <c r="B76" s="1747" t="s">
        <v>4415</v>
      </c>
      <c r="C76" s="1735" t="s">
        <v>4365</v>
      </c>
      <c r="D76" s="1737"/>
      <c r="E76" s="1733">
        <v>532</v>
      </c>
      <c r="F76" s="1735">
        <v>2018</v>
      </c>
      <c r="G76" s="1734" t="s">
        <v>4918</v>
      </c>
      <c r="H76" s="1736" t="s">
        <v>902</v>
      </c>
      <c r="I76" s="1735">
        <v>2000</v>
      </c>
      <c r="J76" s="1737"/>
      <c r="K76" s="1734" t="s">
        <v>5883</v>
      </c>
      <c r="L76" s="1735"/>
      <c r="M76" s="1748">
        <v>246848000</v>
      </c>
      <c r="N76" s="1770" t="s">
        <v>4678</v>
      </c>
      <c r="O76" s="1740"/>
      <c r="P76" s="1740"/>
    </row>
    <row r="77" spans="1:16" s="1741" customFormat="1" ht="42" customHeight="1" x14ac:dyDescent="0.2">
      <c r="A77" s="1769">
        <v>67</v>
      </c>
      <c r="B77" s="1747" t="s">
        <v>4416</v>
      </c>
      <c r="C77" s="1735" t="s">
        <v>4365</v>
      </c>
      <c r="D77" s="1737"/>
      <c r="E77" s="1733">
        <v>539</v>
      </c>
      <c r="F77" s="1735">
        <v>2018</v>
      </c>
      <c r="G77" s="1734" t="s">
        <v>4918</v>
      </c>
      <c r="H77" s="1736" t="s">
        <v>902</v>
      </c>
      <c r="I77" s="1735">
        <v>2000</v>
      </c>
      <c r="J77" s="1737"/>
      <c r="K77" s="1734" t="s">
        <v>5883</v>
      </c>
      <c r="L77" s="1735"/>
      <c r="M77" s="1748">
        <v>250096000</v>
      </c>
      <c r="N77" s="1770" t="s">
        <v>4678</v>
      </c>
      <c r="O77" s="1740"/>
      <c r="P77" s="1740"/>
    </row>
    <row r="78" spans="1:16" s="1741" customFormat="1" ht="42" customHeight="1" x14ac:dyDescent="0.2">
      <c r="A78" s="1769">
        <v>68</v>
      </c>
      <c r="B78" s="1747" t="s">
        <v>4417</v>
      </c>
      <c r="C78" s="1735" t="s">
        <v>4365</v>
      </c>
      <c r="D78" s="1737"/>
      <c r="E78" s="1733">
        <v>2850</v>
      </c>
      <c r="F78" s="1735">
        <v>2018</v>
      </c>
      <c r="G78" s="1734" t="s">
        <v>4918</v>
      </c>
      <c r="H78" s="1736" t="s">
        <v>902</v>
      </c>
      <c r="I78" s="1735">
        <v>2000</v>
      </c>
      <c r="J78" s="1737"/>
      <c r="K78" s="1734" t="s">
        <v>5883</v>
      </c>
      <c r="L78" s="1735"/>
      <c r="M78" s="1748">
        <v>1322400000</v>
      </c>
      <c r="N78" s="1770" t="s">
        <v>4678</v>
      </c>
      <c r="O78" s="1740"/>
      <c r="P78" s="1740"/>
    </row>
    <row r="79" spans="1:16" s="1741" customFormat="1" ht="42" customHeight="1" x14ac:dyDescent="0.2">
      <c r="A79" s="1769">
        <v>69</v>
      </c>
      <c r="B79" s="1747" t="s">
        <v>4418</v>
      </c>
      <c r="C79" s="1735" t="s">
        <v>4365</v>
      </c>
      <c r="D79" s="1737"/>
      <c r="E79" s="1733">
        <v>23200</v>
      </c>
      <c r="F79" s="1735">
        <v>2018</v>
      </c>
      <c r="G79" s="1734" t="s">
        <v>3603</v>
      </c>
      <c r="H79" s="1736" t="s">
        <v>902</v>
      </c>
      <c r="I79" s="1735">
        <v>2000</v>
      </c>
      <c r="J79" s="1737"/>
      <c r="K79" s="1734" t="s">
        <v>5883</v>
      </c>
      <c r="L79" s="1735"/>
      <c r="M79" s="1748">
        <v>324800000</v>
      </c>
      <c r="N79" s="1770" t="s">
        <v>4678</v>
      </c>
      <c r="O79" s="1740"/>
      <c r="P79" s="1740"/>
    </row>
    <row r="80" spans="1:16" s="1741" customFormat="1" ht="42" customHeight="1" x14ac:dyDescent="0.2">
      <c r="A80" s="1769">
        <v>70</v>
      </c>
      <c r="B80" s="1747" t="s">
        <v>4419</v>
      </c>
      <c r="C80" s="1735" t="s">
        <v>4365</v>
      </c>
      <c r="D80" s="1737"/>
      <c r="E80" s="1733">
        <v>1112</v>
      </c>
      <c r="F80" s="1735">
        <v>2018</v>
      </c>
      <c r="G80" s="1734" t="s">
        <v>4918</v>
      </c>
      <c r="H80" s="1736" t="s">
        <v>902</v>
      </c>
      <c r="I80" s="1735">
        <v>2000</v>
      </c>
      <c r="J80" s="1737"/>
      <c r="K80" s="1734" t="s">
        <v>5883</v>
      </c>
      <c r="L80" s="1735"/>
      <c r="M80" s="1748">
        <v>515968000</v>
      </c>
      <c r="N80" s="1770" t="s">
        <v>4678</v>
      </c>
      <c r="O80" s="1740"/>
      <c r="P80" s="1740"/>
    </row>
    <row r="81" spans="1:16" s="1741" customFormat="1" ht="42" customHeight="1" x14ac:dyDescent="0.2">
      <c r="A81" s="1769">
        <v>71</v>
      </c>
      <c r="B81" s="1747" t="s">
        <v>4420</v>
      </c>
      <c r="C81" s="1735" t="s">
        <v>4365</v>
      </c>
      <c r="D81" s="1737"/>
      <c r="E81" s="1733">
        <v>1888</v>
      </c>
      <c r="F81" s="1735">
        <v>2018</v>
      </c>
      <c r="G81" s="1734" t="s">
        <v>4918</v>
      </c>
      <c r="H81" s="1736" t="s">
        <v>902</v>
      </c>
      <c r="I81" s="1735">
        <v>2000</v>
      </c>
      <c r="J81" s="1737"/>
      <c r="K81" s="1734" t="s">
        <v>5883</v>
      </c>
      <c r="L81" s="1735"/>
      <c r="M81" s="1748">
        <v>876032000</v>
      </c>
      <c r="N81" s="1770" t="s">
        <v>4678</v>
      </c>
      <c r="O81" s="1740"/>
      <c r="P81" s="1740"/>
    </row>
    <row r="82" spans="1:16" s="1741" customFormat="1" ht="42" customHeight="1" x14ac:dyDescent="0.2">
      <c r="A82" s="1769">
        <v>72</v>
      </c>
      <c r="B82" s="1747" t="s">
        <v>4421</v>
      </c>
      <c r="C82" s="1735" t="s">
        <v>4365</v>
      </c>
      <c r="D82" s="1737"/>
      <c r="E82" s="1733">
        <v>2512</v>
      </c>
      <c r="F82" s="1735">
        <v>2018</v>
      </c>
      <c r="G82" s="1734" t="s">
        <v>4918</v>
      </c>
      <c r="H82" s="1736" t="s">
        <v>902</v>
      </c>
      <c r="I82" s="1735">
        <v>2000</v>
      </c>
      <c r="J82" s="1737"/>
      <c r="K82" s="1734" t="s">
        <v>5883</v>
      </c>
      <c r="L82" s="1735"/>
      <c r="M82" s="1748">
        <v>1165568000</v>
      </c>
      <c r="N82" s="1770" t="s">
        <v>4678</v>
      </c>
      <c r="O82" s="1740"/>
      <c r="P82" s="1740"/>
    </row>
    <row r="83" spans="1:16" s="1741" customFormat="1" ht="42" customHeight="1" x14ac:dyDescent="0.2">
      <c r="A83" s="1769">
        <v>73</v>
      </c>
      <c r="B83" s="1747" t="s">
        <v>4422</v>
      </c>
      <c r="C83" s="1735" t="s">
        <v>4365</v>
      </c>
      <c r="D83" s="1737"/>
      <c r="E83" s="1733">
        <v>1176</v>
      </c>
      <c r="F83" s="1735">
        <v>2018</v>
      </c>
      <c r="G83" s="1734" t="s">
        <v>4918</v>
      </c>
      <c r="H83" s="1736" t="s">
        <v>902</v>
      </c>
      <c r="I83" s="1735">
        <v>2000</v>
      </c>
      <c r="J83" s="1737"/>
      <c r="K83" s="1734" t="s">
        <v>5883</v>
      </c>
      <c r="L83" s="1735"/>
      <c r="M83" s="1748">
        <v>545664000</v>
      </c>
      <c r="N83" s="1770" t="s">
        <v>4678</v>
      </c>
      <c r="O83" s="1740"/>
      <c r="P83" s="1740"/>
    </row>
    <row r="84" spans="1:16" s="1741" customFormat="1" ht="42" customHeight="1" x14ac:dyDescent="0.2">
      <c r="A84" s="1769">
        <v>74</v>
      </c>
      <c r="B84" s="1747" t="s">
        <v>4423</v>
      </c>
      <c r="C84" s="1735" t="s">
        <v>4365</v>
      </c>
      <c r="D84" s="1737"/>
      <c r="E84" s="1733">
        <v>4768</v>
      </c>
      <c r="F84" s="1735">
        <v>2018</v>
      </c>
      <c r="G84" s="1734" t="s">
        <v>4918</v>
      </c>
      <c r="H84" s="1736" t="s">
        <v>902</v>
      </c>
      <c r="I84" s="1735">
        <v>2000</v>
      </c>
      <c r="J84" s="1737"/>
      <c r="K84" s="1734" t="s">
        <v>5883</v>
      </c>
      <c r="L84" s="1735"/>
      <c r="M84" s="1748">
        <v>2212352000</v>
      </c>
      <c r="N84" s="1770" t="s">
        <v>4678</v>
      </c>
      <c r="O84" s="1740"/>
      <c r="P84" s="1740"/>
    </row>
    <row r="85" spans="1:16" s="1741" customFormat="1" ht="42" customHeight="1" x14ac:dyDescent="0.2">
      <c r="A85" s="1769">
        <v>75</v>
      </c>
      <c r="B85" s="1747" t="s">
        <v>4424</v>
      </c>
      <c r="C85" s="1735" t="s">
        <v>4365</v>
      </c>
      <c r="D85" s="1737"/>
      <c r="E85" s="1733">
        <v>2975</v>
      </c>
      <c r="F85" s="1735">
        <v>2018</v>
      </c>
      <c r="G85" s="1734" t="s">
        <v>3471</v>
      </c>
      <c r="H85" s="1736" t="s">
        <v>902</v>
      </c>
      <c r="I85" s="1735">
        <v>2000</v>
      </c>
      <c r="J85" s="1737"/>
      <c r="K85" s="1734" t="s">
        <v>5883</v>
      </c>
      <c r="L85" s="1735"/>
      <c r="M85" s="1748">
        <v>5057500</v>
      </c>
      <c r="N85" s="1770" t="s">
        <v>4678</v>
      </c>
      <c r="O85" s="1740"/>
      <c r="P85" s="1740"/>
    </row>
    <row r="86" spans="1:16" s="1741" customFormat="1" ht="42" customHeight="1" x14ac:dyDescent="0.2">
      <c r="A86" s="1769">
        <v>76</v>
      </c>
      <c r="B86" s="1747" t="s">
        <v>4425</v>
      </c>
      <c r="C86" s="1735" t="s">
        <v>4365</v>
      </c>
      <c r="D86" s="1737"/>
      <c r="E86" s="1733">
        <v>9450</v>
      </c>
      <c r="F86" s="1735">
        <v>2018</v>
      </c>
      <c r="G86" s="1734" t="s">
        <v>4918</v>
      </c>
      <c r="H86" s="1736" t="s">
        <v>902</v>
      </c>
      <c r="I86" s="1735">
        <v>2000</v>
      </c>
      <c r="J86" s="1737"/>
      <c r="K86" s="1734" t="s">
        <v>5883</v>
      </c>
      <c r="L86" s="1735"/>
      <c r="M86" s="1748">
        <v>3640000000</v>
      </c>
      <c r="N86" s="1770" t="s">
        <v>4678</v>
      </c>
      <c r="O86" s="1740"/>
      <c r="P86" s="1740"/>
    </row>
    <row r="87" spans="1:16" s="1741" customFormat="1" ht="42" customHeight="1" x14ac:dyDescent="0.2">
      <c r="A87" s="1769">
        <v>77</v>
      </c>
      <c r="B87" s="1747" t="s">
        <v>4426</v>
      </c>
      <c r="C87" s="1735" t="s">
        <v>4365</v>
      </c>
      <c r="D87" s="1737"/>
      <c r="E87" s="1733">
        <v>52500</v>
      </c>
      <c r="F87" s="1735">
        <v>2018</v>
      </c>
      <c r="G87" s="1734" t="s">
        <v>893</v>
      </c>
      <c r="H87" s="1736" t="s">
        <v>902</v>
      </c>
      <c r="I87" s="1735">
        <v>2000</v>
      </c>
      <c r="J87" s="1737"/>
      <c r="K87" s="1734" t="s">
        <v>5883</v>
      </c>
      <c r="L87" s="1735"/>
      <c r="M87" s="1748">
        <v>8400000000</v>
      </c>
      <c r="N87" s="1770" t="s">
        <v>4678</v>
      </c>
      <c r="O87" s="1740"/>
      <c r="P87" s="1740"/>
    </row>
    <row r="88" spans="1:16" s="1741" customFormat="1" ht="42" customHeight="1" x14ac:dyDescent="0.2">
      <c r="A88" s="1769">
        <v>78</v>
      </c>
      <c r="B88" s="1747" t="s">
        <v>4427</v>
      </c>
      <c r="C88" s="1735" t="s">
        <v>4365</v>
      </c>
      <c r="D88" s="1737"/>
      <c r="E88" s="1733">
        <v>31000</v>
      </c>
      <c r="F88" s="1735">
        <v>2018</v>
      </c>
      <c r="G88" s="1734" t="s">
        <v>897</v>
      </c>
      <c r="H88" s="1736" t="s">
        <v>902</v>
      </c>
      <c r="I88" s="1735">
        <v>2000</v>
      </c>
      <c r="J88" s="1737"/>
      <c r="K88" s="1734" t="s">
        <v>5883</v>
      </c>
      <c r="L88" s="1735"/>
      <c r="M88" s="1748">
        <v>2304000000</v>
      </c>
      <c r="N88" s="1770" t="s">
        <v>4678</v>
      </c>
      <c r="O88" s="1740"/>
      <c r="P88" s="1740"/>
    </row>
    <row r="89" spans="1:16" s="1741" customFormat="1" ht="42" customHeight="1" x14ac:dyDescent="0.2">
      <c r="A89" s="1769">
        <v>79</v>
      </c>
      <c r="B89" s="1747" t="s">
        <v>4428</v>
      </c>
      <c r="C89" s="1735" t="s">
        <v>4365</v>
      </c>
      <c r="D89" s="1737"/>
      <c r="E89" s="1733">
        <v>108000</v>
      </c>
      <c r="F89" s="1735">
        <v>2018</v>
      </c>
      <c r="G89" s="1734" t="s">
        <v>561</v>
      </c>
      <c r="H89" s="1736" t="s">
        <v>902</v>
      </c>
      <c r="I89" s="1735">
        <v>2000</v>
      </c>
      <c r="J89" s="1737"/>
      <c r="K89" s="1734" t="s">
        <v>5883</v>
      </c>
      <c r="L89" s="1735"/>
      <c r="M89" s="1748">
        <v>7346000000</v>
      </c>
      <c r="N89" s="1770" t="s">
        <v>4678</v>
      </c>
      <c r="O89" s="1740"/>
      <c r="P89" s="1740"/>
    </row>
    <row r="90" spans="1:16" s="1741" customFormat="1" ht="42" customHeight="1" x14ac:dyDescent="0.2">
      <c r="A90" s="1769">
        <v>80</v>
      </c>
      <c r="B90" s="1747" t="s">
        <v>4429</v>
      </c>
      <c r="C90" s="1735" t="s">
        <v>4365</v>
      </c>
      <c r="D90" s="1737"/>
      <c r="E90" s="1733">
        <v>27200</v>
      </c>
      <c r="F90" s="1735">
        <v>2018</v>
      </c>
      <c r="G90" s="1734" t="s">
        <v>4917</v>
      </c>
      <c r="H90" s="1736" t="s">
        <v>902</v>
      </c>
      <c r="I90" s="1735">
        <v>2000</v>
      </c>
      <c r="J90" s="1737"/>
      <c r="K90" s="1734" t="s">
        <v>5883</v>
      </c>
      <c r="L90" s="1735"/>
      <c r="M90" s="1748">
        <v>2351040000</v>
      </c>
      <c r="N90" s="1770" t="s">
        <v>4678</v>
      </c>
      <c r="O90" s="1740"/>
      <c r="P90" s="1740"/>
    </row>
    <row r="91" spans="1:16" s="1741" customFormat="1" ht="42" customHeight="1" x14ac:dyDescent="0.2">
      <c r="A91" s="1769">
        <v>81</v>
      </c>
      <c r="B91" s="1747" t="s">
        <v>4430</v>
      </c>
      <c r="C91" s="1735" t="s">
        <v>4365</v>
      </c>
      <c r="D91" s="1737"/>
      <c r="E91" s="1733">
        <v>28000</v>
      </c>
      <c r="F91" s="1735">
        <v>2018</v>
      </c>
      <c r="G91" s="1734" t="s">
        <v>5015</v>
      </c>
      <c r="H91" s="1736" t="s">
        <v>902</v>
      </c>
      <c r="I91" s="1735">
        <v>2000</v>
      </c>
      <c r="J91" s="1737"/>
      <c r="K91" s="1734" t="s">
        <v>5883</v>
      </c>
      <c r="L91" s="1735"/>
      <c r="M91" s="1748">
        <v>2187200000</v>
      </c>
      <c r="N91" s="1770" t="s">
        <v>4678</v>
      </c>
      <c r="O91" s="1740"/>
      <c r="P91" s="1740"/>
    </row>
    <row r="92" spans="1:16" s="1741" customFormat="1" ht="42" customHeight="1" x14ac:dyDescent="0.2">
      <c r="A92" s="1769">
        <v>82</v>
      </c>
      <c r="B92" s="1747" t="s">
        <v>4431</v>
      </c>
      <c r="C92" s="1735" t="s">
        <v>4365</v>
      </c>
      <c r="D92" s="1737"/>
      <c r="E92" s="1733">
        <v>3850</v>
      </c>
      <c r="F92" s="1735">
        <v>2018</v>
      </c>
      <c r="G92" s="1734" t="s">
        <v>897</v>
      </c>
      <c r="H92" s="1736" t="s">
        <v>902</v>
      </c>
      <c r="I92" s="1735">
        <v>2000</v>
      </c>
      <c r="J92" s="1737"/>
      <c r="K92" s="1734" t="s">
        <v>5883</v>
      </c>
      <c r="L92" s="1735"/>
      <c r="M92" s="1748">
        <v>184800000</v>
      </c>
      <c r="N92" s="1770" t="s">
        <v>4678</v>
      </c>
      <c r="O92" s="1740"/>
      <c r="P92" s="1740"/>
    </row>
    <row r="93" spans="1:16" s="1741" customFormat="1" ht="42" customHeight="1" x14ac:dyDescent="0.2">
      <c r="A93" s="1769">
        <v>83</v>
      </c>
      <c r="B93" s="1747" t="s">
        <v>4432</v>
      </c>
      <c r="C93" s="1735" t="s">
        <v>4365</v>
      </c>
      <c r="D93" s="1737"/>
      <c r="E93" s="1733">
        <v>2800</v>
      </c>
      <c r="F93" s="1735">
        <v>2018</v>
      </c>
      <c r="G93" s="1734" t="s">
        <v>897</v>
      </c>
      <c r="H93" s="1736" t="s">
        <v>902</v>
      </c>
      <c r="I93" s="1735">
        <v>2000</v>
      </c>
      <c r="J93" s="1737"/>
      <c r="K93" s="1734" t="s">
        <v>5883</v>
      </c>
      <c r="L93" s="1735"/>
      <c r="M93" s="1748">
        <v>134400000</v>
      </c>
      <c r="N93" s="1770" t="s">
        <v>4678</v>
      </c>
      <c r="O93" s="1740"/>
      <c r="P93" s="1740"/>
    </row>
    <row r="94" spans="1:16" s="1741" customFormat="1" ht="42" customHeight="1" x14ac:dyDescent="0.2">
      <c r="A94" s="1769">
        <v>84</v>
      </c>
      <c r="B94" s="1747" t="s">
        <v>4433</v>
      </c>
      <c r="C94" s="1735" t="s">
        <v>4365</v>
      </c>
      <c r="D94" s="1737"/>
      <c r="E94" s="1733">
        <v>14800</v>
      </c>
      <c r="F94" s="1735">
        <v>2018</v>
      </c>
      <c r="G94" s="1734" t="s">
        <v>897</v>
      </c>
      <c r="H94" s="1736" t="s">
        <v>902</v>
      </c>
      <c r="I94" s="1735">
        <v>2000</v>
      </c>
      <c r="J94" s="1737"/>
      <c r="K94" s="1734" t="s">
        <v>5883</v>
      </c>
      <c r="L94" s="1735"/>
      <c r="M94" s="1748">
        <v>710400000</v>
      </c>
      <c r="N94" s="1770" t="s">
        <v>4678</v>
      </c>
      <c r="O94" s="1740"/>
      <c r="P94" s="1740"/>
    </row>
    <row r="95" spans="1:16" s="1741" customFormat="1" ht="42" customHeight="1" x14ac:dyDescent="0.2">
      <c r="A95" s="1769">
        <v>85</v>
      </c>
      <c r="B95" s="1747" t="s">
        <v>4434</v>
      </c>
      <c r="C95" s="1735" t="s">
        <v>4365</v>
      </c>
      <c r="D95" s="1737"/>
      <c r="E95" s="1733">
        <v>9100</v>
      </c>
      <c r="F95" s="1735">
        <v>2018</v>
      </c>
      <c r="G95" s="1734" t="s">
        <v>897</v>
      </c>
      <c r="H95" s="1736" t="s">
        <v>902</v>
      </c>
      <c r="I95" s="1735">
        <v>2000</v>
      </c>
      <c r="J95" s="1737"/>
      <c r="K95" s="1734" t="s">
        <v>5883</v>
      </c>
      <c r="L95" s="1735"/>
      <c r="M95" s="1748">
        <v>436800000</v>
      </c>
      <c r="N95" s="1770" t="s">
        <v>4678</v>
      </c>
      <c r="O95" s="1740"/>
      <c r="P95" s="1740"/>
    </row>
    <row r="96" spans="1:16" s="1741" customFormat="1" ht="42" customHeight="1" x14ac:dyDescent="0.2">
      <c r="A96" s="1769">
        <v>86</v>
      </c>
      <c r="B96" s="1747" t="s">
        <v>4435</v>
      </c>
      <c r="C96" s="1735" t="s">
        <v>4365</v>
      </c>
      <c r="D96" s="1737"/>
      <c r="E96" s="1733">
        <v>4200</v>
      </c>
      <c r="F96" s="1735">
        <v>2018</v>
      </c>
      <c r="G96" s="1734" t="s">
        <v>3445</v>
      </c>
      <c r="H96" s="1736" t="s">
        <v>902</v>
      </c>
      <c r="I96" s="1735">
        <v>2000</v>
      </c>
      <c r="J96" s="1737"/>
      <c r="K96" s="1734" t="s">
        <v>5883</v>
      </c>
      <c r="L96" s="1735"/>
      <c r="M96" s="1748">
        <v>432600000</v>
      </c>
      <c r="N96" s="1770" t="s">
        <v>4678</v>
      </c>
      <c r="O96" s="1740"/>
      <c r="P96" s="1740"/>
    </row>
    <row r="97" spans="1:16" s="1741" customFormat="1" ht="42" customHeight="1" x14ac:dyDescent="0.2">
      <c r="A97" s="1769">
        <v>87</v>
      </c>
      <c r="B97" s="1747" t="s">
        <v>4436</v>
      </c>
      <c r="C97" s="1735" t="s">
        <v>4365</v>
      </c>
      <c r="D97" s="1737"/>
      <c r="E97" s="1733">
        <v>5250</v>
      </c>
      <c r="F97" s="1735">
        <v>2018</v>
      </c>
      <c r="G97" s="1734" t="s">
        <v>3445</v>
      </c>
      <c r="H97" s="1736" t="s">
        <v>902</v>
      </c>
      <c r="I97" s="1735">
        <v>2000</v>
      </c>
      <c r="J97" s="1737"/>
      <c r="K97" s="1734" t="s">
        <v>5883</v>
      </c>
      <c r="L97" s="1735"/>
      <c r="M97" s="1748">
        <v>540750000</v>
      </c>
      <c r="N97" s="1770" t="s">
        <v>4678</v>
      </c>
      <c r="O97" s="1740"/>
      <c r="P97" s="1740"/>
    </row>
    <row r="98" spans="1:16" s="1741" customFormat="1" ht="42" customHeight="1" x14ac:dyDescent="0.2">
      <c r="A98" s="1769">
        <v>88</v>
      </c>
      <c r="B98" s="1747" t="s">
        <v>4437</v>
      </c>
      <c r="C98" s="1735" t="s">
        <v>4365</v>
      </c>
      <c r="D98" s="1737"/>
      <c r="E98" s="1733">
        <v>3500</v>
      </c>
      <c r="F98" s="1735">
        <v>2018</v>
      </c>
      <c r="G98" s="1734" t="s">
        <v>3445</v>
      </c>
      <c r="H98" s="1736" t="s">
        <v>902</v>
      </c>
      <c r="I98" s="1735">
        <v>2000</v>
      </c>
      <c r="J98" s="1737"/>
      <c r="K98" s="1734" t="s">
        <v>5883</v>
      </c>
      <c r="L98" s="1735"/>
      <c r="M98" s="1748">
        <v>360500000</v>
      </c>
      <c r="N98" s="1770" t="s">
        <v>4678</v>
      </c>
      <c r="O98" s="1740"/>
      <c r="P98" s="1740"/>
    </row>
    <row r="99" spans="1:16" s="1741" customFormat="1" ht="42" customHeight="1" x14ac:dyDescent="0.2">
      <c r="A99" s="1769">
        <v>89</v>
      </c>
      <c r="B99" s="1747" t="s">
        <v>4438</v>
      </c>
      <c r="C99" s="1735" t="s">
        <v>4365</v>
      </c>
      <c r="D99" s="1737"/>
      <c r="E99" s="1733">
        <v>3500</v>
      </c>
      <c r="F99" s="1735">
        <v>2018</v>
      </c>
      <c r="G99" s="1734" t="s">
        <v>3445</v>
      </c>
      <c r="H99" s="1736" t="s">
        <v>902</v>
      </c>
      <c r="I99" s="1735">
        <v>2000</v>
      </c>
      <c r="J99" s="1737"/>
      <c r="K99" s="1734" t="s">
        <v>5883</v>
      </c>
      <c r="L99" s="1735"/>
      <c r="M99" s="1748">
        <v>360500000</v>
      </c>
      <c r="N99" s="1770" t="s">
        <v>4678</v>
      </c>
      <c r="O99" s="1740"/>
      <c r="P99" s="1740"/>
    </row>
    <row r="100" spans="1:16" s="1741" customFormat="1" ht="42" customHeight="1" x14ac:dyDescent="0.2">
      <c r="A100" s="1769">
        <v>90</v>
      </c>
      <c r="B100" s="1747" t="s">
        <v>4439</v>
      </c>
      <c r="C100" s="1735" t="s">
        <v>4365</v>
      </c>
      <c r="D100" s="1737"/>
      <c r="E100" s="1733">
        <v>4200</v>
      </c>
      <c r="F100" s="1735">
        <v>2018</v>
      </c>
      <c r="G100" s="1734" t="s">
        <v>893</v>
      </c>
      <c r="H100" s="1736" t="s">
        <v>902</v>
      </c>
      <c r="I100" s="1735">
        <v>2000</v>
      </c>
      <c r="J100" s="1737"/>
      <c r="K100" s="1734" t="s">
        <v>5883</v>
      </c>
      <c r="L100" s="1735"/>
      <c r="M100" s="1748">
        <v>672000000</v>
      </c>
      <c r="N100" s="1770" t="s">
        <v>4678</v>
      </c>
      <c r="O100" s="1740"/>
      <c r="P100" s="1740"/>
    </row>
    <row r="101" spans="1:16" s="1741" customFormat="1" ht="42" customHeight="1" x14ac:dyDescent="0.2">
      <c r="A101" s="1769">
        <v>91</v>
      </c>
      <c r="B101" s="1747" t="s">
        <v>4440</v>
      </c>
      <c r="C101" s="1735" t="s">
        <v>4365</v>
      </c>
      <c r="D101" s="1737"/>
      <c r="E101" s="1733">
        <v>38600</v>
      </c>
      <c r="F101" s="1735">
        <v>2018</v>
      </c>
      <c r="G101" s="1734" t="s">
        <v>893</v>
      </c>
      <c r="H101" s="1736" t="s">
        <v>902</v>
      </c>
      <c r="I101" s="1735">
        <v>2000</v>
      </c>
      <c r="J101" s="1737"/>
      <c r="K101" s="1734" t="s">
        <v>5883</v>
      </c>
      <c r="L101" s="1735"/>
      <c r="M101" s="1748">
        <v>8406800000</v>
      </c>
      <c r="N101" s="1770" t="s">
        <v>4678</v>
      </c>
      <c r="O101" s="1740"/>
      <c r="P101" s="1740"/>
    </row>
    <row r="102" spans="1:16" s="1741" customFormat="1" ht="42" customHeight="1" x14ac:dyDescent="0.2">
      <c r="A102" s="1769">
        <v>92</v>
      </c>
      <c r="B102" s="1747" t="s">
        <v>4441</v>
      </c>
      <c r="C102" s="1735" t="s">
        <v>4365</v>
      </c>
      <c r="D102" s="1737"/>
      <c r="E102" s="1733">
        <v>4200</v>
      </c>
      <c r="F102" s="1735">
        <v>2018</v>
      </c>
      <c r="G102" s="1734" t="s">
        <v>4917</v>
      </c>
      <c r="H102" s="1736" t="s">
        <v>902</v>
      </c>
      <c r="I102" s="1735">
        <v>2000</v>
      </c>
      <c r="J102" s="1737"/>
      <c r="K102" s="1734" t="s">
        <v>5883</v>
      </c>
      <c r="L102" s="1735"/>
      <c r="M102" s="1748">
        <v>432600000</v>
      </c>
      <c r="N102" s="1770" t="s">
        <v>4678</v>
      </c>
      <c r="O102" s="1740"/>
      <c r="P102" s="1740"/>
    </row>
    <row r="103" spans="1:16" s="1741" customFormat="1" ht="42" customHeight="1" x14ac:dyDescent="0.2">
      <c r="A103" s="1769">
        <v>93</v>
      </c>
      <c r="B103" s="1747" t="s">
        <v>4442</v>
      </c>
      <c r="C103" s="1735" t="s">
        <v>4365</v>
      </c>
      <c r="D103" s="1737"/>
      <c r="E103" s="1733">
        <v>24500</v>
      </c>
      <c r="F103" s="1735">
        <v>2018</v>
      </c>
      <c r="G103" s="1734" t="s">
        <v>3445</v>
      </c>
      <c r="H103" s="1736" t="s">
        <v>902</v>
      </c>
      <c r="I103" s="1735">
        <v>2000</v>
      </c>
      <c r="J103" s="1737"/>
      <c r="K103" s="1734" t="s">
        <v>5883</v>
      </c>
      <c r="L103" s="1735"/>
      <c r="M103" s="1748">
        <v>2523500000</v>
      </c>
      <c r="N103" s="1770" t="s">
        <v>4678</v>
      </c>
      <c r="O103" s="1740"/>
      <c r="P103" s="1740"/>
    </row>
    <row r="104" spans="1:16" s="1741" customFormat="1" ht="42" customHeight="1" x14ac:dyDescent="0.2">
      <c r="A104" s="1769">
        <v>94</v>
      </c>
      <c r="B104" s="1747" t="s">
        <v>4443</v>
      </c>
      <c r="C104" s="1735" t="s">
        <v>4365</v>
      </c>
      <c r="D104" s="1737"/>
      <c r="E104" s="1733">
        <v>17600</v>
      </c>
      <c r="F104" s="1735">
        <v>2018</v>
      </c>
      <c r="G104" s="1734" t="s">
        <v>3445</v>
      </c>
      <c r="H104" s="1736" t="s">
        <v>902</v>
      </c>
      <c r="I104" s="1735">
        <v>2000</v>
      </c>
      <c r="J104" s="1737"/>
      <c r="K104" s="1734" t="s">
        <v>5883</v>
      </c>
      <c r="L104" s="1735"/>
      <c r="M104" s="1748">
        <v>1812800000</v>
      </c>
      <c r="N104" s="1770" t="s">
        <v>4678</v>
      </c>
      <c r="O104" s="1740"/>
      <c r="P104" s="1740"/>
    </row>
    <row r="105" spans="1:16" s="1741" customFormat="1" ht="42" customHeight="1" x14ac:dyDescent="0.2">
      <c r="A105" s="1769">
        <v>95</v>
      </c>
      <c r="B105" s="1747" t="s">
        <v>4444</v>
      </c>
      <c r="C105" s="1735" t="s">
        <v>4365</v>
      </c>
      <c r="D105" s="1737"/>
      <c r="E105" s="1733">
        <v>4800</v>
      </c>
      <c r="F105" s="1735">
        <v>2018</v>
      </c>
      <c r="G105" s="1734" t="s">
        <v>3445</v>
      </c>
      <c r="H105" s="1736" t="s">
        <v>902</v>
      </c>
      <c r="I105" s="1735">
        <v>2000</v>
      </c>
      <c r="J105" s="1737"/>
      <c r="K105" s="1734" t="s">
        <v>5883</v>
      </c>
      <c r="L105" s="1735"/>
      <c r="M105" s="1748">
        <v>494400000</v>
      </c>
      <c r="N105" s="1770" t="s">
        <v>4678</v>
      </c>
      <c r="O105" s="1740"/>
      <c r="P105" s="1740"/>
    </row>
    <row r="106" spans="1:16" s="1741" customFormat="1" ht="42" customHeight="1" x14ac:dyDescent="0.2">
      <c r="A106" s="1769">
        <v>96</v>
      </c>
      <c r="B106" s="1747" t="s">
        <v>4445</v>
      </c>
      <c r="C106" s="1735" t="s">
        <v>4365</v>
      </c>
      <c r="D106" s="1737"/>
      <c r="E106" s="1733">
        <v>13440</v>
      </c>
      <c r="F106" s="1735">
        <v>2018</v>
      </c>
      <c r="G106" s="1734" t="s">
        <v>3445</v>
      </c>
      <c r="H106" s="1736" t="s">
        <v>902</v>
      </c>
      <c r="I106" s="1735">
        <v>2000</v>
      </c>
      <c r="J106" s="1737"/>
      <c r="K106" s="1734" t="s">
        <v>5883</v>
      </c>
      <c r="L106" s="1735"/>
      <c r="M106" s="1748">
        <v>1384320000</v>
      </c>
      <c r="N106" s="1770" t="s">
        <v>4678</v>
      </c>
      <c r="O106" s="1740"/>
      <c r="P106" s="1740"/>
    </row>
    <row r="107" spans="1:16" s="1741" customFormat="1" ht="42" customHeight="1" x14ac:dyDescent="0.2">
      <c r="A107" s="1769">
        <v>97</v>
      </c>
      <c r="B107" s="1747" t="s">
        <v>4446</v>
      </c>
      <c r="C107" s="1735" t="s">
        <v>4365</v>
      </c>
      <c r="D107" s="1737"/>
      <c r="E107" s="1733">
        <v>2000</v>
      </c>
      <c r="F107" s="1735">
        <v>2018</v>
      </c>
      <c r="G107" s="1734" t="s">
        <v>4918</v>
      </c>
      <c r="H107" s="1736" t="s">
        <v>902</v>
      </c>
      <c r="I107" s="1735">
        <v>2000</v>
      </c>
      <c r="J107" s="1737"/>
      <c r="K107" s="1734" t="s">
        <v>5883</v>
      </c>
      <c r="L107" s="1735"/>
      <c r="M107" s="1748">
        <v>928000000</v>
      </c>
      <c r="N107" s="1770" t="s">
        <v>4678</v>
      </c>
      <c r="O107" s="1740"/>
      <c r="P107" s="1740"/>
    </row>
    <row r="108" spans="1:16" s="1741" customFormat="1" ht="42" customHeight="1" x14ac:dyDescent="0.2">
      <c r="A108" s="1769">
        <v>98</v>
      </c>
      <c r="B108" s="1747" t="s">
        <v>4447</v>
      </c>
      <c r="C108" s="1735" t="s">
        <v>4365</v>
      </c>
      <c r="D108" s="1737"/>
      <c r="E108" s="1733">
        <v>4000</v>
      </c>
      <c r="F108" s="1735">
        <v>2018</v>
      </c>
      <c r="G108" s="1734" t="s">
        <v>4918</v>
      </c>
      <c r="H108" s="1736" t="s">
        <v>902</v>
      </c>
      <c r="I108" s="1735">
        <v>2000</v>
      </c>
      <c r="J108" s="1737"/>
      <c r="K108" s="1734" t="s">
        <v>5883</v>
      </c>
      <c r="L108" s="1735"/>
      <c r="M108" s="1748">
        <v>1856000000</v>
      </c>
      <c r="N108" s="1770" t="s">
        <v>4678</v>
      </c>
      <c r="O108" s="1740"/>
      <c r="P108" s="1740"/>
    </row>
    <row r="109" spans="1:16" s="1741" customFormat="1" ht="42" customHeight="1" x14ac:dyDescent="0.2">
      <c r="A109" s="1769">
        <v>99</v>
      </c>
      <c r="B109" s="1747" t="s">
        <v>4448</v>
      </c>
      <c r="C109" s="1735" t="s">
        <v>4365</v>
      </c>
      <c r="D109" s="1737"/>
      <c r="E109" s="1733">
        <v>1104</v>
      </c>
      <c r="F109" s="1735">
        <v>2018</v>
      </c>
      <c r="G109" s="1734" t="s">
        <v>4918</v>
      </c>
      <c r="H109" s="1736" t="s">
        <v>902</v>
      </c>
      <c r="I109" s="1735">
        <v>2000</v>
      </c>
      <c r="J109" s="1737"/>
      <c r="K109" s="1734" t="s">
        <v>5883</v>
      </c>
      <c r="L109" s="1735"/>
      <c r="M109" s="1748">
        <v>512256000</v>
      </c>
      <c r="N109" s="1770" t="s">
        <v>4678</v>
      </c>
      <c r="O109" s="1740"/>
      <c r="P109" s="1740"/>
    </row>
    <row r="110" spans="1:16" s="1741" customFormat="1" ht="42" customHeight="1" x14ac:dyDescent="0.2">
      <c r="A110" s="1769">
        <v>100</v>
      </c>
      <c r="B110" s="1747" t="s">
        <v>4449</v>
      </c>
      <c r="C110" s="1735" t="s">
        <v>4365</v>
      </c>
      <c r="D110" s="1737"/>
      <c r="E110" s="1733">
        <v>10500</v>
      </c>
      <c r="F110" s="1735">
        <v>2018</v>
      </c>
      <c r="G110" s="1734" t="s">
        <v>4919</v>
      </c>
      <c r="H110" s="1736" t="s">
        <v>902</v>
      </c>
      <c r="I110" s="1735">
        <v>2000</v>
      </c>
      <c r="J110" s="1737"/>
      <c r="K110" s="1734" t="s">
        <v>5883</v>
      </c>
      <c r="L110" s="1735"/>
      <c r="M110" s="1748">
        <v>17850000</v>
      </c>
      <c r="N110" s="1770" t="s">
        <v>4678</v>
      </c>
      <c r="O110" s="1740"/>
      <c r="P110" s="1740"/>
    </row>
    <row r="111" spans="1:16" s="1741" customFormat="1" ht="42" customHeight="1" x14ac:dyDescent="0.2">
      <c r="A111" s="1769">
        <v>101</v>
      </c>
      <c r="B111" s="1747" t="s">
        <v>4450</v>
      </c>
      <c r="C111" s="1735" t="s">
        <v>4365</v>
      </c>
      <c r="D111" s="1737"/>
      <c r="E111" s="1733">
        <v>45000</v>
      </c>
      <c r="F111" s="1735">
        <v>2018</v>
      </c>
      <c r="G111" s="1734" t="s">
        <v>3445</v>
      </c>
      <c r="H111" s="1736" t="s">
        <v>902</v>
      </c>
      <c r="I111" s="1735">
        <v>2000</v>
      </c>
      <c r="J111" s="1737"/>
      <c r="K111" s="1734" t="s">
        <v>5883</v>
      </c>
      <c r="L111" s="1735"/>
      <c r="M111" s="1748">
        <v>4635000000</v>
      </c>
      <c r="N111" s="1770" t="s">
        <v>4678</v>
      </c>
      <c r="O111" s="1740"/>
      <c r="P111" s="1740"/>
    </row>
    <row r="112" spans="1:16" s="1741" customFormat="1" ht="42" customHeight="1" x14ac:dyDescent="0.2">
      <c r="A112" s="1769">
        <v>102</v>
      </c>
      <c r="B112" s="1747" t="s">
        <v>4451</v>
      </c>
      <c r="C112" s="1735" t="s">
        <v>4365</v>
      </c>
      <c r="D112" s="1737"/>
      <c r="E112" s="1733">
        <v>12250</v>
      </c>
      <c r="F112" s="1735">
        <v>2018</v>
      </c>
      <c r="G112" s="1734" t="s">
        <v>3445</v>
      </c>
      <c r="H112" s="1736" t="s">
        <v>902</v>
      </c>
      <c r="I112" s="1735">
        <v>2000</v>
      </c>
      <c r="J112" s="1737"/>
      <c r="K112" s="1734" t="s">
        <v>5883</v>
      </c>
      <c r="L112" s="1735"/>
      <c r="M112" s="1748">
        <v>1261750000</v>
      </c>
      <c r="N112" s="1770" t="s">
        <v>4678</v>
      </c>
      <c r="O112" s="1740"/>
      <c r="P112" s="1740"/>
    </row>
    <row r="113" spans="1:16" s="1741" customFormat="1" ht="42" customHeight="1" x14ac:dyDescent="0.2">
      <c r="A113" s="1769">
        <v>103</v>
      </c>
      <c r="B113" s="1747" t="s">
        <v>4452</v>
      </c>
      <c r="C113" s="1735" t="s">
        <v>4365</v>
      </c>
      <c r="D113" s="1737"/>
      <c r="E113" s="1733">
        <v>2100</v>
      </c>
      <c r="F113" s="1735">
        <v>2018</v>
      </c>
      <c r="G113" s="1734" t="s">
        <v>3445</v>
      </c>
      <c r="H113" s="1736" t="s">
        <v>902</v>
      </c>
      <c r="I113" s="1735">
        <v>2000</v>
      </c>
      <c r="J113" s="1737"/>
      <c r="K113" s="1734" t="s">
        <v>5883</v>
      </c>
      <c r="L113" s="1735"/>
      <c r="M113" s="1748">
        <v>216300000</v>
      </c>
      <c r="N113" s="1770" t="s">
        <v>4678</v>
      </c>
      <c r="O113" s="1740"/>
      <c r="P113" s="1740"/>
    </row>
    <row r="114" spans="1:16" s="1741" customFormat="1" ht="42" customHeight="1" x14ac:dyDescent="0.2">
      <c r="A114" s="1769">
        <v>104</v>
      </c>
      <c r="B114" s="1747" t="s">
        <v>4453</v>
      </c>
      <c r="C114" s="1735" t="s">
        <v>4365</v>
      </c>
      <c r="D114" s="1737"/>
      <c r="E114" s="1733">
        <v>4900</v>
      </c>
      <c r="F114" s="1735">
        <v>2018</v>
      </c>
      <c r="G114" s="1734" t="s">
        <v>3445</v>
      </c>
      <c r="H114" s="1736" t="s">
        <v>902</v>
      </c>
      <c r="I114" s="1735">
        <v>2000</v>
      </c>
      <c r="J114" s="1737"/>
      <c r="K114" s="1734" t="s">
        <v>5883</v>
      </c>
      <c r="L114" s="1735"/>
      <c r="M114" s="1748">
        <v>504700000</v>
      </c>
      <c r="N114" s="1770" t="s">
        <v>4678</v>
      </c>
      <c r="O114" s="1740"/>
      <c r="P114" s="1740"/>
    </row>
    <row r="115" spans="1:16" s="1741" customFormat="1" ht="42" customHeight="1" x14ac:dyDescent="0.2">
      <c r="A115" s="1769">
        <v>105</v>
      </c>
      <c r="B115" s="1747" t="s">
        <v>4454</v>
      </c>
      <c r="C115" s="1735" t="s">
        <v>4365</v>
      </c>
      <c r="D115" s="1737"/>
      <c r="E115" s="1733">
        <v>12600</v>
      </c>
      <c r="F115" s="1735">
        <v>2018</v>
      </c>
      <c r="G115" s="1734" t="s">
        <v>4914</v>
      </c>
      <c r="H115" s="1736" t="s">
        <v>902</v>
      </c>
      <c r="I115" s="1735">
        <v>2000</v>
      </c>
      <c r="J115" s="1737"/>
      <c r="K115" s="1734" t="s">
        <v>5883</v>
      </c>
      <c r="L115" s="1735"/>
      <c r="M115" s="1748">
        <v>90090000</v>
      </c>
      <c r="N115" s="1770" t="s">
        <v>4678</v>
      </c>
      <c r="O115" s="1740"/>
      <c r="P115" s="1740"/>
    </row>
    <row r="116" spans="1:16" s="1741" customFormat="1" ht="42" customHeight="1" x14ac:dyDescent="0.2">
      <c r="A116" s="1769">
        <v>106</v>
      </c>
      <c r="B116" s="1747" t="s">
        <v>4455</v>
      </c>
      <c r="C116" s="1735" t="s">
        <v>4365</v>
      </c>
      <c r="D116" s="1737"/>
      <c r="E116" s="1733">
        <v>17000</v>
      </c>
      <c r="F116" s="1735">
        <v>2018</v>
      </c>
      <c r="G116" s="1734" t="s">
        <v>4914</v>
      </c>
      <c r="H116" s="1736" t="s">
        <v>902</v>
      </c>
      <c r="I116" s="1735">
        <v>2000</v>
      </c>
      <c r="J116" s="1737"/>
      <c r="K116" s="1734" t="s">
        <v>5883</v>
      </c>
      <c r="L116" s="1735"/>
      <c r="M116" s="1748">
        <v>121550000</v>
      </c>
      <c r="N116" s="1770" t="s">
        <v>4678</v>
      </c>
      <c r="O116" s="1740"/>
      <c r="P116" s="1740"/>
    </row>
    <row r="117" spans="1:16" s="1741" customFormat="1" ht="42" customHeight="1" x14ac:dyDescent="0.2">
      <c r="A117" s="1769">
        <v>107</v>
      </c>
      <c r="B117" s="1747" t="s">
        <v>4456</v>
      </c>
      <c r="C117" s="1735" t="s">
        <v>4365</v>
      </c>
      <c r="D117" s="1737"/>
      <c r="E117" s="1733">
        <v>20000</v>
      </c>
      <c r="F117" s="1735">
        <v>2018</v>
      </c>
      <c r="G117" s="1734" t="s">
        <v>4917</v>
      </c>
      <c r="H117" s="1736" t="s">
        <v>902</v>
      </c>
      <c r="I117" s="1735">
        <v>2000</v>
      </c>
      <c r="J117" s="1737"/>
      <c r="K117" s="1734" t="s">
        <v>5883</v>
      </c>
      <c r="L117" s="1735"/>
      <c r="M117" s="1748">
        <v>1325680000</v>
      </c>
      <c r="N117" s="1770" t="s">
        <v>4678</v>
      </c>
      <c r="O117" s="1740"/>
      <c r="P117" s="1740"/>
    </row>
    <row r="118" spans="1:16" s="1741" customFormat="1" ht="42" customHeight="1" x14ac:dyDescent="0.2">
      <c r="A118" s="1769">
        <v>108</v>
      </c>
      <c r="B118" s="1747" t="s">
        <v>4457</v>
      </c>
      <c r="C118" s="1735" t="s">
        <v>4365</v>
      </c>
      <c r="D118" s="1737"/>
      <c r="E118" s="1733">
        <v>25500</v>
      </c>
      <c r="F118" s="1735">
        <v>2018</v>
      </c>
      <c r="G118" s="1734" t="s">
        <v>893</v>
      </c>
      <c r="H118" s="1736" t="s">
        <v>902</v>
      </c>
      <c r="I118" s="1735">
        <v>2000</v>
      </c>
      <c r="J118" s="1737"/>
      <c r="K118" s="1734" t="s">
        <v>5883</v>
      </c>
      <c r="L118" s="1735"/>
      <c r="M118" s="1748">
        <v>4080000000</v>
      </c>
      <c r="N118" s="1770" t="s">
        <v>4678</v>
      </c>
      <c r="O118" s="1740"/>
      <c r="P118" s="1740"/>
    </row>
    <row r="119" spans="1:16" s="1741" customFormat="1" ht="42" customHeight="1" x14ac:dyDescent="0.2">
      <c r="A119" s="1769">
        <v>109</v>
      </c>
      <c r="B119" s="1747" t="s">
        <v>4458</v>
      </c>
      <c r="C119" s="1735" t="s">
        <v>4365</v>
      </c>
      <c r="D119" s="1737"/>
      <c r="E119" s="1733">
        <v>84000</v>
      </c>
      <c r="F119" s="1735">
        <v>2018</v>
      </c>
      <c r="G119" s="1734" t="s">
        <v>3621</v>
      </c>
      <c r="H119" s="1736" t="s">
        <v>902</v>
      </c>
      <c r="I119" s="1735">
        <v>2000</v>
      </c>
      <c r="J119" s="1737"/>
      <c r="K119" s="1734" t="s">
        <v>5883</v>
      </c>
      <c r="L119" s="1735"/>
      <c r="M119" s="1748">
        <v>236160000</v>
      </c>
      <c r="N119" s="1770" t="s">
        <v>4678</v>
      </c>
      <c r="O119" s="1740"/>
      <c r="P119" s="1740"/>
    </row>
    <row r="120" spans="1:16" s="1741" customFormat="1" ht="42" customHeight="1" x14ac:dyDescent="0.2">
      <c r="A120" s="1769">
        <v>110</v>
      </c>
      <c r="B120" s="1747" t="s">
        <v>4459</v>
      </c>
      <c r="C120" s="1735" t="s">
        <v>4365</v>
      </c>
      <c r="D120" s="1737"/>
      <c r="E120" s="1733">
        <v>480000</v>
      </c>
      <c r="F120" s="1735">
        <v>2018</v>
      </c>
      <c r="G120" s="1734" t="s">
        <v>4921</v>
      </c>
      <c r="H120" s="1736" t="s">
        <v>902</v>
      </c>
      <c r="I120" s="1735">
        <v>2000</v>
      </c>
      <c r="J120" s="1737"/>
      <c r="K120" s="1734" t="s">
        <v>5883</v>
      </c>
      <c r="L120" s="1735"/>
      <c r="M120" s="1748">
        <v>2400000000</v>
      </c>
      <c r="N120" s="1770" t="s">
        <v>4678</v>
      </c>
      <c r="O120" s="1740"/>
      <c r="P120" s="1740"/>
    </row>
    <row r="121" spans="1:16" s="1741" customFormat="1" ht="42" customHeight="1" x14ac:dyDescent="0.2">
      <c r="A121" s="1769">
        <v>111</v>
      </c>
      <c r="B121" s="1747" t="s">
        <v>4460</v>
      </c>
      <c r="C121" s="1735" t="s">
        <v>4365</v>
      </c>
      <c r="D121" s="1737"/>
      <c r="E121" s="1733">
        <v>35000</v>
      </c>
      <c r="F121" s="1735">
        <v>2018</v>
      </c>
      <c r="G121" s="1734" t="s">
        <v>628</v>
      </c>
      <c r="H121" s="1736" t="s">
        <v>902</v>
      </c>
      <c r="I121" s="1735">
        <v>2000</v>
      </c>
      <c r="J121" s="1737"/>
      <c r="K121" s="1734" t="s">
        <v>5883</v>
      </c>
      <c r="L121" s="1735"/>
      <c r="M121" s="1748">
        <v>23117500</v>
      </c>
      <c r="N121" s="1770" t="s">
        <v>4678</v>
      </c>
      <c r="O121" s="1740"/>
      <c r="P121" s="1740"/>
    </row>
    <row r="122" spans="1:16" s="1741" customFormat="1" ht="42" customHeight="1" x14ac:dyDescent="0.2">
      <c r="A122" s="1769">
        <v>112</v>
      </c>
      <c r="B122" s="1747" t="s">
        <v>4461</v>
      </c>
      <c r="C122" s="1735" t="s">
        <v>4365</v>
      </c>
      <c r="D122" s="1737"/>
      <c r="E122" s="1733">
        <v>112000</v>
      </c>
      <c r="F122" s="1735">
        <v>2018</v>
      </c>
      <c r="G122" s="1734" t="s">
        <v>3622</v>
      </c>
      <c r="H122" s="1736" t="s">
        <v>902</v>
      </c>
      <c r="I122" s="1735">
        <v>2000</v>
      </c>
      <c r="J122" s="1737"/>
      <c r="K122" s="1734" t="s">
        <v>5883</v>
      </c>
      <c r="L122" s="1735"/>
      <c r="M122" s="1748">
        <v>999200000</v>
      </c>
      <c r="N122" s="1770" t="s">
        <v>4678</v>
      </c>
      <c r="O122" s="1740"/>
      <c r="P122" s="1740"/>
    </row>
    <row r="123" spans="1:16" s="1741" customFormat="1" ht="42" customHeight="1" x14ac:dyDescent="0.2">
      <c r="A123" s="1769">
        <v>113</v>
      </c>
      <c r="B123" s="1747" t="s">
        <v>4462</v>
      </c>
      <c r="C123" s="1735" t="s">
        <v>4365</v>
      </c>
      <c r="D123" s="1737"/>
      <c r="E123" s="1733">
        <v>420000</v>
      </c>
      <c r="F123" s="1735">
        <v>2018</v>
      </c>
      <c r="G123" s="1734" t="s">
        <v>3623</v>
      </c>
      <c r="H123" s="1736" t="s">
        <v>902</v>
      </c>
      <c r="I123" s="1735">
        <v>2000</v>
      </c>
      <c r="J123" s="1737"/>
      <c r="K123" s="1734" t="s">
        <v>5883</v>
      </c>
      <c r="L123" s="1735"/>
      <c r="M123" s="1748">
        <v>504000000</v>
      </c>
      <c r="N123" s="1770" t="s">
        <v>4678</v>
      </c>
      <c r="O123" s="1740"/>
      <c r="P123" s="1740"/>
    </row>
    <row r="124" spans="1:16" s="1741" customFormat="1" ht="42" customHeight="1" x14ac:dyDescent="0.2">
      <c r="A124" s="1769">
        <v>114</v>
      </c>
      <c r="B124" s="1747" t="s">
        <v>4463</v>
      </c>
      <c r="C124" s="1735" t="s">
        <v>4365</v>
      </c>
      <c r="D124" s="1737"/>
      <c r="E124" s="1733">
        <v>136000</v>
      </c>
      <c r="F124" s="1735">
        <v>2018</v>
      </c>
      <c r="G124" s="1734" t="s">
        <v>3624</v>
      </c>
      <c r="H124" s="1736" t="s">
        <v>902</v>
      </c>
      <c r="I124" s="1735">
        <v>2000</v>
      </c>
      <c r="J124" s="1737"/>
      <c r="K124" s="1734" t="s">
        <v>5883</v>
      </c>
      <c r="L124" s="1735"/>
      <c r="M124" s="1748">
        <v>1382720000</v>
      </c>
      <c r="N124" s="1770" t="s">
        <v>4678</v>
      </c>
      <c r="O124" s="1740"/>
      <c r="P124" s="1740"/>
    </row>
    <row r="125" spans="1:16" s="1741" customFormat="1" ht="42" customHeight="1" x14ac:dyDescent="0.2">
      <c r="A125" s="1769">
        <v>115</v>
      </c>
      <c r="B125" s="1747" t="s">
        <v>4464</v>
      </c>
      <c r="C125" s="1735" t="s">
        <v>4365</v>
      </c>
      <c r="D125" s="1737"/>
      <c r="E125" s="1733">
        <v>86400</v>
      </c>
      <c r="F125" s="1735">
        <v>2018</v>
      </c>
      <c r="G125" s="1734" t="s">
        <v>3158</v>
      </c>
      <c r="H125" s="1736" t="s">
        <v>902</v>
      </c>
      <c r="I125" s="1735">
        <v>2000</v>
      </c>
      <c r="J125" s="1737"/>
      <c r="K125" s="1734" t="s">
        <v>5883</v>
      </c>
      <c r="L125" s="1735"/>
      <c r="M125" s="1748">
        <v>194880000</v>
      </c>
      <c r="N125" s="1770" t="s">
        <v>4678</v>
      </c>
      <c r="O125" s="1740"/>
      <c r="P125" s="1740"/>
    </row>
    <row r="126" spans="1:16" s="1741" customFormat="1" ht="42" customHeight="1" x14ac:dyDescent="0.2">
      <c r="A126" s="1769">
        <v>116</v>
      </c>
      <c r="B126" s="1747" t="s">
        <v>4465</v>
      </c>
      <c r="C126" s="1735" t="s">
        <v>4365</v>
      </c>
      <c r="D126" s="1737"/>
      <c r="E126" s="1733">
        <v>48000</v>
      </c>
      <c r="F126" s="1735">
        <v>2018</v>
      </c>
      <c r="G126" s="1734" t="s">
        <v>3625</v>
      </c>
      <c r="H126" s="1736" t="s">
        <v>902</v>
      </c>
      <c r="I126" s="1735">
        <v>2000</v>
      </c>
      <c r="J126" s="1737"/>
      <c r="K126" s="1734" t="s">
        <v>5883</v>
      </c>
      <c r="L126" s="1735"/>
      <c r="M126" s="1748">
        <v>43680000</v>
      </c>
      <c r="N126" s="1770" t="s">
        <v>4678</v>
      </c>
      <c r="O126" s="1740"/>
      <c r="P126" s="1740"/>
    </row>
    <row r="127" spans="1:16" s="1741" customFormat="1" ht="42" customHeight="1" x14ac:dyDescent="0.2">
      <c r="A127" s="1769">
        <v>117</v>
      </c>
      <c r="B127" s="1747" t="s">
        <v>4466</v>
      </c>
      <c r="C127" s="1735" t="s">
        <v>4365</v>
      </c>
      <c r="D127" s="1737"/>
      <c r="E127" s="1733">
        <v>28000</v>
      </c>
      <c r="F127" s="1735">
        <v>2018</v>
      </c>
      <c r="G127" s="1734" t="s">
        <v>3626</v>
      </c>
      <c r="H127" s="1736" t="s">
        <v>902</v>
      </c>
      <c r="I127" s="1735">
        <v>2000</v>
      </c>
      <c r="J127" s="1737"/>
      <c r="K127" s="1734" t="s">
        <v>5883</v>
      </c>
      <c r="L127" s="1735"/>
      <c r="M127" s="1748">
        <v>47600000</v>
      </c>
      <c r="N127" s="1770" t="s">
        <v>4678</v>
      </c>
      <c r="O127" s="1740"/>
      <c r="P127" s="1740"/>
    </row>
    <row r="128" spans="1:16" s="1741" customFormat="1" ht="42" customHeight="1" x14ac:dyDescent="0.2">
      <c r="A128" s="1769">
        <v>118</v>
      </c>
      <c r="B128" s="1747" t="s">
        <v>4467</v>
      </c>
      <c r="C128" s="1735" t="s">
        <v>4365</v>
      </c>
      <c r="D128" s="1737"/>
      <c r="E128" s="1733">
        <v>35000</v>
      </c>
      <c r="F128" s="1735">
        <v>2018</v>
      </c>
      <c r="G128" s="1734" t="s">
        <v>3627</v>
      </c>
      <c r="H128" s="1736" t="s">
        <v>902</v>
      </c>
      <c r="I128" s="1735">
        <v>2000</v>
      </c>
      <c r="J128" s="1737"/>
      <c r="K128" s="1734" t="s">
        <v>5883</v>
      </c>
      <c r="L128" s="1735"/>
      <c r="M128" s="1748">
        <v>59500000</v>
      </c>
      <c r="N128" s="1770" t="s">
        <v>4678</v>
      </c>
      <c r="O128" s="1740"/>
      <c r="P128" s="1740"/>
    </row>
    <row r="129" spans="1:16" s="1741" customFormat="1" ht="42" customHeight="1" x14ac:dyDescent="0.2">
      <c r="A129" s="1769">
        <v>119</v>
      </c>
      <c r="B129" s="1747" t="s">
        <v>4468</v>
      </c>
      <c r="C129" s="1735" t="s">
        <v>4365</v>
      </c>
      <c r="D129" s="1737"/>
      <c r="E129" s="1733">
        <v>28000</v>
      </c>
      <c r="F129" s="1735">
        <v>2018</v>
      </c>
      <c r="G129" s="1734" t="s">
        <v>3628</v>
      </c>
      <c r="H129" s="1736" t="s">
        <v>902</v>
      </c>
      <c r="I129" s="1735">
        <v>2000</v>
      </c>
      <c r="J129" s="1737"/>
      <c r="K129" s="1734" t="s">
        <v>5883</v>
      </c>
      <c r="L129" s="1735"/>
      <c r="M129" s="1748">
        <v>47600000</v>
      </c>
      <c r="N129" s="1770" t="s">
        <v>4678</v>
      </c>
      <c r="O129" s="1740"/>
      <c r="P129" s="1740"/>
    </row>
    <row r="130" spans="1:16" s="1741" customFormat="1" ht="42" customHeight="1" x14ac:dyDescent="0.2">
      <c r="A130" s="1769">
        <v>120</v>
      </c>
      <c r="B130" s="1747" t="s">
        <v>4469</v>
      </c>
      <c r="C130" s="1735" t="s">
        <v>4365</v>
      </c>
      <c r="D130" s="1737"/>
      <c r="E130" s="1733">
        <v>40000</v>
      </c>
      <c r="F130" s="1735">
        <v>2018</v>
      </c>
      <c r="G130" s="1734" t="s">
        <v>3629</v>
      </c>
      <c r="H130" s="1736" t="s">
        <v>902</v>
      </c>
      <c r="I130" s="1735">
        <v>2000</v>
      </c>
      <c r="J130" s="1737"/>
      <c r="K130" s="1734" t="s">
        <v>5883</v>
      </c>
      <c r="L130" s="1735"/>
      <c r="M130" s="1748">
        <v>68000000</v>
      </c>
      <c r="N130" s="1770" t="s">
        <v>4678</v>
      </c>
      <c r="O130" s="1740"/>
      <c r="P130" s="1740"/>
    </row>
    <row r="131" spans="1:16" s="1741" customFormat="1" ht="42" customHeight="1" x14ac:dyDescent="0.2">
      <c r="A131" s="1769">
        <v>121</v>
      </c>
      <c r="B131" s="1747" t="s">
        <v>4470</v>
      </c>
      <c r="C131" s="1735" t="s">
        <v>4365</v>
      </c>
      <c r="D131" s="1737"/>
      <c r="E131" s="1733">
        <v>35000</v>
      </c>
      <c r="F131" s="1735">
        <v>2018</v>
      </c>
      <c r="G131" s="1734" t="s">
        <v>2579</v>
      </c>
      <c r="H131" s="1736" t="s">
        <v>902</v>
      </c>
      <c r="I131" s="1735">
        <v>2000</v>
      </c>
      <c r="J131" s="1737"/>
      <c r="K131" s="1734" t="s">
        <v>5883</v>
      </c>
      <c r="L131" s="1735"/>
      <c r="M131" s="1748">
        <v>945000000</v>
      </c>
      <c r="N131" s="1770" t="s">
        <v>4678</v>
      </c>
      <c r="O131" s="1740"/>
      <c r="P131" s="1740"/>
    </row>
    <row r="132" spans="1:16" s="1741" customFormat="1" ht="42" customHeight="1" x14ac:dyDescent="0.2">
      <c r="A132" s="1769">
        <v>122</v>
      </c>
      <c r="B132" s="1747" t="s">
        <v>4471</v>
      </c>
      <c r="C132" s="1735" t="s">
        <v>4365</v>
      </c>
      <c r="D132" s="1737"/>
      <c r="E132" s="1733">
        <v>21700</v>
      </c>
      <c r="F132" s="1735">
        <v>2018</v>
      </c>
      <c r="G132" s="1734" t="s">
        <v>3486</v>
      </c>
      <c r="H132" s="1736" t="s">
        <v>902</v>
      </c>
      <c r="I132" s="1735">
        <v>2000</v>
      </c>
      <c r="J132" s="1737"/>
      <c r="K132" s="1734" t="s">
        <v>5883</v>
      </c>
      <c r="L132" s="1735"/>
      <c r="M132" s="1748">
        <v>26040000</v>
      </c>
      <c r="N132" s="1770" t="s">
        <v>4678</v>
      </c>
      <c r="O132" s="1740"/>
      <c r="P132" s="1740"/>
    </row>
    <row r="133" spans="1:16" s="1741" customFormat="1" ht="42" customHeight="1" x14ac:dyDescent="0.2">
      <c r="A133" s="1769">
        <v>123</v>
      </c>
      <c r="B133" s="1747" t="s">
        <v>4472</v>
      </c>
      <c r="C133" s="1735" t="s">
        <v>4365</v>
      </c>
      <c r="D133" s="1737"/>
      <c r="E133" s="1733">
        <v>19250</v>
      </c>
      <c r="F133" s="1735">
        <v>2018</v>
      </c>
      <c r="G133" s="1734" t="s">
        <v>4922</v>
      </c>
      <c r="H133" s="1736" t="s">
        <v>902</v>
      </c>
      <c r="I133" s="1735">
        <v>2000</v>
      </c>
      <c r="J133" s="1737"/>
      <c r="K133" s="1734" t="s">
        <v>5883</v>
      </c>
      <c r="L133" s="1735"/>
      <c r="M133" s="1748">
        <v>23100000</v>
      </c>
      <c r="N133" s="1770" t="s">
        <v>4678</v>
      </c>
      <c r="O133" s="1740"/>
      <c r="P133" s="1740"/>
    </row>
    <row r="134" spans="1:16" s="1741" customFormat="1" ht="42" customHeight="1" x14ac:dyDescent="0.2">
      <c r="A134" s="1769">
        <v>124</v>
      </c>
      <c r="B134" s="1747" t="s">
        <v>4473</v>
      </c>
      <c r="C134" s="1735" t="s">
        <v>4365</v>
      </c>
      <c r="D134" s="1737"/>
      <c r="E134" s="1733">
        <v>35000</v>
      </c>
      <c r="F134" s="1735">
        <v>2018</v>
      </c>
      <c r="G134" s="1734" t="s">
        <v>2579</v>
      </c>
      <c r="H134" s="1736" t="s">
        <v>902</v>
      </c>
      <c r="I134" s="1735">
        <v>2000</v>
      </c>
      <c r="J134" s="1737"/>
      <c r="K134" s="1734" t="s">
        <v>5883</v>
      </c>
      <c r="L134" s="1735"/>
      <c r="M134" s="1748">
        <v>945000000</v>
      </c>
      <c r="N134" s="1770" t="s">
        <v>4678</v>
      </c>
      <c r="O134" s="1740"/>
      <c r="P134" s="1740"/>
    </row>
    <row r="135" spans="1:16" s="1741" customFormat="1" ht="42" customHeight="1" x14ac:dyDescent="0.2">
      <c r="A135" s="1769">
        <v>125</v>
      </c>
      <c r="B135" s="1747" t="s">
        <v>4474</v>
      </c>
      <c r="C135" s="1735" t="s">
        <v>4365</v>
      </c>
      <c r="D135" s="1737"/>
      <c r="E135" s="1733">
        <v>14000</v>
      </c>
      <c r="F135" s="1735">
        <v>2018</v>
      </c>
      <c r="G135" s="1734" t="s">
        <v>4923</v>
      </c>
      <c r="H135" s="1736" t="s">
        <v>902</v>
      </c>
      <c r="I135" s="1735">
        <v>2000</v>
      </c>
      <c r="J135" s="1737"/>
      <c r="K135" s="1734" t="s">
        <v>5883</v>
      </c>
      <c r="L135" s="1735"/>
      <c r="M135" s="1748">
        <v>9240000</v>
      </c>
      <c r="N135" s="1770" t="s">
        <v>4678</v>
      </c>
      <c r="O135" s="1740"/>
      <c r="P135" s="1740"/>
    </row>
    <row r="136" spans="1:16" s="1741" customFormat="1" ht="42" customHeight="1" x14ac:dyDescent="0.2">
      <c r="A136" s="1769">
        <v>126</v>
      </c>
      <c r="B136" s="1747" t="s">
        <v>4475</v>
      </c>
      <c r="C136" s="1735" t="s">
        <v>4365</v>
      </c>
      <c r="D136" s="1737"/>
      <c r="E136" s="1733">
        <v>21000</v>
      </c>
      <c r="F136" s="1735">
        <v>2018</v>
      </c>
      <c r="G136" s="1734" t="s">
        <v>4924</v>
      </c>
      <c r="H136" s="1736" t="s">
        <v>902</v>
      </c>
      <c r="I136" s="1735">
        <v>2000</v>
      </c>
      <c r="J136" s="1737"/>
      <c r="K136" s="1734" t="s">
        <v>5883</v>
      </c>
      <c r="L136" s="1735"/>
      <c r="M136" s="1748">
        <v>51450000</v>
      </c>
      <c r="N136" s="1770" t="s">
        <v>4678</v>
      </c>
      <c r="O136" s="1740"/>
      <c r="P136" s="1740"/>
    </row>
    <row r="137" spans="1:16" s="1741" customFormat="1" ht="42" customHeight="1" x14ac:dyDescent="0.2">
      <c r="A137" s="1769">
        <v>127</v>
      </c>
      <c r="B137" s="1747" t="s">
        <v>4476</v>
      </c>
      <c r="C137" s="1735" t="s">
        <v>4365</v>
      </c>
      <c r="D137" s="1737"/>
      <c r="E137" s="1733">
        <v>17500</v>
      </c>
      <c r="F137" s="1735">
        <v>2018</v>
      </c>
      <c r="G137" s="1734" t="s">
        <v>4925</v>
      </c>
      <c r="H137" s="1736" t="s">
        <v>902</v>
      </c>
      <c r="I137" s="1735">
        <v>2000</v>
      </c>
      <c r="J137" s="1737"/>
      <c r="K137" s="1734" t="s">
        <v>5883</v>
      </c>
      <c r="L137" s="1735"/>
      <c r="M137" s="1748">
        <v>29750000</v>
      </c>
      <c r="N137" s="1770" t="s">
        <v>4678</v>
      </c>
      <c r="O137" s="1740"/>
      <c r="P137" s="1740"/>
    </row>
    <row r="138" spans="1:16" s="1741" customFormat="1" ht="42" customHeight="1" x14ac:dyDescent="0.2">
      <c r="A138" s="1769">
        <v>128</v>
      </c>
      <c r="B138" s="1747" t="s">
        <v>4477</v>
      </c>
      <c r="C138" s="1735" t="s">
        <v>4365</v>
      </c>
      <c r="D138" s="1737"/>
      <c r="E138" s="1733">
        <v>20000</v>
      </c>
      <c r="F138" s="1735">
        <v>2018</v>
      </c>
      <c r="G138" s="1734" t="s">
        <v>4926</v>
      </c>
      <c r="H138" s="1736" t="s">
        <v>902</v>
      </c>
      <c r="I138" s="1735">
        <v>2000</v>
      </c>
      <c r="J138" s="1737"/>
      <c r="K138" s="1734" t="s">
        <v>5883</v>
      </c>
      <c r="L138" s="1735"/>
      <c r="M138" s="1748">
        <v>18200000</v>
      </c>
      <c r="N138" s="1770" t="s">
        <v>4678</v>
      </c>
      <c r="O138" s="1740"/>
      <c r="P138" s="1740"/>
    </row>
    <row r="139" spans="1:16" s="1741" customFormat="1" ht="42" customHeight="1" x14ac:dyDescent="0.2">
      <c r="A139" s="1769">
        <v>129</v>
      </c>
      <c r="B139" s="1747" t="s">
        <v>4478</v>
      </c>
      <c r="C139" s="1735" t="s">
        <v>4365</v>
      </c>
      <c r="D139" s="1737"/>
      <c r="E139" s="1733">
        <v>440</v>
      </c>
      <c r="F139" s="1735">
        <v>2018</v>
      </c>
      <c r="G139" s="1734" t="s">
        <v>4920</v>
      </c>
      <c r="H139" s="1736" t="s">
        <v>902</v>
      </c>
      <c r="I139" s="1735">
        <v>2000</v>
      </c>
      <c r="J139" s="1737"/>
      <c r="K139" s="1734" t="s">
        <v>5883</v>
      </c>
      <c r="L139" s="1735"/>
      <c r="M139" s="1748">
        <v>8800000</v>
      </c>
      <c r="N139" s="1770" t="s">
        <v>4678</v>
      </c>
      <c r="O139" s="1740"/>
      <c r="P139" s="1740"/>
    </row>
    <row r="140" spans="1:16" s="1741" customFormat="1" ht="42" customHeight="1" x14ac:dyDescent="0.2">
      <c r="A140" s="1769">
        <v>130</v>
      </c>
      <c r="B140" s="1747" t="s">
        <v>4479</v>
      </c>
      <c r="C140" s="1735" t="s">
        <v>4365</v>
      </c>
      <c r="D140" s="1737"/>
      <c r="E140" s="1733">
        <v>1008</v>
      </c>
      <c r="F140" s="1735">
        <v>2018</v>
      </c>
      <c r="G140" s="1734" t="s">
        <v>4920</v>
      </c>
      <c r="H140" s="1736" t="s">
        <v>902</v>
      </c>
      <c r="I140" s="1735">
        <v>2000</v>
      </c>
      <c r="J140" s="1737"/>
      <c r="K140" s="1734" t="s">
        <v>5883</v>
      </c>
      <c r="L140" s="1735"/>
      <c r="M140" s="1748">
        <v>20160000</v>
      </c>
      <c r="N140" s="1770" t="s">
        <v>4678</v>
      </c>
      <c r="O140" s="1740"/>
      <c r="P140" s="1740"/>
    </row>
    <row r="141" spans="1:16" s="1741" customFormat="1" ht="42" customHeight="1" x14ac:dyDescent="0.2">
      <c r="A141" s="1769">
        <v>131</v>
      </c>
      <c r="B141" s="1747" t="s">
        <v>4480</v>
      </c>
      <c r="C141" s="1735" t="s">
        <v>4365</v>
      </c>
      <c r="D141" s="1737"/>
      <c r="E141" s="1733">
        <v>924</v>
      </c>
      <c r="F141" s="1735">
        <v>2018</v>
      </c>
      <c r="G141" s="1734" t="s">
        <v>4920</v>
      </c>
      <c r="H141" s="1736" t="s">
        <v>902</v>
      </c>
      <c r="I141" s="1735">
        <v>2000</v>
      </c>
      <c r="J141" s="1737"/>
      <c r="K141" s="1734" t="s">
        <v>5883</v>
      </c>
      <c r="L141" s="1735"/>
      <c r="M141" s="1748">
        <v>18480000</v>
      </c>
      <c r="N141" s="1770" t="s">
        <v>4678</v>
      </c>
      <c r="O141" s="1740"/>
      <c r="P141" s="1740"/>
    </row>
    <row r="142" spans="1:16" s="1741" customFormat="1" ht="42" customHeight="1" x14ac:dyDescent="0.2">
      <c r="A142" s="1769">
        <v>132</v>
      </c>
      <c r="B142" s="1747" t="s">
        <v>4481</v>
      </c>
      <c r="C142" s="1735" t="s">
        <v>4365</v>
      </c>
      <c r="D142" s="1737"/>
      <c r="E142" s="1733">
        <v>385</v>
      </c>
      <c r="F142" s="1735">
        <v>2018</v>
      </c>
      <c r="G142" s="1734" t="s">
        <v>4927</v>
      </c>
      <c r="H142" s="1736" t="s">
        <v>902</v>
      </c>
      <c r="I142" s="1735">
        <v>2000</v>
      </c>
      <c r="J142" s="1737"/>
      <c r="K142" s="1734" t="s">
        <v>5883</v>
      </c>
      <c r="L142" s="1735"/>
      <c r="M142" s="1748">
        <v>7700000</v>
      </c>
      <c r="N142" s="1770" t="s">
        <v>4678</v>
      </c>
      <c r="O142" s="1740"/>
      <c r="P142" s="1740"/>
    </row>
    <row r="143" spans="1:16" s="1741" customFormat="1" ht="42" customHeight="1" x14ac:dyDescent="0.2">
      <c r="A143" s="1769">
        <v>133</v>
      </c>
      <c r="B143" s="1747" t="s">
        <v>4482</v>
      </c>
      <c r="C143" s="1735" t="s">
        <v>4365</v>
      </c>
      <c r="D143" s="1737"/>
      <c r="E143" s="1733">
        <v>357</v>
      </c>
      <c r="F143" s="1735">
        <v>2018</v>
      </c>
      <c r="G143" s="1734" t="s">
        <v>4927</v>
      </c>
      <c r="H143" s="1736" t="s">
        <v>902</v>
      </c>
      <c r="I143" s="1735">
        <v>2000</v>
      </c>
      <c r="J143" s="1737"/>
      <c r="K143" s="1734" t="s">
        <v>5883</v>
      </c>
      <c r="L143" s="1735"/>
      <c r="M143" s="1748">
        <v>7140000</v>
      </c>
      <c r="N143" s="1770" t="s">
        <v>4678</v>
      </c>
      <c r="O143" s="1740"/>
      <c r="P143" s="1740"/>
    </row>
    <row r="144" spans="1:16" s="1741" customFormat="1" ht="42" customHeight="1" x14ac:dyDescent="0.2">
      <c r="A144" s="1769">
        <v>134</v>
      </c>
      <c r="B144" s="1747" t="s">
        <v>4483</v>
      </c>
      <c r="C144" s="1735" t="s">
        <v>4365</v>
      </c>
      <c r="D144" s="1737"/>
      <c r="E144" s="1733">
        <v>400000</v>
      </c>
      <c r="F144" s="1735">
        <v>2018</v>
      </c>
      <c r="G144" s="1734" t="s">
        <v>5016</v>
      </c>
      <c r="H144" s="1736" t="s">
        <v>902</v>
      </c>
      <c r="I144" s="1735">
        <v>2000</v>
      </c>
      <c r="J144" s="1737"/>
      <c r="K144" s="1734" t="s">
        <v>5883</v>
      </c>
      <c r="L144" s="1735"/>
      <c r="M144" s="1748">
        <v>480000000</v>
      </c>
      <c r="N144" s="1770" t="s">
        <v>4678</v>
      </c>
      <c r="O144" s="1740"/>
      <c r="P144" s="1740"/>
    </row>
    <row r="145" spans="1:16" s="1741" customFormat="1" ht="42" customHeight="1" x14ac:dyDescent="0.2">
      <c r="A145" s="1769">
        <v>135</v>
      </c>
      <c r="B145" s="1747" t="s">
        <v>4484</v>
      </c>
      <c r="C145" s="1735" t="s">
        <v>4365</v>
      </c>
      <c r="D145" s="1737"/>
      <c r="E145" s="1733">
        <v>96000</v>
      </c>
      <c r="F145" s="1735">
        <v>2018</v>
      </c>
      <c r="G145" s="1734" t="s">
        <v>3644</v>
      </c>
      <c r="H145" s="1736" t="s">
        <v>902</v>
      </c>
      <c r="I145" s="1735">
        <v>2000</v>
      </c>
      <c r="J145" s="1737"/>
      <c r="K145" s="1734" t="s">
        <v>5883</v>
      </c>
      <c r="L145" s="1735"/>
      <c r="M145" s="1748">
        <v>87360000</v>
      </c>
      <c r="N145" s="1770" t="s">
        <v>4678</v>
      </c>
      <c r="O145" s="1740"/>
      <c r="P145" s="1740"/>
    </row>
    <row r="146" spans="1:16" s="1741" customFormat="1" ht="42" customHeight="1" x14ac:dyDescent="0.2">
      <c r="A146" s="1769">
        <v>136</v>
      </c>
      <c r="B146" s="1747" t="s">
        <v>4485</v>
      </c>
      <c r="C146" s="1735" t="s">
        <v>4365</v>
      </c>
      <c r="D146" s="1737"/>
      <c r="E146" s="1733">
        <v>24500</v>
      </c>
      <c r="F146" s="1735">
        <v>2018</v>
      </c>
      <c r="G146" s="1734" t="s">
        <v>3645</v>
      </c>
      <c r="H146" s="1736" t="s">
        <v>902</v>
      </c>
      <c r="I146" s="1735">
        <v>2000</v>
      </c>
      <c r="J146" s="1737"/>
      <c r="K146" s="1734" t="s">
        <v>5883</v>
      </c>
      <c r="L146" s="1735"/>
      <c r="M146" s="1748">
        <v>82075000</v>
      </c>
      <c r="N146" s="1770" t="s">
        <v>4678</v>
      </c>
      <c r="O146" s="1740"/>
      <c r="P146" s="1740"/>
    </row>
    <row r="147" spans="1:16" s="1741" customFormat="1" ht="42" customHeight="1" x14ac:dyDescent="0.2">
      <c r="A147" s="1769">
        <v>137</v>
      </c>
      <c r="B147" s="1747" t="s">
        <v>4486</v>
      </c>
      <c r="C147" s="1735" t="s">
        <v>4365</v>
      </c>
      <c r="D147" s="1737"/>
      <c r="E147" s="1733">
        <v>21000</v>
      </c>
      <c r="F147" s="1735">
        <v>2018</v>
      </c>
      <c r="G147" s="1734" t="s">
        <v>4928</v>
      </c>
      <c r="H147" s="1736" t="s">
        <v>902</v>
      </c>
      <c r="I147" s="1735">
        <v>2000</v>
      </c>
      <c r="J147" s="1737"/>
      <c r="K147" s="1734" t="s">
        <v>5883</v>
      </c>
      <c r="L147" s="1735"/>
      <c r="M147" s="1748">
        <v>51450000</v>
      </c>
      <c r="N147" s="1770" t="s">
        <v>4678</v>
      </c>
      <c r="O147" s="1740"/>
      <c r="P147" s="1740"/>
    </row>
    <row r="148" spans="1:16" s="1741" customFormat="1" ht="42" customHeight="1" x14ac:dyDescent="0.2">
      <c r="A148" s="1769">
        <v>138</v>
      </c>
      <c r="B148" s="1747" t="s">
        <v>4487</v>
      </c>
      <c r="C148" s="1735" t="s">
        <v>4365</v>
      </c>
      <c r="D148" s="1737"/>
      <c r="E148" s="1733">
        <v>16800</v>
      </c>
      <c r="F148" s="1735">
        <v>2018</v>
      </c>
      <c r="G148" s="1734" t="s">
        <v>3647</v>
      </c>
      <c r="H148" s="1736" t="s">
        <v>902</v>
      </c>
      <c r="I148" s="1735">
        <v>2000</v>
      </c>
      <c r="J148" s="1737"/>
      <c r="K148" s="1734" t="s">
        <v>5883</v>
      </c>
      <c r="L148" s="1735"/>
      <c r="M148" s="1748">
        <v>58800000</v>
      </c>
      <c r="N148" s="1770" t="s">
        <v>4678</v>
      </c>
      <c r="O148" s="1740"/>
      <c r="P148" s="1740"/>
    </row>
    <row r="149" spans="1:16" s="1741" customFormat="1" ht="42" customHeight="1" x14ac:dyDescent="0.2">
      <c r="A149" s="1769">
        <v>139</v>
      </c>
      <c r="B149" s="1747" t="s">
        <v>4488</v>
      </c>
      <c r="C149" s="1735" t="s">
        <v>4365</v>
      </c>
      <c r="D149" s="1737"/>
      <c r="E149" s="1733">
        <v>28000</v>
      </c>
      <c r="F149" s="1735">
        <v>2018</v>
      </c>
      <c r="G149" s="1734" t="s">
        <v>3648</v>
      </c>
      <c r="H149" s="1736" t="s">
        <v>902</v>
      </c>
      <c r="I149" s="1735">
        <v>2000</v>
      </c>
      <c r="J149" s="1737"/>
      <c r="K149" s="1734" t="s">
        <v>5883</v>
      </c>
      <c r="L149" s="1735"/>
      <c r="M149" s="1748">
        <v>47600000</v>
      </c>
      <c r="N149" s="1770" t="s">
        <v>4678</v>
      </c>
      <c r="O149" s="1740"/>
      <c r="P149" s="1740"/>
    </row>
    <row r="150" spans="1:16" s="1741" customFormat="1" ht="42" customHeight="1" x14ac:dyDescent="0.2">
      <c r="A150" s="1769">
        <v>140</v>
      </c>
      <c r="B150" s="1747" t="s">
        <v>4489</v>
      </c>
      <c r="C150" s="1735" t="s">
        <v>4365</v>
      </c>
      <c r="D150" s="1737"/>
      <c r="E150" s="1733">
        <v>21700</v>
      </c>
      <c r="F150" s="1735">
        <v>2018</v>
      </c>
      <c r="G150" s="1734" t="s">
        <v>5017</v>
      </c>
      <c r="H150" s="1736" t="s">
        <v>902</v>
      </c>
      <c r="I150" s="1735">
        <v>2000</v>
      </c>
      <c r="J150" s="1737"/>
      <c r="K150" s="1734" t="s">
        <v>5883</v>
      </c>
      <c r="L150" s="1735"/>
      <c r="M150" s="1748">
        <v>36890000</v>
      </c>
      <c r="N150" s="1770" t="s">
        <v>4678</v>
      </c>
      <c r="O150" s="1740"/>
      <c r="P150" s="1740"/>
    </row>
    <row r="151" spans="1:16" s="1741" customFormat="1" ht="42" customHeight="1" x14ac:dyDescent="0.2">
      <c r="A151" s="1769">
        <v>141</v>
      </c>
      <c r="B151" s="1747" t="s">
        <v>4490</v>
      </c>
      <c r="C151" s="1735" t="s">
        <v>4365</v>
      </c>
      <c r="D151" s="1737"/>
      <c r="E151" s="1733">
        <v>21000</v>
      </c>
      <c r="F151" s="1735">
        <v>2018</v>
      </c>
      <c r="G151" s="1734" t="s">
        <v>3203</v>
      </c>
      <c r="H151" s="1736" t="s">
        <v>902</v>
      </c>
      <c r="I151" s="1735">
        <v>2000</v>
      </c>
      <c r="J151" s="1737"/>
      <c r="K151" s="1734" t="s">
        <v>5883</v>
      </c>
      <c r="L151" s="1735"/>
      <c r="M151" s="1748">
        <v>51450000</v>
      </c>
      <c r="N151" s="1770" t="s">
        <v>4678</v>
      </c>
      <c r="O151" s="1740"/>
      <c r="P151" s="1740"/>
    </row>
    <row r="152" spans="1:16" s="1741" customFormat="1" ht="42" customHeight="1" x14ac:dyDescent="0.2">
      <c r="A152" s="1769">
        <v>142</v>
      </c>
      <c r="B152" s="1747" t="s">
        <v>4491</v>
      </c>
      <c r="C152" s="1735" t="s">
        <v>4365</v>
      </c>
      <c r="D152" s="1737"/>
      <c r="E152" s="1733">
        <v>28000</v>
      </c>
      <c r="F152" s="1735">
        <v>2018</v>
      </c>
      <c r="G152" s="1734" t="s">
        <v>3650</v>
      </c>
      <c r="H152" s="1736" t="s">
        <v>902</v>
      </c>
      <c r="I152" s="1735">
        <v>2000</v>
      </c>
      <c r="J152" s="1737"/>
      <c r="K152" s="1734" t="s">
        <v>5883</v>
      </c>
      <c r="L152" s="1735"/>
      <c r="M152" s="1748">
        <v>70805000</v>
      </c>
      <c r="N152" s="1770" t="s">
        <v>4678</v>
      </c>
      <c r="O152" s="1740"/>
      <c r="P152" s="1740"/>
    </row>
    <row r="153" spans="1:16" s="1741" customFormat="1" ht="42" customHeight="1" x14ac:dyDescent="0.2">
      <c r="A153" s="1769">
        <v>143</v>
      </c>
      <c r="B153" s="1747" t="s">
        <v>4492</v>
      </c>
      <c r="C153" s="1735" t="s">
        <v>4365</v>
      </c>
      <c r="D153" s="1737"/>
      <c r="E153" s="1733">
        <v>14000</v>
      </c>
      <c r="F153" s="1735">
        <v>2018</v>
      </c>
      <c r="G153" s="1734" t="s">
        <v>3651</v>
      </c>
      <c r="H153" s="1736" t="s">
        <v>902</v>
      </c>
      <c r="I153" s="1735">
        <v>2000</v>
      </c>
      <c r="J153" s="1737"/>
      <c r="K153" s="1734" t="s">
        <v>5883</v>
      </c>
      <c r="L153" s="1735"/>
      <c r="M153" s="1748">
        <v>16800000</v>
      </c>
      <c r="N153" s="1770" t="s">
        <v>4678</v>
      </c>
      <c r="O153" s="1740"/>
      <c r="P153" s="1740"/>
    </row>
    <row r="154" spans="1:16" s="1741" customFormat="1" ht="42" customHeight="1" x14ac:dyDescent="0.2">
      <c r="A154" s="1769">
        <v>144</v>
      </c>
      <c r="B154" s="1747" t="s">
        <v>4493</v>
      </c>
      <c r="C154" s="1735" t="s">
        <v>4365</v>
      </c>
      <c r="D154" s="1737"/>
      <c r="E154" s="1733">
        <v>24500</v>
      </c>
      <c r="F154" s="1735">
        <v>2018</v>
      </c>
      <c r="G154" s="1734" t="s">
        <v>3652</v>
      </c>
      <c r="H154" s="1736" t="s">
        <v>902</v>
      </c>
      <c r="I154" s="1735">
        <v>2000</v>
      </c>
      <c r="J154" s="1737"/>
      <c r="K154" s="1734" t="s">
        <v>5883</v>
      </c>
      <c r="L154" s="1735"/>
      <c r="M154" s="1748">
        <v>41650000</v>
      </c>
      <c r="N154" s="1770" t="s">
        <v>4678</v>
      </c>
      <c r="O154" s="1740"/>
      <c r="P154" s="1740"/>
    </row>
    <row r="155" spans="1:16" s="1741" customFormat="1" ht="42" customHeight="1" x14ac:dyDescent="0.2">
      <c r="A155" s="1769">
        <v>145</v>
      </c>
      <c r="B155" s="1747" t="s">
        <v>4494</v>
      </c>
      <c r="C155" s="1735" t="s">
        <v>4365</v>
      </c>
      <c r="D155" s="1737"/>
      <c r="E155" s="1733">
        <v>19250</v>
      </c>
      <c r="F155" s="1735">
        <v>2018</v>
      </c>
      <c r="G155" s="1734" t="s">
        <v>3653</v>
      </c>
      <c r="H155" s="1736" t="s">
        <v>902</v>
      </c>
      <c r="I155" s="1735">
        <v>2000</v>
      </c>
      <c r="J155" s="1737"/>
      <c r="K155" s="1734" t="s">
        <v>5883</v>
      </c>
      <c r="L155" s="1735"/>
      <c r="M155" s="1748">
        <v>23100000</v>
      </c>
      <c r="N155" s="1770" t="s">
        <v>4678</v>
      </c>
      <c r="O155" s="1740"/>
      <c r="P155" s="1740"/>
    </row>
    <row r="156" spans="1:16" s="1741" customFormat="1" ht="42" customHeight="1" x14ac:dyDescent="0.2">
      <c r="A156" s="1769">
        <v>146</v>
      </c>
      <c r="B156" s="1747" t="s">
        <v>4492</v>
      </c>
      <c r="C156" s="1735" t="s">
        <v>4365</v>
      </c>
      <c r="D156" s="1737"/>
      <c r="E156" s="1733">
        <v>35350</v>
      </c>
      <c r="F156" s="1735">
        <v>2018</v>
      </c>
      <c r="G156" s="1734" t="s">
        <v>3651</v>
      </c>
      <c r="H156" s="1736" t="s">
        <v>902</v>
      </c>
      <c r="I156" s="1735">
        <v>2000</v>
      </c>
      <c r="J156" s="1737"/>
      <c r="K156" s="1734" t="s">
        <v>5883</v>
      </c>
      <c r="L156" s="1735"/>
      <c r="M156" s="1748">
        <v>213500000</v>
      </c>
      <c r="N156" s="1770" t="s">
        <v>4678</v>
      </c>
      <c r="O156" s="1740"/>
      <c r="P156" s="1740"/>
    </row>
    <row r="157" spans="1:16" s="1741" customFormat="1" ht="42" customHeight="1" x14ac:dyDescent="0.2">
      <c r="A157" s="1769">
        <v>147</v>
      </c>
      <c r="B157" s="1747" t="s">
        <v>4495</v>
      </c>
      <c r="C157" s="1735" t="s">
        <v>4365</v>
      </c>
      <c r="D157" s="1737"/>
      <c r="E157" s="1733">
        <v>64000</v>
      </c>
      <c r="F157" s="1735">
        <v>2018</v>
      </c>
      <c r="G157" s="1734" t="s">
        <v>3193</v>
      </c>
      <c r="H157" s="1736" t="s">
        <v>902</v>
      </c>
      <c r="I157" s="1735">
        <v>2000</v>
      </c>
      <c r="J157" s="1737"/>
      <c r="K157" s="1734" t="s">
        <v>5883</v>
      </c>
      <c r="L157" s="1735"/>
      <c r="M157" s="1748">
        <v>136800000</v>
      </c>
      <c r="N157" s="1770" t="s">
        <v>4678</v>
      </c>
      <c r="O157" s="1740"/>
      <c r="P157" s="1740"/>
    </row>
    <row r="158" spans="1:16" s="1741" customFormat="1" ht="42" customHeight="1" x14ac:dyDescent="0.2">
      <c r="A158" s="1769">
        <v>148</v>
      </c>
      <c r="B158" s="1747" t="s">
        <v>4496</v>
      </c>
      <c r="C158" s="1735" t="s">
        <v>4365</v>
      </c>
      <c r="D158" s="1737"/>
      <c r="E158" s="1733">
        <v>49000</v>
      </c>
      <c r="F158" s="1735">
        <v>2018</v>
      </c>
      <c r="G158" s="1734" t="s">
        <v>3654</v>
      </c>
      <c r="H158" s="1736" t="s">
        <v>902</v>
      </c>
      <c r="I158" s="1735">
        <v>2000</v>
      </c>
      <c r="J158" s="1737"/>
      <c r="K158" s="1734" t="s">
        <v>5883</v>
      </c>
      <c r="L158" s="1735"/>
      <c r="M158" s="1748">
        <v>46900000</v>
      </c>
      <c r="N158" s="1770" t="s">
        <v>4678</v>
      </c>
      <c r="O158" s="1740"/>
      <c r="P158" s="1740"/>
    </row>
    <row r="159" spans="1:16" s="1741" customFormat="1" ht="42" customHeight="1" x14ac:dyDescent="0.2">
      <c r="A159" s="1769">
        <v>149</v>
      </c>
      <c r="B159" s="1747" t="s">
        <v>4497</v>
      </c>
      <c r="C159" s="1735" t="s">
        <v>4365</v>
      </c>
      <c r="D159" s="1737"/>
      <c r="E159" s="1733">
        <v>64000</v>
      </c>
      <c r="F159" s="1735">
        <v>2018</v>
      </c>
      <c r="G159" s="1734" t="s">
        <v>3655</v>
      </c>
      <c r="H159" s="1736" t="s">
        <v>902</v>
      </c>
      <c r="I159" s="1735">
        <v>2000</v>
      </c>
      <c r="J159" s="1737"/>
      <c r="K159" s="1734" t="s">
        <v>5883</v>
      </c>
      <c r="L159" s="1735"/>
      <c r="M159" s="1748">
        <v>108800000</v>
      </c>
      <c r="N159" s="1770" t="s">
        <v>4678</v>
      </c>
      <c r="O159" s="1740"/>
      <c r="P159" s="1740"/>
    </row>
    <row r="160" spans="1:16" s="1741" customFormat="1" ht="42" customHeight="1" x14ac:dyDescent="0.2">
      <c r="A160" s="1769">
        <v>150</v>
      </c>
      <c r="B160" s="1747" t="s">
        <v>4498</v>
      </c>
      <c r="C160" s="1735" t="s">
        <v>4365</v>
      </c>
      <c r="D160" s="1737"/>
      <c r="E160" s="1733">
        <v>14000</v>
      </c>
      <c r="F160" s="1735">
        <v>2018</v>
      </c>
      <c r="G160" s="1734" t="s">
        <v>3656</v>
      </c>
      <c r="H160" s="1736" t="s">
        <v>902</v>
      </c>
      <c r="I160" s="1735">
        <v>2000</v>
      </c>
      <c r="J160" s="1737"/>
      <c r="K160" s="1734" t="s">
        <v>5883</v>
      </c>
      <c r="L160" s="1735"/>
      <c r="M160" s="1748">
        <v>151900000</v>
      </c>
      <c r="N160" s="1770" t="s">
        <v>4678</v>
      </c>
      <c r="O160" s="1740"/>
      <c r="P160" s="1740"/>
    </row>
    <row r="161" spans="1:16" s="1741" customFormat="1" ht="42" customHeight="1" x14ac:dyDescent="0.2">
      <c r="A161" s="1769">
        <v>151</v>
      </c>
      <c r="B161" s="1747" t="s">
        <v>4499</v>
      </c>
      <c r="C161" s="1735" t="s">
        <v>4365</v>
      </c>
      <c r="D161" s="1737"/>
      <c r="E161" s="1733">
        <v>96000</v>
      </c>
      <c r="F161" s="1735">
        <v>2018</v>
      </c>
      <c r="G161" s="1734" t="s">
        <v>3657</v>
      </c>
      <c r="H161" s="1736" t="s">
        <v>902</v>
      </c>
      <c r="I161" s="1735">
        <v>2000</v>
      </c>
      <c r="J161" s="1737"/>
      <c r="K161" s="1734" t="s">
        <v>5883</v>
      </c>
      <c r="L161" s="1735"/>
      <c r="M161" s="1748">
        <v>63360000</v>
      </c>
      <c r="N161" s="1770" t="s">
        <v>4678</v>
      </c>
      <c r="O161" s="1740"/>
      <c r="P161" s="1740"/>
    </row>
    <row r="162" spans="1:16" s="1741" customFormat="1" ht="42" customHeight="1" x14ac:dyDescent="0.2">
      <c r="A162" s="1769">
        <v>152</v>
      </c>
      <c r="B162" s="1747" t="s">
        <v>4500</v>
      </c>
      <c r="C162" s="1735" t="s">
        <v>4365</v>
      </c>
      <c r="D162" s="1737"/>
      <c r="E162" s="1733">
        <v>11550</v>
      </c>
      <c r="F162" s="1735">
        <v>2018</v>
      </c>
      <c r="G162" s="1734" t="s">
        <v>5018</v>
      </c>
      <c r="H162" s="1736" t="s">
        <v>902</v>
      </c>
      <c r="I162" s="1735">
        <v>2000</v>
      </c>
      <c r="J162" s="1737"/>
      <c r="K162" s="1734" t="s">
        <v>5883</v>
      </c>
      <c r="L162" s="1735"/>
      <c r="M162" s="1748">
        <v>13860000</v>
      </c>
      <c r="N162" s="1770" t="s">
        <v>4678</v>
      </c>
      <c r="O162" s="1740"/>
      <c r="P162" s="1740"/>
    </row>
    <row r="163" spans="1:16" s="1741" customFormat="1" ht="42" customHeight="1" x14ac:dyDescent="0.2">
      <c r="A163" s="1769">
        <v>153</v>
      </c>
      <c r="B163" s="1747" t="s">
        <v>4501</v>
      </c>
      <c r="C163" s="1735" t="s">
        <v>4365</v>
      </c>
      <c r="D163" s="1737"/>
      <c r="E163" s="1733">
        <v>136000</v>
      </c>
      <c r="F163" s="1735">
        <v>2018</v>
      </c>
      <c r="G163" s="1734" t="s">
        <v>3129</v>
      </c>
      <c r="H163" s="1736" t="s">
        <v>902</v>
      </c>
      <c r="I163" s="1735">
        <v>2000</v>
      </c>
      <c r="J163" s="1737"/>
      <c r="K163" s="1734" t="s">
        <v>5883</v>
      </c>
      <c r="L163" s="1735"/>
      <c r="M163" s="1748">
        <v>320800000</v>
      </c>
      <c r="N163" s="1770" t="s">
        <v>4678</v>
      </c>
      <c r="O163" s="1740"/>
      <c r="P163" s="1740"/>
    </row>
    <row r="164" spans="1:16" s="1741" customFormat="1" ht="42" customHeight="1" x14ac:dyDescent="0.2">
      <c r="A164" s="1769">
        <v>154</v>
      </c>
      <c r="B164" s="1747" t="s">
        <v>4502</v>
      </c>
      <c r="C164" s="1735" t="s">
        <v>4365</v>
      </c>
      <c r="D164" s="1737"/>
      <c r="E164" s="1733">
        <v>60000</v>
      </c>
      <c r="F164" s="1735">
        <v>2018</v>
      </c>
      <c r="G164" s="1734" t="s">
        <v>3659</v>
      </c>
      <c r="H164" s="1736" t="s">
        <v>902</v>
      </c>
      <c r="I164" s="1735">
        <v>2000</v>
      </c>
      <c r="J164" s="1737"/>
      <c r="K164" s="1734" t="s">
        <v>5883</v>
      </c>
      <c r="L164" s="1735"/>
      <c r="M164" s="1748">
        <v>72000000</v>
      </c>
      <c r="N164" s="1770" t="s">
        <v>4678</v>
      </c>
      <c r="O164" s="1740"/>
      <c r="P164" s="1740"/>
    </row>
    <row r="165" spans="1:16" s="1741" customFormat="1" ht="42" customHeight="1" x14ac:dyDescent="0.2">
      <c r="A165" s="1769">
        <v>155</v>
      </c>
      <c r="B165" s="1747" t="s">
        <v>4503</v>
      </c>
      <c r="C165" s="1735" t="s">
        <v>4365</v>
      </c>
      <c r="D165" s="1737"/>
      <c r="E165" s="1733">
        <v>13300</v>
      </c>
      <c r="F165" s="1735">
        <v>2018</v>
      </c>
      <c r="G165" s="1734" t="s">
        <v>3660</v>
      </c>
      <c r="H165" s="1736" t="s">
        <v>902</v>
      </c>
      <c r="I165" s="1735">
        <v>2000</v>
      </c>
      <c r="J165" s="1737"/>
      <c r="K165" s="1734" t="s">
        <v>5883</v>
      </c>
      <c r="L165" s="1735"/>
      <c r="M165" s="1748">
        <v>15960000</v>
      </c>
      <c r="N165" s="1770" t="s">
        <v>4678</v>
      </c>
      <c r="O165" s="1740"/>
      <c r="P165" s="1740"/>
    </row>
    <row r="166" spans="1:16" s="1741" customFormat="1" ht="42" customHeight="1" x14ac:dyDescent="0.2">
      <c r="A166" s="1769">
        <v>156</v>
      </c>
      <c r="B166" s="1747" t="s">
        <v>4504</v>
      </c>
      <c r="C166" s="1735" t="s">
        <v>4365</v>
      </c>
      <c r="D166" s="1737"/>
      <c r="E166" s="1733">
        <v>39900</v>
      </c>
      <c r="F166" s="1735">
        <v>2018</v>
      </c>
      <c r="G166" s="1734" t="s">
        <v>3187</v>
      </c>
      <c r="H166" s="1736" t="s">
        <v>902</v>
      </c>
      <c r="I166" s="1735">
        <v>2000</v>
      </c>
      <c r="J166" s="1737"/>
      <c r="K166" s="1734" t="s">
        <v>5883</v>
      </c>
      <c r="L166" s="1735"/>
      <c r="M166" s="1748">
        <v>67830000</v>
      </c>
      <c r="N166" s="1770" t="s">
        <v>4678</v>
      </c>
      <c r="O166" s="1740"/>
      <c r="P166" s="1740"/>
    </row>
    <row r="167" spans="1:16" s="1741" customFormat="1" ht="42" customHeight="1" x14ac:dyDescent="0.2">
      <c r="A167" s="1769">
        <v>157</v>
      </c>
      <c r="B167" s="1747" t="s">
        <v>4505</v>
      </c>
      <c r="C167" s="1735" t="s">
        <v>4365</v>
      </c>
      <c r="D167" s="1737"/>
      <c r="E167" s="1733">
        <v>28000</v>
      </c>
      <c r="F167" s="1735">
        <v>2018</v>
      </c>
      <c r="G167" s="1734" t="s">
        <v>5019</v>
      </c>
      <c r="H167" s="1736" t="s">
        <v>902</v>
      </c>
      <c r="I167" s="1735">
        <v>2000</v>
      </c>
      <c r="J167" s="1737"/>
      <c r="K167" s="1734" t="s">
        <v>5883</v>
      </c>
      <c r="L167" s="1735"/>
      <c r="M167" s="1748">
        <v>280000000</v>
      </c>
      <c r="N167" s="1770" t="s">
        <v>4678</v>
      </c>
      <c r="O167" s="1740"/>
      <c r="P167" s="1740"/>
    </row>
    <row r="168" spans="1:16" s="1741" customFormat="1" ht="42" customHeight="1" x14ac:dyDescent="0.2">
      <c r="A168" s="1769">
        <v>158</v>
      </c>
      <c r="B168" s="1747" t="s">
        <v>4506</v>
      </c>
      <c r="C168" s="1735" t="s">
        <v>4365</v>
      </c>
      <c r="D168" s="1737"/>
      <c r="E168" s="1733">
        <v>31500</v>
      </c>
      <c r="F168" s="1735">
        <v>2018</v>
      </c>
      <c r="G168" s="1734" t="s">
        <v>3662</v>
      </c>
      <c r="H168" s="1736" t="s">
        <v>902</v>
      </c>
      <c r="I168" s="1735">
        <v>2000</v>
      </c>
      <c r="J168" s="1737"/>
      <c r="K168" s="1734" t="s">
        <v>5883</v>
      </c>
      <c r="L168" s="1735"/>
      <c r="M168" s="1748">
        <v>53550000</v>
      </c>
      <c r="N168" s="1770" t="s">
        <v>4678</v>
      </c>
      <c r="O168" s="1740"/>
      <c r="P168" s="1740"/>
    </row>
    <row r="169" spans="1:16" s="1741" customFormat="1" ht="42" customHeight="1" x14ac:dyDescent="0.2">
      <c r="A169" s="1769">
        <v>159</v>
      </c>
      <c r="B169" s="1747" t="s">
        <v>4507</v>
      </c>
      <c r="C169" s="1735" t="s">
        <v>4365</v>
      </c>
      <c r="D169" s="1737"/>
      <c r="E169" s="1733">
        <v>9800</v>
      </c>
      <c r="F169" s="1735">
        <v>2018</v>
      </c>
      <c r="G169" s="1734" t="s">
        <v>3663</v>
      </c>
      <c r="H169" s="1736" t="s">
        <v>902</v>
      </c>
      <c r="I169" s="1735">
        <v>2000</v>
      </c>
      <c r="J169" s="1737"/>
      <c r="K169" s="1734" t="s">
        <v>5883</v>
      </c>
      <c r="L169" s="1735"/>
      <c r="M169" s="1748">
        <v>196000000</v>
      </c>
      <c r="N169" s="1770" t="s">
        <v>4678</v>
      </c>
      <c r="O169" s="1740"/>
      <c r="P169" s="1740"/>
    </row>
    <row r="170" spans="1:16" s="1741" customFormat="1" ht="42" customHeight="1" x14ac:dyDescent="0.2">
      <c r="A170" s="1769">
        <v>160</v>
      </c>
      <c r="B170" s="1747" t="s">
        <v>4508</v>
      </c>
      <c r="C170" s="1735" t="s">
        <v>4365</v>
      </c>
      <c r="D170" s="1737"/>
      <c r="E170" s="1733">
        <v>9100</v>
      </c>
      <c r="F170" s="1735">
        <v>2018</v>
      </c>
      <c r="G170" s="1734" t="s">
        <v>3664</v>
      </c>
      <c r="H170" s="1736" t="s">
        <v>902</v>
      </c>
      <c r="I170" s="1735">
        <v>2000</v>
      </c>
      <c r="J170" s="1737"/>
      <c r="K170" s="1734" t="s">
        <v>5883</v>
      </c>
      <c r="L170" s="1735"/>
      <c r="M170" s="1748">
        <v>10920000</v>
      </c>
      <c r="N170" s="1770" t="s">
        <v>4678</v>
      </c>
      <c r="O170" s="1740"/>
      <c r="P170" s="1740"/>
    </row>
    <row r="171" spans="1:16" s="1741" customFormat="1" ht="42" customHeight="1" x14ac:dyDescent="0.2">
      <c r="A171" s="1769">
        <v>161</v>
      </c>
      <c r="B171" s="1747" t="s">
        <v>4509</v>
      </c>
      <c r="C171" s="1735" t="s">
        <v>4365</v>
      </c>
      <c r="D171" s="1737"/>
      <c r="E171" s="1733">
        <v>21000</v>
      </c>
      <c r="F171" s="1735">
        <v>2018</v>
      </c>
      <c r="G171" s="1734" t="s">
        <v>5020</v>
      </c>
      <c r="H171" s="1736" t="s">
        <v>902</v>
      </c>
      <c r="I171" s="1735">
        <v>2000</v>
      </c>
      <c r="J171" s="1737"/>
      <c r="K171" s="1734" t="s">
        <v>5883</v>
      </c>
      <c r="L171" s="1735"/>
      <c r="M171" s="1748">
        <v>25200000</v>
      </c>
      <c r="N171" s="1770" t="s">
        <v>4678</v>
      </c>
      <c r="O171" s="1740"/>
      <c r="P171" s="1740"/>
    </row>
    <row r="172" spans="1:16" s="1741" customFormat="1" ht="42" customHeight="1" x14ac:dyDescent="0.2">
      <c r="A172" s="1769">
        <v>162</v>
      </c>
      <c r="B172" s="1747" t="s">
        <v>4510</v>
      </c>
      <c r="C172" s="1735" t="s">
        <v>4365</v>
      </c>
      <c r="D172" s="1737"/>
      <c r="E172" s="1733">
        <v>10500</v>
      </c>
      <c r="F172" s="1735">
        <v>2018</v>
      </c>
      <c r="G172" s="1734" t="s">
        <v>5021</v>
      </c>
      <c r="H172" s="1736" t="s">
        <v>902</v>
      </c>
      <c r="I172" s="1735">
        <v>2000</v>
      </c>
      <c r="J172" s="1737"/>
      <c r="K172" s="1734" t="s">
        <v>5883</v>
      </c>
      <c r="L172" s="1735"/>
      <c r="M172" s="1748">
        <v>12600000</v>
      </c>
      <c r="N172" s="1770" t="s">
        <v>4678</v>
      </c>
      <c r="O172" s="1740"/>
      <c r="P172" s="1740"/>
    </row>
    <row r="173" spans="1:16" s="1741" customFormat="1" ht="42" customHeight="1" x14ac:dyDescent="0.2">
      <c r="A173" s="1769">
        <v>163</v>
      </c>
      <c r="B173" s="1747" t="s">
        <v>4511</v>
      </c>
      <c r="C173" s="1735" t="s">
        <v>4365</v>
      </c>
      <c r="D173" s="1737"/>
      <c r="E173" s="1733">
        <v>19600</v>
      </c>
      <c r="F173" s="1735">
        <v>2018</v>
      </c>
      <c r="G173" s="1734" t="s">
        <v>5022</v>
      </c>
      <c r="H173" s="1736" t="s">
        <v>902</v>
      </c>
      <c r="I173" s="1735">
        <v>2000</v>
      </c>
      <c r="J173" s="1737"/>
      <c r="K173" s="1734" t="s">
        <v>5883</v>
      </c>
      <c r="L173" s="1735"/>
      <c r="M173" s="1748">
        <v>23520000</v>
      </c>
      <c r="N173" s="1770" t="s">
        <v>4678</v>
      </c>
      <c r="O173" s="1740"/>
      <c r="P173" s="1740"/>
    </row>
    <row r="174" spans="1:16" s="1741" customFormat="1" ht="42" customHeight="1" x14ac:dyDescent="0.2">
      <c r="A174" s="1769">
        <v>164</v>
      </c>
      <c r="B174" s="1747" t="s">
        <v>4512</v>
      </c>
      <c r="C174" s="1735" t="s">
        <v>4365</v>
      </c>
      <c r="D174" s="1737"/>
      <c r="E174" s="1733">
        <v>7000</v>
      </c>
      <c r="F174" s="1735">
        <v>2018</v>
      </c>
      <c r="G174" s="1734" t="s">
        <v>5023</v>
      </c>
      <c r="H174" s="1736" t="s">
        <v>902</v>
      </c>
      <c r="I174" s="1735">
        <v>2000</v>
      </c>
      <c r="J174" s="1737"/>
      <c r="K174" s="1734" t="s">
        <v>5883</v>
      </c>
      <c r="L174" s="1735"/>
      <c r="M174" s="1748">
        <v>11900000</v>
      </c>
      <c r="N174" s="1770" t="s">
        <v>4678</v>
      </c>
      <c r="O174" s="1740"/>
      <c r="P174" s="1740"/>
    </row>
    <row r="175" spans="1:16" s="1741" customFormat="1" ht="42" customHeight="1" x14ac:dyDescent="0.2">
      <c r="A175" s="1769">
        <v>165</v>
      </c>
      <c r="B175" s="1747" t="s">
        <v>4513</v>
      </c>
      <c r="C175" s="1735" t="s">
        <v>4365</v>
      </c>
      <c r="D175" s="1737"/>
      <c r="E175" s="1733">
        <v>10500</v>
      </c>
      <c r="F175" s="1735">
        <v>2018</v>
      </c>
      <c r="G175" s="1734" t="s">
        <v>5024</v>
      </c>
      <c r="H175" s="1736" t="s">
        <v>902</v>
      </c>
      <c r="I175" s="1735">
        <v>2000</v>
      </c>
      <c r="J175" s="1737"/>
      <c r="K175" s="1734" t="s">
        <v>5883</v>
      </c>
      <c r="L175" s="1735"/>
      <c r="M175" s="1748">
        <v>17850000</v>
      </c>
      <c r="N175" s="1770" t="s">
        <v>4678</v>
      </c>
      <c r="O175" s="1740"/>
      <c r="P175" s="1740"/>
    </row>
    <row r="176" spans="1:16" s="1741" customFormat="1" ht="42" customHeight="1" x14ac:dyDescent="0.2">
      <c r="A176" s="1769">
        <v>166</v>
      </c>
      <c r="B176" s="1747" t="s">
        <v>4514</v>
      </c>
      <c r="C176" s="1735" t="s">
        <v>4365</v>
      </c>
      <c r="D176" s="1737"/>
      <c r="E176" s="1733">
        <v>14000</v>
      </c>
      <c r="F176" s="1735">
        <v>2018</v>
      </c>
      <c r="G176" s="1734" t="s">
        <v>5025</v>
      </c>
      <c r="H176" s="1736" t="s">
        <v>902</v>
      </c>
      <c r="I176" s="1735">
        <v>2000</v>
      </c>
      <c r="J176" s="1737"/>
      <c r="K176" s="1734" t="s">
        <v>5883</v>
      </c>
      <c r="L176" s="1735"/>
      <c r="M176" s="1748">
        <v>16520000</v>
      </c>
      <c r="N176" s="1770" t="s">
        <v>4678</v>
      </c>
      <c r="O176" s="1740"/>
      <c r="P176" s="1740"/>
    </row>
    <row r="177" spans="1:16" s="1741" customFormat="1" ht="42" customHeight="1" x14ac:dyDescent="0.2">
      <c r="A177" s="1769">
        <v>167</v>
      </c>
      <c r="B177" s="1747" t="s">
        <v>4515</v>
      </c>
      <c r="C177" s="1735" t="s">
        <v>4365</v>
      </c>
      <c r="D177" s="1737"/>
      <c r="E177" s="1733">
        <v>10500</v>
      </c>
      <c r="F177" s="1735">
        <v>2018</v>
      </c>
      <c r="G177" s="1734" t="s">
        <v>5026</v>
      </c>
      <c r="H177" s="1736" t="s">
        <v>902</v>
      </c>
      <c r="I177" s="1735">
        <v>2000</v>
      </c>
      <c r="J177" s="1737"/>
      <c r="K177" s="1734" t="s">
        <v>5883</v>
      </c>
      <c r="L177" s="1735"/>
      <c r="M177" s="1748">
        <v>210000000</v>
      </c>
      <c r="N177" s="1770" t="s">
        <v>4678</v>
      </c>
      <c r="O177" s="1740"/>
      <c r="P177" s="1740"/>
    </row>
    <row r="178" spans="1:16" s="1741" customFormat="1" ht="42" customHeight="1" x14ac:dyDescent="0.2">
      <c r="A178" s="1769">
        <v>168</v>
      </c>
      <c r="B178" s="1747" t="s">
        <v>4516</v>
      </c>
      <c r="C178" s="1735" t="s">
        <v>4365</v>
      </c>
      <c r="D178" s="1737"/>
      <c r="E178" s="1733">
        <v>10500</v>
      </c>
      <c r="F178" s="1735">
        <v>2018</v>
      </c>
      <c r="G178" s="1734" t="s">
        <v>5027</v>
      </c>
      <c r="H178" s="1736" t="s">
        <v>902</v>
      </c>
      <c r="I178" s="1735">
        <v>2000</v>
      </c>
      <c r="J178" s="1737"/>
      <c r="K178" s="1734" t="s">
        <v>5883</v>
      </c>
      <c r="L178" s="1735"/>
      <c r="M178" s="1748">
        <v>12600000</v>
      </c>
      <c r="N178" s="1770" t="s">
        <v>4678</v>
      </c>
      <c r="O178" s="1740"/>
      <c r="P178" s="1740"/>
    </row>
    <row r="179" spans="1:16" s="1741" customFormat="1" ht="42" customHeight="1" x14ac:dyDescent="0.2">
      <c r="A179" s="1769">
        <v>169</v>
      </c>
      <c r="B179" s="1747" t="s">
        <v>4517</v>
      </c>
      <c r="C179" s="1735" t="s">
        <v>4365</v>
      </c>
      <c r="D179" s="1737"/>
      <c r="E179" s="1733">
        <v>14000</v>
      </c>
      <c r="F179" s="1735">
        <v>2018</v>
      </c>
      <c r="G179" s="1734" t="s">
        <v>5028</v>
      </c>
      <c r="H179" s="1736" t="s">
        <v>902</v>
      </c>
      <c r="I179" s="1735">
        <v>2000</v>
      </c>
      <c r="J179" s="1737"/>
      <c r="K179" s="1734" t="s">
        <v>5883</v>
      </c>
      <c r="L179" s="1735"/>
      <c r="M179" s="1748">
        <v>16800000</v>
      </c>
      <c r="N179" s="1770" t="s">
        <v>4678</v>
      </c>
      <c r="O179" s="1740"/>
      <c r="P179" s="1740"/>
    </row>
    <row r="180" spans="1:16" s="1741" customFormat="1" ht="42" customHeight="1" x14ac:dyDescent="0.2">
      <c r="A180" s="1769">
        <v>170</v>
      </c>
      <c r="B180" s="1747" t="s">
        <v>4518</v>
      </c>
      <c r="C180" s="1735" t="s">
        <v>4365</v>
      </c>
      <c r="D180" s="1737"/>
      <c r="E180" s="1733">
        <v>8512</v>
      </c>
      <c r="F180" s="1735">
        <v>2018</v>
      </c>
      <c r="G180" s="1734" t="s">
        <v>792</v>
      </c>
      <c r="H180" s="1736" t="s">
        <v>902</v>
      </c>
      <c r="I180" s="1735">
        <v>2000</v>
      </c>
      <c r="J180" s="1737"/>
      <c r="K180" s="1734" t="s">
        <v>5883</v>
      </c>
      <c r="L180" s="1735"/>
      <c r="M180" s="1748">
        <v>14470400</v>
      </c>
      <c r="N180" s="1770" t="s">
        <v>4678</v>
      </c>
      <c r="O180" s="1740"/>
      <c r="P180" s="1740"/>
    </row>
    <row r="181" spans="1:16" s="1741" customFormat="1" ht="42" customHeight="1" x14ac:dyDescent="0.2">
      <c r="A181" s="1769">
        <v>171</v>
      </c>
      <c r="B181" s="1747" t="s">
        <v>4519</v>
      </c>
      <c r="C181" s="1735" t="s">
        <v>4365</v>
      </c>
      <c r="D181" s="1737"/>
      <c r="E181" s="1733">
        <v>1806</v>
      </c>
      <c r="F181" s="1735">
        <v>2018</v>
      </c>
      <c r="G181" s="1734" t="s">
        <v>4930</v>
      </c>
      <c r="H181" s="1736" t="s">
        <v>902</v>
      </c>
      <c r="I181" s="1735">
        <v>2000</v>
      </c>
      <c r="J181" s="1737"/>
      <c r="K181" s="1734" t="s">
        <v>5883</v>
      </c>
      <c r="L181" s="1735"/>
      <c r="M181" s="1748">
        <v>288960000</v>
      </c>
      <c r="N181" s="1770" t="s">
        <v>4678</v>
      </c>
      <c r="O181" s="1740"/>
      <c r="P181" s="1740"/>
    </row>
    <row r="182" spans="1:16" s="1741" customFormat="1" ht="42" customHeight="1" x14ac:dyDescent="0.2">
      <c r="A182" s="1769">
        <v>172</v>
      </c>
      <c r="B182" s="1747" t="s">
        <v>4520</v>
      </c>
      <c r="C182" s="1735" t="s">
        <v>4365</v>
      </c>
      <c r="D182" s="1737"/>
      <c r="E182" s="1733">
        <v>5726</v>
      </c>
      <c r="F182" s="1735">
        <v>2018</v>
      </c>
      <c r="G182" s="1734" t="s">
        <v>4930</v>
      </c>
      <c r="H182" s="1736" t="s">
        <v>902</v>
      </c>
      <c r="I182" s="1735">
        <v>2000</v>
      </c>
      <c r="J182" s="1737"/>
      <c r="K182" s="1734" t="s">
        <v>5883</v>
      </c>
      <c r="L182" s="1735"/>
      <c r="M182" s="1748">
        <v>916160000</v>
      </c>
      <c r="N182" s="1770" t="s">
        <v>4678</v>
      </c>
      <c r="O182" s="1740"/>
      <c r="P182" s="1740"/>
    </row>
    <row r="183" spans="1:16" s="1741" customFormat="1" ht="42" customHeight="1" x14ac:dyDescent="0.2">
      <c r="A183" s="1769">
        <v>173</v>
      </c>
      <c r="B183" s="1747" t="s">
        <v>4521</v>
      </c>
      <c r="C183" s="1735" t="s">
        <v>4365</v>
      </c>
      <c r="D183" s="1737"/>
      <c r="E183" s="1733">
        <v>7062.9999999999991</v>
      </c>
      <c r="F183" s="1735">
        <v>2018</v>
      </c>
      <c r="G183" s="1734" t="s">
        <v>4930</v>
      </c>
      <c r="H183" s="1736" t="s">
        <v>902</v>
      </c>
      <c r="I183" s="1735">
        <v>2000</v>
      </c>
      <c r="J183" s="1737"/>
      <c r="K183" s="1734" t="s">
        <v>5883</v>
      </c>
      <c r="L183" s="1735"/>
      <c r="M183" s="1748">
        <v>1130079999.9999998</v>
      </c>
      <c r="N183" s="1770" t="s">
        <v>4678</v>
      </c>
      <c r="O183" s="1740"/>
      <c r="P183" s="1740"/>
    </row>
    <row r="184" spans="1:16" s="1741" customFormat="1" ht="42" customHeight="1" x14ac:dyDescent="0.2">
      <c r="A184" s="1769">
        <v>174</v>
      </c>
      <c r="B184" s="1747" t="s">
        <v>4522</v>
      </c>
      <c r="C184" s="1735" t="s">
        <v>4365</v>
      </c>
      <c r="D184" s="1737"/>
      <c r="E184" s="1733">
        <v>3780</v>
      </c>
      <c r="F184" s="1735">
        <v>2018</v>
      </c>
      <c r="G184" s="1734" t="s">
        <v>4930</v>
      </c>
      <c r="H184" s="1736" t="s">
        <v>902</v>
      </c>
      <c r="I184" s="1735">
        <v>2000</v>
      </c>
      <c r="J184" s="1737"/>
      <c r="K184" s="1734" t="s">
        <v>5883</v>
      </c>
      <c r="L184" s="1735"/>
      <c r="M184" s="1748">
        <v>604800000</v>
      </c>
      <c r="N184" s="1770" t="s">
        <v>4678</v>
      </c>
      <c r="O184" s="1740"/>
      <c r="P184" s="1740"/>
    </row>
    <row r="185" spans="1:16" s="1741" customFormat="1" ht="42" customHeight="1" x14ac:dyDescent="0.2">
      <c r="A185" s="1769">
        <v>175</v>
      </c>
      <c r="B185" s="1747" t="s">
        <v>4523</v>
      </c>
      <c r="C185" s="1735" t="s">
        <v>4365</v>
      </c>
      <c r="D185" s="1737"/>
      <c r="E185" s="1733">
        <v>4900</v>
      </c>
      <c r="F185" s="1735">
        <v>2018</v>
      </c>
      <c r="G185" s="1734" t="s">
        <v>792</v>
      </c>
      <c r="H185" s="1736" t="s">
        <v>902</v>
      </c>
      <c r="I185" s="1735">
        <v>2000</v>
      </c>
      <c r="J185" s="1737"/>
      <c r="K185" s="1734" t="s">
        <v>5883</v>
      </c>
      <c r="L185" s="1735"/>
      <c r="M185" s="1748">
        <v>8330000</v>
      </c>
      <c r="N185" s="1770" t="s">
        <v>4678</v>
      </c>
      <c r="O185" s="1740"/>
      <c r="P185" s="1740"/>
    </row>
    <row r="186" spans="1:16" s="1741" customFormat="1" ht="42" customHeight="1" x14ac:dyDescent="0.2">
      <c r="A186" s="1769">
        <v>176</v>
      </c>
      <c r="B186" s="1747" t="s">
        <v>4524</v>
      </c>
      <c r="C186" s="1735" t="s">
        <v>4365</v>
      </c>
      <c r="D186" s="1737"/>
      <c r="E186" s="1733">
        <v>2800</v>
      </c>
      <c r="F186" s="1735">
        <v>2018</v>
      </c>
      <c r="G186" s="1734" t="s">
        <v>792</v>
      </c>
      <c r="H186" s="1736" t="s">
        <v>902</v>
      </c>
      <c r="I186" s="1735">
        <v>2000</v>
      </c>
      <c r="J186" s="1737"/>
      <c r="K186" s="1734" t="s">
        <v>5883</v>
      </c>
      <c r="L186" s="1735"/>
      <c r="M186" s="1748">
        <v>4760000</v>
      </c>
      <c r="N186" s="1770" t="s">
        <v>4678</v>
      </c>
      <c r="O186" s="1740"/>
      <c r="P186" s="1740"/>
    </row>
    <row r="187" spans="1:16" s="1741" customFormat="1" ht="42" customHeight="1" x14ac:dyDescent="0.2">
      <c r="A187" s="1769">
        <v>177</v>
      </c>
      <c r="B187" s="1747" t="s">
        <v>4525</v>
      </c>
      <c r="C187" s="1735" t="s">
        <v>4365</v>
      </c>
      <c r="D187" s="1737"/>
      <c r="E187" s="1733">
        <v>959</v>
      </c>
      <c r="F187" s="1735">
        <v>2018</v>
      </c>
      <c r="G187" s="1734" t="s">
        <v>4930</v>
      </c>
      <c r="H187" s="1736" t="s">
        <v>902</v>
      </c>
      <c r="I187" s="1735">
        <v>2000</v>
      </c>
      <c r="J187" s="1737"/>
      <c r="K187" s="1734" t="s">
        <v>5883</v>
      </c>
      <c r="L187" s="1735"/>
      <c r="M187" s="1748">
        <v>153440000</v>
      </c>
      <c r="N187" s="1770" t="s">
        <v>4678</v>
      </c>
      <c r="O187" s="1740"/>
      <c r="P187" s="1740"/>
    </row>
    <row r="188" spans="1:16" s="1741" customFormat="1" ht="42" customHeight="1" x14ac:dyDescent="0.2">
      <c r="A188" s="1769">
        <v>178</v>
      </c>
      <c r="B188" s="1747" t="s">
        <v>4526</v>
      </c>
      <c r="C188" s="1735" t="s">
        <v>4365</v>
      </c>
      <c r="D188" s="1737"/>
      <c r="E188" s="1733">
        <v>5068</v>
      </c>
      <c r="F188" s="1735">
        <v>2018</v>
      </c>
      <c r="G188" s="1734" t="s">
        <v>4929</v>
      </c>
      <c r="H188" s="1736" t="s">
        <v>902</v>
      </c>
      <c r="I188" s="1735">
        <v>2000</v>
      </c>
      <c r="J188" s="1737"/>
      <c r="K188" s="1734" t="s">
        <v>5883</v>
      </c>
      <c r="L188" s="1735"/>
      <c r="M188" s="1748">
        <v>8615600</v>
      </c>
      <c r="N188" s="1770" t="s">
        <v>4678</v>
      </c>
      <c r="O188" s="1740"/>
      <c r="P188" s="1740"/>
    </row>
    <row r="189" spans="1:16" s="1741" customFormat="1" ht="42" customHeight="1" x14ac:dyDescent="0.2">
      <c r="A189" s="1769">
        <v>179</v>
      </c>
      <c r="B189" s="1747" t="s">
        <v>4527</v>
      </c>
      <c r="C189" s="1735" t="s">
        <v>4365</v>
      </c>
      <c r="D189" s="1737"/>
      <c r="E189" s="1733">
        <v>1295</v>
      </c>
      <c r="F189" s="1735">
        <v>2018</v>
      </c>
      <c r="G189" s="1734" t="s">
        <v>4931</v>
      </c>
      <c r="H189" s="1736" t="s">
        <v>902</v>
      </c>
      <c r="I189" s="1735">
        <v>2000</v>
      </c>
      <c r="J189" s="1737"/>
      <c r="K189" s="1734" t="s">
        <v>5883</v>
      </c>
      <c r="L189" s="1735"/>
      <c r="M189" s="1748">
        <v>9259250</v>
      </c>
      <c r="N189" s="1770" t="s">
        <v>4678</v>
      </c>
      <c r="O189" s="1740"/>
      <c r="P189" s="1740"/>
    </row>
    <row r="190" spans="1:16" s="1741" customFormat="1" ht="42" customHeight="1" x14ac:dyDescent="0.2">
      <c r="A190" s="1769">
        <v>180</v>
      </c>
      <c r="B190" s="1747" t="s">
        <v>4528</v>
      </c>
      <c r="C190" s="1735" t="s">
        <v>4365</v>
      </c>
      <c r="D190" s="1737"/>
      <c r="E190" s="1733">
        <v>28000</v>
      </c>
      <c r="F190" s="1735">
        <v>2018</v>
      </c>
      <c r="G190" s="1734" t="s">
        <v>4931</v>
      </c>
      <c r="H190" s="1736" t="s">
        <v>902</v>
      </c>
      <c r="I190" s="1735">
        <v>2000</v>
      </c>
      <c r="J190" s="1737"/>
      <c r="K190" s="1734" t="s">
        <v>5883</v>
      </c>
      <c r="L190" s="1735"/>
      <c r="M190" s="1748">
        <v>200200000</v>
      </c>
      <c r="N190" s="1770" t="s">
        <v>4678</v>
      </c>
      <c r="O190" s="1740"/>
      <c r="P190" s="1740"/>
    </row>
    <row r="191" spans="1:16" s="1741" customFormat="1" ht="42" customHeight="1" x14ac:dyDescent="0.2">
      <c r="A191" s="1769">
        <v>181</v>
      </c>
      <c r="B191" s="1747" t="s">
        <v>4529</v>
      </c>
      <c r="C191" s="1735" t="s">
        <v>4365</v>
      </c>
      <c r="D191" s="1737"/>
      <c r="E191" s="1733">
        <v>11550</v>
      </c>
      <c r="F191" s="1735">
        <v>2018</v>
      </c>
      <c r="G191" s="1734" t="s">
        <v>4931</v>
      </c>
      <c r="H191" s="1736" t="s">
        <v>902</v>
      </c>
      <c r="I191" s="1735">
        <v>2000</v>
      </c>
      <c r="J191" s="1737"/>
      <c r="K191" s="1734" t="s">
        <v>5883</v>
      </c>
      <c r="L191" s="1735"/>
      <c r="M191" s="1748">
        <v>82582500</v>
      </c>
      <c r="N191" s="1770" t="s">
        <v>4678</v>
      </c>
      <c r="O191" s="1740"/>
      <c r="P191" s="1740"/>
    </row>
    <row r="192" spans="1:16" s="1741" customFormat="1" ht="42" customHeight="1" x14ac:dyDescent="0.2">
      <c r="A192" s="1769">
        <v>182</v>
      </c>
      <c r="B192" s="1747" t="s">
        <v>4530</v>
      </c>
      <c r="C192" s="1735" t="s">
        <v>4365</v>
      </c>
      <c r="D192" s="1737"/>
      <c r="E192" s="1733">
        <v>20300</v>
      </c>
      <c r="F192" s="1735">
        <v>2018</v>
      </c>
      <c r="G192" s="1734" t="s">
        <v>4931</v>
      </c>
      <c r="H192" s="1736" t="s">
        <v>902</v>
      </c>
      <c r="I192" s="1735">
        <v>2000</v>
      </c>
      <c r="J192" s="1737"/>
      <c r="K192" s="1734" t="s">
        <v>5883</v>
      </c>
      <c r="L192" s="1735"/>
      <c r="M192" s="1748">
        <v>145145000</v>
      </c>
      <c r="N192" s="1770" t="s">
        <v>4678</v>
      </c>
      <c r="O192" s="1740"/>
      <c r="P192" s="1740"/>
    </row>
    <row r="193" spans="1:16" s="1741" customFormat="1" ht="42" customHeight="1" x14ac:dyDescent="0.2">
      <c r="A193" s="1769">
        <v>183</v>
      </c>
      <c r="B193" s="1747" t="s">
        <v>4531</v>
      </c>
      <c r="C193" s="1735" t="s">
        <v>4365</v>
      </c>
      <c r="D193" s="1737"/>
      <c r="E193" s="1733">
        <v>14000</v>
      </c>
      <c r="F193" s="1735">
        <v>2018</v>
      </c>
      <c r="G193" s="1734" t="s">
        <v>3379</v>
      </c>
      <c r="H193" s="1736" t="s">
        <v>902</v>
      </c>
      <c r="I193" s="1735">
        <v>2000</v>
      </c>
      <c r="J193" s="1737"/>
      <c r="K193" s="1734" t="s">
        <v>5883</v>
      </c>
      <c r="L193" s="1735"/>
      <c r="M193" s="1748">
        <v>23800000</v>
      </c>
      <c r="N193" s="1770" t="s">
        <v>4678</v>
      </c>
      <c r="O193" s="1740"/>
      <c r="P193" s="1740"/>
    </row>
    <row r="194" spans="1:16" s="1741" customFormat="1" ht="42" customHeight="1" x14ac:dyDescent="0.2">
      <c r="A194" s="1769">
        <v>184</v>
      </c>
      <c r="B194" s="1747" t="s">
        <v>4532</v>
      </c>
      <c r="C194" s="1735" t="s">
        <v>4365</v>
      </c>
      <c r="D194" s="1737"/>
      <c r="E194" s="1733">
        <v>45500</v>
      </c>
      <c r="F194" s="1735">
        <v>2018</v>
      </c>
      <c r="G194" s="1734" t="s">
        <v>3688</v>
      </c>
      <c r="H194" s="1736" t="s">
        <v>902</v>
      </c>
      <c r="I194" s="1735">
        <v>2000</v>
      </c>
      <c r="J194" s="1737"/>
      <c r="K194" s="1734" t="s">
        <v>5883</v>
      </c>
      <c r="L194" s="1735"/>
      <c r="M194" s="1748">
        <v>77350000</v>
      </c>
      <c r="N194" s="1770" t="s">
        <v>4678</v>
      </c>
      <c r="O194" s="1740"/>
      <c r="P194" s="1740"/>
    </row>
    <row r="195" spans="1:16" s="1741" customFormat="1" ht="42" customHeight="1" x14ac:dyDescent="0.2">
      <c r="A195" s="1769">
        <v>185</v>
      </c>
      <c r="B195" s="1747" t="s">
        <v>4533</v>
      </c>
      <c r="C195" s="1735" t="s">
        <v>4365</v>
      </c>
      <c r="D195" s="1737"/>
      <c r="E195" s="1733">
        <v>210000</v>
      </c>
      <c r="F195" s="1735">
        <v>2018</v>
      </c>
      <c r="G195" s="1734" t="s">
        <v>3689</v>
      </c>
      <c r="H195" s="1736" t="s">
        <v>902</v>
      </c>
      <c r="I195" s="1735">
        <v>2000</v>
      </c>
      <c r="J195" s="1737"/>
      <c r="K195" s="1734" t="s">
        <v>5883</v>
      </c>
      <c r="L195" s="1735"/>
      <c r="M195" s="1748">
        <v>782600000</v>
      </c>
      <c r="N195" s="1770" t="s">
        <v>4678</v>
      </c>
      <c r="O195" s="1740"/>
      <c r="P195" s="1740"/>
    </row>
    <row r="196" spans="1:16" s="1741" customFormat="1" ht="42" customHeight="1" x14ac:dyDescent="0.2">
      <c r="A196" s="1769">
        <v>186</v>
      </c>
      <c r="B196" s="1747" t="s">
        <v>4534</v>
      </c>
      <c r="C196" s="1735" t="s">
        <v>4365</v>
      </c>
      <c r="D196" s="1737"/>
      <c r="E196" s="1733">
        <v>7600</v>
      </c>
      <c r="F196" s="1735">
        <v>2018</v>
      </c>
      <c r="G196" s="1734" t="s">
        <v>3690</v>
      </c>
      <c r="H196" s="1736" t="s">
        <v>902</v>
      </c>
      <c r="I196" s="1735">
        <v>2000</v>
      </c>
      <c r="J196" s="1737"/>
      <c r="K196" s="1734" t="s">
        <v>5883</v>
      </c>
      <c r="L196" s="1735"/>
      <c r="M196" s="1748">
        <v>12920000</v>
      </c>
      <c r="N196" s="1770" t="s">
        <v>4678</v>
      </c>
      <c r="O196" s="1740"/>
      <c r="P196" s="1740"/>
    </row>
    <row r="197" spans="1:16" s="1741" customFormat="1" ht="42" customHeight="1" x14ac:dyDescent="0.2">
      <c r="A197" s="1769">
        <v>187</v>
      </c>
      <c r="B197" s="1747" t="s">
        <v>4535</v>
      </c>
      <c r="C197" s="1735" t="s">
        <v>4365</v>
      </c>
      <c r="D197" s="1737"/>
      <c r="E197" s="1733">
        <v>56000</v>
      </c>
      <c r="F197" s="1735">
        <v>2018</v>
      </c>
      <c r="G197" s="1734" t="s">
        <v>3691</v>
      </c>
      <c r="H197" s="1736" t="s">
        <v>902</v>
      </c>
      <c r="I197" s="1735">
        <v>2000</v>
      </c>
      <c r="J197" s="1737"/>
      <c r="K197" s="1734" t="s">
        <v>5883</v>
      </c>
      <c r="L197" s="1735"/>
      <c r="M197" s="1748">
        <v>95200000</v>
      </c>
      <c r="N197" s="1770" t="s">
        <v>4678</v>
      </c>
      <c r="O197" s="1740"/>
      <c r="P197" s="1740"/>
    </row>
    <row r="198" spans="1:16" s="1741" customFormat="1" ht="42" customHeight="1" x14ac:dyDescent="0.2">
      <c r="A198" s="1769">
        <v>188</v>
      </c>
      <c r="B198" s="1747" t="s">
        <v>4536</v>
      </c>
      <c r="C198" s="1735" t="s">
        <v>4365</v>
      </c>
      <c r="D198" s="1737"/>
      <c r="E198" s="1733">
        <v>329800</v>
      </c>
      <c r="F198" s="1735">
        <v>2018</v>
      </c>
      <c r="G198" s="1734" t="s">
        <v>3692</v>
      </c>
      <c r="H198" s="1736" t="s">
        <v>902</v>
      </c>
      <c r="I198" s="1735">
        <v>2000</v>
      </c>
      <c r="J198" s="1737"/>
      <c r="K198" s="1734" t="s">
        <v>5883</v>
      </c>
      <c r="L198" s="1735"/>
      <c r="M198" s="1748">
        <v>3239780000</v>
      </c>
      <c r="N198" s="1770" t="s">
        <v>4678</v>
      </c>
      <c r="O198" s="1740"/>
      <c r="P198" s="1740"/>
    </row>
    <row r="199" spans="1:16" s="1741" customFormat="1" ht="42" customHeight="1" x14ac:dyDescent="0.2">
      <c r="A199" s="1769">
        <v>189</v>
      </c>
      <c r="B199" s="1747" t="s">
        <v>4537</v>
      </c>
      <c r="C199" s="1735" t="s">
        <v>4365</v>
      </c>
      <c r="D199" s="1737"/>
      <c r="E199" s="1733">
        <v>245000</v>
      </c>
      <c r="F199" s="1735">
        <v>2018</v>
      </c>
      <c r="G199" s="1734" t="s">
        <v>640</v>
      </c>
      <c r="H199" s="1736" t="s">
        <v>902</v>
      </c>
      <c r="I199" s="1735">
        <v>2000</v>
      </c>
      <c r="J199" s="1737"/>
      <c r="K199" s="1734" t="s">
        <v>5883</v>
      </c>
      <c r="L199" s="1735"/>
      <c r="M199" s="1748">
        <v>1483860000</v>
      </c>
      <c r="N199" s="1770" t="s">
        <v>4678</v>
      </c>
      <c r="O199" s="1740"/>
      <c r="P199" s="1740"/>
    </row>
    <row r="200" spans="1:16" s="1741" customFormat="1" ht="42" customHeight="1" x14ac:dyDescent="0.2">
      <c r="A200" s="1769">
        <v>190</v>
      </c>
      <c r="B200" s="1747" t="s">
        <v>4538</v>
      </c>
      <c r="C200" s="1735" t="s">
        <v>4365</v>
      </c>
      <c r="D200" s="1737"/>
      <c r="E200" s="1733">
        <v>4200</v>
      </c>
      <c r="F200" s="1735">
        <v>2018</v>
      </c>
      <c r="G200" s="1734" t="s">
        <v>3693</v>
      </c>
      <c r="H200" s="1736" t="s">
        <v>902</v>
      </c>
      <c r="I200" s="1735">
        <v>2000</v>
      </c>
      <c r="J200" s="1737"/>
      <c r="K200" s="1734" t="s">
        <v>5883</v>
      </c>
      <c r="L200" s="1735"/>
      <c r="M200" s="1748">
        <v>14700000</v>
      </c>
      <c r="N200" s="1770" t="s">
        <v>4678</v>
      </c>
      <c r="O200" s="1740"/>
      <c r="P200" s="1740"/>
    </row>
    <row r="201" spans="1:16" s="1741" customFormat="1" ht="42" customHeight="1" x14ac:dyDescent="0.2">
      <c r="A201" s="1769">
        <v>191</v>
      </c>
      <c r="B201" s="1747" t="s">
        <v>4539</v>
      </c>
      <c r="C201" s="1735" t="s">
        <v>4365</v>
      </c>
      <c r="D201" s="1737"/>
      <c r="E201" s="1733">
        <v>14000</v>
      </c>
      <c r="F201" s="1735">
        <v>2018</v>
      </c>
      <c r="G201" s="1734" t="s">
        <v>4932</v>
      </c>
      <c r="H201" s="1736" t="s">
        <v>902</v>
      </c>
      <c r="I201" s="1735">
        <v>2000</v>
      </c>
      <c r="J201" s="1737"/>
      <c r="K201" s="1734" t="s">
        <v>5883</v>
      </c>
      <c r="L201" s="1735"/>
      <c r="M201" s="1748">
        <v>23800000</v>
      </c>
      <c r="N201" s="1770" t="s">
        <v>4678</v>
      </c>
      <c r="O201" s="1740"/>
      <c r="P201" s="1740"/>
    </row>
    <row r="202" spans="1:16" s="1741" customFormat="1" ht="42" customHeight="1" x14ac:dyDescent="0.2">
      <c r="A202" s="1769">
        <v>192</v>
      </c>
      <c r="B202" s="1747" t="s">
        <v>4540</v>
      </c>
      <c r="C202" s="1735" t="s">
        <v>4365</v>
      </c>
      <c r="D202" s="1737"/>
      <c r="E202" s="1733">
        <v>14000</v>
      </c>
      <c r="F202" s="1735">
        <v>2018</v>
      </c>
      <c r="G202" s="1734" t="s">
        <v>4933</v>
      </c>
      <c r="H202" s="1736" t="s">
        <v>902</v>
      </c>
      <c r="I202" s="1735">
        <v>2000</v>
      </c>
      <c r="J202" s="1737"/>
      <c r="K202" s="1734" t="s">
        <v>5883</v>
      </c>
      <c r="L202" s="1735"/>
      <c r="M202" s="1748">
        <v>49000000</v>
      </c>
      <c r="N202" s="1770" t="s">
        <v>4678</v>
      </c>
      <c r="O202" s="1740"/>
      <c r="P202" s="1740"/>
    </row>
    <row r="203" spans="1:16" s="1741" customFormat="1" ht="42" customHeight="1" x14ac:dyDescent="0.2">
      <c r="A203" s="1769">
        <v>193</v>
      </c>
      <c r="B203" s="1747" t="s">
        <v>4541</v>
      </c>
      <c r="C203" s="1735" t="s">
        <v>4365</v>
      </c>
      <c r="D203" s="1737"/>
      <c r="E203" s="1733">
        <v>12600</v>
      </c>
      <c r="F203" s="1735">
        <v>2018</v>
      </c>
      <c r="G203" s="1734" t="s">
        <v>4934</v>
      </c>
      <c r="H203" s="1736" t="s">
        <v>902</v>
      </c>
      <c r="I203" s="1735">
        <v>2000</v>
      </c>
      <c r="J203" s="1737"/>
      <c r="K203" s="1734" t="s">
        <v>5883</v>
      </c>
      <c r="L203" s="1735"/>
      <c r="M203" s="1748">
        <v>44100000</v>
      </c>
      <c r="N203" s="1770" t="s">
        <v>4678</v>
      </c>
      <c r="O203" s="1740"/>
      <c r="P203" s="1740"/>
    </row>
    <row r="204" spans="1:16" s="1741" customFormat="1" ht="42" customHeight="1" x14ac:dyDescent="0.2">
      <c r="A204" s="1769">
        <v>194</v>
      </c>
      <c r="B204" s="1747" t="s">
        <v>4542</v>
      </c>
      <c r="C204" s="1735" t="s">
        <v>4365</v>
      </c>
      <c r="D204" s="1737"/>
      <c r="E204" s="1733">
        <v>16800</v>
      </c>
      <c r="F204" s="1735">
        <v>2018</v>
      </c>
      <c r="G204" s="1734" t="s">
        <v>4935</v>
      </c>
      <c r="H204" s="1736" t="s">
        <v>902</v>
      </c>
      <c r="I204" s="1735">
        <v>2000</v>
      </c>
      <c r="J204" s="1737"/>
      <c r="K204" s="1734" t="s">
        <v>5883</v>
      </c>
      <c r="L204" s="1735"/>
      <c r="M204" s="1748">
        <v>41160000</v>
      </c>
      <c r="N204" s="1770" t="s">
        <v>4678</v>
      </c>
      <c r="O204" s="1740"/>
      <c r="P204" s="1740"/>
    </row>
    <row r="205" spans="1:16" s="1741" customFormat="1" ht="42" customHeight="1" x14ac:dyDescent="0.2">
      <c r="A205" s="1769">
        <v>195</v>
      </c>
      <c r="B205" s="1747" t="s">
        <v>4543</v>
      </c>
      <c r="C205" s="1735" t="s">
        <v>4365</v>
      </c>
      <c r="D205" s="1737"/>
      <c r="E205" s="1733">
        <v>14000</v>
      </c>
      <c r="F205" s="1735">
        <v>2018</v>
      </c>
      <c r="G205" s="1734" t="s">
        <v>5029</v>
      </c>
      <c r="H205" s="1736" t="s">
        <v>902</v>
      </c>
      <c r="I205" s="1735">
        <v>2000</v>
      </c>
      <c r="J205" s="1737"/>
      <c r="K205" s="1734" t="s">
        <v>5883</v>
      </c>
      <c r="L205" s="1735"/>
      <c r="M205" s="1748">
        <v>23800000</v>
      </c>
      <c r="N205" s="1770" t="s">
        <v>4678</v>
      </c>
      <c r="O205" s="1740"/>
      <c r="P205" s="1740"/>
    </row>
    <row r="206" spans="1:16" s="1741" customFormat="1" ht="42" customHeight="1" x14ac:dyDescent="0.2">
      <c r="A206" s="1769">
        <v>196</v>
      </c>
      <c r="B206" s="1747" t="s">
        <v>4544</v>
      </c>
      <c r="C206" s="1735" t="s">
        <v>4365</v>
      </c>
      <c r="D206" s="1737"/>
      <c r="E206" s="1733">
        <v>7000</v>
      </c>
      <c r="F206" s="1735">
        <v>2018</v>
      </c>
      <c r="G206" s="1734" t="s">
        <v>5030</v>
      </c>
      <c r="H206" s="1736" t="s">
        <v>902</v>
      </c>
      <c r="I206" s="1735">
        <v>2000</v>
      </c>
      <c r="J206" s="1737"/>
      <c r="K206" s="1734" t="s">
        <v>5883</v>
      </c>
      <c r="L206" s="1735"/>
      <c r="M206" s="1748">
        <v>17150000</v>
      </c>
      <c r="N206" s="1770" t="s">
        <v>4678</v>
      </c>
      <c r="O206" s="1740"/>
      <c r="P206" s="1740"/>
    </row>
    <row r="207" spans="1:16" s="1741" customFormat="1" ht="42" customHeight="1" x14ac:dyDescent="0.2">
      <c r="A207" s="1769">
        <v>197</v>
      </c>
      <c r="B207" s="1747" t="s">
        <v>4545</v>
      </c>
      <c r="C207" s="1735" t="s">
        <v>4365</v>
      </c>
      <c r="D207" s="1737"/>
      <c r="E207" s="1733">
        <v>21000</v>
      </c>
      <c r="F207" s="1735">
        <v>2018</v>
      </c>
      <c r="G207" s="1734" t="s">
        <v>5031</v>
      </c>
      <c r="H207" s="1736" t="s">
        <v>902</v>
      </c>
      <c r="I207" s="1735">
        <v>2000</v>
      </c>
      <c r="J207" s="1737"/>
      <c r="K207" s="1734" t="s">
        <v>5883</v>
      </c>
      <c r="L207" s="1735"/>
      <c r="M207" s="1748">
        <v>35700000</v>
      </c>
      <c r="N207" s="1770" t="s">
        <v>4678</v>
      </c>
      <c r="O207" s="1740"/>
      <c r="P207" s="1740"/>
    </row>
    <row r="208" spans="1:16" s="1741" customFormat="1" ht="42" customHeight="1" x14ac:dyDescent="0.2">
      <c r="A208" s="1769">
        <v>198</v>
      </c>
      <c r="B208" s="1747" t="s">
        <v>4546</v>
      </c>
      <c r="C208" s="1735" t="s">
        <v>4365</v>
      </c>
      <c r="D208" s="1737"/>
      <c r="E208" s="1733">
        <v>21000</v>
      </c>
      <c r="F208" s="1735">
        <v>2018</v>
      </c>
      <c r="G208" s="1734" t="s">
        <v>5032</v>
      </c>
      <c r="H208" s="1736" t="s">
        <v>902</v>
      </c>
      <c r="I208" s="1735">
        <v>2000</v>
      </c>
      <c r="J208" s="1737"/>
      <c r="K208" s="1734" t="s">
        <v>5883</v>
      </c>
      <c r="L208" s="1735"/>
      <c r="M208" s="1748">
        <v>35700000</v>
      </c>
      <c r="N208" s="1770" t="s">
        <v>4678</v>
      </c>
      <c r="O208" s="1740"/>
      <c r="P208" s="1740"/>
    </row>
    <row r="209" spans="1:16" s="1741" customFormat="1" ht="42" customHeight="1" x14ac:dyDescent="0.2">
      <c r="A209" s="1769">
        <v>199</v>
      </c>
      <c r="B209" s="1747" t="s">
        <v>4547</v>
      </c>
      <c r="C209" s="1735" t="s">
        <v>4365</v>
      </c>
      <c r="D209" s="1737"/>
      <c r="E209" s="1733">
        <v>14000</v>
      </c>
      <c r="F209" s="1735">
        <v>2018</v>
      </c>
      <c r="G209" s="1734" t="s">
        <v>5033</v>
      </c>
      <c r="H209" s="1736" t="s">
        <v>902</v>
      </c>
      <c r="I209" s="1735">
        <v>2000</v>
      </c>
      <c r="J209" s="1737"/>
      <c r="K209" s="1734" t="s">
        <v>5883</v>
      </c>
      <c r="L209" s="1735"/>
      <c r="M209" s="1748">
        <v>49000000</v>
      </c>
      <c r="N209" s="1770" t="s">
        <v>4678</v>
      </c>
      <c r="O209" s="1740"/>
      <c r="P209" s="1740"/>
    </row>
    <row r="210" spans="1:16" s="1741" customFormat="1" ht="42" customHeight="1" x14ac:dyDescent="0.2">
      <c r="A210" s="1769">
        <v>200</v>
      </c>
      <c r="B210" s="1747" t="s">
        <v>4548</v>
      </c>
      <c r="C210" s="1735" t="s">
        <v>4365</v>
      </c>
      <c r="D210" s="1737"/>
      <c r="E210" s="1733">
        <v>14000</v>
      </c>
      <c r="F210" s="1735">
        <v>2018</v>
      </c>
      <c r="G210" s="1734" t="s">
        <v>5034</v>
      </c>
      <c r="H210" s="1736" t="s">
        <v>902</v>
      </c>
      <c r="I210" s="1735">
        <v>2000</v>
      </c>
      <c r="J210" s="1737"/>
      <c r="K210" s="1734" t="s">
        <v>5883</v>
      </c>
      <c r="L210" s="1735"/>
      <c r="M210" s="1748">
        <v>34300000</v>
      </c>
      <c r="N210" s="1770" t="s">
        <v>4678</v>
      </c>
      <c r="O210" s="1740"/>
      <c r="P210" s="1740"/>
    </row>
    <row r="211" spans="1:16" s="1741" customFormat="1" ht="42" customHeight="1" x14ac:dyDescent="0.2">
      <c r="A211" s="1769">
        <v>201</v>
      </c>
      <c r="B211" s="1747" t="s">
        <v>4549</v>
      </c>
      <c r="C211" s="1735" t="s">
        <v>4365</v>
      </c>
      <c r="D211" s="1737"/>
      <c r="E211" s="1733">
        <v>21000</v>
      </c>
      <c r="F211" s="1735">
        <v>2018</v>
      </c>
      <c r="G211" s="1734" t="s">
        <v>5035</v>
      </c>
      <c r="H211" s="1736" t="s">
        <v>902</v>
      </c>
      <c r="I211" s="1735">
        <v>2000</v>
      </c>
      <c r="J211" s="1737"/>
      <c r="K211" s="1734" t="s">
        <v>5883</v>
      </c>
      <c r="L211" s="1735"/>
      <c r="M211" s="1748">
        <v>210000000</v>
      </c>
      <c r="N211" s="1770" t="s">
        <v>4678</v>
      </c>
      <c r="O211" s="1740"/>
      <c r="P211" s="1740"/>
    </row>
    <row r="212" spans="1:16" s="1741" customFormat="1" ht="42" customHeight="1" x14ac:dyDescent="0.2">
      <c r="A212" s="1769">
        <v>202</v>
      </c>
      <c r="B212" s="1747" t="s">
        <v>4550</v>
      </c>
      <c r="C212" s="1735" t="s">
        <v>4365</v>
      </c>
      <c r="D212" s="1737"/>
      <c r="E212" s="1733">
        <v>24500</v>
      </c>
      <c r="F212" s="1735">
        <v>2018</v>
      </c>
      <c r="G212" s="1734" t="s">
        <v>712</v>
      </c>
      <c r="H212" s="1736" t="s">
        <v>902</v>
      </c>
      <c r="I212" s="1735">
        <v>2000</v>
      </c>
      <c r="J212" s="1737"/>
      <c r="K212" s="1734" t="s">
        <v>5883</v>
      </c>
      <c r="L212" s="1735"/>
      <c r="M212" s="1748">
        <v>245000000</v>
      </c>
      <c r="N212" s="1770" t="s">
        <v>4678</v>
      </c>
      <c r="O212" s="1740"/>
      <c r="P212" s="1740"/>
    </row>
    <row r="213" spans="1:16" s="1741" customFormat="1" ht="42" customHeight="1" x14ac:dyDescent="0.2">
      <c r="A213" s="1769">
        <v>203</v>
      </c>
      <c r="B213" s="1747" t="s">
        <v>4551</v>
      </c>
      <c r="C213" s="1735" t="s">
        <v>4365</v>
      </c>
      <c r="D213" s="1737"/>
      <c r="E213" s="1733">
        <v>64000</v>
      </c>
      <c r="F213" s="1735">
        <v>2018</v>
      </c>
      <c r="G213" s="1734" t="s">
        <v>3705</v>
      </c>
      <c r="H213" s="1736" t="s">
        <v>902</v>
      </c>
      <c r="I213" s="1735">
        <v>2000</v>
      </c>
      <c r="J213" s="1737"/>
      <c r="K213" s="1734" t="s">
        <v>5883</v>
      </c>
      <c r="L213" s="1735"/>
      <c r="M213" s="1748">
        <v>108800000</v>
      </c>
      <c r="N213" s="1770" t="s">
        <v>4678</v>
      </c>
      <c r="O213" s="1740"/>
      <c r="P213" s="1740"/>
    </row>
    <row r="214" spans="1:16" s="1741" customFormat="1" ht="42" customHeight="1" x14ac:dyDescent="0.2">
      <c r="A214" s="1769">
        <v>204</v>
      </c>
      <c r="B214" s="1747" t="s">
        <v>4552</v>
      </c>
      <c r="C214" s="1735" t="s">
        <v>4365</v>
      </c>
      <c r="D214" s="1737"/>
      <c r="E214" s="1733">
        <v>19600</v>
      </c>
      <c r="F214" s="1735">
        <v>2018</v>
      </c>
      <c r="G214" s="1734" t="s">
        <v>634</v>
      </c>
      <c r="H214" s="1736" t="s">
        <v>902</v>
      </c>
      <c r="I214" s="1735">
        <v>2000</v>
      </c>
      <c r="J214" s="1737"/>
      <c r="K214" s="1734" t="s">
        <v>5883</v>
      </c>
      <c r="L214" s="1735"/>
      <c r="M214" s="1748">
        <v>529200000</v>
      </c>
      <c r="N214" s="1770" t="s">
        <v>4678</v>
      </c>
      <c r="O214" s="1740"/>
      <c r="P214" s="1740"/>
    </row>
    <row r="215" spans="1:16" s="1741" customFormat="1" ht="42" customHeight="1" x14ac:dyDescent="0.2">
      <c r="A215" s="1769">
        <v>205</v>
      </c>
      <c r="B215" s="1747" t="s">
        <v>4553</v>
      </c>
      <c r="C215" s="1735" t="s">
        <v>4365</v>
      </c>
      <c r="D215" s="1737"/>
      <c r="E215" s="1733">
        <v>28000</v>
      </c>
      <c r="F215" s="1735">
        <v>2018</v>
      </c>
      <c r="G215" s="1734" t="s">
        <v>3706</v>
      </c>
      <c r="H215" s="1736" t="s">
        <v>902</v>
      </c>
      <c r="I215" s="1735">
        <v>2000</v>
      </c>
      <c r="J215" s="1737"/>
      <c r="K215" s="1734" t="s">
        <v>5883</v>
      </c>
      <c r="L215" s="1735"/>
      <c r="M215" s="1748">
        <v>82250000</v>
      </c>
      <c r="N215" s="1770" t="s">
        <v>4678</v>
      </c>
      <c r="O215" s="1740"/>
      <c r="P215" s="1740"/>
    </row>
    <row r="216" spans="1:16" s="1741" customFormat="1" ht="42" customHeight="1" x14ac:dyDescent="0.2">
      <c r="A216" s="1769">
        <v>206</v>
      </c>
      <c r="B216" s="1747" t="s">
        <v>4554</v>
      </c>
      <c r="C216" s="1735" t="s">
        <v>4365</v>
      </c>
      <c r="D216" s="1737"/>
      <c r="E216" s="1733">
        <v>7525</v>
      </c>
      <c r="F216" s="1735">
        <v>2018</v>
      </c>
      <c r="G216" s="1734" t="s">
        <v>3707</v>
      </c>
      <c r="H216" s="1736" t="s">
        <v>902</v>
      </c>
      <c r="I216" s="1735">
        <v>2000</v>
      </c>
      <c r="J216" s="1737"/>
      <c r="K216" s="1734" t="s">
        <v>5883</v>
      </c>
      <c r="L216" s="1735"/>
      <c r="M216" s="1748">
        <v>4966500</v>
      </c>
      <c r="N216" s="1770" t="s">
        <v>4678</v>
      </c>
      <c r="O216" s="1740"/>
      <c r="P216" s="1740"/>
    </row>
    <row r="217" spans="1:16" s="1741" customFormat="1" ht="42" customHeight="1" x14ac:dyDescent="0.2">
      <c r="A217" s="1769">
        <v>207</v>
      </c>
      <c r="B217" s="1747" t="s">
        <v>4555</v>
      </c>
      <c r="C217" s="1735" t="s">
        <v>4365</v>
      </c>
      <c r="D217" s="1737"/>
      <c r="E217" s="1733">
        <v>88000</v>
      </c>
      <c r="F217" s="1735">
        <v>2018</v>
      </c>
      <c r="G217" s="1734" t="s">
        <v>3708</v>
      </c>
      <c r="H217" s="1736" t="s">
        <v>902</v>
      </c>
      <c r="I217" s="1735">
        <v>2000</v>
      </c>
      <c r="J217" s="1737"/>
      <c r="K217" s="1734" t="s">
        <v>5883</v>
      </c>
      <c r="L217" s="1735"/>
      <c r="M217" s="1748">
        <v>105600000</v>
      </c>
      <c r="N217" s="1770" t="s">
        <v>4678</v>
      </c>
      <c r="O217" s="1740"/>
      <c r="P217" s="1740"/>
    </row>
    <row r="218" spans="1:16" s="1741" customFormat="1" ht="42" customHeight="1" x14ac:dyDescent="0.2">
      <c r="A218" s="1769">
        <v>208</v>
      </c>
      <c r="B218" s="1747" t="s">
        <v>4556</v>
      </c>
      <c r="C218" s="1735" t="s">
        <v>4365</v>
      </c>
      <c r="D218" s="1737"/>
      <c r="E218" s="1733">
        <v>138400</v>
      </c>
      <c r="F218" s="1735">
        <v>2018</v>
      </c>
      <c r="G218" s="1734" t="s">
        <v>3709</v>
      </c>
      <c r="H218" s="1736" t="s">
        <v>902</v>
      </c>
      <c r="I218" s="1735">
        <v>2000</v>
      </c>
      <c r="J218" s="1737"/>
      <c r="K218" s="1734" t="s">
        <v>5883</v>
      </c>
      <c r="L218" s="1735"/>
      <c r="M218" s="1748">
        <v>235280000</v>
      </c>
      <c r="N218" s="1770" t="s">
        <v>4678</v>
      </c>
      <c r="O218" s="1740"/>
      <c r="P218" s="1740"/>
    </row>
    <row r="219" spans="1:16" s="1741" customFormat="1" ht="42" customHeight="1" x14ac:dyDescent="0.2">
      <c r="A219" s="1769">
        <v>209</v>
      </c>
      <c r="B219" s="1747" t="s">
        <v>4557</v>
      </c>
      <c r="C219" s="1735" t="s">
        <v>4365</v>
      </c>
      <c r="D219" s="1737"/>
      <c r="E219" s="1733">
        <v>14000</v>
      </c>
      <c r="F219" s="1735">
        <v>2018</v>
      </c>
      <c r="G219" s="1734" t="s">
        <v>5036</v>
      </c>
      <c r="H219" s="1736" t="s">
        <v>902</v>
      </c>
      <c r="I219" s="1735">
        <v>2000</v>
      </c>
      <c r="J219" s="1737"/>
      <c r="K219" s="1734" t="s">
        <v>5883</v>
      </c>
      <c r="L219" s="1735"/>
      <c r="M219" s="1748">
        <v>16800000</v>
      </c>
      <c r="N219" s="1770" t="s">
        <v>4678</v>
      </c>
      <c r="O219" s="1740"/>
      <c r="P219" s="1740"/>
    </row>
    <row r="220" spans="1:16" s="1741" customFormat="1" ht="42" customHeight="1" x14ac:dyDescent="0.2">
      <c r="A220" s="1769">
        <v>210</v>
      </c>
      <c r="B220" s="1747" t="s">
        <v>4558</v>
      </c>
      <c r="C220" s="1735" t="s">
        <v>4365</v>
      </c>
      <c r="D220" s="1737"/>
      <c r="E220" s="1733">
        <v>40800</v>
      </c>
      <c r="F220" s="1735">
        <v>2018</v>
      </c>
      <c r="G220" s="1734" t="s">
        <v>3711</v>
      </c>
      <c r="H220" s="1736" t="s">
        <v>902</v>
      </c>
      <c r="I220" s="1735">
        <v>2000</v>
      </c>
      <c r="J220" s="1737"/>
      <c r="K220" s="1734" t="s">
        <v>5883</v>
      </c>
      <c r="L220" s="1735"/>
      <c r="M220" s="1748">
        <v>48960000</v>
      </c>
      <c r="N220" s="1770" t="s">
        <v>4678</v>
      </c>
      <c r="O220" s="1740"/>
      <c r="P220" s="1740"/>
    </row>
    <row r="221" spans="1:16" s="1741" customFormat="1" ht="42" customHeight="1" x14ac:dyDescent="0.2">
      <c r="A221" s="1769">
        <v>211</v>
      </c>
      <c r="B221" s="1747" t="s">
        <v>4559</v>
      </c>
      <c r="C221" s="1735" t="s">
        <v>4365</v>
      </c>
      <c r="D221" s="1737"/>
      <c r="E221" s="1733">
        <v>240000</v>
      </c>
      <c r="F221" s="1735">
        <v>2018</v>
      </c>
      <c r="G221" s="1734" t="s">
        <v>3712</v>
      </c>
      <c r="H221" s="1736" t="s">
        <v>902</v>
      </c>
      <c r="I221" s="1735">
        <v>2000</v>
      </c>
      <c r="J221" s="1737"/>
      <c r="K221" s="1734" t="s">
        <v>5883</v>
      </c>
      <c r="L221" s="1735"/>
      <c r="M221" s="1748">
        <v>1200000000</v>
      </c>
      <c r="N221" s="1770" t="s">
        <v>4678</v>
      </c>
      <c r="O221" s="1740"/>
      <c r="P221" s="1740"/>
    </row>
    <row r="222" spans="1:16" s="1741" customFormat="1" ht="42" customHeight="1" x14ac:dyDescent="0.2">
      <c r="A222" s="1769">
        <v>212</v>
      </c>
      <c r="B222" s="1747" t="s">
        <v>4560</v>
      </c>
      <c r="C222" s="1735" t="s">
        <v>4365</v>
      </c>
      <c r="D222" s="1737"/>
      <c r="E222" s="1733">
        <v>200000</v>
      </c>
      <c r="F222" s="1735">
        <v>2018</v>
      </c>
      <c r="G222" s="1734" t="s">
        <v>3713</v>
      </c>
      <c r="H222" s="1736" t="s">
        <v>902</v>
      </c>
      <c r="I222" s="1735">
        <v>2000</v>
      </c>
      <c r="J222" s="1737"/>
      <c r="K222" s="1734" t="s">
        <v>5883</v>
      </c>
      <c r="L222" s="1735"/>
      <c r="M222" s="1748">
        <v>132000000</v>
      </c>
      <c r="N222" s="1770" t="s">
        <v>4678</v>
      </c>
      <c r="O222" s="1740"/>
      <c r="P222" s="1740"/>
    </row>
    <row r="223" spans="1:16" s="1741" customFormat="1" ht="42" customHeight="1" x14ac:dyDescent="0.2">
      <c r="A223" s="1769">
        <v>213</v>
      </c>
      <c r="B223" s="1747" t="s">
        <v>4561</v>
      </c>
      <c r="C223" s="1735" t="s">
        <v>4365</v>
      </c>
      <c r="D223" s="1737"/>
      <c r="E223" s="1733">
        <v>178500</v>
      </c>
      <c r="F223" s="1735">
        <v>2018</v>
      </c>
      <c r="G223" s="1734" t="s">
        <v>3714</v>
      </c>
      <c r="H223" s="1736" t="s">
        <v>902</v>
      </c>
      <c r="I223" s="1735">
        <v>2000</v>
      </c>
      <c r="J223" s="1737"/>
      <c r="K223" s="1734" t="s">
        <v>5883</v>
      </c>
      <c r="L223" s="1735"/>
      <c r="M223" s="1748">
        <v>3601325000</v>
      </c>
      <c r="N223" s="1770" t="s">
        <v>4678</v>
      </c>
      <c r="O223" s="1740"/>
      <c r="P223" s="1740"/>
    </row>
    <row r="224" spans="1:16" s="1741" customFormat="1" ht="42" customHeight="1" x14ac:dyDescent="0.2">
      <c r="A224" s="1769">
        <v>214</v>
      </c>
      <c r="B224" s="1747" t="s">
        <v>4562</v>
      </c>
      <c r="C224" s="1735" t="s">
        <v>4365</v>
      </c>
      <c r="D224" s="1737"/>
      <c r="E224" s="1733">
        <v>104000</v>
      </c>
      <c r="F224" s="1735">
        <v>2018</v>
      </c>
      <c r="G224" s="1734" t="s">
        <v>3715</v>
      </c>
      <c r="H224" s="1736" t="s">
        <v>902</v>
      </c>
      <c r="I224" s="1735">
        <v>2000</v>
      </c>
      <c r="J224" s="1737"/>
      <c r="K224" s="1734" t="s">
        <v>5883</v>
      </c>
      <c r="L224" s="1735"/>
      <c r="M224" s="1748">
        <v>1332960000</v>
      </c>
      <c r="N224" s="1770" t="s">
        <v>4678</v>
      </c>
      <c r="O224" s="1740"/>
      <c r="P224" s="1740"/>
    </row>
    <row r="225" spans="1:16" s="1741" customFormat="1" ht="42" customHeight="1" x14ac:dyDescent="0.2">
      <c r="A225" s="1769">
        <v>215</v>
      </c>
      <c r="B225" s="1747" t="s">
        <v>4563</v>
      </c>
      <c r="C225" s="1735" t="s">
        <v>4365</v>
      </c>
      <c r="D225" s="1737"/>
      <c r="E225" s="1733">
        <v>72800</v>
      </c>
      <c r="F225" s="1735">
        <v>2018</v>
      </c>
      <c r="G225" s="1734" t="s">
        <v>4938</v>
      </c>
      <c r="H225" s="1736" t="s">
        <v>902</v>
      </c>
      <c r="I225" s="1735">
        <v>2000</v>
      </c>
      <c r="J225" s="1737"/>
      <c r="K225" s="1734" t="s">
        <v>5883</v>
      </c>
      <c r="L225" s="1735"/>
      <c r="M225" s="1748">
        <v>178360000</v>
      </c>
      <c r="N225" s="1770" t="s">
        <v>4678</v>
      </c>
      <c r="O225" s="1740"/>
      <c r="P225" s="1740"/>
    </row>
    <row r="226" spans="1:16" s="1741" customFormat="1" ht="42" customHeight="1" x14ac:dyDescent="0.2">
      <c r="A226" s="1769">
        <v>216</v>
      </c>
      <c r="B226" s="1747" t="s">
        <v>4564</v>
      </c>
      <c r="C226" s="1735" t="s">
        <v>4365</v>
      </c>
      <c r="D226" s="1737"/>
      <c r="E226" s="1733">
        <v>158900</v>
      </c>
      <c r="F226" s="1735">
        <v>2018</v>
      </c>
      <c r="G226" s="1734" t="s">
        <v>3190</v>
      </c>
      <c r="H226" s="1736" t="s">
        <v>902</v>
      </c>
      <c r="I226" s="1735">
        <v>2000</v>
      </c>
      <c r="J226" s="1737"/>
      <c r="K226" s="1734" t="s">
        <v>5883</v>
      </c>
      <c r="L226" s="1735"/>
      <c r="M226" s="1748">
        <v>389305000</v>
      </c>
      <c r="N226" s="1770" t="s">
        <v>4678</v>
      </c>
      <c r="O226" s="1740"/>
      <c r="P226" s="1740"/>
    </row>
    <row r="227" spans="1:16" s="1741" customFormat="1" ht="42" customHeight="1" x14ac:dyDescent="0.2">
      <c r="A227" s="1769">
        <v>217</v>
      </c>
      <c r="B227" s="1747" t="s">
        <v>4565</v>
      </c>
      <c r="C227" s="1735" t="s">
        <v>4365</v>
      </c>
      <c r="D227" s="1737"/>
      <c r="E227" s="1733">
        <v>254100</v>
      </c>
      <c r="F227" s="1735">
        <v>2018</v>
      </c>
      <c r="G227" s="1734" t="s">
        <v>3236</v>
      </c>
      <c r="H227" s="1736" t="s">
        <v>902</v>
      </c>
      <c r="I227" s="1735">
        <v>2000</v>
      </c>
      <c r="J227" s="1737"/>
      <c r="K227" s="1734" t="s">
        <v>5883</v>
      </c>
      <c r="L227" s="1735"/>
      <c r="M227" s="1748">
        <v>622545000</v>
      </c>
      <c r="N227" s="1770" t="s">
        <v>4678</v>
      </c>
      <c r="O227" s="1740"/>
      <c r="P227" s="1740"/>
    </row>
    <row r="228" spans="1:16" s="1741" customFormat="1" ht="42" customHeight="1" x14ac:dyDescent="0.2">
      <c r="A228" s="1769">
        <v>218</v>
      </c>
      <c r="B228" s="1747" t="s">
        <v>4566</v>
      </c>
      <c r="C228" s="1735" t="s">
        <v>4365</v>
      </c>
      <c r="D228" s="1737"/>
      <c r="E228" s="1733">
        <v>24000</v>
      </c>
      <c r="F228" s="1735">
        <v>2018</v>
      </c>
      <c r="G228" s="1734" t="s">
        <v>4937</v>
      </c>
      <c r="H228" s="1736" t="s">
        <v>902</v>
      </c>
      <c r="I228" s="1735">
        <v>2000</v>
      </c>
      <c r="J228" s="1737"/>
      <c r="K228" s="1734" t="s">
        <v>5883</v>
      </c>
      <c r="L228" s="1735"/>
      <c r="M228" s="1748">
        <v>648000000</v>
      </c>
      <c r="N228" s="1770" t="s">
        <v>4678</v>
      </c>
      <c r="O228" s="1740"/>
      <c r="P228" s="1740"/>
    </row>
    <row r="229" spans="1:16" s="1741" customFormat="1" ht="42" customHeight="1" x14ac:dyDescent="0.2">
      <c r="A229" s="1769">
        <v>219</v>
      </c>
      <c r="B229" s="1747" t="s">
        <v>4567</v>
      </c>
      <c r="C229" s="1735" t="s">
        <v>4365</v>
      </c>
      <c r="D229" s="1737"/>
      <c r="E229" s="1733">
        <v>140000</v>
      </c>
      <c r="F229" s="1735">
        <v>2018</v>
      </c>
      <c r="G229" s="1734" t="s">
        <v>4939</v>
      </c>
      <c r="H229" s="1736" t="s">
        <v>902</v>
      </c>
      <c r="I229" s="1735">
        <v>2000</v>
      </c>
      <c r="J229" s="1737"/>
      <c r="K229" s="1734" t="s">
        <v>5883</v>
      </c>
      <c r="L229" s="1735"/>
      <c r="M229" s="1748">
        <v>168000000</v>
      </c>
      <c r="N229" s="1770" t="s">
        <v>4678</v>
      </c>
      <c r="O229" s="1740"/>
      <c r="P229" s="1740"/>
    </row>
    <row r="230" spans="1:16" s="1741" customFormat="1" ht="42" customHeight="1" x14ac:dyDescent="0.2">
      <c r="A230" s="1769">
        <v>220</v>
      </c>
      <c r="B230" s="1747" t="s">
        <v>4568</v>
      </c>
      <c r="C230" s="1735" t="s">
        <v>4365</v>
      </c>
      <c r="D230" s="1737"/>
      <c r="E230" s="1733">
        <v>112000</v>
      </c>
      <c r="F230" s="1735">
        <v>2018</v>
      </c>
      <c r="G230" s="1734" t="s">
        <v>643</v>
      </c>
      <c r="H230" s="1736" t="s">
        <v>902</v>
      </c>
      <c r="I230" s="1735">
        <v>2000</v>
      </c>
      <c r="J230" s="1737"/>
      <c r="K230" s="1734" t="s">
        <v>5883</v>
      </c>
      <c r="L230" s="1735"/>
      <c r="M230" s="1748">
        <v>274400000</v>
      </c>
      <c r="N230" s="1770" t="s">
        <v>4678</v>
      </c>
      <c r="O230" s="1740"/>
      <c r="P230" s="1740"/>
    </row>
    <row r="231" spans="1:16" s="1741" customFormat="1" ht="42" customHeight="1" x14ac:dyDescent="0.2">
      <c r="A231" s="1769">
        <v>221</v>
      </c>
      <c r="B231" s="1747" t="s">
        <v>4569</v>
      </c>
      <c r="C231" s="1735" t="s">
        <v>4365</v>
      </c>
      <c r="D231" s="1737"/>
      <c r="E231" s="1733">
        <v>96000</v>
      </c>
      <c r="F231" s="1735">
        <v>2018</v>
      </c>
      <c r="G231" s="1734" t="s">
        <v>3721</v>
      </c>
      <c r="H231" s="1736" t="s">
        <v>902</v>
      </c>
      <c r="I231" s="1735">
        <v>2000</v>
      </c>
      <c r="J231" s="1737"/>
      <c r="K231" s="1734" t="s">
        <v>5883</v>
      </c>
      <c r="L231" s="1735"/>
      <c r="M231" s="1748">
        <v>3456000000</v>
      </c>
      <c r="N231" s="1770" t="s">
        <v>4678</v>
      </c>
      <c r="O231" s="1740"/>
      <c r="P231" s="1740"/>
    </row>
    <row r="232" spans="1:16" s="1741" customFormat="1" ht="42" customHeight="1" x14ac:dyDescent="0.2">
      <c r="A232" s="1769">
        <v>222</v>
      </c>
      <c r="B232" s="1747" t="s">
        <v>4570</v>
      </c>
      <c r="C232" s="1735" t="s">
        <v>4365</v>
      </c>
      <c r="D232" s="1737"/>
      <c r="E232" s="1733">
        <v>17500</v>
      </c>
      <c r="F232" s="1735">
        <v>2018</v>
      </c>
      <c r="G232" s="1734" t="s">
        <v>4937</v>
      </c>
      <c r="H232" s="1736" t="s">
        <v>902</v>
      </c>
      <c r="I232" s="1735">
        <v>2000</v>
      </c>
      <c r="J232" s="1737"/>
      <c r="K232" s="1734" t="s">
        <v>5883</v>
      </c>
      <c r="L232" s="1735"/>
      <c r="M232" s="1748">
        <v>472500000</v>
      </c>
      <c r="N232" s="1770" t="s">
        <v>4678</v>
      </c>
      <c r="O232" s="1740"/>
      <c r="P232" s="1740"/>
    </row>
    <row r="233" spans="1:16" s="1741" customFormat="1" ht="42" customHeight="1" x14ac:dyDescent="0.2">
      <c r="A233" s="1769">
        <v>223</v>
      </c>
      <c r="B233" s="1747" t="s">
        <v>4571</v>
      </c>
      <c r="C233" s="1735" t="s">
        <v>4365</v>
      </c>
      <c r="D233" s="1737"/>
      <c r="E233" s="1733">
        <v>70000</v>
      </c>
      <c r="F233" s="1735">
        <v>2018</v>
      </c>
      <c r="G233" s="1734" t="s">
        <v>4940</v>
      </c>
      <c r="H233" s="1736" t="s">
        <v>902</v>
      </c>
      <c r="I233" s="1735">
        <v>2000</v>
      </c>
      <c r="J233" s="1737"/>
      <c r="K233" s="1734" t="s">
        <v>5883</v>
      </c>
      <c r="L233" s="1735"/>
      <c r="M233" s="1748">
        <v>1890000000</v>
      </c>
      <c r="N233" s="1770" t="s">
        <v>4678</v>
      </c>
      <c r="O233" s="1740"/>
      <c r="P233" s="1740"/>
    </row>
    <row r="234" spans="1:16" s="1741" customFormat="1" ht="42" customHeight="1" x14ac:dyDescent="0.2">
      <c r="A234" s="1769">
        <v>224</v>
      </c>
      <c r="B234" s="1747" t="s">
        <v>4572</v>
      </c>
      <c r="C234" s="1735" t="s">
        <v>4365</v>
      </c>
      <c r="D234" s="1737"/>
      <c r="E234" s="1733">
        <v>21000</v>
      </c>
      <c r="F234" s="1735">
        <v>2018</v>
      </c>
      <c r="G234" s="1734" t="s">
        <v>4940</v>
      </c>
      <c r="H234" s="1736" t="s">
        <v>902</v>
      </c>
      <c r="I234" s="1735">
        <v>2000</v>
      </c>
      <c r="J234" s="1737"/>
      <c r="K234" s="1734" t="s">
        <v>5883</v>
      </c>
      <c r="L234" s="1735"/>
      <c r="M234" s="1748">
        <v>567000000</v>
      </c>
      <c r="N234" s="1770" t="s">
        <v>4678</v>
      </c>
      <c r="O234" s="1740"/>
      <c r="P234" s="1740"/>
    </row>
    <row r="235" spans="1:16" s="1741" customFormat="1" ht="42" customHeight="1" x14ac:dyDescent="0.2">
      <c r="A235" s="1769">
        <v>225</v>
      </c>
      <c r="B235" s="1747" t="s">
        <v>4573</v>
      </c>
      <c r="C235" s="1735" t="s">
        <v>4365</v>
      </c>
      <c r="D235" s="1737"/>
      <c r="E235" s="1733">
        <v>12000</v>
      </c>
      <c r="F235" s="1735">
        <v>2018</v>
      </c>
      <c r="G235" s="1734" t="s">
        <v>798</v>
      </c>
      <c r="H235" s="1736" t="s">
        <v>902</v>
      </c>
      <c r="I235" s="1735">
        <v>2000</v>
      </c>
      <c r="J235" s="1737"/>
      <c r="K235" s="1734" t="s">
        <v>5883</v>
      </c>
      <c r="L235" s="1735"/>
      <c r="M235" s="1748">
        <v>324000000</v>
      </c>
      <c r="N235" s="1770" t="s">
        <v>4678</v>
      </c>
      <c r="O235" s="1740"/>
      <c r="P235" s="1740"/>
    </row>
    <row r="236" spans="1:16" s="1741" customFormat="1" ht="42" customHeight="1" x14ac:dyDescent="0.2">
      <c r="A236" s="1769">
        <v>226</v>
      </c>
      <c r="B236" s="1747" t="s">
        <v>4574</v>
      </c>
      <c r="C236" s="1735" t="s">
        <v>4365</v>
      </c>
      <c r="D236" s="1737"/>
      <c r="E236" s="1733">
        <v>3600</v>
      </c>
      <c r="F236" s="1735">
        <v>2018</v>
      </c>
      <c r="G236" s="1734" t="s">
        <v>2890</v>
      </c>
      <c r="H236" s="1736" t="s">
        <v>902</v>
      </c>
      <c r="I236" s="1735">
        <v>2000</v>
      </c>
      <c r="J236" s="1737"/>
      <c r="K236" s="1734" t="s">
        <v>5883</v>
      </c>
      <c r="L236" s="1735"/>
      <c r="M236" s="1748">
        <v>72000000</v>
      </c>
      <c r="N236" s="1770" t="s">
        <v>4678</v>
      </c>
      <c r="O236" s="1740"/>
      <c r="P236" s="1740"/>
    </row>
    <row r="237" spans="1:16" s="1741" customFormat="1" ht="42" customHeight="1" x14ac:dyDescent="0.2">
      <c r="A237" s="1769">
        <v>227</v>
      </c>
      <c r="B237" s="1747" t="s">
        <v>4575</v>
      </c>
      <c r="C237" s="1735" t="s">
        <v>4365</v>
      </c>
      <c r="D237" s="1737"/>
      <c r="E237" s="1733">
        <v>10150</v>
      </c>
      <c r="F237" s="1735">
        <v>2018</v>
      </c>
      <c r="G237" s="1734" t="s">
        <v>2890</v>
      </c>
      <c r="H237" s="1736" t="s">
        <v>902</v>
      </c>
      <c r="I237" s="1735">
        <v>2000</v>
      </c>
      <c r="J237" s="1737"/>
      <c r="K237" s="1734" t="s">
        <v>5883</v>
      </c>
      <c r="L237" s="1735"/>
      <c r="M237" s="1748">
        <v>203000000</v>
      </c>
      <c r="N237" s="1770" t="s">
        <v>4678</v>
      </c>
      <c r="O237" s="1740"/>
      <c r="P237" s="1740"/>
    </row>
    <row r="238" spans="1:16" s="1741" customFormat="1" ht="42" customHeight="1" x14ac:dyDescent="0.2">
      <c r="A238" s="1769">
        <v>228</v>
      </c>
      <c r="B238" s="1747" t="s">
        <v>4576</v>
      </c>
      <c r="C238" s="1735" t="s">
        <v>4365</v>
      </c>
      <c r="D238" s="1737"/>
      <c r="E238" s="1733">
        <v>2800</v>
      </c>
      <c r="F238" s="1735">
        <v>2018</v>
      </c>
      <c r="G238" s="1734" t="s">
        <v>2890</v>
      </c>
      <c r="H238" s="1736" t="s">
        <v>902</v>
      </c>
      <c r="I238" s="1735">
        <v>2000</v>
      </c>
      <c r="J238" s="1737"/>
      <c r="K238" s="1734" t="s">
        <v>5883</v>
      </c>
      <c r="L238" s="1735"/>
      <c r="M238" s="1748">
        <v>56000000</v>
      </c>
      <c r="N238" s="1770" t="s">
        <v>4678</v>
      </c>
      <c r="O238" s="1740"/>
      <c r="P238" s="1740"/>
    </row>
    <row r="239" spans="1:16" s="1741" customFormat="1" ht="42" customHeight="1" x14ac:dyDescent="0.2">
      <c r="A239" s="1769">
        <v>229</v>
      </c>
      <c r="B239" s="1747" t="s">
        <v>4577</v>
      </c>
      <c r="C239" s="1735" t="s">
        <v>4365</v>
      </c>
      <c r="D239" s="1737"/>
      <c r="E239" s="1733">
        <v>2660</v>
      </c>
      <c r="F239" s="1735">
        <v>2018</v>
      </c>
      <c r="G239" s="1734" t="s">
        <v>2890</v>
      </c>
      <c r="H239" s="1736" t="s">
        <v>902</v>
      </c>
      <c r="I239" s="1735">
        <v>2000</v>
      </c>
      <c r="J239" s="1737"/>
      <c r="K239" s="1734" t="s">
        <v>5883</v>
      </c>
      <c r="L239" s="1735"/>
      <c r="M239" s="1748">
        <v>53200000</v>
      </c>
      <c r="N239" s="1770" t="s">
        <v>4678</v>
      </c>
      <c r="O239" s="1740"/>
      <c r="P239" s="1740"/>
    </row>
    <row r="240" spans="1:16" s="1741" customFormat="1" ht="42" customHeight="1" x14ac:dyDescent="0.2">
      <c r="A240" s="1769">
        <v>230</v>
      </c>
      <c r="B240" s="1747" t="s">
        <v>4578</v>
      </c>
      <c r="C240" s="1735" t="s">
        <v>4365</v>
      </c>
      <c r="D240" s="1737"/>
      <c r="E240" s="1733">
        <v>4200</v>
      </c>
      <c r="F240" s="1735">
        <v>2018</v>
      </c>
      <c r="G240" s="1734" t="s">
        <v>2890</v>
      </c>
      <c r="H240" s="1736" t="s">
        <v>902</v>
      </c>
      <c r="I240" s="1735">
        <v>2000</v>
      </c>
      <c r="J240" s="1737"/>
      <c r="K240" s="1734" t="s">
        <v>5883</v>
      </c>
      <c r="L240" s="1735"/>
      <c r="M240" s="1748">
        <v>84000000</v>
      </c>
      <c r="N240" s="1770" t="s">
        <v>4678</v>
      </c>
      <c r="O240" s="1740"/>
      <c r="P240" s="1740"/>
    </row>
    <row r="241" spans="1:16" s="1741" customFormat="1" ht="42" customHeight="1" x14ac:dyDescent="0.2">
      <c r="A241" s="1769">
        <v>231</v>
      </c>
      <c r="B241" s="1747" t="s">
        <v>4579</v>
      </c>
      <c r="C241" s="1735" t="s">
        <v>4365</v>
      </c>
      <c r="D241" s="1737"/>
      <c r="E241" s="1733">
        <v>3150</v>
      </c>
      <c r="F241" s="1735">
        <v>2018</v>
      </c>
      <c r="G241" s="1734" t="s">
        <v>2890</v>
      </c>
      <c r="H241" s="1736" t="s">
        <v>902</v>
      </c>
      <c r="I241" s="1735">
        <v>2000</v>
      </c>
      <c r="J241" s="1737"/>
      <c r="K241" s="1734" t="s">
        <v>5883</v>
      </c>
      <c r="L241" s="1735"/>
      <c r="M241" s="1748">
        <v>63000000</v>
      </c>
      <c r="N241" s="1770" t="s">
        <v>4678</v>
      </c>
      <c r="O241" s="1740"/>
      <c r="P241" s="1740"/>
    </row>
    <row r="242" spans="1:16" s="1741" customFormat="1" ht="42" customHeight="1" x14ac:dyDescent="0.2">
      <c r="A242" s="1769">
        <v>232</v>
      </c>
      <c r="B242" s="1747" t="s">
        <v>4580</v>
      </c>
      <c r="C242" s="1735" t="s">
        <v>4365</v>
      </c>
      <c r="D242" s="1737"/>
      <c r="E242" s="1733">
        <v>5250</v>
      </c>
      <c r="F242" s="1735">
        <v>2018</v>
      </c>
      <c r="G242" s="1734" t="s">
        <v>2890</v>
      </c>
      <c r="H242" s="1736" t="s">
        <v>902</v>
      </c>
      <c r="I242" s="1735">
        <v>2000</v>
      </c>
      <c r="J242" s="1737"/>
      <c r="K242" s="1734" t="s">
        <v>5883</v>
      </c>
      <c r="L242" s="1735"/>
      <c r="M242" s="1748">
        <v>105000000</v>
      </c>
      <c r="N242" s="1770" t="s">
        <v>4678</v>
      </c>
      <c r="O242" s="1740"/>
      <c r="P242" s="1740"/>
    </row>
    <row r="243" spans="1:16" s="1741" customFormat="1" ht="42" customHeight="1" x14ac:dyDescent="0.2">
      <c r="A243" s="1769">
        <v>233</v>
      </c>
      <c r="B243" s="1747" t="s">
        <v>4581</v>
      </c>
      <c r="C243" s="1735" t="s">
        <v>4365</v>
      </c>
      <c r="D243" s="1737"/>
      <c r="E243" s="1733">
        <v>3150</v>
      </c>
      <c r="F243" s="1735">
        <v>2018</v>
      </c>
      <c r="G243" s="1734" t="s">
        <v>2890</v>
      </c>
      <c r="H243" s="1736" t="s">
        <v>902</v>
      </c>
      <c r="I243" s="1735">
        <v>2000</v>
      </c>
      <c r="J243" s="1737"/>
      <c r="K243" s="1734" t="s">
        <v>5883</v>
      </c>
      <c r="L243" s="1735"/>
      <c r="M243" s="1748">
        <v>63000000</v>
      </c>
      <c r="N243" s="1770" t="s">
        <v>4678</v>
      </c>
      <c r="O243" s="1740"/>
      <c r="P243" s="1740"/>
    </row>
    <row r="244" spans="1:16" s="1741" customFormat="1" ht="42" customHeight="1" x14ac:dyDescent="0.2">
      <c r="A244" s="1769">
        <v>234</v>
      </c>
      <c r="B244" s="1747" t="s">
        <v>4582</v>
      </c>
      <c r="C244" s="1735" t="s">
        <v>4365</v>
      </c>
      <c r="D244" s="1737"/>
      <c r="E244" s="1733">
        <v>3500</v>
      </c>
      <c r="F244" s="1735">
        <v>2018</v>
      </c>
      <c r="G244" s="1734" t="s">
        <v>2890</v>
      </c>
      <c r="H244" s="1736" t="s">
        <v>902</v>
      </c>
      <c r="I244" s="1735">
        <v>2000</v>
      </c>
      <c r="J244" s="1737"/>
      <c r="K244" s="1734" t="s">
        <v>5883</v>
      </c>
      <c r="L244" s="1735"/>
      <c r="M244" s="1748">
        <v>70000000</v>
      </c>
      <c r="N244" s="1770" t="s">
        <v>4678</v>
      </c>
      <c r="O244" s="1740"/>
      <c r="P244" s="1740"/>
    </row>
    <row r="245" spans="1:16" s="1741" customFormat="1" ht="42" customHeight="1" x14ac:dyDescent="0.2">
      <c r="A245" s="1769">
        <v>235</v>
      </c>
      <c r="B245" s="1747" t="s">
        <v>4583</v>
      </c>
      <c r="C245" s="1735" t="s">
        <v>4365</v>
      </c>
      <c r="D245" s="1737"/>
      <c r="E245" s="1733">
        <v>5621</v>
      </c>
      <c r="F245" s="1735">
        <v>2018</v>
      </c>
      <c r="G245" s="1734" t="s">
        <v>2890</v>
      </c>
      <c r="H245" s="1736" t="s">
        <v>902</v>
      </c>
      <c r="I245" s="1735">
        <v>2000</v>
      </c>
      <c r="J245" s="1737"/>
      <c r="K245" s="1734" t="s">
        <v>5883</v>
      </c>
      <c r="L245" s="1735"/>
      <c r="M245" s="1748">
        <v>112420000</v>
      </c>
      <c r="N245" s="1770" t="s">
        <v>4678</v>
      </c>
      <c r="O245" s="1740"/>
      <c r="P245" s="1740"/>
    </row>
    <row r="246" spans="1:16" s="1741" customFormat="1" ht="42" customHeight="1" x14ac:dyDescent="0.2">
      <c r="A246" s="1769">
        <v>236</v>
      </c>
      <c r="B246" s="1747" t="s">
        <v>4584</v>
      </c>
      <c r="C246" s="1735" t="s">
        <v>4365</v>
      </c>
      <c r="D246" s="1737"/>
      <c r="E246" s="1733">
        <v>1400</v>
      </c>
      <c r="F246" s="1735">
        <v>2018</v>
      </c>
      <c r="G246" s="1734" t="s">
        <v>2890</v>
      </c>
      <c r="H246" s="1736" t="s">
        <v>902</v>
      </c>
      <c r="I246" s="1735">
        <v>2000</v>
      </c>
      <c r="J246" s="1737"/>
      <c r="K246" s="1734" t="s">
        <v>5883</v>
      </c>
      <c r="L246" s="1735"/>
      <c r="M246" s="1748">
        <v>28000000</v>
      </c>
      <c r="N246" s="1770" t="s">
        <v>4678</v>
      </c>
      <c r="O246" s="1740"/>
      <c r="P246" s="1740"/>
    </row>
    <row r="247" spans="1:16" s="1741" customFormat="1" ht="42" customHeight="1" x14ac:dyDescent="0.2">
      <c r="A247" s="1769">
        <v>237</v>
      </c>
      <c r="B247" s="1747" t="s">
        <v>4585</v>
      </c>
      <c r="C247" s="1735" t="s">
        <v>4365</v>
      </c>
      <c r="D247" s="1737"/>
      <c r="E247" s="1733">
        <v>1400</v>
      </c>
      <c r="F247" s="1735">
        <v>2018</v>
      </c>
      <c r="G247" s="1734" t="s">
        <v>2890</v>
      </c>
      <c r="H247" s="1736" t="s">
        <v>902</v>
      </c>
      <c r="I247" s="1735">
        <v>2000</v>
      </c>
      <c r="J247" s="1737"/>
      <c r="K247" s="1734" t="s">
        <v>5883</v>
      </c>
      <c r="L247" s="1735"/>
      <c r="M247" s="1748">
        <v>28000000</v>
      </c>
      <c r="N247" s="1770" t="s">
        <v>4678</v>
      </c>
      <c r="O247" s="1740"/>
      <c r="P247" s="1740"/>
    </row>
    <row r="248" spans="1:16" s="1741" customFormat="1" ht="42" customHeight="1" x14ac:dyDescent="0.2">
      <c r="A248" s="1769">
        <v>238</v>
      </c>
      <c r="B248" s="1747" t="s">
        <v>4586</v>
      </c>
      <c r="C248" s="1735" t="s">
        <v>4365</v>
      </c>
      <c r="D248" s="1737"/>
      <c r="E248" s="1733">
        <v>8400</v>
      </c>
      <c r="F248" s="1735">
        <v>2018</v>
      </c>
      <c r="G248" s="1734" t="s">
        <v>2890</v>
      </c>
      <c r="H248" s="1736" t="s">
        <v>902</v>
      </c>
      <c r="I248" s="1735">
        <v>2000</v>
      </c>
      <c r="J248" s="1737"/>
      <c r="K248" s="1734" t="s">
        <v>5883</v>
      </c>
      <c r="L248" s="1735"/>
      <c r="M248" s="1748">
        <v>168000000</v>
      </c>
      <c r="N248" s="1770" t="s">
        <v>4678</v>
      </c>
      <c r="O248" s="1740"/>
      <c r="P248" s="1740"/>
    </row>
    <row r="249" spans="1:16" s="1741" customFormat="1" ht="42" customHeight="1" x14ac:dyDescent="0.2">
      <c r="A249" s="1769">
        <v>239</v>
      </c>
      <c r="B249" s="1747" t="s">
        <v>4587</v>
      </c>
      <c r="C249" s="1735" t="s">
        <v>4365</v>
      </c>
      <c r="D249" s="1737"/>
      <c r="E249" s="1733">
        <v>525</v>
      </c>
      <c r="F249" s="1735">
        <v>2018</v>
      </c>
      <c r="G249" s="1734" t="s">
        <v>2890</v>
      </c>
      <c r="H249" s="1736" t="s">
        <v>902</v>
      </c>
      <c r="I249" s="1735">
        <v>2000</v>
      </c>
      <c r="J249" s="1737"/>
      <c r="K249" s="1734" t="s">
        <v>5883</v>
      </c>
      <c r="L249" s="1735"/>
      <c r="M249" s="1748">
        <v>10500000</v>
      </c>
      <c r="N249" s="1770" t="s">
        <v>4678</v>
      </c>
      <c r="O249" s="1740"/>
      <c r="P249" s="1740"/>
    </row>
    <row r="250" spans="1:16" s="1741" customFormat="1" ht="42" customHeight="1" x14ac:dyDescent="0.2">
      <c r="A250" s="1769">
        <v>240</v>
      </c>
      <c r="B250" s="1747" t="s">
        <v>4588</v>
      </c>
      <c r="C250" s="1735" t="s">
        <v>4365</v>
      </c>
      <c r="D250" s="1737"/>
      <c r="E250" s="1733">
        <v>2450</v>
      </c>
      <c r="F250" s="1735">
        <v>2018</v>
      </c>
      <c r="G250" s="1734" t="s">
        <v>2890</v>
      </c>
      <c r="H250" s="1736" t="s">
        <v>902</v>
      </c>
      <c r="I250" s="1735">
        <v>2000</v>
      </c>
      <c r="J250" s="1737"/>
      <c r="K250" s="1734" t="s">
        <v>5883</v>
      </c>
      <c r="L250" s="1735"/>
      <c r="M250" s="1748">
        <v>49000000</v>
      </c>
      <c r="N250" s="1770" t="s">
        <v>4678</v>
      </c>
      <c r="O250" s="1740"/>
      <c r="P250" s="1740"/>
    </row>
    <row r="251" spans="1:16" s="1741" customFormat="1" ht="42" customHeight="1" x14ac:dyDescent="0.2">
      <c r="A251" s="1769">
        <v>241</v>
      </c>
      <c r="B251" s="1747" t="s">
        <v>4422</v>
      </c>
      <c r="C251" s="1735" t="s">
        <v>4365</v>
      </c>
      <c r="D251" s="1737"/>
      <c r="E251" s="1733">
        <v>1050</v>
      </c>
      <c r="F251" s="1735">
        <v>2018</v>
      </c>
      <c r="G251" s="1734" t="s">
        <v>2890</v>
      </c>
      <c r="H251" s="1736" t="s">
        <v>902</v>
      </c>
      <c r="I251" s="1735">
        <v>2000</v>
      </c>
      <c r="J251" s="1737"/>
      <c r="K251" s="1734" t="s">
        <v>5883</v>
      </c>
      <c r="L251" s="1735"/>
      <c r="M251" s="1748">
        <v>21000000</v>
      </c>
      <c r="N251" s="1770" t="s">
        <v>4678</v>
      </c>
      <c r="O251" s="1740"/>
      <c r="P251" s="1740"/>
    </row>
    <row r="252" spans="1:16" s="1741" customFormat="1" ht="42" customHeight="1" x14ac:dyDescent="0.2">
      <c r="A252" s="1769">
        <v>242</v>
      </c>
      <c r="B252" s="1747" t="s">
        <v>4589</v>
      </c>
      <c r="C252" s="1735" t="s">
        <v>4365</v>
      </c>
      <c r="D252" s="1737"/>
      <c r="E252" s="1733">
        <v>1400</v>
      </c>
      <c r="F252" s="1735">
        <v>2018</v>
      </c>
      <c r="G252" s="1734" t="s">
        <v>2890</v>
      </c>
      <c r="H252" s="1736" t="s">
        <v>902</v>
      </c>
      <c r="I252" s="1735">
        <v>2000</v>
      </c>
      <c r="J252" s="1737"/>
      <c r="K252" s="1734" t="s">
        <v>5883</v>
      </c>
      <c r="L252" s="1735"/>
      <c r="M252" s="1748">
        <v>28000000</v>
      </c>
      <c r="N252" s="1770" t="s">
        <v>4678</v>
      </c>
      <c r="O252" s="1740"/>
      <c r="P252" s="1740"/>
    </row>
    <row r="253" spans="1:16" s="1741" customFormat="1" ht="42" customHeight="1" x14ac:dyDescent="0.2">
      <c r="A253" s="1769">
        <v>243</v>
      </c>
      <c r="B253" s="1747" t="s">
        <v>4590</v>
      </c>
      <c r="C253" s="1735" t="s">
        <v>4365</v>
      </c>
      <c r="D253" s="1737"/>
      <c r="E253" s="1733">
        <v>560</v>
      </c>
      <c r="F253" s="1735">
        <v>2018</v>
      </c>
      <c r="G253" s="1734" t="s">
        <v>2890</v>
      </c>
      <c r="H253" s="1736" t="s">
        <v>902</v>
      </c>
      <c r="I253" s="1735">
        <v>2000</v>
      </c>
      <c r="J253" s="1737"/>
      <c r="K253" s="1734" t="s">
        <v>5883</v>
      </c>
      <c r="L253" s="1735"/>
      <c r="M253" s="1748">
        <v>11200000</v>
      </c>
      <c r="N253" s="1770" t="s">
        <v>4678</v>
      </c>
      <c r="O253" s="1740"/>
      <c r="P253" s="1740"/>
    </row>
    <row r="254" spans="1:16" s="1741" customFormat="1" ht="42" customHeight="1" x14ac:dyDescent="0.2">
      <c r="A254" s="1769">
        <v>244</v>
      </c>
      <c r="B254" s="1747" t="s">
        <v>4591</v>
      </c>
      <c r="C254" s="1735" t="s">
        <v>4365</v>
      </c>
      <c r="D254" s="1737"/>
      <c r="E254" s="1733">
        <v>17500</v>
      </c>
      <c r="F254" s="1735">
        <v>2018</v>
      </c>
      <c r="G254" s="1734" t="s">
        <v>4937</v>
      </c>
      <c r="H254" s="1736" t="s">
        <v>902</v>
      </c>
      <c r="I254" s="1735">
        <v>2000</v>
      </c>
      <c r="J254" s="1737"/>
      <c r="K254" s="1734" t="s">
        <v>5883</v>
      </c>
      <c r="L254" s="1735"/>
      <c r="M254" s="1748">
        <v>472500000</v>
      </c>
      <c r="N254" s="1770" t="s">
        <v>4678</v>
      </c>
      <c r="O254" s="1740"/>
      <c r="P254" s="1740"/>
    </row>
    <row r="255" spans="1:16" s="1741" customFormat="1" ht="42" customHeight="1" x14ac:dyDescent="0.2">
      <c r="A255" s="1769">
        <v>245</v>
      </c>
      <c r="B255" s="1747" t="s">
        <v>4592</v>
      </c>
      <c r="C255" s="1735" t="s">
        <v>4365</v>
      </c>
      <c r="D255" s="1737"/>
      <c r="E255" s="1733">
        <v>2100</v>
      </c>
      <c r="F255" s="1735">
        <v>2018</v>
      </c>
      <c r="G255" s="1734" t="s">
        <v>2890</v>
      </c>
      <c r="H255" s="1736" t="s">
        <v>902</v>
      </c>
      <c r="I255" s="1735">
        <v>2000</v>
      </c>
      <c r="J255" s="1737"/>
      <c r="K255" s="1734" t="s">
        <v>5883</v>
      </c>
      <c r="L255" s="1735"/>
      <c r="M255" s="1748">
        <v>42000000</v>
      </c>
      <c r="N255" s="1770" t="s">
        <v>4678</v>
      </c>
      <c r="O255" s="1740"/>
      <c r="P255" s="1740"/>
    </row>
    <row r="256" spans="1:16" s="1741" customFormat="1" ht="42" customHeight="1" x14ac:dyDescent="0.2">
      <c r="A256" s="1769">
        <v>246</v>
      </c>
      <c r="B256" s="1747" t="s">
        <v>4593</v>
      </c>
      <c r="C256" s="1735" t="s">
        <v>4365</v>
      </c>
      <c r="D256" s="1737"/>
      <c r="E256" s="1733">
        <v>1750</v>
      </c>
      <c r="F256" s="1735">
        <v>2018</v>
      </c>
      <c r="G256" s="1734" t="s">
        <v>2890</v>
      </c>
      <c r="H256" s="1736" t="s">
        <v>902</v>
      </c>
      <c r="I256" s="1735">
        <v>2000</v>
      </c>
      <c r="J256" s="1737"/>
      <c r="K256" s="1734" t="s">
        <v>5883</v>
      </c>
      <c r="L256" s="1735"/>
      <c r="M256" s="1748">
        <v>35000000</v>
      </c>
      <c r="N256" s="1770" t="s">
        <v>4678</v>
      </c>
      <c r="O256" s="1740"/>
      <c r="P256" s="1740"/>
    </row>
    <row r="257" spans="1:16" s="1741" customFormat="1" ht="42" customHeight="1" x14ac:dyDescent="0.2">
      <c r="A257" s="1769">
        <v>247</v>
      </c>
      <c r="B257" s="1747" t="s">
        <v>4594</v>
      </c>
      <c r="C257" s="1735" t="s">
        <v>4365</v>
      </c>
      <c r="D257" s="1737"/>
      <c r="E257" s="1733">
        <v>980</v>
      </c>
      <c r="F257" s="1735">
        <v>2018</v>
      </c>
      <c r="G257" s="1734" t="s">
        <v>2890</v>
      </c>
      <c r="H257" s="1736" t="s">
        <v>902</v>
      </c>
      <c r="I257" s="1735">
        <v>2000</v>
      </c>
      <c r="J257" s="1737"/>
      <c r="K257" s="1734" t="s">
        <v>5883</v>
      </c>
      <c r="L257" s="1735"/>
      <c r="M257" s="1748">
        <v>19600000</v>
      </c>
      <c r="N257" s="1770" t="s">
        <v>4678</v>
      </c>
      <c r="O257" s="1740"/>
      <c r="P257" s="1740"/>
    </row>
    <row r="258" spans="1:16" s="1741" customFormat="1" ht="42" customHeight="1" x14ac:dyDescent="0.2">
      <c r="A258" s="1769">
        <v>248</v>
      </c>
      <c r="B258" s="1747" t="s">
        <v>4595</v>
      </c>
      <c r="C258" s="1735" t="s">
        <v>4365</v>
      </c>
      <c r="D258" s="1737"/>
      <c r="E258" s="1733">
        <v>4200</v>
      </c>
      <c r="F258" s="1735">
        <v>2018</v>
      </c>
      <c r="G258" s="1734" t="s">
        <v>2890</v>
      </c>
      <c r="H258" s="1736" t="s">
        <v>902</v>
      </c>
      <c r="I258" s="1735">
        <v>2000</v>
      </c>
      <c r="J258" s="1737"/>
      <c r="K258" s="1734" t="s">
        <v>5883</v>
      </c>
      <c r="L258" s="1735"/>
      <c r="M258" s="1748">
        <v>84000000</v>
      </c>
      <c r="N258" s="1770" t="s">
        <v>4678</v>
      </c>
      <c r="O258" s="1740"/>
      <c r="P258" s="1740"/>
    </row>
    <row r="259" spans="1:16" s="1741" customFormat="1" ht="42" customHeight="1" x14ac:dyDescent="0.2">
      <c r="A259" s="1769">
        <v>249</v>
      </c>
      <c r="B259" s="1747" t="s">
        <v>4596</v>
      </c>
      <c r="C259" s="1735" t="s">
        <v>4365</v>
      </c>
      <c r="D259" s="1737"/>
      <c r="E259" s="1733">
        <v>1470</v>
      </c>
      <c r="F259" s="1735">
        <v>2018</v>
      </c>
      <c r="G259" s="1734" t="s">
        <v>2890</v>
      </c>
      <c r="H259" s="1736" t="s">
        <v>902</v>
      </c>
      <c r="I259" s="1735">
        <v>2000</v>
      </c>
      <c r="J259" s="1737"/>
      <c r="K259" s="1734" t="s">
        <v>5883</v>
      </c>
      <c r="L259" s="1735"/>
      <c r="M259" s="1748">
        <v>29400000</v>
      </c>
      <c r="N259" s="1770" t="s">
        <v>4678</v>
      </c>
      <c r="O259" s="1740"/>
      <c r="P259" s="1740"/>
    </row>
    <row r="260" spans="1:16" s="1741" customFormat="1" ht="42" customHeight="1" x14ac:dyDescent="0.2">
      <c r="A260" s="1769">
        <v>250</v>
      </c>
      <c r="B260" s="1747" t="s">
        <v>4597</v>
      </c>
      <c r="C260" s="1735" t="s">
        <v>4365</v>
      </c>
      <c r="D260" s="1737"/>
      <c r="E260" s="1733">
        <v>3500</v>
      </c>
      <c r="F260" s="1735">
        <v>2018</v>
      </c>
      <c r="G260" s="1734" t="s">
        <v>2890</v>
      </c>
      <c r="H260" s="1736" t="s">
        <v>902</v>
      </c>
      <c r="I260" s="1735">
        <v>2000</v>
      </c>
      <c r="J260" s="1737"/>
      <c r="K260" s="1734" t="s">
        <v>5883</v>
      </c>
      <c r="L260" s="1735"/>
      <c r="M260" s="1748">
        <v>70000000</v>
      </c>
      <c r="N260" s="1770" t="s">
        <v>4678</v>
      </c>
      <c r="O260" s="1740"/>
      <c r="P260" s="1740"/>
    </row>
    <row r="261" spans="1:16" s="1741" customFormat="1" ht="42" customHeight="1" x14ac:dyDescent="0.2">
      <c r="A261" s="1769">
        <v>251</v>
      </c>
      <c r="B261" s="1747" t="s">
        <v>4598</v>
      </c>
      <c r="C261" s="1735" t="s">
        <v>4365</v>
      </c>
      <c r="D261" s="1737"/>
      <c r="E261" s="1733">
        <v>128000</v>
      </c>
      <c r="F261" s="1735">
        <v>2018</v>
      </c>
      <c r="G261" s="1734" t="s">
        <v>3750</v>
      </c>
      <c r="H261" s="1736" t="s">
        <v>902</v>
      </c>
      <c r="I261" s="1735">
        <v>2000</v>
      </c>
      <c r="J261" s="1737"/>
      <c r="K261" s="1734" t="s">
        <v>5883</v>
      </c>
      <c r="L261" s="1735"/>
      <c r="M261" s="1748">
        <v>313600000</v>
      </c>
      <c r="N261" s="1770" t="s">
        <v>4678</v>
      </c>
      <c r="O261" s="1740"/>
      <c r="P261" s="1740"/>
    </row>
    <row r="262" spans="1:16" s="1741" customFormat="1" ht="42" customHeight="1" x14ac:dyDescent="0.2">
      <c r="A262" s="1769">
        <v>252</v>
      </c>
      <c r="B262" s="1747" t="s">
        <v>4599</v>
      </c>
      <c r="C262" s="1735" t="s">
        <v>4365</v>
      </c>
      <c r="D262" s="1737"/>
      <c r="E262" s="1733">
        <v>48000</v>
      </c>
      <c r="F262" s="1735">
        <v>2018</v>
      </c>
      <c r="G262" s="1734" t="s">
        <v>3751</v>
      </c>
      <c r="H262" s="1736" t="s">
        <v>902</v>
      </c>
      <c r="I262" s="1735">
        <v>2000</v>
      </c>
      <c r="J262" s="1737"/>
      <c r="K262" s="1734" t="s">
        <v>5883</v>
      </c>
      <c r="L262" s="1735"/>
      <c r="M262" s="1748">
        <v>1296000000</v>
      </c>
      <c r="N262" s="1770" t="s">
        <v>4678</v>
      </c>
      <c r="O262" s="1740"/>
      <c r="P262" s="1740"/>
    </row>
    <row r="263" spans="1:16" s="1741" customFormat="1" ht="42" customHeight="1" x14ac:dyDescent="0.2">
      <c r="A263" s="1769">
        <v>253</v>
      </c>
      <c r="B263" s="1747" t="s">
        <v>4600</v>
      </c>
      <c r="C263" s="1735" t="s">
        <v>4365</v>
      </c>
      <c r="D263" s="1737"/>
      <c r="E263" s="1733">
        <v>96000</v>
      </c>
      <c r="F263" s="1735">
        <v>2018</v>
      </c>
      <c r="G263" s="1734" t="s">
        <v>3752</v>
      </c>
      <c r="H263" s="1736" t="s">
        <v>902</v>
      </c>
      <c r="I263" s="1735">
        <v>2000</v>
      </c>
      <c r="J263" s="1737"/>
      <c r="K263" s="1734" t="s">
        <v>5883</v>
      </c>
      <c r="L263" s="1735"/>
      <c r="M263" s="1748">
        <v>235200000</v>
      </c>
      <c r="N263" s="1770" t="s">
        <v>4678</v>
      </c>
      <c r="O263" s="1740"/>
      <c r="P263" s="1740"/>
    </row>
    <row r="264" spans="1:16" s="1741" customFormat="1" ht="42" customHeight="1" x14ac:dyDescent="0.2">
      <c r="A264" s="1769">
        <v>254</v>
      </c>
      <c r="B264" s="1747" t="s">
        <v>4601</v>
      </c>
      <c r="C264" s="1735" t="s">
        <v>4365</v>
      </c>
      <c r="D264" s="1737"/>
      <c r="E264" s="1733">
        <v>40000</v>
      </c>
      <c r="F264" s="1735">
        <v>2018</v>
      </c>
      <c r="G264" s="1734" t="s">
        <v>3753</v>
      </c>
      <c r="H264" s="1736" t="s">
        <v>902</v>
      </c>
      <c r="I264" s="1735">
        <v>2000</v>
      </c>
      <c r="J264" s="1737"/>
      <c r="K264" s="1734" t="s">
        <v>5883</v>
      </c>
      <c r="L264" s="1735"/>
      <c r="M264" s="1748">
        <v>98000000</v>
      </c>
      <c r="N264" s="1770" t="s">
        <v>4678</v>
      </c>
      <c r="O264" s="1740"/>
      <c r="P264" s="1740"/>
    </row>
    <row r="265" spans="1:16" s="1741" customFormat="1" ht="42" customHeight="1" x14ac:dyDescent="0.2">
      <c r="A265" s="1769">
        <v>255</v>
      </c>
      <c r="B265" s="1747" t="s">
        <v>4602</v>
      </c>
      <c r="C265" s="1735" t="s">
        <v>4365</v>
      </c>
      <c r="D265" s="1737"/>
      <c r="E265" s="1733">
        <v>28000</v>
      </c>
      <c r="F265" s="1735">
        <v>2018</v>
      </c>
      <c r="G265" s="1734" t="s">
        <v>3754</v>
      </c>
      <c r="H265" s="1736" t="s">
        <v>902</v>
      </c>
      <c r="I265" s="1735">
        <v>2000</v>
      </c>
      <c r="J265" s="1737"/>
      <c r="K265" s="1734" t="s">
        <v>5883</v>
      </c>
      <c r="L265" s="1735"/>
      <c r="M265" s="1748">
        <v>1008000000</v>
      </c>
      <c r="N265" s="1770" t="s">
        <v>4678</v>
      </c>
      <c r="O265" s="1740"/>
      <c r="P265" s="1740"/>
    </row>
    <row r="266" spans="1:16" s="1741" customFormat="1" ht="42" customHeight="1" x14ac:dyDescent="0.2">
      <c r="A266" s="1769">
        <v>256</v>
      </c>
      <c r="B266" s="1747" t="s">
        <v>4603</v>
      </c>
      <c r="C266" s="1735" t="s">
        <v>4365</v>
      </c>
      <c r="D266" s="1737"/>
      <c r="E266" s="1733">
        <v>14000</v>
      </c>
      <c r="F266" s="1735">
        <v>2018</v>
      </c>
      <c r="G266" s="1734" t="s">
        <v>5037</v>
      </c>
      <c r="H266" s="1736" t="s">
        <v>902</v>
      </c>
      <c r="I266" s="1735">
        <v>2000</v>
      </c>
      <c r="J266" s="1737"/>
      <c r="K266" s="1734" t="s">
        <v>5883</v>
      </c>
      <c r="L266" s="1735"/>
      <c r="M266" s="1748">
        <v>16800000</v>
      </c>
      <c r="N266" s="1770" t="s">
        <v>4678</v>
      </c>
      <c r="O266" s="1740"/>
      <c r="P266" s="1740"/>
    </row>
    <row r="267" spans="1:16" s="1741" customFormat="1" ht="42" customHeight="1" x14ac:dyDescent="0.2">
      <c r="A267" s="1769">
        <v>257</v>
      </c>
      <c r="B267" s="1747" t="s">
        <v>4604</v>
      </c>
      <c r="C267" s="1735" t="s">
        <v>4365</v>
      </c>
      <c r="D267" s="1737"/>
      <c r="E267" s="1733">
        <v>68000</v>
      </c>
      <c r="F267" s="1735">
        <v>2018</v>
      </c>
      <c r="G267" s="1734" t="s">
        <v>3756</v>
      </c>
      <c r="H267" s="1736" t="s">
        <v>902</v>
      </c>
      <c r="I267" s="1735">
        <v>2000</v>
      </c>
      <c r="J267" s="1737"/>
      <c r="K267" s="1734" t="s">
        <v>5883</v>
      </c>
      <c r="L267" s="1735"/>
      <c r="M267" s="1748">
        <v>166600000</v>
      </c>
      <c r="N267" s="1770" t="s">
        <v>4678</v>
      </c>
      <c r="O267" s="1740"/>
      <c r="P267" s="1740"/>
    </row>
    <row r="268" spans="1:16" s="1741" customFormat="1" ht="42" customHeight="1" x14ac:dyDescent="0.2">
      <c r="A268" s="1769">
        <v>258</v>
      </c>
      <c r="B268" s="1747" t="s">
        <v>4605</v>
      </c>
      <c r="C268" s="1735" t="s">
        <v>4365</v>
      </c>
      <c r="D268" s="1737"/>
      <c r="E268" s="1733">
        <v>128000</v>
      </c>
      <c r="F268" s="1735">
        <v>2018</v>
      </c>
      <c r="G268" s="1734" t="s">
        <v>3757</v>
      </c>
      <c r="H268" s="1736" t="s">
        <v>902</v>
      </c>
      <c r="I268" s="1735">
        <v>2000</v>
      </c>
      <c r="J268" s="1737"/>
      <c r="K268" s="1734" t="s">
        <v>5883</v>
      </c>
      <c r="L268" s="1735"/>
      <c r="M268" s="1748">
        <v>313600000</v>
      </c>
      <c r="N268" s="1770" t="s">
        <v>4678</v>
      </c>
      <c r="O268" s="1740"/>
      <c r="P268" s="1740"/>
    </row>
    <row r="269" spans="1:16" s="1741" customFormat="1" ht="42" customHeight="1" x14ac:dyDescent="0.2">
      <c r="A269" s="1769">
        <v>259</v>
      </c>
      <c r="B269" s="1747" t="s">
        <v>4606</v>
      </c>
      <c r="C269" s="1735" t="s">
        <v>4365</v>
      </c>
      <c r="D269" s="1737"/>
      <c r="E269" s="1733">
        <v>136000</v>
      </c>
      <c r="F269" s="1735">
        <v>2018</v>
      </c>
      <c r="G269" s="1734" t="s">
        <v>5038</v>
      </c>
      <c r="H269" s="1736" t="s">
        <v>902</v>
      </c>
      <c r="I269" s="1735">
        <v>2000</v>
      </c>
      <c r="J269" s="1737"/>
      <c r="K269" s="1734" t="s">
        <v>5883</v>
      </c>
      <c r="L269" s="1735"/>
      <c r="M269" s="1748">
        <v>2720000000</v>
      </c>
      <c r="N269" s="1770" t="s">
        <v>4678</v>
      </c>
      <c r="O269" s="1740"/>
      <c r="P269" s="1740"/>
    </row>
    <row r="270" spans="1:16" s="1741" customFormat="1" ht="42" customHeight="1" x14ac:dyDescent="0.2">
      <c r="A270" s="1769">
        <v>260</v>
      </c>
      <c r="B270" s="1747" t="s">
        <v>4607</v>
      </c>
      <c r="C270" s="1735" t="s">
        <v>4365</v>
      </c>
      <c r="D270" s="1737"/>
      <c r="E270" s="1733">
        <v>16000</v>
      </c>
      <c r="F270" s="1735">
        <v>2018</v>
      </c>
      <c r="G270" s="1734" t="s">
        <v>3759</v>
      </c>
      <c r="H270" s="1736" t="s">
        <v>902</v>
      </c>
      <c r="I270" s="1735">
        <v>2000</v>
      </c>
      <c r="J270" s="1737"/>
      <c r="K270" s="1734" t="s">
        <v>5883</v>
      </c>
      <c r="L270" s="1735"/>
      <c r="M270" s="1748">
        <v>39200000</v>
      </c>
      <c r="N270" s="1770" t="s">
        <v>4678</v>
      </c>
      <c r="O270" s="1740"/>
      <c r="P270" s="1740"/>
    </row>
    <row r="271" spans="1:16" s="1741" customFormat="1" ht="42" customHeight="1" x14ac:dyDescent="0.2">
      <c r="A271" s="1769">
        <v>261</v>
      </c>
      <c r="B271" s="1747" t="s">
        <v>4608</v>
      </c>
      <c r="C271" s="1735" t="s">
        <v>4365</v>
      </c>
      <c r="D271" s="1737"/>
      <c r="E271" s="1733">
        <v>175000</v>
      </c>
      <c r="F271" s="1735">
        <v>2018</v>
      </c>
      <c r="G271" s="1734" t="s">
        <v>4941</v>
      </c>
      <c r="H271" s="1736" t="s">
        <v>902</v>
      </c>
      <c r="I271" s="1735">
        <v>2000</v>
      </c>
      <c r="J271" s="1737"/>
      <c r="K271" s="1734" t="s">
        <v>5883</v>
      </c>
      <c r="L271" s="1735"/>
      <c r="M271" s="1748">
        <v>875000000</v>
      </c>
      <c r="N271" s="1770" t="s">
        <v>4678</v>
      </c>
      <c r="O271" s="1740"/>
      <c r="P271" s="1740"/>
    </row>
    <row r="272" spans="1:16" s="1741" customFormat="1" ht="42" customHeight="1" x14ac:dyDescent="0.2">
      <c r="A272" s="1769">
        <v>262</v>
      </c>
      <c r="B272" s="1747" t="s">
        <v>4609</v>
      </c>
      <c r="C272" s="1735" t="s">
        <v>4365</v>
      </c>
      <c r="D272" s="1737"/>
      <c r="E272" s="1733">
        <v>329000</v>
      </c>
      <c r="F272" s="1735">
        <v>2018</v>
      </c>
      <c r="G272" s="1734" t="s">
        <v>4941</v>
      </c>
      <c r="H272" s="1736" t="s">
        <v>902</v>
      </c>
      <c r="I272" s="1735">
        <v>2000</v>
      </c>
      <c r="J272" s="1737"/>
      <c r="K272" s="1734" t="s">
        <v>5883</v>
      </c>
      <c r="L272" s="1735"/>
      <c r="M272" s="1748">
        <v>1645000000</v>
      </c>
      <c r="N272" s="1770" t="s">
        <v>4678</v>
      </c>
      <c r="O272" s="1740"/>
      <c r="P272" s="1740"/>
    </row>
    <row r="273" spans="1:16" s="1741" customFormat="1" ht="42" customHeight="1" x14ac:dyDescent="0.2">
      <c r="A273" s="1769">
        <v>263</v>
      </c>
      <c r="B273" s="1747" t="s">
        <v>4610</v>
      </c>
      <c r="C273" s="1735" t="s">
        <v>4365</v>
      </c>
      <c r="D273" s="1737"/>
      <c r="E273" s="1733">
        <v>350000</v>
      </c>
      <c r="F273" s="1735">
        <v>2018</v>
      </c>
      <c r="G273" s="1734" t="s">
        <v>4941</v>
      </c>
      <c r="H273" s="1736" t="s">
        <v>902</v>
      </c>
      <c r="I273" s="1735">
        <v>2000</v>
      </c>
      <c r="J273" s="1737"/>
      <c r="K273" s="1734" t="s">
        <v>5883</v>
      </c>
      <c r="L273" s="1735"/>
      <c r="M273" s="1748">
        <v>1750000000</v>
      </c>
      <c r="N273" s="1770" t="s">
        <v>4678</v>
      </c>
      <c r="O273" s="1740"/>
      <c r="P273" s="1740"/>
    </row>
    <row r="274" spans="1:16" s="1741" customFormat="1" ht="42" customHeight="1" x14ac:dyDescent="0.2">
      <c r="A274" s="1769">
        <v>264</v>
      </c>
      <c r="B274" s="1747" t="s">
        <v>4611</v>
      </c>
      <c r="C274" s="1735" t="s">
        <v>4365</v>
      </c>
      <c r="D274" s="1737"/>
      <c r="E274" s="1733">
        <v>28000</v>
      </c>
      <c r="F274" s="1735">
        <v>2018</v>
      </c>
      <c r="G274" s="1734" t="s">
        <v>4942</v>
      </c>
      <c r="H274" s="1736" t="s">
        <v>902</v>
      </c>
      <c r="I274" s="1735">
        <v>2000</v>
      </c>
      <c r="J274" s="1737"/>
      <c r="K274" s="1734" t="s">
        <v>5883</v>
      </c>
      <c r="L274" s="1735"/>
      <c r="M274" s="1748">
        <v>756000000</v>
      </c>
      <c r="N274" s="1770" t="s">
        <v>4678</v>
      </c>
      <c r="O274" s="1740"/>
      <c r="P274" s="1740"/>
    </row>
    <row r="275" spans="1:16" s="1741" customFormat="1" ht="42" customHeight="1" x14ac:dyDescent="0.2">
      <c r="A275" s="1769">
        <v>265</v>
      </c>
      <c r="B275" s="1747" t="s">
        <v>4612</v>
      </c>
      <c r="C275" s="1735" t="s">
        <v>4365</v>
      </c>
      <c r="D275" s="1737"/>
      <c r="E275" s="1733">
        <v>10500</v>
      </c>
      <c r="F275" s="1735">
        <v>2018</v>
      </c>
      <c r="G275" s="1734" t="s">
        <v>4942</v>
      </c>
      <c r="H275" s="1736" t="s">
        <v>902</v>
      </c>
      <c r="I275" s="1735">
        <v>2000</v>
      </c>
      <c r="J275" s="1737"/>
      <c r="K275" s="1734" t="s">
        <v>5883</v>
      </c>
      <c r="L275" s="1735"/>
      <c r="M275" s="1748">
        <v>283500000</v>
      </c>
      <c r="N275" s="1770" t="s">
        <v>4678</v>
      </c>
      <c r="O275" s="1740"/>
      <c r="P275" s="1740"/>
    </row>
    <row r="276" spans="1:16" s="1741" customFormat="1" ht="42" customHeight="1" x14ac:dyDescent="0.2">
      <c r="A276" s="1769">
        <v>266</v>
      </c>
      <c r="B276" s="1747" t="s">
        <v>4613</v>
      </c>
      <c r="C276" s="1735" t="s">
        <v>4365</v>
      </c>
      <c r="D276" s="1737"/>
      <c r="E276" s="1733">
        <v>178300</v>
      </c>
      <c r="F276" s="1735">
        <v>2018</v>
      </c>
      <c r="G276" s="1734" t="s">
        <v>4942</v>
      </c>
      <c r="H276" s="1736" t="s">
        <v>902</v>
      </c>
      <c r="I276" s="1735">
        <v>2000</v>
      </c>
      <c r="J276" s="1737"/>
      <c r="K276" s="1734" t="s">
        <v>5883</v>
      </c>
      <c r="L276" s="1735"/>
      <c r="M276" s="1748">
        <v>4165980000</v>
      </c>
      <c r="N276" s="1770" t="s">
        <v>4678</v>
      </c>
      <c r="O276" s="1740"/>
      <c r="P276" s="1740"/>
    </row>
    <row r="277" spans="1:16" s="1741" customFormat="1" ht="42" customHeight="1" x14ac:dyDescent="0.2">
      <c r="A277" s="1769">
        <v>267</v>
      </c>
      <c r="B277" s="1747" t="s">
        <v>4614</v>
      </c>
      <c r="C277" s="1735" t="s">
        <v>4365</v>
      </c>
      <c r="D277" s="1737"/>
      <c r="E277" s="1733">
        <v>224000</v>
      </c>
      <c r="F277" s="1735">
        <v>2018</v>
      </c>
      <c r="G277" s="1734" t="s">
        <v>3765</v>
      </c>
      <c r="H277" s="1736" t="s">
        <v>902</v>
      </c>
      <c r="I277" s="1735">
        <v>2000</v>
      </c>
      <c r="J277" s="1737"/>
      <c r="K277" s="1734" t="s">
        <v>5883</v>
      </c>
      <c r="L277" s="1735"/>
      <c r="M277" s="1748">
        <v>548800000</v>
      </c>
      <c r="N277" s="1770" t="s">
        <v>4678</v>
      </c>
      <c r="O277" s="1740"/>
      <c r="P277" s="1740"/>
    </row>
    <row r="278" spans="1:16" s="1741" customFormat="1" ht="42" customHeight="1" x14ac:dyDescent="0.2">
      <c r="A278" s="1769">
        <v>268</v>
      </c>
      <c r="B278" s="1747" t="s">
        <v>4615</v>
      </c>
      <c r="C278" s="1735" t="s">
        <v>4365</v>
      </c>
      <c r="D278" s="1737"/>
      <c r="E278" s="1733">
        <v>124000</v>
      </c>
      <c r="F278" s="1735">
        <v>2018</v>
      </c>
      <c r="G278" s="1734" t="s">
        <v>3766</v>
      </c>
      <c r="H278" s="1736" t="s">
        <v>902</v>
      </c>
      <c r="I278" s="1735">
        <v>2000</v>
      </c>
      <c r="J278" s="1737"/>
      <c r="K278" s="1734" t="s">
        <v>5883</v>
      </c>
      <c r="L278" s="1735"/>
      <c r="M278" s="1748">
        <v>3614400000</v>
      </c>
      <c r="N278" s="1770" t="s">
        <v>4678</v>
      </c>
      <c r="O278" s="1740"/>
      <c r="P278" s="1740"/>
    </row>
    <row r="279" spans="1:16" s="1741" customFormat="1" ht="42" customHeight="1" x14ac:dyDescent="0.2">
      <c r="A279" s="1769">
        <v>269</v>
      </c>
      <c r="B279" s="1747" t="s">
        <v>4616</v>
      </c>
      <c r="C279" s="1735" t="s">
        <v>4365</v>
      </c>
      <c r="D279" s="1737"/>
      <c r="E279" s="1733">
        <v>32000</v>
      </c>
      <c r="F279" s="1735">
        <v>2018</v>
      </c>
      <c r="G279" s="1734" t="s">
        <v>3767</v>
      </c>
      <c r="H279" s="1736" t="s">
        <v>902</v>
      </c>
      <c r="I279" s="1735">
        <v>2000</v>
      </c>
      <c r="J279" s="1737"/>
      <c r="K279" s="1734" t="s">
        <v>5883</v>
      </c>
      <c r="L279" s="1735"/>
      <c r="M279" s="1748">
        <v>78400000</v>
      </c>
      <c r="N279" s="1770" t="s">
        <v>4678</v>
      </c>
      <c r="O279" s="1740"/>
      <c r="P279" s="1740"/>
    </row>
    <row r="280" spans="1:16" s="1741" customFormat="1" ht="42" customHeight="1" x14ac:dyDescent="0.2">
      <c r="A280" s="1769">
        <v>270</v>
      </c>
      <c r="B280" s="1747" t="s">
        <v>4617</v>
      </c>
      <c r="C280" s="1735" t="s">
        <v>4365</v>
      </c>
      <c r="D280" s="1737"/>
      <c r="E280" s="1733">
        <v>280000</v>
      </c>
      <c r="F280" s="1735">
        <v>2018</v>
      </c>
      <c r="G280" s="1734" t="s">
        <v>3768</v>
      </c>
      <c r="H280" s="1736" t="s">
        <v>902</v>
      </c>
      <c r="I280" s="1735">
        <v>2000</v>
      </c>
      <c r="J280" s="1737"/>
      <c r="K280" s="1734" t="s">
        <v>5883</v>
      </c>
      <c r="L280" s="1735"/>
      <c r="M280" s="1748">
        <v>686000000</v>
      </c>
      <c r="N280" s="1770" t="s">
        <v>4678</v>
      </c>
      <c r="O280" s="1740"/>
      <c r="P280" s="1740"/>
    </row>
    <row r="281" spans="1:16" s="1741" customFormat="1" ht="42" customHeight="1" x14ac:dyDescent="0.2">
      <c r="A281" s="1769">
        <v>271</v>
      </c>
      <c r="B281" s="1747" t="s">
        <v>4618</v>
      </c>
      <c r="C281" s="1735" t="s">
        <v>4365</v>
      </c>
      <c r="D281" s="1737"/>
      <c r="E281" s="1733">
        <v>136000</v>
      </c>
      <c r="F281" s="1735">
        <v>2018</v>
      </c>
      <c r="G281" s="1734" t="s">
        <v>3769</v>
      </c>
      <c r="H281" s="1736" t="s">
        <v>902</v>
      </c>
      <c r="I281" s="1735">
        <v>2000</v>
      </c>
      <c r="J281" s="1737"/>
      <c r="K281" s="1734" t="s">
        <v>5883</v>
      </c>
      <c r="L281" s="1735"/>
      <c r="M281" s="1748">
        <v>163200000</v>
      </c>
      <c r="N281" s="1770" t="s">
        <v>4678</v>
      </c>
      <c r="O281" s="1740"/>
      <c r="P281" s="1740"/>
    </row>
    <row r="282" spans="1:16" s="1741" customFormat="1" ht="42" customHeight="1" x14ac:dyDescent="0.2">
      <c r="A282" s="1769">
        <v>272</v>
      </c>
      <c r="B282" s="1747" t="s">
        <v>4619</v>
      </c>
      <c r="C282" s="1735" t="s">
        <v>4365</v>
      </c>
      <c r="D282" s="1737"/>
      <c r="E282" s="1733">
        <v>175000</v>
      </c>
      <c r="F282" s="1735">
        <v>2018</v>
      </c>
      <c r="G282" s="1734" t="s">
        <v>3770</v>
      </c>
      <c r="H282" s="1736" t="s">
        <v>902</v>
      </c>
      <c r="I282" s="1735">
        <v>2000</v>
      </c>
      <c r="J282" s="1737"/>
      <c r="K282" s="1734" t="s">
        <v>5883</v>
      </c>
      <c r="L282" s="1735"/>
      <c r="M282" s="1748">
        <v>4725000000</v>
      </c>
      <c r="N282" s="1770" t="s">
        <v>4678</v>
      </c>
      <c r="O282" s="1740"/>
      <c r="P282" s="1740"/>
    </row>
    <row r="283" spans="1:16" s="1741" customFormat="1" ht="42" customHeight="1" x14ac:dyDescent="0.2">
      <c r="A283" s="1769">
        <v>273</v>
      </c>
      <c r="B283" s="1747" t="s">
        <v>4620</v>
      </c>
      <c r="C283" s="1735" t="s">
        <v>4365</v>
      </c>
      <c r="D283" s="1737"/>
      <c r="E283" s="1733">
        <v>64000</v>
      </c>
      <c r="F283" s="1735">
        <v>2018</v>
      </c>
      <c r="G283" s="1734" t="s">
        <v>662</v>
      </c>
      <c r="H283" s="1736" t="s">
        <v>902</v>
      </c>
      <c r="I283" s="1735">
        <v>2000</v>
      </c>
      <c r="J283" s="1737"/>
      <c r="K283" s="1734" t="s">
        <v>5883</v>
      </c>
      <c r="L283" s="1735"/>
      <c r="M283" s="1748">
        <v>156800000</v>
      </c>
      <c r="N283" s="1770" t="s">
        <v>4678</v>
      </c>
      <c r="O283" s="1740"/>
      <c r="P283" s="1740"/>
    </row>
    <row r="284" spans="1:16" s="1741" customFormat="1" ht="42" customHeight="1" x14ac:dyDescent="0.2">
      <c r="A284" s="1769">
        <v>274</v>
      </c>
      <c r="B284" s="1747" t="s">
        <v>4621</v>
      </c>
      <c r="C284" s="1735" t="s">
        <v>4365</v>
      </c>
      <c r="D284" s="1737"/>
      <c r="E284" s="1733">
        <v>240000</v>
      </c>
      <c r="F284" s="1735">
        <v>2018</v>
      </c>
      <c r="G284" s="1734" t="s">
        <v>3771</v>
      </c>
      <c r="H284" s="1736" t="s">
        <v>902</v>
      </c>
      <c r="I284" s="1735">
        <v>2000</v>
      </c>
      <c r="J284" s="1737"/>
      <c r="K284" s="1734" t="s">
        <v>5883</v>
      </c>
      <c r="L284" s="1735"/>
      <c r="M284" s="1748">
        <v>568000000</v>
      </c>
      <c r="N284" s="1770" t="s">
        <v>4678</v>
      </c>
      <c r="O284" s="1740"/>
      <c r="P284" s="1740"/>
    </row>
    <row r="285" spans="1:16" s="1741" customFormat="1" ht="42" customHeight="1" x14ac:dyDescent="0.2">
      <c r="A285" s="1769">
        <v>275</v>
      </c>
      <c r="B285" s="1747" t="s">
        <v>4622</v>
      </c>
      <c r="C285" s="1735" t="s">
        <v>4365</v>
      </c>
      <c r="D285" s="1737"/>
      <c r="E285" s="1733">
        <v>70000</v>
      </c>
      <c r="F285" s="1735">
        <v>2018</v>
      </c>
      <c r="G285" s="1734" t="s">
        <v>3772</v>
      </c>
      <c r="H285" s="1736" t="s">
        <v>902</v>
      </c>
      <c r="I285" s="1735">
        <v>2000</v>
      </c>
      <c r="J285" s="1737"/>
      <c r="K285" s="1734" t="s">
        <v>5883</v>
      </c>
      <c r="L285" s="1735"/>
      <c r="M285" s="1748">
        <v>1400000000</v>
      </c>
      <c r="N285" s="1770" t="s">
        <v>4678</v>
      </c>
      <c r="O285" s="1740"/>
      <c r="P285" s="1740"/>
    </row>
    <row r="286" spans="1:16" s="1741" customFormat="1" ht="42" customHeight="1" x14ac:dyDescent="0.2">
      <c r="A286" s="1769">
        <v>276</v>
      </c>
      <c r="B286" s="1747" t="s">
        <v>4623</v>
      </c>
      <c r="C286" s="1735" t="s">
        <v>4365</v>
      </c>
      <c r="D286" s="1737"/>
      <c r="E286" s="1733">
        <v>64000</v>
      </c>
      <c r="F286" s="1735">
        <v>2018</v>
      </c>
      <c r="G286" s="1734" t="s">
        <v>3773</v>
      </c>
      <c r="H286" s="1736" t="s">
        <v>902</v>
      </c>
      <c r="I286" s="1735">
        <v>2000</v>
      </c>
      <c r="J286" s="1737"/>
      <c r="K286" s="1734" t="s">
        <v>5883</v>
      </c>
      <c r="L286" s="1735"/>
      <c r="M286" s="1748">
        <v>156800000</v>
      </c>
      <c r="N286" s="1770" t="s">
        <v>4678</v>
      </c>
      <c r="O286" s="1740"/>
      <c r="P286" s="1740"/>
    </row>
    <row r="287" spans="1:16" s="1741" customFormat="1" ht="42" customHeight="1" x14ac:dyDescent="0.2">
      <c r="A287" s="1769">
        <v>277</v>
      </c>
      <c r="B287" s="1747" t="s">
        <v>4624</v>
      </c>
      <c r="C287" s="1735" t="s">
        <v>4365</v>
      </c>
      <c r="D287" s="1737"/>
      <c r="E287" s="1733">
        <v>66500</v>
      </c>
      <c r="F287" s="1735">
        <v>2018</v>
      </c>
      <c r="G287" s="1734" t="s">
        <v>3075</v>
      </c>
      <c r="H287" s="1736" t="s">
        <v>902</v>
      </c>
      <c r="I287" s="1735">
        <v>2000</v>
      </c>
      <c r="J287" s="1737"/>
      <c r="K287" s="1734" t="s">
        <v>5883</v>
      </c>
      <c r="L287" s="1735"/>
      <c r="M287" s="1748">
        <v>170275000</v>
      </c>
      <c r="N287" s="1770" t="s">
        <v>4678</v>
      </c>
      <c r="O287" s="1740"/>
      <c r="P287" s="1740"/>
    </row>
    <row r="288" spans="1:16" s="1741" customFormat="1" ht="42" customHeight="1" x14ac:dyDescent="0.2">
      <c r="A288" s="1769">
        <v>278</v>
      </c>
      <c r="B288" s="1747" t="s">
        <v>4625</v>
      </c>
      <c r="C288" s="1735" t="s">
        <v>4365</v>
      </c>
      <c r="D288" s="1737"/>
      <c r="E288" s="1733">
        <v>81900</v>
      </c>
      <c r="F288" s="1735">
        <v>2018</v>
      </c>
      <c r="G288" s="1734" t="s">
        <v>3202</v>
      </c>
      <c r="H288" s="1736" t="s">
        <v>902</v>
      </c>
      <c r="I288" s="1735">
        <v>2000</v>
      </c>
      <c r="J288" s="1737"/>
      <c r="K288" s="1734" t="s">
        <v>5883</v>
      </c>
      <c r="L288" s="1735"/>
      <c r="M288" s="1748">
        <v>819000000</v>
      </c>
      <c r="N288" s="1770" t="s">
        <v>4678</v>
      </c>
      <c r="O288" s="1740"/>
      <c r="P288" s="1740"/>
    </row>
    <row r="289" spans="1:16" s="1741" customFormat="1" ht="42" customHeight="1" x14ac:dyDescent="0.2">
      <c r="A289" s="1769">
        <v>279</v>
      </c>
      <c r="B289" s="1747" t="s">
        <v>4626</v>
      </c>
      <c r="C289" s="1735" t="s">
        <v>4365</v>
      </c>
      <c r="D289" s="1737"/>
      <c r="E289" s="1733">
        <v>58500</v>
      </c>
      <c r="F289" s="1735">
        <v>2018</v>
      </c>
      <c r="G289" s="1734" t="s">
        <v>3076</v>
      </c>
      <c r="H289" s="1736" t="s">
        <v>902</v>
      </c>
      <c r="I289" s="1735">
        <v>2000</v>
      </c>
      <c r="J289" s="1737"/>
      <c r="K289" s="1734" t="s">
        <v>5883</v>
      </c>
      <c r="L289" s="1735"/>
      <c r="M289" s="1748">
        <v>819000000</v>
      </c>
      <c r="N289" s="1770" t="s">
        <v>4678</v>
      </c>
      <c r="O289" s="1740"/>
      <c r="P289" s="1740"/>
    </row>
    <row r="290" spans="1:16" s="1741" customFormat="1" ht="42" customHeight="1" x14ac:dyDescent="0.2">
      <c r="A290" s="1769">
        <v>280</v>
      </c>
      <c r="B290" s="1747" t="s">
        <v>4627</v>
      </c>
      <c r="C290" s="1735" t="s">
        <v>4365</v>
      </c>
      <c r="D290" s="1737"/>
      <c r="E290" s="1733">
        <v>77000</v>
      </c>
      <c r="F290" s="1735">
        <v>2018</v>
      </c>
      <c r="G290" s="1734" t="s">
        <v>3105</v>
      </c>
      <c r="H290" s="1736" t="s">
        <v>902</v>
      </c>
      <c r="I290" s="1735">
        <v>2000</v>
      </c>
      <c r="J290" s="1737"/>
      <c r="K290" s="1734" t="s">
        <v>5883</v>
      </c>
      <c r="L290" s="1735"/>
      <c r="M290" s="1748">
        <v>269500000</v>
      </c>
      <c r="N290" s="1770" t="s">
        <v>4678</v>
      </c>
      <c r="O290" s="1740"/>
      <c r="P290" s="1740"/>
    </row>
    <row r="291" spans="1:16" s="1741" customFormat="1" ht="42" customHeight="1" x14ac:dyDescent="0.2">
      <c r="A291" s="1769">
        <v>281</v>
      </c>
      <c r="B291" s="1747" t="s">
        <v>4628</v>
      </c>
      <c r="C291" s="1735" t="s">
        <v>4365</v>
      </c>
      <c r="D291" s="1737"/>
      <c r="E291" s="1733">
        <v>318500</v>
      </c>
      <c r="F291" s="1735">
        <v>2018</v>
      </c>
      <c r="G291" s="1734" t="s">
        <v>3774</v>
      </c>
      <c r="H291" s="1736" t="s">
        <v>902</v>
      </c>
      <c r="I291" s="1735">
        <v>2000</v>
      </c>
      <c r="J291" s="1737"/>
      <c r="K291" s="1734" t="s">
        <v>5883</v>
      </c>
      <c r="L291" s="1735"/>
      <c r="M291" s="1748">
        <v>3185000000</v>
      </c>
      <c r="N291" s="1770" t="s">
        <v>4678</v>
      </c>
      <c r="O291" s="1740"/>
      <c r="P291" s="1740"/>
    </row>
    <row r="292" spans="1:16" s="1741" customFormat="1" ht="42" customHeight="1" x14ac:dyDescent="0.2">
      <c r="A292" s="1769">
        <v>282</v>
      </c>
      <c r="B292" s="1747" t="s">
        <v>4629</v>
      </c>
      <c r="C292" s="1735" t="s">
        <v>4365</v>
      </c>
      <c r="D292" s="1737"/>
      <c r="E292" s="1733">
        <v>21000</v>
      </c>
      <c r="F292" s="1735">
        <v>2018</v>
      </c>
      <c r="G292" s="1734" t="s">
        <v>3775</v>
      </c>
      <c r="H292" s="1736" t="s">
        <v>902</v>
      </c>
      <c r="I292" s="1735">
        <v>2000</v>
      </c>
      <c r="J292" s="1737"/>
      <c r="K292" s="1734" t="s">
        <v>5883</v>
      </c>
      <c r="L292" s="1735"/>
      <c r="M292" s="1748">
        <v>210000000</v>
      </c>
      <c r="N292" s="1770" t="s">
        <v>4678</v>
      </c>
      <c r="O292" s="1740"/>
      <c r="P292" s="1740"/>
    </row>
    <row r="293" spans="1:16" s="1741" customFormat="1" ht="42" customHeight="1" x14ac:dyDescent="0.2">
      <c r="A293" s="1769">
        <v>283</v>
      </c>
      <c r="B293" s="1747" t="s">
        <v>4630</v>
      </c>
      <c r="C293" s="1735" t="s">
        <v>4365</v>
      </c>
      <c r="D293" s="1737"/>
      <c r="E293" s="1733">
        <v>9800</v>
      </c>
      <c r="F293" s="1735">
        <v>2018</v>
      </c>
      <c r="G293" s="1734" t="s">
        <v>3776</v>
      </c>
      <c r="H293" s="1736" t="s">
        <v>902</v>
      </c>
      <c r="I293" s="1735">
        <v>2000</v>
      </c>
      <c r="J293" s="1737"/>
      <c r="K293" s="1734" t="s">
        <v>5883</v>
      </c>
      <c r="L293" s="1735"/>
      <c r="M293" s="1748">
        <v>24010000</v>
      </c>
      <c r="N293" s="1770" t="s">
        <v>4678</v>
      </c>
      <c r="O293" s="1740"/>
      <c r="P293" s="1740"/>
    </row>
    <row r="294" spans="1:16" s="1741" customFormat="1" ht="42" customHeight="1" x14ac:dyDescent="0.2">
      <c r="A294" s="1769">
        <v>284</v>
      </c>
      <c r="B294" s="1747" t="s">
        <v>4631</v>
      </c>
      <c r="C294" s="1735" t="s">
        <v>4365</v>
      </c>
      <c r="D294" s="1737"/>
      <c r="E294" s="1733">
        <v>280000</v>
      </c>
      <c r="F294" s="1735">
        <v>2018</v>
      </c>
      <c r="G294" s="1734" t="s">
        <v>3777</v>
      </c>
      <c r="H294" s="1736" t="s">
        <v>902</v>
      </c>
      <c r="I294" s="1735">
        <v>2000</v>
      </c>
      <c r="J294" s="1737"/>
      <c r="K294" s="1734" t="s">
        <v>5883</v>
      </c>
      <c r="L294" s="1735"/>
      <c r="M294" s="1748">
        <v>254800000</v>
      </c>
      <c r="N294" s="1770" t="s">
        <v>4678</v>
      </c>
      <c r="O294" s="1740"/>
      <c r="P294" s="1740"/>
    </row>
    <row r="295" spans="1:16" s="1741" customFormat="1" ht="42" customHeight="1" x14ac:dyDescent="0.2">
      <c r="A295" s="1769">
        <v>285</v>
      </c>
      <c r="B295" s="1747" t="s">
        <v>4632</v>
      </c>
      <c r="C295" s="1735" t="s">
        <v>4365</v>
      </c>
      <c r="D295" s="1737"/>
      <c r="E295" s="1733">
        <v>320000</v>
      </c>
      <c r="F295" s="1735">
        <v>2018</v>
      </c>
      <c r="G295" s="1734" t="s">
        <v>3778</v>
      </c>
      <c r="H295" s="1736" t="s">
        <v>902</v>
      </c>
      <c r="I295" s="1735">
        <v>2000</v>
      </c>
      <c r="J295" s="1737"/>
      <c r="K295" s="1734" t="s">
        <v>5883</v>
      </c>
      <c r="L295" s="1735"/>
      <c r="M295" s="1748">
        <v>1120000000</v>
      </c>
      <c r="N295" s="1770" t="s">
        <v>4678</v>
      </c>
      <c r="O295" s="1740"/>
      <c r="P295" s="1740"/>
    </row>
    <row r="296" spans="1:16" s="1741" customFormat="1" ht="42" customHeight="1" x14ac:dyDescent="0.2">
      <c r="A296" s="1769">
        <v>286</v>
      </c>
      <c r="B296" s="1747" t="s">
        <v>4633</v>
      </c>
      <c r="C296" s="1735" t="s">
        <v>4365</v>
      </c>
      <c r="D296" s="1737"/>
      <c r="E296" s="1733">
        <v>35000</v>
      </c>
      <c r="F296" s="1735">
        <v>2018</v>
      </c>
      <c r="G296" s="1734" t="s">
        <v>5039</v>
      </c>
      <c r="H296" s="1736" t="s">
        <v>902</v>
      </c>
      <c r="I296" s="1735">
        <v>2000</v>
      </c>
      <c r="J296" s="1737"/>
      <c r="K296" s="1734" t="s">
        <v>5883</v>
      </c>
      <c r="L296" s="1735"/>
      <c r="M296" s="1748">
        <v>1680000000</v>
      </c>
      <c r="N296" s="1770" t="s">
        <v>4678</v>
      </c>
      <c r="O296" s="1740"/>
      <c r="P296" s="1740"/>
    </row>
    <row r="297" spans="1:16" s="1741" customFormat="1" ht="42" customHeight="1" x14ac:dyDescent="0.2">
      <c r="A297" s="1769">
        <v>287</v>
      </c>
      <c r="B297" s="1747" t="s">
        <v>4634</v>
      </c>
      <c r="C297" s="1735" t="s">
        <v>4365</v>
      </c>
      <c r="D297" s="1737"/>
      <c r="E297" s="1733">
        <v>21000</v>
      </c>
      <c r="F297" s="1735">
        <v>2018</v>
      </c>
      <c r="G297" s="1734" t="s">
        <v>5040</v>
      </c>
      <c r="H297" s="1736" t="s">
        <v>902</v>
      </c>
      <c r="I297" s="1735">
        <v>2000</v>
      </c>
      <c r="J297" s="1737"/>
      <c r="K297" s="1734" t="s">
        <v>5883</v>
      </c>
      <c r="L297" s="1735"/>
      <c r="M297" s="1748">
        <v>210000000</v>
      </c>
      <c r="N297" s="1770" t="s">
        <v>4678</v>
      </c>
      <c r="O297" s="1740"/>
      <c r="P297" s="1740"/>
    </row>
    <row r="298" spans="1:16" s="1741" customFormat="1" ht="42" customHeight="1" x14ac:dyDescent="0.2">
      <c r="A298" s="1769">
        <v>288</v>
      </c>
      <c r="B298" s="1747" t="s">
        <v>4635</v>
      </c>
      <c r="C298" s="1735" t="s">
        <v>4365</v>
      </c>
      <c r="D298" s="1737"/>
      <c r="E298" s="1733">
        <v>8750</v>
      </c>
      <c r="F298" s="1735">
        <v>2018</v>
      </c>
      <c r="G298" s="1734" t="s">
        <v>5041</v>
      </c>
      <c r="H298" s="1736" t="s">
        <v>902</v>
      </c>
      <c r="I298" s="1735">
        <v>2000</v>
      </c>
      <c r="J298" s="1737"/>
      <c r="K298" s="1734" t="s">
        <v>5883</v>
      </c>
      <c r="L298" s="1735"/>
      <c r="M298" s="1748">
        <v>87500000</v>
      </c>
      <c r="N298" s="1770" t="s">
        <v>4678</v>
      </c>
      <c r="O298" s="1740"/>
      <c r="P298" s="1740"/>
    </row>
    <row r="299" spans="1:16" s="1741" customFormat="1" ht="42" customHeight="1" x14ac:dyDescent="0.2">
      <c r="A299" s="1769">
        <v>289</v>
      </c>
      <c r="B299" s="1747" t="s">
        <v>4636</v>
      </c>
      <c r="C299" s="1735" t="s">
        <v>4365</v>
      </c>
      <c r="D299" s="1737"/>
      <c r="E299" s="1733">
        <v>14000</v>
      </c>
      <c r="F299" s="1735">
        <v>2018</v>
      </c>
      <c r="G299" s="1734" t="s">
        <v>5042</v>
      </c>
      <c r="H299" s="1736" t="s">
        <v>902</v>
      </c>
      <c r="I299" s="1735">
        <v>2000</v>
      </c>
      <c r="J299" s="1737"/>
      <c r="K299" s="1734" t="s">
        <v>5883</v>
      </c>
      <c r="L299" s="1735"/>
      <c r="M299" s="1748">
        <v>49000000</v>
      </c>
      <c r="N299" s="1770" t="s">
        <v>4678</v>
      </c>
      <c r="O299" s="1740"/>
      <c r="P299" s="1740"/>
    </row>
    <row r="300" spans="1:16" s="1741" customFormat="1" ht="42" customHeight="1" x14ac:dyDescent="0.2">
      <c r="A300" s="1769">
        <v>290</v>
      </c>
      <c r="B300" s="1747" t="s">
        <v>4637</v>
      </c>
      <c r="C300" s="1735" t="s">
        <v>4365</v>
      </c>
      <c r="D300" s="1737"/>
      <c r="E300" s="1733">
        <v>10500</v>
      </c>
      <c r="F300" s="1735">
        <v>2018</v>
      </c>
      <c r="G300" s="1734" t="s">
        <v>5043</v>
      </c>
      <c r="H300" s="1736" t="s">
        <v>902</v>
      </c>
      <c r="I300" s="1735">
        <v>2000</v>
      </c>
      <c r="J300" s="1737"/>
      <c r="K300" s="1734" t="s">
        <v>5883</v>
      </c>
      <c r="L300" s="1735"/>
      <c r="M300" s="1748">
        <v>25725000</v>
      </c>
      <c r="N300" s="1770" t="s">
        <v>4678</v>
      </c>
      <c r="O300" s="1740"/>
      <c r="P300" s="1740"/>
    </row>
    <row r="301" spans="1:16" s="1741" customFormat="1" ht="42" customHeight="1" x14ac:dyDescent="0.2">
      <c r="A301" s="1769">
        <v>291</v>
      </c>
      <c r="B301" s="1747" t="s">
        <v>4638</v>
      </c>
      <c r="C301" s="1735" t="s">
        <v>4365</v>
      </c>
      <c r="D301" s="1737"/>
      <c r="E301" s="1733">
        <v>21000</v>
      </c>
      <c r="F301" s="1735">
        <v>2018</v>
      </c>
      <c r="G301" s="1734" t="s">
        <v>5044</v>
      </c>
      <c r="H301" s="1736" t="s">
        <v>902</v>
      </c>
      <c r="I301" s="1735">
        <v>2000</v>
      </c>
      <c r="J301" s="1737"/>
      <c r="K301" s="1734" t="s">
        <v>5883</v>
      </c>
      <c r="L301" s="1735"/>
      <c r="M301" s="1748">
        <v>51450000</v>
      </c>
      <c r="N301" s="1770" t="s">
        <v>4678</v>
      </c>
      <c r="O301" s="1740"/>
      <c r="P301" s="1740"/>
    </row>
    <row r="302" spans="1:16" s="1741" customFormat="1" ht="42" customHeight="1" x14ac:dyDescent="0.2">
      <c r="A302" s="1769">
        <v>292</v>
      </c>
      <c r="B302" s="1747" t="s">
        <v>4639</v>
      </c>
      <c r="C302" s="1735" t="s">
        <v>4365</v>
      </c>
      <c r="D302" s="1737"/>
      <c r="E302" s="1733">
        <v>24500</v>
      </c>
      <c r="F302" s="1735">
        <v>2018</v>
      </c>
      <c r="G302" s="1734" t="s">
        <v>5045</v>
      </c>
      <c r="H302" s="1736" t="s">
        <v>902</v>
      </c>
      <c r="I302" s="1735">
        <v>2000</v>
      </c>
      <c r="J302" s="1737"/>
      <c r="K302" s="1734" t="s">
        <v>5883</v>
      </c>
      <c r="L302" s="1735"/>
      <c r="M302" s="1748">
        <v>245000000</v>
      </c>
      <c r="N302" s="1770" t="s">
        <v>4678</v>
      </c>
      <c r="O302" s="1740"/>
      <c r="P302" s="1740"/>
    </row>
    <row r="303" spans="1:16" s="1741" customFormat="1" ht="42" customHeight="1" x14ac:dyDescent="0.2">
      <c r="A303" s="1769">
        <v>293</v>
      </c>
      <c r="B303" s="1747" t="s">
        <v>4640</v>
      </c>
      <c r="C303" s="1735" t="s">
        <v>4365</v>
      </c>
      <c r="D303" s="1737"/>
      <c r="E303" s="1733">
        <v>14000</v>
      </c>
      <c r="F303" s="1735">
        <v>2018</v>
      </c>
      <c r="G303" s="1734" t="s">
        <v>3786</v>
      </c>
      <c r="H303" s="1736" t="s">
        <v>902</v>
      </c>
      <c r="I303" s="1735">
        <v>2000</v>
      </c>
      <c r="J303" s="1737"/>
      <c r="K303" s="1734" t="s">
        <v>5883</v>
      </c>
      <c r="L303" s="1735"/>
      <c r="M303" s="1748">
        <v>140000000</v>
      </c>
      <c r="N303" s="1770" t="s">
        <v>4678</v>
      </c>
      <c r="O303" s="1740"/>
      <c r="P303" s="1740"/>
    </row>
    <row r="304" spans="1:16" s="1741" customFormat="1" ht="42" customHeight="1" x14ac:dyDescent="0.2">
      <c r="A304" s="1769">
        <v>294</v>
      </c>
      <c r="B304" s="1747" t="s">
        <v>4641</v>
      </c>
      <c r="C304" s="1735" t="s">
        <v>4365</v>
      </c>
      <c r="D304" s="1737"/>
      <c r="E304" s="1733">
        <v>133000</v>
      </c>
      <c r="F304" s="1735">
        <v>2018</v>
      </c>
      <c r="G304" s="1734" t="s">
        <v>3787</v>
      </c>
      <c r="H304" s="1736" t="s">
        <v>902</v>
      </c>
      <c r="I304" s="1735">
        <v>2000</v>
      </c>
      <c r="J304" s="1737"/>
      <c r="K304" s="1734" t="s">
        <v>5883</v>
      </c>
      <c r="L304" s="1735"/>
      <c r="M304" s="1748">
        <v>1155700000</v>
      </c>
      <c r="N304" s="1770" t="s">
        <v>4678</v>
      </c>
      <c r="O304" s="1740"/>
      <c r="P304" s="1740"/>
    </row>
    <row r="305" spans="1:16" s="1741" customFormat="1" ht="42" customHeight="1" x14ac:dyDescent="0.2">
      <c r="A305" s="1769">
        <v>295</v>
      </c>
      <c r="B305" s="1747" t="s">
        <v>4642</v>
      </c>
      <c r="C305" s="1735" t="s">
        <v>4365</v>
      </c>
      <c r="D305" s="1737"/>
      <c r="E305" s="1733">
        <v>28000</v>
      </c>
      <c r="F305" s="1735">
        <v>2018</v>
      </c>
      <c r="G305" s="1734" t="s">
        <v>3788</v>
      </c>
      <c r="H305" s="1736" t="s">
        <v>902</v>
      </c>
      <c r="I305" s="1735">
        <v>2000</v>
      </c>
      <c r="J305" s="1737"/>
      <c r="K305" s="1734" t="s">
        <v>5883</v>
      </c>
      <c r="L305" s="1735"/>
      <c r="M305" s="1748">
        <v>392000000</v>
      </c>
      <c r="N305" s="1770" t="s">
        <v>4678</v>
      </c>
      <c r="O305" s="1740"/>
      <c r="P305" s="1740"/>
    </row>
    <row r="306" spans="1:16" s="1741" customFormat="1" ht="42" customHeight="1" x14ac:dyDescent="0.2">
      <c r="A306" s="1769">
        <v>296</v>
      </c>
      <c r="B306" s="1747" t="s">
        <v>4643</v>
      </c>
      <c r="C306" s="1735" t="s">
        <v>4365</v>
      </c>
      <c r="D306" s="1737"/>
      <c r="E306" s="1733">
        <v>17500</v>
      </c>
      <c r="F306" s="1735">
        <v>2018</v>
      </c>
      <c r="G306" s="1734" t="s">
        <v>3789</v>
      </c>
      <c r="H306" s="1736" t="s">
        <v>902</v>
      </c>
      <c r="I306" s="1735">
        <v>2000</v>
      </c>
      <c r="J306" s="1737"/>
      <c r="K306" s="1734" t="s">
        <v>5883</v>
      </c>
      <c r="L306" s="1735"/>
      <c r="M306" s="1748">
        <v>472500000</v>
      </c>
      <c r="N306" s="1770" t="s">
        <v>4678</v>
      </c>
      <c r="O306" s="1740"/>
      <c r="P306" s="1740"/>
    </row>
    <row r="307" spans="1:16" s="1741" customFormat="1" ht="42" customHeight="1" x14ac:dyDescent="0.2">
      <c r="A307" s="1769">
        <v>297</v>
      </c>
      <c r="B307" s="1747" t="s">
        <v>4644</v>
      </c>
      <c r="C307" s="1735" t="s">
        <v>4365</v>
      </c>
      <c r="D307" s="1737"/>
      <c r="E307" s="1733">
        <v>14000</v>
      </c>
      <c r="F307" s="1735">
        <v>2018</v>
      </c>
      <c r="G307" s="1734" t="s">
        <v>3790</v>
      </c>
      <c r="H307" s="1736" t="s">
        <v>902</v>
      </c>
      <c r="I307" s="1735">
        <v>2000</v>
      </c>
      <c r="J307" s="1737"/>
      <c r="K307" s="1734" t="s">
        <v>5883</v>
      </c>
      <c r="L307" s="1735"/>
      <c r="M307" s="1748">
        <v>49000000</v>
      </c>
      <c r="N307" s="1770" t="s">
        <v>4678</v>
      </c>
      <c r="O307" s="1740"/>
      <c r="P307" s="1740"/>
    </row>
    <row r="308" spans="1:16" s="1741" customFormat="1" ht="42" customHeight="1" x14ac:dyDescent="0.2">
      <c r="A308" s="1769">
        <v>298</v>
      </c>
      <c r="B308" s="1747" t="s">
        <v>4645</v>
      </c>
      <c r="C308" s="1735" t="s">
        <v>4365</v>
      </c>
      <c r="D308" s="1737"/>
      <c r="E308" s="1733">
        <v>56000</v>
      </c>
      <c r="F308" s="1735">
        <v>2018</v>
      </c>
      <c r="G308" s="1734" t="s">
        <v>3791</v>
      </c>
      <c r="H308" s="1736" t="s">
        <v>902</v>
      </c>
      <c r="I308" s="1735">
        <v>2000</v>
      </c>
      <c r="J308" s="1737"/>
      <c r="K308" s="1734" t="s">
        <v>5883</v>
      </c>
      <c r="L308" s="1735"/>
      <c r="M308" s="1748">
        <v>560000000</v>
      </c>
      <c r="N308" s="1770" t="s">
        <v>4678</v>
      </c>
      <c r="O308" s="1740"/>
      <c r="P308" s="1740"/>
    </row>
    <row r="309" spans="1:16" s="1741" customFormat="1" ht="42" customHeight="1" x14ac:dyDescent="0.2">
      <c r="A309" s="1769">
        <v>299</v>
      </c>
      <c r="B309" s="1747" t="s">
        <v>4646</v>
      </c>
      <c r="C309" s="1735" t="s">
        <v>4365</v>
      </c>
      <c r="D309" s="1737"/>
      <c r="E309" s="1733">
        <v>21000</v>
      </c>
      <c r="F309" s="1735">
        <v>2018</v>
      </c>
      <c r="G309" s="1734" t="s">
        <v>3792</v>
      </c>
      <c r="H309" s="1736" t="s">
        <v>902</v>
      </c>
      <c r="I309" s="1735">
        <v>2000</v>
      </c>
      <c r="J309" s="1737"/>
      <c r="K309" s="1734" t="s">
        <v>5883</v>
      </c>
      <c r="L309" s="1735"/>
      <c r="M309" s="1748">
        <v>73500000</v>
      </c>
      <c r="N309" s="1770" t="s">
        <v>4678</v>
      </c>
      <c r="O309" s="1740"/>
      <c r="P309" s="1740"/>
    </row>
    <row r="310" spans="1:16" s="1741" customFormat="1" ht="42" customHeight="1" x14ac:dyDescent="0.2">
      <c r="A310" s="1769">
        <v>300</v>
      </c>
      <c r="B310" s="1747" t="s">
        <v>4647</v>
      </c>
      <c r="C310" s="1735" t="s">
        <v>4365</v>
      </c>
      <c r="D310" s="1737"/>
      <c r="E310" s="1733">
        <v>28000</v>
      </c>
      <c r="F310" s="1735">
        <v>2018</v>
      </c>
      <c r="G310" s="1734" t="s">
        <v>3793</v>
      </c>
      <c r="H310" s="1736" t="s">
        <v>902</v>
      </c>
      <c r="I310" s="1735">
        <v>2000</v>
      </c>
      <c r="J310" s="1737"/>
      <c r="K310" s="1734" t="s">
        <v>5883</v>
      </c>
      <c r="L310" s="1735"/>
      <c r="M310" s="1748">
        <v>98000000</v>
      </c>
      <c r="N310" s="1770" t="s">
        <v>4678</v>
      </c>
      <c r="O310" s="1740"/>
      <c r="P310" s="1740"/>
    </row>
    <row r="311" spans="1:16" s="1741" customFormat="1" ht="42" customHeight="1" x14ac:dyDescent="0.2">
      <c r="A311" s="1769">
        <v>301</v>
      </c>
      <c r="B311" s="1747" t="s">
        <v>4648</v>
      </c>
      <c r="C311" s="1735" t="s">
        <v>4365</v>
      </c>
      <c r="D311" s="1737"/>
      <c r="E311" s="1733">
        <v>46200</v>
      </c>
      <c r="F311" s="1735">
        <v>2018</v>
      </c>
      <c r="G311" s="1734" t="s">
        <v>3794</v>
      </c>
      <c r="H311" s="1736" t="s">
        <v>902</v>
      </c>
      <c r="I311" s="1735">
        <v>2000</v>
      </c>
      <c r="J311" s="1737"/>
      <c r="K311" s="1734" t="s">
        <v>5883</v>
      </c>
      <c r="L311" s="1735"/>
      <c r="M311" s="1748">
        <v>330330000</v>
      </c>
      <c r="N311" s="1770" t="s">
        <v>4678</v>
      </c>
      <c r="O311" s="1740"/>
      <c r="P311" s="1740"/>
    </row>
    <row r="312" spans="1:16" s="1741" customFormat="1" ht="42" customHeight="1" x14ac:dyDescent="0.2">
      <c r="A312" s="1769">
        <v>302</v>
      </c>
      <c r="B312" s="1747" t="s">
        <v>4649</v>
      </c>
      <c r="C312" s="1735" t="s">
        <v>4365</v>
      </c>
      <c r="D312" s="1737"/>
      <c r="E312" s="1733">
        <v>55300</v>
      </c>
      <c r="F312" s="1735">
        <v>2018</v>
      </c>
      <c r="G312" s="1734" t="s">
        <v>3795</v>
      </c>
      <c r="H312" s="1736" t="s">
        <v>902</v>
      </c>
      <c r="I312" s="1735">
        <v>2000</v>
      </c>
      <c r="J312" s="1737"/>
      <c r="K312" s="1734" t="s">
        <v>5883</v>
      </c>
      <c r="L312" s="1735"/>
      <c r="M312" s="1748">
        <v>774200000</v>
      </c>
      <c r="N312" s="1770" t="s">
        <v>4678</v>
      </c>
      <c r="O312" s="1740"/>
      <c r="P312" s="1740"/>
    </row>
    <row r="313" spans="1:16" s="1741" customFormat="1" ht="42" customHeight="1" x14ac:dyDescent="0.2">
      <c r="A313" s="1769">
        <v>303</v>
      </c>
      <c r="B313" s="1747" t="s">
        <v>4650</v>
      </c>
      <c r="C313" s="1735" t="s">
        <v>4365</v>
      </c>
      <c r="D313" s="1737"/>
      <c r="E313" s="1733">
        <v>21000</v>
      </c>
      <c r="F313" s="1735">
        <v>2018</v>
      </c>
      <c r="G313" s="1734" t="s">
        <v>3796</v>
      </c>
      <c r="H313" s="1736" t="s">
        <v>902</v>
      </c>
      <c r="I313" s="1735">
        <v>2000</v>
      </c>
      <c r="J313" s="1737"/>
      <c r="K313" s="1734" t="s">
        <v>5883</v>
      </c>
      <c r="L313" s="1735"/>
      <c r="M313" s="1748">
        <v>210000000</v>
      </c>
      <c r="N313" s="1770" t="s">
        <v>4678</v>
      </c>
      <c r="O313" s="1740"/>
      <c r="P313" s="1740"/>
    </row>
    <row r="314" spans="1:16" s="1741" customFormat="1" ht="42" customHeight="1" x14ac:dyDescent="0.2">
      <c r="A314" s="1769">
        <v>304</v>
      </c>
      <c r="B314" s="1747" t="s">
        <v>4651</v>
      </c>
      <c r="C314" s="1735" t="s">
        <v>4365</v>
      </c>
      <c r="D314" s="1737"/>
      <c r="E314" s="1733">
        <v>30100</v>
      </c>
      <c r="F314" s="1735">
        <v>2018</v>
      </c>
      <c r="G314" s="1734" t="s">
        <v>3797</v>
      </c>
      <c r="H314" s="1736" t="s">
        <v>902</v>
      </c>
      <c r="I314" s="1735">
        <v>2000</v>
      </c>
      <c r="J314" s="1737"/>
      <c r="K314" s="1734" t="s">
        <v>5883</v>
      </c>
      <c r="L314" s="1735"/>
      <c r="M314" s="1748">
        <v>150500000</v>
      </c>
      <c r="N314" s="1770" t="s">
        <v>4678</v>
      </c>
      <c r="O314" s="1740"/>
      <c r="P314" s="1740"/>
    </row>
    <row r="315" spans="1:16" s="1741" customFormat="1" ht="42" customHeight="1" x14ac:dyDescent="0.2">
      <c r="A315" s="1769">
        <v>305</v>
      </c>
      <c r="B315" s="1747" t="s">
        <v>4652</v>
      </c>
      <c r="C315" s="1735" t="s">
        <v>4365</v>
      </c>
      <c r="D315" s="1737"/>
      <c r="E315" s="1733">
        <v>24500</v>
      </c>
      <c r="F315" s="1735">
        <v>2018</v>
      </c>
      <c r="G315" s="1734" t="s">
        <v>3798</v>
      </c>
      <c r="H315" s="1736" t="s">
        <v>902</v>
      </c>
      <c r="I315" s="1735">
        <v>2000</v>
      </c>
      <c r="J315" s="1737"/>
      <c r="K315" s="1734" t="s">
        <v>5883</v>
      </c>
      <c r="L315" s="1735"/>
      <c r="M315" s="1748">
        <v>245000000</v>
      </c>
      <c r="N315" s="1770" t="s">
        <v>4678</v>
      </c>
      <c r="O315" s="1740"/>
      <c r="P315" s="1740"/>
    </row>
    <row r="316" spans="1:16" s="1741" customFormat="1" ht="42" customHeight="1" x14ac:dyDescent="0.2">
      <c r="A316" s="1769">
        <v>306</v>
      </c>
      <c r="B316" s="1747" t="s">
        <v>4653</v>
      </c>
      <c r="C316" s="1735" t="s">
        <v>4365</v>
      </c>
      <c r="D316" s="1737"/>
      <c r="E316" s="1733">
        <v>70000</v>
      </c>
      <c r="F316" s="1735">
        <v>2018</v>
      </c>
      <c r="G316" s="1734" t="s">
        <v>3799</v>
      </c>
      <c r="H316" s="1736" t="s">
        <v>902</v>
      </c>
      <c r="I316" s="1735">
        <v>2000</v>
      </c>
      <c r="J316" s="1737"/>
      <c r="K316" s="1734" t="s">
        <v>5883</v>
      </c>
      <c r="L316" s="1735"/>
      <c r="M316" s="1748">
        <v>245000000</v>
      </c>
      <c r="N316" s="1770" t="s">
        <v>4678</v>
      </c>
      <c r="O316" s="1740"/>
      <c r="P316" s="1740"/>
    </row>
    <row r="317" spans="1:16" s="1741" customFormat="1" ht="42" customHeight="1" x14ac:dyDescent="0.2">
      <c r="A317" s="1769">
        <v>307</v>
      </c>
      <c r="B317" s="1747" t="s">
        <v>4654</v>
      </c>
      <c r="C317" s="1735" t="s">
        <v>4365</v>
      </c>
      <c r="D317" s="1737"/>
      <c r="E317" s="1733">
        <v>2100</v>
      </c>
      <c r="F317" s="1735">
        <v>2018</v>
      </c>
      <c r="G317" s="1734" t="s">
        <v>2890</v>
      </c>
      <c r="H317" s="1736" t="s">
        <v>902</v>
      </c>
      <c r="I317" s="1735">
        <v>2000</v>
      </c>
      <c r="J317" s="1737"/>
      <c r="K317" s="1734" t="s">
        <v>5883</v>
      </c>
      <c r="L317" s="1735"/>
      <c r="M317" s="1748">
        <v>42000000</v>
      </c>
      <c r="N317" s="1770" t="s">
        <v>4678</v>
      </c>
      <c r="O317" s="1740"/>
      <c r="P317" s="1740"/>
    </row>
    <row r="318" spans="1:16" s="1741" customFormat="1" ht="42" customHeight="1" x14ac:dyDescent="0.2">
      <c r="A318" s="1769">
        <v>308</v>
      </c>
      <c r="B318" s="1747" t="s">
        <v>4655</v>
      </c>
      <c r="C318" s="1735" t="s">
        <v>4365</v>
      </c>
      <c r="D318" s="1737"/>
      <c r="E318" s="1733">
        <v>1400</v>
      </c>
      <c r="F318" s="1735">
        <v>2018</v>
      </c>
      <c r="G318" s="1734" t="s">
        <v>2890</v>
      </c>
      <c r="H318" s="1736" t="s">
        <v>902</v>
      </c>
      <c r="I318" s="1735">
        <v>2000</v>
      </c>
      <c r="J318" s="1737"/>
      <c r="K318" s="1734" t="s">
        <v>5883</v>
      </c>
      <c r="L318" s="1735"/>
      <c r="M318" s="1748">
        <v>28000000</v>
      </c>
      <c r="N318" s="1770" t="s">
        <v>4678</v>
      </c>
      <c r="O318" s="1740"/>
      <c r="P318" s="1740"/>
    </row>
    <row r="319" spans="1:16" s="1741" customFormat="1" ht="42" customHeight="1" x14ac:dyDescent="0.2">
      <c r="A319" s="1769">
        <v>309</v>
      </c>
      <c r="B319" s="1747" t="s">
        <v>4656</v>
      </c>
      <c r="C319" s="1735" t="s">
        <v>4365</v>
      </c>
      <c r="D319" s="1737"/>
      <c r="E319" s="1733">
        <v>700</v>
      </c>
      <c r="F319" s="1735">
        <v>2018</v>
      </c>
      <c r="G319" s="1734" t="s">
        <v>2890</v>
      </c>
      <c r="H319" s="1736" t="s">
        <v>902</v>
      </c>
      <c r="I319" s="1735">
        <v>2000</v>
      </c>
      <c r="J319" s="1737"/>
      <c r="K319" s="1734" t="s">
        <v>5883</v>
      </c>
      <c r="L319" s="1735"/>
      <c r="M319" s="1748">
        <v>14000000</v>
      </c>
      <c r="N319" s="1770" t="s">
        <v>4678</v>
      </c>
      <c r="O319" s="1740"/>
      <c r="P319" s="1740"/>
    </row>
    <row r="320" spans="1:16" s="1741" customFormat="1" ht="42" customHeight="1" x14ac:dyDescent="0.2">
      <c r="A320" s="1769">
        <v>310</v>
      </c>
      <c r="B320" s="1747" t="s">
        <v>4657</v>
      </c>
      <c r="C320" s="1735" t="s">
        <v>4365</v>
      </c>
      <c r="D320" s="1737"/>
      <c r="E320" s="1733">
        <v>630</v>
      </c>
      <c r="F320" s="1735">
        <v>2018</v>
      </c>
      <c r="G320" s="1734" t="s">
        <v>2890</v>
      </c>
      <c r="H320" s="1736" t="s">
        <v>902</v>
      </c>
      <c r="I320" s="1735">
        <v>2000</v>
      </c>
      <c r="J320" s="1737"/>
      <c r="K320" s="1734" t="s">
        <v>5883</v>
      </c>
      <c r="L320" s="1735"/>
      <c r="M320" s="1748">
        <v>12600000</v>
      </c>
      <c r="N320" s="1770" t="s">
        <v>4678</v>
      </c>
      <c r="O320" s="1740"/>
      <c r="P320" s="1740"/>
    </row>
    <row r="321" spans="1:16" s="1741" customFormat="1" ht="42" customHeight="1" x14ac:dyDescent="0.2">
      <c r="A321" s="1769">
        <v>311</v>
      </c>
      <c r="B321" s="1747" t="s">
        <v>4658</v>
      </c>
      <c r="C321" s="1735" t="s">
        <v>4365</v>
      </c>
      <c r="D321" s="1737"/>
      <c r="E321" s="1733">
        <v>14000</v>
      </c>
      <c r="F321" s="1735">
        <v>2018</v>
      </c>
      <c r="G321" s="1734" t="s">
        <v>2890</v>
      </c>
      <c r="H321" s="1736" t="s">
        <v>902</v>
      </c>
      <c r="I321" s="1735">
        <v>2000</v>
      </c>
      <c r="J321" s="1737"/>
      <c r="K321" s="1734" t="s">
        <v>5883</v>
      </c>
      <c r="L321" s="1735"/>
      <c r="M321" s="1748">
        <v>280000000</v>
      </c>
      <c r="N321" s="1770" t="s">
        <v>4678</v>
      </c>
      <c r="O321" s="1740"/>
      <c r="P321" s="1740"/>
    </row>
    <row r="322" spans="1:16" s="1741" customFormat="1" ht="42" customHeight="1" x14ac:dyDescent="0.2">
      <c r="A322" s="1769">
        <v>312</v>
      </c>
      <c r="B322" s="1747" t="s">
        <v>4659</v>
      </c>
      <c r="C322" s="1735" t="s">
        <v>4365</v>
      </c>
      <c r="D322" s="1737"/>
      <c r="E322" s="1733">
        <v>10500</v>
      </c>
      <c r="F322" s="1735">
        <v>2018</v>
      </c>
      <c r="G322" s="1734" t="s">
        <v>2890</v>
      </c>
      <c r="H322" s="1736" t="s">
        <v>902</v>
      </c>
      <c r="I322" s="1735">
        <v>2000</v>
      </c>
      <c r="J322" s="1737"/>
      <c r="K322" s="1734" t="s">
        <v>5883</v>
      </c>
      <c r="L322" s="1735"/>
      <c r="M322" s="1748">
        <v>210000000</v>
      </c>
      <c r="N322" s="1770" t="s">
        <v>4678</v>
      </c>
      <c r="O322" s="1740"/>
      <c r="P322" s="1740"/>
    </row>
    <row r="323" spans="1:16" s="1741" customFormat="1" ht="42" customHeight="1" x14ac:dyDescent="0.2">
      <c r="A323" s="1769">
        <v>313</v>
      </c>
      <c r="B323" s="1747" t="s">
        <v>4660</v>
      </c>
      <c r="C323" s="1735" t="s">
        <v>4365</v>
      </c>
      <c r="D323" s="1737"/>
      <c r="E323" s="1733">
        <v>42000</v>
      </c>
      <c r="F323" s="1735">
        <v>2018</v>
      </c>
      <c r="G323" s="1734" t="s">
        <v>3806</v>
      </c>
      <c r="H323" s="1736" t="s">
        <v>902</v>
      </c>
      <c r="I323" s="1735">
        <v>2000</v>
      </c>
      <c r="J323" s="1737"/>
      <c r="K323" s="1734" t="s">
        <v>5883</v>
      </c>
      <c r="L323" s="1735"/>
      <c r="M323" s="1748">
        <v>147000000</v>
      </c>
      <c r="N323" s="1770" t="s">
        <v>4678</v>
      </c>
      <c r="O323" s="1740"/>
      <c r="P323" s="1740"/>
    </row>
    <row r="324" spans="1:16" s="1741" customFormat="1" ht="42" customHeight="1" x14ac:dyDescent="0.2">
      <c r="A324" s="1769">
        <v>314</v>
      </c>
      <c r="B324" s="1747" t="s">
        <v>4661</v>
      </c>
      <c r="C324" s="1735" t="s">
        <v>4365</v>
      </c>
      <c r="D324" s="1737"/>
      <c r="E324" s="1733">
        <v>24500</v>
      </c>
      <c r="F324" s="1735">
        <v>2018</v>
      </c>
      <c r="G324" s="1734" t="s">
        <v>3807</v>
      </c>
      <c r="H324" s="1736" t="s">
        <v>902</v>
      </c>
      <c r="I324" s="1735">
        <v>2000</v>
      </c>
      <c r="J324" s="1737"/>
      <c r="K324" s="1734" t="s">
        <v>5883</v>
      </c>
      <c r="L324" s="1735"/>
      <c r="M324" s="1748">
        <v>245000000</v>
      </c>
      <c r="N324" s="1770" t="s">
        <v>4678</v>
      </c>
      <c r="O324" s="1740"/>
      <c r="P324" s="1740"/>
    </row>
    <row r="325" spans="1:16" s="1741" customFormat="1" ht="42" customHeight="1" x14ac:dyDescent="0.2">
      <c r="A325" s="1769">
        <v>315</v>
      </c>
      <c r="B325" s="1747" t="s">
        <v>4662</v>
      </c>
      <c r="C325" s="1735" t="s">
        <v>4365</v>
      </c>
      <c r="D325" s="1737"/>
      <c r="E325" s="1733">
        <v>31500</v>
      </c>
      <c r="F325" s="1735">
        <v>2018</v>
      </c>
      <c r="G325" s="1734" t="s">
        <v>3808</v>
      </c>
      <c r="H325" s="1736" t="s">
        <v>902</v>
      </c>
      <c r="I325" s="1735">
        <v>2000</v>
      </c>
      <c r="J325" s="1737"/>
      <c r="K325" s="1734" t="s">
        <v>5883</v>
      </c>
      <c r="L325" s="1735"/>
      <c r="M325" s="1748">
        <v>315000000</v>
      </c>
      <c r="N325" s="1770" t="s">
        <v>4678</v>
      </c>
      <c r="O325" s="1740"/>
      <c r="P325" s="1740"/>
    </row>
    <row r="326" spans="1:16" s="1741" customFormat="1" ht="42" customHeight="1" x14ac:dyDescent="0.2">
      <c r="A326" s="1769">
        <v>316</v>
      </c>
      <c r="B326" s="1747" t="s">
        <v>4663</v>
      </c>
      <c r="C326" s="1735" t="s">
        <v>4365</v>
      </c>
      <c r="D326" s="1737"/>
      <c r="E326" s="1733">
        <v>23100</v>
      </c>
      <c r="F326" s="1735">
        <v>2018</v>
      </c>
      <c r="G326" s="1734" t="s">
        <v>3298</v>
      </c>
      <c r="H326" s="1736" t="s">
        <v>902</v>
      </c>
      <c r="I326" s="1735">
        <v>2000</v>
      </c>
      <c r="J326" s="1737"/>
      <c r="K326" s="1734" t="s">
        <v>5883</v>
      </c>
      <c r="L326" s="1735"/>
      <c r="M326" s="1748">
        <v>115500000</v>
      </c>
      <c r="N326" s="1770" t="s">
        <v>4678</v>
      </c>
      <c r="O326" s="1740"/>
      <c r="P326" s="1740"/>
    </row>
    <row r="327" spans="1:16" s="1741" customFormat="1" ht="42" customHeight="1" x14ac:dyDescent="0.2">
      <c r="A327" s="1769">
        <v>317</v>
      </c>
      <c r="B327" s="1747" t="s">
        <v>4664</v>
      </c>
      <c r="C327" s="1735" t="s">
        <v>4365</v>
      </c>
      <c r="D327" s="1737"/>
      <c r="E327" s="1733">
        <v>56000</v>
      </c>
      <c r="F327" s="1735">
        <v>2018</v>
      </c>
      <c r="G327" s="1734" t="s">
        <v>3809</v>
      </c>
      <c r="H327" s="1736" t="s">
        <v>902</v>
      </c>
      <c r="I327" s="1735">
        <v>2000</v>
      </c>
      <c r="J327" s="1737"/>
      <c r="K327" s="1734" t="s">
        <v>5883</v>
      </c>
      <c r="L327" s="1735"/>
      <c r="M327" s="1748">
        <v>67200000</v>
      </c>
      <c r="N327" s="1770" t="s">
        <v>4678</v>
      </c>
      <c r="O327" s="1740"/>
      <c r="P327" s="1740"/>
    </row>
    <row r="328" spans="1:16" s="1741" customFormat="1" ht="42" customHeight="1" x14ac:dyDescent="0.2">
      <c r="A328" s="1769">
        <v>318</v>
      </c>
      <c r="B328" s="1747" t="s">
        <v>4665</v>
      </c>
      <c r="C328" s="1735" t="s">
        <v>4365</v>
      </c>
      <c r="D328" s="1737"/>
      <c r="E328" s="1733">
        <v>12600</v>
      </c>
      <c r="F328" s="1735">
        <v>2018</v>
      </c>
      <c r="G328" s="1734" t="s">
        <v>700</v>
      </c>
      <c r="H328" s="1736" t="s">
        <v>902</v>
      </c>
      <c r="I328" s="1735">
        <v>2000</v>
      </c>
      <c r="J328" s="1737"/>
      <c r="K328" s="1734" t="s">
        <v>5883</v>
      </c>
      <c r="L328" s="1735"/>
      <c r="M328" s="1748">
        <v>252000000</v>
      </c>
      <c r="N328" s="1770" t="s">
        <v>4678</v>
      </c>
      <c r="O328" s="1740"/>
      <c r="P328" s="1740"/>
    </row>
    <row r="329" spans="1:16" s="1741" customFormat="1" ht="42" customHeight="1" x14ac:dyDescent="0.2">
      <c r="A329" s="1769">
        <v>319</v>
      </c>
      <c r="B329" s="1747" t="s">
        <v>4666</v>
      </c>
      <c r="C329" s="1735" t="s">
        <v>4365</v>
      </c>
      <c r="D329" s="1737"/>
      <c r="E329" s="1733">
        <v>9100</v>
      </c>
      <c r="F329" s="1735">
        <v>2018</v>
      </c>
      <c r="G329" s="1734" t="s">
        <v>629</v>
      </c>
      <c r="H329" s="1736" t="s">
        <v>902</v>
      </c>
      <c r="I329" s="1735">
        <v>2000</v>
      </c>
      <c r="J329" s="1737"/>
      <c r="K329" s="1734" t="s">
        <v>5883</v>
      </c>
      <c r="L329" s="1735"/>
      <c r="M329" s="1748">
        <v>45500000</v>
      </c>
      <c r="N329" s="1770" t="s">
        <v>4678</v>
      </c>
      <c r="O329" s="1740"/>
      <c r="P329" s="1740"/>
    </row>
    <row r="330" spans="1:16" s="1741" customFormat="1" ht="42" customHeight="1" x14ac:dyDescent="0.2">
      <c r="A330" s="1769">
        <v>320</v>
      </c>
      <c r="B330" s="1747" t="s">
        <v>4667</v>
      </c>
      <c r="C330" s="1735" t="s">
        <v>4365</v>
      </c>
      <c r="D330" s="1737"/>
      <c r="E330" s="1733">
        <v>138005</v>
      </c>
      <c r="F330" s="1735">
        <v>2018</v>
      </c>
      <c r="G330" s="1734" t="s">
        <v>3810</v>
      </c>
      <c r="H330" s="1736" t="s">
        <v>902</v>
      </c>
      <c r="I330" s="1735">
        <v>2000</v>
      </c>
      <c r="J330" s="1737"/>
      <c r="K330" s="1734" t="s">
        <v>5883</v>
      </c>
      <c r="L330" s="1735"/>
      <c r="M330" s="1748">
        <v>986735750</v>
      </c>
      <c r="N330" s="1770" t="s">
        <v>4678</v>
      </c>
      <c r="O330" s="1740"/>
      <c r="P330" s="1740"/>
    </row>
    <row r="331" spans="1:16" s="1741" customFormat="1" ht="42" customHeight="1" x14ac:dyDescent="0.2">
      <c r="A331" s="1769">
        <v>321</v>
      </c>
      <c r="B331" s="1747" t="s">
        <v>4668</v>
      </c>
      <c r="C331" s="1735" t="s">
        <v>4365</v>
      </c>
      <c r="D331" s="1737"/>
      <c r="E331" s="1733">
        <v>21000</v>
      </c>
      <c r="F331" s="1735">
        <v>2018</v>
      </c>
      <c r="G331" s="1734" t="s">
        <v>3811</v>
      </c>
      <c r="H331" s="1736" t="s">
        <v>902</v>
      </c>
      <c r="I331" s="1735">
        <v>2000</v>
      </c>
      <c r="J331" s="1737"/>
      <c r="K331" s="1734" t="s">
        <v>5883</v>
      </c>
      <c r="L331" s="1735"/>
      <c r="M331" s="1748">
        <v>150150000</v>
      </c>
      <c r="N331" s="1770" t="s">
        <v>4678</v>
      </c>
      <c r="O331" s="1740"/>
      <c r="P331" s="1740"/>
    </row>
    <row r="332" spans="1:16" s="1741" customFormat="1" ht="42" customHeight="1" x14ac:dyDescent="0.2">
      <c r="A332" s="1769">
        <v>322</v>
      </c>
      <c r="B332" s="1747" t="s">
        <v>4669</v>
      </c>
      <c r="C332" s="1735" t="s">
        <v>4365</v>
      </c>
      <c r="D332" s="1737"/>
      <c r="E332" s="1733">
        <v>28000</v>
      </c>
      <c r="F332" s="1735">
        <v>2018</v>
      </c>
      <c r="G332" s="1734" t="s">
        <v>702</v>
      </c>
      <c r="H332" s="1736" t="s">
        <v>902</v>
      </c>
      <c r="I332" s="1735">
        <v>2000</v>
      </c>
      <c r="J332" s="1737"/>
      <c r="K332" s="1734" t="s">
        <v>5883</v>
      </c>
      <c r="L332" s="1735"/>
      <c r="M332" s="1748">
        <v>200200000</v>
      </c>
      <c r="N332" s="1770" t="s">
        <v>4678</v>
      </c>
      <c r="O332" s="1740"/>
      <c r="P332" s="1740"/>
    </row>
    <row r="333" spans="1:16" s="1741" customFormat="1" ht="42" customHeight="1" x14ac:dyDescent="0.2">
      <c r="A333" s="1769">
        <v>323</v>
      </c>
      <c r="B333" s="1747" t="s">
        <v>4670</v>
      </c>
      <c r="C333" s="1735" t="s">
        <v>4365</v>
      </c>
      <c r="D333" s="1737"/>
      <c r="E333" s="1733">
        <v>8960</v>
      </c>
      <c r="F333" s="1735">
        <v>2018</v>
      </c>
      <c r="G333" s="1734" t="s">
        <v>5046</v>
      </c>
      <c r="H333" s="1736" t="s">
        <v>902</v>
      </c>
      <c r="I333" s="1735">
        <v>2000</v>
      </c>
      <c r="J333" s="1737"/>
      <c r="K333" s="1734" t="s">
        <v>5883</v>
      </c>
      <c r="L333" s="1735"/>
      <c r="M333" s="1748">
        <v>64064000</v>
      </c>
      <c r="N333" s="1770" t="s">
        <v>4678</v>
      </c>
      <c r="O333" s="1740"/>
      <c r="P333" s="1740"/>
    </row>
    <row r="334" spans="1:16" s="1741" customFormat="1" ht="42" customHeight="1" x14ac:dyDescent="0.2">
      <c r="A334" s="1769">
        <v>324</v>
      </c>
      <c r="B334" s="1747" t="s">
        <v>4671</v>
      </c>
      <c r="C334" s="1735" t="s">
        <v>4365</v>
      </c>
      <c r="D334" s="1737"/>
      <c r="E334" s="1733">
        <v>14000</v>
      </c>
      <c r="F334" s="1735">
        <v>2018</v>
      </c>
      <c r="G334" s="1734" t="s">
        <v>3813</v>
      </c>
      <c r="H334" s="1736" t="s">
        <v>902</v>
      </c>
      <c r="I334" s="1735">
        <v>2000</v>
      </c>
      <c r="J334" s="1737"/>
      <c r="K334" s="1734" t="s">
        <v>5883</v>
      </c>
      <c r="L334" s="1735"/>
      <c r="M334" s="1748">
        <v>70000000</v>
      </c>
      <c r="N334" s="1770" t="s">
        <v>4678</v>
      </c>
      <c r="O334" s="1740"/>
      <c r="P334" s="1740"/>
    </row>
    <row r="335" spans="1:16" s="1741" customFormat="1" ht="42" customHeight="1" x14ac:dyDescent="0.2">
      <c r="A335" s="1769">
        <v>325</v>
      </c>
      <c r="B335" s="1747" t="s">
        <v>4672</v>
      </c>
      <c r="C335" s="1735" t="s">
        <v>4365</v>
      </c>
      <c r="D335" s="1737"/>
      <c r="E335" s="1733">
        <v>12600</v>
      </c>
      <c r="F335" s="1735">
        <v>2018</v>
      </c>
      <c r="G335" s="1734" t="s">
        <v>701</v>
      </c>
      <c r="H335" s="1736" t="s">
        <v>902</v>
      </c>
      <c r="I335" s="1735">
        <v>2000</v>
      </c>
      <c r="J335" s="1737"/>
      <c r="K335" s="1734" t="s">
        <v>5883</v>
      </c>
      <c r="L335" s="1735"/>
      <c r="M335" s="1748">
        <v>63000000</v>
      </c>
      <c r="N335" s="1770" t="s">
        <v>4678</v>
      </c>
      <c r="O335" s="1740"/>
      <c r="P335" s="1740"/>
    </row>
    <row r="336" spans="1:16" s="1741" customFormat="1" ht="42" customHeight="1" x14ac:dyDescent="0.2">
      <c r="A336" s="1769">
        <v>326</v>
      </c>
      <c r="B336" s="1747" t="s">
        <v>4673</v>
      </c>
      <c r="C336" s="1735" t="s">
        <v>4365</v>
      </c>
      <c r="D336" s="1737"/>
      <c r="E336" s="1733">
        <v>25900</v>
      </c>
      <c r="F336" s="1735">
        <v>2018</v>
      </c>
      <c r="G336" s="1734" t="s">
        <v>3814</v>
      </c>
      <c r="H336" s="1736" t="s">
        <v>902</v>
      </c>
      <c r="I336" s="1735">
        <v>2000</v>
      </c>
      <c r="J336" s="1737"/>
      <c r="K336" s="1734" t="s">
        <v>5883</v>
      </c>
      <c r="L336" s="1735"/>
      <c r="M336" s="1748">
        <v>173145000</v>
      </c>
      <c r="N336" s="1770" t="s">
        <v>4678</v>
      </c>
      <c r="O336" s="1740"/>
      <c r="P336" s="1740"/>
    </row>
    <row r="337" spans="1:16" s="1741" customFormat="1" ht="42" customHeight="1" x14ac:dyDescent="0.2">
      <c r="A337" s="1769">
        <v>327</v>
      </c>
      <c r="B337" s="1747" t="s">
        <v>4674</v>
      </c>
      <c r="C337" s="1735" t="s">
        <v>4365</v>
      </c>
      <c r="D337" s="1737"/>
      <c r="E337" s="1733">
        <v>16800</v>
      </c>
      <c r="F337" s="1735">
        <v>2018</v>
      </c>
      <c r="G337" s="1734" t="s">
        <v>5047</v>
      </c>
      <c r="H337" s="1736" t="s">
        <v>902</v>
      </c>
      <c r="I337" s="1735">
        <v>2000</v>
      </c>
      <c r="J337" s="1737"/>
      <c r="K337" s="1734" t="s">
        <v>5883</v>
      </c>
      <c r="L337" s="1735"/>
      <c r="M337" s="1748">
        <v>84000000</v>
      </c>
      <c r="N337" s="1770" t="s">
        <v>4678</v>
      </c>
      <c r="O337" s="1740"/>
      <c r="P337" s="1740"/>
    </row>
    <row r="338" spans="1:16" s="1741" customFormat="1" ht="42" customHeight="1" x14ac:dyDescent="0.2">
      <c r="A338" s="1769">
        <v>328</v>
      </c>
      <c r="B338" s="1747" t="s">
        <v>4675</v>
      </c>
      <c r="C338" s="1735" t="s">
        <v>4365</v>
      </c>
      <c r="D338" s="1737"/>
      <c r="E338" s="1733">
        <v>23800</v>
      </c>
      <c r="F338" s="1735">
        <v>2018</v>
      </c>
      <c r="G338" s="1734" t="s">
        <v>5048</v>
      </c>
      <c r="H338" s="1736" t="s">
        <v>902</v>
      </c>
      <c r="I338" s="1735">
        <v>2000</v>
      </c>
      <c r="J338" s="1737"/>
      <c r="K338" s="1734" t="s">
        <v>5883</v>
      </c>
      <c r="L338" s="1735"/>
      <c r="M338" s="1748">
        <v>58310000</v>
      </c>
      <c r="N338" s="1770" t="s">
        <v>4678</v>
      </c>
      <c r="O338" s="1740"/>
      <c r="P338" s="1740"/>
    </row>
    <row r="339" spans="1:16" s="1741" customFormat="1" ht="42" customHeight="1" x14ac:dyDescent="0.2">
      <c r="A339" s="1769">
        <v>329</v>
      </c>
      <c r="B339" s="1747" t="s">
        <v>4676</v>
      </c>
      <c r="C339" s="1735" t="s">
        <v>4365</v>
      </c>
      <c r="D339" s="1737"/>
      <c r="E339" s="1733">
        <v>24500</v>
      </c>
      <c r="F339" s="1735">
        <v>2018</v>
      </c>
      <c r="G339" s="1734" t="s">
        <v>5049</v>
      </c>
      <c r="H339" s="1736" t="s">
        <v>902</v>
      </c>
      <c r="I339" s="1735">
        <v>2000</v>
      </c>
      <c r="J339" s="1737"/>
      <c r="K339" s="1734" t="s">
        <v>5883</v>
      </c>
      <c r="L339" s="1735"/>
      <c r="M339" s="1748">
        <v>175175000</v>
      </c>
      <c r="N339" s="1770" t="s">
        <v>4678</v>
      </c>
      <c r="O339" s="1740"/>
      <c r="P339" s="1740"/>
    </row>
    <row r="340" spans="1:16" s="1741" customFormat="1" ht="42" customHeight="1" x14ac:dyDescent="0.2">
      <c r="A340" s="1769">
        <v>330</v>
      </c>
      <c r="B340" s="1747" t="s">
        <v>4677</v>
      </c>
      <c r="C340" s="1735" t="s">
        <v>4365</v>
      </c>
      <c r="D340" s="1737"/>
      <c r="E340" s="1733">
        <v>455000</v>
      </c>
      <c r="F340" s="1735">
        <v>2018</v>
      </c>
      <c r="G340" s="1734" t="s">
        <v>5050</v>
      </c>
      <c r="H340" s="1736" t="s">
        <v>902</v>
      </c>
      <c r="I340" s="1735">
        <v>2000</v>
      </c>
      <c r="J340" s="1737"/>
      <c r="K340" s="1734" t="s">
        <v>5883</v>
      </c>
      <c r="L340" s="1735"/>
      <c r="M340" s="1748">
        <v>773500000</v>
      </c>
      <c r="N340" s="1770" t="s">
        <v>4678</v>
      </c>
      <c r="O340" s="1740"/>
      <c r="P340" s="1740"/>
    </row>
    <row r="341" spans="1:16" s="1741" customFormat="1" ht="42" customHeight="1" x14ac:dyDescent="0.2">
      <c r="A341" s="1769">
        <v>331</v>
      </c>
      <c r="B341" s="1747" t="s">
        <v>4967</v>
      </c>
      <c r="C341" s="1735" t="s">
        <v>4369</v>
      </c>
      <c r="D341" s="1737"/>
      <c r="E341" s="1751">
        <v>10095.896000000001</v>
      </c>
      <c r="F341" s="1735" t="s">
        <v>4906</v>
      </c>
      <c r="G341" s="1734" t="s">
        <v>4947</v>
      </c>
      <c r="H341" s="1736"/>
      <c r="I341" s="1735"/>
      <c r="J341" s="1737"/>
      <c r="K341" s="1734" t="s">
        <v>5884</v>
      </c>
      <c r="L341" s="1735"/>
      <c r="M341" s="1748">
        <v>6663291.3600000013</v>
      </c>
      <c r="N341" s="1770" t="s">
        <v>4678</v>
      </c>
      <c r="O341" s="1740"/>
      <c r="P341" s="1740"/>
    </row>
    <row r="342" spans="1:16" s="1741" customFormat="1" ht="42" customHeight="1" x14ac:dyDescent="0.2">
      <c r="A342" s="1769">
        <v>332</v>
      </c>
      <c r="B342" s="1747" t="s">
        <v>4968</v>
      </c>
      <c r="C342" s="1735" t="s">
        <v>4369</v>
      </c>
      <c r="D342" s="1737"/>
      <c r="E342" s="1751">
        <v>23364.148000000001</v>
      </c>
      <c r="F342" s="1735" t="s">
        <v>4906</v>
      </c>
      <c r="G342" s="1734" t="s">
        <v>4929</v>
      </c>
      <c r="H342" s="1736"/>
      <c r="I342" s="1735"/>
      <c r="J342" s="1737"/>
      <c r="K342" s="1734" t="s">
        <v>5884</v>
      </c>
      <c r="L342" s="1735"/>
      <c r="M342" s="1748">
        <v>25156977.600000001</v>
      </c>
      <c r="N342" s="1770" t="s">
        <v>4678</v>
      </c>
      <c r="O342" s="1740"/>
      <c r="P342" s="1740"/>
    </row>
    <row r="343" spans="1:16" s="1741" customFormat="1" ht="42" customHeight="1" x14ac:dyDescent="0.2">
      <c r="A343" s="1769">
        <v>333</v>
      </c>
      <c r="B343" s="1747" t="s">
        <v>4969</v>
      </c>
      <c r="C343" s="1735" t="s">
        <v>4369</v>
      </c>
      <c r="D343" s="1737"/>
      <c r="E343" s="1751">
        <v>23809.8</v>
      </c>
      <c r="F343" s="1735" t="s">
        <v>4907</v>
      </c>
      <c r="G343" s="1734" t="s">
        <v>4948</v>
      </c>
      <c r="H343" s="1736"/>
      <c r="I343" s="1735"/>
      <c r="J343" s="1737"/>
      <c r="K343" s="1734" t="s">
        <v>5884</v>
      </c>
      <c r="L343" s="1735"/>
      <c r="M343" s="1748">
        <v>15714468</v>
      </c>
      <c r="N343" s="1770" t="s">
        <v>4678</v>
      </c>
      <c r="O343" s="1740"/>
      <c r="P343" s="1740"/>
    </row>
    <row r="344" spans="1:16" s="1741" customFormat="1" ht="42" customHeight="1" x14ac:dyDescent="0.2">
      <c r="A344" s="1769">
        <v>334</v>
      </c>
      <c r="B344" s="1747" t="s">
        <v>4970</v>
      </c>
      <c r="C344" s="1735" t="s">
        <v>4369</v>
      </c>
      <c r="D344" s="1737"/>
      <c r="E344" s="1751">
        <v>40499.4</v>
      </c>
      <c r="F344" s="1735" t="s">
        <v>4906</v>
      </c>
      <c r="G344" s="1734" t="s">
        <v>4915</v>
      </c>
      <c r="H344" s="1736"/>
      <c r="I344" s="1735"/>
      <c r="J344" s="1737"/>
      <c r="K344" s="1734" t="s">
        <v>5884</v>
      </c>
      <c r="L344" s="1735"/>
      <c r="M344" s="1748">
        <v>68848980</v>
      </c>
      <c r="N344" s="1770" t="s">
        <v>4678</v>
      </c>
      <c r="O344" s="1740"/>
      <c r="P344" s="1740"/>
    </row>
    <row r="345" spans="1:16" s="1741" customFormat="1" ht="42" customHeight="1" x14ac:dyDescent="0.2">
      <c r="A345" s="1769">
        <v>335</v>
      </c>
      <c r="B345" s="1747" t="s">
        <v>4971</v>
      </c>
      <c r="C345" s="1735" t="s">
        <v>4369</v>
      </c>
      <c r="D345" s="1737"/>
      <c r="E345" s="1751">
        <v>4022.0320000000002</v>
      </c>
      <c r="F345" s="1735" t="s">
        <v>4908</v>
      </c>
      <c r="G345" s="1734" t="s">
        <v>3482</v>
      </c>
      <c r="H345" s="1736"/>
      <c r="I345" s="1735"/>
      <c r="J345" s="1737"/>
      <c r="K345" s="1734" t="s">
        <v>5884</v>
      </c>
      <c r="L345" s="1735"/>
      <c r="M345" s="1748">
        <v>56308448</v>
      </c>
      <c r="N345" s="1770" t="s">
        <v>4678</v>
      </c>
      <c r="O345" s="1740"/>
      <c r="P345" s="1740"/>
    </row>
    <row r="346" spans="1:16" s="1741" customFormat="1" ht="42" customHeight="1" x14ac:dyDescent="0.2">
      <c r="A346" s="1769">
        <v>336</v>
      </c>
      <c r="B346" s="1747" t="s">
        <v>4972</v>
      </c>
      <c r="C346" s="1735" t="s">
        <v>4369</v>
      </c>
      <c r="D346" s="1737"/>
      <c r="E346" s="1751">
        <v>8321.6560000000009</v>
      </c>
      <c r="F346" s="1735" t="s">
        <v>4906</v>
      </c>
      <c r="G346" s="1734" t="s">
        <v>4949</v>
      </c>
      <c r="H346" s="1736"/>
      <c r="I346" s="1735"/>
      <c r="J346" s="1737"/>
      <c r="K346" s="1734" t="s">
        <v>5884</v>
      </c>
      <c r="L346" s="1735"/>
      <c r="M346" s="1748">
        <v>116503184.00000001</v>
      </c>
      <c r="N346" s="1770" t="s">
        <v>4678</v>
      </c>
      <c r="O346" s="1740"/>
      <c r="P346" s="1740"/>
    </row>
    <row r="347" spans="1:16" s="1741" customFormat="1" ht="42" customHeight="1" x14ac:dyDescent="0.2">
      <c r="A347" s="1769">
        <v>337</v>
      </c>
      <c r="B347" s="1747" t="s">
        <v>4973</v>
      </c>
      <c r="C347" s="1735" t="s">
        <v>4369</v>
      </c>
      <c r="D347" s="1737"/>
      <c r="E347" s="1751">
        <v>108895.128</v>
      </c>
      <c r="F347" s="1735" t="s">
        <v>4909</v>
      </c>
      <c r="G347" s="1734" t="s">
        <v>4950</v>
      </c>
      <c r="H347" s="1736"/>
      <c r="I347" s="1735"/>
      <c r="J347" s="1737"/>
      <c r="K347" s="1734" t="s">
        <v>5884</v>
      </c>
      <c r="L347" s="1735"/>
      <c r="M347" s="1748">
        <v>1524531792</v>
      </c>
      <c r="N347" s="1770" t="s">
        <v>4678</v>
      </c>
      <c r="O347" s="1740"/>
      <c r="P347" s="1740"/>
    </row>
    <row r="348" spans="1:16" s="1741" customFormat="1" ht="42" customHeight="1" x14ac:dyDescent="0.2">
      <c r="A348" s="1769">
        <v>338</v>
      </c>
      <c r="B348" s="1747" t="s">
        <v>4974</v>
      </c>
      <c r="C348" s="1735" t="s">
        <v>4369</v>
      </c>
      <c r="D348" s="1737"/>
      <c r="E348" s="1751">
        <v>69213.727999999988</v>
      </c>
      <c r="F348" s="1735">
        <v>2001</v>
      </c>
      <c r="G348" s="1734" t="s">
        <v>4916</v>
      </c>
      <c r="H348" s="1736"/>
      <c r="I348" s="1735"/>
      <c r="J348" s="1737"/>
      <c r="K348" s="1734" t="s">
        <v>5884</v>
      </c>
      <c r="L348" s="1735"/>
      <c r="M348" s="1748">
        <v>692137280</v>
      </c>
      <c r="N348" s="1770" t="s">
        <v>4678</v>
      </c>
      <c r="O348" s="1740"/>
      <c r="P348" s="1740"/>
    </row>
    <row r="349" spans="1:16" s="1741" customFormat="1" ht="42" customHeight="1" x14ac:dyDescent="0.2">
      <c r="A349" s="1769">
        <v>339</v>
      </c>
      <c r="B349" s="1747" t="s">
        <v>4975</v>
      </c>
      <c r="C349" s="1735" t="s">
        <v>4369</v>
      </c>
      <c r="D349" s="1737"/>
      <c r="E349" s="1751">
        <v>32799.919999999998</v>
      </c>
      <c r="F349" s="1735" t="s">
        <v>4908</v>
      </c>
      <c r="G349" s="1734" t="s">
        <v>4943</v>
      </c>
      <c r="H349" s="1736"/>
      <c r="I349" s="1735"/>
      <c r="J349" s="1737"/>
      <c r="K349" s="1734" t="s">
        <v>5884</v>
      </c>
      <c r="L349" s="1735"/>
      <c r="M349" s="1748">
        <v>327999200</v>
      </c>
      <c r="N349" s="1770" t="s">
        <v>4678</v>
      </c>
      <c r="O349" s="1740"/>
      <c r="P349" s="1740"/>
    </row>
    <row r="350" spans="1:16" s="1741" customFormat="1" ht="42" customHeight="1" x14ac:dyDescent="0.2">
      <c r="A350" s="1769">
        <v>340</v>
      </c>
      <c r="B350" s="1747" t="s">
        <v>4976</v>
      </c>
      <c r="C350" s="1735" t="s">
        <v>4369</v>
      </c>
      <c r="D350" s="1737"/>
      <c r="E350" s="1751">
        <v>518162.4</v>
      </c>
      <c r="F350" s="1735" t="s">
        <v>4906</v>
      </c>
      <c r="G350" s="1734" t="s">
        <v>4951</v>
      </c>
      <c r="H350" s="1736"/>
      <c r="I350" s="1735"/>
      <c r="J350" s="1737"/>
      <c r="K350" s="1734" t="s">
        <v>5884</v>
      </c>
      <c r="L350" s="1735"/>
      <c r="M350" s="1748">
        <v>621794880</v>
      </c>
      <c r="N350" s="1770" t="s">
        <v>4678</v>
      </c>
      <c r="O350" s="1740"/>
      <c r="P350" s="1740"/>
    </row>
    <row r="351" spans="1:16" s="1741" customFormat="1" ht="42" customHeight="1" x14ac:dyDescent="0.2">
      <c r="A351" s="1769">
        <v>341</v>
      </c>
      <c r="B351" s="1747" t="s">
        <v>4977</v>
      </c>
      <c r="C351" s="1735" t="s">
        <v>4369</v>
      </c>
      <c r="D351" s="1737"/>
      <c r="E351" s="1751">
        <v>42994.832000000002</v>
      </c>
      <c r="F351" s="1735" t="s">
        <v>4907</v>
      </c>
      <c r="G351" s="1734" t="s">
        <v>4952</v>
      </c>
      <c r="H351" s="1736"/>
      <c r="I351" s="1735"/>
      <c r="J351" s="1737"/>
      <c r="K351" s="1734" t="s">
        <v>5884</v>
      </c>
      <c r="L351" s="1735"/>
      <c r="M351" s="1748">
        <v>73091214.400000006</v>
      </c>
      <c r="N351" s="1770" t="s">
        <v>4678</v>
      </c>
      <c r="O351" s="1740"/>
      <c r="P351" s="1740"/>
    </row>
    <row r="352" spans="1:16" s="1741" customFormat="1" ht="42" customHeight="1" x14ac:dyDescent="0.2">
      <c r="A352" s="1769">
        <v>342</v>
      </c>
      <c r="B352" s="1747" t="s">
        <v>4978</v>
      </c>
      <c r="C352" s="1735" t="s">
        <v>4369</v>
      </c>
      <c r="D352" s="1737"/>
      <c r="E352" s="1751">
        <v>11141.16</v>
      </c>
      <c r="F352" s="1735" t="s">
        <v>4908</v>
      </c>
      <c r="G352" s="1734" t="s">
        <v>4953</v>
      </c>
      <c r="H352" s="1736"/>
      <c r="I352" s="1735"/>
      <c r="J352" s="1737"/>
      <c r="K352" s="1734" t="s">
        <v>5884</v>
      </c>
      <c r="L352" s="1735"/>
      <c r="M352" s="1748">
        <v>18939972</v>
      </c>
      <c r="N352" s="1770" t="s">
        <v>4678</v>
      </c>
      <c r="O352" s="1740"/>
      <c r="P352" s="1740"/>
    </row>
    <row r="353" spans="1:16" s="1741" customFormat="1" ht="42" customHeight="1" x14ac:dyDescent="0.2">
      <c r="A353" s="1769">
        <v>343</v>
      </c>
      <c r="B353" s="1747" t="s">
        <v>4979</v>
      </c>
      <c r="C353" s="1735" t="s">
        <v>4369</v>
      </c>
      <c r="D353" s="1737"/>
      <c r="E353" s="1751">
        <v>82814.239999999991</v>
      </c>
      <c r="F353" s="1735" t="s">
        <v>4910</v>
      </c>
      <c r="G353" s="1734" t="s">
        <v>4924</v>
      </c>
      <c r="H353" s="1736"/>
      <c r="I353" s="1735"/>
      <c r="J353" s="1737"/>
      <c r="K353" s="1734" t="s">
        <v>5884</v>
      </c>
      <c r="L353" s="1735"/>
      <c r="M353" s="1748">
        <v>140784208</v>
      </c>
      <c r="N353" s="1770" t="s">
        <v>4678</v>
      </c>
      <c r="O353" s="1740"/>
      <c r="P353" s="1740"/>
    </row>
    <row r="354" spans="1:16" s="1741" customFormat="1" ht="42" customHeight="1" x14ac:dyDescent="0.2">
      <c r="A354" s="1769">
        <v>344</v>
      </c>
      <c r="B354" s="1747" t="s">
        <v>4980</v>
      </c>
      <c r="C354" s="1735" t="s">
        <v>4369</v>
      </c>
      <c r="D354" s="1737"/>
      <c r="E354" s="1751">
        <v>1200</v>
      </c>
      <c r="F354" s="1735" t="s">
        <v>4906</v>
      </c>
      <c r="G354" s="1734" t="s">
        <v>3506</v>
      </c>
      <c r="H354" s="1736"/>
      <c r="I354" s="1735"/>
      <c r="J354" s="1737"/>
      <c r="K354" s="1734" t="s">
        <v>5884</v>
      </c>
      <c r="L354" s="1735"/>
      <c r="M354" s="1748">
        <v>2040000</v>
      </c>
      <c r="N354" s="1770" t="s">
        <v>4678</v>
      </c>
      <c r="O354" s="1740"/>
      <c r="P354" s="1740"/>
    </row>
    <row r="355" spans="1:16" s="1741" customFormat="1" ht="42" customHeight="1" x14ac:dyDescent="0.2">
      <c r="A355" s="1769">
        <v>345</v>
      </c>
      <c r="B355" s="1747" t="s">
        <v>4981</v>
      </c>
      <c r="C355" s="1735" t="s">
        <v>4369</v>
      </c>
      <c r="D355" s="1737"/>
      <c r="E355" s="1751">
        <v>15193.356</v>
      </c>
      <c r="F355" s="1735" t="s">
        <v>4911</v>
      </c>
      <c r="G355" s="1734" t="s">
        <v>798</v>
      </c>
      <c r="H355" s="1736"/>
      <c r="I355" s="1735"/>
      <c r="J355" s="1737"/>
      <c r="K355" s="1734" t="s">
        <v>5884</v>
      </c>
      <c r="L355" s="1735"/>
      <c r="M355" s="1748">
        <v>9116013.6000000015</v>
      </c>
      <c r="N355" s="1770" t="s">
        <v>4678</v>
      </c>
      <c r="O355" s="1740"/>
      <c r="P355" s="1740"/>
    </row>
    <row r="356" spans="1:16" s="1741" customFormat="1" ht="42" customHeight="1" x14ac:dyDescent="0.2">
      <c r="A356" s="1769">
        <v>346</v>
      </c>
      <c r="B356" s="1747" t="s">
        <v>4982</v>
      </c>
      <c r="C356" s="1735" t="s">
        <v>4369</v>
      </c>
      <c r="D356" s="1737"/>
      <c r="E356" s="1751">
        <v>1225</v>
      </c>
      <c r="F356" s="1735">
        <v>2001</v>
      </c>
      <c r="G356" s="1734" t="s">
        <v>2610</v>
      </c>
      <c r="H356" s="1736"/>
      <c r="I356" s="1735"/>
      <c r="J356" s="1737"/>
      <c r="K356" s="1734" t="s">
        <v>5884</v>
      </c>
      <c r="L356" s="1735"/>
      <c r="M356" s="1748">
        <v>1470000</v>
      </c>
      <c r="N356" s="1770" t="s">
        <v>4678</v>
      </c>
      <c r="O356" s="1740"/>
      <c r="P356" s="1740"/>
    </row>
    <row r="357" spans="1:16" s="1741" customFormat="1" ht="42" customHeight="1" x14ac:dyDescent="0.2">
      <c r="A357" s="1769">
        <v>347</v>
      </c>
      <c r="B357" s="1747" t="s">
        <v>4983</v>
      </c>
      <c r="C357" s="1735" t="s">
        <v>4369</v>
      </c>
      <c r="D357" s="1737"/>
      <c r="E357" s="1751">
        <v>16160</v>
      </c>
      <c r="F357" s="1735">
        <v>2001</v>
      </c>
      <c r="G357" s="1734" t="s">
        <v>4954</v>
      </c>
      <c r="H357" s="1736"/>
      <c r="I357" s="1735"/>
      <c r="J357" s="1737"/>
      <c r="K357" s="1734" t="s">
        <v>5884</v>
      </c>
      <c r="L357" s="1735"/>
      <c r="M357" s="1748">
        <v>19392000</v>
      </c>
      <c r="N357" s="1770" t="s">
        <v>4678</v>
      </c>
      <c r="O357" s="1740"/>
      <c r="P357" s="1740"/>
    </row>
    <row r="358" spans="1:16" s="1741" customFormat="1" ht="42" customHeight="1" x14ac:dyDescent="0.2">
      <c r="A358" s="1769">
        <v>348</v>
      </c>
      <c r="B358" s="1747" t="s">
        <v>4984</v>
      </c>
      <c r="C358" s="1735" t="s">
        <v>4369</v>
      </c>
      <c r="D358" s="1737"/>
      <c r="E358" s="1751">
        <v>550</v>
      </c>
      <c r="F358" s="1735">
        <v>2001</v>
      </c>
      <c r="G358" s="1734" t="s">
        <v>4955</v>
      </c>
      <c r="H358" s="1736"/>
      <c r="I358" s="1735"/>
      <c r="J358" s="1737"/>
      <c r="K358" s="1734" t="s">
        <v>5884</v>
      </c>
      <c r="L358" s="1735"/>
      <c r="M358" s="1748">
        <v>660000</v>
      </c>
      <c r="N358" s="1770" t="s">
        <v>4678</v>
      </c>
      <c r="O358" s="1740"/>
      <c r="P358" s="1740"/>
    </row>
    <row r="359" spans="1:16" s="1741" customFormat="1" ht="42" customHeight="1" x14ac:dyDescent="0.2">
      <c r="A359" s="1769">
        <v>349</v>
      </c>
      <c r="B359" s="1747" t="s">
        <v>4985</v>
      </c>
      <c r="C359" s="1735" t="s">
        <v>4369</v>
      </c>
      <c r="D359" s="1737"/>
      <c r="E359" s="1751">
        <v>3022.36</v>
      </c>
      <c r="F359" s="1735">
        <v>2001</v>
      </c>
      <c r="G359" s="1734" t="s">
        <v>4956</v>
      </c>
      <c r="H359" s="1736"/>
      <c r="I359" s="1735"/>
      <c r="J359" s="1737"/>
      <c r="K359" s="1734" t="s">
        <v>5884</v>
      </c>
      <c r="L359" s="1735"/>
      <c r="M359" s="1748">
        <v>7253664</v>
      </c>
      <c r="N359" s="1770" t="s">
        <v>4678</v>
      </c>
      <c r="O359" s="1740"/>
      <c r="P359" s="1740"/>
    </row>
    <row r="360" spans="1:16" s="1741" customFormat="1" ht="42" customHeight="1" x14ac:dyDescent="0.2">
      <c r="A360" s="1769">
        <v>350</v>
      </c>
      <c r="B360" s="1747" t="s">
        <v>4986</v>
      </c>
      <c r="C360" s="1735" t="s">
        <v>4369</v>
      </c>
      <c r="D360" s="1737"/>
      <c r="E360" s="1751">
        <v>3044.32</v>
      </c>
      <c r="F360" s="1735">
        <v>2001</v>
      </c>
      <c r="G360" s="1734" t="s">
        <v>4957</v>
      </c>
      <c r="H360" s="1736"/>
      <c r="I360" s="1735"/>
      <c r="J360" s="1737"/>
      <c r="K360" s="1734" t="s">
        <v>5884</v>
      </c>
      <c r="L360" s="1735"/>
      <c r="M360" s="1748">
        <v>7306368</v>
      </c>
      <c r="N360" s="1770" t="s">
        <v>4678</v>
      </c>
      <c r="O360" s="1740"/>
      <c r="P360" s="1740"/>
    </row>
    <row r="361" spans="1:16" s="1741" customFormat="1" ht="42" customHeight="1" x14ac:dyDescent="0.2">
      <c r="A361" s="1769">
        <v>351</v>
      </c>
      <c r="B361" s="1747" t="s">
        <v>4987</v>
      </c>
      <c r="C361" s="1735" t="s">
        <v>4369</v>
      </c>
      <c r="D361" s="1737"/>
      <c r="E361" s="1751">
        <v>4636.4320000000007</v>
      </c>
      <c r="F361" s="1735">
        <v>2001</v>
      </c>
      <c r="G361" s="1734" t="s">
        <v>3471</v>
      </c>
      <c r="H361" s="1736"/>
      <c r="I361" s="1735"/>
      <c r="J361" s="1737"/>
      <c r="K361" s="1734" t="s">
        <v>5884</v>
      </c>
      <c r="L361" s="1735"/>
      <c r="M361" s="1748">
        <v>7881934.4000000004</v>
      </c>
      <c r="N361" s="1770" t="s">
        <v>4678</v>
      </c>
      <c r="O361" s="1740"/>
      <c r="P361" s="1740"/>
    </row>
    <row r="362" spans="1:16" s="1741" customFormat="1" ht="42" customHeight="1" x14ac:dyDescent="0.2">
      <c r="A362" s="1769">
        <v>352</v>
      </c>
      <c r="B362" s="1747" t="s">
        <v>4988</v>
      </c>
      <c r="C362" s="1735" t="s">
        <v>4369</v>
      </c>
      <c r="D362" s="1737"/>
      <c r="E362" s="1751">
        <v>2750</v>
      </c>
      <c r="F362" s="1735">
        <v>2001</v>
      </c>
      <c r="G362" s="1734" t="s">
        <v>3230</v>
      </c>
      <c r="H362" s="1736"/>
      <c r="I362" s="1735"/>
      <c r="J362" s="1737"/>
      <c r="K362" s="1734" t="s">
        <v>5884</v>
      </c>
      <c r="L362" s="1735"/>
      <c r="M362" s="1748">
        <v>3300000</v>
      </c>
      <c r="N362" s="1770" t="s">
        <v>4678</v>
      </c>
      <c r="O362" s="1740"/>
      <c r="P362" s="1740"/>
    </row>
    <row r="363" spans="1:16" s="1741" customFormat="1" ht="42" customHeight="1" x14ac:dyDescent="0.2">
      <c r="A363" s="1769">
        <v>353</v>
      </c>
      <c r="B363" s="1747" t="s">
        <v>4989</v>
      </c>
      <c r="C363" s="1735" t="s">
        <v>4369</v>
      </c>
      <c r="D363" s="1737"/>
      <c r="E363" s="1751">
        <v>15793.96</v>
      </c>
      <c r="F363" s="1735">
        <v>2001</v>
      </c>
      <c r="G363" s="1734" t="s">
        <v>3551</v>
      </c>
      <c r="H363" s="1736"/>
      <c r="I363" s="1735"/>
      <c r="J363" s="1737"/>
      <c r="K363" s="1734" t="s">
        <v>5884</v>
      </c>
      <c r="L363" s="1735"/>
      <c r="M363" s="1748">
        <v>26849732</v>
      </c>
      <c r="N363" s="1770" t="s">
        <v>4678</v>
      </c>
      <c r="O363" s="1740"/>
      <c r="P363" s="1740"/>
    </row>
    <row r="364" spans="1:16" s="1741" customFormat="1" ht="42" customHeight="1" x14ac:dyDescent="0.2">
      <c r="A364" s="1769">
        <v>354</v>
      </c>
      <c r="B364" s="1747" t="s">
        <v>4990</v>
      </c>
      <c r="C364" s="1735" t="s">
        <v>4369</v>
      </c>
      <c r="D364" s="1737"/>
      <c r="E364" s="1751">
        <v>825</v>
      </c>
      <c r="F364" s="1735">
        <v>2001</v>
      </c>
      <c r="G364" s="1734" t="s">
        <v>4936</v>
      </c>
      <c r="H364" s="1736"/>
      <c r="I364" s="1735"/>
      <c r="J364" s="1737"/>
      <c r="K364" s="1734" t="s">
        <v>5884</v>
      </c>
      <c r="L364" s="1735"/>
      <c r="M364" s="1748">
        <v>1402500</v>
      </c>
      <c r="N364" s="1770" t="s">
        <v>4678</v>
      </c>
      <c r="O364" s="1740"/>
      <c r="P364" s="1740"/>
    </row>
    <row r="365" spans="1:16" s="1741" customFormat="1" ht="42" customHeight="1" x14ac:dyDescent="0.2">
      <c r="A365" s="1769">
        <v>355</v>
      </c>
      <c r="B365" s="1747" t="s">
        <v>4991</v>
      </c>
      <c r="C365" s="1735" t="s">
        <v>4369</v>
      </c>
      <c r="D365" s="1737"/>
      <c r="E365" s="1751">
        <v>4725</v>
      </c>
      <c r="F365" s="1735">
        <v>2001</v>
      </c>
      <c r="G365" s="1734" t="s">
        <v>4958</v>
      </c>
      <c r="H365" s="1736"/>
      <c r="I365" s="1735"/>
      <c r="J365" s="1737"/>
      <c r="K365" s="1734" t="s">
        <v>5884</v>
      </c>
      <c r="L365" s="1735"/>
      <c r="M365" s="1748">
        <v>8032500</v>
      </c>
      <c r="N365" s="1770" t="s">
        <v>4678</v>
      </c>
      <c r="O365" s="1740"/>
      <c r="P365" s="1740"/>
    </row>
    <row r="366" spans="1:16" s="1741" customFormat="1" ht="42" customHeight="1" x14ac:dyDescent="0.2">
      <c r="A366" s="1769">
        <v>356</v>
      </c>
      <c r="B366" s="1747" t="s">
        <v>4992</v>
      </c>
      <c r="C366" s="1735" t="s">
        <v>4369</v>
      </c>
      <c r="D366" s="1737"/>
      <c r="E366" s="1751">
        <v>4725</v>
      </c>
      <c r="F366" s="1735">
        <v>2001</v>
      </c>
      <c r="G366" s="1734" t="s">
        <v>4932</v>
      </c>
      <c r="H366" s="1736"/>
      <c r="I366" s="1735"/>
      <c r="J366" s="1737"/>
      <c r="K366" s="1734" t="s">
        <v>5884</v>
      </c>
      <c r="L366" s="1735"/>
      <c r="M366" s="1748">
        <v>8032500</v>
      </c>
      <c r="N366" s="1770" t="s">
        <v>4678</v>
      </c>
      <c r="O366" s="1740"/>
      <c r="P366" s="1740"/>
    </row>
    <row r="367" spans="1:16" s="1741" customFormat="1" ht="42" customHeight="1" x14ac:dyDescent="0.2">
      <c r="A367" s="1769">
        <v>357</v>
      </c>
      <c r="B367" s="1747" t="s">
        <v>4993</v>
      </c>
      <c r="C367" s="1735" t="s">
        <v>4369</v>
      </c>
      <c r="D367" s="1737"/>
      <c r="E367" s="1751">
        <v>23250.448</v>
      </c>
      <c r="F367" s="1735">
        <v>2001</v>
      </c>
      <c r="G367" s="1734" t="s">
        <v>3485</v>
      </c>
      <c r="H367" s="1736"/>
      <c r="I367" s="1735"/>
      <c r="J367" s="1737"/>
      <c r="K367" s="1734" t="s">
        <v>5884</v>
      </c>
      <c r="L367" s="1735"/>
      <c r="M367" s="1748">
        <v>39525761.600000001</v>
      </c>
      <c r="N367" s="1770" t="s">
        <v>4678</v>
      </c>
      <c r="O367" s="1740"/>
      <c r="P367" s="1740"/>
    </row>
    <row r="368" spans="1:16" s="1741" customFormat="1" ht="42" customHeight="1" x14ac:dyDescent="0.2">
      <c r="A368" s="1769">
        <v>358</v>
      </c>
      <c r="B368" s="1747" t="s">
        <v>4994</v>
      </c>
      <c r="C368" s="1735" t="s">
        <v>4369</v>
      </c>
      <c r="D368" s="1737"/>
      <c r="E368" s="1751">
        <v>2100</v>
      </c>
      <c r="F368" s="1735">
        <v>2001</v>
      </c>
      <c r="G368" s="1734" t="s">
        <v>4959</v>
      </c>
      <c r="H368" s="1736"/>
      <c r="I368" s="1735"/>
      <c r="J368" s="1737"/>
      <c r="K368" s="1734" t="s">
        <v>5884</v>
      </c>
      <c r="L368" s="1735"/>
      <c r="M368" s="1748">
        <v>693000</v>
      </c>
      <c r="N368" s="1770" t="s">
        <v>4678</v>
      </c>
      <c r="O368" s="1740"/>
      <c r="P368" s="1740"/>
    </row>
    <row r="369" spans="1:16" s="1741" customFormat="1" ht="42" customHeight="1" x14ac:dyDescent="0.2">
      <c r="A369" s="1769">
        <v>359</v>
      </c>
      <c r="B369" s="1747" t="s">
        <v>4995</v>
      </c>
      <c r="C369" s="1735" t="s">
        <v>4369</v>
      </c>
      <c r="D369" s="1737"/>
      <c r="E369" s="1751">
        <v>5494.08</v>
      </c>
      <c r="F369" s="1735">
        <v>2015</v>
      </c>
      <c r="G369" s="1734" t="s">
        <v>4914</v>
      </c>
      <c r="H369" s="1736"/>
      <c r="I369" s="1735"/>
      <c r="J369" s="1737"/>
      <c r="K369" s="1734" t="s">
        <v>5884</v>
      </c>
      <c r="L369" s="1735"/>
      <c r="M369" s="1748">
        <v>39282672</v>
      </c>
      <c r="N369" s="1770" t="s">
        <v>4678</v>
      </c>
      <c r="O369" s="1740"/>
      <c r="P369" s="1740"/>
    </row>
    <row r="370" spans="1:16" s="1741" customFormat="1" ht="42" customHeight="1" x14ac:dyDescent="0.2">
      <c r="A370" s="1769">
        <v>360</v>
      </c>
      <c r="B370" s="1747" t="s">
        <v>4996</v>
      </c>
      <c r="C370" s="1735" t="s">
        <v>4369</v>
      </c>
      <c r="D370" s="1737"/>
      <c r="E370" s="1751">
        <v>1545</v>
      </c>
      <c r="F370" s="1735">
        <v>1996</v>
      </c>
      <c r="G370" s="1734" t="s">
        <v>4960</v>
      </c>
      <c r="H370" s="1736"/>
      <c r="I370" s="1735"/>
      <c r="J370" s="1737"/>
      <c r="K370" s="1734" t="s">
        <v>5884</v>
      </c>
      <c r="L370" s="1735"/>
      <c r="M370" s="1748">
        <v>2626500</v>
      </c>
      <c r="N370" s="1770" t="s">
        <v>4678</v>
      </c>
      <c r="O370" s="1740"/>
      <c r="P370" s="1740"/>
    </row>
    <row r="371" spans="1:16" s="1741" customFormat="1" ht="42" customHeight="1" x14ac:dyDescent="0.2">
      <c r="A371" s="1769">
        <v>361</v>
      </c>
      <c r="B371" s="1747" t="s">
        <v>4997</v>
      </c>
      <c r="C371" s="1735" t="s">
        <v>4369</v>
      </c>
      <c r="D371" s="1737"/>
      <c r="E371" s="1751">
        <v>1560</v>
      </c>
      <c r="F371" s="1735">
        <v>1996</v>
      </c>
      <c r="G371" s="1734" t="s">
        <v>4961</v>
      </c>
      <c r="H371" s="1736"/>
      <c r="I371" s="1735"/>
      <c r="J371" s="1737"/>
      <c r="K371" s="1734" t="s">
        <v>5884</v>
      </c>
      <c r="L371" s="1735"/>
      <c r="M371" s="1748">
        <v>2652000</v>
      </c>
      <c r="N371" s="1770" t="s">
        <v>4678</v>
      </c>
      <c r="O371" s="1740"/>
      <c r="P371" s="1740"/>
    </row>
    <row r="372" spans="1:16" s="1741" customFormat="1" ht="42" customHeight="1" x14ac:dyDescent="0.2">
      <c r="A372" s="1769">
        <v>362</v>
      </c>
      <c r="B372" s="1747" t="s">
        <v>4998</v>
      </c>
      <c r="C372" s="1735" t="s">
        <v>4369</v>
      </c>
      <c r="D372" s="1737"/>
      <c r="E372" s="1751">
        <v>1545</v>
      </c>
      <c r="F372" s="1735">
        <v>1996</v>
      </c>
      <c r="G372" s="1734" t="s">
        <v>4962</v>
      </c>
      <c r="H372" s="1736"/>
      <c r="I372" s="1735"/>
      <c r="J372" s="1737"/>
      <c r="K372" s="1734" t="s">
        <v>5884</v>
      </c>
      <c r="L372" s="1735"/>
      <c r="M372" s="1748">
        <v>2626500</v>
      </c>
      <c r="N372" s="1770" t="s">
        <v>4678</v>
      </c>
      <c r="O372" s="1740"/>
      <c r="P372" s="1740"/>
    </row>
    <row r="373" spans="1:16" s="1741" customFormat="1" ht="42" customHeight="1" x14ac:dyDescent="0.2">
      <c r="A373" s="1769">
        <v>363</v>
      </c>
      <c r="B373" s="1747" t="s">
        <v>4999</v>
      </c>
      <c r="C373" s="1735" t="s">
        <v>4369</v>
      </c>
      <c r="D373" s="1737"/>
      <c r="E373" s="1751">
        <v>530</v>
      </c>
      <c r="F373" s="1735">
        <v>1996</v>
      </c>
      <c r="G373" s="1734" t="s">
        <v>4963</v>
      </c>
      <c r="H373" s="1736"/>
      <c r="I373" s="1735"/>
      <c r="J373" s="1737"/>
      <c r="K373" s="1734" t="s">
        <v>5884</v>
      </c>
      <c r="L373" s="1735"/>
      <c r="M373" s="1748">
        <v>901000</v>
      </c>
      <c r="N373" s="1770" t="s">
        <v>4678</v>
      </c>
      <c r="O373" s="1740"/>
      <c r="P373" s="1740"/>
    </row>
    <row r="374" spans="1:16" s="1741" customFormat="1" ht="42" customHeight="1" x14ac:dyDescent="0.2">
      <c r="A374" s="1769">
        <v>364</v>
      </c>
      <c r="B374" s="1747" t="s">
        <v>5000</v>
      </c>
      <c r="C374" s="1735" t="s">
        <v>4369</v>
      </c>
      <c r="D374" s="1737"/>
      <c r="E374" s="1751">
        <v>1026.3200000000002</v>
      </c>
      <c r="F374" s="1735">
        <v>2015</v>
      </c>
      <c r="G374" s="1734" t="s">
        <v>4964</v>
      </c>
      <c r="H374" s="1736"/>
      <c r="I374" s="1735"/>
      <c r="J374" s="1737"/>
      <c r="K374" s="1734" t="s">
        <v>5884</v>
      </c>
      <c r="L374" s="1735"/>
      <c r="M374" s="1748">
        <v>10263200</v>
      </c>
      <c r="N374" s="1770" t="s">
        <v>4913</v>
      </c>
      <c r="O374" s="1740"/>
      <c r="P374" s="1740"/>
    </row>
    <row r="375" spans="1:16" s="1741" customFormat="1" ht="42" customHeight="1" x14ac:dyDescent="0.2">
      <c r="A375" s="1769">
        <v>365</v>
      </c>
      <c r="B375" s="1747" t="s">
        <v>5001</v>
      </c>
      <c r="C375" s="1735" t="s">
        <v>4369</v>
      </c>
      <c r="D375" s="1737"/>
      <c r="E375" s="1751">
        <v>794</v>
      </c>
      <c r="F375" s="1735">
        <v>2010</v>
      </c>
      <c r="G375" s="1734" t="s">
        <v>4945</v>
      </c>
      <c r="H375" s="1736"/>
      <c r="I375" s="1735"/>
      <c r="J375" s="1737"/>
      <c r="K375" s="1734" t="s">
        <v>5884</v>
      </c>
      <c r="L375" s="1735"/>
      <c r="M375" s="1748">
        <v>722540</v>
      </c>
      <c r="N375" s="1770" t="s">
        <v>4678</v>
      </c>
      <c r="O375" s="1740"/>
      <c r="P375" s="1740"/>
    </row>
    <row r="376" spans="1:16" s="1741" customFormat="1" ht="42" customHeight="1" x14ac:dyDescent="0.2">
      <c r="A376" s="1769">
        <v>366</v>
      </c>
      <c r="B376" s="1747" t="s">
        <v>5002</v>
      </c>
      <c r="C376" s="1735" t="s">
        <v>4369</v>
      </c>
      <c r="D376" s="1737"/>
      <c r="E376" s="1751">
        <v>1000</v>
      </c>
      <c r="F376" s="1735">
        <v>2015</v>
      </c>
      <c r="G376" s="1734" t="s">
        <v>2880</v>
      </c>
      <c r="H376" s="1736"/>
      <c r="I376" s="1735"/>
      <c r="J376" s="1737"/>
      <c r="K376" s="1734" t="s">
        <v>5884</v>
      </c>
      <c r="L376" s="1735"/>
      <c r="M376" s="1748">
        <v>3300000</v>
      </c>
      <c r="N376" s="1770" t="s">
        <v>4678</v>
      </c>
      <c r="O376" s="1740"/>
      <c r="P376" s="1740"/>
    </row>
    <row r="377" spans="1:16" s="1741" customFormat="1" ht="42" customHeight="1" x14ac:dyDescent="0.2">
      <c r="A377" s="1769">
        <v>367</v>
      </c>
      <c r="B377" s="1747" t="s">
        <v>5003</v>
      </c>
      <c r="C377" s="1735" t="s">
        <v>4369</v>
      </c>
      <c r="D377" s="1737"/>
      <c r="E377" s="1751">
        <v>575</v>
      </c>
      <c r="F377" s="1735">
        <v>2015</v>
      </c>
      <c r="G377" s="1734" t="s">
        <v>3404</v>
      </c>
      <c r="H377" s="1736"/>
      <c r="I377" s="1735"/>
      <c r="J377" s="1737"/>
      <c r="K377" s="1734" t="s">
        <v>5884</v>
      </c>
      <c r="L377" s="1735"/>
      <c r="M377" s="1748">
        <v>690000</v>
      </c>
      <c r="N377" s="1770" t="s">
        <v>4678</v>
      </c>
      <c r="O377" s="1740"/>
      <c r="P377" s="1740"/>
    </row>
    <row r="378" spans="1:16" s="1741" customFormat="1" ht="42" customHeight="1" x14ac:dyDescent="0.2">
      <c r="A378" s="1769">
        <v>368</v>
      </c>
      <c r="B378" s="1747" t="s">
        <v>5004</v>
      </c>
      <c r="C378" s="1735" t="s">
        <v>4369</v>
      </c>
      <c r="D378" s="1737"/>
      <c r="E378" s="1751">
        <v>180</v>
      </c>
      <c r="F378" s="1735">
        <v>1996</v>
      </c>
      <c r="G378" s="1734" t="s">
        <v>4946</v>
      </c>
      <c r="H378" s="1736"/>
      <c r="I378" s="1735"/>
      <c r="J378" s="1737"/>
      <c r="K378" s="1734" t="s">
        <v>5884</v>
      </c>
      <c r="L378" s="1735"/>
      <c r="M378" s="1748">
        <v>306000</v>
      </c>
      <c r="N378" s="1770" t="s">
        <v>4678</v>
      </c>
      <c r="O378" s="1740"/>
      <c r="P378" s="1740"/>
    </row>
    <row r="379" spans="1:16" s="1741" customFormat="1" ht="42" customHeight="1" x14ac:dyDescent="0.2">
      <c r="A379" s="1769">
        <v>369</v>
      </c>
      <c r="B379" s="1747" t="s">
        <v>5005</v>
      </c>
      <c r="C379" s="1735" t="s">
        <v>4369</v>
      </c>
      <c r="D379" s="1737"/>
      <c r="E379" s="1751">
        <v>717.24</v>
      </c>
      <c r="F379" s="1735">
        <v>1996</v>
      </c>
      <c r="G379" s="1734" t="s">
        <v>4944</v>
      </c>
      <c r="H379" s="1736"/>
      <c r="I379" s="1735"/>
      <c r="J379" s="1737"/>
      <c r="K379" s="1734" t="s">
        <v>5884</v>
      </c>
      <c r="L379" s="1735"/>
      <c r="M379" s="1748">
        <v>7172400</v>
      </c>
      <c r="N379" s="1770" t="s">
        <v>4678</v>
      </c>
      <c r="O379" s="1740"/>
      <c r="P379" s="1740"/>
    </row>
    <row r="380" spans="1:16" s="1741" customFormat="1" ht="42" customHeight="1" x14ac:dyDescent="0.2">
      <c r="A380" s="1769">
        <v>370</v>
      </c>
      <c r="B380" s="1747" t="s">
        <v>5006</v>
      </c>
      <c r="C380" s="1735" t="s">
        <v>4369</v>
      </c>
      <c r="D380" s="1737"/>
      <c r="E380" s="1751">
        <v>7549.5920000000006</v>
      </c>
      <c r="F380" s="1735">
        <v>2002</v>
      </c>
      <c r="G380" s="1734" t="s">
        <v>4914</v>
      </c>
      <c r="H380" s="1736"/>
      <c r="I380" s="1735"/>
      <c r="J380" s="1737"/>
      <c r="K380" s="1734" t="s">
        <v>5884</v>
      </c>
      <c r="L380" s="1735"/>
      <c r="M380" s="1748">
        <v>53979582.799999997</v>
      </c>
      <c r="N380" s="1770" t="s">
        <v>4678</v>
      </c>
      <c r="O380" s="1740"/>
      <c r="P380" s="1740"/>
    </row>
    <row r="381" spans="1:16" s="1741" customFormat="1" ht="42" customHeight="1" x14ac:dyDescent="0.2">
      <c r="A381" s="1769">
        <v>371</v>
      </c>
      <c r="B381" s="1747" t="s">
        <v>5007</v>
      </c>
      <c r="C381" s="1735" t="s">
        <v>4369</v>
      </c>
      <c r="D381" s="1737"/>
      <c r="E381" s="1751">
        <v>10293.759999999998</v>
      </c>
      <c r="F381" s="1735" t="s">
        <v>4912</v>
      </c>
      <c r="G381" s="1734" t="s">
        <v>3476</v>
      </c>
      <c r="H381" s="1736"/>
      <c r="I381" s="1735"/>
      <c r="J381" s="1737"/>
      <c r="K381" s="1734" t="s">
        <v>5884</v>
      </c>
      <c r="L381" s="1735"/>
      <c r="M381" s="1748">
        <v>9367321.5999999996</v>
      </c>
      <c r="N381" s="1770" t="s">
        <v>4678</v>
      </c>
      <c r="O381" s="1740"/>
      <c r="P381" s="1740"/>
    </row>
    <row r="382" spans="1:16" s="1741" customFormat="1" ht="42" customHeight="1" x14ac:dyDescent="0.2">
      <c r="A382" s="1769">
        <v>372</v>
      </c>
      <c r="B382" s="1747" t="s">
        <v>5008</v>
      </c>
      <c r="C382" s="1735" t="s">
        <v>4369</v>
      </c>
      <c r="D382" s="1737"/>
      <c r="E382" s="1751">
        <v>12485.103999999999</v>
      </c>
      <c r="F382" s="1735">
        <v>2001</v>
      </c>
      <c r="G382" s="1734" t="s">
        <v>4965</v>
      </c>
      <c r="H382" s="1736"/>
      <c r="I382" s="1735"/>
      <c r="J382" s="1737"/>
      <c r="K382" s="1734" t="s">
        <v>5884</v>
      </c>
      <c r="L382" s="1735"/>
      <c r="M382" s="1748">
        <v>21224676.800000001</v>
      </c>
      <c r="N382" s="1770" t="s">
        <v>4678</v>
      </c>
      <c r="O382" s="1740"/>
      <c r="P382" s="1740"/>
    </row>
    <row r="383" spans="1:16" s="1741" customFormat="1" ht="42" customHeight="1" x14ac:dyDescent="0.2">
      <c r="A383" s="1769">
        <v>373</v>
      </c>
      <c r="B383" s="1747" t="s">
        <v>5009</v>
      </c>
      <c r="C383" s="1735" t="s">
        <v>4369</v>
      </c>
      <c r="D383" s="1737"/>
      <c r="E383" s="1751">
        <v>3521.88</v>
      </c>
      <c r="F383" s="1735">
        <v>2015</v>
      </c>
      <c r="G383" s="1734" t="s">
        <v>3486</v>
      </c>
      <c r="H383" s="1736"/>
      <c r="I383" s="1735"/>
      <c r="J383" s="1737"/>
      <c r="K383" s="1734" t="s">
        <v>5884</v>
      </c>
      <c r="L383" s="1735"/>
      <c r="M383" s="1748">
        <v>49306320</v>
      </c>
      <c r="N383" s="1770" t="s">
        <v>4678</v>
      </c>
      <c r="O383" s="1740"/>
      <c r="P383" s="1740"/>
    </row>
    <row r="384" spans="1:16" s="1741" customFormat="1" ht="42" customHeight="1" x14ac:dyDescent="0.2">
      <c r="A384" s="1769">
        <v>374</v>
      </c>
      <c r="B384" s="1747" t="s">
        <v>5010</v>
      </c>
      <c r="C384" s="1735" t="s">
        <v>4369</v>
      </c>
      <c r="D384" s="1737"/>
      <c r="E384" s="1751">
        <v>210</v>
      </c>
      <c r="F384" s="1735">
        <v>1996</v>
      </c>
      <c r="G384" s="1734" t="s">
        <v>4966</v>
      </c>
      <c r="H384" s="1736"/>
      <c r="I384" s="1735"/>
      <c r="J384" s="1737"/>
      <c r="K384" s="1734" t="s">
        <v>5884</v>
      </c>
      <c r="L384" s="1735"/>
      <c r="M384" s="1748">
        <v>357000</v>
      </c>
      <c r="N384" s="1770" t="s">
        <v>4678</v>
      </c>
      <c r="O384" s="1740"/>
      <c r="P384" s="1740"/>
    </row>
    <row r="385" spans="1:16" s="1741" customFormat="1" ht="42" customHeight="1" x14ac:dyDescent="0.2">
      <c r="A385" s="1769">
        <v>375</v>
      </c>
      <c r="B385" s="1747" t="s">
        <v>4905</v>
      </c>
      <c r="C385" s="1735" t="s">
        <v>4369</v>
      </c>
      <c r="D385" s="1737"/>
      <c r="E385" s="1751">
        <v>7346.3279999999995</v>
      </c>
      <c r="F385" s="1735">
        <v>2002</v>
      </c>
      <c r="G385" s="1734" t="s">
        <v>2609</v>
      </c>
      <c r="H385" s="1736"/>
      <c r="I385" s="1735"/>
      <c r="J385" s="1737"/>
      <c r="K385" s="1734" t="s">
        <v>5884</v>
      </c>
      <c r="L385" s="1735"/>
      <c r="M385" s="1748">
        <v>12488757.6</v>
      </c>
      <c r="N385" s="1770" t="s">
        <v>4678</v>
      </c>
      <c r="O385" s="1740"/>
      <c r="P385" s="1740"/>
    </row>
    <row r="386" spans="1:16" s="1741" customFormat="1" ht="42" customHeight="1" x14ac:dyDescent="0.2">
      <c r="A386" s="1769">
        <v>376</v>
      </c>
      <c r="B386" s="1747" t="s">
        <v>5254</v>
      </c>
      <c r="C386" s="1735" t="s">
        <v>4365</v>
      </c>
      <c r="D386" s="1737"/>
      <c r="E386" s="1751">
        <v>40904</v>
      </c>
      <c r="F386" s="1735">
        <v>2018</v>
      </c>
      <c r="G386" s="1734" t="s">
        <v>5304</v>
      </c>
      <c r="H386" s="1736"/>
      <c r="I386" s="1735"/>
      <c r="J386" s="1737"/>
      <c r="K386" s="1734" t="s">
        <v>5883</v>
      </c>
      <c r="L386" s="1735"/>
      <c r="M386" s="1748">
        <v>239920000</v>
      </c>
      <c r="N386" s="1770" t="s">
        <v>5303</v>
      </c>
      <c r="O386" s="1740"/>
      <c r="P386" s="1740"/>
    </row>
    <row r="387" spans="1:16" s="1741" customFormat="1" ht="42" customHeight="1" x14ac:dyDescent="0.2">
      <c r="A387" s="1769">
        <v>377</v>
      </c>
      <c r="B387" s="1747" t="s">
        <v>5255</v>
      </c>
      <c r="C387" s="1735" t="s">
        <v>4365</v>
      </c>
      <c r="D387" s="1737"/>
      <c r="E387" s="1751">
        <v>104000</v>
      </c>
      <c r="F387" s="1735">
        <v>2018</v>
      </c>
      <c r="G387" s="1734" t="s">
        <v>5305</v>
      </c>
      <c r="H387" s="1736"/>
      <c r="I387" s="1735"/>
      <c r="J387" s="1737"/>
      <c r="K387" s="1734" t="s">
        <v>5883</v>
      </c>
      <c r="L387" s="1735"/>
      <c r="M387" s="1748">
        <v>1040000000</v>
      </c>
      <c r="N387" s="1770" t="s">
        <v>5303</v>
      </c>
      <c r="O387" s="1740"/>
      <c r="P387" s="1740"/>
    </row>
    <row r="388" spans="1:16" s="1741" customFormat="1" ht="42" customHeight="1" x14ac:dyDescent="0.2">
      <c r="A388" s="1769">
        <v>378</v>
      </c>
      <c r="B388" s="1747" t="s">
        <v>5256</v>
      </c>
      <c r="C388" s="1735" t="s">
        <v>4365</v>
      </c>
      <c r="D388" s="1737"/>
      <c r="E388" s="1751">
        <v>19200</v>
      </c>
      <c r="F388" s="1735">
        <v>2018</v>
      </c>
      <c r="G388" s="1734" t="s">
        <v>417</v>
      </c>
      <c r="H388" s="1736"/>
      <c r="I388" s="1735"/>
      <c r="J388" s="1737"/>
      <c r="K388" s="1734" t="s">
        <v>5883</v>
      </c>
      <c r="L388" s="1735"/>
      <c r="M388" s="1748">
        <v>268800000</v>
      </c>
      <c r="N388" s="1770" t="s">
        <v>5303</v>
      </c>
      <c r="O388" s="1740"/>
      <c r="P388" s="1740"/>
    </row>
    <row r="389" spans="1:16" s="1741" customFormat="1" ht="42" customHeight="1" x14ac:dyDescent="0.2">
      <c r="A389" s="1769">
        <v>379</v>
      </c>
      <c r="B389" s="1747" t="s">
        <v>5257</v>
      </c>
      <c r="C389" s="1735" t="s">
        <v>4365</v>
      </c>
      <c r="D389" s="1737"/>
      <c r="E389" s="1751">
        <v>48000</v>
      </c>
      <c r="F389" s="1735">
        <v>2018</v>
      </c>
      <c r="G389" s="1734" t="s">
        <v>2593</v>
      </c>
      <c r="H389" s="1736"/>
      <c r="I389" s="1735"/>
      <c r="J389" s="1737"/>
      <c r="K389" s="1734" t="s">
        <v>5883</v>
      </c>
      <c r="L389" s="1735"/>
      <c r="M389" s="1748">
        <v>81600000</v>
      </c>
      <c r="N389" s="1770" t="s">
        <v>5303</v>
      </c>
      <c r="O389" s="1740"/>
      <c r="P389" s="1740"/>
    </row>
    <row r="390" spans="1:16" s="1741" customFormat="1" ht="42" customHeight="1" x14ac:dyDescent="0.2">
      <c r="A390" s="1769">
        <v>380</v>
      </c>
      <c r="B390" s="1747" t="s">
        <v>5258</v>
      </c>
      <c r="C390" s="1735" t="s">
        <v>4365</v>
      </c>
      <c r="D390" s="1737"/>
      <c r="E390" s="1751">
        <v>8000</v>
      </c>
      <c r="F390" s="1735">
        <v>2018</v>
      </c>
      <c r="G390" s="1734" t="s">
        <v>893</v>
      </c>
      <c r="H390" s="1736"/>
      <c r="I390" s="1735"/>
      <c r="J390" s="1737"/>
      <c r="K390" s="1734" t="s">
        <v>5883</v>
      </c>
      <c r="L390" s="1735"/>
      <c r="M390" s="1748">
        <v>216000000</v>
      </c>
      <c r="N390" s="1770" t="s">
        <v>5303</v>
      </c>
      <c r="O390" s="1740"/>
      <c r="P390" s="1740"/>
    </row>
    <row r="391" spans="1:16" s="1741" customFormat="1" ht="42" customHeight="1" x14ac:dyDescent="0.2">
      <c r="A391" s="1769">
        <v>381</v>
      </c>
      <c r="B391" s="1747" t="s">
        <v>5259</v>
      </c>
      <c r="C391" s="1735" t="s">
        <v>4365</v>
      </c>
      <c r="D391" s="1737"/>
      <c r="E391" s="1751">
        <v>59040</v>
      </c>
      <c r="F391" s="1735">
        <v>2018</v>
      </c>
      <c r="G391" s="1734" t="s">
        <v>3190</v>
      </c>
      <c r="H391" s="1736"/>
      <c r="I391" s="1735"/>
      <c r="J391" s="1737"/>
      <c r="K391" s="1734" t="s">
        <v>5883</v>
      </c>
      <c r="L391" s="1735"/>
      <c r="M391" s="1748">
        <v>95848000</v>
      </c>
      <c r="N391" s="1770" t="s">
        <v>5303</v>
      </c>
      <c r="O391" s="1740"/>
      <c r="P391" s="1740"/>
    </row>
    <row r="392" spans="1:16" s="1741" customFormat="1" ht="42" customHeight="1" x14ac:dyDescent="0.2">
      <c r="A392" s="1769">
        <v>382</v>
      </c>
      <c r="B392" s="1747" t="s">
        <v>5260</v>
      </c>
      <c r="C392" s="1735" t="s">
        <v>4365</v>
      </c>
      <c r="D392" s="1737"/>
      <c r="E392" s="1751">
        <v>1600</v>
      </c>
      <c r="F392" s="1735">
        <v>2018</v>
      </c>
      <c r="G392" s="1734" t="s">
        <v>3445</v>
      </c>
      <c r="H392" s="1736"/>
      <c r="I392" s="1735"/>
      <c r="J392" s="1737"/>
      <c r="K392" s="1734" t="s">
        <v>5883</v>
      </c>
      <c r="L392" s="1735"/>
      <c r="M392" s="1748">
        <v>164800000</v>
      </c>
      <c r="N392" s="1770" t="s">
        <v>5303</v>
      </c>
      <c r="O392" s="1740"/>
      <c r="P392" s="1740"/>
    </row>
    <row r="393" spans="1:16" s="1741" customFormat="1" ht="42" customHeight="1" x14ac:dyDescent="0.2">
      <c r="A393" s="1769">
        <v>383</v>
      </c>
      <c r="B393" s="1747" t="s">
        <v>5261</v>
      </c>
      <c r="C393" s="1735" t="s">
        <v>4365</v>
      </c>
      <c r="D393" s="1737"/>
      <c r="E393" s="1751">
        <v>6400</v>
      </c>
      <c r="F393" s="1735">
        <v>2018</v>
      </c>
      <c r="G393" s="1734" t="s">
        <v>3445</v>
      </c>
      <c r="H393" s="1736"/>
      <c r="I393" s="1735"/>
      <c r="J393" s="1737"/>
      <c r="K393" s="1734" t="s">
        <v>5883</v>
      </c>
      <c r="L393" s="1735"/>
      <c r="M393" s="1748">
        <v>659200000</v>
      </c>
      <c r="N393" s="1770" t="s">
        <v>5303</v>
      </c>
      <c r="O393" s="1740"/>
      <c r="P393" s="1740"/>
    </row>
    <row r="394" spans="1:16" s="1741" customFormat="1" ht="42" customHeight="1" x14ac:dyDescent="0.2">
      <c r="A394" s="1769">
        <v>384</v>
      </c>
      <c r="B394" s="1747" t="s">
        <v>5262</v>
      </c>
      <c r="C394" s="1735" t="s">
        <v>4365</v>
      </c>
      <c r="D394" s="1737"/>
      <c r="E394" s="1751">
        <v>40000</v>
      </c>
      <c r="F394" s="1735">
        <v>2018</v>
      </c>
      <c r="G394" s="1734" t="s">
        <v>4966</v>
      </c>
      <c r="H394" s="1736"/>
      <c r="I394" s="1735"/>
      <c r="J394" s="1737"/>
      <c r="K394" s="1734" t="s">
        <v>5883</v>
      </c>
      <c r="L394" s="1735"/>
      <c r="M394" s="1748">
        <v>98000000</v>
      </c>
      <c r="N394" s="1770" t="s">
        <v>5303</v>
      </c>
      <c r="O394" s="1740"/>
      <c r="P394" s="1740"/>
    </row>
    <row r="395" spans="1:16" s="1741" customFormat="1" ht="42" customHeight="1" x14ac:dyDescent="0.2">
      <c r="A395" s="1769">
        <v>385</v>
      </c>
      <c r="B395" s="1747" t="s">
        <v>5263</v>
      </c>
      <c r="C395" s="1735" t="s">
        <v>4365</v>
      </c>
      <c r="D395" s="1737"/>
      <c r="E395" s="1751">
        <v>16800</v>
      </c>
      <c r="F395" s="1735">
        <v>2018</v>
      </c>
      <c r="G395" s="1734" t="s">
        <v>737</v>
      </c>
      <c r="H395" s="1736"/>
      <c r="I395" s="1735"/>
      <c r="J395" s="1737"/>
      <c r="K395" s="1734" t="s">
        <v>5883</v>
      </c>
      <c r="L395" s="1735"/>
      <c r="M395" s="1748">
        <v>58800000</v>
      </c>
      <c r="N395" s="1770" t="s">
        <v>5303</v>
      </c>
      <c r="O395" s="1740"/>
      <c r="P395" s="1740"/>
    </row>
    <row r="396" spans="1:16" s="1741" customFormat="1" ht="42" customHeight="1" x14ac:dyDescent="0.2">
      <c r="A396" s="1769">
        <v>386</v>
      </c>
      <c r="B396" s="1747" t="s">
        <v>5264</v>
      </c>
      <c r="C396" s="1735" t="s">
        <v>4365</v>
      </c>
      <c r="D396" s="1737"/>
      <c r="E396" s="1751">
        <v>46568</v>
      </c>
      <c r="F396" s="1735">
        <v>2018</v>
      </c>
      <c r="G396" s="1734" t="s">
        <v>2884</v>
      </c>
      <c r="H396" s="1736"/>
      <c r="I396" s="1735"/>
      <c r="J396" s="1737"/>
      <c r="K396" s="1734" t="s">
        <v>5883</v>
      </c>
      <c r="L396" s="1735"/>
      <c r="M396" s="1748">
        <v>651952000</v>
      </c>
      <c r="N396" s="1770" t="s">
        <v>5303</v>
      </c>
      <c r="O396" s="1740"/>
      <c r="P396" s="1740"/>
    </row>
    <row r="397" spans="1:16" s="1741" customFormat="1" ht="42" customHeight="1" x14ac:dyDescent="0.2">
      <c r="A397" s="1769">
        <v>387</v>
      </c>
      <c r="B397" s="1747" t="s">
        <v>5265</v>
      </c>
      <c r="C397" s="1735" t="s">
        <v>4365</v>
      </c>
      <c r="D397" s="1737"/>
      <c r="E397" s="1751">
        <v>2400</v>
      </c>
      <c r="F397" s="1735">
        <v>2018</v>
      </c>
      <c r="G397" s="1734" t="s">
        <v>5306</v>
      </c>
      <c r="H397" s="1736"/>
      <c r="I397" s="1735"/>
      <c r="J397" s="1737"/>
      <c r="K397" s="1734" t="s">
        <v>5883</v>
      </c>
      <c r="L397" s="1735"/>
      <c r="M397" s="1748">
        <v>248800000</v>
      </c>
      <c r="N397" s="1770" t="s">
        <v>5303</v>
      </c>
      <c r="O397" s="1740"/>
      <c r="P397" s="1740"/>
    </row>
    <row r="398" spans="1:16" s="1741" customFormat="1" ht="42" customHeight="1" x14ac:dyDescent="0.2">
      <c r="A398" s="1769">
        <v>388</v>
      </c>
      <c r="B398" s="1747" t="s">
        <v>5266</v>
      </c>
      <c r="C398" s="1735" t="s">
        <v>4365</v>
      </c>
      <c r="D398" s="1737"/>
      <c r="E398" s="1751">
        <v>24000</v>
      </c>
      <c r="F398" s="1735">
        <v>2018</v>
      </c>
      <c r="G398" s="1734" t="s">
        <v>901</v>
      </c>
      <c r="H398" s="1736"/>
      <c r="I398" s="1735"/>
      <c r="J398" s="1737"/>
      <c r="K398" s="1734" t="s">
        <v>5883</v>
      </c>
      <c r="L398" s="1735"/>
      <c r="M398" s="1748">
        <v>40800000</v>
      </c>
      <c r="N398" s="1770" t="s">
        <v>5303</v>
      </c>
      <c r="O398" s="1740"/>
      <c r="P398" s="1740"/>
    </row>
    <row r="399" spans="1:16" s="1741" customFormat="1" ht="42" customHeight="1" x14ac:dyDescent="0.2">
      <c r="A399" s="1769">
        <v>389</v>
      </c>
      <c r="B399" s="1747" t="s">
        <v>5267</v>
      </c>
      <c r="C399" s="1735" t="s">
        <v>4365</v>
      </c>
      <c r="D399" s="1737"/>
      <c r="E399" s="1751">
        <v>60000</v>
      </c>
      <c r="F399" s="1735">
        <v>2018</v>
      </c>
      <c r="G399" s="1734" t="s">
        <v>5307</v>
      </c>
      <c r="H399" s="1736"/>
      <c r="I399" s="1735"/>
      <c r="J399" s="1737"/>
      <c r="K399" s="1734" t="s">
        <v>5883</v>
      </c>
      <c r="L399" s="1735"/>
      <c r="M399" s="1748">
        <v>436920000</v>
      </c>
      <c r="N399" s="1770" t="s">
        <v>5303</v>
      </c>
      <c r="O399" s="1740"/>
      <c r="P399" s="1740"/>
    </row>
    <row r="400" spans="1:16" s="1741" customFormat="1" ht="42" customHeight="1" x14ac:dyDescent="0.2">
      <c r="A400" s="1769">
        <v>390</v>
      </c>
      <c r="B400" s="1747" t="s">
        <v>5268</v>
      </c>
      <c r="C400" s="1735" t="s">
        <v>4365</v>
      </c>
      <c r="D400" s="1737"/>
      <c r="E400" s="1751">
        <v>2000</v>
      </c>
      <c r="F400" s="1735">
        <v>2018</v>
      </c>
      <c r="G400" s="1734" t="s">
        <v>899</v>
      </c>
      <c r="H400" s="1736"/>
      <c r="I400" s="1735"/>
      <c r="J400" s="1737"/>
      <c r="K400" s="1734" t="s">
        <v>5883</v>
      </c>
      <c r="L400" s="1735"/>
      <c r="M400" s="1748">
        <v>3400000</v>
      </c>
      <c r="N400" s="1770" t="s">
        <v>5303</v>
      </c>
      <c r="O400" s="1740"/>
      <c r="P400" s="1740"/>
    </row>
    <row r="401" spans="1:16" s="1741" customFormat="1" ht="42" customHeight="1" x14ac:dyDescent="0.2">
      <c r="A401" s="1769">
        <v>391</v>
      </c>
      <c r="B401" s="1747" t="s">
        <v>5269</v>
      </c>
      <c r="C401" s="1735" t="s">
        <v>4365</v>
      </c>
      <c r="D401" s="1737"/>
      <c r="E401" s="1751">
        <v>37816</v>
      </c>
      <c r="F401" s="1735">
        <v>2018</v>
      </c>
      <c r="G401" s="1734" t="s">
        <v>5308</v>
      </c>
      <c r="H401" s="1736"/>
      <c r="I401" s="1735"/>
      <c r="J401" s="1737"/>
      <c r="K401" s="1734" t="s">
        <v>5883</v>
      </c>
      <c r="L401" s="1735"/>
      <c r="M401" s="1748">
        <v>92649200</v>
      </c>
      <c r="N401" s="1770" t="s">
        <v>5303</v>
      </c>
      <c r="O401" s="1740"/>
      <c r="P401" s="1740"/>
    </row>
    <row r="402" spans="1:16" s="1741" customFormat="1" ht="42" customHeight="1" x14ac:dyDescent="0.2">
      <c r="A402" s="1769">
        <v>392</v>
      </c>
      <c r="B402" s="1747" t="s">
        <v>5270</v>
      </c>
      <c r="C402" s="1735" t="s">
        <v>4365</v>
      </c>
      <c r="D402" s="1737"/>
      <c r="E402" s="1751">
        <v>12000</v>
      </c>
      <c r="F402" s="1735">
        <v>2018</v>
      </c>
      <c r="G402" s="1734" t="s">
        <v>4918</v>
      </c>
      <c r="H402" s="1736"/>
      <c r="I402" s="1735"/>
      <c r="J402" s="1737"/>
      <c r="K402" s="1734" t="s">
        <v>5883</v>
      </c>
      <c r="L402" s="1735"/>
      <c r="M402" s="1748">
        <v>222800000</v>
      </c>
      <c r="N402" s="1770" t="s">
        <v>5303</v>
      </c>
      <c r="O402" s="1740"/>
      <c r="P402" s="1740"/>
    </row>
    <row r="403" spans="1:16" s="1741" customFormat="1" ht="42" customHeight="1" x14ac:dyDescent="0.2">
      <c r="A403" s="1769">
        <v>393</v>
      </c>
      <c r="B403" s="1747" t="s">
        <v>5271</v>
      </c>
      <c r="C403" s="1735" t="s">
        <v>4365</v>
      </c>
      <c r="D403" s="1737"/>
      <c r="E403" s="1751">
        <v>17600</v>
      </c>
      <c r="F403" s="1735">
        <v>2018</v>
      </c>
      <c r="G403" s="1734" t="s">
        <v>769</v>
      </c>
      <c r="H403" s="1736"/>
      <c r="I403" s="1735"/>
      <c r="J403" s="1737"/>
      <c r="K403" s="1734" t="s">
        <v>5883</v>
      </c>
      <c r="L403" s="1735"/>
      <c r="M403" s="1748">
        <v>68504000</v>
      </c>
      <c r="N403" s="1770" t="s">
        <v>5303</v>
      </c>
      <c r="O403" s="1740"/>
      <c r="P403" s="1740"/>
    </row>
    <row r="404" spans="1:16" s="1741" customFormat="1" ht="42" customHeight="1" x14ac:dyDescent="0.2">
      <c r="A404" s="1769">
        <v>394</v>
      </c>
      <c r="B404" s="1747" t="s">
        <v>5272</v>
      </c>
      <c r="C404" s="1735" t="s">
        <v>4365</v>
      </c>
      <c r="D404" s="1737"/>
      <c r="E404" s="1751">
        <v>6800</v>
      </c>
      <c r="F404" s="1735">
        <v>2018</v>
      </c>
      <c r="G404" s="1734" t="s">
        <v>3445</v>
      </c>
      <c r="H404" s="1736"/>
      <c r="I404" s="1735"/>
      <c r="J404" s="1737"/>
      <c r="K404" s="1734" t="s">
        <v>5883</v>
      </c>
      <c r="L404" s="1735"/>
      <c r="M404" s="1748">
        <v>95200000</v>
      </c>
      <c r="N404" s="1770" t="s">
        <v>5303</v>
      </c>
      <c r="O404" s="1740"/>
      <c r="P404" s="1740"/>
    </row>
    <row r="405" spans="1:16" s="1741" customFormat="1" ht="42" customHeight="1" x14ac:dyDescent="0.2">
      <c r="A405" s="1769">
        <v>395</v>
      </c>
      <c r="B405" s="1747" t="s">
        <v>5273</v>
      </c>
      <c r="C405" s="1735" t="s">
        <v>4365</v>
      </c>
      <c r="D405" s="1737"/>
      <c r="E405" s="1751">
        <v>22800</v>
      </c>
      <c r="F405" s="1735">
        <v>2018</v>
      </c>
      <c r="G405" s="1734" t="s">
        <v>5309</v>
      </c>
      <c r="H405" s="1736"/>
      <c r="I405" s="1735"/>
      <c r="J405" s="1737"/>
      <c r="K405" s="1734" t="s">
        <v>5883</v>
      </c>
      <c r="L405" s="1735"/>
      <c r="M405" s="1748">
        <v>228000000</v>
      </c>
      <c r="N405" s="1770" t="s">
        <v>5303</v>
      </c>
      <c r="O405" s="1740"/>
      <c r="P405" s="1740"/>
    </row>
    <row r="406" spans="1:16" s="1741" customFormat="1" ht="42" customHeight="1" x14ac:dyDescent="0.2">
      <c r="A406" s="1769">
        <v>396</v>
      </c>
      <c r="B406" s="1747" t="s">
        <v>5274</v>
      </c>
      <c r="C406" s="1735" t="s">
        <v>4365</v>
      </c>
      <c r="D406" s="1737"/>
      <c r="E406" s="1751">
        <v>6800</v>
      </c>
      <c r="F406" s="1735">
        <v>2018</v>
      </c>
      <c r="G406" s="1734" t="s">
        <v>3396</v>
      </c>
      <c r="H406" s="1736"/>
      <c r="I406" s="1735"/>
      <c r="J406" s="1737"/>
      <c r="K406" s="1734" t="s">
        <v>5883</v>
      </c>
      <c r="L406" s="1735"/>
      <c r="M406" s="1748">
        <v>16660000</v>
      </c>
      <c r="N406" s="1770" t="s">
        <v>5303</v>
      </c>
      <c r="O406" s="1740"/>
      <c r="P406" s="1740"/>
    </row>
    <row r="407" spans="1:16" s="1741" customFormat="1" ht="42" customHeight="1" x14ac:dyDescent="0.2">
      <c r="A407" s="1769">
        <v>397</v>
      </c>
      <c r="B407" s="1747" t="s">
        <v>5275</v>
      </c>
      <c r="C407" s="1735" t="s">
        <v>4365</v>
      </c>
      <c r="D407" s="1737"/>
      <c r="E407" s="1751">
        <v>16800</v>
      </c>
      <c r="F407" s="1735">
        <v>2018</v>
      </c>
      <c r="G407" s="1734" t="s">
        <v>3482</v>
      </c>
      <c r="H407" s="1736"/>
      <c r="I407" s="1735"/>
      <c r="J407" s="1737"/>
      <c r="K407" s="1734" t="s">
        <v>5883</v>
      </c>
      <c r="L407" s="1735"/>
      <c r="M407" s="1748">
        <v>20160000</v>
      </c>
      <c r="N407" s="1770" t="s">
        <v>5303</v>
      </c>
      <c r="O407" s="1740"/>
      <c r="P407" s="1740"/>
    </row>
    <row r="408" spans="1:16" s="1741" customFormat="1" ht="42" customHeight="1" x14ac:dyDescent="0.2">
      <c r="A408" s="1769">
        <v>398</v>
      </c>
      <c r="B408" s="1747" t="s">
        <v>5276</v>
      </c>
      <c r="C408" s="1735" t="s">
        <v>4365</v>
      </c>
      <c r="D408" s="1737"/>
      <c r="E408" s="1751">
        <v>7536</v>
      </c>
      <c r="F408" s="1735">
        <v>2018</v>
      </c>
      <c r="G408" s="1734" t="s">
        <v>2998</v>
      </c>
      <c r="H408" s="1736"/>
      <c r="I408" s="1735"/>
      <c r="J408" s="1737"/>
      <c r="K408" s="1734" t="s">
        <v>5883</v>
      </c>
      <c r="L408" s="1735"/>
      <c r="M408" s="1748">
        <v>150720000</v>
      </c>
      <c r="N408" s="1770" t="s">
        <v>5303</v>
      </c>
      <c r="O408" s="1740"/>
      <c r="P408" s="1740"/>
    </row>
    <row r="409" spans="1:16" s="1741" customFormat="1" ht="42" customHeight="1" x14ac:dyDescent="0.2">
      <c r="A409" s="1769">
        <v>399</v>
      </c>
      <c r="B409" s="1747" t="s">
        <v>5277</v>
      </c>
      <c r="C409" s="1735" t="s">
        <v>4365</v>
      </c>
      <c r="D409" s="1737"/>
      <c r="E409" s="1751">
        <v>12000</v>
      </c>
      <c r="F409" s="1735">
        <v>2018</v>
      </c>
      <c r="G409" s="1734" t="s">
        <v>897</v>
      </c>
      <c r="H409" s="1736"/>
      <c r="I409" s="1735"/>
      <c r="J409" s="1737"/>
      <c r="K409" s="1734" t="s">
        <v>5883</v>
      </c>
      <c r="L409" s="1735"/>
      <c r="M409" s="1748">
        <v>168000000</v>
      </c>
      <c r="N409" s="1770" t="s">
        <v>5303</v>
      </c>
      <c r="O409" s="1740"/>
      <c r="P409" s="1740"/>
    </row>
    <row r="410" spans="1:16" s="1741" customFormat="1" ht="42" customHeight="1" x14ac:dyDescent="0.2">
      <c r="A410" s="1769">
        <v>400</v>
      </c>
      <c r="B410" s="1747" t="s">
        <v>5278</v>
      </c>
      <c r="C410" s="1735" t="s">
        <v>4365</v>
      </c>
      <c r="D410" s="1737"/>
      <c r="E410" s="1751">
        <v>9600</v>
      </c>
      <c r="F410" s="1735">
        <v>2018</v>
      </c>
      <c r="G410" s="1734" t="s">
        <v>428</v>
      </c>
      <c r="H410" s="1736"/>
      <c r="I410" s="1735"/>
      <c r="J410" s="1737"/>
      <c r="K410" s="1734" t="s">
        <v>5883</v>
      </c>
      <c r="L410" s="1735"/>
      <c r="M410" s="1748">
        <v>134400000</v>
      </c>
      <c r="N410" s="1770" t="s">
        <v>5303</v>
      </c>
      <c r="O410" s="1740"/>
      <c r="P410" s="1740"/>
    </row>
    <row r="411" spans="1:16" s="1741" customFormat="1" ht="42" customHeight="1" x14ac:dyDescent="0.2">
      <c r="A411" s="1769">
        <v>401</v>
      </c>
      <c r="B411" s="1747" t="s">
        <v>5279</v>
      </c>
      <c r="C411" s="1735" t="s">
        <v>4365</v>
      </c>
      <c r="D411" s="1737"/>
      <c r="E411" s="1751">
        <v>3512</v>
      </c>
      <c r="F411" s="1735">
        <v>2018</v>
      </c>
      <c r="G411" s="1734" t="s">
        <v>893</v>
      </c>
      <c r="H411" s="1736"/>
      <c r="I411" s="1735"/>
      <c r="J411" s="1737"/>
      <c r="K411" s="1734" t="s">
        <v>5883</v>
      </c>
      <c r="L411" s="1735"/>
      <c r="M411" s="1748">
        <v>94824000</v>
      </c>
      <c r="N411" s="1770" t="s">
        <v>5303</v>
      </c>
      <c r="O411" s="1740"/>
      <c r="P411" s="1740"/>
    </row>
    <row r="412" spans="1:16" s="1741" customFormat="1" ht="42" customHeight="1" x14ac:dyDescent="0.2">
      <c r="A412" s="1769">
        <v>402</v>
      </c>
      <c r="B412" s="1747" t="s">
        <v>5280</v>
      </c>
      <c r="C412" s="1735" t="s">
        <v>4365</v>
      </c>
      <c r="D412" s="1737"/>
      <c r="E412" s="1751">
        <v>16800</v>
      </c>
      <c r="F412" s="1735">
        <v>2018</v>
      </c>
      <c r="G412" s="1734" t="s">
        <v>5310</v>
      </c>
      <c r="H412" s="1736"/>
      <c r="I412" s="1735"/>
      <c r="J412" s="1737"/>
      <c r="K412" s="1734" t="s">
        <v>5883</v>
      </c>
      <c r="L412" s="1735"/>
      <c r="M412" s="1748">
        <v>120120000</v>
      </c>
      <c r="N412" s="1770" t="s">
        <v>5303</v>
      </c>
      <c r="O412" s="1740"/>
      <c r="P412" s="1740"/>
    </row>
    <row r="413" spans="1:16" s="1741" customFormat="1" ht="42" customHeight="1" x14ac:dyDescent="0.2">
      <c r="A413" s="1769">
        <v>403</v>
      </c>
      <c r="B413" s="1747" t="s">
        <v>5281</v>
      </c>
      <c r="C413" s="1735" t="s">
        <v>4365</v>
      </c>
      <c r="D413" s="1737"/>
      <c r="E413" s="1751">
        <v>6000</v>
      </c>
      <c r="F413" s="1735">
        <v>2018</v>
      </c>
      <c r="G413" s="1734" t="s">
        <v>3471</v>
      </c>
      <c r="H413" s="1736"/>
      <c r="I413" s="1735"/>
      <c r="J413" s="1737"/>
      <c r="K413" s="1734" t="s">
        <v>5883</v>
      </c>
      <c r="L413" s="1735"/>
      <c r="M413" s="1748">
        <v>10200000</v>
      </c>
      <c r="N413" s="1770" t="s">
        <v>5303</v>
      </c>
      <c r="O413" s="1740"/>
      <c r="P413" s="1740"/>
    </row>
    <row r="414" spans="1:16" s="1741" customFormat="1" ht="42" customHeight="1" x14ac:dyDescent="0.2">
      <c r="A414" s="1769">
        <v>404</v>
      </c>
      <c r="B414" s="1747" t="s">
        <v>5282</v>
      </c>
      <c r="C414" s="1735" t="s">
        <v>4365</v>
      </c>
      <c r="D414" s="1737"/>
      <c r="E414" s="1751">
        <v>24000</v>
      </c>
      <c r="F414" s="1735">
        <v>2018</v>
      </c>
      <c r="G414" s="1734" t="s">
        <v>5311</v>
      </c>
      <c r="H414" s="1736"/>
      <c r="I414" s="1735"/>
      <c r="J414" s="1737"/>
      <c r="K414" s="1734" t="s">
        <v>5883</v>
      </c>
      <c r="L414" s="1735"/>
      <c r="M414" s="1748">
        <v>92480000</v>
      </c>
      <c r="N414" s="1770" t="s">
        <v>5303</v>
      </c>
      <c r="O414" s="1740"/>
      <c r="P414" s="1740"/>
    </row>
    <row r="415" spans="1:16" s="1741" customFormat="1" ht="42" customHeight="1" x14ac:dyDescent="0.2">
      <c r="A415" s="1769">
        <v>405</v>
      </c>
      <c r="B415" s="1747" t="s">
        <v>5283</v>
      </c>
      <c r="C415" s="1735" t="s">
        <v>4365</v>
      </c>
      <c r="D415" s="1737"/>
      <c r="E415" s="1751">
        <v>9600</v>
      </c>
      <c r="F415" s="1735">
        <v>2018</v>
      </c>
      <c r="G415" s="1734" t="s">
        <v>2885</v>
      </c>
      <c r="H415" s="1736"/>
      <c r="I415" s="1735"/>
      <c r="J415" s="1737"/>
      <c r="K415" s="1734" t="s">
        <v>5883</v>
      </c>
      <c r="L415" s="1735"/>
      <c r="M415" s="1748">
        <v>16320000</v>
      </c>
      <c r="N415" s="1770" t="s">
        <v>5303</v>
      </c>
      <c r="O415" s="1740"/>
      <c r="P415" s="1740"/>
    </row>
    <row r="416" spans="1:16" s="1741" customFormat="1" ht="42" customHeight="1" x14ac:dyDescent="0.2">
      <c r="A416" s="1769">
        <v>406</v>
      </c>
      <c r="B416" s="1747" t="s">
        <v>5284</v>
      </c>
      <c r="C416" s="1735" t="s">
        <v>4365</v>
      </c>
      <c r="D416" s="1737"/>
      <c r="E416" s="1751">
        <v>9600</v>
      </c>
      <c r="F416" s="1735">
        <v>2018</v>
      </c>
      <c r="G416" s="1734" t="s">
        <v>5312</v>
      </c>
      <c r="H416" s="1736"/>
      <c r="I416" s="1735"/>
      <c r="J416" s="1737"/>
      <c r="K416" s="1734" t="s">
        <v>5883</v>
      </c>
      <c r="L416" s="1735"/>
      <c r="M416" s="1748">
        <v>16320000</v>
      </c>
      <c r="N416" s="1770" t="s">
        <v>5303</v>
      </c>
      <c r="O416" s="1740"/>
      <c r="P416" s="1740"/>
    </row>
    <row r="417" spans="1:16" s="1741" customFormat="1" ht="42" customHeight="1" x14ac:dyDescent="0.2">
      <c r="A417" s="1769">
        <v>407</v>
      </c>
      <c r="B417" s="1747" t="s">
        <v>5285</v>
      </c>
      <c r="C417" s="1735" t="s">
        <v>4365</v>
      </c>
      <c r="D417" s="1737"/>
      <c r="E417" s="1751">
        <v>32800</v>
      </c>
      <c r="F417" s="1735">
        <v>2018</v>
      </c>
      <c r="G417" s="1734" t="s">
        <v>5313</v>
      </c>
      <c r="H417" s="1736"/>
      <c r="I417" s="1735"/>
      <c r="J417" s="1737"/>
      <c r="K417" s="1734" t="s">
        <v>5883</v>
      </c>
      <c r="L417" s="1735"/>
      <c r="M417" s="1748">
        <v>53760000</v>
      </c>
      <c r="N417" s="1770" t="s">
        <v>5303</v>
      </c>
      <c r="O417" s="1740"/>
      <c r="P417" s="1740"/>
    </row>
    <row r="418" spans="1:16" s="1741" customFormat="1" ht="42" customHeight="1" x14ac:dyDescent="0.2">
      <c r="A418" s="1769">
        <v>408</v>
      </c>
      <c r="B418" s="1747" t="s">
        <v>5286</v>
      </c>
      <c r="C418" s="1735" t="s">
        <v>4365</v>
      </c>
      <c r="D418" s="1737"/>
      <c r="E418" s="1751">
        <v>2915</v>
      </c>
      <c r="F418" s="1735">
        <v>2018</v>
      </c>
      <c r="G418" s="1734" t="s">
        <v>2998</v>
      </c>
      <c r="H418" s="1736"/>
      <c r="I418" s="1735"/>
      <c r="J418" s="1737"/>
      <c r="K418" s="1734" t="s">
        <v>5883</v>
      </c>
      <c r="L418" s="1735"/>
      <c r="M418" s="1748">
        <v>40810000</v>
      </c>
      <c r="N418" s="1770" t="s">
        <v>5303</v>
      </c>
      <c r="O418" s="1740"/>
      <c r="P418" s="1740"/>
    </row>
    <row r="419" spans="1:16" s="1741" customFormat="1" ht="42" customHeight="1" x14ac:dyDescent="0.2">
      <c r="A419" s="1769">
        <v>409</v>
      </c>
      <c r="B419" s="1747" t="s">
        <v>5287</v>
      </c>
      <c r="C419" s="1735" t="s">
        <v>4365</v>
      </c>
      <c r="D419" s="1737"/>
      <c r="E419" s="1751">
        <v>2120</v>
      </c>
      <c r="F419" s="1735">
        <v>2018</v>
      </c>
      <c r="G419" s="1734" t="s">
        <v>2593</v>
      </c>
      <c r="H419" s="1736"/>
      <c r="I419" s="1735"/>
      <c r="J419" s="1737"/>
      <c r="K419" s="1734" t="s">
        <v>5883</v>
      </c>
      <c r="L419" s="1735"/>
      <c r="M419" s="1748">
        <v>5194000</v>
      </c>
      <c r="N419" s="1770" t="s">
        <v>5303</v>
      </c>
      <c r="O419" s="1740"/>
      <c r="P419" s="1740"/>
    </row>
    <row r="420" spans="1:16" s="1741" customFormat="1" ht="42" customHeight="1" x14ac:dyDescent="0.2">
      <c r="A420" s="1769">
        <v>410</v>
      </c>
      <c r="B420" s="1747" t="s">
        <v>5288</v>
      </c>
      <c r="C420" s="1735" t="s">
        <v>4365</v>
      </c>
      <c r="D420" s="1737"/>
      <c r="E420" s="1751">
        <v>8000</v>
      </c>
      <c r="F420" s="1735">
        <v>2018</v>
      </c>
      <c r="G420" s="1734" t="s">
        <v>423</v>
      </c>
      <c r="H420" s="1736"/>
      <c r="I420" s="1735"/>
      <c r="J420" s="1737"/>
      <c r="K420" s="1734" t="s">
        <v>5883</v>
      </c>
      <c r="L420" s="1735"/>
      <c r="M420" s="1748">
        <v>28000000</v>
      </c>
      <c r="N420" s="1770" t="s">
        <v>5303</v>
      </c>
      <c r="O420" s="1740"/>
      <c r="P420" s="1740"/>
    </row>
    <row r="421" spans="1:16" s="1741" customFormat="1" ht="42" customHeight="1" x14ac:dyDescent="0.2">
      <c r="A421" s="1769">
        <v>411</v>
      </c>
      <c r="B421" s="1747" t="s">
        <v>5289</v>
      </c>
      <c r="C421" s="1735" t="s">
        <v>4365</v>
      </c>
      <c r="D421" s="1737"/>
      <c r="E421" s="1751">
        <v>5144</v>
      </c>
      <c r="F421" s="1735">
        <v>2018</v>
      </c>
      <c r="G421" s="1734" t="s">
        <v>423</v>
      </c>
      <c r="H421" s="1736"/>
      <c r="I421" s="1735"/>
      <c r="J421" s="1737"/>
      <c r="K421" s="1734" t="s">
        <v>5883</v>
      </c>
      <c r="L421" s="1735"/>
      <c r="M421" s="1748">
        <v>18004000</v>
      </c>
      <c r="N421" s="1770" t="s">
        <v>5303</v>
      </c>
      <c r="O421" s="1740"/>
      <c r="P421" s="1740"/>
    </row>
    <row r="422" spans="1:16" s="1741" customFormat="1" ht="42" customHeight="1" x14ac:dyDescent="0.2">
      <c r="A422" s="1769">
        <v>412</v>
      </c>
      <c r="B422" s="1747" t="s">
        <v>5290</v>
      </c>
      <c r="C422" s="1735" t="s">
        <v>4365</v>
      </c>
      <c r="D422" s="1737"/>
      <c r="E422" s="1751">
        <v>22400</v>
      </c>
      <c r="F422" s="1735">
        <v>2018</v>
      </c>
      <c r="G422" s="1734" t="s">
        <v>423</v>
      </c>
      <c r="H422" s="1736"/>
      <c r="I422" s="1735"/>
      <c r="J422" s="1737"/>
      <c r="K422" s="1734" t="s">
        <v>5883</v>
      </c>
      <c r="L422" s="1735"/>
      <c r="M422" s="1748">
        <v>224000000</v>
      </c>
      <c r="N422" s="1770" t="s">
        <v>5303</v>
      </c>
      <c r="O422" s="1740"/>
      <c r="P422" s="1740"/>
    </row>
    <row r="423" spans="1:16" s="1741" customFormat="1" ht="42" customHeight="1" x14ac:dyDescent="0.2">
      <c r="A423" s="1769">
        <v>413</v>
      </c>
      <c r="B423" s="1747" t="s">
        <v>5291</v>
      </c>
      <c r="C423" s="1735" t="s">
        <v>4365</v>
      </c>
      <c r="D423" s="1737"/>
      <c r="E423" s="1751">
        <v>2800</v>
      </c>
      <c r="F423" s="1735">
        <v>2018</v>
      </c>
      <c r="G423" s="1734" t="s">
        <v>5314</v>
      </c>
      <c r="H423" s="1736"/>
      <c r="I423" s="1735"/>
      <c r="J423" s="1737"/>
      <c r="K423" s="1734" t="s">
        <v>5883</v>
      </c>
      <c r="L423" s="1735"/>
      <c r="M423" s="1748">
        <v>200020000</v>
      </c>
      <c r="N423" s="1770" t="s">
        <v>5303</v>
      </c>
      <c r="O423" s="1740"/>
      <c r="P423" s="1740"/>
    </row>
    <row r="424" spans="1:16" s="1741" customFormat="1" ht="42" customHeight="1" x14ac:dyDescent="0.2">
      <c r="A424" s="1769">
        <v>414</v>
      </c>
      <c r="B424" s="1747" t="s">
        <v>5292</v>
      </c>
      <c r="C424" s="1735" t="s">
        <v>4365</v>
      </c>
      <c r="D424" s="1737"/>
      <c r="E424" s="1751">
        <v>8800</v>
      </c>
      <c r="F424" s="1735">
        <v>2018</v>
      </c>
      <c r="G424" s="1734" t="s">
        <v>737</v>
      </c>
      <c r="H424" s="1736"/>
      <c r="I424" s="1735"/>
      <c r="J424" s="1737"/>
      <c r="K424" s="1734" t="s">
        <v>5883</v>
      </c>
      <c r="L424" s="1735"/>
      <c r="M424" s="1748">
        <v>14960000</v>
      </c>
      <c r="N424" s="1770" t="s">
        <v>5303</v>
      </c>
      <c r="O424" s="1740"/>
      <c r="P424" s="1740"/>
    </row>
    <row r="425" spans="1:16" s="1741" customFormat="1" ht="42" customHeight="1" x14ac:dyDescent="0.2">
      <c r="A425" s="1769">
        <v>415</v>
      </c>
      <c r="B425" s="1747" t="s">
        <v>5293</v>
      </c>
      <c r="C425" s="1735" t="s">
        <v>4365</v>
      </c>
      <c r="D425" s="1737"/>
      <c r="E425" s="1751">
        <v>9600</v>
      </c>
      <c r="F425" s="1735">
        <v>2018</v>
      </c>
      <c r="G425" s="1734" t="s">
        <v>5315</v>
      </c>
      <c r="H425" s="1736"/>
      <c r="I425" s="1735"/>
      <c r="J425" s="1737"/>
      <c r="K425" s="1734" t="s">
        <v>5883</v>
      </c>
      <c r="L425" s="1735"/>
      <c r="M425" s="1748">
        <v>23520000</v>
      </c>
      <c r="N425" s="1770" t="s">
        <v>5303</v>
      </c>
      <c r="O425" s="1740"/>
      <c r="P425" s="1740"/>
    </row>
    <row r="426" spans="1:16" s="1741" customFormat="1" ht="42" customHeight="1" x14ac:dyDescent="0.2">
      <c r="A426" s="1769">
        <v>416</v>
      </c>
      <c r="B426" s="1747" t="s">
        <v>5294</v>
      </c>
      <c r="C426" s="1735" t="s">
        <v>4365</v>
      </c>
      <c r="D426" s="1737"/>
      <c r="E426" s="1751">
        <v>11200</v>
      </c>
      <c r="F426" s="1735">
        <v>2018</v>
      </c>
      <c r="G426" s="1734" t="s">
        <v>3090</v>
      </c>
      <c r="H426" s="1736"/>
      <c r="I426" s="1735"/>
      <c r="J426" s="1737"/>
      <c r="K426" s="1734" t="s">
        <v>5883</v>
      </c>
      <c r="L426" s="1735"/>
      <c r="M426" s="1748">
        <v>302400000</v>
      </c>
      <c r="N426" s="1770" t="s">
        <v>5303</v>
      </c>
      <c r="O426" s="1740"/>
      <c r="P426" s="1740"/>
    </row>
    <row r="427" spans="1:16" s="1741" customFormat="1" ht="42" customHeight="1" x14ac:dyDescent="0.2">
      <c r="A427" s="1769">
        <v>417</v>
      </c>
      <c r="B427" s="1747" t="s">
        <v>5295</v>
      </c>
      <c r="C427" s="1735" t="s">
        <v>4365</v>
      </c>
      <c r="D427" s="1737"/>
      <c r="E427" s="1751">
        <v>16000</v>
      </c>
      <c r="F427" s="1735">
        <v>2018</v>
      </c>
      <c r="G427" s="1734" t="s">
        <v>4965</v>
      </c>
      <c r="H427" s="1736"/>
      <c r="I427" s="1735"/>
      <c r="J427" s="1737"/>
      <c r="K427" s="1734" t="s">
        <v>5883</v>
      </c>
      <c r="L427" s="1735"/>
      <c r="M427" s="1748">
        <v>56000000</v>
      </c>
      <c r="N427" s="1770" t="s">
        <v>5303</v>
      </c>
      <c r="O427" s="1740"/>
      <c r="P427" s="1740"/>
    </row>
    <row r="428" spans="1:16" s="1741" customFormat="1" ht="42" customHeight="1" x14ac:dyDescent="0.2">
      <c r="A428" s="1769">
        <v>418</v>
      </c>
      <c r="B428" s="1747" t="s">
        <v>5296</v>
      </c>
      <c r="C428" s="1735" t="s">
        <v>4365</v>
      </c>
      <c r="D428" s="1737"/>
      <c r="E428" s="1751">
        <v>11200</v>
      </c>
      <c r="F428" s="1735">
        <v>2018</v>
      </c>
      <c r="G428" s="1734" t="s">
        <v>417</v>
      </c>
      <c r="H428" s="1736"/>
      <c r="I428" s="1735"/>
      <c r="J428" s="1737"/>
      <c r="K428" s="1734" t="s">
        <v>5883</v>
      </c>
      <c r="L428" s="1735"/>
      <c r="M428" s="1748">
        <v>448000000</v>
      </c>
      <c r="N428" s="1770" t="s">
        <v>5303</v>
      </c>
      <c r="O428" s="1740"/>
      <c r="P428" s="1740"/>
    </row>
    <row r="429" spans="1:16" s="1741" customFormat="1" ht="42" customHeight="1" x14ac:dyDescent="0.2">
      <c r="A429" s="1769">
        <v>419</v>
      </c>
      <c r="B429" s="1747" t="s">
        <v>5297</v>
      </c>
      <c r="C429" s="1735" t="s">
        <v>4365</v>
      </c>
      <c r="D429" s="1737"/>
      <c r="E429" s="1751">
        <v>11440</v>
      </c>
      <c r="F429" s="1735">
        <v>2018</v>
      </c>
      <c r="G429" s="1734" t="s">
        <v>417</v>
      </c>
      <c r="H429" s="1736"/>
      <c r="I429" s="1735"/>
      <c r="J429" s="1737"/>
      <c r="K429" s="1734" t="s">
        <v>5883</v>
      </c>
      <c r="L429" s="1735"/>
      <c r="M429" s="1748">
        <v>160160000</v>
      </c>
      <c r="N429" s="1770" t="s">
        <v>5303</v>
      </c>
      <c r="O429" s="1740"/>
      <c r="P429" s="1740"/>
    </row>
    <row r="430" spans="1:16" s="1741" customFormat="1" ht="42" customHeight="1" x14ac:dyDescent="0.2">
      <c r="A430" s="1769">
        <v>420</v>
      </c>
      <c r="B430" s="1747" t="s">
        <v>5264</v>
      </c>
      <c r="C430" s="1735" t="s">
        <v>4365</v>
      </c>
      <c r="D430" s="1737"/>
      <c r="E430" s="1751">
        <f>17600+6400</f>
        <v>24000</v>
      </c>
      <c r="F430" s="1735">
        <v>2018</v>
      </c>
      <c r="G430" s="1734" t="s">
        <v>417</v>
      </c>
      <c r="H430" s="1736"/>
      <c r="I430" s="1735"/>
      <c r="J430" s="1737"/>
      <c r="K430" s="1734" t="s">
        <v>5883</v>
      </c>
      <c r="L430" s="1735"/>
      <c r="M430" s="1748">
        <f>21120000+89600000</f>
        <v>110720000</v>
      </c>
      <c r="N430" s="1770" t="s">
        <v>5303</v>
      </c>
      <c r="O430" s="1740"/>
      <c r="P430" s="1740"/>
    </row>
    <row r="431" spans="1:16" s="1741" customFormat="1" ht="42" customHeight="1" x14ac:dyDescent="0.2">
      <c r="A431" s="1769">
        <v>421</v>
      </c>
      <c r="B431" s="1747" t="s">
        <v>5298</v>
      </c>
      <c r="C431" s="1735" t="s">
        <v>4365</v>
      </c>
      <c r="D431" s="1737"/>
      <c r="E431" s="1751">
        <v>109440</v>
      </c>
      <c r="F431" s="1735">
        <v>2018</v>
      </c>
      <c r="G431" s="1734" t="s">
        <v>417</v>
      </c>
      <c r="H431" s="1736"/>
      <c r="I431" s="1735"/>
      <c r="J431" s="1737"/>
      <c r="K431" s="1734" t="s">
        <v>5883</v>
      </c>
      <c r="L431" s="1735"/>
      <c r="M431" s="1748">
        <v>64960000</v>
      </c>
      <c r="N431" s="1770" t="s">
        <v>5303</v>
      </c>
      <c r="O431" s="1740"/>
      <c r="P431" s="1740"/>
    </row>
    <row r="432" spans="1:16" s="1741" customFormat="1" ht="42" customHeight="1" x14ac:dyDescent="0.2">
      <c r="A432" s="1769">
        <v>422</v>
      </c>
      <c r="B432" s="1747" t="s">
        <v>5299</v>
      </c>
      <c r="C432" s="1735" t="s">
        <v>4365</v>
      </c>
      <c r="D432" s="1737"/>
      <c r="E432" s="1751">
        <v>14400</v>
      </c>
      <c r="F432" s="1735">
        <v>2018</v>
      </c>
      <c r="G432" s="1734" t="s">
        <v>2593</v>
      </c>
      <c r="H432" s="1736"/>
      <c r="I432" s="1735"/>
      <c r="J432" s="1737"/>
      <c r="K432" s="1734" t="s">
        <v>5883</v>
      </c>
      <c r="L432" s="1735"/>
      <c r="M432" s="1748">
        <v>241760000</v>
      </c>
      <c r="N432" s="1770" t="s">
        <v>5303</v>
      </c>
      <c r="O432" s="1740"/>
      <c r="P432" s="1740"/>
    </row>
    <row r="433" spans="1:16" s="1741" customFormat="1" ht="42" customHeight="1" x14ac:dyDescent="0.2">
      <c r="A433" s="1769">
        <v>423</v>
      </c>
      <c r="B433" s="1747" t="s">
        <v>5300</v>
      </c>
      <c r="C433" s="1735" t="s">
        <v>4365</v>
      </c>
      <c r="D433" s="1737"/>
      <c r="E433" s="1751">
        <v>12000</v>
      </c>
      <c r="F433" s="1735">
        <v>2018</v>
      </c>
      <c r="G433" s="1734" t="s">
        <v>2590</v>
      </c>
      <c r="H433" s="1736"/>
      <c r="I433" s="1735"/>
      <c r="J433" s="1737"/>
      <c r="K433" s="1734" t="s">
        <v>5883</v>
      </c>
      <c r="L433" s="1735"/>
      <c r="M433" s="1748">
        <v>29400000</v>
      </c>
      <c r="N433" s="1770" t="s">
        <v>5303</v>
      </c>
      <c r="O433" s="1740"/>
      <c r="P433" s="1740"/>
    </row>
    <row r="434" spans="1:16" s="1741" customFormat="1" ht="42" customHeight="1" x14ac:dyDescent="0.2">
      <c r="A434" s="1769">
        <v>424</v>
      </c>
      <c r="B434" s="1747" t="s">
        <v>5301</v>
      </c>
      <c r="C434" s="1735" t="s">
        <v>4365</v>
      </c>
      <c r="D434" s="1737"/>
      <c r="E434" s="1751">
        <v>24000</v>
      </c>
      <c r="F434" s="1735">
        <v>2018</v>
      </c>
      <c r="G434" s="1734" t="s">
        <v>5315</v>
      </c>
      <c r="H434" s="1736"/>
      <c r="I434" s="1735"/>
      <c r="J434" s="1737"/>
      <c r="K434" s="1734" t="s">
        <v>5883</v>
      </c>
      <c r="L434" s="1735"/>
      <c r="M434" s="1748">
        <v>58800000</v>
      </c>
      <c r="N434" s="1770" t="s">
        <v>5303</v>
      </c>
      <c r="O434" s="1740"/>
      <c r="P434" s="1740"/>
    </row>
    <row r="435" spans="1:16" s="1741" customFormat="1" ht="42" customHeight="1" x14ac:dyDescent="0.2">
      <c r="A435" s="1769">
        <v>425</v>
      </c>
      <c r="B435" s="1747" t="s">
        <v>5302</v>
      </c>
      <c r="C435" s="1735" t="s">
        <v>4365</v>
      </c>
      <c r="D435" s="1737"/>
      <c r="E435" s="1751">
        <v>24000</v>
      </c>
      <c r="F435" s="1735">
        <v>2018</v>
      </c>
      <c r="G435" s="1734" t="s">
        <v>5316</v>
      </c>
      <c r="H435" s="1736"/>
      <c r="I435" s="1735"/>
      <c r="J435" s="1737"/>
      <c r="K435" s="1734" t="s">
        <v>5883</v>
      </c>
      <c r="L435" s="1735"/>
      <c r="M435" s="1748">
        <v>40800000</v>
      </c>
      <c r="N435" s="1770" t="s">
        <v>5303</v>
      </c>
      <c r="O435" s="1740"/>
      <c r="P435" s="1740"/>
    </row>
    <row r="436" spans="1:16" s="1741" customFormat="1" ht="63" customHeight="1" x14ac:dyDescent="0.2">
      <c r="A436" s="1769">
        <v>426</v>
      </c>
      <c r="B436" s="1747" t="s">
        <v>5894</v>
      </c>
      <c r="C436" s="1735" t="s">
        <v>4368</v>
      </c>
      <c r="D436" s="1737"/>
      <c r="E436" s="1751">
        <v>20000</v>
      </c>
      <c r="F436" s="1735">
        <v>2019</v>
      </c>
      <c r="G436" s="1734" t="s">
        <v>5908</v>
      </c>
      <c r="H436" s="1736"/>
      <c r="I436" s="1735"/>
      <c r="J436" s="1737"/>
      <c r="K436" s="1734" t="s">
        <v>5909</v>
      </c>
      <c r="L436" s="1735"/>
      <c r="M436" s="1748">
        <v>400000000</v>
      </c>
      <c r="N436" s="1770"/>
      <c r="O436" s="1740"/>
      <c r="P436" s="1740"/>
    </row>
    <row r="437" spans="1:16" s="1741" customFormat="1" ht="63" customHeight="1" x14ac:dyDescent="0.2">
      <c r="A437" s="1769">
        <v>427</v>
      </c>
      <c r="B437" s="1747" t="s">
        <v>5895</v>
      </c>
      <c r="C437" s="1735" t="s">
        <v>4368</v>
      </c>
      <c r="D437" s="1737"/>
      <c r="E437" s="1751">
        <v>700</v>
      </c>
      <c r="F437" s="1735">
        <v>2019</v>
      </c>
      <c r="G437" s="1734" t="s">
        <v>5908</v>
      </c>
      <c r="H437" s="1736"/>
      <c r="I437" s="1735"/>
      <c r="J437" s="1737"/>
      <c r="K437" s="1734" t="s">
        <v>5909</v>
      </c>
      <c r="L437" s="1735"/>
      <c r="M437" s="1748">
        <v>14000000</v>
      </c>
      <c r="N437" s="1770"/>
      <c r="O437" s="1740"/>
      <c r="P437" s="1740"/>
    </row>
    <row r="438" spans="1:16" s="1741" customFormat="1" ht="63" customHeight="1" x14ac:dyDescent="0.2">
      <c r="A438" s="1769">
        <v>428</v>
      </c>
      <c r="B438" s="1747" t="s">
        <v>5896</v>
      </c>
      <c r="C438" s="1735" t="s">
        <v>4368</v>
      </c>
      <c r="D438" s="1737"/>
      <c r="E438" s="1751">
        <v>300</v>
      </c>
      <c r="F438" s="1735">
        <v>2019</v>
      </c>
      <c r="G438" s="1734" t="s">
        <v>5908</v>
      </c>
      <c r="H438" s="1736"/>
      <c r="I438" s="1735"/>
      <c r="J438" s="1737"/>
      <c r="K438" s="1734" t="s">
        <v>5909</v>
      </c>
      <c r="L438" s="1735"/>
      <c r="M438" s="1748">
        <v>510000</v>
      </c>
      <c r="N438" s="1770"/>
      <c r="O438" s="1740"/>
      <c r="P438" s="1740"/>
    </row>
    <row r="439" spans="1:16" s="1741" customFormat="1" ht="63" customHeight="1" x14ac:dyDescent="0.2">
      <c r="A439" s="1769">
        <v>429</v>
      </c>
      <c r="B439" s="1747" t="s">
        <v>5897</v>
      </c>
      <c r="C439" s="1735" t="s">
        <v>4368</v>
      </c>
      <c r="D439" s="1737"/>
      <c r="E439" s="1751">
        <v>800</v>
      </c>
      <c r="F439" s="1735">
        <v>2019</v>
      </c>
      <c r="G439" s="1734" t="s">
        <v>5908</v>
      </c>
      <c r="H439" s="1736"/>
      <c r="I439" s="1735"/>
      <c r="J439" s="1737"/>
      <c r="K439" s="1734" t="s">
        <v>5909</v>
      </c>
      <c r="L439" s="1735"/>
      <c r="M439" s="1748">
        <v>960000</v>
      </c>
      <c r="N439" s="1770"/>
      <c r="O439" s="1740"/>
      <c r="P439" s="1740"/>
    </row>
    <row r="440" spans="1:16" s="1741" customFormat="1" ht="63" customHeight="1" x14ac:dyDescent="0.2">
      <c r="A440" s="1769">
        <v>430</v>
      </c>
      <c r="B440" s="1747" t="s">
        <v>5898</v>
      </c>
      <c r="C440" s="1735" t="s">
        <v>4368</v>
      </c>
      <c r="D440" s="1737"/>
      <c r="E440" s="1751">
        <v>327</v>
      </c>
      <c r="F440" s="1735">
        <v>2019</v>
      </c>
      <c r="G440" s="1734" t="s">
        <v>5908</v>
      </c>
      <c r="H440" s="1736"/>
      <c r="I440" s="1735"/>
      <c r="J440" s="1737"/>
      <c r="K440" s="1734" t="s">
        <v>5909</v>
      </c>
      <c r="L440" s="1735"/>
      <c r="M440" s="1748">
        <v>392400</v>
      </c>
      <c r="N440" s="1770"/>
      <c r="O440" s="1740"/>
      <c r="P440" s="1740"/>
    </row>
    <row r="441" spans="1:16" s="1741" customFormat="1" ht="63" customHeight="1" x14ac:dyDescent="0.2">
      <c r="A441" s="1769">
        <v>431</v>
      </c>
      <c r="B441" s="1747" t="s">
        <v>5899</v>
      </c>
      <c r="C441" s="1735" t="s">
        <v>4368</v>
      </c>
      <c r="D441" s="1737"/>
      <c r="E441" s="1751">
        <v>1010</v>
      </c>
      <c r="F441" s="1735">
        <v>2019</v>
      </c>
      <c r="G441" s="1734" t="s">
        <v>5908</v>
      </c>
      <c r="H441" s="1736"/>
      <c r="I441" s="1735"/>
      <c r="J441" s="1737"/>
      <c r="K441" s="1734" t="s">
        <v>5909</v>
      </c>
      <c r="L441" s="1735"/>
      <c r="M441" s="1748">
        <v>14140000</v>
      </c>
      <c r="N441" s="1770"/>
      <c r="O441" s="1740"/>
      <c r="P441" s="1740"/>
    </row>
    <row r="442" spans="1:16" s="1741" customFormat="1" ht="63" customHeight="1" x14ac:dyDescent="0.2">
      <c r="A442" s="1769">
        <v>432</v>
      </c>
      <c r="B442" s="1747" t="s">
        <v>5900</v>
      </c>
      <c r="C442" s="1735" t="s">
        <v>4368</v>
      </c>
      <c r="D442" s="1737"/>
      <c r="E442" s="1751">
        <v>800</v>
      </c>
      <c r="F442" s="1735">
        <v>2019</v>
      </c>
      <c r="G442" s="1734" t="s">
        <v>5908</v>
      </c>
      <c r="H442" s="1736"/>
      <c r="I442" s="1735"/>
      <c r="J442" s="1737"/>
      <c r="K442" s="1734" t="s">
        <v>5909</v>
      </c>
      <c r="L442" s="1735"/>
      <c r="M442" s="1748">
        <v>16000000</v>
      </c>
      <c r="N442" s="1770"/>
      <c r="O442" s="1740"/>
      <c r="P442" s="1740"/>
    </row>
    <row r="443" spans="1:16" s="1741" customFormat="1" ht="63" customHeight="1" x14ac:dyDescent="0.2">
      <c r="A443" s="1769">
        <v>433</v>
      </c>
      <c r="B443" s="1747" t="s">
        <v>5901</v>
      </c>
      <c r="C443" s="1735" t="s">
        <v>4368</v>
      </c>
      <c r="D443" s="1737"/>
      <c r="E443" s="1751">
        <v>2000</v>
      </c>
      <c r="F443" s="1735">
        <v>2019</v>
      </c>
      <c r="G443" s="1734" t="s">
        <v>5908</v>
      </c>
      <c r="H443" s="1736"/>
      <c r="I443" s="1735"/>
      <c r="J443" s="1737"/>
      <c r="K443" s="1734" t="s">
        <v>5909</v>
      </c>
      <c r="L443" s="1735"/>
      <c r="M443" s="1748">
        <v>3400000</v>
      </c>
      <c r="N443" s="1770"/>
      <c r="O443" s="1740"/>
      <c r="P443" s="1740"/>
    </row>
    <row r="444" spans="1:16" s="1741" customFormat="1" ht="63" customHeight="1" x14ac:dyDescent="0.2">
      <c r="A444" s="1769">
        <v>434</v>
      </c>
      <c r="B444" s="1747" t="s">
        <v>5902</v>
      </c>
      <c r="C444" s="1735" t="s">
        <v>4368</v>
      </c>
      <c r="D444" s="1737"/>
      <c r="E444" s="1751">
        <v>80</v>
      </c>
      <c r="F444" s="1735">
        <v>2019</v>
      </c>
      <c r="G444" s="1734" t="s">
        <v>5908</v>
      </c>
      <c r="H444" s="1736"/>
      <c r="I444" s="1735"/>
      <c r="J444" s="1737"/>
      <c r="K444" s="1734" t="s">
        <v>5909</v>
      </c>
      <c r="L444" s="1735"/>
      <c r="M444" s="1748">
        <v>800000</v>
      </c>
      <c r="N444" s="1770"/>
      <c r="O444" s="1740"/>
      <c r="P444" s="1740"/>
    </row>
    <row r="445" spans="1:16" s="1741" customFormat="1" ht="63" customHeight="1" x14ac:dyDescent="0.2">
      <c r="A445" s="1769">
        <v>435</v>
      </c>
      <c r="B445" s="1747" t="s">
        <v>5903</v>
      </c>
      <c r="C445" s="1735" t="s">
        <v>4368</v>
      </c>
      <c r="D445" s="1737"/>
      <c r="E445" s="1751">
        <v>108</v>
      </c>
      <c r="F445" s="1735">
        <v>2019</v>
      </c>
      <c r="G445" s="1734" t="s">
        <v>5908</v>
      </c>
      <c r="H445" s="1736"/>
      <c r="I445" s="1735"/>
      <c r="J445" s="1737"/>
      <c r="K445" s="1734" t="s">
        <v>5909</v>
      </c>
      <c r="L445" s="1735"/>
      <c r="M445" s="1748">
        <v>378000</v>
      </c>
      <c r="N445" s="1770"/>
      <c r="O445" s="1740"/>
      <c r="P445" s="1740"/>
    </row>
    <row r="446" spans="1:16" s="1741" customFormat="1" ht="63" customHeight="1" x14ac:dyDescent="0.2">
      <c r="A446" s="1769">
        <v>436</v>
      </c>
      <c r="B446" s="1747" t="s">
        <v>5904</v>
      </c>
      <c r="C446" s="1735" t="s">
        <v>4368</v>
      </c>
      <c r="D446" s="1737"/>
      <c r="E446" s="1751">
        <v>200</v>
      </c>
      <c r="F446" s="1735">
        <v>2019</v>
      </c>
      <c r="G446" s="1734" t="s">
        <v>5908</v>
      </c>
      <c r="H446" s="1736"/>
      <c r="I446" s="1735"/>
      <c r="J446" s="1737"/>
      <c r="K446" s="1734" t="s">
        <v>5909</v>
      </c>
      <c r="L446" s="1735"/>
      <c r="M446" s="1748">
        <v>700000</v>
      </c>
      <c r="N446" s="1770"/>
      <c r="O446" s="1740"/>
      <c r="P446" s="1740"/>
    </row>
    <row r="447" spans="1:16" s="1741" customFormat="1" ht="63" customHeight="1" x14ac:dyDescent="0.2">
      <c r="A447" s="1769">
        <v>437</v>
      </c>
      <c r="B447" s="1747" t="s">
        <v>5905</v>
      </c>
      <c r="C447" s="1735" t="s">
        <v>4368</v>
      </c>
      <c r="D447" s="1737"/>
      <c r="E447" s="1751">
        <v>150</v>
      </c>
      <c r="F447" s="1735">
        <v>2019</v>
      </c>
      <c r="G447" s="1734" t="s">
        <v>5908</v>
      </c>
      <c r="H447" s="1736"/>
      <c r="I447" s="1735"/>
      <c r="J447" s="1737"/>
      <c r="K447" s="1734" t="s">
        <v>5909</v>
      </c>
      <c r="L447" s="1735"/>
      <c r="M447" s="1748">
        <v>750000</v>
      </c>
      <c r="N447" s="1770"/>
      <c r="O447" s="1740"/>
      <c r="P447" s="1740"/>
    </row>
    <row r="448" spans="1:16" s="1741" customFormat="1" ht="63" customHeight="1" x14ac:dyDescent="0.2">
      <c r="A448" s="1769">
        <v>438</v>
      </c>
      <c r="B448" s="1747" t="s">
        <v>5906</v>
      </c>
      <c r="C448" s="1735" t="s">
        <v>4368</v>
      </c>
      <c r="D448" s="1737"/>
      <c r="E448" s="1751">
        <v>112</v>
      </c>
      <c r="F448" s="1735">
        <v>2019</v>
      </c>
      <c r="G448" s="1734" t="s">
        <v>5908</v>
      </c>
      <c r="H448" s="1736"/>
      <c r="I448" s="1735"/>
      <c r="J448" s="1737"/>
      <c r="K448" s="1734" t="s">
        <v>5909</v>
      </c>
      <c r="L448" s="1735"/>
      <c r="M448" s="1748">
        <v>190400</v>
      </c>
      <c r="N448" s="1770"/>
      <c r="O448" s="1740"/>
      <c r="P448" s="1740"/>
    </row>
    <row r="449" spans="1:16" s="1741" customFormat="1" ht="63" customHeight="1" x14ac:dyDescent="0.2">
      <c r="A449" s="1769">
        <v>439</v>
      </c>
      <c r="B449" s="1747" t="s">
        <v>5907</v>
      </c>
      <c r="C449" s="1735" t="s">
        <v>4368</v>
      </c>
      <c r="D449" s="1737"/>
      <c r="E449" s="1751">
        <v>238</v>
      </c>
      <c r="F449" s="1735">
        <v>2019</v>
      </c>
      <c r="G449" s="1734" t="s">
        <v>5908</v>
      </c>
      <c r="H449" s="1736"/>
      <c r="I449" s="1735"/>
      <c r="J449" s="1737"/>
      <c r="K449" s="1734" t="s">
        <v>5909</v>
      </c>
      <c r="L449" s="1735"/>
      <c r="M449" s="1748">
        <v>833000</v>
      </c>
      <c r="N449" s="1770"/>
      <c r="O449" s="1740"/>
      <c r="P449" s="1740"/>
    </row>
    <row r="450" spans="1:16" s="1741" customFormat="1" ht="63" customHeight="1" x14ac:dyDescent="0.2">
      <c r="A450" s="1769">
        <v>440</v>
      </c>
      <c r="B450" s="1747" t="s">
        <v>5910</v>
      </c>
      <c r="C450" s="1735" t="s">
        <v>4368</v>
      </c>
      <c r="D450" s="1737"/>
      <c r="E450" s="1751">
        <v>7200</v>
      </c>
      <c r="F450" s="1735">
        <v>2019</v>
      </c>
      <c r="G450" s="1734" t="s">
        <v>5908</v>
      </c>
      <c r="H450" s="1736"/>
      <c r="I450" s="1735"/>
      <c r="J450" s="1737"/>
      <c r="K450" s="1734" t="s">
        <v>5909</v>
      </c>
      <c r="L450" s="1735"/>
      <c r="M450" s="1748">
        <v>4752000</v>
      </c>
      <c r="N450" s="1770"/>
      <c r="O450" s="1740"/>
      <c r="P450" s="1740"/>
    </row>
    <row r="451" spans="1:16" s="1741" customFormat="1" ht="63" customHeight="1" x14ac:dyDescent="0.2">
      <c r="A451" s="1769">
        <v>441</v>
      </c>
      <c r="B451" s="1747" t="s">
        <v>5911</v>
      </c>
      <c r="C451" s="1735" t="s">
        <v>4368</v>
      </c>
      <c r="D451" s="1737"/>
      <c r="E451" s="1751">
        <v>1500</v>
      </c>
      <c r="F451" s="1735">
        <v>2019</v>
      </c>
      <c r="G451" s="1734" t="s">
        <v>5908</v>
      </c>
      <c r="H451" s="1736"/>
      <c r="I451" s="1735"/>
      <c r="J451" s="1737"/>
      <c r="K451" s="1734" t="s">
        <v>5909</v>
      </c>
      <c r="L451" s="1735"/>
      <c r="M451" s="1748">
        <v>990000</v>
      </c>
      <c r="N451" s="1770"/>
      <c r="O451" s="1740"/>
      <c r="P451" s="1740"/>
    </row>
    <row r="452" spans="1:16" s="1741" customFormat="1" ht="63" customHeight="1" x14ac:dyDescent="0.2">
      <c r="A452" s="1769">
        <v>442</v>
      </c>
      <c r="B452" s="1747" t="s">
        <v>5912</v>
      </c>
      <c r="C452" s="1735" t="s">
        <v>4368</v>
      </c>
      <c r="D452" s="1737"/>
      <c r="E452" s="1751">
        <v>750</v>
      </c>
      <c r="F452" s="1735">
        <v>2019</v>
      </c>
      <c r="G452" s="1734" t="s">
        <v>5908</v>
      </c>
      <c r="H452" s="1736"/>
      <c r="I452" s="1735"/>
      <c r="J452" s="1737"/>
      <c r="K452" s="1734" t="s">
        <v>5909</v>
      </c>
      <c r="L452" s="1735"/>
      <c r="M452" s="1748">
        <v>10500000</v>
      </c>
      <c r="N452" s="1770"/>
      <c r="O452" s="1740"/>
      <c r="P452" s="1740"/>
    </row>
    <row r="453" spans="1:16" s="1741" customFormat="1" ht="63" customHeight="1" x14ac:dyDescent="0.2">
      <c r="A453" s="1769">
        <v>443</v>
      </c>
      <c r="B453" s="1747" t="s">
        <v>5913</v>
      </c>
      <c r="C453" s="1735" t="s">
        <v>4368</v>
      </c>
      <c r="D453" s="1737"/>
      <c r="E453" s="1751">
        <v>596</v>
      </c>
      <c r="F453" s="1735">
        <v>2019</v>
      </c>
      <c r="G453" s="1734" t="s">
        <v>5908</v>
      </c>
      <c r="H453" s="1736"/>
      <c r="I453" s="1735"/>
      <c r="J453" s="1737"/>
      <c r="K453" s="1734" t="s">
        <v>5909</v>
      </c>
      <c r="L453" s="1735"/>
      <c r="M453" s="1748">
        <v>8344000</v>
      </c>
      <c r="N453" s="1771"/>
      <c r="O453" s="1740"/>
      <c r="P453" s="1740"/>
    </row>
    <row r="454" spans="1:16" s="1741" customFormat="1" ht="63" customHeight="1" x14ac:dyDescent="0.2">
      <c r="A454" s="1769">
        <v>444</v>
      </c>
      <c r="B454" s="1747" t="s">
        <v>5914</v>
      </c>
      <c r="C454" s="1735" t="s">
        <v>4368</v>
      </c>
      <c r="D454" s="1737"/>
      <c r="E454" s="1751">
        <v>80</v>
      </c>
      <c r="F454" s="1735">
        <v>2019</v>
      </c>
      <c r="G454" s="1734" t="s">
        <v>5908</v>
      </c>
      <c r="H454" s="1736"/>
      <c r="I454" s="1735"/>
      <c r="J454" s="1737"/>
      <c r="K454" s="1734" t="s">
        <v>5909</v>
      </c>
      <c r="L454" s="1735"/>
      <c r="M454" s="1748">
        <v>800000</v>
      </c>
      <c r="N454" s="1770"/>
      <c r="O454" s="1740"/>
      <c r="P454" s="1740"/>
    </row>
    <row r="455" spans="1:16" s="1741" customFormat="1" ht="63" customHeight="1" x14ac:dyDescent="0.2">
      <c r="A455" s="1769">
        <v>445</v>
      </c>
      <c r="B455" s="1747" t="s">
        <v>5915</v>
      </c>
      <c r="C455" s="1735" t="s">
        <v>4368</v>
      </c>
      <c r="D455" s="1737"/>
      <c r="E455" s="1751">
        <v>100</v>
      </c>
      <c r="F455" s="1735">
        <v>2019</v>
      </c>
      <c r="G455" s="1734" t="s">
        <v>5908</v>
      </c>
      <c r="H455" s="1736"/>
      <c r="I455" s="1735"/>
      <c r="J455" s="1737"/>
      <c r="K455" s="1734" t="s">
        <v>5909</v>
      </c>
      <c r="L455" s="1735"/>
      <c r="M455" s="1748">
        <v>1400000</v>
      </c>
      <c r="N455" s="1770"/>
      <c r="O455" s="1740"/>
      <c r="P455" s="1740"/>
    </row>
    <row r="456" spans="1:16" s="1741" customFormat="1" ht="63" customHeight="1" x14ac:dyDescent="0.2">
      <c r="A456" s="1769">
        <v>446</v>
      </c>
      <c r="B456" s="1747" t="s">
        <v>5916</v>
      </c>
      <c r="C456" s="1735" t="s">
        <v>4368</v>
      </c>
      <c r="D456" s="1737"/>
      <c r="E456" s="1751">
        <v>300</v>
      </c>
      <c r="F456" s="1735">
        <v>2019</v>
      </c>
      <c r="G456" s="1734" t="s">
        <v>5917</v>
      </c>
      <c r="H456" s="1736"/>
      <c r="I456" s="1735"/>
      <c r="J456" s="1737"/>
      <c r="K456" s="1734" t="s">
        <v>5909</v>
      </c>
      <c r="L456" s="1735"/>
      <c r="M456" s="1748">
        <v>6000000</v>
      </c>
      <c r="N456" s="1770"/>
      <c r="O456" s="1740"/>
      <c r="P456" s="1740"/>
    </row>
    <row r="457" spans="1:16" s="1741" customFormat="1" ht="63" customHeight="1" x14ac:dyDescent="0.2">
      <c r="A457" s="1769">
        <v>447</v>
      </c>
      <c r="B457" s="1747" t="s">
        <v>5918</v>
      </c>
      <c r="C457" s="1735" t="s">
        <v>4368</v>
      </c>
      <c r="D457" s="1737"/>
      <c r="E457" s="1751">
        <v>80</v>
      </c>
      <c r="F457" s="1735">
        <v>2019</v>
      </c>
      <c r="G457" s="1734" t="s">
        <v>5925</v>
      </c>
      <c r="H457" s="1736"/>
      <c r="I457" s="1735"/>
      <c r="J457" s="1737"/>
      <c r="K457" s="1734" t="s">
        <v>5909</v>
      </c>
      <c r="L457" s="1735"/>
      <c r="M457" s="1748">
        <v>1120000</v>
      </c>
      <c r="N457" s="1770"/>
      <c r="O457" s="1740"/>
      <c r="P457" s="1740"/>
    </row>
    <row r="458" spans="1:16" s="1741" customFormat="1" ht="63" customHeight="1" x14ac:dyDescent="0.2">
      <c r="A458" s="1769">
        <v>448</v>
      </c>
      <c r="B458" s="1747" t="s">
        <v>5919</v>
      </c>
      <c r="C458" s="1735" t="s">
        <v>4368</v>
      </c>
      <c r="D458" s="1737"/>
      <c r="E458" s="1751">
        <v>320</v>
      </c>
      <c r="F458" s="1735">
        <v>2019</v>
      </c>
      <c r="G458" s="1734" t="s">
        <v>5925</v>
      </c>
      <c r="H458" s="1736"/>
      <c r="I458" s="1735"/>
      <c r="J458" s="1737"/>
      <c r="K458" s="1734" t="s">
        <v>5909</v>
      </c>
      <c r="L458" s="1735"/>
      <c r="M458" s="1748">
        <v>4480000</v>
      </c>
      <c r="N458" s="1770"/>
      <c r="O458" s="1740"/>
      <c r="P458" s="1740"/>
    </row>
    <row r="459" spans="1:16" s="1741" customFormat="1" ht="63" customHeight="1" x14ac:dyDescent="0.2">
      <c r="A459" s="1769">
        <v>449</v>
      </c>
      <c r="B459" s="1747" t="s">
        <v>5920</v>
      </c>
      <c r="C459" s="1735" t="s">
        <v>4368</v>
      </c>
      <c r="D459" s="1737"/>
      <c r="E459" s="1751">
        <v>680</v>
      </c>
      <c r="F459" s="1735">
        <v>2019</v>
      </c>
      <c r="G459" s="1734" t="s">
        <v>5925</v>
      </c>
      <c r="H459" s="1736"/>
      <c r="I459" s="1735"/>
      <c r="J459" s="1737"/>
      <c r="K459" s="1734" t="s">
        <v>5909</v>
      </c>
      <c r="L459" s="1735"/>
      <c r="M459" s="1748">
        <v>9520000</v>
      </c>
      <c r="N459" s="1770"/>
      <c r="O459" s="1740"/>
      <c r="P459" s="1740"/>
    </row>
    <row r="460" spans="1:16" s="1741" customFormat="1" ht="63" customHeight="1" x14ac:dyDescent="0.2">
      <c r="A460" s="1769">
        <v>450</v>
      </c>
      <c r="B460" s="1747" t="s">
        <v>5921</v>
      </c>
      <c r="C460" s="1735" t="s">
        <v>4368</v>
      </c>
      <c r="D460" s="1737"/>
      <c r="E460" s="1751">
        <v>4620</v>
      </c>
      <c r="F460" s="1735">
        <v>2019</v>
      </c>
      <c r="G460" s="1734" t="s">
        <v>5925</v>
      </c>
      <c r="H460" s="1736"/>
      <c r="I460" s="1735"/>
      <c r="J460" s="1737"/>
      <c r="K460" s="1734" t="s">
        <v>5909</v>
      </c>
      <c r="L460" s="1735"/>
      <c r="M460" s="1748">
        <v>16170000</v>
      </c>
      <c r="N460" s="1772"/>
      <c r="O460" s="1740"/>
      <c r="P460" s="1740"/>
    </row>
    <row r="461" spans="1:16" s="1741" customFormat="1" ht="63" customHeight="1" x14ac:dyDescent="0.2">
      <c r="A461" s="1769">
        <v>451</v>
      </c>
      <c r="B461" s="1747" t="s">
        <v>5922</v>
      </c>
      <c r="C461" s="1735" t="s">
        <v>4368</v>
      </c>
      <c r="D461" s="1737"/>
      <c r="E461" s="1751">
        <v>3200</v>
      </c>
      <c r="F461" s="1735">
        <v>2019</v>
      </c>
      <c r="G461" s="1734" t="s">
        <v>5925</v>
      </c>
      <c r="H461" s="1736"/>
      <c r="I461" s="1735"/>
      <c r="J461" s="1737"/>
      <c r="K461" s="1734" t="s">
        <v>5909</v>
      </c>
      <c r="L461" s="1735"/>
      <c r="M461" s="1748">
        <v>11200000</v>
      </c>
      <c r="N461" s="1770"/>
      <c r="O461" s="1740"/>
      <c r="P461" s="1740"/>
    </row>
    <row r="462" spans="1:16" s="1741" customFormat="1" ht="63" customHeight="1" x14ac:dyDescent="0.2">
      <c r="A462" s="1769">
        <v>452</v>
      </c>
      <c r="B462" s="1747" t="s">
        <v>5923</v>
      </c>
      <c r="C462" s="1735" t="s">
        <v>4368</v>
      </c>
      <c r="D462" s="1737"/>
      <c r="E462" s="1751">
        <v>200</v>
      </c>
      <c r="F462" s="1735">
        <v>2019</v>
      </c>
      <c r="G462" s="1734" t="s">
        <v>5925</v>
      </c>
      <c r="H462" s="1736"/>
      <c r="I462" s="1735"/>
      <c r="J462" s="1737"/>
      <c r="K462" s="1734" t="s">
        <v>5909</v>
      </c>
      <c r="L462" s="1735"/>
      <c r="M462" s="1748">
        <v>182000</v>
      </c>
      <c r="N462" s="1770"/>
      <c r="O462" s="1740"/>
      <c r="P462" s="1740"/>
    </row>
    <row r="463" spans="1:16" s="1741" customFormat="1" ht="63" customHeight="1" x14ac:dyDescent="0.2">
      <c r="A463" s="1769">
        <v>453</v>
      </c>
      <c r="B463" s="1747" t="s">
        <v>5924</v>
      </c>
      <c r="C463" s="1735" t="s">
        <v>4368</v>
      </c>
      <c r="D463" s="1737"/>
      <c r="E463" s="1751">
        <v>144</v>
      </c>
      <c r="F463" s="1735">
        <v>2019</v>
      </c>
      <c r="G463" s="1734" t="s">
        <v>5925</v>
      </c>
      <c r="H463" s="1736"/>
      <c r="I463" s="1735"/>
      <c r="J463" s="1737"/>
      <c r="K463" s="1734" t="s">
        <v>5909</v>
      </c>
      <c r="L463" s="1735"/>
      <c r="M463" s="1748">
        <v>352800</v>
      </c>
      <c r="N463" s="1770"/>
      <c r="O463" s="1740"/>
      <c r="P463" s="1740"/>
    </row>
    <row r="464" spans="1:16" s="1741" customFormat="1" ht="63" customHeight="1" x14ac:dyDescent="0.2">
      <c r="A464" s="1769">
        <v>454</v>
      </c>
      <c r="B464" s="1747" t="s">
        <v>5926</v>
      </c>
      <c r="C464" s="1735" t="s">
        <v>4368</v>
      </c>
      <c r="D464" s="1737"/>
      <c r="E464" s="1751">
        <v>112</v>
      </c>
      <c r="F464" s="1735">
        <v>2019</v>
      </c>
      <c r="G464" s="1734" t="s">
        <v>5925</v>
      </c>
      <c r="H464" s="1736"/>
      <c r="I464" s="1735"/>
      <c r="J464" s="1737"/>
      <c r="K464" s="1734" t="s">
        <v>5909</v>
      </c>
      <c r="L464" s="1735"/>
      <c r="M464" s="1748">
        <v>101920</v>
      </c>
      <c r="N464" s="1770"/>
      <c r="O464" s="1740"/>
      <c r="P464" s="1740"/>
    </row>
    <row r="465" spans="1:16" s="1741" customFormat="1" ht="63" customHeight="1" x14ac:dyDescent="0.2">
      <c r="A465" s="1769">
        <v>455</v>
      </c>
      <c r="B465" s="1747" t="s">
        <v>5927</v>
      </c>
      <c r="C465" s="1735" t="s">
        <v>4368</v>
      </c>
      <c r="D465" s="1737"/>
      <c r="E465" s="1751">
        <v>750</v>
      </c>
      <c r="F465" s="1735">
        <v>2019</v>
      </c>
      <c r="G465" s="1734" t="s">
        <v>5925</v>
      </c>
      <c r="H465" s="1736"/>
      <c r="I465" s="1735"/>
      <c r="J465" s="1737"/>
      <c r="K465" s="1734" t="s">
        <v>5909</v>
      </c>
      <c r="L465" s="1735"/>
      <c r="M465" s="1748">
        <v>1837500</v>
      </c>
      <c r="N465" s="1770"/>
      <c r="O465" s="1740"/>
      <c r="P465" s="1740"/>
    </row>
    <row r="466" spans="1:16" s="1741" customFormat="1" ht="63" customHeight="1" x14ac:dyDescent="0.2">
      <c r="A466" s="1769">
        <v>456</v>
      </c>
      <c r="B466" s="1747" t="s">
        <v>5928</v>
      </c>
      <c r="C466" s="1735" t="s">
        <v>4368</v>
      </c>
      <c r="D466" s="1737"/>
      <c r="E466" s="1751">
        <v>300</v>
      </c>
      <c r="F466" s="1735">
        <v>2019</v>
      </c>
      <c r="G466" s="1734" t="s">
        <v>5931</v>
      </c>
      <c r="H466" s="1736"/>
      <c r="I466" s="1735"/>
      <c r="J466" s="1737"/>
      <c r="K466" s="1734" t="s">
        <v>5909</v>
      </c>
      <c r="L466" s="1735"/>
      <c r="M466" s="1748">
        <v>360000</v>
      </c>
      <c r="N466" s="1770"/>
      <c r="O466" s="1740"/>
      <c r="P466" s="1740"/>
    </row>
    <row r="467" spans="1:16" s="1741" customFormat="1" ht="63" customHeight="1" x14ac:dyDescent="0.2">
      <c r="A467" s="1769">
        <v>457</v>
      </c>
      <c r="B467" s="1747" t="s">
        <v>5930</v>
      </c>
      <c r="C467" s="1735" t="s">
        <v>4368</v>
      </c>
      <c r="D467" s="1737"/>
      <c r="E467" s="1751">
        <v>320</v>
      </c>
      <c r="F467" s="1735">
        <v>2019</v>
      </c>
      <c r="G467" s="1734" t="s">
        <v>5931</v>
      </c>
      <c r="H467" s="1736"/>
      <c r="I467" s="1735"/>
      <c r="J467" s="1737"/>
      <c r="K467" s="1734" t="s">
        <v>5909</v>
      </c>
      <c r="L467" s="1735"/>
      <c r="M467" s="1748">
        <v>384000</v>
      </c>
      <c r="N467" s="1772"/>
      <c r="O467" s="1740"/>
      <c r="P467" s="1740"/>
    </row>
    <row r="468" spans="1:16" s="1741" customFormat="1" ht="63" customHeight="1" x14ac:dyDescent="0.2">
      <c r="A468" s="1769">
        <v>458</v>
      </c>
      <c r="B468" s="1747" t="s">
        <v>5929</v>
      </c>
      <c r="C468" s="1735" t="s">
        <v>4368</v>
      </c>
      <c r="D468" s="1737"/>
      <c r="E468" s="1751">
        <v>160</v>
      </c>
      <c r="F468" s="1735">
        <v>2019</v>
      </c>
      <c r="G468" s="1734" t="s">
        <v>5931</v>
      </c>
      <c r="H468" s="1736"/>
      <c r="I468" s="1735"/>
      <c r="J468" s="1737"/>
      <c r="K468" s="1734" t="s">
        <v>5909</v>
      </c>
      <c r="L468" s="1735"/>
      <c r="M468" s="1748">
        <v>272000</v>
      </c>
      <c r="N468" s="1770"/>
      <c r="O468" s="1740"/>
      <c r="P468" s="1740"/>
    </row>
    <row r="469" spans="1:16" s="1741" customFormat="1" ht="63" customHeight="1" x14ac:dyDescent="0.2">
      <c r="A469" s="1769">
        <v>459</v>
      </c>
      <c r="B469" s="1747" t="s">
        <v>5932</v>
      </c>
      <c r="C469" s="1735" t="s">
        <v>4368</v>
      </c>
      <c r="D469" s="1737"/>
      <c r="E469" s="1751">
        <v>10000</v>
      </c>
      <c r="F469" s="1735">
        <v>2019</v>
      </c>
      <c r="G469" s="1734" t="s">
        <v>3564</v>
      </c>
      <c r="H469" s="1736"/>
      <c r="I469" s="1735"/>
      <c r="J469" s="1737"/>
      <c r="K469" s="1734" t="s">
        <v>5909</v>
      </c>
      <c r="L469" s="1735"/>
      <c r="M469" s="1748">
        <v>140000000</v>
      </c>
      <c r="N469" s="1770"/>
      <c r="O469" s="1740"/>
      <c r="P469" s="1740"/>
    </row>
    <row r="470" spans="1:16" s="1741" customFormat="1" ht="63" customHeight="1" x14ac:dyDescent="0.2">
      <c r="A470" s="1769">
        <v>460</v>
      </c>
      <c r="B470" s="1747" t="s">
        <v>5933</v>
      </c>
      <c r="C470" s="1735" t="s">
        <v>4368</v>
      </c>
      <c r="D470" s="1737"/>
      <c r="E470" s="1751">
        <v>300</v>
      </c>
      <c r="F470" s="1735">
        <v>2019</v>
      </c>
      <c r="G470" s="1734" t="s">
        <v>3564</v>
      </c>
      <c r="H470" s="1736"/>
      <c r="I470" s="1735"/>
      <c r="J470" s="1737"/>
      <c r="K470" s="1734" t="s">
        <v>5909</v>
      </c>
      <c r="L470" s="1735"/>
      <c r="M470" s="1748">
        <v>4200000</v>
      </c>
      <c r="N470" s="1770"/>
      <c r="O470" s="1740"/>
      <c r="P470" s="1740"/>
    </row>
    <row r="471" spans="1:16" s="1741" customFormat="1" ht="63" customHeight="1" x14ac:dyDescent="0.2">
      <c r="A471" s="1769">
        <v>461</v>
      </c>
      <c r="B471" s="1747" t="s">
        <v>5934</v>
      </c>
      <c r="C471" s="1735" t="s">
        <v>4368</v>
      </c>
      <c r="D471" s="1737"/>
      <c r="E471" s="1751">
        <v>396</v>
      </c>
      <c r="F471" s="1735">
        <v>2019</v>
      </c>
      <c r="G471" s="1734" t="s">
        <v>3564</v>
      </c>
      <c r="H471" s="1736"/>
      <c r="I471" s="1735"/>
      <c r="J471" s="1737"/>
      <c r="K471" s="1734" t="s">
        <v>5909</v>
      </c>
      <c r="L471" s="1735"/>
      <c r="M471" s="1748">
        <v>5544000</v>
      </c>
      <c r="N471" s="1770"/>
      <c r="O471" s="1740"/>
      <c r="P471" s="1740"/>
    </row>
    <row r="472" spans="1:16" s="1741" customFormat="1" ht="63" customHeight="1" x14ac:dyDescent="0.2">
      <c r="A472" s="1769">
        <v>462</v>
      </c>
      <c r="B472" s="1747" t="s">
        <v>5935</v>
      </c>
      <c r="C472" s="1735" t="s">
        <v>4368</v>
      </c>
      <c r="D472" s="1737"/>
      <c r="E472" s="1751">
        <v>400</v>
      </c>
      <c r="F472" s="1735">
        <v>2019</v>
      </c>
      <c r="G472" s="1734" t="s">
        <v>5941</v>
      </c>
      <c r="H472" s="1736"/>
      <c r="I472" s="1735"/>
      <c r="J472" s="1737"/>
      <c r="K472" s="1734" t="s">
        <v>5909</v>
      </c>
      <c r="L472" s="1735"/>
      <c r="M472" s="1748">
        <v>2000000</v>
      </c>
      <c r="N472" s="1770"/>
      <c r="O472" s="1740"/>
      <c r="P472" s="1740"/>
    </row>
    <row r="473" spans="1:16" s="1741" customFormat="1" ht="63" customHeight="1" x14ac:dyDescent="0.2">
      <c r="A473" s="1769">
        <v>463</v>
      </c>
      <c r="B473" s="1747" t="s">
        <v>5936</v>
      </c>
      <c r="C473" s="1735" t="s">
        <v>4368</v>
      </c>
      <c r="D473" s="1737"/>
      <c r="E473" s="1751">
        <v>102</v>
      </c>
      <c r="F473" s="1735">
        <v>2019</v>
      </c>
      <c r="G473" s="1734" t="s">
        <v>5941</v>
      </c>
      <c r="H473" s="1736"/>
      <c r="I473" s="1735"/>
      <c r="J473" s="1737"/>
      <c r="K473" s="1734" t="s">
        <v>5909</v>
      </c>
      <c r="L473" s="1735"/>
      <c r="M473" s="1748">
        <v>510000</v>
      </c>
      <c r="N473" s="1770"/>
      <c r="O473" s="1740"/>
      <c r="P473" s="1740"/>
    </row>
    <row r="474" spans="1:16" s="1741" customFormat="1" ht="63" customHeight="1" x14ac:dyDescent="0.2">
      <c r="A474" s="1769">
        <v>464</v>
      </c>
      <c r="B474" s="1747" t="s">
        <v>5937</v>
      </c>
      <c r="C474" s="1735" t="s">
        <v>4368</v>
      </c>
      <c r="D474" s="1737"/>
      <c r="E474" s="1751">
        <v>360</v>
      </c>
      <c r="F474" s="1735">
        <v>2019</v>
      </c>
      <c r="G474" s="1734" t="s">
        <v>5941</v>
      </c>
      <c r="H474" s="1736"/>
      <c r="I474" s="1735"/>
      <c r="J474" s="1737"/>
      <c r="K474" s="1734" t="s">
        <v>5909</v>
      </c>
      <c r="L474" s="1735"/>
      <c r="M474" s="1748">
        <v>327600</v>
      </c>
      <c r="N474" s="1770"/>
      <c r="O474" s="1740"/>
      <c r="P474" s="1740"/>
    </row>
    <row r="475" spans="1:16" s="1741" customFormat="1" ht="63" customHeight="1" x14ac:dyDescent="0.2">
      <c r="A475" s="1769">
        <v>465</v>
      </c>
      <c r="B475" s="1747" t="s">
        <v>5938</v>
      </c>
      <c r="C475" s="1735" t="s">
        <v>4368</v>
      </c>
      <c r="D475" s="1737"/>
      <c r="E475" s="1751">
        <v>160</v>
      </c>
      <c r="F475" s="1735">
        <v>2019</v>
      </c>
      <c r="G475" s="1734" t="s">
        <v>5941</v>
      </c>
      <c r="H475" s="1736"/>
      <c r="I475" s="1735"/>
      <c r="J475" s="1737"/>
      <c r="K475" s="1734" t="s">
        <v>5909</v>
      </c>
      <c r="L475" s="1735"/>
      <c r="M475" s="1748">
        <v>800000</v>
      </c>
      <c r="N475" s="1770"/>
      <c r="O475" s="1740"/>
      <c r="P475" s="1740"/>
    </row>
    <row r="476" spans="1:16" s="1741" customFormat="1" ht="63" customHeight="1" x14ac:dyDescent="0.2">
      <c r="A476" s="1769">
        <v>466</v>
      </c>
      <c r="B476" s="1747" t="s">
        <v>5939</v>
      </c>
      <c r="C476" s="1735" t="s">
        <v>4368</v>
      </c>
      <c r="D476" s="1737"/>
      <c r="E476" s="1751">
        <v>108</v>
      </c>
      <c r="F476" s="1735">
        <v>2019</v>
      </c>
      <c r="G476" s="1734" t="s">
        <v>5941</v>
      </c>
      <c r="H476" s="1736"/>
      <c r="I476" s="1735"/>
      <c r="J476" s="1737"/>
      <c r="K476" s="1734" t="s">
        <v>5909</v>
      </c>
      <c r="L476" s="1735"/>
      <c r="M476" s="1748">
        <v>540000</v>
      </c>
      <c r="N476" s="1770"/>
      <c r="O476" s="1740"/>
      <c r="P476" s="1740"/>
    </row>
    <row r="477" spans="1:16" s="1741" customFormat="1" ht="63" customHeight="1" x14ac:dyDescent="0.2">
      <c r="A477" s="1769">
        <v>467</v>
      </c>
      <c r="B477" s="1747" t="s">
        <v>5940</v>
      </c>
      <c r="C477" s="1735" t="s">
        <v>4368</v>
      </c>
      <c r="D477" s="1737"/>
      <c r="E477" s="1751">
        <v>300</v>
      </c>
      <c r="F477" s="1735">
        <v>2019</v>
      </c>
      <c r="G477" s="1734" t="s">
        <v>5941</v>
      </c>
      <c r="H477" s="1736"/>
      <c r="I477" s="1735"/>
      <c r="J477" s="1737"/>
      <c r="K477" s="1734" t="s">
        <v>5909</v>
      </c>
      <c r="L477" s="1735"/>
      <c r="M477" s="1748">
        <v>1500000</v>
      </c>
      <c r="N477" s="1770"/>
      <c r="O477" s="1740"/>
      <c r="P477" s="1740"/>
    </row>
    <row r="478" spans="1:16" s="1741" customFormat="1" ht="63" customHeight="1" x14ac:dyDescent="0.2">
      <c r="A478" s="1769">
        <v>468</v>
      </c>
      <c r="B478" s="1747" t="s">
        <v>5942</v>
      </c>
      <c r="C478" s="1735" t="s">
        <v>4368</v>
      </c>
      <c r="D478" s="1737"/>
      <c r="E478" s="1751">
        <v>500</v>
      </c>
      <c r="F478" s="1735">
        <v>2019</v>
      </c>
      <c r="G478" s="1734" t="s">
        <v>5949</v>
      </c>
      <c r="H478" s="1736"/>
      <c r="I478" s="1735"/>
      <c r="J478" s="1737"/>
      <c r="K478" s="1734" t="s">
        <v>5909</v>
      </c>
      <c r="L478" s="1735"/>
      <c r="M478" s="1748">
        <v>455000</v>
      </c>
      <c r="N478" s="1770"/>
      <c r="O478" s="1740"/>
      <c r="P478" s="1740"/>
    </row>
    <row r="479" spans="1:16" s="1741" customFormat="1" ht="63" customHeight="1" x14ac:dyDescent="0.2">
      <c r="A479" s="1769">
        <v>469</v>
      </c>
      <c r="B479" s="1747" t="s">
        <v>5943</v>
      </c>
      <c r="C479" s="1735" t="s">
        <v>4368</v>
      </c>
      <c r="D479" s="1737"/>
      <c r="E479" s="1751">
        <v>1080</v>
      </c>
      <c r="F479" s="1735">
        <v>2019</v>
      </c>
      <c r="G479" s="1734" t="s">
        <v>5949</v>
      </c>
      <c r="H479" s="1736"/>
      <c r="I479" s="1735"/>
      <c r="J479" s="1737"/>
      <c r="K479" s="1734" t="s">
        <v>5909</v>
      </c>
      <c r="L479" s="1735"/>
      <c r="M479" s="1748">
        <v>712800</v>
      </c>
      <c r="N479" s="1770"/>
      <c r="O479" s="1740"/>
      <c r="P479" s="1740"/>
    </row>
    <row r="480" spans="1:16" s="1741" customFormat="1" ht="63" customHeight="1" x14ac:dyDescent="0.2">
      <c r="A480" s="1769">
        <v>470</v>
      </c>
      <c r="B480" s="1747" t="s">
        <v>5944</v>
      </c>
      <c r="C480" s="1735" t="s">
        <v>4368</v>
      </c>
      <c r="D480" s="1737"/>
      <c r="E480" s="1751">
        <v>200</v>
      </c>
      <c r="F480" s="1735">
        <v>2019</v>
      </c>
      <c r="G480" s="1734" t="s">
        <v>5949</v>
      </c>
      <c r="H480" s="1736"/>
      <c r="I480" s="1735"/>
      <c r="J480" s="1737"/>
      <c r="K480" s="1734" t="s">
        <v>5909</v>
      </c>
      <c r="L480" s="1735"/>
      <c r="M480" s="1748">
        <v>340000</v>
      </c>
      <c r="N480" s="1770"/>
      <c r="O480" s="1740"/>
      <c r="P480" s="1740"/>
    </row>
    <row r="481" spans="1:16" s="1741" customFormat="1" ht="63" customHeight="1" x14ac:dyDescent="0.2">
      <c r="A481" s="1769">
        <v>471</v>
      </c>
      <c r="B481" s="1747" t="s">
        <v>5945</v>
      </c>
      <c r="C481" s="1735" t="s">
        <v>4368</v>
      </c>
      <c r="D481" s="1737"/>
      <c r="E481" s="1751">
        <v>111</v>
      </c>
      <c r="F481" s="1735">
        <v>2019</v>
      </c>
      <c r="G481" s="1734" t="s">
        <v>5949</v>
      </c>
      <c r="H481" s="1736"/>
      <c r="I481" s="1735"/>
      <c r="J481" s="1737"/>
      <c r="K481" s="1734" t="s">
        <v>5909</v>
      </c>
      <c r="L481" s="1735"/>
      <c r="M481" s="1748">
        <v>73260</v>
      </c>
      <c r="N481" s="1770"/>
      <c r="O481" s="1740"/>
      <c r="P481" s="1740"/>
    </row>
    <row r="482" spans="1:16" s="1741" customFormat="1" ht="63" customHeight="1" x14ac:dyDescent="0.2">
      <c r="A482" s="1769">
        <v>472</v>
      </c>
      <c r="B482" s="1747" t="s">
        <v>5946</v>
      </c>
      <c r="C482" s="1735" t="s">
        <v>4368</v>
      </c>
      <c r="D482" s="1737"/>
      <c r="E482" s="1751">
        <v>240</v>
      </c>
      <c r="F482" s="1735">
        <v>2019</v>
      </c>
      <c r="G482" s="1734" t="s">
        <v>5949</v>
      </c>
      <c r="H482" s="1736"/>
      <c r="I482" s="1735"/>
      <c r="J482" s="1737"/>
      <c r="K482" s="1734" t="s">
        <v>5909</v>
      </c>
      <c r="L482" s="1735"/>
      <c r="M482" s="1748">
        <v>408000</v>
      </c>
      <c r="N482" s="1770"/>
      <c r="O482" s="1740"/>
      <c r="P482" s="1740"/>
    </row>
    <row r="483" spans="1:16" s="1741" customFormat="1" ht="63" customHeight="1" x14ac:dyDescent="0.2">
      <c r="A483" s="1769">
        <v>473</v>
      </c>
      <c r="B483" s="1747" t="s">
        <v>5947</v>
      </c>
      <c r="C483" s="1735" t="s">
        <v>4368</v>
      </c>
      <c r="D483" s="1737"/>
      <c r="E483" s="1751">
        <v>138</v>
      </c>
      <c r="F483" s="1735">
        <v>2019</v>
      </c>
      <c r="G483" s="1734" t="s">
        <v>5949</v>
      </c>
      <c r="H483" s="1736"/>
      <c r="I483" s="1735"/>
      <c r="J483" s="1737"/>
      <c r="K483" s="1734" t="s">
        <v>5909</v>
      </c>
      <c r="L483" s="1735"/>
      <c r="M483" s="1748">
        <v>165600</v>
      </c>
      <c r="N483" s="1770"/>
      <c r="O483" s="1740"/>
      <c r="P483" s="1740"/>
    </row>
    <row r="484" spans="1:16" s="1741" customFormat="1" ht="63" customHeight="1" x14ac:dyDescent="0.2">
      <c r="A484" s="1769">
        <v>474</v>
      </c>
      <c r="B484" s="1747" t="s">
        <v>5948</v>
      </c>
      <c r="C484" s="1735" t="s">
        <v>4368</v>
      </c>
      <c r="D484" s="1737"/>
      <c r="E484" s="1751">
        <v>300</v>
      </c>
      <c r="F484" s="1735">
        <v>2019</v>
      </c>
      <c r="G484" s="1734" t="s">
        <v>5949</v>
      </c>
      <c r="H484" s="1736"/>
      <c r="I484" s="1735"/>
      <c r="J484" s="1737"/>
      <c r="K484" s="1734" t="s">
        <v>5909</v>
      </c>
      <c r="L484" s="1735"/>
      <c r="M484" s="1748">
        <v>510000</v>
      </c>
      <c r="N484" s="1770"/>
      <c r="O484" s="1740"/>
      <c r="P484" s="1740"/>
    </row>
    <row r="485" spans="1:16" s="1741" customFormat="1" ht="63" customHeight="1" x14ac:dyDescent="0.2">
      <c r="A485" s="1769">
        <v>475</v>
      </c>
      <c r="B485" s="1747" t="s">
        <v>5950</v>
      </c>
      <c r="C485" s="1735" t="s">
        <v>4368</v>
      </c>
      <c r="D485" s="1737"/>
      <c r="E485" s="1751">
        <v>258</v>
      </c>
      <c r="F485" s="1735">
        <v>2019</v>
      </c>
      <c r="G485" s="1734" t="s">
        <v>5961</v>
      </c>
      <c r="H485" s="1736"/>
      <c r="I485" s="1735"/>
      <c r="J485" s="1737"/>
      <c r="K485" s="1734" t="s">
        <v>5909</v>
      </c>
      <c r="L485" s="1735"/>
      <c r="M485" s="1748">
        <v>170280</v>
      </c>
      <c r="N485" s="1770"/>
      <c r="O485" s="1740"/>
      <c r="P485" s="1740"/>
    </row>
    <row r="486" spans="1:16" s="1741" customFormat="1" ht="63" customHeight="1" x14ac:dyDescent="0.2">
      <c r="A486" s="1769">
        <v>476</v>
      </c>
      <c r="B486" s="1747" t="s">
        <v>5951</v>
      </c>
      <c r="C486" s="1735" t="s">
        <v>4368</v>
      </c>
      <c r="D486" s="1737"/>
      <c r="E486" s="1751">
        <v>150</v>
      </c>
      <c r="F486" s="1735">
        <v>2019</v>
      </c>
      <c r="G486" s="1734" t="s">
        <v>5961</v>
      </c>
      <c r="H486" s="1736"/>
      <c r="I486" s="1735"/>
      <c r="J486" s="1737"/>
      <c r="K486" s="1734" t="s">
        <v>5909</v>
      </c>
      <c r="L486" s="1735"/>
      <c r="M486" s="1748">
        <v>72000</v>
      </c>
      <c r="N486" s="1770"/>
      <c r="O486" s="1740"/>
      <c r="P486" s="1740"/>
    </row>
    <row r="487" spans="1:16" s="1741" customFormat="1" ht="63" customHeight="1" x14ac:dyDescent="0.2">
      <c r="A487" s="1769">
        <v>477</v>
      </c>
      <c r="B487" s="1747" t="s">
        <v>5952</v>
      </c>
      <c r="C487" s="1735" t="s">
        <v>4368</v>
      </c>
      <c r="D487" s="1737"/>
      <c r="E487" s="1751">
        <v>200</v>
      </c>
      <c r="F487" s="1735">
        <v>2019</v>
      </c>
      <c r="G487" s="1734" t="s">
        <v>5961</v>
      </c>
      <c r="H487" s="1736"/>
      <c r="I487" s="1735"/>
      <c r="J487" s="1737"/>
      <c r="K487" s="1734" t="s">
        <v>5909</v>
      </c>
      <c r="L487" s="1735"/>
      <c r="M487" s="1748">
        <v>70000</v>
      </c>
      <c r="N487" s="1770"/>
      <c r="O487" s="1740"/>
      <c r="P487" s="1740"/>
    </row>
    <row r="488" spans="1:16" s="1741" customFormat="1" ht="63" customHeight="1" x14ac:dyDescent="0.2">
      <c r="A488" s="1769">
        <v>478</v>
      </c>
      <c r="B488" s="1747" t="s">
        <v>5953</v>
      </c>
      <c r="C488" s="1735" t="s">
        <v>4368</v>
      </c>
      <c r="D488" s="1737"/>
      <c r="E488" s="1751">
        <v>120</v>
      </c>
      <c r="F488" s="1735">
        <v>2019</v>
      </c>
      <c r="G488" s="1734" t="s">
        <v>5961</v>
      </c>
      <c r="H488" s="1736"/>
      <c r="I488" s="1735"/>
      <c r="J488" s="1737"/>
      <c r="K488" s="1734" t="s">
        <v>5909</v>
      </c>
      <c r="L488" s="1735"/>
      <c r="M488" s="1748">
        <v>79200</v>
      </c>
      <c r="N488" s="1770"/>
      <c r="O488" s="1740"/>
      <c r="P488" s="1740"/>
    </row>
    <row r="489" spans="1:16" s="1741" customFormat="1" ht="63" customHeight="1" x14ac:dyDescent="0.2">
      <c r="A489" s="1769">
        <v>479</v>
      </c>
      <c r="B489" s="1747" t="s">
        <v>5954</v>
      </c>
      <c r="C489" s="1735" t="s">
        <v>4368</v>
      </c>
      <c r="D489" s="1737"/>
      <c r="E489" s="1751">
        <v>120</v>
      </c>
      <c r="F489" s="1735">
        <v>2019</v>
      </c>
      <c r="G489" s="1734" t="s">
        <v>5961</v>
      </c>
      <c r="H489" s="1736"/>
      <c r="I489" s="1735"/>
      <c r="J489" s="1737"/>
      <c r="K489" s="1734" t="s">
        <v>5909</v>
      </c>
      <c r="L489" s="1735"/>
      <c r="M489" s="1748">
        <v>144000</v>
      </c>
      <c r="N489" s="1770"/>
      <c r="O489" s="1740"/>
      <c r="P489" s="1740"/>
    </row>
    <row r="490" spans="1:16" s="1741" customFormat="1" ht="63" customHeight="1" x14ac:dyDescent="0.2">
      <c r="A490" s="1769">
        <v>480</v>
      </c>
      <c r="B490" s="1747" t="s">
        <v>5955</v>
      </c>
      <c r="C490" s="1735" t="s">
        <v>4368</v>
      </c>
      <c r="D490" s="1737"/>
      <c r="E490" s="1751">
        <v>130</v>
      </c>
      <c r="F490" s="1735">
        <v>2019</v>
      </c>
      <c r="G490" s="1734" t="s">
        <v>5961</v>
      </c>
      <c r="H490" s="1736"/>
      <c r="I490" s="1735"/>
      <c r="J490" s="1737"/>
      <c r="K490" s="1734" t="s">
        <v>5909</v>
      </c>
      <c r="L490" s="1735"/>
      <c r="M490" s="1748">
        <v>455000</v>
      </c>
      <c r="N490" s="1770"/>
      <c r="O490" s="1740"/>
      <c r="P490" s="1740"/>
    </row>
    <row r="491" spans="1:16" s="1741" customFormat="1" ht="63" customHeight="1" x14ac:dyDescent="0.2">
      <c r="A491" s="1769">
        <v>481</v>
      </c>
      <c r="B491" s="1747" t="s">
        <v>5956</v>
      </c>
      <c r="C491" s="1735" t="s">
        <v>4368</v>
      </c>
      <c r="D491" s="1737"/>
      <c r="E491" s="1751">
        <v>140</v>
      </c>
      <c r="F491" s="1735">
        <v>2019</v>
      </c>
      <c r="G491" s="1734" t="s">
        <v>5961</v>
      </c>
      <c r="H491" s="1736"/>
      <c r="I491" s="1735"/>
      <c r="J491" s="1737"/>
      <c r="K491" s="1734" t="s">
        <v>5909</v>
      </c>
      <c r="L491" s="1735"/>
      <c r="M491" s="1748">
        <v>168000</v>
      </c>
      <c r="N491" s="1770"/>
      <c r="O491" s="1740"/>
      <c r="P491" s="1740"/>
    </row>
    <row r="492" spans="1:16" s="1741" customFormat="1" ht="63" customHeight="1" x14ac:dyDescent="0.2">
      <c r="A492" s="1769">
        <v>482</v>
      </c>
      <c r="B492" s="1747" t="s">
        <v>5957</v>
      </c>
      <c r="C492" s="1735" t="s">
        <v>4368</v>
      </c>
      <c r="D492" s="1737"/>
      <c r="E492" s="1751">
        <v>74</v>
      </c>
      <c r="F492" s="1735">
        <v>2019</v>
      </c>
      <c r="G492" s="1734" t="s">
        <v>5961</v>
      </c>
      <c r="H492" s="1736"/>
      <c r="I492" s="1735"/>
      <c r="J492" s="1737"/>
      <c r="K492" s="1734" t="s">
        <v>5909</v>
      </c>
      <c r="L492" s="1735"/>
      <c r="M492" s="1748">
        <v>25900</v>
      </c>
      <c r="N492" s="1770"/>
      <c r="O492" s="1740"/>
      <c r="P492" s="1740"/>
    </row>
    <row r="493" spans="1:16" s="1741" customFormat="1" ht="63" customHeight="1" x14ac:dyDescent="0.2">
      <c r="A493" s="1769">
        <v>483</v>
      </c>
      <c r="B493" s="1747" t="s">
        <v>5958</v>
      </c>
      <c r="C493" s="1735" t="s">
        <v>4368</v>
      </c>
      <c r="D493" s="1737"/>
      <c r="E493" s="1751">
        <v>128</v>
      </c>
      <c r="F493" s="1735">
        <v>2019</v>
      </c>
      <c r="G493" s="1734" t="s">
        <v>5961</v>
      </c>
      <c r="H493" s="1736"/>
      <c r="I493" s="1735"/>
      <c r="J493" s="1737"/>
      <c r="K493" s="1734" t="s">
        <v>5909</v>
      </c>
      <c r="L493" s="1735"/>
      <c r="M493" s="1748">
        <v>153600</v>
      </c>
      <c r="N493" s="1770"/>
      <c r="O493" s="1740"/>
      <c r="P493" s="1740"/>
    </row>
    <row r="494" spans="1:16" s="1741" customFormat="1" ht="63" customHeight="1" x14ac:dyDescent="0.2">
      <c r="A494" s="1769">
        <v>484</v>
      </c>
      <c r="B494" s="1747" t="s">
        <v>5959</v>
      </c>
      <c r="C494" s="1735" t="s">
        <v>4368</v>
      </c>
      <c r="D494" s="1737"/>
      <c r="E494" s="1751">
        <v>300</v>
      </c>
      <c r="F494" s="1735">
        <v>2019</v>
      </c>
      <c r="G494" s="1734" t="s">
        <v>5961</v>
      </c>
      <c r="H494" s="1736"/>
      <c r="I494" s="1735"/>
      <c r="J494" s="1737"/>
      <c r="K494" s="1734" t="s">
        <v>5909</v>
      </c>
      <c r="L494" s="1735"/>
      <c r="M494" s="1748">
        <v>105000</v>
      </c>
      <c r="N494" s="1770"/>
      <c r="O494" s="1740"/>
      <c r="P494" s="1740"/>
    </row>
    <row r="495" spans="1:16" s="1741" customFormat="1" ht="63" customHeight="1" x14ac:dyDescent="0.2">
      <c r="A495" s="1769">
        <v>485</v>
      </c>
      <c r="B495" s="1747" t="s">
        <v>5960</v>
      </c>
      <c r="C495" s="1735" t="s">
        <v>4368</v>
      </c>
      <c r="D495" s="1737"/>
      <c r="E495" s="1751">
        <v>300</v>
      </c>
      <c r="F495" s="1735">
        <v>2019</v>
      </c>
      <c r="G495" s="1734" t="s">
        <v>5961</v>
      </c>
      <c r="H495" s="1736"/>
      <c r="I495" s="1735"/>
      <c r="J495" s="1737"/>
      <c r="K495" s="1734" t="s">
        <v>5909</v>
      </c>
      <c r="L495" s="1735"/>
      <c r="M495" s="1748">
        <v>4200000</v>
      </c>
      <c r="N495" s="1770"/>
      <c r="O495" s="1740"/>
      <c r="P495" s="1740"/>
    </row>
    <row r="496" spans="1:16" s="1741" customFormat="1" ht="63" customHeight="1" x14ac:dyDescent="0.2">
      <c r="A496" s="1769">
        <v>486</v>
      </c>
      <c r="B496" s="1747" t="s">
        <v>5962</v>
      </c>
      <c r="C496" s="1735" t="s">
        <v>4368</v>
      </c>
      <c r="D496" s="1737"/>
      <c r="E496" s="1751">
        <v>300</v>
      </c>
      <c r="F496" s="1735">
        <v>2019</v>
      </c>
      <c r="G496" s="1734" t="s">
        <v>5964</v>
      </c>
      <c r="H496" s="1736"/>
      <c r="I496" s="1735"/>
      <c r="J496" s="1737"/>
      <c r="K496" s="1734" t="s">
        <v>5909</v>
      </c>
      <c r="L496" s="1735"/>
      <c r="M496" s="1748">
        <v>198000</v>
      </c>
      <c r="N496" s="1770"/>
      <c r="O496" s="1740"/>
      <c r="P496" s="1740"/>
    </row>
    <row r="497" spans="1:16" s="1741" customFormat="1" ht="63" customHeight="1" x14ac:dyDescent="0.2">
      <c r="A497" s="1769">
        <v>487</v>
      </c>
      <c r="B497" s="1747" t="s">
        <v>5963</v>
      </c>
      <c r="C497" s="1735" t="s">
        <v>4368</v>
      </c>
      <c r="D497" s="1737"/>
      <c r="E497" s="1751">
        <v>120</v>
      </c>
      <c r="F497" s="1735">
        <v>2019</v>
      </c>
      <c r="G497" s="1734" t="s">
        <v>5965</v>
      </c>
      <c r="H497" s="1736"/>
      <c r="I497" s="1735"/>
      <c r="J497" s="1737"/>
      <c r="K497" s="1734" t="s">
        <v>5909</v>
      </c>
      <c r="L497" s="1735"/>
      <c r="M497" s="1748">
        <v>79200</v>
      </c>
      <c r="N497" s="1770"/>
      <c r="O497" s="1740"/>
      <c r="P497" s="1740"/>
    </row>
    <row r="498" spans="1:16" s="1741" customFormat="1" ht="63" customHeight="1" x14ac:dyDescent="0.2">
      <c r="A498" s="1769">
        <v>488</v>
      </c>
      <c r="B498" s="1747" t="s">
        <v>5966</v>
      </c>
      <c r="C498" s="1735" t="s">
        <v>4368</v>
      </c>
      <c r="D498" s="1737"/>
      <c r="E498" s="1751">
        <v>240</v>
      </c>
      <c r="F498" s="1735">
        <v>2019</v>
      </c>
      <c r="G498" s="1734" t="s">
        <v>5973</v>
      </c>
      <c r="H498" s="1736"/>
      <c r="I498" s="1735"/>
      <c r="J498" s="1737"/>
      <c r="K498" s="1734" t="s">
        <v>5909</v>
      </c>
      <c r="L498" s="1735"/>
      <c r="M498" s="1748">
        <v>408000</v>
      </c>
      <c r="N498" s="1770"/>
      <c r="O498" s="1740"/>
      <c r="P498" s="1740"/>
    </row>
    <row r="499" spans="1:16" s="1741" customFormat="1" ht="63" customHeight="1" x14ac:dyDescent="0.2">
      <c r="A499" s="1769">
        <v>489</v>
      </c>
      <c r="B499" s="1747" t="s">
        <v>5967</v>
      </c>
      <c r="C499" s="1735" t="s">
        <v>4368</v>
      </c>
      <c r="D499" s="1773"/>
      <c r="E499" s="1751">
        <v>2575</v>
      </c>
      <c r="F499" s="1735">
        <v>2019</v>
      </c>
      <c r="G499" s="1734" t="s">
        <v>5973</v>
      </c>
      <c r="H499" s="1736"/>
      <c r="I499" s="1735"/>
      <c r="J499" s="1737"/>
      <c r="K499" s="1734" t="s">
        <v>5909</v>
      </c>
      <c r="L499" s="1735"/>
      <c r="M499" s="1748">
        <v>12875000</v>
      </c>
      <c r="N499" s="1772"/>
      <c r="O499" s="1740"/>
      <c r="P499" s="1740"/>
    </row>
    <row r="500" spans="1:16" s="1741" customFormat="1" ht="63" customHeight="1" x14ac:dyDescent="0.2">
      <c r="A500" s="1769">
        <v>490</v>
      </c>
      <c r="B500" s="1747" t="s">
        <v>5968</v>
      </c>
      <c r="C500" s="1735" t="s">
        <v>4368</v>
      </c>
      <c r="D500" s="1737"/>
      <c r="E500" s="1751">
        <v>1500</v>
      </c>
      <c r="F500" s="1735">
        <v>2019</v>
      </c>
      <c r="G500" s="1734" t="s">
        <v>5973</v>
      </c>
      <c r="H500" s="1736"/>
      <c r="I500" s="1735"/>
      <c r="J500" s="1737"/>
      <c r="K500" s="1734" t="s">
        <v>5909</v>
      </c>
      <c r="L500" s="1735"/>
      <c r="M500" s="1748">
        <v>2550000</v>
      </c>
      <c r="N500" s="1770"/>
      <c r="O500" s="1740"/>
      <c r="P500" s="1740"/>
    </row>
    <row r="501" spans="1:16" s="1741" customFormat="1" ht="63" customHeight="1" x14ac:dyDescent="0.2">
      <c r="A501" s="1769">
        <v>491</v>
      </c>
      <c r="B501" s="1747" t="s">
        <v>5969</v>
      </c>
      <c r="C501" s="1735" t="s">
        <v>4368</v>
      </c>
      <c r="D501" s="1773"/>
      <c r="E501" s="1751">
        <v>338</v>
      </c>
      <c r="F501" s="1735">
        <v>2019</v>
      </c>
      <c r="G501" s="1734" t="s">
        <v>5973</v>
      </c>
      <c r="H501" s="1736"/>
      <c r="I501" s="1735"/>
      <c r="J501" s="1737"/>
      <c r="K501" s="1734" t="s">
        <v>5909</v>
      </c>
      <c r="L501" s="1735"/>
      <c r="M501" s="1748">
        <v>574600</v>
      </c>
      <c r="N501" s="1772"/>
      <c r="O501" s="1740"/>
      <c r="P501" s="1740"/>
    </row>
    <row r="502" spans="1:16" s="1741" customFormat="1" ht="63" customHeight="1" x14ac:dyDescent="0.2">
      <c r="A502" s="1769">
        <v>492</v>
      </c>
      <c r="B502" s="1747" t="s">
        <v>5970</v>
      </c>
      <c r="C502" s="1735" t="s">
        <v>4368</v>
      </c>
      <c r="D502" s="1737"/>
      <c r="E502" s="1751">
        <v>198</v>
      </c>
      <c r="F502" s="1735">
        <v>2019</v>
      </c>
      <c r="G502" s="1734" t="s">
        <v>5973</v>
      </c>
      <c r="H502" s="1736"/>
      <c r="I502" s="1735"/>
      <c r="J502" s="1737"/>
      <c r="K502" s="1734" t="s">
        <v>5909</v>
      </c>
      <c r="L502" s="1735"/>
      <c r="M502" s="1748">
        <v>130680</v>
      </c>
      <c r="N502" s="1770"/>
      <c r="O502" s="1740"/>
      <c r="P502" s="1740"/>
    </row>
    <row r="503" spans="1:16" s="1741" customFormat="1" ht="63" customHeight="1" x14ac:dyDescent="0.2">
      <c r="A503" s="1769">
        <v>493</v>
      </c>
      <c r="B503" s="1747" t="s">
        <v>5971</v>
      </c>
      <c r="C503" s="1735" t="s">
        <v>4368</v>
      </c>
      <c r="D503" s="1773"/>
      <c r="E503" s="1751">
        <v>274</v>
      </c>
      <c r="F503" s="1735">
        <v>2019</v>
      </c>
      <c r="G503" s="1734" t="s">
        <v>5973</v>
      </c>
      <c r="H503" s="1736"/>
      <c r="I503" s="1735"/>
      <c r="J503" s="1737"/>
      <c r="K503" s="1734" t="s">
        <v>5909</v>
      </c>
      <c r="L503" s="1735"/>
      <c r="M503" s="1748">
        <v>1370000</v>
      </c>
      <c r="N503" s="1772"/>
      <c r="O503" s="1740"/>
      <c r="P503" s="1740"/>
    </row>
    <row r="504" spans="1:16" s="1741" customFormat="1" ht="63" customHeight="1" x14ac:dyDescent="0.2">
      <c r="A504" s="1769">
        <v>494</v>
      </c>
      <c r="B504" s="1747" t="s">
        <v>5972</v>
      </c>
      <c r="C504" s="1735" t="s">
        <v>4368</v>
      </c>
      <c r="D504" s="1737"/>
      <c r="E504" s="1751">
        <v>320</v>
      </c>
      <c r="F504" s="1735">
        <v>2019</v>
      </c>
      <c r="G504" s="1734" t="s">
        <v>5973</v>
      </c>
      <c r="H504" s="1736"/>
      <c r="I504" s="1735"/>
      <c r="J504" s="1737"/>
      <c r="K504" s="1734" t="s">
        <v>5909</v>
      </c>
      <c r="L504" s="1735"/>
      <c r="M504" s="1748">
        <v>1600000</v>
      </c>
      <c r="N504" s="1770"/>
      <c r="O504" s="1740"/>
      <c r="P504" s="1740"/>
    </row>
    <row r="505" spans="1:16" s="1741" customFormat="1" ht="63" customHeight="1" x14ac:dyDescent="0.2">
      <c r="A505" s="1769">
        <v>495</v>
      </c>
      <c r="B505" s="1747" t="s">
        <v>5974</v>
      </c>
      <c r="C505" s="1735" t="s">
        <v>4368</v>
      </c>
      <c r="D505" s="1737"/>
      <c r="E505" s="1751">
        <v>168</v>
      </c>
      <c r="F505" s="1735">
        <v>2019</v>
      </c>
      <c r="G505" s="1734" t="s">
        <v>5977</v>
      </c>
      <c r="H505" s="1736"/>
      <c r="I505" s="1735"/>
      <c r="J505" s="1737"/>
      <c r="K505" s="1734" t="s">
        <v>5909</v>
      </c>
      <c r="L505" s="1735"/>
      <c r="M505" s="1748">
        <v>201600</v>
      </c>
      <c r="N505" s="1770"/>
      <c r="O505" s="1740"/>
      <c r="P505" s="1740"/>
    </row>
    <row r="506" spans="1:16" s="1741" customFormat="1" ht="63" customHeight="1" x14ac:dyDescent="0.2">
      <c r="A506" s="1769">
        <v>496</v>
      </c>
      <c r="B506" s="1747" t="s">
        <v>5975</v>
      </c>
      <c r="C506" s="1735" t="s">
        <v>4368</v>
      </c>
      <c r="D506" s="1737"/>
      <c r="E506" s="1751">
        <v>110</v>
      </c>
      <c r="F506" s="1735">
        <v>2019</v>
      </c>
      <c r="G506" s="1734" t="s">
        <v>5977</v>
      </c>
      <c r="H506" s="1736"/>
      <c r="I506" s="1735"/>
      <c r="J506" s="1737"/>
      <c r="K506" s="1734" t="s">
        <v>5909</v>
      </c>
      <c r="L506" s="1735"/>
      <c r="M506" s="1748">
        <v>132000</v>
      </c>
      <c r="N506" s="1770"/>
      <c r="O506" s="1740"/>
      <c r="P506" s="1740"/>
    </row>
    <row r="507" spans="1:16" s="1741" customFormat="1" ht="63" customHeight="1" x14ac:dyDescent="0.2">
      <c r="A507" s="1769">
        <v>497</v>
      </c>
      <c r="B507" s="1747" t="s">
        <v>5976</v>
      </c>
      <c r="C507" s="1735" t="s">
        <v>4368</v>
      </c>
      <c r="D507" s="1737"/>
      <c r="E507" s="1751">
        <v>300</v>
      </c>
      <c r="F507" s="1735">
        <v>2019</v>
      </c>
      <c r="G507" s="1734" t="s">
        <v>3563</v>
      </c>
      <c r="H507" s="1736"/>
      <c r="I507" s="1735"/>
      <c r="J507" s="1737"/>
      <c r="K507" s="1734" t="s">
        <v>5909</v>
      </c>
      <c r="L507" s="1735"/>
      <c r="M507" s="1748">
        <v>360000</v>
      </c>
      <c r="N507" s="1770"/>
      <c r="O507" s="1740"/>
      <c r="P507" s="1740"/>
    </row>
    <row r="508" spans="1:16" s="1741" customFormat="1" ht="63" customHeight="1" x14ac:dyDescent="0.2">
      <c r="A508" s="1769">
        <v>498</v>
      </c>
      <c r="B508" s="1747" t="s">
        <v>5978</v>
      </c>
      <c r="C508" s="1735" t="s">
        <v>4369</v>
      </c>
      <c r="D508" s="1737"/>
      <c r="E508" s="1751">
        <v>108100</v>
      </c>
      <c r="F508" s="1735">
        <v>2019</v>
      </c>
      <c r="G508" s="1734" t="s">
        <v>5638</v>
      </c>
      <c r="H508" s="1736"/>
      <c r="I508" s="1735"/>
      <c r="J508" s="1737"/>
      <c r="K508" s="1734" t="s">
        <v>5979</v>
      </c>
      <c r="L508" s="1735"/>
      <c r="M508" s="1748">
        <v>98371000</v>
      </c>
      <c r="N508" s="1770"/>
      <c r="O508" s="1740"/>
      <c r="P508" s="1740"/>
    </row>
    <row r="509" spans="1:16" s="1741" customFormat="1" ht="63" customHeight="1" x14ac:dyDescent="0.2">
      <c r="A509" s="1769">
        <v>499</v>
      </c>
      <c r="B509" s="1747" t="s">
        <v>5980</v>
      </c>
      <c r="C509" s="1735" t="s">
        <v>4369</v>
      </c>
      <c r="D509" s="1737"/>
      <c r="E509" s="1751">
        <v>26132.5</v>
      </c>
      <c r="F509" s="1735">
        <v>2019</v>
      </c>
      <c r="G509" s="1734" t="s">
        <v>5634</v>
      </c>
      <c r="H509" s="1736"/>
      <c r="I509" s="1735"/>
      <c r="J509" s="1737"/>
      <c r="K509" s="1734" t="s">
        <v>5979</v>
      </c>
      <c r="L509" s="1735"/>
      <c r="M509" s="1748">
        <v>91463750</v>
      </c>
      <c r="N509" s="1770"/>
      <c r="O509" s="1740"/>
      <c r="P509" s="1740"/>
    </row>
    <row r="510" spans="1:16" s="1741" customFormat="1" ht="63" customHeight="1" x14ac:dyDescent="0.2">
      <c r="A510" s="1769">
        <v>500</v>
      </c>
      <c r="B510" s="1747" t="s">
        <v>5981</v>
      </c>
      <c r="C510" s="1735" t="s">
        <v>4369</v>
      </c>
      <c r="D510" s="1737"/>
      <c r="E510" s="1751">
        <v>7750</v>
      </c>
      <c r="F510" s="1735">
        <v>2019</v>
      </c>
      <c r="G510" s="1734" t="s">
        <v>5631</v>
      </c>
      <c r="H510" s="1736"/>
      <c r="I510" s="1735"/>
      <c r="J510" s="1737"/>
      <c r="K510" s="1734" t="s">
        <v>5979</v>
      </c>
      <c r="L510" s="1735"/>
      <c r="M510" s="1748">
        <v>13175000</v>
      </c>
      <c r="N510" s="1770"/>
      <c r="O510" s="1740"/>
      <c r="P510" s="1740"/>
    </row>
    <row r="511" spans="1:16" s="1741" customFormat="1" ht="63" customHeight="1" x14ac:dyDescent="0.2">
      <c r="A511" s="1769">
        <v>501</v>
      </c>
      <c r="B511" s="1747" t="s">
        <v>5982</v>
      </c>
      <c r="C511" s="1735" t="s">
        <v>4369</v>
      </c>
      <c r="D511" s="1737"/>
      <c r="E511" s="1751">
        <v>284.18</v>
      </c>
      <c r="F511" s="1735">
        <v>2019</v>
      </c>
      <c r="G511" s="1734" t="s">
        <v>5623</v>
      </c>
      <c r="H511" s="1736"/>
      <c r="I511" s="1735"/>
      <c r="J511" s="1737"/>
      <c r="K511" s="1734" t="s">
        <v>5979</v>
      </c>
      <c r="L511" s="1735"/>
      <c r="M511" s="1748">
        <v>99463</v>
      </c>
      <c r="N511" s="1770"/>
      <c r="O511" s="1740"/>
      <c r="P511" s="1740"/>
    </row>
    <row r="512" spans="1:16" s="1741" customFormat="1" ht="63" customHeight="1" x14ac:dyDescent="0.2">
      <c r="A512" s="1769">
        <v>502</v>
      </c>
      <c r="B512" s="1747" t="s">
        <v>5983</v>
      </c>
      <c r="C512" s="1735" t="s">
        <v>4369</v>
      </c>
      <c r="D512" s="1737"/>
      <c r="E512" s="1751">
        <v>684</v>
      </c>
      <c r="F512" s="1735">
        <v>2019</v>
      </c>
      <c r="G512" s="1734" t="s">
        <v>765</v>
      </c>
      <c r="H512" s="1736"/>
      <c r="I512" s="1735"/>
      <c r="J512" s="1737"/>
      <c r="K512" s="1734" t="s">
        <v>5979</v>
      </c>
      <c r="L512" s="1735"/>
      <c r="M512" s="1748">
        <v>820800</v>
      </c>
      <c r="N512" s="1770"/>
      <c r="O512" s="1740"/>
      <c r="P512" s="1740"/>
    </row>
    <row r="513" spans="1:16" s="1741" customFormat="1" ht="59" customHeight="1" x14ac:dyDescent="0.2">
      <c r="A513" s="1769">
        <v>503</v>
      </c>
      <c r="B513" s="1747" t="s">
        <v>5984</v>
      </c>
      <c r="C513" s="1735" t="s">
        <v>4368</v>
      </c>
      <c r="D513" s="1737"/>
      <c r="E513" s="1751">
        <v>1872.6</v>
      </c>
      <c r="F513" s="1735">
        <v>2019</v>
      </c>
      <c r="G513" s="1734" t="s">
        <v>5600</v>
      </c>
      <c r="H513" s="1736"/>
      <c r="I513" s="1735"/>
      <c r="J513" s="1737"/>
      <c r="K513" s="1734" t="s">
        <v>5909</v>
      </c>
      <c r="L513" s="1735"/>
      <c r="M513" s="1748">
        <v>1704066</v>
      </c>
      <c r="N513" s="1770"/>
      <c r="O513" s="1740"/>
      <c r="P513" s="1740"/>
    </row>
    <row r="514" spans="1:16" s="1741" customFormat="1" ht="59" customHeight="1" x14ac:dyDescent="0.2">
      <c r="A514" s="1769">
        <v>504</v>
      </c>
      <c r="B514" s="1747" t="s">
        <v>5997</v>
      </c>
      <c r="C514" s="1735" t="s">
        <v>4368</v>
      </c>
      <c r="D514" s="1737"/>
      <c r="E514" s="1751">
        <v>318</v>
      </c>
      <c r="F514" s="1735">
        <v>2019</v>
      </c>
      <c r="G514" s="1734" t="s">
        <v>5990</v>
      </c>
      <c r="H514" s="1736"/>
      <c r="I514" s="1735"/>
      <c r="J514" s="1737"/>
      <c r="K514" s="1734" t="s">
        <v>5909</v>
      </c>
      <c r="L514" s="1735"/>
      <c r="M514" s="1748">
        <v>381600</v>
      </c>
      <c r="N514" s="1770"/>
      <c r="O514" s="1740"/>
      <c r="P514" s="1740"/>
    </row>
    <row r="515" spans="1:16" s="1741" customFormat="1" ht="59" customHeight="1" x14ac:dyDescent="0.2">
      <c r="A515" s="1769">
        <v>505</v>
      </c>
      <c r="B515" s="1747" t="s">
        <v>5993</v>
      </c>
      <c r="C515" s="1735" t="s">
        <v>4368</v>
      </c>
      <c r="D515" s="1737"/>
      <c r="E515" s="1751">
        <f>427+213.5</f>
        <v>640.5</v>
      </c>
      <c r="F515" s="1735">
        <v>2019</v>
      </c>
      <c r="G515" s="1734" t="s">
        <v>3482</v>
      </c>
      <c r="H515" s="1736"/>
      <c r="I515" s="1735"/>
      <c r="J515" s="1737"/>
      <c r="K515" s="1734" t="s">
        <v>5909</v>
      </c>
      <c r="L515" s="1735"/>
      <c r="M515" s="1748">
        <f>512400+256200</f>
        <v>768600</v>
      </c>
      <c r="N515" s="1770"/>
      <c r="O515" s="1740"/>
      <c r="P515" s="1740"/>
    </row>
    <row r="516" spans="1:16" s="1741" customFormat="1" ht="59" customHeight="1" x14ac:dyDescent="0.2">
      <c r="A516" s="1769">
        <v>506</v>
      </c>
      <c r="B516" s="1747" t="s">
        <v>5989</v>
      </c>
      <c r="C516" s="1735" t="s">
        <v>4368</v>
      </c>
      <c r="D516" s="1737"/>
      <c r="E516" s="1751">
        <f>98+248</f>
        <v>346</v>
      </c>
      <c r="F516" s="1735">
        <v>2019</v>
      </c>
      <c r="G516" s="1734" t="s">
        <v>5991</v>
      </c>
      <c r="H516" s="1736"/>
      <c r="I516" s="1735"/>
      <c r="J516" s="1737"/>
      <c r="K516" s="1734" t="s">
        <v>5909</v>
      </c>
      <c r="L516" s="1735"/>
      <c r="M516" s="1748">
        <f>1372000+3472000</f>
        <v>4844000</v>
      </c>
      <c r="N516" s="1770"/>
      <c r="O516" s="1740"/>
      <c r="P516" s="1740"/>
    </row>
    <row r="517" spans="1:16" s="1741" customFormat="1" ht="59" customHeight="1" x14ac:dyDescent="0.2">
      <c r="A517" s="1769">
        <v>507</v>
      </c>
      <c r="B517" s="1747" t="s">
        <v>5985</v>
      </c>
      <c r="C517" s="1735" t="s">
        <v>4368</v>
      </c>
      <c r="D517" s="1737"/>
      <c r="E517" s="1751">
        <v>93</v>
      </c>
      <c r="F517" s="1735">
        <v>2019</v>
      </c>
      <c r="G517" s="1734" t="s">
        <v>3245</v>
      </c>
      <c r="H517" s="1736"/>
      <c r="I517" s="1735"/>
      <c r="J517" s="1737"/>
      <c r="K517" s="1734" t="s">
        <v>5909</v>
      </c>
      <c r="L517" s="1735"/>
      <c r="M517" s="1748">
        <v>227850</v>
      </c>
      <c r="N517" s="1770"/>
      <c r="O517" s="1740"/>
      <c r="P517" s="1740"/>
    </row>
    <row r="518" spans="1:16" s="1741" customFormat="1" ht="59" customHeight="1" x14ac:dyDescent="0.2">
      <c r="A518" s="1769">
        <v>508</v>
      </c>
      <c r="B518" s="1747" t="s">
        <v>5986</v>
      </c>
      <c r="C518" s="1735" t="s">
        <v>4368</v>
      </c>
      <c r="D518" s="1737"/>
      <c r="E518" s="1751">
        <v>228</v>
      </c>
      <c r="F518" s="1735">
        <v>2019</v>
      </c>
      <c r="G518" s="1734" t="s">
        <v>895</v>
      </c>
      <c r="H518" s="1736"/>
      <c r="I518" s="1735"/>
      <c r="J518" s="1737"/>
      <c r="K518" s="1734" t="s">
        <v>5909</v>
      </c>
      <c r="L518" s="1735"/>
      <c r="M518" s="1748">
        <v>798000</v>
      </c>
      <c r="N518" s="1770"/>
      <c r="O518" s="1740"/>
      <c r="P518" s="1740"/>
    </row>
    <row r="519" spans="1:16" s="1741" customFormat="1" ht="59" customHeight="1" x14ac:dyDescent="0.2">
      <c r="A519" s="1769">
        <v>509</v>
      </c>
      <c r="B519" s="1747" t="s">
        <v>5987</v>
      </c>
      <c r="C519" s="1735" t="s">
        <v>4368</v>
      </c>
      <c r="D519" s="1737"/>
      <c r="E519" s="1751">
        <v>5120</v>
      </c>
      <c r="F519" s="1735">
        <v>2019</v>
      </c>
      <c r="G519" s="1734" t="s">
        <v>5634</v>
      </c>
      <c r="H519" s="1736"/>
      <c r="I519" s="1735"/>
      <c r="J519" s="1737"/>
      <c r="K519" s="1734" t="s">
        <v>5909</v>
      </c>
      <c r="L519" s="1735"/>
      <c r="M519" s="1748">
        <v>17920000</v>
      </c>
      <c r="N519" s="1770"/>
      <c r="O519" s="1740"/>
      <c r="P519" s="1740"/>
    </row>
    <row r="520" spans="1:16" s="1741" customFormat="1" ht="59" customHeight="1" x14ac:dyDescent="0.2">
      <c r="A520" s="1769">
        <v>510</v>
      </c>
      <c r="B520" s="1747" t="s">
        <v>5988</v>
      </c>
      <c r="C520" s="1735" t="s">
        <v>4368</v>
      </c>
      <c r="D520" s="1737"/>
      <c r="E520" s="1751">
        <v>87.5</v>
      </c>
      <c r="F520" s="1735">
        <v>2019</v>
      </c>
      <c r="G520" s="1734" t="s">
        <v>4914</v>
      </c>
      <c r="H520" s="1736"/>
      <c r="I520" s="1735"/>
      <c r="J520" s="1737"/>
      <c r="K520" s="1734" t="s">
        <v>5909</v>
      </c>
      <c r="L520" s="1735"/>
      <c r="M520" s="1748">
        <v>105000</v>
      </c>
      <c r="N520" s="1770"/>
      <c r="O520" s="1740"/>
      <c r="P520" s="1740"/>
    </row>
    <row r="521" spans="1:16" s="1741" customFormat="1" ht="59" customHeight="1" x14ac:dyDescent="0.2">
      <c r="A521" s="1769">
        <v>511</v>
      </c>
      <c r="B521" s="1747" t="s">
        <v>5985</v>
      </c>
      <c r="C521" s="1735" t="s">
        <v>4368</v>
      </c>
      <c r="D521" s="1737"/>
      <c r="E521" s="1751">
        <v>154</v>
      </c>
      <c r="F521" s="1735">
        <v>2019</v>
      </c>
      <c r="G521" s="1734" t="s">
        <v>897</v>
      </c>
      <c r="H521" s="1736"/>
      <c r="I521" s="1735"/>
      <c r="J521" s="1737"/>
      <c r="K521" s="1734" t="s">
        <v>5909</v>
      </c>
      <c r="L521" s="1735"/>
      <c r="M521" s="1748">
        <v>2156000</v>
      </c>
      <c r="N521" s="1770"/>
      <c r="O521" s="1740"/>
      <c r="P521" s="1740"/>
    </row>
    <row r="522" spans="1:16" s="1741" customFormat="1" ht="59" customHeight="1" x14ac:dyDescent="0.2">
      <c r="A522" s="1769">
        <v>512</v>
      </c>
      <c r="B522" s="1747" t="s">
        <v>6018</v>
      </c>
      <c r="C522" s="1735" t="s">
        <v>4369</v>
      </c>
      <c r="D522" s="1737"/>
      <c r="E522" s="1751">
        <v>130</v>
      </c>
      <c r="F522" s="1735">
        <v>2019</v>
      </c>
      <c r="G522" s="1734" t="s">
        <v>2611</v>
      </c>
      <c r="H522" s="1736"/>
      <c r="I522" s="1735"/>
      <c r="J522" s="1737"/>
      <c r="K522" s="1734" t="s">
        <v>5979</v>
      </c>
      <c r="L522" s="1735"/>
      <c r="M522" s="1748">
        <v>85800</v>
      </c>
      <c r="N522" s="1770"/>
      <c r="O522" s="1740"/>
      <c r="P522" s="1740"/>
    </row>
    <row r="523" spans="1:16" s="1741" customFormat="1" ht="59" customHeight="1" x14ac:dyDescent="0.2">
      <c r="A523" s="1769">
        <v>513</v>
      </c>
      <c r="B523" s="1747" t="s">
        <v>6014</v>
      </c>
      <c r="C523" s="1735" t="s">
        <v>4368</v>
      </c>
      <c r="D523" s="1737"/>
      <c r="E523" s="1751">
        <v>2845</v>
      </c>
      <c r="F523" s="1735">
        <v>2019</v>
      </c>
      <c r="G523" s="1734" t="s">
        <v>2864</v>
      </c>
      <c r="H523" s="1736"/>
      <c r="I523" s="1735"/>
      <c r="J523" s="1737"/>
      <c r="K523" s="1734" t="s">
        <v>5909</v>
      </c>
      <c r="L523" s="1735"/>
      <c r="M523" s="1748">
        <v>4836500</v>
      </c>
      <c r="N523" s="1770"/>
      <c r="O523" s="1740"/>
      <c r="P523" s="1740"/>
    </row>
    <row r="524" spans="1:16" s="1741" customFormat="1" ht="59" customHeight="1" x14ac:dyDescent="0.2">
      <c r="A524" s="1769">
        <v>514</v>
      </c>
      <c r="B524" s="1747" t="s">
        <v>6013</v>
      </c>
      <c r="C524" s="1735" t="s">
        <v>4368</v>
      </c>
      <c r="D524" s="1737"/>
      <c r="E524" s="1751">
        <v>3102</v>
      </c>
      <c r="F524" s="1735">
        <v>2019</v>
      </c>
      <c r="G524" s="1734" t="s">
        <v>5992</v>
      </c>
      <c r="H524" s="1736"/>
      <c r="I524" s="1735"/>
      <c r="J524" s="1737"/>
      <c r="K524" s="1734" t="s">
        <v>5909</v>
      </c>
      <c r="L524" s="1735"/>
      <c r="M524" s="1748">
        <v>5273400</v>
      </c>
      <c r="N524" s="1770"/>
      <c r="O524" s="1740"/>
      <c r="P524" s="1740"/>
    </row>
    <row r="525" spans="1:16" s="1741" customFormat="1" ht="59" customHeight="1" x14ac:dyDescent="0.2">
      <c r="A525" s="1769">
        <v>515</v>
      </c>
      <c r="B525" s="1747" t="s">
        <v>6012</v>
      </c>
      <c r="C525" s="1735" t="s">
        <v>4368</v>
      </c>
      <c r="D525" s="1737" t="str">
        <f>UPPER(C525)</f>
        <v>01.01.13.08.04</v>
      </c>
      <c r="E525" s="1751">
        <v>4620</v>
      </c>
      <c r="F525" s="1735">
        <v>2019</v>
      </c>
      <c r="G525" s="1734" t="s">
        <v>2595</v>
      </c>
      <c r="H525" s="1736"/>
      <c r="I525" s="1735"/>
      <c r="J525" s="1737"/>
      <c r="K525" s="1734" t="s">
        <v>5909</v>
      </c>
      <c r="L525" s="1735"/>
      <c r="M525" s="1748">
        <v>11319000</v>
      </c>
      <c r="N525" s="1770"/>
      <c r="O525" s="1740"/>
      <c r="P525" s="1740"/>
    </row>
    <row r="526" spans="1:16" s="1741" customFormat="1" ht="59" customHeight="1" x14ac:dyDescent="0.2">
      <c r="A526" s="1769">
        <v>516</v>
      </c>
      <c r="B526" s="1747" t="s">
        <v>6011</v>
      </c>
      <c r="C526" s="1735" t="s">
        <v>4368</v>
      </c>
      <c r="D526" s="1737"/>
      <c r="E526" s="1751">
        <v>1626</v>
      </c>
      <c r="F526" s="1735">
        <v>2019</v>
      </c>
      <c r="G526" s="1734" t="s">
        <v>2890</v>
      </c>
      <c r="H526" s="1736"/>
      <c r="I526" s="1735"/>
      <c r="J526" s="1737"/>
      <c r="K526" s="1734" t="s">
        <v>5909</v>
      </c>
      <c r="L526" s="1735"/>
      <c r="M526" s="1748">
        <v>8130000</v>
      </c>
      <c r="N526" s="1770"/>
      <c r="O526" s="1740"/>
      <c r="P526" s="1740"/>
    </row>
    <row r="527" spans="1:16" s="1741" customFormat="1" ht="59" customHeight="1" x14ac:dyDescent="0.2">
      <c r="A527" s="1769">
        <v>517</v>
      </c>
      <c r="B527" s="1747" t="s">
        <v>6010</v>
      </c>
      <c r="C527" s="1735" t="s">
        <v>4368</v>
      </c>
      <c r="D527" s="1737"/>
      <c r="E527" s="1751">
        <v>56</v>
      </c>
      <c r="F527" s="1735">
        <v>2019</v>
      </c>
      <c r="G527" s="1734" t="s">
        <v>2590</v>
      </c>
      <c r="H527" s="1736"/>
      <c r="I527" s="1735"/>
      <c r="J527" s="1737"/>
      <c r="K527" s="1734" t="s">
        <v>5909</v>
      </c>
      <c r="L527" s="1735"/>
      <c r="M527" s="1748">
        <v>560000</v>
      </c>
      <c r="N527" s="1770"/>
      <c r="O527" s="1740"/>
      <c r="P527" s="1740"/>
    </row>
    <row r="528" spans="1:16" s="1741" customFormat="1" ht="59" customHeight="1" x14ac:dyDescent="0.2">
      <c r="A528" s="1769">
        <v>518</v>
      </c>
      <c r="B528" s="1747" t="s">
        <v>6009</v>
      </c>
      <c r="C528" s="1735" t="s">
        <v>4369</v>
      </c>
      <c r="D528" s="1737"/>
      <c r="E528" s="1751">
        <v>351</v>
      </c>
      <c r="F528" s="1735">
        <v>2019</v>
      </c>
      <c r="G528" s="1734" t="s">
        <v>5990</v>
      </c>
      <c r="H528" s="1736"/>
      <c r="I528" s="1735"/>
      <c r="J528" s="1737"/>
      <c r="K528" s="1734" t="s">
        <v>5979</v>
      </c>
      <c r="L528" s="1735"/>
      <c r="M528" s="1748">
        <v>421200</v>
      </c>
      <c r="N528" s="1770"/>
      <c r="O528" s="1740"/>
      <c r="P528" s="1740"/>
    </row>
    <row r="529" spans="1:16" s="1741" customFormat="1" ht="59" customHeight="1" x14ac:dyDescent="0.2">
      <c r="A529" s="1769">
        <v>519</v>
      </c>
      <c r="B529" s="1747" t="s">
        <v>6008</v>
      </c>
      <c r="C529" s="1735" t="s">
        <v>4368</v>
      </c>
      <c r="D529" s="1737"/>
      <c r="E529" s="1751">
        <v>461.7</v>
      </c>
      <c r="F529" s="1735">
        <v>2019</v>
      </c>
      <c r="G529" s="1734" t="s">
        <v>3124</v>
      </c>
      <c r="H529" s="1736"/>
      <c r="I529" s="1735"/>
      <c r="J529" s="1737"/>
      <c r="K529" s="1734" t="s">
        <v>5909</v>
      </c>
      <c r="L529" s="1735"/>
      <c r="M529" s="1748">
        <v>6463800</v>
      </c>
      <c r="N529" s="1770"/>
      <c r="O529" s="1740"/>
      <c r="P529" s="1740"/>
    </row>
    <row r="530" spans="1:16" s="1741" customFormat="1" ht="59" customHeight="1" x14ac:dyDescent="0.2">
      <c r="A530" s="1769">
        <v>520</v>
      </c>
      <c r="B530" s="1747" t="s">
        <v>6007</v>
      </c>
      <c r="C530" s="1735" t="s">
        <v>4368</v>
      </c>
      <c r="D530" s="1737"/>
      <c r="E530" s="1751">
        <v>200</v>
      </c>
      <c r="F530" s="1735">
        <v>2019</v>
      </c>
      <c r="G530" s="1734" t="s">
        <v>2864</v>
      </c>
      <c r="H530" s="1736"/>
      <c r="I530" s="1735"/>
      <c r="J530" s="1737"/>
      <c r="K530" s="1734" t="s">
        <v>5909</v>
      </c>
      <c r="L530" s="1735"/>
      <c r="M530" s="1748">
        <v>340000</v>
      </c>
      <c r="N530" s="1770"/>
      <c r="O530" s="1740"/>
      <c r="P530" s="1740"/>
    </row>
    <row r="531" spans="1:16" s="1741" customFormat="1" ht="59" customHeight="1" x14ac:dyDescent="0.2">
      <c r="A531" s="1769">
        <v>521</v>
      </c>
      <c r="B531" s="1747" t="s">
        <v>6006</v>
      </c>
      <c r="C531" s="1735" t="s">
        <v>4368</v>
      </c>
      <c r="D531" s="1737"/>
      <c r="E531" s="1751">
        <v>80</v>
      </c>
      <c r="F531" s="1735">
        <v>2019</v>
      </c>
      <c r="G531" s="1734" t="s">
        <v>2890</v>
      </c>
      <c r="H531" s="1736"/>
      <c r="I531" s="1735"/>
      <c r="J531" s="1737"/>
      <c r="K531" s="1734" t="s">
        <v>5909</v>
      </c>
      <c r="L531" s="1735"/>
      <c r="M531" s="1748">
        <v>400000</v>
      </c>
      <c r="N531" s="1770"/>
      <c r="O531" s="1740"/>
      <c r="P531" s="1740"/>
    </row>
    <row r="532" spans="1:16" s="1741" customFormat="1" ht="59" customHeight="1" x14ac:dyDescent="0.2">
      <c r="A532" s="1769">
        <v>522</v>
      </c>
      <c r="B532" s="1747" t="s">
        <v>6005</v>
      </c>
      <c r="C532" s="1735" t="s">
        <v>4368</v>
      </c>
      <c r="D532" s="1737"/>
      <c r="E532" s="1751">
        <v>595</v>
      </c>
      <c r="F532" s="1735">
        <v>2019</v>
      </c>
      <c r="G532" s="1734" t="s">
        <v>2867</v>
      </c>
      <c r="H532" s="1736"/>
      <c r="I532" s="1735"/>
      <c r="J532" s="1737"/>
      <c r="K532" s="1734" t="s">
        <v>5909</v>
      </c>
      <c r="L532" s="1735"/>
      <c r="M532" s="1748">
        <v>1457750</v>
      </c>
      <c r="N532" s="1770"/>
      <c r="O532" s="1740"/>
      <c r="P532" s="1740"/>
    </row>
    <row r="533" spans="1:16" s="1741" customFormat="1" ht="59" customHeight="1" x14ac:dyDescent="0.2">
      <c r="A533" s="1769">
        <v>523</v>
      </c>
      <c r="B533" s="1747" t="s">
        <v>6004</v>
      </c>
      <c r="C533" s="1735" t="s">
        <v>4368</v>
      </c>
      <c r="D533" s="1737"/>
      <c r="E533" s="1751">
        <v>150</v>
      </c>
      <c r="F533" s="1735">
        <v>2019</v>
      </c>
      <c r="G533" s="1734" t="s">
        <v>895</v>
      </c>
      <c r="H533" s="1736"/>
      <c r="I533" s="1735"/>
      <c r="J533" s="1737"/>
      <c r="K533" s="1734" t="s">
        <v>5909</v>
      </c>
      <c r="L533" s="1735"/>
      <c r="M533" s="1748">
        <v>525000</v>
      </c>
      <c r="N533" s="1770"/>
      <c r="O533" s="1740"/>
      <c r="P533" s="1740"/>
    </row>
    <row r="534" spans="1:16" s="1741" customFormat="1" ht="59" customHeight="1" x14ac:dyDescent="0.2">
      <c r="A534" s="1769">
        <v>524</v>
      </c>
      <c r="B534" s="1747" t="s">
        <v>6003</v>
      </c>
      <c r="C534" s="1735" t="s">
        <v>4368</v>
      </c>
      <c r="D534" s="1737"/>
      <c r="E534" s="1751">
        <v>160</v>
      </c>
      <c r="F534" s="1735">
        <v>2019</v>
      </c>
      <c r="G534" s="1734" t="s">
        <v>3481</v>
      </c>
      <c r="H534" s="1736"/>
      <c r="I534" s="1735"/>
      <c r="J534" s="1737"/>
      <c r="K534" s="1734" t="s">
        <v>5909</v>
      </c>
      <c r="L534" s="1735"/>
      <c r="M534" s="1748">
        <v>145600</v>
      </c>
      <c r="N534" s="1770"/>
      <c r="O534" s="1740"/>
      <c r="P534" s="1740"/>
    </row>
    <row r="535" spans="1:16" s="1741" customFormat="1" ht="59" customHeight="1" x14ac:dyDescent="0.2">
      <c r="A535" s="1769">
        <v>525</v>
      </c>
      <c r="B535" s="1747" t="s">
        <v>5994</v>
      </c>
      <c r="C535" s="1735" t="s">
        <v>4368</v>
      </c>
      <c r="D535" s="1737"/>
      <c r="E535" s="1751">
        <v>2600</v>
      </c>
      <c r="F535" s="1735">
        <v>2019</v>
      </c>
      <c r="G535" s="1734" t="s">
        <v>895</v>
      </c>
      <c r="H535" s="1736"/>
      <c r="I535" s="1735"/>
      <c r="J535" s="1737"/>
      <c r="K535" s="1734" t="s">
        <v>5909</v>
      </c>
      <c r="L535" s="1735"/>
      <c r="M535" s="1748">
        <v>9100000</v>
      </c>
      <c r="N535" s="1770"/>
      <c r="O535" s="1740"/>
      <c r="P535" s="1740"/>
    </row>
    <row r="536" spans="1:16" s="1741" customFormat="1" ht="59" customHeight="1" x14ac:dyDescent="0.2">
      <c r="A536" s="1769">
        <v>526</v>
      </c>
      <c r="B536" s="1747" t="s">
        <v>6002</v>
      </c>
      <c r="C536" s="1735" t="s">
        <v>4368</v>
      </c>
      <c r="D536" s="1737"/>
      <c r="E536" s="1751">
        <v>6180</v>
      </c>
      <c r="F536" s="1735">
        <v>2019</v>
      </c>
      <c r="G536" s="1734" t="s">
        <v>2595</v>
      </c>
      <c r="H536" s="1736"/>
      <c r="I536" s="1735"/>
      <c r="J536" s="1737"/>
      <c r="K536" s="1734" t="s">
        <v>5909</v>
      </c>
      <c r="L536" s="1735"/>
      <c r="M536" s="1748">
        <v>15141000</v>
      </c>
      <c r="N536" s="1770"/>
      <c r="O536" s="1740"/>
      <c r="P536" s="1740"/>
    </row>
    <row r="537" spans="1:16" s="1741" customFormat="1" ht="59" customHeight="1" x14ac:dyDescent="0.2">
      <c r="A537" s="1769">
        <v>527</v>
      </c>
      <c r="B537" s="1747" t="s">
        <v>6001</v>
      </c>
      <c r="C537" s="1735" t="s">
        <v>4368</v>
      </c>
      <c r="D537" s="1737"/>
      <c r="E537" s="1751">
        <v>2150</v>
      </c>
      <c r="F537" s="1735">
        <v>2019</v>
      </c>
      <c r="G537" s="1734" t="s">
        <v>3481</v>
      </c>
      <c r="H537" s="1736"/>
      <c r="I537" s="1735"/>
      <c r="J537" s="1737"/>
      <c r="K537" s="1734" t="s">
        <v>5909</v>
      </c>
      <c r="L537" s="1735"/>
      <c r="M537" s="1748">
        <v>1956500</v>
      </c>
      <c r="N537" s="1770"/>
      <c r="O537" s="1740"/>
      <c r="P537" s="1740"/>
    </row>
    <row r="538" spans="1:16" s="1741" customFormat="1" ht="59" customHeight="1" x14ac:dyDescent="0.2">
      <c r="A538" s="1769">
        <v>528</v>
      </c>
      <c r="B538" s="1747" t="s">
        <v>5998</v>
      </c>
      <c r="C538" s="1735" t="s">
        <v>4368</v>
      </c>
      <c r="D538" s="1737"/>
      <c r="E538" s="1751">
        <v>30</v>
      </c>
      <c r="F538" s="1735">
        <v>2019</v>
      </c>
      <c r="G538" s="1734" t="s">
        <v>2860</v>
      </c>
      <c r="H538" s="1736"/>
      <c r="I538" s="1735"/>
      <c r="J538" s="1737"/>
      <c r="K538" s="1734" t="s">
        <v>5909</v>
      </c>
      <c r="L538" s="1735"/>
      <c r="M538" s="1748">
        <v>73500</v>
      </c>
      <c r="N538" s="1770"/>
      <c r="O538" s="1740"/>
      <c r="P538" s="1740"/>
    </row>
    <row r="539" spans="1:16" s="1741" customFormat="1" ht="59" customHeight="1" x14ac:dyDescent="0.2">
      <c r="A539" s="1769">
        <v>529</v>
      </c>
      <c r="B539" s="1747" t="s">
        <v>5995</v>
      </c>
      <c r="C539" s="1735" t="s">
        <v>4368</v>
      </c>
      <c r="D539" s="1737"/>
      <c r="E539" s="1751">
        <v>120</v>
      </c>
      <c r="F539" s="1735">
        <v>2019</v>
      </c>
      <c r="G539" s="1734" t="s">
        <v>3444</v>
      </c>
      <c r="H539" s="1736"/>
      <c r="I539" s="1735"/>
      <c r="J539" s="1737"/>
      <c r="K539" s="1734" t="s">
        <v>5909</v>
      </c>
      <c r="L539" s="1735"/>
      <c r="M539" s="1748">
        <v>109200</v>
      </c>
      <c r="N539" s="1770"/>
      <c r="O539" s="1740"/>
      <c r="P539" s="1740"/>
    </row>
    <row r="540" spans="1:16" s="1741" customFormat="1" ht="59" customHeight="1" x14ac:dyDescent="0.2">
      <c r="A540" s="1769">
        <v>530</v>
      </c>
      <c r="B540" s="1747" t="s">
        <v>5999</v>
      </c>
      <c r="C540" s="1735" t="s">
        <v>4368</v>
      </c>
      <c r="D540" s="1737"/>
      <c r="E540" s="1751">
        <v>100</v>
      </c>
      <c r="F540" s="1735">
        <v>2019</v>
      </c>
      <c r="G540" s="1734" t="s">
        <v>895</v>
      </c>
      <c r="H540" s="1736"/>
      <c r="I540" s="1735"/>
      <c r="J540" s="1737"/>
      <c r="K540" s="1734" t="s">
        <v>5909</v>
      </c>
      <c r="L540" s="1735"/>
      <c r="M540" s="1748">
        <v>350000</v>
      </c>
      <c r="N540" s="1770"/>
      <c r="O540" s="1740"/>
      <c r="P540" s="1740"/>
    </row>
    <row r="541" spans="1:16" s="1741" customFormat="1" ht="59" customHeight="1" x14ac:dyDescent="0.2">
      <c r="A541" s="1769">
        <v>531</v>
      </c>
      <c r="B541" s="1747" t="s">
        <v>6000</v>
      </c>
      <c r="C541" s="1735" t="s">
        <v>4368</v>
      </c>
      <c r="D541" s="1737"/>
      <c r="E541" s="1751">
        <v>520</v>
      </c>
      <c r="F541" s="1735">
        <v>2019</v>
      </c>
      <c r="G541" s="1734" t="s">
        <v>3246</v>
      </c>
      <c r="H541" s="1736"/>
      <c r="I541" s="1735"/>
      <c r="J541" s="1737"/>
      <c r="K541" s="1734" t="s">
        <v>5909</v>
      </c>
      <c r="L541" s="1735"/>
      <c r="M541" s="1748">
        <v>884000</v>
      </c>
      <c r="N541" s="1770"/>
      <c r="O541" s="1740"/>
      <c r="P541" s="1740"/>
    </row>
    <row r="542" spans="1:16" s="1741" customFormat="1" ht="59" customHeight="1" x14ac:dyDescent="0.2">
      <c r="A542" s="1769">
        <v>532</v>
      </c>
      <c r="B542" s="1747" t="s">
        <v>5996</v>
      </c>
      <c r="C542" s="1735" t="s">
        <v>4368</v>
      </c>
      <c r="D542" s="1737"/>
      <c r="E542" s="1751">
        <v>10000</v>
      </c>
      <c r="F542" s="1735">
        <v>2019</v>
      </c>
      <c r="G542" s="1734" t="s">
        <v>2860</v>
      </c>
      <c r="H542" s="1736"/>
      <c r="I542" s="1735"/>
      <c r="J542" s="1737"/>
      <c r="K542" s="1734" t="s">
        <v>5909</v>
      </c>
      <c r="L542" s="1735"/>
      <c r="M542" s="1748">
        <v>24500000</v>
      </c>
      <c r="N542" s="1770"/>
      <c r="O542" s="1740"/>
      <c r="P542" s="1740"/>
    </row>
    <row r="543" spans="1:16" s="1725" customFormat="1" ht="42" customHeight="1" thickBot="1" x14ac:dyDescent="0.25">
      <c r="A543" s="1774"/>
      <c r="B543" s="1752"/>
      <c r="C543" s="1753"/>
      <c r="D543" s="1754"/>
      <c r="E543" s="1755"/>
      <c r="F543" s="1753"/>
      <c r="G543" s="1752" t="s">
        <v>52</v>
      </c>
      <c r="H543" s="1756" t="s">
        <v>52</v>
      </c>
      <c r="I543" s="1753"/>
      <c r="J543" s="1754"/>
      <c r="K543" s="1754" t="s">
        <v>52</v>
      </c>
      <c r="L543" s="1753"/>
      <c r="M543" s="1757"/>
      <c r="N543" s="1775"/>
      <c r="O543" s="1726"/>
      <c r="P543" s="1740" t="str">
        <f>UPPER(K543)</f>
        <v/>
      </c>
    </row>
    <row r="544" spans="1:16" s="1725" customFormat="1" ht="17.25" customHeight="1" x14ac:dyDescent="0.2">
      <c r="A544" s="1759"/>
      <c r="B544" s="1396"/>
      <c r="C544" s="1728"/>
      <c r="D544" s="1726"/>
      <c r="E544" s="1727"/>
      <c r="F544" s="1728"/>
      <c r="G544" s="1396"/>
      <c r="H544" s="1729"/>
      <c r="I544" s="1728"/>
      <c r="J544" s="1726"/>
      <c r="K544" s="1726"/>
      <c r="L544" s="1728"/>
      <c r="M544" s="1760"/>
      <c r="N544" s="1396"/>
      <c r="O544" s="1758"/>
      <c r="P544" s="1740"/>
    </row>
    <row r="545" spans="1:15" s="1725" customFormat="1" x14ac:dyDescent="0.2">
      <c r="B545" s="1761"/>
      <c r="C545" s="1731"/>
      <c r="E545" s="1762"/>
      <c r="F545" s="1655"/>
      <c r="G545" s="1761"/>
      <c r="H545" s="1763"/>
      <c r="I545" s="1731"/>
      <c r="L545" s="1731"/>
      <c r="M545" s="1760"/>
      <c r="N545" s="1764"/>
      <c r="O545" s="1765"/>
    </row>
    <row r="546" spans="1:15" s="1793" customFormat="1" ht="21" customHeight="1" x14ac:dyDescent="0.2">
      <c r="A546" s="1788"/>
      <c r="B546" s="1836" t="s">
        <v>22</v>
      </c>
      <c r="C546" s="1836"/>
      <c r="D546" s="1836"/>
      <c r="E546" s="1789"/>
      <c r="F546" s="1630"/>
      <c r="G546" s="1790"/>
      <c r="H546" s="1791"/>
      <c r="I546" s="1792"/>
      <c r="K546" s="1841" t="s">
        <v>5491</v>
      </c>
      <c r="L546" s="1841"/>
      <c r="M546" s="1841"/>
      <c r="N546" s="1841"/>
      <c r="O546" s="1792"/>
    </row>
    <row r="547" spans="1:15" s="1793" customFormat="1" ht="21" customHeight="1" x14ac:dyDescent="0.2">
      <c r="A547" s="1788"/>
      <c r="B547" s="1836" t="s">
        <v>4374</v>
      </c>
      <c r="C547" s="1836"/>
      <c r="D547" s="1836"/>
      <c r="E547" s="1789"/>
      <c r="F547" s="1630"/>
      <c r="G547" s="1790"/>
      <c r="H547" s="1791"/>
      <c r="I547" s="1792"/>
      <c r="K547" s="1836" t="s">
        <v>6040</v>
      </c>
      <c r="L547" s="1836"/>
      <c r="M547" s="1836"/>
      <c r="N547" s="1836"/>
      <c r="O547" s="1630"/>
    </row>
    <row r="548" spans="1:15" s="1793" customFormat="1" ht="21" customHeight="1" x14ac:dyDescent="0.2">
      <c r="A548" s="1788"/>
      <c r="B548" s="1836" t="s">
        <v>6041</v>
      </c>
      <c r="C548" s="1836"/>
      <c r="D548" s="1836"/>
      <c r="E548" s="1789"/>
      <c r="F548" s="1630"/>
      <c r="G548" s="1790"/>
      <c r="H548" s="1791"/>
      <c r="I548" s="1792"/>
      <c r="K548" s="1788"/>
      <c r="L548" s="1630"/>
      <c r="M548" s="1788"/>
      <c r="N548" s="1794"/>
      <c r="O548" s="1788"/>
    </row>
    <row r="549" spans="1:15" s="1793" customFormat="1" ht="21" customHeight="1" x14ac:dyDescent="0.2">
      <c r="A549" s="1788"/>
      <c r="B549" s="1836"/>
      <c r="C549" s="1836"/>
      <c r="D549" s="1836"/>
      <c r="E549" s="1789"/>
      <c r="F549" s="1630"/>
      <c r="G549" s="1790"/>
      <c r="H549" s="1791"/>
      <c r="I549" s="1792"/>
      <c r="K549" s="1788"/>
      <c r="L549" s="1630"/>
      <c r="M549" s="1788"/>
      <c r="N549" s="1794"/>
      <c r="O549" s="1788"/>
    </row>
    <row r="550" spans="1:15" s="1793" customFormat="1" ht="21" customHeight="1" x14ac:dyDescent="0.2">
      <c r="A550" s="1788"/>
      <c r="B550" s="1836"/>
      <c r="C550" s="1836"/>
      <c r="D550" s="1836"/>
      <c r="E550" s="1789"/>
      <c r="F550" s="1630"/>
      <c r="G550" s="1790"/>
      <c r="H550" s="1791"/>
      <c r="I550" s="1792"/>
      <c r="K550" s="1788"/>
      <c r="L550" s="1630"/>
      <c r="M550" s="1788"/>
      <c r="N550" s="1794"/>
      <c r="O550" s="1788"/>
    </row>
    <row r="551" spans="1:15" s="1793" customFormat="1" ht="21" customHeight="1" x14ac:dyDescent="0.2">
      <c r="A551" s="1788"/>
      <c r="B551" s="1836"/>
      <c r="C551" s="1836"/>
      <c r="D551" s="1836"/>
      <c r="E551" s="1789"/>
      <c r="F551" s="1630"/>
      <c r="G551" s="1790"/>
      <c r="H551" s="1791"/>
      <c r="I551" s="1792"/>
      <c r="K551" s="1788"/>
      <c r="L551" s="1630"/>
      <c r="M551" s="1788"/>
      <c r="N551" s="1794"/>
      <c r="O551" s="1788"/>
    </row>
    <row r="552" spans="1:15" s="1793" customFormat="1" ht="21" customHeight="1" x14ac:dyDescent="0.2">
      <c r="A552" s="1788"/>
      <c r="B552" s="1836"/>
      <c r="C552" s="1836"/>
      <c r="D552" s="1836"/>
      <c r="E552" s="1789"/>
      <c r="F552" s="1630"/>
      <c r="G552" s="1790"/>
      <c r="H552" s="1791"/>
      <c r="I552" s="1792"/>
      <c r="K552" s="1788"/>
      <c r="L552" s="1630"/>
      <c r="M552" s="1788"/>
      <c r="N552" s="1794"/>
      <c r="O552" s="1788"/>
    </row>
    <row r="553" spans="1:15" s="1793" customFormat="1" ht="21" customHeight="1" x14ac:dyDescent="0.2">
      <c r="A553" s="1788"/>
      <c r="B553" s="1836"/>
      <c r="C553" s="1836"/>
      <c r="D553" s="1836"/>
      <c r="E553" s="1789"/>
      <c r="F553" s="1630"/>
      <c r="G553" s="1790"/>
      <c r="H553" s="1791"/>
      <c r="I553" s="1792"/>
      <c r="K553" s="1788"/>
      <c r="L553" s="1630"/>
      <c r="M553" s="1788"/>
      <c r="N553" s="1794"/>
      <c r="O553" s="1788"/>
    </row>
    <row r="554" spans="1:15" s="1793" customFormat="1" ht="21" customHeight="1" x14ac:dyDescent="0.2">
      <c r="A554" s="1766"/>
      <c r="B554" s="1837" t="s">
        <v>4375</v>
      </c>
      <c r="C554" s="1837"/>
      <c r="D554" s="1837"/>
      <c r="E554" s="1789"/>
      <c r="F554" s="1630"/>
      <c r="G554" s="1790"/>
      <c r="H554" s="1791"/>
      <c r="I554" s="1792"/>
      <c r="K554" s="1842" t="s">
        <v>27</v>
      </c>
      <c r="L554" s="1842"/>
      <c r="M554" s="1842"/>
      <c r="N554" s="1842"/>
      <c r="O554" s="1767"/>
    </row>
    <row r="555" spans="1:15" s="1793" customFormat="1" ht="21" customHeight="1" x14ac:dyDescent="0.2">
      <c r="A555" s="1788"/>
      <c r="B555" s="1836" t="s">
        <v>4376</v>
      </c>
      <c r="C555" s="1836"/>
      <c r="D555" s="1836"/>
      <c r="E555" s="1789"/>
      <c r="F555" s="1630"/>
      <c r="G555" s="1790"/>
      <c r="H555" s="1791"/>
      <c r="I555" s="1792"/>
      <c r="K555" s="1841" t="s">
        <v>29</v>
      </c>
      <c r="L555" s="1841"/>
      <c r="M555" s="1841"/>
      <c r="N555" s="1841"/>
      <c r="O555" s="1792"/>
    </row>
  </sheetData>
  <autoFilter ref="A9:O543" xr:uid="{00000000-0009-0000-0000-000002000000}"/>
  <mergeCells count="33">
    <mergeCell ref="A2:O2"/>
    <mergeCell ref="A3:O3"/>
    <mergeCell ref="A4:O4"/>
    <mergeCell ref="A6:A8"/>
    <mergeCell ref="B6:B8"/>
    <mergeCell ref="C6:D6"/>
    <mergeCell ref="E6:E8"/>
    <mergeCell ref="F6:F8"/>
    <mergeCell ref="G6:G8"/>
    <mergeCell ref="H6:J6"/>
    <mergeCell ref="K6:K8"/>
    <mergeCell ref="L6:L8"/>
    <mergeCell ref="M6:M8"/>
    <mergeCell ref="N6:N8"/>
    <mergeCell ref="C7:C8"/>
    <mergeCell ref="D7:D8"/>
    <mergeCell ref="B555:D555"/>
    <mergeCell ref="H7:H8"/>
    <mergeCell ref="I7:J7"/>
    <mergeCell ref="K555:N555"/>
    <mergeCell ref="K546:N546"/>
    <mergeCell ref="K547:N547"/>
    <mergeCell ref="K554:N554"/>
    <mergeCell ref="B546:D546"/>
    <mergeCell ref="B547:D547"/>
    <mergeCell ref="B548:D548"/>
    <mergeCell ref="B549:D549"/>
    <mergeCell ref="B550:D550"/>
    <mergeCell ref="A5:B5"/>
    <mergeCell ref="B551:D551"/>
    <mergeCell ref="B552:D552"/>
    <mergeCell ref="B553:D553"/>
    <mergeCell ref="B554:D554"/>
  </mergeCells>
  <printOptions horizontalCentered="1"/>
  <pageMargins left="0.472440945" right="0.893700787" top="0.91929133900000004" bottom="0.59055118110236204" header="0.31496062992126" footer="0.31496062992126"/>
  <pageSetup paperSize="5" scale="5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342"/>
  <sheetViews>
    <sheetView view="pageBreakPreview" topLeftCell="B1" zoomScale="70" zoomScaleNormal="70" zoomScaleSheetLayoutView="70" workbookViewId="0">
      <selection activeCell="H16" sqref="H16"/>
    </sheetView>
  </sheetViews>
  <sheetFormatPr baseColWidth="10" defaultColWidth="9.1640625" defaultRowHeight="14" x14ac:dyDescent="0.2"/>
  <cols>
    <col min="1" max="1" width="9" style="946" hidden="1" customWidth="1"/>
    <col min="2" max="2" width="7.83203125" style="946" customWidth="1"/>
    <col min="3" max="3" width="26.83203125" style="946" customWidth="1"/>
    <col min="4" max="4" width="36.1640625" style="946" customWidth="1"/>
    <col min="5" max="5" width="15.83203125" style="1344" customWidth="1"/>
    <col min="6" max="6" width="20.5" style="946" customWidth="1"/>
    <col min="7" max="7" width="9.83203125" style="946" customWidth="1"/>
    <col min="8" max="8" width="19.1640625" style="946" customWidth="1"/>
    <col min="9" max="9" width="11.5" style="995" customWidth="1"/>
    <col min="10" max="10" width="12.1640625" style="946" customWidth="1"/>
    <col min="11" max="11" width="21" style="946" customWidth="1"/>
    <col min="12" max="12" width="17.6640625" style="946" customWidth="1"/>
    <col min="13" max="13" width="14.6640625" style="946" customWidth="1"/>
    <col min="14" max="14" width="13" style="946" customWidth="1"/>
    <col min="15" max="15" width="14" style="1344" customWidth="1"/>
    <col min="16" max="16" width="24.1640625" style="958" customWidth="1"/>
    <col min="17" max="17" width="17" style="1349" customWidth="1"/>
    <col min="18" max="20" width="0" style="946" hidden="1" customWidth="1"/>
    <col min="21" max="21" width="10.5" style="946" customWidth="1"/>
    <col min="22" max="22" width="11.5" style="946" customWidth="1"/>
    <col min="23" max="23" width="21.5" style="1125" customWidth="1"/>
    <col min="24" max="24" width="21.5" style="946" customWidth="1"/>
    <col min="25" max="25" width="21.5" style="958" customWidth="1"/>
    <col min="26" max="26" width="21.5" style="946" customWidth="1"/>
    <col min="27" max="33" width="21.5" style="958" customWidth="1"/>
    <col min="34" max="34" width="24.83203125" style="958" customWidth="1"/>
    <col min="35" max="35" width="21.5" style="946" hidden="1" customWidth="1"/>
    <col min="36" max="36" width="21.5" style="958" customWidth="1"/>
    <col min="37" max="37" width="23.6640625" style="958" bestFit="1" customWidth="1"/>
    <col min="38" max="38" width="20" style="946" bestFit="1" customWidth="1"/>
    <col min="39" max="16384" width="9.1640625" style="946"/>
  </cols>
  <sheetData>
    <row r="1" spans="1:37" x14ac:dyDescent="0.2">
      <c r="Q1" s="1350"/>
    </row>
    <row r="2" spans="1:37" x14ac:dyDescent="0.2">
      <c r="Q2" s="1350"/>
    </row>
    <row r="3" spans="1:37" s="1390" customFormat="1" ht="42" customHeight="1" x14ac:dyDescent="0.2">
      <c r="B3" s="1859" t="s">
        <v>0</v>
      </c>
      <c r="C3" s="1859"/>
      <c r="D3" s="1859"/>
      <c r="E3" s="1859"/>
      <c r="F3" s="1859"/>
      <c r="G3" s="1859"/>
      <c r="H3" s="1859"/>
      <c r="I3" s="1859"/>
      <c r="J3" s="1859"/>
      <c r="K3" s="1859"/>
      <c r="L3" s="1859"/>
      <c r="M3" s="1859"/>
      <c r="N3" s="1859"/>
      <c r="O3" s="1859"/>
      <c r="P3" s="1859"/>
      <c r="Q3" s="1859"/>
      <c r="R3" s="1859"/>
      <c r="S3" s="1859"/>
      <c r="T3" s="1859"/>
      <c r="U3" s="1424"/>
      <c r="V3" s="1424"/>
      <c r="W3" s="1444"/>
      <c r="Y3" s="1401"/>
      <c r="AA3" s="1401"/>
      <c r="AB3" s="1401"/>
      <c r="AC3" s="1401"/>
      <c r="AD3" s="1401"/>
      <c r="AE3" s="1401"/>
      <c r="AF3" s="1401"/>
      <c r="AG3" s="1401"/>
      <c r="AH3" s="1401"/>
      <c r="AJ3" s="1401"/>
      <c r="AK3" s="1401"/>
    </row>
    <row r="4" spans="1:37" s="1390" customFormat="1" ht="42" customHeight="1" x14ac:dyDescent="0.2">
      <c r="B4" s="1859" t="s">
        <v>6042</v>
      </c>
      <c r="C4" s="1859"/>
      <c r="D4" s="1859"/>
      <c r="E4" s="1859"/>
      <c r="F4" s="1859"/>
      <c r="G4" s="1859"/>
      <c r="H4" s="1859"/>
      <c r="I4" s="1859"/>
      <c r="J4" s="1859"/>
      <c r="K4" s="1859"/>
      <c r="L4" s="1859"/>
      <c r="M4" s="1859"/>
      <c r="N4" s="1859"/>
      <c r="O4" s="1859"/>
      <c r="P4" s="1859"/>
      <c r="Q4" s="1859"/>
      <c r="R4" s="1859"/>
      <c r="S4" s="1859"/>
      <c r="T4" s="1859"/>
      <c r="U4" s="1424"/>
      <c r="V4" s="1424"/>
      <c r="W4" s="1444"/>
      <c r="Y4" s="1401"/>
      <c r="AA4" s="1401"/>
      <c r="AB4" s="1401"/>
      <c r="AC4" s="1401"/>
      <c r="AD4" s="1401"/>
      <c r="AE4" s="1401"/>
      <c r="AF4" s="1401"/>
      <c r="AG4" s="1401"/>
      <c r="AH4" s="1401"/>
      <c r="AJ4" s="1401"/>
      <c r="AK4" s="1401"/>
    </row>
    <row r="5" spans="1:37" s="1390" customFormat="1" ht="14.25" customHeight="1" x14ac:dyDescent="0.2">
      <c r="B5" s="1857"/>
      <c r="C5" s="1857"/>
      <c r="D5" s="1857"/>
      <c r="E5" s="1857"/>
      <c r="F5" s="1857"/>
      <c r="G5" s="1857"/>
      <c r="H5" s="1857"/>
      <c r="I5" s="1857"/>
      <c r="J5" s="1857"/>
      <c r="K5" s="1857"/>
      <c r="L5" s="1857"/>
      <c r="M5" s="1857"/>
      <c r="N5" s="1857"/>
      <c r="O5" s="1857"/>
      <c r="P5" s="1857"/>
      <c r="Q5" s="1857"/>
      <c r="R5" s="1857"/>
      <c r="S5" s="1857"/>
      <c r="T5" s="1857"/>
      <c r="U5" s="1424"/>
      <c r="V5" s="1424"/>
      <c r="W5" s="1444"/>
      <c r="Y5" s="1401"/>
      <c r="AA5" s="1401"/>
      <c r="AB5" s="1401"/>
      <c r="AC5" s="1401"/>
      <c r="AD5" s="1401"/>
      <c r="AE5" s="1401"/>
      <c r="AF5" s="1401"/>
      <c r="AG5" s="1401"/>
      <c r="AH5" s="1401"/>
      <c r="AJ5" s="1401"/>
      <c r="AK5" s="1401"/>
    </row>
    <row r="6" spans="1:37" s="1390" customFormat="1" ht="21" customHeight="1" thickBot="1" x14ac:dyDescent="0.25">
      <c r="B6" s="1856" t="s">
        <v>6038</v>
      </c>
      <c r="C6" s="1856"/>
      <c r="D6" s="1856"/>
      <c r="E6" s="1424"/>
      <c r="F6" s="1407"/>
      <c r="G6" s="1407"/>
      <c r="H6" s="1407"/>
      <c r="I6" s="1424"/>
      <c r="J6" s="1407"/>
      <c r="K6" s="1407"/>
      <c r="L6" s="1407"/>
      <c r="M6" s="1407"/>
      <c r="N6" s="1407"/>
      <c r="O6" s="1424"/>
      <c r="P6" s="1446"/>
      <c r="Q6" s="1486"/>
      <c r="W6" s="1444"/>
      <c r="Y6" s="1401"/>
      <c r="AA6" s="1401"/>
      <c r="AB6" s="1401"/>
      <c r="AC6" s="1401"/>
      <c r="AD6" s="1401"/>
      <c r="AE6" s="1401"/>
      <c r="AF6" s="1401"/>
      <c r="AG6" s="1401"/>
      <c r="AH6" s="1401"/>
      <c r="AJ6" s="1401"/>
      <c r="AK6" s="1401"/>
    </row>
    <row r="7" spans="1:37" s="1390" customFormat="1" ht="27" customHeight="1" x14ac:dyDescent="0.2">
      <c r="B7" s="1844" t="s">
        <v>869</v>
      </c>
      <c r="C7" s="1860" t="s">
        <v>877</v>
      </c>
      <c r="D7" s="1847" t="s">
        <v>870</v>
      </c>
      <c r="E7" s="1847" t="s">
        <v>878</v>
      </c>
      <c r="F7" s="1847" t="s">
        <v>905</v>
      </c>
      <c r="G7" s="1847" t="s">
        <v>906</v>
      </c>
      <c r="H7" s="1847" t="s">
        <v>907</v>
      </c>
      <c r="I7" s="1847" t="s">
        <v>908</v>
      </c>
      <c r="J7" s="1847" t="s">
        <v>883</v>
      </c>
      <c r="K7" s="1847"/>
      <c r="L7" s="1847"/>
      <c r="M7" s="1847"/>
      <c r="N7" s="1847"/>
      <c r="O7" s="1847" t="s">
        <v>909</v>
      </c>
      <c r="P7" s="1863" t="s">
        <v>1105</v>
      </c>
      <c r="Q7" s="1866" t="s">
        <v>911</v>
      </c>
      <c r="R7" s="1869" t="s">
        <v>2</v>
      </c>
      <c r="S7" s="1869"/>
      <c r="T7" s="1870"/>
      <c r="U7" s="1679"/>
      <c r="V7" s="1886" t="s">
        <v>2279</v>
      </c>
      <c r="W7" s="1880" t="s">
        <v>2280</v>
      </c>
      <c r="X7" s="1880" t="s">
        <v>2281</v>
      </c>
      <c r="Y7" s="1877" t="s">
        <v>2282</v>
      </c>
      <c r="Z7" s="1883" t="s">
        <v>2283</v>
      </c>
      <c r="AA7" s="1877" t="s">
        <v>2284</v>
      </c>
      <c r="AB7" s="1877" t="s">
        <v>2285</v>
      </c>
      <c r="AC7" s="1877" t="s">
        <v>2286</v>
      </c>
      <c r="AD7" s="1877" t="s">
        <v>2287</v>
      </c>
      <c r="AE7" s="1877" t="s">
        <v>2294</v>
      </c>
      <c r="AF7" s="1877" t="s">
        <v>2478</v>
      </c>
      <c r="AG7" s="1877" t="s">
        <v>5545</v>
      </c>
      <c r="AH7" s="1877" t="s">
        <v>5546</v>
      </c>
      <c r="AI7" s="1452" t="s">
        <v>2288</v>
      </c>
      <c r="AJ7" s="1871" t="s">
        <v>2289</v>
      </c>
      <c r="AK7" s="1401"/>
    </row>
    <row r="8" spans="1:37" s="1390" customFormat="1" x14ac:dyDescent="0.2">
      <c r="B8" s="1845"/>
      <c r="C8" s="1861"/>
      <c r="D8" s="1838"/>
      <c r="E8" s="1838"/>
      <c r="F8" s="1838"/>
      <c r="G8" s="1838"/>
      <c r="H8" s="1838"/>
      <c r="I8" s="1838"/>
      <c r="J8" s="1840" t="s">
        <v>912</v>
      </c>
      <c r="K8" s="1840" t="s">
        <v>913</v>
      </c>
      <c r="L8" s="1840" t="s">
        <v>914</v>
      </c>
      <c r="M8" s="1840" t="s">
        <v>915</v>
      </c>
      <c r="N8" s="1840" t="s">
        <v>34</v>
      </c>
      <c r="O8" s="1838"/>
      <c r="P8" s="1864"/>
      <c r="Q8" s="1867"/>
      <c r="R8" s="1874" t="s">
        <v>3</v>
      </c>
      <c r="S8" s="1876" t="s">
        <v>4</v>
      </c>
      <c r="T8" s="1870"/>
      <c r="U8" s="1679"/>
      <c r="V8" s="1887"/>
      <c r="W8" s="1881"/>
      <c r="X8" s="1881"/>
      <c r="Y8" s="1878"/>
      <c r="Z8" s="1884"/>
      <c r="AA8" s="1878"/>
      <c r="AB8" s="1878"/>
      <c r="AC8" s="1878"/>
      <c r="AD8" s="1878"/>
      <c r="AE8" s="1878"/>
      <c r="AF8" s="1878"/>
      <c r="AG8" s="1878"/>
      <c r="AH8" s="1878"/>
      <c r="AI8" s="1680"/>
      <c r="AJ8" s="1872"/>
      <c r="AK8" s="1401"/>
    </row>
    <row r="9" spans="1:37" s="1390" customFormat="1" ht="16" thickBot="1" x14ac:dyDescent="0.25">
      <c r="B9" s="1846"/>
      <c r="C9" s="1862"/>
      <c r="D9" s="1839"/>
      <c r="E9" s="1839"/>
      <c r="F9" s="1839"/>
      <c r="G9" s="1839"/>
      <c r="H9" s="1839"/>
      <c r="I9" s="1839"/>
      <c r="J9" s="1852"/>
      <c r="K9" s="1852"/>
      <c r="L9" s="1852"/>
      <c r="M9" s="1852"/>
      <c r="N9" s="1852"/>
      <c r="O9" s="1839"/>
      <c r="P9" s="1865"/>
      <c r="Q9" s="1868"/>
      <c r="R9" s="1875"/>
      <c r="S9" s="1501" t="s">
        <v>5</v>
      </c>
      <c r="T9" s="1416" t="s">
        <v>6</v>
      </c>
      <c r="U9" s="1681"/>
      <c r="V9" s="1888"/>
      <c r="W9" s="1882"/>
      <c r="X9" s="1882"/>
      <c r="Y9" s="1879"/>
      <c r="Z9" s="1885"/>
      <c r="AA9" s="1879"/>
      <c r="AB9" s="1879"/>
      <c r="AC9" s="1879"/>
      <c r="AD9" s="1879"/>
      <c r="AE9" s="1879"/>
      <c r="AF9" s="1879"/>
      <c r="AG9" s="1879"/>
      <c r="AH9" s="1879"/>
      <c r="AI9" s="1680"/>
      <c r="AJ9" s="1873"/>
      <c r="AK9" s="1401"/>
    </row>
    <row r="10" spans="1:37" s="1390" customFormat="1" ht="15" thickBot="1" x14ac:dyDescent="0.25">
      <c r="A10" s="1390" t="s">
        <v>5754</v>
      </c>
      <c r="B10" s="1438">
        <v>1</v>
      </c>
      <c r="C10" s="1468">
        <v>2</v>
      </c>
      <c r="D10" s="1439">
        <v>3</v>
      </c>
      <c r="E10" s="1439">
        <v>4</v>
      </c>
      <c r="F10" s="1439">
        <v>5</v>
      </c>
      <c r="G10" s="1468">
        <v>6</v>
      </c>
      <c r="H10" s="1439">
        <v>7</v>
      </c>
      <c r="I10" s="1439">
        <v>8</v>
      </c>
      <c r="J10" s="1439">
        <v>9</v>
      </c>
      <c r="K10" s="1468">
        <v>10</v>
      </c>
      <c r="L10" s="1439">
        <v>11</v>
      </c>
      <c r="M10" s="1439">
        <v>12</v>
      </c>
      <c r="N10" s="1468">
        <v>13</v>
      </c>
      <c r="O10" s="1722">
        <v>14</v>
      </c>
      <c r="P10" s="1724">
        <v>15</v>
      </c>
      <c r="Q10" s="1723">
        <v>16</v>
      </c>
      <c r="R10" s="1688">
        <v>26</v>
      </c>
      <c r="S10" s="1416">
        <v>27</v>
      </c>
      <c r="T10" s="1689">
        <v>28</v>
      </c>
      <c r="U10" s="1690"/>
      <c r="V10" s="1689"/>
      <c r="W10" s="1505"/>
      <c r="X10" s="1505"/>
      <c r="Y10" s="1506"/>
      <c r="Z10" s="1505"/>
      <c r="AA10" s="1564"/>
      <c r="AB10" s="1564"/>
      <c r="AC10" s="1564"/>
      <c r="AD10" s="1564"/>
      <c r="AE10" s="1564"/>
      <c r="AF10" s="1564"/>
      <c r="AG10" s="1564"/>
      <c r="AH10" s="1564"/>
      <c r="AI10" s="1452"/>
      <c r="AJ10" s="1506"/>
      <c r="AK10" s="1401"/>
    </row>
    <row r="11" spans="1:37" s="1390" customFormat="1" ht="15" thickTop="1" x14ac:dyDescent="0.2">
      <c r="B11" s="1433"/>
      <c r="C11" s="1719"/>
      <c r="D11" s="1613"/>
      <c r="E11" s="1607"/>
      <c r="F11" s="1613"/>
      <c r="G11" s="1613"/>
      <c r="H11" s="1613"/>
      <c r="I11" s="1607"/>
      <c r="J11" s="1613"/>
      <c r="K11" s="1613"/>
      <c r="L11" s="1613"/>
      <c r="M11" s="1613"/>
      <c r="N11" s="1613"/>
      <c r="O11" s="1607"/>
      <c r="P11" s="1720"/>
      <c r="Q11" s="1721"/>
      <c r="R11" s="1682"/>
      <c r="S11" s="1414"/>
      <c r="T11" s="1414"/>
      <c r="U11" s="1477"/>
      <c r="V11" s="1477"/>
      <c r="W11" s="1478"/>
      <c r="X11" s="1478"/>
      <c r="Y11" s="1401"/>
      <c r="Z11" s="1444"/>
      <c r="AA11" s="1683"/>
      <c r="AB11" s="1401"/>
      <c r="AC11" s="1401"/>
      <c r="AD11" s="1401"/>
      <c r="AE11" s="1401"/>
      <c r="AF11" s="1401"/>
      <c r="AG11" s="1401"/>
      <c r="AH11" s="1401"/>
      <c r="AI11" s="1645"/>
      <c r="AJ11" s="1401"/>
      <c r="AK11" s="1401"/>
    </row>
    <row r="12" spans="1:37" s="1390" customFormat="1" ht="37" customHeight="1" x14ac:dyDescent="0.2">
      <c r="B12" s="1441" t="s">
        <v>35</v>
      </c>
      <c r="C12" s="1691" t="s">
        <v>916</v>
      </c>
      <c r="D12" s="1691"/>
      <c r="E12" s="1416"/>
      <c r="F12" s="1414"/>
      <c r="G12" s="1414"/>
      <c r="H12" s="1414"/>
      <c r="I12" s="1416"/>
      <c r="J12" s="1414"/>
      <c r="K12" s="1414"/>
      <c r="L12" s="1414"/>
      <c r="M12" s="1414"/>
      <c r="N12" s="1414"/>
      <c r="O12" s="1416"/>
      <c r="P12" s="1643">
        <f>P13+P37+P57+P74+P89+P292+P306+P322+P324</f>
        <v>13474764341.800392</v>
      </c>
      <c r="Q12" s="1598"/>
      <c r="R12" s="1682"/>
      <c r="S12" s="1414"/>
      <c r="T12" s="1414"/>
      <c r="U12" s="1477"/>
      <c r="V12" s="1477"/>
      <c r="W12" s="1478"/>
      <c r="X12" s="1478"/>
      <c r="Y12" s="1401"/>
      <c r="Z12" s="1444"/>
      <c r="AA12" s="1684">
        <f t="shared" ref="AA12:AJ12" si="0">AA13+AA37+AA57+AA74+AA89+AA292+AA306+AA320+AA322+AA324</f>
        <v>8991828270.0242634</v>
      </c>
      <c r="AB12" s="1684">
        <f t="shared" si="0"/>
        <v>739287535.46216822</v>
      </c>
      <c r="AC12" s="1684">
        <f t="shared" si="0"/>
        <v>760948559.64587784</v>
      </c>
      <c r="AD12" s="1684">
        <f t="shared" si="0"/>
        <v>679793001.51613569</v>
      </c>
      <c r="AE12" s="1684">
        <f t="shared" si="0"/>
        <v>401080795.43048698</v>
      </c>
      <c r="AF12" s="1684">
        <f t="shared" si="0"/>
        <v>386327519.97765362</v>
      </c>
      <c r="AG12" s="1684">
        <f t="shared" si="0"/>
        <v>343131816.43199313</v>
      </c>
      <c r="AH12" s="1684">
        <f t="shared" si="0"/>
        <v>12647364698.363426</v>
      </c>
      <c r="AI12" s="1684">
        <f t="shared" si="0"/>
        <v>494510</v>
      </c>
      <c r="AJ12" s="1684">
        <f t="shared" si="0"/>
        <v>827399643.4369638</v>
      </c>
      <c r="AK12" s="1401"/>
    </row>
    <row r="13" spans="1:37" s="1407" customFormat="1" ht="37" customHeight="1" x14ac:dyDescent="0.2">
      <c r="B13" s="1441" t="s">
        <v>36</v>
      </c>
      <c r="C13" s="1691" t="s">
        <v>917</v>
      </c>
      <c r="D13" s="1691"/>
      <c r="E13" s="1692"/>
      <c r="F13" s="1508"/>
      <c r="G13" s="1508"/>
      <c r="H13" s="1508"/>
      <c r="I13" s="1469"/>
      <c r="J13" s="1508"/>
      <c r="K13" s="1508"/>
      <c r="L13" s="1508"/>
      <c r="M13" s="1508"/>
      <c r="N13" s="1508"/>
      <c r="O13" s="1469"/>
      <c r="P13" s="1506">
        <f>SUM(P14:P35)</f>
        <v>4780556769.5369186</v>
      </c>
      <c r="Q13" s="1711"/>
      <c r="R13" s="1685"/>
      <c r="S13" s="1508"/>
      <c r="T13" s="1508"/>
      <c r="U13" s="1686"/>
      <c r="V13" s="1489"/>
      <c r="W13" s="1478"/>
      <c r="X13" s="1478"/>
      <c r="Y13" s="1401"/>
      <c r="Z13" s="1444"/>
      <c r="AA13" s="1687">
        <f>SUM(AA14:AA21)</f>
        <v>3032356852.2029295</v>
      </c>
      <c r="AB13" s="1687">
        <f>SUM(AB14:AB21)</f>
        <v>255439836.02898991</v>
      </c>
      <c r="AC13" s="1687">
        <f>SUM(AC14:AC21)</f>
        <v>255439836.02898991</v>
      </c>
      <c r="AD13" s="1687">
        <f>SUM(AD14:AD21)</f>
        <v>220439836.02898991</v>
      </c>
      <c r="AE13" s="1687">
        <f>SUM(AE14:AE21)</f>
        <v>37246000</v>
      </c>
      <c r="AF13" s="1687">
        <f>SUM(AF14:AF35)</f>
        <v>145268629.89243141</v>
      </c>
      <c r="AG13" s="1687">
        <f>SUM(AG14:AG35)</f>
        <v>122702801.34677088</v>
      </c>
      <c r="AH13" s="1687">
        <f>SUM(AH14:AH35)</f>
        <v>4400873340.9654884</v>
      </c>
      <c r="AI13" s="1687">
        <f>SUM(AI14:AI35)</f>
        <v>34221</v>
      </c>
      <c r="AJ13" s="1687">
        <f>SUM(AJ14:AJ35)</f>
        <v>379683428.5714286</v>
      </c>
      <c r="AK13" s="1446"/>
    </row>
    <row r="14" spans="1:37" s="1390" customFormat="1" ht="37" customHeight="1" x14ac:dyDescent="0.2">
      <c r="A14" s="1710" t="str">
        <f>LEFT(C14,11)</f>
        <v>02.02.01.02</v>
      </c>
      <c r="B14" s="1426">
        <v>1</v>
      </c>
      <c r="C14" s="1455" t="s">
        <v>4679</v>
      </c>
      <c r="D14" s="1414" t="s">
        <v>38</v>
      </c>
      <c r="E14" s="1517" t="s">
        <v>39</v>
      </c>
      <c r="F14" s="1455" t="s">
        <v>40</v>
      </c>
      <c r="G14" s="1501"/>
      <c r="H14" s="1455" t="s">
        <v>1007</v>
      </c>
      <c r="I14" s="1501">
        <v>2000</v>
      </c>
      <c r="J14" s="1414"/>
      <c r="K14" s="1455" t="s">
        <v>41</v>
      </c>
      <c r="L14" s="1455" t="s">
        <v>42</v>
      </c>
      <c r="M14" s="1455" t="s">
        <v>38</v>
      </c>
      <c r="N14" s="1429"/>
      <c r="O14" s="1501" t="s">
        <v>12</v>
      </c>
      <c r="P14" s="1539">
        <v>450000000</v>
      </c>
      <c r="Q14" s="1598" t="s">
        <v>43</v>
      </c>
      <c r="R14" s="1682"/>
      <c r="S14" s="1414"/>
      <c r="T14" s="1414"/>
      <c r="U14" s="1477"/>
      <c r="V14" s="1477" t="str">
        <f>LEFT(C14,8)</f>
        <v>02.02.01</v>
      </c>
      <c r="W14" s="1478" t="str">
        <f t="shared" ref="W14:W35" si="1">VLOOKUP(V14,UE,3)</f>
        <v>Alat-Alat Besar Darat</v>
      </c>
      <c r="X14" s="1478">
        <f t="shared" ref="X14:X35" si="2">VLOOKUP(V14,UE,4,FALSE)</f>
        <v>10</v>
      </c>
      <c r="Y14" s="1401">
        <f t="shared" ref="Y14:Y35" si="3">P14/X14</f>
        <v>45000000</v>
      </c>
      <c r="Z14" s="1444">
        <f t="shared" ref="Z14:Z35" si="4">IF(2013-I14+1&gt;X14,X14,IF(2013-I14+1&lt;0,0,(2013-I14+1)))</f>
        <v>10</v>
      </c>
      <c r="AA14" s="1401">
        <f t="shared" ref="AA14:AA35" si="5">IF(Z14&gt;X14,P14,Y14*Z14)</f>
        <v>450000000</v>
      </c>
      <c r="AB14" s="1401">
        <f t="shared" ref="AB14:AB29" si="6">IF(P14=AA14,0,Y14)</f>
        <v>0</v>
      </c>
      <c r="AC14" s="1401">
        <f t="shared" ref="AC14:AC29" si="7">IF(P14=AA14+AB14,0,Y14)</f>
        <v>0</v>
      </c>
      <c r="AD14" s="1401">
        <f t="shared" ref="AD14:AD29" si="8">IF(P14=AA14+AB14+AC14,0,Y14)</f>
        <v>0</v>
      </c>
      <c r="AE14" s="1479">
        <f t="shared" ref="AE14:AE35" si="9">IF(P14=AA14+AB14+AC14+AD14,0,Y14)</f>
        <v>0</v>
      </c>
      <c r="AF14" s="1479">
        <f>IF(P14=AA14+AB14+AC14+AD14+AE14,0,Y14)</f>
        <v>0</v>
      </c>
      <c r="AG14" s="1479">
        <f>IF(P14=AA14+AB14+AC14+AD14+AE14+AF14,0,Y14)</f>
        <v>0</v>
      </c>
      <c r="AH14" s="1479">
        <f>SUM(AA14:AG14)</f>
        <v>450000000</v>
      </c>
      <c r="AI14" s="1645">
        <f t="shared" ref="AI14:AI35" si="10">I14</f>
        <v>2000</v>
      </c>
      <c r="AJ14" s="1401">
        <f t="shared" ref="AJ14:AJ35" si="11">P14-AH14</f>
        <v>0</v>
      </c>
      <c r="AK14" s="1401"/>
    </row>
    <row r="15" spans="1:37" s="1390" customFormat="1" ht="37" customHeight="1" x14ac:dyDescent="0.2">
      <c r="A15" s="1710" t="str">
        <f t="shared" ref="A15:A76" si="12">LEFT(C15,11)</f>
        <v>02.02.01.07</v>
      </c>
      <c r="B15" s="1426">
        <v>2</v>
      </c>
      <c r="C15" s="1414" t="s">
        <v>4680</v>
      </c>
      <c r="D15" s="1414" t="s">
        <v>54</v>
      </c>
      <c r="E15" s="1517" t="s">
        <v>39</v>
      </c>
      <c r="F15" s="1455" t="s">
        <v>55</v>
      </c>
      <c r="G15" s="1501" t="s">
        <v>56</v>
      </c>
      <c r="H15" s="1455" t="s">
        <v>1007</v>
      </c>
      <c r="I15" s="1501" t="s">
        <v>57</v>
      </c>
      <c r="J15" s="1414"/>
      <c r="K15" s="1455" t="s">
        <v>58</v>
      </c>
      <c r="L15" s="1455" t="s">
        <v>59</v>
      </c>
      <c r="M15" s="1455"/>
      <c r="N15" s="1429"/>
      <c r="O15" s="1501" t="s">
        <v>12</v>
      </c>
      <c r="P15" s="1539">
        <v>280000000</v>
      </c>
      <c r="Q15" s="1598" t="s">
        <v>43</v>
      </c>
      <c r="V15" s="1477" t="str">
        <f t="shared" ref="V15:V35" si="13">LEFT(C15,8)</f>
        <v>02.02.01</v>
      </c>
      <c r="W15" s="1478" t="str">
        <f t="shared" si="1"/>
        <v>Alat-Alat Besar Darat</v>
      </c>
      <c r="X15" s="1478">
        <f t="shared" si="2"/>
        <v>10</v>
      </c>
      <c r="Y15" s="1401">
        <f t="shared" si="3"/>
        <v>28000000</v>
      </c>
      <c r="Z15" s="1444">
        <f t="shared" si="4"/>
        <v>10</v>
      </c>
      <c r="AA15" s="1401">
        <f t="shared" si="5"/>
        <v>280000000</v>
      </c>
      <c r="AB15" s="1401">
        <f t="shared" si="6"/>
        <v>0</v>
      </c>
      <c r="AC15" s="1401">
        <f t="shared" si="7"/>
        <v>0</v>
      </c>
      <c r="AD15" s="1401">
        <f t="shared" si="8"/>
        <v>0</v>
      </c>
      <c r="AE15" s="1479">
        <f t="shared" si="9"/>
        <v>0</v>
      </c>
      <c r="AF15" s="1479">
        <f t="shared" ref="AF15:AF29" si="14">IF(P15=AA15+AB15+AC15+AD15+AE15,0,Y15)</f>
        <v>0</v>
      </c>
      <c r="AG15" s="1479">
        <f t="shared" ref="AG15:AG35" si="15">IF(P15=AA15+AB15+AC15+AD15+AE15+AF15,0,Y15)</f>
        <v>0</v>
      </c>
      <c r="AH15" s="1479">
        <f t="shared" ref="AH15:AH35" si="16">SUM(AA15:AG15)</f>
        <v>280000000</v>
      </c>
      <c r="AI15" s="1645" t="str">
        <f t="shared" si="10"/>
        <v>2002</v>
      </c>
      <c r="AJ15" s="1401">
        <f t="shared" si="11"/>
        <v>0</v>
      </c>
      <c r="AK15" s="1401"/>
    </row>
    <row r="16" spans="1:37" s="1390" customFormat="1" ht="37" customHeight="1" x14ac:dyDescent="0.2">
      <c r="A16" s="1710" t="str">
        <f t="shared" si="12"/>
        <v>02.02.01.07</v>
      </c>
      <c r="B16" s="1426">
        <v>3</v>
      </c>
      <c r="C16" s="1414" t="s">
        <v>4681</v>
      </c>
      <c r="D16" s="1414" t="s">
        <v>67</v>
      </c>
      <c r="E16" s="1517" t="s">
        <v>68</v>
      </c>
      <c r="F16" s="1455" t="s">
        <v>69</v>
      </c>
      <c r="G16" s="1501" t="s">
        <v>70</v>
      </c>
      <c r="H16" s="1455" t="s">
        <v>1007</v>
      </c>
      <c r="I16" s="1501" t="s">
        <v>57</v>
      </c>
      <c r="J16" s="1414"/>
      <c r="K16" s="1455" t="s">
        <v>71</v>
      </c>
      <c r="L16" s="1455" t="s">
        <v>59</v>
      </c>
      <c r="M16" s="1455"/>
      <c r="N16" s="1429"/>
      <c r="O16" s="1501" t="s">
        <v>12</v>
      </c>
      <c r="P16" s="1539">
        <v>250000000</v>
      </c>
      <c r="Q16" s="1598" t="s">
        <v>43</v>
      </c>
      <c r="V16" s="1477" t="str">
        <f t="shared" si="13"/>
        <v>02.02.01</v>
      </c>
      <c r="W16" s="1478" t="str">
        <f t="shared" si="1"/>
        <v>Alat-Alat Besar Darat</v>
      </c>
      <c r="X16" s="1478">
        <f t="shared" si="2"/>
        <v>10</v>
      </c>
      <c r="Y16" s="1401">
        <f t="shared" si="3"/>
        <v>25000000</v>
      </c>
      <c r="Z16" s="1444">
        <f t="shared" si="4"/>
        <v>10</v>
      </c>
      <c r="AA16" s="1401">
        <f t="shared" si="5"/>
        <v>250000000</v>
      </c>
      <c r="AB16" s="1401">
        <f t="shared" si="6"/>
        <v>0</v>
      </c>
      <c r="AC16" s="1401">
        <f t="shared" si="7"/>
        <v>0</v>
      </c>
      <c r="AD16" s="1401">
        <f t="shared" si="8"/>
        <v>0</v>
      </c>
      <c r="AE16" s="1479">
        <f t="shared" si="9"/>
        <v>0</v>
      </c>
      <c r="AF16" s="1479">
        <f t="shared" si="14"/>
        <v>0</v>
      </c>
      <c r="AG16" s="1479">
        <f t="shared" si="15"/>
        <v>0</v>
      </c>
      <c r="AH16" s="1479">
        <f t="shared" si="16"/>
        <v>250000000</v>
      </c>
      <c r="AI16" s="1645" t="str">
        <f t="shared" si="10"/>
        <v>2002</v>
      </c>
      <c r="AJ16" s="1401">
        <f t="shared" si="11"/>
        <v>0</v>
      </c>
      <c r="AK16" s="1401"/>
    </row>
    <row r="17" spans="1:37" s="1390" customFormat="1" ht="37" customHeight="1" x14ac:dyDescent="0.2">
      <c r="A17" s="1710" t="str">
        <f t="shared" si="12"/>
        <v>02.02.01.02</v>
      </c>
      <c r="B17" s="1426">
        <v>4</v>
      </c>
      <c r="C17" s="1414" t="s">
        <v>4683</v>
      </c>
      <c r="D17" s="1414" t="s">
        <v>61</v>
      </c>
      <c r="E17" s="1517" t="s">
        <v>68</v>
      </c>
      <c r="F17" s="1455" t="s">
        <v>87</v>
      </c>
      <c r="G17" s="1501" t="s">
        <v>88</v>
      </c>
      <c r="H17" s="1455" t="s">
        <v>1007</v>
      </c>
      <c r="I17" s="1501" t="s">
        <v>89</v>
      </c>
      <c r="J17" s="1414"/>
      <c r="K17" s="1455" t="s">
        <v>90</v>
      </c>
      <c r="L17" s="1455" t="s">
        <v>91</v>
      </c>
      <c r="M17" s="1455"/>
      <c r="N17" s="1429"/>
      <c r="O17" s="1501" t="s">
        <v>12</v>
      </c>
      <c r="P17" s="1539">
        <v>480000000</v>
      </c>
      <c r="Q17" s="1598" t="s">
        <v>43</v>
      </c>
      <c r="V17" s="1477" t="str">
        <f t="shared" si="13"/>
        <v>02.02.01</v>
      </c>
      <c r="W17" s="1478" t="str">
        <f t="shared" si="1"/>
        <v>Alat-Alat Besar Darat</v>
      </c>
      <c r="X17" s="1478">
        <f t="shared" si="2"/>
        <v>10</v>
      </c>
      <c r="Y17" s="1401">
        <f t="shared" si="3"/>
        <v>48000000</v>
      </c>
      <c r="Z17" s="1444">
        <f t="shared" si="4"/>
        <v>10</v>
      </c>
      <c r="AA17" s="1401">
        <f t="shared" si="5"/>
        <v>480000000</v>
      </c>
      <c r="AB17" s="1401">
        <f t="shared" si="6"/>
        <v>0</v>
      </c>
      <c r="AC17" s="1401">
        <f t="shared" si="7"/>
        <v>0</v>
      </c>
      <c r="AD17" s="1401">
        <f t="shared" si="8"/>
        <v>0</v>
      </c>
      <c r="AE17" s="1479">
        <f t="shared" si="9"/>
        <v>0</v>
      </c>
      <c r="AF17" s="1479">
        <f t="shared" si="14"/>
        <v>0</v>
      </c>
      <c r="AG17" s="1479">
        <f t="shared" si="15"/>
        <v>0</v>
      </c>
      <c r="AH17" s="1479">
        <f t="shared" si="16"/>
        <v>480000000</v>
      </c>
      <c r="AI17" s="1645" t="str">
        <f t="shared" si="10"/>
        <v>2004</v>
      </c>
      <c r="AJ17" s="1401">
        <f t="shared" si="11"/>
        <v>0</v>
      </c>
      <c r="AK17" s="1401"/>
    </row>
    <row r="18" spans="1:37" s="1390" customFormat="1" ht="37" customHeight="1" x14ac:dyDescent="0.2">
      <c r="A18" s="1710" t="str">
        <f t="shared" si="12"/>
        <v>02.02.03.04</v>
      </c>
      <c r="B18" s="1426">
        <v>5</v>
      </c>
      <c r="C18" s="1414" t="s">
        <v>5755</v>
      </c>
      <c r="D18" s="1414" t="s">
        <v>96</v>
      </c>
      <c r="E18" s="1517" t="s">
        <v>39</v>
      </c>
      <c r="F18" s="1455" t="s">
        <v>97</v>
      </c>
      <c r="G18" s="1501" t="s">
        <v>98</v>
      </c>
      <c r="H18" s="1455" t="s">
        <v>1007</v>
      </c>
      <c r="I18" s="1501" t="s">
        <v>92</v>
      </c>
      <c r="J18" s="1414"/>
      <c r="K18" s="1455"/>
      <c r="L18" s="1455" t="s">
        <v>99</v>
      </c>
      <c r="M18" s="1455"/>
      <c r="N18" s="1693"/>
      <c r="O18" s="1501" t="s">
        <v>12</v>
      </c>
      <c r="P18" s="1539">
        <v>10000000</v>
      </c>
      <c r="Q18" s="1598" t="s">
        <v>43</v>
      </c>
      <c r="V18" s="1477" t="str">
        <f t="shared" si="13"/>
        <v>02.02.03</v>
      </c>
      <c r="W18" s="1478" t="str">
        <f t="shared" si="1"/>
        <v>Alat-alat Bantu</v>
      </c>
      <c r="X18" s="1478">
        <f t="shared" si="2"/>
        <v>7</v>
      </c>
      <c r="Y18" s="1401">
        <f t="shared" si="3"/>
        <v>1428571.4285714286</v>
      </c>
      <c r="Z18" s="1444">
        <f t="shared" si="4"/>
        <v>7</v>
      </c>
      <c r="AA18" s="1401">
        <f t="shared" si="5"/>
        <v>10000000</v>
      </c>
      <c r="AB18" s="1401">
        <f t="shared" si="6"/>
        <v>0</v>
      </c>
      <c r="AC18" s="1401">
        <f t="shared" si="7"/>
        <v>0</v>
      </c>
      <c r="AD18" s="1401">
        <f t="shared" si="8"/>
        <v>0</v>
      </c>
      <c r="AE18" s="1479">
        <f t="shared" si="9"/>
        <v>0</v>
      </c>
      <c r="AF18" s="1479">
        <f t="shared" si="14"/>
        <v>0</v>
      </c>
      <c r="AG18" s="1479">
        <f t="shared" si="15"/>
        <v>0</v>
      </c>
      <c r="AH18" s="1479">
        <f t="shared" si="16"/>
        <v>10000000</v>
      </c>
      <c r="AI18" s="1645" t="str">
        <f t="shared" si="10"/>
        <v>2005</v>
      </c>
      <c r="AJ18" s="1401">
        <f t="shared" si="11"/>
        <v>0</v>
      </c>
      <c r="AK18" s="1401"/>
    </row>
    <row r="19" spans="1:37" s="1390" customFormat="1" ht="37" customHeight="1" x14ac:dyDescent="0.2">
      <c r="A19" s="1710" t="str">
        <f t="shared" si="12"/>
        <v>02.02.01.03</v>
      </c>
      <c r="B19" s="1426">
        <v>6</v>
      </c>
      <c r="C19" s="1414" t="s">
        <v>4684</v>
      </c>
      <c r="D19" s="1414" t="s">
        <v>105</v>
      </c>
      <c r="E19" s="1517" t="s">
        <v>39</v>
      </c>
      <c r="F19" s="1455" t="s">
        <v>106</v>
      </c>
      <c r="G19" s="1501" t="s">
        <v>107</v>
      </c>
      <c r="H19" s="1455" t="s">
        <v>1007</v>
      </c>
      <c r="I19" s="1501" t="s">
        <v>108</v>
      </c>
      <c r="J19" s="1414"/>
      <c r="K19" s="1455" t="s">
        <v>109</v>
      </c>
      <c r="L19" s="1455" t="s">
        <v>110</v>
      </c>
      <c r="M19" s="1455"/>
      <c r="N19" s="1429"/>
      <c r="O19" s="1501" t="s">
        <v>12</v>
      </c>
      <c r="P19" s="1539">
        <v>350000000</v>
      </c>
      <c r="Q19" s="1598" t="s">
        <v>43</v>
      </c>
      <c r="V19" s="1477" t="str">
        <f t="shared" si="13"/>
        <v>02.02.01</v>
      </c>
      <c r="W19" s="1478" t="str">
        <f t="shared" si="1"/>
        <v>Alat-Alat Besar Darat</v>
      </c>
      <c r="X19" s="1478">
        <f t="shared" si="2"/>
        <v>10</v>
      </c>
      <c r="Y19" s="1401">
        <f t="shared" si="3"/>
        <v>35000000</v>
      </c>
      <c r="Z19" s="1444">
        <f t="shared" si="4"/>
        <v>8</v>
      </c>
      <c r="AA19" s="1401">
        <f t="shared" si="5"/>
        <v>280000000</v>
      </c>
      <c r="AB19" s="1401">
        <f t="shared" si="6"/>
        <v>35000000</v>
      </c>
      <c r="AC19" s="1401">
        <f t="shared" si="7"/>
        <v>35000000</v>
      </c>
      <c r="AD19" s="1401">
        <f t="shared" si="8"/>
        <v>0</v>
      </c>
      <c r="AE19" s="1479">
        <f t="shared" si="9"/>
        <v>0</v>
      </c>
      <c r="AF19" s="1479">
        <f t="shared" si="14"/>
        <v>0</v>
      </c>
      <c r="AG19" s="1479">
        <f t="shared" si="15"/>
        <v>0</v>
      </c>
      <c r="AH19" s="1479">
        <f t="shared" si="16"/>
        <v>350000000</v>
      </c>
      <c r="AI19" s="1645" t="str">
        <f t="shared" si="10"/>
        <v>2006</v>
      </c>
      <c r="AJ19" s="1401">
        <f t="shared" si="11"/>
        <v>0</v>
      </c>
      <c r="AK19" s="1401"/>
    </row>
    <row r="20" spans="1:37" s="1390" customFormat="1" ht="37" customHeight="1" x14ac:dyDescent="0.2">
      <c r="A20" s="1710" t="str">
        <f t="shared" si="12"/>
        <v>02.02.01.02</v>
      </c>
      <c r="B20" s="1426">
        <v>7</v>
      </c>
      <c r="C20" s="1414" t="s">
        <v>4679</v>
      </c>
      <c r="D20" s="1414" t="s">
        <v>38</v>
      </c>
      <c r="E20" s="1416" t="s">
        <v>39</v>
      </c>
      <c r="F20" s="1653" t="s">
        <v>52</v>
      </c>
      <c r="G20" s="1414"/>
      <c r="H20" s="1455" t="s">
        <v>119</v>
      </c>
      <c r="I20" s="1501">
        <v>2007</v>
      </c>
      <c r="J20" s="1414"/>
      <c r="K20" s="1653"/>
      <c r="L20" s="1653"/>
      <c r="M20" s="1653"/>
      <c r="N20" s="1414"/>
      <c r="O20" s="1501" t="s">
        <v>12</v>
      </c>
      <c r="P20" s="1539">
        <v>1831938360.2898991</v>
      </c>
      <c r="Q20" s="1598" t="s">
        <v>43</v>
      </c>
      <c r="V20" s="1477" t="str">
        <f t="shared" si="13"/>
        <v>02.02.01</v>
      </c>
      <c r="W20" s="1478" t="str">
        <f t="shared" si="1"/>
        <v>Alat-Alat Besar Darat</v>
      </c>
      <c r="X20" s="1478">
        <f t="shared" si="2"/>
        <v>10</v>
      </c>
      <c r="Y20" s="1401">
        <f t="shared" si="3"/>
        <v>183193836.02898991</v>
      </c>
      <c r="Z20" s="1444">
        <f t="shared" si="4"/>
        <v>7</v>
      </c>
      <c r="AA20" s="1401">
        <f t="shared" si="5"/>
        <v>1282356852.2029295</v>
      </c>
      <c r="AB20" s="1401">
        <f t="shared" si="6"/>
        <v>183193836.02898991</v>
      </c>
      <c r="AC20" s="1401">
        <f t="shared" si="7"/>
        <v>183193836.02898991</v>
      </c>
      <c r="AD20" s="1401">
        <f t="shared" si="8"/>
        <v>183193836.02898991</v>
      </c>
      <c r="AE20" s="1479">
        <f t="shared" si="9"/>
        <v>0</v>
      </c>
      <c r="AF20" s="1479">
        <f t="shared" si="14"/>
        <v>0</v>
      </c>
      <c r="AG20" s="1479">
        <f t="shared" si="15"/>
        <v>0</v>
      </c>
      <c r="AH20" s="1479">
        <f t="shared" si="16"/>
        <v>1831938360.2898989</v>
      </c>
      <c r="AI20" s="1645">
        <f t="shared" si="10"/>
        <v>2007</v>
      </c>
      <c r="AJ20" s="1401">
        <f t="shared" si="11"/>
        <v>0</v>
      </c>
      <c r="AK20" s="1401"/>
    </row>
    <row r="21" spans="1:37" s="1390" customFormat="1" ht="37" customHeight="1" x14ac:dyDescent="0.2">
      <c r="A21" s="1710" t="str">
        <f t="shared" si="12"/>
        <v>02.02.01.09</v>
      </c>
      <c r="B21" s="1426">
        <v>8</v>
      </c>
      <c r="C21" s="1414" t="s">
        <v>4682</v>
      </c>
      <c r="D21" s="1429" t="s">
        <v>2479</v>
      </c>
      <c r="E21" s="1416" t="s">
        <v>39</v>
      </c>
      <c r="F21" s="1653" t="s">
        <v>52</v>
      </c>
      <c r="G21" s="1414"/>
      <c r="H21" s="1455" t="s">
        <v>52</v>
      </c>
      <c r="I21" s="1501">
        <v>2014</v>
      </c>
      <c r="J21" s="1414"/>
      <c r="K21" s="1653"/>
      <c r="L21" s="1653"/>
      <c r="M21" s="1653"/>
      <c r="N21" s="1414"/>
      <c r="O21" s="1501" t="s">
        <v>12</v>
      </c>
      <c r="P21" s="1539">
        <v>372460000</v>
      </c>
      <c r="Q21" s="1598"/>
      <c r="V21" s="1477" t="str">
        <f t="shared" si="13"/>
        <v>02.02.01</v>
      </c>
      <c r="W21" s="1478" t="str">
        <f t="shared" si="1"/>
        <v>Alat-Alat Besar Darat</v>
      </c>
      <c r="X21" s="1478">
        <f t="shared" si="2"/>
        <v>10</v>
      </c>
      <c r="Y21" s="1401">
        <f t="shared" si="3"/>
        <v>37246000</v>
      </c>
      <c r="Z21" s="1444">
        <f t="shared" si="4"/>
        <v>0</v>
      </c>
      <c r="AA21" s="1401">
        <f t="shared" si="5"/>
        <v>0</v>
      </c>
      <c r="AB21" s="1401">
        <f t="shared" si="6"/>
        <v>37246000</v>
      </c>
      <c r="AC21" s="1401">
        <f t="shared" si="7"/>
        <v>37246000</v>
      </c>
      <c r="AD21" s="1401">
        <f t="shared" si="8"/>
        <v>37246000</v>
      </c>
      <c r="AE21" s="1401">
        <f t="shared" si="9"/>
        <v>37246000</v>
      </c>
      <c r="AF21" s="1479">
        <f t="shared" si="14"/>
        <v>37246000</v>
      </c>
      <c r="AG21" s="1479">
        <f t="shared" si="15"/>
        <v>37246000</v>
      </c>
      <c r="AH21" s="1479">
        <f t="shared" si="16"/>
        <v>223476000</v>
      </c>
      <c r="AI21" s="1645">
        <f t="shared" si="10"/>
        <v>2014</v>
      </c>
      <c r="AJ21" s="1401">
        <f t="shared" si="11"/>
        <v>148984000</v>
      </c>
      <c r="AK21" s="1401"/>
    </row>
    <row r="22" spans="1:37" s="1390" customFormat="1" ht="37" customHeight="1" x14ac:dyDescent="0.2">
      <c r="A22" s="1710" t="str">
        <f t="shared" si="12"/>
        <v>02.02.03.05</v>
      </c>
      <c r="B22" s="1426">
        <v>9</v>
      </c>
      <c r="C22" s="1429" t="s">
        <v>5756</v>
      </c>
      <c r="D22" s="1455" t="s">
        <v>1688</v>
      </c>
      <c r="E22" s="1416" t="s">
        <v>39</v>
      </c>
      <c r="F22" s="1455" t="s">
        <v>52</v>
      </c>
      <c r="G22" s="1501"/>
      <c r="H22" s="1455" t="s">
        <v>52</v>
      </c>
      <c r="I22" s="1501">
        <v>2012</v>
      </c>
      <c r="J22" s="1414"/>
      <c r="K22" s="1653"/>
      <c r="L22" s="1455"/>
      <c r="M22" s="1414"/>
      <c r="N22" s="1414"/>
      <c r="O22" s="1501" t="s">
        <v>12</v>
      </c>
      <c r="P22" s="1539">
        <v>30017466.536394723</v>
      </c>
      <c r="Q22" s="1598"/>
      <c r="V22" s="1477" t="str">
        <f t="shared" si="13"/>
        <v>02.02.03</v>
      </c>
      <c r="W22" s="1478" t="str">
        <f t="shared" si="1"/>
        <v>Alat-alat Bantu</v>
      </c>
      <c r="X22" s="1478">
        <f t="shared" si="2"/>
        <v>7</v>
      </c>
      <c r="Y22" s="1401">
        <f t="shared" si="3"/>
        <v>4288209.5051992461</v>
      </c>
      <c r="Z22" s="1444">
        <f t="shared" si="4"/>
        <v>2</v>
      </c>
      <c r="AA22" s="1401">
        <f t="shared" si="5"/>
        <v>8576419.0103984922</v>
      </c>
      <c r="AB22" s="1401">
        <f t="shared" si="6"/>
        <v>4288209.5051992461</v>
      </c>
      <c r="AC22" s="1401">
        <f t="shared" si="7"/>
        <v>4288209.5051992461</v>
      </c>
      <c r="AD22" s="1401">
        <f t="shared" si="8"/>
        <v>4288209.5051992461</v>
      </c>
      <c r="AE22" s="1479">
        <f t="shared" si="9"/>
        <v>4288209.5051992461</v>
      </c>
      <c r="AF22" s="1479">
        <f t="shared" si="14"/>
        <v>4288209.5051992461</v>
      </c>
      <c r="AG22" s="1479">
        <f t="shared" si="15"/>
        <v>0</v>
      </c>
      <c r="AH22" s="1479">
        <f t="shared" si="16"/>
        <v>30017466.536394723</v>
      </c>
      <c r="AI22" s="1645">
        <f t="shared" si="10"/>
        <v>2012</v>
      </c>
      <c r="AJ22" s="1401">
        <f t="shared" si="11"/>
        <v>0</v>
      </c>
      <c r="AK22" s="1401"/>
    </row>
    <row r="23" spans="1:37" s="1390" customFormat="1" ht="37" customHeight="1" x14ac:dyDescent="0.2">
      <c r="A23" s="1710" t="str">
        <f t="shared" si="12"/>
        <v>02.02.03.05</v>
      </c>
      <c r="B23" s="1426">
        <v>10</v>
      </c>
      <c r="C23" s="1429" t="s">
        <v>5756</v>
      </c>
      <c r="D23" s="1455" t="s">
        <v>1689</v>
      </c>
      <c r="E23" s="1416" t="s">
        <v>39</v>
      </c>
      <c r="F23" s="1455" t="s">
        <v>52</v>
      </c>
      <c r="G23" s="1501"/>
      <c r="H23" s="1455" t="s">
        <v>52</v>
      </c>
      <c r="I23" s="1501">
        <v>2012</v>
      </c>
      <c r="J23" s="1414"/>
      <c r="K23" s="1653"/>
      <c r="L23" s="1455"/>
      <c r="M23" s="1414"/>
      <c r="N23" s="1414"/>
      <c r="O23" s="1501" t="s">
        <v>12</v>
      </c>
      <c r="P23" s="1539">
        <v>29794076.960655369</v>
      </c>
      <c r="Q23" s="1598"/>
      <c r="V23" s="1477" t="str">
        <f t="shared" si="13"/>
        <v>02.02.03</v>
      </c>
      <c r="W23" s="1478" t="str">
        <f t="shared" si="1"/>
        <v>Alat-alat Bantu</v>
      </c>
      <c r="X23" s="1478">
        <f t="shared" si="2"/>
        <v>7</v>
      </c>
      <c r="Y23" s="1401">
        <f t="shared" si="3"/>
        <v>4256296.7086650524</v>
      </c>
      <c r="Z23" s="1444">
        <f t="shared" si="4"/>
        <v>2</v>
      </c>
      <c r="AA23" s="1401">
        <f t="shared" si="5"/>
        <v>8512593.4173301049</v>
      </c>
      <c r="AB23" s="1401">
        <f t="shared" si="6"/>
        <v>4256296.7086650524</v>
      </c>
      <c r="AC23" s="1401">
        <f t="shared" si="7"/>
        <v>4256296.7086650524</v>
      </c>
      <c r="AD23" s="1401">
        <f t="shared" si="8"/>
        <v>4256296.7086650524</v>
      </c>
      <c r="AE23" s="1479">
        <f t="shared" si="9"/>
        <v>4256296.7086650524</v>
      </c>
      <c r="AF23" s="1479">
        <f t="shared" si="14"/>
        <v>4256296.7086650524</v>
      </c>
      <c r="AG23" s="1479">
        <f t="shared" si="15"/>
        <v>0</v>
      </c>
      <c r="AH23" s="1479">
        <f t="shared" si="16"/>
        <v>29794076.960655361</v>
      </c>
      <c r="AI23" s="1645">
        <f t="shared" si="10"/>
        <v>2012</v>
      </c>
      <c r="AJ23" s="1401">
        <f t="shared" si="11"/>
        <v>0</v>
      </c>
      <c r="AK23" s="1401"/>
    </row>
    <row r="24" spans="1:37" s="1390" customFormat="1" ht="37" customHeight="1" x14ac:dyDescent="0.2">
      <c r="A24" s="1710" t="str">
        <f t="shared" si="12"/>
        <v>02.02.03.05</v>
      </c>
      <c r="B24" s="1426">
        <v>11</v>
      </c>
      <c r="C24" s="1429" t="s">
        <v>5756</v>
      </c>
      <c r="D24" s="1455" t="s">
        <v>1690</v>
      </c>
      <c r="E24" s="1416" t="s">
        <v>39</v>
      </c>
      <c r="F24" s="1455" t="s">
        <v>52</v>
      </c>
      <c r="G24" s="1501"/>
      <c r="H24" s="1455" t="s">
        <v>52</v>
      </c>
      <c r="I24" s="1501">
        <v>2012</v>
      </c>
      <c r="J24" s="1414"/>
      <c r="K24" s="1653"/>
      <c r="L24" s="1455"/>
      <c r="M24" s="1414"/>
      <c r="N24" s="1414"/>
      <c r="O24" s="1501" t="s">
        <v>12</v>
      </c>
      <c r="P24" s="1539">
        <v>29990050.543008529</v>
      </c>
      <c r="Q24" s="1598"/>
      <c r="V24" s="1477" t="str">
        <f t="shared" si="13"/>
        <v>02.02.03</v>
      </c>
      <c r="W24" s="1478" t="str">
        <f t="shared" si="1"/>
        <v>Alat-alat Bantu</v>
      </c>
      <c r="X24" s="1478">
        <f t="shared" si="2"/>
        <v>7</v>
      </c>
      <c r="Y24" s="1401">
        <f t="shared" si="3"/>
        <v>4284292.9347155038</v>
      </c>
      <c r="Z24" s="1444">
        <f t="shared" si="4"/>
        <v>2</v>
      </c>
      <c r="AA24" s="1401">
        <f t="shared" si="5"/>
        <v>8568585.8694310077</v>
      </c>
      <c r="AB24" s="1401">
        <f t="shared" si="6"/>
        <v>4284292.9347155038</v>
      </c>
      <c r="AC24" s="1401">
        <f t="shared" si="7"/>
        <v>4284292.9347155038</v>
      </c>
      <c r="AD24" s="1401">
        <f t="shared" si="8"/>
        <v>4284292.9347155038</v>
      </c>
      <c r="AE24" s="1479">
        <f t="shared" si="9"/>
        <v>4284292.9347155038</v>
      </c>
      <c r="AF24" s="1479">
        <f t="shared" si="14"/>
        <v>4284292.9347155038</v>
      </c>
      <c r="AG24" s="1479">
        <f t="shared" si="15"/>
        <v>0</v>
      </c>
      <c r="AH24" s="1479">
        <f t="shared" si="16"/>
        <v>29990050.543008521</v>
      </c>
      <c r="AI24" s="1645">
        <f t="shared" si="10"/>
        <v>2012</v>
      </c>
      <c r="AJ24" s="1401">
        <f t="shared" si="11"/>
        <v>0</v>
      </c>
      <c r="AK24" s="1401"/>
    </row>
    <row r="25" spans="1:37" s="1390" customFormat="1" ht="37" customHeight="1" x14ac:dyDescent="0.2">
      <c r="A25" s="1710" t="str">
        <f t="shared" si="12"/>
        <v>02.02.03.05</v>
      </c>
      <c r="B25" s="1426">
        <v>12</v>
      </c>
      <c r="C25" s="1429" t="s">
        <v>5756</v>
      </c>
      <c r="D25" s="1455" t="s">
        <v>1691</v>
      </c>
      <c r="E25" s="1416" t="s">
        <v>39</v>
      </c>
      <c r="F25" s="1455" t="s">
        <v>52</v>
      </c>
      <c r="G25" s="1501"/>
      <c r="H25" s="1455" t="s">
        <v>52</v>
      </c>
      <c r="I25" s="1501">
        <v>2012</v>
      </c>
      <c r="J25" s="1414"/>
      <c r="K25" s="1653"/>
      <c r="L25" s="1455"/>
      <c r="M25" s="1414"/>
      <c r="N25" s="1414"/>
      <c r="O25" s="1501" t="s">
        <v>12</v>
      </c>
      <c r="P25" s="1539">
        <v>29990050.543008529</v>
      </c>
      <c r="Q25" s="1598"/>
      <c r="V25" s="1477" t="str">
        <f t="shared" si="13"/>
        <v>02.02.03</v>
      </c>
      <c r="W25" s="1478" t="str">
        <f t="shared" si="1"/>
        <v>Alat-alat Bantu</v>
      </c>
      <c r="X25" s="1478">
        <f t="shared" si="2"/>
        <v>7</v>
      </c>
      <c r="Y25" s="1401">
        <f t="shared" si="3"/>
        <v>4284292.9347155038</v>
      </c>
      <c r="Z25" s="1444">
        <f t="shared" si="4"/>
        <v>2</v>
      </c>
      <c r="AA25" s="1401">
        <f t="shared" si="5"/>
        <v>8568585.8694310077</v>
      </c>
      <c r="AB25" s="1401">
        <f t="shared" si="6"/>
        <v>4284292.9347155038</v>
      </c>
      <c r="AC25" s="1401">
        <f t="shared" si="7"/>
        <v>4284292.9347155038</v>
      </c>
      <c r="AD25" s="1401">
        <f t="shared" si="8"/>
        <v>4284292.9347155038</v>
      </c>
      <c r="AE25" s="1479">
        <f t="shared" si="9"/>
        <v>4284292.9347155038</v>
      </c>
      <c r="AF25" s="1479">
        <f t="shared" si="14"/>
        <v>4284292.9347155038</v>
      </c>
      <c r="AG25" s="1479">
        <f t="shared" si="15"/>
        <v>0</v>
      </c>
      <c r="AH25" s="1479">
        <f t="shared" si="16"/>
        <v>29990050.543008521</v>
      </c>
      <c r="AI25" s="1645">
        <f t="shared" si="10"/>
        <v>2012</v>
      </c>
      <c r="AJ25" s="1401">
        <f t="shared" si="11"/>
        <v>0</v>
      </c>
      <c r="AK25" s="1401"/>
    </row>
    <row r="26" spans="1:37" s="1390" customFormat="1" ht="37" customHeight="1" x14ac:dyDescent="0.2">
      <c r="A26" s="1710" t="str">
        <f t="shared" si="12"/>
        <v>02.02.03.05</v>
      </c>
      <c r="B26" s="1426">
        <v>13</v>
      </c>
      <c r="C26" s="1429" t="s">
        <v>5756</v>
      </c>
      <c r="D26" s="1455" t="s">
        <v>1692</v>
      </c>
      <c r="E26" s="1416" t="s">
        <v>39</v>
      </c>
      <c r="F26" s="1455" t="s">
        <v>52</v>
      </c>
      <c r="G26" s="1501"/>
      <c r="H26" s="1455" t="s">
        <v>52</v>
      </c>
      <c r="I26" s="1501">
        <v>2012</v>
      </c>
      <c r="J26" s="1414"/>
      <c r="K26" s="1653"/>
      <c r="L26" s="1455"/>
      <c r="M26" s="1414"/>
      <c r="N26" s="1414"/>
      <c r="O26" s="1501" t="s">
        <v>12</v>
      </c>
      <c r="P26" s="1539">
        <v>30045897.936943371</v>
      </c>
      <c r="Q26" s="1598"/>
      <c r="V26" s="1477" t="str">
        <f t="shared" si="13"/>
        <v>02.02.03</v>
      </c>
      <c r="W26" s="1478" t="str">
        <f t="shared" si="1"/>
        <v>Alat-alat Bantu</v>
      </c>
      <c r="X26" s="1478">
        <f t="shared" si="2"/>
        <v>7</v>
      </c>
      <c r="Y26" s="1401">
        <f t="shared" si="3"/>
        <v>4292271.1338490527</v>
      </c>
      <c r="Z26" s="1444">
        <f t="shared" si="4"/>
        <v>2</v>
      </c>
      <c r="AA26" s="1401">
        <f t="shared" si="5"/>
        <v>8584542.2676981054</v>
      </c>
      <c r="AB26" s="1401">
        <f t="shared" si="6"/>
        <v>4292271.1338490527</v>
      </c>
      <c r="AC26" s="1401">
        <f t="shared" si="7"/>
        <v>4292271.1338490527</v>
      </c>
      <c r="AD26" s="1401">
        <f t="shared" si="8"/>
        <v>4292271.1338490527</v>
      </c>
      <c r="AE26" s="1479">
        <f t="shared" si="9"/>
        <v>4292271.1338490527</v>
      </c>
      <c r="AF26" s="1479">
        <f t="shared" si="14"/>
        <v>4292271.1338490527</v>
      </c>
      <c r="AG26" s="1479">
        <f t="shared" si="15"/>
        <v>0</v>
      </c>
      <c r="AH26" s="1479">
        <f t="shared" si="16"/>
        <v>30045897.936943375</v>
      </c>
      <c r="AI26" s="1645">
        <f t="shared" si="10"/>
        <v>2012</v>
      </c>
      <c r="AJ26" s="1401">
        <f t="shared" si="11"/>
        <v>0</v>
      </c>
      <c r="AK26" s="1401"/>
    </row>
    <row r="27" spans="1:37" s="1390" customFormat="1" ht="37" customHeight="1" x14ac:dyDescent="0.2">
      <c r="A27" s="1710" t="str">
        <f t="shared" si="12"/>
        <v>02.02.03.05</v>
      </c>
      <c r="B27" s="1426">
        <v>14</v>
      </c>
      <c r="C27" s="1429" t="s">
        <v>5756</v>
      </c>
      <c r="D27" s="1455" t="s">
        <v>4708</v>
      </c>
      <c r="E27" s="1416" t="s">
        <v>39</v>
      </c>
      <c r="F27" s="1455" t="s">
        <v>52</v>
      </c>
      <c r="G27" s="1501"/>
      <c r="H27" s="1455" t="s">
        <v>52</v>
      </c>
      <c r="I27" s="1501">
        <v>2012</v>
      </c>
      <c r="J27" s="1414"/>
      <c r="K27" s="1653"/>
      <c r="L27" s="1455"/>
      <c r="M27" s="1414"/>
      <c r="N27" s="1414"/>
      <c r="O27" s="1501" t="s">
        <v>12</v>
      </c>
      <c r="P27" s="1539">
        <v>8123257.2996129422</v>
      </c>
      <c r="Q27" s="1598"/>
      <c r="V27" s="1477" t="str">
        <f t="shared" si="13"/>
        <v>02.02.03</v>
      </c>
      <c r="W27" s="1478" t="str">
        <f t="shared" si="1"/>
        <v>Alat-alat Bantu</v>
      </c>
      <c r="X27" s="1478">
        <f t="shared" si="2"/>
        <v>7</v>
      </c>
      <c r="Y27" s="1401">
        <f t="shared" si="3"/>
        <v>1160465.3285161345</v>
      </c>
      <c r="Z27" s="1444">
        <f t="shared" si="4"/>
        <v>2</v>
      </c>
      <c r="AA27" s="1401">
        <f t="shared" si="5"/>
        <v>2320930.6570322691</v>
      </c>
      <c r="AB27" s="1401">
        <f t="shared" si="6"/>
        <v>1160465.3285161345</v>
      </c>
      <c r="AC27" s="1401">
        <f t="shared" si="7"/>
        <v>1160465.3285161345</v>
      </c>
      <c r="AD27" s="1401">
        <f t="shared" si="8"/>
        <v>1160465.3285161345</v>
      </c>
      <c r="AE27" s="1479">
        <f t="shared" si="9"/>
        <v>1160465.3285161345</v>
      </c>
      <c r="AF27" s="1479">
        <f t="shared" si="14"/>
        <v>1160465.3285161345</v>
      </c>
      <c r="AG27" s="1479">
        <f t="shared" si="15"/>
        <v>0</v>
      </c>
      <c r="AH27" s="1479">
        <f t="shared" si="16"/>
        <v>8123257.2996129431</v>
      </c>
      <c r="AI27" s="1645">
        <f t="shared" si="10"/>
        <v>2012</v>
      </c>
      <c r="AJ27" s="1401">
        <f t="shared" si="11"/>
        <v>0</v>
      </c>
      <c r="AK27" s="1401"/>
    </row>
    <row r="28" spans="1:37" s="1390" customFormat="1" ht="37" customHeight="1" x14ac:dyDescent="0.2">
      <c r="A28" s="1710" t="str">
        <f t="shared" si="12"/>
        <v>02.02.03.05</v>
      </c>
      <c r="B28" s="1426">
        <v>15</v>
      </c>
      <c r="C28" s="1429" t="s">
        <v>5756</v>
      </c>
      <c r="D28" s="1455" t="s">
        <v>4709</v>
      </c>
      <c r="E28" s="1416" t="s">
        <v>39</v>
      </c>
      <c r="F28" s="1455" t="s">
        <v>52</v>
      </c>
      <c r="G28" s="1501"/>
      <c r="H28" s="1455" t="s">
        <v>52</v>
      </c>
      <c r="I28" s="1501">
        <v>2013</v>
      </c>
      <c r="J28" s="1414"/>
      <c r="K28" s="1653"/>
      <c r="L28" s="1455"/>
      <c r="M28" s="1414"/>
      <c r="N28" s="1414"/>
      <c r="O28" s="1501" t="s">
        <v>12</v>
      </c>
      <c r="P28" s="1539">
        <v>94651393.896150351</v>
      </c>
      <c r="Q28" s="1598"/>
      <c r="V28" s="1477" t="str">
        <f t="shared" si="13"/>
        <v>02.02.03</v>
      </c>
      <c r="W28" s="1478" t="str">
        <f t="shared" si="1"/>
        <v>Alat-alat Bantu</v>
      </c>
      <c r="X28" s="1478">
        <f t="shared" si="2"/>
        <v>7</v>
      </c>
      <c r="Y28" s="1401">
        <f t="shared" si="3"/>
        <v>13521627.69945005</v>
      </c>
      <c r="Z28" s="1444">
        <f t="shared" si="4"/>
        <v>1</v>
      </c>
      <c r="AA28" s="1401">
        <f t="shared" si="5"/>
        <v>13521627.69945005</v>
      </c>
      <c r="AB28" s="1401">
        <f t="shared" si="6"/>
        <v>13521627.69945005</v>
      </c>
      <c r="AC28" s="1401">
        <f t="shared" si="7"/>
        <v>13521627.69945005</v>
      </c>
      <c r="AD28" s="1401">
        <f t="shared" si="8"/>
        <v>13521627.69945005</v>
      </c>
      <c r="AE28" s="1479">
        <f t="shared" si="9"/>
        <v>13521627.69945005</v>
      </c>
      <c r="AF28" s="1479">
        <f t="shared" si="14"/>
        <v>13521627.69945005</v>
      </c>
      <c r="AG28" s="1479">
        <f t="shared" si="15"/>
        <v>13521627.69945005</v>
      </c>
      <c r="AH28" s="1479">
        <f t="shared" si="16"/>
        <v>94651393.896150336</v>
      </c>
      <c r="AI28" s="1645">
        <f t="shared" si="10"/>
        <v>2013</v>
      </c>
      <c r="AJ28" s="1401">
        <f t="shared" si="11"/>
        <v>0</v>
      </c>
      <c r="AK28" s="1401"/>
    </row>
    <row r="29" spans="1:37" s="1390" customFormat="1" ht="37" customHeight="1" x14ac:dyDescent="0.2">
      <c r="A29" s="1710" t="str">
        <f t="shared" si="12"/>
        <v>02.02.03.05</v>
      </c>
      <c r="B29" s="1426">
        <v>16</v>
      </c>
      <c r="C29" s="1429" t="s">
        <v>5756</v>
      </c>
      <c r="D29" s="1455" t="s">
        <v>4710</v>
      </c>
      <c r="E29" s="1416" t="s">
        <v>39</v>
      </c>
      <c r="F29" s="1455" t="s">
        <v>52</v>
      </c>
      <c r="G29" s="1501"/>
      <c r="H29" s="1455" t="s">
        <v>52</v>
      </c>
      <c r="I29" s="1501">
        <v>2013</v>
      </c>
      <c r="J29" s="1414"/>
      <c r="K29" s="1653"/>
      <c r="L29" s="1455"/>
      <c r="M29" s="1414"/>
      <c r="N29" s="1414"/>
      <c r="O29" s="1501" t="s">
        <v>12</v>
      </c>
      <c r="P29" s="1539">
        <v>99822215.531245813</v>
      </c>
      <c r="Q29" s="1598"/>
      <c r="V29" s="1477" t="str">
        <f t="shared" si="13"/>
        <v>02.02.03</v>
      </c>
      <c r="W29" s="1478" t="str">
        <f t="shared" si="1"/>
        <v>Alat-alat Bantu</v>
      </c>
      <c r="X29" s="1478">
        <f t="shared" si="2"/>
        <v>7</v>
      </c>
      <c r="Y29" s="1401">
        <f t="shared" si="3"/>
        <v>14260316.504463688</v>
      </c>
      <c r="Z29" s="1444">
        <f t="shared" si="4"/>
        <v>1</v>
      </c>
      <c r="AA29" s="1401">
        <f t="shared" si="5"/>
        <v>14260316.504463688</v>
      </c>
      <c r="AB29" s="1401">
        <f t="shared" si="6"/>
        <v>14260316.504463688</v>
      </c>
      <c r="AC29" s="1401">
        <f t="shared" si="7"/>
        <v>14260316.504463688</v>
      </c>
      <c r="AD29" s="1401">
        <f t="shared" si="8"/>
        <v>14260316.504463688</v>
      </c>
      <c r="AE29" s="1479">
        <f t="shared" si="9"/>
        <v>14260316.504463688</v>
      </c>
      <c r="AF29" s="1479">
        <f t="shared" si="14"/>
        <v>14260316.504463688</v>
      </c>
      <c r="AG29" s="1479">
        <f t="shared" si="15"/>
        <v>14260316.504463688</v>
      </c>
      <c r="AH29" s="1479">
        <f t="shared" si="16"/>
        <v>99822215.531245813</v>
      </c>
      <c r="AI29" s="1645">
        <f t="shared" si="10"/>
        <v>2013</v>
      </c>
      <c r="AJ29" s="1401">
        <f t="shared" si="11"/>
        <v>0</v>
      </c>
      <c r="AK29" s="1401"/>
    </row>
    <row r="30" spans="1:37" s="1390" customFormat="1" ht="37" customHeight="1" x14ac:dyDescent="0.2">
      <c r="A30" s="1710" t="str">
        <f t="shared" si="12"/>
        <v>02.02.03.05</v>
      </c>
      <c r="B30" s="1426">
        <v>17</v>
      </c>
      <c r="C30" s="1429" t="s">
        <v>5756</v>
      </c>
      <c r="D30" s="1455" t="s">
        <v>2617</v>
      </c>
      <c r="E30" s="1416" t="s">
        <v>39</v>
      </c>
      <c r="F30" s="1455" t="s">
        <v>52</v>
      </c>
      <c r="G30" s="1501"/>
      <c r="H30" s="1455" t="s">
        <v>52</v>
      </c>
      <c r="I30" s="1501">
        <v>2017</v>
      </c>
      <c r="J30" s="1414"/>
      <c r="K30" s="1653"/>
      <c r="L30" s="1455"/>
      <c r="M30" s="1414"/>
      <c r="N30" s="1414"/>
      <c r="O30" s="1501"/>
      <c r="P30" s="1539">
        <v>49599000</v>
      </c>
      <c r="Q30" s="1598"/>
      <c r="V30" s="1477" t="str">
        <f t="shared" si="13"/>
        <v>02.02.03</v>
      </c>
      <c r="W30" s="1478" t="str">
        <f t="shared" si="1"/>
        <v>Alat-alat Bantu</v>
      </c>
      <c r="X30" s="1478">
        <f t="shared" si="2"/>
        <v>7</v>
      </c>
      <c r="Y30" s="1401">
        <f t="shared" si="3"/>
        <v>7085571.4285714282</v>
      </c>
      <c r="Z30" s="1444">
        <f t="shared" si="4"/>
        <v>0</v>
      </c>
      <c r="AA30" s="1401">
        <f t="shared" si="5"/>
        <v>0</v>
      </c>
      <c r="AB30" s="1401"/>
      <c r="AC30" s="1401"/>
      <c r="AD30" s="1401"/>
      <c r="AE30" s="1479">
        <f t="shared" si="9"/>
        <v>7085571.4285714282</v>
      </c>
      <c r="AF30" s="1479">
        <f t="shared" ref="AF30:AF35" si="17">IF(P30-10=AA30+AB30+AC30+AD30+AE30,0,Y30)</f>
        <v>7085571.4285714282</v>
      </c>
      <c r="AG30" s="1479">
        <f t="shared" si="15"/>
        <v>7085571.4285714282</v>
      </c>
      <c r="AH30" s="1479">
        <f t="shared" si="16"/>
        <v>21256714.285714284</v>
      </c>
      <c r="AI30" s="1645">
        <f t="shared" si="10"/>
        <v>2017</v>
      </c>
      <c r="AJ30" s="1401">
        <f t="shared" si="11"/>
        <v>28342285.714285716</v>
      </c>
      <c r="AK30" s="1401"/>
    </row>
    <row r="31" spans="1:37" s="1390" customFormat="1" ht="37" customHeight="1" x14ac:dyDescent="0.2">
      <c r="A31" s="1710" t="str">
        <f t="shared" si="12"/>
        <v>02.02.03.05</v>
      </c>
      <c r="B31" s="1426">
        <v>18</v>
      </c>
      <c r="C31" s="1429" t="s">
        <v>5756</v>
      </c>
      <c r="D31" s="1455" t="s">
        <v>2618</v>
      </c>
      <c r="E31" s="1416" t="s">
        <v>39</v>
      </c>
      <c r="F31" s="1455" t="s">
        <v>52</v>
      </c>
      <c r="G31" s="1501"/>
      <c r="H31" s="1455" t="s">
        <v>52</v>
      </c>
      <c r="I31" s="1501">
        <v>2017</v>
      </c>
      <c r="J31" s="1414"/>
      <c r="K31" s="1653"/>
      <c r="L31" s="1455"/>
      <c r="M31" s="1414"/>
      <c r="N31" s="1414"/>
      <c r="O31" s="1501"/>
      <c r="P31" s="1539">
        <v>45930000</v>
      </c>
      <c r="Q31" s="1598"/>
      <c r="V31" s="1477" t="str">
        <f t="shared" si="13"/>
        <v>02.02.03</v>
      </c>
      <c r="W31" s="1478" t="str">
        <f t="shared" si="1"/>
        <v>Alat-alat Bantu</v>
      </c>
      <c r="X31" s="1478">
        <f t="shared" si="2"/>
        <v>7</v>
      </c>
      <c r="Y31" s="1401">
        <f t="shared" si="3"/>
        <v>6561428.5714285718</v>
      </c>
      <c r="Z31" s="1444">
        <f t="shared" si="4"/>
        <v>0</v>
      </c>
      <c r="AA31" s="1401">
        <f t="shared" si="5"/>
        <v>0</v>
      </c>
      <c r="AB31" s="1401"/>
      <c r="AC31" s="1401"/>
      <c r="AD31" s="1401"/>
      <c r="AE31" s="1479">
        <f t="shared" si="9"/>
        <v>6561428.5714285718</v>
      </c>
      <c r="AF31" s="1479">
        <f t="shared" si="17"/>
        <v>6561428.5714285718</v>
      </c>
      <c r="AG31" s="1479">
        <f t="shared" si="15"/>
        <v>6561428.5714285718</v>
      </c>
      <c r="AH31" s="1479">
        <f t="shared" si="16"/>
        <v>19684285.714285716</v>
      </c>
      <c r="AI31" s="1645">
        <f t="shared" si="10"/>
        <v>2017</v>
      </c>
      <c r="AJ31" s="1401">
        <f t="shared" si="11"/>
        <v>26245714.285714284</v>
      </c>
      <c r="AK31" s="1401"/>
    </row>
    <row r="32" spans="1:37" s="1390" customFormat="1" ht="37" customHeight="1" x14ac:dyDescent="0.2">
      <c r="A32" s="1710" t="str">
        <f t="shared" si="12"/>
        <v>02.02.03.05</v>
      </c>
      <c r="B32" s="1426">
        <v>19</v>
      </c>
      <c r="C32" s="1429" t="s">
        <v>5756</v>
      </c>
      <c r="D32" s="1455" t="s">
        <v>2619</v>
      </c>
      <c r="E32" s="1416" t="s">
        <v>39</v>
      </c>
      <c r="F32" s="1455" t="s">
        <v>52</v>
      </c>
      <c r="G32" s="1501"/>
      <c r="H32" s="1455" t="s">
        <v>52</v>
      </c>
      <c r="I32" s="1501">
        <v>2017</v>
      </c>
      <c r="J32" s="1414"/>
      <c r="K32" s="1653"/>
      <c r="L32" s="1455"/>
      <c r="M32" s="1414"/>
      <c r="N32" s="1414"/>
      <c r="O32" s="1501"/>
      <c r="P32" s="1539">
        <v>25850000</v>
      </c>
      <c r="Q32" s="1598"/>
      <c r="V32" s="1477" t="str">
        <f t="shared" si="13"/>
        <v>02.02.03</v>
      </c>
      <c r="W32" s="1478" t="str">
        <f t="shared" si="1"/>
        <v>Alat-alat Bantu</v>
      </c>
      <c r="X32" s="1478">
        <f t="shared" si="2"/>
        <v>7</v>
      </c>
      <c r="Y32" s="1401">
        <f t="shared" si="3"/>
        <v>3692857.1428571427</v>
      </c>
      <c r="Z32" s="1444">
        <f t="shared" si="4"/>
        <v>0</v>
      </c>
      <c r="AA32" s="1401">
        <f t="shared" si="5"/>
        <v>0</v>
      </c>
      <c r="AB32" s="1401"/>
      <c r="AC32" s="1401"/>
      <c r="AD32" s="1401"/>
      <c r="AE32" s="1479">
        <f t="shared" si="9"/>
        <v>3692857.1428571427</v>
      </c>
      <c r="AF32" s="1479">
        <f t="shared" si="17"/>
        <v>3692857.1428571427</v>
      </c>
      <c r="AG32" s="1479">
        <f t="shared" si="15"/>
        <v>3692857.1428571427</v>
      </c>
      <c r="AH32" s="1479">
        <f t="shared" si="16"/>
        <v>11078571.428571429</v>
      </c>
      <c r="AI32" s="1645">
        <f t="shared" si="10"/>
        <v>2017</v>
      </c>
      <c r="AJ32" s="1401">
        <f t="shared" si="11"/>
        <v>14771428.571428571</v>
      </c>
      <c r="AK32" s="1401"/>
    </row>
    <row r="33" spans="1:38" s="1390" customFormat="1" ht="37" customHeight="1" x14ac:dyDescent="0.2">
      <c r="A33" s="1710" t="str">
        <f t="shared" si="12"/>
        <v>02.02.03.05</v>
      </c>
      <c r="B33" s="1426">
        <v>20</v>
      </c>
      <c r="C33" s="1429" t="s">
        <v>5756</v>
      </c>
      <c r="D33" s="1455" t="s">
        <v>2620</v>
      </c>
      <c r="E33" s="1416" t="s">
        <v>39</v>
      </c>
      <c r="F33" s="1455" t="s">
        <v>52</v>
      </c>
      <c r="G33" s="1501"/>
      <c r="H33" s="1455" t="s">
        <v>52</v>
      </c>
      <c r="I33" s="1501">
        <v>2017</v>
      </c>
      <c r="J33" s="1414"/>
      <c r="K33" s="1653"/>
      <c r="L33" s="1455"/>
      <c r="M33" s="1414"/>
      <c r="N33" s="1414"/>
      <c r="O33" s="1501"/>
      <c r="P33" s="1539">
        <v>120780000</v>
      </c>
      <c r="Q33" s="1598"/>
      <c r="V33" s="1477" t="str">
        <f t="shared" si="13"/>
        <v>02.02.03</v>
      </c>
      <c r="W33" s="1478" t="str">
        <f t="shared" si="1"/>
        <v>Alat-alat Bantu</v>
      </c>
      <c r="X33" s="1478">
        <f t="shared" si="2"/>
        <v>7</v>
      </c>
      <c r="Y33" s="1401">
        <f t="shared" si="3"/>
        <v>17254285.714285713</v>
      </c>
      <c r="Z33" s="1444">
        <f t="shared" si="4"/>
        <v>0</v>
      </c>
      <c r="AA33" s="1401">
        <f t="shared" si="5"/>
        <v>0</v>
      </c>
      <c r="AB33" s="1401"/>
      <c r="AC33" s="1401"/>
      <c r="AD33" s="1401"/>
      <c r="AE33" s="1479">
        <f t="shared" si="9"/>
        <v>17254285.714285713</v>
      </c>
      <c r="AF33" s="1479">
        <f t="shared" si="17"/>
        <v>17254285.714285713</v>
      </c>
      <c r="AG33" s="1479">
        <f t="shared" si="15"/>
        <v>17254285.714285713</v>
      </c>
      <c r="AH33" s="1479">
        <f t="shared" si="16"/>
        <v>51762857.142857134</v>
      </c>
      <c r="AI33" s="1645">
        <f t="shared" si="10"/>
        <v>2017</v>
      </c>
      <c r="AJ33" s="1401">
        <f t="shared" si="11"/>
        <v>69017142.857142866</v>
      </c>
      <c r="AK33" s="1401"/>
    </row>
    <row r="34" spans="1:38" s="1390" customFormat="1" ht="37" customHeight="1" x14ac:dyDescent="0.2">
      <c r="A34" s="1710" t="str">
        <f t="shared" si="12"/>
        <v>02.02.03.05</v>
      </c>
      <c r="B34" s="1426">
        <v>21</v>
      </c>
      <c r="C34" s="1429" t="s">
        <v>5756</v>
      </c>
      <c r="D34" s="1455" t="s">
        <v>2621</v>
      </c>
      <c r="E34" s="1416" t="s">
        <v>39</v>
      </c>
      <c r="F34" s="1455" t="s">
        <v>52</v>
      </c>
      <c r="G34" s="1501"/>
      <c r="H34" s="1455" t="s">
        <v>52</v>
      </c>
      <c r="I34" s="1501">
        <v>2017</v>
      </c>
      <c r="J34" s="1414"/>
      <c r="K34" s="1653"/>
      <c r="L34" s="1455"/>
      <c r="M34" s="1414"/>
      <c r="N34" s="1414"/>
      <c r="O34" s="1501"/>
      <c r="P34" s="1539">
        <v>98700000</v>
      </c>
      <c r="Q34" s="1598"/>
      <c r="V34" s="1477" t="str">
        <f t="shared" si="13"/>
        <v>02.02.03</v>
      </c>
      <c r="W34" s="1478" t="str">
        <f t="shared" si="1"/>
        <v>Alat-alat Bantu</v>
      </c>
      <c r="X34" s="1478">
        <f t="shared" si="2"/>
        <v>7</v>
      </c>
      <c r="Y34" s="1401">
        <f t="shared" si="3"/>
        <v>14100000</v>
      </c>
      <c r="Z34" s="1444">
        <f t="shared" si="4"/>
        <v>0</v>
      </c>
      <c r="AA34" s="1401">
        <f t="shared" si="5"/>
        <v>0</v>
      </c>
      <c r="AB34" s="1401"/>
      <c r="AC34" s="1401"/>
      <c r="AD34" s="1401"/>
      <c r="AE34" s="1479">
        <f t="shared" si="9"/>
        <v>14100000</v>
      </c>
      <c r="AF34" s="1479">
        <f t="shared" si="17"/>
        <v>14100000</v>
      </c>
      <c r="AG34" s="1479">
        <f t="shared" si="15"/>
        <v>14100000</v>
      </c>
      <c r="AH34" s="1479">
        <f t="shared" si="16"/>
        <v>42300000</v>
      </c>
      <c r="AI34" s="1645">
        <f t="shared" si="10"/>
        <v>2017</v>
      </c>
      <c r="AJ34" s="1401">
        <f t="shared" si="11"/>
        <v>56400000</v>
      </c>
      <c r="AK34" s="1401"/>
    </row>
    <row r="35" spans="1:38" s="1390" customFormat="1" ht="37" customHeight="1" x14ac:dyDescent="0.2">
      <c r="A35" s="1710" t="str">
        <f t="shared" si="12"/>
        <v>02.02.03.05</v>
      </c>
      <c r="B35" s="1426">
        <v>22</v>
      </c>
      <c r="C35" s="1429" t="s">
        <v>5756</v>
      </c>
      <c r="D35" s="1455" t="s">
        <v>2622</v>
      </c>
      <c r="E35" s="1416" t="s">
        <v>39</v>
      </c>
      <c r="F35" s="1455" t="s">
        <v>52</v>
      </c>
      <c r="G35" s="1501"/>
      <c r="H35" s="1455" t="s">
        <v>52</v>
      </c>
      <c r="I35" s="1501">
        <v>2017</v>
      </c>
      <c r="J35" s="1414"/>
      <c r="K35" s="1653"/>
      <c r="L35" s="1455"/>
      <c r="M35" s="1414"/>
      <c r="N35" s="1414"/>
      <c r="O35" s="1501"/>
      <c r="P35" s="1539">
        <v>62865000</v>
      </c>
      <c r="Q35" s="1598"/>
      <c r="V35" s="1477" t="str">
        <f t="shared" si="13"/>
        <v>02.02.03</v>
      </c>
      <c r="W35" s="1478" t="str">
        <f t="shared" si="1"/>
        <v>Alat-alat Bantu</v>
      </c>
      <c r="X35" s="1478">
        <f t="shared" si="2"/>
        <v>7</v>
      </c>
      <c r="Y35" s="1401">
        <f t="shared" si="3"/>
        <v>8980714.2857142854</v>
      </c>
      <c r="Z35" s="1444">
        <f t="shared" si="4"/>
        <v>0</v>
      </c>
      <c r="AA35" s="1401">
        <f t="shared" si="5"/>
        <v>0</v>
      </c>
      <c r="AB35" s="1401"/>
      <c r="AC35" s="1401"/>
      <c r="AD35" s="1401"/>
      <c r="AE35" s="1479">
        <f t="shared" si="9"/>
        <v>8980714.2857142854</v>
      </c>
      <c r="AF35" s="1479">
        <f t="shared" si="17"/>
        <v>8980714.2857142854</v>
      </c>
      <c r="AG35" s="1479">
        <f t="shared" si="15"/>
        <v>8980714.2857142854</v>
      </c>
      <c r="AH35" s="1479">
        <f t="shared" si="16"/>
        <v>26942142.857142858</v>
      </c>
      <c r="AI35" s="1645">
        <f t="shared" si="10"/>
        <v>2017</v>
      </c>
      <c r="AJ35" s="1401">
        <f t="shared" si="11"/>
        <v>35922857.142857142</v>
      </c>
      <c r="AK35" s="1401"/>
    </row>
    <row r="36" spans="1:38" s="1390" customFormat="1" ht="37" customHeight="1" x14ac:dyDescent="0.2">
      <c r="A36" s="1710" t="str">
        <f t="shared" si="12"/>
        <v/>
      </c>
      <c r="B36" s="1426"/>
      <c r="C36" s="1414"/>
      <c r="D36" s="1414" t="s">
        <v>52</v>
      </c>
      <c r="E36" s="1416"/>
      <c r="F36" s="1414" t="s">
        <v>52</v>
      </c>
      <c r="G36" s="1414"/>
      <c r="H36" s="1414" t="s">
        <v>52</v>
      </c>
      <c r="I36" s="1416"/>
      <c r="J36" s="1414"/>
      <c r="K36" s="1414"/>
      <c r="L36" s="1414"/>
      <c r="M36" s="1414"/>
      <c r="N36" s="1414"/>
      <c r="O36" s="1416"/>
      <c r="P36" s="1529"/>
      <c r="Q36" s="1596"/>
      <c r="W36" s="1444">
        <f>IF(P36&lt;300000,P36,"0")</f>
        <v>0</v>
      </c>
      <c r="Y36" s="1401"/>
      <c r="AA36" s="1401"/>
      <c r="AB36" s="1401"/>
      <c r="AC36" s="1401"/>
      <c r="AD36" s="1401"/>
      <c r="AE36" s="1401"/>
      <c r="AF36" s="1401"/>
      <c r="AG36" s="1401"/>
      <c r="AH36" s="1401"/>
      <c r="AJ36" s="1401"/>
      <c r="AK36" s="1401"/>
    </row>
    <row r="37" spans="1:38" s="1407" customFormat="1" ht="37" customHeight="1" x14ac:dyDescent="0.2">
      <c r="A37" s="1710" t="str">
        <f t="shared" si="12"/>
        <v>ALAT-ALAT A</v>
      </c>
      <c r="B37" s="1441" t="s">
        <v>120</v>
      </c>
      <c r="C37" s="1691" t="s">
        <v>918</v>
      </c>
      <c r="D37" s="1508"/>
      <c r="E37" s="1469"/>
      <c r="F37" s="1508" t="s">
        <v>52</v>
      </c>
      <c r="G37" s="1508"/>
      <c r="H37" s="1508" t="s">
        <v>52</v>
      </c>
      <c r="I37" s="1469"/>
      <c r="J37" s="1508"/>
      <c r="K37" s="1508"/>
      <c r="L37" s="1508"/>
      <c r="M37" s="1508"/>
      <c r="N37" s="1508"/>
      <c r="O37" s="1469"/>
      <c r="P37" s="1506">
        <f>SUM(P38:P56)</f>
        <v>4826198965.3066559</v>
      </c>
      <c r="Q37" s="1601"/>
      <c r="W37" s="1444"/>
      <c r="Y37" s="1446"/>
      <c r="AA37" s="1506">
        <f t="shared" ref="AA37:AJ37" si="18">SUM(AA38:AA56)</f>
        <v>4175181639.7101007</v>
      </c>
      <c r="AB37" s="1506">
        <f t="shared" si="18"/>
        <v>40120275.304909229</v>
      </c>
      <c r="AC37" s="1506">
        <f t="shared" si="18"/>
        <v>93002475.085222244</v>
      </c>
      <c r="AD37" s="1506">
        <f t="shared" si="18"/>
        <v>93002475.085222244</v>
      </c>
      <c r="AE37" s="1506">
        <f t="shared" si="18"/>
        <v>93002475.085222244</v>
      </c>
      <c r="AF37" s="1506">
        <f t="shared" si="18"/>
        <v>93002475.085222244</v>
      </c>
      <c r="AG37" s="1506">
        <f t="shared" si="18"/>
        <v>93002475.085222244</v>
      </c>
      <c r="AH37" s="1506">
        <f t="shared" si="18"/>
        <v>4680314290.4411211</v>
      </c>
      <c r="AI37" s="1506">
        <f t="shared" si="18"/>
        <v>22100</v>
      </c>
      <c r="AJ37" s="1506">
        <f t="shared" si="18"/>
        <v>145884674.86553526</v>
      </c>
      <c r="AK37" s="1506"/>
    </row>
    <row r="38" spans="1:38" s="1390" customFormat="1" ht="37" customHeight="1" x14ac:dyDescent="0.2">
      <c r="A38" s="1710" t="str">
        <f t="shared" si="12"/>
        <v>02.03.01.02</v>
      </c>
      <c r="B38" s="1426">
        <v>1</v>
      </c>
      <c r="C38" s="1694" t="s">
        <v>5553</v>
      </c>
      <c r="D38" s="1695" t="s">
        <v>122</v>
      </c>
      <c r="E38" s="1416" t="s">
        <v>39</v>
      </c>
      <c r="F38" s="1455" t="s">
        <v>123</v>
      </c>
      <c r="G38" s="1501" t="s">
        <v>124</v>
      </c>
      <c r="H38" s="1455" t="s">
        <v>1007</v>
      </c>
      <c r="I38" s="1501" t="s">
        <v>48</v>
      </c>
      <c r="J38" s="1414"/>
      <c r="K38" s="1455" t="s">
        <v>125</v>
      </c>
      <c r="L38" s="1455" t="s">
        <v>126</v>
      </c>
      <c r="M38" s="1455" t="s">
        <v>5563</v>
      </c>
      <c r="N38" s="1414"/>
      <c r="O38" s="1501" t="s">
        <v>12</v>
      </c>
      <c r="P38" s="1539">
        <v>80000000</v>
      </c>
      <c r="Q38" s="1598" t="s">
        <v>43</v>
      </c>
      <c r="V38" s="1477" t="str">
        <f t="shared" ref="V38:V51" si="19">LEFT(C38,8)</f>
        <v>02.03.01</v>
      </c>
      <c r="W38" s="1478" t="str">
        <f t="shared" ref="W38:W51" si="20">VLOOKUP(V38,UE,3)</f>
        <v>Alat Angkutan Darat Bermotor</v>
      </c>
      <c r="X38" s="1478">
        <f t="shared" ref="X38:X51" si="21">VLOOKUP(V38,UE,4,FALSE)</f>
        <v>7</v>
      </c>
      <c r="Y38" s="1401">
        <f t="shared" ref="Y38:Y51" si="22">P38/X38</f>
        <v>11428571.428571429</v>
      </c>
      <c r="Z38" s="1444">
        <f t="shared" ref="Z38:Z51" si="23">IF(2013-I38+1&gt;X38,X38,IF(2013-I38+1&lt;0,0,(2013-I38+1)))</f>
        <v>7</v>
      </c>
      <c r="AA38" s="1401">
        <f t="shared" ref="AA38:AA51" si="24">IF(Z38&gt;X38,P38,Y38*Z38)</f>
        <v>80000000</v>
      </c>
      <c r="AB38" s="1401">
        <f t="shared" ref="AB38:AB51" si="25">IF(P38=AA38,0,Y38)</f>
        <v>0</v>
      </c>
      <c r="AC38" s="1401">
        <f t="shared" ref="AC38:AC51" si="26">IF(P38=AA38+AB38,0,Y38)</f>
        <v>0</v>
      </c>
      <c r="AD38" s="1401">
        <f t="shared" ref="AD38:AD51" si="27">IF(P38=AA38+AB38+AC38,0,Y38)</f>
        <v>0</v>
      </c>
      <c r="AE38" s="1479">
        <f t="shared" ref="AE38:AE51" si="28">IF(P38=AA38+AB38+AC38+AD38,0,Y38)</f>
        <v>0</v>
      </c>
      <c r="AF38" s="1479">
        <f t="shared" ref="AF38:AF51" si="29">IF(P38=AA38+AB38+AC38+AD38+AE38,0,Y38)</f>
        <v>0</v>
      </c>
      <c r="AG38" s="1479">
        <f>IF(P38=AA38+AB38+AC38+AD38+AE38+AF38,0,Y38)</f>
        <v>0</v>
      </c>
      <c r="AH38" s="1479">
        <f>SUM(AA38:AG38)</f>
        <v>80000000</v>
      </c>
      <c r="AI38" s="1645" t="str">
        <f t="shared" ref="AI38:AI51" si="30">I38</f>
        <v>2000</v>
      </c>
      <c r="AJ38" s="1401">
        <f t="shared" ref="AJ38:AJ51" si="31">P38-AH38</f>
        <v>0</v>
      </c>
      <c r="AK38" s="1401"/>
    </row>
    <row r="39" spans="1:38" s="1390" customFormat="1" ht="37" customHeight="1" x14ac:dyDescent="0.2">
      <c r="A39" s="1710" t="str">
        <f t="shared" si="12"/>
        <v>02.03.01.05</v>
      </c>
      <c r="B39" s="1426">
        <v>2</v>
      </c>
      <c r="C39" s="1694" t="s">
        <v>4686</v>
      </c>
      <c r="D39" s="1695" t="s">
        <v>129</v>
      </c>
      <c r="E39" s="1416" t="s">
        <v>39</v>
      </c>
      <c r="F39" s="1455" t="s">
        <v>130</v>
      </c>
      <c r="G39" s="1501" t="s">
        <v>131</v>
      </c>
      <c r="H39" s="1455" t="s">
        <v>193</v>
      </c>
      <c r="I39" s="1501" t="s">
        <v>48</v>
      </c>
      <c r="J39" s="1414"/>
      <c r="K39" s="1455" t="s">
        <v>132</v>
      </c>
      <c r="L39" s="1455" t="s">
        <v>133</v>
      </c>
      <c r="M39" s="1455" t="s">
        <v>134</v>
      </c>
      <c r="N39" s="1414"/>
      <c r="O39" s="1501" t="s">
        <v>12</v>
      </c>
      <c r="P39" s="1539">
        <v>3500000</v>
      </c>
      <c r="Q39" s="1598" t="s">
        <v>135</v>
      </c>
      <c r="V39" s="1477" t="str">
        <f t="shared" si="19"/>
        <v>02.03.01</v>
      </c>
      <c r="W39" s="1478" t="str">
        <f t="shared" si="20"/>
        <v>Alat Angkutan Darat Bermotor</v>
      </c>
      <c r="X39" s="1478">
        <f t="shared" si="21"/>
        <v>7</v>
      </c>
      <c r="Y39" s="1401">
        <f t="shared" si="22"/>
        <v>500000</v>
      </c>
      <c r="Z39" s="1444">
        <f t="shared" si="23"/>
        <v>7</v>
      </c>
      <c r="AA39" s="1401">
        <f t="shared" si="24"/>
        <v>3500000</v>
      </c>
      <c r="AB39" s="1401">
        <f t="shared" si="25"/>
        <v>0</v>
      </c>
      <c r="AC39" s="1401">
        <f t="shared" si="26"/>
        <v>0</v>
      </c>
      <c r="AD39" s="1401">
        <f t="shared" si="27"/>
        <v>0</v>
      </c>
      <c r="AE39" s="1479">
        <f t="shared" si="28"/>
        <v>0</v>
      </c>
      <c r="AF39" s="1479">
        <f t="shared" si="29"/>
        <v>0</v>
      </c>
      <c r="AG39" s="1479">
        <f t="shared" ref="AG39:AG51" si="32">IF(P39=AA39+AB39+AC39+AD39+AE39+AF39,0,Y39)</f>
        <v>0</v>
      </c>
      <c r="AH39" s="1479">
        <f t="shared" ref="AH39:AH51" si="33">SUM(AA39:AG39)</f>
        <v>3500000</v>
      </c>
      <c r="AI39" s="1645" t="str">
        <f t="shared" si="30"/>
        <v>2000</v>
      </c>
      <c r="AJ39" s="1401">
        <f t="shared" si="31"/>
        <v>0</v>
      </c>
      <c r="AK39" s="1401"/>
    </row>
    <row r="40" spans="1:38" s="1390" customFormat="1" ht="37" customHeight="1" x14ac:dyDescent="0.2">
      <c r="A40" s="1710" t="str">
        <f>LEFT(C40,11)</f>
        <v>02.03.01.03</v>
      </c>
      <c r="B40" s="1426">
        <v>3</v>
      </c>
      <c r="C40" s="1414" t="s">
        <v>6015</v>
      </c>
      <c r="D40" s="1414" t="s">
        <v>45</v>
      </c>
      <c r="E40" s="1517" t="s">
        <v>39</v>
      </c>
      <c r="F40" s="1455" t="s">
        <v>46</v>
      </c>
      <c r="G40" s="1501" t="s">
        <v>47</v>
      </c>
      <c r="H40" s="1455" t="s">
        <v>1007</v>
      </c>
      <c r="I40" s="1501" t="s">
        <v>48</v>
      </c>
      <c r="J40" s="1414"/>
      <c r="K40" s="1455" t="s">
        <v>49</v>
      </c>
      <c r="L40" s="1455" t="s">
        <v>50</v>
      </c>
      <c r="M40" s="1455" t="s">
        <v>51</v>
      </c>
      <c r="N40" s="1429" t="s">
        <v>52</v>
      </c>
      <c r="O40" s="1501" t="s">
        <v>12</v>
      </c>
      <c r="P40" s="1539">
        <v>40000000</v>
      </c>
      <c r="Q40" s="1598"/>
      <c r="V40" s="1477" t="str">
        <f>LEFT(C40,8)</f>
        <v>02.03.01</v>
      </c>
      <c r="W40" s="1478" t="str">
        <f>VLOOKUP(V40,UE,3)</f>
        <v>Alat Angkutan Darat Bermotor</v>
      </c>
      <c r="X40" s="1478">
        <f>VLOOKUP(V40,UE,4,FALSE)</f>
        <v>7</v>
      </c>
      <c r="Y40" s="1401">
        <f>P40/X40</f>
        <v>5714285.7142857146</v>
      </c>
      <c r="Z40" s="1444">
        <f>IF(2013-I40+1&gt;X40,X40,IF(2013-I40+1&lt;0,0,(2013-I40+1)))</f>
        <v>7</v>
      </c>
      <c r="AA40" s="1401">
        <f>IF(Z40&gt;X40,P40,Y40*Z40)</f>
        <v>40000000</v>
      </c>
      <c r="AB40" s="1401">
        <f>IF(P40=AA40,0,Y40)</f>
        <v>0</v>
      </c>
      <c r="AC40" s="1401">
        <f>IF(P40=AA40+AB40,0,Y40)</f>
        <v>0</v>
      </c>
      <c r="AD40" s="1401">
        <f>IF(P40=AA40+AB40+AC40,0,Y40)</f>
        <v>0</v>
      </c>
      <c r="AE40" s="1479">
        <f>IF(P40=AA40+AB40+AC40+AD40,0,Y40)</f>
        <v>0</v>
      </c>
      <c r="AF40" s="1479">
        <f>IF(P40=AA40+AB40+AC40+AD40+AE40,0,Y40)</f>
        <v>0</v>
      </c>
      <c r="AG40" s="1479">
        <f>IF(P40=AA40+AB40+AC40+AD40+AE40+AF40,0,Y40)</f>
        <v>0</v>
      </c>
      <c r="AH40" s="1479">
        <f>SUM(AA40:AG40)</f>
        <v>40000000</v>
      </c>
      <c r="AI40" s="1645" t="str">
        <f>I40</f>
        <v>2000</v>
      </c>
      <c r="AJ40" s="1401">
        <f>P40-AH40</f>
        <v>0</v>
      </c>
      <c r="AK40" s="1401"/>
      <c r="AL40" s="1443"/>
    </row>
    <row r="41" spans="1:38" s="1390" customFormat="1" ht="37" customHeight="1" x14ac:dyDescent="0.2">
      <c r="A41" s="1710" t="str">
        <f>LEFT(C41,11)</f>
        <v>02.03.01.03</v>
      </c>
      <c r="B41" s="1426">
        <v>4</v>
      </c>
      <c r="C41" s="1414" t="s">
        <v>6016</v>
      </c>
      <c r="D41" s="1414" t="s">
        <v>73</v>
      </c>
      <c r="E41" s="1517" t="s">
        <v>39</v>
      </c>
      <c r="F41" s="1455" t="s">
        <v>74</v>
      </c>
      <c r="G41" s="1501" t="s">
        <v>75</v>
      </c>
      <c r="H41" s="1455" t="s">
        <v>1007</v>
      </c>
      <c r="I41" s="1501" t="s">
        <v>57</v>
      </c>
      <c r="J41" s="1414"/>
      <c r="K41" s="1455" t="s">
        <v>76</v>
      </c>
      <c r="L41" s="1455" t="s">
        <v>77</v>
      </c>
      <c r="M41" s="1455" t="s">
        <v>78</v>
      </c>
      <c r="N41" s="1693" t="s">
        <v>79</v>
      </c>
      <c r="O41" s="1501" t="s">
        <v>12</v>
      </c>
      <c r="P41" s="1539">
        <v>90000000</v>
      </c>
      <c r="Q41" s="1598" t="s">
        <v>43</v>
      </c>
      <c r="V41" s="1477" t="str">
        <f>LEFT(C41,8)</f>
        <v>02.03.01</v>
      </c>
      <c r="W41" s="1478" t="str">
        <f>VLOOKUP(V41,UE,3)</f>
        <v>Alat Angkutan Darat Bermotor</v>
      </c>
      <c r="X41" s="1478">
        <f>VLOOKUP(V41,UE,4,FALSE)</f>
        <v>7</v>
      </c>
      <c r="Y41" s="1401">
        <f>P41/X41</f>
        <v>12857142.857142856</v>
      </c>
      <c r="Z41" s="1444">
        <f>IF(2013-I41+1&gt;X41,X41,IF(2013-I41+1&lt;0,0,(2013-I41+1)))</f>
        <v>7</v>
      </c>
      <c r="AA41" s="1401">
        <f>IF(Z41&gt;X41,P41,Y41*Z41)</f>
        <v>90000000</v>
      </c>
      <c r="AB41" s="1401">
        <f>IF(P41=AA41,0,Y41)</f>
        <v>0</v>
      </c>
      <c r="AC41" s="1401">
        <f>IF(P41=AA41+AB41,0,Y41)</f>
        <v>0</v>
      </c>
      <c r="AD41" s="1401">
        <f>IF(P41=AA41+AB41+AC41,0,Y41)</f>
        <v>0</v>
      </c>
      <c r="AE41" s="1479">
        <f>IF(P41=AA41+AB41+AC41+AD41,0,Y41)</f>
        <v>0</v>
      </c>
      <c r="AF41" s="1479">
        <f>IF(P41=AA41+AB41+AC41+AD41+AE41,0,Y41)</f>
        <v>0</v>
      </c>
      <c r="AG41" s="1479">
        <f>IF(P41=AA41+AB41+AC41+AD41+AE41+AF41,0,Y41)</f>
        <v>0</v>
      </c>
      <c r="AH41" s="1479">
        <f>SUM(AA41:AG41)</f>
        <v>90000000</v>
      </c>
      <c r="AI41" s="1645" t="str">
        <f>I41</f>
        <v>2002</v>
      </c>
      <c r="AJ41" s="1401">
        <f>P41-AH41</f>
        <v>0</v>
      </c>
      <c r="AK41" s="1401"/>
    </row>
    <row r="42" spans="1:38" s="1390" customFormat="1" ht="37" customHeight="1" x14ac:dyDescent="0.2">
      <c r="A42" s="1710" t="str">
        <f>LEFT(C42,11)</f>
        <v>02.03.01.03</v>
      </c>
      <c r="B42" s="1426">
        <v>5</v>
      </c>
      <c r="C42" s="1414" t="s">
        <v>6016</v>
      </c>
      <c r="D42" s="1414" t="s">
        <v>73</v>
      </c>
      <c r="E42" s="1517" t="s">
        <v>68</v>
      </c>
      <c r="F42" s="1455" t="s">
        <v>74</v>
      </c>
      <c r="G42" s="1501" t="s">
        <v>75</v>
      </c>
      <c r="H42" s="1455" t="s">
        <v>1007</v>
      </c>
      <c r="I42" s="1501" t="s">
        <v>92</v>
      </c>
      <c r="J42" s="1414"/>
      <c r="K42" s="1455" t="s">
        <v>100</v>
      </c>
      <c r="L42" s="1455" t="s">
        <v>101</v>
      </c>
      <c r="M42" s="1455" t="s">
        <v>102</v>
      </c>
      <c r="N42" s="1693" t="s">
        <v>103</v>
      </c>
      <c r="O42" s="1501" t="s">
        <v>12</v>
      </c>
      <c r="P42" s="1539">
        <v>100000000</v>
      </c>
      <c r="Q42" s="1598" t="s">
        <v>43</v>
      </c>
      <c r="V42" s="1477" t="str">
        <f>LEFT(C42,8)</f>
        <v>02.03.01</v>
      </c>
      <c r="W42" s="1478" t="str">
        <f>VLOOKUP(V42,UE,3)</f>
        <v>Alat Angkutan Darat Bermotor</v>
      </c>
      <c r="X42" s="1478">
        <f>VLOOKUP(V42,UE,4,FALSE)</f>
        <v>7</v>
      </c>
      <c r="Y42" s="1401">
        <f>P42/X42</f>
        <v>14285714.285714285</v>
      </c>
      <c r="Z42" s="1444">
        <f>IF(2013-I42+1&gt;X42,X42,IF(2013-I42+1&lt;0,0,(2013-I42+1)))</f>
        <v>7</v>
      </c>
      <c r="AA42" s="1401">
        <f>IF(Z42&gt;X42,P42,Y42*Z42)</f>
        <v>100000000</v>
      </c>
      <c r="AB42" s="1401">
        <f>IF(P42=AA42,0,Y42)</f>
        <v>0</v>
      </c>
      <c r="AC42" s="1401">
        <f>IF(P42=AA42+AB42,0,Y42)</f>
        <v>0</v>
      </c>
      <c r="AD42" s="1401">
        <f>IF(P42=AA42+AB42+AC42,0,Y42)</f>
        <v>0</v>
      </c>
      <c r="AE42" s="1479">
        <f>IF(P42=AA42+AB42+AC42+AD42,0,Y42)</f>
        <v>0</v>
      </c>
      <c r="AF42" s="1479">
        <f>IF(P42=AA42+AB42+AC42+AD42+AE42,0,Y42)</f>
        <v>0</v>
      </c>
      <c r="AG42" s="1479">
        <f>IF(P42=AA42+AB42+AC42+AD42+AE42+AF42,0,Y42)</f>
        <v>0</v>
      </c>
      <c r="AH42" s="1479">
        <f>SUM(AA42:AG42)</f>
        <v>100000000</v>
      </c>
      <c r="AI42" s="1645" t="str">
        <f>I42</f>
        <v>2005</v>
      </c>
      <c r="AJ42" s="1401">
        <f>P42-AH42</f>
        <v>0</v>
      </c>
      <c r="AK42" s="1401"/>
    </row>
    <row r="43" spans="1:38" s="1390" customFormat="1" ht="37" customHeight="1" x14ac:dyDescent="0.2">
      <c r="A43" s="1710" t="str">
        <f>LEFT(C43,11)</f>
        <v>02.03.01.03</v>
      </c>
      <c r="B43" s="1426">
        <v>6</v>
      </c>
      <c r="C43" s="1414" t="s">
        <v>6017</v>
      </c>
      <c r="D43" s="1414" t="s">
        <v>112</v>
      </c>
      <c r="E43" s="1517" t="s">
        <v>39</v>
      </c>
      <c r="F43" s="1455" t="s">
        <v>87</v>
      </c>
      <c r="G43" s="1501" t="s">
        <v>113</v>
      </c>
      <c r="H43" s="1455" t="s">
        <v>1007</v>
      </c>
      <c r="I43" s="1501" t="s">
        <v>108</v>
      </c>
      <c r="J43" s="1414"/>
      <c r="K43" s="1455" t="s">
        <v>114</v>
      </c>
      <c r="L43" s="1455" t="s">
        <v>115</v>
      </c>
      <c r="M43" s="1455" t="s">
        <v>116</v>
      </c>
      <c r="N43" s="1693" t="s">
        <v>117</v>
      </c>
      <c r="O43" s="1501" t="s">
        <v>12</v>
      </c>
      <c r="P43" s="1539">
        <v>95000000</v>
      </c>
      <c r="Q43" s="1598" t="s">
        <v>43</v>
      </c>
      <c r="V43" s="1477" t="str">
        <f>LEFT(C43,8)</f>
        <v>02.03.01</v>
      </c>
      <c r="W43" s="1478" t="str">
        <f>VLOOKUP(V43,UE,3)</f>
        <v>Alat Angkutan Darat Bermotor</v>
      </c>
      <c r="X43" s="1478">
        <f>VLOOKUP(V43,UE,4,FALSE)</f>
        <v>7</v>
      </c>
      <c r="Y43" s="1401">
        <f>P43/X43</f>
        <v>13571428.571428571</v>
      </c>
      <c r="Z43" s="1444">
        <f>IF(2013-I43+1&gt;X43,X43,IF(2013-I43+1&lt;0,0,(2013-I43+1)))</f>
        <v>7</v>
      </c>
      <c r="AA43" s="1401">
        <f>IF(Z43&gt;X43,P43,Y43*Z43)</f>
        <v>95000000</v>
      </c>
      <c r="AB43" s="1401">
        <f>IF(P43=AA43,0,Y43)</f>
        <v>0</v>
      </c>
      <c r="AC43" s="1401">
        <f>IF(P43=AA43+AB43,0,Y43)</f>
        <v>0</v>
      </c>
      <c r="AD43" s="1401">
        <f>IF(P43=AA43+AB43+AC43,0,Y43)</f>
        <v>0</v>
      </c>
      <c r="AE43" s="1479">
        <f>IF(P43=AA43+AB43+AC43+AD43,0,Y43)</f>
        <v>0</v>
      </c>
      <c r="AF43" s="1479">
        <f>IF(P43=AA43+AB43+AC43+AD43+AE43,0,Y43)</f>
        <v>0</v>
      </c>
      <c r="AG43" s="1479">
        <f>IF(P43=AA43+AB43+AC43+AD43+AE43+AF43,0,Y43)</f>
        <v>0</v>
      </c>
      <c r="AH43" s="1479">
        <f>SUM(AA43:AG43)</f>
        <v>95000000</v>
      </c>
      <c r="AI43" s="1645" t="str">
        <f>I43</f>
        <v>2006</v>
      </c>
      <c r="AJ43" s="1401">
        <f>P43-AH43</f>
        <v>0</v>
      </c>
      <c r="AK43" s="1401"/>
    </row>
    <row r="44" spans="1:38" s="1390" customFormat="1" ht="37" customHeight="1" x14ac:dyDescent="0.2">
      <c r="A44" s="1710" t="str">
        <f t="shared" si="12"/>
        <v>02.03.01.02</v>
      </c>
      <c r="B44" s="1426">
        <v>7</v>
      </c>
      <c r="C44" s="1694" t="s">
        <v>4687</v>
      </c>
      <c r="D44" s="1695" t="s">
        <v>927</v>
      </c>
      <c r="E44" s="1416" t="s">
        <v>39</v>
      </c>
      <c r="F44" s="1455" t="s">
        <v>137</v>
      </c>
      <c r="G44" s="1501"/>
      <c r="H44" s="1455" t="s">
        <v>119</v>
      </c>
      <c r="I44" s="1501">
        <v>2007</v>
      </c>
      <c r="J44" s="1414"/>
      <c r="K44" s="1696"/>
      <c r="L44" s="1696"/>
      <c r="M44" s="1696" t="s">
        <v>5719</v>
      </c>
      <c r="N44" s="1414"/>
      <c r="O44" s="1501" t="s">
        <v>12</v>
      </c>
      <c r="P44" s="1539">
        <v>603469248.395805</v>
      </c>
      <c r="Q44" s="1598" t="s">
        <v>43</v>
      </c>
      <c r="V44" s="1477" t="str">
        <f t="shared" si="19"/>
        <v>02.03.01</v>
      </c>
      <c r="W44" s="1478" t="str">
        <f t="shared" si="20"/>
        <v>Alat Angkutan Darat Bermotor</v>
      </c>
      <c r="X44" s="1478">
        <f t="shared" si="21"/>
        <v>7</v>
      </c>
      <c r="Y44" s="1401">
        <f t="shared" si="22"/>
        <v>86209892.627972141</v>
      </c>
      <c r="Z44" s="1444">
        <f t="shared" si="23"/>
        <v>7</v>
      </c>
      <c r="AA44" s="1401">
        <f t="shared" si="24"/>
        <v>603469248.395805</v>
      </c>
      <c r="AB44" s="1401">
        <f t="shared" si="25"/>
        <v>0</v>
      </c>
      <c r="AC44" s="1401">
        <f t="shared" si="26"/>
        <v>0</v>
      </c>
      <c r="AD44" s="1401">
        <f t="shared" si="27"/>
        <v>0</v>
      </c>
      <c r="AE44" s="1479">
        <f t="shared" si="28"/>
        <v>0</v>
      </c>
      <c r="AF44" s="1479">
        <f t="shared" si="29"/>
        <v>0</v>
      </c>
      <c r="AG44" s="1479">
        <f t="shared" si="32"/>
        <v>0</v>
      </c>
      <c r="AH44" s="1479">
        <f t="shared" si="33"/>
        <v>603469248.395805</v>
      </c>
      <c r="AI44" s="1645">
        <f t="shared" si="30"/>
        <v>2007</v>
      </c>
      <c r="AJ44" s="1401">
        <f t="shared" si="31"/>
        <v>0</v>
      </c>
      <c r="AK44" s="1401"/>
    </row>
    <row r="45" spans="1:38" s="1390" customFormat="1" ht="37" customHeight="1" x14ac:dyDescent="0.2">
      <c r="A45" s="1710" t="str">
        <f t="shared" si="12"/>
        <v>02.03.01.02</v>
      </c>
      <c r="B45" s="1426">
        <v>8</v>
      </c>
      <c r="C45" s="1694" t="s">
        <v>4687</v>
      </c>
      <c r="D45" s="1695" t="s">
        <v>927</v>
      </c>
      <c r="E45" s="1416" t="s">
        <v>39</v>
      </c>
      <c r="F45" s="1455" t="s">
        <v>137</v>
      </c>
      <c r="G45" s="1501"/>
      <c r="H45" s="1455" t="s">
        <v>119</v>
      </c>
      <c r="I45" s="1501">
        <v>2007</v>
      </c>
      <c r="J45" s="1414"/>
      <c r="K45" s="1696"/>
      <c r="L45" s="1696"/>
      <c r="M45" s="1696" t="s">
        <v>5720</v>
      </c>
      <c r="N45" s="1414"/>
      <c r="O45" s="1501" t="s">
        <v>12</v>
      </c>
      <c r="P45" s="1539">
        <v>603469248.395805</v>
      </c>
      <c r="Q45" s="1598" t="s">
        <v>43</v>
      </c>
      <c r="V45" s="1477" t="str">
        <f t="shared" si="19"/>
        <v>02.03.01</v>
      </c>
      <c r="W45" s="1478" t="str">
        <f t="shared" si="20"/>
        <v>Alat Angkutan Darat Bermotor</v>
      </c>
      <c r="X45" s="1478">
        <f t="shared" si="21"/>
        <v>7</v>
      </c>
      <c r="Y45" s="1401">
        <f t="shared" si="22"/>
        <v>86209892.627972141</v>
      </c>
      <c r="Z45" s="1444">
        <f t="shared" si="23"/>
        <v>7</v>
      </c>
      <c r="AA45" s="1401">
        <f t="shared" si="24"/>
        <v>603469248.395805</v>
      </c>
      <c r="AB45" s="1401">
        <f t="shared" si="25"/>
        <v>0</v>
      </c>
      <c r="AC45" s="1401">
        <f t="shared" si="26"/>
        <v>0</v>
      </c>
      <c r="AD45" s="1401">
        <f t="shared" si="27"/>
        <v>0</v>
      </c>
      <c r="AE45" s="1479">
        <f t="shared" si="28"/>
        <v>0</v>
      </c>
      <c r="AF45" s="1479">
        <f t="shared" si="29"/>
        <v>0</v>
      </c>
      <c r="AG45" s="1479">
        <f t="shared" si="32"/>
        <v>0</v>
      </c>
      <c r="AH45" s="1479">
        <f t="shared" si="33"/>
        <v>603469248.395805</v>
      </c>
      <c r="AI45" s="1645">
        <f t="shared" si="30"/>
        <v>2007</v>
      </c>
      <c r="AJ45" s="1401">
        <f t="shared" si="31"/>
        <v>0</v>
      </c>
      <c r="AK45" s="1401"/>
    </row>
    <row r="46" spans="1:38" s="1390" customFormat="1" ht="37" customHeight="1" x14ac:dyDescent="0.2">
      <c r="A46" s="1710" t="str">
        <f t="shared" si="12"/>
        <v>02.03.01.02</v>
      </c>
      <c r="B46" s="1426">
        <v>9</v>
      </c>
      <c r="C46" s="1694" t="s">
        <v>4687</v>
      </c>
      <c r="D46" s="1695" t="s">
        <v>927</v>
      </c>
      <c r="E46" s="1416" t="s">
        <v>39</v>
      </c>
      <c r="F46" s="1455" t="s">
        <v>137</v>
      </c>
      <c r="G46" s="1501"/>
      <c r="H46" s="1455" t="s">
        <v>119</v>
      </c>
      <c r="I46" s="1501">
        <v>2007</v>
      </c>
      <c r="J46" s="1414"/>
      <c r="K46" s="1696"/>
      <c r="L46" s="1696"/>
      <c r="M46" s="1696" t="s">
        <v>5721</v>
      </c>
      <c r="N46" s="1414"/>
      <c r="O46" s="1501" t="s">
        <v>12</v>
      </c>
      <c r="P46" s="1539">
        <v>603469248.395805</v>
      </c>
      <c r="Q46" s="1598" t="s">
        <v>43</v>
      </c>
      <c r="V46" s="1477" t="str">
        <f t="shared" si="19"/>
        <v>02.03.01</v>
      </c>
      <c r="W46" s="1478" t="str">
        <f t="shared" si="20"/>
        <v>Alat Angkutan Darat Bermotor</v>
      </c>
      <c r="X46" s="1478">
        <f t="shared" si="21"/>
        <v>7</v>
      </c>
      <c r="Y46" s="1401">
        <f t="shared" si="22"/>
        <v>86209892.627972141</v>
      </c>
      <c r="Z46" s="1444">
        <f t="shared" si="23"/>
        <v>7</v>
      </c>
      <c r="AA46" s="1401">
        <f t="shared" si="24"/>
        <v>603469248.395805</v>
      </c>
      <c r="AB46" s="1401">
        <f t="shared" si="25"/>
        <v>0</v>
      </c>
      <c r="AC46" s="1401">
        <f t="shared" si="26"/>
        <v>0</v>
      </c>
      <c r="AD46" s="1401">
        <f t="shared" si="27"/>
        <v>0</v>
      </c>
      <c r="AE46" s="1479">
        <f t="shared" si="28"/>
        <v>0</v>
      </c>
      <c r="AF46" s="1479">
        <f t="shared" si="29"/>
        <v>0</v>
      </c>
      <c r="AG46" s="1479">
        <f t="shared" si="32"/>
        <v>0</v>
      </c>
      <c r="AH46" s="1479">
        <f t="shared" si="33"/>
        <v>603469248.395805</v>
      </c>
      <c r="AI46" s="1645">
        <f t="shared" si="30"/>
        <v>2007</v>
      </c>
      <c r="AJ46" s="1401">
        <f t="shared" si="31"/>
        <v>0</v>
      </c>
      <c r="AK46" s="1401"/>
    </row>
    <row r="47" spans="1:38" s="1390" customFormat="1" ht="37" customHeight="1" x14ac:dyDescent="0.2">
      <c r="A47" s="1710" t="str">
        <f t="shared" si="12"/>
        <v>02.03.01.02</v>
      </c>
      <c r="B47" s="1426">
        <v>10</v>
      </c>
      <c r="C47" s="1694" t="s">
        <v>4687</v>
      </c>
      <c r="D47" s="1695" t="s">
        <v>927</v>
      </c>
      <c r="E47" s="1416" t="s">
        <v>39</v>
      </c>
      <c r="F47" s="1455" t="s">
        <v>137</v>
      </c>
      <c r="G47" s="1501"/>
      <c r="H47" s="1455" t="s">
        <v>119</v>
      </c>
      <c r="I47" s="1501">
        <v>2007</v>
      </c>
      <c r="J47" s="1414"/>
      <c r="K47" s="1696"/>
      <c r="L47" s="1696"/>
      <c r="M47" s="1696" t="s">
        <v>5722</v>
      </c>
      <c r="N47" s="1414"/>
      <c r="O47" s="1501" t="s">
        <v>12</v>
      </c>
      <c r="P47" s="1539">
        <v>603469248.395805</v>
      </c>
      <c r="Q47" s="1598" t="s">
        <v>43</v>
      </c>
      <c r="V47" s="1477" t="str">
        <f t="shared" si="19"/>
        <v>02.03.01</v>
      </c>
      <c r="W47" s="1478" t="str">
        <f t="shared" si="20"/>
        <v>Alat Angkutan Darat Bermotor</v>
      </c>
      <c r="X47" s="1478">
        <f t="shared" si="21"/>
        <v>7</v>
      </c>
      <c r="Y47" s="1401">
        <f t="shared" si="22"/>
        <v>86209892.627972141</v>
      </c>
      <c r="Z47" s="1444">
        <f t="shared" si="23"/>
        <v>7</v>
      </c>
      <c r="AA47" s="1401">
        <f t="shared" si="24"/>
        <v>603469248.395805</v>
      </c>
      <c r="AB47" s="1401">
        <f t="shared" si="25"/>
        <v>0</v>
      </c>
      <c r="AC47" s="1401">
        <f t="shared" si="26"/>
        <v>0</v>
      </c>
      <c r="AD47" s="1401">
        <f t="shared" si="27"/>
        <v>0</v>
      </c>
      <c r="AE47" s="1479">
        <f t="shared" si="28"/>
        <v>0</v>
      </c>
      <c r="AF47" s="1479">
        <f t="shared" si="29"/>
        <v>0</v>
      </c>
      <c r="AG47" s="1479">
        <f t="shared" si="32"/>
        <v>0</v>
      </c>
      <c r="AH47" s="1479">
        <f t="shared" si="33"/>
        <v>603469248.395805</v>
      </c>
      <c r="AI47" s="1645">
        <f t="shared" si="30"/>
        <v>2007</v>
      </c>
      <c r="AJ47" s="1401">
        <f t="shared" si="31"/>
        <v>0</v>
      </c>
      <c r="AK47" s="1401"/>
    </row>
    <row r="48" spans="1:38" s="1390" customFormat="1" ht="37" customHeight="1" x14ac:dyDescent="0.2">
      <c r="A48" s="1710" t="str">
        <f t="shared" si="12"/>
        <v>02.03.01.02</v>
      </c>
      <c r="B48" s="1426">
        <v>11</v>
      </c>
      <c r="C48" s="1694" t="s">
        <v>4687</v>
      </c>
      <c r="D48" s="1695" t="s">
        <v>928</v>
      </c>
      <c r="E48" s="1416" t="s">
        <v>39</v>
      </c>
      <c r="F48" s="1455" t="s">
        <v>991</v>
      </c>
      <c r="G48" s="1501"/>
      <c r="H48" s="1455" t="s">
        <v>119</v>
      </c>
      <c r="I48" s="1501">
        <v>2007</v>
      </c>
      <c r="J48" s="1414"/>
      <c r="K48" s="1696"/>
      <c r="L48" s="1696"/>
      <c r="M48" s="1696" t="s">
        <v>5723</v>
      </c>
      <c r="N48" s="1414"/>
      <c r="O48" s="1501" t="s">
        <v>12</v>
      </c>
      <c r="P48" s="1539">
        <v>296951161.53171998</v>
      </c>
      <c r="Q48" s="1598" t="s">
        <v>43</v>
      </c>
      <c r="V48" s="1477" t="str">
        <f t="shared" si="19"/>
        <v>02.03.01</v>
      </c>
      <c r="W48" s="1478" t="str">
        <f t="shared" si="20"/>
        <v>Alat Angkutan Darat Bermotor</v>
      </c>
      <c r="X48" s="1478">
        <f t="shared" si="21"/>
        <v>7</v>
      </c>
      <c r="Y48" s="1401">
        <f t="shared" si="22"/>
        <v>42421594.504531428</v>
      </c>
      <c r="Z48" s="1444">
        <f t="shared" si="23"/>
        <v>7</v>
      </c>
      <c r="AA48" s="1401">
        <f t="shared" si="24"/>
        <v>296951161.53171998</v>
      </c>
      <c r="AB48" s="1401">
        <f t="shared" si="25"/>
        <v>0</v>
      </c>
      <c r="AC48" s="1401">
        <f t="shared" si="26"/>
        <v>0</v>
      </c>
      <c r="AD48" s="1401">
        <f t="shared" si="27"/>
        <v>0</v>
      </c>
      <c r="AE48" s="1479">
        <f t="shared" si="28"/>
        <v>0</v>
      </c>
      <c r="AF48" s="1479">
        <f t="shared" si="29"/>
        <v>0</v>
      </c>
      <c r="AG48" s="1479">
        <f t="shared" si="32"/>
        <v>0</v>
      </c>
      <c r="AH48" s="1479">
        <f t="shared" si="33"/>
        <v>296951161.53171998</v>
      </c>
      <c r="AI48" s="1645">
        <f t="shared" si="30"/>
        <v>2007</v>
      </c>
      <c r="AJ48" s="1401">
        <f t="shared" si="31"/>
        <v>0</v>
      </c>
      <c r="AK48" s="1401"/>
    </row>
    <row r="49" spans="1:38" s="1390" customFormat="1" ht="37" customHeight="1" x14ac:dyDescent="0.2">
      <c r="A49" s="1710" t="str">
        <f t="shared" si="12"/>
        <v>02.03.01.02</v>
      </c>
      <c r="B49" s="1426">
        <v>12</v>
      </c>
      <c r="C49" s="1653" t="s">
        <v>4687</v>
      </c>
      <c r="D49" s="1455" t="s">
        <v>928</v>
      </c>
      <c r="E49" s="1416" t="s">
        <v>39</v>
      </c>
      <c r="F49" s="1455" t="s">
        <v>992</v>
      </c>
      <c r="G49" s="1501"/>
      <c r="H49" s="1455" t="s">
        <v>119</v>
      </c>
      <c r="I49" s="1501">
        <v>2007</v>
      </c>
      <c r="J49" s="1414"/>
      <c r="K49" s="1653"/>
      <c r="L49" s="1653"/>
      <c r="M49" s="1696" t="s">
        <v>5724</v>
      </c>
      <c r="N49" s="1414"/>
      <c r="O49" s="1501" t="s">
        <v>12</v>
      </c>
      <c r="P49" s="1539">
        <v>296951161.53171998</v>
      </c>
      <c r="Q49" s="1598" t="s">
        <v>43</v>
      </c>
      <c r="V49" s="1477" t="str">
        <f t="shared" si="19"/>
        <v>02.03.01</v>
      </c>
      <c r="W49" s="1478" t="str">
        <f t="shared" si="20"/>
        <v>Alat Angkutan Darat Bermotor</v>
      </c>
      <c r="X49" s="1478">
        <f t="shared" si="21"/>
        <v>7</v>
      </c>
      <c r="Y49" s="1401">
        <f t="shared" si="22"/>
        <v>42421594.504531428</v>
      </c>
      <c r="Z49" s="1444">
        <f t="shared" si="23"/>
        <v>7</v>
      </c>
      <c r="AA49" s="1401">
        <f t="shared" si="24"/>
        <v>296951161.53171998</v>
      </c>
      <c r="AB49" s="1401">
        <f t="shared" si="25"/>
        <v>0</v>
      </c>
      <c r="AC49" s="1401">
        <f t="shared" si="26"/>
        <v>0</v>
      </c>
      <c r="AD49" s="1401">
        <f t="shared" si="27"/>
        <v>0</v>
      </c>
      <c r="AE49" s="1479">
        <f t="shared" si="28"/>
        <v>0</v>
      </c>
      <c r="AF49" s="1479">
        <f t="shared" si="29"/>
        <v>0</v>
      </c>
      <c r="AG49" s="1479">
        <f t="shared" si="32"/>
        <v>0</v>
      </c>
      <c r="AH49" s="1479">
        <f t="shared" si="33"/>
        <v>296951161.53171998</v>
      </c>
      <c r="AI49" s="1645">
        <f t="shared" si="30"/>
        <v>2007</v>
      </c>
      <c r="AJ49" s="1401">
        <f t="shared" si="31"/>
        <v>0</v>
      </c>
      <c r="AK49" s="1401"/>
    </row>
    <row r="50" spans="1:38" s="1390" customFormat="1" ht="37" customHeight="1" x14ac:dyDescent="0.2">
      <c r="A50" s="1710" t="str">
        <f t="shared" si="12"/>
        <v>02.03.01.02</v>
      </c>
      <c r="B50" s="1426">
        <v>13</v>
      </c>
      <c r="C50" s="1653" t="s">
        <v>4687</v>
      </c>
      <c r="D50" s="1455" t="s">
        <v>928</v>
      </c>
      <c r="E50" s="1416" t="s">
        <v>39</v>
      </c>
      <c r="F50" s="1455" t="s">
        <v>992</v>
      </c>
      <c r="G50" s="1501"/>
      <c r="H50" s="1455" t="s">
        <v>119</v>
      </c>
      <c r="I50" s="1501">
        <v>2007</v>
      </c>
      <c r="J50" s="1414"/>
      <c r="K50" s="1653"/>
      <c r="L50" s="1653"/>
      <c r="M50" s="1696" t="s">
        <v>5725</v>
      </c>
      <c r="N50" s="1414"/>
      <c r="O50" s="1501" t="s">
        <v>12</v>
      </c>
      <c r="P50" s="1539">
        <v>296951161.53171998</v>
      </c>
      <c r="Q50" s="1598" t="s">
        <v>43</v>
      </c>
      <c r="V50" s="1477" t="str">
        <f t="shared" si="19"/>
        <v>02.03.01</v>
      </c>
      <c r="W50" s="1478" t="str">
        <f t="shared" si="20"/>
        <v>Alat Angkutan Darat Bermotor</v>
      </c>
      <c r="X50" s="1478">
        <f t="shared" si="21"/>
        <v>7</v>
      </c>
      <c r="Y50" s="1401">
        <f t="shared" si="22"/>
        <v>42421594.504531428</v>
      </c>
      <c r="Z50" s="1444">
        <f t="shared" si="23"/>
        <v>7</v>
      </c>
      <c r="AA50" s="1401">
        <f t="shared" si="24"/>
        <v>296951161.53171998</v>
      </c>
      <c r="AB50" s="1401">
        <f t="shared" si="25"/>
        <v>0</v>
      </c>
      <c r="AC50" s="1401">
        <f t="shared" si="26"/>
        <v>0</v>
      </c>
      <c r="AD50" s="1401">
        <f t="shared" si="27"/>
        <v>0</v>
      </c>
      <c r="AE50" s="1479">
        <f t="shared" si="28"/>
        <v>0</v>
      </c>
      <c r="AF50" s="1479">
        <f t="shared" si="29"/>
        <v>0</v>
      </c>
      <c r="AG50" s="1479">
        <f t="shared" si="32"/>
        <v>0</v>
      </c>
      <c r="AH50" s="1479">
        <f t="shared" si="33"/>
        <v>296951161.53171998</v>
      </c>
      <c r="AI50" s="1645">
        <f t="shared" si="30"/>
        <v>2007</v>
      </c>
      <c r="AJ50" s="1401">
        <f t="shared" si="31"/>
        <v>0</v>
      </c>
      <c r="AK50" s="1401"/>
    </row>
    <row r="51" spans="1:38" s="1390" customFormat="1" ht="37" customHeight="1" x14ac:dyDescent="0.2">
      <c r="A51" s="1710" t="str">
        <f t="shared" si="12"/>
        <v>02.03.01.02</v>
      </c>
      <c r="B51" s="1426">
        <v>14</v>
      </c>
      <c r="C51" s="1653" t="s">
        <v>4687</v>
      </c>
      <c r="D51" s="1455" t="s">
        <v>928</v>
      </c>
      <c r="E51" s="1416" t="s">
        <v>39</v>
      </c>
      <c r="F51" s="1455" t="s">
        <v>992</v>
      </c>
      <c r="G51" s="1501"/>
      <c r="H51" s="1455" t="s">
        <v>119</v>
      </c>
      <c r="I51" s="1501">
        <v>2007</v>
      </c>
      <c r="J51" s="1414"/>
      <c r="K51" s="1653"/>
      <c r="L51" s="1653"/>
      <c r="M51" s="1696" t="s">
        <v>5726</v>
      </c>
      <c r="N51" s="1414"/>
      <c r="O51" s="1501" t="s">
        <v>12</v>
      </c>
      <c r="P51" s="1539">
        <v>296951161.53171998</v>
      </c>
      <c r="Q51" s="1598" t="s">
        <v>43</v>
      </c>
      <c r="V51" s="1477" t="str">
        <f t="shared" si="19"/>
        <v>02.03.01</v>
      </c>
      <c r="W51" s="1478" t="str">
        <f t="shared" si="20"/>
        <v>Alat Angkutan Darat Bermotor</v>
      </c>
      <c r="X51" s="1478">
        <f t="shared" si="21"/>
        <v>7</v>
      </c>
      <c r="Y51" s="1401">
        <f t="shared" si="22"/>
        <v>42421594.504531428</v>
      </c>
      <c r="Z51" s="1444">
        <f t="shared" si="23"/>
        <v>7</v>
      </c>
      <c r="AA51" s="1401">
        <f t="shared" si="24"/>
        <v>296951161.53171998</v>
      </c>
      <c r="AB51" s="1401">
        <f t="shared" si="25"/>
        <v>0</v>
      </c>
      <c r="AC51" s="1401">
        <f t="shared" si="26"/>
        <v>0</v>
      </c>
      <c r="AD51" s="1401">
        <f t="shared" si="27"/>
        <v>0</v>
      </c>
      <c r="AE51" s="1479">
        <f t="shared" si="28"/>
        <v>0</v>
      </c>
      <c r="AF51" s="1479">
        <f t="shared" si="29"/>
        <v>0</v>
      </c>
      <c r="AG51" s="1479">
        <f t="shared" si="32"/>
        <v>0</v>
      </c>
      <c r="AH51" s="1479">
        <f t="shared" si="33"/>
        <v>296951161.53171998</v>
      </c>
      <c r="AI51" s="1645">
        <f t="shared" si="30"/>
        <v>2007</v>
      </c>
      <c r="AJ51" s="1401">
        <f t="shared" si="31"/>
        <v>0</v>
      </c>
      <c r="AK51" s="1401"/>
    </row>
    <row r="52" spans="1:38" s="1390" customFormat="1" ht="61" customHeight="1" x14ac:dyDescent="0.2">
      <c r="A52" s="1710" t="str">
        <f t="shared" si="12"/>
        <v>02.03.01.02</v>
      </c>
      <c r="B52" s="1426">
        <v>15</v>
      </c>
      <c r="C52" s="1653" t="s">
        <v>5553</v>
      </c>
      <c r="D52" s="1455" t="s">
        <v>122</v>
      </c>
      <c r="E52" s="1416" t="s">
        <v>39</v>
      </c>
      <c r="F52" s="1455" t="s">
        <v>5554</v>
      </c>
      <c r="G52" s="1501">
        <v>2500</v>
      </c>
      <c r="H52" s="1455"/>
      <c r="I52" s="1501">
        <v>2014</v>
      </c>
      <c r="J52" s="1414" t="s">
        <v>5555</v>
      </c>
      <c r="K52" s="1653" t="s">
        <v>5556</v>
      </c>
      <c r="L52" s="1653" t="s">
        <v>5557</v>
      </c>
      <c r="M52" s="1414" t="s">
        <v>6036</v>
      </c>
      <c r="N52" s="1653">
        <v>2566474</v>
      </c>
      <c r="O52" s="1501" t="s">
        <v>12</v>
      </c>
      <c r="P52" s="1539">
        <v>280841927.1343646</v>
      </c>
      <c r="Q52" s="1712" t="s">
        <v>5558</v>
      </c>
      <c r="V52" s="1477" t="str">
        <f>LEFT(C52,8)</f>
        <v>02.03.01</v>
      </c>
      <c r="W52" s="1478" t="str">
        <f>VLOOKUP(V52,UE,3)</f>
        <v>Alat Angkutan Darat Bermotor</v>
      </c>
      <c r="X52" s="1478">
        <f>VLOOKUP(V52,UE,4,FALSE)</f>
        <v>7</v>
      </c>
      <c r="Y52" s="1401">
        <f>P52/X52</f>
        <v>40120275.304909229</v>
      </c>
      <c r="Z52" s="1444">
        <f>IF(2013-I52+1&gt;X52,X52,IF(2013-I52+1&lt;0,0,(2013-I52+1)))</f>
        <v>0</v>
      </c>
      <c r="AA52" s="1401">
        <f>IF(Z52&gt;X52,P52,Y52*Z52)</f>
        <v>0</v>
      </c>
      <c r="AB52" s="1401">
        <f>IF(P52=AA52,0,Y52)</f>
        <v>40120275.304909229</v>
      </c>
      <c r="AC52" s="1401">
        <f>IF(P52=AA52+AB52,0,Y52)</f>
        <v>40120275.304909229</v>
      </c>
      <c r="AD52" s="1401">
        <f>IF(P52=AA52+AB52+AC52,0,Y52)</f>
        <v>40120275.304909229</v>
      </c>
      <c r="AE52" s="1479">
        <f>IF(P52=AA52+AB52+AC52+AD52,0,Y52)</f>
        <v>40120275.304909229</v>
      </c>
      <c r="AF52" s="1479">
        <f>IF(P52=AA52+AB52+AC52+AD52+AE52,0,Y52)</f>
        <v>40120275.304909229</v>
      </c>
      <c r="AG52" s="1479">
        <f>IF(P52=AA52+AB52+AC52+AD52+AE52+AF52,0,Y52)</f>
        <v>40120275.304909229</v>
      </c>
      <c r="AH52" s="1479">
        <f>SUM(AA52:AG52)</f>
        <v>240721651.82945538</v>
      </c>
      <c r="AI52" s="1645">
        <f>I52</f>
        <v>2014</v>
      </c>
      <c r="AJ52" s="1401">
        <f>P52-AH52</f>
        <v>40120275.304909229</v>
      </c>
      <c r="AK52" s="1401"/>
    </row>
    <row r="53" spans="1:38" s="1390" customFormat="1" ht="61" customHeight="1" x14ac:dyDescent="0.2">
      <c r="A53" s="1710" t="str">
        <f t="shared" si="12"/>
        <v>02.03.01.02</v>
      </c>
      <c r="B53" s="1426">
        <v>16</v>
      </c>
      <c r="C53" s="1653" t="s">
        <v>5553</v>
      </c>
      <c r="D53" s="1455" t="s">
        <v>122</v>
      </c>
      <c r="E53" s="1416" t="s">
        <v>39</v>
      </c>
      <c r="F53" s="1455" t="s">
        <v>5559</v>
      </c>
      <c r="G53" s="1501">
        <v>1300</v>
      </c>
      <c r="H53" s="1455"/>
      <c r="I53" s="1501">
        <v>2015</v>
      </c>
      <c r="J53" s="1414" t="s">
        <v>5555</v>
      </c>
      <c r="K53" s="1653" t="s">
        <v>5560</v>
      </c>
      <c r="L53" s="1653" t="s">
        <v>5561</v>
      </c>
      <c r="M53" s="1414" t="s">
        <v>5562</v>
      </c>
      <c r="N53" s="1414"/>
      <c r="O53" s="1501" t="s">
        <v>12</v>
      </c>
      <c r="P53" s="1539">
        <v>185087699.23109555</v>
      </c>
      <c r="Q53" s="1712" t="s">
        <v>5558</v>
      </c>
      <c r="V53" s="1477" t="str">
        <f>LEFT(C53,8)</f>
        <v>02.03.01</v>
      </c>
      <c r="W53" s="1478" t="str">
        <f>VLOOKUP(V53,UE,3)</f>
        <v>Alat Angkutan Darat Bermotor</v>
      </c>
      <c r="X53" s="1478">
        <f>VLOOKUP(V53,UE,4,FALSE)</f>
        <v>7</v>
      </c>
      <c r="Y53" s="1401">
        <f>P53/X53</f>
        <v>26441099.890156507</v>
      </c>
      <c r="Z53" s="1444">
        <f>IF(2013-I53+1&gt;X53,X53,IF(2013-I53+1&lt;0,0,(2013-I53+1)))</f>
        <v>0</v>
      </c>
      <c r="AA53" s="1401">
        <f>IF(Z53&gt;X53,P53,Y53*Z53)</f>
        <v>0</v>
      </c>
      <c r="AB53" s="1401"/>
      <c r="AC53" s="1401">
        <f>IF(P53=AA53+AB53,0,Y53)</f>
        <v>26441099.890156507</v>
      </c>
      <c r="AD53" s="1401">
        <f>IF(P53=AA53+AB53+AC53,0,Y53)</f>
        <v>26441099.890156507</v>
      </c>
      <c r="AE53" s="1479">
        <f>IF(P53=AA53+AB53+AC53+AD53,0,Y53)</f>
        <v>26441099.890156507</v>
      </c>
      <c r="AF53" s="1479">
        <f>IF(P53=AA53+AB53+AC53+AD53+AE53,0,Y53)</f>
        <v>26441099.890156507</v>
      </c>
      <c r="AG53" s="1479">
        <f>IF(P53=AA53+AB53+AC53+AD53+AE53+AF53,0,Y53)</f>
        <v>26441099.890156507</v>
      </c>
      <c r="AH53" s="1479">
        <f>SUM(AA53:AG53)</f>
        <v>132205499.45078254</v>
      </c>
      <c r="AI53" s="1645">
        <f>I53</f>
        <v>2015</v>
      </c>
      <c r="AJ53" s="1401">
        <f>P53-AH53</f>
        <v>52882199.780313015</v>
      </c>
      <c r="AK53" s="1401"/>
    </row>
    <row r="54" spans="1:38" s="1390" customFormat="1" ht="61" customHeight="1" x14ac:dyDescent="0.2">
      <c r="A54" s="1710" t="str">
        <f t="shared" si="12"/>
        <v>02.03.01.02</v>
      </c>
      <c r="B54" s="1426">
        <v>17</v>
      </c>
      <c r="C54" s="1653" t="s">
        <v>5553</v>
      </c>
      <c r="D54" s="1455" t="s">
        <v>122</v>
      </c>
      <c r="E54" s="1416" t="s">
        <v>39</v>
      </c>
      <c r="F54" s="1455" t="s">
        <v>5559</v>
      </c>
      <c r="G54" s="1501">
        <v>1300</v>
      </c>
      <c r="H54" s="1455"/>
      <c r="I54" s="1501">
        <v>2015</v>
      </c>
      <c r="J54" s="1414" t="s">
        <v>5555</v>
      </c>
      <c r="K54" s="1653" t="s">
        <v>5564</v>
      </c>
      <c r="L54" s="1653" t="s">
        <v>5565</v>
      </c>
      <c r="M54" s="1414" t="s">
        <v>5566</v>
      </c>
      <c r="N54" s="1414"/>
      <c r="O54" s="1501" t="s">
        <v>12</v>
      </c>
      <c r="P54" s="1539">
        <v>185087699.23109555</v>
      </c>
      <c r="Q54" s="1712" t="s">
        <v>5558</v>
      </c>
      <c r="V54" s="1477" t="str">
        <f>LEFT(C54,8)</f>
        <v>02.03.01</v>
      </c>
      <c r="W54" s="1478" t="str">
        <f>VLOOKUP(V54,UE,3)</f>
        <v>Alat Angkutan Darat Bermotor</v>
      </c>
      <c r="X54" s="1478">
        <f>VLOOKUP(V54,UE,4,FALSE)</f>
        <v>7</v>
      </c>
      <c r="Y54" s="1401">
        <f>P54/X54</f>
        <v>26441099.890156507</v>
      </c>
      <c r="Z54" s="1444">
        <f>IF(2013-I54+1&gt;X54,X54,IF(2013-I54+1&lt;0,0,(2013-I54+1)))</f>
        <v>0</v>
      </c>
      <c r="AA54" s="1401">
        <f>IF(Z54&gt;X54,P54,Y54*Z54)</f>
        <v>0</v>
      </c>
      <c r="AB54" s="1401"/>
      <c r="AC54" s="1401">
        <f>IF(P54=AA54+AB54,0,Y54)</f>
        <v>26441099.890156507</v>
      </c>
      <c r="AD54" s="1401">
        <f>IF(P54=AA54+AB54+AC54,0,Y54)</f>
        <v>26441099.890156507</v>
      </c>
      <c r="AE54" s="1479">
        <f>IF(P54=AA54+AB54+AC54+AD54,0,Y54)</f>
        <v>26441099.890156507</v>
      </c>
      <c r="AF54" s="1479">
        <f>IF(P54=AA54+AB54+AC54+AD54+AE54,0,Y54)</f>
        <v>26441099.890156507</v>
      </c>
      <c r="AG54" s="1479">
        <f>IF(P54=AA54+AB54+AC54+AD54+AE54+AF54,0,Y54)</f>
        <v>26441099.890156507</v>
      </c>
      <c r="AH54" s="1479">
        <f>SUM(AA54:AG54)</f>
        <v>132205499.45078254</v>
      </c>
      <c r="AI54" s="1645">
        <f>I54</f>
        <v>2015</v>
      </c>
      <c r="AJ54" s="1401">
        <f>P54-AH54</f>
        <v>52882199.780313015</v>
      </c>
      <c r="AK54" s="1401"/>
    </row>
    <row r="55" spans="1:38" s="1390" customFormat="1" ht="61" customHeight="1" x14ac:dyDescent="0.2">
      <c r="A55" s="1710" t="str">
        <f t="shared" si="12"/>
        <v>02.03.01.02</v>
      </c>
      <c r="B55" s="1426">
        <v>18</v>
      </c>
      <c r="C55" s="1653" t="s">
        <v>5567</v>
      </c>
      <c r="D55" s="1455" t="s">
        <v>45</v>
      </c>
      <c r="E55" s="1416" t="s">
        <v>39</v>
      </c>
      <c r="F55" s="1455" t="s">
        <v>5568</v>
      </c>
      <c r="G55" s="1501" t="s">
        <v>5569</v>
      </c>
      <c r="H55" s="1455"/>
      <c r="I55" s="1501" t="s">
        <v>108</v>
      </c>
      <c r="J55" s="1414" t="s">
        <v>87</v>
      </c>
      <c r="K55" s="1653" t="s">
        <v>5570</v>
      </c>
      <c r="L55" s="1653" t="s">
        <v>5571</v>
      </c>
      <c r="M55" s="1414" t="s">
        <v>5572</v>
      </c>
      <c r="N55" s="1414"/>
      <c r="O55" s="1501" t="s">
        <v>12</v>
      </c>
      <c r="P55" s="1539">
        <v>165000000</v>
      </c>
      <c r="Q55" s="1712" t="s">
        <v>5573</v>
      </c>
      <c r="V55" s="1477" t="str">
        <f>LEFT(C55,8)</f>
        <v>02.03.01</v>
      </c>
      <c r="W55" s="1478" t="str">
        <f>VLOOKUP(V55,UE,3)</f>
        <v>Alat Angkutan Darat Bermotor</v>
      </c>
      <c r="X55" s="1478">
        <f>VLOOKUP(V55,UE,4,FALSE)</f>
        <v>7</v>
      </c>
      <c r="Y55" s="1401">
        <f>P55/X55</f>
        <v>23571428.571428571</v>
      </c>
      <c r="Z55" s="1444">
        <f>IF(2013-I55+1&gt;X55,X55,IF(2013-I55+1&lt;0,0,(2013-I55+1)))</f>
        <v>7</v>
      </c>
      <c r="AA55" s="1401">
        <f>IF(Z55&gt;X55,P55,Y55*Z55)</f>
        <v>165000000</v>
      </c>
      <c r="AB55" s="1401"/>
      <c r="AC55" s="1401">
        <f>IF(P55=AA55+AB55,0,Y55)</f>
        <v>0</v>
      </c>
      <c r="AD55" s="1401">
        <f>IF(P55=AA55+AB55+AC55,0,Y55)</f>
        <v>0</v>
      </c>
      <c r="AE55" s="1479">
        <f>IF(P55=AA55+AB55+AC55+AD55,0,Y55)</f>
        <v>0</v>
      </c>
      <c r="AF55" s="1479">
        <f>IF(P55=AA55+AB55+AC55+AD55+AE55,0,Y55)</f>
        <v>0</v>
      </c>
      <c r="AG55" s="1479">
        <f>IF(P55=AA55+AB55+AC55+AD55+AE55+AF55,0,Y55)</f>
        <v>0</v>
      </c>
      <c r="AH55" s="1479">
        <f>SUM(AA55:AG55)</f>
        <v>165000000</v>
      </c>
      <c r="AI55" s="1645" t="str">
        <f>I55</f>
        <v>2006</v>
      </c>
      <c r="AJ55" s="1401">
        <f>P55-AH55</f>
        <v>0</v>
      </c>
      <c r="AK55" s="1401"/>
    </row>
    <row r="56" spans="1:38" s="1542" customFormat="1" ht="37" customHeight="1" x14ac:dyDescent="0.2">
      <c r="A56" s="1710" t="str">
        <f t="shared" si="12"/>
        <v>02.03.01.02</v>
      </c>
      <c r="B56" s="1713">
        <v>15</v>
      </c>
      <c r="C56" s="1697" t="s">
        <v>5567</v>
      </c>
      <c r="D56" s="1698" t="s">
        <v>45</v>
      </c>
      <c r="E56" s="1699" t="s">
        <v>39</v>
      </c>
      <c r="F56" s="1698" t="s">
        <v>5568</v>
      </c>
      <c r="G56" s="1700"/>
      <c r="H56" s="1698"/>
      <c r="I56" s="1700" t="s">
        <v>108</v>
      </c>
      <c r="J56" s="1701" t="s">
        <v>87</v>
      </c>
      <c r="K56" s="1697"/>
      <c r="L56" s="1697"/>
      <c r="M56" s="1701" t="s">
        <v>5574</v>
      </c>
      <c r="N56" s="1701"/>
      <c r="O56" s="1700"/>
      <c r="P56" s="1702"/>
      <c r="Q56" s="1714" t="s">
        <v>5575</v>
      </c>
      <c r="V56" s="1555"/>
      <c r="W56" s="1556"/>
      <c r="X56" s="1556"/>
      <c r="Y56" s="1557"/>
      <c r="Z56" s="1558"/>
      <c r="AA56" s="1557"/>
      <c r="AB56" s="1557"/>
      <c r="AC56" s="1557"/>
      <c r="AD56" s="1557"/>
      <c r="AE56" s="1559"/>
      <c r="AF56" s="1559"/>
      <c r="AG56" s="1559"/>
      <c r="AH56" s="1559"/>
      <c r="AI56" s="1703"/>
      <c r="AJ56" s="1557"/>
      <c r="AK56" s="1557"/>
    </row>
    <row r="57" spans="1:38" s="1407" customFormat="1" ht="37" customHeight="1" x14ac:dyDescent="0.2">
      <c r="A57" s="1710" t="str">
        <f t="shared" si="12"/>
        <v>ALAT-ALAT B</v>
      </c>
      <c r="B57" s="1441" t="s">
        <v>138</v>
      </c>
      <c r="C57" s="1691" t="s">
        <v>919</v>
      </c>
      <c r="D57" s="1508"/>
      <c r="E57" s="1469"/>
      <c r="F57" s="1508" t="s">
        <v>52</v>
      </c>
      <c r="G57" s="1508"/>
      <c r="H57" s="1508" t="s">
        <v>52</v>
      </c>
      <c r="I57" s="1469"/>
      <c r="J57" s="1508"/>
      <c r="K57" s="1508"/>
      <c r="L57" s="1508"/>
      <c r="M57" s="1508"/>
      <c r="N57" s="1508"/>
      <c r="O57" s="1469"/>
      <c r="P57" s="1506">
        <f>SUBTOTAL(9,P58:P72)</f>
        <v>154034865.63023415</v>
      </c>
      <c r="Q57" s="1601"/>
      <c r="W57" s="1444" t="str">
        <f>IF(P57&lt;300000,P57,"0")</f>
        <v>0</v>
      </c>
      <c r="Y57" s="1446"/>
      <c r="AA57" s="1446">
        <f t="shared" ref="AA57:AJ57" si="34">SUM(AA58:AA72)</f>
        <v>75187184.968696803</v>
      </c>
      <c r="AB57" s="1446">
        <f t="shared" si="34"/>
        <v>13824706.88717912</v>
      </c>
      <c r="AC57" s="1446">
        <f t="shared" si="34"/>
        <v>13824706.88717912</v>
      </c>
      <c r="AD57" s="1446">
        <f t="shared" si="34"/>
        <v>12919706.887179118</v>
      </c>
      <c r="AE57" s="1446">
        <f t="shared" si="34"/>
        <v>9569640</v>
      </c>
      <c r="AF57" s="1446">
        <f t="shared" si="34"/>
        <v>9569640</v>
      </c>
      <c r="AG57" s="1446">
        <f t="shared" si="34"/>
        <v>9569640</v>
      </c>
      <c r="AH57" s="1447">
        <f>SUM(AH58:AH72)</f>
        <v>144465225.63023415</v>
      </c>
      <c r="AI57" s="1565">
        <f t="shared" si="34"/>
        <v>12054</v>
      </c>
      <c r="AJ57" s="1446">
        <f t="shared" si="34"/>
        <v>9569640</v>
      </c>
      <c r="AK57" s="1446"/>
      <c r="AL57" s="1565"/>
    </row>
    <row r="58" spans="1:38" s="1390" customFormat="1" ht="37" customHeight="1" x14ac:dyDescent="0.2">
      <c r="A58" s="1710" t="str">
        <f t="shared" si="12"/>
        <v>02.04.01.03</v>
      </c>
      <c r="B58" s="1426">
        <v>1</v>
      </c>
      <c r="C58" s="1429" t="s">
        <v>4688</v>
      </c>
      <c r="D58" s="1455" t="s">
        <v>140</v>
      </c>
      <c r="E58" s="1517" t="s">
        <v>39</v>
      </c>
      <c r="F58" s="1455" t="s">
        <v>52</v>
      </c>
      <c r="G58" s="1501"/>
      <c r="H58" s="1455" t="s">
        <v>52</v>
      </c>
      <c r="I58" s="1501" t="s">
        <v>141</v>
      </c>
      <c r="J58" s="1414"/>
      <c r="K58" s="1653"/>
      <c r="L58" s="1455"/>
      <c r="M58" s="1414"/>
      <c r="N58" s="1414"/>
      <c r="O58" s="1501" t="s">
        <v>12</v>
      </c>
      <c r="P58" s="1539">
        <v>840000</v>
      </c>
      <c r="Q58" s="1598" t="s">
        <v>43</v>
      </c>
      <c r="V58" s="1477" t="str">
        <f t="shared" ref="V58:V72" si="35">LEFT(C58,8)</f>
        <v>02.04.01</v>
      </c>
      <c r="W58" s="1478" t="str">
        <f t="shared" ref="W58:W72" si="36">VLOOKUP(V58,UE,3)</f>
        <v>Alat Bengkel Bermesin</v>
      </c>
      <c r="X58" s="1478">
        <f t="shared" ref="X58:X72" si="37">VLOOKUP(V58,UE,4,FALSE)</f>
        <v>10</v>
      </c>
      <c r="Y58" s="1401">
        <f t="shared" ref="Y58:Y72" si="38">P58/X58</f>
        <v>84000</v>
      </c>
      <c r="Z58" s="1444">
        <f t="shared" ref="Z58:Z72" si="39">IF(2013-I58+1&gt;X58,X58,IF(2013-I58+1&lt;0,0,(2013-I58+1)))</f>
        <v>10</v>
      </c>
      <c r="AA58" s="1401">
        <f t="shared" ref="AA58:AA72" si="40">IF(Z58&gt;X58,P58,Y58*Z58)</f>
        <v>840000</v>
      </c>
      <c r="AB58" s="1401">
        <f t="shared" ref="AB58:AB72" si="41">IF(P58=AA58,0,Y58)</f>
        <v>0</v>
      </c>
      <c r="AC58" s="1401">
        <f t="shared" ref="AC58:AC72" si="42">IF(P58=AA58+AB58,0,Y58)</f>
        <v>0</v>
      </c>
      <c r="AD58" s="1401">
        <f t="shared" ref="AD58:AD72" si="43">IF(P58=AA58+AB58+AC58,0,Y58)</f>
        <v>0</v>
      </c>
      <c r="AE58" s="1479">
        <f t="shared" ref="AE58:AE72" si="44">IF(P58=AA58+AB58+AC58+AD58,0,Y58)</f>
        <v>0</v>
      </c>
      <c r="AF58" s="1479">
        <f t="shared" ref="AF58:AF72" si="45">IF(P58=AA58+AB58+AC58+AD58+AE58,0,Y58)</f>
        <v>0</v>
      </c>
      <c r="AG58" s="1479">
        <f>IF(P58=AA58+AB58+AC58+AD58+AE58+AF58,0,Y58)</f>
        <v>0</v>
      </c>
      <c r="AH58" s="1479">
        <f>SUM(AA58:AG58)</f>
        <v>840000</v>
      </c>
      <c r="AI58" s="1645" t="str">
        <f t="shared" ref="AI58:AI72" si="46">I58</f>
        <v>1986</v>
      </c>
      <c r="AJ58" s="1401">
        <f t="shared" ref="AJ58:AJ72" si="47">P58-AH58</f>
        <v>0</v>
      </c>
      <c r="AK58" s="1401"/>
    </row>
    <row r="59" spans="1:38" s="1390" customFormat="1" ht="37" customHeight="1" x14ac:dyDescent="0.2">
      <c r="A59" s="1710" t="str">
        <f t="shared" si="12"/>
        <v>02.04.02.02</v>
      </c>
      <c r="B59" s="1426">
        <v>2</v>
      </c>
      <c r="C59" s="1429" t="s">
        <v>4735</v>
      </c>
      <c r="D59" s="1455" t="s">
        <v>142</v>
      </c>
      <c r="E59" s="1517" t="s">
        <v>39</v>
      </c>
      <c r="F59" s="1455" t="s">
        <v>52</v>
      </c>
      <c r="G59" s="1501"/>
      <c r="H59" s="1455" t="s">
        <v>52</v>
      </c>
      <c r="I59" s="1501" t="s">
        <v>141</v>
      </c>
      <c r="J59" s="1414"/>
      <c r="K59" s="1653"/>
      <c r="L59" s="1455"/>
      <c r="M59" s="1414"/>
      <c r="N59" s="1414"/>
      <c r="O59" s="1501" t="s">
        <v>12</v>
      </c>
      <c r="P59" s="1539">
        <v>2250000</v>
      </c>
      <c r="Q59" s="1598" t="s">
        <v>43</v>
      </c>
      <c r="V59" s="1477" t="str">
        <f t="shared" si="35"/>
        <v>02.04.02</v>
      </c>
      <c r="W59" s="1478" t="str">
        <f t="shared" si="36"/>
        <v>Alat Bengkel Tak Bermesin</v>
      </c>
      <c r="X59" s="1478">
        <f t="shared" si="37"/>
        <v>5</v>
      </c>
      <c r="Y59" s="1401">
        <f t="shared" si="38"/>
        <v>450000</v>
      </c>
      <c r="Z59" s="1444">
        <f t="shared" si="39"/>
        <v>5</v>
      </c>
      <c r="AA59" s="1401">
        <f t="shared" si="40"/>
        <v>2250000</v>
      </c>
      <c r="AB59" s="1401">
        <f t="shared" si="41"/>
        <v>0</v>
      </c>
      <c r="AC59" s="1401">
        <f t="shared" si="42"/>
        <v>0</v>
      </c>
      <c r="AD59" s="1401">
        <f t="shared" si="43"/>
        <v>0</v>
      </c>
      <c r="AE59" s="1479">
        <f t="shared" si="44"/>
        <v>0</v>
      </c>
      <c r="AF59" s="1479">
        <f t="shared" si="45"/>
        <v>0</v>
      </c>
      <c r="AG59" s="1479">
        <f t="shared" ref="AG59:AG72" si="48">IF(P59=AA59+AB59+AC59+AD59+AE59+AF59,0,Y59)</f>
        <v>0</v>
      </c>
      <c r="AH59" s="1479">
        <f t="shared" ref="AH59:AH72" si="49">SUM(AA59:AG59)</f>
        <v>2250000</v>
      </c>
      <c r="AI59" s="1645" t="str">
        <f t="shared" si="46"/>
        <v>1986</v>
      </c>
      <c r="AJ59" s="1401">
        <f t="shared" si="47"/>
        <v>0</v>
      </c>
      <c r="AK59" s="1401"/>
    </row>
    <row r="60" spans="1:38" s="1390" customFormat="1" ht="37" customHeight="1" x14ac:dyDescent="0.2">
      <c r="A60" s="1710" t="str">
        <f t="shared" si="12"/>
        <v>02.04.02.02</v>
      </c>
      <c r="B60" s="1426">
        <v>3</v>
      </c>
      <c r="C60" s="1429" t="s">
        <v>4735</v>
      </c>
      <c r="D60" s="1455" t="s">
        <v>144</v>
      </c>
      <c r="E60" s="1517" t="s">
        <v>39</v>
      </c>
      <c r="F60" s="1455" t="s">
        <v>52</v>
      </c>
      <c r="G60" s="1501"/>
      <c r="H60" s="1455" t="s">
        <v>52</v>
      </c>
      <c r="I60" s="1501" t="s">
        <v>141</v>
      </c>
      <c r="J60" s="1414"/>
      <c r="K60" s="1653"/>
      <c r="L60" s="1455"/>
      <c r="M60" s="1414"/>
      <c r="N60" s="1414"/>
      <c r="O60" s="1501" t="s">
        <v>12</v>
      </c>
      <c r="P60" s="1539">
        <v>3500000</v>
      </c>
      <c r="Q60" s="1598" t="s">
        <v>43</v>
      </c>
      <c r="V60" s="1477" t="str">
        <f t="shared" si="35"/>
        <v>02.04.02</v>
      </c>
      <c r="W60" s="1478" t="str">
        <f t="shared" si="36"/>
        <v>Alat Bengkel Tak Bermesin</v>
      </c>
      <c r="X60" s="1478">
        <f t="shared" si="37"/>
        <v>5</v>
      </c>
      <c r="Y60" s="1401">
        <f t="shared" si="38"/>
        <v>700000</v>
      </c>
      <c r="Z60" s="1444">
        <f t="shared" si="39"/>
        <v>5</v>
      </c>
      <c r="AA60" s="1401">
        <f t="shared" si="40"/>
        <v>3500000</v>
      </c>
      <c r="AB60" s="1401">
        <f t="shared" si="41"/>
        <v>0</v>
      </c>
      <c r="AC60" s="1401">
        <f t="shared" si="42"/>
        <v>0</v>
      </c>
      <c r="AD60" s="1401">
        <f t="shared" si="43"/>
        <v>0</v>
      </c>
      <c r="AE60" s="1479">
        <f t="shared" si="44"/>
        <v>0</v>
      </c>
      <c r="AF60" s="1479">
        <f t="shared" si="45"/>
        <v>0</v>
      </c>
      <c r="AG60" s="1479">
        <f t="shared" si="48"/>
        <v>0</v>
      </c>
      <c r="AH60" s="1479">
        <f t="shared" si="49"/>
        <v>3500000</v>
      </c>
      <c r="AI60" s="1645" t="str">
        <f t="shared" si="46"/>
        <v>1986</v>
      </c>
      <c r="AJ60" s="1401">
        <f t="shared" si="47"/>
        <v>0</v>
      </c>
      <c r="AK60" s="1401"/>
    </row>
    <row r="61" spans="1:38" s="1390" customFormat="1" ht="37" customHeight="1" x14ac:dyDescent="0.2">
      <c r="A61" s="1710" t="str">
        <f t="shared" si="12"/>
        <v>02.04.02.02</v>
      </c>
      <c r="B61" s="1426">
        <v>4</v>
      </c>
      <c r="C61" s="1429" t="s">
        <v>4735</v>
      </c>
      <c r="D61" s="1455" t="s">
        <v>142</v>
      </c>
      <c r="E61" s="1517" t="s">
        <v>68</v>
      </c>
      <c r="F61" s="1455" t="s">
        <v>52</v>
      </c>
      <c r="G61" s="1501"/>
      <c r="H61" s="1455" t="s">
        <v>52</v>
      </c>
      <c r="I61" s="1501" t="s">
        <v>145</v>
      </c>
      <c r="J61" s="1414"/>
      <c r="K61" s="1653"/>
      <c r="L61" s="1455"/>
      <c r="M61" s="1414"/>
      <c r="N61" s="1414"/>
      <c r="O61" s="1501" t="s">
        <v>12</v>
      </c>
      <c r="P61" s="1539">
        <v>1750000</v>
      </c>
      <c r="Q61" s="1598" t="s">
        <v>43</v>
      </c>
      <c r="V61" s="1477" t="str">
        <f t="shared" si="35"/>
        <v>02.04.02</v>
      </c>
      <c r="W61" s="1478" t="str">
        <f t="shared" si="36"/>
        <v>Alat Bengkel Tak Bermesin</v>
      </c>
      <c r="X61" s="1478">
        <f t="shared" si="37"/>
        <v>5</v>
      </c>
      <c r="Y61" s="1401">
        <f t="shared" si="38"/>
        <v>350000</v>
      </c>
      <c r="Z61" s="1444">
        <f t="shared" si="39"/>
        <v>5</v>
      </c>
      <c r="AA61" s="1401">
        <f t="shared" si="40"/>
        <v>1750000</v>
      </c>
      <c r="AB61" s="1401">
        <f t="shared" si="41"/>
        <v>0</v>
      </c>
      <c r="AC61" s="1401">
        <f t="shared" si="42"/>
        <v>0</v>
      </c>
      <c r="AD61" s="1401">
        <f t="shared" si="43"/>
        <v>0</v>
      </c>
      <c r="AE61" s="1479">
        <f t="shared" si="44"/>
        <v>0</v>
      </c>
      <c r="AF61" s="1479">
        <f t="shared" si="45"/>
        <v>0</v>
      </c>
      <c r="AG61" s="1479">
        <f t="shared" si="48"/>
        <v>0</v>
      </c>
      <c r="AH61" s="1479">
        <f t="shared" si="49"/>
        <v>1750000</v>
      </c>
      <c r="AI61" s="1645" t="str">
        <f t="shared" si="46"/>
        <v>1990</v>
      </c>
      <c r="AJ61" s="1401">
        <f t="shared" si="47"/>
        <v>0</v>
      </c>
      <c r="AK61" s="1401"/>
    </row>
    <row r="62" spans="1:38" s="1390" customFormat="1" ht="37" customHeight="1" x14ac:dyDescent="0.2">
      <c r="A62" s="1710" t="str">
        <f t="shared" si="12"/>
        <v>02.04.02.02</v>
      </c>
      <c r="B62" s="1426">
        <v>5</v>
      </c>
      <c r="C62" s="1429" t="s">
        <v>4735</v>
      </c>
      <c r="D62" s="1455" t="s">
        <v>144</v>
      </c>
      <c r="E62" s="1517" t="s">
        <v>68</v>
      </c>
      <c r="F62" s="1455" t="s">
        <v>52</v>
      </c>
      <c r="G62" s="1501"/>
      <c r="H62" s="1455" t="s">
        <v>52</v>
      </c>
      <c r="I62" s="1501" t="s">
        <v>48</v>
      </c>
      <c r="J62" s="1414"/>
      <c r="K62" s="1653"/>
      <c r="L62" s="1455"/>
      <c r="M62" s="1414"/>
      <c r="N62" s="1414"/>
      <c r="O62" s="1501" t="s">
        <v>12</v>
      </c>
      <c r="P62" s="1539">
        <v>3500000</v>
      </c>
      <c r="Q62" s="1598" t="s">
        <v>43</v>
      </c>
      <c r="V62" s="1477" t="str">
        <f t="shared" si="35"/>
        <v>02.04.02</v>
      </c>
      <c r="W62" s="1478" t="str">
        <f t="shared" si="36"/>
        <v>Alat Bengkel Tak Bermesin</v>
      </c>
      <c r="X62" s="1478">
        <f t="shared" si="37"/>
        <v>5</v>
      </c>
      <c r="Y62" s="1401">
        <f t="shared" si="38"/>
        <v>700000</v>
      </c>
      <c r="Z62" s="1444">
        <f t="shared" si="39"/>
        <v>5</v>
      </c>
      <c r="AA62" s="1401">
        <f t="shared" si="40"/>
        <v>3500000</v>
      </c>
      <c r="AB62" s="1401">
        <f t="shared" si="41"/>
        <v>0</v>
      </c>
      <c r="AC62" s="1401">
        <f t="shared" si="42"/>
        <v>0</v>
      </c>
      <c r="AD62" s="1401">
        <f t="shared" si="43"/>
        <v>0</v>
      </c>
      <c r="AE62" s="1479">
        <f t="shared" si="44"/>
        <v>0</v>
      </c>
      <c r="AF62" s="1479">
        <f t="shared" si="45"/>
        <v>0</v>
      </c>
      <c r="AG62" s="1479">
        <f t="shared" si="48"/>
        <v>0</v>
      </c>
      <c r="AH62" s="1479">
        <f t="shared" si="49"/>
        <v>3500000</v>
      </c>
      <c r="AI62" s="1645" t="str">
        <f t="shared" si="46"/>
        <v>2000</v>
      </c>
      <c r="AJ62" s="1401">
        <f t="shared" si="47"/>
        <v>0</v>
      </c>
      <c r="AK62" s="1401"/>
    </row>
    <row r="63" spans="1:38" s="1390" customFormat="1" ht="37" customHeight="1" x14ac:dyDescent="0.2">
      <c r="A63" s="1710" t="str">
        <f t="shared" si="12"/>
        <v>02.04.01.02</v>
      </c>
      <c r="B63" s="1426">
        <v>6</v>
      </c>
      <c r="C63" s="1429" t="s">
        <v>4689</v>
      </c>
      <c r="D63" s="1455" t="s">
        <v>147</v>
      </c>
      <c r="E63" s="1517" t="s">
        <v>39</v>
      </c>
      <c r="F63" s="1455" t="s">
        <v>52</v>
      </c>
      <c r="G63" s="1501"/>
      <c r="H63" s="1455" t="s">
        <v>52</v>
      </c>
      <c r="I63" s="1501" t="s">
        <v>108</v>
      </c>
      <c r="J63" s="1414"/>
      <c r="K63" s="1653"/>
      <c r="L63" s="1455"/>
      <c r="M63" s="1414"/>
      <c r="N63" s="1414"/>
      <c r="O63" s="1501" t="s">
        <v>12</v>
      </c>
      <c r="P63" s="1539">
        <v>4500000</v>
      </c>
      <c r="Q63" s="1598" t="s">
        <v>43</v>
      </c>
      <c r="V63" s="1477" t="str">
        <f t="shared" si="35"/>
        <v>02.04.01</v>
      </c>
      <c r="W63" s="1478" t="str">
        <f t="shared" si="36"/>
        <v>Alat Bengkel Bermesin</v>
      </c>
      <c r="X63" s="1478">
        <f t="shared" si="37"/>
        <v>10</v>
      </c>
      <c r="Y63" s="1401">
        <f t="shared" si="38"/>
        <v>450000</v>
      </c>
      <c r="Z63" s="1444">
        <f t="shared" si="39"/>
        <v>8</v>
      </c>
      <c r="AA63" s="1401">
        <f t="shared" si="40"/>
        <v>3600000</v>
      </c>
      <c r="AB63" s="1401">
        <f t="shared" si="41"/>
        <v>450000</v>
      </c>
      <c r="AC63" s="1401">
        <f t="shared" si="42"/>
        <v>450000</v>
      </c>
      <c r="AD63" s="1401">
        <f t="shared" si="43"/>
        <v>0</v>
      </c>
      <c r="AE63" s="1479">
        <f t="shared" si="44"/>
        <v>0</v>
      </c>
      <c r="AF63" s="1479">
        <f t="shared" si="45"/>
        <v>0</v>
      </c>
      <c r="AG63" s="1479">
        <f t="shared" si="48"/>
        <v>0</v>
      </c>
      <c r="AH63" s="1479">
        <f t="shared" si="49"/>
        <v>4500000</v>
      </c>
      <c r="AI63" s="1645" t="str">
        <f t="shared" si="46"/>
        <v>2006</v>
      </c>
      <c r="AJ63" s="1401">
        <f t="shared" si="47"/>
        <v>0</v>
      </c>
      <c r="AK63" s="1401"/>
    </row>
    <row r="64" spans="1:38" s="1390" customFormat="1" ht="37" customHeight="1" x14ac:dyDescent="0.2">
      <c r="A64" s="1710" t="str">
        <f t="shared" si="12"/>
        <v>02.04.01.02</v>
      </c>
      <c r="B64" s="1426">
        <v>7</v>
      </c>
      <c r="C64" s="1429" t="s">
        <v>4689</v>
      </c>
      <c r="D64" s="1455" t="s">
        <v>149</v>
      </c>
      <c r="E64" s="1517" t="s">
        <v>39</v>
      </c>
      <c r="F64" s="1455" t="s">
        <v>52</v>
      </c>
      <c r="G64" s="1501"/>
      <c r="H64" s="1455" t="s">
        <v>52</v>
      </c>
      <c r="I64" s="1501" t="s">
        <v>108</v>
      </c>
      <c r="J64" s="1414"/>
      <c r="K64" s="1653"/>
      <c r="L64" s="1455"/>
      <c r="M64" s="1414"/>
      <c r="N64" s="1414"/>
      <c r="O64" s="1501" t="s">
        <v>12</v>
      </c>
      <c r="P64" s="1539">
        <v>3750000</v>
      </c>
      <c r="Q64" s="1598" t="s">
        <v>43</v>
      </c>
      <c r="V64" s="1477" t="str">
        <f t="shared" si="35"/>
        <v>02.04.01</v>
      </c>
      <c r="W64" s="1478" t="str">
        <f t="shared" si="36"/>
        <v>Alat Bengkel Bermesin</v>
      </c>
      <c r="X64" s="1478">
        <f t="shared" si="37"/>
        <v>10</v>
      </c>
      <c r="Y64" s="1401">
        <f t="shared" si="38"/>
        <v>375000</v>
      </c>
      <c r="Z64" s="1444">
        <f t="shared" si="39"/>
        <v>8</v>
      </c>
      <c r="AA64" s="1401">
        <f t="shared" si="40"/>
        <v>3000000</v>
      </c>
      <c r="AB64" s="1401">
        <f t="shared" si="41"/>
        <v>375000</v>
      </c>
      <c r="AC64" s="1401">
        <f t="shared" si="42"/>
        <v>375000</v>
      </c>
      <c r="AD64" s="1401">
        <f t="shared" si="43"/>
        <v>0</v>
      </c>
      <c r="AE64" s="1479">
        <f t="shared" si="44"/>
        <v>0</v>
      </c>
      <c r="AF64" s="1479">
        <f t="shared" si="45"/>
        <v>0</v>
      </c>
      <c r="AG64" s="1479">
        <f t="shared" si="48"/>
        <v>0</v>
      </c>
      <c r="AH64" s="1479">
        <f t="shared" si="49"/>
        <v>3750000</v>
      </c>
      <c r="AI64" s="1645" t="str">
        <f t="shared" si="46"/>
        <v>2006</v>
      </c>
      <c r="AJ64" s="1401">
        <f t="shared" si="47"/>
        <v>0</v>
      </c>
      <c r="AK64" s="1401"/>
    </row>
    <row r="65" spans="1:37" s="1390" customFormat="1" ht="37" customHeight="1" x14ac:dyDescent="0.2">
      <c r="A65" s="1710" t="str">
        <f t="shared" si="12"/>
        <v>02.04.02.04</v>
      </c>
      <c r="B65" s="1426">
        <v>8</v>
      </c>
      <c r="C65" s="1429" t="s">
        <v>4690</v>
      </c>
      <c r="D65" s="1455" t="s">
        <v>151</v>
      </c>
      <c r="E65" s="1517" t="s">
        <v>39</v>
      </c>
      <c r="F65" s="1455" t="s">
        <v>52</v>
      </c>
      <c r="G65" s="1501"/>
      <c r="H65" s="1455" t="s">
        <v>52</v>
      </c>
      <c r="I65" s="1501" t="s">
        <v>108</v>
      </c>
      <c r="J65" s="1414"/>
      <c r="K65" s="1653"/>
      <c r="L65" s="1455"/>
      <c r="M65" s="1414"/>
      <c r="N65" s="1414"/>
      <c r="O65" s="1501" t="s">
        <v>12</v>
      </c>
      <c r="P65" s="1539">
        <v>1800000</v>
      </c>
      <c r="Q65" s="1598" t="s">
        <v>43</v>
      </c>
      <c r="V65" s="1477" t="str">
        <f t="shared" si="35"/>
        <v>02.04.02</v>
      </c>
      <c r="W65" s="1478" t="str">
        <f t="shared" si="36"/>
        <v>Alat Bengkel Tak Bermesin</v>
      </c>
      <c r="X65" s="1478">
        <f t="shared" si="37"/>
        <v>5</v>
      </c>
      <c r="Y65" s="1401">
        <f t="shared" si="38"/>
        <v>360000</v>
      </c>
      <c r="Z65" s="1444">
        <f t="shared" si="39"/>
        <v>5</v>
      </c>
      <c r="AA65" s="1401">
        <f t="shared" si="40"/>
        <v>1800000</v>
      </c>
      <c r="AB65" s="1401">
        <f t="shared" si="41"/>
        <v>0</v>
      </c>
      <c r="AC65" s="1401">
        <f t="shared" si="42"/>
        <v>0</v>
      </c>
      <c r="AD65" s="1401">
        <f t="shared" si="43"/>
        <v>0</v>
      </c>
      <c r="AE65" s="1479">
        <f t="shared" si="44"/>
        <v>0</v>
      </c>
      <c r="AF65" s="1479">
        <f t="shared" si="45"/>
        <v>0</v>
      </c>
      <c r="AG65" s="1479">
        <f t="shared" si="48"/>
        <v>0</v>
      </c>
      <c r="AH65" s="1479">
        <f t="shared" si="49"/>
        <v>1800000</v>
      </c>
      <c r="AI65" s="1645" t="str">
        <f t="shared" si="46"/>
        <v>2006</v>
      </c>
      <c r="AJ65" s="1401">
        <f t="shared" si="47"/>
        <v>0</v>
      </c>
      <c r="AK65" s="1401"/>
    </row>
    <row r="66" spans="1:37" s="1390" customFormat="1" ht="37" customHeight="1" x14ac:dyDescent="0.2">
      <c r="A66" s="1710" t="str">
        <f t="shared" si="12"/>
        <v>02.04.01.04</v>
      </c>
      <c r="B66" s="1426">
        <v>9</v>
      </c>
      <c r="C66" s="1429" t="s">
        <v>4685</v>
      </c>
      <c r="D66" s="1455" t="s">
        <v>152</v>
      </c>
      <c r="E66" s="1517" t="s">
        <v>39</v>
      </c>
      <c r="F66" s="1455" t="s">
        <v>52</v>
      </c>
      <c r="G66" s="1501"/>
      <c r="H66" s="1455" t="s">
        <v>52</v>
      </c>
      <c r="I66" s="1501" t="s">
        <v>108</v>
      </c>
      <c r="J66" s="1414"/>
      <c r="K66" s="1653"/>
      <c r="L66" s="1455"/>
      <c r="M66" s="1414"/>
      <c r="N66" s="1414"/>
      <c r="O66" s="1501" t="s">
        <v>12</v>
      </c>
      <c r="P66" s="1539">
        <v>800000</v>
      </c>
      <c r="Q66" s="1598" t="s">
        <v>43</v>
      </c>
      <c r="V66" s="1477" t="str">
        <f t="shared" si="35"/>
        <v>02.04.01</v>
      </c>
      <c r="W66" s="1478" t="str">
        <f t="shared" si="36"/>
        <v>Alat Bengkel Bermesin</v>
      </c>
      <c r="X66" s="1478">
        <f t="shared" si="37"/>
        <v>10</v>
      </c>
      <c r="Y66" s="1401">
        <f t="shared" si="38"/>
        <v>80000</v>
      </c>
      <c r="Z66" s="1444">
        <f t="shared" si="39"/>
        <v>8</v>
      </c>
      <c r="AA66" s="1401">
        <f t="shared" si="40"/>
        <v>640000</v>
      </c>
      <c r="AB66" s="1401">
        <f t="shared" si="41"/>
        <v>80000</v>
      </c>
      <c r="AC66" s="1401">
        <f t="shared" si="42"/>
        <v>80000</v>
      </c>
      <c r="AD66" s="1401">
        <f t="shared" si="43"/>
        <v>0</v>
      </c>
      <c r="AE66" s="1479">
        <f t="shared" si="44"/>
        <v>0</v>
      </c>
      <c r="AF66" s="1479">
        <f t="shared" si="45"/>
        <v>0</v>
      </c>
      <c r="AG66" s="1479">
        <f t="shared" si="48"/>
        <v>0</v>
      </c>
      <c r="AH66" s="1479">
        <f t="shared" si="49"/>
        <v>800000</v>
      </c>
      <c r="AI66" s="1645" t="str">
        <f t="shared" si="46"/>
        <v>2006</v>
      </c>
      <c r="AJ66" s="1401">
        <f t="shared" si="47"/>
        <v>0</v>
      </c>
      <c r="AK66" s="1401"/>
    </row>
    <row r="67" spans="1:37" s="1390" customFormat="1" ht="37" customHeight="1" x14ac:dyDescent="0.2">
      <c r="A67" s="1710" t="str">
        <f t="shared" si="12"/>
        <v>02.04.01.02</v>
      </c>
      <c r="B67" s="1426">
        <v>10</v>
      </c>
      <c r="C67" s="1429" t="s">
        <v>4689</v>
      </c>
      <c r="D67" s="1455" t="s">
        <v>929</v>
      </c>
      <c r="E67" s="1501"/>
      <c r="F67" s="1455" t="s">
        <v>993</v>
      </c>
      <c r="G67" s="1501"/>
      <c r="H67" s="1455" t="s">
        <v>191</v>
      </c>
      <c r="I67" s="1501">
        <v>2007</v>
      </c>
      <c r="J67" s="1414"/>
      <c r="K67" s="1653"/>
      <c r="L67" s="1455"/>
      <c r="M67" s="1414"/>
      <c r="N67" s="1414"/>
      <c r="O67" s="1501" t="s">
        <v>12</v>
      </c>
      <c r="P67" s="1539">
        <v>14945584.59768462</v>
      </c>
      <c r="Q67" s="1598" t="s">
        <v>43</v>
      </c>
      <c r="V67" s="1477" t="str">
        <f t="shared" si="35"/>
        <v>02.04.01</v>
      </c>
      <c r="W67" s="1478" t="str">
        <f t="shared" si="36"/>
        <v>Alat Bengkel Bermesin</v>
      </c>
      <c r="X67" s="1478">
        <f t="shared" si="37"/>
        <v>10</v>
      </c>
      <c r="Y67" s="1401">
        <f t="shared" si="38"/>
        <v>1494558.459768462</v>
      </c>
      <c r="Z67" s="1444">
        <f t="shared" si="39"/>
        <v>7</v>
      </c>
      <c r="AA67" s="1401">
        <f t="shared" si="40"/>
        <v>10461909.218379233</v>
      </c>
      <c r="AB67" s="1401">
        <f t="shared" si="41"/>
        <v>1494558.459768462</v>
      </c>
      <c r="AC67" s="1401">
        <f t="shared" si="42"/>
        <v>1494558.459768462</v>
      </c>
      <c r="AD67" s="1401">
        <f t="shared" si="43"/>
        <v>1494558.459768462</v>
      </c>
      <c r="AE67" s="1479">
        <f t="shared" si="44"/>
        <v>0</v>
      </c>
      <c r="AF67" s="1479">
        <f t="shared" si="45"/>
        <v>0</v>
      </c>
      <c r="AG67" s="1479">
        <f t="shared" si="48"/>
        <v>0</v>
      </c>
      <c r="AH67" s="1479">
        <f t="shared" si="49"/>
        <v>14945584.597684622</v>
      </c>
      <c r="AI67" s="1645">
        <f t="shared" si="46"/>
        <v>2007</v>
      </c>
      <c r="AJ67" s="1401">
        <f t="shared" si="47"/>
        <v>0</v>
      </c>
      <c r="AK67" s="1401"/>
    </row>
    <row r="68" spans="1:37" s="1390" customFormat="1" ht="37" customHeight="1" x14ac:dyDescent="0.2">
      <c r="A68" s="1710" t="str">
        <f t="shared" si="12"/>
        <v>02.04.01.01</v>
      </c>
      <c r="B68" s="1426">
        <v>11</v>
      </c>
      <c r="C68" s="1429" t="s">
        <v>4691</v>
      </c>
      <c r="D68" s="1455" t="s">
        <v>930</v>
      </c>
      <c r="E68" s="1501"/>
      <c r="F68" s="1455" t="s">
        <v>52</v>
      </c>
      <c r="G68" s="1501"/>
      <c r="H68" s="1455" t="s">
        <v>191</v>
      </c>
      <c r="I68" s="1501">
        <v>2007</v>
      </c>
      <c r="J68" s="1414"/>
      <c r="K68" s="1653"/>
      <c r="L68" s="1455"/>
      <c r="M68" s="1414"/>
      <c r="N68" s="1414"/>
      <c r="O68" s="1501" t="s">
        <v>12</v>
      </c>
      <c r="P68" s="1539">
        <v>18555084.274106566</v>
      </c>
      <c r="Q68" s="1598" t="s">
        <v>43</v>
      </c>
      <c r="V68" s="1477" t="str">
        <f t="shared" si="35"/>
        <v>02.04.01</v>
      </c>
      <c r="W68" s="1478" t="str">
        <f t="shared" si="36"/>
        <v>Alat Bengkel Bermesin</v>
      </c>
      <c r="X68" s="1478">
        <f t="shared" si="37"/>
        <v>10</v>
      </c>
      <c r="Y68" s="1401">
        <f t="shared" si="38"/>
        <v>1855508.4274106566</v>
      </c>
      <c r="Z68" s="1444">
        <f t="shared" si="39"/>
        <v>7</v>
      </c>
      <c r="AA68" s="1401">
        <f t="shared" si="40"/>
        <v>12988558.991874596</v>
      </c>
      <c r="AB68" s="1401">
        <f t="shared" si="41"/>
        <v>1855508.4274106566</v>
      </c>
      <c r="AC68" s="1401">
        <f t="shared" si="42"/>
        <v>1855508.4274106566</v>
      </c>
      <c r="AD68" s="1401">
        <f t="shared" si="43"/>
        <v>1855508.4274106566</v>
      </c>
      <c r="AE68" s="1479">
        <f t="shared" si="44"/>
        <v>0</v>
      </c>
      <c r="AF68" s="1479">
        <f t="shared" si="45"/>
        <v>0</v>
      </c>
      <c r="AG68" s="1479">
        <f t="shared" si="48"/>
        <v>0</v>
      </c>
      <c r="AH68" s="1479">
        <f t="shared" si="49"/>
        <v>18555084.274106566</v>
      </c>
      <c r="AI68" s="1645">
        <f t="shared" si="46"/>
        <v>2007</v>
      </c>
      <c r="AJ68" s="1401">
        <f t="shared" si="47"/>
        <v>0</v>
      </c>
      <c r="AK68" s="1401"/>
    </row>
    <row r="69" spans="1:37" s="1390" customFormat="1" ht="37" customHeight="1" x14ac:dyDescent="0.2">
      <c r="A69" s="1710" t="str">
        <f t="shared" si="12"/>
        <v>02.04.02.04</v>
      </c>
      <c r="B69" s="1426">
        <v>12</v>
      </c>
      <c r="C69" s="1429" t="s">
        <v>4690</v>
      </c>
      <c r="D69" s="1455" t="s">
        <v>931</v>
      </c>
      <c r="E69" s="1501"/>
      <c r="F69" s="1455" t="s">
        <v>52</v>
      </c>
      <c r="G69" s="1501"/>
      <c r="H69" s="1455" t="s">
        <v>191</v>
      </c>
      <c r="I69" s="1501">
        <v>2007</v>
      </c>
      <c r="J69" s="1414"/>
      <c r="K69" s="1653"/>
      <c r="L69" s="1455"/>
      <c r="M69" s="1414"/>
      <c r="N69" s="1414"/>
      <c r="O69" s="1501" t="s">
        <v>12</v>
      </c>
      <c r="P69" s="1539">
        <v>2147796.7584429677</v>
      </c>
      <c r="Q69" s="1598" t="s">
        <v>43</v>
      </c>
      <c r="V69" s="1477" t="str">
        <f t="shared" si="35"/>
        <v>02.04.02</v>
      </c>
      <c r="W69" s="1478" t="str">
        <f t="shared" si="36"/>
        <v>Alat Bengkel Tak Bermesin</v>
      </c>
      <c r="X69" s="1478">
        <f t="shared" si="37"/>
        <v>5</v>
      </c>
      <c r="Y69" s="1401">
        <f t="shared" si="38"/>
        <v>429559.35168859351</v>
      </c>
      <c r="Z69" s="1444">
        <f t="shared" si="39"/>
        <v>5</v>
      </c>
      <c r="AA69" s="1401">
        <f t="shared" si="40"/>
        <v>2147796.7584429677</v>
      </c>
      <c r="AB69" s="1401">
        <f t="shared" si="41"/>
        <v>0</v>
      </c>
      <c r="AC69" s="1401">
        <f t="shared" si="42"/>
        <v>0</v>
      </c>
      <c r="AD69" s="1401">
        <f t="shared" si="43"/>
        <v>0</v>
      </c>
      <c r="AE69" s="1479">
        <f t="shared" si="44"/>
        <v>0</v>
      </c>
      <c r="AF69" s="1479">
        <f t="shared" si="45"/>
        <v>0</v>
      </c>
      <c r="AG69" s="1479">
        <f t="shared" si="48"/>
        <v>0</v>
      </c>
      <c r="AH69" s="1479">
        <f t="shared" si="49"/>
        <v>2147796.7584429677</v>
      </c>
      <c r="AI69" s="1645">
        <f t="shared" si="46"/>
        <v>2007</v>
      </c>
      <c r="AJ69" s="1401">
        <f t="shared" si="47"/>
        <v>0</v>
      </c>
      <c r="AK69" s="1401"/>
    </row>
    <row r="70" spans="1:37" s="1390" customFormat="1" ht="37" customHeight="1" x14ac:dyDescent="0.2">
      <c r="A70" s="1710" t="str">
        <f t="shared" si="12"/>
        <v>02.04.01.04</v>
      </c>
      <c r="B70" s="1426">
        <v>13</v>
      </c>
      <c r="C70" s="1429" t="s">
        <v>4685</v>
      </c>
      <c r="D70" s="1455" t="s">
        <v>932</v>
      </c>
      <c r="E70" s="1416"/>
      <c r="F70" s="1455" t="s">
        <v>994</v>
      </c>
      <c r="G70" s="1501" t="s">
        <v>159</v>
      </c>
      <c r="H70" s="1455" t="s">
        <v>119</v>
      </c>
      <c r="I70" s="1501">
        <v>2011</v>
      </c>
      <c r="J70" s="1414"/>
      <c r="K70" s="1653"/>
      <c r="L70" s="1455" t="s">
        <v>160</v>
      </c>
      <c r="M70" s="1414"/>
      <c r="N70" s="1414"/>
      <c r="O70" s="1501" t="s">
        <v>12</v>
      </c>
      <c r="P70" s="1539">
        <v>25156723.419203747</v>
      </c>
      <c r="Q70" s="1598" t="s">
        <v>43</v>
      </c>
      <c r="V70" s="1477" t="str">
        <f t="shared" si="35"/>
        <v>02.04.01</v>
      </c>
      <c r="W70" s="1478" t="str">
        <f t="shared" si="36"/>
        <v>Alat Bengkel Bermesin</v>
      </c>
      <c r="X70" s="1478">
        <f t="shared" si="37"/>
        <v>10</v>
      </c>
      <c r="Y70" s="1401">
        <f t="shared" si="38"/>
        <v>2515672.3419203749</v>
      </c>
      <c r="Z70" s="1444">
        <f t="shared" si="39"/>
        <v>3</v>
      </c>
      <c r="AA70" s="1401">
        <f t="shared" si="40"/>
        <v>7547017.0257611247</v>
      </c>
      <c r="AB70" s="1401">
        <f t="shared" si="41"/>
        <v>2515672.3419203749</v>
      </c>
      <c r="AC70" s="1401">
        <f t="shared" si="42"/>
        <v>2515672.3419203749</v>
      </c>
      <c r="AD70" s="1401">
        <f t="shared" si="43"/>
        <v>2515672.3419203749</v>
      </c>
      <c r="AE70" s="1479">
        <f t="shared" si="44"/>
        <v>2515672.3419203749</v>
      </c>
      <c r="AF70" s="1479">
        <f t="shared" si="45"/>
        <v>2515672.3419203749</v>
      </c>
      <c r="AG70" s="1479">
        <f t="shared" si="48"/>
        <v>2515672.3419203749</v>
      </c>
      <c r="AH70" s="1479">
        <f t="shared" si="49"/>
        <v>22641051.077283379</v>
      </c>
      <c r="AI70" s="1645">
        <f t="shared" si="46"/>
        <v>2011</v>
      </c>
      <c r="AJ70" s="1401">
        <f t="shared" si="47"/>
        <v>2515672.3419203684</v>
      </c>
      <c r="AK70" s="1401"/>
    </row>
    <row r="71" spans="1:37" s="1390" customFormat="1" ht="37" customHeight="1" x14ac:dyDescent="0.2">
      <c r="A71" s="1710" t="str">
        <f t="shared" si="12"/>
        <v>02.04.01.04</v>
      </c>
      <c r="B71" s="1426">
        <v>14</v>
      </c>
      <c r="C71" s="1429" t="s">
        <v>4685</v>
      </c>
      <c r="D71" s="1455" t="s">
        <v>932</v>
      </c>
      <c r="E71" s="1416"/>
      <c r="F71" s="1455" t="s">
        <v>994</v>
      </c>
      <c r="G71" s="1501" t="s">
        <v>162</v>
      </c>
      <c r="H71" s="1455" t="s">
        <v>119</v>
      </c>
      <c r="I71" s="1501">
        <v>2011</v>
      </c>
      <c r="J71" s="1414"/>
      <c r="K71" s="1653"/>
      <c r="L71" s="1455" t="s">
        <v>163</v>
      </c>
      <c r="M71" s="1414"/>
      <c r="N71" s="1414"/>
      <c r="O71" s="1501" t="s">
        <v>12</v>
      </c>
      <c r="P71" s="1539">
        <v>25156723.419203747</v>
      </c>
      <c r="Q71" s="1598" t="s">
        <v>43</v>
      </c>
      <c r="V71" s="1477" t="str">
        <f t="shared" si="35"/>
        <v>02.04.01</v>
      </c>
      <c r="W71" s="1478" t="str">
        <f t="shared" si="36"/>
        <v>Alat Bengkel Bermesin</v>
      </c>
      <c r="X71" s="1478">
        <f t="shared" si="37"/>
        <v>10</v>
      </c>
      <c r="Y71" s="1401">
        <f t="shared" si="38"/>
        <v>2515672.3419203749</v>
      </c>
      <c r="Z71" s="1444">
        <f t="shared" si="39"/>
        <v>3</v>
      </c>
      <c r="AA71" s="1401">
        <f t="shared" si="40"/>
        <v>7547017.0257611247</v>
      </c>
      <c r="AB71" s="1401">
        <f t="shared" si="41"/>
        <v>2515672.3419203749</v>
      </c>
      <c r="AC71" s="1401">
        <f t="shared" si="42"/>
        <v>2515672.3419203749</v>
      </c>
      <c r="AD71" s="1401">
        <f t="shared" si="43"/>
        <v>2515672.3419203749</v>
      </c>
      <c r="AE71" s="1479">
        <f t="shared" si="44"/>
        <v>2515672.3419203749</v>
      </c>
      <c r="AF71" s="1479">
        <f t="shared" si="45"/>
        <v>2515672.3419203749</v>
      </c>
      <c r="AG71" s="1479">
        <f t="shared" si="48"/>
        <v>2515672.3419203749</v>
      </c>
      <c r="AH71" s="1479">
        <f t="shared" si="49"/>
        <v>22641051.077283379</v>
      </c>
      <c r="AI71" s="1645">
        <f t="shared" si="46"/>
        <v>2011</v>
      </c>
      <c r="AJ71" s="1401">
        <f t="shared" si="47"/>
        <v>2515672.3419203684</v>
      </c>
      <c r="AK71" s="1401"/>
    </row>
    <row r="72" spans="1:37" s="1390" customFormat="1" ht="37" customHeight="1" x14ac:dyDescent="0.2">
      <c r="A72" s="1710" t="str">
        <f t="shared" si="12"/>
        <v>02.04.01.01</v>
      </c>
      <c r="B72" s="1426">
        <v>15</v>
      </c>
      <c r="C72" s="1429" t="s">
        <v>4692</v>
      </c>
      <c r="D72" s="1455" t="s">
        <v>933</v>
      </c>
      <c r="E72" s="1416"/>
      <c r="F72" s="1455" t="s">
        <v>994</v>
      </c>
      <c r="G72" s="1501" t="s">
        <v>165</v>
      </c>
      <c r="H72" s="1455" t="s">
        <v>119</v>
      </c>
      <c r="I72" s="1501">
        <v>2011</v>
      </c>
      <c r="J72" s="1414"/>
      <c r="K72" s="1653"/>
      <c r="L72" s="1455" t="s">
        <v>166</v>
      </c>
      <c r="M72" s="1414"/>
      <c r="N72" s="1414"/>
      <c r="O72" s="1501" t="s">
        <v>12</v>
      </c>
      <c r="P72" s="1539">
        <v>45382953.161592506</v>
      </c>
      <c r="Q72" s="1598" t="s">
        <v>43</v>
      </c>
      <c r="V72" s="1477" t="str">
        <f t="shared" si="35"/>
        <v>02.04.01</v>
      </c>
      <c r="W72" s="1478" t="str">
        <f t="shared" si="36"/>
        <v>Alat Bengkel Bermesin</v>
      </c>
      <c r="X72" s="1478">
        <f t="shared" si="37"/>
        <v>10</v>
      </c>
      <c r="Y72" s="1401">
        <f t="shared" si="38"/>
        <v>4538295.3161592502</v>
      </c>
      <c r="Z72" s="1444">
        <f t="shared" si="39"/>
        <v>3</v>
      </c>
      <c r="AA72" s="1401">
        <f t="shared" si="40"/>
        <v>13614885.948477751</v>
      </c>
      <c r="AB72" s="1401">
        <f t="shared" si="41"/>
        <v>4538295.3161592502</v>
      </c>
      <c r="AC72" s="1401">
        <f t="shared" si="42"/>
        <v>4538295.3161592502</v>
      </c>
      <c r="AD72" s="1401">
        <f t="shared" si="43"/>
        <v>4538295.3161592502</v>
      </c>
      <c r="AE72" s="1479">
        <f t="shared" si="44"/>
        <v>4538295.3161592502</v>
      </c>
      <c r="AF72" s="1479">
        <f t="shared" si="45"/>
        <v>4538295.3161592502</v>
      </c>
      <c r="AG72" s="1479">
        <f t="shared" si="48"/>
        <v>4538295.3161592502</v>
      </c>
      <c r="AH72" s="1479">
        <f t="shared" si="49"/>
        <v>40844657.845433243</v>
      </c>
      <c r="AI72" s="1645">
        <f t="shared" si="46"/>
        <v>2011</v>
      </c>
      <c r="AJ72" s="1401">
        <f t="shared" si="47"/>
        <v>4538295.3161592633</v>
      </c>
      <c r="AK72" s="1401"/>
    </row>
    <row r="73" spans="1:37" s="1390" customFormat="1" ht="37" customHeight="1" x14ac:dyDescent="0.2">
      <c r="A73" s="1710" t="str">
        <f t="shared" si="12"/>
        <v/>
      </c>
      <c r="B73" s="1426"/>
      <c r="C73" s="1414"/>
      <c r="D73" s="1414"/>
      <c r="E73" s="1416"/>
      <c r="F73" s="1414"/>
      <c r="G73" s="1414"/>
      <c r="H73" s="1414"/>
      <c r="I73" s="1416"/>
      <c r="J73" s="1414"/>
      <c r="K73" s="1414"/>
      <c r="L73" s="1414"/>
      <c r="M73" s="1414"/>
      <c r="N73" s="1414"/>
      <c r="O73" s="1416"/>
      <c r="P73" s="1529"/>
      <c r="Q73" s="1596"/>
      <c r="W73" s="1444"/>
      <c r="Y73" s="1401"/>
      <c r="AA73" s="1401"/>
      <c r="AB73" s="1401"/>
      <c r="AC73" s="1401"/>
      <c r="AD73" s="1401"/>
      <c r="AE73" s="1401"/>
      <c r="AF73" s="1401"/>
      <c r="AG73" s="1401"/>
      <c r="AH73" s="1401"/>
      <c r="AJ73" s="1401"/>
      <c r="AK73" s="1401"/>
    </row>
    <row r="74" spans="1:37" s="1407" customFormat="1" ht="41" customHeight="1" x14ac:dyDescent="0.2">
      <c r="A74" s="1710" t="str">
        <f t="shared" si="12"/>
        <v>ALAT-ALAT P</v>
      </c>
      <c r="B74" s="1597" t="s">
        <v>167</v>
      </c>
      <c r="C74" s="1599" t="s">
        <v>920</v>
      </c>
      <c r="D74" s="1508"/>
      <c r="E74" s="1469"/>
      <c r="F74" s="1508" t="s">
        <v>52</v>
      </c>
      <c r="G74" s="1508"/>
      <c r="H74" s="1508" t="s">
        <v>52</v>
      </c>
      <c r="I74" s="1469"/>
      <c r="J74" s="1508"/>
      <c r="K74" s="1508"/>
      <c r="L74" s="1508"/>
      <c r="M74" s="1508"/>
      <c r="N74" s="1508"/>
      <c r="O74" s="1469"/>
      <c r="P74" s="1506">
        <f>SUM(P75:P87)</f>
        <v>947876053.26223254</v>
      </c>
      <c r="Q74" s="1601"/>
      <c r="W74" s="1478"/>
      <c r="X74" s="1478"/>
      <c r="Y74" s="1401"/>
      <c r="Z74" s="1444"/>
      <c r="AA74" s="1446">
        <f t="shared" ref="AA74:AG74" si="50">SUM(AA75:AA87)</f>
        <v>780915739.94667435</v>
      </c>
      <c r="AB74" s="1446">
        <f t="shared" si="50"/>
        <v>25702313.315558068</v>
      </c>
      <c r="AC74" s="1446">
        <f t="shared" si="50"/>
        <v>35314500</v>
      </c>
      <c r="AD74" s="1446">
        <f t="shared" si="50"/>
        <v>35314500</v>
      </c>
      <c r="AE74" s="1446">
        <f t="shared" si="50"/>
        <v>35314500</v>
      </c>
      <c r="AF74" s="1446">
        <f t="shared" si="50"/>
        <v>35314500</v>
      </c>
      <c r="AG74" s="1446">
        <f t="shared" si="50"/>
        <v>0</v>
      </c>
      <c r="AH74" s="1446">
        <f>SUM(AH75:AH87)</f>
        <v>947876053.26223254</v>
      </c>
      <c r="AI74" s="1401">
        <f>SUM(AI75:AI76)</f>
        <v>0</v>
      </c>
      <c r="AJ74" s="1446">
        <f>SUM(AJ75:AJ87)</f>
        <v>0</v>
      </c>
      <c r="AK74" s="1446"/>
    </row>
    <row r="75" spans="1:37" s="1390" customFormat="1" ht="37" customHeight="1" x14ac:dyDescent="0.2">
      <c r="A75" s="1710" t="str">
        <f t="shared" si="12"/>
        <v>02.05.01.05</v>
      </c>
      <c r="B75" s="1426">
        <v>1</v>
      </c>
      <c r="C75" s="1455" t="s">
        <v>4736</v>
      </c>
      <c r="D75" s="1455" t="s">
        <v>169</v>
      </c>
      <c r="E75" s="1517" t="s">
        <v>39</v>
      </c>
      <c r="F75" s="1455" t="s">
        <v>55</v>
      </c>
      <c r="G75" s="1414"/>
      <c r="H75" s="1455" t="s">
        <v>52</v>
      </c>
      <c r="I75" s="1501" t="s">
        <v>108</v>
      </c>
      <c r="J75" s="1414"/>
      <c r="K75" s="1414"/>
      <c r="L75" s="1414"/>
      <c r="M75" s="1414"/>
      <c r="N75" s="1414"/>
      <c r="O75" s="1501" t="s">
        <v>12</v>
      </c>
      <c r="P75" s="1539">
        <v>8800000</v>
      </c>
      <c r="Q75" s="1598" t="s">
        <v>43</v>
      </c>
      <c r="V75" s="1477" t="str">
        <f t="shared" ref="V75:V87" si="51">LEFT(C75,8)</f>
        <v>02.05.01</v>
      </c>
      <c r="W75" s="1478" t="str">
        <f t="shared" ref="W75:W87" si="52">VLOOKUP(V75,UE,3)</f>
        <v>Alat Pengolahan Pertanian</v>
      </c>
      <c r="X75" s="1478">
        <f t="shared" ref="X75:X87" si="53">VLOOKUP(V75,UE,4,FALSE)</f>
        <v>4</v>
      </c>
      <c r="Y75" s="1401">
        <f t="shared" ref="Y75:Y87" si="54">P75/X75</f>
        <v>2200000</v>
      </c>
      <c r="Z75" s="1444">
        <f t="shared" ref="Z75:Z87" si="55">IF(2013-I75+1&gt;X75,X75,IF(2013-I75+1&lt;0,0,(2013-I75+1)))</f>
        <v>4</v>
      </c>
      <c r="AA75" s="1401">
        <f t="shared" ref="AA75:AA87" si="56">IF(Z75&gt;X75,P75,Y75*Z75)</f>
        <v>8800000</v>
      </c>
      <c r="AB75" s="1401">
        <f t="shared" ref="AB75:AB86" si="57">IF(P75=AA75,0,Y75)</f>
        <v>0</v>
      </c>
      <c r="AC75" s="1401">
        <f t="shared" ref="AC75:AC87" si="58">IF(P75=AA75+AB75,0,Y75)</f>
        <v>0</v>
      </c>
      <c r="AD75" s="1401">
        <f t="shared" ref="AD75:AD87" si="59">IF(P75=AA75+AB75+AC75,0,Y75)</f>
        <v>0</v>
      </c>
      <c r="AE75" s="1479">
        <f t="shared" ref="AE75:AE87" si="60">IF(P75=AA75+AB75+AC75+AD75,0,Y75)</f>
        <v>0</v>
      </c>
      <c r="AF75" s="1479">
        <f t="shared" ref="AF75:AF87" si="61">IF(P75=AA75+AB75+AC75+AD75+AE75,0,Y75)</f>
        <v>0</v>
      </c>
      <c r="AG75" s="1479">
        <f>IF(P75=AA75+AB75+AC75+AD75+AE75+AF75,0,Y75)</f>
        <v>0</v>
      </c>
      <c r="AH75" s="1479">
        <f>SUM(AA75:AG75)</f>
        <v>8800000</v>
      </c>
      <c r="AI75" s="1645" t="str">
        <f t="shared" ref="AI75:AI87" si="62">I75</f>
        <v>2006</v>
      </c>
      <c r="AJ75" s="1401">
        <f t="shared" ref="AJ75:AJ87" si="63">P75-AH75</f>
        <v>0</v>
      </c>
      <c r="AK75" s="1401"/>
    </row>
    <row r="76" spans="1:37" s="1390" customFormat="1" ht="37" customHeight="1" x14ac:dyDescent="0.2">
      <c r="A76" s="1710" t="str">
        <f t="shared" si="12"/>
        <v>02.05.01.05</v>
      </c>
      <c r="B76" s="1426">
        <v>2</v>
      </c>
      <c r="C76" s="1455" t="s">
        <v>4736</v>
      </c>
      <c r="D76" s="1455" t="s">
        <v>169</v>
      </c>
      <c r="E76" s="1517" t="s">
        <v>68</v>
      </c>
      <c r="F76" s="1455" t="s">
        <v>55</v>
      </c>
      <c r="G76" s="1414"/>
      <c r="H76" s="1455" t="s">
        <v>52</v>
      </c>
      <c r="I76" s="1501" t="s">
        <v>108</v>
      </c>
      <c r="J76" s="1414"/>
      <c r="K76" s="1414"/>
      <c r="L76" s="1414"/>
      <c r="M76" s="1414"/>
      <c r="N76" s="1414"/>
      <c r="O76" s="1501" t="s">
        <v>12</v>
      </c>
      <c r="P76" s="1539">
        <v>8800000</v>
      </c>
      <c r="Q76" s="1598" t="s">
        <v>43</v>
      </c>
      <c r="V76" s="1477" t="str">
        <f t="shared" si="51"/>
        <v>02.05.01</v>
      </c>
      <c r="W76" s="1478" t="str">
        <f t="shared" si="52"/>
        <v>Alat Pengolahan Pertanian</v>
      </c>
      <c r="X76" s="1478">
        <f t="shared" si="53"/>
        <v>4</v>
      </c>
      <c r="Y76" s="1401">
        <f t="shared" si="54"/>
        <v>2200000</v>
      </c>
      <c r="Z76" s="1444">
        <f t="shared" si="55"/>
        <v>4</v>
      </c>
      <c r="AA76" s="1401">
        <f t="shared" si="56"/>
        <v>8800000</v>
      </c>
      <c r="AB76" s="1401">
        <f t="shared" si="57"/>
        <v>0</v>
      </c>
      <c r="AC76" s="1401">
        <f t="shared" si="58"/>
        <v>0</v>
      </c>
      <c r="AD76" s="1401">
        <f t="shared" si="59"/>
        <v>0</v>
      </c>
      <c r="AE76" s="1479">
        <f t="shared" si="60"/>
        <v>0</v>
      </c>
      <c r="AF76" s="1479">
        <f t="shared" si="61"/>
        <v>0</v>
      </c>
      <c r="AG76" s="1479">
        <f t="shared" ref="AG76:AG87" si="64">IF(P76=AA76+AB76+AC76+AD76+AE76+AF76,0,Y76)</f>
        <v>0</v>
      </c>
      <c r="AH76" s="1479">
        <f t="shared" ref="AH76:AH87" si="65">SUM(AA76:AG76)</f>
        <v>8800000</v>
      </c>
      <c r="AI76" s="1645" t="str">
        <f t="shared" si="62"/>
        <v>2006</v>
      </c>
      <c r="AJ76" s="1401">
        <f t="shared" si="63"/>
        <v>0</v>
      </c>
      <c r="AK76" s="1401"/>
    </row>
    <row r="77" spans="1:37" s="1390" customFormat="1" ht="37" customHeight="1" x14ac:dyDescent="0.2">
      <c r="A77" s="1710" t="str">
        <f t="shared" ref="A77:A140" si="66">LEFT(C77,11)</f>
        <v>02.05.01.08</v>
      </c>
      <c r="B77" s="1426">
        <v>3</v>
      </c>
      <c r="C77" s="1455" t="s">
        <v>4693</v>
      </c>
      <c r="D77" s="1455" t="s">
        <v>342</v>
      </c>
      <c r="E77" s="1416"/>
      <c r="F77" s="1455" t="s">
        <v>55</v>
      </c>
      <c r="G77" s="1501"/>
      <c r="H77" s="1455" t="s">
        <v>181</v>
      </c>
      <c r="I77" s="1501" t="s">
        <v>92</v>
      </c>
      <c r="J77" s="1501"/>
      <c r="K77" s="1414"/>
      <c r="L77" s="1501"/>
      <c r="M77" s="1414"/>
      <c r="N77" s="1414"/>
      <c r="O77" s="1501" t="s">
        <v>12</v>
      </c>
      <c r="P77" s="1539">
        <v>1500000</v>
      </c>
      <c r="Q77" s="1598" t="s">
        <v>43</v>
      </c>
      <c r="V77" s="1477" t="str">
        <f t="shared" si="51"/>
        <v>02.05.01</v>
      </c>
      <c r="W77" s="1478" t="str">
        <f t="shared" si="52"/>
        <v>Alat Pengolahan Pertanian</v>
      </c>
      <c r="X77" s="1478">
        <f t="shared" si="53"/>
        <v>4</v>
      </c>
      <c r="Y77" s="1401">
        <f t="shared" si="54"/>
        <v>375000</v>
      </c>
      <c r="Z77" s="1444">
        <f t="shared" si="55"/>
        <v>4</v>
      </c>
      <c r="AA77" s="1401">
        <f t="shared" si="56"/>
        <v>1500000</v>
      </c>
      <c r="AB77" s="1401">
        <f t="shared" si="57"/>
        <v>0</v>
      </c>
      <c r="AC77" s="1401">
        <f t="shared" si="58"/>
        <v>0</v>
      </c>
      <c r="AD77" s="1401">
        <f t="shared" si="59"/>
        <v>0</v>
      </c>
      <c r="AE77" s="1479">
        <f t="shared" si="60"/>
        <v>0</v>
      </c>
      <c r="AF77" s="1479">
        <f t="shared" si="61"/>
        <v>0</v>
      </c>
      <c r="AG77" s="1479">
        <f t="shared" si="64"/>
        <v>0</v>
      </c>
      <c r="AH77" s="1479">
        <f t="shared" si="65"/>
        <v>1500000</v>
      </c>
      <c r="AI77" s="1645" t="str">
        <f t="shared" si="62"/>
        <v>2005</v>
      </c>
      <c r="AJ77" s="1401">
        <f t="shared" si="63"/>
        <v>0</v>
      </c>
      <c r="AK77" s="1401"/>
    </row>
    <row r="78" spans="1:37" s="1390" customFormat="1" ht="37" customHeight="1" x14ac:dyDescent="0.2">
      <c r="A78" s="1710" t="str">
        <f t="shared" si="66"/>
        <v>02.05.02.01</v>
      </c>
      <c r="B78" s="1426">
        <v>4</v>
      </c>
      <c r="C78" s="1455" t="s">
        <v>4694</v>
      </c>
      <c r="D78" s="1455" t="s">
        <v>362</v>
      </c>
      <c r="E78" s="1416"/>
      <c r="F78" s="1455" t="s">
        <v>9</v>
      </c>
      <c r="G78" s="1501"/>
      <c r="H78" s="1455" t="s">
        <v>9</v>
      </c>
      <c r="I78" s="1501" t="s">
        <v>108</v>
      </c>
      <c r="J78" s="1501"/>
      <c r="K78" s="1414"/>
      <c r="L78" s="1501"/>
      <c r="M78" s="1414"/>
      <c r="N78" s="1414"/>
      <c r="O78" s="1501" t="s">
        <v>12</v>
      </c>
      <c r="P78" s="1539">
        <v>2600000</v>
      </c>
      <c r="Q78" s="1598" t="s">
        <v>43</v>
      </c>
      <c r="V78" s="1477" t="str">
        <f t="shared" si="51"/>
        <v>02.05.02</v>
      </c>
      <c r="W78" s="1478" t="str">
        <f t="shared" si="52"/>
        <v>Alat Pemeliharaan Tanaman/Alat Penyimpan Pertanian</v>
      </c>
      <c r="X78" s="1478">
        <f t="shared" si="53"/>
        <v>4</v>
      </c>
      <c r="Y78" s="1401">
        <f t="shared" si="54"/>
        <v>650000</v>
      </c>
      <c r="Z78" s="1444">
        <f t="shared" si="55"/>
        <v>4</v>
      </c>
      <c r="AA78" s="1401">
        <f t="shared" si="56"/>
        <v>2600000</v>
      </c>
      <c r="AB78" s="1401">
        <f t="shared" si="57"/>
        <v>0</v>
      </c>
      <c r="AC78" s="1401">
        <f t="shared" si="58"/>
        <v>0</v>
      </c>
      <c r="AD78" s="1401">
        <f t="shared" si="59"/>
        <v>0</v>
      </c>
      <c r="AE78" s="1479">
        <f t="shared" si="60"/>
        <v>0</v>
      </c>
      <c r="AF78" s="1479">
        <f t="shared" si="61"/>
        <v>0</v>
      </c>
      <c r="AG78" s="1479">
        <f t="shared" si="64"/>
        <v>0</v>
      </c>
      <c r="AH78" s="1479">
        <f t="shared" si="65"/>
        <v>2600000</v>
      </c>
      <c r="AI78" s="1645" t="str">
        <f t="shared" si="62"/>
        <v>2006</v>
      </c>
      <c r="AJ78" s="1401">
        <f t="shared" si="63"/>
        <v>0</v>
      </c>
      <c r="AK78" s="1401"/>
    </row>
    <row r="79" spans="1:37" s="1390" customFormat="1" ht="48" customHeight="1" x14ac:dyDescent="0.2">
      <c r="A79" s="1710" t="str">
        <f t="shared" si="66"/>
        <v>02.05.02.04</v>
      </c>
      <c r="B79" s="1426">
        <v>5</v>
      </c>
      <c r="C79" s="1455" t="s">
        <v>4695</v>
      </c>
      <c r="D79" s="1455" t="s">
        <v>981</v>
      </c>
      <c r="E79" s="1416"/>
      <c r="F79" s="1455" t="s">
        <v>52</v>
      </c>
      <c r="G79" s="1501"/>
      <c r="H79" s="1455" t="s">
        <v>52</v>
      </c>
      <c r="I79" s="1501">
        <v>2008</v>
      </c>
      <c r="J79" s="1414"/>
      <c r="K79" s="1414"/>
      <c r="L79" s="1414"/>
      <c r="M79" s="1414"/>
      <c r="N79" s="1414"/>
      <c r="O79" s="1501" t="s">
        <v>12</v>
      </c>
      <c r="P79" s="1539">
        <v>348203041.88366759</v>
      </c>
      <c r="Q79" s="1598" t="s">
        <v>43</v>
      </c>
      <c r="V79" s="1477" t="str">
        <f t="shared" si="51"/>
        <v>02.05.02</v>
      </c>
      <c r="W79" s="1478" t="str">
        <f t="shared" si="52"/>
        <v>Alat Pemeliharaan Tanaman/Alat Penyimpan Pertanian</v>
      </c>
      <c r="X79" s="1478">
        <f t="shared" si="53"/>
        <v>4</v>
      </c>
      <c r="Y79" s="1401">
        <f t="shared" si="54"/>
        <v>87050760.470916897</v>
      </c>
      <c r="Z79" s="1444">
        <f t="shared" si="55"/>
        <v>4</v>
      </c>
      <c r="AA79" s="1401">
        <f t="shared" si="56"/>
        <v>348203041.88366759</v>
      </c>
      <c r="AB79" s="1401">
        <f t="shared" si="57"/>
        <v>0</v>
      </c>
      <c r="AC79" s="1401">
        <f t="shared" si="58"/>
        <v>0</v>
      </c>
      <c r="AD79" s="1401">
        <f t="shared" si="59"/>
        <v>0</v>
      </c>
      <c r="AE79" s="1479">
        <f t="shared" si="60"/>
        <v>0</v>
      </c>
      <c r="AF79" s="1479">
        <f t="shared" si="61"/>
        <v>0</v>
      </c>
      <c r="AG79" s="1479">
        <f t="shared" si="64"/>
        <v>0</v>
      </c>
      <c r="AH79" s="1479">
        <f t="shared" si="65"/>
        <v>348203041.88366759</v>
      </c>
      <c r="AI79" s="1645">
        <f t="shared" si="62"/>
        <v>2008</v>
      </c>
      <c r="AJ79" s="1401">
        <f t="shared" si="63"/>
        <v>0</v>
      </c>
      <c r="AK79" s="1401"/>
    </row>
    <row r="80" spans="1:37" s="1390" customFormat="1" ht="48" customHeight="1" x14ac:dyDescent="0.2">
      <c r="A80" s="1710" t="str">
        <f t="shared" si="66"/>
        <v>02.05.02.04</v>
      </c>
      <c r="B80" s="1426">
        <v>6</v>
      </c>
      <c r="C80" s="1455" t="s">
        <v>4695</v>
      </c>
      <c r="D80" s="1455" t="s">
        <v>982</v>
      </c>
      <c r="E80" s="1416"/>
      <c r="F80" s="1455" t="s">
        <v>52</v>
      </c>
      <c r="G80" s="1501"/>
      <c r="H80" s="1455" t="s">
        <v>52</v>
      </c>
      <c r="I80" s="1501">
        <v>2008</v>
      </c>
      <c r="J80" s="1414"/>
      <c r="K80" s="1414"/>
      <c r="L80" s="1414"/>
      <c r="M80" s="1414"/>
      <c r="N80" s="1414"/>
      <c r="O80" s="1501" t="s">
        <v>12</v>
      </c>
      <c r="P80" s="1539">
        <v>190544131.65718848</v>
      </c>
      <c r="Q80" s="1598" t="s">
        <v>43</v>
      </c>
      <c r="V80" s="1477" t="str">
        <f t="shared" si="51"/>
        <v>02.05.02</v>
      </c>
      <c r="W80" s="1478" t="str">
        <f t="shared" si="52"/>
        <v>Alat Pemeliharaan Tanaman/Alat Penyimpan Pertanian</v>
      </c>
      <c r="X80" s="1478">
        <f t="shared" si="53"/>
        <v>4</v>
      </c>
      <c r="Y80" s="1401">
        <f t="shared" si="54"/>
        <v>47636032.914297119</v>
      </c>
      <c r="Z80" s="1444">
        <f t="shared" si="55"/>
        <v>4</v>
      </c>
      <c r="AA80" s="1401">
        <f t="shared" si="56"/>
        <v>190544131.65718848</v>
      </c>
      <c r="AB80" s="1401">
        <f t="shared" si="57"/>
        <v>0</v>
      </c>
      <c r="AC80" s="1401">
        <f t="shared" si="58"/>
        <v>0</v>
      </c>
      <c r="AD80" s="1401">
        <f t="shared" si="59"/>
        <v>0</v>
      </c>
      <c r="AE80" s="1479">
        <f t="shared" si="60"/>
        <v>0</v>
      </c>
      <c r="AF80" s="1479">
        <f t="shared" si="61"/>
        <v>0</v>
      </c>
      <c r="AG80" s="1479">
        <f t="shared" si="64"/>
        <v>0</v>
      </c>
      <c r="AH80" s="1479">
        <f t="shared" si="65"/>
        <v>190544131.65718848</v>
      </c>
      <c r="AI80" s="1645">
        <f t="shared" si="62"/>
        <v>2008</v>
      </c>
      <c r="AJ80" s="1401">
        <f t="shared" si="63"/>
        <v>0</v>
      </c>
      <c r="AK80" s="1401"/>
    </row>
    <row r="81" spans="1:38" s="1390" customFormat="1" ht="48" customHeight="1" x14ac:dyDescent="0.2">
      <c r="A81" s="1710" t="str">
        <f t="shared" si="66"/>
        <v>02.05.02.04</v>
      </c>
      <c r="B81" s="1426">
        <v>7</v>
      </c>
      <c r="C81" s="1455" t="s">
        <v>4695</v>
      </c>
      <c r="D81" s="1455" t="s">
        <v>983</v>
      </c>
      <c r="E81" s="1416"/>
      <c r="F81" s="1455" t="s">
        <v>52</v>
      </c>
      <c r="G81" s="1501"/>
      <c r="H81" s="1455" t="s">
        <v>52</v>
      </c>
      <c r="I81" s="1501">
        <v>2008</v>
      </c>
      <c r="J81" s="1414"/>
      <c r="K81" s="1414"/>
      <c r="L81" s="1414"/>
      <c r="M81" s="1414"/>
      <c r="N81" s="1414"/>
      <c r="O81" s="1501" t="s">
        <v>12</v>
      </c>
      <c r="P81" s="1539">
        <v>21811626.45914397</v>
      </c>
      <c r="Q81" s="1598" t="s">
        <v>43</v>
      </c>
      <c r="V81" s="1477" t="str">
        <f t="shared" si="51"/>
        <v>02.05.02</v>
      </c>
      <c r="W81" s="1478" t="str">
        <f t="shared" si="52"/>
        <v>Alat Pemeliharaan Tanaman/Alat Penyimpan Pertanian</v>
      </c>
      <c r="X81" s="1478">
        <f t="shared" si="53"/>
        <v>4</v>
      </c>
      <c r="Y81" s="1401">
        <f t="shared" si="54"/>
        <v>5452906.6147859925</v>
      </c>
      <c r="Z81" s="1444">
        <f t="shared" si="55"/>
        <v>4</v>
      </c>
      <c r="AA81" s="1401">
        <f t="shared" si="56"/>
        <v>21811626.45914397</v>
      </c>
      <c r="AB81" s="1401">
        <f t="shared" si="57"/>
        <v>0</v>
      </c>
      <c r="AC81" s="1401">
        <f t="shared" si="58"/>
        <v>0</v>
      </c>
      <c r="AD81" s="1401">
        <f t="shared" si="59"/>
        <v>0</v>
      </c>
      <c r="AE81" s="1479">
        <f t="shared" si="60"/>
        <v>0</v>
      </c>
      <c r="AF81" s="1479">
        <f t="shared" si="61"/>
        <v>0</v>
      </c>
      <c r="AG81" s="1479">
        <f t="shared" si="64"/>
        <v>0</v>
      </c>
      <c r="AH81" s="1479">
        <f t="shared" si="65"/>
        <v>21811626.45914397</v>
      </c>
      <c r="AI81" s="1645">
        <f t="shared" si="62"/>
        <v>2008</v>
      </c>
      <c r="AJ81" s="1401">
        <f t="shared" si="63"/>
        <v>0</v>
      </c>
      <c r="AK81" s="1401"/>
    </row>
    <row r="82" spans="1:38" s="1390" customFormat="1" ht="48" customHeight="1" x14ac:dyDescent="0.2">
      <c r="A82" s="1710" t="str">
        <f t="shared" si="66"/>
        <v>02.05.02.04</v>
      </c>
      <c r="B82" s="1426">
        <v>8</v>
      </c>
      <c r="C82" s="1455" t="s">
        <v>4695</v>
      </c>
      <c r="D82" s="1455" t="s">
        <v>984</v>
      </c>
      <c r="E82" s="1416"/>
      <c r="F82" s="1455" t="s">
        <v>52</v>
      </c>
      <c r="G82" s="1501"/>
      <c r="H82" s="1455" t="s">
        <v>52</v>
      </c>
      <c r="I82" s="1501">
        <v>2009</v>
      </c>
      <c r="J82" s="1414"/>
      <c r="K82" s="1414"/>
      <c r="L82" s="1414"/>
      <c r="M82" s="1414"/>
      <c r="N82" s="1414"/>
      <c r="O82" s="1501" t="s">
        <v>12</v>
      </c>
      <c r="P82" s="1539">
        <v>121550000</v>
      </c>
      <c r="Q82" s="1598" t="s">
        <v>43</v>
      </c>
      <c r="V82" s="1477" t="str">
        <f t="shared" si="51"/>
        <v>02.05.02</v>
      </c>
      <c r="W82" s="1478" t="str">
        <f t="shared" si="52"/>
        <v>Alat Pemeliharaan Tanaman/Alat Penyimpan Pertanian</v>
      </c>
      <c r="X82" s="1478">
        <f t="shared" si="53"/>
        <v>4</v>
      </c>
      <c r="Y82" s="1401">
        <f t="shared" si="54"/>
        <v>30387500</v>
      </c>
      <c r="Z82" s="1444">
        <f t="shared" si="55"/>
        <v>4</v>
      </c>
      <c r="AA82" s="1401">
        <f t="shared" si="56"/>
        <v>121550000</v>
      </c>
      <c r="AB82" s="1401">
        <f t="shared" si="57"/>
        <v>0</v>
      </c>
      <c r="AC82" s="1401">
        <f t="shared" si="58"/>
        <v>0</v>
      </c>
      <c r="AD82" s="1401">
        <f t="shared" si="59"/>
        <v>0</v>
      </c>
      <c r="AE82" s="1479">
        <f t="shared" si="60"/>
        <v>0</v>
      </c>
      <c r="AF82" s="1479">
        <f t="shared" si="61"/>
        <v>0</v>
      </c>
      <c r="AG82" s="1479">
        <f t="shared" si="64"/>
        <v>0</v>
      </c>
      <c r="AH82" s="1479">
        <f t="shared" si="65"/>
        <v>121550000</v>
      </c>
      <c r="AI82" s="1645">
        <f t="shared" si="62"/>
        <v>2009</v>
      </c>
      <c r="AJ82" s="1401">
        <f t="shared" si="63"/>
        <v>0</v>
      </c>
      <c r="AK82" s="1401"/>
    </row>
    <row r="83" spans="1:38" s="1390" customFormat="1" ht="37" customHeight="1" x14ac:dyDescent="0.2">
      <c r="A83" s="1710" t="str">
        <f t="shared" si="66"/>
        <v>02.05.02.04</v>
      </c>
      <c r="B83" s="1426">
        <v>9</v>
      </c>
      <c r="C83" s="1455" t="s">
        <v>4695</v>
      </c>
      <c r="D83" s="1455" t="s">
        <v>985</v>
      </c>
      <c r="E83" s="1416"/>
      <c r="F83" s="1455" t="s">
        <v>52</v>
      </c>
      <c r="G83" s="1501"/>
      <c r="H83" s="1455" t="s">
        <v>174</v>
      </c>
      <c r="I83" s="1501">
        <v>2011</v>
      </c>
      <c r="J83" s="1414"/>
      <c r="K83" s="1414"/>
      <c r="L83" s="1414"/>
      <c r="M83" s="1414"/>
      <c r="N83" s="1414"/>
      <c r="O83" s="1501" t="s">
        <v>12</v>
      </c>
      <c r="P83" s="1539">
        <v>15549974.909400286</v>
      </c>
      <c r="Q83" s="1598" t="s">
        <v>43</v>
      </c>
      <c r="V83" s="1477" t="str">
        <f t="shared" si="51"/>
        <v>02.05.02</v>
      </c>
      <c r="W83" s="1478" t="str">
        <f t="shared" si="52"/>
        <v>Alat Pemeliharaan Tanaman/Alat Penyimpan Pertanian</v>
      </c>
      <c r="X83" s="1478">
        <f t="shared" si="53"/>
        <v>4</v>
      </c>
      <c r="Y83" s="1401">
        <f t="shared" si="54"/>
        <v>3887493.7273500715</v>
      </c>
      <c r="Z83" s="1444">
        <f t="shared" si="55"/>
        <v>3</v>
      </c>
      <c r="AA83" s="1401">
        <f t="shared" si="56"/>
        <v>11662481.182050215</v>
      </c>
      <c r="AB83" s="1401">
        <f t="shared" si="57"/>
        <v>3887493.7273500715</v>
      </c>
      <c r="AC83" s="1401">
        <f t="shared" si="58"/>
        <v>0</v>
      </c>
      <c r="AD83" s="1401">
        <f t="shared" si="59"/>
        <v>0</v>
      </c>
      <c r="AE83" s="1479">
        <f t="shared" si="60"/>
        <v>0</v>
      </c>
      <c r="AF83" s="1479">
        <f t="shared" si="61"/>
        <v>0</v>
      </c>
      <c r="AG83" s="1479">
        <f t="shared" si="64"/>
        <v>0</v>
      </c>
      <c r="AH83" s="1479">
        <f t="shared" si="65"/>
        <v>15549974.909400286</v>
      </c>
      <c r="AI83" s="1645">
        <f t="shared" si="62"/>
        <v>2011</v>
      </c>
      <c r="AJ83" s="1401">
        <f t="shared" si="63"/>
        <v>0</v>
      </c>
      <c r="AK83" s="1401"/>
    </row>
    <row r="84" spans="1:38" s="1390" customFormat="1" ht="37" customHeight="1" x14ac:dyDescent="0.2">
      <c r="A84" s="1710" t="str">
        <f t="shared" si="66"/>
        <v>02.05.01.07</v>
      </c>
      <c r="B84" s="1426">
        <v>10</v>
      </c>
      <c r="C84" s="1455" t="s">
        <v>4696</v>
      </c>
      <c r="D84" s="1455" t="s">
        <v>986</v>
      </c>
      <c r="E84" s="1416"/>
      <c r="F84" s="1455" t="s">
        <v>52</v>
      </c>
      <c r="G84" s="1501" t="s">
        <v>379</v>
      </c>
      <c r="H84" s="1455" t="s">
        <v>174</v>
      </c>
      <c r="I84" s="1501">
        <v>2011</v>
      </c>
      <c r="J84" s="1414"/>
      <c r="K84" s="1414"/>
      <c r="L84" s="1414"/>
      <c r="M84" s="1414"/>
      <c r="N84" s="1414"/>
      <c r="O84" s="1501" t="s">
        <v>12</v>
      </c>
      <c r="P84" s="1539">
        <v>24461306.061232746</v>
      </c>
      <c r="Q84" s="1598" t="s">
        <v>43</v>
      </c>
      <c r="V84" s="1477" t="str">
        <f t="shared" si="51"/>
        <v>02.05.01</v>
      </c>
      <c r="W84" s="1478" t="str">
        <f t="shared" si="52"/>
        <v>Alat Pengolahan Pertanian</v>
      </c>
      <c r="X84" s="1478">
        <f t="shared" si="53"/>
        <v>4</v>
      </c>
      <c r="Y84" s="1401">
        <f t="shared" si="54"/>
        <v>6115326.5153081864</v>
      </c>
      <c r="Z84" s="1444">
        <f t="shared" si="55"/>
        <v>3</v>
      </c>
      <c r="AA84" s="1401">
        <f t="shared" si="56"/>
        <v>18345979.545924559</v>
      </c>
      <c r="AB84" s="1401">
        <f t="shared" si="57"/>
        <v>6115326.5153081864</v>
      </c>
      <c r="AC84" s="1401">
        <f t="shared" si="58"/>
        <v>0</v>
      </c>
      <c r="AD84" s="1401">
        <f t="shared" si="59"/>
        <v>0</v>
      </c>
      <c r="AE84" s="1479">
        <f t="shared" si="60"/>
        <v>0</v>
      </c>
      <c r="AF84" s="1479">
        <f t="shared" si="61"/>
        <v>0</v>
      </c>
      <c r="AG84" s="1479">
        <f t="shared" si="64"/>
        <v>0</v>
      </c>
      <c r="AH84" s="1479">
        <f t="shared" si="65"/>
        <v>24461306.061232746</v>
      </c>
      <c r="AI84" s="1645">
        <f t="shared" si="62"/>
        <v>2011</v>
      </c>
      <c r="AJ84" s="1401">
        <f t="shared" si="63"/>
        <v>0</v>
      </c>
      <c r="AK84" s="1401"/>
    </row>
    <row r="85" spans="1:38" s="1390" customFormat="1" ht="37" customHeight="1" x14ac:dyDescent="0.2">
      <c r="A85" s="1710" t="str">
        <f t="shared" si="66"/>
        <v>02.05.02.04</v>
      </c>
      <c r="B85" s="1426">
        <v>11</v>
      </c>
      <c r="C85" s="1455" t="s">
        <v>4695</v>
      </c>
      <c r="D85" s="1455" t="s">
        <v>987</v>
      </c>
      <c r="E85" s="1416"/>
      <c r="F85" s="1455" t="s">
        <v>380</v>
      </c>
      <c r="G85" s="1501">
        <v>0.2</v>
      </c>
      <c r="H85" s="1455" t="s">
        <v>174</v>
      </c>
      <c r="I85" s="1501">
        <v>2011</v>
      </c>
      <c r="J85" s="1414"/>
      <c r="K85" s="1414"/>
      <c r="L85" s="1414"/>
      <c r="M85" s="1414"/>
      <c r="N85" s="1414"/>
      <c r="O85" s="1501" t="s">
        <v>12</v>
      </c>
      <c r="P85" s="1539">
        <v>12559595.328248454</v>
      </c>
      <c r="Q85" s="1598" t="s">
        <v>43</v>
      </c>
      <c r="V85" s="1477" t="str">
        <f t="shared" si="51"/>
        <v>02.05.02</v>
      </c>
      <c r="W85" s="1478" t="str">
        <f t="shared" si="52"/>
        <v>Alat Pemeliharaan Tanaman/Alat Penyimpan Pertanian</v>
      </c>
      <c r="X85" s="1478">
        <f t="shared" si="53"/>
        <v>4</v>
      </c>
      <c r="Y85" s="1401">
        <f t="shared" si="54"/>
        <v>3139898.8320621136</v>
      </c>
      <c r="Z85" s="1444">
        <f t="shared" si="55"/>
        <v>3</v>
      </c>
      <c r="AA85" s="1401">
        <f t="shared" si="56"/>
        <v>9419696.4961863402</v>
      </c>
      <c r="AB85" s="1401">
        <f t="shared" si="57"/>
        <v>3139898.8320621136</v>
      </c>
      <c r="AC85" s="1401">
        <f t="shared" si="58"/>
        <v>0</v>
      </c>
      <c r="AD85" s="1401">
        <f t="shared" si="59"/>
        <v>0</v>
      </c>
      <c r="AE85" s="1479">
        <f t="shared" si="60"/>
        <v>0</v>
      </c>
      <c r="AF85" s="1479">
        <f t="shared" si="61"/>
        <v>0</v>
      </c>
      <c r="AG85" s="1479">
        <f t="shared" si="64"/>
        <v>0</v>
      </c>
      <c r="AH85" s="1479">
        <f t="shared" si="65"/>
        <v>12559595.328248454</v>
      </c>
      <c r="AI85" s="1645">
        <f t="shared" si="62"/>
        <v>2011</v>
      </c>
      <c r="AJ85" s="1401">
        <f t="shared" si="63"/>
        <v>0</v>
      </c>
      <c r="AK85" s="1401"/>
    </row>
    <row r="86" spans="1:38" s="1390" customFormat="1" ht="37" customHeight="1" x14ac:dyDescent="0.2">
      <c r="A86" s="1710" t="str">
        <f t="shared" si="66"/>
        <v>02.05.01.08</v>
      </c>
      <c r="B86" s="1426">
        <v>12</v>
      </c>
      <c r="C86" s="1455" t="s">
        <v>4693</v>
      </c>
      <c r="D86" s="1455" t="s">
        <v>988</v>
      </c>
      <c r="E86" s="1416"/>
      <c r="F86" s="1455" t="s">
        <v>52</v>
      </c>
      <c r="G86" s="1501">
        <v>190</v>
      </c>
      <c r="H86" s="1455" t="s">
        <v>119</v>
      </c>
      <c r="I86" s="1501">
        <v>2011</v>
      </c>
      <c r="J86" s="1414"/>
      <c r="K86" s="1414"/>
      <c r="L86" s="1414"/>
      <c r="M86" s="1414"/>
      <c r="N86" s="1414"/>
      <c r="O86" s="1501" t="s">
        <v>12</v>
      </c>
      <c r="P86" s="1539">
        <v>50238376.963350788</v>
      </c>
      <c r="Q86" s="1598" t="s">
        <v>43</v>
      </c>
      <c r="V86" s="1477" t="str">
        <f t="shared" si="51"/>
        <v>02.05.01</v>
      </c>
      <c r="W86" s="1478" t="str">
        <f t="shared" si="52"/>
        <v>Alat Pengolahan Pertanian</v>
      </c>
      <c r="X86" s="1478">
        <f t="shared" si="53"/>
        <v>4</v>
      </c>
      <c r="Y86" s="1401">
        <f t="shared" si="54"/>
        <v>12559594.240837697</v>
      </c>
      <c r="Z86" s="1444">
        <f t="shared" si="55"/>
        <v>3</v>
      </c>
      <c r="AA86" s="1401">
        <f t="shared" si="56"/>
        <v>37678782.722513095</v>
      </c>
      <c r="AB86" s="1401">
        <f t="shared" si="57"/>
        <v>12559594.240837697</v>
      </c>
      <c r="AC86" s="1401">
        <f t="shared" si="58"/>
        <v>0</v>
      </c>
      <c r="AD86" s="1401">
        <f t="shared" si="59"/>
        <v>0</v>
      </c>
      <c r="AE86" s="1479">
        <f t="shared" si="60"/>
        <v>0</v>
      </c>
      <c r="AF86" s="1479">
        <f t="shared" si="61"/>
        <v>0</v>
      </c>
      <c r="AG86" s="1479">
        <f t="shared" si="64"/>
        <v>0</v>
      </c>
      <c r="AH86" s="1479">
        <f t="shared" si="65"/>
        <v>50238376.963350788</v>
      </c>
      <c r="AI86" s="1645">
        <f t="shared" si="62"/>
        <v>2011</v>
      </c>
      <c r="AJ86" s="1401">
        <f t="shared" si="63"/>
        <v>0</v>
      </c>
      <c r="AK86" s="1401"/>
    </row>
    <row r="87" spans="1:38" s="1390" customFormat="1" ht="37" customHeight="1" x14ac:dyDescent="0.2">
      <c r="A87" s="1710" t="str">
        <f t="shared" si="66"/>
        <v>02.05.01.08</v>
      </c>
      <c r="B87" s="1426">
        <v>13</v>
      </c>
      <c r="C87" s="1455" t="s">
        <v>4693</v>
      </c>
      <c r="D87" s="1455" t="s">
        <v>989</v>
      </c>
      <c r="E87" s="1416" t="s">
        <v>868</v>
      </c>
      <c r="F87" s="1455" t="s">
        <v>52</v>
      </c>
      <c r="G87" s="1501"/>
      <c r="H87" s="1455" t="s">
        <v>52</v>
      </c>
      <c r="I87" s="1501">
        <v>2015</v>
      </c>
      <c r="J87" s="1414"/>
      <c r="K87" s="1414"/>
      <c r="L87" s="1414"/>
      <c r="M87" s="1414"/>
      <c r="N87" s="1414"/>
      <c r="O87" s="1501" t="s">
        <v>12</v>
      </c>
      <c r="P87" s="1539">
        <v>141258000</v>
      </c>
      <c r="Q87" s="1598" t="s">
        <v>43</v>
      </c>
      <c r="U87" s="1397">
        <f>P87/4</f>
        <v>35314500</v>
      </c>
      <c r="V87" s="1477" t="str">
        <f t="shared" si="51"/>
        <v>02.05.01</v>
      </c>
      <c r="W87" s="1478" t="str">
        <f t="shared" si="52"/>
        <v>Alat Pengolahan Pertanian</v>
      </c>
      <c r="X87" s="1478">
        <f t="shared" si="53"/>
        <v>4</v>
      </c>
      <c r="Y87" s="1401">
        <f t="shared" si="54"/>
        <v>35314500</v>
      </c>
      <c r="Z87" s="1444">
        <f t="shared" si="55"/>
        <v>0</v>
      </c>
      <c r="AA87" s="1401">
        <f t="shared" si="56"/>
        <v>0</v>
      </c>
      <c r="AB87" s="1401"/>
      <c r="AC87" s="1401">
        <f t="shared" si="58"/>
        <v>35314500</v>
      </c>
      <c r="AD87" s="1401">
        <f t="shared" si="59"/>
        <v>35314500</v>
      </c>
      <c r="AE87" s="1401">
        <f t="shared" si="60"/>
        <v>35314500</v>
      </c>
      <c r="AF87" s="1479">
        <f t="shared" si="61"/>
        <v>35314500</v>
      </c>
      <c r="AG87" s="1479">
        <f t="shared" si="64"/>
        <v>0</v>
      </c>
      <c r="AH87" s="1479">
        <f t="shared" si="65"/>
        <v>141258000</v>
      </c>
      <c r="AI87" s="1645">
        <f t="shared" si="62"/>
        <v>2015</v>
      </c>
      <c r="AJ87" s="1401">
        <f t="shared" si="63"/>
        <v>0</v>
      </c>
      <c r="AK87" s="1401"/>
    </row>
    <row r="88" spans="1:38" s="1390" customFormat="1" ht="37" customHeight="1" x14ac:dyDescent="0.2">
      <c r="A88" s="1710" t="str">
        <f t="shared" si="66"/>
        <v/>
      </c>
      <c r="B88" s="1426"/>
      <c r="C88" s="1414" t="s">
        <v>52</v>
      </c>
      <c r="D88" s="1414" t="s">
        <v>52</v>
      </c>
      <c r="E88" s="1416"/>
      <c r="F88" s="1414" t="s">
        <v>52</v>
      </c>
      <c r="G88" s="1414"/>
      <c r="H88" s="1414" t="s">
        <v>52</v>
      </c>
      <c r="I88" s="1416"/>
      <c r="J88" s="1414"/>
      <c r="K88" s="1414"/>
      <c r="L88" s="1414"/>
      <c r="M88" s="1414"/>
      <c r="N88" s="1414"/>
      <c r="O88" s="1416"/>
      <c r="P88" s="1529"/>
      <c r="Q88" s="1596"/>
      <c r="W88" s="1444">
        <f>IF(P88&lt;300000,P88,"0")</f>
        <v>0</v>
      </c>
      <c r="Y88" s="1401"/>
      <c r="AA88" s="1401"/>
      <c r="AB88" s="1401"/>
      <c r="AC88" s="1401"/>
      <c r="AD88" s="1401"/>
      <c r="AE88" s="1401"/>
      <c r="AF88" s="1401"/>
      <c r="AG88" s="1401"/>
      <c r="AH88" s="1401"/>
      <c r="AJ88" s="1401"/>
      <c r="AK88" s="1401"/>
    </row>
    <row r="89" spans="1:38" s="1407" customFormat="1" ht="46" customHeight="1" x14ac:dyDescent="0.2">
      <c r="A89" s="1710" t="str">
        <f t="shared" si="66"/>
        <v>ALAT-ALAT K</v>
      </c>
      <c r="B89" s="1441" t="s">
        <v>170</v>
      </c>
      <c r="C89" s="1599" t="s">
        <v>921</v>
      </c>
      <c r="D89" s="1508"/>
      <c r="E89" s="1469"/>
      <c r="F89" s="1508" t="s">
        <v>52</v>
      </c>
      <c r="G89" s="1508"/>
      <c r="H89" s="1508" t="s">
        <v>52</v>
      </c>
      <c r="I89" s="1469"/>
      <c r="J89" s="1508"/>
      <c r="K89" s="1508"/>
      <c r="L89" s="1508"/>
      <c r="M89" s="1508"/>
      <c r="N89" s="1508"/>
      <c r="O89" s="1469"/>
      <c r="P89" s="1506">
        <f>SUM(P90:P290)</f>
        <v>2421831196.090416</v>
      </c>
      <c r="Q89" s="1601"/>
      <c r="W89" s="1444" t="str">
        <f>IF(P89&lt;300000,P89,"0")</f>
        <v>0</v>
      </c>
      <c r="Y89" s="1446"/>
      <c r="AA89" s="1446">
        <f t="shared" ref="AA89:AJ89" si="67">SUM(AA90:AA290)</f>
        <v>811742123.92112148</v>
      </c>
      <c r="AB89" s="1446">
        <f t="shared" si="67"/>
        <v>341348635.61843753</v>
      </c>
      <c r="AC89" s="1446">
        <f t="shared" si="67"/>
        <v>300515273.33739221</v>
      </c>
      <c r="AD89" s="1446">
        <f t="shared" si="67"/>
        <v>275394715.20765007</v>
      </c>
      <c r="AE89" s="1446">
        <f t="shared" si="67"/>
        <v>198959373.00581521</v>
      </c>
      <c r="AF89" s="1446">
        <f t="shared" si="67"/>
        <v>89692275</v>
      </c>
      <c r="AG89" s="1446">
        <f t="shared" si="67"/>
        <v>115876900</v>
      </c>
      <c r="AH89" s="1446">
        <f>SUM(AH90:AH290)</f>
        <v>2133529296.090416</v>
      </c>
      <c r="AI89" s="1446">
        <f t="shared" si="67"/>
        <v>379848</v>
      </c>
      <c r="AJ89" s="1446">
        <f t="shared" si="67"/>
        <v>288301900</v>
      </c>
      <c r="AK89" s="1446"/>
      <c r="AL89" s="1565"/>
    </row>
    <row r="90" spans="1:38" s="1390" customFormat="1" ht="37" customHeight="1" x14ac:dyDescent="0.2">
      <c r="A90" s="1710" t="str">
        <f t="shared" si="66"/>
        <v>02.06.02.04</v>
      </c>
      <c r="B90" s="1426">
        <v>1</v>
      </c>
      <c r="C90" s="1455" t="s">
        <v>278</v>
      </c>
      <c r="D90" s="1455" t="s">
        <v>172</v>
      </c>
      <c r="E90" s="1416"/>
      <c r="F90" s="1455" t="s">
        <v>173</v>
      </c>
      <c r="G90" s="1414"/>
      <c r="H90" s="1455" t="s">
        <v>174</v>
      </c>
      <c r="I90" s="1501">
        <v>2001</v>
      </c>
      <c r="J90" s="1414"/>
      <c r="K90" s="1653"/>
      <c r="L90" s="1653"/>
      <c r="M90" s="1414"/>
      <c r="N90" s="1414"/>
      <c r="O90" s="1501" t="s">
        <v>12</v>
      </c>
      <c r="P90" s="1529">
        <v>1625000</v>
      </c>
      <c r="Q90" s="1598"/>
      <c r="V90" s="1477" t="str">
        <f>LEFT(C90,8)</f>
        <v>02.06.02</v>
      </c>
      <c r="W90" s="1478" t="str">
        <f t="shared" ref="W90:W121" si="68">VLOOKUP(V90,UE,3)</f>
        <v>Alat Rumah Tangga</v>
      </c>
      <c r="X90" s="1478">
        <f t="shared" ref="X90:X121" si="69">VLOOKUP(V90,UE,4,FALSE)</f>
        <v>5</v>
      </c>
      <c r="Y90" s="1401">
        <f t="shared" ref="Y90:Y121" si="70">P90/X90</f>
        <v>325000</v>
      </c>
      <c r="Z90" s="1444">
        <f t="shared" ref="Z90:Z121" si="71">IF(2013-I90+1&gt;X90,X90,IF(2013-I90+1&lt;0,0,(2013-I90+1)))</f>
        <v>5</v>
      </c>
      <c r="AA90" s="1401">
        <f t="shared" ref="AA90:AA121" si="72">IF(Z90&gt;X90,P90,Y90*Z90)</f>
        <v>1625000</v>
      </c>
      <c r="AB90" s="1401">
        <f t="shared" ref="AB90:AB121" si="73">IF(P90=AA90,0,Y90)</f>
        <v>0</v>
      </c>
      <c r="AC90" s="1401">
        <f t="shared" ref="AC90:AC121" si="74">IF(P90=AA90+AB90,0,Y90)</f>
        <v>0</v>
      </c>
      <c r="AD90" s="1401">
        <f t="shared" ref="AD90:AD121" si="75">IF(P90=AA90+AB90+AC90,0,Y90)</f>
        <v>0</v>
      </c>
      <c r="AE90" s="1479">
        <f t="shared" ref="AE90:AE121" si="76">IF(P90=AA90+AB90+AC90+AD90,0,Y90)</f>
        <v>0</v>
      </c>
      <c r="AF90" s="1479">
        <f t="shared" ref="AF90:AF121" si="77">IF(P90=AA90+AB90+AC90+AD90+AE90,0,Y90)</f>
        <v>0</v>
      </c>
      <c r="AG90" s="1479">
        <f>IF(P90=AA90+AB90+AC90+AD90+AE90+AF90,0,Y90)</f>
        <v>0</v>
      </c>
      <c r="AH90" s="1479">
        <f t="shared" ref="AH90:AH153" si="78">SUM(AA90:AG90)</f>
        <v>1625000</v>
      </c>
      <c r="AI90" s="1645">
        <f t="shared" ref="AI90:AI121" si="79">I90</f>
        <v>2001</v>
      </c>
      <c r="AJ90" s="1401">
        <f t="shared" ref="AJ90:AJ121" si="80">P90-AH90</f>
        <v>0</v>
      </c>
      <c r="AK90" s="1401"/>
    </row>
    <row r="91" spans="1:38" s="1390" customFormat="1" ht="37" customHeight="1" x14ac:dyDescent="0.2">
      <c r="A91" s="1710" t="str">
        <f t="shared" si="66"/>
        <v>02.06.02.04</v>
      </c>
      <c r="B91" s="1426">
        <v>2</v>
      </c>
      <c r="C91" s="1455" t="s">
        <v>278</v>
      </c>
      <c r="D91" s="1455" t="s">
        <v>172</v>
      </c>
      <c r="E91" s="1416"/>
      <c r="F91" s="1455" t="s">
        <v>173</v>
      </c>
      <c r="G91" s="1414"/>
      <c r="H91" s="1455" t="s">
        <v>174</v>
      </c>
      <c r="I91" s="1501">
        <v>2001</v>
      </c>
      <c r="J91" s="1414"/>
      <c r="K91" s="1653"/>
      <c r="L91" s="1653"/>
      <c r="M91" s="1414"/>
      <c r="N91" s="1414"/>
      <c r="O91" s="1501" t="s">
        <v>12</v>
      </c>
      <c r="P91" s="1529">
        <v>1787500</v>
      </c>
      <c r="Q91" s="1598" t="s">
        <v>43</v>
      </c>
      <c r="V91" s="1477" t="str">
        <f t="shared" ref="V91:V154" si="81">LEFT(C91,8)</f>
        <v>02.06.02</v>
      </c>
      <c r="W91" s="1478" t="str">
        <f t="shared" si="68"/>
        <v>Alat Rumah Tangga</v>
      </c>
      <c r="X91" s="1478">
        <f t="shared" si="69"/>
        <v>5</v>
      </c>
      <c r="Y91" s="1401">
        <f t="shared" si="70"/>
        <v>357500</v>
      </c>
      <c r="Z91" s="1444">
        <f t="shared" si="71"/>
        <v>5</v>
      </c>
      <c r="AA91" s="1401">
        <f t="shared" si="72"/>
        <v>1787500</v>
      </c>
      <c r="AB91" s="1401">
        <f t="shared" si="73"/>
        <v>0</v>
      </c>
      <c r="AC91" s="1401">
        <f t="shared" si="74"/>
        <v>0</v>
      </c>
      <c r="AD91" s="1401">
        <f t="shared" si="75"/>
        <v>0</v>
      </c>
      <c r="AE91" s="1479">
        <f t="shared" si="76"/>
        <v>0</v>
      </c>
      <c r="AF91" s="1479">
        <f t="shared" si="77"/>
        <v>0</v>
      </c>
      <c r="AG91" s="1479">
        <f>IF(P91=AA91+AB91+AC91+AD91+AE91+AF91,0,Y91)</f>
        <v>0</v>
      </c>
      <c r="AH91" s="1479">
        <f t="shared" si="78"/>
        <v>1787500</v>
      </c>
      <c r="AI91" s="1645">
        <f t="shared" si="79"/>
        <v>2001</v>
      </c>
      <c r="AJ91" s="1401">
        <f t="shared" si="80"/>
        <v>0</v>
      </c>
      <c r="AK91" s="1401"/>
    </row>
    <row r="92" spans="1:38" s="1390" customFormat="1" ht="37" customHeight="1" x14ac:dyDescent="0.2">
      <c r="A92" s="1710" t="str">
        <f t="shared" si="66"/>
        <v>02.06.03.05</v>
      </c>
      <c r="B92" s="1426">
        <v>3</v>
      </c>
      <c r="C92" s="1455" t="s">
        <v>4697</v>
      </c>
      <c r="D92" s="1455" t="s">
        <v>176</v>
      </c>
      <c r="E92" s="1416"/>
      <c r="F92" s="1455" t="s">
        <v>177</v>
      </c>
      <c r="G92" s="1414"/>
      <c r="H92" s="1455" t="s">
        <v>178</v>
      </c>
      <c r="I92" s="1501">
        <v>2002</v>
      </c>
      <c r="J92" s="1414"/>
      <c r="K92" s="1653"/>
      <c r="L92" s="1653"/>
      <c r="M92" s="1414"/>
      <c r="N92" s="1414"/>
      <c r="O92" s="1501" t="s">
        <v>12</v>
      </c>
      <c r="P92" s="1529">
        <v>552500</v>
      </c>
      <c r="Q92" s="1598" t="s">
        <v>43</v>
      </c>
      <c r="V92" s="1477" t="str">
        <f t="shared" si="81"/>
        <v>02.06.03</v>
      </c>
      <c r="W92" s="1478" t="str">
        <f t="shared" si="68"/>
        <v>Peralatan Komputer</v>
      </c>
      <c r="X92" s="1478">
        <f t="shared" si="69"/>
        <v>4</v>
      </c>
      <c r="Y92" s="1401">
        <f t="shared" si="70"/>
        <v>138125</v>
      </c>
      <c r="Z92" s="1444">
        <f t="shared" si="71"/>
        <v>4</v>
      </c>
      <c r="AA92" s="1401">
        <f t="shared" si="72"/>
        <v>552500</v>
      </c>
      <c r="AB92" s="1401">
        <f t="shared" si="73"/>
        <v>0</v>
      </c>
      <c r="AC92" s="1401">
        <f t="shared" si="74"/>
        <v>0</v>
      </c>
      <c r="AD92" s="1401">
        <f t="shared" si="75"/>
        <v>0</v>
      </c>
      <c r="AE92" s="1479">
        <f t="shared" si="76"/>
        <v>0</v>
      </c>
      <c r="AF92" s="1479">
        <f t="shared" si="77"/>
        <v>0</v>
      </c>
      <c r="AG92" s="1479">
        <f t="shared" ref="AG92:AG154" si="82">IF(P92=AA92+AB92+AC92+AD92+AE92+AF92,0,Y92)</f>
        <v>0</v>
      </c>
      <c r="AH92" s="1479">
        <f t="shared" si="78"/>
        <v>552500</v>
      </c>
      <c r="AI92" s="1645">
        <f t="shared" si="79"/>
        <v>2002</v>
      </c>
      <c r="AJ92" s="1401">
        <f t="shared" si="80"/>
        <v>0</v>
      </c>
      <c r="AK92" s="1401"/>
    </row>
    <row r="93" spans="1:38" s="1390" customFormat="1" ht="37" customHeight="1" x14ac:dyDescent="0.2">
      <c r="A93" s="1710" t="str">
        <f t="shared" si="66"/>
        <v>02.06.03.05</v>
      </c>
      <c r="B93" s="1426">
        <v>4</v>
      </c>
      <c r="C93" s="1455" t="s">
        <v>4698</v>
      </c>
      <c r="D93" s="1455" t="s">
        <v>180</v>
      </c>
      <c r="E93" s="1416"/>
      <c r="F93" s="1455" t="s">
        <v>177</v>
      </c>
      <c r="G93" s="1414"/>
      <c r="H93" s="1455" t="s">
        <v>181</v>
      </c>
      <c r="I93" s="1501">
        <v>2002</v>
      </c>
      <c r="J93" s="1414"/>
      <c r="K93" s="1653"/>
      <c r="L93" s="1653"/>
      <c r="M93" s="1414"/>
      <c r="N93" s="1414"/>
      <c r="O93" s="1501" t="s">
        <v>12</v>
      </c>
      <c r="P93" s="1529">
        <v>4420000</v>
      </c>
      <c r="Q93" s="1598" t="s">
        <v>43</v>
      </c>
      <c r="V93" s="1477" t="str">
        <f t="shared" si="81"/>
        <v>02.06.03</v>
      </c>
      <c r="W93" s="1478" t="str">
        <f t="shared" si="68"/>
        <v>Peralatan Komputer</v>
      </c>
      <c r="X93" s="1478">
        <f t="shared" si="69"/>
        <v>4</v>
      </c>
      <c r="Y93" s="1401">
        <f t="shared" si="70"/>
        <v>1105000</v>
      </c>
      <c r="Z93" s="1444">
        <f t="shared" si="71"/>
        <v>4</v>
      </c>
      <c r="AA93" s="1401">
        <f t="shared" si="72"/>
        <v>4420000</v>
      </c>
      <c r="AB93" s="1401">
        <f t="shared" si="73"/>
        <v>0</v>
      </c>
      <c r="AC93" s="1401">
        <f t="shared" si="74"/>
        <v>0</v>
      </c>
      <c r="AD93" s="1401">
        <f t="shared" si="75"/>
        <v>0</v>
      </c>
      <c r="AE93" s="1479">
        <f t="shared" si="76"/>
        <v>0</v>
      </c>
      <c r="AF93" s="1479">
        <f t="shared" si="77"/>
        <v>0</v>
      </c>
      <c r="AG93" s="1479">
        <f t="shared" si="82"/>
        <v>0</v>
      </c>
      <c r="AH93" s="1479">
        <f t="shared" si="78"/>
        <v>4420000</v>
      </c>
      <c r="AI93" s="1645">
        <f t="shared" si="79"/>
        <v>2002</v>
      </c>
      <c r="AJ93" s="1401">
        <f t="shared" si="80"/>
        <v>0</v>
      </c>
      <c r="AK93" s="1401"/>
    </row>
    <row r="94" spans="1:38" s="1390" customFormat="1" ht="37" customHeight="1" x14ac:dyDescent="0.2">
      <c r="A94" s="1710" t="str">
        <f t="shared" si="66"/>
        <v>02.06.02.04</v>
      </c>
      <c r="B94" s="1426">
        <v>5</v>
      </c>
      <c r="C94" s="1455" t="s">
        <v>278</v>
      </c>
      <c r="D94" s="1455" t="s">
        <v>172</v>
      </c>
      <c r="E94" s="1416"/>
      <c r="F94" s="1455" t="s">
        <v>173</v>
      </c>
      <c r="G94" s="1414"/>
      <c r="H94" s="1455" t="s">
        <v>174</v>
      </c>
      <c r="I94" s="1501">
        <v>2002</v>
      </c>
      <c r="J94" s="1414"/>
      <c r="K94" s="1653"/>
      <c r="L94" s="1653"/>
      <c r="M94" s="1414"/>
      <c r="N94" s="1414"/>
      <c r="O94" s="1501" t="s">
        <v>12</v>
      </c>
      <c r="P94" s="1529">
        <v>1625000</v>
      </c>
      <c r="Q94" s="1598" t="s">
        <v>43</v>
      </c>
      <c r="V94" s="1477" t="str">
        <f t="shared" si="81"/>
        <v>02.06.02</v>
      </c>
      <c r="W94" s="1478" t="str">
        <f t="shared" si="68"/>
        <v>Alat Rumah Tangga</v>
      </c>
      <c r="X94" s="1478">
        <f t="shared" si="69"/>
        <v>5</v>
      </c>
      <c r="Y94" s="1401">
        <f t="shared" si="70"/>
        <v>325000</v>
      </c>
      <c r="Z94" s="1444">
        <f t="shared" si="71"/>
        <v>5</v>
      </c>
      <c r="AA94" s="1401">
        <f t="shared" si="72"/>
        <v>1625000</v>
      </c>
      <c r="AB94" s="1401">
        <f t="shared" si="73"/>
        <v>0</v>
      </c>
      <c r="AC94" s="1401">
        <f t="shared" si="74"/>
        <v>0</v>
      </c>
      <c r="AD94" s="1401">
        <f t="shared" si="75"/>
        <v>0</v>
      </c>
      <c r="AE94" s="1479">
        <f t="shared" si="76"/>
        <v>0</v>
      </c>
      <c r="AF94" s="1479">
        <f t="shared" si="77"/>
        <v>0</v>
      </c>
      <c r="AG94" s="1479">
        <f t="shared" si="82"/>
        <v>0</v>
      </c>
      <c r="AH94" s="1479">
        <f t="shared" si="78"/>
        <v>1625000</v>
      </c>
      <c r="AI94" s="1645">
        <f t="shared" si="79"/>
        <v>2002</v>
      </c>
      <c r="AJ94" s="1401">
        <f t="shared" si="80"/>
        <v>0</v>
      </c>
      <c r="AK94" s="1401"/>
    </row>
    <row r="95" spans="1:38" s="1390" customFormat="1" ht="37" customHeight="1" x14ac:dyDescent="0.2">
      <c r="A95" s="1710" t="str">
        <f t="shared" si="66"/>
        <v>02.06.02.04</v>
      </c>
      <c r="B95" s="1426">
        <v>6</v>
      </c>
      <c r="C95" s="1455" t="s">
        <v>278</v>
      </c>
      <c r="D95" s="1455" t="s">
        <v>172</v>
      </c>
      <c r="E95" s="1416"/>
      <c r="F95" s="1455" t="s">
        <v>173</v>
      </c>
      <c r="G95" s="1414"/>
      <c r="H95" s="1455" t="s">
        <v>174</v>
      </c>
      <c r="I95" s="1501">
        <v>2002</v>
      </c>
      <c r="J95" s="1414"/>
      <c r="K95" s="1653"/>
      <c r="L95" s="1653"/>
      <c r="M95" s="1414"/>
      <c r="N95" s="1414"/>
      <c r="O95" s="1501" t="s">
        <v>12</v>
      </c>
      <c r="P95" s="1529">
        <v>1625000</v>
      </c>
      <c r="Q95" s="1598"/>
      <c r="V95" s="1477" t="str">
        <f t="shared" si="81"/>
        <v>02.06.02</v>
      </c>
      <c r="W95" s="1478" t="str">
        <f t="shared" si="68"/>
        <v>Alat Rumah Tangga</v>
      </c>
      <c r="X95" s="1478">
        <f t="shared" si="69"/>
        <v>5</v>
      </c>
      <c r="Y95" s="1401">
        <f t="shared" si="70"/>
        <v>325000</v>
      </c>
      <c r="Z95" s="1444">
        <f t="shared" si="71"/>
        <v>5</v>
      </c>
      <c r="AA95" s="1401">
        <f t="shared" si="72"/>
        <v>1625000</v>
      </c>
      <c r="AB95" s="1401">
        <f t="shared" si="73"/>
        <v>0</v>
      </c>
      <c r="AC95" s="1401">
        <f t="shared" si="74"/>
        <v>0</v>
      </c>
      <c r="AD95" s="1401">
        <f t="shared" si="75"/>
        <v>0</v>
      </c>
      <c r="AE95" s="1479">
        <f t="shared" si="76"/>
        <v>0</v>
      </c>
      <c r="AF95" s="1479">
        <f t="shared" si="77"/>
        <v>0</v>
      </c>
      <c r="AG95" s="1479">
        <f t="shared" si="82"/>
        <v>0</v>
      </c>
      <c r="AH95" s="1479">
        <f t="shared" si="78"/>
        <v>1625000</v>
      </c>
      <c r="AI95" s="1645">
        <f t="shared" si="79"/>
        <v>2002</v>
      </c>
      <c r="AJ95" s="1401">
        <f t="shared" si="80"/>
        <v>0</v>
      </c>
      <c r="AK95" s="1401"/>
    </row>
    <row r="96" spans="1:38" s="1390" customFormat="1" ht="37" customHeight="1" x14ac:dyDescent="0.2">
      <c r="A96" s="1710" t="str">
        <f t="shared" si="66"/>
        <v>02.06.01.01</v>
      </c>
      <c r="B96" s="1426">
        <v>7</v>
      </c>
      <c r="C96" s="1455" t="s">
        <v>4699</v>
      </c>
      <c r="D96" s="1455" t="s">
        <v>189</v>
      </c>
      <c r="E96" s="1416"/>
      <c r="F96" s="1455" t="s">
        <v>190</v>
      </c>
      <c r="G96" s="1414"/>
      <c r="H96" s="1455" t="s">
        <v>191</v>
      </c>
      <c r="I96" s="1501">
        <v>2002</v>
      </c>
      <c r="J96" s="1414"/>
      <c r="K96" s="1653"/>
      <c r="L96" s="1653"/>
      <c r="M96" s="1414"/>
      <c r="N96" s="1414"/>
      <c r="O96" s="1501" t="s">
        <v>12</v>
      </c>
      <c r="P96" s="1529">
        <v>595000</v>
      </c>
      <c r="Q96" s="1598" t="s">
        <v>43</v>
      </c>
      <c r="V96" s="1477" t="str">
        <f t="shared" si="81"/>
        <v>02.06.01</v>
      </c>
      <c r="W96" s="1478" t="str">
        <f t="shared" si="68"/>
        <v>Alat Kantor</v>
      </c>
      <c r="X96" s="1478">
        <f t="shared" si="69"/>
        <v>5</v>
      </c>
      <c r="Y96" s="1401">
        <f t="shared" si="70"/>
        <v>119000</v>
      </c>
      <c r="Z96" s="1444">
        <f t="shared" si="71"/>
        <v>5</v>
      </c>
      <c r="AA96" s="1401">
        <f t="shared" si="72"/>
        <v>595000</v>
      </c>
      <c r="AB96" s="1401">
        <f t="shared" si="73"/>
        <v>0</v>
      </c>
      <c r="AC96" s="1401">
        <f t="shared" si="74"/>
        <v>0</v>
      </c>
      <c r="AD96" s="1401">
        <f t="shared" si="75"/>
        <v>0</v>
      </c>
      <c r="AE96" s="1479">
        <f t="shared" si="76"/>
        <v>0</v>
      </c>
      <c r="AF96" s="1479">
        <f t="shared" si="77"/>
        <v>0</v>
      </c>
      <c r="AG96" s="1479">
        <f t="shared" si="82"/>
        <v>0</v>
      </c>
      <c r="AH96" s="1479">
        <f t="shared" si="78"/>
        <v>595000</v>
      </c>
      <c r="AI96" s="1645">
        <f t="shared" si="79"/>
        <v>2002</v>
      </c>
      <c r="AJ96" s="1401">
        <f t="shared" si="80"/>
        <v>0</v>
      </c>
      <c r="AK96" s="1401"/>
    </row>
    <row r="97" spans="1:37" s="1390" customFormat="1" ht="37" customHeight="1" x14ac:dyDescent="0.2">
      <c r="A97" s="1710" t="str">
        <f t="shared" si="66"/>
        <v>02.06.01.01</v>
      </c>
      <c r="B97" s="1426">
        <v>8</v>
      </c>
      <c r="C97" s="1455" t="s">
        <v>4699</v>
      </c>
      <c r="D97" s="1455" t="s">
        <v>189</v>
      </c>
      <c r="E97" s="1416"/>
      <c r="F97" s="1455" t="s">
        <v>192</v>
      </c>
      <c r="G97" s="1414"/>
      <c r="H97" s="1455" t="s">
        <v>193</v>
      </c>
      <c r="I97" s="1501">
        <v>2003</v>
      </c>
      <c r="J97" s="1414"/>
      <c r="K97" s="1653"/>
      <c r="L97" s="1653"/>
      <c r="M97" s="1414"/>
      <c r="N97" s="1414"/>
      <c r="O97" s="1501" t="s">
        <v>12</v>
      </c>
      <c r="P97" s="1529">
        <v>1050000</v>
      </c>
      <c r="Q97" s="1598" t="s">
        <v>43</v>
      </c>
      <c r="V97" s="1477" t="str">
        <f t="shared" si="81"/>
        <v>02.06.01</v>
      </c>
      <c r="W97" s="1478" t="str">
        <f t="shared" si="68"/>
        <v>Alat Kantor</v>
      </c>
      <c r="X97" s="1478">
        <f t="shared" si="69"/>
        <v>5</v>
      </c>
      <c r="Y97" s="1401">
        <f t="shared" si="70"/>
        <v>210000</v>
      </c>
      <c r="Z97" s="1444">
        <f t="shared" si="71"/>
        <v>5</v>
      </c>
      <c r="AA97" s="1401">
        <f t="shared" si="72"/>
        <v>1050000</v>
      </c>
      <c r="AB97" s="1401">
        <f t="shared" si="73"/>
        <v>0</v>
      </c>
      <c r="AC97" s="1401">
        <f t="shared" si="74"/>
        <v>0</v>
      </c>
      <c r="AD97" s="1401">
        <f t="shared" si="75"/>
        <v>0</v>
      </c>
      <c r="AE97" s="1479">
        <f t="shared" si="76"/>
        <v>0</v>
      </c>
      <c r="AF97" s="1479">
        <f t="shared" si="77"/>
        <v>0</v>
      </c>
      <c r="AG97" s="1479">
        <f t="shared" si="82"/>
        <v>0</v>
      </c>
      <c r="AH97" s="1479">
        <f t="shared" si="78"/>
        <v>1050000</v>
      </c>
      <c r="AI97" s="1645">
        <f t="shared" si="79"/>
        <v>2003</v>
      </c>
      <c r="AJ97" s="1401">
        <f t="shared" si="80"/>
        <v>0</v>
      </c>
      <c r="AK97" s="1401"/>
    </row>
    <row r="98" spans="1:37" s="1390" customFormat="1" ht="37" customHeight="1" x14ac:dyDescent="0.2">
      <c r="A98" s="1710" t="str">
        <f t="shared" si="66"/>
        <v>02.06.02.04</v>
      </c>
      <c r="B98" s="1426">
        <v>9</v>
      </c>
      <c r="C98" s="1455" t="s">
        <v>278</v>
      </c>
      <c r="D98" s="1455" t="s">
        <v>172</v>
      </c>
      <c r="E98" s="1416"/>
      <c r="F98" s="1455" t="s">
        <v>194</v>
      </c>
      <c r="G98" s="1414"/>
      <c r="H98" s="1455" t="s">
        <v>174</v>
      </c>
      <c r="I98" s="1501">
        <v>2003</v>
      </c>
      <c r="J98" s="1414"/>
      <c r="K98" s="1653"/>
      <c r="L98" s="1653"/>
      <c r="M98" s="1414"/>
      <c r="N98" s="1414"/>
      <c r="O98" s="1501" t="s">
        <v>12</v>
      </c>
      <c r="P98" s="1529">
        <v>3439200</v>
      </c>
      <c r="Q98" s="1598" t="s">
        <v>43</v>
      </c>
      <c r="V98" s="1477" t="str">
        <f t="shared" si="81"/>
        <v>02.06.02</v>
      </c>
      <c r="W98" s="1478" t="str">
        <f t="shared" si="68"/>
        <v>Alat Rumah Tangga</v>
      </c>
      <c r="X98" s="1478">
        <f t="shared" si="69"/>
        <v>5</v>
      </c>
      <c r="Y98" s="1401">
        <f t="shared" si="70"/>
        <v>687840</v>
      </c>
      <c r="Z98" s="1444">
        <f t="shared" si="71"/>
        <v>5</v>
      </c>
      <c r="AA98" s="1401">
        <f t="shared" si="72"/>
        <v>3439200</v>
      </c>
      <c r="AB98" s="1401">
        <f t="shared" si="73"/>
        <v>0</v>
      </c>
      <c r="AC98" s="1401">
        <f t="shared" si="74"/>
        <v>0</v>
      </c>
      <c r="AD98" s="1401">
        <f t="shared" si="75"/>
        <v>0</v>
      </c>
      <c r="AE98" s="1479">
        <f t="shared" si="76"/>
        <v>0</v>
      </c>
      <c r="AF98" s="1479">
        <f t="shared" si="77"/>
        <v>0</v>
      </c>
      <c r="AG98" s="1479">
        <f t="shared" si="82"/>
        <v>0</v>
      </c>
      <c r="AH98" s="1479">
        <f t="shared" si="78"/>
        <v>3439200</v>
      </c>
      <c r="AI98" s="1645">
        <f t="shared" si="79"/>
        <v>2003</v>
      </c>
      <c r="AJ98" s="1401">
        <f t="shared" si="80"/>
        <v>0</v>
      </c>
      <c r="AK98" s="1401"/>
    </row>
    <row r="99" spans="1:37" s="1390" customFormat="1" ht="37" customHeight="1" x14ac:dyDescent="0.2">
      <c r="A99" s="1710" t="str">
        <f t="shared" si="66"/>
        <v>02.06.03.05</v>
      </c>
      <c r="B99" s="1426">
        <v>10</v>
      </c>
      <c r="C99" s="1455" t="s">
        <v>4698</v>
      </c>
      <c r="D99" s="1455" t="s">
        <v>180</v>
      </c>
      <c r="E99" s="1416"/>
      <c r="F99" s="1455" t="s">
        <v>173</v>
      </c>
      <c r="G99" s="1414"/>
      <c r="H99" s="1455" t="s">
        <v>181</v>
      </c>
      <c r="I99" s="1501">
        <v>2003</v>
      </c>
      <c r="J99" s="1414"/>
      <c r="K99" s="1653"/>
      <c r="L99" s="1653"/>
      <c r="M99" s="1414"/>
      <c r="N99" s="1414"/>
      <c r="O99" s="1501" t="s">
        <v>12</v>
      </c>
      <c r="P99" s="1529">
        <v>3500000</v>
      </c>
      <c r="Q99" s="1598" t="s">
        <v>43</v>
      </c>
      <c r="V99" s="1477" t="str">
        <f t="shared" si="81"/>
        <v>02.06.03</v>
      </c>
      <c r="W99" s="1478" t="str">
        <f t="shared" si="68"/>
        <v>Peralatan Komputer</v>
      </c>
      <c r="X99" s="1478">
        <f t="shared" si="69"/>
        <v>4</v>
      </c>
      <c r="Y99" s="1401">
        <f t="shared" si="70"/>
        <v>875000</v>
      </c>
      <c r="Z99" s="1444">
        <f t="shared" si="71"/>
        <v>4</v>
      </c>
      <c r="AA99" s="1401">
        <f t="shared" si="72"/>
        <v>3500000</v>
      </c>
      <c r="AB99" s="1401">
        <f t="shared" si="73"/>
        <v>0</v>
      </c>
      <c r="AC99" s="1401">
        <f t="shared" si="74"/>
        <v>0</v>
      </c>
      <c r="AD99" s="1401">
        <f t="shared" si="75"/>
        <v>0</v>
      </c>
      <c r="AE99" s="1479">
        <f t="shared" si="76"/>
        <v>0</v>
      </c>
      <c r="AF99" s="1479">
        <f t="shared" si="77"/>
        <v>0</v>
      </c>
      <c r="AG99" s="1479">
        <f t="shared" si="82"/>
        <v>0</v>
      </c>
      <c r="AH99" s="1479">
        <f t="shared" si="78"/>
        <v>3500000</v>
      </c>
      <c r="AI99" s="1645">
        <f t="shared" si="79"/>
        <v>2003</v>
      </c>
      <c r="AJ99" s="1401">
        <f t="shared" si="80"/>
        <v>0</v>
      </c>
      <c r="AK99" s="1401"/>
    </row>
    <row r="100" spans="1:37" s="1390" customFormat="1" ht="37" customHeight="1" x14ac:dyDescent="0.2">
      <c r="A100" s="1710" t="str">
        <f t="shared" si="66"/>
        <v>02.06.03.05</v>
      </c>
      <c r="B100" s="1426">
        <v>11</v>
      </c>
      <c r="C100" s="1455" t="s">
        <v>4698</v>
      </c>
      <c r="D100" s="1455" t="s">
        <v>180</v>
      </c>
      <c r="E100" s="1416"/>
      <c r="F100" s="1455" t="s">
        <v>173</v>
      </c>
      <c r="G100" s="1414"/>
      <c r="H100" s="1455" t="s">
        <v>181</v>
      </c>
      <c r="I100" s="1501">
        <v>2003</v>
      </c>
      <c r="J100" s="1414"/>
      <c r="K100" s="1653"/>
      <c r="L100" s="1653"/>
      <c r="M100" s="1414"/>
      <c r="N100" s="1414"/>
      <c r="O100" s="1501" t="s">
        <v>12</v>
      </c>
      <c r="P100" s="1529">
        <v>3500000</v>
      </c>
      <c r="Q100" s="1598" t="s">
        <v>43</v>
      </c>
      <c r="V100" s="1477" t="str">
        <f t="shared" si="81"/>
        <v>02.06.03</v>
      </c>
      <c r="W100" s="1478" t="str">
        <f t="shared" si="68"/>
        <v>Peralatan Komputer</v>
      </c>
      <c r="X100" s="1478">
        <f t="shared" si="69"/>
        <v>4</v>
      </c>
      <c r="Y100" s="1401">
        <f t="shared" si="70"/>
        <v>875000</v>
      </c>
      <c r="Z100" s="1444">
        <f t="shared" si="71"/>
        <v>4</v>
      </c>
      <c r="AA100" s="1401">
        <f t="shared" si="72"/>
        <v>3500000</v>
      </c>
      <c r="AB100" s="1401">
        <f t="shared" si="73"/>
        <v>0</v>
      </c>
      <c r="AC100" s="1401">
        <f t="shared" si="74"/>
        <v>0</v>
      </c>
      <c r="AD100" s="1401">
        <f t="shared" si="75"/>
        <v>0</v>
      </c>
      <c r="AE100" s="1479">
        <f t="shared" si="76"/>
        <v>0</v>
      </c>
      <c r="AF100" s="1479">
        <f t="shared" si="77"/>
        <v>0</v>
      </c>
      <c r="AG100" s="1479">
        <f t="shared" si="82"/>
        <v>0</v>
      </c>
      <c r="AH100" s="1479">
        <f t="shared" si="78"/>
        <v>3500000</v>
      </c>
      <c r="AI100" s="1645">
        <f t="shared" si="79"/>
        <v>2003</v>
      </c>
      <c r="AJ100" s="1401">
        <f t="shared" si="80"/>
        <v>0</v>
      </c>
      <c r="AK100" s="1401"/>
    </row>
    <row r="101" spans="1:37" s="1390" customFormat="1" ht="37" customHeight="1" x14ac:dyDescent="0.2">
      <c r="A101" s="1710" t="str">
        <f t="shared" si="66"/>
        <v>02.06.02.01</v>
      </c>
      <c r="B101" s="1426">
        <v>12</v>
      </c>
      <c r="C101" s="1455" t="s">
        <v>4700</v>
      </c>
      <c r="D101" s="1455" t="s">
        <v>198</v>
      </c>
      <c r="E101" s="1416"/>
      <c r="F101" s="1455" t="s">
        <v>199</v>
      </c>
      <c r="G101" s="1414"/>
      <c r="H101" s="1455" t="s">
        <v>200</v>
      </c>
      <c r="I101" s="1501">
        <v>2003</v>
      </c>
      <c r="J101" s="1414"/>
      <c r="K101" s="1653"/>
      <c r="L101" s="1653"/>
      <c r="M101" s="1414"/>
      <c r="N101" s="1414"/>
      <c r="O101" s="1501" t="s">
        <v>12</v>
      </c>
      <c r="P101" s="1529">
        <v>3780000</v>
      </c>
      <c r="Q101" s="1598" t="s">
        <v>43</v>
      </c>
      <c r="V101" s="1477" t="str">
        <f t="shared" si="81"/>
        <v>02.06.02</v>
      </c>
      <c r="W101" s="1478" t="str">
        <f t="shared" si="68"/>
        <v>Alat Rumah Tangga</v>
      </c>
      <c r="X101" s="1478">
        <f t="shared" si="69"/>
        <v>5</v>
      </c>
      <c r="Y101" s="1401">
        <f t="shared" si="70"/>
        <v>756000</v>
      </c>
      <c r="Z101" s="1444">
        <f t="shared" si="71"/>
        <v>5</v>
      </c>
      <c r="AA101" s="1401">
        <f t="shared" si="72"/>
        <v>3780000</v>
      </c>
      <c r="AB101" s="1401">
        <f t="shared" si="73"/>
        <v>0</v>
      </c>
      <c r="AC101" s="1401">
        <f t="shared" si="74"/>
        <v>0</v>
      </c>
      <c r="AD101" s="1401">
        <f t="shared" si="75"/>
        <v>0</v>
      </c>
      <c r="AE101" s="1479">
        <f t="shared" si="76"/>
        <v>0</v>
      </c>
      <c r="AF101" s="1479">
        <f t="shared" si="77"/>
        <v>0</v>
      </c>
      <c r="AG101" s="1479">
        <f t="shared" si="82"/>
        <v>0</v>
      </c>
      <c r="AH101" s="1479">
        <f t="shared" si="78"/>
        <v>3780000</v>
      </c>
      <c r="AI101" s="1645">
        <f t="shared" si="79"/>
        <v>2003</v>
      </c>
      <c r="AJ101" s="1401">
        <f t="shared" si="80"/>
        <v>0</v>
      </c>
      <c r="AK101" s="1401"/>
    </row>
    <row r="102" spans="1:37" s="1390" customFormat="1" ht="37" customHeight="1" x14ac:dyDescent="0.2">
      <c r="A102" s="1710" t="str">
        <f t="shared" si="66"/>
        <v>02.06.03.05</v>
      </c>
      <c r="B102" s="1426">
        <v>13</v>
      </c>
      <c r="C102" s="1455" t="s">
        <v>4697</v>
      </c>
      <c r="D102" s="1455" t="s">
        <v>176</v>
      </c>
      <c r="E102" s="1416"/>
      <c r="F102" s="1455" t="s">
        <v>201</v>
      </c>
      <c r="G102" s="1414"/>
      <c r="H102" s="1455" t="s">
        <v>178</v>
      </c>
      <c r="I102" s="1501">
        <v>2003</v>
      </c>
      <c r="J102" s="1414"/>
      <c r="K102" s="1653"/>
      <c r="L102" s="1653"/>
      <c r="M102" s="1414"/>
      <c r="N102" s="1414"/>
      <c r="O102" s="1501" t="s">
        <v>12</v>
      </c>
      <c r="P102" s="1529">
        <v>700000</v>
      </c>
      <c r="Q102" s="1598" t="s">
        <v>43</v>
      </c>
      <c r="V102" s="1477" t="str">
        <f t="shared" si="81"/>
        <v>02.06.03</v>
      </c>
      <c r="W102" s="1478" t="str">
        <f t="shared" si="68"/>
        <v>Peralatan Komputer</v>
      </c>
      <c r="X102" s="1478">
        <f t="shared" si="69"/>
        <v>4</v>
      </c>
      <c r="Y102" s="1401">
        <f t="shared" si="70"/>
        <v>175000</v>
      </c>
      <c r="Z102" s="1444">
        <f t="shared" si="71"/>
        <v>4</v>
      </c>
      <c r="AA102" s="1401">
        <f t="shared" si="72"/>
        <v>700000</v>
      </c>
      <c r="AB102" s="1401">
        <f t="shared" si="73"/>
        <v>0</v>
      </c>
      <c r="AC102" s="1401">
        <f t="shared" si="74"/>
        <v>0</v>
      </c>
      <c r="AD102" s="1401">
        <f t="shared" si="75"/>
        <v>0</v>
      </c>
      <c r="AE102" s="1479">
        <f t="shared" si="76"/>
        <v>0</v>
      </c>
      <c r="AF102" s="1479">
        <f t="shared" si="77"/>
        <v>0</v>
      </c>
      <c r="AG102" s="1479">
        <f t="shared" si="82"/>
        <v>0</v>
      </c>
      <c r="AH102" s="1479">
        <f t="shared" si="78"/>
        <v>700000</v>
      </c>
      <c r="AI102" s="1645">
        <f t="shared" si="79"/>
        <v>2003</v>
      </c>
      <c r="AJ102" s="1401">
        <f t="shared" si="80"/>
        <v>0</v>
      </c>
      <c r="AK102" s="1401"/>
    </row>
    <row r="103" spans="1:37" s="1390" customFormat="1" ht="37" customHeight="1" x14ac:dyDescent="0.2">
      <c r="A103" s="1710" t="str">
        <f t="shared" si="66"/>
        <v>02.06.03.05</v>
      </c>
      <c r="B103" s="1426">
        <v>14</v>
      </c>
      <c r="C103" s="1455" t="s">
        <v>4698</v>
      </c>
      <c r="D103" s="1455" t="s">
        <v>180</v>
      </c>
      <c r="E103" s="1416"/>
      <c r="F103" s="1455" t="s">
        <v>201</v>
      </c>
      <c r="G103" s="1414"/>
      <c r="H103" s="1455" t="s">
        <v>181</v>
      </c>
      <c r="I103" s="1501">
        <v>2003</v>
      </c>
      <c r="J103" s="1414"/>
      <c r="K103" s="1653"/>
      <c r="L103" s="1653"/>
      <c r="M103" s="1414"/>
      <c r="N103" s="1414"/>
      <c r="O103" s="1501" t="s">
        <v>12</v>
      </c>
      <c r="P103" s="1529">
        <v>2240000</v>
      </c>
      <c r="Q103" s="1598" t="s">
        <v>43</v>
      </c>
      <c r="V103" s="1477" t="str">
        <f t="shared" si="81"/>
        <v>02.06.03</v>
      </c>
      <c r="W103" s="1478" t="str">
        <f t="shared" si="68"/>
        <v>Peralatan Komputer</v>
      </c>
      <c r="X103" s="1478">
        <f t="shared" si="69"/>
        <v>4</v>
      </c>
      <c r="Y103" s="1401">
        <f t="shared" si="70"/>
        <v>560000</v>
      </c>
      <c r="Z103" s="1444">
        <f t="shared" si="71"/>
        <v>4</v>
      </c>
      <c r="AA103" s="1401">
        <f t="shared" si="72"/>
        <v>2240000</v>
      </c>
      <c r="AB103" s="1401">
        <f t="shared" si="73"/>
        <v>0</v>
      </c>
      <c r="AC103" s="1401">
        <f t="shared" si="74"/>
        <v>0</v>
      </c>
      <c r="AD103" s="1401">
        <f t="shared" si="75"/>
        <v>0</v>
      </c>
      <c r="AE103" s="1479">
        <f t="shared" si="76"/>
        <v>0</v>
      </c>
      <c r="AF103" s="1479">
        <f t="shared" si="77"/>
        <v>0</v>
      </c>
      <c r="AG103" s="1479">
        <f t="shared" si="82"/>
        <v>0</v>
      </c>
      <c r="AH103" s="1479">
        <f t="shared" si="78"/>
        <v>2240000</v>
      </c>
      <c r="AI103" s="1645">
        <f t="shared" si="79"/>
        <v>2003</v>
      </c>
      <c r="AJ103" s="1401">
        <f t="shared" si="80"/>
        <v>0</v>
      </c>
      <c r="AK103" s="1401"/>
    </row>
    <row r="104" spans="1:37" s="1390" customFormat="1" ht="37" customHeight="1" x14ac:dyDescent="0.2">
      <c r="A104" s="1710" t="str">
        <f t="shared" si="66"/>
        <v>02.06.02.06</v>
      </c>
      <c r="B104" s="1426">
        <v>15</v>
      </c>
      <c r="C104" s="1455" t="s">
        <v>5760</v>
      </c>
      <c r="D104" s="1455" t="s">
        <v>203</v>
      </c>
      <c r="E104" s="1416"/>
      <c r="F104" s="1455" t="s">
        <v>204</v>
      </c>
      <c r="G104" s="1414"/>
      <c r="H104" s="1455" t="s">
        <v>174</v>
      </c>
      <c r="I104" s="1501">
        <v>2003</v>
      </c>
      <c r="J104" s="1414"/>
      <c r="K104" s="1653"/>
      <c r="L104" s="1653"/>
      <c r="M104" s="1414"/>
      <c r="N104" s="1414"/>
      <c r="O104" s="1501" t="s">
        <v>12</v>
      </c>
      <c r="P104" s="1529">
        <v>875000</v>
      </c>
      <c r="Q104" s="1598" t="s">
        <v>43</v>
      </c>
      <c r="V104" s="1477" t="str">
        <f t="shared" si="81"/>
        <v>02.06.02</v>
      </c>
      <c r="W104" s="1478" t="str">
        <f t="shared" si="68"/>
        <v>Alat Rumah Tangga</v>
      </c>
      <c r="X104" s="1478">
        <f t="shared" si="69"/>
        <v>5</v>
      </c>
      <c r="Y104" s="1401">
        <f t="shared" si="70"/>
        <v>175000</v>
      </c>
      <c r="Z104" s="1444">
        <f t="shared" si="71"/>
        <v>5</v>
      </c>
      <c r="AA104" s="1401">
        <f t="shared" si="72"/>
        <v>875000</v>
      </c>
      <c r="AB104" s="1401">
        <f t="shared" si="73"/>
        <v>0</v>
      </c>
      <c r="AC104" s="1401">
        <f t="shared" si="74"/>
        <v>0</v>
      </c>
      <c r="AD104" s="1401">
        <f t="shared" si="75"/>
        <v>0</v>
      </c>
      <c r="AE104" s="1479">
        <f t="shared" si="76"/>
        <v>0</v>
      </c>
      <c r="AF104" s="1479">
        <f t="shared" si="77"/>
        <v>0</v>
      </c>
      <c r="AG104" s="1479">
        <f t="shared" si="82"/>
        <v>0</v>
      </c>
      <c r="AH104" s="1479">
        <f t="shared" si="78"/>
        <v>875000</v>
      </c>
      <c r="AI104" s="1645">
        <f t="shared" si="79"/>
        <v>2003</v>
      </c>
      <c r="AJ104" s="1401">
        <f t="shared" si="80"/>
        <v>0</v>
      </c>
      <c r="AK104" s="1401"/>
    </row>
    <row r="105" spans="1:37" s="1390" customFormat="1" ht="37" customHeight="1" x14ac:dyDescent="0.2">
      <c r="A105" s="1710" t="str">
        <f t="shared" si="66"/>
        <v>02.06.03.05</v>
      </c>
      <c r="B105" s="1426">
        <v>16</v>
      </c>
      <c r="C105" s="1455" t="s">
        <v>299</v>
      </c>
      <c r="D105" s="1455" t="s">
        <v>183</v>
      </c>
      <c r="E105" s="1416"/>
      <c r="F105" s="1455" t="s">
        <v>184</v>
      </c>
      <c r="G105" s="1414"/>
      <c r="H105" s="1455" t="s">
        <v>174</v>
      </c>
      <c r="I105" s="1501">
        <v>2003</v>
      </c>
      <c r="J105" s="1414"/>
      <c r="K105" s="1653"/>
      <c r="L105" s="1653"/>
      <c r="M105" s="1414"/>
      <c r="N105" s="1414"/>
      <c r="O105" s="1501" t="s">
        <v>12</v>
      </c>
      <c r="P105" s="1529">
        <v>745000</v>
      </c>
      <c r="Q105" s="1598" t="s">
        <v>43</v>
      </c>
      <c r="V105" s="1477" t="str">
        <f t="shared" si="81"/>
        <v>02.06.03</v>
      </c>
      <c r="W105" s="1478" t="str">
        <f t="shared" si="68"/>
        <v>Peralatan Komputer</v>
      </c>
      <c r="X105" s="1478">
        <f t="shared" si="69"/>
        <v>4</v>
      </c>
      <c r="Y105" s="1401">
        <f t="shared" si="70"/>
        <v>186250</v>
      </c>
      <c r="Z105" s="1444">
        <f t="shared" si="71"/>
        <v>4</v>
      </c>
      <c r="AA105" s="1401">
        <f t="shared" si="72"/>
        <v>745000</v>
      </c>
      <c r="AB105" s="1401">
        <f t="shared" si="73"/>
        <v>0</v>
      </c>
      <c r="AC105" s="1401">
        <f t="shared" si="74"/>
        <v>0</v>
      </c>
      <c r="AD105" s="1401">
        <f t="shared" si="75"/>
        <v>0</v>
      </c>
      <c r="AE105" s="1479">
        <f t="shared" si="76"/>
        <v>0</v>
      </c>
      <c r="AF105" s="1479">
        <f t="shared" si="77"/>
        <v>0</v>
      </c>
      <c r="AG105" s="1479">
        <f t="shared" si="82"/>
        <v>0</v>
      </c>
      <c r="AH105" s="1479">
        <f t="shared" si="78"/>
        <v>745000</v>
      </c>
      <c r="AI105" s="1645">
        <f t="shared" si="79"/>
        <v>2003</v>
      </c>
      <c r="AJ105" s="1401">
        <f t="shared" si="80"/>
        <v>0</v>
      </c>
      <c r="AK105" s="1401"/>
    </row>
    <row r="106" spans="1:37" s="1390" customFormat="1" ht="37" customHeight="1" x14ac:dyDescent="0.2">
      <c r="A106" s="1710" t="str">
        <f t="shared" si="66"/>
        <v>02.06.03.05</v>
      </c>
      <c r="B106" s="1426">
        <v>17</v>
      </c>
      <c r="C106" s="1455" t="s">
        <v>4697</v>
      </c>
      <c r="D106" s="1455" t="s">
        <v>176</v>
      </c>
      <c r="E106" s="1416"/>
      <c r="F106" s="1455" t="s">
        <v>205</v>
      </c>
      <c r="G106" s="1414"/>
      <c r="H106" s="1455" t="s">
        <v>178</v>
      </c>
      <c r="I106" s="1501">
        <v>2003</v>
      </c>
      <c r="J106" s="1414"/>
      <c r="K106" s="1653"/>
      <c r="L106" s="1653"/>
      <c r="M106" s="1414"/>
      <c r="N106" s="1414"/>
      <c r="O106" s="1501" t="s">
        <v>12</v>
      </c>
      <c r="P106" s="1529">
        <v>595000</v>
      </c>
      <c r="Q106" s="1598" t="s">
        <v>43</v>
      </c>
      <c r="V106" s="1477" t="str">
        <f t="shared" si="81"/>
        <v>02.06.03</v>
      </c>
      <c r="W106" s="1478" t="str">
        <f t="shared" si="68"/>
        <v>Peralatan Komputer</v>
      </c>
      <c r="X106" s="1478">
        <f t="shared" si="69"/>
        <v>4</v>
      </c>
      <c r="Y106" s="1401">
        <f t="shared" si="70"/>
        <v>148750</v>
      </c>
      <c r="Z106" s="1444">
        <f t="shared" si="71"/>
        <v>4</v>
      </c>
      <c r="AA106" s="1401">
        <f t="shared" si="72"/>
        <v>595000</v>
      </c>
      <c r="AB106" s="1401">
        <f t="shared" si="73"/>
        <v>0</v>
      </c>
      <c r="AC106" s="1401">
        <f t="shared" si="74"/>
        <v>0</v>
      </c>
      <c r="AD106" s="1401">
        <f t="shared" si="75"/>
        <v>0</v>
      </c>
      <c r="AE106" s="1479">
        <f t="shared" si="76"/>
        <v>0</v>
      </c>
      <c r="AF106" s="1479">
        <f t="shared" si="77"/>
        <v>0</v>
      </c>
      <c r="AG106" s="1479">
        <f t="shared" si="82"/>
        <v>0</v>
      </c>
      <c r="AH106" s="1479">
        <f t="shared" si="78"/>
        <v>595000</v>
      </c>
      <c r="AI106" s="1645">
        <f t="shared" si="79"/>
        <v>2003</v>
      </c>
      <c r="AJ106" s="1401">
        <f t="shared" si="80"/>
        <v>0</v>
      </c>
      <c r="AK106" s="1401"/>
    </row>
    <row r="107" spans="1:37" s="1390" customFormat="1" ht="37" customHeight="1" x14ac:dyDescent="0.2">
      <c r="A107" s="1710" t="str">
        <f t="shared" si="66"/>
        <v>02.06.03.05</v>
      </c>
      <c r="B107" s="1426">
        <v>18</v>
      </c>
      <c r="C107" s="1455" t="s">
        <v>4698</v>
      </c>
      <c r="D107" s="1455" t="s">
        <v>180</v>
      </c>
      <c r="E107" s="1416"/>
      <c r="F107" s="1455" t="s">
        <v>206</v>
      </c>
      <c r="G107" s="1414"/>
      <c r="H107" s="1455" t="s">
        <v>181</v>
      </c>
      <c r="I107" s="1501">
        <v>2003</v>
      </c>
      <c r="J107" s="1414"/>
      <c r="K107" s="1653"/>
      <c r="L107" s="1653"/>
      <c r="M107" s="1414"/>
      <c r="N107" s="1414"/>
      <c r="O107" s="1501" t="s">
        <v>12</v>
      </c>
      <c r="P107" s="1529">
        <v>2240000</v>
      </c>
      <c r="Q107" s="1598" t="s">
        <v>43</v>
      </c>
      <c r="V107" s="1477" t="str">
        <f t="shared" si="81"/>
        <v>02.06.03</v>
      </c>
      <c r="W107" s="1478" t="str">
        <f t="shared" si="68"/>
        <v>Peralatan Komputer</v>
      </c>
      <c r="X107" s="1478">
        <f t="shared" si="69"/>
        <v>4</v>
      </c>
      <c r="Y107" s="1401">
        <f t="shared" si="70"/>
        <v>560000</v>
      </c>
      <c r="Z107" s="1444">
        <f t="shared" si="71"/>
        <v>4</v>
      </c>
      <c r="AA107" s="1401">
        <f t="shared" si="72"/>
        <v>2240000</v>
      </c>
      <c r="AB107" s="1401">
        <f t="shared" si="73"/>
        <v>0</v>
      </c>
      <c r="AC107" s="1401">
        <f t="shared" si="74"/>
        <v>0</v>
      </c>
      <c r="AD107" s="1401">
        <f t="shared" si="75"/>
        <v>0</v>
      </c>
      <c r="AE107" s="1479">
        <f t="shared" si="76"/>
        <v>0</v>
      </c>
      <c r="AF107" s="1479">
        <f t="shared" si="77"/>
        <v>0</v>
      </c>
      <c r="AG107" s="1479">
        <f t="shared" si="82"/>
        <v>0</v>
      </c>
      <c r="AH107" s="1479">
        <f t="shared" si="78"/>
        <v>2240000</v>
      </c>
      <c r="AI107" s="1645">
        <f t="shared" si="79"/>
        <v>2003</v>
      </c>
      <c r="AJ107" s="1401">
        <f t="shared" si="80"/>
        <v>0</v>
      </c>
      <c r="AK107" s="1401"/>
    </row>
    <row r="108" spans="1:37" s="1390" customFormat="1" ht="37" customHeight="1" x14ac:dyDescent="0.2">
      <c r="A108" s="1710" t="str">
        <f t="shared" si="66"/>
        <v>02.06.01.04</v>
      </c>
      <c r="B108" s="1426">
        <v>19</v>
      </c>
      <c r="C108" s="1455" t="s">
        <v>4706</v>
      </c>
      <c r="D108" s="1455" t="s">
        <v>212</v>
      </c>
      <c r="E108" s="1416"/>
      <c r="F108" s="1455" t="s">
        <v>199</v>
      </c>
      <c r="G108" s="1414"/>
      <c r="H108" s="1455" t="s">
        <v>213</v>
      </c>
      <c r="I108" s="1501">
        <v>2005</v>
      </c>
      <c r="J108" s="1414"/>
      <c r="K108" s="1653"/>
      <c r="L108" s="1653"/>
      <c r="M108" s="1414"/>
      <c r="N108" s="1414"/>
      <c r="O108" s="1501" t="s">
        <v>12</v>
      </c>
      <c r="P108" s="1529">
        <v>770000</v>
      </c>
      <c r="Q108" s="1598" t="s">
        <v>43</v>
      </c>
      <c r="V108" s="1477" t="str">
        <f t="shared" si="81"/>
        <v>02.06.01</v>
      </c>
      <c r="W108" s="1478" t="str">
        <f t="shared" si="68"/>
        <v>Alat Kantor</v>
      </c>
      <c r="X108" s="1478">
        <f t="shared" si="69"/>
        <v>5</v>
      </c>
      <c r="Y108" s="1401">
        <f t="shared" si="70"/>
        <v>154000</v>
      </c>
      <c r="Z108" s="1444">
        <f t="shared" si="71"/>
        <v>5</v>
      </c>
      <c r="AA108" s="1401">
        <f t="shared" si="72"/>
        <v>770000</v>
      </c>
      <c r="AB108" s="1401">
        <f t="shared" si="73"/>
        <v>0</v>
      </c>
      <c r="AC108" s="1401">
        <f t="shared" si="74"/>
        <v>0</v>
      </c>
      <c r="AD108" s="1401">
        <f t="shared" si="75"/>
        <v>0</v>
      </c>
      <c r="AE108" s="1479">
        <f t="shared" si="76"/>
        <v>0</v>
      </c>
      <c r="AF108" s="1479">
        <f t="shared" si="77"/>
        <v>0</v>
      </c>
      <c r="AG108" s="1479">
        <f t="shared" si="82"/>
        <v>0</v>
      </c>
      <c r="AH108" s="1479">
        <f t="shared" si="78"/>
        <v>770000</v>
      </c>
      <c r="AI108" s="1645">
        <f t="shared" si="79"/>
        <v>2005</v>
      </c>
      <c r="AJ108" s="1401">
        <f t="shared" si="80"/>
        <v>0</v>
      </c>
      <c r="AK108" s="1401"/>
    </row>
    <row r="109" spans="1:37" s="1390" customFormat="1" ht="37" customHeight="1" x14ac:dyDescent="0.2">
      <c r="A109" s="1710" t="str">
        <f t="shared" si="66"/>
        <v>02.06.02.01</v>
      </c>
      <c r="B109" s="1426">
        <v>20</v>
      </c>
      <c r="C109" s="1455" t="s">
        <v>4700</v>
      </c>
      <c r="D109" s="1455" t="s">
        <v>198</v>
      </c>
      <c r="E109" s="1416"/>
      <c r="F109" s="1455" t="s">
        <v>199</v>
      </c>
      <c r="G109" s="1414"/>
      <c r="H109" s="1455" t="s">
        <v>214</v>
      </c>
      <c r="I109" s="1501">
        <v>2005</v>
      </c>
      <c r="J109" s="1414"/>
      <c r="K109" s="1653"/>
      <c r="L109" s="1653"/>
      <c r="M109" s="1414"/>
      <c r="N109" s="1414"/>
      <c r="O109" s="1501" t="s">
        <v>12</v>
      </c>
      <c r="P109" s="1529">
        <v>637500</v>
      </c>
      <c r="Q109" s="1598" t="s">
        <v>43</v>
      </c>
      <c r="V109" s="1477" t="str">
        <f t="shared" si="81"/>
        <v>02.06.02</v>
      </c>
      <c r="W109" s="1478" t="str">
        <f t="shared" si="68"/>
        <v>Alat Rumah Tangga</v>
      </c>
      <c r="X109" s="1478">
        <f t="shared" si="69"/>
        <v>5</v>
      </c>
      <c r="Y109" s="1401">
        <f t="shared" si="70"/>
        <v>127500</v>
      </c>
      <c r="Z109" s="1444">
        <f t="shared" si="71"/>
        <v>5</v>
      </c>
      <c r="AA109" s="1401">
        <f t="shared" si="72"/>
        <v>637500</v>
      </c>
      <c r="AB109" s="1401">
        <f t="shared" si="73"/>
        <v>0</v>
      </c>
      <c r="AC109" s="1401">
        <f t="shared" si="74"/>
        <v>0</v>
      </c>
      <c r="AD109" s="1401">
        <f t="shared" si="75"/>
        <v>0</v>
      </c>
      <c r="AE109" s="1479">
        <f t="shared" si="76"/>
        <v>0</v>
      </c>
      <c r="AF109" s="1479">
        <f t="shared" si="77"/>
        <v>0</v>
      </c>
      <c r="AG109" s="1479">
        <f t="shared" si="82"/>
        <v>0</v>
      </c>
      <c r="AH109" s="1479">
        <f t="shared" si="78"/>
        <v>637500</v>
      </c>
      <c r="AI109" s="1645">
        <f t="shared" si="79"/>
        <v>2005</v>
      </c>
      <c r="AJ109" s="1401">
        <f t="shared" si="80"/>
        <v>0</v>
      </c>
      <c r="AK109" s="1401"/>
    </row>
    <row r="110" spans="1:37" s="1390" customFormat="1" ht="37" customHeight="1" x14ac:dyDescent="0.2">
      <c r="A110" s="1710" t="str">
        <f t="shared" si="66"/>
        <v>02.06.03.05</v>
      </c>
      <c r="B110" s="1426">
        <v>21</v>
      </c>
      <c r="C110" s="1455" t="s">
        <v>4697</v>
      </c>
      <c r="D110" s="1455" t="s">
        <v>176</v>
      </c>
      <c r="E110" s="1416"/>
      <c r="F110" s="1455" t="s">
        <v>177</v>
      </c>
      <c r="G110" s="1414"/>
      <c r="H110" s="1455" t="s">
        <v>178</v>
      </c>
      <c r="I110" s="1501">
        <v>2005</v>
      </c>
      <c r="J110" s="1414"/>
      <c r="K110" s="1653"/>
      <c r="L110" s="1653"/>
      <c r="M110" s="1414"/>
      <c r="N110" s="1414"/>
      <c r="O110" s="1501" t="s">
        <v>12</v>
      </c>
      <c r="P110" s="1529">
        <v>750000</v>
      </c>
      <c r="Q110" s="1598" t="s">
        <v>43</v>
      </c>
      <c r="V110" s="1477" t="str">
        <f t="shared" si="81"/>
        <v>02.06.03</v>
      </c>
      <c r="W110" s="1478" t="str">
        <f t="shared" si="68"/>
        <v>Peralatan Komputer</v>
      </c>
      <c r="X110" s="1478">
        <f t="shared" si="69"/>
        <v>4</v>
      </c>
      <c r="Y110" s="1401">
        <f t="shared" si="70"/>
        <v>187500</v>
      </c>
      <c r="Z110" s="1444">
        <f t="shared" si="71"/>
        <v>4</v>
      </c>
      <c r="AA110" s="1401">
        <f t="shared" si="72"/>
        <v>750000</v>
      </c>
      <c r="AB110" s="1401">
        <f t="shared" si="73"/>
        <v>0</v>
      </c>
      <c r="AC110" s="1401">
        <f t="shared" si="74"/>
        <v>0</v>
      </c>
      <c r="AD110" s="1401">
        <f t="shared" si="75"/>
        <v>0</v>
      </c>
      <c r="AE110" s="1479">
        <f t="shared" si="76"/>
        <v>0</v>
      </c>
      <c r="AF110" s="1479">
        <f t="shared" si="77"/>
        <v>0</v>
      </c>
      <c r="AG110" s="1479">
        <f t="shared" si="82"/>
        <v>0</v>
      </c>
      <c r="AH110" s="1479">
        <f t="shared" si="78"/>
        <v>750000</v>
      </c>
      <c r="AI110" s="1645">
        <f t="shared" si="79"/>
        <v>2005</v>
      </c>
      <c r="AJ110" s="1401">
        <f t="shared" si="80"/>
        <v>0</v>
      </c>
      <c r="AK110" s="1401"/>
    </row>
    <row r="111" spans="1:37" s="1390" customFormat="1" ht="37" customHeight="1" x14ac:dyDescent="0.2">
      <c r="A111" s="1710" t="str">
        <f t="shared" si="66"/>
        <v>02.06.03.05</v>
      </c>
      <c r="B111" s="1426">
        <v>22</v>
      </c>
      <c r="C111" s="1455" t="s">
        <v>4697</v>
      </c>
      <c r="D111" s="1455" t="s">
        <v>176</v>
      </c>
      <c r="E111" s="1416"/>
      <c r="F111" s="1455" t="s">
        <v>201</v>
      </c>
      <c r="G111" s="1414"/>
      <c r="H111" s="1455" t="s">
        <v>178</v>
      </c>
      <c r="I111" s="1501">
        <v>2005</v>
      </c>
      <c r="J111" s="1414"/>
      <c r="K111" s="1653"/>
      <c r="L111" s="1653"/>
      <c r="M111" s="1414"/>
      <c r="N111" s="1414"/>
      <c r="O111" s="1501" t="s">
        <v>12</v>
      </c>
      <c r="P111" s="1529">
        <v>750000</v>
      </c>
      <c r="Q111" s="1598" t="s">
        <v>43</v>
      </c>
      <c r="V111" s="1477" t="str">
        <f t="shared" si="81"/>
        <v>02.06.03</v>
      </c>
      <c r="W111" s="1478" t="str">
        <f t="shared" si="68"/>
        <v>Peralatan Komputer</v>
      </c>
      <c r="X111" s="1478">
        <f t="shared" si="69"/>
        <v>4</v>
      </c>
      <c r="Y111" s="1401">
        <f t="shared" si="70"/>
        <v>187500</v>
      </c>
      <c r="Z111" s="1444">
        <f t="shared" si="71"/>
        <v>4</v>
      </c>
      <c r="AA111" s="1401">
        <f t="shared" si="72"/>
        <v>750000</v>
      </c>
      <c r="AB111" s="1401">
        <f t="shared" si="73"/>
        <v>0</v>
      </c>
      <c r="AC111" s="1401">
        <f t="shared" si="74"/>
        <v>0</v>
      </c>
      <c r="AD111" s="1401">
        <f t="shared" si="75"/>
        <v>0</v>
      </c>
      <c r="AE111" s="1479">
        <f t="shared" si="76"/>
        <v>0</v>
      </c>
      <c r="AF111" s="1479">
        <f t="shared" si="77"/>
        <v>0</v>
      </c>
      <c r="AG111" s="1479">
        <f t="shared" si="82"/>
        <v>0</v>
      </c>
      <c r="AH111" s="1479">
        <f t="shared" si="78"/>
        <v>750000</v>
      </c>
      <c r="AI111" s="1645">
        <f t="shared" si="79"/>
        <v>2005</v>
      </c>
      <c r="AJ111" s="1401">
        <f t="shared" si="80"/>
        <v>0</v>
      </c>
      <c r="AK111" s="1401"/>
    </row>
    <row r="112" spans="1:37" s="1390" customFormat="1" ht="37" customHeight="1" x14ac:dyDescent="0.2">
      <c r="A112" s="1710" t="str">
        <f t="shared" si="66"/>
        <v>02.06.03.05</v>
      </c>
      <c r="B112" s="1426">
        <v>23</v>
      </c>
      <c r="C112" s="1455" t="s">
        <v>4698</v>
      </c>
      <c r="D112" s="1455" t="s">
        <v>180</v>
      </c>
      <c r="E112" s="1416"/>
      <c r="F112" s="1455" t="s">
        <v>206</v>
      </c>
      <c r="G112" s="1414"/>
      <c r="H112" s="1455" t="s">
        <v>181</v>
      </c>
      <c r="I112" s="1501">
        <v>2005</v>
      </c>
      <c r="J112" s="1414"/>
      <c r="K112" s="1653"/>
      <c r="L112" s="1653"/>
      <c r="M112" s="1414"/>
      <c r="N112" s="1414"/>
      <c r="O112" s="1501" t="s">
        <v>12</v>
      </c>
      <c r="P112" s="1529">
        <v>2400000</v>
      </c>
      <c r="Q112" s="1598" t="s">
        <v>43</v>
      </c>
      <c r="V112" s="1477" t="str">
        <f t="shared" si="81"/>
        <v>02.06.03</v>
      </c>
      <c r="W112" s="1478" t="str">
        <f t="shared" si="68"/>
        <v>Peralatan Komputer</v>
      </c>
      <c r="X112" s="1478">
        <f t="shared" si="69"/>
        <v>4</v>
      </c>
      <c r="Y112" s="1401">
        <f t="shared" si="70"/>
        <v>600000</v>
      </c>
      <c r="Z112" s="1444">
        <f t="shared" si="71"/>
        <v>4</v>
      </c>
      <c r="AA112" s="1401">
        <f t="shared" si="72"/>
        <v>2400000</v>
      </c>
      <c r="AB112" s="1401">
        <f t="shared" si="73"/>
        <v>0</v>
      </c>
      <c r="AC112" s="1401">
        <f t="shared" si="74"/>
        <v>0</v>
      </c>
      <c r="AD112" s="1401">
        <f t="shared" si="75"/>
        <v>0</v>
      </c>
      <c r="AE112" s="1479">
        <f t="shared" si="76"/>
        <v>0</v>
      </c>
      <c r="AF112" s="1479">
        <f t="shared" si="77"/>
        <v>0</v>
      </c>
      <c r="AG112" s="1479">
        <f t="shared" si="82"/>
        <v>0</v>
      </c>
      <c r="AH112" s="1479">
        <f t="shared" si="78"/>
        <v>2400000</v>
      </c>
      <c r="AI112" s="1645">
        <f t="shared" si="79"/>
        <v>2005</v>
      </c>
      <c r="AJ112" s="1401">
        <f t="shared" si="80"/>
        <v>0</v>
      </c>
      <c r="AK112" s="1401"/>
    </row>
    <row r="113" spans="1:37" s="1390" customFormat="1" ht="37" customHeight="1" x14ac:dyDescent="0.2">
      <c r="A113" s="1710" t="str">
        <f t="shared" si="66"/>
        <v>02.06.02.04</v>
      </c>
      <c r="B113" s="1426">
        <v>24</v>
      </c>
      <c r="C113" s="1455" t="s">
        <v>278</v>
      </c>
      <c r="D113" s="1455" t="s">
        <v>172</v>
      </c>
      <c r="E113" s="1416"/>
      <c r="F113" s="1455" t="s">
        <v>177</v>
      </c>
      <c r="G113" s="1414"/>
      <c r="H113" s="1455" t="s">
        <v>174</v>
      </c>
      <c r="I113" s="1501">
        <v>2005</v>
      </c>
      <c r="J113" s="1414"/>
      <c r="K113" s="1653"/>
      <c r="L113" s="1653"/>
      <c r="M113" s="1414"/>
      <c r="N113" s="1414"/>
      <c r="O113" s="1501" t="s">
        <v>12</v>
      </c>
      <c r="P113" s="1529">
        <v>2250000</v>
      </c>
      <c r="Q113" s="1598" t="s">
        <v>43</v>
      </c>
      <c r="V113" s="1477" t="str">
        <f t="shared" si="81"/>
        <v>02.06.02</v>
      </c>
      <c r="W113" s="1478" t="str">
        <f t="shared" si="68"/>
        <v>Alat Rumah Tangga</v>
      </c>
      <c r="X113" s="1478">
        <f t="shared" si="69"/>
        <v>5</v>
      </c>
      <c r="Y113" s="1401">
        <f t="shared" si="70"/>
        <v>450000</v>
      </c>
      <c r="Z113" s="1444">
        <f t="shared" si="71"/>
        <v>5</v>
      </c>
      <c r="AA113" s="1401">
        <f t="shared" si="72"/>
        <v>2250000</v>
      </c>
      <c r="AB113" s="1401">
        <f t="shared" si="73"/>
        <v>0</v>
      </c>
      <c r="AC113" s="1401">
        <f t="shared" si="74"/>
        <v>0</v>
      </c>
      <c r="AD113" s="1401">
        <f t="shared" si="75"/>
        <v>0</v>
      </c>
      <c r="AE113" s="1479">
        <f t="shared" si="76"/>
        <v>0</v>
      </c>
      <c r="AF113" s="1479">
        <f t="shared" si="77"/>
        <v>0</v>
      </c>
      <c r="AG113" s="1479">
        <f t="shared" si="82"/>
        <v>0</v>
      </c>
      <c r="AH113" s="1479">
        <f t="shared" si="78"/>
        <v>2250000</v>
      </c>
      <c r="AI113" s="1645">
        <f t="shared" si="79"/>
        <v>2005</v>
      </c>
      <c r="AJ113" s="1401">
        <f t="shared" si="80"/>
        <v>0</v>
      </c>
      <c r="AK113" s="1401"/>
    </row>
    <row r="114" spans="1:37" s="1390" customFormat="1" ht="37" customHeight="1" x14ac:dyDescent="0.2">
      <c r="A114" s="1710" t="str">
        <f t="shared" si="66"/>
        <v>02.06.03.05</v>
      </c>
      <c r="B114" s="1426">
        <v>25</v>
      </c>
      <c r="C114" s="1455" t="s">
        <v>299</v>
      </c>
      <c r="D114" s="1455" t="s">
        <v>183</v>
      </c>
      <c r="E114" s="1416"/>
      <c r="F114" s="1455" t="s">
        <v>184</v>
      </c>
      <c r="G114" s="1414"/>
      <c r="H114" s="1455" t="s">
        <v>174</v>
      </c>
      <c r="I114" s="1501">
        <v>2005</v>
      </c>
      <c r="J114" s="1414"/>
      <c r="K114" s="1653"/>
      <c r="L114" s="1653"/>
      <c r="M114" s="1414"/>
      <c r="N114" s="1414"/>
      <c r="O114" s="1501" t="s">
        <v>12</v>
      </c>
      <c r="P114" s="1529">
        <v>1117500</v>
      </c>
      <c r="Q114" s="1598" t="s">
        <v>43</v>
      </c>
      <c r="V114" s="1477" t="str">
        <f t="shared" si="81"/>
        <v>02.06.03</v>
      </c>
      <c r="W114" s="1478" t="str">
        <f t="shared" si="68"/>
        <v>Peralatan Komputer</v>
      </c>
      <c r="X114" s="1478">
        <f t="shared" si="69"/>
        <v>4</v>
      </c>
      <c r="Y114" s="1401">
        <f t="shared" si="70"/>
        <v>279375</v>
      </c>
      <c r="Z114" s="1444">
        <f t="shared" si="71"/>
        <v>4</v>
      </c>
      <c r="AA114" s="1401">
        <f t="shared" si="72"/>
        <v>1117500</v>
      </c>
      <c r="AB114" s="1401">
        <f t="shared" si="73"/>
        <v>0</v>
      </c>
      <c r="AC114" s="1401">
        <f t="shared" si="74"/>
        <v>0</v>
      </c>
      <c r="AD114" s="1401">
        <f t="shared" si="75"/>
        <v>0</v>
      </c>
      <c r="AE114" s="1479">
        <f t="shared" si="76"/>
        <v>0</v>
      </c>
      <c r="AF114" s="1479">
        <f t="shared" si="77"/>
        <v>0</v>
      </c>
      <c r="AG114" s="1479">
        <f t="shared" si="82"/>
        <v>0</v>
      </c>
      <c r="AH114" s="1479">
        <f t="shared" si="78"/>
        <v>1117500</v>
      </c>
      <c r="AI114" s="1645">
        <f t="shared" si="79"/>
        <v>2005</v>
      </c>
      <c r="AJ114" s="1401">
        <f t="shared" si="80"/>
        <v>0</v>
      </c>
      <c r="AK114" s="1401"/>
    </row>
    <row r="115" spans="1:37" s="1390" customFormat="1" ht="37" customHeight="1" x14ac:dyDescent="0.2">
      <c r="A115" s="1710" t="str">
        <f t="shared" si="66"/>
        <v>02.06.03.05</v>
      </c>
      <c r="B115" s="1426">
        <v>26</v>
      </c>
      <c r="C115" s="1455" t="s">
        <v>4697</v>
      </c>
      <c r="D115" s="1455" t="s">
        <v>176</v>
      </c>
      <c r="E115" s="1416"/>
      <c r="F115" s="1455" t="s">
        <v>173</v>
      </c>
      <c r="G115" s="1414"/>
      <c r="H115" s="1455" t="s">
        <v>178</v>
      </c>
      <c r="I115" s="1501">
        <v>2005</v>
      </c>
      <c r="J115" s="1414"/>
      <c r="K115" s="1653"/>
      <c r="L115" s="1653"/>
      <c r="M115" s="1414"/>
      <c r="N115" s="1414"/>
      <c r="O115" s="1501" t="s">
        <v>12</v>
      </c>
      <c r="P115" s="1529">
        <v>552500</v>
      </c>
      <c r="Q115" s="1598" t="s">
        <v>43</v>
      </c>
      <c r="V115" s="1477" t="str">
        <f t="shared" si="81"/>
        <v>02.06.03</v>
      </c>
      <c r="W115" s="1478" t="str">
        <f t="shared" si="68"/>
        <v>Peralatan Komputer</v>
      </c>
      <c r="X115" s="1478">
        <f t="shared" si="69"/>
        <v>4</v>
      </c>
      <c r="Y115" s="1401">
        <f t="shared" si="70"/>
        <v>138125</v>
      </c>
      <c r="Z115" s="1444">
        <f t="shared" si="71"/>
        <v>4</v>
      </c>
      <c r="AA115" s="1401">
        <f t="shared" si="72"/>
        <v>552500</v>
      </c>
      <c r="AB115" s="1401">
        <f t="shared" si="73"/>
        <v>0</v>
      </c>
      <c r="AC115" s="1401">
        <f t="shared" si="74"/>
        <v>0</v>
      </c>
      <c r="AD115" s="1401">
        <f t="shared" si="75"/>
        <v>0</v>
      </c>
      <c r="AE115" s="1479">
        <f t="shared" si="76"/>
        <v>0</v>
      </c>
      <c r="AF115" s="1479">
        <f t="shared" si="77"/>
        <v>0</v>
      </c>
      <c r="AG115" s="1479">
        <f t="shared" si="82"/>
        <v>0</v>
      </c>
      <c r="AH115" s="1479">
        <f t="shared" si="78"/>
        <v>552500</v>
      </c>
      <c r="AI115" s="1645">
        <f t="shared" si="79"/>
        <v>2005</v>
      </c>
      <c r="AJ115" s="1401">
        <f t="shared" si="80"/>
        <v>0</v>
      </c>
      <c r="AK115" s="1401"/>
    </row>
    <row r="116" spans="1:37" s="1390" customFormat="1" ht="37" customHeight="1" x14ac:dyDescent="0.2">
      <c r="A116" s="1710" t="str">
        <f t="shared" si="66"/>
        <v>02.06.03.05</v>
      </c>
      <c r="B116" s="1426">
        <v>27</v>
      </c>
      <c r="C116" s="1455" t="s">
        <v>4698</v>
      </c>
      <c r="D116" s="1455" t="s">
        <v>180</v>
      </c>
      <c r="E116" s="1416"/>
      <c r="F116" s="1455" t="s">
        <v>227</v>
      </c>
      <c r="G116" s="1414"/>
      <c r="H116" s="1455" t="s">
        <v>181</v>
      </c>
      <c r="I116" s="1501">
        <v>2005</v>
      </c>
      <c r="J116" s="1414"/>
      <c r="K116" s="1653"/>
      <c r="L116" s="1653"/>
      <c r="M116" s="1414"/>
      <c r="N116" s="1414"/>
      <c r="O116" s="1501" t="s">
        <v>12</v>
      </c>
      <c r="P116" s="1529">
        <v>2145000</v>
      </c>
      <c r="Q116" s="1598" t="s">
        <v>43</v>
      </c>
      <c r="V116" s="1477" t="str">
        <f t="shared" si="81"/>
        <v>02.06.03</v>
      </c>
      <c r="W116" s="1478" t="str">
        <f t="shared" si="68"/>
        <v>Peralatan Komputer</v>
      </c>
      <c r="X116" s="1478">
        <f t="shared" si="69"/>
        <v>4</v>
      </c>
      <c r="Y116" s="1401">
        <f t="shared" si="70"/>
        <v>536250</v>
      </c>
      <c r="Z116" s="1444">
        <f t="shared" si="71"/>
        <v>4</v>
      </c>
      <c r="AA116" s="1401">
        <f t="shared" si="72"/>
        <v>2145000</v>
      </c>
      <c r="AB116" s="1401">
        <f t="shared" si="73"/>
        <v>0</v>
      </c>
      <c r="AC116" s="1401">
        <f t="shared" si="74"/>
        <v>0</v>
      </c>
      <c r="AD116" s="1401">
        <f t="shared" si="75"/>
        <v>0</v>
      </c>
      <c r="AE116" s="1479">
        <f t="shared" si="76"/>
        <v>0</v>
      </c>
      <c r="AF116" s="1479">
        <f t="shared" si="77"/>
        <v>0</v>
      </c>
      <c r="AG116" s="1479">
        <f t="shared" si="82"/>
        <v>0</v>
      </c>
      <c r="AH116" s="1479">
        <f t="shared" si="78"/>
        <v>2145000</v>
      </c>
      <c r="AI116" s="1645">
        <f t="shared" si="79"/>
        <v>2005</v>
      </c>
      <c r="AJ116" s="1401">
        <f t="shared" si="80"/>
        <v>0</v>
      </c>
      <c r="AK116" s="1401"/>
    </row>
    <row r="117" spans="1:37" s="1390" customFormat="1" ht="37" customHeight="1" x14ac:dyDescent="0.2">
      <c r="A117" s="1710" t="str">
        <f t="shared" si="66"/>
        <v>02.06.03.02</v>
      </c>
      <c r="B117" s="1426">
        <v>28</v>
      </c>
      <c r="C117" s="1455" t="s">
        <v>298</v>
      </c>
      <c r="D117" s="1455" t="s">
        <v>230</v>
      </c>
      <c r="E117" s="1416"/>
      <c r="F117" s="1455" t="s">
        <v>231</v>
      </c>
      <c r="G117" s="1414"/>
      <c r="H117" s="1455" t="s">
        <v>178</v>
      </c>
      <c r="I117" s="1501">
        <v>2005</v>
      </c>
      <c r="J117" s="1414"/>
      <c r="K117" s="1653"/>
      <c r="L117" s="1414"/>
      <c r="M117" s="1414"/>
      <c r="N117" s="1414"/>
      <c r="O117" s="1501" t="s">
        <v>12</v>
      </c>
      <c r="P117" s="1529">
        <v>8212500</v>
      </c>
      <c r="Q117" s="1598" t="s">
        <v>43</v>
      </c>
      <c r="V117" s="1477" t="str">
        <f t="shared" si="81"/>
        <v>02.06.03</v>
      </c>
      <c r="W117" s="1478" t="str">
        <f t="shared" si="68"/>
        <v>Peralatan Komputer</v>
      </c>
      <c r="X117" s="1478">
        <f t="shared" si="69"/>
        <v>4</v>
      </c>
      <c r="Y117" s="1401">
        <f t="shared" si="70"/>
        <v>2053125</v>
      </c>
      <c r="Z117" s="1444">
        <f t="shared" si="71"/>
        <v>4</v>
      </c>
      <c r="AA117" s="1401">
        <f t="shared" si="72"/>
        <v>8212500</v>
      </c>
      <c r="AB117" s="1401">
        <f t="shared" si="73"/>
        <v>0</v>
      </c>
      <c r="AC117" s="1401">
        <f t="shared" si="74"/>
        <v>0</v>
      </c>
      <c r="AD117" s="1401">
        <f t="shared" si="75"/>
        <v>0</v>
      </c>
      <c r="AE117" s="1479">
        <f t="shared" si="76"/>
        <v>0</v>
      </c>
      <c r="AF117" s="1479">
        <f t="shared" si="77"/>
        <v>0</v>
      </c>
      <c r="AG117" s="1479">
        <f t="shared" si="82"/>
        <v>0</v>
      </c>
      <c r="AH117" s="1479">
        <f t="shared" si="78"/>
        <v>8212500</v>
      </c>
      <c r="AI117" s="1645">
        <f t="shared" si="79"/>
        <v>2005</v>
      </c>
      <c r="AJ117" s="1401">
        <f t="shared" si="80"/>
        <v>0</v>
      </c>
      <c r="AK117" s="1401"/>
    </row>
    <row r="118" spans="1:37" s="1390" customFormat="1" ht="37" customHeight="1" x14ac:dyDescent="0.2">
      <c r="A118" s="1710" t="str">
        <f t="shared" si="66"/>
        <v>02.06.03.05</v>
      </c>
      <c r="B118" s="1426">
        <v>29</v>
      </c>
      <c r="C118" s="1455" t="s">
        <v>299</v>
      </c>
      <c r="D118" s="1455" t="s">
        <v>183</v>
      </c>
      <c r="E118" s="1416"/>
      <c r="F118" s="1455" t="s">
        <v>195</v>
      </c>
      <c r="G118" s="1414"/>
      <c r="H118" s="1455" t="s">
        <v>174</v>
      </c>
      <c r="I118" s="1501">
        <v>2005</v>
      </c>
      <c r="J118" s="1414"/>
      <c r="K118" s="1653"/>
      <c r="L118" s="1414"/>
      <c r="M118" s="1414"/>
      <c r="N118" s="1414"/>
      <c r="O118" s="1501" t="s">
        <v>12</v>
      </c>
      <c r="P118" s="1529">
        <v>555000</v>
      </c>
      <c r="Q118" s="1598" t="s">
        <v>43</v>
      </c>
      <c r="V118" s="1477" t="str">
        <f t="shared" si="81"/>
        <v>02.06.03</v>
      </c>
      <c r="W118" s="1478" t="str">
        <f t="shared" si="68"/>
        <v>Peralatan Komputer</v>
      </c>
      <c r="X118" s="1478">
        <f t="shared" si="69"/>
        <v>4</v>
      </c>
      <c r="Y118" s="1401">
        <f t="shared" si="70"/>
        <v>138750</v>
      </c>
      <c r="Z118" s="1444">
        <f t="shared" si="71"/>
        <v>4</v>
      </c>
      <c r="AA118" s="1401">
        <f t="shared" si="72"/>
        <v>555000</v>
      </c>
      <c r="AB118" s="1401">
        <f t="shared" si="73"/>
        <v>0</v>
      </c>
      <c r="AC118" s="1401">
        <f t="shared" si="74"/>
        <v>0</v>
      </c>
      <c r="AD118" s="1401">
        <f t="shared" si="75"/>
        <v>0</v>
      </c>
      <c r="AE118" s="1479">
        <f t="shared" si="76"/>
        <v>0</v>
      </c>
      <c r="AF118" s="1479">
        <f t="shared" si="77"/>
        <v>0</v>
      </c>
      <c r="AG118" s="1479">
        <f t="shared" si="82"/>
        <v>0</v>
      </c>
      <c r="AH118" s="1479">
        <f t="shared" si="78"/>
        <v>555000</v>
      </c>
      <c r="AI118" s="1645">
        <f t="shared" si="79"/>
        <v>2005</v>
      </c>
      <c r="AJ118" s="1401">
        <f t="shared" si="80"/>
        <v>0</v>
      </c>
      <c r="AK118" s="1401"/>
    </row>
    <row r="119" spans="1:37" s="1390" customFormat="1" ht="37" customHeight="1" x14ac:dyDescent="0.2">
      <c r="A119" s="1710" t="str">
        <f t="shared" si="66"/>
        <v>02.06.03.05</v>
      </c>
      <c r="B119" s="1426">
        <v>30</v>
      </c>
      <c r="C119" s="1455" t="s">
        <v>4697</v>
      </c>
      <c r="D119" s="1455" t="s">
        <v>176</v>
      </c>
      <c r="E119" s="1416"/>
      <c r="F119" s="1455" t="s">
        <v>173</v>
      </c>
      <c r="G119" s="1414"/>
      <c r="H119" s="1455" t="s">
        <v>178</v>
      </c>
      <c r="I119" s="1501">
        <v>2005</v>
      </c>
      <c r="J119" s="1414"/>
      <c r="K119" s="1653"/>
      <c r="L119" s="1414"/>
      <c r="M119" s="1414"/>
      <c r="N119" s="1414"/>
      <c r="O119" s="1501" t="s">
        <v>12</v>
      </c>
      <c r="P119" s="1529">
        <v>637500</v>
      </c>
      <c r="Q119" s="1598" t="s">
        <v>43</v>
      </c>
      <c r="V119" s="1477" t="str">
        <f t="shared" si="81"/>
        <v>02.06.03</v>
      </c>
      <c r="W119" s="1478" t="str">
        <f t="shared" si="68"/>
        <v>Peralatan Komputer</v>
      </c>
      <c r="X119" s="1478">
        <f t="shared" si="69"/>
        <v>4</v>
      </c>
      <c r="Y119" s="1401">
        <f t="shared" si="70"/>
        <v>159375</v>
      </c>
      <c r="Z119" s="1444">
        <f t="shared" si="71"/>
        <v>4</v>
      </c>
      <c r="AA119" s="1401">
        <f t="shared" si="72"/>
        <v>637500</v>
      </c>
      <c r="AB119" s="1401">
        <f t="shared" si="73"/>
        <v>0</v>
      </c>
      <c r="AC119" s="1401">
        <f t="shared" si="74"/>
        <v>0</v>
      </c>
      <c r="AD119" s="1401">
        <f t="shared" si="75"/>
        <v>0</v>
      </c>
      <c r="AE119" s="1479">
        <f t="shared" si="76"/>
        <v>0</v>
      </c>
      <c r="AF119" s="1479">
        <f t="shared" si="77"/>
        <v>0</v>
      </c>
      <c r="AG119" s="1479">
        <f t="shared" si="82"/>
        <v>0</v>
      </c>
      <c r="AH119" s="1479">
        <f t="shared" si="78"/>
        <v>637500</v>
      </c>
      <c r="AI119" s="1645">
        <f t="shared" si="79"/>
        <v>2005</v>
      </c>
      <c r="AJ119" s="1401">
        <f t="shared" si="80"/>
        <v>0</v>
      </c>
      <c r="AK119" s="1401"/>
    </row>
    <row r="120" spans="1:37" s="1390" customFormat="1" ht="37" customHeight="1" x14ac:dyDescent="0.2">
      <c r="A120" s="1710" t="str">
        <f t="shared" si="66"/>
        <v>02.06.03.05</v>
      </c>
      <c r="B120" s="1426">
        <v>31</v>
      </c>
      <c r="C120" s="1455" t="s">
        <v>4698</v>
      </c>
      <c r="D120" s="1455" t="s">
        <v>180</v>
      </c>
      <c r="E120" s="1416"/>
      <c r="F120" s="1455" t="s">
        <v>206</v>
      </c>
      <c r="G120" s="1414"/>
      <c r="H120" s="1455" t="s">
        <v>181</v>
      </c>
      <c r="I120" s="1501">
        <v>2005</v>
      </c>
      <c r="J120" s="1414"/>
      <c r="K120" s="1653"/>
      <c r="L120" s="1414"/>
      <c r="M120" s="1414"/>
      <c r="N120" s="1414"/>
      <c r="O120" s="1501" t="s">
        <v>12</v>
      </c>
      <c r="P120" s="1529">
        <v>2400000</v>
      </c>
      <c r="Q120" s="1598" t="s">
        <v>43</v>
      </c>
      <c r="V120" s="1477" t="str">
        <f t="shared" si="81"/>
        <v>02.06.03</v>
      </c>
      <c r="W120" s="1478" t="str">
        <f t="shared" si="68"/>
        <v>Peralatan Komputer</v>
      </c>
      <c r="X120" s="1478">
        <f t="shared" si="69"/>
        <v>4</v>
      </c>
      <c r="Y120" s="1401">
        <f t="shared" si="70"/>
        <v>600000</v>
      </c>
      <c r="Z120" s="1444">
        <f t="shared" si="71"/>
        <v>4</v>
      </c>
      <c r="AA120" s="1401">
        <f t="shared" si="72"/>
        <v>2400000</v>
      </c>
      <c r="AB120" s="1401">
        <f t="shared" si="73"/>
        <v>0</v>
      </c>
      <c r="AC120" s="1401">
        <f t="shared" si="74"/>
        <v>0</v>
      </c>
      <c r="AD120" s="1401">
        <f t="shared" si="75"/>
        <v>0</v>
      </c>
      <c r="AE120" s="1479">
        <f t="shared" si="76"/>
        <v>0</v>
      </c>
      <c r="AF120" s="1479">
        <f t="shared" si="77"/>
        <v>0</v>
      </c>
      <c r="AG120" s="1479">
        <f t="shared" si="82"/>
        <v>0</v>
      </c>
      <c r="AH120" s="1479">
        <f t="shared" si="78"/>
        <v>2400000</v>
      </c>
      <c r="AI120" s="1645">
        <f t="shared" si="79"/>
        <v>2005</v>
      </c>
      <c r="AJ120" s="1401">
        <f t="shared" si="80"/>
        <v>0</v>
      </c>
      <c r="AK120" s="1401"/>
    </row>
    <row r="121" spans="1:37" s="1390" customFormat="1" ht="37" customHeight="1" x14ac:dyDescent="0.2">
      <c r="A121" s="1710" t="str">
        <f t="shared" si="66"/>
        <v>02.06.03.05</v>
      </c>
      <c r="B121" s="1426">
        <v>32</v>
      </c>
      <c r="C121" s="1455" t="s">
        <v>4698</v>
      </c>
      <c r="D121" s="1455" t="s">
        <v>180</v>
      </c>
      <c r="E121" s="1416"/>
      <c r="F121" s="1455" t="s">
        <v>173</v>
      </c>
      <c r="G121" s="1414"/>
      <c r="H121" s="1455" t="s">
        <v>181</v>
      </c>
      <c r="I121" s="1501">
        <v>2005</v>
      </c>
      <c r="J121" s="1414"/>
      <c r="K121" s="1653"/>
      <c r="L121" s="1414"/>
      <c r="M121" s="1414"/>
      <c r="N121" s="1414"/>
      <c r="O121" s="1501" t="s">
        <v>12</v>
      </c>
      <c r="P121" s="1529">
        <v>1925000</v>
      </c>
      <c r="Q121" s="1598" t="s">
        <v>43</v>
      </c>
      <c r="V121" s="1477" t="str">
        <f t="shared" si="81"/>
        <v>02.06.03</v>
      </c>
      <c r="W121" s="1478" t="str">
        <f t="shared" si="68"/>
        <v>Peralatan Komputer</v>
      </c>
      <c r="X121" s="1478">
        <f t="shared" si="69"/>
        <v>4</v>
      </c>
      <c r="Y121" s="1401">
        <f t="shared" si="70"/>
        <v>481250</v>
      </c>
      <c r="Z121" s="1444">
        <f t="shared" si="71"/>
        <v>4</v>
      </c>
      <c r="AA121" s="1401">
        <f t="shared" si="72"/>
        <v>1925000</v>
      </c>
      <c r="AB121" s="1401">
        <f t="shared" si="73"/>
        <v>0</v>
      </c>
      <c r="AC121" s="1401">
        <f t="shared" si="74"/>
        <v>0</v>
      </c>
      <c r="AD121" s="1401">
        <f t="shared" si="75"/>
        <v>0</v>
      </c>
      <c r="AE121" s="1479">
        <f t="shared" si="76"/>
        <v>0</v>
      </c>
      <c r="AF121" s="1479">
        <f t="shared" si="77"/>
        <v>0</v>
      </c>
      <c r="AG121" s="1479">
        <f t="shared" si="82"/>
        <v>0</v>
      </c>
      <c r="AH121" s="1479">
        <f t="shared" si="78"/>
        <v>1925000</v>
      </c>
      <c r="AI121" s="1645">
        <f t="shared" si="79"/>
        <v>2005</v>
      </c>
      <c r="AJ121" s="1401">
        <f t="shared" si="80"/>
        <v>0</v>
      </c>
      <c r="AK121" s="1401"/>
    </row>
    <row r="122" spans="1:37" s="1390" customFormat="1" ht="37" customHeight="1" x14ac:dyDescent="0.2">
      <c r="A122" s="1710" t="str">
        <f t="shared" si="66"/>
        <v>02.06.03.05</v>
      </c>
      <c r="B122" s="1426">
        <v>33</v>
      </c>
      <c r="C122" s="1455" t="s">
        <v>4697</v>
      </c>
      <c r="D122" s="1455" t="s">
        <v>176</v>
      </c>
      <c r="E122" s="1416"/>
      <c r="F122" s="1455" t="s">
        <v>173</v>
      </c>
      <c r="G122" s="1414"/>
      <c r="H122" s="1455" t="s">
        <v>178</v>
      </c>
      <c r="I122" s="1501">
        <v>2006</v>
      </c>
      <c r="J122" s="1414"/>
      <c r="K122" s="1653"/>
      <c r="L122" s="1414"/>
      <c r="M122" s="1414"/>
      <c r="N122" s="1414"/>
      <c r="O122" s="1501" t="s">
        <v>12</v>
      </c>
      <c r="P122" s="1529">
        <v>800000</v>
      </c>
      <c r="Q122" s="1598" t="s">
        <v>43</v>
      </c>
      <c r="V122" s="1477" t="str">
        <f t="shared" si="81"/>
        <v>02.06.03</v>
      </c>
      <c r="W122" s="1478" t="str">
        <f t="shared" ref="W122:W153" si="83">VLOOKUP(V122,UE,3)</f>
        <v>Peralatan Komputer</v>
      </c>
      <c r="X122" s="1478">
        <f t="shared" ref="X122:X153" si="84">VLOOKUP(V122,UE,4,FALSE)</f>
        <v>4</v>
      </c>
      <c r="Y122" s="1401">
        <f t="shared" ref="Y122:Y153" si="85">P122/X122</f>
        <v>200000</v>
      </c>
      <c r="Z122" s="1444">
        <f t="shared" ref="Z122:Z153" si="86">IF(2013-I122+1&gt;X122,X122,IF(2013-I122+1&lt;0,0,(2013-I122+1)))</f>
        <v>4</v>
      </c>
      <c r="AA122" s="1401">
        <f t="shared" ref="AA122:AA153" si="87">IF(Z122&gt;X122,P122,Y122*Z122)</f>
        <v>800000</v>
      </c>
      <c r="AB122" s="1401">
        <f t="shared" ref="AB122:AB153" si="88">IF(P122=AA122,0,Y122)</f>
        <v>0</v>
      </c>
      <c r="AC122" s="1401">
        <f t="shared" ref="AC122:AC153" si="89">IF(P122=AA122+AB122,0,Y122)</f>
        <v>0</v>
      </c>
      <c r="AD122" s="1401">
        <f t="shared" ref="AD122:AD153" si="90">IF(P122=AA122+AB122+AC122,0,Y122)</f>
        <v>0</v>
      </c>
      <c r="AE122" s="1479">
        <f t="shared" ref="AE122:AE153" si="91">IF(P122=AA122+AB122+AC122+AD122,0,Y122)</f>
        <v>0</v>
      </c>
      <c r="AF122" s="1479">
        <f t="shared" ref="AF122:AF153" si="92">IF(P122=AA122+AB122+AC122+AD122+AE122,0,Y122)</f>
        <v>0</v>
      </c>
      <c r="AG122" s="1479">
        <f t="shared" si="82"/>
        <v>0</v>
      </c>
      <c r="AH122" s="1479">
        <f t="shared" si="78"/>
        <v>800000</v>
      </c>
      <c r="AI122" s="1645">
        <f t="shared" ref="AI122:AI153" si="93">I122</f>
        <v>2006</v>
      </c>
      <c r="AJ122" s="1401">
        <f t="shared" ref="AJ122:AJ153" si="94">P122-AH122</f>
        <v>0</v>
      </c>
      <c r="AK122" s="1401"/>
    </row>
    <row r="123" spans="1:37" s="1390" customFormat="1" ht="37" customHeight="1" x14ac:dyDescent="0.2">
      <c r="A123" s="1710" t="str">
        <f t="shared" si="66"/>
        <v>02.06.02.06</v>
      </c>
      <c r="B123" s="1426">
        <v>34</v>
      </c>
      <c r="C123" s="1455" t="s">
        <v>5760</v>
      </c>
      <c r="D123" s="1455" t="s">
        <v>203</v>
      </c>
      <c r="E123" s="1416"/>
      <c r="F123" s="1455" t="s">
        <v>204</v>
      </c>
      <c r="G123" s="1414"/>
      <c r="H123" s="1455" t="s">
        <v>174</v>
      </c>
      <c r="I123" s="1501">
        <v>2006</v>
      </c>
      <c r="J123" s="1414"/>
      <c r="K123" s="1653"/>
      <c r="L123" s="1414"/>
      <c r="M123" s="1414"/>
      <c r="N123" s="1414"/>
      <c r="O123" s="1501" t="s">
        <v>12</v>
      </c>
      <c r="P123" s="1529">
        <v>937500</v>
      </c>
      <c r="Q123" s="1598" t="s">
        <v>43</v>
      </c>
      <c r="V123" s="1477" t="str">
        <f t="shared" si="81"/>
        <v>02.06.02</v>
      </c>
      <c r="W123" s="1478" t="str">
        <f t="shared" si="83"/>
        <v>Alat Rumah Tangga</v>
      </c>
      <c r="X123" s="1478">
        <f t="shared" si="84"/>
        <v>5</v>
      </c>
      <c r="Y123" s="1401">
        <f t="shared" si="85"/>
        <v>187500</v>
      </c>
      <c r="Z123" s="1444">
        <f t="shared" si="86"/>
        <v>5</v>
      </c>
      <c r="AA123" s="1401">
        <f t="shared" si="87"/>
        <v>937500</v>
      </c>
      <c r="AB123" s="1401">
        <f t="shared" si="88"/>
        <v>0</v>
      </c>
      <c r="AC123" s="1401">
        <f t="shared" si="89"/>
        <v>0</v>
      </c>
      <c r="AD123" s="1401">
        <f t="shared" si="90"/>
        <v>0</v>
      </c>
      <c r="AE123" s="1479">
        <f t="shared" si="91"/>
        <v>0</v>
      </c>
      <c r="AF123" s="1479">
        <f t="shared" si="92"/>
        <v>0</v>
      </c>
      <c r="AG123" s="1479">
        <f t="shared" si="82"/>
        <v>0</v>
      </c>
      <c r="AH123" s="1479">
        <f t="shared" si="78"/>
        <v>937500</v>
      </c>
      <c r="AI123" s="1645">
        <f t="shared" si="93"/>
        <v>2006</v>
      </c>
      <c r="AJ123" s="1401">
        <f t="shared" si="94"/>
        <v>0</v>
      </c>
      <c r="AK123" s="1401"/>
    </row>
    <row r="124" spans="1:37" s="1390" customFormat="1" ht="37" customHeight="1" x14ac:dyDescent="0.2">
      <c r="A124" s="1710" t="str">
        <f t="shared" si="66"/>
        <v>02.06.02.01</v>
      </c>
      <c r="B124" s="1426">
        <v>35</v>
      </c>
      <c r="C124" s="1455" t="s">
        <v>4701</v>
      </c>
      <c r="D124" s="1455" t="s">
        <v>198</v>
      </c>
      <c r="E124" s="1416"/>
      <c r="F124" s="1455" t="s">
        <v>199</v>
      </c>
      <c r="G124" s="1414"/>
      <c r="H124" s="1455" t="s">
        <v>235</v>
      </c>
      <c r="I124" s="1501">
        <v>2006</v>
      </c>
      <c r="J124" s="1414"/>
      <c r="K124" s="1653"/>
      <c r="L124" s="1414"/>
      <c r="M124" s="1414"/>
      <c r="N124" s="1414"/>
      <c r="O124" s="1501" t="s">
        <v>12</v>
      </c>
      <c r="P124" s="1529">
        <v>680000</v>
      </c>
      <c r="Q124" s="1598" t="s">
        <v>43</v>
      </c>
      <c r="V124" s="1477" t="str">
        <f t="shared" si="81"/>
        <v>02.06.02</v>
      </c>
      <c r="W124" s="1478" t="str">
        <f t="shared" si="83"/>
        <v>Alat Rumah Tangga</v>
      </c>
      <c r="X124" s="1478">
        <f t="shared" si="84"/>
        <v>5</v>
      </c>
      <c r="Y124" s="1401">
        <f t="shared" si="85"/>
        <v>136000</v>
      </c>
      <c r="Z124" s="1444">
        <f t="shared" si="86"/>
        <v>5</v>
      </c>
      <c r="AA124" s="1401">
        <f t="shared" si="87"/>
        <v>680000</v>
      </c>
      <c r="AB124" s="1401">
        <f t="shared" si="88"/>
        <v>0</v>
      </c>
      <c r="AC124" s="1401">
        <f t="shared" si="89"/>
        <v>0</v>
      </c>
      <c r="AD124" s="1401">
        <f t="shared" si="90"/>
        <v>0</v>
      </c>
      <c r="AE124" s="1479">
        <f t="shared" si="91"/>
        <v>0</v>
      </c>
      <c r="AF124" s="1479">
        <f t="shared" si="92"/>
        <v>0</v>
      </c>
      <c r="AG124" s="1479">
        <f t="shared" si="82"/>
        <v>0</v>
      </c>
      <c r="AH124" s="1479">
        <f t="shared" si="78"/>
        <v>680000</v>
      </c>
      <c r="AI124" s="1645">
        <f t="shared" si="93"/>
        <v>2006</v>
      </c>
      <c r="AJ124" s="1401">
        <f t="shared" si="94"/>
        <v>0</v>
      </c>
      <c r="AK124" s="1401"/>
    </row>
    <row r="125" spans="1:37" s="1390" customFormat="1" ht="37" customHeight="1" x14ac:dyDescent="0.2">
      <c r="A125" s="1710" t="str">
        <f t="shared" si="66"/>
        <v>02.06.03.05</v>
      </c>
      <c r="B125" s="1426">
        <v>36</v>
      </c>
      <c r="C125" s="1455" t="s">
        <v>4698</v>
      </c>
      <c r="D125" s="1455" t="s">
        <v>180</v>
      </c>
      <c r="E125" s="1416"/>
      <c r="F125" s="1455" t="s">
        <v>205</v>
      </c>
      <c r="G125" s="1414"/>
      <c r="H125" s="1455" t="s">
        <v>181</v>
      </c>
      <c r="I125" s="1501">
        <v>2006</v>
      </c>
      <c r="J125" s="1414"/>
      <c r="K125" s="1653"/>
      <c r="L125" s="1414"/>
      <c r="M125" s="1414"/>
      <c r="N125" s="1414"/>
      <c r="O125" s="1501" t="s">
        <v>12</v>
      </c>
      <c r="P125" s="1529">
        <v>6150000</v>
      </c>
      <c r="Q125" s="1598" t="s">
        <v>43</v>
      </c>
      <c r="V125" s="1477" t="str">
        <f t="shared" si="81"/>
        <v>02.06.03</v>
      </c>
      <c r="W125" s="1478" t="str">
        <f t="shared" si="83"/>
        <v>Peralatan Komputer</v>
      </c>
      <c r="X125" s="1478">
        <f t="shared" si="84"/>
        <v>4</v>
      </c>
      <c r="Y125" s="1401">
        <f t="shared" si="85"/>
        <v>1537500</v>
      </c>
      <c r="Z125" s="1444">
        <f t="shared" si="86"/>
        <v>4</v>
      </c>
      <c r="AA125" s="1401">
        <f t="shared" si="87"/>
        <v>6150000</v>
      </c>
      <c r="AB125" s="1401">
        <f t="shared" si="88"/>
        <v>0</v>
      </c>
      <c r="AC125" s="1401">
        <f t="shared" si="89"/>
        <v>0</v>
      </c>
      <c r="AD125" s="1401">
        <f t="shared" si="90"/>
        <v>0</v>
      </c>
      <c r="AE125" s="1479">
        <f t="shared" si="91"/>
        <v>0</v>
      </c>
      <c r="AF125" s="1479">
        <f t="shared" si="92"/>
        <v>0</v>
      </c>
      <c r="AG125" s="1479">
        <f t="shared" si="82"/>
        <v>0</v>
      </c>
      <c r="AH125" s="1479">
        <f t="shared" si="78"/>
        <v>6150000</v>
      </c>
      <c r="AI125" s="1645">
        <f t="shared" si="93"/>
        <v>2006</v>
      </c>
      <c r="AJ125" s="1401">
        <f t="shared" si="94"/>
        <v>0</v>
      </c>
      <c r="AK125" s="1401"/>
    </row>
    <row r="126" spans="1:37" s="1390" customFormat="1" ht="37" customHeight="1" x14ac:dyDescent="0.2">
      <c r="A126" s="1710" t="str">
        <f t="shared" si="66"/>
        <v>02.06.03.05</v>
      </c>
      <c r="B126" s="1426">
        <v>37</v>
      </c>
      <c r="C126" s="1455" t="s">
        <v>4698</v>
      </c>
      <c r="D126" s="1455" t="s">
        <v>180</v>
      </c>
      <c r="E126" s="1416"/>
      <c r="F126" s="1455" t="s">
        <v>206</v>
      </c>
      <c r="G126" s="1414"/>
      <c r="H126" s="1455" t="s">
        <v>181</v>
      </c>
      <c r="I126" s="1501">
        <v>2006</v>
      </c>
      <c r="J126" s="1414"/>
      <c r="K126" s="1653"/>
      <c r="L126" s="1414"/>
      <c r="M126" s="1414"/>
      <c r="N126" s="1414"/>
      <c r="O126" s="1501" t="s">
        <v>12</v>
      </c>
      <c r="P126" s="1529">
        <v>2400000</v>
      </c>
      <c r="Q126" s="1598" t="s">
        <v>43</v>
      </c>
      <c r="V126" s="1477" t="str">
        <f t="shared" si="81"/>
        <v>02.06.03</v>
      </c>
      <c r="W126" s="1478" t="str">
        <f t="shared" si="83"/>
        <v>Peralatan Komputer</v>
      </c>
      <c r="X126" s="1478">
        <f t="shared" si="84"/>
        <v>4</v>
      </c>
      <c r="Y126" s="1401">
        <f t="shared" si="85"/>
        <v>600000</v>
      </c>
      <c r="Z126" s="1444">
        <f t="shared" si="86"/>
        <v>4</v>
      </c>
      <c r="AA126" s="1401">
        <f t="shared" si="87"/>
        <v>2400000</v>
      </c>
      <c r="AB126" s="1401">
        <f t="shared" si="88"/>
        <v>0</v>
      </c>
      <c r="AC126" s="1401">
        <f t="shared" si="89"/>
        <v>0</v>
      </c>
      <c r="AD126" s="1401">
        <f t="shared" si="90"/>
        <v>0</v>
      </c>
      <c r="AE126" s="1479">
        <f t="shared" si="91"/>
        <v>0</v>
      </c>
      <c r="AF126" s="1479">
        <f t="shared" si="92"/>
        <v>0</v>
      </c>
      <c r="AG126" s="1479">
        <f t="shared" si="82"/>
        <v>0</v>
      </c>
      <c r="AH126" s="1479">
        <f t="shared" si="78"/>
        <v>2400000</v>
      </c>
      <c r="AI126" s="1645">
        <f t="shared" si="93"/>
        <v>2006</v>
      </c>
      <c r="AJ126" s="1401">
        <f t="shared" si="94"/>
        <v>0</v>
      </c>
      <c r="AK126" s="1401"/>
    </row>
    <row r="127" spans="1:37" s="1390" customFormat="1" ht="37" customHeight="1" x14ac:dyDescent="0.2">
      <c r="A127" s="1710" t="str">
        <f t="shared" si="66"/>
        <v>02.06.02.01</v>
      </c>
      <c r="B127" s="1426">
        <v>38</v>
      </c>
      <c r="C127" s="1455" t="s">
        <v>4702</v>
      </c>
      <c r="D127" s="1455" t="s">
        <v>237</v>
      </c>
      <c r="E127" s="1416"/>
      <c r="F127" s="1455" t="s">
        <v>199</v>
      </c>
      <c r="G127" s="1414"/>
      <c r="H127" s="1455" t="s">
        <v>238</v>
      </c>
      <c r="I127" s="1501">
        <v>2006</v>
      </c>
      <c r="J127" s="1414"/>
      <c r="K127" s="1653"/>
      <c r="L127" s="1414"/>
      <c r="M127" s="1414"/>
      <c r="N127" s="1414"/>
      <c r="O127" s="1501" t="s">
        <v>12</v>
      </c>
      <c r="P127" s="1529">
        <v>1125000</v>
      </c>
      <c r="Q127" s="1598" t="s">
        <v>43</v>
      </c>
      <c r="V127" s="1477" t="str">
        <f t="shared" si="81"/>
        <v>02.06.02</v>
      </c>
      <c r="W127" s="1478" t="str">
        <f t="shared" si="83"/>
        <v>Alat Rumah Tangga</v>
      </c>
      <c r="X127" s="1478">
        <f t="shared" si="84"/>
        <v>5</v>
      </c>
      <c r="Y127" s="1401">
        <f t="shared" si="85"/>
        <v>225000</v>
      </c>
      <c r="Z127" s="1444">
        <f t="shared" si="86"/>
        <v>5</v>
      </c>
      <c r="AA127" s="1401">
        <f t="shared" si="87"/>
        <v>1125000</v>
      </c>
      <c r="AB127" s="1401">
        <f t="shared" si="88"/>
        <v>0</v>
      </c>
      <c r="AC127" s="1401">
        <f t="shared" si="89"/>
        <v>0</v>
      </c>
      <c r="AD127" s="1401">
        <f t="shared" si="90"/>
        <v>0</v>
      </c>
      <c r="AE127" s="1479">
        <f t="shared" si="91"/>
        <v>0</v>
      </c>
      <c r="AF127" s="1479">
        <f t="shared" si="92"/>
        <v>0</v>
      </c>
      <c r="AG127" s="1479">
        <f t="shared" si="82"/>
        <v>0</v>
      </c>
      <c r="AH127" s="1479">
        <f t="shared" si="78"/>
        <v>1125000</v>
      </c>
      <c r="AI127" s="1645">
        <f t="shared" si="93"/>
        <v>2006</v>
      </c>
      <c r="AJ127" s="1401">
        <f t="shared" si="94"/>
        <v>0</v>
      </c>
      <c r="AK127" s="1401"/>
    </row>
    <row r="128" spans="1:37" s="1390" customFormat="1" ht="37" customHeight="1" x14ac:dyDescent="0.2">
      <c r="A128" s="1710" t="str">
        <f t="shared" si="66"/>
        <v>02.06.02.04</v>
      </c>
      <c r="B128" s="1426">
        <v>39</v>
      </c>
      <c r="C128" s="1455" t="s">
        <v>278</v>
      </c>
      <c r="D128" s="1455" t="s">
        <v>172</v>
      </c>
      <c r="E128" s="1416"/>
      <c r="F128" s="1455" t="s">
        <v>173</v>
      </c>
      <c r="G128" s="1414"/>
      <c r="H128" s="1455" t="s">
        <v>174</v>
      </c>
      <c r="I128" s="1501">
        <v>2006</v>
      </c>
      <c r="J128" s="1414"/>
      <c r="K128" s="1653"/>
      <c r="L128" s="1414"/>
      <c r="M128" s="1414"/>
      <c r="N128" s="1414"/>
      <c r="O128" s="1501" t="s">
        <v>12</v>
      </c>
      <c r="P128" s="1529">
        <v>3750000</v>
      </c>
      <c r="Q128" s="1598" t="s">
        <v>43</v>
      </c>
      <c r="V128" s="1477" t="str">
        <f t="shared" si="81"/>
        <v>02.06.02</v>
      </c>
      <c r="W128" s="1478" t="str">
        <f t="shared" si="83"/>
        <v>Alat Rumah Tangga</v>
      </c>
      <c r="X128" s="1478">
        <f t="shared" si="84"/>
        <v>5</v>
      </c>
      <c r="Y128" s="1401">
        <f t="shared" si="85"/>
        <v>750000</v>
      </c>
      <c r="Z128" s="1444">
        <f t="shared" si="86"/>
        <v>5</v>
      </c>
      <c r="AA128" s="1401">
        <f t="shared" si="87"/>
        <v>3750000</v>
      </c>
      <c r="AB128" s="1401">
        <f t="shared" si="88"/>
        <v>0</v>
      </c>
      <c r="AC128" s="1401">
        <f t="shared" si="89"/>
        <v>0</v>
      </c>
      <c r="AD128" s="1401">
        <f t="shared" si="90"/>
        <v>0</v>
      </c>
      <c r="AE128" s="1479">
        <f t="shared" si="91"/>
        <v>0</v>
      </c>
      <c r="AF128" s="1479">
        <f t="shared" si="92"/>
        <v>0</v>
      </c>
      <c r="AG128" s="1479">
        <f t="shared" si="82"/>
        <v>0</v>
      </c>
      <c r="AH128" s="1479">
        <f t="shared" si="78"/>
        <v>3750000</v>
      </c>
      <c r="AI128" s="1645">
        <f t="shared" si="93"/>
        <v>2006</v>
      </c>
      <c r="AJ128" s="1401">
        <f t="shared" si="94"/>
        <v>0</v>
      </c>
      <c r="AK128" s="1401"/>
    </row>
    <row r="129" spans="1:37" s="1390" customFormat="1" ht="37" customHeight="1" x14ac:dyDescent="0.2">
      <c r="A129" s="1710" t="str">
        <f t="shared" si="66"/>
        <v>02.06.04.02</v>
      </c>
      <c r="B129" s="1426">
        <v>40</v>
      </c>
      <c r="C129" s="1455" t="s">
        <v>4703</v>
      </c>
      <c r="D129" s="1455" t="s">
        <v>242</v>
      </c>
      <c r="E129" s="1416"/>
      <c r="F129" s="1455" t="s">
        <v>199</v>
      </c>
      <c r="G129" s="1414"/>
      <c r="H129" s="1455" t="s">
        <v>213</v>
      </c>
      <c r="I129" s="1501">
        <v>2006</v>
      </c>
      <c r="J129" s="1414"/>
      <c r="K129" s="1653"/>
      <c r="L129" s="1414"/>
      <c r="M129" s="1414"/>
      <c r="N129" s="1414"/>
      <c r="O129" s="1501" t="s">
        <v>12</v>
      </c>
      <c r="P129" s="1529">
        <v>2250000</v>
      </c>
      <c r="Q129" s="1598" t="s">
        <v>43</v>
      </c>
      <c r="V129" s="1477" t="str">
        <f t="shared" si="81"/>
        <v>02.06.04</v>
      </c>
      <c r="W129" s="1478" t="str">
        <f t="shared" si="83"/>
        <v>Meja Dan Kursi Kerja/Rapat Pejabat</v>
      </c>
      <c r="X129" s="1478">
        <f t="shared" si="84"/>
        <v>5</v>
      </c>
      <c r="Y129" s="1401">
        <f t="shared" si="85"/>
        <v>450000</v>
      </c>
      <c r="Z129" s="1444">
        <f t="shared" si="86"/>
        <v>5</v>
      </c>
      <c r="AA129" s="1401">
        <f t="shared" si="87"/>
        <v>2250000</v>
      </c>
      <c r="AB129" s="1401">
        <f t="shared" si="88"/>
        <v>0</v>
      </c>
      <c r="AC129" s="1401">
        <f t="shared" si="89"/>
        <v>0</v>
      </c>
      <c r="AD129" s="1401">
        <f t="shared" si="90"/>
        <v>0</v>
      </c>
      <c r="AE129" s="1479">
        <f t="shared" si="91"/>
        <v>0</v>
      </c>
      <c r="AF129" s="1479">
        <f t="shared" si="92"/>
        <v>0</v>
      </c>
      <c r="AG129" s="1479">
        <f t="shared" si="82"/>
        <v>0</v>
      </c>
      <c r="AH129" s="1479">
        <f t="shared" si="78"/>
        <v>2250000</v>
      </c>
      <c r="AI129" s="1645">
        <f t="shared" si="93"/>
        <v>2006</v>
      </c>
      <c r="AJ129" s="1401">
        <f t="shared" si="94"/>
        <v>0</v>
      </c>
      <c r="AK129" s="1401"/>
    </row>
    <row r="130" spans="1:37" s="1390" customFormat="1" ht="37" customHeight="1" x14ac:dyDescent="0.2">
      <c r="A130" s="1710" t="str">
        <f t="shared" si="66"/>
        <v>02.06.02.01</v>
      </c>
      <c r="B130" s="1426">
        <v>41</v>
      </c>
      <c r="C130" s="1455" t="s">
        <v>4700</v>
      </c>
      <c r="D130" s="1455" t="s">
        <v>243</v>
      </c>
      <c r="E130" s="1416"/>
      <c r="F130" s="1455" t="s">
        <v>199</v>
      </c>
      <c r="G130" s="1414"/>
      <c r="H130" s="1455" t="s">
        <v>238</v>
      </c>
      <c r="I130" s="1501">
        <v>2006</v>
      </c>
      <c r="J130" s="1414"/>
      <c r="K130" s="1653"/>
      <c r="L130" s="1414"/>
      <c r="M130" s="1414"/>
      <c r="N130" s="1414"/>
      <c r="O130" s="1501" t="s">
        <v>12</v>
      </c>
      <c r="P130" s="1529">
        <v>1125000</v>
      </c>
      <c r="Q130" s="1598" t="s">
        <v>43</v>
      </c>
      <c r="V130" s="1477" t="str">
        <f t="shared" si="81"/>
        <v>02.06.02</v>
      </c>
      <c r="W130" s="1478" t="str">
        <f t="shared" si="83"/>
        <v>Alat Rumah Tangga</v>
      </c>
      <c r="X130" s="1478">
        <f t="shared" si="84"/>
        <v>5</v>
      </c>
      <c r="Y130" s="1401">
        <f t="shared" si="85"/>
        <v>225000</v>
      </c>
      <c r="Z130" s="1444">
        <f t="shared" si="86"/>
        <v>5</v>
      </c>
      <c r="AA130" s="1401">
        <f t="shared" si="87"/>
        <v>1125000</v>
      </c>
      <c r="AB130" s="1401">
        <f t="shared" si="88"/>
        <v>0</v>
      </c>
      <c r="AC130" s="1401">
        <f t="shared" si="89"/>
        <v>0</v>
      </c>
      <c r="AD130" s="1401">
        <f t="shared" si="90"/>
        <v>0</v>
      </c>
      <c r="AE130" s="1479">
        <f t="shared" si="91"/>
        <v>0</v>
      </c>
      <c r="AF130" s="1479">
        <f t="shared" si="92"/>
        <v>0</v>
      </c>
      <c r="AG130" s="1479">
        <f t="shared" si="82"/>
        <v>0</v>
      </c>
      <c r="AH130" s="1479">
        <f t="shared" si="78"/>
        <v>1125000</v>
      </c>
      <c r="AI130" s="1645">
        <f t="shared" si="93"/>
        <v>2006</v>
      </c>
      <c r="AJ130" s="1401">
        <f t="shared" si="94"/>
        <v>0</v>
      </c>
      <c r="AK130" s="1401"/>
    </row>
    <row r="131" spans="1:37" s="1390" customFormat="1" ht="37" customHeight="1" x14ac:dyDescent="0.2">
      <c r="A131" s="1710" t="str">
        <f t="shared" si="66"/>
        <v>02.06.01.04</v>
      </c>
      <c r="B131" s="1426">
        <v>42</v>
      </c>
      <c r="C131" s="1455" t="s">
        <v>4704</v>
      </c>
      <c r="D131" s="1455" t="s">
        <v>240</v>
      </c>
      <c r="E131" s="1416"/>
      <c r="F131" s="1455" t="s">
        <v>244</v>
      </c>
      <c r="G131" s="1414"/>
      <c r="H131" s="1455" t="s">
        <v>238</v>
      </c>
      <c r="I131" s="1501">
        <v>2006</v>
      </c>
      <c r="J131" s="1414"/>
      <c r="K131" s="1653"/>
      <c r="L131" s="1414"/>
      <c r="M131" s="1414"/>
      <c r="N131" s="1414"/>
      <c r="O131" s="1501" t="s">
        <v>12</v>
      </c>
      <c r="P131" s="1529">
        <v>600000</v>
      </c>
      <c r="Q131" s="1598" t="s">
        <v>43</v>
      </c>
      <c r="V131" s="1477" t="str">
        <f t="shared" si="81"/>
        <v>02.06.01</v>
      </c>
      <c r="W131" s="1478" t="str">
        <f t="shared" si="83"/>
        <v>Alat Kantor</v>
      </c>
      <c r="X131" s="1478">
        <f t="shared" si="84"/>
        <v>5</v>
      </c>
      <c r="Y131" s="1401">
        <f t="shared" si="85"/>
        <v>120000</v>
      </c>
      <c r="Z131" s="1444">
        <f t="shared" si="86"/>
        <v>5</v>
      </c>
      <c r="AA131" s="1401">
        <f t="shared" si="87"/>
        <v>600000</v>
      </c>
      <c r="AB131" s="1401">
        <f t="shared" si="88"/>
        <v>0</v>
      </c>
      <c r="AC131" s="1401">
        <f t="shared" si="89"/>
        <v>0</v>
      </c>
      <c r="AD131" s="1401">
        <f t="shared" si="90"/>
        <v>0</v>
      </c>
      <c r="AE131" s="1479">
        <f t="shared" si="91"/>
        <v>0</v>
      </c>
      <c r="AF131" s="1479">
        <f t="shared" si="92"/>
        <v>0</v>
      </c>
      <c r="AG131" s="1479">
        <f t="shared" si="82"/>
        <v>0</v>
      </c>
      <c r="AH131" s="1479">
        <f t="shared" si="78"/>
        <v>600000</v>
      </c>
      <c r="AI131" s="1645">
        <f t="shared" si="93"/>
        <v>2006</v>
      </c>
      <c r="AJ131" s="1401">
        <f t="shared" si="94"/>
        <v>0</v>
      </c>
      <c r="AK131" s="1401"/>
    </row>
    <row r="132" spans="1:37" s="1390" customFormat="1" ht="37" customHeight="1" x14ac:dyDescent="0.2">
      <c r="A132" s="1710" t="str">
        <f t="shared" si="66"/>
        <v>02.06.03.05</v>
      </c>
      <c r="B132" s="1426">
        <v>43</v>
      </c>
      <c r="C132" s="1455" t="s">
        <v>4705</v>
      </c>
      <c r="D132" s="1455" t="s">
        <v>246</v>
      </c>
      <c r="E132" s="1416"/>
      <c r="F132" s="1455" t="s">
        <v>195</v>
      </c>
      <c r="G132" s="1414"/>
      <c r="H132" s="1455" t="s">
        <v>222</v>
      </c>
      <c r="I132" s="1501">
        <v>2006</v>
      </c>
      <c r="J132" s="1414"/>
      <c r="K132" s="1653"/>
      <c r="L132" s="1414"/>
      <c r="M132" s="1414"/>
      <c r="N132" s="1414"/>
      <c r="O132" s="1501" t="s">
        <v>12</v>
      </c>
      <c r="P132" s="1529">
        <v>63000000</v>
      </c>
      <c r="Q132" s="1598" t="s">
        <v>43</v>
      </c>
      <c r="V132" s="1477" t="str">
        <f t="shared" si="81"/>
        <v>02.06.03</v>
      </c>
      <c r="W132" s="1478" t="str">
        <f t="shared" si="83"/>
        <v>Peralatan Komputer</v>
      </c>
      <c r="X132" s="1478">
        <f t="shared" si="84"/>
        <v>4</v>
      </c>
      <c r="Y132" s="1401">
        <f t="shared" si="85"/>
        <v>15750000</v>
      </c>
      <c r="Z132" s="1444">
        <f t="shared" si="86"/>
        <v>4</v>
      </c>
      <c r="AA132" s="1401">
        <f t="shared" si="87"/>
        <v>63000000</v>
      </c>
      <c r="AB132" s="1401">
        <f t="shared" si="88"/>
        <v>0</v>
      </c>
      <c r="AC132" s="1401">
        <f t="shared" si="89"/>
        <v>0</v>
      </c>
      <c r="AD132" s="1401">
        <f t="shared" si="90"/>
        <v>0</v>
      </c>
      <c r="AE132" s="1479">
        <f t="shared" si="91"/>
        <v>0</v>
      </c>
      <c r="AF132" s="1479">
        <f t="shared" si="92"/>
        <v>0</v>
      </c>
      <c r="AG132" s="1479">
        <f t="shared" si="82"/>
        <v>0</v>
      </c>
      <c r="AH132" s="1479">
        <f t="shared" si="78"/>
        <v>63000000</v>
      </c>
      <c r="AI132" s="1645">
        <f t="shared" si="93"/>
        <v>2006</v>
      </c>
      <c r="AJ132" s="1401">
        <f t="shared" si="94"/>
        <v>0</v>
      </c>
      <c r="AK132" s="1401"/>
    </row>
    <row r="133" spans="1:37" s="1390" customFormat="1" ht="37" customHeight="1" x14ac:dyDescent="0.2">
      <c r="A133" s="1710" t="str">
        <f t="shared" si="66"/>
        <v>02.06.02.04</v>
      </c>
      <c r="B133" s="1426">
        <v>44</v>
      </c>
      <c r="C133" s="1455" t="s">
        <v>278</v>
      </c>
      <c r="D133" s="1455" t="s">
        <v>172</v>
      </c>
      <c r="E133" s="1416"/>
      <c r="F133" s="1455" t="s">
        <v>173</v>
      </c>
      <c r="G133" s="1414"/>
      <c r="H133" s="1455" t="s">
        <v>174</v>
      </c>
      <c r="I133" s="1501">
        <v>2006</v>
      </c>
      <c r="J133" s="1414"/>
      <c r="K133" s="1653"/>
      <c r="L133" s="1414"/>
      <c r="M133" s="1414"/>
      <c r="N133" s="1414"/>
      <c r="O133" s="1501" t="s">
        <v>12</v>
      </c>
      <c r="P133" s="1529">
        <v>1787500</v>
      </c>
      <c r="Q133" s="1598" t="s">
        <v>43</v>
      </c>
      <c r="V133" s="1477" t="str">
        <f t="shared" si="81"/>
        <v>02.06.02</v>
      </c>
      <c r="W133" s="1478" t="str">
        <f t="shared" si="83"/>
        <v>Alat Rumah Tangga</v>
      </c>
      <c r="X133" s="1478">
        <f t="shared" si="84"/>
        <v>5</v>
      </c>
      <c r="Y133" s="1401">
        <f t="shared" si="85"/>
        <v>357500</v>
      </c>
      <c r="Z133" s="1444">
        <f t="shared" si="86"/>
        <v>5</v>
      </c>
      <c r="AA133" s="1401">
        <f t="shared" si="87"/>
        <v>1787500</v>
      </c>
      <c r="AB133" s="1401">
        <f t="shared" si="88"/>
        <v>0</v>
      </c>
      <c r="AC133" s="1401">
        <f t="shared" si="89"/>
        <v>0</v>
      </c>
      <c r="AD133" s="1401">
        <f t="shared" si="90"/>
        <v>0</v>
      </c>
      <c r="AE133" s="1479">
        <f t="shared" si="91"/>
        <v>0</v>
      </c>
      <c r="AF133" s="1479">
        <f t="shared" si="92"/>
        <v>0</v>
      </c>
      <c r="AG133" s="1479">
        <f t="shared" si="82"/>
        <v>0</v>
      </c>
      <c r="AH133" s="1479">
        <f t="shared" si="78"/>
        <v>1787500</v>
      </c>
      <c r="AI133" s="1645">
        <f t="shared" si="93"/>
        <v>2006</v>
      </c>
      <c r="AJ133" s="1401">
        <f t="shared" si="94"/>
        <v>0</v>
      </c>
      <c r="AK133" s="1401"/>
    </row>
    <row r="134" spans="1:37" s="1390" customFormat="1" ht="37" customHeight="1" x14ac:dyDescent="0.2">
      <c r="A134" s="1710" t="str">
        <f t="shared" si="66"/>
        <v>02.06.03.05</v>
      </c>
      <c r="B134" s="1426">
        <v>45</v>
      </c>
      <c r="C134" s="1455" t="s">
        <v>299</v>
      </c>
      <c r="D134" s="1455" t="s">
        <v>183</v>
      </c>
      <c r="E134" s="1416"/>
      <c r="F134" s="1455" t="s">
        <v>184</v>
      </c>
      <c r="G134" s="1414"/>
      <c r="H134" s="1455" t="s">
        <v>174</v>
      </c>
      <c r="I134" s="1501">
        <v>2006</v>
      </c>
      <c r="J134" s="1414"/>
      <c r="K134" s="1653"/>
      <c r="L134" s="1414"/>
      <c r="M134" s="1414"/>
      <c r="N134" s="1414"/>
      <c r="O134" s="1501" t="s">
        <v>12</v>
      </c>
      <c r="P134" s="1529">
        <v>1117500</v>
      </c>
      <c r="Q134" s="1598" t="s">
        <v>43</v>
      </c>
      <c r="V134" s="1477" t="str">
        <f t="shared" si="81"/>
        <v>02.06.03</v>
      </c>
      <c r="W134" s="1478" t="str">
        <f t="shared" si="83"/>
        <v>Peralatan Komputer</v>
      </c>
      <c r="X134" s="1478">
        <f t="shared" si="84"/>
        <v>4</v>
      </c>
      <c r="Y134" s="1401">
        <f t="shared" si="85"/>
        <v>279375</v>
      </c>
      <c r="Z134" s="1444">
        <f t="shared" si="86"/>
        <v>4</v>
      </c>
      <c r="AA134" s="1401">
        <f t="shared" si="87"/>
        <v>1117500</v>
      </c>
      <c r="AB134" s="1401">
        <f t="shared" si="88"/>
        <v>0</v>
      </c>
      <c r="AC134" s="1401">
        <f t="shared" si="89"/>
        <v>0</v>
      </c>
      <c r="AD134" s="1401">
        <f t="shared" si="90"/>
        <v>0</v>
      </c>
      <c r="AE134" s="1479">
        <f t="shared" si="91"/>
        <v>0</v>
      </c>
      <c r="AF134" s="1479">
        <f t="shared" si="92"/>
        <v>0</v>
      </c>
      <c r="AG134" s="1479">
        <f t="shared" si="82"/>
        <v>0</v>
      </c>
      <c r="AH134" s="1479">
        <f t="shared" si="78"/>
        <v>1117500</v>
      </c>
      <c r="AI134" s="1645">
        <f t="shared" si="93"/>
        <v>2006</v>
      </c>
      <c r="AJ134" s="1401">
        <f t="shared" si="94"/>
        <v>0</v>
      </c>
      <c r="AK134" s="1401"/>
    </row>
    <row r="135" spans="1:37" s="1390" customFormat="1" ht="37" customHeight="1" x14ac:dyDescent="0.2">
      <c r="A135" s="1710" t="str">
        <f t="shared" si="66"/>
        <v>02.06.03.05</v>
      </c>
      <c r="B135" s="1426">
        <v>46</v>
      </c>
      <c r="C135" s="1455" t="s">
        <v>4698</v>
      </c>
      <c r="D135" s="1455" t="s">
        <v>180</v>
      </c>
      <c r="E135" s="1416"/>
      <c r="F135" s="1455" t="s">
        <v>227</v>
      </c>
      <c r="G135" s="1414"/>
      <c r="H135" s="1455" t="s">
        <v>181</v>
      </c>
      <c r="I135" s="1501">
        <v>2006</v>
      </c>
      <c r="J135" s="1414"/>
      <c r="K135" s="1653"/>
      <c r="L135" s="1414"/>
      <c r="M135" s="1414"/>
      <c r="N135" s="1414"/>
      <c r="O135" s="1501" t="s">
        <v>12</v>
      </c>
      <c r="P135" s="1529">
        <v>2475000</v>
      </c>
      <c r="Q135" s="1598" t="s">
        <v>43</v>
      </c>
      <c r="V135" s="1477" t="str">
        <f t="shared" si="81"/>
        <v>02.06.03</v>
      </c>
      <c r="W135" s="1478" t="str">
        <f t="shared" si="83"/>
        <v>Peralatan Komputer</v>
      </c>
      <c r="X135" s="1478">
        <f t="shared" si="84"/>
        <v>4</v>
      </c>
      <c r="Y135" s="1401">
        <f t="shared" si="85"/>
        <v>618750</v>
      </c>
      <c r="Z135" s="1444">
        <f t="shared" si="86"/>
        <v>4</v>
      </c>
      <c r="AA135" s="1401">
        <f t="shared" si="87"/>
        <v>2475000</v>
      </c>
      <c r="AB135" s="1401">
        <f t="shared" si="88"/>
        <v>0</v>
      </c>
      <c r="AC135" s="1401">
        <f t="shared" si="89"/>
        <v>0</v>
      </c>
      <c r="AD135" s="1401">
        <f t="shared" si="90"/>
        <v>0</v>
      </c>
      <c r="AE135" s="1479">
        <f t="shared" si="91"/>
        <v>0</v>
      </c>
      <c r="AF135" s="1479">
        <f t="shared" si="92"/>
        <v>0</v>
      </c>
      <c r="AG135" s="1479">
        <f t="shared" si="82"/>
        <v>0</v>
      </c>
      <c r="AH135" s="1479">
        <f t="shared" si="78"/>
        <v>2475000</v>
      </c>
      <c r="AI135" s="1645">
        <f t="shared" si="93"/>
        <v>2006</v>
      </c>
      <c r="AJ135" s="1401">
        <f t="shared" si="94"/>
        <v>0</v>
      </c>
      <c r="AK135" s="1401"/>
    </row>
    <row r="136" spans="1:37" s="1390" customFormat="1" ht="37" customHeight="1" x14ac:dyDescent="0.2">
      <c r="A136" s="1710" t="str">
        <f t="shared" si="66"/>
        <v>02.06.02.01</v>
      </c>
      <c r="B136" s="1426">
        <v>47</v>
      </c>
      <c r="C136" s="1455" t="s">
        <v>293</v>
      </c>
      <c r="D136" s="1455" t="s">
        <v>209</v>
      </c>
      <c r="E136" s="1416"/>
      <c r="F136" s="1455" t="s">
        <v>199</v>
      </c>
      <c r="G136" s="1414"/>
      <c r="H136" s="1455" t="s">
        <v>247</v>
      </c>
      <c r="I136" s="1501">
        <v>2006</v>
      </c>
      <c r="J136" s="1414"/>
      <c r="K136" s="1653"/>
      <c r="L136" s="1414"/>
      <c r="M136" s="1414"/>
      <c r="N136" s="1414"/>
      <c r="O136" s="1501" t="s">
        <v>12</v>
      </c>
      <c r="P136" s="1529">
        <v>525000</v>
      </c>
      <c r="Q136" s="1598" t="s">
        <v>43</v>
      </c>
      <c r="V136" s="1477" t="str">
        <f t="shared" si="81"/>
        <v>02.06.02</v>
      </c>
      <c r="W136" s="1478" t="str">
        <f t="shared" si="83"/>
        <v>Alat Rumah Tangga</v>
      </c>
      <c r="X136" s="1478">
        <f t="shared" si="84"/>
        <v>5</v>
      </c>
      <c r="Y136" s="1401">
        <f t="shared" si="85"/>
        <v>105000</v>
      </c>
      <c r="Z136" s="1444">
        <f t="shared" si="86"/>
        <v>5</v>
      </c>
      <c r="AA136" s="1401">
        <f t="shared" si="87"/>
        <v>525000</v>
      </c>
      <c r="AB136" s="1401">
        <f t="shared" si="88"/>
        <v>0</v>
      </c>
      <c r="AC136" s="1401">
        <f t="shared" si="89"/>
        <v>0</v>
      </c>
      <c r="AD136" s="1401">
        <f t="shared" si="90"/>
        <v>0</v>
      </c>
      <c r="AE136" s="1479">
        <f t="shared" si="91"/>
        <v>0</v>
      </c>
      <c r="AF136" s="1479">
        <f t="shared" si="92"/>
        <v>0</v>
      </c>
      <c r="AG136" s="1479">
        <f t="shared" si="82"/>
        <v>0</v>
      </c>
      <c r="AH136" s="1479">
        <f t="shared" si="78"/>
        <v>525000</v>
      </c>
      <c r="AI136" s="1645">
        <f t="shared" si="93"/>
        <v>2006</v>
      </c>
      <c r="AJ136" s="1401">
        <f t="shared" si="94"/>
        <v>0</v>
      </c>
      <c r="AK136" s="1401"/>
    </row>
    <row r="137" spans="1:37" s="1390" customFormat="1" ht="37" customHeight="1" x14ac:dyDescent="0.2">
      <c r="A137" s="1710" t="str">
        <f t="shared" si="66"/>
        <v>02.06.03.05</v>
      </c>
      <c r="B137" s="1426">
        <v>48</v>
      </c>
      <c r="C137" s="1455" t="s">
        <v>299</v>
      </c>
      <c r="D137" s="1455" t="s">
        <v>183</v>
      </c>
      <c r="E137" s="1416"/>
      <c r="F137" s="1455" t="s">
        <v>184</v>
      </c>
      <c r="G137" s="1414"/>
      <c r="H137" s="1455" t="s">
        <v>174</v>
      </c>
      <c r="I137" s="1501">
        <v>2006</v>
      </c>
      <c r="J137" s="1414"/>
      <c r="K137" s="1653"/>
      <c r="L137" s="1414"/>
      <c r="M137" s="1414"/>
      <c r="N137" s="1414"/>
      <c r="O137" s="1501" t="s">
        <v>12</v>
      </c>
      <c r="P137" s="1529">
        <v>1117500</v>
      </c>
      <c r="Q137" s="1598" t="s">
        <v>43</v>
      </c>
      <c r="V137" s="1477" t="str">
        <f t="shared" si="81"/>
        <v>02.06.03</v>
      </c>
      <c r="W137" s="1478" t="str">
        <f t="shared" si="83"/>
        <v>Peralatan Komputer</v>
      </c>
      <c r="X137" s="1478">
        <f t="shared" si="84"/>
        <v>4</v>
      </c>
      <c r="Y137" s="1401">
        <f t="shared" si="85"/>
        <v>279375</v>
      </c>
      <c r="Z137" s="1444">
        <f t="shared" si="86"/>
        <v>4</v>
      </c>
      <c r="AA137" s="1401">
        <f t="shared" si="87"/>
        <v>1117500</v>
      </c>
      <c r="AB137" s="1401">
        <f t="shared" si="88"/>
        <v>0</v>
      </c>
      <c r="AC137" s="1401">
        <f t="shared" si="89"/>
        <v>0</v>
      </c>
      <c r="AD137" s="1401">
        <f t="shared" si="90"/>
        <v>0</v>
      </c>
      <c r="AE137" s="1479">
        <f t="shared" si="91"/>
        <v>0</v>
      </c>
      <c r="AF137" s="1479">
        <f t="shared" si="92"/>
        <v>0</v>
      </c>
      <c r="AG137" s="1479">
        <f t="shared" si="82"/>
        <v>0</v>
      </c>
      <c r="AH137" s="1479">
        <f t="shared" si="78"/>
        <v>1117500</v>
      </c>
      <c r="AI137" s="1645">
        <f t="shared" si="93"/>
        <v>2006</v>
      </c>
      <c r="AJ137" s="1401">
        <f t="shared" si="94"/>
        <v>0</v>
      </c>
      <c r="AK137" s="1401"/>
    </row>
    <row r="138" spans="1:37" s="1390" customFormat="1" ht="37" customHeight="1" x14ac:dyDescent="0.2">
      <c r="A138" s="1710" t="str">
        <f t="shared" si="66"/>
        <v>02.06.02.04</v>
      </c>
      <c r="B138" s="1426">
        <v>49</v>
      </c>
      <c r="C138" s="1455" t="s">
        <v>278</v>
      </c>
      <c r="D138" s="1455" t="s">
        <v>172</v>
      </c>
      <c r="E138" s="1416"/>
      <c r="F138" s="1455" t="s">
        <v>173</v>
      </c>
      <c r="G138" s="1414"/>
      <c r="H138" s="1455" t="s">
        <v>174</v>
      </c>
      <c r="I138" s="1501">
        <v>2006</v>
      </c>
      <c r="J138" s="1414"/>
      <c r="K138" s="1653"/>
      <c r="L138" s="1414"/>
      <c r="M138" s="1414"/>
      <c r="N138" s="1414"/>
      <c r="O138" s="1501" t="s">
        <v>12</v>
      </c>
      <c r="P138" s="1529">
        <v>2062500</v>
      </c>
      <c r="Q138" s="1598" t="s">
        <v>43</v>
      </c>
      <c r="V138" s="1477" t="str">
        <f t="shared" si="81"/>
        <v>02.06.02</v>
      </c>
      <c r="W138" s="1478" t="str">
        <f t="shared" si="83"/>
        <v>Alat Rumah Tangga</v>
      </c>
      <c r="X138" s="1478">
        <f t="shared" si="84"/>
        <v>5</v>
      </c>
      <c r="Y138" s="1401">
        <f t="shared" si="85"/>
        <v>412500</v>
      </c>
      <c r="Z138" s="1444">
        <f t="shared" si="86"/>
        <v>5</v>
      </c>
      <c r="AA138" s="1401">
        <f t="shared" si="87"/>
        <v>2062500</v>
      </c>
      <c r="AB138" s="1401">
        <f t="shared" si="88"/>
        <v>0</v>
      </c>
      <c r="AC138" s="1401">
        <f t="shared" si="89"/>
        <v>0</v>
      </c>
      <c r="AD138" s="1401">
        <f t="shared" si="90"/>
        <v>0</v>
      </c>
      <c r="AE138" s="1479">
        <f t="shared" si="91"/>
        <v>0</v>
      </c>
      <c r="AF138" s="1479">
        <f t="shared" si="92"/>
        <v>0</v>
      </c>
      <c r="AG138" s="1479">
        <f t="shared" si="82"/>
        <v>0</v>
      </c>
      <c r="AH138" s="1479">
        <f t="shared" si="78"/>
        <v>2062500</v>
      </c>
      <c r="AI138" s="1645">
        <f t="shared" si="93"/>
        <v>2006</v>
      </c>
      <c r="AJ138" s="1401">
        <f t="shared" si="94"/>
        <v>0</v>
      </c>
      <c r="AK138" s="1401"/>
    </row>
    <row r="139" spans="1:37" s="1390" customFormat="1" ht="37" customHeight="1" x14ac:dyDescent="0.2">
      <c r="A139" s="1710" t="str">
        <f t="shared" si="66"/>
        <v>02.06.03.05</v>
      </c>
      <c r="B139" s="1426">
        <v>50</v>
      </c>
      <c r="C139" s="1455" t="s">
        <v>299</v>
      </c>
      <c r="D139" s="1455" t="s">
        <v>183</v>
      </c>
      <c r="E139" s="1416"/>
      <c r="F139" s="1455" t="s">
        <v>184</v>
      </c>
      <c r="G139" s="1414"/>
      <c r="H139" s="1455" t="s">
        <v>174</v>
      </c>
      <c r="I139" s="1501">
        <v>2006</v>
      </c>
      <c r="J139" s="1414"/>
      <c r="K139" s="1653"/>
      <c r="L139" s="1414"/>
      <c r="M139" s="1414"/>
      <c r="N139" s="1414"/>
      <c r="O139" s="1501" t="s">
        <v>12</v>
      </c>
      <c r="P139" s="1529">
        <v>1200000</v>
      </c>
      <c r="Q139" s="1598"/>
      <c r="V139" s="1477" t="str">
        <f t="shared" si="81"/>
        <v>02.06.03</v>
      </c>
      <c r="W139" s="1478" t="str">
        <f t="shared" si="83"/>
        <v>Peralatan Komputer</v>
      </c>
      <c r="X139" s="1478">
        <f t="shared" si="84"/>
        <v>4</v>
      </c>
      <c r="Y139" s="1401">
        <f t="shared" si="85"/>
        <v>300000</v>
      </c>
      <c r="Z139" s="1444">
        <f t="shared" si="86"/>
        <v>4</v>
      </c>
      <c r="AA139" s="1401">
        <f t="shared" si="87"/>
        <v>1200000</v>
      </c>
      <c r="AB139" s="1401">
        <f t="shared" si="88"/>
        <v>0</v>
      </c>
      <c r="AC139" s="1401">
        <f t="shared" si="89"/>
        <v>0</v>
      </c>
      <c r="AD139" s="1401">
        <f t="shared" si="90"/>
        <v>0</v>
      </c>
      <c r="AE139" s="1479">
        <f t="shared" si="91"/>
        <v>0</v>
      </c>
      <c r="AF139" s="1479">
        <f t="shared" si="92"/>
        <v>0</v>
      </c>
      <c r="AG139" s="1479">
        <f t="shared" si="82"/>
        <v>0</v>
      </c>
      <c r="AH139" s="1479">
        <f t="shared" si="78"/>
        <v>1200000</v>
      </c>
      <c r="AI139" s="1645">
        <f t="shared" si="93"/>
        <v>2006</v>
      </c>
      <c r="AJ139" s="1401">
        <f t="shared" si="94"/>
        <v>0</v>
      </c>
      <c r="AK139" s="1401"/>
    </row>
    <row r="140" spans="1:37" s="1390" customFormat="1" ht="37" customHeight="1" x14ac:dyDescent="0.2">
      <c r="A140" s="1710" t="str">
        <f t="shared" si="66"/>
        <v>02.06.01.04</v>
      </c>
      <c r="B140" s="1426">
        <v>51</v>
      </c>
      <c r="C140" s="1455" t="s">
        <v>4706</v>
      </c>
      <c r="D140" s="1455" t="s">
        <v>934</v>
      </c>
      <c r="E140" s="1416"/>
      <c r="F140" s="1455" t="s">
        <v>52</v>
      </c>
      <c r="G140" s="1414"/>
      <c r="H140" s="1455" t="s">
        <v>253</v>
      </c>
      <c r="I140" s="1501">
        <v>2007</v>
      </c>
      <c r="J140" s="1414"/>
      <c r="K140" s="1653"/>
      <c r="L140" s="1414"/>
      <c r="M140" s="1414"/>
      <c r="N140" s="1414"/>
      <c r="O140" s="1501" t="s">
        <v>12</v>
      </c>
      <c r="P140" s="1529">
        <v>2400000</v>
      </c>
      <c r="Q140" s="1598" t="s">
        <v>43</v>
      </c>
      <c r="V140" s="1477" t="str">
        <f t="shared" si="81"/>
        <v>02.06.01</v>
      </c>
      <c r="W140" s="1478" t="str">
        <f t="shared" si="83"/>
        <v>Alat Kantor</v>
      </c>
      <c r="X140" s="1478">
        <f t="shared" si="84"/>
        <v>5</v>
      </c>
      <c r="Y140" s="1401">
        <f t="shared" si="85"/>
        <v>480000</v>
      </c>
      <c r="Z140" s="1444">
        <f t="shared" si="86"/>
        <v>5</v>
      </c>
      <c r="AA140" s="1401">
        <f t="shared" si="87"/>
        <v>2400000</v>
      </c>
      <c r="AB140" s="1401">
        <f t="shared" si="88"/>
        <v>0</v>
      </c>
      <c r="AC140" s="1401">
        <f t="shared" si="89"/>
        <v>0</v>
      </c>
      <c r="AD140" s="1401">
        <f t="shared" si="90"/>
        <v>0</v>
      </c>
      <c r="AE140" s="1479">
        <f t="shared" si="91"/>
        <v>0</v>
      </c>
      <c r="AF140" s="1479">
        <f t="shared" si="92"/>
        <v>0</v>
      </c>
      <c r="AG140" s="1479">
        <f t="shared" si="82"/>
        <v>0</v>
      </c>
      <c r="AH140" s="1479">
        <f t="shared" si="78"/>
        <v>2400000</v>
      </c>
      <c r="AI140" s="1645">
        <f t="shared" si="93"/>
        <v>2007</v>
      </c>
      <c r="AJ140" s="1401">
        <f t="shared" si="94"/>
        <v>0</v>
      </c>
      <c r="AK140" s="1401"/>
    </row>
    <row r="141" spans="1:37" s="1390" customFormat="1" ht="37" customHeight="1" x14ac:dyDescent="0.2">
      <c r="A141" s="1710" t="str">
        <f t="shared" ref="A141:A204" si="95">LEFT(C141,11)</f>
        <v>02.06.04.07</v>
      </c>
      <c r="B141" s="1426">
        <v>52</v>
      </c>
      <c r="C141" s="1455" t="s">
        <v>2323</v>
      </c>
      <c r="D141" s="1455" t="s">
        <v>212</v>
      </c>
      <c r="E141" s="1416"/>
      <c r="F141" s="1455" t="s">
        <v>52</v>
      </c>
      <c r="G141" s="1414"/>
      <c r="H141" s="1455" t="s">
        <v>213</v>
      </c>
      <c r="I141" s="1501">
        <v>2007</v>
      </c>
      <c r="J141" s="1414"/>
      <c r="K141" s="1653"/>
      <c r="L141" s="1414"/>
      <c r="M141" s="1414"/>
      <c r="N141" s="1414"/>
      <c r="O141" s="1501" t="s">
        <v>12</v>
      </c>
      <c r="P141" s="1529">
        <v>1800000</v>
      </c>
      <c r="Q141" s="1598" t="s">
        <v>43</v>
      </c>
      <c r="V141" s="1477" t="str">
        <f t="shared" si="81"/>
        <v>02.06.04</v>
      </c>
      <c r="W141" s="1478" t="str">
        <f t="shared" si="83"/>
        <v>Meja Dan Kursi Kerja/Rapat Pejabat</v>
      </c>
      <c r="X141" s="1478">
        <f t="shared" si="84"/>
        <v>5</v>
      </c>
      <c r="Y141" s="1401">
        <f t="shared" si="85"/>
        <v>360000</v>
      </c>
      <c r="Z141" s="1444">
        <f t="shared" si="86"/>
        <v>5</v>
      </c>
      <c r="AA141" s="1401">
        <f t="shared" si="87"/>
        <v>1800000</v>
      </c>
      <c r="AB141" s="1401">
        <f t="shared" si="88"/>
        <v>0</v>
      </c>
      <c r="AC141" s="1401">
        <f t="shared" si="89"/>
        <v>0</v>
      </c>
      <c r="AD141" s="1401">
        <f t="shared" si="90"/>
        <v>0</v>
      </c>
      <c r="AE141" s="1479">
        <f t="shared" si="91"/>
        <v>0</v>
      </c>
      <c r="AF141" s="1479">
        <f t="shared" si="92"/>
        <v>0</v>
      </c>
      <c r="AG141" s="1479">
        <f t="shared" si="82"/>
        <v>0</v>
      </c>
      <c r="AH141" s="1479">
        <f t="shared" si="78"/>
        <v>1800000</v>
      </c>
      <c r="AI141" s="1645">
        <f t="shared" si="93"/>
        <v>2007</v>
      </c>
      <c r="AJ141" s="1401">
        <f t="shared" si="94"/>
        <v>0</v>
      </c>
      <c r="AK141" s="1401"/>
    </row>
    <row r="142" spans="1:37" s="1390" customFormat="1" ht="37" customHeight="1" x14ac:dyDescent="0.2">
      <c r="A142" s="1710" t="str">
        <f t="shared" si="95"/>
        <v>02.06.04.03</v>
      </c>
      <c r="B142" s="1426">
        <v>53</v>
      </c>
      <c r="C142" s="1455" t="s">
        <v>2328</v>
      </c>
      <c r="D142" s="1455" t="s">
        <v>935</v>
      </c>
      <c r="E142" s="1416"/>
      <c r="F142" s="1455" t="s">
        <v>52</v>
      </c>
      <c r="G142" s="1414"/>
      <c r="H142" s="1455" t="s">
        <v>1008</v>
      </c>
      <c r="I142" s="1501">
        <v>2007</v>
      </c>
      <c r="J142" s="1414"/>
      <c r="K142" s="1653"/>
      <c r="L142" s="1414"/>
      <c r="M142" s="1414"/>
      <c r="N142" s="1414"/>
      <c r="O142" s="1501" t="s">
        <v>12</v>
      </c>
      <c r="P142" s="1529">
        <v>600000</v>
      </c>
      <c r="Q142" s="1598" t="s">
        <v>43</v>
      </c>
      <c r="V142" s="1477" t="str">
        <f t="shared" si="81"/>
        <v>02.06.04</v>
      </c>
      <c r="W142" s="1478" t="str">
        <f t="shared" si="83"/>
        <v>Meja Dan Kursi Kerja/Rapat Pejabat</v>
      </c>
      <c r="X142" s="1478">
        <f t="shared" si="84"/>
        <v>5</v>
      </c>
      <c r="Y142" s="1401">
        <f t="shared" si="85"/>
        <v>120000</v>
      </c>
      <c r="Z142" s="1444">
        <f t="shared" si="86"/>
        <v>5</v>
      </c>
      <c r="AA142" s="1401">
        <f t="shared" si="87"/>
        <v>600000</v>
      </c>
      <c r="AB142" s="1401">
        <f t="shared" si="88"/>
        <v>0</v>
      </c>
      <c r="AC142" s="1401">
        <f t="shared" si="89"/>
        <v>0</v>
      </c>
      <c r="AD142" s="1401">
        <f t="shared" si="90"/>
        <v>0</v>
      </c>
      <c r="AE142" s="1479">
        <f t="shared" si="91"/>
        <v>0</v>
      </c>
      <c r="AF142" s="1479">
        <f t="shared" si="92"/>
        <v>0</v>
      </c>
      <c r="AG142" s="1479">
        <f t="shared" si="82"/>
        <v>0</v>
      </c>
      <c r="AH142" s="1479">
        <f t="shared" si="78"/>
        <v>600000</v>
      </c>
      <c r="AI142" s="1645">
        <f t="shared" si="93"/>
        <v>2007</v>
      </c>
      <c r="AJ142" s="1401">
        <f t="shared" si="94"/>
        <v>0</v>
      </c>
      <c r="AK142" s="1401"/>
    </row>
    <row r="143" spans="1:37" s="1390" customFormat="1" ht="37" customHeight="1" x14ac:dyDescent="0.2">
      <c r="A143" s="1710" t="str">
        <f t="shared" si="95"/>
        <v>02.06.03.05</v>
      </c>
      <c r="B143" s="1426">
        <v>54</v>
      </c>
      <c r="C143" s="1455" t="s">
        <v>299</v>
      </c>
      <c r="D143" s="1455" t="s">
        <v>936</v>
      </c>
      <c r="E143" s="1416"/>
      <c r="F143" s="1455" t="s">
        <v>52</v>
      </c>
      <c r="G143" s="1414"/>
      <c r="H143" s="1455" t="s">
        <v>222</v>
      </c>
      <c r="I143" s="1501">
        <v>2007</v>
      </c>
      <c r="J143" s="1414"/>
      <c r="K143" s="1653"/>
      <c r="L143" s="1414"/>
      <c r="M143" s="1414"/>
      <c r="N143" s="1414"/>
      <c r="O143" s="1501" t="s">
        <v>12</v>
      </c>
      <c r="P143" s="1529">
        <v>7499670.7109235516</v>
      </c>
      <c r="Q143" s="1598" t="s">
        <v>43</v>
      </c>
      <c r="V143" s="1477" t="str">
        <f t="shared" si="81"/>
        <v>02.06.03</v>
      </c>
      <c r="W143" s="1478" t="str">
        <f t="shared" si="83"/>
        <v>Peralatan Komputer</v>
      </c>
      <c r="X143" s="1478">
        <f t="shared" si="84"/>
        <v>4</v>
      </c>
      <c r="Y143" s="1401">
        <f t="shared" si="85"/>
        <v>1874917.6777308879</v>
      </c>
      <c r="Z143" s="1444">
        <f t="shared" si="86"/>
        <v>4</v>
      </c>
      <c r="AA143" s="1401">
        <f t="shared" si="87"/>
        <v>7499670.7109235516</v>
      </c>
      <c r="AB143" s="1401">
        <f t="shared" si="88"/>
        <v>0</v>
      </c>
      <c r="AC143" s="1401">
        <f t="shared" si="89"/>
        <v>0</v>
      </c>
      <c r="AD143" s="1401">
        <f t="shared" si="90"/>
        <v>0</v>
      </c>
      <c r="AE143" s="1479">
        <f t="shared" si="91"/>
        <v>0</v>
      </c>
      <c r="AF143" s="1479">
        <f t="shared" si="92"/>
        <v>0</v>
      </c>
      <c r="AG143" s="1479">
        <f t="shared" si="82"/>
        <v>0</v>
      </c>
      <c r="AH143" s="1479">
        <f t="shared" si="78"/>
        <v>7499670.7109235516</v>
      </c>
      <c r="AI143" s="1645">
        <f t="shared" si="93"/>
        <v>2007</v>
      </c>
      <c r="AJ143" s="1401">
        <f t="shared" si="94"/>
        <v>0</v>
      </c>
      <c r="AK143" s="1401"/>
    </row>
    <row r="144" spans="1:37" s="1390" customFormat="1" ht="37" customHeight="1" x14ac:dyDescent="0.2">
      <c r="A144" s="1710" t="str">
        <f t="shared" si="95"/>
        <v>02.06.01.01</v>
      </c>
      <c r="B144" s="1426">
        <v>55</v>
      </c>
      <c r="C144" s="1455" t="s">
        <v>4699</v>
      </c>
      <c r="D144" s="1455" t="s">
        <v>189</v>
      </c>
      <c r="E144" s="1416"/>
      <c r="F144" s="1455" t="s">
        <v>52</v>
      </c>
      <c r="G144" s="1414"/>
      <c r="H144" s="1455" t="s">
        <v>191</v>
      </c>
      <c r="I144" s="1501">
        <v>2008</v>
      </c>
      <c r="J144" s="1414"/>
      <c r="K144" s="1653"/>
      <c r="L144" s="1414"/>
      <c r="M144" s="1414"/>
      <c r="N144" s="1414"/>
      <c r="O144" s="1501" t="s">
        <v>12</v>
      </c>
      <c r="P144" s="1529">
        <v>4900000</v>
      </c>
      <c r="Q144" s="1598" t="s">
        <v>43</v>
      </c>
      <c r="V144" s="1477" t="str">
        <f t="shared" si="81"/>
        <v>02.06.01</v>
      </c>
      <c r="W144" s="1478" t="str">
        <f t="shared" si="83"/>
        <v>Alat Kantor</v>
      </c>
      <c r="X144" s="1478">
        <f t="shared" si="84"/>
        <v>5</v>
      </c>
      <c r="Y144" s="1401">
        <f t="shared" si="85"/>
        <v>980000</v>
      </c>
      <c r="Z144" s="1444">
        <f t="shared" si="86"/>
        <v>5</v>
      </c>
      <c r="AA144" s="1401">
        <f t="shared" si="87"/>
        <v>4900000</v>
      </c>
      <c r="AB144" s="1401">
        <f t="shared" si="88"/>
        <v>0</v>
      </c>
      <c r="AC144" s="1401">
        <f t="shared" si="89"/>
        <v>0</v>
      </c>
      <c r="AD144" s="1401">
        <f t="shared" si="90"/>
        <v>0</v>
      </c>
      <c r="AE144" s="1479">
        <f t="shared" si="91"/>
        <v>0</v>
      </c>
      <c r="AF144" s="1479">
        <f t="shared" si="92"/>
        <v>0</v>
      </c>
      <c r="AG144" s="1479">
        <f t="shared" si="82"/>
        <v>0</v>
      </c>
      <c r="AH144" s="1479">
        <f t="shared" si="78"/>
        <v>4900000</v>
      </c>
      <c r="AI144" s="1645">
        <f t="shared" si="93"/>
        <v>2008</v>
      </c>
      <c r="AJ144" s="1401">
        <f t="shared" si="94"/>
        <v>0</v>
      </c>
      <c r="AK144" s="1401"/>
    </row>
    <row r="145" spans="1:37" s="1390" customFormat="1" ht="37" customHeight="1" x14ac:dyDescent="0.2">
      <c r="A145" s="1710" t="str">
        <f t="shared" si="95"/>
        <v>02.06.04.07</v>
      </c>
      <c r="B145" s="1426">
        <v>56</v>
      </c>
      <c r="C145" s="1414" t="s">
        <v>2323</v>
      </c>
      <c r="D145" s="1455" t="s">
        <v>937</v>
      </c>
      <c r="E145" s="1416"/>
      <c r="F145" s="1455" t="s">
        <v>52</v>
      </c>
      <c r="G145" s="1414"/>
      <c r="H145" s="1455" t="s">
        <v>52</v>
      </c>
      <c r="I145" s="1501">
        <v>2008</v>
      </c>
      <c r="J145" s="1414"/>
      <c r="K145" s="1653"/>
      <c r="L145" s="1414"/>
      <c r="M145" s="1414"/>
      <c r="N145" s="1414"/>
      <c r="O145" s="1501" t="s">
        <v>12</v>
      </c>
      <c r="P145" s="1529">
        <v>8427000</v>
      </c>
      <c r="Q145" s="1598" t="s">
        <v>43</v>
      </c>
      <c r="V145" s="1477" t="str">
        <f t="shared" si="81"/>
        <v>02.06.04</v>
      </c>
      <c r="W145" s="1478" t="str">
        <f t="shared" si="83"/>
        <v>Meja Dan Kursi Kerja/Rapat Pejabat</v>
      </c>
      <c r="X145" s="1478">
        <f t="shared" si="84"/>
        <v>5</v>
      </c>
      <c r="Y145" s="1401">
        <f t="shared" si="85"/>
        <v>1685400</v>
      </c>
      <c r="Z145" s="1444">
        <f t="shared" si="86"/>
        <v>5</v>
      </c>
      <c r="AA145" s="1401">
        <f t="shared" si="87"/>
        <v>8427000</v>
      </c>
      <c r="AB145" s="1401">
        <f t="shared" si="88"/>
        <v>0</v>
      </c>
      <c r="AC145" s="1401">
        <f t="shared" si="89"/>
        <v>0</v>
      </c>
      <c r="AD145" s="1401">
        <f t="shared" si="90"/>
        <v>0</v>
      </c>
      <c r="AE145" s="1479">
        <f t="shared" si="91"/>
        <v>0</v>
      </c>
      <c r="AF145" s="1479">
        <f t="shared" si="92"/>
        <v>0</v>
      </c>
      <c r="AG145" s="1479">
        <f t="shared" si="82"/>
        <v>0</v>
      </c>
      <c r="AH145" s="1479">
        <f t="shared" si="78"/>
        <v>8427000</v>
      </c>
      <c r="AI145" s="1645">
        <f t="shared" si="93"/>
        <v>2008</v>
      </c>
      <c r="AJ145" s="1401">
        <f t="shared" si="94"/>
        <v>0</v>
      </c>
      <c r="AK145" s="1401"/>
    </row>
    <row r="146" spans="1:37" s="1390" customFormat="1" ht="37" customHeight="1" x14ac:dyDescent="0.2">
      <c r="A146" s="1710" t="str">
        <f t="shared" si="95"/>
        <v>02.06.04.07</v>
      </c>
      <c r="B146" s="1426">
        <v>57</v>
      </c>
      <c r="C146" s="1414" t="s">
        <v>2323</v>
      </c>
      <c r="D146" s="1455" t="s">
        <v>938</v>
      </c>
      <c r="E146" s="1416"/>
      <c r="F146" s="1455" t="s">
        <v>52</v>
      </c>
      <c r="G146" s="1414"/>
      <c r="H146" s="1455" t="s">
        <v>52</v>
      </c>
      <c r="I146" s="1501">
        <v>2008</v>
      </c>
      <c r="J146" s="1414"/>
      <c r="K146" s="1653"/>
      <c r="L146" s="1414"/>
      <c r="M146" s="1414"/>
      <c r="N146" s="1414"/>
      <c r="O146" s="1501" t="s">
        <v>12</v>
      </c>
      <c r="P146" s="1529">
        <v>12000000</v>
      </c>
      <c r="Q146" s="1598" t="s">
        <v>43</v>
      </c>
      <c r="V146" s="1477" t="str">
        <f t="shared" si="81"/>
        <v>02.06.04</v>
      </c>
      <c r="W146" s="1478" t="str">
        <f t="shared" si="83"/>
        <v>Meja Dan Kursi Kerja/Rapat Pejabat</v>
      </c>
      <c r="X146" s="1478">
        <f t="shared" si="84"/>
        <v>5</v>
      </c>
      <c r="Y146" s="1401">
        <f t="shared" si="85"/>
        <v>2400000</v>
      </c>
      <c r="Z146" s="1444">
        <f t="shared" si="86"/>
        <v>5</v>
      </c>
      <c r="AA146" s="1401">
        <f t="shared" si="87"/>
        <v>12000000</v>
      </c>
      <c r="AB146" s="1401">
        <f t="shared" si="88"/>
        <v>0</v>
      </c>
      <c r="AC146" s="1401">
        <f t="shared" si="89"/>
        <v>0</v>
      </c>
      <c r="AD146" s="1401">
        <f t="shared" si="90"/>
        <v>0</v>
      </c>
      <c r="AE146" s="1479">
        <f t="shared" si="91"/>
        <v>0</v>
      </c>
      <c r="AF146" s="1479">
        <f t="shared" si="92"/>
        <v>0</v>
      </c>
      <c r="AG146" s="1479">
        <f t="shared" si="82"/>
        <v>0</v>
      </c>
      <c r="AH146" s="1479">
        <f t="shared" si="78"/>
        <v>12000000</v>
      </c>
      <c r="AI146" s="1645">
        <f t="shared" si="93"/>
        <v>2008</v>
      </c>
      <c r="AJ146" s="1401">
        <f t="shared" si="94"/>
        <v>0</v>
      </c>
      <c r="AK146" s="1401"/>
    </row>
    <row r="147" spans="1:37" s="1390" customFormat="1" ht="37" customHeight="1" x14ac:dyDescent="0.2">
      <c r="A147" s="1710" t="str">
        <f t="shared" si="95"/>
        <v>02.06.01.04</v>
      </c>
      <c r="B147" s="1426">
        <v>58</v>
      </c>
      <c r="C147" s="1414" t="s">
        <v>4707</v>
      </c>
      <c r="D147" s="1455" t="s">
        <v>939</v>
      </c>
      <c r="E147" s="1416"/>
      <c r="F147" s="1455" t="s">
        <v>52</v>
      </c>
      <c r="G147" s="1414"/>
      <c r="H147" s="1455" t="s">
        <v>181</v>
      </c>
      <c r="I147" s="1501">
        <v>2008</v>
      </c>
      <c r="J147" s="1414"/>
      <c r="K147" s="1653"/>
      <c r="L147" s="1414"/>
      <c r="M147" s="1414"/>
      <c r="N147" s="1414"/>
      <c r="O147" s="1501" t="s">
        <v>12</v>
      </c>
      <c r="P147" s="1529">
        <v>24852000</v>
      </c>
      <c r="Q147" s="1598" t="s">
        <v>43</v>
      </c>
      <c r="V147" s="1477" t="str">
        <f t="shared" si="81"/>
        <v>02.06.01</v>
      </c>
      <c r="W147" s="1478" t="str">
        <f t="shared" si="83"/>
        <v>Alat Kantor</v>
      </c>
      <c r="X147" s="1478">
        <f t="shared" si="84"/>
        <v>5</v>
      </c>
      <c r="Y147" s="1401">
        <f t="shared" si="85"/>
        <v>4970400</v>
      </c>
      <c r="Z147" s="1444">
        <f t="shared" si="86"/>
        <v>5</v>
      </c>
      <c r="AA147" s="1401">
        <f t="shared" si="87"/>
        <v>24852000</v>
      </c>
      <c r="AB147" s="1401">
        <f t="shared" si="88"/>
        <v>0</v>
      </c>
      <c r="AC147" s="1401">
        <f t="shared" si="89"/>
        <v>0</v>
      </c>
      <c r="AD147" s="1401">
        <f t="shared" si="90"/>
        <v>0</v>
      </c>
      <c r="AE147" s="1479">
        <f t="shared" si="91"/>
        <v>0</v>
      </c>
      <c r="AF147" s="1479">
        <f t="shared" si="92"/>
        <v>0</v>
      </c>
      <c r="AG147" s="1479">
        <f t="shared" si="82"/>
        <v>0</v>
      </c>
      <c r="AH147" s="1479">
        <f t="shared" si="78"/>
        <v>24852000</v>
      </c>
      <c r="AI147" s="1645">
        <f t="shared" si="93"/>
        <v>2008</v>
      </c>
      <c r="AJ147" s="1401">
        <f t="shared" si="94"/>
        <v>0</v>
      </c>
      <c r="AK147" s="1401"/>
    </row>
    <row r="148" spans="1:37" s="1390" customFormat="1" ht="37" customHeight="1" x14ac:dyDescent="0.2">
      <c r="A148" s="1710" t="str">
        <f t="shared" si="95"/>
        <v>02.06.04.01</v>
      </c>
      <c r="B148" s="1426">
        <v>59</v>
      </c>
      <c r="C148" s="1414" t="s">
        <v>2326</v>
      </c>
      <c r="D148" s="1455" t="s">
        <v>940</v>
      </c>
      <c r="E148" s="1416"/>
      <c r="F148" s="1455" t="s">
        <v>52</v>
      </c>
      <c r="G148" s="1414"/>
      <c r="H148" s="1455" t="s">
        <v>238</v>
      </c>
      <c r="I148" s="1501">
        <v>2008</v>
      </c>
      <c r="J148" s="1414"/>
      <c r="K148" s="1653"/>
      <c r="L148" s="1414"/>
      <c r="M148" s="1414"/>
      <c r="N148" s="1414"/>
      <c r="O148" s="1501" t="s">
        <v>12</v>
      </c>
      <c r="P148" s="1529">
        <v>3625000</v>
      </c>
      <c r="Q148" s="1598" t="s">
        <v>43</v>
      </c>
      <c r="V148" s="1477" t="str">
        <f t="shared" si="81"/>
        <v>02.06.04</v>
      </c>
      <c r="W148" s="1478" t="str">
        <f t="shared" si="83"/>
        <v>Meja Dan Kursi Kerja/Rapat Pejabat</v>
      </c>
      <c r="X148" s="1478">
        <f t="shared" si="84"/>
        <v>5</v>
      </c>
      <c r="Y148" s="1401">
        <f t="shared" si="85"/>
        <v>725000</v>
      </c>
      <c r="Z148" s="1444">
        <f t="shared" si="86"/>
        <v>5</v>
      </c>
      <c r="AA148" s="1401">
        <f t="shared" si="87"/>
        <v>3625000</v>
      </c>
      <c r="AB148" s="1401">
        <f t="shared" si="88"/>
        <v>0</v>
      </c>
      <c r="AC148" s="1401">
        <f t="shared" si="89"/>
        <v>0</v>
      </c>
      <c r="AD148" s="1401">
        <f t="shared" si="90"/>
        <v>0</v>
      </c>
      <c r="AE148" s="1479">
        <f t="shared" si="91"/>
        <v>0</v>
      </c>
      <c r="AF148" s="1479">
        <f t="shared" si="92"/>
        <v>0</v>
      </c>
      <c r="AG148" s="1479">
        <f t="shared" si="82"/>
        <v>0</v>
      </c>
      <c r="AH148" s="1479">
        <f t="shared" si="78"/>
        <v>3625000</v>
      </c>
      <c r="AI148" s="1645">
        <f t="shared" si="93"/>
        <v>2008</v>
      </c>
      <c r="AJ148" s="1401">
        <f t="shared" si="94"/>
        <v>0</v>
      </c>
      <c r="AK148" s="1401"/>
    </row>
    <row r="149" spans="1:37" s="1390" customFormat="1" ht="37" customHeight="1" x14ac:dyDescent="0.2">
      <c r="A149" s="1710" t="str">
        <f t="shared" si="95"/>
        <v>02.06.04.03</v>
      </c>
      <c r="B149" s="1426">
        <v>60</v>
      </c>
      <c r="C149" s="1414" t="s">
        <v>2328</v>
      </c>
      <c r="D149" s="1455" t="s">
        <v>941</v>
      </c>
      <c r="E149" s="1416"/>
      <c r="F149" s="1455" t="s">
        <v>52</v>
      </c>
      <c r="G149" s="1414"/>
      <c r="H149" s="1455" t="s">
        <v>238</v>
      </c>
      <c r="I149" s="1501">
        <v>2008</v>
      </c>
      <c r="J149" s="1414"/>
      <c r="K149" s="1653"/>
      <c r="L149" s="1414"/>
      <c r="M149" s="1414"/>
      <c r="N149" s="1414"/>
      <c r="O149" s="1501" t="s">
        <v>12</v>
      </c>
      <c r="P149" s="1529">
        <v>2925000</v>
      </c>
      <c r="Q149" s="1598" t="s">
        <v>43</v>
      </c>
      <c r="V149" s="1477" t="str">
        <f t="shared" si="81"/>
        <v>02.06.04</v>
      </c>
      <c r="W149" s="1478" t="str">
        <f t="shared" si="83"/>
        <v>Meja Dan Kursi Kerja/Rapat Pejabat</v>
      </c>
      <c r="X149" s="1478">
        <f t="shared" si="84"/>
        <v>5</v>
      </c>
      <c r="Y149" s="1401">
        <f t="shared" si="85"/>
        <v>585000</v>
      </c>
      <c r="Z149" s="1444">
        <f t="shared" si="86"/>
        <v>5</v>
      </c>
      <c r="AA149" s="1401">
        <f t="shared" si="87"/>
        <v>2925000</v>
      </c>
      <c r="AB149" s="1401">
        <f t="shared" si="88"/>
        <v>0</v>
      </c>
      <c r="AC149" s="1401">
        <f t="shared" si="89"/>
        <v>0</v>
      </c>
      <c r="AD149" s="1401">
        <f t="shared" si="90"/>
        <v>0</v>
      </c>
      <c r="AE149" s="1479">
        <f t="shared" si="91"/>
        <v>0</v>
      </c>
      <c r="AF149" s="1479">
        <f t="shared" si="92"/>
        <v>0</v>
      </c>
      <c r="AG149" s="1479">
        <f t="shared" si="82"/>
        <v>0</v>
      </c>
      <c r="AH149" s="1479">
        <f t="shared" si="78"/>
        <v>2925000</v>
      </c>
      <c r="AI149" s="1645">
        <f t="shared" si="93"/>
        <v>2008</v>
      </c>
      <c r="AJ149" s="1401">
        <f t="shared" si="94"/>
        <v>0</v>
      </c>
      <c r="AK149" s="1401"/>
    </row>
    <row r="150" spans="1:37" s="1390" customFormat="1" ht="37" customHeight="1" x14ac:dyDescent="0.2">
      <c r="A150" s="1710" t="str">
        <f t="shared" si="95"/>
        <v>02.06.03.02</v>
      </c>
      <c r="B150" s="1426">
        <v>61</v>
      </c>
      <c r="C150" s="1414" t="s">
        <v>2330</v>
      </c>
      <c r="D150" s="1455" t="s">
        <v>942</v>
      </c>
      <c r="E150" s="1416"/>
      <c r="F150" s="1455" t="s">
        <v>52</v>
      </c>
      <c r="G150" s="1414"/>
      <c r="H150" s="1455" t="s">
        <v>193</v>
      </c>
      <c r="I150" s="1501">
        <v>2008</v>
      </c>
      <c r="J150" s="1414"/>
      <c r="K150" s="1653"/>
      <c r="L150" s="1414"/>
      <c r="M150" s="1414"/>
      <c r="N150" s="1414"/>
      <c r="O150" s="1501" t="s">
        <v>12</v>
      </c>
      <c r="P150" s="1529">
        <v>14850000</v>
      </c>
      <c r="Q150" s="1598" t="s">
        <v>43</v>
      </c>
      <c r="V150" s="1477" t="str">
        <f t="shared" si="81"/>
        <v>02.06.03</v>
      </c>
      <c r="W150" s="1478" t="str">
        <f t="shared" si="83"/>
        <v>Peralatan Komputer</v>
      </c>
      <c r="X150" s="1478">
        <f t="shared" si="84"/>
        <v>4</v>
      </c>
      <c r="Y150" s="1401">
        <f t="shared" si="85"/>
        <v>3712500</v>
      </c>
      <c r="Z150" s="1444">
        <f t="shared" si="86"/>
        <v>4</v>
      </c>
      <c r="AA150" s="1401">
        <f t="shared" si="87"/>
        <v>14850000</v>
      </c>
      <c r="AB150" s="1401">
        <f t="shared" si="88"/>
        <v>0</v>
      </c>
      <c r="AC150" s="1401">
        <f t="shared" si="89"/>
        <v>0</v>
      </c>
      <c r="AD150" s="1401">
        <f t="shared" si="90"/>
        <v>0</v>
      </c>
      <c r="AE150" s="1479">
        <f t="shared" si="91"/>
        <v>0</v>
      </c>
      <c r="AF150" s="1479">
        <f t="shared" si="92"/>
        <v>0</v>
      </c>
      <c r="AG150" s="1479">
        <f t="shared" si="82"/>
        <v>0</v>
      </c>
      <c r="AH150" s="1479">
        <f t="shared" si="78"/>
        <v>14850000</v>
      </c>
      <c r="AI150" s="1645">
        <f t="shared" si="93"/>
        <v>2008</v>
      </c>
      <c r="AJ150" s="1401">
        <f t="shared" si="94"/>
        <v>0</v>
      </c>
      <c r="AK150" s="1401"/>
    </row>
    <row r="151" spans="1:37" s="1390" customFormat="1" ht="37" customHeight="1" x14ac:dyDescent="0.2">
      <c r="A151" s="1710" t="str">
        <f t="shared" si="95"/>
        <v>02.06.02.04</v>
      </c>
      <c r="B151" s="1426">
        <v>62</v>
      </c>
      <c r="C151" s="1414" t="s">
        <v>285</v>
      </c>
      <c r="D151" s="1455" t="s">
        <v>943</v>
      </c>
      <c r="E151" s="1416"/>
      <c r="F151" s="1455" t="s">
        <v>52</v>
      </c>
      <c r="G151" s="1414"/>
      <c r="H151" s="1455" t="s">
        <v>193</v>
      </c>
      <c r="I151" s="1501">
        <v>2008</v>
      </c>
      <c r="J151" s="1414"/>
      <c r="K151" s="1653"/>
      <c r="L151" s="1414"/>
      <c r="M151" s="1414"/>
      <c r="N151" s="1414"/>
      <c r="O151" s="1501" t="s">
        <v>12</v>
      </c>
      <c r="P151" s="1529">
        <v>13640000</v>
      </c>
      <c r="Q151" s="1598" t="s">
        <v>43</v>
      </c>
      <c r="V151" s="1477" t="str">
        <f t="shared" si="81"/>
        <v>02.06.02</v>
      </c>
      <c r="W151" s="1478" t="str">
        <f t="shared" si="83"/>
        <v>Alat Rumah Tangga</v>
      </c>
      <c r="X151" s="1478">
        <f t="shared" si="84"/>
        <v>5</v>
      </c>
      <c r="Y151" s="1401">
        <f t="shared" si="85"/>
        <v>2728000</v>
      </c>
      <c r="Z151" s="1444">
        <f t="shared" si="86"/>
        <v>5</v>
      </c>
      <c r="AA151" s="1401">
        <f t="shared" si="87"/>
        <v>13640000</v>
      </c>
      <c r="AB151" s="1401">
        <f t="shared" si="88"/>
        <v>0</v>
      </c>
      <c r="AC151" s="1401">
        <f t="shared" si="89"/>
        <v>0</v>
      </c>
      <c r="AD151" s="1401">
        <f t="shared" si="90"/>
        <v>0</v>
      </c>
      <c r="AE151" s="1479">
        <f t="shared" si="91"/>
        <v>0</v>
      </c>
      <c r="AF151" s="1479">
        <f t="shared" si="92"/>
        <v>0</v>
      </c>
      <c r="AG151" s="1479">
        <f t="shared" si="82"/>
        <v>0</v>
      </c>
      <c r="AH151" s="1479">
        <f t="shared" si="78"/>
        <v>13640000</v>
      </c>
      <c r="AI151" s="1645">
        <f t="shared" si="93"/>
        <v>2008</v>
      </c>
      <c r="AJ151" s="1401">
        <f t="shared" si="94"/>
        <v>0</v>
      </c>
      <c r="AK151" s="1401"/>
    </row>
    <row r="152" spans="1:37" s="1390" customFormat="1" ht="37" customHeight="1" x14ac:dyDescent="0.2">
      <c r="A152" s="1710" t="str">
        <f t="shared" si="95"/>
        <v>02.06.03.02</v>
      </c>
      <c r="B152" s="1426">
        <v>63</v>
      </c>
      <c r="C152" s="1414" t="s">
        <v>295</v>
      </c>
      <c r="D152" s="1455" t="s">
        <v>944</v>
      </c>
      <c r="E152" s="1416"/>
      <c r="F152" s="1455" t="s">
        <v>52</v>
      </c>
      <c r="G152" s="1414"/>
      <c r="H152" s="1455" t="s">
        <v>193</v>
      </c>
      <c r="I152" s="1501">
        <v>2009</v>
      </c>
      <c r="J152" s="1414"/>
      <c r="K152" s="1653"/>
      <c r="L152" s="1414"/>
      <c r="M152" s="1414"/>
      <c r="N152" s="1414"/>
      <c r="O152" s="1501" t="s">
        <v>12</v>
      </c>
      <c r="P152" s="1529">
        <v>14850000</v>
      </c>
      <c r="Q152" s="1598" t="s">
        <v>43</v>
      </c>
      <c r="V152" s="1477" t="str">
        <f t="shared" si="81"/>
        <v>02.06.03</v>
      </c>
      <c r="W152" s="1478" t="str">
        <f t="shared" si="83"/>
        <v>Peralatan Komputer</v>
      </c>
      <c r="X152" s="1478">
        <f t="shared" si="84"/>
        <v>4</v>
      </c>
      <c r="Y152" s="1401">
        <f t="shared" si="85"/>
        <v>3712500</v>
      </c>
      <c r="Z152" s="1444">
        <f t="shared" si="86"/>
        <v>4</v>
      </c>
      <c r="AA152" s="1401">
        <f t="shared" si="87"/>
        <v>14850000</v>
      </c>
      <c r="AB152" s="1401">
        <f t="shared" si="88"/>
        <v>0</v>
      </c>
      <c r="AC152" s="1401">
        <f t="shared" si="89"/>
        <v>0</v>
      </c>
      <c r="AD152" s="1401">
        <f t="shared" si="90"/>
        <v>0</v>
      </c>
      <c r="AE152" s="1479">
        <f t="shared" si="91"/>
        <v>0</v>
      </c>
      <c r="AF152" s="1479">
        <f t="shared" si="92"/>
        <v>0</v>
      </c>
      <c r="AG152" s="1479">
        <f t="shared" si="82"/>
        <v>0</v>
      </c>
      <c r="AH152" s="1479">
        <f t="shared" si="78"/>
        <v>14850000</v>
      </c>
      <c r="AI152" s="1645">
        <f t="shared" si="93"/>
        <v>2009</v>
      </c>
      <c r="AJ152" s="1401">
        <f t="shared" si="94"/>
        <v>0</v>
      </c>
      <c r="AK152" s="1401"/>
    </row>
    <row r="153" spans="1:37" s="1390" customFormat="1" ht="37" customHeight="1" x14ac:dyDescent="0.2">
      <c r="A153" s="1710" t="str">
        <f t="shared" si="95"/>
        <v>02.06.03.05</v>
      </c>
      <c r="B153" s="1426">
        <v>64</v>
      </c>
      <c r="C153" s="1414" t="s">
        <v>299</v>
      </c>
      <c r="D153" s="1455" t="s">
        <v>183</v>
      </c>
      <c r="E153" s="1416"/>
      <c r="F153" s="1455" t="s">
        <v>52</v>
      </c>
      <c r="G153" s="1414"/>
      <c r="H153" s="1455" t="s">
        <v>193</v>
      </c>
      <c r="I153" s="1501">
        <v>2009</v>
      </c>
      <c r="J153" s="1414"/>
      <c r="K153" s="1653"/>
      <c r="L153" s="1414"/>
      <c r="M153" s="1414"/>
      <c r="N153" s="1414"/>
      <c r="O153" s="1501" t="s">
        <v>12</v>
      </c>
      <c r="P153" s="1529">
        <v>4500000</v>
      </c>
      <c r="Q153" s="1598" t="s">
        <v>43</v>
      </c>
      <c r="V153" s="1477" t="str">
        <f t="shared" si="81"/>
        <v>02.06.03</v>
      </c>
      <c r="W153" s="1478" t="str">
        <f t="shared" si="83"/>
        <v>Peralatan Komputer</v>
      </c>
      <c r="X153" s="1478">
        <f t="shared" si="84"/>
        <v>4</v>
      </c>
      <c r="Y153" s="1401">
        <f t="shared" si="85"/>
        <v>1125000</v>
      </c>
      <c r="Z153" s="1444">
        <f t="shared" si="86"/>
        <v>4</v>
      </c>
      <c r="AA153" s="1401">
        <f t="shared" si="87"/>
        <v>4500000</v>
      </c>
      <c r="AB153" s="1401">
        <f t="shared" si="88"/>
        <v>0</v>
      </c>
      <c r="AC153" s="1401">
        <f t="shared" si="89"/>
        <v>0</v>
      </c>
      <c r="AD153" s="1401">
        <f t="shared" si="90"/>
        <v>0</v>
      </c>
      <c r="AE153" s="1479">
        <f t="shared" si="91"/>
        <v>0</v>
      </c>
      <c r="AF153" s="1479">
        <f t="shared" si="92"/>
        <v>0</v>
      </c>
      <c r="AG153" s="1479">
        <f t="shared" si="82"/>
        <v>0</v>
      </c>
      <c r="AH153" s="1479">
        <f t="shared" si="78"/>
        <v>4500000</v>
      </c>
      <c r="AI153" s="1645">
        <f t="shared" si="93"/>
        <v>2009</v>
      </c>
      <c r="AJ153" s="1401">
        <f t="shared" si="94"/>
        <v>0</v>
      </c>
      <c r="AK153" s="1401"/>
    </row>
    <row r="154" spans="1:37" s="1390" customFormat="1" ht="37" customHeight="1" x14ac:dyDescent="0.2">
      <c r="A154" s="1710" t="str">
        <f t="shared" si="95"/>
        <v>02.06.03.02</v>
      </c>
      <c r="B154" s="1426">
        <v>65</v>
      </c>
      <c r="C154" s="1414" t="s">
        <v>295</v>
      </c>
      <c r="D154" s="1455" t="s">
        <v>945</v>
      </c>
      <c r="E154" s="1416"/>
      <c r="F154" s="1455" t="s">
        <v>258</v>
      </c>
      <c r="G154" s="1414"/>
      <c r="H154" s="1455" t="s">
        <v>193</v>
      </c>
      <c r="I154" s="1501">
        <v>2011</v>
      </c>
      <c r="J154" s="1414"/>
      <c r="K154" s="1653"/>
      <c r="L154" s="1414"/>
      <c r="M154" s="1414"/>
      <c r="N154" s="1414"/>
      <c r="O154" s="1501" t="s">
        <v>12</v>
      </c>
      <c r="P154" s="1529">
        <v>9625000</v>
      </c>
      <c r="Q154" s="1598" t="s">
        <v>43</v>
      </c>
      <c r="V154" s="1477" t="str">
        <f t="shared" si="81"/>
        <v>02.06.03</v>
      </c>
      <c r="W154" s="1478" t="str">
        <f t="shared" ref="W154:W185" si="96">VLOOKUP(V154,UE,3)</f>
        <v>Peralatan Komputer</v>
      </c>
      <c r="X154" s="1478">
        <f t="shared" ref="X154:X185" si="97">VLOOKUP(V154,UE,4,FALSE)</f>
        <v>4</v>
      </c>
      <c r="Y154" s="1401">
        <f t="shared" ref="Y154:Y185" si="98">P154/X154</f>
        <v>2406250</v>
      </c>
      <c r="Z154" s="1444">
        <f t="shared" ref="Z154:Z185" si="99">IF(2013-I154+1&gt;X154,X154,IF(2013-I154+1&lt;0,0,(2013-I154+1)))</f>
        <v>3</v>
      </c>
      <c r="AA154" s="1401">
        <f t="shared" ref="AA154:AA185" si="100">IF(Z154&gt;X154,P154,Y154*Z154)</f>
        <v>7218750</v>
      </c>
      <c r="AB154" s="1401">
        <f t="shared" ref="AB154:AB185" si="101">IF(P154=AA154,0,Y154)</f>
        <v>2406250</v>
      </c>
      <c r="AC154" s="1401">
        <f t="shared" ref="AC154:AC185" si="102">IF(P154=AA154+AB154,0,Y154)</f>
        <v>0</v>
      </c>
      <c r="AD154" s="1401">
        <f t="shared" ref="AD154:AD185" si="103">IF(P154=AA154+AB154+AC154,0,Y154)</f>
        <v>0</v>
      </c>
      <c r="AE154" s="1479">
        <f t="shared" ref="AE154:AE185" si="104">IF(P154=AA154+AB154+AC154+AD154,0,Y154)</f>
        <v>0</v>
      </c>
      <c r="AF154" s="1479">
        <f t="shared" ref="AF154:AF185" si="105">IF(P154=AA154+AB154+AC154+AD154+AE154,0,Y154)</f>
        <v>0</v>
      </c>
      <c r="AG154" s="1479">
        <f t="shared" si="82"/>
        <v>0</v>
      </c>
      <c r="AH154" s="1479">
        <f t="shared" ref="AH154:AH217" si="106">SUM(AA154:AG154)</f>
        <v>9625000</v>
      </c>
      <c r="AI154" s="1645">
        <f t="shared" ref="AI154:AI185" si="107">I154</f>
        <v>2011</v>
      </c>
      <c r="AJ154" s="1401">
        <f t="shared" ref="AJ154:AJ185" si="108">P154-AH154</f>
        <v>0</v>
      </c>
      <c r="AK154" s="1401"/>
    </row>
    <row r="155" spans="1:37" s="1390" customFormat="1" ht="37" customHeight="1" x14ac:dyDescent="0.2">
      <c r="A155" s="1710" t="str">
        <f t="shared" si="95"/>
        <v>02.06.03.02</v>
      </c>
      <c r="B155" s="1426">
        <v>66</v>
      </c>
      <c r="C155" s="1414" t="s">
        <v>295</v>
      </c>
      <c r="D155" s="1455" t="s">
        <v>945</v>
      </c>
      <c r="E155" s="1416"/>
      <c r="F155" s="1455" t="s">
        <v>258</v>
      </c>
      <c r="G155" s="1414"/>
      <c r="H155" s="1455" t="s">
        <v>193</v>
      </c>
      <c r="I155" s="1501">
        <v>2011</v>
      </c>
      <c r="J155" s="1414"/>
      <c r="K155" s="1653"/>
      <c r="L155" s="1414"/>
      <c r="M155" s="1414"/>
      <c r="N155" s="1414"/>
      <c r="O155" s="1501" t="s">
        <v>12</v>
      </c>
      <c r="P155" s="1529">
        <v>9625000</v>
      </c>
      <c r="Q155" s="1598" t="s">
        <v>43</v>
      </c>
      <c r="V155" s="1477" t="str">
        <f t="shared" ref="V155:V218" si="109">LEFT(C155,8)</f>
        <v>02.06.03</v>
      </c>
      <c r="W155" s="1478" t="str">
        <f t="shared" si="96"/>
        <v>Peralatan Komputer</v>
      </c>
      <c r="X155" s="1478">
        <f t="shared" si="97"/>
        <v>4</v>
      </c>
      <c r="Y155" s="1401">
        <f t="shared" si="98"/>
        <v>2406250</v>
      </c>
      <c r="Z155" s="1444">
        <f t="shared" si="99"/>
        <v>3</v>
      </c>
      <c r="AA155" s="1401">
        <f t="shared" si="100"/>
        <v>7218750</v>
      </c>
      <c r="AB155" s="1401">
        <f t="shared" si="101"/>
        <v>2406250</v>
      </c>
      <c r="AC155" s="1401">
        <f t="shared" si="102"/>
        <v>0</v>
      </c>
      <c r="AD155" s="1401">
        <f t="shared" si="103"/>
        <v>0</v>
      </c>
      <c r="AE155" s="1479">
        <f t="shared" si="104"/>
        <v>0</v>
      </c>
      <c r="AF155" s="1479">
        <f t="shared" si="105"/>
        <v>0</v>
      </c>
      <c r="AG155" s="1479">
        <f t="shared" ref="AG155:AG218" si="110">IF(P155=AA155+AB155+AC155+AD155+AE155+AF155,0,Y155)</f>
        <v>0</v>
      </c>
      <c r="AH155" s="1479">
        <f t="shared" si="106"/>
        <v>9625000</v>
      </c>
      <c r="AI155" s="1645">
        <f t="shared" si="107"/>
        <v>2011</v>
      </c>
      <c r="AJ155" s="1401">
        <f t="shared" si="108"/>
        <v>0</v>
      </c>
      <c r="AK155" s="1401"/>
    </row>
    <row r="156" spans="1:37" s="1390" customFormat="1" ht="37" customHeight="1" x14ac:dyDescent="0.2">
      <c r="A156" s="1710" t="str">
        <f t="shared" si="95"/>
        <v>02.06.03.02</v>
      </c>
      <c r="B156" s="1426">
        <v>67</v>
      </c>
      <c r="C156" s="1414" t="s">
        <v>2330</v>
      </c>
      <c r="D156" s="1455" t="s">
        <v>942</v>
      </c>
      <c r="E156" s="1416"/>
      <c r="F156" s="1455" t="s">
        <v>995</v>
      </c>
      <c r="G156" s="1414"/>
      <c r="H156" s="1455" t="s">
        <v>193</v>
      </c>
      <c r="I156" s="1501">
        <v>2011</v>
      </c>
      <c r="J156" s="1414"/>
      <c r="K156" s="1653"/>
      <c r="L156" s="1414"/>
      <c r="M156" s="1414"/>
      <c r="N156" s="1414"/>
      <c r="O156" s="1501" t="s">
        <v>12</v>
      </c>
      <c r="P156" s="1529">
        <v>14850000</v>
      </c>
      <c r="Q156" s="1598" t="s">
        <v>43</v>
      </c>
      <c r="V156" s="1477" t="str">
        <f t="shared" si="109"/>
        <v>02.06.03</v>
      </c>
      <c r="W156" s="1478" t="str">
        <f t="shared" si="96"/>
        <v>Peralatan Komputer</v>
      </c>
      <c r="X156" s="1478">
        <f t="shared" si="97"/>
        <v>4</v>
      </c>
      <c r="Y156" s="1401">
        <f t="shared" si="98"/>
        <v>3712500</v>
      </c>
      <c r="Z156" s="1444">
        <f t="shared" si="99"/>
        <v>3</v>
      </c>
      <c r="AA156" s="1401">
        <f t="shared" si="100"/>
        <v>11137500</v>
      </c>
      <c r="AB156" s="1401">
        <f t="shared" si="101"/>
        <v>3712500</v>
      </c>
      <c r="AC156" s="1401">
        <f t="shared" si="102"/>
        <v>0</v>
      </c>
      <c r="AD156" s="1401">
        <f t="shared" si="103"/>
        <v>0</v>
      </c>
      <c r="AE156" s="1479">
        <f t="shared" si="104"/>
        <v>0</v>
      </c>
      <c r="AF156" s="1479">
        <f t="shared" si="105"/>
        <v>0</v>
      </c>
      <c r="AG156" s="1479">
        <f t="shared" si="110"/>
        <v>0</v>
      </c>
      <c r="AH156" s="1479">
        <f t="shared" si="106"/>
        <v>14850000</v>
      </c>
      <c r="AI156" s="1645">
        <f t="shared" si="107"/>
        <v>2011</v>
      </c>
      <c r="AJ156" s="1401">
        <f t="shared" si="108"/>
        <v>0</v>
      </c>
      <c r="AK156" s="1401"/>
    </row>
    <row r="157" spans="1:37" s="1390" customFormat="1" ht="37" customHeight="1" x14ac:dyDescent="0.2">
      <c r="A157" s="1710" t="str">
        <f t="shared" si="95"/>
        <v>02.06.03.02</v>
      </c>
      <c r="B157" s="1426">
        <v>68</v>
      </c>
      <c r="C157" s="1414" t="s">
        <v>2330</v>
      </c>
      <c r="D157" s="1455" t="s">
        <v>942</v>
      </c>
      <c r="E157" s="1416"/>
      <c r="F157" s="1455" t="s">
        <v>995</v>
      </c>
      <c r="G157" s="1414"/>
      <c r="H157" s="1455" t="s">
        <v>193</v>
      </c>
      <c r="I157" s="1501">
        <v>2011</v>
      </c>
      <c r="J157" s="1414"/>
      <c r="K157" s="1653"/>
      <c r="L157" s="1414"/>
      <c r="M157" s="1414"/>
      <c r="N157" s="1414"/>
      <c r="O157" s="1501" t="s">
        <v>12</v>
      </c>
      <c r="P157" s="1529">
        <v>14850000</v>
      </c>
      <c r="Q157" s="1598" t="s">
        <v>43</v>
      </c>
      <c r="V157" s="1477" t="str">
        <f t="shared" si="109"/>
        <v>02.06.03</v>
      </c>
      <c r="W157" s="1478" t="str">
        <f t="shared" si="96"/>
        <v>Peralatan Komputer</v>
      </c>
      <c r="X157" s="1478">
        <f t="shared" si="97"/>
        <v>4</v>
      </c>
      <c r="Y157" s="1401">
        <f t="shared" si="98"/>
        <v>3712500</v>
      </c>
      <c r="Z157" s="1444">
        <f t="shared" si="99"/>
        <v>3</v>
      </c>
      <c r="AA157" s="1401">
        <f t="shared" si="100"/>
        <v>11137500</v>
      </c>
      <c r="AB157" s="1401">
        <f t="shared" si="101"/>
        <v>3712500</v>
      </c>
      <c r="AC157" s="1401">
        <f t="shared" si="102"/>
        <v>0</v>
      </c>
      <c r="AD157" s="1401">
        <f t="shared" si="103"/>
        <v>0</v>
      </c>
      <c r="AE157" s="1479">
        <f t="shared" si="104"/>
        <v>0</v>
      </c>
      <c r="AF157" s="1479">
        <f t="shared" si="105"/>
        <v>0</v>
      </c>
      <c r="AG157" s="1479">
        <f t="shared" si="110"/>
        <v>0</v>
      </c>
      <c r="AH157" s="1479">
        <f t="shared" si="106"/>
        <v>14850000</v>
      </c>
      <c r="AI157" s="1645">
        <f t="shared" si="107"/>
        <v>2011</v>
      </c>
      <c r="AJ157" s="1401">
        <f t="shared" si="108"/>
        <v>0</v>
      </c>
      <c r="AK157" s="1401"/>
    </row>
    <row r="158" spans="1:37" s="1390" customFormat="1" ht="37" customHeight="1" x14ac:dyDescent="0.2">
      <c r="A158" s="1710" t="str">
        <f t="shared" si="95"/>
        <v>02.06.03.02</v>
      </c>
      <c r="B158" s="1426">
        <v>69</v>
      </c>
      <c r="C158" s="1414" t="s">
        <v>2330</v>
      </c>
      <c r="D158" s="1455" t="s">
        <v>942</v>
      </c>
      <c r="E158" s="1416"/>
      <c r="F158" s="1455" t="s">
        <v>995</v>
      </c>
      <c r="G158" s="1414"/>
      <c r="H158" s="1455" t="s">
        <v>193</v>
      </c>
      <c r="I158" s="1501">
        <v>2011</v>
      </c>
      <c r="J158" s="1414"/>
      <c r="K158" s="1653"/>
      <c r="L158" s="1414"/>
      <c r="M158" s="1414"/>
      <c r="N158" s="1414"/>
      <c r="O158" s="1501" t="s">
        <v>12</v>
      </c>
      <c r="P158" s="1529">
        <v>14850000</v>
      </c>
      <c r="Q158" s="1598" t="s">
        <v>43</v>
      </c>
      <c r="V158" s="1477" t="str">
        <f t="shared" si="109"/>
        <v>02.06.03</v>
      </c>
      <c r="W158" s="1478" t="str">
        <f t="shared" si="96"/>
        <v>Peralatan Komputer</v>
      </c>
      <c r="X158" s="1478">
        <f t="shared" si="97"/>
        <v>4</v>
      </c>
      <c r="Y158" s="1401">
        <f t="shared" si="98"/>
        <v>3712500</v>
      </c>
      <c r="Z158" s="1444">
        <f t="shared" si="99"/>
        <v>3</v>
      </c>
      <c r="AA158" s="1401">
        <f t="shared" si="100"/>
        <v>11137500</v>
      </c>
      <c r="AB158" s="1401">
        <f t="shared" si="101"/>
        <v>3712500</v>
      </c>
      <c r="AC158" s="1401">
        <f t="shared" si="102"/>
        <v>0</v>
      </c>
      <c r="AD158" s="1401">
        <f t="shared" si="103"/>
        <v>0</v>
      </c>
      <c r="AE158" s="1479">
        <f t="shared" si="104"/>
        <v>0</v>
      </c>
      <c r="AF158" s="1479">
        <f t="shared" si="105"/>
        <v>0</v>
      </c>
      <c r="AG158" s="1479">
        <f t="shared" si="110"/>
        <v>0</v>
      </c>
      <c r="AH158" s="1479">
        <f t="shared" si="106"/>
        <v>14850000</v>
      </c>
      <c r="AI158" s="1645">
        <f t="shared" si="107"/>
        <v>2011</v>
      </c>
      <c r="AJ158" s="1401">
        <f t="shared" si="108"/>
        <v>0</v>
      </c>
      <c r="AK158" s="1401"/>
    </row>
    <row r="159" spans="1:37" s="1390" customFormat="1" ht="37" customHeight="1" x14ac:dyDescent="0.2">
      <c r="A159" s="1710" t="str">
        <f t="shared" si="95"/>
        <v>02.06.03.02</v>
      </c>
      <c r="B159" s="1426">
        <v>70</v>
      </c>
      <c r="C159" s="1414" t="s">
        <v>2330</v>
      </c>
      <c r="D159" s="1455" t="s">
        <v>942</v>
      </c>
      <c r="E159" s="1416"/>
      <c r="F159" s="1455" t="s">
        <v>995</v>
      </c>
      <c r="G159" s="1414"/>
      <c r="H159" s="1455" t="s">
        <v>193</v>
      </c>
      <c r="I159" s="1501">
        <v>2011</v>
      </c>
      <c r="J159" s="1414"/>
      <c r="K159" s="1653"/>
      <c r="L159" s="1414"/>
      <c r="M159" s="1414"/>
      <c r="N159" s="1414"/>
      <c r="O159" s="1501" t="s">
        <v>12</v>
      </c>
      <c r="P159" s="1529">
        <v>14850000</v>
      </c>
      <c r="Q159" s="1598" t="s">
        <v>43</v>
      </c>
      <c r="V159" s="1477" t="str">
        <f t="shared" si="109"/>
        <v>02.06.03</v>
      </c>
      <c r="W159" s="1478" t="str">
        <f t="shared" si="96"/>
        <v>Peralatan Komputer</v>
      </c>
      <c r="X159" s="1478">
        <f t="shared" si="97"/>
        <v>4</v>
      </c>
      <c r="Y159" s="1401">
        <f t="shared" si="98"/>
        <v>3712500</v>
      </c>
      <c r="Z159" s="1444">
        <f t="shared" si="99"/>
        <v>3</v>
      </c>
      <c r="AA159" s="1401">
        <f t="shared" si="100"/>
        <v>11137500</v>
      </c>
      <c r="AB159" s="1401">
        <f t="shared" si="101"/>
        <v>3712500</v>
      </c>
      <c r="AC159" s="1401">
        <f t="shared" si="102"/>
        <v>0</v>
      </c>
      <c r="AD159" s="1401">
        <f t="shared" si="103"/>
        <v>0</v>
      </c>
      <c r="AE159" s="1479">
        <f t="shared" si="104"/>
        <v>0</v>
      </c>
      <c r="AF159" s="1479">
        <f t="shared" si="105"/>
        <v>0</v>
      </c>
      <c r="AG159" s="1479">
        <f t="shared" si="110"/>
        <v>0</v>
      </c>
      <c r="AH159" s="1479">
        <f t="shared" si="106"/>
        <v>14850000</v>
      </c>
      <c r="AI159" s="1645">
        <f t="shared" si="107"/>
        <v>2011</v>
      </c>
      <c r="AJ159" s="1401">
        <f t="shared" si="108"/>
        <v>0</v>
      </c>
      <c r="AK159" s="1401"/>
    </row>
    <row r="160" spans="1:37" s="1390" customFormat="1" ht="37" customHeight="1" x14ac:dyDescent="0.2">
      <c r="A160" s="1710" t="str">
        <f t="shared" si="95"/>
        <v>02.06.03.02</v>
      </c>
      <c r="B160" s="1426">
        <v>71</v>
      </c>
      <c r="C160" s="1414" t="s">
        <v>2330</v>
      </c>
      <c r="D160" s="1455" t="s">
        <v>942</v>
      </c>
      <c r="E160" s="1416"/>
      <c r="F160" s="1455" t="s">
        <v>995</v>
      </c>
      <c r="G160" s="1414"/>
      <c r="H160" s="1455" t="s">
        <v>193</v>
      </c>
      <c r="I160" s="1501">
        <v>2011</v>
      </c>
      <c r="J160" s="1414"/>
      <c r="K160" s="1653"/>
      <c r="L160" s="1414"/>
      <c r="M160" s="1414"/>
      <c r="N160" s="1414"/>
      <c r="O160" s="1501" t="s">
        <v>12</v>
      </c>
      <c r="P160" s="1529">
        <v>14850000</v>
      </c>
      <c r="Q160" s="1598" t="s">
        <v>43</v>
      </c>
      <c r="V160" s="1477" t="str">
        <f t="shared" si="109"/>
        <v>02.06.03</v>
      </c>
      <c r="W160" s="1478" t="str">
        <f t="shared" si="96"/>
        <v>Peralatan Komputer</v>
      </c>
      <c r="X160" s="1478">
        <f t="shared" si="97"/>
        <v>4</v>
      </c>
      <c r="Y160" s="1401">
        <f t="shared" si="98"/>
        <v>3712500</v>
      </c>
      <c r="Z160" s="1444">
        <f t="shared" si="99"/>
        <v>3</v>
      </c>
      <c r="AA160" s="1401">
        <f t="shared" si="100"/>
        <v>11137500</v>
      </c>
      <c r="AB160" s="1401">
        <f t="shared" si="101"/>
        <v>3712500</v>
      </c>
      <c r="AC160" s="1401">
        <f t="shared" si="102"/>
        <v>0</v>
      </c>
      <c r="AD160" s="1401">
        <f t="shared" si="103"/>
        <v>0</v>
      </c>
      <c r="AE160" s="1479">
        <f t="shared" si="104"/>
        <v>0</v>
      </c>
      <c r="AF160" s="1479">
        <f t="shared" si="105"/>
        <v>0</v>
      </c>
      <c r="AG160" s="1479">
        <f t="shared" si="110"/>
        <v>0</v>
      </c>
      <c r="AH160" s="1479">
        <f t="shared" si="106"/>
        <v>14850000</v>
      </c>
      <c r="AI160" s="1645">
        <f t="shared" si="107"/>
        <v>2011</v>
      </c>
      <c r="AJ160" s="1401">
        <f t="shared" si="108"/>
        <v>0</v>
      </c>
      <c r="AK160" s="1401"/>
    </row>
    <row r="161" spans="1:37" s="1390" customFormat="1" ht="37" customHeight="1" x14ac:dyDescent="0.2">
      <c r="A161" s="1710" t="str">
        <f t="shared" si="95"/>
        <v>02.06.03.05</v>
      </c>
      <c r="B161" s="1426">
        <v>72</v>
      </c>
      <c r="C161" s="1414" t="s">
        <v>299</v>
      </c>
      <c r="D161" s="1455" t="s">
        <v>183</v>
      </c>
      <c r="E161" s="1416"/>
      <c r="F161" s="1455" t="s">
        <v>996</v>
      </c>
      <c r="G161" s="1414"/>
      <c r="H161" s="1455" t="s">
        <v>193</v>
      </c>
      <c r="I161" s="1501">
        <v>2011</v>
      </c>
      <c r="J161" s="1414"/>
      <c r="K161" s="1653"/>
      <c r="L161" s="1414"/>
      <c r="M161" s="1414"/>
      <c r="N161" s="1414"/>
      <c r="O161" s="1501" t="s">
        <v>12</v>
      </c>
      <c r="P161" s="1529">
        <v>4785000</v>
      </c>
      <c r="Q161" s="1598" t="s">
        <v>43</v>
      </c>
      <c r="V161" s="1477" t="str">
        <f t="shared" si="109"/>
        <v>02.06.03</v>
      </c>
      <c r="W161" s="1478" t="str">
        <f t="shared" si="96"/>
        <v>Peralatan Komputer</v>
      </c>
      <c r="X161" s="1478">
        <f t="shared" si="97"/>
        <v>4</v>
      </c>
      <c r="Y161" s="1401">
        <f t="shared" si="98"/>
        <v>1196250</v>
      </c>
      <c r="Z161" s="1444">
        <f t="shared" si="99"/>
        <v>3</v>
      </c>
      <c r="AA161" s="1401">
        <f t="shared" si="100"/>
        <v>3588750</v>
      </c>
      <c r="AB161" s="1401">
        <f t="shared" si="101"/>
        <v>1196250</v>
      </c>
      <c r="AC161" s="1401">
        <f t="shared" si="102"/>
        <v>0</v>
      </c>
      <c r="AD161" s="1401">
        <f t="shared" si="103"/>
        <v>0</v>
      </c>
      <c r="AE161" s="1479">
        <f t="shared" si="104"/>
        <v>0</v>
      </c>
      <c r="AF161" s="1479">
        <f t="shared" si="105"/>
        <v>0</v>
      </c>
      <c r="AG161" s="1479">
        <f t="shared" si="110"/>
        <v>0</v>
      </c>
      <c r="AH161" s="1479">
        <f t="shared" si="106"/>
        <v>4785000</v>
      </c>
      <c r="AI161" s="1645">
        <f t="shared" si="107"/>
        <v>2011</v>
      </c>
      <c r="AJ161" s="1401">
        <f t="shared" si="108"/>
        <v>0</v>
      </c>
      <c r="AK161" s="1401"/>
    </row>
    <row r="162" spans="1:37" s="1390" customFormat="1" ht="37" customHeight="1" x14ac:dyDescent="0.2">
      <c r="A162" s="1710" t="str">
        <f t="shared" si="95"/>
        <v>02.06.03.05</v>
      </c>
      <c r="B162" s="1426">
        <v>73</v>
      </c>
      <c r="C162" s="1414" t="s">
        <v>299</v>
      </c>
      <c r="D162" s="1455" t="s">
        <v>183</v>
      </c>
      <c r="E162" s="1416"/>
      <c r="F162" s="1455" t="s">
        <v>996</v>
      </c>
      <c r="G162" s="1414"/>
      <c r="H162" s="1455" t="s">
        <v>193</v>
      </c>
      <c r="I162" s="1501">
        <v>2011</v>
      </c>
      <c r="J162" s="1414"/>
      <c r="K162" s="1653"/>
      <c r="L162" s="1414"/>
      <c r="M162" s="1414"/>
      <c r="N162" s="1414"/>
      <c r="O162" s="1501" t="s">
        <v>12</v>
      </c>
      <c r="P162" s="1529">
        <v>4785000</v>
      </c>
      <c r="Q162" s="1598" t="s">
        <v>43</v>
      </c>
      <c r="V162" s="1477" t="str">
        <f t="shared" si="109"/>
        <v>02.06.03</v>
      </c>
      <c r="W162" s="1478" t="str">
        <f t="shared" si="96"/>
        <v>Peralatan Komputer</v>
      </c>
      <c r="X162" s="1478">
        <f t="shared" si="97"/>
        <v>4</v>
      </c>
      <c r="Y162" s="1401">
        <f t="shared" si="98"/>
        <v>1196250</v>
      </c>
      <c r="Z162" s="1444">
        <f t="shared" si="99"/>
        <v>3</v>
      </c>
      <c r="AA162" s="1401">
        <f t="shared" si="100"/>
        <v>3588750</v>
      </c>
      <c r="AB162" s="1401">
        <f t="shared" si="101"/>
        <v>1196250</v>
      </c>
      <c r="AC162" s="1401">
        <f t="shared" si="102"/>
        <v>0</v>
      </c>
      <c r="AD162" s="1401">
        <f t="shared" si="103"/>
        <v>0</v>
      </c>
      <c r="AE162" s="1479">
        <f t="shared" si="104"/>
        <v>0</v>
      </c>
      <c r="AF162" s="1479">
        <f t="shared" si="105"/>
        <v>0</v>
      </c>
      <c r="AG162" s="1479">
        <f t="shared" si="110"/>
        <v>0</v>
      </c>
      <c r="AH162" s="1479">
        <f t="shared" si="106"/>
        <v>4785000</v>
      </c>
      <c r="AI162" s="1645">
        <f t="shared" si="107"/>
        <v>2011</v>
      </c>
      <c r="AJ162" s="1401">
        <f t="shared" si="108"/>
        <v>0</v>
      </c>
      <c r="AK162" s="1401"/>
    </row>
    <row r="163" spans="1:37" s="1390" customFormat="1" ht="37" customHeight="1" x14ac:dyDescent="0.2">
      <c r="A163" s="1710" t="str">
        <f t="shared" si="95"/>
        <v>02.06.03.05</v>
      </c>
      <c r="B163" s="1426">
        <v>74</v>
      </c>
      <c r="C163" s="1414" t="s">
        <v>299</v>
      </c>
      <c r="D163" s="1455" t="s">
        <v>183</v>
      </c>
      <c r="E163" s="1416"/>
      <c r="F163" s="1455" t="s">
        <v>996</v>
      </c>
      <c r="G163" s="1414"/>
      <c r="H163" s="1455" t="s">
        <v>193</v>
      </c>
      <c r="I163" s="1501">
        <v>2011</v>
      </c>
      <c r="J163" s="1414"/>
      <c r="K163" s="1653"/>
      <c r="L163" s="1414"/>
      <c r="M163" s="1414"/>
      <c r="N163" s="1414"/>
      <c r="O163" s="1501" t="s">
        <v>12</v>
      </c>
      <c r="P163" s="1529">
        <v>4785000</v>
      </c>
      <c r="Q163" s="1598" t="s">
        <v>43</v>
      </c>
      <c r="V163" s="1477" t="str">
        <f t="shared" si="109"/>
        <v>02.06.03</v>
      </c>
      <c r="W163" s="1478" t="str">
        <f t="shared" si="96"/>
        <v>Peralatan Komputer</v>
      </c>
      <c r="X163" s="1478">
        <f t="shared" si="97"/>
        <v>4</v>
      </c>
      <c r="Y163" s="1401">
        <f t="shared" si="98"/>
        <v>1196250</v>
      </c>
      <c r="Z163" s="1444">
        <f t="shared" si="99"/>
        <v>3</v>
      </c>
      <c r="AA163" s="1401">
        <f t="shared" si="100"/>
        <v>3588750</v>
      </c>
      <c r="AB163" s="1401">
        <f t="shared" si="101"/>
        <v>1196250</v>
      </c>
      <c r="AC163" s="1401">
        <f t="shared" si="102"/>
        <v>0</v>
      </c>
      <c r="AD163" s="1401">
        <f t="shared" si="103"/>
        <v>0</v>
      </c>
      <c r="AE163" s="1479">
        <f t="shared" si="104"/>
        <v>0</v>
      </c>
      <c r="AF163" s="1479">
        <f t="shared" si="105"/>
        <v>0</v>
      </c>
      <c r="AG163" s="1479">
        <f t="shared" si="110"/>
        <v>0</v>
      </c>
      <c r="AH163" s="1479">
        <f t="shared" si="106"/>
        <v>4785000</v>
      </c>
      <c r="AI163" s="1645">
        <f t="shared" si="107"/>
        <v>2011</v>
      </c>
      <c r="AJ163" s="1401">
        <f t="shared" si="108"/>
        <v>0</v>
      </c>
      <c r="AK163" s="1401"/>
    </row>
    <row r="164" spans="1:37" s="1390" customFormat="1" ht="37" customHeight="1" x14ac:dyDescent="0.2">
      <c r="A164" s="1710" t="str">
        <f t="shared" si="95"/>
        <v>02.06.03.05</v>
      </c>
      <c r="B164" s="1426">
        <v>75</v>
      </c>
      <c r="C164" s="1414" t="s">
        <v>299</v>
      </c>
      <c r="D164" s="1455" t="s">
        <v>183</v>
      </c>
      <c r="E164" s="1416"/>
      <c r="F164" s="1653" t="s">
        <v>195</v>
      </c>
      <c r="G164" s="1414"/>
      <c r="H164" s="1455" t="s">
        <v>193</v>
      </c>
      <c r="I164" s="1501">
        <v>2011</v>
      </c>
      <c r="J164" s="1414"/>
      <c r="K164" s="1653"/>
      <c r="L164" s="1414"/>
      <c r="M164" s="1414"/>
      <c r="N164" s="1414"/>
      <c r="O164" s="1501" t="s">
        <v>12</v>
      </c>
      <c r="P164" s="1704">
        <v>1000000</v>
      </c>
      <c r="Q164" s="1598" t="s">
        <v>43</v>
      </c>
      <c r="V164" s="1477" t="str">
        <f t="shared" si="109"/>
        <v>02.06.03</v>
      </c>
      <c r="W164" s="1478" t="str">
        <f t="shared" si="96"/>
        <v>Peralatan Komputer</v>
      </c>
      <c r="X164" s="1478">
        <f t="shared" si="97"/>
        <v>4</v>
      </c>
      <c r="Y164" s="1401">
        <f t="shared" si="98"/>
        <v>250000</v>
      </c>
      <c r="Z164" s="1444">
        <f t="shared" si="99"/>
        <v>3</v>
      </c>
      <c r="AA164" s="1401">
        <f t="shared" si="100"/>
        <v>750000</v>
      </c>
      <c r="AB164" s="1401">
        <f t="shared" si="101"/>
        <v>250000</v>
      </c>
      <c r="AC164" s="1401">
        <f t="shared" si="102"/>
        <v>0</v>
      </c>
      <c r="AD164" s="1401">
        <f t="shared" si="103"/>
        <v>0</v>
      </c>
      <c r="AE164" s="1479">
        <f t="shared" si="104"/>
        <v>0</v>
      </c>
      <c r="AF164" s="1479">
        <f t="shared" si="105"/>
        <v>0</v>
      </c>
      <c r="AG164" s="1479">
        <f t="shared" si="110"/>
        <v>0</v>
      </c>
      <c r="AH164" s="1479">
        <f t="shared" si="106"/>
        <v>1000000</v>
      </c>
      <c r="AI164" s="1645">
        <f t="shared" si="107"/>
        <v>2011</v>
      </c>
      <c r="AJ164" s="1401">
        <f t="shared" si="108"/>
        <v>0</v>
      </c>
      <c r="AK164" s="1401"/>
    </row>
    <row r="165" spans="1:37" s="1390" customFormat="1" ht="37" customHeight="1" x14ac:dyDescent="0.2">
      <c r="A165" s="1710" t="str">
        <f t="shared" si="95"/>
        <v>02.06.01.05</v>
      </c>
      <c r="B165" s="1426">
        <v>76</v>
      </c>
      <c r="C165" s="1414" t="s">
        <v>2329</v>
      </c>
      <c r="D165" s="1414" t="s">
        <v>946</v>
      </c>
      <c r="E165" s="1416"/>
      <c r="F165" s="1653" t="s">
        <v>52</v>
      </c>
      <c r="G165" s="1414"/>
      <c r="H165" s="1455" t="s">
        <v>1009</v>
      </c>
      <c r="I165" s="1501">
        <v>2012</v>
      </c>
      <c r="J165" s="1414"/>
      <c r="K165" s="1653"/>
      <c r="L165" s="1414"/>
      <c r="M165" s="1414"/>
      <c r="N165" s="1414"/>
      <c r="O165" s="1501" t="s">
        <v>12</v>
      </c>
      <c r="P165" s="1539">
        <v>64500000</v>
      </c>
      <c r="Q165" s="1598" t="s">
        <v>43</v>
      </c>
      <c r="V165" s="1477" t="str">
        <f t="shared" si="109"/>
        <v>02.06.01</v>
      </c>
      <c r="W165" s="1478" t="str">
        <f t="shared" si="96"/>
        <v>Alat Kantor</v>
      </c>
      <c r="X165" s="1478">
        <f t="shared" si="97"/>
        <v>5</v>
      </c>
      <c r="Y165" s="1401">
        <f t="shared" si="98"/>
        <v>12900000</v>
      </c>
      <c r="Z165" s="1444">
        <f t="shared" si="99"/>
        <v>2</v>
      </c>
      <c r="AA165" s="1401">
        <f t="shared" si="100"/>
        <v>25800000</v>
      </c>
      <c r="AB165" s="1401">
        <f t="shared" si="101"/>
        <v>12900000</v>
      </c>
      <c r="AC165" s="1401">
        <f t="shared" si="102"/>
        <v>12900000</v>
      </c>
      <c r="AD165" s="1401">
        <f t="shared" si="103"/>
        <v>12900000</v>
      </c>
      <c r="AE165" s="1479">
        <f t="shared" si="104"/>
        <v>0</v>
      </c>
      <c r="AF165" s="1479">
        <f t="shared" si="105"/>
        <v>0</v>
      </c>
      <c r="AG165" s="1479">
        <f t="shared" si="110"/>
        <v>0</v>
      </c>
      <c r="AH165" s="1479">
        <f t="shared" si="106"/>
        <v>64500000</v>
      </c>
      <c r="AI165" s="1645">
        <f t="shared" si="107"/>
        <v>2012</v>
      </c>
      <c r="AJ165" s="1401">
        <f t="shared" si="108"/>
        <v>0</v>
      </c>
      <c r="AK165" s="1401"/>
    </row>
    <row r="166" spans="1:37" s="1390" customFormat="1" ht="37" customHeight="1" x14ac:dyDescent="0.2">
      <c r="A166" s="1710" t="str">
        <f t="shared" si="95"/>
        <v>02.06.02.06</v>
      </c>
      <c r="B166" s="1426">
        <v>77</v>
      </c>
      <c r="C166" s="1414" t="s">
        <v>5757</v>
      </c>
      <c r="D166" s="1414" t="s">
        <v>966</v>
      </c>
      <c r="E166" s="1416"/>
      <c r="F166" s="1653" t="s">
        <v>52</v>
      </c>
      <c r="G166" s="1414"/>
      <c r="H166" s="1455" t="s">
        <v>52</v>
      </c>
      <c r="I166" s="1501">
        <v>2012</v>
      </c>
      <c r="J166" s="1414"/>
      <c r="K166" s="1653"/>
      <c r="L166" s="1414"/>
      <c r="M166" s="1414"/>
      <c r="N166" s="1414"/>
      <c r="O166" s="1501" t="s">
        <v>12</v>
      </c>
      <c r="P166" s="1539">
        <v>18240000</v>
      </c>
      <c r="Q166" s="1598" t="s">
        <v>43</v>
      </c>
      <c r="V166" s="1477" t="str">
        <f t="shared" si="109"/>
        <v>02.06.02</v>
      </c>
      <c r="W166" s="1478" t="str">
        <f t="shared" si="96"/>
        <v>Alat Rumah Tangga</v>
      </c>
      <c r="X166" s="1478">
        <f t="shared" si="97"/>
        <v>5</v>
      </c>
      <c r="Y166" s="1401">
        <f t="shared" si="98"/>
        <v>3648000</v>
      </c>
      <c r="Z166" s="1444">
        <f t="shared" si="99"/>
        <v>2</v>
      </c>
      <c r="AA166" s="1401">
        <f t="shared" si="100"/>
        <v>7296000</v>
      </c>
      <c r="AB166" s="1401">
        <f t="shared" si="101"/>
        <v>3648000</v>
      </c>
      <c r="AC166" s="1401">
        <f t="shared" si="102"/>
        <v>3648000</v>
      </c>
      <c r="AD166" s="1401">
        <f t="shared" si="103"/>
        <v>3648000</v>
      </c>
      <c r="AE166" s="1479">
        <f t="shared" si="104"/>
        <v>0</v>
      </c>
      <c r="AF166" s="1479">
        <f t="shared" si="105"/>
        <v>0</v>
      </c>
      <c r="AG166" s="1479">
        <f t="shared" si="110"/>
        <v>0</v>
      </c>
      <c r="AH166" s="1479">
        <f t="shared" si="106"/>
        <v>18240000</v>
      </c>
      <c r="AI166" s="1645">
        <f t="shared" si="107"/>
        <v>2012</v>
      </c>
      <c r="AJ166" s="1401">
        <f t="shared" si="108"/>
        <v>0</v>
      </c>
      <c r="AK166" s="1401"/>
    </row>
    <row r="167" spans="1:37" s="1390" customFormat="1" ht="37" customHeight="1" x14ac:dyDescent="0.2">
      <c r="A167" s="1710" t="str">
        <f t="shared" si="95"/>
        <v>02.06.02.04</v>
      </c>
      <c r="B167" s="1426">
        <v>78</v>
      </c>
      <c r="C167" s="1414" t="s">
        <v>278</v>
      </c>
      <c r="D167" s="1414" t="s">
        <v>172</v>
      </c>
      <c r="E167" s="1416"/>
      <c r="F167" s="1653" t="s">
        <v>259</v>
      </c>
      <c r="G167" s="1414"/>
      <c r="H167" s="1455" t="s">
        <v>52</v>
      </c>
      <c r="I167" s="1501">
        <v>2012</v>
      </c>
      <c r="J167" s="1414"/>
      <c r="K167" s="1653"/>
      <c r="L167" s="1414"/>
      <c r="M167" s="1414"/>
      <c r="N167" s="1414"/>
      <c r="O167" s="1501" t="s">
        <v>12</v>
      </c>
      <c r="P167" s="1539">
        <v>3850000</v>
      </c>
      <c r="Q167" s="1598" t="s">
        <v>43</v>
      </c>
      <c r="V167" s="1477" t="str">
        <f t="shared" si="109"/>
        <v>02.06.02</v>
      </c>
      <c r="W167" s="1478" t="str">
        <f t="shared" si="96"/>
        <v>Alat Rumah Tangga</v>
      </c>
      <c r="X167" s="1478">
        <f t="shared" si="97"/>
        <v>5</v>
      </c>
      <c r="Y167" s="1401">
        <f t="shared" si="98"/>
        <v>770000</v>
      </c>
      <c r="Z167" s="1444">
        <f t="shared" si="99"/>
        <v>2</v>
      </c>
      <c r="AA167" s="1401">
        <f t="shared" si="100"/>
        <v>1540000</v>
      </c>
      <c r="AB167" s="1401">
        <f t="shared" si="101"/>
        <v>770000</v>
      </c>
      <c r="AC167" s="1401">
        <f t="shared" si="102"/>
        <v>770000</v>
      </c>
      <c r="AD167" s="1401">
        <f t="shared" si="103"/>
        <v>770000</v>
      </c>
      <c r="AE167" s="1479">
        <f t="shared" si="104"/>
        <v>0</v>
      </c>
      <c r="AF167" s="1479">
        <f t="shared" si="105"/>
        <v>0</v>
      </c>
      <c r="AG167" s="1479">
        <f t="shared" si="110"/>
        <v>0</v>
      </c>
      <c r="AH167" s="1479">
        <f t="shared" si="106"/>
        <v>3850000</v>
      </c>
      <c r="AI167" s="1645">
        <f t="shared" si="107"/>
        <v>2012</v>
      </c>
      <c r="AJ167" s="1401">
        <f t="shared" si="108"/>
        <v>0</v>
      </c>
      <c r="AK167" s="1401"/>
    </row>
    <row r="168" spans="1:37" s="1390" customFormat="1" ht="37" customHeight="1" x14ac:dyDescent="0.2">
      <c r="A168" s="1710" t="str">
        <f t="shared" si="95"/>
        <v>02.06.02.04</v>
      </c>
      <c r="B168" s="1426">
        <v>79</v>
      </c>
      <c r="C168" s="1414" t="s">
        <v>278</v>
      </c>
      <c r="D168" s="1414" t="s">
        <v>172</v>
      </c>
      <c r="E168" s="1416"/>
      <c r="F168" s="1653" t="s">
        <v>259</v>
      </c>
      <c r="G168" s="1414"/>
      <c r="H168" s="1455" t="s">
        <v>52</v>
      </c>
      <c r="I168" s="1501">
        <v>2012</v>
      </c>
      <c r="J168" s="1414"/>
      <c r="K168" s="1653"/>
      <c r="L168" s="1414"/>
      <c r="M168" s="1414"/>
      <c r="N168" s="1414"/>
      <c r="O168" s="1501" t="s">
        <v>12</v>
      </c>
      <c r="P168" s="1539">
        <v>3850000</v>
      </c>
      <c r="Q168" s="1598" t="s">
        <v>43</v>
      </c>
      <c r="V168" s="1477" t="str">
        <f t="shared" si="109"/>
        <v>02.06.02</v>
      </c>
      <c r="W168" s="1478" t="str">
        <f t="shared" si="96"/>
        <v>Alat Rumah Tangga</v>
      </c>
      <c r="X168" s="1478">
        <f t="shared" si="97"/>
        <v>5</v>
      </c>
      <c r="Y168" s="1401">
        <f t="shared" si="98"/>
        <v>770000</v>
      </c>
      <c r="Z168" s="1444">
        <f t="shared" si="99"/>
        <v>2</v>
      </c>
      <c r="AA168" s="1401">
        <f t="shared" si="100"/>
        <v>1540000</v>
      </c>
      <c r="AB168" s="1401">
        <f t="shared" si="101"/>
        <v>770000</v>
      </c>
      <c r="AC168" s="1401">
        <f t="shared" si="102"/>
        <v>770000</v>
      </c>
      <c r="AD168" s="1401">
        <f t="shared" si="103"/>
        <v>770000</v>
      </c>
      <c r="AE168" s="1479">
        <f t="shared" si="104"/>
        <v>0</v>
      </c>
      <c r="AF168" s="1479">
        <f t="shared" si="105"/>
        <v>0</v>
      </c>
      <c r="AG168" s="1479">
        <f t="shared" si="110"/>
        <v>0</v>
      </c>
      <c r="AH168" s="1479">
        <f t="shared" si="106"/>
        <v>3850000</v>
      </c>
      <c r="AI168" s="1645">
        <f t="shared" si="107"/>
        <v>2012</v>
      </c>
      <c r="AJ168" s="1401">
        <f t="shared" si="108"/>
        <v>0</v>
      </c>
      <c r="AK168" s="1401"/>
    </row>
    <row r="169" spans="1:37" s="1390" customFormat="1" ht="37" customHeight="1" x14ac:dyDescent="0.2">
      <c r="A169" s="1710" t="str">
        <f t="shared" si="95"/>
        <v>02.06.02.04</v>
      </c>
      <c r="B169" s="1426">
        <v>80</v>
      </c>
      <c r="C169" s="1414" t="s">
        <v>278</v>
      </c>
      <c r="D169" s="1414" t="s">
        <v>172</v>
      </c>
      <c r="E169" s="1416"/>
      <c r="F169" s="1653" t="s">
        <v>259</v>
      </c>
      <c r="G169" s="1414"/>
      <c r="H169" s="1455" t="s">
        <v>52</v>
      </c>
      <c r="I169" s="1501">
        <v>2012</v>
      </c>
      <c r="J169" s="1414"/>
      <c r="K169" s="1653"/>
      <c r="L169" s="1414"/>
      <c r="M169" s="1414"/>
      <c r="N169" s="1414"/>
      <c r="O169" s="1501" t="s">
        <v>12</v>
      </c>
      <c r="P169" s="1539">
        <v>3850000</v>
      </c>
      <c r="Q169" s="1598" t="s">
        <v>43</v>
      </c>
      <c r="V169" s="1477" t="str">
        <f t="shared" si="109"/>
        <v>02.06.02</v>
      </c>
      <c r="W169" s="1478" t="str">
        <f t="shared" si="96"/>
        <v>Alat Rumah Tangga</v>
      </c>
      <c r="X169" s="1478">
        <f t="shared" si="97"/>
        <v>5</v>
      </c>
      <c r="Y169" s="1401">
        <f t="shared" si="98"/>
        <v>770000</v>
      </c>
      <c r="Z169" s="1444">
        <f t="shared" si="99"/>
        <v>2</v>
      </c>
      <c r="AA169" s="1401">
        <f t="shared" si="100"/>
        <v>1540000</v>
      </c>
      <c r="AB169" s="1401">
        <f t="shared" si="101"/>
        <v>770000</v>
      </c>
      <c r="AC169" s="1401">
        <f t="shared" si="102"/>
        <v>770000</v>
      </c>
      <c r="AD169" s="1401">
        <f t="shared" si="103"/>
        <v>770000</v>
      </c>
      <c r="AE169" s="1479">
        <f t="shared" si="104"/>
        <v>0</v>
      </c>
      <c r="AF169" s="1479">
        <f t="shared" si="105"/>
        <v>0</v>
      </c>
      <c r="AG169" s="1479">
        <f t="shared" si="110"/>
        <v>0</v>
      </c>
      <c r="AH169" s="1479">
        <f t="shared" si="106"/>
        <v>3850000</v>
      </c>
      <c r="AI169" s="1645">
        <f t="shared" si="107"/>
        <v>2012</v>
      </c>
      <c r="AJ169" s="1401">
        <f t="shared" si="108"/>
        <v>0</v>
      </c>
      <c r="AK169" s="1401"/>
    </row>
    <row r="170" spans="1:37" s="1390" customFormat="1" ht="37" customHeight="1" x14ac:dyDescent="0.2">
      <c r="A170" s="1710" t="str">
        <f t="shared" si="95"/>
        <v>02.06.02.04</v>
      </c>
      <c r="B170" s="1426">
        <v>81</v>
      </c>
      <c r="C170" s="1414" t="s">
        <v>278</v>
      </c>
      <c r="D170" s="1414" t="s">
        <v>172</v>
      </c>
      <c r="E170" s="1416"/>
      <c r="F170" s="1653" t="s">
        <v>259</v>
      </c>
      <c r="G170" s="1414"/>
      <c r="H170" s="1455" t="s">
        <v>52</v>
      </c>
      <c r="I170" s="1501">
        <v>2012</v>
      </c>
      <c r="J170" s="1414"/>
      <c r="K170" s="1653"/>
      <c r="L170" s="1414"/>
      <c r="M170" s="1414"/>
      <c r="N170" s="1414"/>
      <c r="O170" s="1501" t="s">
        <v>12</v>
      </c>
      <c r="P170" s="1539">
        <v>3850000</v>
      </c>
      <c r="Q170" s="1598" t="s">
        <v>43</v>
      </c>
      <c r="V170" s="1477" t="str">
        <f t="shared" si="109"/>
        <v>02.06.02</v>
      </c>
      <c r="W170" s="1478" t="str">
        <f t="shared" si="96"/>
        <v>Alat Rumah Tangga</v>
      </c>
      <c r="X170" s="1478">
        <f t="shared" si="97"/>
        <v>5</v>
      </c>
      <c r="Y170" s="1401">
        <f t="shared" si="98"/>
        <v>770000</v>
      </c>
      <c r="Z170" s="1444">
        <f t="shared" si="99"/>
        <v>2</v>
      </c>
      <c r="AA170" s="1401">
        <f t="shared" si="100"/>
        <v>1540000</v>
      </c>
      <c r="AB170" s="1401">
        <f t="shared" si="101"/>
        <v>770000</v>
      </c>
      <c r="AC170" s="1401">
        <f t="shared" si="102"/>
        <v>770000</v>
      </c>
      <c r="AD170" s="1401">
        <f t="shared" si="103"/>
        <v>770000</v>
      </c>
      <c r="AE170" s="1479">
        <f t="shared" si="104"/>
        <v>0</v>
      </c>
      <c r="AF170" s="1479">
        <f t="shared" si="105"/>
        <v>0</v>
      </c>
      <c r="AG170" s="1479">
        <f t="shared" si="110"/>
        <v>0</v>
      </c>
      <c r="AH170" s="1479">
        <f t="shared" si="106"/>
        <v>3850000</v>
      </c>
      <c r="AI170" s="1645">
        <f t="shared" si="107"/>
        <v>2012</v>
      </c>
      <c r="AJ170" s="1401">
        <f t="shared" si="108"/>
        <v>0</v>
      </c>
      <c r="AK170" s="1401"/>
    </row>
    <row r="171" spans="1:37" s="1390" customFormat="1" ht="37" customHeight="1" x14ac:dyDescent="0.2">
      <c r="A171" s="1710" t="str">
        <f t="shared" si="95"/>
        <v>02.06.02.04</v>
      </c>
      <c r="B171" s="1426">
        <v>82</v>
      </c>
      <c r="C171" s="1414" t="s">
        <v>278</v>
      </c>
      <c r="D171" s="1414" t="s">
        <v>172</v>
      </c>
      <c r="E171" s="1416"/>
      <c r="F171" s="1653" t="s">
        <v>259</v>
      </c>
      <c r="G171" s="1414"/>
      <c r="H171" s="1455" t="s">
        <v>52</v>
      </c>
      <c r="I171" s="1501">
        <v>2012</v>
      </c>
      <c r="J171" s="1414"/>
      <c r="K171" s="1653"/>
      <c r="L171" s="1414"/>
      <c r="M171" s="1414"/>
      <c r="N171" s="1414"/>
      <c r="O171" s="1501" t="s">
        <v>12</v>
      </c>
      <c r="P171" s="1539">
        <v>3850000</v>
      </c>
      <c r="Q171" s="1598" t="s">
        <v>43</v>
      </c>
      <c r="V171" s="1477" t="str">
        <f t="shared" si="109"/>
        <v>02.06.02</v>
      </c>
      <c r="W171" s="1478" t="str">
        <f t="shared" si="96"/>
        <v>Alat Rumah Tangga</v>
      </c>
      <c r="X171" s="1478">
        <f t="shared" si="97"/>
        <v>5</v>
      </c>
      <c r="Y171" s="1401">
        <f t="shared" si="98"/>
        <v>770000</v>
      </c>
      <c r="Z171" s="1444">
        <f t="shared" si="99"/>
        <v>2</v>
      </c>
      <c r="AA171" s="1401">
        <f t="shared" si="100"/>
        <v>1540000</v>
      </c>
      <c r="AB171" s="1401">
        <f t="shared" si="101"/>
        <v>770000</v>
      </c>
      <c r="AC171" s="1401">
        <f t="shared" si="102"/>
        <v>770000</v>
      </c>
      <c r="AD171" s="1401">
        <f t="shared" si="103"/>
        <v>770000</v>
      </c>
      <c r="AE171" s="1479">
        <f t="shared" si="104"/>
        <v>0</v>
      </c>
      <c r="AF171" s="1479">
        <f t="shared" si="105"/>
        <v>0</v>
      </c>
      <c r="AG171" s="1479">
        <f t="shared" si="110"/>
        <v>0</v>
      </c>
      <c r="AH171" s="1479">
        <f t="shared" si="106"/>
        <v>3850000</v>
      </c>
      <c r="AI171" s="1645">
        <f t="shared" si="107"/>
        <v>2012</v>
      </c>
      <c r="AJ171" s="1401">
        <f t="shared" si="108"/>
        <v>0</v>
      </c>
      <c r="AK171" s="1401"/>
    </row>
    <row r="172" spans="1:37" s="1390" customFormat="1" ht="37" customHeight="1" x14ac:dyDescent="0.2">
      <c r="A172" s="1710" t="str">
        <f t="shared" si="95"/>
        <v>02.06.03.02</v>
      </c>
      <c r="B172" s="1426">
        <v>83</v>
      </c>
      <c r="C172" s="1414" t="s">
        <v>298</v>
      </c>
      <c r="D172" s="1414" t="s">
        <v>230</v>
      </c>
      <c r="E172" s="1416"/>
      <c r="F172" s="1653" t="s">
        <v>997</v>
      </c>
      <c r="G172" s="1414"/>
      <c r="H172" s="1455" t="s">
        <v>193</v>
      </c>
      <c r="I172" s="1501">
        <v>2012</v>
      </c>
      <c r="J172" s="1414"/>
      <c r="K172" s="1653"/>
      <c r="L172" s="1414"/>
      <c r="M172" s="1414"/>
      <c r="N172" s="1414"/>
      <c r="O172" s="1501" t="s">
        <v>12</v>
      </c>
      <c r="P172" s="1539">
        <v>6429500</v>
      </c>
      <c r="Q172" s="1598" t="s">
        <v>43</v>
      </c>
      <c r="V172" s="1477" t="str">
        <f t="shared" si="109"/>
        <v>02.06.03</v>
      </c>
      <c r="W172" s="1478" t="str">
        <f t="shared" si="96"/>
        <v>Peralatan Komputer</v>
      </c>
      <c r="X172" s="1478">
        <f t="shared" si="97"/>
        <v>4</v>
      </c>
      <c r="Y172" s="1401">
        <f t="shared" si="98"/>
        <v>1607375</v>
      </c>
      <c r="Z172" s="1444">
        <f t="shared" si="99"/>
        <v>2</v>
      </c>
      <c r="AA172" s="1401">
        <f t="shared" si="100"/>
        <v>3214750</v>
      </c>
      <c r="AB172" s="1401">
        <f t="shared" si="101"/>
        <v>1607375</v>
      </c>
      <c r="AC172" s="1401">
        <f t="shared" si="102"/>
        <v>1607375</v>
      </c>
      <c r="AD172" s="1401">
        <f t="shared" si="103"/>
        <v>0</v>
      </c>
      <c r="AE172" s="1479">
        <f t="shared" si="104"/>
        <v>0</v>
      </c>
      <c r="AF172" s="1479">
        <f t="shared" si="105"/>
        <v>0</v>
      </c>
      <c r="AG172" s="1479">
        <f t="shared" si="110"/>
        <v>0</v>
      </c>
      <c r="AH172" s="1479">
        <f t="shared" si="106"/>
        <v>6429500</v>
      </c>
      <c r="AI172" s="1645">
        <f t="shared" si="107"/>
        <v>2012</v>
      </c>
      <c r="AJ172" s="1401">
        <f t="shared" si="108"/>
        <v>0</v>
      </c>
      <c r="AK172" s="1401"/>
    </row>
    <row r="173" spans="1:37" s="1390" customFormat="1" ht="37" customHeight="1" x14ac:dyDescent="0.2">
      <c r="A173" s="1710" t="str">
        <f t="shared" si="95"/>
        <v>02.06.03.02</v>
      </c>
      <c r="B173" s="1426">
        <v>84</v>
      </c>
      <c r="C173" s="1414" t="s">
        <v>298</v>
      </c>
      <c r="D173" s="1414" t="s">
        <v>230</v>
      </c>
      <c r="E173" s="1416"/>
      <c r="F173" s="1653" t="s">
        <v>997</v>
      </c>
      <c r="G173" s="1414"/>
      <c r="H173" s="1455" t="s">
        <v>193</v>
      </c>
      <c r="I173" s="1501">
        <v>2012</v>
      </c>
      <c r="J173" s="1414"/>
      <c r="K173" s="1653"/>
      <c r="L173" s="1414"/>
      <c r="M173" s="1414"/>
      <c r="N173" s="1414"/>
      <c r="O173" s="1501" t="s">
        <v>12</v>
      </c>
      <c r="P173" s="1539">
        <v>6429500</v>
      </c>
      <c r="Q173" s="1598" t="s">
        <v>43</v>
      </c>
      <c r="V173" s="1477" t="str">
        <f t="shared" si="109"/>
        <v>02.06.03</v>
      </c>
      <c r="W173" s="1478" t="str">
        <f t="shared" si="96"/>
        <v>Peralatan Komputer</v>
      </c>
      <c r="X173" s="1478">
        <f t="shared" si="97"/>
        <v>4</v>
      </c>
      <c r="Y173" s="1401">
        <f t="shared" si="98"/>
        <v>1607375</v>
      </c>
      <c r="Z173" s="1444">
        <f t="shared" si="99"/>
        <v>2</v>
      </c>
      <c r="AA173" s="1401">
        <f t="shared" si="100"/>
        <v>3214750</v>
      </c>
      <c r="AB173" s="1401">
        <f t="shared" si="101"/>
        <v>1607375</v>
      </c>
      <c r="AC173" s="1401">
        <f t="shared" si="102"/>
        <v>1607375</v>
      </c>
      <c r="AD173" s="1401">
        <f t="shared" si="103"/>
        <v>0</v>
      </c>
      <c r="AE173" s="1479">
        <f t="shared" si="104"/>
        <v>0</v>
      </c>
      <c r="AF173" s="1479">
        <f t="shared" si="105"/>
        <v>0</v>
      </c>
      <c r="AG173" s="1479">
        <f t="shared" si="110"/>
        <v>0</v>
      </c>
      <c r="AH173" s="1479">
        <f t="shared" si="106"/>
        <v>6429500</v>
      </c>
      <c r="AI173" s="1645">
        <f t="shared" si="107"/>
        <v>2012</v>
      </c>
      <c r="AJ173" s="1401">
        <f t="shared" si="108"/>
        <v>0</v>
      </c>
      <c r="AK173" s="1401"/>
    </row>
    <row r="174" spans="1:37" s="1390" customFormat="1" ht="37" customHeight="1" x14ac:dyDescent="0.2">
      <c r="A174" s="1710" t="str">
        <f t="shared" si="95"/>
        <v>02.06.03.02</v>
      </c>
      <c r="B174" s="1426">
        <v>85</v>
      </c>
      <c r="C174" s="1414" t="s">
        <v>298</v>
      </c>
      <c r="D174" s="1414" t="s">
        <v>230</v>
      </c>
      <c r="E174" s="1416"/>
      <c r="F174" s="1653" t="s">
        <v>997</v>
      </c>
      <c r="G174" s="1414"/>
      <c r="H174" s="1455" t="s">
        <v>193</v>
      </c>
      <c r="I174" s="1501">
        <v>2012</v>
      </c>
      <c r="J174" s="1414"/>
      <c r="K174" s="1653"/>
      <c r="L174" s="1414"/>
      <c r="M174" s="1414"/>
      <c r="N174" s="1414"/>
      <c r="O174" s="1501" t="s">
        <v>12</v>
      </c>
      <c r="P174" s="1539">
        <v>6429500</v>
      </c>
      <c r="Q174" s="1598" t="s">
        <v>43</v>
      </c>
      <c r="V174" s="1477" t="str">
        <f t="shared" si="109"/>
        <v>02.06.03</v>
      </c>
      <c r="W174" s="1478" t="str">
        <f t="shared" si="96"/>
        <v>Peralatan Komputer</v>
      </c>
      <c r="X174" s="1478">
        <f t="shared" si="97"/>
        <v>4</v>
      </c>
      <c r="Y174" s="1401">
        <f t="shared" si="98"/>
        <v>1607375</v>
      </c>
      <c r="Z174" s="1444">
        <f t="shared" si="99"/>
        <v>2</v>
      </c>
      <c r="AA174" s="1401">
        <f t="shared" si="100"/>
        <v>3214750</v>
      </c>
      <c r="AB174" s="1401">
        <f t="shared" si="101"/>
        <v>1607375</v>
      </c>
      <c r="AC174" s="1401">
        <f t="shared" si="102"/>
        <v>1607375</v>
      </c>
      <c r="AD174" s="1401">
        <f t="shared" si="103"/>
        <v>0</v>
      </c>
      <c r="AE174" s="1479">
        <f t="shared" si="104"/>
        <v>0</v>
      </c>
      <c r="AF174" s="1479">
        <f t="shared" si="105"/>
        <v>0</v>
      </c>
      <c r="AG174" s="1479">
        <f t="shared" si="110"/>
        <v>0</v>
      </c>
      <c r="AH174" s="1479">
        <f t="shared" si="106"/>
        <v>6429500</v>
      </c>
      <c r="AI174" s="1645">
        <f t="shared" si="107"/>
        <v>2012</v>
      </c>
      <c r="AJ174" s="1401">
        <f t="shared" si="108"/>
        <v>0</v>
      </c>
      <c r="AK174" s="1401"/>
    </row>
    <row r="175" spans="1:37" s="1390" customFormat="1" ht="37" customHeight="1" x14ac:dyDescent="0.2">
      <c r="A175" s="1710" t="str">
        <f t="shared" si="95"/>
        <v>02.06.03.02</v>
      </c>
      <c r="B175" s="1426">
        <v>86</v>
      </c>
      <c r="C175" s="1414" t="s">
        <v>298</v>
      </c>
      <c r="D175" s="1414" t="s">
        <v>230</v>
      </c>
      <c r="E175" s="1416"/>
      <c r="F175" s="1653" t="s">
        <v>997</v>
      </c>
      <c r="G175" s="1414"/>
      <c r="H175" s="1455" t="s">
        <v>193</v>
      </c>
      <c r="I175" s="1501">
        <v>2012</v>
      </c>
      <c r="J175" s="1414"/>
      <c r="K175" s="1653"/>
      <c r="L175" s="1414"/>
      <c r="M175" s="1414"/>
      <c r="N175" s="1414"/>
      <c r="O175" s="1501" t="s">
        <v>12</v>
      </c>
      <c r="P175" s="1539">
        <v>6429500</v>
      </c>
      <c r="Q175" s="1598" t="s">
        <v>43</v>
      </c>
      <c r="V175" s="1477" t="str">
        <f t="shared" si="109"/>
        <v>02.06.03</v>
      </c>
      <c r="W175" s="1478" t="str">
        <f t="shared" si="96"/>
        <v>Peralatan Komputer</v>
      </c>
      <c r="X175" s="1478">
        <f t="shared" si="97"/>
        <v>4</v>
      </c>
      <c r="Y175" s="1401">
        <f t="shared" si="98"/>
        <v>1607375</v>
      </c>
      <c r="Z175" s="1444">
        <f t="shared" si="99"/>
        <v>2</v>
      </c>
      <c r="AA175" s="1401">
        <f t="shared" si="100"/>
        <v>3214750</v>
      </c>
      <c r="AB175" s="1401">
        <f t="shared" si="101"/>
        <v>1607375</v>
      </c>
      <c r="AC175" s="1401">
        <f t="shared" si="102"/>
        <v>1607375</v>
      </c>
      <c r="AD175" s="1401">
        <f t="shared" si="103"/>
        <v>0</v>
      </c>
      <c r="AE175" s="1479">
        <f t="shared" si="104"/>
        <v>0</v>
      </c>
      <c r="AF175" s="1479">
        <f t="shared" si="105"/>
        <v>0</v>
      </c>
      <c r="AG175" s="1479">
        <f t="shared" si="110"/>
        <v>0</v>
      </c>
      <c r="AH175" s="1479">
        <f t="shared" si="106"/>
        <v>6429500</v>
      </c>
      <c r="AI175" s="1645">
        <f t="shared" si="107"/>
        <v>2012</v>
      </c>
      <c r="AJ175" s="1401">
        <f t="shared" si="108"/>
        <v>0</v>
      </c>
      <c r="AK175" s="1401"/>
    </row>
    <row r="176" spans="1:37" s="1390" customFormat="1" ht="37" customHeight="1" x14ac:dyDescent="0.2">
      <c r="A176" s="1710" t="str">
        <f t="shared" si="95"/>
        <v>02.06.03.02</v>
      </c>
      <c r="B176" s="1426">
        <v>87</v>
      </c>
      <c r="C176" s="1414" t="s">
        <v>295</v>
      </c>
      <c r="D176" s="1414" t="s">
        <v>948</v>
      </c>
      <c r="E176" s="1416"/>
      <c r="F176" s="1653" t="s">
        <v>258</v>
      </c>
      <c r="G176" s="1414"/>
      <c r="H176" s="1455" t="s">
        <v>193</v>
      </c>
      <c r="I176" s="1501">
        <v>2012</v>
      </c>
      <c r="J176" s="1414"/>
      <c r="K176" s="1653"/>
      <c r="L176" s="1414"/>
      <c r="M176" s="1414"/>
      <c r="N176" s="1414"/>
      <c r="O176" s="1501" t="s">
        <v>12</v>
      </c>
      <c r="P176" s="1539">
        <v>5866666.666666667</v>
      </c>
      <c r="Q176" s="1598" t="s">
        <v>43</v>
      </c>
      <c r="V176" s="1477" t="str">
        <f t="shared" si="109"/>
        <v>02.06.03</v>
      </c>
      <c r="W176" s="1478" t="str">
        <f t="shared" si="96"/>
        <v>Peralatan Komputer</v>
      </c>
      <c r="X176" s="1478">
        <f t="shared" si="97"/>
        <v>4</v>
      </c>
      <c r="Y176" s="1401">
        <f t="shared" si="98"/>
        <v>1466666.6666666667</v>
      </c>
      <c r="Z176" s="1444">
        <f t="shared" si="99"/>
        <v>2</v>
      </c>
      <c r="AA176" s="1401">
        <f t="shared" si="100"/>
        <v>2933333.3333333335</v>
      </c>
      <c r="AB176" s="1401">
        <f t="shared" si="101"/>
        <v>1466666.6666666667</v>
      </c>
      <c r="AC176" s="1401">
        <f t="shared" si="102"/>
        <v>1466666.6666666667</v>
      </c>
      <c r="AD176" s="1401">
        <f t="shared" si="103"/>
        <v>0</v>
      </c>
      <c r="AE176" s="1479">
        <f t="shared" si="104"/>
        <v>0</v>
      </c>
      <c r="AF176" s="1479">
        <f t="shared" si="105"/>
        <v>0</v>
      </c>
      <c r="AG176" s="1479">
        <f t="shared" si="110"/>
        <v>0</v>
      </c>
      <c r="AH176" s="1479">
        <f t="shared" si="106"/>
        <v>5866666.666666667</v>
      </c>
      <c r="AI176" s="1645">
        <f t="shared" si="107"/>
        <v>2012</v>
      </c>
      <c r="AJ176" s="1401">
        <f t="shared" si="108"/>
        <v>0</v>
      </c>
      <c r="AK176" s="1401"/>
    </row>
    <row r="177" spans="1:37" s="1390" customFormat="1" ht="37" customHeight="1" x14ac:dyDescent="0.2">
      <c r="A177" s="1710" t="str">
        <f t="shared" si="95"/>
        <v>02.06.03.02</v>
      </c>
      <c r="B177" s="1426">
        <v>88</v>
      </c>
      <c r="C177" s="1414" t="s">
        <v>295</v>
      </c>
      <c r="D177" s="1414" t="s">
        <v>948</v>
      </c>
      <c r="E177" s="1416"/>
      <c r="F177" s="1653" t="s">
        <v>258</v>
      </c>
      <c r="G177" s="1414"/>
      <c r="H177" s="1455" t="s">
        <v>193</v>
      </c>
      <c r="I177" s="1501">
        <v>2012</v>
      </c>
      <c r="J177" s="1414"/>
      <c r="K177" s="1653"/>
      <c r="L177" s="1414"/>
      <c r="M177" s="1414"/>
      <c r="N177" s="1414"/>
      <c r="O177" s="1501" t="s">
        <v>12</v>
      </c>
      <c r="P177" s="1539">
        <v>5866666.666666667</v>
      </c>
      <c r="Q177" s="1598" t="s">
        <v>43</v>
      </c>
      <c r="V177" s="1477" t="str">
        <f t="shared" si="109"/>
        <v>02.06.03</v>
      </c>
      <c r="W177" s="1478" t="str">
        <f t="shared" si="96"/>
        <v>Peralatan Komputer</v>
      </c>
      <c r="X177" s="1478">
        <f t="shared" si="97"/>
        <v>4</v>
      </c>
      <c r="Y177" s="1401">
        <f t="shared" si="98"/>
        <v>1466666.6666666667</v>
      </c>
      <c r="Z177" s="1444">
        <f t="shared" si="99"/>
        <v>2</v>
      </c>
      <c r="AA177" s="1401">
        <f t="shared" si="100"/>
        <v>2933333.3333333335</v>
      </c>
      <c r="AB177" s="1401">
        <f t="shared" si="101"/>
        <v>1466666.6666666667</v>
      </c>
      <c r="AC177" s="1401">
        <f t="shared" si="102"/>
        <v>1466666.6666666667</v>
      </c>
      <c r="AD177" s="1401">
        <f t="shared" si="103"/>
        <v>0</v>
      </c>
      <c r="AE177" s="1479">
        <f t="shared" si="104"/>
        <v>0</v>
      </c>
      <c r="AF177" s="1479">
        <f t="shared" si="105"/>
        <v>0</v>
      </c>
      <c r="AG177" s="1479">
        <f t="shared" si="110"/>
        <v>0</v>
      </c>
      <c r="AH177" s="1479">
        <f t="shared" si="106"/>
        <v>5866666.666666667</v>
      </c>
      <c r="AI177" s="1645">
        <f t="shared" si="107"/>
        <v>2012</v>
      </c>
      <c r="AJ177" s="1401">
        <f t="shared" si="108"/>
        <v>0</v>
      </c>
      <c r="AK177" s="1401"/>
    </row>
    <row r="178" spans="1:37" s="1390" customFormat="1" ht="37" customHeight="1" x14ac:dyDescent="0.2">
      <c r="A178" s="1710" t="str">
        <f t="shared" si="95"/>
        <v>02.06.03.02</v>
      </c>
      <c r="B178" s="1426">
        <v>89</v>
      </c>
      <c r="C178" s="1414" t="s">
        <v>295</v>
      </c>
      <c r="D178" s="1414" t="s">
        <v>948</v>
      </c>
      <c r="E178" s="1416"/>
      <c r="F178" s="1653" t="s">
        <v>258</v>
      </c>
      <c r="G178" s="1414"/>
      <c r="H178" s="1455" t="s">
        <v>193</v>
      </c>
      <c r="I178" s="1501">
        <v>2012</v>
      </c>
      <c r="J178" s="1414"/>
      <c r="K178" s="1653"/>
      <c r="L178" s="1414"/>
      <c r="M178" s="1414"/>
      <c r="N178" s="1414"/>
      <c r="O178" s="1501" t="s">
        <v>12</v>
      </c>
      <c r="P178" s="1539">
        <v>5866666.666666667</v>
      </c>
      <c r="Q178" s="1598" t="s">
        <v>43</v>
      </c>
      <c r="V178" s="1477" t="str">
        <f t="shared" si="109"/>
        <v>02.06.03</v>
      </c>
      <c r="W178" s="1478" t="str">
        <f t="shared" si="96"/>
        <v>Peralatan Komputer</v>
      </c>
      <c r="X178" s="1478">
        <f t="shared" si="97"/>
        <v>4</v>
      </c>
      <c r="Y178" s="1401">
        <f t="shared" si="98"/>
        <v>1466666.6666666667</v>
      </c>
      <c r="Z178" s="1444">
        <f t="shared" si="99"/>
        <v>2</v>
      </c>
      <c r="AA178" s="1401">
        <f t="shared" si="100"/>
        <v>2933333.3333333335</v>
      </c>
      <c r="AB178" s="1401">
        <f t="shared" si="101"/>
        <v>1466666.6666666667</v>
      </c>
      <c r="AC178" s="1401">
        <f t="shared" si="102"/>
        <v>1466666.6666666667</v>
      </c>
      <c r="AD178" s="1401">
        <f t="shared" si="103"/>
        <v>0</v>
      </c>
      <c r="AE178" s="1479">
        <f t="shared" si="104"/>
        <v>0</v>
      </c>
      <c r="AF178" s="1479">
        <f t="shared" si="105"/>
        <v>0</v>
      </c>
      <c r="AG178" s="1479">
        <f t="shared" si="110"/>
        <v>0</v>
      </c>
      <c r="AH178" s="1479">
        <f t="shared" si="106"/>
        <v>5866666.666666667</v>
      </c>
      <c r="AI178" s="1645">
        <f t="shared" si="107"/>
        <v>2012</v>
      </c>
      <c r="AJ178" s="1401">
        <f t="shared" si="108"/>
        <v>0</v>
      </c>
      <c r="AK178" s="1401"/>
    </row>
    <row r="179" spans="1:37" s="1390" customFormat="1" ht="37" customHeight="1" x14ac:dyDescent="0.2">
      <c r="A179" s="1710" t="str">
        <f t="shared" si="95"/>
        <v>02.06.03.05</v>
      </c>
      <c r="B179" s="1426">
        <v>90</v>
      </c>
      <c r="C179" s="1414" t="s">
        <v>299</v>
      </c>
      <c r="D179" s="1414" t="s">
        <v>183</v>
      </c>
      <c r="E179" s="1416"/>
      <c r="F179" s="1653" t="s">
        <v>998</v>
      </c>
      <c r="G179" s="1414"/>
      <c r="H179" s="1455" t="s">
        <v>193</v>
      </c>
      <c r="I179" s="1501">
        <v>2012</v>
      </c>
      <c r="J179" s="1414"/>
      <c r="K179" s="1653"/>
      <c r="L179" s="1414"/>
      <c r="M179" s="1414"/>
      <c r="N179" s="1414"/>
      <c r="O179" s="1501" t="s">
        <v>12</v>
      </c>
      <c r="P179" s="1539">
        <v>1000000</v>
      </c>
      <c r="Q179" s="1598" t="s">
        <v>43</v>
      </c>
      <c r="V179" s="1477" t="str">
        <f t="shared" si="109"/>
        <v>02.06.03</v>
      </c>
      <c r="W179" s="1478" t="str">
        <f t="shared" si="96"/>
        <v>Peralatan Komputer</v>
      </c>
      <c r="X179" s="1478">
        <f t="shared" si="97"/>
        <v>4</v>
      </c>
      <c r="Y179" s="1401">
        <f t="shared" si="98"/>
        <v>250000</v>
      </c>
      <c r="Z179" s="1444">
        <f t="shared" si="99"/>
        <v>2</v>
      </c>
      <c r="AA179" s="1401">
        <f t="shared" si="100"/>
        <v>500000</v>
      </c>
      <c r="AB179" s="1401">
        <f t="shared" si="101"/>
        <v>250000</v>
      </c>
      <c r="AC179" s="1401">
        <f t="shared" si="102"/>
        <v>250000</v>
      </c>
      <c r="AD179" s="1401">
        <f t="shared" si="103"/>
        <v>0</v>
      </c>
      <c r="AE179" s="1479">
        <f t="shared" si="104"/>
        <v>0</v>
      </c>
      <c r="AF179" s="1479">
        <f t="shared" si="105"/>
        <v>0</v>
      </c>
      <c r="AG179" s="1479">
        <f t="shared" si="110"/>
        <v>0</v>
      </c>
      <c r="AH179" s="1479">
        <f t="shared" si="106"/>
        <v>1000000</v>
      </c>
      <c r="AI179" s="1645">
        <f t="shared" si="107"/>
        <v>2012</v>
      </c>
      <c r="AJ179" s="1401">
        <f t="shared" si="108"/>
        <v>0</v>
      </c>
      <c r="AK179" s="1401"/>
    </row>
    <row r="180" spans="1:37" s="1390" customFormat="1" ht="37" customHeight="1" x14ac:dyDescent="0.2">
      <c r="A180" s="1710" t="str">
        <f t="shared" si="95"/>
        <v>02.06.03.05</v>
      </c>
      <c r="B180" s="1426">
        <v>91</v>
      </c>
      <c r="C180" s="1414" t="s">
        <v>299</v>
      </c>
      <c r="D180" s="1414" t="s">
        <v>183</v>
      </c>
      <c r="E180" s="1416"/>
      <c r="F180" s="1653" t="s">
        <v>998</v>
      </c>
      <c r="G180" s="1414"/>
      <c r="H180" s="1455" t="s">
        <v>193</v>
      </c>
      <c r="I180" s="1501">
        <v>2012</v>
      </c>
      <c r="J180" s="1414"/>
      <c r="K180" s="1653"/>
      <c r="L180" s="1414"/>
      <c r="M180" s="1414"/>
      <c r="N180" s="1414"/>
      <c r="O180" s="1501" t="s">
        <v>12</v>
      </c>
      <c r="P180" s="1539">
        <v>1000000</v>
      </c>
      <c r="Q180" s="1598" t="s">
        <v>43</v>
      </c>
      <c r="V180" s="1477" t="str">
        <f t="shared" si="109"/>
        <v>02.06.03</v>
      </c>
      <c r="W180" s="1478" t="str">
        <f t="shared" si="96"/>
        <v>Peralatan Komputer</v>
      </c>
      <c r="X180" s="1478">
        <f t="shared" si="97"/>
        <v>4</v>
      </c>
      <c r="Y180" s="1401">
        <f t="shared" si="98"/>
        <v>250000</v>
      </c>
      <c r="Z180" s="1444">
        <f t="shared" si="99"/>
        <v>2</v>
      </c>
      <c r="AA180" s="1401">
        <f t="shared" si="100"/>
        <v>500000</v>
      </c>
      <c r="AB180" s="1401">
        <f t="shared" si="101"/>
        <v>250000</v>
      </c>
      <c r="AC180" s="1401">
        <f t="shared" si="102"/>
        <v>250000</v>
      </c>
      <c r="AD180" s="1401">
        <f t="shared" si="103"/>
        <v>0</v>
      </c>
      <c r="AE180" s="1479">
        <f t="shared" si="104"/>
        <v>0</v>
      </c>
      <c r="AF180" s="1479">
        <f t="shared" si="105"/>
        <v>0</v>
      </c>
      <c r="AG180" s="1479">
        <f t="shared" si="110"/>
        <v>0</v>
      </c>
      <c r="AH180" s="1479">
        <f t="shared" si="106"/>
        <v>1000000</v>
      </c>
      <c r="AI180" s="1645">
        <f t="shared" si="107"/>
        <v>2012</v>
      </c>
      <c r="AJ180" s="1401">
        <f t="shared" si="108"/>
        <v>0</v>
      </c>
      <c r="AK180" s="1401"/>
    </row>
    <row r="181" spans="1:37" s="1390" customFormat="1" ht="37" customHeight="1" x14ac:dyDescent="0.2">
      <c r="A181" s="1710" t="str">
        <f t="shared" si="95"/>
        <v>02.06.03.05</v>
      </c>
      <c r="B181" s="1426">
        <v>92</v>
      </c>
      <c r="C181" s="1414" t="s">
        <v>299</v>
      </c>
      <c r="D181" s="1414" t="s">
        <v>183</v>
      </c>
      <c r="E181" s="1416"/>
      <c r="F181" s="1653" t="s">
        <v>998</v>
      </c>
      <c r="G181" s="1414"/>
      <c r="H181" s="1455" t="s">
        <v>193</v>
      </c>
      <c r="I181" s="1501">
        <v>2012</v>
      </c>
      <c r="J181" s="1414"/>
      <c r="K181" s="1653"/>
      <c r="L181" s="1414"/>
      <c r="M181" s="1414"/>
      <c r="N181" s="1414"/>
      <c r="O181" s="1501" t="s">
        <v>12</v>
      </c>
      <c r="P181" s="1539">
        <v>1000000</v>
      </c>
      <c r="Q181" s="1598" t="s">
        <v>43</v>
      </c>
      <c r="V181" s="1477" t="str">
        <f t="shared" si="109"/>
        <v>02.06.03</v>
      </c>
      <c r="W181" s="1478" t="str">
        <f t="shared" si="96"/>
        <v>Peralatan Komputer</v>
      </c>
      <c r="X181" s="1478">
        <f t="shared" si="97"/>
        <v>4</v>
      </c>
      <c r="Y181" s="1401">
        <f t="shared" si="98"/>
        <v>250000</v>
      </c>
      <c r="Z181" s="1444">
        <f t="shared" si="99"/>
        <v>2</v>
      </c>
      <c r="AA181" s="1401">
        <f t="shared" si="100"/>
        <v>500000</v>
      </c>
      <c r="AB181" s="1401">
        <f t="shared" si="101"/>
        <v>250000</v>
      </c>
      <c r="AC181" s="1401">
        <f t="shared" si="102"/>
        <v>250000</v>
      </c>
      <c r="AD181" s="1401">
        <f t="shared" si="103"/>
        <v>0</v>
      </c>
      <c r="AE181" s="1479">
        <f t="shared" si="104"/>
        <v>0</v>
      </c>
      <c r="AF181" s="1479">
        <f t="shared" si="105"/>
        <v>0</v>
      </c>
      <c r="AG181" s="1479">
        <f t="shared" si="110"/>
        <v>0</v>
      </c>
      <c r="AH181" s="1479">
        <f t="shared" si="106"/>
        <v>1000000</v>
      </c>
      <c r="AI181" s="1645">
        <f t="shared" si="107"/>
        <v>2012</v>
      </c>
      <c r="AJ181" s="1401">
        <f t="shared" si="108"/>
        <v>0</v>
      </c>
      <c r="AK181" s="1401"/>
    </row>
    <row r="182" spans="1:37" s="1390" customFormat="1" ht="37" customHeight="1" x14ac:dyDescent="0.2">
      <c r="A182" s="1710" t="str">
        <f t="shared" si="95"/>
        <v>02.06.02.01</v>
      </c>
      <c r="B182" s="1426">
        <v>93</v>
      </c>
      <c r="C182" s="1455" t="s">
        <v>4702</v>
      </c>
      <c r="D182" s="1414" t="s">
        <v>237</v>
      </c>
      <c r="E182" s="1416"/>
      <c r="F182" s="1653" t="s">
        <v>52</v>
      </c>
      <c r="G182" s="1414"/>
      <c r="H182" s="1455" t="s">
        <v>52</v>
      </c>
      <c r="I182" s="1501">
        <v>2012</v>
      </c>
      <c r="J182" s="1414"/>
      <c r="K182" s="1653"/>
      <c r="L182" s="1414"/>
      <c r="M182" s="1414"/>
      <c r="N182" s="1414"/>
      <c r="O182" s="1501" t="s">
        <v>12</v>
      </c>
      <c r="P182" s="1704">
        <v>22000000</v>
      </c>
      <c r="Q182" s="1598" t="s">
        <v>43</v>
      </c>
      <c r="V182" s="1477" t="str">
        <f t="shared" si="109"/>
        <v>02.06.02</v>
      </c>
      <c r="W182" s="1478" t="str">
        <f t="shared" si="96"/>
        <v>Alat Rumah Tangga</v>
      </c>
      <c r="X182" s="1478">
        <f t="shared" si="97"/>
        <v>5</v>
      </c>
      <c r="Y182" s="1401">
        <f t="shared" si="98"/>
        <v>4400000</v>
      </c>
      <c r="Z182" s="1444">
        <f t="shared" si="99"/>
        <v>2</v>
      </c>
      <c r="AA182" s="1401">
        <f t="shared" si="100"/>
        <v>8800000</v>
      </c>
      <c r="AB182" s="1401">
        <f t="shared" si="101"/>
        <v>4400000</v>
      </c>
      <c r="AC182" s="1401">
        <f t="shared" si="102"/>
        <v>4400000</v>
      </c>
      <c r="AD182" s="1401">
        <f t="shared" si="103"/>
        <v>4400000</v>
      </c>
      <c r="AE182" s="1479">
        <f t="shared" si="104"/>
        <v>0</v>
      </c>
      <c r="AF182" s="1479">
        <f t="shared" si="105"/>
        <v>0</v>
      </c>
      <c r="AG182" s="1479">
        <f t="shared" si="110"/>
        <v>0</v>
      </c>
      <c r="AH182" s="1479">
        <f t="shared" si="106"/>
        <v>22000000</v>
      </c>
      <c r="AI182" s="1645">
        <f t="shared" si="107"/>
        <v>2012</v>
      </c>
      <c r="AJ182" s="1401">
        <f t="shared" si="108"/>
        <v>0</v>
      </c>
      <c r="AK182" s="1401"/>
    </row>
    <row r="183" spans="1:37" s="1390" customFormat="1" ht="37" customHeight="1" x14ac:dyDescent="0.2">
      <c r="A183" s="1710" t="str">
        <f t="shared" si="95"/>
        <v>02.06.01.04</v>
      </c>
      <c r="B183" s="1426">
        <v>94</v>
      </c>
      <c r="C183" s="1414" t="s">
        <v>2324</v>
      </c>
      <c r="D183" s="1414" t="s">
        <v>950</v>
      </c>
      <c r="E183" s="1652" t="s">
        <v>261</v>
      </c>
      <c r="F183" s="1653" t="s">
        <v>262</v>
      </c>
      <c r="G183" s="1414"/>
      <c r="H183" s="1455" t="s">
        <v>191</v>
      </c>
      <c r="I183" s="1501">
        <v>2012</v>
      </c>
      <c r="J183" s="1414"/>
      <c r="K183" s="1653"/>
      <c r="L183" s="1414"/>
      <c r="M183" s="1414"/>
      <c r="N183" s="1414"/>
      <c r="O183" s="1501" t="s">
        <v>12</v>
      </c>
      <c r="P183" s="1704">
        <v>2000000</v>
      </c>
      <c r="Q183" s="1598" t="s">
        <v>43</v>
      </c>
      <c r="V183" s="1477" t="str">
        <f t="shared" si="109"/>
        <v>02.06.01</v>
      </c>
      <c r="W183" s="1478" t="str">
        <f t="shared" si="96"/>
        <v>Alat Kantor</v>
      </c>
      <c r="X183" s="1478">
        <f t="shared" si="97"/>
        <v>5</v>
      </c>
      <c r="Y183" s="1401">
        <f t="shared" si="98"/>
        <v>400000</v>
      </c>
      <c r="Z183" s="1444">
        <f t="shared" si="99"/>
        <v>2</v>
      </c>
      <c r="AA183" s="1401">
        <f t="shared" si="100"/>
        <v>800000</v>
      </c>
      <c r="AB183" s="1401">
        <f t="shared" si="101"/>
        <v>400000</v>
      </c>
      <c r="AC183" s="1401">
        <f t="shared" si="102"/>
        <v>400000</v>
      </c>
      <c r="AD183" s="1401">
        <f t="shared" si="103"/>
        <v>400000</v>
      </c>
      <c r="AE183" s="1479">
        <f t="shared" si="104"/>
        <v>0</v>
      </c>
      <c r="AF183" s="1479">
        <f t="shared" si="105"/>
        <v>0</v>
      </c>
      <c r="AG183" s="1479">
        <f t="shared" si="110"/>
        <v>0</v>
      </c>
      <c r="AH183" s="1479">
        <f t="shared" si="106"/>
        <v>2000000</v>
      </c>
      <c r="AI183" s="1645">
        <f t="shared" si="107"/>
        <v>2012</v>
      </c>
      <c r="AJ183" s="1401">
        <f t="shared" si="108"/>
        <v>0</v>
      </c>
      <c r="AK183" s="1401"/>
    </row>
    <row r="184" spans="1:37" s="1390" customFormat="1" ht="37" customHeight="1" x14ac:dyDescent="0.2">
      <c r="A184" s="1710" t="str">
        <f t="shared" si="95"/>
        <v>02.06.01.04</v>
      </c>
      <c r="B184" s="1426">
        <v>95</v>
      </c>
      <c r="C184" s="1414" t="s">
        <v>2324</v>
      </c>
      <c r="D184" s="1414" t="s">
        <v>950</v>
      </c>
      <c r="E184" s="1652" t="s">
        <v>263</v>
      </c>
      <c r="F184" s="1653" t="s">
        <v>262</v>
      </c>
      <c r="G184" s="1414"/>
      <c r="H184" s="1455" t="s">
        <v>191</v>
      </c>
      <c r="I184" s="1501">
        <v>2012</v>
      </c>
      <c r="J184" s="1414"/>
      <c r="K184" s="1653"/>
      <c r="L184" s="1414"/>
      <c r="M184" s="1414"/>
      <c r="N184" s="1414"/>
      <c r="O184" s="1501" t="s">
        <v>12</v>
      </c>
      <c r="P184" s="1704">
        <v>2000000</v>
      </c>
      <c r="Q184" s="1598" t="s">
        <v>43</v>
      </c>
      <c r="V184" s="1477" t="str">
        <f t="shared" si="109"/>
        <v>02.06.01</v>
      </c>
      <c r="W184" s="1478" t="str">
        <f t="shared" si="96"/>
        <v>Alat Kantor</v>
      </c>
      <c r="X184" s="1478">
        <f t="shared" si="97"/>
        <v>5</v>
      </c>
      <c r="Y184" s="1401">
        <f t="shared" si="98"/>
        <v>400000</v>
      </c>
      <c r="Z184" s="1444">
        <f t="shared" si="99"/>
        <v>2</v>
      </c>
      <c r="AA184" s="1401">
        <f t="shared" si="100"/>
        <v>800000</v>
      </c>
      <c r="AB184" s="1401">
        <f t="shared" si="101"/>
        <v>400000</v>
      </c>
      <c r="AC184" s="1401">
        <f t="shared" si="102"/>
        <v>400000</v>
      </c>
      <c r="AD184" s="1401">
        <f t="shared" si="103"/>
        <v>400000</v>
      </c>
      <c r="AE184" s="1479">
        <f t="shared" si="104"/>
        <v>0</v>
      </c>
      <c r="AF184" s="1479">
        <f t="shared" si="105"/>
        <v>0</v>
      </c>
      <c r="AG184" s="1479">
        <f t="shared" si="110"/>
        <v>0</v>
      </c>
      <c r="AH184" s="1479">
        <f t="shared" si="106"/>
        <v>2000000</v>
      </c>
      <c r="AI184" s="1645">
        <f t="shared" si="107"/>
        <v>2012</v>
      </c>
      <c r="AJ184" s="1401">
        <f t="shared" si="108"/>
        <v>0</v>
      </c>
      <c r="AK184" s="1401"/>
    </row>
    <row r="185" spans="1:37" s="1390" customFormat="1" ht="37" customHeight="1" x14ac:dyDescent="0.2">
      <c r="A185" s="1710" t="str">
        <f t="shared" si="95"/>
        <v>02.06.01.04</v>
      </c>
      <c r="B185" s="1426">
        <v>96</v>
      </c>
      <c r="C185" s="1414" t="s">
        <v>2324</v>
      </c>
      <c r="D185" s="1414" t="s">
        <v>950</v>
      </c>
      <c r="E185" s="1652" t="s">
        <v>264</v>
      </c>
      <c r="F185" s="1653" t="s">
        <v>262</v>
      </c>
      <c r="G185" s="1414"/>
      <c r="H185" s="1455" t="s">
        <v>191</v>
      </c>
      <c r="I185" s="1501">
        <v>2012</v>
      </c>
      <c r="J185" s="1414"/>
      <c r="K185" s="1653"/>
      <c r="L185" s="1414"/>
      <c r="M185" s="1414"/>
      <c r="N185" s="1414"/>
      <c r="O185" s="1501" t="s">
        <v>12</v>
      </c>
      <c r="P185" s="1704">
        <v>2000000</v>
      </c>
      <c r="Q185" s="1598" t="s">
        <v>43</v>
      </c>
      <c r="V185" s="1477" t="str">
        <f t="shared" si="109"/>
        <v>02.06.01</v>
      </c>
      <c r="W185" s="1478" t="str">
        <f t="shared" si="96"/>
        <v>Alat Kantor</v>
      </c>
      <c r="X185" s="1478">
        <f t="shared" si="97"/>
        <v>5</v>
      </c>
      <c r="Y185" s="1401">
        <f t="shared" si="98"/>
        <v>400000</v>
      </c>
      <c r="Z185" s="1444">
        <f t="shared" si="99"/>
        <v>2</v>
      </c>
      <c r="AA185" s="1401">
        <f t="shared" si="100"/>
        <v>800000</v>
      </c>
      <c r="AB185" s="1401">
        <f t="shared" si="101"/>
        <v>400000</v>
      </c>
      <c r="AC185" s="1401">
        <f t="shared" si="102"/>
        <v>400000</v>
      </c>
      <c r="AD185" s="1401">
        <f t="shared" si="103"/>
        <v>400000</v>
      </c>
      <c r="AE185" s="1479">
        <f t="shared" si="104"/>
        <v>0</v>
      </c>
      <c r="AF185" s="1479">
        <f t="shared" si="105"/>
        <v>0</v>
      </c>
      <c r="AG185" s="1479">
        <f t="shared" si="110"/>
        <v>0</v>
      </c>
      <c r="AH185" s="1479">
        <f t="shared" si="106"/>
        <v>2000000</v>
      </c>
      <c r="AI185" s="1645">
        <f t="shared" si="107"/>
        <v>2012</v>
      </c>
      <c r="AJ185" s="1401">
        <f t="shared" si="108"/>
        <v>0</v>
      </c>
      <c r="AK185" s="1401"/>
    </row>
    <row r="186" spans="1:37" s="1390" customFormat="1" ht="37" customHeight="1" x14ac:dyDescent="0.2">
      <c r="A186" s="1710" t="str">
        <f t="shared" si="95"/>
        <v>02.06.01.04</v>
      </c>
      <c r="B186" s="1426">
        <v>97</v>
      </c>
      <c r="C186" s="1414" t="s">
        <v>2324</v>
      </c>
      <c r="D186" s="1414" t="s">
        <v>950</v>
      </c>
      <c r="E186" s="1652" t="s">
        <v>265</v>
      </c>
      <c r="F186" s="1653" t="s">
        <v>262</v>
      </c>
      <c r="G186" s="1414"/>
      <c r="H186" s="1455" t="s">
        <v>191</v>
      </c>
      <c r="I186" s="1501">
        <v>2012</v>
      </c>
      <c r="J186" s="1414"/>
      <c r="K186" s="1653"/>
      <c r="L186" s="1414"/>
      <c r="M186" s="1414"/>
      <c r="N186" s="1414"/>
      <c r="O186" s="1501" t="s">
        <v>12</v>
      </c>
      <c r="P186" s="1704">
        <v>2000000</v>
      </c>
      <c r="Q186" s="1598" t="s">
        <v>43</v>
      </c>
      <c r="V186" s="1477" t="str">
        <f t="shared" si="109"/>
        <v>02.06.01</v>
      </c>
      <c r="W186" s="1478" t="str">
        <f t="shared" ref="W186:W217" si="111">VLOOKUP(V186,UE,3)</f>
        <v>Alat Kantor</v>
      </c>
      <c r="X186" s="1478">
        <f t="shared" ref="X186:X217" si="112">VLOOKUP(V186,UE,4,FALSE)</f>
        <v>5</v>
      </c>
      <c r="Y186" s="1401">
        <f t="shared" ref="Y186:Y217" si="113">P186/X186</f>
        <v>400000</v>
      </c>
      <c r="Z186" s="1444">
        <f t="shared" ref="Z186:Z217" si="114">IF(2013-I186+1&gt;X186,X186,IF(2013-I186+1&lt;0,0,(2013-I186+1)))</f>
        <v>2</v>
      </c>
      <c r="AA186" s="1401">
        <f t="shared" ref="AA186:AA217" si="115">IF(Z186&gt;X186,P186,Y186*Z186)</f>
        <v>800000</v>
      </c>
      <c r="AB186" s="1401">
        <f t="shared" ref="AB186:AB217" si="116">IF(P186=AA186,0,Y186)</f>
        <v>400000</v>
      </c>
      <c r="AC186" s="1401">
        <f t="shared" ref="AC186:AC217" si="117">IF(P186=AA186+AB186,0,Y186)</f>
        <v>400000</v>
      </c>
      <c r="AD186" s="1401">
        <f t="shared" ref="AD186:AD217" si="118">IF(P186=AA186+AB186+AC186,0,Y186)</f>
        <v>400000</v>
      </c>
      <c r="AE186" s="1479">
        <f t="shared" ref="AE186:AE217" si="119">IF(P186=AA186+AB186+AC186+AD186,0,Y186)</f>
        <v>0</v>
      </c>
      <c r="AF186" s="1479">
        <f t="shared" ref="AF186:AF217" si="120">IF(P186=AA186+AB186+AC186+AD186+AE186,0,Y186)</f>
        <v>0</v>
      </c>
      <c r="AG186" s="1479">
        <f t="shared" si="110"/>
        <v>0</v>
      </c>
      <c r="AH186" s="1479">
        <f t="shared" si="106"/>
        <v>2000000</v>
      </c>
      <c r="AI186" s="1645">
        <f t="shared" ref="AI186:AI217" si="121">I186</f>
        <v>2012</v>
      </c>
      <c r="AJ186" s="1401">
        <f t="shared" ref="AJ186:AJ217" si="122">P186-AH186</f>
        <v>0</v>
      </c>
      <c r="AK186" s="1401"/>
    </row>
    <row r="187" spans="1:37" s="1390" customFormat="1" ht="37" customHeight="1" x14ac:dyDescent="0.2">
      <c r="A187" s="1710" t="str">
        <f t="shared" si="95"/>
        <v>02.06.01.04</v>
      </c>
      <c r="B187" s="1426">
        <v>98</v>
      </c>
      <c r="C187" s="1414" t="s">
        <v>2324</v>
      </c>
      <c r="D187" s="1414" t="s">
        <v>950</v>
      </c>
      <c r="E187" s="1652" t="s">
        <v>266</v>
      </c>
      <c r="F187" s="1653" t="s">
        <v>262</v>
      </c>
      <c r="G187" s="1414"/>
      <c r="H187" s="1455" t="s">
        <v>191</v>
      </c>
      <c r="I187" s="1501">
        <v>2012</v>
      </c>
      <c r="J187" s="1414"/>
      <c r="K187" s="1653"/>
      <c r="L187" s="1414"/>
      <c r="M187" s="1414"/>
      <c r="N187" s="1414"/>
      <c r="O187" s="1501" t="s">
        <v>12</v>
      </c>
      <c r="P187" s="1704">
        <v>2000000</v>
      </c>
      <c r="Q187" s="1598" t="s">
        <v>43</v>
      </c>
      <c r="V187" s="1477" t="str">
        <f t="shared" si="109"/>
        <v>02.06.01</v>
      </c>
      <c r="W187" s="1478" t="str">
        <f t="shared" si="111"/>
        <v>Alat Kantor</v>
      </c>
      <c r="X187" s="1478">
        <f t="shared" si="112"/>
        <v>5</v>
      </c>
      <c r="Y187" s="1401">
        <f t="shared" si="113"/>
        <v>400000</v>
      </c>
      <c r="Z187" s="1444">
        <f t="shared" si="114"/>
        <v>2</v>
      </c>
      <c r="AA187" s="1401">
        <f t="shared" si="115"/>
        <v>800000</v>
      </c>
      <c r="AB187" s="1401">
        <f t="shared" si="116"/>
        <v>400000</v>
      </c>
      <c r="AC187" s="1401">
        <f t="shared" si="117"/>
        <v>400000</v>
      </c>
      <c r="AD187" s="1401">
        <f t="shared" si="118"/>
        <v>400000</v>
      </c>
      <c r="AE187" s="1479">
        <f t="shared" si="119"/>
        <v>0</v>
      </c>
      <c r="AF187" s="1479">
        <f t="shared" si="120"/>
        <v>0</v>
      </c>
      <c r="AG187" s="1479">
        <f t="shared" si="110"/>
        <v>0</v>
      </c>
      <c r="AH187" s="1479">
        <f t="shared" si="106"/>
        <v>2000000</v>
      </c>
      <c r="AI187" s="1645">
        <f t="shared" si="121"/>
        <v>2012</v>
      </c>
      <c r="AJ187" s="1401">
        <f t="shared" si="122"/>
        <v>0</v>
      </c>
      <c r="AK187" s="1401"/>
    </row>
    <row r="188" spans="1:37" s="1390" customFormat="1" ht="37" customHeight="1" x14ac:dyDescent="0.2">
      <c r="A188" s="1710" t="str">
        <f t="shared" si="95"/>
        <v>02.06.04.07</v>
      </c>
      <c r="B188" s="1426">
        <v>99</v>
      </c>
      <c r="C188" s="1414" t="s">
        <v>2323</v>
      </c>
      <c r="D188" s="1414" t="s">
        <v>951</v>
      </c>
      <c r="E188" s="1652" t="s">
        <v>261</v>
      </c>
      <c r="F188" s="1653" t="s">
        <v>52</v>
      </c>
      <c r="G188" s="1414"/>
      <c r="H188" s="1455" t="s">
        <v>213</v>
      </c>
      <c r="I188" s="1501">
        <v>2012</v>
      </c>
      <c r="J188" s="1414"/>
      <c r="K188" s="1653"/>
      <c r="L188" s="1414"/>
      <c r="M188" s="1414"/>
      <c r="N188" s="1414"/>
      <c r="O188" s="1501" t="s">
        <v>12</v>
      </c>
      <c r="P188" s="1704">
        <v>2350000</v>
      </c>
      <c r="Q188" s="1598" t="s">
        <v>43</v>
      </c>
      <c r="V188" s="1477" t="str">
        <f t="shared" si="109"/>
        <v>02.06.04</v>
      </c>
      <c r="W188" s="1478" t="str">
        <f t="shared" si="111"/>
        <v>Meja Dan Kursi Kerja/Rapat Pejabat</v>
      </c>
      <c r="X188" s="1478">
        <f t="shared" si="112"/>
        <v>5</v>
      </c>
      <c r="Y188" s="1401">
        <f t="shared" si="113"/>
        <v>470000</v>
      </c>
      <c r="Z188" s="1444">
        <f t="shared" si="114"/>
        <v>2</v>
      </c>
      <c r="AA188" s="1401">
        <f t="shared" si="115"/>
        <v>940000</v>
      </c>
      <c r="AB188" s="1401">
        <f t="shared" si="116"/>
        <v>470000</v>
      </c>
      <c r="AC188" s="1401">
        <f t="shared" si="117"/>
        <v>470000</v>
      </c>
      <c r="AD188" s="1401">
        <f t="shared" si="118"/>
        <v>470000</v>
      </c>
      <c r="AE188" s="1479">
        <f t="shared" si="119"/>
        <v>0</v>
      </c>
      <c r="AF188" s="1479">
        <f t="shared" si="120"/>
        <v>0</v>
      </c>
      <c r="AG188" s="1479">
        <f t="shared" si="110"/>
        <v>0</v>
      </c>
      <c r="AH188" s="1479">
        <f t="shared" si="106"/>
        <v>2350000</v>
      </c>
      <c r="AI188" s="1645">
        <f t="shared" si="121"/>
        <v>2012</v>
      </c>
      <c r="AJ188" s="1401">
        <f t="shared" si="122"/>
        <v>0</v>
      </c>
      <c r="AK188" s="1401"/>
    </row>
    <row r="189" spans="1:37" s="1390" customFormat="1" ht="37" customHeight="1" x14ac:dyDescent="0.2">
      <c r="A189" s="1710" t="str">
        <f t="shared" si="95"/>
        <v>02.06.04.07</v>
      </c>
      <c r="B189" s="1426">
        <v>100</v>
      </c>
      <c r="C189" s="1414" t="s">
        <v>2323</v>
      </c>
      <c r="D189" s="1414" t="s">
        <v>951</v>
      </c>
      <c r="E189" s="1652" t="s">
        <v>263</v>
      </c>
      <c r="F189" s="1653" t="s">
        <v>52</v>
      </c>
      <c r="G189" s="1414"/>
      <c r="H189" s="1455" t="s">
        <v>213</v>
      </c>
      <c r="I189" s="1501">
        <v>2012</v>
      </c>
      <c r="J189" s="1414"/>
      <c r="K189" s="1653"/>
      <c r="L189" s="1414"/>
      <c r="M189" s="1414"/>
      <c r="N189" s="1414"/>
      <c r="O189" s="1501" t="s">
        <v>12</v>
      </c>
      <c r="P189" s="1704">
        <v>2350000</v>
      </c>
      <c r="Q189" s="1598" t="s">
        <v>43</v>
      </c>
      <c r="V189" s="1477" t="str">
        <f t="shared" si="109"/>
        <v>02.06.04</v>
      </c>
      <c r="W189" s="1478" t="str">
        <f t="shared" si="111"/>
        <v>Meja Dan Kursi Kerja/Rapat Pejabat</v>
      </c>
      <c r="X189" s="1478">
        <f t="shared" si="112"/>
        <v>5</v>
      </c>
      <c r="Y189" s="1401">
        <f t="shared" si="113"/>
        <v>470000</v>
      </c>
      <c r="Z189" s="1444">
        <f t="shared" si="114"/>
        <v>2</v>
      </c>
      <c r="AA189" s="1401">
        <f t="shared" si="115"/>
        <v>940000</v>
      </c>
      <c r="AB189" s="1401">
        <f t="shared" si="116"/>
        <v>470000</v>
      </c>
      <c r="AC189" s="1401">
        <f t="shared" si="117"/>
        <v>470000</v>
      </c>
      <c r="AD189" s="1401">
        <f t="shared" si="118"/>
        <v>470000</v>
      </c>
      <c r="AE189" s="1479">
        <f t="shared" si="119"/>
        <v>0</v>
      </c>
      <c r="AF189" s="1479">
        <f t="shared" si="120"/>
        <v>0</v>
      </c>
      <c r="AG189" s="1479">
        <f t="shared" si="110"/>
        <v>0</v>
      </c>
      <c r="AH189" s="1479">
        <f t="shared" si="106"/>
        <v>2350000</v>
      </c>
      <c r="AI189" s="1645">
        <f t="shared" si="121"/>
        <v>2012</v>
      </c>
      <c r="AJ189" s="1401">
        <f t="shared" si="122"/>
        <v>0</v>
      </c>
      <c r="AK189" s="1401"/>
    </row>
    <row r="190" spans="1:37" s="1390" customFormat="1" ht="37" customHeight="1" x14ac:dyDescent="0.2">
      <c r="A190" s="1710" t="str">
        <f t="shared" si="95"/>
        <v>02.06.04.07</v>
      </c>
      <c r="B190" s="1426">
        <v>101</v>
      </c>
      <c r="C190" s="1414" t="s">
        <v>2323</v>
      </c>
      <c r="D190" s="1414" t="s">
        <v>951</v>
      </c>
      <c r="E190" s="1652" t="s">
        <v>264</v>
      </c>
      <c r="F190" s="1653" t="s">
        <v>52</v>
      </c>
      <c r="G190" s="1414"/>
      <c r="H190" s="1455" t="s">
        <v>213</v>
      </c>
      <c r="I190" s="1501">
        <v>2012</v>
      </c>
      <c r="J190" s="1414"/>
      <c r="K190" s="1653"/>
      <c r="L190" s="1414"/>
      <c r="M190" s="1414"/>
      <c r="N190" s="1414"/>
      <c r="O190" s="1501" t="s">
        <v>12</v>
      </c>
      <c r="P190" s="1704">
        <v>2350000</v>
      </c>
      <c r="Q190" s="1598" t="s">
        <v>43</v>
      </c>
      <c r="V190" s="1477" t="str">
        <f t="shared" si="109"/>
        <v>02.06.04</v>
      </c>
      <c r="W190" s="1478" t="str">
        <f t="shared" si="111"/>
        <v>Meja Dan Kursi Kerja/Rapat Pejabat</v>
      </c>
      <c r="X190" s="1478">
        <f t="shared" si="112"/>
        <v>5</v>
      </c>
      <c r="Y190" s="1401">
        <f t="shared" si="113"/>
        <v>470000</v>
      </c>
      <c r="Z190" s="1444">
        <f t="shared" si="114"/>
        <v>2</v>
      </c>
      <c r="AA190" s="1401">
        <f t="shared" si="115"/>
        <v>940000</v>
      </c>
      <c r="AB190" s="1401">
        <f t="shared" si="116"/>
        <v>470000</v>
      </c>
      <c r="AC190" s="1401">
        <f t="shared" si="117"/>
        <v>470000</v>
      </c>
      <c r="AD190" s="1401">
        <f t="shared" si="118"/>
        <v>470000</v>
      </c>
      <c r="AE190" s="1479">
        <f t="shared" si="119"/>
        <v>0</v>
      </c>
      <c r="AF190" s="1479">
        <f t="shared" si="120"/>
        <v>0</v>
      </c>
      <c r="AG190" s="1479">
        <f t="shared" si="110"/>
        <v>0</v>
      </c>
      <c r="AH190" s="1479">
        <f t="shared" si="106"/>
        <v>2350000</v>
      </c>
      <c r="AI190" s="1645">
        <f t="shared" si="121"/>
        <v>2012</v>
      </c>
      <c r="AJ190" s="1401">
        <f t="shared" si="122"/>
        <v>0</v>
      </c>
      <c r="AK190" s="1401"/>
    </row>
    <row r="191" spans="1:37" s="1390" customFormat="1" ht="37" customHeight="1" x14ac:dyDescent="0.2">
      <c r="A191" s="1710" t="str">
        <f t="shared" si="95"/>
        <v>02.06.04.07</v>
      </c>
      <c r="B191" s="1426">
        <v>102</v>
      </c>
      <c r="C191" s="1414" t="s">
        <v>2323</v>
      </c>
      <c r="D191" s="1414" t="s">
        <v>951</v>
      </c>
      <c r="E191" s="1652" t="s">
        <v>265</v>
      </c>
      <c r="F191" s="1653" t="s">
        <v>52</v>
      </c>
      <c r="G191" s="1414"/>
      <c r="H191" s="1455" t="s">
        <v>213</v>
      </c>
      <c r="I191" s="1501">
        <v>2012</v>
      </c>
      <c r="J191" s="1414"/>
      <c r="K191" s="1653"/>
      <c r="L191" s="1414"/>
      <c r="M191" s="1414"/>
      <c r="N191" s="1414"/>
      <c r="O191" s="1501" t="s">
        <v>12</v>
      </c>
      <c r="P191" s="1704">
        <v>2350000</v>
      </c>
      <c r="Q191" s="1598" t="s">
        <v>43</v>
      </c>
      <c r="V191" s="1477" t="str">
        <f t="shared" si="109"/>
        <v>02.06.04</v>
      </c>
      <c r="W191" s="1478" t="str">
        <f t="shared" si="111"/>
        <v>Meja Dan Kursi Kerja/Rapat Pejabat</v>
      </c>
      <c r="X191" s="1478">
        <f t="shared" si="112"/>
        <v>5</v>
      </c>
      <c r="Y191" s="1401">
        <f t="shared" si="113"/>
        <v>470000</v>
      </c>
      <c r="Z191" s="1444">
        <f t="shared" si="114"/>
        <v>2</v>
      </c>
      <c r="AA191" s="1401">
        <f t="shared" si="115"/>
        <v>940000</v>
      </c>
      <c r="AB191" s="1401">
        <f t="shared" si="116"/>
        <v>470000</v>
      </c>
      <c r="AC191" s="1401">
        <f t="shared" si="117"/>
        <v>470000</v>
      </c>
      <c r="AD191" s="1401">
        <f t="shared" si="118"/>
        <v>470000</v>
      </c>
      <c r="AE191" s="1479">
        <f t="shared" si="119"/>
        <v>0</v>
      </c>
      <c r="AF191" s="1479">
        <f t="shared" si="120"/>
        <v>0</v>
      </c>
      <c r="AG191" s="1479">
        <f t="shared" si="110"/>
        <v>0</v>
      </c>
      <c r="AH191" s="1479">
        <f t="shared" si="106"/>
        <v>2350000</v>
      </c>
      <c r="AI191" s="1645">
        <f t="shared" si="121"/>
        <v>2012</v>
      </c>
      <c r="AJ191" s="1401">
        <f t="shared" si="122"/>
        <v>0</v>
      </c>
      <c r="AK191" s="1401"/>
    </row>
    <row r="192" spans="1:37" s="1390" customFormat="1" ht="37" customHeight="1" x14ac:dyDescent="0.2">
      <c r="A192" s="1710" t="str">
        <f t="shared" si="95"/>
        <v>02.06.04.07</v>
      </c>
      <c r="B192" s="1426">
        <v>103</v>
      </c>
      <c r="C192" s="1414" t="s">
        <v>2323</v>
      </c>
      <c r="D192" s="1414" t="s">
        <v>951</v>
      </c>
      <c r="E192" s="1652" t="s">
        <v>266</v>
      </c>
      <c r="F192" s="1653" t="s">
        <v>52</v>
      </c>
      <c r="G192" s="1414"/>
      <c r="H192" s="1455" t="s">
        <v>213</v>
      </c>
      <c r="I192" s="1501">
        <v>2012</v>
      </c>
      <c r="J192" s="1414"/>
      <c r="K192" s="1653"/>
      <c r="L192" s="1414"/>
      <c r="M192" s="1414"/>
      <c r="N192" s="1414"/>
      <c r="O192" s="1501" t="s">
        <v>12</v>
      </c>
      <c r="P192" s="1704">
        <v>2350000</v>
      </c>
      <c r="Q192" s="1598" t="s">
        <v>43</v>
      </c>
      <c r="V192" s="1477" t="str">
        <f t="shared" si="109"/>
        <v>02.06.04</v>
      </c>
      <c r="W192" s="1478" t="str">
        <f t="shared" si="111"/>
        <v>Meja Dan Kursi Kerja/Rapat Pejabat</v>
      </c>
      <c r="X192" s="1478">
        <f t="shared" si="112"/>
        <v>5</v>
      </c>
      <c r="Y192" s="1401">
        <f t="shared" si="113"/>
        <v>470000</v>
      </c>
      <c r="Z192" s="1444">
        <f t="shared" si="114"/>
        <v>2</v>
      </c>
      <c r="AA192" s="1401">
        <f t="shared" si="115"/>
        <v>940000</v>
      </c>
      <c r="AB192" s="1401">
        <f t="shared" si="116"/>
        <v>470000</v>
      </c>
      <c r="AC192" s="1401">
        <f t="shared" si="117"/>
        <v>470000</v>
      </c>
      <c r="AD192" s="1401">
        <f t="shared" si="118"/>
        <v>470000</v>
      </c>
      <c r="AE192" s="1479">
        <f t="shared" si="119"/>
        <v>0</v>
      </c>
      <c r="AF192" s="1479">
        <f t="shared" si="120"/>
        <v>0</v>
      </c>
      <c r="AG192" s="1479">
        <f t="shared" si="110"/>
        <v>0</v>
      </c>
      <c r="AH192" s="1479">
        <f t="shared" si="106"/>
        <v>2350000</v>
      </c>
      <c r="AI192" s="1645">
        <f t="shared" si="121"/>
        <v>2012</v>
      </c>
      <c r="AJ192" s="1401">
        <f t="shared" si="122"/>
        <v>0</v>
      </c>
      <c r="AK192" s="1401"/>
    </row>
    <row r="193" spans="1:37" s="1390" customFormat="1" ht="37" customHeight="1" x14ac:dyDescent="0.2">
      <c r="A193" s="1710" t="str">
        <f t="shared" si="95"/>
        <v>02.06.04.07</v>
      </c>
      <c r="B193" s="1426">
        <v>104</v>
      </c>
      <c r="C193" s="1414" t="s">
        <v>2323</v>
      </c>
      <c r="D193" s="1414" t="s">
        <v>951</v>
      </c>
      <c r="E193" s="1652" t="s">
        <v>267</v>
      </c>
      <c r="F193" s="1653" t="s">
        <v>52</v>
      </c>
      <c r="G193" s="1414"/>
      <c r="H193" s="1455" t="s">
        <v>213</v>
      </c>
      <c r="I193" s="1501">
        <v>2012</v>
      </c>
      <c r="J193" s="1414"/>
      <c r="K193" s="1653"/>
      <c r="L193" s="1414"/>
      <c r="M193" s="1414"/>
      <c r="N193" s="1414"/>
      <c r="O193" s="1501" t="s">
        <v>12</v>
      </c>
      <c r="P193" s="1704">
        <v>2350000</v>
      </c>
      <c r="Q193" s="1598" t="s">
        <v>43</v>
      </c>
      <c r="V193" s="1477" t="str">
        <f t="shared" si="109"/>
        <v>02.06.04</v>
      </c>
      <c r="W193" s="1478" t="str">
        <f t="shared" si="111"/>
        <v>Meja Dan Kursi Kerja/Rapat Pejabat</v>
      </c>
      <c r="X193" s="1478">
        <f t="shared" si="112"/>
        <v>5</v>
      </c>
      <c r="Y193" s="1401">
        <f t="shared" si="113"/>
        <v>470000</v>
      </c>
      <c r="Z193" s="1444">
        <f t="shared" si="114"/>
        <v>2</v>
      </c>
      <c r="AA193" s="1401">
        <f t="shared" si="115"/>
        <v>940000</v>
      </c>
      <c r="AB193" s="1401">
        <f t="shared" si="116"/>
        <v>470000</v>
      </c>
      <c r="AC193" s="1401">
        <f t="shared" si="117"/>
        <v>470000</v>
      </c>
      <c r="AD193" s="1401">
        <f t="shared" si="118"/>
        <v>470000</v>
      </c>
      <c r="AE193" s="1479">
        <f t="shared" si="119"/>
        <v>0</v>
      </c>
      <c r="AF193" s="1479">
        <f t="shared" si="120"/>
        <v>0</v>
      </c>
      <c r="AG193" s="1479">
        <f t="shared" si="110"/>
        <v>0</v>
      </c>
      <c r="AH193" s="1479">
        <f t="shared" si="106"/>
        <v>2350000</v>
      </c>
      <c r="AI193" s="1645">
        <f t="shared" si="121"/>
        <v>2012</v>
      </c>
      <c r="AJ193" s="1401">
        <f t="shared" si="122"/>
        <v>0</v>
      </c>
      <c r="AK193" s="1401"/>
    </row>
    <row r="194" spans="1:37" s="1390" customFormat="1" ht="37" customHeight="1" x14ac:dyDescent="0.2">
      <c r="A194" s="1710" t="str">
        <f t="shared" si="95"/>
        <v>02.06.04.07</v>
      </c>
      <c r="B194" s="1426">
        <v>105</v>
      </c>
      <c r="C194" s="1414" t="s">
        <v>2323</v>
      </c>
      <c r="D194" s="1414" t="s">
        <v>951</v>
      </c>
      <c r="E194" s="1652" t="s">
        <v>268</v>
      </c>
      <c r="F194" s="1653" t="s">
        <v>52</v>
      </c>
      <c r="G194" s="1414"/>
      <c r="H194" s="1455" t="s">
        <v>213</v>
      </c>
      <c r="I194" s="1501">
        <v>2012</v>
      </c>
      <c r="J194" s="1414"/>
      <c r="K194" s="1653"/>
      <c r="L194" s="1414"/>
      <c r="M194" s="1414"/>
      <c r="N194" s="1414"/>
      <c r="O194" s="1501" t="s">
        <v>12</v>
      </c>
      <c r="P194" s="1704">
        <v>2350000</v>
      </c>
      <c r="Q194" s="1598" t="s">
        <v>43</v>
      </c>
      <c r="V194" s="1477" t="str">
        <f t="shared" si="109"/>
        <v>02.06.04</v>
      </c>
      <c r="W194" s="1478" t="str">
        <f t="shared" si="111"/>
        <v>Meja Dan Kursi Kerja/Rapat Pejabat</v>
      </c>
      <c r="X194" s="1478">
        <f t="shared" si="112"/>
        <v>5</v>
      </c>
      <c r="Y194" s="1401">
        <f t="shared" si="113"/>
        <v>470000</v>
      </c>
      <c r="Z194" s="1444">
        <f t="shared" si="114"/>
        <v>2</v>
      </c>
      <c r="AA194" s="1401">
        <f t="shared" si="115"/>
        <v>940000</v>
      </c>
      <c r="AB194" s="1401">
        <f t="shared" si="116"/>
        <v>470000</v>
      </c>
      <c r="AC194" s="1401">
        <f t="shared" si="117"/>
        <v>470000</v>
      </c>
      <c r="AD194" s="1401">
        <f t="shared" si="118"/>
        <v>470000</v>
      </c>
      <c r="AE194" s="1479">
        <f t="shared" si="119"/>
        <v>0</v>
      </c>
      <c r="AF194" s="1479">
        <f t="shared" si="120"/>
        <v>0</v>
      </c>
      <c r="AG194" s="1479">
        <f t="shared" si="110"/>
        <v>0</v>
      </c>
      <c r="AH194" s="1479">
        <f t="shared" si="106"/>
        <v>2350000</v>
      </c>
      <c r="AI194" s="1645">
        <f t="shared" si="121"/>
        <v>2012</v>
      </c>
      <c r="AJ194" s="1401">
        <f t="shared" si="122"/>
        <v>0</v>
      </c>
      <c r="AK194" s="1401"/>
    </row>
    <row r="195" spans="1:37" s="1390" customFormat="1" ht="37" customHeight="1" x14ac:dyDescent="0.2">
      <c r="A195" s="1710" t="str">
        <f t="shared" si="95"/>
        <v>02.06.04.07</v>
      </c>
      <c r="B195" s="1426">
        <v>106</v>
      </c>
      <c r="C195" s="1414" t="s">
        <v>2323</v>
      </c>
      <c r="D195" s="1414" t="s">
        <v>951</v>
      </c>
      <c r="E195" s="1652" t="s">
        <v>269</v>
      </c>
      <c r="F195" s="1653" t="s">
        <v>52</v>
      </c>
      <c r="G195" s="1414"/>
      <c r="H195" s="1455" t="s">
        <v>213</v>
      </c>
      <c r="I195" s="1501">
        <v>2012</v>
      </c>
      <c r="J195" s="1414"/>
      <c r="K195" s="1653"/>
      <c r="L195" s="1414"/>
      <c r="M195" s="1414"/>
      <c r="N195" s="1414"/>
      <c r="O195" s="1501" t="s">
        <v>12</v>
      </c>
      <c r="P195" s="1704">
        <v>2350000</v>
      </c>
      <c r="Q195" s="1598" t="s">
        <v>43</v>
      </c>
      <c r="V195" s="1477" t="str">
        <f t="shared" si="109"/>
        <v>02.06.04</v>
      </c>
      <c r="W195" s="1478" t="str">
        <f t="shared" si="111"/>
        <v>Meja Dan Kursi Kerja/Rapat Pejabat</v>
      </c>
      <c r="X195" s="1478">
        <f t="shared" si="112"/>
        <v>5</v>
      </c>
      <c r="Y195" s="1401">
        <f t="shared" si="113"/>
        <v>470000</v>
      </c>
      <c r="Z195" s="1444">
        <f t="shared" si="114"/>
        <v>2</v>
      </c>
      <c r="AA195" s="1401">
        <f t="shared" si="115"/>
        <v>940000</v>
      </c>
      <c r="AB195" s="1401">
        <f t="shared" si="116"/>
        <v>470000</v>
      </c>
      <c r="AC195" s="1401">
        <f t="shared" si="117"/>
        <v>470000</v>
      </c>
      <c r="AD195" s="1401">
        <f t="shared" si="118"/>
        <v>470000</v>
      </c>
      <c r="AE195" s="1479">
        <f t="shared" si="119"/>
        <v>0</v>
      </c>
      <c r="AF195" s="1479">
        <f t="shared" si="120"/>
        <v>0</v>
      </c>
      <c r="AG195" s="1479">
        <f t="shared" si="110"/>
        <v>0</v>
      </c>
      <c r="AH195" s="1479">
        <f t="shared" si="106"/>
        <v>2350000</v>
      </c>
      <c r="AI195" s="1645">
        <f t="shared" si="121"/>
        <v>2012</v>
      </c>
      <c r="AJ195" s="1401">
        <f t="shared" si="122"/>
        <v>0</v>
      </c>
      <c r="AK195" s="1401"/>
    </row>
    <row r="196" spans="1:37" s="1390" customFormat="1" ht="37" customHeight="1" x14ac:dyDescent="0.2">
      <c r="A196" s="1710" t="str">
        <f t="shared" si="95"/>
        <v>02.06.04.07</v>
      </c>
      <c r="B196" s="1426">
        <v>107</v>
      </c>
      <c r="C196" s="1414" t="s">
        <v>2323</v>
      </c>
      <c r="D196" s="1414" t="s">
        <v>952</v>
      </c>
      <c r="E196" s="1416" t="s">
        <v>261</v>
      </c>
      <c r="F196" s="1653" t="s">
        <v>52</v>
      </c>
      <c r="G196" s="1414"/>
      <c r="H196" s="1455" t="s">
        <v>213</v>
      </c>
      <c r="I196" s="1501">
        <v>2012</v>
      </c>
      <c r="J196" s="1414"/>
      <c r="K196" s="1653"/>
      <c r="L196" s="1414"/>
      <c r="M196" s="1414"/>
      <c r="N196" s="1414"/>
      <c r="O196" s="1501" t="s">
        <v>12</v>
      </c>
      <c r="P196" s="1704">
        <v>4800000</v>
      </c>
      <c r="Q196" s="1598" t="s">
        <v>43</v>
      </c>
      <c r="V196" s="1477" t="str">
        <f t="shared" si="109"/>
        <v>02.06.04</v>
      </c>
      <c r="W196" s="1478" t="str">
        <f t="shared" si="111"/>
        <v>Meja Dan Kursi Kerja/Rapat Pejabat</v>
      </c>
      <c r="X196" s="1478">
        <f t="shared" si="112"/>
        <v>5</v>
      </c>
      <c r="Y196" s="1401">
        <f t="shared" si="113"/>
        <v>960000</v>
      </c>
      <c r="Z196" s="1444">
        <f t="shared" si="114"/>
        <v>2</v>
      </c>
      <c r="AA196" s="1401">
        <f t="shared" si="115"/>
        <v>1920000</v>
      </c>
      <c r="AB196" s="1401">
        <f t="shared" si="116"/>
        <v>960000</v>
      </c>
      <c r="AC196" s="1401">
        <f t="shared" si="117"/>
        <v>960000</v>
      </c>
      <c r="AD196" s="1401">
        <f t="shared" si="118"/>
        <v>960000</v>
      </c>
      <c r="AE196" s="1479">
        <f t="shared" si="119"/>
        <v>0</v>
      </c>
      <c r="AF196" s="1479">
        <f t="shared" si="120"/>
        <v>0</v>
      </c>
      <c r="AG196" s="1479">
        <f t="shared" si="110"/>
        <v>0</v>
      </c>
      <c r="AH196" s="1479">
        <f t="shared" si="106"/>
        <v>4800000</v>
      </c>
      <c r="AI196" s="1645">
        <f t="shared" si="121"/>
        <v>2012</v>
      </c>
      <c r="AJ196" s="1401">
        <f t="shared" si="122"/>
        <v>0</v>
      </c>
      <c r="AK196" s="1401"/>
    </row>
    <row r="197" spans="1:37" s="1390" customFormat="1" ht="37" customHeight="1" x14ac:dyDescent="0.2">
      <c r="A197" s="1710" t="str">
        <f t="shared" si="95"/>
        <v>02.06.04.01</v>
      </c>
      <c r="B197" s="1426">
        <v>108</v>
      </c>
      <c r="C197" s="1414" t="s">
        <v>288</v>
      </c>
      <c r="D197" s="1414" t="s">
        <v>953</v>
      </c>
      <c r="E197" s="1416" t="s">
        <v>270</v>
      </c>
      <c r="F197" s="1653" t="s">
        <v>52</v>
      </c>
      <c r="G197" s="1414"/>
      <c r="H197" s="1455" t="s">
        <v>213</v>
      </c>
      <c r="I197" s="1501">
        <v>2012</v>
      </c>
      <c r="J197" s="1414"/>
      <c r="K197" s="1653"/>
      <c r="L197" s="1414"/>
      <c r="M197" s="1414"/>
      <c r="N197" s="1414"/>
      <c r="O197" s="1501" t="s">
        <v>12</v>
      </c>
      <c r="P197" s="1704">
        <v>9600000</v>
      </c>
      <c r="Q197" s="1598" t="s">
        <v>43</v>
      </c>
      <c r="U197" s="1397">
        <f>P197/2</f>
        <v>4800000</v>
      </c>
      <c r="V197" s="1477" t="str">
        <f t="shared" si="109"/>
        <v>02.06.04</v>
      </c>
      <c r="W197" s="1478" t="str">
        <f t="shared" si="111"/>
        <v>Meja Dan Kursi Kerja/Rapat Pejabat</v>
      </c>
      <c r="X197" s="1478">
        <f t="shared" si="112"/>
        <v>5</v>
      </c>
      <c r="Y197" s="1401">
        <f t="shared" si="113"/>
        <v>1920000</v>
      </c>
      <c r="Z197" s="1444">
        <f t="shared" si="114"/>
        <v>2</v>
      </c>
      <c r="AA197" s="1401">
        <f t="shared" si="115"/>
        <v>3840000</v>
      </c>
      <c r="AB197" s="1401">
        <f t="shared" si="116"/>
        <v>1920000</v>
      </c>
      <c r="AC197" s="1401">
        <f t="shared" si="117"/>
        <v>1920000</v>
      </c>
      <c r="AD197" s="1401">
        <f t="shared" si="118"/>
        <v>1920000</v>
      </c>
      <c r="AE197" s="1479">
        <f t="shared" si="119"/>
        <v>0</v>
      </c>
      <c r="AF197" s="1479">
        <f t="shared" si="120"/>
        <v>0</v>
      </c>
      <c r="AG197" s="1479">
        <f t="shared" si="110"/>
        <v>0</v>
      </c>
      <c r="AH197" s="1479">
        <f t="shared" si="106"/>
        <v>9600000</v>
      </c>
      <c r="AI197" s="1645">
        <f t="shared" si="121"/>
        <v>2012</v>
      </c>
      <c r="AJ197" s="1401">
        <f t="shared" si="122"/>
        <v>0</v>
      </c>
      <c r="AK197" s="1401"/>
    </row>
    <row r="198" spans="1:37" s="1390" customFormat="1" ht="37" customHeight="1" x14ac:dyDescent="0.2">
      <c r="A198" s="1710" t="str">
        <f t="shared" si="95"/>
        <v>02.06.04.01</v>
      </c>
      <c r="B198" s="1426">
        <v>109</v>
      </c>
      <c r="C198" s="1414" t="s">
        <v>2326</v>
      </c>
      <c r="D198" s="1414" t="s">
        <v>954</v>
      </c>
      <c r="E198" s="1652" t="s">
        <v>261</v>
      </c>
      <c r="F198" s="1653" t="s">
        <v>52</v>
      </c>
      <c r="G198" s="1414"/>
      <c r="H198" s="1455" t="s">
        <v>213</v>
      </c>
      <c r="I198" s="1501">
        <v>2012</v>
      </c>
      <c r="J198" s="1414"/>
      <c r="K198" s="1653"/>
      <c r="L198" s="1414"/>
      <c r="M198" s="1414"/>
      <c r="N198" s="1414"/>
      <c r="O198" s="1501" t="s">
        <v>12</v>
      </c>
      <c r="P198" s="1704">
        <v>1250000</v>
      </c>
      <c r="Q198" s="1598" t="s">
        <v>43</v>
      </c>
      <c r="V198" s="1477" t="str">
        <f t="shared" si="109"/>
        <v>02.06.04</v>
      </c>
      <c r="W198" s="1478" t="str">
        <f t="shared" si="111"/>
        <v>Meja Dan Kursi Kerja/Rapat Pejabat</v>
      </c>
      <c r="X198" s="1478">
        <f t="shared" si="112"/>
        <v>5</v>
      </c>
      <c r="Y198" s="1401">
        <f t="shared" si="113"/>
        <v>250000</v>
      </c>
      <c r="Z198" s="1444">
        <f t="shared" si="114"/>
        <v>2</v>
      </c>
      <c r="AA198" s="1401">
        <f t="shared" si="115"/>
        <v>500000</v>
      </c>
      <c r="AB198" s="1401">
        <f t="shared" si="116"/>
        <v>250000</v>
      </c>
      <c r="AC198" s="1401">
        <f t="shared" si="117"/>
        <v>250000</v>
      </c>
      <c r="AD198" s="1401">
        <f t="shared" si="118"/>
        <v>250000</v>
      </c>
      <c r="AE198" s="1479">
        <f t="shared" si="119"/>
        <v>0</v>
      </c>
      <c r="AF198" s="1479">
        <f t="shared" si="120"/>
        <v>0</v>
      </c>
      <c r="AG198" s="1479">
        <f t="shared" si="110"/>
        <v>0</v>
      </c>
      <c r="AH198" s="1479">
        <f t="shared" si="106"/>
        <v>1250000</v>
      </c>
      <c r="AI198" s="1645">
        <f t="shared" si="121"/>
        <v>2012</v>
      </c>
      <c r="AJ198" s="1401">
        <f t="shared" si="122"/>
        <v>0</v>
      </c>
      <c r="AK198" s="1401"/>
    </row>
    <row r="199" spans="1:37" s="1390" customFormat="1" ht="37" customHeight="1" x14ac:dyDescent="0.2">
      <c r="A199" s="1710" t="str">
        <f t="shared" si="95"/>
        <v>02.06.04.01</v>
      </c>
      <c r="B199" s="1426">
        <v>110</v>
      </c>
      <c r="C199" s="1414" t="s">
        <v>2326</v>
      </c>
      <c r="D199" s="1414" t="s">
        <v>954</v>
      </c>
      <c r="E199" s="1652" t="s">
        <v>263</v>
      </c>
      <c r="F199" s="1653" t="s">
        <v>52</v>
      </c>
      <c r="G199" s="1414"/>
      <c r="H199" s="1455" t="s">
        <v>213</v>
      </c>
      <c r="I199" s="1501">
        <v>2012</v>
      </c>
      <c r="J199" s="1414"/>
      <c r="K199" s="1653"/>
      <c r="L199" s="1414"/>
      <c r="M199" s="1414"/>
      <c r="N199" s="1414"/>
      <c r="O199" s="1501" t="s">
        <v>12</v>
      </c>
      <c r="P199" s="1704">
        <v>1250000</v>
      </c>
      <c r="Q199" s="1598" t="s">
        <v>43</v>
      </c>
      <c r="V199" s="1477" t="str">
        <f t="shared" si="109"/>
        <v>02.06.04</v>
      </c>
      <c r="W199" s="1478" t="str">
        <f t="shared" si="111"/>
        <v>Meja Dan Kursi Kerja/Rapat Pejabat</v>
      </c>
      <c r="X199" s="1478">
        <f t="shared" si="112"/>
        <v>5</v>
      </c>
      <c r="Y199" s="1401">
        <f t="shared" si="113"/>
        <v>250000</v>
      </c>
      <c r="Z199" s="1444">
        <f t="shared" si="114"/>
        <v>2</v>
      </c>
      <c r="AA199" s="1401">
        <f t="shared" si="115"/>
        <v>500000</v>
      </c>
      <c r="AB199" s="1401">
        <f t="shared" si="116"/>
        <v>250000</v>
      </c>
      <c r="AC199" s="1401">
        <f t="shared" si="117"/>
        <v>250000</v>
      </c>
      <c r="AD199" s="1401">
        <f t="shared" si="118"/>
        <v>250000</v>
      </c>
      <c r="AE199" s="1479">
        <f t="shared" si="119"/>
        <v>0</v>
      </c>
      <c r="AF199" s="1479">
        <f t="shared" si="120"/>
        <v>0</v>
      </c>
      <c r="AG199" s="1479">
        <f t="shared" si="110"/>
        <v>0</v>
      </c>
      <c r="AH199" s="1479">
        <f t="shared" si="106"/>
        <v>1250000</v>
      </c>
      <c r="AI199" s="1645">
        <f t="shared" si="121"/>
        <v>2012</v>
      </c>
      <c r="AJ199" s="1401">
        <f t="shared" si="122"/>
        <v>0</v>
      </c>
      <c r="AK199" s="1401"/>
    </row>
    <row r="200" spans="1:37" s="1390" customFormat="1" ht="37" customHeight="1" x14ac:dyDescent="0.2">
      <c r="A200" s="1710" t="str">
        <f t="shared" si="95"/>
        <v>02.06.04.01</v>
      </c>
      <c r="B200" s="1426">
        <v>111</v>
      </c>
      <c r="C200" s="1414" t="s">
        <v>2326</v>
      </c>
      <c r="D200" s="1414" t="s">
        <v>954</v>
      </c>
      <c r="E200" s="1652" t="s">
        <v>264</v>
      </c>
      <c r="F200" s="1653" t="s">
        <v>52</v>
      </c>
      <c r="G200" s="1414"/>
      <c r="H200" s="1455" t="s">
        <v>213</v>
      </c>
      <c r="I200" s="1501">
        <v>2012</v>
      </c>
      <c r="J200" s="1414"/>
      <c r="K200" s="1653"/>
      <c r="L200" s="1414"/>
      <c r="M200" s="1414"/>
      <c r="N200" s="1414"/>
      <c r="O200" s="1501" t="s">
        <v>12</v>
      </c>
      <c r="P200" s="1704">
        <v>1250000</v>
      </c>
      <c r="Q200" s="1598" t="s">
        <v>43</v>
      </c>
      <c r="V200" s="1477" t="str">
        <f t="shared" si="109"/>
        <v>02.06.04</v>
      </c>
      <c r="W200" s="1478" t="str">
        <f t="shared" si="111"/>
        <v>Meja Dan Kursi Kerja/Rapat Pejabat</v>
      </c>
      <c r="X200" s="1478">
        <f t="shared" si="112"/>
        <v>5</v>
      </c>
      <c r="Y200" s="1401">
        <f t="shared" si="113"/>
        <v>250000</v>
      </c>
      <c r="Z200" s="1444">
        <f t="shared" si="114"/>
        <v>2</v>
      </c>
      <c r="AA200" s="1401">
        <f t="shared" si="115"/>
        <v>500000</v>
      </c>
      <c r="AB200" s="1401">
        <f t="shared" si="116"/>
        <v>250000</v>
      </c>
      <c r="AC200" s="1401">
        <f t="shared" si="117"/>
        <v>250000</v>
      </c>
      <c r="AD200" s="1401">
        <f t="shared" si="118"/>
        <v>250000</v>
      </c>
      <c r="AE200" s="1479">
        <f t="shared" si="119"/>
        <v>0</v>
      </c>
      <c r="AF200" s="1479">
        <f t="shared" si="120"/>
        <v>0</v>
      </c>
      <c r="AG200" s="1479">
        <f t="shared" si="110"/>
        <v>0</v>
      </c>
      <c r="AH200" s="1479">
        <f t="shared" si="106"/>
        <v>1250000</v>
      </c>
      <c r="AI200" s="1645">
        <f t="shared" si="121"/>
        <v>2012</v>
      </c>
      <c r="AJ200" s="1401">
        <f t="shared" si="122"/>
        <v>0</v>
      </c>
      <c r="AK200" s="1401"/>
    </row>
    <row r="201" spans="1:37" s="1390" customFormat="1" ht="37" customHeight="1" x14ac:dyDescent="0.2">
      <c r="A201" s="1710" t="str">
        <f t="shared" si="95"/>
        <v>02.06.04.01</v>
      </c>
      <c r="B201" s="1426">
        <v>112</v>
      </c>
      <c r="C201" s="1414" t="s">
        <v>2326</v>
      </c>
      <c r="D201" s="1414" t="s">
        <v>954</v>
      </c>
      <c r="E201" s="1652" t="s">
        <v>265</v>
      </c>
      <c r="F201" s="1653" t="s">
        <v>52</v>
      </c>
      <c r="G201" s="1414"/>
      <c r="H201" s="1455" t="s">
        <v>213</v>
      </c>
      <c r="I201" s="1501">
        <v>2012</v>
      </c>
      <c r="J201" s="1414"/>
      <c r="K201" s="1653"/>
      <c r="L201" s="1414"/>
      <c r="M201" s="1414"/>
      <c r="N201" s="1414"/>
      <c r="O201" s="1501" t="s">
        <v>12</v>
      </c>
      <c r="P201" s="1704">
        <v>1250000</v>
      </c>
      <c r="Q201" s="1598" t="s">
        <v>43</v>
      </c>
      <c r="V201" s="1477" t="str">
        <f t="shared" si="109"/>
        <v>02.06.04</v>
      </c>
      <c r="W201" s="1478" t="str">
        <f t="shared" si="111"/>
        <v>Meja Dan Kursi Kerja/Rapat Pejabat</v>
      </c>
      <c r="X201" s="1478">
        <f t="shared" si="112"/>
        <v>5</v>
      </c>
      <c r="Y201" s="1401">
        <f t="shared" si="113"/>
        <v>250000</v>
      </c>
      <c r="Z201" s="1444">
        <f t="shared" si="114"/>
        <v>2</v>
      </c>
      <c r="AA201" s="1401">
        <f t="shared" si="115"/>
        <v>500000</v>
      </c>
      <c r="AB201" s="1401">
        <f t="shared" si="116"/>
        <v>250000</v>
      </c>
      <c r="AC201" s="1401">
        <f t="shared" si="117"/>
        <v>250000</v>
      </c>
      <c r="AD201" s="1401">
        <f t="shared" si="118"/>
        <v>250000</v>
      </c>
      <c r="AE201" s="1479">
        <f t="shared" si="119"/>
        <v>0</v>
      </c>
      <c r="AF201" s="1479">
        <f t="shared" si="120"/>
        <v>0</v>
      </c>
      <c r="AG201" s="1479">
        <f t="shared" si="110"/>
        <v>0</v>
      </c>
      <c r="AH201" s="1479">
        <f t="shared" si="106"/>
        <v>1250000</v>
      </c>
      <c r="AI201" s="1645">
        <f t="shared" si="121"/>
        <v>2012</v>
      </c>
      <c r="AJ201" s="1401">
        <f t="shared" si="122"/>
        <v>0</v>
      </c>
      <c r="AK201" s="1401"/>
    </row>
    <row r="202" spans="1:37" s="1390" customFormat="1" ht="37" customHeight="1" x14ac:dyDescent="0.2">
      <c r="A202" s="1710" t="str">
        <f t="shared" si="95"/>
        <v>02.06.04.01</v>
      </c>
      <c r="B202" s="1426">
        <v>113</v>
      </c>
      <c r="C202" s="1414" t="s">
        <v>2326</v>
      </c>
      <c r="D202" s="1414" t="s">
        <v>954</v>
      </c>
      <c r="E202" s="1652" t="s">
        <v>266</v>
      </c>
      <c r="F202" s="1653" t="s">
        <v>52</v>
      </c>
      <c r="G202" s="1414"/>
      <c r="H202" s="1455" t="s">
        <v>213</v>
      </c>
      <c r="I202" s="1501">
        <v>2012</v>
      </c>
      <c r="J202" s="1414"/>
      <c r="K202" s="1653"/>
      <c r="L202" s="1414"/>
      <c r="M202" s="1414"/>
      <c r="N202" s="1414"/>
      <c r="O202" s="1501" t="s">
        <v>12</v>
      </c>
      <c r="P202" s="1704">
        <v>1250000</v>
      </c>
      <c r="Q202" s="1598" t="s">
        <v>43</v>
      </c>
      <c r="V202" s="1477" t="str">
        <f t="shared" si="109"/>
        <v>02.06.04</v>
      </c>
      <c r="W202" s="1478" t="str">
        <f t="shared" si="111"/>
        <v>Meja Dan Kursi Kerja/Rapat Pejabat</v>
      </c>
      <c r="X202" s="1478">
        <f t="shared" si="112"/>
        <v>5</v>
      </c>
      <c r="Y202" s="1401">
        <f t="shared" si="113"/>
        <v>250000</v>
      </c>
      <c r="Z202" s="1444">
        <f t="shared" si="114"/>
        <v>2</v>
      </c>
      <c r="AA202" s="1401">
        <f t="shared" si="115"/>
        <v>500000</v>
      </c>
      <c r="AB202" s="1401">
        <f t="shared" si="116"/>
        <v>250000</v>
      </c>
      <c r="AC202" s="1401">
        <f t="shared" si="117"/>
        <v>250000</v>
      </c>
      <c r="AD202" s="1401">
        <f t="shared" si="118"/>
        <v>250000</v>
      </c>
      <c r="AE202" s="1479">
        <f t="shared" si="119"/>
        <v>0</v>
      </c>
      <c r="AF202" s="1479">
        <f t="shared" si="120"/>
        <v>0</v>
      </c>
      <c r="AG202" s="1479">
        <f t="shared" si="110"/>
        <v>0</v>
      </c>
      <c r="AH202" s="1479">
        <f t="shared" si="106"/>
        <v>1250000</v>
      </c>
      <c r="AI202" s="1645">
        <f t="shared" si="121"/>
        <v>2012</v>
      </c>
      <c r="AJ202" s="1401">
        <f t="shared" si="122"/>
        <v>0</v>
      </c>
      <c r="AK202" s="1401"/>
    </row>
    <row r="203" spans="1:37" s="1390" customFormat="1" ht="37" customHeight="1" x14ac:dyDescent="0.2">
      <c r="A203" s="1710" t="str">
        <f t="shared" si="95"/>
        <v>02.06.04.03</v>
      </c>
      <c r="B203" s="1426">
        <v>114</v>
      </c>
      <c r="C203" s="1414" t="s">
        <v>292</v>
      </c>
      <c r="D203" s="1414" t="s">
        <v>955</v>
      </c>
      <c r="E203" s="1652" t="s">
        <v>261</v>
      </c>
      <c r="F203" s="1653" t="s">
        <v>52</v>
      </c>
      <c r="G203" s="1414"/>
      <c r="H203" s="1455" t="s">
        <v>1010</v>
      </c>
      <c r="I203" s="1501">
        <v>2012</v>
      </c>
      <c r="J203" s="1414"/>
      <c r="K203" s="1653"/>
      <c r="L203" s="1414"/>
      <c r="M203" s="1414"/>
      <c r="N203" s="1414"/>
      <c r="O203" s="1501" t="s">
        <v>12</v>
      </c>
      <c r="P203" s="1704">
        <v>2400000</v>
      </c>
      <c r="Q203" s="1598" t="s">
        <v>43</v>
      </c>
      <c r="V203" s="1477" t="str">
        <f t="shared" si="109"/>
        <v>02.06.04</v>
      </c>
      <c r="W203" s="1478" t="str">
        <f t="shared" si="111"/>
        <v>Meja Dan Kursi Kerja/Rapat Pejabat</v>
      </c>
      <c r="X203" s="1478">
        <f t="shared" si="112"/>
        <v>5</v>
      </c>
      <c r="Y203" s="1401">
        <f t="shared" si="113"/>
        <v>480000</v>
      </c>
      <c r="Z203" s="1444">
        <f t="shared" si="114"/>
        <v>2</v>
      </c>
      <c r="AA203" s="1401">
        <f t="shared" si="115"/>
        <v>960000</v>
      </c>
      <c r="AB203" s="1401">
        <f t="shared" si="116"/>
        <v>480000</v>
      </c>
      <c r="AC203" s="1401">
        <f t="shared" si="117"/>
        <v>480000</v>
      </c>
      <c r="AD203" s="1401">
        <f t="shared" si="118"/>
        <v>480000</v>
      </c>
      <c r="AE203" s="1479">
        <f t="shared" si="119"/>
        <v>0</v>
      </c>
      <c r="AF203" s="1479">
        <f t="shared" si="120"/>
        <v>0</v>
      </c>
      <c r="AG203" s="1479">
        <f t="shared" si="110"/>
        <v>0</v>
      </c>
      <c r="AH203" s="1479">
        <f t="shared" si="106"/>
        <v>2400000</v>
      </c>
      <c r="AI203" s="1645">
        <f t="shared" si="121"/>
        <v>2012</v>
      </c>
      <c r="AJ203" s="1401">
        <f t="shared" si="122"/>
        <v>0</v>
      </c>
      <c r="AK203" s="1401"/>
    </row>
    <row r="204" spans="1:37" s="1390" customFormat="1" ht="37" customHeight="1" x14ac:dyDescent="0.2">
      <c r="A204" s="1710" t="str">
        <f t="shared" si="95"/>
        <v>02.06.04.03</v>
      </c>
      <c r="B204" s="1426">
        <v>115</v>
      </c>
      <c r="C204" s="1414" t="s">
        <v>292</v>
      </c>
      <c r="D204" s="1414" t="s">
        <v>955</v>
      </c>
      <c r="E204" s="1652" t="s">
        <v>263</v>
      </c>
      <c r="F204" s="1653" t="s">
        <v>52</v>
      </c>
      <c r="G204" s="1414"/>
      <c r="H204" s="1455" t="s">
        <v>1010</v>
      </c>
      <c r="I204" s="1501">
        <v>2012</v>
      </c>
      <c r="J204" s="1414"/>
      <c r="K204" s="1653"/>
      <c r="L204" s="1414"/>
      <c r="M204" s="1414"/>
      <c r="N204" s="1414"/>
      <c r="O204" s="1501" t="s">
        <v>12</v>
      </c>
      <c r="P204" s="1704">
        <v>2400000</v>
      </c>
      <c r="Q204" s="1598" t="s">
        <v>43</v>
      </c>
      <c r="V204" s="1477" t="str">
        <f t="shared" si="109"/>
        <v>02.06.04</v>
      </c>
      <c r="W204" s="1478" t="str">
        <f t="shared" si="111"/>
        <v>Meja Dan Kursi Kerja/Rapat Pejabat</v>
      </c>
      <c r="X204" s="1478">
        <f t="shared" si="112"/>
        <v>5</v>
      </c>
      <c r="Y204" s="1401">
        <f t="shared" si="113"/>
        <v>480000</v>
      </c>
      <c r="Z204" s="1444">
        <f t="shared" si="114"/>
        <v>2</v>
      </c>
      <c r="AA204" s="1401">
        <f t="shared" si="115"/>
        <v>960000</v>
      </c>
      <c r="AB204" s="1401">
        <f t="shared" si="116"/>
        <v>480000</v>
      </c>
      <c r="AC204" s="1401">
        <f t="shared" si="117"/>
        <v>480000</v>
      </c>
      <c r="AD204" s="1401">
        <f t="shared" si="118"/>
        <v>480000</v>
      </c>
      <c r="AE204" s="1479">
        <f t="shared" si="119"/>
        <v>0</v>
      </c>
      <c r="AF204" s="1479">
        <f t="shared" si="120"/>
        <v>0</v>
      </c>
      <c r="AG204" s="1479">
        <f t="shared" si="110"/>
        <v>0</v>
      </c>
      <c r="AH204" s="1479">
        <f t="shared" si="106"/>
        <v>2400000</v>
      </c>
      <c r="AI204" s="1645">
        <f t="shared" si="121"/>
        <v>2012</v>
      </c>
      <c r="AJ204" s="1401">
        <f t="shared" si="122"/>
        <v>0</v>
      </c>
      <c r="AK204" s="1401"/>
    </row>
    <row r="205" spans="1:37" s="1390" customFormat="1" ht="37" customHeight="1" x14ac:dyDescent="0.2">
      <c r="A205" s="1710" t="str">
        <f t="shared" ref="A205:A267" si="123">LEFT(C205,11)</f>
        <v>02.06.04.03</v>
      </c>
      <c r="B205" s="1426">
        <v>116</v>
      </c>
      <c r="C205" s="1414" t="s">
        <v>292</v>
      </c>
      <c r="D205" s="1414" t="s">
        <v>955</v>
      </c>
      <c r="E205" s="1652" t="s">
        <v>263</v>
      </c>
      <c r="F205" s="1653" t="s">
        <v>52</v>
      </c>
      <c r="G205" s="1414"/>
      <c r="H205" s="1455" t="s">
        <v>1010</v>
      </c>
      <c r="I205" s="1501">
        <v>2012</v>
      </c>
      <c r="J205" s="1414"/>
      <c r="K205" s="1653"/>
      <c r="L205" s="1414"/>
      <c r="M205" s="1414"/>
      <c r="N205" s="1414"/>
      <c r="O205" s="1416"/>
      <c r="P205" s="1704">
        <v>2400000</v>
      </c>
      <c r="Q205" s="1598" t="s">
        <v>43</v>
      </c>
      <c r="V205" s="1477" t="str">
        <f t="shared" si="109"/>
        <v>02.06.04</v>
      </c>
      <c r="W205" s="1478" t="str">
        <f t="shared" si="111"/>
        <v>Meja Dan Kursi Kerja/Rapat Pejabat</v>
      </c>
      <c r="X205" s="1478">
        <f t="shared" si="112"/>
        <v>5</v>
      </c>
      <c r="Y205" s="1401">
        <f t="shared" si="113"/>
        <v>480000</v>
      </c>
      <c r="Z205" s="1444">
        <f t="shared" si="114"/>
        <v>2</v>
      </c>
      <c r="AA205" s="1401">
        <f t="shared" si="115"/>
        <v>960000</v>
      </c>
      <c r="AB205" s="1401">
        <f t="shared" si="116"/>
        <v>480000</v>
      </c>
      <c r="AC205" s="1401">
        <f t="shared" si="117"/>
        <v>480000</v>
      </c>
      <c r="AD205" s="1401">
        <f t="shared" si="118"/>
        <v>480000</v>
      </c>
      <c r="AE205" s="1479">
        <f t="shared" si="119"/>
        <v>0</v>
      </c>
      <c r="AF205" s="1479">
        <f t="shared" si="120"/>
        <v>0</v>
      </c>
      <c r="AG205" s="1479">
        <f t="shared" si="110"/>
        <v>0</v>
      </c>
      <c r="AH205" s="1479">
        <f t="shared" si="106"/>
        <v>2400000</v>
      </c>
      <c r="AI205" s="1645">
        <f t="shared" si="121"/>
        <v>2012</v>
      </c>
      <c r="AJ205" s="1401">
        <f t="shared" si="122"/>
        <v>0</v>
      </c>
      <c r="AK205" s="1401"/>
    </row>
    <row r="206" spans="1:37" s="1390" customFormat="1" ht="37" customHeight="1" x14ac:dyDescent="0.2">
      <c r="A206" s="1710" t="str">
        <f t="shared" si="123"/>
        <v>02.06.04.03</v>
      </c>
      <c r="B206" s="1426">
        <v>117</v>
      </c>
      <c r="C206" s="1414" t="s">
        <v>292</v>
      </c>
      <c r="D206" s="1414" t="s">
        <v>955</v>
      </c>
      <c r="E206" s="1652" t="s">
        <v>265</v>
      </c>
      <c r="F206" s="1653" t="s">
        <v>52</v>
      </c>
      <c r="G206" s="1414"/>
      <c r="H206" s="1455" t="s">
        <v>1010</v>
      </c>
      <c r="I206" s="1501">
        <v>2012</v>
      </c>
      <c r="J206" s="1414"/>
      <c r="K206" s="1653"/>
      <c r="L206" s="1414"/>
      <c r="M206" s="1414"/>
      <c r="N206" s="1414"/>
      <c r="O206" s="1416"/>
      <c r="P206" s="1704">
        <v>2400000</v>
      </c>
      <c r="Q206" s="1598" t="s">
        <v>43</v>
      </c>
      <c r="V206" s="1477" t="str">
        <f t="shared" si="109"/>
        <v>02.06.04</v>
      </c>
      <c r="W206" s="1478" t="str">
        <f t="shared" si="111"/>
        <v>Meja Dan Kursi Kerja/Rapat Pejabat</v>
      </c>
      <c r="X206" s="1478">
        <f t="shared" si="112"/>
        <v>5</v>
      </c>
      <c r="Y206" s="1401">
        <f t="shared" si="113"/>
        <v>480000</v>
      </c>
      <c r="Z206" s="1444">
        <f t="shared" si="114"/>
        <v>2</v>
      </c>
      <c r="AA206" s="1401">
        <f t="shared" si="115"/>
        <v>960000</v>
      </c>
      <c r="AB206" s="1401">
        <f t="shared" si="116"/>
        <v>480000</v>
      </c>
      <c r="AC206" s="1401">
        <f t="shared" si="117"/>
        <v>480000</v>
      </c>
      <c r="AD206" s="1401">
        <f t="shared" si="118"/>
        <v>480000</v>
      </c>
      <c r="AE206" s="1479">
        <f t="shared" si="119"/>
        <v>0</v>
      </c>
      <c r="AF206" s="1479">
        <f t="shared" si="120"/>
        <v>0</v>
      </c>
      <c r="AG206" s="1479">
        <f t="shared" si="110"/>
        <v>0</v>
      </c>
      <c r="AH206" s="1479">
        <f t="shared" si="106"/>
        <v>2400000</v>
      </c>
      <c r="AI206" s="1645">
        <f t="shared" si="121"/>
        <v>2012</v>
      </c>
      <c r="AJ206" s="1401">
        <f t="shared" si="122"/>
        <v>0</v>
      </c>
      <c r="AK206" s="1401"/>
    </row>
    <row r="207" spans="1:37" s="1390" customFormat="1" ht="37" customHeight="1" x14ac:dyDescent="0.2">
      <c r="A207" s="1710" t="str">
        <f t="shared" si="123"/>
        <v>02.06.04.03</v>
      </c>
      <c r="B207" s="1426">
        <v>118</v>
      </c>
      <c r="C207" s="1414" t="s">
        <v>292</v>
      </c>
      <c r="D207" s="1414" t="s">
        <v>955</v>
      </c>
      <c r="E207" s="1652" t="s">
        <v>266</v>
      </c>
      <c r="F207" s="1653" t="s">
        <v>52</v>
      </c>
      <c r="G207" s="1414"/>
      <c r="H207" s="1455" t="s">
        <v>1010</v>
      </c>
      <c r="I207" s="1501">
        <v>2012</v>
      </c>
      <c r="J207" s="1414"/>
      <c r="K207" s="1653"/>
      <c r="L207" s="1414"/>
      <c r="M207" s="1414"/>
      <c r="N207" s="1414"/>
      <c r="O207" s="1416"/>
      <c r="P207" s="1704">
        <v>2400000</v>
      </c>
      <c r="Q207" s="1598" t="s">
        <v>43</v>
      </c>
      <c r="V207" s="1477" t="str">
        <f t="shared" si="109"/>
        <v>02.06.04</v>
      </c>
      <c r="W207" s="1478" t="str">
        <f t="shared" si="111"/>
        <v>Meja Dan Kursi Kerja/Rapat Pejabat</v>
      </c>
      <c r="X207" s="1478">
        <f t="shared" si="112"/>
        <v>5</v>
      </c>
      <c r="Y207" s="1401">
        <f t="shared" si="113"/>
        <v>480000</v>
      </c>
      <c r="Z207" s="1444">
        <f t="shared" si="114"/>
        <v>2</v>
      </c>
      <c r="AA207" s="1401">
        <f t="shared" si="115"/>
        <v>960000</v>
      </c>
      <c r="AB207" s="1401">
        <f t="shared" si="116"/>
        <v>480000</v>
      </c>
      <c r="AC207" s="1401">
        <f t="shared" si="117"/>
        <v>480000</v>
      </c>
      <c r="AD207" s="1401">
        <f t="shared" si="118"/>
        <v>480000</v>
      </c>
      <c r="AE207" s="1479">
        <f t="shared" si="119"/>
        <v>0</v>
      </c>
      <c r="AF207" s="1479">
        <f t="shared" si="120"/>
        <v>0</v>
      </c>
      <c r="AG207" s="1479">
        <f t="shared" si="110"/>
        <v>0</v>
      </c>
      <c r="AH207" s="1479">
        <f t="shared" si="106"/>
        <v>2400000</v>
      </c>
      <c r="AI207" s="1645">
        <f t="shared" si="121"/>
        <v>2012</v>
      </c>
      <c r="AJ207" s="1401">
        <f t="shared" si="122"/>
        <v>0</v>
      </c>
      <c r="AK207" s="1401"/>
    </row>
    <row r="208" spans="1:37" s="1390" customFormat="1" ht="37" customHeight="1" x14ac:dyDescent="0.2">
      <c r="A208" s="1710" t="str">
        <f t="shared" si="123"/>
        <v>02.06.01.05</v>
      </c>
      <c r="B208" s="1426">
        <v>119</v>
      </c>
      <c r="C208" s="1414" t="s">
        <v>2329</v>
      </c>
      <c r="D208" s="1414" t="s">
        <v>5317</v>
      </c>
      <c r="E208" s="1416"/>
      <c r="F208" s="1653" t="s">
        <v>52</v>
      </c>
      <c r="G208" s="1414"/>
      <c r="H208" s="1455" t="s">
        <v>52</v>
      </c>
      <c r="I208" s="1416">
        <v>2013</v>
      </c>
      <c r="J208" s="1414"/>
      <c r="K208" s="1653"/>
      <c r="L208" s="1414"/>
      <c r="M208" s="1414"/>
      <c r="N208" s="1414"/>
      <c r="O208" s="1416" t="s">
        <v>12</v>
      </c>
      <c r="P208" s="1704">
        <v>100636739.93953978</v>
      </c>
      <c r="Q208" s="1598"/>
      <c r="V208" s="1477" t="str">
        <f t="shared" si="109"/>
        <v>02.06.01</v>
      </c>
      <c r="W208" s="1478" t="str">
        <f t="shared" si="111"/>
        <v>Alat Kantor</v>
      </c>
      <c r="X208" s="1478">
        <f t="shared" si="112"/>
        <v>5</v>
      </c>
      <c r="Y208" s="1401">
        <f t="shared" si="113"/>
        <v>20127347.987907954</v>
      </c>
      <c r="Z208" s="1444">
        <f t="shared" si="114"/>
        <v>1</v>
      </c>
      <c r="AA208" s="1401">
        <f t="shared" si="115"/>
        <v>20127347.987907954</v>
      </c>
      <c r="AB208" s="1401">
        <f t="shared" si="116"/>
        <v>20127347.987907954</v>
      </c>
      <c r="AC208" s="1401">
        <f t="shared" si="117"/>
        <v>20127347.987907954</v>
      </c>
      <c r="AD208" s="1401">
        <f t="shared" si="118"/>
        <v>20127347.987907954</v>
      </c>
      <c r="AE208" s="1479">
        <f t="shared" si="119"/>
        <v>20127347.987907954</v>
      </c>
      <c r="AF208" s="1479">
        <f t="shared" si="120"/>
        <v>0</v>
      </c>
      <c r="AG208" s="1479">
        <f t="shared" si="110"/>
        <v>0</v>
      </c>
      <c r="AH208" s="1479">
        <f t="shared" si="106"/>
        <v>100636739.93953976</v>
      </c>
      <c r="AI208" s="1645">
        <f t="shared" si="121"/>
        <v>2013</v>
      </c>
      <c r="AJ208" s="1401">
        <f t="shared" si="122"/>
        <v>0</v>
      </c>
      <c r="AK208" s="1401"/>
    </row>
    <row r="209" spans="1:37" s="1390" customFormat="1" ht="37" customHeight="1" x14ac:dyDescent="0.2">
      <c r="A209" s="1710" t="str">
        <f t="shared" si="123"/>
        <v>02.06.01.05</v>
      </c>
      <c r="B209" s="1426">
        <v>120</v>
      </c>
      <c r="C209" s="1414" t="s">
        <v>2329</v>
      </c>
      <c r="D209" s="1429" t="s">
        <v>5318</v>
      </c>
      <c r="E209" s="1416"/>
      <c r="F209" s="1653" t="s">
        <v>52</v>
      </c>
      <c r="G209" s="1414"/>
      <c r="H209" s="1455" t="s">
        <v>52</v>
      </c>
      <c r="I209" s="1416">
        <v>2013</v>
      </c>
      <c r="J209" s="1414"/>
      <c r="K209" s="1653"/>
      <c r="L209" s="1414"/>
      <c r="M209" s="1414"/>
      <c r="N209" s="1414"/>
      <c r="O209" s="1416" t="s">
        <v>12</v>
      </c>
      <c r="P209" s="1704">
        <v>151582855.59412351</v>
      </c>
      <c r="Q209" s="1598"/>
      <c r="V209" s="1477" t="str">
        <f t="shared" si="109"/>
        <v>02.06.01</v>
      </c>
      <c r="W209" s="1478" t="str">
        <f t="shared" si="111"/>
        <v>Alat Kantor</v>
      </c>
      <c r="X209" s="1478">
        <f t="shared" si="112"/>
        <v>5</v>
      </c>
      <c r="Y209" s="1401">
        <f t="shared" si="113"/>
        <v>30316571.118824702</v>
      </c>
      <c r="Z209" s="1444">
        <f t="shared" si="114"/>
        <v>1</v>
      </c>
      <c r="AA209" s="1401">
        <f t="shared" si="115"/>
        <v>30316571.118824702</v>
      </c>
      <c r="AB209" s="1401">
        <f t="shared" si="116"/>
        <v>30316571.118824702</v>
      </c>
      <c r="AC209" s="1401">
        <f t="shared" si="117"/>
        <v>30316571.118824702</v>
      </c>
      <c r="AD209" s="1401">
        <f t="shared" si="118"/>
        <v>30316571.118824702</v>
      </c>
      <c r="AE209" s="1479">
        <f t="shared" si="119"/>
        <v>30316571.118824702</v>
      </c>
      <c r="AF209" s="1479">
        <f t="shared" si="120"/>
        <v>0</v>
      </c>
      <c r="AG209" s="1479">
        <f t="shared" si="110"/>
        <v>0</v>
      </c>
      <c r="AH209" s="1479">
        <f t="shared" si="106"/>
        <v>151582855.59412351</v>
      </c>
      <c r="AI209" s="1645">
        <f t="shared" si="121"/>
        <v>2013</v>
      </c>
      <c r="AJ209" s="1401">
        <f t="shared" si="122"/>
        <v>0</v>
      </c>
      <c r="AK209" s="1401"/>
    </row>
    <row r="210" spans="1:37" s="1390" customFormat="1" ht="37" customHeight="1" x14ac:dyDescent="0.2">
      <c r="A210" s="1710" t="str">
        <f t="shared" si="123"/>
        <v>02.06.04.01</v>
      </c>
      <c r="B210" s="1426">
        <v>121</v>
      </c>
      <c r="C210" s="1414" t="s">
        <v>2326</v>
      </c>
      <c r="D210" s="1414" t="s">
        <v>958</v>
      </c>
      <c r="E210" s="1652" t="s">
        <v>271</v>
      </c>
      <c r="F210" s="1653" t="s">
        <v>52</v>
      </c>
      <c r="G210" s="1414"/>
      <c r="H210" s="1653" t="s">
        <v>238</v>
      </c>
      <c r="I210" s="1416">
        <v>2013</v>
      </c>
      <c r="J210" s="1414"/>
      <c r="K210" s="1653"/>
      <c r="L210" s="1414"/>
      <c r="M210" s="1414"/>
      <c r="N210" s="1414"/>
      <c r="O210" s="1416" t="s">
        <v>12</v>
      </c>
      <c r="P210" s="1704">
        <v>10964969.450101834</v>
      </c>
      <c r="Q210" s="1598"/>
      <c r="U210" s="1397">
        <f>P210/9</f>
        <v>1218329.9389002037</v>
      </c>
      <c r="V210" s="1477" t="str">
        <f t="shared" si="109"/>
        <v>02.06.04</v>
      </c>
      <c r="W210" s="1478" t="str">
        <f t="shared" si="111"/>
        <v>Meja Dan Kursi Kerja/Rapat Pejabat</v>
      </c>
      <c r="X210" s="1478">
        <f t="shared" si="112"/>
        <v>5</v>
      </c>
      <c r="Y210" s="1401">
        <f t="shared" si="113"/>
        <v>2192993.8900203668</v>
      </c>
      <c r="Z210" s="1444">
        <f t="shared" si="114"/>
        <v>1</v>
      </c>
      <c r="AA210" s="1401">
        <f t="shared" si="115"/>
        <v>2192993.8900203668</v>
      </c>
      <c r="AB210" s="1401">
        <f t="shared" si="116"/>
        <v>2192993.8900203668</v>
      </c>
      <c r="AC210" s="1401">
        <f t="shared" si="117"/>
        <v>2192993.8900203668</v>
      </c>
      <c r="AD210" s="1401">
        <f t="shared" si="118"/>
        <v>2192993.8900203668</v>
      </c>
      <c r="AE210" s="1479">
        <f t="shared" si="119"/>
        <v>2192993.8900203668</v>
      </c>
      <c r="AF210" s="1479">
        <f t="shared" si="120"/>
        <v>0</v>
      </c>
      <c r="AG210" s="1479">
        <f t="shared" si="110"/>
        <v>0</v>
      </c>
      <c r="AH210" s="1479">
        <f t="shared" si="106"/>
        <v>10964969.450101834</v>
      </c>
      <c r="AI210" s="1645">
        <f t="shared" si="121"/>
        <v>2013</v>
      </c>
      <c r="AJ210" s="1401">
        <f t="shared" si="122"/>
        <v>0</v>
      </c>
      <c r="AK210" s="1401"/>
    </row>
    <row r="211" spans="1:37" s="1390" customFormat="1" ht="37" customHeight="1" x14ac:dyDescent="0.2">
      <c r="A211" s="1710" t="str">
        <f t="shared" si="123"/>
        <v>02.06.02.01</v>
      </c>
      <c r="B211" s="1426">
        <v>122</v>
      </c>
      <c r="C211" s="1414" t="s">
        <v>5758</v>
      </c>
      <c r="D211" s="1414" t="s">
        <v>959</v>
      </c>
      <c r="E211" s="1652" t="s">
        <v>271</v>
      </c>
      <c r="F211" s="1653" t="s">
        <v>52</v>
      </c>
      <c r="G211" s="1414"/>
      <c r="H211" s="1653" t="s">
        <v>238</v>
      </c>
      <c r="I211" s="1416">
        <v>2013</v>
      </c>
      <c r="J211" s="1414"/>
      <c r="K211" s="1653"/>
      <c r="L211" s="1414"/>
      <c r="M211" s="1414"/>
      <c r="N211" s="1414"/>
      <c r="O211" s="1416" t="s">
        <v>12</v>
      </c>
      <c r="P211" s="1704">
        <v>6396232.1792260697</v>
      </c>
      <c r="Q211" s="1598"/>
      <c r="U211" s="1397">
        <f>P211/9</f>
        <v>710692.46435845224</v>
      </c>
      <c r="V211" s="1477" t="str">
        <f t="shared" si="109"/>
        <v>02.06.02</v>
      </c>
      <c r="W211" s="1478" t="str">
        <f t="shared" si="111"/>
        <v>Alat Rumah Tangga</v>
      </c>
      <c r="X211" s="1478">
        <f t="shared" si="112"/>
        <v>5</v>
      </c>
      <c r="Y211" s="1401">
        <f t="shared" si="113"/>
        <v>1279246.4358452139</v>
      </c>
      <c r="Z211" s="1444">
        <f t="shared" si="114"/>
        <v>1</v>
      </c>
      <c r="AA211" s="1401">
        <f t="shared" si="115"/>
        <v>1279246.4358452139</v>
      </c>
      <c r="AB211" s="1401">
        <f t="shared" si="116"/>
        <v>1279246.4358452139</v>
      </c>
      <c r="AC211" s="1401">
        <f t="shared" si="117"/>
        <v>1279246.4358452139</v>
      </c>
      <c r="AD211" s="1401">
        <f t="shared" si="118"/>
        <v>1279246.4358452139</v>
      </c>
      <c r="AE211" s="1479">
        <f t="shared" si="119"/>
        <v>1279246.4358452139</v>
      </c>
      <c r="AF211" s="1479">
        <f t="shared" si="120"/>
        <v>0</v>
      </c>
      <c r="AG211" s="1479">
        <f t="shared" si="110"/>
        <v>0</v>
      </c>
      <c r="AH211" s="1479">
        <f t="shared" si="106"/>
        <v>6396232.1792260697</v>
      </c>
      <c r="AI211" s="1645">
        <f t="shared" si="121"/>
        <v>2013</v>
      </c>
      <c r="AJ211" s="1401">
        <f t="shared" si="122"/>
        <v>0</v>
      </c>
      <c r="AK211" s="1401"/>
    </row>
    <row r="212" spans="1:37" s="1390" customFormat="1" ht="37" customHeight="1" x14ac:dyDescent="0.2">
      <c r="A212" s="1710" t="str">
        <f t="shared" si="123"/>
        <v>02.06.04.03</v>
      </c>
      <c r="B212" s="1426">
        <v>123</v>
      </c>
      <c r="C212" s="1414" t="s">
        <v>2328</v>
      </c>
      <c r="D212" s="1414" t="s">
        <v>209</v>
      </c>
      <c r="E212" s="1652" t="s">
        <v>271</v>
      </c>
      <c r="F212" s="1653" t="s">
        <v>52</v>
      </c>
      <c r="G212" s="1414"/>
      <c r="H212" s="1653" t="s">
        <v>1011</v>
      </c>
      <c r="I212" s="1416">
        <v>2013</v>
      </c>
      <c r="J212" s="1414"/>
      <c r="K212" s="1653"/>
      <c r="L212" s="1414"/>
      <c r="M212" s="1414"/>
      <c r="N212" s="1414"/>
      <c r="O212" s="1416" t="s">
        <v>12</v>
      </c>
      <c r="P212" s="1704">
        <v>18274949.083503056</v>
      </c>
      <c r="Q212" s="1598"/>
      <c r="U212" s="1397">
        <f>P212/9</f>
        <v>2030549.8981670062</v>
      </c>
      <c r="V212" s="1477" t="str">
        <f t="shared" si="109"/>
        <v>02.06.04</v>
      </c>
      <c r="W212" s="1478" t="str">
        <f t="shared" si="111"/>
        <v>Meja Dan Kursi Kerja/Rapat Pejabat</v>
      </c>
      <c r="X212" s="1478">
        <f t="shared" si="112"/>
        <v>5</v>
      </c>
      <c r="Y212" s="1401">
        <f t="shared" si="113"/>
        <v>3654989.8167006113</v>
      </c>
      <c r="Z212" s="1444">
        <f t="shared" si="114"/>
        <v>1</v>
      </c>
      <c r="AA212" s="1401">
        <f t="shared" si="115"/>
        <v>3654989.8167006113</v>
      </c>
      <c r="AB212" s="1401">
        <f t="shared" si="116"/>
        <v>3654989.8167006113</v>
      </c>
      <c r="AC212" s="1401">
        <f t="shared" si="117"/>
        <v>3654989.8167006113</v>
      </c>
      <c r="AD212" s="1401">
        <f t="shared" si="118"/>
        <v>3654989.8167006113</v>
      </c>
      <c r="AE212" s="1479">
        <f t="shared" si="119"/>
        <v>3654989.8167006113</v>
      </c>
      <c r="AF212" s="1479">
        <f t="shared" si="120"/>
        <v>0</v>
      </c>
      <c r="AG212" s="1479">
        <f t="shared" si="110"/>
        <v>0</v>
      </c>
      <c r="AH212" s="1479">
        <f t="shared" si="106"/>
        <v>18274949.083503056</v>
      </c>
      <c r="AI212" s="1645">
        <f t="shared" si="121"/>
        <v>2013</v>
      </c>
      <c r="AJ212" s="1401">
        <f t="shared" si="122"/>
        <v>0</v>
      </c>
      <c r="AK212" s="1401"/>
    </row>
    <row r="213" spans="1:37" s="1390" customFormat="1" ht="37" customHeight="1" x14ac:dyDescent="0.2">
      <c r="A213" s="1710" t="str">
        <f t="shared" si="123"/>
        <v>02.06.02.01</v>
      </c>
      <c r="B213" s="1426">
        <v>124</v>
      </c>
      <c r="C213" s="1414" t="s">
        <v>5759</v>
      </c>
      <c r="D213" s="1414" t="s">
        <v>960</v>
      </c>
      <c r="E213" s="1652" t="s">
        <v>39</v>
      </c>
      <c r="F213" s="1653" t="s">
        <v>52</v>
      </c>
      <c r="G213" s="1414"/>
      <c r="H213" s="1653" t="s">
        <v>1012</v>
      </c>
      <c r="I213" s="1416">
        <v>2013</v>
      </c>
      <c r="J213" s="1414"/>
      <c r="K213" s="1653"/>
      <c r="L213" s="1414"/>
      <c r="M213" s="1414"/>
      <c r="N213" s="1414"/>
      <c r="O213" s="1416" t="s">
        <v>12</v>
      </c>
      <c r="P213" s="1704">
        <v>5076374.7454175148</v>
      </c>
      <c r="Q213" s="1598"/>
      <c r="V213" s="1477" t="str">
        <f t="shared" si="109"/>
        <v>02.06.02</v>
      </c>
      <c r="W213" s="1478" t="str">
        <f t="shared" si="111"/>
        <v>Alat Rumah Tangga</v>
      </c>
      <c r="X213" s="1478">
        <f t="shared" si="112"/>
        <v>5</v>
      </c>
      <c r="Y213" s="1401">
        <f t="shared" si="113"/>
        <v>1015274.949083503</v>
      </c>
      <c r="Z213" s="1444">
        <f t="shared" si="114"/>
        <v>1</v>
      </c>
      <c r="AA213" s="1401">
        <f t="shared" si="115"/>
        <v>1015274.949083503</v>
      </c>
      <c r="AB213" s="1401">
        <f t="shared" si="116"/>
        <v>1015274.949083503</v>
      </c>
      <c r="AC213" s="1401">
        <f t="shared" si="117"/>
        <v>1015274.949083503</v>
      </c>
      <c r="AD213" s="1401">
        <f t="shared" si="118"/>
        <v>1015274.949083503</v>
      </c>
      <c r="AE213" s="1479">
        <f t="shared" si="119"/>
        <v>1015274.949083503</v>
      </c>
      <c r="AF213" s="1479">
        <f t="shared" si="120"/>
        <v>0</v>
      </c>
      <c r="AG213" s="1479">
        <f t="shared" si="110"/>
        <v>0</v>
      </c>
      <c r="AH213" s="1479">
        <f t="shared" si="106"/>
        <v>5076374.7454175148</v>
      </c>
      <c r="AI213" s="1645">
        <f t="shared" si="121"/>
        <v>2013</v>
      </c>
      <c r="AJ213" s="1401">
        <f t="shared" si="122"/>
        <v>0</v>
      </c>
      <c r="AK213" s="1401"/>
    </row>
    <row r="214" spans="1:37" s="1390" customFormat="1" ht="37" customHeight="1" x14ac:dyDescent="0.2">
      <c r="A214" s="1710" t="str">
        <f t="shared" si="123"/>
        <v>02.06.04.07</v>
      </c>
      <c r="B214" s="1426">
        <v>125</v>
      </c>
      <c r="C214" s="1414" t="s">
        <v>2323</v>
      </c>
      <c r="D214" s="1414" t="s">
        <v>961</v>
      </c>
      <c r="E214" s="1652" t="s">
        <v>273</v>
      </c>
      <c r="F214" s="1653" t="s">
        <v>52</v>
      </c>
      <c r="G214" s="1414"/>
      <c r="H214" s="1653" t="s">
        <v>238</v>
      </c>
      <c r="I214" s="1416">
        <v>2013</v>
      </c>
      <c r="J214" s="1414"/>
      <c r="K214" s="1653"/>
      <c r="L214" s="1414"/>
      <c r="M214" s="1414"/>
      <c r="N214" s="1414"/>
      <c r="O214" s="1416" t="s">
        <v>12</v>
      </c>
      <c r="P214" s="1704">
        <v>9137474.5417515282</v>
      </c>
      <c r="Q214" s="1598"/>
      <c r="U214" s="1397">
        <f>P214/4</f>
        <v>2284368.635437882</v>
      </c>
      <c r="V214" s="1477" t="str">
        <f t="shared" si="109"/>
        <v>02.06.04</v>
      </c>
      <c r="W214" s="1478" t="str">
        <f t="shared" si="111"/>
        <v>Meja Dan Kursi Kerja/Rapat Pejabat</v>
      </c>
      <c r="X214" s="1478">
        <f t="shared" si="112"/>
        <v>5</v>
      </c>
      <c r="Y214" s="1401">
        <f t="shared" si="113"/>
        <v>1827494.9083503056</v>
      </c>
      <c r="Z214" s="1444">
        <f t="shared" si="114"/>
        <v>1</v>
      </c>
      <c r="AA214" s="1401">
        <f t="shared" si="115"/>
        <v>1827494.9083503056</v>
      </c>
      <c r="AB214" s="1401">
        <f t="shared" si="116"/>
        <v>1827494.9083503056</v>
      </c>
      <c r="AC214" s="1401">
        <f t="shared" si="117"/>
        <v>1827494.9083503056</v>
      </c>
      <c r="AD214" s="1401">
        <f t="shared" si="118"/>
        <v>1827494.9083503056</v>
      </c>
      <c r="AE214" s="1479">
        <f t="shared" si="119"/>
        <v>1827494.9083503056</v>
      </c>
      <c r="AF214" s="1479">
        <f t="shared" si="120"/>
        <v>0</v>
      </c>
      <c r="AG214" s="1479">
        <f t="shared" si="110"/>
        <v>0</v>
      </c>
      <c r="AH214" s="1479">
        <f t="shared" si="106"/>
        <v>9137474.5417515282</v>
      </c>
      <c r="AI214" s="1645">
        <f t="shared" si="121"/>
        <v>2013</v>
      </c>
      <c r="AJ214" s="1401">
        <f t="shared" si="122"/>
        <v>0</v>
      </c>
      <c r="AK214" s="1401"/>
    </row>
    <row r="215" spans="1:37" s="1390" customFormat="1" ht="37" customHeight="1" x14ac:dyDescent="0.2">
      <c r="A215" s="1710" t="str">
        <f t="shared" si="123"/>
        <v>02.06.03.02</v>
      </c>
      <c r="B215" s="1426">
        <v>126</v>
      </c>
      <c r="C215" s="1414" t="s">
        <v>295</v>
      </c>
      <c r="D215" s="1414" t="s">
        <v>4711</v>
      </c>
      <c r="E215" s="1652" t="s">
        <v>274</v>
      </c>
      <c r="F215" s="1653" t="s">
        <v>999</v>
      </c>
      <c r="G215" s="1414"/>
      <c r="H215" s="1455" t="s">
        <v>281</v>
      </c>
      <c r="I215" s="1416">
        <v>2013</v>
      </c>
      <c r="J215" s="1414"/>
      <c r="K215" s="1653"/>
      <c r="L215" s="1414"/>
      <c r="M215" s="1414"/>
      <c r="N215" s="1414"/>
      <c r="O215" s="1416" t="s">
        <v>12</v>
      </c>
      <c r="P215" s="1704">
        <v>59840000</v>
      </c>
      <c r="Q215" s="1598"/>
      <c r="U215" s="1397">
        <f>P215/2</f>
        <v>29920000</v>
      </c>
      <c r="V215" s="1477" t="str">
        <f t="shared" si="109"/>
        <v>02.06.03</v>
      </c>
      <c r="W215" s="1478" t="str">
        <f t="shared" si="111"/>
        <v>Peralatan Komputer</v>
      </c>
      <c r="X215" s="1478">
        <f t="shared" si="112"/>
        <v>4</v>
      </c>
      <c r="Y215" s="1401">
        <f t="shared" si="113"/>
        <v>14960000</v>
      </c>
      <c r="Z215" s="1444">
        <f t="shared" si="114"/>
        <v>1</v>
      </c>
      <c r="AA215" s="1401">
        <f t="shared" si="115"/>
        <v>14960000</v>
      </c>
      <c r="AB215" s="1401">
        <f t="shared" si="116"/>
        <v>14960000</v>
      </c>
      <c r="AC215" s="1401">
        <f t="shared" si="117"/>
        <v>14960000</v>
      </c>
      <c r="AD215" s="1401">
        <f t="shared" si="118"/>
        <v>14960000</v>
      </c>
      <c r="AE215" s="1479">
        <f t="shared" si="119"/>
        <v>0</v>
      </c>
      <c r="AF215" s="1479">
        <f t="shared" si="120"/>
        <v>0</v>
      </c>
      <c r="AG215" s="1479">
        <f t="shared" si="110"/>
        <v>0</v>
      </c>
      <c r="AH215" s="1479">
        <f t="shared" si="106"/>
        <v>59840000</v>
      </c>
      <c r="AI215" s="1645">
        <f t="shared" si="121"/>
        <v>2013</v>
      </c>
      <c r="AJ215" s="1401">
        <f t="shared" si="122"/>
        <v>0</v>
      </c>
      <c r="AK215" s="1401"/>
    </row>
    <row r="216" spans="1:37" s="1390" customFormat="1" ht="37" customHeight="1" x14ac:dyDescent="0.2">
      <c r="A216" s="1710" t="str">
        <f t="shared" si="123"/>
        <v>02.06.03.05</v>
      </c>
      <c r="B216" s="1426">
        <v>127</v>
      </c>
      <c r="C216" s="1414" t="s">
        <v>299</v>
      </c>
      <c r="D216" s="1414" t="s">
        <v>963</v>
      </c>
      <c r="E216" s="1652" t="s">
        <v>274</v>
      </c>
      <c r="F216" s="1653" t="s">
        <v>195</v>
      </c>
      <c r="G216" s="1414"/>
      <c r="H216" s="1455" t="s">
        <v>281</v>
      </c>
      <c r="I216" s="1416">
        <v>2013</v>
      </c>
      <c r="J216" s="1414"/>
      <c r="K216" s="1653"/>
      <c r="L216" s="1414"/>
      <c r="M216" s="1414"/>
      <c r="N216" s="1414"/>
      <c r="O216" s="1416" t="s">
        <v>12</v>
      </c>
      <c r="P216" s="1704">
        <v>33750000</v>
      </c>
      <c r="Q216" s="1598"/>
      <c r="U216" s="1397">
        <f>P216/2</f>
        <v>16875000</v>
      </c>
      <c r="V216" s="1477" t="str">
        <f t="shared" si="109"/>
        <v>02.06.03</v>
      </c>
      <c r="W216" s="1478" t="str">
        <f t="shared" si="111"/>
        <v>Peralatan Komputer</v>
      </c>
      <c r="X216" s="1478">
        <f t="shared" si="112"/>
        <v>4</v>
      </c>
      <c r="Y216" s="1401">
        <f t="shared" si="113"/>
        <v>8437500</v>
      </c>
      <c r="Z216" s="1444">
        <f t="shared" si="114"/>
        <v>1</v>
      </c>
      <c r="AA216" s="1401">
        <f t="shared" si="115"/>
        <v>8437500</v>
      </c>
      <c r="AB216" s="1401">
        <f t="shared" si="116"/>
        <v>8437500</v>
      </c>
      <c r="AC216" s="1401">
        <f t="shared" si="117"/>
        <v>8437500</v>
      </c>
      <c r="AD216" s="1401">
        <f t="shared" si="118"/>
        <v>8437500</v>
      </c>
      <c r="AE216" s="1479">
        <f t="shared" si="119"/>
        <v>0</v>
      </c>
      <c r="AF216" s="1479">
        <f t="shared" si="120"/>
        <v>0</v>
      </c>
      <c r="AG216" s="1479">
        <f t="shared" si="110"/>
        <v>0</v>
      </c>
      <c r="AH216" s="1479">
        <f t="shared" si="106"/>
        <v>33750000</v>
      </c>
      <c r="AI216" s="1645">
        <f t="shared" si="121"/>
        <v>2013</v>
      </c>
      <c r="AJ216" s="1401">
        <f t="shared" si="122"/>
        <v>0</v>
      </c>
      <c r="AK216" s="1401"/>
    </row>
    <row r="217" spans="1:37" s="1390" customFormat="1" ht="37" customHeight="1" x14ac:dyDescent="0.2">
      <c r="A217" s="1710" t="str">
        <f t="shared" si="123"/>
        <v>02.06.03.02</v>
      </c>
      <c r="B217" s="1426">
        <v>128</v>
      </c>
      <c r="C217" s="1414" t="s">
        <v>295</v>
      </c>
      <c r="D217" s="1414" t="s">
        <v>964</v>
      </c>
      <c r="E217" s="1652" t="s">
        <v>275</v>
      </c>
      <c r="F217" s="1653" t="s">
        <v>52</v>
      </c>
      <c r="G217" s="1414"/>
      <c r="H217" s="1455" t="s">
        <v>281</v>
      </c>
      <c r="I217" s="1416">
        <v>2013</v>
      </c>
      <c r="J217" s="1414"/>
      <c r="K217" s="1653"/>
      <c r="L217" s="1414"/>
      <c r="M217" s="1414"/>
      <c r="N217" s="1414"/>
      <c r="O217" s="1416" t="s">
        <v>12</v>
      </c>
      <c r="P217" s="1704">
        <v>27082568.807339448</v>
      </c>
      <c r="Q217" s="1598"/>
      <c r="U217" s="1397">
        <f>P217/3</f>
        <v>9027522.9357798155</v>
      </c>
      <c r="V217" s="1477" t="str">
        <f t="shared" si="109"/>
        <v>02.06.03</v>
      </c>
      <c r="W217" s="1478" t="str">
        <f t="shared" si="111"/>
        <v>Peralatan Komputer</v>
      </c>
      <c r="X217" s="1478">
        <f t="shared" si="112"/>
        <v>4</v>
      </c>
      <c r="Y217" s="1401">
        <f t="shared" si="113"/>
        <v>6770642.2018348621</v>
      </c>
      <c r="Z217" s="1444">
        <f t="shared" si="114"/>
        <v>1</v>
      </c>
      <c r="AA217" s="1401">
        <f t="shared" si="115"/>
        <v>6770642.2018348621</v>
      </c>
      <c r="AB217" s="1401">
        <f t="shared" si="116"/>
        <v>6770642.2018348621</v>
      </c>
      <c r="AC217" s="1401">
        <f t="shared" si="117"/>
        <v>6770642.2018348621</v>
      </c>
      <c r="AD217" s="1401">
        <f t="shared" si="118"/>
        <v>6770642.2018348621</v>
      </c>
      <c r="AE217" s="1479">
        <f t="shared" si="119"/>
        <v>0</v>
      </c>
      <c r="AF217" s="1479">
        <f t="shared" si="120"/>
        <v>0</v>
      </c>
      <c r="AG217" s="1479">
        <f t="shared" si="110"/>
        <v>0</v>
      </c>
      <c r="AH217" s="1479">
        <f t="shared" si="106"/>
        <v>27082568.807339448</v>
      </c>
      <c r="AI217" s="1645">
        <f t="shared" si="121"/>
        <v>2013</v>
      </c>
      <c r="AJ217" s="1401">
        <f t="shared" si="122"/>
        <v>0</v>
      </c>
      <c r="AK217" s="1401"/>
    </row>
    <row r="218" spans="1:37" s="1390" customFormat="1" ht="37" customHeight="1" x14ac:dyDescent="0.2">
      <c r="A218" s="1710" t="str">
        <f t="shared" si="123"/>
        <v>02.06.04.07</v>
      </c>
      <c r="B218" s="1426">
        <v>129</v>
      </c>
      <c r="C218" s="1414" t="s">
        <v>2323</v>
      </c>
      <c r="D218" s="1414" t="s">
        <v>961</v>
      </c>
      <c r="E218" s="1652" t="s">
        <v>273</v>
      </c>
      <c r="F218" s="1653" t="s">
        <v>52</v>
      </c>
      <c r="G218" s="1414"/>
      <c r="H218" s="1455" t="s">
        <v>213</v>
      </c>
      <c r="I218" s="1416">
        <v>2013</v>
      </c>
      <c r="J218" s="1414"/>
      <c r="K218" s="1653"/>
      <c r="L218" s="1414"/>
      <c r="M218" s="1414"/>
      <c r="N218" s="1414"/>
      <c r="O218" s="1416" t="s">
        <v>12</v>
      </c>
      <c r="P218" s="1704">
        <v>24073394.495412845</v>
      </c>
      <c r="Q218" s="1598"/>
      <c r="U218" s="1397">
        <f>P218/4</f>
        <v>6018348.6238532113</v>
      </c>
      <c r="V218" s="1477" t="str">
        <f t="shared" si="109"/>
        <v>02.06.04</v>
      </c>
      <c r="W218" s="1478" t="str">
        <f t="shared" ref="W218:W249" si="124">VLOOKUP(V218,UE,3)</f>
        <v>Meja Dan Kursi Kerja/Rapat Pejabat</v>
      </c>
      <c r="X218" s="1478">
        <f t="shared" ref="X218:X249" si="125">VLOOKUP(V218,UE,4,FALSE)</f>
        <v>5</v>
      </c>
      <c r="Y218" s="1401">
        <f t="shared" ref="Y218:Y249" si="126">P218/X218</f>
        <v>4814678.8990825694</v>
      </c>
      <c r="Z218" s="1444">
        <f t="shared" ref="Z218:Z249" si="127">IF(2013-I218+1&gt;X218,X218,IF(2013-I218+1&lt;0,0,(2013-I218+1)))</f>
        <v>1</v>
      </c>
      <c r="AA218" s="1401">
        <f t="shared" ref="AA218:AA249" si="128">IF(Z218&gt;X218,P218,Y218*Z218)</f>
        <v>4814678.8990825694</v>
      </c>
      <c r="AB218" s="1401">
        <f t="shared" ref="AB218:AB249" si="129">IF(P218=AA218,0,Y218)</f>
        <v>4814678.8990825694</v>
      </c>
      <c r="AC218" s="1401">
        <f t="shared" ref="AC218:AC249" si="130">IF(P218=AA218+AB218,0,Y218)</f>
        <v>4814678.8990825694</v>
      </c>
      <c r="AD218" s="1401">
        <f t="shared" ref="AD218:AD249" si="131">IF(P218=AA218+AB218+AC218,0,Y218)</f>
        <v>4814678.8990825694</v>
      </c>
      <c r="AE218" s="1479">
        <f t="shared" ref="AE218:AE249" si="132">IF(P218=AA218+AB218+AC218+AD218,0,Y218)</f>
        <v>4814678.8990825694</v>
      </c>
      <c r="AF218" s="1479">
        <f t="shared" ref="AF218:AF249" si="133">IF(P218=AA218+AB218+AC218+AD218+AE218,0,Y218)</f>
        <v>0</v>
      </c>
      <c r="AG218" s="1479">
        <f t="shared" si="110"/>
        <v>0</v>
      </c>
      <c r="AH218" s="1479">
        <f t="shared" ref="AH218:AH280" si="134">SUM(AA218:AG218)</f>
        <v>24073394.495412849</v>
      </c>
      <c r="AI218" s="1645">
        <f t="shared" ref="AI218:AI249" si="135">I218</f>
        <v>2013</v>
      </c>
      <c r="AJ218" s="1401">
        <f t="shared" ref="AJ218:AJ249" si="136">P218-AH218</f>
        <v>0</v>
      </c>
      <c r="AK218" s="1401"/>
    </row>
    <row r="219" spans="1:37" s="1390" customFormat="1" ht="37" customHeight="1" x14ac:dyDescent="0.2">
      <c r="A219" s="1710" t="str">
        <f t="shared" si="123"/>
        <v>02.06.02.06</v>
      </c>
      <c r="B219" s="1426">
        <v>130</v>
      </c>
      <c r="C219" s="1414" t="s">
        <v>5757</v>
      </c>
      <c r="D219" s="1429" t="s">
        <v>966</v>
      </c>
      <c r="E219" s="1652" t="s">
        <v>277</v>
      </c>
      <c r="F219" s="1653" t="s">
        <v>1000</v>
      </c>
      <c r="G219" s="1414"/>
      <c r="H219" s="1455" t="s">
        <v>281</v>
      </c>
      <c r="I219" s="1416">
        <v>2014</v>
      </c>
      <c r="J219" s="1414"/>
      <c r="K219" s="1653"/>
      <c r="L219" s="1414"/>
      <c r="M219" s="1414"/>
      <c r="N219" s="1414"/>
      <c r="O219" s="1416" t="s">
        <v>12</v>
      </c>
      <c r="P219" s="1704">
        <v>154639375</v>
      </c>
      <c r="Q219" s="1598"/>
      <c r="U219" s="1397">
        <f>P219/1</f>
        <v>154639375</v>
      </c>
      <c r="V219" s="1477" t="str">
        <f t="shared" ref="V219:V277" si="137">LEFT(C219,8)</f>
        <v>02.06.02</v>
      </c>
      <c r="W219" s="1478" t="str">
        <f t="shared" si="124"/>
        <v>Alat Rumah Tangga</v>
      </c>
      <c r="X219" s="1478">
        <f t="shared" si="125"/>
        <v>5</v>
      </c>
      <c r="Y219" s="1401">
        <f t="shared" si="126"/>
        <v>30927875</v>
      </c>
      <c r="Z219" s="1444">
        <f t="shared" si="127"/>
        <v>0</v>
      </c>
      <c r="AA219" s="1401">
        <f t="shared" si="128"/>
        <v>0</v>
      </c>
      <c r="AB219" s="1401">
        <f t="shared" si="129"/>
        <v>30927875</v>
      </c>
      <c r="AC219" s="1401">
        <f t="shared" si="130"/>
        <v>30927875</v>
      </c>
      <c r="AD219" s="1401">
        <f t="shared" si="131"/>
        <v>30927875</v>
      </c>
      <c r="AE219" s="1401">
        <f t="shared" si="132"/>
        <v>30927875</v>
      </c>
      <c r="AF219" s="1479">
        <f t="shared" si="133"/>
        <v>30927875</v>
      </c>
      <c r="AG219" s="1479">
        <f>IF(P219=AA219+AB219+AC219+AD219+AE219+AF219,0,Y219)</f>
        <v>0</v>
      </c>
      <c r="AH219" s="1479">
        <f t="shared" si="134"/>
        <v>154639375</v>
      </c>
      <c r="AI219" s="1645">
        <f t="shared" si="135"/>
        <v>2014</v>
      </c>
      <c r="AJ219" s="1401">
        <f t="shared" si="136"/>
        <v>0</v>
      </c>
      <c r="AK219" s="1401"/>
    </row>
    <row r="220" spans="1:37" s="1390" customFormat="1" ht="37" customHeight="1" x14ac:dyDescent="0.2">
      <c r="A220" s="1710" t="str">
        <f t="shared" si="123"/>
        <v>02.06.02.04</v>
      </c>
      <c r="B220" s="1426">
        <v>131</v>
      </c>
      <c r="C220" s="1414" t="s">
        <v>278</v>
      </c>
      <c r="D220" s="1429" t="s">
        <v>172</v>
      </c>
      <c r="E220" s="1652" t="s">
        <v>279</v>
      </c>
      <c r="F220" s="1653" t="s">
        <v>52</v>
      </c>
      <c r="G220" s="1414" t="s">
        <v>280</v>
      </c>
      <c r="H220" s="1455" t="s">
        <v>281</v>
      </c>
      <c r="I220" s="1416">
        <v>2014</v>
      </c>
      <c r="J220" s="1414"/>
      <c r="K220" s="1653"/>
      <c r="L220" s="1414"/>
      <c r="M220" s="1414"/>
      <c r="N220" s="1414"/>
      <c r="O220" s="1416" t="s">
        <v>12</v>
      </c>
      <c r="P220" s="1704">
        <v>23000000</v>
      </c>
      <c r="Q220" s="1598"/>
      <c r="U220" s="1397">
        <f>P220/5</f>
        <v>4600000</v>
      </c>
      <c r="V220" s="1477" t="str">
        <f t="shared" si="137"/>
        <v>02.06.02</v>
      </c>
      <c r="W220" s="1478" t="str">
        <f t="shared" si="124"/>
        <v>Alat Rumah Tangga</v>
      </c>
      <c r="X220" s="1478">
        <f t="shared" si="125"/>
        <v>5</v>
      </c>
      <c r="Y220" s="1401">
        <f t="shared" si="126"/>
        <v>4600000</v>
      </c>
      <c r="Z220" s="1444">
        <f t="shared" si="127"/>
        <v>0</v>
      </c>
      <c r="AA220" s="1401">
        <f t="shared" si="128"/>
        <v>0</v>
      </c>
      <c r="AB220" s="1401">
        <f t="shared" si="129"/>
        <v>4600000</v>
      </c>
      <c r="AC220" s="1401">
        <f t="shared" si="130"/>
        <v>4600000</v>
      </c>
      <c r="AD220" s="1401">
        <f t="shared" si="131"/>
        <v>4600000</v>
      </c>
      <c r="AE220" s="1401">
        <f t="shared" si="132"/>
        <v>4600000</v>
      </c>
      <c r="AF220" s="1479">
        <f t="shared" si="133"/>
        <v>4600000</v>
      </c>
      <c r="AG220" s="1479">
        <f>IF(P220=AA220+AB220+AC220+AD220+AE220+AF220,0,Y220)</f>
        <v>0</v>
      </c>
      <c r="AH220" s="1479">
        <f t="shared" si="134"/>
        <v>23000000</v>
      </c>
      <c r="AI220" s="1645">
        <f t="shared" si="135"/>
        <v>2014</v>
      </c>
      <c r="AJ220" s="1401">
        <f t="shared" si="136"/>
        <v>0</v>
      </c>
      <c r="AK220" s="1401"/>
    </row>
    <row r="221" spans="1:37" s="1390" customFormat="1" ht="37" customHeight="1" x14ac:dyDescent="0.2">
      <c r="A221" s="1710" t="str">
        <f t="shared" si="123"/>
        <v>02.06.02.04</v>
      </c>
      <c r="B221" s="1426">
        <v>132</v>
      </c>
      <c r="C221" s="1414" t="s">
        <v>278</v>
      </c>
      <c r="D221" s="1429" t="s">
        <v>282</v>
      </c>
      <c r="E221" s="1652" t="s">
        <v>283</v>
      </c>
      <c r="F221" s="1653" t="s">
        <v>52</v>
      </c>
      <c r="G221" s="1414" t="s">
        <v>284</v>
      </c>
      <c r="H221" s="1455" t="s">
        <v>281</v>
      </c>
      <c r="I221" s="1416">
        <v>2014</v>
      </c>
      <c r="J221" s="1414"/>
      <c r="K221" s="1653"/>
      <c r="L221" s="1414"/>
      <c r="M221" s="1414"/>
      <c r="N221" s="1414"/>
      <c r="O221" s="1416" t="s">
        <v>12</v>
      </c>
      <c r="P221" s="1704">
        <v>15200000</v>
      </c>
      <c r="Q221" s="1598"/>
      <c r="U221" s="1397">
        <f>P221/2</f>
        <v>7600000</v>
      </c>
      <c r="V221" s="1477" t="str">
        <f t="shared" si="137"/>
        <v>02.06.02</v>
      </c>
      <c r="W221" s="1478" t="str">
        <f t="shared" si="124"/>
        <v>Alat Rumah Tangga</v>
      </c>
      <c r="X221" s="1478">
        <f t="shared" si="125"/>
        <v>5</v>
      </c>
      <c r="Y221" s="1401">
        <f t="shared" si="126"/>
        <v>3040000</v>
      </c>
      <c r="Z221" s="1444">
        <f t="shared" si="127"/>
        <v>0</v>
      </c>
      <c r="AA221" s="1401">
        <f t="shared" si="128"/>
        <v>0</v>
      </c>
      <c r="AB221" s="1401">
        <f t="shared" si="129"/>
        <v>3040000</v>
      </c>
      <c r="AC221" s="1401">
        <f t="shared" si="130"/>
        <v>3040000</v>
      </c>
      <c r="AD221" s="1401">
        <f t="shared" si="131"/>
        <v>3040000</v>
      </c>
      <c r="AE221" s="1401">
        <f t="shared" si="132"/>
        <v>3040000</v>
      </c>
      <c r="AF221" s="1479">
        <f t="shared" si="133"/>
        <v>3040000</v>
      </c>
      <c r="AG221" s="1479">
        <f>IF(P221=AA221+AB221+AC221+AD221+AE221+AF221,0,Y221)</f>
        <v>0</v>
      </c>
      <c r="AH221" s="1479">
        <f t="shared" si="134"/>
        <v>15200000</v>
      </c>
      <c r="AI221" s="1645">
        <f t="shared" si="135"/>
        <v>2014</v>
      </c>
      <c r="AJ221" s="1401">
        <f t="shared" si="136"/>
        <v>0</v>
      </c>
      <c r="AK221" s="1401"/>
    </row>
    <row r="222" spans="1:37" s="1390" customFormat="1" ht="37" customHeight="1" x14ac:dyDescent="0.2">
      <c r="A222" s="1710" t="str">
        <f t="shared" si="123"/>
        <v>02.06.02.04</v>
      </c>
      <c r="B222" s="1426">
        <v>133</v>
      </c>
      <c r="C222" s="1414" t="s">
        <v>278</v>
      </c>
      <c r="D222" s="1429" t="s">
        <v>967</v>
      </c>
      <c r="E222" s="1652" t="s">
        <v>277</v>
      </c>
      <c r="F222" s="1653" t="s">
        <v>52</v>
      </c>
      <c r="G222" s="1414"/>
      <c r="H222" s="1455" t="s">
        <v>281</v>
      </c>
      <c r="I222" s="1416">
        <v>2014</v>
      </c>
      <c r="J222" s="1414"/>
      <c r="K222" s="1653"/>
      <c r="L222" s="1414"/>
      <c r="M222" s="1414"/>
      <c r="N222" s="1414"/>
      <c r="O222" s="1416" t="s">
        <v>12</v>
      </c>
      <c r="P222" s="1704">
        <v>24500000</v>
      </c>
      <c r="Q222" s="1598"/>
      <c r="U222" s="1397">
        <f>P222/1</f>
        <v>24500000</v>
      </c>
      <c r="V222" s="1477" t="str">
        <f t="shared" si="137"/>
        <v>02.06.02</v>
      </c>
      <c r="W222" s="1478" t="str">
        <f t="shared" si="124"/>
        <v>Alat Rumah Tangga</v>
      </c>
      <c r="X222" s="1478">
        <f t="shared" si="125"/>
        <v>5</v>
      </c>
      <c r="Y222" s="1401">
        <f t="shared" si="126"/>
        <v>4900000</v>
      </c>
      <c r="Z222" s="1444">
        <f t="shared" si="127"/>
        <v>0</v>
      </c>
      <c r="AA222" s="1401">
        <f t="shared" si="128"/>
        <v>0</v>
      </c>
      <c r="AB222" s="1401">
        <f t="shared" si="129"/>
        <v>4900000</v>
      </c>
      <c r="AC222" s="1401">
        <f t="shared" si="130"/>
        <v>4900000</v>
      </c>
      <c r="AD222" s="1401">
        <f t="shared" si="131"/>
        <v>4900000</v>
      </c>
      <c r="AE222" s="1401">
        <f t="shared" si="132"/>
        <v>4900000</v>
      </c>
      <c r="AF222" s="1479">
        <f t="shared" si="133"/>
        <v>4900000</v>
      </c>
      <c r="AG222" s="1479">
        <f>IF(P222=AA222+AB222+AC222+AD222+AE222+AF222,0,Y222)</f>
        <v>0</v>
      </c>
      <c r="AH222" s="1479">
        <f t="shared" si="134"/>
        <v>24500000</v>
      </c>
      <c r="AI222" s="1645">
        <f t="shared" si="135"/>
        <v>2014</v>
      </c>
      <c r="AJ222" s="1401">
        <f t="shared" si="136"/>
        <v>0</v>
      </c>
      <c r="AK222" s="1401"/>
    </row>
    <row r="223" spans="1:37" s="1390" customFormat="1" ht="37" customHeight="1" x14ac:dyDescent="0.2">
      <c r="A223" s="1710" t="str">
        <f t="shared" si="123"/>
        <v>02.06.01.03</v>
      </c>
      <c r="B223" s="1426">
        <v>134</v>
      </c>
      <c r="C223" s="1414" t="s">
        <v>4761</v>
      </c>
      <c r="D223" s="1429" t="s">
        <v>968</v>
      </c>
      <c r="E223" s="1652" t="s">
        <v>277</v>
      </c>
      <c r="F223" s="1653" t="s">
        <v>52</v>
      </c>
      <c r="G223" s="1414" t="s">
        <v>287</v>
      </c>
      <c r="H223" s="1455" t="s">
        <v>281</v>
      </c>
      <c r="I223" s="1416">
        <v>2014</v>
      </c>
      <c r="J223" s="1414"/>
      <c r="K223" s="1653"/>
      <c r="L223" s="1414"/>
      <c r="M223" s="1414"/>
      <c r="N223" s="1414"/>
      <c r="O223" s="1416" t="s">
        <v>12</v>
      </c>
      <c r="P223" s="1704">
        <v>49700000</v>
      </c>
      <c r="Q223" s="1598"/>
      <c r="U223" s="1397">
        <f>P223/1</f>
        <v>49700000</v>
      </c>
      <c r="V223" s="1477" t="str">
        <f t="shared" si="137"/>
        <v>02.06.01</v>
      </c>
      <c r="W223" s="1478" t="str">
        <f t="shared" si="124"/>
        <v>Alat Kantor</v>
      </c>
      <c r="X223" s="1478">
        <f t="shared" si="125"/>
        <v>5</v>
      </c>
      <c r="Y223" s="1401">
        <f t="shared" si="126"/>
        <v>9940000</v>
      </c>
      <c r="Z223" s="1444">
        <f t="shared" si="127"/>
        <v>0</v>
      </c>
      <c r="AA223" s="1401">
        <f t="shared" si="128"/>
        <v>0</v>
      </c>
      <c r="AB223" s="1401">
        <f t="shared" si="129"/>
        <v>9940000</v>
      </c>
      <c r="AC223" s="1401">
        <f t="shared" si="130"/>
        <v>9940000</v>
      </c>
      <c r="AD223" s="1401">
        <f t="shared" si="131"/>
        <v>9940000</v>
      </c>
      <c r="AE223" s="1401">
        <f t="shared" si="132"/>
        <v>9940000</v>
      </c>
      <c r="AF223" s="1479">
        <f t="shared" si="133"/>
        <v>9940000</v>
      </c>
      <c r="AG223" s="1479">
        <f t="shared" ref="AG223:AG281" si="138">IF(P223=AA223+AB223+AC223+AD223+AE223+AF223,0,Y223)</f>
        <v>0</v>
      </c>
      <c r="AH223" s="1479">
        <f t="shared" si="134"/>
        <v>49700000</v>
      </c>
      <c r="AI223" s="1645">
        <f t="shared" si="135"/>
        <v>2014</v>
      </c>
      <c r="AJ223" s="1401">
        <f t="shared" si="136"/>
        <v>0</v>
      </c>
      <c r="AK223" s="1401"/>
    </row>
    <row r="224" spans="1:37" s="1390" customFormat="1" ht="37" customHeight="1" x14ac:dyDescent="0.2">
      <c r="A224" s="1710" t="str">
        <f t="shared" si="123"/>
        <v>02.06.04.01</v>
      </c>
      <c r="B224" s="1426">
        <v>135</v>
      </c>
      <c r="C224" s="1414" t="s">
        <v>288</v>
      </c>
      <c r="D224" s="1429" t="s">
        <v>969</v>
      </c>
      <c r="E224" s="1652" t="s">
        <v>277</v>
      </c>
      <c r="F224" s="1653" t="s">
        <v>52</v>
      </c>
      <c r="G224" s="1414"/>
      <c r="H224" s="1455" t="s">
        <v>289</v>
      </c>
      <c r="I224" s="1416">
        <v>2014</v>
      </c>
      <c r="J224" s="1414"/>
      <c r="K224" s="1653"/>
      <c r="L224" s="1414"/>
      <c r="M224" s="1414"/>
      <c r="N224" s="1414"/>
      <c r="O224" s="1416" t="s">
        <v>12</v>
      </c>
      <c r="P224" s="1704">
        <v>6000000</v>
      </c>
      <c r="Q224" s="1598"/>
      <c r="U224" s="1397">
        <f>P224/1</f>
        <v>6000000</v>
      </c>
      <c r="V224" s="1477" t="str">
        <f t="shared" si="137"/>
        <v>02.06.04</v>
      </c>
      <c r="W224" s="1478" t="str">
        <f t="shared" si="124"/>
        <v>Meja Dan Kursi Kerja/Rapat Pejabat</v>
      </c>
      <c r="X224" s="1478">
        <f t="shared" si="125"/>
        <v>5</v>
      </c>
      <c r="Y224" s="1401">
        <f t="shared" si="126"/>
        <v>1200000</v>
      </c>
      <c r="Z224" s="1444">
        <f t="shared" si="127"/>
        <v>0</v>
      </c>
      <c r="AA224" s="1401">
        <f t="shared" si="128"/>
        <v>0</v>
      </c>
      <c r="AB224" s="1401">
        <f t="shared" si="129"/>
        <v>1200000</v>
      </c>
      <c r="AC224" s="1401">
        <f t="shared" si="130"/>
        <v>1200000</v>
      </c>
      <c r="AD224" s="1401">
        <f t="shared" si="131"/>
        <v>1200000</v>
      </c>
      <c r="AE224" s="1401">
        <f t="shared" si="132"/>
        <v>1200000</v>
      </c>
      <c r="AF224" s="1479">
        <f t="shared" si="133"/>
        <v>1200000</v>
      </c>
      <c r="AG224" s="1479">
        <f t="shared" si="138"/>
        <v>0</v>
      </c>
      <c r="AH224" s="1479">
        <f t="shared" si="134"/>
        <v>6000000</v>
      </c>
      <c r="AI224" s="1645">
        <f t="shared" si="135"/>
        <v>2014</v>
      </c>
      <c r="AJ224" s="1401">
        <f t="shared" si="136"/>
        <v>0</v>
      </c>
      <c r="AK224" s="1401"/>
    </row>
    <row r="225" spans="1:37" s="1390" customFormat="1" ht="37" customHeight="1" x14ac:dyDescent="0.2">
      <c r="A225" s="1710" t="str">
        <f t="shared" si="123"/>
        <v>02.06.04.01</v>
      </c>
      <c r="B225" s="1426">
        <v>136</v>
      </c>
      <c r="C225" s="1414" t="s">
        <v>290</v>
      </c>
      <c r="D225" s="1429" t="s">
        <v>958</v>
      </c>
      <c r="E225" s="1652" t="s">
        <v>291</v>
      </c>
      <c r="F225" s="1653" t="s">
        <v>52</v>
      </c>
      <c r="G225" s="1414"/>
      <c r="H225" s="1455" t="s">
        <v>289</v>
      </c>
      <c r="I225" s="1416">
        <v>2014</v>
      </c>
      <c r="J225" s="1414"/>
      <c r="K225" s="1653"/>
      <c r="L225" s="1414"/>
      <c r="M225" s="1414"/>
      <c r="N225" s="1414"/>
      <c r="O225" s="1416" t="s">
        <v>12</v>
      </c>
      <c r="P225" s="1704">
        <v>15000000</v>
      </c>
      <c r="Q225" s="1598"/>
      <c r="U225" s="1397">
        <f>P225/3</f>
        <v>5000000</v>
      </c>
      <c r="V225" s="1477" t="str">
        <f t="shared" si="137"/>
        <v>02.06.04</v>
      </c>
      <c r="W225" s="1478" t="str">
        <f t="shared" si="124"/>
        <v>Meja Dan Kursi Kerja/Rapat Pejabat</v>
      </c>
      <c r="X225" s="1478">
        <f t="shared" si="125"/>
        <v>5</v>
      </c>
      <c r="Y225" s="1401">
        <f t="shared" si="126"/>
        <v>3000000</v>
      </c>
      <c r="Z225" s="1444">
        <f t="shared" si="127"/>
        <v>0</v>
      </c>
      <c r="AA225" s="1401">
        <f t="shared" si="128"/>
        <v>0</v>
      </c>
      <c r="AB225" s="1401">
        <f t="shared" si="129"/>
        <v>3000000</v>
      </c>
      <c r="AC225" s="1401">
        <f t="shared" si="130"/>
        <v>3000000</v>
      </c>
      <c r="AD225" s="1401">
        <f t="shared" si="131"/>
        <v>3000000</v>
      </c>
      <c r="AE225" s="1401">
        <f t="shared" si="132"/>
        <v>3000000</v>
      </c>
      <c r="AF225" s="1479">
        <f t="shared" si="133"/>
        <v>3000000</v>
      </c>
      <c r="AG225" s="1479">
        <f t="shared" si="138"/>
        <v>0</v>
      </c>
      <c r="AH225" s="1479">
        <f t="shared" si="134"/>
        <v>15000000</v>
      </c>
      <c r="AI225" s="1645">
        <f t="shared" si="135"/>
        <v>2014</v>
      </c>
      <c r="AJ225" s="1401">
        <f t="shared" si="136"/>
        <v>0</v>
      </c>
      <c r="AK225" s="1401"/>
    </row>
    <row r="226" spans="1:37" s="1390" customFormat="1" ht="37" customHeight="1" x14ac:dyDescent="0.2">
      <c r="A226" s="1710" t="str">
        <f t="shared" si="123"/>
        <v>02.06.04.03</v>
      </c>
      <c r="B226" s="1426">
        <v>137</v>
      </c>
      <c r="C226" s="1414" t="s">
        <v>292</v>
      </c>
      <c r="D226" s="1429" t="s">
        <v>970</v>
      </c>
      <c r="E226" s="1652" t="s">
        <v>277</v>
      </c>
      <c r="F226" s="1653" t="s">
        <v>52</v>
      </c>
      <c r="G226" s="1414"/>
      <c r="H226" s="1455" t="s">
        <v>281</v>
      </c>
      <c r="I226" s="1416">
        <v>2014</v>
      </c>
      <c r="J226" s="1414"/>
      <c r="K226" s="1653"/>
      <c r="L226" s="1414"/>
      <c r="M226" s="1414"/>
      <c r="N226" s="1414"/>
      <c r="O226" s="1416" t="s">
        <v>12</v>
      </c>
      <c r="P226" s="1704">
        <v>4000000</v>
      </c>
      <c r="Q226" s="1598"/>
      <c r="U226" s="1397">
        <f>P226/1</f>
        <v>4000000</v>
      </c>
      <c r="V226" s="1477" t="str">
        <f t="shared" si="137"/>
        <v>02.06.04</v>
      </c>
      <c r="W226" s="1478" t="str">
        <f t="shared" si="124"/>
        <v>Meja Dan Kursi Kerja/Rapat Pejabat</v>
      </c>
      <c r="X226" s="1478">
        <f t="shared" si="125"/>
        <v>5</v>
      </c>
      <c r="Y226" s="1401">
        <f t="shared" si="126"/>
        <v>800000</v>
      </c>
      <c r="Z226" s="1444">
        <f t="shared" si="127"/>
        <v>0</v>
      </c>
      <c r="AA226" s="1401">
        <f t="shared" si="128"/>
        <v>0</v>
      </c>
      <c r="AB226" s="1401">
        <f t="shared" si="129"/>
        <v>800000</v>
      </c>
      <c r="AC226" s="1401">
        <f t="shared" si="130"/>
        <v>800000</v>
      </c>
      <c r="AD226" s="1401">
        <f t="shared" si="131"/>
        <v>800000</v>
      </c>
      <c r="AE226" s="1401">
        <f t="shared" si="132"/>
        <v>800000</v>
      </c>
      <c r="AF226" s="1479">
        <f t="shared" si="133"/>
        <v>800000</v>
      </c>
      <c r="AG226" s="1479">
        <f t="shared" si="138"/>
        <v>0</v>
      </c>
      <c r="AH226" s="1479">
        <f t="shared" si="134"/>
        <v>4000000</v>
      </c>
      <c r="AI226" s="1645">
        <f t="shared" si="135"/>
        <v>2014</v>
      </c>
      <c r="AJ226" s="1401">
        <f t="shared" si="136"/>
        <v>0</v>
      </c>
      <c r="AK226" s="1401"/>
    </row>
    <row r="227" spans="1:37" s="1390" customFormat="1" ht="37" customHeight="1" x14ac:dyDescent="0.2">
      <c r="A227" s="1710" t="str">
        <f t="shared" si="123"/>
        <v>02.06.02.01</v>
      </c>
      <c r="B227" s="1426">
        <v>138</v>
      </c>
      <c r="C227" s="1414" t="s">
        <v>293</v>
      </c>
      <c r="D227" s="1429" t="s">
        <v>209</v>
      </c>
      <c r="E227" s="1652" t="s">
        <v>291</v>
      </c>
      <c r="F227" s="1653" t="s">
        <v>294</v>
      </c>
      <c r="G227" s="1414"/>
      <c r="H227" s="1455" t="s">
        <v>281</v>
      </c>
      <c r="I227" s="1416">
        <v>2014</v>
      </c>
      <c r="J227" s="1414"/>
      <c r="K227" s="1653"/>
      <c r="L227" s="1414"/>
      <c r="M227" s="1414"/>
      <c r="N227" s="1414"/>
      <c r="O227" s="1416" t="s">
        <v>12</v>
      </c>
      <c r="P227" s="1704">
        <v>8100000</v>
      </c>
      <c r="Q227" s="1598"/>
      <c r="U227" s="1397">
        <f>P227/3</f>
        <v>2700000</v>
      </c>
      <c r="V227" s="1477" t="str">
        <f t="shared" si="137"/>
        <v>02.06.02</v>
      </c>
      <c r="W227" s="1478" t="str">
        <f t="shared" si="124"/>
        <v>Alat Rumah Tangga</v>
      </c>
      <c r="X227" s="1478">
        <f t="shared" si="125"/>
        <v>5</v>
      </c>
      <c r="Y227" s="1401">
        <f t="shared" si="126"/>
        <v>1620000</v>
      </c>
      <c r="Z227" s="1444">
        <f t="shared" si="127"/>
        <v>0</v>
      </c>
      <c r="AA227" s="1401">
        <f t="shared" si="128"/>
        <v>0</v>
      </c>
      <c r="AB227" s="1401">
        <f t="shared" si="129"/>
        <v>1620000</v>
      </c>
      <c r="AC227" s="1401">
        <f t="shared" si="130"/>
        <v>1620000</v>
      </c>
      <c r="AD227" s="1401">
        <f t="shared" si="131"/>
        <v>1620000</v>
      </c>
      <c r="AE227" s="1401">
        <f t="shared" si="132"/>
        <v>1620000</v>
      </c>
      <c r="AF227" s="1479">
        <f t="shared" si="133"/>
        <v>1620000</v>
      </c>
      <c r="AG227" s="1479">
        <f t="shared" si="138"/>
        <v>0</v>
      </c>
      <c r="AH227" s="1479">
        <f t="shared" si="134"/>
        <v>8100000</v>
      </c>
      <c r="AI227" s="1645">
        <f t="shared" si="135"/>
        <v>2014</v>
      </c>
      <c r="AJ227" s="1401">
        <f t="shared" si="136"/>
        <v>0</v>
      </c>
      <c r="AK227" s="1401"/>
    </row>
    <row r="228" spans="1:37" s="1390" customFormat="1" ht="37" customHeight="1" x14ac:dyDescent="0.2">
      <c r="A228" s="1710" t="str">
        <f t="shared" si="123"/>
        <v>02.06.03.02</v>
      </c>
      <c r="B228" s="1426">
        <v>139</v>
      </c>
      <c r="C228" s="1414" t="s">
        <v>295</v>
      </c>
      <c r="D228" s="1429" t="s">
        <v>296</v>
      </c>
      <c r="E228" s="1652" t="s">
        <v>283</v>
      </c>
      <c r="F228" s="1653" t="s">
        <v>52</v>
      </c>
      <c r="G228" s="1414" t="s">
        <v>297</v>
      </c>
      <c r="H228" s="1455" t="s">
        <v>281</v>
      </c>
      <c r="I228" s="1416">
        <v>2014</v>
      </c>
      <c r="J228" s="1414"/>
      <c r="K228" s="1653"/>
      <c r="L228" s="1414"/>
      <c r="M228" s="1414"/>
      <c r="N228" s="1414"/>
      <c r="O228" s="1416" t="s">
        <v>12</v>
      </c>
      <c r="P228" s="1704">
        <v>62260000</v>
      </c>
      <c r="Q228" s="1598"/>
      <c r="U228" s="1397">
        <f>P228/2</f>
        <v>31130000</v>
      </c>
      <c r="V228" s="1477" t="str">
        <f t="shared" si="137"/>
        <v>02.06.03</v>
      </c>
      <c r="W228" s="1478" t="str">
        <f t="shared" si="124"/>
        <v>Peralatan Komputer</v>
      </c>
      <c r="X228" s="1478">
        <f t="shared" si="125"/>
        <v>4</v>
      </c>
      <c r="Y228" s="1401">
        <f t="shared" si="126"/>
        <v>15565000</v>
      </c>
      <c r="Z228" s="1444">
        <f t="shared" si="127"/>
        <v>0</v>
      </c>
      <c r="AA228" s="1401">
        <f t="shared" si="128"/>
        <v>0</v>
      </c>
      <c r="AB228" s="1401">
        <f t="shared" si="129"/>
        <v>15565000</v>
      </c>
      <c r="AC228" s="1401">
        <f t="shared" si="130"/>
        <v>15565000</v>
      </c>
      <c r="AD228" s="1401">
        <f t="shared" si="131"/>
        <v>15565000</v>
      </c>
      <c r="AE228" s="1401">
        <f t="shared" si="132"/>
        <v>15565000</v>
      </c>
      <c r="AF228" s="1479">
        <f t="shared" si="133"/>
        <v>0</v>
      </c>
      <c r="AG228" s="1479">
        <f t="shared" si="138"/>
        <v>0</v>
      </c>
      <c r="AH228" s="1479">
        <f t="shared" si="134"/>
        <v>62260000</v>
      </c>
      <c r="AI228" s="1645">
        <f t="shared" si="135"/>
        <v>2014</v>
      </c>
      <c r="AJ228" s="1401">
        <f t="shared" si="136"/>
        <v>0</v>
      </c>
      <c r="AK228" s="1401"/>
    </row>
    <row r="229" spans="1:37" s="1390" customFormat="1" ht="37" customHeight="1" x14ac:dyDescent="0.2">
      <c r="A229" s="1710" t="str">
        <f t="shared" si="123"/>
        <v>02.06.03.02</v>
      </c>
      <c r="B229" s="1426">
        <v>140</v>
      </c>
      <c r="C229" s="1414" t="s">
        <v>298</v>
      </c>
      <c r="D229" s="1429" t="s">
        <v>230</v>
      </c>
      <c r="E229" s="1652" t="s">
        <v>279</v>
      </c>
      <c r="F229" s="1653" t="s">
        <v>52</v>
      </c>
      <c r="G229" s="1414"/>
      <c r="H229" s="1455" t="s">
        <v>281</v>
      </c>
      <c r="I229" s="1416">
        <v>2014</v>
      </c>
      <c r="J229" s="1414"/>
      <c r="K229" s="1653"/>
      <c r="L229" s="1414"/>
      <c r="M229" s="1414"/>
      <c r="N229" s="1414"/>
      <c r="O229" s="1416" t="s">
        <v>12</v>
      </c>
      <c r="P229" s="1704">
        <v>74525000</v>
      </c>
      <c r="Q229" s="1598"/>
      <c r="U229" s="1397">
        <f>P229/5</f>
        <v>14905000</v>
      </c>
      <c r="V229" s="1477" t="str">
        <f t="shared" si="137"/>
        <v>02.06.03</v>
      </c>
      <c r="W229" s="1478" t="str">
        <f t="shared" si="124"/>
        <v>Peralatan Komputer</v>
      </c>
      <c r="X229" s="1478">
        <f t="shared" si="125"/>
        <v>4</v>
      </c>
      <c r="Y229" s="1401">
        <f t="shared" si="126"/>
        <v>18631250</v>
      </c>
      <c r="Z229" s="1444">
        <f t="shared" si="127"/>
        <v>0</v>
      </c>
      <c r="AA229" s="1401">
        <f t="shared" si="128"/>
        <v>0</v>
      </c>
      <c r="AB229" s="1401">
        <f t="shared" si="129"/>
        <v>18631250</v>
      </c>
      <c r="AC229" s="1401">
        <f t="shared" si="130"/>
        <v>18631250</v>
      </c>
      <c r="AD229" s="1401">
        <f t="shared" si="131"/>
        <v>18631250</v>
      </c>
      <c r="AE229" s="1401">
        <f t="shared" si="132"/>
        <v>18631250</v>
      </c>
      <c r="AF229" s="1479">
        <f t="shared" si="133"/>
        <v>0</v>
      </c>
      <c r="AG229" s="1479">
        <f t="shared" si="138"/>
        <v>0</v>
      </c>
      <c r="AH229" s="1479">
        <f t="shared" si="134"/>
        <v>74525000</v>
      </c>
      <c r="AI229" s="1645">
        <f t="shared" si="135"/>
        <v>2014</v>
      </c>
      <c r="AJ229" s="1401">
        <f t="shared" si="136"/>
        <v>0</v>
      </c>
      <c r="AK229" s="1401"/>
    </row>
    <row r="230" spans="1:37" s="1390" customFormat="1" ht="37" customHeight="1" x14ac:dyDescent="0.2">
      <c r="A230" s="1710" t="str">
        <f t="shared" si="123"/>
        <v>02.06.03.05</v>
      </c>
      <c r="B230" s="1426">
        <v>141</v>
      </c>
      <c r="C230" s="1414" t="s">
        <v>299</v>
      </c>
      <c r="D230" s="1429" t="s">
        <v>183</v>
      </c>
      <c r="E230" s="1652" t="s">
        <v>283</v>
      </c>
      <c r="F230" s="1653" t="s">
        <v>195</v>
      </c>
      <c r="G230" s="1414"/>
      <c r="H230" s="1455" t="s">
        <v>281</v>
      </c>
      <c r="I230" s="1416">
        <v>2014</v>
      </c>
      <c r="J230" s="1414"/>
      <c r="K230" s="1653"/>
      <c r="L230" s="1414"/>
      <c r="M230" s="1414"/>
      <c r="N230" s="1414"/>
      <c r="O230" s="1416" t="s">
        <v>12</v>
      </c>
      <c r="P230" s="1704">
        <v>3000000</v>
      </c>
      <c r="Q230" s="1598"/>
      <c r="U230" s="1397">
        <f>P230/2</f>
        <v>1500000</v>
      </c>
      <c r="V230" s="1477" t="str">
        <f t="shared" si="137"/>
        <v>02.06.03</v>
      </c>
      <c r="W230" s="1478" t="str">
        <f t="shared" si="124"/>
        <v>Peralatan Komputer</v>
      </c>
      <c r="X230" s="1478">
        <f t="shared" si="125"/>
        <v>4</v>
      </c>
      <c r="Y230" s="1401">
        <f t="shared" si="126"/>
        <v>750000</v>
      </c>
      <c r="Z230" s="1444">
        <f t="shared" si="127"/>
        <v>0</v>
      </c>
      <c r="AA230" s="1401">
        <f t="shared" si="128"/>
        <v>0</v>
      </c>
      <c r="AB230" s="1401">
        <f t="shared" si="129"/>
        <v>750000</v>
      </c>
      <c r="AC230" s="1401">
        <f t="shared" si="130"/>
        <v>750000</v>
      </c>
      <c r="AD230" s="1401">
        <f t="shared" si="131"/>
        <v>750000</v>
      </c>
      <c r="AE230" s="1401">
        <f t="shared" si="132"/>
        <v>750000</v>
      </c>
      <c r="AF230" s="1479">
        <f t="shared" si="133"/>
        <v>0</v>
      </c>
      <c r="AG230" s="1479">
        <f t="shared" si="138"/>
        <v>0</v>
      </c>
      <c r="AH230" s="1479">
        <f t="shared" si="134"/>
        <v>3000000</v>
      </c>
      <c r="AI230" s="1645">
        <f t="shared" si="135"/>
        <v>2014</v>
      </c>
      <c r="AJ230" s="1401">
        <f t="shared" si="136"/>
        <v>0</v>
      </c>
      <c r="AK230" s="1401"/>
    </row>
    <row r="231" spans="1:37" s="1390" customFormat="1" ht="37" customHeight="1" x14ac:dyDescent="0.2">
      <c r="A231" s="1710" t="str">
        <f t="shared" si="123"/>
        <v>02.06.03.05</v>
      </c>
      <c r="B231" s="1426">
        <v>142</v>
      </c>
      <c r="C231" s="1414" t="s">
        <v>299</v>
      </c>
      <c r="D231" s="1429" t="s">
        <v>183</v>
      </c>
      <c r="E231" s="1652" t="s">
        <v>277</v>
      </c>
      <c r="F231" s="1455" t="s">
        <v>300</v>
      </c>
      <c r="G231" s="1414" t="s">
        <v>301</v>
      </c>
      <c r="H231" s="1455" t="s">
        <v>281</v>
      </c>
      <c r="I231" s="1416">
        <v>2014</v>
      </c>
      <c r="J231" s="1414"/>
      <c r="K231" s="1653"/>
      <c r="L231" s="1414"/>
      <c r="M231" s="1414"/>
      <c r="N231" s="1414"/>
      <c r="O231" s="1416" t="s">
        <v>12</v>
      </c>
      <c r="P231" s="1704">
        <v>5000000</v>
      </c>
      <c r="Q231" s="1598"/>
      <c r="U231" s="1397">
        <f>P231/1</f>
        <v>5000000</v>
      </c>
      <c r="V231" s="1477" t="str">
        <f t="shared" si="137"/>
        <v>02.06.03</v>
      </c>
      <c r="W231" s="1478" t="str">
        <f t="shared" si="124"/>
        <v>Peralatan Komputer</v>
      </c>
      <c r="X231" s="1478">
        <f t="shared" si="125"/>
        <v>4</v>
      </c>
      <c r="Y231" s="1401">
        <f t="shared" si="126"/>
        <v>1250000</v>
      </c>
      <c r="Z231" s="1444">
        <f t="shared" si="127"/>
        <v>0</v>
      </c>
      <c r="AA231" s="1401">
        <f t="shared" si="128"/>
        <v>0</v>
      </c>
      <c r="AB231" s="1401">
        <f t="shared" si="129"/>
        <v>1250000</v>
      </c>
      <c r="AC231" s="1401">
        <f t="shared" si="130"/>
        <v>1250000</v>
      </c>
      <c r="AD231" s="1401">
        <f t="shared" si="131"/>
        <v>1250000</v>
      </c>
      <c r="AE231" s="1401">
        <f t="shared" si="132"/>
        <v>1250000</v>
      </c>
      <c r="AF231" s="1479">
        <f t="shared" si="133"/>
        <v>0</v>
      </c>
      <c r="AG231" s="1479">
        <f t="shared" si="138"/>
        <v>0</v>
      </c>
      <c r="AH231" s="1479">
        <f t="shared" si="134"/>
        <v>5000000</v>
      </c>
      <c r="AI231" s="1645">
        <f t="shared" si="135"/>
        <v>2014</v>
      </c>
      <c r="AJ231" s="1401">
        <f t="shared" si="136"/>
        <v>0</v>
      </c>
      <c r="AK231" s="1401"/>
    </row>
    <row r="232" spans="1:37" s="1390" customFormat="1" ht="37" customHeight="1" x14ac:dyDescent="0.2">
      <c r="A232" s="1710" t="str">
        <f t="shared" si="123"/>
        <v>02.06.03.05</v>
      </c>
      <c r="B232" s="1426">
        <v>143</v>
      </c>
      <c r="C232" s="1414" t="s">
        <v>299</v>
      </c>
      <c r="D232" s="1429" t="s">
        <v>183</v>
      </c>
      <c r="E232" s="1652" t="s">
        <v>277</v>
      </c>
      <c r="F232" s="1653" t="s">
        <v>302</v>
      </c>
      <c r="G232" s="1414"/>
      <c r="H232" s="1455" t="s">
        <v>281</v>
      </c>
      <c r="I232" s="1416">
        <v>2014</v>
      </c>
      <c r="J232" s="1414"/>
      <c r="K232" s="1653"/>
      <c r="L232" s="1414"/>
      <c r="M232" s="1414"/>
      <c r="N232" s="1414"/>
      <c r="O232" s="1416" t="s">
        <v>12</v>
      </c>
      <c r="P232" s="1704">
        <v>2000000</v>
      </c>
      <c r="Q232" s="1598"/>
      <c r="U232" s="1397">
        <f>P232/1</f>
        <v>2000000</v>
      </c>
      <c r="V232" s="1477" t="str">
        <f t="shared" si="137"/>
        <v>02.06.03</v>
      </c>
      <c r="W232" s="1478" t="str">
        <f t="shared" si="124"/>
        <v>Peralatan Komputer</v>
      </c>
      <c r="X232" s="1478">
        <f t="shared" si="125"/>
        <v>4</v>
      </c>
      <c r="Y232" s="1401">
        <f t="shared" si="126"/>
        <v>500000</v>
      </c>
      <c r="Z232" s="1444">
        <f t="shared" si="127"/>
        <v>0</v>
      </c>
      <c r="AA232" s="1401">
        <f t="shared" si="128"/>
        <v>0</v>
      </c>
      <c r="AB232" s="1401">
        <f t="shared" si="129"/>
        <v>500000</v>
      </c>
      <c r="AC232" s="1401">
        <f t="shared" si="130"/>
        <v>500000</v>
      </c>
      <c r="AD232" s="1401">
        <f t="shared" si="131"/>
        <v>500000</v>
      </c>
      <c r="AE232" s="1401">
        <f t="shared" si="132"/>
        <v>500000</v>
      </c>
      <c r="AF232" s="1479">
        <f t="shared" si="133"/>
        <v>0</v>
      </c>
      <c r="AG232" s="1479">
        <f t="shared" si="138"/>
        <v>0</v>
      </c>
      <c r="AH232" s="1479">
        <f t="shared" si="134"/>
        <v>2000000</v>
      </c>
      <c r="AI232" s="1645">
        <f t="shared" si="135"/>
        <v>2014</v>
      </c>
      <c r="AJ232" s="1401">
        <f t="shared" si="136"/>
        <v>0</v>
      </c>
      <c r="AK232" s="1401"/>
    </row>
    <row r="233" spans="1:37" s="1390" customFormat="1" ht="37" customHeight="1" x14ac:dyDescent="0.2">
      <c r="A233" s="1710" t="str">
        <f t="shared" si="123"/>
        <v>02.06.01.05</v>
      </c>
      <c r="B233" s="1426">
        <v>144</v>
      </c>
      <c r="C233" s="1414" t="s">
        <v>2322</v>
      </c>
      <c r="D233" s="1429" t="s">
        <v>4712</v>
      </c>
      <c r="E233" s="1652" t="s">
        <v>1697</v>
      </c>
      <c r="F233" s="1653" t="s">
        <v>52</v>
      </c>
      <c r="G233" s="1414"/>
      <c r="H233" s="1455" t="s">
        <v>52</v>
      </c>
      <c r="I233" s="1416">
        <v>2009</v>
      </c>
      <c r="J233" s="1414"/>
      <c r="K233" s="1653"/>
      <c r="L233" s="1414"/>
      <c r="M233" s="1414"/>
      <c r="N233" s="1414"/>
      <c r="O233" s="1416" t="s">
        <v>12</v>
      </c>
      <c r="P233" s="1704">
        <v>6021058.4716146002</v>
      </c>
      <c r="Q233" s="1598"/>
      <c r="U233" s="1397">
        <f>P233/4</f>
        <v>1505264.61790365</v>
      </c>
      <c r="V233" s="1477" t="str">
        <f t="shared" si="137"/>
        <v>02.06.01</v>
      </c>
      <c r="W233" s="1478" t="str">
        <f t="shared" si="124"/>
        <v>Alat Kantor</v>
      </c>
      <c r="X233" s="1478">
        <f t="shared" si="125"/>
        <v>5</v>
      </c>
      <c r="Y233" s="1401">
        <f t="shared" si="126"/>
        <v>1204211.6943229199</v>
      </c>
      <c r="Z233" s="1444">
        <f t="shared" si="127"/>
        <v>5</v>
      </c>
      <c r="AA233" s="1401">
        <f t="shared" si="128"/>
        <v>6021058.4716145992</v>
      </c>
      <c r="AB233" s="1401">
        <f t="shared" si="129"/>
        <v>0</v>
      </c>
      <c r="AC233" s="1401">
        <f t="shared" si="130"/>
        <v>0</v>
      </c>
      <c r="AD233" s="1401">
        <f t="shared" si="131"/>
        <v>0</v>
      </c>
      <c r="AE233" s="1479">
        <f t="shared" si="132"/>
        <v>0</v>
      </c>
      <c r="AF233" s="1479">
        <f t="shared" si="133"/>
        <v>0</v>
      </c>
      <c r="AG233" s="1479">
        <f t="shared" si="138"/>
        <v>0</v>
      </c>
      <c r="AH233" s="1479">
        <f t="shared" si="134"/>
        <v>6021058.4716145992</v>
      </c>
      <c r="AI233" s="1645">
        <f t="shared" si="135"/>
        <v>2009</v>
      </c>
      <c r="AJ233" s="1401">
        <f t="shared" si="136"/>
        <v>0</v>
      </c>
      <c r="AK233" s="1401"/>
    </row>
    <row r="234" spans="1:37" s="1390" customFormat="1" ht="37" customHeight="1" x14ac:dyDescent="0.2">
      <c r="A234" s="1710" t="str">
        <f t="shared" si="123"/>
        <v>02.06.01.05</v>
      </c>
      <c r="B234" s="1426">
        <v>145</v>
      </c>
      <c r="C234" s="1414" t="s">
        <v>2322</v>
      </c>
      <c r="D234" s="1429" t="s">
        <v>4712</v>
      </c>
      <c r="E234" s="1652" t="s">
        <v>1698</v>
      </c>
      <c r="F234" s="1653" t="s">
        <v>52</v>
      </c>
      <c r="G234" s="1414"/>
      <c r="H234" s="1455" t="s">
        <v>52</v>
      </c>
      <c r="I234" s="1416">
        <v>2009</v>
      </c>
      <c r="J234" s="1414"/>
      <c r="K234" s="1653"/>
      <c r="L234" s="1414"/>
      <c r="M234" s="1414"/>
      <c r="N234" s="1414"/>
      <c r="O234" s="1416" t="s">
        <v>12</v>
      </c>
      <c r="P234" s="1704">
        <v>3010529.2358073001</v>
      </c>
      <c r="Q234" s="1598"/>
      <c r="U234" s="1397">
        <f>P234/2</f>
        <v>1505264.61790365</v>
      </c>
      <c r="V234" s="1477" t="str">
        <f t="shared" si="137"/>
        <v>02.06.01</v>
      </c>
      <c r="W234" s="1478" t="str">
        <f t="shared" si="124"/>
        <v>Alat Kantor</v>
      </c>
      <c r="X234" s="1478">
        <f t="shared" si="125"/>
        <v>5</v>
      </c>
      <c r="Y234" s="1401">
        <f t="shared" si="126"/>
        <v>602105.84716145997</v>
      </c>
      <c r="Z234" s="1444">
        <f t="shared" si="127"/>
        <v>5</v>
      </c>
      <c r="AA234" s="1401">
        <f t="shared" si="128"/>
        <v>3010529.2358072996</v>
      </c>
      <c r="AB234" s="1401">
        <f t="shared" si="129"/>
        <v>0</v>
      </c>
      <c r="AC234" s="1401">
        <f t="shared" si="130"/>
        <v>0</v>
      </c>
      <c r="AD234" s="1401">
        <f t="shared" si="131"/>
        <v>0</v>
      </c>
      <c r="AE234" s="1479">
        <f t="shared" si="132"/>
        <v>0</v>
      </c>
      <c r="AF234" s="1479">
        <f t="shared" si="133"/>
        <v>0</v>
      </c>
      <c r="AG234" s="1479">
        <f t="shared" si="138"/>
        <v>0</v>
      </c>
      <c r="AH234" s="1479">
        <f t="shared" si="134"/>
        <v>3010529.2358072996</v>
      </c>
      <c r="AI234" s="1645">
        <f t="shared" si="135"/>
        <v>2009</v>
      </c>
      <c r="AJ234" s="1401">
        <f t="shared" si="136"/>
        <v>0</v>
      </c>
      <c r="AK234" s="1401"/>
    </row>
    <row r="235" spans="1:37" s="1390" customFormat="1" ht="37" customHeight="1" x14ac:dyDescent="0.2">
      <c r="A235" s="1710" t="str">
        <f t="shared" si="123"/>
        <v>02.06.01.05</v>
      </c>
      <c r="B235" s="1426">
        <v>146</v>
      </c>
      <c r="C235" s="1414" t="s">
        <v>2322</v>
      </c>
      <c r="D235" s="1429" t="s">
        <v>4712</v>
      </c>
      <c r="E235" s="1652" t="s">
        <v>1699</v>
      </c>
      <c r="F235" s="1653" t="s">
        <v>52</v>
      </c>
      <c r="G235" s="1414"/>
      <c r="H235" s="1455" t="s">
        <v>52</v>
      </c>
      <c r="I235" s="1416">
        <v>2009</v>
      </c>
      <c r="J235" s="1414"/>
      <c r="K235" s="1653"/>
      <c r="L235" s="1414"/>
      <c r="M235" s="1414"/>
      <c r="N235" s="1414"/>
      <c r="O235" s="1416" t="s">
        <v>12</v>
      </c>
      <c r="P235" s="1704">
        <v>3010529.2358073001</v>
      </c>
      <c r="Q235" s="1598"/>
      <c r="U235" s="1397">
        <f>P235/2</f>
        <v>1505264.61790365</v>
      </c>
      <c r="V235" s="1477" t="str">
        <f t="shared" si="137"/>
        <v>02.06.01</v>
      </c>
      <c r="W235" s="1478" t="str">
        <f t="shared" si="124"/>
        <v>Alat Kantor</v>
      </c>
      <c r="X235" s="1478">
        <f t="shared" si="125"/>
        <v>5</v>
      </c>
      <c r="Y235" s="1401">
        <f t="shared" si="126"/>
        <v>602105.84716145997</v>
      </c>
      <c r="Z235" s="1444">
        <f t="shared" si="127"/>
        <v>5</v>
      </c>
      <c r="AA235" s="1401">
        <f t="shared" si="128"/>
        <v>3010529.2358072996</v>
      </c>
      <c r="AB235" s="1401">
        <f t="shared" si="129"/>
        <v>0</v>
      </c>
      <c r="AC235" s="1401">
        <f t="shared" si="130"/>
        <v>0</v>
      </c>
      <c r="AD235" s="1401">
        <f t="shared" si="131"/>
        <v>0</v>
      </c>
      <c r="AE235" s="1479">
        <f t="shared" si="132"/>
        <v>0</v>
      </c>
      <c r="AF235" s="1479">
        <f t="shared" si="133"/>
        <v>0</v>
      </c>
      <c r="AG235" s="1479">
        <f t="shared" si="138"/>
        <v>0</v>
      </c>
      <c r="AH235" s="1479">
        <f t="shared" si="134"/>
        <v>3010529.2358072996</v>
      </c>
      <c r="AI235" s="1645">
        <f t="shared" si="135"/>
        <v>2009</v>
      </c>
      <c r="AJ235" s="1401">
        <f t="shared" si="136"/>
        <v>0</v>
      </c>
      <c r="AK235" s="1401"/>
    </row>
    <row r="236" spans="1:37" s="1390" customFormat="1" ht="37" customHeight="1" x14ac:dyDescent="0.2">
      <c r="A236" s="1710" t="str">
        <f t="shared" si="123"/>
        <v>02.06.01.05</v>
      </c>
      <c r="B236" s="1426">
        <v>147</v>
      </c>
      <c r="C236" s="1414" t="s">
        <v>2322</v>
      </c>
      <c r="D236" s="1429" t="s">
        <v>4712</v>
      </c>
      <c r="E236" s="1652" t="s">
        <v>1700</v>
      </c>
      <c r="F236" s="1653" t="s">
        <v>52</v>
      </c>
      <c r="G236" s="1414"/>
      <c r="H236" s="1455" t="s">
        <v>52</v>
      </c>
      <c r="I236" s="1416">
        <v>2009</v>
      </c>
      <c r="J236" s="1414"/>
      <c r="K236" s="1653"/>
      <c r="L236" s="1414"/>
      <c r="M236" s="1414"/>
      <c r="N236" s="1414"/>
      <c r="O236" s="1416" t="s">
        <v>12</v>
      </c>
      <c r="P236" s="1704">
        <v>4515793.8537109504</v>
      </c>
      <c r="Q236" s="1598"/>
      <c r="U236" s="1397">
        <f>P236/3</f>
        <v>1505264.61790365</v>
      </c>
      <c r="V236" s="1477" t="str">
        <f t="shared" si="137"/>
        <v>02.06.01</v>
      </c>
      <c r="W236" s="1478" t="str">
        <f t="shared" si="124"/>
        <v>Alat Kantor</v>
      </c>
      <c r="X236" s="1478">
        <f t="shared" si="125"/>
        <v>5</v>
      </c>
      <c r="Y236" s="1401">
        <f t="shared" si="126"/>
        <v>903158.77074219007</v>
      </c>
      <c r="Z236" s="1444">
        <f t="shared" si="127"/>
        <v>5</v>
      </c>
      <c r="AA236" s="1401">
        <f t="shared" si="128"/>
        <v>4515793.8537109504</v>
      </c>
      <c r="AB236" s="1401">
        <f t="shared" si="129"/>
        <v>0</v>
      </c>
      <c r="AC236" s="1401">
        <f t="shared" si="130"/>
        <v>0</v>
      </c>
      <c r="AD236" s="1401">
        <f t="shared" si="131"/>
        <v>0</v>
      </c>
      <c r="AE236" s="1479">
        <f t="shared" si="132"/>
        <v>0</v>
      </c>
      <c r="AF236" s="1479">
        <f t="shared" si="133"/>
        <v>0</v>
      </c>
      <c r="AG236" s="1479">
        <f t="shared" si="138"/>
        <v>0</v>
      </c>
      <c r="AH236" s="1479">
        <f t="shared" si="134"/>
        <v>4515793.8537109504</v>
      </c>
      <c r="AI236" s="1645">
        <f t="shared" si="135"/>
        <v>2009</v>
      </c>
      <c r="AJ236" s="1401">
        <f t="shared" si="136"/>
        <v>0</v>
      </c>
      <c r="AK236" s="1401"/>
    </row>
    <row r="237" spans="1:37" s="1390" customFormat="1" ht="37" customHeight="1" x14ac:dyDescent="0.2">
      <c r="A237" s="1710" t="str">
        <f t="shared" si="123"/>
        <v>02.06.01.05</v>
      </c>
      <c r="B237" s="1426">
        <v>148</v>
      </c>
      <c r="C237" s="1414" t="s">
        <v>2322</v>
      </c>
      <c r="D237" s="1429" t="s">
        <v>4712</v>
      </c>
      <c r="E237" s="1652" t="s">
        <v>1701</v>
      </c>
      <c r="F237" s="1653" t="s">
        <v>52</v>
      </c>
      <c r="G237" s="1414"/>
      <c r="H237" s="1455" t="s">
        <v>52</v>
      </c>
      <c r="I237" s="1416">
        <v>2009</v>
      </c>
      <c r="J237" s="1414"/>
      <c r="K237" s="1653"/>
      <c r="L237" s="1414"/>
      <c r="M237" s="1414"/>
      <c r="N237" s="1414"/>
      <c r="O237" s="1416" t="s">
        <v>12</v>
      </c>
      <c r="P237" s="1704">
        <v>1505264.61790365</v>
      </c>
      <c r="Q237" s="1598"/>
      <c r="V237" s="1477" t="str">
        <f t="shared" si="137"/>
        <v>02.06.01</v>
      </c>
      <c r="W237" s="1478" t="str">
        <f t="shared" si="124"/>
        <v>Alat Kantor</v>
      </c>
      <c r="X237" s="1478">
        <f t="shared" si="125"/>
        <v>5</v>
      </c>
      <c r="Y237" s="1401">
        <f t="shared" si="126"/>
        <v>301052.92358072998</v>
      </c>
      <c r="Z237" s="1444">
        <f t="shared" si="127"/>
        <v>5</v>
      </c>
      <c r="AA237" s="1401">
        <f t="shared" si="128"/>
        <v>1505264.6179036498</v>
      </c>
      <c r="AB237" s="1401">
        <f t="shared" si="129"/>
        <v>0</v>
      </c>
      <c r="AC237" s="1401">
        <f t="shared" si="130"/>
        <v>0</v>
      </c>
      <c r="AD237" s="1401">
        <f t="shared" si="131"/>
        <v>0</v>
      </c>
      <c r="AE237" s="1479">
        <f t="shared" si="132"/>
        <v>0</v>
      </c>
      <c r="AF237" s="1479">
        <f t="shared" si="133"/>
        <v>0</v>
      </c>
      <c r="AG237" s="1479">
        <f t="shared" si="138"/>
        <v>0</v>
      </c>
      <c r="AH237" s="1479">
        <f t="shared" si="134"/>
        <v>1505264.6179036498</v>
      </c>
      <c r="AI237" s="1645">
        <f t="shared" si="135"/>
        <v>2009</v>
      </c>
      <c r="AJ237" s="1401">
        <f t="shared" si="136"/>
        <v>0</v>
      </c>
      <c r="AK237" s="1401"/>
    </row>
    <row r="238" spans="1:37" s="1390" customFormat="1" ht="37" customHeight="1" x14ac:dyDescent="0.2">
      <c r="A238" s="1710" t="str">
        <f t="shared" si="123"/>
        <v>02.06.01.05</v>
      </c>
      <c r="B238" s="1426">
        <v>149</v>
      </c>
      <c r="C238" s="1414" t="s">
        <v>2322</v>
      </c>
      <c r="D238" s="1429" t="s">
        <v>4712</v>
      </c>
      <c r="E238" s="1652" t="s">
        <v>1702</v>
      </c>
      <c r="F238" s="1653" t="s">
        <v>52</v>
      </c>
      <c r="G238" s="1414"/>
      <c r="H238" s="1455" t="s">
        <v>52</v>
      </c>
      <c r="I238" s="1416">
        <v>2009</v>
      </c>
      <c r="J238" s="1414"/>
      <c r="K238" s="1653"/>
      <c r="L238" s="1414"/>
      <c r="M238" s="1414"/>
      <c r="N238" s="1414"/>
      <c r="O238" s="1416" t="s">
        <v>12</v>
      </c>
      <c r="P238" s="1704">
        <v>4515793.8537109504</v>
      </c>
      <c r="Q238" s="1598"/>
      <c r="U238" s="1397">
        <f>P238/3</f>
        <v>1505264.61790365</v>
      </c>
      <c r="V238" s="1477" t="str">
        <f t="shared" si="137"/>
        <v>02.06.01</v>
      </c>
      <c r="W238" s="1478" t="str">
        <f t="shared" si="124"/>
        <v>Alat Kantor</v>
      </c>
      <c r="X238" s="1478">
        <f t="shared" si="125"/>
        <v>5</v>
      </c>
      <c r="Y238" s="1401">
        <f t="shared" si="126"/>
        <v>903158.77074219007</v>
      </c>
      <c r="Z238" s="1444">
        <f t="shared" si="127"/>
        <v>5</v>
      </c>
      <c r="AA238" s="1401">
        <f t="shared" si="128"/>
        <v>4515793.8537109504</v>
      </c>
      <c r="AB238" s="1401">
        <f t="shared" si="129"/>
        <v>0</v>
      </c>
      <c r="AC238" s="1401">
        <f t="shared" si="130"/>
        <v>0</v>
      </c>
      <c r="AD238" s="1401">
        <f t="shared" si="131"/>
        <v>0</v>
      </c>
      <c r="AE238" s="1479">
        <f t="shared" si="132"/>
        <v>0</v>
      </c>
      <c r="AF238" s="1479">
        <f t="shared" si="133"/>
        <v>0</v>
      </c>
      <c r="AG238" s="1479">
        <f t="shared" si="138"/>
        <v>0</v>
      </c>
      <c r="AH238" s="1479">
        <f t="shared" si="134"/>
        <v>4515793.8537109504</v>
      </c>
      <c r="AI238" s="1645">
        <f t="shared" si="135"/>
        <v>2009</v>
      </c>
      <c r="AJ238" s="1401">
        <f t="shared" si="136"/>
        <v>0</v>
      </c>
      <c r="AK238" s="1401"/>
    </row>
    <row r="239" spans="1:37" s="1390" customFormat="1" ht="37" customHeight="1" x14ac:dyDescent="0.2">
      <c r="A239" s="1710" t="str">
        <f t="shared" si="123"/>
        <v>02.06.01.05</v>
      </c>
      <c r="B239" s="1426">
        <v>150</v>
      </c>
      <c r="C239" s="1414" t="s">
        <v>2322</v>
      </c>
      <c r="D239" s="1429" t="s">
        <v>4712</v>
      </c>
      <c r="E239" s="1652" t="s">
        <v>1703</v>
      </c>
      <c r="F239" s="1653" t="s">
        <v>52</v>
      </c>
      <c r="G239" s="1414"/>
      <c r="H239" s="1455" t="s">
        <v>52</v>
      </c>
      <c r="I239" s="1416">
        <v>2009</v>
      </c>
      <c r="J239" s="1414"/>
      <c r="K239" s="1653"/>
      <c r="L239" s="1414"/>
      <c r="M239" s="1414"/>
      <c r="N239" s="1414"/>
      <c r="O239" s="1416" t="s">
        <v>12</v>
      </c>
      <c r="P239" s="1704">
        <v>21073704.650651101</v>
      </c>
      <c r="Q239" s="1598"/>
      <c r="U239" s="1397">
        <f>P239/14</f>
        <v>1505264.61790365</v>
      </c>
      <c r="V239" s="1477" t="str">
        <f t="shared" si="137"/>
        <v>02.06.01</v>
      </c>
      <c r="W239" s="1478" t="str">
        <f t="shared" si="124"/>
        <v>Alat Kantor</v>
      </c>
      <c r="X239" s="1478">
        <f t="shared" si="125"/>
        <v>5</v>
      </c>
      <c r="Y239" s="1401">
        <f t="shared" si="126"/>
        <v>4214740.93013022</v>
      </c>
      <c r="Z239" s="1444">
        <f t="shared" si="127"/>
        <v>5</v>
      </c>
      <c r="AA239" s="1401">
        <f t="shared" si="128"/>
        <v>21073704.650651101</v>
      </c>
      <c r="AB239" s="1401">
        <f t="shared" si="129"/>
        <v>0</v>
      </c>
      <c r="AC239" s="1401">
        <f t="shared" si="130"/>
        <v>0</v>
      </c>
      <c r="AD239" s="1401">
        <f t="shared" si="131"/>
        <v>0</v>
      </c>
      <c r="AE239" s="1479">
        <f t="shared" si="132"/>
        <v>0</v>
      </c>
      <c r="AF239" s="1479">
        <f t="shared" si="133"/>
        <v>0</v>
      </c>
      <c r="AG239" s="1479">
        <f t="shared" si="138"/>
        <v>0</v>
      </c>
      <c r="AH239" s="1479">
        <f t="shared" si="134"/>
        <v>21073704.650651101</v>
      </c>
      <c r="AI239" s="1645">
        <f t="shared" si="135"/>
        <v>2009</v>
      </c>
      <c r="AJ239" s="1401">
        <f t="shared" si="136"/>
        <v>0</v>
      </c>
      <c r="AK239" s="1401"/>
    </row>
    <row r="240" spans="1:37" s="1390" customFormat="1" ht="37" customHeight="1" x14ac:dyDescent="0.2">
      <c r="A240" s="1710" t="str">
        <f t="shared" si="123"/>
        <v>02.06.04.07</v>
      </c>
      <c r="B240" s="1426">
        <v>151</v>
      </c>
      <c r="C240" s="1414" t="s">
        <v>2323</v>
      </c>
      <c r="D240" s="1429" t="s">
        <v>934</v>
      </c>
      <c r="E240" s="1652" t="s">
        <v>1705</v>
      </c>
      <c r="F240" s="1653" t="s">
        <v>52</v>
      </c>
      <c r="G240" s="1414"/>
      <c r="H240" s="1455" t="s">
        <v>52</v>
      </c>
      <c r="I240" s="1416">
        <v>2009</v>
      </c>
      <c r="J240" s="1414"/>
      <c r="K240" s="1653"/>
      <c r="L240" s="1414"/>
      <c r="M240" s="1414"/>
      <c r="N240" s="1414"/>
      <c r="O240" s="1416" t="s">
        <v>12</v>
      </c>
      <c r="P240" s="1704">
        <v>14968181.25</v>
      </c>
      <c r="Q240" s="1598"/>
      <c r="U240" s="1397">
        <f>P240/3</f>
        <v>4989393.75</v>
      </c>
      <c r="V240" s="1477" t="str">
        <f t="shared" si="137"/>
        <v>02.06.04</v>
      </c>
      <c r="W240" s="1478" t="str">
        <f t="shared" si="124"/>
        <v>Meja Dan Kursi Kerja/Rapat Pejabat</v>
      </c>
      <c r="X240" s="1478">
        <f t="shared" si="125"/>
        <v>5</v>
      </c>
      <c r="Y240" s="1401">
        <f t="shared" si="126"/>
        <v>2993636.25</v>
      </c>
      <c r="Z240" s="1444">
        <f t="shared" si="127"/>
        <v>5</v>
      </c>
      <c r="AA240" s="1401">
        <f t="shared" si="128"/>
        <v>14968181.25</v>
      </c>
      <c r="AB240" s="1401">
        <f t="shared" si="129"/>
        <v>0</v>
      </c>
      <c r="AC240" s="1401">
        <f t="shared" si="130"/>
        <v>0</v>
      </c>
      <c r="AD240" s="1401">
        <f t="shared" si="131"/>
        <v>0</v>
      </c>
      <c r="AE240" s="1479">
        <f t="shared" si="132"/>
        <v>0</v>
      </c>
      <c r="AF240" s="1479">
        <f t="shared" si="133"/>
        <v>0</v>
      </c>
      <c r="AG240" s="1479">
        <f t="shared" si="138"/>
        <v>0</v>
      </c>
      <c r="AH240" s="1479">
        <f t="shared" si="134"/>
        <v>14968181.25</v>
      </c>
      <c r="AI240" s="1645">
        <f t="shared" si="135"/>
        <v>2009</v>
      </c>
      <c r="AJ240" s="1401">
        <f t="shared" si="136"/>
        <v>0</v>
      </c>
      <c r="AK240" s="1401"/>
    </row>
    <row r="241" spans="1:37" s="1390" customFormat="1" ht="37" customHeight="1" x14ac:dyDescent="0.2">
      <c r="A241" s="1710" t="str">
        <f t="shared" si="123"/>
        <v>02.06.04.07</v>
      </c>
      <c r="B241" s="1426">
        <v>152</v>
      </c>
      <c r="C241" s="1414" t="s">
        <v>2323</v>
      </c>
      <c r="D241" s="1429" t="s">
        <v>934</v>
      </c>
      <c r="E241" s="1652" t="s">
        <v>265</v>
      </c>
      <c r="F241" s="1653" t="s">
        <v>52</v>
      </c>
      <c r="G241" s="1414"/>
      <c r="H241" s="1455" t="s">
        <v>52</v>
      </c>
      <c r="I241" s="1416">
        <v>2009</v>
      </c>
      <c r="J241" s="1414"/>
      <c r="K241" s="1653"/>
      <c r="L241" s="1414"/>
      <c r="M241" s="1414"/>
      <c r="N241" s="1414"/>
      <c r="O241" s="1416" t="s">
        <v>12</v>
      </c>
      <c r="P241" s="1704">
        <v>4989393.75</v>
      </c>
      <c r="Q241" s="1598"/>
      <c r="V241" s="1477" t="str">
        <f t="shared" si="137"/>
        <v>02.06.04</v>
      </c>
      <c r="W241" s="1478" t="str">
        <f t="shared" si="124"/>
        <v>Meja Dan Kursi Kerja/Rapat Pejabat</v>
      </c>
      <c r="X241" s="1478">
        <f t="shared" si="125"/>
        <v>5</v>
      </c>
      <c r="Y241" s="1401">
        <f t="shared" si="126"/>
        <v>997878.75</v>
      </c>
      <c r="Z241" s="1444">
        <f t="shared" si="127"/>
        <v>5</v>
      </c>
      <c r="AA241" s="1401">
        <f t="shared" si="128"/>
        <v>4989393.75</v>
      </c>
      <c r="AB241" s="1401">
        <f t="shared" si="129"/>
        <v>0</v>
      </c>
      <c r="AC241" s="1401">
        <f t="shared" si="130"/>
        <v>0</v>
      </c>
      <c r="AD241" s="1401">
        <f t="shared" si="131"/>
        <v>0</v>
      </c>
      <c r="AE241" s="1479">
        <f t="shared" si="132"/>
        <v>0</v>
      </c>
      <c r="AF241" s="1479">
        <f t="shared" si="133"/>
        <v>0</v>
      </c>
      <c r="AG241" s="1479">
        <f t="shared" si="138"/>
        <v>0</v>
      </c>
      <c r="AH241" s="1479">
        <f t="shared" si="134"/>
        <v>4989393.75</v>
      </c>
      <c r="AI241" s="1645">
        <f t="shared" si="135"/>
        <v>2009</v>
      </c>
      <c r="AJ241" s="1401">
        <f t="shared" si="136"/>
        <v>0</v>
      </c>
      <c r="AK241" s="1401"/>
    </row>
    <row r="242" spans="1:37" s="1390" customFormat="1" ht="37" customHeight="1" x14ac:dyDescent="0.2">
      <c r="A242" s="1710" t="str">
        <f t="shared" si="123"/>
        <v>02.06.01.04</v>
      </c>
      <c r="B242" s="1426">
        <v>153</v>
      </c>
      <c r="C242" s="1414" t="s">
        <v>2324</v>
      </c>
      <c r="D242" s="1429" t="s">
        <v>4713</v>
      </c>
      <c r="E242" s="1652" t="s">
        <v>1707</v>
      </c>
      <c r="F242" s="1653" t="s">
        <v>52</v>
      </c>
      <c r="G242" s="1414"/>
      <c r="H242" s="1455" t="s">
        <v>52</v>
      </c>
      <c r="I242" s="1416">
        <v>2009</v>
      </c>
      <c r="J242" s="1414"/>
      <c r="K242" s="1653"/>
      <c r="L242" s="1414"/>
      <c r="M242" s="1414"/>
      <c r="N242" s="1414"/>
      <c r="O242" s="1416" t="s">
        <v>12</v>
      </c>
      <c r="P242" s="1704">
        <v>4938995.833333334</v>
      </c>
      <c r="Q242" s="1598"/>
      <c r="U242" s="1397">
        <f>P242/2</f>
        <v>2469497.916666667</v>
      </c>
      <c r="V242" s="1477" t="str">
        <f t="shared" si="137"/>
        <v>02.06.01</v>
      </c>
      <c r="W242" s="1478" t="str">
        <f t="shared" si="124"/>
        <v>Alat Kantor</v>
      </c>
      <c r="X242" s="1478">
        <f t="shared" si="125"/>
        <v>5</v>
      </c>
      <c r="Y242" s="1401">
        <f t="shared" si="126"/>
        <v>987799.16666666674</v>
      </c>
      <c r="Z242" s="1444">
        <f t="shared" si="127"/>
        <v>5</v>
      </c>
      <c r="AA242" s="1401">
        <f t="shared" si="128"/>
        <v>4938995.833333334</v>
      </c>
      <c r="AB242" s="1401">
        <f t="shared" si="129"/>
        <v>0</v>
      </c>
      <c r="AC242" s="1401">
        <f t="shared" si="130"/>
        <v>0</v>
      </c>
      <c r="AD242" s="1401">
        <f t="shared" si="131"/>
        <v>0</v>
      </c>
      <c r="AE242" s="1479">
        <f t="shared" si="132"/>
        <v>0</v>
      </c>
      <c r="AF242" s="1479">
        <f t="shared" si="133"/>
        <v>0</v>
      </c>
      <c r="AG242" s="1479">
        <f t="shared" si="138"/>
        <v>0</v>
      </c>
      <c r="AH242" s="1479">
        <f t="shared" si="134"/>
        <v>4938995.833333334</v>
      </c>
      <c r="AI242" s="1645">
        <f t="shared" si="135"/>
        <v>2009</v>
      </c>
      <c r="AJ242" s="1401">
        <f t="shared" si="136"/>
        <v>0</v>
      </c>
      <c r="AK242" s="1401"/>
    </row>
    <row r="243" spans="1:37" s="1390" customFormat="1" ht="37" customHeight="1" x14ac:dyDescent="0.2">
      <c r="A243" s="1710" t="str">
        <f t="shared" si="123"/>
        <v>02.06.01.04</v>
      </c>
      <c r="B243" s="1426">
        <v>154</v>
      </c>
      <c r="C243" s="1414" t="s">
        <v>2324</v>
      </c>
      <c r="D243" s="1429" t="s">
        <v>4713</v>
      </c>
      <c r="E243" s="1652" t="s">
        <v>1708</v>
      </c>
      <c r="F243" s="1653" t="s">
        <v>52</v>
      </c>
      <c r="G243" s="1414"/>
      <c r="H243" s="1455" t="s">
        <v>52</v>
      </c>
      <c r="I243" s="1416">
        <v>2009</v>
      </c>
      <c r="J243" s="1414"/>
      <c r="K243" s="1653"/>
      <c r="L243" s="1414"/>
      <c r="M243" s="1414"/>
      <c r="N243" s="1414"/>
      <c r="O243" s="1416" t="s">
        <v>12</v>
      </c>
      <c r="P243" s="1704">
        <v>4938995.833333334</v>
      </c>
      <c r="Q243" s="1598"/>
      <c r="U243" s="1397">
        <f>P243/2</f>
        <v>2469497.916666667</v>
      </c>
      <c r="V243" s="1477" t="str">
        <f t="shared" si="137"/>
        <v>02.06.01</v>
      </c>
      <c r="W243" s="1478" t="str">
        <f t="shared" si="124"/>
        <v>Alat Kantor</v>
      </c>
      <c r="X243" s="1478">
        <f t="shared" si="125"/>
        <v>5</v>
      </c>
      <c r="Y243" s="1401">
        <f t="shared" si="126"/>
        <v>987799.16666666674</v>
      </c>
      <c r="Z243" s="1444">
        <f t="shared" si="127"/>
        <v>5</v>
      </c>
      <c r="AA243" s="1401">
        <f t="shared" si="128"/>
        <v>4938995.833333334</v>
      </c>
      <c r="AB243" s="1401">
        <f t="shared" si="129"/>
        <v>0</v>
      </c>
      <c r="AC243" s="1401">
        <f t="shared" si="130"/>
        <v>0</v>
      </c>
      <c r="AD243" s="1401">
        <f t="shared" si="131"/>
        <v>0</v>
      </c>
      <c r="AE243" s="1479">
        <f t="shared" si="132"/>
        <v>0</v>
      </c>
      <c r="AF243" s="1479">
        <f t="shared" si="133"/>
        <v>0</v>
      </c>
      <c r="AG243" s="1479">
        <f t="shared" si="138"/>
        <v>0</v>
      </c>
      <c r="AH243" s="1479">
        <f t="shared" si="134"/>
        <v>4938995.833333334</v>
      </c>
      <c r="AI243" s="1645">
        <f t="shared" si="135"/>
        <v>2009</v>
      </c>
      <c r="AJ243" s="1401">
        <f t="shared" si="136"/>
        <v>0</v>
      </c>
      <c r="AK243" s="1401"/>
    </row>
    <row r="244" spans="1:37" s="1390" customFormat="1" ht="37" customHeight="1" x14ac:dyDescent="0.2">
      <c r="A244" s="1710" t="str">
        <f t="shared" si="123"/>
        <v>02.06.01.04</v>
      </c>
      <c r="B244" s="1426">
        <v>155</v>
      </c>
      <c r="C244" s="1414" t="s">
        <v>2324</v>
      </c>
      <c r="D244" s="1429" t="s">
        <v>4713</v>
      </c>
      <c r="E244" s="1652" t="s">
        <v>1709</v>
      </c>
      <c r="F244" s="1653" t="s">
        <v>52</v>
      </c>
      <c r="G244" s="1414"/>
      <c r="H244" s="1455" t="s">
        <v>52</v>
      </c>
      <c r="I244" s="1416">
        <v>2009</v>
      </c>
      <c r="J244" s="1414"/>
      <c r="K244" s="1653"/>
      <c r="L244" s="1414"/>
      <c r="M244" s="1414"/>
      <c r="N244" s="1414"/>
      <c r="O244" s="1416" t="s">
        <v>12</v>
      </c>
      <c r="P244" s="1704">
        <v>7408493.7500000009</v>
      </c>
      <c r="Q244" s="1598"/>
      <c r="U244" s="1397">
        <f>P244/3</f>
        <v>2469497.916666667</v>
      </c>
      <c r="V244" s="1477" t="str">
        <f t="shared" si="137"/>
        <v>02.06.01</v>
      </c>
      <c r="W244" s="1478" t="str">
        <f t="shared" si="124"/>
        <v>Alat Kantor</v>
      </c>
      <c r="X244" s="1478">
        <f t="shared" si="125"/>
        <v>5</v>
      </c>
      <c r="Y244" s="1401">
        <f t="shared" si="126"/>
        <v>1481698.7500000002</v>
      </c>
      <c r="Z244" s="1444">
        <f t="shared" si="127"/>
        <v>5</v>
      </c>
      <c r="AA244" s="1401">
        <f t="shared" si="128"/>
        <v>7408493.7500000009</v>
      </c>
      <c r="AB244" s="1401">
        <f t="shared" si="129"/>
        <v>0</v>
      </c>
      <c r="AC244" s="1401">
        <f t="shared" si="130"/>
        <v>0</v>
      </c>
      <c r="AD244" s="1401">
        <f t="shared" si="131"/>
        <v>0</v>
      </c>
      <c r="AE244" s="1479">
        <f t="shared" si="132"/>
        <v>0</v>
      </c>
      <c r="AF244" s="1479">
        <f t="shared" si="133"/>
        <v>0</v>
      </c>
      <c r="AG244" s="1479">
        <f t="shared" si="138"/>
        <v>0</v>
      </c>
      <c r="AH244" s="1479">
        <f t="shared" si="134"/>
        <v>7408493.7500000009</v>
      </c>
      <c r="AI244" s="1645">
        <f t="shared" si="135"/>
        <v>2009</v>
      </c>
      <c r="AJ244" s="1401">
        <f t="shared" si="136"/>
        <v>0</v>
      </c>
      <c r="AK244" s="1401"/>
    </row>
    <row r="245" spans="1:37" s="1390" customFormat="1" ht="37" customHeight="1" x14ac:dyDescent="0.2">
      <c r="A245" s="1710" t="str">
        <f t="shared" si="123"/>
        <v>02.06.04.01</v>
      </c>
      <c r="B245" s="1426">
        <v>156</v>
      </c>
      <c r="C245" s="1414" t="s">
        <v>2325</v>
      </c>
      <c r="D245" s="1429" t="s">
        <v>4714</v>
      </c>
      <c r="E245" s="1652" t="s">
        <v>263</v>
      </c>
      <c r="F245" s="1653" t="s">
        <v>52</v>
      </c>
      <c r="G245" s="1414"/>
      <c r="H245" s="1455" t="s">
        <v>52</v>
      </c>
      <c r="I245" s="1416">
        <v>2009</v>
      </c>
      <c r="J245" s="1414"/>
      <c r="K245" s="1653"/>
      <c r="L245" s="1414"/>
      <c r="M245" s="1414"/>
      <c r="N245" s="1414"/>
      <c r="O245" s="1416" t="s">
        <v>12</v>
      </c>
      <c r="P245" s="1704">
        <v>4830000</v>
      </c>
      <c r="Q245" s="1598"/>
      <c r="V245" s="1477" t="str">
        <f t="shared" si="137"/>
        <v>02.06.04</v>
      </c>
      <c r="W245" s="1478" t="str">
        <f t="shared" si="124"/>
        <v>Meja Dan Kursi Kerja/Rapat Pejabat</v>
      </c>
      <c r="X245" s="1478">
        <f t="shared" si="125"/>
        <v>5</v>
      </c>
      <c r="Y245" s="1401">
        <f t="shared" si="126"/>
        <v>966000</v>
      </c>
      <c r="Z245" s="1444">
        <f t="shared" si="127"/>
        <v>5</v>
      </c>
      <c r="AA245" s="1401">
        <f t="shared" si="128"/>
        <v>4830000</v>
      </c>
      <c r="AB245" s="1401">
        <f t="shared" si="129"/>
        <v>0</v>
      </c>
      <c r="AC245" s="1401">
        <f t="shared" si="130"/>
        <v>0</v>
      </c>
      <c r="AD245" s="1401">
        <f t="shared" si="131"/>
        <v>0</v>
      </c>
      <c r="AE245" s="1479">
        <f t="shared" si="132"/>
        <v>0</v>
      </c>
      <c r="AF245" s="1479">
        <f t="shared" si="133"/>
        <v>0</v>
      </c>
      <c r="AG245" s="1479">
        <f t="shared" si="138"/>
        <v>0</v>
      </c>
      <c r="AH245" s="1479">
        <f t="shared" si="134"/>
        <v>4830000</v>
      </c>
      <c r="AI245" s="1645">
        <f t="shared" si="135"/>
        <v>2009</v>
      </c>
      <c r="AJ245" s="1401">
        <f t="shared" si="136"/>
        <v>0</v>
      </c>
      <c r="AK245" s="1401"/>
    </row>
    <row r="246" spans="1:37" s="1390" customFormat="1" ht="37" customHeight="1" x14ac:dyDescent="0.2">
      <c r="A246" s="1710" t="str">
        <f t="shared" si="123"/>
        <v>02.06.04.01</v>
      </c>
      <c r="B246" s="1426">
        <v>157</v>
      </c>
      <c r="C246" s="1414" t="s">
        <v>2325</v>
      </c>
      <c r="D246" s="1429" t="s">
        <v>4714</v>
      </c>
      <c r="E246" s="1652" t="s">
        <v>264</v>
      </c>
      <c r="F246" s="1653" t="s">
        <v>52</v>
      </c>
      <c r="G246" s="1414"/>
      <c r="H246" s="1455" t="s">
        <v>52</v>
      </c>
      <c r="I246" s="1416">
        <v>2009</v>
      </c>
      <c r="J246" s="1414"/>
      <c r="K246" s="1653"/>
      <c r="L246" s="1414"/>
      <c r="M246" s="1414"/>
      <c r="N246" s="1414"/>
      <c r="O246" s="1416" t="s">
        <v>12</v>
      </c>
      <c r="P246" s="1704">
        <v>4830000</v>
      </c>
      <c r="Q246" s="1598"/>
      <c r="V246" s="1477" t="str">
        <f t="shared" si="137"/>
        <v>02.06.04</v>
      </c>
      <c r="W246" s="1478" t="str">
        <f t="shared" si="124"/>
        <v>Meja Dan Kursi Kerja/Rapat Pejabat</v>
      </c>
      <c r="X246" s="1478">
        <f t="shared" si="125"/>
        <v>5</v>
      </c>
      <c r="Y246" s="1401">
        <f t="shared" si="126"/>
        <v>966000</v>
      </c>
      <c r="Z246" s="1444">
        <f t="shared" si="127"/>
        <v>5</v>
      </c>
      <c r="AA246" s="1401">
        <f t="shared" si="128"/>
        <v>4830000</v>
      </c>
      <c r="AB246" s="1401">
        <f t="shared" si="129"/>
        <v>0</v>
      </c>
      <c r="AC246" s="1401">
        <f t="shared" si="130"/>
        <v>0</v>
      </c>
      <c r="AD246" s="1401">
        <f t="shared" si="131"/>
        <v>0</v>
      </c>
      <c r="AE246" s="1479">
        <f t="shared" si="132"/>
        <v>0</v>
      </c>
      <c r="AF246" s="1479">
        <f t="shared" si="133"/>
        <v>0</v>
      </c>
      <c r="AG246" s="1479">
        <f t="shared" si="138"/>
        <v>0</v>
      </c>
      <c r="AH246" s="1479">
        <f t="shared" si="134"/>
        <v>4830000</v>
      </c>
      <c r="AI246" s="1645">
        <f t="shared" si="135"/>
        <v>2009</v>
      </c>
      <c r="AJ246" s="1401">
        <f t="shared" si="136"/>
        <v>0</v>
      </c>
      <c r="AK246" s="1401"/>
    </row>
    <row r="247" spans="1:37" s="1390" customFormat="1" ht="37" customHeight="1" x14ac:dyDescent="0.2">
      <c r="A247" s="1710" t="str">
        <f t="shared" si="123"/>
        <v>02.06.04.01</v>
      </c>
      <c r="B247" s="1426">
        <v>158</v>
      </c>
      <c r="C247" s="1414" t="s">
        <v>2326</v>
      </c>
      <c r="D247" s="1429" t="s">
        <v>4715</v>
      </c>
      <c r="E247" s="1652" t="s">
        <v>1712</v>
      </c>
      <c r="F247" s="1653" t="s">
        <v>52</v>
      </c>
      <c r="G247" s="1414"/>
      <c r="H247" s="1455" t="s">
        <v>52</v>
      </c>
      <c r="I247" s="1416">
        <v>2009</v>
      </c>
      <c r="J247" s="1414"/>
      <c r="K247" s="1653"/>
      <c r="L247" s="1414"/>
      <c r="M247" s="1414"/>
      <c r="N247" s="1414"/>
      <c r="O247" s="1416" t="s">
        <v>12</v>
      </c>
      <c r="P247" s="1704">
        <v>3548013.25</v>
      </c>
      <c r="Q247" s="1598"/>
      <c r="U247" s="1397">
        <f>P247/5</f>
        <v>709602.65</v>
      </c>
      <c r="V247" s="1477" t="str">
        <f t="shared" si="137"/>
        <v>02.06.04</v>
      </c>
      <c r="W247" s="1478" t="str">
        <f t="shared" si="124"/>
        <v>Meja Dan Kursi Kerja/Rapat Pejabat</v>
      </c>
      <c r="X247" s="1478">
        <f t="shared" si="125"/>
        <v>5</v>
      </c>
      <c r="Y247" s="1401">
        <f t="shared" si="126"/>
        <v>709602.65</v>
      </c>
      <c r="Z247" s="1444">
        <f t="shared" si="127"/>
        <v>5</v>
      </c>
      <c r="AA247" s="1401">
        <f t="shared" si="128"/>
        <v>3548013.25</v>
      </c>
      <c r="AB247" s="1401">
        <f t="shared" si="129"/>
        <v>0</v>
      </c>
      <c r="AC247" s="1401">
        <f t="shared" si="130"/>
        <v>0</v>
      </c>
      <c r="AD247" s="1401">
        <f t="shared" si="131"/>
        <v>0</v>
      </c>
      <c r="AE247" s="1479">
        <f t="shared" si="132"/>
        <v>0</v>
      </c>
      <c r="AF247" s="1479">
        <f t="shared" si="133"/>
        <v>0</v>
      </c>
      <c r="AG247" s="1479">
        <f t="shared" si="138"/>
        <v>0</v>
      </c>
      <c r="AH247" s="1479">
        <f t="shared" si="134"/>
        <v>3548013.25</v>
      </c>
      <c r="AI247" s="1645">
        <f t="shared" si="135"/>
        <v>2009</v>
      </c>
      <c r="AJ247" s="1401">
        <f t="shared" si="136"/>
        <v>0</v>
      </c>
      <c r="AK247" s="1401"/>
    </row>
    <row r="248" spans="1:37" s="1390" customFormat="1" ht="37" customHeight="1" x14ac:dyDescent="0.2">
      <c r="A248" s="1710" t="str">
        <f t="shared" si="123"/>
        <v>02.06.04.03</v>
      </c>
      <c r="B248" s="1426">
        <v>159</v>
      </c>
      <c r="C248" s="1414" t="s">
        <v>2327</v>
      </c>
      <c r="D248" s="1429" t="s">
        <v>4716</v>
      </c>
      <c r="E248" s="1652" t="s">
        <v>263</v>
      </c>
      <c r="F248" s="1653" t="s">
        <v>52</v>
      </c>
      <c r="G248" s="1414"/>
      <c r="H248" s="1455" t="s">
        <v>52</v>
      </c>
      <c r="I248" s="1416">
        <v>2009</v>
      </c>
      <c r="J248" s="1414"/>
      <c r="K248" s="1653"/>
      <c r="L248" s="1414"/>
      <c r="M248" s="1414"/>
      <c r="N248" s="1414"/>
      <c r="O248" s="1416" t="s">
        <v>12</v>
      </c>
      <c r="P248" s="1704">
        <v>1465924.2020833334</v>
      </c>
      <c r="Q248" s="1598"/>
      <c r="V248" s="1477" t="str">
        <f t="shared" si="137"/>
        <v>02.06.04</v>
      </c>
      <c r="W248" s="1478" t="str">
        <f t="shared" si="124"/>
        <v>Meja Dan Kursi Kerja/Rapat Pejabat</v>
      </c>
      <c r="X248" s="1478">
        <f t="shared" si="125"/>
        <v>5</v>
      </c>
      <c r="Y248" s="1401">
        <f t="shared" si="126"/>
        <v>293184.8404166667</v>
      </c>
      <c r="Z248" s="1444">
        <f t="shared" si="127"/>
        <v>5</v>
      </c>
      <c r="AA248" s="1401">
        <f t="shared" si="128"/>
        <v>1465924.2020833334</v>
      </c>
      <c r="AB248" s="1401">
        <f t="shared" si="129"/>
        <v>0</v>
      </c>
      <c r="AC248" s="1401">
        <f t="shared" si="130"/>
        <v>0</v>
      </c>
      <c r="AD248" s="1401">
        <f t="shared" si="131"/>
        <v>0</v>
      </c>
      <c r="AE248" s="1479">
        <f t="shared" si="132"/>
        <v>0</v>
      </c>
      <c r="AF248" s="1479">
        <f t="shared" si="133"/>
        <v>0</v>
      </c>
      <c r="AG248" s="1479">
        <f t="shared" si="138"/>
        <v>0</v>
      </c>
      <c r="AH248" s="1479">
        <f t="shared" si="134"/>
        <v>1465924.2020833334</v>
      </c>
      <c r="AI248" s="1645">
        <f t="shared" si="135"/>
        <v>2009</v>
      </c>
      <c r="AJ248" s="1401">
        <f t="shared" si="136"/>
        <v>0</v>
      </c>
      <c r="AK248" s="1401"/>
    </row>
    <row r="249" spans="1:37" s="1390" customFormat="1" ht="37" customHeight="1" x14ac:dyDescent="0.2">
      <c r="A249" s="1710" t="str">
        <f t="shared" si="123"/>
        <v>02.06.04.03</v>
      </c>
      <c r="B249" s="1426">
        <v>160</v>
      </c>
      <c r="C249" s="1414" t="s">
        <v>2327</v>
      </c>
      <c r="D249" s="1429" t="s">
        <v>4716</v>
      </c>
      <c r="E249" s="1652" t="s">
        <v>264</v>
      </c>
      <c r="F249" s="1653" t="s">
        <v>52</v>
      </c>
      <c r="G249" s="1414"/>
      <c r="H249" s="1455" t="s">
        <v>52</v>
      </c>
      <c r="I249" s="1416">
        <v>2009</v>
      </c>
      <c r="J249" s="1414"/>
      <c r="K249" s="1653"/>
      <c r="L249" s="1414"/>
      <c r="M249" s="1414"/>
      <c r="N249" s="1414"/>
      <c r="O249" s="1416" t="s">
        <v>12</v>
      </c>
      <c r="P249" s="1704">
        <v>1465924.2020833334</v>
      </c>
      <c r="Q249" s="1598"/>
      <c r="V249" s="1477" t="str">
        <f t="shared" si="137"/>
        <v>02.06.04</v>
      </c>
      <c r="W249" s="1478" t="str">
        <f t="shared" si="124"/>
        <v>Meja Dan Kursi Kerja/Rapat Pejabat</v>
      </c>
      <c r="X249" s="1478">
        <f t="shared" si="125"/>
        <v>5</v>
      </c>
      <c r="Y249" s="1401">
        <f t="shared" si="126"/>
        <v>293184.8404166667</v>
      </c>
      <c r="Z249" s="1444">
        <f t="shared" si="127"/>
        <v>5</v>
      </c>
      <c r="AA249" s="1401">
        <f t="shared" si="128"/>
        <v>1465924.2020833334</v>
      </c>
      <c r="AB249" s="1401">
        <f t="shared" si="129"/>
        <v>0</v>
      </c>
      <c r="AC249" s="1401">
        <f t="shared" si="130"/>
        <v>0</v>
      </c>
      <c r="AD249" s="1401">
        <f t="shared" si="131"/>
        <v>0</v>
      </c>
      <c r="AE249" s="1479">
        <f t="shared" si="132"/>
        <v>0</v>
      </c>
      <c r="AF249" s="1479">
        <f t="shared" si="133"/>
        <v>0</v>
      </c>
      <c r="AG249" s="1479">
        <f t="shared" si="138"/>
        <v>0</v>
      </c>
      <c r="AH249" s="1479">
        <f t="shared" si="134"/>
        <v>1465924.2020833334</v>
      </c>
      <c r="AI249" s="1645">
        <f t="shared" si="135"/>
        <v>2009</v>
      </c>
      <c r="AJ249" s="1401">
        <f t="shared" si="136"/>
        <v>0</v>
      </c>
      <c r="AK249" s="1401"/>
    </row>
    <row r="250" spans="1:37" s="1390" customFormat="1" ht="37" customHeight="1" x14ac:dyDescent="0.2">
      <c r="A250" s="1710" t="str">
        <f t="shared" si="123"/>
        <v>02.06.02.04</v>
      </c>
      <c r="B250" s="1426">
        <v>161</v>
      </c>
      <c r="C250" s="1414" t="s">
        <v>278</v>
      </c>
      <c r="D250" s="1429" t="s">
        <v>172</v>
      </c>
      <c r="E250" s="1652" t="s">
        <v>39</v>
      </c>
      <c r="F250" s="1653" t="s">
        <v>4723</v>
      </c>
      <c r="G250" s="1414" t="s">
        <v>1716</v>
      </c>
      <c r="H250" s="1455" t="s">
        <v>191</v>
      </c>
      <c r="I250" s="1416">
        <v>2009</v>
      </c>
      <c r="J250" s="1414" t="s">
        <v>9</v>
      </c>
      <c r="K250" s="1653"/>
      <c r="L250" s="1414"/>
      <c r="M250" s="1414"/>
      <c r="N250" s="1414"/>
      <c r="O250" s="1416" t="s">
        <v>12</v>
      </c>
      <c r="P250" s="1704">
        <v>6900000</v>
      </c>
      <c r="Q250" s="1598"/>
      <c r="V250" s="1477" t="str">
        <f t="shared" si="137"/>
        <v>02.06.02</v>
      </c>
      <c r="W250" s="1478" t="str">
        <f t="shared" ref="W250:W277" si="139">VLOOKUP(V250,UE,3)</f>
        <v>Alat Rumah Tangga</v>
      </c>
      <c r="X250" s="1478">
        <f t="shared" ref="X250:X277" si="140">VLOOKUP(V250,UE,4,FALSE)</f>
        <v>5</v>
      </c>
      <c r="Y250" s="1401">
        <f t="shared" ref="Y250:Y277" si="141">P250/X250</f>
        <v>1380000</v>
      </c>
      <c r="Z250" s="1444">
        <f t="shared" ref="Z250:Z277" si="142">IF(2013-I250+1&gt;X250,X250,IF(2013-I250+1&lt;0,0,(2013-I250+1)))</f>
        <v>5</v>
      </c>
      <c r="AA250" s="1401">
        <f t="shared" ref="AA250:AA277" si="143">IF(Z250&gt;X250,P250,Y250*Z250)</f>
        <v>6900000</v>
      </c>
      <c r="AB250" s="1401">
        <f t="shared" ref="AB250:AB270" si="144">IF(P250=AA250,0,Y250)</f>
        <v>0</v>
      </c>
      <c r="AC250" s="1401">
        <f t="shared" ref="AC250:AC270" si="145">IF(P250=AA250+AB250,0,Y250)</f>
        <v>0</v>
      </c>
      <c r="AD250" s="1401">
        <f t="shared" ref="AD250:AD271" si="146">IF(P250=AA250+AB250+AC250,0,Y250)</f>
        <v>0</v>
      </c>
      <c r="AE250" s="1479">
        <f t="shared" ref="AE250:AE277" si="147">IF(P250=AA250+AB250+AC250+AD250,0,Y250)</f>
        <v>0</v>
      </c>
      <c r="AF250" s="1479">
        <f t="shared" ref="AF250:AF270" si="148">IF(P250=AA250+AB250+AC250+AD250+AE250,0,Y250)</f>
        <v>0</v>
      </c>
      <c r="AG250" s="1479">
        <f t="shared" si="138"/>
        <v>0</v>
      </c>
      <c r="AH250" s="1479">
        <f t="shared" si="134"/>
        <v>6900000</v>
      </c>
      <c r="AI250" s="1645">
        <f t="shared" ref="AI250:AI278" si="149">I250</f>
        <v>2009</v>
      </c>
      <c r="AJ250" s="1401">
        <f t="shared" ref="AJ250:AJ290" si="150">P250-AH250</f>
        <v>0</v>
      </c>
      <c r="AK250" s="1401"/>
    </row>
    <row r="251" spans="1:37" s="1390" customFormat="1" ht="37" customHeight="1" x14ac:dyDescent="0.2">
      <c r="A251" s="1710" t="str">
        <f t="shared" si="123"/>
        <v>02.06.03.02</v>
      </c>
      <c r="B251" s="1426">
        <v>162</v>
      </c>
      <c r="C251" s="1414" t="s">
        <v>298</v>
      </c>
      <c r="D251" s="1429" t="s">
        <v>1718</v>
      </c>
      <c r="E251" s="1652" t="s">
        <v>1707</v>
      </c>
      <c r="F251" s="1653" t="s">
        <v>52</v>
      </c>
      <c r="G251" s="1414"/>
      <c r="H251" s="1455" t="s">
        <v>52</v>
      </c>
      <c r="I251" s="1416">
        <v>2009</v>
      </c>
      <c r="J251" s="1414"/>
      <c r="K251" s="1653"/>
      <c r="L251" s="1414"/>
      <c r="M251" s="1414"/>
      <c r="N251" s="1414"/>
      <c r="O251" s="1416" t="s">
        <v>12</v>
      </c>
      <c r="P251" s="1704">
        <v>16566513.9098881</v>
      </c>
      <c r="Q251" s="1598"/>
      <c r="U251" s="1397">
        <f>P251/2</f>
        <v>8283256.9549440499</v>
      </c>
      <c r="V251" s="1477" t="str">
        <f t="shared" si="137"/>
        <v>02.06.03</v>
      </c>
      <c r="W251" s="1478" t="str">
        <f t="shared" si="139"/>
        <v>Peralatan Komputer</v>
      </c>
      <c r="X251" s="1478">
        <f t="shared" si="140"/>
        <v>4</v>
      </c>
      <c r="Y251" s="1401">
        <f t="shared" si="141"/>
        <v>4141628.477472025</v>
      </c>
      <c r="Z251" s="1444">
        <f t="shared" si="142"/>
        <v>4</v>
      </c>
      <c r="AA251" s="1401">
        <f t="shared" si="143"/>
        <v>16566513.9098881</v>
      </c>
      <c r="AB251" s="1401">
        <f t="shared" si="144"/>
        <v>0</v>
      </c>
      <c r="AC251" s="1401">
        <f t="shared" si="145"/>
        <v>0</v>
      </c>
      <c r="AD251" s="1401">
        <f t="shared" si="146"/>
        <v>0</v>
      </c>
      <c r="AE251" s="1479">
        <f t="shared" si="147"/>
        <v>0</v>
      </c>
      <c r="AF251" s="1479">
        <f t="shared" si="148"/>
        <v>0</v>
      </c>
      <c r="AG251" s="1479">
        <f t="shared" si="138"/>
        <v>0</v>
      </c>
      <c r="AH251" s="1479">
        <f t="shared" si="134"/>
        <v>16566513.9098881</v>
      </c>
      <c r="AI251" s="1645">
        <f t="shared" si="149"/>
        <v>2009</v>
      </c>
      <c r="AJ251" s="1401">
        <f t="shared" si="150"/>
        <v>0</v>
      </c>
      <c r="AK251" s="1401"/>
    </row>
    <row r="252" spans="1:37" s="1390" customFormat="1" ht="37" customHeight="1" x14ac:dyDescent="0.2">
      <c r="A252" s="1710" t="str">
        <f t="shared" si="123"/>
        <v>02.06.03.02</v>
      </c>
      <c r="B252" s="1426">
        <v>164</v>
      </c>
      <c r="C252" s="1414" t="s">
        <v>2330</v>
      </c>
      <c r="D252" s="1414" t="s">
        <v>4718</v>
      </c>
      <c r="E252" s="1416" t="s">
        <v>1707</v>
      </c>
      <c r="F252" s="1414" t="s">
        <v>4724</v>
      </c>
      <c r="G252" s="1414"/>
      <c r="H252" s="1414" t="s">
        <v>52</v>
      </c>
      <c r="I252" s="1416">
        <v>2011</v>
      </c>
      <c r="J252" s="1414"/>
      <c r="K252" s="1414"/>
      <c r="L252" s="1414"/>
      <c r="M252" s="1414"/>
      <c r="N252" s="1414"/>
      <c r="O252" s="1416" t="s">
        <v>12</v>
      </c>
      <c r="P252" s="1529">
        <v>24694224</v>
      </c>
      <c r="Q252" s="1596"/>
      <c r="U252" s="1397">
        <f>P252/2</f>
        <v>12347112</v>
      </c>
      <c r="V252" s="1477" t="str">
        <f t="shared" si="137"/>
        <v>02.06.03</v>
      </c>
      <c r="W252" s="1478" t="str">
        <f t="shared" si="139"/>
        <v>Peralatan Komputer</v>
      </c>
      <c r="X252" s="1478">
        <f t="shared" si="140"/>
        <v>4</v>
      </c>
      <c r="Y252" s="1401">
        <f t="shared" si="141"/>
        <v>6173556</v>
      </c>
      <c r="Z252" s="1444">
        <f t="shared" si="142"/>
        <v>3</v>
      </c>
      <c r="AA252" s="1401">
        <f t="shared" si="143"/>
        <v>18520668</v>
      </c>
      <c r="AB252" s="1401">
        <f t="shared" si="144"/>
        <v>6173556</v>
      </c>
      <c r="AC252" s="1401">
        <f t="shared" si="145"/>
        <v>0</v>
      </c>
      <c r="AD252" s="1401">
        <f t="shared" si="146"/>
        <v>0</v>
      </c>
      <c r="AE252" s="1479">
        <f t="shared" si="147"/>
        <v>0</v>
      </c>
      <c r="AF252" s="1479">
        <f t="shared" si="148"/>
        <v>0</v>
      </c>
      <c r="AG252" s="1479">
        <f t="shared" si="138"/>
        <v>0</v>
      </c>
      <c r="AH252" s="1479">
        <f t="shared" si="134"/>
        <v>24694224</v>
      </c>
      <c r="AI252" s="1645">
        <f t="shared" si="149"/>
        <v>2011</v>
      </c>
      <c r="AJ252" s="1401">
        <f t="shared" si="150"/>
        <v>0</v>
      </c>
      <c r="AK252" s="1401"/>
    </row>
    <row r="253" spans="1:37" s="1390" customFormat="1" ht="37" customHeight="1" x14ac:dyDescent="0.2">
      <c r="A253" s="1710" t="str">
        <f t="shared" si="123"/>
        <v>02.06.03.05</v>
      </c>
      <c r="B253" s="1426">
        <v>165</v>
      </c>
      <c r="C253" s="1414" t="s">
        <v>299</v>
      </c>
      <c r="D253" s="1414" t="s">
        <v>4719</v>
      </c>
      <c r="E253" s="1416"/>
      <c r="F253" s="1414" t="s">
        <v>52</v>
      </c>
      <c r="G253" s="1414"/>
      <c r="H253" s="1414" t="s">
        <v>52</v>
      </c>
      <c r="I253" s="1416">
        <v>2011</v>
      </c>
      <c r="J253" s="1414"/>
      <c r="K253" s="1414"/>
      <c r="L253" s="1414"/>
      <c r="M253" s="1414"/>
      <c r="N253" s="1414"/>
      <c r="O253" s="1416" t="s">
        <v>12</v>
      </c>
      <c r="P253" s="1529">
        <v>10204225.124181733</v>
      </c>
      <c r="Q253" s="1596"/>
      <c r="V253" s="1477" t="str">
        <f t="shared" si="137"/>
        <v>02.06.03</v>
      </c>
      <c r="W253" s="1478" t="str">
        <f t="shared" si="139"/>
        <v>Peralatan Komputer</v>
      </c>
      <c r="X253" s="1478">
        <f t="shared" si="140"/>
        <v>4</v>
      </c>
      <c r="Y253" s="1401">
        <f t="shared" si="141"/>
        <v>2551056.2810454331</v>
      </c>
      <c r="Z253" s="1444">
        <f t="shared" si="142"/>
        <v>3</v>
      </c>
      <c r="AA253" s="1401">
        <f t="shared" si="143"/>
        <v>7653168.8431362994</v>
      </c>
      <c r="AB253" s="1401">
        <f t="shared" si="144"/>
        <v>2551056.2810454331</v>
      </c>
      <c r="AC253" s="1401">
        <f t="shared" si="145"/>
        <v>0</v>
      </c>
      <c r="AD253" s="1401">
        <f t="shared" si="146"/>
        <v>0</v>
      </c>
      <c r="AE253" s="1479">
        <f t="shared" si="147"/>
        <v>0</v>
      </c>
      <c r="AF253" s="1479">
        <f t="shared" si="148"/>
        <v>0</v>
      </c>
      <c r="AG253" s="1479">
        <f t="shared" si="138"/>
        <v>0</v>
      </c>
      <c r="AH253" s="1479">
        <f t="shared" si="134"/>
        <v>10204225.124181733</v>
      </c>
      <c r="AI253" s="1645">
        <f t="shared" si="149"/>
        <v>2011</v>
      </c>
      <c r="AJ253" s="1401">
        <f t="shared" si="150"/>
        <v>0</v>
      </c>
      <c r="AK253" s="1401"/>
    </row>
    <row r="254" spans="1:37" s="1390" customFormat="1" ht="37" customHeight="1" x14ac:dyDescent="0.2">
      <c r="A254" s="1710" t="str">
        <f t="shared" si="123"/>
        <v>02.06.03.02</v>
      </c>
      <c r="B254" s="1426">
        <v>166</v>
      </c>
      <c r="C254" s="1414" t="s">
        <v>2330</v>
      </c>
      <c r="D254" s="1414" t="s">
        <v>4720</v>
      </c>
      <c r="E254" s="1416"/>
      <c r="F254" s="1414" t="s">
        <v>52</v>
      </c>
      <c r="G254" s="1414"/>
      <c r="H254" s="1414" t="s">
        <v>52</v>
      </c>
      <c r="I254" s="1416">
        <v>2011</v>
      </c>
      <c r="J254" s="1414"/>
      <c r="K254" s="1414"/>
      <c r="L254" s="1414"/>
      <c r="M254" s="1414"/>
      <c r="N254" s="1414"/>
      <c r="O254" s="1416" t="s">
        <v>12</v>
      </c>
      <c r="P254" s="1529">
        <v>19580000</v>
      </c>
      <c r="Q254" s="1596"/>
      <c r="V254" s="1477" t="str">
        <f t="shared" si="137"/>
        <v>02.06.03</v>
      </c>
      <c r="W254" s="1478" t="str">
        <f t="shared" si="139"/>
        <v>Peralatan Komputer</v>
      </c>
      <c r="X254" s="1478">
        <f t="shared" si="140"/>
        <v>4</v>
      </c>
      <c r="Y254" s="1401">
        <f t="shared" si="141"/>
        <v>4895000</v>
      </c>
      <c r="Z254" s="1444">
        <f t="shared" si="142"/>
        <v>3</v>
      </c>
      <c r="AA254" s="1401">
        <f t="shared" si="143"/>
        <v>14685000</v>
      </c>
      <c r="AB254" s="1401">
        <f t="shared" si="144"/>
        <v>4895000</v>
      </c>
      <c r="AC254" s="1401">
        <f t="shared" si="145"/>
        <v>0</v>
      </c>
      <c r="AD254" s="1401">
        <f t="shared" si="146"/>
        <v>0</v>
      </c>
      <c r="AE254" s="1479">
        <f t="shared" si="147"/>
        <v>0</v>
      </c>
      <c r="AF254" s="1479">
        <f t="shared" si="148"/>
        <v>0</v>
      </c>
      <c r="AG254" s="1479">
        <f t="shared" si="138"/>
        <v>0</v>
      </c>
      <c r="AH254" s="1479">
        <f t="shared" si="134"/>
        <v>19580000</v>
      </c>
      <c r="AI254" s="1645">
        <f t="shared" si="149"/>
        <v>2011</v>
      </c>
      <c r="AJ254" s="1401">
        <f t="shared" si="150"/>
        <v>0</v>
      </c>
      <c r="AK254" s="1401"/>
    </row>
    <row r="255" spans="1:37" s="1390" customFormat="1" ht="37" customHeight="1" x14ac:dyDescent="0.2">
      <c r="A255" s="1710" t="str">
        <f t="shared" si="123"/>
        <v>02.06.01.04</v>
      </c>
      <c r="B255" s="1426">
        <v>167</v>
      </c>
      <c r="C255" s="1414" t="s">
        <v>2324</v>
      </c>
      <c r="D255" s="1414" t="s">
        <v>1724</v>
      </c>
      <c r="E255" s="1416" t="s">
        <v>1725</v>
      </c>
      <c r="F255" s="1414" t="s">
        <v>1726</v>
      </c>
      <c r="G255" s="1414" t="s">
        <v>1727</v>
      </c>
      <c r="H255" s="1414" t="s">
        <v>1728</v>
      </c>
      <c r="I255" s="1416">
        <v>2012</v>
      </c>
      <c r="J255" s="1414"/>
      <c r="K255" s="1414"/>
      <c r="L255" s="1414"/>
      <c r="M255" s="1414"/>
      <c r="N255" s="1414"/>
      <c r="O255" s="1416" t="s">
        <v>12</v>
      </c>
      <c r="P255" s="1529">
        <v>2500000</v>
      </c>
      <c r="Q255" s="1596"/>
      <c r="U255" s="1397">
        <f>P255/1</f>
        <v>2500000</v>
      </c>
      <c r="V255" s="1477" t="str">
        <f t="shared" si="137"/>
        <v>02.06.01</v>
      </c>
      <c r="W255" s="1478" t="str">
        <f t="shared" si="139"/>
        <v>Alat Kantor</v>
      </c>
      <c r="X255" s="1478">
        <f t="shared" si="140"/>
        <v>5</v>
      </c>
      <c r="Y255" s="1401">
        <f t="shared" si="141"/>
        <v>500000</v>
      </c>
      <c r="Z255" s="1444">
        <f t="shared" si="142"/>
        <v>2</v>
      </c>
      <c r="AA255" s="1401">
        <f t="shared" si="143"/>
        <v>1000000</v>
      </c>
      <c r="AB255" s="1401">
        <f t="shared" si="144"/>
        <v>500000</v>
      </c>
      <c r="AC255" s="1401">
        <f t="shared" si="145"/>
        <v>500000</v>
      </c>
      <c r="AD255" s="1401">
        <f t="shared" si="146"/>
        <v>500000</v>
      </c>
      <c r="AE255" s="1479">
        <f t="shared" si="147"/>
        <v>0</v>
      </c>
      <c r="AF255" s="1479">
        <f t="shared" si="148"/>
        <v>0</v>
      </c>
      <c r="AG255" s="1479">
        <f t="shared" si="138"/>
        <v>0</v>
      </c>
      <c r="AH255" s="1479">
        <f t="shared" si="134"/>
        <v>2500000</v>
      </c>
      <c r="AI255" s="1645">
        <f t="shared" si="149"/>
        <v>2012</v>
      </c>
      <c r="AJ255" s="1401">
        <f t="shared" si="150"/>
        <v>0</v>
      </c>
      <c r="AK255" s="1401"/>
    </row>
    <row r="256" spans="1:37" s="1390" customFormat="1" ht="37" customHeight="1" x14ac:dyDescent="0.2">
      <c r="A256" s="1710" t="str">
        <f t="shared" si="123"/>
        <v>02.06.03.02</v>
      </c>
      <c r="B256" s="1426">
        <v>168</v>
      </c>
      <c r="C256" s="1414" t="s">
        <v>295</v>
      </c>
      <c r="D256" s="1414" t="s">
        <v>944</v>
      </c>
      <c r="E256" s="1416"/>
      <c r="F256" s="1414" t="s">
        <v>258</v>
      </c>
      <c r="G256" s="1414" t="s">
        <v>1729</v>
      </c>
      <c r="H256" s="1414" t="s">
        <v>1730</v>
      </c>
      <c r="I256" s="1416">
        <v>2012</v>
      </c>
      <c r="J256" s="1414" t="s">
        <v>1730</v>
      </c>
      <c r="K256" s="1414"/>
      <c r="L256" s="1414"/>
      <c r="M256" s="1414"/>
      <c r="N256" s="1414"/>
      <c r="O256" s="1416" t="s">
        <v>12</v>
      </c>
      <c r="P256" s="1529">
        <v>19289766.3852318</v>
      </c>
      <c r="Q256" s="1596"/>
      <c r="V256" s="1477" t="str">
        <f t="shared" si="137"/>
        <v>02.06.03</v>
      </c>
      <c r="W256" s="1478" t="str">
        <f t="shared" si="139"/>
        <v>Peralatan Komputer</v>
      </c>
      <c r="X256" s="1478">
        <f t="shared" si="140"/>
        <v>4</v>
      </c>
      <c r="Y256" s="1401">
        <f t="shared" si="141"/>
        <v>4822441.5963079501</v>
      </c>
      <c r="Z256" s="1444">
        <f t="shared" si="142"/>
        <v>2</v>
      </c>
      <c r="AA256" s="1401">
        <f t="shared" si="143"/>
        <v>9644883.1926159002</v>
      </c>
      <c r="AB256" s="1401">
        <f t="shared" si="144"/>
        <v>4822441.5963079501</v>
      </c>
      <c r="AC256" s="1401">
        <f t="shared" si="145"/>
        <v>4822441.5963079501</v>
      </c>
      <c r="AD256" s="1401">
        <f t="shared" si="146"/>
        <v>0</v>
      </c>
      <c r="AE256" s="1479">
        <f t="shared" si="147"/>
        <v>0</v>
      </c>
      <c r="AF256" s="1479">
        <f t="shared" si="148"/>
        <v>0</v>
      </c>
      <c r="AG256" s="1479">
        <f t="shared" si="138"/>
        <v>0</v>
      </c>
      <c r="AH256" s="1479">
        <f t="shared" si="134"/>
        <v>19289766.3852318</v>
      </c>
      <c r="AI256" s="1645">
        <f t="shared" si="149"/>
        <v>2012</v>
      </c>
      <c r="AJ256" s="1401">
        <f t="shared" si="150"/>
        <v>0</v>
      </c>
      <c r="AK256" s="1401"/>
    </row>
    <row r="257" spans="1:37" s="1390" customFormat="1" ht="37" customHeight="1" x14ac:dyDescent="0.2">
      <c r="A257" s="1710" t="str">
        <f t="shared" si="123"/>
        <v>02.06.03.05</v>
      </c>
      <c r="B257" s="1426">
        <v>169</v>
      </c>
      <c r="C257" s="1414" t="s">
        <v>299</v>
      </c>
      <c r="D257" s="1414" t="s">
        <v>1731</v>
      </c>
      <c r="E257" s="1416"/>
      <c r="F257" s="1414" t="s">
        <v>996</v>
      </c>
      <c r="G257" s="1414"/>
      <c r="H257" s="1414" t="s">
        <v>1730</v>
      </c>
      <c r="I257" s="1416">
        <v>2012</v>
      </c>
      <c r="J257" s="1414"/>
      <c r="K257" s="1414"/>
      <c r="L257" s="1414"/>
      <c r="M257" s="1414"/>
      <c r="N257" s="1414"/>
      <c r="O257" s="1416" t="s">
        <v>12</v>
      </c>
      <c r="P257" s="1529">
        <v>2009874.0698340011</v>
      </c>
      <c r="Q257" s="1596"/>
      <c r="V257" s="1477" t="str">
        <f t="shared" si="137"/>
        <v>02.06.03</v>
      </c>
      <c r="W257" s="1478" t="str">
        <f t="shared" si="139"/>
        <v>Peralatan Komputer</v>
      </c>
      <c r="X257" s="1478">
        <f t="shared" si="140"/>
        <v>4</v>
      </c>
      <c r="Y257" s="1401">
        <f t="shared" si="141"/>
        <v>502468.51745850028</v>
      </c>
      <c r="Z257" s="1444">
        <f t="shared" si="142"/>
        <v>2</v>
      </c>
      <c r="AA257" s="1401">
        <f t="shared" si="143"/>
        <v>1004937.0349170006</v>
      </c>
      <c r="AB257" s="1401">
        <f t="shared" si="144"/>
        <v>502468.51745850028</v>
      </c>
      <c r="AC257" s="1401">
        <f t="shared" si="145"/>
        <v>502468.51745850028</v>
      </c>
      <c r="AD257" s="1401">
        <f t="shared" si="146"/>
        <v>0</v>
      </c>
      <c r="AE257" s="1479">
        <f t="shared" si="147"/>
        <v>0</v>
      </c>
      <c r="AF257" s="1479">
        <f t="shared" si="148"/>
        <v>0</v>
      </c>
      <c r="AG257" s="1479">
        <f t="shared" si="138"/>
        <v>0</v>
      </c>
      <c r="AH257" s="1479">
        <f t="shared" si="134"/>
        <v>2009874.0698340011</v>
      </c>
      <c r="AI257" s="1645">
        <f t="shared" si="149"/>
        <v>2012</v>
      </c>
      <c r="AJ257" s="1401">
        <f t="shared" si="150"/>
        <v>0</v>
      </c>
      <c r="AK257" s="1401"/>
    </row>
    <row r="258" spans="1:37" s="1390" customFormat="1" ht="37" customHeight="1" x14ac:dyDescent="0.2">
      <c r="A258" s="1710" t="str">
        <f t="shared" si="123"/>
        <v>02.06.03.05</v>
      </c>
      <c r="B258" s="1426">
        <v>170</v>
      </c>
      <c r="C258" s="1414" t="s">
        <v>299</v>
      </c>
      <c r="D258" s="1414" t="s">
        <v>1731</v>
      </c>
      <c r="E258" s="1416" t="s">
        <v>39</v>
      </c>
      <c r="F258" s="1414" t="s">
        <v>996</v>
      </c>
      <c r="G258" s="1414"/>
      <c r="H258" s="1414" t="s">
        <v>1730</v>
      </c>
      <c r="I258" s="1416">
        <v>2012</v>
      </c>
      <c r="J258" s="1414" t="s">
        <v>1732</v>
      </c>
      <c r="K258" s="1414"/>
      <c r="L258" s="1414"/>
      <c r="M258" s="1414"/>
      <c r="N258" s="1414"/>
      <c r="O258" s="1416" t="s">
        <v>12</v>
      </c>
      <c r="P258" s="1529">
        <v>2512342.5872925012</v>
      </c>
      <c r="Q258" s="1596"/>
      <c r="V258" s="1477" t="str">
        <f t="shared" si="137"/>
        <v>02.06.03</v>
      </c>
      <c r="W258" s="1478" t="str">
        <f t="shared" si="139"/>
        <v>Peralatan Komputer</v>
      </c>
      <c r="X258" s="1478">
        <f t="shared" si="140"/>
        <v>4</v>
      </c>
      <c r="Y258" s="1401">
        <f t="shared" si="141"/>
        <v>628085.64682312531</v>
      </c>
      <c r="Z258" s="1444">
        <f t="shared" si="142"/>
        <v>2</v>
      </c>
      <c r="AA258" s="1401">
        <f t="shared" si="143"/>
        <v>1256171.2936462506</v>
      </c>
      <c r="AB258" s="1401">
        <f t="shared" si="144"/>
        <v>628085.64682312531</v>
      </c>
      <c r="AC258" s="1401">
        <f t="shared" si="145"/>
        <v>628085.64682312531</v>
      </c>
      <c r="AD258" s="1401">
        <f t="shared" si="146"/>
        <v>0</v>
      </c>
      <c r="AE258" s="1479">
        <f t="shared" si="147"/>
        <v>0</v>
      </c>
      <c r="AF258" s="1479">
        <f t="shared" si="148"/>
        <v>0</v>
      </c>
      <c r="AG258" s="1479">
        <f t="shared" si="138"/>
        <v>0</v>
      </c>
      <c r="AH258" s="1479">
        <f t="shared" si="134"/>
        <v>2512342.5872925012</v>
      </c>
      <c r="AI258" s="1645">
        <f t="shared" si="149"/>
        <v>2012</v>
      </c>
      <c r="AJ258" s="1401">
        <f t="shared" si="150"/>
        <v>0</v>
      </c>
      <c r="AK258" s="1401"/>
    </row>
    <row r="259" spans="1:37" s="1390" customFormat="1" ht="37" customHeight="1" x14ac:dyDescent="0.2">
      <c r="A259" s="1710" t="str">
        <f t="shared" si="123"/>
        <v>02.06.03.02</v>
      </c>
      <c r="B259" s="1426">
        <v>171</v>
      </c>
      <c r="C259" s="1414" t="s">
        <v>298</v>
      </c>
      <c r="D259" s="1414" t="s">
        <v>1718</v>
      </c>
      <c r="E259" s="1416"/>
      <c r="F259" s="1414" t="s">
        <v>999</v>
      </c>
      <c r="G259" s="1414" t="s">
        <v>1729</v>
      </c>
      <c r="H259" s="1414" t="s">
        <v>1730</v>
      </c>
      <c r="I259" s="1416">
        <v>2012</v>
      </c>
      <c r="J259" s="1414"/>
      <c r="K259" s="1414"/>
      <c r="L259" s="1414"/>
      <c r="M259" s="1414"/>
      <c r="N259" s="1414"/>
      <c r="O259" s="1416" t="s">
        <v>12</v>
      </c>
      <c r="P259" s="1529">
        <v>10058454.425363276</v>
      </c>
      <c r="Q259" s="1596"/>
      <c r="V259" s="1477" t="str">
        <f t="shared" si="137"/>
        <v>02.06.03</v>
      </c>
      <c r="W259" s="1478" t="str">
        <f t="shared" si="139"/>
        <v>Peralatan Komputer</v>
      </c>
      <c r="X259" s="1478">
        <f t="shared" si="140"/>
        <v>4</v>
      </c>
      <c r="Y259" s="1401">
        <f t="shared" si="141"/>
        <v>2514613.606340819</v>
      </c>
      <c r="Z259" s="1444">
        <f t="shared" si="142"/>
        <v>2</v>
      </c>
      <c r="AA259" s="1401">
        <f t="shared" si="143"/>
        <v>5029227.2126816381</v>
      </c>
      <c r="AB259" s="1401">
        <f t="shared" si="144"/>
        <v>2514613.606340819</v>
      </c>
      <c r="AC259" s="1401">
        <f t="shared" si="145"/>
        <v>2514613.606340819</v>
      </c>
      <c r="AD259" s="1401">
        <f t="shared" si="146"/>
        <v>0</v>
      </c>
      <c r="AE259" s="1479">
        <f t="shared" si="147"/>
        <v>0</v>
      </c>
      <c r="AF259" s="1479">
        <f t="shared" si="148"/>
        <v>0</v>
      </c>
      <c r="AG259" s="1479">
        <f t="shared" si="138"/>
        <v>0</v>
      </c>
      <c r="AH259" s="1479">
        <f t="shared" si="134"/>
        <v>10058454.425363276</v>
      </c>
      <c r="AI259" s="1645">
        <f t="shared" si="149"/>
        <v>2012</v>
      </c>
      <c r="AJ259" s="1401">
        <f t="shared" si="150"/>
        <v>0</v>
      </c>
      <c r="AK259" s="1401"/>
    </row>
    <row r="260" spans="1:37" s="1390" customFormat="1" ht="37" customHeight="1" x14ac:dyDescent="0.2">
      <c r="A260" s="1710" t="str">
        <f t="shared" si="123"/>
        <v>02.06.03.05</v>
      </c>
      <c r="B260" s="1426">
        <v>172</v>
      </c>
      <c r="C260" s="1414" t="s">
        <v>299</v>
      </c>
      <c r="D260" s="1414" t="s">
        <v>183</v>
      </c>
      <c r="E260" s="1416"/>
      <c r="F260" s="1414" t="s">
        <v>195</v>
      </c>
      <c r="G260" s="1414"/>
      <c r="H260" s="1414" t="s">
        <v>52</v>
      </c>
      <c r="I260" s="1416">
        <v>2012</v>
      </c>
      <c r="J260" s="1414"/>
      <c r="K260" s="1414"/>
      <c r="L260" s="1414"/>
      <c r="M260" s="1414"/>
      <c r="N260" s="1414"/>
      <c r="O260" s="1416" t="s">
        <v>12</v>
      </c>
      <c r="P260" s="1529">
        <v>2646961.6908850726</v>
      </c>
      <c r="Q260" s="1596"/>
      <c r="V260" s="1477" t="str">
        <f t="shared" si="137"/>
        <v>02.06.03</v>
      </c>
      <c r="W260" s="1478" t="str">
        <f t="shared" si="139"/>
        <v>Peralatan Komputer</v>
      </c>
      <c r="X260" s="1478">
        <f t="shared" si="140"/>
        <v>4</v>
      </c>
      <c r="Y260" s="1401">
        <f t="shared" si="141"/>
        <v>661740.42272126814</v>
      </c>
      <c r="Z260" s="1444">
        <f t="shared" si="142"/>
        <v>2</v>
      </c>
      <c r="AA260" s="1401">
        <f t="shared" si="143"/>
        <v>1323480.8454425363</v>
      </c>
      <c r="AB260" s="1401">
        <f t="shared" si="144"/>
        <v>661740.42272126814</v>
      </c>
      <c r="AC260" s="1401">
        <f t="shared" si="145"/>
        <v>661740.42272126814</v>
      </c>
      <c r="AD260" s="1401">
        <f t="shared" si="146"/>
        <v>0</v>
      </c>
      <c r="AE260" s="1479">
        <f t="shared" si="147"/>
        <v>0</v>
      </c>
      <c r="AF260" s="1479">
        <f t="shared" si="148"/>
        <v>0</v>
      </c>
      <c r="AG260" s="1479">
        <f t="shared" si="138"/>
        <v>0</v>
      </c>
      <c r="AH260" s="1479">
        <f t="shared" si="134"/>
        <v>2646961.6908850726</v>
      </c>
      <c r="AI260" s="1645">
        <f t="shared" si="149"/>
        <v>2012</v>
      </c>
      <c r="AJ260" s="1401">
        <f t="shared" si="150"/>
        <v>0</v>
      </c>
      <c r="AK260" s="1401"/>
    </row>
    <row r="261" spans="1:37" s="1390" customFormat="1" ht="37" customHeight="1" x14ac:dyDescent="0.2">
      <c r="A261" s="1710" t="str">
        <f t="shared" si="123"/>
        <v>02.06.01.05</v>
      </c>
      <c r="B261" s="1426">
        <v>173</v>
      </c>
      <c r="C261" s="1414" t="s">
        <v>2322</v>
      </c>
      <c r="D261" s="1429" t="s">
        <v>4721</v>
      </c>
      <c r="E261" s="1416"/>
      <c r="F261" s="1414" t="s">
        <v>52</v>
      </c>
      <c r="G261" s="1414"/>
      <c r="H261" s="1414" t="s">
        <v>191</v>
      </c>
      <c r="I261" s="1416">
        <v>2012</v>
      </c>
      <c r="J261" s="1414"/>
      <c r="K261" s="1414"/>
      <c r="L261" s="1414"/>
      <c r="M261" s="1414"/>
      <c r="N261" s="1414"/>
      <c r="O261" s="1416" t="s">
        <v>12</v>
      </c>
      <c r="P261" s="1529">
        <v>100125000</v>
      </c>
      <c r="Q261" s="1596"/>
      <c r="V261" s="1477" t="str">
        <f t="shared" si="137"/>
        <v>02.06.01</v>
      </c>
      <c r="W261" s="1478" t="str">
        <f t="shared" si="139"/>
        <v>Alat Kantor</v>
      </c>
      <c r="X261" s="1478">
        <f t="shared" si="140"/>
        <v>5</v>
      </c>
      <c r="Y261" s="1401">
        <f t="shared" si="141"/>
        <v>20025000</v>
      </c>
      <c r="Z261" s="1444">
        <f t="shared" si="142"/>
        <v>2</v>
      </c>
      <c r="AA261" s="1401">
        <f t="shared" si="143"/>
        <v>40050000</v>
      </c>
      <c r="AB261" s="1401">
        <f t="shared" si="144"/>
        <v>20025000</v>
      </c>
      <c r="AC261" s="1401">
        <f t="shared" si="145"/>
        <v>20025000</v>
      </c>
      <c r="AD261" s="1401">
        <f t="shared" si="146"/>
        <v>20025000</v>
      </c>
      <c r="AE261" s="1479">
        <f t="shared" si="147"/>
        <v>0</v>
      </c>
      <c r="AF261" s="1479">
        <f t="shared" si="148"/>
        <v>0</v>
      </c>
      <c r="AG261" s="1479">
        <f t="shared" si="138"/>
        <v>0</v>
      </c>
      <c r="AH261" s="1479">
        <f t="shared" si="134"/>
        <v>100125000</v>
      </c>
      <c r="AI261" s="1645">
        <f t="shared" si="149"/>
        <v>2012</v>
      </c>
      <c r="AJ261" s="1401">
        <f t="shared" si="150"/>
        <v>0</v>
      </c>
      <c r="AK261" s="1401"/>
    </row>
    <row r="262" spans="1:37" s="1390" customFormat="1" ht="56" customHeight="1" x14ac:dyDescent="0.2">
      <c r="A262" s="1710" t="str">
        <f t="shared" si="123"/>
        <v>02.06.03.06</v>
      </c>
      <c r="B262" s="1426">
        <v>174</v>
      </c>
      <c r="C262" s="1414" t="s">
        <v>2331</v>
      </c>
      <c r="D262" s="1429" t="s">
        <v>5319</v>
      </c>
      <c r="E262" s="1416"/>
      <c r="F262" s="1414" t="s">
        <v>52</v>
      </c>
      <c r="G262" s="1414"/>
      <c r="H262" s="1414" t="s">
        <v>52</v>
      </c>
      <c r="I262" s="1416">
        <v>2012</v>
      </c>
      <c r="J262" s="1414"/>
      <c r="K262" s="1414"/>
      <c r="L262" s="1414"/>
      <c r="M262" s="1414"/>
      <c r="N262" s="1414"/>
      <c r="O262" s="1416" t="s">
        <v>12</v>
      </c>
      <c r="P262" s="1529">
        <v>48701865.649999999</v>
      </c>
      <c r="Q262" s="1596"/>
      <c r="V262" s="1477" t="str">
        <f t="shared" si="137"/>
        <v>02.06.03</v>
      </c>
      <c r="W262" s="1478" t="str">
        <f t="shared" si="139"/>
        <v>Peralatan Komputer</v>
      </c>
      <c r="X262" s="1478">
        <f t="shared" si="140"/>
        <v>4</v>
      </c>
      <c r="Y262" s="1401">
        <f t="shared" si="141"/>
        <v>12175466.4125</v>
      </c>
      <c r="Z262" s="1444">
        <f t="shared" si="142"/>
        <v>2</v>
      </c>
      <c r="AA262" s="1401">
        <f t="shared" si="143"/>
        <v>24350932.824999999</v>
      </c>
      <c r="AB262" s="1401">
        <f t="shared" si="144"/>
        <v>12175466.4125</v>
      </c>
      <c r="AC262" s="1401">
        <f t="shared" si="145"/>
        <v>12175466.4125</v>
      </c>
      <c r="AD262" s="1401">
        <f t="shared" si="146"/>
        <v>0</v>
      </c>
      <c r="AE262" s="1479">
        <f t="shared" si="147"/>
        <v>0</v>
      </c>
      <c r="AF262" s="1479">
        <f t="shared" si="148"/>
        <v>0</v>
      </c>
      <c r="AG262" s="1479">
        <f t="shared" si="138"/>
        <v>0</v>
      </c>
      <c r="AH262" s="1479">
        <f t="shared" si="134"/>
        <v>48701865.649999999</v>
      </c>
      <c r="AI262" s="1645">
        <f t="shared" si="149"/>
        <v>2012</v>
      </c>
      <c r="AJ262" s="1401">
        <f t="shared" si="150"/>
        <v>0</v>
      </c>
      <c r="AK262" s="1401"/>
    </row>
    <row r="263" spans="1:37" s="1390" customFormat="1" ht="37" customHeight="1" x14ac:dyDescent="0.2">
      <c r="A263" s="1710" t="str">
        <f t="shared" si="123"/>
        <v>02.06.03.02</v>
      </c>
      <c r="B263" s="1426">
        <v>175</v>
      </c>
      <c r="C263" s="1414" t="s">
        <v>298</v>
      </c>
      <c r="D263" s="1414" t="s">
        <v>1718</v>
      </c>
      <c r="E263" s="1416"/>
      <c r="F263" s="1414" t="s">
        <v>231</v>
      </c>
      <c r="G263" s="1414" t="s">
        <v>1735</v>
      </c>
      <c r="H263" s="1414" t="s">
        <v>1730</v>
      </c>
      <c r="I263" s="1416">
        <v>2012</v>
      </c>
      <c r="J263" s="1414"/>
      <c r="K263" s="1414"/>
      <c r="L263" s="1414"/>
      <c r="M263" s="1414"/>
      <c r="N263" s="1414"/>
      <c r="O263" s="1416" t="s">
        <v>12</v>
      </c>
      <c r="P263" s="1529">
        <v>22086567.710361429</v>
      </c>
      <c r="Q263" s="1596"/>
      <c r="V263" s="1477" t="str">
        <f t="shared" si="137"/>
        <v>02.06.03</v>
      </c>
      <c r="W263" s="1478" t="str">
        <f t="shared" si="139"/>
        <v>Peralatan Komputer</v>
      </c>
      <c r="X263" s="1478">
        <f t="shared" si="140"/>
        <v>4</v>
      </c>
      <c r="Y263" s="1401">
        <f t="shared" si="141"/>
        <v>5521641.9275903571</v>
      </c>
      <c r="Z263" s="1444">
        <f t="shared" si="142"/>
        <v>2</v>
      </c>
      <c r="AA263" s="1401">
        <f t="shared" si="143"/>
        <v>11043283.855180714</v>
      </c>
      <c r="AB263" s="1401">
        <f t="shared" si="144"/>
        <v>5521641.9275903571</v>
      </c>
      <c r="AC263" s="1401">
        <f t="shared" si="145"/>
        <v>5521641.9275903571</v>
      </c>
      <c r="AD263" s="1401">
        <f t="shared" si="146"/>
        <v>0</v>
      </c>
      <c r="AE263" s="1479">
        <f t="shared" si="147"/>
        <v>0</v>
      </c>
      <c r="AF263" s="1479">
        <f t="shared" si="148"/>
        <v>0</v>
      </c>
      <c r="AG263" s="1479">
        <f t="shared" si="138"/>
        <v>0</v>
      </c>
      <c r="AH263" s="1479">
        <f t="shared" si="134"/>
        <v>22086567.710361429</v>
      </c>
      <c r="AI263" s="1645">
        <f t="shared" si="149"/>
        <v>2012</v>
      </c>
      <c r="AJ263" s="1401">
        <f t="shared" si="150"/>
        <v>0</v>
      </c>
      <c r="AK263" s="1401"/>
    </row>
    <row r="264" spans="1:37" s="1390" customFormat="1" ht="37" customHeight="1" x14ac:dyDescent="0.2">
      <c r="A264" s="1710" t="str">
        <f t="shared" si="123"/>
        <v>02.06.03.02</v>
      </c>
      <c r="B264" s="1426">
        <v>176</v>
      </c>
      <c r="C264" s="1414" t="s">
        <v>298</v>
      </c>
      <c r="D264" s="1414" t="s">
        <v>1718</v>
      </c>
      <c r="E264" s="1416" t="s">
        <v>1725</v>
      </c>
      <c r="F264" s="1414" t="s">
        <v>1736</v>
      </c>
      <c r="G264" s="1414" t="s">
        <v>1729</v>
      </c>
      <c r="H264" s="1414" t="s">
        <v>1730</v>
      </c>
      <c r="I264" s="1416">
        <v>2012</v>
      </c>
      <c r="J264" s="1414" t="s">
        <v>1737</v>
      </c>
      <c r="K264" s="1414"/>
      <c r="L264" s="1414"/>
      <c r="M264" s="1414"/>
      <c r="N264" s="1414"/>
      <c r="O264" s="1416" t="s">
        <v>12</v>
      </c>
      <c r="P264" s="1529">
        <v>8800000</v>
      </c>
      <c r="Q264" s="1596"/>
      <c r="U264" s="1397">
        <f>P264/2</f>
        <v>4400000</v>
      </c>
      <c r="V264" s="1477" t="str">
        <f t="shared" si="137"/>
        <v>02.06.03</v>
      </c>
      <c r="W264" s="1478" t="str">
        <f t="shared" si="139"/>
        <v>Peralatan Komputer</v>
      </c>
      <c r="X264" s="1478">
        <f t="shared" si="140"/>
        <v>4</v>
      </c>
      <c r="Y264" s="1401">
        <f t="shared" si="141"/>
        <v>2200000</v>
      </c>
      <c r="Z264" s="1444">
        <f t="shared" si="142"/>
        <v>2</v>
      </c>
      <c r="AA264" s="1401">
        <f t="shared" si="143"/>
        <v>4400000</v>
      </c>
      <c r="AB264" s="1401">
        <f t="shared" si="144"/>
        <v>2200000</v>
      </c>
      <c r="AC264" s="1401">
        <f t="shared" si="145"/>
        <v>2200000</v>
      </c>
      <c r="AD264" s="1401">
        <f t="shared" si="146"/>
        <v>0</v>
      </c>
      <c r="AE264" s="1479">
        <f t="shared" si="147"/>
        <v>0</v>
      </c>
      <c r="AF264" s="1479">
        <f t="shared" si="148"/>
        <v>0</v>
      </c>
      <c r="AG264" s="1479">
        <f t="shared" si="138"/>
        <v>0</v>
      </c>
      <c r="AH264" s="1479">
        <f t="shared" si="134"/>
        <v>8800000</v>
      </c>
      <c r="AI264" s="1645">
        <f t="shared" si="149"/>
        <v>2012</v>
      </c>
      <c r="AJ264" s="1401">
        <f t="shared" si="150"/>
        <v>0</v>
      </c>
      <c r="AK264" s="1401"/>
    </row>
    <row r="265" spans="1:37" s="1390" customFormat="1" ht="37" customHeight="1" x14ac:dyDescent="0.2">
      <c r="A265" s="1710" t="str">
        <f t="shared" si="123"/>
        <v>02.06.02.06</v>
      </c>
      <c r="B265" s="1426">
        <v>177</v>
      </c>
      <c r="C265" s="1455" t="s">
        <v>5760</v>
      </c>
      <c r="D265" s="1414" t="s">
        <v>1738</v>
      </c>
      <c r="E265" s="1416"/>
      <c r="F265" s="1414" t="s">
        <v>204</v>
      </c>
      <c r="G265" s="1414"/>
      <c r="H265" s="1414" t="s">
        <v>191</v>
      </c>
      <c r="I265" s="1416">
        <v>2012</v>
      </c>
      <c r="J265" s="1414" t="s">
        <v>1739</v>
      </c>
      <c r="K265" s="1414"/>
      <c r="L265" s="1414"/>
      <c r="M265" s="1414"/>
      <c r="N265" s="1414"/>
      <c r="O265" s="1416" t="s">
        <v>12</v>
      </c>
      <c r="P265" s="1529">
        <v>7916000</v>
      </c>
      <c r="Q265" s="1596"/>
      <c r="V265" s="1477" t="str">
        <f t="shared" si="137"/>
        <v>02.06.02</v>
      </c>
      <c r="W265" s="1478" t="str">
        <f t="shared" si="139"/>
        <v>Alat Rumah Tangga</v>
      </c>
      <c r="X265" s="1478">
        <f t="shared" si="140"/>
        <v>5</v>
      </c>
      <c r="Y265" s="1401">
        <f t="shared" si="141"/>
        <v>1583200</v>
      </c>
      <c r="Z265" s="1444">
        <f t="shared" si="142"/>
        <v>2</v>
      </c>
      <c r="AA265" s="1401">
        <f t="shared" si="143"/>
        <v>3166400</v>
      </c>
      <c r="AB265" s="1401">
        <f t="shared" si="144"/>
        <v>1583200</v>
      </c>
      <c r="AC265" s="1401">
        <f t="shared" si="145"/>
        <v>1583200</v>
      </c>
      <c r="AD265" s="1401">
        <f t="shared" si="146"/>
        <v>1583200</v>
      </c>
      <c r="AE265" s="1479">
        <f t="shared" si="147"/>
        <v>0</v>
      </c>
      <c r="AF265" s="1479">
        <f t="shared" si="148"/>
        <v>0</v>
      </c>
      <c r="AG265" s="1479">
        <f t="shared" si="138"/>
        <v>0</v>
      </c>
      <c r="AH265" s="1479">
        <f t="shared" si="134"/>
        <v>7916000</v>
      </c>
      <c r="AI265" s="1645">
        <f t="shared" si="149"/>
        <v>2012</v>
      </c>
      <c r="AJ265" s="1401">
        <f t="shared" si="150"/>
        <v>0</v>
      </c>
      <c r="AK265" s="1401"/>
    </row>
    <row r="266" spans="1:37" s="1390" customFormat="1" ht="37" customHeight="1" x14ac:dyDescent="0.2">
      <c r="A266" s="1710" t="str">
        <f t="shared" si="123"/>
        <v>02.06.02.04</v>
      </c>
      <c r="B266" s="1426">
        <v>178</v>
      </c>
      <c r="C266" s="1414" t="s">
        <v>278</v>
      </c>
      <c r="D266" s="1414" t="s">
        <v>5320</v>
      </c>
      <c r="E266" s="1416" t="s">
        <v>327</v>
      </c>
      <c r="F266" s="1414" t="s">
        <v>52</v>
      </c>
      <c r="G266" s="1414"/>
      <c r="H266" s="1414" t="s">
        <v>281</v>
      </c>
      <c r="I266" s="1416">
        <v>2013</v>
      </c>
      <c r="J266" s="1414"/>
      <c r="K266" s="1414"/>
      <c r="L266" s="1414"/>
      <c r="M266" s="1414"/>
      <c r="N266" s="1414"/>
      <c r="O266" s="1416" t="s">
        <v>12</v>
      </c>
      <c r="P266" s="1529">
        <v>4500000</v>
      </c>
      <c r="Q266" s="1596"/>
      <c r="V266" s="1477" t="str">
        <f t="shared" si="137"/>
        <v>02.06.02</v>
      </c>
      <c r="W266" s="1478" t="str">
        <f t="shared" si="139"/>
        <v>Alat Rumah Tangga</v>
      </c>
      <c r="X266" s="1478">
        <f t="shared" si="140"/>
        <v>5</v>
      </c>
      <c r="Y266" s="1401">
        <f t="shared" si="141"/>
        <v>900000</v>
      </c>
      <c r="Z266" s="1444">
        <f t="shared" si="142"/>
        <v>1</v>
      </c>
      <c r="AA266" s="1401">
        <f t="shared" si="143"/>
        <v>900000</v>
      </c>
      <c r="AB266" s="1401">
        <f t="shared" si="144"/>
        <v>900000</v>
      </c>
      <c r="AC266" s="1401">
        <f t="shared" si="145"/>
        <v>900000</v>
      </c>
      <c r="AD266" s="1401">
        <f t="shared" si="146"/>
        <v>900000</v>
      </c>
      <c r="AE266" s="1479">
        <f t="shared" si="147"/>
        <v>900000</v>
      </c>
      <c r="AF266" s="1479">
        <f t="shared" si="148"/>
        <v>0</v>
      </c>
      <c r="AG266" s="1479">
        <f t="shared" si="138"/>
        <v>0</v>
      </c>
      <c r="AH266" s="1479">
        <f t="shared" si="134"/>
        <v>4500000</v>
      </c>
      <c r="AI266" s="1645">
        <f t="shared" si="149"/>
        <v>2013</v>
      </c>
      <c r="AJ266" s="1401">
        <f t="shared" si="150"/>
        <v>0</v>
      </c>
      <c r="AK266" s="1401"/>
    </row>
    <row r="267" spans="1:37" s="1390" customFormat="1" ht="37" customHeight="1" x14ac:dyDescent="0.2">
      <c r="A267" s="1710" t="str">
        <f t="shared" si="123"/>
        <v>02.06.02.06</v>
      </c>
      <c r="B267" s="1426">
        <v>179</v>
      </c>
      <c r="C267" s="1455" t="s">
        <v>5760</v>
      </c>
      <c r="D267" s="1414" t="s">
        <v>203</v>
      </c>
      <c r="E267" s="1416" t="s">
        <v>39</v>
      </c>
      <c r="F267" s="1414" t="s">
        <v>52</v>
      </c>
      <c r="G267" s="1414"/>
      <c r="H267" s="1414" t="s">
        <v>191</v>
      </c>
      <c r="I267" s="1416">
        <v>2013</v>
      </c>
      <c r="J267" s="1414"/>
      <c r="K267" s="1414"/>
      <c r="L267" s="1414"/>
      <c r="M267" s="1414"/>
      <c r="N267" s="1414"/>
      <c r="O267" s="1416" t="s">
        <v>12</v>
      </c>
      <c r="P267" s="1529">
        <v>3600000</v>
      </c>
      <c r="Q267" s="1596"/>
      <c r="V267" s="1477" t="str">
        <f t="shared" si="137"/>
        <v>02.06.02</v>
      </c>
      <c r="W267" s="1478" t="str">
        <f t="shared" si="139"/>
        <v>Alat Rumah Tangga</v>
      </c>
      <c r="X267" s="1478">
        <f t="shared" si="140"/>
        <v>5</v>
      </c>
      <c r="Y267" s="1401">
        <f t="shared" si="141"/>
        <v>720000</v>
      </c>
      <c r="Z267" s="1444">
        <f t="shared" si="142"/>
        <v>1</v>
      </c>
      <c r="AA267" s="1401">
        <f t="shared" si="143"/>
        <v>720000</v>
      </c>
      <c r="AB267" s="1401">
        <f t="shared" si="144"/>
        <v>720000</v>
      </c>
      <c r="AC267" s="1401">
        <f t="shared" si="145"/>
        <v>720000</v>
      </c>
      <c r="AD267" s="1401">
        <f t="shared" si="146"/>
        <v>720000</v>
      </c>
      <c r="AE267" s="1479">
        <f t="shared" si="147"/>
        <v>720000</v>
      </c>
      <c r="AF267" s="1479">
        <f t="shared" si="148"/>
        <v>0</v>
      </c>
      <c r="AG267" s="1479">
        <f t="shared" si="138"/>
        <v>0</v>
      </c>
      <c r="AH267" s="1479">
        <f t="shared" si="134"/>
        <v>3600000</v>
      </c>
      <c r="AI267" s="1645">
        <f t="shared" si="149"/>
        <v>2013</v>
      </c>
      <c r="AJ267" s="1401">
        <f t="shared" si="150"/>
        <v>0</v>
      </c>
      <c r="AK267" s="1401"/>
    </row>
    <row r="268" spans="1:37" s="1390" customFormat="1" ht="37" customHeight="1" x14ac:dyDescent="0.2">
      <c r="A268" s="1710" t="str">
        <f t="shared" ref="A268:A325" si="151">LEFT(C268,11)</f>
        <v>02.06.04.01</v>
      </c>
      <c r="B268" s="1426">
        <v>180</v>
      </c>
      <c r="C268" s="1414" t="s">
        <v>2326</v>
      </c>
      <c r="D268" s="1414" t="s">
        <v>940</v>
      </c>
      <c r="E268" s="1416" t="s">
        <v>1743</v>
      </c>
      <c r="F268" s="1414" t="s">
        <v>52</v>
      </c>
      <c r="G268" s="1414"/>
      <c r="H268" s="1414" t="s">
        <v>52</v>
      </c>
      <c r="I268" s="1416">
        <v>2013</v>
      </c>
      <c r="J268" s="1414"/>
      <c r="K268" s="1414"/>
      <c r="L268" s="1414"/>
      <c r="M268" s="1414"/>
      <c r="N268" s="1414"/>
      <c r="O268" s="1416" t="s">
        <v>12</v>
      </c>
      <c r="P268" s="1529">
        <v>4500000</v>
      </c>
      <c r="Q268" s="1596"/>
      <c r="U268" s="1397">
        <f>P268/3</f>
        <v>1500000</v>
      </c>
      <c r="V268" s="1477" t="str">
        <f t="shared" si="137"/>
        <v>02.06.04</v>
      </c>
      <c r="W268" s="1478" t="str">
        <f t="shared" si="139"/>
        <v>Meja Dan Kursi Kerja/Rapat Pejabat</v>
      </c>
      <c r="X268" s="1478">
        <f t="shared" si="140"/>
        <v>5</v>
      </c>
      <c r="Y268" s="1401">
        <f t="shared" si="141"/>
        <v>900000</v>
      </c>
      <c r="Z268" s="1444">
        <f t="shared" si="142"/>
        <v>1</v>
      </c>
      <c r="AA268" s="1401">
        <f t="shared" si="143"/>
        <v>900000</v>
      </c>
      <c r="AB268" s="1401">
        <f t="shared" si="144"/>
        <v>900000</v>
      </c>
      <c r="AC268" s="1401">
        <f t="shared" si="145"/>
        <v>900000</v>
      </c>
      <c r="AD268" s="1401">
        <f t="shared" si="146"/>
        <v>900000</v>
      </c>
      <c r="AE268" s="1479">
        <f t="shared" si="147"/>
        <v>900000</v>
      </c>
      <c r="AF268" s="1479">
        <f t="shared" si="148"/>
        <v>0</v>
      </c>
      <c r="AG268" s="1479">
        <f t="shared" si="138"/>
        <v>0</v>
      </c>
      <c r="AH268" s="1479">
        <f t="shared" si="134"/>
        <v>4500000</v>
      </c>
      <c r="AI268" s="1645">
        <f t="shared" si="149"/>
        <v>2013</v>
      </c>
      <c r="AJ268" s="1401">
        <f t="shared" si="150"/>
        <v>0</v>
      </c>
      <c r="AK268" s="1401"/>
    </row>
    <row r="269" spans="1:37" s="1390" customFormat="1" ht="37" customHeight="1" x14ac:dyDescent="0.2">
      <c r="A269" s="1710" t="str">
        <f t="shared" si="151"/>
        <v>02.06.03.05</v>
      </c>
      <c r="B269" s="1426">
        <v>181</v>
      </c>
      <c r="C269" s="1414" t="s">
        <v>299</v>
      </c>
      <c r="D269" s="1414" t="s">
        <v>183</v>
      </c>
      <c r="E269" s="1416" t="s">
        <v>274</v>
      </c>
      <c r="F269" s="1414" t="s">
        <v>52</v>
      </c>
      <c r="G269" s="1414"/>
      <c r="H269" s="1414" t="s">
        <v>281</v>
      </c>
      <c r="I269" s="1416">
        <v>2013</v>
      </c>
      <c r="J269" s="1414"/>
      <c r="K269" s="1414"/>
      <c r="L269" s="1414"/>
      <c r="M269" s="1414"/>
      <c r="N269" s="1414"/>
      <c r="O269" s="1416" t="s">
        <v>12</v>
      </c>
      <c r="P269" s="1529">
        <v>5000000</v>
      </c>
      <c r="Q269" s="1596"/>
      <c r="U269" s="1397">
        <f>P269/2</f>
        <v>2500000</v>
      </c>
      <c r="V269" s="1477" t="str">
        <f t="shared" si="137"/>
        <v>02.06.03</v>
      </c>
      <c r="W269" s="1478" t="str">
        <f t="shared" si="139"/>
        <v>Peralatan Komputer</v>
      </c>
      <c r="X269" s="1478">
        <f t="shared" si="140"/>
        <v>4</v>
      </c>
      <c r="Y269" s="1401">
        <f t="shared" si="141"/>
        <v>1250000</v>
      </c>
      <c r="Z269" s="1444">
        <f t="shared" si="142"/>
        <v>1</v>
      </c>
      <c r="AA269" s="1401">
        <f t="shared" si="143"/>
        <v>1250000</v>
      </c>
      <c r="AB269" s="1401">
        <f t="shared" si="144"/>
        <v>1250000</v>
      </c>
      <c r="AC269" s="1401">
        <f t="shared" si="145"/>
        <v>1250000</v>
      </c>
      <c r="AD269" s="1401">
        <f t="shared" si="146"/>
        <v>1250000</v>
      </c>
      <c r="AE269" s="1479">
        <f t="shared" si="147"/>
        <v>0</v>
      </c>
      <c r="AF269" s="1479">
        <f t="shared" si="148"/>
        <v>0</v>
      </c>
      <c r="AG269" s="1479">
        <f t="shared" si="138"/>
        <v>0</v>
      </c>
      <c r="AH269" s="1479">
        <f t="shared" si="134"/>
        <v>5000000</v>
      </c>
      <c r="AI269" s="1645">
        <f t="shared" si="149"/>
        <v>2013</v>
      </c>
      <c r="AJ269" s="1401">
        <f t="shared" si="150"/>
        <v>0</v>
      </c>
      <c r="AK269" s="1401"/>
    </row>
    <row r="270" spans="1:37" s="1390" customFormat="1" ht="37" customHeight="1" x14ac:dyDescent="0.2">
      <c r="A270" s="1710" t="str">
        <f t="shared" si="151"/>
        <v>02.06.03.02</v>
      </c>
      <c r="B270" s="1426">
        <v>182</v>
      </c>
      <c r="C270" s="1414" t="s">
        <v>2330</v>
      </c>
      <c r="D270" s="1414" t="s">
        <v>4718</v>
      </c>
      <c r="E270" s="1416" t="s">
        <v>39</v>
      </c>
      <c r="F270" s="1414" t="s">
        <v>52</v>
      </c>
      <c r="G270" s="1414"/>
      <c r="H270" s="1414" t="s">
        <v>281</v>
      </c>
      <c r="I270" s="1416">
        <v>2014</v>
      </c>
      <c r="J270" s="1414"/>
      <c r="K270" s="1414"/>
      <c r="L270" s="1414"/>
      <c r="M270" s="1414"/>
      <c r="N270" s="1414"/>
      <c r="O270" s="1416" t="s">
        <v>12</v>
      </c>
      <c r="P270" s="1529">
        <v>19289000</v>
      </c>
      <c r="Q270" s="1596"/>
      <c r="V270" s="1477" t="str">
        <f t="shared" si="137"/>
        <v>02.06.03</v>
      </c>
      <c r="W270" s="1478" t="str">
        <f t="shared" si="139"/>
        <v>Peralatan Komputer</v>
      </c>
      <c r="X270" s="1478">
        <f t="shared" si="140"/>
        <v>4</v>
      </c>
      <c r="Y270" s="1401">
        <f t="shared" si="141"/>
        <v>4822250</v>
      </c>
      <c r="Z270" s="1444">
        <f t="shared" si="142"/>
        <v>0</v>
      </c>
      <c r="AA270" s="1401">
        <f t="shared" si="143"/>
        <v>0</v>
      </c>
      <c r="AB270" s="1401">
        <f t="shared" si="144"/>
        <v>4822250</v>
      </c>
      <c r="AC270" s="1401">
        <f t="shared" si="145"/>
        <v>4822250</v>
      </c>
      <c r="AD270" s="1401">
        <f t="shared" si="146"/>
        <v>4822250</v>
      </c>
      <c r="AE270" s="1401">
        <f t="shared" si="147"/>
        <v>4822250</v>
      </c>
      <c r="AF270" s="1479">
        <f t="shared" si="148"/>
        <v>0</v>
      </c>
      <c r="AG270" s="1479">
        <f t="shared" si="138"/>
        <v>0</v>
      </c>
      <c r="AH270" s="1479">
        <f t="shared" si="134"/>
        <v>19289000</v>
      </c>
      <c r="AI270" s="1645">
        <f t="shared" si="149"/>
        <v>2014</v>
      </c>
      <c r="AJ270" s="1401">
        <f t="shared" si="150"/>
        <v>0</v>
      </c>
      <c r="AK270" s="1401"/>
    </row>
    <row r="271" spans="1:37" s="1390" customFormat="1" ht="37" customHeight="1" x14ac:dyDescent="0.2">
      <c r="A271" s="1710" t="str">
        <f t="shared" si="151"/>
        <v>02.06.01.05</v>
      </c>
      <c r="B271" s="1426">
        <v>183</v>
      </c>
      <c r="C271" s="1414" t="s">
        <v>2329</v>
      </c>
      <c r="D271" s="1414" t="s">
        <v>4722</v>
      </c>
      <c r="E271" s="1416"/>
      <c r="F271" s="1414" t="s">
        <v>52</v>
      </c>
      <c r="G271" s="1414"/>
      <c r="H271" s="1414" t="s">
        <v>52</v>
      </c>
      <c r="I271" s="1416">
        <v>2016</v>
      </c>
      <c r="J271" s="1414"/>
      <c r="K271" s="1414"/>
      <c r="L271" s="1414"/>
      <c r="M271" s="1414"/>
      <c r="N271" s="1414"/>
      <c r="O271" s="1416" t="s">
        <v>12</v>
      </c>
      <c r="P271" s="1529">
        <v>77427000</v>
      </c>
      <c r="Q271" s="1596"/>
      <c r="V271" s="1477" t="str">
        <f t="shared" si="137"/>
        <v>02.06.01</v>
      </c>
      <c r="W271" s="1478" t="str">
        <f t="shared" si="139"/>
        <v>Alat Kantor</v>
      </c>
      <c r="X271" s="1478">
        <f t="shared" si="140"/>
        <v>5</v>
      </c>
      <c r="Y271" s="1401">
        <f t="shared" si="141"/>
        <v>15485400</v>
      </c>
      <c r="Z271" s="1444">
        <f t="shared" si="142"/>
        <v>0</v>
      </c>
      <c r="AA271" s="1401">
        <f t="shared" si="143"/>
        <v>0</v>
      </c>
      <c r="AB271" s="1401"/>
      <c r="AC271" s="1401"/>
      <c r="AD271" s="1401">
        <f t="shared" si="146"/>
        <v>15485400</v>
      </c>
      <c r="AE271" s="1401">
        <f t="shared" si="147"/>
        <v>15485400</v>
      </c>
      <c r="AF271" s="1479">
        <f t="shared" ref="AF271:AF277" si="152">IF(P271-10=AA271+AB271+AC271+AD271+AE271,0,Y271)</f>
        <v>15485400</v>
      </c>
      <c r="AG271" s="1479">
        <f t="shared" si="138"/>
        <v>15485400</v>
      </c>
      <c r="AH271" s="1479">
        <f t="shared" si="134"/>
        <v>61941600</v>
      </c>
      <c r="AI271" s="1645">
        <f t="shared" si="149"/>
        <v>2016</v>
      </c>
      <c r="AJ271" s="1401">
        <f t="shared" si="150"/>
        <v>15485400</v>
      </c>
      <c r="AK271" s="1401"/>
    </row>
    <row r="272" spans="1:37" s="1390" customFormat="1" ht="37" customHeight="1" x14ac:dyDescent="0.2">
      <c r="A272" s="1710" t="str">
        <f t="shared" si="151"/>
        <v>02.06.03.02</v>
      </c>
      <c r="B272" s="1426">
        <v>184</v>
      </c>
      <c r="C272" s="1414" t="s">
        <v>295</v>
      </c>
      <c r="D272" s="1414" t="s">
        <v>944</v>
      </c>
      <c r="E272" s="1416" t="s">
        <v>39</v>
      </c>
      <c r="F272" s="1414" t="s">
        <v>52</v>
      </c>
      <c r="G272" s="1414"/>
      <c r="H272" s="1414" t="s">
        <v>52</v>
      </c>
      <c r="I272" s="1416">
        <v>2017</v>
      </c>
      <c r="J272" s="1414"/>
      <c r="K272" s="1414"/>
      <c r="L272" s="1414"/>
      <c r="M272" s="1414"/>
      <c r="N272" s="1414"/>
      <c r="O272" s="1416" t="s">
        <v>12</v>
      </c>
      <c r="P272" s="1529">
        <v>9845000</v>
      </c>
      <c r="Q272" s="1596"/>
      <c r="V272" s="1477" t="str">
        <f t="shared" si="137"/>
        <v>02.06.03</v>
      </c>
      <c r="W272" s="1478" t="str">
        <f t="shared" si="139"/>
        <v>Peralatan Komputer</v>
      </c>
      <c r="X272" s="1478">
        <f t="shared" si="140"/>
        <v>4</v>
      </c>
      <c r="Y272" s="1401">
        <f t="shared" si="141"/>
        <v>2461250</v>
      </c>
      <c r="Z272" s="1444">
        <f t="shared" si="142"/>
        <v>0</v>
      </c>
      <c r="AA272" s="1401">
        <f t="shared" si="143"/>
        <v>0</v>
      </c>
      <c r="AB272" s="1401"/>
      <c r="AC272" s="1401"/>
      <c r="AD272" s="1401"/>
      <c r="AE272" s="1479">
        <f t="shared" si="147"/>
        <v>2461250</v>
      </c>
      <c r="AF272" s="1479">
        <f t="shared" si="152"/>
        <v>2461250</v>
      </c>
      <c r="AG272" s="1479">
        <f t="shared" si="138"/>
        <v>2461250</v>
      </c>
      <c r="AH272" s="1479">
        <f t="shared" si="134"/>
        <v>7383750</v>
      </c>
      <c r="AI272" s="1645">
        <f t="shared" si="149"/>
        <v>2017</v>
      </c>
      <c r="AJ272" s="1401">
        <f t="shared" si="150"/>
        <v>2461250</v>
      </c>
      <c r="AK272" s="1401"/>
    </row>
    <row r="273" spans="1:37" s="1390" customFormat="1" ht="37" customHeight="1" x14ac:dyDescent="0.2">
      <c r="A273" s="1710" t="str">
        <f t="shared" si="151"/>
        <v>02.06.03.02</v>
      </c>
      <c r="B273" s="1426">
        <v>185</v>
      </c>
      <c r="C273" s="1414" t="s">
        <v>295</v>
      </c>
      <c r="D273" s="1414" t="s">
        <v>944</v>
      </c>
      <c r="E273" s="1416" t="s">
        <v>39</v>
      </c>
      <c r="F273" s="1414"/>
      <c r="G273" s="1414"/>
      <c r="H273" s="1414"/>
      <c r="I273" s="1416">
        <v>2017</v>
      </c>
      <c r="J273" s="1414"/>
      <c r="K273" s="1414"/>
      <c r="L273" s="1414"/>
      <c r="M273" s="1414"/>
      <c r="N273" s="1414"/>
      <c r="O273" s="1416" t="s">
        <v>12</v>
      </c>
      <c r="P273" s="1529">
        <v>9845000</v>
      </c>
      <c r="Q273" s="1596"/>
      <c r="V273" s="1477" t="str">
        <f t="shared" si="137"/>
        <v>02.06.03</v>
      </c>
      <c r="W273" s="1478" t="str">
        <f t="shared" si="139"/>
        <v>Peralatan Komputer</v>
      </c>
      <c r="X273" s="1478">
        <f t="shared" si="140"/>
        <v>4</v>
      </c>
      <c r="Y273" s="1401">
        <f t="shared" si="141"/>
        <v>2461250</v>
      </c>
      <c r="Z273" s="1444">
        <f t="shared" si="142"/>
        <v>0</v>
      </c>
      <c r="AA273" s="1401">
        <f t="shared" si="143"/>
        <v>0</v>
      </c>
      <c r="AB273" s="1401"/>
      <c r="AC273" s="1401"/>
      <c r="AD273" s="1401"/>
      <c r="AE273" s="1479">
        <f t="shared" si="147"/>
        <v>2461250</v>
      </c>
      <c r="AF273" s="1479">
        <f t="shared" si="152"/>
        <v>2461250</v>
      </c>
      <c r="AG273" s="1479">
        <f t="shared" si="138"/>
        <v>2461250</v>
      </c>
      <c r="AH273" s="1479">
        <f t="shared" si="134"/>
        <v>7383750</v>
      </c>
      <c r="AI273" s="1645">
        <f t="shared" si="149"/>
        <v>2017</v>
      </c>
      <c r="AJ273" s="1401">
        <f t="shared" si="150"/>
        <v>2461250</v>
      </c>
      <c r="AK273" s="1401"/>
    </row>
    <row r="274" spans="1:37" s="1390" customFormat="1" ht="37" customHeight="1" x14ac:dyDescent="0.2">
      <c r="A274" s="1710" t="str">
        <f t="shared" si="151"/>
        <v>02.06.03.02</v>
      </c>
      <c r="B274" s="1426">
        <v>186</v>
      </c>
      <c r="C274" s="1414" t="s">
        <v>295</v>
      </c>
      <c r="D274" s="1414" t="s">
        <v>944</v>
      </c>
      <c r="E274" s="1416" t="s">
        <v>39</v>
      </c>
      <c r="F274" s="1414"/>
      <c r="G274" s="1414"/>
      <c r="H274" s="1414"/>
      <c r="I274" s="1416">
        <v>2017</v>
      </c>
      <c r="J274" s="1414"/>
      <c r="K274" s="1414"/>
      <c r="L274" s="1414"/>
      <c r="M274" s="1414"/>
      <c r="N274" s="1414"/>
      <c r="O274" s="1416" t="s">
        <v>12</v>
      </c>
      <c r="P274" s="1529">
        <v>9845000</v>
      </c>
      <c r="Q274" s="1596"/>
      <c r="V274" s="1477" t="str">
        <f t="shared" si="137"/>
        <v>02.06.03</v>
      </c>
      <c r="W274" s="1478" t="str">
        <f t="shared" si="139"/>
        <v>Peralatan Komputer</v>
      </c>
      <c r="X274" s="1478">
        <f t="shared" si="140"/>
        <v>4</v>
      </c>
      <c r="Y274" s="1401">
        <f t="shared" si="141"/>
        <v>2461250</v>
      </c>
      <c r="Z274" s="1444">
        <f t="shared" si="142"/>
        <v>0</v>
      </c>
      <c r="AA274" s="1401">
        <f t="shared" si="143"/>
        <v>0</v>
      </c>
      <c r="AB274" s="1401"/>
      <c r="AC274" s="1401"/>
      <c r="AD274" s="1401"/>
      <c r="AE274" s="1479">
        <f t="shared" si="147"/>
        <v>2461250</v>
      </c>
      <c r="AF274" s="1479">
        <f t="shared" si="152"/>
        <v>2461250</v>
      </c>
      <c r="AG274" s="1479">
        <f t="shared" si="138"/>
        <v>2461250</v>
      </c>
      <c r="AH274" s="1479">
        <f t="shared" si="134"/>
        <v>7383750</v>
      </c>
      <c r="AI274" s="1645">
        <f t="shared" si="149"/>
        <v>2017</v>
      </c>
      <c r="AJ274" s="1401">
        <f t="shared" si="150"/>
        <v>2461250</v>
      </c>
      <c r="AK274" s="1401"/>
    </row>
    <row r="275" spans="1:37" s="1390" customFormat="1" ht="37" customHeight="1" x14ac:dyDescent="0.2">
      <c r="A275" s="1710" t="str">
        <f t="shared" si="151"/>
        <v>02.06.03.02</v>
      </c>
      <c r="B275" s="1426">
        <v>187</v>
      </c>
      <c r="C275" s="1414" t="s">
        <v>295</v>
      </c>
      <c r="D275" s="1414" t="s">
        <v>944</v>
      </c>
      <c r="E275" s="1416" t="s">
        <v>39</v>
      </c>
      <c r="F275" s="1414"/>
      <c r="G275" s="1414"/>
      <c r="H275" s="1414"/>
      <c r="I275" s="1416">
        <v>2017</v>
      </c>
      <c r="J275" s="1414"/>
      <c r="K275" s="1414"/>
      <c r="L275" s="1414"/>
      <c r="M275" s="1414"/>
      <c r="N275" s="1414"/>
      <c r="O275" s="1416" t="s">
        <v>12</v>
      </c>
      <c r="P275" s="1529">
        <v>9845000</v>
      </c>
      <c r="Q275" s="1596"/>
      <c r="V275" s="1477" t="str">
        <f t="shared" si="137"/>
        <v>02.06.03</v>
      </c>
      <c r="W275" s="1478" t="str">
        <f t="shared" si="139"/>
        <v>Peralatan Komputer</v>
      </c>
      <c r="X275" s="1478">
        <f t="shared" si="140"/>
        <v>4</v>
      </c>
      <c r="Y275" s="1401">
        <f t="shared" si="141"/>
        <v>2461250</v>
      </c>
      <c r="Z275" s="1444">
        <f t="shared" si="142"/>
        <v>0</v>
      </c>
      <c r="AA275" s="1401">
        <f t="shared" si="143"/>
        <v>0</v>
      </c>
      <c r="AB275" s="1401"/>
      <c r="AC275" s="1401"/>
      <c r="AD275" s="1401"/>
      <c r="AE275" s="1479">
        <f t="shared" si="147"/>
        <v>2461250</v>
      </c>
      <c r="AF275" s="1479">
        <f t="shared" si="152"/>
        <v>2461250</v>
      </c>
      <c r="AG275" s="1479">
        <f t="shared" si="138"/>
        <v>2461250</v>
      </c>
      <c r="AH275" s="1479">
        <f t="shared" si="134"/>
        <v>7383750</v>
      </c>
      <c r="AI275" s="1645">
        <f t="shared" si="149"/>
        <v>2017</v>
      </c>
      <c r="AJ275" s="1401">
        <f t="shared" si="150"/>
        <v>2461250</v>
      </c>
      <c r="AK275" s="1401"/>
    </row>
    <row r="276" spans="1:37" s="1390" customFormat="1" ht="37" customHeight="1" x14ac:dyDescent="0.2">
      <c r="A276" s="1710" t="str">
        <f t="shared" si="151"/>
        <v>02.06.03.02</v>
      </c>
      <c r="B276" s="1426">
        <v>188</v>
      </c>
      <c r="C276" s="1414" t="s">
        <v>295</v>
      </c>
      <c r="D276" s="1414" t="s">
        <v>944</v>
      </c>
      <c r="E276" s="1416" t="s">
        <v>39</v>
      </c>
      <c r="F276" s="1414"/>
      <c r="G276" s="1414"/>
      <c r="H276" s="1414"/>
      <c r="I276" s="1416">
        <v>2017</v>
      </c>
      <c r="J276" s="1414"/>
      <c r="K276" s="1414"/>
      <c r="L276" s="1414"/>
      <c r="M276" s="1414"/>
      <c r="N276" s="1414"/>
      <c r="O276" s="1416" t="s">
        <v>12</v>
      </c>
      <c r="P276" s="1529">
        <v>9845000</v>
      </c>
      <c r="Q276" s="1596"/>
      <c r="V276" s="1477" t="str">
        <f t="shared" si="137"/>
        <v>02.06.03</v>
      </c>
      <c r="W276" s="1478" t="str">
        <f t="shared" si="139"/>
        <v>Peralatan Komputer</v>
      </c>
      <c r="X276" s="1478">
        <f t="shared" si="140"/>
        <v>4</v>
      </c>
      <c r="Y276" s="1401">
        <f t="shared" si="141"/>
        <v>2461250</v>
      </c>
      <c r="Z276" s="1444">
        <f t="shared" si="142"/>
        <v>0</v>
      </c>
      <c r="AA276" s="1401">
        <f t="shared" si="143"/>
        <v>0</v>
      </c>
      <c r="AB276" s="1401"/>
      <c r="AC276" s="1401"/>
      <c r="AD276" s="1401"/>
      <c r="AE276" s="1479">
        <f t="shared" si="147"/>
        <v>2461250</v>
      </c>
      <c r="AF276" s="1479">
        <f t="shared" si="152"/>
        <v>2461250</v>
      </c>
      <c r="AG276" s="1479">
        <f t="shared" si="138"/>
        <v>2461250</v>
      </c>
      <c r="AH276" s="1479">
        <f t="shared" si="134"/>
        <v>7383750</v>
      </c>
      <c r="AI276" s="1645">
        <f t="shared" si="149"/>
        <v>2017</v>
      </c>
      <c r="AJ276" s="1401">
        <f t="shared" si="150"/>
        <v>2461250</v>
      </c>
      <c r="AK276" s="1401"/>
    </row>
    <row r="277" spans="1:37" s="1390" customFormat="1" ht="37" customHeight="1" x14ac:dyDescent="0.2">
      <c r="A277" s="1710" t="str">
        <f t="shared" si="151"/>
        <v>02.06.03.05</v>
      </c>
      <c r="B277" s="1426">
        <v>189</v>
      </c>
      <c r="C277" s="1414" t="s">
        <v>299</v>
      </c>
      <c r="D277" s="1414" t="s">
        <v>2333</v>
      </c>
      <c r="E277" s="1416" t="s">
        <v>39</v>
      </c>
      <c r="F277" s="1414" t="s">
        <v>52</v>
      </c>
      <c r="G277" s="1414"/>
      <c r="H277" s="1414" t="s">
        <v>52</v>
      </c>
      <c r="I277" s="1416">
        <v>2017</v>
      </c>
      <c r="J277" s="1414"/>
      <c r="K277" s="1414"/>
      <c r="L277" s="1414"/>
      <c r="M277" s="1414"/>
      <c r="N277" s="1414"/>
      <c r="O277" s="1416" t="s">
        <v>12</v>
      </c>
      <c r="P277" s="1529">
        <v>7491000</v>
      </c>
      <c r="Q277" s="1596"/>
      <c r="V277" s="1477" t="str">
        <f t="shared" si="137"/>
        <v>02.06.03</v>
      </c>
      <c r="W277" s="1478" t="str">
        <f t="shared" si="139"/>
        <v>Peralatan Komputer</v>
      </c>
      <c r="X277" s="1478">
        <f t="shared" si="140"/>
        <v>4</v>
      </c>
      <c r="Y277" s="1401">
        <f t="shared" si="141"/>
        <v>1872750</v>
      </c>
      <c r="Z277" s="1444">
        <f t="shared" si="142"/>
        <v>0</v>
      </c>
      <c r="AA277" s="1401">
        <f t="shared" si="143"/>
        <v>0</v>
      </c>
      <c r="AB277" s="1401"/>
      <c r="AC277" s="1401"/>
      <c r="AD277" s="1401"/>
      <c r="AE277" s="1479">
        <f t="shared" si="147"/>
        <v>1872750</v>
      </c>
      <c r="AF277" s="1479">
        <f t="shared" si="152"/>
        <v>1872750</v>
      </c>
      <c r="AG277" s="1479">
        <f t="shared" si="138"/>
        <v>1872750</v>
      </c>
      <c r="AH277" s="1479">
        <f t="shared" si="134"/>
        <v>5618250</v>
      </c>
      <c r="AI277" s="1645">
        <f t="shared" si="149"/>
        <v>2017</v>
      </c>
      <c r="AJ277" s="1401">
        <f t="shared" si="150"/>
        <v>1872750</v>
      </c>
      <c r="AK277" s="1401"/>
    </row>
    <row r="278" spans="1:37" s="1390" customFormat="1" ht="37" customHeight="1" x14ac:dyDescent="0.2">
      <c r="A278" s="1710" t="str">
        <f t="shared" si="151"/>
        <v>02.06.03.05</v>
      </c>
      <c r="B278" s="1426">
        <v>190</v>
      </c>
      <c r="C278" s="1414" t="s">
        <v>299</v>
      </c>
      <c r="D278" s="1414" t="s">
        <v>5426</v>
      </c>
      <c r="E278" s="1416" t="s">
        <v>39</v>
      </c>
      <c r="F278" s="1414" t="s">
        <v>5427</v>
      </c>
      <c r="G278" s="1414" t="s">
        <v>5428</v>
      </c>
      <c r="H278" s="1414" t="s">
        <v>281</v>
      </c>
      <c r="I278" s="1416">
        <v>2019</v>
      </c>
      <c r="J278" s="1414"/>
      <c r="K278" s="1414"/>
      <c r="L278" s="1414"/>
      <c r="M278" s="1414"/>
      <c r="N278" s="1414"/>
      <c r="O278" s="1416" t="s">
        <v>12</v>
      </c>
      <c r="P278" s="1529">
        <v>19493500</v>
      </c>
      <c r="Q278" s="1596"/>
      <c r="V278" s="1477" t="str">
        <f t="shared" ref="V278:V290" si="153">LEFT(C278,8)</f>
        <v>02.06.03</v>
      </c>
      <c r="W278" s="1478" t="str">
        <f t="shared" ref="W278:W290" si="154">VLOOKUP(V278,UE,3)</f>
        <v>Peralatan Komputer</v>
      </c>
      <c r="X278" s="1478">
        <f t="shared" ref="X278:X290" si="155">VLOOKUP(V278,UE,4,FALSE)</f>
        <v>4</v>
      </c>
      <c r="Y278" s="1401">
        <f t="shared" ref="Y278:Y290" si="156">P278/X278</f>
        <v>4873375</v>
      </c>
      <c r="Z278" s="1444">
        <f t="shared" ref="Z278:Z290" si="157">IF(2013-I278+1&gt;X278,X278,IF(2013-I278+1&lt;0,0,(2013-I278+1)))</f>
        <v>0</v>
      </c>
      <c r="AA278" s="1401">
        <f t="shared" ref="AA278:AA290" si="158">IF(Z278&gt;X278,P278,Y278*Z278)</f>
        <v>0</v>
      </c>
      <c r="AB278" s="1401"/>
      <c r="AC278" s="1401"/>
      <c r="AD278" s="1401"/>
      <c r="AE278" s="1479"/>
      <c r="AF278" s="1479"/>
      <c r="AG278" s="1479">
        <f t="shared" si="138"/>
        <v>4873375</v>
      </c>
      <c r="AH278" s="1479">
        <f t="shared" si="134"/>
        <v>4873375</v>
      </c>
      <c r="AI278" s="1645">
        <f t="shared" si="149"/>
        <v>2019</v>
      </c>
      <c r="AJ278" s="1401">
        <f t="shared" si="150"/>
        <v>14620125</v>
      </c>
      <c r="AK278" s="1401"/>
    </row>
    <row r="279" spans="1:37" s="1390" customFormat="1" ht="37" customHeight="1" x14ac:dyDescent="0.2">
      <c r="A279" s="1710" t="str">
        <f t="shared" si="151"/>
        <v>02.06.03.05</v>
      </c>
      <c r="B279" s="1426">
        <v>191</v>
      </c>
      <c r="C279" s="1414" t="s">
        <v>299</v>
      </c>
      <c r="D279" s="1414" t="s">
        <v>5426</v>
      </c>
      <c r="E279" s="1416" t="s">
        <v>39</v>
      </c>
      <c r="F279" s="1414" t="s">
        <v>5427</v>
      </c>
      <c r="G279" s="1414" t="s">
        <v>5428</v>
      </c>
      <c r="H279" s="1414" t="s">
        <v>281</v>
      </c>
      <c r="I279" s="1416">
        <v>2019</v>
      </c>
      <c r="J279" s="1414"/>
      <c r="K279" s="1414"/>
      <c r="L279" s="1414"/>
      <c r="M279" s="1414"/>
      <c r="N279" s="1414"/>
      <c r="O279" s="1416" t="s">
        <v>12</v>
      </c>
      <c r="P279" s="1529">
        <v>19493500</v>
      </c>
      <c r="Q279" s="1596"/>
      <c r="V279" s="1477" t="str">
        <f t="shared" si="153"/>
        <v>02.06.03</v>
      </c>
      <c r="W279" s="1478" t="str">
        <f t="shared" si="154"/>
        <v>Peralatan Komputer</v>
      </c>
      <c r="X279" s="1478">
        <f t="shared" si="155"/>
        <v>4</v>
      </c>
      <c r="Y279" s="1401">
        <f t="shared" si="156"/>
        <v>4873375</v>
      </c>
      <c r="Z279" s="1444">
        <f t="shared" si="157"/>
        <v>0</v>
      </c>
      <c r="AA279" s="1401">
        <f t="shared" si="158"/>
        <v>0</v>
      </c>
      <c r="AB279" s="1401"/>
      <c r="AC279" s="1401"/>
      <c r="AD279" s="1401"/>
      <c r="AE279" s="1479"/>
      <c r="AF279" s="1479"/>
      <c r="AG279" s="1479">
        <f t="shared" si="138"/>
        <v>4873375</v>
      </c>
      <c r="AH279" s="1479">
        <f t="shared" si="134"/>
        <v>4873375</v>
      </c>
      <c r="AI279" s="1645"/>
      <c r="AJ279" s="1401">
        <f t="shared" si="150"/>
        <v>14620125</v>
      </c>
      <c r="AK279" s="1401"/>
    </row>
    <row r="280" spans="1:37" s="1390" customFormat="1" ht="37" customHeight="1" x14ac:dyDescent="0.2">
      <c r="A280" s="1710" t="str">
        <f t="shared" si="151"/>
        <v>02.06.03.05</v>
      </c>
      <c r="B280" s="1426">
        <v>192</v>
      </c>
      <c r="C280" s="1414" t="s">
        <v>299</v>
      </c>
      <c r="D280" s="1414" t="s">
        <v>5426</v>
      </c>
      <c r="E280" s="1416" t="s">
        <v>39</v>
      </c>
      <c r="F280" s="1414" t="s">
        <v>5427</v>
      </c>
      <c r="G280" s="1414" t="s">
        <v>5428</v>
      </c>
      <c r="H280" s="1414" t="s">
        <v>281</v>
      </c>
      <c r="I280" s="1416">
        <v>2019</v>
      </c>
      <c r="J280" s="1414"/>
      <c r="K280" s="1414"/>
      <c r="L280" s="1414"/>
      <c r="M280" s="1414"/>
      <c r="N280" s="1414"/>
      <c r="O280" s="1416" t="s">
        <v>12</v>
      </c>
      <c r="P280" s="1529">
        <v>19493500</v>
      </c>
      <c r="Q280" s="1596"/>
      <c r="V280" s="1477" t="str">
        <f t="shared" si="153"/>
        <v>02.06.03</v>
      </c>
      <c r="W280" s="1478" t="str">
        <f t="shared" si="154"/>
        <v>Peralatan Komputer</v>
      </c>
      <c r="X280" s="1478">
        <f t="shared" si="155"/>
        <v>4</v>
      </c>
      <c r="Y280" s="1401">
        <f t="shared" si="156"/>
        <v>4873375</v>
      </c>
      <c r="Z280" s="1444">
        <f t="shared" si="157"/>
        <v>0</v>
      </c>
      <c r="AA280" s="1401">
        <f t="shared" si="158"/>
        <v>0</v>
      </c>
      <c r="AB280" s="1401"/>
      <c r="AC280" s="1401"/>
      <c r="AD280" s="1401"/>
      <c r="AE280" s="1479"/>
      <c r="AF280" s="1479"/>
      <c r="AG280" s="1479">
        <f t="shared" si="138"/>
        <v>4873375</v>
      </c>
      <c r="AH280" s="1479">
        <f t="shared" si="134"/>
        <v>4873375</v>
      </c>
      <c r="AI280" s="1645"/>
      <c r="AJ280" s="1401">
        <f t="shared" si="150"/>
        <v>14620125</v>
      </c>
      <c r="AK280" s="1401"/>
    </row>
    <row r="281" spans="1:37" s="1390" customFormat="1" ht="37" customHeight="1" x14ac:dyDescent="0.2">
      <c r="A281" s="1710" t="str">
        <f t="shared" si="151"/>
        <v>02.06.03.05</v>
      </c>
      <c r="B281" s="1426">
        <v>193</v>
      </c>
      <c r="C281" s="1414" t="s">
        <v>299</v>
      </c>
      <c r="D281" s="1414" t="s">
        <v>5426</v>
      </c>
      <c r="E281" s="1416" t="s">
        <v>39</v>
      </c>
      <c r="F281" s="1414" t="s">
        <v>5427</v>
      </c>
      <c r="G281" s="1414" t="s">
        <v>5428</v>
      </c>
      <c r="H281" s="1414" t="s">
        <v>281</v>
      </c>
      <c r="I281" s="1416">
        <v>2019</v>
      </c>
      <c r="J281" s="1414"/>
      <c r="K281" s="1414"/>
      <c r="L281" s="1414"/>
      <c r="M281" s="1414"/>
      <c r="N281" s="1414"/>
      <c r="O281" s="1416" t="s">
        <v>12</v>
      </c>
      <c r="P281" s="1529">
        <v>19493500</v>
      </c>
      <c r="Q281" s="1596"/>
      <c r="V281" s="1477" t="str">
        <f t="shared" si="153"/>
        <v>02.06.03</v>
      </c>
      <c r="W281" s="1478" t="str">
        <f t="shared" si="154"/>
        <v>Peralatan Komputer</v>
      </c>
      <c r="X281" s="1478">
        <f t="shared" si="155"/>
        <v>4</v>
      </c>
      <c r="Y281" s="1401">
        <f t="shared" si="156"/>
        <v>4873375</v>
      </c>
      <c r="Z281" s="1444">
        <f t="shared" si="157"/>
        <v>0</v>
      </c>
      <c r="AA281" s="1401">
        <f t="shared" si="158"/>
        <v>0</v>
      </c>
      <c r="AB281" s="1401"/>
      <c r="AC281" s="1401"/>
      <c r="AD281" s="1401"/>
      <c r="AE281" s="1479"/>
      <c r="AF281" s="1479"/>
      <c r="AG281" s="1479">
        <f t="shared" si="138"/>
        <v>4873375</v>
      </c>
      <c r="AH281" s="1479">
        <f t="shared" ref="AH281:AH290" si="159">SUM(AA281:AG281)</f>
        <v>4873375</v>
      </c>
      <c r="AI281" s="1645"/>
      <c r="AJ281" s="1401">
        <f t="shared" si="150"/>
        <v>14620125</v>
      </c>
      <c r="AK281" s="1401"/>
    </row>
    <row r="282" spans="1:37" s="1390" customFormat="1" ht="37" customHeight="1" x14ac:dyDescent="0.2">
      <c r="A282" s="1710" t="str">
        <f t="shared" si="151"/>
        <v>02.06.03.02</v>
      </c>
      <c r="B282" s="1426">
        <v>194</v>
      </c>
      <c r="C282" s="1414" t="s">
        <v>295</v>
      </c>
      <c r="D282" s="1414" t="s">
        <v>944</v>
      </c>
      <c r="E282" s="1416" t="s">
        <v>39</v>
      </c>
      <c r="F282" s="1414" t="s">
        <v>5429</v>
      </c>
      <c r="G282" s="1414" t="s">
        <v>5430</v>
      </c>
      <c r="H282" s="1414" t="s">
        <v>281</v>
      </c>
      <c r="I282" s="1416">
        <v>2019</v>
      </c>
      <c r="J282" s="1414"/>
      <c r="K282" s="1414"/>
      <c r="L282" s="1414"/>
      <c r="M282" s="1414"/>
      <c r="N282" s="1414"/>
      <c r="O282" s="1416" t="s">
        <v>12</v>
      </c>
      <c r="P282" s="1529">
        <v>25306500</v>
      </c>
      <c r="Q282" s="1596"/>
      <c r="V282" s="1477" t="str">
        <f t="shared" si="153"/>
        <v>02.06.03</v>
      </c>
      <c r="W282" s="1478" t="str">
        <f t="shared" si="154"/>
        <v>Peralatan Komputer</v>
      </c>
      <c r="X282" s="1478">
        <f t="shared" si="155"/>
        <v>4</v>
      </c>
      <c r="Y282" s="1401">
        <f t="shared" si="156"/>
        <v>6326625</v>
      </c>
      <c r="Z282" s="1444">
        <f t="shared" si="157"/>
        <v>0</v>
      </c>
      <c r="AA282" s="1401">
        <f t="shared" si="158"/>
        <v>0</v>
      </c>
      <c r="AB282" s="1401"/>
      <c r="AC282" s="1401"/>
      <c r="AD282" s="1401"/>
      <c r="AE282" s="1479"/>
      <c r="AF282" s="1479"/>
      <c r="AG282" s="1479">
        <f t="shared" ref="AG282:AG290" si="160">IF(P282=AA282+AB282+AC282+AD282+AE282+AF282,0,Y282)</f>
        <v>6326625</v>
      </c>
      <c r="AH282" s="1479">
        <f t="shared" si="159"/>
        <v>6326625</v>
      </c>
      <c r="AI282" s="1645"/>
      <c r="AJ282" s="1401">
        <f t="shared" si="150"/>
        <v>18979875</v>
      </c>
      <c r="AK282" s="1401"/>
    </row>
    <row r="283" spans="1:37" s="1390" customFormat="1" ht="37" customHeight="1" x14ac:dyDescent="0.2">
      <c r="A283" s="1710" t="str">
        <f t="shared" si="151"/>
        <v>02.06.03.02</v>
      </c>
      <c r="B283" s="1426">
        <v>195</v>
      </c>
      <c r="C283" s="1414" t="s">
        <v>295</v>
      </c>
      <c r="D283" s="1414" t="s">
        <v>944</v>
      </c>
      <c r="E283" s="1416" t="s">
        <v>39</v>
      </c>
      <c r="F283" s="1414" t="s">
        <v>5429</v>
      </c>
      <c r="G283" s="1414" t="s">
        <v>5430</v>
      </c>
      <c r="H283" s="1414" t="s">
        <v>281</v>
      </c>
      <c r="I283" s="1416">
        <v>2019</v>
      </c>
      <c r="J283" s="1414"/>
      <c r="K283" s="1414"/>
      <c r="L283" s="1414"/>
      <c r="M283" s="1414"/>
      <c r="N283" s="1414"/>
      <c r="O283" s="1416" t="s">
        <v>12</v>
      </c>
      <c r="P283" s="1529">
        <v>25306500</v>
      </c>
      <c r="Q283" s="1596"/>
      <c r="V283" s="1477" t="str">
        <f t="shared" si="153"/>
        <v>02.06.03</v>
      </c>
      <c r="W283" s="1478" t="str">
        <f t="shared" si="154"/>
        <v>Peralatan Komputer</v>
      </c>
      <c r="X283" s="1478">
        <f t="shared" si="155"/>
        <v>4</v>
      </c>
      <c r="Y283" s="1401">
        <f t="shared" si="156"/>
        <v>6326625</v>
      </c>
      <c r="Z283" s="1444">
        <f t="shared" si="157"/>
        <v>0</v>
      </c>
      <c r="AA283" s="1401">
        <f t="shared" si="158"/>
        <v>0</v>
      </c>
      <c r="AB283" s="1401"/>
      <c r="AC283" s="1401"/>
      <c r="AD283" s="1401"/>
      <c r="AE283" s="1479"/>
      <c r="AF283" s="1479"/>
      <c r="AG283" s="1479">
        <f t="shared" si="160"/>
        <v>6326625</v>
      </c>
      <c r="AH283" s="1479">
        <f t="shared" si="159"/>
        <v>6326625</v>
      </c>
      <c r="AI283" s="1645"/>
      <c r="AJ283" s="1401">
        <f t="shared" si="150"/>
        <v>18979875</v>
      </c>
      <c r="AK283" s="1401"/>
    </row>
    <row r="284" spans="1:37" s="1390" customFormat="1" ht="37" customHeight="1" x14ac:dyDescent="0.2">
      <c r="A284" s="1710" t="str">
        <f t="shared" si="151"/>
        <v>02.06.03.02</v>
      </c>
      <c r="B284" s="1426">
        <v>196</v>
      </c>
      <c r="C284" s="1414" t="s">
        <v>295</v>
      </c>
      <c r="D284" s="1414" t="s">
        <v>944</v>
      </c>
      <c r="E284" s="1416" t="s">
        <v>39</v>
      </c>
      <c r="F284" s="1414" t="s">
        <v>5429</v>
      </c>
      <c r="G284" s="1414" t="s">
        <v>5430</v>
      </c>
      <c r="H284" s="1414" t="s">
        <v>281</v>
      </c>
      <c r="I284" s="1416">
        <v>2019</v>
      </c>
      <c r="J284" s="1414"/>
      <c r="K284" s="1414"/>
      <c r="L284" s="1414"/>
      <c r="M284" s="1414"/>
      <c r="N284" s="1414"/>
      <c r="O284" s="1416" t="s">
        <v>12</v>
      </c>
      <c r="P284" s="1529">
        <v>25306500</v>
      </c>
      <c r="Q284" s="1596"/>
      <c r="V284" s="1477" t="str">
        <f t="shared" si="153"/>
        <v>02.06.03</v>
      </c>
      <c r="W284" s="1478" t="str">
        <f t="shared" si="154"/>
        <v>Peralatan Komputer</v>
      </c>
      <c r="X284" s="1478">
        <f t="shared" si="155"/>
        <v>4</v>
      </c>
      <c r="Y284" s="1401">
        <f t="shared" si="156"/>
        <v>6326625</v>
      </c>
      <c r="Z284" s="1444">
        <f t="shared" si="157"/>
        <v>0</v>
      </c>
      <c r="AA284" s="1401">
        <f t="shared" si="158"/>
        <v>0</v>
      </c>
      <c r="AB284" s="1401"/>
      <c r="AC284" s="1401"/>
      <c r="AD284" s="1401"/>
      <c r="AE284" s="1479"/>
      <c r="AF284" s="1479"/>
      <c r="AG284" s="1479">
        <f t="shared" si="160"/>
        <v>6326625</v>
      </c>
      <c r="AH284" s="1479">
        <f t="shared" si="159"/>
        <v>6326625</v>
      </c>
      <c r="AI284" s="1645"/>
      <c r="AJ284" s="1401">
        <f t="shared" si="150"/>
        <v>18979875</v>
      </c>
      <c r="AK284" s="1401"/>
    </row>
    <row r="285" spans="1:37" s="1390" customFormat="1" ht="37" customHeight="1" x14ac:dyDescent="0.2">
      <c r="A285" s="1710" t="str">
        <f t="shared" si="151"/>
        <v>02.06.03.02</v>
      </c>
      <c r="B285" s="1426">
        <v>197</v>
      </c>
      <c r="C285" s="1414" t="s">
        <v>295</v>
      </c>
      <c r="D285" s="1414" t="s">
        <v>944</v>
      </c>
      <c r="E285" s="1416" t="s">
        <v>39</v>
      </c>
      <c r="F285" s="1414" t="s">
        <v>5429</v>
      </c>
      <c r="G285" s="1414" t="s">
        <v>5430</v>
      </c>
      <c r="H285" s="1414" t="s">
        <v>281</v>
      </c>
      <c r="I285" s="1416">
        <v>2019</v>
      </c>
      <c r="J285" s="1414"/>
      <c r="K285" s="1414"/>
      <c r="L285" s="1414"/>
      <c r="M285" s="1414"/>
      <c r="N285" s="1414"/>
      <c r="O285" s="1416" t="s">
        <v>12</v>
      </c>
      <c r="P285" s="1529">
        <v>25306500</v>
      </c>
      <c r="Q285" s="1596"/>
      <c r="V285" s="1477" t="str">
        <f t="shared" si="153"/>
        <v>02.06.03</v>
      </c>
      <c r="W285" s="1478" t="str">
        <f t="shared" si="154"/>
        <v>Peralatan Komputer</v>
      </c>
      <c r="X285" s="1478">
        <f t="shared" si="155"/>
        <v>4</v>
      </c>
      <c r="Y285" s="1401">
        <f t="shared" si="156"/>
        <v>6326625</v>
      </c>
      <c r="Z285" s="1444">
        <f t="shared" si="157"/>
        <v>0</v>
      </c>
      <c r="AA285" s="1401">
        <f t="shared" si="158"/>
        <v>0</v>
      </c>
      <c r="AB285" s="1401"/>
      <c r="AC285" s="1401"/>
      <c r="AD285" s="1401"/>
      <c r="AE285" s="1479"/>
      <c r="AF285" s="1479"/>
      <c r="AG285" s="1479">
        <f t="shared" si="160"/>
        <v>6326625</v>
      </c>
      <c r="AH285" s="1479">
        <f t="shared" si="159"/>
        <v>6326625</v>
      </c>
      <c r="AI285" s="1645"/>
      <c r="AJ285" s="1401">
        <f t="shared" si="150"/>
        <v>18979875</v>
      </c>
      <c r="AK285" s="1401"/>
    </row>
    <row r="286" spans="1:37" s="1390" customFormat="1" ht="37" customHeight="1" x14ac:dyDescent="0.2">
      <c r="A286" s="1710" t="str">
        <f t="shared" si="151"/>
        <v>02.06.03.02</v>
      </c>
      <c r="B286" s="1426">
        <v>198</v>
      </c>
      <c r="C286" s="1414" t="s">
        <v>2330</v>
      </c>
      <c r="D286" s="1414" t="s">
        <v>5431</v>
      </c>
      <c r="E286" s="1416" t="s">
        <v>39</v>
      </c>
      <c r="F286" s="1414" t="s">
        <v>999</v>
      </c>
      <c r="G286" s="1414" t="s">
        <v>5432</v>
      </c>
      <c r="H286" s="1414" t="s">
        <v>281</v>
      </c>
      <c r="I286" s="1416">
        <v>2019</v>
      </c>
      <c r="J286" s="1414"/>
      <c r="K286" s="1414"/>
      <c r="L286" s="1414"/>
      <c r="M286" s="1414"/>
      <c r="N286" s="1414"/>
      <c r="O286" s="1416" t="s">
        <v>12</v>
      </c>
      <c r="P286" s="1529">
        <v>33130000</v>
      </c>
      <c r="Q286" s="1596"/>
      <c r="V286" s="1477" t="str">
        <f t="shared" si="153"/>
        <v>02.06.03</v>
      </c>
      <c r="W286" s="1478" t="str">
        <f t="shared" si="154"/>
        <v>Peralatan Komputer</v>
      </c>
      <c r="X286" s="1478">
        <f t="shared" si="155"/>
        <v>4</v>
      </c>
      <c r="Y286" s="1401">
        <f t="shared" si="156"/>
        <v>8282500</v>
      </c>
      <c r="Z286" s="1444">
        <f t="shared" si="157"/>
        <v>0</v>
      </c>
      <c r="AA286" s="1401">
        <f t="shared" si="158"/>
        <v>0</v>
      </c>
      <c r="AB286" s="1401"/>
      <c r="AC286" s="1401"/>
      <c r="AD286" s="1401"/>
      <c r="AE286" s="1479"/>
      <c r="AF286" s="1479"/>
      <c r="AG286" s="1479">
        <f t="shared" si="160"/>
        <v>8282500</v>
      </c>
      <c r="AH286" s="1479">
        <f t="shared" si="159"/>
        <v>8282500</v>
      </c>
      <c r="AI286" s="1645"/>
      <c r="AJ286" s="1401">
        <f t="shared" si="150"/>
        <v>24847500</v>
      </c>
      <c r="AK286" s="1401"/>
    </row>
    <row r="287" spans="1:37" s="1390" customFormat="1" ht="37" customHeight="1" x14ac:dyDescent="0.2">
      <c r="A287" s="1710" t="str">
        <f t="shared" si="151"/>
        <v>02.06.03.02</v>
      </c>
      <c r="B287" s="1426">
        <v>199</v>
      </c>
      <c r="C287" s="1414" t="s">
        <v>2330</v>
      </c>
      <c r="D287" s="1414" t="s">
        <v>5431</v>
      </c>
      <c r="E287" s="1416" t="s">
        <v>39</v>
      </c>
      <c r="F287" s="1414" t="s">
        <v>999</v>
      </c>
      <c r="G287" s="1414" t="s">
        <v>5432</v>
      </c>
      <c r="H287" s="1414" t="s">
        <v>281</v>
      </c>
      <c r="I287" s="1416">
        <v>2019</v>
      </c>
      <c r="J287" s="1414"/>
      <c r="K287" s="1414"/>
      <c r="L287" s="1414"/>
      <c r="M287" s="1414"/>
      <c r="N287" s="1414"/>
      <c r="O287" s="1416" t="s">
        <v>12</v>
      </c>
      <c r="P287" s="1529">
        <v>33130000</v>
      </c>
      <c r="Q287" s="1596"/>
      <c r="V287" s="1477" t="str">
        <f t="shared" si="153"/>
        <v>02.06.03</v>
      </c>
      <c r="W287" s="1478" t="str">
        <f t="shared" si="154"/>
        <v>Peralatan Komputer</v>
      </c>
      <c r="X287" s="1478">
        <f t="shared" si="155"/>
        <v>4</v>
      </c>
      <c r="Y287" s="1401">
        <f t="shared" si="156"/>
        <v>8282500</v>
      </c>
      <c r="Z287" s="1444">
        <f t="shared" si="157"/>
        <v>0</v>
      </c>
      <c r="AA287" s="1401">
        <f t="shared" si="158"/>
        <v>0</v>
      </c>
      <c r="AB287" s="1401"/>
      <c r="AC287" s="1401"/>
      <c r="AD287" s="1401"/>
      <c r="AE287" s="1479"/>
      <c r="AF287" s="1479"/>
      <c r="AG287" s="1479">
        <f t="shared" si="160"/>
        <v>8282500</v>
      </c>
      <c r="AH287" s="1479">
        <f t="shared" si="159"/>
        <v>8282500</v>
      </c>
      <c r="AI287" s="1645"/>
      <c r="AJ287" s="1401">
        <f t="shared" si="150"/>
        <v>24847500</v>
      </c>
      <c r="AK287" s="1401"/>
    </row>
    <row r="288" spans="1:37" s="1390" customFormat="1" ht="37" customHeight="1" x14ac:dyDescent="0.2">
      <c r="A288" s="1710" t="str">
        <f t="shared" si="151"/>
        <v>02.06.03.02</v>
      </c>
      <c r="B288" s="1426">
        <v>200</v>
      </c>
      <c r="C288" s="1414" t="s">
        <v>2330</v>
      </c>
      <c r="D288" s="1414" t="s">
        <v>5431</v>
      </c>
      <c r="E288" s="1416" t="s">
        <v>39</v>
      </c>
      <c r="F288" s="1414" t="s">
        <v>999</v>
      </c>
      <c r="G288" s="1414" t="s">
        <v>5432</v>
      </c>
      <c r="H288" s="1414" t="s">
        <v>281</v>
      </c>
      <c r="I288" s="1416">
        <v>2019</v>
      </c>
      <c r="J288" s="1414"/>
      <c r="K288" s="1414"/>
      <c r="L288" s="1414"/>
      <c r="M288" s="1414"/>
      <c r="N288" s="1414"/>
      <c r="O288" s="1416" t="s">
        <v>12</v>
      </c>
      <c r="P288" s="1529">
        <v>33130000</v>
      </c>
      <c r="Q288" s="1596"/>
      <c r="V288" s="1477" t="str">
        <f t="shared" si="153"/>
        <v>02.06.03</v>
      </c>
      <c r="W288" s="1478" t="str">
        <f t="shared" si="154"/>
        <v>Peralatan Komputer</v>
      </c>
      <c r="X288" s="1478">
        <f t="shared" si="155"/>
        <v>4</v>
      </c>
      <c r="Y288" s="1401">
        <f t="shared" si="156"/>
        <v>8282500</v>
      </c>
      <c r="Z288" s="1444">
        <f t="shared" si="157"/>
        <v>0</v>
      </c>
      <c r="AA288" s="1401">
        <f t="shared" si="158"/>
        <v>0</v>
      </c>
      <c r="AB288" s="1401"/>
      <c r="AC288" s="1401"/>
      <c r="AD288" s="1401"/>
      <c r="AE288" s="1479"/>
      <c r="AF288" s="1479"/>
      <c r="AG288" s="1479">
        <f t="shared" si="160"/>
        <v>8282500</v>
      </c>
      <c r="AH288" s="1479">
        <f t="shared" si="159"/>
        <v>8282500</v>
      </c>
      <c r="AI288" s="1645"/>
      <c r="AJ288" s="1401">
        <f t="shared" si="150"/>
        <v>24847500</v>
      </c>
      <c r="AK288" s="1401"/>
    </row>
    <row r="289" spans="1:38" s="1390" customFormat="1" ht="37" customHeight="1" x14ac:dyDescent="0.2">
      <c r="A289" s="1710" t="str">
        <f t="shared" si="151"/>
        <v>02.06.03.02</v>
      </c>
      <c r="B289" s="1426">
        <v>201</v>
      </c>
      <c r="C289" s="1414" t="s">
        <v>2330</v>
      </c>
      <c r="D289" s="1414" t="s">
        <v>5431</v>
      </c>
      <c r="E289" s="1416" t="s">
        <v>39</v>
      </c>
      <c r="F289" s="1414" t="s">
        <v>999</v>
      </c>
      <c r="G289" s="1414" t="s">
        <v>5432</v>
      </c>
      <c r="H289" s="1414" t="s">
        <v>281</v>
      </c>
      <c r="I289" s="1416">
        <v>2019</v>
      </c>
      <c r="J289" s="1414"/>
      <c r="K289" s="1414"/>
      <c r="L289" s="1414"/>
      <c r="M289" s="1414"/>
      <c r="N289" s="1414"/>
      <c r="O289" s="1416" t="s">
        <v>12</v>
      </c>
      <c r="P289" s="1529">
        <v>33130000</v>
      </c>
      <c r="Q289" s="1596"/>
      <c r="V289" s="1477" t="str">
        <f t="shared" si="153"/>
        <v>02.06.03</v>
      </c>
      <c r="W289" s="1478" t="str">
        <f t="shared" si="154"/>
        <v>Peralatan Komputer</v>
      </c>
      <c r="X289" s="1478">
        <f t="shared" si="155"/>
        <v>4</v>
      </c>
      <c r="Y289" s="1401">
        <f t="shared" si="156"/>
        <v>8282500</v>
      </c>
      <c r="Z289" s="1444">
        <f t="shared" si="157"/>
        <v>0</v>
      </c>
      <c r="AA289" s="1401">
        <f t="shared" si="158"/>
        <v>0</v>
      </c>
      <c r="AB289" s="1401"/>
      <c r="AC289" s="1401"/>
      <c r="AD289" s="1401"/>
      <c r="AE289" s="1479"/>
      <c r="AF289" s="1479"/>
      <c r="AG289" s="1479">
        <f t="shared" si="160"/>
        <v>8282500</v>
      </c>
      <c r="AH289" s="1479">
        <f t="shared" si="159"/>
        <v>8282500</v>
      </c>
      <c r="AI289" s="1645"/>
      <c r="AJ289" s="1401">
        <f t="shared" si="150"/>
        <v>24847500</v>
      </c>
      <c r="AK289" s="1401"/>
    </row>
    <row r="290" spans="1:38" s="1390" customFormat="1" ht="37" customHeight="1" x14ac:dyDescent="0.2">
      <c r="A290" s="1710" t="str">
        <f t="shared" si="151"/>
        <v>02.06.03.02</v>
      </c>
      <c r="B290" s="1426">
        <v>202</v>
      </c>
      <c r="C290" s="1414" t="s">
        <v>2330</v>
      </c>
      <c r="D290" s="1414" t="s">
        <v>5431</v>
      </c>
      <c r="E290" s="1416" t="s">
        <v>39</v>
      </c>
      <c r="F290" s="1414" t="s">
        <v>999</v>
      </c>
      <c r="G290" s="1414" t="s">
        <v>5432</v>
      </c>
      <c r="H290" s="1414" t="s">
        <v>281</v>
      </c>
      <c r="I290" s="1416">
        <v>2019</v>
      </c>
      <c r="J290" s="1414"/>
      <c r="K290" s="1414"/>
      <c r="L290" s="1414"/>
      <c r="M290" s="1414"/>
      <c r="N290" s="1414"/>
      <c r="O290" s="1416" t="s">
        <v>12</v>
      </c>
      <c r="P290" s="1529">
        <v>33130000</v>
      </c>
      <c r="Q290" s="1596"/>
      <c r="V290" s="1477" t="str">
        <f t="shared" si="153"/>
        <v>02.06.03</v>
      </c>
      <c r="W290" s="1478" t="str">
        <f t="shared" si="154"/>
        <v>Peralatan Komputer</v>
      </c>
      <c r="X290" s="1478">
        <f t="shared" si="155"/>
        <v>4</v>
      </c>
      <c r="Y290" s="1401">
        <f t="shared" si="156"/>
        <v>8282500</v>
      </c>
      <c r="Z290" s="1444">
        <f t="shared" si="157"/>
        <v>0</v>
      </c>
      <c r="AA290" s="1401">
        <f t="shared" si="158"/>
        <v>0</v>
      </c>
      <c r="AB290" s="1401"/>
      <c r="AC290" s="1401"/>
      <c r="AD290" s="1401"/>
      <c r="AE290" s="1479"/>
      <c r="AF290" s="1479"/>
      <c r="AG290" s="1479">
        <f t="shared" si="160"/>
        <v>8282500</v>
      </c>
      <c r="AH290" s="1479">
        <f t="shared" si="159"/>
        <v>8282500</v>
      </c>
      <c r="AI290" s="1645"/>
      <c r="AJ290" s="1401">
        <f t="shared" si="150"/>
        <v>24847500</v>
      </c>
      <c r="AK290" s="1401"/>
    </row>
    <row r="291" spans="1:38" s="1390" customFormat="1" ht="37" customHeight="1" x14ac:dyDescent="0.2">
      <c r="A291" s="1710" t="str">
        <f t="shared" si="151"/>
        <v/>
      </c>
      <c r="B291" s="1426"/>
      <c r="C291" s="1414"/>
      <c r="D291" s="1414"/>
      <c r="E291" s="1416"/>
      <c r="F291" s="1414"/>
      <c r="G291" s="1414"/>
      <c r="H291" s="1414"/>
      <c r="I291" s="1416"/>
      <c r="J291" s="1414"/>
      <c r="K291" s="1414"/>
      <c r="L291" s="1414"/>
      <c r="M291" s="1414"/>
      <c r="N291" s="1414"/>
      <c r="O291" s="1416"/>
      <c r="P291" s="1529"/>
      <c r="Q291" s="1596"/>
      <c r="W291" s="1444"/>
      <c r="Y291" s="1401"/>
      <c r="AA291" s="1401"/>
      <c r="AB291" s="1401"/>
      <c r="AC291" s="1401"/>
      <c r="AD291" s="1401"/>
      <c r="AE291" s="1401"/>
      <c r="AF291" s="1401"/>
      <c r="AG291" s="1401"/>
      <c r="AH291" s="1401"/>
      <c r="AJ291" s="1401"/>
      <c r="AK291" s="1401"/>
    </row>
    <row r="292" spans="1:38" s="1407" customFormat="1" ht="46" customHeight="1" x14ac:dyDescent="0.2">
      <c r="A292" s="1710" t="str">
        <f t="shared" si="151"/>
        <v>ALAT-ALAT S</v>
      </c>
      <c r="B292" s="1441" t="s">
        <v>303</v>
      </c>
      <c r="C292" s="1599" t="s">
        <v>922</v>
      </c>
      <c r="D292" s="1508"/>
      <c r="E292" s="1469"/>
      <c r="F292" s="1508" t="s">
        <v>52</v>
      </c>
      <c r="G292" s="1508"/>
      <c r="H292" s="1508" t="s">
        <v>52</v>
      </c>
      <c r="I292" s="1469"/>
      <c r="J292" s="1508"/>
      <c r="K292" s="1508"/>
      <c r="L292" s="1508"/>
      <c r="M292" s="1508"/>
      <c r="N292" s="1508"/>
      <c r="O292" s="1469"/>
      <c r="P292" s="1506">
        <f>SUM(P293:P304)</f>
        <v>130600646.28028306</v>
      </c>
      <c r="Q292" s="1601"/>
      <c r="W292" s="1444" t="str">
        <f>IF(P292&lt;300000,P292,"0")</f>
        <v>0</v>
      </c>
      <c r="Y292" s="1446"/>
      <c r="AA292" s="1446">
        <f t="shared" ref="AA292:AJ292" si="161">SUM(AA294:AA304)</f>
        <v>24548390.997278135</v>
      </c>
      <c r="AB292" s="1446">
        <f t="shared" si="161"/>
        <v>23918599.168363839</v>
      </c>
      <c r="AC292" s="1446">
        <f t="shared" si="161"/>
        <v>23918599.168363839</v>
      </c>
      <c r="AD292" s="1446">
        <f t="shared" si="161"/>
        <v>23918599.168363839</v>
      </c>
      <c r="AE292" s="1446">
        <f t="shared" si="161"/>
        <v>13088807.339449542</v>
      </c>
      <c r="AF292" s="1446">
        <f t="shared" si="161"/>
        <v>10200000</v>
      </c>
      <c r="AG292" s="1446">
        <f t="shared" si="161"/>
        <v>0</v>
      </c>
      <c r="AH292" s="1446">
        <f>SUM(AH293:AH304)</f>
        <v>130600646.28028306</v>
      </c>
      <c r="AI292" s="1446">
        <f t="shared" si="161"/>
        <v>22139</v>
      </c>
      <c r="AJ292" s="1446">
        <f t="shared" si="161"/>
        <v>0</v>
      </c>
      <c r="AK292" s="1446"/>
      <c r="AL292" s="1565"/>
    </row>
    <row r="293" spans="1:38" s="1390" customFormat="1" ht="37" customHeight="1" x14ac:dyDescent="0.2">
      <c r="A293" s="1710" t="str">
        <f>LEFT(C293,11)</f>
        <v>02.07.01.01</v>
      </c>
      <c r="B293" s="1426">
        <v>1</v>
      </c>
      <c r="C293" s="1414" t="s">
        <v>4725</v>
      </c>
      <c r="D293" s="1429" t="s">
        <v>4717</v>
      </c>
      <c r="E293" s="1652" t="s">
        <v>261</v>
      </c>
      <c r="F293" s="1653" t="s">
        <v>52</v>
      </c>
      <c r="G293" s="1414"/>
      <c r="H293" s="1455" t="s">
        <v>52</v>
      </c>
      <c r="I293" s="1416">
        <v>2009</v>
      </c>
      <c r="J293" s="1414"/>
      <c r="K293" s="1653"/>
      <c r="L293" s="1414"/>
      <c r="M293" s="1414"/>
      <c r="N293" s="1414"/>
      <c r="O293" s="1416" t="s">
        <v>12</v>
      </c>
      <c r="P293" s="1705">
        <v>11007650.438463865</v>
      </c>
      <c r="Q293" s="1598"/>
      <c r="V293" s="1477" t="str">
        <f>LEFT(C293,8)</f>
        <v>02.07.01</v>
      </c>
      <c r="W293" s="1478" t="str">
        <f>VLOOKUP(V293,UE,3)</f>
        <v>Alat Studio</v>
      </c>
      <c r="X293" s="1478">
        <f>VLOOKUP(V293,UE,4,FALSE)</f>
        <v>5</v>
      </c>
      <c r="Y293" s="1401">
        <f>P293/X293</f>
        <v>2201530.087692773</v>
      </c>
      <c r="Z293" s="1444">
        <f>IF(2013-I293+1&gt;X293,X293,IF(2013-I293+1&lt;0,0,(2013-I293+1)))</f>
        <v>5</v>
      </c>
      <c r="AA293" s="1401">
        <f>IF(Z293&gt;X293,P293,Y293*Z293)</f>
        <v>11007650.438463865</v>
      </c>
      <c r="AB293" s="1401">
        <f>IF(P293=AA293,0,Y293)</f>
        <v>0</v>
      </c>
      <c r="AC293" s="1401">
        <f>IF(P293=AA293+AB293,0,Y293)</f>
        <v>0</v>
      </c>
      <c r="AD293" s="1401">
        <f>IF(P293=AA293+AB293+AC293,0,Y293)</f>
        <v>0</v>
      </c>
      <c r="AE293" s="1479">
        <f>IF(P293=AA293+AB293+AC293+AD293,0,Y293)</f>
        <v>0</v>
      </c>
      <c r="AF293" s="1479">
        <f>IF(P293=AA293+AB293+AC293+AD293+AE293,0,Y293)</f>
        <v>0</v>
      </c>
      <c r="AG293" s="1479">
        <f>IF(P293=AA293+AB293+AC293+AD293+AE293+AF293,0,Y293)</f>
        <v>0</v>
      </c>
      <c r="AH293" s="1479">
        <f>SUM(AA293:AG293)</f>
        <v>11007650.438463865</v>
      </c>
      <c r="AI293" s="1645">
        <f>I293</f>
        <v>2009</v>
      </c>
      <c r="AJ293" s="1401">
        <f>P293-AH293</f>
        <v>0</v>
      </c>
      <c r="AK293" s="1401"/>
    </row>
    <row r="294" spans="1:38" s="1390" customFormat="1" ht="37" customHeight="1" x14ac:dyDescent="0.2">
      <c r="A294" s="1710" t="str">
        <f t="shared" si="151"/>
        <v>02.07.01.01</v>
      </c>
      <c r="B294" s="1426">
        <v>2</v>
      </c>
      <c r="C294" s="1455" t="s">
        <v>4725</v>
      </c>
      <c r="D294" s="1455" t="s">
        <v>971</v>
      </c>
      <c r="E294" s="1416"/>
      <c r="F294" s="1455" t="s">
        <v>1001</v>
      </c>
      <c r="G294" s="1414"/>
      <c r="H294" s="1455" t="s">
        <v>193</v>
      </c>
      <c r="I294" s="1501">
        <v>2012</v>
      </c>
      <c r="J294" s="1414"/>
      <c r="K294" s="1653"/>
      <c r="L294" s="1414"/>
      <c r="M294" s="1414"/>
      <c r="N294" s="1414"/>
      <c r="O294" s="1501" t="s">
        <v>12</v>
      </c>
      <c r="P294" s="1539">
        <v>5000000</v>
      </c>
      <c r="Q294" s="1598" t="s">
        <v>43</v>
      </c>
      <c r="V294" s="1477" t="str">
        <f>LEFT(C294,8)</f>
        <v>02.07.01</v>
      </c>
      <c r="W294" s="1478" t="str">
        <f t="shared" ref="W294:W304" si="162">VLOOKUP(V294,UE,3)</f>
        <v>Alat Studio</v>
      </c>
      <c r="X294" s="1478">
        <f t="shared" ref="X294:X304" si="163">VLOOKUP(V294,UE,4,FALSE)</f>
        <v>5</v>
      </c>
      <c r="Y294" s="1401">
        <f t="shared" ref="Y294:Y304" si="164">P294/X294</f>
        <v>1000000</v>
      </c>
      <c r="Z294" s="1444">
        <f t="shared" ref="Z294:Z304" si="165">IF(2013-I294+1&gt;X294,X294,IF(2013-I294+1&lt;0,0,(2013-I294+1)))</f>
        <v>2</v>
      </c>
      <c r="AA294" s="1401">
        <f t="shared" ref="AA294:AA304" si="166">IF(Z294&gt;X294,P294,Y294*Z294)</f>
        <v>2000000</v>
      </c>
      <c r="AB294" s="1401">
        <f t="shared" ref="AB294:AB304" si="167">IF(P294=AA294,0,Y294)</f>
        <v>1000000</v>
      </c>
      <c r="AC294" s="1401">
        <f t="shared" ref="AC294:AC304" si="168">IF(P294=AA294+AB294,0,Y294)</f>
        <v>1000000</v>
      </c>
      <c r="AD294" s="1401">
        <f t="shared" ref="AD294:AD304" si="169">IF(P294=AA294+AB294+AC294,0,Y294)</f>
        <v>1000000</v>
      </c>
      <c r="AE294" s="1479">
        <f t="shared" ref="AE294:AE304" si="170">IF(P294=AA294+AB294+AC294+AD294,0,Y294)</f>
        <v>0</v>
      </c>
      <c r="AF294" s="1479">
        <f t="shared" ref="AF294:AF304" si="171">IF(P294=AA294+AB294+AC294+AD294+AE294,0,Y294)</f>
        <v>0</v>
      </c>
      <c r="AG294" s="1479">
        <f>IF(P294=AA294+AB294+AC294+AD294+AE294+AF294,0,Y294)</f>
        <v>0</v>
      </c>
      <c r="AH294" s="1479">
        <f>SUM(AA294:AG294)</f>
        <v>5000000</v>
      </c>
      <c r="AI294" s="1645">
        <f t="shared" ref="AI294:AI304" si="172">I294</f>
        <v>2012</v>
      </c>
      <c r="AJ294" s="1401">
        <f t="shared" ref="AJ294:AJ304" si="173">P294-AH294</f>
        <v>0</v>
      </c>
      <c r="AK294" s="1401"/>
    </row>
    <row r="295" spans="1:38" s="1390" customFormat="1" ht="37" customHeight="1" x14ac:dyDescent="0.2">
      <c r="A295" s="1710" t="str">
        <f t="shared" si="151"/>
        <v>02.07.01.02</v>
      </c>
      <c r="B295" s="1426">
        <v>2</v>
      </c>
      <c r="C295" s="1455" t="s">
        <v>4726</v>
      </c>
      <c r="D295" s="1455" t="s">
        <v>972</v>
      </c>
      <c r="E295" s="1416"/>
      <c r="F295" s="1455" t="s">
        <v>1002</v>
      </c>
      <c r="G295" s="1414"/>
      <c r="H295" s="1455" t="s">
        <v>193</v>
      </c>
      <c r="I295" s="1501">
        <v>2012</v>
      </c>
      <c r="J295" s="1414"/>
      <c r="K295" s="1653"/>
      <c r="L295" s="1414"/>
      <c r="M295" s="1414"/>
      <c r="N295" s="1414"/>
      <c r="O295" s="1501" t="s">
        <v>12</v>
      </c>
      <c r="P295" s="1539">
        <v>3000000</v>
      </c>
      <c r="Q295" s="1598" t="s">
        <v>43</v>
      </c>
      <c r="V295" s="1477" t="str">
        <f t="shared" ref="V295:V304" si="174">LEFT(C295,8)</f>
        <v>02.07.01</v>
      </c>
      <c r="W295" s="1478" t="str">
        <f t="shared" si="162"/>
        <v>Alat Studio</v>
      </c>
      <c r="X295" s="1478">
        <f t="shared" si="163"/>
        <v>5</v>
      </c>
      <c r="Y295" s="1401">
        <f t="shared" si="164"/>
        <v>600000</v>
      </c>
      <c r="Z295" s="1444">
        <f t="shared" si="165"/>
        <v>2</v>
      </c>
      <c r="AA295" s="1401">
        <f t="shared" si="166"/>
        <v>1200000</v>
      </c>
      <c r="AB295" s="1401">
        <f t="shared" si="167"/>
        <v>600000</v>
      </c>
      <c r="AC295" s="1401">
        <f t="shared" si="168"/>
        <v>600000</v>
      </c>
      <c r="AD295" s="1401">
        <f t="shared" si="169"/>
        <v>600000</v>
      </c>
      <c r="AE295" s="1479">
        <f t="shared" si="170"/>
        <v>0</v>
      </c>
      <c r="AF295" s="1479">
        <f t="shared" si="171"/>
        <v>0</v>
      </c>
      <c r="AG295" s="1479">
        <f t="shared" ref="AG295:AG304" si="175">IF(P295=AA295+AB295+AC295+AD295+AE295+AF295,0,Y295)</f>
        <v>0</v>
      </c>
      <c r="AH295" s="1479">
        <f t="shared" ref="AH295:AH304" si="176">SUM(AA295:AG295)</f>
        <v>3000000</v>
      </c>
      <c r="AI295" s="1645">
        <f t="shared" si="172"/>
        <v>2012</v>
      </c>
      <c r="AJ295" s="1401">
        <f t="shared" si="173"/>
        <v>0</v>
      </c>
      <c r="AK295" s="1401"/>
    </row>
    <row r="296" spans="1:38" s="1390" customFormat="1" ht="37" customHeight="1" x14ac:dyDescent="0.2">
      <c r="A296" s="1710" t="str">
        <f t="shared" si="151"/>
        <v>02.07.02.01</v>
      </c>
      <c r="B296" s="1426">
        <v>3</v>
      </c>
      <c r="C296" s="1455" t="s">
        <v>4727</v>
      </c>
      <c r="D296" s="1455" t="s">
        <v>973</v>
      </c>
      <c r="E296" s="1416"/>
      <c r="F296" s="1455" t="s">
        <v>311</v>
      </c>
      <c r="G296" s="1414"/>
      <c r="H296" s="1455" t="s">
        <v>193</v>
      </c>
      <c r="I296" s="1501">
        <v>2012</v>
      </c>
      <c r="J296" s="1414"/>
      <c r="K296" s="1653"/>
      <c r="L296" s="1414"/>
      <c r="M296" s="1414"/>
      <c r="N296" s="1414"/>
      <c r="O296" s="1501" t="s">
        <v>12</v>
      </c>
      <c r="P296" s="1539">
        <v>3000000</v>
      </c>
      <c r="Q296" s="1598" t="s">
        <v>43</v>
      </c>
      <c r="V296" s="1477" t="str">
        <f t="shared" si="174"/>
        <v>02.07.02</v>
      </c>
      <c r="W296" s="1478" t="str">
        <f t="shared" si="162"/>
        <v>Alat Komunikasi</v>
      </c>
      <c r="X296" s="1478">
        <f t="shared" si="163"/>
        <v>5</v>
      </c>
      <c r="Y296" s="1401">
        <f t="shared" si="164"/>
        <v>600000</v>
      </c>
      <c r="Z296" s="1444">
        <f t="shared" si="165"/>
        <v>2</v>
      </c>
      <c r="AA296" s="1401">
        <f t="shared" si="166"/>
        <v>1200000</v>
      </c>
      <c r="AB296" s="1401">
        <f t="shared" si="167"/>
        <v>600000</v>
      </c>
      <c r="AC296" s="1401">
        <f t="shared" si="168"/>
        <v>600000</v>
      </c>
      <c r="AD296" s="1401">
        <f t="shared" si="169"/>
        <v>600000</v>
      </c>
      <c r="AE296" s="1479">
        <f t="shared" si="170"/>
        <v>0</v>
      </c>
      <c r="AF296" s="1479">
        <f t="shared" si="171"/>
        <v>0</v>
      </c>
      <c r="AG296" s="1479">
        <f t="shared" si="175"/>
        <v>0</v>
      </c>
      <c r="AH296" s="1479">
        <f t="shared" si="176"/>
        <v>3000000</v>
      </c>
      <c r="AI296" s="1645">
        <f t="shared" si="172"/>
        <v>2012</v>
      </c>
      <c r="AJ296" s="1401">
        <f t="shared" si="173"/>
        <v>0</v>
      </c>
      <c r="AK296" s="1401"/>
    </row>
    <row r="297" spans="1:38" s="1390" customFormat="1" ht="37" customHeight="1" x14ac:dyDescent="0.2">
      <c r="A297" s="1710" t="str">
        <f t="shared" si="151"/>
        <v>02.07.02.01</v>
      </c>
      <c r="B297" s="1426">
        <v>4</v>
      </c>
      <c r="C297" s="1455" t="s">
        <v>4728</v>
      </c>
      <c r="D297" s="1455" t="s">
        <v>974</v>
      </c>
      <c r="E297" s="1416"/>
      <c r="F297" s="1455" t="s">
        <v>1003</v>
      </c>
      <c r="G297" s="1414"/>
      <c r="H297" s="1455" t="s">
        <v>218</v>
      </c>
      <c r="I297" s="1501">
        <v>2012</v>
      </c>
      <c r="J297" s="1414"/>
      <c r="K297" s="1653"/>
      <c r="L297" s="1414"/>
      <c r="M297" s="1414"/>
      <c r="N297" s="1414"/>
      <c r="O297" s="1501" t="s">
        <v>12</v>
      </c>
      <c r="P297" s="1539">
        <v>2000000</v>
      </c>
      <c r="Q297" s="1598" t="s">
        <v>43</v>
      </c>
      <c r="V297" s="1477" t="str">
        <f t="shared" si="174"/>
        <v>02.07.02</v>
      </c>
      <c r="W297" s="1478" t="str">
        <f t="shared" si="162"/>
        <v>Alat Komunikasi</v>
      </c>
      <c r="X297" s="1478">
        <f t="shared" si="163"/>
        <v>5</v>
      </c>
      <c r="Y297" s="1401">
        <f t="shared" si="164"/>
        <v>400000</v>
      </c>
      <c r="Z297" s="1444">
        <f t="shared" si="165"/>
        <v>2</v>
      </c>
      <c r="AA297" s="1401">
        <f t="shared" si="166"/>
        <v>800000</v>
      </c>
      <c r="AB297" s="1401">
        <f t="shared" si="167"/>
        <v>400000</v>
      </c>
      <c r="AC297" s="1401">
        <f t="shared" si="168"/>
        <v>400000</v>
      </c>
      <c r="AD297" s="1401">
        <f t="shared" si="169"/>
        <v>400000</v>
      </c>
      <c r="AE297" s="1479">
        <f t="shared" si="170"/>
        <v>0</v>
      </c>
      <c r="AF297" s="1479">
        <f t="shared" si="171"/>
        <v>0</v>
      </c>
      <c r="AG297" s="1479">
        <f t="shared" si="175"/>
        <v>0</v>
      </c>
      <c r="AH297" s="1479">
        <f t="shared" si="176"/>
        <v>2000000</v>
      </c>
      <c r="AI297" s="1645">
        <f t="shared" si="172"/>
        <v>2012</v>
      </c>
      <c r="AJ297" s="1401">
        <f t="shared" si="173"/>
        <v>0</v>
      </c>
      <c r="AK297" s="1401"/>
    </row>
    <row r="298" spans="1:38" s="1390" customFormat="1" ht="37" customHeight="1" x14ac:dyDescent="0.2">
      <c r="A298" s="1710" t="str">
        <f t="shared" si="151"/>
        <v>02.07.01.01</v>
      </c>
      <c r="B298" s="1426">
        <v>5</v>
      </c>
      <c r="C298" s="1455" t="s">
        <v>312</v>
      </c>
      <c r="D298" s="1706" t="s">
        <v>976</v>
      </c>
      <c r="E298" s="1707"/>
      <c r="F298" s="1706" t="s">
        <v>195</v>
      </c>
      <c r="G298" s="1706"/>
      <c r="H298" s="1706" t="s">
        <v>1747</v>
      </c>
      <c r="I298" s="1707">
        <v>2012</v>
      </c>
      <c r="J298" s="1708"/>
      <c r="K298" s="1708"/>
      <c r="L298" s="1708"/>
      <c r="M298" s="1708"/>
      <c r="N298" s="1708"/>
      <c r="O298" s="1708"/>
      <c r="P298" s="1705">
        <v>9000000</v>
      </c>
      <c r="Q298" s="1598"/>
      <c r="V298" s="1477" t="str">
        <f t="shared" si="174"/>
        <v>02.07.01</v>
      </c>
      <c r="W298" s="1478" t="str">
        <f t="shared" si="162"/>
        <v>Alat Studio</v>
      </c>
      <c r="X298" s="1478">
        <f t="shared" si="163"/>
        <v>5</v>
      </c>
      <c r="Y298" s="1401">
        <f t="shared" si="164"/>
        <v>1800000</v>
      </c>
      <c r="Z298" s="1444">
        <f t="shared" si="165"/>
        <v>2</v>
      </c>
      <c r="AA298" s="1401">
        <f t="shared" si="166"/>
        <v>3600000</v>
      </c>
      <c r="AB298" s="1401">
        <f t="shared" si="167"/>
        <v>1800000</v>
      </c>
      <c r="AC298" s="1401">
        <f t="shared" si="168"/>
        <v>1800000</v>
      </c>
      <c r="AD298" s="1401">
        <f t="shared" si="169"/>
        <v>1800000</v>
      </c>
      <c r="AE298" s="1479">
        <f t="shared" si="170"/>
        <v>0</v>
      </c>
      <c r="AF298" s="1479">
        <f t="shared" si="171"/>
        <v>0</v>
      </c>
      <c r="AG298" s="1479">
        <f t="shared" si="175"/>
        <v>0</v>
      </c>
      <c r="AH298" s="1479">
        <f t="shared" si="176"/>
        <v>9000000</v>
      </c>
      <c r="AI298" s="1645">
        <f t="shared" si="172"/>
        <v>2012</v>
      </c>
      <c r="AJ298" s="1401">
        <f t="shared" si="173"/>
        <v>0</v>
      </c>
      <c r="AK298" s="1401"/>
    </row>
    <row r="299" spans="1:38" s="1390" customFormat="1" ht="37" customHeight="1" x14ac:dyDescent="0.2">
      <c r="A299" s="1710" t="str">
        <f t="shared" si="151"/>
        <v>02.07.01.01</v>
      </c>
      <c r="B299" s="1426">
        <v>6</v>
      </c>
      <c r="C299" s="1455" t="s">
        <v>4725</v>
      </c>
      <c r="D299" s="1706" t="s">
        <v>971</v>
      </c>
      <c r="E299" s="1707"/>
      <c r="F299" s="1706" t="s">
        <v>1001</v>
      </c>
      <c r="G299" s="1706"/>
      <c r="H299" s="1706" t="s">
        <v>52</v>
      </c>
      <c r="I299" s="1707">
        <v>2012</v>
      </c>
      <c r="J299" s="1708"/>
      <c r="K299" s="1708"/>
      <c r="L299" s="1708"/>
      <c r="M299" s="1708"/>
      <c r="N299" s="1708"/>
      <c r="O299" s="1708"/>
      <c r="P299" s="1705">
        <v>22148959.144571491</v>
      </c>
      <c r="Q299" s="1598"/>
      <c r="V299" s="1477" t="str">
        <f t="shared" si="174"/>
        <v>02.07.01</v>
      </c>
      <c r="W299" s="1478" t="str">
        <f t="shared" si="162"/>
        <v>Alat Studio</v>
      </c>
      <c r="X299" s="1478">
        <f t="shared" si="163"/>
        <v>5</v>
      </c>
      <c r="Y299" s="1401">
        <f t="shared" si="164"/>
        <v>4429791.8289142977</v>
      </c>
      <c r="Z299" s="1444">
        <f t="shared" si="165"/>
        <v>2</v>
      </c>
      <c r="AA299" s="1401">
        <f t="shared" si="166"/>
        <v>8859583.6578285955</v>
      </c>
      <c r="AB299" s="1401">
        <f t="shared" si="167"/>
        <v>4429791.8289142977</v>
      </c>
      <c r="AC299" s="1401">
        <f t="shared" si="168"/>
        <v>4429791.8289142977</v>
      </c>
      <c r="AD299" s="1401">
        <f t="shared" si="169"/>
        <v>4429791.8289142977</v>
      </c>
      <c r="AE299" s="1479">
        <f t="shared" si="170"/>
        <v>0</v>
      </c>
      <c r="AF299" s="1479">
        <f t="shared" si="171"/>
        <v>0</v>
      </c>
      <c r="AG299" s="1479">
        <f t="shared" si="175"/>
        <v>0</v>
      </c>
      <c r="AH299" s="1479">
        <f t="shared" si="176"/>
        <v>22148959.144571491</v>
      </c>
      <c r="AI299" s="1645">
        <f t="shared" si="172"/>
        <v>2012</v>
      </c>
      <c r="AJ299" s="1401">
        <f t="shared" si="173"/>
        <v>0</v>
      </c>
      <c r="AK299" s="1401"/>
    </row>
    <row r="300" spans="1:38" s="1390" customFormat="1" ht="37" customHeight="1" x14ac:dyDescent="0.2">
      <c r="A300" s="1710" t="str">
        <f t="shared" si="151"/>
        <v>02.07.01.01</v>
      </c>
      <c r="B300" s="1426">
        <v>7</v>
      </c>
      <c r="C300" s="1455" t="s">
        <v>312</v>
      </c>
      <c r="D300" s="1706" t="s">
        <v>4729</v>
      </c>
      <c r="E300" s="1709" t="s">
        <v>39</v>
      </c>
      <c r="F300" s="1706" t="s">
        <v>52</v>
      </c>
      <c r="G300" s="1706"/>
      <c r="H300" s="1706" t="s">
        <v>281</v>
      </c>
      <c r="I300" s="1707">
        <v>2012</v>
      </c>
      <c r="J300" s="1708"/>
      <c r="K300" s="1708"/>
      <c r="L300" s="1708"/>
      <c r="M300" s="1708"/>
      <c r="N300" s="1708"/>
      <c r="O300" s="1708"/>
      <c r="P300" s="1705">
        <v>10000000</v>
      </c>
      <c r="Q300" s="1598"/>
      <c r="V300" s="1477" t="str">
        <f t="shared" si="174"/>
        <v>02.07.01</v>
      </c>
      <c r="W300" s="1478" t="str">
        <f t="shared" si="162"/>
        <v>Alat Studio</v>
      </c>
      <c r="X300" s="1478">
        <f t="shared" si="163"/>
        <v>5</v>
      </c>
      <c r="Y300" s="1401">
        <f t="shared" si="164"/>
        <v>2000000</v>
      </c>
      <c r="Z300" s="1444">
        <f t="shared" si="165"/>
        <v>2</v>
      </c>
      <c r="AA300" s="1401">
        <f t="shared" si="166"/>
        <v>4000000</v>
      </c>
      <c r="AB300" s="1401">
        <f t="shared" si="167"/>
        <v>2000000</v>
      </c>
      <c r="AC300" s="1401">
        <f t="shared" si="168"/>
        <v>2000000</v>
      </c>
      <c r="AD300" s="1401">
        <f t="shared" si="169"/>
        <v>2000000</v>
      </c>
      <c r="AE300" s="1479">
        <f t="shared" si="170"/>
        <v>0</v>
      </c>
      <c r="AF300" s="1479">
        <f t="shared" si="171"/>
        <v>0</v>
      </c>
      <c r="AG300" s="1479">
        <f t="shared" si="175"/>
        <v>0</v>
      </c>
      <c r="AH300" s="1479">
        <f t="shared" si="176"/>
        <v>10000000</v>
      </c>
      <c r="AI300" s="1645">
        <f t="shared" si="172"/>
        <v>2012</v>
      </c>
      <c r="AJ300" s="1401">
        <f t="shared" si="173"/>
        <v>0</v>
      </c>
      <c r="AK300" s="1401"/>
    </row>
    <row r="301" spans="1:38" s="1390" customFormat="1" ht="37" customHeight="1" x14ac:dyDescent="0.2">
      <c r="A301" s="1710" t="str">
        <f t="shared" si="151"/>
        <v>02.07.01.01</v>
      </c>
      <c r="B301" s="1426">
        <v>8</v>
      </c>
      <c r="C301" s="1455" t="s">
        <v>312</v>
      </c>
      <c r="D301" s="1455" t="s">
        <v>975</v>
      </c>
      <c r="E301" s="1652" t="s">
        <v>275</v>
      </c>
      <c r="F301" s="1455" t="s">
        <v>52</v>
      </c>
      <c r="G301" s="1414"/>
      <c r="H301" s="1455" t="s">
        <v>281</v>
      </c>
      <c r="I301" s="1501">
        <v>2013</v>
      </c>
      <c r="J301" s="1414"/>
      <c r="K301" s="1653"/>
      <c r="L301" s="1414"/>
      <c r="M301" s="1414"/>
      <c r="N301" s="1414"/>
      <c r="O301" s="1501" t="s">
        <v>12</v>
      </c>
      <c r="P301" s="1539">
        <v>14444036.697247706</v>
      </c>
      <c r="Q301" s="1598"/>
      <c r="U301" s="1397">
        <f>P301/3</f>
        <v>4814678.8990825685</v>
      </c>
      <c r="V301" s="1477" t="str">
        <f t="shared" si="174"/>
        <v>02.07.01</v>
      </c>
      <c r="W301" s="1478" t="str">
        <f t="shared" si="162"/>
        <v>Alat Studio</v>
      </c>
      <c r="X301" s="1478">
        <f t="shared" si="163"/>
        <v>5</v>
      </c>
      <c r="Y301" s="1401">
        <f t="shared" si="164"/>
        <v>2888807.3394495412</v>
      </c>
      <c r="Z301" s="1444">
        <f t="shared" si="165"/>
        <v>1</v>
      </c>
      <c r="AA301" s="1401">
        <f t="shared" si="166"/>
        <v>2888807.3394495412</v>
      </c>
      <c r="AB301" s="1401">
        <f t="shared" si="167"/>
        <v>2888807.3394495412</v>
      </c>
      <c r="AC301" s="1401">
        <f t="shared" si="168"/>
        <v>2888807.3394495412</v>
      </c>
      <c r="AD301" s="1401">
        <f t="shared" si="169"/>
        <v>2888807.3394495412</v>
      </c>
      <c r="AE301" s="1479">
        <f t="shared" si="170"/>
        <v>2888807.3394495412</v>
      </c>
      <c r="AF301" s="1479">
        <f t="shared" si="171"/>
        <v>0</v>
      </c>
      <c r="AG301" s="1479">
        <f t="shared" si="175"/>
        <v>0</v>
      </c>
      <c r="AH301" s="1479">
        <f t="shared" si="176"/>
        <v>14444036.697247706</v>
      </c>
      <c r="AI301" s="1645">
        <f t="shared" si="172"/>
        <v>2013</v>
      </c>
      <c r="AJ301" s="1401">
        <f t="shared" si="173"/>
        <v>0</v>
      </c>
      <c r="AK301" s="1401"/>
    </row>
    <row r="302" spans="1:38" s="1390" customFormat="1" ht="37" customHeight="1" x14ac:dyDescent="0.2">
      <c r="A302" s="1710" t="str">
        <f t="shared" si="151"/>
        <v>02.07.01.01</v>
      </c>
      <c r="B302" s="1426">
        <v>9</v>
      </c>
      <c r="C302" s="1455" t="s">
        <v>312</v>
      </c>
      <c r="D302" s="1455" t="s">
        <v>976</v>
      </c>
      <c r="E302" s="1652" t="s">
        <v>283</v>
      </c>
      <c r="F302" s="1455" t="s">
        <v>52</v>
      </c>
      <c r="G302" s="1414"/>
      <c r="H302" s="1455" t="s">
        <v>281</v>
      </c>
      <c r="I302" s="1501">
        <v>2014</v>
      </c>
      <c r="J302" s="1414"/>
      <c r="K302" s="1653"/>
      <c r="L302" s="1414"/>
      <c r="M302" s="1414"/>
      <c r="N302" s="1414"/>
      <c r="O302" s="1501" t="s">
        <v>12</v>
      </c>
      <c r="P302" s="1539">
        <v>12000000</v>
      </c>
      <c r="Q302" s="1598"/>
      <c r="U302" s="1397">
        <f>P302/2</f>
        <v>6000000</v>
      </c>
      <c r="V302" s="1477" t="str">
        <f t="shared" si="174"/>
        <v>02.07.01</v>
      </c>
      <c r="W302" s="1478" t="str">
        <f t="shared" si="162"/>
        <v>Alat Studio</v>
      </c>
      <c r="X302" s="1478">
        <f t="shared" si="163"/>
        <v>5</v>
      </c>
      <c r="Y302" s="1401">
        <f t="shared" si="164"/>
        <v>2400000</v>
      </c>
      <c r="Z302" s="1444">
        <f t="shared" si="165"/>
        <v>0</v>
      </c>
      <c r="AA302" s="1401">
        <f t="shared" si="166"/>
        <v>0</v>
      </c>
      <c r="AB302" s="1401">
        <f t="shared" si="167"/>
        <v>2400000</v>
      </c>
      <c r="AC302" s="1401">
        <f t="shared" si="168"/>
        <v>2400000</v>
      </c>
      <c r="AD302" s="1401">
        <f t="shared" si="169"/>
        <v>2400000</v>
      </c>
      <c r="AE302" s="1401">
        <f t="shared" si="170"/>
        <v>2400000</v>
      </c>
      <c r="AF302" s="1479">
        <f t="shared" si="171"/>
        <v>2400000</v>
      </c>
      <c r="AG302" s="1479">
        <f t="shared" si="175"/>
        <v>0</v>
      </c>
      <c r="AH302" s="1479">
        <f t="shared" si="176"/>
        <v>12000000</v>
      </c>
      <c r="AI302" s="1645">
        <f t="shared" si="172"/>
        <v>2014</v>
      </c>
      <c r="AJ302" s="1401">
        <f t="shared" si="173"/>
        <v>0</v>
      </c>
      <c r="AK302" s="1401"/>
    </row>
    <row r="303" spans="1:38" s="1390" customFormat="1" ht="37" customHeight="1" x14ac:dyDescent="0.2">
      <c r="A303" s="1710" t="str">
        <f t="shared" si="151"/>
        <v>02.07.01.02</v>
      </c>
      <c r="B303" s="1426">
        <v>10</v>
      </c>
      <c r="C303" s="1455" t="s">
        <v>4726</v>
      </c>
      <c r="D303" s="1455" t="s">
        <v>314</v>
      </c>
      <c r="E303" s="1652" t="s">
        <v>277</v>
      </c>
      <c r="F303" s="1455" t="s">
        <v>315</v>
      </c>
      <c r="G303" s="1414" t="s">
        <v>316</v>
      </c>
      <c r="H303" s="1455" t="s">
        <v>174</v>
      </c>
      <c r="I303" s="1501">
        <v>2014</v>
      </c>
      <c r="J303" s="1414"/>
      <c r="K303" s="1653"/>
      <c r="L303" s="1414"/>
      <c r="M303" s="1414"/>
      <c r="N303" s="1414"/>
      <c r="O303" s="1501" t="s">
        <v>12</v>
      </c>
      <c r="P303" s="1539">
        <v>4500000</v>
      </c>
      <c r="Q303" s="1598"/>
      <c r="U303" s="1397">
        <f>P303/1</f>
        <v>4500000</v>
      </c>
      <c r="V303" s="1477" t="str">
        <f t="shared" si="174"/>
        <v>02.07.01</v>
      </c>
      <c r="W303" s="1478" t="str">
        <f t="shared" si="162"/>
        <v>Alat Studio</v>
      </c>
      <c r="X303" s="1478">
        <f t="shared" si="163"/>
        <v>5</v>
      </c>
      <c r="Y303" s="1401">
        <f t="shared" si="164"/>
        <v>900000</v>
      </c>
      <c r="Z303" s="1444">
        <f t="shared" si="165"/>
        <v>0</v>
      </c>
      <c r="AA303" s="1401">
        <f t="shared" si="166"/>
        <v>0</v>
      </c>
      <c r="AB303" s="1401">
        <f t="shared" si="167"/>
        <v>900000</v>
      </c>
      <c r="AC303" s="1401">
        <f t="shared" si="168"/>
        <v>900000</v>
      </c>
      <c r="AD303" s="1401">
        <f t="shared" si="169"/>
        <v>900000</v>
      </c>
      <c r="AE303" s="1401">
        <f t="shared" si="170"/>
        <v>900000</v>
      </c>
      <c r="AF303" s="1479">
        <f t="shared" si="171"/>
        <v>900000</v>
      </c>
      <c r="AG303" s="1479">
        <f t="shared" si="175"/>
        <v>0</v>
      </c>
      <c r="AH303" s="1479">
        <f t="shared" si="176"/>
        <v>4500000</v>
      </c>
      <c r="AI303" s="1645">
        <f t="shared" si="172"/>
        <v>2014</v>
      </c>
      <c r="AJ303" s="1401">
        <f t="shared" si="173"/>
        <v>0</v>
      </c>
      <c r="AK303" s="1401"/>
    </row>
    <row r="304" spans="1:38" s="1390" customFormat="1" ht="37" customHeight="1" x14ac:dyDescent="0.2">
      <c r="A304" s="1710" t="str">
        <f t="shared" si="151"/>
        <v>02.07.01.02</v>
      </c>
      <c r="B304" s="1426">
        <v>11</v>
      </c>
      <c r="C304" s="1455" t="s">
        <v>4726</v>
      </c>
      <c r="D304" s="1455" t="s">
        <v>318</v>
      </c>
      <c r="E304" s="1652" t="s">
        <v>277</v>
      </c>
      <c r="F304" s="1455" t="s">
        <v>52</v>
      </c>
      <c r="G304" s="1414"/>
      <c r="H304" s="1455" t="s">
        <v>52</v>
      </c>
      <c r="I304" s="1501">
        <v>2014</v>
      </c>
      <c r="J304" s="1414"/>
      <c r="K304" s="1653"/>
      <c r="L304" s="1414"/>
      <c r="M304" s="1414"/>
      <c r="N304" s="1414"/>
      <c r="O304" s="1501" t="s">
        <v>12</v>
      </c>
      <c r="P304" s="1539">
        <v>34500000</v>
      </c>
      <c r="Q304" s="1598"/>
      <c r="U304" s="1397">
        <f>P304/1</f>
        <v>34500000</v>
      </c>
      <c r="V304" s="1477" t="str">
        <f t="shared" si="174"/>
        <v>02.07.01</v>
      </c>
      <c r="W304" s="1478" t="str">
        <f t="shared" si="162"/>
        <v>Alat Studio</v>
      </c>
      <c r="X304" s="1478">
        <f t="shared" si="163"/>
        <v>5</v>
      </c>
      <c r="Y304" s="1401">
        <f t="shared" si="164"/>
        <v>6900000</v>
      </c>
      <c r="Z304" s="1444">
        <f t="shared" si="165"/>
        <v>0</v>
      </c>
      <c r="AA304" s="1401">
        <f t="shared" si="166"/>
        <v>0</v>
      </c>
      <c r="AB304" s="1401">
        <f t="shared" si="167"/>
        <v>6900000</v>
      </c>
      <c r="AC304" s="1401">
        <f t="shared" si="168"/>
        <v>6900000</v>
      </c>
      <c r="AD304" s="1401">
        <f t="shared" si="169"/>
        <v>6900000</v>
      </c>
      <c r="AE304" s="1401">
        <f t="shared" si="170"/>
        <v>6900000</v>
      </c>
      <c r="AF304" s="1479">
        <f t="shared" si="171"/>
        <v>6900000</v>
      </c>
      <c r="AG304" s="1479">
        <f t="shared" si="175"/>
        <v>0</v>
      </c>
      <c r="AH304" s="1479">
        <f t="shared" si="176"/>
        <v>34500000</v>
      </c>
      <c r="AI304" s="1645">
        <f t="shared" si="172"/>
        <v>2014</v>
      </c>
      <c r="AJ304" s="1401">
        <f t="shared" si="173"/>
        <v>0</v>
      </c>
      <c r="AK304" s="1401"/>
    </row>
    <row r="305" spans="1:38" s="1390" customFormat="1" ht="37" customHeight="1" x14ac:dyDescent="0.2">
      <c r="A305" s="1710" t="str">
        <f t="shared" si="151"/>
        <v/>
      </c>
      <c r="B305" s="1715"/>
      <c r="C305" s="1455" t="s">
        <v>52</v>
      </c>
      <c r="D305" s="1455" t="s">
        <v>52</v>
      </c>
      <c r="E305" s="1652"/>
      <c r="F305" s="1455" t="s">
        <v>52</v>
      </c>
      <c r="G305" s="1414"/>
      <c r="H305" s="1455" t="s">
        <v>52</v>
      </c>
      <c r="I305" s="1501"/>
      <c r="J305" s="1414"/>
      <c r="K305" s="1653"/>
      <c r="L305" s="1414"/>
      <c r="M305" s="1414"/>
      <c r="N305" s="1414"/>
      <c r="O305" s="1501"/>
      <c r="P305" s="1539"/>
      <c r="Q305" s="1598"/>
      <c r="W305" s="1444"/>
      <c r="Y305" s="1401"/>
      <c r="AA305" s="1401"/>
      <c r="AB305" s="1401"/>
      <c r="AC305" s="1401"/>
      <c r="AD305" s="1401"/>
      <c r="AE305" s="1401"/>
      <c r="AF305" s="1401"/>
      <c r="AG305" s="1401"/>
      <c r="AH305" s="1401"/>
      <c r="AJ305" s="1401"/>
      <c r="AK305" s="1401"/>
    </row>
    <row r="306" spans="1:38" s="1407" customFormat="1" ht="37" customHeight="1" x14ac:dyDescent="0.2">
      <c r="A306" s="1710" t="str">
        <f t="shared" si="151"/>
        <v>ALAT-ALAT U</v>
      </c>
      <c r="B306" s="1441" t="s">
        <v>319</v>
      </c>
      <c r="C306" s="1691" t="s">
        <v>923</v>
      </c>
      <c r="D306" s="1508"/>
      <c r="E306" s="1469"/>
      <c r="F306" s="1508" t="s">
        <v>52</v>
      </c>
      <c r="G306" s="1508"/>
      <c r="H306" s="1508" t="s">
        <v>52</v>
      </c>
      <c r="I306" s="1469"/>
      <c r="J306" s="1508"/>
      <c r="K306" s="1508"/>
      <c r="L306" s="1508"/>
      <c r="M306" s="1508"/>
      <c r="N306" s="1508"/>
      <c r="O306" s="1469"/>
      <c r="P306" s="1506">
        <f>SUM(P307:P318)</f>
        <v>212065845.6936529</v>
      </c>
      <c r="Q306" s="1601"/>
      <c r="W306" s="1444" t="str">
        <f>IF(P306&lt;300000,P306,"0")</f>
        <v>0</v>
      </c>
      <c r="Y306" s="1446"/>
      <c r="AA306" s="1446">
        <f>SUM(AA307:AA317)</f>
        <v>90296338.277461156</v>
      </c>
      <c r="AB306" s="1446">
        <f>SUM(AB307:AB317)</f>
        <v>38933169.138730586</v>
      </c>
      <c r="AC306" s="1446">
        <f>SUM(AC307:AC317)</f>
        <v>38933169.138730586</v>
      </c>
      <c r="AD306" s="1446">
        <f>SUM(AD307:AD317)</f>
        <v>18803169.138730578</v>
      </c>
      <c r="AE306" s="1446">
        <f>SUM(AE307:AE317)</f>
        <v>13900000</v>
      </c>
      <c r="AF306" s="1446">
        <f>SUM(AF307:AF318)</f>
        <v>3280000</v>
      </c>
      <c r="AG306" s="1446">
        <f>SUM(AG307:AG318)</f>
        <v>1980000</v>
      </c>
      <c r="AH306" s="1446">
        <f>SUM(AH307:AH318)</f>
        <v>208105845.6936529</v>
      </c>
      <c r="AI306" s="1446">
        <f>SUM(AI307:AI318)</f>
        <v>22140</v>
      </c>
      <c r="AJ306" s="1446">
        <f>SUM(AJ307:AJ318)</f>
        <v>3960000</v>
      </c>
      <c r="AK306" s="1446"/>
      <c r="AL306" s="1565"/>
    </row>
    <row r="307" spans="1:38" s="1390" customFormat="1" ht="37" customHeight="1" x14ac:dyDescent="0.2">
      <c r="A307" s="1710" t="str">
        <f t="shared" si="151"/>
        <v>02.04.03.01</v>
      </c>
      <c r="B307" s="1426">
        <v>1</v>
      </c>
      <c r="C307" s="1455" t="s">
        <v>4731</v>
      </c>
      <c r="D307" s="1455" t="s">
        <v>321</v>
      </c>
      <c r="E307" s="1416"/>
      <c r="F307" s="1455" t="s">
        <v>52</v>
      </c>
      <c r="G307" s="1414"/>
      <c r="H307" s="1455" t="s">
        <v>52</v>
      </c>
      <c r="I307" s="1501" t="s">
        <v>57</v>
      </c>
      <c r="J307" s="1414"/>
      <c r="K307" s="1653"/>
      <c r="L307" s="1501"/>
      <c r="M307" s="1414"/>
      <c r="N307" s="1414"/>
      <c r="O307" s="1501" t="s">
        <v>12</v>
      </c>
      <c r="P307" s="1539">
        <v>7500000</v>
      </c>
      <c r="Q307" s="1598"/>
      <c r="V307" s="1477" t="str">
        <f>LEFT(C307,8)</f>
        <v>02.04.03</v>
      </c>
      <c r="W307" s="1478" t="str">
        <f t="shared" ref="W307:W318" si="177">VLOOKUP(V307,UE,3)</f>
        <v>Alat Ukur</v>
      </c>
      <c r="X307" s="1478">
        <f t="shared" ref="X307:X318" si="178">VLOOKUP(V307,UE,4,FALSE)</f>
        <v>5</v>
      </c>
      <c r="Y307" s="1401">
        <f t="shared" ref="Y307:Y318" si="179">P307/X307</f>
        <v>1500000</v>
      </c>
      <c r="Z307" s="1444">
        <f t="shared" ref="Z307:Z318" si="180">IF(2013-I307+1&gt;X307,X307,IF(2013-I307+1&lt;0,0,(2013-I307+1)))</f>
        <v>5</v>
      </c>
      <c r="AA307" s="1401">
        <f t="shared" ref="AA307:AA318" si="181">IF(Z307&gt;X307,P307,Y307*Z307)</f>
        <v>7500000</v>
      </c>
      <c r="AB307" s="1401">
        <f t="shared" ref="AB307:AB317" si="182">IF(P307=AA307,0,Y307)</f>
        <v>0</v>
      </c>
      <c r="AC307" s="1401">
        <f t="shared" ref="AC307:AC317" si="183">IF(P307=AA307+AB307,0,Y307)</f>
        <v>0</v>
      </c>
      <c r="AD307" s="1401">
        <f t="shared" ref="AD307:AD317" si="184">IF(P307=AA307+AB307+AC307,0,Y307)</f>
        <v>0</v>
      </c>
      <c r="AE307" s="1479">
        <f t="shared" ref="AE307:AE318" si="185">IF(P307=AA307+AB307+AC307+AD307,0,Y307)</f>
        <v>0</v>
      </c>
      <c r="AF307" s="1479">
        <f t="shared" ref="AF307:AF317" si="186">IF(P307=AA307+AB307+AC307+AD307+AE307,0,Y307)</f>
        <v>0</v>
      </c>
      <c r="AG307" s="1479">
        <f>IF(P307=AA307+AB307+AC307+AD307+AE307+AF307,0,Y307)</f>
        <v>0</v>
      </c>
      <c r="AH307" s="1479">
        <f>SUM(AA307:AG307)</f>
        <v>7500000</v>
      </c>
      <c r="AI307" s="1645" t="str">
        <f t="shared" ref="AI307:AI318" si="187">I307</f>
        <v>2002</v>
      </c>
      <c r="AJ307" s="1401">
        <f t="shared" ref="AJ307:AJ318" si="188">P307-AH307</f>
        <v>0</v>
      </c>
      <c r="AK307" s="1401"/>
    </row>
    <row r="308" spans="1:38" s="1390" customFormat="1" ht="37" customHeight="1" x14ac:dyDescent="0.2">
      <c r="A308" s="1710" t="str">
        <f t="shared" si="151"/>
        <v>02.04.03.01</v>
      </c>
      <c r="B308" s="1426">
        <v>2</v>
      </c>
      <c r="C308" s="1455" t="s">
        <v>4731</v>
      </c>
      <c r="D308" s="1455" t="s">
        <v>977</v>
      </c>
      <c r="E308" s="1416"/>
      <c r="F308" s="1455" t="s">
        <v>1004</v>
      </c>
      <c r="G308" s="1414"/>
      <c r="H308" s="1455" t="s">
        <v>193</v>
      </c>
      <c r="I308" s="1501">
        <v>2011</v>
      </c>
      <c r="J308" s="1414"/>
      <c r="K308" s="1414"/>
      <c r="L308" s="1455" t="s">
        <v>322</v>
      </c>
      <c r="M308" s="1414"/>
      <c r="N308" s="1414"/>
      <c r="O308" s="1501" t="s">
        <v>12</v>
      </c>
      <c r="P308" s="1539">
        <v>89100000</v>
      </c>
      <c r="Q308" s="1598"/>
      <c r="V308" s="1477" t="str">
        <f t="shared" ref="V308:V318" si="189">LEFT(C308,8)</f>
        <v>02.04.03</v>
      </c>
      <c r="W308" s="1478" t="str">
        <f t="shared" si="177"/>
        <v>Alat Ukur</v>
      </c>
      <c r="X308" s="1478">
        <f t="shared" si="178"/>
        <v>5</v>
      </c>
      <c r="Y308" s="1401">
        <f t="shared" si="179"/>
        <v>17820000</v>
      </c>
      <c r="Z308" s="1444">
        <f t="shared" si="180"/>
        <v>3</v>
      </c>
      <c r="AA308" s="1401">
        <f t="shared" si="181"/>
        <v>53460000</v>
      </c>
      <c r="AB308" s="1401">
        <f t="shared" si="182"/>
        <v>17820000</v>
      </c>
      <c r="AC308" s="1401">
        <f t="shared" si="183"/>
        <v>17820000</v>
      </c>
      <c r="AD308" s="1401">
        <f t="shared" si="184"/>
        <v>0</v>
      </c>
      <c r="AE308" s="1479">
        <f t="shared" si="185"/>
        <v>0</v>
      </c>
      <c r="AF308" s="1479">
        <f t="shared" si="186"/>
        <v>0</v>
      </c>
      <c r="AG308" s="1479">
        <f t="shared" ref="AG308:AG318" si="190">IF(P308=AA308+AB308+AC308+AD308+AE308+AF308,0,Y308)</f>
        <v>0</v>
      </c>
      <c r="AH308" s="1479">
        <f t="shared" ref="AH308:AH318" si="191">SUM(AA308:AG308)</f>
        <v>89100000</v>
      </c>
      <c r="AI308" s="1645">
        <f t="shared" si="187"/>
        <v>2011</v>
      </c>
      <c r="AJ308" s="1401">
        <f t="shared" si="188"/>
        <v>0</v>
      </c>
      <c r="AK308" s="1401"/>
    </row>
    <row r="309" spans="1:38" s="1390" customFormat="1" ht="37" customHeight="1" x14ac:dyDescent="0.2">
      <c r="A309" s="1710" t="str">
        <f t="shared" si="151"/>
        <v>02.04.03.01</v>
      </c>
      <c r="B309" s="1426">
        <v>3</v>
      </c>
      <c r="C309" s="1653" t="s">
        <v>4730</v>
      </c>
      <c r="D309" s="1455" t="s">
        <v>323</v>
      </c>
      <c r="E309" s="1416"/>
      <c r="F309" s="1455" t="s">
        <v>1005</v>
      </c>
      <c r="G309" s="1414"/>
      <c r="H309" s="1455" t="s">
        <v>193</v>
      </c>
      <c r="I309" s="1501">
        <v>2011</v>
      </c>
      <c r="J309" s="1414"/>
      <c r="K309" s="1414"/>
      <c r="L309" s="1455" t="s">
        <v>324</v>
      </c>
      <c r="M309" s="1414"/>
      <c r="N309" s="1414"/>
      <c r="O309" s="1501" t="s">
        <v>12</v>
      </c>
      <c r="P309" s="1539">
        <v>5775000</v>
      </c>
      <c r="Q309" s="1598"/>
      <c r="V309" s="1477" t="str">
        <f t="shared" si="189"/>
        <v>02.04.03</v>
      </c>
      <c r="W309" s="1478" t="str">
        <f t="shared" si="177"/>
        <v>Alat Ukur</v>
      </c>
      <c r="X309" s="1478">
        <f t="shared" si="178"/>
        <v>5</v>
      </c>
      <c r="Y309" s="1401">
        <f t="shared" si="179"/>
        <v>1155000</v>
      </c>
      <c r="Z309" s="1444">
        <f t="shared" si="180"/>
        <v>3</v>
      </c>
      <c r="AA309" s="1401">
        <f t="shared" si="181"/>
        <v>3465000</v>
      </c>
      <c r="AB309" s="1401">
        <f t="shared" si="182"/>
        <v>1155000</v>
      </c>
      <c r="AC309" s="1401">
        <f t="shared" si="183"/>
        <v>1155000</v>
      </c>
      <c r="AD309" s="1401">
        <f t="shared" si="184"/>
        <v>0</v>
      </c>
      <c r="AE309" s="1479">
        <f t="shared" si="185"/>
        <v>0</v>
      </c>
      <c r="AF309" s="1479">
        <f t="shared" si="186"/>
        <v>0</v>
      </c>
      <c r="AG309" s="1479">
        <f t="shared" si="190"/>
        <v>0</v>
      </c>
      <c r="AH309" s="1479">
        <f t="shared" si="191"/>
        <v>5775000</v>
      </c>
      <c r="AI309" s="1645">
        <f t="shared" si="187"/>
        <v>2011</v>
      </c>
      <c r="AJ309" s="1401">
        <f t="shared" si="188"/>
        <v>0</v>
      </c>
      <c r="AK309" s="1401"/>
    </row>
    <row r="310" spans="1:38" s="1390" customFormat="1" ht="37" customHeight="1" x14ac:dyDescent="0.2">
      <c r="A310" s="1710" t="str">
        <f t="shared" si="151"/>
        <v>02.04.03.01</v>
      </c>
      <c r="B310" s="1426">
        <v>4</v>
      </c>
      <c r="C310" s="1653" t="s">
        <v>4730</v>
      </c>
      <c r="D310" s="1455" t="s">
        <v>323</v>
      </c>
      <c r="E310" s="1416"/>
      <c r="F310" s="1455" t="s">
        <v>1005</v>
      </c>
      <c r="G310" s="1414"/>
      <c r="H310" s="1455" t="s">
        <v>193</v>
      </c>
      <c r="I310" s="1501">
        <v>2011</v>
      </c>
      <c r="J310" s="1414"/>
      <c r="K310" s="1414"/>
      <c r="L310" s="1455" t="s">
        <v>325</v>
      </c>
      <c r="M310" s="1414"/>
      <c r="N310" s="1414"/>
      <c r="O310" s="1501" t="s">
        <v>12</v>
      </c>
      <c r="P310" s="1539">
        <v>5775000</v>
      </c>
      <c r="Q310" s="1598"/>
      <c r="V310" s="1477" t="str">
        <f t="shared" si="189"/>
        <v>02.04.03</v>
      </c>
      <c r="W310" s="1478" t="str">
        <f t="shared" si="177"/>
        <v>Alat Ukur</v>
      </c>
      <c r="X310" s="1478">
        <f t="shared" si="178"/>
        <v>5</v>
      </c>
      <c r="Y310" s="1401">
        <f t="shared" si="179"/>
        <v>1155000</v>
      </c>
      <c r="Z310" s="1444">
        <f t="shared" si="180"/>
        <v>3</v>
      </c>
      <c r="AA310" s="1401">
        <f t="shared" si="181"/>
        <v>3465000</v>
      </c>
      <c r="AB310" s="1401">
        <f t="shared" si="182"/>
        <v>1155000</v>
      </c>
      <c r="AC310" s="1401">
        <f t="shared" si="183"/>
        <v>1155000</v>
      </c>
      <c r="AD310" s="1401">
        <f t="shared" si="184"/>
        <v>0</v>
      </c>
      <c r="AE310" s="1479">
        <f t="shared" si="185"/>
        <v>0</v>
      </c>
      <c r="AF310" s="1479">
        <f t="shared" si="186"/>
        <v>0</v>
      </c>
      <c r="AG310" s="1479">
        <f t="shared" si="190"/>
        <v>0</v>
      </c>
      <c r="AH310" s="1479">
        <f t="shared" si="191"/>
        <v>5775000</v>
      </c>
      <c r="AI310" s="1645">
        <f t="shared" si="187"/>
        <v>2011</v>
      </c>
      <c r="AJ310" s="1401">
        <f t="shared" si="188"/>
        <v>0</v>
      </c>
      <c r="AK310" s="1401"/>
    </row>
    <row r="311" spans="1:38" s="1390" customFormat="1" ht="37" customHeight="1" x14ac:dyDescent="0.2">
      <c r="A311" s="1710" t="str">
        <f t="shared" si="151"/>
        <v>02.04.03.01</v>
      </c>
      <c r="B311" s="1426">
        <v>5</v>
      </c>
      <c r="C311" s="1653" t="s">
        <v>4730</v>
      </c>
      <c r="D311" s="1455" t="s">
        <v>1749</v>
      </c>
      <c r="E311" s="1416"/>
      <c r="F311" s="1455" t="s">
        <v>1750</v>
      </c>
      <c r="G311" s="1414"/>
      <c r="H311" s="1455" t="s">
        <v>1747</v>
      </c>
      <c r="I311" s="1501">
        <v>2012</v>
      </c>
      <c r="J311" s="1414"/>
      <c r="K311" s="1414"/>
      <c r="L311" s="1455"/>
      <c r="M311" s="1414"/>
      <c r="N311" s="1414"/>
      <c r="O311" s="1501"/>
      <c r="P311" s="1539">
        <v>17015845.693652902</v>
      </c>
      <c r="Q311" s="1598"/>
      <c r="V311" s="1477" t="str">
        <f t="shared" si="189"/>
        <v>02.04.03</v>
      </c>
      <c r="W311" s="1478" t="str">
        <f t="shared" si="177"/>
        <v>Alat Ukur</v>
      </c>
      <c r="X311" s="1478">
        <f t="shared" si="178"/>
        <v>5</v>
      </c>
      <c r="Y311" s="1401">
        <f t="shared" si="179"/>
        <v>3403169.1387305805</v>
      </c>
      <c r="Z311" s="1444">
        <f t="shared" si="180"/>
        <v>2</v>
      </c>
      <c r="AA311" s="1401">
        <f t="shared" si="181"/>
        <v>6806338.2774611609</v>
      </c>
      <c r="AB311" s="1401">
        <f t="shared" si="182"/>
        <v>3403169.1387305805</v>
      </c>
      <c r="AC311" s="1401">
        <f t="shared" si="183"/>
        <v>3403169.1387305805</v>
      </c>
      <c r="AD311" s="1401">
        <f t="shared" si="184"/>
        <v>3403169.1387305805</v>
      </c>
      <c r="AE311" s="1479">
        <f t="shared" si="185"/>
        <v>0</v>
      </c>
      <c r="AF311" s="1479">
        <f t="shared" si="186"/>
        <v>0</v>
      </c>
      <c r="AG311" s="1479">
        <f t="shared" si="190"/>
        <v>0</v>
      </c>
      <c r="AH311" s="1479">
        <f t="shared" si="191"/>
        <v>17015845.693652902</v>
      </c>
      <c r="AI311" s="1645">
        <f t="shared" si="187"/>
        <v>2012</v>
      </c>
      <c r="AJ311" s="1401">
        <f t="shared" si="188"/>
        <v>0</v>
      </c>
      <c r="AK311" s="1401"/>
    </row>
    <row r="312" spans="1:38" s="1390" customFormat="1" ht="37" customHeight="1" x14ac:dyDescent="0.2">
      <c r="A312" s="1710" t="str">
        <f t="shared" si="151"/>
        <v>02.04.03.01</v>
      </c>
      <c r="B312" s="1426">
        <v>6</v>
      </c>
      <c r="C312" s="1653" t="s">
        <v>4730</v>
      </c>
      <c r="D312" s="1455" t="s">
        <v>1749</v>
      </c>
      <c r="E312" s="1416"/>
      <c r="F312" s="1455" t="s">
        <v>1750</v>
      </c>
      <c r="G312" s="1414"/>
      <c r="H312" s="1455" t="s">
        <v>1747</v>
      </c>
      <c r="I312" s="1501">
        <v>2012</v>
      </c>
      <c r="J312" s="1414"/>
      <c r="K312" s="1414"/>
      <c r="L312" s="1455"/>
      <c r="M312" s="1414"/>
      <c r="N312" s="1414"/>
      <c r="O312" s="1501"/>
      <c r="P312" s="1539">
        <v>7500000</v>
      </c>
      <c r="Q312" s="1598"/>
      <c r="V312" s="1477" t="str">
        <f t="shared" si="189"/>
        <v>02.04.03</v>
      </c>
      <c r="W312" s="1478" t="str">
        <f t="shared" si="177"/>
        <v>Alat Ukur</v>
      </c>
      <c r="X312" s="1478">
        <f t="shared" si="178"/>
        <v>5</v>
      </c>
      <c r="Y312" s="1401">
        <f t="shared" si="179"/>
        <v>1500000</v>
      </c>
      <c r="Z312" s="1444">
        <f t="shared" si="180"/>
        <v>2</v>
      </c>
      <c r="AA312" s="1401">
        <f t="shared" si="181"/>
        <v>3000000</v>
      </c>
      <c r="AB312" s="1401">
        <f t="shared" si="182"/>
        <v>1500000</v>
      </c>
      <c r="AC312" s="1401">
        <f t="shared" si="183"/>
        <v>1500000</v>
      </c>
      <c r="AD312" s="1401">
        <f t="shared" si="184"/>
        <v>1500000</v>
      </c>
      <c r="AE312" s="1479">
        <f t="shared" si="185"/>
        <v>0</v>
      </c>
      <c r="AF312" s="1479">
        <f t="shared" si="186"/>
        <v>0</v>
      </c>
      <c r="AG312" s="1479">
        <f t="shared" si="190"/>
        <v>0</v>
      </c>
      <c r="AH312" s="1479">
        <f t="shared" si="191"/>
        <v>7500000</v>
      </c>
      <c r="AI312" s="1645">
        <f t="shared" si="187"/>
        <v>2012</v>
      </c>
      <c r="AJ312" s="1401">
        <f t="shared" si="188"/>
        <v>0</v>
      </c>
      <c r="AK312" s="1401"/>
    </row>
    <row r="313" spans="1:38" s="1390" customFormat="1" ht="37" customHeight="1" x14ac:dyDescent="0.2">
      <c r="A313" s="1710" t="str">
        <f t="shared" si="151"/>
        <v>02.04.03.01</v>
      </c>
      <c r="B313" s="1426">
        <v>7</v>
      </c>
      <c r="C313" s="1653" t="s">
        <v>4730</v>
      </c>
      <c r="D313" s="1455" t="s">
        <v>326</v>
      </c>
      <c r="E313" s="1652" t="s">
        <v>327</v>
      </c>
      <c r="F313" s="1455" t="s">
        <v>52</v>
      </c>
      <c r="G313" s="1414"/>
      <c r="H313" s="1455" t="s">
        <v>193</v>
      </c>
      <c r="I313" s="1501">
        <v>2013</v>
      </c>
      <c r="J313" s="1414"/>
      <c r="K313" s="1414"/>
      <c r="L313" s="1455"/>
      <c r="M313" s="1414"/>
      <c r="N313" s="1414"/>
      <c r="O313" s="1501" t="s">
        <v>12</v>
      </c>
      <c r="P313" s="1539">
        <v>34500000</v>
      </c>
      <c r="Q313" s="1598"/>
      <c r="V313" s="1477" t="str">
        <f t="shared" si="189"/>
        <v>02.04.03</v>
      </c>
      <c r="W313" s="1478" t="str">
        <f t="shared" si="177"/>
        <v>Alat Ukur</v>
      </c>
      <c r="X313" s="1478">
        <f t="shared" si="178"/>
        <v>5</v>
      </c>
      <c r="Y313" s="1401">
        <f t="shared" si="179"/>
        <v>6900000</v>
      </c>
      <c r="Z313" s="1444">
        <f t="shared" si="180"/>
        <v>1</v>
      </c>
      <c r="AA313" s="1401">
        <f t="shared" si="181"/>
        <v>6900000</v>
      </c>
      <c r="AB313" s="1401">
        <f t="shared" si="182"/>
        <v>6900000</v>
      </c>
      <c r="AC313" s="1401">
        <f t="shared" si="183"/>
        <v>6900000</v>
      </c>
      <c r="AD313" s="1401">
        <f t="shared" si="184"/>
        <v>6900000</v>
      </c>
      <c r="AE313" s="1479">
        <f t="shared" si="185"/>
        <v>6900000</v>
      </c>
      <c r="AF313" s="1479">
        <f t="shared" si="186"/>
        <v>0</v>
      </c>
      <c r="AG313" s="1479">
        <f t="shared" si="190"/>
        <v>0</v>
      </c>
      <c r="AH313" s="1479">
        <f t="shared" si="191"/>
        <v>34500000</v>
      </c>
      <c r="AI313" s="1645">
        <f t="shared" si="187"/>
        <v>2013</v>
      </c>
      <c r="AJ313" s="1401">
        <f t="shared" si="188"/>
        <v>0</v>
      </c>
      <c r="AK313" s="1401"/>
    </row>
    <row r="314" spans="1:38" s="1390" customFormat="1" ht="37" customHeight="1" x14ac:dyDescent="0.2">
      <c r="A314" s="1710" t="str">
        <f t="shared" si="151"/>
        <v>02.04.03.01</v>
      </c>
      <c r="B314" s="1426">
        <v>8</v>
      </c>
      <c r="C314" s="1653" t="s">
        <v>4731</v>
      </c>
      <c r="D314" s="1455" t="s">
        <v>978</v>
      </c>
      <c r="E314" s="1652" t="s">
        <v>274</v>
      </c>
      <c r="F314" s="1455" t="s">
        <v>52</v>
      </c>
      <c r="G314" s="1414"/>
      <c r="H314" s="1455" t="s">
        <v>193</v>
      </c>
      <c r="I314" s="1501">
        <v>2013</v>
      </c>
      <c r="J314" s="1414"/>
      <c r="K314" s="1414"/>
      <c r="L314" s="1455"/>
      <c r="M314" s="1414"/>
      <c r="N314" s="1414"/>
      <c r="O314" s="1501" t="s">
        <v>12</v>
      </c>
      <c r="P314" s="1539">
        <v>14500000</v>
      </c>
      <c r="Q314" s="1598"/>
      <c r="U314" s="1397">
        <f>P314/2</f>
        <v>7250000</v>
      </c>
      <c r="V314" s="1477" t="str">
        <f t="shared" si="189"/>
        <v>02.04.03</v>
      </c>
      <c r="W314" s="1478" t="str">
        <f t="shared" si="177"/>
        <v>Alat Ukur</v>
      </c>
      <c r="X314" s="1478">
        <f t="shared" si="178"/>
        <v>5</v>
      </c>
      <c r="Y314" s="1401">
        <f t="shared" si="179"/>
        <v>2900000</v>
      </c>
      <c r="Z314" s="1444">
        <f t="shared" si="180"/>
        <v>1</v>
      </c>
      <c r="AA314" s="1401">
        <f t="shared" si="181"/>
        <v>2900000</v>
      </c>
      <c r="AB314" s="1401">
        <f t="shared" si="182"/>
        <v>2900000</v>
      </c>
      <c r="AC314" s="1401">
        <f t="shared" si="183"/>
        <v>2900000</v>
      </c>
      <c r="AD314" s="1401">
        <f t="shared" si="184"/>
        <v>2900000</v>
      </c>
      <c r="AE314" s="1479">
        <f t="shared" si="185"/>
        <v>2900000</v>
      </c>
      <c r="AF314" s="1479">
        <f t="shared" si="186"/>
        <v>0</v>
      </c>
      <c r="AG314" s="1479">
        <f t="shared" si="190"/>
        <v>0</v>
      </c>
      <c r="AH314" s="1479">
        <f t="shared" si="191"/>
        <v>14500000</v>
      </c>
      <c r="AI314" s="1645">
        <f t="shared" si="187"/>
        <v>2013</v>
      </c>
      <c r="AJ314" s="1401">
        <f t="shared" si="188"/>
        <v>0</v>
      </c>
      <c r="AK314" s="1401"/>
    </row>
    <row r="315" spans="1:38" s="1390" customFormat="1" ht="37" customHeight="1" x14ac:dyDescent="0.2">
      <c r="A315" s="1710" t="str">
        <f t="shared" si="151"/>
        <v>02.04.03.01</v>
      </c>
      <c r="B315" s="1426">
        <v>9</v>
      </c>
      <c r="C315" s="1653" t="s">
        <v>4731</v>
      </c>
      <c r="D315" s="1455" t="s">
        <v>979</v>
      </c>
      <c r="E315" s="1652" t="s">
        <v>274</v>
      </c>
      <c r="F315" s="1455" t="s">
        <v>52</v>
      </c>
      <c r="G315" s="1414"/>
      <c r="H315" s="1455" t="s">
        <v>193</v>
      </c>
      <c r="I315" s="1501">
        <v>2013</v>
      </c>
      <c r="J315" s="1414"/>
      <c r="K315" s="1414"/>
      <c r="L315" s="1455"/>
      <c r="M315" s="1414"/>
      <c r="N315" s="1414"/>
      <c r="O315" s="1501" t="s">
        <v>12</v>
      </c>
      <c r="P315" s="1539">
        <v>7000000</v>
      </c>
      <c r="Q315" s="1598"/>
      <c r="U315" s="1397">
        <f>P315/2</f>
        <v>3500000</v>
      </c>
      <c r="V315" s="1477" t="str">
        <f t="shared" si="189"/>
        <v>02.04.03</v>
      </c>
      <c r="W315" s="1478" t="str">
        <f t="shared" si="177"/>
        <v>Alat Ukur</v>
      </c>
      <c r="X315" s="1478">
        <f t="shared" si="178"/>
        <v>5</v>
      </c>
      <c r="Y315" s="1401">
        <f t="shared" si="179"/>
        <v>1400000</v>
      </c>
      <c r="Z315" s="1444">
        <f t="shared" si="180"/>
        <v>1</v>
      </c>
      <c r="AA315" s="1401">
        <f t="shared" si="181"/>
        <v>1400000</v>
      </c>
      <c r="AB315" s="1401">
        <f t="shared" si="182"/>
        <v>1400000</v>
      </c>
      <c r="AC315" s="1401">
        <f t="shared" si="183"/>
        <v>1400000</v>
      </c>
      <c r="AD315" s="1401">
        <f t="shared" si="184"/>
        <v>1400000</v>
      </c>
      <c r="AE315" s="1479">
        <f t="shared" si="185"/>
        <v>1400000</v>
      </c>
      <c r="AF315" s="1479">
        <f t="shared" si="186"/>
        <v>0</v>
      </c>
      <c r="AG315" s="1479">
        <f t="shared" si="190"/>
        <v>0</v>
      </c>
      <c r="AH315" s="1479">
        <f t="shared" si="191"/>
        <v>7000000</v>
      </c>
      <c r="AI315" s="1645">
        <f t="shared" si="187"/>
        <v>2013</v>
      </c>
      <c r="AJ315" s="1401">
        <f t="shared" si="188"/>
        <v>0</v>
      </c>
      <c r="AK315" s="1401"/>
    </row>
    <row r="316" spans="1:38" s="1390" customFormat="1" ht="37" customHeight="1" x14ac:dyDescent="0.2">
      <c r="A316" s="1710" t="str">
        <f t="shared" si="151"/>
        <v>02.04.03.09</v>
      </c>
      <c r="B316" s="1426">
        <v>10</v>
      </c>
      <c r="C316" s="1653" t="s">
        <v>4732</v>
      </c>
      <c r="D316" s="1455" t="s">
        <v>980</v>
      </c>
      <c r="E316" s="1652" t="s">
        <v>274</v>
      </c>
      <c r="F316" s="1455" t="s">
        <v>52</v>
      </c>
      <c r="G316" s="1414"/>
      <c r="H316" s="1455" t="s">
        <v>193</v>
      </c>
      <c r="I316" s="1501">
        <v>2013</v>
      </c>
      <c r="J316" s="1414"/>
      <c r="K316" s="1414"/>
      <c r="L316" s="1455"/>
      <c r="M316" s="1414"/>
      <c r="N316" s="1414"/>
      <c r="O316" s="1501" t="s">
        <v>12</v>
      </c>
      <c r="P316" s="1539">
        <v>7000000</v>
      </c>
      <c r="Q316" s="1712"/>
      <c r="U316" s="1397">
        <f>P316/2</f>
        <v>3500000</v>
      </c>
      <c r="V316" s="1477" t="str">
        <f t="shared" si="189"/>
        <v>02.04.03</v>
      </c>
      <c r="W316" s="1478" t="str">
        <f t="shared" si="177"/>
        <v>Alat Ukur</v>
      </c>
      <c r="X316" s="1478">
        <f t="shared" si="178"/>
        <v>5</v>
      </c>
      <c r="Y316" s="1401">
        <f t="shared" si="179"/>
        <v>1400000</v>
      </c>
      <c r="Z316" s="1444">
        <f t="shared" si="180"/>
        <v>1</v>
      </c>
      <c r="AA316" s="1401">
        <f t="shared" si="181"/>
        <v>1400000</v>
      </c>
      <c r="AB316" s="1401">
        <f t="shared" si="182"/>
        <v>1400000</v>
      </c>
      <c r="AC316" s="1401">
        <f t="shared" si="183"/>
        <v>1400000</v>
      </c>
      <c r="AD316" s="1401">
        <f t="shared" si="184"/>
        <v>1400000</v>
      </c>
      <c r="AE316" s="1479">
        <f t="shared" si="185"/>
        <v>1400000</v>
      </c>
      <c r="AF316" s="1479">
        <f t="shared" si="186"/>
        <v>0</v>
      </c>
      <c r="AG316" s="1479">
        <f t="shared" si="190"/>
        <v>0</v>
      </c>
      <c r="AH316" s="1479">
        <f t="shared" si="191"/>
        <v>7000000</v>
      </c>
      <c r="AI316" s="1645">
        <f t="shared" si="187"/>
        <v>2013</v>
      </c>
      <c r="AJ316" s="1401">
        <f t="shared" si="188"/>
        <v>0</v>
      </c>
      <c r="AK316" s="1401"/>
    </row>
    <row r="317" spans="1:38" s="1390" customFormat="1" ht="37" customHeight="1" x14ac:dyDescent="0.2">
      <c r="A317" s="1710" t="str">
        <f t="shared" si="151"/>
        <v>02.04.03.01</v>
      </c>
      <c r="B317" s="1426">
        <v>11</v>
      </c>
      <c r="C317" s="1653" t="s">
        <v>4731</v>
      </c>
      <c r="D317" s="1455" t="s">
        <v>979</v>
      </c>
      <c r="E317" s="1652" t="s">
        <v>283</v>
      </c>
      <c r="F317" s="1455" t="s">
        <v>52</v>
      </c>
      <c r="G317" s="1414"/>
      <c r="H317" s="1455" t="s">
        <v>281</v>
      </c>
      <c r="I317" s="1501">
        <v>2014</v>
      </c>
      <c r="J317" s="1414"/>
      <c r="K317" s="1414"/>
      <c r="L317" s="1455"/>
      <c r="M317" s="1414"/>
      <c r="N317" s="1414"/>
      <c r="O317" s="1501" t="s">
        <v>12</v>
      </c>
      <c r="P317" s="1539">
        <v>6500000</v>
      </c>
      <c r="Q317" s="1598"/>
      <c r="U317" s="1397">
        <f>P317/2</f>
        <v>3250000</v>
      </c>
      <c r="V317" s="1477" t="str">
        <f t="shared" si="189"/>
        <v>02.04.03</v>
      </c>
      <c r="W317" s="1478" t="str">
        <f t="shared" si="177"/>
        <v>Alat Ukur</v>
      </c>
      <c r="X317" s="1478">
        <f t="shared" si="178"/>
        <v>5</v>
      </c>
      <c r="Y317" s="1401">
        <f t="shared" si="179"/>
        <v>1300000</v>
      </c>
      <c r="Z317" s="1444">
        <f t="shared" si="180"/>
        <v>0</v>
      </c>
      <c r="AA317" s="1401">
        <f t="shared" si="181"/>
        <v>0</v>
      </c>
      <c r="AB317" s="1401">
        <f t="shared" si="182"/>
        <v>1300000</v>
      </c>
      <c r="AC317" s="1401">
        <f t="shared" si="183"/>
        <v>1300000</v>
      </c>
      <c r="AD317" s="1401">
        <f t="shared" si="184"/>
        <v>1300000</v>
      </c>
      <c r="AE317" s="1401">
        <f t="shared" si="185"/>
        <v>1300000</v>
      </c>
      <c r="AF317" s="1479">
        <f t="shared" si="186"/>
        <v>1300000</v>
      </c>
      <c r="AG317" s="1479">
        <f t="shared" si="190"/>
        <v>0</v>
      </c>
      <c r="AH317" s="1479">
        <f t="shared" si="191"/>
        <v>6500000</v>
      </c>
      <c r="AI317" s="1645">
        <f t="shared" si="187"/>
        <v>2014</v>
      </c>
      <c r="AJ317" s="1401">
        <f t="shared" si="188"/>
        <v>0</v>
      </c>
      <c r="AK317" s="1401"/>
    </row>
    <row r="318" spans="1:38" s="1390" customFormat="1" ht="37" customHeight="1" x14ac:dyDescent="0.2">
      <c r="A318" s="1710" t="str">
        <f t="shared" si="151"/>
        <v>02.04.03.01</v>
      </c>
      <c r="B318" s="1426">
        <v>12</v>
      </c>
      <c r="C318" s="1653" t="s">
        <v>4730</v>
      </c>
      <c r="D318" s="1455" t="s">
        <v>326</v>
      </c>
      <c r="E318" s="1652"/>
      <c r="F318" s="1455" t="s">
        <v>52</v>
      </c>
      <c r="G318" s="1414"/>
      <c r="H318" s="1455" t="s">
        <v>52</v>
      </c>
      <c r="I318" s="1501">
        <v>2017</v>
      </c>
      <c r="J318" s="1414"/>
      <c r="K318" s="1414"/>
      <c r="L318" s="1455"/>
      <c r="M318" s="1414"/>
      <c r="N318" s="1414"/>
      <c r="O318" s="1501" t="s">
        <v>12</v>
      </c>
      <c r="P318" s="1539">
        <v>9900000</v>
      </c>
      <c r="Q318" s="1598" t="s">
        <v>4733</v>
      </c>
      <c r="V318" s="1477" t="str">
        <f t="shared" si="189"/>
        <v>02.04.03</v>
      </c>
      <c r="W318" s="1478" t="str">
        <f t="shared" si="177"/>
        <v>Alat Ukur</v>
      </c>
      <c r="X318" s="1478">
        <f t="shared" si="178"/>
        <v>5</v>
      </c>
      <c r="Y318" s="1401">
        <f t="shared" si="179"/>
        <v>1980000</v>
      </c>
      <c r="Z318" s="1444">
        <f t="shared" si="180"/>
        <v>0</v>
      </c>
      <c r="AA318" s="1401">
        <f t="shared" si="181"/>
        <v>0</v>
      </c>
      <c r="AB318" s="1401"/>
      <c r="AC318" s="1401"/>
      <c r="AD318" s="1401"/>
      <c r="AE318" s="1479">
        <f t="shared" si="185"/>
        <v>1980000</v>
      </c>
      <c r="AF318" s="1479">
        <f>IF(P318-10=AA318+AB318+AC318+AD318+AE318,0,Y318)</f>
        <v>1980000</v>
      </c>
      <c r="AG318" s="1479">
        <f t="shared" si="190"/>
        <v>1980000</v>
      </c>
      <c r="AH318" s="1479">
        <f t="shared" si="191"/>
        <v>5940000</v>
      </c>
      <c r="AI318" s="1645">
        <f t="shared" si="187"/>
        <v>2017</v>
      </c>
      <c r="AJ318" s="1401">
        <f t="shared" si="188"/>
        <v>3960000</v>
      </c>
      <c r="AK318" s="1401"/>
    </row>
    <row r="319" spans="1:38" s="1390" customFormat="1" ht="37" customHeight="1" x14ac:dyDescent="0.2">
      <c r="A319" s="1710" t="str">
        <f t="shared" si="151"/>
        <v/>
      </c>
      <c r="B319" s="1715"/>
      <c r="C319" s="1653" t="s">
        <v>52</v>
      </c>
      <c r="D319" s="1455" t="s">
        <v>52</v>
      </c>
      <c r="E319" s="1652"/>
      <c r="F319" s="1455" t="s">
        <v>52</v>
      </c>
      <c r="G319" s="1414"/>
      <c r="H319" s="1455" t="s">
        <v>52</v>
      </c>
      <c r="I319" s="1501"/>
      <c r="J319" s="1414"/>
      <c r="K319" s="1414"/>
      <c r="L319" s="1455"/>
      <c r="M319" s="1414"/>
      <c r="N319" s="1414"/>
      <c r="O319" s="1501"/>
      <c r="P319" s="1539"/>
      <c r="Q319" s="1598"/>
      <c r="W319" s="1444"/>
      <c r="Y319" s="1401"/>
      <c r="AA319" s="1401"/>
      <c r="AB319" s="1401"/>
      <c r="AC319" s="1401"/>
      <c r="AD319" s="1401"/>
      <c r="AE319" s="1401"/>
      <c r="AF319" s="1401"/>
      <c r="AG319" s="1401"/>
      <c r="AH319" s="1401"/>
      <c r="AJ319" s="1401"/>
      <c r="AK319" s="1401"/>
    </row>
    <row r="320" spans="1:38" s="1390" customFormat="1" ht="37" customHeight="1" x14ac:dyDescent="0.2">
      <c r="A320" s="1710" t="str">
        <f t="shared" si="151"/>
        <v>ALAT-ALAT K</v>
      </c>
      <c r="B320" s="1716" t="s">
        <v>329</v>
      </c>
      <c r="C320" s="1691" t="s">
        <v>924</v>
      </c>
      <c r="D320" s="1563" t="s">
        <v>860</v>
      </c>
      <c r="E320" s="1416"/>
      <c r="F320" s="1455" t="s">
        <v>52</v>
      </c>
      <c r="G320" s="1414"/>
      <c r="H320" s="1455" t="s">
        <v>52</v>
      </c>
      <c r="I320" s="1501"/>
      <c r="J320" s="1414"/>
      <c r="K320" s="1414"/>
      <c r="L320" s="1455"/>
      <c r="M320" s="1414"/>
      <c r="N320" s="1414"/>
      <c r="O320" s="1501"/>
      <c r="P320" s="1539"/>
      <c r="Q320" s="1598"/>
      <c r="W320" s="1444">
        <f>IF(P320&lt;300000,P320,"0")</f>
        <v>0</v>
      </c>
      <c r="Y320" s="1401"/>
      <c r="AA320" s="1401"/>
      <c r="AB320" s="1401"/>
      <c r="AC320" s="1401"/>
      <c r="AD320" s="1401"/>
      <c r="AE320" s="1401"/>
      <c r="AF320" s="1401">
        <f>AF321</f>
        <v>0</v>
      </c>
      <c r="AG320" s="1401"/>
      <c r="AH320" s="1401">
        <f>AH321</f>
        <v>0</v>
      </c>
      <c r="AJ320" s="1401">
        <f>AJ321</f>
        <v>0</v>
      </c>
      <c r="AK320" s="1401"/>
    </row>
    <row r="321" spans="1:38" s="1390" customFormat="1" ht="37" customHeight="1" x14ac:dyDescent="0.2">
      <c r="A321" s="1710" t="str">
        <f t="shared" si="151"/>
        <v/>
      </c>
      <c r="B321" s="1715"/>
      <c r="C321" s="1653" t="s">
        <v>52</v>
      </c>
      <c r="D321" s="1599" t="s">
        <v>52</v>
      </c>
      <c r="E321" s="1416"/>
      <c r="F321" s="1455" t="s">
        <v>52</v>
      </c>
      <c r="G321" s="1414"/>
      <c r="H321" s="1455" t="s">
        <v>52</v>
      </c>
      <c r="I321" s="1501"/>
      <c r="J321" s="1414"/>
      <c r="K321" s="1414"/>
      <c r="L321" s="1455"/>
      <c r="M321" s="1414"/>
      <c r="N321" s="1414"/>
      <c r="O321" s="1501"/>
      <c r="P321" s="1539">
        <v>0</v>
      </c>
      <c r="Q321" s="1598"/>
      <c r="W321" s="1444">
        <f>IF(P321&lt;300000,P321,"0")</f>
        <v>0</v>
      </c>
      <c r="Y321" s="1401"/>
      <c r="AA321" s="1401"/>
      <c r="AB321" s="1401"/>
      <c r="AC321" s="1401"/>
      <c r="AD321" s="1401"/>
      <c r="AE321" s="1401"/>
      <c r="AF321" s="1401"/>
      <c r="AG321" s="1401"/>
      <c r="AH321" s="1401"/>
      <c r="AJ321" s="1401"/>
      <c r="AK321" s="1401"/>
    </row>
    <row r="322" spans="1:38" s="1407" customFormat="1" ht="37" customHeight="1" x14ac:dyDescent="0.2">
      <c r="A322" s="1710" t="str">
        <f t="shared" si="151"/>
        <v>ALAT-ALAT L</v>
      </c>
      <c r="B322" s="1441" t="s">
        <v>330</v>
      </c>
      <c r="C322" s="1691" t="s">
        <v>925</v>
      </c>
      <c r="D322" s="1563" t="s">
        <v>860</v>
      </c>
      <c r="E322" s="1469"/>
      <c r="F322" s="1508" t="s">
        <v>52</v>
      </c>
      <c r="G322" s="1508"/>
      <c r="H322" s="1508" t="s">
        <v>52</v>
      </c>
      <c r="I322" s="1469"/>
      <c r="J322" s="1508"/>
      <c r="K322" s="1508"/>
      <c r="L322" s="1508"/>
      <c r="M322" s="1508"/>
      <c r="N322" s="1508"/>
      <c r="O322" s="1469"/>
      <c r="P322" s="1506">
        <v>0</v>
      </c>
      <c r="Q322" s="1601"/>
      <c r="W322" s="1444">
        <f>IF(P322&lt;300000,P322,"0")</f>
        <v>0</v>
      </c>
      <c r="Y322" s="1446"/>
      <c r="AA322" s="1446">
        <f>AA323</f>
        <v>0</v>
      </c>
      <c r="AB322" s="1446">
        <f t="shared" ref="AB322:AJ322" si="192">AB323</f>
        <v>0</v>
      </c>
      <c r="AC322" s="1446">
        <f t="shared" si="192"/>
        <v>0</v>
      </c>
      <c r="AD322" s="1446">
        <f t="shared" si="192"/>
        <v>0</v>
      </c>
      <c r="AE322" s="1446">
        <f t="shared" si="192"/>
        <v>0</v>
      </c>
      <c r="AF322" s="1446">
        <f t="shared" si="192"/>
        <v>0</v>
      </c>
      <c r="AG322" s="1446"/>
      <c r="AH322" s="1565">
        <f t="shared" si="192"/>
        <v>0</v>
      </c>
      <c r="AI322" s="1565">
        <f t="shared" si="192"/>
        <v>0</v>
      </c>
      <c r="AJ322" s="1446">
        <f t="shared" si="192"/>
        <v>0</v>
      </c>
      <c r="AK322" s="1446"/>
      <c r="AL322" s="1565"/>
    </row>
    <row r="323" spans="1:38" s="1390" customFormat="1" ht="37" customHeight="1" x14ac:dyDescent="0.2">
      <c r="A323" s="1710" t="str">
        <f t="shared" si="151"/>
        <v/>
      </c>
      <c r="B323" s="1715"/>
      <c r="C323" s="1414" t="s">
        <v>52</v>
      </c>
      <c r="D323" s="1414" t="s">
        <v>52</v>
      </c>
      <c r="E323" s="1416"/>
      <c r="F323" s="1414" t="s">
        <v>52</v>
      </c>
      <c r="G323" s="1414"/>
      <c r="H323" s="1414" t="s">
        <v>52</v>
      </c>
      <c r="I323" s="1416"/>
      <c r="J323" s="1414"/>
      <c r="K323" s="1414"/>
      <c r="L323" s="1414"/>
      <c r="M323" s="1414"/>
      <c r="N323" s="1414"/>
      <c r="O323" s="1416"/>
      <c r="P323" s="1529"/>
      <c r="Q323" s="1596"/>
      <c r="W323" s="1444">
        <f>IF(P323&lt;300000,P323,"0")</f>
        <v>0</v>
      </c>
      <c r="Y323" s="1401"/>
      <c r="AA323" s="1401"/>
      <c r="AB323" s="1401"/>
      <c r="AC323" s="1401"/>
      <c r="AD323" s="1401"/>
      <c r="AE323" s="1401"/>
      <c r="AF323" s="1401"/>
      <c r="AG323" s="1401"/>
      <c r="AH323" s="1401"/>
      <c r="AJ323" s="1401"/>
      <c r="AK323" s="1401"/>
    </row>
    <row r="324" spans="1:38" s="1407" customFormat="1" ht="37" customHeight="1" x14ac:dyDescent="0.2">
      <c r="A324" s="1710" t="str">
        <f t="shared" si="151"/>
        <v>ALAT-ALAT K</v>
      </c>
      <c r="B324" s="1441" t="s">
        <v>381</v>
      </c>
      <c r="C324" s="1691" t="s">
        <v>926</v>
      </c>
      <c r="D324" s="1508"/>
      <c r="E324" s="1469"/>
      <c r="F324" s="1508" t="s">
        <v>52</v>
      </c>
      <c r="G324" s="1508"/>
      <c r="H324" s="1508" t="s">
        <v>52</v>
      </c>
      <c r="I324" s="1469"/>
      <c r="J324" s="1508"/>
      <c r="K324" s="1508"/>
      <c r="L324" s="1508"/>
      <c r="M324" s="1508"/>
      <c r="N324" s="1508"/>
      <c r="O324" s="1469"/>
      <c r="P324" s="1506">
        <f>P325</f>
        <v>1600000</v>
      </c>
      <c r="Q324" s="1601"/>
      <c r="W324" s="1444" t="str">
        <f>IF(P324&lt;300000,P324,"0")</f>
        <v>0</v>
      </c>
      <c r="Y324" s="1446"/>
      <c r="AA324" s="1446">
        <f>AA325</f>
        <v>1600000</v>
      </c>
      <c r="AB324" s="1446">
        <f>AB325</f>
        <v>0</v>
      </c>
      <c r="AC324" s="1446">
        <f>AC325</f>
        <v>0</v>
      </c>
      <c r="AD324" s="1446">
        <f>AD325</f>
        <v>0</v>
      </c>
      <c r="AE324" s="1446">
        <f>AE325</f>
        <v>0</v>
      </c>
      <c r="AF324" s="1446">
        <f>SUM(AF325:AF325)</f>
        <v>0</v>
      </c>
      <c r="AG324" s="1446"/>
      <c r="AH324" s="1446">
        <f>SUM(AH325:AH325)</f>
        <v>1600000</v>
      </c>
      <c r="AI324" s="1446">
        <f>SUM(AI325:AI325)</f>
        <v>2008</v>
      </c>
      <c r="AJ324" s="1446">
        <f>SUM(AJ325:AJ325)</f>
        <v>0</v>
      </c>
      <c r="AK324" s="1446"/>
    </row>
    <row r="325" spans="1:38" s="1390" customFormat="1" ht="37" customHeight="1" x14ac:dyDescent="0.2">
      <c r="A325" s="1710" t="str">
        <f t="shared" si="151"/>
        <v>02.10.02.01</v>
      </c>
      <c r="B325" s="1426">
        <v>1</v>
      </c>
      <c r="C325" s="1455" t="s">
        <v>4734</v>
      </c>
      <c r="D325" s="1455" t="s">
        <v>990</v>
      </c>
      <c r="E325" s="1416"/>
      <c r="F325" s="1455" t="s">
        <v>1006</v>
      </c>
      <c r="G325" s="1414" t="s">
        <v>383</v>
      </c>
      <c r="H325" s="1455" t="s">
        <v>191</v>
      </c>
      <c r="I325" s="1501">
        <v>2008</v>
      </c>
      <c r="J325" s="1414"/>
      <c r="K325" s="1414"/>
      <c r="L325" s="1414"/>
      <c r="M325" s="1414"/>
      <c r="N325" s="1414"/>
      <c r="O325" s="1501" t="s">
        <v>12</v>
      </c>
      <c r="P325" s="1539">
        <v>1600000</v>
      </c>
      <c r="Q325" s="1596"/>
      <c r="V325" s="1477" t="str">
        <f>LEFT(C325,8)</f>
        <v>02.10.02</v>
      </c>
      <c r="W325" s="1478" t="str">
        <f>VLOOKUP(V325,UE,3)</f>
        <v>Persenjataan Non Senjata Api</v>
      </c>
      <c r="X325" s="1478">
        <f>VLOOKUP(V325,UE,4,FALSE)</f>
        <v>3</v>
      </c>
      <c r="Y325" s="1401">
        <f>P325/X325</f>
        <v>533333.33333333337</v>
      </c>
      <c r="Z325" s="1444">
        <f>IF(2013-I325+1&gt;X325,X325,IF(2013-I325+1&lt;0,0,(2013-I325+1)))</f>
        <v>3</v>
      </c>
      <c r="AA325" s="1401">
        <f>IF(Z325&gt;X325,P325,Y325*Z325)</f>
        <v>1600000</v>
      </c>
      <c r="AB325" s="1401">
        <f>IF(P325=AA325,0,Y325)</f>
        <v>0</v>
      </c>
      <c r="AC325" s="1401">
        <f>IF(P325=AA325+AB325,0,Y325)</f>
        <v>0</v>
      </c>
      <c r="AD325" s="1401">
        <f>IF(P325=AA325+AB325+AC325,0,Y325)</f>
        <v>0</v>
      </c>
      <c r="AE325" s="1479">
        <f>IF(P325=AA325+AB325+AC325+AD325,0,Y325)</f>
        <v>0</v>
      </c>
      <c r="AF325" s="1479">
        <f>IF(P325=AA325+AB325+AC325+AD325+AE325,0,Y325)</f>
        <v>0</v>
      </c>
      <c r="AG325" s="1479">
        <f>IF(P325=AA325+AB325+AC325+AD325+AE325+AF325,0,Y325)</f>
        <v>0</v>
      </c>
      <c r="AH325" s="1479">
        <f>SUM(AA325:AG325)</f>
        <v>1600000</v>
      </c>
      <c r="AI325" s="1645">
        <f>I325</f>
        <v>2008</v>
      </c>
      <c r="AJ325" s="1401">
        <f>P325-AH325</f>
        <v>0</v>
      </c>
      <c r="AK325" s="1401"/>
    </row>
    <row r="326" spans="1:38" s="1390" customFormat="1" ht="37" customHeight="1" thickBot="1" x14ac:dyDescent="0.25">
      <c r="B326" s="1717"/>
      <c r="C326" s="1566"/>
      <c r="D326" s="1566"/>
      <c r="E326" s="1458"/>
      <c r="F326" s="1566" t="s">
        <v>52</v>
      </c>
      <c r="G326" s="1566"/>
      <c r="H326" s="1566" t="s">
        <v>52</v>
      </c>
      <c r="I326" s="1458"/>
      <c r="J326" s="1566"/>
      <c r="K326" s="1566"/>
      <c r="L326" s="1566"/>
      <c r="M326" s="1566"/>
      <c r="N326" s="1566"/>
      <c r="O326" s="1458"/>
      <c r="P326" s="1570"/>
      <c r="Q326" s="1718"/>
      <c r="W326" s="1444">
        <f>IF(P326&lt;300000,P326,"0")</f>
        <v>0</v>
      </c>
      <c r="Y326" s="1401"/>
      <c r="AA326" s="1401"/>
      <c r="AB326" s="1401"/>
      <c r="AC326" s="1401"/>
      <c r="AD326" s="1401"/>
      <c r="AE326" s="1401"/>
      <c r="AF326" s="1401"/>
      <c r="AG326" s="1401"/>
      <c r="AH326" s="1401"/>
      <c r="AJ326" s="1401"/>
      <c r="AK326" s="1401"/>
    </row>
    <row r="327" spans="1:38" s="1390" customFormat="1" x14ac:dyDescent="0.2">
      <c r="E327" s="1391"/>
      <c r="I327" s="1391"/>
      <c r="O327" s="1391"/>
      <c r="P327" s="1401"/>
      <c r="Q327" s="1472"/>
      <c r="W327" s="1444"/>
      <c r="Y327" s="1401"/>
      <c r="AA327" s="1401"/>
      <c r="AB327" s="1401"/>
      <c r="AC327" s="1401"/>
      <c r="AD327" s="1401"/>
      <c r="AE327" s="1401"/>
      <c r="AF327" s="1401"/>
      <c r="AG327" s="1401"/>
      <c r="AH327" s="1401"/>
      <c r="AJ327" s="1401"/>
      <c r="AK327" s="1401"/>
    </row>
    <row r="328" spans="1:38" s="1407" customFormat="1" ht="20" customHeight="1" x14ac:dyDescent="0.2">
      <c r="E328" s="1424"/>
      <c r="I328" s="1424"/>
      <c r="M328" s="1857"/>
      <c r="N328" s="1857"/>
      <c r="O328" s="1857"/>
      <c r="P328" s="1857"/>
      <c r="Q328" s="1488"/>
      <c r="W328" s="1448"/>
      <c r="Y328" s="1446"/>
      <c r="AA328" s="1446"/>
      <c r="AB328" s="1446"/>
      <c r="AC328" s="1446"/>
      <c r="AD328" s="1446"/>
      <c r="AE328" s="1446"/>
      <c r="AF328" s="1446"/>
      <c r="AG328" s="1446"/>
      <c r="AH328" s="1446"/>
      <c r="AJ328" s="1446"/>
      <c r="AK328" s="1446"/>
    </row>
    <row r="329" spans="1:38" s="1407" customFormat="1" ht="20" customHeight="1" x14ac:dyDescent="0.2">
      <c r="C329" s="1857" t="s">
        <v>22</v>
      </c>
      <c r="D329" s="1857"/>
      <c r="E329" s="1857"/>
      <c r="F329" s="1857"/>
      <c r="I329" s="1424"/>
      <c r="M329" s="1857" t="s">
        <v>5491</v>
      </c>
      <c r="N329" s="1857"/>
      <c r="O329" s="1857"/>
      <c r="P329" s="1857"/>
      <c r="Q329" s="1488"/>
      <c r="W329" s="1448"/>
      <c r="Y329" s="1446"/>
      <c r="AA329" s="1446"/>
      <c r="AB329" s="1446"/>
      <c r="AC329" s="1446"/>
      <c r="AD329" s="1446"/>
      <c r="AE329" s="1446"/>
      <c r="AF329" s="1446"/>
      <c r="AG329" s="1446"/>
      <c r="AH329" s="1446"/>
      <c r="AJ329" s="1446"/>
      <c r="AK329" s="1446"/>
    </row>
    <row r="330" spans="1:38" s="1407" customFormat="1" ht="20" customHeight="1" x14ac:dyDescent="0.2">
      <c r="C330" s="1857" t="s">
        <v>4374</v>
      </c>
      <c r="D330" s="1857"/>
      <c r="E330" s="1857"/>
      <c r="F330" s="1857"/>
      <c r="I330" s="1424"/>
      <c r="M330" s="1857" t="s">
        <v>24</v>
      </c>
      <c r="N330" s="1857"/>
      <c r="O330" s="1857"/>
      <c r="P330" s="1857"/>
      <c r="Q330" s="1488"/>
      <c r="W330" s="1448"/>
      <c r="Y330" s="1446"/>
      <c r="AA330" s="1446"/>
      <c r="AB330" s="1446"/>
      <c r="AC330" s="1446"/>
      <c r="AD330" s="1446"/>
      <c r="AE330" s="1446"/>
      <c r="AF330" s="1446"/>
      <c r="AG330" s="1446"/>
      <c r="AH330" s="1446"/>
      <c r="AJ330" s="1446"/>
      <c r="AK330" s="1446"/>
    </row>
    <row r="331" spans="1:38" s="1407" customFormat="1" ht="20" customHeight="1" x14ac:dyDescent="0.2">
      <c r="C331" s="1857" t="s">
        <v>25</v>
      </c>
      <c r="D331" s="1857"/>
      <c r="E331" s="1857"/>
      <c r="F331" s="1857"/>
      <c r="I331" s="1424"/>
      <c r="O331" s="1424"/>
      <c r="P331" s="1446"/>
      <c r="Q331" s="1488"/>
      <c r="W331" s="1448"/>
      <c r="Y331" s="1446"/>
      <c r="AA331" s="1446"/>
      <c r="AB331" s="1446"/>
      <c r="AC331" s="1446"/>
      <c r="AD331" s="1446"/>
      <c r="AE331" s="1446"/>
      <c r="AF331" s="1446"/>
      <c r="AG331" s="1446"/>
      <c r="AH331" s="1446"/>
      <c r="AJ331" s="1446"/>
      <c r="AK331" s="1446"/>
    </row>
    <row r="332" spans="1:38" s="1407" customFormat="1" ht="20" customHeight="1" x14ac:dyDescent="0.2">
      <c r="C332" s="1857"/>
      <c r="D332" s="1857"/>
      <c r="E332" s="1857"/>
      <c r="F332" s="1857"/>
      <c r="I332" s="1424"/>
      <c r="O332" s="1424"/>
      <c r="P332" s="1446"/>
      <c r="Q332" s="1488"/>
      <c r="W332" s="1448"/>
      <c r="Y332" s="1446"/>
      <c r="AA332" s="1446"/>
      <c r="AB332" s="1446"/>
      <c r="AC332" s="1446"/>
      <c r="AD332" s="1446"/>
      <c r="AE332" s="1446"/>
      <c r="AF332" s="1446"/>
      <c r="AG332" s="1446"/>
      <c r="AH332" s="1446"/>
      <c r="AJ332" s="1446"/>
      <c r="AK332" s="1446"/>
    </row>
    <row r="333" spans="1:38" s="1407" customFormat="1" ht="20" customHeight="1" x14ac:dyDescent="0.2">
      <c r="C333" s="1857"/>
      <c r="D333" s="1857"/>
      <c r="E333" s="1857"/>
      <c r="F333" s="1857"/>
      <c r="I333" s="1424"/>
      <c r="O333" s="1424"/>
      <c r="P333" s="1446"/>
      <c r="Q333" s="1488"/>
      <c r="W333" s="1448"/>
      <c r="Y333" s="1446"/>
      <c r="AA333" s="1446"/>
      <c r="AB333" s="1446"/>
      <c r="AC333" s="1446"/>
      <c r="AD333" s="1446"/>
      <c r="AE333" s="1446"/>
      <c r="AF333" s="1446"/>
      <c r="AG333" s="1446"/>
      <c r="AH333" s="1446"/>
      <c r="AJ333" s="1446"/>
      <c r="AK333" s="1446"/>
    </row>
    <row r="334" spans="1:38" s="1407" customFormat="1" ht="20" customHeight="1" x14ac:dyDescent="0.2">
      <c r="C334" s="1857"/>
      <c r="D334" s="1857"/>
      <c r="E334" s="1857"/>
      <c r="F334" s="1857"/>
      <c r="I334" s="1424"/>
      <c r="O334" s="1424"/>
      <c r="P334" s="1446"/>
      <c r="Q334" s="1488"/>
      <c r="W334" s="1448"/>
      <c r="Y334" s="1446"/>
      <c r="AA334" s="1446"/>
      <c r="AB334" s="1446"/>
      <c r="AC334" s="1446"/>
      <c r="AD334" s="1446"/>
      <c r="AE334" s="1446"/>
      <c r="AF334" s="1446"/>
      <c r="AG334" s="1446"/>
      <c r="AH334" s="1446"/>
      <c r="AJ334" s="1446"/>
      <c r="AK334" s="1446"/>
    </row>
    <row r="335" spans="1:38" s="1407" customFormat="1" ht="20" customHeight="1" x14ac:dyDescent="0.2">
      <c r="C335" s="1857"/>
      <c r="D335" s="1857"/>
      <c r="E335" s="1857"/>
      <c r="F335" s="1857"/>
      <c r="I335" s="1424"/>
      <c r="O335" s="1424"/>
      <c r="P335" s="1446"/>
      <c r="Q335" s="1488"/>
      <c r="W335" s="1448"/>
      <c r="Y335" s="1446"/>
      <c r="AA335" s="1446"/>
      <c r="AB335" s="1446"/>
      <c r="AC335" s="1446"/>
      <c r="AD335" s="1446"/>
      <c r="AE335" s="1446"/>
      <c r="AF335" s="1446"/>
      <c r="AG335" s="1446"/>
      <c r="AH335" s="1446"/>
      <c r="AJ335" s="1446"/>
      <c r="AK335" s="1446"/>
    </row>
    <row r="336" spans="1:38" s="1407" customFormat="1" ht="20" customHeight="1" x14ac:dyDescent="0.2">
      <c r="C336" s="1857"/>
      <c r="D336" s="1857"/>
      <c r="E336" s="1857"/>
      <c r="F336" s="1857"/>
      <c r="I336" s="1424"/>
      <c r="O336" s="1424"/>
      <c r="P336" s="1446"/>
      <c r="Q336" s="1488"/>
      <c r="W336" s="1448"/>
      <c r="Y336" s="1446"/>
      <c r="AA336" s="1446"/>
      <c r="AB336" s="1446"/>
      <c r="AC336" s="1446"/>
      <c r="AD336" s="1446"/>
      <c r="AE336" s="1446"/>
      <c r="AF336" s="1446"/>
      <c r="AG336" s="1446"/>
      <c r="AH336" s="1446"/>
      <c r="AJ336" s="1446"/>
      <c r="AK336" s="1446"/>
    </row>
    <row r="337" spans="2:37" s="1407" customFormat="1" ht="20" customHeight="1" x14ac:dyDescent="0.2">
      <c r="B337" s="1450"/>
      <c r="C337" s="1858" t="s">
        <v>4375</v>
      </c>
      <c r="D337" s="1858"/>
      <c r="E337" s="1858"/>
      <c r="F337" s="1858"/>
      <c r="I337" s="1424"/>
      <c r="M337" s="1858" t="s">
        <v>27</v>
      </c>
      <c r="N337" s="1858"/>
      <c r="O337" s="1858"/>
      <c r="P337" s="1858"/>
      <c r="Q337" s="1488"/>
      <c r="W337" s="1448"/>
      <c r="Y337" s="1446"/>
      <c r="AA337" s="1446"/>
      <c r="AB337" s="1446"/>
      <c r="AC337" s="1446"/>
      <c r="AD337" s="1446"/>
      <c r="AE337" s="1446"/>
      <c r="AF337" s="1446"/>
      <c r="AG337" s="1446"/>
      <c r="AH337" s="1446"/>
      <c r="AJ337" s="1446"/>
      <c r="AK337" s="1446"/>
    </row>
    <row r="338" spans="2:37" s="1407" customFormat="1" ht="20" customHeight="1" x14ac:dyDescent="0.2">
      <c r="C338" s="1857" t="s">
        <v>4376</v>
      </c>
      <c r="D338" s="1857"/>
      <c r="E338" s="1857"/>
      <c r="F338" s="1857"/>
      <c r="I338" s="1424"/>
      <c r="M338" s="1857" t="s">
        <v>29</v>
      </c>
      <c r="N338" s="1857"/>
      <c r="O338" s="1857"/>
      <c r="P338" s="1857"/>
      <c r="Q338" s="1488"/>
      <c r="W338" s="1448"/>
      <c r="Y338" s="1446"/>
      <c r="AA338" s="1446"/>
      <c r="AB338" s="1446"/>
      <c r="AC338" s="1446"/>
      <c r="AD338" s="1446"/>
      <c r="AE338" s="1446"/>
      <c r="AF338" s="1446"/>
      <c r="AG338" s="1446"/>
      <c r="AH338" s="1446"/>
      <c r="AJ338" s="1446"/>
      <c r="AK338" s="1446"/>
    </row>
    <row r="339" spans="2:37" x14ac:dyDescent="0.2">
      <c r="B339" s="857"/>
      <c r="C339" s="857"/>
      <c r="D339" s="857"/>
      <c r="E339" s="1342"/>
      <c r="F339" s="857"/>
      <c r="G339" s="857"/>
      <c r="H339" s="857"/>
      <c r="I339" s="997"/>
      <c r="J339" s="857"/>
      <c r="K339" s="857"/>
      <c r="L339" s="857"/>
      <c r="M339" s="857"/>
      <c r="N339" s="857"/>
      <c r="O339" s="1342"/>
      <c r="P339" s="868"/>
      <c r="Q339" s="887"/>
    </row>
    <row r="340" spans="2:37" x14ac:dyDescent="0.2">
      <c r="B340" s="857"/>
      <c r="C340" s="857"/>
      <c r="D340" s="857"/>
      <c r="E340" s="1342"/>
      <c r="F340" s="857"/>
      <c r="G340" s="857"/>
      <c r="H340" s="857"/>
      <c r="I340" s="997"/>
      <c r="J340" s="857"/>
      <c r="K340" s="857"/>
      <c r="L340" s="857"/>
      <c r="M340" s="857"/>
      <c r="N340" s="857"/>
      <c r="O340" s="1342"/>
      <c r="P340" s="868"/>
      <c r="Q340" s="887"/>
    </row>
    <row r="341" spans="2:37" x14ac:dyDescent="0.2">
      <c r="B341" s="857"/>
      <c r="C341" s="857"/>
      <c r="D341" s="857"/>
      <c r="E341" s="1342"/>
      <c r="F341" s="857"/>
      <c r="G341" s="857"/>
      <c r="H341" s="857"/>
      <c r="I341" s="997"/>
      <c r="J341" s="857"/>
      <c r="K341" s="857"/>
      <c r="L341" s="857"/>
      <c r="M341" s="857"/>
      <c r="N341" s="857"/>
      <c r="O341" s="1342"/>
      <c r="P341" s="868"/>
      <c r="Q341" s="887"/>
    </row>
    <row r="342" spans="2:37" x14ac:dyDescent="0.2">
      <c r="B342" s="857"/>
      <c r="C342" s="857"/>
      <c r="D342" s="857"/>
      <c r="E342" s="1342"/>
      <c r="F342" s="857"/>
      <c r="G342" s="857"/>
      <c r="H342" s="857"/>
      <c r="I342" s="997"/>
      <c r="J342" s="857"/>
      <c r="K342" s="857"/>
      <c r="L342" s="857"/>
      <c r="M342" s="857"/>
      <c r="N342" s="857"/>
      <c r="O342" s="1342"/>
      <c r="P342" s="868"/>
      <c r="Q342" s="887"/>
    </row>
  </sheetData>
  <mergeCells count="53">
    <mergeCell ref="AG7:AG9"/>
    <mergeCell ref="M337:P337"/>
    <mergeCell ref="M338:P338"/>
    <mergeCell ref="M328:P328"/>
    <mergeCell ref="M329:P329"/>
    <mergeCell ref="M330:P330"/>
    <mergeCell ref="Y7:Y9"/>
    <mergeCell ref="Z7:Z9"/>
    <mergeCell ref="AA7:AA9"/>
    <mergeCell ref="V7:V9"/>
    <mergeCell ref="AJ7:AJ9"/>
    <mergeCell ref="J8:J9"/>
    <mergeCell ref="K8:K9"/>
    <mergeCell ref="L8:L9"/>
    <mergeCell ref="M8:M9"/>
    <mergeCell ref="N8:N9"/>
    <mergeCell ref="R8:R9"/>
    <mergeCell ref="S8:T8"/>
    <mergeCell ref="AB7:AB9"/>
    <mergeCell ref="AC7:AC9"/>
    <mergeCell ref="AD7:AD9"/>
    <mergeCell ref="AE7:AE9"/>
    <mergeCell ref="AF7:AF9"/>
    <mergeCell ref="AH7:AH9"/>
    <mergeCell ref="W7:W9"/>
    <mergeCell ref="X7:X9"/>
    <mergeCell ref="B3:T3"/>
    <mergeCell ref="B4:T4"/>
    <mergeCell ref="B5:T5"/>
    <mergeCell ref="B7:B9"/>
    <mergeCell ref="C7:C9"/>
    <mergeCell ref="D7:D9"/>
    <mergeCell ref="E7:E9"/>
    <mergeCell ref="F7:F9"/>
    <mergeCell ref="G7:G9"/>
    <mergeCell ref="H7:H9"/>
    <mergeCell ref="O7:O9"/>
    <mergeCell ref="P7:P9"/>
    <mergeCell ref="Q7:Q9"/>
    <mergeCell ref="R7:T7"/>
    <mergeCell ref="J7:N7"/>
    <mergeCell ref="I7:I9"/>
    <mergeCell ref="C338:F338"/>
    <mergeCell ref="C329:F329"/>
    <mergeCell ref="C330:F330"/>
    <mergeCell ref="C331:F331"/>
    <mergeCell ref="C332:F332"/>
    <mergeCell ref="C333:F333"/>
    <mergeCell ref="B6:D6"/>
    <mergeCell ref="C334:F334"/>
    <mergeCell ref="C335:F335"/>
    <mergeCell ref="C336:F336"/>
    <mergeCell ref="C337:F337"/>
  </mergeCells>
  <printOptions horizontalCentered="1"/>
  <pageMargins left="0.34055118099999998" right="0.893700787" top="0.66929133858267698" bottom="0.59055118110236204" header="0.31496062992126" footer="0.31496062992126"/>
  <pageSetup paperSize="5" scale="5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AG33"/>
  <sheetViews>
    <sheetView zoomScale="69" zoomScaleNormal="69" workbookViewId="0">
      <pane xSplit="5" ySplit="10" topLeftCell="L11" activePane="bottomRight" state="frozen"/>
      <selection pane="topRight" activeCell="F1" sqref="F1"/>
      <selection pane="bottomLeft" activeCell="A11" sqref="A11"/>
      <selection pane="bottomRight" activeCell="U16" sqref="U16"/>
    </sheetView>
  </sheetViews>
  <sheetFormatPr baseColWidth="10" defaultColWidth="9.1640625" defaultRowHeight="15" x14ac:dyDescent="0.2"/>
  <cols>
    <col min="1" max="1" width="9.1640625" style="1"/>
    <col min="2" max="2" width="6.5" style="1" bestFit="1" customWidth="1"/>
    <col min="3" max="3" width="47.83203125" style="1" customWidth="1"/>
    <col min="4" max="4" width="18.83203125" style="1" bestFit="1" customWidth="1"/>
    <col min="5" max="5" width="11.1640625" style="1" customWidth="1"/>
    <col min="6" max="6" width="16.33203125" style="1" customWidth="1"/>
    <col min="7" max="7" width="14.5" style="1" customWidth="1"/>
    <col min="8" max="8" width="9.6640625" style="1" customWidth="1"/>
    <col min="9" max="9" width="16.33203125" style="1" customWidth="1"/>
    <col min="10" max="10" width="21.1640625" style="306" customWidth="1"/>
    <col min="11" max="11" width="22.83203125" style="1" customWidth="1"/>
    <col min="12" max="12" width="13.83203125" style="1" customWidth="1"/>
    <col min="13" max="13" width="8.5" style="286" bestFit="1" customWidth="1"/>
    <col min="14" max="14" width="10.83203125" style="286" bestFit="1" customWidth="1"/>
    <col min="15" max="15" width="17.83203125" style="1" bestFit="1" customWidth="1"/>
    <col min="16" max="16" width="15.5" style="286" customWidth="1"/>
    <col min="17" max="17" width="18.6640625" style="1" bestFit="1" customWidth="1"/>
    <col min="18" max="18" width="19.6640625" style="1" customWidth="1"/>
    <col min="19" max="21" width="24" style="1" customWidth="1"/>
    <col min="22" max="30" width="24" style="258" customWidth="1"/>
    <col min="31" max="31" width="10.1640625" style="1" customWidth="1"/>
    <col min="32" max="32" width="24" style="1" customWidth="1"/>
    <col min="33" max="33" width="15" style="1" bestFit="1" customWidth="1"/>
    <col min="34" max="34" width="16.1640625" style="1" bestFit="1" customWidth="1"/>
    <col min="35" max="16384" width="9.1640625" style="1"/>
  </cols>
  <sheetData>
    <row r="2" spans="1:33" ht="26" x14ac:dyDescent="0.3">
      <c r="B2" s="1828" t="s">
        <v>473</v>
      </c>
      <c r="C2" s="1828"/>
      <c r="D2" s="1828"/>
      <c r="E2" s="1828"/>
      <c r="F2" s="1828"/>
      <c r="G2" s="1828"/>
      <c r="H2" s="1828"/>
      <c r="I2" s="1828"/>
      <c r="J2" s="1828"/>
      <c r="K2" s="1828"/>
      <c r="L2" s="1828"/>
      <c r="M2" s="1828"/>
      <c r="N2" s="1828"/>
      <c r="O2" s="1828"/>
      <c r="P2" s="1828"/>
      <c r="Q2" s="1828"/>
      <c r="R2" s="1828"/>
    </row>
    <row r="3" spans="1:33" ht="26" x14ac:dyDescent="0.3">
      <c r="B3" s="1828" t="s">
        <v>472</v>
      </c>
      <c r="C3" s="1828"/>
      <c r="D3" s="1828"/>
      <c r="E3" s="1828"/>
      <c r="F3" s="1828"/>
      <c r="G3" s="1828"/>
      <c r="H3" s="1828"/>
      <c r="I3" s="1828"/>
      <c r="J3" s="1828"/>
      <c r="K3" s="1828"/>
      <c r="L3" s="1828"/>
      <c r="M3" s="1828"/>
      <c r="N3" s="1828"/>
      <c r="O3" s="1828"/>
      <c r="P3" s="1828"/>
      <c r="Q3" s="1828"/>
      <c r="R3" s="1828"/>
      <c r="AB3" s="258" t="e">
        <f>SUM(#REF!)</f>
        <v>#REF!</v>
      </c>
    </row>
    <row r="4" spans="1:33" ht="15" customHeight="1" x14ac:dyDescent="0.3">
      <c r="B4" s="287"/>
      <c r="C4" s="287"/>
      <c r="D4" s="287"/>
      <c r="E4" s="287"/>
      <c r="F4" s="287"/>
      <c r="G4" s="287"/>
      <c r="H4" s="287"/>
      <c r="I4" s="287"/>
      <c r="J4" s="24"/>
      <c r="K4" s="287"/>
      <c r="L4" s="287"/>
      <c r="M4" s="287"/>
      <c r="N4" s="287"/>
      <c r="O4" s="287"/>
      <c r="P4" s="287"/>
      <c r="Q4" s="287"/>
      <c r="R4" s="287"/>
    </row>
    <row r="5" spans="1:33" s="18" customFormat="1" thickBot="1" x14ac:dyDescent="0.25">
      <c r="B5" s="21"/>
      <c r="C5" s="12" t="s">
        <v>32</v>
      </c>
      <c r="D5" s="12" t="s">
        <v>33</v>
      </c>
      <c r="E5" s="21"/>
      <c r="F5" s="21"/>
      <c r="G5" s="21"/>
      <c r="H5" s="21"/>
      <c r="I5" s="21"/>
      <c r="J5" s="23"/>
      <c r="K5" s="21"/>
      <c r="L5" s="21"/>
      <c r="M5" s="22"/>
      <c r="N5" s="22"/>
      <c r="O5" s="21"/>
      <c r="P5" s="22"/>
      <c r="Q5" s="21"/>
      <c r="R5" s="21"/>
      <c r="V5" s="259"/>
      <c r="W5" s="259"/>
      <c r="X5" s="259"/>
      <c r="Y5" s="259"/>
      <c r="Z5" s="259"/>
      <c r="AA5" s="259"/>
      <c r="AB5" s="259"/>
      <c r="AC5" s="259"/>
      <c r="AD5" s="259"/>
    </row>
    <row r="6" spans="1:33" s="12" customFormat="1" ht="27.75" customHeight="1" thickTop="1" x14ac:dyDescent="0.2">
      <c r="B6" s="1895" t="s">
        <v>869</v>
      </c>
      <c r="C6" s="1889" t="s">
        <v>870</v>
      </c>
      <c r="D6" s="1889" t="s">
        <v>877</v>
      </c>
      <c r="E6" s="1889" t="s">
        <v>878</v>
      </c>
      <c r="F6" s="1889" t="s">
        <v>1101</v>
      </c>
      <c r="G6" s="1889" t="s">
        <v>1102</v>
      </c>
      <c r="H6" s="1889"/>
      <c r="I6" s="1889"/>
      <c r="J6" s="1889" t="s">
        <v>874</v>
      </c>
      <c r="K6" s="1889" t="s">
        <v>1103</v>
      </c>
      <c r="L6" s="1889"/>
      <c r="M6" s="1889" t="s">
        <v>872</v>
      </c>
      <c r="N6" s="1889" t="s">
        <v>875</v>
      </c>
      <c r="O6" s="1889" t="s">
        <v>1104</v>
      </c>
      <c r="P6" s="1889" t="s">
        <v>909</v>
      </c>
      <c r="Q6" s="1889" t="s">
        <v>1105</v>
      </c>
      <c r="R6" s="1892" t="s">
        <v>911</v>
      </c>
      <c r="S6" s="203" t="s">
        <v>2279</v>
      </c>
      <c r="T6" s="203" t="s">
        <v>2280</v>
      </c>
      <c r="U6" s="203" t="s">
        <v>2281</v>
      </c>
      <c r="V6" s="232" t="s">
        <v>2282</v>
      </c>
      <c r="W6" s="232" t="s">
        <v>2283</v>
      </c>
      <c r="X6" s="237" t="s">
        <v>2284</v>
      </c>
      <c r="Y6" s="237" t="s">
        <v>2285</v>
      </c>
      <c r="Z6" s="237" t="s">
        <v>2286</v>
      </c>
      <c r="AA6" s="237" t="s">
        <v>2287</v>
      </c>
      <c r="AB6" s="237" t="s">
        <v>2294</v>
      </c>
      <c r="AC6" s="237" t="s">
        <v>2487</v>
      </c>
      <c r="AD6" s="237" t="s">
        <v>2489</v>
      </c>
      <c r="AE6" s="203" t="s">
        <v>2288</v>
      </c>
      <c r="AF6" s="203" t="s">
        <v>2289</v>
      </c>
    </row>
    <row r="7" spans="1:33" s="12" customFormat="1" ht="12.75" customHeight="1" x14ac:dyDescent="0.2">
      <c r="B7" s="1896"/>
      <c r="C7" s="1890"/>
      <c r="D7" s="1890"/>
      <c r="E7" s="1890"/>
      <c r="F7" s="1890"/>
      <c r="G7" s="1890" t="s">
        <v>1106</v>
      </c>
      <c r="H7" s="1890" t="s">
        <v>1107</v>
      </c>
      <c r="I7" s="1890" t="s">
        <v>1108</v>
      </c>
      <c r="J7" s="1890"/>
      <c r="K7" s="1899" t="s">
        <v>882</v>
      </c>
      <c r="L7" s="1899" t="s">
        <v>883</v>
      </c>
      <c r="M7" s="1890"/>
      <c r="N7" s="1890"/>
      <c r="O7" s="1890"/>
      <c r="P7" s="1890"/>
      <c r="Q7" s="1890"/>
      <c r="R7" s="1893"/>
      <c r="S7" s="301"/>
      <c r="T7" s="301"/>
      <c r="U7" s="301"/>
      <c r="V7" s="273"/>
      <c r="W7" s="273"/>
      <c r="X7" s="273"/>
      <c r="Y7" s="273"/>
      <c r="Z7" s="273"/>
      <c r="AA7" s="273"/>
      <c r="AB7" s="273"/>
      <c r="AC7" s="273"/>
      <c r="AD7" s="273"/>
      <c r="AE7" s="301"/>
      <c r="AF7" s="301"/>
    </row>
    <row r="8" spans="1:33" s="12" customFormat="1" ht="24" customHeight="1" thickBot="1" x14ac:dyDescent="0.25">
      <c r="B8" s="1897"/>
      <c r="C8" s="1891"/>
      <c r="D8" s="1891"/>
      <c r="E8" s="1891"/>
      <c r="F8" s="1891"/>
      <c r="G8" s="1891"/>
      <c r="H8" s="1891"/>
      <c r="I8" s="1891"/>
      <c r="J8" s="1891"/>
      <c r="K8" s="1900"/>
      <c r="L8" s="1900"/>
      <c r="M8" s="1891"/>
      <c r="N8" s="1891"/>
      <c r="O8" s="1891"/>
      <c r="P8" s="1891"/>
      <c r="Q8" s="1891"/>
      <c r="R8" s="1894"/>
      <c r="S8" s="301"/>
      <c r="T8" s="301"/>
      <c r="U8" s="301"/>
      <c r="V8" s="273"/>
      <c r="W8" s="273"/>
      <c r="X8" s="273"/>
      <c r="Y8" s="273"/>
      <c r="Z8" s="273"/>
      <c r="AA8" s="273"/>
      <c r="AB8" s="273"/>
      <c r="AC8" s="273"/>
      <c r="AD8" s="273"/>
      <c r="AE8" s="301"/>
      <c r="AF8" s="301"/>
    </row>
    <row r="9" spans="1:33" s="302" customFormat="1" ht="16" thickTop="1" x14ac:dyDescent="0.2">
      <c r="B9" s="90">
        <v>1</v>
      </c>
      <c r="C9" s="91">
        <v>2</v>
      </c>
      <c r="D9" s="91">
        <v>3</v>
      </c>
      <c r="E9" s="92">
        <v>4</v>
      </c>
      <c r="F9" s="92">
        <v>5</v>
      </c>
      <c r="G9" s="91">
        <v>6</v>
      </c>
      <c r="H9" s="91">
        <v>7</v>
      </c>
      <c r="I9" s="92">
        <v>8</v>
      </c>
      <c r="J9" s="92">
        <v>9</v>
      </c>
      <c r="K9" s="91">
        <v>10</v>
      </c>
      <c r="L9" s="91">
        <v>11</v>
      </c>
      <c r="M9" s="91">
        <v>12</v>
      </c>
      <c r="N9" s="91">
        <v>13</v>
      </c>
      <c r="O9" s="91">
        <v>14</v>
      </c>
      <c r="P9" s="92">
        <v>15</v>
      </c>
      <c r="Q9" s="91">
        <v>16</v>
      </c>
      <c r="R9" s="93">
        <v>17</v>
      </c>
      <c r="V9" s="303"/>
      <c r="W9" s="303"/>
      <c r="X9" s="303"/>
      <c r="Y9" s="303"/>
      <c r="Z9" s="303"/>
      <c r="AA9" s="303"/>
      <c r="AB9" s="303"/>
      <c r="AC9" s="303"/>
      <c r="AD9" s="303"/>
    </row>
    <row r="10" spans="1:33" s="302" customFormat="1" x14ac:dyDescent="0.2">
      <c r="B10" s="94"/>
      <c r="C10" s="20"/>
      <c r="D10" s="20"/>
      <c r="E10" s="288"/>
      <c r="F10" s="288"/>
      <c r="G10" s="20"/>
      <c r="H10" s="20"/>
      <c r="I10" s="288"/>
      <c r="J10" s="288"/>
      <c r="K10" s="20"/>
      <c r="L10" s="20"/>
      <c r="M10" s="20"/>
      <c r="N10" s="20"/>
      <c r="O10" s="20"/>
      <c r="P10" s="288"/>
      <c r="Q10" s="20"/>
      <c r="R10" s="95"/>
      <c r="V10" s="303"/>
      <c r="W10" s="303"/>
      <c r="X10" s="303"/>
      <c r="Y10" s="303"/>
      <c r="Z10" s="303"/>
      <c r="AA10" s="303"/>
      <c r="AB10" s="303"/>
      <c r="AC10" s="303"/>
      <c r="AD10" s="303"/>
    </row>
    <row r="11" spans="1:33" s="293" customFormat="1" ht="40.5" customHeight="1" x14ac:dyDescent="0.2">
      <c r="B11" s="58" t="s">
        <v>471</v>
      </c>
      <c r="C11" s="96" t="s">
        <v>1013</v>
      </c>
      <c r="D11" s="97"/>
      <c r="E11" s="98"/>
      <c r="F11" s="98"/>
      <c r="G11" s="98"/>
      <c r="H11" s="98"/>
      <c r="I11" s="98"/>
      <c r="J11" s="99"/>
      <c r="K11" s="98"/>
      <c r="L11" s="98"/>
      <c r="M11" s="288"/>
      <c r="N11" s="288"/>
      <c r="O11" s="98"/>
      <c r="P11" s="288"/>
      <c r="Q11" s="60">
        <f>Q13+Q15</f>
        <v>42700000</v>
      </c>
      <c r="R11" s="100"/>
      <c r="T11" s="304"/>
      <c r="V11" s="294"/>
      <c r="W11" s="294"/>
      <c r="X11" s="294"/>
      <c r="Y11" s="294"/>
      <c r="Z11" s="294"/>
      <c r="AA11" s="294"/>
      <c r="AB11" s="294"/>
      <c r="AC11" s="294">
        <f>AC13+AC15</f>
        <v>853999.39999999991</v>
      </c>
      <c r="AD11" s="294">
        <f>AD13+AD15</f>
        <v>15693987.199999996</v>
      </c>
      <c r="AE11" s="294"/>
      <c r="AF11" s="294">
        <f>AF13+AF15</f>
        <v>27006012.800000004</v>
      </c>
    </row>
    <row r="12" spans="1:33" s="293" customFormat="1" ht="40.5" customHeight="1" x14ac:dyDescent="0.2">
      <c r="B12" s="58"/>
      <c r="C12" s="96" t="s">
        <v>52</v>
      </c>
      <c r="D12" s="97"/>
      <c r="E12" s="98"/>
      <c r="F12" s="98"/>
      <c r="G12" s="98"/>
      <c r="H12" s="98"/>
      <c r="I12" s="98"/>
      <c r="J12" s="99"/>
      <c r="K12" s="98"/>
      <c r="L12" s="98"/>
      <c r="M12" s="288"/>
      <c r="N12" s="288"/>
      <c r="O12" s="98"/>
      <c r="P12" s="288"/>
      <c r="Q12" s="60"/>
      <c r="R12" s="100"/>
      <c r="V12" s="294"/>
      <c r="W12" s="294"/>
      <c r="X12" s="294"/>
      <c r="Y12" s="294"/>
      <c r="Z12" s="294"/>
      <c r="AA12" s="294"/>
      <c r="AB12" s="294"/>
      <c r="AC12" s="294"/>
      <c r="AD12" s="294"/>
    </row>
    <row r="13" spans="1:33" s="293" customFormat="1" ht="40.5" customHeight="1" x14ac:dyDescent="0.2">
      <c r="B13" s="58" t="s">
        <v>470</v>
      </c>
      <c r="C13" s="96" t="s">
        <v>1014</v>
      </c>
      <c r="D13" s="63"/>
      <c r="E13" s="63"/>
      <c r="F13" s="63"/>
      <c r="G13" s="63"/>
      <c r="H13" s="63"/>
      <c r="I13" s="63"/>
      <c r="J13" s="25"/>
      <c r="K13" s="63"/>
      <c r="L13" s="63"/>
      <c r="M13" s="289"/>
      <c r="N13" s="289"/>
      <c r="O13" s="63"/>
      <c r="P13" s="289"/>
      <c r="Q13" s="64">
        <v>0</v>
      </c>
      <c r="R13" s="101"/>
      <c r="T13" s="305"/>
      <c r="V13" s="294"/>
      <c r="W13" s="294"/>
      <c r="X13" s="294">
        <f t="shared" ref="X13:AD13" si="0">X14</f>
        <v>0</v>
      </c>
      <c r="Y13" s="294">
        <f t="shared" si="0"/>
        <v>0</v>
      </c>
      <c r="Z13" s="294">
        <f t="shared" si="0"/>
        <v>0</v>
      </c>
      <c r="AA13" s="294">
        <f t="shared" si="0"/>
        <v>0</v>
      </c>
      <c r="AB13" s="294">
        <f t="shared" si="0"/>
        <v>0</v>
      </c>
      <c r="AC13" s="294">
        <f t="shared" si="0"/>
        <v>0</v>
      </c>
      <c r="AD13" s="294">
        <f t="shared" si="0"/>
        <v>0</v>
      </c>
      <c r="AE13" s="294"/>
      <c r="AF13" s="294">
        <f>AF14</f>
        <v>0</v>
      </c>
    </row>
    <row r="14" spans="1:33" s="48" customFormat="1" ht="40.5" customHeight="1" x14ac:dyDescent="0.2">
      <c r="B14" s="73"/>
      <c r="C14" s="65" t="s">
        <v>52</v>
      </c>
      <c r="D14" s="67"/>
      <c r="E14" s="67"/>
      <c r="F14" s="33"/>
      <c r="G14" s="40"/>
      <c r="H14" s="40"/>
      <c r="I14" s="40"/>
      <c r="J14" s="72" t="s">
        <v>52</v>
      </c>
      <c r="K14" s="40"/>
      <c r="L14" s="40"/>
      <c r="M14" s="32"/>
      <c r="N14" s="33"/>
      <c r="O14" s="40"/>
      <c r="P14" s="32"/>
      <c r="Q14" s="68"/>
      <c r="R14" s="61"/>
      <c r="V14" s="245"/>
      <c r="W14" s="245"/>
      <c r="X14" s="245"/>
      <c r="Y14" s="245"/>
      <c r="Z14" s="245"/>
      <c r="AA14" s="245"/>
      <c r="AB14" s="245"/>
      <c r="AC14" s="245"/>
      <c r="AD14" s="245"/>
    </row>
    <row r="15" spans="1:33" s="293" customFormat="1" ht="40.5" customHeight="1" x14ac:dyDescent="0.2">
      <c r="B15" s="58" t="s">
        <v>416</v>
      </c>
      <c r="C15" s="96" t="s">
        <v>1080</v>
      </c>
      <c r="D15" s="63"/>
      <c r="E15" s="63"/>
      <c r="F15" s="63"/>
      <c r="G15" s="63"/>
      <c r="H15" s="63"/>
      <c r="I15" s="63"/>
      <c r="J15" s="25" t="s">
        <v>52</v>
      </c>
      <c r="K15" s="63"/>
      <c r="L15" s="63"/>
      <c r="M15" s="289"/>
      <c r="N15" s="289"/>
      <c r="O15" s="63"/>
      <c r="P15" s="289"/>
      <c r="Q15" s="106">
        <f>SUM(Q16:Q20)</f>
        <v>42700000</v>
      </c>
      <c r="R15" s="101"/>
      <c r="V15" s="294"/>
      <c r="W15" s="294"/>
      <c r="X15" s="294">
        <f t="shared" ref="X15:AF15" si="1">SUM(X16:X18)</f>
        <v>11423990.199999999</v>
      </c>
      <c r="Y15" s="294">
        <f t="shared" si="1"/>
        <v>853999.39999999991</v>
      </c>
      <c r="Z15" s="294">
        <f t="shared" si="1"/>
        <v>853999.39999999991</v>
      </c>
      <c r="AA15" s="294">
        <f t="shared" si="1"/>
        <v>853999.39999999991</v>
      </c>
      <c r="AB15" s="294">
        <f t="shared" si="1"/>
        <v>853999.39999999991</v>
      </c>
      <c r="AC15" s="294">
        <f t="shared" si="1"/>
        <v>853999.39999999991</v>
      </c>
      <c r="AD15" s="294">
        <f t="shared" si="1"/>
        <v>15693987.199999996</v>
      </c>
      <c r="AE15" s="294">
        <f t="shared" si="1"/>
        <v>5990</v>
      </c>
      <c r="AF15" s="294">
        <f t="shared" si="1"/>
        <v>27006012.800000004</v>
      </c>
      <c r="AG15" s="320">
        <f>AD15-AC15</f>
        <v>14839987.799999995</v>
      </c>
    </row>
    <row r="16" spans="1:33" s="48" customFormat="1" ht="40.5" customHeight="1" x14ac:dyDescent="0.2">
      <c r="A16" s="295" t="s">
        <v>2303</v>
      </c>
      <c r="B16" s="73"/>
      <c r="C16" s="65" t="s">
        <v>412</v>
      </c>
      <c r="D16" s="67" t="s">
        <v>387</v>
      </c>
      <c r="E16" s="40"/>
      <c r="F16" s="33"/>
      <c r="G16" s="40"/>
      <c r="H16" s="32" t="s">
        <v>386</v>
      </c>
      <c r="I16" s="40"/>
      <c r="J16" s="65" t="s">
        <v>411</v>
      </c>
      <c r="K16" s="40">
        <v>1980</v>
      </c>
      <c r="L16" s="40"/>
      <c r="M16" s="33"/>
      <c r="N16" s="33"/>
      <c r="O16" s="67" t="s">
        <v>410</v>
      </c>
      <c r="P16" s="32" t="s">
        <v>12</v>
      </c>
      <c r="Q16" s="71">
        <v>8400000</v>
      </c>
      <c r="R16" s="61" t="s">
        <v>2616</v>
      </c>
      <c r="S16" s="206" t="str">
        <f>A16</f>
        <v>3.12.02</v>
      </c>
      <c r="T16" s="207" t="str">
        <f>VLOOKUP(S16,kelompok,2,0)</f>
        <v>TUGU PERINGATAN</v>
      </c>
      <c r="U16" s="207">
        <f>VLOOKUP(S16,MASAMANFAAT,4,0)</f>
        <v>50</v>
      </c>
      <c r="V16" s="233">
        <f>(Q16-10)/U16</f>
        <v>167999.8</v>
      </c>
      <c r="W16" s="233">
        <f>2013-AE16</f>
        <v>33</v>
      </c>
      <c r="X16" s="233">
        <f>IF(W16&gt;U16,Q16-10,V16*W16)</f>
        <v>5543993.3999999994</v>
      </c>
      <c r="Y16" s="233">
        <f>IF(Q16-10=X16,0,V16)</f>
        <v>167999.8</v>
      </c>
      <c r="Z16" s="233">
        <f>IF(Q16-10=X16+Y16,0,V16)</f>
        <v>167999.8</v>
      </c>
      <c r="AA16" s="233">
        <f>IF(Q16-10=X16+Y16+Z16,0,V16)</f>
        <v>167999.8</v>
      </c>
      <c r="AB16" s="233">
        <f>IF(Q16-10=X16+Y16+Z16+AA16,0,V16)</f>
        <v>167999.8</v>
      </c>
      <c r="AC16" s="238">
        <f>IF(Q16-10=X16+Y16+Z16+AA16+AB16,0,V16)</f>
        <v>167999.8</v>
      </c>
      <c r="AD16" s="238">
        <f>SUM(X16:AC16)</f>
        <v>6383992.3999999985</v>
      </c>
      <c r="AE16" s="206">
        <f>K16</f>
        <v>1980</v>
      </c>
      <c r="AF16" s="210">
        <f>Q16-AD16</f>
        <v>2016007.6000000015</v>
      </c>
      <c r="AG16" s="320">
        <f>AD16-AC16</f>
        <v>6215992.5999999987</v>
      </c>
    </row>
    <row r="17" spans="1:33" s="48" customFormat="1" ht="40.5" customHeight="1" x14ac:dyDescent="0.2">
      <c r="A17" s="295" t="s">
        <v>2303</v>
      </c>
      <c r="B17" s="73"/>
      <c r="C17" s="65" t="s">
        <v>397</v>
      </c>
      <c r="D17" s="67" t="s">
        <v>396</v>
      </c>
      <c r="E17" s="40"/>
      <c r="F17" s="33" t="s">
        <v>43</v>
      </c>
      <c r="G17" s="40"/>
      <c r="H17" s="32" t="s">
        <v>386</v>
      </c>
      <c r="I17" s="40"/>
      <c r="J17" s="65" t="s">
        <v>395</v>
      </c>
      <c r="K17" s="40">
        <v>2001</v>
      </c>
      <c r="L17" s="40"/>
      <c r="M17" s="33"/>
      <c r="N17" s="33"/>
      <c r="O17" s="67" t="s">
        <v>394</v>
      </c>
      <c r="P17" s="32" t="s">
        <v>12</v>
      </c>
      <c r="Q17" s="71">
        <v>19600000</v>
      </c>
      <c r="R17" s="61" t="s">
        <v>2616</v>
      </c>
      <c r="S17" s="206" t="str">
        <f>A17</f>
        <v>3.12.02</v>
      </c>
      <c r="T17" s="207" t="str">
        <f>VLOOKUP(S17,kelompok,2,0)</f>
        <v>TUGU PERINGATAN</v>
      </c>
      <c r="U17" s="207">
        <f>VLOOKUP(S17,MASAMANFAAT,4,0)</f>
        <v>50</v>
      </c>
      <c r="V17" s="233">
        <f>(Q17-10)/U17</f>
        <v>391999.8</v>
      </c>
      <c r="W17" s="233">
        <f>2013-AE17</f>
        <v>12</v>
      </c>
      <c r="X17" s="233">
        <f>IF(W17&gt;U17,Q17-10,V17*W17)</f>
        <v>4703997.5999999996</v>
      </c>
      <c r="Y17" s="233">
        <f>IF(Q17-10=X17,0,V17)</f>
        <v>391999.8</v>
      </c>
      <c r="Z17" s="233">
        <f>IF(Q17-10=X17+Y17,0,V17)</f>
        <v>391999.8</v>
      </c>
      <c r="AA17" s="233">
        <f>IF(Q17-10=X17+Y17+Z17,0,V17)</f>
        <v>391999.8</v>
      </c>
      <c r="AB17" s="233">
        <f>IF(Q17-10=X17+Y17+Z17+AA17,0,V17)</f>
        <v>391999.8</v>
      </c>
      <c r="AC17" s="238">
        <f>IF(Q17-10=X17+Y17+Z17+AA17+AB17,0,V17)</f>
        <v>391999.8</v>
      </c>
      <c r="AD17" s="238">
        <f>SUM(X17:AC17)</f>
        <v>6663996.5999999987</v>
      </c>
      <c r="AE17" s="206">
        <f>K17</f>
        <v>2001</v>
      </c>
      <c r="AF17" s="210">
        <f>Q17-AD17</f>
        <v>12936003.400000002</v>
      </c>
      <c r="AG17" s="320">
        <f>AD17-AC17</f>
        <v>6271996.7999999989</v>
      </c>
    </row>
    <row r="18" spans="1:33" s="48" customFormat="1" ht="40.5" customHeight="1" x14ac:dyDescent="0.2">
      <c r="A18" s="295" t="s">
        <v>2303</v>
      </c>
      <c r="B18" s="73"/>
      <c r="C18" s="65" t="s">
        <v>393</v>
      </c>
      <c r="D18" s="67" t="s">
        <v>392</v>
      </c>
      <c r="E18" s="40"/>
      <c r="F18" s="33" t="s">
        <v>43</v>
      </c>
      <c r="G18" s="40"/>
      <c r="H18" s="32" t="s">
        <v>386</v>
      </c>
      <c r="I18" s="40"/>
      <c r="J18" s="65" t="s">
        <v>391</v>
      </c>
      <c r="K18" s="40">
        <v>2009</v>
      </c>
      <c r="L18" s="40"/>
      <c r="M18" s="33"/>
      <c r="N18" s="33"/>
      <c r="O18" s="67" t="s">
        <v>384</v>
      </c>
      <c r="P18" s="32" t="s">
        <v>12</v>
      </c>
      <c r="Q18" s="71">
        <v>14700000</v>
      </c>
      <c r="R18" s="61" t="s">
        <v>2616</v>
      </c>
      <c r="S18" s="206" t="str">
        <f>A18</f>
        <v>3.12.02</v>
      </c>
      <c r="T18" s="207" t="str">
        <f>VLOOKUP(S18,kelompok,2,0)</f>
        <v>TUGU PERINGATAN</v>
      </c>
      <c r="U18" s="207">
        <f>VLOOKUP(S18,MASAMANFAAT,4,0)</f>
        <v>50</v>
      </c>
      <c r="V18" s="233">
        <f>(Q18-10)/U18</f>
        <v>293999.8</v>
      </c>
      <c r="W18" s="233">
        <f>2013-AE18</f>
        <v>4</v>
      </c>
      <c r="X18" s="233">
        <f>IF(W18&gt;U18,Q18-10,V18*W18)</f>
        <v>1175999.2</v>
      </c>
      <c r="Y18" s="233">
        <f>IF(Q18-10=X18,0,V18)</f>
        <v>293999.8</v>
      </c>
      <c r="Z18" s="233">
        <f>IF(Q18-10=X18+Y18,0,V18)</f>
        <v>293999.8</v>
      </c>
      <c r="AA18" s="233">
        <f>IF(Q18-10=X18+Y18+Z18,0,V18)</f>
        <v>293999.8</v>
      </c>
      <c r="AB18" s="233">
        <f>IF(Q18-10=X18+Y18+Z18+AA18,0,V18)</f>
        <v>293999.8</v>
      </c>
      <c r="AC18" s="238">
        <f>IF(Q18-10=X18+Y18+Z18+AA18+AB18,0,V18)</f>
        <v>293999.8</v>
      </c>
      <c r="AD18" s="238">
        <f>SUM(X18:AC18)</f>
        <v>2645998.1999999997</v>
      </c>
      <c r="AE18" s="206">
        <f>K18</f>
        <v>2009</v>
      </c>
      <c r="AF18" s="210">
        <f>Q18-AD18</f>
        <v>12054001.800000001</v>
      </c>
      <c r="AG18" s="320">
        <f>AD18-AC18</f>
        <v>2351998.4</v>
      </c>
    </row>
    <row r="19" spans="1:33" s="48" customFormat="1" ht="40.5" customHeight="1" x14ac:dyDescent="0.2">
      <c r="B19" s="175"/>
      <c r="C19" s="176"/>
      <c r="D19" s="177"/>
      <c r="E19" s="152"/>
      <c r="F19" s="30"/>
      <c r="G19" s="152"/>
      <c r="H19" s="178"/>
      <c r="I19" s="152"/>
      <c r="J19" s="176"/>
      <c r="K19" s="152"/>
      <c r="L19" s="152"/>
      <c r="M19" s="30"/>
      <c r="N19" s="30"/>
      <c r="O19" s="177"/>
      <c r="P19" s="178"/>
      <c r="Q19" s="179"/>
      <c r="R19" s="180"/>
      <c r="V19" s="245"/>
      <c r="W19" s="245"/>
      <c r="X19" s="245"/>
      <c r="Y19" s="245"/>
      <c r="Z19" s="245"/>
      <c r="AA19" s="245"/>
      <c r="AB19" s="245"/>
      <c r="AC19" s="245"/>
      <c r="AD19" s="245"/>
    </row>
    <row r="20" spans="1:33" s="48" customFormat="1" ht="40.5" customHeight="1" thickBot="1" x14ac:dyDescent="0.25">
      <c r="B20" s="107"/>
      <c r="C20" s="108"/>
      <c r="D20" s="109"/>
      <c r="E20" s="110"/>
      <c r="F20" s="111"/>
      <c r="G20" s="110"/>
      <c r="H20" s="112"/>
      <c r="I20" s="110"/>
      <c r="J20" s="108"/>
      <c r="K20" s="110"/>
      <c r="L20" s="110"/>
      <c r="M20" s="111"/>
      <c r="N20" s="111"/>
      <c r="O20" s="109"/>
      <c r="P20" s="112"/>
      <c r="Q20" s="113"/>
      <c r="R20" s="114"/>
      <c r="V20" s="245"/>
      <c r="W20" s="245"/>
      <c r="X20" s="245"/>
      <c r="Y20" s="245"/>
      <c r="Z20" s="245"/>
      <c r="AA20" s="245"/>
      <c r="AB20" s="245"/>
      <c r="AC20" s="245"/>
      <c r="AD20" s="245"/>
    </row>
    <row r="23" spans="1:33" x14ac:dyDescent="0.2">
      <c r="B23" s="1898" t="s">
        <v>1109</v>
      </c>
      <c r="C23" s="1898"/>
      <c r="D23" s="1898"/>
    </row>
    <row r="24" spans="1:33" x14ac:dyDescent="0.2">
      <c r="B24" s="1797" t="s">
        <v>23</v>
      </c>
      <c r="C24" s="1797"/>
      <c r="D24" s="1797"/>
      <c r="O24" s="1797" t="s">
        <v>884</v>
      </c>
      <c r="P24" s="1797"/>
      <c r="Q24" s="1797"/>
      <c r="R24" s="1797"/>
    </row>
    <row r="25" spans="1:33" x14ac:dyDescent="0.2">
      <c r="B25" s="1797" t="s">
        <v>25</v>
      </c>
      <c r="C25" s="1797"/>
      <c r="D25" s="1797"/>
      <c r="O25" s="1797" t="s">
        <v>24</v>
      </c>
      <c r="P25" s="1797"/>
      <c r="Q25" s="1797"/>
      <c r="R25" s="1797"/>
    </row>
    <row r="26" spans="1:33" x14ac:dyDescent="0.2">
      <c r="B26" s="19"/>
      <c r="C26" s="19"/>
      <c r="D26" s="19"/>
      <c r="O26" s="18"/>
      <c r="P26" s="18"/>
      <c r="Q26" s="18"/>
      <c r="R26" s="18"/>
    </row>
    <row r="27" spans="1:33" x14ac:dyDescent="0.2">
      <c r="B27" s="19"/>
      <c r="C27" s="19"/>
      <c r="D27" s="19"/>
      <c r="O27" s="18"/>
      <c r="P27" s="18"/>
      <c r="Q27" s="18"/>
      <c r="R27" s="18"/>
    </row>
    <row r="28" spans="1:33" x14ac:dyDescent="0.2">
      <c r="B28" s="18"/>
      <c r="C28" s="18"/>
      <c r="D28" s="18"/>
      <c r="O28" s="18"/>
      <c r="P28" s="18"/>
      <c r="Q28" s="18"/>
      <c r="R28" s="18"/>
    </row>
    <row r="29" spans="1:33" x14ac:dyDescent="0.2">
      <c r="B29" s="18"/>
      <c r="C29" s="18"/>
      <c r="D29" s="18"/>
      <c r="O29" s="18"/>
      <c r="P29" s="18"/>
      <c r="Q29" s="18"/>
      <c r="R29" s="18"/>
    </row>
    <row r="30" spans="1:33" x14ac:dyDescent="0.2">
      <c r="B30" s="18"/>
      <c r="C30" s="18"/>
      <c r="D30" s="18"/>
      <c r="O30" s="18"/>
      <c r="P30" s="18"/>
      <c r="Q30" s="18"/>
      <c r="R30" s="18"/>
    </row>
    <row r="31" spans="1:33" x14ac:dyDescent="0.2">
      <c r="B31" s="1795" t="s">
        <v>26</v>
      </c>
      <c r="C31" s="1795"/>
      <c r="D31" s="1795"/>
      <c r="O31" s="1795" t="s">
        <v>27</v>
      </c>
      <c r="P31" s="1795"/>
      <c r="Q31" s="1795"/>
      <c r="R31" s="1795"/>
    </row>
    <row r="32" spans="1:33" x14ac:dyDescent="0.2">
      <c r="B32" s="1797" t="s">
        <v>28</v>
      </c>
      <c r="C32" s="1797"/>
      <c r="D32" s="1797"/>
      <c r="O32" s="1797" t="s">
        <v>29</v>
      </c>
      <c r="P32" s="1797"/>
      <c r="Q32" s="1797"/>
      <c r="R32" s="1797"/>
    </row>
    <row r="33" spans="15:18" x14ac:dyDescent="0.2">
      <c r="O33" s="1797"/>
      <c r="P33" s="1797"/>
      <c r="Q33" s="1797"/>
      <c r="R33" s="1797"/>
    </row>
  </sheetData>
  <autoFilter ref="B9:R20" xr:uid="{00000000-0009-0000-0000-000004000000}"/>
  <mergeCells count="31">
    <mergeCell ref="B32:D32"/>
    <mergeCell ref="O32:R32"/>
    <mergeCell ref="O33:R33"/>
    <mergeCell ref="B24:D24"/>
    <mergeCell ref="O24:R24"/>
    <mergeCell ref="B25:D25"/>
    <mergeCell ref="O25:R25"/>
    <mergeCell ref="B31:D31"/>
    <mergeCell ref="O31:R31"/>
    <mergeCell ref="B23:D23"/>
    <mergeCell ref="M6:M8"/>
    <mergeCell ref="N6:N8"/>
    <mergeCell ref="O6:O8"/>
    <mergeCell ref="P6:P8"/>
    <mergeCell ref="G7:G8"/>
    <mergeCell ref="H7:H8"/>
    <mergeCell ref="I7:I8"/>
    <mergeCell ref="K7:K8"/>
    <mergeCell ref="L7:L8"/>
    <mergeCell ref="Q6:Q8"/>
    <mergeCell ref="R6:R8"/>
    <mergeCell ref="B2:R2"/>
    <mergeCell ref="B3:R3"/>
    <mergeCell ref="B6:B8"/>
    <mergeCell ref="C6:C8"/>
    <mergeCell ref="D6:D8"/>
    <mergeCell ref="E6:E8"/>
    <mergeCell ref="F6:F8"/>
    <mergeCell ref="G6:I6"/>
    <mergeCell ref="J6:J8"/>
    <mergeCell ref="K6:L6"/>
  </mergeCells>
  <pageMargins left="2.21" right="0.37" top="0.6692913385826772" bottom="0.74803149606299213" header="0.31496062992125984" footer="0.31496062992125984"/>
  <pageSetup paperSize="5" scale="63" orientation="landscape"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M362"/>
  <sheetViews>
    <sheetView zoomScale="64" zoomScaleNormal="64" workbookViewId="0">
      <pane xSplit="5" ySplit="9" topLeftCell="F82" activePane="bottomRight" state="frozen"/>
      <selection pane="topRight" activeCell="F1" sqref="F1"/>
      <selection pane="bottomLeft" activeCell="A10" sqref="A10"/>
      <selection pane="bottomRight" activeCell="C86" sqref="C86"/>
    </sheetView>
  </sheetViews>
  <sheetFormatPr baseColWidth="10" defaultColWidth="9.1640625" defaultRowHeight="15" x14ac:dyDescent="0.2"/>
  <cols>
    <col min="1" max="1" width="9.1640625" style="1"/>
    <col min="2" max="2" width="6.5" style="1" bestFit="1" customWidth="1"/>
    <col min="3" max="3" width="47.83203125" style="1" customWidth="1"/>
    <col min="4" max="4" width="18.83203125" style="1" bestFit="1" customWidth="1"/>
    <col min="5" max="5" width="11.1640625" style="1" customWidth="1"/>
    <col min="6" max="6" width="16.33203125" style="1" customWidth="1"/>
    <col min="7" max="7" width="14.5" style="1" customWidth="1"/>
    <col min="8" max="8" width="9.6640625" style="1" customWidth="1"/>
    <col min="9" max="9" width="16.33203125" style="1" customWidth="1"/>
    <col min="10" max="10" width="21.1640625" style="306" customWidth="1"/>
    <col min="11" max="11" width="22.83203125" style="1" customWidth="1"/>
    <col min="12" max="12" width="13.83203125" style="1" customWidth="1"/>
    <col min="13" max="13" width="8.5" style="286" bestFit="1" customWidth="1"/>
    <col min="14" max="14" width="10.83203125" style="286" bestFit="1" customWidth="1"/>
    <col min="15" max="15" width="17.83203125" style="1" bestFit="1" customWidth="1"/>
    <col min="16" max="16" width="15.5" style="286" customWidth="1"/>
    <col min="17" max="17" width="20.5" style="258" customWidth="1"/>
    <col min="18" max="18" width="19.6640625" style="1" customWidth="1"/>
    <col min="19" max="21" width="24" style="1" customWidth="1"/>
    <col min="22" max="30" width="24" style="258" customWidth="1"/>
    <col min="31" max="31" width="10.1640625" style="1" customWidth="1"/>
    <col min="32" max="32" width="24" style="1" customWidth="1"/>
    <col min="33" max="33" width="12.6640625" style="1" bestFit="1" customWidth="1"/>
    <col min="34" max="34" width="16.1640625" style="1" bestFit="1" customWidth="1"/>
    <col min="35" max="37" width="9.1640625" style="1"/>
    <col min="38" max="38" width="21.1640625" style="1" customWidth="1"/>
    <col min="39" max="16384" width="9.1640625" style="1"/>
  </cols>
  <sheetData>
    <row r="2" spans="1:39" ht="26" x14ac:dyDescent="0.3">
      <c r="B2" s="1828" t="s">
        <v>473</v>
      </c>
      <c r="C2" s="1828"/>
      <c r="D2" s="1828"/>
      <c r="E2" s="1828"/>
      <c r="F2" s="1828"/>
      <c r="G2" s="1828"/>
      <c r="H2" s="1828"/>
      <c r="I2" s="1828"/>
      <c r="J2" s="1828"/>
      <c r="K2" s="1828"/>
      <c r="L2" s="1828"/>
      <c r="M2" s="1828"/>
      <c r="N2" s="1828"/>
      <c r="O2" s="1828"/>
      <c r="P2" s="1828"/>
      <c r="Q2" s="1828"/>
      <c r="R2" s="1828"/>
    </row>
    <row r="3" spans="1:39" ht="26" x14ac:dyDescent="0.3">
      <c r="B3" s="1828" t="s">
        <v>472</v>
      </c>
      <c r="C3" s="1828"/>
      <c r="D3" s="1828"/>
      <c r="E3" s="1828"/>
      <c r="F3" s="1828"/>
      <c r="G3" s="1828"/>
      <c r="H3" s="1828"/>
      <c r="I3" s="1828"/>
      <c r="J3" s="1828"/>
      <c r="K3" s="1828"/>
      <c r="L3" s="1828"/>
      <c r="M3" s="1828"/>
      <c r="N3" s="1828"/>
      <c r="O3" s="1828"/>
      <c r="P3" s="1828"/>
      <c r="Q3" s="1828"/>
      <c r="R3" s="1828"/>
      <c r="AB3" s="258" t="e">
        <f>SUM(#REF!)</f>
        <v>#REF!</v>
      </c>
    </row>
    <row r="4" spans="1:39" ht="15" customHeight="1" x14ac:dyDescent="0.3">
      <c r="B4" s="287"/>
      <c r="C4" s="287"/>
      <c r="D4" s="287"/>
      <c r="E4" s="287"/>
      <c r="F4" s="287"/>
      <c r="G4" s="287"/>
      <c r="H4" s="287"/>
      <c r="I4" s="287"/>
      <c r="J4" s="24"/>
      <c r="K4" s="287"/>
      <c r="L4" s="287"/>
      <c r="M4" s="287"/>
      <c r="N4" s="287"/>
      <c r="O4" s="287"/>
      <c r="P4" s="287"/>
      <c r="Q4" s="249"/>
      <c r="R4" s="287"/>
    </row>
    <row r="5" spans="1:39" s="18" customFormat="1" thickBot="1" x14ac:dyDescent="0.25">
      <c r="B5" s="21"/>
      <c r="C5" s="12" t="s">
        <v>32</v>
      </c>
      <c r="D5" s="12" t="s">
        <v>33</v>
      </c>
      <c r="E5" s="21"/>
      <c r="F5" s="21"/>
      <c r="G5" s="21"/>
      <c r="H5" s="21"/>
      <c r="I5" s="21"/>
      <c r="J5" s="23"/>
      <c r="K5" s="21"/>
      <c r="L5" s="21"/>
      <c r="M5" s="22"/>
      <c r="N5" s="22"/>
      <c r="O5" s="21"/>
      <c r="P5" s="22"/>
      <c r="Q5" s="321"/>
      <c r="R5" s="21"/>
      <c r="V5" s="259"/>
      <c r="W5" s="259"/>
      <c r="X5" s="259"/>
      <c r="Y5" s="259"/>
      <c r="Z5" s="259"/>
      <c r="AA5" s="259"/>
      <c r="AB5" s="259"/>
      <c r="AC5" s="259"/>
      <c r="AD5" s="259"/>
    </row>
    <row r="6" spans="1:39" s="12" customFormat="1" ht="27.75" customHeight="1" thickTop="1" x14ac:dyDescent="0.2">
      <c r="B6" s="1895" t="s">
        <v>869</v>
      </c>
      <c r="C6" s="1889" t="s">
        <v>870</v>
      </c>
      <c r="D6" s="1889" t="s">
        <v>877</v>
      </c>
      <c r="E6" s="1889" t="s">
        <v>878</v>
      </c>
      <c r="F6" s="1889" t="s">
        <v>1101</v>
      </c>
      <c r="G6" s="1889" t="s">
        <v>1102</v>
      </c>
      <c r="H6" s="1889"/>
      <c r="I6" s="1889"/>
      <c r="J6" s="1889" t="s">
        <v>874</v>
      </c>
      <c r="K6" s="1889" t="s">
        <v>1103</v>
      </c>
      <c r="L6" s="1889"/>
      <c r="M6" s="1889" t="s">
        <v>872</v>
      </c>
      <c r="N6" s="1889" t="s">
        <v>875</v>
      </c>
      <c r="O6" s="1889" t="s">
        <v>1104</v>
      </c>
      <c r="P6" s="1889" t="s">
        <v>909</v>
      </c>
      <c r="Q6" s="1901" t="s">
        <v>1105</v>
      </c>
      <c r="R6" s="1892" t="s">
        <v>911</v>
      </c>
      <c r="S6" s="203" t="s">
        <v>2279</v>
      </c>
      <c r="T6" s="203" t="s">
        <v>2280</v>
      </c>
      <c r="U6" s="203" t="s">
        <v>2281</v>
      </c>
      <c r="V6" s="232" t="s">
        <v>2282</v>
      </c>
      <c r="W6" s="232" t="s">
        <v>2283</v>
      </c>
      <c r="X6" s="237" t="s">
        <v>2284</v>
      </c>
      <c r="Y6" s="237" t="s">
        <v>2285</v>
      </c>
      <c r="Z6" s="237" t="s">
        <v>2286</v>
      </c>
      <c r="AA6" s="237" t="s">
        <v>2287</v>
      </c>
      <c r="AB6" s="237" t="s">
        <v>2294</v>
      </c>
      <c r="AC6" s="237" t="s">
        <v>2487</v>
      </c>
      <c r="AD6" s="237" t="s">
        <v>2489</v>
      </c>
      <c r="AE6" s="203" t="s">
        <v>2288</v>
      </c>
      <c r="AF6" s="203" t="s">
        <v>2289</v>
      </c>
    </row>
    <row r="7" spans="1:39" s="12" customFormat="1" ht="12.75" customHeight="1" x14ac:dyDescent="0.2">
      <c r="B7" s="1896"/>
      <c r="C7" s="1890"/>
      <c r="D7" s="1890"/>
      <c r="E7" s="1890"/>
      <c r="F7" s="1890"/>
      <c r="G7" s="1890" t="s">
        <v>1106</v>
      </c>
      <c r="H7" s="1890" t="s">
        <v>1107</v>
      </c>
      <c r="I7" s="1890" t="s">
        <v>1108</v>
      </c>
      <c r="J7" s="1890"/>
      <c r="K7" s="1899" t="s">
        <v>882</v>
      </c>
      <c r="L7" s="1899" t="s">
        <v>883</v>
      </c>
      <c r="M7" s="1890"/>
      <c r="N7" s="1890"/>
      <c r="O7" s="1890"/>
      <c r="P7" s="1890"/>
      <c r="Q7" s="1902"/>
      <c r="R7" s="1893"/>
      <c r="S7" s="301"/>
      <c r="T7" s="301"/>
      <c r="U7" s="301"/>
      <c r="V7" s="273"/>
      <c r="W7" s="273"/>
      <c r="X7" s="273"/>
      <c r="Y7" s="273"/>
      <c r="Z7" s="273"/>
      <c r="AA7" s="273"/>
      <c r="AB7" s="273"/>
      <c r="AC7" s="273"/>
      <c r="AD7" s="273"/>
      <c r="AE7" s="301"/>
      <c r="AF7" s="301"/>
    </row>
    <row r="8" spans="1:39" s="12" customFormat="1" ht="24" customHeight="1" thickBot="1" x14ac:dyDescent="0.25">
      <c r="B8" s="1897"/>
      <c r="C8" s="1891"/>
      <c r="D8" s="1891"/>
      <c r="E8" s="1891"/>
      <c r="F8" s="1891"/>
      <c r="G8" s="1891"/>
      <c r="H8" s="1891"/>
      <c r="I8" s="1891"/>
      <c r="J8" s="1891"/>
      <c r="K8" s="1900"/>
      <c r="L8" s="1900"/>
      <c r="M8" s="1891"/>
      <c r="N8" s="1891"/>
      <c r="O8" s="1891"/>
      <c r="P8" s="1891"/>
      <c r="Q8" s="1903"/>
      <c r="R8" s="1894"/>
      <c r="S8" s="301"/>
      <c r="T8" s="301"/>
      <c r="U8" s="301"/>
      <c r="V8" s="273"/>
      <c r="W8" s="273"/>
      <c r="X8" s="273"/>
      <c r="Y8" s="273"/>
      <c r="Z8" s="273"/>
      <c r="AA8" s="273"/>
      <c r="AB8" s="273"/>
      <c r="AC8" s="273"/>
      <c r="AD8" s="273"/>
      <c r="AE8" s="301"/>
      <c r="AF8" s="301"/>
    </row>
    <row r="9" spans="1:39" s="302" customFormat="1" ht="16" thickTop="1" x14ac:dyDescent="0.2">
      <c r="B9" s="90">
        <v>1</v>
      </c>
      <c r="C9" s="91">
        <v>2</v>
      </c>
      <c r="D9" s="91">
        <v>3</v>
      </c>
      <c r="E9" s="92">
        <v>4</v>
      </c>
      <c r="F9" s="92">
        <v>5</v>
      </c>
      <c r="G9" s="91">
        <v>6</v>
      </c>
      <c r="H9" s="91">
        <v>7</v>
      </c>
      <c r="I9" s="92">
        <v>8</v>
      </c>
      <c r="J9" s="92">
        <v>9</v>
      </c>
      <c r="K9" s="91">
        <v>10</v>
      </c>
      <c r="L9" s="91">
        <v>11</v>
      </c>
      <c r="M9" s="91">
        <v>12</v>
      </c>
      <c r="N9" s="91">
        <v>13</v>
      </c>
      <c r="O9" s="91">
        <v>14</v>
      </c>
      <c r="P9" s="92">
        <v>15</v>
      </c>
      <c r="Q9" s="322">
        <v>16</v>
      </c>
      <c r="R9" s="93">
        <v>17</v>
      </c>
      <c r="V9" s="303"/>
      <c r="W9" s="303"/>
      <c r="X9" s="303"/>
      <c r="Y9" s="303"/>
      <c r="Z9" s="303"/>
      <c r="AA9" s="303"/>
      <c r="AB9" s="303"/>
      <c r="AC9" s="303"/>
      <c r="AD9" s="303"/>
    </row>
    <row r="10" spans="1:39" s="302" customFormat="1" x14ac:dyDescent="0.2">
      <c r="B10" s="94"/>
      <c r="C10" s="20"/>
      <c r="D10" s="20"/>
      <c r="E10" s="288"/>
      <c r="F10" s="288"/>
      <c r="G10" s="20"/>
      <c r="H10" s="20"/>
      <c r="I10" s="288"/>
      <c r="J10" s="288"/>
      <c r="K10" s="20"/>
      <c r="L10" s="20"/>
      <c r="M10" s="20"/>
      <c r="N10" s="20"/>
      <c r="O10" s="20"/>
      <c r="P10" s="288"/>
      <c r="Q10" s="323"/>
      <c r="R10" s="95"/>
      <c r="V10" s="303"/>
      <c r="W10" s="303"/>
      <c r="X10" s="303"/>
      <c r="Y10" s="303"/>
      <c r="Z10" s="303"/>
      <c r="AA10" s="303"/>
      <c r="AB10" s="303"/>
      <c r="AC10" s="303"/>
      <c r="AD10" s="303"/>
    </row>
    <row r="11" spans="1:39" s="293" customFormat="1" ht="40.5" customHeight="1" x14ac:dyDescent="0.2">
      <c r="B11" s="58" t="s">
        <v>471</v>
      </c>
      <c r="C11" s="96" t="s">
        <v>1013</v>
      </c>
      <c r="D11" s="97"/>
      <c r="E11" s="98"/>
      <c r="F11" s="98"/>
      <c r="G11" s="98"/>
      <c r="H11" s="98"/>
      <c r="I11" s="98"/>
      <c r="J11" s="99"/>
      <c r="K11" s="98"/>
      <c r="L11" s="98"/>
      <c r="M11" s="288"/>
      <c r="N11" s="288"/>
      <c r="O11" s="98"/>
      <c r="P11" s="288"/>
      <c r="Q11" s="276">
        <f>Q13+Q339</f>
        <v>303713887574.97913</v>
      </c>
      <c r="R11" s="100"/>
      <c r="T11" s="304"/>
      <c r="V11" s="294"/>
      <c r="W11" s="294"/>
      <c r="X11" s="294">
        <f t="shared" ref="X11:AD11" si="0">X13+X339</f>
        <v>9300124332.8497314</v>
      </c>
      <c r="Y11" s="294">
        <f t="shared" si="0"/>
        <v>4737566072.4995947</v>
      </c>
      <c r="Z11" s="294">
        <f t="shared" si="0"/>
        <v>5016869180.3395977</v>
      </c>
      <c r="AA11" s="294">
        <f t="shared" si="0"/>
        <v>5074491175.5395985</v>
      </c>
      <c r="AB11" s="294">
        <f t="shared" si="0"/>
        <v>5074491175.5395985</v>
      </c>
      <c r="AC11" s="294" t="e">
        <f t="shared" si="0"/>
        <v>#N/A</v>
      </c>
      <c r="AD11" s="294" t="e">
        <f t="shared" si="0"/>
        <v>#N/A</v>
      </c>
      <c r="AE11" s="294"/>
      <c r="AF11" s="294" t="e">
        <f>AF13+AF339</f>
        <v>#N/A</v>
      </c>
      <c r="AH11" s="320"/>
    </row>
    <row r="12" spans="1:39" s="293" customFormat="1" ht="40.5" customHeight="1" x14ac:dyDescent="0.2">
      <c r="B12" s="58"/>
      <c r="C12" s="96" t="s">
        <v>52</v>
      </c>
      <c r="D12" s="97"/>
      <c r="E12" s="98"/>
      <c r="F12" s="98"/>
      <c r="G12" s="98"/>
      <c r="H12" s="98"/>
      <c r="I12" s="98"/>
      <c r="J12" s="99"/>
      <c r="K12" s="98"/>
      <c r="L12" s="98"/>
      <c r="M12" s="288"/>
      <c r="N12" s="288"/>
      <c r="O12" s="98"/>
      <c r="P12" s="288"/>
      <c r="Q12" s="276"/>
      <c r="R12" s="100"/>
      <c r="V12" s="294"/>
      <c r="W12" s="294"/>
      <c r="X12" s="294"/>
      <c r="Y12" s="294"/>
      <c r="Z12" s="294"/>
      <c r="AA12" s="294"/>
      <c r="AB12" s="294"/>
      <c r="AC12" s="294"/>
      <c r="AD12" s="294"/>
    </row>
    <row r="13" spans="1:39" s="293" customFormat="1" ht="40.5" customHeight="1" x14ac:dyDescent="0.2">
      <c r="B13" s="58" t="s">
        <v>470</v>
      </c>
      <c r="C13" s="96" t="s">
        <v>1014</v>
      </c>
      <c r="D13" s="63"/>
      <c r="E13" s="63"/>
      <c r="F13" s="63"/>
      <c r="G13" s="63"/>
      <c r="H13" s="63"/>
      <c r="I13" s="63"/>
      <c r="J13" s="25"/>
      <c r="K13" s="63"/>
      <c r="L13" s="63"/>
      <c r="M13" s="289"/>
      <c r="N13" s="289"/>
      <c r="O13" s="63"/>
      <c r="P13" s="289"/>
      <c r="Q13" s="232">
        <f>SUM(Q14:Q337)</f>
        <v>296502886440.97913</v>
      </c>
      <c r="R13" s="101"/>
      <c r="T13" s="305"/>
      <c r="V13" s="294"/>
      <c r="W13" s="294"/>
      <c r="X13" s="294">
        <f t="shared" ref="X13:AD13" si="1">SUM(X14:X336)</f>
        <v>8542245264.9297323</v>
      </c>
      <c r="Y13" s="294">
        <f t="shared" si="1"/>
        <v>4593346051.6195946</v>
      </c>
      <c r="Z13" s="294">
        <f t="shared" si="1"/>
        <v>4872649159.4595976</v>
      </c>
      <c r="AA13" s="294">
        <f t="shared" si="1"/>
        <v>4930271154.6595984</v>
      </c>
      <c r="AB13" s="294">
        <f t="shared" si="1"/>
        <v>4930271154.6595984</v>
      </c>
      <c r="AC13" s="294" t="e">
        <f t="shared" si="1"/>
        <v>#N/A</v>
      </c>
      <c r="AD13" s="294" t="e">
        <f t="shared" si="1"/>
        <v>#N/A</v>
      </c>
      <c r="AE13" s="294"/>
      <c r="AF13" s="294" t="e">
        <f>SUM(AF14:AF336)</f>
        <v>#N/A</v>
      </c>
      <c r="AH13" s="320"/>
    </row>
    <row r="14" spans="1:39" s="48" customFormat="1" ht="40.5" customHeight="1" x14ac:dyDescent="0.2">
      <c r="A14" s="295" t="s">
        <v>2302</v>
      </c>
      <c r="B14" s="73"/>
      <c r="C14" s="65" t="s">
        <v>469</v>
      </c>
      <c r="D14" s="67" t="s">
        <v>444</v>
      </c>
      <c r="E14" s="67"/>
      <c r="F14" s="33"/>
      <c r="G14" s="40"/>
      <c r="H14" s="40"/>
      <c r="I14" s="40"/>
      <c r="J14" s="65" t="s">
        <v>467</v>
      </c>
      <c r="K14" s="40">
        <v>1984</v>
      </c>
      <c r="L14" s="40"/>
      <c r="M14" s="32">
        <v>36</v>
      </c>
      <c r="N14" s="32" t="s">
        <v>430</v>
      </c>
      <c r="O14" s="40"/>
      <c r="P14" s="32" t="s">
        <v>12</v>
      </c>
      <c r="Q14" s="252">
        <v>27928800</v>
      </c>
      <c r="R14" s="61"/>
      <c r="S14" s="206" t="str">
        <f>A14</f>
        <v>3.11.01</v>
      </c>
      <c r="T14" s="207" t="str">
        <f t="shared" ref="T14:T77" si="2">VLOOKUP(S14,kelompok,2,0)</f>
        <v>BANGUNAN GEDUNG TEMPAT KERJA</v>
      </c>
      <c r="U14" s="207">
        <f t="shared" ref="U14:U77" si="3">VLOOKUP(S14,MASAMANFAAT,4,0)</f>
        <v>50</v>
      </c>
      <c r="V14" s="233">
        <f>(Q14-10)/U14</f>
        <v>558575.80000000005</v>
      </c>
      <c r="W14" s="233">
        <f>2013-AE14</f>
        <v>29</v>
      </c>
      <c r="X14" s="233">
        <f t="shared" ref="X14:X77" si="4">IF(W14&gt;U14,Q14-10,V14*W14)</f>
        <v>16198698.200000001</v>
      </c>
      <c r="Y14" s="233">
        <f t="shared" ref="Y14:Y77" si="5">IF(Q14-10=X14,0,V14)</f>
        <v>558575.80000000005</v>
      </c>
      <c r="Z14" s="233">
        <f t="shared" ref="Z14:Z77" si="6">IF(Q14-10=X14+Y14,0,V14)</f>
        <v>558575.80000000005</v>
      </c>
      <c r="AA14" s="233">
        <f t="shared" ref="AA14:AA77" si="7">IF(Q14-10=X14+Y14+Z14,0,V14)</f>
        <v>558575.80000000005</v>
      </c>
      <c r="AB14" s="238">
        <f t="shared" ref="AB14:AB77" si="8">IF(Q14-10=X14+Y14+Z14+AA14,0,V14)</f>
        <v>558575.80000000005</v>
      </c>
      <c r="AC14" s="238">
        <f>IF(Q14-10=X14+Y14+Z14+AA14+AB14,0,V14)</f>
        <v>558575.80000000005</v>
      </c>
      <c r="AD14" s="238">
        <f>SUM(X14:AC14)</f>
        <v>18991577.200000003</v>
      </c>
      <c r="AE14" s="206">
        <f>K14</f>
        <v>1984</v>
      </c>
      <c r="AF14" s="210">
        <f>Q14-AD14</f>
        <v>8937222.799999997</v>
      </c>
      <c r="AG14" s="48" t="e">
        <f t="shared" ref="AG14:AG45" si="9">VLOOKUP(C14,KAP,2,0)</f>
        <v>#N/A</v>
      </c>
      <c r="AH14" s="48" t="e">
        <f>IF(AG14='KIB C'!AJ:AJ,"k",0)</f>
        <v>#N/A</v>
      </c>
      <c r="AL14" s="48" t="s">
        <v>457</v>
      </c>
      <c r="AM14" s="48" t="s">
        <v>4245</v>
      </c>
    </row>
    <row r="15" spans="1:39" s="48" customFormat="1" ht="40.5" customHeight="1" x14ac:dyDescent="0.2">
      <c r="A15" s="295" t="s">
        <v>2302</v>
      </c>
      <c r="B15" s="73"/>
      <c r="C15" s="65" t="s">
        <v>468</v>
      </c>
      <c r="D15" s="67" t="s">
        <v>443</v>
      </c>
      <c r="E15" s="67"/>
      <c r="F15" s="33"/>
      <c r="G15" s="40"/>
      <c r="H15" s="40"/>
      <c r="I15" s="40"/>
      <c r="J15" s="65" t="s">
        <v>467</v>
      </c>
      <c r="K15" s="40">
        <v>1984</v>
      </c>
      <c r="L15" s="40"/>
      <c r="M15" s="32">
        <v>60</v>
      </c>
      <c r="N15" s="32" t="s">
        <v>430</v>
      </c>
      <c r="O15" s="40"/>
      <c r="P15" s="32" t="s">
        <v>12</v>
      </c>
      <c r="Q15" s="252">
        <v>46548000</v>
      </c>
      <c r="R15" s="61"/>
      <c r="S15" s="206" t="str">
        <f t="shared" ref="S15:S78" si="10">A15</f>
        <v>3.11.01</v>
      </c>
      <c r="T15" s="207" t="str">
        <f t="shared" si="2"/>
        <v>BANGUNAN GEDUNG TEMPAT KERJA</v>
      </c>
      <c r="U15" s="207">
        <f t="shared" si="3"/>
        <v>50</v>
      </c>
      <c r="V15" s="233">
        <f t="shared" ref="V15:V78" si="11">(Q15-10)/U15</f>
        <v>930959.8</v>
      </c>
      <c r="W15" s="233">
        <f t="shared" ref="W15:W78" si="12">2013-AE15</f>
        <v>29</v>
      </c>
      <c r="X15" s="233">
        <f t="shared" si="4"/>
        <v>26997834.200000003</v>
      </c>
      <c r="Y15" s="233">
        <f t="shared" si="5"/>
        <v>930959.8</v>
      </c>
      <c r="Z15" s="233">
        <f t="shared" si="6"/>
        <v>930959.8</v>
      </c>
      <c r="AA15" s="233">
        <f t="shared" si="7"/>
        <v>930959.8</v>
      </c>
      <c r="AB15" s="233">
        <f t="shared" si="8"/>
        <v>930959.8</v>
      </c>
      <c r="AC15" s="238">
        <f t="shared" ref="AC15:AC78" si="13">IF(Q15-10=X15+Y15+Z15+AA15+AB15,0,V15)</f>
        <v>930959.8</v>
      </c>
      <c r="AD15" s="238">
        <f t="shared" ref="AD15:AD78" si="14">SUM(X15:AC15)</f>
        <v>31652633.200000007</v>
      </c>
      <c r="AE15" s="206">
        <f t="shared" ref="AE15:AE78" si="15">K15</f>
        <v>1984</v>
      </c>
      <c r="AF15" s="210">
        <f t="shared" ref="AF15:AF78" si="16">Q15-AD15</f>
        <v>14895366.799999993</v>
      </c>
      <c r="AG15" s="48" t="e">
        <f t="shared" si="9"/>
        <v>#N/A</v>
      </c>
      <c r="AH15" s="48" t="e">
        <f>IF(AG15='KIB C'!AJ:AJ,"k",0)</f>
        <v>#N/A</v>
      </c>
      <c r="AL15" s="48" t="s">
        <v>1074</v>
      </c>
      <c r="AM15" s="48" t="s">
        <v>4245</v>
      </c>
    </row>
    <row r="16" spans="1:39" s="48" customFormat="1" ht="40.5" customHeight="1" x14ac:dyDescent="0.2">
      <c r="A16" s="295" t="s">
        <v>2302</v>
      </c>
      <c r="B16" s="73"/>
      <c r="C16" s="65" t="s">
        <v>466</v>
      </c>
      <c r="D16" s="67" t="s">
        <v>443</v>
      </c>
      <c r="E16" s="67"/>
      <c r="F16" s="33"/>
      <c r="G16" s="40"/>
      <c r="H16" s="40"/>
      <c r="I16" s="40"/>
      <c r="J16" s="65" t="s">
        <v>464</v>
      </c>
      <c r="K16" s="40">
        <v>1986</v>
      </c>
      <c r="L16" s="40"/>
      <c r="M16" s="32">
        <v>30</v>
      </c>
      <c r="N16" s="32" t="s">
        <v>430</v>
      </c>
      <c r="O16" s="40"/>
      <c r="P16" s="32" t="s">
        <v>433</v>
      </c>
      <c r="Q16" s="252">
        <v>25213500</v>
      </c>
      <c r="R16" s="61"/>
      <c r="S16" s="206" t="str">
        <f t="shared" si="10"/>
        <v>3.11.01</v>
      </c>
      <c r="T16" s="207" t="str">
        <f t="shared" si="2"/>
        <v>BANGUNAN GEDUNG TEMPAT KERJA</v>
      </c>
      <c r="U16" s="207">
        <f t="shared" si="3"/>
        <v>50</v>
      </c>
      <c r="V16" s="233">
        <f t="shared" si="11"/>
        <v>504269.8</v>
      </c>
      <c r="W16" s="233">
        <f t="shared" si="12"/>
        <v>27</v>
      </c>
      <c r="X16" s="233">
        <f t="shared" si="4"/>
        <v>13615284.6</v>
      </c>
      <c r="Y16" s="233">
        <f t="shared" si="5"/>
        <v>504269.8</v>
      </c>
      <c r="Z16" s="233">
        <f t="shared" si="6"/>
        <v>504269.8</v>
      </c>
      <c r="AA16" s="233">
        <f t="shared" si="7"/>
        <v>504269.8</v>
      </c>
      <c r="AB16" s="233">
        <f t="shared" si="8"/>
        <v>504269.8</v>
      </c>
      <c r="AC16" s="238">
        <f t="shared" si="13"/>
        <v>504269.8</v>
      </c>
      <c r="AD16" s="238">
        <f t="shared" si="14"/>
        <v>16136633.600000003</v>
      </c>
      <c r="AE16" s="206">
        <f t="shared" si="15"/>
        <v>1986</v>
      </c>
      <c r="AF16" s="210">
        <f t="shared" si="16"/>
        <v>9076866.3999999966</v>
      </c>
      <c r="AG16" s="48" t="e">
        <f t="shared" si="9"/>
        <v>#N/A</v>
      </c>
      <c r="AH16" s="48" t="e">
        <f>IF(AG16='KIB C'!AJ:AJ,"k",0)</f>
        <v>#N/A</v>
      </c>
      <c r="AL16" s="48" t="s">
        <v>419</v>
      </c>
      <c r="AM16" s="48" t="s">
        <v>4245</v>
      </c>
    </row>
    <row r="17" spans="1:39" s="48" customFormat="1" ht="40.5" customHeight="1" x14ac:dyDescent="0.2">
      <c r="A17" s="295" t="s">
        <v>2302</v>
      </c>
      <c r="B17" s="73"/>
      <c r="C17" s="65" t="s">
        <v>465</v>
      </c>
      <c r="D17" s="67" t="s">
        <v>444</v>
      </c>
      <c r="E17" s="67"/>
      <c r="F17" s="33"/>
      <c r="G17" s="40"/>
      <c r="H17" s="40"/>
      <c r="I17" s="40"/>
      <c r="J17" s="65" t="s">
        <v>464</v>
      </c>
      <c r="K17" s="40">
        <v>1986</v>
      </c>
      <c r="L17" s="40"/>
      <c r="M17" s="32">
        <v>63</v>
      </c>
      <c r="N17" s="32" t="s">
        <v>430</v>
      </c>
      <c r="O17" s="40"/>
      <c r="P17" s="32" t="s">
        <v>433</v>
      </c>
      <c r="Q17" s="252">
        <v>52948350</v>
      </c>
      <c r="R17" s="61"/>
      <c r="S17" s="206" t="str">
        <f t="shared" si="10"/>
        <v>3.11.01</v>
      </c>
      <c r="T17" s="207" t="str">
        <f t="shared" si="2"/>
        <v>BANGUNAN GEDUNG TEMPAT KERJA</v>
      </c>
      <c r="U17" s="207">
        <f t="shared" si="3"/>
        <v>50</v>
      </c>
      <c r="V17" s="233">
        <f t="shared" si="11"/>
        <v>1058966.8</v>
      </c>
      <c r="W17" s="233">
        <f t="shared" si="12"/>
        <v>27</v>
      </c>
      <c r="X17" s="233">
        <f t="shared" si="4"/>
        <v>28592103.600000001</v>
      </c>
      <c r="Y17" s="233">
        <f t="shared" si="5"/>
        <v>1058966.8</v>
      </c>
      <c r="Z17" s="233">
        <f t="shared" si="6"/>
        <v>1058966.8</v>
      </c>
      <c r="AA17" s="233">
        <f t="shared" si="7"/>
        <v>1058966.8</v>
      </c>
      <c r="AB17" s="233">
        <f t="shared" si="8"/>
        <v>1058966.8</v>
      </c>
      <c r="AC17" s="238">
        <f t="shared" si="13"/>
        <v>1058966.8</v>
      </c>
      <c r="AD17" s="238">
        <f t="shared" si="14"/>
        <v>33886937.600000001</v>
      </c>
      <c r="AE17" s="206">
        <f t="shared" si="15"/>
        <v>1986</v>
      </c>
      <c r="AF17" s="210">
        <f t="shared" si="16"/>
        <v>19061412.399999999</v>
      </c>
      <c r="AG17" s="48" t="e">
        <f t="shared" si="9"/>
        <v>#N/A</v>
      </c>
      <c r="AH17" s="48" t="e">
        <f>IF(AG17='KIB C'!AJ:AJ,"k",0)</f>
        <v>#N/A</v>
      </c>
      <c r="AL17" s="48" t="s">
        <v>1077</v>
      </c>
      <c r="AM17" s="48" t="s">
        <v>4245</v>
      </c>
    </row>
    <row r="18" spans="1:39" s="48" customFormat="1" ht="40.5" customHeight="1" x14ac:dyDescent="0.2">
      <c r="A18" s="295" t="s">
        <v>2302</v>
      </c>
      <c r="B18" s="73"/>
      <c r="C18" s="65" t="s">
        <v>463</v>
      </c>
      <c r="D18" s="67" t="s">
        <v>462</v>
      </c>
      <c r="E18" s="67"/>
      <c r="F18" s="33" t="s">
        <v>43</v>
      </c>
      <c r="G18" s="40"/>
      <c r="H18" s="40"/>
      <c r="I18" s="40"/>
      <c r="J18" s="65" t="s">
        <v>20</v>
      </c>
      <c r="K18" s="40">
        <v>1999</v>
      </c>
      <c r="L18" s="40"/>
      <c r="M18" s="32">
        <v>152</v>
      </c>
      <c r="N18" s="32" t="s">
        <v>11</v>
      </c>
      <c r="O18" s="40"/>
      <c r="P18" s="32" t="s">
        <v>12</v>
      </c>
      <c r="Q18" s="252">
        <v>127748400</v>
      </c>
      <c r="R18" s="61"/>
      <c r="S18" s="206" t="str">
        <f t="shared" si="10"/>
        <v>3.11.01</v>
      </c>
      <c r="T18" s="207" t="str">
        <f t="shared" si="2"/>
        <v>BANGUNAN GEDUNG TEMPAT KERJA</v>
      </c>
      <c r="U18" s="207">
        <f t="shared" si="3"/>
        <v>50</v>
      </c>
      <c r="V18" s="233">
        <f t="shared" si="11"/>
        <v>2554967.7999999998</v>
      </c>
      <c r="W18" s="233">
        <f t="shared" si="12"/>
        <v>14</v>
      </c>
      <c r="X18" s="233">
        <f t="shared" si="4"/>
        <v>35769549.199999996</v>
      </c>
      <c r="Y18" s="233">
        <f t="shared" si="5"/>
        <v>2554967.7999999998</v>
      </c>
      <c r="Z18" s="233">
        <f t="shared" si="6"/>
        <v>2554967.7999999998</v>
      </c>
      <c r="AA18" s="233">
        <f t="shared" si="7"/>
        <v>2554967.7999999998</v>
      </c>
      <c r="AB18" s="233">
        <f t="shared" si="8"/>
        <v>2554967.7999999998</v>
      </c>
      <c r="AC18" s="238">
        <f t="shared" si="13"/>
        <v>2554967.7999999998</v>
      </c>
      <c r="AD18" s="238">
        <f t="shared" si="14"/>
        <v>48544388.199999981</v>
      </c>
      <c r="AE18" s="206">
        <f t="shared" si="15"/>
        <v>1999</v>
      </c>
      <c r="AF18" s="210">
        <f t="shared" si="16"/>
        <v>79204011.800000012</v>
      </c>
      <c r="AG18" s="48" t="e">
        <f t="shared" si="9"/>
        <v>#N/A</v>
      </c>
      <c r="AH18" s="48" t="e">
        <f>IF(AG18='KIB C'!AJ:AJ,"k",0)</f>
        <v>#N/A</v>
      </c>
      <c r="AL18" s="48" t="s">
        <v>3027</v>
      </c>
      <c r="AM18" s="48" t="s">
        <v>4245</v>
      </c>
    </row>
    <row r="19" spans="1:39" s="48" customFormat="1" ht="40.5" customHeight="1" x14ac:dyDescent="0.2">
      <c r="A19" s="295" t="s">
        <v>2302</v>
      </c>
      <c r="B19" s="73"/>
      <c r="C19" s="65" t="s">
        <v>461</v>
      </c>
      <c r="D19" s="67" t="s">
        <v>440</v>
      </c>
      <c r="E19" s="67"/>
      <c r="F19" s="33" t="s">
        <v>43</v>
      </c>
      <c r="G19" s="40"/>
      <c r="H19" s="40"/>
      <c r="I19" s="40"/>
      <c r="J19" s="65" t="s">
        <v>10</v>
      </c>
      <c r="K19" s="40">
        <v>2000</v>
      </c>
      <c r="L19" s="40"/>
      <c r="M19" s="32">
        <v>192</v>
      </c>
      <c r="N19" s="32" t="s">
        <v>11</v>
      </c>
      <c r="O19" s="40"/>
      <c r="P19" s="32" t="s">
        <v>12</v>
      </c>
      <c r="Q19" s="252">
        <v>186192000</v>
      </c>
      <c r="R19" s="61"/>
      <c r="S19" s="206" t="str">
        <f t="shared" si="10"/>
        <v>3.11.01</v>
      </c>
      <c r="T19" s="207" t="str">
        <f t="shared" si="2"/>
        <v>BANGUNAN GEDUNG TEMPAT KERJA</v>
      </c>
      <c r="U19" s="207">
        <f t="shared" si="3"/>
        <v>50</v>
      </c>
      <c r="V19" s="233">
        <f t="shared" si="11"/>
        <v>3723839.8</v>
      </c>
      <c r="W19" s="233">
        <f t="shared" si="12"/>
        <v>13</v>
      </c>
      <c r="X19" s="233">
        <f t="shared" si="4"/>
        <v>48409917.399999999</v>
      </c>
      <c r="Y19" s="233">
        <f t="shared" si="5"/>
        <v>3723839.8</v>
      </c>
      <c r="Z19" s="233">
        <f t="shared" si="6"/>
        <v>3723839.8</v>
      </c>
      <c r="AA19" s="233">
        <f t="shared" si="7"/>
        <v>3723839.8</v>
      </c>
      <c r="AB19" s="233">
        <f t="shared" si="8"/>
        <v>3723839.8</v>
      </c>
      <c r="AC19" s="238">
        <f t="shared" si="13"/>
        <v>3723839.8</v>
      </c>
      <c r="AD19" s="238">
        <f t="shared" si="14"/>
        <v>67029116.399999984</v>
      </c>
      <c r="AE19" s="206">
        <f t="shared" si="15"/>
        <v>2000</v>
      </c>
      <c r="AF19" s="210">
        <f t="shared" si="16"/>
        <v>119162883.60000002</v>
      </c>
      <c r="AG19" s="48" t="e">
        <f t="shared" si="9"/>
        <v>#N/A</v>
      </c>
      <c r="AH19" s="48" t="e">
        <f>IF(AG19='KIB C'!AJ:AJ,"k",0)</f>
        <v>#N/A</v>
      </c>
      <c r="AL19" s="48" t="s">
        <v>3028</v>
      </c>
      <c r="AM19" s="48" t="s">
        <v>4245</v>
      </c>
    </row>
    <row r="20" spans="1:39" s="48" customFormat="1" ht="40.5" customHeight="1" x14ac:dyDescent="0.2">
      <c r="A20" s="295" t="s">
        <v>2302</v>
      </c>
      <c r="B20" s="73"/>
      <c r="C20" s="65" t="s">
        <v>460</v>
      </c>
      <c r="D20" s="67" t="s">
        <v>438</v>
      </c>
      <c r="E20" s="67"/>
      <c r="F20" s="33" t="s">
        <v>43</v>
      </c>
      <c r="G20" s="40"/>
      <c r="H20" s="40"/>
      <c r="I20" s="40"/>
      <c r="J20" s="65" t="s">
        <v>10</v>
      </c>
      <c r="K20" s="40">
        <v>2000</v>
      </c>
      <c r="L20" s="40"/>
      <c r="M20" s="32">
        <v>80</v>
      </c>
      <c r="N20" s="32" t="s">
        <v>11</v>
      </c>
      <c r="O20" s="40"/>
      <c r="P20" s="32" t="s">
        <v>12</v>
      </c>
      <c r="Q20" s="252">
        <v>77580000</v>
      </c>
      <c r="R20" s="61"/>
      <c r="S20" s="206" t="str">
        <f t="shared" si="10"/>
        <v>3.11.01</v>
      </c>
      <c r="T20" s="207" t="str">
        <f t="shared" si="2"/>
        <v>BANGUNAN GEDUNG TEMPAT KERJA</v>
      </c>
      <c r="U20" s="207">
        <f t="shared" si="3"/>
        <v>50</v>
      </c>
      <c r="V20" s="233">
        <f t="shared" si="11"/>
        <v>1551599.8</v>
      </c>
      <c r="W20" s="233">
        <f t="shared" si="12"/>
        <v>13</v>
      </c>
      <c r="X20" s="233">
        <f t="shared" si="4"/>
        <v>20170797.400000002</v>
      </c>
      <c r="Y20" s="233">
        <f t="shared" si="5"/>
        <v>1551599.8</v>
      </c>
      <c r="Z20" s="233">
        <f t="shared" si="6"/>
        <v>1551599.8</v>
      </c>
      <c r="AA20" s="233">
        <f t="shared" si="7"/>
        <v>1551599.8</v>
      </c>
      <c r="AB20" s="233">
        <f t="shared" si="8"/>
        <v>1551599.8</v>
      </c>
      <c r="AC20" s="238">
        <f t="shared" si="13"/>
        <v>1551599.8</v>
      </c>
      <c r="AD20" s="238">
        <f t="shared" si="14"/>
        <v>27928796.400000006</v>
      </c>
      <c r="AE20" s="206">
        <f t="shared" si="15"/>
        <v>2000</v>
      </c>
      <c r="AF20" s="210">
        <f t="shared" si="16"/>
        <v>49651203.599999994</v>
      </c>
      <c r="AG20" s="48" t="e">
        <f t="shared" si="9"/>
        <v>#N/A</v>
      </c>
      <c r="AH20" s="48" t="e">
        <f>IF(AG20='KIB C'!AJ:AJ,"k",0)</f>
        <v>#N/A</v>
      </c>
      <c r="AL20" s="48" t="s">
        <v>439</v>
      </c>
      <c r="AM20" s="48" t="s">
        <v>4245</v>
      </c>
    </row>
    <row r="21" spans="1:39" s="48" customFormat="1" ht="40.5" customHeight="1" x14ac:dyDescent="0.2">
      <c r="A21" s="295" t="s">
        <v>2302</v>
      </c>
      <c r="B21" s="73"/>
      <c r="C21" s="65" t="s">
        <v>459</v>
      </c>
      <c r="D21" s="67" t="s">
        <v>458</v>
      </c>
      <c r="E21" s="67"/>
      <c r="F21" s="33" t="s">
        <v>43</v>
      </c>
      <c r="G21" s="40"/>
      <c r="H21" s="40"/>
      <c r="I21" s="40"/>
      <c r="J21" s="65" t="s">
        <v>10</v>
      </c>
      <c r="K21" s="40">
        <v>2000</v>
      </c>
      <c r="L21" s="40"/>
      <c r="M21" s="32">
        <v>48</v>
      </c>
      <c r="N21" s="32" t="s">
        <v>11</v>
      </c>
      <c r="O21" s="40"/>
      <c r="P21" s="32" t="s">
        <v>12</v>
      </c>
      <c r="Q21" s="252">
        <v>14760000</v>
      </c>
      <c r="R21" s="61"/>
      <c r="S21" s="206" t="str">
        <f t="shared" si="10"/>
        <v>3.11.01</v>
      </c>
      <c r="T21" s="207" t="str">
        <f t="shared" si="2"/>
        <v>BANGUNAN GEDUNG TEMPAT KERJA</v>
      </c>
      <c r="U21" s="207">
        <f t="shared" si="3"/>
        <v>50</v>
      </c>
      <c r="V21" s="233">
        <f t="shared" si="11"/>
        <v>295199.8</v>
      </c>
      <c r="W21" s="233">
        <f t="shared" si="12"/>
        <v>13</v>
      </c>
      <c r="X21" s="233">
        <f t="shared" si="4"/>
        <v>3837597.4</v>
      </c>
      <c r="Y21" s="233">
        <f t="shared" si="5"/>
        <v>295199.8</v>
      </c>
      <c r="Z21" s="233">
        <f t="shared" si="6"/>
        <v>295199.8</v>
      </c>
      <c r="AA21" s="233">
        <f t="shared" si="7"/>
        <v>295199.8</v>
      </c>
      <c r="AB21" s="233">
        <f t="shared" si="8"/>
        <v>295199.8</v>
      </c>
      <c r="AC21" s="238">
        <f t="shared" si="13"/>
        <v>295199.8</v>
      </c>
      <c r="AD21" s="238">
        <f t="shared" si="14"/>
        <v>5313596.3999999994</v>
      </c>
      <c r="AE21" s="206">
        <f t="shared" si="15"/>
        <v>2000</v>
      </c>
      <c r="AF21" s="210">
        <f t="shared" si="16"/>
        <v>9446403.6000000015</v>
      </c>
      <c r="AG21" s="48" t="e">
        <f t="shared" si="9"/>
        <v>#N/A</v>
      </c>
      <c r="AH21" s="48" t="e">
        <f>IF(AG21='KIB C'!AJ:AJ,"k",0)</f>
        <v>#N/A</v>
      </c>
      <c r="AL21" s="48" t="s">
        <v>442</v>
      </c>
      <c r="AM21" s="48" t="s">
        <v>4245</v>
      </c>
    </row>
    <row r="22" spans="1:39" s="48" customFormat="1" ht="40.5" customHeight="1" x14ac:dyDescent="0.2">
      <c r="A22" s="295" t="s">
        <v>2302</v>
      </c>
      <c r="B22" s="73"/>
      <c r="C22" s="65" t="s">
        <v>457</v>
      </c>
      <c r="D22" s="67" t="s">
        <v>443</v>
      </c>
      <c r="E22" s="67"/>
      <c r="F22" s="33" t="s">
        <v>43</v>
      </c>
      <c r="G22" s="40"/>
      <c r="H22" s="40"/>
      <c r="I22" s="40"/>
      <c r="J22" s="65" t="s">
        <v>456</v>
      </c>
      <c r="K22" s="40">
        <v>2000</v>
      </c>
      <c r="L22" s="40"/>
      <c r="M22" s="32">
        <v>499.5</v>
      </c>
      <c r="N22" s="32" t="s">
        <v>11</v>
      </c>
      <c r="O22" s="40"/>
      <c r="P22" s="32" t="s">
        <v>12</v>
      </c>
      <c r="Q22" s="252">
        <v>811188000</v>
      </c>
      <c r="R22" s="61"/>
      <c r="S22" s="206" t="str">
        <f t="shared" si="10"/>
        <v>3.11.01</v>
      </c>
      <c r="T22" s="207" t="str">
        <f t="shared" si="2"/>
        <v>BANGUNAN GEDUNG TEMPAT KERJA</v>
      </c>
      <c r="U22" s="207">
        <f t="shared" si="3"/>
        <v>50</v>
      </c>
      <c r="V22" s="233">
        <f t="shared" si="11"/>
        <v>16223759.800000001</v>
      </c>
      <c r="W22" s="233">
        <f t="shared" si="12"/>
        <v>13</v>
      </c>
      <c r="X22" s="233">
        <f t="shared" si="4"/>
        <v>210908877.40000001</v>
      </c>
      <c r="Y22" s="233">
        <f t="shared" si="5"/>
        <v>16223759.800000001</v>
      </c>
      <c r="Z22" s="233">
        <f t="shared" si="6"/>
        <v>16223759.800000001</v>
      </c>
      <c r="AA22" s="233">
        <f t="shared" si="7"/>
        <v>16223759.800000001</v>
      </c>
      <c r="AB22" s="233">
        <f t="shared" si="8"/>
        <v>16223759.800000001</v>
      </c>
      <c r="AC22" s="238">
        <f t="shared" si="13"/>
        <v>16223759.800000001</v>
      </c>
      <c r="AD22" s="238">
        <f t="shared" si="14"/>
        <v>292027676.40000004</v>
      </c>
      <c r="AE22" s="206">
        <f t="shared" si="15"/>
        <v>2000</v>
      </c>
      <c r="AF22" s="210">
        <f t="shared" si="16"/>
        <v>519160323.59999996</v>
      </c>
      <c r="AG22" s="48" t="str">
        <f t="shared" si="9"/>
        <v>K</v>
      </c>
      <c r="AL22" s="48" t="s">
        <v>442</v>
      </c>
      <c r="AM22" s="48" t="s">
        <v>4245</v>
      </c>
    </row>
    <row r="23" spans="1:39" s="48" customFormat="1" ht="40.5" customHeight="1" x14ac:dyDescent="0.2">
      <c r="A23" s="295" t="s">
        <v>2302</v>
      </c>
      <c r="B23" s="73"/>
      <c r="C23" s="65" t="s">
        <v>455</v>
      </c>
      <c r="D23" s="67" t="s">
        <v>454</v>
      </c>
      <c r="E23" s="67"/>
      <c r="F23" s="33" t="s">
        <v>43</v>
      </c>
      <c r="G23" s="40"/>
      <c r="H23" s="40"/>
      <c r="I23" s="40"/>
      <c r="J23" s="65" t="s">
        <v>10</v>
      </c>
      <c r="K23" s="40">
        <v>2000</v>
      </c>
      <c r="L23" s="40"/>
      <c r="M23" s="32">
        <v>36</v>
      </c>
      <c r="N23" s="32" t="s">
        <v>11</v>
      </c>
      <c r="O23" s="40"/>
      <c r="P23" s="32" t="s">
        <v>12</v>
      </c>
      <c r="Q23" s="252">
        <v>35370000</v>
      </c>
      <c r="R23" s="61"/>
      <c r="S23" s="206" t="str">
        <f t="shared" si="10"/>
        <v>3.11.01</v>
      </c>
      <c r="T23" s="207" t="str">
        <f t="shared" si="2"/>
        <v>BANGUNAN GEDUNG TEMPAT KERJA</v>
      </c>
      <c r="U23" s="207">
        <f t="shared" si="3"/>
        <v>50</v>
      </c>
      <c r="V23" s="233">
        <f t="shared" si="11"/>
        <v>707399.8</v>
      </c>
      <c r="W23" s="233">
        <f t="shared" si="12"/>
        <v>13</v>
      </c>
      <c r="X23" s="233">
        <f t="shared" si="4"/>
        <v>9196197.4000000004</v>
      </c>
      <c r="Y23" s="233">
        <f t="shared" si="5"/>
        <v>707399.8</v>
      </c>
      <c r="Z23" s="233">
        <f t="shared" si="6"/>
        <v>707399.8</v>
      </c>
      <c r="AA23" s="233">
        <f t="shared" si="7"/>
        <v>707399.8</v>
      </c>
      <c r="AB23" s="233">
        <f t="shared" si="8"/>
        <v>707399.8</v>
      </c>
      <c r="AC23" s="238">
        <f t="shared" si="13"/>
        <v>707399.8</v>
      </c>
      <c r="AD23" s="238">
        <f t="shared" si="14"/>
        <v>12733196.400000004</v>
      </c>
      <c r="AE23" s="206">
        <f t="shared" si="15"/>
        <v>2000</v>
      </c>
      <c r="AF23" s="210">
        <f t="shared" si="16"/>
        <v>22636803.599999994</v>
      </c>
      <c r="AG23" s="48" t="e">
        <f t="shared" si="9"/>
        <v>#N/A</v>
      </c>
      <c r="AH23" s="48" t="e">
        <f>IF(AG23='KIB C'!AJ:AJ,"k",0)</f>
        <v>#N/A</v>
      </c>
      <c r="AL23" s="48" t="s">
        <v>439</v>
      </c>
      <c r="AM23" s="48" t="s">
        <v>4245</v>
      </c>
    </row>
    <row r="24" spans="1:39" s="48" customFormat="1" ht="40.5" customHeight="1" x14ac:dyDescent="0.2">
      <c r="A24" s="295" t="s">
        <v>2302</v>
      </c>
      <c r="B24" s="73"/>
      <c r="C24" s="65" t="s">
        <v>453</v>
      </c>
      <c r="D24" s="67" t="s">
        <v>452</v>
      </c>
      <c r="E24" s="67"/>
      <c r="F24" s="33" t="s">
        <v>43</v>
      </c>
      <c r="G24" s="40"/>
      <c r="H24" s="40"/>
      <c r="I24" s="40"/>
      <c r="J24" s="65" t="s">
        <v>10</v>
      </c>
      <c r="K24" s="40">
        <v>2000</v>
      </c>
      <c r="L24" s="40"/>
      <c r="M24" s="32">
        <v>36</v>
      </c>
      <c r="N24" s="32" t="s">
        <v>11</v>
      </c>
      <c r="O24" s="40"/>
      <c r="P24" s="32" t="s">
        <v>12</v>
      </c>
      <c r="Q24" s="252">
        <v>35370000</v>
      </c>
      <c r="R24" s="61"/>
      <c r="S24" s="206" t="str">
        <f t="shared" si="10"/>
        <v>3.11.01</v>
      </c>
      <c r="T24" s="207" t="str">
        <f t="shared" si="2"/>
        <v>BANGUNAN GEDUNG TEMPAT KERJA</v>
      </c>
      <c r="U24" s="207">
        <f t="shared" si="3"/>
        <v>50</v>
      </c>
      <c r="V24" s="233">
        <f t="shared" si="11"/>
        <v>707399.8</v>
      </c>
      <c r="W24" s="233">
        <f t="shared" si="12"/>
        <v>13</v>
      </c>
      <c r="X24" s="233">
        <f t="shared" si="4"/>
        <v>9196197.4000000004</v>
      </c>
      <c r="Y24" s="233">
        <f t="shared" si="5"/>
        <v>707399.8</v>
      </c>
      <c r="Z24" s="233">
        <f t="shared" si="6"/>
        <v>707399.8</v>
      </c>
      <c r="AA24" s="233">
        <f t="shared" si="7"/>
        <v>707399.8</v>
      </c>
      <c r="AB24" s="233">
        <f t="shared" si="8"/>
        <v>707399.8</v>
      </c>
      <c r="AC24" s="238">
        <f t="shared" si="13"/>
        <v>707399.8</v>
      </c>
      <c r="AD24" s="238">
        <f t="shared" si="14"/>
        <v>12733196.400000004</v>
      </c>
      <c r="AE24" s="206">
        <f t="shared" si="15"/>
        <v>2000</v>
      </c>
      <c r="AF24" s="210">
        <f t="shared" si="16"/>
        <v>22636803.599999994</v>
      </c>
      <c r="AG24" s="48" t="e">
        <f t="shared" si="9"/>
        <v>#N/A</v>
      </c>
      <c r="AH24" s="48" t="e">
        <f>IF(AG24='KIB C'!AJ:AJ,"k",0)</f>
        <v>#N/A</v>
      </c>
      <c r="AL24" s="48" t="s">
        <v>1016</v>
      </c>
      <c r="AM24" s="48" t="s">
        <v>4245</v>
      </c>
    </row>
    <row r="25" spans="1:39" s="48" customFormat="1" ht="40.5" customHeight="1" x14ac:dyDescent="0.2">
      <c r="A25" s="295" t="s">
        <v>2302</v>
      </c>
      <c r="B25" s="73"/>
      <c r="C25" s="65" t="s">
        <v>451</v>
      </c>
      <c r="D25" s="67" t="s">
        <v>450</v>
      </c>
      <c r="E25" s="67"/>
      <c r="F25" s="33" t="s">
        <v>43</v>
      </c>
      <c r="G25" s="40"/>
      <c r="H25" s="40"/>
      <c r="I25" s="40"/>
      <c r="J25" s="65" t="s">
        <v>10</v>
      </c>
      <c r="K25" s="40">
        <v>2000</v>
      </c>
      <c r="L25" s="40"/>
      <c r="M25" s="32">
        <v>18</v>
      </c>
      <c r="N25" s="32" t="s">
        <v>11</v>
      </c>
      <c r="O25" s="40"/>
      <c r="P25" s="32" t="s">
        <v>12</v>
      </c>
      <c r="Q25" s="252">
        <v>17685000</v>
      </c>
      <c r="R25" s="61"/>
      <c r="S25" s="206" t="str">
        <f t="shared" si="10"/>
        <v>3.11.01</v>
      </c>
      <c r="T25" s="207" t="str">
        <f t="shared" si="2"/>
        <v>BANGUNAN GEDUNG TEMPAT KERJA</v>
      </c>
      <c r="U25" s="207">
        <f t="shared" si="3"/>
        <v>50</v>
      </c>
      <c r="V25" s="233">
        <f t="shared" si="11"/>
        <v>353699.8</v>
      </c>
      <c r="W25" s="233">
        <f t="shared" si="12"/>
        <v>13</v>
      </c>
      <c r="X25" s="233">
        <f t="shared" si="4"/>
        <v>4598097.3999999994</v>
      </c>
      <c r="Y25" s="233">
        <f t="shared" si="5"/>
        <v>353699.8</v>
      </c>
      <c r="Z25" s="233">
        <f t="shared" si="6"/>
        <v>353699.8</v>
      </c>
      <c r="AA25" s="233">
        <f t="shared" si="7"/>
        <v>353699.8</v>
      </c>
      <c r="AB25" s="233">
        <f t="shared" si="8"/>
        <v>353699.8</v>
      </c>
      <c r="AC25" s="238">
        <f t="shared" si="13"/>
        <v>353699.8</v>
      </c>
      <c r="AD25" s="238">
        <f t="shared" si="14"/>
        <v>6366596.3999999985</v>
      </c>
      <c r="AE25" s="206">
        <f t="shared" si="15"/>
        <v>2000</v>
      </c>
      <c r="AF25" s="210">
        <f t="shared" si="16"/>
        <v>11318403.600000001</v>
      </c>
      <c r="AG25" s="48" t="e">
        <f t="shared" si="9"/>
        <v>#N/A</v>
      </c>
      <c r="AH25" s="48" t="e">
        <f>IF(AG25='KIB C'!AJ:AJ,"k",0)</f>
        <v>#N/A</v>
      </c>
      <c r="AL25" s="48" t="s">
        <v>1047</v>
      </c>
      <c r="AM25" s="48" t="s">
        <v>4245</v>
      </c>
    </row>
    <row r="26" spans="1:39" s="48" customFormat="1" ht="40.5" customHeight="1" x14ac:dyDescent="0.2">
      <c r="A26" s="295" t="s">
        <v>2302</v>
      </c>
      <c r="B26" s="73"/>
      <c r="C26" s="65" t="s">
        <v>449</v>
      </c>
      <c r="D26" s="67" t="s">
        <v>448</v>
      </c>
      <c r="E26" s="67"/>
      <c r="F26" s="33" t="s">
        <v>43</v>
      </c>
      <c r="G26" s="40"/>
      <c r="H26" s="40"/>
      <c r="I26" s="40"/>
      <c r="J26" s="65" t="s">
        <v>10</v>
      </c>
      <c r="K26" s="40">
        <v>2000</v>
      </c>
      <c r="L26" s="40"/>
      <c r="M26" s="32">
        <v>64</v>
      </c>
      <c r="N26" s="32" t="s">
        <v>11</v>
      </c>
      <c r="O26" s="40"/>
      <c r="P26" s="32" t="s">
        <v>12</v>
      </c>
      <c r="Q26" s="252">
        <v>19680000</v>
      </c>
      <c r="R26" s="61"/>
      <c r="S26" s="206" t="str">
        <f t="shared" si="10"/>
        <v>3.11.01</v>
      </c>
      <c r="T26" s="207" t="str">
        <f t="shared" si="2"/>
        <v>BANGUNAN GEDUNG TEMPAT KERJA</v>
      </c>
      <c r="U26" s="207">
        <f t="shared" si="3"/>
        <v>50</v>
      </c>
      <c r="V26" s="233">
        <f t="shared" si="11"/>
        <v>393599.8</v>
      </c>
      <c r="W26" s="233">
        <f t="shared" si="12"/>
        <v>13</v>
      </c>
      <c r="X26" s="233">
        <f t="shared" si="4"/>
        <v>5116797.3999999994</v>
      </c>
      <c r="Y26" s="233">
        <f t="shared" si="5"/>
        <v>393599.8</v>
      </c>
      <c r="Z26" s="233">
        <f t="shared" si="6"/>
        <v>393599.8</v>
      </c>
      <c r="AA26" s="233">
        <f t="shared" si="7"/>
        <v>393599.8</v>
      </c>
      <c r="AB26" s="233">
        <f t="shared" si="8"/>
        <v>393599.8</v>
      </c>
      <c r="AC26" s="238">
        <f t="shared" si="13"/>
        <v>393599.8</v>
      </c>
      <c r="AD26" s="238">
        <f t="shared" si="14"/>
        <v>7084796.3999999985</v>
      </c>
      <c r="AE26" s="206">
        <f t="shared" si="15"/>
        <v>2000</v>
      </c>
      <c r="AF26" s="210">
        <f t="shared" si="16"/>
        <v>12595203.600000001</v>
      </c>
      <c r="AG26" s="48" t="e">
        <f t="shared" si="9"/>
        <v>#N/A</v>
      </c>
      <c r="AH26" s="48" t="e">
        <f>IF(AG26='KIB C'!AJ:AJ,"k",0)</f>
        <v>#N/A</v>
      </c>
      <c r="AL26" s="48" t="s">
        <v>2786</v>
      </c>
      <c r="AM26" s="48" t="s">
        <v>4245</v>
      </c>
    </row>
    <row r="27" spans="1:39" s="48" customFormat="1" ht="40.5" customHeight="1" x14ac:dyDescent="0.2">
      <c r="A27" s="295" t="s">
        <v>2302</v>
      </c>
      <c r="B27" s="73"/>
      <c r="C27" s="65" t="s">
        <v>447</v>
      </c>
      <c r="D27" s="67" t="s">
        <v>446</v>
      </c>
      <c r="E27" s="67"/>
      <c r="F27" s="33" t="s">
        <v>43</v>
      </c>
      <c r="G27" s="40"/>
      <c r="H27" s="40"/>
      <c r="I27" s="40"/>
      <c r="J27" s="65" t="s">
        <v>10</v>
      </c>
      <c r="K27" s="40">
        <v>2000</v>
      </c>
      <c r="L27" s="40"/>
      <c r="M27" s="32">
        <v>4</v>
      </c>
      <c r="N27" s="32" t="s">
        <v>11</v>
      </c>
      <c r="O27" s="40"/>
      <c r="P27" s="32" t="s">
        <v>12</v>
      </c>
      <c r="Q27" s="252">
        <v>3879000</v>
      </c>
      <c r="R27" s="61"/>
      <c r="S27" s="206" t="str">
        <f t="shared" si="10"/>
        <v>3.11.01</v>
      </c>
      <c r="T27" s="207" t="str">
        <f t="shared" si="2"/>
        <v>BANGUNAN GEDUNG TEMPAT KERJA</v>
      </c>
      <c r="U27" s="207">
        <f t="shared" si="3"/>
        <v>50</v>
      </c>
      <c r="V27" s="233">
        <f t="shared" si="11"/>
        <v>77579.8</v>
      </c>
      <c r="W27" s="233">
        <f t="shared" si="12"/>
        <v>13</v>
      </c>
      <c r="X27" s="233">
        <f t="shared" si="4"/>
        <v>1008537.4</v>
      </c>
      <c r="Y27" s="233">
        <f t="shared" si="5"/>
        <v>77579.8</v>
      </c>
      <c r="Z27" s="233">
        <f t="shared" si="6"/>
        <v>77579.8</v>
      </c>
      <c r="AA27" s="233">
        <f t="shared" si="7"/>
        <v>77579.8</v>
      </c>
      <c r="AB27" s="233">
        <f t="shared" si="8"/>
        <v>77579.8</v>
      </c>
      <c r="AC27" s="238">
        <f t="shared" si="13"/>
        <v>77579.8</v>
      </c>
      <c r="AD27" s="238">
        <f t="shared" si="14"/>
        <v>1396436.4000000001</v>
      </c>
      <c r="AE27" s="206">
        <f t="shared" si="15"/>
        <v>2000</v>
      </c>
      <c r="AF27" s="210">
        <f t="shared" si="16"/>
        <v>2482563.5999999996</v>
      </c>
      <c r="AG27" s="48" t="e">
        <f t="shared" si="9"/>
        <v>#N/A</v>
      </c>
      <c r="AH27" s="48" t="e">
        <f>IF(AG27='KIB C'!AJ:AJ,"k",0)</f>
        <v>#N/A</v>
      </c>
      <c r="AL27" s="48" t="s">
        <v>1020</v>
      </c>
      <c r="AM27" s="48" t="s">
        <v>4245</v>
      </c>
    </row>
    <row r="28" spans="1:39" s="48" customFormat="1" ht="40.5" customHeight="1" x14ac:dyDescent="0.2">
      <c r="A28" s="295" t="s">
        <v>2302</v>
      </c>
      <c r="B28" s="73"/>
      <c r="C28" s="65" t="s">
        <v>445</v>
      </c>
      <c r="D28" s="67" t="s">
        <v>443</v>
      </c>
      <c r="E28" s="67"/>
      <c r="F28" s="33"/>
      <c r="G28" s="40"/>
      <c r="H28" s="40"/>
      <c r="I28" s="40"/>
      <c r="J28" s="65" t="s">
        <v>434</v>
      </c>
      <c r="K28" s="40">
        <v>2000</v>
      </c>
      <c r="L28" s="40"/>
      <c r="M28" s="32">
        <v>42</v>
      </c>
      <c r="N28" s="32" t="s">
        <v>430</v>
      </c>
      <c r="O28" s="40"/>
      <c r="P28" s="32" t="s">
        <v>433</v>
      </c>
      <c r="Q28" s="252">
        <v>40729500</v>
      </c>
      <c r="R28" s="61"/>
      <c r="S28" s="206" t="str">
        <f t="shared" si="10"/>
        <v>3.11.01</v>
      </c>
      <c r="T28" s="207" t="str">
        <f t="shared" si="2"/>
        <v>BANGUNAN GEDUNG TEMPAT KERJA</v>
      </c>
      <c r="U28" s="207">
        <f t="shared" si="3"/>
        <v>50</v>
      </c>
      <c r="V28" s="233">
        <f t="shared" si="11"/>
        <v>814589.8</v>
      </c>
      <c r="W28" s="233">
        <f t="shared" si="12"/>
        <v>13</v>
      </c>
      <c r="X28" s="233">
        <f t="shared" si="4"/>
        <v>10589667.4</v>
      </c>
      <c r="Y28" s="233">
        <f t="shared" si="5"/>
        <v>814589.8</v>
      </c>
      <c r="Z28" s="233">
        <f t="shared" si="6"/>
        <v>814589.8</v>
      </c>
      <c r="AA28" s="233">
        <f t="shared" si="7"/>
        <v>814589.8</v>
      </c>
      <c r="AB28" s="233">
        <f t="shared" si="8"/>
        <v>814589.8</v>
      </c>
      <c r="AC28" s="238">
        <f t="shared" si="13"/>
        <v>814589.8</v>
      </c>
      <c r="AD28" s="238">
        <f t="shared" si="14"/>
        <v>14662616.400000004</v>
      </c>
      <c r="AE28" s="206">
        <f t="shared" si="15"/>
        <v>2000</v>
      </c>
      <c r="AF28" s="210">
        <f t="shared" si="16"/>
        <v>26066883.599999994</v>
      </c>
      <c r="AG28" s="48" t="e">
        <f t="shared" si="9"/>
        <v>#N/A</v>
      </c>
      <c r="AH28" s="48" t="e">
        <f>IF(AG28='KIB C'!AJ:AJ,"k",0)</f>
        <v>#N/A</v>
      </c>
      <c r="AL28" s="48" t="s">
        <v>1049</v>
      </c>
      <c r="AM28" s="48" t="s">
        <v>4245</v>
      </c>
    </row>
    <row r="29" spans="1:39" s="48" customFormat="1" ht="40.5" customHeight="1" x14ac:dyDescent="0.2">
      <c r="A29" s="295" t="s">
        <v>2302</v>
      </c>
      <c r="B29" s="73"/>
      <c r="C29" s="65" t="s">
        <v>439</v>
      </c>
      <c r="D29" s="67" t="s">
        <v>444</v>
      </c>
      <c r="E29" s="67"/>
      <c r="F29" s="33" t="s">
        <v>43</v>
      </c>
      <c r="G29" s="40"/>
      <c r="H29" s="40"/>
      <c r="I29" s="40"/>
      <c r="J29" s="65" t="s">
        <v>437</v>
      </c>
      <c r="K29" s="40">
        <v>2000</v>
      </c>
      <c r="L29" s="40"/>
      <c r="M29" s="32">
        <v>53.4</v>
      </c>
      <c r="N29" s="32" t="s">
        <v>430</v>
      </c>
      <c r="O29" s="40"/>
      <c r="P29" s="32" t="s">
        <v>12</v>
      </c>
      <c r="Q29" s="252">
        <v>48967800</v>
      </c>
      <c r="R29" s="61"/>
      <c r="S29" s="206" t="str">
        <f t="shared" si="10"/>
        <v>3.11.01</v>
      </c>
      <c r="T29" s="207" t="str">
        <f t="shared" si="2"/>
        <v>BANGUNAN GEDUNG TEMPAT KERJA</v>
      </c>
      <c r="U29" s="207">
        <f t="shared" si="3"/>
        <v>50</v>
      </c>
      <c r="V29" s="233">
        <f t="shared" si="11"/>
        <v>979355.8</v>
      </c>
      <c r="W29" s="233">
        <f t="shared" si="12"/>
        <v>13</v>
      </c>
      <c r="X29" s="233">
        <f t="shared" si="4"/>
        <v>12731625.4</v>
      </c>
      <c r="Y29" s="233">
        <f t="shared" si="5"/>
        <v>979355.8</v>
      </c>
      <c r="Z29" s="233">
        <f t="shared" si="6"/>
        <v>979355.8</v>
      </c>
      <c r="AA29" s="233">
        <f t="shared" si="7"/>
        <v>979355.8</v>
      </c>
      <c r="AB29" s="233">
        <f t="shared" si="8"/>
        <v>979355.8</v>
      </c>
      <c r="AC29" s="238">
        <f t="shared" si="13"/>
        <v>979355.8</v>
      </c>
      <c r="AD29" s="238">
        <f t="shared" si="14"/>
        <v>17628404.400000002</v>
      </c>
      <c r="AE29" s="206">
        <f t="shared" si="15"/>
        <v>2000</v>
      </c>
      <c r="AF29" s="210">
        <f t="shared" si="16"/>
        <v>31339395.599999998</v>
      </c>
      <c r="AG29" s="48" t="str">
        <f t="shared" si="9"/>
        <v>K</v>
      </c>
      <c r="AL29" s="48" t="s">
        <v>2673</v>
      </c>
      <c r="AM29" s="48" t="s">
        <v>4245</v>
      </c>
    </row>
    <row r="30" spans="1:39" s="48" customFormat="1" ht="40.5" customHeight="1" x14ac:dyDescent="0.2">
      <c r="A30" s="295" t="s">
        <v>2302</v>
      </c>
      <c r="B30" s="73"/>
      <c r="C30" s="65" t="s">
        <v>442</v>
      </c>
      <c r="D30" s="67" t="s">
        <v>443</v>
      </c>
      <c r="E30" s="67"/>
      <c r="F30" s="33" t="s">
        <v>43</v>
      </c>
      <c r="G30" s="40"/>
      <c r="H30" s="40"/>
      <c r="I30" s="40"/>
      <c r="J30" s="65" t="s">
        <v>437</v>
      </c>
      <c r="K30" s="40">
        <v>2000</v>
      </c>
      <c r="L30" s="40"/>
      <c r="M30" s="32">
        <v>37.44</v>
      </c>
      <c r="N30" s="32" t="s">
        <v>430</v>
      </c>
      <c r="O30" s="40"/>
      <c r="P30" s="32" t="s">
        <v>12</v>
      </c>
      <c r="Q30" s="252">
        <v>34332480</v>
      </c>
      <c r="R30" s="61"/>
      <c r="S30" s="206" t="str">
        <f t="shared" si="10"/>
        <v>3.11.01</v>
      </c>
      <c r="T30" s="207" t="str">
        <f t="shared" si="2"/>
        <v>BANGUNAN GEDUNG TEMPAT KERJA</v>
      </c>
      <c r="U30" s="207">
        <f t="shared" si="3"/>
        <v>50</v>
      </c>
      <c r="V30" s="233">
        <f t="shared" si="11"/>
        <v>686649.4</v>
      </c>
      <c r="W30" s="233">
        <f t="shared" si="12"/>
        <v>13</v>
      </c>
      <c r="X30" s="233">
        <f t="shared" si="4"/>
        <v>8926442.2000000011</v>
      </c>
      <c r="Y30" s="233">
        <f t="shared" si="5"/>
        <v>686649.4</v>
      </c>
      <c r="Z30" s="233">
        <f t="shared" si="6"/>
        <v>686649.4</v>
      </c>
      <c r="AA30" s="233">
        <f t="shared" si="7"/>
        <v>686649.4</v>
      </c>
      <c r="AB30" s="233">
        <f t="shared" si="8"/>
        <v>686649.4</v>
      </c>
      <c r="AC30" s="238">
        <f t="shared" si="13"/>
        <v>686649.4</v>
      </c>
      <c r="AD30" s="238">
        <f t="shared" si="14"/>
        <v>12359689.200000003</v>
      </c>
      <c r="AE30" s="206">
        <f t="shared" si="15"/>
        <v>2000</v>
      </c>
      <c r="AF30" s="210">
        <f t="shared" si="16"/>
        <v>21972790.799999997</v>
      </c>
      <c r="AG30" s="48" t="str">
        <f t="shared" si="9"/>
        <v>K</v>
      </c>
      <c r="AL30" s="48" t="s">
        <v>1027</v>
      </c>
      <c r="AM30" s="48" t="s">
        <v>4245</v>
      </c>
    </row>
    <row r="31" spans="1:39" s="48" customFormat="1" ht="40.5" customHeight="1" x14ac:dyDescent="0.2">
      <c r="A31" s="295" t="s">
        <v>2302</v>
      </c>
      <c r="B31" s="73"/>
      <c r="C31" s="65" t="s">
        <v>442</v>
      </c>
      <c r="D31" s="67" t="s">
        <v>440</v>
      </c>
      <c r="E31" s="67"/>
      <c r="F31" s="33" t="s">
        <v>43</v>
      </c>
      <c r="G31" s="40"/>
      <c r="H31" s="40"/>
      <c r="I31" s="40"/>
      <c r="J31" s="65" t="s">
        <v>437</v>
      </c>
      <c r="K31" s="40">
        <v>2001</v>
      </c>
      <c r="L31" s="40"/>
      <c r="M31" s="32">
        <v>65.55</v>
      </c>
      <c r="N31" s="32" t="s">
        <v>430</v>
      </c>
      <c r="O31" s="40"/>
      <c r="P31" s="32" t="s">
        <v>12</v>
      </c>
      <c r="Q31" s="252">
        <v>59329305</v>
      </c>
      <c r="R31" s="61"/>
      <c r="S31" s="206" t="str">
        <f t="shared" si="10"/>
        <v>3.11.01</v>
      </c>
      <c r="T31" s="207" t="str">
        <f t="shared" si="2"/>
        <v>BANGUNAN GEDUNG TEMPAT KERJA</v>
      </c>
      <c r="U31" s="207">
        <f t="shared" si="3"/>
        <v>50</v>
      </c>
      <c r="V31" s="233">
        <f t="shared" si="11"/>
        <v>1186585.8999999999</v>
      </c>
      <c r="W31" s="233">
        <f t="shared" si="12"/>
        <v>12</v>
      </c>
      <c r="X31" s="233">
        <f t="shared" si="4"/>
        <v>14239030.799999999</v>
      </c>
      <c r="Y31" s="233">
        <f t="shared" si="5"/>
        <v>1186585.8999999999</v>
      </c>
      <c r="Z31" s="233">
        <f t="shared" si="6"/>
        <v>1186585.8999999999</v>
      </c>
      <c r="AA31" s="233">
        <f t="shared" si="7"/>
        <v>1186585.8999999999</v>
      </c>
      <c r="AB31" s="233">
        <f t="shared" si="8"/>
        <v>1186585.8999999999</v>
      </c>
      <c r="AC31" s="238">
        <f t="shared" si="13"/>
        <v>1186585.8999999999</v>
      </c>
      <c r="AD31" s="238">
        <f t="shared" si="14"/>
        <v>20171960.299999997</v>
      </c>
      <c r="AE31" s="206">
        <f t="shared" si="15"/>
        <v>2001</v>
      </c>
      <c r="AF31" s="210">
        <f t="shared" si="16"/>
        <v>39157344.700000003</v>
      </c>
      <c r="AG31" s="48" t="str">
        <f t="shared" si="9"/>
        <v>K</v>
      </c>
      <c r="AL31" s="48" t="s">
        <v>1050</v>
      </c>
      <c r="AM31" s="48" t="s">
        <v>4245</v>
      </c>
    </row>
    <row r="32" spans="1:39" s="48" customFormat="1" ht="40.5" customHeight="1" x14ac:dyDescent="0.2">
      <c r="A32" s="295" t="s">
        <v>2302</v>
      </c>
      <c r="B32" s="73"/>
      <c r="C32" s="65" t="s">
        <v>441</v>
      </c>
      <c r="D32" s="67" t="s">
        <v>440</v>
      </c>
      <c r="E32" s="67"/>
      <c r="F32" s="33"/>
      <c r="G32" s="40"/>
      <c r="H32" s="40"/>
      <c r="I32" s="40"/>
      <c r="J32" s="65" t="s">
        <v>434</v>
      </c>
      <c r="K32" s="40">
        <v>2001</v>
      </c>
      <c r="L32" s="40"/>
      <c r="M32" s="32">
        <v>12</v>
      </c>
      <c r="N32" s="32" t="s">
        <v>430</v>
      </c>
      <c r="O32" s="40"/>
      <c r="P32" s="32" t="s">
        <v>433</v>
      </c>
      <c r="Q32" s="252">
        <v>10861200</v>
      </c>
      <c r="R32" s="61"/>
      <c r="S32" s="206" t="str">
        <f t="shared" si="10"/>
        <v>3.11.01</v>
      </c>
      <c r="T32" s="207" t="str">
        <f t="shared" si="2"/>
        <v>BANGUNAN GEDUNG TEMPAT KERJA</v>
      </c>
      <c r="U32" s="207">
        <f t="shared" si="3"/>
        <v>50</v>
      </c>
      <c r="V32" s="233">
        <f t="shared" si="11"/>
        <v>217223.8</v>
      </c>
      <c r="W32" s="233">
        <f t="shared" si="12"/>
        <v>12</v>
      </c>
      <c r="X32" s="233">
        <f t="shared" si="4"/>
        <v>2606685.5999999996</v>
      </c>
      <c r="Y32" s="233">
        <f t="shared" si="5"/>
        <v>217223.8</v>
      </c>
      <c r="Z32" s="233">
        <f t="shared" si="6"/>
        <v>217223.8</v>
      </c>
      <c r="AA32" s="233">
        <f t="shared" si="7"/>
        <v>217223.8</v>
      </c>
      <c r="AB32" s="233">
        <f t="shared" si="8"/>
        <v>217223.8</v>
      </c>
      <c r="AC32" s="238">
        <f t="shared" si="13"/>
        <v>217223.8</v>
      </c>
      <c r="AD32" s="238">
        <f t="shared" si="14"/>
        <v>3692804.5999999987</v>
      </c>
      <c r="AE32" s="206">
        <f t="shared" si="15"/>
        <v>2001</v>
      </c>
      <c r="AF32" s="210">
        <f t="shared" si="16"/>
        <v>7168395.4000000013</v>
      </c>
      <c r="AG32" s="48" t="e">
        <f t="shared" si="9"/>
        <v>#N/A</v>
      </c>
      <c r="AH32" s="48" t="e">
        <f>IF(AG32='KIB C'!AJ:AJ,"k",0)</f>
        <v>#N/A</v>
      </c>
      <c r="AL32" s="48" t="s">
        <v>1028</v>
      </c>
      <c r="AM32" s="48" t="s">
        <v>4245</v>
      </c>
    </row>
    <row r="33" spans="1:39" s="48" customFormat="1" ht="40.5" customHeight="1" x14ac:dyDescent="0.2">
      <c r="A33" s="295" t="s">
        <v>2302</v>
      </c>
      <c r="B33" s="73"/>
      <c r="C33" s="65" t="s">
        <v>439</v>
      </c>
      <c r="D33" s="67" t="s">
        <v>438</v>
      </c>
      <c r="E33" s="67"/>
      <c r="F33" s="33" t="s">
        <v>43</v>
      </c>
      <c r="G33" s="40"/>
      <c r="H33" s="40"/>
      <c r="I33" s="40"/>
      <c r="J33" s="65" t="s">
        <v>437</v>
      </c>
      <c r="K33" s="40">
        <v>2005</v>
      </c>
      <c r="L33" s="40"/>
      <c r="M33" s="32">
        <v>86.14</v>
      </c>
      <c r="N33" s="32" t="s">
        <v>430</v>
      </c>
      <c r="O33" s="40"/>
      <c r="P33" s="32" t="s">
        <v>12</v>
      </c>
      <c r="Q33" s="252">
        <v>84632550</v>
      </c>
      <c r="R33" s="61"/>
      <c r="S33" s="206" t="str">
        <f t="shared" si="10"/>
        <v>3.11.01</v>
      </c>
      <c r="T33" s="207" t="str">
        <f t="shared" si="2"/>
        <v>BANGUNAN GEDUNG TEMPAT KERJA</v>
      </c>
      <c r="U33" s="207">
        <f t="shared" si="3"/>
        <v>50</v>
      </c>
      <c r="V33" s="233">
        <f t="shared" si="11"/>
        <v>1692650.8</v>
      </c>
      <c r="W33" s="233">
        <f t="shared" si="12"/>
        <v>8</v>
      </c>
      <c r="X33" s="233">
        <f t="shared" si="4"/>
        <v>13541206.4</v>
      </c>
      <c r="Y33" s="233">
        <f t="shared" si="5"/>
        <v>1692650.8</v>
      </c>
      <c r="Z33" s="233">
        <f t="shared" si="6"/>
        <v>1692650.8</v>
      </c>
      <c r="AA33" s="233">
        <f t="shared" si="7"/>
        <v>1692650.8</v>
      </c>
      <c r="AB33" s="233">
        <f t="shared" si="8"/>
        <v>1692650.8</v>
      </c>
      <c r="AC33" s="238">
        <f t="shared" si="13"/>
        <v>1692650.8</v>
      </c>
      <c r="AD33" s="238">
        <f t="shared" si="14"/>
        <v>22004460.400000002</v>
      </c>
      <c r="AE33" s="206">
        <f t="shared" si="15"/>
        <v>2005</v>
      </c>
      <c r="AF33" s="210">
        <f t="shared" si="16"/>
        <v>62628089.599999994</v>
      </c>
      <c r="AG33" s="48" t="str">
        <f t="shared" si="9"/>
        <v>K</v>
      </c>
      <c r="AL33" s="48" t="s">
        <v>1051</v>
      </c>
      <c r="AM33" s="48" t="s">
        <v>4245</v>
      </c>
    </row>
    <row r="34" spans="1:39" s="48" customFormat="1" ht="40.5" customHeight="1" x14ac:dyDescent="0.2">
      <c r="A34" s="295" t="s">
        <v>2302</v>
      </c>
      <c r="B34" s="73"/>
      <c r="C34" s="65" t="s">
        <v>436</v>
      </c>
      <c r="D34" s="67" t="s">
        <v>435</v>
      </c>
      <c r="E34" s="67"/>
      <c r="F34" s="33"/>
      <c r="G34" s="40"/>
      <c r="H34" s="40"/>
      <c r="I34" s="40"/>
      <c r="J34" s="65" t="s">
        <v>434</v>
      </c>
      <c r="K34" s="40">
        <v>2006</v>
      </c>
      <c r="L34" s="40"/>
      <c r="M34" s="32">
        <v>9</v>
      </c>
      <c r="N34" s="32" t="s">
        <v>430</v>
      </c>
      <c r="O34" s="40"/>
      <c r="P34" s="32" t="s">
        <v>433</v>
      </c>
      <c r="Q34" s="252">
        <v>7245000</v>
      </c>
      <c r="R34" s="61"/>
      <c r="S34" s="206" t="str">
        <f t="shared" si="10"/>
        <v>3.11.01</v>
      </c>
      <c r="T34" s="207" t="str">
        <f t="shared" si="2"/>
        <v>BANGUNAN GEDUNG TEMPAT KERJA</v>
      </c>
      <c r="U34" s="207">
        <f t="shared" si="3"/>
        <v>50</v>
      </c>
      <c r="V34" s="233">
        <f t="shared" si="11"/>
        <v>144899.79999999999</v>
      </c>
      <c r="W34" s="233">
        <f t="shared" si="12"/>
        <v>7</v>
      </c>
      <c r="X34" s="233">
        <f t="shared" si="4"/>
        <v>1014298.5999999999</v>
      </c>
      <c r="Y34" s="233">
        <f t="shared" si="5"/>
        <v>144899.79999999999</v>
      </c>
      <c r="Z34" s="233">
        <f t="shared" si="6"/>
        <v>144899.79999999999</v>
      </c>
      <c r="AA34" s="233">
        <f t="shared" si="7"/>
        <v>144899.79999999999</v>
      </c>
      <c r="AB34" s="233">
        <f t="shared" si="8"/>
        <v>144899.79999999999</v>
      </c>
      <c r="AC34" s="238">
        <f t="shared" si="13"/>
        <v>144899.79999999999</v>
      </c>
      <c r="AD34" s="238">
        <f t="shared" si="14"/>
        <v>1738797.6</v>
      </c>
      <c r="AE34" s="206">
        <f t="shared" si="15"/>
        <v>2006</v>
      </c>
      <c r="AF34" s="210">
        <f t="shared" si="16"/>
        <v>5506202.4000000004</v>
      </c>
      <c r="AG34" s="48" t="e">
        <f t="shared" si="9"/>
        <v>#N/A</v>
      </c>
      <c r="AH34" s="48" t="e">
        <f>IF(AG34='KIB C'!AJ:AJ,"k",0)</f>
        <v>#N/A</v>
      </c>
      <c r="AL34" s="48" t="s">
        <v>1029</v>
      </c>
      <c r="AM34" s="48" t="s">
        <v>4245</v>
      </c>
    </row>
    <row r="35" spans="1:39" s="48" customFormat="1" ht="40.5" customHeight="1" x14ac:dyDescent="0.2">
      <c r="A35" s="295" t="s">
        <v>2302</v>
      </c>
      <c r="B35" s="73"/>
      <c r="C35" s="65" t="s">
        <v>1015</v>
      </c>
      <c r="D35" s="67" t="s">
        <v>432</v>
      </c>
      <c r="E35" s="67"/>
      <c r="F35" s="33" t="s">
        <v>43</v>
      </c>
      <c r="G35" s="40"/>
      <c r="H35" s="40"/>
      <c r="I35" s="40"/>
      <c r="J35" s="65" t="s">
        <v>1081</v>
      </c>
      <c r="K35" s="40">
        <v>2007</v>
      </c>
      <c r="L35" s="40"/>
      <c r="M35" s="32">
        <v>94</v>
      </c>
      <c r="N35" s="32" t="s">
        <v>430</v>
      </c>
      <c r="O35" s="40"/>
      <c r="P35" s="32" t="s">
        <v>12</v>
      </c>
      <c r="Q35" s="252">
        <v>244369300</v>
      </c>
      <c r="R35" s="61"/>
      <c r="S35" s="206" t="str">
        <f t="shared" si="10"/>
        <v>3.11.01</v>
      </c>
      <c r="T35" s="207" t="str">
        <f t="shared" si="2"/>
        <v>BANGUNAN GEDUNG TEMPAT KERJA</v>
      </c>
      <c r="U35" s="207">
        <f t="shared" si="3"/>
        <v>50</v>
      </c>
      <c r="V35" s="233">
        <f t="shared" si="11"/>
        <v>4887385.8</v>
      </c>
      <c r="W35" s="233">
        <f t="shared" si="12"/>
        <v>6</v>
      </c>
      <c r="X35" s="233">
        <f t="shared" si="4"/>
        <v>29324314.799999997</v>
      </c>
      <c r="Y35" s="233">
        <f t="shared" si="5"/>
        <v>4887385.8</v>
      </c>
      <c r="Z35" s="233">
        <f t="shared" si="6"/>
        <v>4887385.8</v>
      </c>
      <c r="AA35" s="233">
        <f t="shared" si="7"/>
        <v>4887385.8</v>
      </c>
      <c r="AB35" s="233">
        <f t="shared" si="8"/>
        <v>4887385.8</v>
      </c>
      <c r="AC35" s="238">
        <f t="shared" si="13"/>
        <v>4887385.8</v>
      </c>
      <c r="AD35" s="238">
        <f t="shared" si="14"/>
        <v>53761243.799999982</v>
      </c>
      <c r="AE35" s="206">
        <f t="shared" si="15"/>
        <v>2007</v>
      </c>
      <c r="AF35" s="210">
        <f t="shared" si="16"/>
        <v>190608056.20000002</v>
      </c>
      <c r="AG35" s="48" t="e">
        <f t="shared" si="9"/>
        <v>#N/A</v>
      </c>
      <c r="AH35" s="48" t="e">
        <f>IF(AG35='KIB C'!AJ:AJ,"k",0)</f>
        <v>#N/A</v>
      </c>
      <c r="AL35" s="48" t="s">
        <v>1052</v>
      </c>
      <c r="AM35" s="48" t="s">
        <v>4245</v>
      </c>
    </row>
    <row r="36" spans="1:39" s="48" customFormat="1" ht="40.5" customHeight="1" x14ac:dyDescent="0.2">
      <c r="A36" s="295" t="s">
        <v>2302</v>
      </c>
      <c r="B36" s="73"/>
      <c r="C36" s="65" t="s">
        <v>1016</v>
      </c>
      <c r="D36" s="67"/>
      <c r="E36" s="67"/>
      <c r="F36" s="33"/>
      <c r="G36" s="40"/>
      <c r="H36" s="40"/>
      <c r="I36" s="40"/>
      <c r="J36" s="102" t="s">
        <v>1082</v>
      </c>
      <c r="K36" s="40">
        <v>2007</v>
      </c>
      <c r="L36" s="40"/>
      <c r="M36" s="103">
        <v>450</v>
      </c>
      <c r="N36" s="33"/>
      <c r="O36" s="40"/>
      <c r="P36" s="32" t="s">
        <v>12</v>
      </c>
      <c r="Q36" s="252">
        <v>837249705.66611838</v>
      </c>
      <c r="R36" s="61"/>
      <c r="S36" s="206" t="str">
        <f t="shared" si="10"/>
        <v>3.11.01</v>
      </c>
      <c r="T36" s="207" t="str">
        <f t="shared" si="2"/>
        <v>BANGUNAN GEDUNG TEMPAT KERJA</v>
      </c>
      <c r="U36" s="207">
        <f t="shared" si="3"/>
        <v>50</v>
      </c>
      <c r="V36" s="233">
        <f t="shared" si="11"/>
        <v>16744993.913322367</v>
      </c>
      <c r="W36" s="233">
        <f t="shared" si="12"/>
        <v>6</v>
      </c>
      <c r="X36" s="233">
        <f t="shared" si="4"/>
        <v>100469963.4799342</v>
      </c>
      <c r="Y36" s="233">
        <f t="shared" si="5"/>
        <v>16744993.913322367</v>
      </c>
      <c r="Z36" s="233">
        <f t="shared" si="6"/>
        <v>16744993.913322367</v>
      </c>
      <c r="AA36" s="233">
        <f t="shared" si="7"/>
        <v>16744993.913322367</v>
      </c>
      <c r="AB36" s="233">
        <f t="shared" si="8"/>
        <v>16744993.913322367</v>
      </c>
      <c r="AC36" s="238">
        <f t="shared" si="13"/>
        <v>16744993.913322367</v>
      </c>
      <c r="AD36" s="238">
        <f t="shared" si="14"/>
        <v>184194933.04654601</v>
      </c>
      <c r="AE36" s="206">
        <f t="shared" si="15"/>
        <v>2007</v>
      </c>
      <c r="AF36" s="210">
        <f t="shared" si="16"/>
        <v>653054772.6195724</v>
      </c>
      <c r="AG36" s="48" t="str">
        <f t="shared" si="9"/>
        <v>K</v>
      </c>
      <c r="AL36" s="48" t="s">
        <v>1033</v>
      </c>
      <c r="AM36" s="48" t="s">
        <v>4245</v>
      </c>
    </row>
    <row r="37" spans="1:39" s="48" customFormat="1" ht="40.5" customHeight="1" x14ac:dyDescent="0.2">
      <c r="A37" s="295" t="s">
        <v>2302</v>
      </c>
      <c r="B37" s="73"/>
      <c r="C37" s="65" t="s">
        <v>1017</v>
      </c>
      <c r="D37" s="67"/>
      <c r="E37" s="67"/>
      <c r="F37" s="33" t="s">
        <v>43</v>
      </c>
      <c r="G37" s="40"/>
      <c r="H37" s="40"/>
      <c r="I37" s="40"/>
      <c r="J37" s="102" t="s">
        <v>1083</v>
      </c>
      <c r="K37" s="40">
        <v>2007</v>
      </c>
      <c r="L37" s="40"/>
      <c r="M37" s="103">
        <v>120</v>
      </c>
      <c r="N37" s="33"/>
      <c r="O37" s="40"/>
      <c r="P37" s="32" t="s">
        <v>12</v>
      </c>
      <c r="Q37" s="252">
        <v>223266588.177632</v>
      </c>
      <c r="R37" s="61"/>
      <c r="S37" s="206" t="str">
        <f t="shared" si="10"/>
        <v>3.11.01</v>
      </c>
      <c r="T37" s="207" t="str">
        <f t="shared" si="2"/>
        <v>BANGUNAN GEDUNG TEMPAT KERJA</v>
      </c>
      <c r="U37" s="207">
        <f t="shared" si="3"/>
        <v>50</v>
      </c>
      <c r="V37" s="233">
        <f t="shared" si="11"/>
        <v>4465331.5635526404</v>
      </c>
      <c r="W37" s="233">
        <f t="shared" si="12"/>
        <v>6</v>
      </c>
      <c r="X37" s="233">
        <f t="shared" si="4"/>
        <v>26791989.381315842</v>
      </c>
      <c r="Y37" s="233">
        <f t="shared" si="5"/>
        <v>4465331.5635526404</v>
      </c>
      <c r="Z37" s="233">
        <f t="shared" si="6"/>
        <v>4465331.5635526404</v>
      </c>
      <c r="AA37" s="233">
        <f t="shared" si="7"/>
        <v>4465331.5635526404</v>
      </c>
      <c r="AB37" s="233">
        <f t="shared" si="8"/>
        <v>4465331.5635526404</v>
      </c>
      <c r="AC37" s="238">
        <f t="shared" si="13"/>
        <v>4465331.5635526404</v>
      </c>
      <c r="AD37" s="238">
        <f t="shared" si="14"/>
        <v>49118647.199079044</v>
      </c>
      <c r="AE37" s="206">
        <f t="shared" si="15"/>
        <v>2007</v>
      </c>
      <c r="AF37" s="210">
        <f t="shared" si="16"/>
        <v>174147940.97855297</v>
      </c>
      <c r="AG37" s="48" t="e">
        <f t="shared" si="9"/>
        <v>#N/A</v>
      </c>
      <c r="AH37" s="48" t="e">
        <f>IF(AG37='KIB C'!AJ:AJ,"k",0)</f>
        <v>#N/A</v>
      </c>
      <c r="AL37" s="48" t="s">
        <v>1062</v>
      </c>
      <c r="AM37" s="48" t="s">
        <v>4245</v>
      </c>
    </row>
    <row r="38" spans="1:39" s="48" customFormat="1" ht="40.5" customHeight="1" x14ac:dyDescent="0.2">
      <c r="A38" s="295" t="s">
        <v>2302</v>
      </c>
      <c r="B38" s="73"/>
      <c r="C38" s="65" t="s">
        <v>1018</v>
      </c>
      <c r="D38" s="67"/>
      <c r="E38" s="67"/>
      <c r="F38" s="33" t="s">
        <v>43</v>
      </c>
      <c r="G38" s="40"/>
      <c r="H38" s="40"/>
      <c r="I38" s="40"/>
      <c r="J38" s="102" t="s">
        <v>1084</v>
      </c>
      <c r="K38" s="40">
        <v>2007</v>
      </c>
      <c r="L38" s="40"/>
      <c r="M38" s="104">
        <v>120</v>
      </c>
      <c r="N38" s="33"/>
      <c r="O38" s="40"/>
      <c r="P38" s="32" t="s">
        <v>12</v>
      </c>
      <c r="Q38" s="252">
        <v>223266588.17763156</v>
      </c>
      <c r="R38" s="61"/>
      <c r="S38" s="206" t="str">
        <f t="shared" si="10"/>
        <v>3.11.01</v>
      </c>
      <c r="T38" s="207" t="str">
        <f t="shared" si="2"/>
        <v>BANGUNAN GEDUNG TEMPAT KERJA</v>
      </c>
      <c r="U38" s="207">
        <f t="shared" si="3"/>
        <v>50</v>
      </c>
      <c r="V38" s="233">
        <f t="shared" si="11"/>
        <v>4465331.5635526311</v>
      </c>
      <c r="W38" s="233">
        <f t="shared" si="12"/>
        <v>6</v>
      </c>
      <c r="X38" s="233">
        <f t="shared" si="4"/>
        <v>26791989.381315786</v>
      </c>
      <c r="Y38" s="233">
        <f t="shared" si="5"/>
        <v>4465331.5635526311</v>
      </c>
      <c r="Z38" s="233">
        <f t="shared" si="6"/>
        <v>4465331.5635526311</v>
      </c>
      <c r="AA38" s="233">
        <f t="shared" si="7"/>
        <v>4465331.5635526311</v>
      </c>
      <c r="AB38" s="233">
        <f t="shared" si="8"/>
        <v>4465331.5635526311</v>
      </c>
      <c r="AC38" s="238">
        <f t="shared" si="13"/>
        <v>4465331.5635526311</v>
      </c>
      <c r="AD38" s="238">
        <f t="shared" si="14"/>
        <v>49118647.199078947</v>
      </c>
      <c r="AE38" s="206">
        <f t="shared" si="15"/>
        <v>2007</v>
      </c>
      <c r="AF38" s="210">
        <f t="shared" si="16"/>
        <v>174147940.97855261</v>
      </c>
      <c r="AG38" s="48" t="e">
        <f t="shared" si="9"/>
        <v>#N/A</v>
      </c>
      <c r="AH38" s="48" t="e">
        <f>IF(AG38='KIB C'!AJ:AJ,"k",0)</f>
        <v>#N/A</v>
      </c>
      <c r="AL38" s="48" t="s">
        <v>1034</v>
      </c>
      <c r="AM38" s="48" t="s">
        <v>4245</v>
      </c>
    </row>
    <row r="39" spans="1:39" s="48" customFormat="1" ht="40.5" customHeight="1" x14ac:dyDescent="0.2">
      <c r="A39" s="295" t="s">
        <v>2302</v>
      </c>
      <c r="B39" s="73"/>
      <c r="C39" s="65" t="s">
        <v>1019</v>
      </c>
      <c r="D39" s="67"/>
      <c r="E39" s="67"/>
      <c r="F39" s="33" t="s">
        <v>43</v>
      </c>
      <c r="G39" s="40"/>
      <c r="H39" s="40"/>
      <c r="I39" s="40"/>
      <c r="J39" s="102" t="s">
        <v>1085</v>
      </c>
      <c r="K39" s="40">
        <v>2007</v>
      </c>
      <c r="L39" s="40"/>
      <c r="M39" s="104">
        <v>120</v>
      </c>
      <c r="N39" s="33"/>
      <c r="O39" s="40"/>
      <c r="P39" s="32" t="s">
        <v>12</v>
      </c>
      <c r="Q39" s="252">
        <v>223266588.17763156</v>
      </c>
      <c r="R39" s="61"/>
      <c r="S39" s="206" t="str">
        <f t="shared" si="10"/>
        <v>3.11.01</v>
      </c>
      <c r="T39" s="207" t="str">
        <f t="shared" si="2"/>
        <v>BANGUNAN GEDUNG TEMPAT KERJA</v>
      </c>
      <c r="U39" s="207">
        <f t="shared" si="3"/>
        <v>50</v>
      </c>
      <c r="V39" s="233">
        <f t="shared" si="11"/>
        <v>4465331.5635526311</v>
      </c>
      <c r="W39" s="233">
        <f t="shared" si="12"/>
        <v>6</v>
      </c>
      <c r="X39" s="233">
        <f t="shared" si="4"/>
        <v>26791989.381315786</v>
      </c>
      <c r="Y39" s="233">
        <f t="shared" si="5"/>
        <v>4465331.5635526311</v>
      </c>
      <c r="Z39" s="233">
        <f t="shared" si="6"/>
        <v>4465331.5635526311</v>
      </c>
      <c r="AA39" s="233">
        <f t="shared" si="7"/>
        <v>4465331.5635526311</v>
      </c>
      <c r="AB39" s="233">
        <f t="shared" si="8"/>
        <v>4465331.5635526311</v>
      </c>
      <c r="AC39" s="238">
        <f t="shared" si="13"/>
        <v>4465331.5635526311</v>
      </c>
      <c r="AD39" s="238">
        <f t="shared" si="14"/>
        <v>49118647.199078947</v>
      </c>
      <c r="AE39" s="206">
        <f t="shared" si="15"/>
        <v>2007</v>
      </c>
      <c r="AF39" s="210">
        <f t="shared" si="16"/>
        <v>174147940.97855261</v>
      </c>
      <c r="AG39" s="48" t="e">
        <f t="shared" si="9"/>
        <v>#N/A</v>
      </c>
      <c r="AH39" s="48" t="e">
        <f>IF(AG39='KIB C'!AJ:AJ,"k",0)</f>
        <v>#N/A</v>
      </c>
      <c r="AL39" s="48" t="s">
        <v>2679</v>
      </c>
      <c r="AM39" s="48" t="s">
        <v>4245</v>
      </c>
    </row>
    <row r="40" spans="1:39" s="48" customFormat="1" ht="40.5" customHeight="1" x14ac:dyDescent="0.2">
      <c r="A40" s="295" t="s">
        <v>2302</v>
      </c>
      <c r="B40" s="73"/>
      <c r="C40" s="65" t="s">
        <v>1020</v>
      </c>
      <c r="D40" s="67"/>
      <c r="E40" s="67"/>
      <c r="F40" s="33" t="s">
        <v>43</v>
      </c>
      <c r="G40" s="40"/>
      <c r="H40" s="40"/>
      <c r="I40" s="40"/>
      <c r="J40" s="102" t="s">
        <v>1086</v>
      </c>
      <c r="K40" s="40">
        <v>2007</v>
      </c>
      <c r="L40" s="40"/>
      <c r="M40" s="104">
        <v>120</v>
      </c>
      <c r="N40" s="33"/>
      <c r="O40" s="40"/>
      <c r="P40" s="32" t="s">
        <v>12</v>
      </c>
      <c r="Q40" s="252">
        <v>223266588.17763156</v>
      </c>
      <c r="R40" s="61"/>
      <c r="S40" s="206" t="str">
        <f t="shared" si="10"/>
        <v>3.11.01</v>
      </c>
      <c r="T40" s="207" t="str">
        <f t="shared" si="2"/>
        <v>BANGUNAN GEDUNG TEMPAT KERJA</v>
      </c>
      <c r="U40" s="207">
        <f t="shared" si="3"/>
        <v>50</v>
      </c>
      <c r="V40" s="233">
        <f t="shared" si="11"/>
        <v>4465331.5635526311</v>
      </c>
      <c r="W40" s="233">
        <f t="shared" si="12"/>
        <v>6</v>
      </c>
      <c r="X40" s="233">
        <f t="shared" si="4"/>
        <v>26791989.381315786</v>
      </c>
      <c r="Y40" s="233">
        <f t="shared" si="5"/>
        <v>4465331.5635526311</v>
      </c>
      <c r="Z40" s="233">
        <f t="shared" si="6"/>
        <v>4465331.5635526311</v>
      </c>
      <c r="AA40" s="233">
        <f t="shared" si="7"/>
        <v>4465331.5635526311</v>
      </c>
      <c r="AB40" s="233">
        <f t="shared" si="8"/>
        <v>4465331.5635526311</v>
      </c>
      <c r="AC40" s="238">
        <f t="shared" si="13"/>
        <v>4465331.5635526311</v>
      </c>
      <c r="AD40" s="238">
        <f t="shared" si="14"/>
        <v>49118647.199078947</v>
      </c>
      <c r="AE40" s="206">
        <f t="shared" si="15"/>
        <v>2007</v>
      </c>
      <c r="AF40" s="210">
        <f t="shared" si="16"/>
        <v>174147940.97855261</v>
      </c>
      <c r="AG40" s="48" t="str">
        <f t="shared" si="9"/>
        <v>K</v>
      </c>
      <c r="AL40" s="48" t="s">
        <v>1035</v>
      </c>
      <c r="AM40" s="48" t="s">
        <v>4245</v>
      </c>
    </row>
    <row r="41" spans="1:39" s="48" customFormat="1" ht="40.5" customHeight="1" x14ac:dyDescent="0.2">
      <c r="A41" s="295" t="s">
        <v>2302</v>
      </c>
      <c r="B41" s="73"/>
      <c r="C41" s="65" t="s">
        <v>1021</v>
      </c>
      <c r="D41" s="67"/>
      <c r="E41" s="67"/>
      <c r="F41" s="33" t="s">
        <v>43</v>
      </c>
      <c r="G41" s="40"/>
      <c r="H41" s="40"/>
      <c r="I41" s="40"/>
      <c r="J41" s="102" t="s">
        <v>1087</v>
      </c>
      <c r="K41" s="40">
        <v>2007</v>
      </c>
      <c r="L41" s="40"/>
      <c r="M41" s="104">
        <v>120</v>
      </c>
      <c r="N41" s="33"/>
      <c r="O41" s="40"/>
      <c r="P41" s="32" t="s">
        <v>12</v>
      </c>
      <c r="Q41" s="252">
        <v>223266588.17763156</v>
      </c>
      <c r="R41" s="61"/>
      <c r="S41" s="206" t="str">
        <f t="shared" si="10"/>
        <v>3.11.01</v>
      </c>
      <c r="T41" s="207" t="str">
        <f t="shared" si="2"/>
        <v>BANGUNAN GEDUNG TEMPAT KERJA</v>
      </c>
      <c r="U41" s="207">
        <f t="shared" si="3"/>
        <v>50</v>
      </c>
      <c r="V41" s="233">
        <f t="shared" si="11"/>
        <v>4465331.5635526311</v>
      </c>
      <c r="W41" s="233">
        <f t="shared" si="12"/>
        <v>6</v>
      </c>
      <c r="X41" s="233">
        <f t="shared" si="4"/>
        <v>26791989.381315786</v>
      </c>
      <c r="Y41" s="233">
        <f t="shared" si="5"/>
        <v>4465331.5635526311</v>
      </c>
      <c r="Z41" s="233">
        <f t="shared" si="6"/>
        <v>4465331.5635526311</v>
      </c>
      <c r="AA41" s="233">
        <f t="shared" si="7"/>
        <v>4465331.5635526311</v>
      </c>
      <c r="AB41" s="233">
        <f t="shared" si="8"/>
        <v>4465331.5635526311</v>
      </c>
      <c r="AC41" s="238">
        <f t="shared" si="13"/>
        <v>4465331.5635526311</v>
      </c>
      <c r="AD41" s="238">
        <f t="shared" si="14"/>
        <v>49118647.199078947</v>
      </c>
      <c r="AE41" s="206">
        <f t="shared" si="15"/>
        <v>2007</v>
      </c>
      <c r="AF41" s="210">
        <f t="shared" si="16"/>
        <v>174147940.97855261</v>
      </c>
      <c r="AG41" s="48" t="e">
        <f t="shared" si="9"/>
        <v>#N/A</v>
      </c>
      <c r="AH41" s="48" t="e">
        <f>IF(AG41='KIB C'!AJ:AJ,"k",0)</f>
        <v>#N/A</v>
      </c>
      <c r="AL41" s="48" t="s">
        <v>1064</v>
      </c>
      <c r="AM41" s="48" t="s">
        <v>4245</v>
      </c>
    </row>
    <row r="42" spans="1:39" s="48" customFormat="1" ht="40.5" customHeight="1" x14ac:dyDescent="0.2">
      <c r="A42" s="295" t="s">
        <v>2302</v>
      </c>
      <c r="B42" s="73"/>
      <c r="C42" s="65" t="s">
        <v>1022</v>
      </c>
      <c r="D42" s="67"/>
      <c r="E42" s="67"/>
      <c r="F42" s="33" t="s">
        <v>43</v>
      </c>
      <c r="G42" s="40"/>
      <c r="H42" s="40"/>
      <c r="I42" s="40"/>
      <c r="J42" s="102" t="s">
        <v>1088</v>
      </c>
      <c r="K42" s="40">
        <v>2007</v>
      </c>
      <c r="L42" s="40"/>
      <c r="M42" s="104">
        <v>120</v>
      </c>
      <c r="N42" s="33"/>
      <c r="O42" s="40"/>
      <c r="P42" s="32" t="s">
        <v>12</v>
      </c>
      <c r="Q42" s="252">
        <v>223266588.17763156</v>
      </c>
      <c r="R42" s="61"/>
      <c r="S42" s="206" t="str">
        <f t="shared" si="10"/>
        <v>3.11.01</v>
      </c>
      <c r="T42" s="207" t="str">
        <f t="shared" si="2"/>
        <v>BANGUNAN GEDUNG TEMPAT KERJA</v>
      </c>
      <c r="U42" s="207">
        <f t="shared" si="3"/>
        <v>50</v>
      </c>
      <c r="V42" s="233">
        <f t="shared" si="11"/>
        <v>4465331.5635526311</v>
      </c>
      <c r="W42" s="233">
        <f t="shared" si="12"/>
        <v>6</v>
      </c>
      <c r="X42" s="233">
        <f t="shared" si="4"/>
        <v>26791989.381315786</v>
      </c>
      <c r="Y42" s="233">
        <f t="shared" si="5"/>
        <v>4465331.5635526311</v>
      </c>
      <c r="Z42" s="233">
        <f t="shared" si="6"/>
        <v>4465331.5635526311</v>
      </c>
      <c r="AA42" s="233">
        <f t="shared" si="7"/>
        <v>4465331.5635526311</v>
      </c>
      <c r="AB42" s="233">
        <f t="shared" si="8"/>
        <v>4465331.5635526311</v>
      </c>
      <c r="AC42" s="238">
        <f t="shared" si="13"/>
        <v>4465331.5635526311</v>
      </c>
      <c r="AD42" s="238">
        <f t="shared" si="14"/>
        <v>49118647.199078947</v>
      </c>
      <c r="AE42" s="206">
        <f t="shared" si="15"/>
        <v>2007</v>
      </c>
      <c r="AF42" s="210">
        <f t="shared" si="16"/>
        <v>174147940.97855261</v>
      </c>
      <c r="AG42" s="48" t="e">
        <f t="shared" si="9"/>
        <v>#N/A</v>
      </c>
      <c r="AH42" s="48" t="e">
        <f>IF(AG42='KIB C'!AJ:AJ,"k",0)</f>
        <v>#N/A</v>
      </c>
      <c r="AL42" s="48" t="s">
        <v>2630</v>
      </c>
      <c r="AM42" s="48" t="s">
        <v>4245</v>
      </c>
    </row>
    <row r="43" spans="1:39" s="48" customFormat="1" ht="40.5" customHeight="1" x14ac:dyDescent="0.2">
      <c r="A43" s="295" t="s">
        <v>2302</v>
      </c>
      <c r="B43" s="73"/>
      <c r="C43" s="65" t="s">
        <v>1023</v>
      </c>
      <c r="D43" s="67"/>
      <c r="E43" s="67"/>
      <c r="F43" s="33" t="s">
        <v>43</v>
      </c>
      <c r="G43" s="40"/>
      <c r="H43" s="40"/>
      <c r="I43" s="40"/>
      <c r="J43" s="102" t="s">
        <v>1089</v>
      </c>
      <c r="K43" s="40">
        <v>2007</v>
      </c>
      <c r="L43" s="40"/>
      <c r="M43" s="104">
        <v>120</v>
      </c>
      <c r="N43" s="33"/>
      <c r="O43" s="40"/>
      <c r="P43" s="32" t="s">
        <v>12</v>
      </c>
      <c r="Q43" s="252">
        <v>223266588.17763156</v>
      </c>
      <c r="R43" s="61"/>
      <c r="S43" s="206" t="str">
        <f t="shared" si="10"/>
        <v>3.11.01</v>
      </c>
      <c r="T43" s="207" t="str">
        <f t="shared" si="2"/>
        <v>BANGUNAN GEDUNG TEMPAT KERJA</v>
      </c>
      <c r="U43" s="207">
        <f t="shared" si="3"/>
        <v>50</v>
      </c>
      <c r="V43" s="233">
        <f t="shared" si="11"/>
        <v>4465331.5635526311</v>
      </c>
      <c r="W43" s="233">
        <f t="shared" si="12"/>
        <v>6</v>
      </c>
      <c r="X43" s="233">
        <f t="shared" si="4"/>
        <v>26791989.381315786</v>
      </c>
      <c r="Y43" s="233">
        <f t="shared" si="5"/>
        <v>4465331.5635526311</v>
      </c>
      <c r="Z43" s="233">
        <f t="shared" si="6"/>
        <v>4465331.5635526311</v>
      </c>
      <c r="AA43" s="233">
        <f t="shared" si="7"/>
        <v>4465331.5635526311</v>
      </c>
      <c r="AB43" s="233">
        <f t="shared" si="8"/>
        <v>4465331.5635526311</v>
      </c>
      <c r="AC43" s="238">
        <f t="shared" si="13"/>
        <v>4465331.5635526311</v>
      </c>
      <c r="AD43" s="238">
        <f t="shared" si="14"/>
        <v>49118647.199078947</v>
      </c>
      <c r="AE43" s="206">
        <f t="shared" si="15"/>
        <v>2007</v>
      </c>
      <c r="AF43" s="210">
        <f t="shared" si="16"/>
        <v>174147940.97855261</v>
      </c>
      <c r="AG43" s="48" t="e">
        <f t="shared" si="9"/>
        <v>#N/A</v>
      </c>
      <c r="AH43" s="48" t="e">
        <f>IF(AG43='KIB C'!AJ:AJ,"k",0)</f>
        <v>#N/A</v>
      </c>
      <c r="AL43" s="48" t="s">
        <v>2630</v>
      </c>
      <c r="AM43" s="48" t="s">
        <v>4245</v>
      </c>
    </row>
    <row r="44" spans="1:39" s="48" customFormat="1" ht="40.5" customHeight="1" x14ac:dyDescent="0.2">
      <c r="A44" s="295" t="s">
        <v>2302</v>
      </c>
      <c r="B44" s="73"/>
      <c r="C44" s="65" t="s">
        <v>1024</v>
      </c>
      <c r="D44" s="67"/>
      <c r="E44" s="67"/>
      <c r="F44" s="33" t="s">
        <v>43</v>
      </c>
      <c r="G44" s="40"/>
      <c r="H44" s="40"/>
      <c r="I44" s="40"/>
      <c r="J44" s="102" t="s">
        <v>1090</v>
      </c>
      <c r="K44" s="40">
        <v>2007</v>
      </c>
      <c r="L44" s="40"/>
      <c r="M44" s="104">
        <v>120</v>
      </c>
      <c r="N44" s="33"/>
      <c r="O44" s="40"/>
      <c r="P44" s="32" t="s">
        <v>12</v>
      </c>
      <c r="Q44" s="252">
        <v>223266588.17763156</v>
      </c>
      <c r="R44" s="61"/>
      <c r="S44" s="206" t="str">
        <f t="shared" si="10"/>
        <v>3.11.01</v>
      </c>
      <c r="T44" s="207" t="str">
        <f t="shared" si="2"/>
        <v>BANGUNAN GEDUNG TEMPAT KERJA</v>
      </c>
      <c r="U44" s="207">
        <f t="shared" si="3"/>
        <v>50</v>
      </c>
      <c r="V44" s="233">
        <f t="shared" si="11"/>
        <v>4465331.5635526311</v>
      </c>
      <c r="W44" s="233">
        <f t="shared" si="12"/>
        <v>6</v>
      </c>
      <c r="X44" s="233">
        <f t="shared" si="4"/>
        <v>26791989.381315786</v>
      </c>
      <c r="Y44" s="233">
        <f t="shared" si="5"/>
        <v>4465331.5635526311</v>
      </c>
      <c r="Z44" s="233">
        <f t="shared" si="6"/>
        <v>4465331.5635526311</v>
      </c>
      <c r="AA44" s="233">
        <f t="shared" si="7"/>
        <v>4465331.5635526311</v>
      </c>
      <c r="AB44" s="233">
        <f t="shared" si="8"/>
        <v>4465331.5635526311</v>
      </c>
      <c r="AC44" s="238">
        <f t="shared" si="13"/>
        <v>4465331.5635526311</v>
      </c>
      <c r="AD44" s="238">
        <f t="shared" si="14"/>
        <v>49118647.199078947</v>
      </c>
      <c r="AE44" s="206">
        <f t="shared" si="15"/>
        <v>2007</v>
      </c>
      <c r="AF44" s="210">
        <f t="shared" si="16"/>
        <v>174147940.97855261</v>
      </c>
      <c r="AG44" s="48" t="e">
        <f t="shared" si="9"/>
        <v>#N/A</v>
      </c>
      <c r="AH44" s="48" t="e">
        <f>IF(AG44='KIB C'!AJ:AJ,"k",0)</f>
        <v>#N/A</v>
      </c>
      <c r="AL44" s="48" t="s">
        <v>1056</v>
      </c>
      <c r="AM44" s="48" t="s">
        <v>4245</v>
      </c>
    </row>
    <row r="45" spans="1:39" s="48" customFormat="1" ht="40.5" customHeight="1" x14ac:dyDescent="0.2">
      <c r="A45" s="295" t="s">
        <v>2302</v>
      </c>
      <c r="B45" s="73"/>
      <c r="C45" s="65" t="s">
        <v>1025</v>
      </c>
      <c r="D45" s="67"/>
      <c r="E45" s="67"/>
      <c r="F45" s="33" t="s">
        <v>43</v>
      </c>
      <c r="G45" s="40"/>
      <c r="H45" s="40"/>
      <c r="I45" s="40"/>
      <c r="J45" s="102" t="s">
        <v>1091</v>
      </c>
      <c r="K45" s="40">
        <v>2007</v>
      </c>
      <c r="L45" s="40"/>
      <c r="M45" s="104">
        <v>120</v>
      </c>
      <c r="N45" s="33"/>
      <c r="O45" s="40"/>
      <c r="P45" s="32" t="s">
        <v>12</v>
      </c>
      <c r="Q45" s="252">
        <v>223266588.17763156</v>
      </c>
      <c r="R45" s="61"/>
      <c r="S45" s="206" t="str">
        <f t="shared" si="10"/>
        <v>3.11.01</v>
      </c>
      <c r="T45" s="207" t="str">
        <f t="shared" si="2"/>
        <v>BANGUNAN GEDUNG TEMPAT KERJA</v>
      </c>
      <c r="U45" s="207">
        <f t="shared" si="3"/>
        <v>50</v>
      </c>
      <c r="V45" s="233">
        <f t="shared" si="11"/>
        <v>4465331.5635526311</v>
      </c>
      <c r="W45" s="233">
        <f t="shared" si="12"/>
        <v>6</v>
      </c>
      <c r="X45" s="233">
        <f t="shared" si="4"/>
        <v>26791989.381315786</v>
      </c>
      <c r="Y45" s="233">
        <f t="shared" si="5"/>
        <v>4465331.5635526311</v>
      </c>
      <c r="Z45" s="233">
        <f t="shared" si="6"/>
        <v>4465331.5635526311</v>
      </c>
      <c r="AA45" s="233">
        <f t="shared" si="7"/>
        <v>4465331.5635526311</v>
      </c>
      <c r="AB45" s="233">
        <f t="shared" si="8"/>
        <v>4465331.5635526311</v>
      </c>
      <c r="AC45" s="238">
        <f t="shared" si="13"/>
        <v>4465331.5635526311</v>
      </c>
      <c r="AD45" s="238">
        <f t="shared" si="14"/>
        <v>49118647.199078947</v>
      </c>
      <c r="AE45" s="206">
        <f t="shared" si="15"/>
        <v>2007</v>
      </c>
      <c r="AF45" s="210">
        <f t="shared" si="16"/>
        <v>174147940.97855261</v>
      </c>
      <c r="AG45" s="48" t="e">
        <f t="shared" si="9"/>
        <v>#N/A</v>
      </c>
      <c r="AH45" s="48" t="e">
        <f>IF(AG45='KIB C'!AJ:AJ,"k",0)</f>
        <v>#N/A</v>
      </c>
      <c r="AL45" s="48" t="s">
        <v>1055</v>
      </c>
      <c r="AM45" s="48" t="s">
        <v>4245</v>
      </c>
    </row>
    <row r="46" spans="1:39" s="48" customFormat="1" ht="40.5" customHeight="1" x14ac:dyDescent="0.2">
      <c r="A46" s="295" t="s">
        <v>2302</v>
      </c>
      <c r="B46" s="73"/>
      <c r="C46" s="65" t="s">
        <v>1026</v>
      </c>
      <c r="D46" s="67"/>
      <c r="E46" s="67"/>
      <c r="F46" s="33" t="s">
        <v>43</v>
      </c>
      <c r="G46" s="40"/>
      <c r="H46" s="40"/>
      <c r="I46" s="40"/>
      <c r="J46" s="102" t="s">
        <v>1092</v>
      </c>
      <c r="K46" s="40">
        <v>2007</v>
      </c>
      <c r="L46" s="40"/>
      <c r="M46" s="104">
        <v>120</v>
      </c>
      <c r="N46" s="33"/>
      <c r="O46" s="40"/>
      <c r="P46" s="32" t="s">
        <v>12</v>
      </c>
      <c r="Q46" s="252">
        <v>223266588.17763156</v>
      </c>
      <c r="R46" s="61"/>
      <c r="S46" s="206" t="str">
        <f t="shared" si="10"/>
        <v>3.11.01</v>
      </c>
      <c r="T46" s="207" t="str">
        <f t="shared" si="2"/>
        <v>BANGUNAN GEDUNG TEMPAT KERJA</v>
      </c>
      <c r="U46" s="207">
        <f t="shared" si="3"/>
        <v>50</v>
      </c>
      <c r="V46" s="233">
        <f t="shared" si="11"/>
        <v>4465331.5635526311</v>
      </c>
      <c r="W46" s="233">
        <f t="shared" si="12"/>
        <v>6</v>
      </c>
      <c r="X46" s="233">
        <f t="shared" si="4"/>
        <v>26791989.381315786</v>
      </c>
      <c r="Y46" s="233">
        <f t="shared" si="5"/>
        <v>4465331.5635526311</v>
      </c>
      <c r="Z46" s="233">
        <f t="shared" si="6"/>
        <v>4465331.5635526311</v>
      </c>
      <c r="AA46" s="233">
        <f t="shared" si="7"/>
        <v>4465331.5635526311</v>
      </c>
      <c r="AB46" s="233">
        <f t="shared" si="8"/>
        <v>4465331.5635526311</v>
      </c>
      <c r="AC46" s="238">
        <f t="shared" si="13"/>
        <v>4465331.5635526311</v>
      </c>
      <c r="AD46" s="238">
        <f t="shared" si="14"/>
        <v>49118647.199078947</v>
      </c>
      <c r="AE46" s="206">
        <f t="shared" si="15"/>
        <v>2007</v>
      </c>
      <c r="AF46" s="210">
        <f t="shared" si="16"/>
        <v>174147940.97855261</v>
      </c>
      <c r="AG46" s="48" t="e">
        <f t="shared" ref="AG46:AG65" si="17">VLOOKUP(C46,KAP,2,0)</f>
        <v>#N/A</v>
      </c>
      <c r="AH46" s="48" t="e">
        <f>IF(AG46='KIB C'!AJ:AJ,"k",0)</f>
        <v>#N/A</v>
      </c>
      <c r="AL46" s="48" t="s">
        <v>1048</v>
      </c>
      <c r="AM46" s="48" t="s">
        <v>4245</v>
      </c>
    </row>
    <row r="47" spans="1:39" s="48" customFormat="1" ht="40.5" customHeight="1" x14ac:dyDescent="0.2">
      <c r="A47" s="295" t="s">
        <v>2302</v>
      </c>
      <c r="B47" s="73"/>
      <c r="C47" s="65" t="s">
        <v>1027</v>
      </c>
      <c r="D47" s="67"/>
      <c r="E47" s="67"/>
      <c r="F47" s="33" t="s">
        <v>43</v>
      </c>
      <c r="G47" s="40"/>
      <c r="H47" s="40"/>
      <c r="I47" s="40"/>
      <c r="J47" s="102" t="s">
        <v>1093</v>
      </c>
      <c r="K47" s="40">
        <v>2007</v>
      </c>
      <c r="L47" s="40"/>
      <c r="M47" s="104">
        <v>550</v>
      </c>
      <c r="N47" s="33"/>
      <c r="O47" s="40"/>
      <c r="P47" s="32" t="s">
        <v>12</v>
      </c>
      <c r="Q47" s="252">
        <v>1023305195.8141447</v>
      </c>
      <c r="R47" s="61"/>
      <c r="S47" s="206" t="str">
        <f t="shared" si="10"/>
        <v>3.11.01</v>
      </c>
      <c r="T47" s="207" t="str">
        <f t="shared" si="2"/>
        <v>BANGUNAN GEDUNG TEMPAT KERJA</v>
      </c>
      <c r="U47" s="207">
        <f t="shared" si="3"/>
        <v>50</v>
      </c>
      <c r="V47" s="233">
        <f t="shared" si="11"/>
        <v>20466103.716282893</v>
      </c>
      <c r="W47" s="233">
        <f t="shared" si="12"/>
        <v>6</v>
      </c>
      <c r="X47" s="233">
        <f t="shared" si="4"/>
        <v>122796622.29769737</v>
      </c>
      <c r="Y47" s="233">
        <f t="shared" si="5"/>
        <v>20466103.716282893</v>
      </c>
      <c r="Z47" s="233">
        <f t="shared" si="6"/>
        <v>20466103.716282893</v>
      </c>
      <c r="AA47" s="233">
        <f t="shared" si="7"/>
        <v>20466103.716282893</v>
      </c>
      <c r="AB47" s="233">
        <f t="shared" si="8"/>
        <v>20466103.716282893</v>
      </c>
      <c r="AC47" s="238">
        <f t="shared" si="13"/>
        <v>20466103.716282893</v>
      </c>
      <c r="AD47" s="238">
        <f t="shared" si="14"/>
        <v>225127140.87911189</v>
      </c>
      <c r="AE47" s="206">
        <f t="shared" si="15"/>
        <v>2007</v>
      </c>
      <c r="AF47" s="210">
        <f t="shared" si="16"/>
        <v>798178054.93503284</v>
      </c>
      <c r="AG47" s="48" t="str">
        <f t="shared" si="17"/>
        <v>K</v>
      </c>
      <c r="AL47" s="48" t="s">
        <v>2646</v>
      </c>
      <c r="AM47" s="48" t="s">
        <v>4245</v>
      </c>
    </row>
    <row r="48" spans="1:39" s="48" customFormat="1" ht="40.5" customHeight="1" x14ac:dyDescent="0.2">
      <c r="A48" s="295" t="s">
        <v>2302</v>
      </c>
      <c r="B48" s="73"/>
      <c r="C48" s="65" t="s">
        <v>1028</v>
      </c>
      <c r="D48" s="67"/>
      <c r="E48" s="67"/>
      <c r="F48" s="33" t="s">
        <v>43</v>
      </c>
      <c r="G48" s="40"/>
      <c r="H48" s="40"/>
      <c r="I48" s="40"/>
      <c r="J48" s="102" t="s">
        <v>428</v>
      </c>
      <c r="K48" s="40">
        <v>2007</v>
      </c>
      <c r="L48" s="40"/>
      <c r="M48" s="104">
        <v>420</v>
      </c>
      <c r="N48" s="33"/>
      <c r="O48" s="40"/>
      <c r="P48" s="32" t="s">
        <v>12</v>
      </c>
      <c r="Q48" s="252">
        <v>781433058.62171054</v>
      </c>
      <c r="R48" s="61"/>
      <c r="S48" s="206" t="str">
        <f t="shared" si="10"/>
        <v>3.11.01</v>
      </c>
      <c r="T48" s="207" t="str">
        <f t="shared" si="2"/>
        <v>BANGUNAN GEDUNG TEMPAT KERJA</v>
      </c>
      <c r="U48" s="207">
        <f t="shared" si="3"/>
        <v>50</v>
      </c>
      <c r="V48" s="233">
        <f t="shared" si="11"/>
        <v>15628660.972434212</v>
      </c>
      <c r="W48" s="233">
        <f t="shared" si="12"/>
        <v>6</v>
      </c>
      <c r="X48" s="233">
        <f t="shared" si="4"/>
        <v>93771965.834605277</v>
      </c>
      <c r="Y48" s="233">
        <f t="shared" si="5"/>
        <v>15628660.972434212</v>
      </c>
      <c r="Z48" s="233">
        <f t="shared" si="6"/>
        <v>15628660.972434212</v>
      </c>
      <c r="AA48" s="233">
        <f t="shared" si="7"/>
        <v>15628660.972434212</v>
      </c>
      <c r="AB48" s="233">
        <f t="shared" si="8"/>
        <v>15628660.972434212</v>
      </c>
      <c r="AC48" s="238">
        <f t="shared" si="13"/>
        <v>15628660.972434212</v>
      </c>
      <c r="AD48" s="238">
        <f t="shared" si="14"/>
        <v>171915270.69677636</v>
      </c>
      <c r="AE48" s="206">
        <f t="shared" si="15"/>
        <v>2007</v>
      </c>
      <c r="AF48" s="210">
        <f t="shared" si="16"/>
        <v>609517787.92493415</v>
      </c>
      <c r="AG48" s="48" t="str">
        <f t="shared" si="17"/>
        <v>K</v>
      </c>
      <c r="AL48" s="48" t="s">
        <v>2642</v>
      </c>
      <c r="AM48" s="48" t="s">
        <v>4245</v>
      </c>
    </row>
    <row r="49" spans="1:39" s="48" customFormat="1" ht="40.5" customHeight="1" x14ac:dyDescent="0.2">
      <c r="A49" s="295" t="s">
        <v>2302</v>
      </c>
      <c r="B49" s="73"/>
      <c r="C49" s="65" t="s">
        <v>1029</v>
      </c>
      <c r="D49" s="67"/>
      <c r="E49" s="67"/>
      <c r="F49" s="33" t="s">
        <v>43</v>
      </c>
      <c r="G49" s="40"/>
      <c r="H49" s="40"/>
      <c r="I49" s="40"/>
      <c r="J49" s="102" t="s">
        <v>1094</v>
      </c>
      <c r="K49" s="40">
        <v>2007</v>
      </c>
      <c r="L49" s="40"/>
      <c r="M49" s="104">
        <v>420</v>
      </c>
      <c r="N49" s="33"/>
      <c r="O49" s="40"/>
      <c r="P49" s="32" t="s">
        <v>12</v>
      </c>
      <c r="Q49" s="252">
        <v>781433058.62171054</v>
      </c>
      <c r="R49" s="61"/>
      <c r="S49" s="206" t="str">
        <f t="shared" si="10"/>
        <v>3.11.01</v>
      </c>
      <c r="T49" s="207" t="str">
        <f t="shared" si="2"/>
        <v>BANGUNAN GEDUNG TEMPAT KERJA</v>
      </c>
      <c r="U49" s="207">
        <f t="shared" si="3"/>
        <v>50</v>
      </c>
      <c r="V49" s="233">
        <f t="shared" si="11"/>
        <v>15628660.972434212</v>
      </c>
      <c r="W49" s="233">
        <f t="shared" si="12"/>
        <v>6</v>
      </c>
      <c r="X49" s="233">
        <f t="shared" si="4"/>
        <v>93771965.834605277</v>
      </c>
      <c r="Y49" s="233">
        <f t="shared" si="5"/>
        <v>15628660.972434212</v>
      </c>
      <c r="Z49" s="233">
        <f t="shared" si="6"/>
        <v>15628660.972434212</v>
      </c>
      <c r="AA49" s="233">
        <f t="shared" si="7"/>
        <v>15628660.972434212</v>
      </c>
      <c r="AB49" s="233">
        <f t="shared" si="8"/>
        <v>15628660.972434212</v>
      </c>
      <c r="AC49" s="238">
        <f t="shared" si="13"/>
        <v>15628660.972434212</v>
      </c>
      <c r="AD49" s="238">
        <f t="shared" si="14"/>
        <v>171915270.69677636</v>
      </c>
      <c r="AE49" s="206">
        <f t="shared" si="15"/>
        <v>2007</v>
      </c>
      <c r="AF49" s="210">
        <f t="shared" si="16"/>
        <v>609517787.92493415</v>
      </c>
      <c r="AG49" s="48" t="str">
        <f t="shared" si="17"/>
        <v>K</v>
      </c>
      <c r="AL49" s="48" t="s">
        <v>2782</v>
      </c>
      <c r="AM49" s="48" t="s">
        <v>4245</v>
      </c>
    </row>
    <row r="50" spans="1:39" s="48" customFormat="1" ht="40.5" customHeight="1" x14ac:dyDescent="0.2">
      <c r="A50" s="295" t="s">
        <v>2302</v>
      </c>
      <c r="B50" s="73"/>
      <c r="C50" s="65" t="s">
        <v>1030</v>
      </c>
      <c r="D50" s="67"/>
      <c r="E50" s="67"/>
      <c r="F50" s="33"/>
      <c r="G50" s="40"/>
      <c r="H50" s="40"/>
      <c r="I50" s="40"/>
      <c r="J50" s="65" t="s">
        <v>52</v>
      </c>
      <c r="K50" s="40">
        <v>2007</v>
      </c>
      <c r="L50" s="40"/>
      <c r="M50" s="32"/>
      <c r="N50" s="33"/>
      <c r="O50" s="40"/>
      <c r="P50" s="32" t="s">
        <v>12</v>
      </c>
      <c r="Q50" s="252">
        <v>956968150</v>
      </c>
      <c r="R50" s="61"/>
      <c r="S50" s="206" t="str">
        <f t="shared" si="10"/>
        <v>3.11.01</v>
      </c>
      <c r="T50" s="207" t="str">
        <f t="shared" si="2"/>
        <v>BANGUNAN GEDUNG TEMPAT KERJA</v>
      </c>
      <c r="U50" s="207">
        <f t="shared" si="3"/>
        <v>50</v>
      </c>
      <c r="V50" s="233">
        <f t="shared" si="11"/>
        <v>19139362.800000001</v>
      </c>
      <c r="W50" s="233">
        <f t="shared" si="12"/>
        <v>6</v>
      </c>
      <c r="X50" s="233">
        <f t="shared" si="4"/>
        <v>114836176.80000001</v>
      </c>
      <c r="Y50" s="233">
        <f t="shared" si="5"/>
        <v>19139362.800000001</v>
      </c>
      <c r="Z50" s="233">
        <f t="shared" si="6"/>
        <v>19139362.800000001</v>
      </c>
      <c r="AA50" s="233">
        <f t="shared" si="7"/>
        <v>19139362.800000001</v>
      </c>
      <c r="AB50" s="233">
        <f t="shared" si="8"/>
        <v>19139362.800000001</v>
      </c>
      <c r="AC50" s="238">
        <f t="shared" si="13"/>
        <v>19139362.800000001</v>
      </c>
      <c r="AD50" s="238">
        <f t="shared" si="14"/>
        <v>210532990.80000004</v>
      </c>
      <c r="AE50" s="206">
        <f t="shared" si="15"/>
        <v>2007</v>
      </c>
      <c r="AF50" s="210">
        <f t="shared" si="16"/>
        <v>746435159.19999993</v>
      </c>
      <c r="AG50" s="48" t="e">
        <f t="shared" si="17"/>
        <v>#N/A</v>
      </c>
      <c r="AH50" s="48" t="e">
        <f>IF(AG50='KIB C'!AJ:AJ,"k",0)</f>
        <v>#N/A</v>
      </c>
      <c r="AL50" s="48" t="s">
        <v>2633</v>
      </c>
      <c r="AM50" s="48" t="s">
        <v>4245</v>
      </c>
    </row>
    <row r="51" spans="1:39" s="48" customFormat="1" ht="40.5" customHeight="1" x14ac:dyDescent="0.2">
      <c r="A51" s="295" t="s">
        <v>2302</v>
      </c>
      <c r="B51" s="73"/>
      <c r="C51" s="65" t="s">
        <v>1031</v>
      </c>
      <c r="D51" s="67"/>
      <c r="E51" s="67"/>
      <c r="F51" s="33" t="s">
        <v>135</v>
      </c>
      <c r="G51" s="40"/>
      <c r="H51" s="40"/>
      <c r="I51" s="40"/>
      <c r="J51" s="102" t="s">
        <v>428</v>
      </c>
      <c r="K51" s="40">
        <v>2007</v>
      </c>
      <c r="L51" s="40"/>
      <c r="M51" s="32"/>
      <c r="N51" s="33"/>
      <c r="O51" s="40"/>
      <c r="P51" s="32" t="s">
        <v>12</v>
      </c>
      <c r="Q51" s="252">
        <v>110133381.99452282</v>
      </c>
      <c r="R51" s="61"/>
      <c r="S51" s="206" t="str">
        <f t="shared" si="10"/>
        <v>3.11.01</v>
      </c>
      <c r="T51" s="207" t="str">
        <f t="shared" si="2"/>
        <v>BANGUNAN GEDUNG TEMPAT KERJA</v>
      </c>
      <c r="U51" s="207">
        <f t="shared" si="3"/>
        <v>50</v>
      </c>
      <c r="V51" s="233">
        <f t="shared" si="11"/>
        <v>2202667.4398904564</v>
      </c>
      <c r="W51" s="233">
        <f t="shared" si="12"/>
        <v>6</v>
      </c>
      <c r="X51" s="233">
        <f t="shared" si="4"/>
        <v>13216004.639342738</v>
      </c>
      <c r="Y51" s="233">
        <f t="shared" si="5"/>
        <v>2202667.4398904564</v>
      </c>
      <c r="Z51" s="233">
        <f t="shared" si="6"/>
        <v>2202667.4398904564</v>
      </c>
      <c r="AA51" s="233">
        <f t="shared" si="7"/>
        <v>2202667.4398904564</v>
      </c>
      <c r="AB51" s="233">
        <f t="shared" si="8"/>
        <v>2202667.4398904564</v>
      </c>
      <c r="AC51" s="238">
        <f t="shared" si="13"/>
        <v>2202667.4398904564</v>
      </c>
      <c r="AD51" s="238">
        <f t="shared" si="14"/>
        <v>24229341.838795017</v>
      </c>
      <c r="AE51" s="206">
        <f t="shared" si="15"/>
        <v>2007</v>
      </c>
      <c r="AF51" s="210">
        <f t="shared" si="16"/>
        <v>85904040.155727804</v>
      </c>
      <c r="AG51" s="48" t="e">
        <f t="shared" si="17"/>
        <v>#N/A</v>
      </c>
      <c r="AH51" s="48" t="e">
        <f>IF(AG51='KIB C'!AJ:AJ,"k",0)</f>
        <v>#N/A</v>
      </c>
      <c r="AL51" s="48" t="s">
        <v>2647</v>
      </c>
      <c r="AM51" s="48" t="s">
        <v>4245</v>
      </c>
    </row>
    <row r="52" spans="1:39" s="48" customFormat="1" ht="40.5" customHeight="1" x14ac:dyDescent="0.2">
      <c r="A52" s="295" t="s">
        <v>2302</v>
      </c>
      <c r="B52" s="73"/>
      <c r="C52" s="65" t="s">
        <v>1032</v>
      </c>
      <c r="D52" s="67"/>
      <c r="E52" s="67"/>
      <c r="F52" s="33"/>
      <c r="G52" s="40"/>
      <c r="H52" s="40"/>
      <c r="I52" s="40"/>
      <c r="J52" s="102" t="s">
        <v>427</v>
      </c>
      <c r="K52" s="40">
        <v>2007</v>
      </c>
      <c r="L52" s="40"/>
      <c r="M52" s="32"/>
      <c r="N52" s="33"/>
      <c r="O52" s="40"/>
      <c r="P52" s="32" t="s">
        <v>12</v>
      </c>
      <c r="Q52" s="252">
        <v>94910618.005477175</v>
      </c>
      <c r="R52" s="61"/>
      <c r="S52" s="206" t="str">
        <f t="shared" si="10"/>
        <v>3.11.01</v>
      </c>
      <c r="T52" s="207" t="str">
        <f t="shared" si="2"/>
        <v>BANGUNAN GEDUNG TEMPAT KERJA</v>
      </c>
      <c r="U52" s="207">
        <f t="shared" si="3"/>
        <v>50</v>
      </c>
      <c r="V52" s="233">
        <f t="shared" si="11"/>
        <v>1898212.1601095435</v>
      </c>
      <c r="W52" s="233">
        <f t="shared" si="12"/>
        <v>6</v>
      </c>
      <c r="X52" s="233">
        <f t="shared" si="4"/>
        <v>11389272.960657261</v>
      </c>
      <c r="Y52" s="233">
        <f t="shared" si="5"/>
        <v>1898212.1601095435</v>
      </c>
      <c r="Z52" s="233">
        <f t="shared" si="6"/>
        <v>1898212.1601095435</v>
      </c>
      <c r="AA52" s="233">
        <f t="shared" si="7"/>
        <v>1898212.1601095435</v>
      </c>
      <c r="AB52" s="233">
        <f t="shared" si="8"/>
        <v>1898212.1601095435</v>
      </c>
      <c r="AC52" s="238">
        <f t="shared" si="13"/>
        <v>1898212.1601095435</v>
      </c>
      <c r="AD52" s="238">
        <f t="shared" si="14"/>
        <v>20880333.761204977</v>
      </c>
      <c r="AE52" s="206">
        <f t="shared" si="15"/>
        <v>2007</v>
      </c>
      <c r="AF52" s="210">
        <f t="shared" si="16"/>
        <v>74030284.244272202</v>
      </c>
      <c r="AG52" s="48" t="e">
        <f t="shared" si="17"/>
        <v>#N/A</v>
      </c>
      <c r="AH52" s="48" t="e">
        <f>IF(AG52='KIB C'!AJ:AJ,"k",0)</f>
        <v>#N/A</v>
      </c>
      <c r="AL52" s="48" t="s">
        <v>1054</v>
      </c>
      <c r="AM52" s="48" t="s">
        <v>4245</v>
      </c>
    </row>
    <row r="53" spans="1:39" s="48" customFormat="1" ht="40.5" customHeight="1" x14ac:dyDescent="0.2">
      <c r="A53" s="295" t="s">
        <v>2302</v>
      </c>
      <c r="B53" s="73"/>
      <c r="C53" s="65" t="s">
        <v>1033</v>
      </c>
      <c r="D53" s="67"/>
      <c r="E53" s="67" t="s">
        <v>426</v>
      </c>
      <c r="F53" s="33" t="s">
        <v>43</v>
      </c>
      <c r="G53" s="40"/>
      <c r="H53" s="40"/>
      <c r="I53" s="40"/>
      <c r="J53" s="102" t="s">
        <v>417</v>
      </c>
      <c r="K53" s="40">
        <v>2007</v>
      </c>
      <c r="L53" s="40"/>
      <c r="M53" s="32">
        <v>550</v>
      </c>
      <c r="N53" s="33"/>
      <c r="O53" s="40"/>
      <c r="P53" s="32" t="s">
        <v>12</v>
      </c>
      <c r="Q53" s="252">
        <v>985718287.20000005</v>
      </c>
      <c r="R53" s="61"/>
      <c r="S53" s="206" t="str">
        <f t="shared" si="10"/>
        <v>3.11.01</v>
      </c>
      <c r="T53" s="207" t="str">
        <f t="shared" si="2"/>
        <v>BANGUNAN GEDUNG TEMPAT KERJA</v>
      </c>
      <c r="U53" s="207">
        <f t="shared" si="3"/>
        <v>50</v>
      </c>
      <c r="V53" s="233">
        <f t="shared" si="11"/>
        <v>19714365.544</v>
      </c>
      <c r="W53" s="233">
        <f t="shared" si="12"/>
        <v>6</v>
      </c>
      <c r="X53" s="233">
        <f t="shared" si="4"/>
        <v>118286193.264</v>
      </c>
      <c r="Y53" s="233">
        <f t="shared" si="5"/>
        <v>19714365.544</v>
      </c>
      <c r="Z53" s="233">
        <f t="shared" si="6"/>
        <v>19714365.544</v>
      </c>
      <c r="AA53" s="233">
        <f t="shared" si="7"/>
        <v>19714365.544</v>
      </c>
      <c r="AB53" s="233">
        <f t="shared" si="8"/>
        <v>19714365.544</v>
      </c>
      <c r="AC53" s="238">
        <f t="shared" si="13"/>
        <v>19714365.544</v>
      </c>
      <c r="AD53" s="238">
        <f t="shared" si="14"/>
        <v>216858020.984</v>
      </c>
      <c r="AE53" s="206">
        <f t="shared" si="15"/>
        <v>2007</v>
      </c>
      <c r="AF53" s="210">
        <f t="shared" si="16"/>
        <v>768860266.21600008</v>
      </c>
      <c r="AG53" s="48" t="str">
        <f t="shared" si="17"/>
        <v>K</v>
      </c>
      <c r="AL53" s="48" t="s">
        <v>2767</v>
      </c>
      <c r="AM53" s="48" t="s">
        <v>4245</v>
      </c>
    </row>
    <row r="54" spans="1:39" s="48" customFormat="1" ht="40.5" customHeight="1" x14ac:dyDescent="0.2">
      <c r="A54" s="295" t="s">
        <v>2302</v>
      </c>
      <c r="B54" s="73"/>
      <c r="C54" s="65" t="s">
        <v>1034</v>
      </c>
      <c r="D54" s="67"/>
      <c r="E54" s="67" t="s">
        <v>426</v>
      </c>
      <c r="F54" s="33" t="s">
        <v>43</v>
      </c>
      <c r="G54" s="40"/>
      <c r="H54" s="40"/>
      <c r="I54" s="40"/>
      <c r="J54" s="102" t="s">
        <v>417</v>
      </c>
      <c r="K54" s="40">
        <v>2007</v>
      </c>
      <c r="L54" s="40"/>
      <c r="M54" s="32">
        <v>550</v>
      </c>
      <c r="N54" s="33"/>
      <c r="O54" s="40"/>
      <c r="P54" s="32" t="s">
        <v>12</v>
      </c>
      <c r="Q54" s="252">
        <v>1498540229.0999999</v>
      </c>
      <c r="R54" s="61"/>
      <c r="S54" s="206" t="str">
        <f t="shared" si="10"/>
        <v>3.11.01</v>
      </c>
      <c r="T54" s="207" t="str">
        <f t="shared" si="2"/>
        <v>BANGUNAN GEDUNG TEMPAT KERJA</v>
      </c>
      <c r="U54" s="207">
        <f t="shared" si="3"/>
        <v>50</v>
      </c>
      <c r="V54" s="233">
        <f t="shared" si="11"/>
        <v>29970804.381999999</v>
      </c>
      <c r="W54" s="233">
        <f t="shared" si="12"/>
        <v>6</v>
      </c>
      <c r="X54" s="233">
        <f t="shared" si="4"/>
        <v>179824826.292</v>
      </c>
      <c r="Y54" s="233">
        <f t="shared" si="5"/>
        <v>29970804.381999999</v>
      </c>
      <c r="Z54" s="233">
        <f t="shared" si="6"/>
        <v>29970804.381999999</v>
      </c>
      <c r="AA54" s="233">
        <f t="shared" si="7"/>
        <v>29970804.381999999</v>
      </c>
      <c r="AB54" s="233">
        <f t="shared" si="8"/>
        <v>29970804.381999999</v>
      </c>
      <c r="AC54" s="238">
        <f t="shared" si="13"/>
        <v>29970804.381999999</v>
      </c>
      <c r="AD54" s="238">
        <f t="shared" si="14"/>
        <v>329678848.2019999</v>
      </c>
      <c r="AE54" s="206">
        <f t="shared" si="15"/>
        <v>2007</v>
      </c>
      <c r="AF54" s="210">
        <f t="shared" si="16"/>
        <v>1168861380.898</v>
      </c>
      <c r="AG54" s="48" t="str">
        <f t="shared" si="17"/>
        <v>K</v>
      </c>
      <c r="AL54" s="48" t="s">
        <v>2768</v>
      </c>
      <c r="AM54" s="48" t="s">
        <v>4245</v>
      </c>
    </row>
    <row r="55" spans="1:39" s="48" customFormat="1" ht="40.5" customHeight="1" x14ac:dyDescent="0.2">
      <c r="A55" s="295" t="s">
        <v>2302</v>
      </c>
      <c r="B55" s="73"/>
      <c r="C55" s="65" t="s">
        <v>1035</v>
      </c>
      <c r="D55" s="67"/>
      <c r="E55" s="67" t="s">
        <v>426</v>
      </c>
      <c r="F55" s="33" t="s">
        <v>43</v>
      </c>
      <c r="G55" s="40"/>
      <c r="H55" s="40"/>
      <c r="I55" s="40"/>
      <c r="J55" s="102" t="s">
        <v>417</v>
      </c>
      <c r="K55" s="40">
        <v>2007</v>
      </c>
      <c r="L55" s="40"/>
      <c r="M55" s="32">
        <v>550</v>
      </c>
      <c r="N55" s="33"/>
      <c r="O55" s="40"/>
      <c r="P55" s="32" t="s">
        <v>12</v>
      </c>
      <c r="Q55" s="252">
        <v>1022670613.8</v>
      </c>
      <c r="R55" s="61"/>
      <c r="S55" s="206" t="str">
        <f t="shared" si="10"/>
        <v>3.11.01</v>
      </c>
      <c r="T55" s="207" t="str">
        <f t="shared" si="2"/>
        <v>BANGUNAN GEDUNG TEMPAT KERJA</v>
      </c>
      <c r="U55" s="207">
        <f t="shared" si="3"/>
        <v>50</v>
      </c>
      <c r="V55" s="233">
        <f t="shared" si="11"/>
        <v>20453412.075999998</v>
      </c>
      <c r="W55" s="233">
        <f t="shared" si="12"/>
        <v>6</v>
      </c>
      <c r="X55" s="233">
        <f t="shared" si="4"/>
        <v>122720472.45599999</v>
      </c>
      <c r="Y55" s="233">
        <f t="shared" si="5"/>
        <v>20453412.075999998</v>
      </c>
      <c r="Z55" s="233">
        <f t="shared" si="6"/>
        <v>20453412.075999998</v>
      </c>
      <c r="AA55" s="233">
        <f t="shared" si="7"/>
        <v>20453412.075999998</v>
      </c>
      <c r="AB55" s="233">
        <f t="shared" si="8"/>
        <v>20453412.075999998</v>
      </c>
      <c r="AC55" s="238">
        <f t="shared" si="13"/>
        <v>20453412.075999998</v>
      </c>
      <c r="AD55" s="238">
        <f t="shared" si="14"/>
        <v>224987532.836</v>
      </c>
      <c r="AE55" s="206">
        <f t="shared" si="15"/>
        <v>2007</v>
      </c>
      <c r="AF55" s="210">
        <f t="shared" si="16"/>
        <v>797683080.96399999</v>
      </c>
      <c r="AG55" s="48" t="str">
        <f t="shared" si="17"/>
        <v>K</v>
      </c>
      <c r="AL55" s="48" t="s">
        <v>2640</v>
      </c>
      <c r="AM55" s="48" t="s">
        <v>4245</v>
      </c>
    </row>
    <row r="56" spans="1:39" s="48" customFormat="1" ht="40.5" customHeight="1" x14ac:dyDescent="0.2">
      <c r="A56" s="295" t="s">
        <v>2302</v>
      </c>
      <c r="B56" s="73"/>
      <c r="C56" s="65" t="s">
        <v>1036</v>
      </c>
      <c r="D56" s="67"/>
      <c r="E56" s="67" t="s">
        <v>426</v>
      </c>
      <c r="F56" s="33" t="s">
        <v>43</v>
      </c>
      <c r="G56" s="40"/>
      <c r="H56" s="40"/>
      <c r="I56" s="40"/>
      <c r="J56" s="102" t="s">
        <v>417</v>
      </c>
      <c r="K56" s="40">
        <v>2007</v>
      </c>
      <c r="L56" s="40"/>
      <c r="M56" s="32">
        <v>550</v>
      </c>
      <c r="N56" s="33"/>
      <c r="O56" s="40"/>
      <c r="P56" s="32" t="s">
        <v>12</v>
      </c>
      <c r="Q56" s="252">
        <v>1478086522.2</v>
      </c>
      <c r="R56" s="61"/>
      <c r="S56" s="206" t="str">
        <f t="shared" si="10"/>
        <v>3.11.01</v>
      </c>
      <c r="T56" s="207" t="str">
        <f t="shared" si="2"/>
        <v>BANGUNAN GEDUNG TEMPAT KERJA</v>
      </c>
      <c r="U56" s="207">
        <f t="shared" si="3"/>
        <v>50</v>
      </c>
      <c r="V56" s="233">
        <f t="shared" si="11"/>
        <v>29561730.244000003</v>
      </c>
      <c r="W56" s="233">
        <f t="shared" si="12"/>
        <v>6</v>
      </c>
      <c r="X56" s="233">
        <f t="shared" si="4"/>
        <v>177370381.46400002</v>
      </c>
      <c r="Y56" s="233">
        <f t="shared" si="5"/>
        <v>29561730.244000003</v>
      </c>
      <c r="Z56" s="233">
        <f t="shared" si="6"/>
        <v>29561730.244000003</v>
      </c>
      <c r="AA56" s="233">
        <f t="shared" si="7"/>
        <v>29561730.244000003</v>
      </c>
      <c r="AB56" s="233">
        <f t="shared" si="8"/>
        <v>29561730.244000003</v>
      </c>
      <c r="AC56" s="238">
        <f t="shared" si="13"/>
        <v>29561730.244000003</v>
      </c>
      <c r="AD56" s="238">
        <f t="shared" si="14"/>
        <v>325179032.68400007</v>
      </c>
      <c r="AE56" s="206">
        <f t="shared" si="15"/>
        <v>2007</v>
      </c>
      <c r="AF56" s="210">
        <f t="shared" si="16"/>
        <v>1152907489.516</v>
      </c>
      <c r="AG56" s="48" t="e">
        <f t="shared" si="17"/>
        <v>#N/A</v>
      </c>
      <c r="AH56" s="48" t="e">
        <f>IF(AG56='KIB C'!AJ:AJ,"k",0)</f>
        <v>#N/A</v>
      </c>
      <c r="AL56" s="48" t="s">
        <v>2668</v>
      </c>
      <c r="AM56" s="48" t="s">
        <v>4245</v>
      </c>
    </row>
    <row r="57" spans="1:39" s="48" customFormat="1" ht="40.5" customHeight="1" x14ac:dyDescent="0.2">
      <c r="A57" s="295" t="s">
        <v>2302</v>
      </c>
      <c r="B57" s="73"/>
      <c r="C57" s="65" t="s">
        <v>1037</v>
      </c>
      <c r="D57" s="67"/>
      <c r="E57" s="67"/>
      <c r="F57" s="33"/>
      <c r="G57" s="40"/>
      <c r="H57" s="40"/>
      <c r="I57" s="40"/>
      <c r="J57" s="65" t="s">
        <v>52</v>
      </c>
      <c r="K57" s="40">
        <v>2007</v>
      </c>
      <c r="L57" s="40"/>
      <c r="M57" s="32"/>
      <c r="N57" s="33"/>
      <c r="O57" s="40"/>
      <c r="P57" s="32" t="s">
        <v>12</v>
      </c>
      <c r="Q57" s="252">
        <v>1590808752.04</v>
      </c>
      <c r="R57" s="61"/>
      <c r="S57" s="206" t="str">
        <f t="shared" si="10"/>
        <v>3.11.01</v>
      </c>
      <c r="T57" s="207" t="str">
        <f t="shared" si="2"/>
        <v>BANGUNAN GEDUNG TEMPAT KERJA</v>
      </c>
      <c r="U57" s="207">
        <f t="shared" si="3"/>
        <v>50</v>
      </c>
      <c r="V57" s="233">
        <f t="shared" si="11"/>
        <v>31816174.840799998</v>
      </c>
      <c r="W57" s="233">
        <f t="shared" si="12"/>
        <v>6</v>
      </c>
      <c r="X57" s="233">
        <f t="shared" si="4"/>
        <v>190897049.04479998</v>
      </c>
      <c r="Y57" s="233">
        <f t="shared" si="5"/>
        <v>31816174.840799998</v>
      </c>
      <c r="Z57" s="233">
        <f t="shared" si="6"/>
        <v>31816174.840799998</v>
      </c>
      <c r="AA57" s="233">
        <f t="shared" si="7"/>
        <v>31816174.840799998</v>
      </c>
      <c r="AB57" s="233">
        <f t="shared" si="8"/>
        <v>31816174.840799998</v>
      </c>
      <c r="AC57" s="238">
        <f t="shared" si="13"/>
        <v>31816174.840799998</v>
      </c>
      <c r="AD57" s="238">
        <f t="shared" si="14"/>
        <v>349977923.24879992</v>
      </c>
      <c r="AE57" s="206">
        <f t="shared" si="15"/>
        <v>2007</v>
      </c>
      <c r="AF57" s="210">
        <f t="shared" si="16"/>
        <v>1240830828.7912002</v>
      </c>
      <c r="AG57" s="48" t="e">
        <f t="shared" si="17"/>
        <v>#N/A</v>
      </c>
      <c r="AH57" s="48" t="e">
        <f>IF(AG57='KIB C'!AJ:AJ,"k",0)</f>
        <v>#N/A</v>
      </c>
      <c r="AL57" s="48" t="s">
        <v>2649</v>
      </c>
      <c r="AM57" s="48" t="s">
        <v>4245</v>
      </c>
    </row>
    <row r="58" spans="1:39" s="48" customFormat="1" ht="40.5" customHeight="1" x14ac:dyDescent="0.2">
      <c r="A58" s="295" t="s">
        <v>2302</v>
      </c>
      <c r="B58" s="73"/>
      <c r="C58" s="65" t="s">
        <v>1038</v>
      </c>
      <c r="D58" s="67"/>
      <c r="E58" s="67"/>
      <c r="F58" s="33" t="s">
        <v>43</v>
      </c>
      <c r="G58" s="40"/>
      <c r="H58" s="40"/>
      <c r="I58" s="40"/>
      <c r="J58" s="102" t="s">
        <v>417</v>
      </c>
      <c r="K58" s="40">
        <v>2007</v>
      </c>
      <c r="L58" s="40"/>
      <c r="M58" s="32"/>
      <c r="N58" s="33"/>
      <c r="O58" s="40"/>
      <c r="P58" s="32" t="s">
        <v>12</v>
      </c>
      <c r="Q58" s="252">
        <v>192483016.46138337</v>
      </c>
      <c r="R58" s="61"/>
      <c r="S58" s="206" t="str">
        <f t="shared" si="10"/>
        <v>3.11.01</v>
      </c>
      <c r="T58" s="207" t="str">
        <f t="shared" si="2"/>
        <v>BANGUNAN GEDUNG TEMPAT KERJA</v>
      </c>
      <c r="U58" s="207">
        <f t="shared" si="3"/>
        <v>50</v>
      </c>
      <c r="V58" s="233">
        <f t="shared" si="11"/>
        <v>3849660.1292276676</v>
      </c>
      <c r="W58" s="233">
        <f t="shared" si="12"/>
        <v>6</v>
      </c>
      <c r="X58" s="233">
        <f t="shared" si="4"/>
        <v>23097960.775366005</v>
      </c>
      <c r="Y58" s="233">
        <f t="shared" si="5"/>
        <v>3849660.1292276676</v>
      </c>
      <c r="Z58" s="233">
        <f t="shared" si="6"/>
        <v>3849660.1292276676</v>
      </c>
      <c r="AA58" s="233">
        <f t="shared" si="7"/>
        <v>3849660.1292276676</v>
      </c>
      <c r="AB58" s="233">
        <f t="shared" si="8"/>
        <v>3849660.1292276676</v>
      </c>
      <c r="AC58" s="238">
        <f t="shared" si="13"/>
        <v>3849660.1292276676</v>
      </c>
      <c r="AD58" s="238">
        <f t="shared" si="14"/>
        <v>42346261.421504341</v>
      </c>
      <c r="AE58" s="206">
        <f t="shared" si="15"/>
        <v>2007</v>
      </c>
      <c r="AF58" s="210">
        <f t="shared" si="16"/>
        <v>150136755.03987902</v>
      </c>
      <c r="AG58" s="48" t="e">
        <f t="shared" si="17"/>
        <v>#N/A</v>
      </c>
      <c r="AH58" s="48" t="e">
        <f>IF(AG58='KIB C'!AJ:AJ,"k",0)</f>
        <v>#N/A</v>
      </c>
      <c r="AL58" s="48" t="s">
        <v>2682</v>
      </c>
      <c r="AM58" s="48" t="s">
        <v>4245</v>
      </c>
    </row>
    <row r="59" spans="1:39" s="48" customFormat="1" ht="40.5" customHeight="1" x14ac:dyDescent="0.2">
      <c r="A59" s="295" t="s">
        <v>2302</v>
      </c>
      <c r="B59" s="73"/>
      <c r="C59" s="65" t="s">
        <v>1039</v>
      </c>
      <c r="D59" s="67"/>
      <c r="E59" s="67"/>
      <c r="F59" s="33" t="s">
        <v>43</v>
      </c>
      <c r="G59" s="40"/>
      <c r="H59" s="40"/>
      <c r="I59" s="40"/>
      <c r="J59" s="102" t="s">
        <v>417</v>
      </c>
      <c r="K59" s="40">
        <v>2007</v>
      </c>
      <c r="L59" s="40"/>
      <c r="M59" s="32"/>
      <c r="N59" s="33"/>
      <c r="O59" s="40"/>
      <c r="P59" s="32" t="s">
        <v>12</v>
      </c>
      <c r="Q59" s="252">
        <v>683915333.53861666</v>
      </c>
      <c r="R59" s="61"/>
      <c r="S59" s="206" t="str">
        <f t="shared" si="10"/>
        <v>3.11.01</v>
      </c>
      <c r="T59" s="207" t="str">
        <f t="shared" si="2"/>
        <v>BANGUNAN GEDUNG TEMPAT KERJA</v>
      </c>
      <c r="U59" s="207">
        <f t="shared" si="3"/>
        <v>50</v>
      </c>
      <c r="V59" s="233">
        <f t="shared" si="11"/>
        <v>13678306.470772333</v>
      </c>
      <c r="W59" s="233">
        <f t="shared" si="12"/>
        <v>6</v>
      </c>
      <c r="X59" s="233">
        <f t="shared" si="4"/>
        <v>82069838.824634001</v>
      </c>
      <c r="Y59" s="233">
        <f t="shared" si="5"/>
        <v>13678306.470772333</v>
      </c>
      <c r="Z59" s="233">
        <f t="shared" si="6"/>
        <v>13678306.470772333</v>
      </c>
      <c r="AA59" s="233">
        <f t="shared" si="7"/>
        <v>13678306.470772333</v>
      </c>
      <c r="AB59" s="233">
        <f t="shared" si="8"/>
        <v>13678306.470772333</v>
      </c>
      <c r="AC59" s="238">
        <f t="shared" si="13"/>
        <v>13678306.470772333</v>
      </c>
      <c r="AD59" s="238">
        <f t="shared" si="14"/>
        <v>150461371.17849565</v>
      </c>
      <c r="AE59" s="206">
        <f t="shared" si="15"/>
        <v>2007</v>
      </c>
      <c r="AF59" s="210">
        <f t="shared" si="16"/>
        <v>533453962.36012101</v>
      </c>
      <c r="AG59" s="48" t="e">
        <f t="shared" si="17"/>
        <v>#N/A</v>
      </c>
      <c r="AH59" s="48" t="e">
        <f>IF(AG59='KIB C'!AJ:AJ,"k",0)</f>
        <v>#N/A</v>
      </c>
      <c r="AL59" s="48" t="s">
        <v>2650</v>
      </c>
      <c r="AM59" s="48" t="s">
        <v>4245</v>
      </c>
    </row>
    <row r="60" spans="1:39" s="48" customFormat="1" ht="40.5" customHeight="1" x14ac:dyDescent="0.2">
      <c r="A60" s="295" t="s">
        <v>2302</v>
      </c>
      <c r="B60" s="73"/>
      <c r="C60" s="65" t="s">
        <v>1040</v>
      </c>
      <c r="D60" s="67"/>
      <c r="E60" s="67"/>
      <c r="F60" s="33"/>
      <c r="G60" s="40"/>
      <c r="H60" s="40"/>
      <c r="I60" s="40"/>
      <c r="J60" s="102" t="s">
        <v>417</v>
      </c>
      <c r="K60" s="40">
        <v>2007</v>
      </c>
      <c r="L60" s="40"/>
      <c r="M60" s="32"/>
      <c r="N60" s="33"/>
      <c r="O60" s="40"/>
      <c r="P60" s="32" t="s">
        <v>12</v>
      </c>
      <c r="Q60" s="252">
        <v>2713933500</v>
      </c>
      <c r="R60" s="61"/>
      <c r="S60" s="206" t="str">
        <f t="shared" si="10"/>
        <v>3.11.01</v>
      </c>
      <c r="T60" s="207" t="str">
        <f t="shared" si="2"/>
        <v>BANGUNAN GEDUNG TEMPAT KERJA</v>
      </c>
      <c r="U60" s="207">
        <f t="shared" si="3"/>
        <v>50</v>
      </c>
      <c r="V60" s="233">
        <f t="shared" si="11"/>
        <v>54278669.799999997</v>
      </c>
      <c r="W60" s="233">
        <f t="shared" si="12"/>
        <v>6</v>
      </c>
      <c r="X60" s="233">
        <f t="shared" si="4"/>
        <v>325672018.79999995</v>
      </c>
      <c r="Y60" s="233">
        <f t="shared" si="5"/>
        <v>54278669.799999997</v>
      </c>
      <c r="Z60" s="233">
        <f t="shared" si="6"/>
        <v>54278669.799999997</v>
      </c>
      <c r="AA60" s="233">
        <f t="shared" si="7"/>
        <v>54278669.799999997</v>
      </c>
      <c r="AB60" s="233">
        <f t="shared" si="8"/>
        <v>54278669.799999997</v>
      </c>
      <c r="AC60" s="238">
        <f t="shared" si="13"/>
        <v>54278669.799999997</v>
      </c>
      <c r="AD60" s="238">
        <f t="shared" si="14"/>
        <v>597065367.79999995</v>
      </c>
      <c r="AE60" s="206">
        <f t="shared" si="15"/>
        <v>2007</v>
      </c>
      <c r="AF60" s="210">
        <f t="shared" si="16"/>
        <v>2116868132.2</v>
      </c>
      <c r="AG60" s="48" t="e">
        <f t="shared" si="17"/>
        <v>#N/A</v>
      </c>
      <c r="AH60" s="48" t="e">
        <f>IF(AG60='KIB C'!AJ:AJ,"k",0)</f>
        <v>#N/A</v>
      </c>
      <c r="AL60" s="48" t="s">
        <v>2683</v>
      </c>
      <c r="AM60" s="48" t="s">
        <v>4245</v>
      </c>
    </row>
    <row r="61" spans="1:39" s="48" customFormat="1" ht="40.5" customHeight="1" x14ac:dyDescent="0.2">
      <c r="A61" s="295" t="s">
        <v>2302</v>
      </c>
      <c r="B61" s="73"/>
      <c r="C61" s="65" t="s">
        <v>1041</v>
      </c>
      <c r="D61" s="67"/>
      <c r="E61" s="67"/>
      <c r="F61" s="33" t="s">
        <v>43</v>
      </c>
      <c r="G61" s="40"/>
      <c r="H61" s="40"/>
      <c r="I61" s="40"/>
      <c r="J61" s="65" t="s">
        <v>1082</v>
      </c>
      <c r="K61" s="40">
        <v>2008</v>
      </c>
      <c r="L61" s="40"/>
      <c r="M61" s="32"/>
      <c r="N61" s="33"/>
      <c r="O61" s="40"/>
      <c r="P61" s="32" t="s">
        <v>12</v>
      </c>
      <c r="Q61" s="252">
        <v>221125500</v>
      </c>
      <c r="R61" s="61"/>
      <c r="S61" s="206" t="str">
        <f t="shared" si="10"/>
        <v>3.11.01</v>
      </c>
      <c r="T61" s="207" t="str">
        <f t="shared" si="2"/>
        <v>BANGUNAN GEDUNG TEMPAT KERJA</v>
      </c>
      <c r="U61" s="207">
        <f t="shared" si="3"/>
        <v>50</v>
      </c>
      <c r="V61" s="233">
        <f t="shared" si="11"/>
        <v>4422509.8</v>
      </c>
      <c r="W61" s="233">
        <f t="shared" si="12"/>
        <v>5</v>
      </c>
      <c r="X61" s="233">
        <f t="shared" si="4"/>
        <v>22112549</v>
      </c>
      <c r="Y61" s="233">
        <f t="shared" si="5"/>
        <v>4422509.8</v>
      </c>
      <c r="Z61" s="233">
        <f t="shared" si="6"/>
        <v>4422509.8</v>
      </c>
      <c r="AA61" s="233">
        <f t="shared" si="7"/>
        <v>4422509.8</v>
      </c>
      <c r="AB61" s="233">
        <f t="shared" si="8"/>
        <v>4422509.8</v>
      </c>
      <c r="AC61" s="238">
        <f t="shared" si="13"/>
        <v>4422509.8</v>
      </c>
      <c r="AD61" s="238">
        <f t="shared" si="14"/>
        <v>44225097.999999993</v>
      </c>
      <c r="AE61" s="206">
        <f t="shared" si="15"/>
        <v>2008</v>
      </c>
      <c r="AF61" s="210">
        <f t="shared" si="16"/>
        <v>176900402</v>
      </c>
      <c r="AG61" s="48" t="e">
        <f t="shared" si="17"/>
        <v>#N/A</v>
      </c>
      <c r="AH61" s="48" t="e">
        <f>IF(AG61='KIB C'!AJ:AJ,"k",0)</f>
        <v>#N/A</v>
      </c>
      <c r="AL61" s="48" t="s">
        <v>2665</v>
      </c>
      <c r="AM61" s="48" t="s">
        <v>4245</v>
      </c>
    </row>
    <row r="62" spans="1:39" s="48" customFormat="1" ht="40.5" customHeight="1" x14ac:dyDescent="0.2">
      <c r="A62" s="295" t="s">
        <v>2302</v>
      </c>
      <c r="B62" s="73"/>
      <c r="C62" s="65" t="s">
        <v>1042</v>
      </c>
      <c r="D62" s="67"/>
      <c r="E62" s="67"/>
      <c r="F62" s="33" t="s">
        <v>43</v>
      </c>
      <c r="G62" s="40"/>
      <c r="H62" s="40"/>
      <c r="I62" s="40"/>
      <c r="J62" s="65" t="s">
        <v>52</v>
      </c>
      <c r="K62" s="40">
        <v>2008</v>
      </c>
      <c r="L62" s="40"/>
      <c r="M62" s="32"/>
      <c r="N62" s="33"/>
      <c r="O62" s="40"/>
      <c r="P62" s="32" t="s">
        <v>12</v>
      </c>
      <c r="Q62" s="252">
        <v>499891102.30899686</v>
      </c>
      <c r="R62" s="61"/>
      <c r="S62" s="206" t="str">
        <f t="shared" si="10"/>
        <v>3.11.01</v>
      </c>
      <c r="T62" s="207" t="str">
        <f t="shared" si="2"/>
        <v>BANGUNAN GEDUNG TEMPAT KERJA</v>
      </c>
      <c r="U62" s="207">
        <f t="shared" si="3"/>
        <v>50</v>
      </c>
      <c r="V62" s="233">
        <f t="shared" si="11"/>
        <v>9997821.8461799379</v>
      </c>
      <c r="W62" s="233">
        <f t="shared" si="12"/>
        <v>5</v>
      </c>
      <c r="X62" s="233">
        <f t="shared" si="4"/>
        <v>49989109.230899692</v>
      </c>
      <c r="Y62" s="233">
        <f t="shared" si="5"/>
        <v>9997821.8461799379</v>
      </c>
      <c r="Z62" s="233">
        <f t="shared" si="6"/>
        <v>9997821.8461799379</v>
      </c>
      <c r="AA62" s="233">
        <f t="shared" si="7"/>
        <v>9997821.8461799379</v>
      </c>
      <c r="AB62" s="233">
        <f t="shared" si="8"/>
        <v>9997821.8461799379</v>
      </c>
      <c r="AC62" s="238">
        <f t="shared" si="13"/>
        <v>9997821.8461799379</v>
      </c>
      <c r="AD62" s="238">
        <f t="shared" si="14"/>
        <v>99978218.461799368</v>
      </c>
      <c r="AE62" s="206">
        <f t="shared" si="15"/>
        <v>2008</v>
      </c>
      <c r="AF62" s="210">
        <f t="shared" si="16"/>
        <v>399912883.84719747</v>
      </c>
      <c r="AG62" s="48" t="e">
        <f t="shared" si="17"/>
        <v>#N/A</v>
      </c>
      <c r="AH62" s="48" t="e">
        <f>IF(AG62='KIB C'!AJ:AJ,"k",0)</f>
        <v>#N/A</v>
      </c>
      <c r="AL62" s="48" t="s">
        <v>2996</v>
      </c>
      <c r="AM62" s="48" t="s">
        <v>4245</v>
      </c>
    </row>
    <row r="63" spans="1:39" s="48" customFormat="1" ht="40.5" customHeight="1" x14ac:dyDescent="0.2">
      <c r="A63" s="295" t="s">
        <v>2302</v>
      </c>
      <c r="B63" s="73"/>
      <c r="C63" s="65" t="s">
        <v>1043</v>
      </c>
      <c r="D63" s="67"/>
      <c r="E63" s="67"/>
      <c r="F63" s="33" t="s">
        <v>43</v>
      </c>
      <c r="G63" s="40"/>
      <c r="H63" s="40"/>
      <c r="I63" s="40"/>
      <c r="J63" s="65" t="s">
        <v>1095</v>
      </c>
      <c r="K63" s="40">
        <v>2008</v>
      </c>
      <c r="L63" s="40"/>
      <c r="M63" s="32"/>
      <c r="N63" s="33"/>
      <c r="O63" s="40"/>
      <c r="P63" s="32" t="s">
        <v>12</v>
      </c>
      <c r="Q63" s="252">
        <v>98429383.119542718</v>
      </c>
      <c r="R63" s="61"/>
      <c r="S63" s="206" t="str">
        <f t="shared" si="10"/>
        <v>3.11.01</v>
      </c>
      <c r="T63" s="207" t="str">
        <f t="shared" si="2"/>
        <v>BANGUNAN GEDUNG TEMPAT KERJA</v>
      </c>
      <c r="U63" s="207">
        <f t="shared" si="3"/>
        <v>50</v>
      </c>
      <c r="V63" s="233">
        <f t="shared" si="11"/>
        <v>1968587.4623908543</v>
      </c>
      <c r="W63" s="233">
        <f t="shared" si="12"/>
        <v>5</v>
      </c>
      <c r="X63" s="233">
        <f t="shared" si="4"/>
        <v>9842937.311954271</v>
      </c>
      <c r="Y63" s="233">
        <f t="shared" si="5"/>
        <v>1968587.4623908543</v>
      </c>
      <c r="Z63" s="233">
        <f t="shared" si="6"/>
        <v>1968587.4623908543</v>
      </c>
      <c r="AA63" s="233">
        <f t="shared" si="7"/>
        <v>1968587.4623908543</v>
      </c>
      <c r="AB63" s="233">
        <f t="shared" si="8"/>
        <v>1968587.4623908543</v>
      </c>
      <c r="AC63" s="238">
        <f t="shared" si="13"/>
        <v>1968587.4623908543</v>
      </c>
      <c r="AD63" s="238">
        <f t="shared" si="14"/>
        <v>19685874.623908546</v>
      </c>
      <c r="AE63" s="206">
        <f t="shared" si="15"/>
        <v>2008</v>
      </c>
      <c r="AF63" s="210">
        <f t="shared" si="16"/>
        <v>78743508.495634168</v>
      </c>
      <c r="AG63" s="48" t="e">
        <f t="shared" si="17"/>
        <v>#N/A</v>
      </c>
      <c r="AH63" s="48" t="e">
        <f>IF(AG63='KIB C'!AJ:AJ,"k",0)</f>
        <v>#N/A</v>
      </c>
      <c r="AL63" s="48" t="s">
        <v>2667</v>
      </c>
      <c r="AM63" s="48" t="s">
        <v>4245</v>
      </c>
    </row>
    <row r="64" spans="1:39" s="48" customFormat="1" ht="40.5" customHeight="1" x14ac:dyDescent="0.2">
      <c r="A64" s="295" t="s">
        <v>2302</v>
      </c>
      <c r="B64" s="73"/>
      <c r="C64" s="65" t="s">
        <v>1044</v>
      </c>
      <c r="D64" s="67"/>
      <c r="E64" s="67"/>
      <c r="F64" s="33" t="s">
        <v>43</v>
      </c>
      <c r="G64" s="40"/>
      <c r="H64" s="40"/>
      <c r="I64" s="40"/>
      <c r="J64" s="65" t="s">
        <v>1096</v>
      </c>
      <c r="K64" s="40">
        <v>2008</v>
      </c>
      <c r="L64" s="40"/>
      <c r="M64" s="32"/>
      <c r="N64" s="33"/>
      <c r="O64" s="40"/>
      <c r="P64" s="32" t="s">
        <v>12</v>
      </c>
      <c r="Q64" s="252">
        <v>133146608.22160593</v>
      </c>
      <c r="R64" s="61"/>
      <c r="S64" s="206" t="str">
        <f t="shared" si="10"/>
        <v>3.11.01</v>
      </c>
      <c r="T64" s="207" t="str">
        <f t="shared" si="2"/>
        <v>BANGUNAN GEDUNG TEMPAT KERJA</v>
      </c>
      <c r="U64" s="207">
        <f t="shared" si="3"/>
        <v>50</v>
      </c>
      <c r="V64" s="233">
        <f t="shared" si="11"/>
        <v>2662931.9644321185</v>
      </c>
      <c r="W64" s="233">
        <f t="shared" si="12"/>
        <v>5</v>
      </c>
      <c r="X64" s="233">
        <f t="shared" si="4"/>
        <v>13314659.822160592</v>
      </c>
      <c r="Y64" s="233">
        <f t="shared" si="5"/>
        <v>2662931.9644321185</v>
      </c>
      <c r="Z64" s="233">
        <f t="shared" si="6"/>
        <v>2662931.9644321185</v>
      </c>
      <c r="AA64" s="233">
        <f t="shared" si="7"/>
        <v>2662931.9644321185</v>
      </c>
      <c r="AB64" s="233">
        <f t="shared" si="8"/>
        <v>2662931.9644321185</v>
      </c>
      <c r="AC64" s="238">
        <f t="shared" si="13"/>
        <v>2662931.9644321185</v>
      </c>
      <c r="AD64" s="238">
        <f t="shared" si="14"/>
        <v>26629319.644321188</v>
      </c>
      <c r="AE64" s="206">
        <f t="shared" si="15"/>
        <v>2008</v>
      </c>
      <c r="AF64" s="210">
        <f t="shared" si="16"/>
        <v>106517288.57728474</v>
      </c>
      <c r="AG64" s="48" t="e">
        <f t="shared" si="17"/>
        <v>#N/A</v>
      </c>
      <c r="AH64" s="48" t="e">
        <f>IF(AG64='KIB C'!AJ:AJ,"k",0)</f>
        <v>#N/A</v>
      </c>
      <c r="AL64" s="48" t="s">
        <v>2997</v>
      </c>
      <c r="AM64" s="48" t="s">
        <v>4245</v>
      </c>
    </row>
    <row r="65" spans="1:39" s="48" customFormat="1" ht="40.5" customHeight="1" x14ac:dyDescent="0.2">
      <c r="A65" s="295" t="s">
        <v>2302</v>
      </c>
      <c r="B65" s="73"/>
      <c r="C65" s="65" t="s">
        <v>1045</v>
      </c>
      <c r="D65" s="67"/>
      <c r="E65" s="67"/>
      <c r="F65" s="33" t="s">
        <v>43</v>
      </c>
      <c r="G65" s="40"/>
      <c r="H65" s="40"/>
      <c r="I65" s="40"/>
      <c r="J65" s="65" t="s">
        <v>424</v>
      </c>
      <c r="K65" s="40">
        <v>2008</v>
      </c>
      <c r="L65" s="40"/>
      <c r="M65" s="32"/>
      <c r="N65" s="33"/>
      <c r="O65" s="40"/>
      <c r="P65" s="32" t="s">
        <v>12</v>
      </c>
      <c r="Q65" s="252">
        <v>1663604072.7990077</v>
      </c>
      <c r="R65" s="61"/>
      <c r="S65" s="206" t="str">
        <f t="shared" si="10"/>
        <v>3.11.01</v>
      </c>
      <c r="T65" s="207" t="str">
        <f t="shared" si="2"/>
        <v>BANGUNAN GEDUNG TEMPAT KERJA</v>
      </c>
      <c r="U65" s="207">
        <f t="shared" si="3"/>
        <v>50</v>
      </c>
      <c r="V65" s="233">
        <f t="shared" si="11"/>
        <v>33272081.255980153</v>
      </c>
      <c r="W65" s="233">
        <f t="shared" si="12"/>
        <v>5</v>
      </c>
      <c r="X65" s="233">
        <f t="shared" si="4"/>
        <v>166360406.27990076</v>
      </c>
      <c r="Y65" s="233">
        <f t="shared" si="5"/>
        <v>33272081.255980153</v>
      </c>
      <c r="Z65" s="233">
        <f t="shared" si="6"/>
        <v>33272081.255980153</v>
      </c>
      <c r="AA65" s="233">
        <f t="shared" si="7"/>
        <v>33272081.255980153</v>
      </c>
      <c r="AB65" s="233">
        <f t="shared" si="8"/>
        <v>33272081.255980153</v>
      </c>
      <c r="AC65" s="238">
        <f t="shared" si="13"/>
        <v>33272081.255980153</v>
      </c>
      <c r="AD65" s="238">
        <f t="shared" si="14"/>
        <v>332720812.55980152</v>
      </c>
      <c r="AE65" s="206">
        <f t="shared" si="15"/>
        <v>2008</v>
      </c>
      <c r="AF65" s="210">
        <f t="shared" si="16"/>
        <v>1330883260.2392061</v>
      </c>
      <c r="AG65" s="48" t="e">
        <f t="shared" si="17"/>
        <v>#N/A</v>
      </c>
      <c r="AH65" s="48" t="e">
        <f>IF(AG65='KIB C'!AJ:AJ,"k",0)</f>
        <v>#N/A</v>
      </c>
      <c r="AL65" s="48" t="s">
        <v>2666</v>
      </c>
      <c r="AM65" s="48" t="s">
        <v>4245</v>
      </c>
    </row>
    <row r="66" spans="1:39" s="48" customFormat="1" ht="40.5" customHeight="1" x14ac:dyDescent="0.2">
      <c r="A66" s="295" t="s">
        <v>2302</v>
      </c>
      <c r="B66" s="73"/>
      <c r="C66" s="65" t="s">
        <v>1046</v>
      </c>
      <c r="D66" s="67"/>
      <c r="E66" s="67"/>
      <c r="F66" s="33" t="s">
        <v>43</v>
      </c>
      <c r="G66" s="40"/>
      <c r="H66" s="40"/>
      <c r="I66" s="40"/>
      <c r="J66" s="65" t="s">
        <v>423</v>
      </c>
      <c r="K66" s="40">
        <v>2008</v>
      </c>
      <c r="L66" s="40"/>
      <c r="M66" s="32"/>
      <c r="N66" s="33"/>
      <c r="O66" s="40"/>
      <c r="P66" s="32" t="s">
        <v>12</v>
      </c>
      <c r="Q66" s="252">
        <v>1080935824.6396344</v>
      </c>
      <c r="R66" s="61"/>
      <c r="S66" s="206" t="str">
        <f t="shared" si="10"/>
        <v>3.11.01</v>
      </c>
      <c r="T66" s="207" t="str">
        <f t="shared" si="2"/>
        <v>BANGUNAN GEDUNG TEMPAT KERJA</v>
      </c>
      <c r="U66" s="207">
        <f t="shared" si="3"/>
        <v>50</v>
      </c>
      <c r="V66" s="233">
        <f t="shared" si="11"/>
        <v>21618716.292792689</v>
      </c>
      <c r="W66" s="233">
        <f t="shared" si="12"/>
        <v>5</v>
      </c>
      <c r="X66" s="233">
        <f t="shared" si="4"/>
        <v>108093581.46396345</v>
      </c>
      <c r="Y66" s="233">
        <f t="shared" si="5"/>
        <v>21618716.292792689</v>
      </c>
      <c r="Z66" s="233">
        <f t="shared" si="6"/>
        <v>21618716.292792689</v>
      </c>
      <c r="AA66" s="233">
        <f t="shared" si="7"/>
        <v>21618716.292792689</v>
      </c>
      <c r="AB66" s="233">
        <f t="shared" si="8"/>
        <v>21618716.292792689</v>
      </c>
      <c r="AC66" s="238">
        <f t="shared" si="13"/>
        <v>21618716.292792689</v>
      </c>
      <c r="AD66" s="238">
        <f t="shared" si="14"/>
        <v>216187162.92792687</v>
      </c>
      <c r="AE66" s="206">
        <f t="shared" si="15"/>
        <v>2008</v>
      </c>
      <c r="AF66" s="210">
        <f t="shared" si="16"/>
        <v>864748661.71170747</v>
      </c>
      <c r="AG66" s="48" t="s">
        <v>4245</v>
      </c>
      <c r="AL66" s="48" t="s">
        <v>3023</v>
      </c>
      <c r="AM66" s="48" t="s">
        <v>4245</v>
      </c>
    </row>
    <row r="67" spans="1:39" s="48" customFormat="1" ht="40.5" customHeight="1" x14ac:dyDescent="0.2">
      <c r="A67" s="295" t="s">
        <v>2302</v>
      </c>
      <c r="B67" s="73"/>
      <c r="C67" s="65" t="s">
        <v>1047</v>
      </c>
      <c r="D67" s="67"/>
      <c r="E67" s="67"/>
      <c r="F67" s="33" t="s">
        <v>43</v>
      </c>
      <c r="G67" s="40"/>
      <c r="H67" s="40"/>
      <c r="I67" s="40"/>
      <c r="J67" s="72" t="s">
        <v>422</v>
      </c>
      <c r="K67" s="40">
        <v>2008</v>
      </c>
      <c r="L67" s="40"/>
      <c r="M67" s="32"/>
      <c r="N67" s="33"/>
      <c r="O67" s="40"/>
      <c r="P67" s="32" t="s">
        <v>12</v>
      </c>
      <c r="Q67" s="252">
        <v>242311157.65785614</v>
      </c>
      <c r="R67" s="61"/>
      <c r="S67" s="206" t="str">
        <f t="shared" si="10"/>
        <v>3.11.01</v>
      </c>
      <c r="T67" s="207" t="str">
        <f t="shared" si="2"/>
        <v>BANGUNAN GEDUNG TEMPAT KERJA</v>
      </c>
      <c r="U67" s="207">
        <f t="shared" si="3"/>
        <v>50</v>
      </c>
      <c r="V67" s="233">
        <f t="shared" si="11"/>
        <v>4846222.9531571232</v>
      </c>
      <c r="W67" s="233">
        <f t="shared" si="12"/>
        <v>5</v>
      </c>
      <c r="X67" s="233">
        <f t="shared" si="4"/>
        <v>24231114.765785616</v>
      </c>
      <c r="Y67" s="233">
        <f t="shared" si="5"/>
        <v>4846222.9531571232</v>
      </c>
      <c r="Z67" s="233">
        <f t="shared" si="6"/>
        <v>4846222.9531571232</v>
      </c>
      <c r="AA67" s="233">
        <f t="shared" si="7"/>
        <v>4846222.9531571232</v>
      </c>
      <c r="AB67" s="233">
        <f t="shared" si="8"/>
        <v>4846222.9531571232</v>
      </c>
      <c r="AC67" s="238">
        <f t="shared" si="13"/>
        <v>4846222.9531571232</v>
      </c>
      <c r="AD67" s="238">
        <f t="shared" si="14"/>
        <v>48462229.531571239</v>
      </c>
      <c r="AE67" s="206">
        <f t="shared" si="15"/>
        <v>2008</v>
      </c>
      <c r="AF67" s="210">
        <f t="shared" si="16"/>
        <v>193848928.1262849</v>
      </c>
      <c r="AG67" s="48" t="str">
        <f t="shared" ref="AG67:AG76" si="18">VLOOKUP(C67,KAP,2,0)</f>
        <v>K</v>
      </c>
      <c r="AL67" s="48" t="s">
        <v>3024</v>
      </c>
      <c r="AM67" s="48" t="s">
        <v>4245</v>
      </c>
    </row>
    <row r="68" spans="1:39" s="48" customFormat="1" ht="40.5" customHeight="1" x14ac:dyDescent="0.2">
      <c r="A68" s="295" t="s">
        <v>2302</v>
      </c>
      <c r="B68" s="73"/>
      <c r="C68" s="65" t="s">
        <v>1048</v>
      </c>
      <c r="D68" s="67"/>
      <c r="E68" s="67"/>
      <c r="F68" s="33" t="s">
        <v>43</v>
      </c>
      <c r="G68" s="40"/>
      <c r="H68" s="40"/>
      <c r="I68" s="40"/>
      <c r="J68" s="65" t="s">
        <v>1097</v>
      </c>
      <c r="K68" s="40">
        <v>2008</v>
      </c>
      <c r="L68" s="40"/>
      <c r="M68" s="32"/>
      <c r="N68" s="33"/>
      <c r="O68" s="40"/>
      <c r="P68" s="32" t="s">
        <v>12</v>
      </c>
      <c r="Q68" s="252">
        <v>2267105812.4478045</v>
      </c>
      <c r="R68" s="61"/>
      <c r="S68" s="206" t="str">
        <f t="shared" si="10"/>
        <v>3.11.01</v>
      </c>
      <c r="T68" s="207" t="str">
        <f t="shared" si="2"/>
        <v>BANGUNAN GEDUNG TEMPAT KERJA</v>
      </c>
      <c r="U68" s="207">
        <f t="shared" si="3"/>
        <v>50</v>
      </c>
      <c r="V68" s="233">
        <f t="shared" si="11"/>
        <v>45342116.048956089</v>
      </c>
      <c r="W68" s="233">
        <f t="shared" si="12"/>
        <v>5</v>
      </c>
      <c r="X68" s="233">
        <f t="shared" si="4"/>
        <v>226710580.24478045</v>
      </c>
      <c r="Y68" s="233">
        <f t="shared" si="5"/>
        <v>45342116.048956089</v>
      </c>
      <c r="Z68" s="233">
        <f t="shared" si="6"/>
        <v>45342116.048956089</v>
      </c>
      <c r="AA68" s="233">
        <f t="shared" si="7"/>
        <v>45342116.048956089</v>
      </c>
      <c r="AB68" s="233">
        <f t="shared" si="8"/>
        <v>45342116.048956089</v>
      </c>
      <c r="AC68" s="238">
        <f t="shared" si="13"/>
        <v>45342116.048956089</v>
      </c>
      <c r="AD68" s="238">
        <f t="shared" si="14"/>
        <v>453421160.4895609</v>
      </c>
      <c r="AE68" s="206">
        <f t="shared" si="15"/>
        <v>2008</v>
      </c>
      <c r="AF68" s="210">
        <f t="shared" si="16"/>
        <v>1813684651.9582436</v>
      </c>
      <c r="AG68" s="48" t="str">
        <f t="shared" si="18"/>
        <v>K</v>
      </c>
      <c r="AL68" s="48" t="s">
        <v>3025</v>
      </c>
      <c r="AM68" s="48" t="s">
        <v>4245</v>
      </c>
    </row>
    <row r="69" spans="1:39" s="48" customFormat="1" ht="40.5" customHeight="1" x14ac:dyDescent="0.2">
      <c r="A69" s="295" t="s">
        <v>2302</v>
      </c>
      <c r="B69" s="73"/>
      <c r="C69" s="65" t="s">
        <v>1049</v>
      </c>
      <c r="D69" s="67"/>
      <c r="E69" s="67"/>
      <c r="F69" s="33" t="s">
        <v>421</v>
      </c>
      <c r="G69" s="40"/>
      <c r="H69" s="40"/>
      <c r="I69" s="40"/>
      <c r="J69" s="65" t="s">
        <v>1098</v>
      </c>
      <c r="K69" s="40">
        <v>2008</v>
      </c>
      <c r="L69" s="40"/>
      <c r="M69" s="32"/>
      <c r="N69" s="33"/>
      <c r="O69" s="40"/>
      <c r="P69" s="32" t="s">
        <v>12</v>
      </c>
      <c r="Q69" s="252">
        <v>47743795.789002009</v>
      </c>
      <c r="R69" s="61"/>
      <c r="S69" s="206" t="str">
        <f t="shared" si="10"/>
        <v>3.11.01</v>
      </c>
      <c r="T69" s="207" t="str">
        <f t="shared" si="2"/>
        <v>BANGUNAN GEDUNG TEMPAT KERJA</v>
      </c>
      <c r="U69" s="207">
        <f t="shared" si="3"/>
        <v>50</v>
      </c>
      <c r="V69" s="233">
        <f t="shared" si="11"/>
        <v>954875.71578004013</v>
      </c>
      <c r="W69" s="233">
        <f t="shared" si="12"/>
        <v>5</v>
      </c>
      <c r="X69" s="233">
        <f t="shared" si="4"/>
        <v>4774378.5789002003</v>
      </c>
      <c r="Y69" s="233">
        <f t="shared" si="5"/>
        <v>954875.71578004013</v>
      </c>
      <c r="Z69" s="233">
        <f t="shared" si="6"/>
        <v>954875.71578004013</v>
      </c>
      <c r="AA69" s="233">
        <f t="shared" si="7"/>
        <v>954875.71578004013</v>
      </c>
      <c r="AB69" s="233">
        <f t="shared" si="8"/>
        <v>954875.71578004013</v>
      </c>
      <c r="AC69" s="238">
        <f t="shared" si="13"/>
        <v>954875.71578004013</v>
      </c>
      <c r="AD69" s="238">
        <f t="shared" si="14"/>
        <v>9548757.1578004006</v>
      </c>
      <c r="AE69" s="206">
        <f t="shared" si="15"/>
        <v>2008</v>
      </c>
      <c r="AF69" s="210">
        <f t="shared" si="16"/>
        <v>38195038.63120161</v>
      </c>
      <c r="AG69" s="48" t="str">
        <f t="shared" si="18"/>
        <v>K</v>
      </c>
      <c r="AL69" s="48" t="s">
        <v>2672</v>
      </c>
      <c r="AM69" s="48" t="s">
        <v>4245</v>
      </c>
    </row>
    <row r="70" spans="1:39" s="48" customFormat="1" ht="40.5" customHeight="1" x14ac:dyDescent="0.2">
      <c r="A70" s="295" t="s">
        <v>2302</v>
      </c>
      <c r="B70" s="73"/>
      <c r="C70" s="65" t="s">
        <v>1050</v>
      </c>
      <c r="D70" s="67"/>
      <c r="E70" s="67"/>
      <c r="F70" s="33" t="s">
        <v>43</v>
      </c>
      <c r="G70" s="40"/>
      <c r="H70" s="40"/>
      <c r="I70" s="40"/>
      <c r="J70" s="65" t="s">
        <v>1093</v>
      </c>
      <c r="K70" s="40">
        <v>2008</v>
      </c>
      <c r="L70" s="40"/>
      <c r="M70" s="32"/>
      <c r="N70" s="33"/>
      <c r="O70" s="40"/>
      <c r="P70" s="32" t="s">
        <v>12</v>
      </c>
      <c r="Q70" s="252">
        <v>1307405886.4269106</v>
      </c>
      <c r="R70" s="61"/>
      <c r="S70" s="206" t="str">
        <f t="shared" si="10"/>
        <v>3.11.01</v>
      </c>
      <c r="T70" s="207" t="str">
        <f t="shared" si="2"/>
        <v>BANGUNAN GEDUNG TEMPAT KERJA</v>
      </c>
      <c r="U70" s="207">
        <f t="shared" si="3"/>
        <v>50</v>
      </c>
      <c r="V70" s="233">
        <f t="shared" si="11"/>
        <v>26148117.528538212</v>
      </c>
      <c r="W70" s="233">
        <f t="shared" si="12"/>
        <v>5</v>
      </c>
      <c r="X70" s="233">
        <f t="shared" si="4"/>
        <v>130740587.64269106</v>
      </c>
      <c r="Y70" s="233">
        <f t="shared" si="5"/>
        <v>26148117.528538212</v>
      </c>
      <c r="Z70" s="233">
        <f t="shared" si="6"/>
        <v>26148117.528538212</v>
      </c>
      <c r="AA70" s="233">
        <f t="shared" si="7"/>
        <v>26148117.528538212</v>
      </c>
      <c r="AB70" s="233">
        <f t="shared" si="8"/>
        <v>26148117.528538212</v>
      </c>
      <c r="AC70" s="238">
        <f t="shared" si="13"/>
        <v>26148117.528538212</v>
      </c>
      <c r="AD70" s="238">
        <f t="shared" si="14"/>
        <v>261481175.28538215</v>
      </c>
      <c r="AE70" s="206">
        <f t="shared" si="15"/>
        <v>2008</v>
      </c>
      <c r="AF70" s="210">
        <f t="shared" si="16"/>
        <v>1045924711.1415285</v>
      </c>
      <c r="AG70" s="48" t="str">
        <f t="shared" si="18"/>
        <v>K</v>
      </c>
      <c r="AL70" s="48" t="s">
        <v>2684</v>
      </c>
      <c r="AM70" s="48" t="s">
        <v>4245</v>
      </c>
    </row>
    <row r="71" spans="1:39" s="48" customFormat="1" ht="40.5" customHeight="1" x14ac:dyDescent="0.2">
      <c r="A71" s="295" t="s">
        <v>2302</v>
      </c>
      <c r="B71" s="73"/>
      <c r="C71" s="65" t="s">
        <v>1051</v>
      </c>
      <c r="D71" s="67"/>
      <c r="E71" s="67"/>
      <c r="F71" s="33" t="s">
        <v>43</v>
      </c>
      <c r="G71" s="40"/>
      <c r="H71" s="40"/>
      <c r="I71" s="40"/>
      <c r="J71" s="65" t="s">
        <v>428</v>
      </c>
      <c r="K71" s="40">
        <v>2008</v>
      </c>
      <c r="L71" s="40"/>
      <c r="M71" s="32"/>
      <c r="N71" s="33"/>
      <c r="O71" s="40"/>
      <c r="P71" s="32" t="s">
        <v>12</v>
      </c>
      <c r="Q71" s="252">
        <v>230887746.03325808</v>
      </c>
      <c r="R71" s="61"/>
      <c r="S71" s="206" t="str">
        <f t="shared" si="10"/>
        <v>3.11.01</v>
      </c>
      <c r="T71" s="207" t="str">
        <f t="shared" si="2"/>
        <v>BANGUNAN GEDUNG TEMPAT KERJA</v>
      </c>
      <c r="U71" s="207">
        <f t="shared" si="3"/>
        <v>50</v>
      </c>
      <c r="V71" s="233">
        <f t="shared" si="11"/>
        <v>4617754.7206651615</v>
      </c>
      <c r="W71" s="233">
        <f t="shared" si="12"/>
        <v>5</v>
      </c>
      <c r="X71" s="233">
        <f t="shared" si="4"/>
        <v>23088773.603325807</v>
      </c>
      <c r="Y71" s="233">
        <f t="shared" si="5"/>
        <v>4617754.7206651615</v>
      </c>
      <c r="Z71" s="233">
        <f t="shared" si="6"/>
        <v>4617754.7206651615</v>
      </c>
      <c r="AA71" s="233">
        <f t="shared" si="7"/>
        <v>4617754.7206651615</v>
      </c>
      <c r="AB71" s="233">
        <f t="shared" si="8"/>
        <v>4617754.7206651615</v>
      </c>
      <c r="AC71" s="238">
        <f t="shared" si="13"/>
        <v>4617754.7206651615</v>
      </c>
      <c r="AD71" s="238">
        <f t="shared" si="14"/>
        <v>46177547.206651621</v>
      </c>
      <c r="AE71" s="206">
        <f t="shared" si="15"/>
        <v>2008</v>
      </c>
      <c r="AF71" s="210">
        <f t="shared" si="16"/>
        <v>184710198.82660645</v>
      </c>
      <c r="AG71" s="48" t="str">
        <f t="shared" si="18"/>
        <v>K</v>
      </c>
      <c r="AL71" s="48" t="s">
        <v>4242</v>
      </c>
      <c r="AM71" s="48" t="s">
        <v>4245</v>
      </c>
    </row>
    <row r="72" spans="1:39" s="48" customFormat="1" ht="40.5" customHeight="1" x14ac:dyDescent="0.2">
      <c r="A72" s="295" t="s">
        <v>2302</v>
      </c>
      <c r="B72" s="73"/>
      <c r="C72" s="65" t="s">
        <v>1052</v>
      </c>
      <c r="D72" s="67"/>
      <c r="E72" s="67"/>
      <c r="F72" s="33" t="s">
        <v>43</v>
      </c>
      <c r="G72" s="40"/>
      <c r="H72" s="40"/>
      <c r="I72" s="40"/>
      <c r="J72" s="65" t="s">
        <v>1094</v>
      </c>
      <c r="K72" s="40">
        <v>2008</v>
      </c>
      <c r="L72" s="40"/>
      <c r="M72" s="32"/>
      <c r="N72" s="33"/>
      <c r="O72" s="40"/>
      <c r="P72" s="32" t="s">
        <v>12</v>
      </c>
      <c r="Q72" s="252">
        <v>409569091.36122507</v>
      </c>
      <c r="R72" s="61"/>
      <c r="S72" s="206" t="str">
        <f t="shared" si="10"/>
        <v>3.11.01</v>
      </c>
      <c r="T72" s="207" t="str">
        <f t="shared" si="2"/>
        <v>BANGUNAN GEDUNG TEMPAT KERJA</v>
      </c>
      <c r="U72" s="207">
        <f t="shared" si="3"/>
        <v>50</v>
      </c>
      <c r="V72" s="233">
        <f t="shared" si="11"/>
        <v>8191381.6272245012</v>
      </c>
      <c r="W72" s="233">
        <f t="shared" si="12"/>
        <v>5</v>
      </c>
      <c r="X72" s="233">
        <f t="shared" si="4"/>
        <v>40956908.13612251</v>
      </c>
      <c r="Y72" s="233">
        <f t="shared" si="5"/>
        <v>8191381.6272245012</v>
      </c>
      <c r="Z72" s="233">
        <f t="shared" si="6"/>
        <v>8191381.6272245012</v>
      </c>
      <c r="AA72" s="233">
        <f t="shared" si="7"/>
        <v>8191381.6272245012</v>
      </c>
      <c r="AB72" s="233">
        <f t="shared" si="8"/>
        <v>8191381.6272245012</v>
      </c>
      <c r="AC72" s="238">
        <f t="shared" si="13"/>
        <v>8191381.6272245012</v>
      </c>
      <c r="AD72" s="238">
        <f t="shared" si="14"/>
        <v>81913816.272245035</v>
      </c>
      <c r="AE72" s="206">
        <f t="shared" si="15"/>
        <v>2008</v>
      </c>
      <c r="AF72" s="210">
        <f t="shared" si="16"/>
        <v>327655275.08898002</v>
      </c>
      <c r="AG72" s="48" t="str">
        <f t="shared" si="18"/>
        <v>K</v>
      </c>
      <c r="AL72" s="48" t="s">
        <v>2706</v>
      </c>
      <c r="AM72" s="48" t="s">
        <v>4245</v>
      </c>
    </row>
    <row r="73" spans="1:39" s="48" customFormat="1" ht="40.5" customHeight="1" x14ac:dyDescent="0.2">
      <c r="A73" s="295" t="s">
        <v>2302</v>
      </c>
      <c r="B73" s="73"/>
      <c r="C73" s="65" t="s">
        <v>1053</v>
      </c>
      <c r="D73" s="67"/>
      <c r="E73" s="67"/>
      <c r="F73" s="33"/>
      <c r="G73" s="40"/>
      <c r="H73" s="40"/>
      <c r="I73" s="40"/>
      <c r="J73" s="65" t="s">
        <v>417</v>
      </c>
      <c r="K73" s="40">
        <v>2008</v>
      </c>
      <c r="L73" s="40"/>
      <c r="M73" s="32"/>
      <c r="N73" s="33"/>
      <c r="O73" s="40"/>
      <c r="P73" s="32" t="s">
        <v>12</v>
      </c>
      <c r="Q73" s="252">
        <v>840144641.96015704</v>
      </c>
      <c r="R73" s="61"/>
      <c r="S73" s="206" t="str">
        <f t="shared" si="10"/>
        <v>3.11.01</v>
      </c>
      <c r="T73" s="207" t="str">
        <f t="shared" si="2"/>
        <v>BANGUNAN GEDUNG TEMPAT KERJA</v>
      </c>
      <c r="U73" s="207">
        <f t="shared" si="3"/>
        <v>50</v>
      </c>
      <c r="V73" s="233">
        <f t="shared" si="11"/>
        <v>16802892.639203142</v>
      </c>
      <c r="W73" s="233">
        <f t="shared" si="12"/>
        <v>5</v>
      </c>
      <c r="X73" s="233">
        <f t="shared" si="4"/>
        <v>84014463.196015716</v>
      </c>
      <c r="Y73" s="233">
        <f t="shared" si="5"/>
        <v>16802892.639203142</v>
      </c>
      <c r="Z73" s="233">
        <f t="shared" si="6"/>
        <v>16802892.639203142</v>
      </c>
      <c r="AA73" s="233">
        <f t="shared" si="7"/>
        <v>16802892.639203142</v>
      </c>
      <c r="AB73" s="233">
        <f t="shared" si="8"/>
        <v>16802892.639203142</v>
      </c>
      <c r="AC73" s="238">
        <f t="shared" si="13"/>
        <v>16802892.639203142</v>
      </c>
      <c r="AD73" s="238">
        <f t="shared" si="14"/>
        <v>168028926.3920314</v>
      </c>
      <c r="AE73" s="206">
        <f t="shared" si="15"/>
        <v>2008</v>
      </c>
      <c r="AF73" s="210">
        <f t="shared" si="16"/>
        <v>672115715.56812561</v>
      </c>
      <c r="AG73" s="48" t="e">
        <f t="shared" si="18"/>
        <v>#N/A</v>
      </c>
      <c r="AH73" s="48" t="e">
        <f>IF(AG73='KIB C'!AJ:AJ,"k",0)</f>
        <v>#N/A</v>
      </c>
      <c r="AL73" s="48" t="s">
        <v>2721</v>
      </c>
      <c r="AM73" s="48" t="s">
        <v>4245</v>
      </c>
    </row>
    <row r="74" spans="1:39" s="48" customFormat="1" ht="40.5" customHeight="1" x14ac:dyDescent="0.2">
      <c r="A74" s="295" t="s">
        <v>2302</v>
      </c>
      <c r="B74" s="73"/>
      <c r="C74" s="65" t="s">
        <v>1054</v>
      </c>
      <c r="D74" s="67"/>
      <c r="E74" s="67"/>
      <c r="F74" s="33" t="s">
        <v>43</v>
      </c>
      <c r="G74" s="40"/>
      <c r="H74" s="40"/>
      <c r="I74" s="40"/>
      <c r="J74" s="65" t="s">
        <v>2854</v>
      </c>
      <c r="K74" s="40">
        <v>2008</v>
      </c>
      <c r="L74" s="40"/>
      <c r="M74" s="32"/>
      <c r="N74" s="33"/>
      <c r="O74" s="40"/>
      <c r="P74" s="32" t="s">
        <v>12</v>
      </c>
      <c r="Q74" s="252">
        <v>273700211.23000002</v>
      </c>
      <c r="R74" s="61"/>
      <c r="S74" s="206" t="str">
        <f t="shared" si="10"/>
        <v>3.11.01</v>
      </c>
      <c r="T74" s="207" t="str">
        <f t="shared" si="2"/>
        <v>BANGUNAN GEDUNG TEMPAT KERJA</v>
      </c>
      <c r="U74" s="207">
        <f t="shared" si="3"/>
        <v>50</v>
      </c>
      <c r="V74" s="233">
        <f t="shared" si="11"/>
        <v>5474004.0246000001</v>
      </c>
      <c r="W74" s="233">
        <f t="shared" si="12"/>
        <v>5</v>
      </c>
      <c r="X74" s="233">
        <f t="shared" si="4"/>
        <v>27370020.123</v>
      </c>
      <c r="Y74" s="233">
        <f t="shared" si="5"/>
        <v>5474004.0246000001</v>
      </c>
      <c r="Z74" s="233">
        <f t="shared" si="6"/>
        <v>5474004.0246000001</v>
      </c>
      <c r="AA74" s="233">
        <f t="shared" si="7"/>
        <v>5474004.0246000001</v>
      </c>
      <c r="AB74" s="233">
        <f t="shared" si="8"/>
        <v>5474004.0246000001</v>
      </c>
      <c r="AC74" s="238">
        <f t="shared" si="13"/>
        <v>5474004.0246000001</v>
      </c>
      <c r="AD74" s="238">
        <f t="shared" si="14"/>
        <v>54740040.245999999</v>
      </c>
      <c r="AE74" s="206">
        <f t="shared" si="15"/>
        <v>2008</v>
      </c>
      <c r="AF74" s="210">
        <f t="shared" si="16"/>
        <v>218960170.98400003</v>
      </c>
      <c r="AG74" s="48" t="str">
        <f t="shared" si="18"/>
        <v>K</v>
      </c>
      <c r="AL74" s="48" t="s">
        <v>2674</v>
      </c>
      <c r="AM74" s="48" t="s">
        <v>4245</v>
      </c>
    </row>
    <row r="75" spans="1:39" s="48" customFormat="1" ht="40.5" customHeight="1" x14ac:dyDescent="0.2">
      <c r="A75" s="295" t="s">
        <v>2302</v>
      </c>
      <c r="B75" s="73"/>
      <c r="C75" s="65" t="s">
        <v>1055</v>
      </c>
      <c r="D75" s="67"/>
      <c r="E75" s="67"/>
      <c r="F75" s="33"/>
      <c r="G75" s="40"/>
      <c r="H75" s="40"/>
      <c r="I75" s="40"/>
      <c r="J75" s="65" t="s">
        <v>52</v>
      </c>
      <c r="K75" s="40">
        <v>2008</v>
      </c>
      <c r="L75" s="40"/>
      <c r="M75" s="32"/>
      <c r="N75" s="33"/>
      <c r="O75" s="40"/>
      <c r="P75" s="32" t="s">
        <v>12</v>
      </c>
      <c r="Q75" s="252">
        <v>15857784.87841418</v>
      </c>
      <c r="R75" s="61"/>
      <c r="S75" s="206" t="str">
        <f t="shared" si="10"/>
        <v>3.11.01</v>
      </c>
      <c r="T75" s="207" t="str">
        <f t="shared" si="2"/>
        <v>BANGUNAN GEDUNG TEMPAT KERJA</v>
      </c>
      <c r="U75" s="207">
        <f t="shared" si="3"/>
        <v>50</v>
      </c>
      <c r="V75" s="233">
        <f t="shared" si="11"/>
        <v>317155.49756828358</v>
      </c>
      <c r="W75" s="233">
        <f t="shared" si="12"/>
        <v>5</v>
      </c>
      <c r="X75" s="233">
        <f t="shared" si="4"/>
        <v>1585777.487841418</v>
      </c>
      <c r="Y75" s="233">
        <f t="shared" si="5"/>
        <v>317155.49756828358</v>
      </c>
      <c r="Z75" s="233">
        <f t="shared" si="6"/>
        <v>317155.49756828358</v>
      </c>
      <c r="AA75" s="233">
        <f t="shared" si="7"/>
        <v>317155.49756828358</v>
      </c>
      <c r="AB75" s="233">
        <f t="shared" si="8"/>
        <v>317155.49756828358</v>
      </c>
      <c r="AC75" s="238">
        <f t="shared" si="13"/>
        <v>317155.49756828358</v>
      </c>
      <c r="AD75" s="238">
        <f t="shared" si="14"/>
        <v>3171554.9756828365</v>
      </c>
      <c r="AE75" s="206">
        <f t="shared" si="15"/>
        <v>2008</v>
      </c>
      <c r="AF75" s="210">
        <f t="shared" si="16"/>
        <v>12686229.902731344</v>
      </c>
      <c r="AG75" s="48" t="str">
        <f t="shared" si="18"/>
        <v>K</v>
      </c>
      <c r="AL75" s="48" t="s">
        <v>2678</v>
      </c>
      <c r="AM75" s="48" t="s">
        <v>4245</v>
      </c>
    </row>
    <row r="76" spans="1:39" s="48" customFormat="1" ht="40.5" customHeight="1" x14ac:dyDescent="0.2">
      <c r="A76" s="295" t="s">
        <v>2302</v>
      </c>
      <c r="B76" s="73"/>
      <c r="C76" s="65" t="s">
        <v>1056</v>
      </c>
      <c r="D76" s="67"/>
      <c r="E76" s="67"/>
      <c r="F76" s="33"/>
      <c r="G76" s="40"/>
      <c r="H76" s="40"/>
      <c r="I76" s="40"/>
      <c r="J76" s="65" t="s">
        <v>52</v>
      </c>
      <c r="K76" s="40">
        <v>2008</v>
      </c>
      <c r="L76" s="40"/>
      <c r="M76" s="32"/>
      <c r="N76" s="33"/>
      <c r="O76" s="40"/>
      <c r="P76" s="32" t="s">
        <v>12</v>
      </c>
      <c r="Q76" s="252">
        <v>492796529.88945854</v>
      </c>
      <c r="R76" s="61"/>
      <c r="S76" s="206" t="str">
        <f t="shared" si="10"/>
        <v>3.11.01</v>
      </c>
      <c r="T76" s="207" t="str">
        <f t="shared" si="2"/>
        <v>BANGUNAN GEDUNG TEMPAT KERJA</v>
      </c>
      <c r="U76" s="207">
        <f t="shared" si="3"/>
        <v>50</v>
      </c>
      <c r="V76" s="233">
        <f t="shared" si="11"/>
        <v>9855930.397789171</v>
      </c>
      <c r="W76" s="233">
        <f t="shared" si="12"/>
        <v>5</v>
      </c>
      <c r="X76" s="233">
        <f t="shared" si="4"/>
        <v>49279651.988945857</v>
      </c>
      <c r="Y76" s="233">
        <f t="shared" si="5"/>
        <v>9855930.397789171</v>
      </c>
      <c r="Z76" s="233">
        <f t="shared" si="6"/>
        <v>9855930.397789171</v>
      </c>
      <c r="AA76" s="233">
        <f t="shared" si="7"/>
        <v>9855930.397789171</v>
      </c>
      <c r="AB76" s="233">
        <f t="shared" si="8"/>
        <v>9855930.397789171</v>
      </c>
      <c r="AC76" s="238">
        <f t="shared" si="13"/>
        <v>9855930.397789171</v>
      </c>
      <c r="AD76" s="238">
        <f t="shared" si="14"/>
        <v>98559303.977891698</v>
      </c>
      <c r="AE76" s="206">
        <f t="shared" si="15"/>
        <v>2008</v>
      </c>
      <c r="AF76" s="210">
        <f t="shared" si="16"/>
        <v>394237225.91156685</v>
      </c>
      <c r="AG76" s="48" t="str">
        <f t="shared" si="18"/>
        <v>K</v>
      </c>
      <c r="AL76" s="48" t="s">
        <v>2707</v>
      </c>
      <c r="AM76" s="48" t="s">
        <v>4245</v>
      </c>
    </row>
    <row r="77" spans="1:39" s="48" customFormat="1" ht="40.5" customHeight="1" x14ac:dyDescent="0.2">
      <c r="A77" s="295" t="s">
        <v>2302</v>
      </c>
      <c r="B77" s="73"/>
      <c r="C77" s="65" t="s">
        <v>1057</v>
      </c>
      <c r="D77" s="67"/>
      <c r="E77" s="67"/>
      <c r="F77" s="33" t="s">
        <v>43</v>
      </c>
      <c r="G77" s="40"/>
      <c r="H77" s="40"/>
      <c r="I77" s="40"/>
      <c r="J77" s="72" t="s">
        <v>1099</v>
      </c>
      <c r="K77" s="40">
        <v>2008</v>
      </c>
      <c r="L77" s="40"/>
      <c r="M77" s="32"/>
      <c r="N77" s="33"/>
      <c r="O77" s="40"/>
      <c r="P77" s="32" t="s">
        <v>12</v>
      </c>
      <c r="Q77" s="252">
        <v>76568873.791398466</v>
      </c>
      <c r="R77" s="61"/>
      <c r="S77" s="206" t="str">
        <f t="shared" si="10"/>
        <v>3.11.01</v>
      </c>
      <c r="T77" s="207" t="str">
        <f t="shared" si="2"/>
        <v>BANGUNAN GEDUNG TEMPAT KERJA</v>
      </c>
      <c r="U77" s="207">
        <f t="shared" si="3"/>
        <v>50</v>
      </c>
      <c r="V77" s="233">
        <f t="shared" si="11"/>
        <v>1531377.2758279694</v>
      </c>
      <c r="W77" s="233">
        <f t="shared" si="12"/>
        <v>5</v>
      </c>
      <c r="X77" s="233">
        <f t="shared" si="4"/>
        <v>7656886.3791398471</v>
      </c>
      <c r="Y77" s="233">
        <f t="shared" si="5"/>
        <v>1531377.2758279694</v>
      </c>
      <c r="Z77" s="233">
        <f t="shared" si="6"/>
        <v>1531377.2758279694</v>
      </c>
      <c r="AA77" s="233">
        <f t="shared" si="7"/>
        <v>1531377.2758279694</v>
      </c>
      <c r="AB77" s="233">
        <f t="shared" si="8"/>
        <v>1531377.2758279694</v>
      </c>
      <c r="AC77" s="238">
        <f t="shared" si="13"/>
        <v>1531377.2758279694</v>
      </c>
      <c r="AD77" s="238">
        <f t="shared" si="14"/>
        <v>15313772.758279696</v>
      </c>
      <c r="AE77" s="206">
        <f t="shared" si="15"/>
        <v>2008</v>
      </c>
      <c r="AF77" s="210">
        <f t="shared" si="16"/>
        <v>61255101.03311877</v>
      </c>
      <c r="AG77" s="48" t="s">
        <v>4245</v>
      </c>
      <c r="AH77" s="48">
        <f>IF(AG77='KIB C'!AJ:AJ,"k",0)</f>
        <v>0</v>
      </c>
      <c r="AL77" s="48" t="s">
        <v>2722</v>
      </c>
      <c r="AM77" s="48" t="s">
        <v>4245</v>
      </c>
    </row>
    <row r="78" spans="1:39" s="48" customFormat="1" ht="40.5" customHeight="1" x14ac:dyDescent="0.2">
      <c r="A78" s="295" t="s">
        <v>2302</v>
      </c>
      <c r="B78" s="73"/>
      <c r="C78" s="65" t="s">
        <v>1058</v>
      </c>
      <c r="D78" s="67"/>
      <c r="E78" s="67"/>
      <c r="F78" s="33"/>
      <c r="G78" s="40"/>
      <c r="H78" s="40"/>
      <c r="I78" s="40"/>
      <c r="J78" s="72" t="s">
        <v>1099</v>
      </c>
      <c r="K78" s="40">
        <v>2008</v>
      </c>
      <c r="L78" s="40"/>
      <c r="M78" s="32"/>
      <c r="N78" s="33"/>
      <c r="O78" s="40"/>
      <c r="P78" s="32" t="s">
        <v>12</v>
      </c>
      <c r="Q78" s="252">
        <v>9660483991.4269543</v>
      </c>
      <c r="R78" s="61"/>
      <c r="S78" s="206" t="str">
        <f t="shared" si="10"/>
        <v>3.11.01</v>
      </c>
      <c r="T78" s="207" t="str">
        <f t="shared" ref="T78:T141" si="19">VLOOKUP(S78,kelompok,2,0)</f>
        <v>BANGUNAN GEDUNG TEMPAT KERJA</v>
      </c>
      <c r="U78" s="207">
        <f t="shared" ref="U78:U141" si="20">VLOOKUP(S78,MASAMANFAAT,4,0)</f>
        <v>50</v>
      </c>
      <c r="V78" s="233">
        <f t="shared" si="11"/>
        <v>193209679.62853909</v>
      </c>
      <c r="W78" s="233">
        <f t="shared" si="12"/>
        <v>5</v>
      </c>
      <c r="X78" s="233">
        <f t="shared" ref="X78:X141" si="21">IF(W78&gt;U78,Q78-10,V78*W78)</f>
        <v>966048398.14269543</v>
      </c>
      <c r="Y78" s="233">
        <f t="shared" ref="Y78:Y141" si="22">IF(Q78-10=X78,0,V78)</f>
        <v>193209679.62853909</v>
      </c>
      <c r="Z78" s="233">
        <f t="shared" ref="Z78:Z141" si="23">IF(Q78-10=X78+Y78,0,V78)</f>
        <v>193209679.62853909</v>
      </c>
      <c r="AA78" s="233">
        <f t="shared" ref="AA78:AA141" si="24">IF(Q78-10=X78+Y78+Z78,0,V78)</f>
        <v>193209679.62853909</v>
      </c>
      <c r="AB78" s="233">
        <f t="shared" ref="AB78:AB141" si="25">IF(Q78-10=X78+Y78+Z78+AA78,0,V78)</f>
        <v>193209679.62853909</v>
      </c>
      <c r="AC78" s="238">
        <f t="shared" si="13"/>
        <v>193209679.62853909</v>
      </c>
      <c r="AD78" s="238">
        <f t="shared" si="14"/>
        <v>1932096796.2853909</v>
      </c>
      <c r="AE78" s="206">
        <f t="shared" si="15"/>
        <v>2008</v>
      </c>
      <c r="AF78" s="210">
        <f t="shared" si="16"/>
        <v>7728387195.1415634</v>
      </c>
      <c r="AG78" s="48" t="s">
        <v>4245</v>
      </c>
      <c r="AH78" s="48">
        <f>IF(AG78='KIB C'!AJ:AJ,"k",0)</f>
        <v>0</v>
      </c>
      <c r="AL78" s="48" t="s">
        <v>2756</v>
      </c>
      <c r="AM78" s="48" t="s">
        <v>4245</v>
      </c>
    </row>
    <row r="79" spans="1:39" s="48" customFormat="1" ht="40.5" customHeight="1" x14ac:dyDescent="0.2">
      <c r="A79" s="295" t="s">
        <v>2302</v>
      </c>
      <c r="B79" s="73"/>
      <c r="C79" s="65" t="s">
        <v>1059</v>
      </c>
      <c r="D79" s="67"/>
      <c r="E79" s="67"/>
      <c r="F79" s="33"/>
      <c r="G79" s="40"/>
      <c r="H79" s="40"/>
      <c r="I79" s="40"/>
      <c r="J79" s="65" t="s">
        <v>52</v>
      </c>
      <c r="K79" s="40">
        <v>2008</v>
      </c>
      <c r="L79" s="40"/>
      <c r="M79" s="32"/>
      <c r="N79" s="33"/>
      <c r="O79" s="40"/>
      <c r="P79" s="32" t="s">
        <v>12</v>
      </c>
      <c r="Q79" s="252">
        <v>226216176.75853017</v>
      </c>
      <c r="R79" s="61"/>
      <c r="S79" s="206" t="str">
        <f t="shared" ref="S79:S142" si="26">A79</f>
        <v>3.11.01</v>
      </c>
      <c r="T79" s="207" t="str">
        <f t="shared" si="19"/>
        <v>BANGUNAN GEDUNG TEMPAT KERJA</v>
      </c>
      <c r="U79" s="207">
        <f t="shared" si="20"/>
        <v>50</v>
      </c>
      <c r="V79" s="233">
        <f t="shared" ref="V79:V142" si="27">(Q79-10)/U79</f>
        <v>4524323.3351706034</v>
      </c>
      <c r="W79" s="233">
        <f t="shared" ref="W79:W142" si="28">2013-AE79</f>
        <v>5</v>
      </c>
      <c r="X79" s="233">
        <f t="shared" si="21"/>
        <v>22621616.675853018</v>
      </c>
      <c r="Y79" s="233">
        <f t="shared" si="22"/>
        <v>4524323.3351706034</v>
      </c>
      <c r="Z79" s="233">
        <f t="shared" si="23"/>
        <v>4524323.3351706034</v>
      </c>
      <c r="AA79" s="233">
        <f t="shared" si="24"/>
        <v>4524323.3351706034</v>
      </c>
      <c r="AB79" s="233">
        <f t="shared" si="25"/>
        <v>4524323.3351706034</v>
      </c>
      <c r="AC79" s="238">
        <f t="shared" ref="AC79:AC142" si="29">IF(Q79-10=X79+Y79+Z79+AA79+AB79,0,V79)</f>
        <v>4524323.3351706034</v>
      </c>
      <c r="AD79" s="238">
        <f t="shared" ref="AD79:AD142" si="30">SUM(X79:AC79)</f>
        <v>45243233.351706035</v>
      </c>
      <c r="AE79" s="206">
        <f t="shared" ref="AE79:AE142" si="31">K79</f>
        <v>2008</v>
      </c>
      <c r="AF79" s="210">
        <f t="shared" ref="AF79:AF142" si="32">Q79-AD79</f>
        <v>180972943.40682414</v>
      </c>
      <c r="AG79" s="48" t="e">
        <f>VLOOKUP(C79,KAP,2,0)</f>
        <v>#N/A</v>
      </c>
      <c r="AH79" s="48" t="e">
        <f>IF(AG79='KIB C'!AJ:AJ,"k",0)</f>
        <v>#N/A</v>
      </c>
      <c r="AL79" s="48" t="s">
        <v>2701</v>
      </c>
      <c r="AM79" s="48" t="s">
        <v>4245</v>
      </c>
    </row>
    <row r="80" spans="1:39" s="48" customFormat="1" ht="40.5" customHeight="1" x14ac:dyDescent="0.2">
      <c r="A80" s="295" t="s">
        <v>2302</v>
      </c>
      <c r="B80" s="73"/>
      <c r="C80" s="65" t="s">
        <v>1060</v>
      </c>
      <c r="D80" s="67"/>
      <c r="E80" s="67"/>
      <c r="F80" s="33" t="s">
        <v>43</v>
      </c>
      <c r="G80" s="40"/>
      <c r="H80" s="40"/>
      <c r="I80" s="40"/>
      <c r="J80" s="72" t="s">
        <v>417</v>
      </c>
      <c r="K80" s="40">
        <v>2008</v>
      </c>
      <c r="L80" s="40"/>
      <c r="M80" s="32"/>
      <c r="N80" s="33"/>
      <c r="O80" s="40"/>
      <c r="P80" s="32" t="s">
        <v>12</v>
      </c>
      <c r="Q80" s="252">
        <v>361142029.27301109</v>
      </c>
      <c r="R80" s="61"/>
      <c r="S80" s="206" t="str">
        <f t="shared" si="26"/>
        <v>3.11.01</v>
      </c>
      <c r="T80" s="207" t="str">
        <f t="shared" si="19"/>
        <v>BANGUNAN GEDUNG TEMPAT KERJA</v>
      </c>
      <c r="U80" s="207">
        <f t="shared" si="20"/>
        <v>50</v>
      </c>
      <c r="V80" s="233">
        <f t="shared" si="27"/>
        <v>7222840.3854602221</v>
      </c>
      <c r="W80" s="233">
        <f t="shared" si="28"/>
        <v>5</v>
      </c>
      <c r="X80" s="233">
        <f t="shared" si="21"/>
        <v>36114201.927301109</v>
      </c>
      <c r="Y80" s="233">
        <f t="shared" si="22"/>
        <v>7222840.3854602221</v>
      </c>
      <c r="Z80" s="233">
        <f t="shared" si="23"/>
        <v>7222840.3854602221</v>
      </c>
      <c r="AA80" s="233">
        <f t="shared" si="24"/>
        <v>7222840.3854602221</v>
      </c>
      <c r="AB80" s="233">
        <f t="shared" si="25"/>
        <v>7222840.3854602221</v>
      </c>
      <c r="AC80" s="238">
        <f t="shared" si="29"/>
        <v>7222840.3854602221</v>
      </c>
      <c r="AD80" s="238">
        <f t="shared" si="30"/>
        <v>72228403.854602218</v>
      </c>
      <c r="AE80" s="206">
        <f t="shared" si="31"/>
        <v>2008</v>
      </c>
      <c r="AF80" s="210">
        <f t="shared" si="32"/>
        <v>288913625.41840887</v>
      </c>
      <c r="AG80" s="48" t="e">
        <f>VLOOKUP(C80,KAP,2,0)</f>
        <v>#N/A</v>
      </c>
      <c r="AH80" s="48" t="e">
        <f>IF(AG80='KIB C'!AJ:AJ,"k",0)</f>
        <v>#N/A</v>
      </c>
      <c r="AL80" s="48" t="s">
        <v>2715</v>
      </c>
      <c r="AM80" s="48" t="s">
        <v>4245</v>
      </c>
    </row>
    <row r="81" spans="1:39" s="48" customFormat="1" ht="40.5" customHeight="1" x14ac:dyDescent="0.2">
      <c r="A81" s="295" t="s">
        <v>2302</v>
      </c>
      <c r="B81" s="73"/>
      <c r="C81" s="65" t="s">
        <v>1061</v>
      </c>
      <c r="D81" s="67"/>
      <c r="E81" s="67"/>
      <c r="F81" s="33" t="s">
        <v>43</v>
      </c>
      <c r="G81" s="40"/>
      <c r="H81" s="40"/>
      <c r="I81" s="40"/>
      <c r="J81" s="72" t="s">
        <v>2854</v>
      </c>
      <c r="K81" s="40">
        <v>2008</v>
      </c>
      <c r="L81" s="40"/>
      <c r="M81" s="32"/>
      <c r="N81" s="33"/>
      <c r="O81" s="40"/>
      <c r="P81" s="32" t="s">
        <v>12</v>
      </c>
      <c r="Q81" s="252">
        <v>137963695.07630625</v>
      </c>
      <c r="R81" s="61"/>
      <c r="S81" s="206" t="str">
        <f t="shared" si="26"/>
        <v>3.11.01</v>
      </c>
      <c r="T81" s="207" t="str">
        <f t="shared" si="19"/>
        <v>BANGUNAN GEDUNG TEMPAT KERJA</v>
      </c>
      <c r="U81" s="207">
        <f t="shared" si="20"/>
        <v>50</v>
      </c>
      <c r="V81" s="233">
        <f t="shared" si="27"/>
        <v>2759273.701526125</v>
      </c>
      <c r="W81" s="233">
        <f t="shared" si="28"/>
        <v>5</v>
      </c>
      <c r="X81" s="233">
        <f t="shared" si="21"/>
        <v>13796368.507630624</v>
      </c>
      <c r="Y81" s="233">
        <f t="shared" si="22"/>
        <v>2759273.701526125</v>
      </c>
      <c r="Z81" s="233">
        <f t="shared" si="23"/>
        <v>2759273.701526125</v>
      </c>
      <c r="AA81" s="233">
        <f t="shared" si="24"/>
        <v>2759273.701526125</v>
      </c>
      <c r="AB81" s="233">
        <f t="shared" si="25"/>
        <v>2759273.701526125</v>
      </c>
      <c r="AC81" s="238">
        <f t="shared" si="29"/>
        <v>2759273.701526125</v>
      </c>
      <c r="AD81" s="238">
        <f t="shared" si="30"/>
        <v>27592737.015261244</v>
      </c>
      <c r="AE81" s="206">
        <f t="shared" si="31"/>
        <v>2008</v>
      </c>
      <c r="AF81" s="210">
        <f t="shared" si="32"/>
        <v>110370958.06104501</v>
      </c>
      <c r="AG81" s="48" t="s">
        <v>4245</v>
      </c>
      <c r="AH81" s="48">
        <f>IF(AG81='KIB C'!AJ:AJ,"k",0)</f>
        <v>0</v>
      </c>
      <c r="AL81" s="48" t="s">
        <v>2704</v>
      </c>
      <c r="AM81" s="48" t="s">
        <v>4245</v>
      </c>
    </row>
    <row r="82" spans="1:39" s="48" customFormat="1" ht="40.5" customHeight="1" x14ac:dyDescent="0.2">
      <c r="A82" s="295" t="s">
        <v>2302</v>
      </c>
      <c r="B82" s="73"/>
      <c r="C82" s="65" t="s">
        <v>1062</v>
      </c>
      <c r="D82" s="67"/>
      <c r="E82" s="67"/>
      <c r="F82" s="33" t="s">
        <v>43</v>
      </c>
      <c r="G82" s="40"/>
      <c r="H82" s="40"/>
      <c r="I82" s="40"/>
      <c r="J82" s="65" t="s">
        <v>417</v>
      </c>
      <c r="K82" s="40">
        <v>2008</v>
      </c>
      <c r="L82" s="40"/>
      <c r="M82" s="32"/>
      <c r="N82" s="33"/>
      <c r="O82" s="40"/>
      <c r="P82" s="32" t="s">
        <v>12</v>
      </c>
      <c r="Q82" s="252">
        <v>722860800</v>
      </c>
      <c r="R82" s="61"/>
      <c r="S82" s="206" t="str">
        <f t="shared" si="26"/>
        <v>3.11.01</v>
      </c>
      <c r="T82" s="207" t="str">
        <f t="shared" si="19"/>
        <v>BANGUNAN GEDUNG TEMPAT KERJA</v>
      </c>
      <c r="U82" s="207">
        <f t="shared" si="20"/>
        <v>50</v>
      </c>
      <c r="V82" s="233">
        <f t="shared" si="27"/>
        <v>14457215.800000001</v>
      </c>
      <c r="W82" s="233">
        <f t="shared" si="28"/>
        <v>5</v>
      </c>
      <c r="X82" s="233">
        <f t="shared" si="21"/>
        <v>72286079</v>
      </c>
      <c r="Y82" s="233">
        <f t="shared" si="22"/>
        <v>14457215.800000001</v>
      </c>
      <c r="Z82" s="233">
        <f t="shared" si="23"/>
        <v>14457215.800000001</v>
      </c>
      <c r="AA82" s="233">
        <f t="shared" si="24"/>
        <v>14457215.800000001</v>
      </c>
      <c r="AB82" s="233">
        <f t="shared" si="25"/>
        <v>14457215.800000001</v>
      </c>
      <c r="AC82" s="238">
        <f t="shared" si="29"/>
        <v>14457215.800000001</v>
      </c>
      <c r="AD82" s="238">
        <f t="shared" si="30"/>
        <v>144572158</v>
      </c>
      <c r="AE82" s="206">
        <f t="shared" si="31"/>
        <v>2008</v>
      </c>
      <c r="AF82" s="210">
        <f t="shared" si="32"/>
        <v>578288642</v>
      </c>
      <c r="AG82" s="48" t="str">
        <f t="shared" ref="AG82:AG90" si="33">VLOOKUP(C82,KAP,2,0)</f>
        <v>K</v>
      </c>
      <c r="AL82" s="48" t="s">
        <v>2716</v>
      </c>
      <c r="AM82" s="48" t="s">
        <v>4245</v>
      </c>
    </row>
    <row r="83" spans="1:39" s="48" customFormat="1" ht="40.5" customHeight="1" x14ac:dyDescent="0.2">
      <c r="A83" s="295" t="s">
        <v>2302</v>
      </c>
      <c r="B83" s="73"/>
      <c r="C83" s="65" t="s">
        <v>1063</v>
      </c>
      <c r="D83" s="67"/>
      <c r="E83" s="67"/>
      <c r="F83" s="33" t="s">
        <v>43</v>
      </c>
      <c r="G83" s="40"/>
      <c r="H83" s="40"/>
      <c r="I83" s="40"/>
      <c r="J83" s="65" t="s">
        <v>417</v>
      </c>
      <c r="K83" s="40">
        <v>2008</v>
      </c>
      <c r="L83" s="40"/>
      <c r="M83" s="32"/>
      <c r="N83" s="33"/>
      <c r="O83" s="40"/>
      <c r="P83" s="32" t="s">
        <v>12</v>
      </c>
      <c r="Q83" s="252">
        <v>366310200</v>
      </c>
      <c r="R83" s="61"/>
      <c r="S83" s="206" t="str">
        <f t="shared" si="26"/>
        <v>3.11.01</v>
      </c>
      <c r="T83" s="207" t="str">
        <f t="shared" si="19"/>
        <v>BANGUNAN GEDUNG TEMPAT KERJA</v>
      </c>
      <c r="U83" s="207">
        <f t="shared" si="20"/>
        <v>50</v>
      </c>
      <c r="V83" s="233">
        <f t="shared" si="27"/>
        <v>7326203.7999999998</v>
      </c>
      <c r="W83" s="233">
        <f t="shared" si="28"/>
        <v>5</v>
      </c>
      <c r="X83" s="233">
        <f t="shared" si="21"/>
        <v>36631019</v>
      </c>
      <c r="Y83" s="233">
        <f t="shared" si="22"/>
        <v>7326203.7999999998</v>
      </c>
      <c r="Z83" s="233">
        <f t="shared" si="23"/>
        <v>7326203.7999999998</v>
      </c>
      <c r="AA83" s="233">
        <f t="shared" si="24"/>
        <v>7326203.7999999998</v>
      </c>
      <c r="AB83" s="233">
        <f t="shared" si="25"/>
        <v>7326203.7999999998</v>
      </c>
      <c r="AC83" s="238">
        <f t="shared" si="29"/>
        <v>7326203.7999999998</v>
      </c>
      <c r="AD83" s="238">
        <f t="shared" si="30"/>
        <v>73262037.999999985</v>
      </c>
      <c r="AE83" s="206">
        <f t="shared" si="31"/>
        <v>2008</v>
      </c>
      <c r="AF83" s="210">
        <f t="shared" si="32"/>
        <v>293048162</v>
      </c>
      <c r="AG83" s="48" t="e">
        <f t="shared" si="33"/>
        <v>#N/A</v>
      </c>
      <c r="AH83" s="48" t="e">
        <f>IF(AG83='KIB C'!AJ:AJ,"k",0)</f>
        <v>#N/A</v>
      </c>
      <c r="AL83" s="48" t="s">
        <v>2702</v>
      </c>
      <c r="AM83" s="48" t="s">
        <v>4245</v>
      </c>
    </row>
    <row r="84" spans="1:39" s="48" customFormat="1" ht="40.5" customHeight="1" x14ac:dyDescent="0.2">
      <c r="A84" s="295" t="s">
        <v>2302</v>
      </c>
      <c r="B84" s="73"/>
      <c r="C84" s="65" t="s">
        <v>1064</v>
      </c>
      <c r="D84" s="67"/>
      <c r="E84" s="67"/>
      <c r="F84" s="33" t="s">
        <v>43</v>
      </c>
      <c r="G84" s="40"/>
      <c r="H84" s="40"/>
      <c r="I84" s="40"/>
      <c r="J84" s="65" t="s">
        <v>417</v>
      </c>
      <c r="K84" s="40">
        <v>2008</v>
      </c>
      <c r="L84" s="40"/>
      <c r="M84" s="32"/>
      <c r="N84" s="33"/>
      <c r="O84" s="40"/>
      <c r="P84" s="32" t="s">
        <v>12</v>
      </c>
      <c r="Q84" s="252">
        <v>561304195</v>
      </c>
      <c r="R84" s="61"/>
      <c r="S84" s="206" t="str">
        <f t="shared" si="26"/>
        <v>3.11.01</v>
      </c>
      <c r="T84" s="207" t="str">
        <f t="shared" si="19"/>
        <v>BANGUNAN GEDUNG TEMPAT KERJA</v>
      </c>
      <c r="U84" s="207">
        <f t="shared" si="20"/>
        <v>50</v>
      </c>
      <c r="V84" s="233">
        <f t="shared" si="27"/>
        <v>11226083.699999999</v>
      </c>
      <c r="W84" s="233">
        <f t="shared" si="28"/>
        <v>5</v>
      </c>
      <c r="X84" s="233">
        <f t="shared" si="21"/>
        <v>56130418.5</v>
      </c>
      <c r="Y84" s="233">
        <f t="shared" si="22"/>
        <v>11226083.699999999</v>
      </c>
      <c r="Z84" s="233">
        <f t="shared" si="23"/>
        <v>11226083.699999999</v>
      </c>
      <c r="AA84" s="233">
        <f t="shared" si="24"/>
        <v>11226083.699999999</v>
      </c>
      <c r="AB84" s="233">
        <f t="shared" si="25"/>
        <v>11226083.699999999</v>
      </c>
      <c r="AC84" s="238">
        <f t="shared" si="29"/>
        <v>11226083.699999999</v>
      </c>
      <c r="AD84" s="238">
        <f t="shared" si="30"/>
        <v>112260837.00000001</v>
      </c>
      <c r="AE84" s="206">
        <f t="shared" si="31"/>
        <v>2008</v>
      </c>
      <c r="AF84" s="210">
        <f t="shared" si="32"/>
        <v>449043358</v>
      </c>
      <c r="AG84" s="48" t="str">
        <f t="shared" si="33"/>
        <v>K</v>
      </c>
      <c r="AL84" s="48" t="s">
        <v>2708</v>
      </c>
      <c r="AM84" s="48" t="s">
        <v>4245</v>
      </c>
    </row>
    <row r="85" spans="1:39" s="48" customFormat="1" ht="40.5" customHeight="1" x14ac:dyDescent="0.2">
      <c r="A85" s="295" t="s">
        <v>2302</v>
      </c>
      <c r="B85" s="73"/>
      <c r="C85" s="65" t="s">
        <v>1065</v>
      </c>
      <c r="D85" s="67"/>
      <c r="E85" s="67"/>
      <c r="F85" s="33" t="s">
        <v>43</v>
      </c>
      <c r="G85" s="40"/>
      <c r="H85" s="40"/>
      <c r="I85" s="40"/>
      <c r="J85" s="65" t="s">
        <v>417</v>
      </c>
      <c r="K85" s="40">
        <v>2008</v>
      </c>
      <c r="L85" s="40"/>
      <c r="M85" s="32"/>
      <c r="N85" s="33"/>
      <c r="O85" s="40"/>
      <c r="P85" s="32" t="s">
        <v>12</v>
      </c>
      <c r="Q85" s="252">
        <v>183155100</v>
      </c>
      <c r="R85" s="61"/>
      <c r="S85" s="206" t="str">
        <f t="shared" si="26"/>
        <v>3.11.01</v>
      </c>
      <c r="T85" s="207" t="str">
        <f t="shared" si="19"/>
        <v>BANGUNAN GEDUNG TEMPAT KERJA</v>
      </c>
      <c r="U85" s="207">
        <f t="shared" si="20"/>
        <v>50</v>
      </c>
      <c r="V85" s="233">
        <f t="shared" si="27"/>
        <v>3663101.8</v>
      </c>
      <c r="W85" s="233">
        <f t="shared" si="28"/>
        <v>5</v>
      </c>
      <c r="X85" s="233">
        <f t="shared" si="21"/>
        <v>18315509</v>
      </c>
      <c r="Y85" s="233">
        <f t="shared" si="22"/>
        <v>3663101.8</v>
      </c>
      <c r="Z85" s="233">
        <f t="shared" si="23"/>
        <v>3663101.8</v>
      </c>
      <c r="AA85" s="233">
        <f t="shared" si="24"/>
        <v>3663101.8</v>
      </c>
      <c r="AB85" s="233">
        <f t="shared" si="25"/>
        <v>3663101.8</v>
      </c>
      <c r="AC85" s="238">
        <f t="shared" si="29"/>
        <v>3663101.8</v>
      </c>
      <c r="AD85" s="238">
        <f t="shared" si="30"/>
        <v>36631018</v>
      </c>
      <c r="AE85" s="206">
        <f t="shared" si="31"/>
        <v>2008</v>
      </c>
      <c r="AF85" s="210">
        <f t="shared" si="32"/>
        <v>146524082</v>
      </c>
      <c r="AG85" s="48" t="e">
        <f t="shared" si="33"/>
        <v>#N/A</v>
      </c>
      <c r="AH85" s="48" t="e">
        <f>IF(AG85='KIB C'!AJ:AJ,"k",0)</f>
        <v>#N/A</v>
      </c>
      <c r="AL85" s="48" t="s">
        <v>2718</v>
      </c>
      <c r="AM85" s="48" t="s">
        <v>4245</v>
      </c>
    </row>
    <row r="86" spans="1:39" s="48" customFormat="1" ht="40.5" customHeight="1" x14ac:dyDescent="0.2">
      <c r="A86" s="295" t="s">
        <v>2302</v>
      </c>
      <c r="B86" s="73"/>
      <c r="C86" s="65" t="s">
        <v>1066</v>
      </c>
      <c r="D86" s="67"/>
      <c r="E86" s="67"/>
      <c r="F86" s="33"/>
      <c r="G86" s="40"/>
      <c r="H86" s="40"/>
      <c r="I86" s="40"/>
      <c r="J86" s="65" t="s">
        <v>417</v>
      </c>
      <c r="K86" s="40">
        <v>2008</v>
      </c>
      <c r="L86" s="40"/>
      <c r="M86" s="32"/>
      <c r="N86" s="33"/>
      <c r="O86" s="40"/>
      <c r="P86" s="32" t="s">
        <v>12</v>
      </c>
      <c r="Q86" s="252">
        <v>348601700</v>
      </c>
      <c r="R86" s="61"/>
      <c r="S86" s="206" t="str">
        <f t="shared" si="26"/>
        <v>3.11.01</v>
      </c>
      <c r="T86" s="207" t="str">
        <f t="shared" si="19"/>
        <v>BANGUNAN GEDUNG TEMPAT KERJA</v>
      </c>
      <c r="U86" s="207">
        <f t="shared" si="20"/>
        <v>50</v>
      </c>
      <c r="V86" s="233">
        <f t="shared" si="27"/>
        <v>6972033.7999999998</v>
      </c>
      <c r="W86" s="233">
        <f t="shared" si="28"/>
        <v>5</v>
      </c>
      <c r="X86" s="233">
        <f t="shared" si="21"/>
        <v>34860169</v>
      </c>
      <c r="Y86" s="233">
        <f t="shared" si="22"/>
        <v>6972033.7999999998</v>
      </c>
      <c r="Z86" s="233">
        <f t="shared" si="23"/>
        <v>6972033.7999999998</v>
      </c>
      <c r="AA86" s="233">
        <f t="shared" si="24"/>
        <v>6972033.7999999998</v>
      </c>
      <c r="AB86" s="233">
        <f t="shared" si="25"/>
        <v>6972033.7999999998</v>
      </c>
      <c r="AC86" s="238">
        <f t="shared" si="29"/>
        <v>6972033.7999999998</v>
      </c>
      <c r="AD86" s="238">
        <f t="shared" si="30"/>
        <v>69720337.999999985</v>
      </c>
      <c r="AE86" s="206">
        <f t="shared" si="31"/>
        <v>2008</v>
      </c>
      <c r="AF86" s="210">
        <f t="shared" si="32"/>
        <v>278881362</v>
      </c>
      <c r="AG86" s="48" t="e">
        <f t="shared" si="33"/>
        <v>#N/A</v>
      </c>
      <c r="AH86" s="48" t="e">
        <f>IF(AG86='KIB C'!AJ:AJ,"k",0)</f>
        <v>#N/A</v>
      </c>
      <c r="AL86" s="48" t="s">
        <v>2719</v>
      </c>
      <c r="AM86" s="48" t="s">
        <v>4245</v>
      </c>
    </row>
    <row r="87" spans="1:39" s="48" customFormat="1" ht="40.5" customHeight="1" x14ac:dyDescent="0.2">
      <c r="A87" s="295" t="s">
        <v>2302</v>
      </c>
      <c r="B87" s="73"/>
      <c r="C87" s="65" t="s">
        <v>1067</v>
      </c>
      <c r="D87" s="67"/>
      <c r="E87" s="67"/>
      <c r="F87" s="33" t="s">
        <v>43</v>
      </c>
      <c r="G87" s="40"/>
      <c r="H87" s="40"/>
      <c r="I87" s="40"/>
      <c r="J87" s="72" t="s">
        <v>1099</v>
      </c>
      <c r="K87" s="40">
        <v>2008</v>
      </c>
      <c r="L87" s="40"/>
      <c r="M87" s="32"/>
      <c r="N87" s="33"/>
      <c r="O87" s="40"/>
      <c r="P87" s="32" t="s">
        <v>12</v>
      </c>
      <c r="Q87" s="252">
        <v>943307860</v>
      </c>
      <c r="R87" s="61"/>
      <c r="S87" s="206" t="str">
        <f t="shared" si="26"/>
        <v>3.11.01</v>
      </c>
      <c r="T87" s="207" t="str">
        <f t="shared" si="19"/>
        <v>BANGUNAN GEDUNG TEMPAT KERJA</v>
      </c>
      <c r="U87" s="207">
        <f t="shared" si="20"/>
        <v>50</v>
      </c>
      <c r="V87" s="233">
        <f t="shared" si="27"/>
        <v>18866157</v>
      </c>
      <c r="W87" s="233">
        <f t="shared" si="28"/>
        <v>5</v>
      </c>
      <c r="X87" s="233">
        <f t="shared" si="21"/>
        <v>94330785</v>
      </c>
      <c r="Y87" s="233">
        <f t="shared" si="22"/>
        <v>18866157</v>
      </c>
      <c r="Z87" s="233">
        <f t="shared" si="23"/>
        <v>18866157</v>
      </c>
      <c r="AA87" s="233">
        <f t="shared" si="24"/>
        <v>18866157</v>
      </c>
      <c r="AB87" s="233">
        <f t="shared" si="25"/>
        <v>18866157</v>
      </c>
      <c r="AC87" s="238">
        <f t="shared" si="29"/>
        <v>18866157</v>
      </c>
      <c r="AD87" s="238">
        <f t="shared" si="30"/>
        <v>188661570</v>
      </c>
      <c r="AE87" s="206">
        <f t="shared" si="31"/>
        <v>2008</v>
      </c>
      <c r="AF87" s="210">
        <f t="shared" si="32"/>
        <v>754646290</v>
      </c>
      <c r="AG87" s="48" t="e">
        <f t="shared" si="33"/>
        <v>#N/A</v>
      </c>
      <c r="AH87" s="48" t="e">
        <f>IF(AG87='KIB C'!AJ:AJ,"k",0)</f>
        <v>#N/A</v>
      </c>
      <c r="AL87" s="48" t="s">
        <v>2720</v>
      </c>
      <c r="AM87" s="48" t="s">
        <v>4245</v>
      </c>
    </row>
    <row r="88" spans="1:39" s="48" customFormat="1" ht="40.5" customHeight="1" x14ac:dyDescent="0.2">
      <c r="A88" s="295" t="s">
        <v>2302</v>
      </c>
      <c r="B88" s="73"/>
      <c r="C88" s="65" t="s">
        <v>1068</v>
      </c>
      <c r="D88" s="67"/>
      <c r="E88" s="67"/>
      <c r="F88" s="33" t="s">
        <v>43</v>
      </c>
      <c r="G88" s="40"/>
      <c r="H88" s="40"/>
      <c r="I88" s="40"/>
      <c r="J88" s="72" t="s">
        <v>1099</v>
      </c>
      <c r="K88" s="40">
        <v>2008</v>
      </c>
      <c r="L88" s="40"/>
      <c r="M88" s="32"/>
      <c r="N88" s="33"/>
      <c r="O88" s="40"/>
      <c r="P88" s="32" t="s">
        <v>12</v>
      </c>
      <c r="Q88" s="252">
        <v>1288238000</v>
      </c>
      <c r="R88" s="61"/>
      <c r="S88" s="206" t="str">
        <f t="shared" si="26"/>
        <v>3.11.01</v>
      </c>
      <c r="T88" s="207" t="str">
        <f t="shared" si="19"/>
        <v>BANGUNAN GEDUNG TEMPAT KERJA</v>
      </c>
      <c r="U88" s="207">
        <f t="shared" si="20"/>
        <v>50</v>
      </c>
      <c r="V88" s="233">
        <f t="shared" si="27"/>
        <v>25764759.800000001</v>
      </c>
      <c r="W88" s="233">
        <f t="shared" si="28"/>
        <v>5</v>
      </c>
      <c r="X88" s="233">
        <f t="shared" si="21"/>
        <v>128823799</v>
      </c>
      <c r="Y88" s="233">
        <f t="shared" si="22"/>
        <v>25764759.800000001</v>
      </c>
      <c r="Z88" s="233">
        <f t="shared" si="23"/>
        <v>25764759.800000001</v>
      </c>
      <c r="AA88" s="233">
        <f t="shared" si="24"/>
        <v>25764759.800000001</v>
      </c>
      <c r="AB88" s="233">
        <f t="shared" si="25"/>
        <v>25764759.800000001</v>
      </c>
      <c r="AC88" s="238">
        <f t="shared" si="29"/>
        <v>25764759.800000001</v>
      </c>
      <c r="AD88" s="238">
        <f t="shared" si="30"/>
        <v>257647598.00000006</v>
      </c>
      <c r="AE88" s="206">
        <f t="shared" si="31"/>
        <v>2008</v>
      </c>
      <c r="AF88" s="210">
        <f t="shared" si="32"/>
        <v>1030590402</v>
      </c>
      <c r="AG88" s="48" t="e">
        <f t="shared" si="33"/>
        <v>#N/A</v>
      </c>
      <c r="AH88" s="48" t="e">
        <f>IF(AG88='KIB C'!AJ:AJ,"k",0)</f>
        <v>#N/A</v>
      </c>
      <c r="AL88" s="48" t="s">
        <v>2720</v>
      </c>
      <c r="AM88" s="48" t="s">
        <v>4245</v>
      </c>
    </row>
    <row r="89" spans="1:39" s="48" customFormat="1" ht="40.5" customHeight="1" x14ac:dyDescent="0.2">
      <c r="A89" s="295" t="s">
        <v>2302</v>
      </c>
      <c r="B89" s="73"/>
      <c r="C89" s="65" t="s">
        <v>1069</v>
      </c>
      <c r="D89" s="67"/>
      <c r="E89" s="67"/>
      <c r="F89" s="33" t="s">
        <v>43</v>
      </c>
      <c r="G89" s="40"/>
      <c r="H89" s="40"/>
      <c r="I89" s="40"/>
      <c r="J89" s="72" t="s">
        <v>1099</v>
      </c>
      <c r="K89" s="40">
        <v>2008</v>
      </c>
      <c r="L89" s="40"/>
      <c r="M89" s="32"/>
      <c r="N89" s="33"/>
      <c r="O89" s="40"/>
      <c r="P89" s="32" t="s">
        <v>12</v>
      </c>
      <c r="Q89" s="252">
        <v>629515500</v>
      </c>
      <c r="R89" s="61"/>
      <c r="S89" s="206" t="str">
        <f t="shared" si="26"/>
        <v>3.11.01</v>
      </c>
      <c r="T89" s="207" t="str">
        <f t="shared" si="19"/>
        <v>BANGUNAN GEDUNG TEMPAT KERJA</v>
      </c>
      <c r="U89" s="207">
        <f t="shared" si="20"/>
        <v>50</v>
      </c>
      <c r="V89" s="233">
        <f t="shared" si="27"/>
        <v>12590309.800000001</v>
      </c>
      <c r="W89" s="233">
        <f t="shared" si="28"/>
        <v>5</v>
      </c>
      <c r="X89" s="233">
        <f t="shared" si="21"/>
        <v>62951549</v>
      </c>
      <c r="Y89" s="233">
        <f t="shared" si="22"/>
        <v>12590309.800000001</v>
      </c>
      <c r="Z89" s="233">
        <f t="shared" si="23"/>
        <v>12590309.800000001</v>
      </c>
      <c r="AA89" s="233">
        <f t="shared" si="24"/>
        <v>12590309.800000001</v>
      </c>
      <c r="AB89" s="233">
        <f t="shared" si="25"/>
        <v>12590309.800000001</v>
      </c>
      <c r="AC89" s="238">
        <f t="shared" si="29"/>
        <v>12590309.800000001</v>
      </c>
      <c r="AD89" s="238">
        <f t="shared" si="30"/>
        <v>125903097.99999999</v>
      </c>
      <c r="AE89" s="206">
        <f t="shared" si="31"/>
        <v>2008</v>
      </c>
      <c r="AF89" s="210">
        <f t="shared" si="32"/>
        <v>503612402</v>
      </c>
      <c r="AG89" s="48" t="e">
        <f t="shared" si="33"/>
        <v>#N/A</v>
      </c>
      <c r="AH89" s="48" t="e">
        <f>IF(AG89='KIB C'!AJ:AJ,"k",0)</f>
        <v>#N/A</v>
      </c>
      <c r="AL89" s="48" t="s">
        <v>2771</v>
      </c>
      <c r="AM89" s="48" t="s">
        <v>4245</v>
      </c>
    </row>
    <row r="90" spans="1:39" s="48" customFormat="1" ht="40.5" customHeight="1" x14ac:dyDescent="0.2">
      <c r="A90" s="295" t="s">
        <v>2302</v>
      </c>
      <c r="B90" s="73"/>
      <c r="C90" s="65" t="s">
        <v>1070</v>
      </c>
      <c r="D90" s="67"/>
      <c r="E90" s="67"/>
      <c r="F90" s="33" t="s">
        <v>43</v>
      </c>
      <c r="G90" s="40"/>
      <c r="H90" s="40"/>
      <c r="I90" s="40"/>
      <c r="J90" s="72" t="s">
        <v>1099</v>
      </c>
      <c r="K90" s="40">
        <v>2008</v>
      </c>
      <c r="L90" s="40"/>
      <c r="M90" s="32"/>
      <c r="N90" s="33"/>
      <c r="O90" s="40"/>
      <c r="P90" s="32" t="s">
        <v>12</v>
      </c>
      <c r="Q90" s="252">
        <v>106679650</v>
      </c>
      <c r="R90" s="61"/>
      <c r="S90" s="206" t="str">
        <f t="shared" si="26"/>
        <v>3.11.01</v>
      </c>
      <c r="T90" s="207" t="str">
        <f t="shared" si="19"/>
        <v>BANGUNAN GEDUNG TEMPAT KERJA</v>
      </c>
      <c r="U90" s="207">
        <f t="shared" si="20"/>
        <v>50</v>
      </c>
      <c r="V90" s="233">
        <f t="shared" si="27"/>
        <v>2133592.7999999998</v>
      </c>
      <c r="W90" s="233">
        <f t="shared" si="28"/>
        <v>5</v>
      </c>
      <c r="X90" s="233">
        <f t="shared" si="21"/>
        <v>10667964</v>
      </c>
      <c r="Y90" s="233">
        <f t="shared" si="22"/>
        <v>2133592.7999999998</v>
      </c>
      <c r="Z90" s="233">
        <f t="shared" si="23"/>
        <v>2133592.7999999998</v>
      </c>
      <c r="AA90" s="233">
        <f t="shared" si="24"/>
        <v>2133592.7999999998</v>
      </c>
      <c r="AB90" s="233">
        <f t="shared" si="25"/>
        <v>2133592.7999999998</v>
      </c>
      <c r="AC90" s="238">
        <f t="shared" si="29"/>
        <v>2133592.7999999998</v>
      </c>
      <c r="AD90" s="238">
        <f t="shared" si="30"/>
        <v>21335928.000000004</v>
      </c>
      <c r="AE90" s="206">
        <f t="shared" si="31"/>
        <v>2008</v>
      </c>
      <c r="AF90" s="210">
        <f t="shared" si="32"/>
        <v>85343722</v>
      </c>
      <c r="AG90" s="48" t="e">
        <f t="shared" si="33"/>
        <v>#N/A</v>
      </c>
      <c r="AH90" s="48" t="e">
        <f>IF(AG90='KIB C'!AJ:AJ,"k",0)</f>
        <v>#N/A</v>
      </c>
      <c r="AL90" s="48" t="s">
        <v>3019</v>
      </c>
      <c r="AM90" s="48" t="s">
        <v>4245</v>
      </c>
    </row>
    <row r="91" spans="1:39" s="48" customFormat="1" ht="40.5" customHeight="1" x14ac:dyDescent="0.2">
      <c r="A91" s="295" t="s">
        <v>2302</v>
      </c>
      <c r="B91" s="73"/>
      <c r="C91" s="65" t="s">
        <v>1071</v>
      </c>
      <c r="D91" s="67"/>
      <c r="E91" s="67"/>
      <c r="F91" s="33"/>
      <c r="G91" s="40"/>
      <c r="H91" s="40"/>
      <c r="I91" s="40"/>
      <c r="J91" s="65" t="s">
        <v>52</v>
      </c>
      <c r="K91" s="40">
        <v>2008</v>
      </c>
      <c r="L91" s="40"/>
      <c r="M91" s="32"/>
      <c r="N91" s="33"/>
      <c r="O91" s="40"/>
      <c r="P91" s="32" t="s">
        <v>12</v>
      </c>
      <c r="Q91" s="252">
        <v>3401817973.9301944</v>
      </c>
      <c r="R91" s="61"/>
      <c r="S91" s="206" t="str">
        <f t="shared" si="26"/>
        <v>3.11.01</v>
      </c>
      <c r="T91" s="207" t="str">
        <f t="shared" si="19"/>
        <v>BANGUNAN GEDUNG TEMPAT KERJA</v>
      </c>
      <c r="U91" s="207">
        <f t="shared" si="20"/>
        <v>50</v>
      </c>
      <c r="V91" s="233">
        <f t="shared" si="27"/>
        <v>68036359.278603882</v>
      </c>
      <c r="W91" s="233">
        <f t="shared" si="28"/>
        <v>5</v>
      </c>
      <c r="X91" s="233">
        <f t="shared" si="21"/>
        <v>340181796.39301944</v>
      </c>
      <c r="Y91" s="233">
        <f t="shared" si="22"/>
        <v>68036359.278603882</v>
      </c>
      <c r="Z91" s="233">
        <f t="shared" si="23"/>
        <v>68036359.278603882</v>
      </c>
      <c r="AA91" s="233">
        <f t="shared" si="24"/>
        <v>68036359.278603882</v>
      </c>
      <c r="AB91" s="233">
        <f t="shared" si="25"/>
        <v>68036359.278603882</v>
      </c>
      <c r="AC91" s="238">
        <f t="shared" si="29"/>
        <v>68036359.278603882</v>
      </c>
      <c r="AD91" s="238">
        <f t="shared" si="30"/>
        <v>680363592.78603899</v>
      </c>
      <c r="AE91" s="206">
        <f t="shared" si="31"/>
        <v>2008</v>
      </c>
      <c r="AF91" s="210">
        <f t="shared" si="32"/>
        <v>2721454381.1441555</v>
      </c>
      <c r="AG91" s="48" t="s">
        <v>4245</v>
      </c>
      <c r="AH91" s="48">
        <f>IF(AG91='KIB C'!AJ:AJ,"k",0)</f>
        <v>0</v>
      </c>
      <c r="AL91" s="48" t="s">
        <v>4224</v>
      </c>
      <c r="AM91" s="48" t="s">
        <v>4245</v>
      </c>
    </row>
    <row r="92" spans="1:39" s="48" customFormat="1" ht="40.5" customHeight="1" x14ac:dyDescent="0.2">
      <c r="A92" s="295" t="s">
        <v>2302</v>
      </c>
      <c r="B92" s="73"/>
      <c r="C92" s="65" t="s">
        <v>1072</v>
      </c>
      <c r="D92" s="67"/>
      <c r="E92" s="67"/>
      <c r="F92" s="33"/>
      <c r="G92" s="40"/>
      <c r="H92" s="40"/>
      <c r="I92" s="40"/>
      <c r="J92" s="65" t="s">
        <v>52</v>
      </c>
      <c r="K92" s="40">
        <v>2008</v>
      </c>
      <c r="L92" s="40"/>
      <c r="M92" s="32"/>
      <c r="N92" s="33"/>
      <c r="O92" s="40"/>
      <c r="P92" s="32" t="s">
        <v>12</v>
      </c>
      <c r="Q92" s="252">
        <v>1418400500</v>
      </c>
      <c r="R92" s="61"/>
      <c r="S92" s="206" t="str">
        <f t="shared" si="26"/>
        <v>3.11.01</v>
      </c>
      <c r="T92" s="207" t="str">
        <f t="shared" si="19"/>
        <v>BANGUNAN GEDUNG TEMPAT KERJA</v>
      </c>
      <c r="U92" s="207">
        <f t="shared" si="20"/>
        <v>50</v>
      </c>
      <c r="V92" s="233">
        <f t="shared" si="27"/>
        <v>28368009.800000001</v>
      </c>
      <c r="W92" s="233">
        <f t="shared" si="28"/>
        <v>5</v>
      </c>
      <c r="X92" s="233">
        <f t="shared" si="21"/>
        <v>141840049</v>
      </c>
      <c r="Y92" s="233">
        <f t="shared" si="22"/>
        <v>28368009.800000001</v>
      </c>
      <c r="Z92" s="233">
        <f t="shared" si="23"/>
        <v>28368009.800000001</v>
      </c>
      <c r="AA92" s="233">
        <f t="shared" si="24"/>
        <v>28368009.800000001</v>
      </c>
      <c r="AB92" s="233">
        <f t="shared" si="25"/>
        <v>28368009.800000001</v>
      </c>
      <c r="AC92" s="238">
        <f t="shared" si="29"/>
        <v>28368009.800000001</v>
      </c>
      <c r="AD92" s="238">
        <f t="shared" si="30"/>
        <v>283680098.00000006</v>
      </c>
      <c r="AE92" s="206">
        <f t="shared" si="31"/>
        <v>2008</v>
      </c>
      <c r="AF92" s="210">
        <f t="shared" si="32"/>
        <v>1134720402</v>
      </c>
      <c r="AG92" s="48" t="e">
        <f t="shared" ref="AG92:AG108" si="34">VLOOKUP(C92,KAP,2,0)</f>
        <v>#N/A</v>
      </c>
      <c r="AH92" s="48" t="e">
        <f>IF(AG92='KIB C'!AJ:AJ,"k",0)</f>
        <v>#N/A</v>
      </c>
      <c r="AL92" s="48" t="s">
        <v>2779</v>
      </c>
      <c r="AM92" s="48" t="s">
        <v>4245</v>
      </c>
    </row>
    <row r="93" spans="1:39" s="48" customFormat="1" ht="40.5" customHeight="1" x14ac:dyDescent="0.2">
      <c r="A93" s="295" t="s">
        <v>2302</v>
      </c>
      <c r="B93" s="73"/>
      <c r="C93" s="65" t="s">
        <v>1040</v>
      </c>
      <c r="D93" s="67"/>
      <c r="E93" s="67"/>
      <c r="F93" s="33"/>
      <c r="G93" s="40"/>
      <c r="H93" s="40"/>
      <c r="I93" s="40"/>
      <c r="J93" s="65" t="s">
        <v>52</v>
      </c>
      <c r="K93" s="40">
        <v>2008</v>
      </c>
      <c r="L93" s="40"/>
      <c r="M93" s="32"/>
      <c r="N93" s="33"/>
      <c r="O93" s="40"/>
      <c r="P93" s="32" t="s">
        <v>12</v>
      </c>
      <c r="Q93" s="252">
        <v>340000000</v>
      </c>
      <c r="R93" s="61"/>
      <c r="S93" s="206" t="str">
        <f t="shared" si="26"/>
        <v>3.11.01</v>
      </c>
      <c r="T93" s="207" t="str">
        <f t="shared" si="19"/>
        <v>BANGUNAN GEDUNG TEMPAT KERJA</v>
      </c>
      <c r="U93" s="207">
        <f t="shared" si="20"/>
        <v>50</v>
      </c>
      <c r="V93" s="233">
        <f t="shared" si="27"/>
        <v>6799999.7999999998</v>
      </c>
      <c r="W93" s="233">
        <f t="shared" si="28"/>
        <v>5</v>
      </c>
      <c r="X93" s="233">
        <f t="shared" si="21"/>
        <v>33999999</v>
      </c>
      <c r="Y93" s="233">
        <f t="shared" si="22"/>
        <v>6799999.7999999998</v>
      </c>
      <c r="Z93" s="233">
        <f t="shared" si="23"/>
        <v>6799999.7999999998</v>
      </c>
      <c r="AA93" s="233">
        <f t="shared" si="24"/>
        <v>6799999.7999999998</v>
      </c>
      <c r="AB93" s="233">
        <f t="shared" si="25"/>
        <v>6799999.7999999998</v>
      </c>
      <c r="AC93" s="238">
        <f t="shared" si="29"/>
        <v>6799999.7999999998</v>
      </c>
      <c r="AD93" s="238">
        <f t="shared" si="30"/>
        <v>67999997.999999985</v>
      </c>
      <c r="AE93" s="206">
        <f t="shared" si="31"/>
        <v>2008</v>
      </c>
      <c r="AF93" s="210">
        <f t="shared" si="32"/>
        <v>272000002</v>
      </c>
      <c r="AG93" s="48" t="e">
        <f t="shared" si="34"/>
        <v>#N/A</v>
      </c>
      <c r="AH93" s="48" t="e">
        <f>IF(AG93='KIB C'!AJ:AJ,"k",0)</f>
        <v>#N/A</v>
      </c>
      <c r="AL93" s="48" t="s">
        <v>2726</v>
      </c>
      <c r="AM93" s="48" t="s">
        <v>4245</v>
      </c>
    </row>
    <row r="94" spans="1:39" s="48" customFormat="1" ht="40.5" customHeight="1" x14ac:dyDescent="0.2">
      <c r="A94" s="295" t="s">
        <v>2302</v>
      </c>
      <c r="B94" s="73"/>
      <c r="C94" s="65" t="s">
        <v>1073</v>
      </c>
      <c r="D94" s="67"/>
      <c r="E94" s="67"/>
      <c r="F94" s="33" t="s">
        <v>43</v>
      </c>
      <c r="G94" s="40"/>
      <c r="H94" s="40"/>
      <c r="I94" s="40"/>
      <c r="J94" s="65" t="s">
        <v>417</v>
      </c>
      <c r="K94" s="40">
        <v>2008</v>
      </c>
      <c r="L94" s="40"/>
      <c r="M94" s="32"/>
      <c r="N94" s="33"/>
      <c r="O94" s="40"/>
      <c r="P94" s="32" t="s">
        <v>12</v>
      </c>
      <c r="Q94" s="252">
        <v>207120100</v>
      </c>
      <c r="R94" s="61"/>
      <c r="S94" s="206" t="str">
        <f t="shared" si="26"/>
        <v>3.11.01</v>
      </c>
      <c r="T94" s="207" t="str">
        <f t="shared" si="19"/>
        <v>BANGUNAN GEDUNG TEMPAT KERJA</v>
      </c>
      <c r="U94" s="207">
        <f t="shared" si="20"/>
        <v>50</v>
      </c>
      <c r="V94" s="233">
        <f t="shared" si="27"/>
        <v>4142401.8</v>
      </c>
      <c r="W94" s="233">
        <f t="shared" si="28"/>
        <v>5</v>
      </c>
      <c r="X94" s="233">
        <f t="shared" si="21"/>
        <v>20712009</v>
      </c>
      <c r="Y94" s="233">
        <f t="shared" si="22"/>
        <v>4142401.8</v>
      </c>
      <c r="Z94" s="233">
        <f t="shared" si="23"/>
        <v>4142401.8</v>
      </c>
      <c r="AA94" s="233">
        <f t="shared" si="24"/>
        <v>4142401.8</v>
      </c>
      <c r="AB94" s="233">
        <f t="shared" si="25"/>
        <v>4142401.8</v>
      </c>
      <c r="AC94" s="238">
        <f t="shared" si="29"/>
        <v>4142401.8</v>
      </c>
      <c r="AD94" s="238">
        <f t="shared" si="30"/>
        <v>41424018</v>
      </c>
      <c r="AE94" s="206">
        <f t="shared" si="31"/>
        <v>2008</v>
      </c>
      <c r="AF94" s="210">
        <f t="shared" si="32"/>
        <v>165696082</v>
      </c>
      <c r="AG94" s="48" t="e">
        <f t="shared" si="34"/>
        <v>#N/A</v>
      </c>
      <c r="AH94" s="48" t="e">
        <f>IF(AG94='KIB C'!AJ:AJ,"k",0)</f>
        <v>#N/A</v>
      </c>
      <c r="AL94" s="48" t="s">
        <v>2729</v>
      </c>
      <c r="AM94" s="48" t="s">
        <v>4245</v>
      </c>
    </row>
    <row r="95" spans="1:39" s="48" customFormat="1" ht="40.5" customHeight="1" x14ac:dyDescent="0.2">
      <c r="A95" s="295" t="s">
        <v>2302</v>
      </c>
      <c r="B95" s="73"/>
      <c r="C95" s="65" t="s">
        <v>1074</v>
      </c>
      <c r="D95" s="67"/>
      <c r="E95" s="67"/>
      <c r="F95" s="33" t="s">
        <v>43</v>
      </c>
      <c r="G95" s="40"/>
      <c r="H95" s="40"/>
      <c r="I95" s="40"/>
      <c r="J95" s="72" t="s">
        <v>52</v>
      </c>
      <c r="K95" s="40">
        <v>2012</v>
      </c>
      <c r="L95" s="40"/>
      <c r="M95" s="32"/>
      <c r="N95" s="33"/>
      <c r="O95" s="40"/>
      <c r="P95" s="32" t="s">
        <v>12</v>
      </c>
      <c r="Q95" s="252">
        <v>19496000</v>
      </c>
      <c r="R95" s="61"/>
      <c r="S95" s="206" t="str">
        <f t="shared" si="26"/>
        <v>3.11.01</v>
      </c>
      <c r="T95" s="207" t="str">
        <f t="shared" si="19"/>
        <v>BANGUNAN GEDUNG TEMPAT KERJA</v>
      </c>
      <c r="U95" s="207">
        <f t="shared" si="20"/>
        <v>50</v>
      </c>
      <c r="V95" s="233">
        <f t="shared" si="27"/>
        <v>389919.8</v>
      </c>
      <c r="W95" s="233">
        <f t="shared" si="28"/>
        <v>1</v>
      </c>
      <c r="X95" s="233">
        <f t="shared" si="21"/>
        <v>389919.8</v>
      </c>
      <c r="Y95" s="233">
        <f t="shared" si="22"/>
        <v>389919.8</v>
      </c>
      <c r="Z95" s="233">
        <f t="shared" si="23"/>
        <v>389919.8</v>
      </c>
      <c r="AA95" s="233">
        <f t="shared" si="24"/>
        <v>389919.8</v>
      </c>
      <c r="AB95" s="233">
        <f t="shared" si="25"/>
        <v>389919.8</v>
      </c>
      <c r="AC95" s="238">
        <f t="shared" si="29"/>
        <v>389919.8</v>
      </c>
      <c r="AD95" s="238">
        <f t="shared" si="30"/>
        <v>2339518.7999999998</v>
      </c>
      <c r="AE95" s="206">
        <f t="shared" si="31"/>
        <v>2012</v>
      </c>
      <c r="AF95" s="210">
        <f t="shared" si="32"/>
        <v>17156481.199999999</v>
      </c>
      <c r="AG95" s="48" t="str">
        <f t="shared" si="34"/>
        <v>K</v>
      </c>
      <c r="AL95" s="48" t="s">
        <v>2772</v>
      </c>
      <c r="AM95" s="48" t="s">
        <v>4245</v>
      </c>
    </row>
    <row r="96" spans="1:39" s="48" customFormat="1" ht="40.5" customHeight="1" x14ac:dyDescent="0.2">
      <c r="A96" s="295" t="s">
        <v>2302</v>
      </c>
      <c r="B96" s="73"/>
      <c r="C96" s="65" t="s">
        <v>419</v>
      </c>
      <c r="D96" s="67"/>
      <c r="E96" s="67"/>
      <c r="F96" s="33"/>
      <c r="G96" s="40"/>
      <c r="H96" s="40"/>
      <c r="I96" s="40"/>
      <c r="J96" s="72" t="s">
        <v>52</v>
      </c>
      <c r="K96" s="40">
        <v>2013</v>
      </c>
      <c r="L96" s="40"/>
      <c r="M96" s="32"/>
      <c r="N96" s="33"/>
      <c r="O96" s="40"/>
      <c r="P96" s="32" t="s">
        <v>12</v>
      </c>
      <c r="Q96" s="252">
        <v>90096487.466336727</v>
      </c>
      <c r="R96" s="105" t="s">
        <v>418</v>
      </c>
      <c r="S96" s="206" t="str">
        <f t="shared" si="26"/>
        <v>3.11.01</v>
      </c>
      <c r="T96" s="207" t="str">
        <f t="shared" si="19"/>
        <v>BANGUNAN GEDUNG TEMPAT KERJA</v>
      </c>
      <c r="U96" s="207">
        <f t="shared" si="20"/>
        <v>50</v>
      </c>
      <c r="V96" s="233">
        <f t="shared" si="27"/>
        <v>1801929.5493267346</v>
      </c>
      <c r="W96" s="233">
        <f t="shared" si="28"/>
        <v>0</v>
      </c>
      <c r="X96" s="233">
        <f t="shared" si="21"/>
        <v>0</v>
      </c>
      <c r="Y96" s="233">
        <f t="shared" si="22"/>
        <v>1801929.5493267346</v>
      </c>
      <c r="Z96" s="233">
        <f t="shared" si="23"/>
        <v>1801929.5493267346</v>
      </c>
      <c r="AA96" s="233">
        <f t="shared" si="24"/>
        <v>1801929.5493267346</v>
      </c>
      <c r="AB96" s="233">
        <f t="shared" si="25"/>
        <v>1801929.5493267346</v>
      </c>
      <c r="AC96" s="238">
        <f t="shared" si="29"/>
        <v>1801929.5493267346</v>
      </c>
      <c r="AD96" s="238">
        <f t="shared" si="30"/>
        <v>9009647.7466336731</v>
      </c>
      <c r="AE96" s="206">
        <f t="shared" si="31"/>
        <v>2013</v>
      </c>
      <c r="AF96" s="210">
        <f t="shared" si="32"/>
        <v>81086839.719703048</v>
      </c>
      <c r="AG96" s="48" t="str">
        <f t="shared" si="34"/>
        <v>K</v>
      </c>
      <c r="AL96" s="48" t="s">
        <v>2980</v>
      </c>
      <c r="AM96" s="48" t="s">
        <v>4245</v>
      </c>
    </row>
    <row r="97" spans="1:39" s="48" customFormat="1" ht="40.5" customHeight="1" x14ac:dyDescent="0.2">
      <c r="A97" s="295" t="s">
        <v>2302</v>
      </c>
      <c r="B97" s="73"/>
      <c r="C97" s="65" t="s">
        <v>1075</v>
      </c>
      <c r="D97" s="67"/>
      <c r="E97" s="67"/>
      <c r="F97" s="33"/>
      <c r="G97" s="40"/>
      <c r="H97" s="40"/>
      <c r="I97" s="40"/>
      <c r="J97" s="72" t="s">
        <v>417</v>
      </c>
      <c r="K97" s="40">
        <v>2014</v>
      </c>
      <c r="L97" s="40"/>
      <c r="M97" s="32"/>
      <c r="N97" s="33"/>
      <c r="O97" s="40"/>
      <c r="P97" s="32" t="s">
        <v>12</v>
      </c>
      <c r="Q97" s="252">
        <v>34581000</v>
      </c>
      <c r="R97" s="105"/>
      <c r="S97" s="206" t="str">
        <f t="shared" si="26"/>
        <v>3.11.01</v>
      </c>
      <c r="T97" s="207" t="str">
        <f t="shared" si="19"/>
        <v>BANGUNAN GEDUNG TEMPAT KERJA</v>
      </c>
      <c r="U97" s="207">
        <f t="shared" si="20"/>
        <v>50</v>
      </c>
      <c r="V97" s="233">
        <f t="shared" si="27"/>
        <v>691619.8</v>
      </c>
      <c r="W97" s="233"/>
      <c r="X97" s="233">
        <f t="shared" si="21"/>
        <v>0</v>
      </c>
      <c r="Y97" s="233">
        <f t="shared" si="22"/>
        <v>691619.8</v>
      </c>
      <c r="Z97" s="233">
        <f t="shared" si="23"/>
        <v>691619.8</v>
      </c>
      <c r="AA97" s="233">
        <f t="shared" si="24"/>
        <v>691619.8</v>
      </c>
      <c r="AB97" s="233">
        <f t="shared" si="25"/>
        <v>691619.8</v>
      </c>
      <c r="AC97" s="238">
        <f t="shared" si="29"/>
        <v>691619.8</v>
      </c>
      <c r="AD97" s="238">
        <f t="shared" si="30"/>
        <v>3458099</v>
      </c>
      <c r="AE97" s="206">
        <f t="shared" si="31"/>
        <v>2014</v>
      </c>
      <c r="AF97" s="210">
        <f t="shared" si="32"/>
        <v>31122901</v>
      </c>
      <c r="AG97" s="48" t="e">
        <f t="shared" si="34"/>
        <v>#N/A</v>
      </c>
      <c r="AH97" s="48" t="e">
        <f>IF(AG97='KIB C'!AJ:AJ,"k",0)</f>
        <v>#N/A</v>
      </c>
      <c r="AL97" s="48" t="s">
        <v>2831</v>
      </c>
      <c r="AM97" s="48" t="s">
        <v>4245</v>
      </c>
    </row>
    <row r="98" spans="1:39" s="48" customFormat="1" ht="40.5" customHeight="1" x14ac:dyDescent="0.2">
      <c r="A98" s="295" t="s">
        <v>2302</v>
      </c>
      <c r="B98" s="73"/>
      <c r="C98" s="65" t="s">
        <v>1076</v>
      </c>
      <c r="D98" s="67"/>
      <c r="E98" s="67"/>
      <c r="F98" s="33"/>
      <c r="G98" s="40"/>
      <c r="H98" s="40"/>
      <c r="I98" s="40"/>
      <c r="J98" s="72" t="s">
        <v>1099</v>
      </c>
      <c r="K98" s="40">
        <v>2014</v>
      </c>
      <c r="L98" s="40"/>
      <c r="M98" s="32"/>
      <c r="N98" s="33"/>
      <c r="O98" s="40"/>
      <c r="P98" s="32" t="s">
        <v>12</v>
      </c>
      <c r="Q98" s="252">
        <v>114869000</v>
      </c>
      <c r="R98" s="105"/>
      <c r="S98" s="206" t="str">
        <f t="shared" si="26"/>
        <v>3.11.01</v>
      </c>
      <c r="T98" s="207" t="str">
        <f t="shared" si="19"/>
        <v>BANGUNAN GEDUNG TEMPAT KERJA</v>
      </c>
      <c r="U98" s="207">
        <f t="shared" si="20"/>
        <v>50</v>
      </c>
      <c r="V98" s="233">
        <f t="shared" si="27"/>
        <v>2297379.7999999998</v>
      </c>
      <c r="W98" s="233"/>
      <c r="X98" s="233">
        <f t="shared" si="21"/>
        <v>0</v>
      </c>
      <c r="Y98" s="233">
        <f t="shared" si="22"/>
        <v>2297379.7999999998</v>
      </c>
      <c r="Z98" s="233">
        <f t="shared" si="23"/>
        <v>2297379.7999999998</v>
      </c>
      <c r="AA98" s="233">
        <f t="shared" si="24"/>
        <v>2297379.7999999998</v>
      </c>
      <c r="AB98" s="233">
        <f t="shared" si="25"/>
        <v>2297379.7999999998</v>
      </c>
      <c r="AC98" s="238">
        <f t="shared" si="29"/>
        <v>2297379.7999999998</v>
      </c>
      <c r="AD98" s="238">
        <f t="shared" si="30"/>
        <v>11486899</v>
      </c>
      <c r="AE98" s="206">
        <f t="shared" si="31"/>
        <v>2014</v>
      </c>
      <c r="AF98" s="210">
        <f t="shared" si="32"/>
        <v>103382101</v>
      </c>
      <c r="AG98" s="48" t="e">
        <f t="shared" si="34"/>
        <v>#N/A</v>
      </c>
      <c r="AH98" s="48" t="e">
        <f>IF(AG98='KIB C'!AJ:AJ,"k",0)</f>
        <v>#N/A</v>
      </c>
      <c r="AL98" s="48" t="s">
        <v>2730</v>
      </c>
      <c r="AM98" s="48" t="s">
        <v>4245</v>
      </c>
    </row>
    <row r="99" spans="1:39" s="48" customFormat="1" ht="40.5" customHeight="1" x14ac:dyDescent="0.2">
      <c r="A99" s="295" t="s">
        <v>2302</v>
      </c>
      <c r="B99" s="73"/>
      <c r="C99" s="65" t="s">
        <v>1077</v>
      </c>
      <c r="D99" s="67"/>
      <c r="E99" s="67"/>
      <c r="F99" s="33"/>
      <c r="G99" s="40"/>
      <c r="H99" s="40"/>
      <c r="I99" s="40"/>
      <c r="J99" s="72" t="s">
        <v>1099</v>
      </c>
      <c r="K99" s="40">
        <v>2014</v>
      </c>
      <c r="L99" s="40"/>
      <c r="M99" s="32"/>
      <c r="N99" s="33"/>
      <c r="O99" s="40"/>
      <c r="P99" s="32" t="s">
        <v>12</v>
      </c>
      <c r="Q99" s="252">
        <v>149601000</v>
      </c>
      <c r="R99" s="105"/>
      <c r="S99" s="206" t="str">
        <f t="shared" si="26"/>
        <v>3.11.01</v>
      </c>
      <c r="T99" s="207" t="str">
        <f t="shared" si="19"/>
        <v>BANGUNAN GEDUNG TEMPAT KERJA</v>
      </c>
      <c r="U99" s="207">
        <f t="shared" si="20"/>
        <v>50</v>
      </c>
      <c r="V99" s="233">
        <f t="shared" si="27"/>
        <v>2992019.8</v>
      </c>
      <c r="W99" s="233"/>
      <c r="X99" s="233">
        <f t="shared" si="21"/>
        <v>0</v>
      </c>
      <c r="Y99" s="233">
        <f t="shared" si="22"/>
        <v>2992019.8</v>
      </c>
      <c r="Z99" s="233">
        <f t="shared" si="23"/>
        <v>2992019.8</v>
      </c>
      <c r="AA99" s="233">
        <f t="shared" si="24"/>
        <v>2992019.8</v>
      </c>
      <c r="AB99" s="233">
        <f t="shared" si="25"/>
        <v>2992019.8</v>
      </c>
      <c r="AC99" s="238">
        <f t="shared" si="29"/>
        <v>2992019.8</v>
      </c>
      <c r="AD99" s="238">
        <f t="shared" si="30"/>
        <v>14960099</v>
      </c>
      <c r="AE99" s="206">
        <f t="shared" si="31"/>
        <v>2014</v>
      </c>
      <c r="AF99" s="210">
        <f t="shared" si="32"/>
        <v>134640901</v>
      </c>
      <c r="AG99" s="48" t="str">
        <f t="shared" si="34"/>
        <v>K</v>
      </c>
      <c r="AL99" s="48" t="s">
        <v>2727</v>
      </c>
      <c r="AM99" s="48" t="s">
        <v>4245</v>
      </c>
    </row>
    <row r="100" spans="1:39" s="48" customFormat="1" ht="40.5" customHeight="1" x14ac:dyDescent="0.2">
      <c r="A100" s="295" t="s">
        <v>2302</v>
      </c>
      <c r="B100" s="73"/>
      <c r="C100" s="65" t="s">
        <v>1078</v>
      </c>
      <c r="D100" s="67"/>
      <c r="E100" s="67"/>
      <c r="F100" s="33"/>
      <c r="G100" s="40"/>
      <c r="H100" s="40"/>
      <c r="I100" s="40"/>
      <c r="J100" s="72" t="s">
        <v>1099</v>
      </c>
      <c r="K100" s="40">
        <v>2015</v>
      </c>
      <c r="L100" s="40"/>
      <c r="M100" s="32"/>
      <c r="N100" s="33"/>
      <c r="O100" s="40"/>
      <c r="P100" s="32" t="s">
        <v>12</v>
      </c>
      <c r="Q100" s="252">
        <v>195914149</v>
      </c>
      <c r="R100" s="105"/>
      <c r="S100" s="206" t="str">
        <f t="shared" si="26"/>
        <v>3.11.01</v>
      </c>
      <c r="T100" s="207" t="str">
        <f t="shared" si="19"/>
        <v>BANGUNAN GEDUNG TEMPAT KERJA</v>
      </c>
      <c r="U100" s="207">
        <f t="shared" si="20"/>
        <v>50</v>
      </c>
      <c r="V100" s="233">
        <f t="shared" si="27"/>
        <v>3918282.78</v>
      </c>
      <c r="W100" s="233"/>
      <c r="X100" s="233">
        <f t="shared" si="21"/>
        <v>0</v>
      </c>
      <c r="Y100" s="233"/>
      <c r="Z100" s="233">
        <f t="shared" si="23"/>
        <v>3918282.78</v>
      </c>
      <c r="AA100" s="233">
        <f t="shared" si="24"/>
        <v>3918282.78</v>
      </c>
      <c r="AB100" s="233">
        <f t="shared" si="25"/>
        <v>3918282.78</v>
      </c>
      <c r="AC100" s="238">
        <f t="shared" si="29"/>
        <v>3918282.78</v>
      </c>
      <c r="AD100" s="238">
        <f t="shared" si="30"/>
        <v>15673131.119999999</v>
      </c>
      <c r="AE100" s="206">
        <f t="shared" si="31"/>
        <v>2015</v>
      </c>
      <c r="AF100" s="210">
        <f t="shared" si="32"/>
        <v>180241017.88</v>
      </c>
      <c r="AG100" s="48" t="e">
        <f t="shared" si="34"/>
        <v>#N/A</v>
      </c>
      <c r="AH100" s="48" t="e">
        <f>IF(AG100='KIB C'!AJ:AJ,"k",0)</f>
        <v>#N/A</v>
      </c>
      <c r="AL100" s="48" t="s">
        <v>2728</v>
      </c>
      <c r="AM100" s="48" t="s">
        <v>4245</v>
      </c>
    </row>
    <row r="101" spans="1:39" s="48" customFormat="1" ht="40.5" customHeight="1" x14ac:dyDescent="0.2">
      <c r="A101" s="295" t="s">
        <v>2302</v>
      </c>
      <c r="B101" s="73"/>
      <c r="C101" s="65" t="s">
        <v>1079</v>
      </c>
      <c r="D101" s="67"/>
      <c r="E101" s="67"/>
      <c r="F101" s="33"/>
      <c r="G101" s="40"/>
      <c r="H101" s="40"/>
      <c r="I101" s="40"/>
      <c r="J101" s="72" t="s">
        <v>1100</v>
      </c>
      <c r="K101" s="40">
        <v>2015</v>
      </c>
      <c r="L101" s="40"/>
      <c r="M101" s="32"/>
      <c r="N101" s="33"/>
      <c r="O101" s="40"/>
      <c r="P101" s="32" t="s">
        <v>12</v>
      </c>
      <c r="Q101" s="252">
        <v>313428000</v>
      </c>
      <c r="R101" s="105"/>
      <c r="S101" s="206" t="str">
        <f t="shared" si="26"/>
        <v>3.11.01</v>
      </c>
      <c r="T101" s="207" t="str">
        <f t="shared" si="19"/>
        <v>BANGUNAN GEDUNG TEMPAT KERJA</v>
      </c>
      <c r="U101" s="207">
        <f t="shared" si="20"/>
        <v>50</v>
      </c>
      <c r="V101" s="233">
        <f t="shared" si="27"/>
        <v>6268559.7999999998</v>
      </c>
      <c r="W101" s="233"/>
      <c r="X101" s="233">
        <f t="shared" si="21"/>
        <v>0</v>
      </c>
      <c r="Y101" s="233"/>
      <c r="Z101" s="233">
        <f t="shared" si="23"/>
        <v>6268559.7999999998</v>
      </c>
      <c r="AA101" s="233">
        <f t="shared" si="24"/>
        <v>6268559.7999999998</v>
      </c>
      <c r="AB101" s="233">
        <f t="shared" si="25"/>
        <v>6268559.7999999998</v>
      </c>
      <c r="AC101" s="238">
        <f t="shared" si="29"/>
        <v>6268559.7999999998</v>
      </c>
      <c r="AD101" s="238">
        <f t="shared" si="30"/>
        <v>25074239.199999999</v>
      </c>
      <c r="AE101" s="206">
        <f t="shared" si="31"/>
        <v>2015</v>
      </c>
      <c r="AF101" s="210">
        <f t="shared" si="32"/>
        <v>288353760.80000001</v>
      </c>
      <c r="AG101" s="48" t="e">
        <f t="shared" si="34"/>
        <v>#N/A</v>
      </c>
      <c r="AH101" s="48" t="e">
        <f>IF(AG101='KIB C'!AJ:AJ,"k",0)</f>
        <v>#N/A</v>
      </c>
      <c r="AL101" s="48" t="s">
        <v>2731</v>
      </c>
      <c r="AM101" s="48" t="s">
        <v>4245</v>
      </c>
    </row>
    <row r="102" spans="1:39" s="48" customFormat="1" ht="40.5" customHeight="1" x14ac:dyDescent="0.2">
      <c r="A102" s="295" t="s">
        <v>2302</v>
      </c>
      <c r="B102" s="73"/>
      <c r="C102" s="65" t="s">
        <v>1751</v>
      </c>
      <c r="D102" s="67" t="s">
        <v>1752</v>
      </c>
      <c r="E102" s="67" t="s">
        <v>39</v>
      </c>
      <c r="F102" s="33" t="s">
        <v>43</v>
      </c>
      <c r="G102" s="40" t="s">
        <v>1753</v>
      </c>
      <c r="H102" s="40" t="s">
        <v>835</v>
      </c>
      <c r="I102" s="40">
        <v>124</v>
      </c>
      <c r="J102" s="72" t="s">
        <v>2855</v>
      </c>
      <c r="K102" s="40">
        <v>2009</v>
      </c>
      <c r="L102" s="40" t="s">
        <v>1755</v>
      </c>
      <c r="M102" s="32"/>
      <c r="N102" s="33"/>
      <c r="O102" s="40"/>
      <c r="P102" s="32" t="s">
        <v>12</v>
      </c>
      <c r="Q102" s="252">
        <v>267474021.18227947</v>
      </c>
      <c r="R102" s="105"/>
      <c r="S102" s="206" t="str">
        <f t="shared" si="26"/>
        <v>3.11.01</v>
      </c>
      <c r="T102" s="207" t="str">
        <f t="shared" si="19"/>
        <v>BANGUNAN GEDUNG TEMPAT KERJA</v>
      </c>
      <c r="U102" s="207">
        <f t="shared" si="20"/>
        <v>50</v>
      </c>
      <c r="V102" s="233">
        <f t="shared" si="27"/>
        <v>5349480.2236455893</v>
      </c>
      <c r="W102" s="233">
        <f t="shared" si="28"/>
        <v>4</v>
      </c>
      <c r="X102" s="233">
        <f t="shared" si="21"/>
        <v>21397920.894582357</v>
      </c>
      <c r="Y102" s="233">
        <f t="shared" si="22"/>
        <v>5349480.2236455893</v>
      </c>
      <c r="Z102" s="233">
        <f t="shared" si="23"/>
        <v>5349480.2236455893</v>
      </c>
      <c r="AA102" s="233">
        <f t="shared" si="24"/>
        <v>5349480.2236455893</v>
      </c>
      <c r="AB102" s="233">
        <f t="shared" si="25"/>
        <v>5349480.2236455893</v>
      </c>
      <c r="AC102" s="238">
        <f t="shared" si="29"/>
        <v>5349480.2236455893</v>
      </c>
      <c r="AD102" s="238">
        <f t="shared" si="30"/>
        <v>48145322.012810305</v>
      </c>
      <c r="AE102" s="206">
        <f t="shared" si="31"/>
        <v>2009</v>
      </c>
      <c r="AF102" s="210">
        <f t="shared" si="32"/>
        <v>219328699.16946918</v>
      </c>
      <c r="AG102" s="48" t="e">
        <f t="shared" si="34"/>
        <v>#N/A</v>
      </c>
      <c r="AH102" s="48" t="e">
        <f>IF(AG102='KIB C'!AJ:AJ,"k",0)</f>
        <v>#N/A</v>
      </c>
      <c r="AL102" s="48" t="s">
        <v>2976</v>
      </c>
      <c r="AM102" s="48" t="s">
        <v>4245</v>
      </c>
    </row>
    <row r="103" spans="1:39" s="48" customFormat="1" ht="40.5" customHeight="1" x14ac:dyDescent="0.2">
      <c r="A103" s="295" t="s">
        <v>2302</v>
      </c>
      <c r="B103" s="73"/>
      <c r="C103" s="65" t="s">
        <v>1756</v>
      </c>
      <c r="D103" s="67"/>
      <c r="E103" s="67" t="s">
        <v>39</v>
      </c>
      <c r="F103" s="33" t="s">
        <v>43</v>
      </c>
      <c r="G103" s="40" t="s">
        <v>1753</v>
      </c>
      <c r="H103" s="40" t="s">
        <v>835</v>
      </c>
      <c r="I103" s="40">
        <v>120</v>
      </c>
      <c r="J103" s="72" t="s">
        <v>2856</v>
      </c>
      <c r="K103" s="40">
        <v>2009</v>
      </c>
      <c r="L103" s="40" t="s">
        <v>1757</v>
      </c>
      <c r="M103" s="32"/>
      <c r="N103" s="33"/>
      <c r="O103" s="40"/>
      <c r="P103" s="32" t="s">
        <v>12</v>
      </c>
      <c r="Q103" s="252">
        <v>294688334.55143684</v>
      </c>
      <c r="R103" s="105"/>
      <c r="S103" s="206" t="str">
        <f t="shared" si="26"/>
        <v>3.11.01</v>
      </c>
      <c r="T103" s="207" t="str">
        <f t="shared" si="19"/>
        <v>BANGUNAN GEDUNG TEMPAT KERJA</v>
      </c>
      <c r="U103" s="207">
        <f t="shared" si="20"/>
        <v>50</v>
      </c>
      <c r="V103" s="233">
        <f t="shared" si="27"/>
        <v>5893766.4910287373</v>
      </c>
      <c r="W103" s="233">
        <f t="shared" si="28"/>
        <v>4</v>
      </c>
      <c r="X103" s="233">
        <f t="shared" si="21"/>
        <v>23575065.964114949</v>
      </c>
      <c r="Y103" s="233">
        <f t="shared" si="22"/>
        <v>5893766.4910287373</v>
      </c>
      <c r="Z103" s="233">
        <f t="shared" si="23"/>
        <v>5893766.4910287373</v>
      </c>
      <c r="AA103" s="233">
        <f t="shared" si="24"/>
        <v>5893766.4910287373</v>
      </c>
      <c r="AB103" s="233">
        <f t="shared" si="25"/>
        <v>5893766.4910287373</v>
      </c>
      <c r="AC103" s="238">
        <f t="shared" si="29"/>
        <v>5893766.4910287373</v>
      </c>
      <c r="AD103" s="238">
        <f t="shared" si="30"/>
        <v>53043898.419258639</v>
      </c>
      <c r="AE103" s="206">
        <f t="shared" si="31"/>
        <v>2009</v>
      </c>
      <c r="AF103" s="210">
        <f t="shared" si="32"/>
        <v>241644436.13217819</v>
      </c>
      <c r="AG103" s="48" t="e">
        <f t="shared" si="34"/>
        <v>#N/A</v>
      </c>
      <c r="AH103" s="48" t="e">
        <f>IF(AG103='KIB C'!AJ:AJ,"k",0)</f>
        <v>#N/A</v>
      </c>
      <c r="AL103" s="48" t="s">
        <v>2747</v>
      </c>
      <c r="AM103" s="48" t="s">
        <v>4245</v>
      </c>
    </row>
    <row r="104" spans="1:39" s="48" customFormat="1" ht="40.5" customHeight="1" x14ac:dyDescent="0.2">
      <c r="A104" s="295" t="s">
        <v>2302</v>
      </c>
      <c r="B104" s="73"/>
      <c r="C104" s="65" t="s">
        <v>1758</v>
      </c>
      <c r="D104" s="67" t="s">
        <v>1752</v>
      </c>
      <c r="E104" s="67" t="s">
        <v>39</v>
      </c>
      <c r="F104" s="33" t="s">
        <v>43</v>
      </c>
      <c r="G104" s="40" t="s">
        <v>1753</v>
      </c>
      <c r="H104" s="40" t="s">
        <v>835</v>
      </c>
      <c r="I104" s="40">
        <v>120</v>
      </c>
      <c r="J104" s="72" t="s">
        <v>2857</v>
      </c>
      <c r="K104" s="40">
        <v>2009</v>
      </c>
      <c r="L104" s="40" t="s">
        <v>1760</v>
      </c>
      <c r="M104" s="32"/>
      <c r="N104" s="33"/>
      <c r="O104" s="40"/>
      <c r="P104" s="32" t="s">
        <v>12</v>
      </c>
      <c r="Q104" s="252">
        <v>290925425.00972772</v>
      </c>
      <c r="R104" s="105"/>
      <c r="S104" s="206" t="str">
        <f t="shared" si="26"/>
        <v>3.11.01</v>
      </c>
      <c r="T104" s="207" t="str">
        <f t="shared" si="19"/>
        <v>BANGUNAN GEDUNG TEMPAT KERJA</v>
      </c>
      <c r="U104" s="207">
        <f t="shared" si="20"/>
        <v>50</v>
      </c>
      <c r="V104" s="233">
        <f t="shared" si="27"/>
        <v>5818508.300194554</v>
      </c>
      <c r="W104" s="233">
        <f t="shared" si="28"/>
        <v>4</v>
      </c>
      <c r="X104" s="233">
        <f t="shared" si="21"/>
        <v>23274033.200778216</v>
      </c>
      <c r="Y104" s="233">
        <f t="shared" si="22"/>
        <v>5818508.300194554</v>
      </c>
      <c r="Z104" s="233">
        <f t="shared" si="23"/>
        <v>5818508.300194554</v>
      </c>
      <c r="AA104" s="233">
        <f t="shared" si="24"/>
        <v>5818508.300194554</v>
      </c>
      <c r="AB104" s="233">
        <f t="shared" si="25"/>
        <v>5818508.300194554</v>
      </c>
      <c r="AC104" s="238">
        <f t="shared" si="29"/>
        <v>5818508.300194554</v>
      </c>
      <c r="AD104" s="238">
        <f t="shared" si="30"/>
        <v>52366574.701750986</v>
      </c>
      <c r="AE104" s="206">
        <f t="shared" si="31"/>
        <v>2009</v>
      </c>
      <c r="AF104" s="210">
        <f t="shared" si="32"/>
        <v>238558850.30797672</v>
      </c>
      <c r="AG104" s="48" t="e">
        <f t="shared" si="34"/>
        <v>#N/A</v>
      </c>
      <c r="AH104" s="48" t="e">
        <f>IF(AG104='KIB C'!AJ:AJ,"k",0)</f>
        <v>#N/A</v>
      </c>
      <c r="AL104" s="48" t="s">
        <v>3012</v>
      </c>
      <c r="AM104" s="48" t="s">
        <v>4245</v>
      </c>
    </row>
    <row r="105" spans="1:39" s="48" customFormat="1" ht="40.5" customHeight="1" x14ac:dyDescent="0.2">
      <c r="A105" s="295" t="s">
        <v>2302</v>
      </c>
      <c r="B105" s="73"/>
      <c r="C105" s="65" t="s">
        <v>1761</v>
      </c>
      <c r="D105" s="67" t="s">
        <v>1752</v>
      </c>
      <c r="E105" s="67" t="s">
        <v>68</v>
      </c>
      <c r="F105" s="33" t="s">
        <v>43</v>
      </c>
      <c r="G105" s="40" t="s">
        <v>1753</v>
      </c>
      <c r="H105" s="40" t="s">
        <v>835</v>
      </c>
      <c r="I105" s="40">
        <v>120</v>
      </c>
      <c r="J105" s="72" t="s">
        <v>2858</v>
      </c>
      <c r="K105" s="40">
        <v>2009</v>
      </c>
      <c r="L105" s="40" t="s">
        <v>1763</v>
      </c>
      <c r="M105" s="32"/>
      <c r="N105" s="33"/>
      <c r="O105" s="40"/>
      <c r="P105" s="32" t="s">
        <v>12</v>
      </c>
      <c r="Q105" s="252">
        <v>261207210.48636299</v>
      </c>
      <c r="R105" s="105"/>
      <c r="S105" s="206" t="str">
        <f t="shared" si="26"/>
        <v>3.11.01</v>
      </c>
      <c r="T105" s="207" t="str">
        <f t="shared" si="19"/>
        <v>BANGUNAN GEDUNG TEMPAT KERJA</v>
      </c>
      <c r="U105" s="207">
        <f t="shared" si="20"/>
        <v>50</v>
      </c>
      <c r="V105" s="233">
        <f t="shared" si="27"/>
        <v>5224144.0097272601</v>
      </c>
      <c r="W105" s="233">
        <f t="shared" si="28"/>
        <v>4</v>
      </c>
      <c r="X105" s="233">
        <f t="shared" si="21"/>
        <v>20896576.03890904</v>
      </c>
      <c r="Y105" s="233">
        <f t="shared" si="22"/>
        <v>5224144.0097272601</v>
      </c>
      <c r="Z105" s="233">
        <f t="shared" si="23"/>
        <v>5224144.0097272601</v>
      </c>
      <c r="AA105" s="233">
        <f t="shared" si="24"/>
        <v>5224144.0097272601</v>
      </c>
      <c r="AB105" s="233">
        <f t="shared" si="25"/>
        <v>5224144.0097272601</v>
      </c>
      <c r="AC105" s="238">
        <f t="shared" si="29"/>
        <v>5224144.0097272601</v>
      </c>
      <c r="AD105" s="238">
        <f t="shared" si="30"/>
        <v>47017296.08754535</v>
      </c>
      <c r="AE105" s="206">
        <f t="shared" si="31"/>
        <v>2009</v>
      </c>
      <c r="AF105" s="210">
        <f t="shared" si="32"/>
        <v>214189914.39881766</v>
      </c>
      <c r="AG105" s="48" t="e">
        <f t="shared" si="34"/>
        <v>#N/A</v>
      </c>
      <c r="AH105" s="48" t="e">
        <f>IF(AG105='KIB C'!AJ:AJ,"k",0)</f>
        <v>#N/A</v>
      </c>
      <c r="AL105" s="48" t="s">
        <v>2750</v>
      </c>
      <c r="AM105" s="48" t="s">
        <v>4245</v>
      </c>
    </row>
    <row r="106" spans="1:39" s="48" customFormat="1" ht="40.5" customHeight="1" x14ac:dyDescent="0.2">
      <c r="A106" s="295" t="s">
        <v>2302</v>
      </c>
      <c r="B106" s="73"/>
      <c r="C106" s="65" t="s">
        <v>1764</v>
      </c>
      <c r="D106" s="67" t="s">
        <v>1752</v>
      </c>
      <c r="E106" s="67" t="s">
        <v>1765</v>
      </c>
      <c r="F106" s="33" t="s">
        <v>43</v>
      </c>
      <c r="G106" s="40" t="s">
        <v>1753</v>
      </c>
      <c r="H106" s="40" t="s">
        <v>835</v>
      </c>
      <c r="I106" s="40">
        <v>120</v>
      </c>
      <c r="J106" s="72" t="s">
        <v>2859</v>
      </c>
      <c r="K106" s="40">
        <v>2009</v>
      </c>
      <c r="L106" s="40" t="s">
        <v>1763</v>
      </c>
      <c r="M106" s="32"/>
      <c r="N106" s="33"/>
      <c r="O106" s="40"/>
      <c r="P106" s="32" t="s">
        <v>12</v>
      </c>
      <c r="Q106" s="252">
        <v>255580486.38729501</v>
      </c>
      <c r="R106" s="105"/>
      <c r="S106" s="206" t="str">
        <f t="shared" si="26"/>
        <v>3.11.01</v>
      </c>
      <c r="T106" s="207" t="str">
        <f t="shared" si="19"/>
        <v>BANGUNAN GEDUNG TEMPAT KERJA</v>
      </c>
      <c r="U106" s="207">
        <f t="shared" si="20"/>
        <v>50</v>
      </c>
      <c r="V106" s="233">
        <f t="shared" si="27"/>
        <v>5111609.5277458997</v>
      </c>
      <c r="W106" s="233">
        <f t="shared" si="28"/>
        <v>4</v>
      </c>
      <c r="X106" s="233">
        <f t="shared" si="21"/>
        <v>20446438.110983599</v>
      </c>
      <c r="Y106" s="233">
        <f t="shared" si="22"/>
        <v>5111609.5277458997</v>
      </c>
      <c r="Z106" s="233">
        <f t="shared" si="23"/>
        <v>5111609.5277458997</v>
      </c>
      <c r="AA106" s="233">
        <f t="shared" si="24"/>
        <v>5111609.5277458997</v>
      </c>
      <c r="AB106" s="233">
        <f t="shared" si="25"/>
        <v>5111609.5277458997</v>
      </c>
      <c r="AC106" s="238">
        <f t="shared" si="29"/>
        <v>5111609.5277458997</v>
      </c>
      <c r="AD106" s="238">
        <f t="shared" si="30"/>
        <v>46004485.7497131</v>
      </c>
      <c r="AE106" s="206">
        <f t="shared" si="31"/>
        <v>2009</v>
      </c>
      <c r="AF106" s="210">
        <f t="shared" si="32"/>
        <v>209576000.63758191</v>
      </c>
      <c r="AG106" s="48" t="e">
        <f t="shared" si="34"/>
        <v>#N/A</v>
      </c>
      <c r="AH106" s="48" t="e">
        <f>IF(AG106='KIB C'!AJ:AJ,"k",0)</f>
        <v>#N/A</v>
      </c>
      <c r="AL106" s="48" t="s">
        <v>2981</v>
      </c>
      <c r="AM106" s="48" t="s">
        <v>4245</v>
      </c>
    </row>
    <row r="107" spans="1:39" s="48" customFormat="1" ht="40.5" customHeight="1" x14ac:dyDescent="0.2">
      <c r="A107" s="295" t="s">
        <v>2302</v>
      </c>
      <c r="B107" s="73"/>
      <c r="C107" s="65" t="s">
        <v>1767</v>
      </c>
      <c r="D107" s="67" t="s">
        <v>1752</v>
      </c>
      <c r="E107" s="67" t="s">
        <v>1768</v>
      </c>
      <c r="F107" s="33" t="s">
        <v>43</v>
      </c>
      <c r="G107" s="40" t="s">
        <v>1753</v>
      </c>
      <c r="H107" s="40" t="s">
        <v>835</v>
      </c>
      <c r="I107" s="40">
        <v>120</v>
      </c>
      <c r="J107" s="72" t="s">
        <v>2860</v>
      </c>
      <c r="K107" s="40">
        <v>2009</v>
      </c>
      <c r="L107" s="40" t="s">
        <v>1770</v>
      </c>
      <c r="M107" s="32"/>
      <c r="N107" s="33"/>
      <c r="O107" s="40"/>
      <c r="P107" s="32" t="s">
        <v>12</v>
      </c>
      <c r="Q107" s="252">
        <v>265355180.68838102</v>
      </c>
      <c r="R107" s="105"/>
      <c r="S107" s="206" t="str">
        <f t="shared" si="26"/>
        <v>3.11.01</v>
      </c>
      <c r="T107" s="207" t="str">
        <f t="shared" si="19"/>
        <v>BANGUNAN GEDUNG TEMPAT KERJA</v>
      </c>
      <c r="U107" s="207">
        <f t="shared" si="20"/>
        <v>50</v>
      </c>
      <c r="V107" s="233">
        <f t="shared" si="27"/>
        <v>5307103.41376762</v>
      </c>
      <c r="W107" s="233">
        <f t="shared" si="28"/>
        <v>4</v>
      </c>
      <c r="X107" s="233">
        <f t="shared" si="21"/>
        <v>21228413.65507048</v>
      </c>
      <c r="Y107" s="233">
        <f t="shared" si="22"/>
        <v>5307103.41376762</v>
      </c>
      <c r="Z107" s="233">
        <f t="shared" si="23"/>
        <v>5307103.41376762</v>
      </c>
      <c r="AA107" s="233">
        <f t="shared" si="24"/>
        <v>5307103.41376762</v>
      </c>
      <c r="AB107" s="233">
        <f t="shared" si="25"/>
        <v>5307103.41376762</v>
      </c>
      <c r="AC107" s="238">
        <f t="shared" si="29"/>
        <v>5307103.41376762</v>
      </c>
      <c r="AD107" s="238">
        <f t="shared" si="30"/>
        <v>47763930.723908581</v>
      </c>
      <c r="AE107" s="206">
        <f t="shared" si="31"/>
        <v>2009</v>
      </c>
      <c r="AF107" s="210">
        <f t="shared" si="32"/>
        <v>217591249.96447244</v>
      </c>
      <c r="AG107" s="48" t="e">
        <f t="shared" si="34"/>
        <v>#N/A</v>
      </c>
      <c r="AH107" s="48" t="e">
        <f>IF(AG107='KIB C'!AJ:AJ,"k",0)</f>
        <v>#N/A</v>
      </c>
      <c r="AL107" s="48" t="s">
        <v>2758</v>
      </c>
      <c r="AM107" s="48" t="s">
        <v>4245</v>
      </c>
    </row>
    <row r="108" spans="1:39" s="48" customFormat="1" ht="40.5" customHeight="1" x14ac:dyDescent="0.2">
      <c r="A108" s="295" t="s">
        <v>2302</v>
      </c>
      <c r="B108" s="73"/>
      <c r="C108" s="65" t="s">
        <v>1771</v>
      </c>
      <c r="D108" s="67" t="s">
        <v>1772</v>
      </c>
      <c r="E108" s="67" t="s">
        <v>39</v>
      </c>
      <c r="F108" s="33" t="s">
        <v>43</v>
      </c>
      <c r="G108" s="40" t="s">
        <v>1753</v>
      </c>
      <c r="H108" s="40" t="s">
        <v>835</v>
      </c>
      <c r="I108" s="40">
        <v>420</v>
      </c>
      <c r="J108" s="72" t="s">
        <v>1095</v>
      </c>
      <c r="K108" s="40">
        <v>2009</v>
      </c>
      <c r="L108" s="40" t="s">
        <v>1773</v>
      </c>
      <c r="M108" s="32"/>
      <c r="N108" s="33"/>
      <c r="O108" s="40"/>
      <c r="P108" s="32" t="s">
        <v>12</v>
      </c>
      <c r="Q108" s="252">
        <v>1713608643.4579301</v>
      </c>
      <c r="R108" s="105"/>
      <c r="S108" s="206" t="str">
        <f t="shared" si="26"/>
        <v>3.11.01</v>
      </c>
      <c r="T108" s="207" t="str">
        <f t="shared" si="19"/>
        <v>BANGUNAN GEDUNG TEMPAT KERJA</v>
      </c>
      <c r="U108" s="207">
        <f t="shared" si="20"/>
        <v>50</v>
      </c>
      <c r="V108" s="233">
        <f t="shared" si="27"/>
        <v>34272172.6691586</v>
      </c>
      <c r="W108" s="233">
        <f t="shared" si="28"/>
        <v>4</v>
      </c>
      <c r="X108" s="233">
        <f t="shared" si="21"/>
        <v>137088690.6766344</v>
      </c>
      <c r="Y108" s="233">
        <f t="shared" si="22"/>
        <v>34272172.6691586</v>
      </c>
      <c r="Z108" s="233">
        <f t="shared" si="23"/>
        <v>34272172.6691586</v>
      </c>
      <c r="AA108" s="233">
        <f t="shared" si="24"/>
        <v>34272172.6691586</v>
      </c>
      <c r="AB108" s="233">
        <f t="shared" si="25"/>
        <v>34272172.6691586</v>
      </c>
      <c r="AC108" s="238">
        <f t="shared" si="29"/>
        <v>34272172.6691586</v>
      </c>
      <c r="AD108" s="238">
        <f t="shared" si="30"/>
        <v>308449554.02242738</v>
      </c>
      <c r="AE108" s="206">
        <f t="shared" si="31"/>
        <v>2009</v>
      </c>
      <c r="AF108" s="210">
        <f t="shared" si="32"/>
        <v>1405159089.4355028</v>
      </c>
      <c r="AG108" s="48" t="str">
        <f t="shared" si="34"/>
        <v>K</v>
      </c>
      <c r="AL108" s="48" t="s">
        <v>2802</v>
      </c>
      <c r="AM108" s="48" t="s">
        <v>4245</v>
      </c>
    </row>
    <row r="109" spans="1:39" s="48" customFormat="1" ht="40.5" customHeight="1" x14ac:dyDescent="0.2">
      <c r="A109" s="295" t="s">
        <v>2302</v>
      </c>
      <c r="B109" s="73"/>
      <c r="C109" s="65" t="s">
        <v>1774</v>
      </c>
      <c r="D109" s="67"/>
      <c r="E109" s="67"/>
      <c r="F109" s="33" t="s">
        <v>43</v>
      </c>
      <c r="G109" s="40"/>
      <c r="H109" s="40"/>
      <c r="I109" s="40"/>
      <c r="J109" s="72" t="s">
        <v>1099</v>
      </c>
      <c r="K109" s="40">
        <v>2009</v>
      </c>
      <c r="L109" s="40"/>
      <c r="M109" s="32"/>
      <c r="N109" s="33"/>
      <c r="O109" s="40"/>
      <c r="P109" s="32" t="s">
        <v>12</v>
      </c>
      <c r="Q109" s="252">
        <v>2065687788</v>
      </c>
      <c r="R109" s="105"/>
      <c r="S109" s="206" t="str">
        <f t="shared" si="26"/>
        <v>3.11.01</v>
      </c>
      <c r="T109" s="207" t="str">
        <f t="shared" si="19"/>
        <v>BANGUNAN GEDUNG TEMPAT KERJA</v>
      </c>
      <c r="U109" s="207">
        <f t="shared" si="20"/>
        <v>50</v>
      </c>
      <c r="V109" s="233">
        <f t="shared" si="27"/>
        <v>41313755.560000002</v>
      </c>
      <c r="W109" s="233">
        <f t="shared" si="28"/>
        <v>4</v>
      </c>
      <c r="X109" s="233">
        <f t="shared" si="21"/>
        <v>165255022.24000001</v>
      </c>
      <c r="Y109" s="233">
        <f t="shared" si="22"/>
        <v>41313755.560000002</v>
      </c>
      <c r="Z109" s="233">
        <f t="shared" si="23"/>
        <v>41313755.560000002</v>
      </c>
      <c r="AA109" s="233">
        <f t="shared" si="24"/>
        <v>41313755.560000002</v>
      </c>
      <c r="AB109" s="233">
        <f t="shared" si="25"/>
        <v>41313755.560000002</v>
      </c>
      <c r="AC109" s="238">
        <f t="shared" si="29"/>
        <v>41313755.560000002</v>
      </c>
      <c r="AD109" s="238">
        <f t="shared" si="30"/>
        <v>371823800.04000002</v>
      </c>
      <c r="AE109" s="206">
        <f t="shared" si="31"/>
        <v>2009</v>
      </c>
      <c r="AF109" s="210">
        <f t="shared" si="32"/>
        <v>1693863987.96</v>
      </c>
      <c r="AG109" s="48" t="s">
        <v>4245</v>
      </c>
      <c r="AH109" s="48">
        <f>IF(AG109='KIB C'!AJ:AJ,"k",0)</f>
        <v>0</v>
      </c>
      <c r="AL109" s="48" t="s">
        <v>2803</v>
      </c>
      <c r="AM109" s="48" t="s">
        <v>4245</v>
      </c>
    </row>
    <row r="110" spans="1:39" s="48" customFormat="1" ht="40.5" customHeight="1" x14ac:dyDescent="0.2">
      <c r="A110" s="295" t="s">
        <v>2302</v>
      </c>
      <c r="B110" s="73"/>
      <c r="C110" s="65" t="s">
        <v>1775</v>
      </c>
      <c r="D110" s="67"/>
      <c r="E110" s="67" t="s">
        <v>39</v>
      </c>
      <c r="F110" s="33" t="s">
        <v>43</v>
      </c>
      <c r="G110" s="40" t="s">
        <v>1753</v>
      </c>
      <c r="H110" s="40" t="s">
        <v>835</v>
      </c>
      <c r="I110" s="40" t="s">
        <v>9</v>
      </c>
      <c r="J110" s="72" t="s">
        <v>2614</v>
      </c>
      <c r="K110" s="40">
        <v>2009</v>
      </c>
      <c r="L110" s="40" t="s">
        <v>1777</v>
      </c>
      <c r="M110" s="32"/>
      <c r="N110" s="33"/>
      <c r="O110" s="40"/>
      <c r="P110" s="32" t="s">
        <v>12</v>
      </c>
      <c r="Q110" s="252">
        <v>524619475.60007006</v>
      </c>
      <c r="R110" s="105"/>
      <c r="S110" s="206" t="str">
        <f t="shared" si="26"/>
        <v>3.11.01</v>
      </c>
      <c r="T110" s="207" t="str">
        <f t="shared" si="19"/>
        <v>BANGUNAN GEDUNG TEMPAT KERJA</v>
      </c>
      <c r="U110" s="207">
        <f t="shared" si="20"/>
        <v>50</v>
      </c>
      <c r="V110" s="233">
        <f t="shared" si="27"/>
        <v>10492389.312001402</v>
      </c>
      <c r="W110" s="233">
        <f t="shared" si="28"/>
        <v>4</v>
      </c>
      <c r="X110" s="233">
        <f t="shared" si="21"/>
        <v>41969557.248005606</v>
      </c>
      <c r="Y110" s="233">
        <f t="shared" si="22"/>
        <v>10492389.312001402</v>
      </c>
      <c r="Z110" s="233">
        <f t="shared" si="23"/>
        <v>10492389.312001402</v>
      </c>
      <c r="AA110" s="233">
        <f t="shared" si="24"/>
        <v>10492389.312001402</v>
      </c>
      <c r="AB110" s="233">
        <f t="shared" si="25"/>
        <v>10492389.312001402</v>
      </c>
      <c r="AC110" s="238">
        <f t="shared" si="29"/>
        <v>10492389.312001402</v>
      </c>
      <c r="AD110" s="238">
        <f t="shared" si="30"/>
        <v>94431503.80801262</v>
      </c>
      <c r="AE110" s="206">
        <f t="shared" si="31"/>
        <v>2009</v>
      </c>
      <c r="AF110" s="210">
        <f t="shared" si="32"/>
        <v>430187971.79205745</v>
      </c>
      <c r="AG110" s="48" t="e">
        <f t="shared" ref="AG110:AG120" si="35">VLOOKUP(C110,KAP,2,0)</f>
        <v>#N/A</v>
      </c>
      <c r="AH110" s="48" t="e">
        <f>IF(AG110='KIB C'!AJ:AJ,"k",0)</f>
        <v>#N/A</v>
      </c>
      <c r="AL110" s="48" t="s">
        <v>2804</v>
      </c>
      <c r="AM110" s="48" t="s">
        <v>4245</v>
      </c>
    </row>
    <row r="111" spans="1:39" s="48" customFormat="1" ht="40.5" customHeight="1" x14ac:dyDescent="0.2">
      <c r="A111" s="295" t="s">
        <v>2302</v>
      </c>
      <c r="B111" s="73"/>
      <c r="C111" s="65" t="s">
        <v>1778</v>
      </c>
      <c r="D111" s="67" t="s">
        <v>1779</v>
      </c>
      <c r="E111" s="67" t="s">
        <v>39</v>
      </c>
      <c r="F111" s="33" t="s">
        <v>135</v>
      </c>
      <c r="G111" s="40" t="s">
        <v>1780</v>
      </c>
      <c r="H111" s="40" t="s">
        <v>835</v>
      </c>
      <c r="I111" s="40" t="s">
        <v>9</v>
      </c>
      <c r="J111" s="72" t="s">
        <v>2861</v>
      </c>
      <c r="K111" s="40">
        <v>2009</v>
      </c>
      <c r="L111" s="40" t="s">
        <v>1782</v>
      </c>
      <c r="M111" s="32"/>
      <c r="N111" s="33"/>
      <c r="O111" s="40"/>
      <c r="P111" s="32" t="s">
        <v>12</v>
      </c>
      <c r="Q111" s="252">
        <v>1120615226.5723109</v>
      </c>
      <c r="R111" s="105"/>
      <c r="S111" s="206" t="str">
        <f t="shared" si="26"/>
        <v>3.11.01</v>
      </c>
      <c r="T111" s="207" t="str">
        <f t="shared" si="19"/>
        <v>BANGUNAN GEDUNG TEMPAT KERJA</v>
      </c>
      <c r="U111" s="207">
        <f t="shared" si="20"/>
        <v>50</v>
      </c>
      <c r="V111" s="233">
        <f t="shared" si="27"/>
        <v>22412304.331446219</v>
      </c>
      <c r="W111" s="233">
        <f t="shared" si="28"/>
        <v>4</v>
      </c>
      <c r="X111" s="233">
        <f t="shared" si="21"/>
        <v>89649217.325784877</v>
      </c>
      <c r="Y111" s="233">
        <f t="shared" si="22"/>
        <v>22412304.331446219</v>
      </c>
      <c r="Z111" s="233">
        <f t="shared" si="23"/>
        <v>22412304.331446219</v>
      </c>
      <c r="AA111" s="233">
        <f t="shared" si="24"/>
        <v>22412304.331446219</v>
      </c>
      <c r="AB111" s="233">
        <f t="shared" si="25"/>
        <v>22412304.331446219</v>
      </c>
      <c r="AC111" s="238">
        <f t="shared" si="29"/>
        <v>22412304.331446219</v>
      </c>
      <c r="AD111" s="238">
        <f t="shared" si="30"/>
        <v>201710738.98301601</v>
      </c>
      <c r="AE111" s="206">
        <f t="shared" si="31"/>
        <v>2009</v>
      </c>
      <c r="AF111" s="210">
        <f t="shared" si="32"/>
        <v>918904487.58929491</v>
      </c>
      <c r="AG111" s="48" t="str">
        <f t="shared" si="35"/>
        <v>K</v>
      </c>
      <c r="AL111" s="48" t="s">
        <v>2762</v>
      </c>
      <c r="AM111" s="48" t="s">
        <v>4245</v>
      </c>
    </row>
    <row r="112" spans="1:39" s="48" customFormat="1" ht="40.5" customHeight="1" x14ac:dyDescent="0.2">
      <c r="A112" s="295" t="s">
        <v>2302</v>
      </c>
      <c r="B112" s="73"/>
      <c r="C112" s="65" t="s">
        <v>1783</v>
      </c>
      <c r="D112" s="67"/>
      <c r="E112" s="67"/>
      <c r="F112" s="33" t="s">
        <v>43</v>
      </c>
      <c r="G112" s="40"/>
      <c r="H112" s="40"/>
      <c r="I112" s="40"/>
      <c r="J112" s="72" t="s">
        <v>2614</v>
      </c>
      <c r="K112" s="40">
        <v>2009</v>
      </c>
      <c r="L112" s="40"/>
      <c r="M112" s="32"/>
      <c r="N112" s="33"/>
      <c r="O112" s="40"/>
      <c r="P112" s="32" t="s">
        <v>12</v>
      </c>
      <c r="Q112" s="252">
        <v>35880687.702640109</v>
      </c>
      <c r="R112" s="105"/>
      <c r="S112" s="206" t="str">
        <f t="shared" si="26"/>
        <v>3.11.01</v>
      </c>
      <c r="T112" s="207" t="str">
        <f t="shared" si="19"/>
        <v>BANGUNAN GEDUNG TEMPAT KERJA</v>
      </c>
      <c r="U112" s="207">
        <f t="shared" si="20"/>
        <v>50</v>
      </c>
      <c r="V112" s="233">
        <f t="shared" si="27"/>
        <v>717613.55405280215</v>
      </c>
      <c r="W112" s="233">
        <f t="shared" si="28"/>
        <v>4</v>
      </c>
      <c r="X112" s="233">
        <f t="shared" si="21"/>
        <v>2870454.2162112086</v>
      </c>
      <c r="Y112" s="233">
        <f t="shared" si="22"/>
        <v>717613.55405280215</v>
      </c>
      <c r="Z112" s="233">
        <f t="shared" si="23"/>
        <v>717613.55405280215</v>
      </c>
      <c r="AA112" s="233">
        <f t="shared" si="24"/>
        <v>717613.55405280215</v>
      </c>
      <c r="AB112" s="233">
        <f t="shared" si="25"/>
        <v>717613.55405280215</v>
      </c>
      <c r="AC112" s="238">
        <f t="shared" si="29"/>
        <v>717613.55405280215</v>
      </c>
      <c r="AD112" s="238">
        <f t="shared" si="30"/>
        <v>6458521.9864752181</v>
      </c>
      <c r="AE112" s="206">
        <f t="shared" si="31"/>
        <v>2009</v>
      </c>
      <c r="AF112" s="210">
        <f t="shared" si="32"/>
        <v>29422165.716164891</v>
      </c>
      <c r="AG112" s="48" t="e">
        <f t="shared" si="35"/>
        <v>#N/A</v>
      </c>
      <c r="AH112" s="48" t="e">
        <f>IF(AG112='KIB C'!AJ:AJ,"k",0)</f>
        <v>#N/A</v>
      </c>
      <c r="AL112" s="48" t="s">
        <v>2851</v>
      </c>
      <c r="AM112" s="48" t="s">
        <v>4245</v>
      </c>
    </row>
    <row r="113" spans="1:39" s="48" customFormat="1" ht="40.5" customHeight="1" x14ac:dyDescent="0.2">
      <c r="A113" s="295" t="s">
        <v>2302</v>
      </c>
      <c r="B113" s="73"/>
      <c r="C113" s="65" t="s">
        <v>1784</v>
      </c>
      <c r="D113" s="67"/>
      <c r="E113" s="67"/>
      <c r="F113" s="33" t="s">
        <v>43</v>
      </c>
      <c r="G113" s="40"/>
      <c r="H113" s="40"/>
      <c r="I113" s="40"/>
      <c r="J113" s="72" t="s">
        <v>52</v>
      </c>
      <c r="K113" s="40">
        <v>2008</v>
      </c>
      <c r="L113" s="40"/>
      <c r="M113" s="32"/>
      <c r="N113" s="33"/>
      <c r="O113" s="40"/>
      <c r="P113" s="32" t="s">
        <v>12</v>
      </c>
      <c r="Q113" s="252">
        <v>530596000</v>
      </c>
      <c r="R113" s="105"/>
      <c r="S113" s="206" t="str">
        <f t="shared" si="26"/>
        <v>3.11.01</v>
      </c>
      <c r="T113" s="207" t="str">
        <f t="shared" si="19"/>
        <v>BANGUNAN GEDUNG TEMPAT KERJA</v>
      </c>
      <c r="U113" s="207">
        <f t="shared" si="20"/>
        <v>50</v>
      </c>
      <c r="V113" s="233">
        <f t="shared" si="27"/>
        <v>10611919.800000001</v>
      </c>
      <c r="W113" s="233">
        <f t="shared" si="28"/>
        <v>5</v>
      </c>
      <c r="X113" s="233">
        <f t="shared" si="21"/>
        <v>53059599</v>
      </c>
      <c r="Y113" s="233">
        <f t="shared" si="22"/>
        <v>10611919.800000001</v>
      </c>
      <c r="Z113" s="233">
        <f t="shared" si="23"/>
        <v>10611919.800000001</v>
      </c>
      <c r="AA113" s="233">
        <f t="shared" si="24"/>
        <v>10611919.800000001</v>
      </c>
      <c r="AB113" s="233">
        <f t="shared" si="25"/>
        <v>10611919.800000001</v>
      </c>
      <c r="AC113" s="238">
        <f t="shared" si="29"/>
        <v>10611919.800000001</v>
      </c>
      <c r="AD113" s="238">
        <f t="shared" si="30"/>
        <v>106119197.99999999</v>
      </c>
      <c r="AE113" s="206">
        <f t="shared" si="31"/>
        <v>2008</v>
      </c>
      <c r="AF113" s="210">
        <f t="shared" si="32"/>
        <v>424476802</v>
      </c>
      <c r="AG113" s="48" t="e">
        <f t="shared" si="35"/>
        <v>#N/A</v>
      </c>
      <c r="AH113" s="48" t="e">
        <f>IF(AG113='KIB C'!AJ:AJ,"k",0)</f>
        <v>#N/A</v>
      </c>
      <c r="AL113" s="48" t="s">
        <v>2778</v>
      </c>
      <c r="AM113" s="48" t="s">
        <v>4245</v>
      </c>
    </row>
    <row r="114" spans="1:39" s="48" customFormat="1" ht="40.5" customHeight="1" x14ac:dyDescent="0.2">
      <c r="A114" s="295" t="s">
        <v>2302</v>
      </c>
      <c r="B114" s="73"/>
      <c r="C114" s="65" t="s">
        <v>1785</v>
      </c>
      <c r="D114" s="67"/>
      <c r="E114" s="67" t="s">
        <v>39</v>
      </c>
      <c r="F114" s="33" t="s">
        <v>43</v>
      </c>
      <c r="G114" s="40" t="s">
        <v>1786</v>
      </c>
      <c r="H114" s="40" t="s">
        <v>1753</v>
      </c>
      <c r="I114" s="40"/>
      <c r="J114" s="72" t="s">
        <v>2614</v>
      </c>
      <c r="K114" s="40">
        <v>2008</v>
      </c>
      <c r="L114" s="40"/>
      <c r="M114" s="32"/>
      <c r="N114" s="33"/>
      <c r="O114" s="40"/>
      <c r="P114" s="32" t="s">
        <v>12</v>
      </c>
      <c r="Q114" s="252">
        <v>215036010.5</v>
      </c>
      <c r="R114" s="105"/>
      <c r="S114" s="206" t="str">
        <f t="shared" si="26"/>
        <v>3.11.01</v>
      </c>
      <c r="T114" s="207" t="str">
        <f t="shared" si="19"/>
        <v>BANGUNAN GEDUNG TEMPAT KERJA</v>
      </c>
      <c r="U114" s="207">
        <f t="shared" si="20"/>
        <v>50</v>
      </c>
      <c r="V114" s="233">
        <f t="shared" si="27"/>
        <v>4300720.01</v>
      </c>
      <c r="W114" s="233">
        <f t="shared" si="28"/>
        <v>5</v>
      </c>
      <c r="X114" s="233">
        <f t="shared" si="21"/>
        <v>21503600.049999997</v>
      </c>
      <c r="Y114" s="233">
        <f t="shared" si="22"/>
        <v>4300720.01</v>
      </c>
      <c r="Z114" s="233">
        <f t="shared" si="23"/>
        <v>4300720.01</v>
      </c>
      <c r="AA114" s="233">
        <f t="shared" si="24"/>
        <v>4300720.01</v>
      </c>
      <c r="AB114" s="233">
        <f t="shared" si="25"/>
        <v>4300720.01</v>
      </c>
      <c r="AC114" s="238">
        <f t="shared" si="29"/>
        <v>4300720.01</v>
      </c>
      <c r="AD114" s="238">
        <f t="shared" si="30"/>
        <v>43007200.099999987</v>
      </c>
      <c r="AE114" s="206">
        <f t="shared" si="31"/>
        <v>2008</v>
      </c>
      <c r="AF114" s="210">
        <f t="shared" si="32"/>
        <v>172028810.40000001</v>
      </c>
      <c r="AG114" s="48" t="e">
        <f t="shared" si="35"/>
        <v>#N/A</v>
      </c>
      <c r="AH114" s="48" t="e">
        <f>IF(AG114='KIB C'!AJ:AJ,"k",0)</f>
        <v>#N/A</v>
      </c>
      <c r="AL114" s="48" t="s">
        <v>4230</v>
      </c>
      <c r="AM114" s="48" t="s">
        <v>4245</v>
      </c>
    </row>
    <row r="115" spans="1:39" s="48" customFormat="1" ht="40.5" customHeight="1" x14ac:dyDescent="0.2">
      <c r="A115" s="295" t="s">
        <v>2302</v>
      </c>
      <c r="B115" s="73"/>
      <c r="C115" s="65" t="s">
        <v>1787</v>
      </c>
      <c r="D115" s="67" t="s">
        <v>1772</v>
      </c>
      <c r="E115" s="67" t="s">
        <v>68</v>
      </c>
      <c r="F115" s="33" t="s">
        <v>43</v>
      </c>
      <c r="G115" s="40" t="s">
        <v>1786</v>
      </c>
      <c r="H115" s="40" t="s">
        <v>835</v>
      </c>
      <c r="I115" s="40"/>
      <c r="J115" s="72" t="s">
        <v>423</v>
      </c>
      <c r="K115" s="40">
        <v>2009</v>
      </c>
      <c r="L115" s="40"/>
      <c r="M115" s="32"/>
      <c r="N115" s="33"/>
      <c r="O115" s="40"/>
      <c r="P115" s="32" t="s">
        <v>12</v>
      </c>
      <c r="Q115" s="252">
        <v>557882255</v>
      </c>
      <c r="R115" s="105"/>
      <c r="S115" s="206" t="str">
        <f t="shared" si="26"/>
        <v>3.11.01</v>
      </c>
      <c r="T115" s="207" t="str">
        <f t="shared" si="19"/>
        <v>BANGUNAN GEDUNG TEMPAT KERJA</v>
      </c>
      <c r="U115" s="207">
        <f t="shared" si="20"/>
        <v>50</v>
      </c>
      <c r="V115" s="233">
        <f t="shared" si="27"/>
        <v>11157644.9</v>
      </c>
      <c r="W115" s="233">
        <f t="shared" si="28"/>
        <v>4</v>
      </c>
      <c r="X115" s="233">
        <f t="shared" si="21"/>
        <v>44630579.600000001</v>
      </c>
      <c r="Y115" s="233">
        <f t="shared" si="22"/>
        <v>11157644.9</v>
      </c>
      <c r="Z115" s="233">
        <f t="shared" si="23"/>
        <v>11157644.9</v>
      </c>
      <c r="AA115" s="233">
        <f t="shared" si="24"/>
        <v>11157644.9</v>
      </c>
      <c r="AB115" s="233">
        <f t="shared" si="25"/>
        <v>11157644.9</v>
      </c>
      <c r="AC115" s="238">
        <f t="shared" si="29"/>
        <v>11157644.9</v>
      </c>
      <c r="AD115" s="238">
        <f t="shared" si="30"/>
        <v>100418804.10000001</v>
      </c>
      <c r="AE115" s="206">
        <f t="shared" si="31"/>
        <v>2009</v>
      </c>
      <c r="AF115" s="210">
        <f t="shared" si="32"/>
        <v>457463450.89999998</v>
      </c>
      <c r="AG115" s="48" t="str">
        <f t="shared" si="35"/>
        <v>K</v>
      </c>
      <c r="AL115" s="48" t="s">
        <v>2773</v>
      </c>
      <c r="AM115" s="48" t="s">
        <v>4245</v>
      </c>
    </row>
    <row r="116" spans="1:39" s="48" customFormat="1" ht="40.5" customHeight="1" x14ac:dyDescent="0.2">
      <c r="A116" s="295" t="s">
        <v>2302</v>
      </c>
      <c r="B116" s="73"/>
      <c r="C116" s="65" t="s">
        <v>1788</v>
      </c>
      <c r="D116" s="67" t="s">
        <v>1779</v>
      </c>
      <c r="E116" s="67" t="s">
        <v>68</v>
      </c>
      <c r="F116" s="33" t="s">
        <v>43</v>
      </c>
      <c r="G116" s="40" t="s">
        <v>1780</v>
      </c>
      <c r="H116" s="40" t="s">
        <v>835</v>
      </c>
      <c r="I116" s="40"/>
      <c r="J116" s="72" t="s">
        <v>2861</v>
      </c>
      <c r="K116" s="40">
        <v>2008</v>
      </c>
      <c r="L116" s="40"/>
      <c r="M116" s="32"/>
      <c r="N116" s="33"/>
      <c r="O116" s="40"/>
      <c r="P116" s="32" t="s">
        <v>12</v>
      </c>
      <c r="Q116" s="252">
        <v>581026000</v>
      </c>
      <c r="R116" s="105"/>
      <c r="S116" s="206" t="str">
        <f t="shared" si="26"/>
        <v>3.11.01</v>
      </c>
      <c r="T116" s="207" t="str">
        <f t="shared" si="19"/>
        <v>BANGUNAN GEDUNG TEMPAT KERJA</v>
      </c>
      <c r="U116" s="207">
        <f t="shared" si="20"/>
        <v>50</v>
      </c>
      <c r="V116" s="233">
        <f t="shared" si="27"/>
        <v>11620519.800000001</v>
      </c>
      <c r="W116" s="233">
        <f t="shared" si="28"/>
        <v>5</v>
      </c>
      <c r="X116" s="233">
        <f t="shared" si="21"/>
        <v>58102599</v>
      </c>
      <c r="Y116" s="233">
        <f t="shared" si="22"/>
        <v>11620519.800000001</v>
      </c>
      <c r="Z116" s="233">
        <f t="shared" si="23"/>
        <v>11620519.800000001</v>
      </c>
      <c r="AA116" s="233">
        <f t="shared" si="24"/>
        <v>11620519.800000001</v>
      </c>
      <c r="AB116" s="233">
        <f t="shared" si="25"/>
        <v>11620519.800000001</v>
      </c>
      <c r="AC116" s="238">
        <f t="shared" si="29"/>
        <v>11620519.800000001</v>
      </c>
      <c r="AD116" s="238">
        <f t="shared" si="30"/>
        <v>116205197.99999999</v>
      </c>
      <c r="AE116" s="206">
        <f t="shared" si="31"/>
        <v>2008</v>
      </c>
      <c r="AF116" s="210">
        <f t="shared" si="32"/>
        <v>464820802</v>
      </c>
      <c r="AG116" s="48" t="str">
        <f t="shared" si="35"/>
        <v>K</v>
      </c>
      <c r="AL116" s="48" t="s">
        <v>2806</v>
      </c>
      <c r="AM116" s="48" t="s">
        <v>4245</v>
      </c>
    </row>
    <row r="117" spans="1:39" s="48" customFormat="1" ht="40.5" customHeight="1" x14ac:dyDescent="0.2">
      <c r="A117" s="295" t="s">
        <v>2302</v>
      </c>
      <c r="B117" s="73"/>
      <c r="C117" s="65" t="s">
        <v>1789</v>
      </c>
      <c r="D117" s="67" t="s">
        <v>1790</v>
      </c>
      <c r="E117" s="67" t="s">
        <v>39</v>
      </c>
      <c r="F117" s="33" t="s">
        <v>43</v>
      </c>
      <c r="G117" s="40" t="s">
        <v>9</v>
      </c>
      <c r="H117" s="40" t="s">
        <v>9</v>
      </c>
      <c r="I117" s="40"/>
      <c r="J117" s="72" t="s">
        <v>2854</v>
      </c>
      <c r="K117" s="40">
        <v>2008</v>
      </c>
      <c r="L117" s="40"/>
      <c r="M117" s="32"/>
      <c r="N117" s="33"/>
      <c r="O117" s="40"/>
      <c r="P117" s="32" t="s">
        <v>12</v>
      </c>
      <c r="Q117" s="252">
        <v>7253104</v>
      </c>
      <c r="R117" s="105"/>
      <c r="S117" s="206" t="str">
        <f t="shared" si="26"/>
        <v>3.11.01</v>
      </c>
      <c r="T117" s="207" t="str">
        <f t="shared" si="19"/>
        <v>BANGUNAN GEDUNG TEMPAT KERJA</v>
      </c>
      <c r="U117" s="207">
        <f t="shared" si="20"/>
        <v>50</v>
      </c>
      <c r="V117" s="233">
        <f t="shared" si="27"/>
        <v>145061.88</v>
      </c>
      <c r="W117" s="233">
        <f t="shared" si="28"/>
        <v>5</v>
      </c>
      <c r="X117" s="233">
        <f t="shared" si="21"/>
        <v>725309.4</v>
      </c>
      <c r="Y117" s="233">
        <f t="shared" si="22"/>
        <v>145061.88</v>
      </c>
      <c r="Z117" s="233">
        <f t="shared" si="23"/>
        <v>145061.88</v>
      </c>
      <c r="AA117" s="233">
        <f t="shared" si="24"/>
        <v>145061.88</v>
      </c>
      <c r="AB117" s="233">
        <f t="shared" si="25"/>
        <v>145061.88</v>
      </c>
      <c r="AC117" s="238">
        <f t="shared" si="29"/>
        <v>145061.88</v>
      </c>
      <c r="AD117" s="238">
        <f t="shared" si="30"/>
        <v>1450618.7999999998</v>
      </c>
      <c r="AE117" s="206">
        <f t="shared" si="31"/>
        <v>2008</v>
      </c>
      <c r="AF117" s="210">
        <f t="shared" si="32"/>
        <v>5802485.2000000002</v>
      </c>
      <c r="AG117" s="48" t="str">
        <f t="shared" si="35"/>
        <v>K</v>
      </c>
      <c r="AL117" s="48" t="s">
        <v>2776</v>
      </c>
      <c r="AM117" s="48" t="s">
        <v>4245</v>
      </c>
    </row>
    <row r="118" spans="1:39" s="48" customFormat="1" ht="40.5" customHeight="1" x14ac:dyDescent="0.2">
      <c r="A118" s="295" t="s">
        <v>2302</v>
      </c>
      <c r="B118" s="73"/>
      <c r="C118" s="65" t="s">
        <v>1792</v>
      </c>
      <c r="D118" s="67"/>
      <c r="E118" s="67"/>
      <c r="F118" s="33" t="s">
        <v>43</v>
      </c>
      <c r="G118" s="40"/>
      <c r="H118" s="40" t="s">
        <v>835</v>
      </c>
      <c r="I118" s="40"/>
      <c r="J118" s="72" t="s">
        <v>2862</v>
      </c>
      <c r="K118" s="40">
        <v>2008</v>
      </c>
      <c r="L118" s="40"/>
      <c r="M118" s="32"/>
      <c r="N118" s="33"/>
      <c r="O118" s="40"/>
      <c r="P118" s="32" t="s">
        <v>12</v>
      </c>
      <c r="Q118" s="252">
        <v>149705250</v>
      </c>
      <c r="R118" s="105"/>
      <c r="S118" s="206" t="str">
        <f t="shared" si="26"/>
        <v>3.11.01</v>
      </c>
      <c r="T118" s="207" t="str">
        <f t="shared" si="19"/>
        <v>BANGUNAN GEDUNG TEMPAT KERJA</v>
      </c>
      <c r="U118" s="207">
        <f t="shared" si="20"/>
        <v>50</v>
      </c>
      <c r="V118" s="233">
        <f t="shared" si="27"/>
        <v>2994104.8</v>
      </c>
      <c r="W118" s="233">
        <f t="shared" si="28"/>
        <v>5</v>
      </c>
      <c r="X118" s="233">
        <f t="shared" si="21"/>
        <v>14970524</v>
      </c>
      <c r="Y118" s="233">
        <f t="shared" si="22"/>
        <v>2994104.8</v>
      </c>
      <c r="Z118" s="233">
        <f t="shared" si="23"/>
        <v>2994104.8</v>
      </c>
      <c r="AA118" s="233">
        <f t="shared" si="24"/>
        <v>2994104.8</v>
      </c>
      <c r="AB118" s="233">
        <f t="shared" si="25"/>
        <v>2994104.8</v>
      </c>
      <c r="AC118" s="238">
        <f t="shared" si="29"/>
        <v>2994104.8</v>
      </c>
      <c r="AD118" s="238">
        <f t="shared" si="30"/>
        <v>29941048.000000004</v>
      </c>
      <c r="AE118" s="206">
        <f t="shared" si="31"/>
        <v>2008</v>
      </c>
      <c r="AF118" s="210">
        <f t="shared" si="32"/>
        <v>119764202</v>
      </c>
      <c r="AG118" s="48" t="e">
        <f t="shared" si="35"/>
        <v>#N/A</v>
      </c>
      <c r="AH118" s="48" t="e">
        <f>IF(AG118='KIB C'!AJ:AJ,"k",0)</f>
        <v>#N/A</v>
      </c>
      <c r="AL118" s="48" t="s">
        <v>2757</v>
      </c>
      <c r="AM118" s="48" t="s">
        <v>4245</v>
      </c>
    </row>
    <row r="119" spans="1:39" s="48" customFormat="1" ht="40.5" customHeight="1" x14ac:dyDescent="0.2">
      <c r="A119" s="295" t="s">
        <v>2302</v>
      </c>
      <c r="B119" s="73"/>
      <c r="C119" s="65" t="s">
        <v>1794</v>
      </c>
      <c r="D119" s="67"/>
      <c r="E119" s="67" t="s">
        <v>39</v>
      </c>
      <c r="F119" s="33" t="s">
        <v>43</v>
      </c>
      <c r="G119" s="40" t="s">
        <v>1780</v>
      </c>
      <c r="H119" s="40" t="s">
        <v>835</v>
      </c>
      <c r="I119" s="40"/>
      <c r="J119" s="72" t="s">
        <v>2614</v>
      </c>
      <c r="K119" s="40">
        <v>2010</v>
      </c>
      <c r="L119" s="40" t="s">
        <v>1795</v>
      </c>
      <c r="M119" s="32"/>
      <c r="N119" s="33"/>
      <c r="O119" s="40"/>
      <c r="P119" s="32" t="s">
        <v>12</v>
      </c>
      <c r="Q119" s="252">
        <v>1994193424.089128</v>
      </c>
      <c r="R119" s="105"/>
      <c r="S119" s="206" t="str">
        <f t="shared" si="26"/>
        <v>3.11.01</v>
      </c>
      <c r="T119" s="207" t="str">
        <f t="shared" si="19"/>
        <v>BANGUNAN GEDUNG TEMPAT KERJA</v>
      </c>
      <c r="U119" s="207">
        <f t="shared" si="20"/>
        <v>50</v>
      </c>
      <c r="V119" s="233">
        <f t="shared" si="27"/>
        <v>39883868.28178256</v>
      </c>
      <c r="W119" s="233">
        <f t="shared" si="28"/>
        <v>3</v>
      </c>
      <c r="X119" s="233">
        <f t="shared" si="21"/>
        <v>119651604.84534767</v>
      </c>
      <c r="Y119" s="233">
        <f t="shared" si="22"/>
        <v>39883868.28178256</v>
      </c>
      <c r="Z119" s="233">
        <f t="shared" si="23"/>
        <v>39883868.28178256</v>
      </c>
      <c r="AA119" s="233">
        <f t="shared" si="24"/>
        <v>39883868.28178256</v>
      </c>
      <c r="AB119" s="233">
        <f t="shared" si="25"/>
        <v>39883868.28178256</v>
      </c>
      <c r="AC119" s="238">
        <f t="shared" si="29"/>
        <v>39883868.28178256</v>
      </c>
      <c r="AD119" s="238">
        <f t="shared" si="30"/>
        <v>319070946.25426048</v>
      </c>
      <c r="AE119" s="206">
        <f t="shared" si="31"/>
        <v>2010</v>
      </c>
      <c r="AF119" s="210">
        <f t="shared" si="32"/>
        <v>1675122477.8348675</v>
      </c>
      <c r="AG119" s="48" t="str">
        <f t="shared" si="35"/>
        <v>K</v>
      </c>
      <c r="AL119" s="48" t="s">
        <v>2781</v>
      </c>
      <c r="AM119" s="48" t="s">
        <v>4245</v>
      </c>
    </row>
    <row r="120" spans="1:39" s="48" customFormat="1" ht="40.5" customHeight="1" x14ac:dyDescent="0.2">
      <c r="A120" s="295" t="s">
        <v>2302</v>
      </c>
      <c r="B120" s="73"/>
      <c r="C120" s="65" t="s">
        <v>1796</v>
      </c>
      <c r="D120" s="67"/>
      <c r="E120" s="67"/>
      <c r="F120" s="33" t="s">
        <v>43</v>
      </c>
      <c r="G120" s="40"/>
      <c r="H120" s="40" t="s">
        <v>835</v>
      </c>
      <c r="I120" s="40"/>
      <c r="J120" s="72" t="s">
        <v>2614</v>
      </c>
      <c r="K120" s="40">
        <v>2010</v>
      </c>
      <c r="L120" s="40" t="s">
        <v>1797</v>
      </c>
      <c r="M120" s="32"/>
      <c r="N120" s="33"/>
      <c r="O120" s="40"/>
      <c r="P120" s="32" t="s">
        <v>12</v>
      </c>
      <c r="Q120" s="252">
        <v>805953135.49960303</v>
      </c>
      <c r="R120" s="105"/>
      <c r="S120" s="206" t="str">
        <f t="shared" si="26"/>
        <v>3.11.01</v>
      </c>
      <c r="T120" s="207" t="str">
        <f t="shared" si="19"/>
        <v>BANGUNAN GEDUNG TEMPAT KERJA</v>
      </c>
      <c r="U120" s="207">
        <f t="shared" si="20"/>
        <v>50</v>
      </c>
      <c r="V120" s="233">
        <f t="shared" si="27"/>
        <v>16119062.509992061</v>
      </c>
      <c r="W120" s="233">
        <f t="shared" si="28"/>
        <v>3</v>
      </c>
      <c r="X120" s="233">
        <f t="shared" si="21"/>
        <v>48357187.529976182</v>
      </c>
      <c r="Y120" s="233">
        <f t="shared" si="22"/>
        <v>16119062.509992061</v>
      </c>
      <c r="Z120" s="233">
        <f t="shared" si="23"/>
        <v>16119062.509992061</v>
      </c>
      <c r="AA120" s="233">
        <f t="shared" si="24"/>
        <v>16119062.509992061</v>
      </c>
      <c r="AB120" s="233">
        <f t="shared" si="25"/>
        <v>16119062.509992061</v>
      </c>
      <c r="AC120" s="238">
        <f t="shared" si="29"/>
        <v>16119062.509992061</v>
      </c>
      <c r="AD120" s="238">
        <f t="shared" si="30"/>
        <v>128952500.07993649</v>
      </c>
      <c r="AE120" s="206">
        <f t="shared" si="31"/>
        <v>2010</v>
      </c>
      <c r="AF120" s="210">
        <f t="shared" si="32"/>
        <v>677000635.41966653</v>
      </c>
      <c r="AG120" s="48" t="str">
        <f t="shared" si="35"/>
        <v>K</v>
      </c>
      <c r="AL120" s="48" t="s">
        <v>2748</v>
      </c>
      <c r="AM120" s="48" t="s">
        <v>4245</v>
      </c>
    </row>
    <row r="121" spans="1:39" s="48" customFormat="1" ht="62.25" customHeight="1" x14ac:dyDescent="0.2">
      <c r="A121" s="295" t="s">
        <v>2302</v>
      </c>
      <c r="B121" s="73"/>
      <c r="C121" s="65" t="s">
        <v>1798</v>
      </c>
      <c r="D121" s="67"/>
      <c r="E121" s="67" t="s">
        <v>39</v>
      </c>
      <c r="F121" s="33" t="s">
        <v>43</v>
      </c>
      <c r="G121" s="40" t="s">
        <v>1780</v>
      </c>
      <c r="H121" s="40" t="s">
        <v>835</v>
      </c>
      <c r="I121" s="40">
        <v>550</v>
      </c>
      <c r="J121" s="72" t="s">
        <v>2863</v>
      </c>
      <c r="K121" s="40">
        <v>2010</v>
      </c>
      <c r="L121" s="40"/>
      <c r="M121" s="32"/>
      <c r="N121" s="33"/>
      <c r="O121" s="40"/>
      <c r="P121" s="32" t="s">
        <v>12</v>
      </c>
      <c r="Q121" s="252">
        <v>3903247426.7526035</v>
      </c>
      <c r="R121" s="105"/>
      <c r="S121" s="206" t="str">
        <f t="shared" si="26"/>
        <v>3.11.01</v>
      </c>
      <c r="T121" s="207" t="str">
        <f t="shared" si="19"/>
        <v>BANGUNAN GEDUNG TEMPAT KERJA</v>
      </c>
      <c r="U121" s="207">
        <f t="shared" si="20"/>
        <v>50</v>
      </c>
      <c r="V121" s="233">
        <f t="shared" si="27"/>
        <v>78064948.335052073</v>
      </c>
      <c r="W121" s="233">
        <f t="shared" si="28"/>
        <v>3</v>
      </c>
      <c r="X121" s="233">
        <f t="shared" si="21"/>
        <v>234194845.00515622</v>
      </c>
      <c r="Y121" s="233">
        <f t="shared" si="22"/>
        <v>78064948.335052073</v>
      </c>
      <c r="Z121" s="233">
        <f t="shared" si="23"/>
        <v>78064948.335052073</v>
      </c>
      <c r="AA121" s="233">
        <f t="shared" si="24"/>
        <v>78064948.335052073</v>
      </c>
      <c r="AB121" s="233">
        <f t="shared" si="25"/>
        <v>78064948.335052073</v>
      </c>
      <c r="AC121" s="238">
        <f t="shared" si="29"/>
        <v>78064948.335052073</v>
      </c>
      <c r="AD121" s="238">
        <f t="shared" si="30"/>
        <v>624519586.68041658</v>
      </c>
      <c r="AE121" s="206">
        <f t="shared" si="31"/>
        <v>2010</v>
      </c>
      <c r="AF121" s="210">
        <f t="shared" si="32"/>
        <v>3278727840.0721869</v>
      </c>
      <c r="AG121" s="48" t="s">
        <v>4245</v>
      </c>
      <c r="AH121" s="48">
        <f>IF(AG121='KIB C'!AJ:AJ,"k",0)</f>
        <v>0</v>
      </c>
      <c r="AL121" s="48" t="s">
        <v>2979</v>
      </c>
      <c r="AM121" s="48" t="s">
        <v>4245</v>
      </c>
    </row>
    <row r="122" spans="1:39" s="48" customFormat="1" ht="40.5" customHeight="1" x14ac:dyDescent="0.2">
      <c r="A122" s="295" t="s">
        <v>2302</v>
      </c>
      <c r="B122" s="73"/>
      <c r="C122" s="65" t="s">
        <v>1800</v>
      </c>
      <c r="D122" s="67"/>
      <c r="E122" s="67"/>
      <c r="F122" s="33" t="s">
        <v>43</v>
      </c>
      <c r="G122" s="40"/>
      <c r="H122" s="40" t="s">
        <v>835</v>
      </c>
      <c r="I122" s="40"/>
      <c r="J122" s="72" t="s">
        <v>2864</v>
      </c>
      <c r="K122" s="40">
        <v>2010</v>
      </c>
      <c r="L122" s="40"/>
      <c r="M122" s="32"/>
      <c r="N122" s="33"/>
      <c r="O122" s="40"/>
      <c r="P122" s="32" t="s">
        <v>12</v>
      </c>
      <c r="Q122" s="252">
        <v>41073930.524229623</v>
      </c>
      <c r="R122" s="105"/>
      <c r="S122" s="206" t="str">
        <f t="shared" si="26"/>
        <v>3.11.01</v>
      </c>
      <c r="T122" s="207" t="str">
        <f t="shared" si="19"/>
        <v>BANGUNAN GEDUNG TEMPAT KERJA</v>
      </c>
      <c r="U122" s="207">
        <f t="shared" si="20"/>
        <v>50</v>
      </c>
      <c r="V122" s="233">
        <f t="shared" si="27"/>
        <v>821478.41048459243</v>
      </c>
      <c r="W122" s="233">
        <f t="shared" si="28"/>
        <v>3</v>
      </c>
      <c r="X122" s="233">
        <f t="shared" si="21"/>
        <v>2464435.2314537773</v>
      </c>
      <c r="Y122" s="233">
        <f t="shared" si="22"/>
        <v>821478.41048459243</v>
      </c>
      <c r="Z122" s="233">
        <f t="shared" si="23"/>
        <v>821478.41048459243</v>
      </c>
      <c r="AA122" s="233">
        <f t="shared" si="24"/>
        <v>821478.41048459243</v>
      </c>
      <c r="AB122" s="233">
        <f t="shared" si="25"/>
        <v>821478.41048459243</v>
      </c>
      <c r="AC122" s="238">
        <f t="shared" si="29"/>
        <v>821478.41048459243</v>
      </c>
      <c r="AD122" s="238">
        <f t="shared" si="30"/>
        <v>6571827.2838767394</v>
      </c>
      <c r="AE122" s="206">
        <f t="shared" si="31"/>
        <v>2010</v>
      </c>
      <c r="AF122" s="210">
        <f t="shared" si="32"/>
        <v>34502103.240352884</v>
      </c>
      <c r="AG122" s="48" t="e">
        <f t="shared" ref="AG122:AG153" si="36">VLOOKUP(C122,KAP,2,0)</f>
        <v>#N/A</v>
      </c>
      <c r="AH122" s="48" t="e">
        <f>IF(AG122='KIB C'!AJ:AJ,"k",0)</f>
        <v>#N/A</v>
      </c>
      <c r="AL122" s="48" t="s">
        <v>2490</v>
      </c>
      <c r="AM122" s="48" t="s">
        <v>4245</v>
      </c>
    </row>
    <row r="123" spans="1:39" s="48" customFormat="1" ht="40.5" customHeight="1" x14ac:dyDescent="0.2">
      <c r="A123" s="295" t="s">
        <v>2302</v>
      </c>
      <c r="B123" s="73"/>
      <c r="C123" s="65" t="s">
        <v>1802</v>
      </c>
      <c r="D123" s="67"/>
      <c r="E123" s="67"/>
      <c r="F123" s="33" t="s">
        <v>43</v>
      </c>
      <c r="G123" s="40"/>
      <c r="H123" s="40" t="s">
        <v>835</v>
      </c>
      <c r="I123" s="40"/>
      <c r="J123" s="72" t="s">
        <v>2865</v>
      </c>
      <c r="K123" s="40">
        <v>2010</v>
      </c>
      <c r="L123" s="40"/>
      <c r="M123" s="32"/>
      <c r="N123" s="33"/>
      <c r="O123" s="40"/>
      <c r="P123" s="32" t="s">
        <v>12</v>
      </c>
      <c r="Q123" s="252">
        <v>41073930.524229623</v>
      </c>
      <c r="R123" s="105"/>
      <c r="S123" s="206" t="str">
        <f t="shared" si="26"/>
        <v>3.11.01</v>
      </c>
      <c r="T123" s="207" t="str">
        <f t="shared" si="19"/>
        <v>BANGUNAN GEDUNG TEMPAT KERJA</v>
      </c>
      <c r="U123" s="207">
        <f t="shared" si="20"/>
        <v>50</v>
      </c>
      <c r="V123" s="233">
        <f t="shared" si="27"/>
        <v>821478.41048459243</v>
      </c>
      <c r="W123" s="233">
        <f t="shared" si="28"/>
        <v>3</v>
      </c>
      <c r="X123" s="233">
        <f t="shared" si="21"/>
        <v>2464435.2314537773</v>
      </c>
      <c r="Y123" s="233">
        <f t="shared" si="22"/>
        <v>821478.41048459243</v>
      </c>
      <c r="Z123" s="233">
        <f t="shared" si="23"/>
        <v>821478.41048459243</v>
      </c>
      <c r="AA123" s="233">
        <f t="shared" si="24"/>
        <v>821478.41048459243</v>
      </c>
      <c r="AB123" s="233">
        <f t="shared" si="25"/>
        <v>821478.41048459243</v>
      </c>
      <c r="AC123" s="238">
        <f t="shared" si="29"/>
        <v>821478.41048459243</v>
      </c>
      <c r="AD123" s="238">
        <f t="shared" si="30"/>
        <v>6571827.2838767394</v>
      </c>
      <c r="AE123" s="206">
        <f t="shared" si="31"/>
        <v>2010</v>
      </c>
      <c r="AF123" s="210">
        <f t="shared" si="32"/>
        <v>34502103.240352884</v>
      </c>
      <c r="AG123" s="48" t="e">
        <f t="shared" si="36"/>
        <v>#N/A</v>
      </c>
      <c r="AH123" s="48" t="e">
        <f>IF(AG123='KIB C'!AJ:AJ,"k",0)</f>
        <v>#N/A</v>
      </c>
      <c r="AL123" s="48" t="s">
        <v>2809</v>
      </c>
      <c r="AM123" s="48" t="s">
        <v>4245</v>
      </c>
    </row>
    <row r="124" spans="1:39" s="48" customFormat="1" ht="40.5" customHeight="1" x14ac:dyDescent="0.2">
      <c r="A124" s="295" t="s">
        <v>2302</v>
      </c>
      <c r="B124" s="73"/>
      <c r="C124" s="65" t="s">
        <v>1804</v>
      </c>
      <c r="D124" s="67"/>
      <c r="E124" s="67"/>
      <c r="F124" s="33" t="s">
        <v>43</v>
      </c>
      <c r="G124" s="40"/>
      <c r="H124" s="40" t="s">
        <v>835</v>
      </c>
      <c r="I124" s="40"/>
      <c r="J124" s="72" t="s">
        <v>2866</v>
      </c>
      <c r="K124" s="40">
        <v>2010</v>
      </c>
      <c r="L124" s="40"/>
      <c r="M124" s="32"/>
      <c r="N124" s="33"/>
      <c r="O124" s="40"/>
      <c r="P124" s="32" t="s">
        <v>12</v>
      </c>
      <c r="Q124" s="252">
        <v>41073930.524229623</v>
      </c>
      <c r="R124" s="105"/>
      <c r="S124" s="206" t="str">
        <f t="shared" si="26"/>
        <v>3.11.01</v>
      </c>
      <c r="T124" s="207" t="str">
        <f t="shared" si="19"/>
        <v>BANGUNAN GEDUNG TEMPAT KERJA</v>
      </c>
      <c r="U124" s="207">
        <f t="shared" si="20"/>
        <v>50</v>
      </c>
      <c r="V124" s="233">
        <f t="shared" si="27"/>
        <v>821478.41048459243</v>
      </c>
      <c r="W124" s="233">
        <f t="shared" si="28"/>
        <v>3</v>
      </c>
      <c r="X124" s="233">
        <f t="shared" si="21"/>
        <v>2464435.2314537773</v>
      </c>
      <c r="Y124" s="233">
        <f t="shared" si="22"/>
        <v>821478.41048459243</v>
      </c>
      <c r="Z124" s="233">
        <f t="shared" si="23"/>
        <v>821478.41048459243</v>
      </c>
      <c r="AA124" s="233">
        <f t="shared" si="24"/>
        <v>821478.41048459243</v>
      </c>
      <c r="AB124" s="233">
        <f t="shared" si="25"/>
        <v>821478.41048459243</v>
      </c>
      <c r="AC124" s="238">
        <f t="shared" si="29"/>
        <v>821478.41048459243</v>
      </c>
      <c r="AD124" s="238">
        <f t="shared" si="30"/>
        <v>6571827.2838767394</v>
      </c>
      <c r="AE124" s="206">
        <f t="shared" si="31"/>
        <v>2010</v>
      </c>
      <c r="AF124" s="210">
        <f t="shared" si="32"/>
        <v>34502103.240352884</v>
      </c>
      <c r="AG124" s="48" t="e">
        <f t="shared" si="36"/>
        <v>#N/A</v>
      </c>
      <c r="AH124" s="48" t="e">
        <f>IF(AG124='KIB C'!AJ:AJ,"k",0)</f>
        <v>#N/A</v>
      </c>
      <c r="AL124" s="48" t="s">
        <v>2490</v>
      </c>
      <c r="AM124" s="48" t="s">
        <v>4245</v>
      </c>
    </row>
    <row r="125" spans="1:39" s="48" customFormat="1" ht="40.5" customHeight="1" x14ac:dyDescent="0.2">
      <c r="A125" s="295" t="s">
        <v>2302</v>
      </c>
      <c r="B125" s="73"/>
      <c r="C125" s="65" t="s">
        <v>1806</v>
      </c>
      <c r="D125" s="67"/>
      <c r="E125" s="67"/>
      <c r="F125" s="33" t="s">
        <v>43</v>
      </c>
      <c r="G125" s="40"/>
      <c r="H125" s="40" t="s">
        <v>835</v>
      </c>
      <c r="I125" s="40"/>
      <c r="J125" s="72" t="s">
        <v>826</v>
      </c>
      <c r="K125" s="40">
        <v>2010</v>
      </c>
      <c r="L125" s="40"/>
      <c r="M125" s="32"/>
      <c r="N125" s="33"/>
      <c r="O125" s="40"/>
      <c r="P125" s="32" t="s">
        <v>12</v>
      </c>
      <c r="Q125" s="252">
        <v>20536965.262114812</v>
      </c>
      <c r="R125" s="105"/>
      <c r="S125" s="206" t="str">
        <f t="shared" si="26"/>
        <v>3.11.01</v>
      </c>
      <c r="T125" s="207" t="str">
        <f t="shared" si="19"/>
        <v>BANGUNAN GEDUNG TEMPAT KERJA</v>
      </c>
      <c r="U125" s="207">
        <f t="shared" si="20"/>
        <v>50</v>
      </c>
      <c r="V125" s="233">
        <f t="shared" si="27"/>
        <v>410739.10524229624</v>
      </c>
      <c r="W125" s="233">
        <f t="shared" si="28"/>
        <v>3</v>
      </c>
      <c r="X125" s="233">
        <f t="shared" si="21"/>
        <v>1232217.3157268888</v>
      </c>
      <c r="Y125" s="233">
        <f t="shared" si="22"/>
        <v>410739.10524229624</v>
      </c>
      <c r="Z125" s="233">
        <f t="shared" si="23"/>
        <v>410739.10524229624</v>
      </c>
      <c r="AA125" s="233">
        <f t="shared" si="24"/>
        <v>410739.10524229624</v>
      </c>
      <c r="AB125" s="233">
        <f t="shared" si="25"/>
        <v>410739.10524229624</v>
      </c>
      <c r="AC125" s="238">
        <f t="shared" si="29"/>
        <v>410739.10524229624</v>
      </c>
      <c r="AD125" s="238">
        <f t="shared" si="30"/>
        <v>3285912.8419383694</v>
      </c>
      <c r="AE125" s="206">
        <f t="shared" si="31"/>
        <v>2010</v>
      </c>
      <c r="AF125" s="210">
        <f t="shared" si="32"/>
        <v>17251052.420176443</v>
      </c>
      <c r="AG125" s="48" t="e">
        <f t="shared" si="36"/>
        <v>#N/A</v>
      </c>
      <c r="AH125" s="48" t="e">
        <f>IF(AG125='KIB C'!AJ:AJ,"k",0)</f>
        <v>#N/A</v>
      </c>
      <c r="AL125" s="48" t="s">
        <v>2819</v>
      </c>
      <c r="AM125" s="48" t="s">
        <v>4245</v>
      </c>
    </row>
    <row r="126" spans="1:39" s="48" customFormat="1" ht="40.5" customHeight="1" x14ac:dyDescent="0.2">
      <c r="A126" s="295" t="s">
        <v>2302</v>
      </c>
      <c r="B126" s="73"/>
      <c r="C126" s="65" t="s">
        <v>1808</v>
      </c>
      <c r="D126" s="67"/>
      <c r="E126" s="67"/>
      <c r="F126" s="33" t="s">
        <v>43</v>
      </c>
      <c r="G126" s="40"/>
      <c r="H126" s="40" t="s">
        <v>835</v>
      </c>
      <c r="I126" s="40"/>
      <c r="J126" s="72" t="s">
        <v>2867</v>
      </c>
      <c r="K126" s="40">
        <v>2010</v>
      </c>
      <c r="L126" s="40"/>
      <c r="M126" s="32"/>
      <c r="N126" s="33"/>
      <c r="O126" s="40"/>
      <c r="P126" s="32" t="s">
        <v>12</v>
      </c>
      <c r="Q126" s="252">
        <v>41073930.524229623</v>
      </c>
      <c r="R126" s="105"/>
      <c r="S126" s="206" t="str">
        <f t="shared" si="26"/>
        <v>3.11.01</v>
      </c>
      <c r="T126" s="207" t="str">
        <f t="shared" si="19"/>
        <v>BANGUNAN GEDUNG TEMPAT KERJA</v>
      </c>
      <c r="U126" s="207">
        <f t="shared" si="20"/>
        <v>50</v>
      </c>
      <c r="V126" s="233">
        <f t="shared" si="27"/>
        <v>821478.41048459243</v>
      </c>
      <c r="W126" s="233">
        <f t="shared" si="28"/>
        <v>3</v>
      </c>
      <c r="X126" s="233">
        <f t="shared" si="21"/>
        <v>2464435.2314537773</v>
      </c>
      <c r="Y126" s="233">
        <f t="shared" si="22"/>
        <v>821478.41048459243</v>
      </c>
      <c r="Z126" s="233">
        <f t="shared" si="23"/>
        <v>821478.41048459243</v>
      </c>
      <c r="AA126" s="233">
        <f t="shared" si="24"/>
        <v>821478.41048459243</v>
      </c>
      <c r="AB126" s="233">
        <f t="shared" si="25"/>
        <v>821478.41048459243</v>
      </c>
      <c r="AC126" s="238">
        <f t="shared" si="29"/>
        <v>821478.41048459243</v>
      </c>
      <c r="AD126" s="238">
        <f t="shared" si="30"/>
        <v>6571827.2838767394</v>
      </c>
      <c r="AE126" s="206">
        <f t="shared" si="31"/>
        <v>2010</v>
      </c>
      <c r="AF126" s="210">
        <f t="shared" si="32"/>
        <v>34502103.240352884</v>
      </c>
      <c r="AG126" s="48" t="e">
        <f t="shared" si="36"/>
        <v>#N/A</v>
      </c>
      <c r="AH126" s="48" t="e">
        <f>IF(AG126='KIB C'!AJ:AJ,"k",0)</f>
        <v>#N/A</v>
      </c>
      <c r="AL126" s="48" t="s">
        <v>2819</v>
      </c>
      <c r="AM126" s="48" t="s">
        <v>4245</v>
      </c>
    </row>
    <row r="127" spans="1:39" s="48" customFormat="1" ht="40.5" customHeight="1" x14ac:dyDescent="0.2">
      <c r="A127" s="295" t="s">
        <v>2302</v>
      </c>
      <c r="B127" s="73"/>
      <c r="C127" s="65" t="s">
        <v>1810</v>
      </c>
      <c r="D127" s="67"/>
      <c r="E127" s="67"/>
      <c r="F127" s="33" t="s">
        <v>43</v>
      </c>
      <c r="G127" s="40"/>
      <c r="H127" s="40" t="s">
        <v>835</v>
      </c>
      <c r="I127" s="40"/>
      <c r="J127" s="72" t="s">
        <v>2868</v>
      </c>
      <c r="K127" s="40">
        <v>2010</v>
      </c>
      <c r="L127" s="40"/>
      <c r="M127" s="32"/>
      <c r="N127" s="33"/>
      <c r="O127" s="40"/>
      <c r="P127" s="32" t="s">
        <v>12</v>
      </c>
      <c r="Q127" s="252">
        <v>41073930.524229623</v>
      </c>
      <c r="R127" s="105"/>
      <c r="S127" s="206" t="str">
        <f t="shared" si="26"/>
        <v>3.11.01</v>
      </c>
      <c r="T127" s="207" t="str">
        <f t="shared" si="19"/>
        <v>BANGUNAN GEDUNG TEMPAT KERJA</v>
      </c>
      <c r="U127" s="207">
        <f t="shared" si="20"/>
        <v>50</v>
      </c>
      <c r="V127" s="233">
        <f t="shared" si="27"/>
        <v>821478.41048459243</v>
      </c>
      <c r="W127" s="233">
        <f t="shared" si="28"/>
        <v>3</v>
      </c>
      <c r="X127" s="233">
        <f t="shared" si="21"/>
        <v>2464435.2314537773</v>
      </c>
      <c r="Y127" s="233">
        <f t="shared" si="22"/>
        <v>821478.41048459243</v>
      </c>
      <c r="Z127" s="233">
        <f t="shared" si="23"/>
        <v>821478.41048459243</v>
      </c>
      <c r="AA127" s="233">
        <f t="shared" si="24"/>
        <v>821478.41048459243</v>
      </c>
      <c r="AB127" s="233">
        <f t="shared" si="25"/>
        <v>821478.41048459243</v>
      </c>
      <c r="AC127" s="238">
        <f t="shared" si="29"/>
        <v>821478.41048459243</v>
      </c>
      <c r="AD127" s="238">
        <f t="shared" si="30"/>
        <v>6571827.2838767394</v>
      </c>
      <c r="AE127" s="206">
        <f t="shared" si="31"/>
        <v>2010</v>
      </c>
      <c r="AF127" s="210">
        <f t="shared" si="32"/>
        <v>34502103.240352884</v>
      </c>
      <c r="AG127" s="48" t="e">
        <f t="shared" si="36"/>
        <v>#N/A</v>
      </c>
      <c r="AH127" s="48" t="e">
        <f>IF(AG127='KIB C'!AJ:AJ,"k",0)</f>
        <v>#N/A</v>
      </c>
      <c r="AL127" s="48" t="s">
        <v>2829</v>
      </c>
      <c r="AM127" s="48" t="s">
        <v>4245</v>
      </c>
    </row>
    <row r="128" spans="1:39" s="48" customFormat="1" ht="40.5" customHeight="1" x14ac:dyDescent="0.2">
      <c r="A128" s="295" t="s">
        <v>2302</v>
      </c>
      <c r="B128" s="73"/>
      <c r="C128" s="65" t="s">
        <v>1812</v>
      </c>
      <c r="D128" s="67"/>
      <c r="E128" s="67"/>
      <c r="F128" s="33" t="s">
        <v>43</v>
      </c>
      <c r="G128" s="40"/>
      <c r="H128" s="40" t="s">
        <v>835</v>
      </c>
      <c r="I128" s="40"/>
      <c r="J128" s="72" t="s">
        <v>2869</v>
      </c>
      <c r="K128" s="40">
        <v>2010</v>
      </c>
      <c r="L128" s="40"/>
      <c r="M128" s="32"/>
      <c r="N128" s="33"/>
      <c r="O128" s="40"/>
      <c r="P128" s="32" t="s">
        <v>12</v>
      </c>
      <c r="Q128" s="252">
        <v>20536965.262114812</v>
      </c>
      <c r="R128" s="105"/>
      <c r="S128" s="206" t="str">
        <f t="shared" si="26"/>
        <v>3.11.01</v>
      </c>
      <c r="T128" s="207" t="str">
        <f t="shared" si="19"/>
        <v>BANGUNAN GEDUNG TEMPAT KERJA</v>
      </c>
      <c r="U128" s="207">
        <f t="shared" si="20"/>
        <v>50</v>
      </c>
      <c r="V128" s="233">
        <f t="shared" si="27"/>
        <v>410739.10524229624</v>
      </c>
      <c r="W128" s="233">
        <f t="shared" si="28"/>
        <v>3</v>
      </c>
      <c r="X128" s="233">
        <f t="shared" si="21"/>
        <v>1232217.3157268888</v>
      </c>
      <c r="Y128" s="233">
        <f t="shared" si="22"/>
        <v>410739.10524229624</v>
      </c>
      <c r="Z128" s="233">
        <f t="shared" si="23"/>
        <v>410739.10524229624</v>
      </c>
      <c r="AA128" s="233">
        <f t="shared" si="24"/>
        <v>410739.10524229624</v>
      </c>
      <c r="AB128" s="233">
        <f t="shared" si="25"/>
        <v>410739.10524229624</v>
      </c>
      <c r="AC128" s="238">
        <f t="shared" si="29"/>
        <v>410739.10524229624</v>
      </c>
      <c r="AD128" s="238">
        <f t="shared" si="30"/>
        <v>3285912.8419383694</v>
      </c>
      <c r="AE128" s="206">
        <f t="shared" si="31"/>
        <v>2010</v>
      </c>
      <c r="AF128" s="210">
        <f t="shared" si="32"/>
        <v>17251052.420176443</v>
      </c>
      <c r="AG128" s="48" t="e">
        <f t="shared" si="36"/>
        <v>#N/A</v>
      </c>
      <c r="AH128" s="48" t="e">
        <f>IF(AG128='KIB C'!AJ:AJ,"k",0)</f>
        <v>#N/A</v>
      </c>
      <c r="AL128" s="48" t="s">
        <v>2829</v>
      </c>
      <c r="AM128" s="48" t="s">
        <v>4245</v>
      </c>
    </row>
    <row r="129" spans="1:39" s="48" customFormat="1" ht="40.5" customHeight="1" x14ac:dyDescent="0.2">
      <c r="A129" s="295" t="s">
        <v>2302</v>
      </c>
      <c r="B129" s="73"/>
      <c r="C129" s="65" t="s">
        <v>1814</v>
      </c>
      <c r="D129" s="67"/>
      <c r="E129" s="67"/>
      <c r="F129" s="33" t="s">
        <v>43</v>
      </c>
      <c r="G129" s="40"/>
      <c r="H129" s="40" t="s">
        <v>835</v>
      </c>
      <c r="I129" s="40"/>
      <c r="J129" s="72" t="s">
        <v>2870</v>
      </c>
      <c r="K129" s="40">
        <v>2010</v>
      </c>
      <c r="L129" s="40"/>
      <c r="M129" s="32"/>
      <c r="N129" s="33"/>
      <c r="O129" s="40"/>
      <c r="P129" s="32" t="s">
        <v>12</v>
      </c>
      <c r="Q129" s="252">
        <v>41073930.524229623</v>
      </c>
      <c r="R129" s="105"/>
      <c r="S129" s="206" t="str">
        <f t="shared" si="26"/>
        <v>3.11.01</v>
      </c>
      <c r="T129" s="207" t="str">
        <f t="shared" si="19"/>
        <v>BANGUNAN GEDUNG TEMPAT KERJA</v>
      </c>
      <c r="U129" s="207">
        <f t="shared" si="20"/>
        <v>50</v>
      </c>
      <c r="V129" s="233">
        <f t="shared" si="27"/>
        <v>821478.41048459243</v>
      </c>
      <c r="W129" s="233">
        <f t="shared" si="28"/>
        <v>3</v>
      </c>
      <c r="X129" s="233">
        <f t="shared" si="21"/>
        <v>2464435.2314537773</v>
      </c>
      <c r="Y129" s="233">
        <f t="shared" si="22"/>
        <v>821478.41048459243</v>
      </c>
      <c r="Z129" s="233">
        <f t="shared" si="23"/>
        <v>821478.41048459243</v>
      </c>
      <c r="AA129" s="233">
        <f t="shared" si="24"/>
        <v>821478.41048459243</v>
      </c>
      <c r="AB129" s="233">
        <f t="shared" si="25"/>
        <v>821478.41048459243</v>
      </c>
      <c r="AC129" s="238">
        <f t="shared" si="29"/>
        <v>821478.41048459243</v>
      </c>
      <c r="AD129" s="238">
        <f t="shared" si="30"/>
        <v>6571827.2838767394</v>
      </c>
      <c r="AE129" s="206">
        <f t="shared" si="31"/>
        <v>2010</v>
      </c>
      <c r="AF129" s="210">
        <f t="shared" si="32"/>
        <v>34502103.240352884</v>
      </c>
      <c r="AG129" s="48" t="e">
        <f t="shared" si="36"/>
        <v>#N/A</v>
      </c>
      <c r="AH129" s="48" t="e">
        <f>IF(AG129='KIB C'!AJ:AJ,"k",0)</f>
        <v>#N/A</v>
      </c>
      <c r="AL129" s="48" t="s">
        <v>2767</v>
      </c>
      <c r="AM129" s="48" t="s">
        <v>4245</v>
      </c>
    </row>
    <row r="130" spans="1:39" s="48" customFormat="1" ht="40.5" customHeight="1" x14ac:dyDescent="0.2">
      <c r="A130" s="295" t="s">
        <v>2302</v>
      </c>
      <c r="B130" s="73"/>
      <c r="C130" s="65" t="s">
        <v>1816</v>
      </c>
      <c r="D130" s="67"/>
      <c r="E130" s="67"/>
      <c r="F130" s="33" t="s">
        <v>43</v>
      </c>
      <c r="G130" s="40"/>
      <c r="H130" s="40" t="s">
        <v>835</v>
      </c>
      <c r="I130" s="40"/>
      <c r="J130" s="72" t="s">
        <v>2871</v>
      </c>
      <c r="K130" s="40">
        <v>2010</v>
      </c>
      <c r="L130" s="40"/>
      <c r="M130" s="32"/>
      <c r="N130" s="33"/>
      <c r="O130" s="40"/>
      <c r="P130" s="32" t="s">
        <v>12</v>
      </c>
      <c r="Q130" s="252">
        <v>20536965.262114812</v>
      </c>
      <c r="R130" s="105"/>
      <c r="S130" s="206" t="str">
        <f t="shared" si="26"/>
        <v>3.11.01</v>
      </c>
      <c r="T130" s="207" t="str">
        <f t="shared" si="19"/>
        <v>BANGUNAN GEDUNG TEMPAT KERJA</v>
      </c>
      <c r="U130" s="207">
        <f t="shared" si="20"/>
        <v>50</v>
      </c>
      <c r="V130" s="233">
        <f t="shared" si="27"/>
        <v>410739.10524229624</v>
      </c>
      <c r="W130" s="233">
        <f t="shared" si="28"/>
        <v>3</v>
      </c>
      <c r="X130" s="233">
        <f t="shared" si="21"/>
        <v>1232217.3157268888</v>
      </c>
      <c r="Y130" s="233">
        <f t="shared" si="22"/>
        <v>410739.10524229624</v>
      </c>
      <c r="Z130" s="233">
        <f t="shared" si="23"/>
        <v>410739.10524229624</v>
      </c>
      <c r="AA130" s="233">
        <f t="shared" si="24"/>
        <v>410739.10524229624</v>
      </c>
      <c r="AB130" s="233">
        <f t="shared" si="25"/>
        <v>410739.10524229624</v>
      </c>
      <c r="AC130" s="238">
        <f t="shared" si="29"/>
        <v>410739.10524229624</v>
      </c>
      <c r="AD130" s="238">
        <f t="shared" si="30"/>
        <v>3285912.8419383694</v>
      </c>
      <c r="AE130" s="206">
        <f t="shared" si="31"/>
        <v>2010</v>
      </c>
      <c r="AF130" s="210">
        <f t="shared" si="32"/>
        <v>17251052.420176443</v>
      </c>
      <c r="AG130" s="48" t="e">
        <f t="shared" si="36"/>
        <v>#N/A</v>
      </c>
      <c r="AH130" s="48" t="e">
        <f>IF(AG130='KIB C'!AJ:AJ,"k",0)</f>
        <v>#N/A</v>
      </c>
      <c r="AL130" s="48" t="s">
        <v>2768</v>
      </c>
      <c r="AM130" s="48" t="s">
        <v>4245</v>
      </c>
    </row>
    <row r="131" spans="1:39" s="48" customFormat="1" ht="40.5" customHeight="1" x14ac:dyDescent="0.2">
      <c r="A131" s="295" t="s">
        <v>2302</v>
      </c>
      <c r="B131" s="73"/>
      <c r="C131" s="65" t="s">
        <v>1818</v>
      </c>
      <c r="D131" s="67"/>
      <c r="E131" s="67"/>
      <c r="F131" s="33" t="s">
        <v>43</v>
      </c>
      <c r="G131" s="40"/>
      <c r="H131" s="40" t="s">
        <v>835</v>
      </c>
      <c r="I131" s="40"/>
      <c r="J131" s="72" t="s">
        <v>2872</v>
      </c>
      <c r="K131" s="40">
        <v>2010</v>
      </c>
      <c r="L131" s="40"/>
      <c r="M131" s="32"/>
      <c r="N131" s="33"/>
      <c r="O131" s="40"/>
      <c r="P131" s="32" t="s">
        <v>12</v>
      </c>
      <c r="Q131" s="252">
        <v>20536965.262114812</v>
      </c>
      <c r="R131" s="105"/>
      <c r="S131" s="206" t="str">
        <f t="shared" si="26"/>
        <v>3.11.01</v>
      </c>
      <c r="T131" s="207" t="str">
        <f t="shared" si="19"/>
        <v>BANGUNAN GEDUNG TEMPAT KERJA</v>
      </c>
      <c r="U131" s="207">
        <f t="shared" si="20"/>
        <v>50</v>
      </c>
      <c r="V131" s="233">
        <f t="shared" si="27"/>
        <v>410739.10524229624</v>
      </c>
      <c r="W131" s="233">
        <f t="shared" si="28"/>
        <v>3</v>
      </c>
      <c r="X131" s="233">
        <f t="shared" si="21"/>
        <v>1232217.3157268888</v>
      </c>
      <c r="Y131" s="233">
        <f t="shared" si="22"/>
        <v>410739.10524229624</v>
      </c>
      <c r="Z131" s="233">
        <f t="shared" si="23"/>
        <v>410739.10524229624</v>
      </c>
      <c r="AA131" s="233">
        <f t="shared" si="24"/>
        <v>410739.10524229624</v>
      </c>
      <c r="AB131" s="233">
        <f t="shared" si="25"/>
        <v>410739.10524229624</v>
      </c>
      <c r="AC131" s="238">
        <f t="shared" si="29"/>
        <v>410739.10524229624</v>
      </c>
      <c r="AD131" s="238">
        <f t="shared" si="30"/>
        <v>3285912.8419383694</v>
      </c>
      <c r="AE131" s="206">
        <f t="shared" si="31"/>
        <v>2010</v>
      </c>
      <c r="AF131" s="210">
        <f t="shared" si="32"/>
        <v>17251052.420176443</v>
      </c>
      <c r="AG131" s="48" t="e">
        <f t="shared" si="36"/>
        <v>#N/A</v>
      </c>
      <c r="AH131" s="48" t="e">
        <f>IF(AG131='KIB C'!AJ:AJ,"k",0)</f>
        <v>#N/A</v>
      </c>
      <c r="AL131" s="48" t="s">
        <v>2668</v>
      </c>
      <c r="AM131" s="48" t="s">
        <v>4245</v>
      </c>
    </row>
    <row r="132" spans="1:39" s="48" customFormat="1" ht="40.5" customHeight="1" x14ac:dyDescent="0.2">
      <c r="A132" s="295" t="s">
        <v>2302</v>
      </c>
      <c r="B132" s="73"/>
      <c r="C132" s="65" t="s">
        <v>1820</v>
      </c>
      <c r="D132" s="67"/>
      <c r="E132" s="67"/>
      <c r="F132" s="33" t="s">
        <v>43</v>
      </c>
      <c r="G132" s="40"/>
      <c r="H132" s="40" t="s">
        <v>835</v>
      </c>
      <c r="I132" s="40"/>
      <c r="J132" s="72" t="s">
        <v>2873</v>
      </c>
      <c r="K132" s="40">
        <v>2010</v>
      </c>
      <c r="L132" s="40"/>
      <c r="M132" s="32"/>
      <c r="N132" s="33"/>
      <c r="O132" s="40"/>
      <c r="P132" s="32" t="s">
        <v>12</v>
      </c>
      <c r="Q132" s="252">
        <v>41073930.524229623</v>
      </c>
      <c r="R132" s="105"/>
      <c r="S132" s="206" t="str">
        <f t="shared" si="26"/>
        <v>3.11.01</v>
      </c>
      <c r="T132" s="207" t="str">
        <f t="shared" si="19"/>
        <v>BANGUNAN GEDUNG TEMPAT KERJA</v>
      </c>
      <c r="U132" s="207">
        <f t="shared" si="20"/>
        <v>50</v>
      </c>
      <c r="V132" s="233">
        <f t="shared" si="27"/>
        <v>821478.41048459243</v>
      </c>
      <c r="W132" s="233">
        <f t="shared" si="28"/>
        <v>3</v>
      </c>
      <c r="X132" s="233">
        <f t="shared" si="21"/>
        <v>2464435.2314537773</v>
      </c>
      <c r="Y132" s="233">
        <f t="shared" si="22"/>
        <v>821478.41048459243</v>
      </c>
      <c r="Z132" s="233">
        <f t="shared" si="23"/>
        <v>821478.41048459243</v>
      </c>
      <c r="AA132" s="233">
        <f t="shared" si="24"/>
        <v>821478.41048459243</v>
      </c>
      <c r="AB132" s="233">
        <f t="shared" si="25"/>
        <v>821478.41048459243</v>
      </c>
      <c r="AC132" s="238">
        <f t="shared" si="29"/>
        <v>821478.41048459243</v>
      </c>
      <c r="AD132" s="238">
        <f t="shared" si="30"/>
        <v>6571827.2838767394</v>
      </c>
      <c r="AE132" s="206">
        <f t="shared" si="31"/>
        <v>2010</v>
      </c>
      <c r="AF132" s="210">
        <f t="shared" si="32"/>
        <v>34502103.240352884</v>
      </c>
      <c r="AG132" s="48" t="e">
        <f t="shared" si="36"/>
        <v>#N/A</v>
      </c>
      <c r="AH132" s="48" t="e">
        <f>IF(AG132='KIB C'!AJ:AJ,"k",0)</f>
        <v>#N/A</v>
      </c>
      <c r="AL132" s="48" t="s">
        <v>2682</v>
      </c>
      <c r="AM132" s="48" t="s">
        <v>4245</v>
      </c>
    </row>
    <row r="133" spans="1:39" s="48" customFormat="1" ht="40.5" customHeight="1" x14ac:dyDescent="0.2">
      <c r="A133" s="295" t="s">
        <v>2302</v>
      </c>
      <c r="B133" s="73"/>
      <c r="C133" s="65" t="s">
        <v>1822</v>
      </c>
      <c r="D133" s="67"/>
      <c r="E133" s="67"/>
      <c r="F133" s="33" t="s">
        <v>43</v>
      </c>
      <c r="G133" s="40"/>
      <c r="H133" s="40" t="s">
        <v>835</v>
      </c>
      <c r="I133" s="40"/>
      <c r="J133" s="72" t="s">
        <v>2874</v>
      </c>
      <c r="K133" s="40">
        <v>2010</v>
      </c>
      <c r="L133" s="40"/>
      <c r="M133" s="32"/>
      <c r="N133" s="33"/>
      <c r="O133" s="40"/>
      <c r="P133" s="32" t="s">
        <v>12</v>
      </c>
      <c r="Q133" s="252">
        <v>20536965.262114812</v>
      </c>
      <c r="R133" s="105"/>
      <c r="S133" s="206" t="str">
        <f t="shared" si="26"/>
        <v>3.11.01</v>
      </c>
      <c r="T133" s="207" t="str">
        <f t="shared" si="19"/>
        <v>BANGUNAN GEDUNG TEMPAT KERJA</v>
      </c>
      <c r="U133" s="207">
        <f t="shared" si="20"/>
        <v>50</v>
      </c>
      <c r="V133" s="233">
        <f t="shared" si="27"/>
        <v>410739.10524229624</v>
      </c>
      <c r="W133" s="233">
        <f t="shared" si="28"/>
        <v>3</v>
      </c>
      <c r="X133" s="233">
        <f t="shared" si="21"/>
        <v>1232217.3157268888</v>
      </c>
      <c r="Y133" s="233">
        <f t="shared" si="22"/>
        <v>410739.10524229624</v>
      </c>
      <c r="Z133" s="233">
        <f t="shared" si="23"/>
        <v>410739.10524229624</v>
      </c>
      <c r="AA133" s="233">
        <f t="shared" si="24"/>
        <v>410739.10524229624</v>
      </c>
      <c r="AB133" s="233">
        <f t="shared" si="25"/>
        <v>410739.10524229624</v>
      </c>
      <c r="AC133" s="238">
        <f t="shared" si="29"/>
        <v>410739.10524229624</v>
      </c>
      <c r="AD133" s="238">
        <f t="shared" si="30"/>
        <v>3285912.8419383694</v>
      </c>
      <c r="AE133" s="206">
        <f t="shared" si="31"/>
        <v>2010</v>
      </c>
      <c r="AF133" s="210">
        <f t="shared" si="32"/>
        <v>17251052.420176443</v>
      </c>
      <c r="AG133" s="48" t="e">
        <f t="shared" si="36"/>
        <v>#N/A</v>
      </c>
      <c r="AH133" s="48" t="e">
        <f>IF(AG133='KIB C'!AJ:AJ,"k",0)</f>
        <v>#N/A</v>
      </c>
      <c r="AL133" s="48" t="s">
        <v>2683</v>
      </c>
      <c r="AM133" s="48" t="s">
        <v>4245</v>
      </c>
    </row>
    <row r="134" spans="1:39" s="48" customFormat="1" ht="40.5" customHeight="1" x14ac:dyDescent="0.2">
      <c r="A134" s="295" t="s">
        <v>2302</v>
      </c>
      <c r="B134" s="73"/>
      <c r="C134" s="65" t="s">
        <v>1824</v>
      </c>
      <c r="D134" s="67"/>
      <c r="E134" s="67"/>
      <c r="F134" s="33" t="s">
        <v>43</v>
      </c>
      <c r="G134" s="40"/>
      <c r="H134" s="40" t="s">
        <v>835</v>
      </c>
      <c r="I134" s="40"/>
      <c r="J134" s="72" t="s">
        <v>2875</v>
      </c>
      <c r="K134" s="40">
        <v>2010</v>
      </c>
      <c r="L134" s="40"/>
      <c r="M134" s="32"/>
      <c r="N134" s="33"/>
      <c r="O134" s="40"/>
      <c r="P134" s="32" t="s">
        <v>12</v>
      </c>
      <c r="Q134" s="252">
        <v>41073930.524229623</v>
      </c>
      <c r="R134" s="105"/>
      <c r="S134" s="206" t="str">
        <f t="shared" si="26"/>
        <v>3.11.01</v>
      </c>
      <c r="T134" s="207" t="str">
        <f t="shared" si="19"/>
        <v>BANGUNAN GEDUNG TEMPAT KERJA</v>
      </c>
      <c r="U134" s="207">
        <f t="shared" si="20"/>
        <v>50</v>
      </c>
      <c r="V134" s="233">
        <f t="shared" si="27"/>
        <v>821478.41048459243</v>
      </c>
      <c r="W134" s="233">
        <f t="shared" si="28"/>
        <v>3</v>
      </c>
      <c r="X134" s="233">
        <f t="shared" si="21"/>
        <v>2464435.2314537773</v>
      </c>
      <c r="Y134" s="233">
        <f t="shared" si="22"/>
        <v>821478.41048459243</v>
      </c>
      <c r="Z134" s="233">
        <f t="shared" si="23"/>
        <v>821478.41048459243</v>
      </c>
      <c r="AA134" s="233">
        <f t="shared" si="24"/>
        <v>821478.41048459243</v>
      </c>
      <c r="AB134" s="233">
        <f t="shared" si="25"/>
        <v>821478.41048459243</v>
      </c>
      <c r="AC134" s="238">
        <f t="shared" si="29"/>
        <v>821478.41048459243</v>
      </c>
      <c r="AD134" s="238">
        <f t="shared" si="30"/>
        <v>6571827.2838767394</v>
      </c>
      <c r="AE134" s="206">
        <f t="shared" si="31"/>
        <v>2010</v>
      </c>
      <c r="AF134" s="210">
        <f t="shared" si="32"/>
        <v>34502103.240352884</v>
      </c>
      <c r="AG134" s="48" t="e">
        <f t="shared" si="36"/>
        <v>#N/A</v>
      </c>
      <c r="AH134" s="48" t="e">
        <f>IF(AG134='KIB C'!AJ:AJ,"k",0)</f>
        <v>#N/A</v>
      </c>
      <c r="AL134" s="48" t="s">
        <v>2996</v>
      </c>
      <c r="AM134" s="48" t="s">
        <v>4245</v>
      </c>
    </row>
    <row r="135" spans="1:39" s="48" customFormat="1" ht="40.5" customHeight="1" x14ac:dyDescent="0.2">
      <c r="A135" s="295" t="s">
        <v>2302</v>
      </c>
      <c r="B135" s="73"/>
      <c r="C135" s="65" t="s">
        <v>1826</v>
      </c>
      <c r="D135" s="67"/>
      <c r="E135" s="67" t="s">
        <v>39</v>
      </c>
      <c r="F135" s="33" t="s">
        <v>43</v>
      </c>
      <c r="G135" s="40" t="s">
        <v>1753</v>
      </c>
      <c r="H135" s="40" t="s">
        <v>835</v>
      </c>
      <c r="I135" s="40"/>
      <c r="J135" s="72" t="s">
        <v>2876</v>
      </c>
      <c r="K135" s="40">
        <v>2009</v>
      </c>
      <c r="L135" s="40" t="s">
        <v>1827</v>
      </c>
      <c r="M135" s="32"/>
      <c r="N135" s="33"/>
      <c r="O135" s="40"/>
      <c r="P135" s="32" t="s">
        <v>12</v>
      </c>
      <c r="Q135" s="252">
        <v>2488646709.8382626</v>
      </c>
      <c r="R135" s="105"/>
      <c r="S135" s="206" t="str">
        <f t="shared" si="26"/>
        <v>3.11.01</v>
      </c>
      <c r="T135" s="207" t="str">
        <f t="shared" si="19"/>
        <v>BANGUNAN GEDUNG TEMPAT KERJA</v>
      </c>
      <c r="U135" s="207">
        <f t="shared" si="20"/>
        <v>50</v>
      </c>
      <c r="V135" s="233">
        <f t="shared" si="27"/>
        <v>49772933.996765248</v>
      </c>
      <c r="W135" s="233">
        <f t="shared" si="28"/>
        <v>4</v>
      </c>
      <c r="X135" s="233">
        <f t="shared" si="21"/>
        <v>199091735.98706099</v>
      </c>
      <c r="Y135" s="233">
        <f t="shared" si="22"/>
        <v>49772933.996765248</v>
      </c>
      <c r="Z135" s="233">
        <f t="shared" si="23"/>
        <v>49772933.996765248</v>
      </c>
      <c r="AA135" s="233">
        <f t="shared" si="24"/>
        <v>49772933.996765248</v>
      </c>
      <c r="AB135" s="233">
        <f t="shared" si="25"/>
        <v>49772933.996765248</v>
      </c>
      <c r="AC135" s="238">
        <f t="shared" si="29"/>
        <v>49772933.996765248</v>
      </c>
      <c r="AD135" s="238">
        <f t="shared" si="30"/>
        <v>447956405.97088724</v>
      </c>
      <c r="AE135" s="206">
        <f t="shared" si="31"/>
        <v>2009</v>
      </c>
      <c r="AF135" s="210">
        <f t="shared" si="32"/>
        <v>2040690303.8673754</v>
      </c>
      <c r="AG135" s="48" t="str">
        <f t="shared" si="36"/>
        <v>K</v>
      </c>
      <c r="AL135" s="48" t="s">
        <v>2684</v>
      </c>
      <c r="AM135" s="48" t="s">
        <v>4245</v>
      </c>
    </row>
    <row r="136" spans="1:39" s="48" customFormat="1" ht="40.5" customHeight="1" x14ac:dyDescent="0.2">
      <c r="A136" s="295" t="s">
        <v>2302</v>
      </c>
      <c r="B136" s="73"/>
      <c r="C136" s="65" t="s">
        <v>1828</v>
      </c>
      <c r="D136" s="67"/>
      <c r="E136" s="67" t="s">
        <v>39</v>
      </c>
      <c r="F136" s="33" t="s">
        <v>43</v>
      </c>
      <c r="G136" s="40" t="s">
        <v>1753</v>
      </c>
      <c r="H136" s="40" t="s">
        <v>835</v>
      </c>
      <c r="I136" s="40"/>
      <c r="J136" s="72" t="s">
        <v>2876</v>
      </c>
      <c r="K136" s="40">
        <v>2009</v>
      </c>
      <c r="L136" s="40" t="s">
        <v>1829</v>
      </c>
      <c r="M136" s="32"/>
      <c r="N136" s="33"/>
      <c r="O136" s="40"/>
      <c r="P136" s="32" t="s">
        <v>12</v>
      </c>
      <c r="Q136" s="252">
        <v>3846298304.7874517</v>
      </c>
      <c r="R136" s="105"/>
      <c r="S136" s="206" t="str">
        <f t="shared" si="26"/>
        <v>3.11.01</v>
      </c>
      <c r="T136" s="207" t="str">
        <f t="shared" si="19"/>
        <v>BANGUNAN GEDUNG TEMPAT KERJA</v>
      </c>
      <c r="U136" s="207">
        <f t="shared" si="20"/>
        <v>50</v>
      </c>
      <c r="V136" s="233">
        <f t="shared" si="27"/>
        <v>76925965.895749032</v>
      </c>
      <c r="W136" s="233">
        <f t="shared" si="28"/>
        <v>4</v>
      </c>
      <c r="X136" s="233">
        <f t="shared" si="21"/>
        <v>307703863.58299613</v>
      </c>
      <c r="Y136" s="233">
        <f t="shared" si="22"/>
        <v>76925965.895749032</v>
      </c>
      <c r="Z136" s="233">
        <f t="shared" si="23"/>
        <v>76925965.895749032</v>
      </c>
      <c r="AA136" s="233">
        <f t="shared" si="24"/>
        <v>76925965.895749032</v>
      </c>
      <c r="AB136" s="233">
        <f t="shared" si="25"/>
        <v>76925965.895749032</v>
      </c>
      <c r="AC136" s="238">
        <f t="shared" si="29"/>
        <v>76925965.895749032</v>
      </c>
      <c r="AD136" s="238">
        <f t="shared" si="30"/>
        <v>692333693.06174135</v>
      </c>
      <c r="AE136" s="206">
        <f t="shared" si="31"/>
        <v>2009</v>
      </c>
      <c r="AF136" s="210">
        <f t="shared" si="32"/>
        <v>3153964611.7257104</v>
      </c>
      <c r="AG136" s="48" t="str">
        <f t="shared" si="36"/>
        <v>K</v>
      </c>
      <c r="AL136" s="48" t="s">
        <v>2674</v>
      </c>
      <c r="AM136" s="48" t="s">
        <v>4245</v>
      </c>
    </row>
    <row r="137" spans="1:39" s="48" customFormat="1" ht="40.5" customHeight="1" x14ac:dyDescent="0.2">
      <c r="A137" s="295" t="s">
        <v>2302</v>
      </c>
      <c r="B137" s="73"/>
      <c r="C137" s="65" t="s">
        <v>1830</v>
      </c>
      <c r="D137" s="67"/>
      <c r="E137" s="67" t="s">
        <v>39</v>
      </c>
      <c r="F137" s="33" t="s">
        <v>43</v>
      </c>
      <c r="G137" s="40" t="s">
        <v>1753</v>
      </c>
      <c r="H137" s="40" t="s">
        <v>835</v>
      </c>
      <c r="I137" s="40"/>
      <c r="J137" s="72" t="s">
        <v>2876</v>
      </c>
      <c r="K137" s="40">
        <v>2009</v>
      </c>
      <c r="L137" s="40" t="s">
        <v>1831</v>
      </c>
      <c r="M137" s="32"/>
      <c r="N137" s="33"/>
      <c r="O137" s="40"/>
      <c r="P137" s="32" t="s">
        <v>12</v>
      </c>
      <c r="Q137" s="252">
        <v>3249116342.4618435</v>
      </c>
      <c r="R137" s="105"/>
      <c r="S137" s="206" t="str">
        <f t="shared" si="26"/>
        <v>3.11.01</v>
      </c>
      <c r="T137" s="207" t="str">
        <f t="shared" si="19"/>
        <v>BANGUNAN GEDUNG TEMPAT KERJA</v>
      </c>
      <c r="U137" s="207">
        <f t="shared" si="20"/>
        <v>50</v>
      </c>
      <c r="V137" s="233">
        <f t="shared" si="27"/>
        <v>64982326.649236873</v>
      </c>
      <c r="W137" s="233">
        <f t="shared" si="28"/>
        <v>4</v>
      </c>
      <c r="X137" s="233">
        <f t="shared" si="21"/>
        <v>259929306.59694749</v>
      </c>
      <c r="Y137" s="233">
        <f t="shared" si="22"/>
        <v>64982326.649236873</v>
      </c>
      <c r="Z137" s="233">
        <f t="shared" si="23"/>
        <v>64982326.649236873</v>
      </c>
      <c r="AA137" s="233">
        <f t="shared" si="24"/>
        <v>64982326.649236873</v>
      </c>
      <c r="AB137" s="233">
        <f t="shared" si="25"/>
        <v>64982326.649236873</v>
      </c>
      <c r="AC137" s="238">
        <f t="shared" si="29"/>
        <v>64982326.649236873</v>
      </c>
      <c r="AD137" s="238">
        <f t="shared" si="30"/>
        <v>584840939.84313178</v>
      </c>
      <c r="AE137" s="206">
        <f t="shared" si="31"/>
        <v>2009</v>
      </c>
      <c r="AF137" s="210">
        <f t="shared" si="32"/>
        <v>2664275402.6187115</v>
      </c>
      <c r="AG137" s="48" t="str">
        <f t="shared" si="36"/>
        <v>K</v>
      </c>
      <c r="AL137" s="48" t="s">
        <v>2719</v>
      </c>
      <c r="AM137" s="48" t="s">
        <v>4245</v>
      </c>
    </row>
    <row r="138" spans="1:39" s="48" customFormat="1" ht="40.5" customHeight="1" x14ac:dyDescent="0.2">
      <c r="A138" s="295" t="s">
        <v>2302</v>
      </c>
      <c r="B138" s="73"/>
      <c r="C138" s="65" t="s">
        <v>1832</v>
      </c>
      <c r="D138" s="67"/>
      <c r="E138" s="67"/>
      <c r="F138" s="33" t="s">
        <v>43</v>
      </c>
      <c r="G138" s="40"/>
      <c r="H138" s="40" t="s">
        <v>835</v>
      </c>
      <c r="I138" s="40"/>
      <c r="J138" s="72" t="s">
        <v>2877</v>
      </c>
      <c r="K138" s="40">
        <v>2009</v>
      </c>
      <c r="L138" s="40"/>
      <c r="M138" s="32"/>
      <c r="N138" s="33"/>
      <c r="O138" s="40"/>
      <c r="P138" s="32" t="s">
        <v>12</v>
      </c>
      <c r="Q138" s="252">
        <v>6624750</v>
      </c>
      <c r="R138" s="105"/>
      <c r="S138" s="206" t="str">
        <f t="shared" si="26"/>
        <v>3.11.01</v>
      </c>
      <c r="T138" s="207" t="str">
        <f t="shared" si="19"/>
        <v>BANGUNAN GEDUNG TEMPAT KERJA</v>
      </c>
      <c r="U138" s="207">
        <f t="shared" si="20"/>
        <v>50</v>
      </c>
      <c r="V138" s="233">
        <f t="shared" si="27"/>
        <v>132494.79999999999</v>
      </c>
      <c r="W138" s="233">
        <f t="shared" si="28"/>
        <v>4</v>
      </c>
      <c r="X138" s="233">
        <f t="shared" si="21"/>
        <v>529979.19999999995</v>
      </c>
      <c r="Y138" s="233">
        <f t="shared" si="22"/>
        <v>132494.79999999999</v>
      </c>
      <c r="Z138" s="233">
        <f t="shared" si="23"/>
        <v>132494.79999999999</v>
      </c>
      <c r="AA138" s="233">
        <f t="shared" si="24"/>
        <v>132494.79999999999</v>
      </c>
      <c r="AB138" s="233">
        <f t="shared" si="25"/>
        <v>132494.79999999999</v>
      </c>
      <c r="AC138" s="238">
        <f t="shared" si="29"/>
        <v>132494.79999999999</v>
      </c>
      <c r="AD138" s="238">
        <f t="shared" si="30"/>
        <v>1192453.2000000002</v>
      </c>
      <c r="AE138" s="206">
        <f t="shared" si="31"/>
        <v>2009</v>
      </c>
      <c r="AF138" s="210">
        <f t="shared" si="32"/>
        <v>5432296.7999999998</v>
      </c>
      <c r="AG138" s="48" t="str">
        <f t="shared" si="36"/>
        <v>K</v>
      </c>
      <c r="AL138" s="48" t="s">
        <v>2720</v>
      </c>
      <c r="AM138" s="48" t="s">
        <v>4245</v>
      </c>
    </row>
    <row r="139" spans="1:39" s="48" customFormat="1" ht="40.5" customHeight="1" x14ac:dyDescent="0.2">
      <c r="A139" s="295" t="s">
        <v>2302</v>
      </c>
      <c r="B139" s="73"/>
      <c r="C139" s="65" t="s">
        <v>1834</v>
      </c>
      <c r="D139" s="67"/>
      <c r="E139" s="67" t="s">
        <v>39</v>
      </c>
      <c r="F139" s="33" t="s">
        <v>43</v>
      </c>
      <c r="G139" s="40" t="s">
        <v>1753</v>
      </c>
      <c r="H139" s="40" t="s">
        <v>835</v>
      </c>
      <c r="I139" s="40"/>
      <c r="J139" s="72" t="s">
        <v>2863</v>
      </c>
      <c r="K139" s="40">
        <v>2009</v>
      </c>
      <c r="L139" s="40" t="s">
        <v>1835</v>
      </c>
      <c r="M139" s="32"/>
      <c r="N139" s="33"/>
      <c r="O139" s="40"/>
      <c r="P139" s="32" t="s">
        <v>12</v>
      </c>
      <c r="Q139" s="252">
        <v>2825626654.2934227</v>
      </c>
      <c r="R139" s="105"/>
      <c r="S139" s="206" t="str">
        <f t="shared" si="26"/>
        <v>3.11.01</v>
      </c>
      <c r="T139" s="207" t="str">
        <f t="shared" si="19"/>
        <v>BANGUNAN GEDUNG TEMPAT KERJA</v>
      </c>
      <c r="U139" s="207">
        <f t="shared" si="20"/>
        <v>50</v>
      </c>
      <c r="V139" s="233">
        <f t="shared" si="27"/>
        <v>56512532.885868452</v>
      </c>
      <c r="W139" s="233">
        <f t="shared" si="28"/>
        <v>4</v>
      </c>
      <c r="X139" s="233">
        <f t="shared" si="21"/>
        <v>226050131.54347381</v>
      </c>
      <c r="Y139" s="233">
        <f t="shared" si="22"/>
        <v>56512532.885868452</v>
      </c>
      <c r="Z139" s="233">
        <f t="shared" si="23"/>
        <v>56512532.885868452</v>
      </c>
      <c r="AA139" s="233">
        <f t="shared" si="24"/>
        <v>56512532.885868452</v>
      </c>
      <c r="AB139" s="233">
        <f t="shared" si="25"/>
        <v>56512532.885868452</v>
      </c>
      <c r="AC139" s="238">
        <f t="shared" si="29"/>
        <v>56512532.885868452</v>
      </c>
      <c r="AD139" s="238">
        <f t="shared" si="30"/>
        <v>508612795.97281599</v>
      </c>
      <c r="AE139" s="206">
        <f t="shared" si="31"/>
        <v>2009</v>
      </c>
      <c r="AF139" s="210">
        <f t="shared" si="32"/>
        <v>2317013858.3206067</v>
      </c>
      <c r="AG139" s="48" t="e">
        <f t="shared" si="36"/>
        <v>#N/A</v>
      </c>
      <c r="AH139" s="48" t="e">
        <f>IF(AG139='KIB C'!AJ:AJ,"k",0)</f>
        <v>#N/A</v>
      </c>
      <c r="AL139" s="48" t="s">
        <v>2771</v>
      </c>
      <c r="AM139" s="48" t="s">
        <v>4245</v>
      </c>
    </row>
    <row r="140" spans="1:39" s="48" customFormat="1" ht="40.5" customHeight="1" x14ac:dyDescent="0.2">
      <c r="A140" s="295" t="s">
        <v>2302</v>
      </c>
      <c r="B140" s="73"/>
      <c r="C140" s="65" t="s">
        <v>1836</v>
      </c>
      <c r="D140" s="67"/>
      <c r="E140" s="67" t="s">
        <v>39</v>
      </c>
      <c r="F140" s="33" t="s">
        <v>43</v>
      </c>
      <c r="G140" s="40" t="s">
        <v>1753</v>
      </c>
      <c r="H140" s="40" t="s">
        <v>835</v>
      </c>
      <c r="I140" s="40"/>
      <c r="J140" s="72" t="s">
        <v>417</v>
      </c>
      <c r="K140" s="40">
        <v>2009</v>
      </c>
      <c r="L140" s="40" t="s">
        <v>1837</v>
      </c>
      <c r="M140" s="32"/>
      <c r="N140" s="33"/>
      <c r="O140" s="40"/>
      <c r="P140" s="32" t="s">
        <v>12</v>
      </c>
      <c r="Q140" s="252">
        <v>824027928.92159629</v>
      </c>
      <c r="R140" s="105"/>
      <c r="S140" s="206" t="str">
        <f t="shared" si="26"/>
        <v>3.11.01</v>
      </c>
      <c r="T140" s="207" t="str">
        <f t="shared" si="19"/>
        <v>BANGUNAN GEDUNG TEMPAT KERJA</v>
      </c>
      <c r="U140" s="207">
        <f t="shared" si="20"/>
        <v>50</v>
      </c>
      <c r="V140" s="233">
        <f t="shared" si="27"/>
        <v>16480558.378431926</v>
      </c>
      <c r="W140" s="233">
        <f t="shared" si="28"/>
        <v>4</v>
      </c>
      <c r="X140" s="233">
        <f t="shared" si="21"/>
        <v>65922233.513727702</v>
      </c>
      <c r="Y140" s="233">
        <f t="shared" si="22"/>
        <v>16480558.378431926</v>
      </c>
      <c r="Z140" s="233">
        <f t="shared" si="23"/>
        <v>16480558.378431926</v>
      </c>
      <c r="AA140" s="233">
        <f t="shared" si="24"/>
        <v>16480558.378431926</v>
      </c>
      <c r="AB140" s="233">
        <f t="shared" si="25"/>
        <v>16480558.378431926</v>
      </c>
      <c r="AC140" s="238">
        <f t="shared" si="29"/>
        <v>16480558.378431926</v>
      </c>
      <c r="AD140" s="238">
        <f t="shared" si="30"/>
        <v>148325025.40588734</v>
      </c>
      <c r="AE140" s="206">
        <f t="shared" si="31"/>
        <v>2009</v>
      </c>
      <c r="AF140" s="210">
        <f t="shared" si="32"/>
        <v>675702903.51570892</v>
      </c>
      <c r="AG140" s="48" t="e">
        <f t="shared" si="36"/>
        <v>#N/A</v>
      </c>
      <c r="AH140" s="48" t="e">
        <f>IF(AG140='KIB C'!AJ:AJ,"k",0)</f>
        <v>#N/A</v>
      </c>
      <c r="AL140" s="48" t="s">
        <v>3019</v>
      </c>
      <c r="AM140" s="48" t="s">
        <v>4245</v>
      </c>
    </row>
    <row r="141" spans="1:39" s="48" customFormat="1" ht="40.5" customHeight="1" x14ac:dyDescent="0.2">
      <c r="A141" s="295" t="s">
        <v>2302</v>
      </c>
      <c r="B141" s="73"/>
      <c r="C141" s="65" t="s">
        <v>1838</v>
      </c>
      <c r="D141" s="67"/>
      <c r="E141" s="67" t="s">
        <v>39</v>
      </c>
      <c r="F141" s="33" t="s">
        <v>43</v>
      </c>
      <c r="G141" s="40" t="s">
        <v>1753</v>
      </c>
      <c r="H141" s="40" t="s">
        <v>835</v>
      </c>
      <c r="I141" s="40"/>
      <c r="J141" s="72" t="s">
        <v>2878</v>
      </c>
      <c r="K141" s="40">
        <v>2009</v>
      </c>
      <c r="L141" s="40" t="s">
        <v>1840</v>
      </c>
      <c r="M141" s="32"/>
      <c r="N141" s="33"/>
      <c r="O141" s="40"/>
      <c r="P141" s="32" t="s">
        <v>12</v>
      </c>
      <c r="Q141" s="252">
        <v>755262054.30549741</v>
      </c>
      <c r="R141" s="105"/>
      <c r="S141" s="206" t="str">
        <f t="shared" si="26"/>
        <v>3.11.01</v>
      </c>
      <c r="T141" s="207" t="str">
        <f t="shared" si="19"/>
        <v>BANGUNAN GEDUNG TEMPAT KERJA</v>
      </c>
      <c r="U141" s="207">
        <f t="shared" si="20"/>
        <v>50</v>
      </c>
      <c r="V141" s="233">
        <f t="shared" si="27"/>
        <v>15105240.886109948</v>
      </c>
      <c r="W141" s="233">
        <f t="shared" si="28"/>
        <v>4</v>
      </c>
      <c r="X141" s="233">
        <f t="shared" si="21"/>
        <v>60420963.544439793</v>
      </c>
      <c r="Y141" s="233">
        <f t="shared" si="22"/>
        <v>15105240.886109948</v>
      </c>
      <c r="Z141" s="233">
        <f t="shared" si="23"/>
        <v>15105240.886109948</v>
      </c>
      <c r="AA141" s="233">
        <f t="shared" si="24"/>
        <v>15105240.886109948</v>
      </c>
      <c r="AB141" s="233">
        <f t="shared" si="25"/>
        <v>15105240.886109948</v>
      </c>
      <c r="AC141" s="238">
        <f t="shared" si="29"/>
        <v>15105240.886109948</v>
      </c>
      <c r="AD141" s="238">
        <f t="shared" si="30"/>
        <v>135947167.97498953</v>
      </c>
      <c r="AE141" s="206">
        <f t="shared" si="31"/>
        <v>2009</v>
      </c>
      <c r="AF141" s="210">
        <f t="shared" si="32"/>
        <v>619314886.33050787</v>
      </c>
      <c r="AG141" s="48" t="e">
        <f t="shared" si="36"/>
        <v>#N/A</v>
      </c>
      <c r="AH141" s="48" t="e">
        <f>IF(AG141='KIB C'!AJ:AJ,"k",0)</f>
        <v>#N/A</v>
      </c>
      <c r="AL141" s="48" t="s">
        <v>2779</v>
      </c>
      <c r="AM141" s="48" t="s">
        <v>4245</v>
      </c>
    </row>
    <row r="142" spans="1:39" s="48" customFormat="1" ht="40.5" customHeight="1" x14ac:dyDescent="0.2">
      <c r="A142" s="295" t="s">
        <v>2302</v>
      </c>
      <c r="B142" s="73"/>
      <c r="C142" s="65" t="s">
        <v>1841</v>
      </c>
      <c r="D142" s="67"/>
      <c r="E142" s="67" t="s">
        <v>39</v>
      </c>
      <c r="F142" s="33" t="s">
        <v>43</v>
      </c>
      <c r="G142" s="40" t="s">
        <v>1753</v>
      </c>
      <c r="H142" s="40" t="s">
        <v>835</v>
      </c>
      <c r="I142" s="40">
        <v>420</v>
      </c>
      <c r="J142" s="72" t="s">
        <v>1095</v>
      </c>
      <c r="K142" s="40">
        <v>2009</v>
      </c>
      <c r="L142" s="40" t="s">
        <v>1842</v>
      </c>
      <c r="M142" s="32"/>
      <c r="N142" s="33"/>
      <c r="O142" s="40"/>
      <c r="P142" s="32" t="s">
        <v>12</v>
      </c>
      <c r="Q142" s="252">
        <v>1522324182.7031169</v>
      </c>
      <c r="R142" s="105"/>
      <c r="S142" s="206" t="str">
        <f t="shared" si="26"/>
        <v>3.11.01</v>
      </c>
      <c r="T142" s="207" t="str">
        <f t="shared" ref="T142:T205" si="37">VLOOKUP(S142,kelompok,2,0)</f>
        <v>BANGUNAN GEDUNG TEMPAT KERJA</v>
      </c>
      <c r="U142" s="207">
        <f t="shared" ref="U142:U205" si="38">VLOOKUP(S142,MASAMANFAAT,4,0)</f>
        <v>50</v>
      </c>
      <c r="V142" s="233">
        <f t="shared" si="27"/>
        <v>30446483.454062339</v>
      </c>
      <c r="W142" s="233">
        <f t="shared" si="28"/>
        <v>4</v>
      </c>
      <c r="X142" s="233">
        <f t="shared" ref="X142:X205" si="39">IF(W142&gt;U142,Q142-10,V142*W142)</f>
        <v>121785933.81624936</v>
      </c>
      <c r="Y142" s="233">
        <f t="shared" ref="Y142:Y205" si="40">IF(Q142-10=X142,0,V142)</f>
        <v>30446483.454062339</v>
      </c>
      <c r="Z142" s="233">
        <f t="shared" ref="Z142:Z205" si="41">IF(Q142-10=X142+Y142,0,V142)</f>
        <v>30446483.454062339</v>
      </c>
      <c r="AA142" s="233">
        <f t="shared" ref="AA142:AA205" si="42">IF(Q142-10=X142+Y142+Z142,0,V142)</f>
        <v>30446483.454062339</v>
      </c>
      <c r="AB142" s="233">
        <f t="shared" ref="AB142:AB205" si="43">IF(Q142-10=X142+Y142+Z142+AA142,0,V142)</f>
        <v>30446483.454062339</v>
      </c>
      <c r="AC142" s="238">
        <f t="shared" si="29"/>
        <v>30446483.454062339</v>
      </c>
      <c r="AD142" s="238">
        <f t="shared" si="30"/>
        <v>274018351.08656102</v>
      </c>
      <c r="AE142" s="206">
        <f t="shared" si="31"/>
        <v>2009</v>
      </c>
      <c r="AF142" s="210">
        <f t="shared" si="32"/>
        <v>1248305831.6165559</v>
      </c>
      <c r="AG142" s="48" t="str">
        <f t="shared" si="36"/>
        <v>K</v>
      </c>
      <c r="AL142" s="48" t="s">
        <v>2729</v>
      </c>
      <c r="AM142" s="48" t="s">
        <v>4245</v>
      </c>
    </row>
    <row r="143" spans="1:39" s="48" customFormat="1" ht="40.5" customHeight="1" x14ac:dyDescent="0.2">
      <c r="A143" s="295" t="s">
        <v>2302</v>
      </c>
      <c r="B143" s="73"/>
      <c r="C143" s="65" t="s">
        <v>1843</v>
      </c>
      <c r="D143" s="67"/>
      <c r="E143" s="67"/>
      <c r="F143" s="33" t="s">
        <v>43</v>
      </c>
      <c r="G143" s="40" t="s">
        <v>1753</v>
      </c>
      <c r="H143" s="40" t="s">
        <v>835</v>
      </c>
      <c r="I143" s="40"/>
      <c r="J143" s="72" t="s">
        <v>2879</v>
      </c>
      <c r="K143" s="40">
        <v>2009</v>
      </c>
      <c r="L143" s="40"/>
      <c r="M143" s="32"/>
      <c r="N143" s="33"/>
      <c r="O143" s="40"/>
      <c r="P143" s="32" t="s">
        <v>12</v>
      </c>
      <c r="Q143" s="252">
        <v>102500000</v>
      </c>
      <c r="R143" s="105"/>
      <c r="S143" s="206" t="str">
        <f t="shared" ref="S143:S206" si="44">A143</f>
        <v>3.11.01</v>
      </c>
      <c r="T143" s="207" t="str">
        <f t="shared" si="37"/>
        <v>BANGUNAN GEDUNG TEMPAT KERJA</v>
      </c>
      <c r="U143" s="207">
        <f t="shared" si="38"/>
        <v>50</v>
      </c>
      <c r="V143" s="233">
        <f t="shared" ref="V143:V206" si="45">(Q143-10)/U143</f>
        <v>2049999.8</v>
      </c>
      <c r="W143" s="233">
        <f t="shared" ref="W143:W206" si="46">2013-AE143</f>
        <v>4</v>
      </c>
      <c r="X143" s="233">
        <f t="shared" si="39"/>
        <v>8199999.2000000002</v>
      </c>
      <c r="Y143" s="233">
        <f t="shared" si="40"/>
        <v>2049999.8</v>
      </c>
      <c r="Z143" s="233">
        <f t="shared" si="41"/>
        <v>2049999.8</v>
      </c>
      <c r="AA143" s="233">
        <f t="shared" si="42"/>
        <v>2049999.8</v>
      </c>
      <c r="AB143" s="233">
        <f t="shared" si="43"/>
        <v>2049999.8</v>
      </c>
      <c r="AC143" s="238">
        <f t="shared" ref="AC143:AC206" si="47">IF(Q143-10=X143+Y143+Z143+AA143+AB143,0,V143)</f>
        <v>2049999.8</v>
      </c>
      <c r="AD143" s="238">
        <f t="shared" ref="AD143:AD206" si="48">SUM(X143:AC143)</f>
        <v>18449998.200000003</v>
      </c>
      <c r="AE143" s="206">
        <f t="shared" ref="AE143:AE206" si="49">K143</f>
        <v>2009</v>
      </c>
      <c r="AF143" s="210">
        <f t="shared" ref="AF143:AF206" si="50">Q143-AD143</f>
        <v>84050001.799999997</v>
      </c>
      <c r="AG143" s="48" t="e">
        <f t="shared" si="36"/>
        <v>#N/A</v>
      </c>
      <c r="AH143" s="48" t="e">
        <f>IF(AG143='KIB C'!AJ:AJ,"k",0)</f>
        <v>#N/A</v>
      </c>
      <c r="AL143" s="48" t="s">
        <v>2980</v>
      </c>
      <c r="AM143" s="48" t="s">
        <v>4245</v>
      </c>
    </row>
    <row r="144" spans="1:39" s="48" customFormat="1" ht="40.5" customHeight="1" x14ac:dyDescent="0.2">
      <c r="A144" s="295" t="s">
        <v>2302</v>
      </c>
      <c r="B144" s="73"/>
      <c r="C144" s="65" t="s">
        <v>1845</v>
      </c>
      <c r="D144" s="67" t="s">
        <v>1752</v>
      </c>
      <c r="E144" s="67" t="s">
        <v>39</v>
      </c>
      <c r="F144" s="33" t="s">
        <v>43</v>
      </c>
      <c r="G144" s="40" t="s">
        <v>1753</v>
      </c>
      <c r="H144" s="40" t="s">
        <v>835</v>
      </c>
      <c r="I144" s="40"/>
      <c r="J144" s="72" t="s">
        <v>2880</v>
      </c>
      <c r="K144" s="40">
        <v>2011</v>
      </c>
      <c r="L144" s="40" t="s">
        <v>1846</v>
      </c>
      <c r="M144" s="32"/>
      <c r="N144" s="33"/>
      <c r="O144" s="40"/>
      <c r="P144" s="32" t="s">
        <v>12</v>
      </c>
      <c r="Q144" s="252">
        <v>370613224.82403874</v>
      </c>
      <c r="R144" s="105"/>
      <c r="S144" s="206" t="str">
        <f t="shared" si="44"/>
        <v>3.11.01</v>
      </c>
      <c r="T144" s="207" t="str">
        <f t="shared" si="37"/>
        <v>BANGUNAN GEDUNG TEMPAT KERJA</v>
      </c>
      <c r="U144" s="207">
        <f t="shared" si="38"/>
        <v>50</v>
      </c>
      <c r="V144" s="233">
        <f t="shared" si="45"/>
        <v>7412264.2964807749</v>
      </c>
      <c r="W144" s="233">
        <f t="shared" si="46"/>
        <v>2</v>
      </c>
      <c r="X144" s="233">
        <f t="shared" si="39"/>
        <v>14824528.59296155</v>
      </c>
      <c r="Y144" s="233">
        <f t="shared" si="40"/>
        <v>7412264.2964807749</v>
      </c>
      <c r="Z144" s="233">
        <f t="shared" si="41"/>
        <v>7412264.2964807749</v>
      </c>
      <c r="AA144" s="233">
        <f t="shared" si="42"/>
        <v>7412264.2964807749</v>
      </c>
      <c r="AB144" s="233">
        <f t="shared" si="43"/>
        <v>7412264.2964807749</v>
      </c>
      <c r="AC144" s="238">
        <f t="shared" si="47"/>
        <v>7412264.2964807749</v>
      </c>
      <c r="AD144" s="238">
        <f t="shared" si="48"/>
        <v>51885850.075365424</v>
      </c>
      <c r="AE144" s="206">
        <f t="shared" si="49"/>
        <v>2011</v>
      </c>
      <c r="AF144" s="210">
        <f t="shared" si="50"/>
        <v>318727374.74867332</v>
      </c>
      <c r="AG144" s="48" t="str">
        <f t="shared" si="36"/>
        <v>K</v>
      </c>
      <c r="AL144" s="48" t="s">
        <v>2831</v>
      </c>
      <c r="AM144" s="48" t="s">
        <v>4245</v>
      </c>
    </row>
    <row r="145" spans="1:39" s="48" customFormat="1" ht="40.5" customHeight="1" x14ac:dyDescent="0.2">
      <c r="A145" s="295" t="s">
        <v>2302</v>
      </c>
      <c r="B145" s="73"/>
      <c r="C145" s="65" t="s">
        <v>1847</v>
      </c>
      <c r="D145" s="67" t="s">
        <v>1752</v>
      </c>
      <c r="E145" s="67" t="s">
        <v>68</v>
      </c>
      <c r="F145" s="33" t="s">
        <v>43</v>
      </c>
      <c r="G145" s="40" t="s">
        <v>1753</v>
      </c>
      <c r="H145" s="40" t="s">
        <v>835</v>
      </c>
      <c r="I145" s="40">
        <v>400</v>
      </c>
      <c r="J145" s="72" t="s">
        <v>423</v>
      </c>
      <c r="K145" s="40">
        <v>2011</v>
      </c>
      <c r="L145" s="40" t="s">
        <v>1848</v>
      </c>
      <c r="M145" s="32"/>
      <c r="N145" s="33"/>
      <c r="O145" s="40"/>
      <c r="P145" s="32" t="s">
        <v>12</v>
      </c>
      <c r="Q145" s="252">
        <v>462952428.51459199</v>
      </c>
      <c r="R145" s="105"/>
      <c r="S145" s="206" t="str">
        <f t="shared" si="44"/>
        <v>3.11.01</v>
      </c>
      <c r="T145" s="207" t="str">
        <f t="shared" si="37"/>
        <v>BANGUNAN GEDUNG TEMPAT KERJA</v>
      </c>
      <c r="U145" s="207">
        <f t="shared" si="38"/>
        <v>50</v>
      </c>
      <c r="V145" s="233">
        <f t="shared" si="45"/>
        <v>9259048.3702918403</v>
      </c>
      <c r="W145" s="233">
        <f t="shared" si="46"/>
        <v>2</v>
      </c>
      <c r="X145" s="233">
        <f t="shared" si="39"/>
        <v>18518096.740583681</v>
      </c>
      <c r="Y145" s="233">
        <f t="shared" si="40"/>
        <v>9259048.3702918403</v>
      </c>
      <c r="Z145" s="233">
        <f t="shared" si="41"/>
        <v>9259048.3702918403</v>
      </c>
      <c r="AA145" s="233">
        <f t="shared" si="42"/>
        <v>9259048.3702918403</v>
      </c>
      <c r="AB145" s="233">
        <f t="shared" si="43"/>
        <v>9259048.3702918403</v>
      </c>
      <c r="AC145" s="238">
        <f t="shared" si="47"/>
        <v>9259048.3702918403</v>
      </c>
      <c r="AD145" s="238">
        <f t="shared" si="48"/>
        <v>64813338.592042893</v>
      </c>
      <c r="AE145" s="206">
        <f t="shared" si="49"/>
        <v>2011</v>
      </c>
      <c r="AF145" s="210">
        <f t="shared" si="50"/>
        <v>398139089.92254913</v>
      </c>
      <c r="AG145" s="48" t="e">
        <f t="shared" si="36"/>
        <v>#N/A</v>
      </c>
      <c r="AH145" s="48" t="e">
        <f>IF(AG145='KIB C'!AJ:AJ,"k",0)</f>
        <v>#N/A</v>
      </c>
      <c r="AL145" s="48" t="s">
        <v>2727</v>
      </c>
      <c r="AM145" s="48" t="s">
        <v>4245</v>
      </c>
    </row>
    <row r="146" spans="1:39" s="48" customFormat="1" ht="40.5" customHeight="1" x14ac:dyDescent="0.2">
      <c r="A146" s="295" t="s">
        <v>2302</v>
      </c>
      <c r="B146" s="73"/>
      <c r="C146" s="65" t="s">
        <v>1849</v>
      </c>
      <c r="D146" s="67" t="s">
        <v>1752</v>
      </c>
      <c r="E146" s="67" t="s">
        <v>1765</v>
      </c>
      <c r="F146" s="33" t="s">
        <v>43</v>
      </c>
      <c r="G146" s="40" t="s">
        <v>1753</v>
      </c>
      <c r="H146" s="40" t="s">
        <v>835</v>
      </c>
      <c r="I146" s="40">
        <v>400</v>
      </c>
      <c r="J146" s="72" t="s">
        <v>1094</v>
      </c>
      <c r="K146" s="40">
        <v>2011</v>
      </c>
      <c r="L146" s="40" t="s">
        <v>1850</v>
      </c>
      <c r="M146" s="32"/>
      <c r="N146" s="33"/>
      <c r="O146" s="40"/>
      <c r="P146" s="32" t="s">
        <v>12</v>
      </c>
      <c r="Q146" s="252">
        <v>467879027.63128942</v>
      </c>
      <c r="R146" s="105"/>
      <c r="S146" s="206" t="str">
        <f t="shared" si="44"/>
        <v>3.11.01</v>
      </c>
      <c r="T146" s="207" t="str">
        <f t="shared" si="37"/>
        <v>BANGUNAN GEDUNG TEMPAT KERJA</v>
      </c>
      <c r="U146" s="207">
        <f t="shared" si="38"/>
        <v>50</v>
      </c>
      <c r="V146" s="233">
        <f t="shared" si="45"/>
        <v>9357580.3526257891</v>
      </c>
      <c r="W146" s="233">
        <f t="shared" si="46"/>
        <v>2</v>
      </c>
      <c r="X146" s="233">
        <f t="shared" si="39"/>
        <v>18715160.705251578</v>
      </c>
      <c r="Y146" s="233">
        <f t="shared" si="40"/>
        <v>9357580.3526257891</v>
      </c>
      <c r="Z146" s="233">
        <f t="shared" si="41"/>
        <v>9357580.3526257891</v>
      </c>
      <c r="AA146" s="233">
        <f t="shared" si="42"/>
        <v>9357580.3526257891</v>
      </c>
      <c r="AB146" s="233">
        <f t="shared" si="43"/>
        <v>9357580.3526257891</v>
      </c>
      <c r="AC146" s="238">
        <f t="shared" si="47"/>
        <v>9357580.3526257891</v>
      </c>
      <c r="AD146" s="238">
        <f t="shared" si="48"/>
        <v>65503062.468380518</v>
      </c>
      <c r="AE146" s="206">
        <f t="shared" si="49"/>
        <v>2011</v>
      </c>
      <c r="AF146" s="210">
        <f t="shared" si="50"/>
        <v>402375965.16290891</v>
      </c>
      <c r="AG146" s="48" t="str">
        <f t="shared" si="36"/>
        <v>K</v>
      </c>
      <c r="AL146" s="48" t="s">
        <v>2731</v>
      </c>
      <c r="AM146" s="48" t="s">
        <v>4245</v>
      </c>
    </row>
    <row r="147" spans="1:39" s="48" customFormat="1" ht="40.5" customHeight="1" x14ac:dyDescent="0.2">
      <c r="A147" s="295" t="s">
        <v>2302</v>
      </c>
      <c r="B147" s="73"/>
      <c r="C147" s="65" t="s">
        <v>1851</v>
      </c>
      <c r="D147" s="67" t="s">
        <v>1752</v>
      </c>
      <c r="E147" s="67" t="s">
        <v>1768</v>
      </c>
      <c r="F147" s="33" t="s">
        <v>43</v>
      </c>
      <c r="G147" s="40" t="s">
        <v>1753</v>
      </c>
      <c r="H147" s="40" t="s">
        <v>835</v>
      </c>
      <c r="I147" s="40">
        <v>400</v>
      </c>
      <c r="J147" s="72" t="s">
        <v>2881</v>
      </c>
      <c r="K147" s="40">
        <v>2011</v>
      </c>
      <c r="L147" s="40" t="s">
        <v>1853</v>
      </c>
      <c r="M147" s="32"/>
      <c r="N147" s="33"/>
      <c r="O147" s="40"/>
      <c r="P147" s="32" t="s">
        <v>12</v>
      </c>
      <c r="Q147" s="252">
        <v>352125359.74023843</v>
      </c>
      <c r="R147" s="105"/>
      <c r="S147" s="206" t="str">
        <f t="shared" si="44"/>
        <v>3.11.01</v>
      </c>
      <c r="T147" s="207" t="str">
        <f t="shared" si="37"/>
        <v>BANGUNAN GEDUNG TEMPAT KERJA</v>
      </c>
      <c r="U147" s="207">
        <f t="shared" si="38"/>
        <v>50</v>
      </c>
      <c r="V147" s="233">
        <f t="shared" si="45"/>
        <v>7042506.9948047688</v>
      </c>
      <c r="W147" s="233">
        <f t="shared" si="46"/>
        <v>2</v>
      </c>
      <c r="X147" s="233">
        <f t="shared" si="39"/>
        <v>14085013.989609538</v>
      </c>
      <c r="Y147" s="233">
        <f t="shared" si="40"/>
        <v>7042506.9948047688</v>
      </c>
      <c r="Z147" s="233">
        <f t="shared" si="41"/>
        <v>7042506.9948047688</v>
      </c>
      <c r="AA147" s="233">
        <f t="shared" si="42"/>
        <v>7042506.9948047688</v>
      </c>
      <c r="AB147" s="233">
        <f t="shared" si="43"/>
        <v>7042506.9948047688</v>
      </c>
      <c r="AC147" s="238">
        <f t="shared" si="47"/>
        <v>7042506.9948047688</v>
      </c>
      <c r="AD147" s="238">
        <f t="shared" si="48"/>
        <v>49297548.963633381</v>
      </c>
      <c r="AE147" s="206">
        <f t="shared" si="49"/>
        <v>2011</v>
      </c>
      <c r="AF147" s="210">
        <f t="shared" si="50"/>
        <v>302827810.77660507</v>
      </c>
      <c r="AG147" s="48" t="e">
        <f t="shared" si="36"/>
        <v>#N/A</v>
      </c>
      <c r="AH147" s="48" t="e">
        <f>IF(AG147='KIB C'!AJ:AJ,"k",0)</f>
        <v>#N/A</v>
      </c>
      <c r="AL147" s="48" t="s">
        <v>2976</v>
      </c>
      <c r="AM147" s="48" t="s">
        <v>4245</v>
      </c>
    </row>
    <row r="148" spans="1:39" s="48" customFormat="1" ht="40.5" customHeight="1" x14ac:dyDescent="0.2">
      <c r="A148" s="295" t="s">
        <v>2302</v>
      </c>
      <c r="B148" s="73"/>
      <c r="C148" s="65" t="s">
        <v>1854</v>
      </c>
      <c r="D148" s="67" t="s">
        <v>1752</v>
      </c>
      <c r="E148" s="67" t="s">
        <v>1855</v>
      </c>
      <c r="F148" s="33" t="s">
        <v>43</v>
      </c>
      <c r="G148" s="40" t="s">
        <v>1753</v>
      </c>
      <c r="H148" s="40" t="s">
        <v>835</v>
      </c>
      <c r="I148" s="40" t="s">
        <v>9</v>
      </c>
      <c r="J148" s="72" t="s">
        <v>417</v>
      </c>
      <c r="K148" s="40">
        <v>2011</v>
      </c>
      <c r="L148" s="40"/>
      <c r="M148" s="32"/>
      <c r="N148" s="33"/>
      <c r="O148" s="40"/>
      <c r="P148" s="32" t="s">
        <v>12</v>
      </c>
      <c r="Q148" s="252">
        <v>44841446.885704212</v>
      </c>
      <c r="R148" s="105"/>
      <c r="S148" s="206" t="str">
        <f t="shared" si="44"/>
        <v>3.11.01</v>
      </c>
      <c r="T148" s="207" t="str">
        <f t="shared" si="37"/>
        <v>BANGUNAN GEDUNG TEMPAT KERJA</v>
      </c>
      <c r="U148" s="207">
        <f t="shared" si="38"/>
        <v>50</v>
      </c>
      <c r="V148" s="233">
        <f t="shared" si="45"/>
        <v>896828.73771408421</v>
      </c>
      <c r="W148" s="233">
        <f t="shared" si="46"/>
        <v>2</v>
      </c>
      <c r="X148" s="233">
        <f t="shared" si="39"/>
        <v>1793657.4754281684</v>
      </c>
      <c r="Y148" s="233">
        <f t="shared" si="40"/>
        <v>896828.73771408421</v>
      </c>
      <c r="Z148" s="233">
        <f t="shared" si="41"/>
        <v>896828.73771408421</v>
      </c>
      <c r="AA148" s="233">
        <f t="shared" si="42"/>
        <v>896828.73771408421</v>
      </c>
      <c r="AB148" s="233">
        <f t="shared" si="43"/>
        <v>896828.73771408421</v>
      </c>
      <c r="AC148" s="238">
        <f t="shared" si="47"/>
        <v>896828.73771408421</v>
      </c>
      <c r="AD148" s="238">
        <f t="shared" si="48"/>
        <v>6277801.1639985889</v>
      </c>
      <c r="AE148" s="206">
        <f t="shared" si="49"/>
        <v>2011</v>
      </c>
      <c r="AF148" s="210">
        <f t="shared" si="50"/>
        <v>38563645.721705623</v>
      </c>
      <c r="AG148" s="48" t="e">
        <f t="shared" si="36"/>
        <v>#N/A</v>
      </c>
      <c r="AH148" s="48" t="e">
        <f>IF(AG148='KIB C'!AJ:AJ,"k",0)</f>
        <v>#N/A</v>
      </c>
      <c r="AL148" s="48" t="s">
        <v>3012</v>
      </c>
      <c r="AM148" s="48" t="s">
        <v>4245</v>
      </c>
    </row>
    <row r="149" spans="1:39" s="48" customFormat="1" ht="40.5" customHeight="1" x14ac:dyDescent="0.2">
      <c r="A149" s="295" t="s">
        <v>2302</v>
      </c>
      <c r="B149" s="73"/>
      <c r="C149" s="65" t="s">
        <v>1856</v>
      </c>
      <c r="D149" s="67" t="s">
        <v>1752</v>
      </c>
      <c r="E149" s="67" t="s">
        <v>1857</v>
      </c>
      <c r="F149" s="33" t="s">
        <v>43</v>
      </c>
      <c r="G149" s="40" t="s">
        <v>1753</v>
      </c>
      <c r="H149" s="40" t="s">
        <v>835</v>
      </c>
      <c r="I149" s="40">
        <v>1139</v>
      </c>
      <c r="J149" s="72" t="s">
        <v>2882</v>
      </c>
      <c r="K149" s="40">
        <v>2011</v>
      </c>
      <c r="L149" s="40" t="s">
        <v>1859</v>
      </c>
      <c r="M149" s="32"/>
      <c r="N149" s="33"/>
      <c r="O149" s="40"/>
      <c r="P149" s="32" t="s">
        <v>12</v>
      </c>
      <c r="Q149" s="252">
        <v>204084502.48363465</v>
      </c>
      <c r="R149" s="105"/>
      <c r="S149" s="206" t="str">
        <f t="shared" si="44"/>
        <v>3.11.01</v>
      </c>
      <c r="T149" s="207" t="str">
        <f t="shared" si="37"/>
        <v>BANGUNAN GEDUNG TEMPAT KERJA</v>
      </c>
      <c r="U149" s="207">
        <f t="shared" si="38"/>
        <v>50</v>
      </c>
      <c r="V149" s="233">
        <f t="shared" si="45"/>
        <v>4081689.8496726928</v>
      </c>
      <c r="W149" s="233">
        <f t="shared" si="46"/>
        <v>2</v>
      </c>
      <c r="X149" s="233">
        <f t="shared" si="39"/>
        <v>8163379.6993453857</v>
      </c>
      <c r="Y149" s="233">
        <f t="shared" si="40"/>
        <v>4081689.8496726928</v>
      </c>
      <c r="Z149" s="233">
        <f t="shared" si="41"/>
        <v>4081689.8496726928</v>
      </c>
      <c r="AA149" s="233">
        <f t="shared" si="42"/>
        <v>4081689.8496726928</v>
      </c>
      <c r="AB149" s="233">
        <f t="shared" si="43"/>
        <v>4081689.8496726928</v>
      </c>
      <c r="AC149" s="238">
        <f t="shared" si="47"/>
        <v>4081689.8496726928</v>
      </c>
      <c r="AD149" s="238">
        <f t="shared" si="48"/>
        <v>28571828.947708853</v>
      </c>
      <c r="AE149" s="206">
        <f t="shared" si="49"/>
        <v>2011</v>
      </c>
      <c r="AF149" s="210">
        <f t="shared" si="50"/>
        <v>175512673.53592581</v>
      </c>
      <c r="AG149" s="48" t="e">
        <f t="shared" si="36"/>
        <v>#N/A</v>
      </c>
      <c r="AH149" s="48" t="e">
        <f>IF(AG149='KIB C'!AJ:AJ,"k",0)</f>
        <v>#N/A</v>
      </c>
      <c r="AL149" s="48" t="s">
        <v>2981</v>
      </c>
      <c r="AM149" s="48" t="s">
        <v>4245</v>
      </c>
    </row>
    <row r="150" spans="1:39" s="48" customFormat="1" ht="40.5" customHeight="1" x14ac:dyDescent="0.2">
      <c r="A150" s="295" t="s">
        <v>2302</v>
      </c>
      <c r="B150" s="73"/>
      <c r="C150" s="65" t="s">
        <v>1860</v>
      </c>
      <c r="D150" s="67" t="s">
        <v>1752</v>
      </c>
      <c r="E150" s="67" t="s">
        <v>1861</v>
      </c>
      <c r="F150" s="33" t="s">
        <v>43</v>
      </c>
      <c r="G150" s="40" t="s">
        <v>1753</v>
      </c>
      <c r="H150" s="40" t="s">
        <v>835</v>
      </c>
      <c r="I150" s="40" t="s">
        <v>9</v>
      </c>
      <c r="J150" s="72" t="s">
        <v>2883</v>
      </c>
      <c r="K150" s="40">
        <v>2011</v>
      </c>
      <c r="L150" s="40" t="s">
        <v>1862</v>
      </c>
      <c r="M150" s="32"/>
      <c r="N150" s="33"/>
      <c r="O150" s="40"/>
      <c r="P150" s="32" t="s">
        <v>12</v>
      </c>
      <c r="Q150" s="252">
        <v>597829835.18074048</v>
      </c>
      <c r="R150" s="105"/>
      <c r="S150" s="206" t="str">
        <f t="shared" si="44"/>
        <v>3.11.01</v>
      </c>
      <c r="T150" s="207" t="str">
        <f t="shared" si="37"/>
        <v>BANGUNAN GEDUNG TEMPAT KERJA</v>
      </c>
      <c r="U150" s="207">
        <f t="shared" si="38"/>
        <v>50</v>
      </c>
      <c r="V150" s="233">
        <f t="shared" si="45"/>
        <v>11956596.503614809</v>
      </c>
      <c r="W150" s="233">
        <f t="shared" si="46"/>
        <v>2</v>
      </c>
      <c r="X150" s="233">
        <f t="shared" si="39"/>
        <v>23913193.007229619</v>
      </c>
      <c r="Y150" s="233">
        <f t="shared" si="40"/>
        <v>11956596.503614809</v>
      </c>
      <c r="Z150" s="233">
        <f t="shared" si="41"/>
        <v>11956596.503614809</v>
      </c>
      <c r="AA150" s="233">
        <f t="shared" si="42"/>
        <v>11956596.503614809</v>
      </c>
      <c r="AB150" s="233">
        <f t="shared" si="43"/>
        <v>11956596.503614809</v>
      </c>
      <c r="AC150" s="238">
        <f t="shared" si="47"/>
        <v>11956596.503614809</v>
      </c>
      <c r="AD150" s="238">
        <f t="shared" si="48"/>
        <v>83696175.525303677</v>
      </c>
      <c r="AE150" s="206">
        <f t="shared" si="49"/>
        <v>2011</v>
      </c>
      <c r="AF150" s="210">
        <f t="shared" si="50"/>
        <v>514133659.65543681</v>
      </c>
      <c r="AG150" s="48" t="str">
        <f t="shared" si="36"/>
        <v>K</v>
      </c>
      <c r="AL150" s="48" t="s">
        <v>2851</v>
      </c>
      <c r="AM150" s="48" t="s">
        <v>4245</v>
      </c>
    </row>
    <row r="151" spans="1:39" s="48" customFormat="1" ht="40.5" customHeight="1" x14ac:dyDescent="0.2">
      <c r="A151" s="295" t="s">
        <v>2302</v>
      </c>
      <c r="B151" s="73"/>
      <c r="C151" s="65" t="s">
        <v>1863</v>
      </c>
      <c r="D151" s="67" t="s">
        <v>1752</v>
      </c>
      <c r="E151" s="67" t="s">
        <v>1864</v>
      </c>
      <c r="F151" s="33" t="s">
        <v>43</v>
      </c>
      <c r="G151" s="40" t="s">
        <v>1753</v>
      </c>
      <c r="H151" s="40" t="s">
        <v>835</v>
      </c>
      <c r="I151" s="40"/>
      <c r="J151" s="72" t="s">
        <v>2882</v>
      </c>
      <c r="K151" s="40">
        <v>2011</v>
      </c>
      <c r="L151" s="40" t="s">
        <v>1865</v>
      </c>
      <c r="M151" s="32"/>
      <c r="N151" s="33"/>
      <c r="O151" s="40"/>
      <c r="P151" s="32" t="s">
        <v>12</v>
      </c>
      <c r="Q151" s="252">
        <v>174282042.58594951</v>
      </c>
      <c r="R151" s="105"/>
      <c r="S151" s="206" t="str">
        <f t="shared" si="44"/>
        <v>3.11.01</v>
      </c>
      <c r="T151" s="207" t="str">
        <f t="shared" si="37"/>
        <v>BANGUNAN GEDUNG TEMPAT KERJA</v>
      </c>
      <c r="U151" s="207">
        <f t="shared" si="38"/>
        <v>50</v>
      </c>
      <c r="V151" s="233">
        <f t="shared" si="45"/>
        <v>3485640.6517189904</v>
      </c>
      <c r="W151" s="233">
        <f t="shared" si="46"/>
        <v>2</v>
      </c>
      <c r="X151" s="233">
        <f t="shared" si="39"/>
        <v>6971281.3034379808</v>
      </c>
      <c r="Y151" s="233">
        <f t="shared" si="40"/>
        <v>3485640.6517189904</v>
      </c>
      <c r="Z151" s="233">
        <f t="shared" si="41"/>
        <v>3485640.6517189904</v>
      </c>
      <c r="AA151" s="233">
        <f t="shared" si="42"/>
        <v>3485640.6517189904</v>
      </c>
      <c r="AB151" s="233">
        <f t="shared" si="43"/>
        <v>3485640.6517189904</v>
      </c>
      <c r="AC151" s="238">
        <f t="shared" si="47"/>
        <v>3485640.6517189904</v>
      </c>
      <c r="AD151" s="238">
        <f t="shared" si="48"/>
        <v>24399484.562032931</v>
      </c>
      <c r="AE151" s="206">
        <f t="shared" si="49"/>
        <v>2011</v>
      </c>
      <c r="AF151" s="210">
        <f t="shared" si="50"/>
        <v>149882558.02391657</v>
      </c>
      <c r="AG151" s="48" t="str">
        <f t="shared" si="36"/>
        <v>K</v>
      </c>
      <c r="AL151" s="48" t="s">
        <v>4230</v>
      </c>
      <c r="AM151" s="48" t="s">
        <v>4245</v>
      </c>
    </row>
    <row r="152" spans="1:39" s="48" customFormat="1" ht="40.5" customHeight="1" x14ac:dyDescent="0.2">
      <c r="A152" s="295" t="s">
        <v>2302</v>
      </c>
      <c r="B152" s="73"/>
      <c r="C152" s="65" t="s">
        <v>1866</v>
      </c>
      <c r="D152" s="67" t="s">
        <v>1867</v>
      </c>
      <c r="E152" s="67" t="s">
        <v>39</v>
      </c>
      <c r="F152" s="33" t="s">
        <v>43</v>
      </c>
      <c r="G152" s="40" t="s">
        <v>1753</v>
      </c>
      <c r="H152" s="40" t="s">
        <v>835</v>
      </c>
      <c r="I152" s="40"/>
      <c r="J152" s="72" t="s">
        <v>417</v>
      </c>
      <c r="K152" s="40">
        <v>2011</v>
      </c>
      <c r="L152" s="40" t="s">
        <v>1868</v>
      </c>
      <c r="M152" s="32"/>
      <c r="N152" s="33"/>
      <c r="O152" s="40"/>
      <c r="P152" s="32" t="s">
        <v>12</v>
      </c>
      <c r="Q152" s="252">
        <v>295881353.59703356</v>
      </c>
      <c r="R152" s="105"/>
      <c r="S152" s="206" t="str">
        <f t="shared" si="44"/>
        <v>3.11.01</v>
      </c>
      <c r="T152" s="207" t="str">
        <f t="shared" si="37"/>
        <v>BANGUNAN GEDUNG TEMPAT KERJA</v>
      </c>
      <c r="U152" s="207">
        <f t="shared" si="38"/>
        <v>50</v>
      </c>
      <c r="V152" s="233">
        <f t="shared" si="45"/>
        <v>5917626.8719406715</v>
      </c>
      <c r="W152" s="233">
        <f t="shared" si="46"/>
        <v>2</v>
      </c>
      <c r="X152" s="233">
        <f t="shared" si="39"/>
        <v>11835253.743881343</v>
      </c>
      <c r="Y152" s="233">
        <f t="shared" si="40"/>
        <v>5917626.8719406715</v>
      </c>
      <c r="Z152" s="233">
        <f t="shared" si="41"/>
        <v>5917626.8719406715</v>
      </c>
      <c r="AA152" s="233">
        <f t="shared" si="42"/>
        <v>5917626.8719406715</v>
      </c>
      <c r="AB152" s="233">
        <f t="shared" si="43"/>
        <v>5917626.8719406715</v>
      </c>
      <c r="AC152" s="238">
        <f t="shared" si="47"/>
        <v>5917626.8719406715</v>
      </c>
      <c r="AD152" s="238">
        <f t="shared" si="48"/>
        <v>41423388.103584699</v>
      </c>
      <c r="AE152" s="206">
        <f t="shared" si="49"/>
        <v>2011</v>
      </c>
      <c r="AF152" s="210">
        <f t="shared" si="50"/>
        <v>254457965.49344885</v>
      </c>
      <c r="AG152" s="48" t="e">
        <f t="shared" si="36"/>
        <v>#N/A</v>
      </c>
      <c r="AH152" s="48" t="e">
        <f>IF(AG152='KIB C'!AJ:AJ,"k",0)</f>
        <v>#N/A</v>
      </c>
      <c r="AL152" s="48" t="s">
        <v>2806</v>
      </c>
      <c r="AM152" s="48" t="s">
        <v>4245</v>
      </c>
    </row>
    <row r="153" spans="1:39" s="48" customFormat="1" ht="40.5" customHeight="1" x14ac:dyDescent="0.2">
      <c r="A153" s="295" t="s">
        <v>2302</v>
      </c>
      <c r="B153" s="73"/>
      <c r="C153" s="65" t="s">
        <v>1869</v>
      </c>
      <c r="D153" s="67" t="s">
        <v>1752</v>
      </c>
      <c r="E153" s="67" t="s">
        <v>1870</v>
      </c>
      <c r="F153" s="33" t="s">
        <v>43</v>
      </c>
      <c r="G153" s="40" t="s">
        <v>1753</v>
      </c>
      <c r="H153" s="40" t="s">
        <v>835</v>
      </c>
      <c r="I153" s="40"/>
      <c r="J153" s="72" t="s">
        <v>2884</v>
      </c>
      <c r="K153" s="40">
        <v>2011</v>
      </c>
      <c r="L153" s="40" t="s">
        <v>1872</v>
      </c>
      <c r="M153" s="32"/>
      <c r="N153" s="33"/>
      <c r="O153" s="40"/>
      <c r="P153" s="32" t="s">
        <v>12</v>
      </c>
      <c r="Q153" s="252">
        <v>370753609.40306878</v>
      </c>
      <c r="R153" s="105"/>
      <c r="S153" s="206" t="str">
        <f t="shared" si="44"/>
        <v>3.11.01</v>
      </c>
      <c r="T153" s="207" t="str">
        <f t="shared" si="37"/>
        <v>BANGUNAN GEDUNG TEMPAT KERJA</v>
      </c>
      <c r="U153" s="207">
        <f t="shared" si="38"/>
        <v>50</v>
      </c>
      <c r="V153" s="233">
        <f t="shared" si="45"/>
        <v>7415071.9880613759</v>
      </c>
      <c r="W153" s="233">
        <f t="shared" si="46"/>
        <v>2</v>
      </c>
      <c r="X153" s="233">
        <f t="shared" si="39"/>
        <v>14830143.976122752</v>
      </c>
      <c r="Y153" s="233">
        <f t="shared" si="40"/>
        <v>7415071.9880613759</v>
      </c>
      <c r="Z153" s="233">
        <f t="shared" si="41"/>
        <v>7415071.9880613759</v>
      </c>
      <c r="AA153" s="233">
        <f t="shared" si="42"/>
        <v>7415071.9880613759</v>
      </c>
      <c r="AB153" s="233">
        <f t="shared" si="43"/>
        <v>7415071.9880613759</v>
      </c>
      <c r="AC153" s="238">
        <f t="shared" si="47"/>
        <v>7415071.9880613759</v>
      </c>
      <c r="AD153" s="238">
        <f t="shared" si="48"/>
        <v>51905503.916429631</v>
      </c>
      <c r="AE153" s="206">
        <f t="shared" si="49"/>
        <v>2011</v>
      </c>
      <c r="AF153" s="210">
        <f t="shared" si="50"/>
        <v>318848105.48663914</v>
      </c>
      <c r="AG153" s="48" t="e">
        <f t="shared" si="36"/>
        <v>#N/A</v>
      </c>
      <c r="AH153" s="48" t="e">
        <f>IF(AG153='KIB C'!AJ:AJ,"k",0)</f>
        <v>#N/A</v>
      </c>
      <c r="AL153" s="48" t="s">
        <v>2979</v>
      </c>
      <c r="AM153" s="48" t="s">
        <v>4245</v>
      </c>
    </row>
    <row r="154" spans="1:39" s="48" customFormat="1" ht="40.5" customHeight="1" x14ac:dyDescent="0.2">
      <c r="A154" s="295" t="s">
        <v>2302</v>
      </c>
      <c r="B154" s="73"/>
      <c r="C154" s="65" t="s">
        <v>1873</v>
      </c>
      <c r="D154" s="67" t="s">
        <v>1874</v>
      </c>
      <c r="E154" s="67" t="s">
        <v>39</v>
      </c>
      <c r="F154" s="33" t="s">
        <v>43</v>
      </c>
      <c r="G154" s="40" t="s">
        <v>1753</v>
      </c>
      <c r="H154" s="40" t="s">
        <v>835</v>
      </c>
      <c r="I154" s="40"/>
      <c r="J154" s="72" t="s">
        <v>417</v>
      </c>
      <c r="K154" s="40">
        <v>2011</v>
      </c>
      <c r="L154" s="40" t="s">
        <v>1875</v>
      </c>
      <c r="M154" s="32"/>
      <c r="N154" s="33"/>
      <c r="O154" s="40"/>
      <c r="P154" s="32" t="s">
        <v>12</v>
      </c>
      <c r="Q154" s="252">
        <v>100898841.28566745</v>
      </c>
      <c r="R154" s="105"/>
      <c r="S154" s="206" t="str">
        <f t="shared" si="44"/>
        <v>3.11.01</v>
      </c>
      <c r="T154" s="207" t="str">
        <f t="shared" si="37"/>
        <v>BANGUNAN GEDUNG TEMPAT KERJA</v>
      </c>
      <c r="U154" s="207">
        <f t="shared" si="38"/>
        <v>50</v>
      </c>
      <c r="V154" s="233">
        <f t="shared" si="45"/>
        <v>2017976.6257133491</v>
      </c>
      <c r="W154" s="233">
        <f t="shared" si="46"/>
        <v>2</v>
      </c>
      <c r="X154" s="233">
        <f t="shared" si="39"/>
        <v>4035953.2514266982</v>
      </c>
      <c r="Y154" s="233">
        <f t="shared" si="40"/>
        <v>2017976.6257133491</v>
      </c>
      <c r="Z154" s="233">
        <f t="shared" si="41"/>
        <v>2017976.6257133491</v>
      </c>
      <c r="AA154" s="233">
        <f t="shared" si="42"/>
        <v>2017976.6257133491</v>
      </c>
      <c r="AB154" s="233">
        <f t="shared" si="43"/>
        <v>2017976.6257133491</v>
      </c>
      <c r="AC154" s="238">
        <f t="shared" si="47"/>
        <v>2017976.6257133491</v>
      </c>
      <c r="AD154" s="238">
        <f t="shared" si="48"/>
        <v>14125836.379993442</v>
      </c>
      <c r="AE154" s="206">
        <f t="shared" si="49"/>
        <v>2011</v>
      </c>
      <c r="AF154" s="210">
        <f t="shared" si="50"/>
        <v>86773004.905674011</v>
      </c>
      <c r="AG154" s="48" t="str">
        <f t="shared" ref="AG154:AG185" si="51">VLOOKUP(C154,KAP,2,0)</f>
        <v>K</v>
      </c>
      <c r="AL154" s="48" t="s">
        <v>2809</v>
      </c>
      <c r="AM154" s="48" t="s">
        <v>4245</v>
      </c>
    </row>
    <row r="155" spans="1:39" s="48" customFormat="1" ht="40.5" customHeight="1" x14ac:dyDescent="0.2">
      <c r="A155" s="295" t="s">
        <v>2302</v>
      </c>
      <c r="B155" s="73"/>
      <c r="C155" s="65" t="s">
        <v>1876</v>
      </c>
      <c r="D155" s="67" t="s">
        <v>1779</v>
      </c>
      <c r="E155" s="67" t="s">
        <v>39</v>
      </c>
      <c r="F155" s="33" t="s">
        <v>43</v>
      </c>
      <c r="G155" s="40" t="s">
        <v>1753</v>
      </c>
      <c r="H155" s="40" t="s">
        <v>835</v>
      </c>
      <c r="I155" s="40"/>
      <c r="J155" s="72" t="s">
        <v>2614</v>
      </c>
      <c r="K155" s="40">
        <v>2011</v>
      </c>
      <c r="L155" s="40" t="s">
        <v>1877</v>
      </c>
      <c r="M155" s="32"/>
      <c r="N155" s="33"/>
      <c r="O155" s="40"/>
      <c r="P155" s="32" t="s">
        <v>12</v>
      </c>
      <c r="Q155" s="252">
        <v>39791347.29991632</v>
      </c>
      <c r="R155" s="105"/>
      <c r="S155" s="206" t="str">
        <f t="shared" si="44"/>
        <v>3.11.01</v>
      </c>
      <c r="T155" s="207" t="str">
        <f t="shared" si="37"/>
        <v>BANGUNAN GEDUNG TEMPAT KERJA</v>
      </c>
      <c r="U155" s="207">
        <f t="shared" si="38"/>
        <v>50</v>
      </c>
      <c r="V155" s="233">
        <f t="shared" si="45"/>
        <v>795826.74599832634</v>
      </c>
      <c r="W155" s="233">
        <f t="shared" si="46"/>
        <v>2</v>
      </c>
      <c r="X155" s="233">
        <f t="shared" si="39"/>
        <v>1591653.4919966527</v>
      </c>
      <c r="Y155" s="233">
        <f t="shared" si="40"/>
        <v>795826.74599832634</v>
      </c>
      <c r="Z155" s="233">
        <f t="shared" si="41"/>
        <v>795826.74599832634</v>
      </c>
      <c r="AA155" s="233">
        <f t="shared" si="42"/>
        <v>795826.74599832634</v>
      </c>
      <c r="AB155" s="233">
        <f t="shared" si="43"/>
        <v>795826.74599832634</v>
      </c>
      <c r="AC155" s="238">
        <f t="shared" si="47"/>
        <v>795826.74599832634</v>
      </c>
      <c r="AD155" s="238">
        <f t="shared" si="48"/>
        <v>5570787.221988285</v>
      </c>
      <c r="AE155" s="206">
        <f t="shared" si="49"/>
        <v>2011</v>
      </c>
      <c r="AF155" s="210">
        <f t="shared" si="50"/>
        <v>34220560.077928036</v>
      </c>
      <c r="AG155" s="48" t="str">
        <f t="shared" si="51"/>
        <v>K</v>
      </c>
      <c r="AL155" s="48" t="s">
        <v>2490</v>
      </c>
      <c r="AM155" s="48" t="s">
        <v>4245</v>
      </c>
    </row>
    <row r="156" spans="1:39" s="48" customFormat="1" ht="40.5" customHeight="1" x14ac:dyDescent="0.2">
      <c r="A156" s="295" t="s">
        <v>2302</v>
      </c>
      <c r="B156" s="73"/>
      <c r="C156" s="65" t="s">
        <v>1878</v>
      </c>
      <c r="D156" s="67" t="s">
        <v>1772</v>
      </c>
      <c r="E156" s="67" t="s">
        <v>39</v>
      </c>
      <c r="F156" s="33" t="s">
        <v>43</v>
      </c>
      <c r="G156" s="40" t="s">
        <v>1753</v>
      </c>
      <c r="H156" s="40" t="s">
        <v>835</v>
      </c>
      <c r="I156" s="40"/>
      <c r="J156" s="72" t="s">
        <v>1095</v>
      </c>
      <c r="K156" s="40">
        <v>2011</v>
      </c>
      <c r="L156" s="40" t="s">
        <v>1879</v>
      </c>
      <c r="M156" s="32"/>
      <c r="N156" s="33"/>
      <c r="O156" s="40"/>
      <c r="P156" s="32" t="s">
        <v>12</v>
      </c>
      <c r="Q156" s="252">
        <v>24804481.452986579</v>
      </c>
      <c r="R156" s="105"/>
      <c r="S156" s="206" t="str">
        <f t="shared" si="44"/>
        <v>3.11.01</v>
      </c>
      <c r="T156" s="207" t="str">
        <f t="shared" si="37"/>
        <v>BANGUNAN GEDUNG TEMPAT KERJA</v>
      </c>
      <c r="U156" s="207">
        <f t="shared" si="38"/>
        <v>50</v>
      </c>
      <c r="V156" s="233">
        <f t="shared" si="45"/>
        <v>496089.4290597316</v>
      </c>
      <c r="W156" s="233">
        <f t="shared" si="46"/>
        <v>2</v>
      </c>
      <c r="X156" s="233">
        <f t="shared" si="39"/>
        <v>992178.8581194632</v>
      </c>
      <c r="Y156" s="233">
        <f t="shared" si="40"/>
        <v>496089.4290597316</v>
      </c>
      <c r="Z156" s="233">
        <f t="shared" si="41"/>
        <v>496089.4290597316</v>
      </c>
      <c r="AA156" s="233">
        <f t="shared" si="42"/>
        <v>496089.4290597316</v>
      </c>
      <c r="AB156" s="233">
        <f t="shared" si="43"/>
        <v>496089.4290597316</v>
      </c>
      <c r="AC156" s="238">
        <f t="shared" si="47"/>
        <v>496089.4290597316</v>
      </c>
      <c r="AD156" s="238">
        <f t="shared" si="48"/>
        <v>3472626.0034181215</v>
      </c>
      <c r="AE156" s="206">
        <f t="shared" si="49"/>
        <v>2011</v>
      </c>
      <c r="AF156" s="210">
        <f t="shared" si="50"/>
        <v>21331855.449568458</v>
      </c>
      <c r="AG156" s="48" t="str">
        <f t="shared" si="51"/>
        <v>K</v>
      </c>
      <c r="AL156" s="48" t="s">
        <v>2829</v>
      </c>
      <c r="AM156" s="48" t="s">
        <v>4245</v>
      </c>
    </row>
    <row r="157" spans="1:39" s="48" customFormat="1" ht="40.5" customHeight="1" x14ac:dyDescent="0.2">
      <c r="A157" s="295" t="s">
        <v>2302</v>
      </c>
      <c r="B157" s="73"/>
      <c r="C157" s="65" t="s">
        <v>1880</v>
      </c>
      <c r="D157" s="67" t="s">
        <v>1881</v>
      </c>
      <c r="E157" s="67" t="s">
        <v>39</v>
      </c>
      <c r="F157" s="33" t="s">
        <v>43</v>
      </c>
      <c r="G157" s="40"/>
      <c r="H157" s="40" t="s">
        <v>835</v>
      </c>
      <c r="I157" s="40"/>
      <c r="J157" s="72" t="s">
        <v>417</v>
      </c>
      <c r="K157" s="40">
        <v>2011</v>
      </c>
      <c r="L157" s="40" t="s">
        <v>1882</v>
      </c>
      <c r="M157" s="32"/>
      <c r="N157" s="33"/>
      <c r="O157" s="40"/>
      <c r="P157" s="32" t="s">
        <v>12</v>
      </c>
      <c r="Q157" s="252">
        <v>445621061.3068198</v>
      </c>
      <c r="R157" s="105"/>
      <c r="S157" s="206" t="str">
        <f t="shared" si="44"/>
        <v>3.11.01</v>
      </c>
      <c r="T157" s="207" t="str">
        <f t="shared" si="37"/>
        <v>BANGUNAN GEDUNG TEMPAT KERJA</v>
      </c>
      <c r="U157" s="207">
        <f t="shared" si="38"/>
        <v>50</v>
      </c>
      <c r="V157" s="233">
        <f t="shared" si="45"/>
        <v>8912421.0261363965</v>
      </c>
      <c r="W157" s="233">
        <f t="shared" si="46"/>
        <v>2</v>
      </c>
      <c r="X157" s="233">
        <f t="shared" si="39"/>
        <v>17824842.052272793</v>
      </c>
      <c r="Y157" s="233">
        <f t="shared" si="40"/>
        <v>8912421.0261363965</v>
      </c>
      <c r="Z157" s="233">
        <f t="shared" si="41"/>
        <v>8912421.0261363965</v>
      </c>
      <c r="AA157" s="233">
        <f t="shared" si="42"/>
        <v>8912421.0261363965</v>
      </c>
      <c r="AB157" s="233">
        <f t="shared" si="43"/>
        <v>8912421.0261363965</v>
      </c>
      <c r="AC157" s="238">
        <f t="shared" si="47"/>
        <v>8912421.0261363965</v>
      </c>
      <c r="AD157" s="238">
        <f t="shared" si="48"/>
        <v>62386947.182954781</v>
      </c>
      <c r="AE157" s="206">
        <f t="shared" si="49"/>
        <v>2011</v>
      </c>
      <c r="AF157" s="210">
        <f t="shared" si="50"/>
        <v>383234114.12386501</v>
      </c>
      <c r="AG157" s="48" t="e">
        <f t="shared" si="51"/>
        <v>#N/A</v>
      </c>
      <c r="AH157" s="48" t="e">
        <f>IF(AG157='KIB C'!AJ:AJ,"k",0)</f>
        <v>#N/A</v>
      </c>
    </row>
    <row r="158" spans="1:39" s="48" customFormat="1" ht="40.5" customHeight="1" x14ac:dyDescent="0.2">
      <c r="A158" s="295" t="s">
        <v>2302</v>
      </c>
      <c r="B158" s="73"/>
      <c r="C158" s="65" t="s">
        <v>1883</v>
      </c>
      <c r="D158" s="67" t="s">
        <v>1884</v>
      </c>
      <c r="E158" s="67" t="s">
        <v>39</v>
      </c>
      <c r="F158" s="33" t="s">
        <v>43</v>
      </c>
      <c r="G158" s="40" t="s">
        <v>1753</v>
      </c>
      <c r="H158" s="40" t="s">
        <v>835</v>
      </c>
      <c r="I158" s="40"/>
      <c r="J158" s="72" t="s">
        <v>417</v>
      </c>
      <c r="K158" s="40">
        <v>2011</v>
      </c>
      <c r="L158" s="40" t="s">
        <v>1885</v>
      </c>
      <c r="M158" s="32"/>
      <c r="N158" s="33"/>
      <c r="O158" s="40"/>
      <c r="P158" s="32" t="s">
        <v>12</v>
      </c>
      <c r="Q158" s="252">
        <v>108853060.37847494</v>
      </c>
      <c r="R158" s="105"/>
      <c r="S158" s="206" t="str">
        <f t="shared" si="44"/>
        <v>3.11.01</v>
      </c>
      <c r="T158" s="207" t="str">
        <f t="shared" si="37"/>
        <v>BANGUNAN GEDUNG TEMPAT KERJA</v>
      </c>
      <c r="U158" s="207">
        <f t="shared" si="38"/>
        <v>50</v>
      </c>
      <c r="V158" s="233">
        <f t="shared" si="45"/>
        <v>2177061.0075694988</v>
      </c>
      <c r="W158" s="233">
        <f t="shared" si="46"/>
        <v>2</v>
      </c>
      <c r="X158" s="233">
        <f t="shared" si="39"/>
        <v>4354122.0151389977</v>
      </c>
      <c r="Y158" s="233">
        <f t="shared" si="40"/>
        <v>2177061.0075694988</v>
      </c>
      <c r="Z158" s="233">
        <f t="shared" si="41"/>
        <v>2177061.0075694988</v>
      </c>
      <c r="AA158" s="233">
        <f t="shared" si="42"/>
        <v>2177061.0075694988</v>
      </c>
      <c r="AB158" s="233">
        <f t="shared" si="43"/>
        <v>2177061.0075694988</v>
      </c>
      <c r="AC158" s="238">
        <f t="shared" si="47"/>
        <v>2177061.0075694988</v>
      </c>
      <c r="AD158" s="238">
        <f t="shared" si="48"/>
        <v>15239427.052986493</v>
      </c>
      <c r="AE158" s="206">
        <f t="shared" si="49"/>
        <v>2011</v>
      </c>
      <c r="AF158" s="210">
        <f t="shared" si="50"/>
        <v>93613633.325488448</v>
      </c>
      <c r="AG158" s="48" t="e">
        <f t="shared" si="51"/>
        <v>#N/A</v>
      </c>
      <c r="AH158" s="48" t="e">
        <f>IF(AG158='KIB C'!AJ:AJ,"k",0)</f>
        <v>#N/A</v>
      </c>
    </row>
    <row r="159" spans="1:39" s="48" customFormat="1" ht="40.5" customHeight="1" x14ac:dyDescent="0.2">
      <c r="A159" s="295" t="s">
        <v>2302</v>
      </c>
      <c r="B159" s="73"/>
      <c r="C159" s="65" t="s">
        <v>1886</v>
      </c>
      <c r="D159" s="67" t="s">
        <v>1887</v>
      </c>
      <c r="E159" s="67" t="s">
        <v>1888</v>
      </c>
      <c r="F159" s="33" t="s">
        <v>43</v>
      </c>
      <c r="G159" s="40" t="s">
        <v>1753</v>
      </c>
      <c r="H159" s="40" t="s">
        <v>835</v>
      </c>
      <c r="I159" s="40">
        <v>120</v>
      </c>
      <c r="J159" s="72" t="s">
        <v>2885</v>
      </c>
      <c r="K159" s="40">
        <v>2011</v>
      </c>
      <c r="L159" s="40" t="s">
        <v>1890</v>
      </c>
      <c r="M159" s="32"/>
      <c r="N159" s="33"/>
      <c r="O159" s="40"/>
      <c r="P159" s="32" t="s">
        <v>12</v>
      </c>
      <c r="Q159" s="252">
        <v>358193812.42158926</v>
      </c>
      <c r="R159" s="105"/>
      <c r="S159" s="206" t="str">
        <f t="shared" si="44"/>
        <v>3.11.01</v>
      </c>
      <c r="T159" s="207" t="str">
        <f t="shared" si="37"/>
        <v>BANGUNAN GEDUNG TEMPAT KERJA</v>
      </c>
      <c r="U159" s="207">
        <f t="shared" si="38"/>
        <v>50</v>
      </c>
      <c r="V159" s="233">
        <f t="shared" si="45"/>
        <v>7163876.0484317848</v>
      </c>
      <c r="W159" s="233">
        <f t="shared" si="46"/>
        <v>2</v>
      </c>
      <c r="X159" s="233">
        <f t="shared" si="39"/>
        <v>14327752.09686357</v>
      </c>
      <c r="Y159" s="233">
        <f t="shared" si="40"/>
        <v>7163876.0484317848</v>
      </c>
      <c r="Z159" s="233">
        <f t="shared" si="41"/>
        <v>7163876.0484317848</v>
      </c>
      <c r="AA159" s="233">
        <f t="shared" si="42"/>
        <v>7163876.0484317848</v>
      </c>
      <c r="AB159" s="233">
        <f t="shared" si="43"/>
        <v>7163876.0484317848</v>
      </c>
      <c r="AC159" s="238">
        <f t="shared" si="47"/>
        <v>7163876.0484317848</v>
      </c>
      <c r="AD159" s="238">
        <f t="shared" si="48"/>
        <v>50147132.339022495</v>
      </c>
      <c r="AE159" s="206">
        <f t="shared" si="49"/>
        <v>2011</v>
      </c>
      <c r="AF159" s="210">
        <f t="shared" si="50"/>
        <v>308046680.08256674</v>
      </c>
      <c r="AG159" s="48" t="e">
        <f t="shared" si="51"/>
        <v>#N/A</v>
      </c>
      <c r="AH159" s="48" t="e">
        <f>IF(AG159='KIB C'!AJ:AJ,"k",0)</f>
        <v>#N/A</v>
      </c>
    </row>
    <row r="160" spans="1:39" s="48" customFormat="1" ht="40.5" customHeight="1" x14ac:dyDescent="0.2">
      <c r="A160" s="295" t="s">
        <v>2302</v>
      </c>
      <c r="B160" s="73"/>
      <c r="C160" s="65" t="s">
        <v>1891</v>
      </c>
      <c r="D160" s="67" t="s">
        <v>1892</v>
      </c>
      <c r="E160" s="67" t="s">
        <v>39</v>
      </c>
      <c r="F160" s="33" t="s">
        <v>43</v>
      </c>
      <c r="G160" s="40" t="s">
        <v>1753</v>
      </c>
      <c r="H160" s="40" t="s">
        <v>835</v>
      </c>
      <c r="I160" s="40"/>
      <c r="J160" s="72" t="s">
        <v>417</v>
      </c>
      <c r="K160" s="40">
        <v>2011</v>
      </c>
      <c r="L160" s="40" t="s">
        <v>1893</v>
      </c>
      <c r="M160" s="32"/>
      <c r="N160" s="33"/>
      <c r="O160" s="40"/>
      <c r="P160" s="32" t="s">
        <v>12</v>
      </c>
      <c r="Q160" s="252">
        <v>90830869.097878858</v>
      </c>
      <c r="R160" s="105"/>
      <c r="S160" s="206" t="str">
        <f t="shared" si="44"/>
        <v>3.11.01</v>
      </c>
      <c r="T160" s="207" t="str">
        <f t="shared" si="37"/>
        <v>BANGUNAN GEDUNG TEMPAT KERJA</v>
      </c>
      <c r="U160" s="207">
        <f t="shared" si="38"/>
        <v>50</v>
      </c>
      <c r="V160" s="233">
        <f t="shared" si="45"/>
        <v>1816617.1819575771</v>
      </c>
      <c r="W160" s="233">
        <f t="shared" si="46"/>
        <v>2</v>
      </c>
      <c r="X160" s="233">
        <f t="shared" si="39"/>
        <v>3633234.3639151542</v>
      </c>
      <c r="Y160" s="233">
        <f t="shared" si="40"/>
        <v>1816617.1819575771</v>
      </c>
      <c r="Z160" s="233">
        <f t="shared" si="41"/>
        <v>1816617.1819575771</v>
      </c>
      <c r="AA160" s="233">
        <f t="shared" si="42"/>
        <v>1816617.1819575771</v>
      </c>
      <c r="AB160" s="233">
        <f t="shared" si="43"/>
        <v>1816617.1819575771</v>
      </c>
      <c r="AC160" s="238">
        <f t="shared" si="47"/>
        <v>1816617.1819575771</v>
      </c>
      <c r="AD160" s="238">
        <f t="shared" si="48"/>
        <v>12716320.273703039</v>
      </c>
      <c r="AE160" s="206">
        <f t="shared" si="49"/>
        <v>2011</v>
      </c>
      <c r="AF160" s="210">
        <f t="shared" si="50"/>
        <v>78114548.82417582</v>
      </c>
      <c r="AG160" s="48" t="e">
        <f t="shared" si="51"/>
        <v>#N/A</v>
      </c>
      <c r="AH160" s="48" t="e">
        <f>IF(AG160='KIB C'!AJ:AJ,"k",0)</f>
        <v>#N/A</v>
      </c>
    </row>
    <row r="161" spans="1:34" s="48" customFormat="1" ht="40.5" customHeight="1" x14ac:dyDescent="0.2">
      <c r="A161" s="295" t="s">
        <v>2302</v>
      </c>
      <c r="B161" s="73"/>
      <c r="C161" s="65" t="s">
        <v>1894</v>
      </c>
      <c r="D161" s="67" t="s">
        <v>1887</v>
      </c>
      <c r="E161" s="67" t="s">
        <v>1895</v>
      </c>
      <c r="F161" s="33" t="s">
        <v>43</v>
      </c>
      <c r="G161" s="40" t="s">
        <v>1753</v>
      </c>
      <c r="H161" s="40" t="s">
        <v>835</v>
      </c>
      <c r="I161" s="40">
        <v>120</v>
      </c>
      <c r="J161" s="72" t="s">
        <v>2886</v>
      </c>
      <c r="K161" s="40">
        <v>2011</v>
      </c>
      <c r="L161" s="40" t="s">
        <v>1897</v>
      </c>
      <c r="M161" s="32"/>
      <c r="N161" s="33"/>
      <c r="O161" s="40"/>
      <c r="P161" s="32" t="s">
        <v>12</v>
      </c>
      <c r="Q161" s="252">
        <v>364814419.24170172</v>
      </c>
      <c r="R161" s="105"/>
      <c r="S161" s="206" t="str">
        <f t="shared" si="44"/>
        <v>3.11.01</v>
      </c>
      <c r="T161" s="207" t="str">
        <f t="shared" si="37"/>
        <v>BANGUNAN GEDUNG TEMPAT KERJA</v>
      </c>
      <c r="U161" s="207">
        <f t="shared" si="38"/>
        <v>50</v>
      </c>
      <c r="V161" s="233">
        <f t="shared" si="45"/>
        <v>7296288.1848340342</v>
      </c>
      <c r="W161" s="233">
        <f t="shared" si="46"/>
        <v>2</v>
      </c>
      <c r="X161" s="233">
        <f t="shared" si="39"/>
        <v>14592576.369668068</v>
      </c>
      <c r="Y161" s="233">
        <f t="shared" si="40"/>
        <v>7296288.1848340342</v>
      </c>
      <c r="Z161" s="233">
        <f t="shared" si="41"/>
        <v>7296288.1848340342</v>
      </c>
      <c r="AA161" s="233">
        <f t="shared" si="42"/>
        <v>7296288.1848340342</v>
      </c>
      <c r="AB161" s="233">
        <f t="shared" si="43"/>
        <v>7296288.1848340342</v>
      </c>
      <c r="AC161" s="238">
        <f t="shared" si="47"/>
        <v>7296288.1848340342</v>
      </c>
      <c r="AD161" s="238">
        <f t="shared" si="48"/>
        <v>51074017.29383824</v>
      </c>
      <c r="AE161" s="206">
        <f t="shared" si="49"/>
        <v>2011</v>
      </c>
      <c r="AF161" s="210">
        <f t="shared" si="50"/>
        <v>313740401.94786346</v>
      </c>
      <c r="AG161" s="48" t="e">
        <f t="shared" si="51"/>
        <v>#N/A</v>
      </c>
      <c r="AH161" s="48" t="e">
        <f>IF(AG161='KIB C'!AJ:AJ,"k",0)</f>
        <v>#N/A</v>
      </c>
    </row>
    <row r="162" spans="1:34" s="48" customFormat="1" ht="40.5" customHeight="1" x14ac:dyDescent="0.2">
      <c r="A162" s="295" t="s">
        <v>2302</v>
      </c>
      <c r="B162" s="73"/>
      <c r="C162" s="65" t="s">
        <v>1898</v>
      </c>
      <c r="D162" s="67" t="s">
        <v>1887</v>
      </c>
      <c r="E162" s="67" t="s">
        <v>1899</v>
      </c>
      <c r="F162" s="33" t="s">
        <v>43</v>
      </c>
      <c r="G162" s="40" t="s">
        <v>1753</v>
      </c>
      <c r="H162" s="40" t="s">
        <v>835</v>
      </c>
      <c r="I162" s="40">
        <v>120</v>
      </c>
      <c r="J162" s="72" t="s">
        <v>2887</v>
      </c>
      <c r="K162" s="40">
        <v>2011</v>
      </c>
      <c r="L162" s="40" t="s">
        <v>1901</v>
      </c>
      <c r="M162" s="32"/>
      <c r="N162" s="33"/>
      <c r="O162" s="40"/>
      <c r="P162" s="32" t="s">
        <v>12</v>
      </c>
      <c r="Q162" s="252">
        <v>296190899.72203624</v>
      </c>
      <c r="R162" s="105"/>
      <c r="S162" s="206" t="str">
        <f t="shared" si="44"/>
        <v>3.11.01</v>
      </c>
      <c r="T162" s="207" t="str">
        <f t="shared" si="37"/>
        <v>BANGUNAN GEDUNG TEMPAT KERJA</v>
      </c>
      <c r="U162" s="207">
        <f t="shared" si="38"/>
        <v>50</v>
      </c>
      <c r="V162" s="233">
        <f t="shared" si="45"/>
        <v>5923817.7944407249</v>
      </c>
      <c r="W162" s="233">
        <f t="shared" si="46"/>
        <v>2</v>
      </c>
      <c r="X162" s="233">
        <f t="shared" si="39"/>
        <v>11847635.58888145</v>
      </c>
      <c r="Y162" s="233">
        <f t="shared" si="40"/>
        <v>5923817.7944407249</v>
      </c>
      <c r="Z162" s="233">
        <f t="shared" si="41"/>
        <v>5923817.7944407249</v>
      </c>
      <c r="AA162" s="233">
        <f t="shared" si="42"/>
        <v>5923817.7944407249</v>
      </c>
      <c r="AB162" s="233">
        <f t="shared" si="43"/>
        <v>5923817.7944407249</v>
      </c>
      <c r="AC162" s="238">
        <f t="shared" si="47"/>
        <v>5923817.7944407249</v>
      </c>
      <c r="AD162" s="238">
        <f t="shared" si="48"/>
        <v>41466724.561085075</v>
      </c>
      <c r="AE162" s="206">
        <f t="shared" si="49"/>
        <v>2011</v>
      </c>
      <c r="AF162" s="210">
        <f t="shared" si="50"/>
        <v>254724175.16095117</v>
      </c>
      <c r="AG162" s="48" t="e">
        <f t="shared" si="51"/>
        <v>#N/A</v>
      </c>
      <c r="AH162" s="48" t="e">
        <f>IF(AG162='KIB C'!AJ:AJ,"k",0)</f>
        <v>#N/A</v>
      </c>
    </row>
    <row r="163" spans="1:34" s="48" customFormat="1" ht="40.5" customHeight="1" x14ac:dyDescent="0.2">
      <c r="A163" s="295" t="s">
        <v>2302</v>
      </c>
      <c r="B163" s="73"/>
      <c r="C163" s="65" t="s">
        <v>1902</v>
      </c>
      <c r="D163" s="67" t="s">
        <v>1887</v>
      </c>
      <c r="E163" s="67" t="s">
        <v>1701</v>
      </c>
      <c r="F163" s="33" t="s">
        <v>43</v>
      </c>
      <c r="G163" s="40" t="s">
        <v>1753</v>
      </c>
      <c r="H163" s="40" t="s">
        <v>835</v>
      </c>
      <c r="I163" s="40">
        <v>120</v>
      </c>
      <c r="J163" s="72" t="s">
        <v>2888</v>
      </c>
      <c r="K163" s="40">
        <v>2011</v>
      </c>
      <c r="L163" s="40" t="s">
        <v>1904</v>
      </c>
      <c r="M163" s="32"/>
      <c r="N163" s="33"/>
      <c r="O163" s="40"/>
      <c r="P163" s="32" t="s">
        <v>12</v>
      </c>
      <c r="Q163" s="252">
        <v>369887614.54344255</v>
      </c>
      <c r="R163" s="105"/>
      <c r="S163" s="206" t="str">
        <f t="shared" si="44"/>
        <v>3.11.01</v>
      </c>
      <c r="T163" s="207" t="str">
        <f t="shared" si="37"/>
        <v>BANGUNAN GEDUNG TEMPAT KERJA</v>
      </c>
      <c r="U163" s="207">
        <f t="shared" si="38"/>
        <v>50</v>
      </c>
      <c r="V163" s="233">
        <f t="shared" si="45"/>
        <v>7397752.0908688512</v>
      </c>
      <c r="W163" s="233">
        <f t="shared" si="46"/>
        <v>2</v>
      </c>
      <c r="X163" s="233">
        <f t="shared" si="39"/>
        <v>14795504.181737702</v>
      </c>
      <c r="Y163" s="233">
        <f t="shared" si="40"/>
        <v>7397752.0908688512</v>
      </c>
      <c r="Z163" s="233">
        <f t="shared" si="41"/>
        <v>7397752.0908688512</v>
      </c>
      <c r="AA163" s="233">
        <f t="shared" si="42"/>
        <v>7397752.0908688512</v>
      </c>
      <c r="AB163" s="233">
        <f t="shared" si="43"/>
        <v>7397752.0908688512</v>
      </c>
      <c r="AC163" s="238">
        <f t="shared" si="47"/>
        <v>7397752.0908688512</v>
      </c>
      <c r="AD163" s="238">
        <f t="shared" si="48"/>
        <v>51784264.636081964</v>
      </c>
      <c r="AE163" s="206">
        <f t="shared" si="49"/>
        <v>2011</v>
      </c>
      <c r="AF163" s="210">
        <f t="shared" si="50"/>
        <v>318103349.90736055</v>
      </c>
      <c r="AG163" s="48" t="e">
        <f t="shared" si="51"/>
        <v>#N/A</v>
      </c>
      <c r="AH163" s="48" t="e">
        <f>IF(AG163='KIB C'!AJ:AJ,"k",0)</f>
        <v>#N/A</v>
      </c>
    </row>
    <row r="164" spans="1:34" s="48" customFormat="1" ht="40.5" customHeight="1" x14ac:dyDescent="0.2">
      <c r="A164" s="295" t="s">
        <v>2302</v>
      </c>
      <c r="B164" s="73"/>
      <c r="C164" s="65" t="s">
        <v>1905</v>
      </c>
      <c r="D164" s="67" t="s">
        <v>1887</v>
      </c>
      <c r="E164" s="67" t="s">
        <v>1906</v>
      </c>
      <c r="F164" s="33" t="s">
        <v>43</v>
      </c>
      <c r="G164" s="40" t="s">
        <v>1753</v>
      </c>
      <c r="H164" s="40" t="s">
        <v>835</v>
      </c>
      <c r="I164" s="40">
        <v>120</v>
      </c>
      <c r="J164" s="72" t="s">
        <v>2889</v>
      </c>
      <c r="K164" s="40">
        <v>2011</v>
      </c>
      <c r="L164" s="40" t="s">
        <v>1908</v>
      </c>
      <c r="M164" s="32"/>
      <c r="N164" s="33"/>
      <c r="O164" s="40"/>
      <c r="P164" s="32" t="s">
        <v>12</v>
      </c>
      <c r="Q164" s="252">
        <v>321953506.89305788</v>
      </c>
      <c r="R164" s="105"/>
      <c r="S164" s="206" t="str">
        <f t="shared" si="44"/>
        <v>3.11.01</v>
      </c>
      <c r="T164" s="207" t="str">
        <f t="shared" si="37"/>
        <v>BANGUNAN GEDUNG TEMPAT KERJA</v>
      </c>
      <c r="U164" s="207">
        <f t="shared" si="38"/>
        <v>50</v>
      </c>
      <c r="V164" s="233">
        <f t="shared" si="45"/>
        <v>6439069.9378611576</v>
      </c>
      <c r="W164" s="233">
        <f t="shared" si="46"/>
        <v>2</v>
      </c>
      <c r="X164" s="233">
        <f t="shared" si="39"/>
        <v>12878139.875722315</v>
      </c>
      <c r="Y164" s="233">
        <f t="shared" si="40"/>
        <v>6439069.9378611576</v>
      </c>
      <c r="Z164" s="233">
        <f t="shared" si="41"/>
        <v>6439069.9378611576</v>
      </c>
      <c r="AA164" s="233">
        <f t="shared" si="42"/>
        <v>6439069.9378611576</v>
      </c>
      <c r="AB164" s="233">
        <f t="shared" si="43"/>
        <v>6439069.9378611576</v>
      </c>
      <c r="AC164" s="238">
        <f t="shared" si="47"/>
        <v>6439069.9378611576</v>
      </c>
      <c r="AD164" s="238">
        <f t="shared" si="48"/>
        <v>45073489.565028109</v>
      </c>
      <c r="AE164" s="206">
        <f t="shared" si="49"/>
        <v>2011</v>
      </c>
      <c r="AF164" s="210">
        <f t="shared" si="50"/>
        <v>276880017.32802975</v>
      </c>
      <c r="AG164" s="48" t="e">
        <f t="shared" si="51"/>
        <v>#N/A</v>
      </c>
      <c r="AH164" s="48" t="e">
        <f>IF(AG164='KIB C'!AJ:AJ,"k",0)</f>
        <v>#N/A</v>
      </c>
    </row>
    <row r="165" spans="1:34" s="48" customFormat="1" ht="40.5" customHeight="1" x14ac:dyDescent="0.2">
      <c r="A165" s="295" t="s">
        <v>2302</v>
      </c>
      <c r="B165" s="73"/>
      <c r="C165" s="65" t="s">
        <v>1909</v>
      </c>
      <c r="D165" s="67" t="s">
        <v>1887</v>
      </c>
      <c r="E165" s="67" t="s">
        <v>1910</v>
      </c>
      <c r="F165" s="33" t="s">
        <v>43</v>
      </c>
      <c r="G165" s="40" t="s">
        <v>1753</v>
      </c>
      <c r="H165" s="40" t="s">
        <v>835</v>
      </c>
      <c r="I165" s="40"/>
      <c r="J165" s="72" t="s">
        <v>2890</v>
      </c>
      <c r="K165" s="40">
        <v>2012</v>
      </c>
      <c r="L165" s="40"/>
      <c r="M165" s="32"/>
      <c r="N165" s="33"/>
      <c r="O165" s="40"/>
      <c r="P165" s="32" t="s">
        <v>12</v>
      </c>
      <c r="Q165" s="252">
        <v>369737433.94443774</v>
      </c>
      <c r="R165" s="105"/>
      <c r="S165" s="206" t="str">
        <f t="shared" si="44"/>
        <v>3.11.01</v>
      </c>
      <c r="T165" s="207" t="str">
        <f t="shared" si="37"/>
        <v>BANGUNAN GEDUNG TEMPAT KERJA</v>
      </c>
      <c r="U165" s="207">
        <f t="shared" si="38"/>
        <v>50</v>
      </c>
      <c r="V165" s="233">
        <f t="shared" si="45"/>
        <v>7394748.4788887547</v>
      </c>
      <c r="W165" s="233">
        <f t="shared" si="46"/>
        <v>1</v>
      </c>
      <c r="X165" s="233">
        <f t="shared" si="39"/>
        <v>7394748.4788887547</v>
      </c>
      <c r="Y165" s="233">
        <f t="shared" si="40"/>
        <v>7394748.4788887547</v>
      </c>
      <c r="Z165" s="233">
        <f t="shared" si="41"/>
        <v>7394748.4788887547</v>
      </c>
      <c r="AA165" s="233">
        <f t="shared" si="42"/>
        <v>7394748.4788887547</v>
      </c>
      <c r="AB165" s="233">
        <f t="shared" si="43"/>
        <v>7394748.4788887547</v>
      </c>
      <c r="AC165" s="238">
        <f t="shared" si="47"/>
        <v>7394748.4788887547</v>
      </c>
      <c r="AD165" s="238">
        <f t="shared" si="48"/>
        <v>44368490.87333253</v>
      </c>
      <c r="AE165" s="206">
        <f t="shared" si="49"/>
        <v>2012</v>
      </c>
      <c r="AF165" s="210">
        <f t="shared" si="50"/>
        <v>325368943.07110524</v>
      </c>
      <c r="AG165" s="48" t="e">
        <f t="shared" si="51"/>
        <v>#N/A</v>
      </c>
      <c r="AH165" s="48" t="e">
        <f>IF(AG165='KIB C'!AJ:AJ,"k",0)</f>
        <v>#N/A</v>
      </c>
    </row>
    <row r="166" spans="1:34" s="48" customFormat="1" ht="40.5" customHeight="1" x14ac:dyDescent="0.2">
      <c r="A166" s="295" t="s">
        <v>2302</v>
      </c>
      <c r="B166" s="73"/>
      <c r="C166" s="65" t="s">
        <v>1912</v>
      </c>
      <c r="D166" s="67" t="s">
        <v>1887</v>
      </c>
      <c r="E166" s="67" t="s">
        <v>1913</v>
      </c>
      <c r="F166" s="33" t="s">
        <v>43</v>
      </c>
      <c r="G166" s="40" t="s">
        <v>1753</v>
      </c>
      <c r="H166" s="40" t="s">
        <v>835</v>
      </c>
      <c r="I166" s="40">
        <v>400</v>
      </c>
      <c r="J166" s="72" t="s">
        <v>2891</v>
      </c>
      <c r="K166" s="40">
        <v>2011</v>
      </c>
      <c r="L166" s="40" t="s">
        <v>1914</v>
      </c>
      <c r="M166" s="32"/>
      <c r="N166" s="33"/>
      <c r="O166" s="40"/>
      <c r="P166" s="32" t="s">
        <v>12</v>
      </c>
      <c r="Q166" s="252">
        <v>418841604.26034129</v>
      </c>
      <c r="R166" s="105"/>
      <c r="S166" s="206" t="str">
        <f t="shared" si="44"/>
        <v>3.11.01</v>
      </c>
      <c r="T166" s="207" t="str">
        <f t="shared" si="37"/>
        <v>BANGUNAN GEDUNG TEMPAT KERJA</v>
      </c>
      <c r="U166" s="207">
        <f t="shared" si="38"/>
        <v>50</v>
      </c>
      <c r="V166" s="233">
        <f t="shared" si="45"/>
        <v>8376831.885206826</v>
      </c>
      <c r="W166" s="233">
        <f t="shared" si="46"/>
        <v>2</v>
      </c>
      <c r="X166" s="233">
        <f t="shared" si="39"/>
        <v>16753663.770413652</v>
      </c>
      <c r="Y166" s="233">
        <f t="shared" si="40"/>
        <v>8376831.885206826</v>
      </c>
      <c r="Z166" s="233">
        <f t="shared" si="41"/>
        <v>8376831.885206826</v>
      </c>
      <c r="AA166" s="233">
        <f t="shared" si="42"/>
        <v>8376831.885206826</v>
      </c>
      <c r="AB166" s="233">
        <f t="shared" si="43"/>
        <v>8376831.885206826</v>
      </c>
      <c r="AC166" s="238">
        <f t="shared" si="47"/>
        <v>8376831.885206826</v>
      </c>
      <c r="AD166" s="238">
        <f t="shared" si="48"/>
        <v>58637823.196447782</v>
      </c>
      <c r="AE166" s="206">
        <f t="shared" si="49"/>
        <v>2011</v>
      </c>
      <c r="AF166" s="210">
        <f t="shared" si="50"/>
        <v>360203781.0638935</v>
      </c>
      <c r="AG166" s="48" t="e">
        <f t="shared" si="51"/>
        <v>#N/A</v>
      </c>
      <c r="AH166" s="48" t="e">
        <f>IF(AG166='KIB C'!AJ:AJ,"k",0)</f>
        <v>#N/A</v>
      </c>
    </row>
    <row r="167" spans="1:34" s="48" customFormat="1" ht="40.5" customHeight="1" x14ac:dyDescent="0.2">
      <c r="A167" s="295" t="s">
        <v>2302</v>
      </c>
      <c r="B167" s="73"/>
      <c r="C167" s="65" t="s">
        <v>1915</v>
      </c>
      <c r="D167" s="67" t="s">
        <v>1887</v>
      </c>
      <c r="E167" s="67" t="s">
        <v>1916</v>
      </c>
      <c r="F167" s="33" t="s">
        <v>43</v>
      </c>
      <c r="G167" s="40" t="s">
        <v>1753</v>
      </c>
      <c r="H167" s="40" t="s">
        <v>835</v>
      </c>
      <c r="I167" s="40">
        <v>120</v>
      </c>
      <c r="J167" s="72" t="s">
        <v>2892</v>
      </c>
      <c r="K167" s="40">
        <v>2011</v>
      </c>
      <c r="L167" s="40" t="s">
        <v>1918</v>
      </c>
      <c r="M167" s="32"/>
      <c r="N167" s="33"/>
      <c r="O167" s="40"/>
      <c r="P167" s="32" t="s">
        <v>12</v>
      </c>
      <c r="Q167" s="252">
        <v>328356658.1584819</v>
      </c>
      <c r="R167" s="105"/>
      <c r="S167" s="206" t="str">
        <f t="shared" si="44"/>
        <v>3.11.01</v>
      </c>
      <c r="T167" s="207" t="str">
        <f t="shared" si="37"/>
        <v>BANGUNAN GEDUNG TEMPAT KERJA</v>
      </c>
      <c r="U167" s="207">
        <f t="shared" si="38"/>
        <v>50</v>
      </c>
      <c r="V167" s="233">
        <f t="shared" si="45"/>
        <v>6567132.9631696381</v>
      </c>
      <c r="W167" s="233">
        <f t="shared" si="46"/>
        <v>2</v>
      </c>
      <c r="X167" s="233">
        <f t="shared" si="39"/>
        <v>13134265.926339276</v>
      </c>
      <c r="Y167" s="233">
        <f t="shared" si="40"/>
        <v>6567132.9631696381</v>
      </c>
      <c r="Z167" s="233">
        <f t="shared" si="41"/>
        <v>6567132.9631696381</v>
      </c>
      <c r="AA167" s="233">
        <f t="shared" si="42"/>
        <v>6567132.9631696381</v>
      </c>
      <c r="AB167" s="233">
        <f t="shared" si="43"/>
        <v>6567132.9631696381</v>
      </c>
      <c r="AC167" s="238">
        <f t="shared" si="47"/>
        <v>6567132.9631696381</v>
      </c>
      <c r="AD167" s="238">
        <f t="shared" si="48"/>
        <v>45969930.74218747</v>
      </c>
      <c r="AE167" s="206">
        <f t="shared" si="49"/>
        <v>2011</v>
      </c>
      <c r="AF167" s="210">
        <f t="shared" si="50"/>
        <v>282386727.41629446</v>
      </c>
      <c r="AG167" s="48" t="e">
        <f t="shared" si="51"/>
        <v>#N/A</v>
      </c>
      <c r="AH167" s="48" t="e">
        <f>IF(AG167='KIB C'!AJ:AJ,"k",0)</f>
        <v>#N/A</v>
      </c>
    </row>
    <row r="168" spans="1:34" s="48" customFormat="1" ht="40.5" customHeight="1" x14ac:dyDescent="0.2">
      <c r="A168" s="295" t="s">
        <v>2302</v>
      </c>
      <c r="B168" s="73"/>
      <c r="C168" s="65" t="s">
        <v>1919</v>
      </c>
      <c r="D168" s="67" t="s">
        <v>1887</v>
      </c>
      <c r="E168" s="67" t="s">
        <v>1920</v>
      </c>
      <c r="F168" s="33" t="s">
        <v>43</v>
      </c>
      <c r="G168" s="40" t="s">
        <v>1753</v>
      </c>
      <c r="H168" s="40" t="s">
        <v>835</v>
      </c>
      <c r="I168" s="40">
        <v>120</v>
      </c>
      <c r="J168" s="72" t="s">
        <v>2893</v>
      </c>
      <c r="K168" s="40">
        <v>2011</v>
      </c>
      <c r="L168" s="40" t="s">
        <v>1922</v>
      </c>
      <c r="M168" s="32"/>
      <c r="N168" s="33"/>
      <c r="O168" s="40"/>
      <c r="P168" s="32" t="s">
        <v>12</v>
      </c>
      <c r="Q168" s="252">
        <v>297325609.5558452</v>
      </c>
      <c r="R168" s="105"/>
      <c r="S168" s="206" t="str">
        <f t="shared" si="44"/>
        <v>3.11.01</v>
      </c>
      <c r="T168" s="207" t="str">
        <f t="shared" si="37"/>
        <v>BANGUNAN GEDUNG TEMPAT KERJA</v>
      </c>
      <c r="U168" s="207">
        <f t="shared" si="38"/>
        <v>50</v>
      </c>
      <c r="V168" s="233">
        <f t="shared" si="45"/>
        <v>5946511.9911169037</v>
      </c>
      <c r="W168" s="233">
        <f t="shared" si="46"/>
        <v>2</v>
      </c>
      <c r="X168" s="233">
        <f t="shared" si="39"/>
        <v>11893023.982233807</v>
      </c>
      <c r="Y168" s="233">
        <f t="shared" si="40"/>
        <v>5946511.9911169037</v>
      </c>
      <c r="Z168" s="233">
        <f t="shared" si="41"/>
        <v>5946511.9911169037</v>
      </c>
      <c r="AA168" s="233">
        <f t="shared" si="42"/>
        <v>5946511.9911169037</v>
      </c>
      <c r="AB168" s="233">
        <f t="shared" si="43"/>
        <v>5946511.9911169037</v>
      </c>
      <c r="AC168" s="238">
        <f t="shared" si="47"/>
        <v>5946511.9911169037</v>
      </c>
      <c r="AD168" s="238">
        <f t="shared" si="48"/>
        <v>41625583.937818326</v>
      </c>
      <c r="AE168" s="206">
        <f t="shared" si="49"/>
        <v>2011</v>
      </c>
      <c r="AF168" s="210">
        <f t="shared" si="50"/>
        <v>255700025.61802688</v>
      </c>
      <c r="AG168" s="48" t="e">
        <f t="shared" si="51"/>
        <v>#N/A</v>
      </c>
      <c r="AH168" s="48" t="e">
        <f>IF(AG168='KIB C'!AJ:AJ,"k",0)</f>
        <v>#N/A</v>
      </c>
    </row>
    <row r="169" spans="1:34" s="48" customFormat="1" ht="40.5" customHeight="1" x14ac:dyDescent="0.2">
      <c r="A169" s="295" t="s">
        <v>2302</v>
      </c>
      <c r="B169" s="73"/>
      <c r="C169" s="65" t="s">
        <v>1923</v>
      </c>
      <c r="D169" s="67" t="s">
        <v>1887</v>
      </c>
      <c r="E169" s="67" t="s">
        <v>1924</v>
      </c>
      <c r="F169" s="33" t="s">
        <v>43</v>
      </c>
      <c r="G169" s="40" t="s">
        <v>1753</v>
      </c>
      <c r="H169" s="40" t="s">
        <v>835</v>
      </c>
      <c r="I169" s="40">
        <v>120</v>
      </c>
      <c r="J169" s="72" t="s">
        <v>2894</v>
      </c>
      <c r="K169" s="40">
        <v>2011</v>
      </c>
      <c r="L169" s="40" t="s">
        <v>1850</v>
      </c>
      <c r="M169" s="32"/>
      <c r="N169" s="33"/>
      <c r="O169" s="40"/>
      <c r="P169" s="32" t="s">
        <v>12</v>
      </c>
      <c r="Q169" s="252">
        <v>347018145.06558543</v>
      </c>
      <c r="R169" s="105"/>
      <c r="S169" s="206" t="str">
        <f t="shared" si="44"/>
        <v>3.11.01</v>
      </c>
      <c r="T169" s="207" t="str">
        <f t="shared" si="37"/>
        <v>BANGUNAN GEDUNG TEMPAT KERJA</v>
      </c>
      <c r="U169" s="207">
        <f t="shared" si="38"/>
        <v>50</v>
      </c>
      <c r="V169" s="233">
        <f t="shared" si="45"/>
        <v>6940362.7013117084</v>
      </c>
      <c r="W169" s="233">
        <f t="shared" si="46"/>
        <v>2</v>
      </c>
      <c r="X169" s="233">
        <f t="shared" si="39"/>
        <v>13880725.402623417</v>
      </c>
      <c r="Y169" s="233">
        <f t="shared" si="40"/>
        <v>6940362.7013117084</v>
      </c>
      <c r="Z169" s="233">
        <f t="shared" si="41"/>
        <v>6940362.7013117084</v>
      </c>
      <c r="AA169" s="233">
        <f t="shared" si="42"/>
        <v>6940362.7013117084</v>
      </c>
      <c r="AB169" s="233">
        <f t="shared" si="43"/>
        <v>6940362.7013117084</v>
      </c>
      <c r="AC169" s="238">
        <f t="shared" si="47"/>
        <v>6940362.7013117084</v>
      </c>
      <c r="AD169" s="238">
        <f t="shared" si="48"/>
        <v>48582538.90918196</v>
      </c>
      <c r="AE169" s="206">
        <f t="shared" si="49"/>
        <v>2011</v>
      </c>
      <c r="AF169" s="210">
        <f t="shared" si="50"/>
        <v>298435606.15640348</v>
      </c>
      <c r="AG169" s="48" t="e">
        <f t="shared" si="51"/>
        <v>#N/A</v>
      </c>
      <c r="AH169" s="48" t="e">
        <f>IF(AG169='KIB C'!AJ:AJ,"k",0)</f>
        <v>#N/A</v>
      </c>
    </row>
    <row r="170" spans="1:34" s="48" customFormat="1" ht="40.5" customHeight="1" x14ac:dyDescent="0.2">
      <c r="A170" s="295" t="s">
        <v>2302</v>
      </c>
      <c r="B170" s="73"/>
      <c r="C170" s="65" t="s">
        <v>1926</v>
      </c>
      <c r="D170" s="67" t="s">
        <v>1887</v>
      </c>
      <c r="E170" s="67" t="s">
        <v>1927</v>
      </c>
      <c r="F170" s="33" t="s">
        <v>43</v>
      </c>
      <c r="G170" s="40" t="s">
        <v>1753</v>
      </c>
      <c r="H170" s="40" t="s">
        <v>835</v>
      </c>
      <c r="I170" s="40"/>
      <c r="J170" s="72" t="s">
        <v>2895</v>
      </c>
      <c r="K170" s="40">
        <v>2011</v>
      </c>
      <c r="L170" s="40" t="s">
        <v>1929</v>
      </c>
      <c r="M170" s="32"/>
      <c r="N170" s="33"/>
      <c r="O170" s="40"/>
      <c r="P170" s="32" t="s">
        <v>12</v>
      </c>
      <c r="Q170" s="252">
        <v>306126753.72545201</v>
      </c>
      <c r="R170" s="105"/>
      <c r="S170" s="206" t="str">
        <f t="shared" si="44"/>
        <v>3.11.01</v>
      </c>
      <c r="T170" s="207" t="str">
        <f t="shared" si="37"/>
        <v>BANGUNAN GEDUNG TEMPAT KERJA</v>
      </c>
      <c r="U170" s="207">
        <f t="shared" si="38"/>
        <v>50</v>
      </c>
      <c r="V170" s="233">
        <f t="shared" si="45"/>
        <v>6122534.8745090403</v>
      </c>
      <c r="W170" s="233">
        <f t="shared" si="46"/>
        <v>2</v>
      </c>
      <c r="X170" s="233">
        <f t="shared" si="39"/>
        <v>12245069.749018081</v>
      </c>
      <c r="Y170" s="233">
        <f t="shared" si="40"/>
        <v>6122534.8745090403</v>
      </c>
      <c r="Z170" s="233">
        <f t="shared" si="41"/>
        <v>6122534.8745090403</v>
      </c>
      <c r="AA170" s="233">
        <f t="shared" si="42"/>
        <v>6122534.8745090403</v>
      </c>
      <c r="AB170" s="233">
        <f t="shared" si="43"/>
        <v>6122534.8745090403</v>
      </c>
      <c r="AC170" s="238">
        <f t="shared" si="47"/>
        <v>6122534.8745090403</v>
      </c>
      <c r="AD170" s="238">
        <f t="shared" si="48"/>
        <v>42857744.121563286</v>
      </c>
      <c r="AE170" s="206">
        <f t="shared" si="49"/>
        <v>2011</v>
      </c>
      <c r="AF170" s="210">
        <f t="shared" si="50"/>
        <v>263269009.60388872</v>
      </c>
      <c r="AG170" s="48" t="e">
        <f t="shared" si="51"/>
        <v>#N/A</v>
      </c>
      <c r="AH170" s="48" t="e">
        <f>IF(AG170='KIB C'!AJ:AJ,"k",0)</f>
        <v>#N/A</v>
      </c>
    </row>
    <row r="171" spans="1:34" s="48" customFormat="1" ht="40.5" customHeight="1" x14ac:dyDescent="0.2">
      <c r="A171" s="295" t="s">
        <v>2302</v>
      </c>
      <c r="B171" s="73"/>
      <c r="C171" s="65" t="s">
        <v>1930</v>
      </c>
      <c r="D171" s="67"/>
      <c r="E171" s="67"/>
      <c r="F171" s="33" t="s">
        <v>43</v>
      </c>
      <c r="G171" s="40"/>
      <c r="H171" s="40"/>
      <c r="I171" s="40"/>
      <c r="J171" s="72" t="s">
        <v>1931</v>
      </c>
      <c r="K171" s="40">
        <v>2012</v>
      </c>
      <c r="L171" s="40"/>
      <c r="M171" s="32"/>
      <c r="N171" s="33"/>
      <c r="O171" s="40"/>
      <c r="P171" s="32" t="s">
        <v>12</v>
      </c>
      <c r="Q171" s="252">
        <v>500000000</v>
      </c>
      <c r="R171" s="105"/>
      <c r="S171" s="206" t="str">
        <f t="shared" si="44"/>
        <v>3.11.01</v>
      </c>
      <c r="T171" s="207" t="str">
        <f t="shared" si="37"/>
        <v>BANGUNAN GEDUNG TEMPAT KERJA</v>
      </c>
      <c r="U171" s="207">
        <f t="shared" si="38"/>
        <v>50</v>
      </c>
      <c r="V171" s="233">
        <f t="shared" si="45"/>
        <v>9999999.8000000007</v>
      </c>
      <c r="W171" s="233">
        <f t="shared" si="46"/>
        <v>1</v>
      </c>
      <c r="X171" s="233">
        <f t="shared" si="39"/>
        <v>9999999.8000000007</v>
      </c>
      <c r="Y171" s="233">
        <f t="shared" si="40"/>
        <v>9999999.8000000007</v>
      </c>
      <c r="Z171" s="233">
        <f t="shared" si="41"/>
        <v>9999999.8000000007</v>
      </c>
      <c r="AA171" s="233">
        <f t="shared" si="42"/>
        <v>9999999.8000000007</v>
      </c>
      <c r="AB171" s="233">
        <f t="shared" si="43"/>
        <v>9999999.8000000007</v>
      </c>
      <c r="AC171" s="238">
        <f t="shared" si="47"/>
        <v>9999999.8000000007</v>
      </c>
      <c r="AD171" s="238">
        <f t="shared" si="48"/>
        <v>59999998.799999997</v>
      </c>
      <c r="AE171" s="206">
        <f t="shared" si="49"/>
        <v>2012</v>
      </c>
      <c r="AF171" s="210">
        <f t="shared" si="50"/>
        <v>440000001.19999999</v>
      </c>
      <c r="AG171" s="48" t="e">
        <f t="shared" si="51"/>
        <v>#N/A</v>
      </c>
      <c r="AH171" s="48" t="e">
        <f>IF(AG171='KIB C'!AJ:AJ,"k",0)</f>
        <v>#N/A</v>
      </c>
    </row>
    <row r="172" spans="1:34" s="48" customFormat="1" ht="40.5" customHeight="1" x14ac:dyDescent="0.2">
      <c r="A172" s="295" t="s">
        <v>2302</v>
      </c>
      <c r="B172" s="73"/>
      <c r="C172" s="65" t="s">
        <v>1932</v>
      </c>
      <c r="D172" s="67"/>
      <c r="E172" s="67"/>
      <c r="F172" s="33" t="s">
        <v>43</v>
      </c>
      <c r="G172" s="40"/>
      <c r="H172" s="40"/>
      <c r="I172" s="40"/>
      <c r="J172" s="72" t="s">
        <v>1931</v>
      </c>
      <c r="K172" s="40">
        <v>2012</v>
      </c>
      <c r="L172" s="40"/>
      <c r="M172" s="32"/>
      <c r="N172" s="33"/>
      <c r="O172" s="40"/>
      <c r="P172" s="32" t="s">
        <v>12</v>
      </c>
      <c r="Q172" s="252">
        <v>712591462.12766397</v>
      </c>
      <c r="R172" s="105"/>
      <c r="S172" s="206" t="str">
        <f t="shared" si="44"/>
        <v>3.11.01</v>
      </c>
      <c r="T172" s="207" t="str">
        <f t="shared" si="37"/>
        <v>BANGUNAN GEDUNG TEMPAT KERJA</v>
      </c>
      <c r="U172" s="207">
        <f t="shared" si="38"/>
        <v>50</v>
      </c>
      <c r="V172" s="233">
        <f t="shared" si="45"/>
        <v>14251829.04255328</v>
      </c>
      <c r="W172" s="233">
        <f t="shared" si="46"/>
        <v>1</v>
      </c>
      <c r="X172" s="233">
        <f t="shared" si="39"/>
        <v>14251829.04255328</v>
      </c>
      <c r="Y172" s="233">
        <f t="shared" si="40"/>
        <v>14251829.04255328</v>
      </c>
      <c r="Z172" s="233">
        <f t="shared" si="41"/>
        <v>14251829.04255328</v>
      </c>
      <c r="AA172" s="233">
        <f t="shared" si="42"/>
        <v>14251829.04255328</v>
      </c>
      <c r="AB172" s="233">
        <f t="shared" si="43"/>
        <v>14251829.04255328</v>
      </c>
      <c r="AC172" s="238">
        <f t="shared" si="47"/>
        <v>14251829.04255328</v>
      </c>
      <c r="AD172" s="238">
        <f t="shared" si="48"/>
        <v>85510974.25531967</v>
      </c>
      <c r="AE172" s="206">
        <f t="shared" si="49"/>
        <v>2012</v>
      </c>
      <c r="AF172" s="210">
        <f t="shared" si="50"/>
        <v>627080487.87234426</v>
      </c>
      <c r="AG172" s="48" t="e">
        <f t="shared" si="51"/>
        <v>#N/A</v>
      </c>
      <c r="AH172" s="48" t="e">
        <f>IF(AG172='KIB C'!AJ:AJ,"k",0)</f>
        <v>#N/A</v>
      </c>
    </row>
    <row r="173" spans="1:34" s="48" customFormat="1" ht="40.5" customHeight="1" x14ac:dyDescent="0.2">
      <c r="A173" s="295" t="s">
        <v>2302</v>
      </c>
      <c r="B173" s="73"/>
      <c r="C173" s="65" t="s">
        <v>1930</v>
      </c>
      <c r="D173" s="67"/>
      <c r="E173" s="67"/>
      <c r="F173" s="33" t="s">
        <v>43</v>
      </c>
      <c r="G173" s="40"/>
      <c r="H173" s="40"/>
      <c r="I173" s="40"/>
      <c r="J173" s="72" t="s">
        <v>1931</v>
      </c>
      <c r="K173" s="40">
        <v>2012</v>
      </c>
      <c r="L173" s="40"/>
      <c r="M173" s="32"/>
      <c r="N173" s="33"/>
      <c r="O173" s="40"/>
      <c r="P173" s="32" t="s">
        <v>12</v>
      </c>
      <c r="Q173" s="252">
        <v>640564729.19418764</v>
      </c>
      <c r="R173" s="105"/>
      <c r="S173" s="206" t="str">
        <f t="shared" si="44"/>
        <v>3.11.01</v>
      </c>
      <c r="T173" s="207" t="str">
        <f t="shared" si="37"/>
        <v>BANGUNAN GEDUNG TEMPAT KERJA</v>
      </c>
      <c r="U173" s="207">
        <f t="shared" si="38"/>
        <v>50</v>
      </c>
      <c r="V173" s="233">
        <f t="shared" si="45"/>
        <v>12811294.383883752</v>
      </c>
      <c r="W173" s="233">
        <f t="shared" si="46"/>
        <v>1</v>
      </c>
      <c r="X173" s="233">
        <f t="shared" si="39"/>
        <v>12811294.383883752</v>
      </c>
      <c r="Y173" s="233">
        <f t="shared" si="40"/>
        <v>12811294.383883752</v>
      </c>
      <c r="Z173" s="233">
        <f t="shared" si="41"/>
        <v>12811294.383883752</v>
      </c>
      <c r="AA173" s="233">
        <f t="shared" si="42"/>
        <v>12811294.383883752</v>
      </c>
      <c r="AB173" s="233">
        <f t="shared" si="43"/>
        <v>12811294.383883752</v>
      </c>
      <c r="AC173" s="238">
        <f t="shared" si="47"/>
        <v>12811294.383883752</v>
      </c>
      <c r="AD173" s="238">
        <f t="shared" si="48"/>
        <v>76867766.303302512</v>
      </c>
      <c r="AE173" s="206">
        <f t="shared" si="49"/>
        <v>2012</v>
      </c>
      <c r="AF173" s="210">
        <f t="shared" si="50"/>
        <v>563696962.89088511</v>
      </c>
      <c r="AG173" s="48" t="e">
        <f t="shared" si="51"/>
        <v>#N/A</v>
      </c>
      <c r="AH173" s="48" t="e">
        <f>IF(AG173='KIB C'!AJ:AJ,"k",0)</f>
        <v>#N/A</v>
      </c>
    </row>
    <row r="174" spans="1:34" s="48" customFormat="1" ht="40.5" customHeight="1" x14ac:dyDescent="0.2">
      <c r="A174" s="295" t="s">
        <v>2302</v>
      </c>
      <c r="B174" s="73"/>
      <c r="C174" s="65" t="s">
        <v>1930</v>
      </c>
      <c r="D174" s="67"/>
      <c r="E174" s="67"/>
      <c r="F174" s="33" t="s">
        <v>43</v>
      </c>
      <c r="G174" s="40"/>
      <c r="H174" s="40"/>
      <c r="I174" s="40"/>
      <c r="J174" s="72" t="s">
        <v>1931</v>
      </c>
      <c r="K174" s="40">
        <v>2012</v>
      </c>
      <c r="L174" s="40"/>
      <c r="M174" s="32"/>
      <c r="N174" s="33"/>
      <c r="O174" s="40"/>
      <c r="P174" s="32" t="s">
        <v>12</v>
      </c>
      <c r="Q174" s="252">
        <v>349398943.19682962</v>
      </c>
      <c r="R174" s="105"/>
      <c r="S174" s="206" t="str">
        <f t="shared" si="44"/>
        <v>3.11.01</v>
      </c>
      <c r="T174" s="207" t="str">
        <f t="shared" si="37"/>
        <v>BANGUNAN GEDUNG TEMPAT KERJA</v>
      </c>
      <c r="U174" s="207">
        <f t="shared" si="38"/>
        <v>50</v>
      </c>
      <c r="V174" s="233">
        <f t="shared" si="45"/>
        <v>6987978.6639365926</v>
      </c>
      <c r="W174" s="233">
        <f t="shared" si="46"/>
        <v>1</v>
      </c>
      <c r="X174" s="233">
        <f t="shared" si="39"/>
        <v>6987978.6639365926</v>
      </c>
      <c r="Y174" s="233">
        <f t="shared" si="40"/>
        <v>6987978.6639365926</v>
      </c>
      <c r="Z174" s="233">
        <f t="shared" si="41"/>
        <v>6987978.6639365926</v>
      </c>
      <c r="AA174" s="233">
        <f t="shared" si="42"/>
        <v>6987978.6639365926</v>
      </c>
      <c r="AB174" s="233">
        <f t="shared" si="43"/>
        <v>6987978.6639365926</v>
      </c>
      <c r="AC174" s="238">
        <f t="shared" si="47"/>
        <v>6987978.6639365926</v>
      </c>
      <c r="AD174" s="238">
        <f t="shared" si="48"/>
        <v>41927871.983619556</v>
      </c>
      <c r="AE174" s="206">
        <f t="shared" si="49"/>
        <v>2012</v>
      </c>
      <c r="AF174" s="210">
        <f t="shared" si="50"/>
        <v>307471071.21321005</v>
      </c>
      <c r="AG174" s="48" t="e">
        <f t="shared" si="51"/>
        <v>#N/A</v>
      </c>
      <c r="AH174" s="48" t="e">
        <f>IF(AG174='KIB C'!AJ:AJ,"k",0)</f>
        <v>#N/A</v>
      </c>
    </row>
    <row r="175" spans="1:34" s="48" customFormat="1" ht="40.5" customHeight="1" x14ac:dyDescent="0.2">
      <c r="A175" s="295" t="s">
        <v>2302</v>
      </c>
      <c r="B175" s="73"/>
      <c r="C175" s="65" t="s">
        <v>1933</v>
      </c>
      <c r="D175" s="67" t="s">
        <v>1752</v>
      </c>
      <c r="E175" s="67" t="s">
        <v>39</v>
      </c>
      <c r="F175" s="33" t="s">
        <v>43</v>
      </c>
      <c r="G175" s="40" t="s">
        <v>1786</v>
      </c>
      <c r="H175" s="40" t="s">
        <v>1934</v>
      </c>
      <c r="I175" s="40"/>
      <c r="J175" s="72" t="s">
        <v>427</v>
      </c>
      <c r="K175" s="40">
        <v>2012</v>
      </c>
      <c r="L175" s="40" t="s">
        <v>1935</v>
      </c>
      <c r="M175" s="32"/>
      <c r="N175" s="33"/>
      <c r="O175" s="40"/>
      <c r="P175" s="32" t="s">
        <v>12</v>
      </c>
      <c r="Q175" s="252">
        <v>37008650</v>
      </c>
      <c r="R175" s="105"/>
      <c r="S175" s="206" t="str">
        <f t="shared" si="44"/>
        <v>3.11.01</v>
      </c>
      <c r="T175" s="207" t="str">
        <f t="shared" si="37"/>
        <v>BANGUNAN GEDUNG TEMPAT KERJA</v>
      </c>
      <c r="U175" s="207">
        <f t="shared" si="38"/>
        <v>50</v>
      </c>
      <c r="V175" s="233">
        <f t="shared" si="45"/>
        <v>740172.80000000005</v>
      </c>
      <c r="W175" s="233">
        <f t="shared" si="46"/>
        <v>1</v>
      </c>
      <c r="X175" s="233">
        <f t="shared" si="39"/>
        <v>740172.80000000005</v>
      </c>
      <c r="Y175" s="233">
        <f t="shared" si="40"/>
        <v>740172.80000000005</v>
      </c>
      <c r="Z175" s="233">
        <f t="shared" si="41"/>
        <v>740172.80000000005</v>
      </c>
      <c r="AA175" s="233">
        <f t="shared" si="42"/>
        <v>740172.80000000005</v>
      </c>
      <c r="AB175" s="233">
        <f t="shared" si="43"/>
        <v>740172.80000000005</v>
      </c>
      <c r="AC175" s="238">
        <f t="shared" si="47"/>
        <v>740172.80000000005</v>
      </c>
      <c r="AD175" s="238">
        <f t="shared" si="48"/>
        <v>4441036.7999999998</v>
      </c>
      <c r="AE175" s="206">
        <f t="shared" si="49"/>
        <v>2012</v>
      </c>
      <c r="AF175" s="210">
        <f t="shared" si="50"/>
        <v>32567613.199999999</v>
      </c>
      <c r="AG175" s="48" t="str">
        <f t="shared" si="51"/>
        <v>K</v>
      </c>
    </row>
    <row r="176" spans="1:34" s="48" customFormat="1" ht="40.5" customHeight="1" x14ac:dyDescent="0.2">
      <c r="A176" s="295" t="s">
        <v>2302</v>
      </c>
      <c r="B176" s="73"/>
      <c r="C176" s="65" t="s">
        <v>1936</v>
      </c>
      <c r="D176" s="67" t="s">
        <v>1752</v>
      </c>
      <c r="E176" s="67" t="s">
        <v>68</v>
      </c>
      <c r="F176" s="33" t="s">
        <v>43</v>
      </c>
      <c r="G176" s="40" t="s">
        <v>1786</v>
      </c>
      <c r="H176" s="40" t="s">
        <v>1934</v>
      </c>
      <c r="I176" s="40"/>
      <c r="J176" s="72" t="s">
        <v>2896</v>
      </c>
      <c r="K176" s="40">
        <v>2012</v>
      </c>
      <c r="L176" s="40" t="s">
        <v>1938</v>
      </c>
      <c r="M176" s="32"/>
      <c r="N176" s="33"/>
      <c r="O176" s="40"/>
      <c r="P176" s="32" t="s">
        <v>12</v>
      </c>
      <c r="Q176" s="252">
        <v>36800000</v>
      </c>
      <c r="R176" s="105"/>
      <c r="S176" s="206" t="str">
        <f t="shared" si="44"/>
        <v>3.11.01</v>
      </c>
      <c r="T176" s="207" t="str">
        <f t="shared" si="37"/>
        <v>BANGUNAN GEDUNG TEMPAT KERJA</v>
      </c>
      <c r="U176" s="207">
        <f t="shared" si="38"/>
        <v>50</v>
      </c>
      <c r="V176" s="233">
        <f t="shared" si="45"/>
        <v>735999.8</v>
      </c>
      <c r="W176" s="233">
        <f t="shared" si="46"/>
        <v>1</v>
      </c>
      <c r="X176" s="233">
        <f t="shared" si="39"/>
        <v>735999.8</v>
      </c>
      <c r="Y176" s="233">
        <f t="shared" si="40"/>
        <v>735999.8</v>
      </c>
      <c r="Z176" s="233">
        <f t="shared" si="41"/>
        <v>735999.8</v>
      </c>
      <c r="AA176" s="233">
        <f t="shared" si="42"/>
        <v>735999.8</v>
      </c>
      <c r="AB176" s="233">
        <f t="shared" si="43"/>
        <v>735999.8</v>
      </c>
      <c r="AC176" s="238">
        <f t="shared" si="47"/>
        <v>735999.8</v>
      </c>
      <c r="AD176" s="238">
        <f t="shared" si="48"/>
        <v>4415998.8</v>
      </c>
      <c r="AE176" s="206">
        <f t="shared" si="49"/>
        <v>2012</v>
      </c>
      <c r="AF176" s="210">
        <f t="shared" si="50"/>
        <v>32384001.199999999</v>
      </c>
      <c r="AG176" s="48" t="str">
        <f t="shared" si="51"/>
        <v>K</v>
      </c>
    </row>
    <row r="177" spans="1:34" s="48" customFormat="1" ht="40.5" customHeight="1" x14ac:dyDescent="0.2">
      <c r="A177" s="295" t="s">
        <v>2302</v>
      </c>
      <c r="B177" s="73"/>
      <c r="C177" s="65" t="s">
        <v>1939</v>
      </c>
      <c r="D177" s="67" t="s">
        <v>1752</v>
      </c>
      <c r="E177" s="67" t="s">
        <v>1765</v>
      </c>
      <c r="F177" s="33" t="s">
        <v>43</v>
      </c>
      <c r="G177" s="40" t="s">
        <v>1786</v>
      </c>
      <c r="H177" s="40" t="s">
        <v>1934</v>
      </c>
      <c r="I177" s="40"/>
      <c r="J177" s="72" t="s">
        <v>2897</v>
      </c>
      <c r="K177" s="40">
        <v>2012</v>
      </c>
      <c r="L177" s="40" t="s">
        <v>1941</v>
      </c>
      <c r="M177" s="32"/>
      <c r="N177" s="33"/>
      <c r="O177" s="40"/>
      <c r="P177" s="32" t="s">
        <v>12</v>
      </c>
      <c r="Q177" s="252">
        <v>22181000</v>
      </c>
      <c r="R177" s="105"/>
      <c r="S177" s="206" t="str">
        <f t="shared" si="44"/>
        <v>3.11.01</v>
      </c>
      <c r="T177" s="207" t="str">
        <f t="shared" si="37"/>
        <v>BANGUNAN GEDUNG TEMPAT KERJA</v>
      </c>
      <c r="U177" s="207">
        <f t="shared" si="38"/>
        <v>50</v>
      </c>
      <c r="V177" s="233">
        <f t="shared" si="45"/>
        <v>443619.8</v>
      </c>
      <c r="W177" s="233">
        <f t="shared" si="46"/>
        <v>1</v>
      </c>
      <c r="X177" s="233">
        <f t="shared" si="39"/>
        <v>443619.8</v>
      </c>
      <c r="Y177" s="233">
        <f t="shared" si="40"/>
        <v>443619.8</v>
      </c>
      <c r="Z177" s="233">
        <f t="shared" si="41"/>
        <v>443619.8</v>
      </c>
      <c r="AA177" s="233">
        <f t="shared" si="42"/>
        <v>443619.8</v>
      </c>
      <c r="AB177" s="233">
        <f t="shared" si="43"/>
        <v>443619.8</v>
      </c>
      <c r="AC177" s="238">
        <f t="shared" si="47"/>
        <v>443619.8</v>
      </c>
      <c r="AD177" s="238">
        <f t="shared" si="48"/>
        <v>2661718.7999999998</v>
      </c>
      <c r="AE177" s="206">
        <f t="shared" si="49"/>
        <v>2012</v>
      </c>
      <c r="AF177" s="210">
        <f t="shared" si="50"/>
        <v>19519281.199999999</v>
      </c>
      <c r="AG177" s="48" t="e">
        <f t="shared" si="51"/>
        <v>#N/A</v>
      </c>
      <c r="AH177" s="48" t="e">
        <f>IF(AG177='KIB C'!AJ:AJ,"k",0)</f>
        <v>#N/A</v>
      </c>
    </row>
    <row r="178" spans="1:34" s="48" customFormat="1" ht="40.5" customHeight="1" x14ac:dyDescent="0.2">
      <c r="A178" s="295" t="s">
        <v>2302</v>
      </c>
      <c r="B178" s="73"/>
      <c r="C178" s="65" t="s">
        <v>1942</v>
      </c>
      <c r="D178" s="67" t="s">
        <v>1752</v>
      </c>
      <c r="E178" s="67" t="s">
        <v>1768</v>
      </c>
      <c r="F178" s="33" t="s">
        <v>43</v>
      </c>
      <c r="G178" s="40" t="s">
        <v>1786</v>
      </c>
      <c r="H178" s="40" t="s">
        <v>1934</v>
      </c>
      <c r="I178" s="40"/>
      <c r="J178" s="72" t="s">
        <v>2898</v>
      </c>
      <c r="K178" s="40">
        <v>2012</v>
      </c>
      <c r="L178" s="40" t="s">
        <v>1943</v>
      </c>
      <c r="M178" s="32"/>
      <c r="N178" s="33"/>
      <c r="O178" s="40"/>
      <c r="P178" s="32" t="s">
        <v>12</v>
      </c>
      <c r="Q178" s="252">
        <v>26185000</v>
      </c>
      <c r="R178" s="105"/>
      <c r="S178" s="206" t="str">
        <f t="shared" si="44"/>
        <v>3.11.01</v>
      </c>
      <c r="T178" s="207" t="str">
        <f t="shared" si="37"/>
        <v>BANGUNAN GEDUNG TEMPAT KERJA</v>
      </c>
      <c r="U178" s="207">
        <f t="shared" si="38"/>
        <v>50</v>
      </c>
      <c r="V178" s="233">
        <f t="shared" si="45"/>
        <v>523699.8</v>
      </c>
      <c r="W178" s="233">
        <f t="shared" si="46"/>
        <v>1</v>
      </c>
      <c r="X178" s="233">
        <f t="shared" si="39"/>
        <v>523699.8</v>
      </c>
      <c r="Y178" s="233">
        <f t="shared" si="40"/>
        <v>523699.8</v>
      </c>
      <c r="Z178" s="233">
        <f t="shared" si="41"/>
        <v>523699.8</v>
      </c>
      <c r="AA178" s="233">
        <f t="shared" si="42"/>
        <v>523699.8</v>
      </c>
      <c r="AB178" s="233">
        <f t="shared" si="43"/>
        <v>523699.8</v>
      </c>
      <c r="AC178" s="238">
        <f t="shared" si="47"/>
        <v>523699.8</v>
      </c>
      <c r="AD178" s="238">
        <f t="shared" si="48"/>
        <v>3142198.8</v>
      </c>
      <c r="AE178" s="206">
        <f t="shared" si="49"/>
        <v>2012</v>
      </c>
      <c r="AF178" s="210">
        <f t="shared" si="50"/>
        <v>23042801.199999999</v>
      </c>
      <c r="AG178" s="48" t="str">
        <f t="shared" si="51"/>
        <v>K</v>
      </c>
    </row>
    <row r="179" spans="1:34" s="48" customFormat="1" ht="40.5" customHeight="1" x14ac:dyDescent="0.2">
      <c r="A179" s="295" t="s">
        <v>2302</v>
      </c>
      <c r="B179" s="73"/>
      <c r="C179" s="65" t="s">
        <v>1944</v>
      </c>
      <c r="D179" s="67" t="s">
        <v>1752</v>
      </c>
      <c r="E179" s="67" t="s">
        <v>1855</v>
      </c>
      <c r="F179" s="33" t="s">
        <v>43</v>
      </c>
      <c r="G179" s="40" t="s">
        <v>1786</v>
      </c>
      <c r="H179" s="40" t="s">
        <v>1934</v>
      </c>
      <c r="I179" s="40"/>
      <c r="J179" s="72" t="s">
        <v>2614</v>
      </c>
      <c r="K179" s="40">
        <v>2012</v>
      </c>
      <c r="L179" s="40" t="s">
        <v>1945</v>
      </c>
      <c r="M179" s="32"/>
      <c r="N179" s="33"/>
      <c r="O179" s="40"/>
      <c r="P179" s="32" t="s">
        <v>12</v>
      </c>
      <c r="Q179" s="252">
        <v>39847000</v>
      </c>
      <c r="R179" s="105"/>
      <c r="S179" s="206" t="str">
        <f t="shared" si="44"/>
        <v>3.11.01</v>
      </c>
      <c r="T179" s="207" t="str">
        <f t="shared" si="37"/>
        <v>BANGUNAN GEDUNG TEMPAT KERJA</v>
      </c>
      <c r="U179" s="207">
        <f t="shared" si="38"/>
        <v>50</v>
      </c>
      <c r="V179" s="233">
        <f t="shared" si="45"/>
        <v>796939.8</v>
      </c>
      <c r="W179" s="233">
        <f t="shared" si="46"/>
        <v>1</v>
      </c>
      <c r="X179" s="233">
        <f t="shared" si="39"/>
        <v>796939.8</v>
      </c>
      <c r="Y179" s="233">
        <f t="shared" si="40"/>
        <v>796939.8</v>
      </c>
      <c r="Z179" s="233">
        <f t="shared" si="41"/>
        <v>796939.8</v>
      </c>
      <c r="AA179" s="233">
        <f t="shared" si="42"/>
        <v>796939.8</v>
      </c>
      <c r="AB179" s="233">
        <f t="shared" si="43"/>
        <v>796939.8</v>
      </c>
      <c r="AC179" s="238">
        <f t="shared" si="47"/>
        <v>796939.8</v>
      </c>
      <c r="AD179" s="238">
        <f t="shared" si="48"/>
        <v>4781638.8</v>
      </c>
      <c r="AE179" s="206">
        <f t="shared" si="49"/>
        <v>2012</v>
      </c>
      <c r="AF179" s="210">
        <f t="shared" si="50"/>
        <v>35065361.200000003</v>
      </c>
      <c r="AG179" s="48" t="e">
        <f t="shared" si="51"/>
        <v>#N/A</v>
      </c>
      <c r="AH179" s="48" t="e">
        <f>IF(AG179='KIB C'!AJ:AJ,"k",0)</f>
        <v>#N/A</v>
      </c>
    </row>
    <row r="180" spans="1:34" s="48" customFormat="1" ht="40.5" customHeight="1" x14ac:dyDescent="0.2">
      <c r="A180" s="295" t="s">
        <v>2302</v>
      </c>
      <c r="B180" s="73"/>
      <c r="C180" s="65" t="s">
        <v>1946</v>
      </c>
      <c r="D180" s="67" t="s">
        <v>1752</v>
      </c>
      <c r="E180" s="67" t="s">
        <v>1857</v>
      </c>
      <c r="F180" s="33" t="s">
        <v>43</v>
      </c>
      <c r="G180" s="40" t="s">
        <v>1786</v>
      </c>
      <c r="H180" s="40" t="s">
        <v>1934</v>
      </c>
      <c r="I180" s="40"/>
      <c r="J180" s="72" t="s">
        <v>2899</v>
      </c>
      <c r="K180" s="40">
        <v>2012</v>
      </c>
      <c r="L180" s="40"/>
      <c r="M180" s="32"/>
      <c r="N180" s="33"/>
      <c r="O180" s="40"/>
      <c r="P180" s="32" t="s">
        <v>12</v>
      </c>
      <c r="Q180" s="252">
        <v>6327300</v>
      </c>
      <c r="R180" s="105"/>
      <c r="S180" s="206" t="str">
        <f t="shared" si="44"/>
        <v>3.11.01</v>
      </c>
      <c r="T180" s="207" t="str">
        <f t="shared" si="37"/>
        <v>BANGUNAN GEDUNG TEMPAT KERJA</v>
      </c>
      <c r="U180" s="207">
        <f t="shared" si="38"/>
        <v>50</v>
      </c>
      <c r="V180" s="233">
        <f t="shared" si="45"/>
        <v>126545.8</v>
      </c>
      <c r="W180" s="233">
        <f t="shared" si="46"/>
        <v>1</v>
      </c>
      <c r="X180" s="233">
        <f t="shared" si="39"/>
        <v>126545.8</v>
      </c>
      <c r="Y180" s="233">
        <f t="shared" si="40"/>
        <v>126545.8</v>
      </c>
      <c r="Z180" s="233">
        <f t="shared" si="41"/>
        <v>126545.8</v>
      </c>
      <c r="AA180" s="233">
        <f t="shared" si="42"/>
        <v>126545.8</v>
      </c>
      <c r="AB180" s="233">
        <f t="shared" si="43"/>
        <v>126545.8</v>
      </c>
      <c r="AC180" s="238">
        <f t="shared" si="47"/>
        <v>126545.8</v>
      </c>
      <c r="AD180" s="238">
        <f t="shared" si="48"/>
        <v>759274.8</v>
      </c>
      <c r="AE180" s="206">
        <f t="shared" si="49"/>
        <v>2012</v>
      </c>
      <c r="AF180" s="210">
        <f t="shared" si="50"/>
        <v>5568025.2000000002</v>
      </c>
      <c r="AG180" s="48" t="str">
        <f t="shared" si="51"/>
        <v>K</v>
      </c>
    </row>
    <row r="181" spans="1:34" s="48" customFormat="1" ht="40.5" customHeight="1" x14ac:dyDescent="0.2">
      <c r="A181" s="295" t="s">
        <v>2302</v>
      </c>
      <c r="B181" s="73"/>
      <c r="C181" s="65" t="s">
        <v>1948</v>
      </c>
      <c r="D181" s="67" t="s">
        <v>1752</v>
      </c>
      <c r="E181" s="67" t="s">
        <v>1861</v>
      </c>
      <c r="F181" s="33" t="s">
        <v>43</v>
      </c>
      <c r="G181" s="40" t="s">
        <v>1786</v>
      </c>
      <c r="H181" s="40" t="s">
        <v>1934</v>
      </c>
      <c r="I181" s="40"/>
      <c r="J181" s="72" t="s">
        <v>2900</v>
      </c>
      <c r="K181" s="40">
        <v>2012</v>
      </c>
      <c r="L181" s="40"/>
      <c r="M181" s="32"/>
      <c r="N181" s="33"/>
      <c r="O181" s="40"/>
      <c r="P181" s="32" t="s">
        <v>12</v>
      </c>
      <c r="Q181" s="252">
        <v>6335100</v>
      </c>
      <c r="R181" s="105"/>
      <c r="S181" s="206" t="str">
        <f t="shared" si="44"/>
        <v>3.11.01</v>
      </c>
      <c r="T181" s="207" t="str">
        <f t="shared" si="37"/>
        <v>BANGUNAN GEDUNG TEMPAT KERJA</v>
      </c>
      <c r="U181" s="207">
        <f t="shared" si="38"/>
        <v>50</v>
      </c>
      <c r="V181" s="233">
        <f t="shared" si="45"/>
        <v>126701.8</v>
      </c>
      <c r="W181" s="233">
        <f t="shared" si="46"/>
        <v>1</v>
      </c>
      <c r="X181" s="233">
        <f t="shared" si="39"/>
        <v>126701.8</v>
      </c>
      <c r="Y181" s="233">
        <f t="shared" si="40"/>
        <v>126701.8</v>
      </c>
      <c r="Z181" s="233">
        <f t="shared" si="41"/>
        <v>126701.8</v>
      </c>
      <c r="AA181" s="233">
        <f t="shared" si="42"/>
        <v>126701.8</v>
      </c>
      <c r="AB181" s="233">
        <f t="shared" si="43"/>
        <v>126701.8</v>
      </c>
      <c r="AC181" s="238">
        <f t="shared" si="47"/>
        <v>126701.8</v>
      </c>
      <c r="AD181" s="238">
        <f t="shared" si="48"/>
        <v>760210.8</v>
      </c>
      <c r="AE181" s="206">
        <f t="shared" si="49"/>
        <v>2012</v>
      </c>
      <c r="AF181" s="210">
        <f t="shared" si="50"/>
        <v>5574889.2000000002</v>
      </c>
      <c r="AG181" s="48" t="str">
        <f t="shared" si="51"/>
        <v>K</v>
      </c>
    </row>
    <row r="182" spans="1:34" s="48" customFormat="1" ht="40.5" customHeight="1" x14ac:dyDescent="0.2">
      <c r="A182" s="295" t="s">
        <v>2302</v>
      </c>
      <c r="B182" s="73"/>
      <c r="C182" s="65" t="s">
        <v>1949</v>
      </c>
      <c r="D182" s="67" t="s">
        <v>1752</v>
      </c>
      <c r="E182" s="67" t="s">
        <v>1864</v>
      </c>
      <c r="F182" s="33" t="s">
        <v>43</v>
      </c>
      <c r="G182" s="40" t="s">
        <v>1786</v>
      </c>
      <c r="H182" s="40" t="s">
        <v>1934</v>
      </c>
      <c r="I182" s="40"/>
      <c r="J182" s="72" t="s">
        <v>2901</v>
      </c>
      <c r="K182" s="40">
        <v>2012</v>
      </c>
      <c r="L182" s="40" t="s">
        <v>1951</v>
      </c>
      <c r="M182" s="32"/>
      <c r="N182" s="33"/>
      <c r="O182" s="40"/>
      <c r="P182" s="32" t="s">
        <v>12</v>
      </c>
      <c r="Q182" s="252">
        <v>25213000</v>
      </c>
      <c r="R182" s="105"/>
      <c r="S182" s="206" t="str">
        <f t="shared" si="44"/>
        <v>3.11.01</v>
      </c>
      <c r="T182" s="207" t="str">
        <f t="shared" si="37"/>
        <v>BANGUNAN GEDUNG TEMPAT KERJA</v>
      </c>
      <c r="U182" s="207">
        <f t="shared" si="38"/>
        <v>50</v>
      </c>
      <c r="V182" s="233">
        <f t="shared" si="45"/>
        <v>504259.8</v>
      </c>
      <c r="W182" s="233">
        <f t="shared" si="46"/>
        <v>1</v>
      </c>
      <c r="X182" s="233">
        <f t="shared" si="39"/>
        <v>504259.8</v>
      </c>
      <c r="Y182" s="233">
        <f t="shared" si="40"/>
        <v>504259.8</v>
      </c>
      <c r="Z182" s="233">
        <f t="shared" si="41"/>
        <v>504259.8</v>
      </c>
      <c r="AA182" s="233">
        <f t="shared" si="42"/>
        <v>504259.8</v>
      </c>
      <c r="AB182" s="233">
        <f t="shared" si="43"/>
        <v>504259.8</v>
      </c>
      <c r="AC182" s="238">
        <f t="shared" si="47"/>
        <v>504259.8</v>
      </c>
      <c r="AD182" s="238">
        <f t="shared" si="48"/>
        <v>3025558.8</v>
      </c>
      <c r="AE182" s="206">
        <f t="shared" si="49"/>
        <v>2012</v>
      </c>
      <c r="AF182" s="210">
        <f t="shared" si="50"/>
        <v>22187441.199999999</v>
      </c>
      <c r="AG182" s="48" t="str">
        <f t="shared" si="51"/>
        <v>K</v>
      </c>
    </row>
    <row r="183" spans="1:34" s="48" customFormat="1" ht="40.5" customHeight="1" x14ac:dyDescent="0.2">
      <c r="A183" s="295" t="s">
        <v>2302</v>
      </c>
      <c r="B183" s="73"/>
      <c r="C183" s="65" t="s">
        <v>1952</v>
      </c>
      <c r="D183" s="67" t="s">
        <v>1772</v>
      </c>
      <c r="E183" s="67" t="s">
        <v>39</v>
      </c>
      <c r="F183" s="33" t="s">
        <v>43</v>
      </c>
      <c r="G183" s="40" t="s">
        <v>1786</v>
      </c>
      <c r="H183" s="40" t="s">
        <v>1934</v>
      </c>
      <c r="I183" s="40"/>
      <c r="J183" s="72" t="s">
        <v>2902</v>
      </c>
      <c r="K183" s="40">
        <v>2012</v>
      </c>
      <c r="L183" s="40" t="s">
        <v>1954</v>
      </c>
      <c r="M183" s="32"/>
      <c r="N183" s="33"/>
      <c r="O183" s="40"/>
      <c r="P183" s="32" t="s">
        <v>12</v>
      </c>
      <c r="Q183" s="252">
        <v>49368000</v>
      </c>
      <c r="R183" s="105"/>
      <c r="S183" s="206" t="str">
        <f t="shared" si="44"/>
        <v>3.11.01</v>
      </c>
      <c r="T183" s="207" t="str">
        <f t="shared" si="37"/>
        <v>BANGUNAN GEDUNG TEMPAT KERJA</v>
      </c>
      <c r="U183" s="207">
        <f t="shared" si="38"/>
        <v>50</v>
      </c>
      <c r="V183" s="233">
        <f t="shared" si="45"/>
        <v>987359.8</v>
      </c>
      <c r="W183" s="233">
        <f t="shared" si="46"/>
        <v>1</v>
      </c>
      <c r="X183" s="233">
        <f t="shared" si="39"/>
        <v>987359.8</v>
      </c>
      <c r="Y183" s="233">
        <f t="shared" si="40"/>
        <v>987359.8</v>
      </c>
      <c r="Z183" s="233">
        <f t="shared" si="41"/>
        <v>987359.8</v>
      </c>
      <c r="AA183" s="233">
        <f t="shared" si="42"/>
        <v>987359.8</v>
      </c>
      <c r="AB183" s="233">
        <f t="shared" si="43"/>
        <v>987359.8</v>
      </c>
      <c r="AC183" s="238">
        <f t="shared" si="47"/>
        <v>987359.8</v>
      </c>
      <c r="AD183" s="238">
        <f t="shared" si="48"/>
        <v>5924158.7999999998</v>
      </c>
      <c r="AE183" s="206">
        <f t="shared" si="49"/>
        <v>2012</v>
      </c>
      <c r="AF183" s="210">
        <f t="shared" si="50"/>
        <v>43443841.200000003</v>
      </c>
      <c r="AG183" s="48" t="e">
        <f t="shared" si="51"/>
        <v>#N/A</v>
      </c>
      <c r="AH183" s="48" t="e">
        <f>IF(AG183='KIB C'!AJ:AJ,"k",0)</f>
        <v>#N/A</v>
      </c>
    </row>
    <row r="184" spans="1:34" s="48" customFormat="1" ht="40.5" customHeight="1" x14ac:dyDescent="0.2">
      <c r="A184" s="295" t="s">
        <v>2302</v>
      </c>
      <c r="B184" s="73"/>
      <c r="C184" s="65" t="s">
        <v>1955</v>
      </c>
      <c r="D184" s="67"/>
      <c r="E184" s="67"/>
      <c r="F184" s="33" t="s">
        <v>43</v>
      </c>
      <c r="G184" s="40"/>
      <c r="H184" s="40"/>
      <c r="I184" s="40"/>
      <c r="J184" s="72" t="s">
        <v>2903</v>
      </c>
      <c r="K184" s="40">
        <v>2012</v>
      </c>
      <c r="L184" s="40"/>
      <c r="M184" s="32"/>
      <c r="N184" s="33"/>
      <c r="O184" s="40"/>
      <c r="P184" s="32" t="s">
        <v>12</v>
      </c>
      <c r="Q184" s="252">
        <v>107448943.1871327</v>
      </c>
      <c r="R184" s="105"/>
      <c r="S184" s="206" t="str">
        <f t="shared" si="44"/>
        <v>3.11.01</v>
      </c>
      <c r="T184" s="207" t="str">
        <f t="shared" si="37"/>
        <v>BANGUNAN GEDUNG TEMPAT KERJA</v>
      </c>
      <c r="U184" s="207">
        <f t="shared" si="38"/>
        <v>50</v>
      </c>
      <c r="V184" s="233">
        <f t="shared" si="45"/>
        <v>2148978.663742654</v>
      </c>
      <c r="W184" s="233">
        <f t="shared" si="46"/>
        <v>1</v>
      </c>
      <c r="X184" s="233">
        <f t="shared" si="39"/>
        <v>2148978.663742654</v>
      </c>
      <c r="Y184" s="233">
        <f t="shared" si="40"/>
        <v>2148978.663742654</v>
      </c>
      <c r="Z184" s="233">
        <f t="shared" si="41"/>
        <v>2148978.663742654</v>
      </c>
      <c r="AA184" s="233">
        <f t="shared" si="42"/>
        <v>2148978.663742654</v>
      </c>
      <c r="AB184" s="233">
        <f t="shared" si="43"/>
        <v>2148978.663742654</v>
      </c>
      <c r="AC184" s="238">
        <f t="shared" si="47"/>
        <v>2148978.663742654</v>
      </c>
      <c r="AD184" s="238">
        <f t="shared" si="48"/>
        <v>12893871.982455924</v>
      </c>
      <c r="AE184" s="206">
        <f t="shared" si="49"/>
        <v>2012</v>
      </c>
      <c r="AF184" s="210">
        <f t="shared" si="50"/>
        <v>94555071.204676777</v>
      </c>
      <c r="AG184" s="48" t="e">
        <f t="shared" si="51"/>
        <v>#N/A</v>
      </c>
      <c r="AH184" s="48" t="e">
        <f>IF(AG184='KIB C'!AJ:AJ,"k",0)</f>
        <v>#N/A</v>
      </c>
    </row>
    <row r="185" spans="1:34" s="48" customFormat="1" ht="40.5" customHeight="1" x14ac:dyDescent="0.2">
      <c r="A185" s="295" t="s">
        <v>2302</v>
      </c>
      <c r="B185" s="73"/>
      <c r="C185" s="65" t="s">
        <v>1957</v>
      </c>
      <c r="D185" s="67" t="s">
        <v>1752</v>
      </c>
      <c r="E185" s="67" t="s">
        <v>1870</v>
      </c>
      <c r="F185" s="33" t="s">
        <v>43</v>
      </c>
      <c r="G185" s="40" t="s">
        <v>1786</v>
      </c>
      <c r="H185" s="40" t="s">
        <v>1934</v>
      </c>
      <c r="I185" s="40"/>
      <c r="J185" s="72" t="s">
        <v>1958</v>
      </c>
      <c r="K185" s="40">
        <v>2012</v>
      </c>
      <c r="L185" s="40" t="s">
        <v>1959</v>
      </c>
      <c r="M185" s="32"/>
      <c r="N185" s="33"/>
      <c r="O185" s="40"/>
      <c r="P185" s="32" t="s">
        <v>12</v>
      </c>
      <c r="Q185" s="252">
        <v>81058991.464514166</v>
      </c>
      <c r="R185" s="105"/>
      <c r="S185" s="206" t="str">
        <f t="shared" si="44"/>
        <v>3.11.01</v>
      </c>
      <c r="T185" s="207" t="str">
        <f t="shared" si="37"/>
        <v>BANGUNAN GEDUNG TEMPAT KERJA</v>
      </c>
      <c r="U185" s="207">
        <f t="shared" si="38"/>
        <v>50</v>
      </c>
      <c r="V185" s="233">
        <f t="shared" si="45"/>
        <v>1621179.6292902834</v>
      </c>
      <c r="W185" s="233">
        <f t="shared" si="46"/>
        <v>1</v>
      </c>
      <c r="X185" s="233">
        <f t="shared" si="39"/>
        <v>1621179.6292902834</v>
      </c>
      <c r="Y185" s="233">
        <f t="shared" si="40"/>
        <v>1621179.6292902834</v>
      </c>
      <c r="Z185" s="233">
        <f t="shared" si="41"/>
        <v>1621179.6292902834</v>
      </c>
      <c r="AA185" s="233">
        <f t="shared" si="42"/>
        <v>1621179.6292902834</v>
      </c>
      <c r="AB185" s="233">
        <f t="shared" si="43"/>
        <v>1621179.6292902834</v>
      </c>
      <c r="AC185" s="238">
        <f t="shared" si="47"/>
        <v>1621179.6292902834</v>
      </c>
      <c r="AD185" s="238">
        <f t="shared" si="48"/>
        <v>9727077.7757417001</v>
      </c>
      <c r="AE185" s="206">
        <f t="shared" si="49"/>
        <v>2012</v>
      </c>
      <c r="AF185" s="210">
        <f t="shared" si="50"/>
        <v>71331913.68877247</v>
      </c>
      <c r="AG185" s="48" t="e">
        <f t="shared" si="51"/>
        <v>#N/A</v>
      </c>
      <c r="AH185" s="48" t="e">
        <f>IF(AG185='KIB C'!AJ:AJ,"k",0)</f>
        <v>#N/A</v>
      </c>
    </row>
    <row r="186" spans="1:34" s="48" customFormat="1" ht="40.5" customHeight="1" x14ac:dyDescent="0.2">
      <c r="A186" s="295" t="s">
        <v>2302</v>
      </c>
      <c r="B186" s="73"/>
      <c r="C186" s="65" t="s">
        <v>1960</v>
      </c>
      <c r="D186" s="67" t="s">
        <v>1752</v>
      </c>
      <c r="E186" s="67" t="s">
        <v>1888</v>
      </c>
      <c r="F186" s="33" t="s">
        <v>43</v>
      </c>
      <c r="G186" s="40" t="s">
        <v>1786</v>
      </c>
      <c r="H186" s="40" t="s">
        <v>1934</v>
      </c>
      <c r="I186" s="40">
        <v>120</v>
      </c>
      <c r="J186" s="72" t="s">
        <v>2904</v>
      </c>
      <c r="K186" s="40">
        <v>2012</v>
      </c>
      <c r="L186" s="40" t="s">
        <v>1962</v>
      </c>
      <c r="M186" s="32"/>
      <c r="N186" s="33"/>
      <c r="O186" s="40"/>
      <c r="P186" s="32" t="s">
        <v>12</v>
      </c>
      <c r="Q186" s="252">
        <v>351466878.48290658</v>
      </c>
      <c r="R186" s="105"/>
      <c r="S186" s="206" t="str">
        <f t="shared" si="44"/>
        <v>3.11.01</v>
      </c>
      <c r="T186" s="207" t="str">
        <f t="shared" si="37"/>
        <v>BANGUNAN GEDUNG TEMPAT KERJA</v>
      </c>
      <c r="U186" s="207">
        <f t="shared" si="38"/>
        <v>50</v>
      </c>
      <c r="V186" s="233">
        <f t="shared" si="45"/>
        <v>7029337.3696581312</v>
      </c>
      <c r="W186" s="233">
        <f t="shared" si="46"/>
        <v>1</v>
      </c>
      <c r="X186" s="233">
        <f t="shared" si="39"/>
        <v>7029337.3696581312</v>
      </c>
      <c r="Y186" s="233">
        <f t="shared" si="40"/>
        <v>7029337.3696581312</v>
      </c>
      <c r="Z186" s="233">
        <f t="shared" si="41"/>
        <v>7029337.3696581312</v>
      </c>
      <c r="AA186" s="233">
        <f t="shared" si="42"/>
        <v>7029337.3696581312</v>
      </c>
      <c r="AB186" s="233">
        <f t="shared" si="43"/>
        <v>7029337.3696581312</v>
      </c>
      <c r="AC186" s="238">
        <f t="shared" si="47"/>
        <v>7029337.3696581312</v>
      </c>
      <c r="AD186" s="238">
        <f t="shared" si="48"/>
        <v>42176024.217948779</v>
      </c>
      <c r="AE186" s="206">
        <f t="shared" si="49"/>
        <v>2012</v>
      </c>
      <c r="AF186" s="210">
        <f t="shared" si="50"/>
        <v>309290854.26495779</v>
      </c>
      <c r="AG186" s="48" t="e">
        <f t="shared" ref="AG186:AG217" si="52">VLOOKUP(C186,KAP,2,0)</f>
        <v>#N/A</v>
      </c>
      <c r="AH186" s="48" t="e">
        <f>IF(AG186='KIB C'!AJ:AJ,"k",0)</f>
        <v>#N/A</v>
      </c>
    </row>
    <row r="187" spans="1:34" s="48" customFormat="1" ht="40.5" customHeight="1" x14ac:dyDescent="0.2">
      <c r="A187" s="295" t="s">
        <v>2302</v>
      </c>
      <c r="B187" s="73"/>
      <c r="C187" s="65" t="s">
        <v>1963</v>
      </c>
      <c r="D187" s="67" t="s">
        <v>1752</v>
      </c>
      <c r="E187" s="67" t="s">
        <v>1895</v>
      </c>
      <c r="F187" s="33" t="s">
        <v>43</v>
      </c>
      <c r="G187" s="40" t="s">
        <v>1786</v>
      </c>
      <c r="H187" s="40" t="s">
        <v>1934</v>
      </c>
      <c r="I187" s="40">
        <v>120</v>
      </c>
      <c r="J187" s="72" t="s">
        <v>2905</v>
      </c>
      <c r="K187" s="40">
        <v>2012</v>
      </c>
      <c r="L187" s="40" t="s">
        <v>1965</v>
      </c>
      <c r="M187" s="32"/>
      <c r="N187" s="33"/>
      <c r="O187" s="40"/>
      <c r="P187" s="32" t="s">
        <v>12</v>
      </c>
      <c r="Q187" s="252">
        <v>362976238.0473305</v>
      </c>
      <c r="R187" s="105"/>
      <c r="S187" s="206" t="str">
        <f t="shared" si="44"/>
        <v>3.11.01</v>
      </c>
      <c r="T187" s="207" t="str">
        <f t="shared" si="37"/>
        <v>BANGUNAN GEDUNG TEMPAT KERJA</v>
      </c>
      <c r="U187" s="207">
        <f t="shared" si="38"/>
        <v>50</v>
      </c>
      <c r="V187" s="233">
        <f t="shared" si="45"/>
        <v>7259524.5609466098</v>
      </c>
      <c r="W187" s="233">
        <f t="shared" si="46"/>
        <v>1</v>
      </c>
      <c r="X187" s="233">
        <f t="shared" si="39"/>
        <v>7259524.5609466098</v>
      </c>
      <c r="Y187" s="233">
        <f t="shared" si="40"/>
        <v>7259524.5609466098</v>
      </c>
      <c r="Z187" s="233">
        <f t="shared" si="41"/>
        <v>7259524.5609466098</v>
      </c>
      <c r="AA187" s="233">
        <f t="shared" si="42"/>
        <v>7259524.5609466098</v>
      </c>
      <c r="AB187" s="233">
        <f t="shared" si="43"/>
        <v>7259524.5609466098</v>
      </c>
      <c r="AC187" s="238">
        <f t="shared" si="47"/>
        <v>7259524.5609466098</v>
      </c>
      <c r="AD187" s="238">
        <f t="shared" si="48"/>
        <v>43557147.365679666</v>
      </c>
      <c r="AE187" s="206">
        <f t="shared" si="49"/>
        <v>2012</v>
      </c>
      <c r="AF187" s="210">
        <f t="shared" si="50"/>
        <v>319419090.68165082</v>
      </c>
      <c r="AG187" s="48" t="e">
        <f t="shared" si="52"/>
        <v>#N/A</v>
      </c>
      <c r="AH187" s="48" t="e">
        <f>IF(AG187='KIB C'!AJ:AJ,"k",0)</f>
        <v>#N/A</v>
      </c>
    </row>
    <row r="188" spans="1:34" s="48" customFormat="1" ht="40.5" customHeight="1" x14ac:dyDescent="0.2">
      <c r="A188" s="295" t="s">
        <v>2302</v>
      </c>
      <c r="B188" s="73"/>
      <c r="C188" s="65" t="s">
        <v>1966</v>
      </c>
      <c r="D188" s="67" t="s">
        <v>1752</v>
      </c>
      <c r="E188" s="67" t="s">
        <v>1899</v>
      </c>
      <c r="F188" s="33" t="s">
        <v>43</v>
      </c>
      <c r="G188" s="40" t="s">
        <v>1786</v>
      </c>
      <c r="H188" s="40" t="s">
        <v>1934</v>
      </c>
      <c r="I188" s="40">
        <v>120</v>
      </c>
      <c r="J188" s="72" t="s">
        <v>2906</v>
      </c>
      <c r="K188" s="40">
        <v>2012</v>
      </c>
      <c r="L188" s="40" t="s">
        <v>1968</v>
      </c>
      <c r="M188" s="32"/>
      <c r="N188" s="33"/>
      <c r="O188" s="40"/>
      <c r="P188" s="32" t="s">
        <v>12</v>
      </c>
      <c r="Q188" s="252">
        <v>392223433.04041535</v>
      </c>
      <c r="R188" s="105"/>
      <c r="S188" s="206" t="str">
        <f t="shared" si="44"/>
        <v>3.11.01</v>
      </c>
      <c r="T188" s="207" t="str">
        <f t="shared" si="37"/>
        <v>BANGUNAN GEDUNG TEMPAT KERJA</v>
      </c>
      <c r="U188" s="207">
        <f t="shared" si="38"/>
        <v>50</v>
      </c>
      <c r="V188" s="233">
        <f t="shared" si="45"/>
        <v>7844468.4608083069</v>
      </c>
      <c r="W188" s="233">
        <f t="shared" si="46"/>
        <v>1</v>
      </c>
      <c r="X188" s="233">
        <f t="shared" si="39"/>
        <v>7844468.4608083069</v>
      </c>
      <c r="Y188" s="233">
        <f t="shared" si="40"/>
        <v>7844468.4608083069</v>
      </c>
      <c r="Z188" s="233">
        <f t="shared" si="41"/>
        <v>7844468.4608083069</v>
      </c>
      <c r="AA188" s="233">
        <f t="shared" si="42"/>
        <v>7844468.4608083069</v>
      </c>
      <c r="AB188" s="233">
        <f t="shared" si="43"/>
        <v>7844468.4608083069</v>
      </c>
      <c r="AC188" s="238">
        <f t="shared" si="47"/>
        <v>7844468.4608083069</v>
      </c>
      <c r="AD188" s="238">
        <f t="shared" si="48"/>
        <v>47066810.764849842</v>
      </c>
      <c r="AE188" s="206">
        <f t="shared" si="49"/>
        <v>2012</v>
      </c>
      <c r="AF188" s="210">
        <f t="shared" si="50"/>
        <v>345156622.27556551</v>
      </c>
      <c r="AG188" s="48" t="e">
        <f t="shared" si="52"/>
        <v>#N/A</v>
      </c>
      <c r="AH188" s="48" t="e">
        <f>IF(AG188='KIB C'!AJ:AJ,"k",0)</f>
        <v>#N/A</v>
      </c>
    </row>
    <row r="189" spans="1:34" s="48" customFormat="1" ht="40.5" customHeight="1" x14ac:dyDescent="0.2">
      <c r="A189" s="295" t="s">
        <v>2302</v>
      </c>
      <c r="B189" s="73"/>
      <c r="C189" s="65" t="s">
        <v>1969</v>
      </c>
      <c r="D189" s="67" t="s">
        <v>1752</v>
      </c>
      <c r="E189" s="67" t="s">
        <v>1701</v>
      </c>
      <c r="F189" s="33" t="s">
        <v>43</v>
      </c>
      <c r="G189" s="40" t="s">
        <v>1786</v>
      </c>
      <c r="H189" s="40" t="s">
        <v>1934</v>
      </c>
      <c r="I189" s="40"/>
      <c r="J189" s="72" t="s">
        <v>2898</v>
      </c>
      <c r="K189" s="40">
        <v>2012</v>
      </c>
      <c r="L189" s="40" t="s">
        <v>1970</v>
      </c>
      <c r="M189" s="32"/>
      <c r="N189" s="33"/>
      <c r="O189" s="40"/>
      <c r="P189" s="32" t="s">
        <v>12</v>
      </c>
      <c r="Q189" s="252">
        <v>488428761.87471801</v>
      </c>
      <c r="R189" s="105"/>
      <c r="S189" s="206" t="str">
        <f t="shared" si="44"/>
        <v>3.11.01</v>
      </c>
      <c r="T189" s="207" t="str">
        <f t="shared" si="37"/>
        <v>BANGUNAN GEDUNG TEMPAT KERJA</v>
      </c>
      <c r="U189" s="207">
        <f t="shared" si="38"/>
        <v>50</v>
      </c>
      <c r="V189" s="233">
        <f t="shared" si="45"/>
        <v>9768575.0374943595</v>
      </c>
      <c r="W189" s="233">
        <f t="shared" si="46"/>
        <v>1</v>
      </c>
      <c r="X189" s="233">
        <f t="shared" si="39"/>
        <v>9768575.0374943595</v>
      </c>
      <c r="Y189" s="233">
        <f t="shared" si="40"/>
        <v>9768575.0374943595</v>
      </c>
      <c r="Z189" s="233">
        <f t="shared" si="41"/>
        <v>9768575.0374943595</v>
      </c>
      <c r="AA189" s="233">
        <f t="shared" si="42"/>
        <v>9768575.0374943595</v>
      </c>
      <c r="AB189" s="233">
        <f t="shared" si="43"/>
        <v>9768575.0374943595</v>
      </c>
      <c r="AC189" s="238">
        <f t="shared" si="47"/>
        <v>9768575.0374943595</v>
      </c>
      <c r="AD189" s="238">
        <f t="shared" si="48"/>
        <v>58611450.224966161</v>
      </c>
      <c r="AE189" s="206">
        <f t="shared" si="49"/>
        <v>2012</v>
      </c>
      <c r="AF189" s="210">
        <f t="shared" si="50"/>
        <v>429817311.64975184</v>
      </c>
      <c r="AG189" s="48" t="str">
        <f t="shared" si="52"/>
        <v>K</v>
      </c>
    </row>
    <row r="190" spans="1:34" s="48" customFormat="1" ht="40.5" customHeight="1" x14ac:dyDescent="0.2">
      <c r="A190" s="295" t="s">
        <v>2302</v>
      </c>
      <c r="B190" s="73"/>
      <c r="C190" s="65" t="s">
        <v>1971</v>
      </c>
      <c r="D190" s="67" t="s">
        <v>1752</v>
      </c>
      <c r="E190" s="67" t="s">
        <v>1906</v>
      </c>
      <c r="F190" s="33" t="s">
        <v>43</v>
      </c>
      <c r="G190" s="40" t="s">
        <v>1786</v>
      </c>
      <c r="H190" s="40" t="s">
        <v>1934</v>
      </c>
      <c r="I190" s="40">
        <v>120</v>
      </c>
      <c r="J190" s="72" t="s">
        <v>2907</v>
      </c>
      <c r="K190" s="40">
        <v>2012</v>
      </c>
      <c r="L190" s="40" t="s">
        <v>1973</v>
      </c>
      <c r="M190" s="32"/>
      <c r="N190" s="33"/>
      <c r="O190" s="40"/>
      <c r="P190" s="32" t="s">
        <v>12</v>
      </c>
      <c r="Q190" s="252">
        <v>525749159.54341811</v>
      </c>
      <c r="R190" s="105"/>
      <c r="S190" s="206" t="str">
        <f t="shared" si="44"/>
        <v>3.11.01</v>
      </c>
      <c r="T190" s="207" t="str">
        <f t="shared" si="37"/>
        <v>BANGUNAN GEDUNG TEMPAT KERJA</v>
      </c>
      <c r="U190" s="207">
        <f t="shared" si="38"/>
        <v>50</v>
      </c>
      <c r="V190" s="233">
        <f t="shared" si="45"/>
        <v>10514982.990868362</v>
      </c>
      <c r="W190" s="233">
        <f t="shared" si="46"/>
        <v>1</v>
      </c>
      <c r="X190" s="233">
        <f t="shared" si="39"/>
        <v>10514982.990868362</v>
      </c>
      <c r="Y190" s="233">
        <f t="shared" si="40"/>
        <v>10514982.990868362</v>
      </c>
      <c r="Z190" s="233">
        <f t="shared" si="41"/>
        <v>10514982.990868362</v>
      </c>
      <c r="AA190" s="233">
        <f t="shared" si="42"/>
        <v>10514982.990868362</v>
      </c>
      <c r="AB190" s="233">
        <f t="shared" si="43"/>
        <v>10514982.990868362</v>
      </c>
      <c r="AC190" s="238">
        <f t="shared" si="47"/>
        <v>10514982.990868362</v>
      </c>
      <c r="AD190" s="238">
        <f t="shared" si="48"/>
        <v>63089897.945210166</v>
      </c>
      <c r="AE190" s="206">
        <f t="shared" si="49"/>
        <v>2012</v>
      </c>
      <c r="AF190" s="210">
        <f t="shared" si="50"/>
        <v>462659261.59820795</v>
      </c>
      <c r="AG190" s="48" t="e">
        <f t="shared" si="52"/>
        <v>#N/A</v>
      </c>
      <c r="AH190" s="48" t="e">
        <f>IF(AG190='KIB C'!AJ:AJ,"k",0)</f>
        <v>#N/A</v>
      </c>
    </row>
    <row r="191" spans="1:34" s="48" customFormat="1" ht="40.5" customHeight="1" x14ac:dyDescent="0.2">
      <c r="A191" s="295" t="s">
        <v>2302</v>
      </c>
      <c r="B191" s="73"/>
      <c r="C191" s="65" t="s">
        <v>1974</v>
      </c>
      <c r="D191" s="67" t="s">
        <v>1752</v>
      </c>
      <c r="E191" s="67" t="s">
        <v>1910</v>
      </c>
      <c r="F191" s="33" t="s">
        <v>43</v>
      </c>
      <c r="G191" s="40" t="s">
        <v>1786</v>
      </c>
      <c r="H191" s="40" t="s">
        <v>1934</v>
      </c>
      <c r="I191" s="40"/>
      <c r="J191" s="72" t="s">
        <v>2908</v>
      </c>
      <c r="K191" s="40">
        <v>2012</v>
      </c>
      <c r="L191" s="40" t="s">
        <v>1976</v>
      </c>
      <c r="M191" s="32"/>
      <c r="N191" s="33"/>
      <c r="O191" s="40"/>
      <c r="P191" s="32" t="s">
        <v>12</v>
      </c>
      <c r="Q191" s="252">
        <v>519172526.81379509</v>
      </c>
      <c r="R191" s="105"/>
      <c r="S191" s="206" t="str">
        <f t="shared" si="44"/>
        <v>3.11.01</v>
      </c>
      <c r="T191" s="207" t="str">
        <f t="shared" si="37"/>
        <v>BANGUNAN GEDUNG TEMPAT KERJA</v>
      </c>
      <c r="U191" s="207">
        <f t="shared" si="38"/>
        <v>50</v>
      </c>
      <c r="V191" s="233">
        <f t="shared" si="45"/>
        <v>10383450.336275902</v>
      </c>
      <c r="W191" s="233">
        <f t="shared" si="46"/>
        <v>1</v>
      </c>
      <c r="X191" s="233">
        <f t="shared" si="39"/>
        <v>10383450.336275902</v>
      </c>
      <c r="Y191" s="233">
        <f t="shared" si="40"/>
        <v>10383450.336275902</v>
      </c>
      <c r="Z191" s="233">
        <f t="shared" si="41"/>
        <v>10383450.336275902</v>
      </c>
      <c r="AA191" s="233">
        <f t="shared" si="42"/>
        <v>10383450.336275902</v>
      </c>
      <c r="AB191" s="233">
        <f t="shared" si="43"/>
        <v>10383450.336275902</v>
      </c>
      <c r="AC191" s="238">
        <f t="shared" si="47"/>
        <v>10383450.336275902</v>
      </c>
      <c r="AD191" s="238">
        <f t="shared" si="48"/>
        <v>62300702.017655417</v>
      </c>
      <c r="AE191" s="206">
        <f t="shared" si="49"/>
        <v>2012</v>
      </c>
      <c r="AF191" s="210">
        <f t="shared" si="50"/>
        <v>456871824.79613966</v>
      </c>
      <c r="AG191" s="48" t="str">
        <f t="shared" si="52"/>
        <v>K</v>
      </c>
    </row>
    <row r="192" spans="1:34" s="48" customFormat="1" ht="40.5" customHeight="1" x14ac:dyDescent="0.2">
      <c r="A192" s="295" t="s">
        <v>2302</v>
      </c>
      <c r="B192" s="73"/>
      <c r="C192" s="65" t="s">
        <v>1977</v>
      </c>
      <c r="D192" s="67" t="s">
        <v>1772</v>
      </c>
      <c r="E192" s="67" t="s">
        <v>68</v>
      </c>
      <c r="F192" s="33" t="s">
        <v>43</v>
      </c>
      <c r="G192" s="40" t="s">
        <v>1786</v>
      </c>
      <c r="H192" s="40" t="s">
        <v>1934</v>
      </c>
      <c r="I192" s="40"/>
      <c r="J192" s="72" t="s">
        <v>2902</v>
      </c>
      <c r="K192" s="40">
        <v>2012</v>
      </c>
      <c r="L192" s="40" t="s">
        <v>1979</v>
      </c>
      <c r="M192" s="32"/>
      <c r="N192" s="33"/>
      <c r="O192" s="40"/>
      <c r="P192" s="32" t="s">
        <v>12</v>
      </c>
      <c r="Q192" s="252">
        <v>1966923816.2265131</v>
      </c>
      <c r="R192" s="105"/>
      <c r="S192" s="206" t="str">
        <f t="shared" si="44"/>
        <v>3.11.01</v>
      </c>
      <c r="T192" s="207" t="str">
        <f t="shared" si="37"/>
        <v>BANGUNAN GEDUNG TEMPAT KERJA</v>
      </c>
      <c r="U192" s="207">
        <f t="shared" si="38"/>
        <v>50</v>
      </c>
      <c r="V192" s="233">
        <f t="shared" si="45"/>
        <v>39338476.124530263</v>
      </c>
      <c r="W192" s="233">
        <f t="shared" si="46"/>
        <v>1</v>
      </c>
      <c r="X192" s="233">
        <f t="shared" si="39"/>
        <v>39338476.124530263</v>
      </c>
      <c r="Y192" s="233">
        <f t="shared" si="40"/>
        <v>39338476.124530263</v>
      </c>
      <c r="Z192" s="233">
        <f t="shared" si="41"/>
        <v>39338476.124530263</v>
      </c>
      <c r="AA192" s="233">
        <f t="shared" si="42"/>
        <v>39338476.124530263</v>
      </c>
      <c r="AB192" s="233">
        <f t="shared" si="43"/>
        <v>39338476.124530263</v>
      </c>
      <c r="AC192" s="238">
        <f t="shared" si="47"/>
        <v>39338476.124530263</v>
      </c>
      <c r="AD192" s="238">
        <f t="shared" si="48"/>
        <v>236030856.74718156</v>
      </c>
      <c r="AE192" s="206">
        <f t="shared" si="49"/>
        <v>2012</v>
      </c>
      <c r="AF192" s="210">
        <f t="shared" si="50"/>
        <v>1730892959.4793315</v>
      </c>
      <c r="AG192" s="48" t="e">
        <f t="shared" si="52"/>
        <v>#N/A</v>
      </c>
      <c r="AH192" s="48" t="e">
        <f>IF(AG192='KIB C'!AJ:AJ,"k",0)</f>
        <v>#N/A</v>
      </c>
    </row>
    <row r="193" spans="1:34" s="48" customFormat="1" ht="40.5" customHeight="1" x14ac:dyDescent="0.2">
      <c r="A193" s="295" t="s">
        <v>2302</v>
      </c>
      <c r="B193" s="73"/>
      <c r="C193" s="65" t="s">
        <v>1980</v>
      </c>
      <c r="D193" s="67"/>
      <c r="E193" s="67" t="s">
        <v>68</v>
      </c>
      <c r="F193" s="33" t="s">
        <v>43</v>
      </c>
      <c r="G193" s="40" t="s">
        <v>1786</v>
      </c>
      <c r="H193" s="40" t="s">
        <v>1934</v>
      </c>
      <c r="I193" s="40"/>
      <c r="J193" s="72" t="s">
        <v>2903</v>
      </c>
      <c r="K193" s="40">
        <v>2012</v>
      </c>
      <c r="L193" s="40" t="s">
        <v>1982</v>
      </c>
      <c r="M193" s="32"/>
      <c r="N193" s="33"/>
      <c r="O193" s="40"/>
      <c r="P193" s="32" t="s">
        <v>12</v>
      </c>
      <c r="Q193" s="252">
        <v>82249788.859167397</v>
      </c>
      <c r="R193" s="105"/>
      <c r="S193" s="206" t="str">
        <f t="shared" si="44"/>
        <v>3.11.01</v>
      </c>
      <c r="T193" s="207" t="str">
        <f t="shared" si="37"/>
        <v>BANGUNAN GEDUNG TEMPAT KERJA</v>
      </c>
      <c r="U193" s="207">
        <f t="shared" si="38"/>
        <v>50</v>
      </c>
      <c r="V193" s="233">
        <f t="shared" si="45"/>
        <v>1644995.5771833479</v>
      </c>
      <c r="W193" s="233">
        <f t="shared" si="46"/>
        <v>1</v>
      </c>
      <c r="X193" s="233">
        <f t="shared" si="39"/>
        <v>1644995.5771833479</v>
      </c>
      <c r="Y193" s="233">
        <f t="shared" si="40"/>
        <v>1644995.5771833479</v>
      </c>
      <c r="Z193" s="233">
        <f t="shared" si="41"/>
        <v>1644995.5771833479</v>
      </c>
      <c r="AA193" s="233">
        <f t="shared" si="42"/>
        <v>1644995.5771833479</v>
      </c>
      <c r="AB193" s="233">
        <f t="shared" si="43"/>
        <v>1644995.5771833479</v>
      </c>
      <c r="AC193" s="238">
        <f t="shared" si="47"/>
        <v>1644995.5771833479</v>
      </c>
      <c r="AD193" s="238">
        <f t="shared" si="48"/>
        <v>9869973.4631000869</v>
      </c>
      <c r="AE193" s="206">
        <f t="shared" si="49"/>
        <v>2012</v>
      </c>
      <c r="AF193" s="210">
        <f t="shared" si="50"/>
        <v>72379815.396067306</v>
      </c>
      <c r="AG193" s="48" t="e">
        <f t="shared" si="52"/>
        <v>#N/A</v>
      </c>
      <c r="AH193" s="48" t="e">
        <f>IF(AG193='KIB C'!AJ:AJ,"k",0)</f>
        <v>#N/A</v>
      </c>
    </row>
    <row r="194" spans="1:34" s="48" customFormat="1" ht="40.5" customHeight="1" x14ac:dyDescent="0.2">
      <c r="A194" s="295" t="s">
        <v>2302</v>
      </c>
      <c r="B194" s="73"/>
      <c r="C194" s="65" t="s">
        <v>1983</v>
      </c>
      <c r="D194" s="67" t="s">
        <v>1984</v>
      </c>
      <c r="E194" s="67" t="s">
        <v>39</v>
      </c>
      <c r="F194" s="33" t="s">
        <v>43</v>
      </c>
      <c r="G194" s="40" t="s">
        <v>1786</v>
      </c>
      <c r="H194" s="40" t="s">
        <v>1934</v>
      </c>
      <c r="I194" s="40"/>
      <c r="J194" s="72" t="s">
        <v>2909</v>
      </c>
      <c r="K194" s="40">
        <v>2012</v>
      </c>
      <c r="L194" s="40" t="s">
        <v>1985</v>
      </c>
      <c r="M194" s="32"/>
      <c r="N194" s="33"/>
      <c r="O194" s="40"/>
      <c r="P194" s="32" t="s">
        <v>12</v>
      </c>
      <c r="Q194" s="252">
        <v>49059200</v>
      </c>
      <c r="R194" s="105"/>
      <c r="S194" s="206" t="str">
        <f t="shared" si="44"/>
        <v>3.11.01</v>
      </c>
      <c r="T194" s="207" t="str">
        <f t="shared" si="37"/>
        <v>BANGUNAN GEDUNG TEMPAT KERJA</v>
      </c>
      <c r="U194" s="207">
        <f t="shared" si="38"/>
        <v>50</v>
      </c>
      <c r="V194" s="233">
        <f t="shared" si="45"/>
        <v>981183.8</v>
      </c>
      <c r="W194" s="233">
        <f t="shared" si="46"/>
        <v>1</v>
      </c>
      <c r="X194" s="233">
        <f t="shared" si="39"/>
        <v>981183.8</v>
      </c>
      <c r="Y194" s="233">
        <f t="shared" si="40"/>
        <v>981183.8</v>
      </c>
      <c r="Z194" s="233">
        <f t="shared" si="41"/>
        <v>981183.8</v>
      </c>
      <c r="AA194" s="233">
        <f t="shared" si="42"/>
        <v>981183.8</v>
      </c>
      <c r="AB194" s="233">
        <f t="shared" si="43"/>
        <v>981183.8</v>
      </c>
      <c r="AC194" s="238">
        <f t="shared" si="47"/>
        <v>981183.8</v>
      </c>
      <c r="AD194" s="238">
        <f t="shared" si="48"/>
        <v>5887102.7999999998</v>
      </c>
      <c r="AE194" s="206">
        <f t="shared" si="49"/>
        <v>2012</v>
      </c>
      <c r="AF194" s="210">
        <f t="shared" si="50"/>
        <v>43172097.200000003</v>
      </c>
      <c r="AG194" s="48" t="str">
        <f t="shared" si="52"/>
        <v>K</v>
      </c>
    </row>
    <row r="195" spans="1:34" s="48" customFormat="1" ht="40.5" customHeight="1" x14ac:dyDescent="0.2">
      <c r="A195" s="295" t="s">
        <v>2302</v>
      </c>
      <c r="B195" s="73"/>
      <c r="C195" s="65" t="s">
        <v>1986</v>
      </c>
      <c r="D195" s="67" t="s">
        <v>1984</v>
      </c>
      <c r="E195" s="67" t="s">
        <v>68</v>
      </c>
      <c r="F195" s="33" t="s">
        <v>43</v>
      </c>
      <c r="G195" s="40" t="s">
        <v>1786</v>
      </c>
      <c r="H195" s="40" t="s">
        <v>1934</v>
      </c>
      <c r="I195" s="40"/>
      <c r="J195" s="72" t="s">
        <v>2909</v>
      </c>
      <c r="K195" s="40">
        <v>2012</v>
      </c>
      <c r="L195" s="40" t="s">
        <v>1987</v>
      </c>
      <c r="M195" s="32"/>
      <c r="N195" s="33"/>
      <c r="O195" s="40"/>
      <c r="P195" s="32" t="s">
        <v>12</v>
      </c>
      <c r="Q195" s="252">
        <v>48328000</v>
      </c>
      <c r="R195" s="105"/>
      <c r="S195" s="206" t="str">
        <f t="shared" si="44"/>
        <v>3.11.01</v>
      </c>
      <c r="T195" s="207" t="str">
        <f t="shared" si="37"/>
        <v>BANGUNAN GEDUNG TEMPAT KERJA</v>
      </c>
      <c r="U195" s="207">
        <f t="shared" si="38"/>
        <v>50</v>
      </c>
      <c r="V195" s="233">
        <f t="shared" si="45"/>
        <v>966559.8</v>
      </c>
      <c r="W195" s="233">
        <f t="shared" si="46"/>
        <v>1</v>
      </c>
      <c r="X195" s="233">
        <f t="shared" si="39"/>
        <v>966559.8</v>
      </c>
      <c r="Y195" s="233">
        <f t="shared" si="40"/>
        <v>966559.8</v>
      </c>
      <c r="Z195" s="233">
        <f t="shared" si="41"/>
        <v>966559.8</v>
      </c>
      <c r="AA195" s="233">
        <f t="shared" si="42"/>
        <v>966559.8</v>
      </c>
      <c r="AB195" s="233">
        <f t="shared" si="43"/>
        <v>966559.8</v>
      </c>
      <c r="AC195" s="238">
        <f t="shared" si="47"/>
        <v>966559.8</v>
      </c>
      <c r="AD195" s="238">
        <f t="shared" si="48"/>
        <v>5799358.7999999998</v>
      </c>
      <c r="AE195" s="206">
        <f t="shared" si="49"/>
        <v>2012</v>
      </c>
      <c r="AF195" s="210">
        <f t="shared" si="50"/>
        <v>42528641.200000003</v>
      </c>
      <c r="AG195" s="48" t="str">
        <f t="shared" si="52"/>
        <v>K</v>
      </c>
    </row>
    <row r="196" spans="1:34" s="48" customFormat="1" ht="40.5" customHeight="1" x14ac:dyDescent="0.2">
      <c r="A196" s="295" t="s">
        <v>2302</v>
      </c>
      <c r="B196" s="73"/>
      <c r="C196" s="65" t="s">
        <v>1988</v>
      </c>
      <c r="D196" s="67"/>
      <c r="E196" s="67"/>
      <c r="F196" s="33" t="s">
        <v>43</v>
      </c>
      <c r="G196" s="40"/>
      <c r="H196" s="40"/>
      <c r="I196" s="40"/>
      <c r="J196" s="72" t="s">
        <v>1931</v>
      </c>
      <c r="K196" s="40">
        <v>2013</v>
      </c>
      <c r="L196" s="40"/>
      <c r="M196" s="32"/>
      <c r="N196" s="33"/>
      <c r="O196" s="40"/>
      <c r="P196" s="32" t="s">
        <v>12</v>
      </c>
      <c r="Q196" s="252">
        <v>1689351378.7947791</v>
      </c>
      <c r="R196" s="105"/>
      <c r="S196" s="206" t="str">
        <f t="shared" si="44"/>
        <v>3.11.01</v>
      </c>
      <c r="T196" s="207" t="str">
        <f t="shared" si="37"/>
        <v>BANGUNAN GEDUNG TEMPAT KERJA</v>
      </c>
      <c r="U196" s="207">
        <f t="shared" si="38"/>
        <v>50</v>
      </c>
      <c r="V196" s="233">
        <f t="shared" si="45"/>
        <v>33787027.375895582</v>
      </c>
      <c r="W196" s="233">
        <f t="shared" si="46"/>
        <v>0</v>
      </c>
      <c r="X196" s="233">
        <f t="shared" si="39"/>
        <v>0</v>
      </c>
      <c r="Y196" s="233">
        <f t="shared" si="40"/>
        <v>33787027.375895582</v>
      </c>
      <c r="Z196" s="233">
        <f t="shared" si="41"/>
        <v>33787027.375895582</v>
      </c>
      <c r="AA196" s="233">
        <f t="shared" si="42"/>
        <v>33787027.375895582</v>
      </c>
      <c r="AB196" s="233">
        <f t="shared" si="43"/>
        <v>33787027.375895582</v>
      </c>
      <c r="AC196" s="238">
        <f t="shared" si="47"/>
        <v>33787027.375895582</v>
      </c>
      <c r="AD196" s="238">
        <f t="shared" si="48"/>
        <v>168935136.87947792</v>
      </c>
      <c r="AE196" s="206">
        <f t="shared" si="49"/>
        <v>2013</v>
      </c>
      <c r="AF196" s="210">
        <f t="shared" si="50"/>
        <v>1520416241.9153011</v>
      </c>
      <c r="AG196" s="48" t="str">
        <f t="shared" si="52"/>
        <v>K</v>
      </c>
    </row>
    <row r="197" spans="1:34" s="48" customFormat="1" ht="40.5" customHeight="1" x14ac:dyDescent="0.2">
      <c r="A197" s="295" t="s">
        <v>2302</v>
      </c>
      <c r="B197" s="73"/>
      <c r="C197" s="65" t="s">
        <v>1988</v>
      </c>
      <c r="D197" s="67"/>
      <c r="E197" s="67"/>
      <c r="F197" s="33" t="s">
        <v>43</v>
      </c>
      <c r="G197" s="40"/>
      <c r="H197" s="40"/>
      <c r="I197" s="40"/>
      <c r="J197" s="72" t="s">
        <v>1931</v>
      </c>
      <c r="K197" s="40">
        <v>2013</v>
      </c>
      <c r="L197" s="40"/>
      <c r="M197" s="32"/>
      <c r="N197" s="33"/>
      <c r="O197" s="40"/>
      <c r="P197" s="32" t="s">
        <v>12</v>
      </c>
      <c r="Q197" s="252">
        <v>408571621.20522106</v>
      </c>
      <c r="R197" s="105"/>
      <c r="S197" s="206" t="str">
        <f t="shared" si="44"/>
        <v>3.11.01</v>
      </c>
      <c r="T197" s="207" t="str">
        <f t="shared" si="37"/>
        <v>BANGUNAN GEDUNG TEMPAT KERJA</v>
      </c>
      <c r="U197" s="207">
        <f t="shared" si="38"/>
        <v>50</v>
      </c>
      <c r="V197" s="233">
        <f t="shared" si="45"/>
        <v>8171432.2241044212</v>
      </c>
      <c r="W197" s="233">
        <f t="shared" si="46"/>
        <v>0</v>
      </c>
      <c r="X197" s="233">
        <f t="shared" si="39"/>
        <v>0</v>
      </c>
      <c r="Y197" s="233">
        <f t="shared" si="40"/>
        <v>8171432.2241044212</v>
      </c>
      <c r="Z197" s="233">
        <f t="shared" si="41"/>
        <v>8171432.2241044212</v>
      </c>
      <c r="AA197" s="233">
        <f t="shared" si="42"/>
        <v>8171432.2241044212</v>
      </c>
      <c r="AB197" s="233">
        <f t="shared" si="43"/>
        <v>8171432.2241044212</v>
      </c>
      <c r="AC197" s="238">
        <f t="shared" si="47"/>
        <v>8171432.2241044212</v>
      </c>
      <c r="AD197" s="238">
        <f t="shared" si="48"/>
        <v>40857161.120522104</v>
      </c>
      <c r="AE197" s="206">
        <f t="shared" si="49"/>
        <v>2013</v>
      </c>
      <c r="AF197" s="210">
        <f t="shared" si="50"/>
        <v>367714460.08469898</v>
      </c>
      <c r="AG197" s="48" t="str">
        <f t="shared" si="52"/>
        <v>K</v>
      </c>
    </row>
    <row r="198" spans="1:34" s="48" customFormat="1" ht="40.5" customHeight="1" x14ac:dyDescent="0.2">
      <c r="A198" s="295" t="s">
        <v>2302</v>
      </c>
      <c r="B198" s="73"/>
      <c r="C198" s="65" t="s">
        <v>1989</v>
      </c>
      <c r="D198" s="67"/>
      <c r="E198" s="67"/>
      <c r="F198" s="33" t="s">
        <v>43</v>
      </c>
      <c r="G198" s="40"/>
      <c r="H198" s="40"/>
      <c r="I198" s="40"/>
      <c r="J198" s="72" t="s">
        <v>2910</v>
      </c>
      <c r="K198" s="40">
        <v>2013</v>
      </c>
      <c r="L198" s="40"/>
      <c r="M198" s="32"/>
      <c r="N198" s="33"/>
      <c r="O198" s="40"/>
      <c r="P198" s="32" t="s">
        <v>12</v>
      </c>
      <c r="Q198" s="252">
        <v>36586943.055999883</v>
      </c>
      <c r="R198" s="105"/>
      <c r="S198" s="206" t="str">
        <f t="shared" si="44"/>
        <v>3.11.01</v>
      </c>
      <c r="T198" s="207" t="str">
        <f t="shared" si="37"/>
        <v>BANGUNAN GEDUNG TEMPAT KERJA</v>
      </c>
      <c r="U198" s="207">
        <f t="shared" si="38"/>
        <v>50</v>
      </c>
      <c r="V198" s="233">
        <f t="shared" si="45"/>
        <v>731738.66111999762</v>
      </c>
      <c r="W198" s="233">
        <f t="shared" si="46"/>
        <v>0</v>
      </c>
      <c r="X198" s="233">
        <f t="shared" si="39"/>
        <v>0</v>
      </c>
      <c r="Y198" s="233">
        <f t="shared" si="40"/>
        <v>731738.66111999762</v>
      </c>
      <c r="Z198" s="233">
        <f t="shared" si="41"/>
        <v>731738.66111999762</v>
      </c>
      <c r="AA198" s="233">
        <f t="shared" si="42"/>
        <v>731738.66111999762</v>
      </c>
      <c r="AB198" s="233">
        <f t="shared" si="43"/>
        <v>731738.66111999762</v>
      </c>
      <c r="AC198" s="238">
        <f t="shared" si="47"/>
        <v>731738.66111999762</v>
      </c>
      <c r="AD198" s="238">
        <f t="shared" si="48"/>
        <v>3658693.305599988</v>
      </c>
      <c r="AE198" s="206">
        <f t="shared" si="49"/>
        <v>2013</v>
      </c>
      <c r="AF198" s="210">
        <f t="shared" si="50"/>
        <v>32928249.750399895</v>
      </c>
      <c r="AG198" s="48" t="str">
        <f t="shared" si="52"/>
        <v>K</v>
      </c>
    </row>
    <row r="199" spans="1:34" s="48" customFormat="1" ht="40.5" customHeight="1" x14ac:dyDescent="0.2">
      <c r="A199" s="295" t="s">
        <v>2302</v>
      </c>
      <c r="B199" s="73"/>
      <c r="C199" s="65" t="s">
        <v>1991</v>
      </c>
      <c r="D199" s="67"/>
      <c r="E199" s="67"/>
      <c r="F199" s="33" t="s">
        <v>43</v>
      </c>
      <c r="G199" s="40"/>
      <c r="H199" s="40"/>
      <c r="I199" s="40"/>
      <c r="J199" s="72" t="s">
        <v>2911</v>
      </c>
      <c r="K199" s="40">
        <v>2013</v>
      </c>
      <c r="L199" s="40"/>
      <c r="M199" s="32"/>
      <c r="N199" s="33"/>
      <c r="O199" s="40"/>
      <c r="P199" s="32" t="s">
        <v>12</v>
      </c>
      <c r="Q199" s="252">
        <v>36632045.731048763</v>
      </c>
      <c r="R199" s="105"/>
      <c r="S199" s="206" t="str">
        <f t="shared" si="44"/>
        <v>3.11.01</v>
      </c>
      <c r="T199" s="207" t="str">
        <f t="shared" si="37"/>
        <v>BANGUNAN GEDUNG TEMPAT KERJA</v>
      </c>
      <c r="U199" s="207">
        <f t="shared" si="38"/>
        <v>50</v>
      </c>
      <c r="V199" s="233">
        <f t="shared" si="45"/>
        <v>732640.71462097531</v>
      </c>
      <c r="W199" s="233">
        <f t="shared" si="46"/>
        <v>0</v>
      </c>
      <c r="X199" s="233">
        <f t="shared" si="39"/>
        <v>0</v>
      </c>
      <c r="Y199" s="233">
        <f t="shared" si="40"/>
        <v>732640.71462097531</v>
      </c>
      <c r="Z199" s="233">
        <f t="shared" si="41"/>
        <v>732640.71462097531</v>
      </c>
      <c r="AA199" s="233">
        <f t="shared" si="42"/>
        <v>732640.71462097531</v>
      </c>
      <c r="AB199" s="233">
        <f t="shared" si="43"/>
        <v>732640.71462097531</v>
      </c>
      <c r="AC199" s="238">
        <f t="shared" si="47"/>
        <v>732640.71462097531</v>
      </c>
      <c r="AD199" s="238">
        <f t="shared" si="48"/>
        <v>3663203.5731048766</v>
      </c>
      <c r="AE199" s="206">
        <f t="shared" si="49"/>
        <v>2013</v>
      </c>
      <c r="AF199" s="210">
        <f t="shared" si="50"/>
        <v>32968842.157943886</v>
      </c>
      <c r="AG199" s="48" t="str">
        <f t="shared" si="52"/>
        <v>K</v>
      </c>
    </row>
    <row r="200" spans="1:34" s="48" customFormat="1" ht="40.5" customHeight="1" x14ac:dyDescent="0.2">
      <c r="A200" s="295" t="s">
        <v>2302</v>
      </c>
      <c r="B200" s="73"/>
      <c r="C200" s="65" t="s">
        <v>1930</v>
      </c>
      <c r="D200" s="67"/>
      <c r="E200" s="67"/>
      <c r="F200" s="33" t="s">
        <v>43</v>
      </c>
      <c r="G200" s="40"/>
      <c r="H200" s="40"/>
      <c r="I200" s="40"/>
      <c r="J200" s="72" t="s">
        <v>1931</v>
      </c>
      <c r="K200" s="40">
        <v>2013</v>
      </c>
      <c r="L200" s="40"/>
      <c r="M200" s="32"/>
      <c r="N200" s="33"/>
      <c r="O200" s="40"/>
      <c r="P200" s="32" t="s">
        <v>12</v>
      </c>
      <c r="Q200" s="252">
        <v>145567127.71980911</v>
      </c>
      <c r="R200" s="105"/>
      <c r="S200" s="206" t="str">
        <f t="shared" si="44"/>
        <v>3.11.01</v>
      </c>
      <c r="T200" s="207" t="str">
        <f t="shared" si="37"/>
        <v>BANGUNAN GEDUNG TEMPAT KERJA</v>
      </c>
      <c r="U200" s="207">
        <f t="shared" si="38"/>
        <v>50</v>
      </c>
      <c r="V200" s="233">
        <f t="shared" si="45"/>
        <v>2911342.3543961821</v>
      </c>
      <c r="W200" s="233">
        <f t="shared" si="46"/>
        <v>0</v>
      </c>
      <c r="X200" s="233">
        <f t="shared" si="39"/>
        <v>0</v>
      </c>
      <c r="Y200" s="233">
        <f t="shared" si="40"/>
        <v>2911342.3543961821</v>
      </c>
      <c r="Z200" s="233">
        <f t="shared" si="41"/>
        <v>2911342.3543961821</v>
      </c>
      <c r="AA200" s="233">
        <f t="shared" si="42"/>
        <v>2911342.3543961821</v>
      </c>
      <c r="AB200" s="233">
        <f t="shared" si="43"/>
        <v>2911342.3543961821</v>
      </c>
      <c r="AC200" s="238">
        <f t="shared" si="47"/>
        <v>2911342.3543961821</v>
      </c>
      <c r="AD200" s="238">
        <f t="shared" si="48"/>
        <v>14556711.771980911</v>
      </c>
      <c r="AE200" s="206">
        <f t="shared" si="49"/>
        <v>2013</v>
      </c>
      <c r="AF200" s="210">
        <f t="shared" si="50"/>
        <v>131010415.9478282</v>
      </c>
      <c r="AG200" s="48" t="e">
        <f t="shared" si="52"/>
        <v>#N/A</v>
      </c>
      <c r="AH200" s="48" t="e">
        <f>IF(AG200='KIB C'!AJ:AJ,"k",0)</f>
        <v>#N/A</v>
      </c>
    </row>
    <row r="201" spans="1:34" s="48" customFormat="1" ht="40.5" customHeight="1" x14ac:dyDescent="0.2">
      <c r="A201" s="295" t="s">
        <v>2302</v>
      </c>
      <c r="B201" s="73"/>
      <c r="C201" s="65" t="s">
        <v>1930</v>
      </c>
      <c r="D201" s="67"/>
      <c r="E201" s="67"/>
      <c r="F201" s="33" t="s">
        <v>43</v>
      </c>
      <c r="G201" s="40"/>
      <c r="H201" s="40"/>
      <c r="I201" s="40"/>
      <c r="J201" s="72" t="s">
        <v>1931</v>
      </c>
      <c r="K201" s="40">
        <v>2013</v>
      </c>
      <c r="L201" s="40"/>
      <c r="M201" s="32"/>
      <c r="N201" s="33"/>
      <c r="O201" s="40"/>
      <c r="P201" s="32" t="s">
        <v>12</v>
      </c>
      <c r="Q201" s="252">
        <v>145567127.71980911</v>
      </c>
      <c r="R201" s="105"/>
      <c r="S201" s="206" t="str">
        <f t="shared" si="44"/>
        <v>3.11.01</v>
      </c>
      <c r="T201" s="207" t="str">
        <f t="shared" si="37"/>
        <v>BANGUNAN GEDUNG TEMPAT KERJA</v>
      </c>
      <c r="U201" s="207">
        <f t="shared" si="38"/>
        <v>50</v>
      </c>
      <c r="V201" s="233">
        <f t="shared" si="45"/>
        <v>2911342.3543961821</v>
      </c>
      <c r="W201" s="233">
        <f t="shared" si="46"/>
        <v>0</v>
      </c>
      <c r="X201" s="233">
        <f t="shared" si="39"/>
        <v>0</v>
      </c>
      <c r="Y201" s="233">
        <f t="shared" si="40"/>
        <v>2911342.3543961821</v>
      </c>
      <c r="Z201" s="233">
        <f t="shared" si="41"/>
        <v>2911342.3543961821</v>
      </c>
      <c r="AA201" s="233">
        <f t="shared" si="42"/>
        <v>2911342.3543961821</v>
      </c>
      <c r="AB201" s="233">
        <f t="shared" si="43"/>
        <v>2911342.3543961821</v>
      </c>
      <c r="AC201" s="238">
        <f t="shared" si="47"/>
        <v>2911342.3543961821</v>
      </c>
      <c r="AD201" s="238">
        <f t="shared" si="48"/>
        <v>14556711.771980911</v>
      </c>
      <c r="AE201" s="206">
        <f t="shared" si="49"/>
        <v>2013</v>
      </c>
      <c r="AF201" s="210">
        <f t="shared" si="50"/>
        <v>131010415.9478282</v>
      </c>
      <c r="AG201" s="48" t="e">
        <f t="shared" si="52"/>
        <v>#N/A</v>
      </c>
      <c r="AH201" s="48" t="e">
        <f>IF(AG201='KIB C'!AJ:AJ,"k",0)</f>
        <v>#N/A</v>
      </c>
    </row>
    <row r="202" spans="1:34" s="48" customFormat="1" ht="40.5" customHeight="1" x14ac:dyDescent="0.2">
      <c r="A202" s="295" t="s">
        <v>2302</v>
      </c>
      <c r="B202" s="73"/>
      <c r="C202" s="65" t="s">
        <v>1930</v>
      </c>
      <c r="D202" s="67"/>
      <c r="E202" s="67"/>
      <c r="F202" s="33" t="s">
        <v>43</v>
      </c>
      <c r="G202" s="40"/>
      <c r="H202" s="40"/>
      <c r="I202" s="40"/>
      <c r="J202" s="72" t="s">
        <v>1931</v>
      </c>
      <c r="K202" s="40">
        <v>2013</v>
      </c>
      <c r="L202" s="40"/>
      <c r="M202" s="32"/>
      <c r="N202" s="33"/>
      <c r="O202" s="40"/>
      <c r="P202" s="32" t="s">
        <v>12</v>
      </c>
      <c r="Q202" s="252">
        <v>145567127.71980911</v>
      </c>
      <c r="R202" s="105"/>
      <c r="S202" s="206" t="str">
        <f t="shared" si="44"/>
        <v>3.11.01</v>
      </c>
      <c r="T202" s="207" t="str">
        <f t="shared" si="37"/>
        <v>BANGUNAN GEDUNG TEMPAT KERJA</v>
      </c>
      <c r="U202" s="207">
        <f t="shared" si="38"/>
        <v>50</v>
      </c>
      <c r="V202" s="233">
        <f t="shared" si="45"/>
        <v>2911342.3543961821</v>
      </c>
      <c r="W202" s="233">
        <f t="shared" si="46"/>
        <v>0</v>
      </c>
      <c r="X202" s="233">
        <f t="shared" si="39"/>
        <v>0</v>
      </c>
      <c r="Y202" s="233">
        <f t="shared" si="40"/>
        <v>2911342.3543961821</v>
      </c>
      <c r="Z202" s="233">
        <f t="shared" si="41"/>
        <v>2911342.3543961821</v>
      </c>
      <c r="AA202" s="233">
        <f t="shared" si="42"/>
        <v>2911342.3543961821</v>
      </c>
      <c r="AB202" s="233">
        <f t="shared" si="43"/>
        <v>2911342.3543961821</v>
      </c>
      <c r="AC202" s="238">
        <f t="shared" si="47"/>
        <v>2911342.3543961821</v>
      </c>
      <c r="AD202" s="238">
        <f t="shared" si="48"/>
        <v>14556711.771980911</v>
      </c>
      <c r="AE202" s="206">
        <f t="shared" si="49"/>
        <v>2013</v>
      </c>
      <c r="AF202" s="210">
        <f t="shared" si="50"/>
        <v>131010415.9478282</v>
      </c>
      <c r="AG202" s="48" t="e">
        <f t="shared" si="52"/>
        <v>#N/A</v>
      </c>
      <c r="AH202" s="48" t="e">
        <f>IF(AG202='KIB C'!AJ:AJ,"k",0)</f>
        <v>#N/A</v>
      </c>
    </row>
    <row r="203" spans="1:34" s="48" customFormat="1" ht="40.5" customHeight="1" x14ac:dyDescent="0.2">
      <c r="A203" s="295" t="s">
        <v>2302</v>
      </c>
      <c r="B203" s="73"/>
      <c r="C203" s="65" t="s">
        <v>1992</v>
      </c>
      <c r="D203" s="67"/>
      <c r="E203" s="67"/>
      <c r="F203" s="33" t="s">
        <v>43</v>
      </c>
      <c r="G203" s="40"/>
      <c r="H203" s="40"/>
      <c r="I203" s="40"/>
      <c r="J203" s="72" t="s">
        <v>1931</v>
      </c>
      <c r="K203" s="40">
        <v>2013</v>
      </c>
      <c r="L203" s="40"/>
      <c r="M203" s="32"/>
      <c r="N203" s="33"/>
      <c r="O203" s="40"/>
      <c r="P203" s="32" t="s">
        <v>12</v>
      </c>
      <c r="Q203" s="252">
        <v>63459263.200000003</v>
      </c>
      <c r="R203" s="105"/>
      <c r="S203" s="206" t="str">
        <f t="shared" si="44"/>
        <v>3.11.01</v>
      </c>
      <c r="T203" s="207" t="str">
        <f t="shared" si="37"/>
        <v>BANGUNAN GEDUNG TEMPAT KERJA</v>
      </c>
      <c r="U203" s="207">
        <f t="shared" si="38"/>
        <v>50</v>
      </c>
      <c r="V203" s="233">
        <f t="shared" si="45"/>
        <v>1269185.064</v>
      </c>
      <c r="W203" s="233">
        <f t="shared" si="46"/>
        <v>0</v>
      </c>
      <c r="X203" s="233">
        <f t="shared" si="39"/>
        <v>0</v>
      </c>
      <c r="Y203" s="233">
        <f t="shared" si="40"/>
        <v>1269185.064</v>
      </c>
      <c r="Z203" s="233">
        <f t="shared" si="41"/>
        <v>1269185.064</v>
      </c>
      <c r="AA203" s="233">
        <f t="shared" si="42"/>
        <v>1269185.064</v>
      </c>
      <c r="AB203" s="233">
        <f t="shared" si="43"/>
        <v>1269185.064</v>
      </c>
      <c r="AC203" s="238">
        <f t="shared" si="47"/>
        <v>1269185.064</v>
      </c>
      <c r="AD203" s="238">
        <f t="shared" si="48"/>
        <v>6345925.3200000003</v>
      </c>
      <c r="AE203" s="206">
        <f t="shared" si="49"/>
        <v>2013</v>
      </c>
      <c r="AF203" s="210">
        <f t="shared" si="50"/>
        <v>57113337.880000003</v>
      </c>
      <c r="AG203" s="48" t="e">
        <f t="shared" si="52"/>
        <v>#N/A</v>
      </c>
      <c r="AH203" s="48" t="e">
        <f>IF(AG203='KIB C'!AJ:AJ,"k",0)</f>
        <v>#N/A</v>
      </c>
    </row>
    <row r="204" spans="1:34" s="48" customFormat="1" ht="40.5" customHeight="1" x14ac:dyDescent="0.2">
      <c r="A204" s="295" t="s">
        <v>2302</v>
      </c>
      <c r="B204" s="73"/>
      <c r="C204" s="65" t="s">
        <v>1993</v>
      </c>
      <c r="D204" s="67"/>
      <c r="E204" s="67"/>
      <c r="F204" s="33"/>
      <c r="G204" s="40"/>
      <c r="H204" s="40"/>
      <c r="I204" s="40"/>
      <c r="J204" s="72" t="s">
        <v>52</v>
      </c>
      <c r="K204" s="40">
        <v>2013</v>
      </c>
      <c r="L204" s="40"/>
      <c r="M204" s="32"/>
      <c r="N204" s="33"/>
      <c r="O204" s="40"/>
      <c r="P204" s="32" t="s">
        <v>12</v>
      </c>
      <c r="Q204" s="252">
        <v>839591000</v>
      </c>
      <c r="R204" s="105"/>
      <c r="S204" s="206" t="str">
        <f t="shared" si="44"/>
        <v>3.11.01</v>
      </c>
      <c r="T204" s="207" t="str">
        <f t="shared" si="37"/>
        <v>BANGUNAN GEDUNG TEMPAT KERJA</v>
      </c>
      <c r="U204" s="207">
        <f t="shared" si="38"/>
        <v>50</v>
      </c>
      <c r="V204" s="233">
        <f t="shared" si="45"/>
        <v>16791819.800000001</v>
      </c>
      <c r="W204" s="233">
        <f t="shared" si="46"/>
        <v>0</v>
      </c>
      <c r="X204" s="233">
        <f t="shared" si="39"/>
        <v>0</v>
      </c>
      <c r="Y204" s="233">
        <f t="shared" si="40"/>
        <v>16791819.800000001</v>
      </c>
      <c r="Z204" s="233">
        <f t="shared" si="41"/>
        <v>16791819.800000001</v>
      </c>
      <c r="AA204" s="233">
        <f t="shared" si="42"/>
        <v>16791819.800000001</v>
      </c>
      <c r="AB204" s="233">
        <f t="shared" si="43"/>
        <v>16791819.800000001</v>
      </c>
      <c r="AC204" s="238">
        <f t="shared" si="47"/>
        <v>16791819.800000001</v>
      </c>
      <c r="AD204" s="238">
        <f t="shared" si="48"/>
        <v>83959099</v>
      </c>
      <c r="AE204" s="206">
        <f t="shared" si="49"/>
        <v>2013</v>
      </c>
      <c r="AF204" s="210">
        <f t="shared" si="50"/>
        <v>755631901</v>
      </c>
      <c r="AG204" s="48" t="e">
        <f t="shared" si="52"/>
        <v>#N/A</v>
      </c>
      <c r="AH204" s="48" t="e">
        <f>IF(AG204='KIB C'!AJ:AJ,"k",0)</f>
        <v>#N/A</v>
      </c>
    </row>
    <row r="205" spans="1:34" s="48" customFormat="1" ht="40.5" customHeight="1" x14ac:dyDescent="0.2">
      <c r="A205" s="295" t="s">
        <v>2302</v>
      </c>
      <c r="B205" s="73"/>
      <c r="C205" s="65" t="s">
        <v>1994</v>
      </c>
      <c r="D205" s="67"/>
      <c r="E205" s="67"/>
      <c r="F205" s="33"/>
      <c r="G205" s="40"/>
      <c r="H205" s="40"/>
      <c r="I205" s="40"/>
      <c r="J205" s="72" t="s">
        <v>52</v>
      </c>
      <c r="K205" s="40">
        <v>2013</v>
      </c>
      <c r="L205" s="40"/>
      <c r="M205" s="32"/>
      <c r="N205" s="33"/>
      <c r="O205" s="40"/>
      <c r="P205" s="32" t="s">
        <v>12</v>
      </c>
      <c r="Q205" s="252">
        <v>440000000</v>
      </c>
      <c r="R205" s="105"/>
      <c r="S205" s="206" t="str">
        <f t="shared" si="44"/>
        <v>3.11.01</v>
      </c>
      <c r="T205" s="207" t="str">
        <f t="shared" si="37"/>
        <v>BANGUNAN GEDUNG TEMPAT KERJA</v>
      </c>
      <c r="U205" s="207">
        <f t="shared" si="38"/>
        <v>50</v>
      </c>
      <c r="V205" s="233">
        <f t="shared" si="45"/>
        <v>8799999.8000000007</v>
      </c>
      <c r="W205" s="233">
        <f t="shared" si="46"/>
        <v>0</v>
      </c>
      <c r="X205" s="233">
        <f t="shared" si="39"/>
        <v>0</v>
      </c>
      <c r="Y205" s="233">
        <f t="shared" si="40"/>
        <v>8799999.8000000007</v>
      </c>
      <c r="Z205" s="233">
        <f t="shared" si="41"/>
        <v>8799999.8000000007</v>
      </c>
      <c r="AA205" s="233">
        <f t="shared" si="42"/>
        <v>8799999.8000000007</v>
      </c>
      <c r="AB205" s="233">
        <f t="shared" si="43"/>
        <v>8799999.8000000007</v>
      </c>
      <c r="AC205" s="238">
        <f t="shared" si="47"/>
        <v>8799999.8000000007</v>
      </c>
      <c r="AD205" s="238">
        <f t="shared" si="48"/>
        <v>43999999</v>
      </c>
      <c r="AE205" s="206">
        <f t="shared" si="49"/>
        <v>2013</v>
      </c>
      <c r="AF205" s="210">
        <f t="shared" si="50"/>
        <v>396000001</v>
      </c>
      <c r="AG205" s="48" t="e">
        <f t="shared" si="52"/>
        <v>#N/A</v>
      </c>
      <c r="AH205" s="48" t="e">
        <f>IF(AG205='KIB C'!AJ:AJ,"k",0)</f>
        <v>#N/A</v>
      </c>
    </row>
    <row r="206" spans="1:34" s="48" customFormat="1" ht="40.5" customHeight="1" x14ac:dyDescent="0.2">
      <c r="A206" s="295" t="s">
        <v>2302</v>
      </c>
      <c r="B206" s="73"/>
      <c r="C206" s="65" t="s">
        <v>1995</v>
      </c>
      <c r="D206" s="67"/>
      <c r="E206" s="67"/>
      <c r="F206" s="33"/>
      <c r="G206" s="40"/>
      <c r="H206" s="40"/>
      <c r="I206" s="40"/>
      <c r="J206" s="72" t="s">
        <v>52</v>
      </c>
      <c r="K206" s="40">
        <v>2013</v>
      </c>
      <c r="L206" s="40"/>
      <c r="M206" s="32"/>
      <c r="N206" s="33"/>
      <c r="O206" s="40"/>
      <c r="P206" s="32" t="s">
        <v>12</v>
      </c>
      <c r="Q206" s="252">
        <v>121067000</v>
      </c>
      <c r="R206" s="105"/>
      <c r="S206" s="206" t="str">
        <f t="shared" si="44"/>
        <v>3.11.01</v>
      </c>
      <c r="T206" s="207" t="str">
        <f t="shared" ref="T206:T269" si="53">VLOOKUP(S206,kelompok,2,0)</f>
        <v>BANGUNAN GEDUNG TEMPAT KERJA</v>
      </c>
      <c r="U206" s="207">
        <f t="shared" ref="U206:U269" si="54">VLOOKUP(S206,MASAMANFAAT,4,0)</f>
        <v>50</v>
      </c>
      <c r="V206" s="233">
        <f t="shared" si="45"/>
        <v>2421339.7999999998</v>
      </c>
      <c r="W206" s="233">
        <f t="shared" si="46"/>
        <v>0</v>
      </c>
      <c r="X206" s="233">
        <f t="shared" ref="X206:X269" si="55">IF(W206&gt;U206,Q206-10,V206*W206)</f>
        <v>0</v>
      </c>
      <c r="Y206" s="233">
        <f t="shared" ref="Y206:Y269" si="56">IF(Q206-10=X206,0,V206)</f>
        <v>2421339.7999999998</v>
      </c>
      <c r="Z206" s="233">
        <f t="shared" ref="Z206:Z269" si="57">IF(Q206-10=X206+Y206,0,V206)</f>
        <v>2421339.7999999998</v>
      </c>
      <c r="AA206" s="233">
        <f t="shared" ref="AA206:AA269" si="58">IF(Q206-10=X206+Y206+Z206,0,V206)</f>
        <v>2421339.7999999998</v>
      </c>
      <c r="AB206" s="233">
        <f t="shared" ref="AB206:AB269" si="59">IF(Q206-10=X206+Y206+Z206+AA206,0,V206)</f>
        <v>2421339.7999999998</v>
      </c>
      <c r="AC206" s="238">
        <f t="shared" si="47"/>
        <v>2421339.7999999998</v>
      </c>
      <c r="AD206" s="238">
        <f t="shared" si="48"/>
        <v>12106699</v>
      </c>
      <c r="AE206" s="206">
        <f t="shared" si="49"/>
        <v>2013</v>
      </c>
      <c r="AF206" s="210">
        <f t="shared" si="50"/>
        <v>108960301</v>
      </c>
      <c r="AG206" s="48" t="e">
        <f t="shared" si="52"/>
        <v>#N/A</v>
      </c>
      <c r="AH206" s="48" t="e">
        <f>IF(AG206='KIB C'!AJ:AJ,"k",0)</f>
        <v>#N/A</v>
      </c>
    </row>
    <row r="207" spans="1:34" s="48" customFormat="1" ht="40.5" customHeight="1" x14ac:dyDescent="0.2">
      <c r="A207" s="295" t="s">
        <v>2302</v>
      </c>
      <c r="B207" s="73"/>
      <c r="C207" s="65" t="s">
        <v>1996</v>
      </c>
      <c r="D207" s="67" t="s">
        <v>1752</v>
      </c>
      <c r="E207" s="67" t="s">
        <v>39</v>
      </c>
      <c r="F207" s="33" t="s">
        <v>43</v>
      </c>
      <c r="G207" s="40" t="s">
        <v>1786</v>
      </c>
      <c r="H207" s="40" t="s">
        <v>1934</v>
      </c>
      <c r="I207" s="40"/>
      <c r="J207" s="72" t="s">
        <v>2912</v>
      </c>
      <c r="K207" s="40">
        <v>2013</v>
      </c>
      <c r="L207" s="40" t="s">
        <v>1998</v>
      </c>
      <c r="M207" s="32"/>
      <c r="N207" s="33"/>
      <c r="O207" s="40"/>
      <c r="P207" s="32" t="s">
        <v>12</v>
      </c>
      <c r="Q207" s="252">
        <v>184025000</v>
      </c>
      <c r="R207" s="105"/>
      <c r="S207" s="206" t="str">
        <f t="shared" ref="S207:S270" si="60">A207</f>
        <v>3.11.01</v>
      </c>
      <c r="T207" s="207" t="str">
        <f t="shared" si="53"/>
        <v>BANGUNAN GEDUNG TEMPAT KERJA</v>
      </c>
      <c r="U207" s="207">
        <f t="shared" si="54"/>
        <v>50</v>
      </c>
      <c r="V207" s="233">
        <f t="shared" ref="V207:V270" si="61">(Q207-10)/U207</f>
        <v>3680499.8</v>
      </c>
      <c r="W207" s="233">
        <f t="shared" ref="W207:W265" si="62">2013-AE207</f>
        <v>0</v>
      </c>
      <c r="X207" s="233">
        <f t="shared" si="55"/>
        <v>0</v>
      </c>
      <c r="Y207" s="233">
        <f t="shared" si="56"/>
        <v>3680499.8</v>
      </c>
      <c r="Z207" s="233">
        <f t="shared" si="57"/>
        <v>3680499.8</v>
      </c>
      <c r="AA207" s="233">
        <f t="shared" si="58"/>
        <v>3680499.8</v>
      </c>
      <c r="AB207" s="233">
        <f t="shared" si="59"/>
        <v>3680499.8</v>
      </c>
      <c r="AC207" s="238">
        <f t="shared" ref="AC207:AC270" si="63">IF(Q207-10=X207+Y207+Z207+AA207+AB207,0,V207)</f>
        <v>3680499.8</v>
      </c>
      <c r="AD207" s="238">
        <f t="shared" ref="AD207:AD270" si="64">SUM(X207:AC207)</f>
        <v>18402499</v>
      </c>
      <c r="AE207" s="206">
        <f t="shared" ref="AE207:AE270" si="65">K207</f>
        <v>2013</v>
      </c>
      <c r="AF207" s="210">
        <f t="shared" ref="AF207:AF270" si="66">Q207-AD207</f>
        <v>165622501</v>
      </c>
      <c r="AG207" s="48" t="str">
        <f t="shared" si="52"/>
        <v>K</v>
      </c>
    </row>
    <row r="208" spans="1:34" s="48" customFormat="1" ht="40.5" customHeight="1" x14ac:dyDescent="0.2">
      <c r="A208" s="295" t="s">
        <v>2302</v>
      </c>
      <c r="B208" s="73"/>
      <c r="C208" s="65" t="s">
        <v>1999</v>
      </c>
      <c r="D208" s="67" t="s">
        <v>1752</v>
      </c>
      <c r="E208" s="67" t="s">
        <v>68</v>
      </c>
      <c r="F208" s="33" t="s">
        <v>43</v>
      </c>
      <c r="G208" s="40" t="s">
        <v>1786</v>
      </c>
      <c r="H208" s="40" t="s">
        <v>1934</v>
      </c>
      <c r="I208" s="40"/>
      <c r="J208" s="72" t="s">
        <v>2913</v>
      </c>
      <c r="K208" s="40">
        <v>2013</v>
      </c>
      <c r="L208" s="40" t="s">
        <v>2001</v>
      </c>
      <c r="M208" s="32"/>
      <c r="N208" s="33"/>
      <c r="O208" s="40"/>
      <c r="P208" s="32" t="s">
        <v>12</v>
      </c>
      <c r="Q208" s="252">
        <v>184800000</v>
      </c>
      <c r="R208" s="105"/>
      <c r="S208" s="206" t="str">
        <f t="shared" si="60"/>
        <v>3.11.01</v>
      </c>
      <c r="T208" s="207" t="str">
        <f t="shared" si="53"/>
        <v>BANGUNAN GEDUNG TEMPAT KERJA</v>
      </c>
      <c r="U208" s="207">
        <f t="shared" si="54"/>
        <v>50</v>
      </c>
      <c r="V208" s="233">
        <f t="shared" si="61"/>
        <v>3695999.8</v>
      </c>
      <c r="W208" s="233">
        <f t="shared" si="62"/>
        <v>0</v>
      </c>
      <c r="X208" s="233">
        <f t="shared" si="55"/>
        <v>0</v>
      </c>
      <c r="Y208" s="233">
        <f t="shared" si="56"/>
        <v>3695999.8</v>
      </c>
      <c r="Z208" s="233">
        <f t="shared" si="57"/>
        <v>3695999.8</v>
      </c>
      <c r="AA208" s="233">
        <f t="shared" si="58"/>
        <v>3695999.8</v>
      </c>
      <c r="AB208" s="233">
        <f t="shared" si="59"/>
        <v>3695999.8</v>
      </c>
      <c r="AC208" s="238">
        <f t="shared" si="63"/>
        <v>3695999.8</v>
      </c>
      <c r="AD208" s="238">
        <f t="shared" si="64"/>
        <v>18479999</v>
      </c>
      <c r="AE208" s="206">
        <f t="shared" si="65"/>
        <v>2013</v>
      </c>
      <c r="AF208" s="210">
        <f t="shared" si="66"/>
        <v>166320001</v>
      </c>
      <c r="AG208" s="48" t="str">
        <f t="shared" si="52"/>
        <v>K</v>
      </c>
    </row>
    <row r="209" spans="1:34" s="48" customFormat="1" ht="40.5" customHeight="1" x14ac:dyDescent="0.2">
      <c r="A209" s="295" t="s">
        <v>2302</v>
      </c>
      <c r="B209" s="73"/>
      <c r="C209" s="65" t="s">
        <v>2002</v>
      </c>
      <c r="D209" s="67" t="s">
        <v>1752</v>
      </c>
      <c r="E209" s="67" t="s">
        <v>1765</v>
      </c>
      <c r="F209" s="33" t="s">
        <v>43</v>
      </c>
      <c r="G209" s="40" t="s">
        <v>1786</v>
      </c>
      <c r="H209" s="40" t="s">
        <v>1934</v>
      </c>
      <c r="I209" s="40"/>
      <c r="J209" s="72" t="s">
        <v>2914</v>
      </c>
      <c r="K209" s="40">
        <v>2013</v>
      </c>
      <c r="L209" s="40" t="s">
        <v>2004</v>
      </c>
      <c r="M209" s="32"/>
      <c r="N209" s="33"/>
      <c r="O209" s="40"/>
      <c r="P209" s="32" t="s">
        <v>12</v>
      </c>
      <c r="Q209" s="252">
        <v>199291000</v>
      </c>
      <c r="R209" s="105"/>
      <c r="S209" s="206" t="str">
        <f t="shared" si="60"/>
        <v>3.11.01</v>
      </c>
      <c r="T209" s="207" t="str">
        <f t="shared" si="53"/>
        <v>BANGUNAN GEDUNG TEMPAT KERJA</v>
      </c>
      <c r="U209" s="207">
        <f t="shared" si="54"/>
        <v>50</v>
      </c>
      <c r="V209" s="233">
        <f t="shared" si="61"/>
        <v>3985819.8</v>
      </c>
      <c r="W209" s="233">
        <f t="shared" si="62"/>
        <v>0</v>
      </c>
      <c r="X209" s="233">
        <f t="shared" si="55"/>
        <v>0</v>
      </c>
      <c r="Y209" s="233">
        <f t="shared" si="56"/>
        <v>3985819.8</v>
      </c>
      <c r="Z209" s="233">
        <f t="shared" si="57"/>
        <v>3985819.8</v>
      </c>
      <c r="AA209" s="233">
        <f t="shared" si="58"/>
        <v>3985819.8</v>
      </c>
      <c r="AB209" s="233">
        <f t="shared" si="59"/>
        <v>3985819.8</v>
      </c>
      <c r="AC209" s="238">
        <f t="shared" si="63"/>
        <v>3985819.8</v>
      </c>
      <c r="AD209" s="238">
        <f t="shared" si="64"/>
        <v>19929099</v>
      </c>
      <c r="AE209" s="206">
        <f t="shared" si="65"/>
        <v>2013</v>
      </c>
      <c r="AF209" s="210">
        <f t="shared" si="66"/>
        <v>179361901</v>
      </c>
      <c r="AG209" s="48" t="str">
        <f t="shared" si="52"/>
        <v>K</v>
      </c>
    </row>
    <row r="210" spans="1:34" s="48" customFormat="1" ht="40.5" customHeight="1" x14ac:dyDescent="0.2">
      <c r="A210" s="295" t="s">
        <v>2302</v>
      </c>
      <c r="B210" s="73"/>
      <c r="C210" s="65" t="s">
        <v>2005</v>
      </c>
      <c r="D210" s="67" t="s">
        <v>1752</v>
      </c>
      <c r="E210" s="67" t="s">
        <v>1768</v>
      </c>
      <c r="F210" s="33" t="s">
        <v>43</v>
      </c>
      <c r="G210" s="40" t="s">
        <v>1786</v>
      </c>
      <c r="H210" s="40" t="s">
        <v>1934</v>
      </c>
      <c r="I210" s="40"/>
      <c r="J210" s="72" t="s">
        <v>2912</v>
      </c>
      <c r="K210" s="40">
        <v>2013</v>
      </c>
      <c r="L210" s="40" t="s">
        <v>2006</v>
      </c>
      <c r="M210" s="32"/>
      <c r="N210" s="33"/>
      <c r="O210" s="40"/>
      <c r="P210" s="32" t="s">
        <v>12</v>
      </c>
      <c r="Q210" s="252">
        <v>2716159000</v>
      </c>
      <c r="R210" s="105"/>
      <c r="S210" s="206" t="str">
        <f t="shared" si="60"/>
        <v>3.11.01</v>
      </c>
      <c r="T210" s="207" t="str">
        <f t="shared" si="53"/>
        <v>BANGUNAN GEDUNG TEMPAT KERJA</v>
      </c>
      <c r="U210" s="207">
        <f t="shared" si="54"/>
        <v>50</v>
      </c>
      <c r="V210" s="233">
        <f t="shared" si="61"/>
        <v>54323179.799999997</v>
      </c>
      <c r="W210" s="233">
        <f t="shared" si="62"/>
        <v>0</v>
      </c>
      <c r="X210" s="233">
        <f t="shared" si="55"/>
        <v>0</v>
      </c>
      <c r="Y210" s="233">
        <f t="shared" si="56"/>
        <v>54323179.799999997</v>
      </c>
      <c r="Z210" s="233">
        <f t="shared" si="57"/>
        <v>54323179.799999997</v>
      </c>
      <c r="AA210" s="233">
        <f t="shared" si="58"/>
        <v>54323179.799999997</v>
      </c>
      <c r="AB210" s="233">
        <f t="shared" si="59"/>
        <v>54323179.799999997</v>
      </c>
      <c r="AC210" s="238">
        <f t="shared" si="63"/>
        <v>54323179.799999997</v>
      </c>
      <c r="AD210" s="238">
        <f t="shared" si="64"/>
        <v>271615899</v>
      </c>
      <c r="AE210" s="206">
        <f t="shared" si="65"/>
        <v>2013</v>
      </c>
      <c r="AF210" s="210">
        <f t="shared" si="66"/>
        <v>2444543101</v>
      </c>
      <c r="AG210" s="48" t="str">
        <f t="shared" si="52"/>
        <v>K</v>
      </c>
    </row>
    <row r="211" spans="1:34" s="48" customFormat="1" ht="40.5" customHeight="1" x14ac:dyDescent="0.2">
      <c r="A211" s="295" t="s">
        <v>2302</v>
      </c>
      <c r="B211" s="73"/>
      <c r="C211" s="65" t="s">
        <v>2007</v>
      </c>
      <c r="D211" s="67" t="s">
        <v>1752</v>
      </c>
      <c r="E211" s="67" t="s">
        <v>1855</v>
      </c>
      <c r="F211" s="33" t="s">
        <v>43</v>
      </c>
      <c r="G211" s="40" t="s">
        <v>1786</v>
      </c>
      <c r="H211" s="40" t="s">
        <v>1934</v>
      </c>
      <c r="I211" s="40"/>
      <c r="J211" s="72" t="s">
        <v>2913</v>
      </c>
      <c r="K211" s="40">
        <v>2013</v>
      </c>
      <c r="L211" s="40" t="s">
        <v>2008</v>
      </c>
      <c r="M211" s="32"/>
      <c r="N211" s="33"/>
      <c r="O211" s="40"/>
      <c r="P211" s="32" t="s">
        <v>12</v>
      </c>
      <c r="Q211" s="252">
        <v>2351209700</v>
      </c>
      <c r="R211" s="105"/>
      <c r="S211" s="206" t="str">
        <f t="shared" si="60"/>
        <v>3.11.01</v>
      </c>
      <c r="T211" s="207" t="str">
        <f t="shared" si="53"/>
        <v>BANGUNAN GEDUNG TEMPAT KERJA</v>
      </c>
      <c r="U211" s="207">
        <f t="shared" si="54"/>
        <v>50</v>
      </c>
      <c r="V211" s="233">
        <f t="shared" si="61"/>
        <v>47024193.799999997</v>
      </c>
      <c r="W211" s="233">
        <f t="shared" si="62"/>
        <v>0</v>
      </c>
      <c r="X211" s="233">
        <f t="shared" si="55"/>
        <v>0</v>
      </c>
      <c r="Y211" s="233">
        <f t="shared" si="56"/>
        <v>47024193.799999997</v>
      </c>
      <c r="Z211" s="233">
        <f t="shared" si="57"/>
        <v>47024193.799999997</v>
      </c>
      <c r="AA211" s="233">
        <f t="shared" si="58"/>
        <v>47024193.799999997</v>
      </c>
      <c r="AB211" s="233">
        <f t="shared" si="59"/>
        <v>47024193.799999997</v>
      </c>
      <c r="AC211" s="238">
        <f t="shared" si="63"/>
        <v>47024193.799999997</v>
      </c>
      <c r="AD211" s="238">
        <f t="shared" si="64"/>
        <v>235120969</v>
      </c>
      <c r="AE211" s="206">
        <f t="shared" si="65"/>
        <v>2013</v>
      </c>
      <c r="AF211" s="210">
        <f t="shared" si="66"/>
        <v>2116088731</v>
      </c>
      <c r="AG211" s="48" t="str">
        <f t="shared" si="52"/>
        <v>K</v>
      </c>
    </row>
    <row r="212" spans="1:34" s="48" customFormat="1" ht="40.5" customHeight="1" x14ac:dyDescent="0.2">
      <c r="A212" s="295" t="s">
        <v>2302</v>
      </c>
      <c r="B212" s="73"/>
      <c r="C212" s="65" t="s">
        <v>2009</v>
      </c>
      <c r="D212" s="67" t="s">
        <v>1752</v>
      </c>
      <c r="E212" s="67" t="s">
        <v>1857</v>
      </c>
      <c r="F212" s="33" t="s">
        <v>43</v>
      </c>
      <c r="G212" s="40" t="s">
        <v>1786</v>
      </c>
      <c r="H212" s="40" t="s">
        <v>1934</v>
      </c>
      <c r="I212" s="40"/>
      <c r="J212" s="72" t="s">
        <v>2914</v>
      </c>
      <c r="K212" s="40">
        <v>2013</v>
      </c>
      <c r="L212" s="40" t="s">
        <v>2010</v>
      </c>
      <c r="M212" s="32"/>
      <c r="N212" s="33"/>
      <c r="O212" s="40"/>
      <c r="P212" s="32" t="s">
        <v>12</v>
      </c>
      <c r="Q212" s="252">
        <v>2958431000</v>
      </c>
      <c r="R212" s="105"/>
      <c r="S212" s="206" t="str">
        <f t="shared" si="60"/>
        <v>3.11.01</v>
      </c>
      <c r="T212" s="207" t="str">
        <f t="shared" si="53"/>
        <v>BANGUNAN GEDUNG TEMPAT KERJA</v>
      </c>
      <c r="U212" s="207">
        <f t="shared" si="54"/>
        <v>50</v>
      </c>
      <c r="V212" s="233">
        <f t="shared" si="61"/>
        <v>59168619.799999997</v>
      </c>
      <c r="W212" s="233">
        <f t="shared" si="62"/>
        <v>0</v>
      </c>
      <c r="X212" s="233">
        <f t="shared" si="55"/>
        <v>0</v>
      </c>
      <c r="Y212" s="233">
        <f t="shared" si="56"/>
        <v>59168619.799999997</v>
      </c>
      <c r="Z212" s="233">
        <f t="shared" si="57"/>
        <v>59168619.799999997</v>
      </c>
      <c r="AA212" s="233">
        <f t="shared" si="58"/>
        <v>59168619.799999997</v>
      </c>
      <c r="AB212" s="233">
        <f t="shared" si="59"/>
        <v>59168619.799999997</v>
      </c>
      <c r="AC212" s="238">
        <f t="shared" si="63"/>
        <v>59168619.799999997</v>
      </c>
      <c r="AD212" s="238">
        <f t="shared" si="64"/>
        <v>295843099</v>
      </c>
      <c r="AE212" s="206">
        <f t="shared" si="65"/>
        <v>2013</v>
      </c>
      <c r="AF212" s="210">
        <f t="shared" si="66"/>
        <v>2662587901</v>
      </c>
      <c r="AG212" s="48" t="str">
        <f t="shared" si="52"/>
        <v>K</v>
      </c>
    </row>
    <row r="213" spans="1:34" s="48" customFormat="1" ht="40.5" customHeight="1" x14ac:dyDescent="0.2">
      <c r="A213" s="295" t="s">
        <v>2302</v>
      </c>
      <c r="B213" s="73"/>
      <c r="C213" s="65" t="s">
        <v>2011</v>
      </c>
      <c r="D213" s="67" t="s">
        <v>1752</v>
      </c>
      <c r="E213" s="67" t="s">
        <v>1861</v>
      </c>
      <c r="F213" s="33" t="s">
        <v>43</v>
      </c>
      <c r="G213" s="40" t="s">
        <v>1786</v>
      </c>
      <c r="H213" s="40" t="s">
        <v>1934</v>
      </c>
      <c r="I213" s="40"/>
      <c r="J213" s="72" t="s">
        <v>2915</v>
      </c>
      <c r="K213" s="40">
        <v>2013</v>
      </c>
      <c r="L213" s="40" t="s">
        <v>2013</v>
      </c>
      <c r="M213" s="32"/>
      <c r="N213" s="33"/>
      <c r="O213" s="40"/>
      <c r="P213" s="32" t="s">
        <v>12</v>
      </c>
      <c r="Q213" s="252">
        <v>443030094.3235327</v>
      </c>
      <c r="R213" s="105"/>
      <c r="S213" s="206" t="str">
        <f t="shared" si="60"/>
        <v>3.11.01</v>
      </c>
      <c r="T213" s="207" t="str">
        <f t="shared" si="53"/>
        <v>BANGUNAN GEDUNG TEMPAT KERJA</v>
      </c>
      <c r="U213" s="207">
        <f t="shared" si="54"/>
        <v>50</v>
      </c>
      <c r="V213" s="233">
        <f t="shared" si="61"/>
        <v>8860601.6864706539</v>
      </c>
      <c r="W213" s="233">
        <f t="shared" si="62"/>
        <v>0</v>
      </c>
      <c r="X213" s="233">
        <f t="shared" si="55"/>
        <v>0</v>
      </c>
      <c r="Y213" s="233">
        <f t="shared" si="56"/>
        <v>8860601.6864706539</v>
      </c>
      <c r="Z213" s="233">
        <f t="shared" si="57"/>
        <v>8860601.6864706539</v>
      </c>
      <c r="AA213" s="233">
        <f t="shared" si="58"/>
        <v>8860601.6864706539</v>
      </c>
      <c r="AB213" s="233">
        <f t="shared" si="59"/>
        <v>8860601.6864706539</v>
      </c>
      <c r="AC213" s="238">
        <f t="shared" si="63"/>
        <v>8860601.6864706539</v>
      </c>
      <c r="AD213" s="238">
        <f t="shared" si="64"/>
        <v>44303008.432353273</v>
      </c>
      <c r="AE213" s="206">
        <f t="shared" si="65"/>
        <v>2013</v>
      </c>
      <c r="AF213" s="210">
        <f t="shared" si="66"/>
        <v>398727085.89117944</v>
      </c>
      <c r="AG213" s="48" t="e">
        <f t="shared" si="52"/>
        <v>#N/A</v>
      </c>
      <c r="AH213" s="48" t="e">
        <f>IF(AG213='KIB C'!AJ:AJ,"k",0)</f>
        <v>#N/A</v>
      </c>
    </row>
    <row r="214" spans="1:34" s="48" customFormat="1" ht="40.5" customHeight="1" x14ac:dyDescent="0.2">
      <c r="A214" s="295" t="s">
        <v>2302</v>
      </c>
      <c r="B214" s="73"/>
      <c r="C214" s="65" t="s">
        <v>2014</v>
      </c>
      <c r="D214" s="67" t="s">
        <v>1752</v>
      </c>
      <c r="E214" s="67" t="s">
        <v>1864</v>
      </c>
      <c r="F214" s="33" t="s">
        <v>43</v>
      </c>
      <c r="G214" s="40" t="s">
        <v>1786</v>
      </c>
      <c r="H214" s="40" t="s">
        <v>1934</v>
      </c>
      <c r="I214" s="40"/>
      <c r="J214" s="72" t="s">
        <v>2916</v>
      </c>
      <c r="K214" s="40">
        <v>2013</v>
      </c>
      <c r="L214" s="40" t="s">
        <v>2016</v>
      </c>
      <c r="M214" s="32"/>
      <c r="N214" s="33"/>
      <c r="O214" s="40"/>
      <c r="P214" s="32" t="s">
        <v>12</v>
      </c>
      <c r="Q214" s="252">
        <v>439755084.76753765</v>
      </c>
      <c r="R214" s="105"/>
      <c r="S214" s="206" t="str">
        <f t="shared" si="60"/>
        <v>3.11.01</v>
      </c>
      <c r="T214" s="207" t="str">
        <f t="shared" si="53"/>
        <v>BANGUNAN GEDUNG TEMPAT KERJA</v>
      </c>
      <c r="U214" s="207">
        <f t="shared" si="54"/>
        <v>50</v>
      </c>
      <c r="V214" s="233">
        <f t="shared" si="61"/>
        <v>8795101.4953507539</v>
      </c>
      <c r="W214" s="233">
        <f t="shared" si="62"/>
        <v>0</v>
      </c>
      <c r="X214" s="233">
        <f t="shared" si="55"/>
        <v>0</v>
      </c>
      <c r="Y214" s="233">
        <f t="shared" si="56"/>
        <v>8795101.4953507539</v>
      </c>
      <c r="Z214" s="233">
        <f t="shared" si="57"/>
        <v>8795101.4953507539</v>
      </c>
      <c r="AA214" s="233">
        <f t="shared" si="58"/>
        <v>8795101.4953507539</v>
      </c>
      <c r="AB214" s="233">
        <f t="shared" si="59"/>
        <v>8795101.4953507539</v>
      </c>
      <c r="AC214" s="238">
        <f t="shared" si="63"/>
        <v>8795101.4953507539</v>
      </c>
      <c r="AD214" s="238">
        <f t="shared" si="64"/>
        <v>43975507.476753771</v>
      </c>
      <c r="AE214" s="206">
        <f t="shared" si="65"/>
        <v>2013</v>
      </c>
      <c r="AF214" s="210">
        <f t="shared" si="66"/>
        <v>395779577.29078388</v>
      </c>
      <c r="AG214" s="48" t="e">
        <f t="shared" si="52"/>
        <v>#N/A</v>
      </c>
      <c r="AH214" s="48" t="e">
        <f>IF(AG214='KIB C'!AJ:AJ,"k",0)</f>
        <v>#N/A</v>
      </c>
    </row>
    <row r="215" spans="1:34" s="48" customFormat="1" ht="40.5" customHeight="1" x14ac:dyDescent="0.2">
      <c r="A215" s="295" t="s">
        <v>2302</v>
      </c>
      <c r="B215" s="73"/>
      <c r="C215" s="65" t="s">
        <v>2017</v>
      </c>
      <c r="D215" s="67" t="s">
        <v>1752</v>
      </c>
      <c r="E215" s="67" t="s">
        <v>1870</v>
      </c>
      <c r="F215" s="33" t="s">
        <v>43</v>
      </c>
      <c r="G215" s="40" t="s">
        <v>1786</v>
      </c>
      <c r="H215" s="40" t="s">
        <v>1934</v>
      </c>
      <c r="I215" s="40"/>
      <c r="J215" s="72" t="s">
        <v>2917</v>
      </c>
      <c r="K215" s="40">
        <v>2013</v>
      </c>
      <c r="L215" s="40" t="s">
        <v>2019</v>
      </c>
      <c r="M215" s="32"/>
      <c r="N215" s="33"/>
      <c r="O215" s="40"/>
      <c r="P215" s="32" t="s">
        <v>12</v>
      </c>
      <c r="Q215" s="252">
        <v>441362872.62528366</v>
      </c>
      <c r="R215" s="105"/>
      <c r="S215" s="206" t="str">
        <f t="shared" si="60"/>
        <v>3.11.01</v>
      </c>
      <c r="T215" s="207" t="str">
        <f t="shared" si="53"/>
        <v>BANGUNAN GEDUNG TEMPAT KERJA</v>
      </c>
      <c r="U215" s="207">
        <f t="shared" si="54"/>
        <v>50</v>
      </c>
      <c r="V215" s="233">
        <f t="shared" si="61"/>
        <v>8827257.2525056731</v>
      </c>
      <c r="W215" s="233">
        <f t="shared" si="62"/>
        <v>0</v>
      </c>
      <c r="X215" s="233">
        <f t="shared" si="55"/>
        <v>0</v>
      </c>
      <c r="Y215" s="233">
        <f t="shared" si="56"/>
        <v>8827257.2525056731</v>
      </c>
      <c r="Z215" s="233">
        <f t="shared" si="57"/>
        <v>8827257.2525056731</v>
      </c>
      <c r="AA215" s="233">
        <f t="shared" si="58"/>
        <v>8827257.2525056731</v>
      </c>
      <c r="AB215" s="233">
        <f t="shared" si="59"/>
        <v>8827257.2525056731</v>
      </c>
      <c r="AC215" s="238">
        <f t="shared" si="63"/>
        <v>8827257.2525056731</v>
      </c>
      <c r="AD215" s="238">
        <f t="shared" si="64"/>
        <v>44136286.262528367</v>
      </c>
      <c r="AE215" s="206">
        <f t="shared" si="65"/>
        <v>2013</v>
      </c>
      <c r="AF215" s="210">
        <f t="shared" si="66"/>
        <v>397226586.3627553</v>
      </c>
      <c r="AG215" s="48" t="e">
        <f t="shared" si="52"/>
        <v>#N/A</v>
      </c>
      <c r="AH215" s="48" t="e">
        <f>IF(AG215='KIB C'!AJ:AJ,"k",0)</f>
        <v>#N/A</v>
      </c>
    </row>
    <row r="216" spans="1:34" s="48" customFormat="1" ht="40.5" customHeight="1" x14ac:dyDescent="0.2">
      <c r="A216" s="295" t="s">
        <v>2302</v>
      </c>
      <c r="B216" s="73"/>
      <c r="C216" s="65" t="s">
        <v>2020</v>
      </c>
      <c r="D216" s="67" t="s">
        <v>1752</v>
      </c>
      <c r="E216" s="67" t="s">
        <v>1888</v>
      </c>
      <c r="F216" s="33" t="s">
        <v>43</v>
      </c>
      <c r="G216" s="40" t="s">
        <v>1786</v>
      </c>
      <c r="H216" s="40" t="s">
        <v>1934</v>
      </c>
      <c r="I216" s="40"/>
      <c r="J216" s="72" t="s">
        <v>2918</v>
      </c>
      <c r="K216" s="40">
        <v>2013</v>
      </c>
      <c r="L216" s="40" t="s">
        <v>2022</v>
      </c>
      <c r="M216" s="32"/>
      <c r="N216" s="33"/>
      <c r="O216" s="40"/>
      <c r="P216" s="32" t="s">
        <v>12</v>
      </c>
      <c r="Q216" s="252">
        <v>438678102.58876711</v>
      </c>
      <c r="R216" s="105"/>
      <c r="S216" s="206" t="str">
        <f t="shared" si="60"/>
        <v>3.11.01</v>
      </c>
      <c r="T216" s="207" t="str">
        <f t="shared" si="53"/>
        <v>BANGUNAN GEDUNG TEMPAT KERJA</v>
      </c>
      <c r="U216" s="207">
        <f t="shared" si="54"/>
        <v>50</v>
      </c>
      <c r="V216" s="233">
        <f t="shared" si="61"/>
        <v>8773561.8517753426</v>
      </c>
      <c r="W216" s="233">
        <f t="shared" si="62"/>
        <v>0</v>
      </c>
      <c r="X216" s="233">
        <f t="shared" si="55"/>
        <v>0</v>
      </c>
      <c r="Y216" s="233">
        <f t="shared" si="56"/>
        <v>8773561.8517753426</v>
      </c>
      <c r="Z216" s="233">
        <f t="shared" si="57"/>
        <v>8773561.8517753426</v>
      </c>
      <c r="AA216" s="233">
        <f t="shared" si="58"/>
        <v>8773561.8517753426</v>
      </c>
      <c r="AB216" s="233">
        <f t="shared" si="59"/>
        <v>8773561.8517753426</v>
      </c>
      <c r="AC216" s="238">
        <f t="shared" si="63"/>
        <v>8773561.8517753426</v>
      </c>
      <c r="AD216" s="238">
        <f t="shared" si="64"/>
        <v>43867809.258876711</v>
      </c>
      <c r="AE216" s="206">
        <f t="shared" si="65"/>
        <v>2013</v>
      </c>
      <c r="AF216" s="210">
        <f t="shared" si="66"/>
        <v>394810293.32989037</v>
      </c>
      <c r="AG216" s="48" t="e">
        <f t="shared" si="52"/>
        <v>#N/A</v>
      </c>
      <c r="AH216" s="48" t="e">
        <f>IF(AG216='KIB C'!AJ:AJ,"k",0)</f>
        <v>#N/A</v>
      </c>
    </row>
    <row r="217" spans="1:34" s="48" customFormat="1" ht="40.5" customHeight="1" x14ac:dyDescent="0.2">
      <c r="A217" s="295" t="s">
        <v>2302</v>
      </c>
      <c r="B217" s="73"/>
      <c r="C217" s="65" t="s">
        <v>2023</v>
      </c>
      <c r="D217" s="67" t="s">
        <v>1752</v>
      </c>
      <c r="E217" s="67" t="s">
        <v>1895</v>
      </c>
      <c r="F217" s="33" t="s">
        <v>43</v>
      </c>
      <c r="G217" s="40" t="s">
        <v>1786</v>
      </c>
      <c r="H217" s="40" t="s">
        <v>1934</v>
      </c>
      <c r="I217" s="40"/>
      <c r="J217" s="72" t="s">
        <v>2919</v>
      </c>
      <c r="K217" s="40">
        <v>2013</v>
      </c>
      <c r="L217" s="40" t="s">
        <v>2025</v>
      </c>
      <c r="M217" s="32"/>
      <c r="N217" s="33"/>
      <c r="O217" s="40"/>
      <c r="P217" s="32" t="s">
        <v>12</v>
      </c>
      <c r="Q217" s="252">
        <v>443392845.69487888</v>
      </c>
      <c r="R217" s="105"/>
      <c r="S217" s="206" t="str">
        <f t="shared" si="60"/>
        <v>3.11.01</v>
      </c>
      <c r="T217" s="207" t="str">
        <f t="shared" si="53"/>
        <v>BANGUNAN GEDUNG TEMPAT KERJA</v>
      </c>
      <c r="U217" s="207">
        <f t="shared" si="54"/>
        <v>50</v>
      </c>
      <c r="V217" s="233">
        <f t="shared" si="61"/>
        <v>8867856.7138975784</v>
      </c>
      <c r="W217" s="233">
        <f t="shared" si="62"/>
        <v>0</v>
      </c>
      <c r="X217" s="233">
        <f t="shared" si="55"/>
        <v>0</v>
      </c>
      <c r="Y217" s="233">
        <f t="shared" si="56"/>
        <v>8867856.7138975784</v>
      </c>
      <c r="Z217" s="233">
        <f t="shared" si="57"/>
        <v>8867856.7138975784</v>
      </c>
      <c r="AA217" s="233">
        <f t="shared" si="58"/>
        <v>8867856.7138975784</v>
      </c>
      <c r="AB217" s="233">
        <f t="shared" si="59"/>
        <v>8867856.7138975784</v>
      </c>
      <c r="AC217" s="238">
        <f t="shared" si="63"/>
        <v>8867856.7138975784</v>
      </c>
      <c r="AD217" s="238">
        <f t="shared" si="64"/>
        <v>44339283.569487892</v>
      </c>
      <c r="AE217" s="206">
        <f t="shared" si="65"/>
        <v>2013</v>
      </c>
      <c r="AF217" s="210">
        <f t="shared" si="66"/>
        <v>399053562.12539101</v>
      </c>
      <c r="AG217" s="48" t="e">
        <f t="shared" si="52"/>
        <v>#N/A</v>
      </c>
      <c r="AH217" s="48" t="e">
        <f>IF(AG217='KIB C'!AJ:AJ,"k",0)</f>
        <v>#N/A</v>
      </c>
    </row>
    <row r="218" spans="1:34" s="48" customFormat="1" ht="40.5" customHeight="1" x14ac:dyDescent="0.2">
      <c r="A218" s="295" t="s">
        <v>2302</v>
      </c>
      <c r="B218" s="73"/>
      <c r="C218" s="65" t="s">
        <v>2026</v>
      </c>
      <c r="D218" s="67" t="s">
        <v>1752</v>
      </c>
      <c r="E218" s="67" t="s">
        <v>1899</v>
      </c>
      <c r="F218" s="33" t="s">
        <v>43</v>
      </c>
      <c r="G218" s="40" t="s">
        <v>1786</v>
      </c>
      <c r="H218" s="40" t="s">
        <v>1934</v>
      </c>
      <c r="I218" s="40"/>
      <c r="J218" s="72" t="s">
        <v>2920</v>
      </c>
      <c r="K218" s="40">
        <v>2013</v>
      </c>
      <c r="L218" s="40" t="s">
        <v>2028</v>
      </c>
      <c r="M218" s="32"/>
      <c r="N218" s="33"/>
      <c r="O218" s="40"/>
      <c r="P218" s="32" t="s">
        <v>12</v>
      </c>
      <c r="Q218" s="252">
        <v>550731000</v>
      </c>
      <c r="R218" s="105"/>
      <c r="S218" s="206" t="str">
        <f t="shared" si="60"/>
        <v>3.11.01</v>
      </c>
      <c r="T218" s="207" t="str">
        <f t="shared" si="53"/>
        <v>BANGUNAN GEDUNG TEMPAT KERJA</v>
      </c>
      <c r="U218" s="207">
        <f t="shared" si="54"/>
        <v>50</v>
      </c>
      <c r="V218" s="233">
        <f t="shared" si="61"/>
        <v>11014619.800000001</v>
      </c>
      <c r="W218" s="233">
        <f t="shared" si="62"/>
        <v>0</v>
      </c>
      <c r="X218" s="233">
        <f t="shared" si="55"/>
        <v>0</v>
      </c>
      <c r="Y218" s="233">
        <f t="shared" si="56"/>
        <v>11014619.800000001</v>
      </c>
      <c r="Z218" s="233">
        <f t="shared" si="57"/>
        <v>11014619.800000001</v>
      </c>
      <c r="AA218" s="233">
        <f t="shared" si="58"/>
        <v>11014619.800000001</v>
      </c>
      <c r="AB218" s="233">
        <f t="shared" si="59"/>
        <v>11014619.800000001</v>
      </c>
      <c r="AC218" s="238">
        <f t="shared" si="63"/>
        <v>11014619.800000001</v>
      </c>
      <c r="AD218" s="238">
        <f t="shared" si="64"/>
        <v>55073099</v>
      </c>
      <c r="AE218" s="206">
        <f t="shared" si="65"/>
        <v>2013</v>
      </c>
      <c r="AF218" s="210">
        <f t="shared" si="66"/>
        <v>495657901</v>
      </c>
      <c r="AG218" s="48" t="e">
        <f t="shared" ref="AG218:AG249" si="67">VLOOKUP(C218,KAP,2,0)</f>
        <v>#N/A</v>
      </c>
      <c r="AH218" s="48" t="e">
        <f>IF(AG218='KIB C'!AJ:AJ,"k",0)</f>
        <v>#N/A</v>
      </c>
    </row>
    <row r="219" spans="1:34" s="48" customFormat="1" ht="40.5" customHeight="1" x14ac:dyDescent="0.2">
      <c r="A219" s="295" t="s">
        <v>2302</v>
      </c>
      <c r="B219" s="73"/>
      <c r="C219" s="65" t="s">
        <v>2029</v>
      </c>
      <c r="D219" s="67" t="s">
        <v>1752</v>
      </c>
      <c r="E219" s="67" t="s">
        <v>1701</v>
      </c>
      <c r="F219" s="33" t="s">
        <v>43</v>
      </c>
      <c r="G219" s="40" t="s">
        <v>1786</v>
      </c>
      <c r="H219" s="40" t="s">
        <v>1934</v>
      </c>
      <c r="I219" s="40"/>
      <c r="J219" s="72" t="s">
        <v>2921</v>
      </c>
      <c r="K219" s="40">
        <v>2013</v>
      </c>
      <c r="L219" s="40" t="s">
        <v>2028</v>
      </c>
      <c r="M219" s="32"/>
      <c r="N219" s="33"/>
      <c r="O219" s="40"/>
      <c r="P219" s="32" t="s">
        <v>12</v>
      </c>
      <c r="Q219" s="252">
        <v>448379000</v>
      </c>
      <c r="R219" s="105"/>
      <c r="S219" s="206" t="str">
        <f t="shared" si="60"/>
        <v>3.11.01</v>
      </c>
      <c r="T219" s="207" t="str">
        <f t="shared" si="53"/>
        <v>BANGUNAN GEDUNG TEMPAT KERJA</v>
      </c>
      <c r="U219" s="207">
        <f t="shared" si="54"/>
        <v>50</v>
      </c>
      <c r="V219" s="233">
        <f t="shared" si="61"/>
        <v>8967579.8000000007</v>
      </c>
      <c r="W219" s="233">
        <f t="shared" si="62"/>
        <v>0</v>
      </c>
      <c r="X219" s="233">
        <f t="shared" si="55"/>
        <v>0</v>
      </c>
      <c r="Y219" s="233">
        <f t="shared" si="56"/>
        <v>8967579.8000000007</v>
      </c>
      <c r="Z219" s="233">
        <f t="shared" si="57"/>
        <v>8967579.8000000007</v>
      </c>
      <c r="AA219" s="233">
        <f t="shared" si="58"/>
        <v>8967579.8000000007</v>
      </c>
      <c r="AB219" s="233">
        <f t="shared" si="59"/>
        <v>8967579.8000000007</v>
      </c>
      <c r="AC219" s="238">
        <f t="shared" si="63"/>
        <v>8967579.8000000007</v>
      </c>
      <c r="AD219" s="238">
        <f t="shared" si="64"/>
        <v>44837899</v>
      </c>
      <c r="AE219" s="206">
        <f t="shared" si="65"/>
        <v>2013</v>
      </c>
      <c r="AF219" s="210">
        <f t="shared" si="66"/>
        <v>403541101</v>
      </c>
      <c r="AG219" s="48" t="e">
        <f t="shared" si="67"/>
        <v>#N/A</v>
      </c>
      <c r="AH219" s="48" t="e">
        <f>IF(AG219='KIB C'!AJ:AJ,"k",0)</f>
        <v>#N/A</v>
      </c>
    </row>
    <row r="220" spans="1:34" s="48" customFormat="1" ht="40.5" customHeight="1" x14ac:dyDescent="0.2">
      <c r="A220" s="295" t="s">
        <v>2302</v>
      </c>
      <c r="B220" s="73"/>
      <c r="C220" s="65" t="s">
        <v>2031</v>
      </c>
      <c r="D220" s="67" t="s">
        <v>1752</v>
      </c>
      <c r="E220" s="67" t="s">
        <v>1906</v>
      </c>
      <c r="F220" s="33" t="s">
        <v>43</v>
      </c>
      <c r="G220" s="40" t="s">
        <v>1786</v>
      </c>
      <c r="H220" s="40" t="s">
        <v>1934</v>
      </c>
      <c r="I220" s="40"/>
      <c r="J220" s="72" t="s">
        <v>2922</v>
      </c>
      <c r="K220" s="40">
        <v>2013</v>
      </c>
      <c r="L220" s="40" t="s">
        <v>2033</v>
      </c>
      <c r="M220" s="32"/>
      <c r="N220" s="33"/>
      <c r="O220" s="40"/>
      <c r="P220" s="32" t="s">
        <v>12</v>
      </c>
      <c r="Q220" s="252">
        <v>426089126.5672524</v>
      </c>
      <c r="R220" s="105"/>
      <c r="S220" s="206" t="str">
        <f t="shared" si="60"/>
        <v>3.11.01</v>
      </c>
      <c r="T220" s="207" t="str">
        <f t="shared" si="53"/>
        <v>BANGUNAN GEDUNG TEMPAT KERJA</v>
      </c>
      <c r="U220" s="207">
        <f t="shared" si="54"/>
        <v>50</v>
      </c>
      <c r="V220" s="233">
        <f t="shared" si="61"/>
        <v>8521782.3313450478</v>
      </c>
      <c r="W220" s="233">
        <f t="shared" si="62"/>
        <v>0</v>
      </c>
      <c r="X220" s="233">
        <f t="shared" si="55"/>
        <v>0</v>
      </c>
      <c r="Y220" s="233">
        <f t="shared" si="56"/>
        <v>8521782.3313450478</v>
      </c>
      <c r="Z220" s="233">
        <f t="shared" si="57"/>
        <v>8521782.3313450478</v>
      </c>
      <c r="AA220" s="233">
        <f t="shared" si="58"/>
        <v>8521782.3313450478</v>
      </c>
      <c r="AB220" s="233">
        <f t="shared" si="59"/>
        <v>8521782.3313450478</v>
      </c>
      <c r="AC220" s="238">
        <f t="shared" si="63"/>
        <v>8521782.3313450478</v>
      </c>
      <c r="AD220" s="238">
        <f t="shared" si="64"/>
        <v>42608911.656725243</v>
      </c>
      <c r="AE220" s="206">
        <f t="shared" si="65"/>
        <v>2013</v>
      </c>
      <c r="AF220" s="210">
        <f t="shared" si="66"/>
        <v>383480214.91052717</v>
      </c>
      <c r="AG220" s="48" t="e">
        <f t="shared" si="67"/>
        <v>#N/A</v>
      </c>
      <c r="AH220" s="48" t="e">
        <f>IF(AG220='KIB C'!AJ:AJ,"k",0)</f>
        <v>#N/A</v>
      </c>
    </row>
    <row r="221" spans="1:34" s="48" customFormat="1" ht="40.5" customHeight="1" x14ac:dyDescent="0.2">
      <c r="A221" s="295" t="s">
        <v>2302</v>
      </c>
      <c r="B221" s="73"/>
      <c r="C221" s="65" t="s">
        <v>2034</v>
      </c>
      <c r="D221" s="67" t="s">
        <v>1752</v>
      </c>
      <c r="E221" s="67" t="s">
        <v>1910</v>
      </c>
      <c r="F221" s="33" t="s">
        <v>43</v>
      </c>
      <c r="G221" s="40" t="s">
        <v>1786</v>
      </c>
      <c r="H221" s="40" t="s">
        <v>1934</v>
      </c>
      <c r="I221" s="40"/>
      <c r="J221" s="72" t="s">
        <v>2923</v>
      </c>
      <c r="K221" s="40">
        <v>2013</v>
      </c>
      <c r="L221" s="40" t="s">
        <v>2036</v>
      </c>
      <c r="M221" s="32"/>
      <c r="N221" s="33"/>
      <c r="O221" s="40"/>
      <c r="P221" s="32" t="s">
        <v>12</v>
      </c>
      <c r="Q221" s="252">
        <v>441125006.51592267</v>
      </c>
      <c r="R221" s="105"/>
      <c r="S221" s="206" t="str">
        <f t="shared" si="60"/>
        <v>3.11.01</v>
      </c>
      <c r="T221" s="207" t="str">
        <f t="shared" si="53"/>
        <v>BANGUNAN GEDUNG TEMPAT KERJA</v>
      </c>
      <c r="U221" s="207">
        <f t="shared" si="54"/>
        <v>50</v>
      </c>
      <c r="V221" s="233">
        <f t="shared" si="61"/>
        <v>8822499.9303184524</v>
      </c>
      <c r="W221" s="233">
        <f t="shared" si="62"/>
        <v>0</v>
      </c>
      <c r="X221" s="233">
        <f t="shared" si="55"/>
        <v>0</v>
      </c>
      <c r="Y221" s="233">
        <f t="shared" si="56"/>
        <v>8822499.9303184524</v>
      </c>
      <c r="Z221" s="233">
        <f t="shared" si="57"/>
        <v>8822499.9303184524</v>
      </c>
      <c r="AA221" s="233">
        <f t="shared" si="58"/>
        <v>8822499.9303184524</v>
      </c>
      <c r="AB221" s="233">
        <f t="shared" si="59"/>
        <v>8822499.9303184524</v>
      </c>
      <c r="AC221" s="238">
        <f t="shared" si="63"/>
        <v>8822499.9303184524</v>
      </c>
      <c r="AD221" s="238">
        <f t="shared" si="64"/>
        <v>44112499.651592262</v>
      </c>
      <c r="AE221" s="206">
        <f t="shared" si="65"/>
        <v>2013</v>
      </c>
      <c r="AF221" s="210">
        <f t="shared" si="66"/>
        <v>397012506.86433041</v>
      </c>
      <c r="AG221" s="48" t="e">
        <f t="shared" si="67"/>
        <v>#N/A</v>
      </c>
      <c r="AH221" s="48" t="e">
        <f>IF(AG221='KIB C'!AJ:AJ,"k",0)</f>
        <v>#N/A</v>
      </c>
    </row>
    <row r="222" spans="1:34" s="48" customFormat="1" ht="40.5" customHeight="1" x14ac:dyDescent="0.2">
      <c r="A222" s="295" t="s">
        <v>2302</v>
      </c>
      <c r="B222" s="73"/>
      <c r="C222" s="65" t="s">
        <v>2037</v>
      </c>
      <c r="D222" s="67" t="s">
        <v>1752</v>
      </c>
      <c r="E222" s="67" t="s">
        <v>1913</v>
      </c>
      <c r="F222" s="33" t="s">
        <v>43</v>
      </c>
      <c r="G222" s="40" t="s">
        <v>1786</v>
      </c>
      <c r="H222" s="40" t="s">
        <v>1934</v>
      </c>
      <c r="I222" s="40"/>
      <c r="J222" s="72" t="s">
        <v>2924</v>
      </c>
      <c r="K222" s="40">
        <v>2013</v>
      </c>
      <c r="L222" s="40" t="s">
        <v>2039</v>
      </c>
      <c r="M222" s="32"/>
      <c r="N222" s="33"/>
      <c r="O222" s="40"/>
      <c r="P222" s="32" t="s">
        <v>12</v>
      </c>
      <c r="Q222" s="252">
        <v>443360374.87962258</v>
      </c>
      <c r="R222" s="105"/>
      <c r="S222" s="206" t="str">
        <f t="shared" si="60"/>
        <v>3.11.01</v>
      </c>
      <c r="T222" s="207" t="str">
        <f t="shared" si="53"/>
        <v>BANGUNAN GEDUNG TEMPAT KERJA</v>
      </c>
      <c r="U222" s="207">
        <f t="shared" si="54"/>
        <v>50</v>
      </c>
      <c r="V222" s="233">
        <f t="shared" si="61"/>
        <v>8867207.2975924518</v>
      </c>
      <c r="W222" s="233">
        <f t="shared" si="62"/>
        <v>0</v>
      </c>
      <c r="X222" s="233">
        <f t="shared" si="55"/>
        <v>0</v>
      </c>
      <c r="Y222" s="233">
        <f t="shared" si="56"/>
        <v>8867207.2975924518</v>
      </c>
      <c r="Z222" s="233">
        <f t="shared" si="57"/>
        <v>8867207.2975924518</v>
      </c>
      <c r="AA222" s="233">
        <f t="shared" si="58"/>
        <v>8867207.2975924518</v>
      </c>
      <c r="AB222" s="233">
        <f t="shared" si="59"/>
        <v>8867207.2975924518</v>
      </c>
      <c r="AC222" s="238">
        <f t="shared" si="63"/>
        <v>8867207.2975924518</v>
      </c>
      <c r="AD222" s="238">
        <f t="shared" si="64"/>
        <v>44336036.487962261</v>
      </c>
      <c r="AE222" s="206">
        <f t="shared" si="65"/>
        <v>2013</v>
      </c>
      <c r="AF222" s="210">
        <f t="shared" si="66"/>
        <v>399024338.39166033</v>
      </c>
      <c r="AG222" s="48" t="e">
        <f t="shared" si="67"/>
        <v>#N/A</v>
      </c>
      <c r="AH222" s="48" t="e">
        <f>IF(AG222='KIB C'!AJ:AJ,"k",0)</f>
        <v>#N/A</v>
      </c>
    </row>
    <row r="223" spans="1:34" s="48" customFormat="1" ht="40.5" customHeight="1" x14ac:dyDescent="0.2">
      <c r="A223" s="295" t="s">
        <v>2302</v>
      </c>
      <c r="B223" s="73"/>
      <c r="C223" s="65" t="s">
        <v>2040</v>
      </c>
      <c r="D223" s="67" t="s">
        <v>1752</v>
      </c>
      <c r="E223" s="67" t="s">
        <v>1916</v>
      </c>
      <c r="F223" s="33" t="s">
        <v>43</v>
      </c>
      <c r="G223" s="40" t="s">
        <v>1786</v>
      </c>
      <c r="H223" s="40" t="s">
        <v>1934</v>
      </c>
      <c r="I223" s="40"/>
      <c r="J223" s="72" t="s">
        <v>2925</v>
      </c>
      <c r="K223" s="40">
        <v>2013</v>
      </c>
      <c r="L223" s="40" t="s">
        <v>2042</v>
      </c>
      <c r="M223" s="32"/>
      <c r="N223" s="33"/>
      <c r="O223" s="40"/>
      <c r="P223" s="32" t="s">
        <v>12</v>
      </c>
      <c r="Q223" s="252">
        <v>439390492.03720236</v>
      </c>
      <c r="R223" s="105"/>
      <c r="S223" s="206" t="str">
        <f t="shared" si="60"/>
        <v>3.11.01</v>
      </c>
      <c r="T223" s="207" t="str">
        <f t="shared" si="53"/>
        <v>BANGUNAN GEDUNG TEMPAT KERJA</v>
      </c>
      <c r="U223" s="207">
        <f t="shared" si="54"/>
        <v>50</v>
      </c>
      <c r="V223" s="233">
        <f t="shared" si="61"/>
        <v>8787809.6407440472</v>
      </c>
      <c r="W223" s="233">
        <f t="shared" si="62"/>
        <v>0</v>
      </c>
      <c r="X223" s="233">
        <f t="shared" si="55"/>
        <v>0</v>
      </c>
      <c r="Y223" s="233">
        <f t="shared" si="56"/>
        <v>8787809.6407440472</v>
      </c>
      <c r="Z223" s="233">
        <f t="shared" si="57"/>
        <v>8787809.6407440472</v>
      </c>
      <c r="AA223" s="233">
        <f t="shared" si="58"/>
        <v>8787809.6407440472</v>
      </c>
      <c r="AB223" s="233">
        <f t="shared" si="59"/>
        <v>8787809.6407440472</v>
      </c>
      <c r="AC223" s="238">
        <f t="shared" si="63"/>
        <v>8787809.6407440472</v>
      </c>
      <c r="AD223" s="238">
        <f t="shared" si="64"/>
        <v>43939048.203720234</v>
      </c>
      <c r="AE223" s="206">
        <f t="shared" si="65"/>
        <v>2013</v>
      </c>
      <c r="AF223" s="210">
        <f t="shared" si="66"/>
        <v>395451443.83348215</v>
      </c>
      <c r="AG223" s="48" t="e">
        <f t="shared" si="67"/>
        <v>#N/A</v>
      </c>
      <c r="AH223" s="48" t="e">
        <f>IF(AG223='KIB C'!AJ:AJ,"k",0)</f>
        <v>#N/A</v>
      </c>
    </row>
    <row r="224" spans="1:34" s="48" customFormat="1" ht="40.5" customHeight="1" x14ac:dyDescent="0.2">
      <c r="A224" s="295" t="s">
        <v>2302</v>
      </c>
      <c r="B224" s="73"/>
      <c r="C224" s="65" t="s">
        <v>2043</v>
      </c>
      <c r="D224" s="67" t="s">
        <v>1752</v>
      </c>
      <c r="E224" s="67" t="s">
        <v>1920</v>
      </c>
      <c r="F224" s="33" t="s">
        <v>43</v>
      </c>
      <c r="G224" s="40" t="s">
        <v>1786</v>
      </c>
      <c r="H224" s="40" t="s">
        <v>1934</v>
      </c>
      <c r="I224" s="40"/>
      <c r="J224" s="72" t="s">
        <v>2926</v>
      </c>
      <c r="K224" s="40">
        <v>2013</v>
      </c>
      <c r="L224" s="40" t="s">
        <v>2045</v>
      </c>
      <c r="M224" s="32"/>
      <c r="N224" s="33"/>
      <c r="O224" s="40"/>
      <c r="P224" s="32" t="s">
        <v>12</v>
      </c>
      <c r="Q224" s="252">
        <v>426167000</v>
      </c>
      <c r="R224" s="105"/>
      <c r="S224" s="206" t="str">
        <f t="shared" si="60"/>
        <v>3.11.01</v>
      </c>
      <c r="T224" s="207" t="str">
        <f t="shared" si="53"/>
        <v>BANGUNAN GEDUNG TEMPAT KERJA</v>
      </c>
      <c r="U224" s="207">
        <f t="shared" si="54"/>
        <v>50</v>
      </c>
      <c r="V224" s="233">
        <f t="shared" si="61"/>
        <v>8523339.8000000007</v>
      </c>
      <c r="W224" s="233">
        <f t="shared" si="62"/>
        <v>0</v>
      </c>
      <c r="X224" s="233">
        <f t="shared" si="55"/>
        <v>0</v>
      </c>
      <c r="Y224" s="233">
        <f t="shared" si="56"/>
        <v>8523339.8000000007</v>
      </c>
      <c r="Z224" s="233">
        <f t="shared" si="57"/>
        <v>8523339.8000000007</v>
      </c>
      <c r="AA224" s="233">
        <f t="shared" si="58"/>
        <v>8523339.8000000007</v>
      </c>
      <c r="AB224" s="233">
        <f t="shared" si="59"/>
        <v>8523339.8000000007</v>
      </c>
      <c r="AC224" s="238">
        <f t="shared" si="63"/>
        <v>8523339.8000000007</v>
      </c>
      <c r="AD224" s="238">
        <f t="shared" si="64"/>
        <v>42616699</v>
      </c>
      <c r="AE224" s="206">
        <f t="shared" si="65"/>
        <v>2013</v>
      </c>
      <c r="AF224" s="210">
        <f t="shared" si="66"/>
        <v>383550301</v>
      </c>
      <c r="AG224" s="48" t="e">
        <f t="shared" si="67"/>
        <v>#N/A</v>
      </c>
      <c r="AH224" s="48" t="e">
        <f>IF(AG224='KIB C'!AJ:AJ,"k",0)</f>
        <v>#N/A</v>
      </c>
    </row>
    <row r="225" spans="1:34" s="48" customFormat="1" ht="40.5" customHeight="1" x14ac:dyDescent="0.2">
      <c r="A225" s="295" t="s">
        <v>2302</v>
      </c>
      <c r="B225" s="73"/>
      <c r="C225" s="65" t="s">
        <v>2046</v>
      </c>
      <c r="D225" s="67" t="s">
        <v>1752</v>
      </c>
      <c r="E225" s="67" t="s">
        <v>1924</v>
      </c>
      <c r="F225" s="33" t="s">
        <v>43</v>
      </c>
      <c r="G225" s="40" t="s">
        <v>1786</v>
      </c>
      <c r="H225" s="40" t="s">
        <v>1934</v>
      </c>
      <c r="I225" s="40"/>
      <c r="J225" s="72" t="s">
        <v>2927</v>
      </c>
      <c r="K225" s="40">
        <v>2013</v>
      </c>
      <c r="L225" s="40" t="s">
        <v>2048</v>
      </c>
      <c r="M225" s="32"/>
      <c r="N225" s="33"/>
      <c r="O225" s="40"/>
      <c r="P225" s="32" t="s">
        <v>12</v>
      </c>
      <c r="Q225" s="252">
        <v>460983000</v>
      </c>
      <c r="R225" s="105"/>
      <c r="S225" s="206" t="str">
        <f t="shared" si="60"/>
        <v>3.11.01</v>
      </c>
      <c r="T225" s="207" t="str">
        <f t="shared" si="53"/>
        <v>BANGUNAN GEDUNG TEMPAT KERJA</v>
      </c>
      <c r="U225" s="207">
        <f t="shared" si="54"/>
        <v>50</v>
      </c>
      <c r="V225" s="233">
        <f t="shared" si="61"/>
        <v>9219659.8000000007</v>
      </c>
      <c r="W225" s="233">
        <f t="shared" si="62"/>
        <v>0</v>
      </c>
      <c r="X225" s="233">
        <f t="shared" si="55"/>
        <v>0</v>
      </c>
      <c r="Y225" s="233">
        <f t="shared" si="56"/>
        <v>9219659.8000000007</v>
      </c>
      <c r="Z225" s="233">
        <f t="shared" si="57"/>
        <v>9219659.8000000007</v>
      </c>
      <c r="AA225" s="233">
        <f t="shared" si="58"/>
        <v>9219659.8000000007</v>
      </c>
      <c r="AB225" s="233">
        <f t="shared" si="59"/>
        <v>9219659.8000000007</v>
      </c>
      <c r="AC225" s="238">
        <f t="shared" si="63"/>
        <v>9219659.8000000007</v>
      </c>
      <c r="AD225" s="238">
        <f t="shared" si="64"/>
        <v>46098299</v>
      </c>
      <c r="AE225" s="206">
        <f t="shared" si="65"/>
        <v>2013</v>
      </c>
      <c r="AF225" s="210">
        <f t="shared" si="66"/>
        <v>414884701</v>
      </c>
      <c r="AG225" s="48" t="e">
        <f t="shared" si="67"/>
        <v>#N/A</v>
      </c>
      <c r="AH225" s="48" t="e">
        <f>IF(AG225='KIB C'!AJ:AJ,"k",0)</f>
        <v>#N/A</v>
      </c>
    </row>
    <row r="226" spans="1:34" s="48" customFormat="1" ht="40.5" customHeight="1" x14ac:dyDescent="0.2">
      <c r="A226" s="295" t="s">
        <v>2302</v>
      </c>
      <c r="B226" s="73"/>
      <c r="C226" s="65" t="s">
        <v>2049</v>
      </c>
      <c r="D226" s="67" t="s">
        <v>1752</v>
      </c>
      <c r="E226" s="67" t="s">
        <v>1927</v>
      </c>
      <c r="F226" s="33" t="s">
        <v>43</v>
      </c>
      <c r="G226" s="40" t="s">
        <v>1786</v>
      </c>
      <c r="H226" s="40" t="s">
        <v>1934</v>
      </c>
      <c r="I226" s="40"/>
      <c r="J226" s="72" t="s">
        <v>2928</v>
      </c>
      <c r="K226" s="40">
        <v>2013</v>
      </c>
      <c r="L226" s="40" t="s">
        <v>2051</v>
      </c>
      <c r="M226" s="32"/>
      <c r="N226" s="33"/>
      <c r="O226" s="40"/>
      <c r="P226" s="32" t="s">
        <v>12</v>
      </c>
      <c r="Q226" s="252">
        <v>443827000</v>
      </c>
      <c r="R226" s="105"/>
      <c r="S226" s="206" t="str">
        <f t="shared" si="60"/>
        <v>3.11.01</v>
      </c>
      <c r="T226" s="207" t="str">
        <f t="shared" si="53"/>
        <v>BANGUNAN GEDUNG TEMPAT KERJA</v>
      </c>
      <c r="U226" s="207">
        <f t="shared" si="54"/>
        <v>50</v>
      </c>
      <c r="V226" s="233">
        <f t="shared" si="61"/>
        <v>8876539.8000000007</v>
      </c>
      <c r="W226" s="233">
        <f t="shared" si="62"/>
        <v>0</v>
      </c>
      <c r="X226" s="233">
        <f t="shared" si="55"/>
        <v>0</v>
      </c>
      <c r="Y226" s="233">
        <f t="shared" si="56"/>
        <v>8876539.8000000007</v>
      </c>
      <c r="Z226" s="233">
        <f t="shared" si="57"/>
        <v>8876539.8000000007</v>
      </c>
      <c r="AA226" s="233">
        <f t="shared" si="58"/>
        <v>8876539.8000000007</v>
      </c>
      <c r="AB226" s="233">
        <f t="shared" si="59"/>
        <v>8876539.8000000007</v>
      </c>
      <c r="AC226" s="238">
        <f t="shared" si="63"/>
        <v>8876539.8000000007</v>
      </c>
      <c r="AD226" s="238">
        <f t="shared" si="64"/>
        <v>44382699</v>
      </c>
      <c r="AE226" s="206">
        <f t="shared" si="65"/>
        <v>2013</v>
      </c>
      <c r="AF226" s="210">
        <f t="shared" si="66"/>
        <v>399444301</v>
      </c>
      <c r="AG226" s="48" t="e">
        <f t="shared" si="67"/>
        <v>#N/A</v>
      </c>
      <c r="AH226" s="48" t="e">
        <f>IF(AG226='KIB C'!AJ:AJ,"k",0)</f>
        <v>#N/A</v>
      </c>
    </row>
    <row r="227" spans="1:34" s="48" customFormat="1" ht="40.5" customHeight="1" x14ac:dyDescent="0.2">
      <c r="A227" s="295" t="s">
        <v>2302</v>
      </c>
      <c r="B227" s="73"/>
      <c r="C227" s="65" t="s">
        <v>2052</v>
      </c>
      <c r="D227" s="67" t="s">
        <v>1752</v>
      </c>
      <c r="E227" s="67" t="s">
        <v>2053</v>
      </c>
      <c r="F227" s="33" t="s">
        <v>43</v>
      </c>
      <c r="G227" s="40" t="s">
        <v>1786</v>
      </c>
      <c r="H227" s="40" t="s">
        <v>1934</v>
      </c>
      <c r="I227" s="40"/>
      <c r="J227" s="72" t="s">
        <v>2929</v>
      </c>
      <c r="K227" s="40">
        <v>2013</v>
      </c>
      <c r="L227" s="40" t="s">
        <v>2055</v>
      </c>
      <c r="M227" s="32"/>
      <c r="N227" s="33"/>
      <c r="O227" s="40"/>
      <c r="P227" s="32" t="s">
        <v>12</v>
      </c>
      <c r="Q227" s="252">
        <v>441644000</v>
      </c>
      <c r="R227" s="105"/>
      <c r="S227" s="206" t="str">
        <f t="shared" si="60"/>
        <v>3.11.01</v>
      </c>
      <c r="T227" s="207" t="str">
        <f t="shared" si="53"/>
        <v>BANGUNAN GEDUNG TEMPAT KERJA</v>
      </c>
      <c r="U227" s="207">
        <f t="shared" si="54"/>
        <v>50</v>
      </c>
      <c r="V227" s="233">
        <f t="shared" si="61"/>
        <v>8832879.8000000007</v>
      </c>
      <c r="W227" s="233">
        <f t="shared" si="62"/>
        <v>0</v>
      </c>
      <c r="X227" s="233">
        <f t="shared" si="55"/>
        <v>0</v>
      </c>
      <c r="Y227" s="233">
        <f t="shared" si="56"/>
        <v>8832879.8000000007</v>
      </c>
      <c r="Z227" s="233">
        <f t="shared" si="57"/>
        <v>8832879.8000000007</v>
      </c>
      <c r="AA227" s="233">
        <f t="shared" si="58"/>
        <v>8832879.8000000007</v>
      </c>
      <c r="AB227" s="233">
        <f t="shared" si="59"/>
        <v>8832879.8000000007</v>
      </c>
      <c r="AC227" s="238">
        <f t="shared" si="63"/>
        <v>8832879.8000000007</v>
      </c>
      <c r="AD227" s="238">
        <f t="shared" si="64"/>
        <v>44164399</v>
      </c>
      <c r="AE227" s="206">
        <f t="shared" si="65"/>
        <v>2013</v>
      </c>
      <c r="AF227" s="210">
        <f t="shared" si="66"/>
        <v>397479601</v>
      </c>
      <c r="AG227" s="48" t="e">
        <f t="shared" si="67"/>
        <v>#N/A</v>
      </c>
      <c r="AH227" s="48" t="e">
        <f>IF(AG227='KIB C'!AJ:AJ,"k",0)</f>
        <v>#N/A</v>
      </c>
    </row>
    <row r="228" spans="1:34" s="48" customFormat="1" ht="40.5" customHeight="1" x14ac:dyDescent="0.2">
      <c r="A228" s="295" t="s">
        <v>2302</v>
      </c>
      <c r="B228" s="73"/>
      <c r="C228" s="65" t="s">
        <v>2056</v>
      </c>
      <c r="D228" s="67" t="s">
        <v>2057</v>
      </c>
      <c r="E228" s="67" t="s">
        <v>39</v>
      </c>
      <c r="F228" s="33" t="s">
        <v>43</v>
      </c>
      <c r="G228" s="40" t="s">
        <v>1786</v>
      </c>
      <c r="H228" s="40" t="s">
        <v>1934</v>
      </c>
      <c r="I228" s="40"/>
      <c r="J228" s="72" t="s">
        <v>2930</v>
      </c>
      <c r="K228" s="40">
        <v>2013</v>
      </c>
      <c r="L228" s="40" t="s">
        <v>2059</v>
      </c>
      <c r="M228" s="32"/>
      <c r="N228" s="33"/>
      <c r="O228" s="40"/>
      <c r="P228" s="32" t="s">
        <v>12</v>
      </c>
      <c r="Q228" s="252">
        <v>1104682200</v>
      </c>
      <c r="R228" s="105"/>
      <c r="S228" s="206" t="str">
        <f t="shared" si="60"/>
        <v>3.11.01</v>
      </c>
      <c r="T228" s="207" t="str">
        <f t="shared" si="53"/>
        <v>BANGUNAN GEDUNG TEMPAT KERJA</v>
      </c>
      <c r="U228" s="207">
        <f t="shared" si="54"/>
        <v>50</v>
      </c>
      <c r="V228" s="233">
        <f t="shared" si="61"/>
        <v>22093643.800000001</v>
      </c>
      <c r="W228" s="233">
        <f t="shared" si="62"/>
        <v>0</v>
      </c>
      <c r="X228" s="233">
        <f t="shared" si="55"/>
        <v>0</v>
      </c>
      <c r="Y228" s="233">
        <f t="shared" si="56"/>
        <v>22093643.800000001</v>
      </c>
      <c r="Z228" s="233">
        <f t="shared" si="57"/>
        <v>22093643.800000001</v>
      </c>
      <c r="AA228" s="233">
        <f t="shared" si="58"/>
        <v>22093643.800000001</v>
      </c>
      <c r="AB228" s="233">
        <f t="shared" si="59"/>
        <v>22093643.800000001</v>
      </c>
      <c r="AC228" s="238">
        <f t="shared" si="63"/>
        <v>22093643.800000001</v>
      </c>
      <c r="AD228" s="238">
        <f t="shared" si="64"/>
        <v>110468219</v>
      </c>
      <c r="AE228" s="206">
        <f t="shared" si="65"/>
        <v>2013</v>
      </c>
      <c r="AF228" s="210">
        <f t="shared" si="66"/>
        <v>994213981</v>
      </c>
      <c r="AG228" s="48" t="str">
        <f t="shared" si="67"/>
        <v>K</v>
      </c>
    </row>
    <row r="229" spans="1:34" s="48" customFormat="1" ht="40.5" customHeight="1" x14ac:dyDescent="0.2">
      <c r="A229" s="295" t="s">
        <v>2302</v>
      </c>
      <c r="B229" s="73"/>
      <c r="C229" s="65" t="s">
        <v>2060</v>
      </c>
      <c r="D229" s="67" t="s">
        <v>2057</v>
      </c>
      <c r="E229" s="67" t="s">
        <v>68</v>
      </c>
      <c r="F229" s="33" t="s">
        <v>43</v>
      </c>
      <c r="G229" s="40" t="s">
        <v>1786</v>
      </c>
      <c r="H229" s="40" t="s">
        <v>1934</v>
      </c>
      <c r="I229" s="40"/>
      <c r="J229" s="72" t="s">
        <v>2912</v>
      </c>
      <c r="K229" s="40">
        <v>2013</v>
      </c>
      <c r="L229" s="40" t="s">
        <v>2061</v>
      </c>
      <c r="M229" s="32"/>
      <c r="N229" s="33"/>
      <c r="O229" s="40"/>
      <c r="P229" s="32" t="s">
        <v>12</v>
      </c>
      <c r="Q229" s="252">
        <v>1345290000</v>
      </c>
      <c r="R229" s="105"/>
      <c r="S229" s="206" t="str">
        <f t="shared" si="60"/>
        <v>3.11.01</v>
      </c>
      <c r="T229" s="207" t="str">
        <f t="shared" si="53"/>
        <v>BANGUNAN GEDUNG TEMPAT KERJA</v>
      </c>
      <c r="U229" s="207">
        <f t="shared" si="54"/>
        <v>50</v>
      </c>
      <c r="V229" s="233">
        <f t="shared" si="61"/>
        <v>26905799.800000001</v>
      </c>
      <c r="W229" s="233">
        <f t="shared" si="62"/>
        <v>0</v>
      </c>
      <c r="X229" s="233">
        <f t="shared" si="55"/>
        <v>0</v>
      </c>
      <c r="Y229" s="233">
        <f t="shared" si="56"/>
        <v>26905799.800000001</v>
      </c>
      <c r="Z229" s="233">
        <f t="shared" si="57"/>
        <v>26905799.800000001</v>
      </c>
      <c r="AA229" s="233">
        <f t="shared" si="58"/>
        <v>26905799.800000001</v>
      </c>
      <c r="AB229" s="233">
        <f t="shared" si="59"/>
        <v>26905799.800000001</v>
      </c>
      <c r="AC229" s="238">
        <f t="shared" si="63"/>
        <v>26905799.800000001</v>
      </c>
      <c r="AD229" s="238">
        <f t="shared" si="64"/>
        <v>134528999</v>
      </c>
      <c r="AE229" s="206">
        <f t="shared" si="65"/>
        <v>2013</v>
      </c>
      <c r="AF229" s="210">
        <f t="shared" si="66"/>
        <v>1210761001</v>
      </c>
      <c r="AG229" s="48" t="str">
        <f t="shared" si="67"/>
        <v>K</v>
      </c>
    </row>
    <row r="230" spans="1:34" s="48" customFormat="1" ht="40.5" customHeight="1" x14ac:dyDescent="0.2">
      <c r="A230" s="295" t="s">
        <v>2302</v>
      </c>
      <c r="B230" s="73"/>
      <c r="C230" s="65" t="s">
        <v>2062</v>
      </c>
      <c r="D230" s="67" t="s">
        <v>2057</v>
      </c>
      <c r="E230" s="67" t="s">
        <v>1765</v>
      </c>
      <c r="F230" s="33" t="s">
        <v>43</v>
      </c>
      <c r="G230" s="40" t="s">
        <v>1786</v>
      </c>
      <c r="H230" s="40" t="s">
        <v>1934</v>
      </c>
      <c r="I230" s="40"/>
      <c r="J230" s="72" t="s">
        <v>2931</v>
      </c>
      <c r="K230" s="40">
        <v>2013</v>
      </c>
      <c r="L230" s="40" t="s">
        <v>2064</v>
      </c>
      <c r="M230" s="32"/>
      <c r="N230" s="33"/>
      <c r="O230" s="40"/>
      <c r="P230" s="32" t="s">
        <v>12</v>
      </c>
      <c r="Q230" s="252">
        <v>1266610000</v>
      </c>
      <c r="R230" s="105"/>
      <c r="S230" s="206" t="str">
        <f t="shared" si="60"/>
        <v>3.11.01</v>
      </c>
      <c r="T230" s="207" t="str">
        <f t="shared" si="53"/>
        <v>BANGUNAN GEDUNG TEMPAT KERJA</v>
      </c>
      <c r="U230" s="207">
        <f t="shared" si="54"/>
        <v>50</v>
      </c>
      <c r="V230" s="233">
        <f t="shared" si="61"/>
        <v>25332199.800000001</v>
      </c>
      <c r="W230" s="233">
        <f t="shared" si="62"/>
        <v>0</v>
      </c>
      <c r="X230" s="233">
        <f t="shared" si="55"/>
        <v>0</v>
      </c>
      <c r="Y230" s="233">
        <f t="shared" si="56"/>
        <v>25332199.800000001</v>
      </c>
      <c r="Z230" s="233">
        <f t="shared" si="57"/>
        <v>25332199.800000001</v>
      </c>
      <c r="AA230" s="233">
        <f t="shared" si="58"/>
        <v>25332199.800000001</v>
      </c>
      <c r="AB230" s="233">
        <f t="shared" si="59"/>
        <v>25332199.800000001</v>
      </c>
      <c r="AC230" s="238">
        <f t="shared" si="63"/>
        <v>25332199.800000001</v>
      </c>
      <c r="AD230" s="238">
        <f t="shared" si="64"/>
        <v>126660999</v>
      </c>
      <c r="AE230" s="206">
        <f t="shared" si="65"/>
        <v>2013</v>
      </c>
      <c r="AF230" s="210">
        <f t="shared" si="66"/>
        <v>1139949001</v>
      </c>
      <c r="AG230" s="48" t="e">
        <f t="shared" si="67"/>
        <v>#N/A</v>
      </c>
      <c r="AH230" s="48" t="e">
        <f>IF(AG230='KIB C'!AJ:AJ,"k",0)</f>
        <v>#N/A</v>
      </c>
    </row>
    <row r="231" spans="1:34" s="48" customFormat="1" ht="40.5" customHeight="1" x14ac:dyDescent="0.2">
      <c r="A231" s="295" t="s">
        <v>2302</v>
      </c>
      <c r="B231" s="73"/>
      <c r="C231" s="65" t="s">
        <v>2065</v>
      </c>
      <c r="D231" s="67" t="s">
        <v>2057</v>
      </c>
      <c r="E231" s="67" t="s">
        <v>1768</v>
      </c>
      <c r="F231" s="33" t="s">
        <v>43</v>
      </c>
      <c r="G231" s="40" t="s">
        <v>1786</v>
      </c>
      <c r="H231" s="40" t="s">
        <v>1934</v>
      </c>
      <c r="I231" s="40"/>
      <c r="J231" s="72" t="s">
        <v>2915</v>
      </c>
      <c r="K231" s="40">
        <v>2013</v>
      </c>
      <c r="L231" s="40" t="s">
        <v>2066</v>
      </c>
      <c r="M231" s="32"/>
      <c r="N231" s="33"/>
      <c r="O231" s="40"/>
      <c r="P231" s="32" t="s">
        <v>12</v>
      </c>
      <c r="Q231" s="252">
        <v>994218140</v>
      </c>
      <c r="R231" s="105"/>
      <c r="S231" s="206" t="str">
        <f t="shared" si="60"/>
        <v>3.11.01</v>
      </c>
      <c r="T231" s="207" t="str">
        <f t="shared" si="53"/>
        <v>BANGUNAN GEDUNG TEMPAT KERJA</v>
      </c>
      <c r="U231" s="207">
        <f t="shared" si="54"/>
        <v>50</v>
      </c>
      <c r="V231" s="233">
        <f t="shared" si="61"/>
        <v>19884362.600000001</v>
      </c>
      <c r="W231" s="233">
        <f t="shared" si="62"/>
        <v>0</v>
      </c>
      <c r="X231" s="233">
        <f t="shared" si="55"/>
        <v>0</v>
      </c>
      <c r="Y231" s="233">
        <f t="shared" si="56"/>
        <v>19884362.600000001</v>
      </c>
      <c r="Z231" s="233">
        <f t="shared" si="57"/>
        <v>19884362.600000001</v>
      </c>
      <c r="AA231" s="233">
        <f t="shared" si="58"/>
        <v>19884362.600000001</v>
      </c>
      <c r="AB231" s="233">
        <f t="shared" si="59"/>
        <v>19884362.600000001</v>
      </c>
      <c r="AC231" s="238">
        <f t="shared" si="63"/>
        <v>19884362.600000001</v>
      </c>
      <c r="AD231" s="238">
        <f t="shared" si="64"/>
        <v>99421813</v>
      </c>
      <c r="AE231" s="206">
        <f t="shared" si="65"/>
        <v>2013</v>
      </c>
      <c r="AF231" s="210">
        <f t="shared" si="66"/>
        <v>894796327</v>
      </c>
      <c r="AG231" s="48" t="str">
        <f t="shared" si="67"/>
        <v>K</v>
      </c>
    </row>
    <row r="232" spans="1:34" s="48" customFormat="1" ht="40.5" customHeight="1" x14ac:dyDescent="0.2">
      <c r="A232" s="295" t="s">
        <v>2302</v>
      </c>
      <c r="B232" s="73"/>
      <c r="C232" s="65" t="s">
        <v>2067</v>
      </c>
      <c r="D232" s="67" t="s">
        <v>1752</v>
      </c>
      <c r="E232" s="67" t="s">
        <v>2053</v>
      </c>
      <c r="F232" s="33" t="s">
        <v>43</v>
      </c>
      <c r="G232" s="40" t="s">
        <v>1786</v>
      </c>
      <c r="H232" s="40" t="s">
        <v>1934</v>
      </c>
      <c r="I232" s="40"/>
      <c r="J232" s="72" t="s">
        <v>2932</v>
      </c>
      <c r="K232" s="40">
        <v>2013</v>
      </c>
      <c r="L232" s="40" t="s">
        <v>2069</v>
      </c>
      <c r="M232" s="32"/>
      <c r="N232" s="33"/>
      <c r="O232" s="40"/>
      <c r="P232" s="32" t="s">
        <v>12</v>
      </c>
      <c r="Q232" s="252">
        <v>446691730.21282196</v>
      </c>
      <c r="R232" s="105"/>
      <c r="S232" s="206" t="str">
        <f t="shared" si="60"/>
        <v>3.11.01</v>
      </c>
      <c r="T232" s="207" t="str">
        <f t="shared" si="53"/>
        <v>BANGUNAN GEDUNG TEMPAT KERJA</v>
      </c>
      <c r="U232" s="207">
        <f t="shared" si="54"/>
        <v>50</v>
      </c>
      <c r="V232" s="233">
        <f t="shared" si="61"/>
        <v>8933834.4042564388</v>
      </c>
      <c r="W232" s="233">
        <f t="shared" si="62"/>
        <v>0</v>
      </c>
      <c r="X232" s="233">
        <f t="shared" si="55"/>
        <v>0</v>
      </c>
      <c r="Y232" s="233">
        <f t="shared" si="56"/>
        <v>8933834.4042564388</v>
      </c>
      <c r="Z232" s="233">
        <f t="shared" si="57"/>
        <v>8933834.4042564388</v>
      </c>
      <c r="AA232" s="233">
        <f t="shared" si="58"/>
        <v>8933834.4042564388</v>
      </c>
      <c r="AB232" s="233">
        <f t="shared" si="59"/>
        <v>8933834.4042564388</v>
      </c>
      <c r="AC232" s="238">
        <f t="shared" si="63"/>
        <v>8933834.4042564388</v>
      </c>
      <c r="AD232" s="238">
        <f t="shared" si="64"/>
        <v>44669172.021282196</v>
      </c>
      <c r="AE232" s="206">
        <f t="shared" si="65"/>
        <v>2013</v>
      </c>
      <c r="AF232" s="210">
        <f t="shared" si="66"/>
        <v>402022558.19153976</v>
      </c>
      <c r="AG232" s="48" t="e">
        <f t="shared" si="67"/>
        <v>#N/A</v>
      </c>
      <c r="AH232" s="48" t="e">
        <f>IF(AG232='KIB C'!AJ:AJ,"k",0)</f>
        <v>#N/A</v>
      </c>
    </row>
    <row r="233" spans="1:34" s="48" customFormat="1" ht="40.5" customHeight="1" x14ac:dyDescent="0.2">
      <c r="A233" s="295" t="s">
        <v>2302</v>
      </c>
      <c r="B233" s="73"/>
      <c r="C233" s="65" t="s">
        <v>2070</v>
      </c>
      <c r="D233" s="67" t="s">
        <v>1752</v>
      </c>
      <c r="E233" s="67" t="s">
        <v>2071</v>
      </c>
      <c r="F233" s="33" t="s">
        <v>43</v>
      </c>
      <c r="G233" s="40" t="s">
        <v>1786</v>
      </c>
      <c r="H233" s="40" t="s">
        <v>1934</v>
      </c>
      <c r="I233" s="40"/>
      <c r="J233" s="72" t="s">
        <v>2933</v>
      </c>
      <c r="K233" s="40">
        <v>2013</v>
      </c>
      <c r="L233" s="40" t="s">
        <v>2073</v>
      </c>
      <c r="M233" s="32"/>
      <c r="N233" s="33"/>
      <c r="O233" s="40"/>
      <c r="P233" s="32" t="s">
        <v>12</v>
      </c>
      <c r="Q233" s="252">
        <v>452117524.85524189</v>
      </c>
      <c r="R233" s="105"/>
      <c r="S233" s="206" t="str">
        <f t="shared" si="60"/>
        <v>3.11.01</v>
      </c>
      <c r="T233" s="207" t="str">
        <f t="shared" si="53"/>
        <v>BANGUNAN GEDUNG TEMPAT KERJA</v>
      </c>
      <c r="U233" s="207">
        <f t="shared" si="54"/>
        <v>50</v>
      </c>
      <c r="V233" s="233">
        <f t="shared" si="61"/>
        <v>9042350.2971048374</v>
      </c>
      <c r="W233" s="233">
        <f t="shared" si="62"/>
        <v>0</v>
      </c>
      <c r="X233" s="233">
        <f t="shared" si="55"/>
        <v>0</v>
      </c>
      <c r="Y233" s="233">
        <f t="shared" si="56"/>
        <v>9042350.2971048374</v>
      </c>
      <c r="Z233" s="233">
        <f t="shared" si="57"/>
        <v>9042350.2971048374</v>
      </c>
      <c r="AA233" s="233">
        <f t="shared" si="58"/>
        <v>9042350.2971048374</v>
      </c>
      <c r="AB233" s="233">
        <f t="shared" si="59"/>
        <v>9042350.2971048374</v>
      </c>
      <c r="AC233" s="238">
        <f t="shared" si="63"/>
        <v>9042350.2971048374</v>
      </c>
      <c r="AD233" s="238">
        <f t="shared" si="64"/>
        <v>45211751.485524185</v>
      </c>
      <c r="AE233" s="206">
        <f t="shared" si="65"/>
        <v>2013</v>
      </c>
      <c r="AF233" s="210">
        <f t="shared" si="66"/>
        <v>406905773.36971772</v>
      </c>
      <c r="AG233" s="48" t="e">
        <f t="shared" si="67"/>
        <v>#N/A</v>
      </c>
      <c r="AH233" s="48" t="e">
        <f>IF(AG233='KIB C'!AJ:AJ,"k",0)</f>
        <v>#N/A</v>
      </c>
    </row>
    <row r="234" spans="1:34" s="48" customFormat="1" ht="40.5" customHeight="1" x14ac:dyDescent="0.2">
      <c r="A234" s="295" t="s">
        <v>2302</v>
      </c>
      <c r="B234" s="73"/>
      <c r="C234" s="65" t="s">
        <v>2074</v>
      </c>
      <c r="D234" s="67" t="s">
        <v>1752</v>
      </c>
      <c r="E234" s="67" t="s">
        <v>2075</v>
      </c>
      <c r="F234" s="33" t="s">
        <v>43</v>
      </c>
      <c r="G234" s="40" t="s">
        <v>1786</v>
      </c>
      <c r="H234" s="40" t="s">
        <v>1934</v>
      </c>
      <c r="I234" s="40"/>
      <c r="J234" s="72" t="s">
        <v>2934</v>
      </c>
      <c r="K234" s="40">
        <v>2013</v>
      </c>
      <c r="L234" s="40" t="s">
        <v>2077</v>
      </c>
      <c r="M234" s="32"/>
      <c r="N234" s="33"/>
      <c r="O234" s="40"/>
      <c r="P234" s="32" t="s">
        <v>12</v>
      </c>
      <c r="Q234" s="252">
        <v>437203744.93193614</v>
      </c>
      <c r="R234" s="105"/>
      <c r="S234" s="206" t="str">
        <f t="shared" si="60"/>
        <v>3.11.01</v>
      </c>
      <c r="T234" s="207" t="str">
        <f t="shared" si="53"/>
        <v>BANGUNAN GEDUNG TEMPAT KERJA</v>
      </c>
      <c r="U234" s="207">
        <f t="shared" si="54"/>
        <v>50</v>
      </c>
      <c r="V234" s="233">
        <f t="shared" si="61"/>
        <v>8744074.6986387223</v>
      </c>
      <c r="W234" s="233">
        <f t="shared" si="62"/>
        <v>0</v>
      </c>
      <c r="X234" s="233">
        <f t="shared" si="55"/>
        <v>0</v>
      </c>
      <c r="Y234" s="233">
        <f t="shared" si="56"/>
        <v>8744074.6986387223</v>
      </c>
      <c r="Z234" s="233">
        <f t="shared" si="57"/>
        <v>8744074.6986387223</v>
      </c>
      <c r="AA234" s="233">
        <f t="shared" si="58"/>
        <v>8744074.6986387223</v>
      </c>
      <c r="AB234" s="233">
        <f t="shared" si="59"/>
        <v>8744074.6986387223</v>
      </c>
      <c r="AC234" s="238">
        <f t="shared" si="63"/>
        <v>8744074.6986387223</v>
      </c>
      <c r="AD234" s="238">
        <f t="shared" si="64"/>
        <v>43720373.493193612</v>
      </c>
      <c r="AE234" s="206">
        <f t="shared" si="65"/>
        <v>2013</v>
      </c>
      <c r="AF234" s="210">
        <f t="shared" si="66"/>
        <v>393483371.43874252</v>
      </c>
      <c r="AG234" s="48" t="e">
        <f t="shared" si="67"/>
        <v>#N/A</v>
      </c>
      <c r="AH234" s="48" t="e">
        <f>IF(AG234='KIB C'!AJ:AJ,"k",0)</f>
        <v>#N/A</v>
      </c>
    </row>
    <row r="235" spans="1:34" s="48" customFormat="1" ht="40.5" customHeight="1" x14ac:dyDescent="0.2">
      <c r="A235" s="295" t="s">
        <v>2302</v>
      </c>
      <c r="B235" s="73"/>
      <c r="C235" s="65" t="s">
        <v>2078</v>
      </c>
      <c r="D235" s="67" t="s">
        <v>1752</v>
      </c>
      <c r="E235" s="67" t="s">
        <v>2079</v>
      </c>
      <c r="F235" s="33" t="s">
        <v>43</v>
      </c>
      <c r="G235" s="40" t="s">
        <v>1786</v>
      </c>
      <c r="H235" s="40" t="s">
        <v>1934</v>
      </c>
      <c r="I235" s="40"/>
      <c r="J235" s="72" t="s">
        <v>2935</v>
      </c>
      <c r="K235" s="40">
        <v>2013</v>
      </c>
      <c r="L235" s="40" t="s">
        <v>2081</v>
      </c>
      <c r="M235" s="32"/>
      <c r="N235" s="33"/>
      <c r="O235" s="40"/>
      <c r="P235" s="32" t="s">
        <v>12</v>
      </c>
      <c r="Q235" s="252">
        <v>438372000</v>
      </c>
      <c r="R235" s="105"/>
      <c r="S235" s="206" t="str">
        <f t="shared" si="60"/>
        <v>3.11.01</v>
      </c>
      <c r="T235" s="207" t="str">
        <f t="shared" si="53"/>
        <v>BANGUNAN GEDUNG TEMPAT KERJA</v>
      </c>
      <c r="U235" s="207">
        <f t="shared" si="54"/>
        <v>50</v>
      </c>
      <c r="V235" s="233">
        <f t="shared" si="61"/>
        <v>8767439.8000000007</v>
      </c>
      <c r="W235" s="233">
        <f t="shared" si="62"/>
        <v>0</v>
      </c>
      <c r="X235" s="233">
        <f t="shared" si="55"/>
        <v>0</v>
      </c>
      <c r="Y235" s="233">
        <f t="shared" si="56"/>
        <v>8767439.8000000007</v>
      </c>
      <c r="Z235" s="233">
        <f t="shared" si="57"/>
        <v>8767439.8000000007</v>
      </c>
      <c r="AA235" s="233">
        <f t="shared" si="58"/>
        <v>8767439.8000000007</v>
      </c>
      <c r="AB235" s="233">
        <f t="shared" si="59"/>
        <v>8767439.8000000007</v>
      </c>
      <c r="AC235" s="238">
        <f t="shared" si="63"/>
        <v>8767439.8000000007</v>
      </c>
      <c r="AD235" s="238">
        <f t="shared" si="64"/>
        <v>43837199</v>
      </c>
      <c r="AE235" s="206">
        <f t="shared" si="65"/>
        <v>2013</v>
      </c>
      <c r="AF235" s="210">
        <f t="shared" si="66"/>
        <v>394534801</v>
      </c>
      <c r="AG235" s="48" t="e">
        <f t="shared" si="67"/>
        <v>#N/A</v>
      </c>
      <c r="AH235" s="48" t="e">
        <f>IF(AG235='KIB C'!AJ:AJ,"k",0)</f>
        <v>#N/A</v>
      </c>
    </row>
    <row r="236" spans="1:34" s="48" customFormat="1" ht="40.5" customHeight="1" x14ac:dyDescent="0.2">
      <c r="A236" s="295" t="s">
        <v>2302</v>
      </c>
      <c r="B236" s="73"/>
      <c r="C236" s="65" t="s">
        <v>2082</v>
      </c>
      <c r="D236" s="67" t="s">
        <v>1752</v>
      </c>
      <c r="E236" s="67" t="s">
        <v>2083</v>
      </c>
      <c r="F236" s="33" t="s">
        <v>43</v>
      </c>
      <c r="G236" s="40" t="s">
        <v>1786</v>
      </c>
      <c r="H236" s="40" t="s">
        <v>1934</v>
      </c>
      <c r="I236" s="40"/>
      <c r="J236" s="72" t="s">
        <v>2930</v>
      </c>
      <c r="K236" s="40">
        <v>2013</v>
      </c>
      <c r="L236" s="40" t="s">
        <v>2084</v>
      </c>
      <c r="M236" s="32"/>
      <c r="N236" s="33"/>
      <c r="O236" s="40"/>
      <c r="P236" s="32" t="s">
        <v>12</v>
      </c>
      <c r="Q236" s="252">
        <v>480245000</v>
      </c>
      <c r="R236" s="105"/>
      <c r="S236" s="206" t="str">
        <f t="shared" si="60"/>
        <v>3.11.01</v>
      </c>
      <c r="T236" s="207" t="str">
        <f t="shared" si="53"/>
        <v>BANGUNAN GEDUNG TEMPAT KERJA</v>
      </c>
      <c r="U236" s="207">
        <f t="shared" si="54"/>
        <v>50</v>
      </c>
      <c r="V236" s="233">
        <f t="shared" si="61"/>
        <v>9604899.8000000007</v>
      </c>
      <c r="W236" s="233">
        <f t="shared" si="62"/>
        <v>0</v>
      </c>
      <c r="X236" s="233">
        <f t="shared" si="55"/>
        <v>0</v>
      </c>
      <c r="Y236" s="233">
        <f t="shared" si="56"/>
        <v>9604899.8000000007</v>
      </c>
      <c r="Z236" s="233">
        <f t="shared" si="57"/>
        <v>9604899.8000000007</v>
      </c>
      <c r="AA236" s="233">
        <f t="shared" si="58"/>
        <v>9604899.8000000007</v>
      </c>
      <c r="AB236" s="233">
        <f t="shared" si="59"/>
        <v>9604899.8000000007</v>
      </c>
      <c r="AC236" s="238">
        <f t="shared" si="63"/>
        <v>9604899.8000000007</v>
      </c>
      <c r="AD236" s="238">
        <f t="shared" si="64"/>
        <v>48024499</v>
      </c>
      <c r="AE236" s="206">
        <f t="shared" si="65"/>
        <v>2013</v>
      </c>
      <c r="AF236" s="210">
        <f t="shared" si="66"/>
        <v>432220501</v>
      </c>
      <c r="AG236" s="48" t="e">
        <f t="shared" si="67"/>
        <v>#N/A</v>
      </c>
      <c r="AH236" s="48" t="e">
        <f>IF(AG236='KIB C'!AJ:AJ,"k",0)</f>
        <v>#N/A</v>
      </c>
    </row>
    <row r="237" spans="1:34" s="48" customFormat="1" ht="40.5" customHeight="1" x14ac:dyDescent="0.2">
      <c r="A237" s="295" t="s">
        <v>2302</v>
      </c>
      <c r="B237" s="73"/>
      <c r="C237" s="65" t="s">
        <v>2085</v>
      </c>
      <c r="D237" s="67" t="s">
        <v>1752</v>
      </c>
      <c r="E237" s="67" t="s">
        <v>2086</v>
      </c>
      <c r="F237" s="33" t="s">
        <v>43</v>
      </c>
      <c r="G237" s="40" t="s">
        <v>1786</v>
      </c>
      <c r="H237" s="40" t="s">
        <v>1934</v>
      </c>
      <c r="I237" s="40"/>
      <c r="J237" s="72" t="s">
        <v>2936</v>
      </c>
      <c r="K237" s="40">
        <v>2013</v>
      </c>
      <c r="L237" s="40" t="s">
        <v>2087</v>
      </c>
      <c r="M237" s="32"/>
      <c r="N237" s="33"/>
      <c r="O237" s="40"/>
      <c r="P237" s="32" t="s">
        <v>12</v>
      </c>
      <c r="Q237" s="252">
        <v>426541000</v>
      </c>
      <c r="R237" s="105"/>
      <c r="S237" s="206" t="str">
        <f t="shared" si="60"/>
        <v>3.11.01</v>
      </c>
      <c r="T237" s="207" t="str">
        <f t="shared" si="53"/>
        <v>BANGUNAN GEDUNG TEMPAT KERJA</v>
      </c>
      <c r="U237" s="207">
        <f t="shared" si="54"/>
        <v>50</v>
      </c>
      <c r="V237" s="233">
        <f t="shared" si="61"/>
        <v>8530819.8000000007</v>
      </c>
      <c r="W237" s="233">
        <f t="shared" si="62"/>
        <v>0</v>
      </c>
      <c r="X237" s="233">
        <f t="shared" si="55"/>
        <v>0</v>
      </c>
      <c r="Y237" s="233">
        <f t="shared" si="56"/>
        <v>8530819.8000000007</v>
      </c>
      <c r="Z237" s="233">
        <f t="shared" si="57"/>
        <v>8530819.8000000007</v>
      </c>
      <c r="AA237" s="233">
        <f t="shared" si="58"/>
        <v>8530819.8000000007</v>
      </c>
      <c r="AB237" s="233">
        <f t="shared" si="59"/>
        <v>8530819.8000000007</v>
      </c>
      <c r="AC237" s="238">
        <f t="shared" si="63"/>
        <v>8530819.8000000007</v>
      </c>
      <c r="AD237" s="238">
        <f t="shared" si="64"/>
        <v>42654099</v>
      </c>
      <c r="AE237" s="206">
        <f t="shared" si="65"/>
        <v>2013</v>
      </c>
      <c r="AF237" s="210">
        <f t="shared" si="66"/>
        <v>383886901</v>
      </c>
      <c r="AG237" s="48" t="str">
        <f t="shared" si="67"/>
        <v>K</v>
      </c>
    </row>
    <row r="238" spans="1:34" s="48" customFormat="1" ht="40.5" customHeight="1" x14ac:dyDescent="0.2">
      <c r="A238" s="295" t="s">
        <v>2302</v>
      </c>
      <c r="B238" s="73"/>
      <c r="C238" s="65" t="s">
        <v>2088</v>
      </c>
      <c r="D238" s="67" t="s">
        <v>1752</v>
      </c>
      <c r="E238" s="67" t="s">
        <v>2089</v>
      </c>
      <c r="F238" s="33" t="s">
        <v>43</v>
      </c>
      <c r="G238" s="40" t="s">
        <v>1786</v>
      </c>
      <c r="H238" s="40" t="s">
        <v>1934</v>
      </c>
      <c r="I238" s="40"/>
      <c r="J238" s="72" t="s">
        <v>2614</v>
      </c>
      <c r="K238" s="40">
        <v>2013</v>
      </c>
      <c r="L238" s="40" t="s">
        <v>2090</v>
      </c>
      <c r="M238" s="32"/>
      <c r="N238" s="33"/>
      <c r="O238" s="40"/>
      <c r="P238" s="32" t="s">
        <v>12</v>
      </c>
      <c r="Q238" s="252">
        <v>1435037000</v>
      </c>
      <c r="R238" s="105"/>
      <c r="S238" s="206" t="str">
        <f t="shared" si="60"/>
        <v>3.11.01</v>
      </c>
      <c r="T238" s="207" t="str">
        <f t="shared" si="53"/>
        <v>BANGUNAN GEDUNG TEMPAT KERJA</v>
      </c>
      <c r="U238" s="207">
        <f t="shared" si="54"/>
        <v>50</v>
      </c>
      <c r="V238" s="233">
        <f t="shared" si="61"/>
        <v>28700739.800000001</v>
      </c>
      <c r="W238" s="233">
        <f t="shared" si="62"/>
        <v>0</v>
      </c>
      <c r="X238" s="233">
        <f t="shared" si="55"/>
        <v>0</v>
      </c>
      <c r="Y238" s="233">
        <f t="shared" si="56"/>
        <v>28700739.800000001</v>
      </c>
      <c r="Z238" s="233">
        <f t="shared" si="57"/>
        <v>28700739.800000001</v>
      </c>
      <c r="AA238" s="233">
        <f t="shared" si="58"/>
        <v>28700739.800000001</v>
      </c>
      <c r="AB238" s="233">
        <f t="shared" si="59"/>
        <v>28700739.800000001</v>
      </c>
      <c r="AC238" s="238">
        <f t="shared" si="63"/>
        <v>28700739.800000001</v>
      </c>
      <c r="AD238" s="238">
        <f t="shared" si="64"/>
        <v>143503699</v>
      </c>
      <c r="AE238" s="206">
        <f t="shared" si="65"/>
        <v>2013</v>
      </c>
      <c r="AF238" s="210">
        <f t="shared" si="66"/>
        <v>1291533301</v>
      </c>
      <c r="AG238" s="48" t="str">
        <f t="shared" si="67"/>
        <v>K</v>
      </c>
    </row>
    <row r="239" spans="1:34" s="48" customFormat="1" ht="40.5" customHeight="1" x14ac:dyDescent="0.2">
      <c r="A239" s="295" t="s">
        <v>2302</v>
      </c>
      <c r="B239" s="73"/>
      <c r="C239" s="65" t="s">
        <v>2091</v>
      </c>
      <c r="D239" s="67" t="s">
        <v>2092</v>
      </c>
      <c r="E239" s="67" t="s">
        <v>39</v>
      </c>
      <c r="F239" s="33" t="s">
        <v>43</v>
      </c>
      <c r="G239" s="40" t="s">
        <v>1786</v>
      </c>
      <c r="H239" s="40" t="s">
        <v>1934</v>
      </c>
      <c r="I239" s="40"/>
      <c r="J239" s="72" t="s">
        <v>2614</v>
      </c>
      <c r="K239" s="40">
        <v>2013</v>
      </c>
      <c r="L239" s="40" t="s">
        <v>2093</v>
      </c>
      <c r="M239" s="32"/>
      <c r="N239" s="33"/>
      <c r="O239" s="40"/>
      <c r="P239" s="32" t="s">
        <v>12</v>
      </c>
      <c r="Q239" s="252">
        <v>2350180000</v>
      </c>
      <c r="R239" s="105"/>
      <c r="S239" s="206" t="str">
        <f t="shared" si="60"/>
        <v>3.11.01</v>
      </c>
      <c r="T239" s="207" t="str">
        <f t="shared" si="53"/>
        <v>BANGUNAN GEDUNG TEMPAT KERJA</v>
      </c>
      <c r="U239" s="207">
        <f t="shared" si="54"/>
        <v>50</v>
      </c>
      <c r="V239" s="233">
        <f t="shared" si="61"/>
        <v>47003599.799999997</v>
      </c>
      <c r="W239" s="233">
        <f t="shared" si="62"/>
        <v>0</v>
      </c>
      <c r="X239" s="233">
        <f t="shared" si="55"/>
        <v>0</v>
      </c>
      <c r="Y239" s="233">
        <f t="shared" si="56"/>
        <v>47003599.799999997</v>
      </c>
      <c r="Z239" s="233">
        <f t="shared" si="57"/>
        <v>47003599.799999997</v>
      </c>
      <c r="AA239" s="233">
        <f t="shared" si="58"/>
        <v>47003599.799999997</v>
      </c>
      <c r="AB239" s="233">
        <f t="shared" si="59"/>
        <v>47003599.799999997</v>
      </c>
      <c r="AC239" s="238">
        <f t="shared" si="63"/>
        <v>47003599.799999997</v>
      </c>
      <c r="AD239" s="238">
        <f t="shared" si="64"/>
        <v>235017999</v>
      </c>
      <c r="AE239" s="206">
        <f t="shared" si="65"/>
        <v>2013</v>
      </c>
      <c r="AF239" s="210">
        <f t="shared" si="66"/>
        <v>2115162001</v>
      </c>
      <c r="AG239" s="48" t="str">
        <f t="shared" si="67"/>
        <v>K</v>
      </c>
    </row>
    <row r="240" spans="1:34" s="48" customFormat="1" ht="40.5" customHeight="1" x14ac:dyDescent="0.2">
      <c r="A240" s="295" t="s">
        <v>2302</v>
      </c>
      <c r="B240" s="73"/>
      <c r="C240" s="65" t="s">
        <v>2094</v>
      </c>
      <c r="D240" s="67" t="s">
        <v>2092</v>
      </c>
      <c r="E240" s="67" t="s">
        <v>68</v>
      </c>
      <c r="F240" s="33" t="s">
        <v>43</v>
      </c>
      <c r="G240" s="40" t="s">
        <v>1786</v>
      </c>
      <c r="H240" s="40" t="s">
        <v>1934</v>
      </c>
      <c r="I240" s="40"/>
      <c r="J240" s="72" t="s">
        <v>2937</v>
      </c>
      <c r="K240" s="40">
        <v>2013</v>
      </c>
      <c r="L240" s="40" t="s">
        <v>2096</v>
      </c>
      <c r="M240" s="32"/>
      <c r="N240" s="33"/>
      <c r="O240" s="40"/>
      <c r="P240" s="32" t="s">
        <v>12</v>
      </c>
      <c r="Q240" s="252">
        <v>213424296.579411</v>
      </c>
      <c r="R240" s="105"/>
      <c r="S240" s="206" t="str">
        <f t="shared" si="60"/>
        <v>3.11.01</v>
      </c>
      <c r="T240" s="207" t="str">
        <f t="shared" si="53"/>
        <v>BANGUNAN GEDUNG TEMPAT KERJA</v>
      </c>
      <c r="U240" s="207">
        <f t="shared" si="54"/>
        <v>50</v>
      </c>
      <c r="V240" s="233">
        <f t="shared" si="61"/>
        <v>4268485.7315882202</v>
      </c>
      <c r="W240" s="233">
        <f t="shared" si="62"/>
        <v>0</v>
      </c>
      <c r="X240" s="233">
        <f t="shared" si="55"/>
        <v>0</v>
      </c>
      <c r="Y240" s="233">
        <f t="shared" si="56"/>
        <v>4268485.7315882202</v>
      </c>
      <c r="Z240" s="233">
        <f t="shared" si="57"/>
        <v>4268485.7315882202</v>
      </c>
      <c r="AA240" s="233">
        <f t="shared" si="58"/>
        <v>4268485.7315882202</v>
      </c>
      <c r="AB240" s="233">
        <f t="shared" si="59"/>
        <v>4268485.7315882202</v>
      </c>
      <c r="AC240" s="238">
        <f t="shared" si="63"/>
        <v>4268485.7315882202</v>
      </c>
      <c r="AD240" s="238">
        <f t="shared" si="64"/>
        <v>21342428.657941103</v>
      </c>
      <c r="AE240" s="206">
        <f t="shared" si="65"/>
        <v>2013</v>
      </c>
      <c r="AF240" s="210">
        <f t="shared" si="66"/>
        <v>192081867.9214699</v>
      </c>
      <c r="AG240" s="48" t="e">
        <f t="shared" si="67"/>
        <v>#N/A</v>
      </c>
      <c r="AH240" s="48" t="e">
        <f>IF(AG240='KIB C'!AJ:AJ,"k",0)</f>
        <v>#N/A</v>
      </c>
    </row>
    <row r="241" spans="1:34" s="48" customFormat="1" ht="40.5" customHeight="1" x14ac:dyDescent="0.2">
      <c r="A241" s="295" t="s">
        <v>2302</v>
      </c>
      <c r="B241" s="73"/>
      <c r="C241" s="65" t="s">
        <v>2097</v>
      </c>
      <c r="D241" s="67" t="s">
        <v>2092</v>
      </c>
      <c r="E241" s="67" t="s">
        <v>1765</v>
      </c>
      <c r="F241" s="33" t="s">
        <v>43</v>
      </c>
      <c r="G241" s="40" t="s">
        <v>1786</v>
      </c>
      <c r="H241" s="40" t="s">
        <v>1934</v>
      </c>
      <c r="I241" s="40"/>
      <c r="J241" s="72" t="s">
        <v>2938</v>
      </c>
      <c r="K241" s="40">
        <v>2013</v>
      </c>
      <c r="L241" s="40" t="s">
        <v>2099</v>
      </c>
      <c r="M241" s="32"/>
      <c r="N241" s="33"/>
      <c r="O241" s="40"/>
      <c r="P241" s="32" t="s">
        <v>12</v>
      </c>
      <c r="Q241" s="252">
        <v>213172925.403359</v>
      </c>
      <c r="R241" s="105"/>
      <c r="S241" s="206" t="str">
        <f t="shared" si="60"/>
        <v>3.11.01</v>
      </c>
      <c r="T241" s="207" t="str">
        <f t="shared" si="53"/>
        <v>BANGUNAN GEDUNG TEMPAT KERJA</v>
      </c>
      <c r="U241" s="207">
        <f t="shared" si="54"/>
        <v>50</v>
      </c>
      <c r="V241" s="233">
        <f t="shared" si="61"/>
        <v>4263458.3080671802</v>
      </c>
      <c r="W241" s="233">
        <f t="shared" si="62"/>
        <v>0</v>
      </c>
      <c r="X241" s="233">
        <f t="shared" si="55"/>
        <v>0</v>
      </c>
      <c r="Y241" s="233">
        <f t="shared" si="56"/>
        <v>4263458.3080671802</v>
      </c>
      <c r="Z241" s="233">
        <f t="shared" si="57"/>
        <v>4263458.3080671802</v>
      </c>
      <c r="AA241" s="233">
        <f t="shared" si="58"/>
        <v>4263458.3080671802</v>
      </c>
      <c r="AB241" s="233">
        <f t="shared" si="59"/>
        <v>4263458.3080671802</v>
      </c>
      <c r="AC241" s="238">
        <f t="shared" si="63"/>
        <v>4263458.3080671802</v>
      </c>
      <c r="AD241" s="238">
        <f t="shared" si="64"/>
        <v>21317291.540335901</v>
      </c>
      <c r="AE241" s="206">
        <f t="shared" si="65"/>
        <v>2013</v>
      </c>
      <c r="AF241" s="210">
        <f t="shared" si="66"/>
        <v>191855633.8630231</v>
      </c>
      <c r="AG241" s="48" t="e">
        <f t="shared" si="67"/>
        <v>#N/A</v>
      </c>
      <c r="AH241" s="48" t="e">
        <f>IF(AG241='KIB C'!AJ:AJ,"k",0)</f>
        <v>#N/A</v>
      </c>
    </row>
    <row r="242" spans="1:34" s="48" customFormat="1" ht="40.5" customHeight="1" x14ac:dyDescent="0.2">
      <c r="A242" s="295" t="s">
        <v>2302</v>
      </c>
      <c r="B242" s="73"/>
      <c r="C242" s="65" t="s">
        <v>2100</v>
      </c>
      <c r="D242" s="67" t="s">
        <v>2092</v>
      </c>
      <c r="E242" s="67" t="s">
        <v>1768</v>
      </c>
      <c r="F242" s="33" t="s">
        <v>43</v>
      </c>
      <c r="G242" s="40" t="s">
        <v>1786</v>
      </c>
      <c r="H242" s="40" t="s">
        <v>1934</v>
      </c>
      <c r="I242" s="40"/>
      <c r="J242" s="72" t="s">
        <v>2939</v>
      </c>
      <c r="K242" s="40">
        <v>2013</v>
      </c>
      <c r="L242" s="40" t="s">
        <v>2102</v>
      </c>
      <c r="M242" s="32"/>
      <c r="N242" s="33"/>
      <c r="O242" s="40"/>
      <c r="P242" s="32" t="s">
        <v>12</v>
      </c>
      <c r="Q242" s="252">
        <v>213314778.01723</v>
      </c>
      <c r="R242" s="105"/>
      <c r="S242" s="206" t="str">
        <f t="shared" si="60"/>
        <v>3.11.01</v>
      </c>
      <c r="T242" s="207" t="str">
        <f t="shared" si="53"/>
        <v>BANGUNAN GEDUNG TEMPAT KERJA</v>
      </c>
      <c r="U242" s="207">
        <f t="shared" si="54"/>
        <v>50</v>
      </c>
      <c r="V242" s="233">
        <f t="shared" si="61"/>
        <v>4266295.3603445999</v>
      </c>
      <c r="W242" s="233">
        <f t="shared" si="62"/>
        <v>0</v>
      </c>
      <c r="X242" s="233">
        <f t="shared" si="55"/>
        <v>0</v>
      </c>
      <c r="Y242" s="233">
        <f t="shared" si="56"/>
        <v>4266295.3603445999</v>
      </c>
      <c r="Z242" s="233">
        <f t="shared" si="57"/>
        <v>4266295.3603445999</v>
      </c>
      <c r="AA242" s="233">
        <f t="shared" si="58"/>
        <v>4266295.3603445999</v>
      </c>
      <c r="AB242" s="233">
        <f t="shared" si="59"/>
        <v>4266295.3603445999</v>
      </c>
      <c r="AC242" s="238">
        <f t="shared" si="63"/>
        <v>4266295.3603445999</v>
      </c>
      <c r="AD242" s="238">
        <f t="shared" si="64"/>
        <v>21331476.801723</v>
      </c>
      <c r="AE242" s="206">
        <f t="shared" si="65"/>
        <v>2013</v>
      </c>
      <c r="AF242" s="210">
        <f t="shared" si="66"/>
        <v>191983301.215507</v>
      </c>
      <c r="AG242" s="48" t="e">
        <f t="shared" si="67"/>
        <v>#N/A</v>
      </c>
      <c r="AH242" s="48" t="e">
        <f>IF(AG242='KIB C'!AJ:AJ,"k",0)</f>
        <v>#N/A</v>
      </c>
    </row>
    <row r="243" spans="1:34" s="48" customFormat="1" ht="40.5" customHeight="1" x14ac:dyDescent="0.2">
      <c r="A243" s="295" t="s">
        <v>2302</v>
      </c>
      <c r="B243" s="73"/>
      <c r="C243" s="65" t="s">
        <v>2103</v>
      </c>
      <c r="D243" s="67" t="s">
        <v>1772</v>
      </c>
      <c r="E243" s="67" t="s">
        <v>2104</v>
      </c>
      <c r="F243" s="33" t="s">
        <v>43</v>
      </c>
      <c r="G243" s="40" t="s">
        <v>1786</v>
      </c>
      <c r="H243" s="40" t="s">
        <v>1934</v>
      </c>
      <c r="I243" s="40"/>
      <c r="J243" s="72" t="s">
        <v>2940</v>
      </c>
      <c r="K243" s="40">
        <v>2013</v>
      </c>
      <c r="L243" s="40" t="s">
        <v>2106</v>
      </c>
      <c r="M243" s="32"/>
      <c r="N243" s="33"/>
      <c r="O243" s="40"/>
      <c r="P243" s="32" t="s">
        <v>12</v>
      </c>
      <c r="Q243" s="252">
        <v>2030934900</v>
      </c>
      <c r="R243" s="105"/>
      <c r="S243" s="206" t="str">
        <f t="shared" si="60"/>
        <v>3.11.01</v>
      </c>
      <c r="T243" s="207" t="str">
        <f t="shared" si="53"/>
        <v>BANGUNAN GEDUNG TEMPAT KERJA</v>
      </c>
      <c r="U243" s="207">
        <f t="shared" si="54"/>
        <v>50</v>
      </c>
      <c r="V243" s="233">
        <f t="shared" si="61"/>
        <v>40618697.799999997</v>
      </c>
      <c r="W243" s="233">
        <f t="shared" si="62"/>
        <v>0</v>
      </c>
      <c r="X243" s="233">
        <f t="shared" si="55"/>
        <v>0</v>
      </c>
      <c r="Y243" s="233">
        <f t="shared" si="56"/>
        <v>40618697.799999997</v>
      </c>
      <c r="Z243" s="233">
        <f t="shared" si="57"/>
        <v>40618697.799999997</v>
      </c>
      <c r="AA243" s="233">
        <f t="shared" si="58"/>
        <v>40618697.799999997</v>
      </c>
      <c r="AB243" s="233">
        <f t="shared" si="59"/>
        <v>40618697.799999997</v>
      </c>
      <c r="AC243" s="238">
        <f t="shared" si="63"/>
        <v>40618697.799999997</v>
      </c>
      <c r="AD243" s="238">
        <f t="shared" si="64"/>
        <v>203093489</v>
      </c>
      <c r="AE243" s="206">
        <f t="shared" si="65"/>
        <v>2013</v>
      </c>
      <c r="AF243" s="210">
        <f t="shared" si="66"/>
        <v>1827841411</v>
      </c>
      <c r="AG243" s="48" t="str">
        <f t="shared" si="67"/>
        <v>K</v>
      </c>
    </row>
    <row r="244" spans="1:34" s="48" customFormat="1" ht="40.5" customHeight="1" x14ac:dyDescent="0.2">
      <c r="A244" s="295" t="s">
        <v>2302</v>
      </c>
      <c r="B244" s="73"/>
      <c r="C244" s="65" t="s">
        <v>2107</v>
      </c>
      <c r="D244" s="67" t="s">
        <v>1772</v>
      </c>
      <c r="E244" s="67" t="s">
        <v>1857</v>
      </c>
      <c r="F244" s="33" t="s">
        <v>43</v>
      </c>
      <c r="G244" s="40" t="s">
        <v>1786</v>
      </c>
      <c r="H244" s="40" t="s">
        <v>1934</v>
      </c>
      <c r="I244" s="40"/>
      <c r="J244" s="72" t="s">
        <v>2614</v>
      </c>
      <c r="K244" s="40">
        <v>2013</v>
      </c>
      <c r="L244" s="40" t="s">
        <v>2108</v>
      </c>
      <c r="M244" s="32"/>
      <c r="N244" s="33"/>
      <c r="O244" s="40"/>
      <c r="P244" s="32" t="s">
        <v>12</v>
      </c>
      <c r="Q244" s="252">
        <v>1956592000</v>
      </c>
      <c r="R244" s="105"/>
      <c r="S244" s="206" t="str">
        <f t="shared" si="60"/>
        <v>3.11.01</v>
      </c>
      <c r="T244" s="207" t="str">
        <f t="shared" si="53"/>
        <v>BANGUNAN GEDUNG TEMPAT KERJA</v>
      </c>
      <c r="U244" s="207">
        <f t="shared" si="54"/>
        <v>50</v>
      </c>
      <c r="V244" s="233">
        <f t="shared" si="61"/>
        <v>39131839.799999997</v>
      </c>
      <c r="W244" s="233">
        <f t="shared" si="62"/>
        <v>0</v>
      </c>
      <c r="X244" s="233">
        <f t="shared" si="55"/>
        <v>0</v>
      </c>
      <c r="Y244" s="233">
        <f t="shared" si="56"/>
        <v>39131839.799999997</v>
      </c>
      <c r="Z244" s="233">
        <f t="shared" si="57"/>
        <v>39131839.799999997</v>
      </c>
      <c r="AA244" s="233">
        <f t="shared" si="58"/>
        <v>39131839.799999997</v>
      </c>
      <c r="AB244" s="233">
        <f t="shared" si="59"/>
        <v>39131839.799999997</v>
      </c>
      <c r="AC244" s="238">
        <f t="shared" si="63"/>
        <v>39131839.799999997</v>
      </c>
      <c r="AD244" s="238">
        <f t="shared" si="64"/>
        <v>195659199</v>
      </c>
      <c r="AE244" s="206">
        <f t="shared" si="65"/>
        <v>2013</v>
      </c>
      <c r="AF244" s="210">
        <f t="shared" si="66"/>
        <v>1760932801</v>
      </c>
      <c r="AG244" s="48" t="e">
        <f t="shared" si="67"/>
        <v>#N/A</v>
      </c>
      <c r="AH244" s="48" t="e">
        <f>IF(AG244='KIB C'!AJ:AJ,"k",0)</f>
        <v>#N/A</v>
      </c>
    </row>
    <row r="245" spans="1:34" s="48" customFormat="1" ht="40.5" customHeight="1" x14ac:dyDescent="0.2">
      <c r="A245" s="295" t="s">
        <v>2302</v>
      </c>
      <c r="B245" s="73"/>
      <c r="C245" s="65" t="s">
        <v>2109</v>
      </c>
      <c r="D245" s="67" t="s">
        <v>1772</v>
      </c>
      <c r="E245" s="67" t="s">
        <v>1861</v>
      </c>
      <c r="F245" s="33" t="s">
        <v>43</v>
      </c>
      <c r="G245" s="40" t="s">
        <v>1786</v>
      </c>
      <c r="H245" s="40" t="s">
        <v>1934</v>
      </c>
      <c r="I245" s="40"/>
      <c r="J245" s="72" t="s">
        <v>1081</v>
      </c>
      <c r="K245" s="40">
        <v>2013</v>
      </c>
      <c r="L245" s="40" t="s">
        <v>2110</v>
      </c>
      <c r="M245" s="32"/>
      <c r="N245" s="33"/>
      <c r="O245" s="40"/>
      <c r="P245" s="32" t="s">
        <v>12</v>
      </c>
      <c r="Q245" s="252">
        <v>397173000</v>
      </c>
      <c r="R245" s="105"/>
      <c r="S245" s="206" t="str">
        <f t="shared" si="60"/>
        <v>3.11.01</v>
      </c>
      <c r="T245" s="207" t="str">
        <f t="shared" si="53"/>
        <v>BANGUNAN GEDUNG TEMPAT KERJA</v>
      </c>
      <c r="U245" s="207">
        <f t="shared" si="54"/>
        <v>50</v>
      </c>
      <c r="V245" s="233">
        <f t="shared" si="61"/>
        <v>7943459.7999999998</v>
      </c>
      <c r="W245" s="233">
        <f t="shared" si="62"/>
        <v>0</v>
      </c>
      <c r="X245" s="233">
        <f t="shared" si="55"/>
        <v>0</v>
      </c>
      <c r="Y245" s="233">
        <f t="shared" si="56"/>
        <v>7943459.7999999998</v>
      </c>
      <c r="Z245" s="233">
        <f t="shared" si="57"/>
        <v>7943459.7999999998</v>
      </c>
      <c r="AA245" s="233">
        <f t="shared" si="58"/>
        <v>7943459.7999999998</v>
      </c>
      <c r="AB245" s="233">
        <f t="shared" si="59"/>
        <v>7943459.7999999998</v>
      </c>
      <c r="AC245" s="238">
        <f t="shared" si="63"/>
        <v>7943459.7999999998</v>
      </c>
      <c r="AD245" s="238">
        <f t="shared" si="64"/>
        <v>39717299</v>
      </c>
      <c r="AE245" s="206">
        <f t="shared" si="65"/>
        <v>2013</v>
      </c>
      <c r="AF245" s="210">
        <f t="shared" si="66"/>
        <v>357455701</v>
      </c>
      <c r="AG245" s="48" t="e">
        <f t="shared" si="67"/>
        <v>#N/A</v>
      </c>
      <c r="AH245" s="48" t="e">
        <f>IF(AG245='KIB C'!AJ:AJ,"k",0)</f>
        <v>#N/A</v>
      </c>
    </row>
    <row r="246" spans="1:34" s="48" customFormat="1" ht="40.5" customHeight="1" x14ac:dyDescent="0.2">
      <c r="A246" s="295" t="s">
        <v>2302</v>
      </c>
      <c r="B246" s="73"/>
      <c r="C246" s="65" t="s">
        <v>2111</v>
      </c>
      <c r="D246" s="67" t="s">
        <v>1772</v>
      </c>
      <c r="E246" s="67" t="s">
        <v>1864</v>
      </c>
      <c r="F246" s="33" t="s">
        <v>43</v>
      </c>
      <c r="G246" s="40" t="s">
        <v>1786</v>
      </c>
      <c r="H246" s="40" t="s">
        <v>1934</v>
      </c>
      <c r="I246" s="40"/>
      <c r="J246" s="72" t="s">
        <v>2614</v>
      </c>
      <c r="K246" s="40">
        <v>2013</v>
      </c>
      <c r="L246" s="40" t="s">
        <v>2022</v>
      </c>
      <c r="M246" s="32"/>
      <c r="N246" s="33"/>
      <c r="O246" s="40"/>
      <c r="P246" s="32" t="s">
        <v>12</v>
      </c>
      <c r="Q246" s="252">
        <v>991552000</v>
      </c>
      <c r="R246" s="105"/>
      <c r="S246" s="206" t="str">
        <f t="shared" si="60"/>
        <v>3.11.01</v>
      </c>
      <c r="T246" s="207" t="str">
        <f t="shared" si="53"/>
        <v>BANGUNAN GEDUNG TEMPAT KERJA</v>
      </c>
      <c r="U246" s="207">
        <f t="shared" si="54"/>
        <v>50</v>
      </c>
      <c r="V246" s="233">
        <f t="shared" si="61"/>
        <v>19831039.800000001</v>
      </c>
      <c r="W246" s="233">
        <f t="shared" si="62"/>
        <v>0</v>
      </c>
      <c r="X246" s="233">
        <f t="shared" si="55"/>
        <v>0</v>
      </c>
      <c r="Y246" s="233">
        <f t="shared" si="56"/>
        <v>19831039.800000001</v>
      </c>
      <c r="Z246" s="233">
        <f t="shared" si="57"/>
        <v>19831039.800000001</v>
      </c>
      <c r="AA246" s="233">
        <f t="shared" si="58"/>
        <v>19831039.800000001</v>
      </c>
      <c r="AB246" s="233">
        <f t="shared" si="59"/>
        <v>19831039.800000001</v>
      </c>
      <c r="AC246" s="238">
        <f t="shared" si="63"/>
        <v>19831039.800000001</v>
      </c>
      <c r="AD246" s="238">
        <f t="shared" si="64"/>
        <v>99155199</v>
      </c>
      <c r="AE246" s="206">
        <f t="shared" si="65"/>
        <v>2013</v>
      </c>
      <c r="AF246" s="210">
        <f t="shared" si="66"/>
        <v>892396801</v>
      </c>
      <c r="AG246" s="48" t="e">
        <f t="shared" si="67"/>
        <v>#N/A</v>
      </c>
      <c r="AH246" s="48" t="e">
        <f>IF(AG246='KIB C'!AJ:AJ,"k",0)</f>
        <v>#N/A</v>
      </c>
    </row>
    <row r="247" spans="1:34" s="48" customFormat="1" ht="40.5" customHeight="1" x14ac:dyDescent="0.2">
      <c r="A247" s="295" t="s">
        <v>2302</v>
      </c>
      <c r="B247" s="73"/>
      <c r="C247" s="65" t="s">
        <v>2112</v>
      </c>
      <c r="D247" s="67" t="s">
        <v>2113</v>
      </c>
      <c r="E247" s="67" t="s">
        <v>39</v>
      </c>
      <c r="F247" s="33" t="s">
        <v>43</v>
      </c>
      <c r="G247" s="40" t="s">
        <v>1786</v>
      </c>
      <c r="H247" s="40" t="s">
        <v>1934</v>
      </c>
      <c r="I247" s="40"/>
      <c r="J247" s="72" t="s">
        <v>2614</v>
      </c>
      <c r="K247" s="40">
        <v>2013</v>
      </c>
      <c r="L247" s="40" t="s">
        <v>2022</v>
      </c>
      <c r="M247" s="32"/>
      <c r="N247" s="33"/>
      <c r="O247" s="40"/>
      <c r="P247" s="32" t="s">
        <v>12</v>
      </c>
      <c r="Q247" s="252">
        <v>48327850</v>
      </c>
      <c r="R247" s="105"/>
      <c r="S247" s="206" t="str">
        <f t="shared" si="60"/>
        <v>3.11.01</v>
      </c>
      <c r="T247" s="207" t="str">
        <f t="shared" si="53"/>
        <v>BANGUNAN GEDUNG TEMPAT KERJA</v>
      </c>
      <c r="U247" s="207">
        <f t="shared" si="54"/>
        <v>50</v>
      </c>
      <c r="V247" s="233">
        <f t="shared" si="61"/>
        <v>966556.8</v>
      </c>
      <c r="W247" s="233">
        <f t="shared" si="62"/>
        <v>0</v>
      </c>
      <c r="X247" s="233">
        <f t="shared" si="55"/>
        <v>0</v>
      </c>
      <c r="Y247" s="233">
        <f t="shared" si="56"/>
        <v>966556.8</v>
      </c>
      <c r="Z247" s="233">
        <f t="shared" si="57"/>
        <v>966556.8</v>
      </c>
      <c r="AA247" s="233">
        <f t="shared" si="58"/>
        <v>966556.8</v>
      </c>
      <c r="AB247" s="233">
        <f t="shared" si="59"/>
        <v>966556.8</v>
      </c>
      <c r="AC247" s="238">
        <f t="shared" si="63"/>
        <v>966556.8</v>
      </c>
      <c r="AD247" s="238">
        <f t="shared" si="64"/>
        <v>4832784</v>
      </c>
      <c r="AE247" s="206">
        <f t="shared" si="65"/>
        <v>2013</v>
      </c>
      <c r="AF247" s="210">
        <f t="shared" si="66"/>
        <v>43495066</v>
      </c>
      <c r="AG247" s="48" t="e">
        <f t="shared" si="67"/>
        <v>#N/A</v>
      </c>
      <c r="AH247" s="48" t="e">
        <f>IF(AG247='KIB C'!AJ:AJ,"k",0)</f>
        <v>#N/A</v>
      </c>
    </row>
    <row r="248" spans="1:34" s="48" customFormat="1" ht="40.5" customHeight="1" x14ac:dyDescent="0.2">
      <c r="A248" s="295" t="s">
        <v>2302</v>
      </c>
      <c r="B248" s="73"/>
      <c r="C248" s="65" t="s">
        <v>2114</v>
      </c>
      <c r="D248" s="67" t="s">
        <v>1752</v>
      </c>
      <c r="E248" s="67" t="s">
        <v>2115</v>
      </c>
      <c r="F248" s="33" t="s">
        <v>43</v>
      </c>
      <c r="G248" s="40" t="s">
        <v>1786</v>
      </c>
      <c r="H248" s="40" t="s">
        <v>1934</v>
      </c>
      <c r="I248" s="40"/>
      <c r="J248" s="72" t="s">
        <v>2854</v>
      </c>
      <c r="K248" s="40">
        <v>2013</v>
      </c>
      <c r="L248" s="40" t="s">
        <v>2116</v>
      </c>
      <c r="M248" s="32"/>
      <c r="N248" s="33"/>
      <c r="O248" s="40"/>
      <c r="P248" s="32" t="s">
        <v>12</v>
      </c>
      <c r="Q248" s="252">
        <v>199428000</v>
      </c>
      <c r="R248" s="105"/>
      <c r="S248" s="206" t="str">
        <f t="shared" si="60"/>
        <v>3.11.01</v>
      </c>
      <c r="T248" s="207" t="str">
        <f t="shared" si="53"/>
        <v>BANGUNAN GEDUNG TEMPAT KERJA</v>
      </c>
      <c r="U248" s="207">
        <f t="shared" si="54"/>
        <v>50</v>
      </c>
      <c r="V248" s="233">
        <f t="shared" si="61"/>
        <v>3988559.8</v>
      </c>
      <c r="W248" s="233">
        <f t="shared" si="62"/>
        <v>0</v>
      </c>
      <c r="X248" s="233">
        <f t="shared" si="55"/>
        <v>0</v>
      </c>
      <c r="Y248" s="233">
        <f t="shared" si="56"/>
        <v>3988559.8</v>
      </c>
      <c r="Z248" s="233">
        <f t="shared" si="57"/>
        <v>3988559.8</v>
      </c>
      <c r="AA248" s="233">
        <f t="shared" si="58"/>
        <v>3988559.8</v>
      </c>
      <c r="AB248" s="233">
        <f t="shared" si="59"/>
        <v>3988559.8</v>
      </c>
      <c r="AC248" s="238">
        <f t="shared" si="63"/>
        <v>3988559.8</v>
      </c>
      <c r="AD248" s="238">
        <f t="shared" si="64"/>
        <v>19942799</v>
      </c>
      <c r="AE248" s="206">
        <f t="shared" si="65"/>
        <v>2013</v>
      </c>
      <c r="AF248" s="210">
        <f t="shared" si="66"/>
        <v>179485201</v>
      </c>
      <c r="AG248" s="48" t="str">
        <f t="shared" si="67"/>
        <v>K</v>
      </c>
    </row>
    <row r="249" spans="1:34" s="48" customFormat="1" ht="40.5" customHeight="1" x14ac:dyDescent="0.2">
      <c r="A249" s="295" t="s">
        <v>2302</v>
      </c>
      <c r="B249" s="73"/>
      <c r="C249" s="65" t="s">
        <v>2117</v>
      </c>
      <c r="D249" s="67" t="s">
        <v>1752</v>
      </c>
      <c r="E249" s="67" t="s">
        <v>2118</v>
      </c>
      <c r="F249" s="33" t="s">
        <v>43</v>
      </c>
      <c r="G249" s="40" t="s">
        <v>1786</v>
      </c>
      <c r="H249" s="40" t="s">
        <v>1934</v>
      </c>
      <c r="I249" s="40"/>
      <c r="J249" s="72" t="s">
        <v>2854</v>
      </c>
      <c r="K249" s="40">
        <v>2013</v>
      </c>
      <c r="L249" s="40" t="s">
        <v>2119</v>
      </c>
      <c r="M249" s="32"/>
      <c r="N249" s="33"/>
      <c r="O249" s="40"/>
      <c r="P249" s="32" t="s">
        <v>12</v>
      </c>
      <c r="Q249" s="252">
        <v>458377000</v>
      </c>
      <c r="R249" s="105"/>
      <c r="S249" s="206" t="str">
        <f t="shared" si="60"/>
        <v>3.11.01</v>
      </c>
      <c r="T249" s="207" t="str">
        <f t="shared" si="53"/>
        <v>BANGUNAN GEDUNG TEMPAT KERJA</v>
      </c>
      <c r="U249" s="207">
        <f t="shared" si="54"/>
        <v>50</v>
      </c>
      <c r="V249" s="233">
        <f t="shared" si="61"/>
        <v>9167539.8000000007</v>
      </c>
      <c r="W249" s="233">
        <f t="shared" si="62"/>
        <v>0</v>
      </c>
      <c r="X249" s="233">
        <f t="shared" si="55"/>
        <v>0</v>
      </c>
      <c r="Y249" s="233">
        <f t="shared" si="56"/>
        <v>9167539.8000000007</v>
      </c>
      <c r="Z249" s="233">
        <f t="shared" si="57"/>
        <v>9167539.8000000007</v>
      </c>
      <c r="AA249" s="233">
        <f t="shared" si="58"/>
        <v>9167539.8000000007</v>
      </c>
      <c r="AB249" s="233">
        <f t="shared" si="59"/>
        <v>9167539.8000000007</v>
      </c>
      <c r="AC249" s="238">
        <f t="shared" si="63"/>
        <v>9167539.8000000007</v>
      </c>
      <c r="AD249" s="238">
        <f t="shared" si="64"/>
        <v>45837699</v>
      </c>
      <c r="AE249" s="206">
        <f t="shared" si="65"/>
        <v>2013</v>
      </c>
      <c r="AF249" s="210">
        <f t="shared" si="66"/>
        <v>412539301</v>
      </c>
      <c r="AG249" s="48" t="str">
        <f t="shared" si="67"/>
        <v>K</v>
      </c>
    </row>
    <row r="250" spans="1:34" s="48" customFormat="1" ht="40.5" customHeight="1" x14ac:dyDescent="0.2">
      <c r="A250" s="295" t="s">
        <v>2302</v>
      </c>
      <c r="B250" s="73"/>
      <c r="C250" s="65" t="s">
        <v>2120</v>
      </c>
      <c r="D250" s="67" t="s">
        <v>1752</v>
      </c>
      <c r="E250" s="67" t="s">
        <v>2118</v>
      </c>
      <c r="F250" s="33" t="s">
        <v>43</v>
      </c>
      <c r="G250" s="40" t="s">
        <v>1786</v>
      </c>
      <c r="H250" s="40" t="s">
        <v>1934</v>
      </c>
      <c r="I250" s="40"/>
      <c r="J250" s="72" t="s">
        <v>2614</v>
      </c>
      <c r="K250" s="40">
        <v>2013</v>
      </c>
      <c r="L250" s="40" t="s">
        <v>2121</v>
      </c>
      <c r="M250" s="32"/>
      <c r="N250" s="33"/>
      <c r="O250" s="40"/>
      <c r="P250" s="32" t="s">
        <v>12</v>
      </c>
      <c r="Q250" s="252">
        <v>74497000</v>
      </c>
      <c r="R250" s="105"/>
      <c r="S250" s="206" t="str">
        <f t="shared" si="60"/>
        <v>3.11.01</v>
      </c>
      <c r="T250" s="207" t="str">
        <f t="shared" si="53"/>
        <v>BANGUNAN GEDUNG TEMPAT KERJA</v>
      </c>
      <c r="U250" s="207">
        <f t="shared" si="54"/>
        <v>50</v>
      </c>
      <c r="V250" s="233">
        <f t="shared" si="61"/>
        <v>1489939.8</v>
      </c>
      <c r="W250" s="233">
        <f t="shared" si="62"/>
        <v>0</v>
      </c>
      <c r="X250" s="233">
        <f t="shared" si="55"/>
        <v>0</v>
      </c>
      <c r="Y250" s="233">
        <f t="shared" si="56"/>
        <v>1489939.8</v>
      </c>
      <c r="Z250" s="233">
        <f t="shared" si="57"/>
        <v>1489939.8</v>
      </c>
      <c r="AA250" s="233">
        <f t="shared" si="58"/>
        <v>1489939.8</v>
      </c>
      <c r="AB250" s="233">
        <f t="shared" si="59"/>
        <v>1489939.8</v>
      </c>
      <c r="AC250" s="238">
        <f t="shared" si="63"/>
        <v>1489939.8</v>
      </c>
      <c r="AD250" s="238">
        <f t="shared" si="64"/>
        <v>7449699</v>
      </c>
      <c r="AE250" s="206">
        <f t="shared" si="65"/>
        <v>2013</v>
      </c>
      <c r="AF250" s="210">
        <f t="shared" si="66"/>
        <v>67047301</v>
      </c>
      <c r="AG250" s="48" t="e">
        <f t="shared" ref="AG250:AG266" si="68">VLOOKUP(C250,KAP,2,0)</f>
        <v>#N/A</v>
      </c>
      <c r="AH250" s="48" t="e">
        <f>IF(AG250='KIB C'!AJ:AJ,"k",0)</f>
        <v>#N/A</v>
      </c>
    </row>
    <row r="251" spans="1:34" s="48" customFormat="1" ht="40.5" customHeight="1" x14ac:dyDescent="0.2">
      <c r="A251" s="295" t="s">
        <v>2302</v>
      </c>
      <c r="B251" s="73"/>
      <c r="C251" s="65" t="s">
        <v>2122</v>
      </c>
      <c r="D251" s="67" t="s">
        <v>1752</v>
      </c>
      <c r="E251" s="67" t="s">
        <v>2123</v>
      </c>
      <c r="F251" s="33" t="s">
        <v>43</v>
      </c>
      <c r="G251" s="40" t="s">
        <v>1786</v>
      </c>
      <c r="H251" s="40" t="s">
        <v>1934</v>
      </c>
      <c r="I251" s="40"/>
      <c r="J251" s="72" t="s">
        <v>2614</v>
      </c>
      <c r="K251" s="40">
        <v>2013</v>
      </c>
      <c r="L251" s="40" t="s">
        <v>2124</v>
      </c>
      <c r="M251" s="32"/>
      <c r="N251" s="33"/>
      <c r="O251" s="40"/>
      <c r="P251" s="32" t="s">
        <v>12</v>
      </c>
      <c r="Q251" s="252">
        <v>2002583850</v>
      </c>
      <c r="R251" s="105"/>
      <c r="S251" s="206" t="str">
        <f t="shared" si="60"/>
        <v>3.11.01</v>
      </c>
      <c r="T251" s="207" t="str">
        <f t="shared" si="53"/>
        <v>BANGUNAN GEDUNG TEMPAT KERJA</v>
      </c>
      <c r="U251" s="207">
        <f t="shared" si="54"/>
        <v>50</v>
      </c>
      <c r="V251" s="233">
        <f t="shared" si="61"/>
        <v>40051676.799999997</v>
      </c>
      <c r="W251" s="233">
        <f t="shared" si="62"/>
        <v>0</v>
      </c>
      <c r="X251" s="233">
        <f t="shared" si="55"/>
        <v>0</v>
      </c>
      <c r="Y251" s="233">
        <f t="shared" si="56"/>
        <v>40051676.799999997</v>
      </c>
      <c r="Z251" s="233">
        <f t="shared" si="57"/>
        <v>40051676.799999997</v>
      </c>
      <c r="AA251" s="233">
        <f t="shared" si="58"/>
        <v>40051676.799999997</v>
      </c>
      <c r="AB251" s="233">
        <f t="shared" si="59"/>
        <v>40051676.799999997</v>
      </c>
      <c r="AC251" s="238">
        <f t="shared" si="63"/>
        <v>40051676.799999997</v>
      </c>
      <c r="AD251" s="238">
        <f t="shared" si="64"/>
        <v>200258384</v>
      </c>
      <c r="AE251" s="206">
        <f t="shared" si="65"/>
        <v>2013</v>
      </c>
      <c r="AF251" s="210">
        <f t="shared" si="66"/>
        <v>1802325466</v>
      </c>
      <c r="AG251" s="48" t="e">
        <f t="shared" si="68"/>
        <v>#N/A</v>
      </c>
      <c r="AH251" s="48" t="e">
        <f>IF(AG251='KIB C'!AJ:AJ,"k",0)</f>
        <v>#N/A</v>
      </c>
    </row>
    <row r="252" spans="1:34" s="48" customFormat="1" ht="40.5" customHeight="1" x14ac:dyDescent="0.2">
      <c r="A252" s="295" t="s">
        <v>2302</v>
      </c>
      <c r="B252" s="73"/>
      <c r="C252" s="65" t="s">
        <v>2125</v>
      </c>
      <c r="D252" s="67" t="s">
        <v>1752</v>
      </c>
      <c r="E252" s="67" t="s">
        <v>2126</v>
      </c>
      <c r="F252" s="33" t="s">
        <v>43</v>
      </c>
      <c r="G252" s="40" t="s">
        <v>1786</v>
      </c>
      <c r="H252" s="40" t="s">
        <v>1934</v>
      </c>
      <c r="I252" s="40"/>
      <c r="J252" s="72" t="s">
        <v>2941</v>
      </c>
      <c r="K252" s="40">
        <v>2013</v>
      </c>
      <c r="L252" s="40" t="s">
        <v>2128</v>
      </c>
      <c r="M252" s="32"/>
      <c r="N252" s="33"/>
      <c r="O252" s="40"/>
      <c r="P252" s="32" t="s">
        <v>12</v>
      </c>
      <c r="Q252" s="252">
        <v>199852000</v>
      </c>
      <c r="R252" s="105"/>
      <c r="S252" s="206" t="str">
        <f t="shared" si="60"/>
        <v>3.11.01</v>
      </c>
      <c r="T252" s="207" t="str">
        <f t="shared" si="53"/>
        <v>BANGUNAN GEDUNG TEMPAT KERJA</v>
      </c>
      <c r="U252" s="207">
        <f t="shared" si="54"/>
        <v>50</v>
      </c>
      <c r="V252" s="233">
        <f t="shared" si="61"/>
        <v>3997039.8</v>
      </c>
      <c r="W252" s="233">
        <f t="shared" si="62"/>
        <v>0</v>
      </c>
      <c r="X252" s="233">
        <f t="shared" si="55"/>
        <v>0</v>
      </c>
      <c r="Y252" s="233">
        <f t="shared" si="56"/>
        <v>3997039.8</v>
      </c>
      <c r="Z252" s="233">
        <f t="shared" si="57"/>
        <v>3997039.8</v>
      </c>
      <c r="AA252" s="233">
        <f t="shared" si="58"/>
        <v>3997039.8</v>
      </c>
      <c r="AB252" s="233">
        <f t="shared" si="59"/>
        <v>3997039.8</v>
      </c>
      <c r="AC252" s="238">
        <f t="shared" si="63"/>
        <v>3997039.8</v>
      </c>
      <c r="AD252" s="238">
        <f t="shared" si="64"/>
        <v>19985199</v>
      </c>
      <c r="AE252" s="206">
        <f t="shared" si="65"/>
        <v>2013</v>
      </c>
      <c r="AF252" s="210">
        <f t="shared" si="66"/>
        <v>179866801</v>
      </c>
      <c r="AG252" s="48" t="e">
        <f t="shared" si="68"/>
        <v>#N/A</v>
      </c>
      <c r="AH252" s="48" t="e">
        <f>IF(AG252='KIB C'!AJ:AJ,"k",0)</f>
        <v>#N/A</v>
      </c>
    </row>
    <row r="253" spans="1:34" s="48" customFormat="1" ht="40.5" customHeight="1" x14ac:dyDescent="0.2">
      <c r="A253" s="295" t="s">
        <v>2302</v>
      </c>
      <c r="B253" s="73"/>
      <c r="C253" s="65" t="s">
        <v>2129</v>
      </c>
      <c r="D253" s="67" t="s">
        <v>1752</v>
      </c>
      <c r="E253" s="67" t="s">
        <v>2130</v>
      </c>
      <c r="F253" s="33" t="s">
        <v>43</v>
      </c>
      <c r="G253" s="40" t="s">
        <v>1786</v>
      </c>
      <c r="H253" s="40" t="s">
        <v>1934</v>
      </c>
      <c r="I253" s="40"/>
      <c r="J253" s="72" t="s">
        <v>2614</v>
      </c>
      <c r="K253" s="40">
        <v>2013</v>
      </c>
      <c r="L253" s="40" t="s">
        <v>2131</v>
      </c>
      <c r="M253" s="32"/>
      <c r="N253" s="33"/>
      <c r="O253" s="40"/>
      <c r="P253" s="32" t="s">
        <v>12</v>
      </c>
      <c r="Q253" s="252">
        <v>189561100</v>
      </c>
      <c r="R253" s="105"/>
      <c r="S253" s="206" t="str">
        <f t="shared" si="60"/>
        <v>3.11.01</v>
      </c>
      <c r="T253" s="207" t="str">
        <f t="shared" si="53"/>
        <v>BANGUNAN GEDUNG TEMPAT KERJA</v>
      </c>
      <c r="U253" s="207">
        <f t="shared" si="54"/>
        <v>50</v>
      </c>
      <c r="V253" s="233">
        <f t="shared" si="61"/>
        <v>3791221.8</v>
      </c>
      <c r="W253" s="233">
        <f t="shared" si="62"/>
        <v>0</v>
      </c>
      <c r="X253" s="233">
        <f t="shared" si="55"/>
        <v>0</v>
      </c>
      <c r="Y253" s="233">
        <f t="shared" si="56"/>
        <v>3791221.8</v>
      </c>
      <c r="Z253" s="233">
        <f t="shared" si="57"/>
        <v>3791221.8</v>
      </c>
      <c r="AA253" s="233">
        <f t="shared" si="58"/>
        <v>3791221.8</v>
      </c>
      <c r="AB253" s="233">
        <f t="shared" si="59"/>
        <v>3791221.8</v>
      </c>
      <c r="AC253" s="238">
        <f t="shared" si="63"/>
        <v>3791221.8</v>
      </c>
      <c r="AD253" s="238">
        <f t="shared" si="64"/>
        <v>18956109</v>
      </c>
      <c r="AE253" s="206">
        <f t="shared" si="65"/>
        <v>2013</v>
      </c>
      <c r="AF253" s="210">
        <f t="shared" si="66"/>
        <v>170604991</v>
      </c>
      <c r="AG253" s="48" t="str">
        <f t="shared" si="68"/>
        <v>K</v>
      </c>
    </row>
    <row r="254" spans="1:34" s="48" customFormat="1" ht="40.5" customHeight="1" x14ac:dyDescent="0.2">
      <c r="A254" s="295" t="s">
        <v>2302</v>
      </c>
      <c r="B254" s="73"/>
      <c r="C254" s="65" t="s">
        <v>2132</v>
      </c>
      <c r="D254" s="67" t="s">
        <v>1752</v>
      </c>
      <c r="E254" s="67" t="s">
        <v>2133</v>
      </c>
      <c r="F254" s="33" t="s">
        <v>43</v>
      </c>
      <c r="G254" s="40" t="s">
        <v>1786</v>
      </c>
      <c r="H254" s="40" t="s">
        <v>1934</v>
      </c>
      <c r="I254" s="40"/>
      <c r="J254" s="72" t="s">
        <v>2912</v>
      </c>
      <c r="K254" s="40">
        <v>2013</v>
      </c>
      <c r="L254" s="40" t="s">
        <v>2134</v>
      </c>
      <c r="M254" s="32"/>
      <c r="N254" s="33"/>
      <c r="O254" s="40"/>
      <c r="P254" s="32" t="s">
        <v>12</v>
      </c>
      <c r="Q254" s="252">
        <v>151057700</v>
      </c>
      <c r="R254" s="105"/>
      <c r="S254" s="206" t="str">
        <f t="shared" si="60"/>
        <v>3.11.01</v>
      </c>
      <c r="T254" s="207" t="str">
        <f t="shared" si="53"/>
        <v>BANGUNAN GEDUNG TEMPAT KERJA</v>
      </c>
      <c r="U254" s="207">
        <f t="shared" si="54"/>
        <v>50</v>
      </c>
      <c r="V254" s="233">
        <f t="shared" si="61"/>
        <v>3021153.8</v>
      </c>
      <c r="W254" s="233">
        <f t="shared" si="62"/>
        <v>0</v>
      </c>
      <c r="X254" s="233">
        <f t="shared" si="55"/>
        <v>0</v>
      </c>
      <c r="Y254" s="233">
        <f t="shared" si="56"/>
        <v>3021153.8</v>
      </c>
      <c r="Z254" s="233">
        <f t="shared" si="57"/>
        <v>3021153.8</v>
      </c>
      <c r="AA254" s="233">
        <f t="shared" si="58"/>
        <v>3021153.8</v>
      </c>
      <c r="AB254" s="233">
        <f t="shared" si="59"/>
        <v>3021153.8</v>
      </c>
      <c r="AC254" s="238">
        <f t="shared" si="63"/>
        <v>3021153.8</v>
      </c>
      <c r="AD254" s="238">
        <f t="shared" si="64"/>
        <v>15105769</v>
      </c>
      <c r="AE254" s="206">
        <f t="shared" si="65"/>
        <v>2013</v>
      </c>
      <c r="AF254" s="210">
        <f t="shared" si="66"/>
        <v>135951931</v>
      </c>
      <c r="AG254" s="48" t="str">
        <f t="shared" si="68"/>
        <v>K</v>
      </c>
    </row>
    <row r="255" spans="1:34" s="48" customFormat="1" ht="40.5" customHeight="1" x14ac:dyDescent="0.2">
      <c r="A255" s="295" t="s">
        <v>2302</v>
      </c>
      <c r="B255" s="73"/>
      <c r="C255" s="65" t="s">
        <v>2135</v>
      </c>
      <c r="D255" s="67" t="s">
        <v>1752</v>
      </c>
      <c r="E255" s="67" t="s">
        <v>2136</v>
      </c>
      <c r="F255" s="33" t="s">
        <v>43</v>
      </c>
      <c r="G255" s="40" t="s">
        <v>1786</v>
      </c>
      <c r="H255" s="40" t="s">
        <v>1934</v>
      </c>
      <c r="I255" s="40"/>
      <c r="J255" s="72" t="s">
        <v>2913</v>
      </c>
      <c r="K255" s="40">
        <v>2013</v>
      </c>
      <c r="L255" s="40" t="s">
        <v>2137</v>
      </c>
      <c r="M255" s="32"/>
      <c r="N255" s="33"/>
      <c r="O255" s="40"/>
      <c r="P255" s="32" t="s">
        <v>12</v>
      </c>
      <c r="Q255" s="252">
        <v>181010000</v>
      </c>
      <c r="R255" s="105"/>
      <c r="S255" s="206" t="str">
        <f t="shared" si="60"/>
        <v>3.11.01</v>
      </c>
      <c r="T255" s="207" t="str">
        <f t="shared" si="53"/>
        <v>BANGUNAN GEDUNG TEMPAT KERJA</v>
      </c>
      <c r="U255" s="207">
        <f t="shared" si="54"/>
        <v>50</v>
      </c>
      <c r="V255" s="233">
        <f t="shared" si="61"/>
        <v>3620199.8</v>
      </c>
      <c r="W255" s="233">
        <f t="shared" si="62"/>
        <v>0</v>
      </c>
      <c r="X255" s="233">
        <f t="shared" si="55"/>
        <v>0</v>
      </c>
      <c r="Y255" s="233">
        <f t="shared" si="56"/>
        <v>3620199.8</v>
      </c>
      <c r="Z255" s="233">
        <f t="shared" si="57"/>
        <v>3620199.8</v>
      </c>
      <c r="AA255" s="233">
        <f t="shared" si="58"/>
        <v>3620199.8</v>
      </c>
      <c r="AB255" s="233">
        <f t="shared" si="59"/>
        <v>3620199.8</v>
      </c>
      <c r="AC255" s="238">
        <f t="shared" si="63"/>
        <v>3620199.8</v>
      </c>
      <c r="AD255" s="238">
        <f t="shared" si="64"/>
        <v>18100999</v>
      </c>
      <c r="AE255" s="206">
        <f t="shared" si="65"/>
        <v>2013</v>
      </c>
      <c r="AF255" s="210">
        <f t="shared" si="66"/>
        <v>162909001</v>
      </c>
      <c r="AG255" s="48" t="str">
        <f t="shared" si="68"/>
        <v>K</v>
      </c>
    </row>
    <row r="256" spans="1:34" s="48" customFormat="1" ht="40.5" customHeight="1" x14ac:dyDescent="0.2">
      <c r="A256" s="295" t="s">
        <v>2302</v>
      </c>
      <c r="B256" s="73"/>
      <c r="C256" s="65" t="s">
        <v>2138</v>
      </c>
      <c r="D256" s="67" t="s">
        <v>1752</v>
      </c>
      <c r="E256" s="67" t="s">
        <v>2139</v>
      </c>
      <c r="F256" s="33" t="s">
        <v>43</v>
      </c>
      <c r="G256" s="40" t="s">
        <v>1786</v>
      </c>
      <c r="H256" s="40" t="s">
        <v>1934</v>
      </c>
      <c r="I256" s="40"/>
      <c r="J256" s="72" t="s">
        <v>2914</v>
      </c>
      <c r="K256" s="40">
        <v>2013</v>
      </c>
      <c r="L256" s="40" t="s">
        <v>2140</v>
      </c>
      <c r="M256" s="32"/>
      <c r="N256" s="33"/>
      <c r="O256" s="40"/>
      <c r="P256" s="32" t="s">
        <v>12</v>
      </c>
      <c r="Q256" s="252">
        <v>198413000</v>
      </c>
      <c r="R256" s="105"/>
      <c r="S256" s="206" t="str">
        <f t="shared" si="60"/>
        <v>3.11.01</v>
      </c>
      <c r="T256" s="207" t="str">
        <f t="shared" si="53"/>
        <v>BANGUNAN GEDUNG TEMPAT KERJA</v>
      </c>
      <c r="U256" s="207">
        <f t="shared" si="54"/>
        <v>50</v>
      </c>
      <c r="V256" s="233">
        <f t="shared" si="61"/>
        <v>3968259.8</v>
      </c>
      <c r="W256" s="233">
        <f t="shared" si="62"/>
        <v>0</v>
      </c>
      <c r="X256" s="233">
        <f t="shared" si="55"/>
        <v>0</v>
      </c>
      <c r="Y256" s="233">
        <f t="shared" si="56"/>
        <v>3968259.8</v>
      </c>
      <c r="Z256" s="233">
        <f t="shared" si="57"/>
        <v>3968259.8</v>
      </c>
      <c r="AA256" s="233">
        <f t="shared" si="58"/>
        <v>3968259.8</v>
      </c>
      <c r="AB256" s="233">
        <f t="shared" si="59"/>
        <v>3968259.8</v>
      </c>
      <c r="AC256" s="238">
        <f t="shared" si="63"/>
        <v>3968259.8</v>
      </c>
      <c r="AD256" s="238">
        <f t="shared" si="64"/>
        <v>19841299</v>
      </c>
      <c r="AE256" s="206">
        <f t="shared" si="65"/>
        <v>2013</v>
      </c>
      <c r="AF256" s="210">
        <f t="shared" si="66"/>
        <v>178571701</v>
      </c>
      <c r="AG256" s="48" t="e">
        <f t="shared" si="68"/>
        <v>#N/A</v>
      </c>
      <c r="AH256" s="48" t="e">
        <f>IF(AG256='KIB C'!AJ:AJ,"k",0)</f>
        <v>#N/A</v>
      </c>
    </row>
    <row r="257" spans="1:34" s="48" customFormat="1" ht="40.5" customHeight="1" x14ac:dyDescent="0.2">
      <c r="A257" s="295" t="s">
        <v>2302</v>
      </c>
      <c r="B257" s="73"/>
      <c r="C257" s="65" t="s">
        <v>2141</v>
      </c>
      <c r="D257" s="67" t="s">
        <v>1752</v>
      </c>
      <c r="E257" s="67" t="s">
        <v>2142</v>
      </c>
      <c r="F257" s="33" t="s">
        <v>43</v>
      </c>
      <c r="G257" s="40" t="s">
        <v>1786</v>
      </c>
      <c r="H257" s="40" t="s">
        <v>1934</v>
      </c>
      <c r="I257" s="40"/>
      <c r="J257" s="72" t="s">
        <v>892</v>
      </c>
      <c r="K257" s="40">
        <v>2013</v>
      </c>
      <c r="L257" s="40" t="s">
        <v>2144</v>
      </c>
      <c r="M257" s="32"/>
      <c r="N257" s="33"/>
      <c r="O257" s="40"/>
      <c r="P257" s="32" t="s">
        <v>12</v>
      </c>
      <c r="Q257" s="252">
        <v>150029000</v>
      </c>
      <c r="R257" s="105"/>
      <c r="S257" s="206" t="str">
        <f t="shared" si="60"/>
        <v>3.11.01</v>
      </c>
      <c r="T257" s="207" t="str">
        <f t="shared" si="53"/>
        <v>BANGUNAN GEDUNG TEMPAT KERJA</v>
      </c>
      <c r="U257" s="207">
        <f t="shared" si="54"/>
        <v>50</v>
      </c>
      <c r="V257" s="233">
        <f t="shared" si="61"/>
        <v>3000579.8</v>
      </c>
      <c r="W257" s="233">
        <f t="shared" si="62"/>
        <v>0</v>
      </c>
      <c r="X257" s="233">
        <f t="shared" si="55"/>
        <v>0</v>
      </c>
      <c r="Y257" s="233">
        <f t="shared" si="56"/>
        <v>3000579.8</v>
      </c>
      <c r="Z257" s="233">
        <f t="shared" si="57"/>
        <v>3000579.8</v>
      </c>
      <c r="AA257" s="233">
        <f t="shared" si="58"/>
        <v>3000579.8</v>
      </c>
      <c r="AB257" s="233">
        <f t="shared" si="59"/>
        <v>3000579.8</v>
      </c>
      <c r="AC257" s="238">
        <f t="shared" si="63"/>
        <v>3000579.8</v>
      </c>
      <c r="AD257" s="238">
        <f t="shared" si="64"/>
        <v>15002899</v>
      </c>
      <c r="AE257" s="206">
        <f t="shared" si="65"/>
        <v>2013</v>
      </c>
      <c r="AF257" s="210">
        <f t="shared" si="66"/>
        <v>135026101</v>
      </c>
      <c r="AG257" s="48" t="e">
        <f t="shared" si="68"/>
        <v>#N/A</v>
      </c>
      <c r="AH257" s="48" t="e">
        <f>IF(AG257='KIB C'!AJ:AJ,"k",0)</f>
        <v>#N/A</v>
      </c>
    </row>
    <row r="258" spans="1:34" s="48" customFormat="1" ht="40.5" customHeight="1" x14ac:dyDescent="0.2">
      <c r="A258" s="295" t="s">
        <v>2302</v>
      </c>
      <c r="B258" s="73"/>
      <c r="C258" s="65" t="s">
        <v>2145</v>
      </c>
      <c r="D258" s="67"/>
      <c r="E258" s="67"/>
      <c r="F258" s="33"/>
      <c r="G258" s="40" t="s">
        <v>1753</v>
      </c>
      <c r="H258" s="40" t="s">
        <v>835</v>
      </c>
      <c r="I258" s="40"/>
      <c r="J258" s="72" t="s">
        <v>417</v>
      </c>
      <c r="K258" s="40">
        <v>2013</v>
      </c>
      <c r="L258" s="40"/>
      <c r="M258" s="32"/>
      <c r="N258" s="33"/>
      <c r="O258" s="40"/>
      <c r="P258" s="32" t="s">
        <v>12</v>
      </c>
      <c r="Q258" s="252">
        <v>113211796.06274666</v>
      </c>
      <c r="R258" s="105"/>
      <c r="S258" s="206" t="str">
        <f t="shared" si="60"/>
        <v>3.11.01</v>
      </c>
      <c r="T258" s="207" t="str">
        <f t="shared" si="53"/>
        <v>BANGUNAN GEDUNG TEMPAT KERJA</v>
      </c>
      <c r="U258" s="207">
        <f t="shared" si="54"/>
        <v>50</v>
      </c>
      <c r="V258" s="233">
        <f t="shared" si="61"/>
        <v>2264235.7212549332</v>
      </c>
      <c r="W258" s="233">
        <f t="shared" si="62"/>
        <v>0</v>
      </c>
      <c r="X258" s="233">
        <f t="shared" si="55"/>
        <v>0</v>
      </c>
      <c r="Y258" s="233">
        <f t="shared" si="56"/>
        <v>2264235.7212549332</v>
      </c>
      <c r="Z258" s="233">
        <f t="shared" si="57"/>
        <v>2264235.7212549332</v>
      </c>
      <c r="AA258" s="233">
        <f t="shared" si="58"/>
        <v>2264235.7212549332</v>
      </c>
      <c r="AB258" s="233">
        <f t="shared" si="59"/>
        <v>2264235.7212549332</v>
      </c>
      <c r="AC258" s="238">
        <f t="shared" si="63"/>
        <v>2264235.7212549332</v>
      </c>
      <c r="AD258" s="238">
        <f t="shared" si="64"/>
        <v>11321178.606274666</v>
      </c>
      <c r="AE258" s="206">
        <f t="shared" si="65"/>
        <v>2013</v>
      </c>
      <c r="AF258" s="210">
        <f t="shared" si="66"/>
        <v>101890617.45647199</v>
      </c>
      <c r="AG258" s="48" t="str">
        <f t="shared" si="68"/>
        <v>K</v>
      </c>
    </row>
    <row r="259" spans="1:34" s="48" customFormat="1" ht="40.5" customHeight="1" x14ac:dyDescent="0.2">
      <c r="A259" s="295" t="s">
        <v>2302</v>
      </c>
      <c r="B259" s="73"/>
      <c r="C259" s="65" t="s">
        <v>1930</v>
      </c>
      <c r="D259" s="67"/>
      <c r="E259" s="67"/>
      <c r="F259" s="33"/>
      <c r="G259" s="40"/>
      <c r="H259" s="40"/>
      <c r="I259" s="40"/>
      <c r="J259" s="72" t="s">
        <v>52</v>
      </c>
      <c r="K259" s="40">
        <v>2013</v>
      </c>
      <c r="L259" s="40"/>
      <c r="M259" s="32"/>
      <c r="N259" s="33"/>
      <c r="O259" s="40"/>
      <c r="P259" s="32" t="s">
        <v>12</v>
      </c>
      <c r="Q259" s="252">
        <v>518872308.79713184</v>
      </c>
      <c r="R259" s="105"/>
      <c r="S259" s="206" t="str">
        <f t="shared" si="60"/>
        <v>3.11.01</v>
      </c>
      <c r="T259" s="207" t="str">
        <f t="shared" si="53"/>
        <v>BANGUNAN GEDUNG TEMPAT KERJA</v>
      </c>
      <c r="U259" s="207">
        <f t="shared" si="54"/>
        <v>50</v>
      </c>
      <c r="V259" s="233">
        <f t="shared" si="61"/>
        <v>10377445.975942636</v>
      </c>
      <c r="W259" s="233">
        <f t="shared" si="62"/>
        <v>0</v>
      </c>
      <c r="X259" s="233">
        <f t="shared" si="55"/>
        <v>0</v>
      </c>
      <c r="Y259" s="233">
        <f t="shared" si="56"/>
        <v>10377445.975942636</v>
      </c>
      <c r="Z259" s="233">
        <f t="shared" si="57"/>
        <v>10377445.975942636</v>
      </c>
      <c r="AA259" s="233">
        <f t="shared" si="58"/>
        <v>10377445.975942636</v>
      </c>
      <c r="AB259" s="233">
        <f t="shared" si="59"/>
        <v>10377445.975942636</v>
      </c>
      <c r="AC259" s="238">
        <f t="shared" si="63"/>
        <v>10377445.975942636</v>
      </c>
      <c r="AD259" s="238">
        <f t="shared" si="64"/>
        <v>51887229.879713178</v>
      </c>
      <c r="AE259" s="206">
        <f t="shared" si="65"/>
        <v>2013</v>
      </c>
      <c r="AF259" s="210">
        <f t="shared" si="66"/>
        <v>466985078.91741866</v>
      </c>
      <c r="AG259" s="48" t="e">
        <f t="shared" si="68"/>
        <v>#N/A</v>
      </c>
      <c r="AH259" s="48" t="e">
        <f>IF(AG259='KIB C'!AJ:AJ,"k",0)</f>
        <v>#N/A</v>
      </c>
    </row>
    <row r="260" spans="1:34" s="48" customFormat="1" ht="40.5" customHeight="1" x14ac:dyDescent="0.2">
      <c r="A260" s="295" t="s">
        <v>2302</v>
      </c>
      <c r="B260" s="73"/>
      <c r="C260" s="65" t="s">
        <v>2146</v>
      </c>
      <c r="D260" s="67"/>
      <c r="E260" s="67"/>
      <c r="F260" s="33"/>
      <c r="G260" s="40" t="s">
        <v>1753</v>
      </c>
      <c r="H260" s="40" t="s">
        <v>1753</v>
      </c>
      <c r="I260" s="40"/>
      <c r="J260" s="72" t="s">
        <v>417</v>
      </c>
      <c r="K260" s="40">
        <v>2013</v>
      </c>
      <c r="L260" s="40"/>
      <c r="M260" s="32"/>
      <c r="N260" s="33"/>
      <c r="O260" s="40"/>
      <c r="P260" s="32" t="s">
        <v>12</v>
      </c>
      <c r="Q260" s="252">
        <v>40499800</v>
      </c>
      <c r="R260" s="105"/>
      <c r="S260" s="206" t="str">
        <f t="shared" si="60"/>
        <v>3.11.01</v>
      </c>
      <c r="T260" s="207" t="str">
        <f t="shared" si="53"/>
        <v>BANGUNAN GEDUNG TEMPAT KERJA</v>
      </c>
      <c r="U260" s="207">
        <f t="shared" si="54"/>
        <v>50</v>
      </c>
      <c r="V260" s="233">
        <f t="shared" si="61"/>
        <v>809995.8</v>
      </c>
      <c r="W260" s="233">
        <f t="shared" si="62"/>
        <v>0</v>
      </c>
      <c r="X260" s="233">
        <f t="shared" si="55"/>
        <v>0</v>
      </c>
      <c r="Y260" s="233">
        <f t="shared" si="56"/>
        <v>809995.8</v>
      </c>
      <c r="Z260" s="233">
        <f t="shared" si="57"/>
        <v>809995.8</v>
      </c>
      <c r="AA260" s="233">
        <f t="shared" si="58"/>
        <v>809995.8</v>
      </c>
      <c r="AB260" s="233">
        <f t="shared" si="59"/>
        <v>809995.8</v>
      </c>
      <c r="AC260" s="238">
        <f t="shared" si="63"/>
        <v>809995.8</v>
      </c>
      <c r="AD260" s="238">
        <f t="shared" si="64"/>
        <v>4049979</v>
      </c>
      <c r="AE260" s="206">
        <f t="shared" si="65"/>
        <v>2013</v>
      </c>
      <c r="AF260" s="210">
        <f t="shared" si="66"/>
        <v>36449821</v>
      </c>
      <c r="AG260" s="48" t="e">
        <f t="shared" si="68"/>
        <v>#N/A</v>
      </c>
      <c r="AH260" s="48" t="e">
        <f>IF(AG260='KIB C'!AJ:AJ,"k",0)</f>
        <v>#N/A</v>
      </c>
    </row>
    <row r="261" spans="1:34" s="48" customFormat="1" ht="40.5" customHeight="1" x14ac:dyDescent="0.2">
      <c r="A261" s="295" t="s">
        <v>2302</v>
      </c>
      <c r="B261" s="73"/>
      <c r="C261" s="65" t="s">
        <v>2147</v>
      </c>
      <c r="D261" s="67"/>
      <c r="E261" s="67"/>
      <c r="F261" s="33"/>
      <c r="G261" s="40" t="s">
        <v>1780</v>
      </c>
      <c r="H261" s="40" t="s">
        <v>835</v>
      </c>
      <c r="I261" s="40"/>
      <c r="J261" s="72" t="s">
        <v>417</v>
      </c>
      <c r="K261" s="40">
        <v>2013</v>
      </c>
      <c r="L261" s="40"/>
      <c r="M261" s="32"/>
      <c r="N261" s="33"/>
      <c r="O261" s="40"/>
      <c r="P261" s="32" t="s">
        <v>12</v>
      </c>
      <c r="Q261" s="252">
        <v>6245218080.4600897</v>
      </c>
      <c r="R261" s="105"/>
      <c r="S261" s="206" t="str">
        <f t="shared" si="60"/>
        <v>3.11.01</v>
      </c>
      <c r="T261" s="207" t="str">
        <f t="shared" si="53"/>
        <v>BANGUNAN GEDUNG TEMPAT KERJA</v>
      </c>
      <c r="U261" s="207">
        <f t="shared" si="54"/>
        <v>50</v>
      </c>
      <c r="V261" s="233">
        <f t="shared" si="61"/>
        <v>124904361.4092018</v>
      </c>
      <c r="W261" s="233">
        <f t="shared" si="62"/>
        <v>0</v>
      </c>
      <c r="X261" s="233">
        <f t="shared" si="55"/>
        <v>0</v>
      </c>
      <c r="Y261" s="233">
        <f t="shared" si="56"/>
        <v>124904361.4092018</v>
      </c>
      <c r="Z261" s="233">
        <f t="shared" si="57"/>
        <v>124904361.4092018</v>
      </c>
      <c r="AA261" s="233">
        <f t="shared" si="58"/>
        <v>124904361.4092018</v>
      </c>
      <c r="AB261" s="233">
        <f t="shared" si="59"/>
        <v>124904361.4092018</v>
      </c>
      <c r="AC261" s="238">
        <f t="shared" si="63"/>
        <v>124904361.4092018</v>
      </c>
      <c r="AD261" s="238">
        <f t="shared" si="64"/>
        <v>624521807.04600906</v>
      </c>
      <c r="AE261" s="206">
        <f t="shared" si="65"/>
        <v>2013</v>
      </c>
      <c r="AF261" s="210">
        <f t="shared" si="66"/>
        <v>5620696273.4140806</v>
      </c>
      <c r="AG261" s="48" t="str">
        <f t="shared" si="68"/>
        <v>K</v>
      </c>
    </row>
    <row r="262" spans="1:34" s="48" customFormat="1" ht="40.5" customHeight="1" x14ac:dyDescent="0.2">
      <c r="A262" s="295" t="s">
        <v>2302</v>
      </c>
      <c r="B262" s="73"/>
      <c r="C262" s="65" t="s">
        <v>2148</v>
      </c>
      <c r="D262" s="67"/>
      <c r="E262" s="67"/>
      <c r="F262" s="33"/>
      <c r="G262" s="40"/>
      <c r="H262" s="40" t="s">
        <v>835</v>
      </c>
      <c r="I262" s="40"/>
      <c r="J262" s="72" t="s">
        <v>2942</v>
      </c>
      <c r="K262" s="40">
        <v>2013</v>
      </c>
      <c r="L262" s="40"/>
      <c r="M262" s="32"/>
      <c r="N262" s="33"/>
      <c r="O262" s="40"/>
      <c r="P262" s="32" t="s">
        <v>12</v>
      </c>
      <c r="Q262" s="252">
        <v>113672190.51406735</v>
      </c>
      <c r="R262" s="105"/>
      <c r="S262" s="206" t="str">
        <f t="shared" si="60"/>
        <v>3.11.01</v>
      </c>
      <c r="T262" s="207" t="str">
        <f t="shared" si="53"/>
        <v>BANGUNAN GEDUNG TEMPAT KERJA</v>
      </c>
      <c r="U262" s="207">
        <f t="shared" si="54"/>
        <v>50</v>
      </c>
      <c r="V262" s="233">
        <f t="shared" si="61"/>
        <v>2273443.6102813468</v>
      </c>
      <c r="W262" s="233">
        <f t="shared" si="62"/>
        <v>0</v>
      </c>
      <c r="X262" s="233">
        <f t="shared" si="55"/>
        <v>0</v>
      </c>
      <c r="Y262" s="233">
        <f t="shared" si="56"/>
        <v>2273443.6102813468</v>
      </c>
      <c r="Z262" s="233">
        <f t="shared" si="57"/>
        <v>2273443.6102813468</v>
      </c>
      <c r="AA262" s="233">
        <f t="shared" si="58"/>
        <v>2273443.6102813468</v>
      </c>
      <c r="AB262" s="233">
        <f t="shared" si="59"/>
        <v>2273443.6102813468</v>
      </c>
      <c r="AC262" s="238">
        <f t="shared" si="63"/>
        <v>2273443.6102813468</v>
      </c>
      <c r="AD262" s="238">
        <f t="shared" si="64"/>
        <v>11367218.051406734</v>
      </c>
      <c r="AE262" s="206">
        <f t="shared" si="65"/>
        <v>2013</v>
      </c>
      <c r="AF262" s="210">
        <f t="shared" si="66"/>
        <v>102304972.46266061</v>
      </c>
      <c r="AG262" s="48" t="str">
        <f t="shared" si="68"/>
        <v>K</v>
      </c>
    </row>
    <row r="263" spans="1:34" s="48" customFormat="1" ht="40.5" customHeight="1" x14ac:dyDescent="0.2">
      <c r="A263" s="295" t="s">
        <v>2302</v>
      </c>
      <c r="B263" s="73"/>
      <c r="C263" s="65" t="s">
        <v>2149</v>
      </c>
      <c r="D263" s="67"/>
      <c r="E263" s="67"/>
      <c r="F263" s="33"/>
      <c r="G263" s="40"/>
      <c r="H263" s="40" t="s">
        <v>835</v>
      </c>
      <c r="I263" s="40"/>
      <c r="J263" s="72" t="s">
        <v>1081</v>
      </c>
      <c r="K263" s="40">
        <v>2013</v>
      </c>
      <c r="L263" s="40"/>
      <c r="M263" s="32"/>
      <c r="N263" s="33"/>
      <c r="O263" s="40"/>
      <c r="P263" s="32" t="s">
        <v>12</v>
      </c>
      <c r="Q263" s="252">
        <v>7392750</v>
      </c>
      <c r="R263" s="105"/>
      <c r="S263" s="206" t="str">
        <f t="shared" si="60"/>
        <v>3.11.01</v>
      </c>
      <c r="T263" s="207" t="str">
        <f t="shared" si="53"/>
        <v>BANGUNAN GEDUNG TEMPAT KERJA</v>
      </c>
      <c r="U263" s="207">
        <f t="shared" si="54"/>
        <v>50</v>
      </c>
      <c r="V263" s="233">
        <f t="shared" si="61"/>
        <v>147854.79999999999</v>
      </c>
      <c r="W263" s="233">
        <f t="shared" si="62"/>
        <v>0</v>
      </c>
      <c r="X263" s="233">
        <f t="shared" si="55"/>
        <v>0</v>
      </c>
      <c r="Y263" s="233">
        <f t="shared" si="56"/>
        <v>147854.79999999999</v>
      </c>
      <c r="Z263" s="233">
        <f t="shared" si="57"/>
        <v>147854.79999999999</v>
      </c>
      <c r="AA263" s="233">
        <f t="shared" si="58"/>
        <v>147854.79999999999</v>
      </c>
      <c r="AB263" s="233">
        <f t="shared" si="59"/>
        <v>147854.79999999999</v>
      </c>
      <c r="AC263" s="238">
        <f t="shared" si="63"/>
        <v>147854.79999999999</v>
      </c>
      <c r="AD263" s="238">
        <f t="shared" si="64"/>
        <v>739274</v>
      </c>
      <c r="AE263" s="206">
        <f t="shared" si="65"/>
        <v>2013</v>
      </c>
      <c r="AF263" s="210">
        <f t="shared" si="66"/>
        <v>6653476</v>
      </c>
      <c r="AG263" s="48" t="e">
        <f t="shared" si="68"/>
        <v>#N/A</v>
      </c>
      <c r="AH263" s="48" t="e">
        <f>IF(AG263='KIB C'!AJ:AJ,"k",0)</f>
        <v>#N/A</v>
      </c>
    </row>
    <row r="264" spans="1:34" s="48" customFormat="1" ht="40.5" customHeight="1" x14ac:dyDescent="0.2">
      <c r="A264" s="295" t="s">
        <v>2302</v>
      </c>
      <c r="B264" s="73"/>
      <c r="C264" s="65" t="s">
        <v>2150</v>
      </c>
      <c r="D264" s="67"/>
      <c r="E264" s="67"/>
      <c r="F264" s="33"/>
      <c r="G264" s="40"/>
      <c r="H264" s="40"/>
      <c r="I264" s="40"/>
      <c r="J264" s="72" t="s">
        <v>417</v>
      </c>
      <c r="K264" s="40">
        <v>2013</v>
      </c>
      <c r="L264" s="40"/>
      <c r="M264" s="32"/>
      <c r="N264" s="33"/>
      <c r="O264" s="40"/>
      <c r="P264" s="32" t="s">
        <v>12</v>
      </c>
      <c r="Q264" s="252">
        <v>33253000</v>
      </c>
      <c r="R264" s="105"/>
      <c r="S264" s="206" t="str">
        <f t="shared" si="60"/>
        <v>3.11.01</v>
      </c>
      <c r="T264" s="207" t="str">
        <f t="shared" si="53"/>
        <v>BANGUNAN GEDUNG TEMPAT KERJA</v>
      </c>
      <c r="U264" s="207">
        <f t="shared" si="54"/>
        <v>50</v>
      </c>
      <c r="V264" s="233">
        <f t="shared" si="61"/>
        <v>665059.80000000005</v>
      </c>
      <c r="W264" s="233">
        <f t="shared" si="62"/>
        <v>0</v>
      </c>
      <c r="X264" s="233">
        <f t="shared" si="55"/>
        <v>0</v>
      </c>
      <c r="Y264" s="233">
        <f t="shared" si="56"/>
        <v>665059.80000000005</v>
      </c>
      <c r="Z264" s="233">
        <f t="shared" si="57"/>
        <v>665059.80000000005</v>
      </c>
      <c r="AA264" s="233">
        <f t="shared" si="58"/>
        <v>665059.80000000005</v>
      </c>
      <c r="AB264" s="233">
        <f t="shared" si="59"/>
        <v>665059.80000000005</v>
      </c>
      <c r="AC264" s="238">
        <f t="shared" si="63"/>
        <v>665059.80000000005</v>
      </c>
      <c r="AD264" s="238">
        <f t="shared" si="64"/>
        <v>3325299</v>
      </c>
      <c r="AE264" s="206">
        <f t="shared" si="65"/>
        <v>2013</v>
      </c>
      <c r="AF264" s="210">
        <f t="shared" si="66"/>
        <v>29927701</v>
      </c>
      <c r="AG264" s="48" t="str">
        <f t="shared" si="68"/>
        <v>K</v>
      </c>
    </row>
    <row r="265" spans="1:34" s="48" customFormat="1" ht="40.5" customHeight="1" x14ac:dyDescent="0.2">
      <c r="A265" s="295" t="s">
        <v>2302</v>
      </c>
      <c r="B265" s="73"/>
      <c r="C265" s="65" t="s">
        <v>2151</v>
      </c>
      <c r="D265" s="67"/>
      <c r="E265" s="67"/>
      <c r="F265" s="33"/>
      <c r="G265" s="40"/>
      <c r="H265" s="40"/>
      <c r="I265" s="40"/>
      <c r="J265" s="72" t="s">
        <v>52</v>
      </c>
      <c r="K265" s="40">
        <v>2013</v>
      </c>
      <c r="L265" s="40"/>
      <c r="M265" s="32"/>
      <c r="N265" s="33"/>
      <c r="O265" s="40"/>
      <c r="P265" s="32" t="s">
        <v>12</v>
      </c>
      <c r="Q265" s="252">
        <v>46015756.919106446</v>
      </c>
      <c r="R265" s="105"/>
      <c r="S265" s="206" t="str">
        <f t="shared" si="60"/>
        <v>3.11.01</v>
      </c>
      <c r="T265" s="207" t="str">
        <f t="shared" si="53"/>
        <v>BANGUNAN GEDUNG TEMPAT KERJA</v>
      </c>
      <c r="U265" s="207">
        <f t="shared" si="54"/>
        <v>50</v>
      </c>
      <c r="V265" s="233">
        <f t="shared" si="61"/>
        <v>920314.93838212895</v>
      </c>
      <c r="W265" s="233">
        <f t="shared" si="62"/>
        <v>0</v>
      </c>
      <c r="X265" s="233">
        <f t="shared" si="55"/>
        <v>0</v>
      </c>
      <c r="Y265" s="233">
        <f t="shared" si="56"/>
        <v>920314.93838212895</v>
      </c>
      <c r="Z265" s="233">
        <f t="shared" si="57"/>
        <v>920314.93838212895</v>
      </c>
      <c r="AA265" s="233">
        <f t="shared" si="58"/>
        <v>920314.93838212895</v>
      </c>
      <c r="AB265" s="233">
        <f t="shared" si="59"/>
        <v>920314.93838212895</v>
      </c>
      <c r="AC265" s="238">
        <f t="shared" si="63"/>
        <v>920314.93838212895</v>
      </c>
      <c r="AD265" s="238">
        <f t="shared" si="64"/>
        <v>4601574.691910645</v>
      </c>
      <c r="AE265" s="206">
        <f t="shared" si="65"/>
        <v>2013</v>
      </c>
      <c r="AF265" s="210">
        <f t="shared" si="66"/>
        <v>41414182.227195799</v>
      </c>
      <c r="AG265" s="48" t="str">
        <f t="shared" si="68"/>
        <v>K</v>
      </c>
    </row>
    <row r="266" spans="1:34" s="48" customFormat="1" ht="40.5" customHeight="1" x14ac:dyDescent="0.2">
      <c r="A266" s="295" t="s">
        <v>2302</v>
      </c>
      <c r="B266" s="73"/>
      <c r="C266" s="65" t="s">
        <v>2152</v>
      </c>
      <c r="D266" s="67"/>
      <c r="E266" s="67"/>
      <c r="F266" s="33"/>
      <c r="G266" s="40"/>
      <c r="H266" s="40"/>
      <c r="I266" s="40"/>
      <c r="J266" s="72" t="s">
        <v>52</v>
      </c>
      <c r="K266" s="40">
        <v>2014</v>
      </c>
      <c r="L266" s="40"/>
      <c r="M266" s="32"/>
      <c r="N266" s="33"/>
      <c r="O266" s="40"/>
      <c r="P266" s="32"/>
      <c r="Q266" s="252">
        <v>340497000</v>
      </c>
      <c r="R266" s="105"/>
      <c r="S266" s="206" t="str">
        <f t="shared" si="60"/>
        <v>3.11.01</v>
      </c>
      <c r="T266" s="207" t="str">
        <f t="shared" si="53"/>
        <v>BANGUNAN GEDUNG TEMPAT KERJA</v>
      </c>
      <c r="U266" s="207">
        <f t="shared" si="54"/>
        <v>50</v>
      </c>
      <c r="V266" s="233">
        <f t="shared" si="61"/>
        <v>6809939.7999999998</v>
      </c>
      <c r="W266" s="233"/>
      <c r="X266" s="233">
        <f t="shared" si="55"/>
        <v>0</v>
      </c>
      <c r="Y266" s="233">
        <f t="shared" si="56"/>
        <v>6809939.7999999998</v>
      </c>
      <c r="Z266" s="233">
        <f t="shared" si="57"/>
        <v>6809939.7999999998</v>
      </c>
      <c r="AA266" s="233">
        <f t="shared" si="58"/>
        <v>6809939.7999999998</v>
      </c>
      <c r="AB266" s="233">
        <f t="shared" si="59"/>
        <v>6809939.7999999998</v>
      </c>
      <c r="AC266" s="238">
        <f t="shared" si="63"/>
        <v>6809939.7999999998</v>
      </c>
      <c r="AD266" s="238">
        <f t="shared" si="64"/>
        <v>34049699</v>
      </c>
      <c r="AE266" s="206">
        <f t="shared" si="65"/>
        <v>2014</v>
      </c>
      <c r="AF266" s="210">
        <f t="shared" si="66"/>
        <v>306447301</v>
      </c>
      <c r="AG266" s="48" t="e">
        <f t="shared" si="68"/>
        <v>#N/A</v>
      </c>
      <c r="AH266" s="48" t="e">
        <f>IF(AG266='KIB C'!AJ:AJ,"k",0)</f>
        <v>#N/A</v>
      </c>
    </row>
    <row r="267" spans="1:34" s="48" customFormat="1" ht="40.5" customHeight="1" x14ac:dyDescent="0.2">
      <c r="A267" s="295" t="s">
        <v>2302</v>
      </c>
      <c r="B267" s="73"/>
      <c r="C267" s="65" t="s">
        <v>2153</v>
      </c>
      <c r="D267" s="67" t="s">
        <v>1752</v>
      </c>
      <c r="E267" s="67" t="s">
        <v>39</v>
      </c>
      <c r="F267" s="33" t="s">
        <v>43</v>
      </c>
      <c r="G267" s="40" t="s">
        <v>1786</v>
      </c>
      <c r="H267" s="40" t="s">
        <v>1934</v>
      </c>
      <c r="I267" s="40"/>
      <c r="J267" s="72" t="s">
        <v>737</v>
      </c>
      <c r="K267" s="40">
        <v>2014</v>
      </c>
      <c r="L267" s="40" t="s">
        <v>2154</v>
      </c>
      <c r="M267" s="32"/>
      <c r="N267" s="33"/>
      <c r="O267" s="40"/>
      <c r="P267" s="32"/>
      <c r="Q267" s="252">
        <v>170698800</v>
      </c>
      <c r="R267" s="105"/>
      <c r="S267" s="206" t="str">
        <f t="shared" si="60"/>
        <v>3.11.01</v>
      </c>
      <c r="T267" s="207" t="str">
        <f t="shared" si="53"/>
        <v>BANGUNAN GEDUNG TEMPAT KERJA</v>
      </c>
      <c r="U267" s="207">
        <f t="shared" si="54"/>
        <v>50</v>
      </c>
      <c r="V267" s="233">
        <f t="shared" si="61"/>
        <v>3413975.8</v>
      </c>
      <c r="W267" s="233"/>
      <c r="X267" s="233">
        <f t="shared" si="55"/>
        <v>0</v>
      </c>
      <c r="Y267" s="233">
        <f t="shared" si="56"/>
        <v>3413975.8</v>
      </c>
      <c r="Z267" s="233">
        <f t="shared" si="57"/>
        <v>3413975.8</v>
      </c>
      <c r="AA267" s="233">
        <f t="shared" si="58"/>
        <v>3413975.8</v>
      </c>
      <c r="AB267" s="233">
        <f t="shared" si="59"/>
        <v>3413975.8</v>
      </c>
      <c r="AC267" s="238">
        <f t="shared" si="63"/>
        <v>3413975.8</v>
      </c>
      <c r="AD267" s="238">
        <f t="shared" si="64"/>
        <v>17069879</v>
      </c>
      <c r="AE267" s="206">
        <f t="shared" si="65"/>
        <v>2014</v>
      </c>
      <c r="AF267" s="210">
        <f t="shared" si="66"/>
        <v>153628921</v>
      </c>
      <c r="AG267" s="48" t="s">
        <v>4245</v>
      </c>
      <c r="AH267" s="48">
        <f>IF(AG267='KIB C'!AJ:AJ,"k",0)</f>
        <v>0</v>
      </c>
    </row>
    <row r="268" spans="1:34" s="48" customFormat="1" ht="40.5" customHeight="1" x14ac:dyDescent="0.2">
      <c r="A268" s="295" t="s">
        <v>2302</v>
      </c>
      <c r="B268" s="73"/>
      <c r="C268" s="65" t="s">
        <v>2155</v>
      </c>
      <c r="D268" s="67" t="s">
        <v>1752</v>
      </c>
      <c r="E268" s="67" t="s">
        <v>68</v>
      </c>
      <c r="F268" s="33" t="s">
        <v>43</v>
      </c>
      <c r="G268" s="40" t="s">
        <v>1786</v>
      </c>
      <c r="H268" s="40" t="s">
        <v>1934</v>
      </c>
      <c r="I268" s="40"/>
      <c r="J268" s="72" t="s">
        <v>2915</v>
      </c>
      <c r="K268" s="40">
        <v>2014</v>
      </c>
      <c r="L268" s="40" t="s">
        <v>2066</v>
      </c>
      <c r="M268" s="32"/>
      <c r="N268" s="33"/>
      <c r="O268" s="40"/>
      <c r="P268" s="32"/>
      <c r="Q268" s="252">
        <v>150796700</v>
      </c>
      <c r="R268" s="105"/>
      <c r="S268" s="206" t="str">
        <f t="shared" si="60"/>
        <v>3.11.01</v>
      </c>
      <c r="T268" s="207" t="str">
        <f t="shared" si="53"/>
        <v>BANGUNAN GEDUNG TEMPAT KERJA</v>
      </c>
      <c r="U268" s="207">
        <f t="shared" si="54"/>
        <v>50</v>
      </c>
      <c r="V268" s="233">
        <f t="shared" si="61"/>
        <v>3015933.8</v>
      </c>
      <c r="W268" s="233"/>
      <c r="X268" s="233">
        <f t="shared" si="55"/>
        <v>0</v>
      </c>
      <c r="Y268" s="233">
        <f t="shared" si="56"/>
        <v>3015933.8</v>
      </c>
      <c r="Z268" s="233">
        <f t="shared" si="57"/>
        <v>3015933.8</v>
      </c>
      <c r="AA268" s="233">
        <f t="shared" si="58"/>
        <v>3015933.8</v>
      </c>
      <c r="AB268" s="233">
        <f t="shared" si="59"/>
        <v>3015933.8</v>
      </c>
      <c r="AC268" s="238">
        <f t="shared" si="63"/>
        <v>3015933.8</v>
      </c>
      <c r="AD268" s="238">
        <f t="shared" si="64"/>
        <v>15079669</v>
      </c>
      <c r="AE268" s="206">
        <f t="shared" si="65"/>
        <v>2014</v>
      </c>
      <c r="AF268" s="210">
        <f t="shared" si="66"/>
        <v>135717031</v>
      </c>
      <c r="AG268" s="48" t="s">
        <v>4245</v>
      </c>
      <c r="AH268" s="48">
        <f>IF(AG268='KIB C'!AJ:AJ,"k",0)</f>
        <v>0</v>
      </c>
    </row>
    <row r="269" spans="1:34" s="48" customFormat="1" ht="40.5" customHeight="1" x14ac:dyDescent="0.2">
      <c r="A269" s="295" t="s">
        <v>2302</v>
      </c>
      <c r="B269" s="73"/>
      <c r="C269" s="65" t="s">
        <v>2156</v>
      </c>
      <c r="D269" s="67" t="s">
        <v>1752</v>
      </c>
      <c r="E269" s="67" t="s">
        <v>1765</v>
      </c>
      <c r="F269" s="33" t="s">
        <v>43</v>
      </c>
      <c r="G269" s="40" t="s">
        <v>1786</v>
      </c>
      <c r="H269" s="40" t="s">
        <v>1934</v>
      </c>
      <c r="I269" s="40"/>
      <c r="J269" s="72" t="s">
        <v>2915</v>
      </c>
      <c r="K269" s="40">
        <v>2014</v>
      </c>
      <c r="L269" s="40" t="s">
        <v>2157</v>
      </c>
      <c r="M269" s="32"/>
      <c r="N269" s="33"/>
      <c r="O269" s="40"/>
      <c r="P269" s="32"/>
      <c r="Q269" s="252">
        <v>506599100</v>
      </c>
      <c r="R269" s="105"/>
      <c r="S269" s="206" t="str">
        <f t="shared" si="60"/>
        <v>3.11.01</v>
      </c>
      <c r="T269" s="207" t="str">
        <f t="shared" si="53"/>
        <v>BANGUNAN GEDUNG TEMPAT KERJA</v>
      </c>
      <c r="U269" s="207">
        <f t="shared" si="54"/>
        <v>50</v>
      </c>
      <c r="V269" s="233">
        <f t="shared" si="61"/>
        <v>10131981.800000001</v>
      </c>
      <c r="W269" s="233"/>
      <c r="X269" s="233">
        <f t="shared" si="55"/>
        <v>0</v>
      </c>
      <c r="Y269" s="233">
        <f t="shared" si="56"/>
        <v>10131981.800000001</v>
      </c>
      <c r="Z269" s="233">
        <f t="shared" si="57"/>
        <v>10131981.800000001</v>
      </c>
      <c r="AA269" s="233">
        <f t="shared" si="58"/>
        <v>10131981.800000001</v>
      </c>
      <c r="AB269" s="233">
        <f t="shared" si="59"/>
        <v>10131981.800000001</v>
      </c>
      <c r="AC269" s="238">
        <f t="shared" si="63"/>
        <v>10131981.800000001</v>
      </c>
      <c r="AD269" s="238">
        <f t="shared" si="64"/>
        <v>50659909</v>
      </c>
      <c r="AE269" s="206">
        <f t="shared" si="65"/>
        <v>2014</v>
      </c>
      <c r="AF269" s="210">
        <f t="shared" si="66"/>
        <v>455939191</v>
      </c>
      <c r="AG269" s="48" t="e">
        <f t="shared" ref="AG269:AG313" si="69">VLOOKUP(C269,KAP,2,0)</f>
        <v>#N/A</v>
      </c>
      <c r="AH269" s="48" t="e">
        <f>IF(AG269='KIB C'!AJ:AJ,"k",0)</f>
        <v>#N/A</v>
      </c>
    </row>
    <row r="270" spans="1:34" s="48" customFormat="1" ht="40.5" customHeight="1" x14ac:dyDescent="0.2">
      <c r="A270" s="295" t="s">
        <v>2302</v>
      </c>
      <c r="B270" s="73"/>
      <c r="C270" s="65" t="s">
        <v>2158</v>
      </c>
      <c r="D270" s="67" t="s">
        <v>1752</v>
      </c>
      <c r="E270" s="67" t="s">
        <v>1768</v>
      </c>
      <c r="F270" s="33" t="s">
        <v>43</v>
      </c>
      <c r="G270" s="40" t="s">
        <v>1786</v>
      </c>
      <c r="H270" s="40" t="s">
        <v>1934</v>
      </c>
      <c r="I270" s="40"/>
      <c r="J270" s="72" t="s">
        <v>2943</v>
      </c>
      <c r="K270" s="40">
        <v>2014</v>
      </c>
      <c r="L270" s="40" t="s">
        <v>2160</v>
      </c>
      <c r="M270" s="32"/>
      <c r="N270" s="33"/>
      <c r="O270" s="40"/>
      <c r="P270" s="32"/>
      <c r="Q270" s="252">
        <v>475767500</v>
      </c>
      <c r="R270" s="105"/>
      <c r="S270" s="206" t="str">
        <f t="shared" si="60"/>
        <v>3.11.01</v>
      </c>
      <c r="T270" s="207" t="str">
        <f t="shared" ref="T270:T319" si="70">VLOOKUP(S270,kelompok,2,0)</f>
        <v>BANGUNAN GEDUNG TEMPAT KERJA</v>
      </c>
      <c r="U270" s="207">
        <f t="shared" ref="U270:U319" si="71">VLOOKUP(S270,MASAMANFAAT,4,0)</f>
        <v>50</v>
      </c>
      <c r="V270" s="233">
        <f t="shared" si="61"/>
        <v>9515349.8000000007</v>
      </c>
      <c r="W270" s="233"/>
      <c r="X270" s="233">
        <f t="shared" ref="X270:X319" si="72">IF(W270&gt;U270,Q270-10,V270*W270)</f>
        <v>0</v>
      </c>
      <c r="Y270" s="233">
        <f t="shared" ref="Y270:Y315" si="73">IF(Q270-10=X270,0,V270)</f>
        <v>9515349.8000000007</v>
      </c>
      <c r="Z270" s="233">
        <f t="shared" ref="Z270:Z315" si="74">IF(Q270-10=X270+Y270,0,V270)</f>
        <v>9515349.8000000007</v>
      </c>
      <c r="AA270" s="233">
        <f t="shared" ref="AA270:AA319" si="75">IF(Q270-10=X270+Y270+Z270,0,V270)</f>
        <v>9515349.8000000007</v>
      </c>
      <c r="AB270" s="233">
        <f t="shared" ref="AB270:AB319" si="76">IF(Q270-10=X270+Y270+Z270+AA270,0,V270)</f>
        <v>9515349.8000000007</v>
      </c>
      <c r="AC270" s="238">
        <f t="shared" si="63"/>
        <v>9515349.8000000007</v>
      </c>
      <c r="AD270" s="238">
        <f t="shared" si="64"/>
        <v>47576749</v>
      </c>
      <c r="AE270" s="206">
        <f t="shared" si="65"/>
        <v>2014</v>
      </c>
      <c r="AF270" s="210">
        <f t="shared" si="66"/>
        <v>428190751</v>
      </c>
      <c r="AG270" s="48" t="e">
        <f t="shared" si="69"/>
        <v>#N/A</v>
      </c>
      <c r="AH270" s="48" t="e">
        <f>IF(AG270='KIB C'!AJ:AJ,"k",0)</f>
        <v>#N/A</v>
      </c>
    </row>
    <row r="271" spans="1:34" s="48" customFormat="1" ht="40.5" customHeight="1" x14ac:dyDescent="0.2">
      <c r="A271" s="295" t="s">
        <v>2302</v>
      </c>
      <c r="B271" s="73"/>
      <c r="C271" s="65" t="s">
        <v>2161</v>
      </c>
      <c r="D271" s="67" t="s">
        <v>1752</v>
      </c>
      <c r="E271" s="67" t="s">
        <v>1855</v>
      </c>
      <c r="F271" s="33" t="s">
        <v>43</v>
      </c>
      <c r="G271" s="40" t="s">
        <v>1786</v>
      </c>
      <c r="H271" s="40" t="s">
        <v>1934</v>
      </c>
      <c r="I271" s="40"/>
      <c r="J271" s="72" t="s">
        <v>2944</v>
      </c>
      <c r="K271" s="40">
        <v>2014</v>
      </c>
      <c r="L271" s="40" t="s">
        <v>2160</v>
      </c>
      <c r="M271" s="32"/>
      <c r="N271" s="33"/>
      <c r="O271" s="40"/>
      <c r="P271" s="32"/>
      <c r="Q271" s="252">
        <v>2375871000</v>
      </c>
      <c r="R271" s="105"/>
      <c r="S271" s="206" t="str">
        <f t="shared" ref="S271:S319" si="77">A271</f>
        <v>3.11.01</v>
      </c>
      <c r="T271" s="207" t="str">
        <f t="shared" si="70"/>
        <v>BANGUNAN GEDUNG TEMPAT KERJA</v>
      </c>
      <c r="U271" s="207">
        <f t="shared" si="71"/>
        <v>50</v>
      </c>
      <c r="V271" s="233">
        <f t="shared" ref="V271:V332" si="78">(Q271-10)/U271</f>
        <v>47517419.799999997</v>
      </c>
      <c r="W271" s="233"/>
      <c r="X271" s="233">
        <f t="shared" si="72"/>
        <v>0</v>
      </c>
      <c r="Y271" s="233">
        <f t="shared" si="73"/>
        <v>47517419.799999997</v>
      </c>
      <c r="Z271" s="233">
        <f t="shared" si="74"/>
        <v>47517419.799999997</v>
      </c>
      <c r="AA271" s="233">
        <f t="shared" si="75"/>
        <v>47517419.799999997</v>
      </c>
      <c r="AB271" s="233">
        <f t="shared" si="76"/>
        <v>47517419.799999997</v>
      </c>
      <c r="AC271" s="238">
        <f t="shared" ref="AC271:AC334" si="79">IF(Q271-10=X271+Y271+Z271+AA271+AB271,0,V271)</f>
        <v>47517419.799999997</v>
      </c>
      <c r="AD271" s="238">
        <f t="shared" ref="AD271:AD334" si="80">SUM(X271:AC271)</f>
        <v>237587099</v>
      </c>
      <c r="AE271" s="206">
        <f t="shared" ref="AE271:AE334" si="81">K271</f>
        <v>2014</v>
      </c>
      <c r="AF271" s="210">
        <f t="shared" ref="AF271:AF334" si="82">Q271-AD271</f>
        <v>2138283901</v>
      </c>
      <c r="AG271" s="48" t="e">
        <f t="shared" si="69"/>
        <v>#N/A</v>
      </c>
      <c r="AH271" s="48" t="e">
        <f>IF(AG271='KIB C'!AJ:AJ,"k",0)</f>
        <v>#N/A</v>
      </c>
    </row>
    <row r="272" spans="1:34" s="48" customFormat="1" ht="40.5" customHeight="1" x14ac:dyDescent="0.2">
      <c r="A272" s="295" t="s">
        <v>2302</v>
      </c>
      <c r="B272" s="73"/>
      <c r="C272" s="65" t="s">
        <v>2163</v>
      </c>
      <c r="D272" s="67" t="s">
        <v>1752</v>
      </c>
      <c r="E272" s="67" t="s">
        <v>1857</v>
      </c>
      <c r="F272" s="33" t="s">
        <v>43</v>
      </c>
      <c r="G272" s="40" t="s">
        <v>1786</v>
      </c>
      <c r="H272" s="40" t="s">
        <v>1934</v>
      </c>
      <c r="I272" s="40"/>
      <c r="J272" s="72" t="s">
        <v>2945</v>
      </c>
      <c r="K272" s="40">
        <v>2014</v>
      </c>
      <c r="L272" s="40" t="s">
        <v>2164</v>
      </c>
      <c r="M272" s="32"/>
      <c r="N272" s="33"/>
      <c r="O272" s="40"/>
      <c r="P272" s="32"/>
      <c r="Q272" s="252">
        <v>556156500</v>
      </c>
      <c r="R272" s="105"/>
      <c r="S272" s="206" t="str">
        <f t="shared" si="77"/>
        <v>3.11.01</v>
      </c>
      <c r="T272" s="207" t="str">
        <f t="shared" si="70"/>
        <v>BANGUNAN GEDUNG TEMPAT KERJA</v>
      </c>
      <c r="U272" s="207">
        <f t="shared" si="71"/>
        <v>50</v>
      </c>
      <c r="V272" s="233">
        <f t="shared" si="78"/>
        <v>11123129.800000001</v>
      </c>
      <c r="W272" s="233"/>
      <c r="X272" s="233">
        <f t="shared" si="72"/>
        <v>0</v>
      </c>
      <c r="Y272" s="233">
        <f t="shared" si="73"/>
        <v>11123129.800000001</v>
      </c>
      <c r="Z272" s="233">
        <f t="shared" si="74"/>
        <v>11123129.800000001</v>
      </c>
      <c r="AA272" s="233">
        <f t="shared" si="75"/>
        <v>11123129.800000001</v>
      </c>
      <c r="AB272" s="233">
        <f t="shared" si="76"/>
        <v>11123129.800000001</v>
      </c>
      <c r="AC272" s="238">
        <f t="shared" si="79"/>
        <v>11123129.800000001</v>
      </c>
      <c r="AD272" s="238">
        <f t="shared" si="80"/>
        <v>55615649</v>
      </c>
      <c r="AE272" s="206">
        <f t="shared" si="81"/>
        <v>2014</v>
      </c>
      <c r="AF272" s="210">
        <f t="shared" si="82"/>
        <v>500540851</v>
      </c>
      <c r="AG272" s="48" t="str">
        <f t="shared" si="69"/>
        <v>K</v>
      </c>
    </row>
    <row r="273" spans="1:34" s="48" customFormat="1" ht="40.5" customHeight="1" x14ac:dyDescent="0.2">
      <c r="A273" s="295" t="s">
        <v>2302</v>
      </c>
      <c r="B273" s="73"/>
      <c r="C273" s="65" t="s">
        <v>2165</v>
      </c>
      <c r="D273" s="67" t="s">
        <v>1752</v>
      </c>
      <c r="E273" s="67" t="s">
        <v>1861</v>
      </c>
      <c r="F273" s="33" t="s">
        <v>43</v>
      </c>
      <c r="G273" s="40" t="s">
        <v>1786</v>
      </c>
      <c r="H273" s="40" t="s">
        <v>1934</v>
      </c>
      <c r="I273" s="40"/>
      <c r="J273" s="72" t="s">
        <v>2946</v>
      </c>
      <c r="K273" s="40">
        <v>2014</v>
      </c>
      <c r="L273" s="40" t="s">
        <v>2167</v>
      </c>
      <c r="M273" s="32"/>
      <c r="N273" s="33"/>
      <c r="O273" s="40"/>
      <c r="P273" s="32"/>
      <c r="Q273" s="252">
        <v>3973869000</v>
      </c>
      <c r="R273" s="105"/>
      <c r="S273" s="206" t="str">
        <f t="shared" si="77"/>
        <v>3.11.01</v>
      </c>
      <c r="T273" s="207" t="str">
        <f t="shared" si="70"/>
        <v>BANGUNAN GEDUNG TEMPAT KERJA</v>
      </c>
      <c r="U273" s="207">
        <f t="shared" si="71"/>
        <v>50</v>
      </c>
      <c r="V273" s="233">
        <f t="shared" si="78"/>
        <v>79477379.799999997</v>
      </c>
      <c r="W273" s="233"/>
      <c r="X273" s="233">
        <f t="shared" si="72"/>
        <v>0</v>
      </c>
      <c r="Y273" s="233">
        <f t="shared" si="73"/>
        <v>79477379.799999997</v>
      </c>
      <c r="Z273" s="233">
        <f t="shared" si="74"/>
        <v>79477379.799999997</v>
      </c>
      <c r="AA273" s="233">
        <f t="shared" si="75"/>
        <v>79477379.799999997</v>
      </c>
      <c r="AB273" s="233">
        <f t="shared" si="76"/>
        <v>79477379.799999997</v>
      </c>
      <c r="AC273" s="238">
        <f t="shared" si="79"/>
        <v>79477379.799999997</v>
      </c>
      <c r="AD273" s="238">
        <f t="shared" si="80"/>
        <v>397386899</v>
      </c>
      <c r="AE273" s="206">
        <f t="shared" si="81"/>
        <v>2014</v>
      </c>
      <c r="AF273" s="210">
        <f t="shared" si="82"/>
        <v>3576482101</v>
      </c>
      <c r="AG273" s="48" t="e">
        <f t="shared" si="69"/>
        <v>#N/A</v>
      </c>
      <c r="AH273" s="48" t="e">
        <f>IF(AG273='KIB C'!AJ:AJ,"k",0)</f>
        <v>#N/A</v>
      </c>
    </row>
    <row r="274" spans="1:34" s="48" customFormat="1" ht="40.5" customHeight="1" x14ac:dyDescent="0.2">
      <c r="A274" s="295" t="s">
        <v>2302</v>
      </c>
      <c r="B274" s="73"/>
      <c r="C274" s="65" t="s">
        <v>2168</v>
      </c>
      <c r="D274" s="67" t="s">
        <v>1752</v>
      </c>
      <c r="E274" s="67" t="s">
        <v>1861</v>
      </c>
      <c r="F274" s="33" t="s">
        <v>43</v>
      </c>
      <c r="G274" s="40" t="s">
        <v>1786</v>
      </c>
      <c r="H274" s="40" t="s">
        <v>1934</v>
      </c>
      <c r="I274" s="40"/>
      <c r="J274" s="72" t="s">
        <v>2947</v>
      </c>
      <c r="K274" s="40">
        <v>2014</v>
      </c>
      <c r="L274" s="40" t="s">
        <v>2170</v>
      </c>
      <c r="M274" s="32"/>
      <c r="N274" s="33"/>
      <c r="O274" s="40"/>
      <c r="P274" s="32"/>
      <c r="Q274" s="252">
        <v>619769000</v>
      </c>
      <c r="R274" s="105"/>
      <c r="S274" s="206" t="str">
        <f t="shared" si="77"/>
        <v>3.11.01</v>
      </c>
      <c r="T274" s="207" t="str">
        <f t="shared" si="70"/>
        <v>BANGUNAN GEDUNG TEMPAT KERJA</v>
      </c>
      <c r="U274" s="207">
        <f t="shared" si="71"/>
        <v>50</v>
      </c>
      <c r="V274" s="233">
        <f t="shared" si="78"/>
        <v>12395379.800000001</v>
      </c>
      <c r="W274" s="233"/>
      <c r="X274" s="233">
        <f t="shared" si="72"/>
        <v>0</v>
      </c>
      <c r="Y274" s="233">
        <f t="shared" si="73"/>
        <v>12395379.800000001</v>
      </c>
      <c r="Z274" s="233">
        <f t="shared" si="74"/>
        <v>12395379.800000001</v>
      </c>
      <c r="AA274" s="233">
        <f t="shared" si="75"/>
        <v>12395379.800000001</v>
      </c>
      <c r="AB274" s="233">
        <f t="shared" si="76"/>
        <v>12395379.800000001</v>
      </c>
      <c r="AC274" s="238">
        <f t="shared" si="79"/>
        <v>12395379.800000001</v>
      </c>
      <c r="AD274" s="238">
        <f t="shared" si="80"/>
        <v>61976899</v>
      </c>
      <c r="AE274" s="206">
        <f t="shared" si="81"/>
        <v>2014</v>
      </c>
      <c r="AF274" s="210">
        <f t="shared" si="82"/>
        <v>557792101</v>
      </c>
      <c r="AG274" s="48" t="e">
        <f t="shared" si="69"/>
        <v>#N/A</v>
      </c>
      <c r="AH274" s="48" t="e">
        <f>IF(AG274='KIB C'!AJ:AJ,"k",0)</f>
        <v>#N/A</v>
      </c>
    </row>
    <row r="275" spans="1:34" s="48" customFormat="1" ht="40.5" customHeight="1" x14ac:dyDescent="0.2">
      <c r="A275" s="295" t="s">
        <v>2302</v>
      </c>
      <c r="B275" s="73"/>
      <c r="C275" s="65" t="s">
        <v>2171</v>
      </c>
      <c r="D275" s="67" t="s">
        <v>1752</v>
      </c>
      <c r="E275" s="67" t="s">
        <v>1861</v>
      </c>
      <c r="F275" s="33" t="s">
        <v>43</v>
      </c>
      <c r="G275" s="40" t="s">
        <v>1786</v>
      </c>
      <c r="H275" s="40" t="s">
        <v>1934</v>
      </c>
      <c r="I275" s="40"/>
      <c r="J275" s="72" t="s">
        <v>2937</v>
      </c>
      <c r="K275" s="40">
        <v>2014</v>
      </c>
      <c r="L275" s="40" t="s">
        <v>2172</v>
      </c>
      <c r="M275" s="32"/>
      <c r="N275" s="33"/>
      <c r="O275" s="40"/>
      <c r="P275" s="32"/>
      <c r="Q275" s="252">
        <v>634567000</v>
      </c>
      <c r="R275" s="105"/>
      <c r="S275" s="206" t="str">
        <f t="shared" si="77"/>
        <v>3.11.01</v>
      </c>
      <c r="T275" s="207" t="str">
        <f t="shared" si="70"/>
        <v>BANGUNAN GEDUNG TEMPAT KERJA</v>
      </c>
      <c r="U275" s="207">
        <f t="shared" si="71"/>
        <v>50</v>
      </c>
      <c r="V275" s="233">
        <f t="shared" si="78"/>
        <v>12691339.800000001</v>
      </c>
      <c r="W275" s="233"/>
      <c r="X275" s="233">
        <f t="shared" si="72"/>
        <v>0</v>
      </c>
      <c r="Y275" s="233">
        <f t="shared" si="73"/>
        <v>12691339.800000001</v>
      </c>
      <c r="Z275" s="233">
        <f t="shared" si="74"/>
        <v>12691339.800000001</v>
      </c>
      <c r="AA275" s="233">
        <f t="shared" si="75"/>
        <v>12691339.800000001</v>
      </c>
      <c r="AB275" s="233">
        <f t="shared" si="76"/>
        <v>12691339.800000001</v>
      </c>
      <c r="AC275" s="238">
        <f t="shared" si="79"/>
        <v>12691339.800000001</v>
      </c>
      <c r="AD275" s="238">
        <f t="shared" si="80"/>
        <v>63456699</v>
      </c>
      <c r="AE275" s="206">
        <f t="shared" si="81"/>
        <v>2014</v>
      </c>
      <c r="AF275" s="210">
        <f t="shared" si="82"/>
        <v>571110301</v>
      </c>
      <c r="AG275" s="48" t="e">
        <f t="shared" si="69"/>
        <v>#N/A</v>
      </c>
      <c r="AH275" s="48" t="e">
        <f>IF(AG275='KIB C'!AJ:AJ,"k",0)</f>
        <v>#N/A</v>
      </c>
    </row>
    <row r="276" spans="1:34" s="48" customFormat="1" ht="40.5" customHeight="1" x14ac:dyDescent="0.2">
      <c r="A276" s="295" t="s">
        <v>2302</v>
      </c>
      <c r="B276" s="73"/>
      <c r="C276" s="65" t="s">
        <v>2173</v>
      </c>
      <c r="D276" s="67" t="s">
        <v>1752</v>
      </c>
      <c r="E276" s="67" t="s">
        <v>1864</v>
      </c>
      <c r="F276" s="33" t="s">
        <v>43</v>
      </c>
      <c r="G276" s="40" t="s">
        <v>1786</v>
      </c>
      <c r="H276" s="40" t="s">
        <v>1934</v>
      </c>
      <c r="I276" s="40"/>
      <c r="J276" s="72" t="s">
        <v>2948</v>
      </c>
      <c r="K276" s="40">
        <v>2014</v>
      </c>
      <c r="L276" s="40" t="s">
        <v>2174</v>
      </c>
      <c r="M276" s="32"/>
      <c r="N276" s="33"/>
      <c r="O276" s="40"/>
      <c r="P276" s="32"/>
      <c r="Q276" s="252">
        <v>1326532000</v>
      </c>
      <c r="R276" s="105"/>
      <c r="S276" s="206" t="str">
        <f t="shared" si="77"/>
        <v>3.11.01</v>
      </c>
      <c r="T276" s="207" t="str">
        <f t="shared" si="70"/>
        <v>BANGUNAN GEDUNG TEMPAT KERJA</v>
      </c>
      <c r="U276" s="207">
        <f t="shared" si="71"/>
        <v>50</v>
      </c>
      <c r="V276" s="233">
        <f t="shared" si="78"/>
        <v>26530639.800000001</v>
      </c>
      <c r="W276" s="233"/>
      <c r="X276" s="233">
        <f t="shared" si="72"/>
        <v>0</v>
      </c>
      <c r="Y276" s="233">
        <f t="shared" si="73"/>
        <v>26530639.800000001</v>
      </c>
      <c r="Z276" s="233">
        <f t="shared" si="74"/>
        <v>26530639.800000001</v>
      </c>
      <c r="AA276" s="233">
        <f t="shared" si="75"/>
        <v>26530639.800000001</v>
      </c>
      <c r="AB276" s="233">
        <f t="shared" si="76"/>
        <v>26530639.800000001</v>
      </c>
      <c r="AC276" s="238">
        <f t="shared" si="79"/>
        <v>26530639.800000001</v>
      </c>
      <c r="AD276" s="238">
        <f t="shared" si="80"/>
        <v>132653199</v>
      </c>
      <c r="AE276" s="206">
        <f t="shared" si="81"/>
        <v>2014</v>
      </c>
      <c r="AF276" s="210">
        <f t="shared" si="82"/>
        <v>1193878801</v>
      </c>
      <c r="AG276" s="48" t="e">
        <f t="shared" si="69"/>
        <v>#N/A</v>
      </c>
      <c r="AH276" s="48" t="e">
        <f>IF(AG276='KIB C'!AJ:AJ,"k",0)</f>
        <v>#N/A</v>
      </c>
    </row>
    <row r="277" spans="1:34" s="48" customFormat="1" ht="40.5" customHeight="1" x14ac:dyDescent="0.2">
      <c r="A277" s="295" t="s">
        <v>2302</v>
      </c>
      <c r="B277" s="73"/>
      <c r="C277" s="65" t="s">
        <v>2175</v>
      </c>
      <c r="D277" s="67" t="s">
        <v>1752</v>
      </c>
      <c r="E277" s="67" t="s">
        <v>1870</v>
      </c>
      <c r="F277" s="33" t="s">
        <v>43</v>
      </c>
      <c r="G277" s="40" t="s">
        <v>1786</v>
      </c>
      <c r="H277" s="40" t="s">
        <v>1934</v>
      </c>
      <c r="I277" s="40"/>
      <c r="J277" s="72" t="s">
        <v>2949</v>
      </c>
      <c r="K277" s="40">
        <v>2014</v>
      </c>
      <c r="L277" s="40" t="s">
        <v>2177</v>
      </c>
      <c r="M277" s="32"/>
      <c r="N277" s="33"/>
      <c r="O277" s="40"/>
      <c r="P277" s="32"/>
      <c r="Q277" s="252">
        <v>442917500</v>
      </c>
      <c r="R277" s="105"/>
      <c r="S277" s="206" t="str">
        <f t="shared" si="77"/>
        <v>3.11.01</v>
      </c>
      <c r="T277" s="207" t="str">
        <f t="shared" si="70"/>
        <v>BANGUNAN GEDUNG TEMPAT KERJA</v>
      </c>
      <c r="U277" s="207">
        <f t="shared" si="71"/>
        <v>50</v>
      </c>
      <c r="V277" s="233">
        <f t="shared" si="78"/>
        <v>8858349.8000000007</v>
      </c>
      <c r="W277" s="233"/>
      <c r="X277" s="233">
        <f t="shared" si="72"/>
        <v>0</v>
      </c>
      <c r="Y277" s="233">
        <f t="shared" si="73"/>
        <v>8858349.8000000007</v>
      </c>
      <c r="Z277" s="233">
        <f t="shared" si="74"/>
        <v>8858349.8000000007</v>
      </c>
      <c r="AA277" s="233">
        <f t="shared" si="75"/>
        <v>8858349.8000000007</v>
      </c>
      <c r="AB277" s="233">
        <f t="shared" si="76"/>
        <v>8858349.8000000007</v>
      </c>
      <c r="AC277" s="238">
        <f t="shared" si="79"/>
        <v>8858349.8000000007</v>
      </c>
      <c r="AD277" s="238">
        <f t="shared" si="80"/>
        <v>44291749</v>
      </c>
      <c r="AE277" s="206">
        <f t="shared" si="81"/>
        <v>2014</v>
      </c>
      <c r="AF277" s="210">
        <f t="shared" si="82"/>
        <v>398625751</v>
      </c>
      <c r="AG277" s="48" t="e">
        <f t="shared" si="69"/>
        <v>#N/A</v>
      </c>
      <c r="AH277" s="48" t="e">
        <f>IF(AG277='KIB C'!AJ:AJ,"k",0)</f>
        <v>#N/A</v>
      </c>
    </row>
    <row r="278" spans="1:34" s="48" customFormat="1" ht="40.5" customHeight="1" x14ac:dyDescent="0.2">
      <c r="A278" s="295" t="s">
        <v>2302</v>
      </c>
      <c r="B278" s="73"/>
      <c r="C278" s="65" t="s">
        <v>2178</v>
      </c>
      <c r="D278" s="67" t="s">
        <v>1752</v>
      </c>
      <c r="E278" s="67" t="s">
        <v>1888</v>
      </c>
      <c r="F278" s="33" t="s">
        <v>43</v>
      </c>
      <c r="G278" s="40" t="s">
        <v>1786</v>
      </c>
      <c r="H278" s="40" t="s">
        <v>1934</v>
      </c>
      <c r="I278" s="40"/>
      <c r="J278" s="72" t="s">
        <v>2950</v>
      </c>
      <c r="K278" s="40">
        <v>2014</v>
      </c>
      <c r="L278" s="40" t="s">
        <v>2180</v>
      </c>
      <c r="M278" s="32"/>
      <c r="N278" s="33"/>
      <c r="O278" s="40"/>
      <c r="P278" s="32"/>
      <c r="Q278" s="252">
        <v>463224500</v>
      </c>
      <c r="R278" s="105"/>
      <c r="S278" s="206" t="str">
        <f t="shared" si="77"/>
        <v>3.11.01</v>
      </c>
      <c r="T278" s="207" t="str">
        <f t="shared" si="70"/>
        <v>BANGUNAN GEDUNG TEMPAT KERJA</v>
      </c>
      <c r="U278" s="207">
        <f t="shared" si="71"/>
        <v>50</v>
      </c>
      <c r="V278" s="233">
        <f t="shared" si="78"/>
        <v>9264489.8000000007</v>
      </c>
      <c r="W278" s="233"/>
      <c r="X278" s="233">
        <f t="shared" si="72"/>
        <v>0</v>
      </c>
      <c r="Y278" s="233">
        <f t="shared" si="73"/>
        <v>9264489.8000000007</v>
      </c>
      <c r="Z278" s="233">
        <f t="shared" si="74"/>
        <v>9264489.8000000007</v>
      </c>
      <c r="AA278" s="233">
        <f t="shared" si="75"/>
        <v>9264489.8000000007</v>
      </c>
      <c r="AB278" s="233">
        <f t="shared" si="76"/>
        <v>9264489.8000000007</v>
      </c>
      <c r="AC278" s="238">
        <f t="shared" si="79"/>
        <v>9264489.8000000007</v>
      </c>
      <c r="AD278" s="238">
        <f t="shared" si="80"/>
        <v>46322449</v>
      </c>
      <c r="AE278" s="206">
        <f t="shared" si="81"/>
        <v>2014</v>
      </c>
      <c r="AF278" s="210">
        <f t="shared" si="82"/>
        <v>416902051</v>
      </c>
      <c r="AG278" s="48" t="e">
        <f t="shared" si="69"/>
        <v>#N/A</v>
      </c>
      <c r="AH278" s="48" t="e">
        <f>IF(AG278='KIB C'!AJ:AJ,"k",0)</f>
        <v>#N/A</v>
      </c>
    </row>
    <row r="279" spans="1:34" s="48" customFormat="1" ht="40.5" customHeight="1" x14ac:dyDescent="0.2">
      <c r="A279" s="295" t="s">
        <v>2302</v>
      </c>
      <c r="B279" s="73"/>
      <c r="C279" s="65" t="s">
        <v>2181</v>
      </c>
      <c r="D279" s="67" t="s">
        <v>1752</v>
      </c>
      <c r="E279" s="67" t="s">
        <v>1895</v>
      </c>
      <c r="F279" s="33" t="s">
        <v>43</v>
      </c>
      <c r="G279" s="40" t="s">
        <v>1786</v>
      </c>
      <c r="H279" s="40" t="s">
        <v>1934</v>
      </c>
      <c r="I279" s="40"/>
      <c r="J279" s="72" t="s">
        <v>2951</v>
      </c>
      <c r="K279" s="40">
        <v>2014</v>
      </c>
      <c r="L279" s="40" t="s">
        <v>2183</v>
      </c>
      <c r="M279" s="32"/>
      <c r="N279" s="33"/>
      <c r="O279" s="40"/>
      <c r="P279" s="32"/>
      <c r="Q279" s="252">
        <v>458480000</v>
      </c>
      <c r="R279" s="105"/>
      <c r="S279" s="206" t="str">
        <f t="shared" si="77"/>
        <v>3.11.01</v>
      </c>
      <c r="T279" s="207" t="str">
        <f t="shared" si="70"/>
        <v>BANGUNAN GEDUNG TEMPAT KERJA</v>
      </c>
      <c r="U279" s="207">
        <f t="shared" si="71"/>
        <v>50</v>
      </c>
      <c r="V279" s="233">
        <f t="shared" si="78"/>
        <v>9169599.8000000007</v>
      </c>
      <c r="W279" s="233"/>
      <c r="X279" s="233">
        <f t="shared" si="72"/>
        <v>0</v>
      </c>
      <c r="Y279" s="233">
        <f t="shared" si="73"/>
        <v>9169599.8000000007</v>
      </c>
      <c r="Z279" s="233">
        <f t="shared" si="74"/>
        <v>9169599.8000000007</v>
      </c>
      <c r="AA279" s="233">
        <f t="shared" si="75"/>
        <v>9169599.8000000007</v>
      </c>
      <c r="AB279" s="233">
        <f t="shared" si="76"/>
        <v>9169599.8000000007</v>
      </c>
      <c r="AC279" s="238">
        <f t="shared" si="79"/>
        <v>9169599.8000000007</v>
      </c>
      <c r="AD279" s="238">
        <f t="shared" si="80"/>
        <v>45847999</v>
      </c>
      <c r="AE279" s="206">
        <f t="shared" si="81"/>
        <v>2014</v>
      </c>
      <c r="AF279" s="210">
        <f t="shared" si="82"/>
        <v>412632001</v>
      </c>
      <c r="AG279" s="48" t="e">
        <f t="shared" si="69"/>
        <v>#N/A</v>
      </c>
      <c r="AH279" s="48" t="e">
        <f>IF(AG279='KIB C'!AJ:AJ,"k",0)</f>
        <v>#N/A</v>
      </c>
    </row>
    <row r="280" spans="1:34" s="48" customFormat="1" ht="40.5" customHeight="1" x14ac:dyDescent="0.2">
      <c r="A280" s="295" t="s">
        <v>2302</v>
      </c>
      <c r="B280" s="73"/>
      <c r="C280" s="65" t="s">
        <v>2184</v>
      </c>
      <c r="D280" s="67" t="s">
        <v>1752</v>
      </c>
      <c r="E280" s="67" t="s">
        <v>1899</v>
      </c>
      <c r="F280" s="33" t="s">
        <v>43</v>
      </c>
      <c r="G280" s="40" t="s">
        <v>1786</v>
      </c>
      <c r="H280" s="40" t="s">
        <v>1934</v>
      </c>
      <c r="I280" s="40"/>
      <c r="J280" s="72" t="s">
        <v>2952</v>
      </c>
      <c r="K280" s="40">
        <v>2014</v>
      </c>
      <c r="L280" s="40" t="s">
        <v>2185</v>
      </c>
      <c r="M280" s="32"/>
      <c r="N280" s="33"/>
      <c r="O280" s="40"/>
      <c r="P280" s="32"/>
      <c r="Q280" s="252">
        <v>480055500</v>
      </c>
      <c r="R280" s="105"/>
      <c r="S280" s="206" t="str">
        <f t="shared" si="77"/>
        <v>3.11.01</v>
      </c>
      <c r="T280" s="207" t="str">
        <f t="shared" si="70"/>
        <v>BANGUNAN GEDUNG TEMPAT KERJA</v>
      </c>
      <c r="U280" s="207">
        <f t="shared" si="71"/>
        <v>50</v>
      </c>
      <c r="V280" s="233">
        <f t="shared" si="78"/>
        <v>9601109.8000000007</v>
      </c>
      <c r="W280" s="233"/>
      <c r="X280" s="233">
        <f t="shared" si="72"/>
        <v>0</v>
      </c>
      <c r="Y280" s="233">
        <f t="shared" si="73"/>
        <v>9601109.8000000007</v>
      </c>
      <c r="Z280" s="233">
        <f t="shared" si="74"/>
        <v>9601109.8000000007</v>
      </c>
      <c r="AA280" s="233">
        <f t="shared" si="75"/>
        <v>9601109.8000000007</v>
      </c>
      <c r="AB280" s="233">
        <f t="shared" si="76"/>
        <v>9601109.8000000007</v>
      </c>
      <c r="AC280" s="238">
        <f t="shared" si="79"/>
        <v>9601109.8000000007</v>
      </c>
      <c r="AD280" s="238">
        <f t="shared" si="80"/>
        <v>48005549</v>
      </c>
      <c r="AE280" s="206">
        <f t="shared" si="81"/>
        <v>2014</v>
      </c>
      <c r="AF280" s="210">
        <f t="shared" si="82"/>
        <v>432049951</v>
      </c>
      <c r="AG280" s="48" t="e">
        <f t="shared" si="69"/>
        <v>#N/A</v>
      </c>
      <c r="AH280" s="48" t="e">
        <f>IF(AG280='KIB C'!AJ:AJ,"k",0)</f>
        <v>#N/A</v>
      </c>
    </row>
    <row r="281" spans="1:34" s="48" customFormat="1" ht="40.5" customHeight="1" x14ac:dyDescent="0.2">
      <c r="A281" s="295" t="s">
        <v>2302</v>
      </c>
      <c r="B281" s="73"/>
      <c r="C281" s="65" t="s">
        <v>2186</v>
      </c>
      <c r="D281" s="67" t="s">
        <v>1752</v>
      </c>
      <c r="E281" s="67" t="s">
        <v>1701</v>
      </c>
      <c r="F281" s="33" t="s">
        <v>43</v>
      </c>
      <c r="G281" s="40" t="s">
        <v>1786</v>
      </c>
      <c r="H281" s="40" t="s">
        <v>1934</v>
      </c>
      <c r="I281" s="40"/>
      <c r="J281" s="72" t="s">
        <v>2930</v>
      </c>
      <c r="K281" s="40">
        <v>2014</v>
      </c>
      <c r="L281" s="40" t="s">
        <v>2187</v>
      </c>
      <c r="M281" s="32"/>
      <c r="N281" s="33"/>
      <c r="O281" s="40"/>
      <c r="P281" s="32"/>
      <c r="Q281" s="252">
        <v>463021000</v>
      </c>
      <c r="R281" s="105"/>
      <c r="S281" s="206" t="str">
        <f t="shared" si="77"/>
        <v>3.11.01</v>
      </c>
      <c r="T281" s="207" t="str">
        <f t="shared" si="70"/>
        <v>BANGUNAN GEDUNG TEMPAT KERJA</v>
      </c>
      <c r="U281" s="207">
        <f t="shared" si="71"/>
        <v>50</v>
      </c>
      <c r="V281" s="233">
        <f t="shared" si="78"/>
        <v>9260419.8000000007</v>
      </c>
      <c r="W281" s="233"/>
      <c r="X281" s="233">
        <f t="shared" si="72"/>
        <v>0</v>
      </c>
      <c r="Y281" s="233">
        <f t="shared" si="73"/>
        <v>9260419.8000000007</v>
      </c>
      <c r="Z281" s="233">
        <f t="shared" si="74"/>
        <v>9260419.8000000007</v>
      </c>
      <c r="AA281" s="233">
        <f t="shared" si="75"/>
        <v>9260419.8000000007</v>
      </c>
      <c r="AB281" s="233">
        <f t="shared" si="76"/>
        <v>9260419.8000000007</v>
      </c>
      <c r="AC281" s="238">
        <f t="shared" si="79"/>
        <v>9260419.8000000007</v>
      </c>
      <c r="AD281" s="238">
        <f t="shared" si="80"/>
        <v>46302099</v>
      </c>
      <c r="AE281" s="206">
        <f t="shared" si="81"/>
        <v>2014</v>
      </c>
      <c r="AF281" s="210">
        <f t="shared" si="82"/>
        <v>416718901</v>
      </c>
      <c r="AG281" s="48" t="e">
        <f t="shared" si="69"/>
        <v>#N/A</v>
      </c>
      <c r="AH281" s="48" t="e">
        <f>IF(AG281='KIB C'!AJ:AJ,"k",0)</f>
        <v>#N/A</v>
      </c>
    </row>
    <row r="282" spans="1:34" s="48" customFormat="1" ht="40.5" customHeight="1" x14ac:dyDescent="0.2">
      <c r="A282" s="295" t="s">
        <v>2302</v>
      </c>
      <c r="B282" s="73"/>
      <c r="C282" s="65" t="s">
        <v>2188</v>
      </c>
      <c r="D282" s="67" t="s">
        <v>1752</v>
      </c>
      <c r="E282" s="67" t="s">
        <v>1906</v>
      </c>
      <c r="F282" s="33" t="s">
        <v>43</v>
      </c>
      <c r="G282" s="40" t="s">
        <v>1786</v>
      </c>
      <c r="H282" s="40" t="s">
        <v>1934</v>
      </c>
      <c r="I282" s="40"/>
      <c r="J282" s="72" t="s">
        <v>2914</v>
      </c>
      <c r="K282" s="40">
        <v>2014</v>
      </c>
      <c r="L282" s="40" t="s">
        <v>2189</v>
      </c>
      <c r="M282" s="32"/>
      <c r="N282" s="33"/>
      <c r="O282" s="40"/>
      <c r="P282" s="32"/>
      <c r="Q282" s="252">
        <v>484939000</v>
      </c>
      <c r="R282" s="105"/>
      <c r="S282" s="206" t="str">
        <f t="shared" si="77"/>
        <v>3.11.01</v>
      </c>
      <c r="T282" s="207" t="str">
        <f t="shared" si="70"/>
        <v>BANGUNAN GEDUNG TEMPAT KERJA</v>
      </c>
      <c r="U282" s="207">
        <f t="shared" si="71"/>
        <v>50</v>
      </c>
      <c r="V282" s="233">
        <f t="shared" si="78"/>
        <v>9698779.8000000007</v>
      </c>
      <c r="W282" s="233"/>
      <c r="X282" s="233">
        <f t="shared" si="72"/>
        <v>0</v>
      </c>
      <c r="Y282" s="233">
        <f t="shared" si="73"/>
        <v>9698779.8000000007</v>
      </c>
      <c r="Z282" s="233">
        <f t="shared" si="74"/>
        <v>9698779.8000000007</v>
      </c>
      <c r="AA282" s="233">
        <f t="shared" si="75"/>
        <v>9698779.8000000007</v>
      </c>
      <c r="AB282" s="233">
        <f t="shared" si="76"/>
        <v>9698779.8000000007</v>
      </c>
      <c r="AC282" s="238">
        <f t="shared" si="79"/>
        <v>9698779.8000000007</v>
      </c>
      <c r="AD282" s="238">
        <f t="shared" si="80"/>
        <v>48493899</v>
      </c>
      <c r="AE282" s="206">
        <f t="shared" si="81"/>
        <v>2014</v>
      </c>
      <c r="AF282" s="210">
        <f t="shared" si="82"/>
        <v>436445101</v>
      </c>
      <c r="AG282" s="48" t="e">
        <f t="shared" si="69"/>
        <v>#N/A</v>
      </c>
      <c r="AH282" s="48" t="e">
        <f>IF(AG282='KIB C'!AJ:AJ,"k",0)</f>
        <v>#N/A</v>
      </c>
    </row>
    <row r="283" spans="1:34" s="48" customFormat="1" ht="40.5" customHeight="1" x14ac:dyDescent="0.2">
      <c r="A283" s="295" t="s">
        <v>2302</v>
      </c>
      <c r="B283" s="73"/>
      <c r="C283" s="65" t="s">
        <v>2190</v>
      </c>
      <c r="D283" s="67" t="s">
        <v>1752</v>
      </c>
      <c r="E283" s="67" t="s">
        <v>1910</v>
      </c>
      <c r="F283" s="33" t="s">
        <v>43</v>
      </c>
      <c r="G283" s="40" t="s">
        <v>1786</v>
      </c>
      <c r="H283" s="40" t="s">
        <v>1934</v>
      </c>
      <c r="I283" s="40"/>
      <c r="J283" s="72" t="s">
        <v>2930</v>
      </c>
      <c r="K283" s="40">
        <v>2014</v>
      </c>
      <c r="L283" s="40" t="s">
        <v>2191</v>
      </c>
      <c r="M283" s="32"/>
      <c r="N283" s="33"/>
      <c r="O283" s="40"/>
      <c r="P283" s="32"/>
      <c r="Q283" s="252">
        <v>483753000</v>
      </c>
      <c r="R283" s="105"/>
      <c r="S283" s="206" t="str">
        <f t="shared" si="77"/>
        <v>3.11.01</v>
      </c>
      <c r="T283" s="207" t="str">
        <f t="shared" si="70"/>
        <v>BANGUNAN GEDUNG TEMPAT KERJA</v>
      </c>
      <c r="U283" s="207">
        <f t="shared" si="71"/>
        <v>50</v>
      </c>
      <c r="V283" s="233">
        <f t="shared" si="78"/>
        <v>9675059.8000000007</v>
      </c>
      <c r="W283" s="233"/>
      <c r="X283" s="233">
        <f t="shared" si="72"/>
        <v>0</v>
      </c>
      <c r="Y283" s="233">
        <f t="shared" si="73"/>
        <v>9675059.8000000007</v>
      </c>
      <c r="Z283" s="233">
        <f t="shared" si="74"/>
        <v>9675059.8000000007</v>
      </c>
      <c r="AA283" s="233">
        <f t="shared" si="75"/>
        <v>9675059.8000000007</v>
      </c>
      <c r="AB283" s="233">
        <f t="shared" si="76"/>
        <v>9675059.8000000007</v>
      </c>
      <c r="AC283" s="238">
        <f t="shared" si="79"/>
        <v>9675059.8000000007</v>
      </c>
      <c r="AD283" s="238">
        <f t="shared" si="80"/>
        <v>48375299</v>
      </c>
      <c r="AE283" s="206">
        <f t="shared" si="81"/>
        <v>2014</v>
      </c>
      <c r="AF283" s="210">
        <f t="shared" si="82"/>
        <v>435377701</v>
      </c>
      <c r="AG283" s="48" t="e">
        <f t="shared" si="69"/>
        <v>#N/A</v>
      </c>
      <c r="AH283" s="48" t="e">
        <f>IF(AG283='KIB C'!AJ:AJ,"k",0)</f>
        <v>#N/A</v>
      </c>
    </row>
    <row r="284" spans="1:34" s="48" customFormat="1" ht="40.5" customHeight="1" x14ac:dyDescent="0.2">
      <c r="A284" s="295" t="s">
        <v>2302</v>
      </c>
      <c r="B284" s="73"/>
      <c r="C284" s="65" t="s">
        <v>2192</v>
      </c>
      <c r="D284" s="67" t="s">
        <v>1752</v>
      </c>
      <c r="E284" s="67" t="s">
        <v>1913</v>
      </c>
      <c r="F284" s="33" t="s">
        <v>43</v>
      </c>
      <c r="G284" s="40" t="s">
        <v>1786</v>
      </c>
      <c r="H284" s="40" t="s">
        <v>1934</v>
      </c>
      <c r="I284" s="40"/>
      <c r="J284" s="72" t="s">
        <v>2931</v>
      </c>
      <c r="K284" s="40">
        <v>2014</v>
      </c>
      <c r="L284" s="40" t="s">
        <v>2193</v>
      </c>
      <c r="M284" s="32"/>
      <c r="N284" s="33"/>
      <c r="O284" s="40"/>
      <c r="P284" s="32"/>
      <c r="Q284" s="252">
        <v>470472500</v>
      </c>
      <c r="R284" s="105"/>
      <c r="S284" s="206" t="str">
        <f t="shared" si="77"/>
        <v>3.11.01</v>
      </c>
      <c r="T284" s="207" t="str">
        <f t="shared" si="70"/>
        <v>BANGUNAN GEDUNG TEMPAT KERJA</v>
      </c>
      <c r="U284" s="207">
        <f t="shared" si="71"/>
        <v>50</v>
      </c>
      <c r="V284" s="233">
        <f t="shared" si="78"/>
        <v>9409449.8000000007</v>
      </c>
      <c r="W284" s="233"/>
      <c r="X284" s="233">
        <f t="shared" si="72"/>
        <v>0</v>
      </c>
      <c r="Y284" s="233">
        <f t="shared" si="73"/>
        <v>9409449.8000000007</v>
      </c>
      <c r="Z284" s="233">
        <f t="shared" si="74"/>
        <v>9409449.8000000007</v>
      </c>
      <c r="AA284" s="233">
        <f t="shared" si="75"/>
        <v>9409449.8000000007</v>
      </c>
      <c r="AB284" s="233">
        <f t="shared" si="76"/>
        <v>9409449.8000000007</v>
      </c>
      <c r="AC284" s="238">
        <f t="shared" si="79"/>
        <v>9409449.8000000007</v>
      </c>
      <c r="AD284" s="238">
        <f t="shared" si="80"/>
        <v>47047249</v>
      </c>
      <c r="AE284" s="206">
        <f t="shared" si="81"/>
        <v>2014</v>
      </c>
      <c r="AF284" s="210">
        <f t="shared" si="82"/>
        <v>423425251</v>
      </c>
      <c r="AG284" s="48" t="e">
        <f t="shared" si="69"/>
        <v>#N/A</v>
      </c>
      <c r="AH284" s="48" t="e">
        <f>IF(AG284='KIB C'!AJ:AJ,"k",0)</f>
        <v>#N/A</v>
      </c>
    </row>
    <row r="285" spans="1:34" s="48" customFormat="1" ht="40.5" customHeight="1" x14ac:dyDescent="0.2">
      <c r="A285" s="295" t="s">
        <v>2302</v>
      </c>
      <c r="B285" s="73"/>
      <c r="C285" s="65" t="s">
        <v>2194</v>
      </c>
      <c r="D285" s="67" t="s">
        <v>1752</v>
      </c>
      <c r="E285" s="67" t="s">
        <v>1916</v>
      </c>
      <c r="F285" s="33" t="s">
        <v>43</v>
      </c>
      <c r="G285" s="40" t="s">
        <v>1786</v>
      </c>
      <c r="H285" s="40" t="s">
        <v>1934</v>
      </c>
      <c r="I285" s="40"/>
      <c r="J285" s="72" t="s">
        <v>2953</v>
      </c>
      <c r="K285" s="40">
        <v>2014</v>
      </c>
      <c r="L285" s="40" t="s">
        <v>2196</v>
      </c>
      <c r="M285" s="32"/>
      <c r="N285" s="33"/>
      <c r="O285" s="40"/>
      <c r="P285" s="32"/>
      <c r="Q285" s="252">
        <v>465972500</v>
      </c>
      <c r="R285" s="105"/>
      <c r="S285" s="206" t="str">
        <f t="shared" si="77"/>
        <v>3.11.01</v>
      </c>
      <c r="T285" s="207" t="str">
        <f t="shared" si="70"/>
        <v>BANGUNAN GEDUNG TEMPAT KERJA</v>
      </c>
      <c r="U285" s="207">
        <f t="shared" si="71"/>
        <v>50</v>
      </c>
      <c r="V285" s="233">
        <f t="shared" si="78"/>
        <v>9319449.8000000007</v>
      </c>
      <c r="W285" s="233"/>
      <c r="X285" s="233">
        <f t="shared" si="72"/>
        <v>0</v>
      </c>
      <c r="Y285" s="233">
        <f t="shared" si="73"/>
        <v>9319449.8000000007</v>
      </c>
      <c r="Z285" s="233">
        <f t="shared" si="74"/>
        <v>9319449.8000000007</v>
      </c>
      <c r="AA285" s="233">
        <f t="shared" si="75"/>
        <v>9319449.8000000007</v>
      </c>
      <c r="AB285" s="233">
        <f t="shared" si="76"/>
        <v>9319449.8000000007</v>
      </c>
      <c r="AC285" s="238">
        <f t="shared" si="79"/>
        <v>9319449.8000000007</v>
      </c>
      <c r="AD285" s="238">
        <f t="shared" si="80"/>
        <v>46597249</v>
      </c>
      <c r="AE285" s="206">
        <f t="shared" si="81"/>
        <v>2014</v>
      </c>
      <c r="AF285" s="210">
        <f t="shared" si="82"/>
        <v>419375251</v>
      </c>
      <c r="AG285" s="48" t="e">
        <f t="shared" si="69"/>
        <v>#N/A</v>
      </c>
      <c r="AH285" s="48" t="e">
        <f>IF(AG285='KIB C'!AJ:AJ,"k",0)</f>
        <v>#N/A</v>
      </c>
    </row>
    <row r="286" spans="1:34" s="48" customFormat="1" ht="40.5" customHeight="1" x14ac:dyDescent="0.2">
      <c r="A286" s="295" t="s">
        <v>2302</v>
      </c>
      <c r="B286" s="73"/>
      <c r="C286" s="65" t="s">
        <v>2197</v>
      </c>
      <c r="D286" s="67" t="s">
        <v>1752</v>
      </c>
      <c r="E286" s="67" t="s">
        <v>1920</v>
      </c>
      <c r="F286" s="33" t="s">
        <v>43</v>
      </c>
      <c r="G286" s="40" t="s">
        <v>1786</v>
      </c>
      <c r="H286" s="40" t="s">
        <v>1934</v>
      </c>
      <c r="I286" s="40"/>
      <c r="J286" s="72" t="s">
        <v>2941</v>
      </c>
      <c r="K286" s="40">
        <v>2014</v>
      </c>
      <c r="L286" s="40" t="s">
        <v>2196</v>
      </c>
      <c r="M286" s="32"/>
      <c r="N286" s="33"/>
      <c r="O286" s="40"/>
      <c r="P286" s="32"/>
      <c r="Q286" s="252">
        <v>456553500</v>
      </c>
      <c r="R286" s="105"/>
      <c r="S286" s="206" t="str">
        <f t="shared" si="77"/>
        <v>3.11.01</v>
      </c>
      <c r="T286" s="207" t="str">
        <f t="shared" si="70"/>
        <v>BANGUNAN GEDUNG TEMPAT KERJA</v>
      </c>
      <c r="U286" s="207">
        <f t="shared" si="71"/>
        <v>50</v>
      </c>
      <c r="V286" s="233">
        <f t="shared" si="78"/>
        <v>9131069.8000000007</v>
      </c>
      <c r="W286" s="233"/>
      <c r="X286" s="233">
        <f t="shared" si="72"/>
        <v>0</v>
      </c>
      <c r="Y286" s="233">
        <f t="shared" si="73"/>
        <v>9131069.8000000007</v>
      </c>
      <c r="Z286" s="233">
        <f t="shared" si="74"/>
        <v>9131069.8000000007</v>
      </c>
      <c r="AA286" s="233">
        <f t="shared" si="75"/>
        <v>9131069.8000000007</v>
      </c>
      <c r="AB286" s="233">
        <f t="shared" si="76"/>
        <v>9131069.8000000007</v>
      </c>
      <c r="AC286" s="238">
        <f t="shared" si="79"/>
        <v>9131069.8000000007</v>
      </c>
      <c r="AD286" s="238">
        <f t="shared" si="80"/>
        <v>45655349</v>
      </c>
      <c r="AE286" s="206">
        <f t="shared" si="81"/>
        <v>2014</v>
      </c>
      <c r="AF286" s="210">
        <f t="shared" si="82"/>
        <v>410898151</v>
      </c>
      <c r="AG286" s="48" t="e">
        <f t="shared" si="69"/>
        <v>#N/A</v>
      </c>
      <c r="AH286" s="48" t="e">
        <f>IF(AG286='KIB C'!AJ:AJ,"k",0)</f>
        <v>#N/A</v>
      </c>
    </row>
    <row r="287" spans="1:34" s="48" customFormat="1" ht="40.5" customHeight="1" x14ac:dyDescent="0.2">
      <c r="A287" s="295" t="s">
        <v>2302</v>
      </c>
      <c r="B287" s="73"/>
      <c r="C287" s="65" t="s">
        <v>2198</v>
      </c>
      <c r="D287" s="67" t="s">
        <v>1752</v>
      </c>
      <c r="E287" s="67" t="s">
        <v>1924</v>
      </c>
      <c r="F287" s="33" t="s">
        <v>43</v>
      </c>
      <c r="G287" s="40" t="s">
        <v>1786</v>
      </c>
      <c r="H287" s="40" t="s">
        <v>1934</v>
      </c>
      <c r="I287" s="40"/>
      <c r="J287" s="72" t="s">
        <v>2954</v>
      </c>
      <c r="K287" s="40">
        <v>2014</v>
      </c>
      <c r="L287" s="40" t="s">
        <v>2200</v>
      </c>
      <c r="M287" s="32"/>
      <c r="N287" s="33"/>
      <c r="O287" s="40"/>
      <c r="P287" s="32"/>
      <c r="Q287" s="252">
        <v>469934500</v>
      </c>
      <c r="R287" s="105"/>
      <c r="S287" s="206" t="str">
        <f t="shared" si="77"/>
        <v>3.11.01</v>
      </c>
      <c r="T287" s="207" t="str">
        <f t="shared" si="70"/>
        <v>BANGUNAN GEDUNG TEMPAT KERJA</v>
      </c>
      <c r="U287" s="207">
        <f t="shared" si="71"/>
        <v>50</v>
      </c>
      <c r="V287" s="233">
        <f t="shared" si="78"/>
        <v>9398689.8000000007</v>
      </c>
      <c r="W287" s="233"/>
      <c r="X287" s="233">
        <f t="shared" si="72"/>
        <v>0</v>
      </c>
      <c r="Y287" s="233">
        <f t="shared" si="73"/>
        <v>9398689.8000000007</v>
      </c>
      <c r="Z287" s="233">
        <f t="shared" si="74"/>
        <v>9398689.8000000007</v>
      </c>
      <c r="AA287" s="233">
        <f t="shared" si="75"/>
        <v>9398689.8000000007</v>
      </c>
      <c r="AB287" s="233">
        <f t="shared" si="76"/>
        <v>9398689.8000000007</v>
      </c>
      <c r="AC287" s="238">
        <f t="shared" si="79"/>
        <v>9398689.8000000007</v>
      </c>
      <c r="AD287" s="238">
        <f t="shared" si="80"/>
        <v>46993449</v>
      </c>
      <c r="AE287" s="206">
        <f t="shared" si="81"/>
        <v>2014</v>
      </c>
      <c r="AF287" s="210">
        <f t="shared" si="82"/>
        <v>422941051</v>
      </c>
      <c r="AG287" s="48" t="e">
        <f t="shared" si="69"/>
        <v>#N/A</v>
      </c>
      <c r="AH287" s="48" t="e">
        <f>IF(AG287='KIB C'!AJ:AJ,"k",0)</f>
        <v>#N/A</v>
      </c>
    </row>
    <row r="288" spans="1:34" s="48" customFormat="1" ht="40.5" customHeight="1" x14ac:dyDescent="0.2">
      <c r="A288" s="295" t="s">
        <v>2302</v>
      </c>
      <c r="B288" s="73"/>
      <c r="C288" s="65" t="s">
        <v>2201</v>
      </c>
      <c r="D288" s="67" t="s">
        <v>1752</v>
      </c>
      <c r="E288" s="67" t="s">
        <v>2202</v>
      </c>
      <c r="F288" s="33" t="s">
        <v>43</v>
      </c>
      <c r="G288" s="40" t="s">
        <v>1786</v>
      </c>
      <c r="H288" s="40" t="s">
        <v>1934</v>
      </c>
      <c r="I288" s="40"/>
      <c r="J288" s="72" t="s">
        <v>2930</v>
      </c>
      <c r="K288" s="40">
        <v>2014</v>
      </c>
      <c r="L288" s="40" t="s">
        <v>2203</v>
      </c>
      <c r="M288" s="32"/>
      <c r="N288" s="33"/>
      <c r="O288" s="40"/>
      <c r="P288" s="32"/>
      <c r="Q288" s="252">
        <v>551109500</v>
      </c>
      <c r="R288" s="105"/>
      <c r="S288" s="206" t="str">
        <f t="shared" si="77"/>
        <v>3.11.01</v>
      </c>
      <c r="T288" s="207" t="str">
        <f t="shared" si="70"/>
        <v>BANGUNAN GEDUNG TEMPAT KERJA</v>
      </c>
      <c r="U288" s="207">
        <f t="shared" si="71"/>
        <v>50</v>
      </c>
      <c r="V288" s="233">
        <f t="shared" si="78"/>
        <v>11022189.800000001</v>
      </c>
      <c r="W288" s="233"/>
      <c r="X288" s="233">
        <f t="shared" si="72"/>
        <v>0</v>
      </c>
      <c r="Y288" s="233">
        <f t="shared" si="73"/>
        <v>11022189.800000001</v>
      </c>
      <c r="Z288" s="233">
        <f t="shared" si="74"/>
        <v>11022189.800000001</v>
      </c>
      <c r="AA288" s="233">
        <f t="shared" si="75"/>
        <v>11022189.800000001</v>
      </c>
      <c r="AB288" s="233">
        <f t="shared" si="76"/>
        <v>11022189.800000001</v>
      </c>
      <c r="AC288" s="238">
        <f t="shared" si="79"/>
        <v>11022189.800000001</v>
      </c>
      <c r="AD288" s="238">
        <f t="shared" si="80"/>
        <v>55110949</v>
      </c>
      <c r="AE288" s="206">
        <f t="shared" si="81"/>
        <v>2014</v>
      </c>
      <c r="AF288" s="210">
        <f t="shared" si="82"/>
        <v>495998551</v>
      </c>
      <c r="AG288" s="48" t="e">
        <f t="shared" si="69"/>
        <v>#N/A</v>
      </c>
      <c r="AH288" s="48" t="e">
        <f>IF(AG288='KIB C'!AJ:AJ,"k",0)</f>
        <v>#N/A</v>
      </c>
    </row>
    <row r="289" spans="1:34" s="48" customFormat="1" ht="40.5" customHeight="1" x14ac:dyDescent="0.2">
      <c r="A289" s="295" t="s">
        <v>2302</v>
      </c>
      <c r="B289" s="73"/>
      <c r="C289" s="65" t="s">
        <v>2204</v>
      </c>
      <c r="D289" s="67" t="s">
        <v>1752</v>
      </c>
      <c r="E289" s="67" t="s">
        <v>2205</v>
      </c>
      <c r="F289" s="33" t="s">
        <v>43</v>
      </c>
      <c r="G289" s="40" t="s">
        <v>1786</v>
      </c>
      <c r="H289" s="40" t="s">
        <v>1934</v>
      </c>
      <c r="I289" s="40"/>
      <c r="J289" s="72" t="s">
        <v>2614</v>
      </c>
      <c r="K289" s="40">
        <v>2014</v>
      </c>
      <c r="L289" s="40" t="s">
        <v>2206</v>
      </c>
      <c r="M289" s="32"/>
      <c r="N289" s="33"/>
      <c r="O289" s="40"/>
      <c r="P289" s="32"/>
      <c r="Q289" s="252">
        <v>74368000</v>
      </c>
      <c r="R289" s="105"/>
      <c r="S289" s="206" t="str">
        <f t="shared" si="77"/>
        <v>3.11.01</v>
      </c>
      <c r="T289" s="207" t="str">
        <f t="shared" si="70"/>
        <v>BANGUNAN GEDUNG TEMPAT KERJA</v>
      </c>
      <c r="U289" s="207">
        <f t="shared" si="71"/>
        <v>50</v>
      </c>
      <c r="V289" s="233">
        <f t="shared" si="78"/>
        <v>1487359.8</v>
      </c>
      <c r="W289" s="233"/>
      <c r="X289" s="233">
        <f t="shared" si="72"/>
        <v>0</v>
      </c>
      <c r="Y289" s="233">
        <f t="shared" si="73"/>
        <v>1487359.8</v>
      </c>
      <c r="Z289" s="233">
        <f t="shared" si="74"/>
        <v>1487359.8</v>
      </c>
      <c r="AA289" s="233">
        <f t="shared" si="75"/>
        <v>1487359.8</v>
      </c>
      <c r="AB289" s="233">
        <f t="shared" si="76"/>
        <v>1487359.8</v>
      </c>
      <c r="AC289" s="238">
        <f t="shared" si="79"/>
        <v>1487359.8</v>
      </c>
      <c r="AD289" s="238">
        <f t="shared" si="80"/>
        <v>7436799</v>
      </c>
      <c r="AE289" s="206">
        <f t="shared" si="81"/>
        <v>2014</v>
      </c>
      <c r="AF289" s="210">
        <f t="shared" si="82"/>
        <v>66931201</v>
      </c>
      <c r="AG289" s="48" t="e">
        <f t="shared" si="69"/>
        <v>#N/A</v>
      </c>
      <c r="AH289" s="48" t="e">
        <f>IF(AG289='KIB C'!AJ:AJ,"k",0)</f>
        <v>#N/A</v>
      </c>
    </row>
    <row r="290" spans="1:34" s="48" customFormat="1" ht="40.5" customHeight="1" x14ac:dyDescent="0.2">
      <c r="A290" s="295" t="s">
        <v>2302</v>
      </c>
      <c r="B290" s="73"/>
      <c r="C290" s="65" t="s">
        <v>2207</v>
      </c>
      <c r="D290" s="67" t="s">
        <v>1752</v>
      </c>
      <c r="E290" s="67" t="s">
        <v>2071</v>
      </c>
      <c r="F290" s="33" t="s">
        <v>43</v>
      </c>
      <c r="G290" s="40" t="s">
        <v>1786</v>
      </c>
      <c r="H290" s="40" t="s">
        <v>1934</v>
      </c>
      <c r="I290" s="40"/>
      <c r="J290" s="72" t="s">
        <v>2614</v>
      </c>
      <c r="K290" s="40">
        <v>2014</v>
      </c>
      <c r="L290" s="40" t="s">
        <v>2208</v>
      </c>
      <c r="M290" s="32"/>
      <c r="N290" s="33"/>
      <c r="O290" s="40"/>
      <c r="P290" s="32"/>
      <c r="Q290" s="252">
        <v>213674000</v>
      </c>
      <c r="R290" s="105"/>
      <c r="S290" s="206" t="str">
        <f t="shared" si="77"/>
        <v>3.11.01</v>
      </c>
      <c r="T290" s="207" t="str">
        <f t="shared" si="70"/>
        <v>BANGUNAN GEDUNG TEMPAT KERJA</v>
      </c>
      <c r="U290" s="207">
        <f t="shared" si="71"/>
        <v>50</v>
      </c>
      <c r="V290" s="233">
        <f t="shared" si="78"/>
        <v>4273479.8</v>
      </c>
      <c r="W290" s="233"/>
      <c r="X290" s="233">
        <f t="shared" si="72"/>
        <v>0</v>
      </c>
      <c r="Y290" s="233">
        <f t="shared" si="73"/>
        <v>4273479.8</v>
      </c>
      <c r="Z290" s="233">
        <f t="shared" si="74"/>
        <v>4273479.8</v>
      </c>
      <c r="AA290" s="233">
        <f t="shared" si="75"/>
        <v>4273479.8</v>
      </c>
      <c r="AB290" s="233">
        <f t="shared" si="76"/>
        <v>4273479.8</v>
      </c>
      <c r="AC290" s="238">
        <f t="shared" si="79"/>
        <v>4273479.8</v>
      </c>
      <c r="AD290" s="238">
        <f t="shared" si="80"/>
        <v>21367399</v>
      </c>
      <c r="AE290" s="206">
        <f t="shared" si="81"/>
        <v>2014</v>
      </c>
      <c r="AF290" s="210">
        <f t="shared" si="82"/>
        <v>192306601</v>
      </c>
      <c r="AG290" s="48" t="str">
        <f t="shared" si="69"/>
        <v>K</v>
      </c>
    </row>
    <row r="291" spans="1:34" s="48" customFormat="1" ht="40.5" customHeight="1" x14ac:dyDescent="0.2">
      <c r="A291" s="295" t="s">
        <v>2302</v>
      </c>
      <c r="B291" s="73"/>
      <c r="C291" s="65" t="s">
        <v>2209</v>
      </c>
      <c r="D291" s="67" t="s">
        <v>1752</v>
      </c>
      <c r="E291" s="67" t="s">
        <v>2075</v>
      </c>
      <c r="F291" s="33" t="s">
        <v>43</v>
      </c>
      <c r="G291" s="40" t="s">
        <v>1786</v>
      </c>
      <c r="H291" s="40" t="s">
        <v>1934</v>
      </c>
      <c r="I291" s="40"/>
      <c r="J291" s="72" t="s">
        <v>2614</v>
      </c>
      <c r="K291" s="40">
        <v>2014</v>
      </c>
      <c r="L291" s="40" t="s">
        <v>2210</v>
      </c>
      <c r="M291" s="32"/>
      <c r="N291" s="33"/>
      <c r="O291" s="40"/>
      <c r="P291" s="32"/>
      <c r="Q291" s="252">
        <v>178919000</v>
      </c>
      <c r="R291" s="105"/>
      <c r="S291" s="206" t="str">
        <f t="shared" si="77"/>
        <v>3.11.01</v>
      </c>
      <c r="T291" s="207" t="str">
        <f t="shared" si="70"/>
        <v>BANGUNAN GEDUNG TEMPAT KERJA</v>
      </c>
      <c r="U291" s="207">
        <f t="shared" si="71"/>
        <v>50</v>
      </c>
      <c r="V291" s="233">
        <f t="shared" si="78"/>
        <v>3578379.8</v>
      </c>
      <c r="W291" s="233"/>
      <c r="X291" s="233">
        <f t="shared" si="72"/>
        <v>0</v>
      </c>
      <c r="Y291" s="233">
        <f t="shared" si="73"/>
        <v>3578379.8</v>
      </c>
      <c r="Z291" s="233">
        <f t="shared" si="74"/>
        <v>3578379.8</v>
      </c>
      <c r="AA291" s="233">
        <f t="shared" si="75"/>
        <v>3578379.8</v>
      </c>
      <c r="AB291" s="233">
        <f t="shared" si="76"/>
        <v>3578379.8</v>
      </c>
      <c r="AC291" s="238">
        <f t="shared" si="79"/>
        <v>3578379.8</v>
      </c>
      <c r="AD291" s="238">
        <f t="shared" si="80"/>
        <v>17891899</v>
      </c>
      <c r="AE291" s="206">
        <f t="shared" si="81"/>
        <v>2014</v>
      </c>
      <c r="AF291" s="210">
        <f t="shared" si="82"/>
        <v>161027101</v>
      </c>
      <c r="AG291" s="48" t="str">
        <f t="shared" si="69"/>
        <v>K</v>
      </c>
    </row>
    <row r="292" spans="1:34" s="48" customFormat="1" ht="40.5" customHeight="1" x14ac:dyDescent="0.2">
      <c r="A292" s="295" t="s">
        <v>2302</v>
      </c>
      <c r="B292" s="73"/>
      <c r="C292" s="65" t="s">
        <v>2211</v>
      </c>
      <c r="D292" s="67" t="s">
        <v>1752</v>
      </c>
      <c r="E292" s="67" t="s">
        <v>2079</v>
      </c>
      <c r="F292" s="33" t="s">
        <v>43</v>
      </c>
      <c r="G292" s="40" t="s">
        <v>1786</v>
      </c>
      <c r="H292" s="40" t="s">
        <v>1934</v>
      </c>
      <c r="I292" s="40"/>
      <c r="J292" s="72" t="s">
        <v>2614</v>
      </c>
      <c r="K292" s="40">
        <v>2014</v>
      </c>
      <c r="L292" s="40" t="s">
        <v>2212</v>
      </c>
      <c r="M292" s="32"/>
      <c r="N292" s="33"/>
      <c r="O292" s="40"/>
      <c r="P292" s="32"/>
      <c r="Q292" s="252">
        <v>213587000</v>
      </c>
      <c r="R292" s="105"/>
      <c r="S292" s="206" t="str">
        <f t="shared" si="77"/>
        <v>3.11.01</v>
      </c>
      <c r="T292" s="207" t="str">
        <f t="shared" si="70"/>
        <v>BANGUNAN GEDUNG TEMPAT KERJA</v>
      </c>
      <c r="U292" s="207">
        <f t="shared" si="71"/>
        <v>50</v>
      </c>
      <c r="V292" s="233">
        <f t="shared" si="78"/>
        <v>4271739.8</v>
      </c>
      <c r="W292" s="233"/>
      <c r="X292" s="233">
        <f t="shared" si="72"/>
        <v>0</v>
      </c>
      <c r="Y292" s="233">
        <f t="shared" si="73"/>
        <v>4271739.8</v>
      </c>
      <c r="Z292" s="233">
        <f t="shared" si="74"/>
        <v>4271739.8</v>
      </c>
      <c r="AA292" s="233">
        <f t="shared" si="75"/>
        <v>4271739.8</v>
      </c>
      <c r="AB292" s="233">
        <f t="shared" si="76"/>
        <v>4271739.8</v>
      </c>
      <c r="AC292" s="238">
        <f t="shared" si="79"/>
        <v>4271739.8</v>
      </c>
      <c r="AD292" s="238">
        <f t="shared" si="80"/>
        <v>21358699</v>
      </c>
      <c r="AE292" s="206">
        <f t="shared" si="81"/>
        <v>2014</v>
      </c>
      <c r="AF292" s="210">
        <f t="shared" si="82"/>
        <v>192228301</v>
      </c>
      <c r="AG292" s="48" t="str">
        <f t="shared" si="69"/>
        <v>K</v>
      </c>
    </row>
    <row r="293" spans="1:34" s="48" customFormat="1" ht="40.5" customHeight="1" x14ac:dyDescent="0.2">
      <c r="A293" s="295" t="s">
        <v>2302</v>
      </c>
      <c r="B293" s="73"/>
      <c r="C293" s="65" t="s">
        <v>2213</v>
      </c>
      <c r="D293" s="67" t="s">
        <v>1752</v>
      </c>
      <c r="E293" s="67" t="s">
        <v>2214</v>
      </c>
      <c r="F293" s="33" t="s">
        <v>43</v>
      </c>
      <c r="G293" s="40" t="s">
        <v>1786</v>
      </c>
      <c r="H293" s="40" t="s">
        <v>1934</v>
      </c>
      <c r="I293" s="40"/>
      <c r="J293" s="72" t="s">
        <v>2614</v>
      </c>
      <c r="K293" s="40">
        <v>2014</v>
      </c>
      <c r="L293" s="40" t="s">
        <v>2215</v>
      </c>
      <c r="M293" s="32"/>
      <c r="N293" s="33"/>
      <c r="O293" s="40"/>
      <c r="P293" s="32"/>
      <c r="Q293" s="252">
        <v>213258000</v>
      </c>
      <c r="R293" s="105"/>
      <c r="S293" s="206" t="str">
        <f t="shared" si="77"/>
        <v>3.11.01</v>
      </c>
      <c r="T293" s="207" t="str">
        <f t="shared" si="70"/>
        <v>BANGUNAN GEDUNG TEMPAT KERJA</v>
      </c>
      <c r="U293" s="207">
        <f t="shared" si="71"/>
        <v>50</v>
      </c>
      <c r="V293" s="233">
        <f t="shared" si="78"/>
        <v>4265159.8</v>
      </c>
      <c r="W293" s="233"/>
      <c r="X293" s="233">
        <f t="shared" si="72"/>
        <v>0</v>
      </c>
      <c r="Y293" s="233">
        <f t="shared" si="73"/>
        <v>4265159.8</v>
      </c>
      <c r="Z293" s="233">
        <f t="shared" si="74"/>
        <v>4265159.8</v>
      </c>
      <c r="AA293" s="233">
        <f t="shared" si="75"/>
        <v>4265159.8</v>
      </c>
      <c r="AB293" s="233">
        <f t="shared" si="76"/>
        <v>4265159.8</v>
      </c>
      <c r="AC293" s="238">
        <f t="shared" si="79"/>
        <v>4265159.8</v>
      </c>
      <c r="AD293" s="238">
        <f t="shared" si="80"/>
        <v>21325799</v>
      </c>
      <c r="AE293" s="206">
        <f t="shared" si="81"/>
        <v>2014</v>
      </c>
      <c r="AF293" s="210">
        <f t="shared" si="82"/>
        <v>191932201</v>
      </c>
      <c r="AG293" s="48" t="e">
        <f t="shared" si="69"/>
        <v>#N/A</v>
      </c>
      <c r="AH293" s="48" t="e">
        <f>IF(AG293='KIB C'!AJ:AJ,"k",0)</f>
        <v>#N/A</v>
      </c>
    </row>
    <row r="294" spans="1:34" s="48" customFormat="1" ht="40.5" customHeight="1" x14ac:dyDescent="0.2">
      <c r="A294" s="295" t="s">
        <v>2302</v>
      </c>
      <c r="B294" s="73"/>
      <c r="C294" s="65" t="s">
        <v>2216</v>
      </c>
      <c r="D294" s="67" t="s">
        <v>1752</v>
      </c>
      <c r="E294" s="67" t="s">
        <v>2086</v>
      </c>
      <c r="F294" s="33" t="s">
        <v>43</v>
      </c>
      <c r="G294" s="40" t="s">
        <v>1786</v>
      </c>
      <c r="H294" s="40" t="s">
        <v>1934</v>
      </c>
      <c r="I294" s="40"/>
      <c r="J294" s="72" t="s">
        <v>2913</v>
      </c>
      <c r="K294" s="40">
        <v>2014</v>
      </c>
      <c r="L294" s="40" t="s">
        <v>2217</v>
      </c>
      <c r="M294" s="32"/>
      <c r="N294" s="33"/>
      <c r="O294" s="40"/>
      <c r="P294" s="32"/>
      <c r="Q294" s="252">
        <v>218433780</v>
      </c>
      <c r="R294" s="105"/>
      <c r="S294" s="206" t="str">
        <f t="shared" si="77"/>
        <v>3.11.01</v>
      </c>
      <c r="T294" s="207" t="str">
        <f t="shared" si="70"/>
        <v>BANGUNAN GEDUNG TEMPAT KERJA</v>
      </c>
      <c r="U294" s="207">
        <f t="shared" si="71"/>
        <v>50</v>
      </c>
      <c r="V294" s="233">
        <f t="shared" si="78"/>
        <v>4368675.4000000004</v>
      </c>
      <c r="W294" s="233"/>
      <c r="X294" s="233">
        <f t="shared" si="72"/>
        <v>0</v>
      </c>
      <c r="Y294" s="233">
        <f t="shared" si="73"/>
        <v>4368675.4000000004</v>
      </c>
      <c r="Z294" s="233">
        <f t="shared" si="74"/>
        <v>4368675.4000000004</v>
      </c>
      <c r="AA294" s="233">
        <f t="shared" si="75"/>
        <v>4368675.4000000004</v>
      </c>
      <c r="AB294" s="233">
        <f t="shared" si="76"/>
        <v>4368675.4000000004</v>
      </c>
      <c r="AC294" s="238">
        <f t="shared" si="79"/>
        <v>4368675.4000000004</v>
      </c>
      <c r="AD294" s="238">
        <f t="shared" si="80"/>
        <v>21843377</v>
      </c>
      <c r="AE294" s="206">
        <f t="shared" si="81"/>
        <v>2014</v>
      </c>
      <c r="AF294" s="210">
        <f t="shared" si="82"/>
        <v>196590403</v>
      </c>
      <c r="AG294" s="48" t="e">
        <f t="shared" si="69"/>
        <v>#N/A</v>
      </c>
      <c r="AH294" s="48" t="e">
        <f>IF(AG294='KIB C'!AJ:AJ,"k",0)</f>
        <v>#N/A</v>
      </c>
    </row>
    <row r="295" spans="1:34" s="48" customFormat="1" ht="40.5" customHeight="1" x14ac:dyDescent="0.2">
      <c r="A295" s="295" t="s">
        <v>2302</v>
      </c>
      <c r="B295" s="73"/>
      <c r="C295" s="65" t="s">
        <v>2218</v>
      </c>
      <c r="D295" s="67" t="s">
        <v>1752</v>
      </c>
      <c r="E295" s="67" t="s">
        <v>2089</v>
      </c>
      <c r="F295" s="33" t="s">
        <v>43</v>
      </c>
      <c r="G295" s="40" t="s">
        <v>1786</v>
      </c>
      <c r="H295" s="40" t="s">
        <v>1934</v>
      </c>
      <c r="I295" s="40"/>
      <c r="J295" s="72" t="s">
        <v>2948</v>
      </c>
      <c r="K295" s="40">
        <v>2014</v>
      </c>
      <c r="L295" s="40" t="s">
        <v>2219</v>
      </c>
      <c r="M295" s="32"/>
      <c r="N295" s="33"/>
      <c r="O295" s="40"/>
      <c r="P295" s="32"/>
      <c r="Q295" s="252">
        <v>47768300</v>
      </c>
      <c r="R295" s="105"/>
      <c r="S295" s="206" t="str">
        <f t="shared" si="77"/>
        <v>3.11.01</v>
      </c>
      <c r="T295" s="207" t="str">
        <f t="shared" si="70"/>
        <v>BANGUNAN GEDUNG TEMPAT KERJA</v>
      </c>
      <c r="U295" s="207">
        <f t="shared" si="71"/>
        <v>50</v>
      </c>
      <c r="V295" s="233">
        <f t="shared" si="78"/>
        <v>955365.8</v>
      </c>
      <c r="W295" s="233"/>
      <c r="X295" s="233">
        <f t="shared" si="72"/>
        <v>0</v>
      </c>
      <c r="Y295" s="233">
        <f t="shared" si="73"/>
        <v>955365.8</v>
      </c>
      <c r="Z295" s="233">
        <f t="shared" si="74"/>
        <v>955365.8</v>
      </c>
      <c r="AA295" s="233">
        <f t="shared" si="75"/>
        <v>955365.8</v>
      </c>
      <c r="AB295" s="233">
        <f t="shared" si="76"/>
        <v>955365.8</v>
      </c>
      <c r="AC295" s="238">
        <f t="shared" si="79"/>
        <v>955365.8</v>
      </c>
      <c r="AD295" s="238">
        <f t="shared" si="80"/>
        <v>4776829</v>
      </c>
      <c r="AE295" s="206">
        <f t="shared" si="81"/>
        <v>2014</v>
      </c>
      <c r="AF295" s="210">
        <f t="shared" si="82"/>
        <v>42991471</v>
      </c>
      <c r="AG295" s="48" t="e">
        <f t="shared" si="69"/>
        <v>#N/A</v>
      </c>
      <c r="AH295" s="48" t="e">
        <f>IF(AG295='KIB C'!AJ:AJ,"k",0)</f>
        <v>#N/A</v>
      </c>
    </row>
    <row r="296" spans="1:34" s="48" customFormat="1" ht="40.5" customHeight="1" x14ac:dyDescent="0.2">
      <c r="A296" s="295" t="s">
        <v>2302</v>
      </c>
      <c r="B296" s="73"/>
      <c r="C296" s="65" t="s">
        <v>2220</v>
      </c>
      <c r="D296" s="67" t="s">
        <v>1752</v>
      </c>
      <c r="E296" s="67" t="s">
        <v>2115</v>
      </c>
      <c r="F296" s="33" t="s">
        <v>43</v>
      </c>
      <c r="G296" s="40" t="s">
        <v>1786</v>
      </c>
      <c r="H296" s="40" t="s">
        <v>1934</v>
      </c>
      <c r="I296" s="40"/>
      <c r="J296" s="72" t="s">
        <v>2913</v>
      </c>
      <c r="K296" s="40">
        <v>2014</v>
      </c>
      <c r="L296" s="40" t="s">
        <v>2221</v>
      </c>
      <c r="M296" s="32"/>
      <c r="N296" s="33"/>
      <c r="O296" s="40"/>
      <c r="P296" s="32"/>
      <c r="Q296" s="252">
        <v>19524300</v>
      </c>
      <c r="R296" s="105"/>
      <c r="S296" s="206" t="str">
        <f t="shared" si="77"/>
        <v>3.11.01</v>
      </c>
      <c r="T296" s="207" t="str">
        <f t="shared" si="70"/>
        <v>BANGUNAN GEDUNG TEMPAT KERJA</v>
      </c>
      <c r="U296" s="207">
        <f t="shared" si="71"/>
        <v>50</v>
      </c>
      <c r="V296" s="233">
        <f t="shared" si="78"/>
        <v>390485.8</v>
      </c>
      <c r="W296" s="233"/>
      <c r="X296" s="233">
        <f t="shared" si="72"/>
        <v>0</v>
      </c>
      <c r="Y296" s="233">
        <f t="shared" si="73"/>
        <v>390485.8</v>
      </c>
      <c r="Z296" s="233">
        <f t="shared" si="74"/>
        <v>390485.8</v>
      </c>
      <c r="AA296" s="233">
        <f t="shared" si="75"/>
        <v>390485.8</v>
      </c>
      <c r="AB296" s="233">
        <f t="shared" si="76"/>
        <v>390485.8</v>
      </c>
      <c r="AC296" s="238">
        <f t="shared" si="79"/>
        <v>390485.8</v>
      </c>
      <c r="AD296" s="238">
        <f t="shared" si="80"/>
        <v>1952429</v>
      </c>
      <c r="AE296" s="206">
        <f t="shared" si="81"/>
        <v>2014</v>
      </c>
      <c r="AF296" s="210">
        <f t="shared" si="82"/>
        <v>17571871</v>
      </c>
      <c r="AG296" s="48" t="e">
        <f t="shared" si="69"/>
        <v>#N/A</v>
      </c>
      <c r="AH296" s="48" t="e">
        <f>IF(AG296='KIB C'!AJ:AJ,"k",0)</f>
        <v>#N/A</v>
      </c>
    </row>
    <row r="297" spans="1:34" s="48" customFormat="1" ht="40.5" customHeight="1" x14ac:dyDescent="0.2">
      <c r="A297" s="295" t="s">
        <v>2302</v>
      </c>
      <c r="B297" s="73"/>
      <c r="C297" s="65" t="s">
        <v>2222</v>
      </c>
      <c r="D297" s="67" t="s">
        <v>1752</v>
      </c>
      <c r="E297" s="67" t="s">
        <v>2115</v>
      </c>
      <c r="F297" s="33" t="s">
        <v>43</v>
      </c>
      <c r="G297" s="40" t="s">
        <v>1786</v>
      </c>
      <c r="H297" s="40" t="s">
        <v>1934</v>
      </c>
      <c r="I297" s="40"/>
      <c r="J297" s="72" t="s">
        <v>2614</v>
      </c>
      <c r="K297" s="40">
        <v>2014</v>
      </c>
      <c r="L297" s="40" t="s">
        <v>2223</v>
      </c>
      <c r="M297" s="32"/>
      <c r="N297" s="33"/>
      <c r="O297" s="40"/>
      <c r="P297" s="32"/>
      <c r="Q297" s="252">
        <v>443790000</v>
      </c>
      <c r="R297" s="105"/>
      <c r="S297" s="206" t="str">
        <f t="shared" si="77"/>
        <v>3.11.01</v>
      </c>
      <c r="T297" s="207" t="str">
        <f t="shared" si="70"/>
        <v>BANGUNAN GEDUNG TEMPAT KERJA</v>
      </c>
      <c r="U297" s="207">
        <f t="shared" si="71"/>
        <v>50</v>
      </c>
      <c r="V297" s="233">
        <f t="shared" si="78"/>
        <v>8875799.8000000007</v>
      </c>
      <c r="W297" s="233"/>
      <c r="X297" s="233">
        <f t="shared" si="72"/>
        <v>0</v>
      </c>
      <c r="Y297" s="233">
        <f t="shared" si="73"/>
        <v>8875799.8000000007</v>
      </c>
      <c r="Z297" s="233">
        <f t="shared" si="74"/>
        <v>8875799.8000000007</v>
      </c>
      <c r="AA297" s="233">
        <f t="shared" si="75"/>
        <v>8875799.8000000007</v>
      </c>
      <c r="AB297" s="233">
        <f t="shared" si="76"/>
        <v>8875799.8000000007</v>
      </c>
      <c r="AC297" s="238">
        <f t="shared" si="79"/>
        <v>8875799.8000000007</v>
      </c>
      <c r="AD297" s="238">
        <f t="shared" si="80"/>
        <v>44378999</v>
      </c>
      <c r="AE297" s="206">
        <f t="shared" si="81"/>
        <v>2014</v>
      </c>
      <c r="AF297" s="210">
        <f t="shared" si="82"/>
        <v>399411001</v>
      </c>
      <c r="AG297" s="48" t="e">
        <f t="shared" si="69"/>
        <v>#N/A</v>
      </c>
      <c r="AH297" s="48" t="e">
        <f>IF(AG297='KIB C'!AJ:AJ,"k",0)</f>
        <v>#N/A</v>
      </c>
    </row>
    <row r="298" spans="1:34" s="48" customFormat="1" ht="40.5" customHeight="1" x14ac:dyDescent="0.2">
      <c r="A298" s="295" t="s">
        <v>2302</v>
      </c>
      <c r="B298" s="73"/>
      <c r="C298" s="65" t="s">
        <v>2224</v>
      </c>
      <c r="D298" s="67"/>
      <c r="E298" s="67"/>
      <c r="F298" s="33"/>
      <c r="G298" s="40"/>
      <c r="H298" s="40"/>
      <c r="I298" s="40"/>
      <c r="J298" s="72" t="s">
        <v>2955</v>
      </c>
      <c r="K298" s="40">
        <v>2015</v>
      </c>
      <c r="L298" s="40"/>
      <c r="M298" s="32"/>
      <c r="N298" s="33"/>
      <c r="O298" s="40"/>
      <c r="P298" s="32"/>
      <c r="Q298" s="252">
        <v>1480026913</v>
      </c>
      <c r="R298" s="105"/>
      <c r="S298" s="206" t="str">
        <f t="shared" si="77"/>
        <v>3.11.01</v>
      </c>
      <c r="T298" s="207" t="str">
        <f t="shared" si="70"/>
        <v>BANGUNAN GEDUNG TEMPAT KERJA</v>
      </c>
      <c r="U298" s="207">
        <f t="shared" si="71"/>
        <v>50</v>
      </c>
      <c r="V298" s="233">
        <f t="shared" si="78"/>
        <v>29600538.059999999</v>
      </c>
      <c r="W298" s="233"/>
      <c r="X298" s="233">
        <f t="shared" si="72"/>
        <v>0</v>
      </c>
      <c r="Y298" s="233"/>
      <c r="Z298" s="233">
        <f t="shared" si="74"/>
        <v>29600538.059999999</v>
      </c>
      <c r="AA298" s="233">
        <f t="shared" si="75"/>
        <v>29600538.059999999</v>
      </c>
      <c r="AB298" s="233">
        <f t="shared" si="76"/>
        <v>29600538.059999999</v>
      </c>
      <c r="AC298" s="238">
        <f t="shared" si="79"/>
        <v>29600538.059999999</v>
      </c>
      <c r="AD298" s="238">
        <f t="shared" si="80"/>
        <v>118402152.23999999</v>
      </c>
      <c r="AE298" s="206">
        <f t="shared" si="81"/>
        <v>2015</v>
      </c>
      <c r="AF298" s="210">
        <f t="shared" si="82"/>
        <v>1361624760.76</v>
      </c>
      <c r="AG298" s="48" t="e">
        <f t="shared" si="69"/>
        <v>#N/A</v>
      </c>
      <c r="AH298" s="48" t="e">
        <f>IF(AG298='KIB C'!AJ:AJ,"k",0)</f>
        <v>#N/A</v>
      </c>
    </row>
    <row r="299" spans="1:34" s="48" customFormat="1" ht="40.5" customHeight="1" x14ac:dyDescent="0.2">
      <c r="A299" s="295" t="s">
        <v>2302</v>
      </c>
      <c r="B299" s="73"/>
      <c r="C299" s="65" t="s">
        <v>2226</v>
      </c>
      <c r="D299" s="67"/>
      <c r="E299" s="67"/>
      <c r="F299" s="33"/>
      <c r="G299" s="40"/>
      <c r="H299" s="40"/>
      <c r="I299" s="40"/>
      <c r="J299" s="72" t="s">
        <v>2614</v>
      </c>
      <c r="K299" s="40">
        <v>2015</v>
      </c>
      <c r="L299" s="40" t="s">
        <v>2227</v>
      </c>
      <c r="M299" s="32"/>
      <c r="N299" s="33"/>
      <c r="O299" s="40"/>
      <c r="P299" s="32"/>
      <c r="Q299" s="252">
        <v>4784780000</v>
      </c>
      <c r="R299" s="105"/>
      <c r="S299" s="206" t="str">
        <f t="shared" si="77"/>
        <v>3.11.01</v>
      </c>
      <c r="T299" s="207" t="str">
        <f t="shared" si="70"/>
        <v>BANGUNAN GEDUNG TEMPAT KERJA</v>
      </c>
      <c r="U299" s="207">
        <f t="shared" si="71"/>
        <v>50</v>
      </c>
      <c r="V299" s="233">
        <f t="shared" si="78"/>
        <v>95695599.799999997</v>
      </c>
      <c r="W299" s="233"/>
      <c r="X299" s="233">
        <f t="shared" si="72"/>
        <v>0</v>
      </c>
      <c r="Y299" s="233"/>
      <c r="Z299" s="233">
        <f t="shared" si="74"/>
        <v>95695599.799999997</v>
      </c>
      <c r="AA299" s="233">
        <f t="shared" si="75"/>
        <v>95695599.799999997</v>
      </c>
      <c r="AB299" s="233">
        <f t="shared" si="76"/>
        <v>95695599.799999997</v>
      </c>
      <c r="AC299" s="238">
        <f t="shared" si="79"/>
        <v>95695599.799999997</v>
      </c>
      <c r="AD299" s="238">
        <f t="shared" si="80"/>
        <v>382782399.19999999</v>
      </c>
      <c r="AE299" s="206">
        <f t="shared" si="81"/>
        <v>2015</v>
      </c>
      <c r="AF299" s="210">
        <f t="shared" si="82"/>
        <v>4401997600.8000002</v>
      </c>
      <c r="AG299" s="48" t="str">
        <f t="shared" si="69"/>
        <v>K</v>
      </c>
    </row>
    <row r="300" spans="1:34" s="48" customFormat="1" ht="40.5" customHeight="1" x14ac:dyDescent="0.2">
      <c r="A300" s="295" t="s">
        <v>2302</v>
      </c>
      <c r="B300" s="73"/>
      <c r="C300" s="65" t="s">
        <v>2228</v>
      </c>
      <c r="D300" s="67"/>
      <c r="E300" s="67"/>
      <c r="F300" s="33"/>
      <c r="G300" s="40"/>
      <c r="H300" s="40"/>
      <c r="I300" s="40"/>
      <c r="J300" s="72" t="s">
        <v>2956</v>
      </c>
      <c r="K300" s="40">
        <v>2015</v>
      </c>
      <c r="L300" s="40"/>
      <c r="M300" s="32"/>
      <c r="N300" s="33"/>
      <c r="O300" s="40"/>
      <c r="P300" s="32"/>
      <c r="Q300" s="252">
        <v>437954000</v>
      </c>
      <c r="R300" s="105"/>
      <c r="S300" s="206" t="str">
        <f t="shared" si="77"/>
        <v>3.11.01</v>
      </c>
      <c r="T300" s="207" t="str">
        <f t="shared" si="70"/>
        <v>BANGUNAN GEDUNG TEMPAT KERJA</v>
      </c>
      <c r="U300" s="207">
        <f t="shared" si="71"/>
        <v>50</v>
      </c>
      <c r="V300" s="233">
        <f t="shared" si="78"/>
        <v>8759079.8000000007</v>
      </c>
      <c r="W300" s="233"/>
      <c r="X300" s="233">
        <f t="shared" si="72"/>
        <v>0</v>
      </c>
      <c r="Y300" s="233"/>
      <c r="Z300" s="233">
        <f t="shared" si="74"/>
        <v>8759079.8000000007</v>
      </c>
      <c r="AA300" s="233">
        <f t="shared" si="75"/>
        <v>8759079.8000000007</v>
      </c>
      <c r="AB300" s="233">
        <f t="shared" si="76"/>
        <v>8759079.8000000007</v>
      </c>
      <c r="AC300" s="238">
        <f t="shared" si="79"/>
        <v>8759079.8000000007</v>
      </c>
      <c r="AD300" s="238">
        <f t="shared" si="80"/>
        <v>35036319.200000003</v>
      </c>
      <c r="AE300" s="206">
        <f t="shared" si="81"/>
        <v>2015</v>
      </c>
      <c r="AF300" s="210">
        <f t="shared" si="82"/>
        <v>402917680.80000001</v>
      </c>
      <c r="AG300" s="48" t="e">
        <f t="shared" si="69"/>
        <v>#N/A</v>
      </c>
      <c r="AH300" s="48" t="e">
        <f>IF(AG300='KIB C'!AJ:AJ,"k",0)</f>
        <v>#N/A</v>
      </c>
    </row>
    <row r="301" spans="1:34" s="48" customFormat="1" ht="40.5" customHeight="1" x14ac:dyDescent="0.2">
      <c r="A301" s="295" t="s">
        <v>2302</v>
      </c>
      <c r="B301" s="73"/>
      <c r="C301" s="65" t="s">
        <v>2230</v>
      </c>
      <c r="D301" s="67"/>
      <c r="E301" s="67"/>
      <c r="F301" s="33"/>
      <c r="G301" s="40"/>
      <c r="H301" s="40"/>
      <c r="I301" s="40"/>
      <c r="J301" s="72" t="s">
        <v>2957</v>
      </c>
      <c r="K301" s="40">
        <v>2015</v>
      </c>
      <c r="L301" s="40"/>
      <c r="M301" s="32"/>
      <c r="N301" s="33"/>
      <c r="O301" s="40"/>
      <c r="P301" s="32"/>
      <c r="Q301" s="252">
        <v>1407432000</v>
      </c>
      <c r="R301" s="105"/>
      <c r="S301" s="206" t="str">
        <f t="shared" si="77"/>
        <v>3.11.01</v>
      </c>
      <c r="T301" s="207" t="str">
        <f t="shared" si="70"/>
        <v>BANGUNAN GEDUNG TEMPAT KERJA</v>
      </c>
      <c r="U301" s="207">
        <f t="shared" si="71"/>
        <v>50</v>
      </c>
      <c r="V301" s="233">
        <f t="shared" si="78"/>
        <v>28148639.800000001</v>
      </c>
      <c r="W301" s="233"/>
      <c r="X301" s="233">
        <f t="shared" si="72"/>
        <v>0</v>
      </c>
      <c r="Y301" s="233"/>
      <c r="Z301" s="233">
        <f t="shared" si="74"/>
        <v>28148639.800000001</v>
      </c>
      <c r="AA301" s="233">
        <f t="shared" si="75"/>
        <v>28148639.800000001</v>
      </c>
      <c r="AB301" s="233">
        <f t="shared" si="76"/>
        <v>28148639.800000001</v>
      </c>
      <c r="AC301" s="238">
        <f t="shared" si="79"/>
        <v>28148639.800000001</v>
      </c>
      <c r="AD301" s="238">
        <f t="shared" si="80"/>
        <v>112594559.2</v>
      </c>
      <c r="AE301" s="206">
        <f t="shared" si="81"/>
        <v>2015</v>
      </c>
      <c r="AF301" s="210">
        <f t="shared" si="82"/>
        <v>1294837440.8</v>
      </c>
      <c r="AG301" s="48" t="e">
        <f t="shared" si="69"/>
        <v>#N/A</v>
      </c>
      <c r="AH301" s="48" t="e">
        <f>IF(AG301='KIB C'!AJ:AJ,"k",0)</f>
        <v>#N/A</v>
      </c>
    </row>
    <row r="302" spans="1:34" s="48" customFormat="1" ht="40.5" customHeight="1" x14ac:dyDescent="0.2">
      <c r="A302" s="295" t="s">
        <v>2302</v>
      </c>
      <c r="B302" s="73"/>
      <c r="C302" s="65" t="s">
        <v>2232</v>
      </c>
      <c r="D302" s="67"/>
      <c r="E302" s="67"/>
      <c r="F302" s="33"/>
      <c r="G302" s="40"/>
      <c r="H302" s="40"/>
      <c r="I302" s="40"/>
      <c r="J302" s="72" t="s">
        <v>2614</v>
      </c>
      <c r="K302" s="40">
        <v>2015</v>
      </c>
      <c r="L302" s="40"/>
      <c r="M302" s="32"/>
      <c r="N302" s="33"/>
      <c r="O302" s="40"/>
      <c r="P302" s="32"/>
      <c r="Q302" s="252">
        <v>200800000</v>
      </c>
      <c r="R302" s="105"/>
      <c r="S302" s="206" t="str">
        <f t="shared" si="77"/>
        <v>3.11.01</v>
      </c>
      <c r="T302" s="207" t="str">
        <f t="shared" si="70"/>
        <v>BANGUNAN GEDUNG TEMPAT KERJA</v>
      </c>
      <c r="U302" s="207">
        <f t="shared" si="71"/>
        <v>50</v>
      </c>
      <c r="V302" s="233">
        <f t="shared" si="78"/>
        <v>4015999.8</v>
      </c>
      <c r="W302" s="233"/>
      <c r="X302" s="233">
        <f t="shared" si="72"/>
        <v>0</v>
      </c>
      <c r="Y302" s="233"/>
      <c r="Z302" s="233">
        <f t="shared" si="74"/>
        <v>4015999.8</v>
      </c>
      <c r="AA302" s="233">
        <f t="shared" si="75"/>
        <v>4015999.8</v>
      </c>
      <c r="AB302" s="233">
        <f t="shared" si="76"/>
        <v>4015999.8</v>
      </c>
      <c r="AC302" s="238">
        <f t="shared" si="79"/>
        <v>4015999.8</v>
      </c>
      <c r="AD302" s="238">
        <f t="shared" si="80"/>
        <v>16063999.199999999</v>
      </c>
      <c r="AE302" s="206">
        <f t="shared" si="81"/>
        <v>2015</v>
      </c>
      <c r="AF302" s="210">
        <f t="shared" si="82"/>
        <v>184736000.80000001</v>
      </c>
      <c r="AG302" s="48" t="e">
        <f t="shared" si="69"/>
        <v>#N/A</v>
      </c>
      <c r="AH302" s="48" t="e">
        <f>IF(AG302='KIB C'!AJ:AJ,"k",0)</f>
        <v>#N/A</v>
      </c>
    </row>
    <row r="303" spans="1:34" s="48" customFormat="1" ht="40.5" customHeight="1" x14ac:dyDescent="0.2">
      <c r="A303" s="295" t="s">
        <v>2302</v>
      </c>
      <c r="B303" s="73"/>
      <c r="C303" s="65" t="s">
        <v>2233</v>
      </c>
      <c r="D303" s="67"/>
      <c r="E303" s="67"/>
      <c r="F303" s="33"/>
      <c r="G303" s="40"/>
      <c r="H303" s="40"/>
      <c r="I303" s="40"/>
      <c r="J303" s="72" t="s">
        <v>2958</v>
      </c>
      <c r="K303" s="40">
        <v>2015</v>
      </c>
      <c r="L303" s="40"/>
      <c r="M303" s="32"/>
      <c r="N303" s="33"/>
      <c r="O303" s="40"/>
      <c r="P303" s="32"/>
      <c r="Q303" s="252">
        <v>439684000</v>
      </c>
      <c r="R303" s="105"/>
      <c r="S303" s="206" t="str">
        <f t="shared" si="77"/>
        <v>3.11.01</v>
      </c>
      <c r="T303" s="207" t="str">
        <f t="shared" si="70"/>
        <v>BANGUNAN GEDUNG TEMPAT KERJA</v>
      </c>
      <c r="U303" s="207">
        <f t="shared" si="71"/>
        <v>50</v>
      </c>
      <c r="V303" s="233">
        <f t="shared" si="78"/>
        <v>8793679.8000000007</v>
      </c>
      <c r="W303" s="233"/>
      <c r="X303" s="233">
        <f t="shared" si="72"/>
        <v>0</v>
      </c>
      <c r="Y303" s="233"/>
      <c r="Z303" s="233">
        <f t="shared" si="74"/>
        <v>8793679.8000000007</v>
      </c>
      <c r="AA303" s="233">
        <f t="shared" si="75"/>
        <v>8793679.8000000007</v>
      </c>
      <c r="AB303" s="233">
        <f t="shared" si="76"/>
        <v>8793679.8000000007</v>
      </c>
      <c r="AC303" s="238">
        <f t="shared" si="79"/>
        <v>8793679.8000000007</v>
      </c>
      <c r="AD303" s="238">
        <f t="shared" si="80"/>
        <v>35174719.200000003</v>
      </c>
      <c r="AE303" s="206">
        <f t="shared" si="81"/>
        <v>2015</v>
      </c>
      <c r="AF303" s="210">
        <f t="shared" si="82"/>
        <v>404509280.80000001</v>
      </c>
      <c r="AG303" s="48" t="e">
        <f t="shared" si="69"/>
        <v>#N/A</v>
      </c>
      <c r="AH303" s="48" t="e">
        <f>IF(AG303='KIB C'!AJ:AJ,"k",0)</f>
        <v>#N/A</v>
      </c>
    </row>
    <row r="304" spans="1:34" s="48" customFormat="1" ht="40.5" customHeight="1" x14ac:dyDescent="0.2">
      <c r="A304" s="295" t="s">
        <v>2302</v>
      </c>
      <c r="B304" s="73"/>
      <c r="C304" s="65" t="s">
        <v>2235</v>
      </c>
      <c r="D304" s="67"/>
      <c r="E304" s="67"/>
      <c r="F304" s="33"/>
      <c r="G304" s="40"/>
      <c r="H304" s="40"/>
      <c r="I304" s="40"/>
      <c r="J304" s="72" t="s">
        <v>2959</v>
      </c>
      <c r="K304" s="40">
        <v>2015</v>
      </c>
      <c r="L304" s="40"/>
      <c r="M304" s="32"/>
      <c r="N304" s="33"/>
      <c r="O304" s="40"/>
      <c r="P304" s="32"/>
      <c r="Q304" s="252">
        <v>428775000</v>
      </c>
      <c r="R304" s="105"/>
      <c r="S304" s="206" t="str">
        <f t="shared" si="77"/>
        <v>3.11.01</v>
      </c>
      <c r="T304" s="207" t="str">
        <f t="shared" si="70"/>
        <v>BANGUNAN GEDUNG TEMPAT KERJA</v>
      </c>
      <c r="U304" s="207">
        <f t="shared" si="71"/>
        <v>50</v>
      </c>
      <c r="V304" s="233">
        <f t="shared" si="78"/>
        <v>8575499.8000000007</v>
      </c>
      <c r="W304" s="233"/>
      <c r="X304" s="233">
        <f t="shared" si="72"/>
        <v>0</v>
      </c>
      <c r="Y304" s="233"/>
      <c r="Z304" s="233">
        <f t="shared" si="74"/>
        <v>8575499.8000000007</v>
      </c>
      <c r="AA304" s="233">
        <f t="shared" si="75"/>
        <v>8575499.8000000007</v>
      </c>
      <c r="AB304" s="233">
        <f t="shared" si="76"/>
        <v>8575499.8000000007</v>
      </c>
      <c r="AC304" s="238">
        <f t="shared" si="79"/>
        <v>8575499.8000000007</v>
      </c>
      <c r="AD304" s="238">
        <f t="shared" si="80"/>
        <v>34301999.200000003</v>
      </c>
      <c r="AE304" s="206">
        <f t="shared" si="81"/>
        <v>2015</v>
      </c>
      <c r="AF304" s="210">
        <f t="shared" si="82"/>
        <v>394473000.80000001</v>
      </c>
      <c r="AG304" s="48" t="e">
        <f t="shared" si="69"/>
        <v>#N/A</v>
      </c>
      <c r="AH304" s="48" t="e">
        <f>IF(AG304='KIB C'!AJ:AJ,"k",0)</f>
        <v>#N/A</v>
      </c>
    </row>
    <row r="305" spans="1:34" s="48" customFormat="1" ht="40.5" customHeight="1" x14ac:dyDescent="0.2">
      <c r="A305" s="295" t="s">
        <v>2302</v>
      </c>
      <c r="B305" s="73"/>
      <c r="C305" s="65" t="s">
        <v>2237</v>
      </c>
      <c r="D305" s="67"/>
      <c r="E305" s="67"/>
      <c r="F305" s="33"/>
      <c r="G305" s="40"/>
      <c r="H305" s="40"/>
      <c r="I305" s="40"/>
      <c r="J305" s="72" t="s">
        <v>2960</v>
      </c>
      <c r="K305" s="40">
        <v>2015</v>
      </c>
      <c r="L305" s="40"/>
      <c r="M305" s="32"/>
      <c r="N305" s="33"/>
      <c r="O305" s="40"/>
      <c r="P305" s="32"/>
      <c r="Q305" s="252">
        <v>423709000</v>
      </c>
      <c r="R305" s="105"/>
      <c r="S305" s="206" t="str">
        <f t="shared" si="77"/>
        <v>3.11.01</v>
      </c>
      <c r="T305" s="207" t="str">
        <f t="shared" si="70"/>
        <v>BANGUNAN GEDUNG TEMPAT KERJA</v>
      </c>
      <c r="U305" s="207">
        <f t="shared" si="71"/>
        <v>50</v>
      </c>
      <c r="V305" s="233">
        <f t="shared" si="78"/>
        <v>8474179.8000000007</v>
      </c>
      <c r="W305" s="233"/>
      <c r="X305" s="233">
        <f t="shared" si="72"/>
        <v>0</v>
      </c>
      <c r="Y305" s="233"/>
      <c r="Z305" s="233">
        <f t="shared" si="74"/>
        <v>8474179.8000000007</v>
      </c>
      <c r="AA305" s="233">
        <f t="shared" si="75"/>
        <v>8474179.8000000007</v>
      </c>
      <c r="AB305" s="233">
        <f t="shared" si="76"/>
        <v>8474179.8000000007</v>
      </c>
      <c r="AC305" s="238">
        <f t="shared" si="79"/>
        <v>8474179.8000000007</v>
      </c>
      <c r="AD305" s="238">
        <f t="shared" si="80"/>
        <v>33896719.200000003</v>
      </c>
      <c r="AE305" s="206">
        <f t="shared" si="81"/>
        <v>2015</v>
      </c>
      <c r="AF305" s="210">
        <f t="shared" si="82"/>
        <v>389812280.80000001</v>
      </c>
      <c r="AG305" s="48" t="e">
        <f t="shared" si="69"/>
        <v>#N/A</v>
      </c>
      <c r="AH305" s="48" t="e">
        <f>IF(AG305='KIB C'!AJ:AJ,"k",0)</f>
        <v>#N/A</v>
      </c>
    </row>
    <row r="306" spans="1:34" s="48" customFormat="1" ht="40.5" customHeight="1" x14ac:dyDescent="0.2">
      <c r="A306" s="295" t="s">
        <v>2302</v>
      </c>
      <c r="B306" s="73"/>
      <c r="C306" s="65" t="s">
        <v>2239</v>
      </c>
      <c r="D306" s="67"/>
      <c r="E306" s="67"/>
      <c r="F306" s="33"/>
      <c r="G306" s="40"/>
      <c r="H306" s="40"/>
      <c r="I306" s="40"/>
      <c r="J306" s="72" t="s">
        <v>2961</v>
      </c>
      <c r="K306" s="40">
        <v>2015</v>
      </c>
      <c r="L306" s="40"/>
      <c r="M306" s="32"/>
      <c r="N306" s="33"/>
      <c r="O306" s="40"/>
      <c r="P306" s="32"/>
      <c r="Q306" s="252">
        <v>438658000</v>
      </c>
      <c r="R306" s="105"/>
      <c r="S306" s="206" t="str">
        <f t="shared" si="77"/>
        <v>3.11.01</v>
      </c>
      <c r="T306" s="207" t="str">
        <f t="shared" si="70"/>
        <v>BANGUNAN GEDUNG TEMPAT KERJA</v>
      </c>
      <c r="U306" s="207">
        <f t="shared" si="71"/>
        <v>50</v>
      </c>
      <c r="V306" s="233">
        <f t="shared" si="78"/>
        <v>8773159.8000000007</v>
      </c>
      <c r="W306" s="233"/>
      <c r="X306" s="233">
        <f t="shared" si="72"/>
        <v>0</v>
      </c>
      <c r="Y306" s="233"/>
      <c r="Z306" s="233">
        <f t="shared" si="74"/>
        <v>8773159.8000000007</v>
      </c>
      <c r="AA306" s="233">
        <f t="shared" si="75"/>
        <v>8773159.8000000007</v>
      </c>
      <c r="AB306" s="233">
        <f t="shared" si="76"/>
        <v>8773159.8000000007</v>
      </c>
      <c r="AC306" s="238">
        <f t="shared" si="79"/>
        <v>8773159.8000000007</v>
      </c>
      <c r="AD306" s="238">
        <f t="shared" si="80"/>
        <v>35092639.200000003</v>
      </c>
      <c r="AE306" s="206">
        <f t="shared" si="81"/>
        <v>2015</v>
      </c>
      <c r="AF306" s="210">
        <f t="shared" si="82"/>
        <v>403565360.80000001</v>
      </c>
      <c r="AG306" s="48" t="e">
        <f t="shared" si="69"/>
        <v>#N/A</v>
      </c>
      <c r="AH306" s="48" t="e">
        <f>IF(AG306='KIB C'!AJ:AJ,"k",0)</f>
        <v>#N/A</v>
      </c>
    </row>
    <row r="307" spans="1:34" s="48" customFormat="1" ht="40.5" customHeight="1" x14ac:dyDescent="0.2">
      <c r="A307" s="295" t="s">
        <v>2302</v>
      </c>
      <c r="B307" s="73"/>
      <c r="C307" s="65" t="s">
        <v>2241</v>
      </c>
      <c r="D307" s="67"/>
      <c r="E307" s="67"/>
      <c r="F307" s="33"/>
      <c r="G307" s="40"/>
      <c r="H307" s="40"/>
      <c r="I307" s="40"/>
      <c r="J307" s="72" t="s">
        <v>2962</v>
      </c>
      <c r="K307" s="40">
        <v>2015</v>
      </c>
      <c r="L307" s="40"/>
      <c r="M307" s="32"/>
      <c r="N307" s="33"/>
      <c r="O307" s="40"/>
      <c r="P307" s="32"/>
      <c r="Q307" s="252">
        <v>447244000</v>
      </c>
      <c r="R307" s="105"/>
      <c r="S307" s="206" t="str">
        <f t="shared" si="77"/>
        <v>3.11.01</v>
      </c>
      <c r="T307" s="207" t="str">
        <f t="shared" si="70"/>
        <v>BANGUNAN GEDUNG TEMPAT KERJA</v>
      </c>
      <c r="U307" s="207">
        <f t="shared" si="71"/>
        <v>50</v>
      </c>
      <c r="V307" s="233">
        <f t="shared" si="78"/>
        <v>8944879.8000000007</v>
      </c>
      <c r="W307" s="233"/>
      <c r="X307" s="233">
        <f t="shared" si="72"/>
        <v>0</v>
      </c>
      <c r="Y307" s="233"/>
      <c r="Z307" s="233">
        <f t="shared" si="74"/>
        <v>8944879.8000000007</v>
      </c>
      <c r="AA307" s="233">
        <f t="shared" si="75"/>
        <v>8944879.8000000007</v>
      </c>
      <c r="AB307" s="233">
        <f t="shared" si="76"/>
        <v>8944879.8000000007</v>
      </c>
      <c r="AC307" s="238">
        <f t="shared" si="79"/>
        <v>8944879.8000000007</v>
      </c>
      <c r="AD307" s="238">
        <f t="shared" si="80"/>
        <v>35779519.200000003</v>
      </c>
      <c r="AE307" s="206">
        <f t="shared" si="81"/>
        <v>2015</v>
      </c>
      <c r="AF307" s="210">
        <f t="shared" si="82"/>
        <v>411464480.80000001</v>
      </c>
      <c r="AG307" s="48" t="e">
        <f t="shared" si="69"/>
        <v>#N/A</v>
      </c>
      <c r="AH307" s="48" t="e">
        <f>IF(AG307='KIB C'!AJ:AJ,"k",0)</f>
        <v>#N/A</v>
      </c>
    </row>
    <row r="308" spans="1:34" s="48" customFormat="1" ht="40.5" customHeight="1" x14ac:dyDescent="0.2">
      <c r="A308" s="295" t="s">
        <v>2302</v>
      </c>
      <c r="B308" s="73"/>
      <c r="C308" s="65" t="s">
        <v>2243</v>
      </c>
      <c r="D308" s="67"/>
      <c r="E308" s="67"/>
      <c r="F308" s="33"/>
      <c r="G308" s="40"/>
      <c r="H308" s="40"/>
      <c r="I308" s="40"/>
      <c r="J308" s="72" t="s">
        <v>2912</v>
      </c>
      <c r="K308" s="40">
        <v>2015</v>
      </c>
      <c r="L308" s="40"/>
      <c r="M308" s="32"/>
      <c r="N308" s="33"/>
      <c r="O308" s="40"/>
      <c r="P308" s="32"/>
      <c r="Q308" s="252">
        <v>427675000</v>
      </c>
      <c r="R308" s="105"/>
      <c r="S308" s="206" t="str">
        <f t="shared" si="77"/>
        <v>3.11.01</v>
      </c>
      <c r="T308" s="207" t="str">
        <f t="shared" si="70"/>
        <v>BANGUNAN GEDUNG TEMPAT KERJA</v>
      </c>
      <c r="U308" s="207">
        <f t="shared" si="71"/>
        <v>50</v>
      </c>
      <c r="V308" s="233">
        <f t="shared" si="78"/>
        <v>8553499.8000000007</v>
      </c>
      <c r="W308" s="233"/>
      <c r="X308" s="233">
        <f t="shared" si="72"/>
        <v>0</v>
      </c>
      <c r="Y308" s="233"/>
      <c r="Z308" s="233">
        <f t="shared" si="74"/>
        <v>8553499.8000000007</v>
      </c>
      <c r="AA308" s="233">
        <f t="shared" si="75"/>
        <v>8553499.8000000007</v>
      </c>
      <c r="AB308" s="233">
        <f t="shared" si="76"/>
        <v>8553499.8000000007</v>
      </c>
      <c r="AC308" s="238">
        <f t="shared" si="79"/>
        <v>8553499.8000000007</v>
      </c>
      <c r="AD308" s="238">
        <f t="shared" si="80"/>
        <v>34213999.200000003</v>
      </c>
      <c r="AE308" s="206">
        <f t="shared" si="81"/>
        <v>2015</v>
      </c>
      <c r="AF308" s="210">
        <f t="shared" si="82"/>
        <v>393461000.80000001</v>
      </c>
      <c r="AG308" s="48" t="e">
        <f t="shared" si="69"/>
        <v>#N/A</v>
      </c>
      <c r="AH308" s="48" t="e">
        <f>IF(AG308='KIB C'!AJ:AJ,"k",0)</f>
        <v>#N/A</v>
      </c>
    </row>
    <row r="309" spans="1:34" s="48" customFormat="1" ht="40.5" customHeight="1" x14ac:dyDescent="0.2">
      <c r="A309" s="295" t="s">
        <v>2302</v>
      </c>
      <c r="B309" s="73"/>
      <c r="C309" s="65" t="s">
        <v>2244</v>
      </c>
      <c r="D309" s="67"/>
      <c r="E309" s="67"/>
      <c r="F309" s="33"/>
      <c r="G309" s="40"/>
      <c r="H309" s="40"/>
      <c r="I309" s="40"/>
      <c r="J309" s="72" t="s">
        <v>2937</v>
      </c>
      <c r="K309" s="40">
        <v>2015</v>
      </c>
      <c r="L309" s="40"/>
      <c r="M309" s="32"/>
      <c r="N309" s="33"/>
      <c r="O309" s="40"/>
      <c r="P309" s="32"/>
      <c r="Q309" s="252">
        <v>838730000</v>
      </c>
      <c r="R309" s="105"/>
      <c r="S309" s="206" t="str">
        <f t="shared" si="77"/>
        <v>3.11.01</v>
      </c>
      <c r="T309" s="207" t="str">
        <f t="shared" si="70"/>
        <v>BANGUNAN GEDUNG TEMPAT KERJA</v>
      </c>
      <c r="U309" s="207">
        <f t="shared" si="71"/>
        <v>50</v>
      </c>
      <c r="V309" s="233">
        <f t="shared" si="78"/>
        <v>16774599.800000001</v>
      </c>
      <c r="W309" s="233"/>
      <c r="X309" s="233">
        <f t="shared" si="72"/>
        <v>0</v>
      </c>
      <c r="Y309" s="233"/>
      <c r="Z309" s="233">
        <f t="shared" si="74"/>
        <v>16774599.800000001</v>
      </c>
      <c r="AA309" s="233">
        <f t="shared" si="75"/>
        <v>16774599.800000001</v>
      </c>
      <c r="AB309" s="233">
        <f t="shared" si="76"/>
        <v>16774599.800000001</v>
      </c>
      <c r="AC309" s="238">
        <f t="shared" si="79"/>
        <v>16774599.800000001</v>
      </c>
      <c r="AD309" s="238">
        <f t="shared" si="80"/>
        <v>67098399.200000003</v>
      </c>
      <c r="AE309" s="206">
        <f t="shared" si="81"/>
        <v>2015</v>
      </c>
      <c r="AF309" s="210">
        <f t="shared" si="82"/>
        <v>771631600.79999995</v>
      </c>
      <c r="AG309" s="48" t="str">
        <f t="shared" si="69"/>
        <v>K</v>
      </c>
    </row>
    <row r="310" spans="1:34" s="48" customFormat="1" ht="40.5" customHeight="1" x14ac:dyDescent="0.2">
      <c r="A310" s="295" t="s">
        <v>2302</v>
      </c>
      <c r="B310" s="73"/>
      <c r="C310" s="65" t="s">
        <v>2244</v>
      </c>
      <c r="D310" s="67"/>
      <c r="E310" s="67"/>
      <c r="F310" s="33"/>
      <c r="G310" s="40"/>
      <c r="H310" s="40"/>
      <c r="I310" s="40"/>
      <c r="J310" s="72" t="s">
        <v>2937</v>
      </c>
      <c r="K310" s="40">
        <v>2015</v>
      </c>
      <c r="L310" s="40"/>
      <c r="M310" s="32"/>
      <c r="N310" s="33"/>
      <c r="O310" s="40"/>
      <c r="P310" s="32"/>
      <c r="Q310" s="252">
        <v>840750500</v>
      </c>
      <c r="R310" s="105"/>
      <c r="S310" s="206" t="str">
        <f t="shared" si="77"/>
        <v>3.11.01</v>
      </c>
      <c r="T310" s="207" t="str">
        <f t="shared" si="70"/>
        <v>BANGUNAN GEDUNG TEMPAT KERJA</v>
      </c>
      <c r="U310" s="207">
        <f t="shared" si="71"/>
        <v>50</v>
      </c>
      <c r="V310" s="233">
        <f t="shared" si="78"/>
        <v>16815009.800000001</v>
      </c>
      <c r="W310" s="233"/>
      <c r="X310" s="233">
        <f t="shared" si="72"/>
        <v>0</v>
      </c>
      <c r="Y310" s="233"/>
      <c r="Z310" s="233">
        <f t="shared" si="74"/>
        <v>16815009.800000001</v>
      </c>
      <c r="AA310" s="233">
        <f t="shared" si="75"/>
        <v>16815009.800000001</v>
      </c>
      <c r="AB310" s="233">
        <f t="shared" si="76"/>
        <v>16815009.800000001</v>
      </c>
      <c r="AC310" s="238">
        <f t="shared" si="79"/>
        <v>16815009.800000001</v>
      </c>
      <c r="AD310" s="238">
        <f t="shared" si="80"/>
        <v>67260039.200000003</v>
      </c>
      <c r="AE310" s="206">
        <f t="shared" si="81"/>
        <v>2015</v>
      </c>
      <c r="AF310" s="210">
        <f t="shared" si="82"/>
        <v>773490460.79999995</v>
      </c>
      <c r="AG310" s="48" t="str">
        <f t="shared" si="69"/>
        <v>K</v>
      </c>
    </row>
    <row r="311" spans="1:34" s="48" customFormat="1" ht="40.5" customHeight="1" x14ac:dyDescent="0.2">
      <c r="A311" s="295" t="s">
        <v>2302</v>
      </c>
      <c r="B311" s="73"/>
      <c r="C311" s="65" t="s">
        <v>2245</v>
      </c>
      <c r="D311" s="67"/>
      <c r="E311" s="67"/>
      <c r="F311" s="33"/>
      <c r="G311" s="40"/>
      <c r="H311" s="40"/>
      <c r="I311" s="40"/>
      <c r="J311" s="72" t="s">
        <v>2963</v>
      </c>
      <c r="K311" s="40">
        <v>2015</v>
      </c>
      <c r="L311" s="40"/>
      <c r="M311" s="32"/>
      <c r="N311" s="33"/>
      <c r="O311" s="40"/>
      <c r="P311" s="32"/>
      <c r="Q311" s="252">
        <v>424801000</v>
      </c>
      <c r="R311" s="105"/>
      <c r="S311" s="206" t="str">
        <f t="shared" si="77"/>
        <v>3.11.01</v>
      </c>
      <c r="T311" s="207" t="str">
        <f t="shared" si="70"/>
        <v>BANGUNAN GEDUNG TEMPAT KERJA</v>
      </c>
      <c r="U311" s="207">
        <f t="shared" si="71"/>
        <v>50</v>
      </c>
      <c r="V311" s="233">
        <f t="shared" si="78"/>
        <v>8496019.8000000007</v>
      </c>
      <c r="W311" s="233"/>
      <c r="X311" s="233">
        <f t="shared" si="72"/>
        <v>0</v>
      </c>
      <c r="Y311" s="233"/>
      <c r="Z311" s="233">
        <f t="shared" si="74"/>
        <v>8496019.8000000007</v>
      </c>
      <c r="AA311" s="233">
        <f t="shared" si="75"/>
        <v>8496019.8000000007</v>
      </c>
      <c r="AB311" s="233">
        <f t="shared" si="76"/>
        <v>8496019.8000000007</v>
      </c>
      <c r="AC311" s="238">
        <f t="shared" si="79"/>
        <v>8496019.8000000007</v>
      </c>
      <c r="AD311" s="238">
        <f t="shared" si="80"/>
        <v>33984079.200000003</v>
      </c>
      <c r="AE311" s="206">
        <f t="shared" si="81"/>
        <v>2015</v>
      </c>
      <c r="AF311" s="210">
        <f t="shared" si="82"/>
        <v>390816920.80000001</v>
      </c>
      <c r="AG311" s="48" t="e">
        <f t="shared" si="69"/>
        <v>#N/A</v>
      </c>
      <c r="AH311" s="48" t="e">
        <f>IF(AG311='KIB C'!AJ:AJ,"k",0)</f>
        <v>#N/A</v>
      </c>
    </row>
    <row r="312" spans="1:34" s="48" customFormat="1" ht="40.5" customHeight="1" x14ac:dyDescent="0.2">
      <c r="A312" s="295" t="s">
        <v>2302</v>
      </c>
      <c r="B312" s="73"/>
      <c r="C312" s="65" t="s">
        <v>2247</v>
      </c>
      <c r="D312" s="67"/>
      <c r="E312" s="67"/>
      <c r="F312" s="33"/>
      <c r="G312" s="40"/>
      <c r="H312" s="40"/>
      <c r="I312" s="40"/>
      <c r="J312" s="72" t="s">
        <v>2964</v>
      </c>
      <c r="K312" s="40">
        <v>2015</v>
      </c>
      <c r="L312" s="40"/>
      <c r="M312" s="32"/>
      <c r="N312" s="33"/>
      <c r="O312" s="40"/>
      <c r="P312" s="32"/>
      <c r="Q312" s="252">
        <v>434794000</v>
      </c>
      <c r="R312" s="105"/>
      <c r="S312" s="206" t="str">
        <f t="shared" si="77"/>
        <v>3.11.01</v>
      </c>
      <c r="T312" s="207" t="str">
        <f t="shared" si="70"/>
        <v>BANGUNAN GEDUNG TEMPAT KERJA</v>
      </c>
      <c r="U312" s="207">
        <f t="shared" si="71"/>
        <v>50</v>
      </c>
      <c r="V312" s="233">
        <f t="shared" si="78"/>
        <v>8695879.8000000007</v>
      </c>
      <c r="W312" s="233"/>
      <c r="X312" s="233">
        <f t="shared" si="72"/>
        <v>0</v>
      </c>
      <c r="Y312" s="233"/>
      <c r="Z312" s="233">
        <f t="shared" si="74"/>
        <v>8695879.8000000007</v>
      </c>
      <c r="AA312" s="233">
        <f t="shared" si="75"/>
        <v>8695879.8000000007</v>
      </c>
      <c r="AB312" s="233">
        <f t="shared" si="76"/>
        <v>8695879.8000000007</v>
      </c>
      <c r="AC312" s="238">
        <f t="shared" si="79"/>
        <v>8695879.8000000007</v>
      </c>
      <c r="AD312" s="238">
        <f t="shared" si="80"/>
        <v>34783519.200000003</v>
      </c>
      <c r="AE312" s="206">
        <f t="shared" si="81"/>
        <v>2015</v>
      </c>
      <c r="AF312" s="210">
        <f t="shared" si="82"/>
        <v>400010480.80000001</v>
      </c>
      <c r="AG312" s="48" t="e">
        <f t="shared" si="69"/>
        <v>#N/A</v>
      </c>
      <c r="AH312" s="48" t="e">
        <f>IF(AG312='KIB C'!AJ:AJ,"k",0)</f>
        <v>#N/A</v>
      </c>
    </row>
    <row r="313" spans="1:34" s="48" customFormat="1" ht="40.5" customHeight="1" x14ac:dyDescent="0.2">
      <c r="A313" s="295" t="s">
        <v>2302</v>
      </c>
      <c r="B313" s="73"/>
      <c r="C313" s="65" t="s">
        <v>2249</v>
      </c>
      <c r="D313" s="67"/>
      <c r="E313" s="67"/>
      <c r="F313" s="33"/>
      <c r="G313" s="40"/>
      <c r="H313" s="40"/>
      <c r="I313" s="40"/>
      <c r="J313" s="72" t="s">
        <v>2614</v>
      </c>
      <c r="K313" s="40">
        <v>2014</v>
      </c>
      <c r="L313" s="40" t="s">
        <v>2250</v>
      </c>
      <c r="M313" s="32"/>
      <c r="N313" s="33"/>
      <c r="O313" s="40"/>
      <c r="P313" s="32" t="s">
        <v>2251</v>
      </c>
      <c r="Q313" s="252">
        <v>52985624344.199997</v>
      </c>
      <c r="R313" s="105"/>
      <c r="S313" s="206" t="str">
        <f t="shared" si="77"/>
        <v>3.11.01</v>
      </c>
      <c r="T313" s="207" t="str">
        <f t="shared" si="70"/>
        <v>BANGUNAN GEDUNG TEMPAT KERJA</v>
      </c>
      <c r="U313" s="207">
        <f t="shared" si="71"/>
        <v>50</v>
      </c>
      <c r="V313" s="233">
        <f t="shared" si="78"/>
        <v>1059712486.6839999</v>
      </c>
      <c r="W313" s="233"/>
      <c r="X313" s="233">
        <f t="shared" si="72"/>
        <v>0</v>
      </c>
      <c r="Y313" s="233">
        <f t="shared" si="73"/>
        <v>1059712486.6839999</v>
      </c>
      <c r="Z313" s="233">
        <f t="shared" si="74"/>
        <v>1059712486.6839999</v>
      </c>
      <c r="AA313" s="233">
        <f t="shared" si="75"/>
        <v>1059712486.6839999</v>
      </c>
      <c r="AB313" s="233">
        <f t="shared" si="76"/>
        <v>1059712486.6839999</v>
      </c>
      <c r="AC313" s="238">
        <f t="shared" si="79"/>
        <v>1059712486.6839999</v>
      </c>
      <c r="AD313" s="238">
        <f t="shared" si="80"/>
        <v>5298562433.4199991</v>
      </c>
      <c r="AE313" s="206">
        <f t="shared" si="81"/>
        <v>2014</v>
      </c>
      <c r="AF313" s="210">
        <f t="shared" si="82"/>
        <v>47687061910.779999</v>
      </c>
      <c r="AG313" s="48" t="e">
        <f t="shared" si="69"/>
        <v>#N/A</v>
      </c>
      <c r="AH313" s="48" t="e">
        <f>IF(AG313='KIB C'!AJ:AJ,"k",0)</f>
        <v>#N/A</v>
      </c>
    </row>
    <row r="314" spans="1:34" s="48" customFormat="1" ht="40.5" customHeight="1" x14ac:dyDescent="0.2">
      <c r="A314" s="295" t="s">
        <v>2302</v>
      </c>
      <c r="B314" s="73"/>
      <c r="C314" s="65" t="s">
        <v>2252</v>
      </c>
      <c r="D314" s="67"/>
      <c r="E314" s="67"/>
      <c r="F314" s="33"/>
      <c r="G314" s="40"/>
      <c r="H314" s="40"/>
      <c r="I314" s="40"/>
      <c r="J314" s="72" t="s">
        <v>52</v>
      </c>
      <c r="K314" s="40">
        <v>2014</v>
      </c>
      <c r="L314" s="40" t="s">
        <v>2253</v>
      </c>
      <c r="M314" s="32"/>
      <c r="N314" s="33"/>
      <c r="O314" s="40"/>
      <c r="P314" s="32" t="s">
        <v>2251</v>
      </c>
      <c r="Q314" s="252">
        <v>10195294623</v>
      </c>
      <c r="R314" s="244" t="s">
        <v>2488</v>
      </c>
      <c r="S314" s="206" t="str">
        <f t="shared" si="77"/>
        <v>3.11.01</v>
      </c>
      <c r="T314" s="207" t="str">
        <f t="shared" si="70"/>
        <v>BANGUNAN GEDUNG TEMPAT KERJA</v>
      </c>
      <c r="U314" s="207">
        <f t="shared" si="71"/>
        <v>50</v>
      </c>
      <c r="V314" s="238">
        <f>(Q314-10)/U314</f>
        <v>203905892.25999999</v>
      </c>
      <c r="W314" s="233"/>
      <c r="X314" s="233">
        <f t="shared" si="72"/>
        <v>0</v>
      </c>
      <c r="Y314" s="233">
        <f t="shared" si="73"/>
        <v>203905892.25999999</v>
      </c>
      <c r="Z314" s="233">
        <f t="shared" si="74"/>
        <v>203905892.25999999</v>
      </c>
      <c r="AA314" s="233">
        <f t="shared" si="75"/>
        <v>203905892.25999999</v>
      </c>
      <c r="AB314" s="238">
        <f t="shared" si="76"/>
        <v>203905892.25999999</v>
      </c>
      <c r="AC314" s="238">
        <f t="shared" si="79"/>
        <v>203905892.25999999</v>
      </c>
      <c r="AD314" s="238">
        <f t="shared" si="80"/>
        <v>1019529461.3</v>
      </c>
      <c r="AE314" s="206">
        <f t="shared" si="81"/>
        <v>2014</v>
      </c>
      <c r="AF314" s="210">
        <f t="shared" si="82"/>
        <v>9175765161.7000008</v>
      </c>
      <c r="AG314" s="48" t="s">
        <v>4245</v>
      </c>
    </row>
    <row r="315" spans="1:34" s="48" customFormat="1" ht="40.5" customHeight="1" x14ac:dyDescent="0.2">
      <c r="A315" s="295" t="s">
        <v>2302</v>
      </c>
      <c r="B315" s="73"/>
      <c r="C315" s="65" t="s">
        <v>2254</v>
      </c>
      <c r="D315" s="67"/>
      <c r="E315" s="67"/>
      <c r="F315" s="33"/>
      <c r="G315" s="40"/>
      <c r="H315" s="40"/>
      <c r="I315" s="40"/>
      <c r="J315" s="72" t="s">
        <v>2614</v>
      </c>
      <c r="K315" s="40">
        <v>2014</v>
      </c>
      <c r="L315" s="40" t="s">
        <v>2255</v>
      </c>
      <c r="M315" s="32"/>
      <c r="N315" s="33"/>
      <c r="O315" s="40"/>
      <c r="P315" s="32" t="s">
        <v>2251</v>
      </c>
      <c r="Q315" s="252">
        <v>3023660100</v>
      </c>
      <c r="R315" s="105"/>
      <c r="S315" s="206" t="str">
        <f t="shared" si="77"/>
        <v>3.11.01</v>
      </c>
      <c r="T315" s="207" t="str">
        <f t="shared" si="70"/>
        <v>BANGUNAN GEDUNG TEMPAT KERJA</v>
      </c>
      <c r="U315" s="207">
        <f t="shared" si="71"/>
        <v>50</v>
      </c>
      <c r="V315" s="233">
        <f t="shared" si="78"/>
        <v>60473201.799999997</v>
      </c>
      <c r="W315" s="233"/>
      <c r="X315" s="233">
        <f t="shared" si="72"/>
        <v>0</v>
      </c>
      <c r="Y315" s="233">
        <f t="shared" si="73"/>
        <v>60473201.799999997</v>
      </c>
      <c r="Z315" s="233">
        <f t="shared" si="74"/>
        <v>60473201.799999997</v>
      </c>
      <c r="AA315" s="233">
        <f t="shared" si="75"/>
        <v>60473201.799999997</v>
      </c>
      <c r="AB315" s="233">
        <f t="shared" si="76"/>
        <v>60473201.799999997</v>
      </c>
      <c r="AC315" s="238">
        <f t="shared" si="79"/>
        <v>60473201.799999997</v>
      </c>
      <c r="AD315" s="238">
        <f t="shared" si="80"/>
        <v>302366009</v>
      </c>
      <c r="AE315" s="206">
        <f t="shared" si="81"/>
        <v>2014</v>
      </c>
      <c r="AF315" s="210">
        <f t="shared" si="82"/>
        <v>2721294091</v>
      </c>
      <c r="AG315" s="48" t="e">
        <f>VLOOKUP(C315,KAP,2,0)</f>
        <v>#N/A</v>
      </c>
      <c r="AH315" s="48" t="e">
        <f>IF(AG315='KIB C'!AJ:AJ,"k",0)</f>
        <v>#N/A</v>
      </c>
    </row>
    <row r="316" spans="1:34" s="48" customFormat="1" ht="40.5" customHeight="1" x14ac:dyDescent="0.2">
      <c r="A316" s="295" t="s">
        <v>2302</v>
      </c>
      <c r="B316" s="73"/>
      <c r="C316" s="65" t="s">
        <v>2256</v>
      </c>
      <c r="D316" s="67"/>
      <c r="E316" s="67"/>
      <c r="F316" s="33"/>
      <c r="G316" s="40"/>
      <c r="H316" s="40"/>
      <c r="I316" s="40"/>
      <c r="J316" s="72" t="s">
        <v>2957</v>
      </c>
      <c r="K316" s="40">
        <v>2016</v>
      </c>
      <c r="L316" s="40"/>
      <c r="M316" s="32"/>
      <c r="N316" s="33"/>
      <c r="O316" s="40"/>
      <c r="P316" s="32" t="s">
        <v>2251</v>
      </c>
      <c r="Q316" s="252">
        <v>555684800</v>
      </c>
      <c r="R316" s="105"/>
      <c r="S316" s="206" t="str">
        <f t="shared" si="77"/>
        <v>3.11.01</v>
      </c>
      <c r="T316" s="207" t="str">
        <f t="shared" si="70"/>
        <v>BANGUNAN GEDUNG TEMPAT KERJA</v>
      </c>
      <c r="U316" s="207">
        <f t="shared" si="71"/>
        <v>50</v>
      </c>
      <c r="V316" s="233">
        <f t="shared" si="78"/>
        <v>11113695.800000001</v>
      </c>
      <c r="W316" s="233"/>
      <c r="X316" s="233">
        <f t="shared" si="72"/>
        <v>0</v>
      </c>
      <c r="Y316" s="233"/>
      <c r="Z316" s="233"/>
      <c r="AA316" s="233">
        <f t="shared" si="75"/>
        <v>11113695.800000001</v>
      </c>
      <c r="AB316" s="233">
        <f t="shared" si="76"/>
        <v>11113695.800000001</v>
      </c>
      <c r="AC316" s="238">
        <f t="shared" si="79"/>
        <v>11113695.800000001</v>
      </c>
      <c r="AD316" s="238">
        <f t="shared" si="80"/>
        <v>33341087.400000002</v>
      </c>
      <c r="AE316" s="206">
        <f t="shared" si="81"/>
        <v>2016</v>
      </c>
      <c r="AF316" s="210">
        <f t="shared" si="82"/>
        <v>522343712.60000002</v>
      </c>
      <c r="AG316" s="48" t="e">
        <f>VLOOKUP(C316,KAP,2,0)</f>
        <v>#N/A</v>
      </c>
      <c r="AH316" s="48" t="e">
        <f>IF(AG316='KIB C'!AJ:AJ,"k",0)</f>
        <v>#N/A</v>
      </c>
    </row>
    <row r="317" spans="1:34" s="48" customFormat="1" ht="40.5" customHeight="1" x14ac:dyDescent="0.2">
      <c r="A317" s="295" t="s">
        <v>2302</v>
      </c>
      <c r="B317" s="73"/>
      <c r="C317" s="65" t="s">
        <v>2257</v>
      </c>
      <c r="D317" s="67"/>
      <c r="E317" s="67"/>
      <c r="F317" s="33"/>
      <c r="G317" s="40"/>
      <c r="H317" s="40"/>
      <c r="I317" s="40"/>
      <c r="J317" s="72" t="s">
        <v>2965</v>
      </c>
      <c r="K317" s="40">
        <v>2016</v>
      </c>
      <c r="L317" s="40" t="s">
        <v>2259</v>
      </c>
      <c r="M317" s="32"/>
      <c r="N317" s="33" t="s">
        <v>2260</v>
      </c>
      <c r="O317" s="40"/>
      <c r="P317" s="32" t="s">
        <v>2251</v>
      </c>
      <c r="Q317" s="252">
        <v>596755000</v>
      </c>
      <c r="R317" s="105"/>
      <c r="S317" s="206" t="str">
        <f t="shared" si="77"/>
        <v>3.11.01</v>
      </c>
      <c r="T317" s="207" t="str">
        <f t="shared" si="70"/>
        <v>BANGUNAN GEDUNG TEMPAT KERJA</v>
      </c>
      <c r="U317" s="207">
        <f t="shared" si="71"/>
        <v>50</v>
      </c>
      <c r="V317" s="233">
        <f t="shared" si="78"/>
        <v>11935099.800000001</v>
      </c>
      <c r="W317" s="233"/>
      <c r="X317" s="233">
        <f t="shared" si="72"/>
        <v>0</v>
      </c>
      <c r="Y317" s="233"/>
      <c r="Z317" s="233"/>
      <c r="AA317" s="233">
        <f t="shared" si="75"/>
        <v>11935099.800000001</v>
      </c>
      <c r="AB317" s="233">
        <f t="shared" si="76"/>
        <v>11935099.800000001</v>
      </c>
      <c r="AC317" s="238">
        <f t="shared" si="79"/>
        <v>11935099.800000001</v>
      </c>
      <c r="AD317" s="238">
        <f t="shared" si="80"/>
        <v>35805299.400000006</v>
      </c>
      <c r="AE317" s="206">
        <f t="shared" si="81"/>
        <v>2016</v>
      </c>
      <c r="AF317" s="210">
        <f t="shared" si="82"/>
        <v>560949700.60000002</v>
      </c>
      <c r="AG317" s="48" t="e">
        <f>VLOOKUP(C317,KAP,2,0)</f>
        <v>#N/A</v>
      </c>
      <c r="AH317" s="48" t="e">
        <f>IF(AG317='KIB C'!AJ:AJ,"k",0)</f>
        <v>#N/A</v>
      </c>
    </row>
    <row r="318" spans="1:34" s="48" customFormat="1" ht="40.5" customHeight="1" x14ac:dyDescent="0.2">
      <c r="A318" s="295" t="s">
        <v>2302</v>
      </c>
      <c r="B318" s="73"/>
      <c r="C318" s="65" t="s">
        <v>2261</v>
      </c>
      <c r="D318" s="67"/>
      <c r="E318" s="67"/>
      <c r="F318" s="33"/>
      <c r="G318" s="40"/>
      <c r="H318" s="40"/>
      <c r="I318" s="40"/>
      <c r="J318" s="72" t="s">
        <v>2944</v>
      </c>
      <c r="K318" s="40">
        <v>2016</v>
      </c>
      <c r="L318" s="40" t="s">
        <v>2262</v>
      </c>
      <c r="M318" s="32"/>
      <c r="N318" s="33" t="s">
        <v>2260</v>
      </c>
      <c r="O318" s="40"/>
      <c r="P318" s="32" t="s">
        <v>2251</v>
      </c>
      <c r="Q318" s="252">
        <v>343212000</v>
      </c>
      <c r="R318" s="105"/>
      <c r="S318" s="206" t="str">
        <f t="shared" si="77"/>
        <v>3.11.01</v>
      </c>
      <c r="T318" s="207" t="str">
        <f t="shared" si="70"/>
        <v>BANGUNAN GEDUNG TEMPAT KERJA</v>
      </c>
      <c r="U318" s="207">
        <f t="shared" si="71"/>
        <v>50</v>
      </c>
      <c r="V318" s="233">
        <f t="shared" si="78"/>
        <v>6864239.7999999998</v>
      </c>
      <c r="W318" s="233"/>
      <c r="X318" s="233">
        <f t="shared" si="72"/>
        <v>0</v>
      </c>
      <c r="Y318" s="233"/>
      <c r="Z318" s="233"/>
      <c r="AA318" s="233">
        <f t="shared" si="75"/>
        <v>6864239.7999999998</v>
      </c>
      <c r="AB318" s="233">
        <f t="shared" si="76"/>
        <v>6864239.7999999998</v>
      </c>
      <c r="AC318" s="238">
        <f t="shared" si="79"/>
        <v>6864239.7999999998</v>
      </c>
      <c r="AD318" s="238">
        <f t="shared" si="80"/>
        <v>20592719.399999999</v>
      </c>
      <c r="AE318" s="206">
        <f t="shared" si="81"/>
        <v>2016</v>
      </c>
      <c r="AF318" s="210">
        <f t="shared" si="82"/>
        <v>322619280.60000002</v>
      </c>
      <c r="AG318" s="48" t="e">
        <f>VLOOKUP(C318,KAP,2,0)</f>
        <v>#N/A</v>
      </c>
      <c r="AH318" s="48" t="e">
        <f>IF(AG318='KIB C'!AJ:AJ,"k",0)</f>
        <v>#N/A</v>
      </c>
    </row>
    <row r="319" spans="1:34" s="48" customFormat="1" ht="40.5" customHeight="1" x14ac:dyDescent="0.2">
      <c r="A319" s="295" t="s">
        <v>2302</v>
      </c>
      <c r="B319" s="73"/>
      <c r="C319" s="65" t="s">
        <v>2263</v>
      </c>
      <c r="D319" s="67"/>
      <c r="E319" s="67"/>
      <c r="F319" s="33"/>
      <c r="G319" s="40"/>
      <c r="H319" s="40"/>
      <c r="I319" s="40"/>
      <c r="J319" s="72" t="s">
        <v>2952</v>
      </c>
      <c r="K319" s="40">
        <v>2016</v>
      </c>
      <c r="L319" s="40" t="s">
        <v>2264</v>
      </c>
      <c r="M319" s="32"/>
      <c r="N319" s="33" t="s">
        <v>2260</v>
      </c>
      <c r="O319" s="40"/>
      <c r="P319" s="32" t="s">
        <v>2251</v>
      </c>
      <c r="Q319" s="252">
        <v>1385448000</v>
      </c>
      <c r="R319" s="105"/>
      <c r="S319" s="206" t="str">
        <f t="shared" si="77"/>
        <v>3.11.01</v>
      </c>
      <c r="T319" s="207" t="str">
        <f t="shared" si="70"/>
        <v>BANGUNAN GEDUNG TEMPAT KERJA</v>
      </c>
      <c r="U319" s="207">
        <f t="shared" si="71"/>
        <v>50</v>
      </c>
      <c r="V319" s="233">
        <f t="shared" si="78"/>
        <v>27708959.800000001</v>
      </c>
      <c r="W319" s="233"/>
      <c r="X319" s="233">
        <f t="shared" si="72"/>
        <v>0</v>
      </c>
      <c r="Y319" s="233"/>
      <c r="Z319" s="233"/>
      <c r="AA319" s="233">
        <f t="shared" si="75"/>
        <v>27708959.800000001</v>
      </c>
      <c r="AB319" s="233">
        <f t="shared" si="76"/>
        <v>27708959.800000001</v>
      </c>
      <c r="AC319" s="238">
        <f t="shared" si="79"/>
        <v>27708959.800000001</v>
      </c>
      <c r="AD319" s="238">
        <f t="shared" si="80"/>
        <v>83126879.400000006</v>
      </c>
      <c r="AE319" s="206">
        <f t="shared" si="81"/>
        <v>2016</v>
      </c>
      <c r="AF319" s="210">
        <f t="shared" si="82"/>
        <v>1302321120.5999999</v>
      </c>
      <c r="AG319" s="48" t="e">
        <f>VLOOKUP(C319,KAP,2,0)</f>
        <v>#N/A</v>
      </c>
      <c r="AH319" s="48" t="e">
        <f>IF(AG319='KIB C'!AJ:AJ,"k",0)</f>
        <v>#N/A</v>
      </c>
    </row>
    <row r="320" spans="1:34" s="48" customFormat="1" ht="40.5" customHeight="1" x14ac:dyDescent="0.2">
      <c r="A320" s="295"/>
      <c r="B320" s="73"/>
      <c r="C320" s="220" t="s">
        <v>2309</v>
      </c>
      <c r="D320" s="67" t="s">
        <v>1752</v>
      </c>
      <c r="E320" s="67"/>
      <c r="F320" s="33"/>
      <c r="G320" s="40"/>
      <c r="H320" s="40"/>
      <c r="I320" s="40"/>
      <c r="J320" s="72" t="s">
        <v>2966</v>
      </c>
      <c r="K320" s="40">
        <v>2017</v>
      </c>
      <c r="L320" s="40"/>
      <c r="M320" s="32"/>
      <c r="N320" s="33"/>
      <c r="O320" s="40"/>
      <c r="P320" s="32"/>
      <c r="Q320" s="252">
        <v>74799000</v>
      </c>
      <c r="R320" s="105"/>
      <c r="S320" s="206" t="str">
        <f>MID(D320,2,7)</f>
        <v>3.11.01</v>
      </c>
      <c r="T320" s="207" t="str">
        <f>VLOOKUP(S320,kelompok,2,0)</f>
        <v>BANGUNAN GEDUNG TEMPAT KERJA</v>
      </c>
      <c r="U320" s="207">
        <f>VLOOKUP(S320,MASAMANFAAT,4,0)</f>
        <v>50</v>
      </c>
      <c r="V320" s="238">
        <f t="shared" si="78"/>
        <v>1495979.8</v>
      </c>
      <c r="W320" s="233"/>
      <c r="X320" s="233"/>
      <c r="Y320" s="233"/>
      <c r="Z320" s="233"/>
      <c r="AA320" s="233"/>
      <c r="AB320" s="233"/>
      <c r="AC320" s="238">
        <f t="shared" si="79"/>
        <v>1495979.8</v>
      </c>
      <c r="AD320" s="238">
        <f t="shared" si="80"/>
        <v>1495979.8</v>
      </c>
      <c r="AE320" s="206">
        <f t="shared" si="81"/>
        <v>2017</v>
      </c>
      <c r="AF320" s="210">
        <f t="shared" si="82"/>
        <v>73303020.200000003</v>
      </c>
      <c r="AG320" s="48" t="s">
        <v>4245</v>
      </c>
    </row>
    <row r="321" spans="1:34" s="48" customFormat="1" ht="40.5" customHeight="1" x14ac:dyDescent="0.2">
      <c r="A321" s="295"/>
      <c r="B321" s="73"/>
      <c r="C321" s="220" t="s">
        <v>2310</v>
      </c>
      <c r="D321" s="67" t="s">
        <v>1752</v>
      </c>
      <c r="E321" s="67"/>
      <c r="F321" s="33"/>
      <c r="G321" s="40"/>
      <c r="H321" s="40"/>
      <c r="I321" s="40"/>
      <c r="J321" s="72" t="s">
        <v>2966</v>
      </c>
      <c r="K321" s="40">
        <v>2017</v>
      </c>
      <c r="L321" s="40"/>
      <c r="M321" s="32"/>
      <c r="N321" s="33"/>
      <c r="O321" s="40"/>
      <c r="P321" s="32"/>
      <c r="Q321" s="252">
        <v>147594000</v>
      </c>
      <c r="R321" s="105"/>
      <c r="S321" s="206" t="str">
        <f t="shared" ref="S321:S336" si="83">MID(D321,2,7)</f>
        <v>3.11.01</v>
      </c>
      <c r="T321" s="207" t="str">
        <f>VLOOKUP(S321,kelompok,2,0)</f>
        <v>BANGUNAN GEDUNG TEMPAT KERJA</v>
      </c>
      <c r="U321" s="207">
        <f>VLOOKUP(S321,MASAMANFAAT,4,0)</f>
        <v>50</v>
      </c>
      <c r="V321" s="238">
        <f t="shared" si="78"/>
        <v>2951879.8</v>
      </c>
      <c r="W321" s="233"/>
      <c r="X321" s="233"/>
      <c r="Y321" s="233"/>
      <c r="Z321" s="233"/>
      <c r="AA321" s="233"/>
      <c r="AB321" s="233"/>
      <c r="AC321" s="238">
        <f t="shared" si="79"/>
        <v>2951879.8</v>
      </c>
      <c r="AD321" s="238">
        <f t="shared" si="80"/>
        <v>2951879.8</v>
      </c>
      <c r="AE321" s="206">
        <f t="shared" si="81"/>
        <v>2017</v>
      </c>
      <c r="AF321" s="210">
        <f t="shared" si="82"/>
        <v>144642120.19999999</v>
      </c>
      <c r="AG321" s="48" t="s">
        <v>4245</v>
      </c>
    </row>
    <row r="322" spans="1:34" s="48" customFormat="1" ht="40.5" customHeight="1" x14ac:dyDescent="0.2">
      <c r="A322" s="295"/>
      <c r="B322" s="73"/>
      <c r="C322" s="220" t="s">
        <v>2311</v>
      </c>
      <c r="D322" s="67" t="s">
        <v>1752</v>
      </c>
      <c r="E322" s="67"/>
      <c r="F322" s="33"/>
      <c r="G322" s="40"/>
      <c r="H322" s="40"/>
      <c r="I322" s="40"/>
      <c r="J322" s="72" t="s">
        <v>2967</v>
      </c>
      <c r="K322" s="40">
        <v>2017</v>
      </c>
      <c r="L322" s="40"/>
      <c r="M322" s="32"/>
      <c r="N322" s="33"/>
      <c r="O322" s="40"/>
      <c r="P322" s="32"/>
      <c r="Q322" s="252">
        <f>2916344000+50900000</f>
        <v>2967244000</v>
      </c>
      <c r="R322" s="105"/>
      <c r="S322" s="206" t="str">
        <f t="shared" si="83"/>
        <v>3.11.01</v>
      </c>
      <c r="T322" s="207" t="str">
        <f>VLOOKUP(S322,kelompok,2,0)</f>
        <v>BANGUNAN GEDUNG TEMPAT KERJA</v>
      </c>
      <c r="U322" s="207">
        <f>VLOOKUP(S322,MASAMANFAAT,4,0)</f>
        <v>50</v>
      </c>
      <c r="V322" s="238">
        <f t="shared" si="78"/>
        <v>59344879.799999997</v>
      </c>
      <c r="W322" s="233"/>
      <c r="X322" s="233"/>
      <c r="Y322" s="233"/>
      <c r="Z322" s="233"/>
      <c r="AA322" s="233"/>
      <c r="AB322" s="233"/>
      <c r="AC322" s="238">
        <f t="shared" si="79"/>
        <v>59344879.799999997</v>
      </c>
      <c r="AD322" s="238">
        <f t="shared" si="80"/>
        <v>59344879.799999997</v>
      </c>
      <c r="AE322" s="206">
        <f t="shared" si="81"/>
        <v>2017</v>
      </c>
      <c r="AF322" s="210">
        <f t="shared" si="82"/>
        <v>2907899120.1999998</v>
      </c>
      <c r="AG322" s="48" t="s">
        <v>4245</v>
      </c>
    </row>
    <row r="323" spans="1:34" s="48" customFormat="1" ht="40.5" customHeight="1" x14ac:dyDescent="0.2">
      <c r="A323" s="295"/>
      <c r="B323" s="73"/>
      <c r="C323" s="220" t="s">
        <v>2312</v>
      </c>
      <c r="D323" s="67" t="s">
        <v>1752</v>
      </c>
      <c r="E323" s="67"/>
      <c r="F323" s="33"/>
      <c r="G323" s="40"/>
      <c r="H323" s="40"/>
      <c r="I323" s="40"/>
      <c r="J323" s="72" t="s">
        <v>2968</v>
      </c>
      <c r="K323" s="40">
        <v>2017</v>
      </c>
      <c r="L323" s="40"/>
      <c r="M323" s="32"/>
      <c r="N323" s="33"/>
      <c r="O323" s="40"/>
      <c r="P323" s="32"/>
      <c r="Q323" s="252">
        <v>495349000</v>
      </c>
      <c r="R323" s="105"/>
      <c r="S323" s="206" t="str">
        <f t="shared" si="83"/>
        <v>3.11.01</v>
      </c>
      <c r="T323" s="207" t="e">
        <f>VLOOKUP(S323,UE,2,0)</f>
        <v>#N/A</v>
      </c>
      <c r="U323" s="207" t="e">
        <f>VLOOKUP(S323,UE,3,0)</f>
        <v>#N/A</v>
      </c>
      <c r="V323" s="233" t="e">
        <f t="shared" si="78"/>
        <v>#N/A</v>
      </c>
      <c r="W323" s="233"/>
      <c r="X323" s="233"/>
      <c r="Y323" s="233"/>
      <c r="Z323" s="233"/>
      <c r="AA323" s="233"/>
      <c r="AB323" s="233"/>
      <c r="AC323" s="238" t="e">
        <f t="shared" si="79"/>
        <v>#N/A</v>
      </c>
      <c r="AD323" s="238" t="e">
        <f t="shared" si="80"/>
        <v>#N/A</v>
      </c>
      <c r="AE323" s="206">
        <f t="shared" si="81"/>
        <v>2017</v>
      </c>
      <c r="AF323" s="210" t="e">
        <f t="shared" si="82"/>
        <v>#N/A</v>
      </c>
      <c r="AG323" s="48" t="e">
        <f>VLOOKUP(C323,KAP,2,0)</f>
        <v>#N/A</v>
      </c>
      <c r="AH323" s="48" t="e">
        <f>IF(AG323='KIB C'!AJ:AJ,"k",0)</f>
        <v>#N/A</v>
      </c>
    </row>
    <row r="324" spans="1:34" s="48" customFormat="1" ht="40.5" customHeight="1" x14ac:dyDescent="0.2">
      <c r="A324" s="295"/>
      <c r="B324" s="73"/>
      <c r="C324" s="220" t="s">
        <v>2313</v>
      </c>
      <c r="D324" s="67" t="s">
        <v>1752</v>
      </c>
      <c r="E324" s="67"/>
      <c r="F324" s="33"/>
      <c r="G324" s="40"/>
      <c r="H324" s="40"/>
      <c r="I324" s="40"/>
      <c r="J324" s="72" t="s">
        <v>417</v>
      </c>
      <c r="K324" s="40">
        <v>2017</v>
      </c>
      <c r="L324" s="40"/>
      <c r="M324" s="32"/>
      <c r="N324" s="33"/>
      <c r="O324" s="40"/>
      <c r="P324" s="32"/>
      <c r="Q324" s="252">
        <v>589475000</v>
      </c>
      <c r="R324" s="105"/>
      <c r="S324" s="206" t="str">
        <f t="shared" si="83"/>
        <v>3.11.01</v>
      </c>
      <c r="T324" s="207" t="e">
        <f>VLOOKUP(S324,UE,2,0)</f>
        <v>#N/A</v>
      </c>
      <c r="U324" s="207" t="e">
        <f>VLOOKUP(S324,UE,3,0)</f>
        <v>#N/A</v>
      </c>
      <c r="V324" s="233" t="e">
        <f t="shared" si="78"/>
        <v>#N/A</v>
      </c>
      <c r="W324" s="233"/>
      <c r="X324" s="233"/>
      <c r="Y324" s="233"/>
      <c r="Z324" s="233"/>
      <c r="AA324" s="233"/>
      <c r="AB324" s="233"/>
      <c r="AC324" s="238" t="e">
        <f t="shared" si="79"/>
        <v>#N/A</v>
      </c>
      <c r="AD324" s="238" t="e">
        <f t="shared" si="80"/>
        <v>#N/A</v>
      </c>
      <c r="AE324" s="206">
        <f t="shared" si="81"/>
        <v>2017</v>
      </c>
      <c r="AF324" s="210" t="e">
        <f t="shared" si="82"/>
        <v>#N/A</v>
      </c>
      <c r="AG324" s="48" t="e">
        <f>VLOOKUP(C324,KAP,2,0)</f>
        <v>#N/A</v>
      </c>
      <c r="AH324" s="48" t="e">
        <f>IF(AG324='KIB C'!AJ:AJ,"k",0)</f>
        <v>#N/A</v>
      </c>
    </row>
    <row r="325" spans="1:34" s="48" customFormat="1" ht="40.5" customHeight="1" x14ac:dyDescent="0.2">
      <c r="A325" s="295"/>
      <c r="B325" s="73"/>
      <c r="C325" s="220" t="s">
        <v>2314</v>
      </c>
      <c r="D325" s="67" t="s">
        <v>2485</v>
      </c>
      <c r="E325" s="67"/>
      <c r="F325" s="33"/>
      <c r="G325" s="40"/>
      <c r="H325" s="40"/>
      <c r="I325" s="40"/>
      <c r="J325" s="72" t="s">
        <v>417</v>
      </c>
      <c r="K325" s="40">
        <v>2017</v>
      </c>
      <c r="L325" s="40"/>
      <c r="M325" s="32"/>
      <c r="N325" s="33"/>
      <c r="O325" s="40"/>
      <c r="P325" s="32"/>
      <c r="Q325" s="252">
        <v>203075000</v>
      </c>
      <c r="R325" s="105"/>
      <c r="S325" s="206" t="str">
        <f t="shared" si="83"/>
        <v>3.11.02</v>
      </c>
      <c r="T325" s="207" t="str">
        <f t="shared" ref="T325:T330" si="84">VLOOKUP(S325,kelompok,2,0)</f>
        <v>BANGUNAN GEDUNG TEMPAT TINGGAL</v>
      </c>
      <c r="U325" s="207">
        <f t="shared" ref="U325:U330" si="85">VLOOKUP(S325,MASAMANFAAT,4,0)</f>
        <v>50</v>
      </c>
      <c r="V325" s="233">
        <f t="shared" si="78"/>
        <v>4061499.8</v>
      </c>
      <c r="W325" s="233"/>
      <c r="X325" s="233"/>
      <c r="Y325" s="233"/>
      <c r="Z325" s="233"/>
      <c r="AA325" s="233"/>
      <c r="AB325" s="233"/>
      <c r="AC325" s="238">
        <f t="shared" si="79"/>
        <v>4061499.8</v>
      </c>
      <c r="AD325" s="238">
        <f t="shared" si="80"/>
        <v>4061499.8</v>
      </c>
      <c r="AE325" s="206">
        <f t="shared" si="81"/>
        <v>2017</v>
      </c>
      <c r="AF325" s="210">
        <f t="shared" si="82"/>
        <v>199013500.19999999</v>
      </c>
      <c r="AG325" s="48" t="str">
        <f>VLOOKUP(C325,KAP,2,0)</f>
        <v>K</v>
      </c>
    </row>
    <row r="326" spans="1:34" s="48" customFormat="1" ht="40.5" customHeight="1" x14ac:dyDescent="0.2">
      <c r="A326" s="295"/>
      <c r="B326" s="73"/>
      <c r="C326" s="220" t="s">
        <v>2315</v>
      </c>
      <c r="D326" s="67" t="s">
        <v>2485</v>
      </c>
      <c r="E326" s="67"/>
      <c r="F326" s="33"/>
      <c r="G326" s="40"/>
      <c r="H326" s="40"/>
      <c r="I326" s="40"/>
      <c r="J326" s="72" t="s">
        <v>417</v>
      </c>
      <c r="K326" s="40">
        <v>2017</v>
      </c>
      <c r="L326" s="40"/>
      <c r="M326" s="32"/>
      <c r="N326" s="33"/>
      <c r="O326" s="40"/>
      <c r="P326" s="32"/>
      <c r="Q326" s="252">
        <v>203091000</v>
      </c>
      <c r="R326" s="105"/>
      <c r="S326" s="206" t="str">
        <f t="shared" si="83"/>
        <v>3.11.02</v>
      </c>
      <c r="T326" s="207" t="str">
        <f t="shared" si="84"/>
        <v>BANGUNAN GEDUNG TEMPAT TINGGAL</v>
      </c>
      <c r="U326" s="207">
        <f t="shared" si="85"/>
        <v>50</v>
      </c>
      <c r="V326" s="233">
        <f t="shared" si="78"/>
        <v>4061819.8</v>
      </c>
      <c r="W326" s="233"/>
      <c r="X326" s="233"/>
      <c r="Y326" s="233"/>
      <c r="Z326" s="233"/>
      <c r="AA326" s="233"/>
      <c r="AB326" s="233"/>
      <c r="AC326" s="238">
        <f t="shared" si="79"/>
        <v>4061819.8</v>
      </c>
      <c r="AD326" s="238">
        <f t="shared" si="80"/>
        <v>4061819.8</v>
      </c>
      <c r="AE326" s="206">
        <f t="shared" si="81"/>
        <v>2017</v>
      </c>
      <c r="AF326" s="210">
        <f t="shared" si="82"/>
        <v>199029180.19999999</v>
      </c>
      <c r="AG326" s="48" t="str">
        <f>VLOOKUP(C326,KAP,2,0)</f>
        <v>K</v>
      </c>
    </row>
    <row r="327" spans="1:34" s="48" customFormat="1" ht="40.5" customHeight="1" x14ac:dyDescent="0.2">
      <c r="A327" s="295"/>
      <c r="B327" s="73"/>
      <c r="C327" s="220" t="s">
        <v>2316</v>
      </c>
      <c r="D327" s="67" t="s">
        <v>2485</v>
      </c>
      <c r="E327" s="67"/>
      <c r="F327" s="33"/>
      <c r="G327" s="40"/>
      <c r="H327" s="40"/>
      <c r="I327" s="40"/>
      <c r="J327" s="72" t="s">
        <v>417</v>
      </c>
      <c r="K327" s="40">
        <v>2017</v>
      </c>
      <c r="L327" s="40"/>
      <c r="M327" s="32"/>
      <c r="N327" s="33"/>
      <c r="O327" s="40"/>
      <c r="P327" s="32"/>
      <c r="Q327" s="252">
        <v>203150000</v>
      </c>
      <c r="R327" s="105"/>
      <c r="S327" s="206" t="str">
        <f t="shared" si="83"/>
        <v>3.11.02</v>
      </c>
      <c r="T327" s="207" t="str">
        <f t="shared" si="84"/>
        <v>BANGUNAN GEDUNG TEMPAT TINGGAL</v>
      </c>
      <c r="U327" s="207">
        <f t="shared" si="85"/>
        <v>50</v>
      </c>
      <c r="V327" s="233">
        <f t="shared" si="78"/>
        <v>4062999.8</v>
      </c>
      <c r="W327" s="233"/>
      <c r="X327" s="233"/>
      <c r="Y327" s="233"/>
      <c r="Z327" s="233"/>
      <c r="AA327" s="233"/>
      <c r="AB327" s="233"/>
      <c r="AC327" s="238">
        <f t="shared" si="79"/>
        <v>4062999.8</v>
      </c>
      <c r="AD327" s="238">
        <f t="shared" si="80"/>
        <v>4062999.8</v>
      </c>
      <c r="AE327" s="206">
        <f t="shared" si="81"/>
        <v>2017</v>
      </c>
      <c r="AF327" s="210">
        <f t="shared" si="82"/>
        <v>199087000.19999999</v>
      </c>
      <c r="AG327" s="48" t="s">
        <v>4245</v>
      </c>
    </row>
    <row r="328" spans="1:34" s="48" customFormat="1" ht="40.5" customHeight="1" x14ac:dyDescent="0.2">
      <c r="A328" s="295"/>
      <c r="B328" s="73"/>
      <c r="C328" s="220" t="s">
        <v>2317</v>
      </c>
      <c r="D328" s="67" t="s">
        <v>2485</v>
      </c>
      <c r="E328" s="67"/>
      <c r="F328" s="33"/>
      <c r="G328" s="40"/>
      <c r="H328" s="40"/>
      <c r="I328" s="40"/>
      <c r="J328" s="72" t="s">
        <v>417</v>
      </c>
      <c r="K328" s="40">
        <v>2017</v>
      </c>
      <c r="L328" s="40"/>
      <c r="M328" s="32"/>
      <c r="N328" s="33"/>
      <c r="O328" s="40"/>
      <c r="P328" s="32"/>
      <c r="Q328" s="252">
        <v>202269000</v>
      </c>
      <c r="R328" s="105"/>
      <c r="S328" s="206" t="str">
        <f t="shared" si="83"/>
        <v>3.11.02</v>
      </c>
      <c r="T328" s="207" t="str">
        <f t="shared" si="84"/>
        <v>BANGUNAN GEDUNG TEMPAT TINGGAL</v>
      </c>
      <c r="U328" s="207">
        <f t="shared" si="85"/>
        <v>50</v>
      </c>
      <c r="V328" s="233">
        <f t="shared" si="78"/>
        <v>4045379.8</v>
      </c>
      <c r="W328" s="233"/>
      <c r="X328" s="233"/>
      <c r="Y328" s="233"/>
      <c r="Z328" s="233"/>
      <c r="AA328" s="233"/>
      <c r="AB328" s="233"/>
      <c r="AC328" s="238">
        <f t="shared" si="79"/>
        <v>4045379.8</v>
      </c>
      <c r="AD328" s="238">
        <f t="shared" si="80"/>
        <v>4045379.8</v>
      </c>
      <c r="AE328" s="206">
        <f t="shared" si="81"/>
        <v>2017</v>
      </c>
      <c r="AF328" s="210">
        <f t="shared" si="82"/>
        <v>198223620.19999999</v>
      </c>
      <c r="AG328" s="48" t="s">
        <v>4245</v>
      </c>
    </row>
    <row r="329" spans="1:34" s="48" customFormat="1" ht="40.5" customHeight="1" x14ac:dyDescent="0.2">
      <c r="A329" s="295"/>
      <c r="B329" s="73"/>
      <c r="C329" s="220" t="s">
        <v>2318</v>
      </c>
      <c r="D329" s="67" t="s">
        <v>2485</v>
      </c>
      <c r="E329" s="67"/>
      <c r="F329" s="33"/>
      <c r="G329" s="40"/>
      <c r="H329" s="40"/>
      <c r="I329" s="40"/>
      <c r="J329" s="72" t="s">
        <v>417</v>
      </c>
      <c r="K329" s="40">
        <v>2017</v>
      </c>
      <c r="L329" s="40"/>
      <c r="M329" s="32"/>
      <c r="N329" s="33"/>
      <c r="O329" s="40"/>
      <c r="P329" s="32"/>
      <c r="Q329" s="252">
        <v>202305000</v>
      </c>
      <c r="R329" s="105"/>
      <c r="S329" s="206" t="str">
        <f t="shared" si="83"/>
        <v>3.11.02</v>
      </c>
      <c r="T329" s="207" t="str">
        <f t="shared" si="84"/>
        <v>BANGUNAN GEDUNG TEMPAT TINGGAL</v>
      </c>
      <c r="U329" s="207">
        <f t="shared" si="85"/>
        <v>50</v>
      </c>
      <c r="V329" s="233">
        <f t="shared" si="78"/>
        <v>4046099.8</v>
      </c>
      <c r="W329" s="233"/>
      <c r="X329" s="233"/>
      <c r="Y329" s="233"/>
      <c r="Z329" s="233"/>
      <c r="AA329" s="233"/>
      <c r="AB329" s="233"/>
      <c r="AC329" s="238">
        <f t="shared" si="79"/>
        <v>4046099.8</v>
      </c>
      <c r="AD329" s="238">
        <f t="shared" si="80"/>
        <v>4046099.8</v>
      </c>
      <c r="AE329" s="206">
        <f t="shared" si="81"/>
        <v>2017</v>
      </c>
      <c r="AF329" s="210">
        <f t="shared" si="82"/>
        <v>198258900.19999999</v>
      </c>
      <c r="AG329" s="48" t="s">
        <v>4245</v>
      </c>
    </row>
    <row r="330" spans="1:34" s="48" customFormat="1" ht="40.5" customHeight="1" x14ac:dyDescent="0.2">
      <c r="A330" s="295"/>
      <c r="B330" s="73"/>
      <c r="C330" s="220" t="s">
        <v>2319</v>
      </c>
      <c r="D330" s="67" t="s">
        <v>2485</v>
      </c>
      <c r="E330" s="67"/>
      <c r="F330" s="33"/>
      <c r="G330" s="40"/>
      <c r="H330" s="40"/>
      <c r="I330" s="40"/>
      <c r="J330" s="72" t="s">
        <v>417</v>
      </c>
      <c r="K330" s="40">
        <v>2017</v>
      </c>
      <c r="L330" s="40"/>
      <c r="M330" s="32"/>
      <c r="N330" s="33"/>
      <c r="O330" s="40"/>
      <c r="P330" s="32"/>
      <c r="Q330" s="252">
        <v>202331000</v>
      </c>
      <c r="R330" s="105"/>
      <c r="S330" s="206" t="str">
        <f t="shared" si="83"/>
        <v>3.11.02</v>
      </c>
      <c r="T330" s="207" t="str">
        <f t="shared" si="84"/>
        <v>BANGUNAN GEDUNG TEMPAT TINGGAL</v>
      </c>
      <c r="U330" s="207">
        <f t="shared" si="85"/>
        <v>50</v>
      </c>
      <c r="V330" s="233">
        <f t="shared" si="78"/>
        <v>4046619.8</v>
      </c>
      <c r="W330" s="233"/>
      <c r="X330" s="233"/>
      <c r="Y330" s="233"/>
      <c r="Z330" s="233"/>
      <c r="AA330" s="233"/>
      <c r="AB330" s="233"/>
      <c r="AC330" s="238">
        <f t="shared" si="79"/>
        <v>4046619.8</v>
      </c>
      <c r="AD330" s="238">
        <f t="shared" si="80"/>
        <v>4046619.8</v>
      </c>
      <c r="AE330" s="206">
        <f t="shared" si="81"/>
        <v>2017</v>
      </c>
      <c r="AF330" s="210">
        <f t="shared" si="82"/>
        <v>198284380.19999999</v>
      </c>
      <c r="AG330" s="48" t="s">
        <v>4245</v>
      </c>
    </row>
    <row r="331" spans="1:34" s="48" customFormat="1" ht="40.5" customHeight="1" x14ac:dyDescent="0.2">
      <c r="A331" s="295"/>
      <c r="B331" s="73"/>
      <c r="C331" s="220" t="s">
        <v>2320</v>
      </c>
      <c r="D331" s="67" t="s">
        <v>1772</v>
      </c>
      <c r="E331" s="67"/>
      <c r="F331" s="33"/>
      <c r="G331" s="40"/>
      <c r="H331" s="40"/>
      <c r="I331" s="40"/>
      <c r="J331" s="72" t="s">
        <v>417</v>
      </c>
      <c r="K331" s="40">
        <v>2017</v>
      </c>
      <c r="L331" s="40"/>
      <c r="M331" s="32"/>
      <c r="N331" s="33"/>
      <c r="O331" s="40"/>
      <c r="P331" s="32"/>
      <c r="Q331" s="252">
        <v>192434000</v>
      </c>
      <c r="R331" s="105"/>
      <c r="S331" s="206" t="str">
        <f t="shared" si="83"/>
        <v>3.11.01</v>
      </c>
      <c r="T331" s="207" t="e">
        <f>VLOOKUP(S331,UE,2,0)</f>
        <v>#N/A</v>
      </c>
      <c r="U331" s="207" t="e">
        <f>VLOOKUP(S331,UE,3,0)</f>
        <v>#N/A</v>
      </c>
      <c r="V331" s="233" t="e">
        <f t="shared" si="78"/>
        <v>#N/A</v>
      </c>
      <c r="W331" s="233"/>
      <c r="X331" s="233"/>
      <c r="Y331" s="233"/>
      <c r="Z331" s="233"/>
      <c r="AA331" s="233"/>
      <c r="AB331" s="233"/>
      <c r="AC331" s="238" t="e">
        <f t="shared" si="79"/>
        <v>#N/A</v>
      </c>
      <c r="AD331" s="238" t="e">
        <f t="shared" si="80"/>
        <v>#N/A</v>
      </c>
      <c r="AE331" s="206">
        <f t="shared" si="81"/>
        <v>2017</v>
      </c>
      <c r="AF331" s="210" t="e">
        <f t="shared" si="82"/>
        <v>#N/A</v>
      </c>
      <c r="AG331" s="48" t="e">
        <f>VLOOKUP(C331,KAP,2,0)</f>
        <v>#N/A</v>
      </c>
      <c r="AH331" s="48" t="e">
        <f>IF(AG331='KIB C'!AJ:AJ,"k",0)</f>
        <v>#N/A</v>
      </c>
    </row>
    <row r="332" spans="1:34" s="48" customFormat="1" ht="40.5" customHeight="1" x14ac:dyDescent="0.2">
      <c r="A332" s="295"/>
      <c r="B332" s="73"/>
      <c r="C332" s="220" t="s">
        <v>2321</v>
      </c>
      <c r="D332" s="67" t="s">
        <v>2486</v>
      </c>
      <c r="E332" s="67"/>
      <c r="F332" s="33"/>
      <c r="G332" s="40"/>
      <c r="H332" s="40"/>
      <c r="I332" s="40"/>
      <c r="J332" s="72" t="s">
        <v>2578</v>
      </c>
      <c r="K332" s="40">
        <v>2017</v>
      </c>
      <c r="L332" s="40"/>
      <c r="M332" s="32"/>
      <c r="N332" s="33"/>
      <c r="O332" s="40"/>
      <c r="P332" s="32"/>
      <c r="Q332" s="252">
        <v>202381000</v>
      </c>
      <c r="R332" s="105"/>
      <c r="S332" s="206" t="str">
        <f t="shared" si="83"/>
        <v>3.11.01</v>
      </c>
      <c r="T332" s="207" t="e">
        <f>VLOOKUP(S332,UE,2,0)</f>
        <v>#N/A</v>
      </c>
      <c r="U332" s="207" t="e">
        <f>VLOOKUP(S332,UE,3,0)</f>
        <v>#N/A</v>
      </c>
      <c r="V332" s="233" t="e">
        <f t="shared" si="78"/>
        <v>#N/A</v>
      </c>
      <c r="W332" s="233"/>
      <c r="X332" s="233"/>
      <c r="Y332" s="233"/>
      <c r="Z332" s="233"/>
      <c r="AA332" s="233"/>
      <c r="AB332" s="233"/>
      <c r="AC332" s="238" t="e">
        <f t="shared" si="79"/>
        <v>#N/A</v>
      </c>
      <c r="AD332" s="238" t="e">
        <f t="shared" si="80"/>
        <v>#N/A</v>
      </c>
      <c r="AE332" s="206">
        <f t="shared" si="81"/>
        <v>2017</v>
      </c>
      <c r="AF332" s="210" t="e">
        <f t="shared" si="82"/>
        <v>#N/A</v>
      </c>
      <c r="AG332" s="48" t="e">
        <f>VLOOKUP(C332,KAP,2,0)</f>
        <v>#N/A</v>
      </c>
      <c r="AH332" s="48" t="e">
        <f>IF(AG332='KIB C'!AJ:AJ,"k",0)</f>
        <v>#N/A</v>
      </c>
    </row>
    <row r="333" spans="1:34" s="48" customFormat="1" ht="40.5" customHeight="1" x14ac:dyDescent="0.2">
      <c r="A333" s="295"/>
      <c r="B333" s="73"/>
      <c r="C333" s="65" t="s">
        <v>2482</v>
      </c>
      <c r="D333" s="67" t="s">
        <v>1752</v>
      </c>
      <c r="E333" s="67"/>
      <c r="F333" s="33"/>
      <c r="G333" s="40"/>
      <c r="H333" s="40"/>
      <c r="I333" s="40"/>
      <c r="J333" s="72" t="s">
        <v>2967</v>
      </c>
      <c r="K333" s="40">
        <v>2018</v>
      </c>
      <c r="L333" s="40"/>
      <c r="M333" s="32"/>
      <c r="N333" s="33"/>
      <c r="O333" s="40"/>
      <c r="P333" s="32" t="s">
        <v>12</v>
      </c>
      <c r="Q333" s="252">
        <v>3255621000</v>
      </c>
      <c r="R333" s="105"/>
      <c r="S333" s="206" t="str">
        <f t="shared" si="83"/>
        <v>3.11.01</v>
      </c>
      <c r="T333" s="207" t="str">
        <f>VLOOKUP(S333,kelompok,2,0)</f>
        <v>BANGUNAN GEDUNG TEMPAT KERJA</v>
      </c>
      <c r="U333" s="207">
        <f>VLOOKUP(S333,MASAMANFAAT,4,0)</f>
        <v>50</v>
      </c>
      <c r="V333" s="233"/>
      <c r="W333" s="233"/>
      <c r="X333" s="233"/>
      <c r="Y333" s="233"/>
      <c r="Z333" s="233"/>
      <c r="AA333" s="233"/>
      <c r="AB333" s="233"/>
      <c r="AC333" s="238">
        <f t="shared" si="79"/>
        <v>0</v>
      </c>
      <c r="AD333" s="238">
        <f t="shared" si="80"/>
        <v>0</v>
      </c>
      <c r="AE333" s="206">
        <f t="shared" si="81"/>
        <v>2018</v>
      </c>
      <c r="AF333" s="210">
        <f t="shared" si="82"/>
        <v>3255621000</v>
      </c>
      <c r="AG333" s="48" t="s">
        <v>4245</v>
      </c>
    </row>
    <row r="334" spans="1:34" s="48" customFormat="1" ht="40.5" customHeight="1" x14ac:dyDescent="0.2">
      <c r="A334" s="295"/>
      <c r="B334" s="73"/>
      <c r="C334" s="65" t="s">
        <v>2483</v>
      </c>
      <c r="D334" s="67" t="s">
        <v>1752</v>
      </c>
      <c r="E334" s="67"/>
      <c r="F334" s="33"/>
      <c r="G334" s="40"/>
      <c r="H334" s="40"/>
      <c r="I334" s="40"/>
      <c r="J334" s="72" t="s">
        <v>2969</v>
      </c>
      <c r="K334" s="40">
        <v>2018</v>
      </c>
      <c r="L334" s="40"/>
      <c r="M334" s="32"/>
      <c r="N334" s="33"/>
      <c r="O334" s="40"/>
      <c r="P334" s="32" t="s">
        <v>12</v>
      </c>
      <c r="Q334" s="252">
        <v>558819000</v>
      </c>
      <c r="R334" s="105"/>
      <c r="S334" s="206" t="str">
        <f t="shared" si="83"/>
        <v>3.11.01</v>
      </c>
      <c r="T334" s="207" t="e">
        <f>VLOOKUP(S334,UE,2,0)</f>
        <v>#N/A</v>
      </c>
      <c r="U334" s="207" t="e">
        <f>VLOOKUP(S334,UE,3,0)</f>
        <v>#N/A</v>
      </c>
      <c r="V334" s="233"/>
      <c r="W334" s="233"/>
      <c r="X334" s="233"/>
      <c r="Y334" s="233"/>
      <c r="Z334" s="233"/>
      <c r="AA334" s="233"/>
      <c r="AB334" s="233"/>
      <c r="AC334" s="238">
        <f t="shared" si="79"/>
        <v>0</v>
      </c>
      <c r="AD334" s="238">
        <f t="shared" si="80"/>
        <v>0</v>
      </c>
      <c r="AE334" s="206">
        <f t="shared" si="81"/>
        <v>2018</v>
      </c>
      <c r="AF334" s="210">
        <f t="shared" si="82"/>
        <v>558819000</v>
      </c>
      <c r="AG334" s="48" t="e">
        <f>VLOOKUP(C334,KAP,2,0)</f>
        <v>#N/A</v>
      </c>
      <c r="AH334" s="48" t="e">
        <f>IF(AG334='KIB C'!AJ:AJ,"k",0)</f>
        <v>#N/A</v>
      </c>
    </row>
    <row r="335" spans="1:34" s="48" customFormat="1" ht="40.5" customHeight="1" x14ac:dyDescent="0.2">
      <c r="A335" s="295"/>
      <c r="B335" s="73"/>
      <c r="C335" s="65" t="s">
        <v>2484</v>
      </c>
      <c r="D335" s="67" t="s">
        <v>1752</v>
      </c>
      <c r="E335" s="67"/>
      <c r="F335" s="33"/>
      <c r="G335" s="40"/>
      <c r="H335" s="40"/>
      <c r="I335" s="40"/>
      <c r="J335" s="72" t="s">
        <v>2970</v>
      </c>
      <c r="K335" s="40">
        <v>2018</v>
      </c>
      <c r="L335" s="40"/>
      <c r="M335" s="32"/>
      <c r="N335" s="33"/>
      <c r="O335" s="40"/>
      <c r="P335" s="32" t="s">
        <v>12</v>
      </c>
      <c r="Q335" s="252">
        <v>1194181250</v>
      </c>
      <c r="R335" s="105"/>
      <c r="S335" s="206" t="str">
        <f t="shared" si="83"/>
        <v>3.11.01</v>
      </c>
      <c r="T335" s="207" t="str">
        <f>VLOOKUP(S335,kelompok,2,0)</f>
        <v>BANGUNAN GEDUNG TEMPAT KERJA</v>
      </c>
      <c r="U335" s="207">
        <f>VLOOKUP(S335,MASAMANFAAT,4,0)</f>
        <v>50</v>
      </c>
      <c r="V335" s="233"/>
      <c r="W335" s="233"/>
      <c r="X335" s="233"/>
      <c r="Y335" s="233"/>
      <c r="Z335" s="233"/>
      <c r="AA335" s="233"/>
      <c r="AB335" s="233"/>
      <c r="AC335" s="238">
        <f>IF(Q335-10=X335+Y335+Z335+AA335+AB335,0,V335)</f>
        <v>0</v>
      </c>
      <c r="AD335" s="238">
        <f>SUM(X335:AC335)</f>
        <v>0</v>
      </c>
      <c r="AE335" s="206">
        <f>K335</f>
        <v>2018</v>
      </c>
      <c r="AF335" s="210">
        <f>Q335-AD335</f>
        <v>1194181250</v>
      </c>
      <c r="AG335" s="48" t="s">
        <v>4245</v>
      </c>
    </row>
    <row r="336" spans="1:34" s="48" customFormat="1" ht="40.5" customHeight="1" x14ac:dyDescent="0.2">
      <c r="A336" s="295"/>
      <c r="B336" s="73"/>
      <c r="C336" s="65" t="s">
        <v>2490</v>
      </c>
      <c r="D336" s="67" t="s">
        <v>2491</v>
      </c>
      <c r="E336" s="67"/>
      <c r="F336" s="33" t="s">
        <v>43</v>
      </c>
      <c r="G336" s="40" t="s">
        <v>2492</v>
      </c>
      <c r="H336" s="40"/>
      <c r="I336" s="40"/>
      <c r="J336" s="72" t="s">
        <v>417</v>
      </c>
      <c r="K336" s="40">
        <v>2018</v>
      </c>
      <c r="L336" s="40"/>
      <c r="M336" s="32"/>
      <c r="N336" s="33"/>
      <c r="O336" s="40"/>
      <c r="P336" s="32" t="s">
        <v>12</v>
      </c>
      <c r="Q336" s="252">
        <v>35339588998</v>
      </c>
      <c r="R336" s="243" t="s">
        <v>2493</v>
      </c>
      <c r="S336" s="206" t="str">
        <f t="shared" si="83"/>
        <v>3.11.01</v>
      </c>
      <c r="T336" s="207" t="str">
        <f>VLOOKUP(S336,kelompok,2,0)</f>
        <v>BANGUNAN GEDUNG TEMPAT KERJA</v>
      </c>
      <c r="U336" s="207">
        <f>VLOOKUP(S336,MASAMANFAAT,4,0)</f>
        <v>50</v>
      </c>
      <c r="V336" s="233"/>
      <c r="W336" s="233"/>
      <c r="X336" s="233"/>
      <c r="Y336" s="233"/>
      <c r="Z336" s="233"/>
      <c r="AA336" s="233"/>
      <c r="AB336" s="233"/>
      <c r="AC336" s="238">
        <f>IF(Q336-10=X336+Y336+Z336+AA336+AB336,0,V336)</f>
        <v>0</v>
      </c>
      <c r="AD336" s="238">
        <f>SUM(X336:AC336)</f>
        <v>0</v>
      </c>
      <c r="AE336" s="206">
        <f>K336</f>
        <v>2018</v>
      </c>
      <c r="AF336" s="210">
        <f>Q336-AD336</f>
        <v>35339588998</v>
      </c>
      <c r="AG336" s="48" t="str">
        <f>VLOOKUP(C336,KAP,2,0)</f>
        <v>K</v>
      </c>
    </row>
    <row r="337" spans="1:32" s="48" customFormat="1" ht="40.5" customHeight="1" x14ac:dyDescent="0.2">
      <c r="A337" s="295"/>
      <c r="B337" s="73"/>
      <c r="C337" s="65" t="s">
        <v>2612</v>
      </c>
      <c r="D337" s="67" t="s">
        <v>2613</v>
      </c>
      <c r="E337" s="67"/>
      <c r="F337" s="33"/>
      <c r="G337" s="40"/>
      <c r="H337" s="40"/>
      <c r="I337" s="40"/>
      <c r="J337" s="72" t="s">
        <v>2614</v>
      </c>
      <c r="K337" s="40">
        <v>2018</v>
      </c>
      <c r="L337" s="40" t="s">
        <v>2255</v>
      </c>
      <c r="M337" s="32"/>
      <c r="N337" s="33" t="s">
        <v>52</v>
      </c>
      <c r="O337" s="40"/>
      <c r="P337" s="32" t="s">
        <v>2251</v>
      </c>
      <c r="Q337" s="252">
        <v>3755618400</v>
      </c>
      <c r="R337" s="243" t="s">
        <v>2493</v>
      </c>
      <c r="S337" s="206"/>
      <c r="T337" s="207"/>
      <c r="U337" s="207"/>
      <c r="V337" s="233"/>
      <c r="W337" s="233"/>
      <c r="X337" s="233"/>
      <c r="Y337" s="233"/>
      <c r="Z337" s="233"/>
      <c r="AA337" s="233"/>
      <c r="AB337" s="233"/>
      <c r="AC337" s="233"/>
      <c r="AD337" s="233"/>
      <c r="AE337" s="206"/>
      <c r="AF337" s="210"/>
    </row>
    <row r="338" spans="1:32" s="48" customFormat="1" ht="40.5" customHeight="1" x14ac:dyDescent="0.2">
      <c r="B338" s="73"/>
      <c r="C338" s="65" t="s">
        <v>52</v>
      </c>
      <c r="D338" s="67"/>
      <c r="E338" s="67"/>
      <c r="F338" s="33"/>
      <c r="G338" s="40"/>
      <c r="H338" s="40"/>
      <c r="I338" s="40"/>
      <c r="J338" s="72" t="s">
        <v>52</v>
      </c>
      <c r="K338" s="40"/>
      <c r="L338" s="40"/>
      <c r="M338" s="32"/>
      <c r="N338" s="33"/>
      <c r="O338" s="40"/>
      <c r="P338" s="32"/>
      <c r="Q338" s="252"/>
      <c r="R338" s="61"/>
      <c r="V338" s="245"/>
      <c r="W338" s="245"/>
      <c r="X338" s="245"/>
      <c r="Y338" s="245"/>
      <c r="Z338" s="245"/>
      <c r="AA338" s="245"/>
      <c r="AB338" s="245"/>
      <c r="AC338" s="245"/>
      <c r="AD338" s="245"/>
    </row>
    <row r="339" spans="1:32" s="293" customFormat="1" ht="40.5" customHeight="1" x14ac:dyDescent="0.2">
      <c r="B339" s="58" t="s">
        <v>416</v>
      </c>
      <c r="C339" s="96" t="s">
        <v>1080</v>
      </c>
      <c r="D339" s="63"/>
      <c r="E339" s="63"/>
      <c r="F339" s="63"/>
      <c r="G339" s="63"/>
      <c r="H339" s="63"/>
      <c r="I339" s="63"/>
      <c r="J339" s="25" t="s">
        <v>52</v>
      </c>
      <c r="K339" s="63"/>
      <c r="L339" s="63"/>
      <c r="M339" s="289"/>
      <c r="N339" s="289"/>
      <c r="O339" s="63"/>
      <c r="P339" s="289"/>
      <c r="Q339" s="232">
        <f>SUM(Q340:Q349)</f>
        <v>7211001134</v>
      </c>
      <c r="R339" s="101"/>
      <c r="V339" s="294"/>
      <c r="W339" s="294"/>
      <c r="X339" s="294">
        <f t="shared" ref="X339:AF339" si="86">SUM(X340:X348)</f>
        <v>757879067.92000008</v>
      </c>
      <c r="Y339" s="294">
        <f t="shared" si="86"/>
        <v>144220020.88</v>
      </c>
      <c r="Z339" s="294">
        <f t="shared" si="86"/>
        <v>144220020.88</v>
      </c>
      <c r="AA339" s="294">
        <f t="shared" si="86"/>
        <v>144220020.88</v>
      </c>
      <c r="AB339" s="294">
        <f t="shared" si="86"/>
        <v>144220020.88</v>
      </c>
      <c r="AC339" s="294">
        <f t="shared" si="86"/>
        <v>144220020.88</v>
      </c>
      <c r="AD339" s="294">
        <f t="shared" si="86"/>
        <v>1478979172.3199997</v>
      </c>
      <c r="AE339" s="294">
        <f t="shared" si="86"/>
        <v>18003</v>
      </c>
      <c r="AF339" s="294">
        <f t="shared" si="86"/>
        <v>5732021961.6800003</v>
      </c>
    </row>
    <row r="340" spans="1:32" s="48" customFormat="1" ht="40.5" customHeight="1" x14ac:dyDescent="0.2">
      <c r="A340" s="295" t="s">
        <v>2303</v>
      </c>
      <c r="B340" s="73"/>
      <c r="C340" s="65" t="s">
        <v>415</v>
      </c>
      <c r="D340" s="67" t="s">
        <v>392</v>
      </c>
      <c r="E340" s="40"/>
      <c r="F340" s="33"/>
      <c r="G340" s="40"/>
      <c r="H340" s="32" t="s">
        <v>386</v>
      </c>
      <c r="I340" s="40"/>
      <c r="J340" s="65" t="s">
        <v>414</v>
      </c>
      <c r="K340" s="40">
        <v>1980</v>
      </c>
      <c r="L340" s="40"/>
      <c r="M340" s="33"/>
      <c r="N340" s="33"/>
      <c r="O340" s="67" t="s">
        <v>413</v>
      </c>
      <c r="P340" s="32" t="s">
        <v>12</v>
      </c>
      <c r="Q340" s="252">
        <v>88200000</v>
      </c>
      <c r="R340" s="61"/>
      <c r="S340" s="206" t="str">
        <f t="shared" ref="S340:S348" si="87">A340</f>
        <v>3.12.02</v>
      </c>
      <c r="T340" s="207" t="str">
        <f t="shared" ref="T340:T348" si="88">VLOOKUP(S340,kelompok,2,0)</f>
        <v>TUGU PERINGATAN</v>
      </c>
      <c r="U340" s="207">
        <f t="shared" ref="U340:U348" si="89">VLOOKUP(S340,MASAMANFAAT,4,0)</f>
        <v>50</v>
      </c>
      <c r="V340" s="233">
        <f t="shared" ref="V340:V348" si="90">(Q340-10)/U340</f>
        <v>1763999.8</v>
      </c>
      <c r="W340" s="233">
        <f t="shared" ref="W340:W348" si="91">2013-AE340</f>
        <v>33</v>
      </c>
      <c r="X340" s="233">
        <f t="shared" ref="X340:X348" si="92">IF(W340&gt;U340,Q340-10,V340*W340)</f>
        <v>58211993.399999999</v>
      </c>
      <c r="Y340" s="233">
        <f t="shared" ref="Y340:Y348" si="93">IF(Q340-10=X340,0,V340)</f>
        <v>1763999.8</v>
      </c>
      <c r="Z340" s="233">
        <f t="shared" ref="Z340:Z348" si="94">IF(Q340-10=X340+Y340,0,V340)</f>
        <v>1763999.8</v>
      </c>
      <c r="AA340" s="233">
        <f t="shared" ref="AA340:AA348" si="95">IF(Q340-10=X340+Y340+Z340,0,V340)</f>
        <v>1763999.8</v>
      </c>
      <c r="AB340" s="233">
        <f t="shared" ref="AB340:AB348" si="96">IF(Q340-10=X340+Y340+Z340+AA340,0,V340)</f>
        <v>1763999.8</v>
      </c>
      <c r="AC340" s="238">
        <f t="shared" ref="AC340:AC348" si="97">IF(Q340-10=X340+Y340+Z340+AA340+AB340,0,V340)</f>
        <v>1763999.8</v>
      </c>
      <c r="AD340" s="238">
        <f t="shared" ref="AD340:AD348" si="98">SUM(X340:AC340)</f>
        <v>67031992.399999984</v>
      </c>
      <c r="AE340" s="206">
        <f t="shared" ref="AE340:AE348" si="99">K340</f>
        <v>1980</v>
      </c>
      <c r="AF340" s="210">
        <f t="shared" ref="AF340:AF348" si="100">Q340-AD340</f>
        <v>21168007.600000016</v>
      </c>
    </row>
    <row r="341" spans="1:32" s="48" customFormat="1" ht="40.5" customHeight="1" x14ac:dyDescent="0.2">
      <c r="A341" s="295" t="s">
        <v>2303</v>
      </c>
      <c r="B341" s="73"/>
      <c r="C341" s="65" t="s">
        <v>409</v>
      </c>
      <c r="D341" s="67" t="s">
        <v>392</v>
      </c>
      <c r="E341" s="40"/>
      <c r="F341" s="33"/>
      <c r="G341" s="40"/>
      <c r="H341" s="32" t="s">
        <v>386</v>
      </c>
      <c r="I341" s="40"/>
      <c r="J341" s="65" t="s">
        <v>408</v>
      </c>
      <c r="K341" s="40">
        <v>1991</v>
      </c>
      <c r="L341" s="40"/>
      <c r="M341" s="33"/>
      <c r="N341" s="33"/>
      <c r="O341" s="67" t="s">
        <v>407</v>
      </c>
      <c r="P341" s="32" t="s">
        <v>12</v>
      </c>
      <c r="Q341" s="252">
        <v>189000000</v>
      </c>
      <c r="R341" s="61"/>
      <c r="S341" s="206" t="str">
        <f t="shared" si="87"/>
        <v>3.12.02</v>
      </c>
      <c r="T341" s="207" t="str">
        <f t="shared" si="88"/>
        <v>TUGU PERINGATAN</v>
      </c>
      <c r="U341" s="207">
        <f t="shared" si="89"/>
        <v>50</v>
      </c>
      <c r="V341" s="233">
        <f t="shared" si="90"/>
        <v>3779999.8</v>
      </c>
      <c r="W341" s="233">
        <f t="shared" si="91"/>
        <v>22</v>
      </c>
      <c r="X341" s="233">
        <f t="shared" si="92"/>
        <v>83159995.599999994</v>
      </c>
      <c r="Y341" s="233">
        <f t="shared" si="93"/>
        <v>3779999.8</v>
      </c>
      <c r="Z341" s="233">
        <f t="shared" si="94"/>
        <v>3779999.8</v>
      </c>
      <c r="AA341" s="233">
        <f t="shared" si="95"/>
        <v>3779999.8</v>
      </c>
      <c r="AB341" s="233">
        <f t="shared" si="96"/>
        <v>3779999.8</v>
      </c>
      <c r="AC341" s="238">
        <f t="shared" si="97"/>
        <v>3779999.8</v>
      </c>
      <c r="AD341" s="238">
        <f t="shared" si="98"/>
        <v>102059994.59999998</v>
      </c>
      <c r="AE341" s="206">
        <f t="shared" si="99"/>
        <v>1991</v>
      </c>
      <c r="AF341" s="210">
        <f t="shared" si="100"/>
        <v>86940005.400000021</v>
      </c>
    </row>
    <row r="342" spans="1:32" s="48" customFormat="1" ht="40.5" customHeight="1" x14ac:dyDescent="0.2">
      <c r="A342" s="295" t="s">
        <v>2303</v>
      </c>
      <c r="B342" s="73"/>
      <c r="C342" s="65" t="s">
        <v>406</v>
      </c>
      <c r="D342" s="67" t="s">
        <v>392</v>
      </c>
      <c r="E342" s="40"/>
      <c r="F342" s="33"/>
      <c r="G342" s="40"/>
      <c r="H342" s="32" t="s">
        <v>386</v>
      </c>
      <c r="I342" s="40"/>
      <c r="J342" s="65" t="s">
        <v>405</v>
      </c>
      <c r="K342" s="40">
        <v>1992</v>
      </c>
      <c r="L342" s="40"/>
      <c r="M342" s="33"/>
      <c r="N342" s="33"/>
      <c r="O342" s="67" t="s">
        <v>404</v>
      </c>
      <c r="P342" s="32" t="s">
        <v>12</v>
      </c>
      <c r="Q342" s="252">
        <v>157500000</v>
      </c>
      <c r="R342" s="61"/>
      <c r="S342" s="206" t="str">
        <f t="shared" si="87"/>
        <v>3.12.02</v>
      </c>
      <c r="T342" s="207" t="str">
        <f t="shared" si="88"/>
        <v>TUGU PERINGATAN</v>
      </c>
      <c r="U342" s="207">
        <f t="shared" si="89"/>
        <v>50</v>
      </c>
      <c r="V342" s="233">
        <f t="shared" si="90"/>
        <v>3149999.8</v>
      </c>
      <c r="W342" s="233">
        <f t="shared" si="91"/>
        <v>21</v>
      </c>
      <c r="X342" s="233">
        <f t="shared" si="92"/>
        <v>66149995.799999997</v>
      </c>
      <c r="Y342" s="233">
        <f t="shared" si="93"/>
        <v>3149999.8</v>
      </c>
      <c r="Z342" s="233">
        <f t="shared" si="94"/>
        <v>3149999.8</v>
      </c>
      <c r="AA342" s="233">
        <f t="shared" si="95"/>
        <v>3149999.8</v>
      </c>
      <c r="AB342" s="233">
        <f t="shared" si="96"/>
        <v>3149999.8</v>
      </c>
      <c r="AC342" s="238">
        <f t="shared" si="97"/>
        <v>3149999.8</v>
      </c>
      <c r="AD342" s="238">
        <f t="shared" si="98"/>
        <v>81899994.799999982</v>
      </c>
      <c r="AE342" s="206">
        <f t="shared" si="99"/>
        <v>1992</v>
      </c>
      <c r="AF342" s="210">
        <f t="shared" si="100"/>
        <v>75600005.200000018</v>
      </c>
    </row>
    <row r="343" spans="1:32" s="48" customFormat="1" ht="40.5" customHeight="1" x14ac:dyDescent="0.2">
      <c r="A343" s="295" t="s">
        <v>2303</v>
      </c>
      <c r="B343" s="73"/>
      <c r="C343" s="65" t="s">
        <v>403</v>
      </c>
      <c r="D343" s="67" t="s">
        <v>392</v>
      </c>
      <c r="E343" s="40"/>
      <c r="F343" s="33"/>
      <c r="G343" s="40"/>
      <c r="H343" s="32" t="s">
        <v>386</v>
      </c>
      <c r="I343" s="40"/>
      <c r="J343" s="65" t="s">
        <v>402</v>
      </c>
      <c r="K343" s="40">
        <v>2000</v>
      </c>
      <c r="L343" s="40"/>
      <c r="M343" s="33"/>
      <c r="N343" s="33"/>
      <c r="O343" s="67" t="s">
        <v>401</v>
      </c>
      <c r="P343" s="32" t="s">
        <v>12</v>
      </c>
      <c r="Q343" s="252">
        <v>49000000</v>
      </c>
      <c r="R343" s="61"/>
      <c r="S343" s="206" t="str">
        <f t="shared" si="87"/>
        <v>3.12.02</v>
      </c>
      <c r="T343" s="207" t="str">
        <f t="shared" si="88"/>
        <v>TUGU PERINGATAN</v>
      </c>
      <c r="U343" s="207">
        <f t="shared" si="89"/>
        <v>50</v>
      </c>
      <c r="V343" s="233">
        <f t="shared" si="90"/>
        <v>979999.8</v>
      </c>
      <c r="W343" s="233">
        <f t="shared" si="91"/>
        <v>13</v>
      </c>
      <c r="X343" s="233">
        <f t="shared" si="92"/>
        <v>12739997.4</v>
      </c>
      <c r="Y343" s="233">
        <f t="shared" si="93"/>
        <v>979999.8</v>
      </c>
      <c r="Z343" s="233">
        <f t="shared" si="94"/>
        <v>979999.8</v>
      </c>
      <c r="AA343" s="233">
        <f t="shared" si="95"/>
        <v>979999.8</v>
      </c>
      <c r="AB343" s="233">
        <f t="shared" si="96"/>
        <v>979999.8</v>
      </c>
      <c r="AC343" s="238">
        <f t="shared" si="97"/>
        <v>979999.8</v>
      </c>
      <c r="AD343" s="238">
        <f t="shared" si="98"/>
        <v>17639996.400000002</v>
      </c>
      <c r="AE343" s="206">
        <f t="shared" si="99"/>
        <v>2000</v>
      </c>
      <c r="AF343" s="210">
        <f t="shared" si="100"/>
        <v>31360003.599999998</v>
      </c>
    </row>
    <row r="344" spans="1:32" s="48" customFormat="1" ht="40.5" customHeight="1" x14ac:dyDescent="0.2">
      <c r="A344" s="295" t="s">
        <v>2303</v>
      </c>
      <c r="B344" s="73"/>
      <c r="C344" s="65" t="s">
        <v>400</v>
      </c>
      <c r="D344" s="67" t="s">
        <v>396</v>
      </c>
      <c r="E344" s="40"/>
      <c r="F344" s="33"/>
      <c r="G344" s="40"/>
      <c r="H344" s="32" t="s">
        <v>386</v>
      </c>
      <c r="I344" s="40"/>
      <c r="J344" s="65" t="s">
        <v>399</v>
      </c>
      <c r="K344" s="40">
        <v>2001</v>
      </c>
      <c r="L344" s="40"/>
      <c r="M344" s="33"/>
      <c r="N344" s="33"/>
      <c r="O344" s="67" t="s">
        <v>394</v>
      </c>
      <c r="P344" s="32" t="s">
        <v>398</v>
      </c>
      <c r="Q344" s="252">
        <v>22050000</v>
      </c>
      <c r="R344" s="61"/>
      <c r="S344" s="206" t="str">
        <f t="shared" si="87"/>
        <v>3.12.02</v>
      </c>
      <c r="T344" s="207" t="str">
        <f t="shared" si="88"/>
        <v>TUGU PERINGATAN</v>
      </c>
      <c r="U344" s="207">
        <f t="shared" si="89"/>
        <v>50</v>
      </c>
      <c r="V344" s="233">
        <f t="shared" si="90"/>
        <v>440999.8</v>
      </c>
      <c r="W344" s="233">
        <f t="shared" si="91"/>
        <v>12</v>
      </c>
      <c r="X344" s="233">
        <f t="shared" si="92"/>
        <v>5291997.5999999996</v>
      </c>
      <c r="Y344" s="233">
        <f t="shared" si="93"/>
        <v>440999.8</v>
      </c>
      <c r="Z344" s="233">
        <f t="shared" si="94"/>
        <v>440999.8</v>
      </c>
      <c r="AA344" s="233">
        <f t="shared" si="95"/>
        <v>440999.8</v>
      </c>
      <c r="AB344" s="233">
        <f t="shared" si="96"/>
        <v>440999.8</v>
      </c>
      <c r="AC344" s="238">
        <f t="shared" si="97"/>
        <v>440999.8</v>
      </c>
      <c r="AD344" s="238">
        <f t="shared" si="98"/>
        <v>7496996.5999999987</v>
      </c>
      <c r="AE344" s="206">
        <f t="shared" si="99"/>
        <v>2001</v>
      </c>
      <c r="AF344" s="210">
        <f t="shared" si="100"/>
        <v>14553003.400000002</v>
      </c>
    </row>
    <row r="345" spans="1:32" s="48" customFormat="1" ht="40.5" customHeight="1" x14ac:dyDescent="0.2">
      <c r="A345" s="295" t="s">
        <v>2303</v>
      </c>
      <c r="B345" s="73"/>
      <c r="C345" s="65" t="s">
        <v>388</v>
      </c>
      <c r="D345" s="67" t="s">
        <v>387</v>
      </c>
      <c r="E345" s="40"/>
      <c r="F345" s="33" t="s">
        <v>43</v>
      </c>
      <c r="G345" s="40"/>
      <c r="H345" s="32" t="s">
        <v>386</v>
      </c>
      <c r="I345" s="40"/>
      <c r="J345" s="65" t="s">
        <v>390</v>
      </c>
      <c r="K345" s="40">
        <v>2010</v>
      </c>
      <c r="L345" s="40"/>
      <c r="M345" s="33"/>
      <c r="N345" s="33"/>
      <c r="O345" s="67" t="s">
        <v>384</v>
      </c>
      <c r="P345" s="32" t="s">
        <v>12</v>
      </c>
      <c r="Q345" s="252">
        <v>68250000</v>
      </c>
      <c r="R345" s="61"/>
      <c r="S345" s="206" t="str">
        <f t="shared" si="87"/>
        <v>3.12.02</v>
      </c>
      <c r="T345" s="207" t="str">
        <f t="shared" si="88"/>
        <v>TUGU PERINGATAN</v>
      </c>
      <c r="U345" s="207">
        <f t="shared" si="89"/>
        <v>50</v>
      </c>
      <c r="V345" s="233">
        <f t="shared" si="90"/>
        <v>1364999.8</v>
      </c>
      <c r="W345" s="233">
        <f t="shared" si="91"/>
        <v>3</v>
      </c>
      <c r="X345" s="233">
        <f t="shared" si="92"/>
        <v>4094999.4000000004</v>
      </c>
      <c r="Y345" s="233">
        <f t="shared" si="93"/>
        <v>1364999.8</v>
      </c>
      <c r="Z345" s="233">
        <f t="shared" si="94"/>
        <v>1364999.8</v>
      </c>
      <c r="AA345" s="233">
        <f t="shared" si="95"/>
        <v>1364999.8</v>
      </c>
      <c r="AB345" s="233">
        <f t="shared" si="96"/>
        <v>1364999.8</v>
      </c>
      <c r="AC345" s="238">
        <f t="shared" si="97"/>
        <v>1364999.8</v>
      </c>
      <c r="AD345" s="238">
        <f t="shared" si="98"/>
        <v>10919998.4</v>
      </c>
      <c r="AE345" s="206">
        <f t="shared" si="99"/>
        <v>2010</v>
      </c>
      <c r="AF345" s="210">
        <f t="shared" si="100"/>
        <v>57330001.600000001</v>
      </c>
    </row>
    <row r="346" spans="1:32" s="48" customFormat="1" ht="40.5" customHeight="1" x14ac:dyDescent="0.2">
      <c r="A346" s="295" t="s">
        <v>2303</v>
      </c>
      <c r="B346" s="73"/>
      <c r="C346" s="65" t="s">
        <v>388</v>
      </c>
      <c r="D346" s="67" t="s">
        <v>387</v>
      </c>
      <c r="E346" s="40"/>
      <c r="F346" s="33" t="s">
        <v>43</v>
      </c>
      <c r="G346" s="40"/>
      <c r="H346" s="32" t="s">
        <v>386</v>
      </c>
      <c r="I346" s="40"/>
      <c r="J346" s="65" t="s">
        <v>389</v>
      </c>
      <c r="K346" s="40">
        <v>2010</v>
      </c>
      <c r="L346" s="40"/>
      <c r="M346" s="33"/>
      <c r="N346" s="33"/>
      <c r="O346" s="67" t="s">
        <v>384</v>
      </c>
      <c r="P346" s="32" t="s">
        <v>12</v>
      </c>
      <c r="Q346" s="252">
        <v>68250000</v>
      </c>
      <c r="R346" s="61"/>
      <c r="S346" s="206" t="str">
        <f t="shared" si="87"/>
        <v>3.12.02</v>
      </c>
      <c r="T346" s="207" t="str">
        <f t="shared" si="88"/>
        <v>TUGU PERINGATAN</v>
      </c>
      <c r="U346" s="207">
        <f t="shared" si="89"/>
        <v>50</v>
      </c>
      <c r="V346" s="233">
        <f t="shared" si="90"/>
        <v>1364999.8</v>
      </c>
      <c r="W346" s="233">
        <f t="shared" si="91"/>
        <v>3</v>
      </c>
      <c r="X346" s="233">
        <f t="shared" si="92"/>
        <v>4094999.4000000004</v>
      </c>
      <c r="Y346" s="233">
        <f t="shared" si="93"/>
        <v>1364999.8</v>
      </c>
      <c r="Z346" s="233">
        <f t="shared" si="94"/>
        <v>1364999.8</v>
      </c>
      <c r="AA346" s="233">
        <f t="shared" si="95"/>
        <v>1364999.8</v>
      </c>
      <c r="AB346" s="233">
        <f t="shared" si="96"/>
        <v>1364999.8</v>
      </c>
      <c r="AC346" s="238">
        <f t="shared" si="97"/>
        <v>1364999.8</v>
      </c>
      <c r="AD346" s="238">
        <f t="shared" si="98"/>
        <v>10919998.4</v>
      </c>
      <c r="AE346" s="206">
        <f t="shared" si="99"/>
        <v>2010</v>
      </c>
      <c r="AF346" s="210">
        <f t="shared" si="100"/>
        <v>57330001.600000001</v>
      </c>
    </row>
    <row r="347" spans="1:32" s="48" customFormat="1" ht="40.5" customHeight="1" thickBot="1" x14ac:dyDescent="0.25">
      <c r="A347" s="295" t="s">
        <v>2303</v>
      </c>
      <c r="B347" s="175"/>
      <c r="C347" s="108" t="s">
        <v>388</v>
      </c>
      <c r="D347" s="109" t="s">
        <v>387</v>
      </c>
      <c r="E347" s="110"/>
      <c r="F347" s="111" t="s">
        <v>43</v>
      </c>
      <c r="G347" s="110"/>
      <c r="H347" s="112" t="s">
        <v>386</v>
      </c>
      <c r="I347" s="110"/>
      <c r="J347" s="108" t="s">
        <v>385</v>
      </c>
      <c r="K347" s="110">
        <v>2010</v>
      </c>
      <c r="L347" s="110"/>
      <c r="M347" s="111"/>
      <c r="N347" s="111"/>
      <c r="O347" s="109" t="s">
        <v>384</v>
      </c>
      <c r="P347" s="112" t="s">
        <v>12</v>
      </c>
      <c r="Q347" s="324">
        <v>68250000</v>
      </c>
      <c r="R347" s="180"/>
      <c r="S347" s="206" t="str">
        <f t="shared" si="87"/>
        <v>3.12.02</v>
      </c>
      <c r="T347" s="207" t="str">
        <f t="shared" si="88"/>
        <v>TUGU PERINGATAN</v>
      </c>
      <c r="U347" s="207">
        <f t="shared" si="89"/>
        <v>50</v>
      </c>
      <c r="V347" s="233">
        <f t="shared" si="90"/>
        <v>1364999.8</v>
      </c>
      <c r="W347" s="233">
        <f t="shared" si="91"/>
        <v>3</v>
      </c>
      <c r="X347" s="233">
        <f t="shared" si="92"/>
        <v>4094999.4000000004</v>
      </c>
      <c r="Y347" s="233">
        <f t="shared" si="93"/>
        <v>1364999.8</v>
      </c>
      <c r="Z347" s="233">
        <f t="shared" si="94"/>
        <v>1364999.8</v>
      </c>
      <c r="AA347" s="233">
        <f t="shared" si="95"/>
        <v>1364999.8</v>
      </c>
      <c r="AB347" s="233">
        <f t="shared" si="96"/>
        <v>1364999.8</v>
      </c>
      <c r="AC347" s="238">
        <f t="shared" si="97"/>
        <v>1364999.8</v>
      </c>
      <c r="AD347" s="238">
        <f t="shared" si="98"/>
        <v>10919998.4</v>
      </c>
      <c r="AE347" s="206">
        <f t="shared" si="99"/>
        <v>2010</v>
      </c>
      <c r="AF347" s="210">
        <f t="shared" si="100"/>
        <v>57330001.600000001</v>
      </c>
    </row>
    <row r="348" spans="1:32" s="48" customFormat="1" ht="40.5" customHeight="1" x14ac:dyDescent="0.2">
      <c r="A348" s="295" t="s">
        <v>2303</v>
      </c>
      <c r="B348" s="175"/>
      <c r="C348" s="176" t="s">
        <v>2265</v>
      </c>
      <c r="D348" s="182"/>
      <c r="E348" s="183"/>
      <c r="F348" s="184"/>
      <c r="G348" s="183"/>
      <c r="H348" s="185"/>
      <c r="I348" s="183"/>
      <c r="J348" s="181" t="s">
        <v>836</v>
      </c>
      <c r="K348" s="183">
        <v>2009</v>
      </c>
      <c r="L348" s="183"/>
      <c r="M348" s="184"/>
      <c r="N348" s="184"/>
      <c r="O348" s="182"/>
      <c r="P348" s="185" t="s">
        <v>12</v>
      </c>
      <c r="Q348" s="325">
        <v>6500501134</v>
      </c>
      <c r="R348" s="180"/>
      <c r="S348" s="206" t="str">
        <f t="shared" si="87"/>
        <v>3.12.02</v>
      </c>
      <c r="T348" s="207" t="str">
        <f t="shared" si="88"/>
        <v>TUGU PERINGATAN</v>
      </c>
      <c r="U348" s="207">
        <f t="shared" si="89"/>
        <v>50</v>
      </c>
      <c r="V348" s="233">
        <f t="shared" si="90"/>
        <v>130010022.48</v>
      </c>
      <c r="W348" s="233">
        <f t="shared" si="91"/>
        <v>4</v>
      </c>
      <c r="X348" s="233">
        <f t="shared" si="92"/>
        <v>520040089.92000002</v>
      </c>
      <c r="Y348" s="233">
        <f t="shared" si="93"/>
        <v>130010022.48</v>
      </c>
      <c r="Z348" s="233">
        <f t="shared" si="94"/>
        <v>130010022.48</v>
      </c>
      <c r="AA348" s="233">
        <f t="shared" si="95"/>
        <v>130010022.48</v>
      </c>
      <c r="AB348" s="233">
        <f t="shared" si="96"/>
        <v>130010022.48</v>
      </c>
      <c r="AC348" s="238">
        <f t="shared" si="97"/>
        <v>130010022.48</v>
      </c>
      <c r="AD348" s="238">
        <f t="shared" si="98"/>
        <v>1170090202.3199999</v>
      </c>
      <c r="AE348" s="206">
        <f t="shared" si="99"/>
        <v>2009</v>
      </c>
      <c r="AF348" s="210">
        <f t="shared" si="100"/>
        <v>5330410931.6800003</v>
      </c>
    </row>
    <row r="349" spans="1:32" s="48" customFormat="1" ht="40.5" customHeight="1" thickBot="1" x14ac:dyDescent="0.25">
      <c r="B349" s="107"/>
      <c r="C349" s="108"/>
      <c r="D349" s="109"/>
      <c r="E349" s="110"/>
      <c r="F349" s="111"/>
      <c r="G349" s="110"/>
      <c r="H349" s="112"/>
      <c r="I349" s="110"/>
      <c r="J349" s="108"/>
      <c r="K349" s="110"/>
      <c r="L349" s="110"/>
      <c r="M349" s="111"/>
      <c r="N349" s="111"/>
      <c r="O349" s="109"/>
      <c r="P349" s="112"/>
      <c r="Q349" s="324"/>
      <c r="R349" s="114"/>
      <c r="V349" s="245"/>
      <c r="W349" s="245"/>
      <c r="X349" s="245"/>
      <c r="Y349" s="245"/>
      <c r="Z349" s="245"/>
      <c r="AA349" s="245"/>
      <c r="AB349" s="245"/>
      <c r="AC349" s="245"/>
      <c r="AD349" s="245"/>
    </row>
    <row r="350" spans="1:32" x14ac:dyDescent="0.2">
      <c r="AD350" s="258" t="e">
        <f>SUBTOTAL(9,AD22:AD336)</f>
        <v>#N/A</v>
      </c>
    </row>
    <row r="352" spans="1:32" x14ac:dyDescent="0.2">
      <c r="B352" s="1898" t="s">
        <v>1109</v>
      </c>
      <c r="C352" s="1898"/>
      <c r="D352" s="1898"/>
    </row>
    <row r="353" spans="2:18" x14ac:dyDescent="0.2">
      <c r="B353" s="1797" t="s">
        <v>23</v>
      </c>
      <c r="C353" s="1797"/>
      <c r="D353" s="1797"/>
      <c r="O353" s="1797" t="s">
        <v>884</v>
      </c>
      <c r="P353" s="1797"/>
      <c r="Q353" s="1797"/>
      <c r="R353" s="1797"/>
    </row>
    <row r="354" spans="2:18" x14ac:dyDescent="0.2">
      <c r="B354" s="1797" t="s">
        <v>25</v>
      </c>
      <c r="C354" s="1797"/>
      <c r="D354" s="1797"/>
      <c r="O354" s="1797" t="s">
        <v>24</v>
      </c>
      <c r="P354" s="1797"/>
      <c r="Q354" s="1797"/>
      <c r="R354" s="1797"/>
    </row>
    <row r="355" spans="2:18" x14ac:dyDescent="0.2">
      <c r="B355" s="19"/>
      <c r="C355" s="19"/>
      <c r="D355" s="19"/>
      <c r="O355" s="18"/>
      <c r="P355" s="18"/>
      <c r="Q355" s="259"/>
      <c r="R355" s="18"/>
    </row>
    <row r="356" spans="2:18" x14ac:dyDescent="0.2">
      <c r="B356" s="19"/>
      <c r="C356" s="19"/>
      <c r="D356" s="19"/>
      <c r="O356" s="18"/>
      <c r="P356" s="18"/>
      <c r="Q356" s="259"/>
      <c r="R356" s="18"/>
    </row>
    <row r="357" spans="2:18" x14ac:dyDescent="0.2">
      <c r="B357" s="18"/>
      <c r="C357" s="18"/>
      <c r="D357" s="18"/>
      <c r="O357" s="18"/>
      <c r="P357" s="18"/>
      <c r="Q357" s="259"/>
      <c r="R357" s="18"/>
    </row>
    <row r="358" spans="2:18" x14ac:dyDescent="0.2">
      <c r="B358" s="18"/>
      <c r="C358" s="18"/>
      <c r="D358" s="18"/>
      <c r="O358" s="18"/>
      <c r="P358" s="18"/>
      <c r="Q358" s="259"/>
      <c r="R358" s="18"/>
    </row>
    <row r="359" spans="2:18" x14ac:dyDescent="0.2">
      <c r="B359" s="18"/>
      <c r="C359" s="18"/>
      <c r="D359" s="18"/>
      <c r="O359" s="18"/>
      <c r="P359" s="18"/>
      <c r="Q359" s="259"/>
      <c r="R359" s="18"/>
    </row>
    <row r="360" spans="2:18" x14ac:dyDescent="0.2">
      <c r="B360" s="1795" t="s">
        <v>26</v>
      </c>
      <c r="C360" s="1795"/>
      <c r="D360" s="1795"/>
      <c r="O360" s="1795" t="s">
        <v>27</v>
      </c>
      <c r="P360" s="1795"/>
      <c r="Q360" s="1795"/>
      <c r="R360" s="1795"/>
    </row>
    <row r="361" spans="2:18" x14ac:dyDescent="0.2">
      <c r="B361" s="1797" t="s">
        <v>28</v>
      </c>
      <c r="C361" s="1797"/>
      <c r="D361" s="1797"/>
      <c r="O361" s="1797" t="s">
        <v>29</v>
      </c>
      <c r="P361" s="1797"/>
      <c r="Q361" s="1797"/>
      <c r="R361" s="1797"/>
    </row>
    <row r="362" spans="2:18" x14ac:dyDescent="0.2">
      <c r="O362" s="1797"/>
      <c r="P362" s="1797"/>
      <c r="Q362" s="1797"/>
      <c r="R362" s="1797"/>
    </row>
  </sheetData>
  <autoFilter ref="B9:AH348" xr:uid="{00000000-0009-0000-0000-000005000000}"/>
  <mergeCells count="31">
    <mergeCell ref="Q6:Q8"/>
    <mergeCell ref="R6:R8"/>
    <mergeCell ref="B2:R2"/>
    <mergeCell ref="B3:R3"/>
    <mergeCell ref="B6:B8"/>
    <mergeCell ref="C6:C8"/>
    <mergeCell ref="D6:D8"/>
    <mergeCell ref="E6:E8"/>
    <mergeCell ref="F6:F8"/>
    <mergeCell ref="G6:I6"/>
    <mergeCell ref="J6:J8"/>
    <mergeCell ref="K6:L6"/>
    <mergeCell ref="B352:D352"/>
    <mergeCell ref="M6:M8"/>
    <mergeCell ref="N6:N8"/>
    <mergeCell ref="O6:O8"/>
    <mergeCell ref="P6:P8"/>
    <mergeCell ref="G7:G8"/>
    <mergeCell ref="H7:H8"/>
    <mergeCell ref="I7:I8"/>
    <mergeCell ref="K7:K8"/>
    <mergeCell ref="L7:L8"/>
    <mergeCell ref="B361:D361"/>
    <mergeCell ref="O361:R361"/>
    <mergeCell ref="O362:R362"/>
    <mergeCell ref="B353:D353"/>
    <mergeCell ref="O353:R353"/>
    <mergeCell ref="B354:D354"/>
    <mergeCell ref="O354:R354"/>
    <mergeCell ref="B360:D360"/>
    <mergeCell ref="O360:R360"/>
  </mergeCells>
  <pageMargins left="2.21" right="0.37" top="0.6692913385826772" bottom="0.74803149606299213" header="0.31496062992125984" footer="0.31496062992125984"/>
  <pageSetup paperSize="5" scale="63" orientation="landscape"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2:AJ362"/>
  <sheetViews>
    <sheetView zoomScale="68" zoomScaleNormal="68" workbookViewId="0">
      <pane xSplit="14" ySplit="9" topLeftCell="X10" activePane="bottomRight" state="frozen"/>
      <selection pane="topRight" activeCell="O1" sqref="O1"/>
      <selection pane="bottomLeft" activeCell="A10" sqref="A10"/>
      <selection pane="bottomRight" activeCell="Z165" sqref="Z165"/>
    </sheetView>
  </sheetViews>
  <sheetFormatPr baseColWidth="10" defaultColWidth="9.1640625" defaultRowHeight="15" x14ac:dyDescent="0.2"/>
  <cols>
    <col min="1" max="1" width="9.1640625" style="762"/>
    <col min="2" max="2" width="28.5" style="1" customWidth="1"/>
    <col min="3" max="3" width="9.1640625" style="48"/>
    <col min="4" max="4" width="6.5" style="1" bestFit="1" customWidth="1"/>
    <col min="5" max="5" width="47.83203125" style="1" customWidth="1"/>
    <col min="6" max="6" width="18.83203125" style="1" bestFit="1" customWidth="1"/>
    <col min="7" max="7" width="11.1640625" style="1" hidden="1" customWidth="1"/>
    <col min="8" max="8" width="16.33203125" style="1" hidden="1" customWidth="1"/>
    <col min="9" max="9" width="14.5" style="1" hidden="1" customWidth="1"/>
    <col min="10" max="10" width="9.6640625" style="1" hidden="1" customWidth="1"/>
    <col min="11" max="11" width="16.33203125" style="1" hidden="1" customWidth="1"/>
    <col min="12" max="12" width="21.1640625" style="306" customWidth="1"/>
    <col min="13" max="13" width="14.5" style="1" customWidth="1"/>
    <col min="14" max="14" width="13.83203125" style="1" customWidth="1"/>
    <col min="15" max="15" width="8.5" style="762" bestFit="1" customWidth="1"/>
    <col min="16" max="16" width="10.83203125" style="762" bestFit="1" customWidth="1"/>
    <col min="17" max="17" width="15.1640625" style="1" customWidth="1"/>
    <col min="18" max="18" width="15.5" style="762" customWidth="1"/>
    <col min="19" max="19" width="20.6640625" style="258" customWidth="1"/>
    <col min="20" max="20" width="17.33203125" style="1" customWidth="1"/>
    <col min="21" max="23" width="24" style="1" customWidth="1"/>
    <col min="24" max="24" width="24" style="258" customWidth="1"/>
    <col min="25" max="25" width="24" style="713" customWidth="1"/>
    <col min="26" max="32" width="24" style="258" customWidth="1"/>
    <col min="33" max="33" width="10.1640625" style="1" hidden="1" customWidth="1"/>
    <col min="34" max="34" width="24" style="1" customWidth="1"/>
    <col min="35" max="35" width="9.1640625" style="1"/>
    <col min="36" max="36" width="16.1640625" style="1" bestFit="1" customWidth="1"/>
    <col min="37" max="16384" width="9.1640625" style="1"/>
  </cols>
  <sheetData>
    <row r="2" spans="1:36" ht="26" x14ac:dyDescent="0.3">
      <c r="D2" s="1828" t="s">
        <v>2624</v>
      </c>
      <c r="E2" s="1828"/>
      <c r="F2" s="1828"/>
      <c r="G2" s="1828"/>
      <c r="H2" s="1828"/>
      <c r="I2" s="1828"/>
      <c r="J2" s="1828"/>
      <c r="K2" s="1828"/>
      <c r="L2" s="1828"/>
      <c r="M2" s="1828"/>
      <c r="N2" s="1828"/>
      <c r="O2" s="1828"/>
      <c r="P2" s="1828"/>
      <c r="Q2" s="1828"/>
      <c r="R2" s="1828"/>
      <c r="S2" s="1828"/>
      <c r="T2" s="1828"/>
    </row>
    <row r="3" spans="1:36" ht="26" x14ac:dyDescent="0.3">
      <c r="D3" s="1828" t="s">
        <v>2625</v>
      </c>
      <c r="E3" s="1828"/>
      <c r="F3" s="1828"/>
      <c r="G3" s="1828"/>
      <c r="H3" s="1828"/>
      <c r="I3" s="1828"/>
      <c r="J3" s="1828"/>
      <c r="K3" s="1828"/>
      <c r="L3" s="1828"/>
      <c r="M3" s="1828"/>
      <c r="N3" s="1828"/>
      <c r="O3" s="1828"/>
      <c r="P3" s="1828"/>
      <c r="Q3" s="1828"/>
      <c r="R3" s="1828"/>
      <c r="S3" s="1828"/>
      <c r="T3" s="1828"/>
      <c r="AD3" s="258" t="e">
        <f>SUM(#REF!)</f>
        <v>#REF!</v>
      </c>
    </row>
    <row r="4" spans="1:36" ht="15" customHeight="1" x14ac:dyDescent="0.3">
      <c r="D4" s="763"/>
      <c r="E4" s="763"/>
      <c r="F4" s="763"/>
      <c r="G4" s="763"/>
      <c r="H4" s="763"/>
      <c r="I4" s="763"/>
      <c r="J4" s="763"/>
      <c r="K4" s="763"/>
      <c r="L4" s="24"/>
      <c r="M4" s="763"/>
      <c r="N4" s="763"/>
      <c r="O4" s="763"/>
      <c r="P4" s="763"/>
      <c r="Q4" s="763"/>
      <c r="R4" s="763"/>
      <c r="S4" s="767"/>
      <c r="T4" s="763"/>
    </row>
    <row r="5" spans="1:36" s="18" customFormat="1" thickBot="1" x14ac:dyDescent="0.25">
      <c r="A5" s="764"/>
      <c r="C5" s="116"/>
      <c r="D5" s="21"/>
      <c r="E5" s="12" t="s">
        <v>32</v>
      </c>
      <c r="F5" s="12" t="s">
        <v>33</v>
      </c>
      <c r="G5" s="21"/>
      <c r="H5" s="21"/>
      <c r="I5" s="21"/>
      <c r="J5" s="21"/>
      <c r="K5" s="21"/>
      <c r="L5" s="23"/>
      <c r="M5" s="21"/>
      <c r="N5" s="21"/>
      <c r="O5" s="22"/>
      <c r="P5" s="22"/>
      <c r="Q5" s="21"/>
      <c r="R5" s="22"/>
      <c r="S5" s="321"/>
      <c r="T5" s="21"/>
      <c r="X5" s="259"/>
      <c r="Y5" s="714"/>
      <c r="Z5" s="259"/>
      <c r="AA5" s="259"/>
      <c r="AB5" s="259"/>
      <c r="AC5" s="259"/>
      <c r="AD5" s="259"/>
      <c r="AE5" s="259"/>
      <c r="AF5" s="259"/>
    </row>
    <row r="6" spans="1:36" s="12" customFormat="1" ht="27.75" customHeight="1" thickTop="1" x14ac:dyDescent="0.2">
      <c r="A6" s="13"/>
      <c r="B6" s="1904" t="s">
        <v>3003</v>
      </c>
      <c r="C6" s="119"/>
      <c r="D6" s="1895" t="s">
        <v>869</v>
      </c>
      <c r="E6" s="1889" t="s">
        <v>870</v>
      </c>
      <c r="F6" s="1889" t="s">
        <v>877</v>
      </c>
      <c r="G6" s="1889" t="s">
        <v>878</v>
      </c>
      <c r="H6" s="1889" t="s">
        <v>1101</v>
      </c>
      <c r="I6" s="1889" t="s">
        <v>1102</v>
      </c>
      <c r="J6" s="1889"/>
      <c r="K6" s="1889"/>
      <c r="L6" s="1889" t="s">
        <v>874</v>
      </c>
      <c r="M6" s="1889" t="s">
        <v>1103</v>
      </c>
      <c r="N6" s="1889"/>
      <c r="O6" s="1889" t="s">
        <v>872</v>
      </c>
      <c r="P6" s="1889" t="s">
        <v>875</v>
      </c>
      <c r="Q6" s="1889" t="s">
        <v>1104</v>
      </c>
      <c r="R6" s="1889" t="s">
        <v>909</v>
      </c>
      <c r="S6" s="1901" t="s">
        <v>1105</v>
      </c>
      <c r="T6" s="1892" t="s">
        <v>911</v>
      </c>
      <c r="U6" s="203" t="s">
        <v>2279</v>
      </c>
      <c r="V6" s="203" t="s">
        <v>2280</v>
      </c>
      <c r="W6" s="203" t="s">
        <v>2281</v>
      </c>
      <c r="X6" s="232" t="s">
        <v>2282</v>
      </c>
      <c r="Y6" s="715" t="s">
        <v>2283</v>
      </c>
      <c r="Z6" s="237" t="s">
        <v>2284</v>
      </c>
      <c r="AA6" s="237" t="s">
        <v>2285</v>
      </c>
      <c r="AB6" s="237" t="s">
        <v>2286</v>
      </c>
      <c r="AC6" s="237" t="s">
        <v>2287</v>
      </c>
      <c r="AD6" s="237" t="s">
        <v>2294</v>
      </c>
      <c r="AE6" s="237" t="s">
        <v>2487</v>
      </c>
      <c r="AF6" s="237" t="s">
        <v>2489</v>
      </c>
      <c r="AG6" s="203" t="s">
        <v>2288</v>
      </c>
      <c r="AH6" s="203" t="s">
        <v>2289</v>
      </c>
    </row>
    <row r="7" spans="1:36" s="12" customFormat="1" ht="12.75" customHeight="1" x14ac:dyDescent="0.2">
      <c r="A7" s="13"/>
      <c r="B7" s="1904"/>
      <c r="C7" s="119"/>
      <c r="D7" s="1896"/>
      <c r="E7" s="1890"/>
      <c r="F7" s="1890"/>
      <c r="G7" s="1890"/>
      <c r="H7" s="1890"/>
      <c r="I7" s="1890" t="s">
        <v>1106</v>
      </c>
      <c r="J7" s="1890" t="s">
        <v>1107</v>
      </c>
      <c r="K7" s="1890" t="s">
        <v>1108</v>
      </c>
      <c r="L7" s="1890"/>
      <c r="M7" s="1899" t="s">
        <v>882</v>
      </c>
      <c r="N7" s="1899" t="s">
        <v>883</v>
      </c>
      <c r="O7" s="1890"/>
      <c r="P7" s="1890"/>
      <c r="Q7" s="1890"/>
      <c r="R7" s="1890"/>
      <c r="S7" s="1902"/>
      <c r="T7" s="1893"/>
      <c r="U7" s="301"/>
      <c r="V7" s="301"/>
      <c r="W7" s="301"/>
      <c r="X7" s="273"/>
      <c r="Y7" s="716"/>
      <c r="Z7" s="273"/>
      <c r="AA7" s="273"/>
      <c r="AB7" s="273"/>
      <c r="AC7" s="273"/>
      <c r="AD7" s="273"/>
      <c r="AE7" s="273"/>
      <c r="AF7" s="273"/>
      <c r="AG7" s="301"/>
      <c r="AH7" s="301"/>
    </row>
    <row r="8" spans="1:36" s="12" customFormat="1" ht="24" customHeight="1" thickBot="1" x14ac:dyDescent="0.25">
      <c r="A8" s="13"/>
      <c r="B8" s="1904"/>
      <c r="C8" s="119"/>
      <c r="D8" s="1897"/>
      <c r="E8" s="1891"/>
      <c r="F8" s="1891"/>
      <c r="G8" s="1891"/>
      <c r="H8" s="1891"/>
      <c r="I8" s="1891"/>
      <c r="J8" s="1891"/>
      <c r="K8" s="1891"/>
      <c r="L8" s="1891"/>
      <c r="M8" s="1900"/>
      <c r="N8" s="1900"/>
      <c r="O8" s="1891"/>
      <c r="P8" s="1891"/>
      <c r="Q8" s="1891"/>
      <c r="R8" s="1891"/>
      <c r="S8" s="1903"/>
      <c r="T8" s="1894"/>
      <c r="U8" s="301"/>
      <c r="V8" s="301"/>
      <c r="W8" s="301"/>
      <c r="X8" s="273"/>
      <c r="Y8" s="716"/>
      <c r="Z8" s="273"/>
      <c r="AA8" s="273"/>
      <c r="AB8" s="273"/>
      <c r="AC8" s="273"/>
      <c r="AD8" s="273"/>
      <c r="AE8" s="273"/>
      <c r="AF8" s="273"/>
      <c r="AG8" s="301"/>
      <c r="AH8" s="301"/>
    </row>
    <row r="9" spans="1:36" s="302" customFormat="1" ht="16" thickTop="1" x14ac:dyDescent="0.2">
      <c r="A9" s="666"/>
      <c r="C9" s="293"/>
      <c r="D9" s="90">
        <v>1</v>
      </c>
      <c r="E9" s="91">
        <v>2</v>
      </c>
      <c r="F9" s="91">
        <v>3</v>
      </c>
      <c r="G9" s="92">
        <v>4</v>
      </c>
      <c r="H9" s="92">
        <v>5</v>
      </c>
      <c r="I9" s="91">
        <v>6</v>
      </c>
      <c r="J9" s="91">
        <v>7</v>
      </c>
      <c r="K9" s="92">
        <v>8</v>
      </c>
      <c r="L9" s="92">
        <v>9</v>
      </c>
      <c r="M9" s="91">
        <v>10</v>
      </c>
      <c r="N9" s="91">
        <v>11</v>
      </c>
      <c r="O9" s="91">
        <v>12</v>
      </c>
      <c r="P9" s="91">
        <v>13</v>
      </c>
      <c r="Q9" s="91">
        <v>14</v>
      </c>
      <c r="R9" s="92">
        <v>15</v>
      </c>
      <c r="S9" s="322">
        <v>16</v>
      </c>
      <c r="T9" s="93">
        <v>17</v>
      </c>
      <c r="X9" s="303"/>
      <c r="Y9" s="717"/>
      <c r="Z9" s="303"/>
      <c r="AA9" s="303"/>
      <c r="AB9" s="303"/>
      <c r="AC9" s="303"/>
      <c r="AD9" s="303"/>
      <c r="AE9" s="303"/>
      <c r="AF9" s="303"/>
    </row>
    <row r="10" spans="1:36" s="302" customFormat="1" hidden="1" x14ac:dyDescent="0.2">
      <c r="A10" s="666"/>
      <c r="C10" s="293"/>
      <c r="D10" s="94"/>
      <c r="E10" s="20"/>
      <c r="F10" s="20"/>
      <c r="G10" s="765"/>
      <c r="H10" s="765"/>
      <c r="I10" s="20"/>
      <c r="J10" s="20"/>
      <c r="K10" s="765"/>
      <c r="L10" s="765"/>
      <c r="M10" s="20"/>
      <c r="N10" s="20"/>
      <c r="O10" s="20"/>
      <c r="P10" s="20"/>
      <c r="Q10" s="20"/>
      <c r="R10" s="765"/>
      <c r="S10" s="323"/>
      <c r="T10" s="95"/>
      <c r="X10" s="303"/>
      <c r="Y10" s="717"/>
      <c r="Z10" s="303"/>
      <c r="AA10" s="303"/>
      <c r="AB10" s="303"/>
      <c r="AC10" s="303"/>
      <c r="AD10" s="303"/>
      <c r="AE10" s="303"/>
      <c r="AF10" s="303"/>
    </row>
    <row r="11" spans="1:36" s="293" customFormat="1" ht="40.5" hidden="1" customHeight="1" x14ac:dyDescent="0.2">
      <c r="A11" s="667"/>
      <c r="D11" s="58" t="s">
        <v>471</v>
      </c>
      <c r="E11" s="96" t="s">
        <v>1013</v>
      </c>
      <c r="F11" s="97"/>
      <c r="G11" s="98"/>
      <c r="H11" s="98"/>
      <c r="I11" s="98"/>
      <c r="J11" s="98"/>
      <c r="K11" s="98"/>
      <c r="L11" s="99"/>
      <c r="M11" s="98"/>
      <c r="N11" s="98"/>
      <c r="O11" s="765"/>
      <c r="P11" s="765"/>
      <c r="Q11" s="98"/>
      <c r="R11" s="765"/>
      <c r="S11" s="276">
        <f>S13+S339</f>
        <v>303713887574.63196</v>
      </c>
      <c r="T11" s="100"/>
      <c r="V11" s="304"/>
      <c r="X11" s="294"/>
      <c r="Y11" s="717"/>
      <c r="Z11" s="294">
        <f t="shared" ref="Z11:AF11" si="0">Z13+Z339</f>
        <v>9300124332.808073</v>
      </c>
      <c r="AA11" s="294">
        <f t="shared" si="0"/>
        <v>4737566072.49265</v>
      </c>
      <c r="AB11" s="294">
        <f t="shared" si="0"/>
        <v>5016869180.332653</v>
      </c>
      <c r="AC11" s="294">
        <f t="shared" si="0"/>
        <v>5074491175.5326538</v>
      </c>
      <c r="AD11" s="294">
        <f t="shared" si="0"/>
        <v>5074491175.5326538</v>
      </c>
      <c r="AE11" s="294">
        <f t="shared" si="0"/>
        <v>5192201112.9326553</v>
      </c>
      <c r="AF11" s="294">
        <f t="shared" si="0"/>
        <v>34395743049.631264</v>
      </c>
      <c r="AG11" s="294"/>
      <c r="AH11" s="294">
        <f>AH13+AH339</f>
        <v>265562526125.00064</v>
      </c>
      <c r="AJ11" s="320"/>
    </row>
    <row r="12" spans="1:36" s="293" customFormat="1" ht="40.5" hidden="1" customHeight="1" x14ac:dyDescent="0.2">
      <c r="A12" s="667"/>
      <c r="D12" s="58"/>
      <c r="E12" s="96" t="s">
        <v>52</v>
      </c>
      <c r="F12" s="97"/>
      <c r="G12" s="98"/>
      <c r="H12" s="98"/>
      <c r="I12" s="98"/>
      <c r="J12" s="98"/>
      <c r="K12" s="98"/>
      <c r="L12" s="99"/>
      <c r="M12" s="98"/>
      <c r="N12" s="98"/>
      <c r="O12" s="765"/>
      <c r="P12" s="765"/>
      <c r="Q12" s="98"/>
      <c r="R12" s="765"/>
      <c r="S12" s="276"/>
      <c r="T12" s="100"/>
      <c r="X12" s="294"/>
      <c r="Y12" s="717"/>
      <c r="Z12" s="294"/>
      <c r="AA12" s="294"/>
      <c r="AB12" s="294"/>
      <c r="AC12" s="294"/>
      <c r="AD12" s="294"/>
      <c r="AE12" s="294"/>
      <c r="AF12" s="294"/>
    </row>
    <row r="13" spans="1:36" s="293" customFormat="1" ht="40.5" hidden="1" customHeight="1" x14ac:dyDescent="0.2">
      <c r="A13" s="667"/>
      <c r="D13" s="58" t="s">
        <v>470</v>
      </c>
      <c r="E13" s="96" t="s">
        <v>1014</v>
      </c>
      <c r="F13" s="63"/>
      <c r="G13" s="63"/>
      <c r="H13" s="63"/>
      <c r="I13" s="63"/>
      <c r="J13" s="63"/>
      <c r="K13" s="63"/>
      <c r="L13" s="25"/>
      <c r="M13" s="63"/>
      <c r="N13" s="63"/>
      <c r="O13" s="766"/>
      <c r="P13" s="766"/>
      <c r="Q13" s="63"/>
      <c r="R13" s="766"/>
      <c r="S13" s="232">
        <f>SUM(S14:S337)</f>
        <v>296502886440.63196</v>
      </c>
      <c r="T13" s="101"/>
      <c r="V13" s="305"/>
      <c r="X13" s="294"/>
      <c r="Y13" s="717"/>
      <c r="Z13" s="294">
        <f>SUM(Z14:Z336)</f>
        <v>8542245264.888073</v>
      </c>
      <c r="AA13" s="294">
        <f>SUM(AA14:AA336)</f>
        <v>4593346051.6126499</v>
      </c>
      <c r="AB13" s="294">
        <f>SUM(AB14:AB336)</f>
        <v>4872649159.4526529</v>
      </c>
      <c r="AC13" s="294">
        <f>SUM(AC14:AC336)</f>
        <v>4930271154.6526537</v>
      </c>
      <c r="AD13" s="294">
        <f>SUM(AD14:AD336)</f>
        <v>4930271154.6526537</v>
      </c>
      <c r="AE13" s="294">
        <f>SUM(AE14:AE337)</f>
        <v>5047981092.0526552</v>
      </c>
      <c r="AF13" s="294">
        <f>SUM(AF14:AF336)</f>
        <v>32916763877.311264</v>
      </c>
      <c r="AG13" s="294"/>
      <c r="AH13" s="294">
        <f>SUM(AH14:AH336)</f>
        <v>259830504163.32065</v>
      </c>
      <c r="AJ13" s="320"/>
    </row>
    <row r="14" spans="1:36" s="48" customFormat="1" ht="40.5" hidden="1" customHeight="1" x14ac:dyDescent="0.2">
      <c r="A14" s="296"/>
      <c r="B14" s="48" t="s">
        <v>469</v>
      </c>
      <c r="C14" s="772"/>
      <c r="D14" s="73"/>
      <c r="E14" s="65" t="s">
        <v>469</v>
      </c>
      <c r="F14" s="67" t="s">
        <v>1752</v>
      </c>
      <c r="G14" s="67"/>
      <c r="H14" s="33"/>
      <c r="I14" s="40"/>
      <c r="J14" s="40"/>
      <c r="K14" s="40"/>
      <c r="L14" s="65" t="s">
        <v>467</v>
      </c>
      <c r="M14" s="40">
        <v>1984</v>
      </c>
      <c r="N14" s="40"/>
      <c r="O14" s="32">
        <v>36</v>
      </c>
      <c r="P14" s="32" t="s">
        <v>430</v>
      </c>
      <c r="Q14" s="40"/>
      <c r="R14" s="32" t="s">
        <v>12</v>
      </c>
      <c r="S14" s="252">
        <v>27928800</v>
      </c>
      <c r="T14" s="61"/>
      <c r="U14" s="206" t="str">
        <f>LEFT(F14,8)</f>
        <v>03.11.01</v>
      </c>
      <c r="V14" s="207" t="str">
        <f>VLOOKUP(U14,UE,3)</f>
        <v>Bangunan Gedung Tempat Kerja</v>
      </c>
      <c r="W14" s="207">
        <f>VLOOKUP(U14,UE,4)</f>
        <v>50</v>
      </c>
      <c r="X14" s="233">
        <f>(S14-10)/W14</f>
        <v>558575.80000000005</v>
      </c>
      <c r="Y14" s="714">
        <f>IF(2013-M14&gt;W14,W14,IF(2013-M14&lt;0,0,2013-M14))</f>
        <v>29</v>
      </c>
      <c r="Z14" s="233">
        <f>IF(Y14&gt;W14,S14-10,X14*Y14)</f>
        <v>16198698.200000001</v>
      </c>
      <c r="AA14" s="233">
        <f>IF(S14-10=Z14,0,X14)</f>
        <v>558575.80000000005</v>
      </c>
      <c r="AB14" s="233">
        <f>IF(S14-10=Z14+AA14,0,X14)</f>
        <v>558575.80000000005</v>
      </c>
      <c r="AC14" s="233">
        <f>IF(S14-10=Z14+AA14+AB14,0,X14)</f>
        <v>558575.80000000005</v>
      </c>
      <c r="AD14" s="238">
        <f>IF(S14-10=Z14+AA14+AB14+AC14,0,X14)</f>
        <v>558575.80000000005</v>
      </c>
      <c r="AE14" s="238">
        <f>IF(S14-10=Z14+AA14+AB14+AC14+AD14,0,X14)</f>
        <v>558575.80000000005</v>
      </c>
      <c r="AF14" s="238">
        <f>SUM(Z14:AE14)</f>
        <v>18991577.200000003</v>
      </c>
      <c r="AG14" s="206">
        <f>M14</f>
        <v>1984</v>
      </c>
      <c r="AH14" s="210">
        <f>S14-AF14</f>
        <v>8937222.799999997</v>
      </c>
    </row>
    <row r="15" spans="1:36" s="48" customFormat="1" ht="40.5" hidden="1" customHeight="1" x14ac:dyDescent="0.2">
      <c r="A15" s="296"/>
      <c r="B15" s="48" t="s">
        <v>468</v>
      </c>
      <c r="C15" s="772"/>
      <c r="D15" s="73"/>
      <c r="E15" s="65" t="s">
        <v>468</v>
      </c>
      <c r="F15" s="67" t="s">
        <v>1752</v>
      </c>
      <c r="G15" s="67"/>
      <c r="H15" s="33"/>
      <c r="I15" s="40"/>
      <c r="J15" s="40"/>
      <c r="K15" s="40"/>
      <c r="L15" s="65" t="s">
        <v>467</v>
      </c>
      <c r="M15" s="40">
        <v>1984</v>
      </c>
      <c r="N15" s="40"/>
      <c r="O15" s="32">
        <v>60</v>
      </c>
      <c r="P15" s="32" t="s">
        <v>430</v>
      </c>
      <c r="Q15" s="40"/>
      <c r="R15" s="32" t="s">
        <v>12</v>
      </c>
      <c r="S15" s="252">
        <v>46548000</v>
      </c>
      <c r="T15" s="61"/>
      <c r="U15" s="206" t="str">
        <f t="shared" ref="U15:U78" si="1">LEFT(F15,8)</f>
        <v>03.11.01</v>
      </c>
      <c r="V15" s="207" t="str">
        <f t="shared" ref="V15:V78" si="2">VLOOKUP(U15,UE,3)</f>
        <v>Bangunan Gedung Tempat Kerja</v>
      </c>
      <c r="W15" s="207">
        <f t="shared" ref="W15:W78" si="3">VLOOKUP(U15,UE,4)</f>
        <v>50</v>
      </c>
      <c r="X15" s="233">
        <f t="shared" ref="X15:X78" si="4">(S15-10)/W15</f>
        <v>930959.8</v>
      </c>
      <c r="Y15" s="714">
        <f t="shared" ref="Y15:Y78" si="5">IF(2013-M15&gt;W15,W15,IF(2013-M15&lt;0,0,2013-M15))</f>
        <v>29</v>
      </c>
      <c r="Z15" s="233">
        <f t="shared" ref="Z15:Z78" si="6">IF(Y15&gt;W15,S15-10,X15*Y15)</f>
        <v>26997834.200000003</v>
      </c>
      <c r="AA15" s="233">
        <f t="shared" ref="AA15:AA78" si="7">IF(S15-10=Z15,0,X15)</f>
        <v>930959.8</v>
      </c>
      <c r="AB15" s="233">
        <f t="shared" ref="AB15:AB78" si="8">IF(S15-10=Z15+AA15,0,X15)</f>
        <v>930959.8</v>
      </c>
      <c r="AC15" s="233">
        <f t="shared" ref="AC15:AC78" si="9">IF(S15-10=Z15+AA15+AB15,0,X15)</f>
        <v>930959.8</v>
      </c>
      <c r="AD15" s="238">
        <f t="shared" ref="AD15:AD78" si="10">IF(S15-10=Z15+AA15+AB15+AC15,0,X15)</f>
        <v>930959.8</v>
      </c>
      <c r="AE15" s="238">
        <f t="shared" ref="AE15:AE78" si="11">IF(S15-10=Z15+AA15+AB15+AC15+AD15,0,X15)</f>
        <v>930959.8</v>
      </c>
      <c r="AF15" s="238">
        <f t="shared" ref="AF15:AF78" si="12">SUM(Z15:AE15)</f>
        <v>31652633.200000007</v>
      </c>
      <c r="AG15" s="206">
        <f t="shared" ref="AG15:AG78" si="13">M15</f>
        <v>1984</v>
      </c>
      <c r="AH15" s="210">
        <f t="shared" ref="AH15:AH78" si="14">S15-AF15</f>
        <v>14895366.799999993</v>
      </c>
    </row>
    <row r="16" spans="1:36" s="48" customFormat="1" ht="40.5" hidden="1" customHeight="1" x14ac:dyDescent="0.2">
      <c r="A16" s="296"/>
      <c r="B16" s="48" t="s">
        <v>466</v>
      </c>
      <c r="C16" s="772"/>
      <c r="D16" s="73"/>
      <c r="E16" s="65" t="s">
        <v>466</v>
      </c>
      <c r="F16" s="67" t="s">
        <v>1752</v>
      </c>
      <c r="G16" s="67"/>
      <c r="H16" s="33"/>
      <c r="I16" s="40"/>
      <c r="J16" s="40"/>
      <c r="K16" s="40"/>
      <c r="L16" s="65" t="s">
        <v>464</v>
      </c>
      <c r="M16" s="40">
        <v>1986</v>
      </c>
      <c r="N16" s="40"/>
      <c r="O16" s="32">
        <v>30</v>
      </c>
      <c r="P16" s="32" t="s">
        <v>430</v>
      </c>
      <c r="Q16" s="40"/>
      <c r="R16" s="32" t="s">
        <v>433</v>
      </c>
      <c r="S16" s="252">
        <v>25213500</v>
      </c>
      <c r="T16" s="61"/>
      <c r="U16" s="206" t="str">
        <f t="shared" si="1"/>
        <v>03.11.01</v>
      </c>
      <c r="V16" s="207" t="str">
        <f t="shared" si="2"/>
        <v>Bangunan Gedung Tempat Kerja</v>
      </c>
      <c r="W16" s="207">
        <f t="shared" si="3"/>
        <v>50</v>
      </c>
      <c r="X16" s="233">
        <f t="shared" si="4"/>
        <v>504269.8</v>
      </c>
      <c r="Y16" s="714">
        <f t="shared" si="5"/>
        <v>27</v>
      </c>
      <c r="Z16" s="233">
        <f t="shared" si="6"/>
        <v>13615284.6</v>
      </c>
      <c r="AA16" s="233">
        <f t="shared" si="7"/>
        <v>504269.8</v>
      </c>
      <c r="AB16" s="233">
        <f t="shared" si="8"/>
        <v>504269.8</v>
      </c>
      <c r="AC16" s="233">
        <f t="shared" si="9"/>
        <v>504269.8</v>
      </c>
      <c r="AD16" s="238">
        <f t="shared" si="10"/>
        <v>504269.8</v>
      </c>
      <c r="AE16" s="238">
        <f t="shared" si="11"/>
        <v>504269.8</v>
      </c>
      <c r="AF16" s="238">
        <f t="shared" si="12"/>
        <v>16136633.600000003</v>
      </c>
      <c r="AG16" s="206">
        <f t="shared" si="13"/>
        <v>1986</v>
      </c>
      <c r="AH16" s="210">
        <f t="shared" si="14"/>
        <v>9076866.3999999966</v>
      </c>
    </row>
    <row r="17" spans="1:34" s="48" customFormat="1" ht="40.5" hidden="1" customHeight="1" x14ac:dyDescent="0.2">
      <c r="A17" s="296"/>
      <c r="B17" s="48" t="s">
        <v>465</v>
      </c>
      <c r="C17" s="772"/>
      <c r="D17" s="73"/>
      <c r="E17" s="65" t="s">
        <v>465</v>
      </c>
      <c r="F17" s="67" t="s">
        <v>1752</v>
      </c>
      <c r="G17" s="67"/>
      <c r="H17" s="33"/>
      <c r="I17" s="40"/>
      <c r="J17" s="40"/>
      <c r="K17" s="40"/>
      <c r="L17" s="65" t="s">
        <v>464</v>
      </c>
      <c r="M17" s="40">
        <v>1986</v>
      </c>
      <c r="N17" s="40"/>
      <c r="O17" s="32">
        <v>63</v>
      </c>
      <c r="P17" s="32" t="s">
        <v>430</v>
      </c>
      <c r="Q17" s="40"/>
      <c r="R17" s="32" t="s">
        <v>433</v>
      </c>
      <c r="S17" s="252">
        <v>52948350</v>
      </c>
      <c r="T17" s="61"/>
      <c r="U17" s="206" t="str">
        <f t="shared" si="1"/>
        <v>03.11.01</v>
      </c>
      <c r="V17" s="207" t="str">
        <f t="shared" si="2"/>
        <v>Bangunan Gedung Tempat Kerja</v>
      </c>
      <c r="W17" s="207">
        <f t="shared" si="3"/>
        <v>50</v>
      </c>
      <c r="X17" s="233">
        <f t="shared" si="4"/>
        <v>1058966.8</v>
      </c>
      <c r="Y17" s="714">
        <f t="shared" si="5"/>
        <v>27</v>
      </c>
      <c r="Z17" s="233">
        <f t="shared" si="6"/>
        <v>28592103.600000001</v>
      </c>
      <c r="AA17" s="233">
        <f t="shared" si="7"/>
        <v>1058966.8</v>
      </c>
      <c r="AB17" s="233">
        <f t="shared" si="8"/>
        <v>1058966.8</v>
      </c>
      <c r="AC17" s="233">
        <f t="shared" si="9"/>
        <v>1058966.8</v>
      </c>
      <c r="AD17" s="238">
        <f t="shared" si="10"/>
        <v>1058966.8</v>
      </c>
      <c r="AE17" s="238">
        <f t="shared" si="11"/>
        <v>1058966.8</v>
      </c>
      <c r="AF17" s="238">
        <f t="shared" si="12"/>
        <v>33886937.600000001</v>
      </c>
      <c r="AG17" s="206">
        <f t="shared" si="13"/>
        <v>1986</v>
      </c>
      <c r="AH17" s="210">
        <f t="shared" si="14"/>
        <v>19061412.399999999</v>
      </c>
    </row>
    <row r="18" spans="1:34" s="48" customFormat="1" ht="40.5" hidden="1" customHeight="1" x14ac:dyDescent="0.2">
      <c r="A18" s="296"/>
      <c r="B18" s="48" t="s">
        <v>463</v>
      </c>
      <c r="C18" s="772"/>
      <c r="D18" s="73"/>
      <c r="E18" s="65" t="s">
        <v>463</v>
      </c>
      <c r="F18" s="67" t="s">
        <v>2832</v>
      </c>
      <c r="G18" s="67"/>
      <c r="H18" s="33" t="s">
        <v>43</v>
      </c>
      <c r="I18" s="40"/>
      <c r="J18" s="40"/>
      <c r="K18" s="40"/>
      <c r="L18" s="65" t="s">
        <v>20</v>
      </c>
      <c r="M18" s="40">
        <v>1999</v>
      </c>
      <c r="N18" s="40"/>
      <c r="O18" s="32">
        <v>152</v>
      </c>
      <c r="P18" s="32" t="s">
        <v>11</v>
      </c>
      <c r="Q18" s="40"/>
      <c r="R18" s="32" t="s">
        <v>12</v>
      </c>
      <c r="S18" s="252">
        <v>127748400</v>
      </c>
      <c r="T18" s="61"/>
      <c r="U18" s="206" t="str">
        <f t="shared" si="1"/>
        <v>03.11.02</v>
      </c>
      <c r="V18" s="207" t="str">
        <f t="shared" si="2"/>
        <v>Bangunan Gedung Tempat Tinggal</v>
      </c>
      <c r="W18" s="207">
        <f t="shared" si="3"/>
        <v>50</v>
      </c>
      <c r="X18" s="233">
        <f t="shared" si="4"/>
        <v>2554967.7999999998</v>
      </c>
      <c r="Y18" s="714">
        <f t="shared" si="5"/>
        <v>14</v>
      </c>
      <c r="Z18" s="233">
        <f t="shared" si="6"/>
        <v>35769549.199999996</v>
      </c>
      <c r="AA18" s="233">
        <f t="shared" si="7"/>
        <v>2554967.7999999998</v>
      </c>
      <c r="AB18" s="233">
        <f t="shared" si="8"/>
        <v>2554967.7999999998</v>
      </c>
      <c r="AC18" s="233">
        <f t="shared" si="9"/>
        <v>2554967.7999999998</v>
      </c>
      <c r="AD18" s="238">
        <f t="shared" si="10"/>
        <v>2554967.7999999998</v>
      </c>
      <c r="AE18" s="238">
        <f t="shared" si="11"/>
        <v>2554967.7999999998</v>
      </c>
      <c r="AF18" s="238">
        <f t="shared" si="12"/>
        <v>48544388.199999981</v>
      </c>
      <c r="AG18" s="206">
        <f t="shared" si="13"/>
        <v>1999</v>
      </c>
      <c r="AH18" s="210">
        <f t="shared" si="14"/>
        <v>79204011.800000012</v>
      </c>
    </row>
    <row r="19" spans="1:34" s="48" customFormat="1" ht="40.5" hidden="1" customHeight="1" x14ac:dyDescent="0.2">
      <c r="A19" s="296"/>
      <c r="B19" s="48" t="s">
        <v>461</v>
      </c>
      <c r="C19" s="772"/>
      <c r="D19" s="73"/>
      <c r="E19" s="65" t="s">
        <v>461</v>
      </c>
      <c r="F19" s="67" t="s">
        <v>1752</v>
      </c>
      <c r="G19" s="67"/>
      <c r="H19" s="33" t="s">
        <v>43</v>
      </c>
      <c r="I19" s="40"/>
      <c r="J19" s="40"/>
      <c r="K19" s="40"/>
      <c r="L19" s="65" t="s">
        <v>10</v>
      </c>
      <c r="M19" s="40">
        <v>2000</v>
      </c>
      <c r="N19" s="40"/>
      <c r="O19" s="32">
        <v>192</v>
      </c>
      <c r="P19" s="32" t="s">
        <v>11</v>
      </c>
      <c r="Q19" s="40"/>
      <c r="R19" s="32" t="s">
        <v>12</v>
      </c>
      <c r="S19" s="252">
        <v>186192000</v>
      </c>
      <c r="T19" s="61"/>
      <c r="U19" s="206" t="str">
        <f t="shared" si="1"/>
        <v>03.11.01</v>
      </c>
      <c r="V19" s="207" t="str">
        <f t="shared" si="2"/>
        <v>Bangunan Gedung Tempat Kerja</v>
      </c>
      <c r="W19" s="207">
        <f t="shared" si="3"/>
        <v>50</v>
      </c>
      <c r="X19" s="233">
        <f t="shared" si="4"/>
        <v>3723839.8</v>
      </c>
      <c r="Y19" s="714">
        <f t="shared" si="5"/>
        <v>13</v>
      </c>
      <c r="Z19" s="233">
        <f t="shared" si="6"/>
        <v>48409917.399999999</v>
      </c>
      <c r="AA19" s="233">
        <f t="shared" si="7"/>
        <v>3723839.8</v>
      </c>
      <c r="AB19" s="233">
        <f t="shared" si="8"/>
        <v>3723839.8</v>
      </c>
      <c r="AC19" s="233">
        <f t="shared" si="9"/>
        <v>3723839.8</v>
      </c>
      <c r="AD19" s="238">
        <f t="shared" si="10"/>
        <v>3723839.8</v>
      </c>
      <c r="AE19" s="238">
        <f t="shared" si="11"/>
        <v>3723839.8</v>
      </c>
      <c r="AF19" s="238">
        <f t="shared" si="12"/>
        <v>67029116.399999984</v>
      </c>
      <c r="AG19" s="206">
        <f t="shared" si="13"/>
        <v>2000</v>
      </c>
      <c r="AH19" s="210">
        <f t="shared" si="14"/>
        <v>119162883.60000002</v>
      </c>
    </row>
    <row r="20" spans="1:34" s="48" customFormat="1" ht="40.5" hidden="1" customHeight="1" x14ac:dyDescent="0.2">
      <c r="A20" s="296"/>
      <c r="B20" s="48" t="s">
        <v>4234</v>
      </c>
      <c r="C20" s="772"/>
      <c r="D20" s="73"/>
      <c r="E20" s="65" t="s">
        <v>460</v>
      </c>
      <c r="F20" s="67" t="s">
        <v>1752</v>
      </c>
      <c r="G20" s="67"/>
      <c r="H20" s="33" t="s">
        <v>43</v>
      </c>
      <c r="I20" s="40"/>
      <c r="J20" s="40"/>
      <c r="K20" s="40"/>
      <c r="L20" s="65" t="s">
        <v>10</v>
      </c>
      <c r="M20" s="40">
        <v>2000</v>
      </c>
      <c r="N20" s="40"/>
      <c r="O20" s="32">
        <v>80</v>
      </c>
      <c r="P20" s="32" t="s">
        <v>11</v>
      </c>
      <c r="Q20" s="40"/>
      <c r="R20" s="32" t="s">
        <v>12</v>
      </c>
      <c r="S20" s="252">
        <v>77580000</v>
      </c>
      <c r="T20" s="61"/>
      <c r="U20" s="206" t="str">
        <f t="shared" si="1"/>
        <v>03.11.01</v>
      </c>
      <c r="V20" s="207" t="str">
        <f t="shared" si="2"/>
        <v>Bangunan Gedung Tempat Kerja</v>
      </c>
      <c r="W20" s="207">
        <f t="shared" si="3"/>
        <v>50</v>
      </c>
      <c r="X20" s="233">
        <f t="shared" si="4"/>
        <v>1551599.8</v>
      </c>
      <c r="Y20" s="714">
        <f t="shared" si="5"/>
        <v>13</v>
      </c>
      <c r="Z20" s="233">
        <f t="shared" si="6"/>
        <v>20170797.400000002</v>
      </c>
      <c r="AA20" s="233">
        <f t="shared" si="7"/>
        <v>1551599.8</v>
      </c>
      <c r="AB20" s="233">
        <f t="shared" si="8"/>
        <v>1551599.8</v>
      </c>
      <c r="AC20" s="233">
        <f t="shared" si="9"/>
        <v>1551599.8</v>
      </c>
      <c r="AD20" s="238">
        <f t="shared" si="10"/>
        <v>1551599.8</v>
      </c>
      <c r="AE20" s="238">
        <f t="shared" si="11"/>
        <v>1551599.8</v>
      </c>
      <c r="AF20" s="238">
        <f t="shared" si="12"/>
        <v>27928796.400000006</v>
      </c>
      <c r="AG20" s="206">
        <f t="shared" si="13"/>
        <v>2000</v>
      </c>
      <c r="AH20" s="210">
        <f t="shared" si="14"/>
        <v>49651203.599999994</v>
      </c>
    </row>
    <row r="21" spans="1:34" s="48" customFormat="1" ht="40.5" hidden="1" customHeight="1" x14ac:dyDescent="0.2">
      <c r="A21" s="296"/>
      <c r="B21" s="48" t="s">
        <v>4235</v>
      </c>
      <c r="C21" s="772"/>
      <c r="D21" s="73"/>
      <c r="E21" s="65" t="s">
        <v>459</v>
      </c>
      <c r="F21" s="67" t="s">
        <v>1752</v>
      </c>
      <c r="G21" s="67"/>
      <c r="H21" s="33" t="s">
        <v>43</v>
      </c>
      <c r="I21" s="40"/>
      <c r="J21" s="40"/>
      <c r="K21" s="40"/>
      <c r="L21" s="65" t="s">
        <v>10</v>
      </c>
      <c r="M21" s="40">
        <v>2000</v>
      </c>
      <c r="N21" s="40"/>
      <c r="O21" s="32">
        <v>48</v>
      </c>
      <c r="P21" s="32" t="s">
        <v>11</v>
      </c>
      <c r="Q21" s="40"/>
      <c r="R21" s="32" t="s">
        <v>12</v>
      </c>
      <c r="S21" s="252">
        <v>14760000</v>
      </c>
      <c r="T21" s="61"/>
      <c r="U21" s="206" t="str">
        <f t="shared" si="1"/>
        <v>03.11.01</v>
      </c>
      <c r="V21" s="207" t="str">
        <f t="shared" si="2"/>
        <v>Bangunan Gedung Tempat Kerja</v>
      </c>
      <c r="W21" s="207">
        <f t="shared" si="3"/>
        <v>50</v>
      </c>
      <c r="X21" s="233">
        <f t="shared" si="4"/>
        <v>295199.8</v>
      </c>
      <c r="Y21" s="714">
        <f t="shared" si="5"/>
        <v>13</v>
      </c>
      <c r="Z21" s="233">
        <f t="shared" si="6"/>
        <v>3837597.4</v>
      </c>
      <c r="AA21" s="233">
        <f t="shared" si="7"/>
        <v>295199.8</v>
      </c>
      <c r="AB21" s="233">
        <f t="shared" si="8"/>
        <v>295199.8</v>
      </c>
      <c r="AC21" s="233">
        <f t="shared" si="9"/>
        <v>295199.8</v>
      </c>
      <c r="AD21" s="238">
        <f t="shared" si="10"/>
        <v>295199.8</v>
      </c>
      <c r="AE21" s="238">
        <f t="shared" si="11"/>
        <v>295199.8</v>
      </c>
      <c r="AF21" s="238">
        <f t="shared" si="12"/>
        <v>5313596.3999999994</v>
      </c>
      <c r="AG21" s="206">
        <f t="shared" si="13"/>
        <v>2000</v>
      </c>
      <c r="AH21" s="210">
        <f t="shared" si="14"/>
        <v>9446403.6000000015</v>
      </c>
    </row>
    <row r="22" spans="1:34" s="670" customFormat="1" ht="40.5" hidden="1" customHeight="1" x14ac:dyDescent="0.2">
      <c r="A22" s="669">
        <v>1</v>
      </c>
      <c r="B22" s="670" t="s">
        <v>4216</v>
      </c>
      <c r="C22" s="773" t="s">
        <v>4247</v>
      </c>
      <c r="D22" s="652"/>
      <c r="E22" s="671" t="s">
        <v>457</v>
      </c>
      <c r="F22" s="653" t="s">
        <v>1752</v>
      </c>
      <c r="G22" s="653"/>
      <c r="H22" s="673" t="s">
        <v>43</v>
      </c>
      <c r="I22" s="674"/>
      <c r="J22" s="674"/>
      <c r="K22" s="674"/>
      <c r="L22" s="671" t="s">
        <v>456</v>
      </c>
      <c r="M22" s="674">
        <v>2000</v>
      </c>
      <c r="N22" s="674"/>
      <c r="O22" s="675">
        <v>499.5</v>
      </c>
      <c r="P22" s="675" t="s">
        <v>11</v>
      </c>
      <c r="Q22" s="674"/>
      <c r="R22" s="675" t="s">
        <v>12</v>
      </c>
      <c r="S22" s="654">
        <f>811188000</f>
        <v>811188000</v>
      </c>
      <c r="T22" s="676"/>
      <c r="U22" s="206" t="str">
        <f t="shared" si="1"/>
        <v>03.11.01</v>
      </c>
      <c r="V22" s="207" t="str">
        <f t="shared" si="2"/>
        <v>Bangunan Gedung Tempat Kerja</v>
      </c>
      <c r="W22" s="207">
        <f t="shared" si="3"/>
        <v>50</v>
      </c>
      <c r="X22" s="233">
        <f t="shared" si="4"/>
        <v>16223759.800000001</v>
      </c>
      <c r="Y22" s="714">
        <f t="shared" si="5"/>
        <v>13</v>
      </c>
      <c r="Z22" s="233">
        <f t="shared" si="6"/>
        <v>210908877.40000001</v>
      </c>
      <c r="AA22" s="233">
        <f t="shared" si="7"/>
        <v>16223759.800000001</v>
      </c>
      <c r="AB22" s="233">
        <f t="shared" si="8"/>
        <v>16223759.800000001</v>
      </c>
      <c r="AC22" s="233">
        <f t="shared" si="9"/>
        <v>16223759.800000001</v>
      </c>
      <c r="AD22" s="238">
        <f t="shared" si="10"/>
        <v>16223759.800000001</v>
      </c>
      <c r="AE22" s="238">
        <f t="shared" si="11"/>
        <v>16223759.800000001</v>
      </c>
      <c r="AF22" s="238">
        <f t="shared" si="12"/>
        <v>292027676.40000004</v>
      </c>
      <c r="AG22" s="206">
        <f t="shared" si="13"/>
        <v>2000</v>
      </c>
      <c r="AH22" s="210">
        <f t="shared" si="14"/>
        <v>519160323.59999996</v>
      </c>
    </row>
    <row r="23" spans="1:34" s="48" customFormat="1" ht="40.5" hidden="1" customHeight="1" x14ac:dyDescent="0.2">
      <c r="A23" s="296">
        <v>1</v>
      </c>
      <c r="B23" s="48" t="s">
        <v>4216</v>
      </c>
      <c r="C23" s="772" t="s">
        <v>4247</v>
      </c>
      <c r="D23" s="73"/>
      <c r="E23" s="65" t="s">
        <v>1074</v>
      </c>
      <c r="F23" s="67" t="s">
        <v>1752</v>
      </c>
      <c r="G23" s="67"/>
      <c r="H23" s="33" t="s">
        <v>43</v>
      </c>
      <c r="I23" s="40"/>
      <c r="J23" s="40"/>
      <c r="K23" s="40"/>
      <c r="L23" s="72" t="s">
        <v>52</v>
      </c>
      <c r="M23" s="40">
        <v>2012</v>
      </c>
      <c r="N23" s="40"/>
      <c r="O23" s="32"/>
      <c r="P23" s="33"/>
      <c r="Q23" s="40"/>
      <c r="R23" s="32" t="s">
        <v>12</v>
      </c>
      <c r="S23" s="252">
        <v>19496000</v>
      </c>
      <c r="T23" s="61"/>
      <c r="U23" s="206" t="str">
        <f t="shared" si="1"/>
        <v>03.11.01</v>
      </c>
      <c r="V23" s="207" t="str">
        <f t="shared" si="2"/>
        <v>Bangunan Gedung Tempat Kerja</v>
      </c>
      <c r="W23" s="207">
        <f t="shared" si="3"/>
        <v>50</v>
      </c>
      <c r="X23" s="233">
        <f t="shared" si="4"/>
        <v>389919.8</v>
      </c>
      <c r="Y23" s="714">
        <f t="shared" si="5"/>
        <v>1</v>
      </c>
      <c r="Z23" s="233">
        <f t="shared" si="6"/>
        <v>389919.8</v>
      </c>
      <c r="AA23" s="233">
        <f t="shared" si="7"/>
        <v>389919.8</v>
      </c>
      <c r="AB23" s="233">
        <f t="shared" si="8"/>
        <v>389919.8</v>
      </c>
      <c r="AC23" s="233">
        <f t="shared" si="9"/>
        <v>389919.8</v>
      </c>
      <c r="AD23" s="238">
        <f t="shared" si="10"/>
        <v>389919.8</v>
      </c>
      <c r="AE23" s="238">
        <f t="shared" si="11"/>
        <v>389919.8</v>
      </c>
      <c r="AF23" s="238">
        <f t="shared" si="12"/>
        <v>2339518.7999999998</v>
      </c>
      <c r="AG23" s="206">
        <f t="shared" si="13"/>
        <v>2012</v>
      </c>
      <c r="AH23" s="210">
        <f t="shared" si="14"/>
        <v>17156481.199999999</v>
      </c>
    </row>
    <row r="24" spans="1:34" s="48" customFormat="1" ht="40.5" hidden="1" customHeight="1" x14ac:dyDescent="0.2">
      <c r="A24" s="296">
        <v>1</v>
      </c>
      <c r="B24" s="48" t="s">
        <v>4216</v>
      </c>
      <c r="C24" s="772" t="s">
        <v>4247</v>
      </c>
      <c r="D24" s="73"/>
      <c r="E24" s="65" t="s">
        <v>419</v>
      </c>
      <c r="F24" s="67" t="s">
        <v>1752</v>
      </c>
      <c r="G24" s="67"/>
      <c r="H24" s="33"/>
      <c r="I24" s="40"/>
      <c r="J24" s="40"/>
      <c r="K24" s="40"/>
      <c r="L24" s="72" t="s">
        <v>52</v>
      </c>
      <c r="M24" s="40">
        <v>2013</v>
      </c>
      <c r="N24" s="40"/>
      <c r="O24" s="32"/>
      <c r="P24" s="33"/>
      <c r="Q24" s="40"/>
      <c r="R24" s="32" t="s">
        <v>12</v>
      </c>
      <c r="S24" s="252">
        <v>90096487.466336727</v>
      </c>
      <c r="T24" s="105" t="s">
        <v>418</v>
      </c>
      <c r="U24" s="206" t="str">
        <f t="shared" si="1"/>
        <v>03.11.01</v>
      </c>
      <c r="V24" s="207" t="str">
        <f t="shared" si="2"/>
        <v>Bangunan Gedung Tempat Kerja</v>
      </c>
      <c r="W24" s="207">
        <f t="shared" si="3"/>
        <v>50</v>
      </c>
      <c r="X24" s="233">
        <f t="shared" si="4"/>
        <v>1801929.5493267346</v>
      </c>
      <c r="Y24" s="714">
        <f t="shared" si="5"/>
        <v>0</v>
      </c>
      <c r="Z24" s="233">
        <f t="shared" si="6"/>
        <v>0</v>
      </c>
      <c r="AA24" s="233">
        <f t="shared" si="7"/>
        <v>1801929.5493267346</v>
      </c>
      <c r="AB24" s="233">
        <f t="shared" si="8"/>
        <v>1801929.5493267346</v>
      </c>
      <c r="AC24" s="233">
        <f t="shared" si="9"/>
        <v>1801929.5493267346</v>
      </c>
      <c r="AD24" s="238">
        <f t="shared" si="10"/>
        <v>1801929.5493267346</v>
      </c>
      <c r="AE24" s="238">
        <f t="shared" si="11"/>
        <v>1801929.5493267346</v>
      </c>
      <c r="AF24" s="238">
        <f t="shared" si="12"/>
        <v>9009647.7466336731</v>
      </c>
      <c r="AG24" s="206">
        <f t="shared" si="13"/>
        <v>2013</v>
      </c>
      <c r="AH24" s="210">
        <f t="shared" si="14"/>
        <v>81086839.719703048</v>
      </c>
    </row>
    <row r="25" spans="1:34" s="48" customFormat="1" ht="40.5" hidden="1" customHeight="1" x14ac:dyDescent="0.2">
      <c r="A25" s="296">
        <v>1</v>
      </c>
      <c r="B25" s="48" t="s">
        <v>4216</v>
      </c>
      <c r="C25" s="772" t="s">
        <v>4247</v>
      </c>
      <c r="D25" s="73"/>
      <c r="E25" s="65" t="s">
        <v>1077</v>
      </c>
      <c r="F25" s="67" t="s">
        <v>1752</v>
      </c>
      <c r="G25" s="67"/>
      <c r="H25" s="33"/>
      <c r="I25" s="40"/>
      <c r="J25" s="40"/>
      <c r="K25" s="40"/>
      <c r="L25" s="72" t="s">
        <v>1099</v>
      </c>
      <c r="M25" s="40">
        <v>2014</v>
      </c>
      <c r="N25" s="40"/>
      <c r="O25" s="32"/>
      <c r="P25" s="33"/>
      <c r="Q25" s="40"/>
      <c r="R25" s="32" t="s">
        <v>12</v>
      </c>
      <c r="S25" s="252">
        <v>149601000</v>
      </c>
      <c r="T25" s="105"/>
      <c r="U25" s="206" t="str">
        <f t="shared" si="1"/>
        <v>03.11.01</v>
      </c>
      <c r="V25" s="207" t="str">
        <f t="shared" si="2"/>
        <v>Bangunan Gedung Tempat Kerja</v>
      </c>
      <c r="W25" s="207">
        <f t="shared" si="3"/>
        <v>50</v>
      </c>
      <c r="X25" s="233">
        <f t="shared" si="4"/>
        <v>2992019.8</v>
      </c>
      <c r="Y25" s="714">
        <f t="shared" si="5"/>
        <v>0</v>
      </c>
      <c r="Z25" s="233">
        <f t="shared" si="6"/>
        <v>0</v>
      </c>
      <c r="AA25" s="233">
        <f t="shared" si="7"/>
        <v>2992019.8</v>
      </c>
      <c r="AB25" s="233">
        <f t="shared" si="8"/>
        <v>2992019.8</v>
      </c>
      <c r="AC25" s="233">
        <f t="shared" si="9"/>
        <v>2992019.8</v>
      </c>
      <c r="AD25" s="238">
        <f t="shared" si="10"/>
        <v>2992019.8</v>
      </c>
      <c r="AE25" s="238">
        <f t="shared" si="11"/>
        <v>2992019.8</v>
      </c>
      <c r="AF25" s="238">
        <f t="shared" si="12"/>
        <v>14960099</v>
      </c>
      <c r="AG25" s="206">
        <f t="shared" si="13"/>
        <v>2014</v>
      </c>
      <c r="AH25" s="210">
        <f t="shared" si="14"/>
        <v>134640901</v>
      </c>
    </row>
    <row r="26" spans="1:34" s="48" customFormat="1" ht="40.5" hidden="1" customHeight="1" x14ac:dyDescent="0.2">
      <c r="A26" s="296">
        <v>1</v>
      </c>
      <c r="B26" s="48" t="s">
        <v>4216</v>
      </c>
      <c r="C26" s="772" t="s">
        <v>4247</v>
      </c>
      <c r="D26" s="73"/>
      <c r="E26" s="333" t="s">
        <v>3027</v>
      </c>
      <c r="F26" s="67" t="s">
        <v>1752</v>
      </c>
      <c r="G26" s="67"/>
      <c r="H26" s="33"/>
      <c r="I26" s="40"/>
      <c r="J26" s="40"/>
      <c r="K26" s="40"/>
      <c r="L26" s="72" t="s">
        <v>2966</v>
      </c>
      <c r="M26" s="40">
        <v>2017</v>
      </c>
      <c r="N26" s="40"/>
      <c r="O26" s="32"/>
      <c r="P26" s="33"/>
      <c r="Q26" s="40"/>
      <c r="R26" s="32"/>
      <c r="S26" s="252">
        <v>74799000</v>
      </c>
      <c r="T26" s="105"/>
      <c r="U26" s="206" t="str">
        <f t="shared" si="1"/>
        <v>03.11.01</v>
      </c>
      <c r="V26" s="207" t="str">
        <f t="shared" si="2"/>
        <v>Bangunan Gedung Tempat Kerja</v>
      </c>
      <c r="W26" s="207">
        <f t="shared" si="3"/>
        <v>50</v>
      </c>
      <c r="X26" s="233">
        <f t="shared" si="4"/>
        <v>1495979.8</v>
      </c>
      <c r="Y26" s="714">
        <f t="shared" si="5"/>
        <v>0</v>
      </c>
      <c r="Z26" s="233">
        <f t="shared" si="6"/>
        <v>0</v>
      </c>
      <c r="AA26" s="233"/>
      <c r="AB26" s="233"/>
      <c r="AC26" s="233"/>
      <c r="AD26" s="238"/>
      <c r="AE26" s="238">
        <f t="shared" si="11"/>
        <v>1495979.8</v>
      </c>
      <c r="AF26" s="238">
        <f t="shared" si="12"/>
        <v>1495979.8</v>
      </c>
      <c r="AG26" s="206">
        <f t="shared" si="13"/>
        <v>2017</v>
      </c>
      <c r="AH26" s="210">
        <f t="shared" si="14"/>
        <v>73303020.200000003</v>
      </c>
    </row>
    <row r="27" spans="1:34" s="48" customFormat="1" ht="40.5" hidden="1" customHeight="1" x14ac:dyDescent="0.2">
      <c r="A27" s="296">
        <v>1</v>
      </c>
      <c r="B27" s="48" t="s">
        <v>4216</v>
      </c>
      <c r="C27" s="772" t="s">
        <v>4247</v>
      </c>
      <c r="D27" s="73"/>
      <c r="E27" s="333" t="s">
        <v>3028</v>
      </c>
      <c r="F27" s="67" t="s">
        <v>1752</v>
      </c>
      <c r="G27" s="67"/>
      <c r="H27" s="33"/>
      <c r="I27" s="40"/>
      <c r="J27" s="40"/>
      <c r="K27" s="40"/>
      <c r="L27" s="72" t="s">
        <v>2966</v>
      </c>
      <c r="M27" s="40">
        <v>2017</v>
      </c>
      <c r="N27" s="40"/>
      <c r="O27" s="32"/>
      <c r="P27" s="33"/>
      <c r="Q27" s="40"/>
      <c r="R27" s="32"/>
      <c r="S27" s="252">
        <v>147594000</v>
      </c>
      <c r="T27" s="105"/>
      <c r="U27" s="206" t="str">
        <f t="shared" si="1"/>
        <v>03.11.01</v>
      </c>
      <c r="V27" s="207" t="str">
        <f t="shared" si="2"/>
        <v>Bangunan Gedung Tempat Kerja</v>
      </c>
      <c r="W27" s="207">
        <f t="shared" si="3"/>
        <v>50</v>
      </c>
      <c r="X27" s="233">
        <f t="shared" si="4"/>
        <v>2951879.8</v>
      </c>
      <c r="Y27" s="714">
        <f t="shared" si="5"/>
        <v>0</v>
      </c>
      <c r="Z27" s="233">
        <f t="shared" si="6"/>
        <v>0</v>
      </c>
      <c r="AA27" s="233"/>
      <c r="AB27" s="233"/>
      <c r="AC27" s="233"/>
      <c r="AD27" s="238"/>
      <c r="AE27" s="238">
        <f t="shared" si="11"/>
        <v>2951879.8</v>
      </c>
      <c r="AF27" s="238">
        <f t="shared" si="12"/>
        <v>2951879.8</v>
      </c>
      <c r="AG27" s="206">
        <f t="shared" si="13"/>
        <v>2017</v>
      </c>
      <c r="AH27" s="210">
        <f t="shared" si="14"/>
        <v>144642120.19999999</v>
      </c>
    </row>
    <row r="28" spans="1:34" s="48" customFormat="1" ht="40.5" hidden="1" customHeight="1" x14ac:dyDescent="0.2">
      <c r="A28" s="296"/>
      <c r="B28" s="48" t="s">
        <v>4236</v>
      </c>
      <c r="C28" s="772"/>
      <c r="D28" s="73"/>
      <c r="E28" s="65" t="s">
        <v>455</v>
      </c>
      <c r="F28" s="67" t="s">
        <v>2833</v>
      </c>
      <c r="G28" s="67"/>
      <c r="H28" s="33" t="s">
        <v>43</v>
      </c>
      <c r="I28" s="40"/>
      <c r="J28" s="40"/>
      <c r="K28" s="40"/>
      <c r="L28" s="65" t="s">
        <v>10</v>
      </c>
      <c r="M28" s="40">
        <v>2000</v>
      </c>
      <c r="N28" s="40"/>
      <c r="O28" s="32">
        <v>36</v>
      </c>
      <c r="P28" s="32" t="s">
        <v>11</v>
      </c>
      <c r="Q28" s="40"/>
      <c r="R28" s="32" t="s">
        <v>12</v>
      </c>
      <c r="S28" s="252">
        <v>35370000</v>
      </c>
      <c r="T28" s="61"/>
      <c r="U28" s="206" t="str">
        <f t="shared" si="1"/>
        <v>03.11.02</v>
      </c>
      <c r="V28" s="207" t="str">
        <f t="shared" si="2"/>
        <v>Bangunan Gedung Tempat Tinggal</v>
      </c>
      <c r="W28" s="207">
        <f t="shared" si="3"/>
        <v>50</v>
      </c>
      <c r="X28" s="233">
        <f t="shared" si="4"/>
        <v>707399.8</v>
      </c>
      <c r="Y28" s="714">
        <f t="shared" si="5"/>
        <v>13</v>
      </c>
      <c r="Z28" s="233">
        <f t="shared" si="6"/>
        <v>9196197.4000000004</v>
      </c>
      <c r="AA28" s="233">
        <f t="shared" si="7"/>
        <v>707399.8</v>
      </c>
      <c r="AB28" s="233">
        <f t="shared" si="8"/>
        <v>707399.8</v>
      </c>
      <c r="AC28" s="233">
        <f t="shared" si="9"/>
        <v>707399.8</v>
      </c>
      <c r="AD28" s="238">
        <f t="shared" si="10"/>
        <v>707399.8</v>
      </c>
      <c r="AE28" s="238">
        <f t="shared" si="11"/>
        <v>707399.8</v>
      </c>
      <c r="AF28" s="238">
        <f t="shared" si="12"/>
        <v>12733196.400000004</v>
      </c>
      <c r="AG28" s="206">
        <f t="shared" si="13"/>
        <v>2000</v>
      </c>
      <c r="AH28" s="210">
        <f t="shared" si="14"/>
        <v>22636803.599999994</v>
      </c>
    </row>
    <row r="29" spans="1:34" s="48" customFormat="1" ht="40.5" hidden="1" customHeight="1" x14ac:dyDescent="0.2">
      <c r="A29" s="296"/>
      <c r="B29" s="48" t="s">
        <v>4237</v>
      </c>
      <c r="C29" s="772"/>
      <c r="D29" s="73"/>
      <c r="E29" s="65" t="s">
        <v>453</v>
      </c>
      <c r="F29" s="67" t="s">
        <v>2613</v>
      </c>
      <c r="G29" s="67"/>
      <c r="H29" s="33" t="s">
        <v>43</v>
      </c>
      <c r="I29" s="40"/>
      <c r="J29" s="40"/>
      <c r="K29" s="40"/>
      <c r="L29" s="65" t="s">
        <v>10</v>
      </c>
      <c r="M29" s="40">
        <v>2000</v>
      </c>
      <c r="N29" s="40"/>
      <c r="O29" s="32">
        <v>36</v>
      </c>
      <c r="P29" s="32" t="s">
        <v>11</v>
      </c>
      <c r="Q29" s="40"/>
      <c r="R29" s="32" t="s">
        <v>12</v>
      </c>
      <c r="S29" s="252">
        <v>35370000</v>
      </c>
      <c r="T29" s="61"/>
      <c r="U29" s="206" t="str">
        <f t="shared" si="1"/>
        <v>03.11.01</v>
      </c>
      <c r="V29" s="207" t="str">
        <f t="shared" si="2"/>
        <v>Bangunan Gedung Tempat Kerja</v>
      </c>
      <c r="W29" s="207">
        <f t="shared" si="3"/>
        <v>50</v>
      </c>
      <c r="X29" s="233">
        <f t="shared" si="4"/>
        <v>707399.8</v>
      </c>
      <c r="Y29" s="714">
        <f t="shared" si="5"/>
        <v>13</v>
      </c>
      <c r="Z29" s="233">
        <f t="shared" si="6"/>
        <v>9196197.4000000004</v>
      </c>
      <c r="AA29" s="233">
        <f t="shared" si="7"/>
        <v>707399.8</v>
      </c>
      <c r="AB29" s="233">
        <f t="shared" si="8"/>
        <v>707399.8</v>
      </c>
      <c r="AC29" s="233">
        <f t="shared" si="9"/>
        <v>707399.8</v>
      </c>
      <c r="AD29" s="238">
        <f t="shared" si="10"/>
        <v>707399.8</v>
      </c>
      <c r="AE29" s="238">
        <f t="shared" si="11"/>
        <v>707399.8</v>
      </c>
      <c r="AF29" s="238">
        <f t="shared" si="12"/>
        <v>12733196.400000004</v>
      </c>
      <c r="AG29" s="206">
        <f t="shared" si="13"/>
        <v>2000</v>
      </c>
      <c r="AH29" s="210">
        <f t="shared" si="14"/>
        <v>22636803.599999994</v>
      </c>
    </row>
    <row r="30" spans="1:34" s="48" customFormat="1" ht="40.5" hidden="1" customHeight="1" x14ac:dyDescent="0.2">
      <c r="A30" s="296"/>
      <c r="B30" s="48" t="s">
        <v>4238</v>
      </c>
      <c r="C30" s="772"/>
      <c r="D30" s="73"/>
      <c r="E30" s="65" t="s">
        <v>451</v>
      </c>
      <c r="F30" s="67" t="s">
        <v>2834</v>
      </c>
      <c r="G30" s="67"/>
      <c r="H30" s="33" t="s">
        <v>43</v>
      </c>
      <c r="I30" s="40"/>
      <c r="J30" s="40"/>
      <c r="K30" s="40"/>
      <c r="L30" s="65" t="s">
        <v>10</v>
      </c>
      <c r="M30" s="40">
        <v>2000</v>
      </c>
      <c r="N30" s="40"/>
      <c r="O30" s="32">
        <v>18</v>
      </c>
      <c r="P30" s="32" t="s">
        <v>11</v>
      </c>
      <c r="Q30" s="40"/>
      <c r="R30" s="32" t="s">
        <v>12</v>
      </c>
      <c r="S30" s="252">
        <v>17685000</v>
      </c>
      <c r="T30" s="61"/>
      <c r="U30" s="206" t="str">
        <f t="shared" si="1"/>
        <v>03.11.02</v>
      </c>
      <c r="V30" s="207" t="str">
        <f t="shared" si="2"/>
        <v>Bangunan Gedung Tempat Tinggal</v>
      </c>
      <c r="W30" s="207">
        <f t="shared" si="3"/>
        <v>50</v>
      </c>
      <c r="X30" s="233">
        <f t="shared" si="4"/>
        <v>353699.8</v>
      </c>
      <c r="Y30" s="714">
        <f t="shared" si="5"/>
        <v>13</v>
      </c>
      <c r="Z30" s="233">
        <f t="shared" si="6"/>
        <v>4598097.3999999994</v>
      </c>
      <c r="AA30" s="233">
        <f t="shared" si="7"/>
        <v>353699.8</v>
      </c>
      <c r="AB30" s="233">
        <f t="shared" si="8"/>
        <v>353699.8</v>
      </c>
      <c r="AC30" s="233">
        <f t="shared" si="9"/>
        <v>353699.8</v>
      </c>
      <c r="AD30" s="238">
        <f t="shared" si="10"/>
        <v>353699.8</v>
      </c>
      <c r="AE30" s="238">
        <f t="shared" si="11"/>
        <v>353699.8</v>
      </c>
      <c r="AF30" s="238">
        <f t="shared" si="12"/>
        <v>6366596.3999999985</v>
      </c>
      <c r="AG30" s="206">
        <f t="shared" si="13"/>
        <v>2000</v>
      </c>
      <c r="AH30" s="210">
        <f t="shared" si="14"/>
        <v>11318403.600000001</v>
      </c>
    </row>
    <row r="31" spans="1:34" s="48" customFormat="1" ht="40.5" hidden="1" customHeight="1" x14ac:dyDescent="0.2">
      <c r="A31" s="296"/>
      <c r="B31" s="48" t="s">
        <v>4239</v>
      </c>
      <c r="C31" s="772"/>
      <c r="D31" s="73"/>
      <c r="E31" s="65" t="s">
        <v>449</v>
      </c>
      <c r="F31" s="67" t="s">
        <v>2835</v>
      </c>
      <c r="G31" s="67"/>
      <c r="H31" s="33" t="s">
        <v>43</v>
      </c>
      <c r="I31" s="40"/>
      <c r="J31" s="40"/>
      <c r="K31" s="40"/>
      <c r="L31" s="65" t="s">
        <v>10</v>
      </c>
      <c r="M31" s="40">
        <v>2000</v>
      </c>
      <c r="N31" s="40"/>
      <c r="O31" s="32">
        <v>64</v>
      </c>
      <c r="P31" s="32" t="s">
        <v>11</v>
      </c>
      <c r="Q31" s="40"/>
      <c r="R31" s="32" t="s">
        <v>12</v>
      </c>
      <c r="S31" s="252">
        <v>19680000</v>
      </c>
      <c r="T31" s="61"/>
      <c r="U31" s="206" t="str">
        <f t="shared" si="1"/>
        <v>03.11.01</v>
      </c>
      <c r="V31" s="207" t="str">
        <f t="shared" si="2"/>
        <v>Bangunan Gedung Tempat Kerja</v>
      </c>
      <c r="W31" s="207">
        <f t="shared" si="3"/>
        <v>50</v>
      </c>
      <c r="X31" s="233">
        <f t="shared" si="4"/>
        <v>393599.8</v>
      </c>
      <c r="Y31" s="714">
        <f t="shared" si="5"/>
        <v>13</v>
      </c>
      <c r="Z31" s="233">
        <f t="shared" si="6"/>
        <v>5116797.3999999994</v>
      </c>
      <c r="AA31" s="233">
        <f t="shared" si="7"/>
        <v>393599.8</v>
      </c>
      <c r="AB31" s="233">
        <f t="shared" si="8"/>
        <v>393599.8</v>
      </c>
      <c r="AC31" s="233">
        <f t="shared" si="9"/>
        <v>393599.8</v>
      </c>
      <c r="AD31" s="238">
        <f t="shared" si="10"/>
        <v>393599.8</v>
      </c>
      <c r="AE31" s="238">
        <f t="shared" si="11"/>
        <v>393599.8</v>
      </c>
      <c r="AF31" s="238">
        <f t="shared" si="12"/>
        <v>7084796.3999999985</v>
      </c>
      <c r="AG31" s="206">
        <f t="shared" si="13"/>
        <v>2000</v>
      </c>
      <c r="AH31" s="210">
        <f t="shared" si="14"/>
        <v>12595203.600000001</v>
      </c>
    </row>
    <row r="32" spans="1:34" s="48" customFormat="1" ht="40.5" hidden="1" customHeight="1" x14ac:dyDescent="0.2">
      <c r="A32" s="296"/>
      <c r="B32" s="48" t="s">
        <v>4240</v>
      </c>
      <c r="C32" s="772"/>
      <c r="D32" s="73"/>
      <c r="E32" s="65" t="s">
        <v>447</v>
      </c>
      <c r="F32" s="67" t="s">
        <v>1892</v>
      </c>
      <c r="G32" s="67"/>
      <c r="H32" s="33" t="s">
        <v>43</v>
      </c>
      <c r="I32" s="40"/>
      <c r="J32" s="40"/>
      <c r="K32" s="40"/>
      <c r="L32" s="65" t="s">
        <v>10</v>
      </c>
      <c r="M32" s="40">
        <v>2000</v>
      </c>
      <c r="N32" s="40"/>
      <c r="O32" s="32">
        <v>4</v>
      </c>
      <c r="P32" s="32" t="s">
        <v>11</v>
      </c>
      <c r="Q32" s="40"/>
      <c r="R32" s="32" t="s">
        <v>12</v>
      </c>
      <c r="S32" s="252">
        <v>3879000</v>
      </c>
      <c r="T32" s="61"/>
      <c r="U32" s="206" t="str">
        <f t="shared" si="1"/>
        <v>03.11.01</v>
      </c>
      <c r="V32" s="207" t="str">
        <f t="shared" si="2"/>
        <v>Bangunan Gedung Tempat Kerja</v>
      </c>
      <c r="W32" s="207">
        <f t="shared" si="3"/>
        <v>50</v>
      </c>
      <c r="X32" s="233">
        <f t="shared" si="4"/>
        <v>77579.8</v>
      </c>
      <c r="Y32" s="714">
        <f t="shared" si="5"/>
        <v>13</v>
      </c>
      <c r="Z32" s="233">
        <f t="shared" si="6"/>
        <v>1008537.4</v>
      </c>
      <c r="AA32" s="233">
        <f t="shared" si="7"/>
        <v>77579.8</v>
      </c>
      <c r="AB32" s="233">
        <f t="shared" si="8"/>
        <v>77579.8</v>
      </c>
      <c r="AC32" s="233">
        <f t="shared" si="9"/>
        <v>77579.8</v>
      </c>
      <c r="AD32" s="238">
        <f t="shared" si="10"/>
        <v>77579.8</v>
      </c>
      <c r="AE32" s="238">
        <f t="shared" si="11"/>
        <v>77579.8</v>
      </c>
      <c r="AF32" s="238">
        <f t="shared" si="12"/>
        <v>1396436.4000000001</v>
      </c>
      <c r="AG32" s="206">
        <f t="shared" si="13"/>
        <v>2000</v>
      </c>
      <c r="AH32" s="210">
        <f t="shared" si="14"/>
        <v>2482563.5999999996</v>
      </c>
    </row>
    <row r="33" spans="1:34" s="48" customFormat="1" ht="40.5" hidden="1" customHeight="1" x14ac:dyDescent="0.2">
      <c r="A33" s="296"/>
      <c r="B33" s="48" t="s">
        <v>445</v>
      </c>
      <c r="C33" s="772"/>
      <c r="D33" s="73"/>
      <c r="E33" s="65" t="s">
        <v>445</v>
      </c>
      <c r="F33" s="67" t="s">
        <v>1752</v>
      </c>
      <c r="G33" s="67"/>
      <c r="H33" s="33"/>
      <c r="I33" s="40"/>
      <c r="J33" s="40"/>
      <c r="K33" s="40"/>
      <c r="L33" s="65" t="s">
        <v>434</v>
      </c>
      <c r="M33" s="40">
        <v>2000</v>
      </c>
      <c r="N33" s="40"/>
      <c r="O33" s="32">
        <v>42</v>
      </c>
      <c r="P33" s="32" t="s">
        <v>430</v>
      </c>
      <c r="Q33" s="40"/>
      <c r="R33" s="32" t="s">
        <v>433</v>
      </c>
      <c r="S33" s="252">
        <v>40729500</v>
      </c>
      <c r="T33" s="61"/>
      <c r="U33" s="206" t="str">
        <f t="shared" si="1"/>
        <v>03.11.01</v>
      </c>
      <c r="V33" s="207" t="str">
        <f t="shared" si="2"/>
        <v>Bangunan Gedung Tempat Kerja</v>
      </c>
      <c r="W33" s="207">
        <f t="shared" si="3"/>
        <v>50</v>
      </c>
      <c r="X33" s="233">
        <f t="shared" si="4"/>
        <v>814589.8</v>
      </c>
      <c r="Y33" s="714">
        <f t="shared" si="5"/>
        <v>13</v>
      </c>
      <c r="Z33" s="233">
        <f t="shared" si="6"/>
        <v>10589667.4</v>
      </c>
      <c r="AA33" s="233">
        <f t="shared" si="7"/>
        <v>814589.8</v>
      </c>
      <c r="AB33" s="233">
        <f t="shared" si="8"/>
        <v>814589.8</v>
      </c>
      <c r="AC33" s="233">
        <f t="shared" si="9"/>
        <v>814589.8</v>
      </c>
      <c r="AD33" s="238">
        <f t="shared" si="10"/>
        <v>814589.8</v>
      </c>
      <c r="AE33" s="238">
        <f t="shared" si="11"/>
        <v>814589.8</v>
      </c>
      <c r="AF33" s="238">
        <f t="shared" si="12"/>
        <v>14662616.400000004</v>
      </c>
      <c r="AG33" s="206">
        <f t="shared" si="13"/>
        <v>2000</v>
      </c>
      <c r="AH33" s="210">
        <f t="shared" si="14"/>
        <v>26066883.599999994</v>
      </c>
    </row>
    <row r="34" spans="1:34" s="670" customFormat="1" ht="40.5" hidden="1" customHeight="1" x14ac:dyDescent="0.2">
      <c r="A34" s="669">
        <v>2</v>
      </c>
      <c r="B34" s="670" t="s">
        <v>442</v>
      </c>
      <c r="C34" s="773" t="s">
        <v>4247</v>
      </c>
      <c r="D34" s="652"/>
      <c r="E34" s="671" t="s">
        <v>439</v>
      </c>
      <c r="F34" s="653" t="s">
        <v>1752</v>
      </c>
      <c r="G34" s="653"/>
      <c r="H34" s="673" t="s">
        <v>43</v>
      </c>
      <c r="I34" s="674"/>
      <c r="J34" s="674"/>
      <c r="K34" s="674"/>
      <c r="L34" s="671" t="s">
        <v>437</v>
      </c>
      <c r="M34" s="674">
        <v>2000</v>
      </c>
      <c r="N34" s="674"/>
      <c r="O34" s="675">
        <v>53.4</v>
      </c>
      <c r="P34" s="675" t="s">
        <v>430</v>
      </c>
      <c r="Q34" s="674"/>
      <c r="R34" s="675" t="s">
        <v>12</v>
      </c>
      <c r="S34" s="654">
        <f>48967800</f>
        <v>48967800</v>
      </c>
      <c r="T34" s="676"/>
      <c r="U34" s="206" t="str">
        <f t="shared" si="1"/>
        <v>03.11.01</v>
      </c>
      <c r="V34" s="207" t="str">
        <f t="shared" si="2"/>
        <v>Bangunan Gedung Tempat Kerja</v>
      </c>
      <c r="W34" s="207">
        <f t="shared" si="3"/>
        <v>50</v>
      </c>
      <c r="X34" s="233">
        <f t="shared" si="4"/>
        <v>979355.8</v>
      </c>
      <c r="Y34" s="714">
        <f t="shared" si="5"/>
        <v>13</v>
      </c>
      <c r="Z34" s="233">
        <f t="shared" si="6"/>
        <v>12731625.4</v>
      </c>
      <c r="AA34" s="233">
        <f t="shared" si="7"/>
        <v>979355.8</v>
      </c>
      <c r="AB34" s="233">
        <f t="shared" si="8"/>
        <v>979355.8</v>
      </c>
      <c r="AC34" s="233">
        <f t="shared" si="9"/>
        <v>979355.8</v>
      </c>
      <c r="AD34" s="238">
        <f t="shared" si="10"/>
        <v>979355.8</v>
      </c>
      <c r="AE34" s="238">
        <f t="shared" si="11"/>
        <v>979355.8</v>
      </c>
      <c r="AF34" s="238">
        <f t="shared" si="12"/>
        <v>17628404.400000002</v>
      </c>
      <c r="AG34" s="206">
        <f t="shared" si="13"/>
        <v>2000</v>
      </c>
      <c r="AH34" s="210">
        <f t="shared" si="14"/>
        <v>31339395.599999998</v>
      </c>
    </row>
    <row r="35" spans="1:34" s="48" customFormat="1" ht="40.5" hidden="1" customHeight="1" x14ac:dyDescent="0.2">
      <c r="A35" s="296">
        <v>2</v>
      </c>
      <c r="B35" s="48" t="s">
        <v>442</v>
      </c>
      <c r="C35" s="772" t="s">
        <v>4247</v>
      </c>
      <c r="D35" s="73"/>
      <c r="E35" s="65" t="s">
        <v>442</v>
      </c>
      <c r="F35" s="67" t="s">
        <v>1752</v>
      </c>
      <c r="G35" s="67"/>
      <c r="H35" s="33" t="s">
        <v>43</v>
      </c>
      <c r="I35" s="40"/>
      <c r="J35" s="40"/>
      <c r="K35" s="40"/>
      <c r="L35" s="65" t="s">
        <v>437</v>
      </c>
      <c r="M35" s="40">
        <v>2000</v>
      </c>
      <c r="N35" s="40"/>
      <c r="O35" s="32">
        <v>37.44</v>
      </c>
      <c r="P35" s="32" t="s">
        <v>430</v>
      </c>
      <c r="Q35" s="40"/>
      <c r="R35" s="32" t="s">
        <v>12</v>
      </c>
      <c r="S35" s="252">
        <v>34332480</v>
      </c>
      <c r="T35" s="61"/>
      <c r="U35" s="206" t="str">
        <f t="shared" si="1"/>
        <v>03.11.01</v>
      </c>
      <c r="V35" s="207" t="str">
        <f t="shared" si="2"/>
        <v>Bangunan Gedung Tempat Kerja</v>
      </c>
      <c r="W35" s="207">
        <f t="shared" si="3"/>
        <v>50</v>
      </c>
      <c r="X35" s="233">
        <f t="shared" si="4"/>
        <v>686649.4</v>
      </c>
      <c r="Y35" s="714">
        <f t="shared" si="5"/>
        <v>13</v>
      </c>
      <c r="Z35" s="233">
        <f t="shared" si="6"/>
        <v>8926442.2000000011</v>
      </c>
      <c r="AA35" s="233">
        <f t="shared" si="7"/>
        <v>686649.4</v>
      </c>
      <c r="AB35" s="233">
        <f t="shared" si="8"/>
        <v>686649.4</v>
      </c>
      <c r="AC35" s="233">
        <f t="shared" si="9"/>
        <v>686649.4</v>
      </c>
      <c r="AD35" s="238">
        <f t="shared" si="10"/>
        <v>686649.4</v>
      </c>
      <c r="AE35" s="238">
        <f t="shared" si="11"/>
        <v>686649.4</v>
      </c>
      <c r="AF35" s="238">
        <f t="shared" si="12"/>
        <v>12359689.200000003</v>
      </c>
      <c r="AG35" s="206">
        <f t="shared" si="13"/>
        <v>2000</v>
      </c>
      <c r="AH35" s="210">
        <f t="shared" si="14"/>
        <v>21972790.799999997</v>
      </c>
    </row>
    <row r="36" spans="1:34" s="48" customFormat="1" ht="40.5" hidden="1" customHeight="1" x14ac:dyDescent="0.2">
      <c r="A36" s="296">
        <v>2</v>
      </c>
      <c r="B36" s="48" t="s">
        <v>442</v>
      </c>
      <c r="C36" s="772" t="s">
        <v>4247</v>
      </c>
      <c r="D36" s="73"/>
      <c r="E36" s="65" t="s">
        <v>442</v>
      </c>
      <c r="F36" s="67" t="s">
        <v>1752</v>
      </c>
      <c r="G36" s="67"/>
      <c r="H36" s="33" t="s">
        <v>43</v>
      </c>
      <c r="I36" s="40"/>
      <c r="J36" s="40"/>
      <c r="K36" s="40"/>
      <c r="L36" s="65" t="s">
        <v>437</v>
      </c>
      <c r="M36" s="40">
        <v>2001</v>
      </c>
      <c r="N36" s="40"/>
      <c r="O36" s="32">
        <v>65.55</v>
      </c>
      <c r="P36" s="32" t="s">
        <v>430</v>
      </c>
      <c r="Q36" s="40"/>
      <c r="R36" s="32" t="s">
        <v>12</v>
      </c>
      <c r="S36" s="252">
        <v>59329305</v>
      </c>
      <c r="T36" s="61"/>
      <c r="U36" s="206" t="str">
        <f t="shared" si="1"/>
        <v>03.11.01</v>
      </c>
      <c r="V36" s="207" t="str">
        <f t="shared" si="2"/>
        <v>Bangunan Gedung Tempat Kerja</v>
      </c>
      <c r="W36" s="207">
        <f t="shared" si="3"/>
        <v>50</v>
      </c>
      <c r="X36" s="233">
        <f t="shared" si="4"/>
        <v>1186585.8999999999</v>
      </c>
      <c r="Y36" s="714">
        <f t="shared" si="5"/>
        <v>12</v>
      </c>
      <c r="Z36" s="233">
        <f t="shared" si="6"/>
        <v>14239030.799999999</v>
      </c>
      <c r="AA36" s="233">
        <f t="shared" si="7"/>
        <v>1186585.8999999999</v>
      </c>
      <c r="AB36" s="233">
        <f t="shared" si="8"/>
        <v>1186585.8999999999</v>
      </c>
      <c r="AC36" s="233">
        <f t="shared" si="9"/>
        <v>1186585.8999999999</v>
      </c>
      <c r="AD36" s="238">
        <f t="shared" si="10"/>
        <v>1186585.8999999999</v>
      </c>
      <c r="AE36" s="238">
        <f t="shared" si="11"/>
        <v>1186585.8999999999</v>
      </c>
      <c r="AF36" s="238">
        <f t="shared" si="12"/>
        <v>20171960.299999997</v>
      </c>
      <c r="AG36" s="206">
        <f t="shared" si="13"/>
        <v>2001</v>
      </c>
      <c r="AH36" s="210">
        <f t="shared" si="14"/>
        <v>39157344.700000003</v>
      </c>
    </row>
    <row r="37" spans="1:34" s="48" customFormat="1" ht="40.5" hidden="1" customHeight="1" x14ac:dyDescent="0.2">
      <c r="A37" s="296">
        <v>2</v>
      </c>
      <c r="B37" s="48" t="s">
        <v>442</v>
      </c>
      <c r="C37" s="772" t="s">
        <v>4247</v>
      </c>
      <c r="D37" s="73"/>
      <c r="E37" s="65" t="s">
        <v>439</v>
      </c>
      <c r="F37" s="67" t="s">
        <v>1752</v>
      </c>
      <c r="G37" s="67"/>
      <c r="H37" s="33" t="s">
        <v>43</v>
      </c>
      <c r="I37" s="40"/>
      <c r="J37" s="40"/>
      <c r="K37" s="40"/>
      <c r="L37" s="65" t="s">
        <v>437</v>
      </c>
      <c r="M37" s="40">
        <v>2005</v>
      </c>
      <c r="N37" s="40"/>
      <c r="O37" s="32">
        <v>86.14</v>
      </c>
      <c r="P37" s="32" t="s">
        <v>430</v>
      </c>
      <c r="Q37" s="40"/>
      <c r="R37" s="32" t="s">
        <v>12</v>
      </c>
      <c r="S37" s="252">
        <v>84632550</v>
      </c>
      <c r="T37" s="61"/>
      <c r="U37" s="206" t="str">
        <f t="shared" si="1"/>
        <v>03.11.01</v>
      </c>
      <c r="V37" s="207" t="str">
        <f t="shared" si="2"/>
        <v>Bangunan Gedung Tempat Kerja</v>
      </c>
      <c r="W37" s="207">
        <f t="shared" si="3"/>
        <v>50</v>
      </c>
      <c r="X37" s="233">
        <f t="shared" si="4"/>
        <v>1692650.8</v>
      </c>
      <c r="Y37" s="714">
        <f t="shared" si="5"/>
        <v>8</v>
      </c>
      <c r="Z37" s="233">
        <f t="shared" si="6"/>
        <v>13541206.4</v>
      </c>
      <c r="AA37" s="233">
        <f t="shared" si="7"/>
        <v>1692650.8</v>
      </c>
      <c r="AB37" s="233">
        <f t="shared" si="8"/>
        <v>1692650.8</v>
      </c>
      <c r="AC37" s="233">
        <f t="shared" si="9"/>
        <v>1692650.8</v>
      </c>
      <c r="AD37" s="238">
        <f t="shared" si="10"/>
        <v>1692650.8</v>
      </c>
      <c r="AE37" s="238">
        <f t="shared" si="11"/>
        <v>1692650.8</v>
      </c>
      <c r="AF37" s="238">
        <f t="shared" si="12"/>
        <v>22004460.400000002</v>
      </c>
      <c r="AG37" s="206">
        <f t="shared" si="13"/>
        <v>2005</v>
      </c>
      <c r="AH37" s="210">
        <f t="shared" si="14"/>
        <v>62628089.599999994</v>
      </c>
    </row>
    <row r="38" spans="1:34" s="48" customFormat="1" ht="40.5" hidden="1" customHeight="1" x14ac:dyDescent="0.2">
      <c r="A38" s="296"/>
      <c r="B38" s="48" t="s">
        <v>441</v>
      </c>
      <c r="C38" s="772"/>
      <c r="D38" s="73"/>
      <c r="E38" s="65" t="s">
        <v>441</v>
      </c>
      <c r="F38" s="67" t="s">
        <v>1752</v>
      </c>
      <c r="G38" s="67"/>
      <c r="H38" s="33"/>
      <c r="I38" s="40"/>
      <c r="J38" s="40"/>
      <c r="K38" s="40"/>
      <c r="L38" s="65" t="s">
        <v>434</v>
      </c>
      <c r="M38" s="40">
        <v>2001</v>
      </c>
      <c r="N38" s="40"/>
      <c r="O38" s="32">
        <v>12</v>
      </c>
      <c r="P38" s="32" t="s">
        <v>430</v>
      </c>
      <c r="Q38" s="40"/>
      <c r="R38" s="32" t="s">
        <v>433</v>
      </c>
      <c r="S38" s="252">
        <v>10861200</v>
      </c>
      <c r="T38" s="61"/>
      <c r="U38" s="206" t="str">
        <f t="shared" si="1"/>
        <v>03.11.01</v>
      </c>
      <c r="V38" s="207" t="str">
        <f t="shared" si="2"/>
        <v>Bangunan Gedung Tempat Kerja</v>
      </c>
      <c r="W38" s="207">
        <f t="shared" si="3"/>
        <v>50</v>
      </c>
      <c r="X38" s="233">
        <f t="shared" si="4"/>
        <v>217223.8</v>
      </c>
      <c r="Y38" s="714">
        <f t="shared" si="5"/>
        <v>12</v>
      </c>
      <c r="Z38" s="233">
        <f t="shared" si="6"/>
        <v>2606685.5999999996</v>
      </c>
      <c r="AA38" s="233">
        <f t="shared" si="7"/>
        <v>217223.8</v>
      </c>
      <c r="AB38" s="233">
        <f t="shared" si="8"/>
        <v>217223.8</v>
      </c>
      <c r="AC38" s="233">
        <f t="shared" si="9"/>
        <v>217223.8</v>
      </c>
      <c r="AD38" s="238">
        <f t="shared" si="10"/>
        <v>217223.8</v>
      </c>
      <c r="AE38" s="238">
        <f t="shared" si="11"/>
        <v>217223.8</v>
      </c>
      <c r="AF38" s="238">
        <f t="shared" si="12"/>
        <v>3692804.5999999987</v>
      </c>
      <c r="AG38" s="206">
        <f t="shared" si="13"/>
        <v>2001</v>
      </c>
      <c r="AH38" s="210">
        <f t="shared" si="14"/>
        <v>7168395.4000000013</v>
      </c>
    </row>
    <row r="39" spans="1:34" s="48" customFormat="1" ht="40.5" hidden="1" customHeight="1" x14ac:dyDescent="0.2">
      <c r="A39" s="296"/>
      <c r="B39" s="48" t="s">
        <v>436</v>
      </c>
      <c r="C39" s="772"/>
      <c r="D39" s="73"/>
      <c r="E39" s="65" t="s">
        <v>436</v>
      </c>
      <c r="F39" s="67" t="s">
        <v>2836</v>
      </c>
      <c r="G39" s="67"/>
      <c r="H39" s="33"/>
      <c r="I39" s="40"/>
      <c r="J39" s="40"/>
      <c r="K39" s="40"/>
      <c r="L39" s="65" t="s">
        <v>434</v>
      </c>
      <c r="M39" s="40">
        <v>2006</v>
      </c>
      <c r="N39" s="40"/>
      <c r="O39" s="32">
        <v>9</v>
      </c>
      <c r="P39" s="32" t="s">
        <v>430</v>
      </c>
      <c r="Q39" s="40"/>
      <c r="R39" s="32" t="s">
        <v>433</v>
      </c>
      <c r="S39" s="252">
        <v>7245000</v>
      </c>
      <c r="T39" s="61"/>
      <c r="U39" s="206" t="str">
        <f t="shared" si="1"/>
        <v>03.11.01</v>
      </c>
      <c r="V39" s="207" t="str">
        <f t="shared" si="2"/>
        <v>Bangunan Gedung Tempat Kerja</v>
      </c>
      <c r="W39" s="207">
        <f t="shared" si="3"/>
        <v>50</v>
      </c>
      <c r="X39" s="233">
        <f t="shared" si="4"/>
        <v>144899.79999999999</v>
      </c>
      <c r="Y39" s="714">
        <f t="shared" si="5"/>
        <v>7</v>
      </c>
      <c r="Z39" s="233">
        <f t="shared" si="6"/>
        <v>1014298.5999999999</v>
      </c>
      <c r="AA39" s="233">
        <f t="shared" si="7"/>
        <v>144899.79999999999</v>
      </c>
      <c r="AB39" s="233">
        <f t="shared" si="8"/>
        <v>144899.79999999999</v>
      </c>
      <c r="AC39" s="233">
        <f t="shared" si="9"/>
        <v>144899.79999999999</v>
      </c>
      <c r="AD39" s="238">
        <f t="shared" si="10"/>
        <v>144899.79999999999</v>
      </c>
      <c r="AE39" s="238">
        <f t="shared" si="11"/>
        <v>144899.79999999999</v>
      </c>
      <c r="AF39" s="238">
        <f t="shared" si="12"/>
        <v>1738797.6</v>
      </c>
      <c r="AG39" s="206">
        <f t="shared" si="13"/>
        <v>2006</v>
      </c>
      <c r="AH39" s="210">
        <f t="shared" si="14"/>
        <v>5506202.4000000004</v>
      </c>
    </row>
    <row r="40" spans="1:34" s="48" customFormat="1" ht="40.5" hidden="1" customHeight="1" x14ac:dyDescent="0.2">
      <c r="A40" s="296"/>
      <c r="B40" s="48" t="s">
        <v>4272</v>
      </c>
      <c r="C40" s="772"/>
      <c r="D40" s="73"/>
      <c r="E40" s="65" t="s">
        <v>1015</v>
      </c>
      <c r="F40" s="67" t="s">
        <v>2485</v>
      </c>
      <c r="G40" s="67"/>
      <c r="H40" s="33" t="s">
        <v>43</v>
      </c>
      <c r="I40" s="40"/>
      <c r="J40" s="40"/>
      <c r="K40" s="40"/>
      <c r="L40" s="65" t="s">
        <v>1081</v>
      </c>
      <c r="M40" s="40">
        <v>2007</v>
      </c>
      <c r="N40" s="40"/>
      <c r="O40" s="32">
        <v>94</v>
      </c>
      <c r="P40" s="32" t="s">
        <v>430</v>
      </c>
      <c r="Q40" s="40"/>
      <c r="R40" s="32" t="s">
        <v>12</v>
      </c>
      <c r="S40" s="252">
        <v>244369300</v>
      </c>
      <c r="T40" s="61"/>
      <c r="U40" s="206" t="str">
        <f t="shared" si="1"/>
        <v>03.11.02</v>
      </c>
      <c r="V40" s="207" t="str">
        <f t="shared" si="2"/>
        <v>Bangunan Gedung Tempat Tinggal</v>
      </c>
      <c r="W40" s="207">
        <f t="shared" si="3"/>
        <v>50</v>
      </c>
      <c r="X40" s="233">
        <f t="shared" si="4"/>
        <v>4887385.8</v>
      </c>
      <c r="Y40" s="714">
        <f t="shared" si="5"/>
        <v>6</v>
      </c>
      <c r="Z40" s="233">
        <f t="shared" si="6"/>
        <v>29324314.799999997</v>
      </c>
      <c r="AA40" s="233">
        <f t="shared" si="7"/>
        <v>4887385.8</v>
      </c>
      <c r="AB40" s="233">
        <f t="shared" si="8"/>
        <v>4887385.8</v>
      </c>
      <c r="AC40" s="233">
        <f t="shared" si="9"/>
        <v>4887385.8</v>
      </c>
      <c r="AD40" s="238">
        <f t="shared" si="10"/>
        <v>4887385.8</v>
      </c>
      <c r="AE40" s="238">
        <f t="shared" si="11"/>
        <v>4887385.8</v>
      </c>
      <c r="AF40" s="238">
        <f t="shared" si="12"/>
        <v>53761243.799999982</v>
      </c>
      <c r="AG40" s="206">
        <f t="shared" si="13"/>
        <v>2007</v>
      </c>
      <c r="AH40" s="210">
        <f t="shared" si="14"/>
        <v>190608056.20000002</v>
      </c>
    </row>
    <row r="41" spans="1:34" s="670" customFormat="1" ht="40.5" hidden="1" customHeight="1" x14ac:dyDescent="0.2">
      <c r="A41" s="669">
        <v>3</v>
      </c>
      <c r="B41" s="670" t="s">
        <v>2985</v>
      </c>
      <c r="C41" s="773" t="s">
        <v>4247</v>
      </c>
      <c r="D41" s="652"/>
      <c r="E41" s="671" t="s">
        <v>1016</v>
      </c>
      <c r="F41" s="653" t="s">
        <v>1752</v>
      </c>
      <c r="G41" s="653"/>
      <c r="H41" s="673"/>
      <c r="I41" s="674"/>
      <c r="J41" s="674"/>
      <c r="K41" s="674"/>
      <c r="L41" s="678" t="s">
        <v>1082</v>
      </c>
      <c r="M41" s="674">
        <v>2007</v>
      </c>
      <c r="N41" s="674"/>
      <c r="O41" s="719">
        <v>450</v>
      </c>
      <c r="P41" s="673"/>
      <c r="Q41" s="674"/>
      <c r="R41" s="675" t="s">
        <v>12</v>
      </c>
      <c r="S41" s="654">
        <f>837249705.45</f>
        <v>837249705.45000005</v>
      </c>
      <c r="T41" s="676"/>
      <c r="U41" s="206" t="str">
        <f t="shared" si="1"/>
        <v>03.11.01</v>
      </c>
      <c r="V41" s="207" t="str">
        <f t="shared" si="2"/>
        <v>Bangunan Gedung Tempat Kerja</v>
      </c>
      <c r="W41" s="207">
        <f t="shared" si="3"/>
        <v>50</v>
      </c>
      <c r="X41" s="233">
        <f t="shared" si="4"/>
        <v>16744993.909000002</v>
      </c>
      <c r="Y41" s="714">
        <f t="shared" si="5"/>
        <v>6</v>
      </c>
      <c r="Z41" s="233">
        <f t="shared" si="6"/>
        <v>100469963.45400001</v>
      </c>
      <c r="AA41" s="233">
        <f t="shared" si="7"/>
        <v>16744993.909000002</v>
      </c>
      <c r="AB41" s="233">
        <f t="shared" si="8"/>
        <v>16744993.909000002</v>
      </c>
      <c r="AC41" s="233">
        <f t="shared" si="9"/>
        <v>16744993.909000002</v>
      </c>
      <c r="AD41" s="238">
        <f t="shared" si="10"/>
        <v>16744993.909000002</v>
      </c>
      <c r="AE41" s="238">
        <f t="shared" si="11"/>
        <v>16744993.909000002</v>
      </c>
      <c r="AF41" s="238">
        <f t="shared" si="12"/>
        <v>184194932.99900004</v>
      </c>
      <c r="AG41" s="206">
        <f t="shared" si="13"/>
        <v>2007</v>
      </c>
      <c r="AH41" s="210">
        <f t="shared" si="14"/>
        <v>653054772.45099998</v>
      </c>
    </row>
    <row r="42" spans="1:34" s="48" customFormat="1" ht="40.5" hidden="1" customHeight="1" x14ac:dyDescent="0.2">
      <c r="A42" s="296">
        <v>3</v>
      </c>
      <c r="B42" s="48" t="s">
        <v>2985</v>
      </c>
      <c r="C42" s="772" t="s">
        <v>4247</v>
      </c>
      <c r="D42" s="73"/>
      <c r="E42" s="65" t="s">
        <v>1047</v>
      </c>
      <c r="F42" s="67" t="s">
        <v>1752</v>
      </c>
      <c r="G42" s="67"/>
      <c r="H42" s="33" t="s">
        <v>43</v>
      </c>
      <c r="I42" s="40"/>
      <c r="J42" s="40"/>
      <c r="K42" s="40"/>
      <c r="L42" s="72" t="s">
        <v>2986</v>
      </c>
      <c r="M42" s="40">
        <v>2008</v>
      </c>
      <c r="N42" s="40"/>
      <c r="O42" s="32"/>
      <c r="P42" s="33"/>
      <c r="Q42" s="40"/>
      <c r="R42" s="32" t="s">
        <v>12</v>
      </c>
      <c r="S42" s="555">
        <v>242311157.65785614</v>
      </c>
      <c r="T42" s="61"/>
      <c r="U42" s="206" t="str">
        <f t="shared" si="1"/>
        <v>03.11.01</v>
      </c>
      <c r="V42" s="207" t="str">
        <f t="shared" si="2"/>
        <v>Bangunan Gedung Tempat Kerja</v>
      </c>
      <c r="W42" s="207">
        <f t="shared" si="3"/>
        <v>50</v>
      </c>
      <c r="X42" s="233">
        <f t="shared" si="4"/>
        <v>4846222.9531571232</v>
      </c>
      <c r="Y42" s="714">
        <f t="shared" si="5"/>
        <v>5</v>
      </c>
      <c r="Z42" s="233">
        <f t="shared" si="6"/>
        <v>24231114.765785616</v>
      </c>
      <c r="AA42" s="233">
        <f t="shared" si="7"/>
        <v>4846222.9531571232</v>
      </c>
      <c r="AB42" s="233">
        <f t="shared" si="8"/>
        <v>4846222.9531571232</v>
      </c>
      <c r="AC42" s="233">
        <f t="shared" si="9"/>
        <v>4846222.9531571232</v>
      </c>
      <c r="AD42" s="238">
        <f t="shared" si="10"/>
        <v>4846222.9531571232</v>
      </c>
      <c r="AE42" s="238">
        <f t="shared" si="11"/>
        <v>4846222.9531571232</v>
      </c>
      <c r="AF42" s="238">
        <f t="shared" si="12"/>
        <v>48462229.531571239</v>
      </c>
      <c r="AG42" s="206">
        <f t="shared" si="13"/>
        <v>2008</v>
      </c>
      <c r="AH42" s="210">
        <f t="shared" si="14"/>
        <v>193848928.1262849</v>
      </c>
    </row>
    <row r="43" spans="1:34" s="48" customFormat="1" ht="40.5" hidden="1" customHeight="1" x14ac:dyDescent="0.2">
      <c r="A43" s="296">
        <v>3</v>
      </c>
      <c r="B43" s="48" t="s">
        <v>2985</v>
      </c>
      <c r="C43" s="772" t="s">
        <v>4247</v>
      </c>
      <c r="D43" s="73"/>
      <c r="E43" s="65" t="s">
        <v>2786</v>
      </c>
      <c r="F43" s="67" t="s">
        <v>1752</v>
      </c>
      <c r="G43" s="67" t="s">
        <v>1857</v>
      </c>
      <c r="H43" s="33" t="s">
        <v>43</v>
      </c>
      <c r="I43" s="40" t="s">
        <v>1786</v>
      </c>
      <c r="J43" s="40" t="s">
        <v>1934</v>
      </c>
      <c r="K43" s="40"/>
      <c r="L43" s="102" t="s">
        <v>1082</v>
      </c>
      <c r="M43" s="40">
        <v>2014</v>
      </c>
      <c r="N43" s="40" t="s">
        <v>2164</v>
      </c>
      <c r="O43" s="32"/>
      <c r="P43" s="33"/>
      <c r="Q43" s="40"/>
      <c r="R43" s="32" t="s">
        <v>12</v>
      </c>
      <c r="S43" s="555">
        <v>556156500</v>
      </c>
      <c r="T43" s="105"/>
      <c r="U43" s="206" t="str">
        <f t="shared" si="1"/>
        <v>03.11.01</v>
      </c>
      <c r="V43" s="207" t="str">
        <f t="shared" si="2"/>
        <v>Bangunan Gedung Tempat Kerja</v>
      </c>
      <c r="W43" s="207">
        <f t="shared" si="3"/>
        <v>50</v>
      </c>
      <c r="X43" s="233">
        <f t="shared" si="4"/>
        <v>11123129.800000001</v>
      </c>
      <c r="Y43" s="714">
        <f t="shared" si="5"/>
        <v>0</v>
      </c>
      <c r="Z43" s="233">
        <f t="shared" si="6"/>
        <v>0</v>
      </c>
      <c r="AA43" s="233">
        <f t="shared" si="7"/>
        <v>11123129.800000001</v>
      </c>
      <c r="AB43" s="233">
        <f t="shared" si="8"/>
        <v>11123129.800000001</v>
      </c>
      <c r="AC43" s="233">
        <f t="shared" si="9"/>
        <v>11123129.800000001</v>
      </c>
      <c r="AD43" s="238">
        <f t="shared" si="10"/>
        <v>11123129.800000001</v>
      </c>
      <c r="AE43" s="238">
        <f t="shared" si="11"/>
        <v>11123129.800000001</v>
      </c>
      <c r="AF43" s="238">
        <f t="shared" si="12"/>
        <v>55615649</v>
      </c>
      <c r="AG43" s="206">
        <f t="shared" si="13"/>
        <v>2014</v>
      </c>
      <c r="AH43" s="210">
        <f t="shared" si="14"/>
        <v>500540851</v>
      </c>
    </row>
    <row r="44" spans="1:34" s="48" customFormat="1" ht="40.5" hidden="1" customHeight="1" x14ac:dyDescent="0.2">
      <c r="A44" s="296"/>
      <c r="B44" s="65" t="s">
        <v>1017</v>
      </c>
      <c r="C44" s="772"/>
      <c r="D44" s="73"/>
      <c r="E44" s="65" t="s">
        <v>1017</v>
      </c>
      <c r="F44" s="67" t="s">
        <v>1752</v>
      </c>
      <c r="G44" s="67"/>
      <c r="H44" s="33" t="s">
        <v>43</v>
      </c>
      <c r="I44" s="40"/>
      <c r="J44" s="40"/>
      <c r="K44" s="40"/>
      <c r="L44" s="102" t="s">
        <v>1083</v>
      </c>
      <c r="M44" s="40">
        <v>2007</v>
      </c>
      <c r="N44" s="40"/>
      <c r="O44" s="103">
        <v>120</v>
      </c>
      <c r="P44" s="33"/>
      <c r="Q44" s="40"/>
      <c r="R44" s="32" t="s">
        <v>12</v>
      </c>
      <c r="S44" s="252">
        <v>223266588.177632</v>
      </c>
      <c r="T44" s="61"/>
      <c r="U44" s="206" t="str">
        <f t="shared" si="1"/>
        <v>03.11.01</v>
      </c>
      <c r="V44" s="207" t="str">
        <f t="shared" si="2"/>
        <v>Bangunan Gedung Tempat Kerja</v>
      </c>
      <c r="W44" s="207">
        <f t="shared" si="3"/>
        <v>50</v>
      </c>
      <c r="X44" s="233">
        <f t="shared" si="4"/>
        <v>4465331.5635526404</v>
      </c>
      <c r="Y44" s="714">
        <f t="shared" si="5"/>
        <v>6</v>
      </c>
      <c r="Z44" s="233">
        <f t="shared" si="6"/>
        <v>26791989.381315842</v>
      </c>
      <c r="AA44" s="233">
        <f t="shared" si="7"/>
        <v>4465331.5635526404</v>
      </c>
      <c r="AB44" s="233">
        <f t="shared" si="8"/>
        <v>4465331.5635526404</v>
      </c>
      <c r="AC44" s="233">
        <f t="shared" si="9"/>
        <v>4465331.5635526404</v>
      </c>
      <c r="AD44" s="238">
        <f t="shared" si="10"/>
        <v>4465331.5635526404</v>
      </c>
      <c r="AE44" s="238">
        <f t="shared" si="11"/>
        <v>4465331.5635526404</v>
      </c>
      <c r="AF44" s="238">
        <f t="shared" si="12"/>
        <v>49118647.199079044</v>
      </c>
      <c r="AG44" s="206">
        <f t="shared" si="13"/>
        <v>2007</v>
      </c>
      <c r="AH44" s="210">
        <f t="shared" si="14"/>
        <v>174147940.97855297</v>
      </c>
    </row>
    <row r="45" spans="1:34" s="48" customFormat="1" ht="40.5" hidden="1" customHeight="1" x14ac:dyDescent="0.2">
      <c r="A45" s="296"/>
      <c r="B45" s="48" t="s">
        <v>1018</v>
      </c>
      <c r="C45" s="772"/>
      <c r="D45" s="73"/>
      <c r="E45" s="65" t="s">
        <v>1018</v>
      </c>
      <c r="F45" s="67" t="s">
        <v>1752</v>
      </c>
      <c r="G45" s="67"/>
      <c r="H45" s="33" t="s">
        <v>43</v>
      </c>
      <c r="I45" s="40"/>
      <c r="J45" s="40"/>
      <c r="K45" s="40"/>
      <c r="L45" s="102" t="s">
        <v>1084</v>
      </c>
      <c r="M45" s="40">
        <v>2007</v>
      </c>
      <c r="N45" s="40"/>
      <c r="O45" s="104">
        <v>120</v>
      </c>
      <c r="P45" s="33"/>
      <c r="Q45" s="40"/>
      <c r="R45" s="32" t="s">
        <v>12</v>
      </c>
      <c r="S45" s="252">
        <v>223266588.17763156</v>
      </c>
      <c r="T45" s="61"/>
      <c r="U45" s="206" t="str">
        <f t="shared" si="1"/>
        <v>03.11.01</v>
      </c>
      <c r="V45" s="207" t="str">
        <f t="shared" si="2"/>
        <v>Bangunan Gedung Tempat Kerja</v>
      </c>
      <c r="W45" s="207">
        <f t="shared" si="3"/>
        <v>50</v>
      </c>
      <c r="X45" s="233">
        <f t="shared" si="4"/>
        <v>4465331.5635526311</v>
      </c>
      <c r="Y45" s="714">
        <f t="shared" si="5"/>
        <v>6</v>
      </c>
      <c r="Z45" s="233">
        <f t="shared" si="6"/>
        <v>26791989.381315786</v>
      </c>
      <c r="AA45" s="233">
        <f t="shared" si="7"/>
        <v>4465331.5635526311</v>
      </c>
      <c r="AB45" s="233">
        <f t="shared" si="8"/>
        <v>4465331.5635526311</v>
      </c>
      <c r="AC45" s="233">
        <f t="shared" si="9"/>
        <v>4465331.5635526311</v>
      </c>
      <c r="AD45" s="238">
        <f t="shared" si="10"/>
        <v>4465331.5635526311</v>
      </c>
      <c r="AE45" s="238">
        <f t="shared" si="11"/>
        <v>4465331.5635526311</v>
      </c>
      <c r="AF45" s="238">
        <f t="shared" si="12"/>
        <v>49118647.199078947</v>
      </c>
      <c r="AG45" s="206">
        <f t="shared" si="13"/>
        <v>2007</v>
      </c>
      <c r="AH45" s="210">
        <f t="shared" si="14"/>
        <v>174147940.97855261</v>
      </c>
    </row>
    <row r="46" spans="1:34" s="48" customFormat="1" ht="40.5" hidden="1" customHeight="1" x14ac:dyDescent="0.2">
      <c r="A46" s="296"/>
      <c r="B46" s="48" t="s">
        <v>1019</v>
      </c>
      <c r="C46" s="772"/>
      <c r="D46" s="73"/>
      <c r="E46" s="65" t="s">
        <v>1019</v>
      </c>
      <c r="F46" s="67" t="s">
        <v>1752</v>
      </c>
      <c r="G46" s="67"/>
      <c r="H46" s="33" t="s">
        <v>43</v>
      </c>
      <c r="I46" s="40"/>
      <c r="J46" s="40"/>
      <c r="K46" s="40"/>
      <c r="L46" s="102" t="s">
        <v>1085</v>
      </c>
      <c r="M46" s="40">
        <v>2007</v>
      </c>
      <c r="N46" s="40"/>
      <c r="O46" s="104">
        <v>120</v>
      </c>
      <c r="P46" s="33"/>
      <c r="Q46" s="40"/>
      <c r="R46" s="32" t="s">
        <v>12</v>
      </c>
      <c r="S46" s="252">
        <v>223266588.17763156</v>
      </c>
      <c r="T46" s="61"/>
      <c r="U46" s="206" t="str">
        <f t="shared" si="1"/>
        <v>03.11.01</v>
      </c>
      <c r="V46" s="207" t="str">
        <f t="shared" si="2"/>
        <v>Bangunan Gedung Tempat Kerja</v>
      </c>
      <c r="W46" s="207">
        <f t="shared" si="3"/>
        <v>50</v>
      </c>
      <c r="X46" s="233">
        <f t="shared" si="4"/>
        <v>4465331.5635526311</v>
      </c>
      <c r="Y46" s="714">
        <f t="shared" si="5"/>
        <v>6</v>
      </c>
      <c r="Z46" s="233">
        <f t="shared" si="6"/>
        <v>26791989.381315786</v>
      </c>
      <c r="AA46" s="233">
        <f t="shared" si="7"/>
        <v>4465331.5635526311</v>
      </c>
      <c r="AB46" s="233">
        <f t="shared" si="8"/>
        <v>4465331.5635526311</v>
      </c>
      <c r="AC46" s="233">
        <f t="shared" si="9"/>
        <v>4465331.5635526311</v>
      </c>
      <c r="AD46" s="238">
        <f t="shared" si="10"/>
        <v>4465331.5635526311</v>
      </c>
      <c r="AE46" s="238">
        <f t="shared" si="11"/>
        <v>4465331.5635526311</v>
      </c>
      <c r="AF46" s="238">
        <f t="shared" si="12"/>
        <v>49118647.199078947</v>
      </c>
      <c r="AG46" s="206">
        <f t="shared" si="13"/>
        <v>2007</v>
      </c>
      <c r="AH46" s="210">
        <f t="shared" si="14"/>
        <v>174147940.97855261</v>
      </c>
    </row>
    <row r="47" spans="1:34" s="670" customFormat="1" ht="40.5" hidden="1" customHeight="1" x14ac:dyDescent="0.2">
      <c r="A47" s="669">
        <v>4</v>
      </c>
      <c r="B47" s="670" t="s">
        <v>2992</v>
      </c>
      <c r="C47" s="773" t="s">
        <v>4247</v>
      </c>
      <c r="D47" s="652"/>
      <c r="E47" s="671" t="s">
        <v>1020</v>
      </c>
      <c r="F47" s="653" t="s">
        <v>1752</v>
      </c>
      <c r="G47" s="653"/>
      <c r="H47" s="673" t="s">
        <v>43</v>
      </c>
      <c r="I47" s="674"/>
      <c r="J47" s="674"/>
      <c r="K47" s="674"/>
      <c r="L47" s="671" t="s">
        <v>1098</v>
      </c>
      <c r="M47" s="674">
        <v>2007</v>
      </c>
      <c r="N47" s="674"/>
      <c r="O47" s="690">
        <v>120</v>
      </c>
      <c r="P47" s="673"/>
      <c r="Q47" s="674"/>
      <c r="R47" s="675" t="s">
        <v>12</v>
      </c>
      <c r="S47" s="654">
        <f>223266588.177632</f>
        <v>223266588.177632</v>
      </c>
      <c r="T47" s="676"/>
      <c r="U47" s="206" t="str">
        <f t="shared" si="1"/>
        <v>03.11.01</v>
      </c>
      <c r="V47" s="207" t="str">
        <f t="shared" si="2"/>
        <v>Bangunan Gedung Tempat Kerja</v>
      </c>
      <c r="W47" s="207">
        <f t="shared" si="3"/>
        <v>50</v>
      </c>
      <c r="X47" s="233">
        <f t="shared" si="4"/>
        <v>4465331.5635526404</v>
      </c>
      <c r="Y47" s="714">
        <f t="shared" si="5"/>
        <v>6</v>
      </c>
      <c r="Z47" s="233">
        <f t="shared" si="6"/>
        <v>26791989.381315842</v>
      </c>
      <c r="AA47" s="233">
        <f t="shared" si="7"/>
        <v>4465331.5635526404</v>
      </c>
      <c r="AB47" s="233">
        <f t="shared" si="8"/>
        <v>4465331.5635526404</v>
      </c>
      <c r="AC47" s="233">
        <f t="shared" si="9"/>
        <v>4465331.5635526404</v>
      </c>
      <c r="AD47" s="238">
        <f t="shared" si="10"/>
        <v>4465331.5635526404</v>
      </c>
      <c r="AE47" s="238">
        <f t="shared" si="11"/>
        <v>4465331.5635526404</v>
      </c>
      <c r="AF47" s="238">
        <f t="shared" si="12"/>
        <v>49118647.199079044</v>
      </c>
      <c r="AG47" s="206">
        <f t="shared" si="13"/>
        <v>2007</v>
      </c>
      <c r="AH47" s="210">
        <f t="shared" si="14"/>
        <v>174147940.97855297</v>
      </c>
    </row>
    <row r="48" spans="1:34" s="48" customFormat="1" ht="40.5" hidden="1" customHeight="1" x14ac:dyDescent="0.2">
      <c r="A48" s="296">
        <v>4</v>
      </c>
      <c r="B48" s="48" t="s">
        <v>2992</v>
      </c>
      <c r="C48" s="772" t="s">
        <v>4247</v>
      </c>
      <c r="D48" s="73"/>
      <c r="E48" s="65" t="s">
        <v>1049</v>
      </c>
      <c r="F48" s="67" t="s">
        <v>1752</v>
      </c>
      <c r="G48" s="67"/>
      <c r="H48" s="33" t="s">
        <v>421</v>
      </c>
      <c r="I48" s="40"/>
      <c r="J48" s="40"/>
      <c r="K48" s="40"/>
      <c r="L48" s="65" t="s">
        <v>1098</v>
      </c>
      <c r="M48" s="40">
        <v>2008</v>
      </c>
      <c r="N48" s="40"/>
      <c r="O48" s="32"/>
      <c r="P48" s="33"/>
      <c r="Q48" s="40"/>
      <c r="R48" s="32" t="s">
        <v>12</v>
      </c>
      <c r="S48" s="252">
        <v>47743795.789002009</v>
      </c>
      <c r="T48" s="61"/>
      <c r="U48" s="206" t="str">
        <f t="shared" si="1"/>
        <v>03.11.01</v>
      </c>
      <c r="V48" s="207" t="str">
        <f t="shared" si="2"/>
        <v>Bangunan Gedung Tempat Kerja</v>
      </c>
      <c r="W48" s="207">
        <f t="shared" si="3"/>
        <v>50</v>
      </c>
      <c r="X48" s="233">
        <f t="shared" si="4"/>
        <v>954875.71578004013</v>
      </c>
      <c r="Y48" s="714">
        <f t="shared" si="5"/>
        <v>5</v>
      </c>
      <c r="Z48" s="233">
        <f t="shared" si="6"/>
        <v>4774378.5789002003</v>
      </c>
      <c r="AA48" s="233">
        <f t="shared" si="7"/>
        <v>954875.71578004013</v>
      </c>
      <c r="AB48" s="233">
        <f t="shared" si="8"/>
        <v>954875.71578004013</v>
      </c>
      <c r="AC48" s="233">
        <f t="shared" si="9"/>
        <v>954875.71578004013</v>
      </c>
      <c r="AD48" s="238">
        <f t="shared" si="10"/>
        <v>954875.71578004013</v>
      </c>
      <c r="AE48" s="238">
        <f t="shared" si="11"/>
        <v>954875.71578004013</v>
      </c>
      <c r="AF48" s="238">
        <f t="shared" si="12"/>
        <v>9548757.1578004006</v>
      </c>
      <c r="AG48" s="206">
        <f t="shared" si="13"/>
        <v>2008</v>
      </c>
      <c r="AH48" s="210">
        <f t="shared" si="14"/>
        <v>38195038.63120161</v>
      </c>
    </row>
    <row r="49" spans="1:34" s="48" customFormat="1" ht="40.5" hidden="1" customHeight="1" x14ac:dyDescent="0.2">
      <c r="A49" s="296">
        <v>4</v>
      </c>
      <c r="B49" s="48" t="s">
        <v>2992</v>
      </c>
      <c r="C49" s="772" t="s">
        <v>4247</v>
      </c>
      <c r="D49" s="73"/>
      <c r="E49" s="65" t="s">
        <v>2673</v>
      </c>
      <c r="F49" s="67" t="s">
        <v>1752</v>
      </c>
      <c r="G49" s="67" t="s">
        <v>39</v>
      </c>
      <c r="H49" s="33" t="s">
        <v>43</v>
      </c>
      <c r="I49" s="40" t="s">
        <v>1753</v>
      </c>
      <c r="J49" s="40" t="s">
        <v>835</v>
      </c>
      <c r="K49" s="40"/>
      <c r="L49" s="65" t="s">
        <v>1098</v>
      </c>
      <c r="M49" s="40">
        <v>2011</v>
      </c>
      <c r="N49" s="40" t="s">
        <v>1846</v>
      </c>
      <c r="O49" s="32"/>
      <c r="P49" s="33"/>
      <c r="Q49" s="40"/>
      <c r="R49" s="32" t="s">
        <v>12</v>
      </c>
      <c r="S49" s="252">
        <v>370613224.82403874</v>
      </c>
      <c r="T49" s="105"/>
      <c r="U49" s="206" t="str">
        <f t="shared" si="1"/>
        <v>03.11.01</v>
      </c>
      <c r="V49" s="207" t="str">
        <f t="shared" si="2"/>
        <v>Bangunan Gedung Tempat Kerja</v>
      </c>
      <c r="W49" s="207">
        <f t="shared" si="3"/>
        <v>50</v>
      </c>
      <c r="X49" s="233">
        <f t="shared" si="4"/>
        <v>7412264.2964807749</v>
      </c>
      <c r="Y49" s="714">
        <f t="shared" si="5"/>
        <v>2</v>
      </c>
      <c r="Z49" s="233">
        <f t="shared" si="6"/>
        <v>14824528.59296155</v>
      </c>
      <c r="AA49" s="233">
        <f t="shared" si="7"/>
        <v>7412264.2964807749</v>
      </c>
      <c r="AB49" s="233">
        <f t="shared" si="8"/>
        <v>7412264.2964807749</v>
      </c>
      <c r="AC49" s="233">
        <f t="shared" si="9"/>
        <v>7412264.2964807749</v>
      </c>
      <c r="AD49" s="238">
        <f t="shared" si="10"/>
        <v>7412264.2964807749</v>
      </c>
      <c r="AE49" s="238">
        <f t="shared" si="11"/>
        <v>7412264.2964807749</v>
      </c>
      <c r="AF49" s="238">
        <f t="shared" si="12"/>
        <v>51885850.075365424</v>
      </c>
      <c r="AG49" s="206">
        <f t="shared" si="13"/>
        <v>2011</v>
      </c>
      <c r="AH49" s="210">
        <f t="shared" si="14"/>
        <v>318727374.74867332</v>
      </c>
    </row>
    <row r="50" spans="1:34" s="48" customFormat="1" ht="40.5" hidden="1" customHeight="1" x14ac:dyDescent="0.2">
      <c r="A50" s="296"/>
      <c r="B50" s="48" t="s">
        <v>1021</v>
      </c>
      <c r="C50" s="772"/>
      <c r="D50" s="73"/>
      <c r="E50" s="65" t="s">
        <v>1021</v>
      </c>
      <c r="F50" s="67" t="s">
        <v>1752</v>
      </c>
      <c r="G50" s="67"/>
      <c r="H50" s="33" t="s">
        <v>43</v>
      </c>
      <c r="I50" s="40"/>
      <c r="J50" s="40"/>
      <c r="K50" s="40"/>
      <c r="L50" s="102" t="s">
        <v>1087</v>
      </c>
      <c r="M50" s="40">
        <v>2007</v>
      </c>
      <c r="N50" s="40"/>
      <c r="O50" s="104">
        <v>120</v>
      </c>
      <c r="P50" s="33"/>
      <c r="Q50" s="40"/>
      <c r="R50" s="32" t="s">
        <v>12</v>
      </c>
      <c r="S50" s="252">
        <v>223266588.17763156</v>
      </c>
      <c r="T50" s="61"/>
      <c r="U50" s="206" t="str">
        <f t="shared" si="1"/>
        <v>03.11.01</v>
      </c>
      <c r="V50" s="207" t="str">
        <f t="shared" si="2"/>
        <v>Bangunan Gedung Tempat Kerja</v>
      </c>
      <c r="W50" s="207">
        <f t="shared" si="3"/>
        <v>50</v>
      </c>
      <c r="X50" s="233">
        <f t="shared" si="4"/>
        <v>4465331.5635526311</v>
      </c>
      <c r="Y50" s="714">
        <f t="shared" si="5"/>
        <v>6</v>
      </c>
      <c r="Z50" s="233">
        <f t="shared" si="6"/>
        <v>26791989.381315786</v>
      </c>
      <c r="AA50" s="233">
        <f t="shared" si="7"/>
        <v>4465331.5635526311</v>
      </c>
      <c r="AB50" s="233">
        <f t="shared" si="8"/>
        <v>4465331.5635526311</v>
      </c>
      <c r="AC50" s="233">
        <f t="shared" si="9"/>
        <v>4465331.5635526311</v>
      </c>
      <c r="AD50" s="238">
        <f t="shared" si="10"/>
        <v>4465331.5635526311</v>
      </c>
      <c r="AE50" s="238">
        <f t="shared" si="11"/>
        <v>4465331.5635526311</v>
      </c>
      <c r="AF50" s="238">
        <f t="shared" si="12"/>
        <v>49118647.199078947</v>
      </c>
      <c r="AG50" s="206">
        <f t="shared" si="13"/>
        <v>2007</v>
      </c>
      <c r="AH50" s="210">
        <f t="shared" si="14"/>
        <v>174147940.97855261</v>
      </c>
    </row>
    <row r="51" spans="1:34" s="48" customFormat="1" ht="40.5" hidden="1" customHeight="1" x14ac:dyDescent="0.2">
      <c r="A51" s="296"/>
      <c r="B51" s="48" t="s">
        <v>1022</v>
      </c>
      <c r="C51" s="772"/>
      <c r="D51" s="73"/>
      <c r="E51" s="65" t="s">
        <v>1022</v>
      </c>
      <c r="F51" s="67" t="s">
        <v>1752</v>
      </c>
      <c r="G51" s="67"/>
      <c r="H51" s="33" t="s">
        <v>43</v>
      </c>
      <c r="I51" s="40"/>
      <c r="J51" s="40"/>
      <c r="K51" s="40"/>
      <c r="L51" s="102" t="s">
        <v>1088</v>
      </c>
      <c r="M51" s="40">
        <v>2007</v>
      </c>
      <c r="N51" s="40"/>
      <c r="O51" s="104">
        <v>120</v>
      </c>
      <c r="P51" s="33"/>
      <c r="Q51" s="40"/>
      <c r="R51" s="32" t="s">
        <v>12</v>
      </c>
      <c r="S51" s="252">
        <v>223266588.17763156</v>
      </c>
      <c r="T51" s="61"/>
      <c r="U51" s="206" t="str">
        <f t="shared" si="1"/>
        <v>03.11.01</v>
      </c>
      <c r="V51" s="207" t="str">
        <f t="shared" si="2"/>
        <v>Bangunan Gedung Tempat Kerja</v>
      </c>
      <c r="W51" s="207">
        <f t="shared" si="3"/>
        <v>50</v>
      </c>
      <c r="X51" s="233">
        <f t="shared" si="4"/>
        <v>4465331.5635526311</v>
      </c>
      <c r="Y51" s="714">
        <f t="shared" si="5"/>
        <v>6</v>
      </c>
      <c r="Z51" s="233">
        <f t="shared" si="6"/>
        <v>26791989.381315786</v>
      </c>
      <c r="AA51" s="233">
        <f t="shared" si="7"/>
        <v>4465331.5635526311</v>
      </c>
      <c r="AB51" s="233">
        <f t="shared" si="8"/>
        <v>4465331.5635526311</v>
      </c>
      <c r="AC51" s="233">
        <f t="shared" si="9"/>
        <v>4465331.5635526311</v>
      </c>
      <c r="AD51" s="238">
        <f t="shared" si="10"/>
        <v>4465331.5635526311</v>
      </c>
      <c r="AE51" s="238">
        <f t="shared" si="11"/>
        <v>4465331.5635526311</v>
      </c>
      <c r="AF51" s="238">
        <f t="shared" si="12"/>
        <v>49118647.199078947</v>
      </c>
      <c r="AG51" s="206">
        <f t="shared" si="13"/>
        <v>2007</v>
      </c>
      <c r="AH51" s="210">
        <f t="shared" si="14"/>
        <v>174147940.97855261</v>
      </c>
    </row>
    <row r="52" spans="1:34" s="48" customFormat="1" ht="40.5" hidden="1" customHeight="1" x14ac:dyDescent="0.2">
      <c r="A52" s="296"/>
      <c r="B52" s="48" t="s">
        <v>1023</v>
      </c>
      <c r="C52" s="772"/>
      <c r="D52" s="73"/>
      <c r="E52" s="65" t="s">
        <v>1023</v>
      </c>
      <c r="F52" s="67" t="s">
        <v>1752</v>
      </c>
      <c r="G52" s="67"/>
      <c r="H52" s="33" t="s">
        <v>43</v>
      </c>
      <c r="I52" s="40"/>
      <c r="J52" s="40"/>
      <c r="K52" s="40"/>
      <c r="L52" s="102" t="s">
        <v>1089</v>
      </c>
      <c r="M52" s="40">
        <v>2007</v>
      </c>
      <c r="N52" s="40"/>
      <c r="O52" s="104">
        <v>120</v>
      </c>
      <c r="P52" s="33"/>
      <c r="Q52" s="40"/>
      <c r="R52" s="32" t="s">
        <v>12</v>
      </c>
      <c r="S52" s="252">
        <v>223266588.15000001</v>
      </c>
      <c r="T52" s="61"/>
      <c r="U52" s="206" t="str">
        <f t="shared" si="1"/>
        <v>03.11.01</v>
      </c>
      <c r="V52" s="207" t="str">
        <f t="shared" si="2"/>
        <v>Bangunan Gedung Tempat Kerja</v>
      </c>
      <c r="W52" s="207">
        <f t="shared" si="3"/>
        <v>50</v>
      </c>
      <c r="X52" s="233">
        <f t="shared" si="4"/>
        <v>4465331.5630000001</v>
      </c>
      <c r="Y52" s="714">
        <f t="shared" si="5"/>
        <v>6</v>
      </c>
      <c r="Z52" s="233">
        <f t="shared" si="6"/>
        <v>26791989.377999999</v>
      </c>
      <c r="AA52" s="233">
        <f t="shared" si="7"/>
        <v>4465331.5630000001</v>
      </c>
      <c r="AB52" s="233">
        <f t="shared" si="8"/>
        <v>4465331.5630000001</v>
      </c>
      <c r="AC52" s="233">
        <f t="shared" si="9"/>
        <v>4465331.5630000001</v>
      </c>
      <c r="AD52" s="238">
        <f t="shared" si="10"/>
        <v>4465331.5630000001</v>
      </c>
      <c r="AE52" s="238">
        <f t="shared" si="11"/>
        <v>4465331.5630000001</v>
      </c>
      <c r="AF52" s="238">
        <f t="shared" si="12"/>
        <v>49118647.193000004</v>
      </c>
      <c r="AG52" s="206">
        <f t="shared" si="13"/>
        <v>2007</v>
      </c>
      <c r="AH52" s="210">
        <f t="shared" si="14"/>
        <v>174147940.95700002</v>
      </c>
    </row>
    <row r="53" spans="1:34" s="48" customFormat="1" ht="40.5" hidden="1" customHeight="1" x14ac:dyDescent="0.2">
      <c r="A53" s="296"/>
      <c r="B53" s="48" t="s">
        <v>1024</v>
      </c>
      <c r="C53" s="772"/>
      <c r="D53" s="73"/>
      <c r="E53" s="65" t="s">
        <v>1024</v>
      </c>
      <c r="F53" s="67" t="s">
        <v>1752</v>
      </c>
      <c r="G53" s="67"/>
      <c r="H53" s="33" t="s">
        <v>43</v>
      </c>
      <c r="I53" s="40"/>
      <c r="J53" s="40"/>
      <c r="K53" s="40"/>
      <c r="L53" s="102" t="s">
        <v>1090</v>
      </c>
      <c r="M53" s="40">
        <v>2007</v>
      </c>
      <c r="N53" s="40"/>
      <c r="O53" s="104">
        <v>120</v>
      </c>
      <c r="P53" s="33"/>
      <c r="Q53" s="40"/>
      <c r="R53" s="32" t="s">
        <v>12</v>
      </c>
      <c r="S53" s="252">
        <v>223266588.17763156</v>
      </c>
      <c r="T53" s="61"/>
      <c r="U53" s="206" t="str">
        <f t="shared" si="1"/>
        <v>03.11.01</v>
      </c>
      <c r="V53" s="207" t="str">
        <f t="shared" si="2"/>
        <v>Bangunan Gedung Tempat Kerja</v>
      </c>
      <c r="W53" s="207">
        <f t="shared" si="3"/>
        <v>50</v>
      </c>
      <c r="X53" s="233">
        <f t="shared" si="4"/>
        <v>4465331.5635526311</v>
      </c>
      <c r="Y53" s="714">
        <f t="shared" si="5"/>
        <v>6</v>
      </c>
      <c r="Z53" s="233">
        <f t="shared" si="6"/>
        <v>26791989.381315786</v>
      </c>
      <c r="AA53" s="233">
        <f t="shared" si="7"/>
        <v>4465331.5635526311</v>
      </c>
      <c r="AB53" s="233">
        <f t="shared" si="8"/>
        <v>4465331.5635526311</v>
      </c>
      <c r="AC53" s="233">
        <f t="shared" si="9"/>
        <v>4465331.5635526311</v>
      </c>
      <c r="AD53" s="238">
        <f t="shared" si="10"/>
        <v>4465331.5635526311</v>
      </c>
      <c r="AE53" s="238">
        <f t="shared" si="11"/>
        <v>4465331.5635526311</v>
      </c>
      <c r="AF53" s="238">
        <f t="shared" si="12"/>
        <v>49118647.199078947</v>
      </c>
      <c r="AG53" s="206">
        <f t="shared" si="13"/>
        <v>2007</v>
      </c>
      <c r="AH53" s="210">
        <f t="shared" si="14"/>
        <v>174147940.97855261</v>
      </c>
    </row>
    <row r="54" spans="1:34" s="48" customFormat="1" ht="40.5" hidden="1" customHeight="1" x14ac:dyDescent="0.2">
      <c r="A54" s="296"/>
      <c r="B54" s="48" t="s">
        <v>1025</v>
      </c>
      <c r="C54" s="772"/>
      <c r="D54" s="73"/>
      <c r="E54" s="65" t="s">
        <v>1025</v>
      </c>
      <c r="F54" s="67" t="s">
        <v>1752</v>
      </c>
      <c r="G54" s="67"/>
      <c r="H54" s="33" t="s">
        <v>43</v>
      </c>
      <c r="I54" s="40"/>
      <c r="J54" s="40"/>
      <c r="K54" s="40"/>
      <c r="L54" s="102" t="s">
        <v>1091</v>
      </c>
      <c r="M54" s="40">
        <v>2007</v>
      </c>
      <c r="N54" s="40"/>
      <c r="O54" s="104">
        <v>120</v>
      </c>
      <c r="P54" s="33"/>
      <c r="Q54" s="40"/>
      <c r="R54" s="32" t="s">
        <v>12</v>
      </c>
      <c r="S54" s="252">
        <v>223266588.17763156</v>
      </c>
      <c r="T54" s="61"/>
      <c r="U54" s="206" t="str">
        <f t="shared" si="1"/>
        <v>03.11.01</v>
      </c>
      <c r="V54" s="207" t="str">
        <f t="shared" si="2"/>
        <v>Bangunan Gedung Tempat Kerja</v>
      </c>
      <c r="W54" s="207">
        <f t="shared" si="3"/>
        <v>50</v>
      </c>
      <c r="X54" s="233">
        <f t="shared" si="4"/>
        <v>4465331.5635526311</v>
      </c>
      <c r="Y54" s="714">
        <f t="shared" si="5"/>
        <v>6</v>
      </c>
      <c r="Z54" s="233">
        <f t="shared" si="6"/>
        <v>26791989.381315786</v>
      </c>
      <c r="AA54" s="233">
        <f t="shared" si="7"/>
        <v>4465331.5635526311</v>
      </c>
      <c r="AB54" s="233">
        <f t="shared" si="8"/>
        <v>4465331.5635526311</v>
      </c>
      <c r="AC54" s="233">
        <f t="shared" si="9"/>
        <v>4465331.5635526311</v>
      </c>
      <c r="AD54" s="238">
        <f t="shared" si="10"/>
        <v>4465331.5635526311</v>
      </c>
      <c r="AE54" s="238">
        <f t="shared" si="11"/>
        <v>4465331.5635526311</v>
      </c>
      <c r="AF54" s="238">
        <f t="shared" si="12"/>
        <v>49118647.199078947</v>
      </c>
      <c r="AG54" s="206">
        <f t="shared" si="13"/>
        <v>2007</v>
      </c>
      <c r="AH54" s="210">
        <f t="shared" si="14"/>
        <v>174147940.97855261</v>
      </c>
    </row>
    <row r="55" spans="1:34" s="48" customFormat="1" ht="40.5" hidden="1" customHeight="1" x14ac:dyDescent="0.2">
      <c r="A55" s="296"/>
      <c r="B55" s="48" t="s">
        <v>4293</v>
      </c>
      <c r="C55" s="772"/>
      <c r="D55" s="73"/>
      <c r="E55" s="65" t="s">
        <v>1026</v>
      </c>
      <c r="F55" s="67" t="s">
        <v>1752</v>
      </c>
      <c r="G55" s="67"/>
      <c r="H55" s="33" t="s">
        <v>43</v>
      </c>
      <c r="I55" s="40"/>
      <c r="J55" s="40"/>
      <c r="K55" s="40"/>
      <c r="L55" s="102" t="s">
        <v>1092</v>
      </c>
      <c r="M55" s="40">
        <v>2007</v>
      </c>
      <c r="N55" s="40"/>
      <c r="O55" s="104">
        <v>120</v>
      </c>
      <c r="P55" s="33"/>
      <c r="Q55" s="40"/>
      <c r="R55" s="32" t="s">
        <v>12</v>
      </c>
      <c r="S55" s="252">
        <v>223266588.17763156</v>
      </c>
      <c r="T55" s="61"/>
      <c r="U55" s="206" t="str">
        <f t="shared" si="1"/>
        <v>03.11.01</v>
      </c>
      <c r="V55" s="207" t="str">
        <f t="shared" si="2"/>
        <v>Bangunan Gedung Tempat Kerja</v>
      </c>
      <c r="W55" s="207">
        <f t="shared" si="3"/>
        <v>50</v>
      </c>
      <c r="X55" s="233">
        <f t="shared" si="4"/>
        <v>4465331.5635526311</v>
      </c>
      <c r="Y55" s="714">
        <f t="shared" si="5"/>
        <v>6</v>
      </c>
      <c r="Z55" s="233">
        <f t="shared" si="6"/>
        <v>26791989.381315786</v>
      </c>
      <c r="AA55" s="233">
        <f t="shared" si="7"/>
        <v>4465331.5635526311</v>
      </c>
      <c r="AB55" s="233">
        <f t="shared" si="8"/>
        <v>4465331.5635526311</v>
      </c>
      <c r="AC55" s="233">
        <f t="shared" si="9"/>
        <v>4465331.5635526311</v>
      </c>
      <c r="AD55" s="238">
        <f t="shared" si="10"/>
        <v>4465331.5635526311</v>
      </c>
      <c r="AE55" s="238">
        <f t="shared" si="11"/>
        <v>4465331.5635526311</v>
      </c>
      <c r="AF55" s="238">
        <f t="shared" si="12"/>
        <v>49118647.199078947</v>
      </c>
      <c r="AG55" s="206">
        <f t="shared" si="13"/>
        <v>2007</v>
      </c>
      <c r="AH55" s="210">
        <f t="shared" si="14"/>
        <v>174147940.97855261</v>
      </c>
    </row>
    <row r="56" spans="1:34" s="670" customFormat="1" ht="40.5" hidden="1" customHeight="1" x14ac:dyDescent="0.2">
      <c r="A56" s="669">
        <v>5</v>
      </c>
      <c r="B56" s="691" t="s">
        <v>2988</v>
      </c>
      <c r="C56" s="773" t="s">
        <v>4247</v>
      </c>
      <c r="D56" s="652"/>
      <c r="E56" s="671" t="s">
        <v>1027</v>
      </c>
      <c r="F56" s="653" t="s">
        <v>1772</v>
      </c>
      <c r="G56" s="653"/>
      <c r="H56" s="673" t="s">
        <v>43</v>
      </c>
      <c r="I56" s="674"/>
      <c r="J56" s="674"/>
      <c r="K56" s="674"/>
      <c r="L56" s="678" t="s">
        <v>1093</v>
      </c>
      <c r="M56" s="674">
        <v>2007</v>
      </c>
      <c r="N56" s="674"/>
      <c r="O56" s="690">
        <v>550</v>
      </c>
      <c r="P56" s="673"/>
      <c r="Q56" s="674"/>
      <c r="R56" s="675" t="s">
        <v>12</v>
      </c>
      <c r="S56" s="654">
        <f>1023305195.81414</f>
        <v>1023305195.81414</v>
      </c>
      <c r="T56" s="676"/>
      <c r="U56" s="206" t="str">
        <f t="shared" si="1"/>
        <v>03.11.01</v>
      </c>
      <c r="V56" s="207" t="str">
        <f t="shared" si="2"/>
        <v>Bangunan Gedung Tempat Kerja</v>
      </c>
      <c r="W56" s="207">
        <f t="shared" si="3"/>
        <v>50</v>
      </c>
      <c r="X56" s="233">
        <f t="shared" si="4"/>
        <v>20466103.7162828</v>
      </c>
      <c r="Y56" s="714">
        <f t="shared" si="5"/>
        <v>6</v>
      </c>
      <c r="Z56" s="233">
        <f t="shared" si="6"/>
        <v>122796622.2976968</v>
      </c>
      <c r="AA56" s="233">
        <f t="shared" si="7"/>
        <v>20466103.7162828</v>
      </c>
      <c r="AB56" s="233">
        <f t="shared" si="8"/>
        <v>20466103.7162828</v>
      </c>
      <c r="AC56" s="233">
        <f t="shared" si="9"/>
        <v>20466103.7162828</v>
      </c>
      <c r="AD56" s="238">
        <f t="shared" si="10"/>
        <v>20466103.7162828</v>
      </c>
      <c r="AE56" s="238">
        <f t="shared" si="11"/>
        <v>20466103.7162828</v>
      </c>
      <c r="AF56" s="238">
        <f t="shared" si="12"/>
        <v>225127140.87911075</v>
      </c>
      <c r="AG56" s="206">
        <f t="shared" si="13"/>
        <v>2007</v>
      </c>
      <c r="AH56" s="210">
        <f t="shared" si="14"/>
        <v>798178054.93502927</v>
      </c>
    </row>
    <row r="57" spans="1:34" s="48" customFormat="1" ht="40.5" hidden="1" customHeight="1" x14ac:dyDescent="0.2">
      <c r="A57" s="296">
        <v>5</v>
      </c>
      <c r="B57" s="72" t="s">
        <v>2988</v>
      </c>
      <c r="C57" s="772" t="s">
        <v>4247</v>
      </c>
      <c r="D57" s="73"/>
      <c r="E57" s="65" t="s">
        <v>1050</v>
      </c>
      <c r="F57" s="67" t="s">
        <v>1772</v>
      </c>
      <c r="G57" s="67"/>
      <c r="H57" s="33" t="s">
        <v>43</v>
      </c>
      <c r="I57" s="40"/>
      <c r="J57" s="40"/>
      <c r="K57" s="40"/>
      <c r="L57" s="65" t="s">
        <v>1093</v>
      </c>
      <c r="M57" s="40">
        <v>2008</v>
      </c>
      <c r="N57" s="40"/>
      <c r="O57" s="32"/>
      <c r="P57" s="33"/>
      <c r="Q57" s="40"/>
      <c r="R57" s="32" t="s">
        <v>12</v>
      </c>
      <c r="S57" s="555">
        <v>1307405886.4269106</v>
      </c>
      <c r="T57" s="61"/>
      <c r="U57" s="206" t="str">
        <f t="shared" si="1"/>
        <v>03.11.01</v>
      </c>
      <c r="V57" s="207" t="str">
        <f t="shared" si="2"/>
        <v>Bangunan Gedung Tempat Kerja</v>
      </c>
      <c r="W57" s="207">
        <f t="shared" si="3"/>
        <v>50</v>
      </c>
      <c r="X57" s="233">
        <f t="shared" si="4"/>
        <v>26148117.528538212</v>
      </c>
      <c r="Y57" s="714">
        <f t="shared" si="5"/>
        <v>5</v>
      </c>
      <c r="Z57" s="233">
        <f t="shared" si="6"/>
        <v>130740587.64269106</v>
      </c>
      <c r="AA57" s="233">
        <f t="shared" si="7"/>
        <v>26148117.528538212</v>
      </c>
      <c r="AB57" s="233">
        <f t="shared" si="8"/>
        <v>26148117.528538212</v>
      </c>
      <c r="AC57" s="233">
        <f t="shared" si="9"/>
        <v>26148117.528538212</v>
      </c>
      <c r="AD57" s="238">
        <f t="shared" si="10"/>
        <v>26148117.528538212</v>
      </c>
      <c r="AE57" s="238">
        <f t="shared" si="11"/>
        <v>26148117.528538212</v>
      </c>
      <c r="AF57" s="238">
        <f t="shared" si="12"/>
        <v>261481175.28538215</v>
      </c>
      <c r="AG57" s="206">
        <f t="shared" si="13"/>
        <v>2008</v>
      </c>
      <c r="AH57" s="210">
        <f t="shared" si="14"/>
        <v>1045924711.1415285</v>
      </c>
    </row>
    <row r="58" spans="1:34" s="670" customFormat="1" ht="40.5" hidden="1" customHeight="1" x14ac:dyDescent="0.2">
      <c r="A58" s="669">
        <v>6</v>
      </c>
      <c r="B58" s="670" t="s">
        <v>2989</v>
      </c>
      <c r="C58" s="773" t="s">
        <v>4247</v>
      </c>
      <c r="D58" s="652"/>
      <c r="E58" s="671" t="s">
        <v>1028</v>
      </c>
      <c r="F58" s="653" t="s">
        <v>1772</v>
      </c>
      <c r="G58" s="653"/>
      <c r="H58" s="673" t="s">
        <v>43</v>
      </c>
      <c r="I58" s="674"/>
      <c r="J58" s="674"/>
      <c r="K58" s="674"/>
      <c r="L58" s="678" t="s">
        <v>428</v>
      </c>
      <c r="M58" s="674">
        <v>2007</v>
      </c>
      <c r="N58" s="674"/>
      <c r="O58" s="690">
        <v>420</v>
      </c>
      <c r="P58" s="673"/>
      <c r="Q58" s="674"/>
      <c r="R58" s="675" t="s">
        <v>12</v>
      </c>
      <c r="S58" s="654">
        <f>781433058.6</f>
        <v>781433058.60000002</v>
      </c>
      <c r="T58" s="676"/>
      <c r="U58" s="206" t="str">
        <f t="shared" si="1"/>
        <v>03.11.01</v>
      </c>
      <c r="V58" s="207" t="str">
        <f t="shared" si="2"/>
        <v>Bangunan Gedung Tempat Kerja</v>
      </c>
      <c r="W58" s="207">
        <f t="shared" si="3"/>
        <v>50</v>
      </c>
      <c r="X58" s="233">
        <f t="shared" si="4"/>
        <v>15628660.972000001</v>
      </c>
      <c r="Y58" s="714">
        <f t="shared" si="5"/>
        <v>6</v>
      </c>
      <c r="Z58" s="233">
        <f t="shared" si="6"/>
        <v>93771965.832000002</v>
      </c>
      <c r="AA58" s="233">
        <f t="shared" si="7"/>
        <v>15628660.972000001</v>
      </c>
      <c r="AB58" s="233">
        <f t="shared" si="8"/>
        <v>15628660.972000001</v>
      </c>
      <c r="AC58" s="233">
        <f t="shared" si="9"/>
        <v>15628660.972000001</v>
      </c>
      <c r="AD58" s="238">
        <f t="shared" si="10"/>
        <v>15628660.972000001</v>
      </c>
      <c r="AE58" s="238">
        <f t="shared" si="11"/>
        <v>15628660.972000001</v>
      </c>
      <c r="AF58" s="238">
        <f t="shared" si="12"/>
        <v>171915270.692</v>
      </c>
      <c r="AG58" s="206">
        <f t="shared" si="13"/>
        <v>2007</v>
      </c>
      <c r="AH58" s="210">
        <f t="shared" si="14"/>
        <v>609517787.90799999</v>
      </c>
    </row>
    <row r="59" spans="1:34" s="48" customFormat="1" ht="40.5" hidden="1" customHeight="1" x14ac:dyDescent="0.2">
      <c r="A59" s="296">
        <v>6</v>
      </c>
      <c r="B59" s="48" t="s">
        <v>2989</v>
      </c>
      <c r="C59" s="772" t="s">
        <v>4247</v>
      </c>
      <c r="D59" s="73"/>
      <c r="E59" s="65" t="s">
        <v>1051</v>
      </c>
      <c r="F59" s="67" t="s">
        <v>1772</v>
      </c>
      <c r="G59" s="67"/>
      <c r="H59" s="33" t="s">
        <v>43</v>
      </c>
      <c r="I59" s="40"/>
      <c r="J59" s="40"/>
      <c r="K59" s="40"/>
      <c r="L59" s="65" t="s">
        <v>428</v>
      </c>
      <c r="M59" s="40">
        <v>2008</v>
      </c>
      <c r="N59" s="40"/>
      <c r="O59" s="32"/>
      <c r="P59" s="33"/>
      <c r="Q59" s="40"/>
      <c r="R59" s="32" t="s">
        <v>12</v>
      </c>
      <c r="S59" s="555">
        <v>230887746.03325808</v>
      </c>
      <c r="T59" s="61"/>
      <c r="U59" s="206" t="str">
        <f t="shared" si="1"/>
        <v>03.11.01</v>
      </c>
      <c r="V59" s="207" t="str">
        <f t="shared" si="2"/>
        <v>Bangunan Gedung Tempat Kerja</v>
      </c>
      <c r="W59" s="207">
        <f t="shared" si="3"/>
        <v>50</v>
      </c>
      <c r="X59" s="233">
        <f t="shared" si="4"/>
        <v>4617754.7206651615</v>
      </c>
      <c r="Y59" s="714">
        <f t="shared" si="5"/>
        <v>5</v>
      </c>
      <c r="Z59" s="233">
        <f t="shared" si="6"/>
        <v>23088773.603325807</v>
      </c>
      <c r="AA59" s="233">
        <f t="shared" si="7"/>
        <v>4617754.7206651615</v>
      </c>
      <c r="AB59" s="233">
        <f t="shared" si="8"/>
        <v>4617754.7206651615</v>
      </c>
      <c r="AC59" s="233">
        <f t="shared" si="9"/>
        <v>4617754.7206651615</v>
      </c>
      <c r="AD59" s="238">
        <f t="shared" si="10"/>
        <v>4617754.7206651615</v>
      </c>
      <c r="AE59" s="238">
        <f t="shared" si="11"/>
        <v>4617754.7206651615</v>
      </c>
      <c r="AF59" s="238">
        <f t="shared" si="12"/>
        <v>46177547.206651621</v>
      </c>
      <c r="AG59" s="206">
        <f t="shared" si="13"/>
        <v>2008</v>
      </c>
      <c r="AH59" s="210">
        <f t="shared" si="14"/>
        <v>184710198.82660645</v>
      </c>
    </row>
    <row r="60" spans="1:34" s="670" customFormat="1" ht="40.5" hidden="1" customHeight="1" x14ac:dyDescent="0.2">
      <c r="A60" s="669">
        <v>7</v>
      </c>
      <c r="B60" s="691" t="s">
        <v>2987</v>
      </c>
      <c r="C60" s="773" t="s">
        <v>4247</v>
      </c>
      <c r="D60" s="652"/>
      <c r="E60" s="671" t="s">
        <v>1029</v>
      </c>
      <c r="F60" s="653" t="s">
        <v>1772</v>
      </c>
      <c r="G60" s="653"/>
      <c r="H60" s="673" t="s">
        <v>43</v>
      </c>
      <c r="I60" s="674"/>
      <c r="J60" s="674"/>
      <c r="K60" s="674"/>
      <c r="L60" s="678" t="s">
        <v>1094</v>
      </c>
      <c r="M60" s="674">
        <v>2007</v>
      </c>
      <c r="N60" s="674"/>
      <c r="O60" s="690">
        <v>420</v>
      </c>
      <c r="P60" s="673"/>
      <c r="Q60" s="674"/>
      <c r="R60" s="675" t="s">
        <v>12</v>
      </c>
      <c r="S60" s="654">
        <f>781433058.48</f>
        <v>781433058.48000002</v>
      </c>
      <c r="T60" s="676"/>
      <c r="U60" s="206" t="str">
        <f t="shared" si="1"/>
        <v>03.11.01</v>
      </c>
      <c r="V60" s="207" t="str">
        <f t="shared" si="2"/>
        <v>Bangunan Gedung Tempat Kerja</v>
      </c>
      <c r="W60" s="207">
        <f t="shared" si="3"/>
        <v>50</v>
      </c>
      <c r="X60" s="233">
        <f t="shared" si="4"/>
        <v>15628660.969599999</v>
      </c>
      <c r="Y60" s="714">
        <f t="shared" si="5"/>
        <v>6</v>
      </c>
      <c r="Z60" s="233">
        <f t="shared" si="6"/>
        <v>93771965.817599997</v>
      </c>
      <c r="AA60" s="233">
        <f t="shared" si="7"/>
        <v>15628660.969599999</v>
      </c>
      <c r="AB60" s="233">
        <f t="shared" si="8"/>
        <v>15628660.969599999</v>
      </c>
      <c r="AC60" s="233">
        <f t="shared" si="9"/>
        <v>15628660.969599999</v>
      </c>
      <c r="AD60" s="238">
        <f t="shared" si="10"/>
        <v>15628660.969599999</v>
      </c>
      <c r="AE60" s="238">
        <f t="shared" si="11"/>
        <v>15628660.969599999</v>
      </c>
      <c r="AF60" s="238">
        <f t="shared" si="12"/>
        <v>171915270.66559997</v>
      </c>
      <c r="AG60" s="206">
        <f t="shared" si="13"/>
        <v>2007</v>
      </c>
      <c r="AH60" s="210">
        <f t="shared" si="14"/>
        <v>609517787.81440008</v>
      </c>
    </row>
    <row r="61" spans="1:34" s="48" customFormat="1" ht="40.5" hidden="1" customHeight="1" x14ac:dyDescent="0.2">
      <c r="A61" s="296">
        <v>7</v>
      </c>
      <c r="B61" s="72" t="s">
        <v>2987</v>
      </c>
      <c r="C61" s="772" t="s">
        <v>4247</v>
      </c>
      <c r="D61" s="73"/>
      <c r="E61" s="65" t="s">
        <v>1052</v>
      </c>
      <c r="F61" s="67" t="s">
        <v>1772</v>
      </c>
      <c r="G61" s="67"/>
      <c r="H61" s="33" t="s">
        <v>43</v>
      </c>
      <c r="I61" s="40"/>
      <c r="J61" s="40"/>
      <c r="K61" s="40"/>
      <c r="L61" s="65" t="s">
        <v>1094</v>
      </c>
      <c r="M61" s="40">
        <v>2008</v>
      </c>
      <c r="N61" s="40"/>
      <c r="O61" s="32"/>
      <c r="P61" s="33"/>
      <c r="Q61" s="40"/>
      <c r="R61" s="32" t="s">
        <v>12</v>
      </c>
      <c r="S61" s="555">
        <v>409569091.36122507</v>
      </c>
      <c r="T61" s="61"/>
      <c r="U61" s="206" t="str">
        <f t="shared" si="1"/>
        <v>03.11.01</v>
      </c>
      <c r="V61" s="207" t="str">
        <f t="shared" si="2"/>
        <v>Bangunan Gedung Tempat Kerja</v>
      </c>
      <c r="W61" s="207">
        <f t="shared" si="3"/>
        <v>50</v>
      </c>
      <c r="X61" s="233">
        <f t="shared" si="4"/>
        <v>8191381.6272245012</v>
      </c>
      <c r="Y61" s="714">
        <f t="shared" si="5"/>
        <v>5</v>
      </c>
      <c r="Z61" s="233">
        <f t="shared" si="6"/>
        <v>40956908.13612251</v>
      </c>
      <c r="AA61" s="233">
        <f t="shared" si="7"/>
        <v>8191381.6272245012</v>
      </c>
      <c r="AB61" s="233">
        <f t="shared" si="8"/>
        <v>8191381.6272245012</v>
      </c>
      <c r="AC61" s="233">
        <f t="shared" si="9"/>
        <v>8191381.6272245012</v>
      </c>
      <c r="AD61" s="238">
        <f t="shared" si="10"/>
        <v>8191381.6272245012</v>
      </c>
      <c r="AE61" s="238">
        <f t="shared" si="11"/>
        <v>8191381.6272245012</v>
      </c>
      <c r="AF61" s="238">
        <f t="shared" si="12"/>
        <v>81913816.272245035</v>
      </c>
      <c r="AG61" s="206">
        <f t="shared" si="13"/>
        <v>2008</v>
      </c>
      <c r="AH61" s="210">
        <f t="shared" si="14"/>
        <v>327655275.08898002</v>
      </c>
    </row>
    <row r="62" spans="1:34" s="48" customFormat="1" ht="40.5" hidden="1" customHeight="1" x14ac:dyDescent="0.2">
      <c r="A62" s="296"/>
      <c r="B62" s="48" t="s">
        <v>3001</v>
      </c>
      <c r="C62" s="772" t="s">
        <v>4266</v>
      </c>
      <c r="D62" s="73"/>
      <c r="E62" s="65" t="s">
        <v>1030</v>
      </c>
      <c r="F62" s="67" t="s">
        <v>1752</v>
      </c>
      <c r="G62" s="67"/>
      <c r="H62" s="33"/>
      <c r="I62" s="40"/>
      <c r="J62" s="40"/>
      <c r="K62" s="40"/>
      <c r="L62" s="65" t="s">
        <v>52</v>
      </c>
      <c r="M62" s="40">
        <v>2007</v>
      </c>
      <c r="N62" s="40"/>
      <c r="O62" s="32"/>
      <c r="P62" s="33"/>
      <c r="Q62" s="40"/>
      <c r="R62" s="32" t="s">
        <v>12</v>
      </c>
      <c r="S62" s="252">
        <v>956968150</v>
      </c>
      <c r="T62" s="61"/>
      <c r="U62" s="206" t="str">
        <f t="shared" si="1"/>
        <v>03.11.01</v>
      </c>
      <c r="V62" s="207" t="str">
        <f t="shared" si="2"/>
        <v>Bangunan Gedung Tempat Kerja</v>
      </c>
      <c r="W62" s="207">
        <f t="shared" si="3"/>
        <v>50</v>
      </c>
      <c r="X62" s="233">
        <f t="shared" si="4"/>
        <v>19139362.800000001</v>
      </c>
      <c r="Y62" s="714">
        <f t="shared" si="5"/>
        <v>6</v>
      </c>
      <c r="Z62" s="233">
        <f t="shared" si="6"/>
        <v>114836176.80000001</v>
      </c>
      <c r="AA62" s="233">
        <f t="shared" si="7"/>
        <v>19139362.800000001</v>
      </c>
      <c r="AB62" s="233">
        <f t="shared" si="8"/>
        <v>19139362.800000001</v>
      </c>
      <c r="AC62" s="233">
        <f t="shared" si="9"/>
        <v>19139362.800000001</v>
      </c>
      <c r="AD62" s="238">
        <f t="shared" si="10"/>
        <v>19139362.800000001</v>
      </c>
      <c r="AE62" s="238">
        <f t="shared" si="11"/>
        <v>19139362.800000001</v>
      </c>
      <c r="AF62" s="238">
        <f t="shared" si="12"/>
        <v>210532990.80000004</v>
      </c>
      <c r="AG62" s="206">
        <f t="shared" si="13"/>
        <v>2007</v>
      </c>
      <c r="AH62" s="210">
        <f t="shared" si="14"/>
        <v>746435159.19999993</v>
      </c>
    </row>
    <row r="63" spans="1:34" s="48" customFormat="1" ht="40.5" hidden="1" customHeight="1" x14ac:dyDescent="0.2">
      <c r="A63" s="296"/>
      <c r="B63" s="48" t="s">
        <v>4276</v>
      </c>
      <c r="C63" s="772"/>
      <c r="D63" s="73"/>
      <c r="E63" s="65" t="s">
        <v>1031</v>
      </c>
      <c r="F63" s="67" t="s">
        <v>2485</v>
      </c>
      <c r="G63" s="67"/>
      <c r="H63" s="33" t="s">
        <v>135</v>
      </c>
      <c r="I63" s="40"/>
      <c r="J63" s="40"/>
      <c r="K63" s="40"/>
      <c r="L63" s="102" t="s">
        <v>428</v>
      </c>
      <c r="M63" s="40">
        <v>2007</v>
      </c>
      <c r="N63" s="40"/>
      <c r="O63" s="32"/>
      <c r="P63" s="33"/>
      <c r="Q63" s="40"/>
      <c r="R63" s="32" t="s">
        <v>12</v>
      </c>
      <c r="S63" s="252">
        <v>110133381.99452282</v>
      </c>
      <c r="T63" s="61"/>
      <c r="U63" s="206" t="str">
        <f t="shared" si="1"/>
        <v>03.11.02</v>
      </c>
      <c r="V63" s="207" t="str">
        <f t="shared" si="2"/>
        <v>Bangunan Gedung Tempat Tinggal</v>
      </c>
      <c r="W63" s="207">
        <f t="shared" si="3"/>
        <v>50</v>
      </c>
      <c r="X63" s="233">
        <f t="shared" si="4"/>
        <v>2202667.4398904564</v>
      </c>
      <c r="Y63" s="714">
        <f t="shared" si="5"/>
        <v>6</v>
      </c>
      <c r="Z63" s="233">
        <f t="shared" si="6"/>
        <v>13216004.639342738</v>
      </c>
      <c r="AA63" s="233">
        <f t="shared" si="7"/>
        <v>2202667.4398904564</v>
      </c>
      <c r="AB63" s="233">
        <f t="shared" si="8"/>
        <v>2202667.4398904564</v>
      </c>
      <c r="AC63" s="233">
        <f t="shared" si="9"/>
        <v>2202667.4398904564</v>
      </c>
      <c r="AD63" s="238">
        <f t="shared" si="10"/>
        <v>2202667.4398904564</v>
      </c>
      <c r="AE63" s="238">
        <f t="shared" si="11"/>
        <v>2202667.4398904564</v>
      </c>
      <c r="AF63" s="238">
        <f t="shared" si="12"/>
        <v>24229341.838795017</v>
      </c>
      <c r="AG63" s="206">
        <f t="shared" si="13"/>
        <v>2007</v>
      </c>
      <c r="AH63" s="210">
        <f t="shared" si="14"/>
        <v>85904040.155727804</v>
      </c>
    </row>
    <row r="64" spans="1:34" s="48" customFormat="1" ht="40.5" hidden="1" customHeight="1" x14ac:dyDescent="0.2">
      <c r="A64" s="296"/>
      <c r="B64" s="48" t="s">
        <v>4344</v>
      </c>
      <c r="C64" s="772"/>
      <c r="D64" s="73"/>
      <c r="E64" s="65" t="s">
        <v>1032</v>
      </c>
      <c r="F64" s="67" t="s">
        <v>2485</v>
      </c>
      <c r="G64" s="67"/>
      <c r="H64" s="33"/>
      <c r="I64" s="40"/>
      <c r="J64" s="40"/>
      <c r="K64" s="40"/>
      <c r="L64" s="102" t="s">
        <v>427</v>
      </c>
      <c r="M64" s="40">
        <v>2007</v>
      </c>
      <c r="N64" s="40"/>
      <c r="O64" s="32"/>
      <c r="P64" s="33"/>
      <c r="Q64" s="40"/>
      <c r="R64" s="32" t="s">
        <v>12</v>
      </c>
      <c r="S64" s="252">
        <v>94910618.005477175</v>
      </c>
      <c r="T64" s="61"/>
      <c r="U64" s="206" t="str">
        <f t="shared" si="1"/>
        <v>03.11.02</v>
      </c>
      <c r="V64" s="207" t="str">
        <f t="shared" si="2"/>
        <v>Bangunan Gedung Tempat Tinggal</v>
      </c>
      <c r="W64" s="207">
        <f t="shared" si="3"/>
        <v>50</v>
      </c>
      <c r="X64" s="233">
        <f t="shared" si="4"/>
        <v>1898212.1601095435</v>
      </c>
      <c r="Y64" s="714">
        <f t="shared" si="5"/>
        <v>6</v>
      </c>
      <c r="Z64" s="233">
        <f t="shared" si="6"/>
        <v>11389272.960657261</v>
      </c>
      <c r="AA64" s="233">
        <f t="shared" si="7"/>
        <v>1898212.1601095435</v>
      </c>
      <c r="AB64" s="233">
        <f t="shared" si="8"/>
        <v>1898212.1601095435</v>
      </c>
      <c r="AC64" s="233">
        <f t="shared" si="9"/>
        <v>1898212.1601095435</v>
      </c>
      <c r="AD64" s="238">
        <f t="shared" si="10"/>
        <v>1898212.1601095435</v>
      </c>
      <c r="AE64" s="238">
        <f t="shared" si="11"/>
        <v>1898212.1601095435</v>
      </c>
      <c r="AF64" s="238">
        <f t="shared" si="12"/>
        <v>20880333.761204977</v>
      </c>
      <c r="AG64" s="206">
        <f t="shared" si="13"/>
        <v>2007</v>
      </c>
      <c r="AH64" s="210">
        <f t="shared" si="14"/>
        <v>74030284.244272202</v>
      </c>
    </row>
    <row r="65" spans="1:34" s="670" customFormat="1" ht="40.5" hidden="1" customHeight="1" x14ac:dyDescent="0.2">
      <c r="A65" s="669">
        <v>8</v>
      </c>
      <c r="B65" s="670" t="s">
        <v>3002</v>
      </c>
      <c r="C65" s="773" t="s">
        <v>4247</v>
      </c>
      <c r="D65" s="652"/>
      <c r="E65" s="671" t="s">
        <v>1033</v>
      </c>
      <c r="F65" s="653" t="s">
        <v>1752</v>
      </c>
      <c r="G65" s="653" t="s">
        <v>426</v>
      </c>
      <c r="H65" s="673" t="s">
        <v>43</v>
      </c>
      <c r="I65" s="674"/>
      <c r="J65" s="674"/>
      <c r="K65" s="674"/>
      <c r="L65" s="678" t="s">
        <v>417</v>
      </c>
      <c r="M65" s="674">
        <v>2007</v>
      </c>
      <c r="N65" s="674"/>
      <c r="O65" s="675">
        <v>550</v>
      </c>
      <c r="P65" s="673"/>
      <c r="Q65" s="674"/>
      <c r="R65" s="675" t="s">
        <v>12</v>
      </c>
      <c r="S65" s="654">
        <f>985718287.2</f>
        <v>985718287.20000005</v>
      </c>
      <c r="T65" s="676"/>
      <c r="U65" s="206" t="str">
        <f t="shared" si="1"/>
        <v>03.11.01</v>
      </c>
      <c r="V65" s="207" t="str">
        <f t="shared" si="2"/>
        <v>Bangunan Gedung Tempat Kerja</v>
      </c>
      <c r="W65" s="207">
        <f t="shared" si="3"/>
        <v>50</v>
      </c>
      <c r="X65" s="233">
        <f t="shared" si="4"/>
        <v>19714365.544</v>
      </c>
      <c r="Y65" s="714">
        <f t="shared" si="5"/>
        <v>6</v>
      </c>
      <c r="Z65" s="233">
        <f t="shared" si="6"/>
        <v>118286193.264</v>
      </c>
      <c r="AA65" s="233">
        <f t="shared" si="7"/>
        <v>19714365.544</v>
      </c>
      <c r="AB65" s="233">
        <f t="shared" si="8"/>
        <v>19714365.544</v>
      </c>
      <c r="AC65" s="233">
        <f t="shared" si="9"/>
        <v>19714365.544</v>
      </c>
      <c r="AD65" s="238">
        <f t="shared" si="10"/>
        <v>19714365.544</v>
      </c>
      <c r="AE65" s="238">
        <f t="shared" si="11"/>
        <v>19714365.544</v>
      </c>
      <c r="AF65" s="238">
        <f t="shared" si="12"/>
        <v>216858020.984</v>
      </c>
      <c r="AG65" s="206">
        <f t="shared" si="13"/>
        <v>2007</v>
      </c>
      <c r="AH65" s="210">
        <f t="shared" si="14"/>
        <v>768860266.21600008</v>
      </c>
    </row>
    <row r="66" spans="1:34" s="48" customFormat="1" ht="40.5" hidden="1" customHeight="1" x14ac:dyDescent="0.2">
      <c r="A66" s="296">
        <v>8</v>
      </c>
      <c r="B66" s="48" t="s">
        <v>3002</v>
      </c>
      <c r="C66" s="772" t="s">
        <v>4247</v>
      </c>
      <c r="D66" s="73"/>
      <c r="E66" s="65" t="s">
        <v>1062</v>
      </c>
      <c r="F66" s="67" t="s">
        <v>1752</v>
      </c>
      <c r="G66" s="67"/>
      <c r="H66" s="33" t="s">
        <v>43</v>
      </c>
      <c r="I66" s="40"/>
      <c r="J66" s="40"/>
      <c r="K66" s="40"/>
      <c r="L66" s="65" t="s">
        <v>417</v>
      </c>
      <c r="M66" s="40">
        <v>2008</v>
      </c>
      <c r="N66" s="40"/>
      <c r="O66" s="32"/>
      <c r="P66" s="33"/>
      <c r="Q66" s="40"/>
      <c r="R66" s="32" t="s">
        <v>12</v>
      </c>
      <c r="S66" s="252">
        <v>722860800</v>
      </c>
      <c r="T66" s="61"/>
      <c r="U66" s="206" t="str">
        <f t="shared" si="1"/>
        <v>03.11.01</v>
      </c>
      <c r="V66" s="207" t="str">
        <f t="shared" si="2"/>
        <v>Bangunan Gedung Tempat Kerja</v>
      </c>
      <c r="W66" s="207">
        <f t="shared" si="3"/>
        <v>50</v>
      </c>
      <c r="X66" s="233">
        <f t="shared" si="4"/>
        <v>14457215.800000001</v>
      </c>
      <c r="Y66" s="714">
        <f t="shared" si="5"/>
        <v>5</v>
      </c>
      <c r="Z66" s="233">
        <f t="shared" si="6"/>
        <v>72286079</v>
      </c>
      <c r="AA66" s="233">
        <f t="shared" si="7"/>
        <v>14457215.800000001</v>
      </c>
      <c r="AB66" s="233">
        <f t="shared" si="8"/>
        <v>14457215.800000001</v>
      </c>
      <c r="AC66" s="233">
        <f t="shared" si="9"/>
        <v>14457215.800000001</v>
      </c>
      <c r="AD66" s="238">
        <f t="shared" si="10"/>
        <v>14457215.800000001</v>
      </c>
      <c r="AE66" s="238">
        <f t="shared" si="11"/>
        <v>14457215.800000001</v>
      </c>
      <c r="AF66" s="238">
        <f t="shared" si="12"/>
        <v>144572158</v>
      </c>
      <c r="AG66" s="206">
        <f t="shared" si="13"/>
        <v>2008</v>
      </c>
      <c r="AH66" s="210">
        <f t="shared" si="14"/>
        <v>578288642</v>
      </c>
    </row>
    <row r="67" spans="1:34" s="670" customFormat="1" ht="40.5" hidden="1" customHeight="1" x14ac:dyDescent="0.2">
      <c r="A67" s="669">
        <v>9</v>
      </c>
      <c r="B67" s="670" t="s">
        <v>3004</v>
      </c>
      <c r="C67" s="773" t="s">
        <v>4247</v>
      </c>
      <c r="D67" s="652"/>
      <c r="E67" s="671" t="s">
        <v>1034</v>
      </c>
      <c r="F67" s="653" t="s">
        <v>1752</v>
      </c>
      <c r="G67" s="653" t="s">
        <v>426</v>
      </c>
      <c r="H67" s="673" t="s">
        <v>43</v>
      </c>
      <c r="I67" s="674"/>
      <c r="J67" s="674"/>
      <c r="K67" s="674"/>
      <c r="L67" s="678" t="s">
        <v>417</v>
      </c>
      <c r="M67" s="674">
        <v>2007</v>
      </c>
      <c r="N67" s="674"/>
      <c r="O67" s="675">
        <v>550</v>
      </c>
      <c r="P67" s="673"/>
      <c r="Q67" s="674"/>
      <c r="R67" s="675" t="s">
        <v>12</v>
      </c>
      <c r="S67" s="654">
        <f>1498540229.1</f>
        <v>1498540229.0999999</v>
      </c>
      <c r="T67" s="676"/>
      <c r="U67" s="206" t="str">
        <f t="shared" si="1"/>
        <v>03.11.01</v>
      </c>
      <c r="V67" s="207" t="str">
        <f t="shared" si="2"/>
        <v>Bangunan Gedung Tempat Kerja</v>
      </c>
      <c r="W67" s="207">
        <f t="shared" si="3"/>
        <v>50</v>
      </c>
      <c r="X67" s="233">
        <f t="shared" si="4"/>
        <v>29970804.381999999</v>
      </c>
      <c r="Y67" s="714">
        <f t="shared" si="5"/>
        <v>6</v>
      </c>
      <c r="Z67" s="233">
        <f t="shared" si="6"/>
        <v>179824826.292</v>
      </c>
      <c r="AA67" s="233">
        <f t="shared" si="7"/>
        <v>29970804.381999999</v>
      </c>
      <c r="AB67" s="233">
        <f t="shared" si="8"/>
        <v>29970804.381999999</v>
      </c>
      <c r="AC67" s="233">
        <f t="shared" si="9"/>
        <v>29970804.381999999</v>
      </c>
      <c r="AD67" s="238">
        <f t="shared" si="10"/>
        <v>29970804.381999999</v>
      </c>
      <c r="AE67" s="238">
        <f t="shared" si="11"/>
        <v>29970804.381999999</v>
      </c>
      <c r="AF67" s="238">
        <f t="shared" si="12"/>
        <v>329678848.2019999</v>
      </c>
      <c r="AG67" s="206">
        <f t="shared" si="13"/>
        <v>2007</v>
      </c>
      <c r="AH67" s="210">
        <f t="shared" si="14"/>
        <v>1168861380.898</v>
      </c>
    </row>
    <row r="68" spans="1:34" s="48" customFormat="1" ht="40.5" hidden="1" customHeight="1" x14ac:dyDescent="0.2">
      <c r="A68" s="296">
        <v>9</v>
      </c>
      <c r="B68" s="48" t="s">
        <v>3004</v>
      </c>
      <c r="C68" s="772" t="s">
        <v>4247</v>
      </c>
      <c r="D68" s="73"/>
      <c r="E68" s="65" t="s">
        <v>2679</v>
      </c>
      <c r="F68" s="67" t="s">
        <v>1752</v>
      </c>
      <c r="G68" s="67" t="s">
        <v>1864</v>
      </c>
      <c r="H68" s="33" t="s">
        <v>43</v>
      </c>
      <c r="I68" s="40" t="s">
        <v>1753</v>
      </c>
      <c r="J68" s="40" t="s">
        <v>835</v>
      </c>
      <c r="K68" s="40"/>
      <c r="L68" s="72" t="s">
        <v>1858</v>
      </c>
      <c r="M68" s="40">
        <v>2011</v>
      </c>
      <c r="N68" s="40" t="s">
        <v>1865</v>
      </c>
      <c r="O68" s="32"/>
      <c r="P68" s="33"/>
      <c r="Q68" s="40"/>
      <c r="R68" s="32" t="s">
        <v>12</v>
      </c>
      <c r="S68" s="555">
        <v>174282042.58594951</v>
      </c>
      <c r="T68" s="105"/>
      <c r="U68" s="206" t="str">
        <f t="shared" si="1"/>
        <v>03.11.01</v>
      </c>
      <c r="V68" s="207" t="str">
        <f t="shared" si="2"/>
        <v>Bangunan Gedung Tempat Kerja</v>
      </c>
      <c r="W68" s="207">
        <f t="shared" si="3"/>
        <v>50</v>
      </c>
      <c r="X68" s="233">
        <f t="shared" si="4"/>
        <v>3485640.6517189904</v>
      </c>
      <c r="Y68" s="714">
        <f t="shared" si="5"/>
        <v>2</v>
      </c>
      <c r="Z68" s="233">
        <f t="shared" si="6"/>
        <v>6971281.3034379808</v>
      </c>
      <c r="AA68" s="233">
        <f t="shared" si="7"/>
        <v>3485640.6517189904</v>
      </c>
      <c r="AB68" s="233">
        <f t="shared" si="8"/>
        <v>3485640.6517189904</v>
      </c>
      <c r="AC68" s="233">
        <f t="shared" si="9"/>
        <v>3485640.6517189904</v>
      </c>
      <c r="AD68" s="238">
        <f t="shared" si="10"/>
        <v>3485640.6517189904</v>
      </c>
      <c r="AE68" s="238">
        <f t="shared" si="11"/>
        <v>3485640.6517189904</v>
      </c>
      <c r="AF68" s="238">
        <f t="shared" si="12"/>
        <v>24399484.562032931</v>
      </c>
      <c r="AG68" s="206">
        <f t="shared" si="13"/>
        <v>2011</v>
      </c>
      <c r="AH68" s="210">
        <f t="shared" si="14"/>
        <v>149882558.02391657</v>
      </c>
    </row>
    <row r="69" spans="1:34" s="670" customFormat="1" ht="40.5" hidden="1" customHeight="1" x14ac:dyDescent="0.2">
      <c r="A69" s="669">
        <v>10</v>
      </c>
      <c r="B69" s="670" t="s">
        <v>3005</v>
      </c>
      <c r="C69" s="773" t="s">
        <v>4247</v>
      </c>
      <c r="D69" s="652"/>
      <c r="E69" s="671" t="s">
        <v>1035</v>
      </c>
      <c r="F69" s="653" t="s">
        <v>1752</v>
      </c>
      <c r="G69" s="653" t="s">
        <v>426</v>
      </c>
      <c r="H69" s="673" t="s">
        <v>43</v>
      </c>
      <c r="I69" s="674"/>
      <c r="J69" s="674"/>
      <c r="K69" s="674"/>
      <c r="L69" s="678" t="s">
        <v>417</v>
      </c>
      <c r="M69" s="674">
        <v>2007</v>
      </c>
      <c r="N69" s="674"/>
      <c r="O69" s="675">
        <v>550</v>
      </c>
      <c r="P69" s="673"/>
      <c r="Q69" s="674"/>
      <c r="R69" s="675" t="s">
        <v>12</v>
      </c>
      <c r="S69" s="654">
        <f>1022670613.8</f>
        <v>1022670613.8</v>
      </c>
      <c r="T69" s="676"/>
      <c r="U69" s="206" t="str">
        <f t="shared" si="1"/>
        <v>03.11.01</v>
      </c>
      <c r="V69" s="207" t="str">
        <f t="shared" si="2"/>
        <v>Bangunan Gedung Tempat Kerja</v>
      </c>
      <c r="W69" s="207">
        <f t="shared" si="3"/>
        <v>50</v>
      </c>
      <c r="X69" s="233">
        <f t="shared" si="4"/>
        <v>20453412.075999998</v>
      </c>
      <c r="Y69" s="714">
        <f t="shared" si="5"/>
        <v>6</v>
      </c>
      <c r="Z69" s="233">
        <f t="shared" si="6"/>
        <v>122720472.45599999</v>
      </c>
      <c r="AA69" s="233">
        <f t="shared" si="7"/>
        <v>20453412.075999998</v>
      </c>
      <c r="AB69" s="233">
        <f t="shared" si="8"/>
        <v>20453412.075999998</v>
      </c>
      <c r="AC69" s="233">
        <f t="shared" si="9"/>
        <v>20453412.075999998</v>
      </c>
      <c r="AD69" s="238">
        <f t="shared" si="10"/>
        <v>20453412.075999998</v>
      </c>
      <c r="AE69" s="238">
        <f t="shared" si="11"/>
        <v>20453412.075999998</v>
      </c>
      <c r="AF69" s="238">
        <f t="shared" si="12"/>
        <v>224987532.836</v>
      </c>
      <c r="AG69" s="206">
        <f t="shared" si="13"/>
        <v>2007</v>
      </c>
      <c r="AH69" s="210">
        <f t="shared" si="14"/>
        <v>797683080.96399999</v>
      </c>
    </row>
    <row r="70" spans="1:34" s="48" customFormat="1" ht="40.5" hidden="1" customHeight="1" x14ac:dyDescent="0.2">
      <c r="A70" s="296">
        <v>10</v>
      </c>
      <c r="B70" s="48" t="s">
        <v>3005</v>
      </c>
      <c r="C70" s="772" t="s">
        <v>4247</v>
      </c>
      <c r="D70" s="73"/>
      <c r="E70" s="65" t="s">
        <v>1064</v>
      </c>
      <c r="F70" s="67" t="s">
        <v>1752</v>
      </c>
      <c r="G70" s="67"/>
      <c r="H70" s="33" t="s">
        <v>43</v>
      </c>
      <c r="I70" s="40"/>
      <c r="J70" s="40"/>
      <c r="K70" s="40"/>
      <c r="L70" s="65" t="s">
        <v>417</v>
      </c>
      <c r="M70" s="40">
        <v>2008</v>
      </c>
      <c r="N70" s="40"/>
      <c r="O70" s="32"/>
      <c r="P70" s="33"/>
      <c r="Q70" s="40"/>
      <c r="R70" s="32" t="s">
        <v>12</v>
      </c>
      <c r="S70" s="555">
        <v>561304195</v>
      </c>
      <c r="T70" s="61"/>
      <c r="U70" s="206" t="str">
        <f t="shared" si="1"/>
        <v>03.11.01</v>
      </c>
      <c r="V70" s="207" t="str">
        <f t="shared" si="2"/>
        <v>Bangunan Gedung Tempat Kerja</v>
      </c>
      <c r="W70" s="207">
        <f t="shared" si="3"/>
        <v>50</v>
      </c>
      <c r="X70" s="233">
        <f t="shared" si="4"/>
        <v>11226083.699999999</v>
      </c>
      <c r="Y70" s="714">
        <f t="shared" si="5"/>
        <v>5</v>
      </c>
      <c r="Z70" s="233">
        <f t="shared" si="6"/>
        <v>56130418.5</v>
      </c>
      <c r="AA70" s="233">
        <f t="shared" si="7"/>
        <v>11226083.699999999</v>
      </c>
      <c r="AB70" s="233">
        <f t="shared" si="8"/>
        <v>11226083.699999999</v>
      </c>
      <c r="AC70" s="233">
        <f t="shared" si="9"/>
        <v>11226083.699999999</v>
      </c>
      <c r="AD70" s="238">
        <f t="shared" si="10"/>
        <v>11226083.699999999</v>
      </c>
      <c r="AE70" s="238">
        <f t="shared" si="11"/>
        <v>11226083.699999999</v>
      </c>
      <c r="AF70" s="238">
        <f t="shared" si="12"/>
        <v>112260837.00000001</v>
      </c>
      <c r="AG70" s="206">
        <f t="shared" si="13"/>
        <v>2008</v>
      </c>
      <c r="AH70" s="210">
        <f t="shared" si="14"/>
        <v>449043358</v>
      </c>
    </row>
    <row r="71" spans="1:34" s="48" customFormat="1" ht="40.5" hidden="1" customHeight="1" x14ac:dyDescent="0.2">
      <c r="A71" s="296">
        <v>45</v>
      </c>
      <c r="B71" s="48" t="s">
        <v>3006</v>
      </c>
      <c r="C71" s="772" t="s">
        <v>4247</v>
      </c>
      <c r="D71" s="73"/>
      <c r="E71" s="65" t="s">
        <v>1036</v>
      </c>
      <c r="F71" s="67" t="s">
        <v>1752</v>
      </c>
      <c r="G71" s="67" t="s">
        <v>426</v>
      </c>
      <c r="H71" s="33" t="s">
        <v>43</v>
      </c>
      <c r="I71" s="40"/>
      <c r="J71" s="40"/>
      <c r="K71" s="40"/>
      <c r="L71" s="102" t="s">
        <v>417</v>
      </c>
      <c r="M71" s="40">
        <v>2007</v>
      </c>
      <c r="N71" s="40"/>
      <c r="O71" s="32">
        <v>550</v>
      </c>
      <c r="P71" s="33"/>
      <c r="Q71" s="40"/>
      <c r="R71" s="32" t="s">
        <v>12</v>
      </c>
      <c r="S71" s="252">
        <v>1478086522.2</v>
      </c>
      <c r="T71" s="61"/>
      <c r="U71" s="206" t="str">
        <f t="shared" si="1"/>
        <v>03.11.01</v>
      </c>
      <c r="V71" s="207" t="str">
        <f t="shared" si="2"/>
        <v>Bangunan Gedung Tempat Kerja</v>
      </c>
      <c r="W71" s="207">
        <f t="shared" si="3"/>
        <v>50</v>
      </c>
      <c r="X71" s="233">
        <f t="shared" si="4"/>
        <v>29561730.244000003</v>
      </c>
      <c r="Y71" s="714">
        <f t="shared" si="5"/>
        <v>6</v>
      </c>
      <c r="Z71" s="233">
        <f t="shared" si="6"/>
        <v>177370381.46400002</v>
      </c>
      <c r="AA71" s="233">
        <f t="shared" si="7"/>
        <v>29561730.244000003</v>
      </c>
      <c r="AB71" s="233">
        <f t="shared" si="8"/>
        <v>29561730.244000003</v>
      </c>
      <c r="AC71" s="233">
        <f t="shared" si="9"/>
        <v>29561730.244000003</v>
      </c>
      <c r="AD71" s="238">
        <f t="shared" si="10"/>
        <v>29561730.244000003</v>
      </c>
      <c r="AE71" s="238">
        <f t="shared" si="11"/>
        <v>29561730.244000003</v>
      </c>
      <c r="AF71" s="238">
        <f t="shared" si="12"/>
        <v>325179032.68400007</v>
      </c>
      <c r="AG71" s="206">
        <f t="shared" si="13"/>
        <v>2007</v>
      </c>
      <c r="AH71" s="210">
        <f t="shared" si="14"/>
        <v>1152907489.516</v>
      </c>
    </row>
    <row r="72" spans="1:34" s="48" customFormat="1" ht="40.5" hidden="1" customHeight="1" x14ac:dyDescent="0.2">
      <c r="A72" s="296"/>
      <c r="B72" s="48" t="s">
        <v>3001</v>
      </c>
      <c r="C72" s="772" t="s">
        <v>4266</v>
      </c>
      <c r="D72" s="73"/>
      <c r="E72" s="65" t="s">
        <v>1037</v>
      </c>
      <c r="F72" s="67" t="s">
        <v>1752</v>
      </c>
      <c r="G72" s="67"/>
      <c r="H72" s="33"/>
      <c r="I72" s="40"/>
      <c r="J72" s="40"/>
      <c r="K72" s="40"/>
      <c r="L72" s="65" t="s">
        <v>52</v>
      </c>
      <c r="M72" s="40">
        <v>2007</v>
      </c>
      <c r="N72" s="40"/>
      <c r="O72" s="32"/>
      <c r="P72" s="33"/>
      <c r="Q72" s="40"/>
      <c r="R72" s="32" t="s">
        <v>12</v>
      </c>
      <c r="S72" s="252">
        <v>1590808752.0999999</v>
      </c>
      <c r="T72" s="61"/>
      <c r="U72" s="206" t="str">
        <f t="shared" si="1"/>
        <v>03.11.01</v>
      </c>
      <c r="V72" s="207" t="str">
        <f t="shared" si="2"/>
        <v>Bangunan Gedung Tempat Kerja</v>
      </c>
      <c r="W72" s="207">
        <f t="shared" si="3"/>
        <v>50</v>
      </c>
      <c r="X72" s="233">
        <f t="shared" si="4"/>
        <v>31816174.841999996</v>
      </c>
      <c r="Y72" s="714">
        <f t="shared" si="5"/>
        <v>6</v>
      </c>
      <c r="Z72" s="233">
        <f t="shared" si="6"/>
        <v>190897049.05199999</v>
      </c>
      <c r="AA72" s="233">
        <f t="shared" si="7"/>
        <v>31816174.841999996</v>
      </c>
      <c r="AB72" s="233">
        <f t="shared" si="8"/>
        <v>31816174.841999996</v>
      </c>
      <c r="AC72" s="233">
        <f t="shared" si="9"/>
        <v>31816174.841999996</v>
      </c>
      <c r="AD72" s="238">
        <f t="shared" si="10"/>
        <v>31816174.841999996</v>
      </c>
      <c r="AE72" s="238">
        <f t="shared" si="11"/>
        <v>31816174.841999996</v>
      </c>
      <c r="AF72" s="238">
        <f t="shared" si="12"/>
        <v>349977923.26200002</v>
      </c>
      <c r="AG72" s="206">
        <f t="shared" si="13"/>
        <v>2007</v>
      </c>
      <c r="AH72" s="210">
        <f t="shared" si="14"/>
        <v>1240830828.8379998</v>
      </c>
    </row>
    <row r="73" spans="1:34" s="48" customFormat="1" ht="40.5" hidden="1" customHeight="1" x14ac:dyDescent="0.2">
      <c r="A73" s="296"/>
      <c r="B73" s="48" t="s">
        <v>4337</v>
      </c>
      <c r="C73" s="772"/>
      <c r="D73" s="73"/>
      <c r="E73" s="65" t="s">
        <v>1038</v>
      </c>
      <c r="F73" s="67" t="s">
        <v>2837</v>
      </c>
      <c r="G73" s="67"/>
      <c r="H73" s="33" t="s">
        <v>43</v>
      </c>
      <c r="I73" s="40"/>
      <c r="J73" s="40"/>
      <c r="K73" s="40"/>
      <c r="L73" s="102" t="s">
        <v>417</v>
      </c>
      <c r="M73" s="40">
        <v>2007</v>
      </c>
      <c r="N73" s="40"/>
      <c r="O73" s="32"/>
      <c r="P73" s="33"/>
      <c r="Q73" s="40"/>
      <c r="R73" s="32" t="s">
        <v>12</v>
      </c>
      <c r="S73" s="252">
        <v>192483016.46138337</v>
      </c>
      <c r="T73" s="61"/>
      <c r="U73" s="206" t="str">
        <f t="shared" si="1"/>
        <v>03.11.01</v>
      </c>
      <c r="V73" s="207" t="str">
        <f t="shared" si="2"/>
        <v>Bangunan Gedung Tempat Kerja</v>
      </c>
      <c r="W73" s="207">
        <f t="shared" si="3"/>
        <v>50</v>
      </c>
      <c r="X73" s="233">
        <f t="shared" si="4"/>
        <v>3849660.1292276676</v>
      </c>
      <c r="Y73" s="714">
        <f t="shared" si="5"/>
        <v>6</v>
      </c>
      <c r="Z73" s="233">
        <f t="shared" si="6"/>
        <v>23097960.775366005</v>
      </c>
      <c r="AA73" s="233">
        <f t="shared" si="7"/>
        <v>3849660.1292276676</v>
      </c>
      <c r="AB73" s="233">
        <f t="shared" si="8"/>
        <v>3849660.1292276676</v>
      </c>
      <c r="AC73" s="233">
        <f t="shared" si="9"/>
        <v>3849660.1292276676</v>
      </c>
      <c r="AD73" s="238">
        <f t="shared" si="10"/>
        <v>3849660.1292276676</v>
      </c>
      <c r="AE73" s="238">
        <f t="shared" si="11"/>
        <v>3849660.1292276676</v>
      </c>
      <c r="AF73" s="238">
        <f t="shared" si="12"/>
        <v>42346261.421504341</v>
      </c>
      <c r="AG73" s="206">
        <f t="shared" si="13"/>
        <v>2007</v>
      </c>
      <c r="AH73" s="210">
        <f t="shared" si="14"/>
        <v>150136755.03987902</v>
      </c>
    </row>
    <row r="74" spans="1:34" s="48" customFormat="1" ht="40.5" hidden="1" customHeight="1" x14ac:dyDescent="0.2">
      <c r="A74" s="296"/>
      <c r="B74" s="48" t="s">
        <v>4737</v>
      </c>
      <c r="C74" s="772"/>
      <c r="D74" s="73"/>
      <c r="E74" s="65" t="s">
        <v>1039</v>
      </c>
      <c r="F74" s="67" t="s">
        <v>2837</v>
      </c>
      <c r="G74" s="67"/>
      <c r="H74" s="33" t="s">
        <v>43</v>
      </c>
      <c r="I74" s="40"/>
      <c r="J74" s="40"/>
      <c r="K74" s="40"/>
      <c r="L74" s="102" t="s">
        <v>417</v>
      </c>
      <c r="M74" s="40">
        <v>2007</v>
      </c>
      <c r="N74" s="40"/>
      <c r="O74" s="32"/>
      <c r="P74" s="33"/>
      <c r="Q74" s="40"/>
      <c r="R74" s="32" t="s">
        <v>12</v>
      </c>
      <c r="S74" s="252">
        <v>683915333.53861666</v>
      </c>
      <c r="T74" s="61"/>
      <c r="U74" s="206" t="str">
        <f t="shared" si="1"/>
        <v>03.11.01</v>
      </c>
      <c r="V74" s="207" t="str">
        <f t="shared" si="2"/>
        <v>Bangunan Gedung Tempat Kerja</v>
      </c>
      <c r="W74" s="207">
        <f t="shared" si="3"/>
        <v>50</v>
      </c>
      <c r="X74" s="233">
        <f t="shared" si="4"/>
        <v>13678306.470772333</v>
      </c>
      <c r="Y74" s="714">
        <f t="shared" si="5"/>
        <v>6</v>
      </c>
      <c r="Z74" s="233">
        <f t="shared" si="6"/>
        <v>82069838.824634001</v>
      </c>
      <c r="AA74" s="233">
        <f t="shared" si="7"/>
        <v>13678306.470772333</v>
      </c>
      <c r="AB74" s="233">
        <f t="shared" si="8"/>
        <v>13678306.470772333</v>
      </c>
      <c r="AC74" s="233">
        <f t="shared" si="9"/>
        <v>13678306.470772333</v>
      </c>
      <c r="AD74" s="238">
        <f t="shared" si="10"/>
        <v>13678306.470772333</v>
      </c>
      <c r="AE74" s="238">
        <f t="shared" si="11"/>
        <v>13678306.470772333</v>
      </c>
      <c r="AF74" s="238">
        <f t="shared" si="12"/>
        <v>150461371.17849565</v>
      </c>
      <c r="AG74" s="206">
        <f t="shared" si="13"/>
        <v>2007</v>
      </c>
      <c r="AH74" s="210">
        <f t="shared" si="14"/>
        <v>533453962.36012101</v>
      </c>
    </row>
    <row r="75" spans="1:34" s="48" customFormat="1" ht="40.5" hidden="1" customHeight="1" x14ac:dyDescent="0.2">
      <c r="A75" s="296"/>
      <c r="B75" s="48" t="s">
        <v>4738</v>
      </c>
      <c r="C75" s="772" t="s">
        <v>4266</v>
      </c>
      <c r="D75" s="73"/>
      <c r="E75" s="65" t="s">
        <v>1040</v>
      </c>
      <c r="F75" s="67" t="s">
        <v>2838</v>
      </c>
      <c r="G75" s="67"/>
      <c r="H75" s="33"/>
      <c r="I75" s="40"/>
      <c r="J75" s="40"/>
      <c r="K75" s="40"/>
      <c r="L75" s="102" t="s">
        <v>417</v>
      </c>
      <c r="M75" s="40">
        <v>2007</v>
      </c>
      <c r="N75" s="40"/>
      <c r="O75" s="32"/>
      <c r="P75" s="33"/>
      <c r="Q75" s="40"/>
      <c r="R75" s="32" t="s">
        <v>12</v>
      </c>
      <c r="S75" s="252">
        <v>2713933500</v>
      </c>
      <c r="T75" s="61"/>
      <c r="U75" s="206" t="str">
        <f t="shared" si="1"/>
        <v>03.11.02</v>
      </c>
      <c r="V75" s="207" t="str">
        <f t="shared" si="2"/>
        <v>Bangunan Gedung Tempat Tinggal</v>
      </c>
      <c r="W75" s="207">
        <f t="shared" si="3"/>
        <v>50</v>
      </c>
      <c r="X75" s="233">
        <f t="shared" si="4"/>
        <v>54278669.799999997</v>
      </c>
      <c r="Y75" s="714">
        <f t="shared" si="5"/>
        <v>6</v>
      </c>
      <c r="Z75" s="233">
        <f t="shared" si="6"/>
        <v>325672018.79999995</v>
      </c>
      <c r="AA75" s="233">
        <f t="shared" si="7"/>
        <v>54278669.799999997</v>
      </c>
      <c r="AB75" s="233">
        <f t="shared" si="8"/>
        <v>54278669.799999997</v>
      </c>
      <c r="AC75" s="233">
        <f t="shared" si="9"/>
        <v>54278669.799999997</v>
      </c>
      <c r="AD75" s="238">
        <f t="shared" si="10"/>
        <v>54278669.799999997</v>
      </c>
      <c r="AE75" s="238">
        <f t="shared" si="11"/>
        <v>54278669.799999997</v>
      </c>
      <c r="AF75" s="238">
        <f t="shared" si="12"/>
        <v>597065367.79999995</v>
      </c>
      <c r="AG75" s="206">
        <f t="shared" si="13"/>
        <v>2007</v>
      </c>
      <c r="AH75" s="210">
        <f t="shared" si="14"/>
        <v>2116868132.2</v>
      </c>
    </row>
    <row r="76" spans="1:34" s="48" customFormat="1" ht="40.5" hidden="1" customHeight="1" x14ac:dyDescent="0.2">
      <c r="A76" s="296"/>
      <c r="B76" s="48" t="s">
        <v>4281</v>
      </c>
      <c r="C76" s="772"/>
      <c r="D76" s="73"/>
      <c r="E76" s="65" t="s">
        <v>1041</v>
      </c>
      <c r="F76" s="67" t="s">
        <v>2485</v>
      </c>
      <c r="G76" s="67"/>
      <c r="H76" s="33" t="s">
        <v>43</v>
      </c>
      <c r="I76" s="40"/>
      <c r="J76" s="40"/>
      <c r="K76" s="40"/>
      <c r="L76" s="65" t="s">
        <v>1082</v>
      </c>
      <c r="M76" s="40">
        <v>2008</v>
      </c>
      <c r="N76" s="40"/>
      <c r="O76" s="32"/>
      <c r="P76" s="33"/>
      <c r="Q76" s="40"/>
      <c r="R76" s="32" t="s">
        <v>12</v>
      </c>
      <c r="S76" s="252">
        <v>221125500</v>
      </c>
      <c r="T76" s="61"/>
      <c r="U76" s="206" t="str">
        <f t="shared" si="1"/>
        <v>03.11.02</v>
      </c>
      <c r="V76" s="207" t="str">
        <f t="shared" si="2"/>
        <v>Bangunan Gedung Tempat Tinggal</v>
      </c>
      <c r="W76" s="207">
        <f t="shared" si="3"/>
        <v>50</v>
      </c>
      <c r="X76" s="233">
        <f t="shared" si="4"/>
        <v>4422509.8</v>
      </c>
      <c r="Y76" s="714">
        <f t="shared" si="5"/>
        <v>5</v>
      </c>
      <c r="Z76" s="233">
        <f t="shared" si="6"/>
        <v>22112549</v>
      </c>
      <c r="AA76" s="233">
        <f t="shared" si="7"/>
        <v>4422509.8</v>
      </c>
      <c r="AB76" s="233">
        <f t="shared" si="8"/>
        <v>4422509.8</v>
      </c>
      <c r="AC76" s="233">
        <f t="shared" si="9"/>
        <v>4422509.8</v>
      </c>
      <c r="AD76" s="238">
        <f t="shared" si="10"/>
        <v>4422509.8</v>
      </c>
      <c r="AE76" s="238">
        <f t="shared" si="11"/>
        <v>4422509.8</v>
      </c>
      <c r="AF76" s="238">
        <f t="shared" si="12"/>
        <v>44225097.999999993</v>
      </c>
      <c r="AG76" s="206">
        <f t="shared" si="13"/>
        <v>2008</v>
      </c>
      <c r="AH76" s="210">
        <f t="shared" si="14"/>
        <v>176900402</v>
      </c>
    </row>
    <row r="77" spans="1:34" s="48" customFormat="1" ht="40.5" hidden="1" customHeight="1" x14ac:dyDescent="0.2">
      <c r="A77" s="296"/>
      <c r="B77" s="48" t="s">
        <v>4739</v>
      </c>
      <c r="C77" s="772"/>
      <c r="D77" s="73"/>
      <c r="E77" s="65" t="s">
        <v>2626</v>
      </c>
      <c r="F77" s="67" t="s">
        <v>2835</v>
      </c>
      <c r="G77" s="67"/>
      <c r="H77" s="33" t="s">
        <v>43</v>
      </c>
      <c r="I77" s="40"/>
      <c r="J77" s="40"/>
      <c r="K77" s="40"/>
      <c r="L77" s="65" t="s">
        <v>52</v>
      </c>
      <c r="M77" s="40">
        <v>2008</v>
      </c>
      <c r="N77" s="40"/>
      <c r="O77" s="32"/>
      <c r="P77" s="33"/>
      <c r="Q77" s="40"/>
      <c r="R77" s="32" t="s">
        <v>12</v>
      </c>
      <c r="S77" s="252">
        <v>499891102.30899686</v>
      </c>
      <c r="T77" s="61"/>
      <c r="U77" s="206" t="str">
        <f t="shared" si="1"/>
        <v>03.11.01</v>
      </c>
      <c r="V77" s="207" t="str">
        <f t="shared" si="2"/>
        <v>Bangunan Gedung Tempat Kerja</v>
      </c>
      <c r="W77" s="207">
        <f t="shared" si="3"/>
        <v>50</v>
      </c>
      <c r="X77" s="233">
        <f t="shared" si="4"/>
        <v>9997821.8461799379</v>
      </c>
      <c r="Y77" s="714">
        <f t="shared" si="5"/>
        <v>5</v>
      </c>
      <c r="Z77" s="233">
        <f t="shared" si="6"/>
        <v>49989109.230899692</v>
      </c>
      <c r="AA77" s="233">
        <f t="shared" si="7"/>
        <v>9997821.8461799379</v>
      </c>
      <c r="AB77" s="233">
        <f t="shared" si="8"/>
        <v>9997821.8461799379</v>
      </c>
      <c r="AC77" s="233">
        <f t="shared" si="9"/>
        <v>9997821.8461799379</v>
      </c>
      <c r="AD77" s="238">
        <f t="shared" si="10"/>
        <v>9997821.8461799379</v>
      </c>
      <c r="AE77" s="238">
        <f t="shared" si="11"/>
        <v>9997821.8461799379</v>
      </c>
      <c r="AF77" s="238">
        <f t="shared" si="12"/>
        <v>99978218.461799368</v>
      </c>
      <c r="AG77" s="206">
        <f t="shared" si="13"/>
        <v>2008</v>
      </c>
      <c r="AH77" s="210">
        <f t="shared" si="14"/>
        <v>399912883.84719747</v>
      </c>
    </row>
    <row r="78" spans="1:34" s="48" customFormat="1" ht="40.5" hidden="1" customHeight="1" x14ac:dyDescent="0.2">
      <c r="A78" s="296"/>
      <c r="B78" s="48" t="s">
        <v>4346</v>
      </c>
      <c r="C78" s="772"/>
      <c r="D78" s="73"/>
      <c r="E78" s="65" t="s">
        <v>2627</v>
      </c>
      <c r="F78" s="67" t="s">
        <v>4243</v>
      </c>
      <c r="G78" s="67"/>
      <c r="H78" s="33" t="s">
        <v>43</v>
      </c>
      <c r="I78" s="40"/>
      <c r="J78" s="40"/>
      <c r="K78" s="40"/>
      <c r="L78" s="65" t="s">
        <v>1095</v>
      </c>
      <c r="M78" s="40">
        <v>2008</v>
      </c>
      <c r="N78" s="40"/>
      <c r="O78" s="32"/>
      <c r="P78" s="33"/>
      <c r="Q78" s="40"/>
      <c r="R78" s="32" t="s">
        <v>12</v>
      </c>
      <c r="S78" s="252">
        <v>98429383.119542718</v>
      </c>
      <c r="T78" s="61"/>
      <c r="U78" s="206" t="str">
        <f t="shared" si="1"/>
        <v>03.12.01</v>
      </c>
      <c r="V78" s="207" t="str">
        <f t="shared" si="2"/>
        <v>Bangunan Bersejarah</v>
      </c>
      <c r="W78" s="207">
        <f t="shared" si="3"/>
        <v>50</v>
      </c>
      <c r="X78" s="233">
        <f t="shared" si="4"/>
        <v>1968587.4623908543</v>
      </c>
      <c r="Y78" s="714">
        <f t="shared" si="5"/>
        <v>5</v>
      </c>
      <c r="Z78" s="233">
        <f t="shared" si="6"/>
        <v>9842937.311954271</v>
      </c>
      <c r="AA78" s="233">
        <f t="shared" si="7"/>
        <v>1968587.4623908543</v>
      </c>
      <c r="AB78" s="233">
        <f t="shared" si="8"/>
        <v>1968587.4623908543</v>
      </c>
      <c r="AC78" s="233">
        <f t="shared" si="9"/>
        <v>1968587.4623908543</v>
      </c>
      <c r="AD78" s="238">
        <f t="shared" si="10"/>
        <v>1968587.4623908543</v>
      </c>
      <c r="AE78" s="238">
        <f t="shared" si="11"/>
        <v>1968587.4623908543</v>
      </c>
      <c r="AF78" s="238">
        <f t="shared" si="12"/>
        <v>19685874.623908546</v>
      </c>
      <c r="AG78" s="206">
        <f t="shared" si="13"/>
        <v>2008</v>
      </c>
      <c r="AH78" s="210">
        <f t="shared" si="14"/>
        <v>78743508.495634168</v>
      </c>
    </row>
    <row r="79" spans="1:34" s="48" customFormat="1" ht="40.5" hidden="1" customHeight="1" x14ac:dyDescent="0.2">
      <c r="A79" s="296"/>
      <c r="B79" s="48" t="s">
        <v>4347</v>
      </c>
      <c r="C79" s="772"/>
      <c r="D79" s="73"/>
      <c r="E79" s="65" t="s">
        <v>2628</v>
      </c>
      <c r="F79" s="67" t="s">
        <v>4243</v>
      </c>
      <c r="G79" s="67"/>
      <c r="H79" s="33" t="s">
        <v>43</v>
      </c>
      <c r="I79" s="40"/>
      <c r="J79" s="40"/>
      <c r="K79" s="40"/>
      <c r="L79" s="65" t="s">
        <v>1096</v>
      </c>
      <c r="M79" s="40">
        <v>2008</v>
      </c>
      <c r="N79" s="40"/>
      <c r="O79" s="32"/>
      <c r="P79" s="33"/>
      <c r="Q79" s="40"/>
      <c r="R79" s="32" t="s">
        <v>12</v>
      </c>
      <c r="S79" s="252">
        <v>133146608.22160593</v>
      </c>
      <c r="T79" s="61"/>
      <c r="U79" s="206" t="str">
        <f t="shared" ref="U79:U142" si="15">LEFT(F79,8)</f>
        <v>03.12.01</v>
      </c>
      <c r="V79" s="207" t="str">
        <f t="shared" ref="V79:V142" si="16">VLOOKUP(U79,UE,3)</f>
        <v>Bangunan Bersejarah</v>
      </c>
      <c r="W79" s="207">
        <f t="shared" ref="W79:W142" si="17">VLOOKUP(U79,UE,4)</f>
        <v>50</v>
      </c>
      <c r="X79" s="233">
        <f t="shared" ref="X79:X142" si="18">(S79-10)/W79</f>
        <v>2662931.9644321185</v>
      </c>
      <c r="Y79" s="714">
        <f t="shared" ref="Y79:Y142" si="19">IF(2013-M79&gt;W79,W79,IF(2013-M79&lt;0,0,2013-M79))</f>
        <v>5</v>
      </c>
      <c r="Z79" s="233">
        <f t="shared" ref="Z79:Z142" si="20">IF(Y79&gt;W79,S79-10,X79*Y79)</f>
        <v>13314659.822160592</v>
      </c>
      <c r="AA79" s="233">
        <f t="shared" ref="AA79:AA142" si="21">IF(S79-10=Z79,0,X79)</f>
        <v>2662931.9644321185</v>
      </c>
      <c r="AB79" s="233">
        <f t="shared" ref="AB79:AB142" si="22">IF(S79-10=Z79+AA79,0,X79)</f>
        <v>2662931.9644321185</v>
      </c>
      <c r="AC79" s="233">
        <f t="shared" ref="AC79:AC142" si="23">IF(S79-10=Z79+AA79+AB79,0,X79)</f>
        <v>2662931.9644321185</v>
      </c>
      <c r="AD79" s="238">
        <f t="shared" ref="AD79:AD142" si="24">IF(S79-10=Z79+AA79+AB79+AC79,0,X79)</f>
        <v>2662931.9644321185</v>
      </c>
      <c r="AE79" s="238">
        <f t="shared" ref="AE79:AE142" si="25">IF(S79-10=Z79+AA79+AB79+AC79+AD79,0,X79)</f>
        <v>2662931.9644321185</v>
      </c>
      <c r="AF79" s="238">
        <f t="shared" ref="AF79:AF142" si="26">SUM(Z79:AE79)</f>
        <v>26629319.644321188</v>
      </c>
      <c r="AG79" s="206">
        <f t="shared" ref="AG79:AG142" si="27">M79</f>
        <v>2008</v>
      </c>
      <c r="AH79" s="210">
        <f t="shared" ref="AH79:AH142" si="28">S79-AF79</f>
        <v>106517288.57728474</v>
      </c>
    </row>
    <row r="80" spans="1:34" s="48" customFormat="1" ht="40.5" hidden="1" customHeight="1" x14ac:dyDescent="0.2">
      <c r="A80" s="296"/>
      <c r="B80" s="48" t="s">
        <v>4290</v>
      </c>
      <c r="C80" s="772"/>
      <c r="D80" s="73"/>
      <c r="E80" s="65" t="s">
        <v>2629</v>
      </c>
      <c r="F80" s="67" t="s">
        <v>1772</v>
      </c>
      <c r="G80" s="67"/>
      <c r="H80" s="33" t="s">
        <v>43</v>
      </c>
      <c r="I80" s="40"/>
      <c r="J80" s="40"/>
      <c r="K80" s="40"/>
      <c r="L80" s="72" t="s">
        <v>837</v>
      </c>
      <c r="M80" s="40">
        <v>2008</v>
      </c>
      <c r="N80" s="40"/>
      <c r="O80" s="32"/>
      <c r="P80" s="33"/>
      <c r="Q80" s="40"/>
      <c r="R80" s="32" t="s">
        <v>12</v>
      </c>
      <c r="S80" s="252">
        <v>1663604072.7990077</v>
      </c>
      <c r="T80" s="61"/>
      <c r="U80" s="206" t="str">
        <f t="shared" si="15"/>
        <v>03.11.01</v>
      </c>
      <c r="V80" s="207" t="str">
        <f t="shared" si="16"/>
        <v>Bangunan Gedung Tempat Kerja</v>
      </c>
      <c r="W80" s="207">
        <f t="shared" si="17"/>
        <v>50</v>
      </c>
      <c r="X80" s="233">
        <f t="shared" si="18"/>
        <v>33272081.255980153</v>
      </c>
      <c r="Y80" s="714">
        <f t="shared" si="19"/>
        <v>5</v>
      </c>
      <c r="Z80" s="233">
        <f t="shared" si="20"/>
        <v>166360406.27990076</v>
      </c>
      <c r="AA80" s="233">
        <f t="shared" si="21"/>
        <v>33272081.255980153</v>
      </c>
      <c r="AB80" s="233">
        <f t="shared" si="22"/>
        <v>33272081.255980153</v>
      </c>
      <c r="AC80" s="233">
        <f t="shared" si="23"/>
        <v>33272081.255980153</v>
      </c>
      <c r="AD80" s="238">
        <f t="shared" si="24"/>
        <v>33272081.255980153</v>
      </c>
      <c r="AE80" s="238">
        <f t="shared" si="25"/>
        <v>33272081.255980153</v>
      </c>
      <c r="AF80" s="238">
        <f t="shared" si="26"/>
        <v>332720812.55980152</v>
      </c>
      <c r="AG80" s="206">
        <f t="shared" si="27"/>
        <v>2008</v>
      </c>
      <c r="AH80" s="210">
        <f t="shared" si="28"/>
        <v>1330883260.2392061</v>
      </c>
    </row>
    <row r="81" spans="1:34" s="670" customFormat="1" ht="40.5" hidden="1" customHeight="1" x14ac:dyDescent="0.2">
      <c r="A81" s="669">
        <v>11</v>
      </c>
      <c r="B81" s="670" t="s">
        <v>3015</v>
      </c>
      <c r="C81" s="773" t="s">
        <v>4247</v>
      </c>
      <c r="D81" s="652"/>
      <c r="E81" s="671" t="s">
        <v>2630</v>
      </c>
      <c r="F81" s="653" t="s">
        <v>1772</v>
      </c>
      <c r="G81" s="653"/>
      <c r="H81" s="673" t="s">
        <v>43</v>
      </c>
      <c r="I81" s="674"/>
      <c r="J81" s="674"/>
      <c r="K81" s="674"/>
      <c r="L81" s="671" t="s">
        <v>423</v>
      </c>
      <c r="M81" s="674">
        <v>2008</v>
      </c>
      <c r="N81" s="674"/>
      <c r="O81" s="675"/>
      <c r="P81" s="673"/>
      <c r="Q81" s="674"/>
      <c r="R81" s="675" t="s">
        <v>12</v>
      </c>
      <c r="S81" s="654">
        <f>1080935824.63963</f>
        <v>1080935824.6396301</v>
      </c>
      <c r="T81" s="676"/>
      <c r="U81" s="206" t="str">
        <f t="shared" si="15"/>
        <v>03.11.01</v>
      </c>
      <c r="V81" s="207" t="str">
        <f t="shared" si="16"/>
        <v>Bangunan Gedung Tempat Kerja</v>
      </c>
      <c r="W81" s="207">
        <f t="shared" si="17"/>
        <v>50</v>
      </c>
      <c r="X81" s="233">
        <f t="shared" si="18"/>
        <v>21618716.292792603</v>
      </c>
      <c r="Y81" s="714">
        <f t="shared" si="19"/>
        <v>5</v>
      </c>
      <c r="Z81" s="233">
        <f t="shared" si="20"/>
        <v>108093581.46396302</v>
      </c>
      <c r="AA81" s="233">
        <f t="shared" si="21"/>
        <v>21618716.292792603</v>
      </c>
      <c r="AB81" s="233">
        <f t="shared" si="22"/>
        <v>21618716.292792603</v>
      </c>
      <c r="AC81" s="233">
        <f t="shared" si="23"/>
        <v>21618716.292792603</v>
      </c>
      <c r="AD81" s="238">
        <f t="shared" si="24"/>
        <v>21618716.292792603</v>
      </c>
      <c r="AE81" s="238">
        <f t="shared" si="25"/>
        <v>21618716.292792603</v>
      </c>
      <c r="AF81" s="238">
        <f t="shared" si="26"/>
        <v>216187162.92792606</v>
      </c>
      <c r="AG81" s="206">
        <f t="shared" si="27"/>
        <v>2008</v>
      </c>
      <c r="AH81" s="210">
        <f t="shared" si="28"/>
        <v>864748661.71170402</v>
      </c>
    </row>
    <row r="82" spans="1:34" s="48" customFormat="1" ht="40.5" hidden="1" customHeight="1" x14ac:dyDescent="0.2">
      <c r="A82" s="296">
        <v>11</v>
      </c>
      <c r="B82" s="48" t="s">
        <v>3015</v>
      </c>
      <c r="C82" s="772" t="s">
        <v>4247</v>
      </c>
      <c r="D82" s="73"/>
      <c r="E82" s="65" t="s">
        <v>2630</v>
      </c>
      <c r="F82" s="67" t="s">
        <v>1772</v>
      </c>
      <c r="G82" s="67" t="s">
        <v>68</v>
      </c>
      <c r="H82" s="33" t="s">
        <v>43</v>
      </c>
      <c r="I82" s="40" t="s">
        <v>1786</v>
      </c>
      <c r="J82" s="40" t="s">
        <v>835</v>
      </c>
      <c r="K82" s="40"/>
      <c r="L82" s="72" t="s">
        <v>833</v>
      </c>
      <c r="M82" s="40">
        <v>2009</v>
      </c>
      <c r="N82" s="40"/>
      <c r="O82" s="32"/>
      <c r="P82" s="33"/>
      <c r="Q82" s="40"/>
      <c r="R82" s="32" t="s">
        <v>12</v>
      </c>
      <c r="S82" s="555">
        <v>557882255</v>
      </c>
      <c r="T82" s="105"/>
      <c r="U82" s="206" t="str">
        <f t="shared" si="15"/>
        <v>03.11.01</v>
      </c>
      <c r="V82" s="207" t="str">
        <f t="shared" si="16"/>
        <v>Bangunan Gedung Tempat Kerja</v>
      </c>
      <c r="W82" s="207">
        <f t="shared" si="17"/>
        <v>50</v>
      </c>
      <c r="X82" s="233">
        <f t="shared" si="18"/>
        <v>11157644.9</v>
      </c>
      <c r="Y82" s="714">
        <f t="shared" si="19"/>
        <v>4</v>
      </c>
      <c r="Z82" s="233">
        <f t="shared" si="20"/>
        <v>44630579.600000001</v>
      </c>
      <c r="AA82" s="233">
        <f t="shared" si="21"/>
        <v>11157644.9</v>
      </c>
      <c r="AB82" s="233">
        <f t="shared" si="22"/>
        <v>11157644.9</v>
      </c>
      <c r="AC82" s="233">
        <f t="shared" si="23"/>
        <v>11157644.9</v>
      </c>
      <c r="AD82" s="238">
        <f t="shared" si="24"/>
        <v>11157644.9</v>
      </c>
      <c r="AE82" s="238">
        <f t="shared" si="25"/>
        <v>11157644.9</v>
      </c>
      <c r="AF82" s="238">
        <f t="shared" si="26"/>
        <v>100418804.10000001</v>
      </c>
      <c r="AG82" s="206">
        <f t="shared" si="27"/>
        <v>2009</v>
      </c>
      <c r="AH82" s="210">
        <f t="shared" si="28"/>
        <v>457463450.89999998</v>
      </c>
    </row>
    <row r="83" spans="1:34" s="670" customFormat="1" ht="40.5" hidden="1" customHeight="1" x14ac:dyDescent="0.2">
      <c r="A83" s="669">
        <v>12</v>
      </c>
      <c r="B83" s="670" t="s">
        <v>2991</v>
      </c>
      <c r="C83" s="773" t="s">
        <v>4247</v>
      </c>
      <c r="D83" s="652"/>
      <c r="E83" s="671" t="s">
        <v>1056</v>
      </c>
      <c r="F83" s="653" t="s">
        <v>1779</v>
      </c>
      <c r="G83" s="653"/>
      <c r="H83" s="673"/>
      <c r="I83" s="674"/>
      <c r="J83" s="674"/>
      <c r="K83" s="674"/>
      <c r="L83" s="671" t="s">
        <v>52</v>
      </c>
      <c r="M83" s="674">
        <v>2008</v>
      </c>
      <c r="N83" s="674"/>
      <c r="O83" s="675"/>
      <c r="P83" s="673"/>
      <c r="Q83" s="674"/>
      <c r="R83" s="675" t="s">
        <v>12</v>
      </c>
      <c r="S83" s="654">
        <f>492796529.889459</f>
        <v>492796529.88945901</v>
      </c>
      <c r="T83" s="676"/>
      <c r="U83" s="206" t="str">
        <f t="shared" si="15"/>
        <v>03.11.02</v>
      </c>
      <c r="V83" s="207" t="str">
        <f t="shared" si="16"/>
        <v>Bangunan Gedung Tempat Tinggal</v>
      </c>
      <c r="W83" s="207">
        <f t="shared" si="17"/>
        <v>50</v>
      </c>
      <c r="X83" s="233">
        <f t="shared" si="18"/>
        <v>9855930.3977891803</v>
      </c>
      <c r="Y83" s="714">
        <f t="shared" si="19"/>
        <v>5</v>
      </c>
      <c r="Z83" s="233">
        <f t="shared" si="20"/>
        <v>49279651.988945901</v>
      </c>
      <c r="AA83" s="233">
        <f t="shared" si="21"/>
        <v>9855930.3977891803</v>
      </c>
      <c r="AB83" s="233">
        <f t="shared" si="22"/>
        <v>9855930.3977891803</v>
      </c>
      <c r="AC83" s="233">
        <f t="shared" si="23"/>
        <v>9855930.3977891803</v>
      </c>
      <c r="AD83" s="238">
        <f t="shared" si="24"/>
        <v>9855930.3977891803</v>
      </c>
      <c r="AE83" s="238">
        <f t="shared" si="25"/>
        <v>9855930.3977891803</v>
      </c>
      <c r="AF83" s="238">
        <f t="shared" si="26"/>
        <v>98559303.977891803</v>
      </c>
      <c r="AG83" s="206">
        <f t="shared" si="27"/>
        <v>2008</v>
      </c>
      <c r="AH83" s="210">
        <f t="shared" si="28"/>
        <v>394237225.91156721</v>
      </c>
    </row>
    <row r="84" spans="1:34" s="48" customFormat="1" ht="40.5" hidden="1" customHeight="1" x14ac:dyDescent="0.2">
      <c r="A84" s="296">
        <v>12</v>
      </c>
      <c r="B84" s="48" t="s">
        <v>2991</v>
      </c>
      <c r="C84" s="772" t="s">
        <v>4247</v>
      </c>
      <c r="D84" s="73"/>
      <c r="E84" s="65" t="s">
        <v>1055</v>
      </c>
      <c r="F84" s="67" t="s">
        <v>1779</v>
      </c>
      <c r="G84" s="67"/>
      <c r="H84" s="33"/>
      <c r="I84" s="40"/>
      <c r="J84" s="40"/>
      <c r="K84" s="40"/>
      <c r="L84" s="65" t="s">
        <v>52</v>
      </c>
      <c r="M84" s="40">
        <v>2008</v>
      </c>
      <c r="N84" s="40"/>
      <c r="O84" s="32"/>
      <c r="P84" s="33"/>
      <c r="Q84" s="40"/>
      <c r="R84" s="32" t="s">
        <v>12</v>
      </c>
      <c r="S84" s="252">
        <v>15857784.878414201</v>
      </c>
      <c r="T84" s="61"/>
      <c r="U84" s="206" t="str">
        <f t="shared" si="15"/>
        <v>03.11.02</v>
      </c>
      <c r="V84" s="207" t="str">
        <f t="shared" si="16"/>
        <v>Bangunan Gedung Tempat Tinggal</v>
      </c>
      <c r="W84" s="207">
        <f t="shared" si="17"/>
        <v>50</v>
      </c>
      <c r="X84" s="233">
        <f t="shared" si="18"/>
        <v>317155.49756828399</v>
      </c>
      <c r="Y84" s="714">
        <f t="shared" si="19"/>
        <v>5</v>
      </c>
      <c r="Z84" s="233">
        <f t="shared" si="20"/>
        <v>1585777.4878414199</v>
      </c>
      <c r="AA84" s="233">
        <f t="shared" si="21"/>
        <v>317155.49756828399</v>
      </c>
      <c r="AB84" s="233">
        <f t="shared" si="22"/>
        <v>317155.49756828399</v>
      </c>
      <c r="AC84" s="233">
        <f t="shared" si="23"/>
        <v>317155.49756828399</v>
      </c>
      <c r="AD84" s="238">
        <f t="shared" si="24"/>
        <v>317155.49756828399</v>
      </c>
      <c r="AE84" s="238">
        <f t="shared" si="25"/>
        <v>317155.49756828399</v>
      </c>
      <c r="AF84" s="238">
        <f t="shared" si="26"/>
        <v>3171554.9756828402</v>
      </c>
      <c r="AG84" s="206">
        <f t="shared" si="27"/>
        <v>2008</v>
      </c>
      <c r="AH84" s="210">
        <f t="shared" si="28"/>
        <v>12686229.902731361</v>
      </c>
    </row>
    <row r="85" spans="1:34" s="48" customFormat="1" ht="40.5" hidden="1" customHeight="1" x14ac:dyDescent="0.2">
      <c r="A85" s="296">
        <v>12</v>
      </c>
      <c r="B85" s="48" t="s">
        <v>2991</v>
      </c>
      <c r="C85" s="772" t="s">
        <v>4247</v>
      </c>
      <c r="D85" s="73"/>
      <c r="E85" s="65" t="s">
        <v>1048</v>
      </c>
      <c r="F85" s="67" t="s">
        <v>1779</v>
      </c>
      <c r="G85" s="67"/>
      <c r="H85" s="33" t="s">
        <v>43</v>
      </c>
      <c r="I85" s="40"/>
      <c r="J85" s="40"/>
      <c r="K85" s="40"/>
      <c r="L85" s="65" t="s">
        <v>1097</v>
      </c>
      <c r="M85" s="40">
        <v>2008</v>
      </c>
      <c r="N85" s="40"/>
      <c r="O85" s="32"/>
      <c r="P85" s="33"/>
      <c r="Q85" s="40"/>
      <c r="R85" s="32" t="s">
        <v>12</v>
      </c>
      <c r="S85" s="252">
        <v>2267105812.4478002</v>
      </c>
      <c r="T85" s="61"/>
      <c r="U85" s="206" t="str">
        <f t="shared" si="15"/>
        <v>03.11.02</v>
      </c>
      <c r="V85" s="207" t="str">
        <f t="shared" si="16"/>
        <v>Bangunan Gedung Tempat Tinggal</v>
      </c>
      <c r="W85" s="207">
        <f t="shared" si="17"/>
        <v>50</v>
      </c>
      <c r="X85" s="233">
        <f t="shared" si="18"/>
        <v>45342116.048956007</v>
      </c>
      <c r="Y85" s="714">
        <f t="shared" si="19"/>
        <v>5</v>
      </c>
      <c r="Z85" s="233">
        <f t="shared" si="20"/>
        <v>226710580.24478003</v>
      </c>
      <c r="AA85" s="233">
        <f t="shared" si="21"/>
        <v>45342116.048956007</v>
      </c>
      <c r="AB85" s="233">
        <f t="shared" si="22"/>
        <v>45342116.048956007</v>
      </c>
      <c r="AC85" s="233">
        <f t="shared" si="23"/>
        <v>45342116.048956007</v>
      </c>
      <c r="AD85" s="238">
        <f t="shared" si="24"/>
        <v>45342116.048956007</v>
      </c>
      <c r="AE85" s="238">
        <f t="shared" si="25"/>
        <v>45342116.048956007</v>
      </c>
      <c r="AF85" s="238">
        <f t="shared" si="26"/>
        <v>453421160.48956013</v>
      </c>
      <c r="AG85" s="206">
        <f t="shared" si="27"/>
        <v>2008</v>
      </c>
      <c r="AH85" s="210">
        <f t="shared" si="28"/>
        <v>1813684651.95824</v>
      </c>
    </row>
    <row r="86" spans="1:34" s="48" customFormat="1" ht="40.5" hidden="1" customHeight="1" x14ac:dyDescent="0.2">
      <c r="A86" s="296">
        <v>12</v>
      </c>
      <c r="B86" s="48" t="s">
        <v>2991</v>
      </c>
      <c r="C86" s="772" t="s">
        <v>4247</v>
      </c>
      <c r="D86" s="73"/>
      <c r="E86" s="65" t="s">
        <v>2646</v>
      </c>
      <c r="F86" s="67" t="s">
        <v>1779</v>
      </c>
      <c r="G86" s="67" t="s">
        <v>68</v>
      </c>
      <c r="H86" s="33" t="s">
        <v>43</v>
      </c>
      <c r="I86" s="40" t="s">
        <v>1780</v>
      </c>
      <c r="J86" s="40" t="s">
        <v>835</v>
      </c>
      <c r="K86" s="40"/>
      <c r="L86" s="72" t="s">
        <v>1781</v>
      </c>
      <c r="M86" s="40">
        <v>2008</v>
      </c>
      <c r="N86" s="40"/>
      <c r="O86" s="32"/>
      <c r="P86" s="33"/>
      <c r="Q86" s="40"/>
      <c r="R86" s="32" t="s">
        <v>12</v>
      </c>
      <c r="S86" s="252">
        <v>581026000</v>
      </c>
      <c r="T86" s="105"/>
      <c r="U86" s="206" t="str">
        <f t="shared" si="15"/>
        <v>03.11.02</v>
      </c>
      <c r="V86" s="207" t="str">
        <f t="shared" si="16"/>
        <v>Bangunan Gedung Tempat Tinggal</v>
      </c>
      <c r="W86" s="207">
        <f t="shared" si="17"/>
        <v>50</v>
      </c>
      <c r="X86" s="233">
        <f t="shared" si="18"/>
        <v>11620519.800000001</v>
      </c>
      <c r="Y86" s="714">
        <f t="shared" si="19"/>
        <v>5</v>
      </c>
      <c r="Z86" s="233">
        <f t="shared" si="20"/>
        <v>58102599</v>
      </c>
      <c r="AA86" s="233">
        <f t="shared" si="21"/>
        <v>11620519.800000001</v>
      </c>
      <c r="AB86" s="233">
        <f t="shared" si="22"/>
        <v>11620519.800000001</v>
      </c>
      <c r="AC86" s="233">
        <f t="shared" si="23"/>
        <v>11620519.800000001</v>
      </c>
      <c r="AD86" s="238">
        <f t="shared" si="24"/>
        <v>11620519.800000001</v>
      </c>
      <c r="AE86" s="238">
        <f t="shared" si="25"/>
        <v>11620519.800000001</v>
      </c>
      <c r="AF86" s="238">
        <f t="shared" si="26"/>
        <v>116205197.99999999</v>
      </c>
      <c r="AG86" s="206">
        <f t="shared" si="27"/>
        <v>2008</v>
      </c>
      <c r="AH86" s="210">
        <f t="shared" si="28"/>
        <v>464820802</v>
      </c>
    </row>
    <row r="87" spans="1:34" s="48" customFormat="1" ht="40.5" hidden="1" customHeight="1" x14ac:dyDescent="0.2">
      <c r="A87" s="296">
        <v>12</v>
      </c>
      <c r="B87" s="48" t="s">
        <v>2991</v>
      </c>
      <c r="C87" s="772" t="s">
        <v>4247</v>
      </c>
      <c r="D87" s="73"/>
      <c r="E87" s="65" t="s">
        <v>2642</v>
      </c>
      <c r="F87" s="67" t="s">
        <v>1779</v>
      </c>
      <c r="G87" s="67" t="s">
        <v>39</v>
      </c>
      <c r="H87" s="33" t="s">
        <v>135</v>
      </c>
      <c r="I87" s="40" t="s">
        <v>1780</v>
      </c>
      <c r="J87" s="40" t="s">
        <v>835</v>
      </c>
      <c r="K87" s="40" t="s">
        <v>9</v>
      </c>
      <c r="L87" s="72" t="s">
        <v>1781</v>
      </c>
      <c r="M87" s="40">
        <v>2009</v>
      </c>
      <c r="N87" s="40" t="s">
        <v>1782</v>
      </c>
      <c r="O87" s="32"/>
      <c r="P87" s="33"/>
      <c r="Q87" s="40"/>
      <c r="R87" s="32" t="s">
        <v>12</v>
      </c>
      <c r="S87" s="252">
        <v>1120615226.5723109</v>
      </c>
      <c r="T87" s="105"/>
      <c r="U87" s="206" t="str">
        <f t="shared" si="15"/>
        <v>03.11.02</v>
      </c>
      <c r="V87" s="207" t="str">
        <f t="shared" si="16"/>
        <v>Bangunan Gedung Tempat Tinggal</v>
      </c>
      <c r="W87" s="207">
        <f t="shared" si="17"/>
        <v>50</v>
      </c>
      <c r="X87" s="233">
        <f t="shared" si="18"/>
        <v>22412304.331446219</v>
      </c>
      <c r="Y87" s="714">
        <f t="shared" si="19"/>
        <v>4</v>
      </c>
      <c r="Z87" s="233">
        <f t="shared" si="20"/>
        <v>89649217.325784877</v>
      </c>
      <c r="AA87" s="233">
        <f t="shared" si="21"/>
        <v>22412304.331446219</v>
      </c>
      <c r="AB87" s="233">
        <f t="shared" si="22"/>
        <v>22412304.331446219</v>
      </c>
      <c r="AC87" s="233">
        <f t="shared" si="23"/>
        <v>22412304.331446219</v>
      </c>
      <c r="AD87" s="238">
        <f t="shared" si="24"/>
        <v>22412304.331446219</v>
      </c>
      <c r="AE87" s="238">
        <f t="shared" si="25"/>
        <v>22412304.331446219</v>
      </c>
      <c r="AF87" s="238">
        <f t="shared" si="26"/>
        <v>201710738.98301601</v>
      </c>
      <c r="AG87" s="206">
        <f t="shared" si="27"/>
        <v>2009</v>
      </c>
      <c r="AH87" s="210">
        <f t="shared" si="28"/>
        <v>918904487.58929491</v>
      </c>
    </row>
    <row r="88" spans="1:34" s="48" customFormat="1" ht="40.5" hidden="1" customHeight="1" x14ac:dyDescent="0.2">
      <c r="A88" s="296">
        <v>12</v>
      </c>
      <c r="B88" s="48" t="s">
        <v>2991</v>
      </c>
      <c r="C88" s="772" t="s">
        <v>4247</v>
      </c>
      <c r="D88" s="73"/>
      <c r="E88" s="65" t="s">
        <v>2782</v>
      </c>
      <c r="F88" s="67" t="s">
        <v>1779</v>
      </c>
      <c r="G88" s="67"/>
      <c r="H88" s="33"/>
      <c r="I88" s="40"/>
      <c r="J88" s="40"/>
      <c r="K88" s="40"/>
      <c r="L88" s="72"/>
      <c r="M88" s="40">
        <v>2013</v>
      </c>
      <c r="N88" s="40"/>
      <c r="O88" s="32"/>
      <c r="P88" s="33"/>
      <c r="Q88" s="40"/>
      <c r="R88" s="32" t="s">
        <v>12</v>
      </c>
      <c r="S88" s="252">
        <v>46015756.919106446</v>
      </c>
      <c r="T88" s="105"/>
      <c r="U88" s="206" t="str">
        <f t="shared" si="15"/>
        <v>03.11.02</v>
      </c>
      <c r="V88" s="207" t="str">
        <f t="shared" si="16"/>
        <v>Bangunan Gedung Tempat Tinggal</v>
      </c>
      <c r="W88" s="207">
        <f t="shared" si="17"/>
        <v>50</v>
      </c>
      <c r="X88" s="233">
        <f t="shared" si="18"/>
        <v>920314.93838212895</v>
      </c>
      <c r="Y88" s="714">
        <f t="shared" si="19"/>
        <v>0</v>
      </c>
      <c r="Z88" s="233">
        <f t="shared" si="20"/>
        <v>0</v>
      </c>
      <c r="AA88" s="233">
        <f t="shared" si="21"/>
        <v>920314.93838212895</v>
      </c>
      <c r="AB88" s="233">
        <f t="shared" si="22"/>
        <v>920314.93838212895</v>
      </c>
      <c r="AC88" s="233">
        <f t="shared" si="23"/>
        <v>920314.93838212895</v>
      </c>
      <c r="AD88" s="238">
        <f t="shared" si="24"/>
        <v>920314.93838212895</v>
      </c>
      <c r="AE88" s="238">
        <f t="shared" si="25"/>
        <v>920314.93838212895</v>
      </c>
      <c r="AF88" s="238">
        <f t="shared" si="26"/>
        <v>4601574.691910645</v>
      </c>
      <c r="AG88" s="206">
        <f t="shared" si="27"/>
        <v>2013</v>
      </c>
      <c r="AH88" s="210">
        <f t="shared" si="28"/>
        <v>41414182.227195799</v>
      </c>
    </row>
    <row r="89" spans="1:34" s="48" customFormat="1" ht="40.5" hidden="1" customHeight="1" x14ac:dyDescent="0.2">
      <c r="A89" s="296"/>
      <c r="B89" s="48" t="s">
        <v>4211</v>
      </c>
      <c r="C89" s="772"/>
      <c r="D89" s="73"/>
      <c r="E89" s="65" t="s">
        <v>1053</v>
      </c>
      <c r="F89" s="67" t="s">
        <v>1772</v>
      </c>
      <c r="G89" s="67"/>
      <c r="H89" s="33"/>
      <c r="I89" s="40"/>
      <c r="J89" s="40"/>
      <c r="K89" s="40"/>
      <c r="L89" s="65" t="s">
        <v>417</v>
      </c>
      <c r="M89" s="40">
        <v>2008</v>
      </c>
      <c r="N89" s="40"/>
      <c r="O89" s="32"/>
      <c r="P89" s="33"/>
      <c r="Q89" s="40"/>
      <c r="R89" s="32" t="s">
        <v>12</v>
      </c>
      <c r="S89" s="252">
        <v>840144641.96015704</v>
      </c>
      <c r="T89" s="61"/>
      <c r="U89" s="206" t="str">
        <f t="shared" si="15"/>
        <v>03.11.01</v>
      </c>
      <c r="V89" s="207" t="str">
        <f t="shared" si="16"/>
        <v>Bangunan Gedung Tempat Kerja</v>
      </c>
      <c r="W89" s="207">
        <f t="shared" si="17"/>
        <v>50</v>
      </c>
      <c r="X89" s="233">
        <f t="shared" si="18"/>
        <v>16802892.639203142</v>
      </c>
      <c r="Y89" s="714">
        <f t="shared" si="19"/>
        <v>5</v>
      </c>
      <c r="Z89" s="233">
        <f t="shared" si="20"/>
        <v>84014463.196015716</v>
      </c>
      <c r="AA89" s="233">
        <f t="shared" si="21"/>
        <v>16802892.639203142</v>
      </c>
      <c r="AB89" s="233">
        <f t="shared" si="22"/>
        <v>16802892.639203142</v>
      </c>
      <c r="AC89" s="233">
        <f t="shared" si="23"/>
        <v>16802892.639203142</v>
      </c>
      <c r="AD89" s="238">
        <f t="shared" si="24"/>
        <v>16802892.639203142</v>
      </c>
      <c r="AE89" s="238">
        <f t="shared" si="25"/>
        <v>16802892.639203142</v>
      </c>
      <c r="AF89" s="238">
        <f t="shared" si="26"/>
        <v>168028926.3920314</v>
      </c>
      <c r="AG89" s="206">
        <f t="shared" si="27"/>
        <v>2008</v>
      </c>
      <c r="AH89" s="210">
        <f t="shared" si="28"/>
        <v>672115715.56812561</v>
      </c>
    </row>
    <row r="90" spans="1:34" s="670" customFormat="1" ht="40.5" hidden="1" customHeight="1" x14ac:dyDescent="0.2">
      <c r="A90" s="669">
        <v>13</v>
      </c>
      <c r="B90" s="670" t="s">
        <v>3000</v>
      </c>
      <c r="C90" s="773" t="s">
        <v>4247</v>
      </c>
      <c r="D90" s="652"/>
      <c r="E90" s="671" t="s">
        <v>2633</v>
      </c>
      <c r="F90" s="653" t="s">
        <v>1752</v>
      </c>
      <c r="G90" s="653"/>
      <c r="H90" s="673" t="s">
        <v>43</v>
      </c>
      <c r="I90" s="674"/>
      <c r="J90" s="674"/>
      <c r="K90" s="674"/>
      <c r="L90" s="691" t="s">
        <v>417</v>
      </c>
      <c r="M90" s="674">
        <v>2008</v>
      </c>
      <c r="N90" s="674"/>
      <c r="O90" s="675"/>
      <c r="P90" s="673"/>
      <c r="Q90" s="674"/>
      <c r="R90" s="675" t="s">
        <v>12</v>
      </c>
      <c r="S90" s="654">
        <f>137963695.076306</f>
        <v>137963695.07630599</v>
      </c>
      <c r="T90" s="676"/>
      <c r="U90" s="206" t="str">
        <f t="shared" si="15"/>
        <v>03.11.01</v>
      </c>
      <c r="V90" s="207" t="str">
        <f t="shared" si="16"/>
        <v>Bangunan Gedung Tempat Kerja</v>
      </c>
      <c r="W90" s="207">
        <f t="shared" si="17"/>
        <v>50</v>
      </c>
      <c r="X90" s="233">
        <f t="shared" si="18"/>
        <v>2759273.7015261198</v>
      </c>
      <c r="Y90" s="714">
        <f t="shared" si="19"/>
        <v>5</v>
      </c>
      <c r="Z90" s="233">
        <f t="shared" si="20"/>
        <v>13796368.5076306</v>
      </c>
      <c r="AA90" s="233">
        <f t="shared" si="21"/>
        <v>2759273.7015261198</v>
      </c>
      <c r="AB90" s="233">
        <f t="shared" si="22"/>
        <v>2759273.7015261198</v>
      </c>
      <c r="AC90" s="233">
        <f t="shared" si="23"/>
        <v>2759273.7015261198</v>
      </c>
      <c r="AD90" s="238">
        <f t="shared" si="24"/>
        <v>2759273.7015261198</v>
      </c>
      <c r="AE90" s="238">
        <f t="shared" si="25"/>
        <v>2759273.7015261198</v>
      </c>
      <c r="AF90" s="238">
        <f t="shared" si="26"/>
        <v>27592737.015261199</v>
      </c>
      <c r="AG90" s="206">
        <f t="shared" si="27"/>
        <v>2008</v>
      </c>
      <c r="AH90" s="210">
        <f t="shared" si="28"/>
        <v>110370958.06104478</v>
      </c>
    </row>
    <row r="91" spans="1:34" s="48" customFormat="1" ht="40.5" hidden="1" customHeight="1" x14ac:dyDescent="0.2">
      <c r="A91" s="296">
        <v>13</v>
      </c>
      <c r="B91" s="48" t="s">
        <v>3000</v>
      </c>
      <c r="C91" s="772" t="s">
        <v>4247</v>
      </c>
      <c r="D91" s="73"/>
      <c r="E91" s="65" t="s">
        <v>2647</v>
      </c>
      <c r="F91" s="67" t="s">
        <v>1752</v>
      </c>
      <c r="G91" s="67" t="s">
        <v>39</v>
      </c>
      <c r="H91" s="33" t="s">
        <v>43</v>
      </c>
      <c r="I91" s="40" t="s">
        <v>9</v>
      </c>
      <c r="J91" s="40" t="s">
        <v>9</v>
      </c>
      <c r="K91" s="40"/>
      <c r="L91" s="72" t="s">
        <v>1791</v>
      </c>
      <c r="M91" s="40">
        <v>2008</v>
      </c>
      <c r="N91" s="40"/>
      <c r="O91" s="32"/>
      <c r="P91" s="33"/>
      <c r="Q91" s="40"/>
      <c r="R91" s="32" t="s">
        <v>12</v>
      </c>
      <c r="S91" s="252">
        <v>7253104</v>
      </c>
      <c r="T91" s="105"/>
      <c r="U91" s="206" t="str">
        <f t="shared" si="15"/>
        <v>03.11.01</v>
      </c>
      <c r="V91" s="207" t="str">
        <f t="shared" si="16"/>
        <v>Bangunan Gedung Tempat Kerja</v>
      </c>
      <c r="W91" s="207">
        <f t="shared" si="17"/>
        <v>50</v>
      </c>
      <c r="X91" s="233">
        <f t="shared" si="18"/>
        <v>145061.88</v>
      </c>
      <c r="Y91" s="714">
        <f t="shared" si="19"/>
        <v>5</v>
      </c>
      <c r="Z91" s="233">
        <f t="shared" si="20"/>
        <v>725309.4</v>
      </c>
      <c r="AA91" s="233">
        <f t="shared" si="21"/>
        <v>145061.88</v>
      </c>
      <c r="AB91" s="233">
        <f t="shared" si="22"/>
        <v>145061.88</v>
      </c>
      <c r="AC91" s="233">
        <f t="shared" si="23"/>
        <v>145061.88</v>
      </c>
      <c r="AD91" s="238">
        <f t="shared" si="24"/>
        <v>145061.88</v>
      </c>
      <c r="AE91" s="238">
        <f t="shared" si="25"/>
        <v>145061.88</v>
      </c>
      <c r="AF91" s="238">
        <f t="shared" si="26"/>
        <v>1450618.7999999998</v>
      </c>
      <c r="AG91" s="206">
        <f t="shared" si="27"/>
        <v>2008</v>
      </c>
      <c r="AH91" s="210">
        <f t="shared" si="28"/>
        <v>5802485.2000000002</v>
      </c>
    </row>
    <row r="92" spans="1:34" s="48" customFormat="1" ht="40.5" hidden="1" customHeight="1" x14ac:dyDescent="0.2">
      <c r="A92" s="296">
        <v>13</v>
      </c>
      <c r="B92" s="48" t="s">
        <v>3000</v>
      </c>
      <c r="C92" s="772" t="s">
        <v>4247</v>
      </c>
      <c r="D92" s="73"/>
      <c r="E92" s="65" t="s">
        <v>1054</v>
      </c>
      <c r="F92" s="67" t="s">
        <v>1752</v>
      </c>
      <c r="G92" s="67"/>
      <c r="H92" s="33" t="s">
        <v>43</v>
      </c>
      <c r="I92" s="40"/>
      <c r="J92" s="40"/>
      <c r="K92" s="40"/>
      <c r="L92" s="65" t="s">
        <v>52</v>
      </c>
      <c r="M92" s="40">
        <v>2008</v>
      </c>
      <c r="N92" s="40"/>
      <c r="O92" s="32"/>
      <c r="P92" s="33"/>
      <c r="Q92" s="40"/>
      <c r="R92" s="32" t="s">
        <v>12</v>
      </c>
      <c r="S92" s="252">
        <v>273700211.23000002</v>
      </c>
      <c r="T92" s="61"/>
      <c r="U92" s="206" t="str">
        <f t="shared" si="15"/>
        <v>03.11.01</v>
      </c>
      <c r="V92" s="207" t="str">
        <f t="shared" si="16"/>
        <v>Bangunan Gedung Tempat Kerja</v>
      </c>
      <c r="W92" s="207">
        <f t="shared" si="17"/>
        <v>50</v>
      </c>
      <c r="X92" s="233">
        <f t="shared" si="18"/>
        <v>5474004.0246000001</v>
      </c>
      <c r="Y92" s="714">
        <f t="shared" si="19"/>
        <v>5</v>
      </c>
      <c r="Z92" s="233">
        <f t="shared" si="20"/>
        <v>27370020.123</v>
      </c>
      <c r="AA92" s="233">
        <f t="shared" si="21"/>
        <v>5474004.0246000001</v>
      </c>
      <c r="AB92" s="233">
        <f t="shared" si="22"/>
        <v>5474004.0246000001</v>
      </c>
      <c r="AC92" s="233">
        <f t="shared" si="23"/>
        <v>5474004.0246000001</v>
      </c>
      <c r="AD92" s="238">
        <f t="shared" si="24"/>
        <v>5474004.0246000001</v>
      </c>
      <c r="AE92" s="238">
        <f t="shared" si="25"/>
        <v>5474004.0246000001</v>
      </c>
      <c r="AF92" s="238">
        <f t="shared" si="26"/>
        <v>54740040.245999999</v>
      </c>
      <c r="AG92" s="206">
        <f t="shared" si="27"/>
        <v>2008</v>
      </c>
      <c r="AH92" s="210">
        <f t="shared" si="28"/>
        <v>218960170.98400003</v>
      </c>
    </row>
    <row r="93" spans="1:34" s="48" customFormat="1" ht="40.5" hidden="1" customHeight="1" x14ac:dyDescent="0.2">
      <c r="A93" s="296">
        <v>13</v>
      </c>
      <c r="B93" s="48" t="s">
        <v>3000</v>
      </c>
      <c r="C93" s="772" t="s">
        <v>4247</v>
      </c>
      <c r="D93" s="73"/>
      <c r="E93" s="65" t="s">
        <v>2767</v>
      </c>
      <c r="F93" s="67" t="s">
        <v>1752</v>
      </c>
      <c r="G93" s="67" t="s">
        <v>2115</v>
      </c>
      <c r="H93" s="33" t="s">
        <v>43</v>
      </c>
      <c r="I93" s="40" t="s">
        <v>1786</v>
      </c>
      <c r="J93" s="40" t="s">
        <v>1934</v>
      </c>
      <c r="K93" s="40"/>
      <c r="L93" s="72" t="s">
        <v>1776</v>
      </c>
      <c r="M93" s="40">
        <v>2013</v>
      </c>
      <c r="N93" s="40" t="s">
        <v>2116</v>
      </c>
      <c r="O93" s="32"/>
      <c r="P93" s="33"/>
      <c r="Q93" s="40"/>
      <c r="R93" s="32" t="s">
        <v>12</v>
      </c>
      <c r="S93" s="252">
        <v>199428000</v>
      </c>
      <c r="T93" s="105"/>
      <c r="U93" s="206" t="str">
        <f t="shared" si="15"/>
        <v>03.11.01</v>
      </c>
      <c r="V93" s="207" t="str">
        <f t="shared" si="16"/>
        <v>Bangunan Gedung Tempat Kerja</v>
      </c>
      <c r="W93" s="207">
        <f t="shared" si="17"/>
        <v>50</v>
      </c>
      <c r="X93" s="233">
        <f t="shared" si="18"/>
        <v>3988559.8</v>
      </c>
      <c r="Y93" s="714">
        <f t="shared" si="19"/>
        <v>0</v>
      </c>
      <c r="Z93" s="233">
        <f t="shared" si="20"/>
        <v>0</v>
      </c>
      <c r="AA93" s="233">
        <f t="shared" si="21"/>
        <v>3988559.8</v>
      </c>
      <c r="AB93" s="233">
        <f t="shared" si="22"/>
        <v>3988559.8</v>
      </c>
      <c r="AC93" s="233">
        <f t="shared" si="23"/>
        <v>3988559.8</v>
      </c>
      <c r="AD93" s="238">
        <f t="shared" si="24"/>
        <v>3988559.8</v>
      </c>
      <c r="AE93" s="238">
        <f t="shared" si="25"/>
        <v>3988559.8</v>
      </c>
      <c r="AF93" s="238">
        <f t="shared" si="26"/>
        <v>19942799</v>
      </c>
      <c r="AG93" s="206">
        <f t="shared" si="27"/>
        <v>2013</v>
      </c>
      <c r="AH93" s="210">
        <f t="shared" si="28"/>
        <v>179485201</v>
      </c>
    </row>
    <row r="94" spans="1:34" s="48" customFormat="1" ht="40.5" hidden="1" customHeight="1" x14ac:dyDescent="0.2">
      <c r="A94" s="296">
        <v>13</v>
      </c>
      <c r="B94" s="48" t="s">
        <v>3000</v>
      </c>
      <c r="C94" s="772" t="s">
        <v>4247</v>
      </c>
      <c r="D94" s="73"/>
      <c r="E94" s="65" t="s">
        <v>2768</v>
      </c>
      <c r="F94" s="67" t="s">
        <v>1752</v>
      </c>
      <c r="G94" s="67" t="s">
        <v>2118</v>
      </c>
      <c r="H94" s="33" t="s">
        <v>43</v>
      </c>
      <c r="I94" s="40" t="s">
        <v>1786</v>
      </c>
      <c r="J94" s="40" t="s">
        <v>1934</v>
      </c>
      <c r="K94" s="40"/>
      <c r="L94" s="72" t="s">
        <v>1776</v>
      </c>
      <c r="M94" s="40">
        <v>2013</v>
      </c>
      <c r="N94" s="40" t="s">
        <v>2119</v>
      </c>
      <c r="O94" s="32"/>
      <c r="P94" s="33"/>
      <c r="Q94" s="40"/>
      <c r="R94" s="32" t="s">
        <v>12</v>
      </c>
      <c r="S94" s="252">
        <v>458377000</v>
      </c>
      <c r="T94" s="105"/>
      <c r="U94" s="206" t="str">
        <f t="shared" si="15"/>
        <v>03.11.01</v>
      </c>
      <c r="V94" s="207" t="str">
        <f t="shared" si="16"/>
        <v>Bangunan Gedung Tempat Kerja</v>
      </c>
      <c r="W94" s="207">
        <f t="shared" si="17"/>
        <v>50</v>
      </c>
      <c r="X94" s="233">
        <f t="shared" si="18"/>
        <v>9167539.8000000007</v>
      </c>
      <c r="Y94" s="714">
        <f t="shared" si="19"/>
        <v>0</v>
      </c>
      <c r="Z94" s="233">
        <f t="shared" si="20"/>
        <v>0</v>
      </c>
      <c r="AA94" s="233">
        <f t="shared" si="21"/>
        <v>9167539.8000000007</v>
      </c>
      <c r="AB94" s="233">
        <f t="shared" si="22"/>
        <v>9167539.8000000007</v>
      </c>
      <c r="AC94" s="233">
        <f t="shared" si="23"/>
        <v>9167539.8000000007</v>
      </c>
      <c r="AD94" s="238">
        <f t="shared" si="24"/>
        <v>9167539.8000000007</v>
      </c>
      <c r="AE94" s="238">
        <f t="shared" si="25"/>
        <v>9167539.8000000007</v>
      </c>
      <c r="AF94" s="238">
        <f t="shared" si="26"/>
        <v>45837699</v>
      </c>
      <c r="AG94" s="206">
        <f t="shared" si="27"/>
        <v>2013</v>
      </c>
      <c r="AH94" s="210">
        <f t="shared" si="28"/>
        <v>412539301</v>
      </c>
    </row>
    <row r="95" spans="1:34" s="48" customFormat="1" ht="40.5" hidden="1" customHeight="1" x14ac:dyDescent="0.2">
      <c r="A95" s="296"/>
      <c r="B95" s="48" t="s">
        <v>3001</v>
      </c>
      <c r="C95" s="772" t="s">
        <v>4266</v>
      </c>
      <c r="D95" s="73"/>
      <c r="E95" s="65" t="s">
        <v>1058</v>
      </c>
      <c r="F95" s="67" t="s">
        <v>1752</v>
      </c>
      <c r="G95" s="67"/>
      <c r="H95" s="33"/>
      <c r="I95" s="40"/>
      <c r="J95" s="40"/>
      <c r="K95" s="40"/>
      <c r="L95" s="72" t="s">
        <v>1099</v>
      </c>
      <c r="M95" s="40">
        <v>2008</v>
      </c>
      <c r="N95" s="40"/>
      <c r="O95" s="32"/>
      <c r="P95" s="33"/>
      <c r="Q95" s="40"/>
      <c r="R95" s="32" t="s">
        <v>12</v>
      </c>
      <c r="S95" s="252">
        <v>9660483991.4269543</v>
      </c>
      <c r="T95" s="61"/>
      <c r="U95" s="206" t="str">
        <f t="shared" si="15"/>
        <v>03.11.01</v>
      </c>
      <c r="V95" s="207" t="str">
        <f t="shared" si="16"/>
        <v>Bangunan Gedung Tempat Kerja</v>
      </c>
      <c r="W95" s="207">
        <f t="shared" si="17"/>
        <v>50</v>
      </c>
      <c r="X95" s="233">
        <f t="shared" si="18"/>
        <v>193209679.62853909</v>
      </c>
      <c r="Y95" s="714">
        <f t="shared" si="19"/>
        <v>5</v>
      </c>
      <c r="Z95" s="233">
        <f t="shared" si="20"/>
        <v>966048398.14269543</v>
      </c>
      <c r="AA95" s="233">
        <f t="shared" si="21"/>
        <v>193209679.62853909</v>
      </c>
      <c r="AB95" s="233">
        <f t="shared" si="22"/>
        <v>193209679.62853909</v>
      </c>
      <c r="AC95" s="233">
        <f t="shared" si="23"/>
        <v>193209679.62853909</v>
      </c>
      <c r="AD95" s="238">
        <f t="shared" si="24"/>
        <v>193209679.62853909</v>
      </c>
      <c r="AE95" s="238">
        <f t="shared" si="25"/>
        <v>193209679.62853909</v>
      </c>
      <c r="AF95" s="238">
        <f t="shared" si="26"/>
        <v>1932096796.2853909</v>
      </c>
      <c r="AG95" s="206">
        <f t="shared" si="27"/>
        <v>2008</v>
      </c>
      <c r="AH95" s="210">
        <f t="shared" si="28"/>
        <v>7728387195.1415634</v>
      </c>
    </row>
    <row r="96" spans="1:34" s="48" customFormat="1" ht="40.5" hidden="1" customHeight="1" x14ac:dyDescent="0.2">
      <c r="A96" s="296"/>
      <c r="B96" s="48" t="s">
        <v>3001</v>
      </c>
      <c r="C96" s="772" t="s">
        <v>4266</v>
      </c>
      <c r="D96" s="73"/>
      <c r="E96" s="65" t="s">
        <v>1057</v>
      </c>
      <c r="F96" s="67" t="s">
        <v>1752</v>
      </c>
      <c r="G96" s="67"/>
      <c r="H96" s="33" t="s">
        <v>43</v>
      </c>
      <c r="I96" s="40"/>
      <c r="J96" s="40"/>
      <c r="K96" s="40"/>
      <c r="L96" s="72" t="s">
        <v>1099</v>
      </c>
      <c r="M96" s="40">
        <v>2008</v>
      </c>
      <c r="N96" s="40"/>
      <c r="O96" s="32"/>
      <c r="P96" s="33"/>
      <c r="Q96" s="40"/>
      <c r="R96" s="32" t="s">
        <v>12</v>
      </c>
      <c r="S96" s="252">
        <v>76568873.791398466</v>
      </c>
      <c r="T96" s="61"/>
      <c r="U96" s="206" t="str">
        <f t="shared" si="15"/>
        <v>03.11.01</v>
      </c>
      <c r="V96" s="207" t="str">
        <f t="shared" si="16"/>
        <v>Bangunan Gedung Tempat Kerja</v>
      </c>
      <c r="W96" s="207">
        <f t="shared" si="17"/>
        <v>50</v>
      </c>
      <c r="X96" s="233">
        <f t="shared" si="18"/>
        <v>1531377.2758279694</v>
      </c>
      <c r="Y96" s="714">
        <f t="shared" si="19"/>
        <v>5</v>
      </c>
      <c r="Z96" s="233">
        <f t="shared" si="20"/>
        <v>7656886.3791398471</v>
      </c>
      <c r="AA96" s="233">
        <f t="shared" si="21"/>
        <v>1531377.2758279694</v>
      </c>
      <c r="AB96" s="233">
        <f t="shared" si="22"/>
        <v>1531377.2758279694</v>
      </c>
      <c r="AC96" s="233">
        <f t="shared" si="23"/>
        <v>1531377.2758279694</v>
      </c>
      <c r="AD96" s="238">
        <f t="shared" si="24"/>
        <v>1531377.2758279694</v>
      </c>
      <c r="AE96" s="238">
        <f t="shared" si="25"/>
        <v>1531377.2758279694</v>
      </c>
      <c r="AF96" s="238">
        <f t="shared" si="26"/>
        <v>15313772.758279696</v>
      </c>
      <c r="AG96" s="206">
        <f t="shared" si="27"/>
        <v>2008</v>
      </c>
      <c r="AH96" s="210">
        <f t="shared" si="28"/>
        <v>61255101.03311877</v>
      </c>
    </row>
    <row r="97" spans="1:34" s="48" customFormat="1" ht="40.5" hidden="1" customHeight="1" x14ac:dyDescent="0.2">
      <c r="A97" s="296"/>
      <c r="B97" s="48" t="s">
        <v>3001</v>
      </c>
      <c r="C97" s="772" t="s">
        <v>4266</v>
      </c>
      <c r="D97" s="73"/>
      <c r="E97" s="65" t="s">
        <v>2850</v>
      </c>
      <c r="F97" s="67" t="s">
        <v>1752</v>
      </c>
      <c r="G97" s="67"/>
      <c r="H97" s="33" t="s">
        <v>43</v>
      </c>
      <c r="I97" s="40"/>
      <c r="J97" s="40"/>
      <c r="K97" s="40"/>
      <c r="L97" s="72" t="s">
        <v>420</v>
      </c>
      <c r="M97" s="40">
        <v>2009</v>
      </c>
      <c r="N97" s="40"/>
      <c r="O97" s="32"/>
      <c r="P97" s="33"/>
      <c r="Q97" s="40"/>
      <c r="R97" s="32" t="s">
        <v>12</v>
      </c>
      <c r="S97" s="252">
        <v>2065687788</v>
      </c>
      <c r="T97" s="105"/>
      <c r="U97" s="206" t="str">
        <f t="shared" si="15"/>
        <v>03.11.01</v>
      </c>
      <c r="V97" s="207" t="str">
        <f t="shared" si="16"/>
        <v>Bangunan Gedung Tempat Kerja</v>
      </c>
      <c r="W97" s="207">
        <f t="shared" si="17"/>
        <v>50</v>
      </c>
      <c r="X97" s="233">
        <f t="shared" si="18"/>
        <v>41313755.560000002</v>
      </c>
      <c r="Y97" s="714">
        <f t="shared" si="19"/>
        <v>4</v>
      </c>
      <c r="Z97" s="233">
        <f t="shared" si="20"/>
        <v>165255022.24000001</v>
      </c>
      <c r="AA97" s="233">
        <f t="shared" si="21"/>
        <v>41313755.560000002</v>
      </c>
      <c r="AB97" s="233">
        <f t="shared" si="22"/>
        <v>41313755.560000002</v>
      </c>
      <c r="AC97" s="233">
        <f t="shared" si="23"/>
        <v>41313755.560000002</v>
      </c>
      <c r="AD97" s="238">
        <f t="shared" si="24"/>
        <v>41313755.560000002</v>
      </c>
      <c r="AE97" s="238">
        <f t="shared" si="25"/>
        <v>41313755.560000002</v>
      </c>
      <c r="AF97" s="238">
        <f t="shared" si="26"/>
        <v>371823800.04000002</v>
      </c>
      <c r="AG97" s="206">
        <f t="shared" si="27"/>
        <v>2009</v>
      </c>
      <c r="AH97" s="210">
        <f t="shared" si="28"/>
        <v>1693863987.96</v>
      </c>
    </row>
    <row r="98" spans="1:34" s="48" customFormat="1" ht="40.5" hidden="1" customHeight="1" x14ac:dyDescent="0.2">
      <c r="A98" s="296"/>
      <c r="C98" s="772" t="s">
        <v>2302</v>
      </c>
      <c r="D98" s="73"/>
      <c r="E98" s="65" t="s">
        <v>2631</v>
      </c>
      <c r="F98" s="67" t="s">
        <v>1752</v>
      </c>
      <c r="G98" s="67"/>
      <c r="H98" s="33"/>
      <c r="I98" s="40"/>
      <c r="J98" s="40"/>
      <c r="K98" s="40"/>
      <c r="L98" s="65" t="s">
        <v>52</v>
      </c>
      <c r="M98" s="40">
        <v>2008</v>
      </c>
      <c r="N98" s="40"/>
      <c r="O98" s="32"/>
      <c r="P98" s="33"/>
      <c r="Q98" s="40"/>
      <c r="R98" s="32" t="s">
        <v>12</v>
      </c>
      <c r="S98" s="252">
        <v>226216176.75853017</v>
      </c>
      <c r="T98" s="61"/>
      <c r="U98" s="206" t="str">
        <f t="shared" si="15"/>
        <v>03.11.01</v>
      </c>
      <c r="V98" s="207" t="str">
        <f t="shared" si="16"/>
        <v>Bangunan Gedung Tempat Kerja</v>
      </c>
      <c r="W98" s="207">
        <f t="shared" si="17"/>
        <v>50</v>
      </c>
      <c r="X98" s="233">
        <f t="shared" si="18"/>
        <v>4524323.3351706034</v>
      </c>
      <c r="Y98" s="714">
        <f t="shared" si="19"/>
        <v>5</v>
      </c>
      <c r="Z98" s="233">
        <f t="shared" si="20"/>
        <v>22621616.675853018</v>
      </c>
      <c r="AA98" s="233">
        <f t="shared" si="21"/>
        <v>4524323.3351706034</v>
      </c>
      <c r="AB98" s="233">
        <f t="shared" si="22"/>
        <v>4524323.3351706034</v>
      </c>
      <c r="AC98" s="233">
        <f t="shared" si="23"/>
        <v>4524323.3351706034</v>
      </c>
      <c r="AD98" s="238">
        <f t="shared" si="24"/>
        <v>4524323.3351706034</v>
      </c>
      <c r="AE98" s="238">
        <f t="shared" si="25"/>
        <v>4524323.3351706034</v>
      </c>
      <c r="AF98" s="238">
        <f t="shared" si="26"/>
        <v>45243233.351706035</v>
      </c>
      <c r="AG98" s="206">
        <f t="shared" si="27"/>
        <v>2008</v>
      </c>
      <c r="AH98" s="210">
        <f t="shared" si="28"/>
        <v>180972943.40682414</v>
      </c>
    </row>
    <row r="99" spans="1:34" s="48" customFormat="1" ht="40.5" hidden="1" customHeight="1" x14ac:dyDescent="0.2">
      <c r="A99" s="296"/>
      <c r="B99" s="48" t="s">
        <v>4348</v>
      </c>
      <c r="C99" s="772"/>
      <c r="D99" s="73"/>
      <c r="E99" s="65" t="s">
        <v>2632</v>
      </c>
      <c r="F99" s="67" t="s">
        <v>1752</v>
      </c>
      <c r="G99" s="67"/>
      <c r="H99" s="33" t="s">
        <v>43</v>
      </c>
      <c r="I99" s="40"/>
      <c r="J99" s="40"/>
      <c r="K99" s="40"/>
      <c r="L99" s="72" t="s">
        <v>417</v>
      </c>
      <c r="M99" s="40">
        <v>2008</v>
      </c>
      <c r="N99" s="40"/>
      <c r="O99" s="32"/>
      <c r="P99" s="33"/>
      <c r="Q99" s="40"/>
      <c r="R99" s="32" t="s">
        <v>12</v>
      </c>
      <c r="S99" s="252">
        <v>361142029.27301109</v>
      </c>
      <c r="T99" s="61"/>
      <c r="U99" s="206" t="str">
        <f t="shared" si="15"/>
        <v>03.11.01</v>
      </c>
      <c r="V99" s="207" t="str">
        <f t="shared" si="16"/>
        <v>Bangunan Gedung Tempat Kerja</v>
      </c>
      <c r="W99" s="207">
        <f t="shared" si="17"/>
        <v>50</v>
      </c>
      <c r="X99" s="233">
        <f t="shared" si="18"/>
        <v>7222840.3854602221</v>
      </c>
      <c r="Y99" s="714">
        <f t="shared" si="19"/>
        <v>5</v>
      </c>
      <c r="Z99" s="233">
        <f t="shared" si="20"/>
        <v>36114201.927301109</v>
      </c>
      <c r="AA99" s="233">
        <f t="shared" si="21"/>
        <v>7222840.3854602221</v>
      </c>
      <c r="AB99" s="233">
        <f t="shared" si="22"/>
        <v>7222840.3854602221</v>
      </c>
      <c r="AC99" s="233">
        <f t="shared" si="23"/>
        <v>7222840.3854602221</v>
      </c>
      <c r="AD99" s="238">
        <f t="shared" si="24"/>
        <v>7222840.3854602221</v>
      </c>
      <c r="AE99" s="238">
        <f t="shared" si="25"/>
        <v>7222840.3854602221</v>
      </c>
      <c r="AF99" s="238">
        <f t="shared" si="26"/>
        <v>72228403.854602218</v>
      </c>
      <c r="AG99" s="206">
        <f t="shared" si="27"/>
        <v>2008</v>
      </c>
      <c r="AH99" s="210">
        <f t="shared" si="28"/>
        <v>288913625.41840887</v>
      </c>
    </row>
    <row r="100" spans="1:34" s="48" customFormat="1" ht="40.5" hidden="1" customHeight="1" x14ac:dyDescent="0.2">
      <c r="A100" s="296">
        <v>9</v>
      </c>
      <c r="B100" s="65" t="s">
        <v>4757</v>
      </c>
      <c r="C100" s="772" t="s">
        <v>4247</v>
      </c>
      <c r="D100" s="73"/>
      <c r="E100" s="65" t="s">
        <v>1063</v>
      </c>
      <c r="F100" s="67" t="s">
        <v>1752</v>
      </c>
      <c r="G100" s="67"/>
      <c r="H100" s="33" t="s">
        <v>43</v>
      </c>
      <c r="I100" s="40"/>
      <c r="J100" s="40"/>
      <c r="K100" s="40"/>
      <c r="L100" s="65" t="s">
        <v>417</v>
      </c>
      <c r="M100" s="40">
        <v>2008</v>
      </c>
      <c r="N100" s="40"/>
      <c r="O100" s="32"/>
      <c r="P100" s="33"/>
      <c r="Q100" s="40"/>
      <c r="R100" s="32" t="s">
        <v>12</v>
      </c>
      <c r="S100" s="252">
        <v>366310200</v>
      </c>
      <c r="T100" s="61"/>
      <c r="U100" s="206" t="str">
        <f t="shared" si="15"/>
        <v>03.11.01</v>
      </c>
      <c r="V100" s="207" t="str">
        <f t="shared" si="16"/>
        <v>Bangunan Gedung Tempat Kerja</v>
      </c>
      <c r="W100" s="207">
        <f t="shared" si="17"/>
        <v>50</v>
      </c>
      <c r="X100" s="233">
        <f t="shared" si="18"/>
        <v>7326203.7999999998</v>
      </c>
      <c r="Y100" s="714">
        <f t="shared" si="19"/>
        <v>5</v>
      </c>
      <c r="Z100" s="233">
        <f t="shared" si="20"/>
        <v>36631019</v>
      </c>
      <c r="AA100" s="233">
        <f t="shared" si="21"/>
        <v>7326203.7999999998</v>
      </c>
      <c r="AB100" s="233">
        <f t="shared" si="22"/>
        <v>7326203.7999999998</v>
      </c>
      <c r="AC100" s="233">
        <f t="shared" si="23"/>
        <v>7326203.7999999998</v>
      </c>
      <c r="AD100" s="238">
        <f t="shared" si="24"/>
        <v>7326203.7999999998</v>
      </c>
      <c r="AE100" s="238">
        <f t="shared" si="25"/>
        <v>7326203.7999999998</v>
      </c>
      <c r="AF100" s="238">
        <f t="shared" si="26"/>
        <v>73262037.999999985</v>
      </c>
      <c r="AG100" s="206">
        <f t="shared" si="27"/>
        <v>2008</v>
      </c>
      <c r="AH100" s="210">
        <f t="shared" si="28"/>
        <v>293048162</v>
      </c>
    </row>
    <row r="101" spans="1:34" s="48" customFormat="1" ht="40.5" hidden="1" customHeight="1" x14ac:dyDescent="0.2">
      <c r="A101" s="296">
        <v>45</v>
      </c>
      <c r="B101" s="48" t="s">
        <v>3006</v>
      </c>
      <c r="C101" s="772" t="s">
        <v>4247</v>
      </c>
      <c r="D101" s="73"/>
      <c r="E101" s="65" t="s">
        <v>1065</v>
      </c>
      <c r="F101" s="67" t="s">
        <v>1752</v>
      </c>
      <c r="G101" s="67"/>
      <c r="H101" s="33" t="s">
        <v>43</v>
      </c>
      <c r="I101" s="40"/>
      <c r="J101" s="40"/>
      <c r="K101" s="40"/>
      <c r="L101" s="65" t="s">
        <v>417</v>
      </c>
      <c r="M101" s="40">
        <v>2008</v>
      </c>
      <c r="N101" s="40"/>
      <c r="O101" s="32"/>
      <c r="P101" s="33"/>
      <c r="Q101" s="40"/>
      <c r="R101" s="32" t="s">
        <v>12</v>
      </c>
      <c r="S101" s="252">
        <v>183155100</v>
      </c>
      <c r="T101" s="61"/>
      <c r="U101" s="206" t="str">
        <f t="shared" si="15"/>
        <v>03.11.01</v>
      </c>
      <c r="V101" s="207" t="str">
        <f t="shared" si="16"/>
        <v>Bangunan Gedung Tempat Kerja</v>
      </c>
      <c r="W101" s="207">
        <f t="shared" si="17"/>
        <v>50</v>
      </c>
      <c r="X101" s="233">
        <f t="shared" si="18"/>
        <v>3663101.8</v>
      </c>
      <c r="Y101" s="714">
        <f t="shared" si="19"/>
        <v>5</v>
      </c>
      <c r="Z101" s="233">
        <f t="shared" si="20"/>
        <v>18315509</v>
      </c>
      <c r="AA101" s="233">
        <f t="shared" si="21"/>
        <v>3663101.8</v>
      </c>
      <c r="AB101" s="233">
        <f t="shared" si="22"/>
        <v>3663101.8</v>
      </c>
      <c r="AC101" s="233">
        <f t="shared" si="23"/>
        <v>3663101.8</v>
      </c>
      <c r="AD101" s="238">
        <f t="shared" si="24"/>
        <v>3663101.8</v>
      </c>
      <c r="AE101" s="238">
        <f t="shared" si="25"/>
        <v>3663101.8</v>
      </c>
      <c r="AF101" s="238">
        <f t="shared" si="26"/>
        <v>36631018</v>
      </c>
      <c r="AG101" s="206">
        <f t="shared" si="27"/>
        <v>2008</v>
      </c>
      <c r="AH101" s="210">
        <f t="shared" si="28"/>
        <v>146524082</v>
      </c>
    </row>
    <row r="102" spans="1:34" s="48" customFormat="1" ht="40.5" hidden="1" customHeight="1" x14ac:dyDescent="0.2">
      <c r="A102" s="296"/>
      <c r="B102" s="48" t="s">
        <v>4740</v>
      </c>
      <c r="C102" s="772"/>
      <c r="D102" s="73"/>
      <c r="E102" s="65" t="s">
        <v>1066</v>
      </c>
      <c r="F102" s="67" t="s">
        <v>2485</v>
      </c>
      <c r="G102" s="67"/>
      <c r="H102" s="33"/>
      <c r="I102" s="40"/>
      <c r="J102" s="40"/>
      <c r="K102" s="40"/>
      <c r="L102" s="65" t="s">
        <v>417</v>
      </c>
      <c r="M102" s="40">
        <v>2008</v>
      </c>
      <c r="N102" s="40"/>
      <c r="O102" s="32"/>
      <c r="P102" s="33"/>
      <c r="Q102" s="40"/>
      <c r="R102" s="32" t="s">
        <v>12</v>
      </c>
      <c r="S102" s="252">
        <v>348601700</v>
      </c>
      <c r="T102" s="61"/>
      <c r="U102" s="206" t="str">
        <f t="shared" si="15"/>
        <v>03.11.02</v>
      </c>
      <c r="V102" s="207" t="str">
        <f t="shared" si="16"/>
        <v>Bangunan Gedung Tempat Tinggal</v>
      </c>
      <c r="W102" s="207">
        <f t="shared" si="17"/>
        <v>50</v>
      </c>
      <c r="X102" s="233">
        <f t="shared" si="18"/>
        <v>6972033.7999999998</v>
      </c>
      <c r="Y102" s="714">
        <f t="shared" si="19"/>
        <v>5</v>
      </c>
      <c r="Z102" s="233">
        <f t="shared" si="20"/>
        <v>34860169</v>
      </c>
      <c r="AA102" s="233">
        <f t="shared" si="21"/>
        <v>6972033.7999999998</v>
      </c>
      <c r="AB102" s="233">
        <f t="shared" si="22"/>
        <v>6972033.7999999998</v>
      </c>
      <c r="AC102" s="233">
        <f t="shared" si="23"/>
        <v>6972033.7999999998</v>
      </c>
      <c r="AD102" s="238">
        <f t="shared" si="24"/>
        <v>6972033.7999999998</v>
      </c>
      <c r="AE102" s="238">
        <f t="shared" si="25"/>
        <v>6972033.7999999998</v>
      </c>
      <c r="AF102" s="238">
        <f t="shared" si="26"/>
        <v>69720337.999999985</v>
      </c>
      <c r="AG102" s="206">
        <f t="shared" si="27"/>
        <v>2008</v>
      </c>
      <c r="AH102" s="210">
        <f t="shared" si="28"/>
        <v>278881362</v>
      </c>
    </row>
    <row r="103" spans="1:34" s="48" customFormat="1" ht="40.5" hidden="1" customHeight="1" x14ac:dyDescent="0.2">
      <c r="A103" s="296"/>
      <c r="C103" s="772" t="s">
        <v>2302</v>
      </c>
      <c r="D103" s="73"/>
      <c r="E103" s="65" t="s">
        <v>1067</v>
      </c>
      <c r="F103" s="67" t="s">
        <v>2839</v>
      </c>
      <c r="G103" s="67"/>
      <c r="H103" s="33" t="s">
        <v>43</v>
      </c>
      <c r="I103" s="40"/>
      <c r="J103" s="40"/>
      <c r="K103" s="40"/>
      <c r="L103" s="72" t="s">
        <v>1099</v>
      </c>
      <c r="M103" s="40">
        <v>2008</v>
      </c>
      <c r="N103" s="40"/>
      <c r="O103" s="32"/>
      <c r="P103" s="33"/>
      <c r="Q103" s="40"/>
      <c r="R103" s="32" t="s">
        <v>12</v>
      </c>
      <c r="S103" s="252">
        <v>943307860</v>
      </c>
      <c r="T103" s="61"/>
      <c r="U103" s="206" t="str">
        <f t="shared" si="15"/>
        <v>03.11.01</v>
      </c>
      <c r="V103" s="207" t="str">
        <f t="shared" si="16"/>
        <v>Bangunan Gedung Tempat Kerja</v>
      </c>
      <c r="W103" s="207">
        <f t="shared" si="17"/>
        <v>50</v>
      </c>
      <c r="X103" s="233">
        <f t="shared" si="18"/>
        <v>18866157</v>
      </c>
      <c r="Y103" s="714">
        <f t="shared" si="19"/>
        <v>5</v>
      </c>
      <c r="Z103" s="233">
        <f t="shared" si="20"/>
        <v>94330785</v>
      </c>
      <c r="AA103" s="233">
        <f t="shared" si="21"/>
        <v>18866157</v>
      </c>
      <c r="AB103" s="233">
        <f t="shared" si="22"/>
        <v>18866157</v>
      </c>
      <c r="AC103" s="233">
        <f t="shared" si="23"/>
        <v>18866157</v>
      </c>
      <c r="AD103" s="238">
        <f t="shared" si="24"/>
        <v>18866157</v>
      </c>
      <c r="AE103" s="238">
        <f t="shared" si="25"/>
        <v>18866157</v>
      </c>
      <c r="AF103" s="238">
        <f t="shared" si="26"/>
        <v>188661570</v>
      </c>
      <c r="AG103" s="206">
        <f t="shared" si="27"/>
        <v>2008</v>
      </c>
      <c r="AH103" s="210">
        <f t="shared" si="28"/>
        <v>754646290</v>
      </c>
    </row>
    <row r="104" spans="1:34" s="48" customFormat="1" ht="40.5" hidden="1" customHeight="1" x14ac:dyDescent="0.2">
      <c r="A104" s="296"/>
      <c r="B104" s="48" t="s">
        <v>4337</v>
      </c>
      <c r="C104" s="772" t="s">
        <v>4266</v>
      </c>
      <c r="D104" s="73"/>
      <c r="E104" s="65" t="s">
        <v>1068</v>
      </c>
      <c r="F104" s="67" t="s">
        <v>2837</v>
      </c>
      <c r="G104" s="67"/>
      <c r="H104" s="33" t="s">
        <v>43</v>
      </c>
      <c r="I104" s="40"/>
      <c r="J104" s="40"/>
      <c r="K104" s="40"/>
      <c r="L104" s="72" t="s">
        <v>1099</v>
      </c>
      <c r="M104" s="40">
        <v>2008</v>
      </c>
      <c r="N104" s="40"/>
      <c r="O104" s="32"/>
      <c r="P104" s="33"/>
      <c r="Q104" s="40"/>
      <c r="R104" s="32" t="s">
        <v>12</v>
      </c>
      <c r="S104" s="252">
        <v>1288238000</v>
      </c>
      <c r="T104" s="61"/>
      <c r="U104" s="206" t="str">
        <f t="shared" si="15"/>
        <v>03.11.01</v>
      </c>
      <c r="V104" s="207" t="str">
        <f t="shared" si="16"/>
        <v>Bangunan Gedung Tempat Kerja</v>
      </c>
      <c r="W104" s="207">
        <f t="shared" si="17"/>
        <v>50</v>
      </c>
      <c r="X104" s="233">
        <f t="shared" si="18"/>
        <v>25764759.800000001</v>
      </c>
      <c r="Y104" s="714">
        <f t="shared" si="19"/>
        <v>5</v>
      </c>
      <c r="Z104" s="233">
        <f t="shared" si="20"/>
        <v>128823799</v>
      </c>
      <c r="AA104" s="233">
        <f t="shared" si="21"/>
        <v>25764759.800000001</v>
      </c>
      <c r="AB104" s="233">
        <f t="shared" si="22"/>
        <v>25764759.800000001</v>
      </c>
      <c r="AC104" s="233">
        <f t="shared" si="23"/>
        <v>25764759.800000001</v>
      </c>
      <c r="AD104" s="238">
        <f t="shared" si="24"/>
        <v>25764759.800000001</v>
      </c>
      <c r="AE104" s="238">
        <f t="shared" si="25"/>
        <v>25764759.800000001</v>
      </c>
      <c r="AF104" s="238">
        <f t="shared" si="26"/>
        <v>257647598.00000006</v>
      </c>
      <c r="AG104" s="206">
        <f t="shared" si="27"/>
        <v>2008</v>
      </c>
      <c r="AH104" s="210">
        <f t="shared" si="28"/>
        <v>1030590402</v>
      </c>
    </row>
    <row r="105" spans="1:34" s="48" customFormat="1" ht="40.5" hidden="1" customHeight="1" x14ac:dyDescent="0.2">
      <c r="A105" s="296"/>
      <c r="B105" s="48" t="s">
        <v>3007</v>
      </c>
      <c r="C105" s="772" t="s">
        <v>4266</v>
      </c>
      <c r="D105" s="73"/>
      <c r="E105" s="65" t="s">
        <v>1069</v>
      </c>
      <c r="F105" s="67" t="s">
        <v>1772</v>
      </c>
      <c r="G105" s="67"/>
      <c r="H105" s="33" t="s">
        <v>43</v>
      </c>
      <c r="I105" s="40"/>
      <c r="J105" s="40"/>
      <c r="K105" s="40"/>
      <c r="L105" s="72" t="s">
        <v>1099</v>
      </c>
      <c r="M105" s="40">
        <v>2008</v>
      </c>
      <c r="N105" s="40"/>
      <c r="O105" s="32"/>
      <c r="P105" s="33"/>
      <c r="Q105" s="40"/>
      <c r="R105" s="32" t="s">
        <v>12</v>
      </c>
      <c r="S105" s="252">
        <v>629515500</v>
      </c>
      <c r="T105" s="61"/>
      <c r="U105" s="206" t="str">
        <f t="shared" si="15"/>
        <v>03.11.01</v>
      </c>
      <c r="V105" s="207" t="str">
        <f t="shared" si="16"/>
        <v>Bangunan Gedung Tempat Kerja</v>
      </c>
      <c r="W105" s="207">
        <f t="shared" si="17"/>
        <v>50</v>
      </c>
      <c r="X105" s="233">
        <f t="shared" si="18"/>
        <v>12590309.800000001</v>
      </c>
      <c r="Y105" s="714">
        <f t="shared" si="19"/>
        <v>5</v>
      </c>
      <c r="Z105" s="233">
        <f t="shared" si="20"/>
        <v>62951549</v>
      </c>
      <c r="AA105" s="233">
        <f t="shared" si="21"/>
        <v>12590309.800000001</v>
      </c>
      <c r="AB105" s="233">
        <f t="shared" si="22"/>
        <v>12590309.800000001</v>
      </c>
      <c r="AC105" s="233">
        <f t="shared" si="23"/>
        <v>12590309.800000001</v>
      </c>
      <c r="AD105" s="238">
        <f t="shared" si="24"/>
        <v>12590309.800000001</v>
      </c>
      <c r="AE105" s="238">
        <f t="shared" si="25"/>
        <v>12590309.800000001</v>
      </c>
      <c r="AF105" s="238">
        <f t="shared" si="26"/>
        <v>125903097.99999999</v>
      </c>
      <c r="AG105" s="206">
        <f t="shared" si="27"/>
        <v>2008</v>
      </c>
      <c r="AH105" s="210">
        <f t="shared" si="28"/>
        <v>503612402</v>
      </c>
    </row>
    <row r="106" spans="1:34" s="48" customFormat="1" ht="40.5" hidden="1" customHeight="1" x14ac:dyDescent="0.2">
      <c r="A106" s="296"/>
      <c r="B106" s="48" t="s">
        <v>3007</v>
      </c>
      <c r="C106" s="772" t="s">
        <v>4266</v>
      </c>
      <c r="D106" s="73"/>
      <c r="E106" s="65" t="s">
        <v>2807</v>
      </c>
      <c r="F106" s="67" t="s">
        <v>1752</v>
      </c>
      <c r="G106" s="67" t="s">
        <v>2115</v>
      </c>
      <c r="H106" s="33" t="s">
        <v>43</v>
      </c>
      <c r="I106" s="40" t="s">
        <v>1786</v>
      </c>
      <c r="J106" s="40" t="s">
        <v>1934</v>
      </c>
      <c r="K106" s="40"/>
      <c r="L106" s="72" t="s">
        <v>1776</v>
      </c>
      <c r="M106" s="40">
        <v>2014</v>
      </c>
      <c r="N106" s="40" t="s">
        <v>2223</v>
      </c>
      <c r="O106" s="32"/>
      <c r="P106" s="33"/>
      <c r="Q106" s="40"/>
      <c r="R106" s="32" t="s">
        <v>12</v>
      </c>
      <c r="S106" s="252">
        <v>443790000</v>
      </c>
      <c r="T106" s="105"/>
      <c r="U106" s="206" t="str">
        <f t="shared" si="15"/>
        <v>03.11.01</v>
      </c>
      <c r="V106" s="207" t="str">
        <f t="shared" si="16"/>
        <v>Bangunan Gedung Tempat Kerja</v>
      </c>
      <c r="W106" s="207">
        <f t="shared" si="17"/>
        <v>50</v>
      </c>
      <c r="X106" s="233">
        <f t="shared" si="18"/>
        <v>8875799.8000000007</v>
      </c>
      <c r="Y106" s="714">
        <f t="shared" si="19"/>
        <v>0</v>
      </c>
      <c r="Z106" s="233">
        <f t="shared" si="20"/>
        <v>0</v>
      </c>
      <c r="AA106" s="233">
        <f t="shared" si="21"/>
        <v>8875799.8000000007</v>
      </c>
      <c r="AB106" s="233">
        <f t="shared" si="22"/>
        <v>8875799.8000000007</v>
      </c>
      <c r="AC106" s="233">
        <f t="shared" si="23"/>
        <v>8875799.8000000007</v>
      </c>
      <c r="AD106" s="238">
        <f t="shared" si="24"/>
        <v>8875799.8000000007</v>
      </c>
      <c r="AE106" s="238">
        <f t="shared" si="25"/>
        <v>8875799.8000000007</v>
      </c>
      <c r="AF106" s="238">
        <f t="shared" si="26"/>
        <v>44378999</v>
      </c>
      <c r="AG106" s="206">
        <f t="shared" si="27"/>
        <v>2014</v>
      </c>
      <c r="AH106" s="210">
        <f t="shared" si="28"/>
        <v>399411001</v>
      </c>
    </row>
    <row r="107" spans="1:34" s="48" customFormat="1" ht="40.5" hidden="1" customHeight="1" x14ac:dyDescent="0.2">
      <c r="A107" s="296"/>
      <c r="B107" s="48" t="s">
        <v>4337</v>
      </c>
      <c r="C107" s="772" t="s">
        <v>4266</v>
      </c>
      <c r="D107" s="73"/>
      <c r="E107" s="65" t="s">
        <v>1070</v>
      </c>
      <c r="F107" s="67" t="s">
        <v>2837</v>
      </c>
      <c r="G107" s="67"/>
      <c r="H107" s="33" t="s">
        <v>43</v>
      </c>
      <c r="I107" s="40"/>
      <c r="J107" s="40"/>
      <c r="K107" s="40"/>
      <c r="L107" s="72" t="s">
        <v>1099</v>
      </c>
      <c r="M107" s="40">
        <v>2008</v>
      </c>
      <c r="N107" s="40"/>
      <c r="O107" s="32"/>
      <c r="P107" s="33"/>
      <c r="Q107" s="40"/>
      <c r="R107" s="32" t="s">
        <v>12</v>
      </c>
      <c r="S107" s="252">
        <v>106679650</v>
      </c>
      <c r="T107" s="61"/>
      <c r="U107" s="206" t="str">
        <f t="shared" si="15"/>
        <v>03.11.01</v>
      </c>
      <c r="V107" s="207" t="str">
        <f t="shared" si="16"/>
        <v>Bangunan Gedung Tempat Kerja</v>
      </c>
      <c r="W107" s="207">
        <f t="shared" si="17"/>
        <v>50</v>
      </c>
      <c r="X107" s="233">
        <f t="shared" si="18"/>
        <v>2133592.7999999998</v>
      </c>
      <c r="Y107" s="714">
        <f t="shared" si="19"/>
        <v>5</v>
      </c>
      <c r="Z107" s="233">
        <f t="shared" si="20"/>
        <v>10667964</v>
      </c>
      <c r="AA107" s="233">
        <f t="shared" si="21"/>
        <v>2133592.7999999998</v>
      </c>
      <c r="AB107" s="233">
        <f t="shared" si="22"/>
        <v>2133592.7999999998</v>
      </c>
      <c r="AC107" s="233">
        <f t="shared" si="23"/>
        <v>2133592.7999999998</v>
      </c>
      <c r="AD107" s="238">
        <f t="shared" si="24"/>
        <v>2133592.7999999998</v>
      </c>
      <c r="AE107" s="238">
        <f t="shared" si="25"/>
        <v>2133592.7999999998</v>
      </c>
      <c r="AF107" s="238">
        <f t="shared" si="26"/>
        <v>21335928.000000004</v>
      </c>
      <c r="AG107" s="206">
        <f t="shared" si="27"/>
        <v>2008</v>
      </c>
      <c r="AH107" s="210">
        <f t="shared" si="28"/>
        <v>85343722</v>
      </c>
    </row>
    <row r="108" spans="1:34" s="48" customFormat="1" ht="40.5" hidden="1" customHeight="1" x14ac:dyDescent="0.2">
      <c r="A108" s="296"/>
      <c r="B108" s="48" t="s">
        <v>3001</v>
      </c>
      <c r="C108" s="772" t="s">
        <v>4266</v>
      </c>
      <c r="D108" s="73"/>
      <c r="E108" s="65" t="s">
        <v>1071</v>
      </c>
      <c r="F108" s="67" t="s">
        <v>1752</v>
      </c>
      <c r="G108" s="67"/>
      <c r="H108" s="33"/>
      <c r="I108" s="40"/>
      <c r="J108" s="40"/>
      <c r="K108" s="40"/>
      <c r="L108" s="65" t="s">
        <v>52</v>
      </c>
      <c r="M108" s="40">
        <v>2008</v>
      </c>
      <c r="N108" s="40"/>
      <c r="O108" s="32"/>
      <c r="P108" s="33"/>
      <c r="Q108" s="40"/>
      <c r="R108" s="32" t="s">
        <v>12</v>
      </c>
      <c r="S108" s="252">
        <v>3401817973.9301944</v>
      </c>
      <c r="T108" s="61"/>
      <c r="U108" s="206" t="str">
        <f t="shared" si="15"/>
        <v>03.11.01</v>
      </c>
      <c r="V108" s="207" t="str">
        <f t="shared" si="16"/>
        <v>Bangunan Gedung Tempat Kerja</v>
      </c>
      <c r="W108" s="207">
        <f t="shared" si="17"/>
        <v>50</v>
      </c>
      <c r="X108" s="233">
        <f t="shared" si="18"/>
        <v>68036359.278603882</v>
      </c>
      <c r="Y108" s="714">
        <f t="shared" si="19"/>
        <v>5</v>
      </c>
      <c r="Z108" s="233">
        <f t="shared" si="20"/>
        <v>340181796.39301944</v>
      </c>
      <c r="AA108" s="233">
        <f t="shared" si="21"/>
        <v>68036359.278603882</v>
      </c>
      <c r="AB108" s="233">
        <f t="shared" si="22"/>
        <v>68036359.278603882</v>
      </c>
      <c r="AC108" s="233">
        <f t="shared" si="23"/>
        <v>68036359.278603882</v>
      </c>
      <c r="AD108" s="238">
        <f t="shared" si="24"/>
        <v>68036359.278603882</v>
      </c>
      <c r="AE108" s="238">
        <f t="shared" si="25"/>
        <v>68036359.278603882</v>
      </c>
      <c r="AF108" s="238">
        <f t="shared" si="26"/>
        <v>680363592.78603899</v>
      </c>
      <c r="AG108" s="206">
        <f t="shared" si="27"/>
        <v>2008</v>
      </c>
      <c r="AH108" s="210">
        <f t="shared" si="28"/>
        <v>2721454381.1441555</v>
      </c>
    </row>
    <row r="109" spans="1:34" s="48" customFormat="1" ht="40.5" hidden="1" customHeight="1" x14ac:dyDescent="0.2">
      <c r="A109" s="296"/>
      <c r="B109" s="48" t="s">
        <v>4741</v>
      </c>
      <c r="C109" s="772" t="s">
        <v>4349</v>
      </c>
      <c r="D109" s="73"/>
      <c r="E109" s="65" t="s">
        <v>1072</v>
      </c>
      <c r="F109" s="67" t="s">
        <v>2840</v>
      </c>
      <c r="G109" s="67"/>
      <c r="H109" s="33"/>
      <c r="I109" s="40"/>
      <c r="J109" s="40"/>
      <c r="K109" s="40"/>
      <c r="L109" s="65" t="s">
        <v>52</v>
      </c>
      <c r="M109" s="40">
        <v>2008</v>
      </c>
      <c r="N109" s="40"/>
      <c r="O109" s="32"/>
      <c r="P109" s="33"/>
      <c r="Q109" s="40"/>
      <c r="R109" s="32" t="s">
        <v>12</v>
      </c>
      <c r="S109" s="252">
        <v>1418400500</v>
      </c>
      <c r="T109" s="61"/>
      <c r="U109" s="206" t="str">
        <f t="shared" si="15"/>
        <v>03.11.02</v>
      </c>
      <c r="V109" s="207" t="str">
        <f t="shared" si="16"/>
        <v>Bangunan Gedung Tempat Tinggal</v>
      </c>
      <c r="W109" s="207">
        <f t="shared" si="17"/>
        <v>50</v>
      </c>
      <c r="X109" s="233">
        <f t="shared" si="18"/>
        <v>28368009.800000001</v>
      </c>
      <c r="Y109" s="714">
        <f t="shared" si="19"/>
        <v>5</v>
      </c>
      <c r="Z109" s="233">
        <f t="shared" si="20"/>
        <v>141840049</v>
      </c>
      <c r="AA109" s="233">
        <f t="shared" si="21"/>
        <v>28368009.800000001</v>
      </c>
      <c r="AB109" s="233">
        <f t="shared" si="22"/>
        <v>28368009.800000001</v>
      </c>
      <c r="AC109" s="233">
        <f t="shared" si="23"/>
        <v>28368009.800000001</v>
      </c>
      <c r="AD109" s="238">
        <f t="shared" si="24"/>
        <v>28368009.800000001</v>
      </c>
      <c r="AE109" s="238">
        <f t="shared" si="25"/>
        <v>28368009.800000001</v>
      </c>
      <c r="AF109" s="238">
        <f t="shared" si="26"/>
        <v>283680098.00000006</v>
      </c>
      <c r="AG109" s="206">
        <f t="shared" si="27"/>
        <v>2008</v>
      </c>
      <c r="AH109" s="210">
        <f t="shared" si="28"/>
        <v>1134720402</v>
      </c>
    </row>
    <row r="110" spans="1:34" s="48" customFormat="1" ht="40.5" hidden="1" customHeight="1" x14ac:dyDescent="0.2">
      <c r="A110" s="296"/>
      <c r="B110" s="48" t="s">
        <v>4738</v>
      </c>
      <c r="C110" s="772" t="s">
        <v>4266</v>
      </c>
      <c r="D110" s="73"/>
      <c r="E110" s="65" t="s">
        <v>1040</v>
      </c>
      <c r="F110" s="67" t="s">
        <v>2485</v>
      </c>
      <c r="G110" s="67"/>
      <c r="H110" s="33"/>
      <c r="I110" s="40"/>
      <c r="J110" s="40"/>
      <c r="K110" s="40"/>
      <c r="L110" s="65" t="s">
        <v>52</v>
      </c>
      <c r="M110" s="40">
        <v>2008</v>
      </c>
      <c r="N110" s="40"/>
      <c r="O110" s="32"/>
      <c r="P110" s="33"/>
      <c r="Q110" s="40"/>
      <c r="R110" s="32" t="s">
        <v>12</v>
      </c>
      <c r="S110" s="252">
        <v>340000000</v>
      </c>
      <c r="T110" s="61"/>
      <c r="U110" s="206" t="str">
        <f t="shared" si="15"/>
        <v>03.11.02</v>
      </c>
      <c r="V110" s="207" t="str">
        <f t="shared" si="16"/>
        <v>Bangunan Gedung Tempat Tinggal</v>
      </c>
      <c r="W110" s="207">
        <f t="shared" si="17"/>
        <v>50</v>
      </c>
      <c r="X110" s="233">
        <f t="shared" si="18"/>
        <v>6799999.7999999998</v>
      </c>
      <c r="Y110" s="714">
        <f t="shared" si="19"/>
        <v>5</v>
      </c>
      <c r="Z110" s="233">
        <f t="shared" si="20"/>
        <v>33999999</v>
      </c>
      <c r="AA110" s="233">
        <f t="shared" si="21"/>
        <v>6799999.7999999998</v>
      </c>
      <c r="AB110" s="233">
        <f t="shared" si="22"/>
        <v>6799999.7999999998</v>
      </c>
      <c r="AC110" s="233">
        <f t="shared" si="23"/>
        <v>6799999.7999999998</v>
      </c>
      <c r="AD110" s="238">
        <f t="shared" si="24"/>
        <v>6799999.7999999998</v>
      </c>
      <c r="AE110" s="238">
        <f t="shared" si="25"/>
        <v>6799999.7999999998</v>
      </c>
      <c r="AF110" s="238">
        <f t="shared" si="26"/>
        <v>67999997.999999985</v>
      </c>
      <c r="AG110" s="206">
        <f t="shared" si="27"/>
        <v>2008</v>
      </c>
      <c r="AH110" s="210">
        <f t="shared" si="28"/>
        <v>272000002</v>
      </c>
    </row>
    <row r="111" spans="1:34" s="48" customFormat="1" ht="40.5" hidden="1" customHeight="1" x14ac:dyDescent="0.2">
      <c r="A111" s="296"/>
      <c r="B111" s="48" t="s">
        <v>4742</v>
      </c>
      <c r="C111" s="772"/>
      <c r="D111" s="73"/>
      <c r="E111" s="65" t="s">
        <v>1073</v>
      </c>
      <c r="F111" s="67" t="s">
        <v>2841</v>
      </c>
      <c r="G111" s="67"/>
      <c r="H111" s="33" t="s">
        <v>43</v>
      </c>
      <c r="I111" s="40"/>
      <c r="J111" s="40"/>
      <c r="K111" s="40"/>
      <c r="L111" s="65" t="s">
        <v>417</v>
      </c>
      <c r="M111" s="40">
        <v>2008</v>
      </c>
      <c r="N111" s="40"/>
      <c r="O111" s="32"/>
      <c r="P111" s="33"/>
      <c r="Q111" s="40"/>
      <c r="R111" s="32" t="s">
        <v>12</v>
      </c>
      <c r="S111" s="252">
        <v>207120100</v>
      </c>
      <c r="T111" s="61"/>
      <c r="U111" s="206" t="str">
        <f t="shared" si="15"/>
        <v>03.12.01</v>
      </c>
      <c r="V111" s="207" t="str">
        <f t="shared" si="16"/>
        <v>Bangunan Bersejarah</v>
      </c>
      <c r="W111" s="207">
        <f t="shared" si="17"/>
        <v>50</v>
      </c>
      <c r="X111" s="233">
        <f t="shared" si="18"/>
        <v>4142401.8</v>
      </c>
      <c r="Y111" s="714">
        <f t="shared" si="19"/>
        <v>5</v>
      </c>
      <c r="Z111" s="233">
        <f t="shared" si="20"/>
        <v>20712009</v>
      </c>
      <c r="AA111" s="233">
        <f t="shared" si="21"/>
        <v>4142401.8</v>
      </c>
      <c r="AB111" s="233">
        <f t="shared" si="22"/>
        <v>4142401.8</v>
      </c>
      <c r="AC111" s="233">
        <f t="shared" si="23"/>
        <v>4142401.8</v>
      </c>
      <c r="AD111" s="238">
        <f t="shared" si="24"/>
        <v>4142401.8</v>
      </c>
      <c r="AE111" s="238">
        <f t="shared" si="25"/>
        <v>4142401.8</v>
      </c>
      <c r="AF111" s="238">
        <f t="shared" si="26"/>
        <v>41424018</v>
      </c>
      <c r="AG111" s="206">
        <f t="shared" si="27"/>
        <v>2008</v>
      </c>
      <c r="AH111" s="210">
        <f t="shared" si="28"/>
        <v>165696082</v>
      </c>
    </row>
    <row r="112" spans="1:34" s="48" customFormat="1" ht="40.5" hidden="1" customHeight="1" x14ac:dyDescent="0.2">
      <c r="A112" s="296"/>
      <c r="B112" s="48" t="s">
        <v>4350</v>
      </c>
      <c r="C112" s="772"/>
      <c r="D112" s="73"/>
      <c r="E112" s="65" t="s">
        <v>1075</v>
      </c>
      <c r="F112" s="67" t="s">
        <v>2842</v>
      </c>
      <c r="G112" s="67"/>
      <c r="H112" s="33"/>
      <c r="I112" s="40"/>
      <c r="J112" s="40"/>
      <c r="K112" s="40"/>
      <c r="L112" s="72" t="s">
        <v>417</v>
      </c>
      <c r="M112" s="40">
        <v>2014</v>
      </c>
      <c r="N112" s="40"/>
      <c r="O112" s="32"/>
      <c r="P112" s="33"/>
      <c r="Q112" s="40"/>
      <c r="R112" s="32" t="s">
        <v>12</v>
      </c>
      <c r="S112" s="252">
        <v>34581000</v>
      </c>
      <c r="T112" s="105"/>
      <c r="U112" s="206" t="str">
        <f t="shared" si="15"/>
        <v>03.11.01</v>
      </c>
      <c r="V112" s="207" t="str">
        <f t="shared" si="16"/>
        <v>Bangunan Gedung Tempat Kerja</v>
      </c>
      <c r="W112" s="207">
        <f t="shared" si="17"/>
        <v>50</v>
      </c>
      <c r="X112" s="233">
        <f t="shared" si="18"/>
        <v>691619.8</v>
      </c>
      <c r="Y112" s="714">
        <f t="shared" si="19"/>
        <v>0</v>
      </c>
      <c r="Z112" s="233">
        <f t="shared" si="20"/>
        <v>0</v>
      </c>
      <c r="AA112" s="233">
        <f t="shared" si="21"/>
        <v>691619.8</v>
      </c>
      <c r="AB112" s="233">
        <f t="shared" si="22"/>
        <v>691619.8</v>
      </c>
      <c r="AC112" s="233">
        <f t="shared" si="23"/>
        <v>691619.8</v>
      </c>
      <c r="AD112" s="238">
        <f t="shared" si="24"/>
        <v>691619.8</v>
      </c>
      <c r="AE112" s="238">
        <f t="shared" si="25"/>
        <v>691619.8</v>
      </c>
      <c r="AF112" s="238">
        <f t="shared" si="26"/>
        <v>3458099</v>
      </c>
      <c r="AG112" s="206">
        <f t="shared" si="27"/>
        <v>2014</v>
      </c>
      <c r="AH112" s="210">
        <f t="shared" si="28"/>
        <v>31122901</v>
      </c>
    </row>
    <row r="113" spans="1:34" s="48" customFormat="1" ht="40.5" hidden="1" customHeight="1" x14ac:dyDescent="0.2">
      <c r="A113" s="296"/>
      <c r="C113" s="772" t="s">
        <v>2302</v>
      </c>
      <c r="D113" s="73"/>
      <c r="E113" s="65" t="s">
        <v>1076</v>
      </c>
      <c r="F113" s="67" t="s">
        <v>1752</v>
      </c>
      <c r="G113" s="67"/>
      <c r="H113" s="33"/>
      <c r="I113" s="40"/>
      <c r="J113" s="40"/>
      <c r="K113" s="40"/>
      <c r="L113" s="72" t="s">
        <v>1099</v>
      </c>
      <c r="M113" s="40">
        <v>2014</v>
      </c>
      <c r="N113" s="40"/>
      <c r="O113" s="32"/>
      <c r="P113" s="33"/>
      <c r="Q113" s="40"/>
      <c r="R113" s="32" t="s">
        <v>12</v>
      </c>
      <c r="S113" s="252">
        <v>114869000</v>
      </c>
      <c r="T113" s="105"/>
      <c r="U113" s="206" t="str">
        <f t="shared" si="15"/>
        <v>03.11.01</v>
      </c>
      <c r="V113" s="207" t="str">
        <f t="shared" si="16"/>
        <v>Bangunan Gedung Tempat Kerja</v>
      </c>
      <c r="W113" s="207">
        <f t="shared" si="17"/>
        <v>50</v>
      </c>
      <c r="X113" s="233">
        <f t="shared" si="18"/>
        <v>2297379.7999999998</v>
      </c>
      <c r="Y113" s="714">
        <f t="shared" si="19"/>
        <v>0</v>
      </c>
      <c r="Z113" s="233">
        <f t="shared" si="20"/>
        <v>0</v>
      </c>
      <c r="AA113" s="233">
        <f t="shared" si="21"/>
        <v>2297379.7999999998</v>
      </c>
      <c r="AB113" s="233">
        <f t="shared" si="22"/>
        <v>2297379.7999999998</v>
      </c>
      <c r="AC113" s="233">
        <f t="shared" si="23"/>
        <v>2297379.7999999998</v>
      </c>
      <c r="AD113" s="238">
        <f t="shared" si="24"/>
        <v>2297379.7999999998</v>
      </c>
      <c r="AE113" s="238">
        <f t="shared" si="25"/>
        <v>2297379.7999999998</v>
      </c>
      <c r="AF113" s="238">
        <f t="shared" si="26"/>
        <v>11486899</v>
      </c>
      <c r="AG113" s="206">
        <f t="shared" si="27"/>
        <v>2014</v>
      </c>
      <c r="AH113" s="210">
        <f t="shared" si="28"/>
        <v>103382101</v>
      </c>
    </row>
    <row r="114" spans="1:34" s="48" customFormat="1" ht="40.5" hidden="1" customHeight="1" x14ac:dyDescent="0.2">
      <c r="A114" s="296"/>
      <c r="C114" s="772" t="s">
        <v>2302</v>
      </c>
      <c r="D114" s="73"/>
      <c r="E114" s="65" t="s">
        <v>1078</v>
      </c>
      <c r="F114" s="67" t="s">
        <v>2843</v>
      </c>
      <c r="G114" s="67"/>
      <c r="H114" s="33"/>
      <c r="I114" s="40"/>
      <c r="J114" s="40"/>
      <c r="K114" s="40"/>
      <c r="L114" s="72" t="s">
        <v>1099</v>
      </c>
      <c r="M114" s="40">
        <v>2015</v>
      </c>
      <c r="N114" s="40"/>
      <c r="O114" s="32"/>
      <c r="P114" s="33"/>
      <c r="Q114" s="40"/>
      <c r="R114" s="32" t="s">
        <v>12</v>
      </c>
      <c r="S114" s="252">
        <v>195914149</v>
      </c>
      <c r="T114" s="105"/>
      <c r="U114" s="206" t="str">
        <f t="shared" si="15"/>
        <v>03.11.01</v>
      </c>
      <c r="V114" s="207" t="str">
        <f t="shared" si="16"/>
        <v>Bangunan Gedung Tempat Kerja</v>
      </c>
      <c r="W114" s="207">
        <f t="shared" si="17"/>
        <v>50</v>
      </c>
      <c r="X114" s="233">
        <f t="shared" si="18"/>
        <v>3918282.78</v>
      </c>
      <c r="Y114" s="714">
        <f t="shared" si="19"/>
        <v>0</v>
      </c>
      <c r="Z114" s="233">
        <f t="shared" si="20"/>
        <v>0</v>
      </c>
      <c r="AA114" s="233"/>
      <c r="AB114" s="233">
        <f t="shared" si="22"/>
        <v>3918282.78</v>
      </c>
      <c r="AC114" s="233">
        <f t="shared" si="23"/>
        <v>3918282.78</v>
      </c>
      <c r="AD114" s="238">
        <f t="shared" si="24"/>
        <v>3918282.78</v>
      </c>
      <c r="AE114" s="238">
        <f t="shared" si="25"/>
        <v>3918282.78</v>
      </c>
      <c r="AF114" s="238">
        <f t="shared" si="26"/>
        <v>15673131.119999999</v>
      </c>
      <c r="AG114" s="206">
        <f t="shared" si="27"/>
        <v>2015</v>
      </c>
      <c r="AH114" s="210">
        <f t="shared" si="28"/>
        <v>180241017.88</v>
      </c>
    </row>
    <row r="115" spans="1:34" s="48" customFormat="1" ht="40.5" hidden="1" customHeight="1" x14ac:dyDescent="0.2">
      <c r="A115" s="296"/>
      <c r="B115" s="48" t="s">
        <v>3020</v>
      </c>
      <c r="C115" s="772"/>
      <c r="D115" s="73"/>
      <c r="E115" s="65" t="s">
        <v>1079</v>
      </c>
      <c r="F115" s="67" t="s">
        <v>1752</v>
      </c>
      <c r="G115" s="67"/>
      <c r="H115" s="33"/>
      <c r="I115" s="40"/>
      <c r="J115" s="40"/>
      <c r="K115" s="40"/>
      <c r="L115" s="72" t="s">
        <v>1100</v>
      </c>
      <c r="M115" s="40">
        <v>2015</v>
      </c>
      <c r="N115" s="40"/>
      <c r="O115" s="32"/>
      <c r="P115" s="33"/>
      <c r="Q115" s="40"/>
      <c r="R115" s="32" t="s">
        <v>12</v>
      </c>
      <c r="S115" s="252">
        <v>313428000</v>
      </c>
      <c r="T115" s="105"/>
      <c r="U115" s="206" t="str">
        <f t="shared" si="15"/>
        <v>03.11.01</v>
      </c>
      <c r="V115" s="207" t="str">
        <f t="shared" si="16"/>
        <v>Bangunan Gedung Tempat Kerja</v>
      </c>
      <c r="W115" s="207">
        <f t="shared" si="17"/>
        <v>50</v>
      </c>
      <c r="X115" s="233">
        <f t="shared" si="18"/>
        <v>6268559.7999999998</v>
      </c>
      <c r="Y115" s="714">
        <f t="shared" si="19"/>
        <v>0</v>
      </c>
      <c r="Z115" s="233">
        <f t="shared" si="20"/>
        <v>0</v>
      </c>
      <c r="AA115" s="233"/>
      <c r="AB115" s="233">
        <f t="shared" si="22"/>
        <v>6268559.7999999998</v>
      </c>
      <c r="AC115" s="233">
        <f t="shared" si="23"/>
        <v>6268559.7999999998</v>
      </c>
      <c r="AD115" s="238">
        <f t="shared" si="24"/>
        <v>6268559.7999999998</v>
      </c>
      <c r="AE115" s="238">
        <f t="shared" si="25"/>
        <v>6268559.7999999998</v>
      </c>
      <c r="AF115" s="238">
        <f t="shared" si="26"/>
        <v>25074239.199999999</v>
      </c>
      <c r="AG115" s="206">
        <f t="shared" si="27"/>
        <v>2015</v>
      </c>
      <c r="AH115" s="210">
        <f t="shared" si="28"/>
        <v>288353760.80000001</v>
      </c>
    </row>
    <row r="116" spans="1:34" s="48" customFormat="1" ht="40.5" hidden="1" customHeight="1" x14ac:dyDescent="0.2">
      <c r="A116" s="296"/>
      <c r="B116" s="48" t="s">
        <v>2634</v>
      </c>
      <c r="C116" s="772"/>
      <c r="D116" s="73"/>
      <c r="E116" s="65" t="s">
        <v>2634</v>
      </c>
      <c r="F116" s="67" t="s">
        <v>1752</v>
      </c>
      <c r="G116" s="67" t="s">
        <v>39</v>
      </c>
      <c r="H116" s="33" t="s">
        <v>43</v>
      </c>
      <c r="I116" s="40" t="s">
        <v>1753</v>
      </c>
      <c r="J116" s="40" t="s">
        <v>835</v>
      </c>
      <c r="K116" s="40">
        <v>124</v>
      </c>
      <c r="L116" s="72" t="s">
        <v>1754</v>
      </c>
      <c r="M116" s="40">
        <v>2009</v>
      </c>
      <c r="N116" s="40" t="s">
        <v>1755</v>
      </c>
      <c r="O116" s="32"/>
      <c r="P116" s="33"/>
      <c r="Q116" s="40"/>
      <c r="R116" s="32" t="s">
        <v>12</v>
      </c>
      <c r="S116" s="252">
        <v>267474021.18227947</v>
      </c>
      <c r="T116" s="105"/>
      <c r="U116" s="206" t="str">
        <f t="shared" si="15"/>
        <v>03.11.01</v>
      </c>
      <c r="V116" s="207" t="str">
        <f t="shared" si="16"/>
        <v>Bangunan Gedung Tempat Kerja</v>
      </c>
      <c r="W116" s="207">
        <f t="shared" si="17"/>
        <v>50</v>
      </c>
      <c r="X116" s="233">
        <f t="shared" si="18"/>
        <v>5349480.2236455893</v>
      </c>
      <c r="Y116" s="714">
        <f t="shared" si="19"/>
        <v>4</v>
      </c>
      <c r="Z116" s="233">
        <f t="shared" si="20"/>
        <v>21397920.894582357</v>
      </c>
      <c r="AA116" s="233">
        <f t="shared" si="21"/>
        <v>5349480.2236455893</v>
      </c>
      <c r="AB116" s="233">
        <f t="shared" si="22"/>
        <v>5349480.2236455893</v>
      </c>
      <c r="AC116" s="233">
        <f t="shared" si="23"/>
        <v>5349480.2236455893</v>
      </c>
      <c r="AD116" s="238">
        <f t="shared" si="24"/>
        <v>5349480.2236455893</v>
      </c>
      <c r="AE116" s="238">
        <f t="shared" si="25"/>
        <v>5349480.2236455893</v>
      </c>
      <c r="AF116" s="238">
        <f t="shared" si="26"/>
        <v>48145322.012810305</v>
      </c>
      <c r="AG116" s="206">
        <f t="shared" si="27"/>
        <v>2009</v>
      </c>
      <c r="AH116" s="210">
        <f t="shared" si="28"/>
        <v>219328699.16946918</v>
      </c>
    </row>
    <row r="117" spans="1:34" s="48" customFormat="1" ht="40.5" hidden="1" customHeight="1" x14ac:dyDescent="0.2">
      <c r="A117" s="296"/>
      <c r="B117" s="48" t="s">
        <v>4282</v>
      </c>
      <c r="C117" s="772"/>
      <c r="D117" s="73"/>
      <c r="E117" s="65" t="s">
        <v>2635</v>
      </c>
      <c r="F117" s="67" t="s">
        <v>1752</v>
      </c>
      <c r="G117" s="67" t="s">
        <v>39</v>
      </c>
      <c r="H117" s="33" t="s">
        <v>43</v>
      </c>
      <c r="I117" s="40" t="s">
        <v>1753</v>
      </c>
      <c r="J117" s="40" t="s">
        <v>835</v>
      </c>
      <c r="K117" s="40">
        <v>120</v>
      </c>
      <c r="L117" s="72" t="s">
        <v>832</v>
      </c>
      <c r="M117" s="40">
        <v>2009</v>
      </c>
      <c r="N117" s="40" t="s">
        <v>1757</v>
      </c>
      <c r="O117" s="32"/>
      <c r="P117" s="33"/>
      <c r="Q117" s="40"/>
      <c r="R117" s="32" t="s">
        <v>12</v>
      </c>
      <c r="S117" s="252">
        <v>294688334.55143684</v>
      </c>
      <c r="T117" s="105"/>
      <c r="U117" s="206" t="str">
        <f t="shared" si="15"/>
        <v>03.11.01</v>
      </c>
      <c r="V117" s="207" t="str">
        <f t="shared" si="16"/>
        <v>Bangunan Gedung Tempat Kerja</v>
      </c>
      <c r="W117" s="207">
        <f t="shared" si="17"/>
        <v>50</v>
      </c>
      <c r="X117" s="233">
        <f t="shared" si="18"/>
        <v>5893766.4910287373</v>
      </c>
      <c r="Y117" s="714">
        <f t="shared" si="19"/>
        <v>4</v>
      </c>
      <c r="Z117" s="233">
        <f t="shared" si="20"/>
        <v>23575065.964114949</v>
      </c>
      <c r="AA117" s="233">
        <f t="shared" si="21"/>
        <v>5893766.4910287373</v>
      </c>
      <c r="AB117" s="233">
        <f t="shared" si="22"/>
        <v>5893766.4910287373</v>
      </c>
      <c r="AC117" s="233">
        <f t="shared" si="23"/>
        <v>5893766.4910287373</v>
      </c>
      <c r="AD117" s="238">
        <f t="shared" si="24"/>
        <v>5893766.4910287373</v>
      </c>
      <c r="AE117" s="238">
        <f t="shared" si="25"/>
        <v>5893766.4910287373</v>
      </c>
      <c r="AF117" s="238">
        <f t="shared" si="26"/>
        <v>53043898.419258639</v>
      </c>
      <c r="AG117" s="206">
        <f t="shared" si="27"/>
        <v>2009</v>
      </c>
      <c r="AH117" s="210">
        <f t="shared" si="28"/>
        <v>241644436.13217819</v>
      </c>
    </row>
    <row r="118" spans="1:34" s="48" customFormat="1" ht="40.5" hidden="1" customHeight="1" x14ac:dyDescent="0.2">
      <c r="A118" s="296"/>
      <c r="B118" s="48" t="s">
        <v>4270</v>
      </c>
      <c r="C118" s="772"/>
      <c r="D118" s="73"/>
      <c r="E118" s="65" t="s">
        <v>2636</v>
      </c>
      <c r="F118" s="67" t="s">
        <v>1752</v>
      </c>
      <c r="G118" s="67" t="s">
        <v>39</v>
      </c>
      <c r="H118" s="33" t="s">
        <v>43</v>
      </c>
      <c r="I118" s="40" t="s">
        <v>1753</v>
      </c>
      <c r="J118" s="40" t="s">
        <v>835</v>
      </c>
      <c r="K118" s="40">
        <v>120</v>
      </c>
      <c r="L118" s="72" t="s">
        <v>1759</v>
      </c>
      <c r="M118" s="40">
        <v>2009</v>
      </c>
      <c r="N118" s="40" t="s">
        <v>1760</v>
      </c>
      <c r="O118" s="32"/>
      <c r="P118" s="33"/>
      <c r="Q118" s="40"/>
      <c r="R118" s="32" t="s">
        <v>12</v>
      </c>
      <c r="S118" s="252">
        <v>290925425.00972772</v>
      </c>
      <c r="T118" s="105"/>
      <c r="U118" s="206" t="str">
        <f t="shared" si="15"/>
        <v>03.11.01</v>
      </c>
      <c r="V118" s="207" t="str">
        <f t="shared" si="16"/>
        <v>Bangunan Gedung Tempat Kerja</v>
      </c>
      <c r="W118" s="207">
        <f t="shared" si="17"/>
        <v>50</v>
      </c>
      <c r="X118" s="233">
        <f t="shared" si="18"/>
        <v>5818508.300194554</v>
      </c>
      <c r="Y118" s="714">
        <f t="shared" si="19"/>
        <v>4</v>
      </c>
      <c r="Z118" s="233">
        <f t="shared" si="20"/>
        <v>23274033.200778216</v>
      </c>
      <c r="AA118" s="233">
        <f t="shared" si="21"/>
        <v>5818508.300194554</v>
      </c>
      <c r="AB118" s="233">
        <f t="shared" si="22"/>
        <v>5818508.300194554</v>
      </c>
      <c r="AC118" s="233">
        <f t="shared" si="23"/>
        <v>5818508.300194554</v>
      </c>
      <c r="AD118" s="238">
        <f t="shared" si="24"/>
        <v>5818508.300194554</v>
      </c>
      <c r="AE118" s="238">
        <f t="shared" si="25"/>
        <v>5818508.300194554</v>
      </c>
      <c r="AF118" s="238">
        <f t="shared" si="26"/>
        <v>52366574.701750986</v>
      </c>
      <c r="AG118" s="206">
        <f t="shared" si="27"/>
        <v>2009</v>
      </c>
      <c r="AH118" s="210">
        <f t="shared" si="28"/>
        <v>238558850.30797672</v>
      </c>
    </row>
    <row r="119" spans="1:34" s="48" customFormat="1" ht="40.5" hidden="1" customHeight="1" x14ac:dyDescent="0.2">
      <c r="A119" s="296"/>
      <c r="B119" s="48" t="s">
        <v>4294</v>
      </c>
      <c r="C119" s="772"/>
      <c r="D119" s="73"/>
      <c r="E119" s="65" t="s">
        <v>2637</v>
      </c>
      <c r="F119" s="67" t="s">
        <v>1752</v>
      </c>
      <c r="G119" s="67" t="s">
        <v>68</v>
      </c>
      <c r="H119" s="33" t="s">
        <v>43</v>
      </c>
      <c r="I119" s="40" t="s">
        <v>1753</v>
      </c>
      <c r="J119" s="40" t="s">
        <v>835</v>
      </c>
      <c r="K119" s="40">
        <v>120</v>
      </c>
      <c r="L119" s="72" t="s">
        <v>1762</v>
      </c>
      <c r="M119" s="40">
        <v>2009</v>
      </c>
      <c r="N119" s="40" t="s">
        <v>1763</v>
      </c>
      <c r="O119" s="32"/>
      <c r="P119" s="33"/>
      <c r="Q119" s="40"/>
      <c r="R119" s="32" t="s">
        <v>12</v>
      </c>
      <c r="S119" s="252">
        <v>261207210.48636299</v>
      </c>
      <c r="T119" s="105"/>
      <c r="U119" s="206" t="str">
        <f t="shared" si="15"/>
        <v>03.11.01</v>
      </c>
      <c r="V119" s="207" t="str">
        <f t="shared" si="16"/>
        <v>Bangunan Gedung Tempat Kerja</v>
      </c>
      <c r="W119" s="207">
        <f t="shared" si="17"/>
        <v>50</v>
      </c>
      <c r="X119" s="233">
        <f t="shared" si="18"/>
        <v>5224144.0097272601</v>
      </c>
      <c r="Y119" s="714">
        <f t="shared" si="19"/>
        <v>4</v>
      </c>
      <c r="Z119" s="233">
        <f t="shared" si="20"/>
        <v>20896576.03890904</v>
      </c>
      <c r="AA119" s="233">
        <f t="shared" si="21"/>
        <v>5224144.0097272601</v>
      </c>
      <c r="AB119" s="233">
        <f t="shared" si="22"/>
        <v>5224144.0097272601</v>
      </c>
      <c r="AC119" s="233">
        <f t="shared" si="23"/>
        <v>5224144.0097272601</v>
      </c>
      <c r="AD119" s="238">
        <f t="shared" si="24"/>
        <v>5224144.0097272601</v>
      </c>
      <c r="AE119" s="238">
        <f t="shared" si="25"/>
        <v>5224144.0097272601</v>
      </c>
      <c r="AF119" s="238">
        <f t="shared" si="26"/>
        <v>47017296.08754535</v>
      </c>
      <c r="AG119" s="206">
        <f t="shared" si="27"/>
        <v>2009</v>
      </c>
      <c r="AH119" s="210">
        <f t="shared" si="28"/>
        <v>214189914.39881766</v>
      </c>
    </row>
    <row r="120" spans="1:34" s="48" customFormat="1" ht="40.5" hidden="1" customHeight="1" x14ac:dyDescent="0.2">
      <c r="A120" s="296"/>
      <c r="B120" s="48" t="s">
        <v>2638</v>
      </c>
      <c r="C120" s="772"/>
      <c r="D120" s="73"/>
      <c r="E120" s="65" t="s">
        <v>2638</v>
      </c>
      <c r="F120" s="67" t="s">
        <v>1752</v>
      </c>
      <c r="G120" s="67" t="s">
        <v>1765</v>
      </c>
      <c r="H120" s="33" t="s">
        <v>43</v>
      </c>
      <c r="I120" s="40" t="s">
        <v>1753</v>
      </c>
      <c r="J120" s="40" t="s">
        <v>835</v>
      </c>
      <c r="K120" s="40">
        <v>120</v>
      </c>
      <c r="L120" s="72" t="s">
        <v>1766</v>
      </c>
      <c r="M120" s="40">
        <v>2009</v>
      </c>
      <c r="N120" s="40" t="s">
        <v>1763</v>
      </c>
      <c r="O120" s="32"/>
      <c r="P120" s="33"/>
      <c r="Q120" s="40"/>
      <c r="R120" s="32" t="s">
        <v>12</v>
      </c>
      <c r="S120" s="252">
        <v>255580486.38729501</v>
      </c>
      <c r="T120" s="105"/>
      <c r="U120" s="206" t="str">
        <f t="shared" si="15"/>
        <v>03.11.01</v>
      </c>
      <c r="V120" s="207" t="str">
        <f t="shared" si="16"/>
        <v>Bangunan Gedung Tempat Kerja</v>
      </c>
      <c r="W120" s="207">
        <f t="shared" si="17"/>
        <v>50</v>
      </c>
      <c r="X120" s="233">
        <f t="shared" si="18"/>
        <v>5111609.5277458997</v>
      </c>
      <c r="Y120" s="714">
        <f t="shared" si="19"/>
        <v>4</v>
      </c>
      <c r="Z120" s="233">
        <f t="shared" si="20"/>
        <v>20446438.110983599</v>
      </c>
      <c r="AA120" s="233">
        <f t="shared" si="21"/>
        <v>5111609.5277458997</v>
      </c>
      <c r="AB120" s="233">
        <f t="shared" si="22"/>
        <v>5111609.5277458997</v>
      </c>
      <c r="AC120" s="233">
        <f t="shared" si="23"/>
        <v>5111609.5277458997</v>
      </c>
      <c r="AD120" s="238">
        <f t="shared" si="24"/>
        <v>5111609.5277458997</v>
      </c>
      <c r="AE120" s="238">
        <f t="shared" si="25"/>
        <v>5111609.5277458997</v>
      </c>
      <c r="AF120" s="238">
        <f t="shared" si="26"/>
        <v>46004485.7497131</v>
      </c>
      <c r="AG120" s="206">
        <f t="shared" si="27"/>
        <v>2009</v>
      </c>
      <c r="AH120" s="210">
        <f t="shared" si="28"/>
        <v>209576000.63758191</v>
      </c>
    </row>
    <row r="121" spans="1:34" s="48" customFormat="1" ht="40.5" hidden="1" customHeight="1" x14ac:dyDescent="0.2">
      <c r="A121" s="296"/>
      <c r="B121" s="48" t="s">
        <v>4341</v>
      </c>
      <c r="C121" s="772"/>
      <c r="D121" s="73"/>
      <c r="E121" s="65" t="s">
        <v>2639</v>
      </c>
      <c r="F121" s="67" t="s">
        <v>1752</v>
      </c>
      <c r="G121" s="67" t="s">
        <v>1768</v>
      </c>
      <c r="H121" s="33" t="s">
        <v>43</v>
      </c>
      <c r="I121" s="40" t="s">
        <v>1753</v>
      </c>
      <c r="J121" s="40" t="s">
        <v>835</v>
      </c>
      <c r="K121" s="40">
        <v>120</v>
      </c>
      <c r="L121" s="72" t="s">
        <v>1769</v>
      </c>
      <c r="M121" s="40">
        <v>2009</v>
      </c>
      <c r="N121" s="40" t="s">
        <v>1770</v>
      </c>
      <c r="O121" s="32"/>
      <c r="P121" s="33"/>
      <c r="Q121" s="40"/>
      <c r="R121" s="32" t="s">
        <v>12</v>
      </c>
      <c r="S121" s="252">
        <v>265355180.68838102</v>
      </c>
      <c r="T121" s="105"/>
      <c r="U121" s="206" t="str">
        <f t="shared" si="15"/>
        <v>03.11.01</v>
      </c>
      <c r="V121" s="207" t="str">
        <f t="shared" si="16"/>
        <v>Bangunan Gedung Tempat Kerja</v>
      </c>
      <c r="W121" s="207">
        <f t="shared" si="17"/>
        <v>50</v>
      </c>
      <c r="X121" s="233">
        <f t="shared" si="18"/>
        <v>5307103.41376762</v>
      </c>
      <c r="Y121" s="714">
        <f t="shared" si="19"/>
        <v>4</v>
      </c>
      <c r="Z121" s="233">
        <f t="shared" si="20"/>
        <v>21228413.65507048</v>
      </c>
      <c r="AA121" s="233">
        <f t="shared" si="21"/>
        <v>5307103.41376762</v>
      </c>
      <c r="AB121" s="233">
        <f t="shared" si="22"/>
        <v>5307103.41376762</v>
      </c>
      <c r="AC121" s="233">
        <f t="shared" si="23"/>
        <v>5307103.41376762</v>
      </c>
      <c r="AD121" s="238">
        <f t="shared" si="24"/>
        <v>5307103.41376762</v>
      </c>
      <c r="AE121" s="238">
        <f t="shared" si="25"/>
        <v>5307103.41376762</v>
      </c>
      <c r="AF121" s="238">
        <f t="shared" si="26"/>
        <v>47763930.723908581</v>
      </c>
      <c r="AG121" s="206">
        <f t="shared" si="27"/>
        <v>2009</v>
      </c>
      <c r="AH121" s="210">
        <f t="shared" si="28"/>
        <v>217591249.96447244</v>
      </c>
    </row>
    <row r="122" spans="1:34" s="670" customFormat="1" ht="40.5" hidden="1" customHeight="1" x14ac:dyDescent="0.2">
      <c r="A122" s="669">
        <v>14</v>
      </c>
      <c r="B122" s="670" t="s">
        <v>2853</v>
      </c>
      <c r="C122" s="773" t="s">
        <v>4247</v>
      </c>
      <c r="D122" s="652"/>
      <c r="E122" s="671" t="s">
        <v>2640</v>
      </c>
      <c r="F122" s="653" t="s">
        <v>1772</v>
      </c>
      <c r="G122" s="653" t="s">
        <v>39</v>
      </c>
      <c r="H122" s="673" t="s">
        <v>43</v>
      </c>
      <c r="I122" s="674" t="s">
        <v>1753</v>
      </c>
      <c r="J122" s="674" t="s">
        <v>835</v>
      </c>
      <c r="K122" s="674">
        <v>420</v>
      </c>
      <c r="L122" s="691" t="s">
        <v>1833</v>
      </c>
      <c r="M122" s="674">
        <v>2009</v>
      </c>
      <c r="N122" s="674" t="s">
        <v>1773</v>
      </c>
      <c r="O122" s="675"/>
      <c r="P122" s="673"/>
      <c r="Q122" s="674"/>
      <c r="R122" s="675" t="s">
        <v>12</v>
      </c>
      <c r="S122" s="654">
        <f>1713608643.45793</f>
        <v>1713608643.4579301</v>
      </c>
      <c r="T122" s="702"/>
      <c r="U122" s="206" t="str">
        <f t="shared" si="15"/>
        <v>03.11.01</v>
      </c>
      <c r="V122" s="207" t="str">
        <f t="shared" si="16"/>
        <v>Bangunan Gedung Tempat Kerja</v>
      </c>
      <c r="W122" s="207">
        <f t="shared" si="17"/>
        <v>50</v>
      </c>
      <c r="X122" s="233">
        <f t="shared" si="18"/>
        <v>34272172.6691586</v>
      </c>
      <c r="Y122" s="714">
        <f t="shared" si="19"/>
        <v>4</v>
      </c>
      <c r="Z122" s="233">
        <f t="shared" si="20"/>
        <v>137088690.6766344</v>
      </c>
      <c r="AA122" s="233">
        <f t="shared" si="21"/>
        <v>34272172.6691586</v>
      </c>
      <c r="AB122" s="233">
        <f t="shared" si="22"/>
        <v>34272172.6691586</v>
      </c>
      <c r="AC122" s="233">
        <f t="shared" si="23"/>
        <v>34272172.6691586</v>
      </c>
      <c r="AD122" s="238">
        <f t="shared" si="24"/>
        <v>34272172.6691586</v>
      </c>
      <c r="AE122" s="238">
        <f t="shared" si="25"/>
        <v>34272172.6691586</v>
      </c>
      <c r="AF122" s="238">
        <f t="shared" si="26"/>
        <v>308449554.02242738</v>
      </c>
      <c r="AG122" s="206">
        <f t="shared" si="27"/>
        <v>2009</v>
      </c>
      <c r="AH122" s="210">
        <f t="shared" si="28"/>
        <v>1405159089.4355028</v>
      </c>
    </row>
    <row r="123" spans="1:34" s="48" customFormat="1" ht="40.5" hidden="1" customHeight="1" x14ac:dyDescent="0.2">
      <c r="A123" s="296">
        <v>14</v>
      </c>
      <c r="B123" s="48" t="s">
        <v>2853</v>
      </c>
      <c r="C123" s="772" t="s">
        <v>4247</v>
      </c>
      <c r="D123" s="73"/>
      <c r="E123" s="65" t="s">
        <v>2668</v>
      </c>
      <c r="F123" s="67" t="s">
        <v>1772</v>
      </c>
      <c r="G123" s="67"/>
      <c r="H123" s="33" t="s">
        <v>43</v>
      </c>
      <c r="I123" s="40"/>
      <c r="J123" s="40" t="s">
        <v>835</v>
      </c>
      <c r="K123" s="40"/>
      <c r="L123" s="72" t="s">
        <v>1833</v>
      </c>
      <c r="M123" s="40">
        <v>2009</v>
      </c>
      <c r="N123" s="40"/>
      <c r="O123" s="32"/>
      <c r="P123" s="33"/>
      <c r="Q123" s="40"/>
      <c r="R123" s="32" t="s">
        <v>12</v>
      </c>
      <c r="S123" s="555">
        <v>6624750</v>
      </c>
      <c r="T123" s="105"/>
      <c r="U123" s="206" t="str">
        <f t="shared" si="15"/>
        <v>03.11.01</v>
      </c>
      <c r="V123" s="207" t="str">
        <f t="shared" si="16"/>
        <v>Bangunan Gedung Tempat Kerja</v>
      </c>
      <c r="W123" s="207">
        <f t="shared" si="17"/>
        <v>50</v>
      </c>
      <c r="X123" s="233">
        <f t="shared" si="18"/>
        <v>132494.79999999999</v>
      </c>
      <c r="Y123" s="714">
        <f t="shared" si="19"/>
        <v>4</v>
      </c>
      <c r="Z123" s="233">
        <f t="shared" si="20"/>
        <v>529979.19999999995</v>
      </c>
      <c r="AA123" s="233">
        <f t="shared" si="21"/>
        <v>132494.79999999999</v>
      </c>
      <c r="AB123" s="233">
        <f t="shared" si="22"/>
        <v>132494.79999999999</v>
      </c>
      <c r="AC123" s="233">
        <f t="shared" si="23"/>
        <v>132494.79999999999</v>
      </c>
      <c r="AD123" s="238">
        <f t="shared" si="24"/>
        <v>132494.79999999999</v>
      </c>
      <c r="AE123" s="238">
        <f t="shared" si="25"/>
        <v>132494.79999999999</v>
      </c>
      <c r="AF123" s="238">
        <f t="shared" si="26"/>
        <v>1192453.2000000002</v>
      </c>
      <c r="AG123" s="206">
        <f t="shared" si="27"/>
        <v>2009</v>
      </c>
      <c r="AH123" s="210">
        <f t="shared" si="28"/>
        <v>5432296.7999999998</v>
      </c>
    </row>
    <row r="124" spans="1:34" s="48" customFormat="1" ht="40.5" hidden="1" customHeight="1" x14ac:dyDescent="0.2">
      <c r="A124" s="296"/>
      <c r="B124" s="48" t="s">
        <v>4291</v>
      </c>
      <c r="C124" s="772" t="s">
        <v>4266</v>
      </c>
      <c r="D124" s="73"/>
      <c r="E124" s="65" t="s">
        <v>2641</v>
      </c>
      <c r="F124" s="67" t="s">
        <v>1772</v>
      </c>
      <c r="G124" s="67" t="s">
        <v>39</v>
      </c>
      <c r="H124" s="33" t="s">
        <v>43</v>
      </c>
      <c r="I124" s="40" t="s">
        <v>1753</v>
      </c>
      <c r="J124" s="40" t="s">
        <v>835</v>
      </c>
      <c r="K124" s="40" t="s">
        <v>9</v>
      </c>
      <c r="L124" s="72" t="s">
        <v>1776</v>
      </c>
      <c r="M124" s="40">
        <v>2009</v>
      </c>
      <c r="N124" s="40" t="s">
        <v>1777</v>
      </c>
      <c r="O124" s="32"/>
      <c r="P124" s="33"/>
      <c r="Q124" s="40"/>
      <c r="R124" s="32" t="s">
        <v>12</v>
      </c>
      <c r="S124" s="252">
        <v>524619475.60007006</v>
      </c>
      <c r="T124" s="105"/>
      <c r="U124" s="206" t="str">
        <f t="shared" si="15"/>
        <v>03.11.01</v>
      </c>
      <c r="V124" s="207" t="str">
        <f t="shared" si="16"/>
        <v>Bangunan Gedung Tempat Kerja</v>
      </c>
      <c r="W124" s="207">
        <f t="shared" si="17"/>
        <v>50</v>
      </c>
      <c r="X124" s="233">
        <f t="shared" si="18"/>
        <v>10492389.312001402</v>
      </c>
      <c r="Y124" s="714">
        <f t="shared" si="19"/>
        <v>4</v>
      </c>
      <c r="Z124" s="233">
        <f t="shared" si="20"/>
        <v>41969557.248005606</v>
      </c>
      <c r="AA124" s="233">
        <f t="shared" si="21"/>
        <v>10492389.312001402</v>
      </c>
      <c r="AB124" s="233">
        <f t="shared" si="22"/>
        <v>10492389.312001402</v>
      </c>
      <c r="AC124" s="233">
        <f t="shared" si="23"/>
        <v>10492389.312001402</v>
      </c>
      <c r="AD124" s="238">
        <f t="shared" si="24"/>
        <v>10492389.312001402</v>
      </c>
      <c r="AE124" s="238">
        <f t="shared" si="25"/>
        <v>10492389.312001402</v>
      </c>
      <c r="AF124" s="238">
        <f t="shared" si="26"/>
        <v>94431503.80801262</v>
      </c>
      <c r="AG124" s="206">
        <f t="shared" si="27"/>
        <v>2009</v>
      </c>
      <c r="AH124" s="210">
        <f t="shared" si="28"/>
        <v>430187971.79205745</v>
      </c>
    </row>
    <row r="125" spans="1:34" s="48" customFormat="1" ht="40.5" hidden="1" customHeight="1" x14ac:dyDescent="0.2">
      <c r="A125" s="296"/>
      <c r="C125" s="772" t="s">
        <v>2302</v>
      </c>
      <c r="D125" s="73"/>
      <c r="E125" s="65" t="s">
        <v>2643</v>
      </c>
      <c r="F125" s="67" t="s">
        <v>2844</v>
      </c>
      <c r="G125" s="67"/>
      <c r="H125" s="33" t="s">
        <v>43</v>
      </c>
      <c r="I125" s="40"/>
      <c r="J125" s="40"/>
      <c r="K125" s="40"/>
      <c r="L125" s="72" t="s">
        <v>1776</v>
      </c>
      <c r="M125" s="40">
        <v>2009</v>
      </c>
      <c r="N125" s="40"/>
      <c r="O125" s="32"/>
      <c r="P125" s="33"/>
      <c r="Q125" s="40"/>
      <c r="R125" s="32" t="s">
        <v>12</v>
      </c>
      <c r="S125" s="252">
        <v>35880687.702640109</v>
      </c>
      <c r="T125" s="105"/>
      <c r="U125" s="206" t="str">
        <f t="shared" si="15"/>
        <v>03.11.01</v>
      </c>
      <c r="V125" s="207" t="str">
        <f t="shared" si="16"/>
        <v>Bangunan Gedung Tempat Kerja</v>
      </c>
      <c r="W125" s="207">
        <f t="shared" si="17"/>
        <v>50</v>
      </c>
      <c r="X125" s="233">
        <f t="shared" si="18"/>
        <v>717613.55405280215</v>
      </c>
      <c r="Y125" s="714">
        <f t="shared" si="19"/>
        <v>4</v>
      </c>
      <c r="Z125" s="233">
        <f t="shared" si="20"/>
        <v>2870454.2162112086</v>
      </c>
      <c r="AA125" s="233">
        <f t="shared" si="21"/>
        <v>717613.55405280215</v>
      </c>
      <c r="AB125" s="233">
        <f t="shared" si="22"/>
        <v>717613.55405280215</v>
      </c>
      <c r="AC125" s="233">
        <f t="shared" si="23"/>
        <v>717613.55405280215</v>
      </c>
      <c r="AD125" s="238">
        <f t="shared" si="24"/>
        <v>717613.55405280215</v>
      </c>
      <c r="AE125" s="238">
        <f t="shared" si="25"/>
        <v>717613.55405280215</v>
      </c>
      <c r="AF125" s="238">
        <f t="shared" si="26"/>
        <v>6458521.9864752181</v>
      </c>
      <c r="AG125" s="206">
        <f t="shared" si="27"/>
        <v>2009</v>
      </c>
      <c r="AH125" s="210">
        <f t="shared" si="28"/>
        <v>29422165.716164891</v>
      </c>
    </row>
    <row r="126" spans="1:34" s="48" customFormat="1" ht="40.5" hidden="1" customHeight="1" x14ac:dyDescent="0.2">
      <c r="A126" s="296"/>
      <c r="B126" s="48" t="s">
        <v>4358</v>
      </c>
      <c r="C126" s="772" t="s">
        <v>4266</v>
      </c>
      <c r="D126" s="73"/>
      <c r="E126" s="65" t="s">
        <v>2644</v>
      </c>
      <c r="F126" s="67" t="s">
        <v>2845</v>
      </c>
      <c r="G126" s="67"/>
      <c r="H126" s="33" t="s">
        <v>43</v>
      </c>
      <c r="I126" s="40"/>
      <c r="J126" s="40"/>
      <c r="K126" s="40"/>
      <c r="L126" s="72"/>
      <c r="M126" s="40">
        <v>2008</v>
      </c>
      <c r="N126" s="40"/>
      <c r="O126" s="32"/>
      <c r="P126" s="33"/>
      <c r="Q126" s="40"/>
      <c r="R126" s="32" t="s">
        <v>12</v>
      </c>
      <c r="S126" s="252">
        <v>530596000</v>
      </c>
      <c r="T126" s="105"/>
      <c r="U126" s="206" t="str">
        <f t="shared" si="15"/>
        <v>03.11.01</v>
      </c>
      <c r="V126" s="207" t="str">
        <f t="shared" si="16"/>
        <v>Bangunan Gedung Tempat Kerja</v>
      </c>
      <c r="W126" s="207">
        <f t="shared" si="17"/>
        <v>50</v>
      </c>
      <c r="X126" s="233">
        <f t="shared" si="18"/>
        <v>10611919.800000001</v>
      </c>
      <c r="Y126" s="714">
        <f t="shared" si="19"/>
        <v>5</v>
      </c>
      <c r="Z126" s="233">
        <f t="shared" si="20"/>
        <v>53059599</v>
      </c>
      <c r="AA126" s="233">
        <f t="shared" si="21"/>
        <v>10611919.800000001</v>
      </c>
      <c r="AB126" s="233">
        <f t="shared" si="22"/>
        <v>10611919.800000001</v>
      </c>
      <c r="AC126" s="233">
        <f t="shared" si="23"/>
        <v>10611919.800000001</v>
      </c>
      <c r="AD126" s="238">
        <f t="shared" si="24"/>
        <v>10611919.800000001</v>
      </c>
      <c r="AE126" s="238">
        <f t="shared" si="25"/>
        <v>10611919.800000001</v>
      </c>
      <c r="AF126" s="238">
        <f t="shared" si="26"/>
        <v>106119197.99999999</v>
      </c>
      <c r="AG126" s="206">
        <f t="shared" si="27"/>
        <v>2008</v>
      </c>
      <c r="AH126" s="210">
        <f t="shared" si="28"/>
        <v>424476802</v>
      </c>
    </row>
    <row r="127" spans="1:34" s="48" customFormat="1" ht="40.5" hidden="1" customHeight="1" x14ac:dyDescent="0.2">
      <c r="A127" s="296"/>
      <c r="B127" s="712" t="s">
        <v>4241</v>
      </c>
      <c r="C127" s="772"/>
      <c r="D127" s="73"/>
      <c r="E127" s="65" t="s">
        <v>2645</v>
      </c>
      <c r="F127" s="67" t="s">
        <v>2835</v>
      </c>
      <c r="G127" s="67" t="s">
        <v>39</v>
      </c>
      <c r="H127" s="33" t="s">
        <v>43</v>
      </c>
      <c r="I127" s="40" t="s">
        <v>1786</v>
      </c>
      <c r="J127" s="40" t="s">
        <v>1753</v>
      </c>
      <c r="K127" s="40"/>
      <c r="L127" s="72" t="s">
        <v>1776</v>
      </c>
      <c r="M127" s="40">
        <v>2008</v>
      </c>
      <c r="N127" s="40"/>
      <c r="O127" s="32"/>
      <c r="P127" s="33"/>
      <c r="Q127" s="40"/>
      <c r="R127" s="32" t="s">
        <v>12</v>
      </c>
      <c r="S127" s="252">
        <v>215036010.5</v>
      </c>
      <c r="T127" s="105"/>
      <c r="U127" s="206" t="str">
        <f t="shared" si="15"/>
        <v>03.11.01</v>
      </c>
      <c r="V127" s="207" t="str">
        <f t="shared" si="16"/>
        <v>Bangunan Gedung Tempat Kerja</v>
      </c>
      <c r="W127" s="207">
        <f t="shared" si="17"/>
        <v>50</v>
      </c>
      <c r="X127" s="233">
        <f t="shared" si="18"/>
        <v>4300720.01</v>
      </c>
      <c r="Y127" s="714">
        <f t="shared" si="19"/>
        <v>5</v>
      </c>
      <c r="Z127" s="233">
        <f t="shared" si="20"/>
        <v>21503600.049999997</v>
      </c>
      <c r="AA127" s="233">
        <f t="shared" si="21"/>
        <v>4300720.01</v>
      </c>
      <c r="AB127" s="233">
        <f t="shared" si="22"/>
        <v>4300720.01</v>
      </c>
      <c r="AC127" s="233">
        <f t="shared" si="23"/>
        <v>4300720.01</v>
      </c>
      <c r="AD127" s="238">
        <f t="shared" si="24"/>
        <v>4300720.01</v>
      </c>
      <c r="AE127" s="238">
        <f t="shared" si="25"/>
        <v>4300720.01</v>
      </c>
      <c r="AF127" s="238">
        <f t="shared" si="26"/>
        <v>43007200.099999987</v>
      </c>
      <c r="AG127" s="206">
        <f t="shared" si="27"/>
        <v>2008</v>
      </c>
      <c r="AH127" s="210">
        <f t="shared" si="28"/>
        <v>172028810.40000001</v>
      </c>
    </row>
    <row r="128" spans="1:34" s="48" customFormat="1" ht="40.5" hidden="1" customHeight="1" x14ac:dyDescent="0.2">
      <c r="A128" s="296"/>
      <c r="B128" s="48" t="s">
        <v>4351</v>
      </c>
      <c r="C128" s="772" t="s">
        <v>4266</v>
      </c>
      <c r="D128" s="73"/>
      <c r="E128" s="65" t="s">
        <v>2648</v>
      </c>
      <c r="F128" s="67" t="s">
        <v>4243</v>
      </c>
      <c r="G128" s="67"/>
      <c r="H128" s="33" t="s">
        <v>43</v>
      </c>
      <c r="I128" s="40"/>
      <c r="J128" s="40" t="s">
        <v>835</v>
      </c>
      <c r="K128" s="40"/>
      <c r="L128" s="72" t="s">
        <v>1793</v>
      </c>
      <c r="M128" s="40">
        <v>2008</v>
      </c>
      <c r="N128" s="40"/>
      <c r="O128" s="32"/>
      <c r="P128" s="33"/>
      <c r="Q128" s="40"/>
      <c r="R128" s="32" t="s">
        <v>12</v>
      </c>
      <c r="S128" s="252">
        <v>149705250</v>
      </c>
      <c r="T128" s="105"/>
      <c r="U128" s="206" t="str">
        <f t="shared" si="15"/>
        <v>03.12.01</v>
      </c>
      <c r="V128" s="207" t="str">
        <f t="shared" si="16"/>
        <v>Bangunan Bersejarah</v>
      </c>
      <c r="W128" s="207">
        <f t="shared" si="17"/>
        <v>50</v>
      </c>
      <c r="X128" s="233">
        <f t="shared" si="18"/>
        <v>2994104.8</v>
      </c>
      <c r="Y128" s="714">
        <f t="shared" si="19"/>
        <v>5</v>
      </c>
      <c r="Z128" s="233">
        <f t="shared" si="20"/>
        <v>14970524</v>
      </c>
      <c r="AA128" s="233">
        <f t="shared" si="21"/>
        <v>2994104.8</v>
      </c>
      <c r="AB128" s="233">
        <f t="shared" si="22"/>
        <v>2994104.8</v>
      </c>
      <c r="AC128" s="233">
        <f t="shared" si="23"/>
        <v>2994104.8</v>
      </c>
      <c r="AD128" s="238">
        <f t="shared" si="24"/>
        <v>2994104.8</v>
      </c>
      <c r="AE128" s="238">
        <f t="shared" si="25"/>
        <v>2994104.8</v>
      </c>
      <c r="AF128" s="238">
        <f t="shared" si="26"/>
        <v>29941048.000000004</v>
      </c>
      <c r="AG128" s="206">
        <f t="shared" si="27"/>
        <v>2008</v>
      </c>
      <c r="AH128" s="210">
        <f t="shared" si="28"/>
        <v>119764202</v>
      </c>
    </row>
    <row r="129" spans="1:34" s="670" customFormat="1" ht="40.5" hidden="1" customHeight="1" x14ac:dyDescent="0.2">
      <c r="A129" s="669">
        <v>15</v>
      </c>
      <c r="B129" s="670" t="s">
        <v>3021</v>
      </c>
      <c r="C129" s="773" t="s">
        <v>4247</v>
      </c>
      <c r="D129" s="652"/>
      <c r="E129" s="671" t="s">
        <v>2649</v>
      </c>
      <c r="F129" s="653" t="s">
        <v>1874</v>
      </c>
      <c r="G129" s="653" t="s">
        <v>39</v>
      </c>
      <c r="H129" s="673" t="s">
        <v>43</v>
      </c>
      <c r="I129" s="674" t="s">
        <v>1780</v>
      </c>
      <c r="J129" s="674" t="s">
        <v>835</v>
      </c>
      <c r="K129" s="674"/>
      <c r="L129" s="691" t="s">
        <v>1776</v>
      </c>
      <c r="M129" s="674">
        <v>2010</v>
      </c>
      <c r="N129" s="674" t="s">
        <v>1795</v>
      </c>
      <c r="O129" s="675"/>
      <c r="P129" s="673"/>
      <c r="Q129" s="674"/>
      <c r="R129" s="675" t="s">
        <v>12</v>
      </c>
      <c r="S129" s="654">
        <f>1994193424.08913</f>
        <v>1994193424.0891299</v>
      </c>
      <c r="T129" s="702"/>
      <c r="U129" s="206" t="str">
        <f t="shared" si="15"/>
        <v>03.11.01</v>
      </c>
      <c r="V129" s="207" t="str">
        <f t="shared" si="16"/>
        <v>Bangunan Gedung Tempat Kerja</v>
      </c>
      <c r="W129" s="207">
        <f t="shared" si="17"/>
        <v>50</v>
      </c>
      <c r="X129" s="233">
        <f t="shared" si="18"/>
        <v>39883868.281782597</v>
      </c>
      <c r="Y129" s="714">
        <f t="shared" si="19"/>
        <v>3</v>
      </c>
      <c r="Z129" s="233">
        <f t="shared" si="20"/>
        <v>119651604.84534779</v>
      </c>
      <c r="AA129" s="233">
        <f t="shared" si="21"/>
        <v>39883868.281782597</v>
      </c>
      <c r="AB129" s="233">
        <f t="shared" si="22"/>
        <v>39883868.281782597</v>
      </c>
      <c r="AC129" s="233">
        <f t="shared" si="23"/>
        <v>39883868.281782597</v>
      </c>
      <c r="AD129" s="238">
        <f t="shared" si="24"/>
        <v>39883868.281782597</v>
      </c>
      <c r="AE129" s="238">
        <f t="shared" si="25"/>
        <v>39883868.281782597</v>
      </c>
      <c r="AF129" s="238">
        <f t="shared" si="26"/>
        <v>319070946.25426078</v>
      </c>
      <c r="AG129" s="206">
        <f t="shared" si="27"/>
        <v>2010</v>
      </c>
      <c r="AH129" s="210">
        <f t="shared" si="28"/>
        <v>1675122477.8348691</v>
      </c>
    </row>
    <row r="130" spans="1:34" s="48" customFormat="1" ht="40.5" hidden="1" customHeight="1" x14ac:dyDescent="0.2">
      <c r="A130" s="296">
        <v>15</v>
      </c>
      <c r="B130" s="48" t="s">
        <v>3021</v>
      </c>
      <c r="C130" s="772" t="s">
        <v>4247</v>
      </c>
      <c r="D130" s="73"/>
      <c r="E130" s="65" t="s">
        <v>2682</v>
      </c>
      <c r="F130" s="67" t="s">
        <v>1874</v>
      </c>
      <c r="G130" s="67" t="s">
        <v>39</v>
      </c>
      <c r="H130" s="33" t="s">
        <v>43</v>
      </c>
      <c r="I130" s="40" t="s">
        <v>1753</v>
      </c>
      <c r="J130" s="40" t="s">
        <v>835</v>
      </c>
      <c r="K130" s="40"/>
      <c r="L130" s="72" t="s">
        <v>420</v>
      </c>
      <c r="M130" s="40">
        <v>2011</v>
      </c>
      <c r="N130" s="40" t="s">
        <v>1875</v>
      </c>
      <c r="O130" s="32"/>
      <c r="P130" s="33"/>
      <c r="Q130" s="40"/>
      <c r="R130" s="32" t="s">
        <v>12</v>
      </c>
      <c r="S130" s="555">
        <v>100898841.28566745</v>
      </c>
      <c r="T130" s="105"/>
      <c r="U130" s="206" t="str">
        <f t="shared" si="15"/>
        <v>03.11.01</v>
      </c>
      <c r="V130" s="207" t="str">
        <f t="shared" si="16"/>
        <v>Bangunan Gedung Tempat Kerja</v>
      </c>
      <c r="W130" s="207">
        <f t="shared" si="17"/>
        <v>50</v>
      </c>
      <c r="X130" s="233">
        <f t="shared" si="18"/>
        <v>2017976.6257133491</v>
      </c>
      <c r="Y130" s="714">
        <f t="shared" si="19"/>
        <v>2</v>
      </c>
      <c r="Z130" s="233">
        <f t="shared" si="20"/>
        <v>4035953.2514266982</v>
      </c>
      <c r="AA130" s="233">
        <f t="shared" si="21"/>
        <v>2017976.6257133491</v>
      </c>
      <c r="AB130" s="233">
        <f t="shared" si="22"/>
        <v>2017976.6257133491</v>
      </c>
      <c r="AC130" s="233">
        <f t="shared" si="23"/>
        <v>2017976.6257133491</v>
      </c>
      <c r="AD130" s="238">
        <f t="shared" si="24"/>
        <v>2017976.6257133491</v>
      </c>
      <c r="AE130" s="238">
        <f t="shared" si="25"/>
        <v>2017976.6257133491</v>
      </c>
      <c r="AF130" s="238">
        <f t="shared" si="26"/>
        <v>14125836.379993442</v>
      </c>
      <c r="AG130" s="206">
        <f t="shared" si="27"/>
        <v>2011</v>
      </c>
      <c r="AH130" s="210">
        <f t="shared" si="28"/>
        <v>86773004.905674011</v>
      </c>
    </row>
    <row r="131" spans="1:34" s="48" customFormat="1" ht="40.5" hidden="1" customHeight="1" x14ac:dyDescent="0.2">
      <c r="A131" s="296"/>
      <c r="B131" s="48" t="s">
        <v>4219</v>
      </c>
      <c r="C131" s="772"/>
      <c r="D131" s="73"/>
      <c r="E131" s="65" t="s">
        <v>2688</v>
      </c>
      <c r="F131" s="67" t="s">
        <v>1892</v>
      </c>
      <c r="G131" s="67" t="s">
        <v>39</v>
      </c>
      <c r="H131" s="33" t="s">
        <v>43</v>
      </c>
      <c r="I131" s="40" t="s">
        <v>1753</v>
      </c>
      <c r="J131" s="40" t="s">
        <v>835</v>
      </c>
      <c r="K131" s="40"/>
      <c r="L131" s="72" t="s">
        <v>420</v>
      </c>
      <c r="M131" s="40">
        <v>2011</v>
      </c>
      <c r="N131" s="40" t="s">
        <v>1893</v>
      </c>
      <c r="O131" s="32"/>
      <c r="P131" s="33"/>
      <c r="Q131" s="40"/>
      <c r="R131" s="32" t="s">
        <v>12</v>
      </c>
      <c r="S131" s="252">
        <v>90830869.097878858</v>
      </c>
      <c r="T131" s="105"/>
      <c r="U131" s="206" t="str">
        <f t="shared" si="15"/>
        <v>03.11.01</v>
      </c>
      <c r="V131" s="207" t="str">
        <f t="shared" si="16"/>
        <v>Bangunan Gedung Tempat Kerja</v>
      </c>
      <c r="W131" s="207">
        <f t="shared" si="17"/>
        <v>50</v>
      </c>
      <c r="X131" s="233">
        <f t="shared" si="18"/>
        <v>1816617.1819575771</v>
      </c>
      <c r="Y131" s="714">
        <f t="shared" si="19"/>
        <v>2</v>
      </c>
      <c r="Z131" s="233">
        <f t="shared" si="20"/>
        <v>3633234.3639151542</v>
      </c>
      <c r="AA131" s="233">
        <f t="shared" si="21"/>
        <v>1816617.1819575771</v>
      </c>
      <c r="AB131" s="233">
        <f t="shared" si="22"/>
        <v>1816617.1819575771</v>
      </c>
      <c r="AC131" s="233">
        <f t="shared" si="23"/>
        <v>1816617.1819575771</v>
      </c>
      <c r="AD131" s="238">
        <f t="shared" si="24"/>
        <v>1816617.1819575771</v>
      </c>
      <c r="AE131" s="238">
        <f t="shared" si="25"/>
        <v>1816617.1819575771</v>
      </c>
      <c r="AF131" s="238">
        <f t="shared" si="26"/>
        <v>12716320.273703039</v>
      </c>
      <c r="AG131" s="206">
        <f t="shared" si="27"/>
        <v>2011</v>
      </c>
      <c r="AH131" s="210">
        <f t="shared" si="28"/>
        <v>78114548.82417582</v>
      </c>
    </row>
    <row r="132" spans="1:34" s="670" customFormat="1" ht="40.5" hidden="1" customHeight="1" x14ac:dyDescent="0.2">
      <c r="A132" s="669">
        <v>16</v>
      </c>
      <c r="B132" s="670" t="s">
        <v>2993</v>
      </c>
      <c r="C132" s="773" t="s">
        <v>4247</v>
      </c>
      <c r="D132" s="652"/>
      <c r="E132" s="671" t="s">
        <v>2650</v>
      </c>
      <c r="F132" s="653" t="s">
        <v>1779</v>
      </c>
      <c r="G132" s="653"/>
      <c r="H132" s="673" t="s">
        <v>43</v>
      </c>
      <c r="I132" s="674"/>
      <c r="J132" s="674" t="s">
        <v>835</v>
      </c>
      <c r="K132" s="674"/>
      <c r="L132" s="691" t="s">
        <v>1776</v>
      </c>
      <c r="M132" s="674">
        <v>2010</v>
      </c>
      <c r="N132" s="674" t="s">
        <v>1797</v>
      </c>
      <c r="O132" s="675"/>
      <c r="P132" s="673"/>
      <c r="Q132" s="674"/>
      <c r="R132" s="675" t="s">
        <v>12</v>
      </c>
      <c r="S132" s="654">
        <f>805953135.499603</f>
        <v>805953135.49960303</v>
      </c>
      <c r="T132" s="702"/>
      <c r="U132" s="206" t="str">
        <f t="shared" si="15"/>
        <v>03.11.02</v>
      </c>
      <c r="V132" s="207" t="str">
        <f t="shared" si="16"/>
        <v>Bangunan Gedung Tempat Tinggal</v>
      </c>
      <c r="W132" s="207">
        <f t="shared" si="17"/>
        <v>50</v>
      </c>
      <c r="X132" s="233">
        <f t="shared" si="18"/>
        <v>16119062.509992061</v>
      </c>
      <c r="Y132" s="714">
        <f t="shared" si="19"/>
        <v>3</v>
      </c>
      <c r="Z132" s="233">
        <f t="shared" si="20"/>
        <v>48357187.529976182</v>
      </c>
      <c r="AA132" s="233">
        <f t="shared" si="21"/>
        <v>16119062.509992061</v>
      </c>
      <c r="AB132" s="233">
        <f t="shared" si="22"/>
        <v>16119062.509992061</v>
      </c>
      <c r="AC132" s="233">
        <f t="shared" si="23"/>
        <v>16119062.509992061</v>
      </c>
      <c r="AD132" s="238">
        <f t="shared" si="24"/>
        <v>16119062.509992061</v>
      </c>
      <c r="AE132" s="238">
        <f t="shared" si="25"/>
        <v>16119062.509992061</v>
      </c>
      <c r="AF132" s="238">
        <f t="shared" si="26"/>
        <v>128952500.07993649</v>
      </c>
      <c r="AG132" s="206">
        <f t="shared" si="27"/>
        <v>2010</v>
      </c>
      <c r="AH132" s="210">
        <f t="shared" si="28"/>
        <v>677000635.41966653</v>
      </c>
    </row>
    <row r="133" spans="1:34" s="48" customFormat="1" ht="40.5" hidden="1" customHeight="1" x14ac:dyDescent="0.2">
      <c r="A133" s="296">
        <v>16</v>
      </c>
      <c r="B133" s="48" t="s">
        <v>2993</v>
      </c>
      <c r="C133" s="772" t="s">
        <v>4247</v>
      </c>
      <c r="D133" s="73"/>
      <c r="E133" s="65" t="s">
        <v>2683</v>
      </c>
      <c r="F133" s="67" t="s">
        <v>1779</v>
      </c>
      <c r="G133" s="67" t="s">
        <v>39</v>
      </c>
      <c r="H133" s="33" t="s">
        <v>43</v>
      </c>
      <c r="I133" s="40" t="s">
        <v>1753</v>
      </c>
      <c r="J133" s="40" t="s">
        <v>835</v>
      </c>
      <c r="K133" s="40"/>
      <c r="L133" s="72" t="s">
        <v>1776</v>
      </c>
      <c r="M133" s="40">
        <v>2011</v>
      </c>
      <c r="N133" s="40" t="s">
        <v>1877</v>
      </c>
      <c r="O133" s="32"/>
      <c r="P133" s="33"/>
      <c r="Q133" s="40"/>
      <c r="R133" s="32" t="s">
        <v>12</v>
      </c>
      <c r="S133" s="555">
        <v>39791347.29991632</v>
      </c>
      <c r="T133" s="105"/>
      <c r="U133" s="206" t="str">
        <f t="shared" si="15"/>
        <v>03.11.02</v>
      </c>
      <c r="V133" s="207" t="str">
        <f t="shared" si="16"/>
        <v>Bangunan Gedung Tempat Tinggal</v>
      </c>
      <c r="W133" s="207">
        <f t="shared" si="17"/>
        <v>50</v>
      </c>
      <c r="X133" s="233">
        <f t="shared" si="18"/>
        <v>795826.74599832634</v>
      </c>
      <c r="Y133" s="714">
        <f t="shared" si="19"/>
        <v>2</v>
      </c>
      <c r="Z133" s="233">
        <f t="shared" si="20"/>
        <v>1591653.4919966527</v>
      </c>
      <c r="AA133" s="233">
        <f t="shared" si="21"/>
        <v>795826.74599832634</v>
      </c>
      <c r="AB133" s="233">
        <f t="shared" si="22"/>
        <v>795826.74599832634</v>
      </c>
      <c r="AC133" s="233">
        <f t="shared" si="23"/>
        <v>795826.74599832634</v>
      </c>
      <c r="AD133" s="238">
        <f t="shared" si="24"/>
        <v>795826.74599832634</v>
      </c>
      <c r="AE133" s="238">
        <f t="shared" si="25"/>
        <v>795826.74599832634</v>
      </c>
      <c r="AF133" s="238">
        <f t="shared" si="26"/>
        <v>5570787.221988285</v>
      </c>
      <c r="AG133" s="206">
        <f t="shared" si="27"/>
        <v>2011</v>
      </c>
      <c r="AH133" s="210">
        <f t="shared" si="28"/>
        <v>34220560.077928036</v>
      </c>
    </row>
    <row r="134" spans="1:34" s="48" customFormat="1" ht="48" hidden="1" customHeight="1" x14ac:dyDescent="0.2">
      <c r="A134" s="296"/>
      <c r="B134" s="48" t="s">
        <v>3001</v>
      </c>
      <c r="C134" s="772" t="s">
        <v>4266</v>
      </c>
      <c r="D134" s="73"/>
      <c r="E134" s="65" t="s">
        <v>2651</v>
      </c>
      <c r="F134" s="67" t="s">
        <v>1752</v>
      </c>
      <c r="G134" s="67" t="s">
        <v>39</v>
      </c>
      <c r="H134" s="33" t="s">
        <v>43</v>
      </c>
      <c r="I134" s="40" t="s">
        <v>1780</v>
      </c>
      <c r="J134" s="40" t="s">
        <v>835</v>
      </c>
      <c r="K134" s="40">
        <v>550</v>
      </c>
      <c r="L134" s="72" t="s">
        <v>1799</v>
      </c>
      <c r="M134" s="40">
        <v>2010</v>
      </c>
      <c r="N134" s="40"/>
      <c r="O134" s="32"/>
      <c r="P134" s="33"/>
      <c r="Q134" s="40"/>
      <c r="R134" s="32" t="s">
        <v>12</v>
      </c>
      <c r="S134" s="252">
        <v>3903247426.7526035</v>
      </c>
      <c r="T134" s="105"/>
      <c r="U134" s="206" t="str">
        <f t="shared" si="15"/>
        <v>03.11.01</v>
      </c>
      <c r="V134" s="207" t="str">
        <f t="shared" si="16"/>
        <v>Bangunan Gedung Tempat Kerja</v>
      </c>
      <c r="W134" s="207">
        <f t="shared" si="17"/>
        <v>50</v>
      </c>
      <c r="X134" s="233">
        <f t="shared" si="18"/>
        <v>78064948.335052073</v>
      </c>
      <c r="Y134" s="714">
        <f t="shared" si="19"/>
        <v>3</v>
      </c>
      <c r="Z134" s="233">
        <f t="shared" si="20"/>
        <v>234194845.00515622</v>
      </c>
      <c r="AA134" s="233">
        <f t="shared" si="21"/>
        <v>78064948.335052073</v>
      </c>
      <c r="AB134" s="233">
        <f t="shared" si="22"/>
        <v>78064948.335052073</v>
      </c>
      <c r="AC134" s="233">
        <f t="shared" si="23"/>
        <v>78064948.335052073</v>
      </c>
      <c r="AD134" s="238">
        <f t="shared" si="24"/>
        <v>78064948.335052073</v>
      </c>
      <c r="AE134" s="238">
        <f t="shared" si="25"/>
        <v>78064948.335052073</v>
      </c>
      <c r="AF134" s="238">
        <f t="shared" si="26"/>
        <v>624519586.68041658</v>
      </c>
      <c r="AG134" s="206">
        <f t="shared" si="27"/>
        <v>2010</v>
      </c>
      <c r="AH134" s="210">
        <f t="shared" si="28"/>
        <v>3278727840.0721869</v>
      </c>
    </row>
    <row r="135" spans="1:34" s="48" customFormat="1" ht="40.5" hidden="1" customHeight="1" x14ac:dyDescent="0.2">
      <c r="A135" s="296"/>
      <c r="C135" s="772" t="s">
        <v>2302</v>
      </c>
      <c r="D135" s="73"/>
      <c r="E135" s="65" t="s">
        <v>2652</v>
      </c>
      <c r="F135" s="67" t="s">
        <v>2845</v>
      </c>
      <c r="G135" s="67"/>
      <c r="H135" s="33" t="s">
        <v>43</v>
      </c>
      <c r="I135" s="40"/>
      <c r="J135" s="40" t="s">
        <v>835</v>
      </c>
      <c r="K135" s="40"/>
      <c r="L135" s="72" t="s">
        <v>1801</v>
      </c>
      <c r="M135" s="40">
        <v>2010</v>
      </c>
      <c r="N135" s="40"/>
      <c r="O135" s="32"/>
      <c r="P135" s="33"/>
      <c r="Q135" s="40"/>
      <c r="R135" s="32" t="s">
        <v>12</v>
      </c>
      <c r="S135" s="252">
        <v>41073930.524229623</v>
      </c>
      <c r="T135" s="105"/>
      <c r="U135" s="206" t="str">
        <f t="shared" si="15"/>
        <v>03.11.01</v>
      </c>
      <c r="V135" s="207" t="str">
        <f t="shared" si="16"/>
        <v>Bangunan Gedung Tempat Kerja</v>
      </c>
      <c r="W135" s="207">
        <f t="shared" si="17"/>
        <v>50</v>
      </c>
      <c r="X135" s="233">
        <f t="shared" si="18"/>
        <v>821478.41048459243</v>
      </c>
      <c r="Y135" s="714">
        <f t="shared" si="19"/>
        <v>3</v>
      </c>
      <c r="Z135" s="233">
        <f t="shared" si="20"/>
        <v>2464435.2314537773</v>
      </c>
      <c r="AA135" s="233">
        <f t="shared" si="21"/>
        <v>821478.41048459243</v>
      </c>
      <c r="AB135" s="233">
        <f t="shared" si="22"/>
        <v>821478.41048459243</v>
      </c>
      <c r="AC135" s="233">
        <f t="shared" si="23"/>
        <v>821478.41048459243</v>
      </c>
      <c r="AD135" s="238">
        <f t="shared" si="24"/>
        <v>821478.41048459243</v>
      </c>
      <c r="AE135" s="238">
        <f t="shared" si="25"/>
        <v>821478.41048459243</v>
      </c>
      <c r="AF135" s="238">
        <f t="shared" si="26"/>
        <v>6571827.2838767394</v>
      </c>
      <c r="AG135" s="206">
        <f t="shared" si="27"/>
        <v>2010</v>
      </c>
      <c r="AH135" s="210">
        <f t="shared" si="28"/>
        <v>34502103.240352884</v>
      </c>
    </row>
    <row r="136" spans="1:34" s="48" customFormat="1" ht="40.5" hidden="1" customHeight="1" x14ac:dyDescent="0.2">
      <c r="A136" s="296"/>
      <c r="C136" s="772" t="s">
        <v>2302</v>
      </c>
      <c r="D136" s="73"/>
      <c r="E136" s="65" t="s">
        <v>2653</v>
      </c>
      <c r="F136" s="67" t="s">
        <v>2845</v>
      </c>
      <c r="G136" s="67"/>
      <c r="H136" s="33" t="s">
        <v>43</v>
      </c>
      <c r="I136" s="40"/>
      <c r="J136" s="40" t="s">
        <v>835</v>
      </c>
      <c r="K136" s="40"/>
      <c r="L136" s="72" t="s">
        <v>1803</v>
      </c>
      <c r="M136" s="40">
        <v>2010</v>
      </c>
      <c r="N136" s="40"/>
      <c r="O136" s="32"/>
      <c r="P136" s="33"/>
      <c r="Q136" s="40"/>
      <c r="R136" s="32" t="s">
        <v>12</v>
      </c>
      <c r="S136" s="252">
        <v>41073930.524229623</v>
      </c>
      <c r="T136" s="105"/>
      <c r="U136" s="206" t="str">
        <f t="shared" si="15"/>
        <v>03.11.01</v>
      </c>
      <c r="V136" s="207" t="str">
        <f t="shared" si="16"/>
        <v>Bangunan Gedung Tempat Kerja</v>
      </c>
      <c r="W136" s="207">
        <f t="shared" si="17"/>
        <v>50</v>
      </c>
      <c r="X136" s="233">
        <f t="shared" si="18"/>
        <v>821478.41048459243</v>
      </c>
      <c r="Y136" s="714">
        <f t="shared" si="19"/>
        <v>3</v>
      </c>
      <c r="Z136" s="233">
        <f t="shared" si="20"/>
        <v>2464435.2314537773</v>
      </c>
      <c r="AA136" s="233">
        <f t="shared" si="21"/>
        <v>821478.41048459243</v>
      </c>
      <c r="AB136" s="233">
        <f t="shared" si="22"/>
        <v>821478.41048459243</v>
      </c>
      <c r="AC136" s="233">
        <f t="shared" si="23"/>
        <v>821478.41048459243</v>
      </c>
      <c r="AD136" s="238">
        <f t="shared" si="24"/>
        <v>821478.41048459243</v>
      </c>
      <c r="AE136" s="238">
        <f t="shared" si="25"/>
        <v>821478.41048459243</v>
      </c>
      <c r="AF136" s="238">
        <f t="shared" si="26"/>
        <v>6571827.2838767394</v>
      </c>
      <c r="AG136" s="206">
        <f t="shared" si="27"/>
        <v>2010</v>
      </c>
      <c r="AH136" s="210">
        <f t="shared" si="28"/>
        <v>34502103.240352884</v>
      </c>
    </row>
    <row r="137" spans="1:34" s="48" customFormat="1" ht="40.5" hidden="1" customHeight="1" x14ac:dyDescent="0.2">
      <c r="A137" s="296"/>
      <c r="C137" s="772" t="s">
        <v>2302</v>
      </c>
      <c r="D137" s="73"/>
      <c r="E137" s="65" t="s">
        <v>2654</v>
      </c>
      <c r="F137" s="67" t="s">
        <v>2845</v>
      </c>
      <c r="G137" s="67"/>
      <c r="H137" s="33" t="s">
        <v>43</v>
      </c>
      <c r="I137" s="40"/>
      <c r="J137" s="40" t="s">
        <v>835</v>
      </c>
      <c r="K137" s="40"/>
      <c r="L137" s="72" t="s">
        <v>1805</v>
      </c>
      <c r="M137" s="40">
        <v>2010</v>
      </c>
      <c r="N137" s="40"/>
      <c r="O137" s="32"/>
      <c r="P137" s="33"/>
      <c r="Q137" s="40"/>
      <c r="R137" s="32" t="s">
        <v>12</v>
      </c>
      <c r="S137" s="252">
        <v>41073930.524229623</v>
      </c>
      <c r="T137" s="105"/>
      <c r="U137" s="206" t="str">
        <f t="shared" si="15"/>
        <v>03.11.01</v>
      </c>
      <c r="V137" s="207" t="str">
        <f t="shared" si="16"/>
        <v>Bangunan Gedung Tempat Kerja</v>
      </c>
      <c r="W137" s="207">
        <f t="shared" si="17"/>
        <v>50</v>
      </c>
      <c r="X137" s="233">
        <f t="shared" si="18"/>
        <v>821478.41048459243</v>
      </c>
      <c r="Y137" s="714">
        <f t="shared" si="19"/>
        <v>3</v>
      </c>
      <c r="Z137" s="233">
        <f t="shared" si="20"/>
        <v>2464435.2314537773</v>
      </c>
      <c r="AA137" s="233">
        <f t="shared" si="21"/>
        <v>821478.41048459243</v>
      </c>
      <c r="AB137" s="233">
        <f t="shared" si="22"/>
        <v>821478.41048459243</v>
      </c>
      <c r="AC137" s="233">
        <f t="shared" si="23"/>
        <v>821478.41048459243</v>
      </c>
      <c r="AD137" s="238">
        <f t="shared" si="24"/>
        <v>821478.41048459243</v>
      </c>
      <c r="AE137" s="238">
        <f t="shared" si="25"/>
        <v>821478.41048459243</v>
      </c>
      <c r="AF137" s="238">
        <f t="shared" si="26"/>
        <v>6571827.2838767394</v>
      </c>
      <c r="AG137" s="206">
        <f t="shared" si="27"/>
        <v>2010</v>
      </c>
      <c r="AH137" s="210">
        <f t="shared" si="28"/>
        <v>34502103.240352884</v>
      </c>
    </row>
    <row r="138" spans="1:34" s="48" customFormat="1" ht="40.5" hidden="1" customHeight="1" x14ac:dyDescent="0.2">
      <c r="A138" s="296"/>
      <c r="C138" s="772" t="s">
        <v>2302</v>
      </c>
      <c r="D138" s="73"/>
      <c r="E138" s="65" t="s">
        <v>2655</v>
      </c>
      <c r="F138" s="67" t="s">
        <v>2845</v>
      </c>
      <c r="G138" s="67"/>
      <c r="H138" s="33" t="s">
        <v>43</v>
      </c>
      <c r="I138" s="40"/>
      <c r="J138" s="40" t="s">
        <v>835</v>
      </c>
      <c r="K138" s="40"/>
      <c r="L138" s="72" t="s">
        <v>1807</v>
      </c>
      <c r="M138" s="40">
        <v>2010</v>
      </c>
      <c r="N138" s="40"/>
      <c r="O138" s="32"/>
      <c r="P138" s="33"/>
      <c r="Q138" s="40"/>
      <c r="R138" s="32" t="s">
        <v>12</v>
      </c>
      <c r="S138" s="252">
        <v>20536965.262114812</v>
      </c>
      <c r="T138" s="105"/>
      <c r="U138" s="206" t="str">
        <f t="shared" si="15"/>
        <v>03.11.01</v>
      </c>
      <c r="V138" s="207" t="str">
        <f t="shared" si="16"/>
        <v>Bangunan Gedung Tempat Kerja</v>
      </c>
      <c r="W138" s="207">
        <f t="shared" si="17"/>
        <v>50</v>
      </c>
      <c r="X138" s="233">
        <f t="shared" si="18"/>
        <v>410739.10524229624</v>
      </c>
      <c r="Y138" s="714">
        <f t="shared" si="19"/>
        <v>3</v>
      </c>
      <c r="Z138" s="233">
        <f t="shared" si="20"/>
        <v>1232217.3157268888</v>
      </c>
      <c r="AA138" s="233">
        <f t="shared" si="21"/>
        <v>410739.10524229624</v>
      </c>
      <c r="AB138" s="233">
        <f t="shared" si="22"/>
        <v>410739.10524229624</v>
      </c>
      <c r="AC138" s="233">
        <f t="shared" si="23"/>
        <v>410739.10524229624</v>
      </c>
      <c r="AD138" s="238">
        <f t="shared" si="24"/>
        <v>410739.10524229624</v>
      </c>
      <c r="AE138" s="238">
        <f t="shared" si="25"/>
        <v>410739.10524229624</v>
      </c>
      <c r="AF138" s="238">
        <f t="shared" si="26"/>
        <v>3285912.8419383694</v>
      </c>
      <c r="AG138" s="206">
        <f t="shared" si="27"/>
        <v>2010</v>
      </c>
      <c r="AH138" s="210">
        <f t="shared" si="28"/>
        <v>17251052.420176443</v>
      </c>
    </row>
    <row r="139" spans="1:34" s="48" customFormat="1" ht="40.5" hidden="1" customHeight="1" x14ac:dyDescent="0.2">
      <c r="A139" s="296"/>
      <c r="C139" s="772" t="s">
        <v>2302</v>
      </c>
      <c r="D139" s="73"/>
      <c r="E139" s="65" t="s">
        <v>2656</v>
      </c>
      <c r="F139" s="67" t="s">
        <v>2845</v>
      </c>
      <c r="G139" s="67"/>
      <c r="H139" s="33" t="s">
        <v>43</v>
      </c>
      <c r="I139" s="40"/>
      <c r="J139" s="40" t="s">
        <v>835</v>
      </c>
      <c r="K139" s="40"/>
      <c r="L139" s="72" t="s">
        <v>1809</v>
      </c>
      <c r="M139" s="40">
        <v>2010</v>
      </c>
      <c r="N139" s="40"/>
      <c r="O139" s="32"/>
      <c r="P139" s="33"/>
      <c r="Q139" s="40"/>
      <c r="R139" s="32" t="s">
        <v>12</v>
      </c>
      <c r="S139" s="252">
        <v>41073930.524229623</v>
      </c>
      <c r="T139" s="105"/>
      <c r="U139" s="206" t="str">
        <f t="shared" si="15"/>
        <v>03.11.01</v>
      </c>
      <c r="V139" s="207" t="str">
        <f t="shared" si="16"/>
        <v>Bangunan Gedung Tempat Kerja</v>
      </c>
      <c r="W139" s="207">
        <f t="shared" si="17"/>
        <v>50</v>
      </c>
      <c r="X139" s="233">
        <f t="shared" si="18"/>
        <v>821478.41048459243</v>
      </c>
      <c r="Y139" s="714">
        <f t="shared" si="19"/>
        <v>3</v>
      </c>
      <c r="Z139" s="233">
        <f t="shared" si="20"/>
        <v>2464435.2314537773</v>
      </c>
      <c r="AA139" s="233">
        <f t="shared" si="21"/>
        <v>821478.41048459243</v>
      </c>
      <c r="AB139" s="233">
        <f t="shared" si="22"/>
        <v>821478.41048459243</v>
      </c>
      <c r="AC139" s="233">
        <f t="shared" si="23"/>
        <v>821478.41048459243</v>
      </c>
      <c r="AD139" s="238">
        <f t="shared" si="24"/>
        <v>821478.41048459243</v>
      </c>
      <c r="AE139" s="238">
        <f t="shared" si="25"/>
        <v>821478.41048459243</v>
      </c>
      <c r="AF139" s="238">
        <f t="shared" si="26"/>
        <v>6571827.2838767394</v>
      </c>
      <c r="AG139" s="206">
        <f t="shared" si="27"/>
        <v>2010</v>
      </c>
      <c r="AH139" s="210">
        <f t="shared" si="28"/>
        <v>34502103.240352884</v>
      </c>
    </row>
    <row r="140" spans="1:34" s="48" customFormat="1" ht="40.5" hidden="1" customHeight="1" x14ac:dyDescent="0.2">
      <c r="A140" s="296"/>
      <c r="C140" s="772" t="s">
        <v>2302</v>
      </c>
      <c r="D140" s="73"/>
      <c r="E140" s="65" t="s">
        <v>2657</v>
      </c>
      <c r="F140" s="67" t="s">
        <v>2845</v>
      </c>
      <c r="G140" s="67"/>
      <c r="H140" s="33" t="s">
        <v>43</v>
      </c>
      <c r="I140" s="40"/>
      <c r="J140" s="40" t="s">
        <v>835</v>
      </c>
      <c r="K140" s="40"/>
      <c r="L140" s="72" t="s">
        <v>1811</v>
      </c>
      <c r="M140" s="40">
        <v>2010</v>
      </c>
      <c r="N140" s="40"/>
      <c r="O140" s="32"/>
      <c r="P140" s="33"/>
      <c r="Q140" s="40"/>
      <c r="R140" s="32" t="s">
        <v>12</v>
      </c>
      <c r="S140" s="252">
        <v>41073930.524229623</v>
      </c>
      <c r="T140" s="105"/>
      <c r="U140" s="206" t="str">
        <f t="shared" si="15"/>
        <v>03.11.01</v>
      </c>
      <c r="V140" s="207" t="str">
        <f t="shared" si="16"/>
        <v>Bangunan Gedung Tempat Kerja</v>
      </c>
      <c r="W140" s="207">
        <f t="shared" si="17"/>
        <v>50</v>
      </c>
      <c r="X140" s="233">
        <f t="shared" si="18"/>
        <v>821478.41048459243</v>
      </c>
      <c r="Y140" s="714">
        <f t="shared" si="19"/>
        <v>3</v>
      </c>
      <c r="Z140" s="233">
        <f t="shared" si="20"/>
        <v>2464435.2314537773</v>
      </c>
      <c r="AA140" s="233">
        <f t="shared" si="21"/>
        <v>821478.41048459243</v>
      </c>
      <c r="AB140" s="233">
        <f t="shared" si="22"/>
        <v>821478.41048459243</v>
      </c>
      <c r="AC140" s="233">
        <f t="shared" si="23"/>
        <v>821478.41048459243</v>
      </c>
      <c r="AD140" s="238">
        <f t="shared" si="24"/>
        <v>821478.41048459243</v>
      </c>
      <c r="AE140" s="238">
        <f t="shared" si="25"/>
        <v>821478.41048459243</v>
      </c>
      <c r="AF140" s="238">
        <f t="shared" si="26"/>
        <v>6571827.2838767394</v>
      </c>
      <c r="AG140" s="206">
        <f t="shared" si="27"/>
        <v>2010</v>
      </c>
      <c r="AH140" s="210">
        <f t="shared" si="28"/>
        <v>34502103.240352884</v>
      </c>
    </row>
    <row r="141" spans="1:34" s="48" customFormat="1" ht="40.5" hidden="1" customHeight="1" x14ac:dyDescent="0.2">
      <c r="A141" s="296"/>
      <c r="C141" s="772" t="s">
        <v>2302</v>
      </c>
      <c r="D141" s="73"/>
      <c r="E141" s="65" t="s">
        <v>2658</v>
      </c>
      <c r="F141" s="67" t="s">
        <v>2845</v>
      </c>
      <c r="G141" s="67"/>
      <c r="H141" s="33" t="s">
        <v>43</v>
      </c>
      <c r="I141" s="40"/>
      <c r="J141" s="40" t="s">
        <v>835</v>
      </c>
      <c r="K141" s="40"/>
      <c r="L141" s="72" t="s">
        <v>1813</v>
      </c>
      <c r="M141" s="40">
        <v>2010</v>
      </c>
      <c r="N141" s="40"/>
      <c r="O141" s="32"/>
      <c r="P141" s="33"/>
      <c r="Q141" s="40"/>
      <c r="R141" s="32" t="s">
        <v>12</v>
      </c>
      <c r="S141" s="252">
        <v>20536965.262114812</v>
      </c>
      <c r="T141" s="105"/>
      <c r="U141" s="206" t="str">
        <f t="shared" si="15"/>
        <v>03.11.01</v>
      </c>
      <c r="V141" s="207" t="str">
        <f t="shared" si="16"/>
        <v>Bangunan Gedung Tempat Kerja</v>
      </c>
      <c r="W141" s="207">
        <f t="shared" si="17"/>
        <v>50</v>
      </c>
      <c r="X141" s="233">
        <f t="shared" si="18"/>
        <v>410739.10524229624</v>
      </c>
      <c r="Y141" s="714">
        <f t="shared" si="19"/>
        <v>3</v>
      </c>
      <c r="Z141" s="233">
        <f t="shared" si="20"/>
        <v>1232217.3157268888</v>
      </c>
      <c r="AA141" s="233">
        <f t="shared" si="21"/>
        <v>410739.10524229624</v>
      </c>
      <c r="AB141" s="233">
        <f t="shared" si="22"/>
        <v>410739.10524229624</v>
      </c>
      <c r="AC141" s="233">
        <f t="shared" si="23"/>
        <v>410739.10524229624</v>
      </c>
      <c r="AD141" s="238">
        <f t="shared" si="24"/>
        <v>410739.10524229624</v>
      </c>
      <c r="AE141" s="238">
        <f t="shared" si="25"/>
        <v>410739.10524229624</v>
      </c>
      <c r="AF141" s="238">
        <f t="shared" si="26"/>
        <v>3285912.8419383694</v>
      </c>
      <c r="AG141" s="206">
        <f t="shared" si="27"/>
        <v>2010</v>
      </c>
      <c r="AH141" s="210">
        <f t="shared" si="28"/>
        <v>17251052.420176443</v>
      </c>
    </row>
    <row r="142" spans="1:34" s="48" customFormat="1" ht="40.5" hidden="1" customHeight="1" x14ac:dyDescent="0.2">
      <c r="A142" s="296"/>
      <c r="C142" s="772" t="s">
        <v>2302</v>
      </c>
      <c r="D142" s="73"/>
      <c r="E142" s="65" t="s">
        <v>2659</v>
      </c>
      <c r="F142" s="67" t="s">
        <v>2845</v>
      </c>
      <c r="G142" s="67"/>
      <c r="H142" s="33" t="s">
        <v>43</v>
      </c>
      <c r="I142" s="40"/>
      <c r="J142" s="40" t="s">
        <v>835</v>
      </c>
      <c r="K142" s="40"/>
      <c r="L142" s="72" t="s">
        <v>1815</v>
      </c>
      <c r="M142" s="40">
        <v>2010</v>
      </c>
      <c r="N142" s="40"/>
      <c r="O142" s="32"/>
      <c r="P142" s="33"/>
      <c r="Q142" s="40"/>
      <c r="R142" s="32" t="s">
        <v>12</v>
      </c>
      <c r="S142" s="252">
        <v>41073930.524229623</v>
      </c>
      <c r="T142" s="105"/>
      <c r="U142" s="206" t="str">
        <f t="shared" si="15"/>
        <v>03.11.01</v>
      </c>
      <c r="V142" s="207" t="str">
        <f t="shared" si="16"/>
        <v>Bangunan Gedung Tempat Kerja</v>
      </c>
      <c r="W142" s="207">
        <f t="shared" si="17"/>
        <v>50</v>
      </c>
      <c r="X142" s="233">
        <f t="shared" si="18"/>
        <v>821478.41048459243</v>
      </c>
      <c r="Y142" s="714">
        <f t="shared" si="19"/>
        <v>3</v>
      </c>
      <c r="Z142" s="233">
        <f t="shared" si="20"/>
        <v>2464435.2314537773</v>
      </c>
      <c r="AA142" s="233">
        <f t="shared" si="21"/>
        <v>821478.41048459243</v>
      </c>
      <c r="AB142" s="233">
        <f t="shared" si="22"/>
        <v>821478.41048459243</v>
      </c>
      <c r="AC142" s="233">
        <f t="shared" si="23"/>
        <v>821478.41048459243</v>
      </c>
      <c r="AD142" s="238">
        <f t="shared" si="24"/>
        <v>821478.41048459243</v>
      </c>
      <c r="AE142" s="238">
        <f t="shared" si="25"/>
        <v>821478.41048459243</v>
      </c>
      <c r="AF142" s="238">
        <f t="shared" si="26"/>
        <v>6571827.2838767394</v>
      </c>
      <c r="AG142" s="206">
        <f t="shared" si="27"/>
        <v>2010</v>
      </c>
      <c r="AH142" s="210">
        <f t="shared" si="28"/>
        <v>34502103.240352884</v>
      </c>
    </row>
    <row r="143" spans="1:34" s="48" customFormat="1" ht="40.5" hidden="1" customHeight="1" x14ac:dyDescent="0.2">
      <c r="A143" s="296"/>
      <c r="C143" s="772" t="s">
        <v>2302</v>
      </c>
      <c r="D143" s="73"/>
      <c r="E143" s="65" t="s">
        <v>2660</v>
      </c>
      <c r="F143" s="67" t="s">
        <v>2845</v>
      </c>
      <c r="G143" s="67"/>
      <c r="H143" s="33" t="s">
        <v>43</v>
      </c>
      <c r="I143" s="40"/>
      <c r="J143" s="40" t="s">
        <v>835</v>
      </c>
      <c r="K143" s="40"/>
      <c r="L143" s="72" t="s">
        <v>1817</v>
      </c>
      <c r="M143" s="40">
        <v>2010</v>
      </c>
      <c r="N143" s="40"/>
      <c r="O143" s="32"/>
      <c r="P143" s="33"/>
      <c r="Q143" s="40"/>
      <c r="R143" s="32" t="s">
        <v>12</v>
      </c>
      <c r="S143" s="252">
        <v>20536965.262114812</v>
      </c>
      <c r="T143" s="105"/>
      <c r="U143" s="206" t="str">
        <f t="shared" ref="U143:U206" si="29">LEFT(F143,8)</f>
        <v>03.11.01</v>
      </c>
      <c r="V143" s="207" t="str">
        <f t="shared" ref="V143:V206" si="30">VLOOKUP(U143,UE,3)</f>
        <v>Bangunan Gedung Tempat Kerja</v>
      </c>
      <c r="W143" s="207">
        <f t="shared" ref="W143:W206" si="31">VLOOKUP(U143,UE,4)</f>
        <v>50</v>
      </c>
      <c r="X143" s="233">
        <f t="shared" ref="X143:X206" si="32">(S143-10)/W143</f>
        <v>410739.10524229624</v>
      </c>
      <c r="Y143" s="714">
        <f t="shared" ref="Y143:Y206" si="33">IF(2013-M143&gt;W143,W143,IF(2013-M143&lt;0,0,2013-M143))</f>
        <v>3</v>
      </c>
      <c r="Z143" s="233">
        <f t="shared" ref="Z143:Z206" si="34">IF(Y143&gt;W143,S143-10,X143*Y143)</f>
        <v>1232217.3157268888</v>
      </c>
      <c r="AA143" s="233">
        <f t="shared" ref="AA143:AA206" si="35">IF(S143-10=Z143,0,X143)</f>
        <v>410739.10524229624</v>
      </c>
      <c r="AB143" s="233">
        <f t="shared" ref="AB143:AB206" si="36">IF(S143-10=Z143+AA143,0,X143)</f>
        <v>410739.10524229624</v>
      </c>
      <c r="AC143" s="233">
        <f t="shared" ref="AC143:AC206" si="37">IF(S143-10=Z143+AA143+AB143,0,X143)</f>
        <v>410739.10524229624</v>
      </c>
      <c r="AD143" s="238">
        <f t="shared" ref="AD143:AD206" si="38">IF(S143-10=Z143+AA143+AB143+AC143,0,X143)</f>
        <v>410739.10524229624</v>
      </c>
      <c r="AE143" s="238">
        <f t="shared" ref="AE143:AE206" si="39">IF(S143-10=Z143+AA143+AB143+AC143+AD143,0,X143)</f>
        <v>410739.10524229624</v>
      </c>
      <c r="AF143" s="238">
        <f t="shared" ref="AF143:AF206" si="40">SUM(Z143:AE143)</f>
        <v>3285912.8419383694</v>
      </c>
      <c r="AG143" s="206">
        <f t="shared" ref="AG143:AG206" si="41">M143</f>
        <v>2010</v>
      </c>
      <c r="AH143" s="210">
        <f t="shared" ref="AH143:AH206" si="42">S143-AF143</f>
        <v>17251052.420176443</v>
      </c>
    </row>
    <row r="144" spans="1:34" s="48" customFormat="1" ht="40.5" hidden="1" customHeight="1" x14ac:dyDescent="0.2">
      <c r="A144" s="296"/>
      <c r="C144" s="772" t="s">
        <v>2302</v>
      </c>
      <c r="D144" s="73"/>
      <c r="E144" s="65" t="s">
        <v>2661</v>
      </c>
      <c r="F144" s="67" t="s">
        <v>2845</v>
      </c>
      <c r="G144" s="67"/>
      <c r="H144" s="33" t="s">
        <v>43</v>
      </c>
      <c r="I144" s="40"/>
      <c r="J144" s="40" t="s">
        <v>835</v>
      </c>
      <c r="K144" s="40"/>
      <c r="L144" s="72" t="s">
        <v>1819</v>
      </c>
      <c r="M144" s="40">
        <v>2010</v>
      </c>
      <c r="N144" s="40"/>
      <c r="O144" s="32"/>
      <c r="P144" s="33"/>
      <c r="Q144" s="40"/>
      <c r="R144" s="32" t="s">
        <v>12</v>
      </c>
      <c r="S144" s="252">
        <v>20536965.262114812</v>
      </c>
      <c r="T144" s="105"/>
      <c r="U144" s="206" t="str">
        <f t="shared" si="29"/>
        <v>03.11.01</v>
      </c>
      <c r="V144" s="207" t="str">
        <f t="shared" si="30"/>
        <v>Bangunan Gedung Tempat Kerja</v>
      </c>
      <c r="W144" s="207">
        <f t="shared" si="31"/>
        <v>50</v>
      </c>
      <c r="X144" s="233">
        <f t="shared" si="32"/>
        <v>410739.10524229624</v>
      </c>
      <c r="Y144" s="714">
        <f t="shared" si="33"/>
        <v>3</v>
      </c>
      <c r="Z144" s="233">
        <f t="shared" si="34"/>
        <v>1232217.3157268888</v>
      </c>
      <c r="AA144" s="233">
        <f t="shared" si="35"/>
        <v>410739.10524229624</v>
      </c>
      <c r="AB144" s="233">
        <f t="shared" si="36"/>
        <v>410739.10524229624</v>
      </c>
      <c r="AC144" s="233">
        <f t="shared" si="37"/>
        <v>410739.10524229624</v>
      </c>
      <c r="AD144" s="238">
        <f t="shared" si="38"/>
        <v>410739.10524229624</v>
      </c>
      <c r="AE144" s="238">
        <f t="shared" si="39"/>
        <v>410739.10524229624</v>
      </c>
      <c r="AF144" s="238">
        <f t="shared" si="40"/>
        <v>3285912.8419383694</v>
      </c>
      <c r="AG144" s="206">
        <f t="shared" si="41"/>
        <v>2010</v>
      </c>
      <c r="AH144" s="210">
        <f t="shared" si="42"/>
        <v>17251052.420176443</v>
      </c>
    </row>
    <row r="145" spans="1:34" s="48" customFormat="1" ht="40.5" hidden="1" customHeight="1" x14ac:dyDescent="0.2">
      <c r="A145" s="296"/>
      <c r="C145" s="772" t="s">
        <v>2302</v>
      </c>
      <c r="D145" s="73"/>
      <c r="E145" s="65" t="s">
        <v>2662</v>
      </c>
      <c r="F145" s="67" t="s">
        <v>2845</v>
      </c>
      <c r="G145" s="67"/>
      <c r="H145" s="33" t="s">
        <v>43</v>
      </c>
      <c r="I145" s="40"/>
      <c r="J145" s="40" t="s">
        <v>835</v>
      </c>
      <c r="K145" s="40"/>
      <c r="L145" s="72" t="s">
        <v>1821</v>
      </c>
      <c r="M145" s="40">
        <v>2010</v>
      </c>
      <c r="N145" s="40"/>
      <c r="O145" s="32"/>
      <c r="P145" s="33"/>
      <c r="Q145" s="40"/>
      <c r="R145" s="32" t="s">
        <v>12</v>
      </c>
      <c r="S145" s="252">
        <v>41073930.524229623</v>
      </c>
      <c r="T145" s="105"/>
      <c r="U145" s="206" t="str">
        <f t="shared" si="29"/>
        <v>03.11.01</v>
      </c>
      <c r="V145" s="207" t="str">
        <f t="shared" si="30"/>
        <v>Bangunan Gedung Tempat Kerja</v>
      </c>
      <c r="W145" s="207">
        <f t="shared" si="31"/>
        <v>50</v>
      </c>
      <c r="X145" s="233">
        <f t="shared" si="32"/>
        <v>821478.41048459243</v>
      </c>
      <c r="Y145" s="714">
        <f t="shared" si="33"/>
        <v>3</v>
      </c>
      <c r="Z145" s="233">
        <f t="shared" si="34"/>
        <v>2464435.2314537773</v>
      </c>
      <c r="AA145" s="233">
        <f t="shared" si="35"/>
        <v>821478.41048459243</v>
      </c>
      <c r="AB145" s="233">
        <f t="shared" si="36"/>
        <v>821478.41048459243</v>
      </c>
      <c r="AC145" s="233">
        <f t="shared" si="37"/>
        <v>821478.41048459243</v>
      </c>
      <c r="AD145" s="238">
        <f t="shared" si="38"/>
        <v>821478.41048459243</v>
      </c>
      <c r="AE145" s="238">
        <f t="shared" si="39"/>
        <v>821478.41048459243</v>
      </c>
      <c r="AF145" s="238">
        <f t="shared" si="40"/>
        <v>6571827.2838767394</v>
      </c>
      <c r="AG145" s="206">
        <f t="shared" si="41"/>
        <v>2010</v>
      </c>
      <c r="AH145" s="210">
        <f t="shared" si="42"/>
        <v>34502103.240352884</v>
      </c>
    </row>
    <row r="146" spans="1:34" s="48" customFormat="1" ht="40.5" hidden="1" customHeight="1" x14ac:dyDescent="0.2">
      <c r="A146" s="296"/>
      <c r="C146" s="772" t="s">
        <v>2302</v>
      </c>
      <c r="D146" s="73"/>
      <c r="E146" s="65" t="s">
        <v>2663</v>
      </c>
      <c r="F146" s="67" t="s">
        <v>2845</v>
      </c>
      <c r="G146" s="67"/>
      <c r="H146" s="33" t="s">
        <v>43</v>
      </c>
      <c r="I146" s="40"/>
      <c r="J146" s="40" t="s">
        <v>835</v>
      </c>
      <c r="K146" s="40"/>
      <c r="L146" s="72" t="s">
        <v>1823</v>
      </c>
      <c r="M146" s="40">
        <v>2010</v>
      </c>
      <c r="N146" s="40"/>
      <c r="O146" s="32"/>
      <c r="P146" s="33"/>
      <c r="Q146" s="40"/>
      <c r="R146" s="32" t="s">
        <v>12</v>
      </c>
      <c r="S146" s="252">
        <v>20536965.262114812</v>
      </c>
      <c r="T146" s="105"/>
      <c r="U146" s="206" t="str">
        <f t="shared" si="29"/>
        <v>03.11.01</v>
      </c>
      <c r="V146" s="207" t="str">
        <f t="shared" si="30"/>
        <v>Bangunan Gedung Tempat Kerja</v>
      </c>
      <c r="W146" s="207">
        <f t="shared" si="31"/>
        <v>50</v>
      </c>
      <c r="X146" s="233">
        <f t="shared" si="32"/>
        <v>410739.10524229624</v>
      </c>
      <c r="Y146" s="714">
        <f t="shared" si="33"/>
        <v>3</v>
      </c>
      <c r="Z146" s="233">
        <f t="shared" si="34"/>
        <v>1232217.3157268888</v>
      </c>
      <c r="AA146" s="233">
        <f t="shared" si="35"/>
        <v>410739.10524229624</v>
      </c>
      <c r="AB146" s="233">
        <f t="shared" si="36"/>
        <v>410739.10524229624</v>
      </c>
      <c r="AC146" s="233">
        <f t="shared" si="37"/>
        <v>410739.10524229624</v>
      </c>
      <c r="AD146" s="238">
        <f t="shared" si="38"/>
        <v>410739.10524229624</v>
      </c>
      <c r="AE146" s="238">
        <f t="shared" si="39"/>
        <v>410739.10524229624</v>
      </c>
      <c r="AF146" s="238">
        <f t="shared" si="40"/>
        <v>3285912.8419383694</v>
      </c>
      <c r="AG146" s="206">
        <f t="shared" si="41"/>
        <v>2010</v>
      </c>
      <c r="AH146" s="210">
        <f t="shared" si="42"/>
        <v>17251052.420176443</v>
      </c>
    </row>
    <row r="147" spans="1:34" s="48" customFormat="1" ht="40.5" hidden="1" customHeight="1" x14ac:dyDescent="0.2">
      <c r="A147" s="296"/>
      <c r="C147" s="772" t="s">
        <v>2302</v>
      </c>
      <c r="D147" s="73"/>
      <c r="E147" s="65" t="s">
        <v>2664</v>
      </c>
      <c r="F147" s="67" t="s">
        <v>2845</v>
      </c>
      <c r="G147" s="67"/>
      <c r="H147" s="33" t="s">
        <v>43</v>
      </c>
      <c r="I147" s="40"/>
      <c r="J147" s="40" t="s">
        <v>835</v>
      </c>
      <c r="K147" s="40"/>
      <c r="L147" s="72" t="s">
        <v>1825</v>
      </c>
      <c r="M147" s="40">
        <v>2010</v>
      </c>
      <c r="N147" s="40"/>
      <c r="O147" s="32"/>
      <c r="P147" s="33"/>
      <c r="Q147" s="40"/>
      <c r="R147" s="32" t="s">
        <v>12</v>
      </c>
      <c r="S147" s="252">
        <v>41073930.524229623</v>
      </c>
      <c r="T147" s="105"/>
      <c r="U147" s="206" t="str">
        <f t="shared" si="29"/>
        <v>03.11.01</v>
      </c>
      <c r="V147" s="207" t="str">
        <f t="shared" si="30"/>
        <v>Bangunan Gedung Tempat Kerja</v>
      </c>
      <c r="W147" s="207">
        <f t="shared" si="31"/>
        <v>50</v>
      </c>
      <c r="X147" s="233">
        <f t="shared" si="32"/>
        <v>821478.41048459243</v>
      </c>
      <c r="Y147" s="714">
        <f t="shared" si="33"/>
        <v>3</v>
      </c>
      <c r="Z147" s="233">
        <f t="shared" si="34"/>
        <v>2464435.2314537773</v>
      </c>
      <c r="AA147" s="233">
        <f t="shared" si="35"/>
        <v>821478.41048459243</v>
      </c>
      <c r="AB147" s="233">
        <f t="shared" si="36"/>
        <v>821478.41048459243</v>
      </c>
      <c r="AC147" s="233">
        <f t="shared" si="37"/>
        <v>821478.41048459243</v>
      </c>
      <c r="AD147" s="238">
        <f t="shared" si="38"/>
        <v>821478.41048459243</v>
      </c>
      <c r="AE147" s="238">
        <f t="shared" si="39"/>
        <v>821478.41048459243</v>
      </c>
      <c r="AF147" s="238">
        <f t="shared" si="40"/>
        <v>6571827.2838767394</v>
      </c>
      <c r="AG147" s="206">
        <f t="shared" si="41"/>
        <v>2010</v>
      </c>
      <c r="AH147" s="210">
        <f t="shared" si="42"/>
        <v>34502103.240352884</v>
      </c>
    </row>
    <row r="148" spans="1:34" s="670" customFormat="1" ht="40.5" hidden="1" customHeight="1" x14ac:dyDescent="0.2">
      <c r="A148" s="669">
        <v>17</v>
      </c>
      <c r="B148" s="670" t="s">
        <v>2827</v>
      </c>
      <c r="C148" s="773" t="s">
        <v>4247</v>
      </c>
      <c r="D148" s="652"/>
      <c r="E148" s="671" t="s">
        <v>2665</v>
      </c>
      <c r="F148" s="653" t="s">
        <v>2846</v>
      </c>
      <c r="G148" s="653" t="s">
        <v>39</v>
      </c>
      <c r="H148" s="673" t="s">
        <v>43</v>
      </c>
      <c r="I148" s="674" t="s">
        <v>1753</v>
      </c>
      <c r="J148" s="674" t="s">
        <v>835</v>
      </c>
      <c r="K148" s="674"/>
      <c r="L148" s="691" t="s">
        <v>2998</v>
      </c>
      <c r="M148" s="674">
        <v>2009</v>
      </c>
      <c r="N148" s="674" t="s">
        <v>1827</v>
      </c>
      <c r="O148" s="675"/>
      <c r="P148" s="673"/>
      <c r="Q148" s="674"/>
      <c r="R148" s="675" t="s">
        <v>12</v>
      </c>
      <c r="S148" s="654">
        <f>2488646709.83826</f>
        <v>2488646709.8382602</v>
      </c>
      <c r="T148" s="702"/>
      <c r="U148" s="206" t="str">
        <f t="shared" si="29"/>
        <v>03.11.02</v>
      </c>
      <c r="V148" s="207" t="str">
        <f t="shared" si="30"/>
        <v>Bangunan Gedung Tempat Tinggal</v>
      </c>
      <c r="W148" s="207">
        <f t="shared" si="31"/>
        <v>50</v>
      </c>
      <c r="X148" s="233">
        <f t="shared" si="32"/>
        <v>49772933.996765204</v>
      </c>
      <c r="Y148" s="714">
        <f t="shared" si="33"/>
        <v>4</v>
      </c>
      <c r="Z148" s="233">
        <f t="shared" si="34"/>
        <v>199091735.98706082</v>
      </c>
      <c r="AA148" s="233">
        <f t="shared" si="35"/>
        <v>49772933.996765204</v>
      </c>
      <c r="AB148" s="233">
        <f t="shared" si="36"/>
        <v>49772933.996765204</v>
      </c>
      <c r="AC148" s="233">
        <f t="shared" si="37"/>
        <v>49772933.996765204</v>
      </c>
      <c r="AD148" s="238">
        <f t="shared" si="38"/>
        <v>49772933.996765204</v>
      </c>
      <c r="AE148" s="238">
        <f t="shared" si="39"/>
        <v>49772933.996765204</v>
      </c>
      <c r="AF148" s="238">
        <f t="shared" si="40"/>
        <v>447956405.97088683</v>
      </c>
      <c r="AG148" s="206">
        <f t="shared" si="41"/>
        <v>2009</v>
      </c>
      <c r="AH148" s="210">
        <f t="shared" si="42"/>
        <v>2040690303.8673735</v>
      </c>
    </row>
    <row r="149" spans="1:34" s="48" customFormat="1" ht="40.5" hidden="1" customHeight="1" x14ac:dyDescent="0.2">
      <c r="A149" s="296">
        <v>17</v>
      </c>
      <c r="B149" s="48" t="s">
        <v>2827</v>
      </c>
      <c r="C149" s="772" t="s">
        <v>4247</v>
      </c>
      <c r="D149" s="73"/>
      <c r="E149" s="333" t="s">
        <v>2996</v>
      </c>
      <c r="F149" s="67" t="s">
        <v>2485</v>
      </c>
      <c r="G149" s="67"/>
      <c r="H149" s="33"/>
      <c r="I149" s="40"/>
      <c r="J149" s="40"/>
      <c r="K149" s="40"/>
      <c r="L149" s="72"/>
      <c r="M149" s="40">
        <v>2017</v>
      </c>
      <c r="N149" s="40"/>
      <c r="O149" s="32"/>
      <c r="P149" s="33"/>
      <c r="Q149" s="40"/>
      <c r="R149" s="32"/>
      <c r="S149" s="252">
        <v>203075000</v>
      </c>
      <c r="T149" s="105" t="s">
        <v>2849</v>
      </c>
      <c r="U149" s="206" t="str">
        <f t="shared" si="29"/>
        <v>03.11.02</v>
      </c>
      <c r="V149" s="207" t="str">
        <f t="shared" si="30"/>
        <v>Bangunan Gedung Tempat Tinggal</v>
      </c>
      <c r="W149" s="207">
        <f t="shared" si="31"/>
        <v>50</v>
      </c>
      <c r="X149" s="233">
        <f t="shared" si="32"/>
        <v>4061499.8</v>
      </c>
      <c r="Y149" s="714">
        <f t="shared" si="33"/>
        <v>0</v>
      </c>
      <c r="Z149" s="233">
        <f t="shared" si="34"/>
        <v>0</v>
      </c>
      <c r="AA149" s="233"/>
      <c r="AB149" s="233"/>
      <c r="AC149" s="233"/>
      <c r="AD149" s="238"/>
      <c r="AE149" s="238">
        <f t="shared" si="39"/>
        <v>4061499.8</v>
      </c>
      <c r="AF149" s="238">
        <f t="shared" si="40"/>
        <v>4061499.8</v>
      </c>
      <c r="AG149" s="206">
        <f t="shared" si="41"/>
        <v>2017</v>
      </c>
      <c r="AH149" s="210">
        <f t="shared" si="42"/>
        <v>199013500.19999999</v>
      </c>
    </row>
    <row r="150" spans="1:34" s="48" customFormat="1" ht="40.5" hidden="1" customHeight="1" x14ac:dyDescent="0.2">
      <c r="A150" s="296">
        <v>18</v>
      </c>
      <c r="B150" s="48" t="s">
        <v>2828</v>
      </c>
      <c r="C150" s="772" t="s">
        <v>4247</v>
      </c>
      <c r="D150" s="73"/>
      <c r="E150" s="65" t="s">
        <v>2667</v>
      </c>
      <c r="F150" s="67" t="s">
        <v>2846</v>
      </c>
      <c r="G150" s="404" t="s">
        <v>39</v>
      </c>
      <c r="H150" s="405" t="s">
        <v>43</v>
      </c>
      <c r="I150" s="408" t="s">
        <v>1753</v>
      </c>
      <c r="J150" s="408" t="s">
        <v>835</v>
      </c>
      <c r="K150" s="408"/>
      <c r="L150" s="72" t="s">
        <v>2998</v>
      </c>
      <c r="M150" s="40">
        <v>2009</v>
      </c>
      <c r="N150" s="40" t="s">
        <v>1831</v>
      </c>
      <c r="O150" s="32"/>
      <c r="P150" s="33"/>
      <c r="Q150" s="40"/>
      <c r="R150" s="32" t="s">
        <v>12</v>
      </c>
      <c r="S150" s="252">
        <v>3249116342.4618435</v>
      </c>
      <c r="T150" s="105"/>
      <c r="U150" s="206" t="str">
        <f t="shared" si="29"/>
        <v>03.11.02</v>
      </c>
      <c r="V150" s="207" t="str">
        <f t="shared" si="30"/>
        <v>Bangunan Gedung Tempat Tinggal</v>
      </c>
      <c r="W150" s="207">
        <f t="shared" si="31"/>
        <v>50</v>
      </c>
      <c r="X150" s="233">
        <f t="shared" si="32"/>
        <v>64982326.649236873</v>
      </c>
      <c r="Y150" s="714">
        <f t="shared" si="33"/>
        <v>4</v>
      </c>
      <c r="Z150" s="233">
        <f t="shared" si="34"/>
        <v>259929306.59694749</v>
      </c>
      <c r="AA150" s="233">
        <f t="shared" si="35"/>
        <v>64982326.649236873</v>
      </c>
      <c r="AB150" s="233">
        <f t="shared" si="36"/>
        <v>64982326.649236873</v>
      </c>
      <c r="AC150" s="233">
        <f t="shared" si="37"/>
        <v>64982326.649236873</v>
      </c>
      <c r="AD150" s="238">
        <f t="shared" si="38"/>
        <v>64982326.649236873</v>
      </c>
      <c r="AE150" s="238">
        <f t="shared" si="39"/>
        <v>64982326.649236873</v>
      </c>
      <c r="AF150" s="238">
        <f t="shared" si="40"/>
        <v>584840939.84313178</v>
      </c>
      <c r="AG150" s="206">
        <f t="shared" si="41"/>
        <v>2009</v>
      </c>
      <c r="AH150" s="210">
        <f t="shared" si="42"/>
        <v>2664275402.6187115</v>
      </c>
    </row>
    <row r="151" spans="1:34" s="48" customFormat="1" ht="40.5" hidden="1" customHeight="1" x14ac:dyDescent="0.2">
      <c r="A151" s="296">
        <v>18</v>
      </c>
      <c r="B151" s="48" t="s">
        <v>2828</v>
      </c>
      <c r="C151" s="772" t="s">
        <v>4247</v>
      </c>
      <c r="D151" s="73"/>
      <c r="E151" s="333" t="s">
        <v>2997</v>
      </c>
      <c r="F151" s="67" t="s">
        <v>2485</v>
      </c>
      <c r="G151" s="404"/>
      <c r="H151" s="405"/>
      <c r="I151" s="408"/>
      <c r="J151" s="408"/>
      <c r="K151" s="408"/>
      <c r="L151" s="72"/>
      <c r="M151" s="40">
        <v>2017</v>
      </c>
      <c r="N151" s="40"/>
      <c r="O151" s="32"/>
      <c r="P151" s="33"/>
      <c r="Q151" s="40"/>
      <c r="R151" s="32"/>
      <c r="S151" s="252">
        <v>203091000</v>
      </c>
      <c r="T151" s="105" t="s">
        <v>2849</v>
      </c>
      <c r="U151" s="206" t="str">
        <f t="shared" si="29"/>
        <v>03.11.02</v>
      </c>
      <c r="V151" s="207" t="str">
        <f t="shared" si="30"/>
        <v>Bangunan Gedung Tempat Tinggal</v>
      </c>
      <c r="W151" s="207">
        <f t="shared" si="31"/>
        <v>50</v>
      </c>
      <c r="X151" s="233">
        <f t="shared" si="32"/>
        <v>4061819.8</v>
      </c>
      <c r="Y151" s="714">
        <f t="shared" si="33"/>
        <v>0</v>
      </c>
      <c r="Z151" s="233">
        <f t="shared" si="34"/>
        <v>0</v>
      </c>
      <c r="AA151" s="233"/>
      <c r="AB151" s="233"/>
      <c r="AC151" s="233"/>
      <c r="AD151" s="238"/>
      <c r="AE151" s="238">
        <f t="shared" si="39"/>
        <v>4061819.8</v>
      </c>
      <c r="AF151" s="238">
        <f t="shared" si="40"/>
        <v>4061819.8</v>
      </c>
      <c r="AG151" s="206">
        <f t="shared" si="41"/>
        <v>2017</v>
      </c>
      <c r="AH151" s="210">
        <f t="shared" si="42"/>
        <v>199029180.19999999</v>
      </c>
    </row>
    <row r="152" spans="1:34" s="48" customFormat="1" ht="40.5" hidden="1" customHeight="1" x14ac:dyDescent="0.2">
      <c r="A152" s="296">
        <v>19</v>
      </c>
      <c r="B152" s="48" t="s">
        <v>3026</v>
      </c>
      <c r="C152" s="772" t="s">
        <v>4247</v>
      </c>
      <c r="D152" s="73"/>
      <c r="E152" s="65" t="s">
        <v>2666</v>
      </c>
      <c r="F152" s="67" t="s">
        <v>2846</v>
      </c>
      <c r="G152" s="404" t="s">
        <v>39</v>
      </c>
      <c r="H152" s="405" t="s">
        <v>43</v>
      </c>
      <c r="I152" s="408" t="s">
        <v>1753</v>
      </c>
      <c r="J152" s="408" t="s">
        <v>835</v>
      </c>
      <c r="K152" s="408"/>
      <c r="L152" s="72" t="s">
        <v>2998</v>
      </c>
      <c r="M152" s="40">
        <v>2009</v>
      </c>
      <c r="N152" s="40" t="s">
        <v>1829</v>
      </c>
      <c r="O152" s="32"/>
      <c r="P152" s="33"/>
      <c r="Q152" s="40"/>
      <c r="R152" s="32" t="s">
        <v>12</v>
      </c>
      <c r="S152" s="252">
        <v>3846298304.7874517</v>
      </c>
      <c r="T152" s="105"/>
      <c r="U152" s="206" t="str">
        <f t="shared" si="29"/>
        <v>03.11.02</v>
      </c>
      <c r="V152" s="207" t="str">
        <f t="shared" si="30"/>
        <v>Bangunan Gedung Tempat Tinggal</v>
      </c>
      <c r="W152" s="207">
        <f t="shared" si="31"/>
        <v>50</v>
      </c>
      <c r="X152" s="233">
        <f t="shared" si="32"/>
        <v>76925965.895749032</v>
      </c>
      <c r="Y152" s="714">
        <f t="shared" si="33"/>
        <v>4</v>
      </c>
      <c r="Z152" s="233">
        <f t="shared" si="34"/>
        <v>307703863.58299613</v>
      </c>
      <c r="AA152" s="233">
        <f t="shared" si="35"/>
        <v>76925965.895749032</v>
      </c>
      <c r="AB152" s="233">
        <f t="shared" si="36"/>
        <v>76925965.895749032</v>
      </c>
      <c r="AC152" s="233">
        <f t="shared" si="37"/>
        <v>76925965.895749032</v>
      </c>
      <c r="AD152" s="238">
        <f t="shared" si="38"/>
        <v>76925965.895749032</v>
      </c>
      <c r="AE152" s="238">
        <f t="shared" si="39"/>
        <v>76925965.895749032</v>
      </c>
      <c r="AF152" s="238">
        <f t="shared" si="40"/>
        <v>692333693.06174135</v>
      </c>
      <c r="AG152" s="206">
        <f t="shared" si="41"/>
        <v>2009</v>
      </c>
      <c r="AH152" s="210">
        <f t="shared" si="42"/>
        <v>3153964611.7257104</v>
      </c>
    </row>
    <row r="153" spans="1:34" s="48" customFormat="1" ht="40.5" hidden="1" customHeight="1" x14ac:dyDescent="0.2">
      <c r="A153" s="296">
        <v>19</v>
      </c>
      <c r="B153" s="48" t="s">
        <v>3026</v>
      </c>
      <c r="C153" s="772" t="s">
        <v>4247</v>
      </c>
      <c r="D153" s="73"/>
      <c r="E153" s="333" t="s">
        <v>3023</v>
      </c>
      <c r="F153" s="67" t="s">
        <v>2485</v>
      </c>
      <c r="G153" s="404"/>
      <c r="H153" s="405"/>
      <c r="I153" s="408"/>
      <c r="J153" s="408"/>
      <c r="K153" s="408"/>
      <c r="L153" s="72"/>
      <c r="M153" s="40">
        <v>2017</v>
      </c>
      <c r="N153" s="40"/>
      <c r="O153" s="32"/>
      <c r="P153" s="33"/>
      <c r="Q153" s="40"/>
      <c r="R153" s="32"/>
      <c r="S153" s="252">
        <v>202269000</v>
      </c>
      <c r="T153" s="105" t="s">
        <v>2849</v>
      </c>
      <c r="U153" s="206" t="str">
        <f t="shared" si="29"/>
        <v>03.11.02</v>
      </c>
      <c r="V153" s="207" t="str">
        <f t="shared" si="30"/>
        <v>Bangunan Gedung Tempat Tinggal</v>
      </c>
      <c r="W153" s="207">
        <f t="shared" si="31"/>
        <v>50</v>
      </c>
      <c r="X153" s="233">
        <f t="shared" si="32"/>
        <v>4045379.8</v>
      </c>
      <c r="Y153" s="714">
        <f t="shared" si="33"/>
        <v>0</v>
      </c>
      <c r="Z153" s="233">
        <f t="shared" si="34"/>
        <v>0</v>
      </c>
      <c r="AA153" s="233"/>
      <c r="AB153" s="233"/>
      <c r="AC153" s="233"/>
      <c r="AD153" s="238"/>
      <c r="AE153" s="238">
        <f t="shared" si="39"/>
        <v>4045379.8</v>
      </c>
      <c r="AF153" s="238">
        <f t="shared" si="40"/>
        <v>4045379.8</v>
      </c>
      <c r="AG153" s="206">
        <f t="shared" si="41"/>
        <v>2017</v>
      </c>
      <c r="AH153" s="210">
        <f t="shared" si="42"/>
        <v>198223620.19999999</v>
      </c>
    </row>
    <row r="154" spans="1:34" s="48" customFormat="1" ht="40.5" hidden="1" customHeight="1" x14ac:dyDescent="0.2">
      <c r="A154" s="296">
        <v>20</v>
      </c>
      <c r="B154" s="48" t="s">
        <v>3026</v>
      </c>
      <c r="C154" s="772" t="s">
        <v>4247</v>
      </c>
      <c r="D154" s="73"/>
      <c r="E154" s="333" t="s">
        <v>3024</v>
      </c>
      <c r="F154" s="67" t="s">
        <v>2485</v>
      </c>
      <c r="G154" s="404"/>
      <c r="H154" s="405"/>
      <c r="I154" s="408"/>
      <c r="J154" s="408"/>
      <c r="K154" s="408"/>
      <c r="L154" s="72"/>
      <c r="M154" s="40">
        <v>2017</v>
      </c>
      <c r="N154" s="40"/>
      <c r="O154" s="32"/>
      <c r="P154" s="33"/>
      <c r="Q154" s="40"/>
      <c r="R154" s="32"/>
      <c r="S154" s="252">
        <v>202305000</v>
      </c>
      <c r="T154" s="105" t="s">
        <v>2849</v>
      </c>
      <c r="U154" s="206" t="str">
        <f t="shared" si="29"/>
        <v>03.11.02</v>
      </c>
      <c r="V154" s="207" t="str">
        <f t="shared" si="30"/>
        <v>Bangunan Gedung Tempat Tinggal</v>
      </c>
      <c r="W154" s="207">
        <f t="shared" si="31"/>
        <v>50</v>
      </c>
      <c r="X154" s="233">
        <f t="shared" si="32"/>
        <v>4046099.8</v>
      </c>
      <c r="Y154" s="714">
        <f t="shared" si="33"/>
        <v>0</v>
      </c>
      <c r="Z154" s="233">
        <f t="shared" si="34"/>
        <v>0</v>
      </c>
      <c r="AA154" s="233"/>
      <c r="AB154" s="233"/>
      <c r="AC154" s="233"/>
      <c r="AD154" s="238"/>
      <c r="AE154" s="238">
        <f t="shared" si="39"/>
        <v>4046099.8</v>
      </c>
      <c r="AF154" s="238">
        <f t="shared" si="40"/>
        <v>4046099.8</v>
      </c>
      <c r="AG154" s="206">
        <f t="shared" si="41"/>
        <v>2017</v>
      </c>
      <c r="AH154" s="210">
        <f t="shared" si="42"/>
        <v>198258900.19999999</v>
      </c>
    </row>
    <row r="155" spans="1:34" s="48" customFormat="1" ht="40.5" hidden="1" customHeight="1" x14ac:dyDescent="0.2">
      <c r="A155" s="296">
        <v>20</v>
      </c>
      <c r="B155" s="48" t="s">
        <v>3026</v>
      </c>
      <c r="C155" s="772" t="s">
        <v>4247</v>
      </c>
      <c r="D155" s="73"/>
      <c r="E155" s="333" t="s">
        <v>3025</v>
      </c>
      <c r="F155" s="67" t="s">
        <v>2485</v>
      </c>
      <c r="G155" s="404"/>
      <c r="H155" s="405"/>
      <c r="I155" s="408"/>
      <c r="J155" s="408"/>
      <c r="K155" s="408"/>
      <c r="L155" s="72"/>
      <c r="M155" s="40">
        <v>2017</v>
      </c>
      <c r="N155" s="40"/>
      <c r="O155" s="32"/>
      <c r="P155" s="33"/>
      <c r="Q155" s="40"/>
      <c r="R155" s="32"/>
      <c r="S155" s="252">
        <v>202331000</v>
      </c>
      <c r="T155" s="105" t="s">
        <v>2849</v>
      </c>
      <c r="U155" s="206" t="str">
        <f t="shared" si="29"/>
        <v>03.11.02</v>
      </c>
      <c r="V155" s="207" t="str">
        <f t="shared" si="30"/>
        <v>Bangunan Gedung Tempat Tinggal</v>
      </c>
      <c r="W155" s="207">
        <f t="shared" si="31"/>
        <v>50</v>
      </c>
      <c r="X155" s="233">
        <f t="shared" si="32"/>
        <v>4046619.8</v>
      </c>
      <c r="Y155" s="714">
        <f t="shared" si="33"/>
        <v>0</v>
      </c>
      <c r="Z155" s="233">
        <f t="shared" si="34"/>
        <v>0</v>
      </c>
      <c r="AA155" s="233"/>
      <c r="AB155" s="233"/>
      <c r="AC155" s="233"/>
      <c r="AD155" s="238"/>
      <c r="AE155" s="238">
        <f t="shared" si="39"/>
        <v>4046619.8</v>
      </c>
      <c r="AF155" s="238">
        <f t="shared" si="40"/>
        <v>4046619.8</v>
      </c>
      <c r="AG155" s="206">
        <f t="shared" si="41"/>
        <v>2017</v>
      </c>
      <c r="AH155" s="210">
        <f t="shared" si="42"/>
        <v>198284380.19999999</v>
      </c>
    </row>
    <row r="156" spans="1:34" s="48" customFormat="1" ht="40.5" hidden="1" customHeight="1" x14ac:dyDescent="0.2">
      <c r="A156" s="296"/>
      <c r="B156" s="48" t="s">
        <v>4340</v>
      </c>
      <c r="C156" s="772"/>
      <c r="D156" s="73"/>
      <c r="E156" s="65" t="s">
        <v>2669</v>
      </c>
      <c r="F156" s="67" t="s">
        <v>2613</v>
      </c>
      <c r="G156" s="67" t="s">
        <v>39</v>
      </c>
      <c r="H156" s="33" t="s">
        <v>43</v>
      </c>
      <c r="I156" s="40" t="s">
        <v>1753</v>
      </c>
      <c r="J156" s="40" t="s">
        <v>835</v>
      </c>
      <c r="K156" s="40"/>
      <c r="L156" s="72" t="s">
        <v>1799</v>
      </c>
      <c r="M156" s="40">
        <v>2009</v>
      </c>
      <c r="N156" s="40" t="s">
        <v>1835</v>
      </c>
      <c r="O156" s="32"/>
      <c r="P156" s="33"/>
      <c r="Q156" s="40"/>
      <c r="R156" s="32" t="s">
        <v>12</v>
      </c>
      <c r="S156" s="252">
        <v>2825626654.2934227</v>
      </c>
      <c r="T156" s="105"/>
      <c r="U156" s="206" t="str">
        <f t="shared" si="29"/>
        <v>03.11.01</v>
      </c>
      <c r="V156" s="207" t="str">
        <f t="shared" si="30"/>
        <v>Bangunan Gedung Tempat Kerja</v>
      </c>
      <c r="W156" s="207">
        <f t="shared" si="31"/>
        <v>50</v>
      </c>
      <c r="X156" s="233">
        <f t="shared" si="32"/>
        <v>56512532.885868452</v>
      </c>
      <c r="Y156" s="714">
        <f t="shared" si="33"/>
        <v>4</v>
      </c>
      <c r="Z156" s="233">
        <f t="shared" si="34"/>
        <v>226050131.54347381</v>
      </c>
      <c r="AA156" s="233">
        <f t="shared" si="35"/>
        <v>56512532.885868452</v>
      </c>
      <c r="AB156" s="233">
        <f t="shared" si="36"/>
        <v>56512532.885868452</v>
      </c>
      <c r="AC156" s="233">
        <f t="shared" si="37"/>
        <v>56512532.885868452</v>
      </c>
      <c r="AD156" s="238">
        <f t="shared" si="38"/>
        <v>56512532.885868452</v>
      </c>
      <c r="AE156" s="238">
        <f t="shared" si="39"/>
        <v>56512532.885868452</v>
      </c>
      <c r="AF156" s="238">
        <f t="shared" si="40"/>
        <v>508612795.97281599</v>
      </c>
      <c r="AG156" s="206">
        <f t="shared" si="41"/>
        <v>2009</v>
      </c>
      <c r="AH156" s="210">
        <f t="shared" si="42"/>
        <v>2317013858.3206067</v>
      </c>
    </row>
    <row r="157" spans="1:34" s="48" customFormat="1" ht="40.5" hidden="1" customHeight="1" x14ac:dyDescent="0.2">
      <c r="A157" s="296"/>
      <c r="B157" s="48" t="s">
        <v>4339</v>
      </c>
      <c r="C157" s="772" t="s">
        <v>4266</v>
      </c>
      <c r="D157" s="73"/>
      <c r="E157" s="65" t="s">
        <v>2670</v>
      </c>
      <c r="F157" s="67" t="s">
        <v>1772</v>
      </c>
      <c r="G157" s="67" t="s">
        <v>39</v>
      </c>
      <c r="H157" s="33" t="s">
        <v>43</v>
      </c>
      <c r="I157" s="40" t="s">
        <v>1753</v>
      </c>
      <c r="J157" s="40" t="s">
        <v>835</v>
      </c>
      <c r="K157" s="40"/>
      <c r="L157" s="72" t="s">
        <v>420</v>
      </c>
      <c r="M157" s="40">
        <v>2009</v>
      </c>
      <c r="N157" s="40" t="s">
        <v>1837</v>
      </c>
      <c r="O157" s="32"/>
      <c r="P157" s="33"/>
      <c r="Q157" s="40"/>
      <c r="R157" s="32" t="s">
        <v>12</v>
      </c>
      <c r="S157" s="252">
        <v>824027928.92159629</v>
      </c>
      <c r="T157" s="105"/>
      <c r="U157" s="206" t="str">
        <f t="shared" si="29"/>
        <v>03.11.01</v>
      </c>
      <c r="V157" s="207" t="str">
        <f t="shared" si="30"/>
        <v>Bangunan Gedung Tempat Kerja</v>
      </c>
      <c r="W157" s="207">
        <f t="shared" si="31"/>
        <v>50</v>
      </c>
      <c r="X157" s="233">
        <f t="shared" si="32"/>
        <v>16480558.378431926</v>
      </c>
      <c r="Y157" s="714">
        <f t="shared" si="33"/>
        <v>4</v>
      </c>
      <c r="Z157" s="233">
        <f t="shared" si="34"/>
        <v>65922233.513727702</v>
      </c>
      <c r="AA157" s="233">
        <f t="shared" si="35"/>
        <v>16480558.378431926</v>
      </c>
      <c r="AB157" s="233">
        <f t="shared" si="36"/>
        <v>16480558.378431926</v>
      </c>
      <c r="AC157" s="233">
        <f t="shared" si="37"/>
        <v>16480558.378431926</v>
      </c>
      <c r="AD157" s="238">
        <f t="shared" si="38"/>
        <v>16480558.378431926</v>
      </c>
      <c r="AE157" s="238">
        <f t="shared" si="39"/>
        <v>16480558.378431926</v>
      </c>
      <c r="AF157" s="238">
        <f t="shared" si="40"/>
        <v>148325025.40588734</v>
      </c>
      <c r="AG157" s="206">
        <f t="shared" si="41"/>
        <v>2009</v>
      </c>
      <c r="AH157" s="210">
        <f t="shared" si="42"/>
        <v>675702903.51570892</v>
      </c>
    </row>
    <row r="158" spans="1:34" s="48" customFormat="1" ht="40.5" hidden="1" customHeight="1" x14ac:dyDescent="0.2">
      <c r="A158" s="296"/>
      <c r="B158" s="48" t="s">
        <v>4338</v>
      </c>
      <c r="C158" s="772"/>
      <c r="D158" s="73"/>
      <c r="E158" s="65" t="s">
        <v>2671</v>
      </c>
      <c r="F158" s="67" t="s">
        <v>2847</v>
      </c>
      <c r="G158" s="67" t="s">
        <v>39</v>
      </c>
      <c r="H158" s="33" t="s">
        <v>43</v>
      </c>
      <c r="I158" s="40" t="s">
        <v>1753</v>
      </c>
      <c r="J158" s="40" t="s">
        <v>835</v>
      </c>
      <c r="K158" s="40"/>
      <c r="L158" s="72" t="s">
        <v>1839</v>
      </c>
      <c r="M158" s="40">
        <v>2009</v>
      </c>
      <c r="N158" s="40" t="s">
        <v>1840</v>
      </c>
      <c r="O158" s="32"/>
      <c r="P158" s="33"/>
      <c r="Q158" s="40"/>
      <c r="R158" s="32" t="s">
        <v>12</v>
      </c>
      <c r="S158" s="252">
        <v>755262054.30549741</v>
      </c>
      <c r="T158" s="105"/>
      <c r="U158" s="206" t="str">
        <f t="shared" si="29"/>
        <v>03.11.01</v>
      </c>
      <c r="V158" s="207" t="str">
        <f t="shared" si="30"/>
        <v>Bangunan Gedung Tempat Kerja</v>
      </c>
      <c r="W158" s="207">
        <f t="shared" si="31"/>
        <v>50</v>
      </c>
      <c r="X158" s="233">
        <f t="shared" si="32"/>
        <v>15105240.886109948</v>
      </c>
      <c r="Y158" s="714">
        <f t="shared" si="33"/>
        <v>4</v>
      </c>
      <c r="Z158" s="233">
        <f t="shared" si="34"/>
        <v>60420963.544439793</v>
      </c>
      <c r="AA158" s="233">
        <f t="shared" si="35"/>
        <v>15105240.886109948</v>
      </c>
      <c r="AB158" s="233">
        <f t="shared" si="36"/>
        <v>15105240.886109948</v>
      </c>
      <c r="AC158" s="233">
        <f t="shared" si="37"/>
        <v>15105240.886109948</v>
      </c>
      <c r="AD158" s="238">
        <f t="shared" si="38"/>
        <v>15105240.886109948</v>
      </c>
      <c r="AE158" s="238">
        <f t="shared" si="39"/>
        <v>15105240.886109948</v>
      </c>
      <c r="AF158" s="238">
        <f t="shared" si="40"/>
        <v>135947167.97498953</v>
      </c>
      <c r="AG158" s="206">
        <f t="shared" si="41"/>
        <v>2009</v>
      </c>
      <c r="AH158" s="210">
        <f t="shared" si="42"/>
        <v>619314886.33050787</v>
      </c>
    </row>
    <row r="159" spans="1:34" s="670" customFormat="1" ht="40.5" hidden="1" customHeight="1" x14ac:dyDescent="0.2">
      <c r="A159" s="669">
        <v>21</v>
      </c>
      <c r="B159" s="670" t="s">
        <v>2990</v>
      </c>
      <c r="C159" s="773" t="s">
        <v>4247</v>
      </c>
      <c r="D159" s="652"/>
      <c r="E159" s="671" t="s">
        <v>2672</v>
      </c>
      <c r="F159" s="653" t="s">
        <v>1772</v>
      </c>
      <c r="G159" s="653" t="s">
        <v>39</v>
      </c>
      <c r="H159" s="673" t="s">
        <v>43</v>
      </c>
      <c r="I159" s="674" t="s">
        <v>1753</v>
      </c>
      <c r="J159" s="674" t="s">
        <v>835</v>
      </c>
      <c r="K159" s="674">
        <v>420</v>
      </c>
      <c r="L159" s="691" t="s">
        <v>425</v>
      </c>
      <c r="M159" s="674">
        <v>2009</v>
      </c>
      <c r="N159" s="674" t="s">
        <v>1842</v>
      </c>
      <c r="O159" s="675"/>
      <c r="P159" s="673"/>
      <c r="Q159" s="674"/>
      <c r="R159" s="675" t="s">
        <v>12</v>
      </c>
      <c r="S159" s="654">
        <f>1522324182.70312</f>
        <v>1522324182.70312</v>
      </c>
      <c r="T159" s="702"/>
      <c r="U159" s="206" t="str">
        <f t="shared" si="29"/>
        <v>03.11.01</v>
      </c>
      <c r="V159" s="207" t="str">
        <f t="shared" si="30"/>
        <v>Bangunan Gedung Tempat Kerja</v>
      </c>
      <c r="W159" s="207">
        <f t="shared" si="31"/>
        <v>50</v>
      </c>
      <c r="X159" s="233">
        <f t="shared" si="32"/>
        <v>30446483.454062399</v>
      </c>
      <c r="Y159" s="714">
        <f t="shared" si="33"/>
        <v>4</v>
      </c>
      <c r="Z159" s="233">
        <f t="shared" si="34"/>
        <v>121785933.81624959</v>
      </c>
      <c r="AA159" s="233">
        <f t="shared" si="35"/>
        <v>30446483.454062399</v>
      </c>
      <c r="AB159" s="233">
        <f t="shared" si="36"/>
        <v>30446483.454062399</v>
      </c>
      <c r="AC159" s="233">
        <f t="shared" si="37"/>
        <v>30446483.454062399</v>
      </c>
      <c r="AD159" s="238">
        <f t="shared" si="38"/>
        <v>30446483.454062399</v>
      </c>
      <c r="AE159" s="238">
        <f t="shared" si="39"/>
        <v>30446483.454062399</v>
      </c>
      <c r="AF159" s="238">
        <f t="shared" si="40"/>
        <v>274018351.08656156</v>
      </c>
      <c r="AG159" s="206">
        <f t="shared" si="41"/>
        <v>2009</v>
      </c>
      <c r="AH159" s="210">
        <f t="shared" si="42"/>
        <v>1248305831.6165586</v>
      </c>
    </row>
    <row r="160" spans="1:34" s="48" customFormat="1" ht="40.5" hidden="1" customHeight="1" x14ac:dyDescent="0.2">
      <c r="A160" s="296">
        <v>21</v>
      </c>
      <c r="B160" s="48" t="s">
        <v>2990</v>
      </c>
      <c r="C160" s="772" t="s">
        <v>4247</v>
      </c>
      <c r="D160" s="73"/>
      <c r="E160" s="65" t="s">
        <v>2684</v>
      </c>
      <c r="F160" s="67" t="s">
        <v>1772</v>
      </c>
      <c r="G160" s="67" t="s">
        <v>39</v>
      </c>
      <c r="H160" s="33" t="s">
        <v>43</v>
      </c>
      <c r="I160" s="40" t="s">
        <v>1753</v>
      </c>
      <c r="J160" s="40" t="s">
        <v>835</v>
      </c>
      <c r="K160" s="40"/>
      <c r="L160" s="72" t="s">
        <v>425</v>
      </c>
      <c r="M160" s="40">
        <v>2011</v>
      </c>
      <c r="N160" s="40" t="s">
        <v>1879</v>
      </c>
      <c r="O160" s="32"/>
      <c r="P160" s="33"/>
      <c r="Q160" s="40"/>
      <c r="R160" s="32" t="s">
        <v>12</v>
      </c>
      <c r="S160" s="555">
        <v>24804481.452986579</v>
      </c>
      <c r="T160" s="105"/>
      <c r="U160" s="206" t="str">
        <f t="shared" si="29"/>
        <v>03.11.01</v>
      </c>
      <c r="V160" s="207" t="str">
        <f t="shared" si="30"/>
        <v>Bangunan Gedung Tempat Kerja</v>
      </c>
      <c r="W160" s="207">
        <f t="shared" si="31"/>
        <v>50</v>
      </c>
      <c r="X160" s="233">
        <f t="shared" si="32"/>
        <v>496089.4290597316</v>
      </c>
      <c r="Y160" s="714">
        <f t="shared" si="33"/>
        <v>2</v>
      </c>
      <c r="Z160" s="233">
        <f t="shared" si="34"/>
        <v>992178.8581194632</v>
      </c>
      <c r="AA160" s="233">
        <f t="shared" si="35"/>
        <v>496089.4290597316</v>
      </c>
      <c r="AB160" s="233">
        <f t="shared" si="36"/>
        <v>496089.4290597316</v>
      </c>
      <c r="AC160" s="233">
        <f t="shared" si="37"/>
        <v>496089.4290597316</v>
      </c>
      <c r="AD160" s="238">
        <f t="shared" si="38"/>
        <v>496089.4290597316</v>
      </c>
      <c r="AE160" s="238">
        <f t="shared" si="39"/>
        <v>496089.4290597316</v>
      </c>
      <c r="AF160" s="238">
        <f t="shared" si="40"/>
        <v>3472626.0034181215</v>
      </c>
      <c r="AG160" s="206">
        <f t="shared" si="41"/>
        <v>2011</v>
      </c>
      <c r="AH160" s="210">
        <f t="shared" si="42"/>
        <v>21331855.449568458</v>
      </c>
    </row>
    <row r="161" spans="1:34" s="48" customFormat="1" ht="40.5" hidden="1" customHeight="1" x14ac:dyDescent="0.2">
      <c r="A161" s="296"/>
      <c r="B161" s="48" t="s">
        <v>4352</v>
      </c>
      <c r="C161" s="772"/>
      <c r="D161" s="73"/>
      <c r="E161" s="65" t="s">
        <v>1014</v>
      </c>
      <c r="F161" s="67" t="s">
        <v>1752</v>
      </c>
      <c r="G161" s="67"/>
      <c r="H161" s="33" t="s">
        <v>43</v>
      </c>
      <c r="I161" s="40" t="s">
        <v>1753</v>
      </c>
      <c r="J161" s="40" t="s">
        <v>835</v>
      </c>
      <c r="K161" s="40"/>
      <c r="L161" s="72" t="s">
        <v>1844</v>
      </c>
      <c r="M161" s="40">
        <v>2009</v>
      </c>
      <c r="N161" s="40"/>
      <c r="O161" s="32"/>
      <c r="P161" s="33"/>
      <c r="Q161" s="40"/>
      <c r="R161" s="32" t="s">
        <v>12</v>
      </c>
      <c r="S161" s="252">
        <v>102500000</v>
      </c>
      <c r="T161" s="105"/>
      <c r="U161" s="206" t="str">
        <f t="shared" si="29"/>
        <v>03.11.01</v>
      </c>
      <c r="V161" s="207" t="str">
        <f t="shared" si="30"/>
        <v>Bangunan Gedung Tempat Kerja</v>
      </c>
      <c r="W161" s="207">
        <f t="shared" si="31"/>
        <v>50</v>
      </c>
      <c r="X161" s="233">
        <f t="shared" si="32"/>
        <v>2049999.8</v>
      </c>
      <c r="Y161" s="714">
        <f t="shared" si="33"/>
        <v>4</v>
      </c>
      <c r="Z161" s="233">
        <f t="shared" si="34"/>
        <v>8199999.2000000002</v>
      </c>
      <c r="AA161" s="233">
        <f t="shared" si="35"/>
        <v>2049999.8</v>
      </c>
      <c r="AB161" s="233">
        <f t="shared" si="36"/>
        <v>2049999.8</v>
      </c>
      <c r="AC161" s="233">
        <f t="shared" si="37"/>
        <v>2049999.8</v>
      </c>
      <c r="AD161" s="238">
        <f t="shared" si="38"/>
        <v>2049999.8</v>
      </c>
      <c r="AE161" s="238">
        <f t="shared" si="39"/>
        <v>2049999.8</v>
      </c>
      <c r="AF161" s="238">
        <f t="shared" si="40"/>
        <v>18449998.200000003</v>
      </c>
      <c r="AG161" s="206">
        <f t="shared" si="41"/>
        <v>2009</v>
      </c>
      <c r="AH161" s="210">
        <f t="shared" si="42"/>
        <v>84050001.799999997</v>
      </c>
    </row>
    <row r="162" spans="1:34" s="48" customFormat="1" ht="40.5" customHeight="1" x14ac:dyDescent="0.2">
      <c r="A162" s="296">
        <v>22</v>
      </c>
      <c r="B162" s="48" t="s">
        <v>3017</v>
      </c>
      <c r="C162" s="772" t="s">
        <v>4246</v>
      </c>
      <c r="D162" s="73"/>
      <c r="E162" s="65" t="s">
        <v>4242</v>
      </c>
      <c r="F162" s="67" t="s">
        <v>1752</v>
      </c>
      <c r="G162" s="404" t="s">
        <v>68</v>
      </c>
      <c r="H162" s="405" t="s">
        <v>43</v>
      </c>
      <c r="I162" s="408" t="s">
        <v>1753</v>
      </c>
      <c r="J162" s="408" t="s">
        <v>835</v>
      </c>
      <c r="K162" s="408">
        <v>400</v>
      </c>
      <c r="L162" s="72" t="s">
        <v>423</v>
      </c>
      <c r="M162" s="40">
        <v>2011</v>
      </c>
      <c r="N162" s="40" t="s">
        <v>1848</v>
      </c>
      <c r="O162" s="32"/>
      <c r="P162" s="33"/>
      <c r="Q162" s="40"/>
      <c r="R162" s="32" t="s">
        <v>12</v>
      </c>
      <c r="S162" s="252">
        <v>462952428.51459199</v>
      </c>
      <c r="T162" s="105"/>
      <c r="U162" s="206" t="str">
        <f t="shared" si="29"/>
        <v>03.11.01</v>
      </c>
      <c r="V162" s="207" t="str">
        <f t="shared" si="30"/>
        <v>Bangunan Gedung Tempat Kerja</v>
      </c>
      <c r="W162" s="207">
        <f t="shared" si="31"/>
        <v>50</v>
      </c>
      <c r="X162" s="233">
        <f t="shared" si="32"/>
        <v>9259048.3702918403</v>
      </c>
      <c r="Y162" s="714">
        <f t="shared" si="33"/>
        <v>2</v>
      </c>
      <c r="Z162" s="233">
        <f t="shared" si="34"/>
        <v>18518096.740583681</v>
      </c>
      <c r="AA162" s="233">
        <f t="shared" si="35"/>
        <v>9259048.3702918403</v>
      </c>
      <c r="AB162" s="233">
        <f t="shared" si="36"/>
        <v>9259048.3702918403</v>
      </c>
      <c r="AC162" s="233">
        <f t="shared" si="37"/>
        <v>9259048.3702918403</v>
      </c>
      <c r="AD162" s="238">
        <f t="shared" si="38"/>
        <v>9259048.3702918403</v>
      </c>
      <c r="AE162" s="238">
        <f t="shared" si="39"/>
        <v>9259048.3702918403</v>
      </c>
      <c r="AF162" s="238">
        <f t="shared" si="40"/>
        <v>64813338.592042893</v>
      </c>
      <c r="AG162" s="206">
        <f t="shared" si="41"/>
        <v>2011</v>
      </c>
      <c r="AH162" s="210">
        <f t="shared" si="42"/>
        <v>398139089.92254913</v>
      </c>
    </row>
    <row r="163" spans="1:34" s="48" customFormat="1" ht="40.5" customHeight="1" x14ac:dyDescent="0.2">
      <c r="A163" s="296">
        <v>22</v>
      </c>
      <c r="B163" s="48" t="s">
        <v>3017</v>
      </c>
      <c r="C163" s="772" t="s">
        <v>4246</v>
      </c>
      <c r="D163" s="73"/>
      <c r="E163" s="65" t="s">
        <v>2706</v>
      </c>
      <c r="F163" s="67" t="s">
        <v>1752</v>
      </c>
      <c r="G163" s="404" t="s">
        <v>1857</v>
      </c>
      <c r="H163" s="405" t="s">
        <v>43</v>
      </c>
      <c r="I163" s="408" t="s">
        <v>1786</v>
      </c>
      <c r="J163" s="408" t="s">
        <v>1934</v>
      </c>
      <c r="K163" s="408"/>
      <c r="L163" s="72" t="s">
        <v>423</v>
      </c>
      <c r="M163" s="40">
        <v>2012</v>
      </c>
      <c r="N163" s="40"/>
      <c r="O163" s="32"/>
      <c r="P163" s="33"/>
      <c r="Q163" s="40"/>
      <c r="R163" s="32" t="s">
        <v>12</v>
      </c>
      <c r="S163" s="252">
        <v>6327300</v>
      </c>
      <c r="T163" s="105"/>
      <c r="U163" s="206" t="str">
        <f t="shared" si="29"/>
        <v>03.11.01</v>
      </c>
      <c r="V163" s="207" t="str">
        <f t="shared" si="30"/>
        <v>Bangunan Gedung Tempat Kerja</v>
      </c>
      <c r="W163" s="207">
        <f t="shared" si="31"/>
        <v>50</v>
      </c>
      <c r="X163" s="233">
        <f t="shared" si="32"/>
        <v>126545.8</v>
      </c>
      <c r="Y163" s="714">
        <f t="shared" si="33"/>
        <v>1</v>
      </c>
      <c r="Z163" s="233">
        <f t="shared" si="34"/>
        <v>126545.8</v>
      </c>
      <c r="AA163" s="233">
        <f t="shared" si="35"/>
        <v>126545.8</v>
      </c>
      <c r="AB163" s="233">
        <f t="shared" si="36"/>
        <v>126545.8</v>
      </c>
      <c r="AC163" s="233">
        <f t="shared" si="37"/>
        <v>126545.8</v>
      </c>
      <c r="AD163" s="238">
        <f t="shared" si="38"/>
        <v>126545.8</v>
      </c>
      <c r="AE163" s="238">
        <f t="shared" si="39"/>
        <v>126545.8</v>
      </c>
      <c r="AF163" s="238">
        <f t="shared" si="40"/>
        <v>759274.8</v>
      </c>
      <c r="AG163" s="206">
        <f t="shared" si="41"/>
        <v>2012</v>
      </c>
      <c r="AH163" s="210">
        <f t="shared" si="42"/>
        <v>5568025.2000000002</v>
      </c>
    </row>
    <row r="164" spans="1:34" s="48" customFormat="1" ht="40.5" customHeight="1" x14ac:dyDescent="0.2">
      <c r="A164" s="296">
        <v>22</v>
      </c>
      <c r="B164" s="48" t="s">
        <v>3017</v>
      </c>
      <c r="C164" s="772" t="s">
        <v>4246</v>
      </c>
      <c r="D164" s="73"/>
      <c r="E164" s="65" t="s">
        <v>2721</v>
      </c>
      <c r="F164" s="67" t="s">
        <v>1752</v>
      </c>
      <c r="G164" s="404"/>
      <c r="H164" s="405" t="s">
        <v>43</v>
      </c>
      <c r="I164" s="408"/>
      <c r="J164" s="408"/>
      <c r="K164" s="408"/>
      <c r="L164" s="72" t="s">
        <v>1990</v>
      </c>
      <c r="M164" s="40">
        <v>2013</v>
      </c>
      <c r="N164" s="40"/>
      <c r="O164" s="32"/>
      <c r="P164" s="33"/>
      <c r="Q164" s="40"/>
      <c r="R164" s="32" t="s">
        <v>12</v>
      </c>
      <c r="S164" s="252">
        <v>36586943.055999883</v>
      </c>
      <c r="T164" s="105"/>
      <c r="U164" s="206" t="str">
        <f t="shared" si="29"/>
        <v>03.11.01</v>
      </c>
      <c r="V164" s="207" t="str">
        <f t="shared" si="30"/>
        <v>Bangunan Gedung Tempat Kerja</v>
      </c>
      <c r="W164" s="207">
        <f t="shared" si="31"/>
        <v>50</v>
      </c>
      <c r="X164" s="233">
        <f t="shared" si="32"/>
        <v>731738.66111999762</v>
      </c>
      <c r="Y164" s="714">
        <f t="shared" si="33"/>
        <v>0</v>
      </c>
      <c r="Z164" s="233">
        <f t="shared" si="34"/>
        <v>0</v>
      </c>
      <c r="AA164" s="233">
        <f t="shared" si="35"/>
        <v>731738.66111999762</v>
      </c>
      <c r="AB164" s="233">
        <f t="shared" si="36"/>
        <v>731738.66111999762</v>
      </c>
      <c r="AC164" s="233">
        <f t="shared" si="37"/>
        <v>731738.66111999762</v>
      </c>
      <c r="AD164" s="238">
        <f t="shared" si="38"/>
        <v>731738.66111999762</v>
      </c>
      <c r="AE164" s="238">
        <f t="shared" si="39"/>
        <v>731738.66111999762</v>
      </c>
      <c r="AF164" s="238">
        <f t="shared" si="40"/>
        <v>3658693.305599988</v>
      </c>
      <c r="AG164" s="206">
        <f t="shared" si="41"/>
        <v>2013</v>
      </c>
      <c r="AH164" s="210">
        <f t="shared" si="42"/>
        <v>32928249.750399895</v>
      </c>
    </row>
    <row r="165" spans="1:34" s="48" customFormat="1" ht="40.5" customHeight="1" x14ac:dyDescent="0.2">
      <c r="A165" s="296">
        <v>23</v>
      </c>
      <c r="B165" s="48" t="s">
        <v>3018</v>
      </c>
      <c r="C165" s="772" t="s">
        <v>4246</v>
      </c>
      <c r="D165" s="73"/>
      <c r="E165" s="65" t="s">
        <v>2674</v>
      </c>
      <c r="F165" s="67" t="s">
        <v>1752</v>
      </c>
      <c r="G165" s="404" t="s">
        <v>1765</v>
      </c>
      <c r="H165" s="405" t="s">
        <v>43</v>
      </c>
      <c r="I165" s="408" t="s">
        <v>1753</v>
      </c>
      <c r="J165" s="408" t="s">
        <v>835</v>
      </c>
      <c r="K165" s="408">
        <v>400</v>
      </c>
      <c r="L165" s="72" t="s">
        <v>429</v>
      </c>
      <c r="M165" s="40">
        <v>2011</v>
      </c>
      <c r="N165" s="40" t="s">
        <v>1850</v>
      </c>
      <c r="O165" s="32"/>
      <c r="P165" s="33"/>
      <c r="Q165" s="40"/>
      <c r="R165" s="32" t="s">
        <v>12</v>
      </c>
      <c r="S165" s="252">
        <v>467879027.63128942</v>
      </c>
      <c r="T165" s="105"/>
      <c r="U165" s="206" t="str">
        <f t="shared" si="29"/>
        <v>03.11.01</v>
      </c>
      <c r="V165" s="207" t="str">
        <f t="shared" si="30"/>
        <v>Bangunan Gedung Tempat Kerja</v>
      </c>
      <c r="W165" s="207">
        <f t="shared" si="31"/>
        <v>50</v>
      </c>
      <c r="X165" s="233">
        <f t="shared" si="32"/>
        <v>9357580.3526257891</v>
      </c>
      <c r="Y165" s="714">
        <f t="shared" si="33"/>
        <v>2</v>
      </c>
      <c r="Z165" s="233">
        <f t="shared" si="34"/>
        <v>18715160.705251578</v>
      </c>
      <c r="AA165" s="233">
        <f t="shared" si="35"/>
        <v>9357580.3526257891</v>
      </c>
      <c r="AB165" s="233">
        <f t="shared" si="36"/>
        <v>9357580.3526257891</v>
      </c>
      <c r="AC165" s="233">
        <f t="shared" si="37"/>
        <v>9357580.3526257891</v>
      </c>
      <c r="AD165" s="238">
        <f t="shared" si="38"/>
        <v>9357580.3526257891</v>
      </c>
      <c r="AE165" s="238">
        <f t="shared" si="39"/>
        <v>9357580.3526257891</v>
      </c>
      <c r="AF165" s="238">
        <f t="shared" si="40"/>
        <v>65503062.468380518</v>
      </c>
      <c r="AG165" s="206">
        <f t="shared" si="41"/>
        <v>2011</v>
      </c>
      <c r="AH165" s="210">
        <f t="shared" si="42"/>
        <v>402375965.16290891</v>
      </c>
    </row>
    <row r="166" spans="1:34" s="48" customFormat="1" ht="40.5" hidden="1" customHeight="1" x14ac:dyDescent="0.2">
      <c r="A166" s="296"/>
      <c r="B166" s="48" t="s">
        <v>4295</v>
      </c>
      <c r="C166" s="772"/>
      <c r="D166" s="73"/>
      <c r="E166" s="65" t="s">
        <v>2675</v>
      </c>
      <c r="F166" s="67" t="s">
        <v>1752</v>
      </c>
      <c r="G166" s="67" t="s">
        <v>1768</v>
      </c>
      <c r="H166" s="33" t="s">
        <v>43</v>
      </c>
      <c r="I166" s="40" t="s">
        <v>1753</v>
      </c>
      <c r="J166" s="40" t="s">
        <v>835</v>
      </c>
      <c r="K166" s="40">
        <v>400</v>
      </c>
      <c r="L166" s="72" t="s">
        <v>1852</v>
      </c>
      <c r="M166" s="40">
        <v>2011</v>
      </c>
      <c r="N166" s="40" t="s">
        <v>1853</v>
      </c>
      <c r="O166" s="32"/>
      <c r="P166" s="33"/>
      <c r="Q166" s="40"/>
      <c r="R166" s="32" t="s">
        <v>12</v>
      </c>
      <c r="S166" s="252">
        <v>352125359.74023843</v>
      </c>
      <c r="T166" s="105"/>
      <c r="U166" s="206" t="str">
        <f t="shared" si="29"/>
        <v>03.11.01</v>
      </c>
      <c r="V166" s="207" t="str">
        <f t="shared" si="30"/>
        <v>Bangunan Gedung Tempat Kerja</v>
      </c>
      <c r="W166" s="207">
        <f t="shared" si="31"/>
        <v>50</v>
      </c>
      <c r="X166" s="233">
        <f t="shared" si="32"/>
        <v>7042506.9948047688</v>
      </c>
      <c r="Y166" s="714">
        <f t="shared" si="33"/>
        <v>2</v>
      </c>
      <c r="Z166" s="233">
        <f t="shared" si="34"/>
        <v>14085013.989609538</v>
      </c>
      <c r="AA166" s="233">
        <f t="shared" si="35"/>
        <v>7042506.9948047688</v>
      </c>
      <c r="AB166" s="233">
        <f t="shared" si="36"/>
        <v>7042506.9948047688</v>
      </c>
      <c r="AC166" s="233">
        <f t="shared" si="37"/>
        <v>7042506.9948047688</v>
      </c>
      <c r="AD166" s="238">
        <f t="shared" si="38"/>
        <v>7042506.9948047688</v>
      </c>
      <c r="AE166" s="238">
        <f t="shared" si="39"/>
        <v>7042506.9948047688</v>
      </c>
      <c r="AF166" s="238">
        <f t="shared" si="40"/>
        <v>49297548.963633381</v>
      </c>
      <c r="AG166" s="206">
        <f t="shared" si="41"/>
        <v>2011</v>
      </c>
      <c r="AH166" s="210">
        <f t="shared" si="42"/>
        <v>302827810.77660507</v>
      </c>
    </row>
    <row r="167" spans="1:34" s="48" customFormat="1" ht="40.5" hidden="1" customHeight="1" x14ac:dyDescent="0.2">
      <c r="A167" s="296"/>
      <c r="B167" s="48" t="s">
        <v>4353</v>
      </c>
      <c r="C167" s="772"/>
      <c r="D167" s="73"/>
      <c r="E167" s="65" t="s">
        <v>2676</v>
      </c>
      <c r="F167" s="67" t="s">
        <v>1752</v>
      </c>
      <c r="G167" s="67" t="s">
        <v>1855</v>
      </c>
      <c r="H167" s="33" t="s">
        <v>43</v>
      </c>
      <c r="I167" s="40" t="s">
        <v>1753</v>
      </c>
      <c r="J167" s="40" t="s">
        <v>835</v>
      </c>
      <c r="K167" s="40" t="s">
        <v>9</v>
      </c>
      <c r="L167" s="72" t="s">
        <v>420</v>
      </c>
      <c r="M167" s="40">
        <v>2011</v>
      </c>
      <c r="N167" s="40"/>
      <c r="O167" s="32"/>
      <c r="P167" s="33"/>
      <c r="Q167" s="40"/>
      <c r="R167" s="32" t="s">
        <v>12</v>
      </c>
      <c r="S167" s="252">
        <v>44841446.885704212</v>
      </c>
      <c r="T167" s="105"/>
      <c r="U167" s="206" t="str">
        <f t="shared" si="29"/>
        <v>03.11.01</v>
      </c>
      <c r="V167" s="207" t="str">
        <f t="shared" si="30"/>
        <v>Bangunan Gedung Tempat Kerja</v>
      </c>
      <c r="W167" s="207">
        <f t="shared" si="31"/>
        <v>50</v>
      </c>
      <c r="X167" s="233">
        <f t="shared" si="32"/>
        <v>896828.73771408421</v>
      </c>
      <c r="Y167" s="714">
        <f t="shared" si="33"/>
        <v>2</v>
      </c>
      <c r="Z167" s="233">
        <f t="shared" si="34"/>
        <v>1793657.4754281684</v>
      </c>
      <c r="AA167" s="233">
        <f t="shared" si="35"/>
        <v>896828.73771408421</v>
      </c>
      <c r="AB167" s="233">
        <f t="shared" si="36"/>
        <v>896828.73771408421</v>
      </c>
      <c r="AC167" s="233">
        <f t="shared" si="37"/>
        <v>896828.73771408421</v>
      </c>
      <c r="AD167" s="238">
        <f t="shared" si="38"/>
        <v>896828.73771408421</v>
      </c>
      <c r="AE167" s="238">
        <f t="shared" si="39"/>
        <v>896828.73771408421</v>
      </c>
      <c r="AF167" s="238">
        <f t="shared" si="40"/>
        <v>6277801.1639985889</v>
      </c>
      <c r="AG167" s="206">
        <f t="shared" si="41"/>
        <v>2011</v>
      </c>
      <c r="AH167" s="210">
        <f t="shared" si="42"/>
        <v>38563645.721705623</v>
      </c>
    </row>
    <row r="168" spans="1:34" s="48" customFormat="1" ht="40.5" hidden="1" customHeight="1" x14ac:dyDescent="0.2">
      <c r="A168" s="296"/>
      <c r="B168" s="48" t="s">
        <v>4743</v>
      </c>
      <c r="C168" s="772"/>
      <c r="D168" s="73"/>
      <c r="E168" s="65" t="s">
        <v>2677</v>
      </c>
      <c r="F168" s="67" t="s">
        <v>1752</v>
      </c>
      <c r="G168" s="67" t="s">
        <v>1857</v>
      </c>
      <c r="H168" s="33" t="s">
        <v>43</v>
      </c>
      <c r="I168" s="40" t="s">
        <v>1753</v>
      </c>
      <c r="J168" s="40" t="s">
        <v>835</v>
      </c>
      <c r="K168" s="40">
        <v>1139</v>
      </c>
      <c r="L168" s="72" t="s">
        <v>1858</v>
      </c>
      <c r="M168" s="40">
        <v>2011</v>
      </c>
      <c r="N168" s="40" t="s">
        <v>1859</v>
      </c>
      <c r="O168" s="32"/>
      <c r="P168" s="33"/>
      <c r="Q168" s="40"/>
      <c r="R168" s="32" t="s">
        <v>12</v>
      </c>
      <c r="S168" s="252">
        <v>204084502.48363465</v>
      </c>
      <c r="T168" s="105"/>
      <c r="U168" s="206" t="str">
        <f t="shared" si="29"/>
        <v>03.11.01</v>
      </c>
      <c r="V168" s="207" t="str">
        <f t="shared" si="30"/>
        <v>Bangunan Gedung Tempat Kerja</v>
      </c>
      <c r="W168" s="207">
        <f t="shared" si="31"/>
        <v>50</v>
      </c>
      <c r="X168" s="233">
        <f t="shared" si="32"/>
        <v>4081689.8496726928</v>
      </c>
      <c r="Y168" s="714">
        <f t="shared" si="33"/>
        <v>2</v>
      </c>
      <c r="Z168" s="233">
        <f t="shared" si="34"/>
        <v>8163379.6993453857</v>
      </c>
      <c r="AA168" s="233">
        <f t="shared" si="35"/>
        <v>4081689.8496726928</v>
      </c>
      <c r="AB168" s="233">
        <f t="shared" si="36"/>
        <v>4081689.8496726928</v>
      </c>
      <c r="AC168" s="233">
        <f t="shared" si="37"/>
        <v>4081689.8496726928</v>
      </c>
      <c r="AD168" s="238">
        <f t="shared" si="38"/>
        <v>4081689.8496726928</v>
      </c>
      <c r="AE168" s="238">
        <f t="shared" si="39"/>
        <v>4081689.8496726928</v>
      </c>
      <c r="AF168" s="238">
        <f t="shared" si="40"/>
        <v>28571828.947708853</v>
      </c>
      <c r="AG168" s="206">
        <f t="shared" si="41"/>
        <v>2011</v>
      </c>
      <c r="AH168" s="210">
        <f t="shared" si="42"/>
        <v>175512673.53592581</v>
      </c>
    </row>
    <row r="169" spans="1:34" s="48" customFormat="1" ht="40.5" customHeight="1" x14ac:dyDescent="0.2">
      <c r="A169" s="296">
        <v>24</v>
      </c>
      <c r="B169" s="48" t="s">
        <v>3011</v>
      </c>
      <c r="C169" s="772" t="s">
        <v>4246</v>
      </c>
      <c r="D169" s="73"/>
      <c r="E169" s="65" t="s">
        <v>2678</v>
      </c>
      <c r="F169" s="67" t="s">
        <v>1752</v>
      </c>
      <c r="G169" s="404" t="s">
        <v>1861</v>
      </c>
      <c r="H169" s="405" t="s">
        <v>43</v>
      </c>
      <c r="I169" s="408" t="s">
        <v>1753</v>
      </c>
      <c r="J169" s="408" t="s">
        <v>835</v>
      </c>
      <c r="K169" s="408" t="s">
        <v>9</v>
      </c>
      <c r="L169" s="72" t="s">
        <v>417</v>
      </c>
      <c r="M169" s="40">
        <v>2011</v>
      </c>
      <c r="N169" s="40" t="s">
        <v>1862</v>
      </c>
      <c r="O169" s="32"/>
      <c r="P169" s="33"/>
      <c r="Q169" s="40"/>
      <c r="R169" s="32" t="s">
        <v>12</v>
      </c>
      <c r="S169" s="252">
        <v>597829835.18074048</v>
      </c>
      <c r="T169" s="105"/>
      <c r="U169" s="206" t="str">
        <f t="shared" si="29"/>
        <v>03.11.01</v>
      </c>
      <c r="V169" s="207" t="str">
        <f t="shared" si="30"/>
        <v>Bangunan Gedung Tempat Kerja</v>
      </c>
      <c r="W169" s="207">
        <f t="shared" si="31"/>
        <v>50</v>
      </c>
      <c r="X169" s="233">
        <f t="shared" si="32"/>
        <v>11956596.503614809</v>
      </c>
      <c r="Y169" s="714">
        <f t="shared" si="33"/>
        <v>2</v>
      </c>
      <c r="Z169" s="233">
        <f t="shared" si="34"/>
        <v>23913193.007229619</v>
      </c>
      <c r="AA169" s="233">
        <f t="shared" si="35"/>
        <v>11956596.503614809</v>
      </c>
      <c r="AB169" s="233">
        <f t="shared" si="36"/>
        <v>11956596.503614809</v>
      </c>
      <c r="AC169" s="233">
        <f t="shared" si="37"/>
        <v>11956596.503614809</v>
      </c>
      <c r="AD169" s="238">
        <f t="shared" si="38"/>
        <v>11956596.503614809</v>
      </c>
      <c r="AE169" s="238">
        <f t="shared" si="39"/>
        <v>11956596.503614809</v>
      </c>
      <c r="AF169" s="238">
        <f t="shared" si="40"/>
        <v>83696175.525303677</v>
      </c>
      <c r="AG169" s="206">
        <f t="shared" si="41"/>
        <v>2011</v>
      </c>
      <c r="AH169" s="210">
        <f t="shared" si="42"/>
        <v>514133659.65543681</v>
      </c>
    </row>
    <row r="170" spans="1:34" s="48" customFormat="1" ht="40.5" customHeight="1" x14ac:dyDescent="0.2">
      <c r="A170" s="296">
        <v>24</v>
      </c>
      <c r="B170" s="48" t="s">
        <v>3011</v>
      </c>
      <c r="C170" s="772" t="s">
        <v>4246</v>
      </c>
      <c r="D170" s="73"/>
      <c r="E170" s="65" t="s">
        <v>2707</v>
      </c>
      <c r="F170" s="67" t="s">
        <v>1752</v>
      </c>
      <c r="G170" s="404" t="s">
        <v>1861</v>
      </c>
      <c r="H170" s="405" t="s">
        <v>43</v>
      </c>
      <c r="I170" s="408" t="s">
        <v>1786</v>
      </c>
      <c r="J170" s="408" t="s">
        <v>1934</v>
      </c>
      <c r="K170" s="408"/>
      <c r="L170" s="72" t="s">
        <v>417</v>
      </c>
      <c r="M170" s="40">
        <v>2012</v>
      </c>
      <c r="N170" s="40"/>
      <c r="O170" s="32"/>
      <c r="P170" s="33"/>
      <c r="Q170" s="40"/>
      <c r="R170" s="32" t="s">
        <v>12</v>
      </c>
      <c r="S170" s="252">
        <v>6335100</v>
      </c>
      <c r="T170" s="105"/>
      <c r="U170" s="206" t="str">
        <f t="shared" si="29"/>
        <v>03.11.01</v>
      </c>
      <c r="V170" s="207" t="str">
        <f t="shared" si="30"/>
        <v>Bangunan Gedung Tempat Kerja</v>
      </c>
      <c r="W170" s="207">
        <f t="shared" si="31"/>
        <v>50</v>
      </c>
      <c r="X170" s="233">
        <f t="shared" si="32"/>
        <v>126701.8</v>
      </c>
      <c r="Y170" s="714">
        <f t="shared" si="33"/>
        <v>1</v>
      </c>
      <c r="Z170" s="233">
        <f t="shared" si="34"/>
        <v>126701.8</v>
      </c>
      <c r="AA170" s="233">
        <f t="shared" si="35"/>
        <v>126701.8</v>
      </c>
      <c r="AB170" s="233">
        <f t="shared" si="36"/>
        <v>126701.8</v>
      </c>
      <c r="AC170" s="233">
        <f t="shared" si="37"/>
        <v>126701.8</v>
      </c>
      <c r="AD170" s="238">
        <f t="shared" si="38"/>
        <v>126701.8</v>
      </c>
      <c r="AE170" s="238">
        <f t="shared" si="39"/>
        <v>126701.8</v>
      </c>
      <c r="AF170" s="238">
        <f t="shared" si="40"/>
        <v>760210.8</v>
      </c>
      <c r="AG170" s="206">
        <f t="shared" si="41"/>
        <v>2012</v>
      </c>
      <c r="AH170" s="210">
        <f t="shared" si="42"/>
        <v>5574889.2000000002</v>
      </c>
    </row>
    <row r="171" spans="1:34" s="48" customFormat="1" ht="40.5" customHeight="1" x14ac:dyDescent="0.2">
      <c r="A171" s="296">
        <v>24</v>
      </c>
      <c r="B171" s="48" t="s">
        <v>3011</v>
      </c>
      <c r="C171" s="772" t="s">
        <v>4246</v>
      </c>
      <c r="D171" s="73"/>
      <c r="E171" s="65" t="s">
        <v>2722</v>
      </c>
      <c r="F171" s="67" t="s">
        <v>1752</v>
      </c>
      <c r="G171" s="404"/>
      <c r="H171" s="405" t="s">
        <v>43</v>
      </c>
      <c r="I171" s="408"/>
      <c r="J171" s="408"/>
      <c r="K171" s="408"/>
      <c r="L171" s="72" t="s">
        <v>417</v>
      </c>
      <c r="M171" s="40">
        <v>2013</v>
      </c>
      <c r="N171" s="40"/>
      <c r="O171" s="32"/>
      <c r="P171" s="33"/>
      <c r="Q171" s="40"/>
      <c r="R171" s="32" t="s">
        <v>12</v>
      </c>
      <c r="S171" s="252">
        <v>36632045.731048763</v>
      </c>
      <c r="T171" s="105"/>
      <c r="U171" s="206" t="str">
        <f t="shared" si="29"/>
        <v>03.11.01</v>
      </c>
      <c r="V171" s="207" t="str">
        <f t="shared" si="30"/>
        <v>Bangunan Gedung Tempat Kerja</v>
      </c>
      <c r="W171" s="207">
        <f t="shared" si="31"/>
        <v>50</v>
      </c>
      <c r="X171" s="233">
        <f t="shared" si="32"/>
        <v>732640.71462097531</v>
      </c>
      <c r="Y171" s="714">
        <f t="shared" si="33"/>
        <v>0</v>
      </c>
      <c r="Z171" s="233">
        <f t="shared" si="34"/>
        <v>0</v>
      </c>
      <c r="AA171" s="233">
        <f t="shared" si="35"/>
        <v>732640.71462097531</v>
      </c>
      <c r="AB171" s="233">
        <f t="shared" si="36"/>
        <v>732640.71462097531</v>
      </c>
      <c r="AC171" s="233">
        <f t="shared" si="37"/>
        <v>732640.71462097531</v>
      </c>
      <c r="AD171" s="238">
        <f t="shared" si="38"/>
        <v>732640.71462097531</v>
      </c>
      <c r="AE171" s="238">
        <f t="shared" si="39"/>
        <v>732640.71462097531</v>
      </c>
      <c r="AF171" s="238">
        <f t="shared" si="40"/>
        <v>3663203.5731048766</v>
      </c>
      <c r="AG171" s="206">
        <f t="shared" si="41"/>
        <v>2013</v>
      </c>
      <c r="AH171" s="210">
        <f t="shared" si="42"/>
        <v>32968842.157943886</v>
      </c>
    </row>
    <row r="172" spans="1:34" s="48" customFormat="1" ht="40.5" customHeight="1" x14ac:dyDescent="0.2">
      <c r="A172" s="296">
        <v>24</v>
      </c>
      <c r="B172" s="48" t="s">
        <v>3011</v>
      </c>
      <c r="C172" s="772" t="s">
        <v>4246</v>
      </c>
      <c r="D172" s="73"/>
      <c r="E172" s="65" t="s">
        <v>2756</v>
      </c>
      <c r="F172" s="67" t="s">
        <v>1752</v>
      </c>
      <c r="G172" s="404" t="s">
        <v>2086</v>
      </c>
      <c r="H172" s="405" t="s">
        <v>43</v>
      </c>
      <c r="I172" s="408" t="s">
        <v>1786</v>
      </c>
      <c r="J172" s="408" t="s">
        <v>1934</v>
      </c>
      <c r="K172" s="408"/>
      <c r="L172" s="72" t="s">
        <v>417</v>
      </c>
      <c r="M172" s="40">
        <v>2013</v>
      </c>
      <c r="N172" s="40" t="s">
        <v>2087</v>
      </c>
      <c r="O172" s="32"/>
      <c r="P172" s="33"/>
      <c r="Q172" s="40"/>
      <c r="R172" s="32" t="s">
        <v>12</v>
      </c>
      <c r="S172" s="252">
        <v>426541000</v>
      </c>
      <c r="T172" s="105"/>
      <c r="U172" s="206" t="str">
        <f t="shared" si="29"/>
        <v>03.11.01</v>
      </c>
      <c r="V172" s="207" t="str">
        <f t="shared" si="30"/>
        <v>Bangunan Gedung Tempat Kerja</v>
      </c>
      <c r="W172" s="207">
        <f t="shared" si="31"/>
        <v>50</v>
      </c>
      <c r="X172" s="233">
        <f t="shared" si="32"/>
        <v>8530819.8000000007</v>
      </c>
      <c r="Y172" s="714">
        <f t="shared" si="33"/>
        <v>0</v>
      </c>
      <c r="Z172" s="233">
        <f t="shared" si="34"/>
        <v>0</v>
      </c>
      <c r="AA172" s="233">
        <f t="shared" si="35"/>
        <v>8530819.8000000007</v>
      </c>
      <c r="AB172" s="233">
        <f t="shared" si="36"/>
        <v>8530819.8000000007</v>
      </c>
      <c r="AC172" s="233">
        <f t="shared" si="37"/>
        <v>8530819.8000000007</v>
      </c>
      <c r="AD172" s="238">
        <f t="shared" si="38"/>
        <v>8530819.8000000007</v>
      </c>
      <c r="AE172" s="238">
        <f t="shared" si="39"/>
        <v>8530819.8000000007</v>
      </c>
      <c r="AF172" s="238">
        <f t="shared" si="40"/>
        <v>42654099</v>
      </c>
      <c r="AG172" s="206">
        <f t="shared" si="41"/>
        <v>2013</v>
      </c>
      <c r="AH172" s="210">
        <f t="shared" si="42"/>
        <v>383886901</v>
      </c>
    </row>
    <row r="173" spans="1:34" s="48" customFormat="1" ht="40.5" hidden="1" customHeight="1" x14ac:dyDescent="0.2">
      <c r="A173" s="296"/>
      <c r="B173" s="48" t="s">
        <v>4342</v>
      </c>
      <c r="C173" s="772"/>
      <c r="D173" s="73"/>
      <c r="E173" s="65" t="s">
        <v>2680</v>
      </c>
      <c r="F173" s="67" t="s">
        <v>1867</v>
      </c>
      <c r="G173" s="67" t="s">
        <v>39</v>
      </c>
      <c r="H173" s="33" t="s">
        <v>43</v>
      </c>
      <c r="I173" s="40" t="s">
        <v>1753</v>
      </c>
      <c r="J173" s="40" t="s">
        <v>835</v>
      </c>
      <c r="K173" s="40"/>
      <c r="L173" s="72" t="s">
        <v>420</v>
      </c>
      <c r="M173" s="40">
        <v>2011</v>
      </c>
      <c r="N173" s="40" t="s">
        <v>1868</v>
      </c>
      <c r="O173" s="32"/>
      <c r="P173" s="33"/>
      <c r="Q173" s="40"/>
      <c r="R173" s="32" t="s">
        <v>12</v>
      </c>
      <c r="S173" s="252">
        <v>295881353.59703356</v>
      </c>
      <c r="T173" s="105"/>
      <c r="U173" s="206" t="str">
        <f t="shared" si="29"/>
        <v>03.12.02</v>
      </c>
      <c r="V173" s="207" t="str">
        <f t="shared" si="30"/>
        <v>Bangunan Bersejarah</v>
      </c>
      <c r="W173" s="207">
        <f t="shared" si="31"/>
        <v>50</v>
      </c>
      <c r="X173" s="233">
        <f t="shared" si="32"/>
        <v>5917626.8719406715</v>
      </c>
      <c r="Y173" s="714">
        <f t="shared" si="33"/>
        <v>2</v>
      </c>
      <c r="Z173" s="233">
        <f t="shared" si="34"/>
        <v>11835253.743881343</v>
      </c>
      <c r="AA173" s="233">
        <f t="shared" si="35"/>
        <v>5917626.8719406715</v>
      </c>
      <c r="AB173" s="233">
        <f t="shared" si="36"/>
        <v>5917626.8719406715</v>
      </c>
      <c r="AC173" s="233">
        <f t="shared" si="37"/>
        <v>5917626.8719406715</v>
      </c>
      <c r="AD173" s="238">
        <f t="shared" si="38"/>
        <v>5917626.8719406715</v>
      </c>
      <c r="AE173" s="238">
        <f t="shared" si="39"/>
        <v>5917626.8719406715</v>
      </c>
      <c r="AF173" s="238">
        <f t="shared" si="40"/>
        <v>41423388.103584699</v>
      </c>
      <c r="AG173" s="206">
        <f t="shared" si="41"/>
        <v>2011</v>
      </c>
      <c r="AH173" s="210">
        <f t="shared" si="42"/>
        <v>254457965.49344885</v>
      </c>
    </row>
    <row r="174" spans="1:34" s="48" customFormat="1" ht="40.5" hidden="1" customHeight="1" x14ac:dyDescent="0.2">
      <c r="A174" s="296"/>
      <c r="B174" s="48" t="s">
        <v>4298</v>
      </c>
      <c r="C174" s="772"/>
      <c r="D174" s="73"/>
      <c r="E174" s="65" t="s">
        <v>2681</v>
      </c>
      <c r="F174" s="67" t="s">
        <v>1752</v>
      </c>
      <c r="G174" s="67" t="s">
        <v>1870</v>
      </c>
      <c r="H174" s="33" t="s">
        <v>43</v>
      </c>
      <c r="I174" s="40" t="s">
        <v>1753</v>
      </c>
      <c r="J174" s="40" t="s">
        <v>835</v>
      </c>
      <c r="K174" s="40"/>
      <c r="L174" s="72" t="s">
        <v>1871</v>
      </c>
      <c r="M174" s="40">
        <v>2011</v>
      </c>
      <c r="N174" s="40" t="s">
        <v>1872</v>
      </c>
      <c r="O174" s="32"/>
      <c r="P174" s="33"/>
      <c r="Q174" s="40"/>
      <c r="R174" s="32" t="s">
        <v>12</v>
      </c>
      <c r="S174" s="252">
        <v>370753609.40306878</v>
      </c>
      <c r="T174" s="105"/>
      <c r="U174" s="206" t="str">
        <f t="shared" si="29"/>
        <v>03.11.01</v>
      </c>
      <c r="V174" s="207" t="str">
        <f t="shared" si="30"/>
        <v>Bangunan Gedung Tempat Kerja</v>
      </c>
      <c r="W174" s="207">
        <f t="shared" si="31"/>
        <v>50</v>
      </c>
      <c r="X174" s="233">
        <f t="shared" si="32"/>
        <v>7415071.9880613759</v>
      </c>
      <c r="Y174" s="714">
        <f t="shared" si="33"/>
        <v>2</v>
      </c>
      <c r="Z174" s="233">
        <f t="shared" si="34"/>
        <v>14830143.976122752</v>
      </c>
      <c r="AA174" s="233">
        <f t="shared" si="35"/>
        <v>7415071.9880613759</v>
      </c>
      <c r="AB174" s="233">
        <f t="shared" si="36"/>
        <v>7415071.9880613759</v>
      </c>
      <c r="AC174" s="233">
        <f t="shared" si="37"/>
        <v>7415071.9880613759</v>
      </c>
      <c r="AD174" s="238">
        <f t="shared" si="38"/>
        <v>7415071.9880613759</v>
      </c>
      <c r="AE174" s="238">
        <f t="shared" si="39"/>
        <v>7415071.9880613759</v>
      </c>
      <c r="AF174" s="238">
        <f t="shared" si="40"/>
        <v>51905503.916429631</v>
      </c>
      <c r="AG174" s="206">
        <f t="shared" si="41"/>
        <v>2011</v>
      </c>
      <c r="AH174" s="210">
        <f t="shared" si="42"/>
        <v>318848105.48663914</v>
      </c>
    </row>
    <row r="175" spans="1:34" s="48" customFormat="1" ht="40.5" hidden="1" customHeight="1" x14ac:dyDescent="0.2">
      <c r="A175" s="296"/>
      <c r="B175" s="48" t="s">
        <v>4355</v>
      </c>
      <c r="C175" s="772" t="s">
        <v>4266</v>
      </c>
      <c r="D175" s="73"/>
      <c r="E175" s="65" t="s">
        <v>2685</v>
      </c>
      <c r="F175" s="67" t="s">
        <v>1881</v>
      </c>
      <c r="G175" s="67" t="s">
        <v>39</v>
      </c>
      <c r="H175" s="33" t="s">
        <v>43</v>
      </c>
      <c r="I175" s="40"/>
      <c r="J175" s="40" t="s">
        <v>835</v>
      </c>
      <c r="K175" s="40"/>
      <c r="L175" s="72" t="s">
        <v>420</v>
      </c>
      <c r="M175" s="40">
        <v>2011</v>
      </c>
      <c r="N175" s="40" t="s">
        <v>1882</v>
      </c>
      <c r="O175" s="32"/>
      <c r="P175" s="33"/>
      <c r="Q175" s="40"/>
      <c r="R175" s="32" t="s">
        <v>12</v>
      </c>
      <c r="S175" s="252">
        <v>445621061.3068198</v>
      </c>
      <c r="T175" s="105"/>
      <c r="U175" s="206" t="str">
        <f t="shared" si="29"/>
        <v>03.11.02</v>
      </c>
      <c r="V175" s="207" t="str">
        <f t="shared" si="30"/>
        <v>Bangunan Gedung Tempat Tinggal</v>
      </c>
      <c r="W175" s="207">
        <f t="shared" si="31"/>
        <v>50</v>
      </c>
      <c r="X175" s="233">
        <f t="shared" si="32"/>
        <v>8912421.0261363965</v>
      </c>
      <c r="Y175" s="714">
        <f t="shared" si="33"/>
        <v>2</v>
      </c>
      <c r="Z175" s="233">
        <f t="shared" si="34"/>
        <v>17824842.052272793</v>
      </c>
      <c r="AA175" s="233">
        <f t="shared" si="35"/>
        <v>8912421.0261363965</v>
      </c>
      <c r="AB175" s="233">
        <f t="shared" si="36"/>
        <v>8912421.0261363965</v>
      </c>
      <c r="AC175" s="233">
        <f t="shared" si="37"/>
        <v>8912421.0261363965</v>
      </c>
      <c r="AD175" s="238">
        <f t="shared" si="38"/>
        <v>8912421.0261363965</v>
      </c>
      <c r="AE175" s="238">
        <f t="shared" si="39"/>
        <v>8912421.0261363965</v>
      </c>
      <c r="AF175" s="238">
        <f t="shared" si="40"/>
        <v>62386947.182954781</v>
      </c>
      <c r="AG175" s="206">
        <f t="shared" si="41"/>
        <v>2011</v>
      </c>
      <c r="AH175" s="210">
        <f t="shared" si="42"/>
        <v>383234114.12386501</v>
      </c>
    </row>
    <row r="176" spans="1:34" s="48" customFormat="1" ht="40.5" hidden="1" customHeight="1" x14ac:dyDescent="0.2">
      <c r="A176" s="296"/>
      <c r="B176" s="48" t="s">
        <v>4354</v>
      </c>
      <c r="C176" s="772" t="s">
        <v>4266</v>
      </c>
      <c r="D176" s="73"/>
      <c r="E176" s="65" t="s">
        <v>2686</v>
      </c>
      <c r="F176" s="67" t="s">
        <v>1884</v>
      </c>
      <c r="G176" s="67" t="s">
        <v>39</v>
      </c>
      <c r="H176" s="33" t="s">
        <v>43</v>
      </c>
      <c r="I176" s="40" t="s">
        <v>1753</v>
      </c>
      <c r="J176" s="40" t="s">
        <v>835</v>
      </c>
      <c r="K176" s="40"/>
      <c r="L176" s="72" t="s">
        <v>420</v>
      </c>
      <c r="M176" s="40">
        <v>2011</v>
      </c>
      <c r="N176" s="40" t="s">
        <v>1885</v>
      </c>
      <c r="O176" s="32"/>
      <c r="P176" s="33"/>
      <c r="Q176" s="40"/>
      <c r="R176" s="32" t="s">
        <v>12</v>
      </c>
      <c r="S176" s="252">
        <v>108853060.37847494</v>
      </c>
      <c r="T176" s="105"/>
      <c r="U176" s="206" t="str">
        <f t="shared" si="29"/>
        <v>03.11.02</v>
      </c>
      <c r="V176" s="207" t="str">
        <f t="shared" si="30"/>
        <v>Bangunan Gedung Tempat Tinggal</v>
      </c>
      <c r="W176" s="207">
        <f t="shared" si="31"/>
        <v>50</v>
      </c>
      <c r="X176" s="233">
        <f t="shared" si="32"/>
        <v>2177061.0075694988</v>
      </c>
      <c r="Y176" s="714">
        <f t="shared" si="33"/>
        <v>2</v>
      </c>
      <c r="Z176" s="233">
        <f t="shared" si="34"/>
        <v>4354122.0151389977</v>
      </c>
      <c r="AA176" s="233">
        <f t="shared" si="35"/>
        <v>2177061.0075694988</v>
      </c>
      <c r="AB176" s="233">
        <f t="shared" si="36"/>
        <v>2177061.0075694988</v>
      </c>
      <c r="AC176" s="233">
        <f t="shared" si="37"/>
        <v>2177061.0075694988</v>
      </c>
      <c r="AD176" s="238">
        <f t="shared" si="38"/>
        <v>2177061.0075694988</v>
      </c>
      <c r="AE176" s="238">
        <f t="shared" si="39"/>
        <v>2177061.0075694988</v>
      </c>
      <c r="AF176" s="238">
        <f t="shared" si="40"/>
        <v>15239427.052986493</v>
      </c>
      <c r="AG176" s="206">
        <f t="shared" si="41"/>
        <v>2011</v>
      </c>
      <c r="AH176" s="210">
        <f t="shared" si="42"/>
        <v>93613633.325488448</v>
      </c>
    </row>
    <row r="177" spans="1:34" s="48" customFormat="1" ht="40.5" hidden="1" customHeight="1" x14ac:dyDescent="0.2">
      <c r="A177" s="296"/>
      <c r="B177" s="48" t="s">
        <v>4296</v>
      </c>
      <c r="C177" s="772"/>
      <c r="D177" s="73"/>
      <c r="E177" s="65" t="s">
        <v>2687</v>
      </c>
      <c r="F177" s="67" t="s">
        <v>1887</v>
      </c>
      <c r="G177" s="67" t="s">
        <v>1888</v>
      </c>
      <c r="H177" s="33" t="s">
        <v>43</v>
      </c>
      <c r="I177" s="40" t="s">
        <v>1753</v>
      </c>
      <c r="J177" s="40" t="s">
        <v>835</v>
      </c>
      <c r="K177" s="40">
        <v>120</v>
      </c>
      <c r="L177" s="72" t="s">
        <v>1889</v>
      </c>
      <c r="M177" s="40">
        <v>2011</v>
      </c>
      <c r="N177" s="40" t="s">
        <v>1890</v>
      </c>
      <c r="O177" s="32"/>
      <c r="P177" s="33"/>
      <c r="Q177" s="40"/>
      <c r="R177" s="32" t="s">
        <v>12</v>
      </c>
      <c r="S177" s="252">
        <v>358193812.42158926</v>
      </c>
      <c r="T177" s="105"/>
      <c r="U177" s="206" t="str">
        <f t="shared" si="29"/>
        <v>03.11.01</v>
      </c>
      <c r="V177" s="207" t="str">
        <f t="shared" si="30"/>
        <v>Bangunan Gedung Tempat Kerja</v>
      </c>
      <c r="W177" s="207">
        <f t="shared" si="31"/>
        <v>50</v>
      </c>
      <c r="X177" s="233">
        <f t="shared" si="32"/>
        <v>7163876.0484317848</v>
      </c>
      <c r="Y177" s="714">
        <f t="shared" si="33"/>
        <v>2</v>
      </c>
      <c r="Z177" s="233">
        <f t="shared" si="34"/>
        <v>14327752.09686357</v>
      </c>
      <c r="AA177" s="233">
        <f t="shared" si="35"/>
        <v>7163876.0484317848</v>
      </c>
      <c r="AB177" s="233">
        <f t="shared" si="36"/>
        <v>7163876.0484317848</v>
      </c>
      <c r="AC177" s="233">
        <f t="shared" si="37"/>
        <v>7163876.0484317848</v>
      </c>
      <c r="AD177" s="238">
        <f t="shared" si="38"/>
        <v>7163876.0484317848</v>
      </c>
      <c r="AE177" s="238">
        <f t="shared" si="39"/>
        <v>7163876.0484317848</v>
      </c>
      <c r="AF177" s="238">
        <f t="shared" si="40"/>
        <v>50147132.339022495</v>
      </c>
      <c r="AG177" s="206">
        <f t="shared" si="41"/>
        <v>2011</v>
      </c>
      <c r="AH177" s="210">
        <f t="shared" si="42"/>
        <v>308046680.08256674</v>
      </c>
    </row>
    <row r="178" spans="1:34" s="48" customFormat="1" ht="40.5" hidden="1" customHeight="1" x14ac:dyDescent="0.2">
      <c r="A178" s="296"/>
      <c r="B178" s="48" t="s">
        <v>4286</v>
      </c>
      <c r="C178" s="772"/>
      <c r="D178" s="73"/>
      <c r="E178" s="65" t="s">
        <v>2689</v>
      </c>
      <c r="F178" s="67" t="s">
        <v>1887</v>
      </c>
      <c r="G178" s="67" t="s">
        <v>1895</v>
      </c>
      <c r="H178" s="33" t="s">
        <v>43</v>
      </c>
      <c r="I178" s="40" t="s">
        <v>1753</v>
      </c>
      <c r="J178" s="40" t="s">
        <v>835</v>
      </c>
      <c r="K178" s="40">
        <v>120</v>
      </c>
      <c r="L178" s="72" t="s">
        <v>1896</v>
      </c>
      <c r="M178" s="40">
        <v>2011</v>
      </c>
      <c r="N178" s="40" t="s">
        <v>1897</v>
      </c>
      <c r="O178" s="32"/>
      <c r="P178" s="33"/>
      <c r="Q178" s="40"/>
      <c r="R178" s="32" t="s">
        <v>12</v>
      </c>
      <c r="S178" s="252">
        <v>364814419.24170172</v>
      </c>
      <c r="T178" s="105"/>
      <c r="U178" s="206" t="str">
        <f t="shared" si="29"/>
        <v>03.11.01</v>
      </c>
      <c r="V178" s="207" t="str">
        <f t="shared" si="30"/>
        <v>Bangunan Gedung Tempat Kerja</v>
      </c>
      <c r="W178" s="207">
        <f t="shared" si="31"/>
        <v>50</v>
      </c>
      <c r="X178" s="233">
        <f t="shared" si="32"/>
        <v>7296288.1848340342</v>
      </c>
      <c r="Y178" s="714">
        <f t="shared" si="33"/>
        <v>2</v>
      </c>
      <c r="Z178" s="233">
        <f t="shared" si="34"/>
        <v>14592576.369668068</v>
      </c>
      <c r="AA178" s="233">
        <f t="shared" si="35"/>
        <v>7296288.1848340342</v>
      </c>
      <c r="AB178" s="233">
        <f t="shared" si="36"/>
        <v>7296288.1848340342</v>
      </c>
      <c r="AC178" s="233">
        <f t="shared" si="37"/>
        <v>7296288.1848340342</v>
      </c>
      <c r="AD178" s="238">
        <f t="shared" si="38"/>
        <v>7296288.1848340342</v>
      </c>
      <c r="AE178" s="238">
        <f t="shared" si="39"/>
        <v>7296288.1848340342</v>
      </c>
      <c r="AF178" s="238">
        <f t="shared" si="40"/>
        <v>51074017.29383824</v>
      </c>
      <c r="AG178" s="206">
        <f t="shared" si="41"/>
        <v>2011</v>
      </c>
      <c r="AH178" s="210">
        <f t="shared" si="42"/>
        <v>313740401.94786346</v>
      </c>
    </row>
    <row r="179" spans="1:34" s="48" customFormat="1" ht="40.5" hidden="1" customHeight="1" x14ac:dyDescent="0.2">
      <c r="A179" s="296"/>
      <c r="B179" s="48" t="s">
        <v>4297</v>
      </c>
      <c r="C179" s="772"/>
      <c r="D179" s="73"/>
      <c r="E179" s="65" t="s">
        <v>2690</v>
      </c>
      <c r="F179" s="67" t="s">
        <v>1887</v>
      </c>
      <c r="G179" s="67" t="s">
        <v>1899</v>
      </c>
      <c r="H179" s="33" t="s">
        <v>43</v>
      </c>
      <c r="I179" s="40" t="s">
        <v>1753</v>
      </c>
      <c r="J179" s="40" t="s">
        <v>835</v>
      </c>
      <c r="K179" s="40">
        <v>120</v>
      </c>
      <c r="L179" s="72" t="s">
        <v>1900</v>
      </c>
      <c r="M179" s="40">
        <v>2011</v>
      </c>
      <c r="N179" s="40" t="s">
        <v>1901</v>
      </c>
      <c r="O179" s="32"/>
      <c r="P179" s="33"/>
      <c r="Q179" s="40"/>
      <c r="R179" s="32" t="s">
        <v>12</v>
      </c>
      <c r="S179" s="252">
        <v>296190899.72203624</v>
      </c>
      <c r="T179" s="105"/>
      <c r="U179" s="206" t="str">
        <f t="shared" si="29"/>
        <v>03.11.01</v>
      </c>
      <c r="V179" s="207" t="str">
        <f t="shared" si="30"/>
        <v>Bangunan Gedung Tempat Kerja</v>
      </c>
      <c r="W179" s="207">
        <f t="shared" si="31"/>
        <v>50</v>
      </c>
      <c r="X179" s="233">
        <f t="shared" si="32"/>
        <v>5923817.7944407249</v>
      </c>
      <c r="Y179" s="714">
        <f t="shared" si="33"/>
        <v>2</v>
      </c>
      <c r="Z179" s="233">
        <f t="shared" si="34"/>
        <v>11847635.58888145</v>
      </c>
      <c r="AA179" s="233">
        <f t="shared" si="35"/>
        <v>5923817.7944407249</v>
      </c>
      <c r="AB179" s="233">
        <f t="shared" si="36"/>
        <v>5923817.7944407249</v>
      </c>
      <c r="AC179" s="233">
        <f t="shared" si="37"/>
        <v>5923817.7944407249</v>
      </c>
      <c r="AD179" s="238">
        <f t="shared" si="38"/>
        <v>5923817.7944407249</v>
      </c>
      <c r="AE179" s="238">
        <f t="shared" si="39"/>
        <v>5923817.7944407249</v>
      </c>
      <c r="AF179" s="238">
        <f t="shared" si="40"/>
        <v>41466724.561085075</v>
      </c>
      <c r="AG179" s="206">
        <f t="shared" si="41"/>
        <v>2011</v>
      </c>
      <c r="AH179" s="210">
        <f t="shared" si="42"/>
        <v>254724175.16095117</v>
      </c>
    </row>
    <row r="180" spans="1:34" s="48" customFormat="1" ht="40.5" hidden="1" customHeight="1" x14ac:dyDescent="0.2">
      <c r="A180" s="296"/>
      <c r="B180" s="48" t="s">
        <v>4302</v>
      </c>
      <c r="C180" s="772"/>
      <c r="D180" s="73"/>
      <c r="E180" s="65" t="s">
        <v>2691</v>
      </c>
      <c r="F180" s="67" t="s">
        <v>1887</v>
      </c>
      <c r="G180" s="67" t="s">
        <v>1701</v>
      </c>
      <c r="H180" s="33" t="s">
        <v>43</v>
      </c>
      <c r="I180" s="40" t="s">
        <v>1753</v>
      </c>
      <c r="J180" s="40" t="s">
        <v>835</v>
      </c>
      <c r="K180" s="40">
        <v>120</v>
      </c>
      <c r="L180" s="72" t="s">
        <v>1903</v>
      </c>
      <c r="M180" s="40">
        <v>2011</v>
      </c>
      <c r="N180" s="40" t="s">
        <v>1904</v>
      </c>
      <c r="O180" s="32"/>
      <c r="P180" s="33"/>
      <c r="Q180" s="40"/>
      <c r="R180" s="32" t="s">
        <v>12</v>
      </c>
      <c r="S180" s="252">
        <v>369887614.54344255</v>
      </c>
      <c r="T180" s="105"/>
      <c r="U180" s="206" t="str">
        <f t="shared" si="29"/>
        <v>03.11.01</v>
      </c>
      <c r="V180" s="207" t="str">
        <f t="shared" si="30"/>
        <v>Bangunan Gedung Tempat Kerja</v>
      </c>
      <c r="W180" s="207">
        <f t="shared" si="31"/>
        <v>50</v>
      </c>
      <c r="X180" s="233">
        <f t="shared" si="32"/>
        <v>7397752.0908688512</v>
      </c>
      <c r="Y180" s="714">
        <f t="shared" si="33"/>
        <v>2</v>
      </c>
      <c r="Z180" s="233">
        <f t="shared" si="34"/>
        <v>14795504.181737702</v>
      </c>
      <c r="AA180" s="233">
        <f t="shared" si="35"/>
        <v>7397752.0908688512</v>
      </c>
      <c r="AB180" s="233">
        <f t="shared" si="36"/>
        <v>7397752.0908688512</v>
      </c>
      <c r="AC180" s="233">
        <f t="shared" si="37"/>
        <v>7397752.0908688512</v>
      </c>
      <c r="AD180" s="238">
        <f t="shared" si="38"/>
        <v>7397752.0908688512</v>
      </c>
      <c r="AE180" s="238">
        <f t="shared" si="39"/>
        <v>7397752.0908688512</v>
      </c>
      <c r="AF180" s="238">
        <f t="shared" si="40"/>
        <v>51784264.636081964</v>
      </c>
      <c r="AG180" s="206">
        <f t="shared" si="41"/>
        <v>2011</v>
      </c>
      <c r="AH180" s="210">
        <f t="shared" si="42"/>
        <v>318103349.90736055</v>
      </c>
    </row>
    <row r="181" spans="1:34" s="48" customFormat="1" ht="40.5" hidden="1" customHeight="1" x14ac:dyDescent="0.2">
      <c r="A181" s="296"/>
      <c r="B181" s="48" t="s">
        <v>4299</v>
      </c>
      <c r="C181" s="772"/>
      <c r="D181" s="73"/>
      <c r="E181" s="65" t="s">
        <v>2692</v>
      </c>
      <c r="F181" s="67" t="s">
        <v>1887</v>
      </c>
      <c r="G181" s="67" t="s">
        <v>1906</v>
      </c>
      <c r="H181" s="33" t="s">
        <v>43</v>
      </c>
      <c r="I181" s="40" t="s">
        <v>1753</v>
      </c>
      <c r="J181" s="40" t="s">
        <v>835</v>
      </c>
      <c r="K181" s="40">
        <v>120</v>
      </c>
      <c r="L181" s="72" t="s">
        <v>1907</v>
      </c>
      <c r="M181" s="40">
        <v>2011</v>
      </c>
      <c r="N181" s="40" t="s">
        <v>1908</v>
      </c>
      <c r="O181" s="32"/>
      <c r="P181" s="33"/>
      <c r="Q181" s="40"/>
      <c r="R181" s="32" t="s">
        <v>12</v>
      </c>
      <c r="S181" s="252">
        <v>321953506.89305788</v>
      </c>
      <c r="T181" s="105"/>
      <c r="U181" s="206" t="str">
        <f t="shared" si="29"/>
        <v>03.11.01</v>
      </c>
      <c r="V181" s="207" t="str">
        <f t="shared" si="30"/>
        <v>Bangunan Gedung Tempat Kerja</v>
      </c>
      <c r="W181" s="207">
        <f t="shared" si="31"/>
        <v>50</v>
      </c>
      <c r="X181" s="233">
        <f t="shared" si="32"/>
        <v>6439069.9378611576</v>
      </c>
      <c r="Y181" s="714">
        <f t="shared" si="33"/>
        <v>2</v>
      </c>
      <c r="Z181" s="233">
        <f t="shared" si="34"/>
        <v>12878139.875722315</v>
      </c>
      <c r="AA181" s="233">
        <f t="shared" si="35"/>
        <v>6439069.9378611576</v>
      </c>
      <c r="AB181" s="233">
        <f t="shared" si="36"/>
        <v>6439069.9378611576</v>
      </c>
      <c r="AC181" s="233">
        <f t="shared" si="37"/>
        <v>6439069.9378611576</v>
      </c>
      <c r="AD181" s="238">
        <f t="shared" si="38"/>
        <v>6439069.9378611576</v>
      </c>
      <c r="AE181" s="238">
        <f t="shared" si="39"/>
        <v>6439069.9378611576</v>
      </c>
      <c r="AF181" s="238">
        <f t="shared" si="40"/>
        <v>45073489.565028109</v>
      </c>
      <c r="AG181" s="206">
        <f t="shared" si="41"/>
        <v>2011</v>
      </c>
      <c r="AH181" s="210">
        <f t="shared" si="42"/>
        <v>276880017.32802975</v>
      </c>
    </row>
    <row r="182" spans="1:34" s="48" customFormat="1" ht="40.5" hidden="1" customHeight="1" x14ac:dyDescent="0.2">
      <c r="A182" s="296"/>
      <c r="B182" s="48" t="s">
        <v>4269</v>
      </c>
      <c r="C182" s="772"/>
      <c r="D182" s="73"/>
      <c r="E182" s="65" t="s">
        <v>2693</v>
      </c>
      <c r="F182" s="67" t="s">
        <v>1887</v>
      </c>
      <c r="G182" s="67" t="s">
        <v>1910</v>
      </c>
      <c r="H182" s="33" t="s">
        <v>43</v>
      </c>
      <c r="I182" s="40" t="s">
        <v>1753</v>
      </c>
      <c r="J182" s="40" t="s">
        <v>835</v>
      </c>
      <c r="K182" s="40"/>
      <c r="L182" s="72" t="s">
        <v>1911</v>
      </c>
      <c r="M182" s="40">
        <v>2012</v>
      </c>
      <c r="N182" s="40"/>
      <c r="O182" s="32"/>
      <c r="P182" s="33"/>
      <c r="Q182" s="40"/>
      <c r="R182" s="32" t="s">
        <v>12</v>
      </c>
      <c r="S182" s="252">
        <v>369737433.94443774</v>
      </c>
      <c r="T182" s="105"/>
      <c r="U182" s="206" t="str">
        <f t="shared" si="29"/>
        <v>03.11.01</v>
      </c>
      <c r="V182" s="207" t="str">
        <f t="shared" si="30"/>
        <v>Bangunan Gedung Tempat Kerja</v>
      </c>
      <c r="W182" s="207">
        <f t="shared" si="31"/>
        <v>50</v>
      </c>
      <c r="X182" s="233">
        <f t="shared" si="32"/>
        <v>7394748.4788887547</v>
      </c>
      <c r="Y182" s="714">
        <f t="shared" si="33"/>
        <v>1</v>
      </c>
      <c r="Z182" s="233">
        <f t="shared" si="34"/>
        <v>7394748.4788887547</v>
      </c>
      <c r="AA182" s="233">
        <f t="shared" si="35"/>
        <v>7394748.4788887547</v>
      </c>
      <c r="AB182" s="233">
        <f t="shared" si="36"/>
        <v>7394748.4788887547</v>
      </c>
      <c r="AC182" s="233">
        <f t="shared" si="37"/>
        <v>7394748.4788887547</v>
      </c>
      <c r="AD182" s="238">
        <f t="shared" si="38"/>
        <v>7394748.4788887547</v>
      </c>
      <c r="AE182" s="238">
        <f t="shared" si="39"/>
        <v>7394748.4788887547</v>
      </c>
      <c r="AF182" s="238">
        <f t="shared" si="40"/>
        <v>44368490.87333253</v>
      </c>
      <c r="AG182" s="206">
        <f t="shared" si="41"/>
        <v>2012</v>
      </c>
      <c r="AH182" s="210">
        <f t="shared" si="42"/>
        <v>325368943.07110524</v>
      </c>
    </row>
    <row r="183" spans="1:34" s="48" customFormat="1" ht="40.5" hidden="1" customHeight="1" x14ac:dyDescent="0.2">
      <c r="A183" s="296"/>
      <c r="B183" s="48" t="s">
        <v>4271</v>
      </c>
      <c r="C183" s="772" t="s">
        <v>4266</v>
      </c>
      <c r="D183" s="73"/>
      <c r="E183" s="65" t="s">
        <v>2694</v>
      </c>
      <c r="F183" s="67" t="s">
        <v>1887</v>
      </c>
      <c r="G183" s="67" t="s">
        <v>1913</v>
      </c>
      <c r="H183" s="33" t="s">
        <v>43</v>
      </c>
      <c r="I183" s="40" t="s">
        <v>1753</v>
      </c>
      <c r="J183" s="40" t="s">
        <v>835</v>
      </c>
      <c r="K183" s="40">
        <v>400</v>
      </c>
      <c r="L183" s="72" t="s">
        <v>837</v>
      </c>
      <c r="M183" s="40">
        <v>2011</v>
      </c>
      <c r="N183" s="40" t="s">
        <v>1914</v>
      </c>
      <c r="O183" s="32"/>
      <c r="P183" s="33"/>
      <c r="Q183" s="40"/>
      <c r="R183" s="32" t="s">
        <v>12</v>
      </c>
      <c r="S183" s="252">
        <v>418841604.26034129</v>
      </c>
      <c r="T183" s="105"/>
      <c r="U183" s="206" t="str">
        <f t="shared" si="29"/>
        <v>03.11.01</v>
      </c>
      <c r="V183" s="207" t="str">
        <f t="shared" si="30"/>
        <v>Bangunan Gedung Tempat Kerja</v>
      </c>
      <c r="W183" s="207">
        <f t="shared" si="31"/>
        <v>50</v>
      </c>
      <c r="X183" s="233">
        <f t="shared" si="32"/>
        <v>8376831.885206826</v>
      </c>
      <c r="Y183" s="714">
        <f t="shared" si="33"/>
        <v>2</v>
      </c>
      <c r="Z183" s="233">
        <f t="shared" si="34"/>
        <v>16753663.770413652</v>
      </c>
      <c r="AA183" s="233">
        <f t="shared" si="35"/>
        <v>8376831.885206826</v>
      </c>
      <c r="AB183" s="233">
        <f t="shared" si="36"/>
        <v>8376831.885206826</v>
      </c>
      <c r="AC183" s="233">
        <f t="shared" si="37"/>
        <v>8376831.885206826</v>
      </c>
      <c r="AD183" s="238">
        <f t="shared" si="38"/>
        <v>8376831.885206826</v>
      </c>
      <c r="AE183" s="238">
        <f t="shared" si="39"/>
        <v>8376831.885206826</v>
      </c>
      <c r="AF183" s="238">
        <f t="shared" si="40"/>
        <v>58637823.196447782</v>
      </c>
      <c r="AG183" s="206">
        <f t="shared" si="41"/>
        <v>2011</v>
      </c>
      <c r="AH183" s="210">
        <f t="shared" si="42"/>
        <v>360203781.0638935</v>
      </c>
    </row>
    <row r="184" spans="1:34" s="48" customFormat="1" ht="40.5" hidden="1" customHeight="1" x14ac:dyDescent="0.2">
      <c r="A184" s="296"/>
      <c r="B184" s="48" t="s">
        <v>4300</v>
      </c>
      <c r="C184" s="772"/>
      <c r="D184" s="73"/>
      <c r="E184" s="65" t="s">
        <v>2695</v>
      </c>
      <c r="F184" s="67" t="s">
        <v>1887</v>
      </c>
      <c r="G184" s="67" t="s">
        <v>1916</v>
      </c>
      <c r="H184" s="33" t="s">
        <v>43</v>
      </c>
      <c r="I184" s="40" t="s">
        <v>1753</v>
      </c>
      <c r="J184" s="40" t="s">
        <v>835</v>
      </c>
      <c r="K184" s="40">
        <v>120</v>
      </c>
      <c r="L184" s="72" t="s">
        <v>1917</v>
      </c>
      <c r="M184" s="40">
        <v>2011</v>
      </c>
      <c r="N184" s="40" t="s">
        <v>1918</v>
      </c>
      <c r="O184" s="32"/>
      <c r="P184" s="33"/>
      <c r="Q184" s="40"/>
      <c r="R184" s="32" t="s">
        <v>12</v>
      </c>
      <c r="S184" s="252">
        <v>328356658.1584819</v>
      </c>
      <c r="T184" s="105"/>
      <c r="U184" s="206" t="str">
        <f t="shared" si="29"/>
        <v>03.11.01</v>
      </c>
      <c r="V184" s="207" t="str">
        <f t="shared" si="30"/>
        <v>Bangunan Gedung Tempat Kerja</v>
      </c>
      <c r="W184" s="207">
        <f t="shared" si="31"/>
        <v>50</v>
      </c>
      <c r="X184" s="233">
        <f t="shared" si="32"/>
        <v>6567132.9631696381</v>
      </c>
      <c r="Y184" s="714">
        <f t="shared" si="33"/>
        <v>2</v>
      </c>
      <c r="Z184" s="233">
        <f t="shared" si="34"/>
        <v>13134265.926339276</v>
      </c>
      <c r="AA184" s="233">
        <f t="shared" si="35"/>
        <v>6567132.9631696381</v>
      </c>
      <c r="AB184" s="233">
        <f t="shared" si="36"/>
        <v>6567132.9631696381</v>
      </c>
      <c r="AC184" s="233">
        <f t="shared" si="37"/>
        <v>6567132.9631696381</v>
      </c>
      <c r="AD184" s="238">
        <f t="shared" si="38"/>
        <v>6567132.9631696381</v>
      </c>
      <c r="AE184" s="238">
        <f t="shared" si="39"/>
        <v>6567132.9631696381</v>
      </c>
      <c r="AF184" s="238">
        <f t="shared" si="40"/>
        <v>45969930.74218747</v>
      </c>
      <c r="AG184" s="206">
        <f t="shared" si="41"/>
        <v>2011</v>
      </c>
      <c r="AH184" s="210">
        <f t="shared" si="42"/>
        <v>282386727.41629446</v>
      </c>
    </row>
    <row r="185" spans="1:34" s="48" customFormat="1" ht="40.5" hidden="1" customHeight="1" x14ac:dyDescent="0.2">
      <c r="A185" s="296"/>
      <c r="B185" s="48" t="s">
        <v>4301</v>
      </c>
      <c r="C185" s="772"/>
      <c r="D185" s="73"/>
      <c r="E185" s="65" t="s">
        <v>2696</v>
      </c>
      <c r="F185" s="67" t="s">
        <v>1887</v>
      </c>
      <c r="G185" s="67" t="s">
        <v>1920</v>
      </c>
      <c r="H185" s="33" t="s">
        <v>43</v>
      </c>
      <c r="I185" s="40" t="s">
        <v>1753</v>
      </c>
      <c r="J185" s="40" t="s">
        <v>835</v>
      </c>
      <c r="K185" s="40">
        <v>120</v>
      </c>
      <c r="L185" s="72" t="s">
        <v>1921</v>
      </c>
      <c r="M185" s="40">
        <v>2011</v>
      </c>
      <c r="N185" s="40" t="s">
        <v>1922</v>
      </c>
      <c r="O185" s="32"/>
      <c r="P185" s="33"/>
      <c r="Q185" s="40"/>
      <c r="R185" s="32" t="s">
        <v>12</v>
      </c>
      <c r="S185" s="252">
        <v>297325609.5558452</v>
      </c>
      <c r="T185" s="105"/>
      <c r="U185" s="206" t="str">
        <f t="shared" si="29"/>
        <v>03.11.01</v>
      </c>
      <c r="V185" s="207" t="str">
        <f t="shared" si="30"/>
        <v>Bangunan Gedung Tempat Kerja</v>
      </c>
      <c r="W185" s="207">
        <f t="shared" si="31"/>
        <v>50</v>
      </c>
      <c r="X185" s="233">
        <f t="shared" si="32"/>
        <v>5946511.9911169037</v>
      </c>
      <c r="Y185" s="714">
        <f t="shared" si="33"/>
        <v>2</v>
      </c>
      <c r="Z185" s="233">
        <f t="shared" si="34"/>
        <v>11893023.982233807</v>
      </c>
      <c r="AA185" s="233">
        <f t="shared" si="35"/>
        <v>5946511.9911169037</v>
      </c>
      <c r="AB185" s="233">
        <f t="shared" si="36"/>
        <v>5946511.9911169037</v>
      </c>
      <c r="AC185" s="233">
        <f t="shared" si="37"/>
        <v>5946511.9911169037</v>
      </c>
      <c r="AD185" s="238">
        <f t="shared" si="38"/>
        <v>5946511.9911169037</v>
      </c>
      <c r="AE185" s="238">
        <f t="shared" si="39"/>
        <v>5946511.9911169037</v>
      </c>
      <c r="AF185" s="238">
        <f t="shared" si="40"/>
        <v>41625583.937818326</v>
      </c>
      <c r="AG185" s="206">
        <f t="shared" si="41"/>
        <v>2011</v>
      </c>
      <c r="AH185" s="210">
        <f t="shared" si="42"/>
        <v>255700025.61802688</v>
      </c>
    </row>
    <row r="186" spans="1:34" s="48" customFormat="1" ht="40.5" hidden="1" customHeight="1" x14ac:dyDescent="0.2">
      <c r="A186" s="296"/>
      <c r="B186" s="48" t="s">
        <v>4303</v>
      </c>
      <c r="C186" s="772"/>
      <c r="D186" s="73"/>
      <c r="E186" s="65" t="s">
        <v>2697</v>
      </c>
      <c r="F186" s="67" t="s">
        <v>1887</v>
      </c>
      <c r="G186" s="67" t="s">
        <v>1924</v>
      </c>
      <c r="H186" s="33" t="s">
        <v>43</v>
      </c>
      <c r="I186" s="40" t="s">
        <v>1753</v>
      </c>
      <c r="J186" s="40" t="s">
        <v>835</v>
      </c>
      <c r="K186" s="40">
        <v>120</v>
      </c>
      <c r="L186" s="72" t="s">
        <v>1925</v>
      </c>
      <c r="M186" s="40">
        <v>2011</v>
      </c>
      <c r="N186" s="40" t="s">
        <v>1850</v>
      </c>
      <c r="O186" s="32"/>
      <c r="P186" s="33"/>
      <c r="Q186" s="40"/>
      <c r="R186" s="32" t="s">
        <v>12</v>
      </c>
      <c r="S186" s="252">
        <v>347018145.06558543</v>
      </c>
      <c r="T186" s="105"/>
      <c r="U186" s="206" t="str">
        <f t="shared" si="29"/>
        <v>03.11.01</v>
      </c>
      <c r="V186" s="207" t="str">
        <f t="shared" si="30"/>
        <v>Bangunan Gedung Tempat Kerja</v>
      </c>
      <c r="W186" s="207">
        <f t="shared" si="31"/>
        <v>50</v>
      </c>
      <c r="X186" s="233">
        <f t="shared" si="32"/>
        <v>6940362.7013117084</v>
      </c>
      <c r="Y186" s="714">
        <f t="shared" si="33"/>
        <v>2</v>
      </c>
      <c r="Z186" s="233">
        <f t="shared" si="34"/>
        <v>13880725.402623417</v>
      </c>
      <c r="AA186" s="233">
        <f t="shared" si="35"/>
        <v>6940362.7013117084</v>
      </c>
      <c r="AB186" s="233">
        <f t="shared" si="36"/>
        <v>6940362.7013117084</v>
      </c>
      <c r="AC186" s="233">
        <f t="shared" si="37"/>
        <v>6940362.7013117084</v>
      </c>
      <c r="AD186" s="238">
        <f t="shared" si="38"/>
        <v>6940362.7013117084</v>
      </c>
      <c r="AE186" s="238">
        <f t="shared" si="39"/>
        <v>6940362.7013117084</v>
      </c>
      <c r="AF186" s="238">
        <f t="shared" si="40"/>
        <v>48582538.90918196</v>
      </c>
      <c r="AG186" s="206">
        <f t="shared" si="41"/>
        <v>2011</v>
      </c>
      <c r="AH186" s="210">
        <f t="shared" si="42"/>
        <v>298435606.15640348</v>
      </c>
    </row>
    <row r="187" spans="1:34" s="48" customFormat="1" ht="40.5" hidden="1" customHeight="1" x14ac:dyDescent="0.2">
      <c r="A187" s="296"/>
      <c r="B187" s="48" t="s">
        <v>4304</v>
      </c>
      <c r="C187" s="772"/>
      <c r="D187" s="73"/>
      <c r="E187" s="65" t="s">
        <v>2698</v>
      </c>
      <c r="F187" s="67" t="s">
        <v>1887</v>
      </c>
      <c r="G187" s="67" t="s">
        <v>1927</v>
      </c>
      <c r="H187" s="33" t="s">
        <v>43</v>
      </c>
      <c r="I187" s="40" t="s">
        <v>1753</v>
      </c>
      <c r="J187" s="40" t="s">
        <v>835</v>
      </c>
      <c r="K187" s="40"/>
      <c r="L187" s="72" t="s">
        <v>1928</v>
      </c>
      <c r="M187" s="40">
        <v>2011</v>
      </c>
      <c r="N187" s="40" t="s">
        <v>1929</v>
      </c>
      <c r="O187" s="32"/>
      <c r="P187" s="33"/>
      <c r="Q187" s="40"/>
      <c r="R187" s="32" t="s">
        <v>12</v>
      </c>
      <c r="S187" s="252">
        <v>306126753.72545201</v>
      </c>
      <c r="T187" s="105"/>
      <c r="U187" s="206" t="str">
        <f t="shared" si="29"/>
        <v>03.11.01</v>
      </c>
      <c r="V187" s="207" t="str">
        <f t="shared" si="30"/>
        <v>Bangunan Gedung Tempat Kerja</v>
      </c>
      <c r="W187" s="207">
        <f t="shared" si="31"/>
        <v>50</v>
      </c>
      <c r="X187" s="233">
        <f t="shared" si="32"/>
        <v>6122534.8745090403</v>
      </c>
      <c r="Y187" s="714">
        <f t="shared" si="33"/>
        <v>2</v>
      </c>
      <c r="Z187" s="233">
        <f t="shared" si="34"/>
        <v>12245069.749018081</v>
      </c>
      <c r="AA187" s="233">
        <f t="shared" si="35"/>
        <v>6122534.8745090403</v>
      </c>
      <c r="AB187" s="233">
        <f t="shared" si="36"/>
        <v>6122534.8745090403</v>
      </c>
      <c r="AC187" s="233">
        <f t="shared" si="37"/>
        <v>6122534.8745090403</v>
      </c>
      <c r="AD187" s="238">
        <f t="shared" si="38"/>
        <v>6122534.8745090403</v>
      </c>
      <c r="AE187" s="238">
        <f t="shared" si="39"/>
        <v>6122534.8745090403</v>
      </c>
      <c r="AF187" s="238">
        <f t="shared" si="40"/>
        <v>42857744.121563286</v>
      </c>
      <c r="AG187" s="206">
        <f t="shared" si="41"/>
        <v>2011</v>
      </c>
      <c r="AH187" s="210">
        <f t="shared" si="42"/>
        <v>263269009.60388872</v>
      </c>
    </row>
    <row r="188" spans="1:34" s="48" customFormat="1" ht="40.5" hidden="1" customHeight="1" x14ac:dyDescent="0.2">
      <c r="A188" s="296"/>
      <c r="B188" s="48" t="s">
        <v>4358</v>
      </c>
      <c r="C188" s="772" t="s">
        <v>4266</v>
      </c>
      <c r="D188" s="73"/>
      <c r="E188" s="65" t="s">
        <v>2699</v>
      </c>
      <c r="F188" s="67" t="s">
        <v>2845</v>
      </c>
      <c r="G188" s="67"/>
      <c r="H188" s="33" t="s">
        <v>43</v>
      </c>
      <c r="I188" s="40"/>
      <c r="J188" s="40"/>
      <c r="K188" s="40"/>
      <c r="L188" s="72" t="s">
        <v>1931</v>
      </c>
      <c r="M188" s="40">
        <v>2012</v>
      </c>
      <c r="N188" s="40"/>
      <c r="O188" s="32"/>
      <c r="P188" s="33"/>
      <c r="Q188" s="40"/>
      <c r="R188" s="32" t="s">
        <v>12</v>
      </c>
      <c r="S188" s="252">
        <v>500000000</v>
      </c>
      <c r="T188" s="105"/>
      <c r="U188" s="206" t="str">
        <f t="shared" si="29"/>
        <v>03.11.01</v>
      </c>
      <c r="V188" s="207" t="str">
        <f t="shared" si="30"/>
        <v>Bangunan Gedung Tempat Kerja</v>
      </c>
      <c r="W188" s="207">
        <f t="shared" si="31"/>
        <v>50</v>
      </c>
      <c r="X188" s="233">
        <f t="shared" si="32"/>
        <v>9999999.8000000007</v>
      </c>
      <c r="Y188" s="714">
        <f t="shared" si="33"/>
        <v>1</v>
      </c>
      <c r="Z188" s="233">
        <f t="shared" si="34"/>
        <v>9999999.8000000007</v>
      </c>
      <c r="AA188" s="233">
        <f t="shared" si="35"/>
        <v>9999999.8000000007</v>
      </c>
      <c r="AB188" s="233">
        <f t="shared" si="36"/>
        <v>9999999.8000000007</v>
      </c>
      <c r="AC188" s="233">
        <f t="shared" si="37"/>
        <v>9999999.8000000007</v>
      </c>
      <c r="AD188" s="238">
        <f t="shared" si="38"/>
        <v>9999999.8000000007</v>
      </c>
      <c r="AE188" s="238">
        <f t="shared" si="39"/>
        <v>9999999.8000000007</v>
      </c>
      <c r="AF188" s="238">
        <f t="shared" si="40"/>
        <v>59999998.799999997</v>
      </c>
      <c r="AG188" s="206">
        <f t="shared" si="41"/>
        <v>2012</v>
      </c>
      <c r="AH188" s="210">
        <f t="shared" si="42"/>
        <v>440000001.19999999</v>
      </c>
    </row>
    <row r="189" spans="1:34" s="48" customFormat="1" ht="40.5" hidden="1" customHeight="1" x14ac:dyDescent="0.2">
      <c r="A189" s="296"/>
      <c r="B189" s="48" t="s">
        <v>4358</v>
      </c>
      <c r="C189" s="772" t="s">
        <v>4266</v>
      </c>
      <c r="D189" s="73"/>
      <c r="E189" s="65" t="s">
        <v>2700</v>
      </c>
      <c r="F189" s="67" t="s">
        <v>2845</v>
      </c>
      <c r="G189" s="67"/>
      <c r="H189" s="33" t="s">
        <v>43</v>
      </c>
      <c r="I189" s="40"/>
      <c r="J189" s="40"/>
      <c r="K189" s="40"/>
      <c r="L189" s="72" t="s">
        <v>1931</v>
      </c>
      <c r="M189" s="40">
        <v>2012</v>
      </c>
      <c r="N189" s="40"/>
      <c r="O189" s="32"/>
      <c r="P189" s="33"/>
      <c r="Q189" s="40"/>
      <c r="R189" s="32" t="s">
        <v>12</v>
      </c>
      <c r="S189" s="252">
        <v>712591462.12766397</v>
      </c>
      <c r="T189" s="105"/>
      <c r="U189" s="206" t="str">
        <f t="shared" si="29"/>
        <v>03.11.01</v>
      </c>
      <c r="V189" s="207" t="str">
        <f t="shared" si="30"/>
        <v>Bangunan Gedung Tempat Kerja</v>
      </c>
      <c r="W189" s="207">
        <f t="shared" si="31"/>
        <v>50</v>
      </c>
      <c r="X189" s="233">
        <f t="shared" si="32"/>
        <v>14251829.04255328</v>
      </c>
      <c r="Y189" s="714">
        <f t="shared" si="33"/>
        <v>1</v>
      </c>
      <c r="Z189" s="233">
        <f t="shared" si="34"/>
        <v>14251829.04255328</v>
      </c>
      <c r="AA189" s="233">
        <f t="shared" si="35"/>
        <v>14251829.04255328</v>
      </c>
      <c r="AB189" s="233">
        <f t="shared" si="36"/>
        <v>14251829.04255328</v>
      </c>
      <c r="AC189" s="233">
        <f t="shared" si="37"/>
        <v>14251829.04255328</v>
      </c>
      <c r="AD189" s="238">
        <f t="shared" si="38"/>
        <v>14251829.04255328</v>
      </c>
      <c r="AE189" s="238">
        <f t="shared" si="39"/>
        <v>14251829.04255328</v>
      </c>
      <c r="AF189" s="238">
        <f t="shared" si="40"/>
        <v>85510974.25531967</v>
      </c>
      <c r="AG189" s="206">
        <f t="shared" si="41"/>
        <v>2012</v>
      </c>
      <c r="AH189" s="210">
        <f t="shared" si="42"/>
        <v>627080487.87234426</v>
      </c>
    </row>
    <row r="190" spans="1:34" s="48" customFormat="1" ht="40.5" hidden="1" customHeight="1" x14ac:dyDescent="0.2">
      <c r="A190" s="296"/>
      <c r="B190" s="48" t="s">
        <v>4358</v>
      </c>
      <c r="C190" s="772" t="s">
        <v>4266</v>
      </c>
      <c r="D190" s="73"/>
      <c r="E190" s="65" t="s">
        <v>2699</v>
      </c>
      <c r="F190" s="67" t="s">
        <v>2845</v>
      </c>
      <c r="G190" s="67"/>
      <c r="H190" s="33" t="s">
        <v>43</v>
      </c>
      <c r="I190" s="40"/>
      <c r="J190" s="40"/>
      <c r="K190" s="40"/>
      <c r="L190" s="72" t="s">
        <v>1931</v>
      </c>
      <c r="M190" s="40">
        <v>2012</v>
      </c>
      <c r="N190" s="40"/>
      <c r="O190" s="32"/>
      <c r="P190" s="33"/>
      <c r="Q190" s="40"/>
      <c r="R190" s="32" t="s">
        <v>12</v>
      </c>
      <c r="S190" s="252">
        <v>640564729.19418764</v>
      </c>
      <c r="T190" s="105"/>
      <c r="U190" s="206" t="str">
        <f t="shared" si="29"/>
        <v>03.11.01</v>
      </c>
      <c r="V190" s="207" t="str">
        <f t="shared" si="30"/>
        <v>Bangunan Gedung Tempat Kerja</v>
      </c>
      <c r="W190" s="207">
        <f t="shared" si="31"/>
        <v>50</v>
      </c>
      <c r="X190" s="233">
        <f t="shared" si="32"/>
        <v>12811294.383883752</v>
      </c>
      <c r="Y190" s="714">
        <f t="shared" si="33"/>
        <v>1</v>
      </c>
      <c r="Z190" s="233">
        <f t="shared" si="34"/>
        <v>12811294.383883752</v>
      </c>
      <c r="AA190" s="233">
        <f t="shared" si="35"/>
        <v>12811294.383883752</v>
      </c>
      <c r="AB190" s="233">
        <f t="shared" si="36"/>
        <v>12811294.383883752</v>
      </c>
      <c r="AC190" s="233">
        <f t="shared" si="37"/>
        <v>12811294.383883752</v>
      </c>
      <c r="AD190" s="238">
        <f t="shared" si="38"/>
        <v>12811294.383883752</v>
      </c>
      <c r="AE190" s="238">
        <f t="shared" si="39"/>
        <v>12811294.383883752</v>
      </c>
      <c r="AF190" s="238">
        <f t="shared" si="40"/>
        <v>76867766.303302512</v>
      </c>
      <c r="AG190" s="206">
        <f t="shared" si="41"/>
        <v>2012</v>
      </c>
      <c r="AH190" s="210">
        <f t="shared" si="42"/>
        <v>563696962.89088511</v>
      </c>
    </row>
    <row r="191" spans="1:34" s="48" customFormat="1" ht="40.5" hidden="1" customHeight="1" x14ac:dyDescent="0.2">
      <c r="A191" s="296"/>
      <c r="B191" s="48" t="s">
        <v>4358</v>
      </c>
      <c r="C191" s="772" t="s">
        <v>4266</v>
      </c>
      <c r="D191" s="73"/>
      <c r="E191" s="65" t="s">
        <v>2699</v>
      </c>
      <c r="F191" s="67" t="s">
        <v>2845</v>
      </c>
      <c r="G191" s="67"/>
      <c r="H191" s="33" t="s">
        <v>43</v>
      </c>
      <c r="I191" s="40"/>
      <c r="J191" s="40"/>
      <c r="K191" s="40"/>
      <c r="L191" s="72" t="s">
        <v>1931</v>
      </c>
      <c r="M191" s="40">
        <v>2012</v>
      </c>
      <c r="N191" s="40"/>
      <c r="O191" s="32"/>
      <c r="P191" s="33"/>
      <c r="Q191" s="40"/>
      <c r="R191" s="32" t="s">
        <v>12</v>
      </c>
      <c r="S191" s="252">
        <v>349398943.19682962</v>
      </c>
      <c r="T191" s="105"/>
      <c r="U191" s="206" t="str">
        <f t="shared" si="29"/>
        <v>03.11.01</v>
      </c>
      <c r="V191" s="207" t="str">
        <f t="shared" si="30"/>
        <v>Bangunan Gedung Tempat Kerja</v>
      </c>
      <c r="W191" s="207">
        <f t="shared" si="31"/>
        <v>50</v>
      </c>
      <c r="X191" s="233">
        <f t="shared" si="32"/>
        <v>6987978.6639365926</v>
      </c>
      <c r="Y191" s="714">
        <f t="shared" si="33"/>
        <v>1</v>
      </c>
      <c r="Z191" s="233">
        <f t="shared" si="34"/>
        <v>6987978.6639365926</v>
      </c>
      <c r="AA191" s="233">
        <f t="shared" si="35"/>
        <v>6987978.6639365926</v>
      </c>
      <c r="AB191" s="233">
        <f t="shared" si="36"/>
        <v>6987978.6639365926</v>
      </c>
      <c r="AC191" s="233">
        <f t="shared" si="37"/>
        <v>6987978.6639365926</v>
      </c>
      <c r="AD191" s="238">
        <f t="shared" si="38"/>
        <v>6987978.6639365926</v>
      </c>
      <c r="AE191" s="238">
        <f t="shared" si="39"/>
        <v>6987978.6639365926</v>
      </c>
      <c r="AF191" s="238">
        <f t="shared" si="40"/>
        <v>41927871.983619556</v>
      </c>
      <c r="AG191" s="206">
        <f t="shared" si="41"/>
        <v>2012</v>
      </c>
      <c r="AH191" s="210">
        <f t="shared" si="42"/>
        <v>307471071.21321005</v>
      </c>
    </row>
    <row r="192" spans="1:34" s="48" customFormat="1" ht="40.5" customHeight="1" x14ac:dyDescent="0.2">
      <c r="A192" s="296">
        <v>25</v>
      </c>
      <c r="B192" s="48" t="s">
        <v>2898</v>
      </c>
      <c r="C192" s="772" t="s">
        <v>4246</v>
      </c>
      <c r="D192" s="73"/>
      <c r="E192" s="65" t="s">
        <v>2701</v>
      </c>
      <c r="F192" s="67" t="s">
        <v>1752</v>
      </c>
      <c r="G192" s="404" t="s">
        <v>39</v>
      </c>
      <c r="H192" s="405" t="s">
        <v>43</v>
      </c>
      <c r="I192" s="408" t="s">
        <v>1786</v>
      </c>
      <c r="J192" s="408" t="s">
        <v>1934</v>
      </c>
      <c r="K192" s="408"/>
      <c r="L192" s="102" t="s">
        <v>427</v>
      </c>
      <c r="M192" s="40">
        <v>2012</v>
      </c>
      <c r="N192" s="40" t="s">
        <v>1935</v>
      </c>
      <c r="O192" s="32"/>
      <c r="P192" s="33"/>
      <c r="Q192" s="40"/>
      <c r="R192" s="32" t="s">
        <v>12</v>
      </c>
      <c r="S192" s="252">
        <v>37008650</v>
      </c>
      <c r="T192" s="105"/>
      <c r="U192" s="206" t="str">
        <f t="shared" si="29"/>
        <v>03.11.01</v>
      </c>
      <c r="V192" s="207" t="str">
        <f t="shared" si="30"/>
        <v>Bangunan Gedung Tempat Kerja</v>
      </c>
      <c r="W192" s="207">
        <f t="shared" si="31"/>
        <v>50</v>
      </c>
      <c r="X192" s="233">
        <f t="shared" si="32"/>
        <v>740172.80000000005</v>
      </c>
      <c r="Y192" s="714">
        <f t="shared" si="33"/>
        <v>1</v>
      </c>
      <c r="Z192" s="233">
        <f t="shared" si="34"/>
        <v>740172.80000000005</v>
      </c>
      <c r="AA192" s="233">
        <f t="shared" si="35"/>
        <v>740172.80000000005</v>
      </c>
      <c r="AB192" s="233">
        <f t="shared" si="36"/>
        <v>740172.80000000005</v>
      </c>
      <c r="AC192" s="233">
        <f t="shared" si="37"/>
        <v>740172.80000000005</v>
      </c>
      <c r="AD192" s="238">
        <f t="shared" si="38"/>
        <v>740172.80000000005</v>
      </c>
      <c r="AE192" s="238">
        <f t="shared" si="39"/>
        <v>740172.80000000005</v>
      </c>
      <c r="AF192" s="238">
        <f t="shared" si="40"/>
        <v>4441036.7999999998</v>
      </c>
      <c r="AG192" s="206">
        <f t="shared" si="41"/>
        <v>2012</v>
      </c>
      <c r="AH192" s="210">
        <f t="shared" si="42"/>
        <v>32567613.199999999</v>
      </c>
    </row>
    <row r="193" spans="1:34" s="48" customFormat="1" ht="40.5" customHeight="1" x14ac:dyDescent="0.2">
      <c r="A193" s="296">
        <v>25</v>
      </c>
      <c r="B193" s="48" t="s">
        <v>2898</v>
      </c>
      <c r="C193" s="772" t="s">
        <v>4246</v>
      </c>
      <c r="D193" s="73"/>
      <c r="E193" s="65" t="s">
        <v>2715</v>
      </c>
      <c r="F193" s="67" t="s">
        <v>1752</v>
      </c>
      <c r="G193" s="404" t="s">
        <v>1701</v>
      </c>
      <c r="H193" s="405" t="s">
        <v>43</v>
      </c>
      <c r="I193" s="408" t="s">
        <v>1786</v>
      </c>
      <c r="J193" s="408" t="s">
        <v>1934</v>
      </c>
      <c r="K193" s="408"/>
      <c r="L193" s="102" t="s">
        <v>427</v>
      </c>
      <c r="M193" s="40">
        <v>2012</v>
      </c>
      <c r="N193" s="40" t="s">
        <v>1970</v>
      </c>
      <c r="O193" s="32"/>
      <c r="P193" s="33"/>
      <c r="Q193" s="40"/>
      <c r="R193" s="32" t="s">
        <v>12</v>
      </c>
      <c r="S193" s="252">
        <v>488428761.87471801</v>
      </c>
      <c r="T193" s="105"/>
      <c r="U193" s="206" t="str">
        <f t="shared" si="29"/>
        <v>03.11.01</v>
      </c>
      <c r="V193" s="207" t="str">
        <f t="shared" si="30"/>
        <v>Bangunan Gedung Tempat Kerja</v>
      </c>
      <c r="W193" s="207">
        <f t="shared" si="31"/>
        <v>50</v>
      </c>
      <c r="X193" s="233">
        <f t="shared" si="32"/>
        <v>9768575.0374943595</v>
      </c>
      <c r="Y193" s="714">
        <f t="shared" si="33"/>
        <v>1</v>
      </c>
      <c r="Z193" s="233">
        <f t="shared" si="34"/>
        <v>9768575.0374943595</v>
      </c>
      <c r="AA193" s="233">
        <f t="shared" si="35"/>
        <v>9768575.0374943595</v>
      </c>
      <c r="AB193" s="233">
        <f t="shared" si="36"/>
        <v>9768575.0374943595</v>
      </c>
      <c r="AC193" s="233">
        <f t="shared" si="37"/>
        <v>9768575.0374943595</v>
      </c>
      <c r="AD193" s="238">
        <f t="shared" si="38"/>
        <v>9768575.0374943595</v>
      </c>
      <c r="AE193" s="238">
        <f t="shared" si="39"/>
        <v>9768575.0374943595</v>
      </c>
      <c r="AF193" s="238">
        <f t="shared" si="40"/>
        <v>58611450.224966161</v>
      </c>
      <c r="AG193" s="206">
        <f t="shared" si="41"/>
        <v>2012</v>
      </c>
      <c r="AH193" s="210">
        <f t="shared" si="42"/>
        <v>429817311.64975184</v>
      </c>
    </row>
    <row r="194" spans="1:34" s="48" customFormat="1" ht="40.5" customHeight="1" x14ac:dyDescent="0.2">
      <c r="A194" s="296">
        <v>25</v>
      </c>
      <c r="B194" s="48" t="s">
        <v>2898</v>
      </c>
      <c r="C194" s="772" t="s">
        <v>4246</v>
      </c>
      <c r="D194" s="73"/>
      <c r="E194" s="65" t="s">
        <v>2704</v>
      </c>
      <c r="F194" s="67" t="s">
        <v>1752</v>
      </c>
      <c r="G194" s="404" t="s">
        <v>1768</v>
      </c>
      <c r="H194" s="405" t="s">
        <v>43</v>
      </c>
      <c r="I194" s="408" t="s">
        <v>1786</v>
      </c>
      <c r="J194" s="408" t="s">
        <v>1934</v>
      </c>
      <c r="K194" s="408"/>
      <c r="L194" s="102" t="s">
        <v>427</v>
      </c>
      <c r="M194" s="40">
        <v>2012</v>
      </c>
      <c r="N194" s="40" t="s">
        <v>1943</v>
      </c>
      <c r="O194" s="32"/>
      <c r="P194" s="33"/>
      <c r="Q194" s="40"/>
      <c r="R194" s="32" t="s">
        <v>12</v>
      </c>
      <c r="S194" s="252">
        <v>26185000</v>
      </c>
      <c r="T194" s="105"/>
      <c r="U194" s="206" t="str">
        <f t="shared" si="29"/>
        <v>03.11.01</v>
      </c>
      <c r="V194" s="207" t="str">
        <f t="shared" si="30"/>
        <v>Bangunan Gedung Tempat Kerja</v>
      </c>
      <c r="W194" s="207">
        <f t="shared" si="31"/>
        <v>50</v>
      </c>
      <c r="X194" s="233">
        <f t="shared" si="32"/>
        <v>523699.8</v>
      </c>
      <c r="Y194" s="714">
        <f t="shared" si="33"/>
        <v>1</v>
      </c>
      <c r="Z194" s="233">
        <f t="shared" si="34"/>
        <v>523699.8</v>
      </c>
      <c r="AA194" s="233">
        <f t="shared" si="35"/>
        <v>523699.8</v>
      </c>
      <c r="AB194" s="233">
        <f t="shared" si="36"/>
        <v>523699.8</v>
      </c>
      <c r="AC194" s="233">
        <f t="shared" si="37"/>
        <v>523699.8</v>
      </c>
      <c r="AD194" s="238">
        <f t="shared" si="38"/>
        <v>523699.8</v>
      </c>
      <c r="AE194" s="238">
        <f t="shared" si="39"/>
        <v>523699.8</v>
      </c>
      <c r="AF194" s="238">
        <f t="shared" si="40"/>
        <v>3142198.8</v>
      </c>
      <c r="AG194" s="206">
        <f t="shared" si="41"/>
        <v>2012</v>
      </c>
      <c r="AH194" s="210">
        <f t="shared" si="42"/>
        <v>23042801.199999999</v>
      </c>
    </row>
    <row r="195" spans="1:34" s="48" customFormat="1" ht="40.5" hidden="1" customHeight="1" x14ac:dyDescent="0.2">
      <c r="A195" s="296">
        <v>40</v>
      </c>
      <c r="B195" s="48" t="s">
        <v>4267</v>
      </c>
      <c r="C195" s="772" t="s">
        <v>4247</v>
      </c>
      <c r="D195" s="73"/>
      <c r="E195" s="65" t="s">
        <v>2703</v>
      </c>
      <c r="F195" s="67" t="s">
        <v>1752</v>
      </c>
      <c r="G195" s="67" t="s">
        <v>1765</v>
      </c>
      <c r="H195" s="33" t="s">
        <v>43</v>
      </c>
      <c r="I195" s="40" t="s">
        <v>1786</v>
      </c>
      <c r="J195" s="40" t="s">
        <v>1934</v>
      </c>
      <c r="K195" s="40"/>
      <c r="L195" s="72" t="s">
        <v>892</v>
      </c>
      <c r="M195" s="40">
        <v>2012</v>
      </c>
      <c r="N195" s="40" t="s">
        <v>1941</v>
      </c>
      <c r="O195" s="32"/>
      <c r="P195" s="33"/>
      <c r="Q195" s="40"/>
      <c r="R195" s="32" t="s">
        <v>12</v>
      </c>
      <c r="S195" s="252">
        <v>22181000</v>
      </c>
      <c r="T195" s="105"/>
      <c r="U195" s="206" t="str">
        <f t="shared" si="29"/>
        <v>03.11.01</v>
      </c>
      <c r="V195" s="207" t="str">
        <f t="shared" si="30"/>
        <v>Bangunan Gedung Tempat Kerja</v>
      </c>
      <c r="W195" s="207">
        <f t="shared" si="31"/>
        <v>50</v>
      </c>
      <c r="X195" s="233">
        <f t="shared" si="32"/>
        <v>443619.8</v>
      </c>
      <c r="Y195" s="714">
        <f t="shared" si="33"/>
        <v>1</v>
      </c>
      <c r="Z195" s="233">
        <f t="shared" si="34"/>
        <v>443619.8</v>
      </c>
      <c r="AA195" s="233">
        <f t="shared" si="35"/>
        <v>443619.8</v>
      </c>
      <c r="AB195" s="233">
        <f t="shared" si="36"/>
        <v>443619.8</v>
      </c>
      <c r="AC195" s="233">
        <f t="shared" si="37"/>
        <v>443619.8</v>
      </c>
      <c r="AD195" s="238">
        <f t="shared" si="38"/>
        <v>443619.8</v>
      </c>
      <c r="AE195" s="238">
        <f t="shared" si="39"/>
        <v>443619.8</v>
      </c>
      <c r="AF195" s="238">
        <f t="shared" si="40"/>
        <v>2661718.7999999998</v>
      </c>
      <c r="AG195" s="206">
        <f t="shared" si="41"/>
        <v>2012</v>
      </c>
      <c r="AH195" s="210">
        <f t="shared" si="42"/>
        <v>19519281.199999999</v>
      </c>
    </row>
    <row r="196" spans="1:34" s="48" customFormat="1" ht="40.5" hidden="1" customHeight="1" x14ac:dyDescent="0.2">
      <c r="A196" s="296"/>
      <c r="B196" s="48" t="s">
        <v>4744</v>
      </c>
      <c r="C196" s="772"/>
      <c r="D196" s="73"/>
      <c r="E196" s="65" t="s">
        <v>2705</v>
      </c>
      <c r="F196" s="67" t="s">
        <v>1752</v>
      </c>
      <c r="G196" s="67" t="s">
        <v>1855</v>
      </c>
      <c r="H196" s="33" t="s">
        <v>43</v>
      </c>
      <c r="I196" s="40" t="s">
        <v>1786</v>
      </c>
      <c r="J196" s="40" t="s">
        <v>1934</v>
      </c>
      <c r="K196" s="40"/>
      <c r="L196" s="72" t="s">
        <v>1776</v>
      </c>
      <c r="M196" s="40">
        <v>2012</v>
      </c>
      <c r="N196" s="40" t="s">
        <v>1945</v>
      </c>
      <c r="O196" s="32"/>
      <c r="P196" s="33"/>
      <c r="Q196" s="40"/>
      <c r="R196" s="32" t="s">
        <v>12</v>
      </c>
      <c r="S196" s="252">
        <v>39847000</v>
      </c>
      <c r="T196" s="105"/>
      <c r="U196" s="206" t="str">
        <f t="shared" si="29"/>
        <v>03.11.01</v>
      </c>
      <c r="V196" s="207" t="str">
        <f t="shared" si="30"/>
        <v>Bangunan Gedung Tempat Kerja</v>
      </c>
      <c r="W196" s="207">
        <f t="shared" si="31"/>
        <v>50</v>
      </c>
      <c r="X196" s="233">
        <f t="shared" si="32"/>
        <v>796939.8</v>
      </c>
      <c r="Y196" s="714">
        <f t="shared" si="33"/>
        <v>1</v>
      </c>
      <c r="Z196" s="233">
        <f t="shared" si="34"/>
        <v>796939.8</v>
      </c>
      <c r="AA196" s="233">
        <f t="shared" si="35"/>
        <v>796939.8</v>
      </c>
      <c r="AB196" s="233">
        <f t="shared" si="36"/>
        <v>796939.8</v>
      </c>
      <c r="AC196" s="233">
        <f t="shared" si="37"/>
        <v>796939.8</v>
      </c>
      <c r="AD196" s="238">
        <f t="shared" si="38"/>
        <v>796939.8</v>
      </c>
      <c r="AE196" s="238">
        <f t="shared" si="39"/>
        <v>796939.8</v>
      </c>
      <c r="AF196" s="238">
        <f t="shared" si="40"/>
        <v>4781638.8</v>
      </c>
      <c r="AG196" s="206">
        <f t="shared" si="41"/>
        <v>2012</v>
      </c>
      <c r="AH196" s="210">
        <f t="shared" si="42"/>
        <v>35065361.200000003</v>
      </c>
    </row>
    <row r="197" spans="1:34" s="48" customFormat="1" ht="40.5" customHeight="1" x14ac:dyDescent="0.2">
      <c r="A197" s="296">
        <v>26</v>
      </c>
      <c r="B197" s="48" t="s">
        <v>2908</v>
      </c>
      <c r="C197" s="772" t="s">
        <v>4246</v>
      </c>
      <c r="D197" s="73"/>
      <c r="E197" s="65" t="s">
        <v>2716</v>
      </c>
      <c r="F197" s="67" t="s">
        <v>1752</v>
      </c>
      <c r="G197" s="404" t="s">
        <v>1910</v>
      </c>
      <c r="H197" s="405" t="s">
        <v>43</v>
      </c>
      <c r="I197" s="408" t="s">
        <v>1786</v>
      </c>
      <c r="J197" s="408" t="s">
        <v>1934</v>
      </c>
      <c r="K197" s="408"/>
      <c r="L197" s="72" t="s">
        <v>1095</v>
      </c>
      <c r="M197" s="40">
        <v>2012</v>
      </c>
      <c r="N197" s="40" t="s">
        <v>1976</v>
      </c>
      <c r="O197" s="32"/>
      <c r="P197" s="33"/>
      <c r="Q197" s="40"/>
      <c r="R197" s="32" t="s">
        <v>12</v>
      </c>
      <c r="S197" s="252">
        <v>519172526.81379509</v>
      </c>
      <c r="T197" s="105"/>
      <c r="U197" s="206" t="str">
        <f t="shared" si="29"/>
        <v>03.11.01</v>
      </c>
      <c r="V197" s="207" t="str">
        <f t="shared" si="30"/>
        <v>Bangunan Gedung Tempat Kerja</v>
      </c>
      <c r="W197" s="207">
        <f t="shared" si="31"/>
        <v>50</v>
      </c>
      <c r="X197" s="233">
        <f t="shared" si="32"/>
        <v>10383450.336275902</v>
      </c>
      <c r="Y197" s="714">
        <f t="shared" si="33"/>
        <v>1</v>
      </c>
      <c r="Z197" s="233">
        <f t="shared" si="34"/>
        <v>10383450.336275902</v>
      </c>
      <c r="AA197" s="233">
        <f t="shared" si="35"/>
        <v>10383450.336275902</v>
      </c>
      <c r="AB197" s="233">
        <f t="shared" si="36"/>
        <v>10383450.336275902</v>
      </c>
      <c r="AC197" s="233">
        <f t="shared" si="37"/>
        <v>10383450.336275902</v>
      </c>
      <c r="AD197" s="238">
        <f t="shared" si="38"/>
        <v>10383450.336275902</v>
      </c>
      <c r="AE197" s="238">
        <f t="shared" si="39"/>
        <v>10383450.336275902</v>
      </c>
      <c r="AF197" s="238">
        <f t="shared" si="40"/>
        <v>62300702.017655417</v>
      </c>
      <c r="AG197" s="206">
        <f t="shared" si="41"/>
        <v>2012</v>
      </c>
      <c r="AH197" s="210">
        <f t="shared" si="42"/>
        <v>456871824.79613966</v>
      </c>
    </row>
    <row r="198" spans="1:34" s="48" customFormat="1" ht="40.5" customHeight="1" x14ac:dyDescent="0.2">
      <c r="A198" s="296">
        <v>26</v>
      </c>
      <c r="B198" s="48" t="s">
        <v>2908</v>
      </c>
      <c r="C198" s="772" t="s">
        <v>4246</v>
      </c>
      <c r="D198" s="73"/>
      <c r="E198" s="65" t="s">
        <v>2702</v>
      </c>
      <c r="F198" s="67" t="s">
        <v>1752</v>
      </c>
      <c r="G198" s="404" t="s">
        <v>68</v>
      </c>
      <c r="H198" s="405" t="s">
        <v>43</v>
      </c>
      <c r="I198" s="408" t="s">
        <v>1786</v>
      </c>
      <c r="J198" s="408" t="s">
        <v>1934</v>
      </c>
      <c r="K198" s="408"/>
      <c r="L198" s="72" t="s">
        <v>1095</v>
      </c>
      <c r="M198" s="40">
        <v>2012</v>
      </c>
      <c r="N198" s="40" t="s">
        <v>1938</v>
      </c>
      <c r="O198" s="32"/>
      <c r="P198" s="33"/>
      <c r="Q198" s="40"/>
      <c r="R198" s="32" t="s">
        <v>12</v>
      </c>
      <c r="S198" s="252">
        <v>36800000</v>
      </c>
      <c r="T198" s="105"/>
      <c r="U198" s="206" t="str">
        <f t="shared" si="29"/>
        <v>03.11.01</v>
      </c>
      <c r="V198" s="207" t="str">
        <f t="shared" si="30"/>
        <v>Bangunan Gedung Tempat Kerja</v>
      </c>
      <c r="W198" s="207">
        <f t="shared" si="31"/>
        <v>50</v>
      </c>
      <c r="X198" s="233">
        <f t="shared" si="32"/>
        <v>735999.8</v>
      </c>
      <c r="Y198" s="714">
        <f t="shared" si="33"/>
        <v>1</v>
      </c>
      <c r="Z198" s="233">
        <f t="shared" si="34"/>
        <v>735999.8</v>
      </c>
      <c r="AA198" s="233">
        <f t="shared" si="35"/>
        <v>735999.8</v>
      </c>
      <c r="AB198" s="233">
        <f t="shared" si="36"/>
        <v>735999.8</v>
      </c>
      <c r="AC198" s="233">
        <f t="shared" si="37"/>
        <v>735999.8</v>
      </c>
      <c r="AD198" s="238">
        <f t="shared" si="38"/>
        <v>735999.8</v>
      </c>
      <c r="AE198" s="238">
        <f t="shared" si="39"/>
        <v>735999.8</v>
      </c>
      <c r="AF198" s="238">
        <f t="shared" si="40"/>
        <v>4415998.8</v>
      </c>
      <c r="AG198" s="206">
        <f t="shared" si="41"/>
        <v>2012</v>
      </c>
      <c r="AH198" s="210">
        <f t="shared" si="42"/>
        <v>32384001.199999999</v>
      </c>
    </row>
    <row r="199" spans="1:34" s="48" customFormat="1" ht="40.5" customHeight="1" x14ac:dyDescent="0.2">
      <c r="A199" s="296">
        <v>26</v>
      </c>
      <c r="B199" s="48" t="s">
        <v>2908</v>
      </c>
      <c r="C199" s="772" t="s">
        <v>4246</v>
      </c>
      <c r="D199" s="73"/>
      <c r="E199" s="65" t="s">
        <v>2708</v>
      </c>
      <c r="F199" s="67" t="s">
        <v>1752</v>
      </c>
      <c r="G199" s="404" t="s">
        <v>1864</v>
      </c>
      <c r="H199" s="405" t="s">
        <v>43</v>
      </c>
      <c r="I199" s="408" t="s">
        <v>1786</v>
      </c>
      <c r="J199" s="408" t="s">
        <v>1934</v>
      </c>
      <c r="K199" s="408"/>
      <c r="L199" s="72" t="s">
        <v>1095</v>
      </c>
      <c r="M199" s="40">
        <v>2012</v>
      </c>
      <c r="N199" s="40" t="s">
        <v>1951</v>
      </c>
      <c r="O199" s="32"/>
      <c r="P199" s="33"/>
      <c r="Q199" s="40"/>
      <c r="R199" s="32" t="s">
        <v>12</v>
      </c>
      <c r="S199" s="252">
        <v>25213000</v>
      </c>
      <c r="T199" s="105"/>
      <c r="U199" s="206" t="str">
        <f t="shared" si="29"/>
        <v>03.11.01</v>
      </c>
      <c r="V199" s="207" t="str">
        <f t="shared" si="30"/>
        <v>Bangunan Gedung Tempat Kerja</v>
      </c>
      <c r="W199" s="207">
        <f t="shared" si="31"/>
        <v>50</v>
      </c>
      <c r="X199" s="233">
        <f t="shared" si="32"/>
        <v>504259.8</v>
      </c>
      <c r="Y199" s="714">
        <f t="shared" si="33"/>
        <v>1</v>
      </c>
      <c r="Z199" s="233">
        <f t="shared" si="34"/>
        <v>504259.8</v>
      </c>
      <c r="AA199" s="233">
        <f t="shared" si="35"/>
        <v>504259.8</v>
      </c>
      <c r="AB199" s="233">
        <f t="shared" si="36"/>
        <v>504259.8</v>
      </c>
      <c r="AC199" s="233">
        <f t="shared" si="37"/>
        <v>504259.8</v>
      </c>
      <c r="AD199" s="238">
        <f t="shared" si="38"/>
        <v>504259.8</v>
      </c>
      <c r="AE199" s="238">
        <f t="shared" si="39"/>
        <v>504259.8</v>
      </c>
      <c r="AF199" s="238">
        <f t="shared" si="40"/>
        <v>3025558.8</v>
      </c>
      <c r="AG199" s="206">
        <f t="shared" si="41"/>
        <v>2012</v>
      </c>
      <c r="AH199" s="210">
        <f t="shared" si="42"/>
        <v>22187441.199999999</v>
      </c>
    </row>
    <row r="200" spans="1:34" s="48" customFormat="1" ht="40.5" hidden="1" customHeight="1" x14ac:dyDescent="0.2">
      <c r="A200" s="296">
        <v>46</v>
      </c>
      <c r="B200" s="48" t="s">
        <v>4292</v>
      </c>
      <c r="C200" s="772" t="s">
        <v>4247</v>
      </c>
      <c r="D200" s="73"/>
      <c r="E200" s="65" t="s">
        <v>2709</v>
      </c>
      <c r="F200" s="67" t="s">
        <v>1772</v>
      </c>
      <c r="G200" s="67" t="s">
        <v>39</v>
      </c>
      <c r="H200" s="33" t="s">
        <v>43</v>
      </c>
      <c r="I200" s="40" t="s">
        <v>1786</v>
      </c>
      <c r="J200" s="40" t="s">
        <v>1934</v>
      </c>
      <c r="K200" s="40"/>
      <c r="L200" s="72" t="s">
        <v>2942</v>
      </c>
      <c r="M200" s="40">
        <v>2012</v>
      </c>
      <c r="N200" s="40" t="s">
        <v>1954</v>
      </c>
      <c r="O200" s="32"/>
      <c r="P200" s="33"/>
      <c r="Q200" s="40"/>
      <c r="R200" s="32" t="s">
        <v>12</v>
      </c>
      <c r="S200" s="252">
        <v>49368000</v>
      </c>
      <c r="T200" s="105"/>
      <c r="U200" s="206" t="str">
        <f t="shared" si="29"/>
        <v>03.11.01</v>
      </c>
      <c r="V200" s="207" t="str">
        <f t="shared" si="30"/>
        <v>Bangunan Gedung Tempat Kerja</v>
      </c>
      <c r="W200" s="207">
        <f t="shared" si="31"/>
        <v>50</v>
      </c>
      <c r="X200" s="233">
        <f t="shared" si="32"/>
        <v>987359.8</v>
      </c>
      <c r="Y200" s="714">
        <f t="shared" si="33"/>
        <v>1</v>
      </c>
      <c r="Z200" s="233">
        <f t="shared" si="34"/>
        <v>987359.8</v>
      </c>
      <c r="AA200" s="233">
        <f t="shared" si="35"/>
        <v>987359.8</v>
      </c>
      <c r="AB200" s="233">
        <f t="shared" si="36"/>
        <v>987359.8</v>
      </c>
      <c r="AC200" s="233">
        <f t="shared" si="37"/>
        <v>987359.8</v>
      </c>
      <c r="AD200" s="238">
        <f t="shared" si="38"/>
        <v>987359.8</v>
      </c>
      <c r="AE200" s="238">
        <f t="shared" si="39"/>
        <v>987359.8</v>
      </c>
      <c r="AF200" s="238">
        <f t="shared" si="40"/>
        <v>5924158.7999999998</v>
      </c>
      <c r="AG200" s="206">
        <f t="shared" si="41"/>
        <v>2012</v>
      </c>
      <c r="AH200" s="210">
        <f t="shared" si="42"/>
        <v>43443841.200000003</v>
      </c>
    </row>
    <row r="201" spans="1:34" s="48" customFormat="1" ht="40.5" hidden="1" customHeight="1" x14ac:dyDescent="0.2">
      <c r="A201" s="296"/>
      <c r="B201" s="48" t="s">
        <v>2903</v>
      </c>
      <c r="C201" s="772"/>
      <c r="D201" s="73"/>
      <c r="E201" s="65" t="s">
        <v>2710</v>
      </c>
      <c r="F201" s="67" t="s">
        <v>2843</v>
      </c>
      <c r="G201" s="67"/>
      <c r="H201" s="33" t="s">
        <v>43</v>
      </c>
      <c r="I201" s="40"/>
      <c r="J201" s="40"/>
      <c r="K201" s="40"/>
      <c r="L201" s="72" t="s">
        <v>1956</v>
      </c>
      <c r="M201" s="40">
        <v>2012</v>
      </c>
      <c r="N201" s="40"/>
      <c r="O201" s="32"/>
      <c r="P201" s="33"/>
      <c r="Q201" s="40"/>
      <c r="R201" s="32" t="s">
        <v>12</v>
      </c>
      <c r="S201" s="252">
        <v>107448943.1871327</v>
      </c>
      <c r="T201" s="105"/>
      <c r="U201" s="206" t="str">
        <f t="shared" si="29"/>
        <v>03.11.01</v>
      </c>
      <c r="V201" s="207" t="str">
        <f t="shared" si="30"/>
        <v>Bangunan Gedung Tempat Kerja</v>
      </c>
      <c r="W201" s="207">
        <f t="shared" si="31"/>
        <v>50</v>
      </c>
      <c r="X201" s="233">
        <f t="shared" si="32"/>
        <v>2148978.663742654</v>
      </c>
      <c r="Y201" s="714">
        <f t="shared" si="33"/>
        <v>1</v>
      </c>
      <c r="Z201" s="233">
        <f t="shared" si="34"/>
        <v>2148978.663742654</v>
      </c>
      <c r="AA201" s="233">
        <f t="shared" si="35"/>
        <v>2148978.663742654</v>
      </c>
      <c r="AB201" s="233">
        <f t="shared" si="36"/>
        <v>2148978.663742654</v>
      </c>
      <c r="AC201" s="233">
        <f t="shared" si="37"/>
        <v>2148978.663742654</v>
      </c>
      <c r="AD201" s="238">
        <f t="shared" si="38"/>
        <v>2148978.663742654</v>
      </c>
      <c r="AE201" s="238">
        <f t="shared" si="39"/>
        <v>2148978.663742654</v>
      </c>
      <c r="AF201" s="238">
        <f t="shared" si="40"/>
        <v>12893871.982455924</v>
      </c>
      <c r="AG201" s="206">
        <f t="shared" si="41"/>
        <v>2012</v>
      </c>
      <c r="AH201" s="210">
        <f t="shared" si="42"/>
        <v>94555071.204676777</v>
      </c>
    </row>
    <row r="202" spans="1:34" s="48" customFormat="1" ht="40.5" hidden="1" customHeight="1" x14ac:dyDescent="0.2">
      <c r="A202" s="296"/>
      <c r="B202" s="48" t="s">
        <v>4745</v>
      </c>
      <c r="C202" s="772"/>
      <c r="D202" s="73"/>
      <c r="E202" s="65" t="s">
        <v>2711</v>
      </c>
      <c r="F202" s="67" t="s">
        <v>1752</v>
      </c>
      <c r="G202" s="67" t="s">
        <v>1870</v>
      </c>
      <c r="H202" s="33" t="s">
        <v>43</v>
      </c>
      <c r="I202" s="40" t="s">
        <v>1786</v>
      </c>
      <c r="J202" s="40" t="s">
        <v>1934</v>
      </c>
      <c r="K202" s="40"/>
      <c r="L202" s="72" t="s">
        <v>1958</v>
      </c>
      <c r="M202" s="40">
        <v>2012</v>
      </c>
      <c r="N202" s="40" t="s">
        <v>1959</v>
      </c>
      <c r="O202" s="32"/>
      <c r="P202" s="33"/>
      <c r="Q202" s="40"/>
      <c r="R202" s="32" t="s">
        <v>12</v>
      </c>
      <c r="S202" s="252">
        <v>81058991.464514166</v>
      </c>
      <c r="T202" s="105"/>
      <c r="U202" s="206" t="str">
        <f t="shared" si="29"/>
        <v>03.11.01</v>
      </c>
      <c r="V202" s="207" t="str">
        <f t="shared" si="30"/>
        <v>Bangunan Gedung Tempat Kerja</v>
      </c>
      <c r="W202" s="207">
        <f t="shared" si="31"/>
        <v>50</v>
      </c>
      <c r="X202" s="233">
        <f t="shared" si="32"/>
        <v>1621179.6292902834</v>
      </c>
      <c r="Y202" s="714">
        <f t="shared" si="33"/>
        <v>1</v>
      </c>
      <c r="Z202" s="233">
        <f t="shared" si="34"/>
        <v>1621179.6292902834</v>
      </c>
      <c r="AA202" s="233">
        <f t="shared" si="35"/>
        <v>1621179.6292902834</v>
      </c>
      <c r="AB202" s="233">
        <f t="shared" si="36"/>
        <v>1621179.6292902834</v>
      </c>
      <c r="AC202" s="233">
        <f t="shared" si="37"/>
        <v>1621179.6292902834</v>
      </c>
      <c r="AD202" s="238">
        <f t="shared" si="38"/>
        <v>1621179.6292902834</v>
      </c>
      <c r="AE202" s="238">
        <f t="shared" si="39"/>
        <v>1621179.6292902834</v>
      </c>
      <c r="AF202" s="238">
        <f t="shared" si="40"/>
        <v>9727077.7757417001</v>
      </c>
      <c r="AG202" s="206">
        <f t="shared" si="41"/>
        <v>2012</v>
      </c>
      <c r="AH202" s="210">
        <f t="shared" si="42"/>
        <v>71331913.68877247</v>
      </c>
    </row>
    <row r="203" spans="1:34" s="48" customFormat="1" ht="40.5" hidden="1" customHeight="1" x14ac:dyDescent="0.2">
      <c r="A203" s="296"/>
      <c r="B203" s="48" t="s">
        <v>4305</v>
      </c>
      <c r="C203" s="772"/>
      <c r="D203" s="73"/>
      <c r="E203" s="65" t="s">
        <v>2712</v>
      </c>
      <c r="F203" s="67" t="s">
        <v>1752</v>
      </c>
      <c r="G203" s="67" t="s">
        <v>1888</v>
      </c>
      <c r="H203" s="33" t="s">
        <v>43</v>
      </c>
      <c r="I203" s="40" t="s">
        <v>1786</v>
      </c>
      <c r="J203" s="40" t="s">
        <v>1934</v>
      </c>
      <c r="K203" s="40">
        <v>120</v>
      </c>
      <c r="L203" s="72" t="s">
        <v>1961</v>
      </c>
      <c r="M203" s="40">
        <v>2012</v>
      </c>
      <c r="N203" s="40" t="s">
        <v>1962</v>
      </c>
      <c r="O203" s="32"/>
      <c r="P203" s="33"/>
      <c r="Q203" s="40"/>
      <c r="R203" s="32" t="s">
        <v>12</v>
      </c>
      <c r="S203" s="252">
        <v>351466878.48290658</v>
      </c>
      <c r="T203" s="105"/>
      <c r="U203" s="206" t="str">
        <f t="shared" si="29"/>
        <v>03.11.01</v>
      </c>
      <c r="V203" s="207" t="str">
        <f t="shared" si="30"/>
        <v>Bangunan Gedung Tempat Kerja</v>
      </c>
      <c r="W203" s="207">
        <f t="shared" si="31"/>
        <v>50</v>
      </c>
      <c r="X203" s="233">
        <f t="shared" si="32"/>
        <v>7029337.3696581312</v>
      </c>
      <c r="Y203" s="714">
        <f t="shared" si="33"/>
        <v>1</v>
      </c>
      <c r="Z203" s="233">
        <f t="shared" si="34"/>
        <v>7029337.3696581312</v>
      </c>
      <c r="AA203" s="233">
        <f t="shared" si="35"/>
        <v>7029337.3696581312</v>
      </c>
      <c r="AB203" s="233">
        <f t="shared" si="36"/>
        <v>7029337.3696581312</v>
      </c>
      <c r="AC203" s="233">
        <f t="shared" si="37"/>
        <v>7029337.3696581312</v>
      </c>
      <c r="AD203" s="238">
        <f t="shared" si="38"/>
        <v>7029337.3696581312</v>
      </c>
      <c r="AE203" s="238">
        <f t="shared" si="39"/>
        <v>7029337.3696581312</v>
      </c>
      <c r="AF203" s="238">
        <f t="shared" si="40"/>
        <v>42176024.217948779</v>
      </c>
      <c r="AG203" s="206">
        <f t="shared" si="41"/>
        <v>2012</v>
      </c>
      <c r="AH203" s="210">
        <f t="shared" si="42"/>
        <v>309290854.26495779</v>
      </c>
    </row>
    <row r="204" spans="1:34" s="48" customFormat="1" ht="40.5" hidden="1" customHeight="1" x14ac:dyDescent="0.2">
      <c r="A204" s="296"/>
      <c r="B204" s="48" t="s">
        <v>4306</v>
      </c>
      <c r="C204" s="772"/>
      <c r="D204" s="73"/>
      <c r="E204" s="65" t="s">
        <v>2713</v>
      </c>
      <c r="F204" s="67" t="s">
        <v>1752</v>
      </c>
      <c r="G204" s="67" t="s">
        <v>1895</v>
      </c>
      <c r="H204" s="33" t="s">
        <v>43</v>
      </c>
      <c r="I204" s="40" t="s">
        <v>1786</v>
      </c>
      <c r="J204" s="40" t="s">
        <v>1934</v>
      </c>
      <c r="K204" s="40">
        <v>120</v>
      </c>
      <c r="L204" s="72" t="s">
        <v>1964</v>
      </c>
      <c r="M204" s="40">
        <v>2012</v>
      </c>
      <c r="N204" s="40" t="s">
        <v>1965</v>
      </c>
      <c r="O204" s="32"/>
      <c r="P204" s="33"/>
      <c r="Q204" s="40"/>
      <c r="R204" s="32" t="s">
        <v>12</v>
      </c>
      <c r="S204" s="252">
        <v>362976238.0473305</v>
      </c>
      <c r="T204" s="105"/>
      <c r="U204" s="206" t="str">
        <f t="shared" si="29"/>
        <v>03.11.01</v>
      </c>
      <c r="V204" s="207" t="str">
        <f t="shared" si="30"/>
        <v>Bangunan Gedung Tempat Kerja</v>
      </c>
      <c r="W204" s="207">
        <f t="shared" si="31"/>
        <v>50</v>
      </c>
      <c r="X204" s="233">
        <f t="shared" si="32"/>
        <v>7259524.5609466098</v>
      </c>
      <c r="Y204" s="714">
        <f t="shared" si="33"/>
        <v>1</v>
      </c>
      <c r="Z204" s="233">
        <f t="shared" si="34"/>
        <v>7259524.5609466098</v>
      </c>
      <c r="AA204" s="233">
        <f t="shared" si="35"/>
        <v>7259524.5609466098</v>
      </c>
      <c r="AB204" s="233">
        <f t="shared" si="36"/>
        <v>7259524.5609466098</v>
      </c>
      <c r="AC204" s="233">
        <f t="shared" si="37"/>
        <v>7259524.5609466098</v>
      </c>
      <c r="AD204" s="238">
        <f t="shared" si="38"/>
        <v>7259524.5609466098</v>
      </c>
      <c r="AE204" s="238">
        <f t="shared" si="39"/>
        <v>7259524.5609466098</v>
      </c>
      <c r="AF204" s="238">
        <f t="shared" si="40"/>
        <v>43557147.365679666</v>
      </c>
      <c r="AG204" s="206">
        <f t="shared" si="41"/>
        <v>2012</v>
      </c>
      <c r="AH204" s="210">
        <f t="shared" si="42"/>
        <v>319419090.68165082</v>
      </c>
    </row>
    <row r="205" spans="1:34" s="48" customFormat="1" ht="40.5" hidden="1" customHeight="1" x14ac:dyDescent="0.2">
      <c r="A205" s="296"/>
      <c r="B205" s="48" t="s">
        <v>4323</v>
      </c>
      <c r="C205" s="772"/>
      <c r="D205" s="73"/>
      <c r="E205" s="65" t="s">
        <v>2714</v>
      </c>
      <c r="F205" s="67" t="s">
        <v>1752</v>
      </c>
      <c r="G205" s="67" t="s">
        <v>1899</v>
      </c>
      <c r="H205" s="33" t="s">
        <v>43</v>
      </c>
      <c r="I205" s="40" t="s">
        <v>1786</v>
      </c>
      <c r="J205" s="40" t="s">
        <v>1934</v>
      </c>
      <c r="K205" s="40">
        <v>120</v>
      </c>
      <c r="L205" s="72" t="s">
        <v>1967</v>
      </c>
      <c r="M205" s="40">
        <v>2012</v>
      </c>
      <c r="N205" s="40" t="s">
        <v>1968</v>
      </c>
      <c r="O205" s="32"/>
      <c r="P205" s="33"/>
      <c r="Q205" s="40"/>
      <c r="R205" s="32" t="s">
        <v>12</v>
      </c>
      <c r="S205" s="252">
        <v>392223433.04041535</v>
      </c>
      <c r="T205" s="105"/>
      <c r="U205" s="206" t="str">
        <f t="shared" si="29"/>
        <v>03.11.01</v>
      </c>
      <c r="V205" s="207" t="str">
        <f t="shared" si="30"/>
        <v>Bangunan Gedung Tempat Kerja</v>
      </c>
      <c r="W205" s="207">
        <f t="shared" si="31"/>
        <v>50</v>
      </c>
      <c r="X205" s="233">
        <f t="shared" si="32"/>
        <v>7844468.4608083069</v>
      </c>
      <c r="Y205" s="714">
        <f t="shared" si="33"/>
        <v>1</v>
      </c>
      <c r="Z205" s="233">
        <f t="shared" si="34"/>
        <v>7844468.4608083069</v>
      </c>
      <c r="AA205" s="233">
        <f t="shared" si="35"/>
        <v>7844468.4608083069</v>
      </c>
      <c r="AB205" s="233">
        <f t="shared" si="36"/>
        <v>7844468.4608083069</v>
      </c>
      <c r="AC205" s="233">
        <f t="shared" si="37"/>
        <v>7844468.4608083069</v>
      </c>
      <c r="AD205" s="238">
        <f t="shared" si="38"/>
        <v>7844468.4608083069</v>
      </c>
      <c r="AE205" s="238">
        <f t="shared" si="39"/>
        <v>7844468.4608083069</v>
      </c>
      <c r="AF205" s="238">
        <f t="shared" si="40"/>
        <v>47066810.764849842</v>
      </c>
      <c r="AG205" s="206">
        <f t="shared" si="41"/>
        <v>2012</v>
      </c>
      <c r="AH205" s="210">
        <f t="shared" si="42"/>
        <v>345156622.27556551</v>
      </c>
    </row>
    <row r="206" spans="1:34" s="48" customFormat="1" ht="40.5" hidden="1" customHeight="1" x14ac:dyDescent="0.2">
      <c r="A206" s="296">
        <v>40</v>
      </c>
      <c r="B206" s="48" t="s">
        <v>4267</v>
      </c>
      <c r="C206" s="772" t="s">
        <v>4247</v>
      </c>
      <c r="D206" s="73"/>
      <c r="E206" s="65" t="s">
        <v>2703</v>
      </c>
      <c r="F206" s="67" t="s">
        <v>1752</v>
      </c>
      <c r="G206" s="67" t="s">
        <v>1906</v>
      </c>
      <c r="H206" s="33" t="s">
        <v>43</v>
      </c>
      <c r="I206" s="40" t="s">
        <v>1786</v>
      </c>
      <c r="J206" s="40" t="s">
        <v>1934</v>
      </c>
      <c r="K206" s="40">
        <v>120</v>
      </c>
      <c r="L206" s="72" t="s">
        <v>892</v>
      </c>
      <c r="M206" s="40">
        <v>2012</v>
      </c>
      <c r="N206" s="40" t="s">
        <v>1973</v>
      </c>
      <c r="O206" s="32"/>
      <c r="P206" s="33"/>
      <c r="Q206" s="40"/>
      <c r="R206" s="32" t="s">
        <v>12</v>
      </c>
      <c r="S206" s="252">
        <v>525749159.54341811</v>
      </c>
      <c r="T206" s="105"/>
      <c r="U206" s="206" t="str">
        <f t="shared" si="29"/>
        <v>03.11.01</v>
      </c>
      <c r="V206" s="207" t="str">
        <f t="shared" si="30"/>
        <v>Bangunan Gedung Tempat Kerja</v>
      </c>
      <c r="W206" s="207">
        <f t="shared" si="31"/>
        <v>50</v>
      </c>
      <c r="X206" s="233">
        <f t="shared" si="32"/>
        <v>10514982.990868362</v>
      </c>
      <c r="Y206" s="714">
        <f t="shared" si="33"/>
        <v>1</v>
      </c>
      <c r="Z206" s="233">
        <f t="shared" si="34"/>
        <v>10514982.990868362</v>
      </c>
      <c r="AA206" s="233">
        <f t="shared" si="35"/>
        <v>10514982.990868362</v>
      </c>
      <c r="AB206" s="233">
        <f t="shared" si="36"/>
        <v>10514982.990868362</v>
      </c>
      <c r="AC206" s="233">
        <f t="shared" si="37"/>
        <v>10514982.990868362</v>
      </c>
      <c r="AD206" s="238">
        <f t="shared" si="38"/>
        <v>10514982.990868362</v>
      </c>
      <c r="AE206" s="238">
        <f t="shared" si="39"/>
        <v>10514982.990868362</v>
      </c>
      <c r="AF206" s="238">
        <f t="shared" si="40"/>
        <v>63089897.945210166</v>
      </c>
      <c r="AG206" s="206">
        <f t="shared" si="41"/>
        <v>2012</v>
      </c>
      <c r="AH206" s="210">
        <f t="shared" si="42"/>
        <v>462659261.59820795</v>
      </c>
    </row>
    <row r="207" spans="1:34" s="48" customFormat="1" ht="40.5" hidden="1" customHeight="1" x14ac:dyDescent="0.2">
      <c r="A207" s="296">
        <v>46</v>
      </c>
      <c r="B207" s="48" t="s">
        <v>4292</v>
      </c>
      <c r="C207" s="772" t="s">
        <v>4247</v>
      </c>
      <c r="D207" s="73"/>
      <c r="E207" s="65" t="s">
        <v>2709</v>
      </c>
      <c r="F207" s="67" t="s">
        <v>1772</v>
      </c>
      <c r="G207" s="67" t="s">
        <v>68</v>
      </c>
      <c r="H207" s="33" t="s">
        <v>43</v>
      </c>
      <c r="I207" s="40" t="s">
        <v>1786</v>
      </c>
      <c r="J207" s="40" t="s">
        <v>1934</v>
      </c>
      <c r="K207" s="40"/>
      <c r="L207" s="72" t="s">
        <v>2942</v>
      </c>
      <c r="M207" s="40">
        <v>2012</v>
      </c>
      <c r="N207" s="40" t="s">
        <v>1979</v>
      </c>
      <c r="O207" s="32"/>
      <c r="P207" s="33"/>
      <c r="Q207" s="40"/>
      <c r="R207" s="32" t="s">
        <v>12</v>
      </c>
      <c r="S207" s="252">
        <v>1966923816.2265131</v>
      </c>
      <c r="T207" s="105"/>
      <c r="U207" s="206" t="str">
        <f t="shared" ref="U207:U270" si="43">LEFT(F207,8)</f>
        <v>03.11.01</v>
      </c>
      <c r="V207" s="207" t="str">
        <f t="shared" ref="V207:V270" si="44">VLOOKUP(U207,UE,3)</f>
        <v>Bangunan Gedung Tempat Kerja</v>
      </c>
      <c r="W207" s="207">
        <f t="shared" ref="W207:W270" si="45">VLOOKUP(U207,UE,4)</f>
        <v>50</v>
      </c>
      <c r="X207" s="233">
        <f t="shared" ref="X207:X270" si="46">(S207-10)/W207</f>
        <v>39338476.124530263</v>
      </c>
      <c r="Y207" s="714">
        <f t="shared" ref="Y207:Y270" si="47">IF(2013-M207&gt;W207,W207,IF(2013-M207&lt;0,0,2013-M207))</f>
        <v>1</v>
      </c>
      <c r="Z207" s="233">
        <f t="shared" ref="Z207:Z270" si="48">IF(Y207&gt;W207,S207-10,X207*Y207)</f>
        <v>39338476.124530263</v>
      </c>
      <c r="AA207" s="233">
        <f t="shared" ref="AA207:AA270" si="49">IF(S207-10=Z207,0,X207)</f>
        <v>39338476.124530263</v>
      </c>
      <c r="AB207" s="233">
        <f t="shared" ref="AB207:AB270" si="50">IF(S207-10=Z207+AA207,0,X207)</f>
        <v>39338476.124530263</v>
      </c>
      <c r="AC207" s="233">
        <f t="shared" ref="AC207:AC270" si="51">IF(S207-10=Z207+AA207+AB207,0,X207)</f>
        <v>39338476.124530263</v>
      </c>
      <c r="AD207" s="238">
        <f t="shared" ref="AD207:AD270" si="52">IF(S207-10=Z207+AA207+AB207+AC207,0,X207)</f>
        <v>39338476.124530263</v>
      </c>
      <c r="AE207" s="238">
        <f t="shared" ref="AE207:AE270" si="53">IF(S207-10=Z207+AA207+AB207+AC207+AD207,0,X207)</f>
        <v>39338476.124530263</v>
      </c>
      <c r="AF207" s="238">
        <f t="shared" ref="AF207:AF270" si="54">SUM(Z207:AE207)</f>
        <v>236030856.74718156</v>
      </c>
      <c r="AG207" s="206">
        <f t="shared" ref="AG207:AG270" si="55">M207</f>
        <v>2012</v>
      </c>
      <c r="AH207" s="210">
        <f t="shared" ref="AH207:AH270" si="56">S207-AF207</f>
        <v>1730892959.4793315</v>
      </c>
    </row>
    <row r="208" spans="1:34" s="48" customFormat="1" ht="40.5" hidden="1" customHeight="1" x14ac:dyDescent="0.2">
      <c r="A208" s="296"/>
      <c r="B208" s="48" t="s">
        <v>4356</v>
      </c>
      <c r="C208" s="772"/>
      <c r="D208" s="73"/>
      <c r="E208" s="65" t="s">
        <v>2717</v>
      </c>
      <c r="F208" s="67" t="s">
        <v>2843</v>
      </c>
      <c r="G208" s="67" t="s">
        <v>68</v>
      </c>
      <c r="H208" s="33" t="s">
        <v>43</v>
      </c>
      <c r="I208" s="40" t="s">
        <v>1786</v>
      </c>
      <c r="J208" s="40" t="s">
        <v>1934</v>
      </c>
      <c r="K208" s="40"/>
      <c r="L208" s="72" t="s">
        <v>1981</v>
      </c>
      <c r="M208" s="40">
        <v>2012</v>
      </c>
      <c r="N208" s="40" t="s">
        <v>1982</v>
      </c>
      <c r="O208" s="32"/>
      <c r="P208" s="33"/>
      <c r="Q208" s="40"/>
      <c r="R208" s="32" t="s">
        <v>12</v>
      </c>
      <c r="S208" s="252">
        <v>82249788.859167397</v>
      </c>
      <c r="T208" s="105"/>
      <c r="U208" s="206" t="str">
        <f t="shared" si="43"/>
        <v>03.11.01</v>
      </c>
      <c r="V208" s="207" t="str">
        <f t="shared" si="44"/>
        <v>Bangunan Gedung Tempat Kerja</v>
      </c>
      <c r="W208" s="207">
        <f t="shared" si="45"/>
        <v>50</v>
      </c>
      <c r="X208" s="233">
        <f t="shared" si="46"/>
        <v>1644995.5771833479</v>
      </c>
      <c r="Y208" s="714">
        <f t="shared" si="47"/>
        <v>1</v>
      </c>
      <c r="Z208" s="233">
        <f t="shared" si="48"/>
        <v>1644995.5771833479</v>
      </c>
      <c r="AA208" s="233">
        <f t="shared" si="49"/>
        <v>1644995.5771833479</v>
      </c>
      <c r="AB208" s="233">
        <f t="shared" si="50"/>
        <v>1644995.5771833479</v>
      </c>
      <c r="AC208" s="233">
        <f t="shared" si="51"/>
        <v>1644995.5771833479</v>
      </c>
      <c r="AD208" s="238">
        <f t="shared" si="52"/>
        <v>1644995.5771833479</v>
      </c>
      <c r="AE208" s="238">
        <f t="shared" si="53"/>
        <v>1644995.5771833479</v>
      </c>
      <c r="AF208" s="238">
        <f t="shared" si="54"/>
        <v>9869973.4631000869</v>
      </c>
      <c r="AG208" s="206">
        <f t="shared" si="55"/>
        <v>2012</v>
      </c>
      <c r="AH208" s="210">
        <f t="shared" si="56"/>
        <v>72379815.396067306</v>
      </c>
    </row>
    <row r="209" spans="1:34" s="670" customFormat="1" ht="40.5" hidden="1" customHeight="1" x14ac:dyDescent="0.2">
      <c r="A209" s="669">
        <v>27</v>
      </c>
      <c r="B209" s="670" t="s">
        <v>3009</v>
      </c>
      <c r="C209" s="773" t="s">
        <v>4247</v>
      </c>
      <c r="D209" s="652"/>
      <c r="E209" s="671" t="s">
        <v>2718</v>
      </c>
      <c r="F209" s="653" t="s">
        <v>1984</v>
      </c>
      <c r="G209" s="653" t="s">
        <v>39</v>
      </c>
      <c r="H209" s="673" t="s">
        <v>43</v>
      </c>
      <c r="I209" s="674" t="s">
        <v>1786</v>
      </c>
      <c r="J209" s="674" t="s">
        <v>1934</v>
      </c>
      <c r="K209" s="674"/>
      <c r="L209" s="691" t="s">
        <v>3008</v>
      </c>
      <c r="M209" s="674">
        <v>2012</v>
      </c>
      <c r="N209" s="674" t="s">
        <v>1985</v>
      </c>
      <c r="O209" s="675"/>
      <c r="P209" s="673"/>
      <c r="Q209" s="674"/>
      <c r="R209" s="675" t="s">
        <v>12</v>
      </c>
      <c r="S209" s="654">
        <f>49059200</f>
        <v>49059200</v>
      </c>
      <c r="T209" s="702"/>
      <c r="U209" s="206" t="str">
        <f t="shared" si="43"/>
        <v>03.12.12</v>
      </c>
      <c r="V209" s="207" t="str">
        <f t="shared" si="44"/>
        <v>Rambu-Rambu Lalu Lintas Udara</v>
      </c>
      <c r="W209" s="207">
        <f t="shared" si="45"/>
        <v>50</v>
      </c>
      <c r="X209" s="233">
        <f t="shared" si="46"/>
        <v>981183.8</v>
      </c>
      <c r="Y209" s="714">
        <f t="shared" si="47"/>
        <v>1</v>
      </c>
      <c r="Z209" s="233">
        <f t="shared" si="48"/>
        <v>981183.8</v>
      </c>
      <c r="AA209" s="233">
        <f t="shared" si="49"/>
        <v>981183.8</v>
      </c>
      <c r="AB209" s="233">
        <f t="shared" si="50"/>
        <v>981183.8</v>
      </c>
      <c r="AC209" s="233">
        <f t="shared" si="51"/>
        <v>981183.8</v>
      </c>
      <c r="AD209" s="238">
        <f t="shared" si="52"/>
        <v>981183.8</v>
      </c>
      <c r="AE209" s="238">
        <f t="shared" si="53"/>
        <v>981183.8</v>
      </c>
      <c r="AF209" s="238">
        <f t="shared" si="54"/>
        <v>5887102.7999999998</v>
      </c>
      <c r="AG209" s="206">
        <f t="shared" si="55"/>
        <v>2012</v>
      </c>
      <c r="AH209" s="210">
        <f t="shared" si="56"/>
        <v>43172097.200000003</v>
      </c>
    </row>
    <row r="210" spans="1:34" s="48" customFormat="1" ht="40.5" hidden="1" customHeight="1" x14ac:dyDescent="0.2">
      <c r="A210" s="296">
        <v>27</v>
      </c>
      <c r="B210" s="48" t="s">
        <v>3009</v>
      </c>
      <c r="C210" s="772" t="s">
        <v>4247</v>
      </c>
      <c r="D210" s="73"/>
      <c r="E210" s="65" t="s">
        <v>2719</v>
      </c>
      <c r="F210" s="67" t="s">
        <v>1984</v>
      </c>
      <c r="G210" s="67" t="s">
        <v>68</v>
      </c>
      <c r="H210" s="33" t="s">
        <v>43</v>
      </c>
      <c r="I210" s="40" t="s">
        <v>1786</v>
      </c>
      <c r="J210" s="40" t="s">
        <v>1934</v>
      </c>
      <c r="K210" s="40"/>
      <c r="L210" s="72" t="s">
        <v>3008</v>
      </c>
      <c r="M210" s="40">
        <v>2012</v>
      </c>
      <c r="N210" s="40" t="s">
        <v>1987</v>
      </c>
      <c r="O210" s="32"/>
      <c r="P210" s="33"/>
      <c r="Q210" s="40"/>
      <c r="R210" s="32" t="s">
        <v>12</v>
      </c>
      <c r="S210" s="555">
        <v>48328000</v>
      </c>
      <c r="T210" s="105"/>
      <c r="U210" s="206" t="str">
        <f t="shared" si="43"/>
        <v>03.12.12</v>
      </c>
      <c r="V210" s="207" t="str">
        <f t="shared" si="44"/>
        <v>Rambu-Rambu Lalu Lintas Udara</v>
      </c>
      <c r="W210" s="207">
        <f t="shared" si="45"/>
        <v>50</v>
      </c>
      <c r="X210" s="233">
        <f t="shared" si="46"/>
        <v>966559.8</v>
      </c>
      <c r="Y210" s="714">
        <f t="shared" si="47"/>
        <v>1</v>
      </c>
      <c r="Z210" s="233">
        <f t="shared" si="48"/>
        <v>966559.8</v>
      </c>
      <c r="AA210" s="233">
        <f t="shared" si="49"/>
        <v>966559.8</v>
      </c>
      <c r="AB210" s="233">
        <f t="shared" si="50"/>
        <v>966559.8</v>
      </c>
      <c r="AC210" s="233">
        <f t="shared" si="51"/>
        <v>966559.8</v>
      </c>
      <c r="AD210" s="238">
        <f t="shared" si="52"/>
        <v>966559.8</v>
      </c>
      <c r="AE210" s="238">
        <f t="shared" si="53"/>
        <v>966559.8</v>
      </c>
      <c r="AF210" s="238">
        <f t="shared" si="54"/>
        <v>5799358.7999999998</v>
      </c>
      <c r="AG210" s="206">
        <f t="shared" si="55"/>
        <v>2012</v>
      </c>
      <c r="AH210" s="210">
        <f t="shared" si="56"/>
        <v>42528641.200000003</v>
      </c>
    </row>
    <row r="211" spans="1:34" s="670" customFormat="1" ht="40.5" hidden="1" customHeight="1" x14ac:dyDescent="0.2">
      <c r="A211" s="669">
        <v>28</v>
      </c>
      <c r="B211" s="670" t="s">
        <v>3016</v>
      </c>
      <c r="C211" s="773" t="s">
        <v>4247</v>
      </c>
      <c r="D211" s="652"/>
      <c r="E211" s="671" t="s">
        <v>2720</v>
      </c>
      <c r="F211" s="653" t="s">
        <v>1752</v>
      </c>
      <c r="G211" s="653"/>
      <c r="H211" s="673" t="s">
        <v>43</v>
      </c>
      <c r="I211" s="674"/>
      <c r="J211" s="674"/>
      <c r="K211" s="674"/>
      <c r="L211" s="691" t="s">
        <v>1931</v>
      </c>
      <c r="M211" s="674">
        <v>2013</v>
      </c>
      <c r="N211" s="674"/>
      <c r="O211" s="675"/>
      <c r="P211" s="673"/>
      <c r="Q211" s="674"/>
      <c r="R211" s="675" t="s">
        <v>12</v>
      </c>
      <c r="S211" s="654">
        <f>1689351378.79478</f>
        <v>1689351378.79478</v>
      </c>
      <c r="T211" s="702"/>
      <c r="U211" s="206" t="str">
        <f t="shared" si="43"/>
        <v>03.11.01</v>
      </c>
      <c r="V211" s="207" t="str">
        <f t="shared" si="44"/>
        <v>Bangunan Gedung Tempat Kerja</v>
      </c>
      <c r="W211" s="207">
        <f t="shared" si="45"/>
        <v>50</v>
      </c>
      <c r="X211" s="233">
        <f t="shared" si="46"/>
        <v>33787027.375895597</v>
      </c>
      <c r="Y211" s="714">
        <f t="shared" si="47"/>
        <v>0</v>
      </c>
      <c r="Z211" s="233">
        <f t="shared" si="48"/>
        <v>0</v>
      </c>
      <c r="AA211" s="233">
        <f t="shared" si="49"/>
        <v>33787027.375895597</v>
      </c>
      <c r="AB211" s="233">
        <f t="shared" si="50"/>
        <v>33787027.375895597</v>
      </c>
      <c r="AC211" s="233">
        <f t="shared" si="51"/>
        <v>33787027.375895597</v>
      </c>
      <c r="AD211" s="238">
        <f t="shared" si="52"/>
        <v>33787027.375895597</v>
      </c>
      <c r="AE211" s="238">
        <f t="shared" si="53"/>
        <v>33787027.375895597</v>
      </c>
      <c r="AF211" s="238">
        <f t="shared" si="54"/>
        <v>168935136.87947798</v>
      </c>
      <c r="AG211" s="206">
        <f t="shared" si="55"/>
        <v>2013</v>
      </c>
      <c r="AH211" s="210">
        <f t="shared" si="56"/>
        <v>1520416241.915302</v>
      </c>
    </row>
    <row r="212" spans="1:34" s="48" customFormat="1" ht="40.5" hidden="1" customHeight="1" x14ac:dyDescent="0.2">
      <c r="A212" s="296">
        <v>28</v>
      </c>
      <c r="B212" s="48" t="s">
        <v>3016</v>
      </c>
      <c r="C212" s="772" t="s">
        <v>4247</v>
      </c>
      <c r="D212" s="73"/>
      <c r="E212" s="65" t="s">
        <v>2720</v>
      </c>
      <c r="F212" s="67" t="s">
        <v>1752</v>
      </c>
      <c r="G212" s="67"/>
      <c r="H212" s="33" t="s">
        <v>43</v>
      </c>
      <c r="I212" s="40"/>
      <c r="J212" s="40"/>
      <c r="K212" s="40"/>
      <c r="L212" s="72" t="s">
        <v>1931</v>
      </c>
      <c r="M212" s="40">
        <v>2013</v>
      </c>
      <c r="N212" s="40"/>
      <c r="O212" s="32"/>
      <c r="P212" s="33"/>
      <c r="Q212" s="40"/>
      <c r="R212" s="32" t="s">
        <v>12</v>
      </c>
      <c r="S212" s="252">
        <v>408571621.20522106</v>
      </c>
      <c r="T212" s="105"/>
      <c r="U212" s="206" t="str">
        <f t="shared" si="43"/>
        <v>03.11.01</v>
      </c>
      <c r="V212" s="207" t="str">
        <f t="shared" si="44"/>
        <v>Bangunan Gedung Tempat Kerja</v>
      </c>
      <c r="W212" s="207">
        <f t="shared" si="45"/>
        <v>50</v>
      </c>
      <c r="X212" s="233">
        <f t="shared" si="46"/>
        <v>8171432.2241044212</v>
      </c>
      <c r="Y212" s="714">
        <f t="shared" si="47"/>
        <v>0</v>
      </c>
      <c r="Z212" s="233">
        <f t="shared" si="48"/>
        <v>0</v>
      </c>
      <c r="AA212" s="233">
        <f t="shared" si="49"/>
        <v>8171432.2241044212</v>
      </c>
      <c r="AB212" s="233">
        <f t="shared" si="50"/>
        <v>8171432.2241044212</v>
      </c>
      <c r="AC212" s="233">
        <f t="shared" si="51"/>
        <v>8171432.2241044212</v>
      </c>
      <c r="AD212" s="238">
        <f t="shared" si="52"/>
        <v>8171432.2241044212</v>
      </c>
      <c r="AE212" s="238">
        <f t="shared" si="53"/>
        <v>8171432.2241044212</v>
      </c>
      <c r="AF212" s="238">
        <f t="shared" si="54"/>
        <v>40857161.120522104</v>
      </c>
      <c r="AG212" s="206">
        <f t="shared" si="55"/>
        <v>2013</v>
      </c>
      <c r="AH212" s="210">
        <f t="shared" si="56"/>
        <v>367714460.08469898</v>
      </c>
    </row>
    <row r="213" spans="1:34" s="48" customFormat="1" ht="40.5" hidden="1" customHeight="1" x14ac:dyDescent="0.2">
      <c r="A213" s="296">
        <v>28</v>
      </c>
      <c r="B213" s="48" t="s">
        <v>3016</v>
      </c>
      <c r="C213" s="772" t="s">
        <v>4247</v>
      </c>
      <c r="D213" s="73"/>
      <c r="E213" s="65" t="s">
        <v>2771</v>
      </c>
      <c r="F213" s="67" t="s">
        <v>1752</v>
      </c>
      <c r="G213" s="67" t="s">
        <v>2130</v>
      </c>
      <c r="H213" s="33" t="s">
        <v>43</v>
      </c>
      <c r="I213" s="40" t="s">
        <v>1786</v>
      </c>
      <c r="J213" s="40" t="s">
        <v>1934</v>
      </c>
      <c r="K213" s="40"/>
      <c r="L213" s="72" t="s">
        <v>1776</v>
      </c>
      <c r="M213" s="40">
        <v>2013</v>
      </c>
      <c r="N213" s="40" t="s">
        <v>2131</v>
      </c>
      <c r="O213" s="32"/>
      <c r="P213" s="33"/>
      <c r="Q213" s="40"/>
      <c r="R213" s="32" t="s">
        <v>12</v>
      </c>
      <c r="S213" s="252">
        <v>189561100</v>
      </c>
      <c r="T213" s="105"/>
      <c r="U213" s="206" t="str">
        <f t="shared" si="43"/>
        <v>03.11.01</v>
      </c>
      <c r="V213" s="207" t="str">
        <f t="shared" si="44"/>
        <v>Bangunan Gedung Tempat Kerja</v>
      </c>
      <c r="W213" s="207">
        <f t="shared" si="45"/>
        <v>50</v>
      </c>
      <c r="X213" s="233">
        <f t="shared" si="46"/>
        <v>3791221.8</v>
      </c>
      <c r="Y213" s="714">
        <f t="shared" si="47"/>
        <v>0</v>
      </c>
      <c r="Z213" s="233">
        <f t="shared" si="48"/>
        <v>0</v>
      </c>
      <c r="AA213" s="233">
        <f t="shared" si="49"/>
        <v>3791221.8</v>
      </c>
      <c r="AB213" s="233">
        <f t="shared" si="50"/>
        <v>3791221.8</v>
      </c>
      <c r="AC213" s="233">
        <f t="shared" si="51"/>
        <v>3791221.8</v>
      </c>
      <c r="AD213" s="238">
        <f t="shared" si="52"/>
        <v>3791221.8</v>
      </c>
      <c r="AE213" s="238">
        <f t="shared" si="53"/>
        <v>3791221.8</v>
      </c>
      <c r="AF213" s="238">
        <f t="shared" si="54"/>
        <v>18956109</v>
      </c>
      <c r="AG213" s="206">
        <f t="shared" si="55"/>
        <v>2013</v>
      </c>
      <c r="AH213" s="210">
        <f t="shared" si="56"/>
        <v>170604991</v>
      </c>
    </row>
    <row r="214" spans="1:34" s="48" customFormat="1" ht="40.5" hidden="1" customHeight="1" x14ac:dyDescent="0.2">
      <c r="A214" s="296">
        <v>28</v>
      </c>
      <c r="B214" s="48" t="s">
        <v>3016</v>
      </c>
      <c r="C214" s="772" t="s">
        <v>4247</v>
      </c>
      <c r="D214" s="73"/>
      <c r="E214" s="65" t="s">
        <v>3019</v>
      </c>
      <c r="F214" s="67" t="s">
        <v>1752</v>
      </c>
      <c r="G214" s="67" t="s">
        <v>2205</v>
      </c>
      <c r="H214" s="33" t="s">
        <v>43</v>
      </c>
      <c r="I214" s="40" t="s">
        <v>1786</v>
      </c>
      <c r="J214" s="40" t="s">
        <v>1934</v>
      </c>
      <c r="K214" s="40"/>
      <c r="L214" s="72" t="s">
        <v>1776</v>
      </c>
      <c r="M214" s="40">
        <v>2014</v>
      </c>
      <c r="N214" s="40" t="s">
        <v>2206</v>
      </c>
      <c r="O214" s="32"/>
      <c r="P214" s="33"/>
      <c r="Q214" s="40"/>
      <c r="R214" s="32" t="s">
        <v>12</v>
      </c>
      <c r="S214" s="252">
        <v>74368000</v>
      </c>
      <c r="T214" s="105"/>
      <c r="U214" s="206" t="str">
        <f t="shared" si="43"/>
        <v>03.11.01</v>
      </c>
      <c r="V214" s="207" t="str">
        <f t="shared" si="44"/>
        <v>Bangunan Gedung Tempat Kerja</v>
      </c>
      <c r="W214" s="207">
        <f t="shared" si="45"/>
        <v>50</v>
      </c>
      <c r="X214" s="233">
        <f t="shared" si="46"/>
        <v>1487359.8</v>
      </c>
      <c r="Y214" s="714">
        <f t="shared" si="47"/>
        <v>0</v>
      </c>
      <c r="Z214" s="233">
        <f t="shared" si="48"/>
        <v>0</v>
      </c>
      <c r="AA214" s="233">
        <f t="shared" si="49"/>
        <v>1487359.8</v>
      </c>
      <c r="AB214" s="233">
        <f t="shared" si="50"/>
        <v>1487359.8</v>
      </c>
      <c r="AC214" s="233">
        <f t="shared" si="51"/>
        <v>1487359.8</v>
      </c>
      <c r="AD214" s="238">
        <f t="shared" si="52"/>
        <v>1487359.8</v>
      </c>
      <c r="AE214" s="238">
        <f t="shared" si="53"/>
        <v>1487359.8</v>
      </c>
      <c r="AF214" s="238">
        <f t="shared" si="54"/>
        <v>7436799</v>
      </c>
      <c r="AG214" s="206">
        <f t="shared" si="55"/>
        <v>2014</v>
      </c>
      <c r="AH214" s="210">
        <f t="shared" si="56"/>
        <v>66931201</v>
      </c>
    </row>
    <row r="215" spans="1:34" s="48" customFormat="1" ht="40.5" hidden="1" customHeight="1" x14ac:dyDescent="0.2">
      <c r="A215" s="296"/>
      <c r="B215" s="48" t="s">
        <v>4358</v>
      </c>
      <c r="C215" s="772" t="s">
        <v>4266</v>
      </c>
      <c r="D215" s="73"/>
      <c r="E215" s="65" t="s">
        <v>2699</v>
      </c>
      <c r="F215" s="67" t="s">
        <v>2845</v>
      </c>
      <c r="G215" s="67"/>
      <c r="H215" s="33" t="s">
        <v>43</v>
      </c>
      <c r="I215" s="40"/>
      <c r="J215" s="40"/>
      <c r="K215" s="40"/>
      <c r="L215" s="72" t="s">
        <v>1931</v>
      </c>
      <c r="M215" s="40">
        <v>2013</v>
      </c>
      <c r="N215" s="40"/>
      <c r="O215" s="32"/>
      <c r="P215" s="33"/>
      <c r="Q215" s="40"/>
      <c r="R215" s="32" t="s">
        <v>12</v>
      </c>
      <c r="S215" s="252">
        <v>145567127.71980911</v>
      </c>
      <c r="T215" s="105"/>
      <c r="U215" s="206" t="str">
        <f t="shared" si="43"/>
        <v>03.11.01</v>
      </c>
      <c r="V215" s="207" t="str">
        <f t="shared" si="44"/>
        <v>Bangunan Gedung Tempat Kerja</v>
      </c>
      <c r="W215" s="207">
        <f t="shared" si="45"/>
        <v>50</v>
      </c>
      <c r="X215" s="233">
        <f t="shared" si="46"/>
        <v>2911342.3543961821</v>
      </c>
      <c r="Y215" s="714">
        <f t="shared" si="47"/>
        <v>0</v>
      </c>
      <c r="Z215" s="233">
        <f t="shared" si="48"/>
        <v>0</v>
      </c>
      <c r="AA215" s="233">
        <f t="shared" si="49"/>
        <v>2911342.3543961821</v>
      </c>
      <c r="AB215" s="233">
        <f t="shared" si="50"/>
        <v>2911342.3543961821</v>
      </c>
      <c r="AC215" s="233">
        <f t="shared" si="51"/>
        <v>2911342.3543961821</v>
      </c>
      <c r="AD215" s="238">
        <f t="shared" si="52"/>
        <v>2911342.3543961821</v>
      </c>
      <c r="AE215" s="238">
        <f t="shared" si="53"/>
        <v>2911342.3543961821</v>
      </c>
      <c r="AF215" s="238">
        <f t="shared" si="54"/>
        <v>14556711.771980911</v>
      </c>
      <c r="AG215" s="206">
        <f t="shared" si="55"/>
        <v>2013</v>
      </c>
      <c r="AH215" s="210">
        <f t="shared" si="56"/>
        <v>131010415.9478282</v>
      </c>
    </row>
    <row r="216" spans="1:34" s="48" customFormat="1" ht="40.5" hidden="1" customHeight="1" x14ac:dyDescent="0.2">
      <c r="A216" s="296"/>
      <c r="B216" s="48" t="s">
        <v>4358</v>
      </c>
      <c r="C216" s="772" t="s">
        <v>4266</v>
      </c>
      <c r="D216" s="73"/>
      <c r="E216" s="65" t="s">
        <v>2699</v>
      </c>
      <c r="F216" s="67" t="s">
        <v>2845</v>
      </c>
      <c r="G216" s="67"/>
      <c r="H216" s="33" t="s">
        <v>43</v>
      </c>
      <c r="I216" s="40"/>
      <c r="J216" s="40"/>
      <c r="K216" s="40"/>
      <c r="L216" s="72" t="s">
        <v>1931</v>
      </c>
      <c r="M216" s="40">
        <v>2013</v>
      </c>
      <c r="N216" s="40"/>
      <c r="O216" s="32"/>
      <c r="P216" s="33"/>
      <c r="Q216" s="40"/>
      <c r="R216" s="32" t="s">
        <v>12</v>
      </c>
      <c r="S216" s="252">
        <v>145567127.71980911</v>
      </c>
      <c r="T216" s="105"/>
      <c r="U216" s="206" t="str">
        <f t="shared" si="43"/>
        <v>03.11.01</v>
      </c>
      <c r="V216" s="207" t="str">
        <f t="shared" si="44"/>
        <v>Bangunan Gedung Tempat Kerja</v>
      </c>
      <c r="W216" s="207">
        <f t="shared" si="45"/>
        <v>50</v>
      </c>
      <c r="X216" s="233">
        <f t="shared" si="46"/>
        <v>2911342.3543961821</v>
      </c>
      <c r="Y216" s="714">
        <f t="shared" si="47"/>
        <v>0</v>
      </c>
      <c r="Z216" s="233">
        <f t="shared" si="48"/>
        <v>0</v>
      </c>
      <c r="AA216" s="233">
        <f t="shared" si="49"/>
        <v>2911342.3543961821</v>
      </c>
      <c r="AB216" s="233">
        <f t="shared" si="50"/>
        <v>2911342.3543961821</v>
      </c>
      <c r="AC216" s="233">
        <f t="shared" si="51"/>
        <v>2911342.3543961821</v>
      </c>
      <c r="AD216" s="238">
        <f t="shared" si="52"/>
        <v>2911342.3543961821</v>
      </c>
      <c r="AE216" s="238">
        <f t="shared" si="53"/>
        <v>2911342.3543961821</v>
      </c>
      <c r="AF216" s="238">
        <f t="shared" si="54"/>
        <v>14556711.771980911</v>
      </c>
      <c r="AG216" s="206">
        <f t="shared" si="55"/>
        <v>2013</v>
      </c>
      <c r="AH216" s="210">
        <f t="shared" si="56"/>
        <v>131010415.9478282</v>
      </c>
    </row>
    <row r="217" spans="1:34" s="48" customFormat="1" ht="40.5" hidden="1" customHeight="1" x14ac:dyDescent="0.2">
      <c r="A217" s="296"/>
      <c r="B217" s="48" t="s">
        <v>4358</v>
      </c>
      <c r="C217" s="772" t="s">
        <v>4266</v>
      </c>
      <c r="D217" s="73"/>
      <c r="E217" s="65" t="s">
        <v>2699</v>
      </c>
      <c r="F217" s="67" t="s">
        <v>2845</v>
      </c>
      <c r="G217" s="67"/>
      <c r="H217" s="33" t="s">
        <v>43</v>
      </c>
      <c r="I217" s="40"/>
      <c r="J217" s="40"/>
      <c r="K217" s="40"/>
      <c r="L217" s="72" t="s">
        <v>1931</v>
      </c>
      <c r="M217" s="40">
        <v>2013</v>
      </c>
      <c r="N217" s="40"/>
      <c r="O217" s="32"/>
      <c r="P217" s="33"/>
      <c r="Q217" s="40"/>
      <c r="R217" s="32" t="s">
        <v>12</v>
      </c>
      <c r="S217" s="252">
        <v>145567127.71980911</v>
      </c>
      <c r="T217" s="105"/>
      <c r="U217" s="206" t="str">
        <f t="shared" si="43"/>
        <v>03.11.01</v>
      </c>
      <c r="V217" s="207" t="str">
        <f t="shared" si="44"/>
        <v>Bangunan Gedung Tempat Kerja</v>
      </c>
      <c r="W217" s="207">
        <f t="shared" si="45"/>
        <v>50</v>
      </c>
      <c r="X217" s="233">
        <f t="shared" si="46"/>
        <v>2911342.3543961821</v>
      </c>
      <c r="Y217" s="714">
        <f t="shared" si="47"/>
        <v>0</v>
      </c>
      <c r="Z217" s="233">
        <f t="shared" si="48"/>
        <v>0</v>
      </c>
      <c r="AA217" s="233">
        <f t="shared" si="49"/>
        <v>2911342.3543961821</v>
      </c>
      <c r="AB217" s="233">
        <f t="shared" si="50"/>
        <v>2911342.3543961821</v>
      </c>
      <c r="AC217" s="233">
        <f t="shared" si="51"/>
        <v>2911342.3543961821</v>
      </c>
      <c r="AD217" s="238">
        <f t="shared" si="52"/>
        <v>2911342.3543961821</v>
      </c>
      <c r="AE217" s="238">
        <f t="shared" si="53"/>
        <v>2911342.3543961821</v>
      </c>
      <c r="AF217" s="238">
        <f t="shared" si="54"/>
        <v>14556711.771980911</v>
      </c>
      <c r="AG217" s="206">
        <f t="shared" si="55"/>
        <v>2013</v>
      </c>
      <c r="AH217" s="210">
        <f t="shared" si="56"/>
        <v>131010415.9478282</v>
      </c>
    </row>
    <row r="218" spans="1:34" s="48" customFormat="1" ht="40.5" hidden="1" customHeight="1" x14ac:dyDescent="0.2">
      <c r="A218" s="296"/>
      <c r="B218" s="48" t="s">
        <v>4358</v>
      </c>
      <c r="C218" s="772" t="s">
        <v>4266</v>
      </c>
      <c r="D218" s="73"/>
      <c r="E218" s="65" t="s">
        <v>2723</v>
      </c>
      <c r="F218" s="67" t="s">
        <v>2845</v>
      </c>
      <c r="G218" s="67"/>
      <c r="H218" s="33" t="s">
        <v>43</v>
      </c>
      <c r="I218" s="40"/>
      <c r="J218" s="40"/>
      <c r="K218" s="40"/>
      <c r="L218" s="72" t="s">
        <v>1931</v>
      </c>
      <c r="M218" s="40">
        <v>2013</v>
      </c>
      <c r="N218" s="40"/>
      <c r="O218" s="32"/>
      <c r="P218" s="33"/>
      <c r="Q218" s="40"/>
      <c r="R218" s="32" t="s">
        <v>12</v>
      </c>
      <c r="S218" s="252">
        <v>63459263.200000003</v>
      </c>
      <c r="T218" s="105"/>
      <c r="U218" s="206" t="str">
        <f t="shared" si="43"/>
        <v>03.11.01</v>
      </c>
      <c r="V218" s="207" t="str">
        <f t="shared" si="44"/>
        <v>Bangunan Gedung Tempat Kerja</v>
      </c>
      <c r="W218" s="207">
        <f t="shared" si="45"/>
        <v>50</v>
      </c>
      <c r="X218" s="233">
        <f t="shared" si="46"/>
        <v>1269185.064</v>
      </c>
      <c r="Y218" s="714">
        <f t="shared" si="47"/>
        <v>0</v>
      </c>
      <c r="Z218" s="233">
        <f t="shared" si="48"/>
        <v>0</v>
      </c>
      <c r="AA218" s="233">
        <f t="shared" si="49"/>
        <v>1269185.064</v>
      </c>
      <c r="AB218" s="233">
        <f t="shared" si="50"/>
        <v>1269185.064</v>
      </c>
      <c r="AC218" s="233">
        <f t="shared" si="51"/>
        <v>1269185.064</v>
      </c>
      <c r="AD218" s="238">
        <f t="shared" si="52"/>
        <v>1269185.064</v>
      </c>
      <c r="AE218" s="238">
        <f t="shared" si="53"/>
        <v>1269185.064</v>
      </c>
      <c r="AF218" s="238">
        <f t="shared" si="54"/>
        <v>6345925.3200000003</v>
      </c>
      <c r="AG218" s="206">
        <f t="shared" si="55"/>
        <v>2013</v>
      </c>
      <c r="AH218" s="210">
        <f t="shared" si="56"/>
        <v>57113337.880000003</v>
      </c>
    </row>
    <row r="219" spans="1:34" s="48" customFormat="1" ht="40.5" hidden="1" customHeight="1" x14ac:dyDescent="0.2">
      <c r="A219" s="296"/>
      <c r="C219" s="772" t="s">
        <v>2302</v>
      </c>
      <c r="D219" s="73"/>
      <c r="E219" s="65" t="s">
        <v>2724</v>
      </c>
      <c r="F219" s="67" t="s">
        <v>2845</v>
      </c>
      <c r="G219" s="67"/>
      <c r="H219" s="33"/>
      <c r="I219" s="40"/>
      <c r="J219" s="40"/>
      <c r="K219" s="40"/>
      <c r="L219" s="72"/>
      <c r="M219" s="40">
        <v>2013</v>
      </c>
      <c r="N219" s="40"/>
      <c r="O219" s="32"/>
      <c r="P219" s="33"/>
      <c r="Q219" s="40"/>
      <c r="R219" s="32" t="s">
        <v>12</v>
      </c>
      <c r="S219" s="252">
        <v>839591000</v>
      </c>
      <c r="T219" s="105"/>
      <c r="U219" s="206" t="str">
        <f t="shared" si="43"/>
        <v>03.11.01</v>
      </c>
      <c r="V219" s="207" t="str">
        <f t="shared" si="44"/>
        <v>Bangunan Gedung Tempat Kerja</v>
      </c>
      <c r="W219" s="207">
        <f t="shared" si="45"/>
        <v>50</v>
      </c>
      <c r="X219" s="233">
        <f t="shared" si="46"/>
        <v>16791819.800000001</v>
      </c>
      <c r="Y219" s="714">
        <f t="shared" si="47"/>
        <v>0</v>
      </c>
      <c r="Z219" s="233">
        <f t="shared" si="48"/>
        <v>0</v>
      </c>
      <c r="AA219" s="233">
        <f t="shared" si="49"/>
        <v>16791819.800000001</v>
      </c>
      <c r="AB219" s="233">
        <f t="shared" si="50"/>
        <v>16791819.800000001</v>
      </c>
      <c r="AC219" s="233">
        <f t="shared" si="51"/>
        <v>16791819.800000001</v>
      </c>
      <c r="AD219" s="238">
        <f t="shared" si="52"/>
        <v>16791819.800000001</v>
      </c>
      <c r="AE219" s="238">
        <f t="shared" si="53"/>
        <v>16791819.800000001</v>
      </c>
      <c r="AF219" s="238">
        <f t="shared" si="54"/>
        <v>83959099</v>
      </c>
      <c r="AG219" s="206">
        <f t="shared" si="55"/>
        <v>2013</v>
      </c>
      <c r="AH219" s="210">
        <f t="shared" si="56"/>
        <v>755631901</v>
      </c>
    </row>
    <row r="220" spans="1:34" s="48" customFormat="1" ht="40.5" hidden="1" customHeight="1" x14ac:dyDescent="0.2">
      <c r="A220" s="296"/>
      <c r="C220" s="772" t="s">
        <v>2302</v>
      </c>
      <c r="D220" s="73"/>
      <c r="E220" s="65" t="s">
        <v>2725</v>
      </c>
      <c r="F220" s="67" t="s">
        <v>2845</v>
      </c>
      <c r="G220" s="67"/>
      <c r="H220" s="33"/>
      <c r="I220" s="40"/>
      <c r="J220" s="40"/>
      <c r="K220" s="40"/>
      <c r="L220" s="72"/>
      <c r="M220" s="40">
        <v>2013</v>
      </c>
      <c r="N220" s="40"/>
      <c r="O220" s="32"/>
      <c r="P220" s="33"/>
      <c r="Q220" s="40"/>
      <c r="R220" s="32" t="s">
        <v>12</v>
      </c>
      <c r="S220" s="252">
        <v>440000000</v>
      </c>
      <c r="T220" s="105"/>
      <c r="U220" s="206" t="str">
        <f t="shared" si="43"/>
        <v>03.11.01</v>
      </c>
      <c r="V220" s="207" t="str">
        <f t="shared" si="44"/>
        <v>Bangunan Gedung Tempat Kerja</v>
      </c>
      <c r="W220" s="207">
        <f t="shared" si="45"/>
        <v>50</v>
      </c>
      <c r="X220" s="233">
        <f t="shared" si="46"/>
        <v>8799999.8000000007</v>
      </c>
      <c r="Y220" s="714">
        <f t="shared" si="47"/>
        <v>0</v>
      </c>
      <c r="Z220" s="233">
        <f t="shared" si="48"/>
        <v>0</v>
      </c>
      <c r="AA220" s="233">
        <f t="shared" si="49"/>
        <v>8799999.8000000007</v>
      </c>
      <c r="AB220" s="233">
        <f t="shared" si="50"/>
        <v>8799999.8000000007</v>
      </c>
      <c r="AC220" s="233">
        <f t="shared" si="51"/>
        <v>8799999.8000000007</v>
      </c>
      <c r="AD220" s="238">
        <f t="shared" si="52"/>
        <v>8799999.8000000007</v>
      </c>
      <c r="AE220" s="238">
        <f t="shared" si="53"/>
        <v>8799999.8000000007</v>
      </c>
      <c r="AF220" s="238">
        <f t="shared" si="54"/>
        <v>43999999</v>
      </c>
      <c r="AG220" s="206">
        <f t="shared" si="55"/>
        <v>2013</v>
      </c>
      <c r="AH220" s="210">
        <f t="shared" si="56"/>
        <v>396000001</v>
      </c>
    </row>
    <row r="221" spans="1:34" s="670" customFormat="1" ht="40.5" hidden="1" customHeight="1" x14ac:dyDescent="0.2">
      <c r="A221" s="669">
        <v>29</v>
      </c>
      <c r="B221" s="670" t="s">
        <v>2984</v>
      </c>
      <c r="C221" s="773" t="s">
        <v>4247</v>
      </c>
      <c r="D221" s="652"/>
      <c r="E221" s="671" t="s">
        <v>4224</v>
      </c>
      <c r="F221" s="653" t="s">
        <v>2845</v>
      </c>
      <c r="G221" s="653"/>
      <c r="H221" s="673"/>
      <c r="I221" s="674"/>
      <c r="J221" s="674"/>
      <c r="K221" s="674"/>
      <c r="L221" s="691"/>
      <c r="M221" s="674">
        <v>2013</v>
      </c>
      <c r="N221" s="674"/>
      <c r="O221" s="675"/>
      <c r="P221" s="673"/>
      <c r="Q221" s="674"/>
      <c r="R221" s="675" t="s">
        <v>12</v>
      </c>
      <c r="S221" s="654">
        <f>121067000</f>
        <v>121067000</v>
      </c>
      <c r="T221" s="702"/>
      <c r="U221" s="206" t="str">
        <f t="shared" si="43"/>
        <v>03.11.01</v>
      </c>
      <c r="V221" s="207" t="str">
        <f t="shared" si="44"/>
        <v>Bangunan Gedung Tempat Kerja</v>
      </c>
      <c r="W221" s="207">
        <f t="shared" si="45"/>
        <v>50</v>
      </c>
      <c r="X221" s="233">
        <f t="shared" si="46"/>
        <v>2421339.7999999998</v>
      </c>
      <c r="Y221" s="714">
        <f t="shared" si="47"/>
        <v>0</v>
      </c>
      <c r="Z221" s="233">
        <f t="shared" si="48"/>
        <v>0</v>
      </c>
      <c r="AA221" s="233">
        <f t="shared" si="49"/>
        <v>2421339.7999999998</v>
      </c>
      <c r="AB221" s="233">
        <f t="shared" si="50"/>
        <v>2421339.7999999998</v>
      </c>
      <c r="AC221" s="233">
        <f t="shared" si="51"/>
        <v>2421339.7999999998</v>
      </c>
      <c r="AD221" s="238">
        <f t="shared" si="52"/>
        <v>2421339.7999999998</v>
      </c>
      <c r="AE221" s="238">
        <f t="shared" si="53"/>
        <v>2421339.7999999998</v>
      </c>
      <c r="AF221" s="238">
        <f t="shared" si="54"/>
        <v>12106699</v>
      </c>
      <c r="AG221" s="206">
        <f t="shared" si="55"/>
        <v>2013</v>
      </c>
      <c r="AH221" s="210">
        <f t="shared" si="56"/>
        <v>108960301</v>
      </c>
    </row>
    <row r="222" spans="1:34" s="48" customFormat="1" ht="40.5" hidden="1" customHeight="1" x14ac:dyDescent="0.2">
      <c r="A222" s="296">
        <v>29</v>
      </c>
      <c r="B222" s="48" t="s">
        <v>2984</v>
      </c>
      <c r="C222" s="772" t="s">
        <v>4247</v>
      </c>
      <c r="D222" s="73"/>
      <c r="E222" s="65" t="s">
        <v>2779</v>
      </c>
      <c r="F222" s="67" t="s">
        <v>2845</v>
      </c>
      <c r="G222" s="67"/>
      <c r="H222" s="33"/>
      <c r="I222" s="40"/>
      <c r="J222" s="40" t="s">
        <v>835</v>
      </c>
      <c r="K222" s="40"/>
      <c r="L222" s="72" t="s">
        <v>831</v>
      </c>
      <c r="M222" s="40">
        <v>2013</v>
      </c>
      <c r="N222" s="40"/>
      <c r="O222" s="32"/>
      <c r="P222" s="33"/>
      <c r="Q222" s="40"/>
      <c r="R222" s="32" t="s">
        <v>12</v>
      </c>
      <c r="S222" s="252">
        <v>113672190.51406699</v>
      </c>
      <c r="T222" s="105"/>
      <c r="U222" s="206" t="str">
        <f t="shared" si="43"/>
        <v>03.11.01</v>
      </c>
      <c r="V222" s="207" t="str">
        <f t="shared" si="44"/>
        <v>Bangunan Gedung Tempat Kerja</v>
      </c>
      <c r="W222" s="207">
        <f t="shared" si="45"/>
        <v>50</v>
      </c>
      <c r="X222" s="233">
        <f t="shared" si="46"/>
        <v>2273443.6102813398</v>
      </c>
      <c r="Y222" s="714">
        <f t="shared" si="47"/>
        <v>0</v>
      </c>
      <c r="Z222" s="233">
        <f t="shared" si="48"/>
        <v>0</v>
      </c>
      <c r="AA222" s="233">
        <f t="shared" si="49"/>
        <v>2273443.6102813398</v>
      </c>
      <c r="AB222" s="233">
        <f t="shared" si="50"/>
        <v>2273443.6102813398</v>
      </c>
      <c r="AC222" s="233">
        <f t="shared" si="51"/>
        <v>2273443.6102813398</v>
      </c>
      <c r="AD222" s="238">
        <f t="shared" si="52"/>
        <v>2273443.6102813398</v>
      </c>
      <c r="AE222" s="238">
        <f t="shared" si="53"/>
        <v>2273443.6102813398</v>
      </c>
      <c r="AF222" s="238">
        <f t="shared" si="54"/>
        <v>11367218.0514067</v>
      </c>
      <c r="AG222" s="206">
        <f t="shared" si="55"/>
        <v>2013</v>
      </c>
      <c r="AH222" s="210">
        <f t="shared" si="56"/>
        <v>102304972.4626603</v>
      </c>
    </row>
    <row r="223" spans="1:34" s="670" customFormat="1" ht="40.5" hidden="1" customHeight="1" x14ac:dyDescent="0.2">
      <c r="A223" s="669">
        <v>30</v>
      </c>
      <c r="B223" s="670" t="s">
        <v>2974</v>
      </c>
      <c r="C223" s="773" t="s">
        <v>4247</v>
      </c>
      <c r="D223" s="652"/>
      <c r="E223" s="671" t="s">
        <v>2726</v>
      </c>
      <c r="F223" s="653" t="s">
        <v>1752</v>
      </c>
      <c r="G223" s="653" t="s">
        <v>39</v>
      </c>
      <c r="H223" s="673" t="s">
        <v>43</v>
      </c>
      <c r="I223" s="674" t="s">
        <v>1786</v>
      </c>
      <c r="J223" s="674" t="s">
        <v>1934</v>
      </c>
      <c r="K223" s="674"/>
      <c r="L223" s="691" t="s">
        <v>1997</v>
      </c>
      <c r="M223" s="674">
        <v>2013</v>
      </c>
      <c r="N223" s="674" t="s">
        <v>1998</v>
      </c>
      <c r="O223" s="675"/>
      <c r="P223" s="673"/>
      <c r="Q223" s="674"/>
      <c r="R223" s="675" t="s">
        <v>12</v>
      </c>
      <c r="S223" s="654">
        <f>184025000</f>
        <v>184025000</v>
      </c>
      <c r="T223" s="702"/>
      <c r="U223" s="206" t="str">
        <f t="shared" si="43"/>
        <v>03.11.01</v>
      </c>
      <c r="V223" s="207" t="str">
        <f t="shared" si="44"/>
        <v>Bangunan Gedung Tempat Kerja</v>
      </c>
      <c r="W223" s="207">
        <f t="shared" si="45"/>
        <v>50</v>
      </c>
      <c r="X223" s="233">
        <f t="shared" si="46"/>
        <v>3680499.8</v>
      </c>
      <c r="Y223" s="714">
        <f t="shared" si="47"/>
        <v>0</v>
      </c>
      <c r="Z223" s="233">
        <f t="shared" si="48"/>
        <v>0</v>
      </c>
      <c r="AA223" s="233">
        <f t="shared" si="49"/>
        <v>3680499.8</v>
      </c>
      <c r="AB223" s="233">
        <f t="shared" si="50"/>
        <v>3680499.8</v>
      </c>
      <c r="AC223" s="233">
        <f t="shared" si="51"/>
        <v>3680499.8</v>
      </c>
      <c r="AD223" s="238">
        <f t="shared" si="52"/>
        <v>3680499.8</v>
      </c>
      <c r="AE223" s="238">
        <f t="shared" si="53"/>
        <v>3680499.8</v>
      </c>
      <c r="AF223" s="238">
        <f t="shared" si="54"/>
        <v>18402499</v>
      </c>
      <c r="AG223" s="206">
        <f t="shared" si="55"/>
        <v>2013</v>
      </c>
      <c r="AH223" s="210">
        <f t="shared" si="56"/>
        <v>165622501</v>
      </c>
    </row>
    <row r="224" spans="1:34" s="48" customFormat="1" ht="40.5" hidden="1" customHeight="1" x14ac:dyDescent="0.2">
      <c r="A224" s="296">
        <v>30</v>
      </c>
      <c r="B224" s="48" t="s">
        <v>2974</v>
      </c>
      <c r="C224" s="772" t="s">
        <v>4247</v>
      </c>
      <c r="D224" s="73"/>
      <c r="E224" s="65" t="s">
        <v>2729</v>
      </c>
      <c r="F224" s="67" t="s">
        <v>1752</v>
      </c>
      <c r="G224" s="67" t="s">
        <v>1768</v>
      </c>
      <c r="H224" s="33" t="s">
        <v>43</v>
      </c>
      <c r="I224" s="40" t="s">
        <v>1786</v>
      </c>
      <c r="J224" s="40" t="s">
        <v>1934</v>
      </c>
      <c r="K224" s="40"/>
      <c r="L224" s="72" t="s">
        <v>1997</v>
      </c>
      <c r="M224" s="40">
        <v>2013</v>
      </c>
      <c r="N224" s="40" t="s">
        <v>2006</v>
      </c>
      <c r="O224" s="32"/>
      <c r="P224" s="33"/>
      <c r="Q224" s="40"/>
      <c r="R224" s="32" t="s">
        <v>12</v>
      </c>
      <c r="S224" s="252">
        <v>2716159000</v>
      </c>
      <c r="T224" s="105"/>
      <c r="U224" s="206" t="str">
        <f t="shared" si="43"/>
        <v>03.11.01</v>
      </c>
      <c r="V224" s="207" t="str">
        <f t="shared" si="44"/>
        <v>Bangunan Gedung Tempat Kerja</v>
      </c>
      <c r="W224" s="207">
        <f t="shared" si="45"/>
        <v>50</v>
      </c>
      <c r="X224" s="233">
        <f t="shared" si="46"/>
        <v>54323179.799999997</v>
      </c>
      <c r="Y224" s="714">
        <f t="shared" si="47"/>
        <v>0</v>
      </c>
      <c r="Z224" s="233">
        <f t="shared" si="48"/>
        <v>0</v>
      </c>
      <c r="AA224" s="233">
        <f t="shared" si="49"/>
        <v>54323179.799999997</v>
      </c>
      <c r="AB224" s="233">
        <f t="shared" si="50"/>
        <v>54323179.799999997</v>
      </c>
      <c r="AC224" s="233">
        <f t="shared" si="51"/>
        <v>54323179.799999997</v>
      </c>
      <c r="AD224" s="238">
        <f t="shared" si="52"/>
        <v>54323179.799999997</v>
      </c>
      <c r="AE224" s="238">
        <f t="shared" si="53"/>
        <v>54323179.799999997</v>
      </c>
      <c r="AF224" s="238">
        <f t="shared" si="54"/>
        <v>271615899</v>
      </c>
      <c r="AG224" s="206">
        <f t="shared" si="55"/>
        <v>2013</v>
      </c>
      <c r="AH224" s="210">
        <f t="shared" si="56"/>
        <v>2444543101</v>
      </c>
    </row>
    <row r="225" spans="1:34" s="670" customFormat="1" ht="40.5" hidden="1" customHeight="1" x14ac:dyDescent="0.2">
      <c r="A225" s="669">
        <v>31</v>
      </c>
      <c r="B225" s="670" t="s">
        <v>2978</v>
      </c>
      <c r="C225" s="773" t="s">
        <v>4247</v>
      </c>
      <c r="D225" s="652"/>
      <c r="E225" s="671" t="s">
        <v>2772</v>
      </c>
      <c r="F225" s="653" t="s">
        <v>1752</v>
      </c>
      <c r="G225" s="653" t="s">
        <v>2133</v>
      </c>
      <c r="H225" s="673" t="s">
        <v>43</v>
      </c>
      <c r="I225" s="674" t="s">
        <v>1786</v>
      </c>
      <c r="J225" s="674" t="s">
        <v>1934</v>
      </c>
      <c r="K225" s="674"/>
      <c r="L225" s="691" t="s">
        <v>1997</v>
      </c>
      <c r="M225" s="674">
        <v>2013</v>
      </c>
      <c r="N225" s="674" t="s">
        <v>2134</v>
      </c>
      <c r="O225" s="675"/>
      <c r="P225" s="673"/>
      <c r="Q225" s="674"/>
      <c r="R225" s="675" t="s">
        <v>12</v>
      </c>
      <c r="S225" s="654">
        <f>151057700</f>
        <v>151057700</v>
      </c>
      <c r="T225" s="702"/>
      <c r="U225" s="206" t="str">
        <f t="shared" si="43"/>
        <v>03.11.01</v>
      </c>
      <c r="V225" s="207" t="str">
        <f t="shared" si="44"/>
        <v>Bangunan Gedung Tempat Kerja</v>
      </c>
      <c r="W225" s="207">
        <f t="shared" si="45"/>
        <v>50</v>
      </c>
      <c r="X225" s="233">
        <f t="shared" si="46"/>
        <v>3021153.8</v>
      </c>
      <c r="Y225" s="714">
        <f t="shared" si="47"/>
        <v>0</v>
      </c>
      <c r="Z225" s="233">
        <f t="shared" si="48"/>
        <v>0</v>
      </c>
      <c r="AA225" s="233">
        <f t="shared" si="49"/>
        <v>3021153.8</v>
      </c>
      <c r="AB225" s="233">
        <f t="shared" si="50"/>
        <v>3021153.8</v>
      </c>
      <c r="AC225" s="233">
        <f t="shared" si="51"/>
        <v>3021153.8</v>
      </c>
      <c r="AD225" s="238">
        <f t="shared" si="52"/>
        <v>3021153.8</v>
      </c>
      <c r="AE225" s="238">
        <f t="shared" si="53"/>
        <v>3021153.8</v>
      </c>
      <c r="AF225" s="238">
        <f t="shared" si="54"/>
        <v>15105769</v>
      </c>
      <c r="AG225" s="206">
        <f t="shared" si="55"/>
        <v>2013</v>
      </c>
      <c r="AH225" s="210">
        <f t="shared" si="56"/>
        <v>135951931</v>
      </c>
    </row>
    <row r="226" spans="1:34" s="48" customFormat="1" ht="40.5" hidden="1" customHeight="1" x14ac:dyDescent="0.2">
      <c r="A226" s="296">
        <v>31</v>
      </c>
      <c r="B226" s="48" t="s">
        <v>2978</v>
      </c>
      <c r="C226" s="772" t="s">
        <v>4247</v>
      </c>
      <c r="D226" s="73"/>
      <c r="E226" s="65" t="s">
        <v>2980</v>
      </c>
      <c r="F226" s="67" t="s">
        <v>1752</v>
      </c>
      <c r="G226" s="67" t="s">
        <v>2089</v>
      </c>
      <c r="H226" s="33" t="s">
        <v>43</v>
      </c>
      <c r="I226" s="40" t="s">
        <v>1786</v>
      </c>
      <c r="J226" s="40" t="s">
        <v>1934</v>
      </c>
      <c r="K226" s="40"/>
      <c r="L226" s="72" t="s">
        <v>841</v>
      </c>
      <c r="M226" s="40">
        <v>2014</v>
      </c>
      <c r="N226" s="40" t="s">
        <v>2219</v>
      </c>
      <c r="O226" s="32"/>
      <c r="P226" s="33"/>
      <c r="Q226" s="40"/>
      <c r="R226" s="32"/>
      <c r="S226" s="252">
        <v>47768300</v>
      </c>
      <c r="T226" s="105"/>
      <c r="U226" s="206" t="str">
        <f t="shared" si="43"/>
        <v>03.11.01</v>
      </c>
      <c r="V226" s="207" t="str">
        <f t="shared" si="44"/>
        <v>Bangunan Gedung Tempat Kerja</v>
      </c>
      <c r="W226" s="207">
        <f t="shared" si="45"/>
        <v>50</v>
      </c>
      <c r="X226" s="233">
        <f t="shared" si="46"/>
        <v>955365.8</v>
      </c>
      <c r="Y226" s="714">
        <f t="shared" si="47"/>
        <v>0</v>
      </c>
      <c r="Z226" s="233">
        <f t="shared" si="48"/>
        <v>0</v>
      </c>
      <c r="AA226" s="233">
        <f t="shared" si="49"/>
        <v>955365.8</v>
      </c>
      <c r="AB226" s="233">
        <f t="shared" si="50"/>
        <v>955365.8</v>
      </c>
      <c r="AC226" s="233">
        <f t="shared" si="51"/>
        <v>955365.8</v>
      </c>
      <c r="AD226" s="238">
        <f t="shared" si="52"/>
        <v>955365.8</v>
      </c>
      <c r="AE226" s="238">
        <f t="shared" si="53"/>
        <v>955365.8</v>
      </c>
      <c r="AF226" s="238">
        <f t="shared" si="54"/>
        <v>4776829</v>
      </c>
      <c r="AG226" s="206">
        <f t="shared" si="55"/>
        <v>2014</v>
      </c>
      <c r="AH226" s="210">
        <f t="shared" si="56"/>
        <v>42991471</v>
      </c>
    </row>
    <row r="227" spans="1:34" s="48" customFormat="1" ht="40.5" hidden="1" customHeight="1" x14ac:dyDescent="0.2">
      <c r="A227" s="296">
        <v>31</v>
      </c>
      <c r="B227" s="48" t="s">
        <v>2978</v>
      </c>
      <c r="C227" s="772" t="s">
        <v>4247</v>
      </c>
      <c r="D227" s="73"/>
      <c r="E227" s="65" t="s">
        <v>2831</v>
      </c>
      <c r="F227" s="67" t="s">
        <v>1752</v>
      </c>
      <c r="G227" s="67"/>
      <c r="H227" s="33"/>
      <c r="I227" s="40"/>
      <c r="J227" s="40"/>
      <c r="K227" s="40"/>
      <c r="L227" s="72"/>
      <c r="M227" s="40">
        <v>2018</v>
      </c>
      <c r="N227" s="40"/>
      <c r="O227" s="32"/>
      <c r="P227" s="33"/>
      <c r="Q227" s="40"/>
      <c r="R227" s="32" t="s">
        <v>12</v>
      </c>
      <c r="S227" s="252">
        <v>1194181250</v>
      </c>
      <c r="T227" s="105"/>
      <c r="U227" s="206" t="str">
        <f t="shared" si="43"/>
        <v>03.11.01</v>
      </c>
      <c r="V227" s="207" t="str">
        <f t="shared" si="44"/>
        <v>Bangunan Gedung Tempat Kerja</v>
      </c>
      <c r="W227" s="207">
        <f t="shared" si="45"/>
        <v>50</v>
      </c>
      <c r="X227" s="233">
        <f t="shared" si="46"/>
        <v>23883624.800000001</v>
      </c>
      <c r="Y227" s="714">
        <f t="shared" si="47"/>
        <v>0</v>
      </c>
      <c r="Z227" s="233">
        <f t="shared" si="48"/>
        <v>0</v>
      </c>
      <c r="AA227" s="233"/>
      <c r="AB227" s="233"/>
      <c r="AC227" s="233"/>
      <c r="AD227" s="238"/>
      <c r="AE227" s="238"/>
      <c r="AF227" s="238">
        <f t="shared" si="54"/>
        <v>0</v>
      </c>
      <c r="AG227" s="206">
        <f t="shared" si="55"/>
        <v>2018</v>
      </c>
      <c r="AH227" s="210">
        <f t="shared" si="56"/>
        <v>1194181250</v>
      </c>
    </row>
    <row r="228" spans="1:34" s="670" customFormat="1" ht="40.5" hidden="1" customHeight="1" x14ac:dyDescent="0.2">
      <c r="A228" s="669">
        <v>32</v>
      </c>
      <c r="B228" s="670" t="s">
        <v>2972</v>
      </c>
      <c r="C228" s="773" t="s">
        <v>4247</v>
      </c>
      <c r="D228" s="652"/>
      <c r="E228" s="671" t="s">
        <v>2730</v>
      </c>
      <c r="F228" s="653" t="s">
        <v>1752</v>
      </c>
      <c r="G228" s="653" t="s">
        <v>1855</v>
      </c>
      <c r="H228" s="673" t="s">
        <v>43</v>
      </c>
      <c r="I228" s="674" t="s">
        <v>1786</v>
      </c>
      <c r="J228" s="674" t="s">
        <v>1934</v>
      </c>
      <c r="K228" s="674"/>
      <c r="L228" s="691" t="s">
        <v>2000</v>
      </c>
      <c r="M228" s="674">
        <v>2013</v>
      </c>
      <c r="N228" s="674" t="s">
        <v>2008</v>
      </c>
      <c r="O228" s="675"/>
      <c r="P228" s="673"/>
      <c r="Q228" s="674"/>
      <c r="R228" s="675" t="s">
        <v>12</v>
      </c>
      <c r="S228" s="654">
        <f>2351209700</f>
        <v>2351209700</v>
      </c>
      <c r="T228" s="702"/>
      <c r="U228" s="206" t="str">
        <f t="shared" si="43"/>
        <v>03.11.01</v>
      </c>
      <c r="V228" s="207" t="str">
        <f t="shared" si="44"/>
        <v>Bangunan Gedung Tempat Kerja</v>
      </c>
      <c r="W228" s="207">
        <f t="shared" si="45"/>
        <v>50</v>
      </c>
      <c r="X228" s="233">
        <f t="shared" si="46"/>
        <v>47024193.799999997</v>
      </c>
      <c r="Y228" s="714">
        <f t="shared" si="47"/>
        <v>0</v>
      </c>
      <c r="Z228" s="233">
        <f t="shared" si="48"/>
        <v>0</v>
      </c>
      <c r="AA228" s="233">
        <f t="shared" si="49"/>
        <v>47024193.799999997</v>
      </c>
      <c r="AB228" s="233">
        <f t="shared" si="50"/>
        <v>47024193.799999997</v>
      </c>
      <c r="AC228" s="233">
        <f t="shared" si="51"/>
        <v>47024193.799999997</v>
      </c>
      <c r="AD228" s="238">
        <f t="shared" si="52"/>
        <v>47024193.799999997</v>
      </c>
      <c r="AE228" s="238">
        <f t="shared" si="53"/>
        <v>47024193.799999997</v>
      </c>
      <c r="AF228" s="238">
        <f t="shared" si="54"/>
        <v>235120969</v>
      </c>
      <c r="AG228" s="206">
        <f t="shared" si="55"/>
        <v>2013</v>
      </c>
      <c r="AH228" s="210">
        <f t="shared" si="56"/>
        <v>2116088731</v>
      </c>
    </row>
    <row r="229" spans="1:34" s="48" customFormat="1" ht="40.5" hidden="1" customHeight="1" x14ac:dyDescent="0.2">
      <c r="A229" s="296">
        <v>32</v>
      </c>
      <c r="B229" s="48" t="s">
        <v>2972</v>
      </c>
      <c r="C229" s="772" t="s">
        <v>4247</v>
      </c>
      <c r="D229" s="73"/>
      <c r="E229" s="65" t="s">
        <v>2727</v>
      </c>
      <c r="F229" s="67" t="s">
        <v>1752</v>
      </c>
      <c r="G229" s="67" t="s">
        <v>68</v>
      </c>
      <c r="H229" s="33" t="s">
        <v>43</v>
      </c>
      <c r="I229" s="40" t="s">
        <v>1786</v>
      </c>
      <c r="J229" s="40" t="s">
        <v>1934</v>
      </c>
      <c r="K229" s="40"/>
      <c r="L229" s="72" t="s">
        <v>2000</v>
      </c>
      <c r="M229" s="40">
        <v>2013</v>
      </c>
      <c r="N229" s="40" t="s">
        <v>2001</v>
      </c>
      <c r="O229" s="32"/>
      <c r="P229" s="33"/>
      <c r="Q229" s="40"/>
      <c r="R229" s="32" t="s">
        <v>12</v>
      </c>
      <c r="S229" s="252">
        <v>184800000</v>
      </c>
      <c r="T229" s="105"/>
      <c r="U229" s="206" t="str">
        <f t="shared" si="43"/>
        <v>03.11.01</v>
      </c>
      <c r="V229" s="207" t="str">
        <f t="shared" si="44"/>
        <v>Bangunan Gedung Tempat Kerja</v>
      </c>
      <c r="W229" s="207">
        <f t="shared" si="45"/>
        <v>50</v>
      </c>
      <c r="X229" s="233">
        <f t="shared" si="46"/>
        <v>3695999.8</v>
      </c>
      <c r="Y229" s="714">
        <f t="shared" si="47"/>
        <v>0</v>
      </c>
      <c r="Z229" s="233">
        <f t="shared" si="48"/>
        <v>0</v>
      </c>
      <c r="AA229" s="233">
        <f t="shared" si="49"/>
        <v>3695999.8</v>
      </c>
      <c r="AB229" s="233">
        <f t="shared" si="50"/>
        <v>3695999.8</v>
      </c>
      <c r="AC229" s="233">
        <f t="shared" si="51"/>
        <v>3695999.8</v>
      </c>
      <c r="AD229" s="238">
        <f t="shared" si="52"/>
        <v>3695999.8</v>
      </c>
      <c r="AE229" s="238">
        <f t="shared" si="53"/>
        <v>3695999.8</v>
      </c>
      <c r="AF229" s="238">
        <f t="shared" si="54"/>
        <v>18479999</v>
      </c>
      <c r="AG229" s="206">
        <f t="shared" si="55"/>
        <v>2013</v>
      </c>
      <c r="AH229" s="210">
        <f t="shared" si="56"/>
        <v>166320001</v>
      </c>
    </row>
    <row r="230" spans="1:34" s="670" customFormat="1" ht="40.5" hidden="1" customHeight="1" x14ac:dyDescent="0.2">
      <c r="A230" s="669">
        <v>33</v>
      </c>
      <c r="B230" s="670" t="s">
        <v>2975</v>
      </c>
      <c r="C230" s="773" t="s">
        <v>4247</v>
      </c>
      <c r="D230" s="652"/>
      <c r="E230" s="671" t="s">
        <v>2728</v>
      </c>
      <c r="F230" s="653" t="s">
        <v>1752</v>
      </c>
      <c r="G230" s="653" t="s">
        <v>1765</v>
      </c>
      <c r="H230" s="673" t="s">
        <v>43</v>
      </c>
      <c r="I230" s="674" t="s">
        <v>1786</v>
      </c>
      <c r="J230" s="674" t="s">
        <v>1934</v>
      </c>
      <c r="K230" s="674"/>
      <c r="L230" s="691" t="s">
        <v>2003</v>
      </c>
      <c r="M230" s="674">
        <v>2013</v>
      </c>
      <c r="N230" s="674" t="s">
        <v>2004</v>
      </c>
      <c r="O230" s="675"/>
      <c r="P230" s="673"/>
      <c r="Q230" s="674"/>
      <c r="R230" s="675" t="s">
        <v>12</v>
      </c>
      <c r="S230" s="654">
        <f>199291000</f>
        <v>199291000</v>
      </c>
      <c r="T230" s="702"/>
      <c r="U230" s="206" t="str">
        <f t="shared" si="43"/>
        <v>03.11.01</v>
      </c>
      <c r="V230" s="207" t="str">
        <f t="shared" si="44"/>
        <v>Bangunan Gedung Tempat Kerja</v>
      </c>
      <c r="W230" s="207">
        <f t="shared" si="45"/>
        <v>50</v>
      </c>
      <c r="X230" s="233">
        <f t="shared" si="46"/>
        <v>3985819.8</v>
      </c>
      <c r="Y230" s="714">
        <f t="shared" si="47"/>
        <v>0</v>
      </c>
      <c r="Z230" s="233">
        <f t="shared" si="48"/>
        <v>0</v>
      </c>
      <c r="AA230" s="233">
        <f t="shared" si="49"/>
        <v>3985819.8</v>
      </c>
      <c r="AB230" s="233">
        <f t="shared" si="50"/>
        <v>3985819.8</v>
      </c>
      <c r="AC230" s="233">
        <f t="shared" si="51"/>
        <v>3985819.8</v>
      </c>
      <c r="AD230" s="238">
        <f t="shared" si="52"/>
        <v>3985819.8</v>
      </c>
      <c r="AE230" s="238">
        <f t="shared" si="53"/>
        <v>3985819.8</v>
      </c>
      <c r="AF230" s="238">
        <f t="shared" si="54"/>
        <v>19929099</v>
      </c>
      <c r="AG230" s="206">
        <f t="shared" si="55"/>
        <v>2013</v>
      </c>
      <c r="AH230" s="210">
        <f t="shared" si="56"/>
        <v>179361901</v>
      </c>
    </row>
    <row r="231" spans="1:34" s="48" customFormat="1" ht="40.5" hidden="1" customHeight="1" x14ac:dyDescent="0.2">
      <c r="A231" s="296">
        <v>33</v>
      </c>
      <c r="B231" s="48" t="s">
        <v>2975</v>
      </c>
      <c r="C231" s="772" t="s">
        <v>4247</v>
      </c>
      <c r="D231" s="73"/>
      <c r="E231" s="65" t="s">
        <v>2731</v>
      </c>
      <c r="F231" s="67" t="s">
        <v>1752</v>
      </c>
      <c r="G231" s="67" t="s">
        <v>1857</v>
      </c>
      <c r="H231" s="33" t="s">
        <v>43</v>
      </c>
      <c r="I231" s="40" t="s">
        <v>1786</v>
      </c>
      <c r="J231" s="40" t="s">
        <v>1934</v>
      </c>
      <c r="K231" s="40"/>
      <c r="L231" s="72" t="s">
        <v>2003</v>
      </c>
      <c r="M231" s="40">
        <v>2013</v>
      </c>
      <c r="N231" s="40" t="s">
        <v>2010</v>
      </c>
      <c r="O231" s="32"/>
      <c r="P231" s="33"/>
      <c r="Q231" s="40"/>
      <c r="R231" s="32" t="s">
        <v>12</v>
      </c>
      <c r="S231" s="252">
        <v>2958431000</v>
      </c>
      <c r="T231" s="105"/>
      <c r="U231" s="206" t="str">
        <f t="shared" si="43"/>
        <v>03.11.01</v>
      </c>
      <c r="V231" s="207" t="str">
        <f t="shared" si="44"/>
        <v>Bangunan Gedung Tempat Kerja</v>
      </c>
      <c r="W231" s="207">
        <f t="shared" si="45"/>
        <v>50</v>
      </c>
      <c r="X231" s="233">
        <f t="shared" si="46"/>
        <v>59168619.799999997</v>
      </c>
      <c r="Y231" s="714">
        <f t="shared" si="47"/>
        <v>0</v>
      </c>
      <c r="Z231" s="233">
        <f t="shared" si="48"/>
        <v>0</v>
      </c>
      <c r="AA231" s="233">
        <f t="shared" si="49"/>
        <v>59168619.799999997</v>
      </c>
      <c r="AB231" s="233">
        <f t="shared" si="50"/>
        <v>59168619.799999997</v>
      </c>
      <c r="AC231" s="233">
        <f t="shared" si="51"/>
        <v>59168619.799999997</v>
      </c>
      <c r="AD231" s="238">
        <f t="shared" si="52"/>
        <v>59168619.799999997</v>
      </c>
      <c r="AE231" s="238">
        <f t="shared" si="53"/>
        <v>59168619.799999997</v>
      </c>
      <c r="AF231" s="238">
        <f t="shared" si="54"/>
        <v>295843099</v>
      </c>
      <c r="AG231" s="206">
        <f t="shared" si="55"/>
        <v>2013</v>
      </c>
      <c r="AH231" s="210">
        <f t="shared" si="56"/>
        <v>2662587901</v>
      </c>
    </row>
    <row r="232" spans="1:34" s="48" customFormat="1" ht="40.5" hidden="1" customHeight="1" x14ac:dyDescent="0.2">
      <c r="A232" s="296">
        <v>33</v>
      </c>
      <c r="B232" s="48" t="s">
        <v>2972</v>
      </c>
      <c r="C232" s="772" t="s">
        <v>4247</v>
      </c>
      <c r="D232" s="73"/>
      <c r="E232" s="65" t="s">
        <v>2976</v>
      </c>
      <c r="F232" s="67" t="s">
        <v>1752</v>
      </c>
      <c r="G232" s="67" t="s">
        <v>2086</v>
      </c>
      <c r="H232" s="33" t="s">
        <v>43</v>
      </c>
      <c r="I232" s="40" t="s">
        <v>1786</v>
      </c>
      <c r="J232" s="40" t="s">
        <v>1934</v>
      </c>
      <c r="K232" s="40"/>
      <c r="L232" s="72" t="s">
        <v>2000</v>
      </c>
      <c r="M232" s="40">
        <v>2014</v>
      </c>
      <c r="N232" s="40" t="s">
        <v>2217</v>
      </c>
      <c r="O232" s="32"/>
      <c r="P232" s="33"/>
      <c r="Q232" s="40"/>
      <c r="R232" s="32" t="s">
        <v>12</v>
      </c>
      <c r="S232" s="252">
        <v>218433780</v>
      </c>
      <c r="T232" s="105"/>
      <c r="U232" s="206" t="str">
        <f t="shared" si="43"/>
        <v>03.11.01</v>
      </c>
      <c r="V232" s="207" t="str">
        <f t="shared" si="44"/>
        <v>Bangunan Gedung Tempat Kerja</v>
      </c>
      <c r="W232" s="207">
        <f t="shared" si="45"/>
        <v>50</v>
      </c>
      <c r="X232" s="233">
        <f t="shared" si="46"/>
        <v>4368675.4000000004</v>
      </c>
      <c r="Y232" s="714">
        <f t="shared" si="47"/>
        <v>0</v>
      </c>
      <c r="Z232" s="233">
        <f t="shared" si="48"/>
        <v>0</v>
      </c>
      <c r="AA232" s="233">
        <f t="shared" si="49"/>
        <v>4368675.4000000004</v>
      </c>
      <c r="AB232" s="233">
        <f t="shared" si="50"/>
        <v>4368675.4000000004</v>
      </c>
      <c r="AC232" s="233">
        <f t="shared" si="51"/>
        <v>4368675.4000000004</v>
      </c>
      <c r="AD232" s="238">
        <f t="shared" si="52"/>
        <v>4368675.4000000004</v>
      </c>
      <c r="AE232" s="238">
        <f t="shared" si="53"/>
        <v>4368675.4000000004</v>
      </c>
      <c r="AF232" s="238">
        <f t="shared" si="54"/>
        <v>21843377</v>
      </c>
      <c r="AG232" s="206">
        <f t="shared" si="55"/>
        <v>2014</v>
      </c>
      <c r="AH232" s="210">
        <f t="shared" si="56"/>
        <v>196590403</v>
      </c>
    </row>
    <row r="233" spans="1:34" s="48" customFormat="1" ht="40.5" hidden="1" customHeight="1" x14ac:dyDescent="0.2">
      <c r="A233" s="296"/>
      <c r="B233" s="48" t="s">
        <v>4284</v>
      </c>
      <c r="C233" s="772"/>
      <c r="D233" s="73"/>
      <c r="E233" s="65" t="s">
        <v>2774</v>
      </c>
      <c r="F233" s="67" t="s">
        <v>1752</v>
      </c>
      <c r="G233" s="67" t="s">
        <v>2139</v>
      </c>
      <c r="H233" s="33" t="s">
        <v>43</v>
      </c>
      <c r="I233" s="40" t="s">
        <v>1786</v>
      </c>
      <c r="J233" s="40" t="s">
        <v>1934</v>
      </c>
      <c r="K233" s="40"/>
      <c r="L233" s="72" t="s">
        <v>2003</v>
      </c>
      <c r="M233" s="40">
        <v>2013</v>
      </c>
      <c r="N233" s="40" t="s">
        <v>2140</v>
      </c>
      <c r="O233" s="32"/>
      <c r="P233" s="33"/>
      <c r="Q233" s="40"/>
      <c r="R233" s="32" t="s">
        <v>12</v>
      </c>
      <c r="S233" s="252">
        <v>198413000</v>
      </c>
      <c r="T233" s="105"/>
      <c r="U233" s="206" t="str">
        <f t="shared" si="43"/>
        <v>03.11.01</v>
      </c>
      <c r="V233" s="207" t="str">
        <f t="shared" si="44"/>
        <v>Bangunan Gedung Tempat Kerja</v>
      </c>
      <c r="W233" s="207">
        <f t="shared" si="45"/>
        <v>50</v>
      </c>
      <c r="X233" s="233">
        <f t="shared" si="46"/>
        <v>3968259.8</v>
      </c>
      <c r="Y233" s="714">
        <f t="shared" si="47"/>
        <v>0</v>
      </c>
      <c r="Z233" s="233">
        <f t="shared" si="48"/>
        <v>0</v>
      </c>
      <c r="AA233" s="233">
        <f t="shared" si="49"/>
        <v>3968259.8</v>
      </c>
      <c r="AB233" s="233">
        <f t="shared" si="50"/>
        <v>3968259.8</v>
      </c>
      <c r="AC233" s="233">
        <f t="shared" si="51"/>
        <v>3968259.8</v>
      </c>
      <c r="AD233" s="238">
        <f t="shared" si="52"/>
        <v>3968259.8</v>
      </c>
      <c r="AE233" s="238">
        <f t="shared" si="53"/>
        <v>3968259.8</v>
      </c>
      <c r="AF233" s="238">
        <f t="shared" si="54"/>
        <v>19841299</v>
      </c>
      <c r="AG233" s="206">
        <f t="shared" si="55"/>
        <v>2013</v>
      </c>
      <c r="AH233" s="210">
        <f t="shared" si="56"/>
        <v>178571701</v>
      </c>
    </row>
    <row r="234" spans="1:34" s="48" customFormat="1" ht="40.5" hidden="1" customHeight="1" x14ac:dyDescent="0.2">
      <c r="A234" s="296"/>
      <c r="B234" s="48" t="s">
        <v>4324</v>
      </c>
      <c r="C234" s="772"/>
      <c r="D234" s="73"/>
      <c r="E234" s="65" t="s">
        <v>2732</v>
      </c>
      <c r="F234" s="67" t="s">
        <v>1752</v>
      </c>
      <c r="G234" s="67" t="s">
        <v>1861</v>
      </c>
      <c r="H234" s="33" t="s">
        <v>43</v>
      </c>
      <c r="I234" s="40" t="s">
        <v>1786</v>
      </c>
      <c r="J234" s="40" t="s">
        <v>1934</v>
      </c>
      <c r="K234" s="40"/>
      <c r="L234" s="72" t="s">
        <v>2012</v>
      </c>
      <c r="M234" s="40">
        <v>2013</v>
      </c>
      <c r="N234" s="40" t="s">
        <v>2013</v>
      </c>
      <c r="O234" s="32"/>
      <c r="P234" s="33"/>
      <c r="Q234" s="40"/>
      <c r="R234" s="32" t="s">
        <v>12</v>
      </c>
      <c r="S234" s="252">
        <v>443030094.3235327</v>
      </c>
      <c r="T234" s="105"/>
      <c r="U234" s="206" t="str">
        <f t="shared" si="43"/>
        <v>03.11.01</v>
      </c>
      <c r="V234" s="207" t="str">
        <f t="shared" si="44"/>
        <v>Bangunan Gedung Tempat Kerja</v>
      </c>
      <c r="W234" s="207">
        <f t="shared" si="45"/>
        <v>50</v>
      </c>
      <c r="X234" s="233">
        <f t="shared" si="46"/>
        <v>8860601.6864706539</v>
      </c>
      <c r="Y234" s="714">
        <f t="shared" si="47"/>
        <v>0</v>
      </c>
      <c r="Z234" s="233">
        <f t="shared" si="48"/>
        <v>0</v>
      </c>
      <c r="AA234" s="233">
        <f t="shared" si="49"/>
        <v>8860601.6864706539</v>
      </c>
      <c r="AB234" s="233">
        <f t="shared" si="50"/>
        <v>8860601.6864706539</v>
      </c>
      <c r="AC234" s="233">
        <f t="shared" si="51"/>
        <v>8860601.6864706539</v>
      </c>
      <c r="AD234" s="238">
        <f t="shared" si="52"/>
        <v>8860601.6864706539</v>
      </c>
      <c r="AE234" s="238">
        <f t="shared" si="53"/>
        <v>8860601.6864706539</v>
      </c>
      <c r="AF234" s="238">
        <f t="shared" si="54"/>
        <v>44303008.432353273</v>
      </c>
      <c r="AG234" s="206">
        <f t="shared" si="55"/>
        <v>2013</v>
      </c>
      <c r="AH234" s="210">
        <f t="shared" si="56"/>
        <v>398727085.89117944</v>
      </c>
    </row>
    <row r="235" spans="1:34" s="48" customFormat="1" ht="40.5" hidden="1" customHeight="1" x14ac:dyDescent="0.2">
      <c r="A235" s="296"/>
      <c r="B235" s="48" t="s">
        <v>4325</v>
      </c>
      <c r="C235" s="772"/>
      <c r="D235" s="73"/>
      <c r="E235" s="65" t="s">
        <v>2733</v>
      </c>
      <c r="F235" s="67" t="s">
        <v>1752</v>
      </c>
      <c r="G235" s="67" t="s">
        <v>1864</v>
      </c>
      <c r="H235" s="33" t="s">
        <v>43</v>
      </c>
      <c r="I235" s="40" t="s">
        <v>1786</v>
      </c>
      <c r="J235" s="40" t="s">
        <v>1934</v>
      </c>
      <c r="K235" s="40"/>
      <c r="L235" s="72" t="s">
        <v>2015</v>
      </c>
      <c r="M235" s="40">
        <v>2013</v>
      </c>
      <c r="N235" s="40" t="s">
        <v>2016</v>
      </c>
      <c r="O235" s="32"/>
      <c r="P235" s="33"/>
      <c r="Q235" s="40"/>
      <c r="R235" s="32" t="s">
        <v>12</v>
      </c>
      <c r="S235" s="252">
        <v>439755084.76753765</v>
      </c>
      <c r="T235" s="105"/>
      <c r="U235" s="206" t="str">
        <f t="shared" si="43"/>
        <v>03.11.01</v>
      </c>
      <c r="V235" s="207" t="str">
        <f t="shared" si="44"/>
        <v>Bangunan Gedung Tempat Kerja</v>
      </c>
      <c r="W235" s="207">
        <f t="shared" si="45"/>
        <v>50</v>
      </c>
      <c r="X235" s="233">
        <f t="shared" si="46"/>
        <v>8795101.4953507539</v>
      </c>
      <c r="Y235" s="714">
        <f t="shared" si="47"/>
        <v>0</v>
      </c>
      <c r="Z235" s="233">
        <f t="shared" si="48"/>
        <v>0</v>
      </c>
      <c r="AA235" s="233">
        <f t="shared" si="49"/>
        <v>8795101.4953507539</v>
      </c>
      <c r="AB235" s="233">
        <f t="shared" si="50"/>
        <v>8795101.4953507539</v>
      </c>
      <c r="AC235" s="233">
        <f t="shared" si="51"/>
        <v>8795101.4953507539</v>
      </c>
      <c r="AD235" s="238">
        <f t="shared" si="52"/>
        <v>8795101.4953507539</v>
      </c>
      <c r="AE235" s="238">
        <f t="shared" si="53"/>
        <v>8795101.4953507539</v>
      </c>
      <c r="AF235" s="238">
        <f t="shared" si="54"/>
        <v>43975507.476753771</v>
      </c>
      <c r="AG235" s="206">
        <f t="shared" si="55"/>
        <v>2013</v>
      </c>
      <c r="AH235" s="210">
        <f t="shared" si="56"/>
        <v>395779577.29078388</v>
      </c>
    </row>
    <row r="236" spans="1:34" s="48" customFormat="1" ht="40.5" hidden="1" customHeight="1" x14ac:dyDescent="0.2">
      <c r="A236" s="296"/>
      <c r="B236" s="48" t="s">
        <v>4326</v>
      </c>
      <c r="C236" s="772"/>
      <c r="D236" s="73"/>
      <c r="E236" s="65" t="s">
        <v>2734</v>
      </c>
      <c r="F236" s="67" t="s">
        <v>1752</v>
      </c>
      <c r="G236" s="67" t="s">
        <v>1870</v>
      </c>
      <c r="H236" s="33" t="s">
        <v>43</v>
      </c>
      <c r="I236" s="40" t="s">
        <v>1786</v>
      </c>
      <c r="J236" s="40" t="s">
        <v>1934</v>
      </c>
      <c r="K236" s="40"/>
      <c r="L236" s="72" t="s">
        <v>2018</v>
      </c>
      <c r="M236" s="40">
        <v>2013</v>
      </c>
      <c r="N236" s="40" t="s">
        <v>2019</v>
      </c>
      <c r="O236" s="32"/>
      <c r="P236" s="33"/>
      <c r="Q236" s="40"/>
      <c r="R236" s="32" t="s">
        <v>12</v>
      </c>
      <c r="S236" s="252">
        <v>441362872.62528366</v>
      </c>
      <c r="T236" s="105"/>
      <c r="U236" s="206" t="str">
        <f t="shared" si="43"/>
        <v>03.11.01</v>
      </c>
      <c r="V236" s="207" t="str">
        <f t="shared" si="44"/>
        <v>Bangunan Gedung Tempat Kerja</v>
      </c>
      <c r="W236" s="207">
        <f t="shared" si="45"/>
        <v>50</v>
      </c>
      <c r="X236" s="233">
        <f t="shared" si="46"/>
        <v>8827257.2525056731</v>
      </c>
      <c r="Y236" s="714">
        <f t="shared" si="47"/>
        <v>0</v>
      </c>
      <c r="Z236" s="233">
        <f t="shared" si="48"/>
        <v>0</v>
      </c>
      <c r="AA236" s="233">
        <f t="shared" si="49"/>
        <v>8827257.2525056731</v>
      </c>
      <c r="AB236" s="233">
        <f t="shared" si="50"/>
        <v>8827257.2525056731</v>
      </c>
      <c r="AC236" s="233">
        <f t="shared" si="51"/>
        <v>8827257.2525056731</v>
      </c>
      <c r="AD236" s="238">
        <f t="shared" si="52"/>
        <v>8827257.2525056731</v>
      </c>
      <c r="AE236" s="238">
        <f t="shared" si="53"/>
        <v>8827257.2525056731</v>
      </c>
      <c r="AF236" s="238">
        <f t="shared" si="54"/>
        <v>44136286.262528367</v>
      </c>
      <c r="AG236" s="206">
        <f t="shared" si="55"/>
        <v>2013</v>
      </c>
      <c r="AH236" s="210">
        <f t="shared" si="56"/>
        <v>397226586.3627553</v>
      </c>
    </row>
    <row r="237" spans="1:34" s="48" customFormat="1" ht="40.5" hidden="1" customHeight="1" x14ac:dyDescent="0.2">
      <c r="A237" s="296"/>
      <c r="B237" s="48" t="s">
        <v>4327</v>
      </c>
      <c r="C237" s="772"/>
      <c r="D237" s="73"/>
      <c r="E237" s="65" t="s">
        <v>2735</v>
      </c>
      <c r="F237" s="67" t="s">
        <v>1752</v>
      </c>
      <c r="G237" s="67" t="s">
        <v>1888</v>
      </c>
      <c r="H237" s="33" t="s">
        <v>43</v>
      </c>
      <c r="I237" s="40" t="s">
        <v>1786</v>
      </c>
      <c r="J237" s="40" t="s">
        <v>1934</v>
      </c>
      <c r="K237" s="40"/>
      <c r="L237" s="72" t="s">
        <v>2021</v>
      </c>
      <c r="M237" s="40">
        <v>2013</v>
      </c>
      <c r="N237" s="40" t="s">
        <v>2022</v>
      </c>
      <c r="O237" s="32"/>
      <c r="P237" s="33"/>
      <c r="Q237" s="40"/>
      <c r="R237" s="32" t="s">
        <v>12</v>
      </c>
      <c r="S237" s="252">
        <v>438678102.58876711</v>
      </c>
      <c r="T237" s="105"/>
      <c r="U237" s="206" t="str">
        <f t="shared" si="43"/>
        <v>03.11.01</v>
      </c>
      <c r="V237" s="207" t="str">
        <f t="shared" si="44"/>
        <v>Bangunan Gedung Tempat Kerja</v>
      </c>
      <c r="W237" s="207">
        <f t="shared" si="45"/>
        <v>50</v>
      </c>
      <c r="X237" s="233">
        <f t="shared" si="46"/>
        <v>8773561.8517753426</v>
      </c>
      <c r="Y237" s="714">
        <f t="shared" si="47"/>
        <v>0</v>
      </c>
      <c r="Z237" s="233">
        <f t="shared" si="48"/>
        <v>0</v>
      </c>
      <c r="AA237" s="233">
        <f t="shared" si="49"/>
        <v>8773561.8517753426</v>
      </c>
      <c r="AB237" s="233">
        <f t="shared" si="50"/>
        <v>8773561.8517753426</v>
      </c>
      <c r="AC237" s="233">
        <f t="shared" si="51"/>
        <v>8773561.8517753426</v>
      </c>
      <c r="AD237" s="238">
        <f t="shared" si="52"/>
        <v>8773561.8517753426</v>
      </c>
      <c r="AE237" s="238">
        <f t="shared" si="53"/>
        <v>8773561.8517753426</v>
      </c>
      <c r="AF237" s="238">
        <f t="shared" si="54"/>
        <v>43867809.258876711</v>
      </c>
      <c r="AG237" s="206">
        <f t="shared" si="55"/>
        <v>2013</v>
      </c>
      <c r="AH237" s="210">
        <f t="shared" si="56"/>
        <v>394810293.32989037</v>
      </c>
    </row>
    <row r="238" spans="1:34" s="48" customFormat="1" ht="40.5" hidden="1" customHeight="1" x14ac:dyDescent="0.2">
      <c r="A238" s="296"/>
      <c r="B238" s="48" t="s">
        <v>4307</v>
      </c>
      <c r="C238" s="772"/>
      <c r="D238" s="73"/>
      <c r="E238" s="65" t="s">
        <v>2736</v>
      </c>
      <c r="F238" s="67" t="s">
        <v>1752</v>
      </c>
      <c r="G238" s="67" t="s">
        <v>1895</v>
      </c>
      <c r="H238" s="33" t="s">
        <v>43</v>
      </c>
      <c r="I238" s="40" t="s">
        <v>1786</v>
      </c>
      <c r="J238" s="40" t="s">
        <v>1934</v>
      </c>
      <c r="K238" s="40"/>
      <c r="L238" s="72" t="s">
        <v>2024</v>
      </c>
      <c r="M238" s="40">
        <v>2013</v>
      </c>
      <c r="N238" s="40" t="s">
        <v>2025</v>
      </c>
      <c r="O238" s="32"/>
      <c r="P238" s="33"/>
      <c r="Q238" s="40"/>
      <c r="R238" s="32" t="s">
        <v>12</v>
      </c>
      <c r="S238" s="252">
        <v>443392845.69487888</v>
      </c>
      <c r="T238" s="105"/>
      <c r="U238" s="206" t="str">
        <f t="shared" si="43"/>
        <v>03.11.01</v>
      </c>
      <c r="V238" s="207" t="str">
        <f t="shared" si="44"/>
        <v>Bangunan Gedung Tempat Kerja</v>
      </c>
      <c r="W238" s="207">
        <f t="shared" si="45"/>
        <v>50</v>
      </c>
      <c r="X238" s="233">
        <f t="shared" si="46"/>
        <v>8867856.7138975784</v>
      </c>
      <c r="Y238" s="714">
        <f t="shared" si="47"/>
        <v>0</v>
      </c>
      <c r="Z238" s="233">
        <f t="shared" si="48"/>
        <v>0</v>
      </c>
      <c r="AA238" s="233">
        <f t="shared" si="49"/>
        <v>8867856.7138975784</v>
      </c>
      <c r="AB238" s="233">
        <f t="shared" si="50"/>
        <v>8867856.7138975784</v>
      </c>
      <c r="AC238" s="233">
        <f t="shared" si="51"/>
        <v>8867856.7138975784</v>
      </c>
      <c r="AD238" s="238">
        <f t="shared" si="52"/>
        <v>8867856.7138975784</v>
      </c>
      <c r="AE238" s="238">
        <f t="shared" si="53"/>
        <v>8867856.7138975784</v>
      </c>
      <c r="AF238" s="238">
        <f t="shared" si="54"/>
        <v>44339283.569487892</v>
      </c>
      <c r="AG238" s="206">
        <f t="shared" si="55"/>
        <v>2013</v>
      </c>
      <c r="AH238" s="210">
        <f t="shared" si="56"/>
        <v>399053562.12539101</v>
      </c>
    </row>
    <row r="239" spans="1:34" s="48" customFormat="1" ht="40.5" hidden="1" customHeight="1" x14ac:dyDescent="0.2">
      <c r="A239" s="296"/>
      <c r="B239" s="48" t="s">
        <v>4756</v>
      </c>
      <c r="C239" s="772"/>
      <c r="D239" s="73"/>
      <c r="E239" s="65" t="s">
        <v>2737</v>
      </c>
      <c r="F239" s="67" t="s">
        <v>1752</v>
      </c>
      <c r="G239" s="67" t="s">
        <v>1899</v>
      </c>
      <c r="H239" s="33" t="s">
        <v>43</v>
      </c>
      <c r="I239" s="40" t="s">
        <v>1786</v>
      </c>
      <c r="J239" s="40" t="s">
        <v>1934</v>
      </c>
      <c r="K239" s="40"/>
      <c r="L239" s="72" t="s">
        <v>2027</v>
      </c>
      <c r="M239" s="40">
        <v>2013</v>
      </c>
      <c r="N239" s="40" t="s">
        <v>2028</v>
      </c>
      <c r="O239" s="32"/>
      <c r="P239" s="33"/>
      <c r="Q239" s="40"/>
      <c r="R239" s="32" t="s">
        <v>12</v>
      </c>
      <c r="S239" s="252">
        <v>550731000</v>
      </c>
      <c r="T239" s="105"/>
      <c r="U239" s="206" t="str">
        <f t="shared" si="43"/>
        <v>03.11.01</v>
      </c>
      <c r="V239" s="207" t="str">
        <f t="shared" si="44"/>
        <v>Bangunan Gedung Tempat Kerja</v>
      </c>
      <c r="W239" s="207">
        <f t="shared" si="45"/>
        <v>50</v>
      </c>
      <c r="X239" s="233">
        <f t="shared" si="46"/>
        <v>11014619.800000001</v>
      </c>
      <c r="Y239" s="714">
        <f t="shared" si="47"/>
        <v>0</v>
      </c>
      <c r="Z239" s="233">
        <f t="shared" si="48"/>
        <v>0</v>
      </c>
      <c r="AA239" s="233">
        <f t="shared" si="49"/>
        <v>11014619.800000001</v>
      </c>
      <c r="AB239" s="233">
        <f t="shared" si="50"/>
        <v>11014619.800000001</v>
      </c>
      <c r="AC239" s="233">
        <f t="shared" si="51"/>
        <v>11014619.800000001</v>
      </c>
      <c r="AD239" s="238">
        <f t="shared" si="52"/>
        <v>11014619.800000001</v>
      </c>
      <c r="AE239" s="238">
        <f t="shared" si="53"/>
        <v>11014619.800000001</v>
      </c>
      <c r="AF239" s="238">
        <f t="shared" si="54"/>
        <v>55073099</v>
      </c>
      <c r="AG239" s="206">
        <f t="shared" si="55"/>
        <v>2013</v>
      </c>
      <c r="AH239" s="210">
        <f t="shared" si="56"/>
        <v>495657901</v>
      </c>
    </row>
    <row r="240" spans="1:34" s="48" customFormat="1" ht="40.5" hidden="1" customHeight="1" x14ac:dyDescent="0.2">
      <c r="A240" s="296"/>
      <c r="B240" s="48" t="s">
        <v>4328</v>
      </c>
      <c r="C240" s="772"/>
      <c r="D240" s="73"/>
      <c r="E240" s="65" t="s">
        <v>2738</v>
      </c>
      <c r="F240" s="67" t="s">
        <v>1752</v>
      </c>
      <c r="G240" s="67" t="s">
        <v>1701</v>
      </c>
      <c r="H240" s="33" t="s">
        <v>43</v>
      </c>
      <c r="I240" s="40" t="s">
        <v>1786</v>
      </c>
      <c r="J240" s="40" t="s">
        <v>1934</v>
      </c>
      <c r="K240" s="40"/>
      <c r="L240" s="72" t="s">
        <v>2030</v>
      </c>
      <c r="M240" s="40">
        <v>2013</v>
      </c>
      <c r="N240" s="40" t="s">
        <v>2028</v>
      </c>
      <c r="O240" s="32"/>
      <c r="P240" s="33"/>
      <c r="Q240" s="40"/>
      <c r="R240" s="32" t="s">
        <v>12</v>
      </c>
      <c r="S240" s="252">
        <v>448379000</v>
      </c>
      <c r="T240" s="105"/>
      <c r="U240" s="206" t="str">
        <f t="shared" si="43"/>
        <v>03.11.01</v>
      </c>
      <c r="V240" s="207" t="str">
        <f t="shared" si="44"/>
        <v>Bangunan Gedung Tempat Kerja</v>
      </c>
      <c r="W240" s="207">
        <f t="shared" si="45"/>
        <v>50</v>
      </c>
      <c r="X240" s="233">
        <f t="shared" si="46"/>
        <v>8967579.8000000007</v>
      </c>
      <c r="Y240" s="714">
        <f t="shared" si="47"/>
        <v>0</v>
      </c>
      <c r="Z240" s="233">
        <f t="shared" si="48"/>
        <v>0</v>
      </c>
      <c r="AA240" s="233">
        <f t="shared" si="49"/>
        <v>8967579.8000000007</v>
      </c>
      <c r="AB240" s="233">
        <f t="shared" si="50"/>
        <v>8967579.8000000007</v>
      </c>
      <c r="AC240" s="233">
        <f t="shared" si="51"/>
        <v>8967579.8000000007</v>
      </c>
      <c r="AD240" s="238">
        <f t="shared" si="52"/>
        <v>8967579.8000000007</v>
      </c>
      <c r="AE240" s="238">
        <f t="shared" si="53"/>
        <v>8967579.8000000007</v>
      </c>
      <c r="AF240" s="238">
        <f t="shared" si="54"/>
        <v>44837899</v>
      </c>
      <c r="AG240" s="206">
        <f t="shared" si="55"/>
        <v>2013</v>
      </c>
      <c r="AH240" s="210">
        <f t="shared" si="56"/>
        <v>403541101</v>
      </c>
    </row>
    <row r="241" spans="1:34" s="48" customFormat="1" ht="40.5" hidden="1" customHeight="1" x14ac:dyDescent="0.2">
      <c r="A241" s="296"/>
      <c r="B241" s="48" t="s">
        <v>4309</v>
      </c>
      <c r="C241" s="772"/>
      <c r="D241" s="73"/>
      <c r="E241" s="65" t="s">
        <v>2739</v>
      </c>
      <c r="F241" s="67" t="s">
        <v>1752</v>
      </c>
      <c r="G241" s="67" t="s">
        <v>1906</v>
      </c>
      <c r="H241" s="33" t="s">
        <v>43</v>
      </c>
      <c r="I241" s="40" t="s">
        <v>1786</v>
      </c>
      <c r="J241" s="40" t="s">
        <v>1934</v>
      </c>
      <c r="K241" s="40"/>
      <c r="L241" s="72" t="s">
        <v>2032</v>
      </c>
      <c r="M241" s="40">
        <v>2013</v>
      </c>
      <c r="N241" s="40" t="s">
        <v>2033</v>
      </c>
      <c r="O241" s="32"/>
      <c r="P241" s="33"/>
      <c r="Q241" s="40"/>
      <c r="R241" s="32" t="s">
        <v>12</v>
      </c>
      <c r="S241" s="252">
        <v>426089126.5672524</v>
      </c>
      <c r="T241" s="105"/>
      <c r="U241" s="206" t="str">
        <f t="shared" si="43"/>
        <v>03.11.01</v>
      </c>
      <c r="V241" s="207" t="str">
        <f t="shared" si="44"/>
        <v>Bangunan Gedung Tempat Kerja</v>
      </c>
      <c r="W241" s="207">
        <f t="shared" si="45"/>
        <v>50</v>
      </c>
      <c r="X241" s="233">
        <f t="shared" si="46"/>
        <v>8521782.3313450478</v>
      </c>
      <c r="Y241" s="714">
        <f t="shared" si="47"/>
        <v>0</v>
      </c>
      <c r="Z241" s="233">
        <f t="shared" si="48"/>
        <v>0</v>
      </c>
      <c r="AA241" s="233">
        <f t="shared" si="49"/>
        <v>8521782.3313450478</v>
      </c>
      <c r="AB241" s="233">
        <f t="shared" si="50"/>
        <v>8521782.3313450478</v>
      </c>
      <c r="AC241" s="233">
        <f t="shared" si="51"/>
        <v>8521782.3313450478</v>
      </c>
      <c r="AD241" s="238">
        <f t="shared" si="52"/>
        <v>8521782.3313450478</v>
      </c>
      <c r="AE241" s="238">
        <f t="shared" si="53"/>
        <v>8521782.3313450478</v>
      </c>
      <c r="AF241" s="238">
        <f t="shared" si="54"/>
        <v>42608911.656725243</v>
      </c>
      <c r="AG241" s="206">
        <f t="shared" si="55"/>
        <v>2013</v>
      </c>
      <c r="AH241" s="210">
        <f t="shared" si="56"/>
        <v>383480214.91052717</v>
      </c>
    </row>
    <row r="242" spans="1:34" s="48" customFormat="1" ht="40.5" hidden="1" customHeight="1" x14ac:dyDescent="0.2">
      <c r="A242" s="296"/>
      <c r="B242" s="48" t="s">
        <v>4270</v>
      </c>
      <c r="C242" s="772"/>
      <c r="D242" s="73"/>
      <c r="E242" s="65" t="s">
        <v>2740</v>
      </c>
      <c r="F242" s="67" t="s">
        <v>1752</v>
      </c>
      <c r="G242" s="67" t="s">
        <v>1910</v>
      </c>
      <c r="H242" s="33" t="s">
        <v>43</v>
      </c>
      <c r="I242" s="40" t="s">
        <v>1786</v>
      </c>
      <c r="J242" s="40" t="s">
        <v>1934</v>
      </c>
      <c r="K242" s="40"/>
      <c r="L242" s="72" t="s">
        <v>2035</v>
      </c>
      <c r="M242" s="40">
        <v>2013</v>
      </c>
      <c r="N242" s="40" t="s">
        <v>2036</v>
      </c>
      <c r="O242" s="32"/>
      <c r="P242" s="33"/>
      <c r="Q242" s="40"/>
      <c r="R242" s="32" t="s">
        <v>12</v>
      </c>
      <c r="S242" s="252">
        <v>441125006.51592267</v>
      </c>
      <c r="T242" s="105"/>
      <c r="U242" s="206" t="str">
        <f t="shared" si="43"/>
        <v>03.11.01</v>
      </c>
      <c r="V242" s="207" t="str">
        <f t="shared" si="44"/>
        <v>Bangunan Gedung Tempat Kerja</v>
      </c>
      <c r="W242" s="207">
        <f t="shared" si="45"/>
        <v>50</v>
      </c>
      <c r="X242" s="233">
        <f t="shared" si="46"/>
        <v>8822499.9303184524</v>
      </c>
      <c r="Y242" s="714">
        <f t="shared" si="47"/>
        <v>0</v>
      </c>
      <c r="Z242" s="233">
        <f t="shared" si="48"/>
        <v>0</v>
      </c>
      <c r="AA242" s="233">
        <f t="shared" si="49"/>
        <v>8822499.9303184524</v>
      </c>
      <c r="AB242" s="233">
        <f t="shared" si="50"/>
        <v>8822499.9303184524</v>
      </c>
      <c r="AC242" s="233">
        <f t="shared" si="51"/>
        <v>8822499.9303184524</v>
      </c>
      <c r="AD242" s="238">
        <f t="shared" si="52"/>
        <v>8822499.9303184524</v>
      </c>
      <c r="AE242" s="238">
        <f t="shared" si="53"/>
        <v>8822499.9303184524</v>
      </c>
      <c r="AF242" s="238">
        <f t="shared" si="54"/>
        <v>44112499.651592262</v>
      </c>
      <c r="AG242" s="206">
        <f t="shared" si="55"/>
        <v>2013</v>
      </c>
      <c r="AH242" s="210">
        <f t="shared" si="56"/>
        <v>397012506.86433041</v>
      </c>
    </row>
    <row r="243" spans="1:34" s="48" customFormat="1" ht="40.5" hidden="1" customHeight="1" x14ac:dyDescent="0.2">
      <c r="A243" s="296"/>
      <c r="B243" s="48" t="s">
        <v>4329</v>
      </c>
      <c r="C243" s="772"/>
      <c r="D243" s="73"/>
      <c r="E243" s="65" t="s">
        <v>2741</v>
      </c>
      <c r="F243" s="67" t="s">
        <v>1752</v>
      </c>
      <c r="G243" s="67" t="s">
        <v>1913</v>
      </c>
      <c r="H243" s="33" t="s">
        <v>43</v>
      </c>
      <c r="I243" s="40" t="s">
        <v>1786</v>
      </c>
      <c r="J243" s="40" t="s">
        <v>1934</v>
      </c>
      <c r="K243" s="40"/>
      <c r="L243" s="72" t="s">
        <v>2038</v>
      </c>
      <c r="M243" s="40">
        <v>2013</v>
      </c>
      <c r="N243" s="40" t="s">
        <v>2039</v>
      </c>
      <c r="O243" s="32"/>
      <c r="P243" s="33"/>
      <c r="Q243" s="40"/>
      <c r="R243" s="32" t="s">
        <v>12</v>
      </c>
      <c r="S243" s="252">
        <v>443360374.87962258</v>
      </c>
      <c r="T243" s="105"/>
      <c r="U243" s="206" t="str">
        <f t="shared" si="43"/>
        <v>03.11.01</v>
      </c>
      <c r="V243" s="207" t="str">
        <f t="shared" si="44"/>
        <v>Bangunan Gedung Tempat Kerja</v>
      </c>
      <c r="W243" s="207">
        <f t="shared" si="45"/>
        <v>50</v>
      </c>
      <c r="X243" s="233">
        <f t="shared" si="46"/>
        <v>8867207.2975924518</v>
      </c>
      <c r="Y243" s="714">
        <f t="shared" si="47"/>
        <v>0</v>
      </c>
      <c r="Z243" s="233">
        <f t="shared" si="48"/>
        <v>0</v>
      </c>
      <c r="AA243" s="233">
        <f t="shared" si="49"/>
        <v>8867207.2975924518</v>
      </c>
      <c r="AB243" s="233">
        <f t="shared" si="50"/>
        <v>8867207.2975924518</v>
      </c>
      <c r="AC243" s="233">
        <f t="shared" si="51"/>
        <v>8867207.2975924518</v>
      </c>
      <c r="AD243" s="238">
        <f t="shared" si="52"/>
        <v>8867207.2975924518</v>
      </c>
      <c r="AE243" s="238">
        <f t="shared" si="53"/>
        <v>8867207.2975924518</v>
      </c>
      <c r="AF243" s="238">
        <f t="shared" si="54"/>
        <v>44336036.487962261</v>
      </c>
      <c r="AG243" s="206">
        <f t="shared" si="55"/>
        <v>2013</v>
      </c>
      <c r="AH243" s="210">
        <f t="shared" si="56"/>
        <v>399024338.39166033</v>
      </c>
    </row>
    <row r="244" spans="1:34" s="48" customFormat="1" ht="40.5" hidden="1" customHeight="1" x14ac:dyDescent="0.2">
      <c r="A244" s="296"/>
      <c r="B244" s="48" t="s">
        <v>4330</v>
      </c>
      <c r="C244" s="772"/>
      <c r="D244" s="73"/>
      <c r="E244" s="65" t="s">
        <v>2742</v>
      </c>
      <c r="F244" s="67" t="s">
        <v>1752</v>
      </c>
      <c r="G244" s="67" t="s">
        <v>1916</v>
      </c>
      <c r="H244" s="33" t="s">
        <v>43</v>
      </c>
      <c r="I244" s="40" t="s">
        <v>1786</v>
      </c>
      <c r="J244" s="40" t="s">
        <v>1934</v>
      </c>
      <c r="K244" s="40"/>
      <c r="L244" s="72" t="s">
        <v>2041</v>
      </c>
      <c r="M244" s="40">
        <v>2013</v>
      </c>
      <c r="N244" s="40" t="s">
        <v>2042</v>
      </c>
      <c r="O244" s="32"/>
      <c r="P244" s="33"/>
      <c r="Q244" s="40"/>
      <c r="R244" s="32" t="s">
        <v>12</v>
      </c>
      <c r="S244" s="252">
        <v>439390492.03720236</v>
      </c>
      <c r="T244" s="105"/>
      <c r="U244" s="206" t="str">
        <f t="shared" si="43"/>
        <v>03.11.01</v>
      </c>
      <c r="V244" s="207" t="str">
        <f t="shared" si="44"/>
        <v>Bangunan Gedung Tempat Kerja</v>
      </c>
      <c r="W244" s="207">
        <f t="shared" si="45"/>
        <v>50</v>
      </c>
      <c r="X244" s="233">
        <f t="shared" si="46"/>
        <v>8787809.6407440472</v>
      </c>
      <c r="Y244" s="714">
        <f t="shared" si="47"/>
        <v>0</v>
      </c>
      <c r="Z244" s="233">
        <f t="shared" si="48"/>
        <v>0</v>
      </c>
      <c r="AA244" s="233">
        <f t="shared" si="49"/>
        <v>8787809.6407440472</v>
      </c>
      <c r="AB244" s="233">
        <f t="shared" si="50"/>
        <v>8787809.6407440472</v>
      </c>
      <c r="AC244" s="233">
        <f t="shared" si="51"/>
        <v>8787809.6407440472</v>
      </c>
      <c r="AD244" s="238">
        <f t="shared" si="52"/>
        <v>8787809.6407440472</v>
      </c>
      <c r="AE244" s="238">
        <f t="shared" si="53"/>
        <v>8787809.6407440472</v>
      </c>
      <c r="AF244" s="238">
        <f t="shared" si="54"/>
        <v>43939048.203720234</v>
      </c>
      <c r="AG244" s="206">
        <f t="shared" si="55"/>
        <v>2013</v>
      </c>
      <c r="AH244" s="210">
        <f t="shared" si="56"/>
        <v>395451443.83348215</v>
      </c>
    </row>
    <row r="245" spans="1:34" s="48" customFormat="1" ht="40.5" hidden="1" customHeight="1" x14ac:dyDescent="0.2">
      <c r="A245" s="296"/>
      <c r="B245" s="48" t="s">
        <v>4310</v>
      </c>
      <c r="C245" s="772"/>
      <c r="D245" s="73"/>
      <c r="E245" s="65" t="s">
        <v>2743</v>
      </c>
      <c r="F245" s="67" t="s">
        <v>1752</v>
      </c>
      <c r="G245" s="67" t="s">
        <v>1920</v>
      </c>
      <c r="H245" s="33" t="s">
        <v>43</v>
      </c>
      <c r="I245" s="40" t="s">
        <v>1786</v>
      </c>
      <c r="J245" s="40" t="s">
        <v>1934</v>
      </c>
      <c r="K245" s="40"/>
      <c r="L245" s="72" t="s">
        <v>2044</v>
      </c>
      <c r="M245" s="40">
        <v>2013</v>
      </c>
      <c r="N245" s="40" t="s">
        <v>2045</v>
      </c>
      <c r="O245" s="32"/>
      <c r="P245" s="33"/>
      <c r="Q245" s="40"/>
      <c r="R245" s="32" t="s">
        <v>12</v>
      </c>
      <c r="S245" s="252">
        <v>426167000</v>
      </c>
      <c r="T245" s="105"/>
      <c r="U245" s="206" t="str">
        <f t="shared" si="43"/>
        <v>03.11.01</v>
      </c>
      <c r="V245" s="207" t="str">
        <f t="shared" si="44"/>
        <v>Bangunan Gedung Tempat Kerja</v>
      </c>
      <c r="W245" s="207">
        <f t="shared" si="45"/>
        <v>50</v>
      </c>
      <c r="X245" s="233">
        <f t="shared" si="46"/>
        <v>8523339.8000000007</v>
      </c>
      <c r="Y245" s="714">
        <f t="shared" si="47"/>
        <v>0</v>
      </c>
      <c r="Z245" s="233">
        <f t="shared" si="48"/>
        <v>0</v>
      </c>
      <c r="AA245" s="233">
        <f t="shared" si="49"/>
        <v>8523339.8000000007</v>
      </c>
      <c r="AB245" s="233">
        <f t="shared" si="50"/>
        <v>8523339.8000000007</v>
      </c>
      <c r="AC245" s="233">
        <f t="shared" si="51"/>
        <v>8523339.8000000007</v>
      </c>
      <c r="AD245" s="238">
        <f t="shared" si="52"/>
        <v>8523339.8000000007</v>
      </c>
      <c r="AE245" s="238">
        <f t="shared" si="53"/>
        <v>8523339.8000000007</v>
      </c>
      <c r="AF245" s="238">
        <f t="shared" si="54"/>
        <v>42616699</v>
      </c>
      <c r="AG245" s="206">
        <f t="shared" si="55"/>
        <v>2013</v>
      </c>
      <c r="AH245" s="210">
        <f t="shared" si="56"/>
        <v>383550301</v>
      </c>
    </row>
    <row r="246" spans="1:34" s="48" customFormat="1" ht="40.5" hidden="1" customHeight="1" x14ac:dyDescent="0.2">
      <c r="A246" s="296"/>
      <c r="B246" s="48" t="s">
        <v>4311</v>
      </c>
      <c r="C246" s="772"/>
      <c r="D246" s="73"/>
      <c r="E246" s="65" t="s">
        <v>2744</v>
      </c>
      <c r="F246" s="67" t="s">
        <v>1752</v>
      </c>
      <c r="G246" s="67" t="s">
        <v>1924</v>
      </c>
      <c r="H246" s="33" t="s">
        <v>43</v>
      </c>
      <c r="I246" s="40" t="s">
        <v>1786</v>
      </c>
      <c r="J246" s="40" t="s">
        <v>1934</v>
      </c>
      <c r="K246" s="40"/>
      <c r="L246" s="72" t="s">
        <v>2047</v>
      </c>
      <c r="M246" s="40">
        <v>2013</v>
      </c>
      <c r="N246" s="40" t="s">
        <v>2048</v>
      </c>
      <c r="O246" s="32"/>
      <c r="P246" s="33"/>
      <c r="Q246" s="40"/>
      <c r="R246" s="32" t="s">
        <v>12</v>
      </c>
      <c r="S246" s="252">
        <v>460983000</v>
      </c>
      <c r="T246" s="105"/>
      <c r="U246" s="206" t="str">
        <f t="shared" si="43"/>
        <v>03.11.01</v>
      </c>
      <c r="V246" s="207" t="str">
        <f t="shared" si="44"/>
        <v>Bangunan Gedung Tempat Kerja</v>
      </c>
      <c r="W246" s="207">
        <f t="shared" si="45"/>
        <v>50</v>
      </c>
      <c r="X246" s="233">
        <f t="shared" si="46"/>
        <v>9219659.8000000007</v>
      </c>
      <c r="Y246" s="714">
        <f t="shared" si="47"/>
        <v>0</v>
      </c>
      <c r="Z246" s="233">
        <f t="shared" si="48"/>
        <v>0</v>
      </c>
      <c r="AA246" s="233">
        <f t="shared" si="49"/>
        <v>9219659.8000000007</v>
      </c>
      <c r="AB246" s="233">
        <f t="shared" si="50"/>
        <v>9219659.8000000007</v>
      </c>
      <c r="AC246" s="233">
        <f t="shared" si="51"/>
        <v>9219659.8000000007</v>
      </c>
      <c r="AD246" s="238">
        <f t="shared" si="52"/>
        <v>9219659.8000000007</v>
      </c>
      <c r="AE246" s="238">
        <f t="shared" si="53"/>
        <v>9219659.8000000007</v>
      </c>
      <c r="AF246" s="238">
        <f t="shared" si="54"/>
        <v>46098299</v>
      </c>
      <c r="AG246" s="206">
        <f t="shared" si="55"/>
        <v>2013</v>
      </c>
      <c r="AH246" s="210">
        <f t="shared" si="56"/>
        <v>414884701</v>
      </c>
    </row>
    <row r="247" spans="1:34" s="48" customFormat="1" ht="40.5" hidden="1" customHeight="1" x14ac:dyDescent="0.2">
      <c r="A247" s="296"/>
      <c r="B247" s="48" t="s">
        <v>4331</v>
      </c>
      <c r="C247" s="772"/>
      <c r="D247" s="73"/>
      <c r="E247" s="65" t="s">
        <v>2745</v>
      </c>
      <c r="F247" s="67" t="s">
        <v>1752</v>
      </c>
      <c r="G247" s="67" t="s">
        <v>1927</v>
      </c>
      <c r="H247" s="33" t="s">
        <v>43</v>
      </c>
      <c r="I247" s="40" t="s">
        <v>1786</v>
      </c>
      <c r="J247" s="40" t="s">
        <v>1934</v>
      </c>
      <c r="K247" s="40"/>
      <c r="L247" s="72" t="s">
        <v>2050</v>
      </c>
      <c r="M247" s="40">
        <v>2013</v>
      </c>
      <c r="N247" s="40" t="s">
        <v>2051</v>
      </c>
      <c r="O247" s="32"/>
      <c r="P247" s="33"/>
      <c r="Q247" s="40"/>
      <c r="R247" s="32" t="s">
        <v>12</v>
      </c>
      <c r="S247" s="252">
        <v>443827000</v>
      </c>
      <c r="T247" s="105"/>
      <c r="U247" s="206" t="str">
        <f t="shared" si="43"/>
        <v>03.11.01</v>
      </c>
      <c r="V247" s="207" t="str">
        <f t="shared" si="44"/>
        <v>Bangunan Gedung Tempat Kerja</v>
      </c>
      <c r="W247" s="207">
        <f t="shared" si="45"/>
        <v>50</v>
      </c>
      <c r="X247" s="233">
        <f t="shared" si="46"/>
        <v>8876539.8000000007</v>
      </c>
      <c r="Y247" s="714">
        <f t="shared" si="47"/>
        <v>0</v>
      </c>
      <c r="Z247" s="233">
        <f t="shared" si="48"/>
        <v>0</v>
      </c>
      <c r="AA247" s="233">
        <f t="shared" si="49"/>
        <v>8876539.8000000007</v>
      </c>
      <c r="AB247" s="233">
        <f t="shared" si="50"/>
        <v>8876539.8000000007</v>
      </c>
      <c r="AC247" s="233">
        <f t="shared" si="51"/>
        <v>8876539.8000000007</v>
      </c>
      <c r="AD247" s="238">
        <f t="shared" si="52"/>
        <v>8876539.8000000007</v>
      </c>
      <c r="AE247" s="238">
        <f t="shared" si="53"/>
        <v>8876539.8000000007</v>
      </c>
      <c r="AF247" s="238">
        <f t="shared" si="54"/>
        <v>44382699</v>
      </c>
      <c r="AG247" s="206">
        <f t="shared" si="55"/>
        <v>2013</v>
      </c>
      <c r="AH247" s="210">
        <f t="shared" si="56"/>
        <v>399444301</v>
      </c>
    </row>
    <row r="248" spans="1:34" s="48" customFormat="1" ht="40.5" hidden="1" customHeight="1" x14ac:dyDescent="0.2">
      <c r="A248" s="296"/>
      <c r="B248" s="48" t="s">
        <v>4752</v>
      </c>
      <c r="C248" s="772"/>
      <c r="D248" s="73"/>
      <c r="E248" s="65" t="s">
        <v>2746</v>
      </c>
      <c r="F248" s="67" t="s">
        <v>1752</v>
      </c>
      <c r="G248" s="67" t="s">
        <v>2053</v>
      </c>
      <c r="H248" s="33" t="s">
        <v>43</v>
      </c>
      <c r="I248" s="40" t="s">
        <v>1786</v>
      </c>
      <c r="J248" s="40" t="s">
        <v>1934</v>
      </c>
      <c r="K248" s="40"/>
      <c r="L248" s="72" t="s">
        <v>2054</v>
      </c>
      <c r="M248" s="40">
        <v>2013</v>
      </c>
      <c r="N248" s="40" t="s">
        <v>2055</v>
      </c>
      <c r="O248" s="32"/>
      <c r="P248" s="33"/>
      <c r="Q248" s="40"/>
      <c r="R248" s="32" t="s">
        <v>12</v>
      </c>
      <c r="S248" s="252">
        <v>441644000</v>
      </c>
      <c r="T248" s="105"/>
      <c r="U248" s="206" t="str">
        <f t="shared" si="43"/>
        <v>03.11.01</v>
      </c>
      <c r="V248" s="207" t="str">
        <f t="shared" si="44"/>
        <v>Bangunan Gedung Tempat Kerja</v>
      </c>
      <c r="W248" s="207">
        <f t="shared" si="45"/>
        <v>50</v>
      </c>
      <c r="X248" s="233">
        <f t="shared" si="46"/>
        <v>8832879.8000000007</v>
      </c>
      <c r="Y248" s="714">
        <f t="shared" si="47"/>
        <v>0</v>
      </c>
      <c r="Z248" s="233">
        <f t="shared" si="48"/>
        <v>0</v>
      </c>
      <c r="AA248" s="233">
        <f t="shared" si="49"/>
        <v>8832879.8000000007</v>
      </c>
      <c r="AB248" s="233">
        <f t="shared" si="50"/>
        <v>8832879.8000000007</v>
      </c>
      <c r="AC248" s="233">
        <f t="shared" si="51"/>
        <v>8832879.8000000007</v>
      </c>
      <c r="AD248" s="238">
        <f t="shared" si="52"/>
        <v>8832879.8000000007</v>
      </c>
      <c r="AE248" s="238">
        <f t="shared" si="53"/>
        <v>8832879.8000000007</v>
      </c>
      <c r="AF248" s="238">
        <f t="shared" si="54"/>
        <v>44164399</v>
      </c>
      <c r="AG248" s="206">
        <f t="shared" si="55"/>
        <v>2013</v>
      </c>
      <c r="AH248" s="210">
        <f t="shared" si="56"/>
        <v>397479601</v>
      </c>
    </row>
    <row r="249" spans="1:34" s="670" customFormat="1" ht="40.5" hidden="1" customHeight="1" x14ac:dyDescent="0.2">
      <c r="A249" s="669">
        <v>34</v>
      </c>
      <c r="B249" s="670" t="s">
        <v>3013</v>
      </c>
      <c r="C249" s="773" t="s">
        <v>4247</v>
      </c>
      <c r="D249" s="652"/>
      <c r="E249" s="671" t="s">
        <v>2747</v>
      </c>
      <c r="F249" s="653" t="s">
        <v>2843</v>
      </c>
      <c r="G249" s="653" t="s">
        <v>39</v>
      </c>
      <c r="H249" s="673" t="s">
        <v>43</v>
      </c>
      <c r="I249" s="674" t="s">
        <v>1786</v>
      </c>
      <c r="J249" s="674" t="s">
        <v>1934</v>
      </c>
      <c r="K249" s="674"/>
      <c r="L249" s="691" t="s">
        <v>2058</v>
      </c>
      <c r="M249" s="674">
        <v>2013</v>
      </c>
      <c r="N249" s="674" t="s">
        <v>2059</v>
      </c>
      <c r="O249" s="675"/>
      <c r="P249" s="673"/>
      <c r="Q249" s="674"/>
      <c r="R249" s="675" t="s">
        <v>12</v>
      </c>
      <c r="S249" s="654">
        <f>1104682200</f>
        <v>1104682200</v>
      </c>
      <c r="T249" s="702"/>
      <c r="U249" s="206" t="str">
        <f t="shared" si="43"/>
        <v>03.11.01</v>
      </c>
      <c r="V249" s="207" t="str">
        <f t="shared" si="44"/>
        <v>Bangunan Gedung Tempat Kerja</v>
      </c>
      <c r="W249" s="207">
        <f t="shared" si="45"/>
        <v>50</v>
      </c>
      <c r="X249" s="233">
        <f t="shared" si="46"/>
        <v>22093643.800000001</v>
      </c>
      <c r="Y249" s="714">
        <f t="shared" si="47"/>
        <v>0</v>
      </c>
      <c r="Z249" s="233">
        <f t="shared" si="48"/>
        <v>0</v>
      </c>
      <c r="AA249" s="233">
        <f t="shared" si="49"/>
        <v>22093643.800000001</v>
      </c>
      <c r="AB249" s="233">
        <f t="shared" si="50"/>
        <v>22093643.800000001</v>
      </c>
      <c r="AC249" s="233">
        <f t="shared" si="51"/>
        <v>22093643.800000001</v>
      </c>
      <c r="AD249" s="238">
        <f t="shared" si="52"/>
        <v>22093643.800000001</v>
      </c>
      <c r="AE249" s="238">
        <f t="shared" si="53"/>
        <v>22093643.800000001</v>
      </c>
      <c r="AF249" s="238">
        <f t="shared" si="54"/>
        <v>110468219</v>
      </c>
      <c r="AG249" s="206">
        <f t="shared" si="55"/>
        <v>2013</v>
      </c>
      <c r="AH249" s="210">
        <f t="shared" si="56"/>
        <v>994213981</v>
      </c>
    </row>
    <row r="250" spans="1:34" s="48" customFormat="1" ht="40.5" hidden="1" customHeight="1" x14ac:dyDescent="0.2">
      <c r="A250" s="296">
        <v>34</v>
      </c>
      <c r="B250" s="48" t="s">
        <v>3013</v>
      </c>
      <c r="C250" s="772" t="s">
        <v>4247</v>
      </c>
      <c r="D250" s="73"/>
      <c r="E250" s="65" t="s">
        <v>3012</v>
      </c>
      <c r="F250" s="67" t="s">
        <v>2843</v>
      </c>
      <c r="G250" s="67" t="s">
        <v>39</v>
      </c>
      <c r="H250" s="33" t="s">
        <v>43</v>
      </c>
      <c r="I250" s="40" t="s">
        <v>1786</v>
      </c>
      <c r="J250" s="40" t="s">
        <v>1934</v>
      </c>
      <c r="K250" s="40"/>
      <c r="L250" s="72" t="s">
        <v>834</v>
      </c>
      <c r="M250" s="40">
        <v>2014</v>
      </c>
      <c r="N250" s="40" t="s">
        <v>2154</v>
      </c>
      <c r="O250" s="32"/>
      <c r="P250" s="33"/>
      <c r="Q250" s="40"/>
      <c r="R250" s="32"/>
      <c r="S250" s="252">
        <v>170698800</v>
      </c>
      <c r="T250" s="105"/>
      <c r="U250" s="206" t="str">
        <f t="shared" si="43"/>
        <v>03.11.01</v>
      </c>
      <c r="V250" s="207" t="str">
        <f t="shared" si="44"/>
        <v>Bangunan Gedung Tempat Kerja</v>
      </c>
      <c r="W250" s="207">
        <f t="shared" si="45"/>
        <v>50</v>
      </c>
      <c r="X250" s="233">
        <f t="shared" si="46"/>
        <v>3413975.8</v>
      </c>
      <c r="Y250" s="714">
        <f t="shared" si="47"/>
        <v>0</v>
      </c>
      <c r="Z250" s="233">
        <f t="shared" si="48"/>
        <v>0</v>
      </c>
      <c r="AA250" s="233">
        <f t="shared" si="49"/>
        <v>3413975.8</v>
      </c>
      <c r="AB250" s="233">
        <f t="shared" si="50"/>
        <v>3413975.8</v>
      </c>
      <c r="AC250" s="233">
        <f t="shared" si="51"/>
        <v>3413975.8</v>
      </c>
      <c r="AD250" s="238">
        <f t="shared" si="52"/>
        <v>3413975.8</v>
      </c>
      <c r="AE250" s="238">
        <f t="shared" si="53"/>
        <v>3413975.8</v>
      </c>
      <c r="AF250" s="238">
        <f t="shared" si="54"/>
        <v>17069879</v>
      </c>
      <c r="AG250" s="206">
        <f t="shared" si="55"/>
        <v>2014</v>
      </c>
      <c r="AH250" s="210">
        <f t="shared" si="56"/>
        <v>153628921</v>
      </c>
    </row>
    <row r="251" spans="1:34" s="48" customFormat="1" ht="40.5" hidden="1" customHeight="1" x14ac:dyDescent="0.2">
      <c r="A251" s="296"/>
      <c r="B251" s="48" t="s">
        <v>4343</v>
      </c>
      <c r="C251" s="772"/>
      <c r="D251" s="73"/>
      <c r="E251" s="65" t="s">
        <v>2749</v>
      </c>
      <c r="F251" s="67" t="s">
        <v>2843</v>
      </c>
      <c r="G251" s="67" t="s">
        <v>1765</v>
      </c>
      <c r="H251" s="33" t="s">
        <v>43</v>
      </c>
      <c r="I251" s="40" t="s">
        <v>1786</v>
      </c>
      <c r="J251" s="40" t="s">
        <v>1934</v>
      </c>
      <c r="K251" s="40"/>
      <c r="L251" s="72" t="s">
        <v>2063</v>
      </c>
      <c r="M251" s="40">
        <v>2013</v>
      </c>
      <c r="N251" s="40" t="s">
        <v>2064</v>
      </c>
      <c r="O251" s="32"/>
      <c r="P251" s="33"/>
      <c r="Q251" s="40"/>
      <c r="R251" s="32" t="s">
        <v>12</v>
      </c>
      <c r="S251" s="252">
        <v>1266610000</v>
      </c>
      <c r="T251" s="105"/>
      <c r="U251" s="206" t="str">
        <f t="shared" si="43"/>
        <v>03.11.01</v>
      </c>
      <c r="V251" s="207" t="str">
        <f t="shared" si="44"/>
        <v>Bangunan Gedung Tempat Kerja</v>
      </c>
      <c r="W251" s="207">
        <f t="shared" si="45"/>
        <v>50</v>
      </c>
      <c r="X251" s="233">
        <f t="shared" si="46"/>
        <v>25332199.800000001</v>
      </c>
      <c r="Y251" s="714">
        <f t="shared" si="47"/>
        <v>0</v>
      </c>
      <c r="Z251" s="233">
        <f t="shared" si="48"/>
        <v>0</v>
      </c>
      <c r="AA251" s="233">
        <f t="shared" si="49"/>
        <v>25332199.800000001</v>
      </c>
      <c r="AB251" s="233">
        <f t="shared" si="50"/>
        <v>25332199.800000001</v>
      </c>
      <c r="AC251" s="233">
        <f t="shared" si="51"/>
        <v>25332199.800000001</v>
      </c>
      <c r="AD251" s="238">
        <f t="shared" si="52"/>
        <v>25332199.800000001</v>
      </c>
      <c r="AE251" s="238">
        <f t="shared" si="53"/>
        <v>25332199.800000001</v>
      </c>
      <c r="AF251" s="238">
        <f t="shared" si="54"/>
        <v>126660999</v>
      </c>
      <c r="AG251" s="206">
        <f t="shared" si="55"/>
        <v>2013</v>
      </c>
      <c r="AH251" s="210">
        <f t="shared" si="56"/>
        <v>1139949001</v>
      </c>
    </row>
    <row r="252" spans="1:34" s="670" customFormat="1" ht="40.5" hidden="1" customHeight="1" x14ac:dyDescent="0.2">
      <c r="A252" s="669">
        <v>35</v>
      </c>
      <c r="B252" s="670" t="s">
        <v>2982</v>
      </c>
      <c r="C252" s="773" t="s">
        <v>4247</v>
      </c>
      <c r="D252" s="652"/>
      <c r="E252" s="671" t="s">
        <v>2750</v>
      </c>
      <c r="F252" s="653" t="s">
        <v>2843</v>
      </c>
      <c r="G252" s="653" t="s">
        <v>1768</v>
      </c>
      <c r="H252" s="673" t="s">
        <v>43</v>
      </c>
      <c r="I252" s="674" t="s">
        <v>1786</v>
      </c>
      <c r="J252" s="674" t="s">
        <v>1934</v>
      </c>
      <c r="K252" s="674"/>
      <c r="L252" s="691" t="s">
        <v>2012</v>
      </c>
      <c r="M252" s="674">
        <v>2013</v>
      </c>
      <c r="N252" s="674" t="s">
        <v>2066</v>
      </c>
      <c r="O252" s="675"/>
      <c r="P252" s="673"/>
      <c r="Q252" s="674"/>
      <c r="R252" s="675" t="s">
        <v>12</v>
      </c>
      <c r="S252" s="654">
        <f>994218140</f>
        <v>994218140</v>
      </c>
      <c r="T252" s="702"/>
      <c r="U252" s="206" t="str">
        <f t="shared" si="43"/>
        <v>03.11.01</v>
      </c>
      <c r="V252" s="207" t="str">
        <f t="shared" si="44"/>
        <v>Bangunan Gedung Tempat Kerja</v>
      </c>
      <c r="W252" s="207">
        <f t="shared" si="45"/>
        <v>50</v>
      </c>
      <c r="X252" s="233">
        <f t="shared" si="46"/>
        <v>19884362.600000001</v>
      </c>
      <c r="Y252" s="714">
        <f t="shared" si="47"/>
        <v>0</v>
      </c>
      <c r="Z252" s="233">
        <f t="shared" si="48"/>
        <v>0</v>
      </c>
      <c r="AA252" s="233">
        <f t="shared" si="49"/>
        <v>19884362.600000001</v>
      </c>
      <c r="AB252" s="233">
        <f t="shared" si="50"/>
        <v>19884362.600000001</v>
      </c>
      <c r="AC252" s="233">
        <f t="shared" si="51"/>
        <v>19884362.600000001</v>
      </c>
      <c r="AD252" s="238">
        <f t="shared" si="52"/>
        <v>19884362.600000001</v>
      </c>
      <c r="AE252" s="238">
        <f t="shared" si="53"/>
        <v>19884362.600000001</v>
      </c>
      <c r="AF252" s="238">
        <f t="shared" si="54"/>
        <v>99421813</v>
      </c>
      <c r="AG252" s="206">
        <f t="shared" si="55"/>
        <v>2013</v>
      </c>
      <c r="AH252" s="210">
        <f t="shared" si="56"/>
        <v>894796327</v>
      </c>
    </row>
    <row r="253" spans="1:34" s="48" customFormat="1" ht="40.5" hidden="1" customHeight="1" x14ac:dyDescent="0.2">
      <c r="A253" s="296">
        <v>35</v>
      </c>
      <c r="B253" s="48" t="s">
        <v>2982</v>
      </c>
      <c r="C253" s="772" t="s">
        <v>4247</v>
      </c>
      <c r="D253" s="73"/>
      <c r="E253" s="65" t="s">
        <v>2981</v>
      </c>
      <c r="F253" s="67" t="s">
        <v>2843</v>
      </c>
      <c r="G253" s="67" t="s">
        <v>68</v>
      </c>
      <c r="H253" s="33" t="s">
        <v>43</v>
      </c>
      <c r="I253" s="40" t="s">
        <v>1786</v>
      </c>
      <c r="J253" s="40" t="s">
        <v>1934</v>
      </c>
      <c r="K253" s="40"/>
      <c r="L253" s="72" t="s">
        <v>2012</v>
      </c>
      <c r="M253" s="40">
        <v>2014</v>
      </c>
      <c r="N253" s="40" t="s">
        <v>2066</v>
      </c>
      <c r="O253" s="32"/>
      <c r="P253" s="33"/>
      <c r="Q253" s="40"/>
      <c r="R253" s="32"/>
      <c r="S253" s="252">
        <v>150796700</v>
      </c>
      <c r="T253" s="105"/>
      <c r="U253" s="206" t="str">
        <f t="shared" si="43"/>
        <v>03.11.01</v>
      </c>
      <c r="V253" s="207" t="str">
        <f t="shared" si="44"/>
        <v>Bangunan Gedung Tempat Kerja</v>
      </c>
      <c r="W253" s="207">
        <f t="shared" si="45"/>
        <v>50</v>
      </c>
      <c r="X253" s="233">
        <f t="shared" si="46"/>
        <v>3015933.8</v>
      </c>
      <c r="Y253" s="714">
        <f t="shared" si="47"/>
        <v>0</v>
      </c>
      <c r="Z253" s="233">
        <f t="shared" si="48"/>
        <v>0</v>
      </c>
      <c r="AA253" s="233">
        <f t="shared" si="49"/>
        <v>3015933.8</v>
      </c>
      <c r="AB253" s="233">
        <f t="shared" si="50"/>
        <v>3015933.8</v>
      </c>
      <c r="AC253" s="233">
        <f t="shared" si="51"/>
        <v>3015933.8</v>
      </c>
      <c r="AD253" s="238">
        <f t="shared" si="52"/>
        <v>3015933.8</v>
      </c>
      <c r="AE253" s="238">
        <f t="shared" si="53"/>
        <v>3015933.8</v>
      </c>
      <c r="AF253" s="238">
        <f t="shared" si="54"/>
        <v>15079669</v>
      </c>
      <c r="AG253" s="206">
        <f t="shared" si="55"/>
        <v>2014</v>
      </c>
      <c r="AH253" s="210">
        <f t="shared" si="56"/>
        <v>135717031</v>
      </c>
    </row>
    <row r="254" spans="1:34" s="48" customFormat="1" ht="40.5" hidden="1" customHeight="1" x14ac:dyDescent="0.2">
      <c r="A254" s="296"/>
      <c r="B254" s="48" t="s">
        <v>4754</v>
      </c>
      <c r="C254" s="772"/>
      <c r="D254" s="73"/>
      <c r="E254" s="65" t="s">
        <v>2751</v>
      </c>
      <c r="F254" s="67" t="s">
        <v>1752</v>
      </c>
      <c r="G254" s="67" t="s">
        <v>2053</v>
      </c>
      <c r="H254" s="33" t="s">
        <v>43</v>
      </c>
      <c r="I254" s="40" t="s">
        <v>1786</v>
      </c>
      <c r="J254" s="40" t="s">
        <v>1934</v>
      </c>
      <c r="K254" s="40"/>
      <c r="L254" s="72" t="s">
        <v>2068</v>
      </c>
      <c r="M254" s="40">
        <v>2013</v>
      </c>
      <c r="N254" s="40" t="s">
        <v>2069</v>
      </c>
      <c r="O254" s="32"/>
      <c r="P254" s="33"/>
      <c r="Q254" s="40"/>
      <c r="R254" s="32" t="s">
        <v>12</v>
      </c>
      <c r="S254" s="252">
        <v>446691730.21282196</v>
      </c>
      <c r="T254" s="105"/>
      <c r="U254" s="206" t="str">
        <f t="shared" si="43"/>
        <v>03.11.01</v>
      </c>
      <c r="V254" s="207" t="str">
        <f t="shared" si="44"/>
        <v>Bangunan Gedung Tempat Kerja</v>
      </c>
      <c r="W254" s="207">
        <f t="shared" si="45"/>
        <v>50</v>
      </c>
      <c r="X254" s="233">
        <f t="shared" si="46"/>
        <v>8933834.4042564388</v>
      </c>
      <c r="Y254" s="714">
        <f t="shared" si="47"/>
        <v>0</v>
      </c>
      <c r="Z254" s="233">
        <f t="shared" si="48"/>
        <v>0</v>
      </c>
      <c r="AA254" s="233">
        <f t="shared" si="49"/>
        <v>8933834.4042564388</v>
      </c>
      <c r="AB254" s="233">
        <f t="shared" si="50"/>
        <v>8933834.4042564388</v>
      </c>
      <c r="AC254" s="233">
        <f t="shared" si="51"/>
        <v>8933834.4042564388</v>
      </c>
      <c r="AD254" s="238">
        <f t="shared" si="52"/>
        <v>8933834.4042564388</v>
      </c>
      <c r="AE254" s="238">
        <f t="shared" si="53"/>
        <v>8933834.4042564388</v>
      </c>
      <c r="AF254" s="238">
        <f t="shared" si="54"/>
        <v>44669172.021282196</v>
      </c>
      <c r="AG254" s="206">
        <f t="shared" si="55"/>
        <v>2013</v>
      </c>
      <c r="AH254" s="210">
        <f t="shared" si="56"/>
        <v>402022558.19153976</v>
      </c>
    </row>
    <row r="255" spans="1:34" s="48" customFormat="1" ht="40.5" hidden="1" customHeight="1" x14ac:dyDescent="0.2">
      <c r="A255" s="296"/>
      <c r="B255" s="48" t="s">
        <v>4332</v>
      </c>
      <c r="C255" s="772"/>
      <c r="D255" s="73"/>
      <c r="E255" s="65" t="s">
        <v>2752</v>
      </c>
      <c r="F255" s="67" t="s">
        <v>1752</v>
      </c>
      <c r="G255" s="67" t="s">
        <v>2071</v>
      </c>
      <c r="H255" s="33" t="s">
        <v>43</v>
      </c>
      <c r="I255" s="40" t="s">
        <v>1786</v>
      </c>
      <c r="J255" s="40" t="s">
        <v>1934</v>
      </c>
      <c r="K255" s="40"/>
      <c r="L255" s="72" t="s">
        <v>2072</v>
      </c>
      <c r="M255" s="40">
        <v>2013</v>
      </c>
      <c r="N255" s="40" t="s">
        <v>2073</v>
      </c>
      <c r="O255" s="32"/>
      <c r="P255" s="33"/>
      <c r="Q255" s="40"/>
      <c r="R255" s="32" t="s">
        <v>12</v>
      </c>
      <c r="S255" s="252">
        <v>452117524.85524189</v>
      </c>
      <c r="T255" s="105"/>
      <c r="U255" s="206" t="str">
        <f t="shared" si="43"/>
        <v>03.11.01</v>
      </c>
      <c r="V255" s="207" t="str">
        <f t="shared" si="44"/>
        <v>Bangunan Gedung Tempat Kerja</v>
      </c>
      <c r="W255" s="207">
        <f t="shared" si="45"/>
        <v>50</v>
      </c>
      <c r="X255" s="233">
        <f t="shared" si="46"/>
        <v>9042350.2971048374</v>
      </c>
      <c r="Y255" s="714">
        <f t="shared" si="47"/>
        <v>0</v>
      </c>
      <c r="Z255" s="233">
        <f t="shared" si="48"/>
        <v>0</v>
      </c>
      <c r="AA255" s="233">
        <f t="shared" si="49"/>
        <v>9042350.2971048374</v>
      </c>
      <c r="AB255" s="233">
        <f t="shared" si="50"/>
        <v>9042350.2971048374</v>
      </c>
      <c r="AC255" s="233">
        <f t="shared" si="51"/>
        <v>9042350.2971048374</v>
      </c>
      <c r="AD255" s="238">
        <f t="shared" si="52"/>
        <v>9042350.2971048374</v>
      </c>
      <c r="AE255" s="238">
        <f t="shared" si="53"/>
        <v>9042350.2971048374</v>
      </c>
      <c r="AF255" s="238">
        <f t="shared" si="54"/>
        <v>45211751.485524185</v>
      </c>
      <c r="AG255" s="206">
        <f t="shared" si="55"/>
        <v>2013</v>
      </c>
      <c r="AH255" s="210">
        <f t="shared" si="56"/>
        <v>406905773.36971772</v>
      </c>
    </row>
    <row r="256" spans="1:34" s="48" customFormat="1" ht="40.5" hidden="1" customHeight="1" x14ac:dyDescent="0.2">
      <c r="A256" s="296"/>
      <c r="B256" s="48" t="s">
        <v>4312</v>
      </c>
      <c r="C256" s="772"/>
      <c r="D256" s="73"/>
      <c r="E256" s="65" t="s">
        <v>2753</v>
      </c>
      <c r="F256" s="67" t="s">
        <v>1752</v>
      </c>
      <c r="G256" s="67" t="s">
        <v>2075</v>
      </c>
      <c r="H256" s="33" t="s">
        <v>43</v>
      </c>
      <c r="I256" s="40" t="s">
        <v>1786</v>
      </c>
      <c r="J256" s="40" t="s">
        <v>1934</v>
      </c>
      <c r="K256" s="40"/>
      <c r="L256" s="72" t="s">
        <v>2076</v>
      </c>
      <c r="M256" s="40">
        <v>2013</v>
      </c>
      <c r="N256" s="40" t="s">
        <v>2077</v>
      </c>
      <c r="O256" s="32"/>
      <c r="P256" s="33"/>
      <c r="Q256" s="40"/>
      <c r="R256" s="32" t="s">
        <v>12</v>
      </c>
      <c r="S256" s="252">
        <v>437203744.93193614</v>
      </c>
      <c r="T256" s="105"/>
      <c r="U256" s="206" t="str">
        <f t="shared" si="43"/>
        <v>03.11.01</v>
      </c>
      <c r="V256" s="207" t="str">
        <f t="shared" si="44"/>
        <v>Bangunan Gedung Tempat Kerja</v>
      </c>
      <c r="W256" s="207">
        <f t="shared" si="45"/>
        <v>50</v>
      </c>
      <c r="X256" s="233">
        <f t="shared" si="46"/>
        <v>8744074.6986387223</v>
      </c>
      <c r="Y256" s="714">
        <f t="shared" si="47"/>
        <v>0</v>
      </c>
      <c r="Z256" s="233">
        <f t="shared" si="48"/>
        <v>0</v>
      </c>
      <c r="AA256" s="233">
        <f t="shared" si="49"/>
        <v>8744074.6986387223</v>
      </c>
      <c r="AB256" s="233">
        <f t="shared" si="50"/>
        <v>8744074.6986387223</v>
      </c>
      <c r="AC256" s="233">
        <f t="shared" si="51"/>
        <v>8744074.6986387223</v>
      </c>
      <c r="AD256" s="238">
        <f t="shared" si="52"/>
        <v>8744074.6986387223</v>
      </c>
      <c r="AE256" s="238">
        <f t="shared" si="53"/>
        <v>8744074.6986387223</v>
      </c>
      <c r="AF256" s="238">
        <f t="shared" si="54"/>
        <v>43720373.493193612</v>
      </c>
      <c r="AG256" s="206">
        <f t="shared" si="55"/>
        <v>2013</v>
      </c>
      <c r="AH256" s="210">
        <f t="shared" si="56"/>
        <v>393483371.43874252</v>
      </c>
    </row>
    <row r="257" spans="1:34" s="48" customFormat="1" ht="40.5" hidden="1" customHeight="1" x14ac:dyDescent="0.2">
      <c r="A257" s="296"/>
      <c r="B257" s="48" t="s">
        <v>4313</v>
      </c>
      <c r="C257" s="772"/>
      <c r="D257" s="73"/>
      <c r="E257" s="65" t="s">
        <v>2754</v>
      </c>
      <c r="F257" s="67" t="s">
        <v>1752</v>
      </c>
      <c r="G257" s="67" t="s">
        <v>2079</v>
      </c>
      <c r="H257" s="33" t="s">
        <v>43</v>
      </c>
      <c r="I257" s="40" t="s">
        <v>1786</v>
      </c>
      <c r="J257" s="40" t="s">
        <v>1934</v>
      </c>
      <c r="K257" s="40"/>
      <c r="L257" s="72" t="s">
        <v>2080</v>
      </c>
      <c r="M257" s="40">
        <v>2013</v>
      </c>
      <c r="N257" s="40" t="s">
        <v>2081</v>
      </c>
      <c r="O257" s="32"/>
      <c r="P257" s="33"/>
      <c r="Q257" s="40"/>
      <c r="R257" s="32" t="s">
        <v>12</v>
      </c>
      <c r="S257" s="252">
        <v>438372000</v>
      </c>
      <c r="T257" s="105"/>
      <c r="U257" s="206" t="str">
        <f t="shared" si="43"/>
        <v>03.11.01</v>
      </c>
      <c r="V257" s="207" t="str">
        <f t="shared" si="44"/>
        <v>Bangunan Gedung Tempat Kerja</v>
      </c>
      <c r="W257" s="207">
        <f t="shared" si="45"/>
        <v>50</v>
      </c>
      <c r="X257" s="233">
        <f t="shared" si="46"/>
        <v>8767439.8000000007</v>
      </c>
      <c r="Y257" s="714">
        <f t="shared" si="47"/>
        <v>0</v>
      </c>
      <c r="Z257" s="233">
        <f t="shared" si="48"/>
        <v>0</v>
      </c>
      <c r="AA257" s="233">
        <f t="shared" si="49"/>
        <v>8767439.8000000007</v>
      </c>
      <c r="AB257" s="233">
        <f t="shared" si="50"/>
        <v>8767439.8000000007</v>
      </c>
      <c r="AC257" s="233">
        <f t="shared" si="51"/>
        <v>8767439.8000000007</v>
      </c>
      <c r="AD257" s="238">
        <f t="shared" si="52"/>
        <v>8767439.8000000007</v>
      </c>
      <c r="AE257" s="238">
        <f t="shared" si="53"/>
        <v>8767439.8000000007</v>
      </c>
      <c r="AF257" s="238">
        <f t="shared" si="54"/>
        <v>43837199</v>
      </c>
      <c r="AG257" s="206">
        <f t="shared" si="55"/>
        <v>2013</v>
      </c>
      <c r="AH257" s="210">
        <f t="shared" si="56"/>
        <v>394534801</v>
      </c>
    </row>
    <row r="258" spans="1:34" s="48" customFormat="1" ht="40.5" hidden="1" customHeight="1" x14ac:dyDescent="0.2">
      <c r="A258" s="296"/>
      <c r="B258" s="48" t="s">
        <v>4287</v>
      </c>
      <c r="C258" s="772"/>
      <c r="D258" s="73"/>
      <c r="E258" s="65" t="s">
        <v>2755</v>
      </c>
      <c r="F258" s="67" t="s">
        <v>1752</v>
      </c>
      <c r="G258" s="67" t="s">
        <v>2083</v>
      </c>
      <c r="H258" s="33" t="s">
        <v>43</v>
      </c>
      <c r="I258" s="40" t="s">
        <v>1786</v>
      </c>
      <c r="J258" s="40" t="s">
        <v>1934</v>
      </c>
      <c r="K258" s="40"/>
      <c r="L258" s="72" t="s">
        <v>2058</v>
      </c>
      <c r="M258" s="40">
        <v>2013</v>
      </c>
      <c r="N258" s="40" t="s">
        <v>2084</v>
      </c>
      <c r="O258" s="32"/>
      <c r="P258" s="33"/>
      <c r="Q258" s="40"/>
      <c r="R258" s="32" t="s">
        <v>12</v>
      </c>
      <c r="S258" s="252">
        <v>480245000</v>
      </c>
      <c r="T258" s="105"/>
      <c r="U258" s="206" t="str">
        <f t="shared" si="43"/>
        <v>03.11.01</v>
      </c>
      <c r="V258" s="207" t="str">
        <f t="shared" si="44"/>
        <v>Bangunan Gedung Tempat Kerja</v>
      </c>
      <c r="W258" s="207">
        <f t="shared" si="45"/>
        <v>50</v>
      </c>
      <c r="X258" s="233">
        <f t="shared" si="46"/>
        <v>9604899.8000000007</v>
      </c>
      <c r="Y258" s="714">
        <f t="shared" si="47"/>
        <v>0</v>
      </c>
      <c r="Z258" s="233">
        <f t="shared" si="48"/>
        <v>0</v>
      </c>
      <c r="AA258" s="233">
        <f t="shared" si="49"/>
        <v>9604899.8000000007</v>
      </c>
      <c r="AB258" s="233">
        <f t="shared" si="50"/>
        <v>9604899.8000000007</v>
      </c>
      <c r="AC258" s="233">
        <f t="shared" si="51"/>
        <v>9604899.8000000007</v>
      </c>
      <c r="AD258" s="238">
        <f t="shared" si="52"/>
        <v>9604899.8000000007</v>
      </c>
      <c r="AE258" s="238">
        <f t="shared" si="53"/>
        <v>9604899.8000000007</v>
      </c>
      <c r="AF258" s="238">
        <f t="shared" si="54"/>
        <v>48024499</v>
      </c>
      <c r="AG258" s="206">
        <f t="shared" si="55"/>
        <v>2013</v>
      </c>
      <c r="AH258" s="210">
        <f t="shared" si="56"/>
        <v>432220501</v>
      </c>
    </row>
    <row r="259" spans="1:34" s="48" customFormat="1" ht="40.5" hidden="1" customHeight="1" x14ac:dyDescent="0.2">
      <c r="A259" s="296">
        <v>36</v>
      </c>
      <c r="B259" s="48" t="s">
        <v>2983</v>
      </c>
      <c r="C259" s="772" t="s">
        <v>4247</v>
      </c>
      <c r="D259" s="73"/>
      <c r="E259" s="65" t="s">
        <v>2758</v>
      </c>
      <c r="F259" s="67" t="s">
        <v>2092</v>
      </c>
      <c r="G259" s="404" t="s">
        <v>39</v>
      </c>
      <c r="H259" s="405" t="s">
        <v>43</v>
      </c>
      <c r="I259" s="408" t="s">
        <v>1786</v>
      </c>
      <c r="J259" s="408" t="s">
        <v>1934</v>
      </c>
      <c r="K259" s="408"/>
      <c r="L259" s="72" t="s">
        <v>1776</v>
      </c>
      <c r="M259" s="40">
        <v>2013</v>
      </c>
      <c r="N259" s="40" t="s">
        <v>2093</v>
      </c>
      <c r="O259" s="32"/>
      <c r="P259" s="33"/>
      <c r="Q259" s="40"/>
      <c r="R259" s="32" t="s">
        <v>12</v>
      </c>
      <c r="S259" s="252">
        <v>2350180000</v>
      </c>
      <c r="T259" s="105"/>
      <c r="U259" s="206" t="str">
        <f t="shared" si="43"/>
        <v>03.11.01</v>
      </c>
      <c r="V259" s="207" t="str">
        <f t="shared" si="44"/>
        <v>Bangunan Gedung Tempat Kerja</v>
      </c>
      <c r="W259" s="207">
        <f t="shared" si="45"/>
        <v>50</v>
      </c>
      <c r="X259" s="233">
        <f t="shared" si="46"/>
        <v>47003599.799999997</v>
      </c>
      <c r="Y259" s="714">
        <f t="shared" si="47"/>
        <v>0</v>
      </c>
      <c r="Z259" s="233">
        <f t="shared" si="48"/>
        <v>0</v>
      </c>
      <c r="AA259" s="233">
        <f t="shared" si="49"/>
        <v>47003599.799999997</v>
      </c>
      <c r="AB259" s="233">
        <f t="shared" si="50"/>
        <v>47003599.799999997</v>
      </c>
      <c r="AC259" s="233">
        <f t="shared" si="51"/>
        <v>47003599.799999997</v>
      </c>
      <c r="AD259" s="238">
        <f t="shared" si="52"/>
        <v>47003599.799999997</v>
      </c>
      <c r="AE259" s="238">
        <f t="shared" si="53"/>
        <v>47003599.799999997</v>
      </c>
      <c r="AF259" s="238">
        <f t="shared" si="54"/>
        <v>235017999</v>
      </c>
      <c r="AG259" s="206">
        <f t="shared" si="55"/>
        <v>2013</v>
      </c>
      <c r="AH259" s="210">
        <f t="shared" si="56"/>
        <v>2115162001</v>
      </c>
    </row>
    <row r="260" spans="1:34" s="48" customFormat="1" ht="40.5" hidden="1" customHeight="1" x14ac:dyDescent="0.2">
      <c r="A260" s="296">
        <v>36</v>
      </c>
      <c r="B260" s="48" t="s">
        <v>2983</v>
      </c>
      <c r="C260" s="772" t="s">
        <v>4247</v>
      </c>
      <c r="D260" s="73"/>
      <c r="E260" s="65" t="s">
        <v>2802</v>
      </c>
      <c r="F260" s="67" t="s">
        <v>1752</v>
      </c>
      <c r="G260" s="404" t="s">
        <v>2071</v>
      </c>
      <c r="H260" s="405" t="s">
        <v>43</v>
      </c>
      <c r="I260" s="408" t="s">
        <v>1786</v>
      </c>
      <c r="J260" s="408" t="s">
        <v>1934</v>
      </c>
      <c r="K260" s="408"/>
      <c r="L260" s="72" t="s">
        <v>1776</v>
      </c>
      <c r="M260" s="40">
        <v>2014</v>
      </c>
      <c r="N260" s="40" t="s">
        <v>2208</v>
      </c>
      <c r="O260" s="32"/>
      <c r="P260" s="33"/>
      <c r="Q260" s="40"/>
      <c r="R260" s="32"/>
      <c r="S260" s="252">
        <v>213674000</v>
      </c>
      <c r="T260" s="105"/>
      <c r="U260" s="206" t="str">
        <f t="shared" si="43"/>
        <v>03.11.01</v>
      </c>
      <c r="V260" s="207" t="str">
        <f t="shared" si="44"/>
        <v>Bangunan Gedung Tempat Kerja</v>
      </c>
      <c r="W260" s="207">
        <f t="shared" si="45"/>
        <v>50</v>
      </c>
      <c r="X260" s="233">
        <f t="shared" si="46"/>
        <v>4273479.8</v>
      </c>
      <c r="Y260" s="714">
        <f t="shared" si="47"/>
        <v>0</v>
      </c>
      <c r="Z260" s="233">
        <f t="shared" si="48"/>
        <v>0</v>
      </c>
      <c r="AA260" s="233">
        <f t="shared" si="49"/>
        <v>4273479.8</v>
      </c>
      <c r="AB260" s="233">
        <f t="shared" si="50"/>
        <v>4273479.8</v>
      </c>
      <c r="AC260" s="233">
        <f t="shared" si="51"/>
        <v>4273479.8</v>
      </c>
      <c r="AD260" s="238">
        <f t="shared" si="52"/>
        <v>4273479.8</v>
      </c>
      <c r="AE260" s="238">
        <f t="shared" si="53"/>
        <v>4273479.8</v>
      </c>
      <c r="AF260" s="238">
        <f t="shared" si="54"/>
        <v>21367399</v>
      </c>
      <c r="AG260" s="206">
        <f t="shared" si="55"/>
        <v>2014</v>
      </c>
      <c r="AH260" s="210">
        <f t="shared" si="56"/>
        <v>192306601</v>
      </c>
    </row>
    <row r="261" spans="1:34" s="48" customFormat="1" ht="40.5" hidden="1" customHeight="1" x14ac:dyDescent="0.2">
      <c r="A261" s="296">
        <v>36</v>
      </c>
      <c r="B261" s="48" t="s">
        <v>2983</v>
      </c>
      <c r="C261" s="772" t="s">
        <v>4247</v>
      </c>
      <c r="D261" s="73"/>
      <c r="E261" s="65" t="s">
        <v>2803</v>
      </c>
      <c r="F261" s="67" t="s">
        <v>1752</v>
      </c>
      <c r="G261" s="404" t="s">
        <v>2075</v>
      </c>
      <c r="H261" s="405" t="s">
        <v>43</v>
      </c>
      <c r="I261" s="408" t="s">
        <v>1786</v>
      </c>
      <c r="J261" s="408" t="s">
        <v>1934</v>
      </c>
      <c r="K261" s="408"/>
      <c r="L261" s="72" t="s">
        <v>1776</v>
      </c>
      <c r="M261" s="40">
        <v>2014</v>
      </c>
      <c r="N261" s="40" t="s">
        <v>2210</v>
      </c>
      <c r="O261" s="32"/>
      <c r="P261" s="33"/>
      <c r="Q261" s="40"/>
      <c r="R261" s="32"/>
      <c r="S261" s="252">
        <v>178919000</v>
      </c>
      <c r="T261" s="105"/>
      <c r="U261" s="206" t="str">
        <f t="shared" si="43"/>
        <v>03.11.01</v>
      </c>
      <c r="V261" s="207" t="str">
        <f t="shared" si="44"/>
        <v>Bangunan Gedung Tempat Kerja</v>
      </c>
      <c r="W261" s="207">
        <f t="shared" si="45"/>
        <v>50</v>
      </c>
      <c r="X261" s="233">
        <f t="shared" si="46"/>
        <v>3578379.8</v>
      </c>
      <c r="Y261" s="714">
        <f t="shared" si="47"/>
        <v>0</v>
      </c>
      <c r="Z261" s="233">
        <f t="shared" si="48"/>
        <v>0</v>
      </c>
      <c r="AA261" s="233">
        <f t="shared" si="49"/>
        <v>3578379.8</v>
      </c>
      <c r="AB261" s="233">
        <f t="shared" si="50"/>
        <v>3578379.8</v>
      </c>
      <c r="AC261" s="233">
        <f t="shared" si="51"/>
        <v>3578379.8</v>
      </c>
      <c r="AD261" s="238">
        <f t="shared" si="52"/>
        <v>3578379.8</v>
      </c>
      <c r="AE261" s="238">
        <f t="shared" si="53"/>
        <v>3578379.8</v>
      </c>
      <c r="AF261" s="238">
        <f t="shared" si="54"/>
        <v>17891899</v>
      </c>
      <c r="AG261" s="206">
        <f t="shared" si="55"/>
        <v>2014</v>
      </c>
      <c r="AH261" s="210">
        <f t="shared" si="56"/>
        <v>161027101</v>
      </c>
    </row>
    <row r="262" spans="1:34" s="48" customFormat="1" ht="40.5" hidden="1" customHeight="1" x14ac:dyDescent="0.2">
      <c r="A262" s="296">
        <v>36</v>
      </c>
      <c r="B262" s="48" t="s">
        <v>2983</v>
      </c>
      <c r="C262" s="772" t="s">
        <v>4247</v>
      </c>
      <c r="D262" s="73"/>
      <c r="E262" s="65" t="s">
        <v>2804</v>
      </c>
      <c r="F262" s="67" t="s">
        <v>1752</v>
      </c>
      <c r="G262" s="404" t="s">
        <v>2079</v>
      </c>
      <c r="H262" s="405" t="s">
        <v>43</v>
      </c>
      <c r="I262" s="408" t="s">
        <v>1786</v>
      </c>
      <c r="J262" s="408" t="s">
        <v>1934</v>
      </c>
      <c r="K262" s="408"/>
      <c r="L262" s="72" t="s">
        <v>1776</v>
      </c>
      <c r="M262" s="40">
        <v>2014</v>
      </c>
      <c r="N262" s="40" t="s">
        <v>2212</v>
      </c>
      <c r="O262" s="32"/>
      <c r="P262" s="33"/>
      <c r="Q262" s="40"/>
      <c r="R262" s="32"/>
      <c r="S262" s="252">
        <v>213587000</v>
      </c>
      <c r="T262" s="105"/>
      <c r="U262" s="206" t="str">
        <f t="shared" si="43"/>
        <v>03.11.01</v>
      </c>
      <c r="V262" s="207" t="str">
        <f t="shared" si="44"/>
        <v>Bangunan Gedung Tempat Kerja</v>
      </c>
      <c r="W262" s="207">
        <f t="shared" si="45"/>
        <v>50</v>
      </c>
      <c r="X262" s="233">
        <f t="shared" si="46"/>
        <v>4271739.8</v>
      </c>
      <c r="Y262" s="714">
        <f t="shared" si="47"/>
        <v>0</v>
      </c>
      <c r="Z262" s="233">
        <f t="shared" si="48"/>
        <v>0</v>
      </c>
      <c r="AA262" s="233">
        <f t="shared" si="49"/>
        <v>4271739.8</v>
      </c>
      <c r="AB262" s="233">
        <f t="shared" si="50"/>
        <v>4271739.8</v>
      </c>
      <c r="AC262" s="233">
        <f t="shared" si="51"/>
        <v>4271739.8</v>
      </c>
      <c r="AD262" s="238">
        <f t="shared" si="52"/>
        <v>4271739.8</v>
      </c>
      <c r="AE262" s="238">
        <f t="shared" si="53"/>
        <v>4271739.8</v>
      </c>
      <c r="AF262" s="238">
        <f t="shared" si="54"/>
        <v>21358699</v>
      </c>
      <c r="AG262" s="206">
        <f t="shared" si="55"/>
        <v>2014</v>
      </c>
      <c r="AH262" s="210">
        <f t="shared" si="56"/>
        <v>192228301</v>
      </c>
    </row>
    <row r="263" spans="1:34" s="48" customFormat="1" ht="40.5" hidden="1" customHeight="1" x14ac:dyDescent="0.2">
      <c r="A263" s="296"/>
      <c r="B263" s="48" t="s">
        <v>4283</v>
      </c>
      <c r="C263" s="772"/>
      <c r="D263" s="73"/>
      <c r="E263" s="65" t="s">
        <v>2759</v>
      </c>
      <c r="F263" s="67" t="s">
        <v>2092</v>
      </c>
      <c r="G263" s="67" t="s">
        <v>68</v>
      </c>
      <c r="H263" s="33" t="s">
        <v>43</v>
      </c>
      <c r="I263" s="40" t="s">
        <v>1786</v>
      </c>
      <c r="J263" s="40" t="s">
        <v>1934</v>
      </c>
      <c r="K263" s="40"/>
      <c r="L263" s="72" t="s">
        <v>2095</v>
      </c>
      <c r="M263" s="40">
        <v>2013</v>
      </c>
      <c r="N263" s="40" t="s">
        <v>2096</v>
      </c>
      <c r="O263" s="32"/>
      <c r="P263" s="33"/>
      <c r="Q263" s="40"/>
      <c r="R263" s="32" t="s">
        <v>12</v>
      </c>
      <c r="S263" s="252">
        <v>213424296.579411</v>
      </c>
      <c r="T263" s="105"/>
      <c r="U263" s="206" t="str">
        <f t="shared" si="43"/>
        <v>03.11.01</v>
      </c>
      <c r="V263" s="207" t="str">
        <f t="shared" si="44"/>
        <v>Bangunan Gedung Tempat Kerja</v>
      </c>
      <c r="W263" s="207">
        <f t="shared" si="45"/>
        <v>50</v>
      </c>
      <c r="X263" s="233">
        <f t="shared" si="46"/>
        <v>4268485.7315882202</v>
      </c>
      <c r="Y263" s="714">
        <f t="shared" si="47"/>
        <v>0</v>
      </c>
      <c r="Z263" s="233">
        <f t="shared" si="48"/>
        <v>0</v>
      </c>
      <c r="AA263" s="233">
        <f t="shared" si="49"/>
        <v>4268485.7315882202</v>
      </c>
      <c r="AB263" s="233">
        <f t="shared" si="50"/>
        <v>4268485.7315882202</v>
      </c>
      <c r="AC263" s="233">
        <f t="shared" si="51"/>
        <v>4268485.7315882202</v>
      </c>
      <c r="AD263" s="238">
        <f t="shared" si="52"/>
        <v>4268485.7315882202</v>
      </c>
      <c r="AE263" s="238">
        <f t="shared" si="53"/>
        <v>4268485.7315882202</v>
      </c>
      <c r="AF263" s="238">
        <f t="shared" si="54"/>
        <v>21342428.657941103</v>
      </c>
      <c r="AG263" s="206">
        <f t="shared" si="55"/>
        <v>2013</v>
      </c>
      <c r="AH263" s="210">
        <f t="shared" si="56"/>
        <v>192081867.9214699</v>
      </c>
    </row>
    <row r="264" spans="1:34" s="48" customFormat="1" ht="40.5" hidden="1" customHeight="1" x14ac:dyDescent="0.2">
      <c r="A264" s="296"/>
      <c r="B264" s="48" t="s">
        <v>4345</v>
      </c>
      <c r="C264" s="772"/>
      <c r="D264" s="73"/>
      <c r="E264" s="65" t="s">
        <v>2760</v>
      </c>
      <c r="F264" s="67" t="s">
        <v>2092</v>
      </c>
      <c r="G264" s="67" t="s">
        <v>1765</v>
      </c>
      <c r="H264" s="33" t="s">
        <v>43</v>
      </c>
      <c r="I264" s="40" t="s">
        <v>1786</v>
      </c>
      <c r="J264" s="40" t="s">
        <v>1934</v>
      </c>
      <c r="K264" s="40"/>
      <c r="L264" s="72" t="s">
        <v>1095</v>
      </c>
      <c r="M264" s="40">
        <v>2013</v>
      </c>
      <c r="N264" s="40" t="s">
        <v>2099</v>
      </c>
      <c r="O264" s="32"/>
      <c r="P264" s="33"/>
      <c r="Q264" s="40"/>
      <c r="R264" s="32" t="s">
        <v>12</v>
      </c>
      <c r="S264" s="252">
        <v>213172925.403359</v>
      </c>
      <c r="T264" s="105"/>
      <c r="U264" s="206" t="str">
        <f t="shared" si="43"/>
        <v>03.11.01</v>
      </c>
      <c r="V264" s="207" t="str">
        <f t="shared" si="44"/>
        <v>Bangunan Gedung Tempat Kerja</v>
      </c>
      <c r="W264" s="207">
        <f t="shared" si="45"/>
        <v>50</v>
      </c>
      <c r="X264" s="233">
        <f t="shared" si="46"/>
        <v>4263458.3080671802</v>
      </c>
      <c r="Y264" s="714">
        <f t="shared" si="47"/>
        <v>0</v>
      </c>
      <c r="Z264" s="233">
        <f t="shared" si="48"/>
        <v>0</v>
      </c>
      <c r="AA264" s="233">
        <f t="shared" si="49"/>
        <v>4263458.3080671802</v>
      </c>
      <c r="AB264" s="233">
        <f t="shared" si="50"/>
        <v>4263458.3080671802</v>
      </c>
      <c r="AC264" s="233">
        <f t="shared" si="51"/>
        <v>4263458.3080671802</v>
      </c>
      <c r="AD264" s="238">
        <f t="shared" si="52"/>
        <v>4263458.3080671802</v>
      </c>
      <c r="AE264" s="238">
        <f t="shared" si="53"/>
        <v>4263458.3080671802</v>
      </c>
      <c r="AF264" s="238">
        <f t="shared" si="54"/>
        <v>21317291.540335901</v>
      </c>
      <c r="AG264" s="206">
        <f t="shared" si="55"/>
        <v>2013</v>
      </c>
      <c r="AH264" s="210">
        <f t="shared" si="56"/>
        <v>191855633.8630231</v>
      </c>
    </row>
    <row r="265" spans="1:34" s="48" customFormat="1" ht="40.5" hidden="1" customHeight="1" x14ac:dyDescent="0.2">
      <c r="A265" s="296"/>
      <c r="B265" s="48" t="s">
        <v>4273</v>
      </c>
      <c r="C265" s="772"/>
      <c r="D265" s="73"/>
      <c r="E265" s="65" t="s">
        <v>2761</v>
      </c>
      <c r="F265" s="67" t="s">
        <v>2092</v>
      </c>
      <c r="G265" s="67" t="s">
        <v>1768</v>
      </c>
      <c r="H265" s="33" t="s">
        <v>43</v>
      </c>
      <c r="I265" s="40" t="s">
        <v>1786</v>
      </c>
      <c r="J265" s="40" t="s">
        <v>1934</v>
      </c>
      <c r="K265" s="40"/>
      <c r="L265" s="72" t="s">
        <v>2101</v>
      </c>
      <c r="M265" s="40">
        <v>2013</v>
      </c>
      <c r="N265" s="40" t="s">
        <v>2102</v>
      </c>
      <c r="O265" s="32"/>
      <c r="P265" s="33"/>
      <c r="Q265" s="40"/>
      <c r="R265" s="32" t="s">
        <v>12</v>
      </c>
      <c r="S265" s="252">
        <v>213314778.01723</v>
      </c>
      <c r="T265" s="105"/>
      <c r="U265" s="206" t="str">
        <f t="shared" si="43"/>
        <v>03.11.01</v>
      </c>
      <c r="V265" s="207" t="str">
        <f t="shared" si="44"/>
        <v>Bangunan Gedung Tempat Kerja</v>
      </c>
      <c r="W265" s="207">
        <f t="shared" si="45"/>
        <v>50</v>
      </c>
      <c r="X265" s="233">
        <f t="shared" si="46"/>
        <v>4266295.3603445999</v>
      </c>
      <c r="Y265" s="714">
        <f t="shared" si="47"/>
        <v>0</v>
      </c>
      <c r="Z265" s="233">
        <f t="shared" si="48"/>
        <v>0</v>
      </c>
      <c r="AA265" s="233">
        <f t="shared" si="49"/>
        <v>4266295.3603445999</v>
      </c>
      <c r="AB265" s="233">
        <f t="shared" si="50"/>
        <v>4266295.3603445999</v>
      </c>
      <c r="AC265" s="233">
        <f t="shared" si="51"/>
        <v>4266295.3603445999</v>
      </c>
      <c r="AD265" s="238">
        <f t="shared" si="52"/>
        <v>4266295.3603445999</v>
      </c>
      <c r="AE265" s="238">
        <f t="shared" si="53"/>
        <v>4266295.3603445999</v>
      </c>
      <c r="AF265" s="238">
        <f t="shared" si="54"/>
        <v>21331476.801723</v>
      </c>
      <c r="AG265" s="206">
        <f t="shared" si="55"/>
        <v>2013</v>
      </c>
      <c r="AH265" s="210">
        <f t="shared" si="56"/>
        <v>191983301.215507</v>
      </c>
    </row>
    <row r="266" spans="1:34" s="670" customFormat="1" ht="40.5" hidden="1" customHeight="1" x14ac:dyDescent="0.2">
      <c r="A266" s="669">
        <v>37</v>
      </c>
      <c r="B266" s="670" t="s">
        <v>2852</v>
      </c>
      <c r="C266" s="773" t="s">
        <v>4247</v>
      </c>
      <c r="D266" s="652"/>
      <c r="E266" s="671" t="s">
        <v>2762</v>
      </c>
      <c r="F266" s="653" t="s">
        <v>1772</v>
      </c>
      <c r="G266" s="653" t="s">
        <v>2104</v>
      </c>
      <c r="H266" s="673" t="s">
        <v>43</v>
      </c>
      <c r="I266" s="674" t="s">
        <v>1786</v>
      </c>
      <c r="J266" s="674" t="s">
        <v>1934</v>
      </c>
      <c r="K266" s="674"/>
      <c r="L266" s="691" t="s">
        <v>2105</v>
      </c>
      <c r="M266" s="674">
        <v>2013</v>
      </c>
      <c r="N266" s="674" t="s">
        <v>2106</v>
      </c>
      <c r="O266" s="675"/>
      <c r="P266" s="673"/>
      <c r="Q266" s="674"/>
      <c r="R266" s="675" t="s">
        <v>12</v>
      </c>
      <c r="S266" s="654">
        <f>2030934900</f>
        <v>2030934900</v>
      </c>
      <c r="T266" s="702"/>
      <c r="U266" s="206" t="str">
        <f t="shared" si="43"/>
        <v>03.11.01</v>
      </c>
      <c r="V266" s="207" t="str">
        <f t="shared" si="44"/>
        <v>Bangunan Gedung Tempat Kerja</v>
      </c>
      <c r="W266" s="207">
        <f t="shared" si="45"/>
        <v>50</v>
      </c>
      <c r="X266" s="233">
        <f t="shared" si="46"/>
        <v>40618697.799999997</v>
      </c>
      <c r="Y266" s="714">
        <f t="shared" si="47"/>
        <v>0</v>
      </c>
      <c r="Z266" s="233">
        <f t="shared" si="48"/>
        <v>0</v>
      </c>
      <c r="AA266" s="233">
        <f t="shared" si="49"/>
        <v>40618697.799999997</v>
      </c>
      <c r="AB266" s="233">
        <f t="shared" si="50"/>
        <v>40618697.799999997</v>
      </c>
      <c r="AC266" s="233">
        <f t="shared" si="51"/>
        <v>40618697.799999997</v>
      </c>
      <c r="AD266" s="238">
        <f t="shared" si="52"/>
        <v>40618697.799999997</v>
      </c>
      <c r="AE266" s="238">
        <f t="shared" si="53"/>
        <v>40618697.799999997</v>
      </c>
      <c r="AF266" s="238">
        <f t="shared" si="54"/>
        <v>203093489</v>
      </c>
      <c r="AG266" s="206">
        <f t="shared" si="55"/>
        <v>2013</v>
      </c>
      <c r="AH266" s="210">
        <f t="shared" si="56"/>
        <v>1827841411</v>
      </c>
    </row>
    <row r="267" spans="1:34" s="48" customFormat="1" ht="40.5" hidden="1" customHeight="1" x14ac:dyDescent="0.2">
      <c r="A267" s="296">
        <v>37</v>
      </c>
      <c r="B267" s="48" t="s">
        <v>2852</v>
      </c>
      <c r="C267" s="772" t="s">
        <v>4247</v>
      </c>
      <c r="D267" s="73"/>
      <c r="E267" s="65" t="s">
        <v>2851</v>
      </c>
      <c r="F267" s="67" t="s">
        <v>1752</v>
      </c>
      <c r="G267" s="67" t="s">
        <v>1765</v>
      </c>
      <c r="H267" s="33" t="s">
        <v>43</v>
      </c>
      <c r="I267" s="40" t="s">
        <v>1786</v>
      </c>
      <c r="J267" s="40" t="s">
        <v>1934</v>
      </c>
      <c r="K267" s="40"/>
      <c r="L267" s="72" t="s">
        <v>2012</v>
      </c>
      <c r="M267" s="40">
        <v>2014</v>
      </c>
      <c r="N267" s="40" t="s">
        <v>2157</v>
      </c>
      <c r="O267" s="32"/>
      <c r="P267" s="33"/>
      <c r="Q267" s="40"/>
      <c r="R267" s="32"/>
      <c r="S267" s="252">
        <v>506599100</v>
      </c>
      <c r="T267" s="105"/>
      <c r="U267" s="206" t="str">
        <f t="shared" si="43"/>
        <v>03.11.01</v>
      </c>
      <c r="V267" s="207" t="str">
        <f t="shared" si="44"/>
        <v>Bangunan Gedung Tempat Kerja</v>
      </c>
      <c r="W267" s="207">
        <f t="shared" si="45"/>
        <v>50</v>
      </c>
      <c r="X267" s="233">
        <f t="shared" si="46"/>
        <v>10131981.800000001</v>
      </c>
      <c r="Y267" s="714">
        <f t="shared" si="47"/>
        <v>0</v>
      </c>
      <c r="Z267" s="233">
        <f t="shared" si="48"/>
        <v>0</v>
      </c>
      <c r="AA267" s="233">
        <f t="shared" si="49"/>
        <v>10131981.800000001</v>
      </c>
      <c r="AB267" s="233">
        <f t="shared" si="50"/>
        <v>10131981.800000001</v>
      </c>
      <c r="AC267" s="233">
        <f t="shared" si="51"/>
        <v>10131981.800000001</v>
      </c>
      <c r="AD267" s="238">
        <f t="shared" si="52"/>
        <v>10131981.800000001</v>
      </c>
      <c r="AE267" s="238">
        <f t="shared" si="53"/>
        <v>10131981.800000001</v>
      </c>
      <c r="AF267" s="238">
        <f t="shared" si="54"/>
        <v>50659909</v>
      </c>
      <c r="AG267" s="206">
        <f t="shared" si="55"/>
        <v>2014</v>
      </c>
      <c r="AH267" s="210">
        <f t="shared" si="56"/>
        <v>455939191</v>
      </c>
    </row>
    <row r="268" spans="1:34" s="48" customFormat="1" ht="40.5" hidden="1" customHeight="1" x14ac:dyDescent="0.2">
      <c r="A268" s="296"/>
      <c r="B268" s="48" t="s">
        <v>4357</v>
      </c>
      <c r="C268" s="772" t="s">
        <v>4266</v>
      </c>
      <c r="D268" s="73"/>
      <c r="E268" s="65" t="s">
        <v>2763</v>
      </c>
      <c r="F268" s="67" t="s">
        <v>1772</v>
      </c>
      <c r="G268" s="67" t="s">
        <v>1857</v>
      </c>
      <c r="H268" s="33" t="s">
        <v>43</v>
      </c>
      <c r="I268" s="40" t="s">
        <v>1786</v>
      </c>
      <c r="J268" s="40" t="s">
        <v>1934</v>
      </c>
      <c r="K268" s="40"/>
      <c r="L268" s="72" t="s">
        <v>1776</v>
      </c>
      <c r="M268" s="40">
        <v>2013</v>
      </c>
      <c r="N268" s="40" t="s">
        <v>2108</v>
      </c>
      <c r="O268" s="32"/>
      <c r="P268" s="33"/>
      <c r="Q268" s="40"/>
      <c r="R268" s="32" t="s">
        <v>12</v>
      </c>
      <c r="S268" s="252">
        <v>1956592000</v>
      </c>
      <c r="T268" s="105"/>
      <c r="U268" s="206" t="str">
        <f t="shared" si="43"/>
        <v>03.11.01</v>
      </c>
      <c r="V268" s="207" t="str">
        <f t="shared" si="44"/>
        <v>Bangunan Gedung Tempat Kerja</v>
      </c>
      <c r="W268" s="207">
        <f t="shared" si="45"/>
        <v>50</v>
      </c>
      <c r="X268" s="233">
        <f t="shared" si="46"/>
        <v>39131839.799999997</v>
      </c>
      <c r="Y268" s="714">
        <f t="shared" si="47"/>
        <v>0</v>
      </c>
      <c r="Z268" s="233">
        <f t="shared" si="48"/>
        <v>0</v>
      </c>
      <c r="AA268" s="233">
        <f t="shared" si="49"/>
        <v>39131839.799999997</v>
      </c>
      <c r="AB268" s="233">
        <f t="shared" si="50"/>
        <v>39131839.799999997</v>
      </c>
      <c r="AC268" s="233">
        <f t="shared" si="51"/>
        <v>39131839.799999997</v>
      </c>
      <c r="AD268" s="238">
        <f t="shared" si="52"/>
        <v>39131839.799999997</v>
      </c>
      <c r="AE268" s="238">
        <f t="shared" si="53"/>
        <v>39131839.799999997</v>
      </c>
      <c r="AF268" s="238">
        <f t="shared" si="54"/>
        <v>195659199</v>
      </c>
      <c r="AG268" s="206">
        <f t="shared" si="55"/>
        <v>2013</v>
      </c>
      <c r="AH268" s="210">
        <f t="shared" si="56"/>
        <v>1760932801</v>
      </c>
    </row>
    <row r="269" spans="1:34" s="48" customFormat="1" ht="40.5" hidden="1" customHeight="1" x14ac:dyDescent="0.2">
      <c r="A269" s="296"/>
      <c r="B269" s="48" t="s">
        <v>4274</v>
      </c>
      <c r="C269" s="772"/>
      <c r="D269" s="73"/>
      <c r="E269" s="65" t="s">
        <v>2764</v>
      </c>
      <c r="F269" s="67" t="s">
        <v>1772</v>
      </c>
      <c r="G269" s="67" t="s">
        <v>1861</v>
      </c>
      <c r="H269" s="33" t="s">
        <v>43</v>
      </c>
      <c r="I269" s="40" t="s">
        <v>1786</v>
      </c>
      <c r="J269" s="40" t="s">
        <v>1934</v>
      </c>
      <c r="K269" s="40"/>
      <c r="L269" s="72" t="s">
        <v>431</v>
      </c>
      <c r="M269" s="40">
        <v>2013</v>
      </c>
      <c r="N269" s="40" t="s">
        <v>2110</v>
      </c>
      <c r="O269" s="32"/>
      <c r="P269" s="33"/>
      <c r="Q269" s="40"/>
      <c r="R269" s="32" t="s">
        <v>12</v>
      </c>
      <c r="S269" s="252">
        <v>397173000</v>
      </c>
      <c r="T269" s="105"/>
      <c r="U269" s="206" t="str">
        <f t="shared" si="43"/>
        <v>03.11.01</v>
      </c>
      <c r="V269" s="207" t="str">
        <f t="shared" si="44"/>
        <v>Bangunan Gedung Tempat Kerja</v>
      </c>
      <c r="W269" s="207">
        <f t="shared" si="45"/>
        <v>50</v>
      </c>
      <c r="X269" s="233">
        <f t="shared" si="46"/>
        <v>7943459.7999999998</v>
      </c>
      <c r="Y269" s="714">
        <f t="shared" si="47"/>
        <v>0</v>
      </c>
      <c r="Z269" s="233">
        <f t="shared" si="48"/>
        <v>0</v>
      </c>
      <c r="AA269" s="233">
        <f t="shared" si="49"/>
        <v>7943459.7999999998</v>
      </c>
      <c r="AB269" s="233">
        <f t="shared" si="50"/>
        <v>7943459.7999999998</v>
      </c>
      <c r="AC269" s="233">
        <f t="shared" si="51"/>
        <v>7943459.7999999998</v>
      </c>
      <c r="AD269" s="238">
        <f t="shared" si="52"/>
        <v>7943459.7999999998</v>
      </c>
      <c r="AE269" s="238">
        <f t="shared" si="53"/>
        <v>7943459.7999999998</v>
      </c>
      <c r="AF269" s="238">
        <f t="shared" si="54"/>
        <v>39717299</v>
      </c>
      <c r="AG269" s="206">
        <f t="shared" si="55"/>
        <v>2013</v>
      </c>
      <c r="AH269" s="210">
        <f t="shared" si="56"/>
        <v>357455701</v>
      </c>
    </row>
    <row r="270" spans="1:34" s="48" customFormat="1" ht="40.5" hidden="1" customHeight="1" x14ac:dyDescent="0.2">
      <c r="A270" s="296"/>
      <c r="B270" s="48" t="s">
        <v>4291</v>
      </c>
      <c r="C270" s="772" t="s">
        <v>4266</v>
      </c>
      <c r="D270" s="73"/>
      <c r="E270" s="65" t="s">
        <v>2765</v>
      </c>
      <c r="F270" s="67" t="s">
        <v>1772</v>
      </c>
      <c r="G270" s="67" t="s">
        <v>1864</v>
      </c>
      <c r="H270" s="33" t="s">
        <v>43</v>
      </c>
      <c r="I270" s="40" t="s">
        <v>1786</v>
      </c>
      <c r="J270" s="40" t="s">
        <v>1934</v>
      </c>
      <c r="K270" s="40"/>
      <c r="L270" s="72" t="s">
        <v>1776</v>
      </c>
      <c r="M270" s="40">
        <v>2013</v>
      </c>
      <c r="N270" s="40" t="s">
        <v>2022</v>
      </c>
      <c r="O270" s="32"/>
      <c r="P270" s="33"/>
      <c r="Q270" s="40"/>
      <c r="R270" s="32" t="s">
        <v>12</v>
      </c>
      <c r="S270" s="252">
        <v>991552000</v>
      </c>
      <c r="T270" s="105"/>
      <c r="U270" s="206" t="str">
        <f t="shared" si="43"/>
        <v>03.11.01</v>
      </c>
      <c r="V270" s="207" t="str">
        <f t="shared" si="44"/>
        <v>Bangunan Gedung Tempat Kerja</v>
      </c>
      <c r="W270" s="207">
        <f t="shared" si="45"/>
        <v>50</v>
      </c>
      <c r="X270" s="233">
        <f t="shared" si="46"/>
        <v>19831039.800000001</v>
      </c>
      <c r="Y270" s="714">
        <f t="shared" si="47"/>
        <v>0</v>
      </c>
      <c r="Z270" s="233">
        <f t="shared" si="48"/>
        <v>0</v>
      </c>
      <c r="AA270" s="233">
        <f t="shared" si="49"/>
        <v>19831039.800000001</v>
      </c>
      <c r="AB270" s="233">
        <f t="shared" si="50"/>
        <v>19831039.800000001</v>
      </c>
      <c r="AC270" s="233">
        <f t="shared" si="51"/>
        <v>19831039.800000001</v>
      </c>
      <c r="AD270" s="238">
        <f t="shared" si="52"/>
        <v>19831039.800000001</v>
      </c>
      <c r="AE270" s="238">
        <f t="shared" si="53"/>
        <v>19831039.800000001</v>
      </c>
      <c r="AF270" s="238">
        <f t="shared" si="54"/>
        <v>99155199</v>
      </c>
      <c r="AG270" s="206">
        <f t="shared" si="55"/>
        <v>2013</v>
      </c>
      <c r="AH270" s="210">
        <f t="shared" si="56"/>
        <v>892396801</v>
      </c>
    </row>
    <row r="271" spans="1:34" s="48" customFormat="1" ht="40.5" hidden="1" customHeight="1" x14ac:dyDescent="0.2">
      <c r="A271" s="296"/>
      <c r="C271" s="772" t="s">
        <v>2302</v>
      </c>
      <c r="D271" s="73"/>
      <c r="E271" s="65" t="s">
        <v>2766</v>
      </c>
      <c r="F271" s="67" t="s">
        <v>2113</v>
      </c>
      <c r="G271" s="67" t="s">
        <v>39</v>
      </c>
      <c r="H271" s="33" t="s">
        <v>43</v>
      </c>
      <c r="I271" s="40" t="s">
        <v>1786</v>
      </c>
      <c r="J271" s="40" t="s">
        <v>1934</v>
      </c>
      <c r="K271" s="40"/>
      <c r="L271" s="72" t="s">
        <v>1776</v>
      </c>
      <c r="M271" s="40">
        <v>2013</v>
      </c>
      <c r="N271" s="40" t="s">
        <v>2022</v>
      </c>
      <c r="O271" s="32"/>
      <c r="P271" s="33"/>
      <c r="Q271" s="40"/>
      <c r="R271" s="32" t="s">
        <v>12</v>
      </c>
      <c r="S271" s="252">
        <v>48327850</v>
      </c>
      <c r="T271" s="105"/>
      <c r="U271" s="206" t="str">
        <f t="shared" ref="U271:U334" si="57">LEFT(F271,8)</f>
        <v>03.11.01</v>
      </c>
      <c r="V271" s="207" t="str">
        <f t="shared" ref="V271:V334" si="58">VLOOKUP(U271,UE,3)</f>
        <v>Bangunan Gedung Tempat Kerja</v>
      </c>
      <c r="W271" s="207">
        <f t="shared" ref="W271:W334" si="59">VLOOKUP(U271,UE,4)</f>
        <v>50</v>
      </c>
      <c r="X271" s="233">
        <f t="shared" ref="X271:X334" si="60">(S271-10)/W271</f>
        <v>966556.8</v>
      </c>
      <c r="Y271" s="714">
        <f t="shared" ref="Y271:Y334" si="61">IF(2013-M271&gt;W271,W271,IF(2013-M271&lt;0,0,2013-M271))</f>
        <v>0</v>
      </c>
      <c r="Z271" s="233">
        <f t="shared" ref="Z271:Z334" si="62">IF(Y271&gt;W271,S271-10,X271*Y271)</f>
        <v>0</v>
      </c>
      <c r="AA271" s="233">
        <f t="shared" ref="AA271:AA324" si="63">IF(S271-10=Z271,0,X271)</f>
        <v>966556.8</v>
      </c>
      <c r="AB271" s="233">
        <f t="shared" ref="AB271:AB324" si="64">IF(S271-10=Z271+AA271,0,X271)</f>
        <v>966556.8</v>
      </c>
      <c r="AC271" s="233">
        <f t="shared" ref="AC271:AC328" si="65">IF(S271-10=Z271+AA271+AB271,0,X271)</f>
        <v>966556.8</v>
      </c>
      <c r="AD271" s="238">
        <f t="shared" ref="AD271:AD328" si="66">IF(S271-10=Z271+AA271+AB271+AC271,0,X271)</f>
        <v>966556.8</v>
      </c>
      <c r="AE271" s="238">
        <f t="shared" ref="AE271:AE334" si="67">IF(S271-10=Z271+AA271+AB271+AC271+AD271,0,X271)</f>
        <v>966556.8</v>
      </c>
      <c r="AF271" s="238">
        <f t="shared" ref="AF271:AF334" si="68">SUM(Z271:AE271)</f>
        <v>4832784</v>
      </c>
      <c r="AG271" s="206">
        <f t="shared" ref="AG271:AG334" si="69">M271</f>
        <v>2013</v>
      </c>
      <c r="AH271" s="210">
        <f t="shared" ref="AH271:AH334" si="70">S271-AF271</f>
        <v>43495066</v>
      </c>
    </row>
    <row r="272" spans="1:34" s="48" customFormat="1" ht="40.5" hidden="1" customHeight="1" x14ac:dyDescent="0.2">
      <c r="A272" s="296"/>
      <c r="C272" s="772" t="s">
        <v>2302</v>
      </c>
      <c r="D272" s="73"/>
      <c r="E272" s="65" t="s">
        <v>2769</v>
      </c>
      <c r="F272" s="67" t="s">
        <v>1752</v>
      </c>
      <c r="G272" s="67" t="s">
        <v>2118</v>
      </c>
      <c r="H272" s="33" t="s">
        <v>43</v>
      </c>
      <c r="I272" s="40" t="s">
        <v>1786</v>
      </c>
      <c r="J272" s="40" t="s">
        <v>1934</v>
      </c>
      <c r="K272" s="40"/>
      <c r="L272" s="72" t="s">
        <v>1776</v>
      </c>
      <c r="M272" s="40">
        <v>2013</v>
      </c>
      <c r="N272" s="40" t="s">
        <v>2121</v>
      </c>
      <c r="O272" s="32"/>
      <c r="P272" s="33"/>
      <c r="Q272" s="40"/>
      <c r="R272" s="32" t="s">
        <v>12</v>
      </c>
      <c r="S272" s="252">
        <v>74497000</v>
      </c>
      <c r="T272" s="105"/>
      <c r="U272" s="206" t="str">
        <f t="shared" si="57"/>
        <v>03.11.01</v>
      </c>
      <c r="V272" s="207" t="str">
        <f t="shared" si="58"/>
        <v>Bangunan Gedung Tempat Kerja</v>
      </c>
      <c r="W272" s="207">
        <f t="shared" si="59"/>
        <v>50</v>
      </c>
      <c r="X272" s="233">
        <f t="shared" si="60"/>
        <v>1489939.8</v>
      </c>
      <c r="Y272" s="714">
        <f t="shared" si="61"/>
        <v>0</v>
      </c>
      <c r="Z272" s="233">
        <f t="shared" si="62"/>
        <v>0</v>
      </c>
      <c r="AA272" s="233">
        <f t="shared" si="63"/>
        <v>1489939.8</v>
      </c>
      <c r="AB272" s="233">
        <f t="shared" si="64"/>
        <v>1489939.8</v>
      </c>
      <c r="AC272" s="233">
        <f t="shared" si="65"/>
        <v>1489939.8</v>
      </c>
      <c r="AD272" s="238">
        <f t="shared" si="66"/>
        <v>1489939.8</v>
      </c>
      <c r="AE272" s="238">
        <f t="shared" si="67"/>
        <v>1489939.8</v>
      </c>
      <c r="AF272" s="238">
        <f t="shared" si="68"/>
        <v>7449699</v>
      </c>
      <c r="AG272" s="206">
        <f t="shared" si="69"/>
        <v>2013</v>
      </c>
      <c r="AH272" s="210">
        <f t="shared" si="70"/>
        <v>67047301</v>
      </c>
    </row>
    <row r="273" spans="1:34" s="670" customFormat="1" ht="40.5" hidden="1" customHeight="1" x14ac:dyDescent="0.2">
      <c r="A273" s="669">
        <v>38</v>
      </c>
      <c r="B273" s="670" t="s">
        <v>2994</v>
      </c>
      <c r="C273" s="773" t="s">
        <v>4247</v>
      </c>
      <c r="D273" s="652"/>
      <c r="E273" s="671" t="s">
        <v>2778</v>
      </c>
      <c r="F273" s="653" t="s">
        <v>1752</v>
      </c>
      <c r="G273" s="653"/>
      <c r="H273" s="673" t="s">
        <v>43</v>
      </c>
      <c r="I273" s="674" t="s">
        <v>1780</v>
      </c>
      <c r="J273" s="674" t="s">
        <v>835</v>
      </c>
      <c r="K273" s="674"/>
      <c r="L273" s="691" t="s">
        <v>420</v>
      </c>
      <c r="M273" s="674">
        <v>2013</v>
      </c>
      <c r="N273" s="674"/>
      <c r="O273" s="675"/>
      <c r="P273" s="673"/>
      <c r="Q273" s="674"/>
      <c r="R273" s="675" t="s">
        <v>12</v>
      </c>
      <c r="S273" s="654">
        <f>6245218080.46009</f>
        <v>6245218080.4600897</v>
      </c>
      <c r="T273" s="702"/>
      <c r="U273" s="206" t="str">
        <f t="shared" si="57"/>
        <v>03.11.01</v>
      </c>
      <c r="V273" s="207" t="str">
        <f t="shared" si="58"/>
        <v>Bangunan Gedung Tempat Kerja</v>
      </c>
      <c r="W273" s="207">
        <f t="shared" si="59"/>
        <v>50</v>
      </c>
      <c r="X273" s="233">
        <f t="shared" si="60"/>
        <v>124904361.4092018</v>
      </c>
      <c r="Y273" s="714">
        <f t="shared" si="61"/>
        <v>0</v>
      </c>
      <c r="Z273" s="233">
        <f t="shared" si="62"/>
        <v>0</v>
      </c>
      <c r="AA273" s="233">
        <f t="shared" si="63"/>
        <v>124904361.4092018</v>
      </c>
      <c r="AB273" s="233">
        <f t="shared" si="64"/>
        <v>124904361.4092018</v>
      </c>
      <c r="AC273" s="233">
        <f t="shared" si="65"/>
        <v>124904361.4092018</v>
      </c>
      <c r="AD273" s="238">
        <f t="shared" si="66"/>
        <v>124904361.4092018</v>
      </c>
      <c r="AE273" s="238">
        <f t="shared" si="67"/>
        <v>124904361.4092018</v>
      </c>
      <c r="AF273" s="238">
        <f t="shared" si="68"/>
        <v>624521807.04600906</v>
      </c>
      <c r="AG273" s="206">
        <f t="shared" si="69"/>
        <v>2013</v>
      </c>
      <c r="AH273" s="210">
        <f t="shared" si="70"/>
        <v>5620696273.4140806</v>
      </c>
    </row>
    <row r="274" spans="1:34" s="48" customFormat="1" ht="40.5" hidden="1" customHeight="1" x14ac:dyDescent="0.2">
      <c r="A274" s="296">
        <v>38</v>
      </c>
      <c r="B274" s="48" t="s">
        <v>2994</v>
      </c>
      <c r="C274" s="772" t="s">
        <v>4247</v>
      </c>
      <c r="D274" s="73"/>
      <c r="E274" s="65" t="s">
        <v>4230</v>
      </c>
      <c r="F274" s="67" t="s">
        <v>1752</v>
      </c>
      <c r="G274" s="67" t="s">
        <v>2123</v>
      </c>
      <c r="H274" s="33" t="s">
        <v>43</v>
      </c>
      <c r="I274" s="40" t="s">
        <v>1786</v>
      </c>
      <c r="J274" s="40" t="s">
        <v>1934</v>
      </c>
      <c r="K274" s="40"/>
      <c r="L274" s="72" t="s">
        <v>1776</v>
      </c>
      <c r="M274" s="40">
        <v>2013</v>
      </c>
      <c r="N274" s="40" t="s">
        <v>2124</v>
      </c>
      <c r="O274" s="32"/>
      <c r="P274" s="33"/>
      <c r="Q274" s="40"/>
      <c r="R274" s="32" t="s">
        <v>12</v>
      </c>
      <c r="S274" s="252">
        <v>2002583850</v>
      </c>
      <c r="T274" s="105"/>
      <c r="U274" s="206" t="str">
        <f t="shared" si="57"/>
        <v>03.11.01</v>
      </c>
      <c r="V274" s="207" t="str">
        <f t="shared" si="58"/>
        <v>Bangunan Gedung Tempat Kerja</v>
      </c>
      <c r="W274" s="207">
        <f t="shared" si="59"/>
        <v>50</v>
      </c>
      <c r="X274" s="233">
        <f t="shared" si="60"/>
        <v>40051676.799999997</v>
      </c>
      <c r="Y274" s="714">
        <f t="shared" si="61"/>
        <v>0</v>
      </c>
      <c r="Z274" s="233">
        <f t="shared" si="62"/>
        <v>0</v>
      </c>
      <c r="AA274" s="233">
        <f t="shared" si="63"/>
        <v>40051676.799999997</v>
      </c>
      <c r="AB274" s="233">
        <f t="shared" si="64"/>
        <v>40051676.799999997</v>
      </c>
      <c r="AC274" s="233">
        <f t="shared" si="65"/>
        <v>40051676.799999997</v>
      </c>
      <c r="AD274" s="238">
        <f t="shared" si="66"/>
        <v>40051676.799999997</v>
      </c>
      <c r="AE274" s="238">
        <f t="shared" si="67"/>
        <v>40051676.799999997</v>
      </c>
      <c r="AF274" s="238">
        <f t="shared" si="68"/>
        <v>200258384</v>
      </c>
      <c r="AG274" s="206">
        <f t="shared" si="69"/>
        <v>2013</v>
      </c>
      <c r="AH274" s="210">
        <f t="shared" si="70"/>
        <v>1802325466</v>
      </c>
    </row>
    <row r="275" spans="1:34" s="48" customFormat="1" ht="40.5" hidden="1" customHeight="1" x14ac:dyDescent="0.2">
      <c r="A275" s="296"/>
      <c r="B275" s="48" t="s">
        <v>4229</v>
      </c>
      <c r="C275" s="772"/>
      <c r="D275" s="73"/>
      <c r="E275" s="65" t="s">
        <v>2777</v>
      </c>
      <c r="F275" s="67" t="s">
        <v>1752</v>
      </c>
      <c r="G275" s="67"/>
      <c r="H275" s="33"/>
      <c r="I275" s="40" t="s">
        <v>1753</v>
      </c>
      <c r="J275" s="40" t="s">
        <v>1753</v>
      </c>
      <c r="K275" s="40"/>
      <c r="L275" s="72" t="s">
        <v>420</v>
      </c>
      <c r="M275" s="40">
        <v>2013</v>
      </c>
      <c r="N275" s="40"/>
      <c r="O275" s="32"/>
      <c r="P275" s="33"/>
      <c r="Q275" s="40"/>
      <c r="R275" s="32" t="s">
        <v>12</v>
      </c>
      <c r="S275" s="252">
        <v>40499800</v>
      </c>
      <c r="T275" s="105"/>
      <c r="U275" s="206" t="str">
        <f t="shared" si="57"/>
        <v>03.11.01</v>
      </c>
      <c r="V275" s="207" t="str">
        <f t="shared" si="58"/>
        <v>Bangunan Gedung Tempat Kerja</v>
      </c>
      <c r="W275" s="207">
        <f t="shared" si="59"/>
        <v>50</v>
      </c>
      <c r="X275" s="233">
        <f t="shared" si="60"/>
        <v>809995.8</v>
      </c>
      <c r="Y275" s="714">
        <f t="shared" si="61"/>
        <v>0</v>
      </c>
      <c r="Z275" s="233">
        <f t="shared" si="62"/>
        <v>0</v>
      </c>
      <c r="AA275" s="233">
        <f t="shared" si="63"/>
        <v>809995.8</v>
      </c>
      <c r="AB275" s="233">
        <f t="shared" si="64"/>
        <v>809995.8</v>
      </c>
      <c r="AC275" s="233">
        <f t="shared" si="65"/>
        <v>809995.8</v>
      </c>
      <c r="AD275" s="238">
        <f t="shared" si="66"/>
        <v>809995.8</v>
      </c>
      <c r="AE275" s="238">
        <f t="shared" si="67"/>
        <v>809995.8</v>
      </c>
      <c r="AF275" s="238">
        <f t="shared" si="68"/>
        <v>4049979</v>
      </c>
      <c r="AG275" s="206">
        <f t="shared" si="69"/>
        <v>2013</v>
      </c>
      <c r="AH275" s="210">
        <f t="shared" si="70"/>
        <v>36449821</v>
      </c>
    </row>
    <row r="276" spans="1:34" s="48" customFormat="1" ht="40.5" hidden="1" customHeight="1" x14ac:dyDescent="0.2">
      <c r="A276" s="296"/>
      <c r="B276" s="48" t="s">
        <v>4268</v>
      </c>
      <c r="C276" s="772" t="s">
        <v>4266</v>
      </c>
      <c r="D276" s="73"/>
      <c r="E276" s="65" t="s">
        <v>2770</v>
      </c>
      <c r="F276" s="67" t="s">
        <v>1752</v>
      </c>
      <c r="G276" s="67" t="s">
        <v>2126</v>
      </c>
      <c r="H276" s="33" t="s">
        <v>43</v>
      </c>
      <c r="I276" s="40" t="s">
        <v>1786</v>
      </c>
      <c r="J276" s="40" t="s">
        <v>1934</v>
      </c>
      <c r="K276" s="40"/>
      <c r="L276" s="72" t="s">
        <v>2127</v>
      </c>
      <c r="M276" s="40">
        <v>2013</v>
      </c>
      <c r="N276" s="40" t="s">
        <v>2128</v>
      </c>
      <c r="O276" s="32"/>
      <c r="P276" s="33"/>
      <c r="Q276" s="40"/>
      <c r="R276" s="32" t="s">
        <v>12</v>
      </c>
      <c r="S276" s="252">
        <v>199852000</v>
      </c>
      <c r="T276" s="105"/>
      <c r="U276" s="206" t="str">
        <f t="shared" si="57"/>
        <v>03.11.01</v>
      </c>
      <c r="V276" s="207" t="str">
        <f t="shared" si="58"/>
        <v>Bangunan Gedung Tempat Kerja</v>
      </c>
      <c r="W276" s="207">
        <f t="shared" si="59"/>
        <v>50</v>
      </c>
      <c r="X276" s="233">
        <f t="shared" si="60"/>
        <v>3997039.8</v>
      </c>
      <c r="Y276" s="714">
        <f t="shared" si="61"/>
        <v>0</v>
      </c>
      <c r="Z276" s="233">
        <f t="shared" si="62"/>
        <v>0</v>
      </c>
      <c r="AA276" s="233">
        <f t="shared" si="63"/>
        <v>3997039.8</v>
      </c>
      <c r="AB276" s="233">
        <f t="shared" si="64"/>
        <v>3997039.8</v>
      </c>
      <c r="AC276" s="233">
        <f t="shared" si="65"/>
        <v>3997039.8</v>
      </c>
      <c r="AD276" s="238">
        <f t="shared" si="66"/>
        <v>3997039.8</v>
      </c>
      <c r="AE276" s="238">
        <f t="shared" si="67"/>
        <v>3997039.8</v>
      </c>
      <c r="AF276" s="238">
        <f t="shared" si="68"/>
        <v>19985199</v>
      </c>
      <c r="AG276" s="206">
        <f t="shared" si="69"/>
        <v>2013</v>
      </c>
      <c r="AH276" s="210">
        <f t="shared" si="70"/>
        <v>179866801</v>
      </c>
    </row>
    <row r="277" spans="1:34" s="670" customFormat="1" ht="40.5" hidden="1" customHeight="1" x14ac:dyDescent="0.2">
      <c r="A277" s="669">
        <v>39</v>
      </c>
      <c r="B277" s="670" t="s">
        <v>2971</v>
      </c>
      <c r="C277" s="773" t="s">
        <v>4247</v>
      </c>
      <c r="D277" s="652"/>
      <c r="E277" s="671" t="s">
        <v>2773</v>
      </c>
      <c r="F277" s="653" t="s">
        <v>1752</v>
      </c>
      <c r="G277" s="653" t="s">
        <v>2136</v>
      </c>
      <c r="H277" s="673" t="s">
        <v>43</v>
      </c>
      <c r="I277" s="674" t="s">
        <v>1786</v>
      </c>
      <c r="J277" s="674" t="s">
        <v>1934</v>
      </c>
      <c r="K277" s="674"/>
      <c r="L277" s="691" t="s">
        <v>2000</v>
      </c>
      <c r="M277" s="674">
        <v>2013</v>
      </c>
      <c r="N277" s="674" t="s">
        <v>2137</v>
      </c>
      <c r="O277" s="675"/>
      <c r="P277" s="673"/>
      <c r="Q277" s="674"/>
      <c r="R277" s="675" t="s">
        <v>12</v>
      </c>
      <c r="S277" s="654">
        <f>181010000</f>
        <v>181010000</v>
      </c>
      <c r="T277" s="702"/>
      <c r="U277" s="206" t="str">
        <f t="shared" si="57"/>
        <v>03.11.01</v>
      </c>
      <c r="V277" s="207" t="str">
        <f t="shared" si="58"/>
        <v>Bangunan Gedung Tempat Kerja</v>
      </c>
      <c r="W277" s="207">
        <f t="shared" si="59"/>
        <v>50</v>
      </c>
      <c r="X277" s="233">
        <f t="shared" si="60"/>
        <v>3620199.8</v>
      </c>
      <c r="Y277" s="714">
        <f t="shared" si="61"/>
        <v>0</v>
      </c>
      <c r="Z277" s="233">
        <f t="shared" si="62"/>
        <v>0</v>
      </c>
      <c r="AA277" s="233">
        <f t="shared" si="63"/>
        <v>3620199.8</v>
      </c>
      <c r="AB277" s="233">
        <f t="shared" si="64"/>
        <v>3620199.8</v>
      </c>
      <c r="AC277" s="233">
        <f t="shared" si="65"/>
        <v>3620199.8</v>
      </c>
      <c r="AD277" s="238">
        <f t="shared" si="66"/>
        <v>3620199.8</v>
      </c>
      <c r="AE277" s="238">
        <f t="shared" si="67"/>
        <v>3620199.8</v>
      </c>
      <c r="AF277" s="238">
        <f t="shared" si="68"/>
        <v>18100999</v>
      </c>
      <c r="AG277" s="206">
        <f t="shared" si="69"/>
        <v>2013</v>
      </c>
      <c r="AH277" s="210">
        <f t="shared" si="70"/>
        <v>162909001</v>
      </c>
    </row>
    <row r="278" spans="1:34" s="48" customFormat="1" ht="40.5" hidden="1" customHeight="1" x14ac:dyDescent="0.2">
      <c r="A278" s="296">
        <v>39</v>
      </c>
      <c r="B278" s="48" t="s">
        <v>2971</v>
      </c>
      <c r="C278" s="772" t="s">
        <v>4247</v>
      </c>
      <c r="D278" s="73"/>
      <c r="E278" s="65" t="s">
        <v>2806</v>
      </c>
      <c r="F278" s="67" t="s">
        <v>1752</v>
      </c>
      <c r="G278" s="67" t="s">
        <v>2115</v>
      </c>
      <c r="H278" s="33" t="s">
        <v>43</v>
      </c>
      <c r="I278" s="40" t="s">
        <v>1786</v>
      </c>
      <c r="J278" s="40" t="s">
        <v>1934</v>
      </c>
      <c r="K278" s="40"/>
      <c r="L278" s="72" t="s">
        <v>2000</v>
      </c>
      <c r="M278" s="40">
        <v>2014</v>
      </c>
      <c r="N278" s="40" t="s">
        <v>2221</v>
      </c>
      <c r="O278" s="32"/>
      <c r="P278" s="33"/>
      <c r="Q278" s="40"/>
      <c r="R278" s="32" t="s">
        <v>12</v>
      </c>
      <c r="S278" s="252">
        <v>19524300</v>
      </c>
      <c r="T278" s="105"/>
      <c r="U278" s="206" t="str">
        <f t="shared" si="57"/>
        <v>03.11.01</v>
      </c>
      <c r="V278" s="207" t="str">
        <f t="shared" si="58"/>
        <v>Bangunan Gedung Tempat Kerja</v>
      </c>
      <c r="W278" s="207">
        <f t="shared" si="59"/>
        <v>50</v>
      </c>
      <c r="X278" s="233">
        <f t="shared" si="60"/>
        <v>390485.8</v>
      </c>
      <c r="Y278" s="714">
        <f t="shared" si="61"/>
        <v>0</v>
      </c>
      <c r="Z278" s="233">
        <f t="shared" si="62"/>
        <v>0</v>
      </c>
      <c r="AA278" s="233">
        <f t="shared" si="63"/>
        <v>390485.8</v>
      </c>
      <c r="AB278" s="233">
        <f t="shared" si="64"/>
        <v>390485.8</v>
      </c>
      <c r="AC278" s="233">
        <f t="shared" si="65"/>
        <v>390485.8</v>
      </c>
      <c r="AD278" s="238">
        <f t="shared" si="66"/>
        <v>390485.8</v>
      </c>
      <c r="AE278" s="238">
        <f t="shared" si="67"/>
        <v>390485.8</v>
      </c>
      <c r="AF278" s="238">
        <f t="shared" si="68"/>
        <v>1952429</v>
      </c>
      <c r="AG278" s="206">
        <f t="shared" si="69"/>
        <v>2014</v>
      </c>
      <c r="AH278" s="210">
        <f t="shared" si="70"/>
        <v>17571871</v>
      </c>
    </row>
    <row r="279" spans="1:34" s="48" customFormat="1" ht="40.5" hidden="1" customHeight="1" x14ac:dyDescent="0.2">
      <c r="A279" s="296">
        <v>40</v>
      </c>
      <c r="B279" s="48" t="s">
        <v>4267</v>
      </c>
      <c r="C279" s="772" t="s">
        <v>4247</v>
      </c>
      <c r="D279" s="73"/>
      <c r="E279" s="65" t="s">
        <v>2775</v>
      </c>
      <c r="F279" s="67" t="s">
        <v>1752</v>
      </c>
      <c r="G279" s="67" t="s">
        <v>2142</v>
      </c>
      <c r="H279" s="33" t="s">
        <v>43</v>
      </c>
      <c r="I279" s="40" t="s">
        <v>1786</v>
      </c>
      <c r="J279" s="40" t="s">
        <v>1934</v>
      </c>
      <c r="K279" s="40"/>
      <c r="L279" s="72" t="s">
        <v>892</v>
      </c>
      <c r="M279" s="40">
        <v>2013</v>
      </c>
      <c r="N279" s="40" t="s">
        <v>2144</v>
      </c>
      <c r="O279" s="32"/>
      <c r="P279" s="33"/>
      <c r="Q279" s="40"/>
      <c r="R279" s="32" t="s">
        <v>12</v>
      </c>
      <c r="S279" s="252">
        <v>150029000</v>
      </c>
      <c r="T279" s="105"/>
      <c r="U279" s="206" t="str">
        <f t="shared" si="57"/>
        <v>03.11.01</v>
      </c>
      <c r="V279" s="207" t="str">
        <f t="shared" si="58"/>
        <v>Bangunan Gedung Tempat Kerja</v>
      </c>
      <c r="W279" s="207">
        <f t="shared" si="59"/>
        <v>50</v>
      </c>
      <c r="X279" s="233">
        <f t="shared" si="60"/>
        <v>3000579.8</v>
      </c>
      <c r="Y279" s="714">
        <f t="shared" si="61"/>
        <v>0</v>
      </c>
      <c r="Z279" s="233">
        <f t="shared" si="62"/>
        <v>0</v>
      </c>
      <c r="AA279" s="233">
        <f t="shared" si="63"/>
        <v>3000579.8</v>
      </c>
      <c r="AB279" s="233">
        <f t="shared" si="64"/>
        <v>3000579.8</v>
      </c>
      <c r="AC279" s="233">
        <f t="shared" si="65"/>
        <v>3000579.8</v>
      </c>
      <c r="AD279" s="238">
        <f t="shared" si="66"/>
        <v>3000579.8</v>
      </c>
      <c r="AE279" s="238">
        <f t="shared" si="67"/>
        <v>3000579.8</v>
      </c>
      <c r="AF279" s="238">
        <f t="shared" si="68"/>
        <v>15002899</v>
      </c>
      <c r="AG279" s="206">
        <f t="shared" si="69"/>
        <v>2013</v>
      </c>
      <c r="AH279" s="210">
        <f t="shared" si="70"/>
        <v>135026101</v>
      </c>
    </row>
    <row r="280" spans="1:34" s="48" customFormat="1" ht="40.5" hidden="1" customHeight="1" x14ac:dyDescent="0.2">
      <c r="A280" s="296">
        <v>36</v>
      </c>
      <c r="B280" s="48" t="s">
        <v>3022</v>
      </c>
      <c r="C280" s="772" t="s">
        <v>4776</v>
      </c>
      <c r="D280" s="73"/>
      <c r="E280" s="65" t="s">
        <v>2776</v>
      </c>
      <c r="F280" s="67" t="s">
        <v>2485</v>
      </c>
      <c r="G280" s="404"/>
      <c r="H280" s="405"/>
      <c r="I280" s="408" t="s">
        <v>1753</v>
      </c>
      <c r="J280" s="408" t="s">
        <v>835</v>
      </c>
      <c r="K280" s="408"/>
      <c r="L280" s="72" t="s">
        <v>420</v>
      </c>
      <c r="M280" s="40">
        <v>2013</v>
      </c>
      <c r="N280" s="40"/>
      <c r="O280" s="32"/>
      <c r="P280" s="33"/>
      <c r="Q280" s="40"/>
      <c r="R280" s="32" t="s">
        <v>12</v>
      </c>
      <c r="S280" s="252">
        <v>113211796.06274666</v>
      </c>
      <c r="T280" s="105"/>
      <c r="U280" s="206" t="str">
        <f t="shared" si="57"/>
        <v>03.11.02</v>
      </c>
      <c r="V280" s="207" t="str">
        <f t="shared" si="58"/>
        <v>Bangunan Gedung Tempat Tinggal</v>
      </c>
      <c r="W280" s="207">
        <f t="shared" si="59"/>
        <v>50</v>
      </c>
      <c r="X280" s="233">
        <f t="shared" si="60"/>
        <v>2264235.7212549332</v>
      </c>
      <c r="Y280" s="714">
        <f t="shared" si="61"/>
        <v>0</v>
      </c>
      <c r="Z280" s="233">
        <f t="shared" si="62"/>
        <v>0</v>
      </c>
      <c r="AA280" s="233">
        <f t="shared" si="63"/>
        <v>2264235.7212549332</v>
      </c>
      <c r="AB280" s="233">
        <f t="shared" si="64"/>
        <v>2264235.7212549332</v>
      </c>
      <c r="AC280" s="233">
        <f t="shared" si="65"/>
        <v>2264235.7212549332</v>
      </c>
      <c r="AD280" s="238">
        <f t="shared" si="66"/>
        <v>2264235.7212549332</v>
      </c>
      <c r="AE280" s="238">
        <f t="shared" si="67"/>
        <v>2264235.7212549332</v>
      </c>
      <c r="AF280" s="238">
        <f t="shared" si="68"/>
        <v>11321178.606274666</v>
      </c>
      <c r="AG280" s="206">
        <f t="shared" si="69"/>
        <v>2013</v>
      </c>
      <c r="AH280" s="210">
        <f t="shared" si="70"/>
        <v>101890617.45647199</v>
      </c>
    </row>
    <row r="281" spans="1:34" s="48" customFormat="1" ht="40.5" hidden="1" customHeight="1" x14ac:dyDescent="0.2">
      <c r="A281" s="296"/>
      <c r="B281" s="48" t="s">
        <v>4358</v>
      </c>
      <c r="C281" s="772" t="s">
        <v>4266</v>
      </c>
      <c r="D281" s="73"/>
      <c r="E281" s="65" t="s">
        <v>2699</v>
      </c>
      <c r="F281" s="67" t="s">
        <v>2845</v>
      </c>
      <c r="G281" s="67"/>
      <c r="H281" s="33"/>
      <c r="I281" s="40"/>
      <c r="J281" s="40"/>
      <c r="K281" s="40"/>
      <c r="L281" s="72"/>
      <c r="M281" s="40">
        <v>2013</v>
      </c>
      <c r="N281" s="40"/>
      <c r="O281" s="32"/>
      <c r="P281" s="33"/>
      <c r="Q281" s="40"/>
      <c r="R281" s="32" t="s">
        <v>12</v>
      </c>
      <c r="S281" s="252">
        <v>518872308.79713184</v>
      </c>
      <c r="T281" s="105"/>
      <c r="U281" s="206" t="str">
        <f t="shared" si="57"/>
        <v>03.11.01</v>
      </c>
      <c r="V281" s="207" t="str">
        <f t="shared" si="58"/>
        <v>Bangunan Gedung Tempat Kerja</v>
      </c>
      <c r="W281" s="207">
        <f t="shared" si="59"/>
        <v>50</v>
      </c>
      <c r="X281" s="233">
        <f t="shared" si="60"/>
        <v>10377445.975942636</v>
      </c>
      <c r="Y281" s="714">
        <f t="shared" si="61"/>
        <v>0</v>
      </c>
      <c r="Z281" s="233">
        <f t="shared" si="62"/>
        <v>0</v>
      </c>
      <c r="AA281" s="233">
        <f t="shared" si="63"/>
        <v>10377445.975942636</v>
      </c>
      <c r="AB281" s="233">
        <f t="shared" si="64"/>
        <v>10377445.975942636</v>
      </c>
      <c r="AC281" s="233">
        <f t="shared" si="65"/>
        <v>10377445.975942636</v>
      </c>
      <c r="AD281" s="238">
        <f t="shared" si="66"/>
        <v>10377445.975942636</v>
      </c>
      <c r="AE281" s="238">
        <f t="shared" si="67"/>
        <v>10377445.975942636</v>
      </c>
      <c r="AF281" s="238">
        <f t="shared" si="68"/>
        <v>51887229.879713178</v>
      </c>
      <c r="AG281" s="206">
        <f t="shared" si="69"/>
        <v>2013</v>
      </c>
      <c r="AH281" s="210">
        <f t="shared" si="70"/>
        <v>466985078.91741866</v>
      </c>
    </row>
    <row r="282" spans="1:34" s="48" customFormat="1" ht="40.5" hidden="1" customHeight="1" x14ac:dyDescent="0.2">
      <c r="A282" s="296"/>
      <c r="B282" s="48" t="s">
        <v>4275</v>
      </c>
      <c r="C282" s="772"/>
      <c r="D282" s="73"/>
      <c r="E282" s="65" t="s">
        <v>2780</v>
      </c>
      <c r="F282" s="67" t="s">
        <v>2843</v>
      </c>
      <c r="G282" s="67"/>
      <c r="H282" s="33"/>
      <c r="I282" s="40"/>
      <c r="J282" s="40" t="s">
        <v>835</v>
      </c>
      <c r="K282" s="40"/>
      <c r="L282" s="72" t="s">
        <v>431</v>
      </c>
      <c r="M282" s="40">
        <v>2013</v>
      </c>
      <c r="N282" s="40"/>
      <c r="O282" s="32"/>
      <c r="P282" s="33"/>
      <c r="Q282" s="40"/>
      <c r="R282" s="32" t="s">
        <v>12</v>
      </c>
      <c r="S282" s="252">
        <v>7392750</v>
      </c>
      <c r="T282" s="105"/>
      <c r="U282" s="206" t="str">
        <f t="shared" si="57"/>
        <v>03.11.01</v>
      </c>
      <c r="V282" s="207" t="str">
        <f t="shared" si="58"/>
        <v>Bangunan Gedung Tempat Kerja</v>
      </c>
      <c r="W282" s="207">
        <f t="shared" si="59"/>
        <v>50</v>
      </c>
      <c r="X282" s="233">
        <f t="shared" si="60"/>
        <v>147854.79999999999</v>
      </c>
      <c r="Y282" s="714">
        <f t="shared" si="61"/>
        <v>0</v>
      </c>
      <c r="Z282" s="233">
        <f t="shared" si="62"/>
        <v>0</v>
      </c>
      <c r="AA282" s="233">
        <f t="shared" si="63"/>
        <v>147854.79999999999</v>
      </c>
      <c r="AB282" s="233">
        <f t="shared" si="64"/>
        <v>147854.79999999999</v>
      </c>
      <c r="AC282" s="233">
        <f t="shared" si="65"/>
        <v>147854.79999999999</v>
      </c>
      <c r="AD282" s="238">
        <f t="shared" si="66"/>
        <v>147854.79999999999</v>
      </c>
      <c r="AE282" s="238">
        <f t="shared" si="67"/>
        <v>147854.79999999999</v>
      </c>
      <c r="AF282" s="238">
        <f t="shared" si="68"/>
        <v>739274</v>
      </c>
      <c r="AG282" s="206">
        <f t="shared" si="69"/>
        <v>2013</v>
      </c>
      <c r="AH282" s="210">
        <f t="shared" si="70"/>
        <v>6653476</v>
      </c>
    </row>
    <row r="283" spans="1:34" s="48" customFormat="1" ht="40.5" hidden="1" customHeight="1" x14ac:dyDescent="0.2">
      <c r="A283" s="296">
        <v>47</v>
      </c>
      <c r="B283" s="48" t="s">
        <v>2995</v>
      </c>
      <c r="C283" s="772" t="s">
        <v>4776</v>
      </c>
      <c r="D283" s="73"/>
      <c r="E283" s="65" t="s">
        <v>2757</v>
      </c>
      <c r="F283" s="67" t="s">
        <v>1752</v>
      </c>
      <c r="G283" s="404" t="s">
        <v>2089</v>
      </c>
      <c r="H283" s="405" t="s">
        <v>43</v>
      </c>
      <c r="I283" s="408" t="s">
        <v>1786</v>
      </c>
      <c r="J283" s="408" t="s">
        <v>1934</v>
      </c>
      <c r="K283" s="408"/>
      <c r="L283" s="72" t="s">
        <v>1776</v>
      </c>
      <c r="M283" s="40">
        <v>2013</v>
      </c>
      <c r="N283" s="40" t="s">
        <v>2090</v>
      </c>
      <c r="O283" s="32"/>
      <c r="P283" s="33"/>
      <c r="Q283" s="40"/>
      <c r="R283" s="32" t="s">
        <v>12</v>
      </c>
      <c r="S283" s="252">
        <v>1435037000</v>
      </c>
      <c r="T283" s="105"/>
      <c r="U283" s="206" t="str">
        <f t="shared" si="57"/>
        <v>03.11.01</v>
      </c>
      <c r="V283" s="207" t="str">
        <f t="shared" si="58"/>
        <v>Bangunan Gedung Tempat Kerja</v>
      </c>
      <c r="W283" s="207">
        <f t="shared" si="59"/>
        <v>50</v>
      </c>
      <c r="X283" s="233">
        <f t="shared" si="60"/>
        <v>28700739.800000001</v>
      </c>
      <c r="Y283" s="714">
        <f t="shared" si="61"/>
        <v>0</v>
      </c>
      <c r="Z283" s="233">
        <f t="shared" si="62"/>
        <v>0</v>
      </c>
      <c r="AA283" s="233">
        <f t="shared" si="63"/>
        <v>28700739.800000001</v>
      </c>
      <c r="AB283" s="233">
        <f t="shared" si="64"/>
        <v>28700739.800000001</v>
      </c>
      <c r="AC283" s="233">
        <f t="shared" si="65"/>
        <v>28700739.800000001</v>
      </c>
      <c r="AD283" s="238">
        <f t="shared" si="66"/>
        <v>28700739.800000001</v>
      </c>
      <c r="AE283" s="238">
        <f t="shared" si="67"/>
        <v>28700739.800000001</v>
      </c>
      <c r="AF283" s="238">
        <f t="shared" si="68"/>
        <v>143503699</v>
      </c>
      <c r="AG283" s="206">
        <f t="shared" si="69"/>
        <v>2013</v>
      </c>
      <c r="AH283" s="210">
        <f t="shared" si="70"/>
        <v>1291533301</v>
      </c>
    </row>
    <row r="284" spans="1:34" s="48" customFormat="1" ht="40.5" hidden="1" customHeight="1" x14ac:dyDescent="0.2">
      <c r="A284" s="296">
        <v>47</v>
      </c>
      <c r="B284" s="48" t="s">
        <v>2995</v>
      </c>
      <c r="C284" s="772" t="s">
        <v>4776</v>
      </c>
      <c r="D284" s="73"/>
      <c r="E284" s="65" t="s">
        <v>2781</v>
      </c>
      <c r="F284" s="67" t="s">
        <v>1752</v>
      </c>
      <c r="G284" s="404"/>
      <c r="H284" s="405"/>
      <c r="I284" s="408"/>
      <c r="J284" s="408"/>
      <c r="K284" s="408"/>
      <c r="L284" s="72" t="s">
        <v>420</v>
      </c>
      <c r="M284" s="40">
        <v>2013</v>
      </c>
      <c r="N284" s="40"/>
      <c r="O284" s="32"/>
      <c r="P284" s="33"/>
      <c r="Q284" s="40"/>
      <c r="R284" s="32" t="s">
        <v>12</v>
      </c>
      <c r="S284" s="252">
        <v>33253000</v>
      </c>
      <c r="T284" s="105"/>
      <c r="U284" s="206" t="str">
        <f t="shared" si="57"/>
        <v>03.11.01</v>
      </c>
      <c r="V284" s="207" t="str">
        <f t="shared" si="58"/>
        <v>Bangunan Gedung Tempat Kerja</v>
      </c>
      <c r="W284" s="207">
        <f t="shared" si="59"/>
        <v>50</v>
      </c>
      <c r="X284" s="233">
        <f t="shared" si="60"/>
        <v>665059.80000000005</v>
      </c>
      <c r="Y284" s="714">
        <f t="shared" si="61"/>
        <v>0</v>
      </c>
      <c r="Z284" s="233">
        <f t="shared" si="62"/>
        <v>0</v>
      </c>
      <c r="AA284" s="233">
        <f t="shared" si="63"/>
        <v>665059.80000000005</v>
      </c>
      <c r="AB284" s="233">
        <f t="shared" si="64"/>
        <v>665059.80000000005</v>
      </c>
      <c r="AC284" s="233">
        <f t="shared" si="65"/>
        <v>665059.80000000005</v>
      </c>
      <c r="AD284" s="238">
        <f t="shared" si="66"/>
        <v>665059.80000000005</v>
      </c>
      <c r="AE284" s="238">
        <f t="shared" si="67"/>
        <v>665059.80000000005</v>
      </c>
      <c r="AF284" s="238">
        <f t="shared" si="68"/>
        <v>3325299</v>
      </c>
      <c r="AG284" s="206">
        <f t="shared" si="69"/>
        <v>2013</v>
      </c>
      <c r="AH284" s="210">
        <f t="shared" si="70"/>
        <v>29927701</v>
      </c>
    </row>
    <row r="285" spans="1:34" s="48" customFormat="1" ht="40.5" hidden="1" customHeight="1" x14ac:dyDescent="0.2">
      <c r="A285" s="296"/>
      <c r="C285" s="772" t="s">
        <v>2302</v>
      </c>
      <c r="D285" s="73"/>
      <c r="E285" s="65" t="s">
        <v>2783</v>
      </c>
      <c r="F285" s="67" t="s">
        <v>2845</v>
      </c>
      <c r="G285" s="67"/>
      <c r="H285" s="33"/>
      <c r="I285" s="40"/>
      <c r="J285" s="40"/>
      <c r="K285" s="40"/>
      <c r="L285" s="72"/>
      <c r="M285" s="40">
        <v>2014</v>
      </c>
      <c r="N285" s="40"/>
      <c r="O285" s="32"/>
      <c r="P285" s="33"/>
      <c r="Q285" s="40"/>
      <c r="R285" s="32"/>
      <c r="S285" s="252">
        <v>340497000</v>
      </c>
      <c r="T285" s="105"/>
      <c r="U285" s="206" t="str">
        <f t="shared" si="57"/>
        <v>03.11.01</v>
      </c>
      <c r="V285" s="207" t="str">
        <f t="shared" si="58"/>
        <v>Bangunan Gedung Tempat Kerja</v>
      </c>
      <c r="W285" s="207">
        <f t="shared" si="59"/>
        <v>50</v>
      </c>
      <c r="X285" s="233">
        <f t="shared" si="60"/>
        <v>6809939.7999999998</v>
      </c>
      <c r="Y285" s="714">
        <f t="shared" si="61"/>
        <v>0</v>
      </c>
      <c r="Z285" s="233">
        <f t="shared" si="62"/>
        <v>0</v>
      </c>
      <c r="AA285" s="233">
        <f t="shared" si="63"/>
        <v>6809939.7999999998</v>
      </c>
      <c r="AB285" s="233">
        <f t="shared" si="64"/>
        <v>6809939.7999999998</v>
      </c>
      <c r="AC285" s="233">
        <f t="shared" si="65"/>
        <v>6809939.7999999998</v>
      </c>
      <c r="AD285" s="238">
        <f t="shared" si="66"/>
        <v>6809939.7999999998</v>
      </c>
      <c r="AE285" s="238">
        <f t="shared" si="67"/>
        <v>6809939.7999999998</v>
      </c>
      <c r="AF285" s="238">
        <f t="shared" si="68"/>
        <v>34049699</v>
      </c>
      <c r="AG285" s="206">
        <f t="shared" si="69"/>
        <v>2014</v>
      </c>
      <c r="AH285" s="210">
        <f t="shared" si="70"/>
        <v>306447301</v>
      </c>
    </row>
    <row r="286" spans="1:34" s="48" customFormat="1" ht="40.5" hidden="1" customHeight="1" x14ac:dyDescent="0.2">
      <c r="A286" s="296"/>
      <c r="B286" s="48" t="s">
        <v>4322</v>
      </c>
      <c r="C286" s="772"/>
      <c r="D286" s="73"/>
      <c r="E286" s="65" t="s">
        <v>2784</v>
      </c>
      <c r="F286" s="67" t="s">
        <v>1752</v>
      </c>
      <c r="G286" s="67" t="s">
        <v>1768</v>
      </c>
      <c r="H286" s="33" t="s">
        <v>43</v>
      </c>
      <c r="I286" s="40" t="s">
        <v>1786</v>
      </c>
      <c r="J286" s="40" t="s">
        <v>1934</v>
      </c>
      <c r="K286" s="40"/>
      <c r="L286" s="72" t="s">
        <v>2159</v>
      </c>
      <c r="M286" s="40">
        <v>2014</v>
      </c>
      <c r="N286" s="40" t="s">
        <v>2160</v>
      </c>
      <c r="O286" s="32"/>
      <c r="P286" s="33"/>
      <c r="Q286" s="40"/>
      <c r="R286" s="32"/>
      <c r="S286" s="252">
        <v>475767500</v>
      </c>
      <c r="T286" s="105"/>
      <c r="U286" s="206" t="str">
        <f t="shared" si="57"/>
        <v>03.11.01</v>
      </c>
      <c r="V286" s="207" t="str">
        <f t="shared" si="58"/>
        <v>Bangunan Gedung Tempat Kerja</v>
      </c>
      <c r="W286" s="207">
        <f t="shared" si="59"/>
        <v>50</v>
      </c>
      <c r="X286" s="233">
        <f t="shared" si="60"/>
        <v>9515349.8000000007</v>
      </c>
      <c r="Y286" s="714">
        <f t="shared" si="61"/>
        <v>0</v>
      </c>
      <c r="Z286" s="233">
        <f t="shared" si="62"/>
        <v>0</v>
      </c>
      <c r="AA286" s="233">
        <f t="shared" si="63"/>
        <v>9515349.8000000007</v>
      </c>
      <c r="AB286" s="233">
        <f t="shared" si="64"/>
        <v>9515349.8000000007</v>
      </c>
      <c r="AC286" s="233">
        <f t="shared" si="65"/>
        <v>9515349.8000000007</v>
      </c>
      <c r="AD286" s="238">
        <f t="shared" si="66"/>
        <v>9515349.8000000007</v>
      </c>
      <c r="AE286" s="238">
        <f t="shared" si="67"/>
        <v>9515349.8000000007</v>
      </c>
      <c r="AF286" s="238">
        <f t="shared" si="68"/>
        <v>47576749</v>
      </c>
      <c r="AG286" s="206">
        <f t="shared" si="69"/>
        <v>2014</v>
      </c>
      <c r="AH286" s="210">
        <f t="shared" si="70"/>
        <v>428190751</v>
      </c>
    </row>
    <row r="287" spans="1:34" s="48" customFormat="1" ht="40.5" hidden="1" customHeight="1" x14ac:dyDescent="0.2">
      <c r="A287" s="296"/>
      <c r="B287" s="48" t="s">
        <v>4278</v>
      </c>
      <c r="C287" s="772"/>
      <c r="D287" s="73"/>
      <c r="E287" s="65" t="s">
        <v>2785</v>
      </c>
      <c r="F287" s="67" t="s">
        <v>1752</v>
      </c>
      <c r="G287" s="67" t="s">
        <v>1855</v>
      </c>
      <c r="H287" s="33" t="s">
        <v>43</v>
      </c>
      <c r="I287" s="40" t="s">
        <v>1786</v>
      </c>
      <c r="J287" s="40" t="s">
        <v>1934</v>
      </c>
      <c r="K287" s="40"/>
      <c r="L287" s="72" t="s">
        <v>2162</v>
      </c>
      <c r="M287" s="40">
        <v>2014</v>
      </c>
      <c r="N287" s="40" t="s">
        <v>2160</v>
      </c>
      <c r="O287" s="32"/>
      <c r="P287" s="33"/>
      <c r="Q287" s="40"/>
      <c r="R287" s="32"/>
      <c r="S287" s="252">
        <v>2375871000</v>
      </c>
      <c r="T287" s="105"/>
      <c r="U287" s="206" t="str">
        <f t="shared" si="57"/>
        <v>03.11.01</v>
      </c>
      <c r="V287" s="207" t="str">
        <f t="shared" si="58"/>
        <v>Bangunan Gedung Tempat Kerja</v>
      </c>
      <c r="W287" s="207">
        <f t="shared" si="59"/>
        <v>50</v>
      </c>
      <c r="X287" s="233">
        <f t="shared" si="60"/>
        <v>47517419.799999997</v>
      </c>
      <c r="Y287" s="714">
        <f t="shared" si="61"/>
        <v>0</v>
      </c>
      <c r="Z287" s="233">
        <f t="shared" si="62"/>
        <v>0</v>
      </c>
      <c r="AA287" s="233">
        <f t="shared" si="63"/>
        <v>47517419.799999997</v>
      </c>
      <c r="AB287" s="233">
        <f t="shared" si="64"/>
        <v>47517419.799999997</v>
      </c>
      <c r="AC287" s="233">
        <f t="shared" si="65"/>
        <v>47517419.799999997</v>
      </c>
      <c r="AD287" s="238">
        <f t="shared" si="66"/>
        <v>47517419.799999997</v>
      </c>
      <c r="AE287" s="238">
        <f t="shared" si="67"/>
        <v>47517419.799999997</v>
      </c>
      <c r="AF287" s="238">
        <f t="shared" si="68"/>
        <v>237587099</v>
      </c>
      <c r="AG287" s="206">
        <f t="shared" si="69"/>
        <v>2014</v>
      </c>
      <c r="AH287" s="210">
        <f t="shared" si="70"/>
        <v>2138283901</v>
      </c>
    </row>
    <row r="288" spans="1:34" s="48" customFormat="1" ht="40.5" hidden="1" customHeight="1" x14ac:dyDescent="0.2">
      <c r="A288" s="296"/>
      <c r="B288" s="48" t="s">
        <v>4359</v>
      </c>
      <c r="C288" s="772"/>
      <c r="D288" s="73"/>
      <c r="E288" s="65" t="s">
        <v>2787</v>
      </c>
      <c r="F288" s="67" t="s">
        <v>1752</v>
      </c>
      <c r="G288" s="67" t="s">
        <v>1861</v>
      </c>
      <c r="H288" s="33" t="s">
        <v>43</v>
      </c>
      <c r="I288" s="40" t="s">
        <v>1786</v>
      </c>
      <c r="J288" s="40" t="s">
        <v>1934</v>
      </c>
      <c r="K288" s="40"/>
      <c r="L288" s="72" t="s">
        <v>2166</v>
      </c>
      <c r="M288" s="40">
        <v>2014</v>
      </c>
      <c r="N288" s="40" t="s">
        <v>2167</v>
      </c>
      <c r="O288" s="32"/>
      <c r="P288" s="33"/>
      <c r="Q288" s="40"/>
      <c r="R288" s="32"/>
      <c r="S288" s="252">
        <v>3973869000</v>
      </c>
      <c r="T288" s="105"/>
      <c r="U288" s="206" t="str">
        <f t="shared" si="57"/>
        <v>03.11.01</v>
      </c>
      <c r="V288" s="207" t="str">
        <f t="shared" si="58"/>
        <v>Bangunan Gedung Tempat Kerja</v>
      </c>
      <c r="W288" s="207">
        <f t="shared" si="59"/>
        <v>50</v>
      </c>
      <c r="X288" s="233">
        <f t="shared" si="60"/>
        <v>79477379.799999997</v>
      </c>
      <c r="Y288" s="714">
        <f t="shared" si="61"/>
        <v>0</v>
      </c>
      <c r="Z288" s="233">
        <f t="shared" si="62"/>
        <v>0</v>
      </c>
      <c r="AA288" s="233">
        <f t="shared" si="63"/>
        <v>79477379.799999997</v>
      </c>
      <c r="AB288" s="233">
        <f t="shared" si="64"/>
        <v>79477379.799999997</v>
      </c>
      <c r="AC288" s="233">
        <f t="shared" si="65"/>
        <v>79477379.799999997</v>
      </c>
      <c r="AD288" s="238">
        <f t="shared" si="66"/>
        <v>79477379.799999997</v>
      </c>
      <c r="AE288" s="238">
        <f t="shared" si="67"/>
        <v>79477379.799999997</v>
      </c>
      <c r="AF288" s="238">
        <f t="shared" si="68"/>
        <v>397386899</v>
      </c>
      <c r="AG288" s="206">
        <f t="shared" si="69"/>
        <v>2014</v>
      </c>
      <c r="AH288" s="210">
        <f t="shared" si="70"/>
        <v>3576482101</v>
      </c>
    </row>
    <row r="289" spans="1:34" s="48" customFormat="1" ht="40.5" hidden="1" customHeight="1" x14ac:dyDescent="0.2">
      <c r="A289" s="296"/>
      <c r="B289" s="48" t="s">
        <v>4360</v>
      </c>
      <c r="C289" s="772"/>
      <c r="D289" s="73"/>
      <c r="E289" s="65" t="s">
        <v>2788</v>
      </c>
      <c r="F289" s="67" t="s">
        <v>1752</v>
      </c>
      <c r="G289" s="67" t="s">
        <v>1861</v>
      </c>
      <c r="H289" s="33" t="s">
        <v>43</v>
      </c>
      <c r="I289" s="40" t="s">
        <v>1786</v>
      </c>
      <c r="J289" s="40" t="s">
        <v>1934</v>
      </c>
      <c r="K289" s="40"/>
      <c r="L289" s="72" t="s">
        <v>2169</v>
      </c>
      <c r="M289" s="40">
        <v>2014</v>
      </c>
      <c r="N289" s="40" t="s">
        <v>2170</v>
      </c>
      <c r="O289" s="32"/>
      <c r="P289" s="33"/>
      <c r="Q289" s="40"/>
      <c r="R289" s="32"/>
      <c r="S289" s="252">
        <v>619769000</v>
      </c>
      <c r="T289" s="105"/>
      <c r="U289" s="206" t="str">
        <f t="shared" si="57"/>
        <v>03.11.01</v>
      </c>
      <c r="V289" s="207" t="str">
        <f t="shared" si="58"/>
        <v>Bangunan Gedung Tempat Kerja</v>
      </c>
      <c r="W289" s="207">
        <f t="shared" si="59"/>
        <v>50</v>
      </c>
      <c r="X289" s="233">
        <f t="shared" si="60"/>
        <v>12395379.800000001</v>
      </c>
      <c r="Y289" s="714">
        <f t="shared" si="61"/>
        <v>0</v>
      </c>
      <c r="Z289" s="233">
        <f t="shared" si="62"/>
        <v>0</v>
      </c>
      <c r="AA289" s="233">
        <f t="shared" si="63"/>
        <v>12395379.800000001</v>
      </c>
      <c r="AB289" s="233">
        <f t="shared" si="64"/>
        <v>12395379.800000001</v>
      </c>
      <c r="AC289" s="233">
        <f t="shared" si="65"/>
        <v>12395379.800000001</v>
      </c>
      <c r="AD289" s="238">
        <f t="shared" si="66"/>
        <v>12395379.800000001</v>
      </c>
      <c r="AE289" s="238">
        <f t="shared" si="67"/>
        <v>12395379.800000001</v>
      </c>
      <c r="AF289" s="238">
        <f t="shared" si="68"/>
        <v>61976899</v>
      </c>
      <c r="AG289" s="206">
        <f t="shared" si="69"/>
        <v>2014</v>
      </c>
      <c r="AH289" s="210">
        <f t="shared" si="70"/>
        <v>557792101</v>
      </c>
    </row>
    <row r="290" spans="1:34" s="48" customFormat="1" ht="40.5" hidden="1" customHeight="1" x14ac:dyDescent="0.2">
      <c r="A290" s="296"/>
      <c r="B290" s="48" t="s">
        <v>4361</v>
      </c>
      <c r="C290" s="772"/>
      <c r="D290" s="73"/>
      <c r="E290" s="65" t="s">
        <v>2789</v>
      </c>
      <c r="F290" s="67" t="s">
        <v>2843</v>
      </c>
      <c r="G290" s="67" t="s">
        <v>1861</v>
      </c>
      <c r="H290" s="33" t="s">
        <v>43</v>
      </c>
      <c r="I290" s="40" t="s">
        <v>1786</v>
      </c>
      <c r="J290" s="40" t="s">
        <v>1934</v>
      </c>
      <c r="K290" s="40"/>
      <c r="L290" s="72" t="s">
        <v>2095</v>
      </c>
      <c r="M290" s="40">
        <v>2014</v>
      </c>
      <c r="N290" s="40" t="s">
        <v>2172</v>
      </c>
      <c r="O290" s="32"/>
      <c r="P290" s="33"/>
      <c r="Q290" s="40"/>
      <c r="R290" s="32"/>
      <c r="S290" s="252">
        <v>634567000</v>
      </c>
      <c r="T290" s="105"/>
      <c r="U290" s="206" t="str">
        <f t="shared" si="57"/>
        <v>03.11.01</v>
      </c>
      <c r="V290" s="207" t="str">
        <f t="shared" si="58"/>
        <v>Bangunan Gedung Tempat Kerja</v>
      </c>
      <c r="W290" s="207">
        <f t="shared" si="59"/>
        <v>50</v>
      </c>
      <c r="X290" s="233">
        <f t="shared" si="60"/>
        <v>12691339.800000001</v>
      </c>
      <c r="Y290" s="714">
        <f t="shared" si="61"/>
        <v>0</v>
      </c>
      <c r="Z290" s="233">
        <f t="shared" si="62"/>
        <v>0</v>
      </c>
      <c r="AA290" s="233">
        <f t="shared" si="63"/>
        <v>12691339.800000001</v>
      </c>
      <c r="AB290" s="233">
        <f t="shared" si="64"/>
        <v>12691339.800000001</v>
      </c>
      <c r="AC290" s="233">
        <f t="shared" si="65"/>
        <v>12691339.800000001</v>
      </c>
      <c r="AD290" s="238">
        <f t="shared" si="66"/>
        <v>12691339.800000001</v>
      </c>
      <c r="AE290" s="238">
        <f t="shared" si="67"/>
        <v>12691339.800000001</v>
      </c>
      <c r="AF290" s="238">
        <f t="shared" si="68"/>
        <v>63456699</v>
      </c>
      <c r="AG290" s="206">
        <f t="shared" si="69"/>
        <v>2014</v>
      </c>
      <c r="AH290" s="210">
        <f t="shared" si="70"/>
        <v>571110301</v>
      </c>
    </row>
    <row r="291" spans="1:34" s="670" customFormat="1" ht="40.5" hidden="1" customHeight="1" x14ac:dyDescent="0.2">
      <c r="A291" s="669">
        <v>41</v>
      </c>
      <c r="B291" s="670" t="s">
        <v>2977</v>
      </c>
      <c r="C291" s="773" t="s">
        <v>4247</v>
      </c>
      <c r="D291" s="652"/>
      <c r="E291" s="671" t="s">
        <v>2748</v>
      </c>
      <c r="F291" s="653" t="s">
        <v>2843</v>
      </c>
      <c r="G291" s="653" t="s">
        <v>68</v>
      </c>
      <c r="H291" s="673" t="s">
        <v>43</v>
      </c>
      <c r="I291" s="674" t="s">
        <v>1786</v>
      </c>
      <c r="J291" s="674" t="s">
        <v>1934</v>
      </c>
      <c r="K291" s="674"/>
      <c r="L291" s="691" t="s">
        <v>1997</v>
      </c>
      <c r="M291" s="674">
        <v>2013</v>
      </c>
      <c r="N291" s="674" t="s">
        <v>2061</v>
      </c>
      <c r="O291" s="675"/>
      <c r="P291" s="673"/>
      <c r="Q291" s="674"/>
      <c r="R291" s="675" t="s">
        <v>12</v>
      </c>
      <c r="S291" s="654">
        <f>1345290000</f>
        <v>1345290000</v>
      </c>
      <c r="T291" s="702"/>
      <c r="U291" s="206" t="str">
        <f t="shared" si="57"/>
        <v>03.11.01</v>
      </c>
      <c r="V291" s="207" t="str">
        <f t="shared" si="58"/>
        <v>Bangunan Gedung Tempat Kerja</v>
      </c>
      <c r="W291" s="207">
        <f t="shared" si="59"/>
        <v>50</v>
      </c>
      <c r="X291" s="233">
        <f t="shared" si="60"/>
        <v>26905799.800000001</v>
      </c>
      <c r="Y291" s="714">
        <f t="shared" si="61"/>
        <v>0</v>
      </c>
      <c r="Z291" s="233">
        <f t="shared" si="62"/>
        <v>0</v>
      </c>
      <c r="AA291" s="233">
        <f t="shared" si="63"/>
        <v>26905799.800000001</v>
      </c>
      <c r="AB291" s="233">
        <f t="shared" si="64"/>
        <v>26905799.800000001</v>
      </c>
      <c r="AC291" s="233">
        <f t="shared" si="65"/>
        <v>26905799.800000001</v>
      </c>
      <c r="AD291" s="238">
        <f t="shared" si="66"/>
        <v>26905799.800000001</v>
      </c>
      <c r="AE291" s="238">
        <f t="shared" si="67"/>
        <v>26905799.800000001</v>
      </c>
      <c r="AF291" s="238">
        <f t="shared" si="68"/>
        <v>134528999</v>
      </c>
      <c r="AG291" s="206">
        <f t="shared" si="69"/>
        <v>2013</v>
      </c>
      <c r="AH291" s="210">
        <f t="shared" si="70"/>
        <v>1210761001</v>
      </c>
    </row>
    <row r="292" spans="1:34" s="48" customFormat="1" ht="40.5" hidden="1" customHeight="1" x14ac:dyDescent="0.2">
      <c r="A292" s="296">
        <v>41</v>
      </c>
      <c r="B292" s="48" t="s">
        <v>2977</v>
      </c>
      <c r="C292" s="772" t="s">
        <v>4247</v>
      </c>
      <c r="D292" s="73"/>
      <c r="E292" s="65" t="s">
        <v>2979</v>
      </c>
      <c r="F292" s="67" t="s">
        <v>2843</v>
      </c>
      <c r="G292" s="67" t="s">
        <v>1864</v>
      </c>
      <c r="H292" s="33" t="s">
        <v>43</v>
      </c>
      <c r="I292" s="40" t="s">
        <v>1786</v>
      </c>
      <c r="J292" s="40" t="s">
        <v>1934</v>
      </c>
      <c r="K292" s="40"/>
      <c r="L292" s="72" t="s">
        <v>841</v>
      </c>
      <c r="M292" s="40">
        <v>2014</v>
      </c>
      <c r="N292" s="40" t="s">
        <v>2174</v>
      </c>
      <c r="O292" s="32"/>
      <c r="P292" s="33"/>
      <c r="Q292" s="40"/>
      <c r="R292" s="32"/>
      <c r="S292" s="252">
        <v>1326532000</v>
      </c>
      <c r="T292" s="105"/>
      <c r="U292" s="206" t="str">
        <f t="shared" si="57"/>
        <v>03.11.01</v>
      </c>
      <c r="V292" s="207" t="str">
        <f t="shared" si="58"/>
        <v>Bangunan Gedung Tempat Kerja</v>
      </c>
      <c r="W292" s="207">
        <f t="shared" si="59"/>
        <v>50</v>
      </c>
      <c r="X292" s="233">
        <f t="shared" si="60"/>
        <v>26530639.800000001</v>
      </c>
      <c r="Y292" s="714">
        <f t="shared" si="61"/>
        <v>0</v>
      </c>
      <c r="Z292" s="233">
        <f t="shared" si="62"/>
        <v>0</v>
      </c>
      <c r="AA292" s="233">
        <f t="shared" si="63"/>
        <v>26530639.800000001</v>
      </c>
      <c r="AB292" s="233">
        <f t="shared" si="64"/>
        <v>26530639.800000001</v>
      </c>
      <c r="AC292" s="233">
        <f t="shared" si="65"/>
        <v>26530639.800000001</v>
      </c>
      <c r="AD292" s="238">
        <f t="shared" si="66"/>
        <v>26530639.800000001</v>
      </c>
      <c r="AE292" s="238">
        <f t="shared" si="67"/>
        <v>26530639.800000001</v>
      </c>
      <c r="AF292" s="238">
        <f t="shared" si="68"/>
        <v>132653199</v>
      </c>
      <c r="AG292" s="206">
        <f t="shared" si="69"/>
        <v>2014</v>
      </c>
      <c r="AH292" s="210">
        <f t="shared" si="70"/>
        <v>1193878801</v>
      </c>
    </row>
    <row r="293" spans="1:34" s="48" customFormat="1" ht="40.5" hidden="1" customHeight="1" x14ac:dyDescent="0.2">
      <c r="A293" s="296"/>
      <c r="B293" s="48" t="s">
        <v>4288</v>
      </c>
      <c r="C293" s="772"/>
      <c r="D293" s="73"/>
      <c r="E293" s="65" t="s">
        <v>2790</v>
      </c>
      <c r="F293" s="67" t="s">
        <v>1752</v>
      </c>
      <c r="G293" s="67" t="s">
        <v>1870</v>
      </c>
      <c r="H293" s="33" t="s">
        <v>43</v>
      </c>
      <c r="I293" s="40" t="s">
        <v>1786</v>
      </c>
      <c r="J293" s="40" t="s">
        <v>1934</v>
      </c>
      <c r="K293" s="40"/>
      <c r="L293" s="72" t="s">
        <v>2176</v>
      </c>
      <c r="M293" s="40">
        <v>2014</v>
      </c>
      <c r="N293" s="40" t="s">
        <v>2177</v>
      </c>
      <c r="O293" s="32"/>
      <c r="P293" s="33"/>
      <c r="Q293" s="40"/>
      <c r="R293" s="32"/>
      <c r="S293" s="252">
        <v>442917500</v>
      </c>
      <c r="T293" s="105"/>
      <c r="U293" s="206" t="str">
        <f t="shared" si="57"/>
        <v>03.11.01</v>
      </c>
      <c r="V293" s="207" t="str">
        <f t="shared" si="58"/>
        <v>Bangunan Gedung Tempat Kerja</v>
      </c>
      <c r="W293" s="207">
        <f t="shared" si="59"/>
        <v>50</v>
      </c>
      <c r="X293" s="233">
        <f t="shared" si="60"/>
        <v>8858349.8000000007</v>
      </c>
      <c r="Y293" s="714">
        <f t="shared" si="61"/>
        <v>0</v>
      </c>
      <c r="Z293" s="233">
        <f t="shared" si="62"/>
        <v>0</v>
      </c>
      <c r="AA293" s="233">
        <f t="shared" si="63"/>
        <v>8858349.8000000007</v>
      </c>
      <c r="AB293" s="233">
        <f t="shared" si="64"/>
        <v>8858349.8000000007</v>
      </c>
      <c r="AC293" s="233">
        <f t="shared" si="65"/>
        <v>8858349.8000000007</v>
      </c>
      <c r="AD293" s="238">
        <f t="shared" si="66"/>
        <v>8858349.8000000007</v>
      </c>
      <c r="AE293" s="238">
        <f t="shared" si="67"/>
        <v>8858349.8000000007</v>
      </c>
      <c r="AF293" s="238">
        <f t="shared" si="68"/>
        <v>44291749</v>
      </c>
      <c r="AG293" s="206">
        <f t="shared" si="69"/>
        <v>2014</v>
      </c>
      <c r="AH293" s="210">
        <f t="shared" si="70"/>
        <v>398625751</v>
      </c>
    </row>
    <row r="294" spans="1:34" s="48" customFormat="1" ht="40.5" hidden="1" customHeight="1" x14ac:dyDescent="0.2">
      <c r="A294" s="296"/>
      <c r="B294" s="48" t="s">
        <v>4321</v>
      </c>
      <c r="C294" s="772"/>
      <c r="D294" s="73"/>
      <c r="E294" s="65" t="s">
        <v>2791</v>
      </c>
      <c r="F294" s="67" t="s">
        <v>1752</v>
      </c>
      <c r="G294" s="67" t="s">
        <v>1888</v>
      </c>
      <c r="H294" s="33" t="s">
        <v>43</v>
      </c>
      <c r="I294" s="40" t="s">
        <v>1786</v>
      </c>
      <c r="J294" s="40" t="s">
        <v>1934</v>
      </c>
      <c r="K294" s="40"/>
      <c r="L294" s="72" t="s">
        <v>2179</v>
      </c>
      <c r="M294" s="40">
        <v>2014</v>
      </c>
      <c r="N294" s="40" t="s">
        <v>2180</v>
      </c>
      <c r="O294" s="32"/>
      <c r="P294" s="33"/>
      <c r="Q294" s="40"/>
      <c r="R294" s="32"/>
      <c r="S294" s="252">
        <v>463224500</v>
      </c>
      <c r="T294" s="105"/>
      <c r="U294" s="206" t="str">
        <f t="shared" si="57"/>
        <v>03.11.01</v>
      </c>
      <c r="V294" s="207" t="str">
        <f t="shared" si="58"/>
        <v>Bangunan Gedung Tempat Kerja</v>
      </c>
      <c r="W294" s="207">
        <f t="shared" si="59"/>
        <v>50</v>
      </c>
      <c r="X294" s="233">
        <f t="shared" si="60"/>
        <v>9264489.8000000007</v>
      </c>
      <c r="Y294" s="714">
        <f t="shared" si="61"/>
        <v>0</v>
      </c>
      <c r="Z294" s="233">
        <f t="shared" si="62"/>
        <v>0</v>
      </c>
      <c r="AA294" s="233">
        <f t="shared" si="63"/>
        <v>9264489.8000000007</v>
      </c>
      <c r="AB294" s="233">
        <f t="shared" si="64"/>
        <v>9264489.8000000007</v>
      </c>
      <c r="AC294" s="233">
        <f t="shared" si="65"/>
        <v>9264489.8000000007</v>
      </c>
      <c r="AD294" s="238">
        <f t="shared" si="66"/>
        <v>9264489.8000000007</v>
      </c>
      <c r="AE294" s="238">
        <f t="shared" si="67"/>
        <v>9264489.8000000007</v>
      </c>
      <c r="AF294" s="238">
        <f t="shared" si="68"/>
        <v>46322449</v>
      </c>
      <c r="AG294" s="206">
        <f t="shared" si="69"/>
        <v>2014</v>
      </c>
      <c r="AH294" s="210">
        <f t="shared" si="70"/>
        <v>416902051</v>
      </c>
    </row>
    <row r="295" spans="1:34" s="48" customFormat="1" ht="40.5" hidden="1" customHeight="1" x14ac:dyDescent="0.2">
      <c r="A295" s="296"/>
      <c r="B295" s="48" t="s">
        <v>4320</v>
      </c>
      <c r="C295" s="772"/>
      <c r="D295" s="73"/>
      <c r="E295" s="65" t="s">
        <v>2792</v>
      </c>
      <c r="F295" s="67" t="s">
        <v>1752</v>
      </c>
      <c r="G295" s="67" t="s">
        <v>1895</v>
      </c>
      <c r="H295" s="33" t="s">
        <v>43</v>
      </c>
      <c r="I295" s="40" t="s">
        <v>1786</v>
      </c>
      <c r="J295" s="40" t="s">
        <v>1934</v>
      </c>
      <c r="K295" s="40"/>
      <c r="L295" s="72" t="s">
        <v>2182</v>
      </c>
      <c r="M295" s="40">
        <v>2014</v>
      </c>
      <c r="N295" s="40" t="s">
        <v>2183</v>
      </c>
      <c r="O295" s="32"/>
      <c r="P295" s="33"/>
      <c r="Q295" s="40"/>
      <c r="R295" s="32"/>
      <c r="S295" s="252">
        <v>458480000</v>
      </c>
      <c r="T295" s="105"/>
      <c r="U295" s="206" t="str">
        <f t="shared" si="57"/>
        <v>03.11.01</v>
      </c>
      <c r="V295" s="207" t="str">
        <f t="shared" si="58"/>
        <v>Bangunan Gedung Tempat Kerja</v>
      </c>
      <c r="W295" s="207">
        <f t="shared" si="59"/>
        <v>50</v>
      </c>
      <c r="X295" s="233">
        <f t="shared" si="60"/>
        <v>9169599.8000000007</v>
      </c>
      <c r="Y295" s="714">
        <f t="shared" si="61"/>
        <v>0</v>
      </c>
      <c r="Z295" s="233">
        <f t="shared" si="62"/>
        <v>0</v>
      </c>
      <c r="AA295" s="233">
        <f t="shared" si="63"/>
        <v>9169599.8000000007</v>
      </c>
      <c r="AB295" s="233">
        <f t="shared" si="64"/>
        <v>9169599.8000000007</v>
      </c>
      <c r="AC295" s="233">
        <f t="shared" si="65"/>
        <v>9169599.8000000007</v>
      </c>
      <c r="AD295" s="238">
        <f t="shared" si="66"/>
        <v>9169599.8000000007</v>
      </c>
      <c r="AE295" s="238">
        <f t="shared" si="67"/>
        <v>9169599.8000000007</v>
      </c>
      <c r="AF295" s="238">
        <f t="shared" si="68"/>
        <v>45847999</v>
      </c>
      <c r="AG295" s="206">
        <f t="shared" si="69"/>
        <v>2014</v>
      </c>
      <c r="AH295" s="210">
        <f t="shared" si="70"/>
        <v>412632001</v>
      </c>
    </row>
    <row r="296" spans="1:34" s="48" customFormat="1" ht="40.5" hidden="1" customHeight="1" x14ac:dyDescent="0.2">
      <c r="A296" s="296"/>
      <c r="B296" s="48" t="s">
        <v>4336</v>
      </c>
      <c r="C296" s="772"/>
      <c r="D296" s="73"/>
      <c r="E296" s="65" t="s">
        <v>2793</v>
      </c>
      <c r="F296" s="67" t="s">
        <v>1752</v>
      </c>
      <c r="G296" s="67" t="s">
        <v>1899</v>
      </c>
      <c r="H296" s="33" t="s">
        <v>43</v>
      </c>
      <c r="I296" s="40" t="s">
        <v>1786</v>
      </c>
      <c r="J296" s="40" t="s">
        <v>1934</v>
      </c>
      <c r="K296" s="40"/>
      <c r="L296" s="72" t="s">
        <v>838</v>
      </c>
      <c r="M296" s="40">
        <v>2014</v>
      </c>
      <c r="N296" s="40" t="s">
        <v>2185</v>
      </c>
      <c r="O296" s="32"/>
      <c r="P296" s="33"/>
      <c r="Q296" s="40"/>
      <c r="R296" s="32"/>
      <c r="S296" s="252">
        <v>480055500</v>
      </c>
      <c r="T296" s="105"/>
      <c r="U296" s="206" t="str">
        <f t="shared" si="57"/>
        <v>03.11.01</v>
      </c>
      <c r="V296" s="207" t="str">
        <f t="shared" si="58"/>
        <v>Bangunan Gedung Tempat Kerja</v>
      </c>
      <c r="W296" s="207">
        <f t="shared" si="59"/>
        <v>50</v>
      </c>
      <c r="X296" s="233">
        <f t="shared" si="60"/>
        <v>9601109.8000000007</v>
      </c>
      <c r="Y296" s="714">
        <f t="shared" si="61"/>
        <v>0</v>
      </c>
      <c r="Z296" s="233">
        <f t="shared" si="62"/>
        <v>0</v>
      </c>
      <c r="AA296" s="233">
        <f t="shared" si="63"/>
        <v>9601109.8000000007</v>
      </c>
      <c r="AB296" s="233">
        <f t="shared" si="64"/>
        <v>9601109.8000000007</v>
      </c>
      <c r="AC296" s="233">
        <f t="shared" si="65"/>
        <v>9601109.8000000007</v>
      </c>
      <c r="AD296" s="238">
        <f t="shared" si="66"/>
        <v>9601109.8000000007</v>
      </c>
      <c r="AE296" s="238">
        <f t="shared" si="67"/>
        <v>9601109.8000000007</v>
      </c>
      <c r="AF296" s="238">
        <f t="shared" si="68"/>
        <v>48005549</v>
      </c>
      <c r="AG296" s="206">
        <f t="shared" si="69"/>
        <v>2014</v>
      </c>
      <c r="AH296" s="210">
        <f t="shared" si="70"/>
        <v>432049951</v>
      </c>
    </row>
    <row r="297" spans="1:34" s="48" customFormat="1" ht="40.5" hidden="1" customHeight="1" x14ac:dyDescent="0.2">
      <c r="A297" s="296"/>
      <c r="B297" s="48" t="s">
        <v>4750</v>
      </c>
      <c r="C297" s="772"/>
      <c r="D297" s="73"/>
      <c r="E297" s="65" t="s">
        <v>2794</v>
      </c>
      <c r="F297" s="67" t="s">
        <v>1752</v>
      </c>
      <c r="G297" s="67" t="s">
        <v>1701</v>
      </c>
      <c r="H297" s="33" t="s">
        <v>43</v>
      </c>
      <c r="I297" s="40" t="s">
        <v>1786</v>
      </c>
      <c r="J297" s="40" t="s">
        <v>1934</v>
      </c>
      <c r="K297" s="40"/>
      <c r="L297" s="72" t="s">
        <v>2058</v>
      </c>
      <c r="M297" s="40">
        <v>2014</v>
      </c>
      <c r="N297" s="40" t="s">
        <v>2187</v>
      </c>
      <c r="O297" s="32"/>
      <c r="P297" s="33"/>
      <c r="Q297" s="40"/>
      <c r="R297" s="32"/>
      <c r="S297" s="252">
        <v>463021000</v>
      </c>
      <c r="T297" s="105"/>
      <c r="U297" s="206" t="str">
        <f t="shared" si="57"/>
        <v>03.11.01</v>
      </c>
      <c r="V297" s="207" t="str">
        <f t="shared" si="58"/>
        <v>Bangunan Gedung Tempat Kerja</v>
      </c>
      <c r="W297" s="207">
        <f t="shared" si="59"/>
        <v>50</v>
      </c>
      <c r="X297" s="233">
        <f t="shared" si="60"/>
        <v>9260419.8000000007</v>
      </c>
      <c r="Y297" s="714">
        <f t="shared" si="61"/>
        <v>0</v>
      </c>
      <c r="Z297" s="233">
        <f t="shared" si="62"/>
        <v>0</v>
      </c>
      <c r="AA297" s="233">
        <f t="shared" si="63"/>
        <v>9260419.8000000007</v>
      </c>
      <c r="AB297" s="233">
        <f t="shared" si="64"/>
        <v>9260419.8000000007</v>
      </c>
      <c r="AC297" s="233">
        <f t="shared" si="65"/>
        <v>9260419.8000000007</v>
      </c>
      <c r="AD297" s="238">
        <f t="shared" si="66"/>
        <v>9260419.8000000007</v>
      </c>
      <c r="AE297" s="238">
        <f t="shared" si="67"/>
        <v>9260419.8000000007</v>
      </c>
      <c r="AF297" s="238">
        <f t="shared" si="68"/>
        <v>46302099</v>
      </c>
      <c r="AG297" s="206">
        <f t="shared" si="69"/>
        <v>2014</v>
      </c>
      <c r="AH297" s="210">
        <f t="shared" si="70"/>
        <v>416718901</v>
      </c>
    </row>
    <row r="298" spans="1:34" s="48" customFormat="1" ht="40.5" hidden="1" customHeight="1" x14ac:dyDescent="0.2">
      <c r="A298" s="296"/>
      <c r="B298" s="48" t="s">
        <v>4753</v>
      </c>
      <c r="C298" s="772"/>
      <c r="D298" s="73"/>
      <c r="E298" s="65" t="s">
        <v>2795</v>
      </c>
      <c r="F298" s="67" t="s">
        <v>1752</v>
      </c>
      <c r="G298" s="67" t="s">
        <v>1906</v>
      </c>
      <c r="H298" s="33" t="s">
        <v>43</v>
      </c>
      <c r="I298" s="40" t="s">
        <v>1786</v>
      </c>
      <c r="J298" s="40" t="s">
        <v>1934</v>
      </c>
      <c r="K298" s="40"/>
      <c r="L298" s="72" t="s">
        <v>2003</v>
      </c>
      <c r="M298" s="40">
        <v>2014</v>
      </c>
      <c r="N298" s="40" t="s">
        <v>2189</v>
      </c>
      <c r="O298" s="32"/>
      <c r="P298" s="33"/>
      <c r="Q298" s="40"/>
      <c r="R298" s="32"/>
      <c r="S298" s="252">
        <v>484939000</v>
      </c>
      <c r="T298" s="105"/>
      <c r="U298" s="206" t="str">
        <f t="shared" si="57"/>
        <v>03.11.01</v>
      </c>
      <c r="V298" s="207" t="str">
        <f t="shared" si="58"/>
        <v>Bangunan Gedung Tempat Kerja</v>
      </c>
      <c r="W298" s="207">
        <f t="shared" si="59"/>
        <v>50</v>
      </c>
      <c r="X298" s="233">
        <f t="shared" si="60"/>
        <v>9698779.8000000007</v>
      </c>
      <c r="Y298" s="714">
        <f t="shared" si="61"/>
        <v>0</v>
      </c>
      <c r="Z298" s="233">
        <f t="shared" si="62"/>
        <v>0</v>
      </c>
      <c r="AA298" s="233">
        <f t="shared" si="63"/>
        <v>9698779.8000000007</v>
      </c>
      <c r="AB298" s="233">
        <f t="shared" si="64"/>
        <v>9698779.8000000007</v>
      </c>
      <c r="AC298" s="233">
        <f t="shared" si="65"/>
        <v>9698779.8000000007</v>
      </c>
      <c r="AD298" s="238">
        <f t="shared" si="66"/>
        <v>9698779.8000000007</v>
      </c>
      <c r="AE298" s="238">
        <f t="shared" si="67"/>
        <v>9698779.8000000007</v>
      </c>
      <c r="AF298" s="238">
        <f t="shared" si="68"/>
        <v>48493899</v>
      </c>
      <c r="AG298" s="206">
        <f t="shared" si="69"/>
        <v>2014</v>
      </c>
      <c r="AH298" s="210">
        <f t="shared" si="70"/>
        <v>436445101</v>
      </c>
    </row>
    <row r="299" spans="1:34" s="48" customFormat="1" ht="40.5" hidden="1" customHeight="1" x14ac:dyDescent="0.2">
      <c r="A299" s="296"/>
      <c r="B299" s="48" t="s">
        <v>4319</v>
      </c>
      <c r="C299" s="772"/>
      <c r="D299" s="73"/>
      <c r="E299" s="65" t="s">
        <v>2796</v>
      </c>
      <c r="F299" s="67" t="s">
        <v>1752</v>
      </c>
      <c r="G299" s="67" t="s">
        <v>1910</v>
      </c>
      <c r="H299" s="33" t="s">
        <v>43</v>
      </c>
      <c r="I299" s="40" t="s">
        <v>1786</v>
      </c>
      <c r="J299" s="40" t="s">
        <v>1934</v>
      </c>
      <c r="K299" s="40"/>
      <c r="L299" s="72" t="s">
        <v>2058</v>
      </c>
      <c r="M299" s="40">
        <v>2014</v>
      </c>
      <c r="N299" s="40" t="s">
        <v>2191</v>
      </c>
      <c r="O299" s="32"/>
      <c r="P299" s="33"/>
      <c r="Q299" s="40"/>
      <c r="R299" s="32"/>
      <c r="S299" s="252">
        <v>483753000</v>
      </c>
      <c r="T299" s="105"/>
      <c r="U299" s="206" t="str">
        <f t="shared" si="57"/>
        <v>03.11.01</v>
      </c>
      <c r="V299" s="207" t="str">
        <f t="shared" si="58"/>
        <v>Bangunan Gedung Tempat Kerja</v>
      </c>
      <c r="W299" s="207">
        <f t="shared" si="59"/>
        <v>50</v>
      </c>
      <c r="X299" s="233">
        <f t="shared" si="60"/>
        <v>9675059.8000000007</v>
      </c>
      <c r="Y299" s="714">
        <f t="shared" si="61"/>
        <v>0</v>
      </c>
      <c r="Z299" s="233">
        <f t="shared" si="62"/>
        <v>0</v>
      </c>
      <c r="AA299" s="233">
        <f t="shared" si="63"/>
        <v>9675059.8000000007</v>
      </c>
      <c r="AB299" s="233">
        <f t="shared" si="64"/>
        <v>9675059.8000000007</v>
      </c>
      <c r="AC299" s="233">
        <f t="shared" si="65"/>
        <v>9675059.8000000007</v>
      </c>
      <c r="AD299" s="238">
        <f t="shared" si="66"/>
        <v>9675059.8000000007</v>
      </c>
      <c r="AE299" s="238">
        <f t="shared" si="67"/>
        <v>9675059.8000000007</v>
      </c>
      <c r="AF299" s="238">
        <f t="shared" si="68"/>
        <v>48375299</v>
      </c>
      <c r="AG299" s="206">
        <f t="shared" si="69"/>
        <v>2014</v>
      </c>
      <c r="AH299" s="210">
        <f t="shared" si="70"/>
        <v>435377701</v>
      </c>
    </row>
    <row r="300" spans="1:34" s="48" customFormat="1" ht="40.5" hidden="1" customHeight="1" x14ac:dyDescent="0.2">
      <c r="A300" s="296"/>
      <c r="B300" s="48" t="s">
        <v>4318</v>
      </c>
      <c r="C300" s="772"/>
      <c r="D300" s="73"/>
      <c r="E300" s="65" t="s">
        <v>2797</v>
      </c>
      <c r="F300" s="67" t="s">
        <v>1752</v>
      </c>
      <c r="G300" s="67" t="s">
        <v>1913</v>
      </c>
      <c r="H300" s="33" t="s">
        <v>43</v>
      </c>
      <c r="I300" s="40" t="s">
        <v>1786</v>
      </c>
      <c r="J300" s="40" t="s">
        <v>1934</v>
      </c>
      <c r="K300" s="40"/>
      <c r="L300" s="72" t="s">
        <v>2063</v>
      </c>
      <c r="M300" s="40">
        <v>2014</v>
      </c>
      <c r="N300" s="40" t="s">
        <v>2193</v>
      </c>
      <c r="O300" s="32"/>
      <c r="P300" s="33"/>
      <c r="Q300" s="40"/>
      <c r="R300" s="32"/>
      <c r="S300" s="252">
        <v>470472500</v>
      </c>
      <c r="T300" s="105"/>
      <c r="U300" s="206" t="str">
        <f t="shared" si="57"/>
        <v>03.11.01</v>
      </c>
      <c r="V300" s="207" t="str">
        <f t="shared" si="58"/>
        <v>Bangunan Gedung Tempat Kerja</v>
      </c>
      <c r="W300" s="207">
        <f t="shared" si="59"/>
        <v>50</v>
      </c>
      <c r="X300" s="233">
        <f t="shared" si="60"/>
        <v>9409449.8000000007</v>
      </c>
      <c r="Y300" s="714">
        <f t="shared" si="61"/>
        <v>0</v>
      </c>
      <c r="Z300" s="233">
        <f t="shared" si="62"/>
        <v>0</v>
      </c>
      <c r="AA300" s="233">
        <f t="shared" si="63"/>
        <v>9409449.8000000007</v>
      </c>
      <c r="AB300" s="233">
        <f t="shared" si="64"/>
        <v>9409449.8000000007</v>
      </c>
      <c r="AC300" s="233">
        <f t="shared" si="65"/>
        <v>9409449.8000000007</v>
      </c>
      <c r="AD300" s="238">
        <f t="shared" si="66"/>
        <v>9409449.8000000007</v>
      </c>
      <c r="AE300" s="238">
        <f t="shared" si="67"/>
        <v>9409449.8000000007</v>
      </c>
      <c r="AF300" s="238">
        <f t="shared" si="68"/>
        <v>47047249</v>
      </c>
      <c r="AG300" s="206">
        <f t="shared" si="69"/>
        <v>2014</v>
      </c>
      <c r="AH300" s="210">
        <f t="shared" si="70"/>
        <v>423425251</v>
      </c>
    </row>
    <row r="301" spans="1:34" s="48" customFormat="1" ht="40.5" hidden="1" customHeight="1" x14ac:dyDescent="0.2">
      <c r="A301" s="296"/>
      <c r="B301" s="48" t="s">
        <v>4333</v>
      </c>
      <c r="C301" s="772"/>
      <c r="D301" s="73"/>
      <c r="E301" s="65" t="s">
        <v>2798</v>
      </c>
      <c r="F301" s="67" t="s">
        <v>1752</v>
      </c>
      <c r="G301" s="67" t="s">
        <v>1916</v>
      </c>
      <c r="H301" s="33" t="s">
        <v>43</v>
      </c>
      <c r="I301" s="40" t="s">
        <v>1786</v>
      </c>
      <c r="J301" s="40" t="s">
        <v>1934</v>
      </c>
      <c r="K301" s="40"/>
      <c r="L301" s="72" t="s">
        <v>2195</v>
      </c>
      <c r="M301" s="40">
        <v>2014</v>
      </c>
      <c r="N301" s="40" t="s">
        <v>2196</v>
      </c>
      <c r="O301" s="32"/>
      <c r="P301" s="33"/>
      <c r="Q301" s="40"/>
      <c r="R301" s="32"/>
      <c r="S301" s="252">
        <v>465972500</v>
      </c>
      <c r="T301" s="105"/>
      <c r="U301" s="206" t="str">
        <f t="shared" si="57"/>
        <v>03.11.01</v>
      </c>
      <c r="V301" s="207" t="str">
        <f t="shared" si="58"/>
        <v>Bangunan Gedung Tempat Kerja</v>
      </c>
      <c r="W301" s="207">
        <f t="shared" si="59"/>
        <v>50</v>
      </c>
      <c r="X301" s="233">
        <f t="shared" si="60"/>
        <v>9319449.8000000007</v>
      </c>
      <c r="Y301" s="714">
        <f t="shared" si="61"/>
        <v>0</v>
      </c>
      <c r="Z301" s="233">
        <f t="shared" si="62"/>
        <v>0</v>
      </c>
      <c r="AA301" s="233">
        <f t="shared" si="63"/>
        <v>9319449.8000000007</v>
      </c>
      <c r="AB301" s="233">
        <f t="shared" si="64"/>
        <v>9319449.8000000007</v>
      </c>
      <c r="AC301" s="233">
        <f t="shared" si="65"/>
        <v>9319449.8000000007</v>
      </c>
      <c r="AD301" s="238">
        <f t="shared" si="66"/>
        <v>9319449.8000000007</v>
      </c>
      <c r="AE301" s="238">
        <f t="shared" si="67"/>
        <v>9319449.8000000007</v>
      </c>
      <c r="AF301" s="238">
        <f t="shared" si="68"/>
        <v>46597249</v>
      </c>
      <c r="AG301" s="206">
        <f t="shared" si="69"/>
        <v>2014</v>
      </c>
      <c r="AH301" s="210">
        <f t="shared" si="70"/>
        <v>419375251</v>
      </c>
    </row>
    <row r="302" spans="1:34" s="48" customFormat="1" ht="40.5" hidden="1" customHeight="1" x14ac:dyDescent="0.2">
      <c r="A302" s="296"/>
      <c r="B302" s="48" t="s">
        <v>4316</v>
      </c>
      <c r="C302" s="772"/>
      <c r="D302" s="73"/>
      <c r="E302" s="65" t="s">
        <v>2799</v>
      </c>
      <c r="F302" s="67" t="s">
        <v>1752</v>
      </c>
      <c r="G302" s="67" t="s">
        <v>1920</v>
      </c>
      <c r="H302" s="33" t="s">
        <v>43</v>
      </c>
      <c r="I302" s="40" t="s">
        <v>1786</v>
      </c>
      <c r="J302" s="40" t="s">
        <v>1934</v>
      </c>
      <c r="K302" s="40"/>
      <c r="L302" s="72" t="s">
        <v>2127</v>
      </c>
      <c r="M302" s="40">
        <v>2014</v>
      </c>
      <c r="N302" s="40" t="s">
        <v>2196</v>
      </c>
      <c r="O302" s="32"/>
      <c r="P302" s="33"/>
      <c r="Q302" s="40"/>
      <c r="R302" s="32"/>
      <c r="S302" s="252">
        <v>456553500</v>
      </c>
      <c r="T302" s="105"/>
      <c r="U302" s="206" t="str">
        <f t="shared" si="57"/>
        <v>03.11.01</v>
      </c>
      <c r="V302" s="207" t="str">
        <f t="shared" si="58"/>
        <v>Bangunan Gedung Tempat Kerja</v>
      </c>
      <c r="W302" s="207">
        <f t="shared" si="59"/>
        <v>50</v>
      </c>
      <c r="X302" s="233">
        <f t="shared" si="60"/>
        <v>9131069.8000000007</v>
      </c>
      <c r="Y302" s="714">
        <f t="shared" si="61"/>
        <v>0</v>
      </c>
      <c r="Z302" s="233">
        <f t="shared" si="62"/>
        <v>0</v>
      </c>
      <c r="AA302" s="233">
        <f t="shared" si="63"/>
        <v>9131069.8000000007</v>
      </c>
      <c r="AB302" s="233">
        <f t="shared" si="64"/>
        <v>9131069.8000000007</v>
      </c>
      <c r="AC302" s="233">
        <f t="shared" si="65"/>
        <v>9131069.8000000007</v>
      </c>
      <c r="AD302" s="238">
        <f t="shared" si="66"/>
        <v>9131069.8000000007</v>
      </c>
      <c r="AE302" s="238">
        <f t="shared" si="67"/>
        <v>9131069.8000000007</v>
      </c>
      <c r="AF302" s="238">
        <f t="shared" si="68"/>
        <v>45655349</v>
      </c>
      <c r="AG302" s="206">
        <f t="shared" si="69"/>
        <v>2014</v>
      </c>
      <c r="AH302" s="210">
        <f t="shared" si="70"/>
        <v>410898151</v>
      </c>
    </row>
    <row r="303" spans="1:34" s="48" customFormat="1" ht="40.5" hidden="1" customHeight="1" x14ac:dyDescent="0.2">
      <c r="A303" s="296"/>
      <c r="B303" s="48" t="s">
        <v>4317</v>
      </c>
      <c r="C303" s="772"/>
      <c r="D303" s="73"/>
      <c r="E303" s="65" t="s">
        <v>2800</v>
      </c>
      <c r="F303" s="67" t="s">
        <v>1752</v>
      </c>
      <c r="G303" s="67" t="s">
        <v>1924</v>
      </c>
      <c r="H303" s="33" t="s">
        <v>43</v>
      </c>
      <c r="I303" s="40" t="s">
        <v>1786</v>
      </c>
      <c r="J303" s="40" t="s">
        <v>1934</v>
      </c>
      <c r="K303" s="40"/>
      <c r="L303" s="72" t="s">
        <v>2199</v>
      </c>
      <c r="M303" s="40">
        <v>2014</v>
      </c>
      <c r="N303" s="40" t="s">
        <v>2200</v>
      </c>
      <c r="O303" s="32"/>
      <c r="P303" s="33"/>
      <c r="Q303" s="40"/>
      <c r="R303" s="32"/>
      <c r="S303" s="252">
        <v>469934500</v>
      </c>
      <c r="T303" s="105"/>
      <c r="U303" s="206" t="str">
        <f t="shared" si="57"/>
        <v>03.11.01</v>
      </c>
      <c r="V303" s="207" t="str">
        <f t="shared" si="58"/>
        <v>Bangunan Gedung Tempat Kerja</v>
      </c>
      <c r="W303" s="207">
        <f t="shared" si="59"/>
        <v>50</v>
      </c>
      <c r="X303" s="233">
        <f t="shared" si="60"/>
        <v>9398689.8000000007</v>
      </c>
      <c r="Y303" s="714">
        <f t="shared" si="61"/>
        <v>0</v>
      </c>
      <c r="Z303" s="233">
        <f t="shared" si="62"/>
        <v>0</v>
      </c>
      <c r="AA303" s="233">
        <f t="shared" si="63"/>
        <v>9398689.8000000007</v>
      </c>
      <c r="AB303" s="233">
        <f t="shared" si="64"/>
        <v>9398689.8000000007</v>
      </c>
      <c r="AC303" s="233">
        <f t="shared" si="65"/>
        <v>9398689.8000000007</v>
      </c>
      <c r="AD303" s="238">
        <f t="shared" si="66"/>
        <v>9398689.8000000007</v>
      </c>
      <c r="AE303" s="238">
        <f t="shared" si="67"/>
        <v>9398689.8000000007</v>
      </c>
      <c r="AF303" s="238">
        <f t="shared" si="68"/>
        <v>46993449</v>
      </c>
      <c r="AG303" s="206">
        <f t="shared" si="69"/>
        <v>2014</v>
      </c>
      <c r="AH303" s="210">
        <f t="shared" si="70"/>
        <v>422941051</v>
      </c>
    </row>
    <row r="304" spans="1:34" s="48" customFormat="1" ht="40.5" hidden="1" customHeight="1" x14ac:dyDescent="0.2">
      <c r="A304" s="296"/>
      <c r="B304" s="48" t="s">
        <v>4277</v>
      </c>
      <c r="C304" s="772"/>
      <c r="D304" s="73"/>
      <c r="E304" s="65" t="s">
        <v>2801</v>
      </c>
      <c r="F304" s="67" t="s">
        <v>1752</v>
      </c>
      <c r="G304" s="67" t="s">
        <v>2202</v>
      </c>
      <c r="H304" s="33" t="s">
        <v>43</v>
      </c>
      <c r="I304" s="40" t="s">
        <v>1786</v>
      </c>
      <c r="J304" s="40" t="s">
        <v>1934</v>
      </c>
      <c r="K304" s="40"/>
      <c r="L304" s="72" t="s">
        <v>2058</v>
      </c>
      <c r="M304" s="40">
        <v>2014</v>
      </c>
      <c r="N304" s="40" t="s">
        <v>2203</v>
      </c>
      <c r="O304" s="32"/>
      <c r="P304" s="33"/>
      <c r="Q304" s="40"/>
      <c r="R304" s="32"/>
      <c r="S304" s="252">
        <v>551109500</v>
      </c>
      <c r="T304" s="105"/>
      <c r="U304" s="206" t="str">
        <f t="shared" si="57"/>
        <v>03.11.01</v>
      </c>
      <c r="V304" s="207" t="str">
        <f t="shared" si="58"/>
        <v>Bangunan Gedung Tempat Kerja</v>
      </c>
      <c r="W304" s="207">
        <f t="shared" si="59"/>
        <v>50</v>
      </c>
      <c r="X304" s="233">
        <f t="shared" si="60"/>
        <v>11022189.800000001</v>
      </c>
      <c r="Y304" s="714">
        <f t="shared" si="61"/>
        <v>0</v>
      </c>
      <c r="Z304" s="233">
        <f t="shared" si="62"/>
        <v>0</v>
      </c>
      <c r="AA304" s="233">
        <f t="shared" si="63"/>
        <v>11022189.800000001</v>
      </c>
      <c r="AB304" s="233">
        <f t="shared" si="64"/>
        <v>11022189.800000001</v>
      </c>
      <c r="AC304" s="233">
        <f t="shared" si="65"/>
        <v>11022189.800000001</v>
      </c>
      <c r="AD304" s="238">
        <f t="shared" si="66"/>
        <v>11022189.800000001</v>
      </c>
      <c r="AE304" s="238">
        <f t="shared" si="67"/>
        <v>11022189.800000001</v>
      </c>
      <c r="AF304" s="238">
        <f t="shared" si="68"/>
        <v>55110949</v>
      </c>
      <c r="AG304" s="206">
        <f t="shared" si="69"/>
        <v>2014</v>
      </c>
      <c r="AH304" s="210">
        <f t="shared" si="70"/>
        <v>495998551</v>
      </c>
    </row>
    <row r="305" spans="1:34" s="48" customFormat="1" ht="40.5" hidden="1" customHeight="1" x14ac:dyDescent="0.2">
      <c r="A305" s="296"/>
      <c r="B305" s="48" t="s">
        <v>4357</v>
      </c>
      <c r="C305" s="772" t="s">
        <v>4266</v>
      </c>
      <c r="D305" s="73"/>
      <c r="E305" s="65" t="s">
        <v>2805</v>
      </c>
      <c r="F305" s="67" t="s">
        <v>1752</v>
      </c>
      <c r="G305" s="67" t="s">
        <v>2214</v>
      </c>
      <c r="H305" s="33" t="s">
        <v>43</v>
      </c>
      <c r="I305" s="40" t="s">
        <v>1786</v>
      </c>
      <c r="J305" s="40" t="s">
        <v>1934</v>
      </c>
      <c r="K305" s="40"/>
      <c r="L305" s="72" t="s">
        <v>1776</v>
      </c>
      <c r="M305" s="40">
        <v>2014</v>
      </c>
      <c r="N305" s="40" t="s">
        <v>2215</v>
      </c>
      <c r="O305" s="32"/>
      <c r="P305" s="33"/>
      <c r="Q305" s="40"/>
      <c r="R305" s="32"/>
      <c r="S305" s="252">
        <v>213258000</v>
      </c>
      <c r="T305" s="105"/>
      <c r="U305" s="206" t="str">
        <f t="shared" si="57"/>
        <v>03.11.01</v>
      </c>
      <c r="V305" s="207" t="str">
        <f t="shared" si="58"/>
        <v>Bangunan Gedung Tempat Kerja</v>
      </c>
      <c r="W305" s="207">
        <f t="shared" si="59"/>
        <v>50</v>
      </c>
      <c r="X305" s="233">
        <f t="shared" si="60"/>
        <v>4265159.8</v>
      </c>
      <c r="Y305" s="714">
        <f t="shared" si="61"/>
        <v>0</v>
      </c>
      <c r="Z305" s="233">
        <f t="shared" si="62"/>
        <v>0</v>
      </c>
      <c r="AA305" s="233">
        <f t="shared" si="63"/>
        <v>4265159.8</v>
      </c>
      <c r="AB305" s="233">
        <f t="shared" si="64"/>
        <v>4265159.8</v>
      </c>
      <c r="AC305" s="233">
        <f t="shared" si="65"/>
        <v>4265159.8</v>
      </c>
      <c r="AD305" s="238">
        <f t="shared" si="66"/>
        <v>4265159.8</v>
      </c>
      <c r="AE305" s="238">
        <f t="shared" si="67"/>
        <v>4265159.8</v>
      </c>
      <c r="AF305" s="238">
        <f t="shared" si="68"/>
        <v>21325799</v>
      </c>
      <c r="AG305" s="206">
        <f t="shared" si="69"/>
        <v>2014</v>
      </c>
      <c r="AH305" s="210">
        <f t="shared" si="70"/>
        <v>191932201</v>
      </c>
    </row>
    <row r="306" spans="1:34" s="48" customFormat="1" ht="40.5" hidden="1" customHeight="1" x14ac:dyDescent="0.2">
      <c r="A306" s="296"/>
      <c r="B306" s="48" t="s">
        <v>4358</v>
      </c>
      <c r="C306" s="772" t="s">
        <v>4266</v>
      </c>
      <c r="D306" s="73"/>
      <c r="E306" s="65" t="s">
        <v>2808</v>
      </c>
      <c r="F306" s="67" t="s">
        <v>2845</v>
      </c>
      <c r="G306" s="67"/>
      <c r="H306" s="33"/>
      <c r="I306" s="40"/>
      <c r="J306" s="40"/>
      <c r="K306" s="40"/>
      <c r="L306" s="72" t="s">
        <v>2225</v>
      </c>
      <c r="M306" s="40">
        <v>2015</v>
      </c>
      <c r="N306" s="40"/>
      <c r="O306" s="32"/>
      <c r="P306" s="33"/>
      <c r="Q306" s="40"/>
      <c r="R306" s="32"/>
      <c r="S306" s="252">
        <v>1480026913</v>
      </c>
      <c r="T306" s="105"/>
      <c r="U306" s="206" t="str">
        <f t="shared" si="57"/>
        <v>03.11.01</v>
      </c>
      <c r="V306" s="207" t="str">
        <f t="shared" si="58"/>
        <v>Bangunan Gedung Tempat Kerja</v>
      </c>
      <c r="W306" s="207">
        <f t="shared" si="59"/>
        <v>50</v>
      </c>
      <c r="X306" s="233">
        <f t="shared" si="60"/>
        <v>29600538.059999999</v>
      </c>
      <c r="Y306" s="714">
        <f t="shared" si="61"/>
        <v>0</v>
      </c>
      <c r="Z306" s="233">
        <f t="shared" si="62"/>
        <v>0</v>
      </c>
      <c r="AA306" s="233"/>
      <c r="AB306" s="233">
        <f t="shared" si="64"/>
        <v>29600538.059999999</v>
      </c>
      <c r="AC306" s="233">
        <f t="shared" si="65"/>
        <v>29600538.059999999</v>
      </c>
      <c r="AD306" s="238">
        <f t="shared" si="66"/>
        <v>29600538.059999999</v>
      </c>
      <c r="AE306" s="238">
        <f t="shared" si="67"/>
        <v>29600538.059999999</v>
      </c>
      <c r="AF306" s="238">
        <f t="shared" si="68"/>
        <v>118402152.23999999</v>
      </c>
      <c r="AG306" s="206">
        <f t="shared" si="69"/>
        <v>2015</v>
      </c>
      <c r="AH306" s="210">
        <f t="shared" si="70"/>
        <v>1361624760.76</v>
      </c>
    </row>
    <row r="307" spans="1:34" s="670" customFormat="1" ht="40.5" hidden="1" customHeight="1" x14ac:dyDescent="0.2">
      <c r="A307" s="669">
        <v>42</v>
      </c>
      <c r="B307" s="670" t="s">
        <v>2490</v>
      </c>
      <c r="C307" s="773" t="s">
        <v>4247</v>
      </c>
      <c r="D307" s="652"/>
      <c r="E307" s="671" t="s">
        <v>2490</v>
      </c>
      <c r="F307" s="653" t="s">
        <v>2491</v>
      </c>
      <c r="G307" s="653"/>
      <c r="H307" s="673"/>
      <c r="I307" s="674"/>
      <c r="J307" s="674"/>
      <c r="K307" s="674"/>
      <c r="L307" s="691"/>
      <c r="M307" s="674">
        <v>2014</v>
      </c>
      <c r="N307" s="674" t="s">
        <v>2253</v>
      </c>
      <c r="O307" s="675"/>
      <c r="P307" s="673"/>
      <c r="Q307" s="674"/>
      <c r="R307" s="675" t="s">
        <v>2251</v>
      </c>
      <c r="S307" s="654">
        <f>10195294623</f>
        <v>10195294623</v>
      </c>
      <c r="T307" s="710" t="s">
        <v>2488</v>
      </c>
      <c r="U307" s="206" t="str">
        <f t="shared" si="57"/>
        <v>03.11.01</v>
      </c>
      <c r="V307" s="207" t="str">
        <f t="shared" si="58"/>
        <v>Bangunan Gedung Tempat Kerja</v>
      </c>
      <c r="W307" s="207">
        <f t="shared" si="59"/>
        <v>50</v>
      </c>
      <c r="X307" s="233">
        <f t="shared" si="60"/>
        <v>203905892.25999999</v>
      </c>
      <c r="Y307" s="714">
        <f t="shared" si="61"/>
        <v>0</v>
      </c>
      <c r="Z307" s="233">
        <f t="shared" si="62"/>
        <v>0</v>
      </c>
      <c r="AA307" s="233">
        <f t="shared" si="63"/>
        <v>203905892.25999999</v>
      </c>
      <c r="AB307" s="233">
        <f t="shared" si="64"/>
        <v>203905892.25999999</v>
      </c>
      <c r="AC307" s="233">
        <f t="shared" si="65"/>
        <v>203905892.25999999</v>
      </c>
      <c r="AD307" s="238">
        <f t="shared" si="66"/>
        <v>203905892.25999999</v>
      </c>
      <c r="AE307" s="238">
        <f t="shared" si="67"/>
        <v>203905892.25999999</v>
      </c>
      <c r="AF307" s="238">
        <f t="shared" si="68"/>
        <v>1019529461.3</v>
      </c>
      <c r="AG307" s="206">
        <f t="shared" si="69"/>
        <v>2014</v>
      </c>
      <c r="AH307" s="210">
        <f t="shared" si="70"/>
        <v>9175765161.7000008</v>
      </c>
    </row>
    <row r="308" spans="1:34" s="48" customFormat="1" ht="40.5" hidden="1" customHeight="1" x14ac:dyDescent="0.2">
      <c r="A308" s="296">
        <v>42</v>
      </c>
      <c r="B308" s="48" t="s">
        <v>2490</v>
      </c>
      <c r="C308" s="772" t="s">
        <v>4247</v>
      </c>
      <c r="D308" s="73"/>
      <c r="E308" s="65" t="s">
        <v>2809</v>
      </c>
      <c r="F308" s="67" t="s">
        <v>2491</v>
      </c>
      <c r="G308" s="67"/>
      <c r="H308" s="33"/>
      <c r="I308" s="40"/>
      <c r="J308" s="40"/>
      <c r="K308" s="40"/>
      <c r="L308" s="72" t="s">
        <v>1776</v>
      </c>
      <c r="M308" s="40">
        <v>2015</v>
      </c>
      <c r="N308" s="40" t="s">
        <v>2227</v>
      </c>
      <c r="O308" s="32"/>
      <c r="P308" s="33"/>
      <c r="Q308" s="40"/>
      <c r="R308" s="32"/>
      <c r="S308" s="252">
        <v>4784780000</v>
      </c>
      <c r="T308" s="105"/>
      <c r="U308" s="206" t="str">
        <f t="shared" si="57"/>
        <v>03.11.01</v>
      </c>
      <c r="V308" s="207" t="str">
        <f t="shared" si="58"/>
        <v>Bangunan Gedung Tempat Kerja</v>
      </c>
      <c r="W308" s="207">
        <f t="shared" si="59"/>
        <v>50</v>
      </c>
      <c r="X308" s="233">
        <f t="shared" si="60"/>
        <v>95695599.799999997</v>
      </c>
      <c r="Y308" s="714">
        <f t="shared" si="61"/>
        <v>0</v>
      </c>
      <c r="Z308" s="233">
        <f t="shared" si="62"/>
        <v>0</v>
      </c>
      <c r="AA308" s="233"/>
      <c r="AB308" s="233">
        <f t="shared" si="64"/>
        <v>95695599.799999997</v>
      </c>
      <c r="AC308" s="233">
        <f t="shared" si="65"/>
        <v>95695599.799999997</v>
      </c>
      <c r="AD308" s="238">
        <f t="shared" si="66"/>
        <v>95695599.799999997</v>
      </c>
      <c r="AE308" s="238">
        <f t="shared" si="67"/>
        <v>95695599.799999997</v>
      </c>
      <c r="AF308" s="238">
        <f t="shared" si="68"/>
        <v>382782399.19999999</v>
      </c>
      <c r="AG308" s="206">
        <f t="shared" si="69"/>
        <v>2015</v>
      </c>
      <c r="AH308" s="210">
        <f t="shared" si="70"/>
        <v>4401997600.8000002</v>
      </c>
    </row>
    <row r="309" spans="1:34" s="48" customFormat="1" ht="40.5" hidden="1" customHeight="1" x14ac:dyDescent="0.2">
      <c r="A309" s="296">
        <v>42</v>
      </c>
      <c r="B309" s="48" t="s">
        <v>2490</v>
      </c>
      <c r="C309" s="772" t="s">
        <v>4247</v>
      </c>
      <c r="D309" s="73"/>
      <c r="E309" s="65" t="s">
        <v>2490</v>
      </c>
      <c r="F309" s="67" t="s">
        <v>2491</v>
      </c>
      <c r="G309" s="67"/>
      <c r="H309" s="33" t="s">
        <v>43</v>
      </c>
      <c r="I309" s="40" t="s">
        <v>2492</v>
      </c>
      <c r="J309" s="40"/>
      <c r="K309" s="40"/>
      <c r="L309" s="72" t="s">
        <v>417</v>
      </c>
      <c r="M309" s="40">
        <v>2018</v>
      </c>
      <c r="N309" s="40"/>
      <c r="O309" s="32"/>
      <c r="P309" s="33"/>
      <c r="Q309" s="40"/>
      <c r="R309" s="32" t="s">
        <v>12</v>
      </c>
      <c r="S309" s="252">
        <v>35339588998</v>
      </c>
      <c r="T309" s="243" t="s">
        <v>2493</v>
      </c>
      <c r="U309" s="206" t="str">
        <f t="shared" si="57"/>
        <v>03.11.01</v>
      </c>
      <c r="V309" s="207" t="str">
        <f t="shared" si="58"/>
        <v>Bangunan Gedung Tempat Kerja</v>
      </c>
      <c r="W309" s="207">
        <f t="shared" si="59"/>
        <v>50</v>
      </c>
      <c r="X309" s="233">
        <f t="shared" si="60"/>
        <v>706791779.75999999</v>
      </c>
      <c r="Y309" s="714">
        <f t="shared" si="61"/>
        <v>0</v>
      </c>
      <c r="Z309" s="233">
        <f t="shared" si="62"/>
        <v>0</v>
      </c>
      <c r="AA309" s="233"/>
      <c r="AB309" s="233"/>
      <c r="AC309" s="233"/>
      <c r="AD309" s="238"/>
      <c r="AE309" s="238"/>
      <c r="AF309" s="238">
        <f t="shared" si="68"/>
        <v>0</v>
      </c>
      <c r="AG309" s="206">
        <f t="shared" si="69"/>
        <v>2018</v>
      </c>
      <c r="AH309" s="210">
        <f t="shared" si="70"/>
        <v>35339588998</v>
      </c>
    </row>
    <row r="310" spans="1:34" s="48" customFormat="1" ht="40.5" hidden="1" customHeight="1" x14ac:dyDescent="0.2">
      <c r="A310" s="296"/>
      <c r="B310" s="48" t="s">
        <v>4289</v>
      </c>
      <c r="C310" s="772"/>
      <c r="D310" s="73"/>
      <c r="E310" s="65" t="s">
        <v>2810</v>
      </c>
      <c r="F310" s="67" t="s">
        <v>1752</v>
      </c>
      <c r="G310" s="67"/>
      <c r="H310" s="33"/>
      <c r="I310" s="40"/>
      <c r="J310" s="40"/>
      <c r="K310" s="40"/>
      <c r="L310" s="72" t="s">
        <v>2229</v>
      </c>
      <c r="M310" s="40">
        <v>2015</v>
      </c>
      <c r="N310" s="40"/>
      <c r="O310" s="32"/>
      <c r="P310" s="33"/>
      <c r="Q310" s="40"/>
      <c r="R310" s="32"/>
      <c r="S310" s="252">
        <v>437954000</v>
      </c>
      <c r="T310" s="105"/>
      <c r="U310" s="206" t="str">
        <f t="shared" si="57"/>
        <v>03.11.01</v>
      </c>
      <c r="V310" s="207" t="str">
        <f t="shared" si="58"/>
        <v>Bangunan Gedung Tempat Kerja</v>
      </c>
      <c r="W310" s="207">
        <f t="shared" si="59"/>
        <v>50</v>
      </c>
      <c r="X310" s="233">
        <f t="shared" si="60"/>
        <v>8759079.8000000007</v>
      </c>
      <c r="Y310" s="714">
        <f t="shared" si="61"/>
        <v>0</v>
      </c>
      <c r="Z310" s="233">
        <f t="shared" si="62"/>
        <v>0</v>
      </c>
      <c r="AA310" s="233"/>
      <c r="AB310" s="233">
        <f t="shared" si="64"/>
        <v>8759079.8000000007</v>
      </c>
      <c r="AC310" s="233">
        <f t="shared" si="65"/>
        <v>8759079.8000000007</v>
      </c>
      <c r="AD310" s="238">
        <f t="shared" si="66"/>
        <v>8759079.8000000007</v>
      </c>
      <c r="AE310" s="238">
        <f t="shared" si="67"/>
        <v>8759079.8000000007</v>
      </c>
      <c r="AF310" s="238">
        <f t="shared" si="68"/>
        <v>35036319.200000003</v>
      </c>
      <c r="AG310" s="206">
        <f t="shared" si="69"/>
        <v>2015</v>
      </c>
      <c r="AH310" s="210">
        <f t="shared" si="70"/>
        <v>402917680.80000001</v>
      </c>
    </row>
    <row r="311" spans="1:34" s="48" customFormat="1" ht="40.5" hidden="1" customHeight="1" x14ac:dyDescent="0.2">
      <c r="A311" s="296"/>
      <c r="B311" s="48" t="s">
        <v>4362</v>
      </c>
      <c r="C311" s="772"/>
      <c r="D311" s="73"/>
      <c r="E311" s="65" t="s">
        <v>2811</v>
      </c>
      <c r="F311" s="67" t="s">
        <v>1752</v>
      </c>
      <c r="G311" s="67"/>
      <c r="H311" s="33"/>
      <c r="I311" s="40"/>
      <c r="J311" s="40"/>
      <c r="K311" s="40"/>
      <c r="L311" s="72" t="s">
        <v>2231</v>
      </c>
      <c r="M311" s="40">
        <v>2015</v>
      </c>
      <c r="N311" s="40"/>
      <c r="O311" s="32"/>
      <c r="P311" s="33"/>
      <c r="Q311" s="40"/>
      <c r="R311" s="32"/>
      <c r="S311" s="252">
        <v>1407432000</v>
      </c>
      <c r="T311" s="105"/>
      <c r="U311" s="206" t="str">
        <f t="shared" si="57"/>
        <v>03.11.01</v>
      </c>
      <c r="V311" s="207" t="str">
        <f t="shared" si="58"/>
        <v>Bangunan Gedung Tempat Kerja</v>
      </c>
      <c r="W311" s="207">
        <f t="shared" si="59"/>
        <v>50</v>
      </c>
      <c r="X311" s="233">
        <f t="shared" si="60"/>
        <v>28148639.800000001</v>
      </c>
      <c r="Y311" s="714">
        <f t="shared" si="61"/>
        <v>0</v>
      </c>
      <c r="Z311" s="233">
        <f t="shared" si="62"/>
        <v>0</v>
      </c>
      <c r="AA311" s="233"/>
      <c r="AB311" s="233">
        <f t="shared" si="64"/>
        <v>28148639.800000001</v>
      </c>
      <c r="AC311" s="233">
        <f t="shared" si="65"/>
        <v>28148639.800000001</v>
      </c>
      <c r="AD311" s="238">
        <f t="shared" si="66"/>
        <v>28148639.800000001</v>
      </c>
      <c r="AE311" s="238">
        <f t="shared" si="67"/>
        <v>28148639.800000001</v>
      </c>
      <c r="AF311" s="238">
        <f t="shared" si="68"/>
        <v>112594559.2</v>
      </c>
      <c r="AG311" s="206">
        <f t="shared" si="69"/>
        <v>2015</v>
      </c>
      <c r="AH311" s="210">
        <f t="shared" si="70"/>
        <v>1294837440.8</v>
      </c>
    </row>
    <row r="312" spans="1:34" s="48" customFormat="1" ht="40.5" hidden="1" customHeight="1" x14ac:dyDescent="0.2">
      <c r="A312" s="296"/>
      <c r="B312" s="48" t="s">
        <v>4285</v>
      </c>
      <c r="C312" s="772"/>
      <c r="D312" s="73"/>
      <c r="E312" s="65" t="s">
        <v>2812</v>
      </c>
      <c r="F312" s="67" t="s">
        <v>2485</v>
      </c>
      <c r="G312" s="67"/>
      <c r="H312" s="33"/>
      <c r="I312" s="40"/>
      <c r="J312" s="40"/>
      <c r="K312" s="40"/>
      <c r="L312" s="72" t="s">
        <v>1776</v>
      </c>
      <c r="M312" s="40">
        <v>2015</v>
      </c>
      <c r="N312" s="40"/>
      <c r="O312" s="32"/>
      <c r="P312" s="33"/>
      <c r="Q312" s="40"/>
      <c r="R312" s="32"/>
      <c r="S312" s="252">
        <v>200800000</v>
      </c>
      <c r="T312" s="105"/>
      <c r="U312" s="206" t="str">
        <f t="shared" si="57"/>
        <v>03.11.02</v>
      </c>
      <c r="V312" s="207" t="str">
        <f t="shared" si="58"/>
        <v>Bangunan Gedung Tempat Tinggal</v>
      </c>
      <c r="W312" s="207">
        <f t="shared" si="59"/>
        <v>50</v>
      </c>
      <c r="X312" s="233">
        <f t="shared" si="60"/>
        <v>4015999.8</v>
      </c>
      <c r="Y312" s="714">
        <f t="shared" si="61"/>
        <v>0</v>
      </c>
      <c r="Z312" s="233">
        <f t="shared" si="62"/>
        <v>0</v>
      </c>
      <c r="AA312" s="233"/>
      <c r="AB312" s="233">
        <f t="shared" si="64"/>
        <v>4015999.8</v>
      </c>
      <c r="AC312" s="233">
        <f t="shared" si="65"/>
        <v>4015999.8</v>
      </c>
      <c r="AD312" s="238">
        <f t="shared" si="66"/>
        <v>4015999.8</v>
      </c>
      <c r="AE312" s="238">
        <f t="shared" si="67"/>
        <v>4015999.8</v>
      </c>
      <c r="AF312" s="238">
        <f t="shared" si="68"/>
        <v>16063999.199999999</v>
      </c>
      <c r="AG312" s="206">
        <f t="shared" si="69"/>
        <v>2015</v>
      </c>
      <c r="AH312" s="210">
        <f t="shared" si="70"/>
        <v>184736000.80000001</v>
      </c>
    </row>
    <row r="313" spans="1:34" s="48" customFormat="1" ht="40.5" hidden="1" customHeight="1" x14ac:dyDescent="0.2">
      <c r="A313" s="296"/>
      <c r="B313" s="48" t="s">
        <v>4755</v>
      </c>
      <c r="C313" s="772"/>
      <c r="D313" s="73"/>
      <c r="E313" s="65" t="s">
        <v>2813</v>
      </c>
      <c r="F313" s="67" t="s">
        <v>1752</v>
      </c>
      <c r="G313" s="67"/>
      <c r="H313" s="33"/>
      <c r="I313" s="40"/>
      <c r="J313" s="40"/>
      <c r="K313" s="40"/>
      <c r="L313" s="72" t="s">
        <v>2234</v>
      </c>
      <c r="M313" s="40">
        <v>2015</v>
      </c>
      <c r="N313" s="40"/>
      <c r="O313" s="32"/>
      <c r="P313" s="33"/>
      <c r="Q313" s="40"/>
      <c r="R313" s="32"/>
      <c r="S313" s="252">
        <v>439684000</v>
      </c>
      <c r="T313" s="105"/>
      <c r="U313" s="206" t="str">
        <f t="shared" si="57"/>
        <v>03.11.01</v>
      </c>
      <c r="V313" s="207" t="str">
        <f t="shared" si="58"/>
        <v>Bangunan Gedung Tempat Kerja</v>
      </c>
      <c r="W313" s="207">
        <f t="shared" si="59"/>
        <v>50</v>
      </c>
      <c r="X313" s="233">
        <f t="shared" si="60"/>
        <v>8793679.8000000007</v>
      </c>
      <c r="Y313" s="714">
        <f t="shared" si="61"/>
        <v>0</v>
      </c>
      <c r="Z313" s="233">
        <f t="shared" si="62"/>
        <v>0</v>
      </c>
      <c r="AA313" s="233"/>
      <c r="AB313" s="233">
        <f t="shared" si="64"/>
        <v>8793679.8000000007</v>
      </c>
      <c r="AC313" s="233">
        <f t="shared" si="65"/>
        <v>8793679.8000000007</v>
      </c>
      <c r="AD313" s="238">
        <f t="shared" si="66"/>
        <v>8793679.8000000007</v>
      </c>
      <c r="AE313" s="238">
        <f t="shared" si="67"/>
        <v>8793679.8000000007</v>
      </c>
      <c r="AF313" s="238">
        <f t="shared" si="68"/>
        <v>35174719.200000003</v>
      </c>
      <c r="AG313" s="206">
        <f t="shared" si="69"/>
        <v>2015</v>
      </c>
      <c r="AH313" s="210">
        <f t="shared" si="70"/>
        <v>404509280.80000001</v>
      </c>
    </row>
    <row r="314" spans="1:34" s="48" customFormat="1" ht="40.5" hidden="1" customHeight="1" x14ac:dyDescent="0.2">
      <c r="A314" s="296"/>
      <c r="B314" s="48" t="s">
        <v>4751</v>
      </c>
      <c r="C314" s="772"/>
      <c r="D314" s="73"/>
      <c r="E314" s="65" t="s">
        <v>2814</v>
      </c>
      <c r="F314" s="67" t="s">
        <v>1752</v>
      </c>
      <c r="G314" s="67"/>
      <c r="H314" s="33"/>
      <c r="I314" s="40"/>
      <c r="J314" s="40"/>
      <c r="K314" s="40"/>
      <c r="L314" s="72" t="s">
        <v>2236</v>
      </c>
      <c r="M314" s="40">
        <v>2015</v>
      </c>
      <c r="N314" s="40"/>
      <c r="O314" s="32"/>
      <c r="P314" s="33"/>
      <c r="Q314" s="40"/>
      <c r="R314" s="32"/>
      <c r="S314" s="252">
        <v>428775000</v>
      </c>
      <c r="T314" s="105"/>
      <c r="U314" s="206" t="str">
        <f t="shared" si="57"/>
        <v>03.11.01</v>
      </c>
      <c r="V314" s="207" t="str">
        <f t="shared" si="58"/>
        <v>Bangunan Gedung Tempat Kerja</v>
      </c>
      <c r="W314" s="207">
        <f t="shared" si="59"/>
        <v>50</v>
      </c>
      <c r="X314" s="233">
        <f t="shared" si="60"/>
        <v>8575499.8000000007</v>
      </c>
      <c r="Y314" s="714">
        <f t="shared" si="61"/>
        <v>0</v>
      </c>
      <c r="Z314" s="233">
        <f t="shared" si="62"/>
        <v>0</v>
      </c>
      <c r="AA314" s="233"/>
      <c r="AB314" s="233">
        <f t="shared" si="64"/>
        <v>8575499.8000000007</v>
      </c>
      <c r="AC314" s="233">
        <f t="shared" si="65"/>
        <v>8575499.8000000007</v>
      </c>
      <c r="AD314" s="238">
        <f t="shared" si="66"/>
        <v>8575499.8000000007</v>
      </c>
      <c r="AE314" s="238">
        <f t="shared" si="67"/>
        <v>8575499.8000000007</v>
      </c>
      <c r="AF314" s="238">
        <f t="shared" si="68"/>
        <v>34301999.200000003</v>
      </c>
      <c r="AG314" s="206">
        <f t="shared" si="69"/>
        <v>2015</v>
      </c>
      <c r="AH314" s="210">
        <f t="shared" si="70"/>
        <v>394473000.80000001</v>
      </c>
    </row>
    <row r="315" spans="1:34" s="48" customFormat="1" ht="40.5" hidden="1" customHeight="1" x14ac:dyDescent="0.2">
      <c r="A315" s="296"/>
      <c r="B315" s="48" t="s">
        <v>4334</v>
      </c>
      <c r="C315" s="772"/>
      <c r="D315" s="73"/>
      <c r="E315" s="65" t="s">
        <v>2815</v>
      </c>
      <c r="F315" s="67" t="s">
        <v>1752</v>
      </c>
      <c r="G315" s="67"/>
      <c r="H315" s="33"/>
      <c r="I315" s="40"/>
      <c r="J315" s="40"/>
      <c r="K315" s="40"/>
      <c r="L315" s="72" t="s">
        <v>2238</v>
      </c>
      <c r="M315" s="40">
        <v>2015</v>
      </c>
      <c r="N315" s="40"/>
      <c r="O315" s="32"/>
      <c r="P315" s="33"/>
      <c r="Q315" s="40"/>
      <c r="R315" s="32"/>
      <c r="S315" s="252">
        <v>423709000</v>
      </c>
      <c r="T315" s="105"/>
      <c r="U315" s="206" t="str">
        <f t="shared" si="57"/>
        <v>03.11.01</v>
      </c>
      <c r="V315" s="207" t="str">
        <f t="shared" si="58"/>
        <v>Bangunan Gedung Tempat Kerja</v>
      </c>
      <c r="W315" s="207">
        <f t="shared" si="59"/>
        <v>50</v>
      </c>
      <c r="X315" s="233">
        <f t="shared" si="60"/>
        <v>8474179.8000000007</v>
      </c>
      <c r="Y315" s="714">
        <f t="shared" si="61"/>
        <v>0</v>
      </c>
      <c r="Z315" s="233">
        <f t="shared" si="62"/>
        <v>0</v>
      </c>
      <c r="AA315" s="233"/>
      <c r="AB315" s="233">
        <f t="shared" si="64"/>
        <v>8474179.8000000007</v>
      </c>
      <c r="AC315" s="233">
        <f t="shared" si="65"/>
        <v>8474179.8000000007</v>
      </c>
      <c r="AD315" s="238">
        <f t="shared" si="66"/>
        <v>8474179.8000000007</v>
      </c>
      <c r="AE315" s="238">
        <f t="shared" si="67"/>
        <v>8474179.8000000007</v>
      </c>
      <c r="AF315" s="238">
        <f t="shared" si="68"/>
        <v>33896719.200000003</v>
      </c>
      <c r="AG315" s="206">
        <f t="shared" si="69"/>
        <v>2015</v>
      </c>
      <c r="AH315" s="210">
        <f t="shared" si="70"/>
        <v>389812280.80000001</v>
      </c>
    </row>
    <row r="316" spans="1:34" s="48" customFormat="1" ht="40.5" hidden="1" customHeight="1" x14ac:dyDescent="0.2">
      <c r="A316" s="296"/>
      <c r="B316" s="48" t="s">
        <v>4308</v>
      </c>
      <c r="C316" s="772"/>
      <c r="D316" s="73"/>
      <c r="E316" s="65" t="s">
        <v>2816</v>
      </c>
      <c r="F316" s="67" t="s">
        <v>1752</v>
      </c>
      <c r="G316" s="67"/>
      <c r="H316" s="33"/>
      <c r="I316" s="40"/>
      <c r="J316" s="40"/>
      <c r="K316" s="40"/>
      <c r="L316" s="72" t="s">
        <v>2240</v>
      </c>
      <c r="M316" s="40">
        <v>2015</v>
      </c>
      <c r="N316" s="40"/>
      <c r="O316" s="32"/>
      <c r="P316" s="33"/>
      <c r="Q316" s="40"/>
      <c r="R316" s="32"/>
      <c r="S316" s="252">
        <v>438658000</v>
      </c>
      <c r="T316" s="105"/>
      <c r="U316" s="206" t="str">
        <f t="shared" si="57"/>
        <v>03.11.01</v>
      </c>
      <c r="V316" s="207" t="str">
        <f t="shared" si="58"/>
        <v>Bangunan Gedung Tempat Kerja</v>
      </c>
      <c r="W316" s="207">
        <f t="shared" si="59"/>
        <v>50</v>
      </c>
      <c r="X316" s="233">
        <f t="shared" si="60"/>
        <v>8773159.8000000007</v>
      </c>
      <c r="Y316" s="714">
        <f t="shared" si="61"/>
        <v>0</v>
      </c>
      <c r="Z316" s="233">
        <f t="shared" si="62"/>
        <v>0</v>
      </c>
      <c r="AA316" s="233"/>
      <c r="AB316" s="233">
        <f t="shared" si="64"/>
        <v>8773159.8000000007</v>
      </c>
      <c r="AC316" s="233">
        <f t="shared" si="65"/>
        <v>8773159.8000000007</v>
      </c>
      <c r="AD316" s="238">
        <f t="shared" si="66"/>
        <v>8773159.8000000007</v>
      </c>
      <c r="AE316" s="238">
        <f t="shared" si="67"/>
        <v>8773159.8000000007</v>
      </c>
      <c r="AF316" s="238">
        <f t="shared" si="68"/>
        <v>35092639.200000003</v>
      </c>
      <c r="AG316" s="206">
        <f t="shared" si="69"/>
        <v>2015</v>
      </c>
      <c r="AH316" s="210">
        <f t="shared" si="70"/>
        <v>403565360.80000001</v>
      </c>
    </row>
    <row r="317" spans="1:34" s="48" customFormat="1" ht="40.5" hidden="1" customHeight="1" x14ac:dyDescent="0.2">
      <c r="A317" s="296"/>
      <c r="B317" s="48" t="s">
        <v>4314</v>
      </c>
      <c r="C317" s="772"/>
      <c r="D317" s="73"/>
      <c r="E317" s="65" t="s">
        <v>2817</v>
      </c>
      <c r="F317" s="67" t="s">
        <v>1752</v>
      </c>
      <c r="G317" s="67"/>
      <c r="H317" s="33"/>
      <c r="I317" s="40"/>
      <c r="J317" s="40"/>
      <c r="K317" s="40"/>
      <c r="L317" s="72" t="s">
        <v>2242</v>
      </c>
      <c r="M317" s="40">
        <v>2015</v>
      </c>
      <c r="N317" s="40"/>
      <c r="O317" s="32"/>
      <c r="P317" s="33"/>
      <c r="Q317" s="40"/>
      <c r="R317" s="32"/>
      <c r="S317" s="252">
        <v>447244000</v>
      </c>
      <c r="T317" s="105"/>
      <c r="U317" s="206" t="str">
        <f t="shared" si="57"/>
        <v>03.11.01</v>
      </c>
      <c r="V317" s="207" t="str">
        <f t="shared" si="58"/>
        <v>Bangunan Gedung Tempat Kerja</v>
      </c>
      <c r="W317" s="207">
        <f t="shared" si="59"/>
        <v>50</v>
      </c>
      <c r="X317" s="233">
        <f t="shared" si="60"/>
        <v>8944879.8000000007</v>
      </c>
      <c r="Y317" s="714">
        <f t="shared" si="61"/>
        <v>0</v>
      </c>
      <c r="Z317" s="233">
        <f t="shared" si="62"/>
        <v>0</v>
      </c>
      <c r="AA317" s="233"/>
      <c r="AB317" s="233">
        <f t="shared" si="64"/>
        <v>8944879.8000000007</v>
      </c>
      <c r="AC317" s="233">
        <f t="shared" si="65"/>
        <v>8944879.8000000007</v>
      </c>
      <c r="AD317" s="238">
        <f t="shared" si="66"/>
        <v>8944879.8000000007</v>
      </c>
      <c r="AE317" s="238">
        <f t="shared" si="67"/>
        <v>8944879.8000000007</v>
      </c>
      <c r="AF317" s="238">
        <f t="shared" si="68"/>
        <v>35779519.200000003</v>
      </c>
      <c r="AG317" s="206">
        <f t="shared" si="69"/>
        <v>2015</v>
      </c>
      <c r="AH317" s="210">
        <f t="shared" si="70"/>
        <v>411464480.80000001</v>
      </c>
    </row>
    <row r="318" spans="1:34" s="48" customFormat="1" ht="40.5" hidden="1" customHeight="1" x14ac:dyDescent="0.2">
      <c r="A318" s="296"/>
      <c r="B318" s="48" t="s">
        <v>4746</v>
      </c>
      <c r="C318" s="772"/>
      <c r="D318" s="73"/>
      <c r="E318" s="65" t="s">
        <v>2818</v>
      </c>
      <c r="F318" s="67" t="s">
        <v>1752</v>
      </c>
      <c r="G318" s="67"/>
      <c r="H318" s="33"/>
      <c r="I318" s="40"/>
      <c r="J318" s="40"/>
      <c r="K318" s="40"/>
      <c r="L318" s="72" t="s">
        <v>1997</v>
      </c>
      <c r="M318" s="40">
        <v>2015</v>
      </c>
      <c r="N318" s="40"/>
      <c r="O318" s="32"/>
      <c r="P318" s="33"/>
      <c r="Q318" s="40"/>
      <c r="R318" s="32"/>
      <c r="S318" s="252">
        <v>427675000</v>
      </c>
      <c r="T318" s="105"/>
      <c r="U318" s="206" t="str">
        <f t="shared" si="57"/>
        <v>03.11.01</v>
      </c>
      <c r="V318" s="207" t="str">
        <f t="shared" si="58"/>
        <v>Bangunan Gedung Tempat Kerja</v>
      </c>
      <c r="W318" s="207">
        <f t="shared" si="59"/>
        <v>50</v>
      </c>
      <c r="X318" s="233">
        <f t="shared" si="60"/>
        <v>8553499.8000000007</v>
      </c>
      <c r="Y318" s="714">
        <f t="shared" si="61"/>
        <v>0</v>
      </c>
      <c r="Z318" s="233">
        <f t="shared" si="62"/>
        <v>0</v>
      </c>
      <c r="AA318" s="233"/>
      <c r="AB318" s="233">
        <f t="shared" si="64"/>
        <v>8553499.8000000007</v>
      </c>
      <c r="AC318" s="233">
        <f t="shared" si="65"/>
        <v>8553499.8000000007</v>
      </c>
      <c r="AD318" s="238">
        <f t="shared" si="66"/>
        <v>8553499.8000000007</v>
      </c>
      <c r="AE318" s="238">
        <f t="shared" si="67"/>
        <v>8553499.8000000007</v>
      </c>
      <c r="AF318" s="238">
        <f t="shared" si="68"/>
        <v>34213999.200000003</v>
      </c>
      <c r="AG318" s="206">
        <f t="shared" si="69"/>
        <v>2015</v>
      </c>
      <c r="AH318" s="210">
        <f t="shared" si="70"/>
        <v>393461000.80000001</v>
      </c>
    </row>
    <row r="319" spans="1:34" s="48" customFormat="1" ht="40.5" hidden="1" customHeight="1" x14ac:dyDescent="0.2">
      <c r="A319" s="296">
        <v>48</v>
      </c>
      <c r="B319" s="48" t="s">
        <v>2999</v>
      </c>
      <c r="C319" s="772" t="s">
        <v>4776</v>
      </c>
      <c r="D319" s="73"/>
      <c r="E319" s="65" t="s">
        <v>2819</v>
      </c>
      <c r="F319" s="67" t="s">
        <v>2485</v>
      </c>
      <c r="G319" s="404"/>
      <c r="H319" s="405"/>
      <c r="I319" s="408"/>
      <c r="J319" s="408"/>
      <c r="K319" s="408"/>
      <c r="L319" s="72" t="s">
        <v>1094</v>
      </c>
      <c r="M319" s="40">
        <v>2015</v>
      </c>
      <c r="N319" s="40"/>
      <c r="O319" s="32"/>
      <c r="P319" s="33"/>
      <c r="Q319" s="40"/>
      <c r="R319" s="32"/>
      <c r="S319" s="252">
        <v>838730000</v>
      </c>
      <c r="T319" s="105"/>
      <c r="U319" s="206" t="str">
        <f t="shared" si="57"/>
        <v>03.11.02</v>
      </c>
      <c r="V319" s="207" t="str">
        <f t="shared" si="58"/>
        <v>Bangunan Gedung Tempat Tinggal</v>
      </c>
      <c r="W319" s="207">
        <f t="shared" si="59"/>
        <v>50</v>
      </c>
      <c r="X319" s="233">
        <f t="shared" si="60"/>
        <v>16774599.800000001</v>
      </c>
      <c r="Y319" s="714">
        <f t="shared" si="61"/>
        <v>0</v>
      </c>
      <c r="Z319" s="233">
        <f t="shared" si="62"/>
        <v>0</v>
      </c>
      <c r="AA319" s="233"/>
      <c r="AB319" s="233">
        <f t="shared" si="64"/>
        <v>16774599.800000001</v>
      </c>
      <c r="AC319" s="233">
        <f t="shared" si="65"/>
        <v>16774599.800000001</v>
      </c>
      <c r="AD319" s="238">
        <f t="shared" si="66"/>
        <v>16774599.800000001</v>
      </c>
      <c r="AE319" s="238">
        <f t="shared" si="67"/>
        <v>16774599.800000001</v>
      </c>
      <c r="AF319" s="238">
        <f t="shared" si="68"/>
        <v>67098399.200000003</v>
      </c>
      <c r="AG319" s="206">
        <f t="shared" si="69"/>
        <v>2015</v>
      </c>
      <c r="AH319" s="210">
        <f t="shared" si="70"/>
        <v>771631600.79999995</v>
      </c>
    </row>
    <row r="320" spans="1:34" s="48" customFormat="1" ht="40.5" hidden="1" customHeight="1" x14ac:dyDescent="0.2">
      <c r="A320" s="296">
        <v>48</v>
      </c>
      <c r="B320" s="48" t="s">
        <v>2999</v>
      </c>
      <c r="C320" s="772" t="s">
        <v>4776</v>
      </c>
      <c r="D320" s="73"/>
      <c r="E320" s="65" t="s">
        <v>2819</v>
      </c>
      <c r="F320" s="67" t="s">
        <v>2485</v>
      </c>
      <c r="G320" s="404"/>
      <c r="H320" s="405"/>
      <c r="I320" s="408"/>
      <c r="J320" s="408"/>
      <c r="K320" s="408"/>
      <c r="L320" s="72" t="s">
        <v>1094</v>
      </c>
      <c r="M320" s="40">
        <v>2015</v>
      </c>
      <c r="N320" s="40"/>
      <c r="O320" s="32"/>
      <c r="P320" s="33"/>
      <c r="Q320" s="40"/>
      <c r="R320" s="32"/>
      <c r="S320" s="252">
        <v>840750500</v>
      </c>
      <c r="T320" s="105"/>
      <c r="U320" s="206" t="str">
        <f t="shared" si="57"/>
        <v>03.11.02</v>
      </c>
      <c r="V320" s="207" t="str">
        <f t="shared" si="58"/>
        <v>Bangunan Gedung Tempat Tinggal</v>
      </c>
      <c r="W320" s="207">
        <f t="shared" si="59"/>
        <v>50</v>
      </c>
      <c r="X320" s="233">
        <f t="shared" si="60"/>
        <v>16815009.800000001</v>
      </c>
      <c r="Y320" s="714">
        <f t="shared" si="61"/>
        <v>0</v>
      </c>
      <c r="Z320" s="233">
        <f t="shared" si="62"/>
        <v>0</v>
      </c>
      <c r="AA320" s="233"/>
      <c r="AB320" s="233">
        <f t="shared" si="64"/>
        <v>16815009.800000001</v>
      </c>
      <c r="AC320" s="233">
        <f t="shared" si="65"/>
        <v>16815009.800000001</v>
      </c>
      <c r="AD320" s="238">
        <f t="shared" si="66"/>
        <v>16815009.800000001</v>
      </c>
      <c r="AE320" s="238">
        <f t="shared" si="67"/>
        <v>16815009.800000001</v>
      </c>
      <c r="AF320" s="238">
        <f t="shared" si="68"/>
        <v>67260039.200000003</v>
      </c>
      <c r="AG320" s="206">
        <f t="shared" si="69"/>
        <v>2015</v>
      </c>
      <c r="AH320" s="210">
        <f t="shared" si="70"/>
        <v>773490460.79999995</v>
      </c>
    </row>
    <row r="321" spans="1:34" s="48" customFormat="1" ht="40.5" hidden="1" customHeight="1" x14ac:dyDescent="0.2">
      <c r="A321" s="296"/>
      <c r="B321" s="48" t="s">
        <v>4335</v>
      </c>
      <c r="C321" s="772"/>
      <c r="D321" s="73"/>
      <c r="E321" s="65" t="s">
        <v>2820</v>
      </c>
      <c r="F321" s="67" t="s">
        <v>1752</v>
      </c>
      <c r="G321" s="67"/>
      <c r="H321" s="33"/>
      <c r="I321" s="40"/>
      <c r="J321" s="40"/>
      <c r="K321" s="40"/>
      <c r="L321" s="72" t="s">
        <v>2246</v>
      </c>
      <c r="M321" s="40">
        <v>2015</v>
      </c>
      <c r="N321" s="40"/>
      <c r="O321" s="32"/>
      <c r="P321" s="33"/>
      <c r="Q321" s="40"/>
      <c r="R321" s="32"/>
      <c r="S321" s="252">
        <v>424801000</v>
      </c>
      <c r="T321" s="105"/>
      <c r="U321" s="206" t="str">
        <f t="shared" si="57"/>
        <v>03.11.01</v>
      </c>
      <c r="V321" s="207" t="str">
        <f t="shared" si="58"/>
        <v>Bangunan Gedung Tempat Kerja</v>
      </c>
      <c r="W321" s="207">
        <f t="shared" si="59"/>
        <v>50</v>
      </c>
      <c r="X321" s="233">
        <f t="shared" si="60"/>
        <v>8496019.8000000007</v>
      </c>
      <c r="Y321" s="714">
        <f t="shared" si="61"/>
        <v>0</v>
      </c>
      <c r="Z321" s="233">
        <f t="shared" si="62"/>
        <v>0</v>
      </c>
      <c r="AA321" s="233"/>
      <c r="AB321" s="233">
        <f t="shared" si="64"/>
        <v>8496019.8000000007</v>
      </c>
      <c r="AC321" s="233">
        <f t="shared" si="65"/>
        <v>8496019.8000000007</v>
      </c>
      <c r="AD321" s="238">
        <f t="shared" si="66"/>
        <v>8496019.8000000007</v>
      </c>
      <c r="AE321" s="238">
        <f t="shared" si="67"/>
        <v>8496019.8000000007</v>
      </c>
      <c r="AF321" s="238">
        <f t="shared" si="68"/>
        <v>33984079.200000003</v>
      </c>
      <c r="AG321" s="206">
        <f t="shared" si="69"/>
        <v>2015</v>
      </c>
      <c r="AH321" s="210">
        <f t="shared" si="70"/>
        <v>390816920.80000001</v>
      </c>
    </row>
    <row r="322" spans="1:34" s="48" customFormat="1" ht="40.5" hidden="1" customHeight="1" x14ac:dyDescent="0.2">
      <c r="A322" s="296"/>
      <c r="B322" s="48" t="s">
        <v>4315</v>
      </c>
      <c r="C322" s="772"/>
      <c r="D322" s="73"/>
      <c r="E322" s="65" t="s">
        <v>2821</v>
      </c>
      <c r="F322" s="67" t="s">
        <v>1752</v>
      </c>
      <c r="G322" s="67"/>
      <c r="H322" s="33"/>
      <c r="I322" s="40"/>
      <c r="J322" s="40"/>
      <c r="K322" s="40"/>
      <c r="L322" s="72" t="s">
        <v>2248</v>
      </c>
      <c r="M322" s="40">
        <v>2015</v>
      </c>
      <c r="N322" s="40"/>
      <c r="O322" s="32"/>
      <c r="P322" s="33"/>
      <c r="Q322" s="40"/>
      <c r="R322" s="32"/>
      <c r="S322" s="252">
        <v>434794000</v>
      </c>
      <c r="T322" s="105"/>
      <c r="U322" s="206" t="str">
        <f t="shared" si="57"/>
        <v>03.11.01</v>
      </c>
      <c r="V322" s="207" t="str">
        <f t="shared" si="58"/>
        <v>Bangunan Gedung Tempat Kerja</v>
      </c>
      <c r="W322" s="207">
        <f t="shared" si="59"/>
        <v>50</v>
      </c>
      <c r="X322" s="233">
        <f t="shared" si="60"/>
        <v>8695879.8000000007</v>
      </c>
      <c r="Y322" s="714">
        <f t="shared" si="61"/>
        <v>0</v>
      </c>
      <c r="Z322" s="233">
        <f t="shared" si="62"/>
        <v>0</v>
      </c>
      <c r="AA322" s="233"/>
      <c r="AB322" s="233">
        <f t="shared" si="64"/>
        <v>8695879.8000000007</v>
      </c>
      <c r="AC322" s="233">
        <f t="shared" si="65"/>
        <v>8695879.8000000007</v>
      </c>
      <c r="AD322" s="238">
        <f t="shared" si="66"/>
        <v>8695879.8000000007</v>
      </c>
      <c r="AE322" s="238">
        <f t="shared" si="67"/>
        <v>8695879.8000000007</v>
      </c>
      <c r="AF322" s="238">
        <f t="shared" si="68"/>
        <v>34783519.200000003</v>
      </c>
      <c r="AG322" s="206">
        <f t="shared" si="69"/>
        <v>2015</v>
      </c>
      <c r="AH322" s="210">
        <f t="shared" si="70"/>
        <v>400010480.80000001</v>
      </c>
    </row>
    <row r="323" spans="1:34" s="48" customFormat="1" ht="40.5" hidden="1" customHeight="1" x14ac:dyDescent="0.2">
      <c r="A323" s="296"/>
      <c r="B323" s="48" t="s">
        <v>3010</v>
      </c>
      <c r="C323" s="772"/>
      <c r="D323" s="73"/>
      <c r="E323" s="65" t="s">
        <v>2822</v>
      </c>
      <c r="F323" s="67" t="s">
        <v>2848</v>
      </c>
      <c r="G323" s="67"/>
      <c r="H323" s="33"/>
      <c r="I323" s="40"/>
      <c r="J323" s="40"/>
      <c r="K323" s="40"/>
      <c r="L323" s="72" t="s">
        <v>1776</v>
      </c>
      <c r="M323" s="40">
        <v>2014</v>
      </c>
      <c r="N323" s="40" t="s">
        <v>2250</v>
      </c>
      <c r="O323" s="32"/>
      <c r="P323" s="33"/>
      <c r="Q323" s="40"/>
      <c r="R323" s="32" t="s">
        <v>2251</v>
      </c>
      <c r="S323" s="252">
        <v>52985624344.199997</v>
      </c>
      <c r="T323" s="105"/>
      <c r="U323" s="206" t="str">
        <f t="shared" si="57"/>
        <v>03.11.02</v>
      </c>
      <c r="V323" s="207" t="str">
        <f t="shared" si="58"/>
        <v>Bangunan Gedung Tempat Tinggal</v>
      </c>
      <c r="W323" s="207">
        <f t="shared" si="59"/>
        <v>50</v>
      </c>
      <c r="X323" s="233">
        <f t="shared" si="60"/>
        <v>1059712486.6839999</v>
      </c>
      <c r="Y323" s="714">
        <f t="shared" si="61"/>
        <v>0</v>
      </c>
      <c r="Z323" s="233">
        <f t="shared" si="62"/>
        <v>0</v>
      </c>
      <c r="AA323" s="233">
        <f t="shared" si="63"/>
        <v>1059712486.6839999</v>
      </c>
      <c r="AB323" s="233">
        <f t="shared" si="64"/>
        <v>1059712486.6839999</v>
      </c>
      <c r="AC323" s="233">
        <f t="shared" si="65"/>
        <v>1059712486.6839999</v>
      </c>
      <c r="AD323" s="238">
        <f t="shared" si="66"/>
        <v>1059712486.6839999</v>
      </c>
      <c r="AE323" s="238">
        <f t="shared" si="67"/>
        <v>1059712486.6839999</v>
      </c>
      <c r="AF323" s="238">
        <f t="shared" si="68"/>
        <v>5298562433.4199991</v>
      </c>
      <c r="AG323" s="206">
        <f t="shared" si="69"/>
        <v>2014</v>
      </c>
      <c r="AH323" s="210">
        <f t="shared" si="70"/>
        <v>47687061910.779999</v>
      </c>
    </row>
    <row r="324" spans="1:34" s="48" customFormat="1" ht="40.5" hidden="1" customHeight="1" x14ac:dyDescent="0.2">
      <c r="A324" s="296">
        <v>43</v>
      </c>
      <c r="B324" s="48" t="s">
        <v>4233</v>
      </c>
      <c r="C324" s="772" t="s">
        <v>4247</v>
      </c>
      <c r="D324" s="73"/>
      <c r="E324" s="65" t="s">
        <v>2612</v>
      </c>
      <c r="F324" s="67" t="s">
        <v>2613</v>
      </c>
      <c r="G324" s="67"/>
      <c r="H324" s="33"/>
      <c r="I324" s="40"/>
      <c r="J324" s="40"/>
      <c r="K324" s="40"/>
      <c r="L324" s="72" t="s">
        <v>2614</v>
      </c>
      <c r="M324" s="40">
        <v>2014</v>
      </c>
      <c r="N324" s="40" t="s">
        <v>2255</v>
      </c>
      <c r="O324" s="32"/>
      <c r="P324" s="33"/>
      <c r="Q324" s="40"/>
      <c r="R324" s="32" t="s">
        <v>2251</v>
      </c>
      <c r="S324" s="252">
        <v>3023660100</v>
      </c>
      <c r="T324" s="105"/>
      <c r="U324" s="206" t="str">
        <f t="shared" si="57"/>
        <v>03.11.01</v>
      </c>
      <c r="V324" s="207" t="str">
        <f t="shared" si="58"/>
        <v>Bangunan Gedung Tempat Kerja</v>
      </c>
      <c r="W324" s="207">
        <f t="shared" si="59"/>
        <v>50</v>
      </c>
      <c r="X324" s="233">
        <f t="shared" si="60"/>
        <v>60473201.799999997</v>
      </c>
      <c r="Y324" s="714">
        <f t="shared" si="61"/>
        <v>0</v>
      </c>
      <c r="Z324" s="233">
        <f t="shared" si="62"/>
        <v>0</v>
      </c>
      <c r="AA324" s="233">
        <f t="shared" si="63"/>
        <v>60473201.799999997</v>
      </c>
      <c r="AB324" s="233">
        <f t="shared" si="64"/>
        <v>60473201.799999997</v>
      </c>
      <c r="AC324" s="233">
        <f t="shared" si="65"/>
        <v>60473201.799999997</v>
      </c>
      <c r="AD324" s="238">
        <f t="shared" si="66"/>
        <v>60473201.799999997</v>
      </c>
      <c r="AE324" s="238">
        <f t="shared" si="67"/>
        <v>60473201.799999997</v>
      </c>
      <c r="AF324" s="238">
        <f t="shared" si="68"/>
        <v>302366009</v>
      </c>
      <c r="AG324" s="206">
        <f t="shared" si="69"/>
        <v>2014</v>
      </c>
      <c r="AH324" s="210">
        <f t="shared" si="70"/>
        <v>2721294091</v>
      </c>
    </row>
    <row r="325" spans="1:34" s="48" customFormat="1" ht="40.5" hidden="1" customHeight="1" x14ac:dyDescent="0.2">
      <c r="A325" s="296"/>
      <c r="B325" s="48" t="s">
        <v>4358</v>
      </c>
      <c r="C325" s="772" t="s">
        <v>4266</v>
      </c>
      <c r="D325" s="73"/>
      <c r="E325" s="65" t="s">
        <v>2823</v>
      </c>
      <c r="F325" s="67" t="s">
        <v>2844</v>
      </c>
      <c r="G325" s="67"/>
      <c r="H325" s="33"/>
      <c r="I325" s="40"/>
      <c r="J325" s="40"/>
      <c r="K325" s="40"/>
      <c r="L325" s="72" t="s">
        <v>2231</v>
      </c>
      <c r="M325" s="40">
        <v>2016</v>
      </c>
      <c r="N325" s="40"/>
      <c r="O325" s="32"/>
      <c r="P325" s="33"/>
      <c r="Q325" s="40"/>
      <c r="R325" s="32" t="s">
        <v>2251</v>
      </c>
      <c r="S325" s="252">
        <v>555684800</v>
      </c>
      <c r="T325" s="105" t="s">
        <v>2823</v>
      </c>
      <c r="U325" s="206" t="str">
        <f t="shared" si="57"/>
        <v>03.11.01</v>
      </c>
      <c r="V325" s="207" t="str">
        <f t="shared" si="58"/>
        <v>Bangunan Gedung Tempat Kerja</v>
      </c>
      <c r="W325" s="207">
        <f t="shared" si="59"/>
        <v>50</v>
      </c>
      <c r="X325" s="233">
        <f t="shared" si="60"/>
        <v>11113695.800000001</v>
      </c>
      <c r="Y325" s="714">
        <f t="shared" si="61"/>
        <v>0</v>
      </c>
      <c r="Z325" s="233">
        <f t="shared" si="62"/>
        <v>0</v>
      </c>
      <c r="AA325" s="233"/>
      <c r="AB325" s="233"/>
      <c r="AC325" s="233">
        <f t="shared" si="65"/>
        <v>11113695.800000001</v>
      </c>
      <c r="AD325" s="238">
        <f t="shared" si="66"/>
        <v>11113695.800000001</v>
      </c>
      <c r="AE325" s="238">
        <f t="shared" si="67"/>
        <v>11113695.800000001</v>
      </c>
      <c r="AF325" s="238">
        <f t="shared" si="68"/>
        <v>33341087.400000002</v>
      </c>
      <c r="AG325" s="206">
        <f t="shared" si="69"/>
        <v>2016</v>
      </c>
      <c r="AH325" s="210">
        <f t="shared" si="70"/>
        <v>522343712.60000002</v>
      </c>
    </row>
    <row r="326" spans="1:34" s="48" customFormat="1" ht="40.5" hidden="1" customHeight="1" x14ac:dyDescent="0.2">
      <c r="A326" s="296"/>
      <c r="B326" s="48" t="s">
        <v>4280</v>
      </c>
      <c r="C326" s="772"/>
      <c r="D326" s="73"/>
      <c r="E326" s="65" t="s">
        <v>2824</v>
      </c>
      <c r="F326" s="67" t="s">
        <v>1752</v>
      </c>
      <c r="G326" s="67"/>
      <c r="H326" s="33"/>
      <c r="I326" s="40"/>
      <c r="J326" s="40"/>
      <c r="K326" s="40"/>
      <c r="L326" s="102" t="s">
        <v>427</v>
      </c>
      <c r="M326" s="40">
        <v>2016</v>
      </c>
      <c r="N326" s="40" t="s">
        <v>2259</v>
      </c>
      <c r="O326" s="32"/>
      <c r="P326" s="33" t="s">
        <v>2260</v>
      </c>
      <c r="Q326" s="40"/>
      <c r="R326" s="32" t="s">
        <v>2251</v>
      </c>
      <c r="S326" s="252">
        <v>596755000</v>
      </c>
      <c r="T326" s="105"/>
      <c r="U326" s="206" t="str">
        <f t="shared" si="57"/>
        <v>03.11.01</v>
      </c>
      <c r="V326" s="207" t="str">
        <f t="shared" si="58"/>
        <v>Bangunan Gedung Tempat Kerja</v>
      </c>
      <c r="W326" s="207">
        <f t="shared" si="59"/>
        <v>50</v>
      </c>
      <c r="X326" s="233">
        <f t="shared" si="60"/>
        <v>11935099.800000001</v>
      </c>
      <c r="Y326" s="714">
        <f t="shared" si="61"/>
        <v>0</v>
      </c>
      <c r="Z326" s="233">
        <f t="shared" si="62"/>
        <v>0</v>
      </c>
      <c r="AA326" s="233"/>
      <c r="AB326" s="233"/>
      <c r="AC326" s="233">
        <f t="shared" si="65"/>
        <v>11935099.800000001</v>
      </c>
      <c r="AD326" s="238">
        <f t="shared" si="66"/>
        <v>11935099.800000001</v>
      </c>
      <c r="AE326" s="238">
        <f t="shared" si="67"/>
        <v>11935099.800000001</v>
      </c>
      <c r="AF326" s="238">
        <f t="shared" si="68"/>
        <v>35805299.400000006</v>
      </c>
      <c r="AG326" s="206">
        <f t="shared" si="69"/>
        <v>2016</v>
      </c>
      <c r="AH326" s="210">
        <f t="shared" si="70"/>
        <v>560949700.60000002</v>
      </c>
    </row>
    <row r="327" spans="1:34" s="48" customFormat="1" ht="40.5" hidden="1" customHeight="1" x14ac:dyDescent="0.2">
      <c r="A327" s="296"/>
      <c r="B327" s="48" t="s">
        <v>4279</v>
      </c>
      <c r="C327" s="772"/>
      <c r="D327" s="73"/>
      <c r="E327" s="65" t="s">
        <v>2825</v>
      </c>
      <c r="F327" s="67" t="s">
        <v>2485</v>
      </c>
      <c r="G327" s="67"/>
      <c r="H327" s="33"/>
      <c r="I327" s="40"/>
      <c r="J327" s="40"/>
      <c r="K327" s="40"/>
      <c r="L327" s="72" t="s">
        <v>2162</v>
      </c>
      <c r="M327" s="40">
        <v>2016</v>
      </c>
      <c r="N327" s="40" t="s">
        <v>2262</v>
      </c>
      <c r="O327" s="32"/>
      <c r="P327" s="33" t="s">
        <v>2260</v>
      </c>
      <c r="Q327" s="40"/>
      <c r="R327" s="32" t="s">
        <v>2251</v>
      </c>
      <c r="S327" s="252">
        <v>343212000</v>
      </c>
      <c r="T327" s="105"/>
      <c r="U327" s="206" t="str">
        <f t="shared" si="57"/>
        <v>03.11.02</v>
      </c>
      <c r="V327" s="207" t="str">
        <f t="shared" si="58"/>
        <v>Bangunan Gedung Tempat Tinggal</v>
      </c>
      <c r="W327" s="207">
        <f t="shared" si="59"/>
        <v>50</v>
      </c>
      <c r="X327" s="233">
        <f t="shared" si="60"/>
        <v>6864239.7999999998</v>
      </c>
      <c r="Y327" s="714">
        <f t="shared" si="61"/>
        <v>0</v>
      </c>
      <c r="Z327" s="233">
        <f t="shared" si="62"/>
        <v>0</v>
      </c>
      <c r="AA327" s="233"/>
      <c r="AB327" s="233"/>
      <c r="AC327" s="233">
        <f t="shared" si="65"/>
        <v>6864239.7999999998</v>
      </c>
      <c r="AD327" s="238">
        <f t="shared" si="66"/>
        <v>6864239.7999999998</v>
      </c>
      <c r="AE327" s="238">
        <f t="shared" si="67"/>
        <v>6864239.7999999998</v>
      </c>
      <c r="AF327" s="238">
        <f t="shared" si="68"/>
        <v>20592719.399999999</v>
      </c>
      <c r="AG327" s="206">
        <f t="shared" si="69"/>
        <v>2016</v>
      </c>
      <c r="AH327" s="210">
        <f t="shared" si="70"/>
        <v>322619280.60000002</v>
      </c>
    </row>
    <row r="328" spans="1:34" s="48" customFormat="1" ht="40.5" hidden="1" customHeight="1" x14ac:dyDescent="0.2">
      <c r="A328" s="296"/>
      <c r="B328" s="48" t="s">
        <v>4363</v>
      </c>
      <c r="C328" s="772"/>
      <c r="D328" s="73"/>
      <c r="E328" s="65" t="s">
        <v>2826</v>
      </c>
      <c r="F328" s="67" t="s">
        <v>2843</v>
      </c>
      <c r="G328" s="67"/>
      <c r="H328" s="33"/>
      <c r="I328" s="40"/>
      <c r="J328" s="40"/>
      <c r="K328" s="40"/>
      <c r="L328" s="72" t="s">
        <v>838</v>
      </c>
      <c r="M328" s="40">
        <v>2016</v>
      </c>
      <c r="N328" s="40" t="s">
        <v>2264</v>
      </c>
      <c r="O328" s="32"/>
      <c r="P328" s="33" t="s">
        <v>2260</v>
      </c>
      <c r="Q328" s="40"/>
      <c r="R328" s="32" t="s">
        <v>2251</v>
      </c>
      <c r="S328" s="252">
        <v>1385448000</v>
      </c>
      <c r="T328" s="105"/>
      <c r="U328" s="206" t="str">
        <f t="shared" si="57"/>
        <v>03.11.01</v>
      </c>
      <c r="V328" s="207" t="str">
        <f t="shared" si="58"/>
        <v>Bangunan Gedung Tempat Kerja</v>
      </c>
      <c r="W328" s="207">
        <f t="shared" si="59"/>
        <v>50</v>
      </c>
      <c r="X328" s="233">
        <f t="shared" si="60"/>
        <v>27708959.800000001</v>
      </c>
      <c r="Y328" s="714">
        <f t="shared" si="61"/>
        <v>0</v>
      </c>
      <c r="Z328" s="233">
        <f t="shared" si="62"/>
        <v>0</v>
      </c>
      <c r="AA328" s="233"/>
      <c r="AB328" s="233"/>
      <c r="AC328" s="233">
        <f t="shared" si="65"/>
        <v>27708959.800000001</v>
      </c>
      <c r="AD328" s="238">
        <f t="shared" si="66"/>
        <v>27708959.800000001</v>
      </c>
      <c r="AE328" s="238">
        <f t="shared" si="67"/>
        <v>27708959.800000001</v>
      </c>
      <c r="AF328" s="238">
        <f t="shared" si="68"/>
        <v>83126879.400000006</v>
      </c>
      <c r="AG328" s="206">
        <f t="shared" si="69"/>
        <v>2016</v>
      </c>
      <c r="AH328" s="210">
        <f t="shared" si="70"/>
        <v>1302321120.5999999</v>
      </c>
    </row>
    <row r="329" spans="1:34" s="670" customFormat="1" ht="40.5" hidden="1" customHeight="1" x14ac:dyDescent="0.2">
      <c r="A329" s="669">
        <v>44</v>
      </c>
      <c r="B329" s="670" t="s">
        <v>2829</v>
      </c>
      <c r="C329" s="773" t="s">
        <v>4247</v>
      </c>
      <c r="D329" s="652"/>
      <c r="E329" s="711" t="s">
        <v>2829</v>
      </c>
      <c r="F329" s="653" t="s">
        <v>1752</v>
      </c>
      <c r="G329" s="653"/>
      <c r="H329" s="673"/>
      <c r="I329" s="674"/>
      <c r="J329" s="674"/>
      <c r="K329" s="674"/>
      <c r="L329" s="691" t="s">
        <v>2967</v>
      </c>
      <c r="M329" s="674">
        <v>2017</v>
      </c>
      <c r="N329" s="674"/>
      <c r="O329" s="675"/>
      <c r="P329" s="673"/>
      <c r="Q329" s="674"/>
      <c r="R329" s="675"/>
      <c r="S329" s="654">
        <f>2967244000</f>
        <v>2967244000</v>
      </c>
      <c r="T329" s="702"/>
      <c r="U329" s="206" t="str">
        <f t="shared" si="57"/>
        <v>03.11.01</v>
      </c>
      <c r="V329" s="207" t="str">
        <f t="shared" si="58"/>
        <v>Bangunan Gedung Tempat Kerja</v>
      </c>
      <c r="W329" s="207">
        <f t="shared" si="59"/>
        <v>50</v>
      </c>
      <c r="X329" s="233">
        <f t="shared" si="60"/>
        <v>59344879.799999997</v>
      </c>
      <c r="Y329" s="714">
        <f t="shared" si="61"/>
        <v>0</v>
      </c>
      <c r="Z329" s="233">
        <f t="shared" si="62"/>
        <v>0</v>
      </c>
      <c r="AA329" s="233"/>
      <c r="AB329" s="233"/>
      <c r="AC329" s="233"/>
      <c r="AD329" s="238"/>
      <c r="AE329" s="238">
        <f t="shared" si="67"/>
        <v>59344879.799999997</v>
      </c>
      <c r="AF329" s="238">
        <f t="shared" si="68"/>
        <v>59344879.799999997</v>
      </c>
      <c r="AG329" s="206">
        <f t="shared" si="69"/>
        <v>2017</v>
      </c>
      <c r="AH329" s="210">
        <f t="shared" si="70"/>
        <v>2907899120.1999998</v>
      </c>
    </row>
    <row r="330" spans="1:34" s="48" customFormat="1" ht="40.5" hidden="1" customHeight="1" x14ac:dyDescent="0.2">
      <c r="A330" s="296">
        <v>44</v>
      </c>
      <c r="B330" s="48" t="s">
        <v>2829</v>
      </c>
      <c r="C330" s="772" t="s">
        <v>4247</v>
      </c>
      <c r="D330" s="73"/>
      <c r="E330" s="65" t="s">
        <v>2829</v>
      </c>
      <c r="F330" s="67" t="s">
        <v>1752</v>
      </c>
      <c r="G330" s="67"/>
      <c r="H330" s="33"/>
      <c r="I330" s="40"/>
      <c r="J330" s="40"/>
      <c r="K330" s="40"/>
      <c r="L330" s="72" t="s">
        <v>2967</v>
      </c>
      <c r="M330" s="40">
        <v>2018</v>
      </c>
      <c r="N330" s="40"/>
      <c r="O330" s="32"/>
      <c r="P330" s="33"/>
      <c r="Q330" s="40"/>
      <c r="R330" s="32" t="s">
        <v>12</v>
      </c>
      <c r="S330" s="252">
        <v>3255621000</v>
      </c>
      <c r="T330" s="105"/>
      <c r="U330" s="206" t="str">
        <f t="shared" si="57"/>
        <v>03.11.01</v>
      </c>
      <c r="V330" s="207" t="str">
        <f t="shared" si="58"/>
        <v>Bangunan Gedung Tempat Kerja</v>
      </c>
      <c r="W330" s="207">
        <f t="shared" si="59"/>
        <v>50</v>
      </c>
      <c r="X330" s="233">
        <f t="shared" si="60"/>
        <v>65112419.799999997</v>
      </c>
      <c r="Y330" s="714">
        <f t="shared" si="61"/>
        <v>0</v>
      </c>
      <c r="Z330" s="233">
        <f t="shared" si="62"/>
        <v>0</v>
      </c>
      <c r="AA330" s="233"/>
      <c r="AB330" s="233"/>
      <c r="AC330" s="233"/>
      <c r="AD330" s="238"/>
      <c r="AE330" s="238"/>
      <c r="AF330" s="238">
        <f t="shared" si="68"/>
        <v>0</v>
      </c>
      <c r="AG330" s="206">
        <f t="shared" si="69"/>
        <v>2018</v>
      </c>
      <c r="AH330" s="210">
        <f t="shared" si="70"/>
        <v>3255621000</v>
      </c>
    </row>
    <row r="331" spans="1:34" s="48" customFormat="1" ht="40.5" hidden="1" customHeight="1" x14ac:dyDescent="0.2">
      <c r="A331" s="296"/>
      <c r="B331" s="333" t="s">
        <v>3031</v>
      </c>
      <c r="C331" s="772"/>
      <c r="D331" s="73"/>
      <c r="E331" s="333" t="s">
        <v>3031</v>
      </c>
      <c r="F331" s="67" t="s">
        <v>1752</v>
      </c>
      <c r="G331" s="67"/>
      <c r="H331" s="33"/>
      <c r="I331" s="40"/>
      <c r="J331" s="40"/>
      <c r="K331" s="40"/>
      <c r="L331" s="72" t="s">
        <v>2968</v>
      </c>
      <c r="M331" s="40">
        <v>2017</v>
      </c>
      <c r="N331" s="40"/>
      <c r="O331" s="32"/>
      <c r="P331" s="33"/>
      <c r="Q331" s="40"/>
      <c r="R331" s="32"/>
      <c r="S331" s="252">
        <v>495349000</v>
      </c>
      <c r="T331" s="105"/>
      <c r="U331" s="206" t="str">
        <f t="shared" si="57"/>
        <v>03.11.01</v>
      </c>
      <c r="V331" s="207" t="str">
        <f t="shared" si="58"/>
        <v>Bangunan Gedung Tempat Kerja</v>
      </c>
      <c r="W331" s="207">
        <f t="shared" si="59"/>
        <v>50</v>
      </c>
      <c r="X331" s="233">
        <f t="shared" si="60"/>
        <v>9906979.8000000007</v>
      </c>
      <c r="Y331" s="714">
        <f t="shared" si="61"/>
        <v>0</v>
      </c>
      <c r="Z331" s="233">
        <f t="shared" si="62"/>
        <v>0</v>
      </c>
      <c r="AA331" s="233"/>
      <c r="AB331" s="233"/>
      <c r="AC331" s="233"/>
      <c r="AD331" s="238"/>
      <c r="AE331" s="238">
        <f t="shared" si="67"/>
        <v>9906979.8000000007</v>
      </c>
      <c r="AF331" s="238">
        <f t="shared" si="68"/>
        <v>9906979.8000000007</v>
      </c>
      <c r="AG331" s="206">
        <f t="shared" si="69"/>
        <v>2017</v>
      </c>
      <c r="AH331" s="210">
        <f t="shared" si="70"/>
        <v>485442020.19999999</v>
      </c>
    </row>
    <row r="332" spans="1:34" s="48" customFormat="1" ht="40.5" hidden="1" customHeight="1" x14ac:dyDescent="0.2">
      <c r="A332" s="296"/>
      <c r="B332" s="48" t="s">
        <v>4747</v>
      </c>
      <c r="C332" s="772"/>
      <c r="D332" s="73"/>
      <c r="E332" s="333" t="s">
        <v>3029</v>
      </c>
      <c r="F332" s="67" t="s">
        <v>1752</v>
      </c>
      <c r="G332" s="67"/>
      <c r="H332" s="33"/>
      <c r="I332" s="40"/>
      <c r="J332" s="40"/>
      <c r="K332" s="40"/>
      <c r="L332" s="72" t="s">
        <v>456</v>
      </c>
      <c r="M332" s="40">
        <v>2017</v>
      </c>
      <c r="N332" s="40"/>
      <c r="O332" s="32"/>
      <c r="P332" s="33"/>
      <c r="Q332" s="40"/>
      <c r="R332" s="32"/>
      <c r="S332" s="252">
        <v>589475000</v>
      </c>
      <c r="T332" s="105" t="s">
        <v>2849</v>
      </c>
      <c r="U332" s="206" t="str">
        <f t="shared" si="57"/>
        <v>03.11.01</v>
      </c>
      <c r="V332" s="207" t="str">
        <f t="shared" si="58"/>
        <v>Bangunan Gedung Tempat Kerja</v>
      </c>
      <c r="W332" s="207">
        <f t="shared" si="59"/>
        <v>50</v>
      </c>
      <c r="X332" s="233">
        <f t="shared" si="60"/>
        <v>11789499.800000001</v>
      </c>
      <c r="Y332" s="714">
        <f t="shared" si="61"/>
        <v>0</v>
      </c>
      <c r="Z332" s="233">
        <f t="shared" si="62"/>
        <v>0</v>
      </c>
      <c r="AA332" s="233"/>
      <c r="AB332" s="233"/>
      <c r="AC332" s="233"/>
      <c r="AD332" s="238"/>
      <c r="AE332" s="238">
        <f t="shared" si="67"/>
        <v>11789499.800000001</v>
      </c>
      <c r="AF332" s="238">
        <f t="shared" si="68"/>
        <v>11789499.800000001</v>
      </c>
      <c r="AG332" s="206">
        <f t="shared" si="69"/>
        <v>2017</v>
      </c>
      <c r="AH332" s="210">
        <f t="shared" si="70"/>
        <v>577685500.20000005</v>
      </c>
    </row>
    <row r="333" spans="1:34" s="48" customFormat="1" ht="40.5" hidden="1" customHeight="1" x14ac:dyDescent="0.2">
      <c r="A333" s="296">
        <v>19</v>
      </c>
      <c r="B333" s="48" t="s">
        <v>4364</v>
      </c>
      <c r="C333" s="772" t="s">
        <v>4247</v>
      </c>
      <c r="D333" s="73"/>
      <c r="E333" s="333" t="s">
        <v>3030</v>
      </c>
      <c r="F333" s="67" t="s">
        <v>2485</v>
      </c>
      <c r="G333" s="67"/>
      <c r="H333" s="33"/>
      <c r="I333" s="40"/>
      <c r="J333" s="40"/>
      <c r="K333" s="40"/>
      <c r="L333" s="72" t="s">
        <v>2998</v>
      </c>
      <c r="M333" s="40">
        <v>2017</v>
      </c>
      <c r="N333" s="40"/>
      <c r="O333" s="32"/>
      <c r="P333" s="33"/>
      <c r="Q333" s="40"/>
      <c r="R333" s="32"/>
      <c r="S333" s="252">
        <v>203150000</v>
      </c>
      <c r="T333" s="105" t="s">
        <v>2849</v>
      </c>
      <c r="U333" s="206" t="str">
        <f t="shared" si="57"/>
        <v>03.11.02</v>
      </c>
      <c r="V333" s="207" t="str">
        <f t="shared" si="58"/>
        <v>Bangunan Gedung Tempat Tinggal</v>
      </c>
      <c r="W333" s="207">
        <f t="shared" si="59"/>
        <v>50</v>
      </c>
      <c r="X333" s="233">
        <f t="shared" si="60"/>
        <v>4062999.8</v>
      </c>
      <c r="Y333" s="714">
        <f t="shared" si="61"/>
        <v>0</v>
      </c>
      <c r="Z333" s="233">
        <f t="shared" si="62"/>
        <v>0</v>
      </c>
      <c r="AA333" s="233"/>
      <c r="AB333" s="233"/>
      <c r="AC333" s="233"/>
      <c r="AD333" s="238"/>
      <c r="AE333" s="238">
        <f t="shared" si="67"/>
        <v>4062999.8</v>
      </c>
      <c r="AF333" s="238">
        <f t="shared" si="68"/>
        <v>4062999.8</v>
      </c>
      <c r="AG333" s="206">
        <f t="shared" si="69"/>
        <v>2017</v>
      </c>
      <c r="AH333" s="210">
        <f t="shared" si="70"/>
        <v>199087000.19999999</v>
      </c>
    </row>
    <row r="334" spans="1:34" s="48" customFormat="1" ht="40.5" hidden="1" customHeight="1" x14ac:dyDescent="0.2">
      <c r="A334" s="296"/>
      <c r="B334" s="48" t="s">
        <v>4748</v>
      </c>
      <c r="C334" s="772"/>
      <c r="D334" s="73"/>
      <c r="E334" s="333" t="s">
        <v>3032</v>
      </c>
      <c r="F334" s="67" t="s">
        <v>1772</v>
      </c>
      <c r="G334" s="67"/>
      <c r="H334" s="33"/>
      <c r="I334" s="40"/>
      <c r="J334" s="40"/>
      <c r="K334" s="40"/>
      <c r="L334" s="72" t="s">
        <v>417</v>
      </c>
      <c r="M334" s="40">
        <v>2017</v>
      </c>
      <c r="N334" s="40"/>
      <c r="O334" s="32"/>
      <c r="P334" s="33"/>
      <c r="Q334" s="40"/>
      <c r="R334" s="32"/>
      <c r="S334" s="252">
        <v>192434000</v>
      </c>
      <c r="T334" s="105" t="s">
        <v>2849</v>
      </c>
      <c r="U334" s="206" t="str">
        <f t="shared" si="57"/>
        <v>03.11.01</v>
      </c>
      <c r="V334" s="207" t="str">
        <f t="shared" si="58"/>
        <v>Bangunan Gedung Tempat Kerja</v>
      </c>
      <c r="W334" s="207">
        <f t="shared" si="59"/>
        <v>50</v>
      </c>
      <c r="X334" s="233">
        <f t="shared" si="60"/>
        <v>3848679.8</v>
      </c>
      <c r="Y334" s="714">
        <f t="shared" si="61"/>
        <v>0</v>
      </c>
      <c r="Z334" s="233">
        <f t="shared" si="62"/>
        <v>0</v>
      </c>
      <c r="AA334" s="233"/>
      <c r="AB334" s="233"/>
      <c r="AC334" s="233"/>
      <c r="AD334" s="238"/>
      <c r="AE334" s="238">
        <f t="shared" si="67"/>
        <v>3848679.8</v>
      </c>
      <c r="AF334" s="238">
        <f t="shared" si="68"/>
        <v>3848679.8</v>
      </c>
      <c r="AG334" s="206">
        <f t="shared" si="69"/>
        <v>2017</v>
      </c>
      <c r="AH334" s="210">
        <f t="shared" si="70"/>
        <v>188585320.19999999</v>
      </c>
    </row>
    <row r="335" spans="1:34" s="48" customFormat="1" ht="40.5" hidden="1" customHeight="1" x14ac:dyDescent="0.2">
      <c r="A335" s="296"/>
      <c r="B335" s="48" t="s">
        <v>4749</v>
      </c>
      <c r="C335" s="772"/>
      <c r="D335" s="73"/>
      <c r="E335" s="333" t="s">
        <v>3033</v>
      </c>
      <c r="F335" s="67" t="s">
        <v>2486</v>
      </c>
      <c r="G335" s="67"/>
      <c r="H335" s="33"/>
      <c r="I335" s="40"/>
      <c r="J335" s="40"/>
      <c r="K335" s="40"/>
      <c r="L335" s="72" t="s">
        <v>417</v>
      </c>
      <c r="M335" s="40">
        <v>2017</v>
      </c>
      <c r="N335" s="40"/>
      <c r="O335" s="32"/>
      <c r="P335" s="33"/>
      <c r="Q335" s="40"/>
      <c r="R335" s="32"/>
      <c r="S335" s="252">
        <v>202381000</v>
      </c>
      <c r="T335" s="105" t="s">
        <v>2849</v>
      </c>
      <c r="U335" s="206" t="str">
        <f>LEFT(F335,8)</f>
        <v>03.11.01</v>
      </c>
      <c r="V335" s="207" t="str">
        <f>VLOOKUP(U335,UE,3)</f>
        <v>Bangunan Gedung Tempat Kerja</v>
      </c>
      <c r="W335" s="207">
        <f>VLOOKUP(U335,UE,4)</f>
        <v>50</v>
      </c>
      <c r="X335" s="233">
        <f>(S335-10)/W335</f>
        <v>4047619.8</v>
      </c>
      <c r="Y335" s="714">
        <f>IF(2013-M335&gt;W335,W335,IF(2013-M335&lt;0,0,2013-M335))</f>
        <v>0</v>
      </c>
      <c r="Z335" s="233">
        <f>IF(Y335&gt;W335,S335-10,X335*Y335)</f>
        <v>0</v>
      </c>
      <c r="AA335" s="233"/>
      <c r="AB335" s="233"/>
      <c r="AC335" s="233"/>
      <c r="AD335" s="238"/>
      <c r="AE335" s="238">
        <f>IF(S335-10=Z335+AA335+AB335+AC335+AD335,0,X335)</f>
        <v>4047619.8</v>
      </c>
      <c r="AF335" s="238">
        <f>SUM(Z335:AE335)</f>
        <v>4047619.8</v>
      </c>
      <c r="AG335" s="206">
        <f>M335</f>
        <v>2017</v>
      </c>
      <c r="AH335" s="210">
        <f>S335-AF335</f>
        <v>198333380.19999999</v>
      </c>
    </row>
    <row r="336" spans="1:34" s="48" customFormat="1" ht="40.5" hidden="1" customHeight="1" x14ac:dyDescent="0.2">
      <c r="A336" s="296"/>
      <c r="B336" s="65" t="s">
        <v>2830</v>
      </c>
      <c r="C336" s="772"/>
      <c r="D336" s="73"/>
      <c r="E336" s="65" t="s">
        <v>2830</v>
      </c>
      <c r="F336" s="67" t="s">
        <v>1752</v>
      </c>
      <c r="G336" s="67"/>
      <c r="H336" s="33"/>
      <c r="I336" s="40"/>
      <c r="J336" s="40"/>
      <c r="K336" s="40"/>
      <c r="L336" s="72" t="s">
        <v>2969</v>
      </c>
      <c r="M336" s="40">
        <v>2018</v>
      </c>
      <c r="N336" s="40"/>
      <c r="O336" s="32"/>
      <c r="P336" s="33"/>
      <c r="Q336" s="40"/>
      <c r="R336" s="32" t="s">
        <v>12</v>
      </c>
      <c r="S336" s="252">
        <v>558819000</v>
      </c>
      <c r="T336" s="105"/>
      <c r="U336" s="206" t="str">
        <f>LEFT(F336,8)</f>
        <v>03.11.01</v>
      </c>
      <c r="V336" s="207" t="str">
        <f>VLOOKUP(U336,UE,3)</f>
        <v>Bangunan Gedung Tempat Kerja</v>
      </c>
      <c r="W336" s="207">
        <f>VLOOKUP(U336,UE,4)</f>
        <v>50</v>
      </c>
      <c r="X336" s="233">
        <f>(S336-10)/W336</f>
        <v>11176379.800000001</v>
      </c>
      <c r="Y336" s="714">
        <f>IF(2013-M336&gt;W336,W336,IF(2013-M336&lt;0,0,2013-M336))</f>
        <v>0</v>
      </c>
      <c r="Z336" s="233">
        <f>IF(Y336&gt;W336,S336-10,X336*Y336)</f>
        <v>0</v>
      </c>
      <c r="AA336" s="233"/>
      <c r="AB336" s="233"/>
      <c r="AC336" s="233"/>
      <c r="AD336" s="238"/>
      <c r="AE336" s="238"/>
      <c r="AF336" s="238">
        <f>SUM(Z336:AE336)</f>
        <v>0</v>
      </c>
      <c r="AG336" s="206">
        <f>M336</f>
        <v>2018</v>
      </c>
      <c r="AH336" s="210">
        <f>S336-AF336</f>
        <v>558819000</v>
      </c>
    </row>
    <row r="337" spans="1:34" s="48" customFormat="1" ht="40.5" hidden="1" customHeight="1" x14ac:dyDescent="0.2">
      <c r="A337" s="296">
        <v>43</v>
      </c>
      <c r="B337" s="48" t="s">
        <v>4233</v>
      </c>
      <c r="C337" s="772" t="s">
        <v>4247</v>
      </c>
      <c r="D337" s="73"/>
      <c r="E337" s="65" t="s">
        <v>2612</v>
      </c>
      <c r="F337" s="67" t="s">
        <v>2613</v>
      </c>
      <c r="G337" s="67"/>
      <c r="H337" s="33"/>
      <c r="I337" s="40"/>
      <c r="J337" s="40"/>
      <c r="K337" s="40"/>
      <c r="L337" s="72" t="s">
        <v>2614</v>
      </c>
      <c r="M337" s="40">
        <v>2018</v>
      </c>
      <c r="N337" s="40" t="s">
        <v>2255</v>
      </c>
      <c r="O337" s="32"/>
      <c r="P337" s="33" t="s">
        <v>52</v>
      </c>
      <c r="Q337" s="40"/>
      <c r="R337" s="32" t="s">
        <v>2251</v>
      </c>
      <c r="S337" s="252">
        <v>3755618400</v>
      </c>
      <c r="T337" s="243" t="s">
        <v>2493</v>
      </c>
      <c r="U337" s="206" t="str">
        <f>LEFT(F337,8)</f>
        <v>03.11.01</v>
      </c>
      <c r="V337" s="207" t="str">
        <f>VLOOKUP(U337,UE,3)</f>
        <v>Bangunan Gedung Tempat Kerja</v>
      </c>
      <c r="W337" s="207">
        <f>VLOOKUP(U337,UE,4)</f>
        <v>50</v>
      </c>
      <c r="X337" s="233">
        <f>(S337-10)/W337</f>
        <v>75112367.799999997</v>
      </c>
      <c r="Y337" s="714">
        <f>IF(2013-M337&gt;W337,W337,IF(2013-M337&lt;0,0,2013-M337))</f>
        <v>0</v>
      </c>
      <c r="Z337" s="233">
        <f>IF(Y337&gt;W337,S337-10,X337*Y337)</f>
        <v>0</v>
      </c>
      <c r="AA337" s="233"/>
      <c r="AB337" s="233"/>
      <c r="AC337" s="233"/>
      <c r="AD337" s="238"/>
      <c r="AE337" s="238"/>
      <c r="AF337" s="238">
        <f>SUM(Z337:AE337)</f>
        <v>0</v>
      </c>
      <c r="AG337" s="206">
        <f>M337</f>
        <v>2018</v>
      </c>
      <c r="AH337" s="210">
        <f>S337-AF337</f>
        <v>3755618400</v>
      </c>
    </row>
    <row r="338" spans="1:34" s="48" customFormat="1" ht="40.5" hidden="1" customHeight="1" x14ac:dyDescent="0.2">
      <c r="A338" s="296"/>
      <c r="D338" s="73"/>
      <c r="E338" s="65" t="s">
        <v>52</v>
      </c>
      <c r="F338" s="67"/>
      <c r="G338" s="67"/>
      <c r="H338" s="33"/>
      <c r="I338" s="40"/>
      <c r="J338" s="40"/>
      <c r="K338" s="40"/>
      <c r="L338" s="72" t="s">
        <v>52</v>
      </c>
      <c r="M338" s="40"/>
      <c r="N338" s="40"/>
      <c r="O338" s="32"/>
      <c r="P338" s="33"/>
      <c r="Q338" s="40"/>
      <c r="R338" s="32"/>
      <c r="S338" s="252"/>
      <c r="T338" s="61"/>
      <c r="X338" s="245"/>
      <c r="Y338" s="713"/>
      <c r="Z338" s="245"/>
      <c r="AA338" s="245"/>
      <c r="AB338" s="245"/>
      <c r="AC338" s="245"/>
      <c r="AD338" s="245"/>
      <c r="AE338" s="245"/>
      <c r="AF338" s="245"/>
    </row>
    <row r="339" spans="1:34" s="293" customFormat="1" ht="40.5" hidden="1" customHeight="1" x14ac:dyDescent="0.2">
      <c r="A339" s="667"/>
      <c r="D339" s="58" t="s">
        <v>416</v>
      </c>
      <c r="E339" s="96" t="s">
        <v>1080</v>
      </c>
      <c r="F339" s="63"/>
      <c r="G339" s="63"/>
      <c r="H339" s="63"/>
      <c r="I339" s="63"/>
      <c r="J339" s="63"/>
      <c r="K339" s="63"/>
      <c r="L339" s="25" t="s">
        <v>52</v>
      </c>
      <c r="M339" s="63"/>
      <c r="N339" s="63"/>
      <c r="O339" s="766"/>
      <c r="P339" s="766"/>
      <c r="Q339" s="63"/>
      <c r="R339" s="766"/>
      <c r="S339" s="232">
        <f>SUM(S340:S349)</f>
        <v>7211001134</v>
      </c>
      <c r="T339" s="101"/>
      <c r="X339" s="294"/>
      <c r="Y339" s="717"/>
      <c r="Z339" s="294">
        <f t="shared" ref="Z339:AH339" si="71">SUM(Z340:Z348)</f>
        <v>757879067.92000008</v>
      </c>
      <c r="AA339" s="294">
        <f t="shared" si="71"/>
        <v>144220020.88</v>
      </c>
      <c r="AB339" s="294">
        <f t="shared" si="71"/>
        <v>144220020.88</v>
      </c>
      <c r="AC339" s="294">
        <f t="shared" si="71"/>
        <v>144220020.88</v>
      </c>
      <c r="AD339" s="294">
        <f t="shared" si="71"/>
        <v>144220020.88</v>
      </c>
      <c r="AE339" s="294">
        <f t="shared" si="71"/>
        <v>144220020.88</v>
      </c>
      <c r="AF339" s="294">
        <f t="shared" si="71"/>
        <v>1478979172.3199997</v>
      </c>
      <c r="AG339" s="294">
        <f t="shared" si="71"/>
        <v>18003</v>
      </c>
      <c r="AH339" s="294">
        <f t="shared" si="71"/>
        <v>5732021961.6800003</v>
      </c>
    </row>
    <row r="340" spans="1:34" s="48" customFormat="1" ht="40.5" hidden="1" customHeight="1" x14ac:dyDescent="0.2">
      <c r="A340" s="296"/>
      <c r="C340" s="772" t="s">
        <v>2303</v>
      </c>
      <c r="D340" s="73"/>
      <c r="E340" s="65" t="s">
        <v>415</v>
      </c>
      <c r="F340" s="67" t="s">
        <v>392</v>
      </c>
      <c r="G340" s="40"/>
      <c r="H340" s="33"/>
      <c r="I340" s="40"/>
      <c r="J340" s="32" t="s">
        <v>386</v>
      </c>
      <c r="K340" s="40"/>
      <c r="L340" s="65" t="s">
        <v>414</v>
      </c>
      <c r="M340" s="40">
        <v>1980</v>
      </c>
      <c r="N340" s="40"/>
      <c r="O340" s="33"/>
      <c r="P340" s="33"/>
      <c r="Q340" s="67" t="s">
        <v>413</v>
      </c>
      <c r="R340" s="32" t="s">
        <v>12</v>
      </c>
      <c r="S340" s="252">
        <v>88200000</v>
      </c>
      <c r="T340" s="61"/>
      <c r="U340" s="206" t="str">
        <f t="shared" ref="U340:U348" si="72">LEFT(F340,8)</f>
        <v>03.12.02</v>
      </c>
      <c r="V340" s="207" t="str">
        <f t="shared" ref="V340:V348" si="73">VLOOKUP(U340,UE,3)</f>
        <v>Bangunan Bersejarah</v>
      </c>
      <c r="W340" s="207">
        <f t="shared" ref="W340:W348" si="74">VLOOKUP(U340,UE,4)</f>
        <v>50</v>
      </c>
      <c r="X340" s="233">
        <f t="shared" ref="X340:X348" si="75">(S340-10)/W340</f>
        <v>1763999.8</v>
      </c>
      <c r="Y340" s="714">
        <f t="shared" ref="Y340:Y348" si="76">IF(2013-M340&gt;W340,W340,IF(2013-M340&lt;0,0,2013-M340))</f>
        <v>33</v>
      </c>
      <c r="Z340" s="233">
        <f t="shared" ref="Z340:Z348" si="77">IF(Y340&gt;W340,S340-10,X340*Y340)</f>
        <v>58211993.399999999</v>
      </c>
      <c r="AA340" s="233">
        <f t="shared" ref="AA340:AA348" si="78">IF(S340-10=Z340,0,X340)</f>
        <v>1763999.8</v>
      </c>
      <c r="AB340" s="233">
        <f t="shared" ref="AB340:AB348" si="79">IF(S340-10=Z340+AA340,0,X340)</f>
        <v>1763999.8</v>
      </c>
      <c r="AC340" s="233">
        <f t="shared" ref="AC340:AC348" si="80">IF(S340-10=Z340+AA340+AB340,0,X340)</f>
        <v>1763999.8</v>
      </c>
      <c r="AD340" s="233">
        <f t="shared" ref="AD340:AD348" si="81">IF(S340-10=Z340+AA340+AB340+AC340,0,X340)</f>
        <v>1763999.8</v>
      </c>
      <c r="AE340" s="238">
        <f t="shared" ref="AE340:AE348" si="82">IF(S340-10=Z340+AA340+AB340+AC340+AD340,0,X340)</f>
        <v>1763999.8</v>
      </c>
      <c r="AF340" s="238">
        <f t="shared" ref="AF340:AF348" si="83">SUM(Z340:AE340)</f>
        <v>67031992.399999984</v>
      </c>
      <c r="AG340" s="206">
        <f t="shared" ref="AG340:AG348" si="84">M340</f>
        <v>1980</v>
      </c>
      <c r="AH340" s="210">
        <f t="shared" ref="AH340:AH348" si="85">S340-AF340</f>
        <v>21168007.600000016</v>
      </c>
    </row>
    <row r="341" spans="1:34" s="48" customFormat="1" ht="40.5" hidden="1" customHeight="1" x14ac:dyDescent="0.2">
      <c r="A341" s="296"/>
      <c r="C341" s="772" t="s">
        <v>2303</v>
      </c>
      <c r="D341" s="73"/>
      <c r="E341" s="65" t="s">
        <v>409</v>
      </c>
      <c r="F341" s="67" t="s">
        <v>392</v>
      </c>
      <c r="G341" s="40"/>
      <c r="H341" s="33"/>
      <c r="I341" s="40"/>
      <c r="J341" s="32" t="s">
        <v>386</v>
      </c>
      <c r="K341" s="40"/>
      <c r="L341" s="65" t="s">
        <v>408</v>
      </c>
      <c r="M341" s="40">
        <v>1991</v>
      </c>
      <c r="N341" s="40"/>
      <c r="O341" s="33"/>
      <c r="P341" s="33"/>
      <c r="Q341" s="67" t="s">
        <v>407</v>
      </c>
      <c r="R341" s="32" t="s">
        <v>12</v>
      </c>
      <c r="S341" s="252">
        <v>189000000</v>
      </c>
      <c r="T341" s="61"/>
      <c r="U341" s="206" t="str">
        <f t="shared" si="72"/>
        <v>03.12.02</v>
      </c>
      <c r="V341" s="207" t="str">
        <f t="shared" si="73"/>
        <v>Bangunan Bersejarah</v>
      </c>
      <c r="W341" s="207">
        <f t="shared" si="74"/>
        <v>50</v>
      </c>
      <c r="X341" s="233">
        <f t="shared" si="75"/>
        <v>3779999.8</v>
      </c>
      <c r="Y341" s="714">
        <f t="shared" si="76"/>
        <v>22</v>
      </c>
      <c r="Z341" s="233">
        <f t="shared" si="77"/>
        <v>83159995.599999994</v>
      </c>
      <c r="AA341" s="233">
        <f t="shared" si="78"/>
        <v>3779999.8</v>
      </c>
      <c r="AB341" s="233">
        <f t="shared" si="79"/>
        <v>3779999.8</v>
      </c>
      <c r="AC341" s="233">
        <f t="shared" si="80"/>
        <v>3779999.8</v>
      </c>
      <c r="AD341" s="233">
        <f t="shared" si="81"/>
        <v>3779999.8</v>
      </c>
      <c r="AE341" s="238">
        <f t="shared" si="82"/>
        <v>3779999.8</v>
      </c>
      <c r="AF341" s="238">
        <f t="shared" si="83"/>
        <v>102059994.59999998</v>
      </c>
      <c r="AG341" s="206">
        <f t="shared" si="84"/>
        <v>1991</v>
      </c>
      <c r="AH341" s="210">
        <f t="shared" si="85"/>
        <v>86940005.400000021</v>
      </c>
    </row>
    <row r="342" spans="1:34" s="48" customFormat="1" ht="40.5" hidden="1" customHeight="1" x14ac:dyDescent="0.2">
      <c r="A342" s="296"/>
      <c r="C342" s="772" t="s">
        <v>2303</v>
      </c>
      <c r="D342" s="73"/>
      <c r="E342" s="65" t="s">
        <v>406</v>
      </c>
      <c r="F342" s="67" t="s">
        <v>392</v>
      </c>
      <c r="G342" s="40"/>
      <c r="H342" s="33"/>
      <c r="I342" s="40"/>
      <c r="J342" s="32" t="s">
        <v>386</v>
      </c>
      <c r="K342" s="40"/>
      <c r="L342" s="65" t="s">
        <v>405</v>
      </c>
      <c r="M342" s="40">
        <v>1992</v>
      </c>
      <c r="N342" s="40"/>
      <c r="O342" s="33"/>
      <c r="P342" s="33"/>
      <c r="Q342" s="67" t="s">
        <v>404</v>
      </c>
      <c r="R342" s="32" t="s">
        <v>12</v>
      </c>
      <c r="S342" s="252">
        <v>157500000</v>
      </c>
      <c r="T342" s="61"/>
      <c r="U342" s="206" t="str">
        <f t="shared" si="72"/>
        <v>03.12.02</v>
      </c>
      <c r="V342" s="207" t="str">
        <f t="shared" si="73"/>
        <v>Bangunan Bersejarah</v>
      </c>
      <c r="W342" s="207">
        <f t="shared" si="74"/>
        <v>50</v>
      </c>
      <c r="X342" s="233">
        <f t="shared" si="75"/>
        <v>3149999.8</v>
      </c>
      <c r="Y342" s="714">
        <f t="shared" si="76"/>
        <v>21</v>
      </c>
      <c r="Z342" s="233">
        <f t="shared" si="77"/>
        <v>66149995.799999997</v>
      </c>
      <c r="AA342" s="233">
        <f t="shared" si="78"/>
        <v>3149999.8</v>
      </c>
      <c r="AB342" s="233">
        <f t="shared" si="79"/>
        <v>3149999.8</v>
      </c>
      <c r="AC342" s="233">
        <f t="shared" si="80"/>
        <v>3149999.8</v>
      </c>
      <c r="AD342" s="233">
        <f t="shared" si="81"/>
        <v>3149999.8</v>
      </c>
      <c r="AE342" s="238">
        <f t="shared" si="82"/>
        <v>3149999.8</v>
      </c>
      <c r="AF342" s="238">
        <f t="shared" si="83"/>
        <v>81899994.799999982</v>
      </c>
      <c r="AG342" s="206">
        <f t="shared" si="84"/>
        <v>1992</v>
      </c>
      <c r="AH342" s="210">
        <f t="shared" si="85"/>
        <v>75600005.200000018</v>
      </c>
    </row>
    <row r="343" spans="1:34" s="48" customFormat="1" ht="40.5" hidden="1" customHeight="1" x14ac:dyDescent="0.2">
      <c r="A343" s="296"/>
      <c r="C343" s="772" t="s">
        <v>2303</v>
      </c>
      <c r="D343" s="73"/>
      <c r="E343" s="65" t="s">
        <v>403</v>
      </c>
      <c r="F343" s="67" t="s">
        <v>392</v>
      </c>
      <c r="G343" s="40"/>
      <c r="H343" s="33"/>
      <c r="I343" s="40"/>
      <c r="J343" s="32" t="s">
        <v>386</v>
      </c>
      <c r="K343" s="40"/>
      <c r="L343" s="65" t="s">
        <v>402</v>
      </c>
      <c r="M343" s="40">
        <v>2000</v>
      </c>
      <c r="N343" s="40"/>
      <c r="O343" s="33"/>
      <c r="P343" s="33"/>
      <c r="Q343" s="67" t="s">
        <v>401</v>
      </c>
      <c r="R343" s="32" t="s">
        <v>12</v>
      </c>
      <c r="S343" s="252">
        <v>49000000</v>
      </c>
      <c r="T343" s="61"/>
      <c r="U343" s="206" t="str">
        <f t="shared" si="72"/>
        <v>03.12.02</v>
      </c>
      <c r="V343" s="207" t="str">
        <f t="shared" si="73"/>
        <v>Bangunan Bersejarah</v>
      </c>
      <c r="W343" s="207">
        <f t="shared" si="74"/>
        <v>50</v>
      </c>
      <c r="X343" s="233">
        <f t="shared" si="75"/>
        <v>979999.8</v>
      </c>
      <c r="Y343" s="714">
        <f t="shared" si="76"/>
        <v>13</v>
      </c>
      <c r="Z343" s="233">
        <f t="shared" si="77"/>
        <v>12739997.4</v>
      </c>
      <c r="AA343" s="233">
        <f t="shared" si="78"/>
        <v>979999.8</v>
      </c>
      <c r="AB343" s="233">
        <f t="shared" si="79"/>
        <v>979999.8</v>
      </c>
      <c r="AC343" s="233">
        <f t="shared" si="80"/>
        <v>979999.8</v>
      </c>
      <c r="AD343" s="233">
        <f t="shared" si="81"/>
        <v>979999.8</v>
      </c>
      <c r="AE343" s="238">
        <f t="shared" si="82"/>
        <v>979999.8</v>
      </c>
      <c r="AF343" s="238">
        <f t="shared" si="83"/>
        <v>17639996.400000002</v>
      </c>
      <c r="AG343" s="206">
        <f t="shared" si="84"/>
        <v>2000</v>
      </c>
      <c r="AH343" s="210">
        <f t="shared" si="85"/>
        <v>31360003.599999998</v>
      </c>
    </row>
    <row r="344" spans="1:34" s="48" customFormat="1" ht="40.5" hidden="1" customHeight="1" x14ac:dyDescent="0.2">
      <c r="A344" s="296"/>
      <c r="C344" s="772" t="s">
        <v>2303</v>
      </c>
      <c r="D344" s="73"/>
      <c r="E344" s="65" t="s">
        <v>400</v>
      </c>
      <c r="F344" s="67" t="s">
        <v>396</v>
      </c>
      <c r="G344" s="40"/>
      <c r="H344" s="33"/>
      <c r="I344" s="40"/>
      <c r="J344" s="32" t="s">
        <v>386</v>
      </c>
      <c r="K344" s="40"/>
      <c r="L344" s="65" t="s">
        <v>399</v>
      </c>
      <c r="M344" s="40">
        <v>2001</v>
      </c>
      <c r="N344" s="40"/>
      <c r="O344" s="33"/>
      <c r="P344" s="33"/>
      <c r="Q344" s="67" t="s">
        <v>394</v>
      </c>
      <c r="R344" s="32" t="s">
        <v>398</v>
      </c>
      <c r="S344" s="252">
        <v>22050000</v>
      </c>
      <c r="T344" s="61"/>
      <c r="U344" s="206" t="str">
        <f t="shared" si="72"/>
        <v>03.12.02</v>
      </c>
      <c r="V344" s="207" t="str">
        <f t="shared" si="73"/>
        <v>Bangunan Bersejarah</v>
      </c>
      <c r="W344" s="207">
        <f t="shared" si="74"/>
        <v>50</v>
      </c>
      <c r="X344" s="233">
        <f t="shared" si="75"/>
        <v>440999.8</v>
      </c>
      <c r="Y344" s="714">
        <f t="shared" si="76"/>
        <v>12</v>
      </c>
      <c r="Z344" s="233">
        <f t="shared" si="77"/>
        <v>5291997.5999999996</v>
      </c>
      <c r="AA344" s="233">
        <f t="shared" si="78"/>
        <v>440999.8</v>
      </c>
      <c r="AB344" s="233">
        <f t="shared" si="79"/>
        <v>440999.8</v>
      </c>
      <c r="AC344" s="233">
        <f t="shared" si="80"/>
        <v>440999.8</v>
      </c>
      <c r="AD344" s="233">
        <f t="shared" si="81"/>
        <v>440999.8</v>
      </c>
      <c r="AE344" s="238">
        <f t="shared" si="82"/>
        <v>440999.8</v>
      </c>
      <c r="AF344" s="238">
        <f t="shared" si="83"/>
        <v>7496996.5999999987</v>
      </c>
      <c r="AG344" s="206">
        <f t="shared" si="84"/>
        <v>2001</v>
      </c>
      <c r="AH344" s="210">
        <f t="shared" si="85"/>
        <v>14553003.400000002</v>
      </c>
    </row>
    <row r="345" spans="1:34" s="48" customFormat="1" ht="40.5" hidden="1" customHeight="1" x14ac:dyDescent="0.2">
      <c r="A345" s="296"/>
      <c r="C345" s="772" t="s">
        <v>2303</v>
      </c>
      <c r="D345" s="73"/>
      <c r="E345" s="65" t="s">
        <v>388</v>
      </c>
      <c r="F345" s="67" t="s">
        <v>387</v>
      </c>
      <c r="G345" s="40"/>
      <c r="H345" s="33" t="s">
        <v>43</v>
      </c>
      <c r="I345" s="40"/>
      <c r="J345" s="32" t="s">
        <v>386</v>
      </c>
      <c r="K345" s="40"/>
      <c r="L345" s="65" t="s">
        <v>390</v>
      </c>
      <c r="M345" s="40">
        <v>2010</v>
      </c>
      <c r="N345" s="40"/>
      <c r="O345" s="33"/>
      <c r="P345" s="33"/>
      <c r="Q345" s="67" t="s">
        <v>384</v>
      </c>
      <c r="R345" s="32" t="s">
        <v>12</v>
      </c>
      <c r="S345" s="252">
        <v>68250000</v>
      </c>
      <c r="T345" s="61"/>
      <c r="U345" s="206" t="str">
        <f t="shared" si="72"/>
        <v>03.12.06</v>
      </c>
      <c r="V345" s="207" t="str">
        <f t="shared" si="73"/>
        <v>Tugu Titik Kontrol/Pasti</v>
      </c>
      <c r="W345" s="207">
        <f t="shared" si="74"/>
        <v>50</v>
      </c>
      <c r="X345" s="233">
        <f t="shared" si="75"/>
        <v>1364999.8</v>
      </c>
      <c r="Y345" s="714">
        <f t="shared" si="76"/>
        <v>3</v>
      </c>
      <c r="Z345" s="233">
        <f t="shared" si="77"/>
        <v>4094999.4000000004</v>
      </c>
      <c r="AA345" s="233">
        <f t="shared" si="78"/>
        <v>1364999.8</v>
      </c>
      <c r="AB345" s="233">
        <f t="shared" si="79"/>
        <v>1364999.8</v>
      </c>
      <c r="AC345" s="233">
        <f t="shared" si="80"/>
        <v>1364999.8</v>
      </c>
      <c r="AD345" s="233">
        <f t="shared" si="81"/>
        <v>1364999.8</v>
      </c>
      <c r="AE345" s="238">
        <f t="shared" si="82"/>
        <v>1364999.8</v>
      </c>
      <c r="AF345" s="238">
        <f t="shared" si="83"/>
        <v>10919998.4</v>
      </c>
      <c r="AG345" s="206">
        <f t="shared" si="84"/>
        <v>2010</v>
      </c>
      <c r="AH345" s="210">
        <f t="shared" si="85"/>
        <v>57330001.600000001</v>
      </c>
    </row>
    <row r="346" spans="1:34" s="48" customFormat="1" ht="40.5" hidden="1" customHeight="1" x14ac:dyDescent="0.2">
      <c r="A346" s="296"/>
      <c r="C346" s="772" t="s">
        <v>2303</v>
      </c>
      <c r="D346" s="73"/>
      <c r="E346" s="65" t="s">
        <v>388</v>
      </c>
      <c r="F346" s="67" t="s">
        <v>387</v>
      </c>
      <c r="G346" s="40"/>
      <c r="H346" s="33" t="s">
        <v>43</v>
      </c>
      <c r="I346" s="40"/>
      <c r="J346" s="32" t="s">
        <v>386</v>
      </c>
      <c r="K346" s="40"/>
      <c r="L346" s="65" t="s">
        <v>389</v>
      </c>
      <c r="M346" s="40">
        <v>2010</v>
      </c>
      <c r="N346" s="40"/>
      <c r="O346" s="33"/>
      <c r="P346" s="33"/>
      <c r="Q346" s="67" t="s">
        <v>384</v>
      </c>
      <c r="R346" s="32" t="s">
        <v>12</v>
      </c>
      <c r="S346" s="252">
        <v>68250000</v>
      </c>
      <c r="T346" s="61"/>
      <c r="U346" s="206" t="str">
        <f t="shared" si="72"/>
        <v>03.12.06</v>
      </c>
      <c r="V346" s="207" t="str">
        <f t="shared" si="73"/>
        <v>Tugu Titik Kontrol/Pasti</v>
      </c>
      <c r="W346" s="207">
        <f t="shared" si="74"/>
        <v>50</v>
      </c>
      <c r="X346" s="233">
        <f t="shared" si="75"/>
        <v>1364999.8</v>
      </c>
      <c r="Y346" s="714">
        <f t="shared" si="76"/>
        <v>3</v>
      </c>
      <c r="Z346" s="233">
        <f t="shared" si="77"/>
        <v>4094999.4000000004</v>
      </c>
      <c r="AA346" s="233">
        <f t="shared" si="78"/>
        <v>1364999.8</v>
      </c>
      <c r="AB346" s="233">
        <f t="shared" si="79"/>
        <v>1364999.8</v>
      </c>
      <c r="AC346" s="233">
        <f t="shared" si="80"/>
        <v>1364999.8</v>
      </c>
      <c r="AD346" s="233">
        <f t="shared" si="81"/>
        <v>1364999.8</v>
      </c>
      <c r="AE346" s="238">
        <f t="shared" si="82"/>
        <v>1364999.8</v>
      </c>
      <c r="AF346" s="238">
        <f t="shared" si="83"/>
        <v>10919998.4</v>
      </c>
      <c r="AG346" s="206">
        <f t="shared" si="84"/>
        <v>2010</v>
      </c>
      <c r="AH346" s="210">
        <f t="shared" si="85"/>
        <v>57330001.600000001</v>
      </c>
    </row>
    <row r="347" spans="1:34" s="48" customFormat="1" ht="40.5" hidden="1" customHeight="1" thickBot="1" x14ac:dyDescent="0.25">
      <c r="A347" s="296"/>
      <c r="C347" s="772" t="s">
        <v>2303</v>
      </c>
      <c r="D347" s="175"/>
      <c r="E347" s="108" t="s">
        <v>388</v>
      </c>
      <c r="F347" s="109" t="s">
        <v>387</v>
      </c>
      <c r="G347" s="110"/>
      <c r="H347" s="111" t="s">
        <v>43</v>
      </c>
      <c r="I347" s="110"/>
      <c r="J347" s="112" t="s">
        <v>386</v>
      </c>
      <c r="K347" s="110"/>
      <c r="L347" s="108" t="s">
        <v>385</v>
      </c>
      <c r="M347" s="110">
        <v>2010</v>
      </c>
      <c r="N347" s="110"/>
      <c r="O347" s="111"/>
      <c r="P347" s="111"/>
      <c r="Q347" s="109" t="s">
        <v>384</v>
      </c>
      <c r="R347" s="112" t="s">
        <v>12</v>
      </c>
      <c r="S347" s="324">
        <v>68250000</v>
      </c>
      <c r="T347" s="180"/>
      <c r="U347" s="206" t="str">
        <f t="shared" si="72"/>
        <v>03.12.06</v>
      </c>
      <c r="V347" s="207" t="str">
        <f t="shared" si="73"/>
        <v>Tugu Titik Kontrol/Pasti</v>
      </c>
      <c r="W347" s="207">
        <f t="shared" si="74"/>
        <v>50</v>
      </c>
      <c r="X347" s="233">
        <f t="shared" si="75"/>
        <v>1364999.8</v>
      </c>
      <c r="Y347" s="714">
        <f t="shared" si="76"/>
        <v>3</v>
      </c>
      <c r="Z347" s="233">
        <f t="shared" si="77"/>
        <v>4094999.4000000004</v>
      </c>
      <c r="AA347" s="233">
        <f t="shared" si="78"/>
        <v>1364999.8</v>
      </c>
      <c r="AB347" s="233">
        <f t="shared" si="79"/>
        <v>1364999.8</v>
      </c>
      <c r="AC347" s="233">
        <f t="shared" si="80"/>
        <v>1364999.8</v>
      </c>
      <c r="AD347" s="233">
        <f t="shared" si="81"/>
        <v>1364999.8</v>
      </c>
      <c r="AE347" s="238">
        <f t="shared" si="82"/>
        <v>1364999.8</v>
      </c>
      <c r="AF347" s="238">
        <f t="shared" si="83"/>
        <v>10919998.4</v>
      </c>
      <c r="AG347" s="206">
        <f t="shared" si="84"/>
        <v>2010</v>
      </c>
      <c r="AH347" s="210">
        <f t="shared" si="85"/>
        <v>57330001.600000001</v>
      </c>
    </row>
    <row r="348" spans="1:34" s="48" customFormat="1" ht="40.5" hidden="1" customHeight="1" x14ac:dyDescent="0.2">
      <c r="A348" s="296"/>
      <c r="C348" s="772" t="s">
        <v>2303</v>
      </c>
      <c r="D348" s="175"/>
      <c r="E348" s="176" t="s">
        <v>2265</v>
      </c>
      <c r="F348" s="67" t="s">
        <v>392</v>
      </c>
      <c r="G348" s="183"/>
      <c r="H348" s="184"/>
      <c r="I348" s="183"/>
      <c r="J348" s="185"/>
      <c r="K348" s="183"/>
      <c r="L348" s="181" t="s">
        <v>836</v>
      </c>
      <c r="M348" s="183">
        <v>2009</v>
      </c>
      <c r="N348" s="183"/>
      <c r="O348" s="184"/>
      <c r="P348" s="184"/>
      <c r="Q348" s="182"/>
      <c r="R348" s="185" t="s">
        <v>12</v>
      </c>
      <c r="S348" s="325">
        <v>6500501134</v>
      </c>
      <c r="T348" s="180"/>
      <c r="U348" s="206" t="str">
        <f t="shared" si="72"/>
        <v>03.12.02</v>
      </c>
      <c r="V348" s="207" t="str">
        <f t="shared" si="73"/>
        <v>Bangunan Bersejarah</v>
      </c>
      <c r="W348" s="207">
        <f t="shared" si="74"/>
        <v>50</v>
      </c>
      <c r="X348" s="233">
        <f t="shared" si="75"/>
        <v>130010022.48</v>
      </c>
      <c r="Y348" s="714">
        <f t="shared" si="76"/>
        <v>4</v>
      </c>
      <c r="Z348" s="233">
        <f t="shared" si="77"/>
        <v>520040089.92000002</v>
      </c>
      <c r="AA348" s="233">
        <f t="shared" si="78"/>
        <v>130010022.48</v>
      </c>
      <c r="AB348" s="233">
        <f t="shared" si="79"/>
        <v>130010022.48</v>
      </c>
      <c r="AC348" s="233">
        <f t="shared" si="80"/>
        <v>130010022.48</v>
      </c>
      <c r="AD348" s="233">
        <f t="shared" si="81"/>
        <v>130010022.48</v>
      </c>
      <c r="AE348" s="238">
        <f t="shared" si="82"/>
        <v>130010022.48</v>
      </c>
      <c r="AF348" s="238">
        <f t="shared" si="83"/>
        <v>1170090202.3199999</v>
      </c>
      <c r="AG348" s="206">
        <f t="shared" si="84"/>
        <v>2009</v>
      </c>
      <c r="AH348" s="210">
        <f t="shared" si="85"/>
        <v>5330410931.6800003</v>
      </c>
    </row>
    <row r="349" spans="1:34" s="48" customFormat="1" ht="40.5" hidden="1" customHeight="1" thickBot="1" x14ac:dyDescent="0.25">
      <c r="A349" s="296"/>
      <c r="D349" s="107"/>
      <c r="E349" s="108"/>
      <c r="F349" s="109"/>
      <c r="G349" s="110"/>
      <c r="H349" s="111"/>
      <c r="I349" s="110"/>
      <c r="J349" s="112"/>
      <c r="K349" s="110"/>
      <c r="L349" s="108"/>
      <c r="M349" s="110"/>
      <c r="N349" s="110"/>
      <c r="O349" s="111"/>
      <c r="P349" s="111"/>
      <c r="Q349" s="109"/>
      <c r="R349" s="112"/>
      <c r="S349" s="324"/>
      <c r="T349" s="114"/>
      <c r="X349" s="245"/>
      <c r="Y349" s="713"/>
      <c r="Z349" s="245"/>
      <c r="AA349" s="245"/>
      <c r="AB349" s="245"/>
      <c r="AC349" s="245"/>
      <c r="AD349" s="245"/>
      <c r="AE349" s="245"/>
      <c r="AF349" s="245"/>
    </row>
    <row r="350" spans="1:34" x14ac:dyDescent="0.2">
      <c r="C350" s="772"/>
      <c r="S350" s="258">
        <f>SUBTOTAL(9,S19:S337)</f>
        <v>3173891618.8021836</v>
      </c>
    </row>
    <row r="351" spans="1:34" x14ac:dyDescent="0.2">
      <c r="S351" s="258">
        <v>140715510991.04126</v>
      </c>
      <c r="AF351" s="258">
        <f>SUBTOTAL(9,AF22:AF337)</f>
        <v>401445003.50705361</v>
      </c>
    </row>
    <row r="352" spans="1:34" x14ac:dyDescent="0.2">
      <c r="D352" s="1898" t="s">
        <v>1109</v>
      </c>
      <c r="E352" s="1898"/>
      <c r="F352" s="1898"/>
      <c r="S352" s="258">
        <f>S351-S350</f>
        <v>137541619372.23907</v>
      </c>
      <c r="AF352" s="258">
        <f>SUBTOTAL(9,AF280:AF284)</f>
        <v>0</v>
      </c>
    </row>
    <row r="353" spans="4:20" x14ac:dyDescent="0.2">
      <c r="D353" s="1797" t="s">
        <v>23</v>
      </c>
      <c r="E353" s="1797"/>
      <c r="F353" s="1797"/>
      <c r="Q353" s="1797" t="s">
        <v>884</v>
      </c>
      <c r="R353" s="1797"/>
      <c r="S353" s="1797"/>
      <c r="T353" s="1797"/>
    </row>
    <row r="354" spans="4:20" x14ac:dyDescent="0.2">
      <c r="D354" s="1797" t="s">
        <v>25</v>
      </c>
      <c r="E354" s="1797"/>
      <c r="F354" s="1797"/>
      <c r="Q354" s="1797" t="s">
        <v>24</v>
      </c>
      <c r="R354" s="1797"/>
      <c r="S354" s="1797"/>
      <c r="T354" s="1797"/>
    </row>
    <row r="355" spans="4:20" x14ac:dyDescent="0.2">
      <c r="D355" s="19"/>
      <c r="E355" s="19"/>
      <c r="F355" s="19"/>
      <c r="Q355" s="18"/>
      <c r="R355" s="18"/>
      <c r="S355" s="259"/>
      <c r="T355" s="18"/>
    </row>
    <row r="356" spans="4:20" x14ac:dyDescent="0.2">
      <c r="D356" s="19"/>
      <c r="E356" s="19"/>
      <c r="F356" s="19"/>
      <c r="Q356" s="18"/>
      <c r="R356" s="18"/>
      <c r="S356" s="259"/>
      <c r="T356" s="18"/>
    </row>
    <row r="357" spans="4:20" x14ac:dyDescent="0.2">
      <c r="D357" s="18"/>
      <c r="E357" s="18"/>
      <c r="F357" s="18"/>
      <c r="Q357" s="18"/>
      <c r="R357" s="18"/>
      <c r="S357" s="259"/>
      <c r="T357" s="18"/>
    </row>
    <row r="358" spans="4:20" x14ac:dyDescent="0.2">
      <c r="D358" s="18"/>
      <c r="E358" s="18"/>
      <c r="F358" s="18"/>
      <c r="Q358" s="18"/>
      <c r="R358" s="18"/>
      <c r="S358" s="259"/>
      <c r="T358" s="18"/>
    </row>
    <row r="359" spans="4:20" x14ac:dyDescent="0.2">
      <c r="D359" s="18"/>
      <c r="E359" s="18"/>
      <c r="F359" s="18"/>
      <c r="Q359" s="18"/>
      <c r="R359" s="18"/>
      <c r="S359" s="259"/>
      <c r="T359" s="18"/>
    </row>
    <row r="360" spans="4:20" x14ac:dyDescent="0.2">
      <c r="D360" s="1795" t="s">
        <v>26</v>
      </c>
      <c r="E360" s="1795"/>
      <c r="F360" s="1795"/>
      <c r="Q360" s="1795" t="s">
        <v>27</v>
      </c>
      <c r="R360" s="1795"/>
      <c r="S360" s="1795"/>
      <c r="T360" s="1795"/>
    </row>
    <row r="361" spans="4:20" x14ac:dyDescent="0.2">
      <c r="D361" s="1797" t="s">
        <v>28</v>
      </c>
      <c r="E361" s="1797"/>
      <c r="F361" s="1797"/>
      <c r="Q361" s="1797" t="s">
        <v>29</v>
      </c>
      <c r="R361" s="1797"/>
      <c r="S361" s="1797"/>
      <c r="T361" s="1797"/>
    </row>
    <row r="362" spans="4:20" x14ac:dyDescent="0.2">
      <c r="Q362" s="1797"/>
      <c r="R362" s="1797"/>
      <c r="S362" s="1797"/>
      <c r="T362" s="1797"/>
    </row>
  </sheetData>
  <autoFilter ref="A9:AJ349" xr:uid="{00000000-0009-0000-0000-000006000000}">
    <filterColumn colId="2">
      <filters>
        <filter val="belum kapitalisasi"/>
      </filters>
    </filterColumn>
  </autoFilter>
  <mergeCells count="32">
    <mergeCell ref="R6:R8"/>
    <mergeCell ref="D361:F361"/>
    <mergeCell ref="Q361:T361"/>
    <mergeCell ref="Q362:T362"/>
    <mergeCell ref="D352:F352"/>
    <mergeCell ref="D353:F353"/>
    <mergeCell ref="Q353:T353"/>
    <mergeCell ref="D354:F354"/>
    <mergeCell ref="Q354:T354"/>
    <mergeCell ref="D360:F360"/>
    <mergeCell ref="Q360:T360"/>
    <mergeCell ref="L6:L8"/>
    <mergeCell ref="M6:N6"/>
    <mergeCell ref="O6:O8"/>
    <mergeCell ref="P6:P8"/>
    <mergeCell ref="Q6:Q8"/>
    <mergeCell ref="D2:T2"/>
    <mergeCell ref="D3:T3"/>
    <mergeCell ref="B6:B8"/>
    <mergeCell ref="D6:D8"/>
    <mergeCell ref="E6:E8"/>
    <mergeCell ref="F6:F8"/>
    <mergeCell ref="G6:G8"/>
    <mergeCell ref="H6:H8"/>
    <mergeCell ref="I6:K6"/>
    <mergeCell ref="S6:S8"/>
    <mergeCell ref="T6:T8"/>
    <mergeCell ref="I7:I8"/>
    <mergeCell ref="J7:J8"/>
    <mergeCell ref="K7:K8"/>
    <mergeCell ref="M7:M8"/>
    <mergeCell ref="N7:N8"/>
  </mergeCells>
  <printOptions horizontalCentered="1"/>
  <pageMargins left="0.43307086614173229" right="0.35433070866141736" top="0.6692913385826772" bottom="0.74803149606299213" header="0.31496062992125984" footer="0.31496062992125984"/>
  <pageSetup paperSize="258" scale="55" orientation="landscape"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K367"/>
  <sheetViews>
    <sheetView zoomScale="68" zoomScaleNormal="68" workbookViewId="0">
      <pane xSplit="8" ySplit="9" topLeftCell="AF333" activePane="bottomRight" state="frozen"/>
      <selection pane="topRight" activeCell="F1" sqref="F1"/>
      <selection pane="bottomLeft" activeCell="A10" sqref="A10"/>
      <selection pane="bottomRight" activeCell="AG338" sqref="AG338"/>
    </sheetView>
  </sheetViews>
  <sheetFormatPr baseColWidth="10" defaultColWidth="9.1640625" defaultRowHeight="14" x14ac:dyDescent="0.15"/>
  <cols>
    <col min="1" max="1" width="6.1640625" style="1304" customWidth="1"/>
    <col min="2" max="2" width="13.5" style="1035" customWidth="1"/>
    <col min="3" max="3" width="9.1640625" style="946"/>
    <col min="4" max="4" width="6.5" style="1035" bestFit="1" customWidth="1"/>
    <col min="5" max="5" width="47.83203125" style="1035" customWidth="1"/>
    <col min="6" max="6" width="25.5" style="1036" customWidth="1"/>
    <col min="7" max="7" width="18.83203125" style="1035" bestFit="1" customWidth="1"/>
    <col min="8" max="8" width="11.1640625" style="1035" customWidth="1"/>
    <col min="9" max="9" width="16.33203125" style="1035" customWidth="1"/>
    <col min="10" max="10" width="14.5" style="1035" customWidth="1"/>
    <col min="11" max="11" width="9.6640625" style="1035" customWidth="1"/>
    <col min="12" max="12" width="16.33203125" style="1035" customWidth="1"/>
    <col min="13" max="13" width="21.1640625" style="1037" customWidth="1"/>
    <col min="14" max="14" width="14.5" style="1035" customWidth="1"/>
    <col min="15" max="15" width="13.83203125" style="1035" customWidth="1"/>
    <col min="16" max="16" width="8.5" style="1304" bestFit="1" customWidth="1"/>
    <col min="17" max="17" width="10.83203125" style="1304" bestFit="1" customWidth="1"/>
    <col min="18" max="18" width="15.1640625" style="1035" customWidth="1"/>
    <col min="19" max="19" width="15.5" style="1304" customWidth="1"/>
    <col min="20" max="20" width="26.5" style="1036" customWidth="1"/>
    <col min="21" max="22" width="17.33203125" style="1035" customWidth="1"/>
    <col min="23" max="23" width="14.6640625" style="1306" customWidth="1"/>
    <col min="24" max="25" width="24" style="1035" customWidth="1"/>
    <col min="26" max="26" width="24" style="1036" customWidth="1"/>
    <col min="27" max="27" width="24" style="1038" customWidth="1"/>
    <col min="28" max="33" width="24" style="1036" customWidth="1"/>
    <col min="34" max="34" width="25" style="1036" customWidth="1"/>
    <col min="35" max="35" width="26.33203125" style="1035" customWidth="1"/>
    <col min="36" max="36" width="9.1640625" style="1035"/>
    <col min="37" max="37" width="16.1640625" style="1035" bestFit="1" customWidth="1"/>
    <col min="38" max="16384" width="9.1640625" style="1035"/>
  </cols>
  <sheetData>
    <row r="2" spans="1:37" ht="25" x14ac:dyDescent="0.25">
      <c r="D2" s="1905" t="s">
        <v>2624</v>
      </c>
      <c r="E2" s="1905"/>
      <c r="F2" s="1905"/>
      <c r="G2" s="1905"/>
      <c r="H2" s="1905"/>
      <c r="I2" s="1905"/>
      <c r="J2" s="1905"/>
      <c r="K2" s="1905"/>
      <c r="L2" s="1905"/>
      <c r="M2" s="1905"/>
      <c r="N2" s="1905"/>
      <c r="O2" s="1905"/>
      <c r="P2" s="1905"/>
      <c r="Q2" s="1905"/>
      <c r="R2" s="1905"/>
      <c r="S2" s="1905"/>
      <c r="T2" s="1905"/>
      <c r="U2" s="1905"/>
      <c r="V2" s="1305"/>
    </row>
    <row r="3" spans="1:37" ht="25" x14ac:dyDescent="0.25">
      <c r="D3" s="1905" t="s">
        <v>2625</v>
      </c>
      <c r="E3" s="1905"/>
      <c r="F3" s="1905"/>
      <c r="G3" s="1905"/>
      <c r="H3" s="1905"/>
      <c r="I3" s="1905"/>
      <c r="J3" s="1905"/>
      <c r="K3" s="1905"/>
      <c r="L3" s="1905"/>
      <c r="M3" s="1905"/>
      <c r="N3" s="1905"/>
      <c r="O3" s="1905"/>
      <c r="P3" s="1905"/>
      <c r="Q3" s="1905"/>
      <c r="R3" s="1905"/>
      <c r="S3" s="1905"/>
      <c r="T3" s="1905"/>
      <c r="U3" s="1905"/>
      <c r="V3" s="1305"/>
      <c r="AF3" s="1036" t="e">
        <f>SUM(#REF!)</f>
        <v>#REF!</v>
      </c>
    </row>
    <row r="4" spans="1:37" ht="15" customHeight="1" x14ac:dyDescent="0.25">
      <c r="D4" s="1305"/>
      <c r="E4" s="1305"/>
      <c r="F4" s="1039"/>
      <c r="G4" s="1305"/>
      <c r="H4" s="1305"/>
      <c r="I4" s="1305"/>
      <c r="J4" s="1305"/>
      <c r="K4" s="1305"/>
      <c r="L4" s="1305"/>
      <c r="M4" s="1040"/>
      <c r="N4" s="1305"/>
      <c r="O4" s="1305"/>
      <c r="P4" s="1305"/>
      <c r="Q4" s="1305"/>
      <c r="R4" s="1305"/>
      <c r="S4" s="1305"/>
      <c r="T4" s="1041"/>
      <c r="U4" s="1305"/>
      <c r="V4" s="1305"/>
    </row>
    <row r="5" spans="1:37" s="1043" customFormat="1" thickBot="1" x14ac:dyDescent="0.2">
      <c r="A5" s="1301"/>
      <c r="C5" s="857"/>
      <c r="D5" s="1044"/>
      <c r="E5" s="1045" t="s">
        <v>32</v>
      </c>
      <c r="F5" s="1046"/>
      <c r="G5" s="1045" t="s">
        <v>33</v>
      </c>
      <c r="H5" s="1044"/>
      <c r="I5" s="1044"/>
      <c r="J5" s="1044"/>
      <c r="K5" s="1044"/>
      <c r="L5" s="1044"/>
      <c r="M5" s="1047"/>
      <c r="N5" s="1044"/>
      <c r="O5" s="1044"/>
      <c r="P5" s="1048"/>
      <c r="Q5" s="1048"/>
      <c r="R5" s="1044"/>
      <c r="S5" s="1048"/>
      <c r="T5" s="1049"/>
      <c r="U5" s="1044"/>
      <c r="V5" s="1111"/>
      <c r="W5" s="1300"/>
      <c r="Z5" s="1050"/>
      <c r="AA5" s="1051"/>
      <c r="AB5" s="1050"/>
      <c r="AC5" s="1050"/>
      <c r="AD5" s="1050"/>
      <c r="AE5" s="1050"/>
      <c r="AF5" s="1050"/>
      <c r="AG5" s="1050"/>
      <c r="AH5" s="1050"/>
    </row>
    <row r="6" spans="1:37" s="1045" customFormat="1" ht="27.75" customHeight="1" thickTop="1" x14ac:dyDescent="0.15">
      <c r="A6" s="1052"/>
      <c r="B6" s="1906" t="s">
        <v>3003</v>
      </c>
      <c r="C6" s="869"/>
      <c r="D6" s="1907" t="s">
        <v>869</v>
      </c>
      <c r="E6" s="1910" t="s">
        <v>870</v>
      </c>
      <c r="F6" s="1913"/>
      <c r="G6" s="1910" t="s">
        <v>877</v>
      </c>
      <c r="H6" s="1910" t="s">
        <v>878</v>
      </c>
      <c r="I6" s="1910" t="s">
        <v>1101</v>
      </c>
      <c r="J6" s="1910" t="s">
        <v>1102</v>
      </c>
      <c r="K6" s="1910"/>
      <c r="L6" s="1910"/>
      <c r="M6" s="1910" t="s">
        <v>874</v>
      </c>
      <c r="N6" s="1910" t="s">
        <v>1103</v>
      </c>
      <c r="O6" s="1910"/>
      <c r="P6" s="1910" t="s">
        <v>872</v>
      </c>
      <c r="Q6" s="1910" t="s">
        <v>875</v>
      </c>
      <c r="R6" s="1910" t="s">
        <v>1104</v>
      </c>
      <c r="S6" s="1910" t="s">
        <v>909</v>
      </c>
      <c r="T6" s="1934" t="s">
        <v>1105</v>
      </c>
      <c r="U6" s="1937" t="s">
        <v>911</v>
      </c>
      <c r="V6" s="966"/>
      <c r="W6" s="1920" t="s">
        <v>2279</v>
      </c>
      <c r="X6" s="1927" t="s">
        <v>2280</v>
      </c>
      <c r="Y6" s="1927" t="s">
        <v>2281</v>
      </c>
      <c r="Z6" s="1916" t="s">
        <v>2282</v>
      </c>
      <c r="AA6" s="1920" t="s">
        <v>4778</v>
      </c>
      <c r="AB6" s="1923" t="s">
        <v>4785</v>
      </c>
      <c r="AC6" s="1923"/>
      <c r="AD6" s="1923"/>
      <c r="AE6" s="1923"/>
      <c r="AF6" s="1923"/>
      <c r="AG6" s="1923"/>
      <c r="AH6" s="1924" t="s">
        <v>2489</v>
      </c>
      <c r="AI6" s="1927" t="s">
        <v>2289</v>
      </c>
    </row>
    <row r="7" spans="1:37" s="1045" customFormat="1" ht="12.75" customHeight="1" x14ac:dyDescent="0.15">
      <c r="A7" s="1052"/>
      <c r="B7" s="1906"/>
      <c r="C7" s="869"/>
      <c r="D7" s="1908"/>
      <c r="E7" s="1911"/>
      <c r="F7" s="1914"/>
      <c r="G7" s="1911"/>
      <c r="H7" s="1911"/>
      <c r="I7" s="1911"/>
      <c r="J7" s="1911" t="s">
        <v>1106</v>
      </c>
      <c r="K7" s="1911" t="s">
        <v>1107</v>
      </c>
      <c r="L7" s="1911" t="s">
        <v>1108</v>
      </c>
      <c r="M7" s="1911"/>
      <c r="N7" s="1930" t="s">
        <v>882</v>
      </c>
      <c r="O7" s="1930" t="s">
        <v>883</v>
      </c>
      <c r="P7" s="1911"/>
      <c r="Q7" s="1911"/>
      <c r="R7" s="1911"/>
      <c r="S7" s="1911"/>
      <c r="T7" s="1935"/>
      <c r="U7" s="1938"/>
      <c r="V7" s="966"/>
      <c r="W7" s="1921"/>
      <c r="X7" s="1928"/>
      <c r="Y7" s="1928"/>
      <c r="Z7" s="1917"/>
      <c r="AA7" s="1921"/>
      <c r="AB7" s="1932" t="s">
        <v>4779</v>
      </c>
      <c r="AC7" s="1932" t="s">
        <v>4780</v>
      </c>
      <c r="AD7" s="1932" t="s">
        <v>4781</v>
      </c>
      <c r="AE7" s="1932" t="s">
        <v>4782</v>
      </c>
      <c r="AF7" s="1932" t="s">
        <v>4783</v>
      </c>
      <c r="AG7" s="1932" t="s">
        <v>4784</v>
      </c>
      <c r="AH7" s="1925"/>
      <c r="AI7" s="1928"/>
    </row>
    <row r="8" spans="1:37" s="1045" customFormat="1" ht="24" customHeight="1" thickBot="1" x14ac:dyDescent="0.2">
      <c r="A8" s="1052"/>
      <c r="B8" s="1906"/>
      <c r="C8" s="869"/>
      <c r="D8" s="1909"/>
      <c r="E8" s="1912"/>
      <c r="F8" s="1915"/>
      <c r="G8" s="1912"/>
      <c r="H8" s="1912"/>
      <c r="I8" s="1912"/>
      <c r="J8" s="1912"/>
      <c r="K8" s="1912"/>
      <c r="L8" s="1912"/>
      <c r="M8" s="1912"/>
      <c r="N8" s="1931"/>
      <c r="O8" s="1931"/>
      <c r="P8" s="1912"/>
      <c r="Q8" s="1912"/>
      <c r="R8" s="1912"/>
      <c r="S8" s="1912"/>
      <c r="T8" s="1936"/>
      <c r="U8" s="1939"/>
      <c r="V8" s="966"/>
      <c r="W8" s="1922"/>
      <c r="X8" s="1929"/>
      <c r="Y8" s="1929"/>
      <c r="Z8" s="1918"/>
      <c r="AA8" s="1922"/>
      <c r="AB8" s="1933"/>
      <c r="AC8" s="1933"/>
      <c r="AD8" s="1933"/>
      <c r="AE8" s="1933"/>
      <c r="AF8" s="1933"/>
      <c r="AG8" s="1933"/>
      <c r="AH8" s="1926"/>
      <c r="AI8" s="1929"/>
    </row>
    <row r="9" spans="1:37" s="1054" customFormat="1" ht="15" thickTop="1" x14ac:dyDescent="0.15">
      <c r="A9" s="1053"/>
      <c r="C9" s="1055"/>
      <c r="D9" s="1056">
        <v>1</v>
      </c>
      <c r="E9" s="1057">
        <v>2</v>
      </c>
      <c r="F9" s="1058"/>
      <c r="G9" s="1057">
        <v>3</v>
      </c>
      <c r="H9" s="1059">
        <v>4</v>
      </c>
      <c r="I9" s="1059">
        <v>5</v>
      </c>
      <c r="J9" s="1057">
        <v>6</v>
      </c>
      <c r="K9" s="1057">
        <v>7</v>
      </c>
      <c r="L9" s="1059">
        <v>8</v>
      </c>
      <c r="M9" s="1059">
        <v>9</v>
      </c>
      <c r="N9" s="1057">
        <v>10</v>
      </c>
      <c r="O9" s="1057">
        <v>11</v>
      </c>
      <c r="P9" s="1057">
        <v>12</v>
      </c>
      <c r="Q9" s="1057">
        <v>13</v>
      </c>
      <c r="R9" s="1057">
        <v>14</v>
      </c>
      <c r="S9" s="1059">
        <v>15</v>
      </c>
      <c r="T9" s="1058">
        <v>16</v>
      </c>
      <c r="U9" s="1060">
        <v>17</v>
      </c>
      <c r="V9" s="1112"/>
      <c r="W9" s="1067"/>
      <c r="Z9" s="1061"/>
      <c r="AA9" s="1062"/>
      <c r="AB9" s="1061"/>
      <c r="AC9" s="1061"/>
      <c r="AD9" s="1061"/>
      <c r="AE9" s="1061"/>
      <c r="AF9" s="1061"/>
      <c r="AG9" s="1061"/>
      <c r="AH9" s="1061"/>
    </row>
    <row r="10" spans="1:37" s="1054" customFormat="1" x14ac:dyDescent="0.15">
      <c r="A10" s="1053"/>
      <c r="C10" s="1055"/>
      <c r="D10" s="1063"/>
      <c r="E10" s="1064"/>
      <c r="F10" s="1065"/>
      <c r="G10" s="1064"/>
      <c r="H10" s="1303"/>
      <c r="I10" s="1303"/>
      <c r="J10" s="1064"/>
      <c r="K10" s="1064"/>
      <c r="L10" s="1303"/>
      <c r="M10" s="1303"/>
      <c r="N10" s="1064"/>
      <c r="O10" s="1064"/>
      <c r="P10" s="1064"/>
      <c r="Q10" s="1064"/>
      <c r="R10" s="1064"/>
      <c r="S10" s="1303"/>
      <c r="T10" s="1065"/>
      <c r="U10" s="1066"/>
      <c r="V10" s="1112"/>
      <c r="W10" s="1067"/>
      <c r="Z10" s="1061"/>
      <c r="AA10" s="1062"/>
      <c r="AB10" s="1061"/>
      <c r="AC10" s="1061"/>
      <c r="AD10" s="1061"/>
      <c r="AE10" s="1061"/>
      <c r="AF10" s="1061"/>
      <c r="AG10" s="1061"/>
      <c r="AH10" s="1061"/>
    </row>
    <row r="11" spans="1:37" s="1055" customFormat="1" ht="40.5" customHeight="1" x14ac:dyDescent="0.2">
      <c r="A11" s="1067"/>
      <c r="D11" s="858" t="s">
        <v>471</v>
      </c>
      <c r="E11" s="859" t="s">
        <v>1013</v>
      </c>
      <c r="F11" s="860"/>
      <c r="G11" s="1307"/>
      <c r="H11" s="1068"/>
      <c r="I11" s="1068"/>
      <c r="J11" s="1068"/>
      <c r="K11" s="1068"/>
      <c r="L11" s="1068"/>
      <c r="M11" s="1069"/>
      <c r="N11" s="1068"/>
      <c r="O11" s="1068"/>
      <c r="P11" s="1303"/>
      <c r="Q11" s="1303"/>
      <c r="R11" s="1068"/>
      <c r="S11" s="1303"/>
      <c r="T11" s="1070">
        <f>T13+T344</f>
        <v>303713887574.63196</v>
      </c>
      <c r="U11" s="1071"/>
      <c r="V11" s="1113"/>
      <c r="W11" s="1067"/>
      <c r="X11" s="1072"/>
      <c r="Z11" s="1073"/>
      <c r="AA11" s="1062"/>
      <c r="AB11" s="1073">
        <f t="shared" ref="AB11:AI11" si="0">AB13+AB344</f>
        <v>5700698445.9321241</v>
      </c>
      <c r="AC11" s="1073">
        <f t="shared" si="0"/>
        <v>3041446696.8078523</v>
      </c>
      <c r="AD11" s="1073">
        <f t="shared" si="0"/>
        <v>3225054208.0478525</v>
      </c>
      <c r="AE11" s="1073">
        <f t="shared" si="0"/>
        <v>3282676204.0478525</v>
      </c>
      <c r="AF11" s="1073">
        <f t="shared" si="0"/>
        <v>3312268984.0478525</v>
      </c>
      <c r="AG11" s="1073" t="e">
        <f t="shared" si="0"/>
        <v>#REF!</v>
      </c>
      <c r="AH11" s="1073" t="e">
        <f t="shared" si="0"/>
        <v>#REF!</v>
      </c>
      <c r="AI11" s="1073" t="e">
        <f t="shared" si="0"/>
        <v>#REF!</v>
      </c>
      <c r="AK11" s="1076"/>
    </row>
    <row r="12" spans="1:37" s="1055" customFormat="1" ht="40.5" customHeight="1" x14ac:dyDescent="0.2">
      <c r="A12" s="1067"/>
      <c r="D12" s="858"/>
      <c r="E12" s="859" t="s">
        <v>52</v>
      </c>
      <c r="F12" s="860"/>
      <c r="G12" s="1307"/>
      <c r="H12" s="1068"/>
      <c r="I12" s="1068"/>
      <c r="J12" s="1068"/>
      <c r="K12" s="1068"/>
      <c r="L12" s="1068"/>
      <c r="M12" s="1069"/>
      <c r="N12" s="1068"/>
      <c r="O12" s="1068"/>
      <c r="P12" s="1303"/>
      <c r="Q12" s="1303"/>
      <c r="R12" s="1068"/>
      <c r="S12" s="1303"/>
      <c r="T12" s="1070"/>
      <c r="U12" s="1071"/>
      <c r="V12" s="1113"/>
      <c r="W12" s="1067"/>
      <c r="Z12" s="1073"/>
      <c r="AA12" s="1062"/>
      <c r="AB12" s="1073"/>
      <c r="AC12" s="1073"/>
      <c r="AD12" s="1073"/>
      <c r="AE12" s="1073"/>
      <c r="AF12" s="1073"/>
      <c r="AG12" s="1073"/>
      <c r="AH12" s="1073"/>
    </row>
    <row r="13" spans="1:37" s="1055" customFormat="1" ht="40.5" customHeight="1" x14ac:dyDescent="0.2">
      <c r="A13" s="1067"/>
      <c r="D13" s="858" t="s">
        <v>470</v>
      </c>
      <c r="E13" s="859" t="s">
        <v>1014</v>
      </c>
      <c r="F13" s="860"/>
      <c r="G13" s="871"/>
      <c r="H13" s="871"/>
      <c r="I13" s="871"/>
      <c r="J13" s="871"/>
      <c r="K13" s="871"/>
      <c r="L13" s="871"/>
      <c r="M13" s="872"/>
      <c r="N13" s="871"/>
      <c r="O13" s="871"/>
      <c r="P13" s="870"/>
      <c r="Q13" s="870"/>
      <c r="R13" s="871"/>
      <c r="S13" s="870"/>
      <c r="T13" s="864">
        <f>SUM(T14:T342)</f>
        <v>296502886440.63196</v>
      </c>
      <c r="U13" s="873"/>
      <c r="V13" s="964"/>
      <c r="W13" s="1067"/>
      <c r="X13" s="1074"/>
      <c r="Z13" s="1073"/>
      <c r="AA13" s="1062"/>
      <c r="AB13" s="1073">
        <f t="shared" ref="AB13:AI13" si="1">SUM(AB14:AB342)</f>
        <v>4942819355.2121239</v>
      </c>
      <c r="AC13" s="1073">
        <f t="shared" si="1"/>
        <v>2897226674.1278524</v>
      </c>
      <c r="AD13" s="1073">
        <f t="shared" si="1"/>
        <v>3080834185.3678527</v>
      </c>
      <c r="AE13" s="1073">
        <f t="shared" si="1"/>
        <v>3138456181.3678527</v>
      </c>
      <c r="AF13" s="1073">
        <f t="shared" si="1"/>
        <v>3168048961.3678527</v>
      </c>
      <c r="AG13" s="1073" t="e">
        <f t="shared" si="1"/>
        <v>#REF!</v>
      </c>
      <c r="AH13" s="1073" t="e">
        <f t="shared" si="1"/>
        <v>#REF!</v>
      </c>
      <c r="AI13" s="1073" t="e">
        <f t="shared" si="1"/>
        <v>#REF!</v>
      </c>
      <c r="AK13" s="1076"/>
    </row>
    <row r="14" spans="1:37" s="946" customFormat="1" ht="40.5" customHeight="1" x14ac:dyDescent="0.2">
      <c r="A14" s="1306"/>
      <c r="C14" s="1075" t="s">
        <v>2302</v>
      </c>
      <c r="D14" s="890"/>
      <c r="E14" s="907" t="s">
        <v>469</v>
      </c>
      <c r="F14" s="917"/>
      <c r="G14" s="878" t="s">
        <v>1752</v>
      </c>
      <c r="H14" s="878"/>
      <c r="I14" s="861"/>
      <c r="J14" s="862"/>
      <c r="K14" s="862"/>
      <c r="L14" s="862"/>
      <c r="M14" s="907" t="s">
        <v>467</v>
      </c>
      <c r="N14" s="862">
        <v>1984</v>
      </c>
      <c r="O14" s="862"/>
      <c r="P14" s="903">
        <v>36</v>
      </c>
      <c r="Q14" s="903" t="s">
        <v>430</v>
      </c>
      <c r="R14" s="862"/>
      <c r="S14" s="903" t="s">
        <v>12</v>
      </c>
      <c r="T14" s="879">
        <v>27928800</v>
      </c>
      <c r="U14" s="906"/>
      <c r="V14" s="970"/>
      <c r="W14" s="1124" t="str">
        <f>LEFT(G14,8)</f>
        <v>03.11.01</v>
      </c>
      <c r="X14" s="884" t="str">
        <f t="shared" ref="X14:X79" si="2">VLOOKUP(W14,UE,3)</f>
        <v>Bangunan Gedung Tempat Kerja</v>
      </c>
      <c r="Y14" s="884">
        <f t="shared" ref="Y14:Y79" si="3">VLOOKUP(W14,UE,4)</f>
        <v>50</v>
      </c>
      <c r="Z14" s="868">
        <f>T14/Y14</f>
        <v>558576</v>
      </c>
      <c r="AA14" s="1051">
        <f>IF(2013-N14&gt;Y14,Y14,IF(2013-N14&lt;0,0,2013-N14))</f>
        <v>29</v>
      </c>
      <c r="AB14" s="868">
        <f>IF(AA14&gt;Y14,T14,Z14*AA14)</f>
        <v>16198704</v>
      </c>
      <c r="AC14" s="868">
        <f>IF(T14=AB14,0,Z14)</f>
        <v>558576</v>
      </c>
      <c r="AD14" s="868">
        <f>IF(T14=AB14+AC14,0,Z14)</f>
        <v>558576</v>
      </c>
      <c r="AE14" s="868">
        <f>IF(T14=AB14+AC14+AD14,0,Z14)</f>
        <v>558576</v>
      </c>
      <c r="AF14" s="886">
        <f>IF(T14=AB14+AC14+AD14+AE14,0,Z14)</f>
        <v>558576</v>
      </c>
      <c r="AG14" s="886">
        <f>IF(T14=AB14+AC14+AD14+AE14+AF14,0,Z14)</f>
        <v>558576</v>
      </c>
      <c r="AH14" s="886">
        <f>SUM(AB14:AG14)</f>
        <v>18991584</v>
      </c>
      <c r="AI14" s="1077">
        <f t="shared" ref="AI14:AI67" si="4">T14-AH14</f>
        <v>8937216</v>
      </c>
    </row>
    <row r="15" spans="1:37" s="946" customFormat="1" ht="40.5" customHeight="1" x14ac:dyDescent="0.2">
      <c r="A15" s="1306"/>
      <c r="C15" s="1075" t="s">
        <v>2302</v>
      </c>
      <c r="D15" s="890"/>
      <c r="E15" s="907" t="s">
        <v>468</v>
      </c>
      <c r="F15" s="917"/>
      <c r="G15" s="878" t="s">
        <v>1752</v>
      </c>
      <c r="H15" s="878"/>
      <c r="I15" s="861"/>
      <c r="J15" s="862"/>
      <c r="K15" s="862"/>
      <c r="L15" s="862"/>
      <c r="M15" s="907" t="s">
        <v>467</v>
      </c>
      <c r="N15" s="862">
        <v>1984</v>
      </c>
      <c r="O15" s="862"/>
      <c r="P15" s="903">
        <v>60</v>
      </c>
      <c r="Q15" s="903" t="s">
        <v>430</v>
      </c>
      <c r="R15" s="862"/>
      <c r="S15" s="903" t="s">
        <v>12</v>
      </c>
      <c r="T15" s="879">
        <v>46548000</v>
      </c>
      <c r="U15" s="906"/>
      <c r="V15" s="970"/>
      <c r="W15" s="1124" t="str">
        <f t="shared" ref="W15:W78" si="5">LEFT(G15,8)</f>
        <v>03.11.01</v>
      </c>
      <c r="X15" s="884" t="str">
        <f t="shared" si="2"/>
        <v>Bangunan Gedung Tempat Kerja</v>
      </c>
      <c r="Y15" s="884">
        <f t="shared" si="3"/>
        <v>50</v>
      </c>
      <c r="Z15" s="868">
        <f t="shared" ref="Z15:Z21" si="6">T15/Y15</f>
        <v>930960</v>
      </c>
      <c r="AA15" s="1051">
        <f t="shared" ref="AA15:AA21" si="7">IF(2013-N15&gt;Y15,Y15,IF(2013-N15&lt;0,0,2013-N15))</f>
        <v>29</v>
      </c>
      <c r="AB15" s="868">
        <f t="shared" ref="AB15:AB21" si="8">IF(AA15&gt;Y15,T15,Z15*AA15)</f>
        <v>26997840</v>
      </c>
      <c r="AC15" s="868">
        <f t="shared" ref="AC15:AC21" si="9">IF(T15=AB15,0,Z15)</f>
        <v>930960</v>
      </c>
      <c r="AD15" s="868">
        <f t="shared" ref="AD15:AD21" si="10">IF(T15=AB15+AC15,0,Z15)</f>
        <v>930960</v>
      </c>
      <c r="AE15" s="868">
        <f t="shared" ref="AE15:AE21" si="11">IF(T15=AB15+AC15+AD15,0,Z15)</f>
        <v>930960</v>
      </c>
      <c r="AF15" s="886">
        <f t="shared" ref="AF15:AF21" si="12">IF(T15=AB15+AC15+AD15+AE15,0,Z15)</f>
        <v>930960</v>
      </c>
      <c r="AG15" s="886">
        <f t="shared" ref="AG15:AG21" si="13">IF(T15=AB15+AC15+AD15+AE15+AF15,0,Z15)</f>
        <v>930960</v>
      </c>
      <c r="AH15" s="886">
        <f t="shared" ref="AH15:AH21" si="14">SUM(AB15:AG15)</f>
        <v>31652640</v>
      </c>
      <c r="AI15" s="1077">
        <f t="shared" si="4"/>
        <v>14895360</v>
      </c>
    </row>
    <row r="16" spans="1:37" s="946" customFormat="1" ht="40.5" customHeight="1" x14ac:dyDescent="0.2">
      <c r="A16" s="1306"/>
      <c r="C16" s="1075" t="s">
        <v>2302</v>
      </c>
      <c r="D16" s="890"/>
      <c r="E16" s="907" t="s">
        <v>466</v>
      </c>
      <c r="F16" s="917"/>
      <c r="G16" s="878" t="s">
        <v>1752</v>
      </c>
      <c r="H16" s="878"/>
      <c r="I16" s="861"/>
      <c r="J16" s="862"/>
      <c r="K16" s="862"/>
      <c r="L16" s="862"/>
      <c r="M16" s="907" t="s">
        <v>464</v>
      </c>
      <c r="N16" s="862">
        <v>1986</v>
      </c>
      <c r="O16" s="862"/>
      <c r="P16" s="903">
        <v>30</v>
      </c>
      <c r="Q16" s="903" t="s">
        <v>430</v>
      </c>
      <c r="R16" s="862"/>
      <c r="S16" s="903" t="s">
        <v>433</v>
      </c>
      <c r="T16" s="879">
        <v>25213500</v>
      </c>
      <c r="U16" s="906"/>
      <c r="V16" s="970"/>
      <c r="W16" s="1124" t="str">
        <f t="shared" si="5"/>
        <v>03.11.01</v>
      </c>
      <c r="X16" s="884" t="str">
        <f t="shared" si="2"/>
        <v>Bangunan Gedung Tempat Kerja</v>
      </c>
      <c r="Y16" s="884">
        <f t="shared" si="3"/>
        <v>50</v>
      </c>
      <c r="Z16" s="868">
        <f t="shared" si="6"/>
        <v>504270</v>
      </c>
      <c r="AA16" s="1051">
        <f t="shared" si="7"/>
        <v>27</v>
      </c>
      <c r="AB16" s="868">
        <f t="shared" si="8"/>
        <v>13615290</v>
      </c>
      <c r="AC16" s="868">
        <f t="shared" si="9"/>
        <v>504270</v>
      </c>
      <c r="AD16" s="868">
        <f t="shared" si="10"/>
        <v>504270</v>
      </c>
      <c r="AE16" s="868">
        <f t="shared" si="11"/>
        <v>504270</v>
      </c>
      <c r="AF16" s="886">
        <f t="shared" si="12"/>
        <v>504270</v>
      </c>
      <c r="AG16" s="886">
        <f t="shared" si="13"/>
        <v>504270</v>
      </c>
      <c r="AH16" s="886">
        <f t="shared" si="14"/>
        <v>16136640</v>
      </c>
      <c r="AI16" s="1077">
        <f t="shared" si="4"/>
        <v>9076860</v>
      </c>
    </row>
    <row r="17" spans="1:35" s="946" customFormat="1" ht="40.5" customHeight="1" x14ac:dyDescent="0.2">
      <c r="A17" s="1306"/>
      <c r="C17" s="1075" t="s">
        <v>2302</v>
      </c>
      <c r="D17" s="890"/>
      <c r="E17" s="907" t="s">
        <v>465</v>
      </c>
      <c r="F17" s="917"/>
      <c r="G17" s="878" t="s">
        <v>1752</v>
      </c>
      <c r="H17" s="878"/>
      <c r="I17" s="861"/>
      <c r="J17" s="862"/>
      <c r="K17" s="862"/>
      <c r="L17" s="862"/>
      <c r="M17" s="907" t="s">
        <v>464</v>
      </c>
      <c r="N17" s="862">
        <v>1986</v>
      </c>
      <c r="O17" s="862"/>
      <c r="P17" s="903">
        <v>63</v>
      </c>
      <c r="Q17" s="903" t="s">
        <v>430</v>
      </c>
      <c r="R17" s="862"/>
      <c r="S17" s="903" t="s">
        <v>433</v>
      </c>
      <c r="T17" s="879">
        <v>52948350</v>
      </c>
      <c r="U17" s="906"/>
      <c r="V17" s="970"/>
      <c r="W17" s="1124" t="str">
        <f t="shared" si="5"/>
        <v>03.11.01</v>
      </c>
      <c r="X17" s="884" t="str">
        <f t="shared" si="2"/>
        <v>Bangunan Gedung Tempat Kerja</v>
      </c>
      <c r="Y17" s="884">
        <f t="shared" si="3"/>
        <v>50</v>
      </c>
      <c r="Z17" s="868">
        <f t="shared" si="6"/>
        <v>1058967</v>
      </c>
      <c r="AA17" s="1051">
        <f t="shared" si="7"/>
        <v>27</v>
      </c>
      <c r="AB17" s="868">
        <f t="shared" si="8"/>
        <v>28592109</v>
      </c>
      <c r="AC17" s="868">
        <f t="shared" si="9"/>
        <v>1058967</v>
      </c>
      <c r="AD17" s="868">
        <f t="shared" si="10"/>
        <v>1058967</v>
      </c>
      <c r="AE17" s="868">
        <f t="shared" si="11"/>
        <v>1058967</v>
      </c>
      <c r="AF17" s="886">
        <f t="shared" si="12"/>
        <v>1058967</v>
      </c>
      <c r="AG17" s="886">
        <f t="shared" si="13"/>
        <v>1058967</v>
      </c>
      <c r="AH17" s="886">
        <f t="shared" si="14"/>
        <v>33886944</v>
      </c>
      <c r="AI17" s="1077">
        <f t="shared" si="4"/>
        <v>19061406</v>
      </c>
    </row>
    <row r="18" spans="1:35" s="946" customFormat="1" ht="40.5" customHeight="1" x14ac:dyDescent="0.2">
      <c r="A18" s="1306"/>
      <c r="C18" s="1075" t="s">
        <v>2302</v>
      </c>
      <c r="D18" s="890"/>
      <c r="E18" s="907" t="s">
        <v>463</v>
      </c>
      <c r="F18" s="917"/>
      <c r="G18" s="878" t="s">
        <v>2832</v>
      </c>
      <c r="H18" s="878"/>
      <c r="I18" s="861" t="s">
        <v>43</v>
      </c>
      <c r="J18" s="862"/>
      <c r="K18" s="862"/>
      <c r="L18" s="862"/>
      <c r="M18" s="907" t="s">
        <v>20</v>
      </c>
      <c r="N18" s="862">
        <v>1999</v>
      </c>
      <c r="O18" s="862"/>
      <c r="P18" s="903">
        <v>152</v>
      </c>
      <c r="Q18" s="903" t="s">
        <v>11</v>
      </c>
      <c r="R18" s="862"/>
      <c r="S18" s="903" t="s">
        <v>12</v>
      </c>
      <c r="T18" s="879">
        <v>127748400</v>
      </c>
      <c r="U18" s="906"/>
      <c r="V18" s="970"/>
      <c r="W18" s="1124" t="str">
        <f t="shared" si="5"/>
        <v>03.11.02</v>
      </c>
      <c r="X18" s="884" t="str">
        <f t="shared" si="2"/>
        <v>Bangunan Gedung Tempat Tinggal</v>
      </c>
      <c r="Y18" s="884">
        <f t="shared" si="3"/>
        <v>50</v>
      </c>
      <c r="Z18" s="868">
        <f t="shared" si="6"/>
        <v>2554968</v>
      </c>
      <c r="AA18" s="1051">
        <f t="shared" si="7"/>
        <v>14</v>
      </c>
      <c r="AB18" s="868">
        <f t="shared" si="8"/>
        <v>35769552</v>
      </c>
      <c r="AC18" s="868">
        <f t="shared" si="9"/>
        <v>2554968</v>
      </c>
      <c r="AD18" s="868">
        <f t="shared" si="10"/>
        <v>2554968</v>
      </c>
      <c r="AE18" s="868">
        <f t="shared" si="11"/>
        <v>2554968</v>
      </c>
      <c r="AF18" s="886">
        <f t="shared" si="12"/>
        <v>2554968</v>
      </c>
      <c r="AG18" s="886">
        <f t="shared" si="13"/>
        <v>2554968</v>
      </c>
      <c r="AH18" s="886">
        <f t="shared" si="14"/>
        <v>48544392</v>
      </c>
      <c r="AI18" s="1077">
        <f t="shared" si="4"/>
        <v>79204008</v>
      </c>
    </row>
    <row r="19" spans="1:35" s="946" customFormat="1" ht="40.5" customHeight="1" x14ac:dyDescent="0.2">
      <c r="A19" s="1306"/>
      <c r="B19" s="946" t="s">
        <v>461</v>
      </c>
      <c r="C19" s="1075" t="s">
        <v>2302</v>
      </c>
      <c r="D19" s="890"/>
      <c r="E19" s="907" t="s">
        <v>461</v>
      </c>
      <c r="F19" s="917"/>
      <c r="G19" s="878" t="s">
        <v>1752</v>
      </c>
      <c r="H19" s="878"/>
      <c r="I19" s="861" t="s">
        <v>43</v>
      </c>
      <c r="J19" s="862"/>
      <c r="K19" s="862"/>
      <c r="L19" s="862"/>
      <c r="M19" s="907" t="s">
        <v>10</v>
      </c>
      <c r="N19" s="862">
        <v>2000</v>
      </c>
      <c r="O19" s="862"/>
      <c r="P19" s="903">
        <v>192</v>
      </c>
      <c r="Q19" s="903" t="s">
        <v>11</v>
      </c>
      <c r="R19" s="862"/>
      <c r="S19" s="903" t="s">
        <v>12</v>
      </c>
      <c r="T19" s="879">
        <v>186192000</v>
      </c>
      <c r="U19" s="906"/>
      <c r="V19" s="970"/>
      <c r="W19" s="1124" t="str">
        <f t="shared" si="5"/>
        <v>03.11.01</v>
      </c>
      <c r="X19" s="884" t="str">
        <f t="shared" si="2"/>
        <v>Bangunan Gedung Tempat Kerja</v>
      </c>
      <c r="Y19" s="884">
        <f t="shared" si="3"/>
        <v>50</v>
      </c>
      <c r="Z19" s="868">
        <f t="shared" si="6"/>
        <v>3723840</v>
      </c>
      <c r="AA19" s="1051">
        <f t="shared" si="7"/>
        <v>13</v>
      </c>
      <c r="AB19" s="868">
        <f t="shared" si="8"/>
        <v>48409920</v>
      </c>
      <c r="AC19" s="868">
        <f t="shared" si="9"/>
        <v>3723840</v>
      </c>
      <c r="AD19" s="868">
        <f t="shared" si="10"/>
        <v>3723840</v>
      </c>
      <c r="AE19" s="868">
        <f t="shared" si="11"/>
        <v>3723840</v>
      </c>
      <c r="AF19" s="886">
        <f t="shared" si="12"/>
        <v>3723840</v>
      </c>
      <c r="AG19" s="886">
        <f t="shared" si="13"/>
        <v>3723840</v>
      </c>
      <c r="AH19" s="886">
        <f t="shared" si="14"/>
        <v>67029120</v>
      </c>
      <c r="AI19" s="1077">
        <f t="shared" si="4"/>
        <v>119162880</v>
      </c>
    </row>
    <row r="20" spans="1:35" s="946" customFormat="1" ht="40.5" customHeight="1" x14ac:dyDescent="0.2">
      <c r="A20" s="1306"/>
      <c r="B20" s="946" t="s">
        <v>4234</v>
      </c>
      <c r="C20" s="1075" t="s">
        <v>2302</v>
      </c>
      <c r="D20" s="890"/>
      <c r="E20" s="907" t="s">
        <v>460</v>
      </c>
      <c r="F20" s="917"/>
      <c r="G20" s="878" t="s">
        <v>1752</v>
      </c>
      <c r="H20" s="878"/>
      <c r="I20" s="861" t="s">
        <v>43</v>
      </c>
      <c r="J20" s="862"/>
      <c r="K20" s="862"/>
      <c r="L20" s="862"/>
      <c r="M20" s="907" t="s">
        <v>10</v>
      </c>
      <c r="N20" s="862">
        <v>2000</v>
      </c>
      <c r="O20" s="862"/>
      <c r="P20" s="903">
        <v>80</v>
      </c>
      <c r="Q20" s="903" t="s">
        <v>11</v>
      </c>
      <c r="R20" s="862"/>
      <c r="S20" s="903" t="s">
        <v>12</v>
      </c>
      <c r="T20" s="879">
        <v>77580000</v>
      </c>
      <c r="U20" s="906"/>
      <c r="V20" s="970"/>
      <c r="W20" s="1124" t="str">
        <f t="shared" si="5"/>
        <v>03.11.01</v>
      </c>
      <c r="X20" s="884" t="str">
        <f t="shared" si="2"/>
        <v>Bangunan Gedung Tempat Kerja</v>
      </c>
      <c r="Y20" s="884">
        <f t="shared" si="3"/>
        <v>50</v>
      </c>
      <c r="Z20" s="868">
        <f t="shared" si="6"/>
        <v>1551600</v>
      </c>
      <c r="AA20" s="1051">
        <f t="shared" si="7"/>
        <v>13</v>
      </c>
      <c r="AB20" s="868">
        <f t="shared" si="8"/>
        <v>20170800</v>
      </c>
      <c r="AC20" s="868">
        <f t="shared" si="9"/>
        <v>1551600</v>
      </c>
      <c r="AD20" s="868">
        <f t="shared" si="10"/>
        <v>1551600</v>
      </c>
      <c r="AE20" s="868">
        <f t="shared" si="11"/>
        <v>1551600</v>
      </c>
      <c r="AF20" s="886">
        <f t="shared" si="12"/>
        <v>1551600</v>
      </c>
      <c r="AG20" s="886">
        <f t="shared" si="13"/>
        <v>1551600</v>
      </c>
      <c r="AH20" s="886">
        <f t="shared" si="14"/>
        <v>27928800</v>
      </c>
      <c r="AI20" s="1077">
        <f t="shared" si="4"/>
        <v>49651200</v>
      </c>
    </row>
    <row r="21" spans="1:35" s="946" customFormat="1" ht="40.5" customHeight="1" x14ac:dyDescent="0.2">
      <c r="A21" s="1306"/>
      <c r="B21" s="946" t="s">
        <v>4235</v>
      </c>
      <c r="C21" s="1075" t="s">
        <v>2302</v>
      </c>
      <c r="D21" s="890"/>
      <c r="E21" s="907" t="s">
        <v>459</v>
      </c>
      <c r="F21" s="917"/>
      <c r="G21" s="878" t="s">
        <v>1752</v>
      </c>
      <c r="H21" s="878"/>
      <c r="I21" s="861" t="s">
        <v>43</v>
      </c>
      <c r="J21" s="862"/>
      <c r="K21" s="862"/>
      <c r="L21" s="862"/>
      <c r="M21" s="907" t="s">
        <v>10</v>
      </c>
      <c r="N21" s="862">
        <v>2000</v>
      </c>
      <c r="O21" s="862"/>
      <c r="P21" s="903">
        <v>48</v>
      </c>
      <c r="Q21" s="903" t="s">
        <v>11</v>
      </c>
      <c r="R21" s="862"/>
      <c r="S21" s="903" t="s">
        <v>12</v>
      </c>
      <c r="T21" s="879">
        <v>14760000</v>
      </c>
      <c r="U21" s="906"/>
      <c r="V21" s="970"/>
      <c r="W21" s="1124" t="str">
        <f t="shared" si="5"/>
        <v>03.11.01</v>
      </c>
      <c r="X21" s="884" t="str">
        <f t="shared" si="2"/>
        <v>Bangunan Gedung Tempat Kerja</v>
      </c>
      <c r="Y21" s="884">
        <f t="shared" si="3"/>
        <v>50</v>
      </c>
      <c r="Z21" s="868">
        <f t="shared" si="6"/>
        <v>295200</v>
      </c>
      <c r="AA21" s="1051">
        <f t="shared" si="7"/>
        <v>13</v>
      </c>
      <c r="AB21" s="868">
        <f t="shared" si="8"/>
        <v>3837600</v>
      </c>
      <c r="AC21" s="868">
        <f t="shared" si="9"/>
        <v>295200</v>
      </c>
      <c r="AD21" s="868">
        <f t="shared" si="10"/>
        <v>295200</v>
      </c>
      <c r="AE21" s="868">
        <f t="shared" si="11"/>
        <v>295200</v>
      </c>
      <c r="AF21" s="886">
        <f t="shared" si="12"/>
        <v>295200</v>
      </c>
      <c r="AG21" s="886">
        <f t="shared" si="13"/>
        <v>295200</v>
      </c>
      <c r="AH21" s="886">
        <f t="shared" si="14"/>
        <v>5313600</v>
      </c>
      <c r="AI21" s="1077">
        <f t="shared" si="4"/>
        <v>9446400</v>
      </c>
    </row>
    <row r="22" spans="1:35" s="670" customFormat="1" ht="40.5" customHeight="1" x14ac:dyDescent="0.2">
      <c r="A22" s="669">
        <v>1</v>
      </c>
      <c r="B22" s="670" t="s">
        <v>4216</v>
      </c>
      <c r="C22" s="773" t="s">
        <v>4247</v>
      </c>
      <c r="D22" s="652"/>
      <c r="E22" s="671" t="s">
        <v>457</v>
      </c>
      <c r="F22" s="672"/>
      <c r="G22" s="653" t="s">
        <v>1752</v>
      </c>
      <c r="H22" s="653"/>
      <c r="I22" s="673" t="s">
        <v>43</v>
      </c>
      <c r="J22" s="674"/>
      <c r="K22" s="674"/>
      <c r="L22" s="674"/>
      <c r="M22" s="671" t="s">
        <v>456</v>
      </c>
      <c r="N22" s="674">
        <v>2000</v>
      </c>
      <c r="O22" s="674"/>
      <c r="P22" s="675">
        <v>499.5</v>
      </c>
      <c r="Q22" s="675" t="s">
        <v>11</v>
      </c>
      <c r="R22" s="674"/>
      <c r="S22" s="675" t="s">
        <v>12</v>
      </c>
      <c r="T22" s="654">
        <f>811188000+F23+F24+F25+F26+F27</f>
        <v>1292774487.4663367</v>
      </c>
      <c r="U22" s="676"/>
      <c r="V22" s="1114"/>
      <c r="W22" s="647" t="str">
        <f t="shared" si="5"/>
        <v>03.11.01</v>
      </c>
      <c r="X22" s="648" t="str">
        <f t="shared" si="2"/>
        <v>Bangunan Gedung Tempat Kerja</v>
      </c>
      <c r="Y22" s="648">
        <f t="shared" si="3"/>
        <v>50</v>
      </c>
      <c r="Z22" s="649"/>
      <c r="AA22" s="718"/>
      <c r="AB22" s="649"/>
      <c r="AC22" s="649"/>
      <c r="AD22" s="649"/>
      <c r="AE22" s="649"/>
      <c r="AF22" s="649"/>
      <c r="AG22" s="650">
        <f>'PERHITUNGAN (C)'!U16</f>
        <v>19722043.957659662</v>
      </c>
      <c r="AH22" s="650">
        <f>'PERHITUNGAN (C)'!U20</f>
        <v>366991948.69802606</v>
      </c>
      <c r="AI22" s="677">
        <f t="shared" si="4"/>
        <v>925782538.76831067</v>
      </c>
    </row>
    <row r="23" spans="1:35" s="48" customFormat="1" ht="40.5" customHeight="1" x14ac:dyDescent="0.2">
      <c r="A23" s="296">
        <v>1</v>
      </c>
      <c r="B23" s="48" t="s">
        <v>4216</v>
      </c>
      <c r="C23" s="772" t="s">
        <v>4247</v>
      </c>
      <c r="D23" s="73"/>
      <c r="E23" s="65" t="s">
        <v>1074</v>
      </c>
      <c r="F23" s="555">
        <v>19496000</v>
      </c>
      <c r="G23" s="67" t="s">
        <v>1752</v>
      </c>
      <c r="H23" s="67"/>
      <c r="I23" s="33" t="s">
        <v>43</v>
      </c>
      <c r="J23" s="40"/>
      <c r="K23" s="40"/>
      <c r="L23" s="40"/>
      <c r="M23" s="72" t="s">
        <v>52</v>
      </c>
      <c r="N23" s="40">
        <v>2012</v>
      </c>
      <c r="O23" s="40"/>
      <c r="P23" s="32"/>
      <c r="Q23" s="33"/>
      <c r="R23" s="40"/>
      <c r="S23" s="32" t="s">
        <v>12</v>
      </c>
      <c r="T23" s="252"/>
      <c r="U23" s="61"/>
      <c r="V23" s="1115"/>
      <c r="W23" s="206" t="str">
        <f t="shared" si="5"/>
        <v>03.11.01</v>
      </c>
      <c r="X23" s="207" t="str">
        <f t="shared" si="2"/>
        <v>Bangunan Gedung Tempat Kerja</v>
      </c>
      <c r="Y23" s="207">
        <f t="shared" si="3"/>
        <v>50</v>
      </c>
      <c r="Z23" s="233"/>
      <c r="AA23" s="714"/>
      <c r="AB23" s="233"/>
      <c r="AC23" s="233"/>
      <c r="AD23" s="233"/>
      <c r="AE23" s="233"/>
      <c r="AF23" s="233"/>
      <c r="AG23" s="238"/>
      <c r="AH23" s="238"/>
      <c r="AI23" s="210">
        <f t="shared" si="4"/>
        <v>0</v>
      </c>
    </row>
    <row r="24" spans="1:35" s="48" customFormat="1" ht="40.5" customHeight="1" x14ac:dyDescent="0.2">
      <c r="A24" s="296">
        <v>1</v>
      </c>
      <c r="B24" s="48" t="s">
        <v>4216</v>
      </c>
      <c r="C24" s="772" t="s">
        <v>4247</v>
      </c>
      <c r="D24" s="73"/>
      <c r="E24" s="65" t="s">
        <v>419</v>
      </c>
      <c r="F24" s="555">
        <v>90096487.466336727</v>
      </c>
      <c r="G24" s="67" t="s">
        <v>1752</v>
      </c>
      <c r="H24" s="67"/>
      <c r="I24" s="33"/>
      <c r="J24" s="40"/>
      <c r="K24" s="40"/>
      <c r="L24" s="40"/>
      <c r="M24" s="72" t="s">
        <v>52</v>
      </c>
      <c r="N24" s="40">
        <v>2013</v>
      </c>
      <c r="O24" s="40"/>
      <c r="P24" s="32"/>
      <c r="Q24" s="33"/>
      <c r="R24" s="40"/>
      <c r="S24" s="32" t="s">
        <v>12</v>
      </c>
      <c r="T24" s="252"/>
      <c r="U24" s="105" t="s">
        <v>418</v>
      </c>
      <c r="V24" s="1116"/>
      <c r="W24" s="206" t="str">
        <f t="shared" si="5"/>
        <v>03.11.01</v>
      </c>
      <c r="X24" s="207" t="str">
        <f t="shared" si="2"/>
        <v>Bangunan Gedung Tempat Kerja</v>
      </c>
      <c r="Y24" s="207">
        <f t="shared" si="3"/>
        <v>50</v>
      </c>
      <c r="Z24" s="233"/>
      <c r="AA24" s="714"/>
      <c r="AB24" s="233"/>
      <c r="AC24" s="233"/>
      <c r="AD24" s="233"/>
      <c r="AE24" s="233"/>
      <c r="AF24" s="233"/>
      <c r="AG24" s="238"/>
      <c r="AH24" s="238"/>
      <c r="AI24" s="210">
        <f t="shared" si="4"/>
        <v>0</v>
      </c>
    </row>
    <row r="25" spans="1:35" s="48" customFormat="1" ht="40.5" customHeight="1" x14ac:dyDescent="0.2">
      <c r="A25" s="296">
        <v>1</v>
      </c>
      <c r="B25" s="48" t="s">
        <v>4216</v>
      </c>
      <c r="C25" s="772" t="s">
        <v>4247</v>
      </c>
      <c r="D25" s="73"/>
      <c r="E25" s="65" t="s">
        <v>1077</v>
      </c>
      <c r="F25" s="555">
        <v>149601000</v>
      </c>
      <c r="G25" s="67" t="s">
        <v>1752</v>
      </c>
      <c r="H25" s="67"/>
      <c r="I25" s="33"/>
      <c r="J25" s="40"/>
      <c r="K25" s="40"/>
      <c r="L25" s="40"/>
      <c r="M25" s="72" t="s">
        <v>1099</v>
      </c>
      <c r="N25" s="40">
        <v>2014</v>
      </c>
      <c r="O25" s="40"/>
      <c r="P25" s="32"/>
      <c r="Q25" s="33"/>
      <c r="R25" s="40"/>
      <c r="S25" s="32" t="s">
        <v>12</v>
      </c>
      <c r="T25" s="252"/>
      <c r="U25" s="105"/>
      <c r="V25" s="1116"/>
      <c r="W25" s="206" t="str">
        <f t="shared" si="5"/>
        <v>03.11.01</v>
      </c>
      <c r="X25" s="207" t="str">
        <f t="shared" si="2"/>
        <v>Bangunan Gedung Tempat Kerja</v>
      </c>
      <c r="Y25" s="207">
        <f t="shared" si="3"/>
        <v>50</v>
      </c>
      <c r="Z25" s="233"/>
      <c r="AA25" s="714"/>
      <c r="AB25" s="233"/>
      <c r="AC25" s="233"/>
      <c r="AD25" s="233"/>
      <c r="AE25" s="233"/>
      <c r="AF25" s="233"/>
      <c r="AG25" s="238"/>
      <c r="AH25" s="238"/>
      <c r="AI25" s="210">
        <f t="shared" si="4"/>
        <v>0</v>
      </c>
    </row>
    <row r="26" spans="1:35" s="48" customFormat="1" ht="40.5" customHeight="1" x14ac:dyDescent="0.2">
      <c r="A26" s="296">
        <v>1</v>
      </c>
      <c r="B26" s="48" t="s">
        <v>4216</v>
      </c>
      <c r="C26" s="772" t="s">
        <v>4247</v>
      </c>
      <c r="D26" s="73"/>
      <c r="E26" s="333" t="s">
        <v>3027</v>
      </c>
      <c r="F26" s="668">
        <v>74799000</v>
      </c>
      <c r="G26" s="67" t="s">
        <v>1752</v>
      </c>
      <c r="H26" s="67"/>
      <c r="I26" s="33"/>
      <c r="J26" s="40"/>
      <c r="K26" s="40"/>
      <c r="L26" s="40"/>
      <c r="M26" s="72" t="s">
        <v>2966</v>
      </c>
      <c r="N26" s="40">
        <v>2017</v>
      </c>
      <c r="O26" s="40"/>
      <c r="P26" s="32"/>
      <c r="Q26" s="33"/>
      <c r="R26" s="40"/>
      <c r="S26" s="32"/>
      <c r="T26" s="252"/>
      <c r="U26" s="105"/>
      <c r="V26" s="1116"/>
      <c r="W26" s="206" t="str">
        <f t="shared" si="5"/>
        <v>03.11.01</v>
      </c>
      <c r="X26" s="207" t="str">
        <f t="shared" si="2"/>
        <v>Bangunan Gedung Tempat Kerja</v>
      </c>
      <c r="Y26" s="207">
        <f t="shared" si="3"/>
        <v>50</v>
      </c>
      <c r="Z26" s="233"/>
      <c r="AA26" s="714"/>
      <c r="AB26" s="233"/>
      <c r="AC26" s="233"/>
      <c r="AD26" s="233"/>
      <c r="AE26" s="233"/>
      <c r="AF26" s="233"/>
      <c r="AG26" s="238"/>
      <c r="AH26" s="238"/>
      <c r="AI26" s="210">
        <f t="shared" si="4"/>
        <v>0</v>
      </c>
    </row>
    <row r="27" spans="1:35" s="48" customFormat="1" ht="40.5" customHeight="1" x14ac:dyDescent="0.2">
      <c r="A27" s="296">
        <v>1</v>
      </c>
      <c r="B27" s="48" t="s">
        <v>4216</v>
      </c>
      <c r="C27" s="772" t="s">
        <v>4247</v>
      </c>
      <c r="D27" s="73"/>
      <c r="E27" s="333" t="s">
        <v>3028</v>
      </c>
      <c r="F27" s="668">
        <v>147594000</v>
      </c>
      <c r="G27" s="67" t="s">
        <v>1752</v>
      </c>
      <c r="H27" s="67"/>
      <c r="I27" s="33"/>
      <c r="J27" s="40"/>
      <c r="K27" s="40"/>
      <c r="L27" s="40"/>
      <c r="M27" s="72" t="s">
        <v>2966</v>
      </c>
      <c r="N27" s="40">
        <v>2017</v>
      </c>
      <c r="O27" s="40"/>
      <c r="P27" s="32"/>
      <c r="Q27" s="33"/>
      <c r="R27" s="40"/>
      <c r="S27" s="32"/>
      <c r="T27" s="252"/>
      <c r="U27" s="105"/>
      <c r="V27" s="1116"/>
      <c r="W27" s="206" t="str">
        <f t="shared" si="5"/>
        <v>03.11.01</v>
      </c>
      <c r="X27" s="207" t="str">
        <f t="shared" si="2"/>
        <v>Bangunan Gedung Tempat Kerja</v>
      </c>
      <c r="Y27" s="207">
        <f t="shared" si="3"/>
        <v>50</v>
      </c>
      <c r="Z27" s="233"/>
      <c r="AA27" s="714"/>
      <c r="AB27" s="233"/>
      <c r="AC27" s="233"/>
      <c r="AD27" s="233"/>
      <c r="AE27" s="233"/>
      <c r="AF27" s="233"/>
      <c r="AG27" s="238"/>
      <c r="AH27" s="238"/>
      <c r="AI27" s="210">
        <f t="shared" si="4"/>
        <v>0</v>
      </c>
    </row>
    <row r="28" spans="1:35" s="946" customFormat="1" ht="40.5" customHeight="1" x14ac:dyDescent="0.2">
      <c r="A28" s="1306"/>
      <c r="B28" s="946" t="s">
        <v>4236</v>
      </c>
      <c r="C28" s="1075" t="s">
        <v>2302</v>
      </c>
      <c r="D28" s="890"/>
      <c r="E28" s="907" t="s">
        <v>455</v>
      </c>
      <c r="F28" s="917"/>
      <c r="G28" s="878" t="s">
        <v>2833</v>
      </c>
      <c r="H28" s="878"/>
      <c r="I28" s="861" t="s">
        <v>43</v>
      </c>
      <c r="J28" s="862"/>
      <c r="K28" s="862"/>
      <c r="L28" s="862"/>
      <c r="M28" s="907" t="s">
        <v>10</v>
      </c>
      <c r="N28" s="862">
        <v>2000</v>
      </c>
      <c r="O28" s="862"/>
      <c r="P28" s="903">
        <v>36</v>
      </c>
      <c r="Q28" s="903" t="s">
        <v>11</v>
      </c>
      <c r="R28" s="862"/>
      <c r="S28" s="903" t="s">
        <v>12</v>
      </c>
      <c r="T28" s="879">
        <v>35370000</v>
      </c>
      <c r="U28" s="906"/>
      <c r="V28" s="970"/>
      <c r="W28" s="1124" t="str">
        <f t="shared" si="5"/>
        <v>03.11.02</v>
      </c>
      <c r="X28" s="884" t="str">
        <f t="shared" si="2"/>
        <v>Bangunan Gedung Tempat Tinggal</v>
      </c>
      <c r="Y28" s="884">
        <f t="shared" si="3"/>
        <v>50</v>
      </c>
      <c r="Z28" s="868">
        <f t="shared" ref="Z28:Z33" si="15">T28/Y28</f>
        <v>707400</v>
      </c>
      <c r="AA28" s="1051">
        <f t="shared" ref="AA28:AA33" si="16">IF(2013-N28&gt;Y28,Y28,IF(2013-N28&lt;0,0,2013-N28))</f>
        <v>13</v>
      </c>
      <c r="AB28" s="868">
        <f t="shared" ref="AB28:AB33" si="17">IF(AA28&gt;Y28,T28,Z28*AA28)</f>
        <v>9196200</v>
      </c>
      <c r="AC28" s="868">
        <f t="shared" ref="AC28:AC33" si="18">IF(T28=AB28,0,Z28)</f>
        <v>707400</v>
      </c>
      <c r="AD28" s="868">
        <f t="shared" ref="AD28:AD33" si="19">IF(T28=AB28+AC28,0,Z28)</f>
        <v>707400</v>
      </c>
      <c r="AE28" s="868">
        <f t="shared" ref="AE28:AE33" si="20">IF(T28=AB28+AC28+AD28,0,Z28)</f>
        <v>707400</v>
      </c>
      <c r="AF28" s="886">
        <f t="shared" ref="AF28:AF33" si="21">IF(T28=AB28+AC28+AD28+AE28,0,Z28)</f>
        <v>707400</v>
      </c>
      <c r="AG28" s="886">
        <f t="shared" ref="AG28:AG33" si="22">IF(T28=AB28+AC28+AD28+AE28+AF28,0,Z28)</f>
        <v>707400</v>
      </c>
      <c r="AH28" s="886">
        <f t="shared" ref="AH28:AH33" si="23">SUM(AB28:AG28)</f>
        <v>12733200</v>
      </c>
      <c r="AI28" s="1077">
        <f t="shared" si="4"/>
        <v>22636800</v>
      </c>
    </row>
    <row r="29" spans="1:35" s="946" customFormat="1" ht="40.5" customHeight="1" x14ac:dyDescent="0.2">
      <c r="A29" s="1306"/>
      <c r="B29" s="946" t="s">
        <v>4237</v>
      </c>
      <c r="C29" s="1075" t="s">
        <v>2302</v>
      </c>
      <c r="D29" s="890"/>
      <c r="E29" s="907" t="s">
        <v>453</v>
      </c>
      <c r="F29" s="917"/>
      <c r="G29" s="878" t="s">
        <v>2613</v>
      </c>
      <c r="H29" s="878"/>
      <c r="I29" s="861" t="s">
        <v>43</v>
      </c>
      <c r="J29" s="862"/>
      <c r="K29" s="862"/>
      <c r="L29" s="862"/>
      <c r="M29" s="907" t="s">
        <v>10</v>
      </c>
      <c r="N29" s="862">
        <v>2000</v>
      </c>
      <c r="O29" s="862"/>
      <c r="P29" s="903">
        <v>36</v>
      </c>
      <c r="Q29" s="903" t="s">
        <v>11</v>
      </c>
      <c r="R29" s="862"/>
      <c r="S29" s="903" t="s">
        <v>12</v>
      </c>
      <c r="T29" s="879">
        <v>35370000</v>
      </c>
      <c r="U29" s="906"/>
      <c r="V29" s="970"/>
      <c r="W29" s="1124" t="str">
        <f t="shared" si="5"/>
        <v>03.11.01</v>
      </c>
      <c r="X29" s="884" t="str">
        <f t="shared" si="2"/>
        <v>Bangunan Gedung Tempat Kerja</v>
      </c>
      <c r="Y29" s="884">
        <f t="shared" si="3"/>
        <v>50</v>
      </c>
      <c r="Z29" s="868">
        <f t="shared" si="15"/>
        <v>707400</v>
      </c>
      <c r="AA29" s="1051">
        <f t="shared" si="16"/>
        <v>13</v>
      </c>
      <c r="AB29" s="868">
        <f t="shared" si="17"/>
        <v>9196200</v>
      </c>
      <c r="AC29" s="868">
        <f t="shared" si="18"/>
        <v>707400</v>
      </c>
      <c r="AD29" s="868">
        <f t="shared" si="19"/>
        <v>707400</v>
      </c>
      <c r="AE29" s="868">
        <f t="shared" si="20"/>
        <v>707400</v>
      </c>
      <c r="AF29" s="886">
        <f t="shared" si="21"/>
        <v>707400</v>
      </c>
      <c r="AG29" s="886">
        <f t="shared" si="22"/>
        <v>707400</v>
      </c>
      <c r="AH29" s="886">
        <f t="shared" si="23"/>
        <v>12733200</v>
      </c>
      <c r="AI29" s="1077">
        <f t="shared" si="4"/>
        <v>22636800</v>
      </c>
    </row>
    <row r="30" spans="1:35" s="946" customFormat="1" ht="40.5" customHeight="1" x14ac:dyDescent="0.2">
      <c r="A30" s="1306"/>
      <c r="B30" s="946" t="s">
        <v>4238</v>
      </c>
      <c r="C30" s="1075" t="s">
        <v>2302</v>
      </c>
      <c r="D30" s="890"/>
      <c r="E30" s="907" t="s">
        <v>451</v>
      </c>
      <c r="F30" s="917"/>
      <c r="G30" s="878" t="s">
        <v>2834</v>
      </c>
      <c r="H30" s="878"/>
      <c r="I30" s="861" t="s">
        <v>43</v>
      </c>
      <c r="J30" s="862"/>
      <c r="K30" s="862"/>
      <c r="L30" s="862"/>
      <c r="M30" s="907" t="s">
        <v>10</v>
      </c>
      <c r="N30" s="862">
        <v>2000</v>
      </c>
      <c r="O30" s="862"/>
      <c r="P30" s="903">
        <v>18</v>
      </c>
      <c r="Q30" s="903" t="s">
        <v>11</v>
      </c>
      <c r="R30" s="862"/>
      <c r="S30" s="903" t="s">
        <v>12</v>
      </c>
      <c r="T30" s="879">
        <v>17685000</v>
      </c>
      <c r="U30" s="906"/>
      <c r="V30" s="970"/>
      <c r="W30" s="1124" t="str">
        <f t="shared" si="5"/>
        <v>03.11.02</v>
      </c>
      <c r="X30" s="884" t="str">
        <f t="shared" si="2"/>
        <v>Bangunan Gedung Tempat Tinggal</v>
      </c>
      <c r="Y30" s="884">
        <f t="shared" si="3"/>
        <v>50</v>
      </c>
      <c r="Z30" s="868">
        <f t="shared" si="15"/>
        <v>353700</v>
      </c>
      <c r="AA30" s="1051">
        <f t="shared" si="16"/>
        <v>13</v>
      </c>
      <c r="AB30" s="868">
        <f t="shared" si="17"/>
        <v>4598100</v>
      </c>
      <c r="AC30" s="868">
        <f t="shared" si="18"/>
        <v>353700</v>
      </c>
      <c r="AD30" s="868">
        <f t="shared" si="19"/>
        <v>353700</v>
      </c>
      <c r="AE30" s="868">
        <f t="shared" si="20"/>
        <v>353700</v>
      </c>
      <c r="AF30" s="886">
        <f t="shared" si="21"/>
        <v>353700</v>
      </c>
      <c r="AG30" s="886">
        <f t="shared" si="22"/>
        <v>353700</v>
      </c>
      <c r="AH30" s="886">
        <f t="shared" si="23"/>
        <v>6366600</v>
      </c>
      <c r="AI30" s="1077">
        <f t="shared" si="4"/>
        <v>11318400</v>
      </c>
    </row>
    <row r="31" spans="1:35" s="946" customFormat="1" ht="40.5" customHeight="1" x14ac:dyDescent="0.2">
      <c r="A31" s="1306"/>
      <c r="B31" s="946" t="s">
        <v>4239</v>
      </c>
      <c r="C31" s="1075" t="s">
        <v>2302</v>
      </c>
      <c r="D31" s="890"/>
      <c r="E31" s="907" t="s">
        <v>449</v>
      </c>
      <c r="F31" s="917"/>
      <c r="G31" s="878" t="s">
        <v>2835</v>
      </c>
      <c r="H31" s="878"/>
      <c r="I31" s="861" t="s">
        <v>43</v>
      </c>
      <c r="J31" s="862"/>
      <c r="K31" s="862"/>
      <c r="L31" s="862"/>
      <c r="M31" s="907" t="s">
        <v>10</v>
      </c>
      <c r="N31" s="862">
        <v>2000</v>
      </c>
      <c r="O31" s="862"/>
      <c r="P31" s="903">
        <v>64</v>
      </c>
      <c r="Q31" s="903" t="s">
        <v>11</v>
      </c>
      <c r="R31" s="862"/>
      <c r="S31" s="903" t="s">
        <v>12</v>
      </c>
      <c r="T31" s="879">
        <v>19680000</v>
      </c>
      <c r="U31" s="906"/>
      <c r="V31" s="970"/>
      <c r="W31" s="1124" t="str">
        <f t="shared" si="5"/>
        <v>03.11.01</v>
      </c>
      <c r="X31" s="884" t="str">
        <f t="shared" si="2"/>
        <v>Bangunan Gedung Tempat Kerja</v>
      </c>
      <c r="Y31" s="884">
        <f t="shared" si="3"/>
        <v>50</v>
      </c>
      <c r="Z31" s="868">
        <f t="shared" si="15"/>
        <v>393600</v>
      </c>
      <c r="AA31" s="1051">
        <f t="shared" si="16"/>
        <v>13</v>
      </c>
      <c r="AB31" s="868">
        <f t="shared" si="17"/>
        <v>5116800</v>
      </c>
      <c r="AC31" s="868">
        <f t="shared" si="18"/>
        <v>393600</v>
      </c>
      <c r="AD31" s="868">
        <f t="shared" si="19"/>
        <v>393600</v>
      </c>
      <c r="AE31" s="868">
        <f t="shared" si="20"/>
        <v>393600</v>
      </c>
      <c r="AF31" s="886">
        <f t="shared" si="21"/>
        <v>393600</v>
      </c>
      <c r="AG31" s="886">
        <f t="shared" si="22"/>
        <v>393600</v>
      </c>
      <c r="AH31" s="886">
        <f t="shared" si="23"/>
        <v>7084800</v>
      </c>
      <c r="AI31" s="1077">
        <f t="shared" si="4"/>
        <v>12595200</v>
      </c>
    </row>
    <row r="32" spans="1:35" s="946" customFormat="1" ht="40.5" customHeight="1" x14ac:dyDescent="0.2">
      <c r="A32" s="1306"/>
      <c r="B32" s="946" t="s">
        <v>4240</v>
      </c>
      <c r="C32" s="1075" t="s">
        <v>2302</v>
      </c>
      <c r="D32" s="890"/>
      <c r="E32" s="907" t="s">
        <v>447</v>
      </c>
      <c r="F32" s="917"/>
      <c r="G32" s="878" t="s">
        <v>1892</v>
      </c>
      <c r="H32" s="878"/>
      <c r="I32" s="861" t="s">
        <v>43</v>
      </c>
      <c r="J32" s="862"/>
      <c r="K32" s="862"/>
      <c r="L32" s="862"/>
      <c r="M32" s="907" t="s">
        <v>10</v>
      </c>
      <c r="N32" s="862">
        <v>2000</v>
      </c>
      <c r="O32" s="862"/>
      <c r="P32" s="903">
        <v>4</v>
      </c>
      <c r="Q32" s="903" t="s">
        <v>11</v>
      </c>
      <c r="R32" s="862"/>
      <c r="S32" s="903" t="s">
        <v>12</v>
      </c>
      <c r="T32" s="879">
        <v>3879000</v>
      </c>
      <c r="U32" s="906"/>
      <c r="V32" s="970"/>
      <c r="W32" s="1124" t="str">
        <f t="shared" si="5"/>
        <v>03.11.01</v>
      </c>
      <c r="X32" s="884" t="str">
        <f t="shared" si="2"/>
        <v>Bangunan Gedung Tempat Kerja</v>
      </c>
      <c r="Y32" s="884">
        <f t="shared" si="3"/>
        <v>50</v>
      </c>
      <c r="Z32" s="868">
        <f t="shared" si="15"/>
        <v>77580</v>
      </c>
      <c r="AA32" s="1051">
        <f t="shared" si="16"/>
        <v>13</v>
      </c>
      <c r="AB32" s="868">
        <f t="shared" si="17"/>
        <v>1008540</v>
      </c>
      <c r="AC32" s="868">
        <f t="shared" si="18"/>
        <v>77580</v>
      </c>
      <c r="AD32" s="868">
        <f t="shared" si="19"/>
        <v>77580</v>
      </c>
      <c r="AE32" s="868">
        <f t="shared" si="20"/>
        <v>77580</v>
      </c>
      <c r="AF32" s="886">
        <f t="shared" si="21"/>
        <v>77580</v>
      </c>
      <c r="AG32" s="886">
        <f t="shared" si="22"/>
        <v>77580</v>
      </c>
      <c r="AH32" s="886">
        <f t="shared" si="23"/>
        <v>1396440</v>
      </c>
      <c r="AI32" s="1077">
        <f t="shared" si="4"/>
        <v>2482560</v>
      </c>
    </row>
    <row r="33" spans="1:35" s="946" customFormat="1" ht="40.5" customHeight="1" x14ac:dyDescent="0.2">
      <c r="A33" s="1306"/>
      <c r="C33" s="1075" t="s">
        <v>2302</v>
      </c>
      <c r="D33" s="890"/>
      <c r="E33" s="907" t="s">
        <v>445</v>
      </c>
      <c r="F33" s="917"/>
      <c r="G33" s="878" t="s">
        <v>1752</v>
      </c>
      <c r="H33" s="878"/>
      <c r="I33" s="861"/>
      <c r="J33" s="862"/>
      <c r="K33" s="862"/>
      <c r="L33" s="862"/>
      <c r="M33" s="907" t="s">
        <v>434</v>
      </c>
      <c r="N33" s="862">
        <v>2000</v>
      </c>
      <c r="O33" s="862"/>
      <c r="P33" s="903">
        <v>42</v>
      </c>
      <c r="Q33" s="903" t="s">
        <v>430</v>
      </c>
      <c r="R33" s="862"/>
      <c r="S33" s="903" t="s">
        <v>433</v>
      </c>
      <c r="T33" s="879">
        <v>40729500</v>
      </c>
      <c r="U33" s="906"/>
      <c r="V33" s="970"/>
      <c r="W33" s="1124" t="str">
        <f t="shared" si="5"/>
        <v>03.11.01</v>
      </c>
      <c r="X33" s="884" t="str">
        <f t="shared" si="2"/>
        <v>Bangunan Gedung Tempat Kerja</v>
      </c>
      <c r="Y33" s="884">
        <f t="shared" si="3"/>
        <v>50</v>
      </c>
      <c r="Z33" s="868">
        <f t="shared" si="15"/>
        <v>814590</v>
      </c>
      <c r="AA33" s="1051">
        <f t="shared" si="16"/>
        <v>13</v>
      </c>
      <c r="AB33" s="868">
        <f t="shared" si="17"/>
        <v>10589670</v>
      </c>
      <c r="AC33" s="868">
        <f t="shared" si="18"/>
        <v>814590</v>
      </c>
      <c r="AD33" s="868">
        <f t="shared" si="19"/>
        <v>814590</v>
      </c>
      <c r="AE33" s="868">
        <f t="shared" si="20"/>
        <v>814590</v>
      </c>
      <c r="AF33" s="886">
        <f t="shared" si="21"/>
        <v>814590</v>
      </c>
      <c r="AG33" s="886">
        <f t="shared" si="22"/>
        <v>814590</v>
      </c>
      <c r="AH33" s="886">
        <f t="shared" si="23"/>
        <v>14662620</v>
      </c>
      <c r="AI33" s="1077">
        <f t="shared" si="4"/>
        <v>26066880</v>
      </c>
    </row>
    <row r="34" spans="1:35" s="670" customFormat="1" ht="40.5" customHeight="1" x14ac:dyDescent="0.2">
      <c r="A34" s="669">
        <v>2</v>
      </c>
      <c r="B34" s="670" t="s">
        <v>442</v>
      </c>
      <c r="C34" s="773" t="s">
        <v>4247</v>
      </c>
      <c r="D34" s="652"/>
      <c r="E34" s="671" t="s">
        <v>439</v>
      </c>
      <c r="F34" s="672"/>
      <c r="G34" s="653" t="s">
        <v>1752</v>
      </c>
      <c r="H34" s="653"/>
      <c r="I34" s="673" t="s">
        <v>43</v>
      </c>
      <c r="J34" s="674"/>
      <c r="K34" s="674"/>
      <c r="L34" s="674"/>
      <c r="M34" s="671" t="s">
        <v>437</v>
      </c>
      <c r="N34" s="674">
        <v>2000</v>
      </c>
      <c r="O34" s="674"/>
      <c r="P34" s="675">
        <v>53.4</v>
      </c>
      <c r="Q34" s="675" t="s">
        <v>430</v>
      </c>
      <c r="R34" s="674"/>
      <c r="S34" s="675" t="s">
        <v>12</v>
      </c>
      <c r="T34" s="654">
        <f>48967800+F35+F36+F37</f>
        <v>227262135</v>
      </c>
      <c r="U34" s="676"/>
      <c r="V34" s="1114"/>
      <c r="W34" s="647" t="str">
        <f t="shared" si="5"/>
        <v>03.11.01</v>
      </c>
      <c r="X34" s="648" t="str">
        <f t="shared" si="2"/>
        <v>Bangunan Gedung Tempat Kerja</v>
      </c>
      <c r="Y34" s="648">
        <f t="shared" si="3"/>
        <v>50</v>
      </c>
      <c r="Z34" s="649"/>
      <c r="AA34" s="718"/>
      <c r="AB34" s="649"/>
      <c r="AC34" s="649"/>
      <c r="AD34" s="649"/>
      <c r="AE34" s="649"/>
      <c r="AF34" s="649"/>
      <c r="AG34" s="650">
        <f>'PERHITUNGAN (C)'!U37</f>
        <v>4286380.8609600002</v>
      </c>
      <c r="AH34" s="650">
        <f>'PERHITUNGAN (C)'!U42</f>
        <v>77238804.866400018</v>
      </c>
      <c r="AI34" s="677">
        <f t="shared" si="4"/>
        <v>150023330.1336</v>
      </c>
    </row>
    <row r="35" spans="1:35" s="48" customFormat="1" ht="40.5" customHeight="1" x14ac:dyDescent="0.2">
      <c r="A35" s="296">
        <v>2</v>
      </c>
      <c r="B35" s="48" t="s">
        <v>442</v>
      </c>
      <c r="C35" s="772" t="s">
        <v>4247</v>
      </c>
      <c r="D35" s="73"/>
      <c r="E35" s="65" t="s">
        <v>442</v>
      </c>
      <c r="F35" s="555">
        <v>34332480</v>
      </c>
      <c r="G35" s="67" t="s">
        <v>1752</v>
      </c>
      <c r="H35" s="67"/>
      <c r="I35" s="33" t="s">
        <v>43</v>
      </c>
      <c r="J35" s="40"/>
      <c r="K35" s="40"/>
      <c r="L35" s="40"/>
      <c r="M35" s="65" t="s">
        <v>437</v>
      </c>
      <c r="N35" s="40">
        <v>2000</v>
      </c>
      <c r="O35" s="40"/>
      <c r="P35" s="32">
        <v>37.44</v>
      </c>
      <c r="Q35" s="32" t="s">
        <v>430</v>
      </c>
      <c r="R35" s="40"/>
      <c r="S35" s="32" t="s">
        <v>12</v>
      </c>
      <c r="T35" s="252"/>
      <c r="U35" s="61"/>
      <c r="V35" s="1115"/>
      <c r="W35" s="206" t="str">
        <f t="shared" si="5"/>
        <v>03.11.01</v>
      </c>
      <c r="X35" s="207" t="str">
        <f t="shared" si="2"/>
        <v>Bangunan Gedung Tempat Kerja</v>
      </c>
      <c r="Y35" s="207">
        <f t="shared" si="3"/>
        <v>50</v>
      </c>
      <c r="Z35" s="233"/>
      <c r="AA35" s="714"/>
      <c r="AB35" s="233"/>
      <c r="AC35" s="233"/>
      <c r="AD35" s="233"/>
      <c r="AE35" s="233"/>
      <c r="AF35" s="233"/>
      <c r="AG35" s="238"/>
      <c r="AH35" s="238"/>
      <c r="AI35" s="210">
        <f t="shared" si="4"/>
        <v>0</v>
      </c>
    </row>
    <row r="36" spans="1:35" s="48" customFormat="1" ht="40.5" customHeight="1" x14ac:dyDescent="0.2">
      <c r="A36" s="296">
        <v>2</v>
      </c>
      <c r="B36" s="48" t="s">
        <v>442</v>
      </c>
      <c r="C36" s="772" t="s">
        <v>4247</v>
      </c>
      <c r="D36" s="73"/>
      <c r="E36" s="65" t="s">
        <v>442</v>
      </c>
      <c r="F36" s="555">
        <v>59329305</v>
      </c>
      <c r="G36" s="67" t="s">
        <v>1752</v>
      </c>
      <c r="H36" s="67"/>
      <c r="I36" s="33" t="s">
        <v>43</v>
      </c>
      <c r="J36" s="40"/>
      <c r="K36" s="40"/>
      <c r="L36" s="40"/>
      <c r="M36" s="65" t="s">
        <v>437</v>
      </c>
      <c r="N36" s="40">
        <v>2001</v>
      </c>
      <c r="O36" s="40"/>
      <c r="P36" s="32">
        <v>65.55</v>
      </c>
      <c r="Q36" s="32" t="s">
        <v>430</v>
      </c>
      <c r="R36" s="40"/>
      <c r="S36" s="32" t="s">
        <v>12</v>
      </c>
      <c r="T36" s="252"/>
      <c r="U36" s="61"/>
      <c r="V36" s="1115"/>
      <c r="W36" s="206" t="str">
        <f t="shared" si="5"/>
        <v>03.11.01</v>
      </c>
      <c r="X36" s="207" t="str">
        <f t="shared" si="2"/>
        <v>Bangunan Gedung Tempat Kerja</v>
      </c>
      <c r="Y36" s="207">
        <f t="shared" si="3"/>
        <v>50</v>
      </c>
      <c r="Z36" s="233"/>
      <c r="AA36" s="714"/>
      <c r="AB36" s="233"/>
      <c r="AC36" s="233"/>
      <c r="AD36" s="233"/>
      <c r="AE36" s="233"/>
      <c r="AF36" s="233"/>
      <c r="AG36" s="238"/>
      <c r="AH36" s="238"/>
      <c r="AI36" s="210">
        <f t="shared" si="4"/>
        <v>0</v>
      </c>
    </row>
    <row r="37" spans="1:35" s="48" customFormat="1" ht="40.5" customHeight="1" x14ac:dyDescent="0.2">
      <c r="A37" s="296">
        <v>2</v>
      </c>
      <c r="B37" s="48" t="s">
        <v>442</v>
      </c>
      <c r="C37" s="772" t="s">
        <v>4247</v>
      </c>
      <c r="D37" s="73"/>
      <c r="E37" s="65" t="s">
        <v>439</v>
      </c>
      <c r="F37" s="555">
        <v>84632550</v>
      </c>
      <c r="G37" s="67" t="s">
        <v>1752</v>
      </c>
      <c r="H37" s="67"/>
      <c r="I37" s="33" t="s">
        <v>43</v>
      </c>
      <c r="J37" s="40"/>
      <c r="K37" s="40"/>
      <c r="L37" s="40"/>
      <c r="M37" s="65" t="s">
        <v>437</v>
      </c>
      <c r="N37" s="40">
        <v>2005</v>
      </c>
      <c r="O37" s="40"/>
      <c r="P37" s="32">
        <v>86.14</v>
      </c>
      <c r="Q37" s="32" t="s">
        <v>430</v>
      </c>
      <c r="R37" s="40"/>
      <c r="S37" s="32" t="s">
        <v>12</v>
      </c>
      <c r="T37" s="252"/>
      <c r="U37" s="61"/>
      <c r="V37" s="1115"/>
      <c r="W37" s="206" t="str">
        <f t="shared" si="5"/>
        <v>03.11.01</v>
      </c>
      <c r="X37" s="207" t="str">
        <f t="shared" si="2"/>
        <v>Bangunan Gedung Tempat Kerja</v>
      </c>
      <c r="Y37" s="207">
        <f t="shared" si="3"/>
        <v>50</v>
      </c>
      <c r="Z37" s="233"/>
      <c r="AA37" s="714"/>
      <c r="AB37" s="233"/>
      <c r="AC37" s="233"/>
      <c r="AD37" s="233"/>
      <c r="AE37" s="233"/>
      <c r="AF37" s="233"/>
      <c r="AG37" s="238"/>
      <c r="AH37" s="238"/>
      <c r="AI37" s="210">
        <f t="shared" si="4"/>
        <v>0</v>
      </c>
    </row>
    <row r="38" spans="1:35" s="946" customFormat="1" ht="40.5" customHeight="1" x14ac:dyDescent="0.2">
      <c r="A38" s="1306"/>
      <c r="C38" s="1075" t="s">
        <v>2302</v>
      </c>
      <c r="D38" s="890"/>
      <c r="E38" s="907" t="s">
        <v>441</v>
      </c>
      <c r="F38" s="917"/>
      <c r="G38" s="878" t="s">
        <v>1752</v>
      </c>
      <c r="H38" s="878"/>
      <c r="I38" s="861"/>
      <c r="J38" s="862"/>
      <c r="K38" s="862"/>
      <c r="L38" s="862"/>
      <c r="M38" s="907" t="s">
        <v>434</v>
      </c>
      <c r="N38" s="862">
        <v>2001</v>
      </c>
      <c r="O38" s="862"/>
      <c r="P38" s="903">
        <v>12</v>
      </c>
      <c r="Q38" s="903" t="s">
        <v>430</v>
      </c>
      <c r="R38" s="862"/>
      <c r="S38" s="903" t="s">
        <v>433</v>
      </c>
      <c r="T38" s="879">
        <v>10861200</v>
      </c>
      <c r="U38" s="906"/>
      <c r="V38" s="970"/>
      <c r="W38" s="1124" t="str">
        <f t="shared" si="5"/>
        <v>03.11.01</v>
      </c>
      <c r="X38" s="884" t="str">
        <f t="shared" si="2"/>
        <v>Bangunan Gedung Tempat Kerja</v>
      </c>
      <c r="Y38" s="884">
        <f t="shared" si="3"/>
        <v>50</v>
      </c>
      <c r="Z38" s="868">
        <f>T38/Y38</f>
        <v>217224</v>
      </c>
      <c r="AA38" s="1051">
        <f>IF(2013-N38&gt;Y38,Y38,IF(2013-N38&lt;0,0,2013-N38))</f>
        <v>12</v>
      </c>
      <c r="AB38" s="868">
        <f>IF(AA38&gt;Y38,T38,Z38*AA38)</f>
        <v>2606688</v>
      </c>
      <c r="AC38" s="868">
        <f>IF(T38=AB38,0,Z38)</f>
        <v>217224</v>
      </c>
      <c r="AD38" s="868">
        <f>IF(T38=AB38+AC38,0,Z38)</f>
        <v>217224</v>
      </c>
      <c r="AE38" s="868">
        <f>IF(T38=AB38+AC38+AD38,0,Z38)</f>
        <v>217224</v>
      </c>
      <c r="AF38" s="886">
        <f>IF(T38=AB38+AC38+AD38+AE38,0,Z38)</f>
        <v>217224</v>
      </c>
      <c r="AG38" s="886">
        <f>IF(T38=AB38+AC38+AD38+AE38+AF38,0,Z38)</f>
        <v>217224</v>
      </c>
      <c r="AH38" s="886">
        <f>SUM(AB38:AG38)</f>
        <v>3692808</v>
      </c>
      <c r="AI38" s="1077">
        <f t="shared" si="4"/>
        <v>7168392</v>
      </c>
    </row>
    <row r="39" spans="1:35" s="946" customFormat="1" ht="40.5" customHeight="1" x14ac:dyDescent="0.2">
      <c r="A39" s="1306"/>
      <c r="C39" s="1075" t="s">
        <v>2302</v>
      </c>
      <c r="D39" s="890"/>
      <c r="E39" s="907" t="s">
        <v>436</v>
      </c>
      <c r="F39" s="917"/>
      <c r="G39" s="878" t="s">
        <v>2836</v>
      </c>
      <c r="H39" s="878"/>
      <c r="I39" s="861"/>
      <c r="J39" s="862"/>
      <c r="K39" s="862"/>
      <c r="L39" s="862"/>
      <c r="M39" s="907" t="s">
        <v>434</v>
      </c>
      <c r="N39" s="862">
        <v>2006</v>
      </c>
      <c r="O39" s="862"/>
      <c r="P39" s="903">
        <v>9</v>
      </c>
      <c r="Q39" s="903" t="s">
        <v>430</v>
      </c>
      <c r="R39" s="862"/>
      <c r="S39" s="903" t="s">
        <v>433</v>
      </c>
      <c r="T39" s="879">
        <v>7245000</v>
      </c>
      <c r="U39" s="906"/>
      <c r="V39" s="970"/>
      <c r="W39" s="1124" t="str">
        <f t="shared" si="5"/>
        <v>03.11.01</v>
      </c>
      <c r="X39" s="884" t="str">
        <f t="shared" si="2"/>
        <v>Bangunan Gedung Tempat Kerja</v>
      </c>
      <c r="Y39" s="884">
        <f t="shared" si="3"/>
        <v>50</v>
      </c>
      <c r="Z39" s="868">
        <f>T39/Y39</f>
        <v>144900</v>
      </c>
      <c r="AA39" s="1051">
        <f>IF(2013-N39&gt;Y39,Y39,IF(2013-N39&lt;0,0,2013-N39))</f>
        <v>7</v>
      </c>
      <c r="AB39" s="868">
        <f>IF(AA39&gt;Y39,T39,Z39*AA39)</f>
        <v>1014300</v>
      </c>
      <c r="AC39" s="868">
        <f>IF(T39=AB39,0,Z39)</f>
        <v>144900</v>
      </c>
      <c r="AD39" s="868">
        <f>IF(T39=AB39+AC39,0,Z39)</f>
        <v>144900</v>
      </c>
      <c r="AE39" s="868">
        <f>IF(T39=AB39+AC39+AD39,0,Z39)</f>
        <v>144900</v>
      </c>
      <c r="AF39" s="886">
        <f>IF(T39=AB39+AC39+AD39+AE39,0,Z39)</f>
        <v>144900</v>
      </c>
      <c r="AG39" s="886">
        <f>IF(T39=AB39+AC39+AD39+AE39+AF39,0,Z39)</f>
        <v>144900</v>
      </c>
      <c r="AH39" s="886">
        <f>SUM(AB39:AG39)</f>
        <v>1738800</v>
      </c>
      <c r="AI39" s="1077">
        <f t="shared" si="4"/>
        <v>5506200</v>
      </c>
    </row>
    <row r="40" spans="1:35" s="946" customFormat="1" ht="40.5" customHeight="1" x14ac:dyDescent="0.2">
      <c r="A40" s="1306"/>
      <c r="C40" s="1075" t="s">
        <v>2302</v>
      </c>
      <c r="D40" s="890"/>
      <c r="E40" s="907" t="s">
        <v>1015</v>
      </c>
      <c r="F40" s="917"/>
      <c r="G40" s="878" t="s">
        <v>2485</v>
      </c>
      <c r="H40" s="878"/>
      <c r="I40" s="861" t="s">
        <v>43</v>
      </c>
      <c r="J40" s="862"/>
      <c r="K40" s="862"/>
      <c r="L40" s="862"/>
      <c r="M40" s="907" t="s">
        <v>1081</v>
      </c>
      <c r="N40" s="862">
        <v>2007</v>
      </c>
      <c r="O40" s="862"/>
      <c r="P40" s="903">
        <v>94</v>
      </c>
      <c r="Q40" s="903" t="s">
        <v>430</v>
      </c>
      <c r="R40" s="862"/>
      <c r="S40" s="903" t="s">
        <v>12</v>
      </c>
      <c r="T40" s="879">
        <v>244369300</v>
      </c>
      <c r="U40" s="906"/>
      <c r="V40" s="970"/>
      <c r="W40" s="1124" t="str">
        <f t="shared" si="5"/>
        <v>03.11.02</v>
      </c>
      <c r="X40" s="884" t="str">
        <f t="shared" si="2"/>
        <v>Bangunan Gedung Tempat Tinggal</v>
      </c>
      <c r="Y40" s="884">
        <f t="shared" si="3"/>
        <v>50</v>
      </c>
      <c r="Z40" s="868">
        <f>T40/Y40</f>
        <v>4887386</v>
      </c>
      <c r="AA40" s="1051">
        <f>IF(2013-N40&gt;Y40,Y40,IF(2013-N40&lt;0,0,2013-N40))</f>
        <v>6</v>
      </c>
      <c r="AB40" s="868">
        <f>IF(AA40&gt;Y40,T40,Z40*AA40)</f>
        <v>29324316</v>
      </c>
      <c r="AC40" s="868">
        <f>IF(T40=AB40,0,Z40)</f>
        <v>4887386</v>
      </c>
      <c r="AD40" s="868">
        <f>IF(T40=AB40+AC40,0,Z40)</f>
        <v>4887386</v>
      </c>
      <c r="AE40" s="868">
        <f>IF(T40=AB40+AC40+AD40,0,Z40)</f>
        <v>4887386</v>
      </c>
      <c r="AF40" s="886">
        <f>IF(T40=AB40+AC40+AD40+AE40,0,Z40)</f>
        <v>4887386</v>
      </c>
      <c r="AG40" s="886">
        <f>IF(T40=AB40+AC40+AD40+AE40+AF40,0,Z40)</f>
        <v>4887386</v>
      </c>
      <c r="AH40" s="886">
        <f>SUM(AB40:AG40)</f>
        <v>53761246</v>
      </c>
      <c r="AI40" s="1077">
        <f t="shared" si="4"/>
        <v>190608054</v>
      </c>
    </row>
    <row r="41" spans="1:35" s="670" customFormat="1" ht="40.5" customHeight="1" x14ac:dyDescent="0.2">
      <c r="A41" s="669">
        <v>3</v>
      </c>
      <c r="B41" s="670" t="s">
        <v>2985</v>
      </c>
      <c r="C41" s="773" t="s">
        <v>4247</v>
      </c>
      <c r="D41" s="652"/>
      <c r="E41" s="671" t="s">
        <v>1016</v>
      </c>
      <c r="F41" s="672"/>
      <c r="G41" s="653" t="s">
        <v>1752</v>
      </c>
      <c r="H41" s="653"/>
      <c r="I41" s="673"/>
      <c r="J41" s="674"/>
      <c r="K41" s="674"/>
      <c r="L41" s="674"/>
      <c r="M41" s="678" t="s">
        <v>1082</v>
      </c>
      <c r="N41" s="674">
        <v>2007</v>
      </c>
      <c r="O41" s="674"/>
      <c r="P41" s="719">
        <v>450</v>
      </c>
      <c r="Q41" s="673"/>
      <c r="R41" s="674"/>
      <c r="S41" s="675" t="s">
        <v>12</v>
      </c>
      <c r="T41" s="654">
        <f>837249705.45+F42+F43</f>
        <v>1635717363.1078563</v>
      </c>
      <c r="U41" s="676"/>
      <c r="V41" s="1114"/>
      <c r="W41" s="647" t="str">
        <f t="shared" si="5"/>
        <v>03.11.01</v>
      </c>
      <c r="X41" s="648" t="str">
        <f t="shared" si="2"/>
        <v>Bangunan Gedung Tempat Kerja</v>
      </c>
      <c r="Y41" s="648">
        <f t="shared" si="3"/>
        <v>50</v>
      </c>
      <c r="Z41" s="649"/>
      <c r="AA41" s="718"/>
      <c r="AB41" s="649"/>
      <c r="AC41" s="649"/>
      <c r="AD41" s="649"/>
      <c r="AE41" s="649"/>
      <c r="AF41" s="649"/>
      <c r="AG41" s="650" t="e">
        <f>'PERHITUNGAN (C)'!#REF!</f>
        <v>#REF!</v>
      </c>
      <c r="AH41" s="650" t="e">
        <f>'PERHITUNGAN (C)'!#REF!</f>
        <v>#REF!</v>
      </c>
      <c r="AI41" s="677" t="e">
        <f t="shared" si="4"/>
        <v>#REF!</v>
      </c>
    </row>
    <row r="42" spans="1:35" s="48" customFormat="1" ht="40.5" customHeight="1" x14ac:dyDescent="0.2">
      <c r="A42" s="296">
        <v>3</v>
      </c>
      <c r="B42" s="48" t="s">
        <v>2985</v>
      </c>
      <c r="C42" s="772" t="s">
        <v>4247</v>
      </c>
      <c r="D42" s="73"/>
      <c r="E42" s="65" t="s">
        <v>1047</v>
      </c>
      <c r="F42" s="555">
        <v>242311157.65785614</v>
      </c>
      <c r="G42" s="67" t="s">
        <v>1752</v>
      </c>
      <c r="H42" s="67"/>
      <c r="I42" s="33" t="s">
        <v>43</v>
      </c>
      <c r="J42" s="40"/>
      <c r="K42" s="40"/>
      <c r="L42" s="40"/>
      <c r="M42" s="72" t="s">
        <v>2986</v>
      </c>
      <c r="N42" s="40">
        <v>2008</v>
      </c>
      <c r="O42" s="40"/>
      <c r="P42" s="32"/>
      <c r="Q42" s="33"/>
      <c r="R42" s="40"/>
      <c r="S42" s="32" t="s">
        <v>12</v>
      </c>
      <c r="T42" s="252"/>
      <c r="U42" s="61"/>
      <c r="V42" s="1115"/>
      <c r="W42" s="206" t="str">
        <f t="shared" si="5"/>
        <v>03.11.01</v>
      </c>
      <c r="X42" s="207" t="str">
        <f t="shared" si="2"/>
        <v>Bangunan Gedung Tempat Kerja</v>
      </c>
      <c r="Y42" s="207">
        <f t="shared" si="3"/>
        <v>50</v>
      </c>
      <c r="Z42" s="233"/>
      <c r="AA42" s="714"/>
      <c r="AB42" s="233"/>
      <c r="AC42" s="233"/>
      <c r="AD42" s="233"/>
      <c r="AE42" s="233"/>
      <c r="AF42" s="233"/>
      <c r="AG42" s="238"/>
      <c r="AH42" s="238"/>
      <c r="AI42" s="210">
        <f t="shared" si="4"/>
        <v>0</v>
      </c>
    </row>
    <row r="43" spans="1:35" s="48" customFormat="1" ht="40.5" customHeight="1" x14ac:dyDescent="0.2">
      <c r="A43" s="296">
        <v>3</v>
      </c>
      <c r="B43" s="48" t="s">
        <v>2985</v>
      </c>
      <c r="C43" s="772" t="s">
        <v>4247</v>
      </c>
      <c r="D43" s="73"/>
      <c r="E43" s="65" t="s">
        <v>2786</v>
      </c>
      <c r="F43" s="555">
        <v>556156500</v>
      </c>
      <c r="G43" s="67" t="s">
        <v>1752</v>
      </c>
      <c r="H43" s="67" t="s">
        <v>1857</v>
      </c>
      <c r="I43" s="33" t="s">
        <v>43</v>
      </c>
      <c r="J43" s="40" t="s">
        <v>1786</v>
      </c>
      <c r="K43" s="40" t="s">
        <v>1934</v>
      </c>
      <c r="L43" s="40"/>
      <c r="M43" s="102" t="s">
        <v>1082</v>
      </c>
      <c r="N43" s="40">
        <v>2014</v>
      </c>
      <c r="O43" s="40" t="s">
        <v>2164</v>
      </c>
      <c r="P43" s="32"/>
      <c r="Q43" s="33"/>
      <c r="R43" s="40"/>
      <c r="S43" s="32" t="s">
        <v>12</v>
      </c>
      <c r="T43" s="252"/>
      <c r="U43" s="105"/>
      <c r="V43" s="1116"/>
      <c r="W43" s="206" t="str">
        <f t="shared" si="5"/>
        <v>03.11.01</v>
      </c>
      <c r="X43" s="207" t="str">
        <f t="shared" si="2"/>
        <v>Bangunan Gedung Tempat Kerja</v>
      </c>
      <c r="Y43" s="207">
        <f t="shared" si="3"/>
        <v>50</v>
      </c>
      <c r="Z43" s="233"/>
      <c r="AA43" s="714"/>
      <c r="AB43" s="233"/>
      <c r="AC43" s="233"/>
      <c r="AD43" s="233"/>
      <c r="AE43" s="233"/>
      <c r="AF43" s="233"/>
      <c r="AG43" s="238"/>
      <c r="AH43" s="238"/>
      <c r="AI43" s="210">
        <f t="shared" si="4"/>
        <v>0</v>
      </c>
    </row>
    <row r="44" spans="1:35" s="946" customFormat="1" ht="40.5" customHeight="1" x14ac:dyDescent="0.2">
      <c r="A44" s="1306"/>
      <c r="C44" s="1075" t="s">
        <v>2302</v>
      </c>
      <c r="D44" s="890"/>
      <c r="E44" s="907" t="s">
        <v>1017</v>
      </c>
      <c r="F44" s="917"/>
      <c r="G44" s="878" t="s">
        <v>1752</v>
      </c>
      <c r="H44" s="878"/>
      <c r="I44" s="861" t="s">
        <v>43</v>
      </c>
      <c r="J44" s="862"/>
      <c r="K44" s="862"/>
      <c r="L44" s="862"/>
      <c r="M44" s="1078" t="s">
        <v>1083</v>
      </c>
      <c r="N44" s="862">
        <v>2007</v>
      </c>
      <c r="O44" s="862"/>
      <c r="P44" s="1079">
        <v>120</v>
      </c>
      <c r="Q44" s="861"/>
      <c r="R44" s="862"/>
      <c r="S44" s="903" t="s">
        <v>12</v>
      </c>
      <c r="T44" s="879">
        <v>223266588.177632</v>
      </c>
      <c r="U44" s="906"/>
      <c r="V44" s="970"/>
      <c r="W44" s="1124" t="str">
        <f t="shared" si="5"/>
        <v>03.11.01</v>
      </c>
      <c r="X44" s="884" t="str">
        <f t="shared" si="2"/>
        <v>Bangunan Gedung Tempat Kerja</v>
      </c>
      <c r="Y44" s="884">
        <f t="shared" si="3"/>
        <v>50</v>
      </c>
      <c r="Z44" s="868">
        <f>T44/Y44</f>
        <v>4465331.7635526396</v>
      </c>
      <c r="AA44" s="1051">
        <f>IF(2013-N44&gt;Y44,Y44,IF(2013-N44&lt;0,0,2013-N44))</f>
        <v>6</v>
      </c>
      <c r="AB44" s="868">
        <f>IF(AA44&gt;Y44,T44,Z44*AA44)</f>
        <v>26791990.581315838</v>
      </c>
      <c r="AC44" s="868">
        <f>IF(T44=AB44,0,Z44)</f>
        <v>4465331.7635526396</v>
      </c>
      <c r="AD44" s="868">
        <f>IF(T44=AB44+AC44,0,Z44)</f>
        <v>4465331.7635526396</v>
      </c>
      <c r="AE44" s="868">
        <f>IF(T44=AB44+AC44+AD44,0,Z44)</f>
        <v>4465331.7635526396</v>
      </c>
      <c r="AF44" s="886">
        <f>IF(T44=AB44+AC44+AD44+AE44,0,Z44)</f>
        <v>4465331.7635526396</v>
      </c>
      <c r="AG44" s="886">
        <f>IF(T44=AB44+AC44+AD44+AE44+AF44,0,Z44)</f>
        <v>4465331.7635526396</v>
      </c>
      <c r="AH44" s="886">
        <f>SUM(AB44:AG44)</f>
        <v>49118649.399079025</v>
      </c>
      <c r="AI44" s="1077">
        <f t="shared" si="4"/>
        <v>174147938.77855298</v>
      </c>
    </row>
    <row r="45" spans="1:35" s="946" customFormat="1" ht="40.5" customHeight="1" x14ac:dyDescent="0.2">
      <c r="A45" s="1306"/>
      <c r="C45" s="1075" t="s">
        <v>2302</v>
      </c>
      <c r="D45" s="890"/>
      <c r="E45" s="907" t="s">
        <v>1018</v>
      </c>
      <c r="F45" s="917"/>
      <c r="G45" s="878" t="s">
        <v>1752</v>
      </c>
      <c r="H45" s="878"/>
      <c r="I45" s="861" t="s">
        <v>43</v>
      </c>
      <c r="J45" s="862"/>
      <c r="K45" s="862"/>
      <c r="L45" s="862"/>
      <c r="M45" s="1078" t="s">
        <v>1084</v>
      </c>
      <c r="N45" s="862">
        <v>2007</v>
      </c>
      <c r="O45" s="862"/>
      <c r="P45" s="1080">
        <v>120</v>
      </c>
      <c r="Q45" s="861"/>
      <c r="R45" s="862"/>
      <c r="S45" s="903" t="s">
        <v>12</v>
      </c>
      <c r="T45" s="879">
        <v>223266588.17763156</v>
      </c>
      <c r="U45" s="906"/>
      <c r="V45" s="970"/>
      <c r="W45" s="1124" t="str">
        <f t="shared" si="5"/>
        <v>03.11.01</v>
      </c>
      <c r="X45" s="884" t="str">
        <f t="shared" si="2"/>
        <v>Bangunan Gedung Tempat Kerja</v>
      </c>
      <c r="Y45" s="884">
        <f t="shared" si="3"/>
        <v>50</v>
      </c>
      <c r="Z45" s="868">
        <f>T45/Y45</f>
        <v>4465331.7635526313</v>
      </c>
      <c r="AA45" s="1051">
        <f>IF(2013-N45&gt;Y45,Y45,IF(2013-N45&lt;0,0,2013-N45))</f>
        <v>6</v>
      </c>
      <c r="AB45" s="868">
        <f>IF(AA45&gt;Y45,T45,Z45*AA45)</f>
        <v>26791990.581315786</v>
      </c>
      <c r="AC45" s="868">
        <f>IF(T45=AB45,0,Z45)</f>
        <v>4465331.7635526313</v>
      </c>
      <c r="AD45" s="868">
        <f>IF(T45=AB45+AC45,0,Z45)</f>
        <v>4465331.7635526313</v>
      </c>
      <c r="AE45" s="868">
        <f>IF(T45=AB45+AC45+AD45,0,Z45)</f>
        <v>4465331.7635526313</v>
      </c>
      <c r="AF45" s="886">
        <f>IF(T45=AB45+AC45+AD45+AE45,0,Z45)</f>
        <v>4465331.7635526313</v>
      </c>
      <c r="AG45" s="886">
        <f>IF(T45=AB45+AC45+AD45+AE45+AF45,0,Z45)</f>
        <v>4465331.7635526313</v>
      </c>
      <c r="AH45" s="886">
        <f>SUM(AB45:AG45)</f>
        <v>49118649.399078935</v>
      </c>
      <c r="AI45" s="1077">
        <f t="shared" si="4"/>
        <v>174147938.77855262</v>
      </c>
    </row>
    <row r="46" spans="1:35" s="946" customFormat="1" ht="40.5" customHeight="1" x14ac:dyDescent="0.2">
      <c r="A46" s="1306"/>
      <c r="C46" s="1075" t="s">
        <v>2302</v>
      </c>
      <c r="D46" s="890"/>
      <c r="E46" s="907" t="s">
        <v>1019</v>
      </c>
      <c r="F46" s="917"/>
      <c r="G46" s="878" t="s">
        <v>1752</v>
      </c>
      <c r="H46" s="878"/>
      <c r="I46" s="861" t="s">
        <v>43</v>
      </c>
      <c r="J46" s="862"/>
      <c r="K46" s="862"/>
      <c r="L46" s="862"/>
      <c r="M46" s="1078" t="s">
        <v>1085</v>
      </c>
      <c r="N46" s="862">
        <v>2007</v>
      </c>
      <c r="O46" s="862"/>
      <c r="P46" s="1080">
        <v>120</v>
      </c>
      <c r="Q46" s="861"/>
      <c r="R46" s="862"/>
      <c r="S46" s="903" t="s">
        <v>12</v>
      </c>
      <c r="T46" s="879">
        <v>223266588.17763156</v>
      </c>
      <c r="U46" s="906"/>
      <c r="V46" s="970"/>
      <c r="W46" s="1124" t="str">
        <f t="shared" si="5"/>
        <v>03.11.01</v>
      </c>
      <c r="X46" s="884" t="str">
        <f t="shared" si="2"/>
        <v>Bangunan Gedung Tempat Kerja</v>
      </c>
      <c r="Y46" s="884">
        <f t="shared" si="3"/>
        <v>50</v>
      </c>
      <c r="Z46" s="868">
        <f>T46/Y46</f>
        <v>4465331.7635526313</v>
      </c>
      <c r="AA46" s="1051">
        <f>IF(2013-N46&gt;Y46,Y46,IF(2013-N46&lt;0,0,2013-N46))</f>
        <v>6</v>
      </c>
      <c r="AB46" s="868">
        <f>IF(AA46&gt;Y46,T46,Z46*AA46)</f>
        <v>26791990.581315786</v>
      </c>
      <c r="AC46" s="868">
        <f>IF(T46=AB46,0,Z46)</f>
        <v>4465331.7635526313</v>
      </c>
      <c r="AD46" s="868">
        <f>IF(T46=AB46+AC46,0,Z46)</f>
        <v>4465331.7635526313</v>
      </c>
      <c r="AE46" s="868">
        <f>IF(T46=AB46+AC46+AD46,0,Z46)</f>
        <v>4465331.7635526313</v>
      </c>
      <c r="AF46" s="886">
        <f>IF(T46=AB46+AC46+AD46+AE46,0,Z46)</f>
        <v>4465331.7635526313</v>
      </c>
      <c r="AG46" s="886">
        <f>IF(T46=AB46+AC46+AD46+AE46+AF46,0,Z46)</f>
        <v>4465331.7635526313</v>
      </c>
      <c r="AH46" s="886">
        <f>SUM(AB46:AG46)</f>
        <v>49118649.399078935</v>
      </c>
      <c r="AI46" s="1077">
        <f t="shared" si="4"/>
        <v>174147938.77855262</v>
      </c>
    </row>
    <row r="47" spans="1:35" s="670" customFormat="1" ht="40.5" customHeight="1" x14ac:dyDescent="0.2">
      <c r="A47" s="669">
        <v>4</v>
      </c>
      <c r="B47" s="670" t="s">
        <v>2992</v>
      </c>
      <c r="C47" s="773" t="s">
        <v>4247</v>
      </c>
      <c r="D47" s="652"/>
      <c r="E47" s="671" t="s">
        <v>1020</v>
      </c>
      <c r="F47" s="672"/>
      <c r="G47" s="653" t="s">
        <v>1752</v>
      </c>
      <c r="H47" s="653"/>
      <c r="I47" s="673" t="s">
        <v>43</v>
      </c>
      <c r="J47" s="674"/>
      <c r="K47" s="674"/>
      <c r="L47" s="674"/>
      <c r="M47" s="671" t="s">
        <v>1098</v>
      </c>
      <c r="N47" s="674">
        <v>2007</v>
      </c>
      <c r="O47" s="674"/>
      <c r="P47" s="690">
        <v>120</v>
      </c>
      <c r="Q47" s="673"/>
      <c r="R47" s="674"/>
      <c r="S47" s="675" t="s">
        <v>12</v>
      </c>
      <c r="T47" s="654">
        <f>223266588.177632+F48+F49</f>
        <v>641623608.79067278</v>
      </c>
      <c r="U47" s="676"/>
      <c r="V47" s="1114"/>
      <c r="W47" s="647" t="str">
        <f t="shared" si="5"/>
        <v>03.11.01</v>
      </c>
      <c r="X47" s="648" t="str">
        <f t="shared" si="2"/>
        <v>Bangunan Gedung Tempat Kerja</v>
      </c>
      <c r="Y47" s="648">
        <f t="shared" si="3"/>
        <v>50</v>
      </c>
      <c r="Z47" s="649"/>
      <c r="AA47" s="718"/>
      <c r="AB47" s="649"/>
      <c r="AC47" s="649"/>
      <c r="AD47" s="649"/>
      <c r="AE47" s="649"/>
      <c r="AF47" s="649"/>
      <c r="AG47" s="650">
        <f>'PERHITUNGAN (C)'!U59</f>
        <v>12423311.477898695</v>
      </c>
      <c r="AH47" s="650">
        <f>'PERHITUNGAN (C)'!U63</f>
        <v>132267838.19682571</v>
      </c>
      <c r="AI47" s="677">
        <f t="shared" si="4"/>
        <v>509355770.59384704</v>
      </c>
    </row>
    <row r="48" spans="1:35" s="48" customFormat="1" ht="40.5" customHeight="1" x14ac:dyDescent="0.2">
      <c r="A48" s="296">
        <v>4</v>
      </c>
      <c r="B48" s="48" t="s">
        <v>2992</v>
      </c>
      <c r="C48" s="772" t="s">
        <v>4247</v>
      </c>
      <c r="D48" s="73"/>
      <c r="E48" s="65" t="s">
        <v>1049</v>
      </c>
      <c r="F48" s="555">
        <v>47743795.789002009</v>
      </c>
      <c r="G48" s="67" t="s">
        <v>1752</v>
      </c>
      <c r="H48" s="67"/>
      <c r="I48" s="33" t="s">
        <v>421</v>
      </c>
      <c r="J48" s="40"/>
      <c r="K48" s="40"/>
      <c r="L48" s="40"/>
      <c r="M48" s="65" t="s">
        <v>1098</v>
      </c>
      <c r="N48" s="40">
        <v>2008</v>
      </c>
      <c r="O48" s="40"/>
      <c r="P48" s="32"/>
      <c r="Q48" s="33"/>
      <c r="R48" s="40"/>
      <c r="S48" s="32" t="s">
        <v>12</v>
      </c>
      <c r="T48" s="252"/>
      <c r="U48" s="61"/>
      <c r="V48" s="1115"/>
      <c r="W48" s="206" t="str">
        <f t="shared" si="5"/>
        <v>03.11.01</v>
      </c>
      <c r="X48" s="207" t="str">
        <f t="shared" si="2"/>
        <v>Bangunan Gedung Tempat Kerja</v>
      </c>
      <c r="Y48" s="207">
        <f t="shared" si="3"/>
        <v>50</v>
      </c>
      <c r="Z48" s="233"/>
      <c r="AA48" s="714"/>
      <c r="AB48" s="233">
        <f>IF(AA48&gt;Y48,T48-10,Z48*AA48)</f>
        <v>0</v>
      </c>
      <c r="AC48" s="233"/>
      <c r="AD48" s="233"/>
      <c r="AE48" s="233"/>
      <c r="AF48" s="233"/>
      <c r="AG48" s="238"/>
      <c r="AH48" s="238"/>
      <c r="AI48" s="210">
        <f t="shared" si="4"/>
        <v>0</v>
      </c>
    </row>
    <row r="49" spans="1:35" s="48" customFormat="1" ht="40.5" customHeight="1" x14ac:dyDescent="0.2">
      <c r="A49" s="296">
        <v>4</v>
      </c>
      <c r="B49" s="48" t="s">
        <v>2992</v>
      </c>
      <c r="C49" s="772" t="s">
        <v>4247</v>
      </c>
      <c r="D49" s="73"/>
      <c r="E49" s="65" t="s">
        <v>2673</v>
      </c>
      <c r="F49" s="555">
        <v>370613224.82403874</v>
      </c>
      <c r="G49" s="67" t="s">
        <v>1752</v>
      </c>
      <c r="H49" s="67" t="s">
        <v>39</v>
      </c>
      <c r="I49" s="33" t="s">
        <v>43</v>
      </c>
      <c r="J49" s="40" t="s">
        <v>1753</v>
      </c>
      <c r="K49" s="40" t="s">
        <v>835</v>
      </c>
      <c r="L49" s="40"/>
      <c r="M49" s="65" t="s">
        <v>1098</v>
      </c>
      <c r="N49" s="40">
        <v>2011</v>
      </c>
      <c r="O49" s="40" t="s">
        <v>1846</v>
      </c>
      <c r="P49" s="32"/>
      <c r="Q49" s="33"/>
      <c r="R49" s="40"/>
      <c r="S49" s="32" t="s">
        <v>12</v>
      </c>
      <c r="T49" s="252"/>
      <c r="U49" s="105"/>
      <c r="V49" s="1116"/>
      <c r="W49" s="206" t="str">
        <f t="shared" si="5"/>
        <v>03.11.01</v>
      </c>
      <c r="X49" s="207" t="str">
        <f t="shared" si="2"/>
        <v>Bangunan Gedung Tempat Kerja</v>
      </c>
      <c r="Y49" s="207">
        <f t="shared" si="3"/>
        <v>50</v>
      </c>
      <c r="Z49" s="233"/>
      <c r="AA49" s="714"/>
      <c r="AB49" s="233">
        <f>IF(AA49&gt;Y49,T49-10,Z49*AA49)</f>
        <v>0</v>
      </c>
      <c r="AC49" s="233"/>
      <c r="AD49" s="233"/>
      <c r="AE49" s="233"/>
      <c r="AF49" s="233"/>
      <c r="AG49" s="238"/>
      <c r="AH49" s="238"/>
      <c r="AI49" s="210">
        <f t="shared" si="4"/>
        <v>0</v>
      </c>
    </row>
    <row r="50" spans="1:35" s="946" customFormat="1" ht="40.5" customHeight="1" x14ac:dyDescent="0.2">
      <c r="A50" s="1306"/>
      <c r="C50" s="1075" t="s">
        <v>2302</v>
      </c>
      <c r="D50" s="890"/>
      <c r="E50" s="907" t="s">
        <v>1021</v>
      </c>
      <c r="F50" s="917"/>
      <c r="G50" s="878" t="s">
        <v>1752</v>
      </c>
      <c r="H50" s="878"/>
      <c r="I50" s="861" t="s">
        <v>43</v>
      </c>
      <c r="J50" s="862"/>
      <c r="K50" s="862"/>
      <c r="L50" s="862"/>
      <c r="M50" s="1078" t="s">
        <v>1087</v>
      </c>
      <c r="N50" s="862">
        <v>2007</v>
      </c>
      <c r="O50" s="862"/>
      <c r="P50" s="1080">
        <v>120</v>
      </c>
      <c r="Q50" s="861"/>
      <c r="R50" s="862"/>
      <c r="S50" s="903" t="s">
        <v>12</v>
      </c>
      <c r="T50" s="879">
        <v>223266588.17763156</v>
      </c>
      <c r="U50" s="906"/>
      <c r="V50" s="970"/>
      <c r="W50" s="1124" t="str">
        <f t="shared" si="5"/>
        <v>03.11.01</v>
      </c>
      <c r="X50" s="884" t="str">
        <f t="shared" si="2"/>
        <v>Bangunan Gedung Tempat Kerja</v>
      </c>
      <c r="Y50" s="884">
        <f t="shared" si="3"/>
        <v>50</v>
      </c>
      <c r="Z50" s="868">
        <f t="shared" ref="Z50:Z55" si="24">T50/Y50</f>
        <v>4465331.7635526313</v>
      </c>
      <c r="AA50" s="1051">
        <f t="shared" ref="AA50:AA55" si="25">IF(2013-N50&gt;Y50,Y50,IF(2013-N50&lt;0,0,2013-N50))</f>
        <v>6</v>
      </c>
      <c r="AB50" s="868">
        <f t="shared" ref="AB50:AB55" si="26">IF(AA50&gt;Y50,T50,Z50*AA50)</f>
        <v>26791990.581315786</v>
      </c>
      <c r="AC50" s="868">
        <f t="shared" ref="AC50:AC55" si="27">IF(T50=AB50,0,Z50)</f>
        <v>4465331.7635526313</v>
      </c>
      <c r="AD50" s="868">
        <f t="shared" ref="AD50:AD55" si="28">IF(T50=AB50+AC50,0,Z50)</f>
        <v>4465331.7635526313</v>
      </c>
      <c r="AE50" s="868">
        <f t="shared" ref="AE50:AE55" si="29">IF(T50=AB50+AC50+AD50,0,Z50)</f>
        <v>4465331.7635526313</v>
      </c>
      <c r="AF50" s="886">
        <f t="shared" ref="AF50:AF55" si="30">IF(T50=AB50+AC50+AD50+AE50,0,Z50)</f>
        <v>4465331.7635526313</v>
      </c>
      <c r="AG50" s="886">
        <f t="shared" ref="AG50:AG55" si="31">IF(T50=AB50+AC50+AD50+AE50+AF50,0,Z50)</f>
        <v>4465331.7635526313</v>
      </c>
      <c r="AH50" s="886">
        <f t="shared" ref="AH50:AH55" si="32">SUM(AB50:AG50)</f>
        <v>49118649.399078935</v>
      </c>
      <c r="AI50" s="1077">
        <f t="shared" si="4"/>
        <v>174147938.77855262</v>
      </c>
    </row>
    <row r="51" spans="1:35" s="946" customFormat="1" ht="40.5" customHeight="1" x14ac:dyDescent="0.2">
      <c r="A51" s="1306"/>
      <c r="C51" s="1075" t="s">
        <v>2302</v>
      </c>
      <c r="D51" s="890"/>
      <c r="E51" s="907" t="s">
        <v>1022</v>
      </c>
      <c r="F51" s="917"/>
      <c r="G51" s="878" t="s">
        <v>1752</v>
      </c>
      <c r="H51" s="878"/>
      <c r="I51" s="861" t="s">
        <v>43</v>
      </c>
      <c r="J51" s="862"/>
      <c r="K51" s="862"/>
      <c r="L51" s="862"/>
      <c r="M51" s="1078" t="s">
        <v>1088</v>
      </c>
      <c r="N51" s="862">
        <v>2007</v>
      </c>
      <c r="O51" s="862"/>
      <c r="P51" s="1080">
        <v>120</v>
      </c>
      <c r="Q51" s="861"/>
      <c r="R51" s="862"/>
      <c r="S51" s="903" t="s">
        <v>12</v>
      </c>
      <c r="T51" s="879">
        <v>223266588.17763156</v>
      </c>
      <c r="U51" s="906"/>
      <c r="V51" s="970"/>
      <c r="W51" s="1124" t="str">
        <f t="shared" si="5"/>
        <v>03.11.01</v>
      </c>
      <c r="X51" s="884" t="str">
        <f t="shared" si="2"/>
        <v>Bangunan Gedung Tempat Kerja</v>
      </c>
      <c r="Y51" s="884">
        <f t="shared" si="3"/>
        <v>50</v>
      </c>
      <c r="Z51" s="868">
        <f t="shared" si="24"/>
        <v>4465331.7635526313</v>
      </c>
      <c r="AA51" s="1051">
        <f t="shared" si="25"/>
        <v>6</v>
      </c>
      <c r="AB51" s="868">
        <f t="shared" si="26"/>
        <v>26791990.581315786</v>
      </c>
      <c r="AC51" s="868">
        <f t="shared" si="27"/>
        <v>4465331.7635526313</v>
      </c>
      <c r="AD51" s="868">
        <f t="shared" si="28"/>
        <v>4465331.7635526313</v>
      </c>
      <c r="AE51" s="868">
        <f t="shared" si="29"/>
        <v>4465331.7635526313</v>
      </c>
      <c r="AF51" s="886">
        <f t="shared" si="30"/>
        <v>4465331.7635526313</v>
      </c>
      <c r="AG51" s="886">
        <f t="shared" si="31"/>
        <v>4465331.7635526313</v>
      </c>
      <c r="AH51" s="886">
        <f t="shared" si="32"/>
        <v>49118649.399078935</v>
      </c>
      <c r="AI51" s="1077">
        <f t="shared" si="4"/>
        <v>174147938.77855262</v>
      </c>
    </row>
    <row r="52" spans="1:35" s="946" customFormat="1" ht="40.5" customHeight="1" x14ac:dyDescent="0.2">
      <c r="A52" s="1306"/>
      <c r="C52" s="1075" t="s">
        <v>2302</v>
      </c>
      <c r="D52" s="890"/>
      <c r="E52" s="907" t="s">
        <v>1023</v>
      </c>
      <c r="F52" s="917"/>
      <c r="G52" s="878" t="s">
        <v>1752</v>
      </c>
      <c r="H52" s="878"/>
      <c r="I52" s="861" t="s">
        <v>43</v>
      </c>
      <c r="J52" s="862"/>
      <c r="K52" s="862"/>
      <c r="L52" s="862"/>
      <c r="M52" s="1078" t="s">
        <v>1089</v>
      </c>
      <c r="N52" s="862">
        <v>2007</v>
      </c>
      <c r="O52" s="862"/>
      <c r="P52" s="1080">
        <v>120</v>
      </c>
      <c r="Q52" s="861"/>
      <c r="R52" s="862"/>
      <c r="S52" s="903" t="s">
        <v>12</v>
      </c>
      <c r="T52" s="879">
        <v>223266588.15000001</v>
      </c>
      <c r="U52" s="906"/>
      <c r="V52" s="970"/>
      <c r="W52" s="1124" t="str">
        <f t="shared" si="5"/>
        <v>03.11.01</v>
      </c>
      <c r="X52" s="884" t="str">
        <f t="shared" si="2"/>
        <v>Bangunan Gedung Tempat Kerja</v>
      </c>
      <c r="Y52" s="884">
        <f t="shared" si="3"/>
        <v>50</v>
      </c>
      <c r="Z52" s="868">
        <f t="shared" si="24"/>
        <v>4465331.7630000003</v>
      </c>
      <c r="AA52" s="1051">
        <f t="shared" si="25"/>
        <v>6</v>
      </c>
      <c r="AB52" s="868">
        <f t="shared" si="26"/>
        <v>26791990.578000002</v>
      </c>
      <c r="AC52" s="868">
        <f t="shared" si="27"/>
        <v>4465331.7630000003</v>
      </c>
      <c r="AD52" s="868">
        <f t="shared" si="28"/>
        <v>4465331.7630000003</v>
      </c>
      <c r="AE52" s="868">
        <f t="shared" si="29"/>
        <v>4465331.7630000003</v>
      </c>
      <c r="AF52" s="886">
        <f t="shared" si="30"/>
        <v>4465331.7630000003</v>
      </c>
      <c r="AG52" s="886">
        <f t="shared" si="31"/>
        <v>4465331.7630000003</v>
      </c>
      <c r="AH52" s="886">
        <f t="shared" si="32"/>
        <v>49118649.392999992</v>
      </c>
      <c r="AI52" s="1077">
        <f t="shared" si="4"/>
        <v>174147938.75700003</v>
      </c>
    </row>
    <row r="53" spans="1:35" s="946" customFormat="1" ht="40.5" customHeight="1" x14ac:dyDescent="0.2">
      <c r="A53" s="1306"/>
      <c r="C53" s="1075" t="s">
        <v>2302</v>
      </c>
      <c r="D53" s="890"/>
      <c r="E53" s="907" t="s">
        <v>1024</v>
      </c>
      <c r="F53" s="917"/>
      <c r="G53" s="878" t="s">
        <v>1752</v>
      </c>
      <c r="H53" s="878"/>
      <c r="I53" s="861" t="s">
        <v>43</v>
      </c>
      <c r="J53" s="862"/>
      <c r="K53" s="862"/>
      <c r="L53" s="862"/>
      <c r="M53" s="1078" t="s">
        <v>1090</v>
      </c>
      <c r="N53" s="862">
        <v>2007</v>
      </c>
      <c r="O53" s="862"/>
      <c r="P53" s="1080">
        <v>120</v>
      </c>
      <c r="Q53" s="861"/>
      <c r="R53" s="862"/>
      <c r="S53" s="903" t="s">
        <v>12</v>
      </c>
      <c r="T53" s="879">
        <v>223266588.17763156</v>
      </c>
      <c r="U53" s="906"/>
      <c r="V53" s="970"/>
      <c r="W53" s="1124" t="str">
        <f t="shared" si="5"/>
        <v>03.11.01</v>
      </c>
      <c r="X53" s="884" t="str">
        <f t="shared" si="2"/>
        <v>Bangunan Gedung Tempat Kerja</v>
      </c>
      <c r="Y53" s="884">
        <f t="shared" si="3"/>
        <v>50</v>
      </c>
      <c r="Z53" s="868">
        <f t="shared" si="24"/>
        <v>4465331.7635526313</v>
      </c>
      <c r="AA53" s="1051">
        <f t="shared" si="25"/>
        <v>6</v>
      </c>
      <c r="AB53" s="868">
        <f t="shared" si="26"/>
        <v>26791990.581315786</v>
      </c>
      <c r="AC53" s="868">
        <f t="shared" si="27"/>
        <v>4465331.7635526313</v>
      </c>
      <c r="AD53" s="868">
        <f t="shared" si="28"/>
        <v>4465331.7635526313</v>
      </c>
      <c r="AE53" s="868">
        <f t="shared" si="29"/>
        <v>4465331.7635526313</v>
      </c>
      <c r="AF53" s="886">
        <f t="shared" si="30"/>
        <v>4465331.7635526313</v>
      </c>
      <c r="AG53" s="886">
        <f t="shared" si="31"/>
        <v>4465331.7635526313</v>
      </c>
      <c r="AH53" s="886">
        <f t="shared" si="32"/>
        <v>49118649.399078935</v>
      </c>
      <c r="AI53" s="1077">
        <f t="shared" si="4"/>
        <v>174147938.77855262</v>
      </c>
    </row>
    <row r="54" spans="1:35" s="946" customFormat="1" ht="40.5" customHeight="1" x14ac:dyDescent="0.2">
      <c r="A54" s="1306"/>
      <c r="C54" s="1075" t="s">
        <v>2302</v>
      </c>
      <c r="D54" s="890"/>
      <c r="E54" s="907" t="s">
        <v>1025</v>
      </c>
      <c r="F54" s="917"/>
      <c r="G54" s="878" t="s">
        <v>1752</v>
      </c>
      <c r="H54" s="878"/>
      <c r="I54" s="861" t="s">
        <v>43</v>
      </c>
      <c r="J54" s="862"/>
      <c r="K54" s="862"/>
      <c r="L54" s="862"/>
      <c r="M54" s="1078" t="s">
        <v>1091</v>
      </c>
      <c r="N54" s="862">
        <v>2007</v>
      </c>
      <c r="O54" s="862"/>
      <c r="P54" s="1080">
        <v>120</v>
      </c>
      <c r="Q54" s="861"/>
      <c r="R54" s="862"/>
      <c r="S54" s="903" t="s">
        <v>12</v>
      </c>
      <c r="T54" s="879">
        <v>223266588.17763156</v>
      </c>
      <c r="U54" s="906"/>
      <c r="V54" s="970"/>
      <c r="W54" s="1124" t="str">
        <f t="shared" si="5"/>
        <v>03.11.01</v>
      </c>
      <c r="X54" s="884" t="str">
        <f t="shared" si="2"/>
        <v>Bangunan Gedung Tempat Kerja</v>
      </c>
      <c r="Y54" s="884">
        <f t="shared" si="3"/>
        <v>50</v>
      </c>
      <c r="Z54" s="868">
        <f t="shared" si="24"/>
        <v>4465331.7635526313</v>
      </c>
      <c r="AA54" s="1051">
        <f t="shared" si="25"/>
        <v>6</v>
      </c>
      <c r="AB54" s="868">
        <f t="shared" si="26"/>
        <v>26791990.581315786</v>
      </c>
      <c r="AC54" s="868">
        <f t="shared" si="27"/>
        <v>4465331.7635526313</v>
      </c>
      <c r="AD54" s="868">
        <f t="shared" si="28"/>
        <v>4465331.7635526313</v>
      </c>
      <c r="AE54" s="868">
        <f t="shared" si="29"/>
        <v>4465331.7635526313</v>
      </c>
      <c r="AF54" s="886">
        <f t="shared" si="30"/>
        <v>4465331.7635526313</v>
      </c>
      <c r="AG54" s="886">
        <f t="shared" si="31"/>
        <v>4465331.7635526313</v>
      </c>
      <c r="AH54" s="886">
        <f t="shared" si="32"/>
        <v>49118649.399078935</v>
      </c>
      <c r="AI54" s="1077">
        <f t="shared" si="4"/>
        <v>174147938.77855262</v>
      </c>
    </row>
    <row r="55" spans="1:35" s="946" customFormat="1" ht="40.5" customHeight="1" x14ac:dyDescent="0.2">
      <c r="A55" s="1306"/>
      <c r="C55" s="1075" t="s">
        <v>2302</v>
      </c>
      <c r="D55" s="890"/>
      <c r="E55" s="907" t="s">
        <v>1026</v>
      </c>
      <c r="F55" s="917"/>
      <c r="G55" s="878" t="s">
        <v>1752</v>
      </c>
      <c r="H55" s="878"/>
      <c r="I55" s="861" t="s">
        <v>43</v>
      </c>
      <c r="J55" s="862"/>
      <c r="K55" s="862"/>
      <c r="L55" s="862"/>
      <c r="M55" s="1078" t="s">
        <v>1092</v>
      </c>
      <c r="N55" s="862">
        <v>2007</v>
      </c>
      <c r="O55" s="862"/>
      <c r="P55" s="1080">
        <v>120</v>
      </c>
      <c r="Q55" s="861"/>
      <c r="R55" s="862"/>
      <c r="S55" s="903" t="s">
        <v>12</v>
      </c>
      <c r="T55" s="879">
        <v>223266588.17763156</v>
      </c>
      <c r="U55" s="906"/>
      <c r="V55" s="970"/>
      <c r="W55" s="1124" t="str">
        <f t="shared" si="5"/>
        <v>03.11.01</v>
      </c>
      <c r="X55" s="884" t="str">
        <f t="shared" si="2"/>
        <v>Bangunan Gedung Tempat Kerja</v>
      </c>
      <c r="Y55" s="884">
        <f t="shared" si="3"/>
        <v>50</v>
      </c>
      <c r="Z55" s="868">
        <f t="shared" si="24"/>
        <v>4465331.7635526313</v>
      </c>
      <c r="AA55" s="1051">
        <f t="shared" si="25"/>
        <v>6</v>
      </c>
      <c r="AB55" s="868">
        <f t="shared" si="26"/>
        <v>26791990.581315786</v>
      </c>
      <c r="AC55" s="868">
        <f t="shared" si="27"/>
        <v>4465331.7635526313</v>
      </c>
      <c r="AD55" s="868">
        <f t="shared" si="28"/>
        <v>4465331.7635526313</v>
      </c>
      <c r="AE55" s="868">
        <f t="shared" si="29"/>
        <v>4465331.7635526313</v>
      </c>
      <c r="AF55" s="886">
        <f t="shared" si="30"/>
        <v>4465331.7635526313</v>
      </c>
      <c r="AG55" s="886">
        <f t="shared" si="31"/>
        <v>4465331.7635526313</v>
      </c>
      <c r="AH55" s="886">
        <f t="shared" si="32"/>
        <v>49118649.399078935</v>
      </c>
      <c r="AI55" s="1077">
        <f t="shared" si="4"/>
        <v>174147938.77855262</v>
      </c>
    </row>
    <row r="56" spans="1:35" s="670" customFormat="1" ht="40.5" customHeight="1" x14ac:dyDescent="0.2">
      <c r="A56" s="669">
        <v>5</v>
      </c>
      <c r="B56" s="691" t="s">
        <v>2988</v>
      </c>
      <c r="C56" s="773" t="s">
        <v>4247</v>
      </c>
      <c r="D56" s="652"/>
      <c r="E56" s="671" t="s">
        <v>1027</v>
      </c>
      <c r="F56" s="672"/>
      <c r="G56" s="653" t="s">
        <v>1772</v>
      </c>
      <c r="H56" s="653"/>
      <c r="I56" s="673" t="s">
        <v>43</v>
      </c>
      <c r="J56" s="674"/>
      <c r="K56" s="674"/>
      <c r="L56" s="674"/>
      <c r="M56" s="678" t="s">
        <v>1093</v>
      </c>
      <c r="N56" s="674">
        <v>2007</v>
      </c>
      <c r="O56" s="674"/>
      <c r="P56" s="690">
        <v>550</v>
      </c>
      <c r="Q56" s="673"/>
      <c r="R56" s="674"/>
      <c r="S56" s="675" t="s">
        <v>12</v>
      </c>
      <c r="T56" s="654">
        <f>1023305195.81414+F57</f>
        <v>2330711082.2410507</v>
      </c>
      <c r="U56" s="676"/>
      <c r="V56" s="1114"/>
      <c r="W56" s="647" t="str">
        <f t="shared" si="5"/>
        <v>03.11.01</v>
      </c>
      <c r="X56" s="648" t="str">
        <f t="shared" si="2"/>
        <v>Bangunan Gedung Tempat Kerja</v>
      </c>
      <c r="Y56" s="648">
        <f t="shared" si="3"/>
        <v>50</v>
      </c>
      <c r="Z56" s="649"/>
      <c r="AA56" s="718"/>
      <c r="AB56" s="649"/>
      <c r="AC56" s="649"/>
      <c r="AD56" s="649"/>
      <c r="AE56" s="649"/>
      <c r="AF56" s="649"/>
      <c r="AG56" s="650">
        <f>'PERHITUNGAN (C)'!U77</f>
        <v>46204899.566495448</v>
      </c>
      <c r="AH56" s="650">
        <f>'PERHITUNGAN (C)'!U82</f>
        <v>574924898.71422815</v>
      </c>
      <c r="AI56" s="677">
        <f t="shared" si="4"/>
        <v>1755786183.5268226</v>
      </c>
    </row>
    <row r="57" spans="1:35" s="48" customFormat="1" ht="40.5" customHeight="1" x14ac:dyDescent="0.2">
      <c r="A57" s="296">
        <v>5</v>
      </c>
      <c r="B57" s="72" t="s">
        <v>2988</v>
      </c>
      <c r="C57" s="772" t="s">
        <v>4247</v>
      </c>
      <c r="D57" s="73"/>
      <c r="E57" s="65" t="s">
        <v>1050</v>
      </c>
      <c r="F57" s="555">
        <v>1307405886.4269106</v>
      </c>
      <c r="G57" s="67" t="s">
        <v>1772</v>
      </c>
      <c r="H57" s="67"/>
      <c r="I57" s="33" t="s">
        <v>43</v>
      </c>
      <c r="J57" s="40"/>
      <c r="K57" s="40"/>
      <c r="L57" s="40"/>
      <c r="M57" s="65" t="s">
        <v>1093</v>
      </c>
      <c r="N57" s="40">
        <v>2008</v>
      </c>
      <c r="O57" s="40"/>
      <c r="P57" s="32"/>
      <c r="Q57" s="33"/>
      <c r="R57" s="40"/>
      <c r="S57" s="32" t="s">
        <v>12</v>
      </c>
      <c r="T57" s="252"/>
      <c r="U57" s="61"/>
      <c r="V57" s="1115"/>
      <c r="W57" s="206" t="str">
        <f t="shared" si="5"/>
        <v>03.11.01</v>
      </c>
      <c r="X57" s="207" t="str">
        <f t="shared" si="2"/>
        <v>Bangunan Gedung Tempat Kerja</v>
      </c>
      <c r="Y57" s="207">
        <f t="shared" si="3"/>
        <v>50</v>
      </c>
      <c r="Z57" s="233"/>
      <c r="AA57" s="714"/>
      <c r="AB57" s="233"/>
      <c r="AC57" s="233"/>
      <c r="AD57" s="233"/>
      <c r="AE57" s="233"/>
      <c r="AF57" s="233"/>
      <c r="AG57" s="238"/>
      <c r="AH57" s="238"/>
      <c r="AI57" s="210">
        <f t="shared" si="4"/>
        <v>0</v>
      </c>
    </row>
    <row r="58" spans="1:35" s="670" customFormat="1" ht="40.5" customHeight="1" x14ac:dyDescent="0.2">
      <c r="A58" s="669">
        <v>6</v>
      </c>
      <c r="B58" s="670" t="s">
        <v>2989</v>
      </c>
      <c r="C58" s="773" t="s">
        <v>4247</v>
      </c>
      <c r="D58" s="652"/>
      <c r="E58" s="671" t="s">
        <v>1028</v>
      </c>
      <c r="F58" s="672"/>
      <c r="G58" s="653" t="s">
        <v>1772</v>
      </c>
      <c r="H58" s="653"/>
      <c r="I58" s="673" t="s">
        <v>43</v>
      </c>
      <c r="J58" s="674"/>
      <c r="K58" s="674"/>
      <c r="L58" s="674"/>
      <c r="M58" s="678" t="s">
        <v>428</v>
      </c>
      <c r="N58" s="674">
        <v>2007</v>
      </c>
      <c r="O58" s="674"/>
      <c r="P58" s="690">
        <v>420</v>
      </c>
      <c r="Q58" s="673"/>
      <c r="R58" s="674"/>
      <c r="S58" s="675" t="s">
        <v>12</v>
      </c>
      <c r="T58" s="654">
        <f>781433058.6+F59</f>
        <v>1012320804.6332581</v>
      </c>
      <c r="U58" s="676"/>
      <c r="V58" s="1114"/>
      <c r="W58" s="647" t="str">
        <f t="shared" si="5"/>
        <v>03.11.01</v>
      </c>
      <c r="X58" s="648" t="str">
        <f t="shared" si="2"/>
        <v>Bangunan Gedung Tempat Kerja</v>
      </c>
      <c r="Y58" s="648">
        <f t="shared" si="3"/>
        <v>50</v>
      </c>
      <c r="Z58" s="649"/>
      <c r="AA58" s="718"/>
      <c r="AB58" s="649"/>
      <c r="AC58" s="649"/>
      <c r="AD58" s="649"/>
      <c r="AE58" s="649"/>
      <c r="AF58" s="649"/>
      <c r="AG58" s="650">
        <f>'PERHITUNGAN (C)'!U96</f>
        <v>19933842.869225159</v>
      </c>
      <c r="AH58" s="650">
        <f>'PERHITUNGAN (C)'!U101</f>
        <v>254834775.60270184</v>
      </c>
      <c r="AI58" s="677">
        <f t="shared" si="4"/>
        <v>757486029.0305562</v>
      </c>
    </row>
    <row r="59" spans="1:35" s="48" customFormat="1" ht="40.5" customHeight="1" x14ac:dyDescent="0.2">
      <c r="A59" s="296">
        <v>6</v>
      </c>
      <c r="B59" s="48" t="s">
        <v>2989</v>
      </c>
      <c r="C59" s="772" t="s">
        <v>4247</v>
      </c>
      <c r="D59" s="73"/>
      <c r="E59" s="65" t="s">
        <v>1051</v>
      </c>
      <c r="F59" s="555">
        <v>230887746.03325808</v>
      </c>
      <c r="G59" s="67" t="s">
        <v>1772</v>
      </c>
      <c r="H59" s="67"/>
      <c r="I59" s="33" t="s">
        <v>43</v>
      </c>
      <c r="J59" s="40"/>
      <c r="K59" s="40"/>
      <c r="L59" s="40"/>
      <c r="M59" s="65" t="s">
        <v>428</v>
      </c>
      <c r="N59" s="40">
        <v>2008</v>
      </c>
      <c r="O59" s="40"/>
      <c r="P59" s="32"/>
      <c r="Q59" s="33"/>
      <c r="R59" s="40"/>
      <c r="S59" s="32" t="s">
        <v>12</v>
      </c>
      <c r="T59" s="252"/>
      <c r="U59" s="61"/>
      <c r="V59" s="1115"/>
      <c r="W59" s="206" t="str">
        <f t="shared" si="5"/>
        <v>03.11.01</v>
      </c>
      <c r="X59" s="207" t="str">
        <f t="shared" si="2"/>
        <v>Bangunan Gedung Tempat Kerja</v>
      </c>
      <c r="Y59" s="207">
        <f t="shared" si="3"/>
        <v>50</v>
      </c>
      <c r="Z59" s="233"/>
      <c r="AA59" s="714"/>
      <c r="AB59" s="233"/>
      <c r="AC59" s="233"/>
      <c r="AD59" s="233"/>
      <c r="AE59" s="233"/>
      <c r="AF59" s="233"/>
      <c r="AG59" s="238"/>
      <c r="AH59" s="238"/>
      <c r="AI59" s="210">
        <f t="shared" si="4"/>
        <v>0</v>
      </c>
    </row>
    <row r="60" spans="1:35" s="670" customFormat="1" ht="40.5" customHeight="1" x14ac:dyDescent="0.2">
      <c r="A60" s="669">
        <v>7</v>
      </c>
      <c r="B60" s="691" t="s">
        <v>2987</v>
      </c>
      <c r="C60" s="773" t="s">
        <v>4247</v>
      </c>
      <c r="D60" s="652"/>
      <c r="E60" s="671" t="s">
        <v>1029</v>
      </c>
      <c r="F60" s="672"/>
      <c r="G60" s="653" t="s">
        <v>1772</v>
      </c>
      <c r="H60" s="653"/>
      <c r="I60" s="673" t="s">
        <v>43</v>
      </c>
      <c r="J60" s="674"/>
      <c r="K60" s="674"/>
      <c r="L60" s="674"/>
      <c r="M60" s="678" t="s">
        <v>1094</v>
      </c>
      <c r="N60" s="674">
        <v>2007</v>
      </c>
      <c r="O60" s="674"/>
      <c r="P60" s="690">
        <v>420</v>
      </c>
      <c r="Q60" s="673"/>
      <c r="R60" s="674"/>
      <c r="S60" s="675" t="s">
        <v>12</v>
      </c>
      <c r="T60" s="654">
        <f>781433058.48+F61</f>
        <v>1191002149.8412251</v>
      </c>
      <c r="U60" s="676"/>
      <c r="V60" s="1114"/>
      <c r="W60" s="647" t="str">
        <f t="shared" si="5"/>
        <v>03.11.01</v>
      </c>
      <c r="X60" s="648" t="str">
        <f t="shared" si="2"/>
        <v>Bangunan Gedung Tempat Kerja</v>
      </c>
      <c r="Y60" s="648">
        <f t="shared" si="3"/>
        <v>50</v>
      </c>
      <c r="Z60" s="649"/>
      <c r="AA60" s="718"/>
      <c r="AB60" s="649"/>
      <c r="AC60" s="649"/>
      <c r="AD60" s="649"/>
      <c r="AE60" s="649"/>
      <c r="AF60" s="649"/>
      <c r="AG60" s="650">
        <f>'PERHITUNGAN (C)'!U115</f>
        <v>23507469.773432504</v>
      </c>
      <c r="AH60" s="650">
        <f>'PERHITUNGAN (C)'!U120</f>
        <v>297839972.34017265</v>
      </c>
      <c r="AI60" s="677">
        <f t="shared" si="4"/>
        <v>893162177.5010525</v>
      </c>
    </row>
    <row r="61" spans="1:35" s="48" customFormat="1" ht="40.5" customHeight="1" x14ac:dyDescent="0.2">
      <c r="A61" s="296">
        <v>7</v>
      </c>
      <c r="B61" s="72" t="s">
        <v>2987</v>
      </c>
      <c r="C61" s="772" t="s">
        <v>4247</v>
      </c>
      <c r="D61" s="73"/>
      <c r="E61" s="65" t="s">
        <v>1052</v>
      </c>
      <c r="F61" s="555">
        <v>409569091.36122507</v>
      </c>
      <c r="G61" s="67" t="s">
        <v>1772</v>
      </c>
      <c r="H61" s="67"/>
      <c r="I61" s="33" t="s">
        <v>43</v>
      </c>
      <c r="J61" s="40"/>
      <c r="K61" s="40"/>
      <c r="L61" s="40"/>
      <c r="M61" s="65" t="s">
        <v>1094</v>
      </c>
      <c r="N61" s="40">
        <v>2008</v>
      </c>
      <c r="O61" s="40"/>
      <c r="P61" s="32"/>
      <c r="Q61" s="33"/>
      <c r="R61" s="40"/>
      <c r="S61" s="32" t="s">
        <v>12</v>
      </c>
      <c r="T61" s="252"/>
      <c r="U61" s="61"/>
      <c r="V61" s="1115"/>
      <c r="W61" s="206" t="str">
        <f t="shared" si="5"/>
        <v>03.11.01</v>
      </c>
      <c r="X61" s="207" t="str">
        <f t="shared" si="2"/>
        <v>Bangunan Gedung Tempat Kerja</v>
      </c>
      <c r="Y61" s="207">
        <f t="shared" si="3"/>
        <v>50</v>
      </c>
      <c r="Z61" s="233"/>
      <c r="AA61" s="714"/>
      <c r="AB61" s="233"/>
      <c r="AC61" s="233"/>
      <c r="AD61" s="233"/>
      <c r="AE61" s="233"/>
      <c r="AF61" s="233"/>
      <c r="AG61" s="238"/>
      <c r="AH61" s="238"/>
      <c r="AI61" s="210">
        <f t="shared" si="4"/>
        <v>0</v>
      </c>
    </row>
    <row r="62" spans="1:35" s="946" customFormat="1" ht="40.5" customHeight="1" x14ac:dyDescent="0.2">
      <c r="A62" s="1306"/>
      <c r="B62" s="946" t="s">
        <v>3001</v>
      </c>
      <c r="C62" s="1075" t="s">
        <v>2302</v>
      </c>
      <c r="D62" s="890"/>
      <c r="E62" s="907" t="s">
        <v>1030</v>
      </c>
      <c r="F62" s="917"/>
      <c r="G62" s="878" t="s">
        <v>1752</v>
      </c>
      <c r="H62" s="878"/>
      <c r="I62" s="861"/>
      <c r="J62" s="862"/>
      <c r="K62" s="862"/>
      <c r="L62" s="862"/>
      <c r="M62" s="907" t="s">
        <v>52</v>
      </c>
      <c r="N62" s="862">
        <v>2007</v>
      </c>
      <c r="O62" s="862"/>
      <c r="P62" s="903"/>
      <c r="Q62" s="861"/>
      <c r="R62" s="862"/>
      <c r="S62" s="903" t="s">
        <v>12</v>
      </c>
      <c r="T62" s="879">
        <v>956968150</v>
      </c>
      <c r="U62" s="906"/>
      <c r="V62" s="970"/>
      <c r="W62" s="1124" t="str">
        <f t="shared" si="5"/>
        <v>03.11.01</v>
      </c>
      <c r="X62" s="884" t="str">
        <f t="shared" si="2"/>
        <v>Bangunan Gedung Tempat Kerja</v>
      </c>
      <c r="Y62" s="884">
        <f t="shared" si="3"/>
        <v>50</v>
      </c>
      <c r="Z62" s="868">
        <f>T62/Y62</f>
        <v>19139363</v>
      </c>
      <c r="AA62" s="1051">
        <f>IF(2013-N62&gt;Y62,Y62,IF(2013-N62&lt;0,0,2013-N62))</f>
        <v>6</v>
      </c>
      <c r="AB62" s="868">
        <f>IF(AA62&gt;Y62,T62,Z62*AA62)</f>
        <v>114836178</v>
      </c>
      <c r="AC62" s="868">
        <f>IF(T62=AB62,0,Z62)</f>
        <v>19139363</v>
      </c>
      <c r="AD62" s="868">
        <f>IF(T62=AB62+AC62,0,Z62)</f>
        <v>19139363</v>
      </c>
      <c r="AE62" s="868">
        <f>IF(T62=AB62+AC62+AD62,0,Z62)</f>
        <v>19139363</v>
      </c>
      <c r="AF62" s="886">
        <f>IF(T62=AB62+AC62+AD62+AE62,0,Z62)</f>
        <v>19139363</v>
      </c>
      <c r="AG62" s="886">
        <f>IF(T62=AB62+AC62+AD62+AE62+AF62,0,Z62)</f>
        <v>19139363</v>
      </c>
      <c r="AH62" s="886">
        <f>SUM(AB62:AG62)</f>
        <v>210532993</v>
      </c>
      <c r="AI62" s="1077">
        <f t="shared" si="4"/>
        <v>746435157</v>
      </c>
    </row>
    <row r="63" spans="1:35" s="946" customFormat="1" ht="40.5" customHeight="1" x14ac:dyDescent="0.2">
      <c r="A63" s="1306"/>
      <c r="C63" s="1075" t="s">
        <v>2302</v>
      </c>
      <c r="D63" s="890"/>
      <c r="E63" s="907" t="s">
        <v>1031</v>
      </c>
      <c r="F63" s="917"/>
      <c r="G63" s="878" t="s">
        <v>2485</v>
      </c>
      <c r="H63" s="878"/>
      <c r="I63" s="861" t="s">
        <v>135</v>
      </c>
      <c r="J63" s="862"/>
      <c r="K63" s="862"/>
      <c r="L63" s="862"/>
      <c r="M63" s="1078" t="s">
        <v>428</v>
      </c>
      <c r="N63" s="862">
        <v>2007</v>
      </c>
      <c r="O63" s="862"/>
      <c r="P63" s="903"/>
      <c r="Q63" s="861"/>
      <c r="R63" s="862"/>
      <c r="S63" s="903" t="s">
        <v>12</v>
      </c>
      <c r="T63" s="879">
        <v>110133381.99452282</v>
      </c>
      <c r="U63" s="906"/>
      <c r="V63" s="970"/>
      <c r="W63" s="1124" t="str">
        <f t="shared" si="5"/>
        <v>03.11.02</v>
      </c>
      <c r="X63" s="884" t="str">
        <f t="shared" si="2"/>
        <v>Bangunan Gedung Tempat Tinggal</v>
      </c>
      <c r="Y63" s="884">
        <f t="shared" si="3"/>
        <v>50</v>
      </c>
      <c r="Z63" s="868">
        <f>T63/Y63</f>
        <v>2202667.6398904566</v>
      </c>
      <c r="AA63" s="1051">
        <f>IF(2013-N63&gt;Y63,Y63,IF(2013-N63&lt;0,0,2013-N63))</f>
        <v>6</v>
      </c>
      <c r="AB63" s="868">
        <f>IF(AA63&gt;Y63,T63,Z63*AA63)</f>
        <v>13216005.839342739</v>
      </c>
      <c r="AC63" s="868">
        <f>IF(T63=AB63,0,Z63)</f>
        <v>2202667.6398904566</v>
      </c>
      <c r="AD63" s="868">
        <f>IF(T63=AB63+AC63,0,Z63)</f>
        <v>2202667.6398904566</v>
      </c>
      <c r="AE63" s="868">
        <f>IF(T63=AB63+AC63+AD63,0,Z63)</f>
        <v>2202667.6398904566</v>
      </c>
      <c r="AF63" s="886">
        <f>IF(T63=AB63+AC63+AD63+AE63,0,Z63)</f>
        <v>2202667.6398904566</v>
      </c>
      <c r="AG63" s="886">
        <f>IF(T63=AB63+AC63+AD63+AE63+AF63,0,Z63)</f>
        <v>2202667.6398904566</v>
      </c>
      <c r="AH63" s="886">
        <f>SUM(AB63:AG63)</f>
        <v>24229344.038795017</v>
      </c>
      <c r="AI63" s="1077">
        <f t="shared" si="4"/>
        <v>85904037.955727816</v>
      </c>
    </row>
    <row r="64" spans="1:35" s="946" customFormat="1" ht="40.5" customHeight="1" x14ac:dyDescent="0.2">
      <c r="A64" s="1306"/>
      <c r="C64" s="1075" t="s">
        <v>2302</v>
      </c>
      <c r="D64" s="890"/>
      <c r="E64" s="907" t="s">
        <v>1032</v>
      </c>
      <c r="F64" s="917"/>
      <c r="G64" s="878" t="s">
        <v>2485</v>
      </c>
      <c r="H64" s="878"/>
      <c r="I64" s="861"/>
      <c r="J64" s="862"/>
      <c r="K64" s="862"/>
      <c r="L64" s="862"/>
      <c r="M64" s="1078" t="s">
        <v>427</v>
      </c>
      <c r="N64" s="862">
        <v>2007</v>
      </c>
      <c r="O64" s="862"/>
      <c r="P64" s="903"/>
      <c r="Q64" s="861"/>
      <c r="R64" s="862"/>
      <c r="S64" s="903" t="s">
        <v>12</v>
      </c>
      <c r="T64" s="879">
        <v>94910618.005477175</v>
      </c>
      <c r="U64" s="906"/>
      <c r="V64" s="970"/>
      <c r="W64" s="1124" t="str">
        <f t="shared" si="5"/>
        <v>03.11.02</v>
      </c>
      <c r="X64" s="884" t="str">
        <f t="shared" si="2"/>
        <v>Bangunan Gedung Tempat Tinggal</v>
      </c>
      <c r="Y64" s="884">
        <f t="shared" si="3"/>
        <v>50</v>
      </c>
      <c r="Z64" s="868">
        <f>T64/Y64</f>
        <v>1898212.3601095434</v>
      </c>
      <c r="AA64" s="1051">
        <f>IF(2013-N64&gt;Y64,Y64,IF(2013-N64&lt;0,0,2013-N64))</f>
        <v>6</v>
      </c>
      <c r="AB64" s="868">
        <f>IF(AA64&gt;Y64,T64,Z64*AA64)</f>
        <v>11389274.160657261</v>
      </c>
      <c r="AC64" s="868">
        <f>IF(T64=AB64,0,Z64)</f>
        <v>1898212.3601095434</v>
      </c>
      <c r="AD64" s="868">
        <f>IF(T64=AB64+AC64,0,Z64)</f>
        <v>1898212.3601095434</v>
      </c>
      <c r="AE64" s="868">
        <f>IF(T64=AB64+AC64+AD64,0,Z64)</f>
        <v>1898212.3601095434</v>
      </c>
      <c r="AF64" s="886">
        <f>IF(T64=AB64+AC64+AD64+AE64,0,Z64)</f>
        <v>1898212.3601095434</v>
      </c>
      <c r="AG64" s="886">
        <f>IF(T64=AB64+AC64+AD64+AE64+AF64,0,Z64)</f>
        <v>1898212.3601095434</v>
      </c>
      <c r="AH64" s="886">
        <f>SUM(AB64:AG64)</f>
        <v>20880335.961204983</v>
      </c>
      <c r="AI64" s="1077">
        <f t="shared" si="4"/>
        <v>74030282.044272184</v>
      </c>
    </row>
    <row r="65" spans="1:35" s="670" customFormat="1" ht="40.5" customHeight="1" x14ac:dyDescent="0.2">
      <c r="A65" s="669">
        <v>8</v>
      </c>
      <c r="B65" s="670" t="s">
        <v>3002</v>
      </c>
      <c r="C65" s="773" t="s">
        <v>4247</v>
      </c>
      <c r="D65" s="652"/>
      <c r="E65" s="671" t="s">
        <v>1033</v>
      </c>
      <c r="F65" s="672"/>
      <c r="G65" s="653" t="s">
        <v>1752</v>
      </c>
      <c r="H65" s="653" t="s">
        <v>426</v>
      </c>
      <c r="I65" s="673" t="s">
        <v>43</v>
      </c>
      <c r="J65" s="674"/>
      <c r="K65" s="674"/>
      <c r="L65" s="674"/>
      <c r="M65" s="678" t="s">
        <v>417</v>
      </c>
      <c r="N65" s="674">
        <v>2007</v>
      </c>
      <c r="O65" s="674"/>
      <c r="P65" s="675">
        <v>550</v>
      </c>
      <c r="Q65" s="673"/>
      <c r="R65" s="674"/>
      <c r="S65" s="675" t="s">
        <v>12</v>
      </c>
      <c r="T65" s="654">
        <f>985718287.2+F66</f>
        <v>1708579087.2</v>
      </c>
      <c r="U65" s="676"/>
      <c r="V65" s="1114"/>
      <c r="W65" s="647" t="str">
        <f t="shared" si="5"/>
        <v>03.11.01</v>
      </c>
      <c r="X65" s="648" t="str">
        <f t="shared" si="2"/>
        <v>Bangunan Gedung Tempat Kerja</v>
      </c>
      <c r="Y65" s="648">
        <f t="shared" si="3"/>
        <v>50</v>
      </c>
      <c r="Z65" s="649"/>
      <c r="AA65" s="718"/>
      <c r="AB65" s="649"/>
      <c r="AC65" s="649"/>
      <c r="AD65" s="649"/>
      <c r="AE65" s="649"/>
      <c r="AF65" s="649"/>
      <c r="AG65" s="650">
        <f>'PERHITUNGAN (C)'!U134</f>
        <v>33777294.429120004</v>
      </c>
      <c r="AH65" s="650">
        <f>'PERHITUNGAN (C)'!U139</f>
        <v>425041898.89344007</v>
      </c>
      <c r="AI65" s="677">
        <f t="shared" si="4"/>
        <v>1283537188.30656</v>
      </c>
    </row>
    <row r="66" spans="1:35" s="48" customFormat="1" ht="40.5" customHeight="1" x14ac:dyDescent="0.2">
      <c r="A66" s="296">
        <v>8</v>
      </c>
      <c r="B66" s="48" t="s">
        <v>3002</v>
      </c>
      <c r="C66" s="772" t="s">
        <v>4247</v>
      </c>
      <c r="D66" s="73"/>
      <c r="E66" s="65" t="s">
        <v>1062</v>
      </c>
      <c r="F66" s="555">
        <v>722860800</v>
      </c>
      <c r="G66" s="67" t="s">
        <v>1752</v>
      </c>
      <c r="H66" s="67"/>
      <c r="I66" s="33" t="s">
        <v>43</v>
      </c>
      <c r="J66" s="40"/>
      <c r="K66" s="40"/>
      <c r="L66" s="40"/>
      <c r="M66" s="65" t="s">
        <v>417</v>
      </c>
      <c r="N66" s="40">
        <v>2008</v>
      </c>
      <c r="O66" s="40"/>
      <c r="P66" s="32"/>
      <c r="Q66" s="33"/>
      <c r="R66" s="40"/>
      <c r="S66" s="32" t="s">
        <v>12</v>
      </c>
      <c r="T66" s="252"/>
      <c r="U66" s="61"/>
      <c r="V66" s="1115"/>
      <c r="W66" s="206" t="str">
        <f t="shared" si="5"/>
        <v>03.11.01</v>
      </c>
      <c r="X66" s="207" t="str">
        <f t="shared" si="2"/>
        <v>Bangunan Gedung Tempat Kerja</v>
      </c>
      <c r="Y66" s="207">
        <f t="shared" si="3"/>
        <v>50</v>
      </c>
      <c r="Z66" s="233"/>
      <c r="AA66" s="714"/>
      <c r="AB66" s="233"/>
      <c r="AC66" s="233"/>
      <c r="AD66" s="233"/>
      <c r="AE66" s="233"/>
      <c r="AF66" s="233"/>
      <c r="AG66" s="238"/>
      <c r="AH66" s="238"/>
      <c r="AI66" s="210">
        <f t="shared" si="4"/>
        <v>0</v>
      </c>
    </row>
    <row r="67" spans="1:35" s="670" customFormat="1" ht="40.5" customHeight="1" x14ac:dyDescent="0.2">
      <c r="A67" s="669">
        <v>9</v>
      </c>
      <c r="B67" s="670" t="s">
        <v>3004</v>
      </c>
      <c r="C67" s="773" t="s">
        <v>4247</v>
      </c>
      <c r="D67" s="652"/>
      <c r="E67" s="671" t="s">
        <v>1034</v>
      </c>
      <c r="F67" s="672"/>
      <c r="G67" s="653" t="s">
        <v>1752</v>
      </c>
      <c r="H67" s="653" t="s">
        <v>426</v>
      </c>
      <c r="I67" s="673" t="s">
        <v>43</v>
      </c>
      <c r="J67" s="674"/>
      <c r="K67" s="674"/>
      <c r="L67" s="674"/>
      <c r="M67" s="678" t="s">
        <v>417</v>
      </c>
      <c r="N67" s="674">
        <v>2007</v>
      </c>
      <c r="O67" s="674"/>
      <c r="P67" s="675">
        <v>550</v>
      </c>
      <c r="Q67" s="673"/>
      <c r="R67" s="674"/>
      <c r="S67" s="675" t="s">
        <v>12</v>
      </c>
      <c r="T67" s="654">
        <f>1498540229.1+F68+F69</f>
        <v>2039132471.6859493</v>
      </c>
      <c r="U67" s="676"/>
      <c r="V67" s="1114"/>
      <c r="W67" s="647" t="str">
        <f t="shared" si="5"/>
        <v>03.11.01</v>
      </c>
      <c r="X67" s="648" t="str">
        <f t="shared" si="2"/>
        <v>Bangunan Gedung Tempat Kerja</v>
      </c>
      <c r="Y67" s="648">
        <f t="shared" si="3"/>
        <v>50</v>
      </c>
      <c r="Z67" s="649"/>
      <c r="AA67" s="718"/>
      <c r="AB67" s="649"/>
      <c r="AC67" s="649"/>
      <c r="AD67" s="649"/>
      <c r="AE67" s="649"/>
      <c r="AF67" s="649"/>
      <c r="AG67" s="650">
        <f>'PERHITUNGAN (C)'!U156</f>
        <v>37981377.792657383</v>
      </c>
      <c r="AH67" s="650">
        <f>'PERHITUNGAN (C)'!U161</f>
        <v>481895982.1869964</v>
      </c>
      <c r="AI67" s="677">
        <f t="shared" si="4"/>
        <v>1557236489.4989529</v>
      </c>
    </row>
    <row r="68" spans="1:35" s="48" customFormat="1" ht="40.5" customHeight="1" x14ac:dyDescent="0.2">
      <c r="A68" s="296">
        <v>9</v>
      </c>
      <c r="B68" s="48" t="s">
        <v>3004</v>
      </c>
      <c r="C68" s="772" t="s">
        <v>4247</v>
      </c>
      <c r="D68" s="73"/>
      <c r="E68" s="65" t="s">
        <v>1063</v>
      </c>
      <c r="F68" s="555">
        <v>366310200</v>
      </c>
      <c r="G68" s="67" t="s">
        <v>1752</v>
      </c>
      <c r="H68" s="67"/>
      <c r="I68" s="33" t="s">
        <v>43</v>
      </c>
      <c r="J68" s="40"/>
      <c r="K68" s="40"/>
      <c r="L68" s="40"/>
      <c r="M68" s="65" t="s">
        <v>417</v>
      </c>
      <c r="N68" s="40">
        <v>2008</v>
      </c>
      <c r="O68" s="40"/>
      <c r="P68" s="32"/>
      <c r="Q68" s="33"/>
      <c r="R68" s="40"/>
      <c r="S68" s="32" t="s">
        <v>12</v>
      </c>
      <c r="T68" s="252"/>
      <c r="U68" s="61"/>
      <c r="V68" s="1115"/>
      <c r="W68" s="206" t="str">
        <f>LEFT(G68,8)</f>
        <v>03.11.01</v>
      </c>
      <c r="X68" s="207" t="str">
        <f>VLOOKUP(W68,UE,3)</f>
        <v>Bangunan Gedung Tempat Kerja</v>
      </c>
      <c r="Y68" s="207">
        <f>VLOOKUP(W68,UE,4)</f>
        <v>50</v>
      </c>
      <c r="Z68" s="233"/>
      <c r="AA68" s="714"/>
      <c r="AB68" s="233"/>
      <c r="AC68" s="233"/>
      <c r="AD68" s="233"/>
      <c r="AE68" s="233"/>
      <c r="AF68" s="233"/>
      <c r="AG68" s="238"/>
      <c r="AH68" s="238"/>
      <c r="AI68" s="210"/>
    </row>
    <row r="69" spans="1:35" s="48" customFormat="1" ht="40.5" customHeight="1" x14ac:dyDescent="0.2">
      <c r="A69" s="296">
        <v>9</v>
      </c>
      <c r="B69" s="48" t="s">
        <v>3004</v>
      </c>
      <c r="C69" s="772" t="s">
        <v>4247</v>
      </c>
      <c r="D69" s="73"/>
      <c r="E69" s="65" t="s">
        <v>2679</v>
      </c>
      <c r="F69" s="555">
        <v>174282042.58594951</v>
      </c>
      <c r="G69" s="67" t="s">
        <v>1752</v>
      </c>
      <c r="H69" s="67" t="s">
        <v>1864</v>
      </c>
      <c r="I69" s="33" t="s">
        <v>43</v>
      </c>
      <c r="J69" s="40" t="s">
        <v>1753</v>
      </c>
      <c r="K69" s="40" t="s">
        <v>835</v>
      </c>
      <c r="L69" s="40"/>
      <c r="M69" s="72" t="s">
        <v>1858</v>
      </c>
      <c r="N69" s="40">
        <v>2011</v>
      </c>
      <c r="O69" s="40" t="s">
        <v>1865</v>
      </c>
      <c r="P69" s="32"/>
      <c r="Q69" s="33"/>
      <c r="R69" s="40"/>
      <c r="S69" s="32" t="s">
        <v>12</v>
      </c>
      <c r="T69" s="252"/>
      <c r="U69" s="105"/>
      <c r="V69" s="1116"/>
      <c r="W69" s="206" t="str">
        <f t="shared" si="5"/>
        <v>03.11.01</v>
      </c>
      <c r="X69" s="207" t="str">
        <f t="shared" si="2"/>
        <v>Bangunan Gedung Tempat Kerja</v>
      </c>
      <c r="Y69" s="207">
        <f t="shared" si="3"/>
        <v>50</v>
      </c>
      <c r="Z69" s="233"/>
      <c r="AA69" s="714"/>
      <c r="AB69" s="233"/>
      <c r="AC69" s="233"/>
      <c r="AD69" s="233"/>
      <c r="AE69" s="233"/>
      <c r="AF69" s="233"/>
      <c r="AG69" s="238"/>
      <c r="AH69" s="238"/>
      <c r="AI69" s="210">
        <f>T69-AH69</f>
        <v>0</v>
      </c>
    </row>
    <row r="70" spans="1:35" s="670" customFormat="1" ht="40.5" customHeight="1" x14ac:dyDescent="0.2">
      <c r="A70" s="669">
        <v>10</v>
      </c>
      <c r="B70" s="670" t="s">
        <v>3005</v>
      </c>
      <c r="C70" s="773" t="s">
        <v>4247</v>
      </c>
      <c r="D70" s="652"/>
      <c r="E70" s="671" t="s">
        <v>1035</v>
      </c>
      <c r="F70" s="672"/>
      <c r="G70" s="653" t="s">
        <v>1752</v>
      </c>
      <c r="H70" s="653" t="s">
        <v>426</v>
      </c>
      <c r="I70" s="673" t="s">
        <v>43</v>
      </c>
      <c r="J70" s="674"/>
      <c r="K70" s="674"/>
      <c r="L70" s="674"/>
      <c r="M70" s="678" t="s">
        <v>417</v>
      </c>
      <c r="N70" s="674">
        <v>2007</v>
      </c>
      <c r="O70" s="674"/>
      <c r="P70" s="675">
        <v>550</v>
      </c>
      <c r="Q70" s="673"/>
      <c r="R70" s="674"/>
      <c r="S70" s="675" t="s">
        <v>12</v>
      </c>
      <c r="T70" s="654">
        <f>1022670613.8+F71</f>
        <v>1583974808.8</v>
      </c>
      <c r="U70" s="676"/>
      <c r="V70" s="1114"/>
      <c r="W70" s="647" t="str">
        <f t="shared" si="5"/>
        <v>03.11.01</v>
      </c>
      <c r="X70" s="648" t="str">
        <f t="shared" si="2"/>
        <v>Bangunan Gedung Tempat Kerja</v>
      </c>
      <c r="Y70" s="648">
        <f t="shared" si="3"/>
        <v>50</v>
      </c>
      <c r="Z70" s="649"/>
      <c r="AA70" s="718"/>
      <c r="AB70" s="649"/>
      <c r="AC70" s="649"/>
      <c r="AD70" s="649"/>
      <c r="AE70" s="649"/>
      <c r="AF70" s="649"/>
      <c r="AG70" s="650">
        <f>'PERHITUNGAN (C)'!U175</f>
        <v>31270427.93048</v>
      </c>
      <c r="AH70" s="650">
        <f>'PERHITUNGAN (C)'!U179</f>
        <v>395698547.44176</v>
      </c>
      <c r="AI70" s="677">
        <f>T70-AH70</f>
        <v>1188276261.3582399</v>
      </c>
    </row>
    <row r="71" spans="1:35" s="48" customFormat="1" ht="40.5" customHeight="1" x14ac:dyDescent="0.2">
      <c r="A71" s="296">
        <v>10</v>
      </c>
      <c r="B71" s="48" t="s">
        <v>3005</v>
      </c>
      <c r="C71" s="772" t="s">
        <v>4247</v>
      </c>
      <c r="D71" s="73"/>
      <c r="E71" s="65" t="s">
        <v>1064</v>
      </c>
      <c r="F71" s="555">
        <v>561304195</v>
      </c>
      <c r="G71" s="67" t="s">
        <v>1752</v>
      </c>
      <c r="H71" s="67"/>
      <c r="I71" s="33" t="s">
        <v>43</v>
      </c>
      <c r="J71" s="40"/>
      <c r="K71" s="40"/>
      <c r="L71" s="40"/>
      <c r="M71" s="65" t="s">
        <v>417</v>
      </c>
      <c r="N71" s="40">
        <v>2008</v>
      </c>
      <c r="O71" s="40"/>
      <c r="P71" s="32"/>
      <c r="Q71" s="33"/>
      <c r="R71" s="40"/>
      <c r="S71" s="32" t="s">
        <v>12</v>
      </c>
      <c r="T71" s="252"/>
      <c r="U71" s="61"/>
      <c r="V71" s="1115"/>
      <c r="W71" s="206" t="str">
        <f t="shared" si="5"/>
        <v>03.11.01</v>
      </c>
      <c r="X71" s="207" t="str">
        <f t="shared" si="2"/>
        <v>Bangunan Gedung Tempat Kerja</v>
      </c>
      <c r="Y71" s="207">
        <f t="shared" si="3"/>
        <v>50</v>
      </c>
      <c r="Z71" s="233"/>
      <c r="AA71" s="714"/>
      <c r="AB71" s="233"/>
      <c r="AC71" s="233"/>
      <c r="AD71" s="233"/>
      <c r="AE71" s="233"/>
      <c r="AF71" s="233"/>
      <c r="AG71" s="238"/>
      <c r="AH71" s="238"/>
      <c r="AI71" s="210">
        <f>T71-AH71</f>
        <v>0</v>
      </c>
    </row>
    <row r="72" spans="1:35" s="813" customFormat="1" ht="40.5" customHeight="1" x14ac:dyDescent="0.2">
      <c r="A72" s="812">
        <v>45</v>
      </c>
      <c r="B72" s="813" t="s">
        <v>3006</v>
      </c>
      <c r="C72" s="814" t="s">
        <v>4247</v>
      </c>
      <c r="D72" s="815"/>
      <c r="E72" s="816" t="s">
        <v>1036</v>
      </c>
      <c r="F72" s="817"/>
      <c r="G72" s="818" t="s">
        <v>1752</v>
      </c>
      <c r="H72" s="818" t="s">
        <v>426</v>
      </c>
      <c r="I72" s="819" t="s">
        <v>43</v>
      </c>
      <c r="J72" s="820"/>
      <c r="K72" s="820"/>
      <c r="L72" s="820"/>
      <c r="M72" s="821" t="s">
        <v>417</v>
      </c>
      <c r="N72" s="820">
        <v>2007</v>
      </c>
      <c r="O72" s="820"/>
      <c r="P72" s="822">
        <v>550</v>
      </c>
      <c r="Q72" s="819"/>
      <c r="R72" s="820"/>
      <c r="S72" s="822" t="s">
        <v>12</v>
      </c>
      <c r="T72" s="823">
        <f>1478086522.2+F73</f>
        <v>1661241622.2</v>
      </c>
      <c r="U72" s="824"/>
      <c r="V72" s="1117"/>
      <c r="W72" s="651" t="str">
        <f t="shared" si="5"/>
        <v>03.11.01</v>
      </c>
      <c r="X72" s="825" t="str">
        <f t="shared" si="2"/>
        <v>Bangunan Gedung Tempat Kerja</v>
      </c>
      <c r="Y72" s="825">
        <f t="shared" si="3"/>
        <v>50</v>
      </c>
      <c r="Z72" s="826"/>
      <c r="AA72" s="827"/>
      <c r="AB72" s="826"/>
      <c r="AC72" s="826"/>
      <c r="AD72" s="826"/>
      <c r="AE72" s="826"/>
      <c r="AF72" s="826"/>
      <c r="AG72" s="828" t="e">
        <f>'PERHITUNGAN (C)'!#REF!</f>
        <v>#REF!</v>
      </c>
      <c r="AH72" s="828" t="e">
        <f>'PERHITUNGAN (C)'!#REF!</f>
        <v>#REF!</v>
      </c>
      <c r="AI72" s="829" t="e">
        <f>T72-AH72</f>
        <v>#REF!</v>
      </c>
    </row>
    <row r="73" spans="1:35" s="48" customFormat="1" ht="40.5" customHeight="1" x14ac:dyDescent="0.2">
      <c r="A73" s="296">
        <v>45</v>
      </c>
      <c r="B73" s="48" t="s">
        <v>3006</v>
      </c>
      <c r="C73" s="772" t="s">
        <v>4247</v>
      </c>
      <c r="D73" s="73"/>
      <c r="E73" s="65" t="s">
        <v>1065</v>
      </c>
      <c r="F73" s="555">
        <v>183155100</v>
      </c>
      <c r="G73" s="67" t="s">
        <v>1752</v>
      </c>
      <c r="H73" s="67"/>
      <c r="I73" s="33" t="s">
        <v>43</v>
      </c>
      <c r="J73" s="40"/>
      <c r="K73" s="40"/>
      <c r="L73" s="40"/>
      <c r="M73" s="65" t="s">
        <v>417</v>
      </c>
      <c r="N73" s="40">
        <v>2008</v>
      </c>
      <c r="O73" s="40"/>
      <c r="P73" s="32"/>
      <c r="Q73" s="33"/>
      <c r="R73" s="40"/>
      <c r="S73" s="32" t="s">
        <v>12</v>
      </c>
      <c r="T73" s="252"/>
      <c r="U73" s="61"/>
      <c r="V73" s="1115"/>
      <c r="W73" s="206" t="str">
        <f>LEFT(G73,8)</f>
        <v>03.11.01</v>
      </c>
      <c r="X73" s="207" t="str">
        <f>VLOOKUP(W73,UE,3)</f>
        <v>Bangunan Gedung Tempat Kerja</v>
      </c>
      <c r="Y73" s="207">
        <f>VLOOKUP(W73,UE,4)</f>
        <v>50</v>
      </c>
      <c r="Z73" s="233"/>
      <c r="AA73" s="714"/>
      <c r="AB73" s="233"/>
      <c r="AC73" s="233"/>
      <c r="AD73" s="233"/>
      <c r="AE73" s="233"/>
      <c r="AF73" s="233"/>
      <c r="AG73" s="238"/>
      <c r="AH73" s="238"/>
      <c r="AI73" s="210"/>
    </row>
    <row r="74" spans="1:35" s="946" customFormat="1" ht="40.5" customHeight="1" x14ac:dyDescent="0.2">
      <c r="A74" s="1306"/>
      <c r="B74" s="946" t="s">
        <v>3001</v>
      </c>
      <c r="C74" s="1075" t="s">
        <v>2302</v>
      </c>
      <c r="D74" s="890"/>
      <c r="E74" s="907" t="s">
        <v>1037</v>
      </c>
      <c r="F74" s="917"/>
      <c r="G74" s="878" t="s">
        <v>1752</v>
      </c>
      <c r="H74" s="878"/>
      <c r="I74" s="861"/>
      <c r="J74" s="862"/>
      <c r="K74" s="862"/>
      <c r="L74" s="862"/>
      <c r="M74" s="907" t="s">
        <v>52</v>
      </c>
      <c r="N74" s="862">
        <v>2007</v>
      </c>
      <c r="O74" s="862"/>
      <c r="P74" s="903"/>
      <c r="Q74" s="861"/>
      <c r="R74" s="862"/>
      <c r="S74" s="903" t="s">
        <v>12</v>
      </c>
      <c r="T74" s="879">
        <v>1590808752.0999999</v>
      </c>
      <c r="U74" s="906"/>
      <c r="V74" s="970"/>
      <c r="W74" s="1124" t="str">
        <f t="shared" si="5"/>
        <v>03.11.01</v>
      </c>
      <c r="X74" s="884" t="str">
        <f t="shared" si="2"/>
        <v>Bangunan Gedung Tempat Kerja</v>
      </c>
      <c r="Y74" s="884">
        <f t="shared" si="3"/>
        <v>50</v>
      </c>
      <c r="Z74" s="868">
        <f t="shared" ref="Z74:Z82" si="33">T74/Y74</f>
        <v>31816175.041999999</v>
      </c>
      <c r="AA74" s="1051">
        <f t="shared" ref="AA74:AA82" si="34">IF(2013-N74&gt;Y74,Y74,IF(2013-N74&lt;0,0,2013-N74))</f>
        <v>6</v>
      </c>
      <c r="AB74" s="868">
        <f t="shared" ref="AB74:AB82" si="35">IF(AA74&gt;Y74,T74,Z74*AA74)</f>
        <v>190897050.252</v>
      </c>
      <c r="AC74" s="868">
        <f t="shared" ref="AC74:AC82" si="36">IF(T74=AB74,0,Z74)</f>
        <v>31816175.041999999</v>
      </c>
      <c r="AD74" s="868">
        <f t="shared" ref="AD74:AD82" si="37">IF(T74=AB74+AC74,0,Z74)</f>
        <v>31816175.041999999</v>
      </c>
      <c r="AE74" s="868">
        <f t="shared" ref="AE74:AE82" si="38">IF(T74=AB74+AC74+AD74,0,Z74)</f>
        <v>31816175.041999999</v>
      </c>
      <c r="AF74" s="886">
        <f t="shared" ref="AF74:AF82" si="39">IF(T74=AB74+AC74+AD74+AE74,0,Z74)</f>
        <v>31816175.041999999</v>
      </c>
      <c r="AG74" s="886">
        <f t="shared" ref="AG74:AG82" si="40">IF(T74=AB74+AC74+AD74+AE74+AF74,0,Z74)</f>
        <v>31816175.041999999</v>
      </c>
      <c r="AH74" s="886">
        <f t="shared" ref="AH74:AH82" si="41">SUM(AB74:AG74)</f>
        <v>349977925.46200001</v>
      </c>
      <c r="AI74" s="1077">
        <f t="shared" ref="AI74:AI137" si="42">T74-AH74</f>
        <v>1240830826.638</v>
      </c>
    </row>
    <row r="75" spans="1:35" s="946" customFormat="1" ht="40.5" customHeight="1" x14ac:dyDescent="0.2">
      <c r="A75" s="1306"/>
      <c r="C75" s="1075" t="s">
        <v>2302</v>
      </c>
      <c r="D75" s="890"/>
      <c r="E75" s="907" t="s">
        <v>1038</v>
      </c>
      <c r="F75" s="917"/>
      <c r="G75" s="878" t="s">
        <v>2837</v>
      </c>
      <c r="H75" s="878"/>
      <c r="I75" s="861" t="s">
        <v>43</v>
      </c>
      <c r="J75" s="862"/>
      <c r="K75" s="862"/>
      <c r="L75" s="862"/>
      <c r="M75" s="1078" t="s">
        <v>417</v>
      </c>
      <c r="N75" s="862">
        <v>2007</v>
      </c>
      <c r="O75" s="862"/>
      <c r="P75" s="903"/>
      <c r="Q75" s="861"/>
      <c r="R75" s="862"/>
      <c r="S75" s="903" t="s">
        <v>12</v>
      </c>
      <c r="T75" s="879">
        <v>192483016.46138337</v>
      </c>
      <c r="U75" s="906"/>
      <c r="V75" s="970"/>
      <c r="W75" s="1124" t="str">
        <f t="shared" si="5"/>
        <v>03.11.01</v>
      </c>
      <c r="X75" s="884" t="str">
        <f t="shared" si="2"/>
        <v>Bangunan Gedung Tempat Kerja</v>
      </c>
      <c r="Y75" s="884">
        <f t="shared" si="3"/>
        <v>50</v>
      </c>
      <c r="Z75" s="868">
        <f t="shared" si="33"/>
        <v>3849660.3292276673</v>
      </c>
      <c r="AA75" s="1051">
        <f t="shared" si="34"/>
        <v>6</v>
      </c>
      <c r="AB75" s="868">
        <f t="shared" si="35"/>
        <v>23097961.975366004</v>
      </c>
      <c r="AC75" s="868">
        <f t="shared" si="36"/>
        <v>3849660.3292276673</v>
      </c>
      <c r="AD75" s="868">
        <f t="shared" si="37"/>
        <v>3849660.3292276673</v>
      </c>
      <c r="AE75" s="868">
        <f t="shared" si="38"/>
        <v>3849660.3292276673</v>
      </c>
      <c r="AF75" s="886">
        <f t="shared" si="39"/>
        <v>3849660.3292276673</v>
      </c>
      <c r="AG75" s="886">
        <f t="shared" si="40"/>
        <v>3849660.3292276673</v>
      </c>
      <c r="AH75" s="886">
        <f t="shared" si="41"/>
        <v>42346263.621504351</v>
      </c>
      <c r="AI75" s="1077">
        <f t="shared" si="42"/>
        <v>150136752.83987904</v>
      </c>
    </row>
    <row r="76" spans="1:35" s="946" customFormat="1" ht="40.5" customHeight="1" x14ac:dyDescent="0.2">
      <c r="A76" s="1306"/>
      <c r="C76" s="1075" t="s">
        <v>2302</v>
      </c>
      <c r="D76" s="890"/>
      <c r="E76" s="907" t="s">
        <v>1039</v>
      </c>
      <c r="F76" s="917"/>
      <c r="G76" s="878" t="s">
        <v>2837</v>
      </c>
      <c r="H76" s="878"/>
      <c r="I76" s="861" t="s">
        <v>43</v>
      </c>
      <c r="J76" s="862"/>
      <c r="K76" s="862"/>
      <c r="L76" s="862"/>
      <c r="M76" s="1078" t="s">
        <v>417</v>
      </c>
      <c r="N76" s="862">
        <v>2007</v>
      </c>
      <c r="O76" s="862"/>
      <c r="P76" s="903"/>
      <c r="Q76" s="861"/>
      <c r="R76" s="862"/>
      <c r="S76" s="903" t="s">
        <v>12</v>
      </c>
      <c r="T76" s="879">
        <v>683915333.53861666</v>
      </c>
      <c r="U76" s="906"/>
      <c r="V76" s="970"/>
      <c r="W76" s="1124" t="str">
        <f t="shared" si="5"/>
        <v>03.11.01</v>
      </c>
      <c r="X76" s="884" t="str">
        <f t="shared" si="2"/>
        <v>Bangunan Gedung Tempat Kerja</v>
      </c>
      <c r="Y76" s="884">
        <f t="shared" si="3"/>
        <v>50</v>
      </c>
      <c r="Z76" s="868">
        <f t="shared" si="33"/>
        <v>13678306.670772333</v>
      </c>
      <c r="AA76" s="1051">
        <f t="shared" si="34"/>
        <v>6</v>
      </c>
      <c r="AB76" s="868">
        <f t="shared" si="35"/>
        <v>82069840.024634004</v>
      </c>
      <c r="AC76" s="868">
        <f t="shared" si="36"/>
        <v>13678306.670772333</v>
      </c>
      <c r="AD76" s="868">
        <f t="shared" si="37"/>
        <v>13678306.670772333</v>
      </c>
      <c r="AE76" s="868">
        <f t="shared" si="38"/>
        <v>13678306.670772333</v>
      </c>
      <c r="AF76" s="886">
        <f t="shared" si="39"/>
        <v>13678306.670772333</v>
      </c>
      <c r="AG76" s="886">
        <f t="shared" si="40"/>
        <v>13678306.670772333</v>
      </c>
      <c r="AH76" s="886">
        <f t="shared" si="41"/>
        <v>150461373.37849566</v>
      </c>
      <c r="AI76" s="1077">
        <f t="shared" si="42"/>
        <v>533453960.16012096</v>
      </c>
    </row>
    <row r="77" spans="1:35" s="946" customFormat="1" ht="40.5" customHeight="1" x14ac:dyDescent="0.2">
      <c r="A77" s="1306"/>
      <c r="C77" s="1075" t="s">
        <v>2302</v>
      </c>
      <c r="D77" s="890"/>
      <c r="E77" s="907" t="s">
        <v>1040</v>
      </c>
      <c r="F77" s="917"/>
      <c r="G77" s="878" t="s">
        <v>2838</v>
      </c>
      <c r="H77" s="878"/>
      <c r="I77" s="861"/>
      <c r="J77" s="862"/>
      <c r="K77" s="862"/>
      <c r="L77" s="862"/>
      <c r="M77" s="1078" t="s">
        <v>417</v>
      </c>
      <c r="N77" s="862">
        <v>2007</v>
      </c>
      <c r="O77" s="862"/>
      <c r="P77" s="903"/>
      <c r="Q77" s="861"/>
      <c r="R77" s="862"/>
      <c r="S77" s="903" t="s">
        <v>12</v>
      </c>
      <c r="T77" s="879">
        <v>2713933500</v>
      </c>
      <c r="U77" s="906"/>
      <c r="V77" s="970"/>
      <c r="W77" s="1124" t="str">
        <f t="shared" si="5"/>
        <v>03.11.02</v>
      </c>
      <c r="X77" s="884" t="str">
        <f t="shared" si="2"/>
        <v>Bangunan Gedung Tempat Tinggal</v>
      </c>
      <c r="Y77" s="884">
        <f t="shared" si="3"/>
        <v>50</v>
      </c>
      <c r="Z77" s="868">
        <f t="shared" si="33"/>
        <v>54278670</v>
      </c>
      <c r="AA77" s="1051">
        <f t="shared" si="34"/>
        <v>6</v>
      </c>
      <c r="AB77" s="868">
        <f t="shared" si="35"/>
        <v>325672020</v>
      </c>
      <c r="AC77" s="868">
        <f t="shared" si="36"/>
        <v>54278670</v>
      </c>
      <c r="AD77" s="868">
        <f t="shared" si="37"/>
        <v>54278670</v>
      </c>
      <c r="AE77" s="868">
        <f t="shared" si="38"/>
        <v>54278670</v>
      </c>
      <c r="AF77" s="886">
        <f t="shared" si="39"/>
        <v>54278670</v>
      </c>
      <c r="AG77" s="886">
        <f t="shared" si="40"/>
        <v>54278670</v>
      </c>
      <c r="AH77" s="886">
        <f t="shared" si="41"/>
        <v>597065370</v>
      </c>
      <c r="AI77" s="1077">
        <f t="shared" si="42"/>
        <v>2116868130</v>
      </c>
    </row>
    <row r="78" spans="1:35" s="946" customFormat="1" ht="40.5" customHeight="1" x14ac:dyDescent="0.2">
      <c r="A78" s="1306"/>
      <c r="C78" s="1075" t="s">
        <v>2302</v>
      </c>
      <c r="D78" s="890"/>
      <c r="E78" s="907" t="s">
        <v>1041</v>
      </c>
      <c r="F78" s="917"/>
      <c r="G78" s="878" t="s">
        <v>2485</v>
      </c>
      <c r="H78" s="878"/>
      <c r="I78" s="861" t="s">
        <v>43</v>
      </c>
      <c r="J78" s="862"/>
      <c r="K78" s="862"/>
      <c r="L78" s="862"/>
      <c r="M78" s="907" t="s">
        <v>1082</v>
      </c>
      <c r="N78" s="862">
        <v>2008</v>
      </c>
      <c r="O78" s="862"/>
      <c r="P78" s="903"/>
      <c r="Q78" s="861"/>
      <c r="R78" s="862"/>
      <c r="S78" s="903" t="s">
        <v>12</v>
      </c>
      <c r="T78" s="879">
        <v>221125500</v>
      </c>
      <c r="U78" s="906"/>
      <c r="V78" s="970"/>
      <c r="W78" s="1124" t="str">
        <f t="shared" si="5"/>
        <v>03.11.02</v>
      </c>
      <c r="X78" s="884" t="str">
        <f t="shared" si="2"/>
        <v>Bangunan Gedung Tempat Tinggal</v>
      </c>
      <c r="Y78" s="884">
        <f t="shared" si="3"/>
        <v>50</v>
      </c>
      <c r="Z78" s="868">
        <f t="shared" si="33"/>
        <v>4422510</v>
      </c>
      <c r="AA78" s="1051">
        <f t="shared" si="34"/>
        <v>5</v>
      </c>
      <c r="AB78" s="868">
        <f t="shared" si="35"/>
        <v>22112550</v>
      </c>
      <c r="AC78" s="868">
        <f t="shared" si="36"/>
        <v>4422510</v>
      </c>
      <c r="AD78" s="868">
        <f t="shared" si="37"/>
        <v>4422510</v>
      </c>
      <c r="AE78" s="868">
        <f t="shared" si="38"/>
        <v>4422510</v>
      </c>
      <c r="AF78" s="886">
        <f t="shared" si="39"/>
        <v>4422510</v>
      </c>
      <c r="AG78" s="886">
        <f t="shared" si="40"/>
        <v>4422510</v>
      </c>
      <c r="AH78" s="886">
        <f t="shared" si="41"/>
        <v>44225100</v>
      </c>
      <c r="AI78" s="1077">
        <f t="shared" si="42"/>
        <v>176900400</v>
      </c>
    </row>
    <row r="79" spans="1:35" s="946" customFormat="1" ht="40.5" customHeight="1" x14ac:dyDescent="0.2">
      <c r="A79" s="1306"/>
      <c r="C79" s="1075" t="s">
        <v>2302</v>
      </c>
      <c r="D79" s="890"/>
      <c r="E79" s="907" t="s">
        <v>2626</v>
      </c>
      <c r="F79" s="917"/>
      <c r="G79" s="878" t="s">
        <v>2835</v>
      </c>
      <c r="H79" s="878"/>
      <c r="I79" s="861" t="s">
        <v>43</v>
      </c>
      <c r="J79" s="862"/>
      <c r="K79" s="862"/>
      <c r="L79" s="862"/>
      <c r="M79" s="907" t="s">
        <v>52</v>
      </c>
      <c r="N79" s="862">
        <v>2008</v>
      </c>
      <c r="O79" s="862"/>
      <c r="P79" s="903"/>
      <c r="Q79" s="861"/>
      <c r="R79" s="862"/>
      <c r="S79" s="903" t="s">
        <v>12</v>
      </c>
      <c r="T79" s="879">
        <v>499891102.30899686</v>
      </c>
      <c r="U79" s="906"/>
      <c r="V79" s="970"/>
      <c r="W79" s="1124" t="str">
        <f>LEFT(G79,8)</f>
        <v>03.11.01</v>
      </c>
      <c r="X79" s="884" t="str">
        <f t="shared" si="2"/>
        <v>Bangunan Gedung Tempat Kerja</v>
      </c>
      <c r="Y79" s="884">
        <f t="shared" si="3"/>
        <v>50</v>
      </c>
      <c r="Z79" s="868">
        <f t="shared" si="33"/>
        <v>9997822.0461799372</v>
      </c>
      <c r="AA79" s="1051">
        <f t="shared" si="34"/>
        <v>5</v>
      </c>
      <c r="AB79" s="868">
        <f t="shared" si="35"/>
        <v>49989110.230899684</v>
      </c>
      <c r="AC79" s="868">
        <f t="shared" si="36"/>
        <v>9997822.0461799372</v>
      </c>
      <c r="AD79" s="868">
        <f t="shared" si="37"/>
        <v>9997822.0461799372</v>
      </c>
      <c r="AE79" s="868">
        <f t="shared" si="38"/>
        <v>9997822.0461799372</v>
      </c>
      <c r="AF79" s="886">
        <f t="shared" si="39"/>
        <v>9997822.0461799372</v>
      </c>
      <c r="AG79" s="886">
        <f t="shared" si="40"/>
        <v>9997822.0461799372</v>
      </c>
      <c r="AH79" s="886">
        <f t="shared" si="41"/>
        <v>99978220.461799368</v>
      </c>
      <c r="AI79" s="1077">
        <f t="shared" si="42"/>
        <v>399912881.84719747</v>
      </c>
    </row>
    <row r="80" spans="1:35" s="946" customFormat="1" ht="40.5" customHeight="1" x14ac:dyDescent="0.2">
      <c r="A80" s="1306"/>
      <c r="C80" s="1075" t="s">
        <v>2302</v>
      </c>
      <c r="D80" s="890"/>
      <c r="E80" s="907" t="s">
        <v>2627</v>
      </c>
      <c r="F80" s="917"/>
      <c r="G80" s="878" t="s">
        <v>4243</v>
      </c>
      <c r="H80" s="878"/>
      <c r="I80" s="861" t="s">
        <v>43</v>
      </c>
      <c r="J80" s="862"/>
      <c r="K80" s="862"/>
      <c r="L80" s="862"/>
      <c r="M80" s="907" t="s">
        <v>1095</v>
      </c>
      <c r="N80" s="862">
        <v>2008</v>
      </c>
      <c r="O80" s="862"/>
      <c r="P80" s="903"/>
      <c r="Q80" s="861"/>
      <c r="R80" s="862"/>
      <c r="S80" s="903" t="s">
        <v>12</v>
      </c>
      <c r="T80" s="879">
        <v>98429383.119542718</v>
      </c>
      <c r="U80" s="906"/>
      <c r="V80" s="970"/>
      <c r="W80" s="1124" t="str">
        <f>LEFT(G80,8)</f>
        <v>03.12.01</v>
      </c>
      <c r="X80" s="884" t="str">
        <f t="shared" ref="X80:X143" si="43">VLOOKUP(W80,UE,3)</f>
        <v>Bangunan Bersejarah</v>
      </c>
      <c r="Y80" s="884">
        <f t="shared" ref="Y80:Y143" si="44">VLOOKUP(W80,UE,4)</f>
        <v>50</v>
      </c>
      <c r="Z80" s="868">
        <f t="shared" si="33"/>
        <v>1968587.6623908544</v>
      </c>
      <c r="AA80" s="1051">
        <f t="shared" si="34"/>
        <v>5</v>
      </c>
      <c r="AB80" s="868">
        <f t="shared" si="35"/>
        <v>9842938.3119542729</v>
      </c>
      <c r="AC80" s="868">
        <f t="shared" si="36"/>
        <v>1968587.6623908544</v>
      </c>
      <c r="AD80" s="868">
        <f t="shared" si="37"/>
        <v>1968587.6623908544</v>
      </c>
      <c r="AE80" s="868">
        <f t="shared" si="38"/>
        <v>1968587.6623908544</v>
      </c>
      <c r="AF80" s="886">
        <f t="shared" si="39"/>
        <v>1968587.6623908544</v>
      </c>
      <c r="AG80" s="886">
        <f t="shared" si="40"/>
        <v>1968587.6623908544</v>
      </c>
      <c r="AH80" s="886">
        <f t="shared" si="41"/>
        <v>19685876.623908546</v>
      </c>
      <c r="AI80" s="1077">
        <f t="shared" si="42"/>
        <v>78743506.495634168</v>
      </c>
    </row>
    <row r="81" spans="1:35" s="946" customFormat="1" ht="40.5" customHeight="1" x14ac:dyDescent="0.2">
      <c r="A81" s="1306"/>
      <c r="C81" s="1075" t="s">
        <v>2302</v>
      </c>
      <c r="D81" s="890"/>
      <c r="E81" s="907" t="s">
        <v>2628</v>
      </c>
      <c r="F81" s="917"/>
      <c r="G81" s="878" t="s">
        <v>4243</v>
      </c>
      <c r="H81" s="878"/>
      <c r="I81" s="861" t="s">
        <v>43</v>
      </c>
      <c r="J81" s="862"/>
      <c r="K81" s="862"/>
      <c r="L81" s="862"/>
      <c r="M81" s="907" t="s">
        <v>1096</v>
      </c>
      <c r="N81" s="862">
        <v>2008</v>
      </c>
      <c r="O81" s="862"/>
      <c r="P81" s="903"/>
      <c r="Q81" s="861"/>
      <c r="R81" s="862"/>
      <c r="S81" s="903" t="s">
        <v>12</v>
      </c>
      <c r="T81" s="879">
        <v>133146608.22160593</v>
      </c>
      <c r="U81" s="906"/>
      <c r="V81" s="970"/>
      <c r="W81" s="1124" t="str">
        <f>LEFT(G81,8)</f>
        <v>03.12.01</v>
      </c>
      <c r="X81" s="884" t="str">
        <f t="shared" si="43"/>
        <v>Bangunan Bersejarah</v>
      </c>
      <c r="Y81" s="884">
        <f t="shared" si="44"/>
        <v>50</v>
      </c>
      <c r="Z81" s="868">
        <f t="shared" si="33"/>
        <v>2662932.1644321186</v>
      </c>
      <c r="AA81" s="1051">
        <f t="shared" si="34"/>
        <v>5</v>
      </c>
      <c r="AB81" s="868">
        <f t="shared" si="35"/>
        <v>13314660.822160594</v>
      </c>
      <c r="AC81" s="868">
        <f t="shared" si="36"/>
        <v>2662932.1644321186</v>
      </c>
      <c r="AD81" s="868">
        <f t="shared" si="37"/>
        <v>2662932.1644321186</v>
      </c>
      <c r="AE81" s="868">
        <f t="shared" si="38"/>
        <v>2662932.1644321186</v>
      </c>
      <c r="AF81" s="886">
        <f t="shared" si="39"/>
        <v>2662932.1644321186</v>
      </c>
      <c r="AG81" s="886">
        <f t="shared" si="40"/>
        <v>2662932.1644321186</v>
      </c>
      <c r="AH81" s="886">
        <f t="shared" si="41"/>
        <v>26629321.644321192</v>
      </c>
      <c r="AI81" s="1077">
        <f t="shared" si="42"/>
        <v>106517286.57728474</v>
      </c>
    </row>
    <row r="82" spans="1:35" s="946" customFormat="1" ht="40.5" customHeight="1" x14ac:dyDescent="0.2">
      <c r="A82" s="1306"/>
      <c r="C82" s="1075" t="s">
        <v>2302</v>
      </c>
      <c r="D82" s="890"/>
      <c r="E82" s="907" t="s">
        <v>2629</v>
      </c>
      <c r="F82" s="917"/>
      <c r="G82" s="878" t="s">
        <v>1772</v>
      </c>
      <c r="H82" s="878"/>
      <c r="I82" s="861" t="s">
        <v>43</v>
      </c>
      <c r="J82" s="862"/>
      <c r="K82" s="862"/>
      <c r="L82" s="862"/>
      <c r="M82" s="907" t="s">
        <v>424</v>
      </c>
      <c r="N82" s="862">
        <v>2008</v>
      </c>
      <c r="O82" s="862"/>
      <c r="P82" s="903"/>
      <c r="Q82" s="861"/>
      <c r="R82" s="862"/>
      <c r="S82" s="903" t="s">
        <v>12</v>
      </c>
      <c r="T82" s="879">
        <v>1663604072.7990077</v>
      </c>
      <c r="U82" s="906"/>
      <c r="V82" s="970"/>
      <c r="W82" s="1124" t="str">
        <f>LEFT(G82,8)</f>
        <v>03.11.01</v>
      </c>
      <c r="X82" s="884" t="str">
        <f t="shared" si="43"/>
        <v>Bangunan Gedung Tempat Kerja</v>
      </c>
      <c r="Y82" s="884">
        <f t="shared" si="44"/>
        <v>50</v>
      </c>
      <c r="Z82" s="868">
        <f t="shared" si="33"/>
        <v>33272081.455980152</v>
      </c>
      <c r="AA82" s="1051">
        <f t="shared" si="34"/>
        <v>5</v>
      </c>
      <c r="AB82" s="868">
        <f t="shared" si="35"/>
        <v>166360407.27990076</v>
      </c>
      <c r="AC82" s="868">
        <f t="shared" si="36"/>
        <v>33272081.455980152</v>
      </c>
      <c r="AD82" s="868">
        <f t="shared" si="37"/>
        <v>33272081.455980152</v>
      </c>
      <c r="AE82" s="868">
        <f t="shared" si="38"/>
        <v>33272081.455980152</v>
      </c>
      <c r="AF82" s="886">
        <f t="shared" si="39"/>
        <v>33272081.455980152</v>
      </c>
      <c r="AG82" s="886">
        <f t="shared" si="40"/>
        <v>33272081.455980152</v>
      </c>
      <c r="AH82" s="886">
        <f t="shared" si="41"/>
        <v>332720814.55980158</v>
      </c>
      <c r="AI82" s="1077">
        <f t="shared" si="42"/>
        <v>1330883258.2392061</v>
      </c>
    </row>
    <row r="83" spans="1:35" s="946" customFormat="1" ht="40.5" customHeight="1" x14ac:dyDescent="0.2">
      <c r="A83" s="1306"/>
      <c r="B83" s="946" t="s">
        <v>4211</v>
      </c>
      <c r="C83" s="1075" t="s">
        <v>2302</v>
      </c>
      <c r="D83" s="890"/>
      <c r="E83" s="907" t="s">
        <v>1053</v>
      </c>
      <c r="F83" s="917"/>
      <c r="G83" s="878" t="s">
        <v>1772</v>
      </c>
      <c r="H83" s="878"/>
      <c r="I83" s="861"/>
      <c r="J83" s="862"/>
      <c r="K83" s="862"/>
      <c r="L83" s="862"/>
      <c r="M83" s="907" t="s">
        <v>417</v>
      </c>
      <c r="N83" s="862">
        <v>2008</v>
      </c>
      <c r="O83" s="862"/>
      <c r="P83" s="903"/>
      <c r="Q83" s="861"/>
      <c r="R83" s="862"/>
      <c r="S83" s="903" t="s">
        <v>12</v>
      </c>
      <c r="T83" s="879">
        <v>840144641.96015704</v>
      </c>
      <c r="U83" s="906"/>
      <c r="V83" s="970"/>
      <c r="W83" s="1124" t="str">
        <f>LEFT(G83,8)</f>
        <v>03.11.01</v>
      </c>
      <c r="X83" s="884" t="str">
        <f>VLOOKUP(W83,UE,3)</f>
        <v>Bangunan Gedung Tempat Kerja</v>
      </c>
      <c r="Y83" s="884">
        <f>VLOOKUP(W83,UE,4)</f>
        <v>50</v>
      </c>
      <c r="Z83" s="868">
        <f>T83/Y83</f>
        <v>16802892.839203142</v>
      </c>
      <c r="AA83" s="1051">
        <f>IF(2013-N83&gt;Y83,Y83,IF(2013-N83&lt;0,0,2013-N83))</f>
        <v>5</v>
      </c>
      <c r="AB83" s="868">
        <f>IF(AA83&gt;Y83,T83,Z83*AA83)</f>
        <v>84014464.196015716</v>
      </c>
      <c r="AC83" s="868">
        <f>IF(T83=AB83,0,Z83)</f>
        <v>16802892.839203142</v>
      </c>
      <c r="AD83" s="868">
        <f>IF(T83=AB83+AC83,0,Z83)</f>
        <v>16802892.839203142</v>
      </c>
      <c r="AE83" s="868">
        <f>IF(T83=AB83+AC83+AD83,0,Z83)</f>
        <v>16802892.839203142</v>
      </c>
      <c r="AF83" s="886">
        <f>IF(T83=AB83+AC83+AD83+AE83,0,Z83)</f>
        <v>16802892.839203142</v>
      </c>
      <c r="AG83" s="886">
        <f>IF(T83=AB83+AC83+AD83+AE83+AF83,0,Z83)</f>
        <v>16802892.839203142</v>
      </c>
      <c r="AH83" s="886">
        <f>SUM(AB83:AG83)</f>
        <v>168028928.39203146</v>
      </c>
      <c r="AI83" s="1077">
        <f>T83-AH83</f>
        <v>672115713.56812561</v>
      </c>
    </row>
    <row r="84" spans="1:35" s="670" customFormat="1" ht="40.5" customHeight="1" x14ac:dyDescent="0.2">
      <c r="A84" s="669">
        <v>11</v>
      </c>
      <c r="B84" s="670" t="s">
        <v>3015</v>
      </c>
      <c r="C84" s="773" t="s">
        <v>4247</v>
      </c>
      <c r="D84" s="652"/>
      <c r="E84" s="671" t="s">
        <v>2630</v>
      </c>
      <c r="F84" s="672"/>
      <c r="G84" s="653" t="s">
        <v>1772</v>
      </c>
      <c r="H84" s="653"/>
      <c r="I84" s="673" t="s">
        <v>43</v>
      </c>
      <c r="J84" s="674"/>
      <c r="K84" s="674"/>
      <c r="L84" s="674"/>
      <c r="M84" s="671" t="s">
        <v>423</v>
      </c>
      <c r="N84" s="674">
        <v>2008</v>
      </c>
      <c r="O84" s="674"/>
      <c r="P84" s="675"/>
      <c r="Q84" s="673"/>
      <c r="R84" s="674"/>
      <c r="S84" s="675" t="s">
        <v>12</v>
      </c>
      <c r="T84" s="654">
        <f>1080935824.63963+F85</f>
        <v>1638818079.6396301</v>
      </c>
      <c r="U84" s="676"/>
      <c r="V84" s="1114"/>
      <c r="W84" s="647" t="str">
        <f t="shared" ref="W84:W147" si="45">LEFT(G84,8)</f>
        <v>03.11.01</v>
      </c>
      <c r="X84" s="648" t="str">
        <f t="shared" si="43"/>
        <v>Bangunan Gedung Tempat Kerja</v>
      </c>
      <c r="Y84" s="648">
        <f t="shared" si="44"/>
        <v>50</v>
      </c>
      <c r="Z84" s="649"/>
      <c r="AA84" s="718"/>
      <c r="AB84" s="649"/>
      <c r="AC84" s="649"/>
      <c r="AD84" s="649"/>
      <c r="AE84" s="649"/>
      <c r="AF84" s="649"/>
      <c r="AG84" s="650">
        <f>'PERHITUNGAN (C)'!U193</f>
        <v>32343987.262936831</v>
      </c>
      <c r="AH84" s="650">
        <f>'PERHITUNGAN (C)'!U198</f>
        <v>378105266.68921602</v>
      </c>
      <c r="AI84" s="677">
        <f t="shared" si="42"/>
        <v>1260712812.9504142</v>
      </c>
    </row>
    <row r="85" spans="1:35" s="48" customFormat="1" ht="40.5" customHeight="1" x14ac:dyDescent="0.2">
      <c r="A85" s="296">
        <v>11</v>
      </c>
      <c r="B85" s="48" t="s">
        <v>3015</v>
      </c>
      <c r="C85" s="772" t="s">
        <v>4247</v>
      </c>
      <c r="D85" s="73"/>
      <c r="E85" s="65" t="s">
        <v>2630</v>
      </c>
      <c r="F85" s="555">
        <v>557882255</v>
      </c>
      <c r="G85" s="67" t="s">
        <v>1772</v>
      </c>
      <c r="H85" s="67" t="s">
        <v>68</v>
      </c>
      <c r="I85" s="33" t="s">
        <v>43</v>
      </c>
      <c r="J85" s="40" t="s">
        <v>1786</v>
      </c>
      <c r="K85" s="40" t="s">
        <v>835</v>
      </c>
      <c r="L85" s="40"/>
      <c r="M85" s="72" t="s">
        <v>423</v>
      </c>
      <c r="N85" s="40">
        <v>2009</v>
      </c>
      <c r="O85" s="40"/>
      <c r="P85" s="32"/>
      <c r="Q85" s="33"/>
      <c r="R85" s="40"/>
      <c r="S85" s="32" t="s">
        <v>12</v>
      </c>
      <c r="T85" s="252"/>
      <c r="U85" s="105"/>
      <c r="V85" s="1116"/>
      <c r="W85" s="206" t="str">
        <f t="shared" si="45"/>
        <v>03.11.01</v>
      </c>
      <c r="X85" s="207" t="str">
        <f t="shared" si="43"/>
        <v>Bangunan Gedung Tempat Kerja</v>
      </c>
      <c r="Y85" s="207">
        <f t="shared" si="44"/>
        <v>50</v>
      </c>
      <c r="Z85" s="233"/>
      <c r="AA85" s="714"/>
      <c r="AB85" s="233"/>
      <c r="AC85" s="233"/>
      <c r="AD85" s="233"/>
      <c r="AE85" s="233"/>
      <c r="AF85" s="233"/>
      <c r="AG85" s="238"/>
      <c r="AH85" s="238"/>
      <c r="AI85" s="210">
        <f t="shared" si="42"/>
        <v>0</v>
      </c>
    </row>
    <row r="86" spans="1:35" s="670" customFormat="1" ht="40.5" customHeight="1" x14ac:dyDescent="0.2">
      <c r="A86" s="669">
        <v>12</v>
      </c>
      <c r="B86" s="670" t="s">
        <v>2991</v>
      </c>
      <c r="C86" s="773" t="s">
        <v>4247</v>
      </c>
      <c r="D86" s="652"/>
      <c r="E86" s="671" t="s">
        <v>1056</v>
      </c>
      <c r="F86" s="672"/>
      <c r="G86" s="653" t="s">
        <v>1779</v>
      </c>
      <c r="H86" s="653"/>
      <c r="I86" s="673"/>
      <c r="J86" s="674"/>
      <c r="K86" s="674"/>
      <c r="L86" s="674"/>
      <c r="M86" s="671" t="s">
        <v>52</v>
      </c>
      <c r="N86" s="674">
        <v>2008</v>
      </c>
      <c r="O86" s="674"/>
      <c r="P86" s="675"/>
      <c r="Q86" s="673"/>
      <c r="R86" s="674"/>
      <c r="S86" s="675" t="s">
        <v>12</v>
      </c>
      <c r="T86" s="654">
        <f>492796529.889459+15857784.8784142+2267105812.4478+581026000+F90+F91</f>
        <v>4523417110.7070913</v>
      </c>
      <c r="U86" s="676"/>
      <c r="V86" s="1114"/>
      <c r="W86" s="647" t="str">
        <f t="shared" si="45"/>
        <v>03.11.02</v>
      </c>
      <c r="X86" s="648" t="str">
        <f t="shared" si="43"/>
        <v>Bangunan Gedung Tempat Tinggal</v>
      </c>
      <c r="Y86" s="648">
        <f t="shared" si="44"/>
        <v>50</v>
      </c>
      <c r="Z86" s="649"/>
      <c r="AA86" s="718"/>
      <c r="AB86" s="649"/>
      <c r="AC86" s="649"/>
      <c r="AD86" s="649"/>
      <c r="AE86" s="649"/>
      <c r="AF86" s="649"/>
      <c r="AG86" s="650">
        <f>'PERHITUNGAN (C)'!U213</f>
        <v>82069202.753265679</v>
      </c>
      <c r="AH86" s="650">
        <f>'PERHITUNGAN (C)'!U218</f>
        <v>994441392.3166666</v>
      </c>
      <c r="AI86" s="677">
        <f t="shared" si="42"/>
        <v>3528975718.3904247</v>
      </c>
    </row>
    <row r="87" spans="1:35" s="48" customFormat="1" ht="40.5" customHeight="1" x14ac:dyDescent="0.2">
      <c r="A87" s="296">
        <v>12</v>
      </c>
      <c r="B87" s="48" t="s">
        <v>2991</v>
      </c>
      <c r="C87" s="772" t="s">
        <v>4247</v>
      </c>
      <c r="D87" s="73"/>
      <c r="E87" s="65" t="s">
        <v>1055</v>
      </c>
      <c r="F87" s="555"/>
      <c r="G87" s="67" t="s">
        <v>1779</v>
      </c>
      <c r="H87" s="67"/>
      <c r="I87" s="33"/>
      <c r="J87" s="40"/>
      <c r="K87" s="40"/>
      <c r="L87" s="40"/>
      <c r="M87" s="65" t="s">
        <v>52</v>
      </c>
      <c r="N87" s="40">
        <v>2008</v>
      </c>
      <c r="O87" s="40"/>
      <c r="P87" s="32"/>
      <c r="Q87" s="33"/>
      <c r="R87" s="40"/>
      <c r="S87" s="32" t="s">
        <v>12</v>
      </c>
      <c r="T87" s="252"/>
      <c r="U87" s="61"/>
      <c r="V87" s="1115"/>
      <c r="W87" s="206" t="str">
        <f t="shared" si="45"/>
        <v>03.11.02</v>
      </c>
      <c r="X87" s="207" t="str">
        <f t="shared" si="43"/>
        <v>Bangunan Gedung Tempat Tinggal</v>
      </c>
      <c r="Y87" s="207">
        <f t="shared" si="44"/>
        <v>50</v>
      </c>
      <c r="Z87" s="233"/>
      <c r="AA87" s="714"/>
      <c r="AB87" s="233"/>
      <c r="AC87" s="233"/>
      <c r="AD87" s="233"/>
      <c r="AE87" s="233"/>
      <c r="AF87" s="233"/>
      <c r="AG87" s="238"/>
      <c r="AH87" s="238"/>
      <c r="AI87" s="210">
        <f t="shared" si="42"/>
        <v>0</v>
      </c>
    </row>
    <row r="88" spans="1:35" s="48" customFormat="1" ht="40.5" customHeight="1" x14ac:dyDescent="0.2">
      <c r="A88" s="296">
        <v>12</v>
      </c>
      <c r="B88" s="48" t="s">
        <v>2991</v>
      </c>
      <c r="C88" s="772" t="s">
        <v>4247</v>
      </c>
      <c r="D88" s="73"/>
      <c r="E88" s="65" t="s">
        <v>1048</v>
      </c>
      <c r="F88" s="555"/>
      <c r="G88" s="67" t="s">
        <v>1779</v>
      </c>
      <c r="H88" s="67"/>
      <c r="I88" s="33" t="s">
        <v>43</v>
      </c>
      <c r="J88" s="40"/>
      <c r="K88" s="40"/>
      <c r="L88" s="40"/>
      <c r="M88" s="65" t="s">
        <v>1097</v>
      </c>
      <c r="N88" s="40">
        <v>2008</v>
      </c>
      <c r="O88" s="40"/>
      <c r="P88" s="32"/>
      <c r="Q88" s="33"/>
      <c r="R88" s="40"/>
      <c r="S88" s="32" t="s">
        <v>12</v>
      </c>
      <c r="T88" s="252"/>
      <c r="U88" s="61"/>
      <c r="V88" s="1115"/>
      <c r="W88" s="206" t="str">
        <f t="shared" si="45"/>
        <v>03.11.02</v>
      </c>
      <c r="X88" s="207" t="str">
        <f t="shared" si="43"/>
        <v>Bangunan Gedung Tempat Tinggal</v>
      </c>
      <c r="Y88" s="207">
        <f t="shared" si="44"/>
        <v>50</v>
      </c>
      <c r="Z88" s="233"/>
      <c r="AA88" s="714"/>
      <c r="AB88" s="233"/>
      <c r="AC88" s="233"/>
      <c r="AD88" s="233"/>
      <c r="AE88" s="233"/>
      <c r="AF88" s="233"/>
      <c r="AG88" s="238"/>
      <c r="AH88" s="238"/>
      <c r="AI88" s="210">
        <f t="shared" si="42"/>
        <v>0</v>
      </c>
    </row>
    <row r="89" spans="1:35" s="48" customFormat="1" ht="40.5" customHeight="1" x14ac:dyDescent="0.2">
      <c r="A89" s="296">
        <v>12</v>
      </c>
      <c r="B89" s="48" t="s">
        <v>2991</v>
      </c>
      <c r="C89" s="772" t="s">
        <v>4247</v>
      </c>
      <c r="D89" s="73"/>
      <c r="E89" s="65" t="s">
        <v>2646</v>
      </c>
      <c r="F89" s="555"/>
      <c r="G89" s="67" t="s">
        <v>1779</v>
      </c>
      <c r="H89" s="67" t="s">
        <v>68</v>
      </c>
      <c r="I89" s="33" t="s">
        <v>43</v>
      </c>
      <c r="J89" s="40" t="s">
        <v>1780</v>
      </c>
      <c r="K89" s="40" t="s">
        <v>835</v>
      </c>
      <c r="L89" s="40"/>
      <c r="M89" s="72" t="s">
        <v>1781</v>
      </c>
      <c r="N89" s="40">
        <v>2008</v>
      </c>
      <c r="O89" s="40"/>
      <c r="P89" s="32"/>
      <c r="Q89" s="33"/>
      <c r="R89" s="40"/>
      <c r="S89" s="32" t="s">
        <v>12</v>
      </c>
      <c r="T89" s="252"/>
      <c r="U89" s="105"/>
      <c r="V89" s="1116"/>
      <c r="W89" s="206" t="str">
        <f t="shared" si="45"/>
        <v>03.11.02</v>
      </c>
      <c r="X89" s="207" t="str">
        <f t="shared" si="43"/>
        <v>Bangunan Gedung Tempat Tinggal</v>
      </c>
      <c r="Y89" s="207">
        <f t="shared" si="44"/>
        <v>50</v>
      </c>
      <c r="Z89" s="233"/>
      <c r="AA89" s="714"/>
      <c r="AB89" s="233"/>
      <c r="AC89" s="233"/>
      <c r="AD89" s="233"/>
      <c r="AE89" s="233"/>
      <c r="AF89" s="233"/>
      <c r="AG89" s="238"/>
      <c r="AH89" s="238"/>
      <c r="AI89" s="210">
        <f t="shared" si="42"/>
        <v>0</v>
      </c>
    </row>
    <row r="90" spans="1:35" s="48" customFormat="1" ht="40.5" customHeight="1" x14ac:dyDescent="0.2">
      <c r="A90" s="296">
        <v>12</v>
      </c>
      <c r="B90" s="48" t="s">
        <v>2991</v>
      </c>
      <c r="C90" s="772" t="s">
        <v>4247</v>
      </c>
      <c r="D90" s="73"/>
      <c r="E90" s="65" t="s">
        <v>2642</v>
      </c>
      <c r="F90" s="555">
        <v>1120615226.5723109</v>
      </c>
      <c r="G90" s="67" t="s">
        <v>1779</v>
      </c>
      <c r="H90" s="67" t="s">
        <v>39</v>
      </c>
      <c r="I90" s="33" t="s">
        <v>135</v>
      </c>
      <c r="J90" s="40" t="s">
        <v>1780</v>
      </c>
      <c r="K90" s="40" t="s">
        <v>835</v>
      </c>
      <c r="L90" s="40" t="s">
        <v>9</v>
      </c>
      <c r="M90" s="72" t="s">
        <v>1781</v>
      </c>
      <c r="N90" s="40">
        <v>2009</v>
      </c>
      <c r="O90" s="40" t="s">
        <v>1782</v>
      </c>
      <c r="P90" s="32"/>
      <c r="Q90" s="33"/>
      <c r="R90" s="40"/>
      <c r="S90" s="32" t="s">
        <v>12</v>
      </c>
      <c r="T90" s="252"/>
      <c r="U90" s="105"/>
      <c r="V90" s="1116"/>
      <c r="W90" s="206" t="str">
        <f t="shared" si="45"/>
        <v>03.11.02</v>
      </c>
      <c r="X90" s="207" t="str">
        <f t="shared" si="43"/>
        <v>Bangunan Gedung Tempat Tinggal</v>
      </c>
      <c r="Y90" s="207">
        <f t="shared" si="44"/>
        <v>50</v>
      </c>
      <c r="Z90" s="233"/>
      <c r="AA90" s="714"/>
      <c r="AB90" s="233"/>
      <c r="AC90" s="233"/>
      <c r="AD90" s="233"/>
      <c r="AE90" s="233"/>
      <c r="AF90" s="233"/>
      <c r="AG90" s="238"/>
      <c r="AH90" s="238"/>
      <c r="AI90" s="210">
        <f t="shared" si="42"/>
        <v>0</v>
      </c>
    </row>
    <row r="91" spans="1:35" s="48" customFormat="1" ht="40.5" customHeight="1" x14ac:dyDescent="0.2">
      <c r="A91" s="296">
        <v>12</v>
      </c>
      <c r="B91" s="48" t="s">
        <v>2991</v>
      </c>
      <c r="C91" s="772" t="s">
        <v>4247</v>
      </c>
      <c r="D91" s="73"/>
      <c r="E91" s="65" t="s">
        <v>2782</v>
      </c>
      <c r="F91" s="555">
        <v>46015756.919106446</v>
      </c>
      <c r="G91" s="67" t="s">
        <v>1779</v>
      </c>
      <c r="H91" s="67"/>
      <c r="I91" s="33"/>
      <c r="J91" s="40"/>
      <c r="K91" s="40"/>
      <c r="L91" s="40"/>
      <c r="M91" s="72"/>
      <c r="N91" s="40">
        <v>2013</v>
      </c>
      <c r="O91" s="40"/>
      <c r="P91" s="32"/>
      <c r="Q91" s="33"/>
      <c r="R91" s="40"/>
      <c r="S91" s="32" t="s">
        <v>12</v>
      </c>
      <c r="T91" s="252"/>
      <c r="U91" s="105"/>
      <c r="V91" s="1116"/>
      <c r="W91" s="206" t="str">
        <f t="shared" si="45"/>
        <v>03.11.02</v>
      </c>
      <c r="X91" s="207" t="str">
        <f t="shared" si="43"/>
        <v>Bangunan Gedung Tempat Tinggal</v>
      </c>
      <c r="Y91" s="207">
        <f t="shared" si="44"/>
        <v>50</v>
      </c>
      <c r="Z91" s="233"/>
      <c r="AA91" s="714"/>
      <c r="AB91" s="233"/>
      <c r="AC91" s="233"/>
      <c r="AD91" s="233"/>
      <c r="AE91" s="233"/>
      <c r="AF91" s="233"/>
      <c r="AG91" s="238"/>
      <c r="AH91" s="238"/>
      <c r="AI91" s="210">
        <f t="shared" si="42"/>
        <v>0</v>
      </c>
    </row>
    <row r="92" spans="1:35" s="670" customFormat="1" ht="40.5" customHeight="1" x14ac:dyDescent="0.2">
      <c r="A92" s="669">
        <v>13</v>
      </c>
      <c r="B92" s="670" t="s">
        <v>3000</v>
      </c>
      <c r="C92" s="773" t="s">
        <v>4247</v>
      </c>
      <c r="D92" s="652"/>
      <c r="E92" s="671" t="s">
        <v>2633</v>
      </c>
      <c r="F92" s="672"/>
      <c r="G92" s="653" t="s">
        <v>1752</v>
      </c>
      <c r="H92" s="653"/>
      <c r="I92" s="673" t="s">
        <v>43</v>
      </c>
      <c r="J92" s="674"/>
      <c r="K92" s="674"/>
      <c r="L92" s="674"/>
      <c r="M92" s="691" t="s">
        <v>417</v>
      </c>
      <c r="N92" s="674">
        <v>2008</v>
      </c>
      <c r="O92" s="674"/>
      <c r="P92" s="675"/>
      <c r="Q92" s="673"/>
      <c r="R92" s="674"/>
      <c r="S92" s="675" t="s">
        <v>12</v>
      </c>
      <c r="T92" s="654">
        <f>137963695.076306+F93+F94+F95+F96</f>
        <v>1076722010.3063059</v>
      </c>
      <c r="U92" s="676"/>
      <c r="V92" s="1114"/>
      <c r="W92" s="647" t="str">
        <f t="shared" si="45"/>
        <v>03.11.01</v>
      </c>
      <c r="X92" s="648" t="str">
        <f t="shared" si="43"/>
        <v>Bangunan Gedung Tempat Kerja</v>
      </c>
      <c r="Y92" s="648">
        <f t="shared" si="44"/>
        <v>50</v>
      </c>
      <c r="Z92" s="649"/>
      <c r="AA92" s="718"/>
      <c r="AB92" s="649"/>
      <c r="AC92" s="649"/>
      <c r="AD92" s="649"/>
      <c r="AE92" s="649"/>
      <c r="AF92" s="649"/>
      <c r="AG92" s="650">
        <f>'PERHITUNGAN (C)'!U232</f>
        <v>20696606.185513508</v>
      </c>
      <c r="AH92" s="650">
        <f>'PERHITUNGAN (C)'!U236</f>
        <v>186767944.32922515</v>
      </c>
      <c r="AI92" s="677">
        <f t="shared" si="42"/>
        <v>889954065.9770807</v>
      </c>
    </row>
    <row r="93" spans="1:35" s="48" customFormat="1" ht="40.5" customHeight="1" x14ac:dyDescent="0.2">
      <c r="A93" s="296">
        <v>13</v>
      </c>
      <c r="B93" s="48" t="s">
        <v>3000</v>
      </c>
      <c r="C93" s="772" t="s">
        <v>4247</v>
      </c>
      <c r="D93" s="73"/>
      <c r="E93" s="65" t="s">
        <v>2647</v>
      </c>
      <c r="F93" s="555">
        <v>7253104</v>
      </c>
      <c r="G93" s="67" t="s">
        <v>1752</v>
      </c>
      <c r="H93" s="67" t="s">
        <v>39</v>
      </c>
      <c r="I93" s="33" t="s">
        <v>43</v>
      </c>
      <c r="J93" s="40" t="s">
        <v>9</v>
      </c>
      <c r="K93" s="40" t="s">
        <v>9</v>
      </c>
      <c r="L93" s="40"/>
      <c r="M93" s="72" t="s">
        <v>1791</v>
      </c>
      <c r="N93" s="40">
        <v>2008</v>
      </c>
      <c r="O93" s="40"/>
      <c r="P93" s="32"/>
      <c r="Q93" s="33"/>
      <c r="R93" s="40"/>
      <c r="S93" s="32" t="s">
        <v>12</v>
      </c>
      <c r="T93" s="252"/>
      <c r="U93" s="105"/>
      <c r="V93" s="1116"/>
      <c r="W93" s="206" t="str">
        <f t="shared" si="45"/>
        <v>03.11.01</v>
      </c>
      <c r="X93" s="207" t="str">
        <f t="shared" si="43"/>
        <v>Bangunan Gedung Tempat Kerja</v>
      </c>
      <c r="Y93" s="207">
        <f t="shared" si="44"/>
        <v>50</v>
      </c>
      <c r="Z93" s="233"/>
      <c r="AA93" s="714"/>
      <c r="AB93" s="233"/>
      <c r="AC93" s="233"/>
      <c r="AD93" s="233"/>
      <c r="AE93" s="233"/>
      <c r="AF93" s="233"/>
      <c r="AG93" s="238"/>
      <c r="AH93" s="238"/>
      <c r="AI93" s="210">
        <f t="shared" si="42"/>
        <v>0</v>
      </c>
    </row>
    <row r="94" spans="1:35" s="48" customFormat="1" ht="40.5" customHeight="1" x14ac:dyDescent="0.2">
      <c r="A94" s="296">
        <v>13</v>
      </c>
      <c r="B94" s="48" t="s">
        <v>3000</v>
      </c>
      <c r="C94" s="772" t="s">
        <v>4247</v>
      </c>
      <c r="D94" s="73"/>
      <c r="E94" s="65" t="s">
        <v>1054</v>
      </c>
      <c r="F94" s="555">
        <v>273700211.23000002</v>
      </c>
      <c r="G94" s="67" t="s">
        <v>1752</v>
      </c>
      <c r="H94" s="67"/>
      <c r="I94" s="33" t="s">
        <v>43</v>
      </c>
      <c r="J94" s="40"/>
      <c r="K94" s="40"/>
      <c r="L94" s="40"/>
      <c r="M94" s="65" t="s">
        <v>52</v>
      </c>
      <c r="N94" s="40">
        <v>2008</v>
      </c>
      <c r="O94" s="40"/>
      <c r="P94" s="32"/>
      <c r="Q94" s="33"/>
      <c r="R94" s="40"/>
      <c r="S94" s="32" t="s">
        <v>12</v>
      </c>
      <c r="T94" s="252"/>
      <c r="U94" s="61"/>
      <c r="V94" s="1115"/>
      <c r="W94" s="206" t="str">
        <f t="shared" si="45"/>
        <v>03.11.01</v>
      </c>
      <c r="X94" s="207" t="str">
        <f t="shared" si="43"/>
        <v>Bangunan Gedung Tempat Kerja</v>
      </c>
      <c r="Y94" s="207">
        <f t="shared" si="44"/>
        <v>50</v>
      </c>
      <c r="Z94" s="233"/>
      <c r="AA94" s="714"/>
      <c r="AB94" s="233"/>
      <c r="AC94" s="233"/>
      <c r="AD94" s="233"/>
      <c r="AE94" s="233"/>
      <c r="AF94" s="233"/>
      <c r="AG94" s="238"/>
      <c r="AH94" s="238"/>
      <c r="AI94" s="210">
        <f t="shared" si="42"/>
        <v>0</v>
      </c>
    </row>
    <row r="95" spans="1:35" s="48" customFormat="1" ht="40.5" customHeight="1" x14ac:dyDescent="0.2">
      <c r="A95" s="296">
        <v>13</v>
      </c>
      <c r="B95" s="48" t="s">
        <v>3000</v>
      </c>
      <c r="C95" s="772" t="s">
        <v>4247</v>
      </c>
      <c r="D95" s="73"/>
      <c r="E95" s="65" t="s">
        <v>2767</v>
      </c>
      <c r="F95" s="555">
        <v>199428000</v>
      </c>
      <c r="G95" s="67" t="s">
        <v>1752</v>
      </c>
      <c r="H95" s="67" t="s">
        <v>2115</v>
      </c>
      <c r="I95" s="33" t="s">
        <v>43</v>
      </c>
      <c r="J95" s="40" t="s">
        <v>1786</v>
      </c>
      <c r="K95" s="40" t="s">
        <v>1934</v>
      </c>
      <c r="L95" s="40"/>
      <c r="M95" s="72" t="s">
        <v>1776</v>
      </c>
      <c r="N95" s="40">
        <v>2013</v>
      </c>
      <c r="O95" s="40" t="s">
        <v>2116</v>
      </c>
      <c r="P95" s="32"/>
      <c r="Q95" s="33"/>
      <c r="R95" s="40"/>
      <c r="S95" s="32" t="s">
        <v>12</v>
      </c>
      <c r="T95" s="252"/>
      <c r="U95" s="105"/>
      <c r="V95" s="1116"/>
      <c r="W95" s="206" t="str">
        <f t="shared" si="45"/>
        <v>03.11.01</v>
      </c>
      <c r="X95" s="207" t="str">
        <f t="shared" si="43"/>
        <v>Bangunan Gedung Tempat Kerja</v>
      </c>
      <c r="Y95" s="207">
        <f t="shared" si="44"/>
        <v>50</v>
      </c>
      <c r="Z95" s="233"/>
      <c r="AA95" s="714"/>
      <c r="AB95" s="233"/>
      <c r="AC95" s="233"/>
      <c r="AD95" s="233"/>
      <c r="AE95" s="233"/>
      <c r="AF95" s="233"/>
      <c r="AG95" s="238"/>
      <c r="AH95" s="238"/>
      <c r="AI95" s="210">
        <f t="shared" si="42"/>
        <v>0</v>
      </c>
    </row>
    <row r="96" spans="1:35" s="48" customFormat="1" ht="40.5" customHeight="1" x14ac:dyDescent="0.2">
      <c r="A96" s="296">
        <v>13</v>
      </c>
      <c r="B96" s="48" t="s">
        <v>3000</v>
      </c>
      <c r="C96" s="772" t="s">
        <v>4247</v>
      </c>
      <c r="D96" s="73"/>
      <c r="E96" s="65" t="s">
        <v>2768</v>
      </c>
      <c r="F96" s="555">
        <v>458377000</v>
      </c>
      <c r="G96" s="67" t="s">
        <v>1752</v>
      </c>
      <c r="H96" s="67" t="s">
        <v>2118</v>
      </c>
      <c r="I96" s="33" t="s">
        <v>43</v>
      </c>
      <c r="J96" s="40" t="s">
        <v>1786</v>
      </c>
      <c r="K96" s="40" t="s">
        <v>1934</v>
      </c>
      <c r="L96" s="40"/>
      <c r="M96" s="72" t="s">
        <v>1776</v>
      </c>
      <c r="N96" s="40">
        <v>2013</v>
      </c>
      <c r="O96" s="40" t="s">
        <v>2119</v>
      </c>
      <c r="P96" s="32"/>
      <c r="Q96" s="33"/>
      <c r="R96" s="40"/>
      <c r="S96" s="32" t="s">
        <v>12</v>
      </c>
      <c r="T96" s="252"/>
      <c r="U96" s="105"/>
      <c r="V96" s="1116"/>
      <c r="W96" s="206" t="str">
        <f t="shared" si="45"/>
        <v>03.11.01</v>
      </c>
      <c r="X96" s="207" t="str">
        <f t="shared" si="43"/>
        <v>Bangunan Gedung Tempat Kerja</v>
      </c>
      <c r="Y96" s="207">
        <f t="shared" si="44"/>
        <v>50</v>
      </c>
      <c r="Z96" s="233"/>
      <c r="AA96" s="714"/>
      <c r="AB96" s="233"/>
      <c r="AC96" s="233"/>
      <c r="AD96" s="233"/>
      <c r="AE96" s="233"/>
      <c r="AF96" s="233"/>
      <c r="AG96" s="238"/>
      <c r="AH96" s="238"/>
      <c r="AI96" s="210">
        <f t="shared" si="42"/>
        <v>0</v>
      </c>
    </row>
    <row r="97" spans="1:35" s="946" customFormat="1" ht="40.5" customHeight="1" x14ac:dyDescent="0.2">
      <c r="A97" s="1306"/>
      <c r="B97" s="946" t="s">
        <v>3001</v>
      </c>
      <c r="C97" s="1075" t="s">
        <v>2302</v>
      </c>
      <c r="D97" s="890"/>
      <c r="E97" s="907" t="s">
        <v>1058</v>
      </c>
      <c r="F97" s="917"/>
      <c r="G97" s="878" t="s">
        <v>1752</v>
      </c>
      <c r="H97" s="878"/>
      <c r="I97" s="861"/>
      <c r="J97" s="862"/>
      <c r="K97" s="862"/>
      <c r="L97" s="862"/>
      <c r="M97" s="863" t="s">
        <v>1099</v>
      </c>
      <c r="N97" s="862">
        <v>2008</v>
      </c>
      <c r="O97" s="862"/>
      <c r="P97" s="903"/>
      <c r="Q97" s="861"/>
      <c r="R97" s="862"/>
      <c r="S97" s="903" t="s">
        <v>12</v>
      </c>
      <c r="T97" s="879">
        <v>9660483991.4269543</v>
      </c>
      <c r="U97" s="906"/>
      <c r="V97" s="970"/>
      <c r="W97" s="1124" t="str">
        <f t="shared" si="45"/>
        <v>03.11.01</v>
      </c>
      <c r="X97" s="884" t="str">
        <f t="shared" si="43"/>
        <v>Bangunan Gedung Tempat Kerja</v>
      </c>
      <c r="Y97" s="884">
        <f t="shared" si="44"/>
        <v>50</v>
      </c>
      <c r="Z97" s="868">
        <f t="shared" ref="Z97:Z121" si="46">T97/Y97</f>
        <v>193209679.82853907</v>
      </c>
      <c r="AA97" s="1051">
        <f t="shared" ref="AA97:AA121" si="47">IF(2013-N97&gt;Y97,Y97,IF(2013-N97&lt;0,0,2013-N97))</f>
        <v>5</v>
      </c>
      <c r="AB97" s="868">
        <f t="shared" ref="AB97:AB121" si="48">IF(AA97&gt;Y97,T97,Z97*AA97)</f>
        <v>966048399.14269543</v>
      </c>
      <c r="AC97" s="868">
        <f t="shared" ref="AC97:AC121" si="49">IF(T97=AB97,0,Z97)</f>
        <v>193209679.82853907</v>
      </c>
      <c r="AD97" s="868">
        <f t="shared" ref="AD97:AD121" si="50">IF(T97=AB97+AC97,0,Z97)</f>
        <v>193209679.82853907</v>
      </c>
      <c r="AE97" s="868">
        <f t="shared" ref="AE97:AE121" si="51">IF(T97=AB97+AC97+AD97,0,Z97)</f>
        <v>193209679.82853907</v>
      </c>
      <c r="AF97" s="886">
        <f t="shared" ref="AF97:AF121" si="52">IF(T97=AB97+AC97+AD97+AE97,0,Z97)</f>
        <v>193209679.82853907</v>
      </c>
      <c r="AG97" s="886">
        <f t="shared" ref="AG97:AG121" si="53">IF(T97=AB97+AC97+AD97+AE97+AF97,0,Z97)</f>
        <v>193209679.82853907</v>
      </c>
      <c r="AH97" s="886">
        <f t="shared" ref="AH97:AH121" si="54">SUM(AB97:AG97)</f>
        <v>1932096798.2853911</v>
      </c>
      <c r="AI97" s="1077">
        <f t="shared" si="42"/>
        <v>7728387193.1415634</v>
      </c>
    </row>
    <row r="98" spans="1:35" s="946" customFormat="1" ht="40.5" customHeight="1" x14ac:dyDescent="0.2">
      <c r="A98" s="1306"/>
      <c r="B98" s="946" t="s">
        <v>3001</v>
      </c>
      <c r="C98" s="1075" t="s">
        <v>2302</v>
      </c>
      <c r="D98" s="890"/>
      <c r="E98" s="907" t="s">
        <v>1057</v>
      </c>
      <c r="F98" s="917"/>
      <c r="G98" s="878" t="s">
        <v>1752</v>
      </c>
      <c r="H98" s="878"/>
      <c r="I98" s="861" t="s">
        <v>43</v>
      </c>
      <c r="J98" s="862"/>
      <c r="K98" s="862"/>
      <c r="L98" s="862"/>
      <c r="M98" s="863" t="s">
        <v>1099</v>
      </c>
      <c r="N98" s="862">
        <v>2008</v>
      </c>
      <c r="O98" s="862"/>
      <c r="P98" s="903"/>
      <c r="Q98" s="861"/>
      <c r="R98" s="862"/>
      <c r="S98" s="903" t="s">
        <v>12</v>
      </c>
      <c r="T98" s="879">
        <v>76568873.791398466</v>
      </c>
      <c r="U98" s="906"/>
      <c r="V98" s="970"/>
      <c r="W98" s="1124" t="str">
        <f t="shared" si="45"/>
        <v>03.11.01</v>
      </c>
      <c r="X98" s="884" t="str">
        <f t="shared" si="43"/>
        <v>Bangunan Gedung Tempat Kerja</v>
      </c>
      <c r="Y98" s="884">
        <f t="shared" si="44"/>
        <v>50</v>
      </c>
      <c r="Z98" s="868">
        <f t="shared" si="46"/>
        <v>1531377.4758279694</v>
      </c>
      <c r="AA98" s="1051">
        <f t="shared" si="47"/>
        <v>5</v>
      </c>
      <c r="AB98" s="868">
        <f t="shared" si="48"/>
        <v>7656887.3791398471</v>
      </c>
      <c r="AC98" s="868">
        <f t="shared" si="49"/>
        <v>1531377.4758279694</v>
      </c>
      <c r="AD98" s="868">
        <f t="shared" si="50"/>
        <v>1531377.4758279694</v>
      </c>
      <c r="AE98" s="868">
        <f t="shared" si="51"/>
        <v>1531377.4758279694</v>
      </c>
      <c r="AF98" s="886">
        <f t="shared" si="52"/>
        <v>1531377.4758279694</v>
      </c>
      <c r="AG98" s="886">
        <f t="shared" si="53"/>
        <v>1531377.4758279694</v>
      </c>
      <c r="AH98" s="886">
        <f t="shared" si="54"/>
        <v>15313774.758279694</v>
      </c>
      <c r="AI98" s="1077">
        <f t="shared" si="42"/>
        <v>61255099.03311877</v>
      </c>
    </row>
    <row r="99" spans="1:35" s="946" customFormat="1" ht="40.5" customHeight="1" x14ac:dyDescent="0.2">
      <c r="A99" s="1306"/>
      <c r="B99" s="946" t="s">
        <v>3001</v>
      </c>
      <c r="C99" s="1075" t="s">
        <v>2302</v>
      </c>
      <c r="D99" s="890"/>
      <c r="E99" s="907" t="s">
        <v>2850</v>
      </c>
      <c r="F99" s="917"/>
      <c r="G99" s="878" t="s">
        <v>1752</v>
      </c>
      <c r="H99" s="878"/>
      <c r="I99" s="861" t="s">
        <v>43</v>
      </c>
      <c r="J99" s="862"/>
      <c r="K99" s="862"/>
      <c r="L99" s="862"/>
      <c r="M99" s="863" t="s">
        <v>420</v>
      </c>
      <c r="N99" s="862">
        <v>2009</v>
      </c>
      <c r="O99" s="862"/>
      <c r="P99" s="903"/>
      <c r="Q99" s="861"/>
      <c r="R99" s="862"/>
      <c r="S99" s="903" t="s">
        <v>12</v>
      </c>
      <c r="T99" s="879">
        <v>2065687788</v>
      </c>
      <c r="U99" s="1081"/>
      <c r="V99" s="1118"/>
      <c r="W99" s="1124" t="str">
        <f t="shared" si="45"/>
        <v>03.11.01</v>
      </c>
      <c r="X99" s="884" t="str">
        <f t="shared" si="43"/>
        <v>Bangunan Gedung Tempat Kerja</v>
      </c>
      <c r="Y99" s="884">
        <f t="shared" si="44"/>
        <v>50</v>
      </c>
      <c r="Z99" s="868">
        <f t="shared" si="46"/>
        <v>41313755.759999998</v>
      </c>
      <c r="AA99" s="1051">
        <f t="shared" si="47"/>
        <v>4</v>
      </c>
      <c r="AB99" s="868">
        <f t="shared" si="48"/>
        <v>165255023.03999999</v>
      </c>
      <c r="AC99" s="868">
        <f t="shared" si="49"/>
        <v>41313755.759999998</v>
      </c>
      <c r="AD99" s="868">
        <f t="shared" si="50"/>
        <v>41313755.759999998</v>
      </c>
      <c r="AE99" s="868">
        <f t="shared" si="51"/>
        <v>41313755.759999998</v>
      </c>
      <c r="AF99" s="886">
        <f t="shared" si="52"/>
        <v>41313755.759999998</v>
      </c>
      <c r="AG99" s="886">
        <f t="shared" si="53"/>
        <v>41313755.759999998</v>
      </c>
      <c r="AH99" s="886">
        <f t="shared" si="54"/>
        <v>371823801.83999997</v>
      </c>
      <c r="AI99" s="1077">
        <f t="shared" si="42"/>
        <v>1693863986.1600001</v>
      </c>
    </row>
    <row r="100" spans="1:35" s="946" customFormat="1" ht="40.5" customHeight="1" x14ac:dyDescent="0.2">
      <c r="A100" s="1306"/>
      <c r="C100" s="1075" t="s">
        <v>2302</v>
      </c>
      <c r="D100" s="890"/>
      <c r="E100" s="907" t="s">
        <v>2631</v>
      </c>
      <c r="F100" s="917"/>
      <c r="G100" s="878" t="s">
        <v>1752</v>
      </c>
      <c r="H100" s="878"/>
      <c r="I100" s="861"/>
      <c r="J100" s="862"/>
      <c r="K100" s="862"/>
      <c r="L100" s="862"/>
      <c r="M100" s="907" t="s">
        <v>52</v>
      </c>
      <c r="N100" s="862">
        <v>2008</v>
      </c>
      <c r="O100" s="862"/>
      <c r="P100" s="903"/>
      <c r="Q100" s="861"/>
      <c r="R100" s="862"/>
      <c r="S100" s="903" t="s">
        <v>12</v>
      </c>
      <c r="T100" s="879">
        <v>226216176.75853017</v>
      </c>
      <c r="U100" s="906"/>
      <c r="V100" s="970"/>
      <c r="W100" s="1124" t="str">
        <f t="shared" si="45"/>
        <v>03.11.01</v>
      </c>
      <c r="X100" s="884" t="str">
        <f t="shared" si="43"/>
        <v>Bangunan Gedung Tempat Kerja</v>
      </c>
      <c r="Y100" s="884">
        <f t="shared" si="44"/>
        <v>50</v>
      </c>
      <c r="Z100" s="868">
        <f t="shared" si="46"/>
        <v>4524323.5351706035</v>
      </c>
      <c r="AA100" s="1051">
        <f t="shared" si="47"/>
        <v>5</v>
      </c>
      <c r="AB100" s="868">
        <f t="shared" si="48"/>
        <v>22621617.675853018</v>
      </c>
      <c r="AC100" s="868">
        <f t="shared" si="49"/>
        <v>4524323.5351706035</v>
      </c>
      <c r="AD100" s="868">
        <f t="shared" si="50"/>
        <v>4524323.5351706035</v>
      </c>
      <c r="AE100" s="868">
        <f t="shared" si="51"/>
        <v>4524323.5351706035</v>
      </c>
      <c r="AF100" s="886">
        <f t="shared" si="52"/>
        <v>4524323.5351706035</v>
      </c>
      <c r="AG100" s="886">
        <f t="shared" si="53"/>
        <v>4524323.5351706035</v>
      </c>
      <c r="AH100" s="886">
        <f t="shared" si="54"/>
        <v>45243235.351706028</v>
      </c>
      <c r="AI100" s="1077">
        <f t="shared" si="42"/>
        <v>180972941.40682414</v>
      </c>
    </row>
    <row r="101" spans="1:35" s="946" customFormat="1" ht="40.5" customHeight="1" x14ac:dyDescent="0.2">
      <c r="A101" s="1306"/>
      <c r="C101" s="1075" t="s">
        <v>2302</v>
      </c>
      <c r="D101" s="890"/>
      <c r="E101" s="907" t="s">
        <v>2632</v>
      </c>
      <c r="F101" s="917"/>
      <c r="G101" s="878" t="s">
        <v>1752</v>
      </c>
      <c r="H101" s="878"/>
      <c r="I101" s="861" t="s">
        <v>43</v>
      </c>
      <c r="J101" s="862"/>
      <c r="K101" s="862"/>
      <c r="L101" s="862"/>
      <c r="M101" s="863" t="s">
        <v>417</v>
      </c>
      <c r="N101" s="862">
        <v>2008</v>
      </c>
      <c r="O101" s="862"/>
      <c r="P101" s="903"/>
      <c r="Q101" s="861"/>
      <c r="R101" s="862"/>
      <c r="S101" s="903" t="s">
        <v>12</v>
      </c>
      <c r="T101" s="879">
        <v>361142029.27301109</v>
      </c>
      <c r="U101" s="906"/>
      <c r="V101" s="970"/>
      <c r="W101" s="1124" t="str">
        <f t="shared" si="45"/>
        <v>03.11.01</v>
      </c>
      <c r="X101" s="884" t="str">
        <f t="shared" si="43"/>
        <v>Bangunan Gedung Tempat Kerja</v>
      </c>
      <c r="Y101" s="884">
        <f t="shared" si="44"/>
        <v>50</v>
      </c>
      <c r="Z101" s="868">
        <f t="shared" si="46"/>
        <v>7222840.5854602214</v>
      </c>
      <c r="AA101" s="1051">
        <f t="shared" si="47"/>
        <v>5</v>
      </c>
      <c r="AB101" s="868">
        <f t="shared" si="48"/>
        <v>36114202.927301109</v>
      </c>
      <c r="AC101" s="868">
        <f t="shared" si="49"/>
        <v>7222840.5854602214</v>
      </c>
      <c r="AD101" s="868">
        <f t="shared" si="50"/>
        <v>7222840.5854602214</v>
      </c>
      <c r="AE101" s="868">
        <f t="shared" si="51"/>
        <v>7222840.5854602214</v>
      </c>
      <c r="AF101" s="886">
        <f t="shared" si="52"/>
        <v>7222840.5854602214</v>
      </c>
      <c r="AG101" s="886">
        <f t="shared" si="53"/>
        <v>7222840.5854602214</v>
      </c>
      <c r="AH101" s="886">
        <f t="shared" si="54"/>
        <v>72228405.854602218</v>
      </c>
      <c r="AI101" s="1077">
        <f t="shared" si="42"/>
        <v>288913623.41840887</v>
      </c>
    </row>
    <row r="102" spans="1:35" s="946" customFormat="1" ht="40.5" customHeight="1" x14ac:dyDescent="0.2">
      <c r="A102" s="1306"/>
      <c r="C102" s="1075" t="s">
        <v>2302</v>
      </c>
      <c r="D102" s="890"/>
      <c r="E102" s="907" t="s">
        <v>1066</v>
      </c>
      <c r="F102" s="917"/>
      <c r="G102" s="878" t="s">
        <v>2485</v>
      </c>
      <c r="H102" s="878"/>
      <c r="I102" s="861"/>
      <c r="J102" s="862"/>
      <c r="K102" s="862"/>
      <c r="L102" s="862"/>
      <c r="M102" s="907" t="s">
        <v>417</v>
      </c>
      <c r="N102" s="862">
        <v>2008</v>
      </c>
      <c r="O102" s="862"/>
      <c r="P102" s="903"/>
      <c r="Q102" s="861"/>
      <c r="R102" s="862"/>
      <c r="S102" s="903" t="s">
        <v>12</v>
      </c>
      <c r="T102" s="879">
        <v>348601700</v>
      </c>
      <c r="U102" s="906"/>
      <c r="V102" s="970"/>
      <c r="W102" s="1124" t="str">
        <f t="shared" si="45"/>
        <v>03.11.02</v>
      </c>
      <c r="X102" s="884" t="str">
        <f t="shared" si="43"/>
        <v>Bangunan Gedung Tempat Tinggal</v>
      </c>
      <c r="Y102" s="884">
        <f t="shared" si="44"/>
        <v>50</v>
      </c>
      <c r="Z102" s="868">
        <f t="shared" si="46"/>
        <v>6972034</v>
      </c>
      <c r="AA102" s="1051">
        <f t="shared" si="47"/>
        <v>5</v>
      </c>
      <c r="AB102" s="868">
        <f t="shared" si="48"/>
        <v>34860170</v>
      </c>
      <c r="AC102" s="868">
        <f t="shared" si="49"/>
        <v>6972034</v>
      </c>
      <c r="AD102" s="868">
        <f t="shared" si="50"/>
        <v>6972034</v>
      </c>
      <c r="AE102" s="868">
        <f t="shared" si="51"/>
        <v>6972034</v>
      </c>
      <c r="AF102" s="886">
        <f t="shared" si="52"/>
        <v>6972034</v>
      </c>
      <c r="AG102" s="886">
        <f t="shared" si="53"/>
        <v>6972034</v>
      </c>
      <c r="AH102" s="886">
        <f t="shared" si="54"/>
        <v>69720340</v>
      </c>
      <c r="AI102" s="1077">
        <f t="shared" si="42"/>
        <v>278881360</v>
      </c>
    </row>
    <row r="103" spans="1:35" s="946" customFormat="1" ht="40.5" customHeight="1" x14ac:dyDescent="0.2">
      <c r="A103" s="1306"/>
      <c r="C103" s="1075" t="s">
        <v>2302</v>
      </c>
      <c r="D103" s="890"/>
      <c r="E103" s="907" t="s">
        <v>1067</v>
      </c>
      <c r="F103" s="917"/>
      <c r="G103" s="878" t="s">
        <v>2839</v>
      </c>
      <c r="H103" s="878"/>
      <c r="I103" s="861" t="s">
        <v>43</v>
      </c>
      <c r="J103" s="862"/>
      <c r="K103" s="862"/>
      <c r="L103" s="862"/>
      <c r="M103" s="863" t="s">
        <v>1099</v>
      </c>
      <c r="N103" s="862">
        <v>2008</v>
      </c>
      <c r="O103" s="862"/>
      <c r="P103" s="903"/>
      <c r="Q103" s="861"/>
      <c r="R103" s="862"/>
      <c r="S103" s="903" t="s">
        <v>12</v>
      </c>
      <c r="T103" s="879">
        <v>943307860</v>
      </c>
      <c r="U103" s="906"/>
      <c r="V103" s="970"/>
      <c r="W103" s="1124" t="str">
        <f t="shared" si="45"/>
        <v>03.11.01</v>
      </c>
      <c r="X103" s="884" t="str">
        <f t="shared" si="43"/>
        <v>Bangunan Gedung Tempat Kerja</v>
      </c>
      <c r="Y103" s="884">
        <f t="shared" si="44"/>
        <v>50</v>
      </c>
      <c r="Z103" s="868">
        <f t="shared" si="46"/>
        <v>18866157.199999999</v>
      </c>
      <c r="AA103" s="1051">
        <f t="shared" si="47"/>
        <v>5</v>
      </c>
      <c r="AB103" s="868">
        <f t="shared" si="48"/>
        <v>94330786</v>
      </c>
      <c r="AC103" s="868">
        <f t="shared" si="49"/>
        <v>18866157.199999999</v>
      </c>
      <c r="AD103" s="868">
        <f t="shared" si="50"/>
        <v>18866157.199999999</v>
      </c>
      <c r="AE103" s="868">
        <f t="shared" si="51"/>
        <v>18866157.199999999</v>
      </c>
      <c r="AF103" s="886">
        <f t="shared" si="52"/>
        <v>18866157.199999999</v>
      </c>
      <c r="AG103" s="886">
        <f t="shared" si="53"/>
        <v>18866157.199999999</v>
      </c>
      <c r="AH103" s="886">
        <f t="shared" si="54"/>
        <v>188661571.99999997</v>
      </c>
      <c r="AI103" s="1077">
        <f t="shared" si="42"/>
        <v>754646288</v>
      </c>
    </row>
    <row r="104" spans="1:35" s="946" customFormat="1" ht="40.5" customHeight="1" x14ac:dyDescent="0.2">
      <c r="A104" s="1306"/>
      <c r="C104" s="1075" t="s">
        <v>2302</v>
      </c>
      <c r="D104" s="890"/>
      <c r="E104" s="907" t="s">
        <v>1068</v>
      </c>
      <c r="F104" s="917"/>
      <c r="G104" s="878" t="s">
        <v>2837</v>
      </c>
      <c r="H104" s="878"/>
      <c r="I104" s="861" t="s">
        <v>43</v>
      </c>
      <c r="J104" s="862"/>
      <c r="K104" s="862"/>
      <c r="L104" s="862"/>
      <c r="M104" s="863" t="s">
        <v>1099</v>
      </c>
      <c r="N104" s="862">
        <v>2008</v>
      </c>
      <c r="O104" s="862"/>
      <c r="P104" s="903"/>
      <c r="Q104" s="861"/>
      <c r="R104" s="862"/>
      <c r="S104" s="903" t="s">
        <v>12</v>
      </c>
      <c r="T104" s="879">
        <v>1288238000</v>
      </c>
      <c r="U104" s="906"/>
      <c r="V104" s="970"/>
      <c r="W104" s="1124" t="str">
        <f t="shared" si="45"/>
        <v>03.11.01</v>
      </c>
      <c r="X104" s="884" t="str">
        <f t="shared" si="43"/>
        <v>Bangunan Gedung Tempat Kerja</v>
      </c>
      <c r="Y104" s="884">
        <f t="shared" si="44"/>
        <v>50</v>
      </c>
      <c r="Z104" s="868">
        <f t="shared" si="46"/>
        <v>25764760</v>
      </c>
      <c r="AA104" s="1051">
        <f t="shared" si="47"/>
        <v>5</v>
      </c>
      <c r="AB104" s="868">
        <f t="shared" si="48"/>
        <v>128823800</v>
      </c>
      <c r="AC104" s="868">
        <f t="shared" si="49"/>
        <v>25764760</v>
      </c>
      <c r="AD104" s="868">
        <f t="shared" si="50"/>
        <v>25764760</v>
      </c>
      <c r="AE104" s="868">
        <f t="shared" si="51"/>
        <v>25764760</v>
      </c>
      <c r="AF104" s="886">
        <f t="shared" si="52"/>
        <v>25764760</v>
      </c>
      <c r="AG104" s="886">
        <f t="shared" si="53"/>
        <v>25764760</v>
      </c>
      <c r="AH104" s="886">
        <f t="shared" si="54"/>
        <v>257647600</v>
      </c>
      <c r="AI104" s="1077">
        <f t="shared" si="42"/>
        <v>1030590400</v>
      </c>
    </row>
    <row r="105" spans="1:35" s="946" customFormat="1" ht="40.5" customHeight="1" x14ac:dyDescent="0.2">
      <c r="A105" s="1306"/>
      <c r="B105" s="946" t="s">
        <v>3007</v>
      </c>
      <c r="C105" s="1075" t="s">
        <v>2302</v>
      </c>
      <c r="D105" s="890"/>
      <c r="E105" s="907" t="s">
        <v>1069</v>
      </c>
      <c r="F105" s="917"/>
      <c r="G105" s="878" t="s">
        <v>1772</v>
      </c>
      <c r="H105" s="878"/>
      <c r="I105" s="861" t="s">
        <v>43</v>
      </c>
      <c r="J105" s="862"/>
      <c r="K105" s="862"/>
      <c r="L105" s="862"/>
      <c r="M105" s="863" t="s">
        <v>1099</v>
      </c>
      <c r="N105" s="862">
        <v>2008</v>
      </c>
      <c r="O105" s="862"/>
      <c r="P105" s="903"/>
      <c r="Q105" s="861"/>
      <c r="R105" s="862"/>
      <c r="S105" s="903" t="s">
        <v>12</v>
      </c>
      <c r="T105" s="879">
        <v>629515500</v>
      </c>
      <c r="U105" s="906"/>
      <c r="V105" s="970"/>
      <c r="W105" s="1124" t="str">
        <f t="shared" si="45"/>
        <v>03.11.01</v>
      </c>
      <c r="X105" s="884" t="str">
        <f t="shared" si="43"/>
        <v>Bangunan Gedung Tempat Kerja</v>
      </c>
      <c r="Y105" s="884">
        <f t="shared" si="44"/>
        <v>50</v>
      </c>
      <c r="Z105" s="868">
        <f t="shared" si="46"/>
        <v>12590310</v>
      </c>
      <c r="AA105" s="1051">
        <f t="shared" si="47"/>
        <v>5</v>
      </c>
      <c r="AB105" s="868">
        <f t="shared" si="48"/>
        <v>62951550</v>
      </c>
      <c r="AC105" s="868">
        <f t="shared" si="49"/>
        <v>12590310</v>
      </c>
      <c r="AD105" s="868">
        <f t="shared" si="50"/>
        <v>12590310</v>
      </c>
      <c r="AE105" s="868">
        <f t="shared" si="51"/>
        <v>12590310</v>
      </c>
      <c r="AF105" s="886">
        <f t="shared" si="52"/>
        <v>12590310</v>
      </c>
      <c r="AG105" s="886">
        <f t="shared" si="53"/>
        <v>12590310</v>
      </c>
      <c r="AH105" s="886">
        <f t="shared" si="54"/>
        <v>125903100</v>
      </c>
      <c r="AI105" s="1077">
        <f t="shared" si="42"/>
        <v>503612400</v>
      </c>
    </row>
    <row r="106" spans="1:35" s="946" customFormat="1" ht="40.5" customHeight="1" x14ac:dyDescent="0.2">
      <c r="A106" s="1306"/>
      <c r="B106" s="946" t="s">
        <v>3007</v>
      </c>
      <c r="C106" s="1075" t="s">
        <v>2302</v>
      </c>
      <c r="D106" s="890"/>
      <c r="E106" s="907" t="s">
        <v>2807</v>
      </c>
      <c r="F106" s="917"/>
      <c r="G106" s="878" t="s">
        <v>1752</v>
      </c>
      <c r="H106" s="878" t="s">
        <v>2115</v>
      </c>
      <c r="I106" s="861" t="s">
        <v>43</v>
      </c>
      <c r="J106" s="862" t="s">
        <v>1786</v>
      </c>
      <c r="K106" s="862" t="s">
        <v>1934</v>
      </c>
      <c r="L106" s="862"/>
      <c r="M106" s="863" t="s">
        <v>1776</v>
      </c>
      <c r="N106" s="862">
        <v>2014</v>
      </c>
      <c r="O106" s="862" t="s">
        <v>2223</v>
      </c>
      <c r="P106" s="903"/>
      <c r="Q106" s="861"/>
      <c r="R106" s="862"/>
      <c r="S106" s="903" t="s">
        <v>12</v>
      </c>
      <c r="T106" s="879">
        <v>443790000</v>
      </c>
      <c r="U106" s="1081"/>
      <c r="V106" s="1118"/>
      <c r="W106" s="1124" t="str">
        <f t="shared" si="45"/>
        <v>03.11.01</v>
      </c>
      <c r="X106" s="884" t="str">
        <f t="shared" si="43"/>
        <v>Bangunan Gedung Tempat Kerja</v>
      </c>
      <c r="Y106" s="884">
        <f t="shared" si="44"/>
        <v>50</v>
      </c>
      <c r="Z106" s="868">
        <f t="shared" si="46"/>
        <v>8875800</v>
      </c>
      <c r="AA106" s="1051">
        <f t="shared" si="47"/>
        <v>0</v>
      </c>
      <c r="AB106" s="868">
        <f t="shared" si="48"/>
        <v>0</v>
      </c>
      <c r="AC106" s="868">
        <f t="shared" si="49"/>
        <v>8875800</v>
      </c>
      <c r="AD106" s="868">
        <f t="shared" si="50"/>
        <v>8875800</v>
      </c>
      <c r="AE106" s="868">
        <f t="shared" si="51"/>
        <v>8875800</v>
      </c>
      <c r="AF106" s="886">
        <f t="shared" si="52"/>
        <v>8875800</v>
      </c>
      <c r="AG106" s="886">
        <f t="shared" si="53"/>
        <v>8875800</v>
      </c>
      <c r="AH106" s="886">
        <f t="shared" si="54"/>
        <v>44379000</v>
      </c>
      <c r="AI106" s="1077">
        <f t="shared" si="42"/>
        <v>399411000</v>
      </c>
    </row>
    <row r="107" spans="1:35" s="946" customFormat="1" ht="40.5" customHeight="1" x14ac:dyDescent="0.2">
      <c r="A107" s="1306"/>
      <c r="C107" s="1075" t="s">
        <v>2302</v>
      </c>
      <c r="D107" s="890"/>
      <c r="E107" s="907" t="s">
        <v>1070</v>
      </c>
      <c r="F107" s="917"/>
      <c r="G107" s="878" t="s">
        <v>2837</v>
      </c>
      <c r="H107" s="878"/>
      <c r="I107" s="861" t="s">
        <v>43</v>
      </c>
      <c r="J107" s="862"/>
      <c r="K107" s="862"/>
      <c r="L107" s="862"/>
      <c r="M107" s="863" t="s">
        <v>1099</v>
      </c>
      <c r="N107" s="862">
        <v>2008</v>
      </c>
      <c r="O107" s="862"/>
      <c r="P107" s="903"/>
      <c r="Q107" s="861"/>
      <c r="R107" s="862"/>
      <c r="S107" s="903" t="s">
        <v>12</v>
      </c>
      <c r="T107" s="879">
        <v>106679650</v>
      </c>
      <c r="U107" s="906"/>
      <c r="V107" s="970"/>
      <c r="W107" s="1124" t="str">
        <f t="shared" si="45"/>
        <v>03.11.01</v>
      </c>
      <c r="X107" s="884" t="str">
        <f t="shared" si="43"/>
        <v>Bangunan Gedung Tempat Kerja</v>
      </c>
      <c r="Y107" s="884">
        <f t="shared" si="44"/>
        <v>50</v>
      </c>
      <c r="Z107" s="868">
        <f t="shared" si="46"/>
        <v>2133593</v>
      </c>
      <c r="AA107" s="1051">
        <f t="shared" si="47"/>
        <v>5</v>
      </c>
      <c r="AB107" s="868">
        <f t="shared" si="48"/>
        <v>10667965</v>
      </c>
      <c r="AC107" s="868">
        <f t="shared" si="49"/>
        <v>2133593</v>
      </c>
      <c r="AD107" s="868">
        <f t="shared" si="50"/>
        <v>2133593</v>
      </c>
      <c r="AE107" s="868">
        <f t="shared" si="51"/>
        <v>2133593</v>
      </c>
      <c r="AF107" s="886">
        <f t="shared" si="52"/>
        <v>2133593</v>
      </c>
      <c r="AG107" s="886">
        <f t="shared" si="53"/>
        <v>2133593</v>
      </c>
      <c r="AH107" s="886">
        <f t="shared" si="54"/>
        <v>21335930</v>
      </c>
      <c r="AI107" s="1077">
        <f t="shared" si="42"/>
        <v>85343720</v>
      </c>
    </row>
    <row r="108" spans="1:35" s="946" customFormat="1" ht="40.5" customHeight="1" x14ac:dyDescent="0.2">
      <c r="A108" s="1306"/>
      <c r="B108" s="946" t="s">
        <v>3001</v>
      </c>
      <c r="C108" s="1075" t="s">
        <v>2302</v>
      </c>
      <c r="D108" s="890"/>
      <c r="E108" s="907" t="s">
        <v>1071</v>
      </c>
      <c r="F108" s="917"/>
      <c r="G108" s="878" t="s">
        <v>1752</v>
      </c>
      <c r="H108" s="878"/>
      <c r="I108" s="861"/>
      <c r="J108" s="862"/>
      <c r="K108" s="862"/>
      <c r="L108" s="862"/>
      <c r="M108" s="907" t="s">
        <v>52</v>
      </c>
      <c r="N108" s="862">
        <v>2008</v>
      </c>
      <c r="O108" s="862"/>
      <c r="P108" s="903"/>
      <c r="Q108" s="861"/>
      <c r="R108" s="862"/>
      <c r="S108" s="903" t="s">
        <v>12</v>
      </c>
      <c r="T108" s="879">
        <v>3401817973.9301944</v>
      </c>
      <c r="U108" s="906"/>
      <c r="V108" s="970"/>
      <c r="W108" s="1124" t="str">
        <f t="shared" si="45"/>
        <v>03.11.01</v>
      </c>
      <c r="X108" s="884" t="str">
        <f t="shared" si="43"/>
        <v>Bangunan Gedung Tempat Kerja</v>
      </c>
      <c r="Y108" s="884">
        <f t="shared" si="44"/>
        <v>50</v>
      </c>
      <c r="Z108" s="868">
        <f t="shared" si="46"/>
        <v>68036359.478603885</v>
      </c>
      <c r="AA108" s="1051">
        <f t="shared" si="47"/>
        <v>5</v>
      </c>
      <c r="AB108" s="868">
        <f t="shared" si="48"/>
        <v>340181797.39301944</v>
      </c>
      <c r="AC108" s="868">
        <f t="shared" si="49"/>
        <v>68036359.478603885</v>
      </c>
      <c r="AD108" s="868">
        <f t="shared" si="50"/>
        <v>68036359.478603885</v>
      </c>
      <c r="AE108" s="868">
        <f t="shared" si="51"/>
        <v>68036359.478603885</v>
      </c>
      <c r="AF108" s="886">
        <f t="shared" si="52"/>
        <v>68036359.478603885</v>
      </c>
      <c r="AG108" s="886">
        <f t="shared" si="53"/>
        <v>68036359.478603885</v>
      </c>
      <c r="AH108" s="886">
        <f t="shared" si="54"/>
        <v>680363594.78603876</v>
      </c>
      <c r="AI108" s="1077">
        <f t="shared" si="42"/>
        <v>2721454379.1441555</v>
      </c>
    </row>
    <row r="109" spans="1:35" s="946" customFormat="1" ht="40.5" customHeight="1" x14ac:dyDescent="0.2">
      <c r="A109" s="1306"/>
      <c r="C109" s="1075" t="s">
        <v>2302</v>
      </c>
      <c r="D109" s="890"/>
      <c r="E109" s="907" t="s">
        <v>1072</v>
      </c>
      <c r="F109" s="917"/>
      <c r="G109" s="878" t="s">
        <v>2840</v>
      </c>
      <c r="H109" s="878"/>
      <c r="I109" s="861"/>
      <c r="J109" s="862"/>
      <c r="K109" s="862"/>
      <c r="L109" s="862"/>
      <c r="M109" s="907" t="s">
        <v>52</v>
      </c>
      <c r="N109" s="862">
        <v>2008</v>
      </c>
      <c r="O109" s="862"/>
      <c r="P109" s="903"/>
      <c r="Q109" s="861"/>
      <c r="R109" s="862"/>
      <c r="S109" s="903" t="s">
        <v>12</v>
      </c>
      <c r="T109" s="879">
        <v>1418400500</v>
      </c>
      <c r="U109" s="906"/>
      <c r="V109" s="970"/>
      <c r="W109" s="1124" t="str">
        <f t="shared" si="45"/>
        <v>03.11.02</v>
      </c>
      <c r="X109" s="884" t="str">
        <f t="shared" si="43"/>
        <v>Bangunan Gedung Tempat Tinggal</v>
      </c>
      <c r="Y109" s="884">
        <f t="shared" si="44"/>
        <v>50</v>
      </c>
      <c r="Z109" s="868">
        <f t="shared" si="46"/>
        <v>28368010</v>
      </c>
      <c r="AA109" s="1051">
        <f t="shared" si="47"/>
        <v>5</v>
      </c>
      <c r="AB109" s="868">
        <f t="shared" si="48"/>
        <v>141840050</v>
      </c>
      <c r="AC109" s="868">
        <f t="shared" si="49"/>
        <v>28368010</v>
      </c>
      <c r="AD109" s="868">
        <f t="shared" si="50"/>
        <v>28368010</v>
      </c>
      <c r="AE109" s="868">
        <f t="shared" si="51"/>
        <v>28368010</v>
      </c>
      <c r="AF109" s="886">
        <f t="shared" si="52"/>
        <v>28368010</v>
      </c>
      <c r="AG109" s="886">
        <f t="shared" si="53"/>
        <v>28368010</v>
      </c>
      <c r="AH109" s="886">
        <f t="shared" si="54"/>
        <v>283680100</v>
      </c>
      <c r="AI109" s="1077">
        <f t="shared" si="42"/>
        <v>1134720400</v>
      </c>
    </row>
    <row r="110" spans="1:35" s="946" customFormat="1" ht="40.5" customHeight="1" x14ac:dyDescent="0.2">
      <c r="A110" s="1306"/>
      <c r="C110" s="1075" t="s">
        <v>2302</v>
      </c>
      <c r="D110" s="890"/>
      <c r="E110" s="907" t="s">
        <v>1040</v>
      </c>
      <c r="F110" s="917"/>
      <c r="G110" s="878" t="s">
        <v>2485</v>
      </c>
      <c r="H110" s="878"/>
      <c r="I110" s="861"/>
      <c r="J110" s="862"/>
      <c r="K110" s="862"/>
      <c r="L110" s="862"/>
      <c r="M110" s="907" t="s">
        <v>52</v>
      </c>
      <c r="N110" s="862">
        <v>2008</v>
      </c>
      <c r="O110" s="862"/>
      <c r="P110" s="903"/>
      <c r="Q110" s="861"/>
      <c r="R110" s="862"/>
      <c r="S110" s="903" t="s">
        <v>12</v>
      </c>
      <c r="T110" s="879">
        <v>340000000</v>
      </c>
      <c r="U110" s="906"/>
      <c r="V110" s="970"/>
      <c r="W110" s="1124" t="str">
        <f t="shared" si="45"/>
        <v>03.11.02</v>
      </c>
      <c r="X110" s="884" t="str">
        <f t="shared" si="43"/>
        <v>Bangunan Gedung Tempat Tinggal</v>
      </c>
      <c r="Y110" s="884">
        <f t="shared" si="44"/>
        <v>50</v>
      </c>
      <c r="Z110" s="868">
        <f t="shared" si="46"/>
        <v>6800000</v>
      </c>
      <c r="AA110" s="1051">
        <f t="shared" si="47"/>
        <v>5</v>
      </c>
      <c r="AB110" s="868">
        <f t="shared" si="48"/>
        <v>34000000</v>
      </c>
      <c r="AC110" s="868">
        <f t="shared" si="49"/>
        <v>6800000</v>
      </c>
      <c r="AD110" s="868">
        <f t="shared" si="50"/>
        <v>6800000</v>
      </c>
      <c r="AE110" s="868">
        <f t="shared" si="51"/>
        <v>6800000</v>
      </c>
      <c r="AF110" s="886">
        <f t="shared" si="52"/>
        <v>6800000</v>
      </c>
      <c r="AG110" s="886">
        <f t="shared" si="53"/>
        <v>6800000</v>
      </c>
      <c r="AH110" s="886">
        <f t="shared" si="54"/>
        <v>68000000</v>
      </c>
      <c r="AI110" s="1077">
        <f t="shared" si="42"/>
        <v>272000000</v>
      </c>
    </row>
    <row r="111" spans="1:35" s="946" customFormat="1" ht="40.5" customHeight="1" x14ac:dyDescent="0.2">
      <c r="A111" s="1306"/>
      <c r="C111" s="1075" t="s">
        <v>2302</v>
      </c>
      <c r="D111" s="890"/>
      <c r="E111" s="907" t="s">
        <v>1073</v>
      </c>
      <c r="F111" s="917"/>
      <c r="G111" s="878" t="s">
        <v>2841</v>
      </c>
      <c r="H111" s="878"/>
      <c r="I111" s="861" t="s">
        <v>43</v>
      </c>
      <c r="J111" s="862"/>
      <c r="K111" s="862"/>
      <c r="L111" s="862"/>
      <c r="M111" s="907" t="s">
        <v>417</v>
      </c>
      <c r="N111" s="862">
        <v>2008</v>
      </c>
      <c r="O111" s="862"/>
      <c r="P111" s="903"/>
      <c r="Q111" s="861"/>
      <c r="R111" s="862"/>
      <c r="S111" s="903" t="s">
        <v>12</v>
      </c>
      <c r="T111" s="879">
        <v>207120100</v>
      </c>
      <c r="U111" s="906"/>
      <c r="V111" s="970"/>
      <c r="W111" s="1124" t="str">
        <f t="shared" si="45"/>
        <v>03.12.01</v>
      </c>
      <c r="X111" s="884" t="str">
        <f t="shared" si="43"/>
        <v>Bangunan Bersejarah</v>
      </c>
      <c r="Y111" s="884">
        <f t="shared" si="44"/>
        <v>50</v>
      </c>
      <c r="Z111" s="868">
        <f t="shared" si="46"/>
        <v>4142402</v>
      </c>
      <c r="AA111" s="1051">
        <f t="shared" si="47"/>
        <v>5</v>
      </c>
      <c r="AB111" s="868">
        <f t="shared" si="48"/>
        <v>20712010</v>
      </c>
      <c r="AC111" s="868">
        <f t="shared" si="49"/>
        <v>4142402</v>
      </c>
      <c r="AD111" s="868">
        <f t="shared" si="50"/>
        <v>4142402</v>
      </c>
      <c r="AE111" s="868">
        <f t="shared" si="51"/>
        <v>4142402</v>
      </c>
      <c r="AF111" s="886">
        <f t="shared" si="52"/>
        <v>4142402</v>
      </c>
      <c r="AG111" s="886">
        <f t="shared" si="53"/>
        <v>4142402</v>
      </c>
      <c r="AH111" s="886">
        <f t="shared" si="54"/>
        <v>41424020</v>
      </c>
      <c r="AI111" s="1077">
        <f t="shared" si="42"/>
        <v>165696080</v>
      </c>
    </row>
    <row r="112" spans="1:35" s="946" customFormat="1" ht="40.5" customHeight="1" x14ac:dyDescent="0.2">
      <c r="A112" s="1306"/>
      <c r="C112" s="1075" t="s">
        <v>2302</v>
      </c>
      <c r="D112" s="890"/>
      <c r="E112" s="907" t="s">
        <v>1075</v>
      </c>
      <c r="F112" s="917"/>
      <c r="G112" s="878" t="s">
        <v>2842</v>
      </c>
      <c r="H112" s="878"/>
      <c r="I112" s="861"/>
      <c r="J112" s="862"/>
      <c r="K112" s="862"/>
      <c r="L112" s="862"/>
      <c r="M112" s="863" t="s">
        <v>417</v>
      </c>
      <c r="N112" s="862">
        <v>2014</v>
      </c>
      <c r="O112" s="862"/>
      <c r="P112" s="903"/>
      <c r="Q112" s="861"/>
      <c r="R112" s="862"/>
      <c r="S112" s="903" t="s">
        <v>12</v>
      </c>
      <c r="T112" s="879">
        <v>34581000</v>
      </c>
      <c r="U112" s="1081"/>
      <c r="V112" s="1118"/>
      <c r="W112" s="1124" t="str">
        <f t="shared" si="45"/>
        <v>03.11.01</v>
      </c>
      <c r="X112" s="884" t="str">
        <f t="shared" si="43"/>
        <v>Bangunan Gedung Tempat Kerja</v>
      </c>
      <c r="Y112" s="884">
        <f t="shared" si="44"/>
        <v>50</v>
      </c>
      <c r="Z112" s="868">
        <f t="shared" si="46"/>
        <v>691620</v>
      </c>
      <c r="AA112" s="1051">
        <f t="shared" si="47"/>
        <v>0</v>
      </c>
      <c r="AB112" s="868">
        <f t="shared" si="48"/>
        <v>0</v>
      </c>
      <c r="AC112" s="868">
        <f t="shared" si="49"/>
        <v>691620</v>
      </c>
      <c r="AD112" s="868">
        <f t="shared" si="50"/>
        <v>691620</v>
      </c>
      <c r="AE112" s="868">
        <f t="shared" si="51"/>
        <v>691620</v>
      </c>
      <c r="AF112" s="886">
        <f t="shared" si="52"/>
        <v>691620</v>
      </c>
      <c r="AG112" s="886">
        <f t="shared" si="53"/>
        <v>691620</v>
      </c>
      <c r="AH112" s="886">
        <f t="shared" si="54"/>
        <v>3458100</v>
      </c>
      <c r="AI112" s="1077">
        <f t="shared" si="42"/>
        <v>31122900</v>
      </c>
    </row>
    <row r="113" spans="1:35" s="946" customFormat="1" ht="40.5" customHeight="1" x14ac:dyDescent="0.2">
      <c r="A113" s="1306"/>
      <c r="C113" s="1075" t="s">
        <v>2302</v>
      </c>
      <c r="D113" s="890"/>
      <c r="E113" s="907" t="s">
        <v>1076</v>
      </c>
      <c r="F113" s="917"/>
      <c r="G113" s="878" t="s">
        <v>1752</v>
      </c>
      <c r="H113" s="878"/>
      <c r="I113" s="861"/>
      <c r="J113" s="862"/>
      <c r="K113" s="862"/>
      <c r="L113" s="862"/>
      <c r="M113" s="863" t="s">
        <v>1099</v>
      </c>
      <c r="N113" s="862">
        <v>2014</v>
      </c>
      <c r="O113" s="862"/>
      <c r="P113" s="903"/>
      <c r="Q113" s="861"/>
      <c r="R113" s="862"/>
      <c r="S113" s="903" t="s">
        <v>12</v>
      </c>
      <c r="T113" s="879">
        <v>114869000</v>
      </c>
      <c r="U113" s="1081"/>
      <c r="V113" s="1118"/>
      <c r="W113" s="1124" t="str">
        <f t="shared" si="45"/>
        <v>03.11.01</v>
      </c>
      <c r="X113" s="884" t="str">
        <f t="shared" si="43"/>
        <v>Bangunan Gedung Tempat Kerja</v>
      </c>
      <c r="Y113" s="884">
        <f t="shared" si="44"/>
        <v>50</v>
      </c>
      <c r="Z113" s="868">
        <f t="shared" si="46"/>
        <v>2297380</v>
      </c>
      <c r="AA113" s="1051">
        <f t="shared" si="47"/>
        <v>0</v>
      </c>
      <c r="AB113" s="868">
        <f t="shared" si="48"/>
        <v>0</v>
      </c>
      <c r="AC113" s="868">
        <f t="shared" si="49"/>
        <v>2297380</v>
      </c>
      <c r="AD113" s="868">
        <f t="shared" si="50"/>
        <v>2297380</v>
      </c>
      <c r="AE113" s="868">
        <f t="shared" si="51"/>
        <v>2297380</v>
      </c>
      <c r="AF113" s="886">
        <f t="shared" si="52"/>
        <v>2297380</v>
      </c>
      <c r="AG113" s="886">
        <f t="shared" si="53"/>
        <v>2297380</v>
      </c>
      <c r="AH113" s="886">
        <f t="shared" si="54"/>
        <v>11486900</v>
      </c>
      <c r="AI113" s="1077">
        <f t="shared" si="42"/>
        <v>103382100</v>
      </c>
    </row>
    <row r="114" spans="1:35" s="946" customFormat="1" ht="40.5" customHeight="1" x14ac:dyDescent="0.2">
      <c r="A114" s="1306"/>
      <c r="C114" s="1075" t="s">
        <v>2302</v>
      </c>
      <c r="D114" s="890"/>
      <c r="E114" s="907" t="s">
        <v>1078</v>
      </c>
      <c r="F114" s="917"/>
      <c r="G114" s="878" t="s">
        <v>2843</v>
      </c>
      <c r="H114" s="878"/>
      <c r="I114" s="861"/>
      <c r="J114" s="862"/>
      <c r="K114" s="862"/>
      <c r="L114" s="862"/>
      <c r="M114" s="863" t="s">
        <v>1099</v>
      </c>
      <c r="N114" s="862">
        <v>2015</v>
      </c>
      <c r="O114" s="862"/>
      <c r="P114" s="903"/>
      <c r="Q114" s="861"/>
      <c r="R114" s="862"/>
      <c r="S114" s="903" t="s">
        <v>12</v>
      </c>
      <c r="T114" s="879">
        <v>195914149</v>
      </c>
      <c r="U114" s="1081"/>
      <c r="V114" s="1118"/>
      <c r="W114" s="1124" t="str">
        <f t="shared" si="45"/>
        <v>03.11.01</v>
      </c>
      <c r="X114" s="884" t="str">
        <f t="shared" si="43"/>
        <v>Bangunan Gedung Tempat Kerja</v>
      </c>
      <c r="Y114" s="884">
        <f t="shared" si="44"/>
        <v>50</v>
      </c>
      <c r="Z114" s="868">
        <f t="shared" si="46"/>
        <v>3918282.98</v>
      </c>
      <c r="AA114" s="1051">
        <f t="shared" si="47"/>
        <v>0</v>
      </c>
      <c r="AB114" s="868">
        <f t="shared" si="48"/>
        <v>0</v>
      </c>
      <c r="AC114" s="868"/>
      <c r="AD114" s="868">
        <f t="shared" si="50"/>
        <v>3918282.98</v>
      </c>
      <c r="AE114" s="868">
        <f t="shared" si="51"/>
        <v>3918282.98</v>
      </c>
      <c r="AF114" s="886">
        <f t="shared" si="52"/>
        <v>3918282.98</v>
      </c>
      <c r="AG114" s="886">
        <f t="shared" si="53"/>
        <v>3918282.98</v>
      </c>
      <c r="AH114" s="886">
        <f t="shared" si="54"/>
        <v>15673131.92</v>
      </c>
      <c r="AI114" s="1077">
        <f t="shared" si="42"/>
        <v>180241017.08000001</v>
      </c>
    </row>
    <row r="115" spans="1:35" s="946" customFormat="1" ht="40.5" customHeight="1" x14ac:dyDescent="0.2">
      <c r="A115" s="1306"/>
      <c r="B115" s="946" t="s">
        <v>3020</v>
      </c>
      <c r="C115" s="1075" t="s">
        <v>2302</v>
      </c>
      <c r="D115" s="890"/>
      <c r="E115" s="907" t="s">
        <v>1079</v>
      </c>
      <c r="F115" s="917"/>
      <c r="G115" s="878" t="s">
        <v>1752</v>
      </c>
      <c r="H115" s="878"/>
      <c r="I115" s="861"/>
      <c r="J115" s="862"/>
      <c r="K115" s="862"/>
      <c r="L115" s="862"/>
      <c r="M115" s="863" t="s">
        <v>1100</v>
      </c>
      <c r="N115" s="862">
        <v>2015</v>
      </c>
      <c r="O115" s="862"/>
      <c r="P115" s="903"/>
      <c r="Q115" s="861"/>
      <c r="R115" s="862"/>
      <c r="S115" s="903" t="s">
        <v>12</v>
      </c>
      <c r="T115" s="879">
        <v>313428000</v>
      </c>
      <c r="U115" s="1081"/>
      <c r="V115" s="1118"/>
      <c r="W115" s="1124" t="str">
        <f t="shared" si="45"/>
        <v>03.11.01</v>
      </c>
      <c r="X115" s="884" t="str">
        <f t="shared" si="43"/>
        <v>Bangunan Gedung Tempat Kerja</v>
      </c>
      <c r="Y115" s="884">
        <f t="shared" si="44"/>
        <v>50</v>
      </c>
      <c r="Z115" s="868">
        <f t="shared" si="46"/>
        <v>6268560</v>
      </c>
      <c r="AA115" s="1051">
        <f t="shared" si="47"/>
        <v>0</v>
      </c>
      <c r="AB115" s="868">
        <f t="shared" si="48"/>
        <v>0</v>
      </c>
      <c r="AC115" s="868"/>
      <c r="AD115" s="868">
        <f t="shared" si="50"/>
        <v>6268560</v>
      </c>
      <c r="AE115" s="868">
        <f t="shared" si="51"/>
        <v>6268560</v>
      </c>
      <c r="AF115" s="886">
        <f t="shared" si="52"/>
        <v>6268560</v>
      </c>
      <c r="AG115" s="886">
        <f t="shared" si="53"/>
        <v>6268560</v>
      </c>
      <c r="AH115" s="886">
        <f t="shared" si="54"/>
        <v>25074240</v>
      </c>
      <c r="AI115" s="1077">
        <f t="shared" si="42"/>
        <v>288353760</v>
      </c>
    </row>
    <row r="116" spans="1:35" s="946" customFormat="1" ht="40.5" customHeight="1" x14ac:dyDescent="0.2">
      <c r="A116" s="1306"/>
      <c r="C116" s="1075" t="s">
        <v>2302</v>
      </c>
      <c r="D116" s="890"/>
      <c r="E116" s="907" t="s">
        <v>2634</v>
      </c>
      <c r="F116" s="917"/>
      <c r="G116" s="878" t="s">
        <v>1752</v>
      </c>
      <c r="H116" s="878" t="s">
        <v>39</v>
      </c>
      <c r="I116" s="861" t="s">
        <v>43</v>
      </c>
      <c r="J116" s="862" t="s">
        <v>1753</v>
      </c>
      <c r="K116" s="862" t="s">
        <v>835</v>
      </c>
      <c r="L116" s="862">
        <v>124</v>
      </c>
      <c r="M116" s="863" t="s">
        <v>1754</v>
      </c>
      <c r="N116" s="862">
        <v>2009</v>
      </c>
      <c r="O116" s="862" t="s">
        <v>1755</v>
      </c>
      <c r="P116" s="903"/>
      <c r="Q116" s="861"/>
      <c r="R116" s="862"/>
      <c r="S116" s="903" t="s">
        <v>12</v>
      </c>
      <c r="T116" s="879">
        <v>267474021.18227947</v>
      </c>
      <c r="U116" s="1081"/>
      <c r="V116" s="1118"/>
      <c r="W116" s="1124" t="str">
        <f t="shared" si="45"/>
        <v>03.11.01</v>
      </c>
      <c r="X116" s="884" t="str">
        <f t="shared" si="43"/>
        <v>Bangunan Gedung Tempat Kerja</v>
      </c>
      <c r="Y116" s="884">
        <f t="shared" si="44"/>
        <v>50</v>
      </c>
      <c r="Z116" s="868">
        <f t="shared" si="46"/>
        <v>5349480.4236455895</v>
      </c>
      <c r="AA116" s="1051">
        <f t="shared" si="47"/>
        <v>4</v>
      </c>
      <c r="AB116" s="868">
        <f t="shared" si="48"/>
        <v>21397921.694582358</v>
      </c>
      <c r="AC116" s="868">
        <f t="shared" si="49"/>
        <v>5349480.4236455895</v>
      </c>
      <c r="AD116" s="868">
        <f t="shared" si="50"/>
        <v>5349480.4236455895</v>
      </c>
      <c r="AE116" s="868">
        <f t="shared" si="51"/>
        <v>5349480.4236455895</v>
      </c>
      <c r="AF116" s="886">
        <f t="shared" si="52"/>
        <v>5349480.4236455895</v>
      </c>
      <c r="AG116" s="886">
        <f t="shared" si="53"/>
        <v>5349480.4236455895</v>
      </c>
      <c r="AH116" s="886">
        <f t="shared" si="54"/>
        <v>48145323.812810302</v>
      </c>
      <c r="AI116" s="1077">
        <f t="shared" si="42"/>
        <v>219328697.36946917</v>
      </c>
    </row>
    <row r="117" spans="1:35" s="946" customFormat="1" ht="40.5" customHeight="1" x14ac:dyDescent="0.2">
      <c r="A117" s="1306"/>
      <c r="C117" s="1075" t="s">
        <v>2302</v>
      </c>
      <c r="D117" s="890"/>
      <c r="E117" s="907" t="s">
        <v>2635</v>
      </c>
      <c r="F117" s="917"/>
      <c r="G117" s="878" t="s">
        <v>1752</v>
      </c>
      <c r="H117" s="878" t="s">
        <v>39</v>
      </c>
      <c r="I117" s="861" t="s">
        <v>43</v>
      </c>
      <c r="J117" s="862" t="s">
        <v>1753</v>
      </c>
      <c r="K117" s="862" t="s">
        <v>835</v>
      </c>
      <c r="L117" s="862">
        <v>120</v>
      </c>
      <c r="M117" s="863" t="s">
        <v>832</v>
      </c>
      <c r="N117" s="862">
        <v>2009</v>
      </c>
      <c r="O117" s="862" t="s">
        <v>1757</v>
      </c>
      <c r="P117" s="903"/>
      <c r="Q117" s="861"/>
      <c r="R117" s="862"/>
      <c r="S117" s="903" t="s">
        <v>12</v>
      </c>
      <c r="T117" s="879">
        <v>294688334.55143684</v>
      </c>
      <c r="U117" s="1081"/>
      <c r="V117" s="1118"/>
      <c r="W117" s="1124" t="str">
        <f t="shared" si="45"/>
        <v>03.11.01</v>
      </c>
      <c r="X117" s="884" t="str">
        <f t="shared" si="43"/>
        <v>Bangunan Gedung Tempat Kerja</v>
      </c>
      <c r="Y117" s="884">
        <f t="shared" si="44"/>
        <v>50</v>
      </c>
      <c r="Z117" s="868">
        <f t="shared" si="46"/>
        <v>5893766.6910287365</v>
      </c>
      <c r="AA117" s="1051">
        <f t="shared" si="47"/>
        <v>4</v>
      </c>
      <c r="AB117" s="868">
        <f t="shared" si="48"/>
        <v>23575066.764114946</v>
      </c>
      <c r="AC117" s="868">
        <f t="shared" si="49"/>
        <v>5893766.6910287365</v>
      </c>
      <c r="AD117" s="868">
        <f t="shared" si="50"/>
        <v>5893766.6910287365</v>
      </c>
      <c r="AE117" s="868">
        <f t="shared" si="51"/>
        <v>5893766.6910287365</v>
      </c>
      <c r="AF117" s="886">
        <f t="shared" si="52"/>
        <v>5893766.6910287365</v>
      </c>
      <c r="AG117" s="886">
        <f t="shared" si="53"/>
        <v>5893766.6910287365</v>
      </c>
      <c r="AH117" s="886">
        <f t="shared" si="54"/>
        <v>53043900.219258629</v>
      </c>
      <c r="AI117" s="1077">
        <f t="shared" si="42"/>
        <v>241644434.33217821</v>
      </c>
    </row>
    <row r="118" spans="1:35" s="946" customFormat="1" ht="40.5" customHeight="1" x14ac:dyDescent="0.2">
      <c r="A118" s="1306"/>
      <c r="C118" s="1075" t="s">
        <v>2302</v>
      </c>
      <c r="D118" s="890"/>
      <c r="E118" s="907" t="s">
        <v>2636</v>
      </c>
      <c r="F118" s="917"/>
      <c r="G118" s="878" t="s">
        <v>1752</v>
      </c>
      <c r="H118" s="878" t="s">
        <v>39</v>
      </c>
      <c r="I118" s="861" t="s">
        <v>43</v>
      </c>
      <c r="J118" s="862" t="s">
        <v>1753</v>
      </c>
      <c r="K118" s="862" t="s">
        <v>835</v>
      </c>
      <c r="L118" s="862">
        <v>120</v>
      </c>
      <c r="M118" s="863" t="s">
        <v>1759</v>
      </c>
      <c r="N118" s="862">
        <v>2009</v>
      </c>
      <c r="O118" s="862" t="s">
        <v>1760</v>
      </c>
      <c r="P118" s="903"/>
      <c r="Q118" s="861"/>
      <c r="R118" s="862"/>
      <c r="S118" s="903" t="s">
        <v>12</v>
      </c>
      <c r="T118" s="879">
        <v>290925425.00972772</v>
      </c>
      <c r="U118" s="1081"/>
      <c r="V118" s="1118"/>
      <c r="W118" s="1124" t="str">
        <f t="shared" si="45"/>
        <v>03.11.01</v>
      </c>
      <c r="X118" s="884" t="str">
        <f t="shared" si="43"/>
        <v>Bangunan Gedung Tempat Kerja</v>
      </c>
      <c r="Y118" s="884">
        <f t="shared" si="44"/>
        <v>50</v>
      </c>
      <c r="Z118" s="868">
        <f t="shared" si="46"/>
        <v>5818508.5001945542</v>
      </c>
      <c r="AA118" s="1051">
        <f t="shared" si="47"/>
        <v>4</v>
      </c>
      <c r="AB118" s="868">
        <f t="shared" si="48"/>
        <v>23274034.000778217</v>
      </c>
      <c r="AC118" s="868">
        <f t="shared" si="49"/>
        <v>5818508.5001945542</v>
      </c>
      <c r="AD118" s="868">
        <f t="shared" si="50"/>
        <v>5818508.5001945542</v>
      </c>
      <c r="AE118" s="868">
        <f t="shared" si="51"/>
        <v>5818508.5001945542</v>
      </c>
      <c r="AF118" s="886">
        <f t="shared" si="52"/>
        <v>5818508.5001945542</v>
      </c>
      <c r="AG118" s="886">
        <f t="shared" si="53"/>
        <v>5818508.5001945542</v>
      </c>
      <c r="AH118" s="886">
        <f t="shared" si="54"/>
        <v>52366576.501750998</v>
      </c>
      <c r="AI118" s="1077">
        <f t="shared" si="42"/>
        <v>238558848.50797671</v>
      </c>
    </row>
    <row r="119" spans="1:35" s="946" customFormat="1" ht="40.5" customHeight="1" x14ac:dyDescent="0.2">
      <c r="A119" s="1306"/>
      <c r="C119" s="1075" t="s">
        <v>2302</v>
      </c>
      <c r="D119" s="890"/>
      <c r="E119" s="907" t="s">
        <v>2637</v>
      </c>
      <c r="F119" s="917"/>
      <c r="G119" s="878" t="s">
        <v>1752</v>
      </c>
      <c r="H119" s="878" t="s">
        <v>68</v>
      </c>
      <c r="I119" s="861" t="s">
        <v>43</v>
      </c>
      <c r="J119" s="862" t="s">
        <v>1753</v>
      </c>
      <c r="K119" s="862" t="s">
        <v>835</v>
      </c>
      <c r="L119" s="862">
        <v>120</v>
      </c>
      <c r="M119" s="863" t="s">
        <v>1762</v>
      </c>
      <c r="N119" s="862">
        <v>2009</v>
      </c>
      <c r="O119" s="862" t="s">
        <v>1763</v>
      </c>
      <c r="P119" s="903"/>
      <c r="Q119" s="861"/>
      <c r="R119" s="862"/>
      <c r="S119" s="903" t="s">
        <v>12</v>
      </c>
      <c r="T119" s="879">
        <v>261207210.48636299</v>
      </c>
      <c r="U119" s="1081"/>
      <c r="V119" s="1118"/>
      <c r="W119" s="1124" t="str">
        <f t="shared" si="45"/>
        <v>03.11.01</v>
      </c>
      <c r="X119" s="884" t="str">
        <f t="shared" si="43"/>
        <v>Bangunan Gedung Tempat Kerja</v>
      </c>
      <c r="Y119" s="884">
        <f t="shared" si="44"/>
        <v>50</v>
      </c>
      <c r="Z119" s="868">
        <f t="shared" si="46"/>
        <v>5224144.2097272603</v>
      </c>
      <c r="AA119" s="1051">
        <f t="shared" si="47"/>
        <v>4</v>
      </c>
      <c r="AB119" s="868">
        <f t="shared" si="48"/>
        <v>20896576.838909041</v>
      </c>
      <c r="AC119" s="868">
        <f t="shared" si="49"/>
        <v>5224144.2097272603</v>
      </c>
      <c r="AD119" s="868">
        <f t="shared" si="50"/>
        <v>5224144.2097272603</v>
      </c>
      <c r="AE119" s="868">
        <f t="shared" si="51"/>
        <v>5224144.2097272603</v>
      </c>
      <c r="AF119" s="886">
        <f t="shared" si="52"/>
        <v>5224144.2097272603</v>
      </c>
      <c r="AG119" s="886">
        <f t="shared" si="53"/>
        <v>5224144.2097272603</v>
      </c>
      <c r="AH119" s="886">
        <f t="shared" si="54"/>
        <v>47017297.88754534</v>
      </c>
      <c r="AI119" s="1077">
        <f t="shared" si="42"/>
        <v>214189912.59881765</v>
      </c>
    </row>
    <row r="120" spans="1:35" s="946" customFormat="1" ht="40.5" customHeight="1" x14ac:dyDescent="0.2">
      <c r="A120" s="1306"/>
      <c r="C120" s="1075" t="s">
        <v>2302</v>
      </c>
      <c r="D120" s="890"/>
      <c r="E120" s="907" t="s">
        <v>2638</v>
      </c>
      <c r="F120" s="917"/>
      <c r="G120" s="878" t="s">
        <v>1752</v>
      </c>
      <c r="H120" s="878" t="s">
        <v>1765</v>
      </c>
      <c r="I120" s="861" t="s">
        <v>43</v>
      </c>
      <c r="J120" s="862" t="s">
        <v>1753</v>
      </c>
      <c r="K120" s="862" t="s">
        <v>835</v>
      </c>
      <c r="L120" s="862">
        <v>120</v>
      </c>
      <c r="M120" s="863" t="s">
        <v>1766</v>
      </c>
      <c r="N120" s="862">
        <v>2009</v>
      </c>
      <c r="O120" s="862" t="s">
        <v>1763</v>
      </c>
      <c r="P120" s="903"/>
      <c r="Q120" s="861"/>
      <c r="R120" s="862"/>
      <c r="S120" s="903" t="s">
        <v>12</v>
      </c>
      <c r="T120" s="879">
        <v>255580486.38729501</v>
      </c>
      <c r="U120" s="1081"/>
      <c r="V120" s="1118"/>
      <c r="W120" s="1124" t="str">
        <f t="shared" si="45"/>
        <v>03.11.01</v>
      </c>
      <c r="X120" s="884" t="str">
        <f t="shared" si="43"/>
        <v>Bangunan Gedung Tempat Kerja</v>
      </c>
      <c r="Y120" s="884">
        <f t="shared" si="44"/>
        <v>50</v>
      </c>
      <c r="Z120" s="868">
        <f t="shared" si="46"/>
        <v>5111609.7277458999</v>
      </c>
      <c r="AA120" s="1051">
        <f t="shared" si="47"/>
        <v>4</v>
      </c>
      <c r="AB120" s="868">
        <f t="shared" si="48"/>
        <v>20446438.9109836</v>
      </c>
      <c r="AC120" s="868">
        <f t="shared" si="49"/>
        <v>5111609.7277458999</v>
      </c>
      <c r="AD120" s="868">
        <f t="shared" si="50"/>
        <v>5111609.7277458999</v>
      </c>
      <c r="AE120" s="868">
        <f t="shared" si="51"/>
        <v>5111609.7277458999</v>
      </c>
      <c r="AF120" s="886">
        <f t="shared" si="52"/>
        <v>5111609.7277458999</v>
      </c>
      <c r="AG120" s="886">
        <f t="shared" si="53"/>
        <v>5111609.7277458999</v>
      </c>
      <c r="AH120" s="886">
        <f t="shared" si="54"/>
        <v>46004487.54971309</v>
      </c>
      <c r="AI120" s="1077">
        <f t="shared" si="42"/>
        <v>209575998.83758193</v>
      </c>
    </row>
    <row r="121" spans="1:35" s="946" customFormat="1" ht="40.5" customHeight="1" x14ac:dyDescent="0.2">
      <c r="A121" s="1306"/>
      <c r="C121" s="1075" t="s">
        <v>2302</v>
      </c>
      <c r="D121" s="890"/>
      <c r="E121" s="907" t="s">
        <v>2639</v>
      </c>
      <c r="F121" s="917"/>
      <c r="G121" s="878" t="s">
        <v>1752</v>
      </c>
      <c r="H121" s="878" t="s">
        <v>1768</v>
      </c>
      <c r="I121" s="861" t="s">
        <v>43</v>
      </c>
      <c r="J121" s="862" t="s">
        <v>1753</v>
      </c>
      <c r="K121" s="862" t="s">
        <v>835</v>
      </c>
      <c r="L121" s="862">
        <v>120</v>
      </c>
      <c r="M121" s="863" t="s">
        <v>1769</v>
      </c>
      <c r="N121" s="862">
        <v>2009</v>
      </c>
      <c r="O121" s="862" t="s">
        <v>1770</v>
      </c>
      <c r="P121" s="903"/>
      <c r="Q121" s="861"/>
      <c r="R121" s="862"/>
      <c r="S121" s="903" t="s">
        <v>12</v>
      </c>
      <c r="T121" s="879">
        <v>265355180.68838102</v>
      </c>
      <c r="U121" s="1081"/>
      <c r="V121" s="1118"/>
      <c r="W121" s="1124" t="str">
        <f t="shared" si="45"/>
        <v>03.11.01</v>
      </c>
      <c r="X121" s="884" t="str">
        <f t="shared" si="43"/>
        <v>Bangunan Gedung Tempat Kerja</v>
      </c>
      <c r="Y121" s="884">
        <f t="shared" si="44"/>
        <v>50</v>
      </c>
      <c r="Z121" s="868">
        <f t="shared" si="46"/>
        <v>5307103.6137676202</v>
      </c>
      <c r="AA121" s="1051">
        <f t="shared" si="47"/>
        <v>4</v>
      </c>
      <c r="AB121" s="868">
        <f t="shared" si="48"/>
        <v>21228414.455070481</v>
      </c>
      <c r="AC121" s="868">
        <f t="shared" si="49"/>
        <v>5307103.6137676202</v>
      </c>
      <c r="AD121" s="868">
        <f t="shared" si="50"/>
        <v>5307103.6137676202</v>
      </c>
      <c r="AE121" s="868">
        <f t="shared" si="51"/>
        <v>5307103.6137676202</v>
      </c>
      <c r="AF121" s="886">
        <f t="shared" si="52"/>
        <v>5307103.6137676202</v>
      </c>
      <c r="AG121" s="886">
        <f t="shared" si="53"/>
        <v>5307103.6137676202</v>
      </c>
      <c r="AH121" s="886">
        <f t="shared" si="54"/>
        <v>47763932.523908585</v>
      </c>
      <c r="AI121" s="1077">
        <f t="shared" si="42"/>
        <v>217591248.16447243</v>
      </c>
    </row>
    <row r="122" spans="1:35" s="670" customFormat="1" ht="40.5" customHeight="1" x14ac:dyDescent="0.2">
      <c r="A122" s="669">
        <v>14</v>
      </c>
      <c r="B122" s="670" t="s">
        <v>2853</v>
      </c>
      <c r="C122" s="773" t="s">
        <v>4247</v>
      </c>
      <c r="D122" s="652"/>
      <c r="E122" s="671" t="s">
        <v>2640</v>
      </c>
      <c r="F122" s="672"/>
      <c r="G122" s="653" t="s">
        <v>1772</v>
      </c>
      <c r="H122" s="653" t="s">
        <v>39</v>
      </c>
      <c r="I122" s="673" t="s">
        <v>43</v>
      </c>
      <c r="J122" s="674" t="s">
        <v>1753</v>
      </c>
      <c r="K122" s="674" t="s">
        <v>835</v>
      </c>
      <c r="L122" s="674">
        <v>420</v>
      </c>
      <c r="M122" s="691" t="s">
        <v>1833</v>
      </c>
      <c r="N122" s="674">
        <v>2009</v>
      </c>
      <c r="O122" s="674" t="s">
        <v>1773</v>
      </c>
      <c r="P122" s="675"/>
      <c r="Q122" s="673"/>
      <c r="R122" s="674"/>
      <c r="S122" s="675" t="s">
        <v>12</v>
      </c>
      <c r="T122" s="654">
        <f>1713608643.45793+F123</f>
        <v>1720233393.4579301</v>
      </c>
      <c r="U122" s="702"/>
      <c r="V122" s="1119"/>
      <c r="W122" s="647" t="str">
        <f t="shared" si="45"/>
        <v>03.11.01</v>
      </c>
      <c r="X122" s="648" t="str">
        <f t="shared" si="43"/>
        <v>Bangunan Gedung Tempat Kerja</v>
      </c>
      <c r="Y122" s="648">
        <f t="shared" si="44"/>
        <v>50</v>
      </c>
      <c r="Z122" s="649"/>
      <c r="AA122" s="718"/>
      <c r="AB122" s="649"/>
      <c r="AC122" s="649"/>
      <c r="AD122" s="649"/>
      <c r="AE122" s="649"/>
      <c r="AF122" s="649"/>
      <c r="AG122" s="650">
        <f>'PERHITUNGAN (C)'!U250</f>
        <v>34404667.869158603</v>
      </c>
      <c r="AH122" s="650">
        <f>'PERHITUNGAN (C)'!U254</f>
        <v>378451346.5607447</v>
      </c>
      <c r="AI122" s="677">
        <f t="shared" si="42"/>
        <v>1341782046.8971853</v>
      </c>
    </row>
    <row r="123" spans="1:35" s="48" customFormat="1" ht="40.5" customHeight="1" x14ac:dyDescent="0.2">
      <c r="A123" s="296">
        <v>14</v>
      </c>
      <c r="B123" s="48" t="s">
        <v>2853</v>
      </c>
      <c r="C123" s="772" t="s">
        <v>4247</v>
      </c>
      <c r="D123" s="73"/>
      <c r="E123" s="65" t="s">
        <v>2668</v>
      </c>
      <c r="F123" s="555">
        <v>6624750</v>
      </c>
      <c r="G123" s="67" t="s">
        <v>1772</v>
      </c>
      <c r="H123" s="67"/>
      <c r="I123" s="33" t="s">
        <v>43</v>
      </c>
      <c r="J123" s="40"/>
      <c r="K123" s="40" t="s">
        <v>835</v>
      </c>
      <c r="L123" s="40"/>
      <c r="M123" s="72" t="s">
        <v>1833</v>
      </c>
      <c r="N123" s="40">
        <v>2009</v>
      </c>
      <c r="O123" s="40"/>
      <c r="P123" s="32"/>
      <c r="Q123" s="33"/>
      <c r="R123" s="40"/>
      <c r="S123" s="32" t="s">
        <v>12</v>
      </c>
      <c r="T123" s="252"/>
      <c r="U123" s="105"/>
      <c r="V123" s="1116"/>
      <c r="W123" s="206" t="str">
        <f t="shared" si="45"/>
        <v>03.11.01</v>
      </c>
      <c r="X123" s="207" t="str">
        <f t="shared" si="43"/>
        <v>Bangunan Gedung Tempat Kerja</v>
      </c>
      <c r="Y123" s="207">
        <f t="shared" si="44"/>
        <v>50</v>
      </c>
      <c r="Z123" s="233"/>
      <c r="AA123" s="714"/>
      <c r="AB123" s="233"/>
      <c r="AC123" s="233"/>
      <c r="AD123" s="233"/>
      <c r="AE123" s="233"/>
      <c r="AF123" s="233"/>
      <c r="AG123" s="238"/>
      <c r="AH123" s="238"/>
      <c r="AI123" s="210">
        <f t="shared" si="42"/>
        <v>0</v>
      </c>
    </row>
    <row r="124" spans="1:35" s="946" customFormat="1" ht="40.5" customHeight="1" x14ac:dyDescent="0.2">
      <c r="A124" s="1306"/>
      <c r="C124" s="1075" t="s">
        <v>2302</v>
      </c>
      <c r="D124" s="890"/>
      <c r="E124" s="907" t="s">
        <v>2641</v>
      </c>
      <c r="F124" s="917"/>
      <c r="G124" s="878" t="s">
        <v>1772</v>
      </c>
      <c r="H124" s="878" t="s">
        <v>39</v>
      </c>
      <c r="I124" s="861" t="s">
        <v>43</v>
      </c>
      <c r="J124" s="862" t="s">
        <v>1753</v>
      </c>
      <c r="K124" s="862" t="s">
        <v>835</v>
      </c>
      <c r="L124" s="862" t="s">
        <v>9</v>
      </c>
      <c r="M124" s="863" t="s">
        <v>1776</v>
      </c>
      <c r="N124" s="862">
        <v>2009</v>
      </c>
      <c r="O124" s="862" t="s">
        <v>1777</v>
      </c>
      <c r="P124" s="903"/>
      <c r="Q124" s="861"/>
      <c r="R124" s="862"/>
      <c r="S124" s="903" t="s">
        <v>12</v>
      </c>
      <c r="T124" s="879">
        <v>524619475.60007006</v>
      </c>
      <c r="U124" s="1081"/>
      <c r="V124" s="1118"/>
      <c r="W124" s="1124" t="str">
        <f t="shared" si="45"/>
        <v>03.11.01</v>
      </c>
      <c r="X124" s="884" t="str">
        <f t="shared" si="43"/>
        <v>Bangunan Gedung Tempat Kerja</v>
      </c>
      <c r="Y124" s="884">
        <f t="shared" si="44"/>
        <v>50</v>
      </c>
      <c r="Z124" s="868">
        <f>T124/Y124</f>
        <v>10492389.512001401</v>
      </c>
      <c r="AA124" s="1051">
        <f>IF(2013-N124&gt;Y124,Y124,IF(2013-N124&lt;0,0,2013-N124))</f>
        <v>4</v>
      </c>
      <c r="AB124" s="868">
        <f>IF(AA124&gt;Y124,T124,Z124*AA124)</f>
        <v>41969558.048005603</v>
      </c>
      <c r="AC124" s="868">
        <f>IF(T124=AB124,0,Z124)</f>
        <v>10492389.512001401</v>
      </c>
      <c r="AD124" s="868">
        <f>IF(T124=AB124+AC124,0,Z124)</f>
        <v>10492389.512001401</v>
      </c>
      <c r="AE124" s="868">
        <f>IF(T124=AB124+AC124+AD124,0,Z124)</f>
        <v>10492389.512001401</v>
      </c>
      <c r="AF124" s="886">
        <f>IF(T124=AB124+AC124+AD124+AE124,0,Z124)</f>
        <v>10492389.512001401</v>
      </c>
      <c r="AG124" s="886">
        <f>IF(T124=AB124+AC124+AD124+AE124+AF124,0,Z124)</f>
        <v>10492389.512001401</v>
      </c>
      <c r="AH124" s="886">
        <f>SUM(AB124:AG124)</f>
        <v>94431505.608012602</v>
      </c>
      <c r="AI124" s="1077">
        <f t="shared" si="42"/>
        <v>430187969.99205744</v>
      </c>
    </row>
    <row r="125" spans="1:35" s="946" customFormat="1" ht="40.5" customHeight="1" x14ac:dyDescent="0.2">
      <c r="A125" s="1306"/>
      <c r="C125" s="1075" t="s">
        <v>2302</v>
      </c>
      <c r="D125" s="890"/>
      <c r="E125" s="907" t="s">
        <v>2643</v>
      </c>
      <c r="F125" s="917"/>
      <c r="G125" s="878" t="s">
        <v>2844</v>
      </c>
      <c r="H125" s="878"/>
      <c r="I125" s="861" t="s">
        <v>43</v>
      </c>
      <c r="J125" s="862"/>
      <c r="K125" s="862"/>
      <c r="L125" s="862"/>
      <c r="M125" s="863" t="s">
        <v>1776</v>
      </c>
      <c r="N125" s="862">
        <v>2009</v>
      </c>
      <c r="O125" s="862"/>
      <c r="P125" s="903"/>
      <c r="Q125" s="861"/>
      <c r="R125" s="862"/>
      <c r="S125" s="903" t="s">
        <v>12</v>
      </c>
      <c r="T125" s="879">
        <v>35880687.702640109</v>
      </c>
      <c r="U125" s="1081"/>
      <c r="V125" s="1118"/>
      <c r="W125" s="1124" t="str">
        <f t="shared" si="45"/>
        <v>03.11.01</v>
      </c>
      <c r="X125" s="884" t="str">
        <f t="shared" si="43"/>
        <v>Bangunan Gedung Tempat Kerja</v>
      </c>
      <c r="Y125" s="884">
        <f t="shared" si="44"/>
        <v>50</v>
      </c>
      <c r="Z125" s="868">
        <f>T125/Y125</f>
        <v>717613.75405280222</v>
      </c>
      <c r="AA125" s="1051">
        <f>IF(2013-N125&gt;Y125,Y125,IF(2013-N125&lt;0,0,2013-N125))</f>
        <v>4</v>
      </c>
      <c r="AB125" s="868">
        <f>IF(AA125&gt;Y125,T125,Z125*AA125)</f>
        <v>2870455.0162112089</v>
      </c>
      <c r="AC125" s="868">
        <f>IF(T125=AB125,0,Z125)</f>
        <v>717613.75405280222</v>
      </c>
      <c r="AD125" s="868">
        <f>IF(T125=AB125+AC125,0,Z125)</f>
        <v>717613.75405280222</v>
      </c>
      <c r="AE125" s="868">
        <f>IF(T125=AB125+AC125+AD125,0,Z125)</f>
        <v>717613.75405280222</v>
      </c>
      <c r="AF125" s="886">
        <f>IF(T125=AB125+AC125+AD125+AE125,0,Z125)</f>
        <v>717613.75405280222</v>
      </c>
      <c r="AG125" s="886">
        <f>IF(T125=AB125+AC125+AD125+AE125+AF125,0,Z125)</f>
        <v>717613.75405280222</v>
      </c>
      <c r="AH125" s="886">
        <f>SUM(AB125:AG125)</f>
        <v>6458523.7864752188</v>
      </c>
      <c r="AI125" s="1077">
        <f t="shared" si="42"/>
        <v>29422163.91616489</v>
      </c>
    </row>
    <row r="126" spans="1:35" s="946" customFormat="1" ht="40.5" customHeight="1" x14ac:dyDescent="0.2">
      <c r="A126" s="1306"/>
      <c r="C126" s="1075" t="s">
        <v>2302</v>
      </c>
      <c r="D126" s="890"/>
      <c r="E126" s="907" t="s">
        <v>2644</v>
      </c>
      <c r="F126" s="917"/>
      <c r="G126" s="878" t="s">
        <v>2845</v>
      </c>
      <c r="H126" s="878"/>
      <c r="I126" s="861" t="s">
        <v>43</v>
      </c>
      <c r="J126" s="862"/>
      <c r="K126" s="862"/>
      <c r="L126" s="862"/>
      <c r="M126" s="863"/>
      <c r="N126" s="862">
        <v>2008</v>
      </c>
      <c r="O126" s="862"/>
      <c r="P126" s="903"/>
      <c r="Q126" s="861"/>
      <c r="R126" s="862"/>
      <c r="S126" s="903" t="s">
        <v>12</v>
      </c>
      <c r="T126" s="879">
        <v>530596000</v>
      </c>
      <c r="U126" s="1081"/>
      <c r="V126" s="1118"/>
      <c r="W126" s="1124" t="str">
        <f t="shared" si="45"/>
        <v>03.11.01</v>
      </c>
      <c r="X126" s="884" t="str">
        <f t="shared" si="43"/>
        <v>Bangunan Gedung Tempat Kerja</v>
      </c>
      <c r="Y126" s="884">
        <f t="shared" si="44"/>
        <v>50</v>
      </c>
      <c r="Z126" s="868">
        <f>T126/Y126</f>
        <v>10611920</v>
      </c>
      <c r="AA126" s="1051">
        <f>IF(2013-N126&gt;Y126,Y126,IF(2013-N126&lt;0,0,2013-N126))</f>
        <v>5</v>
      </c>
      <c r="AB126" s="868">
        <f>IF(AA126&gt;Y126,T126,Z126*AA126)</f>
        <v>53059600</v>
      </c>
      <c r="AC126" s="868">
        <f>IF(T126=AB126,0,Z126)</f>
        <v>10611920</v>
      </c>
      <c r="AD126" s="868">
        <f>IF(T126=AB126+AC126,0,Z126)</f>
        <v>10611920</v>
      </c>
      <c r="AE126" s="868">
        <f>IF(T126=AB126+AC126+AD126,0,Z126)</f>
        <v>10611920</v>
      </c>
      <c r="AF126" s="886">
        <f>IF(T126=AB126+AC126+AD126+AE126,0,Z126)</f>
        <v>10611920</v>
      </c>
      <c r="AG126" s="886">
        <f>IF(T126=AB126+AC126+AD126+AE126+AF126,0,Z126)</f>
        <v>10611920</v>
      </c>
      <c r="AH126" s="886">
        <f>SUM(AB126:AG126)</f>
        <v>106119200</v>
      </c>
      <c r="AI126" s="1077">
        <f t="shared" si="42"/>
        <v>424476800</v>
      </c>
    </row>
    <row r="127" spans="1:35" s="946" customFormat="1" ht="40.5" customHeight="1" x14ac:dyDescent="0.2">
      <c r="A127" s="1306"/>
      <c r="B127" s="946" t="s">
        <v>4241</v>
      </c>
      <c r="C127" s="1075" t="s">
        <v>2302</v>
      </c>
      <c r="D127" s="890"/>
      <c r="E127" s="907" t="s">
        <v>2645</v>
      </c>
      <c r="F127" s="917"/>
      <c r="G127" s="878" t="s">
        <v>2835</v>
      </c>
      <c r="H127" s="878" t="s">
        <v>39</v>
      </c>
      <c r="I127" s="861" t="s">
        <v>43</v>
      </c>
      <c r="J127" s="862" t="s">
        <v>1786</v>
      </c>
      <c r="K127" s="862" t="s">
        <v>1753</v>
      </c>
      <c r="L127" s="862"/>
      <c r="M127" s="863" t="s">
        <v>1776</v>
      </c>
      <c r="N127" s="862">
        <v>2008</v>
      </c>
      <c r="O127" s="862"/>
      <c r="P127" s="903"/>
      <c r="Q127" s="861"/>
      <c r="R127" s="862"/>
      <c r="S127" s="903" t="s">
        <v>12</v>
      </c>
      <c r="T127" s="879">
        <v>215036010.5</v>
      </c>
      <c r="U127" s="1081"/>
      <c r="V127" s="1118"/>
      <c r="W127" s="1124" t="str">
        <f t="shared" si="45"/>
        <v>03.11.01</v>
      </c>
      <c r="X127" s="884" t="str">
        <f t="shared" si="43"/>
        <v>Bangunan Gedung Tempat Kerja</v>
      </c>
      <c r="Y127" s="884">
        <f t="shared" si="44"/>
        <v>50</v>
      </c>
      <c r="Z127" s="868">
        <f>T127/Y127</f>
        <v>4300720.21</v>
      </c>
      <c r="AA127" s="1051">
        <f>IF(2013-N127&gt;Y127,Y127,IF(2013-N127&lt;0,0,2013-N127))</f>
        <v>5</v>
      </c>
      <c r="AB127" s="868">
        <f>IF(AA127&gt;Y127,T127,Z127*AA127)</f>
        <v>21503601.050000001</v>
      </c>
      <c r="AC127" s="868">
        <f>IF(T127=AB127,0,Z127)</f>
        <v>4300720.21</v>
      </c>
      <c r="AD127" s="868">
        <f>IF(T127=AB127+AC127,0,Z127)</f>
        <v>4300720.21</v>
      </c>
      <c r="AE127" s="868">
        <f>IF(T127=AB127+AC127+AD127,0,Z127)</f>
        <v>4300720.21</v>
      </c>
      <c r="AF127" s="886">
        <f>IF(T127=AB127+AC127+AD127+AE127,0,Z127)</f>
        <v>4300720.21</v>
      </c>
      <c r="AG127" s="886">
        <f>IF(T127=AB127+AC127+AD127+AE127+AF127,0,Z127)</f>
        <v>4300720.21</v>
      </c>
      <c r="AH127" s="886">
        <f>SUM(AB127:AG127)</f>
        <v>43007202.100000001</v>
      </c>
      <c r="AI127" s="1077">
        <f t="shared" si="42"/>
        <v>172028808.40000001</v>
      </c>
    </row>
    <row r="128" spans="1:35" s="946" customFormat="1" ht="40.5" customHeight="1" x14ac:dyDescent="0.2">
      <c r="A128" s="1306"/>
      <c r="C128" s="1075" t="s">
        <v>2302</v>
      </c>
      <c r="D128" s="890"/>
      <c r="E128" s="907" t="s">
        <v>2648</v>
      </c>
      <c r="F128" s="917"/>
      <c r="G128" s="878" t="s">
        <v>4243</v>
      </c>
      <c r="H128" s="878"/>
      <c r="I128" s="861" t="s">
        <v>43</v>
      </c>
      <c r="J128" s="862"/>
      <c r="K128" s="862" t="s">
        <v>835</v>
      </c>
      <c r="L128" s="862"/>
      <c r="M128" s="863" t="s">
        <v>1793</v>
      </c>
      <c r="N128" s="862">
        <v>2008</v>
      </c>
      <c r="O128" s="862"/>
      <c r="P128" s="903"/>
      <c r="Q128" s="861"/>
      <c r="R128" s="862"/>
      <c r="S128" s="903" t="s">
        <v>12</v>
      </c>
      <c r="T128" s="879">
        <v>149705250</v>
      </c>
      <c r="U128" s="1081"/>
      <c r="V128" s="1118"/>
      <c r="W128" s="1124" t="str">
        <f t="shared" si="45"/>
        <v>03.12.01</v>
      </c>
      <c r="X128" s="884" t="str">
        <f t="shared" si="43"/>
        <v>Bangunan Bersejarah</v>
      </c>
      <c r="Y128" s="884">
        <f t="shared" si="44"/>
        <v>50</v>
      </c>
      <c r="Z128" s="868">
        <f>T128/Y128</f>
        <v>2994105</v>
      </c>
      <c r="AA128" s="1051">
        <f>IF(2013-N128&gt;Y128,Y128,IF(2013-N128&lt;0,0,2013-N128))</f>
        <v>5</v>
      </c>
      <c r="AB128" s="868">
        <f>IF(AA128&gt;Y128,T128,Z128*AA128)</f>
        <v>14970525</v>
      </c>
      <c r="AC128" s="868">
        <f>IF(T128=AB128,0,Z128)</f>
        <v>2994105</v>
      </c>
      <c r="AD128" s="868">
        <f>IF(T128=AB128+AC128,0,Z128)</f>
        <v>2994105</v>
      </c>
      <c r="AE128" s="868">
        <f>IF(T128=AB128+AC128+AD128,0,Z128)</f>
        <v>2994105</v>
      </c>
      <c r="AF128" s="886">
        <f>IF(T128=AB128+AC128+AD128+AE128,0,Z128)</f>
        <v>2994105</v>
      </c>
      <c r="AG128" s="886">
        <f>IF(T128=AB128+AC128+AD128+AE128+AF128,0,Z128)</f>
        <v>2994105</v>
      </c>
      <c r="AH128" s="886">
        <f>SUM(AB128:AG128)</f>
        <v>29941050</v>
      </c>
      <c r="AI128" s="1077">
        <f t="shared" si="42"/>
        <v>119764200</v>
      </c>
    </row>
    <row r="129" spans="1:35" s="670" customFormat="1" ht="40.5" customHeight="1" x14ac:dyDescent="0.2">
      <c r="A129" s="669">
        <v>15</v>
      </c>
      <c r="B129" s="670" t="s">
        <v>3021</v>
      </c>
      <c r="C129" s="773" t="s">
        <v>4247</v>
      </c>
      <c r="D129" s="652"/>
      <c r="E129" s="671" t="s">
        <v>2649</v>
      </c>
      <c r="F129" s="672"/>
      <c r="G129" s="653" t="s">
        <v>1874</v>
      </c>
      <c r="H129" s="653" t="s">
        <v>39</v>
      </c>
      <c r="I129" s="673" t="s">
        <v>43</v>
      </c>
      <c r="J129" s="674" t="s">
        <v>1780</v>
      </c>
      <c r="K129" s="674" t="s">
        <v>835</v>
      </c>
      <c r="L129" s="674"/>
      <c r="M129" s="691" t="s">
        <v>1776</v>
      </c>
      <c r="N129" s="674">
        <v>2010</v>
      </c>
      <c r="O129" s="674" t="s">
        <v>1795</v>
      </c>
      <c r="P129" s="675"/>
      <c r="Q129" s="673"/>
      <c r="R129" s="674"/>
      <c r="S129" s="675" t="s">
        <v>12</v>
      </c>
      <c r="T129" s="654">
        <f>1994193424.08913+F130</f>
        <v>2095092265.3747973</v>
      </c>
      <c r="U129" s="702"/>
      <c r="V129" s="1119"/>
      <c r="W129" s="647" t="str">
        <f t="shared" si="45"/>
        <v>03.11.01</v>
      </c>
      <c r="X129" s="648" t="str">
        <f t="shared" si="43"/>
        <v>Bangunan Gedung Tempat Kerja</v>
      </c>
      <c r="Y129" s="648">
        <f t="shared" si="44"/>
        <v>50</v>
      </c>
      <c r="Z129" s="649"/>
      <c r="AA129" s="718"/>
      <c r="AB129" s="649"/>
      <c r="AC129" s="649"/>
      <c r="AD129" s="649"/>
      <c r="AE129" s="649"/>
      <c r="AF129" s="649"/>
      <c r="AG129" s="650">
        <f>'PERHITUNGAN (C)'!U268</f>
        <v>41104167.937860258</v>
      </c>
      <c r="AH129" s="650">
        <f>'PERHITUNGAN (C)'!U271</f>
        <v>409821379.92252487</v>
      </c>
      <c r="AI129" s="677">
        <f t="shared" si="42"/>
        <v>1685270885.4522724</v>
      </c>
    </row>
    <row r="130" spans="1:35" s="48" customFormat="1" ht="40.5" customHeight="1" x14ac:dyDescent="0.2">
      <c r="A130" s="296">
        <v>15</v>
      </c>
      <c r="B130" s="48" t="s">
        <v>3021</v>
      </c>
      <c r="C130" s="772" t="s">
        <v>4247</v>
      </c>
      <c r="D130" s="73"/>
      <c r="E130" s="65" t="s">
        <v>2682</v>
      </c>
      <c r="F130" s="555">
        <v>100898841.28566745</v>
      </c>
      <c r="G130" s="67" t="s">
        <v>1874</v>
      </c>
      <c r="H130" s="67" t="s">
        <v>39</v>
      </c>
      <c r="I130" s="33" t="s">
        <v>43</v>
      </c>
      <c r="J130" s="40" t="s">
        <v>1753</v>
      </c>
      <c r="K130" s="40" t="s">
        <v>835</v>
      </c>
      <c r="L130" s="40"/>
      <c r="M130" s="72" t="s">
        <v>420</v>
      </c>
      <c r="N130" s="40">
        <v>2011</v>
      </c>
      <c r="O130" s="40" t="s">
        <v>1875</v>
      </c>
      <c r="P130" s="32"/>
      <c r="Q130" s="33"/>
      <c r="R130" s="40"/>
      <c r="S130" s="32" t="s">
        <v>12</v>
      </c>
      <c r="T130" s="252"/>
      <c r="U130" s="105"/>
      <c r="V130" s="1116"/>
      <c r="W130" s="206" t="str">
        <f t="shared" si="45"/>
        <v>03.11.01</v>
      </c>
      <c r="X130" s="207" t="str">
        <f t="shared" si="43"/>
        <v>Bangunan Gedung Tempat Kerja</v>
      </c>
      <c r="Y130" s="207">
        <f t="shared" si="44"/>
        <v>50</v>
      </c>
      <c r="Z130" s="233"/>
      <c r="AA130" s="714"/>
      <c r="AB130" s="233"/>
      <c r="AC130" s="233"/>
      <c r="AD130" s="233"/>
      <c r="AE130" s="233"/>
      <c r="AF130" s="233"/>
      <c r="AG130" s="238"/>
      <c r="AH130" s="238"/>
      <c r="AI130" s="210">
        <f t="shared" si="42"/>
        <v>0</v>
      </c>
    </row>
    <row r="131" spans="1:35" s="946" customFormat="1" ht="40.5" customHeight="1" x14ac:dyDescent="0.2">
      <c r="A131" s="1306"/>
      <c r="B131" s="946" t="s">
        <v>4219</v>
      </c>
      <c r="C131" s="1075" t="s">
        <v>2302</v>
      </c>
      <c r="D131" s="890"/>
      <c r="E131" s="907" t="s">
        <v>2688</v>
      </c>
      <c r="F131" s="917"/>
      <c r="G131" s="878" t="s">
        <v>1892</v>
      </c>
      <c r="H131" s="878" t="s">
        <v>39</v>
      </c>
      <c r="I131" s="861" t="s">
        <v>43</v>
      </c>
      <c r="J131" s="862" t="s">
        <v>1753</v>
      </c>
      <c r="K131" s="862" t="s">
        <v>835</v>
      </c>
      <c r="L131" s="862"/>
      <c r="M131" s="863" t="s">
        <v>420</v>
      </c>
      <c r="N131" s="862">
        <v>2011</v>
      </c>
      <c r="O131" s="862" t="s">
        <v>1893</v>
      </c>
      <c r="P131" s="903"/>
      <c r="Q131" s="861"/>
      <c r="R131" s="862"/>
      <c r="S131" s="903" t="s">
        <v>12</v>
      </c>
      <c r="T131" s="879">
        <v>90830869.097878858</v>
      </c>
      <c r="U131" s="1081"/>
      <c r="V131" s="1118"/>
      <c r="W131" s="1124" t="str">
        <f t="shared" si="45"/>
        <v>03.11.01</v>
      </c>
      <c r="X131" s="884" t="str">
        <f t="shared" si="43"/>
        <v>Bangunan Gedung Tempat Kerja</v>
      </c>
      <c r="Y131" s="884">
        <f t="shared" si="44"/>
        <v>50</v>
      </c>
      <c r="Z131" s="868">
        <f>T131/Y131</f>
        <v>1816617.3819575771</v>
      </c>
      <c r="AA131" s="1051">
        <f>IF(2013-N131&gt;Y131,Y131,IF(2013-N131&lt;0,0,2013-N131))</f>
        <v>2</v>
      </c>
      <c r="AB131" s="868">
        <f>IF(AA131&gt;Y131,T131,Z131*AA131)</f>
        <v>3633234.7639151542</v>
      </c>
      <c r="AC131" s="868">
        <f>IF(T131=AB131,0,Z131)</f>
        <v>1816617.3819575771</v>
      </c>
      <c r="AD131" s="868">
        <f>IF(T131=AB131+AC131,0,Z131)</f>
        <v>1816617.3819575771</v>
      </c>
      <c r="AE131" s="868">
        <f>IF(T131=AB131+AC131+AD131,0,Z131)</f>
        <v>1816617.3819575771</v>
      </c>
      <c r="AF131" s="886">
        <f>IF(T131=AB131+AC131+AD131+AE131,0,Z131)</f>
        <v>1816617.3819575771</v>
      </c>
      <c r="AG131" s="886">
        <f>IF(T131=AB131+AC131+AD131+AE131+AF131,0,Z131)</f>
        <v>1816617.3819575771</v>
      </c>
      <c r="AH131" s="886">
        <f>SUM(AB131:AG131)</f>
        <v>12716321.673703041</v>
      </c>
      <c r="AI131" s="1077">
        <f t="shared" si="42"/>
        <v>78114547.424175814</v>
      </c>
    </row>
    <row r="132" spans="1:35" s="670" customFormat="1" ht="40.5" customHeight="1" x14ac:dyDescent="0.2">
      <c r="A132" s="669">
        <v>16</v>
      </c>
      <c r="B132" s="670" t="s">
        <v>2993</v>
      </c>
      <c r="C132" s="773" t="s">
        <v>4247</v>
      </c>
      <c r="D132" s="652"/>
      <c r="E132" s="671" t="s">
        <v>2650</v>
      </c>
      <c r="F132" s="672"/>
      <c r="G132" s="653" t="s">
        <v>1779</v>
      </c>
      <c r="H132" s="653"/>
      <c r="I132" s="673" t="s">
        <v>43</v>
      </c>
      <c r="J132" s="674"/>
      <c r="K132" s="674" t="s">
        <v>835</v>
      </c>
      <c r="L132" s="674"/>
      <c r="M132" s="691" t="s">
        <v>1776</v>
      </c>
      <c r="N132" s="674">
        <v>2010</v>
      </c>
      <c r="O132" s="674" t="s">
        <v>1797</v>
      </c>
      <c r="P132" s="675"/>
      <c r="Q132" s="673"/>
      <c r="R132" s="674"/>
      <c r="S132" s="675" t="s">
        <v>12</v>
      </c>
      <c r="T132" s="654">
        <f>805953135.499603+F133</f>
        <v>845744482.7995193</v>
      </c>
      <c r="U132" s="702"/>
      <c r="V132" s="1119"/>
      <c r="W132" s="647" t="str">
        <f t="shared" si="45"/>
        <v>03.11.02</v>
      </c>
      <c r="X132" s="648" t="str">
        <f t="shared" si="43"/>
        <v>Bangunan Gedung Tempat Tinggal</v>
      </c>
      <c r="Y132" s="648">
        <f t="shared" si="44"/>
        <v>50</v>
      </c>
      <c r="Z132" s="649"/>
      <c r="AA132" s="718"/>
      <c r="AB132" s="649"/>
      <c r="AC132" s="649"/>
      <c r="AD132" s="649"/>
      <c r="AE132" s="649"/>
      <c r="AF132" s="649"/>
      <c r="AG132" s="650">
        <f>'PERHITUNGAN (C)'!U285</f>
        <v>16592508.401790544</v>
      </c>
      <c r="AH132" s="650">
        <f>'PERHITUNGAN (C)'!U288</f>
        <v>165451638.32610697</v>
      </c>
      <c r="AI132" s="677">
        <f t="shared" si="42"/>
        <v>680292844.47341228</v>
      </c>
    </row>
    <row r="133" spans="1:35" s="48" customFormat="1" ht="40.5" customHeight="1" x14ac:dyDescent="0.2">
      <c r="A133" s="296">
        <v>16</v>
      </c>
      <c r="B133" s="48" t="s">
        <v>2993</v>
      </c>
      <c r="C133" s="772" t="s">
        <v>4247</v>
      </c>
      <c r="D133" s="73"/>
      <c r="E133" s="65" t="s">
        <v>2683</v>
      </c>
      <c r="F133" s="555">
        <v>39791347.29991632</v>
      </c>
      <c r="G133" s="67" t="s">
        <v>1779</v>
      </c>
      <c r="H133" s="67" t="s">
        <v>39</v>
      </c>
      <c r="I133" s="33" t="s">
        <v>43</v>
      </c>
      <c r="J133" s="40" t="s">
        <v>1753</v>
      </c>
      <c r="K133" s="40" t="s">
        <v>835</v>
      </c>
      <c r="L133" s="40"/>
      <c r="M133" s="72" t="s">
        <v>1776</v>
      </c>
      <c r="N133" s="40">
        <v>2011</v>
      </c>
      <c r="O133" s="40" t="s">
        <v>1877</v>
      </c>
      <c r="P133" s="32"/>
      <c r="Q133" s="33"/>
      <c r="R133" s="40"/>
      <c r="S133" s="32" t="s">
        <v>12</v>
      </c>
      <c r="T133" s="252"/>
      <c r="U133" s="105"/>
      <c r="V133" s="1116"/>
      <c r="W133" s="206" t="str">
        <f t="shared" si="45"/>
        <v>03.11.02</v>
      </c>
      <c r="X133" s="207" t="str">
        <f t="shared" si="43"/>
        <v>Bangunan Gedung Tempat Tinggal</v>
      </c>
      <c r="Y133" s="207">
        <f t="shared" si="44"/>
        <v>50</v>
      </c>
      <c r="Z133" s="233"/>
      <c r="AA133" s="714"/>
      <c r="AB133" s="233"/>
      <c r="AC133" s="233"/>
      <c r="AD133" s="233"/>
      <c r="AE133" s="233"/>
      <c r="AF133" s="233"/>
      <c r="AG133" s="238"/>
      <c r="AH133" s="238"/>
      <c r="AI133" s="210">
        <f t="shared" si="42"/>
        <v>0</v>
      </c>
    </row>
    <row r="134" spans="1:35" s="946" customFormat="1" ht="62.25" customHeight="1" x14ac:dyDescent="0.2">
      <c r="A134" s="1306"/>
      <c r="B134" s="946" t="s">
        <v>3001</v>
      </c>
      <c r="C134" s="1075" t="s">
        <v>2302</v>
      </c>
      <c r="D134" s="890"/>
      <c r="E134" s="907" t="s">
        <v>2651</v>
      </c>
      <c r="F134" s="917"/>
      <c r="G134" s="878" t="s">
        <v>1752</v>
      </c>
      <c r="H134" s="878" t="s">
        <v>39</v>
      </c>
      <c r="I134" s="861" t="s">
        <v>43</v>
      </c>
      <c r="J134" s="862" t="s">
        <v>1780</v>
      </c>
      <c r="K134" s="862" t="s">
        <v>835</v>
      </c>
      <c r="L134" s="862">
        <v>550</v>
      </c>
      <c r="M134" s="863" t="s">
        <v>1799</v>
      </c>
      <c r="N134" s="862">
        <v>2010</v>
      </c>
      <c r="O134" s="862"/>
      <c r="P134" s="903"/>
      <c r="Q134" s="861"/>
      <c r="R134" s="862"/>
      <c r="S134" s="903" t="s">
        <v>12</v>
      </c>
      <c r="T134" s="879">
        <v>3903247426.7526035</v>
      </c>
      <c r="U134" s="1081"/>
      <c r="V134" s="1118"/>
      <c r="W134" s="1124" t="str">
        <f t="shared" si="45"/>
        <v>03.11.01</v>
      </c>
      <c r="X134" s="884" t="str">
        <f t="shared" si="43"/>
        <v>Bangunan Gedung Tempat Kerja</v>
      </c>
      <c r="Y134" s="884">
        <f t="shared" si="44"/>
        <v>50</v>
      </c>
      <c r="Z134" s="868">
        <f t="shared" ref="Z134:Z147" si="55">T134/Y134</f>
        <v>78064948.535052076</v>
      </c>
      <c r="AA134" s="1051">
        <f t="shared" ref="AA134:AA147" si="56">IF(2013-N134&gt;Y134,Y134,IF(2013-N134&lt;0,0,2013-N134))</f>
        <v>3</v>
      </c>
      <c r="AB134" s="868">
        <f t="shared" ref="AB134:AB147" si="57">IF(AA134&gt;Y134,T134,Z134*AA134)</f>
        <v>234194845.60515624</v>
      </c>
      <c r="AC134" s="868">
        <f t="shared" ref="AC134:AC147" si="58">IF(T134=AB134,0,Z134)</f>
        <v>78064948.535052076</v>
      </c>
      <c r="AD134" s="868">
        <f t="shared" ref="AD134:AD147" si="59">IF(T134=AB134+AC134,0,Z134)</f>
        <v>78064948.535052076</v>
      </c>
      <c r="AE134" s="868">
        <f t="shared" ref="AE134:AE147" si="60">IF(T134=AB134+AC134+AD134,0,Z134)</f>
        <v>78064948.535052076</v>
      </c>
      <c r="AF134" s="886">
        <f t="shared" ref="AF134:AF147" si="61">IF(T134=AB134+AC134+AD134+AE134,0,Z134)</f>
        <v>78064948.535052076</v>
      </c>
      <c r="AG134" s="886">
        <f t="shared" ref="AG134:AG147" si="62">IF(T134=AB134+AC134+AD134+AE134+AF134,0,Z134)</f>
        <v>78064948.535052076</v>
      </c>
      <c r="AH134" s="886">
        <f t="shared" ref="AH134:AH147" si="63">SUM(AB134:AG134)</f>
        <v>624519588.28041661</v>
      </c>
      <c r="AI134" s="1077">
        <f t="shared" si="42"/>
        <v>3278727838.472187</v>
      </c>
    </row>
    <row r="135" spans="1:35" s="946" customFormat="1" ht="40.5" customHeight="1" x14ac:dyDescent="0.2">
      <c r="A135" s="1306"/>
      <c r="C135" s="1075" t="s">
        <v>2302</v>
      </c>
      <c r="D135" s="890"/>
      <c r="E135" s="907" t="s">
        <v>2652</v>
      </c>
      <c r="F135" s="917"/>
      <c r="G135" s="878" t="s">
        <v>2845</v>
      </c>
      <c r="H135" s="878"/>
      <c r="I135" s="861" t="s">
        <v>43</v>
      </c>
      <c r="J135" s="862"/>
      <c r="K135" s="862" t="s">
        <v>835</v>
      </c>
      <c r="L135" s="862"/>
      <c r="M135" s="863" t="s">
        <v>1801</v>
      </c>
      <c r="N135" s="862">
        <v>2010</v>
      </c>
      <c r="O135" s="862"/>
      <c r="P135" s="903"/>
      <c r="Q135" s="861"/>
      <c r="R135" s="862"/>
      <c r="S135" s="903" t="s">
        <v>12</v>
      </c>
      <c r="T135" s="879">
        <v>41073930.524229623</v>
      </c>
      <c r="U135" s="1081"/>
      <c r="V135" s="1118"/>
      <c r="W135" s="1124" t="str">
        <f t="shared" si="45"/>
        <v>03.11.01</v>
      </c>
      <c r="X135" s="884" t="str">
        <f t="shared" si="43"/>
        <v>Bangunan Gedung Tempat Kerja</v>
      </c>
      <c r="Y135" s="884">
        <f t="shared" si="44"/>
        <v>50</v>
      </c>
      <c r="Z135" s="868">
        <f t="shared" si="55"/>
        <v>821478.6104845925</v>
      </c>
      <c r="AA135" s="1051">
        <f t="shared" si="56"/>
        <v>3</v>
      </c>
      <c r="AB135" s="868">
        <f t="shared" si="57"/>
        <v>2464435.8314537774</v>
      </c>
      <c r="AC135" s="868">
        <f t="shared" si="58"/>
        <v>821478.6104845925</v>
      </c>
      <c r="AD135" s="868">
        <f t="shared" si="59"/>
        <v>821478.6104845925</v>
      </c>
      <c r="AE135" s="868">
        <f t="shared" si="60"/>
        <v>821478.6104845925</v>
      </c>
      <c r="AF135" s="886">
        <f t="shared" si="61"/>
        <v>821478.6104845925</v>
      </c>
      <c r="AG135" s="886">
        <f t="shared" si="62"/>
        <v>821478.6104845925</v>
      </c>
      <c r="AH135" s="886">
        <f t="shared" si="63"/>
        <v>6571828.88387674</v>
      </c>
      <c r="AI135" s="1077">
        <f t="shared" si="42"/>
        <v>34502101.640352882</v>
      </c>
    </row>
    <row r="136" spans="1:35" s="946" customFormat="1" ht="40.5" customHeight="1" x14ac:dyDescent="0.2">
      <c r="A136" s="1306"/>
      <c r="C136" s="1075" t="s">
        <v>2302</v>
      </c>
      <c r="D136" s="890"/>
      <c r="E136" s="907" t="s">
        <v>2653</v>
      </c>
      <c r="F136" s="917"/>
      <c r="G136" s="878" t="s">
        <v>2845</v>
      </c>
      <c r="H136" s="878"/>
      <c r="I136" s="861" t="s">
        <v>43</v>
      </c>
      <c r="J136" s="862"/>
      <c r="K136" s="862" t="s">
        <v>835</v>
      </c>
      <c r="L136" s="862"/>
      <c r="M136" s="863" t="s">
        <v>1803</v>
      </c>
      <c r="N136" s="862">
        <v>2010</v>
      </c>
      <c r="O136" s="862"/>
      <c r="P136" s="903"/>
      <c r="Q136" s="861"/>
      <c r="R136" s="862"/>
      <c r="S136" s="903" t="s">
        <v>12</v>
      </c>
      <c r="T136" s="879">
        <v>41073930.524229623</v>
      </c>
      <c r="U136" s="1081"/>
      <c r="V136" s="1118"/>
      <c r="W136" s="1124" t="str">
        <f t="shared" si="45"/>
        <v>03.11.01</v>
      </c>
      <c r="X136" s="884" t="str">
        <f t="shared" si="43"/>
        <v>Bangunan Gedung Tempat Kerja</v>
      </c>
      <c r="Y136" s="884">
        <f t="shared" si="44"/>
        <v>50</v>
      </c>
      <c r="Z136" s="868">
        <f t="shared" si="55"/>
        <v>821478.6104845925</v>
      </c>
      <c r="AA136" s="1051">
        <f t="shared" si="56"/>
        <v>3</v>
      </c>
      <c r="AB136" s="868">
        <f t="shared" si="57"/>
        <v>2464435.8314537774</v>
      </c>
      <c r="AC136" s="868">
        <f t="shared" si="58"/>
        <v>821478.6104845925</v>
      </c>
      <c r="AD136" s="868">
        <f t="shared" si="59"/>
        <v>821478.6104845925</v>
      </c>
      <c r="AE136" s="868">
        <f t="shared" si="60"/>
        <v>821478.6104845925</v>
      </c>
      <c r="AF136" s="886">
        <f t="shared" si="61"/>
        <v>821478.6104845925</v>
      </c>
      <c r="AG136" s="886">
        <f t="shared" si="62"/>
        <v>821478.6104845925</v>
      </c>
      <c r="AH136" s="886">
        <f t="shared" si="63"/>
        <v>6571828.88387674</v>
      </c>
      <c r="AI136" s="1077">
        <f t="shared" si="42"/>
        <v>34502101.640352882</v>
      </c>
    </row>
    <row r="137" spans="1:35" s="946" customFormat="1" ht="40.5" customHeight="1" x14ac:dyDescent="0.2">
      <c r="A137" s="1306"/>
      <c r="C137" s="1075" t="s">
        <v>2302</v>
      </c>
      <c r="D137" s="890"/>
      <c r="E137" s="907" t="s">
        <v>2654</v>
      </c>
      <c r="F137" s="917"/>
      <c r="G137" s="878" t="s">
        <v>2845</v>
      </c>
      <c r="H137" s="878"/>
      <c r="I137" s="861" t="s">
        <v>43</v>
      </c>
      <c r="J137" s="862"/>
      <c r="K137" s="862" t="s">
        <v>835</v>
      </c>
      <c r="L137" s="862"/>
      <c r="M137" s="863" t="s">
        <v>1805</v>
      </c>
      <c r="N137" s="862">
        <v>2010</v>
      </c>
      <c r="O137" s="862"/>
      <c r="P137" s="903"/>
      <c r="Q137" s="861"/>
      <c r="R137" s="862"/>
      <c r="S137" s="903" t="s">
        <v>12</v>
      </c>
      <c r="T137" s="879">
        <v>41073930.524229623</v>
      </c>
      <c r="U137" s="1081"/>
      <c r="V137" s="1118"/>
      <c r="W137" s="1124" t="str">
        <f t="shared" si="45"/>
        <v>03.11.01</v>
      </c>
      <c r="X137" s="884" t="str">
        <f t="shared" si="43"/>
        <v>Bangunan Gedung Tempat Kerja</v>
      </c>
      <c r="Y137" s="884">
        <f t="shared" si="44"/>
        <v>50</v>
      </c>
      <c r="Z137" s="868">
        <f t="shared" si="55"/>
        <v>821478.6104845925</v>
      </c>
      <c r="AA137" s="1051">
        <f t="shared" si="56"/>
        <v>3</v>
      </c>
      <c r="AB137" s="868">
        <f t="shared" si="57"/>
        <v>2464435.8314537774</v>
      </c>
      <c r="AC137" s="868">
        <f t="shared" si="58"/>
        <v>821478.6104845925</v>
      </c>
      <c r="AD137" s="868">
        <f t="shared" si="59"/>
        <v>821478.6104845925</v>
      </c>
      <c r="AE137" s="868">
        <f t="shared" si="60"/>
        <v>821478.6104845925</v>
      </c>
      <c r="AF137" s="886">
        <f t="shared" si="61"/>
        <v>821478.6104845925</v>
      </c>
      <c r="AG137" s="886">
        <f t="shared" si="62"/>
        <v>821478.6104845925</v>
      </c>
      <c r="AH137" s="886">
        <f t="shared" si="63"/>
        <v>6571828.88387674</v>
      </c>
      <c r="AI137" s="1077">
        <f t="shared" si="42"/>
        <v>34502101.640352882</v>
      </c>
    </row>
    <row r="138" spans="1:35" s="946" customFormat="1" ht="40.5" customHeight="1" x14ac:dyDescent="0.2">
      <c r="A138" s="1306"/>
      <c r="C138" s="1075" t="s">
        <v>2302</v>
      </c>
      <c r="D138" s="890"/>
      <c r="E138" s="907" t="s">
        <v>2655</v>
      </c>
      <c r="F138" s="917"/>
      <c r="G138" s="878" t="s">
        <v>2845</v>
      </c>
      <c r="H138" s="878"/>
      <c r="I138" s="861" t="s">
        <v>43</v>
      </c>
      <c r="J138" s="862"/>
      <c r="K138" s="862" t="s">
        <v>835</v>
      </c>
      <c r="L138" s="862"/>
      <c r="M138" s="863" t="s">
        <v>1807</v>
      </c>
      <c r="N138" s="862">
        <v>2010</v>
      </c>
      <c r="O138" s="862"/>
      <c r="P138" s="903"/>
      <c r="Q138" s="861"/>
      <c r="R138" s="862"/>
      <c r="S138" s="903" t="s">
        <v>12</v>
      </c>
      <c r="T138" s="879">
        <v>20536965.262114812</v>
      </c>
      <c r="U138" s="1081"/>
      <c r="V138" s="1118"/>
      <c r="W138" s="1124" t="str">
        <f t="shared" si="45"/>
        <v>03.11.01</v>
      </c>
      <c r="X138" s="884" t="str">
        <f t="shared" si="43"/>
        <v>Bangunan Gedung Tempat Kerja</v>
      </c>
      <c r="Y138" s="884">
        <f t="shared" si="44"/>
        <v>50</v>
      </c>
      <c r="Z138" s="868">
        <f t="shared" si="55"/>
        <v>410739.30524229625</v>
      </c>
      <c r="AA138" s="1051">
        <f t="shared" si="56"/>
        <v>3</v>
      </c>
      <c r="AB138" s="868">
        <f t="shared" si="57"/>
        <v>1232217.9157268887</v>
      </c>
      <c r="AC138" s="868">
        <f t="shared" si="58"/>
        <v>410739.30524229625</v>
      </c>
      <c r="AD138" s="868">
        <f t="shared" si="59"/>
        <v>410739.30524229625</v>
      </c>
      <c r="AE138" s="868">
        <f t="shared" si="60"/>
        <v>410739.30524229625</v>
      </c>
      <c r="AF138" s="886">
        <f t="shared" si="61"/>
        <v>410739.30524229625</v>
      </c>
      <c r="AG138" s="886">
        <f t="shared" si="62"/>
        <v>410739.30524229625</v>
      </c>
      <c r="AH138" s="886">
        <f t="shared" si="63"/>
        <v>3285914.44193837</v>
      </c>
      <c r="AI138" s="1077">
        <f t="shared" ref="AI138:AI201" si="64">T138-AH138</f>
        <v>17251050.820176441</v>
      </c>
    </row>
    <row r="139" spans="1:35" s="946" customFormat="1" ht="40.5" customHeight="1" x14ac:dyDescent="0.2">
      <c r="A139" s="1306"/>
      <c r="C139" s="1075" t="s">
        <v>2302</v>
      </c>
      <c r="D139" s="890"/>
      <c r="E139" s="907" t="s">
        <v>2656</v>
      </c>
      <c r="F139" s="917"/>
      <c r="G139" s="878" t="s">
        <v>2845</v>
      </c>
      <c r="H139" s="878"/>
      <c r="I139" s="861" t="s">
        <v>43</v>
      </c>
      <c r="J139" s="862"/>
      <c r="K139" s="862" t="s">
        <v>835</v>
      </c>
      <c r="L139" s="862"/>
      <c r="M139" s="863" t="s">
        <v>1809</v>
      </c>
      <c r="N139" s="862">
        <v>2010</v>
      </c>
      <c r="O139" s="862"/>
      <c r="P139" s="903"/>
      <c r="Q139" s="861"/>
      <c r="R139" s="862"/>
      <c r="S139" s="903" t="s">
        <v>12</v>
      </c>
      <c r="T139" s="879">
        <v>41073930.524229623</v>
      </c>
      <c r="U139" s="1081"/>
      <c r="V139" s="1118"/>
      <c r="W139" s="1124" t="str">
        <f t="shared" si="45"/>
        <v>03.11.01</v>
      </c>
      <c r="X139" s="884" t="str">
        <f t="shared" si="43"/>
        <v>Bangunan Gedung Tempat Kerja</v>
      </c>
      <c r="Y139" s="884">
        <f t="shared" si="44"/>
        <v>50</v>
      </c>
      <c r="Z139" s="868">
        <f t="shared" si="55"/>
        <v>821478.6104845925</v>
      </c>
      <c r="AA139" s="1051">
        <f t="shared" si="56"/>
        <v>3</v>
      </c>
      <c r="AB139" s="868">
        <f t="shared" si="57"/>
        <v>2464435.8314537774</v>
      </c>
      <c r="AC139" s="868">
        <f t="shared" si="58"/>
        <v>821478.6104845925</v>
      </c>
      <c r="AD139" s="868">
        <f t="shared" si="59"/>
        <v>821478.6104845925</v>
      </c>
      <c r="AE139" s="868">
        <f t="shared" si="60"/>
        <v>821478.6104845925</v>
      </c>
      <c r="AF139" s="886">
        <f t="shared" si="61"/>
        <v>821478.6104845925</v>
      </c>
      <c r="AG139" s="886">
        <f t="shared" si="62"/>
        <v>821478.6104845925</v>
      </c>
      <c r="AH139" s="886">
        <f t="shared" si="63"/>
        <v>6571828.88387674</v>
      </c>
      <c r="AI139" s="1077">
        <f t="shared" si="64"/>
        <v>34502101.640352882</v>
      </c>
    </row>
    <row r="140" spans="1:35" s="946" customFormat="1" ht="40.5" customHeight="1" x14ac:dyDescent="0.2">
      <c r="A140" s="1306"/>
      <c r="C140" s="1075" t="s">
        <v>2302</v>
      </c>
      <c r="D140" s="890"/>
      <c r="E140" s="907" t="s">
        <v>2657</v>
      </c>
      <c r="F140" s="917"/>
      <c r="G140" s="878" t="s">
        <v>2845</v>
      </c>
      <c r="H140" s="878"/>
      <c r="I140" s="861" t="s">
        <v>43</v>
      </c>
      <c r="J140" s="862"/>
      <c r="K140" s="862" t="s">
        <v>835</v>
      </c>
      <c r="L140" s="862"/>
      <c r="M140" s="863" t="s">
        <v>1811</v>
      </c>
      <c r="N140" s="862">
        <v>2010</v>
      </c>
      <c r="O140" s="862"/>
      <c r="P140" s="903"/>
      <c r="Q140" s="861"/>
      <c r="R140" s="862"/>
      <c r="S140" s="903" t="s">
        <v>12</v>
      </c>
      <c r="T140" s="879">
        <v>41073930.524229623</v>
      </c>
      <c r="U140" s="1081"/>
      <c r="V140" s="1118"/>
      <c r="W140" s="1124" t="str">
        <f t="shared" si="45"/>
        <v>03.11.01</v>
      </c>
      <c r="X140" s="884" t="str">
        <f t="shared" si="43"/>
        <v>Bangunan Gedung Tempat Kerja</v>
      </c>
      <c r="Y140" s="884">
        <f t="shared" si="44"/>
        <v>50</v>
      </c>
      <c r="Z140" s="868">
        <f t="shared" si="55"/>
        <v>821478.6104845925</v>
      </c>
      <c r="AA140" s="1051">
        <f t="shared" si="56"/>
        <v>3</v>
      </c>
      <c r="AB140" s="868">
        <f t="shared" si="57"/>
        <v>2464435.8314537774</v>
      </c>
      <c r="AC140" s="868">
        <f t="shared" si="58"/>
        <v>821478.6104845925</v>
      </c>
      <c r="AD140" s="868">
        <f t="shared" si="59"/>
        <v>821478.6104845925</v>
      </c>
      <c r="AE140" s="868">
        <f t="shared" si="60"/>
        <v>821478.6104845925</v>
      </c>
      <c r="AF140" s="886">
        <f t="shared" si="61"/>
        <v>821478.6104845925</v>
      </c>
      <c r="AG140" s="886">
        <f t="shared" si="62"/>
        <v>821478.6104845925</v>
      </c>
      <c r="AH140" s="886">
        <f t="shared" si="63"/>
        <v>6571828.88387674</v>
      </c>
      <c r="AI140" s="1077">
        <f t="shared" si="64"/>
        <v>34502101.640352882</v>
      </c>
    </row>
    <row r="141" spans="1:35" s="946" customFormat="1" ht="40.5" customHeight="1" x14ac:dyDescent="0.2">
      <c r="A141" s="1306"/>
      <c r="C141" s="1075" t="s">
        <v>2302</v>
      </c>
      <c r="D141" s="890"/>
      <c r="E141" s="907" t="s">
        <v>2658</v>
      </c>
      <c r="F141" s="917"/>
      <c r="G141" s="878" t="s">
        <v>2845</v>
      </c>
      <c r="H141" s="878"/>
      <c r="I141" s="861" t="s">
        <v>43</v>
      </c>
      <c r="J141" s="862"/>
      <c r="K141" s="862" t="s">
        <v>835</v>
      </c>
      <c r="L141" s="862"/>
      <c r="M141" s="863" t="s">
        <v>1813</v>
      </c>
      <c r="N141" s="862">
        <v>2010</v>
      </c>
      <c r="O141" s="862"/>
      <c r="P141" s="903"/>
      <c r="Q141" s="861"/>
      <c r="R141" s="862"/>
      <c r="S141" s="903" t="s">
        <v>12</v>
      </c>
      <c r="T141" s="879">
        <v>20536965.262114812</v>
      </c>
      <c r="U141" s="1081"/>
      <c r="V141" s="1118"/>
      <c r="W141" s="1124" t="str">
        <f t="shared" si="45"/>
        <v>03.11.01</v>
      </c>
      <c r="X141" s="884" t="str">
        <f t="shared" si="43"/>
        <v>Bangunan Gedung Tempat Kerja</v>
      </c>
      <c r="Y141" s="884">
        <f t="shared" si="44"/>
        <v>50</v>
      </c>
      <c r="Z141" s="868">
        <f t="shared" si="55"/>
        <v>410739.30524229625</v>
      </c>
      <c r="AA141" s="1051">
        <f t="shared" si="56"/>
        <v>3</v>
      </c>
      <c r="AB141" s="868">
        <f t="shared" si="57"/>
        <v>1232217.9157268887</v>
      </c>
      <c r="AC141" s="868">
        <f t="shared" si="58"/>
        <v>410739.30524229625</v>
      </c>
      <c r="AD141" s="868">
        <f t="shared" si="59"/>
        <v>410739.30524229625</v>
      </c>
      <c r="AE141" s="868">
        <f t="shared" si="60"/>
        <v>410739.30524229625</v>
      </c>
      <c r="AF141" s="886">
        <f t="shared" si="61"/>
        <v>410739.30524229625</v>
      </c>
      <c r="AG141" s="886">
        <f t="shared" si="62"/>
        <v>410739.30524229625</v>
      </c>
      <c r="AH141" s="886">
        <f t="shared" si="63"/>
        <v>3285914.44193837</v>
      </c>
      <c r="AI141" s="1077">
        <f t="shared" si="64"/>
        <v>17251050.820176441</v>
      </c>
    </row>
    <row r="142" spans="1:35" s="946" customFormat="1" ht="40.5" customHeight="1" x14ac:dyDescent="0.2">
      <c r="A142" s="1306"/>
      <c r="C142" s="1075" t="s">
        <v>2302</v>
      </c>
      <c r="D142" s="890"/>
      <c r="E142" s="907" t="s">
        <v>2659</v>
      </c>
      <c r="F142" s="917"/>
      <c r="G142" s="878" t="s">
        <v>2845</v>
      </c>
      <c r="H142" s="878"/>
      <c r="I142" s="861" t="s">
        <v>43</v>
      </c>
      <c r="J142" s="862"/>
      <c r="K142" s="862" t="s">
        <v>835</v>
      </c>
      <c r="L142" s="862"/>
      <c r="M142" s="863" t="s">
        <v>1815</v>
      </c>
      <c r="N142" s="862">
        <v>2010</v>
      </c>
      <c r="O142" s="862"/>
      <c r="P142" s="903"/>
      <c r="Q142" s="861"/>
      <c r="R142" s="862"/>
      <c r="S142" s="903" t="s">
        <v>12</v>
      </c>
      <c r="T142" s="879">
        <v>41073930.524229623</v>
      </c>
      <c r="U142" s="1081"/>
      <c r="V142" s="1118"/>
      <c r="W142" s="1124" t="str">
        <f t="shared" si="45"/>
        <v>03.11.01</v>
      </c>
      <c r="X142" s="884" t="str">
        <f t="shared" si="43"/>
        <v>Bangunan Gedung Tempat Kerja</v>
      </c>
      <c r="Y142" s="884">
        <f t="shared" si="44"/>
        <v>50</v>
      </c>
      <c r="Z142" s="868">
        <f t="shared" si="55"/>
        <v>821478.6104845925</v>
      </c>
      <c r="AA142" s="1051">
        <f t="shared" si="56"/>
        <v>3</v>
      </c>
      <c r="AB142" s="868">
        <f t="shared" si="57"/>
        <v>2464435.8314537774</v>
      </c>
      <c r="AC142" s="868">
        <f t="shared" si="58"/>
        <v>821478.6104845925</v>
      </c>
      <c r="AD142" s="868">
        <f t="shared" si="59"/>
        <v>821478.6104845925</v>
      </c>
      <c r="AE142" s="868">
        <f t="shared" si="60"/>
        <v>821478.6104845925</v>
      </c>
      <c r="AF142" s="886">
        <f t="shared" si="61"/>
        <v>821478.6104845925</v>
      </c>
      <c r="AG142" s="886">
        <f t="shared" si="62"/>
        <v>821478.6104845925</v>
      </c>
      <c r="AH142" s="886">
        <f t="shared" si="63"/>
        <v>6571828.88387674</v>
      </c>
      <c r="AI142" s="1077">
        <f t="shared" si="64"/>
        <v>34502101.640352882</v>
      </c>
    </row>
    <row r="143" spans="1:35" s="946" customFormat="1" ht="40.5" customHeight="1" x14ac:dyDescent="0.2">
      <c r="A143" s="1306"/>
      <c r="C143" s="1075" t="s">
        <v>2302</v>
      </c>
      <c r="D143" s="890"/>
      <c r="E143" s="907" t="s">
        <v>2660</v>
      </c>
      <c r="F143" s="917"/>
      <c r="G143" s="878" t="s">
        <v>2845</v>
      </c>
      <c r="H143" s="878"/>
      <c r="I143" s="861" t="s">
        <v>43</v>
      </c>
      <c r="J143" s="862"/>
      <c r="K143" s="862" t="s">
        <v>835</v>
      </c>
      <c r="L143" s="862"/>
      <c r="M143" s="863" t="s">
        <v>1817</v>
      </c>
      <c r="N143" s="862">
        <v>2010</v>
      </c>
      <c r="O143" s="862"/>
      <c r="P143" s="903"/>
      <c r="Q143" s="861"/>
      <c r="R143" s="862"/>
      <c r="S143" s="903" t="s">
        <v>12</v>
      </c>
      <c r="T143" s="879">
        <v>20536965.262114812</v>
      </c>
      <c r="U143" s="1081"/>
      <c r="V143" s="1118"/>
      <c r="W143" s="1124" t="str">
        <f t="shared" si="45"/>
        <v>03.11.01</v>
      </c>
      <c r="X143" s="884" t="str">
        <f t="shared" si="43"/>
        <v>Bangunan Gedung Tempat Kerja</v>
      </c>
      <c r="Y143" s="884">
        <f t="shared" si="44"/>
        <v>50</v>
      </c>
      <c r="Z143" s="868">
        <f t="shared" si="55"/>
        <v>410739.30524229625</v>
      </c>
      <c r="AA143" s="1051">
        <f t="shared" si="56"/>
        <v>3</v>
      </c>
      <c r="AB143" s="868">
        <f t="shared" si="57"/>
        <v>1232217.9157268887</v>
      </c>
      <c r="AC143" s="868">
        <f t="shared" si="58"/>
        <v>410739.30524229625</v>
      </c>
      <c r="AD143" s="868">
        <f t="shared" si="59"/>
        <v>410739.30524229625</v>
      </c>
      <c r="AE143" s="868">
        <f t="shared" si="60"/>
        <v>410739.30524229625</v>
      </c>
      <c r="AF143" s="886">
        <f t="shared" si="61"/>
        <v>410739.30524229625</v>
      </c>
      <c r="AG143" s="886">
        <f t="shared" si="62"/>
        <v>410739.30524229625</v>
      </c>
      <c r="AH143" s="886">
        <f t="shared" si="63"/>
        <v>3285914.44193837</v>
      </c>
      <c r="AI143" s="1077">
        <f t="shared" si="64"/>
        <v>17251050.820176441</v>
      </c>
    </row>
    <row r="144" spans="1:35" s="946" customFormat="1" ht="40.5" customHeight="1" x14ac:dyDescent="0.2">
      <c r="A144" s="1306"/>
      <c r="C144" s="1075" t="s">
        <v>2302</v>
      </c>
      <c r="D144" s="890"/>
      <c r="E144" s="907" t="s">
        <v>2661</v>
      </c>
      <c r="F144" s="917"/>
      <c r="G144" s="878" t="s">
        <v>2845</v>
      </c>
      <c r="H144" s="878"/>
      <c r="I144" s="861" t="s">
        <v>43</v>
      </c>
      <c r="J144" s="862"/>
      <c r="K144" s="862" t="s">
        <v>835</v>
      </c>
      <c r="L144" s="862"/>
      <c r="M144" s="863" t="s">
        <v>1819</v>
      </c>
      <c r="N144" s="862">
        <v>2010</v>
      </c>
      <c r="O144" s="862"/>
      <c r="P144" s="903"/>
      <c r="Q144" s="861"/>
      <c r="R144" s="862"/>
      <c r="S144" s="903" t="s">
        <v>12</v>
      </c>
      <c r="T144" s="879">
        <v>20536965.262114812</v>
      </c>
      <c r="U144" s="1081"/>
      <c r="V144" s="1118"/>
      <c r="W144" s="1124" t="str">
        <f t="shared" si="45"/>
        <v>03.11.01</v>
      </c>
      <c r="X144" s="884" t="str">
        <f t="shared" ref="X144:X207" si="65">VLOOKUP(W144,UE,3)</f>
        <v>Bangunan Gedung Tempat Kerja</v>
      </c>
      <c r="Y144" s="884">
        <f t="shared" ref="Y144:Y207" si="66">VLOOKUP(W144,UE,4)</f>
        <v>50</v>
      </c>
      <c r="Z144" s="868">
        <f t="shared" si="55"/>
        <v>410739.30524229625</v>
      </c>
      <c r="AA144" s="1051">
        <f t="shared" si="56"/>
        <v>3</v>
      </c>
      <c r="AB144" s="868">
        <f t="shared" si="57"/>
        <v>1232217.9157268887</v>
      </c>
      <c r="AC144" s="868">
        <f t="shared" si="58"/>
        <v>410739.30524229625</v>
      </c>
      <c r="AD144" s="868">
        <f t="shared" si="59"/>
        <v>410739.30524229625</v>
      </c>
      <c r="AE144" s="868">
        <f t="shared" si="60"/>
        <v>410739.30524229625</v>
      </c>
      <c r="AF144" s="886">
        <f t="shared" si="61"/>
        <v>410739.30524229625</v>
      </c>
      <c r="AG144" s="886">
        <f t="shared" si="62"/>
        <v>410739.30524229625</v>
      </c>
      <c r="AH144" s="886">
        <f t="shared" si="63"/>
        <v>3285914.44193837</v>
      </c>
      <c r="AI144" s="1077">
        <f t="shared" si="64"/>
        <v>17251050.820176441</v>
      </c>
    </row>
    <row r="145" spans="1:35" s="946" customFormat="1" ht="40.5" customHeight="1" x14ac:dyDescent="0.2">
      <c r="A145" s="1306"/>
      <c r="C145" s="1075" t="s">
        <v>2302</v>
      </c>
      <c r="D145" s="890"/>
      <c r="E145" s="907" t="s">
        <v>2662</v>
      </c>
      <c r="F145" s="917"/>
      <c r="G145" s="878" t="s">
        <v>2845</v>
      </c>
      <c r="H145" s="878"/>
      <c r="I145" s="861" t="s">
        <v>43</v>
      </c>
      <c r="J145" s="862"/>
      <c r="K145" s="862" t="s">
        <v>835</v>
      </c>
      <c r="L145" s="862"/>
      <c r="M145" s="863" t="s">
        <v>1821</v>
      </c>
      <c r="N145" s="862">
        <v>2010</v>
      </c>
      <c r="O145" s="862"/>
      <c r="P145" s="903"/>
      <c r="Q145" s="861"/>
      <c r="R145" s="862"/>
      <c r="S145" s="903" t="s">
        <v>12</v>
      </c>
      <c r="T145" s="879">
        <v>41073930.524229623</v>
      </c>
      <c r="U145" s="1081"/>
      <c r="V145" s="1118"/>
      <c r="W145" s="1124" t="str">
        <f t="shared" si="45"/>
        <v>03.11.01</v>
      </c>
      <c r="X145" s="884" t="str">
        <f t="shared" si="65"/>
        <v>Bangunan Gedung Tempat Kerja</v>
      </c>
      <c r="Y145" s="884">
        <f t="shared" si="66"/>
        <v>50</v>
      </c>
      <c r="Z145" s="868">
        <f t="shared" si="55"/>
        <v>821478.6104845925</v>
      </c>
      <c r="AA145" s="1051">
        <f t="shared" si="56"/>
        <v>3</v>
      </c>
      <c r="AB145" s="868">
        <f t="shared" si="57"/>
        <v>2464435.8314537774</v>
      </c>
      <c r="AC145" s="868">
        <f t="shared" si="58"/>
        <v>821478.6104845925</v>
      </c>
      <c r="AD145" s="868">
        <f t="shared" si="59"/>
        <v>821478.6104845925</v>
      </c>
      <c r="AE145" s="868">
        <f t="shared" si="60"/>
        <v>821478.6104845925</v>
      </c>
      <c r="AF145" s="886">
        <f t="shared" si="61"/>
        <v>821478.6104845925</v>
      </c>
      <c r="AG145" s="886">
        <f t="shared" si="62"/>
        <v>821478.6104845925</v>
      </c>
      <c r="AH145" s="886">
        <f t="shared" si="63"/>
        <v>6571828.88387674</v>
      </c>
      <c r="AI145" s="1077">
        <f t="shared" si="64"/>
        <v>34502101.640352882</v>
      </c>
    </row>
    <row r="146" spans="1:35" s="946" customFormat="1" ht="40.5" customHeight="1" x14ac:dyDescent="0.2">
      <c r="A146" s="1306"/>
      <c r="C146" s="1075" t="s">
        <v>2302</v>
      </c>
      <c r="D146" s="890"/>
      <c r="E146" s="907" t="s">
        <v>2663</v>
      </c>
      <c r="F146" s="917"/>
      <c r="G146" s="878" t="s">
        <v>2845</v>
      </c>
      <c r="H146" s="878"/>
      <c r="I146" s="861" t="s">
        <v>43</v>
      </c>
      <c r="J146" s="862"/>
      <c r="K146" s="862" t="s">
        <v>835</v>
      </c>
      <c r="L146" s="862"/>
      <c r="M146" s="863" t="s">
        <v>1823</v>
      </c>
      <c r="N146" s="862">
        <v>2010</v>
      </c>
      <c r="O146" s="862"/>
      <c r="P146" s="903"/>
      <c r="Q146" s="861"/>
      <c r="R146" s="862"/>
      <c r="S146" s="903" t="s">
        <v>12</v>
      </c>
      <c r="T146" s="879">
        <v>20536965.262114812</v>
      </c>
      <c r="U146" s="1081"/>
      <c r="V146" s="1118"/>
      <c r="W146" s="1124" t="str">
        <f t="shared" si="45"/>
        <v>03.11.01</v>
      </c>
      <c r="X146" s="884" t="str">
        <f t="shared" si="65"/>
        <v>Bangunan Gedung Tempat Kerja</v>
      </c>
      <c r="Y146" s="884">
        <f t="shared" si="66"/>
        <v>50</v>
      </c>
      <c r="Z146" s="868">
        <f t="shared" si="55"/>
        <v>410739.30524229625</v>
      </c>
      <c r="AA146" s="1051">
        <f t="shared" si="56"/>
        <v>3</v>
      </c>
      <c r="AB146" s="868">
        <f t="shared" si="57"/>
        <v>1232217.9157268887</v>
      </c>
      <c r="AC146" s="868">
        <f t="shared" si="58"/>
        <v>410739.30524229625</v>
      </c>
      <c r="AD146" s="868">
        <f t="shared" si="59"/>
        <v>410739.30524229625</v>
      </c>
      <c r="AE146" s="868">
        <f t="shared" si="60"/>
        <v>410739.30524229625</v>
      </c>
      <c r="AF146" s="886">
        <f t="shared" si="61"/>
        <v>410739.30524229625</v>
      </c>
      <c r="AG146" s="886">
        <f t="shared" si="62"/>
        <v>410739.30524229625</v>
      </c>
      <c r="AH146" s="886">
        <f t="shared" si="63"/>
        <v>3285914.44193837</v>
      </c>
      <c r="AI146" s="1077">
        <f t="shared" si="64"/>
        <v>17251050.820176441</v>
      </c>
    </row>
    <row r="147" spans="1:35" s="946" customFormat="1" ht="40.5" customHeight="1" x14ac:dyDescent="0.2">
      <c r="A147" s="1306"/>
      <c r="C147" s="1075" t="s">
        <v>2302</v>
      </c>
      <c r="D147" s="890"/>
      <c r="E147" s="907" t="s">
        <v>2664</v>
      </c>
      <c r="F147" s="917"/>
      <c r="G147" s="878" t="s">
        <v>2845</v>
      </c>
      <c r="H147" s="878"/>
      <c r="I147" s="861" t="s">
        <v>43</v>
      </c>
      <c r="J147" s="862"/>
      <c r="K147" s="862" t="s">
        <v>835</v>
      </c>
      <c r="L147" s="862"/>
      <c r="M147" s="863" t="s">
        <v>1825</v>
      </c>
      <c r="N147" s="862">
        <v>2010</v>
      </c>
      <c r="O147" s="862"/>
      <c r="P147" s="903"/>
      <c r="Q147" s="861"/>
      <c r="R147" s="862"/>
      <c r="S147" s="903" t="s">
        <v>12</v>
      </c>
      <c r="T147" s="879">
        <v>41073930.524229623</v>
      </c>
      <c r="U147" s="1081"/>
      <c r="V147" s="1118"/>
      <c r="W147" s="1124" t="str">
        <f t="shared" si="45"/>
        <v>03.11.01</v>
      </c>
      <c r="X147" s="884" t="str">
        <f t="shared" si="65"/>
        <v>Bangunan Gedung Tempat Kerja</v>
      </c>
      <c r="Y147" s="884">
        <f t="shared" si="66"/>
        <v>50</v>
      </c>
      <c r="Z147" s="868">
        <f t="shared" si="55"/>
        <v>821478.6104845925</v>
      </c>
      <c r="AA147" s="1051">
        <f t="shared" si="56"/>
        <v>3</v>
      </c>
      <c r="AB147" s="868">
        <f t="shared" si="57"/>
        <v>2464435.8314537774</v>
      </c>
      <c r="AC147" s="868">
        <f t="shared" si="58"/>
        <v>821478.6104845925</v>
      </c>
      <c r="AD147" s="868">
        <f t="shared" si="59"/>
        <v>821478.6104845925</v>
      </c>
      <c r="AE147" s="868">
        <f t="shared" si="60"/>
        <v>821478.6104845925</v>
      </c>
      <c r="AF147" s="886">
        <f t="shared" si="61"/>
        <v>821478.6104845925</v>
      </c>
      <c r="AG147" s="886">
        <f t="shared" si="62"/>
        <v>821478.6104845925</v>
      </c>
      <c r="AH147" s="886">
        <f t="shared" si="63"/>
        <v>6571828.88387674</v>
      </c>
      <c r="AI147" s="1077">
        <f t="shared" si="64"/>
        <v>34502101.640352882</v>
      </c>
    </row>
    <row r="148" spans="1:35" s="670" customFormat="1" ht="40.5" customHeight="1" x14ac:dyDescent="0.2">
      <c r="A148" s="669">
        <v>17</v>
      </c>
      <c r="B148" s="670" t="s">
        <v>2827</v>
      </c>
      <c r="C148" s="773" t="s">
        <v>4247</v>
      </c>
      <c r="D148" s="652"/>
      <c r="E148" s="671" t="s">
        <v>2665</v>
      </c>
      <c r="F148" s="672"/>
      <c r="G148" s="653" t="s">
        <v>2846</v>
      </c>
      <c r="H148" s="653" t="s">
        <v>39</v>
      </c>
      <c r="I148" s="673" t="s">
        <v>43</v>
      </c>
      <c r="J148" s="674" t="s">
        <v>1753</v>
      </c>
      <c r="K148" s="674" t="s">
        <v>835</v>
      </c>
      <c r="L148" s="674"/>
      <c r="M148" s="691" t="s">
        <v>2998</v>
      </c>
      <c r="N148" s="674">
        <v>2009</v>
      </c>
      <c r="O148" s="674" t="s">
        <v>1827</v>
      </c>
      <c r="P148" s="675"/>
      <c r="Q148" s="673"/>
      <c r="R148" s="674"/>
      <c r="S148" s="675" t="s">
        <v>12</v>
      </c>
      <c r="T148" s="654">
        <f>2488646709.83826+F149</f>
        <v>2691721709.8382602</v>
      </c>
      <c r="U148" s="702"/>
      <c r="V148" s="1119"/>
      <c r="W148" s="647" t="str">
        <f t="shared" ref="W148:W207" si="67">LEFT(G148,8)</f>
        <v>03.11.02</v>
      </c>
      <c r="X148" s="648" t="str">
        <f t="shared" si="65"/>
        <v>Bangunan Gedung Tempat Tinggal</v>
      </c>
      <c r="Y148" s="648">
        <f t="shared" si="66"/>
        <v>50</v>
      </c>
      <c r="Z148" s="649"/>
      <c r="AA148" s="718"/>
      <c r="AB148" s="649"/>
      <c r="AC148" s="649"/>
      <c r="AD148" s="649"/>
      <c r="AE148" s="649"/>
      <c r="AF148" s="649"/>
      <c r="AG148" s="650">
        <f>'PERHITUNGAN (C)'!U302</f>
        <v>48798685.877960429</v>
      </c>
      <c r="AH148" s="650">
        <f>'PERHITUNGAN (C)'!U305</f>
        <v>544579531.20800328</v>
      </c>
      <c r="AI148" s="677">
        <f t="shared" si="64"/>
        <v>2147142178.6302569</v>
      </c>
    </row>
    <row r="149" spans="1:35" s="48" customFormat="1" ht="40.5" customHeight="1" x14ac:dyDescent="0.2">
      <c r="A149" s="296">
        <v>17</v>
      </c>
      <c r="B149" s="48" t="s">
        <v>2827</v>
      </c>
      <c r="C149" s="772" t="s">
        <v>4247</v>
      </c>
      <c r="D149" s="73"/>
      <c r="E149" s="333" t="s">
        <v>2996</v>
      </c>
      <c r="F149" s="668">
        <v>203075000</v>
      </c>
      <c r="G149" s="67" t="s">
        <v>2485</v>
      </c>
      <c r="H149" s="67"/>
      <c r="I149" s="33"/>
      <c r="J149" s="40"/>
      <c r="K149" s="40"/>
      <c r="L149" s="40"/>
      <c r="M149" s="72"/>
      <c r="N149" s="40">
        <v>2017</v>
      </c>
      <c r="O149" s="40"/>
      <c r="P149" s="32"/>
      <c r="Q149" s="33"/>
      <c r="R149" s="40"/>
      <c r="S149" s="32"/>
      <c r="T149" s="252"/>
      <c r="U149" s="105" t="s">
        <v>2849</v>
      </c>
      <c r="V149" s="1116"/>
      <c r="W149" s="206" t="str">
        <f t="shared" si="67"/>
        <v>03.11.02</v>
      </c>
      <c r="X149" s="207" t="str">
        <f t="shared" si="65"/>
        <v>Bangunan Gedung Tempat Tinggal</v>
      </c>
      <c r="Y149" s="207">
        <f t="shared" si="66"/>
        <v>50</v>
      </c>
      <c r="Z149" s="233"/>
      <c r="AA149" s="714"/>
      <c r="AB149" s="233"/>
      <c r="AC149" s="233"/>
      <c r="AD149" s="233"/>
      <c r="AE149" s="233"/>
      <c r="AF149" s="233"/>
      <c r="AG149" s="238"/>
      <c r="AH149" s="238"/>
      <c r="AI149" s="210">
        <f t="shared" si="64"/>
        <v>0</v>
      </c>
    </row>
    <row r="150" spans="1:35" s="670" customFormat="1" ht="40.5" customHeight="1" x14ac:dyDescent="0.2">
      <c r="A150" s="669">
        <v>18</v>
      </c>
      <c r="B150" s="670" t="s">
        <v>2828</v>
      </c>
      <c r="C150" s="773" t="s">
        <v>4247</v>
      </c>
      <c r="D150" s="652"/>
      <c r="E150" s="671" t="s">
        <v>4764</v>
      </c>
      <c r="F150" s="672"/>
      <c r="G150" s="653" t="s">
        <v>2846</v>
      </c>
      <c r="H150" s="653" t="s">
        <v>39</v>
      </c>
      <c r="I150" s="673" t="s">
        <v>43</v>
      </c>
      <c r="J150" s="674" t="s">
        <v>1753</v>
      </c>
      <c r="K150" s="674" t="s">
        <v>835</v>
      </c>
      <c r="L150" s="674"/>
      <c r="M150" s="691" t="s">
        <v>2998</v>
      </c>
      <c r="N150" s="674">
        <v>2009</v>
      </c>
      <c r="O150" s="674" t="s">
        <v>1831</v>
      </c>
      <c r="P150" s="675"/>
      <c r="Q150" s="673"/>
      <c r="R150" s="674"/>
      <c r="S150" s="675" t="s">
        <v>12</v>
      </c>
      <c r="T150" s="654">
        <f>1624558171.23092+F151</f>
        <v>1827649171.2309201</v>
      </c>
      <c r="U150" s="702"/>
      <c r="V150" s="1119"/>
      <c r="W150" s="647" t="str">
        <f t="shared" si="67"/>
        <v>03.11.02</v>
      </c>
      <c r="X150" s="648" t="str">
        <f t="shared" si="65"/>
        <v>Bangunan Gedung Tempat Tinggal</v>
      </c>
      <c r="Y150" s="648">
        <f t="shared" si="66"/>
        <v>50</v>
      </c>
      <c r="Z150" s="649"/>
      <c r="AA150" s="718"/>
      <c r="AB150" s="649"/>
      <c r="AC150" s="649"/>
      <c r="AD150" s="649"/>
      <c r="AE150" s="649"/>
      <c r="AF150" s="649"/>
      <c r="AG150" s="650">
        <f>'PERHITUNGAN (C)'!R319</f>
        <v>33355741.783701543</v>
      </c>
      <c r="AH150" s="650">
        <f>'PERHITUNGAN (C)'!U322</f>
        <v>359996532.74805182</v>
      </c>
      <c r="AI150" s="677">
        <f t="shared" si="64"/>
        <v>1467652638.4828682</v>
      </c>
    </row>
    <row r="151" spans="1:35" s="48" customFormat="1" ht="40.5" customHeight="1" x14ac:dyDescent="0.2">
      <c r="A151" s="296">
        <v>18</v>
      </c>
      <c r="B151" s="48" t="s">
        <v>2828</v>
      </c>
      <c r="C151" s="772" t="s">
        <v>4247</v>
      </c>
      <c r="D151" s="73"/>
      <c r="E151" s="333" t="s">
        <v>2997</v>
      </c>
      <c r="F151" s="668">
        <v>203091000</v>
      </c>
      <c r="G151" s="67" t="s">
        <v>2485</v>
      </c>
      <c r="H151" s="67"/>
      <c r="I151" s="33"/>
      <c r="J151" s="40"/>
      <c r="K151" s="40"/>
      <c r="L151" s="40"/>
      <c r="M151" s="72"/>
      <c r="N151" s="40">
        <v>2017</v>
      </c>
      <c r="O151" s="40"/>
      <c r="P151" s="32"/>
      <c r="Q151" s="33"/>
      <c r="R151" s="40"/>
      <c r="S151" s="32"/>
      <c r="T151" s="252"/>
      <c r="U151" s="105" t="s">
        <v>2849</v>
      </c>
      <c r="V151" s="1116"/>
      <c r="W151" s="206" t="str">
        <f t="shared" si="67"/>
        <v>03.11.02</v>
      </c>
      <c r="X151" s="207" t="str">
        <f t="shared" si="65"/>
        <v>Bangunan Gedung Tempat Tinggal</v>
      </c>
      <c r="Y151" s="207">
        <f t="shared" si="66"/>
        <v>50</v>
      </c>
      <c r="Z151" s="233"/>
      <c r="AA151" s="714"/>
      <c r="AB151" s="233"/>
      <c r="AC151" s="233"/>
      <c r="AD151" s="233"/>
      <c r="AE151" s="233"/>
      <c r="AF151" s="233"/>
      <c r="AG151" s="238"/>
      <c r="AH151" s="238"/>
      <c r="AI151" s="210">
        <f t="shared" si="64"/>
        <v>0</v>
      </c>
    </row>
    <row r="152" spans="1:35" s="670" customFormat="1" ht="40.5" customHeight="1" x14ac:dyDescent="0.2">
      <c r="A152" s="669">
        <v>19</v>
      </c>
      <c r="B152" s="670" t="s">
        <v>4364</v>
      </c>
      <c r="C152" s="773" t="s">
        <v>4247</v>
      </c>
      <c r="D152" s="652"/>
      <c r="E152" s="671" t="s">
        <v>4765</v>
      </c>
      <c r="F152" s="672"/>
      <c r="G152" s="653" t="s">
        <v>2846</v>
      </c>
      <c r="H152" s="653" t="s">
        <v>39</v>
      </c>
      <c r="I152" s="673" t="s">
        <v>43</v>
      </c>
      <c r="J152" s="674" t="s">
        <v>1753</v>
      </c>
      <c r="K152" s="674" t="s">
        <v>835</v>
      </c>
      <c r="L152" s="674"/>
      <c r="M152" s="691" t="s">
        <v>2998</v>
      </c>
      <c r="N152" s="674">
        <v>2009</v>
      </c>
      <c r="O152" s="674" t="s">
        <v>1831</v>
      </c>
      <c r="P152" s="675"/>
      <c r="Q152" s="673"/>
      <c r="R152" s="674"/>
      <c r="S152" s="675" t="s">
        <v>12</v>
      </c>
      <c r="T152" s="654">
        <f>1624558171.23092+F153</f>
        <v>1827708171.2309201</v>
      </c>
      <c r="U152" s="702"/>
      <c r="V152" s="1119"/>
      <c r="W152" s="647" t="str">
        <f t="shared" si="67"/>
        <v>03.11.02</v>
      </c>
      <c r="X152" s="648" t="str">
        <f t="shared" si="65"/>
        <v>Bangunan Gedung Tempat Tinggal</v>
      </c>
      <c r="Y152" s="648">
        <f t="shared" si="66"/>
        <v>50</v>
      </c>
      <c r="Z152" s="649"/>
      <c r="AA152" s="718"/>
      <c r="AB152" s="649"/>
      <c r="AC152" s="649"/>
      <c r="AD152" s="649"/>
      <c r="AE152" s="649"/>
      <c r="AF152" s="649"/>
      <c r="AG152" s="650">
        <f>'PERHITUNGAN (C)'!R336</f>
        <v>33356997.102850512</v>
      </c>
      <c r="AH152" s="650">
        <f>'PERHITUNGAN (C)'!U339</f>
        <v>360000298.70549893</v>
      </c>
      <c r="AI152" s="677">
        <f t="shared" si="64"/>
        <v>1467707872.5254211</v>
      </c>
    </row>
    <row r="153" spans="1:35" s="48" customFormat="1" ht="40.5" customHeight="1" x14ac:dyDescent="0.2">
      <c r="A153" s="296">
        <v>19</v>
      </c>
      <c r="B153" s="48" t="s">
        <v>4364</v>
      </c>
      <c r="C153" s="772" t="s">
        <v>4247</v>
      </c>
      <c r="D153" s="73"/>
      <c r="E153" s="333" t="s">
        <v>3030</v>
      </c>
      <c r="F153" s="668">
        <v>203150000</v>
      </c>
      <c r="G153" s="67" t="s">
        <v>2485</v>
      </c>
      <c r="H153" s="67"/>
      <c r="I153" s="33"/>
      <c r="J153" s="40"/>
      <c r="K153" s="40"/>
      <c r="L153" s="40"/>
      <c r="M153" s="72" t="s">
        <v>2998</v>
      </c>
      <c r="N153" s="40">
        <v>2017</v>
      </c>
      <c r="O153" s="40"/>
      <c r="P153" s="32"/>
      <c r="Q153" s="33"/>
      <c r="R153" s="40"/>
      <c r="S153" s="32"/>
      <c r="T153" s="252"/>
      <c r="U153" s="105" t="s">
        <v>2849</v>
      </c>
      <c r="V153" s="1116"/>
      <c r="W153" s="206" t="str">
        <f>LEFT(G153,8)</f>
        <v>03.11.02</v>
      </c>
      <c r="X153" s="207" t="str">
        <f>VLOOKUP(W153,UE,3)</f>
        <v>Bangunan Gedung Tempat Tinggal</v>
      </c>
      <c r="Y153" s="207">
        <f>VLOOKUP(W153,UE,4)</f>
        <v>50</v>
      </c>
      <c r="Z153" s="233"/>
      <c r="AA153" s="714"/>
      <c r="AB153" s="233"/>
      <c r="AC153" s="233"/>
      <c r="AD153" s="233"/>
      <c r="AE153" s="233"/>
      <c r="AF153" s="233"/>
      <c r="AG153" s="238"/>
      <c r="AH153" s="238"/>
      <c r="AI153" s="210">
        <f t="shared" si="64"/>
        <v>0</v>
      </c>
    </row>
    <row r="154" spans="1:35" s="670" customFormat="1" ht="40.5" customHeight="1" x14ac:dyDescent="0.2">
      <c r="A154" s="669">
        <v>20</v>
      </c>
      <c r="B154" s="670" t="s">
        <v>3026</v>
      </c>
      <c r="C154" s="773" t="s">
        <v>4247</v>
      </c>
      <c r="D154" s="652"/>
      <c r="E154" s="671" t="s">
        <v>4768</v>
      </c>
      <c r="F154" s="672"/>
      <c r="G154" s="653" t="s">
        <v>2846</v>
      </c>
      <c r="H154" s="653" t="s">
        <v>39</v>
      </c>
      <c r="I154" s="673" t="s">
        <v>43</v>
      </c>
      <c r="J154" s="674" t="s">
        <v>1753</v>
      </c>
      <c r="K154" s="674" t="s">
        <v>835</v>
      </c>
      <c r="L154" s="674"/>
      <c r="M154" s="691" t="s">
        <v>2998</v>
      </c>
      <c r="N154" s="674">
        <v>2009</v>
      </c>
      <c r="O154" s="674" t="s">
        <v>1829</v>
      </c>
      <c r="P154" s="675"/>
      <c r="Q154" s="673"/>
      <c r="R154" s="674"/>
      <c r="S154" s="675" t="s">
        <v>12</v>
      </c>
      <c r="T154" s="654">
        <f>1560987912.98213+F155</f>
        <v>1763256912.9821301</v>
      </c>
      <c r="U154" s="702"/>
      <c r="V154" s="1119"/>
      <c r="W154" s="647" t="str">
        <f>LEFT(G154,8)</f>
        <v>03.11.02</v>
      </c>
      <c r="X154" s="648" t="str">
        <f>VLOOKUP(W154,UE,3)</f>
        <v>Bangunan Gedung Tempat Tinggal</v>
      </c>
      <c r="Y154" s="648">
        <f>VLOOKUP(W154,UE,4)</f>
        <v>50</v>
      </c>
      <c r="Z154" s="649"/>
      <c r="AA154" s="718"/>
      <c r="AB154" s="649"/>
      <c r="AC154" s="649"/>
      <c r="AD154" s="649"/>
      <c r="AE154" s="649"/>
      <c r="AF154" s="649"/>
      <c r="AG154" s="650">
        <f>'PERHITUNGAN (C)'!R353</f>
        <v>32202103.125638004</v>
      </c>
      <c r="AH154" s="650">
        <f>'PERHITUNGAN (C)'!U356</f>
        <v>346364375.4540543</v>
      </c>
      <c r="AI154" s="677">
        <f t="shared" si="64"/>
        <v>1416892537.5280757</v>
      </c>
    </row>
    <row r="155" spans="1:35" s="48" customFormat="1" ht="40.5" customHeight="1" x14ac:dyDescent="0.2">
      <c r="A155" s="296">
        <v>20</v>
      </c>
      <c r="B155" s="48" t="s">
        <v>3026</v>
      </c>
      <c r="C155" s="772" t="s">
        <v>4247</v>
      </c>
      <c r="D155" s="73"/>
      <c r="E155" s="333" t="s">
        <v>3023</v>
      </c>
      <c r="F155" s="668">
        <v>202269000</v>
      </c>
      <c r="G155" s="67" t="s">
        <v>2485</v>
      </c>
      <c r="H155" s="67"/>
      <c r="I155" s="33"/>
      <c r="J155" s="40"/>
      <c r="K155" s="40"/>
      <c r="L155" s="40"/>
      <c r="M155" s="72"/>
      <c r="N155" s="40">
        <v>2017</v>
      </c>
      <c r="O155" s="40"/>
      <c r="P155" s="32"/>
      <c r="Q155" s="33"/>
      <c r="R155" s="40"/>
      <c r="S155" s="32"/>
      <c r="T155" s="252"/>
      <c r="U155" s="105" t="s">
        <v>2849</v>
      </c>
      <c r="V155" s="1116"/>
      <c r="W155" s="206" t="str">
        <f t="shared" si="67"/>
        <v>03.11.02</v>
      </c>
      <c r="X155" s="207" t="str">
        <f t="shared" si="65"/>
        <v>Bangunan Gedung Tempat Tinggal</v>
      </c>
      <c r="Y155" s="207">
        <f t="shared" si="66"/>
        <v>50</v>
      </c>
      <c r="Z155" s="233"/>
      <c r="AA155" s="714"/>
      <c r="AB155" s="233"/>
      <c r="AC155" s="233"/>
      <c r="AD155" s="233"/>
      <c r="AE155" s="233"/>
      <c r="AF155" s="233"/>
      <c r="AG155" s="238"/>
      <c r="AH155" s="238"/>
      <c r="AI155" s="210">
        <f t="shared" si="64"/>
        <v>0</v>
      </c>
    </row>
    <row r="156" spans="1:35" s="670" customFormat="1" ht="40.5" customHeight="1" x14ac:dyDescent="0.2">
      <c r="A156" s="669">
        <v>21</v>
      </c>
      <c r="B156" s="670" t="s">
        <v>4772</v>
      </c>
      <c r="C156" s="773" t="s">
        <v>4247</v>
      </c>
      <c r="D156" s="652"/>
      <c r="E156" s="671" t="s">
        <v>4770</v>
      </c>
      <c r="F156" s="672"/>
      <c r="G156" s="653" t="s">
        <v>2846</v>
      </c>
      <c r="H156" s="653" t="s">
        <v>39</v>
      </c>
      <c r="I156" s="673" t="s">
        <v>43</v>
      </c>
      <c r="J156" s="674" t="s">
        <v>1753</v>
      </c>
      <c r="K156" s="674" t="s">
        <v>835</v>
      </c>
      <c r="L156" s="674"/>
      <c r="M156" s="691" t="s">
        <v>2998</v>
      </c>
      <c r="N156" s="674">
        <v>2009</v>
      </c>
      <c r="O156" s="674" t="s">
        <v>1829</v>
      </c>
      <c r="P156" s="675"/>
      <c r="Q156" s="673"/>
      <c r="R156" s="674"/>
      <c r="S156" s="675" t="s">
        <v>12</v>
      </c>
      <c r="T156" s="654">
        <f>973527940.282019+F157</f>
        <v>1175832940.2820191</v>
      </c>
      <c r="U156" s="702"/>
      <c r="V156" s="1119"/>
      <c r="W156" s="647" t="str">
        <f>LEFT(G156,8)</f>
        <v>03.11.02</v>
      </c>
      <c r="X156" s="648" t="str">
        <f>VLOOKUP(W156,UE,3)</f>
        <v>Bangunan Gedung Tempat Tinggal</v>
      </c>
      <c r="Y156" s="648">
        <f>VLOOKUP(W156,UE,4)</f>
        <v>50</v>
      </c>
      <c r="Z156" s="649"/>
      <c r="AA156" s="718"/>
      <c r="AB156" s="649"/>
      <c r="AC156" s="649"/>
      <c r="AD156" s="649"/>
      <c r="AE156" s="649"/>
      <c r="AF156" s="649"/>
      <c r="AG156" s="650">
        <f>'PERHITUNGAN (C)'!R370</f>
        <v>21703584.464614816</v>
      </c>
      <c r="AH156" s="650">
        <f>'PERHITUNGAN (C)'!U373</f>
        <v>220875223.8389675</v>
      </c>
      <c r="AI156" s="677">
        <f t="shared" si="64"/>
        <v>954957716.44305158</v>
      </c>
    </row>
    <row r="157" spans="1:35" s="48" customFormat="1" ht="40.5" customHeight="1" x14ac:dyDescent="0.2">
      <c r="A157" s="296">
        <v>21</v>
      </c>
      <c r="B157" s="48" t="s">
        <v>4772</v>
      </c>
      <c r="C157" s="772" t="s">
        <v>4247</v>
      </c>
      <c r="D157" s="73"/>
      <c r="E157" s="333" t="s">
        <v>3024</v>
      </c>
      <c r="F157" s="668">
        <v>202305000</v>
      </c>
      <c r="G157" s="67" t="s">
        <v>2485</v>
      </c>
      <c r="H157" s="67"/>
      <c r="I157" s="33"/>
      <c r="J157" s="40"/>
      <c r="K157" s="40"/>
      <c r="L157" s="40"/>
      <c r="M157" s="72"/>
      <c r="N157" s="40">
        <v>2017</v>
      </c>
      <c r="O157" s="40"/>
      <c r="P157" s="32"/>
      <c r="Q157" s="33"/>
      <c r="R157" s="40"/>
      <c r="S157" s="32"/>
      <c r="T157" s="252"/>
      <c r="U157" s="105" t="s">
        <v>2849</v>
      </c>
      <c r="V157" s="1116"/>
      <c r="W157" s="206" t="str">
        <f t="shared" si="67"/>
        <v>03.11.02</v>
      </c>
      <c r="X157" s="207" t="str">
        <f t="shared" si="65"/>
        <v>Bangunan Gedung Tempat Tinggal</v>
      </c>
      <c r="Y157" s="207">
        <f t="shared" si="66"/>
        <v>50</v>
      </c>
      <c r="Z157" s="233"/>
      <c r="AA157" s="714"/>
      <c r="AB157" s="233"/>
      <c r="AC157" s="233"/>
      <c r="AD157" s="233"/>
      <c r="AE157" s="233"/>
      <c r="AF157" s="233"/>
      <c r="AG157" s="238"/>
      <c r="AH157" s="238"/>
      <c r="AI157" s="210">
        <f t="shared" si="64"/>
        <v>0</v>
      </c>
    </row>
    <row r="158" spans="1:35" s="670" customFormat="1" ht="40.5" customHeight="1" x14ac:dyDescent="0.2">
      <c r="A158" s="669">
        <v>22</v>
      </c>
      <c r="B158" s="670" t="s">
        <v>4773</v>
      </c>
      <c r="C158" s="773" t="s">
        <v>4247</v>
      </c>
      <c r="D158" s="652"/>
      <c r="E158" s="671" t="s">
        <v>4769</v>
      </c>
      <c r="F158" s="672"/>
      <c r="G158" s="653" t="s">
        <v>2846</v>
      </c>
      <c r="H158" s="653" t="s">
        <v>39</v>
      </c>
      <c r="I158" s="673" t="s">
        <v>43</v>
      </c>
      <c r="J158" s="674" t="s">
        <v>1753</v>
      </c>
      <c r="K158" s="674" t="s">
        <v>835</v>
      </c>
      <c r="L158" s="674"/>
      <c r="M158" s="691" t="s">
        <v>2998</v>
      </c>
      <c r="N158" s="674">
        <v>2009</v>
      </c>
      <c r="O158" s="674" t="s">
        <v>1829</v>
      </c>
      <c r="P158" s="675"/>
      <c r="Q158" s="673"/>
      <c r="R158" s="674"/>
      <c r="S158" s="675" t="s">
        <v>12</v>
      </c>
      <c r="T158" s="654">
        <f>1311782451.52331+F159</f>
        <v>1514113451.5233099</v>
      </c>
      <c r="U158" s="702"/>
      <c r="V158" s="1119"/>
      <c r="W158" s="647" t="str">
        <f>LEFT(G158,8)</f>
        <v>03.11.02</v>
      </c>
      <c r="X158" s="648" t="str">
        <f>VLOOKUP(W158,UE,3)</f>
        <v>Bangunan Gedung Tempat Tinggal</v>
      </c>
      <c r="Y158" s="648">
        <f>VLOOKUP(W158,UE,4)</f>
        <v>50</v>
      </c>
      <c r="Z158" s="649"/>
      <c r="AA158" s="718"/>
      <c r="AB158" s="649"/>
      <c r="AC158" s="649"/>
      <c r="AD158" s="649"/>
      <c r="AE158" s="649"/>
      <c r="AF158" s="649"/>
      <c r="AG158" s="650">
        <f>'PERHITUNGAN (C)'!R387</f>
        <v>27749537.431480367</v>
      </c>
      <c r="AH158" s="650">
        <f>'PERHITUNGAN (C)'!U390</f>
        <v>293133804.53817004</v>
      </c>
      <c r="AI158" s="677">
        <f t="shared" si="64"/>
        <v>1220979646.9851398</v>
      </c>
    </row>
    <row r="159" spans="1:35" s="48" customFormat="1" ht="40.5" customHeight="1" x14ac:dyDescent="0.2">
      <c r="A159" s="296">
        <v>22</v>
      </c>
      <c r="B159" s="48" t="s">
        <v>4773</v>
      </c>
      <c r="C159" s="772" t="s">
        <v>4247</v>
      </c>
      <c r="D159" s="73"/>
      <c r="E159" s="333" t="s">
        <v>3025</v>
      </c>
      <c r="F159" s="668">
        <v>202331000</v>
      </c>
      <c r="G159" s="67" t="s">
        <v>2485</v>
      </c>
      <c r="H159" s="67"/>
      <c r="I159" s="33"/>
      <c r="J159" s="40"/>
      <c r="K159" s="40"/>
      <c r="L159" s="40"/>
      <c r="M159" s="72"/>
      <c r="N159" s="40">
        <v>2017</v>
      </c>
      <c r="O159" s="40"/>
      <c r="P159" s="32"/>
      <c r="Q159" s="33"/>
      <c r="R159" s="40"/>
      <c r="S159" s="32"/>
      <c r="T159" s="252"/>
      <c r="U159" s="105" t="s">
        <v>2849</v>
      </c>
      <c r="V159" s="1116"/>
      <c r="W159" s="206" t="str">
        <f t="shared" si="67"/>
        <v>03.11.02</v>
      </c>
      <c r="X159" s="207" t="str">
        <f t="shared" si="65"/>
        <v>Bangunan Gedung Tempat Tinggal</v>
      </c>
      <c r="Y159" s="207">
        <f t="shared" si="66"/>
        <v>50</v>
      </c>
      <c r="Z159" s="233"/>
      <c r="AA159" s="714"/>
      <c r="AB159" s="233"/>
      <c r="AC159" s="233"/>
      <c r="AD159" s="233"/>
      <c r="AE159" s="233"/>
      <c r="AF159" s="233"/>
      <c r="AG159" s="238"/>
      <c r="AH159" s="238"/>
      <c r="AI159" s="210">
        <f t="shared" si="64"/>
        <v>0</v>
      </c>
    </row>
    <row r="160" spans="1:35" s="946" customFormat="1" ht="40.5" customHeight="1" x14ac:dyDescent="0.2">
      <c r="A160" s="1306"/>
      <c r="C160" s="1075" t="s">
        <v>2302</v>
      </c>
      <c r="D160" s="890"/>
      <c r="E160" s="907" t="s">
        <v>2669</v>
      </c>
      <c r="F160" s="917"/>
      <c r="G160" s="878" t="s">
        <v>2613</v>
      </c>
      <c r="H160" s="878" t="s">
        <v>39</v>
      </c>
      <c r="I160" s="861" t="s">
        <v>43</v>
      </c>
      <c r="J160" s="862" t="s">
        <v>1753</v>
      </c>
      <c r="K160" s="862" t="s">
        <v>835</v>
      </c>
      <c r="L160" s="862"/>
      <c r="M160" s="863" t="s">
        <v>1799</v>
      </c>
      <c r="N160" s="862">
        <v>2009</v>
      </c>
      <c r="O160" s="862" t="s">
        <v>1835</v>
      </c>
      <c r="P160" s="903"/>
      <c r="Q160" s="861"/>
      <c r="R160" s="862"/>
      <c r="S160" s="903" t="s">
        <v>12</v>
      </c>
      <c r="T160" s="879">
        <v>2825626654.2934227</v>
      </c>
      <c r="U160" s="1081"/>
      <c r="V160" s="1118"/>
      <c r="W160" s="1124" t="str">
        <f t="shared" si="67"/>
        <v>03.11.01</v>
      </c>
      <c r="X160" s="884" t="str">
        <f t="shared" si="65"/>
        <v>Bangunan Gedung Tempat Kerja</v>
      </c>
      <c r="Y160" s="884">
        <f t="shared" si="66"/>
        <v>50</v>
      </c>
      <c r="Z160" s="868">
        <f>T160/Y160</f>
        <v>56512533.085868455</v>
      </c>
      <c r="AA160" s="1051">
        <f>IF(2013-N160&gt;Y160,Y160,IF(2013-N160&lt;0,0,2013-N160))</f>
        <v>4</v>
      </c>
      <c r="AB160" s="868">
        <f>IF(AA160&gt;Y160,T160,Z160*AA160)</f>
        <v>226050132.34347382</v>
      </c>
      <c r="AC160" s="868">
        <f>IF(T160=AB160,0,Z160)</f>
        <v>56512533.085868455</v>
      </c>
      <c r="AD160" s="868">
        <f>IF(T160=AB160+AC160,0,Z160)</f>
        <v>56512533.085868455</v>
      </c>
      <c r="AE160" s="868">
        <f>IF(T160=AB160+AC160+AD160,0,Z160)</f>
        <v>56512533.085868455</v>
      </c>
      <c r="AF160" s="886">
        <f>IF(T160=AB160+AC160+AD160+AE160,0,Z160)</f>
        <v>56512533.085868455</v>
      </c>
      <c r="AG160" s="886">
        <f>IF(T160=AB160+AC160+AD160+AE160+AF160,0,Z160)</f>
        <v>56512533.085868455</v>
      </c>
      <c r="AH160" s="886">
        <f>SUM(AB160:AG160)</f>
        <v>508612797.77281618</v>
      </c>
      <c r="AI160" s="1077">
        <f t="shared" si="64"/>
        <v>2317013856.5206065</v>
      </c>
    </row>
    <row r="161" spans="1:37" s="946" customFormat="1" ht="40.5" customHeight="1" x14ac:dyDescent="0.2">
      <c r="A161" s="1306"/>
      <c r="C161" s="1075" t="s">
        <v>2302</v>
      </c>
      <c r="D161" s="890"/>
      <c r="E161" s="907" t="s">
        <v>2670</v>
      </c>
      <c r="F161" s="917"/>
      <c r="G161" s="878" t="s">
        <v>1772</v>
      </c>
      <c r="H161" s="878" t="s">
        <v>39</v>
      </c>
      <c r="I161" s="861" t="s">
        <v>43</v>
      </c>
      <c r="J161" s="862" t="s">
        <v>1753</v>
      </c>
      <c r="K161" s="862" t="s">
        <v>835</v>
      </c>
      <c r="L161" s="862"/>
      <c r="M161" s="863" t="s">
        <v>420</v>
      </c>
      <c r="N161" s="862">
        <v>2009</v>
      </c>
      <c r="O161" s="862" t="s">
        <v>1837</v>
      </c>
      <c r="P161" s="903"/>
      <c r="Q161" s="861"/>
      <c r="R161" s="862"/>
      <c r="S161" s="903" t="s">
        <v>12</v>
      </c>
      <c r="T161" s="879">
        <v>824027928.92159629</v>
      </c>
      <c r="U161" s="1081"/>
      <c r="V161" s="1118"/>
      <c r="W161" s="1124" t="str">
        <f t="shared" si="67"/>
        <v>03.11.01</v>
      </c>
      <c r="X161" s="884" t="str">
        <f t="shared" si="65"/>
        <v>Bangunan Gedung Tempat Kerja</v>
      </c>
      <c r="Y161" s="884">
        <f t="shared" si="66"/>
        <v>50</v>
      </c>
      <c r="Z161" s="868">
        <f>T161/Y161</f>
        <v>16480558.578431927</v>
      </c>
      <c r="AA161" s="1051">
        <f>IF(2013-N161&gt;Y161,Y161,IF(2013-N161&lt;0,0,2013-N161))</f>
        <v>4</v>
      </c>
      <c r="AB161" s="868">
        <f>IF(AA161&gt;Y161,T161,Z161*AA161)</f>
        <v>65922234.313727707</v>
      </c>
      <c r="AC161" s="868">
        <f>IF(T161=AB161,0,Z161)</f>
        <v>16480558.578431927</v>
      </c>
      <c r="AD161" s="868">
        <f>IF(T161=AB161+AC161,0,Z161)</f>
        <v>16480558.578431927</v>
      </c>
      <c r="AE161" s="868">
        <f>IF(T161=AB161+AC161+AD161,0,Z161)</f>
        <v>16480558.578431927</v>
      </c>
      <c r="AF161" s="886">
        <f>IF(T161=AB161+AC161+AD161+AE161,0,Z161)</f>
        <v>16480558.578431927</v>
      </c>
      <c r="AG161" s="886">
        <f>IF(T161=AB161+AC161+AD161+AE161+AF161,0,Z161)</f>
        <v>16480558.578431927</v>
      </c>
      <c r="AH161" s="886">
        <f>SUM(AB161:AG161)</f>
        <v>148325027.20588738</v>
      </c>
      <c r="AI161" s="1077">
        <f t="shared" si="64"/>
        <v>675702901.71570897</v>
      </c>
    </row>
    <row r="162" spans="1:37" s="946" customFormat="1" ht="40.5" customHeight="1" x14ac:dyDescent="0.2">
      <c r="A162" s="1306"/>
      <c r="C162" s="1075" t="s">
        <v>2302</v>
      </c>
      <c r="D162" s="890"/>
      <c r="E162" s="907" t="s">
        <v>2671</v>
      </c>
      <c r="F162" s="917"/>
      <c r="G162" s="878" t="s">
        <v>2847</v>
      </c>
      <c r="H162" s="878" t="s">
        <v>39</v>
      </c>
      <c r="I162" s="861" t="s">
        <v>43</v>
      </c>
      <c r="J162" s="862" t="s">
        <v>1753</v>
      </c>
      <c r="K162" s="862" t="s">
        <v>835</v>
      </c>
      <c r="L162" s="862"/>
      <c r="M162" s="863" t="s">
        <v>1839</v>
      </c>
      <c r="N162" s="862">
        <v>2009</v>
      </c>
      <c r="O162" s="862" t="s">
        <v>1840</v>
      </c>
      <c r="P162" s="903"/>
      <c r="Q162" s="861"/>
      <c r="R162" s="862"/>
      <c r="S162" s="903" t="s">
        <v>12</v>
      </c>
      <c r="T162" s="879">
        <v>755262054.30549741</v>
      </c>
      <c r="U162" s="1081"/>
      <c r="V162" s="1118"/>
      <c r="W162" s="1124" t="str">
        <f t="shared" si="67"/>
        <v>03.11.01</v>
      </c>
      <c r="X162" s="884" t="str">
        <f t="shared" si="65"/>
        <v>Bangunan Gedung Tempat Kerja</v>
      </c>
      <c r="Y162" s="884">
        <f t="shared" si="66"/>
        <v>50</v>
      </c>
      <c r="Z162" s="868">
        <f>T162/Y162</f>
        <v>15105241.086109947</v>
      </c>
      <c r="AA162" s="1051">
        <f>IF(2013-N162&gt;Y162,Y162,IF(2013-N162&lt;0,0,2013-N162))</f>
        <v>4</v>
      </c>
      <c r="AB162" s="868">
        <f>IF(AA162&gt;Y162,T162,Z162*AA162)</f>
        <v>60420964.34443979</v>
      </c>
      <c r="AC162" s="868">
        <f>IF(T162=AB162,0,Z162)</f>
        <v>15105241.086109947</v>
      </c>
      <c r="AD162" s="868">
        <f>IF(T162=AB162+AC162,0,Z162)</f>
        <v>15105241.086109947</v>
      </c>
      <c r="AE162" s="868">
        <f>IF(T162=AB162+AC162+AD162,0,Z162)</f>
        <v>15105241.086109947</v>
      </c>
      <c r="AF162" s="886">
        <f>IF(T162=AB162+AC162+AD162+AE162,0,Z162)</f>
        <v>15105241.086109947</v>
      </c>
      <c r="AG162" s="886">
        <f>IF(T162=AB162+AC162+AD162+AE162+AF162,0,Z162)</f>
        <v>15105241.086109947</v>
      </c>
      <c r="AH162" s="886">
        <f>SUM(AB162:AG162)</f>
        <v>135947169.77498955</v>
      </c>
      <c r="AI162" s="1077">
        <f t="shared" si="64"/>
        <v>619314884.5305078</v>
      </c>
    </row>
    <row r="163" spans="1:37" s="670" customFormat="1" ht="40.5" customHeight="1" x14ac:dyDescent="0.2">
      <c r="A163" s="669">
        <v>23</v>
      </c>
      <c r="B163" s="670" t="s">
        <v>2990</v>
      </c>
      <c r="C163" s="773" t="s">
        <v>4247</v>
      </c>
      <c r="D163" s="652"/>
      <c r="E163" s="671" t="s">
        <v>2672</v>
      </c>
      <c r="F163" s="672"/>
      <c r="G163" s="653" t="s">
        <v>1772</v>
      </c>
      <c r="H163" s="653" t="s">
        <v>39</v>
      </c>
      <c r="I163" s="673" t="s">
        <v>43</v>
      </c>
      <c r="J163" s="674" t="s">
        <v>1753</v>
      </c>
      <c r="K163" s="674" t="s">
        <v>835</v>
      </c>
      <c r="L163" s="674">
        <v>420</v>
      </c>
      <c r="M163" s="691" t="s">
        <v>425</v>
      </c>
      <c r="N163" s="674">
        <v>2009</v>
      </c>
      <c r="O163" s="674" t="s">
        <v>1842</v>
      </c>
      <c r="P163" s="675"/>
      <c r="Q163" s="673"/>
      <c r="R163" s="674"/>
      <c r="S163" s="675" t="s">
        <v>12</v>
      </c>
      <c r="T163" s="654">
        <f>1522324182.70312+F164</f>
        <v>1547128664.1561065</v>
      </c>
      <c r="U163" s="702"/>
      <c r="V163" s="1119"/>
      <c r="W163" s="647" t="str">
        <f t="shared" si="67"/>
        <v>03.11.01</v>
      </c>
      <c r="X163" s="648" t="str">
        <f t="shared" si="65"/>
        <v>Bangunan Gedung Tempat Kerja</v>
      </c>
      <c r="Y163" s="648">
        <f t="shared" si="66"/>
        <v>50</v>
      </c>
      <c r="Z163" s="649"/>
      <c r="AA163" s="718"/>
      <c r="AB163" s="649"/>
      <c r="AC163" s="649"/>
      <c r="AD163" s="649"/>
      <c r="AE163" s="649"/>
      <c r="AF163" s="649"/>
      <c r="AG163" s="650">
        <f>'PERHITUNGAN (C)'!U405</f>
        <v>29724713.936959628</v>
      </c>
      <c r="AH163" s="650">
        <f>'PERHITUNGAN (C)'!U408</f>
        <v>328415392.74076146</v>
      </c>
      <c r="AI163" s="677">
        <f t="shared" si="64"/>
        <v>1218713271.415345</v>
      </c>
    </row>
    <row r="164" spans="1:37" s="48" customFormat="1" ht="40.5" customHeight="1" x14ac:dyDescent="0.2">
      <c r="A164" s="296">
        <v>23</v>
      </c>
      <c r="B164" s="48" t="s">
        <v>2990</v>
      </c>
      <c r="C164" s="772" t="s">
        <v>4247</v>
      </c>
      <c r="D164" s="73"/>
      <c r="E164" s="65" t="s">
        <v>2684</v>
      </c>
      <c r="F164" s="555">
        <v>24804481.452986579</v>
      </c>
      <c r="G164" s="67" t="s">
        <v>1772</v>
      </c>
      <c r="H164" s="67" t="s">
        <v>39</v>
      </c>
      <c r="I164" s="33" t="s">
        <v>43</v>
      </c>
      <c r="J164" s="40" t="s">
        <v>1753</v>
      </c>
      <c r="K164" s="40" t="s">
        <v>835</v>
      </c>
      <c r="L164" s="40"/>
      <c r="M164" s="72" t="s">
        <v>425</v>
      </c>
      <c r="N164" s="40">
        <v>2011</v>
      </c>
      <c r="O164" s="40" t="s">
        <v>1879</v>
      </c>
      <c r="P164" s="32"/>
      <c r="Q164" s="33"/>
      <c r="R164" s="40"/>
      <c r="S164" s="32" t="s">
        <v>12</v>
      </c>
      <c r="T164" s="252"/>
      <c r="U164" s="105"/>
      <c r="V164" s="1116"/>
      <c r="W164" s="206" t="str">
        <f t="shared" si="67"/>
        <v>03.11.01</v>
      </c>
      <c r="X164" s="207" t="str">
        <f t="shared" si="65"/>
        <v>Bangunan Gedung Tempat Kerja</v>
      </c>
      <c r="Y164" s="207">
        <f t="shared" si="66"/>
        <v>50</v>
      </c>
      <c r="Z164" s="233"/>
      <c r="AA164" s="714"/>
      <c r="AB164" s="233"/>
      <c r="AC164" s="233"/>
      <c r="AD164" s="233"/>
      <c r="AE164" s="233"/>
      <c r="AF164" s="233"/>
      <c r="AG164" s="238"/>
      <c r="AH164" s="238"/>
      <c r="AI164" s="210">
        <f t="shared" si="64"/>
        <v>0</v>
      </c>
    </row>
    <row r="165" spans="1:37" s="946" customFormat="1" ht="40.5" customHeight="1" x14ac:dyDescent="0.2">
      <c r="A165" s="1306"/>
      <c r="C165" s="1075" t="s">
        <v>2302</v>
      </c>
      <c r="D165" s="890"/>
      <c r="E165" s="907" t="s">
        <v>1014</v>
      </c>
      <c r="F165" s="917"/>
      <c r="G165" s="878" t="s">
        <v>1752</v>
      </c>
      <c r="H165" s="878"/>
      <c r="I165" s="861" t="s">
        <v>43</v>
      </c>
      <c r="J165" s="862" t="s">
        <v>1753</v>
      </c>
      <c r="K165" s="862" t="s">
        <v>835</v>
      </c>
      <c r="L165" s="862"/>
      <c r="M165" s="863" t="s">
        <v>1844</v>
      </c>
      <c r="N165" s="862">
        <v>2009</v>
      </c>
      <c r="O165" s="862"/>
      <c r="P165" s="903"/>
      <c r="Q165" s="861"/>
      <c r="R165" s="862"/>
      <c r="S165" s="903" t="s">
        <v>12</v>
      </c>
      <c r="T165" s="879">
        <v>102500000</v>
      </c>
      <c r="U165" s="1081"/>
      <c r="V165" s="1118"/>
      <c r="W165" s="1124" t="str">
        <f t="shared" si="67"/>
        <v>03.11.01</v>
      </c>
      <c r="X165" s="884" t="str">
        <f t="shared" si="65"/>
        <v>Bangunan Gedung Tempat Kerja</v>
      </c>
      <c r="Y165" s="884">
        <f t="shared" si="66"/>
        <v>50</v>
      </c>
      <c r="Z165" s="868">
        <f t="shared" ref="Z165:Z207" si="68">T165/Y165</f>
        <v>2050000</v>
      </c>
      <c r="AA165" s="1051">
        <f t="shared" ref="AA165:AA207" si="69">IF(2013-N165&gt;Y165,Y165,IF(2013-N165&lt;0,0,2013-N165))</f>
        <v>4</v>
      </c>
      <c r="AB165" s="868">
        <f t="shared" ref="AB165:AB207" si="70">IF(AA165&gt;Y165,T165,Z165*AA165)</f>
        <v>8200000</v>
      </c>
      <c r="AC165" s="868">
        <f t="shared" ref="AC165:AC207" si="71">IF(T165=AB165,0,Z165)</f>
        <v>2050000</v>
      </c>
      <c r="AD165" s="868">
        <f t="shared" ref="AD165:AD207" si="72">IF(T165=AB165+AC165,0,Z165)</f>
        <v>2050000</v>
      </c>
      <c r="AE165" s="868">
        <f t="shared" ref="AE165:AE207" si="73">IF(T165=AB165+AC165+AD165,0,Z165)</f>
        <v>2050000</v>
      </c>
      <c r="AF165" s="886">
        <f t="shared" ref="AF165:AF207" si="74">IF(T165=AB165+AC165+AD165+AE165,0,Z165)</f>
        <v>2050000</v>
      </c>
      <c r="AG165" s="886">
        <f t="shared" ref="AG165:AG207" si="75">IF(T165=AB165+AC165+AD165+AE165+AF165,0,Z165)</f>
        <v>2050000</v>
      </c>
      <c r="AH165" s="886">
        <f t="shared" ref="AH165:AH207" si="76">SUM(AB165:AG165)</f>
        <v>18450000</v>
      </c>
      <c r="AI165" s="1077">
        <f t="shared" si="64"/>
        <v>84050000</v>
      </c>
    </row>
    <row r="166" spans="1:37" s="1083" customFormat="1" ht="40.5" customHeight="1" x14ac:dyDescent="0.2">
      <c r="A166" s="1082">
        <v>22</v>
      </c>
      <c r="B166" s="1083" t="s">
        <v>3017</v>
      </c>
      <c r="C166" s="1084" t="s">
        <v>4246</v>
      </c>
      <c r="D166" s="892"/>
      <c r="E166" s="1085" t="s">
        <v>4242</v>
      </c>
      <c r="F166" s="1086"/>
      <c r="G166" s="893" t="s">
        <v>1752</v>
      </c>
      <c r="H166" s="893" t="s">
        <v>68</v>
      </c>
      <c r="I166" s="1020" t="s">
        <v>43</v>
      </c>
      <c r="J166" s="1023" t="s">
        <v>1753</v>
      </c>
      <c r="K166" s="1023" t="s">
        <v>835</v>
      </c>
      <c r="L166" s="1023">
        <v>400</v>
      </c>
      <c r="M166" s="1024" t="s">
        <v>833</v>
      </c>
      <c r="N166" s="1023">
        <v>2011</v>
      </c>
      <c r="O166" s="1023" t="s">
        <v>1848</v>
      </c>
      <c r="P166" s="1087"/>
      <c r="Q166" s="1020"/>
      <c r="R166" s="1023"/>
      <c r="S166" s="1087" t="s">
        <v>12</v>
      </c>
      <c r="T166" s="894">
        <v>462952428.51459199</v>
      </c>
      <c r="U166" s="1088"/>
      <c r="V166" s="1120"/>
      <c r="W166" s="1124" t="str">
        <f t="shared" si="67"/>
        <v>03.11.01</v>
      </c>
      <c r="X166" s="884" t="str">
        <f t="shared" si="65"/>
        <v>Bangunan Gedung Tempat Kerja</v>
      </c>
      <c r="Y166" s="884">
        <f t="shared" si="66"/>
        <v>50</v>
      </c>
      <c r="Z166" s="868">
        <f t="shared" si="68"/>
        <v>9259048.5702918395</v>
      </c>
      <c r="AA166" s="1051">
        <f t="shared" si="69"/>
        <v>2</v>
      </c>
      <c r="AB166" s="868">
        <f t="shared" si="70"/>
        <v>18518097.140583679</v>
      </c>
      <c r="AC166" s="868">
        <f t="shared" si="71"/>
        <v>9259048.5702918395</v>
      </c>
      <c r="AD166" s="868">
        <f t="shared" si="72"/>
        <v>9259048.5702918395</v>
      </c>
      <c r="AE166" s="868">
        <f t="shared" si="73"/>
        <v>9259048.5702918395</v>
      </c>
      <c r="AF166" s="886">
        <f t="shared" si="74"/>
        <v>9259048.5702918395</v>
      </c>
      <c r="AG166" s="886">
        <f t="shared" si="75"/>
        <v>9259048.5702918395</v>
      </c>
      <c r="AH166" s="886">
        <f t="shared" si="76"/>
        <v>64813339.992042877</v>
      </c>
      <c r="AI166" s="1077">
        <f t="shared" si="64"/>
        <v>398139088.52254909</v>
      </c>
      <c r="AK166" s="1089"/>
    </row>
    <row r="167" spans="1:37" s="1083" customFormat="1" ht="40.5" customHeight="1" x14ac:dyDescent="0.2">
      <c r="A167" s="1082">
        <v>22</v>
      </c>
      <c r="B167" s="1083" t="s">
        <v>3017</v>
      </c>
      <c r="C167" s="1084" t="s">
        <v>4246</v>
      </c>
      <c r="D167" s="892"/>
      <c r="E167" s="1085" t="s">
        <v>2706</v>
      </c>
      <c r="F167" s="1086"/>
      <c r="G167" s="893" t="s">
        <v>1752</v>
      </c>
      <c r="H167" s="893" t="s">
        <v>1857</v>
      </c>
      <c r="I167" s="1020" t="s">
        <v>43</v>
      </c>
      <c r="J167" s="1023" t="s">
        <v>1786</v>
      </c>
      <c r="K167" s="1023" t="s">
        <v>1934</v>
      </c>
      <c r="L167" s="1023"/>
      <c r="M167" s="1024" t="s">
        <v>1947</v>
      </c>
      <c r="N167" s="1023">
        <v>2012</v>
      </c>
      <c r="O167" s="1023"/>
      <c r="P167" s="1087"/>
      <c r="Q167" s="1020"/>
      <c r="R167" s="1023"/>
      <c r="S167" s="1087" t="s">
        <v>12</v>
      </c>
      <c r="T167" s="894">
        <v>6327300</v>
      </c>
      <c r="U167" s="1088"/>
      <c r="V167" s="1120"/>
      <c r="W167" s="1124" t="str">
        <f t="shared" si="67"/>
        <v>03.11.01</v>
      </c>
      <c r="X167" s="884" t="str">
        <f t="shared" si="65"/>
        <v>Bangunan Gedung Tempat Kerja</v>
      </c>
      <c r="Y167" s="884">
        <f t="shared" si="66"/>
        <v>50</v>
      </c>
      <c r="Z167" s="868">
        <f t="shared" si="68"/>
        <v>126546</v>
      </c>
      <c r="AA167" s="1051">
        <f t="shared" si="69"/>
        <v>1</v>
      </c>
      <c r="AB167" s="868">
        <f t="shared" si="70"/>
        <v>126546</v>
      </c>
      <c r="AC167" s="868">
        <f t="shared" si="71"/>
        <v>126546</v>
      </c>
      <c r="AD167" s="868">
        <f t="shared" si="72"/>
        <v>126546</v>
      </c>
      <c r="AE167" s="868">
        <f t="shared" si="73"/>
        <v>126546</v>
      </c>
      <c r="AF167" s="886">
        <f t="shared" si="74"/>
        <v>126546</v>
      </c>
      <c r="AG167" s="886">
        <f t="shared" si="75"/>
        <v>126546</v>
      </c>
      <c r="AH167" s="886">
        <f t="shared" si="76"/>
        <v>759276</v>
      </c>
      <c r="AI167" s="1077">
        <f t="shared" si="64"/>
        <v>5568024</v>
      </c>
      <c r="AK167" s="1089"/>
    </row>
    <row r="168" spans="1:37" s="1083" customFormat="1" ht="40.5" customHeight="1" x14ac:dyDescent="0.2">
      <c r="A168" s="1082">
        <v>22</v>
      </c>
      <c r="B168" s="1083" t="s">
        <v>3017</v>
      </c>
      <c r="C168" s="1084" t="s">
        <v>4246</v>
      </c>
      <c r="D168" s="892"/>
      <c r="E168" s="1085" t="s">
        <v>2721</v>
      </c>
      <c r="F168" s="1086"/>
      <c r="G168" s="893" t="s">
        <v>1752</v>
      </c>
      <c r="H168" s="893"/>
      <c r="I168" s="1020" t="s">
        <v>43</v>
      </c>
      <c r="J168" s="1023"/>
      <c r="K168" s="1023"/>
      <c r="L168" s="1023"/>
      <c r="M168" s="1024" t="s">
        <v>1990</v>
      </c>
      <c r="N168" s="1023">
        <v>2013</v>
      </c>
      <c r="O168" s="1023"/>
      <c r="P168" s="1087"/>
      <c r="Q168" s="1020"/>
      <c r="R168" s="1023"/>
      <c r="S168" s="1087" t="s">
        <v>12</v>
      </c>
      <c r="T168" s="894">
        <v>36586943.055999883</v>
      </c>
      <c r="U168" s="1088"/>
      <c r="V168" s="1120"/>
      <c r="W168" s="1124" t="str">
        <f t="shared" si="67"/>
        <v>03.11.01</v>
      </c>
      <c r="X168" s="884" t="str">
        <f t="shared" si="65"/>
        <v>Bangunan Gedung Tempat Kerja</v>
      </c>
      <c r="Y168" s="884">
        <f t="shared" si="66"/>
        <v>50</v>
      </c>
      <c r="Z168" s="868">
        <f t="shared" si="68"/>
        <v>731738.86111999769</v>
      </c>
      <c r="AA168" s="1051">
        <f t="shared" si="69"/>
        <v>0</v>
      </c>
      <c r="AB168" s="868">
        <f t="shared" si="70"/>
        <v>0</v>
      </c>
      <c r="AC168" s="868">
        <f t="shared" si="71"/>
        <v>731738.86111999769</v>
      </c>
      <c r="AD168" s="868">
        <f t="shared" si="72"/>
        <v>731738.86111999769</v>
      </c>
      <c r="AE168" s="868">
        <f t="shared" si="73"/>
        <v>731738.86111999769</v>
      </c>
      <c r="AF168" s="886">
        <f t="shared" si="74"/>
        <v>731738.86111999769</v>
      </c>
      <c r="AG168" s="886">
        <f t="shared" si="75"/>
        <v>731738.86111999769</v>
      </c>
      <c r="AH168" s="886">
        <f t="shared" si="76"/>
        <v>3658694.3055999884</v>
      </c>
      <c r="AI168" s="1077">
        <f t="shared" si="64"/>
        <v>32928248.750399895</v>
      </c>
      <c r="AK168" s="1089"/>
    </row>
    <row r="169" spans="1:37" s="946" customFormat="1" ht="40.5" customHeight="1" x14ac:dyDescent="0.2">
      <c r="A169" s="1306">
        <v>23</v>
      </c>
      <c r="B169" s="946" t="s">
        <v>3018</v>
      </c>
      <c r="C169" s="1084" t="s">
        <v>4246</v>
      </c>
      <c r="D169" s="890"/>
      <c r="E169" s="907" t="s">
        <v>2674</v>
      </c>
      <c r="F169" s="917"/>
      <c r="G169" s="878" t="s">
        <v>1752</v>
      </c>
      <c r="H169" s="878" t="s">
        <v>1765</v>
      </c>
      <c r="I169" s="861" t="s">
        <v>43</v>
      </c>
      <c r="J169" s="862" t="s">
        <v>1753</v>
      </c>
      <c r="K169" s="862" t="s">
        <v>835</v>
      </c>
      <c r="L169" s="862">
        <v>400</v>
      </c>
      <c r="M169" s="863" t="s">
        <v>429</v>
      </c>
      <c r="N169" s="862">
        <v>2011</v>
      </c>
      <c r="O169" s="862" t="s">
        <v>1850</v>
      </c>
      <c r="P169" s="903"/>
      <c r="Q169" s="861"/>
      <c r="R169" s="862"/>
      <c r="S169" s="903" t="s">
        <v>12</v>
      </c>
      <c r="T169" s="879">
        <v>467879027.63128942</v>
      </c>
      <c r="U169" s="1081"/>
      <c r="V169" s="1118"/>
      <c r="W169" s="1124" t="str">
        <f t="shared" si="67"/>
        <v>03.11.01</v>
      </c>
      <c r="X169" s="884" t="str">
        <f t="shared" si="65"/>
        <v>Bangunan Gedung Tempat Kerja</v>
      </c>
      <c r="Y169" s="884">
        <f t="shared" si="66"/>
        <v>50</v>
      </c>
      <c r="Z169" s="868">
        <f t="shared" si="68"/>
        <v>9357580.5526257884</v>
      </c>
      <c r="AA169" s="1051">
        <f t="shared" si="69"/>
        <v>2</v>
      </c>
      <c r="AB169" s="868">
        <f t="shared" si="70"/>
        <v>18715161.105251577</v>
      </c>
      <c r="AC169" s="868">
        <f t="shared" si="71"/>
        <v>9357580.5526257884</v>
      </c>
      <c r="AD169" s="868">
        <f t="shared" si="72"/>
        <v>9357580.5526257884</v>
      </c>
      <c r="AE169" s="868">
        <f t="shared" si="73"/>
        <v>9357580.5526257884</v>
      </c>
      <c r="AF169" s="886">
        <f t="shared" si="74"/>
        <v>9357580.5526257884</v>
      </c>
      <c r="AG169" s="886">
        <f t="shared" si="75"/>
        <v>9357580.5526257884</v>
      </c>
      <c r="AH169" s="886">
        <f t="shared" si="76"/>
        <v>65503063.868380524</v>
      </c>
      <c r="AI169" s="1077">
        <f t="shared" si="64"/>
        <v>402375963.76290888</v>
      </c>
    </row>
    <row r="170" spans="1:37" s="946" customFormat="1" ht="40.5" customHeight="1" x14ac:dyDescent="0.2">
      <c r="A170" s="1306"/>
      <c r="C170" s="1075" t="s">
        <v>2302</v>
      </c>
      <c r="D170" s="890"/>
      <c r="E170" s="907" t="s">
        <v>2675</v>
      </c>
      <c r="F170" s="917"/>
      <c r="G170" s="878" t="s">
        <v>1752</v>
      </c>
      <c r="H170" s="878" t="s">
        <v>1768</v>
      </c>
      <c r="I170" s="861" t="s">
        <v>43</v>
      </c>
      <c r="J170" s="862" t="s">
        <v>1753</v>
      </c>
      <c r="K170" s="862" t="s">
        <v>835</v>
      </c>
      <c r="L170" s="862">
        <v>400</v>
      </c>
      <c r="M170" s="863" t="s">
        <v>1852</v>
      </c>
      <c r="N170" s="862">
        <v>2011</v>
      </c>
      <c r="O170" s="862" t="s">
        <v>1853</v>
      </c>
      <c r="P170" s="903"/>
      <c r="Q170" s="861"/>
      <c r="R170" s="862"/>
      <c r="S170" s="903" t="s">
        <v>12</v>
      </c>
      <c r="T170" s="879">
        <v>352125359.74023843</v>
      </c>
      <c r="U170" s="1081"/>
      <c r="V170" s="1118"/>
      <c r="W170" s="1124" t="str">
        <f t="shared" si="67"/>
        <v>03.11.01</v>
      </c>
      <c r="X170" s="884" t="str">
        <f t="shared" si="65"/>
        <v>Bangunan Gedung Tempat Kerja</v>
      </c>
      <c r="Y170" s="884">
        <f t="shared" si="66"/>
        <v>50</v>
      </c>
      <c r="Z170" s="868">
        <f t="shared" si="68"/>
        <v>7042507.194804769</v>
      </c>
      <c r="AA170" s="1051">
        <f t="shared" si="69"/>
        <v>2</v>
      </c>
      <c r="AB170" s="868">
        <f t="shared" si="70"/>
        <v>14085014.389609538</v>
      </c>
      <c r="AC170" s="868">
        <f t="shared" si="71"/>
        <v>7042507.194804769</v>
      </c>
      <c r="AD170" s="868">
        <f t="shared" si="72"/>
        <v>7042507.194804769</v>
      </c>
      <c r="AE170" s="868">
        <f t="shared" si="73"/>
        <v>7042507.194804769</v>
      </c>
      <c r="AF170" s="886">
        <f t="shared" si="74"/>
        <v>7042507.194804769</v>
      </c>
      <c r="AG170" s="886">
        <f t="shared" si="75"/>
        <v>7042507.194804769</v>
      </c>
      <c r="AH170" s="886">
        <f t="shared" si="76"/>
        <v>49297550.363633394</v>
      </c>
      <c r="AI170" s="1077">
        <f t="shared" si="64"/>
        <v>302827809.37660503</v>
      </c>
    </row>
    <row r="171" spans="1:37" s="946" customFormat="1" ht="40.5" customHeight="1" x14ac:dyDescent="0.2">
      <c r="A171" s="1306"/>
      <c r="C171" s="1075" t="s">
        <v>2302</v>
      </c>
      <c r="D171" s="890"/>
      <c r="E171" s="907" t="s">
        <v>2676</v>
      </c>
      <c r="F171" s="917"/>
      <c r="G171" s="878" t="s">
        <v>1752</v>
      </c>
      <c r="H171" s="878" t="s">
        <v>1855</v>
      </c>
      <c r="I171" s="861" t="s">
        <v>43</v>
      </c>
      <c r="J171" s="862" t="s">
        <v>1753</v>
      </c>
      <c r="K171" s="862" t="s">
        <v>835</v>
      </c>
      <c r="L171" s="862" t="s">
        <v>9</v>
      </c>
      <c r="M171" s="863" t="s">
        <v>420</v>
      </c>
      <c r="N171" s="862">
        <v>2011</v>
      </c>
      <c r="O171" s="862"/>
      <c r="P171" s="903"/>
      <c r="Q171" s="861"/>
      <c r="R171" s="862"/>
      <c r="S171" s="903" t="s">
        <v>12</v>
      </c>
      <c r="T171" s="879">
        <v>44841446.885704212</v>
      </c>
      <c r="U171" s="1081"/>
      <c r="V171" s="1118"/>
      <c r="W171" s="1124" t="str">
        <f t="shared" si="67"/>
        <v>03.11.01</v>
      </c>
      <c r="X171" s="884" t="str">
        <f t="shared" si="65"/>
        <v>Bangunan Gedung Tempat Kerja</v>
      </c>
      <c r="Y171" s="884">
        <f t="shared" si="66"/>
        <v>50</v>
      </c>
      <c r="Z171" s="868">
        <f t="shared" si="68"/>
        <v>896828.93771408428</v>
      </c>
      <c r="AA171" s="1051">
        <f t="shared" si="69"/>
        <v>2</v>
      </c>
      <c r="AB171" s="868">
        <f t="shared" si="70"/>
        <v>1793657.8754281686</v>
      </c>
      <c r="AC171" s="868">
        <f t="shared" si="71"/>
        <v>896828.93771408428</v>
      </c>
      <c r="AD171" s="868">
        <f t="shared" si="72"/>
        <v>896828.93771408428</v>
      </c>
      <c r="AE171" s="868">
        <f t="shared" si="73"/>
        <v>896828.93771408428</v>
      </c>
      <c r="AF171" s="886">
        <f t="shared" si="74"/>
        <v>896828.93771408428</v>
      </c>
      <c r="AG171" s="886">
        <f t="shared" si="75"/>
        <v>896828.93771408428</v>
      </c>
      <c r="AH171" s="886">
        <f t="shared" si="76"/>
        <v>6277802.5639985893</v>
      </c>
      <c r="AI171" s="1077">
        <f t="shared" si="64"/>
        <v>38563644.321705624</v>
      </c>
    </row>
    <row r="172" spans="1:37" s="946" customFormat="1" ht="40.5" customHeight="1" x14ac:dyDescent="0.2">
      <c r="A172" s="1306"/>
      <c r="C172" s="1075" t="s">
        <v>2302</v>
      </c>
      <c r="D172" s="890"/>
      <c r="E172" s="907" t="s">
        <v>2677</v>
      </c>
      <c r="F172" s="917"/>
      <c r="G172" s="878" t="s">
        <v>1752</v>
      </c>
      <c r="H172" s="878" t="s">
        <v>1857</v>
      </c>
      <c r="I172" s="861" t="s">
        <v>43</v>
      </c>
      <c r="J172" s="862" t="s">
        <v>1753</v>
      </c>
      <c r="K172" s="862" t="s">
        <v>835</v>
      </c>
      <c r="L172" s="862">
        <v>1139</v>
      </c>
      <c r="M172" s="863" t="s">
        <v>1858</v>
      </c>
      <c r="N172" s="862">
        <v>2011</v>
      </c>
      <c r="O172" s="862" t="s">
        <v>1859</v>
      </c>
      <c r="P172" s="903"/>
      <c r="Q172" s="861"/>
      <c r="R172" s="862"/>
      <c r="S172" s="903" t="s">
        <v>12</v>
      </c>
      <c r="T172" s="879">
        <v>204084502.48363465</v>
      </c>
      <c r="U172" s="1081"/>
      <c r="V172" s="1118"/>
      <c r="W172" s="1124" t="str">
        <f t="shared" si="67"/>
        <v>03.11.01</v>
      </c>
      <c r="X172" s="884" t="str">
        <f t="shared" si="65"/>
        <v>Bangunan Gedung Tempat Kerja</v>
      </c>
      <c r="Y172" s="884">
        <f t="shared" si="66"/>
        <v>50</v>
      </c>
      <c r="Z172" s="868">
        <f t="shared" si="68"/>
        <v>4081690.049672693</v>
      </c>
      <c r="AA172" s="1051">
        <f t="shared" si="69"/>
        <v>2</v>
      </c>
      <c r="AB172" s="868">
        <f t="shared" si="70"/>
        <v>8163380.099345386</v>
      </c>
      <c r="AC172" s="868">
        <f t="shared" si="71"/>
        <v>4081690.049672693</v>
      </c>
      <c r="AD172" s="868">
        <f t="shared" si="72"/>
        <v>4081690.049672693</v>
      </c>
      <c r="AE172" s="868">
        <f t="shared" si="73"/>
        <v>4081690.049672693</v>
      </c>
      <c r="AF172" s="886">
        <f t="shared" si="74"/>
        <v>4081690.049672693</v>
      </c>
      <c r="AG172" s="886">
        <f t="shared" si="75"/>
        <v>4081690.049672693</v>
      </c>
      <c r="AH172" s="886">
        <f t="shared" si="76"/>
        <v>28571830.347708851</v>
      </c>
      <c r="AI172" s="1077">
        <f t="shared" si="64"/>
        <v>175512672.1359258</v>
      </c>
    </row>
    <row r="173" spans="1:37" s="1083" customFormat="1" ht="40.5" customHeight="1" x14ac:dyDescent="0.2">
      <c r="A173" s="1082">
        <v>47</v>
      </c>
      <c r="B173" s="1083" t="s">
        <v>3011</v>
      </c>
      <c r="C173" s="1084" t="s">
        <v>4246</v>
      </c>
      <c r="D173" s="892"/>
      <c r="E173" s="1085" t="s">
        <v>2678</v>
      </c>
      <c r="F173" s="1086"/>
      <c r="G173" s="893" t="s">
        <v>1752</v>
      </c>
      <c r="H173" s="893" t="s">
        <v>1861</v>
      </c>
      <c r="I173" s="1020" t="s">
        <v>43</v>
      </c>
      <c r="J173" s="1023" t="s">
        <v>1753</v>
      </c>
      <c r="K173" s="1023" t="s">
        <v>835</v>
      </c>
      <c r="L173" s="1023" t="s">
        <v>9</v>
      </c>
      <c r="M173" s="1024" t="s">
        <v>417</v>
      </c>
      <c r="N173" s="1023">
        <v>2011</v>
      </c>
      <c r="O173" s="1023" t="s">
        <v>1862</v>
      </c>
      <c r="P173" s="1087"/>
      <c r="Q173" s="1020"/>
      <c r="R173" s="1023"/>
      <c r="S173" s="1087" t="s">
        <v>12</v>
      </c>
      <c r="T173" s="894">
        <v>597829835.18074048</v>
      </c>
      <c r="U173" s="1088"/>
      <c r="V173" s="1120"/>
      <c r="W173" s="1124" t="str">
        <f t="shared" si="67"/>
        <v>03.11.01</v>
      </c>
      <c r="X173" s="884" t="str">
        <f t="shared" si="65"/>
        <v>Bangunan Gedung Tempat Kerja</v>
      </c>
      <c r="Y173" s="884">
        <f t="shared" si="66"/>
        <v>50</v>
      </c>
      <c r="Z173" s="868">
        <f t="shared" si="68"/>
        <v>11956596.703614809</v>
      </c>
      <c r="AA173" s="1051">
        <f t="shared" si="69"/>
        <v>2</v>
      </c>
      <c r="AB173" s="868">
        <f t="shared" si="70"/>
        <v>23913193.407229617</v>
      </c>
      <c r="AC173" s="868">
        <f t="shared" si="71"/>
        <v>11956596.703614809</v>
      </c>
      <c r="AD173" s="868">
        <f t="shared" si="72"/>
        <v>11956596.703614809</v>
      </c>
      <c r="AE173" s="868">
        <f t="shared" si="73"/>
        <v>11956596.703614809</v>
      </c>
      <c r="AF173" s="886">
        <f t="shared" si="74"/>
        <v>11956596.703614809</v>
      </c>
      <c r="AG173" s="886">
        <f t="shared" si="75"/>
        <v>11956596.703614809</v>
      </c>
      <c r="AH173" s="886">
        <f t="shared" si="76"/>
        <v>83696176.925303668</v>
      </c>
      <c r="AI173" s="1077">
        <f t="shared" si="64"/>
        <v>514133658.25543678</v>
      </c>
      <c r="AK173" s="1089"/>
    </row>
    <row r="174" spans="1:37" s="1083" customFormat="1" ht="40.5" customHeight="1" x14ac:dyDescent="0.2">
      <c r="A174" s="1082">
        <v>47</v>
      </c>
      <c r="B174" s="1083" t="s">
        <v>3011</v>
      </c>
      <c r="C174" s="1084" t="s">
        <v>4246</v>
      </c>
      <c r="D174" s="892"/>
      <c r="E174" s="1085" t="s">
        <v>2707</v>
      </c>
      <c r="F174" s="1086"/>
      <c r="G174" s="893" t="s">
        <v>1752</v>
      </c>
      <c r="H174" s="893" t="s">
        <v>1861</v>
      </c>
      <c r="I174" s="1020" t="s">
        <v>43</v>
      </c>
      <c r="J174" s="1023" t="s">
        <v>1786</v>
      </c>
      <c r="K174" s="1023" t="s">
        <v>1934</v>
      </c>
      <c r="L174" s="1023"/>
      <c r="M174" s="1024" t="s">
        <v>417</v>
      </c>
      <c r="N174" s="1023">
        <v>2012</v>
      </c>
      <c r="O174" s="1023"/>
      <c r="P174" s="1087"/>
      <c r="Q174" s="1020"/>
      <c r="R174" s="1023"/>
      <c r="S174" s="1087" t="s">
        <v>12</v>
      </c>
      <c r="T174" s="894">
        <v>6335100</v>
      </c>
      <c r="U174" s="1088"/>
      <c r="V174" s="1120"/>
      <c r="W174" s="1124" t="str">
        <f t="shared" si="67"/>
        <v>03.11.01</v>
      </c>
      <c r="X174" s="884" t="str">
        <f t="shared" si="65"/>
        <v>Bangunan Gedung Tempat Kerja</v>
      </c>
      <c r="Y174" s="884">
        <f t="shared" si="66"/>
        <v>50</v>
      </c>
      <c r="Z174" s="868">
        <f t="shared" si="68"/>
        <v>126702</v>
      </c>
      <c r="AA174" s="1051">
        <f t="shared" si="69"/>
        <v>1</v>
      </c>
      <c r="AB174" s="868">
        <f t="shared" si="70"/>
        <v>126702</v>
      </c>
      <c r="AC174" s="868">
        <f t="shared" si="71"/>
        <v>126702</v>
      </c>
      <c r="AD174" s="868">
        <f t="shared" si="72"/>
        <v>126702</v>
      </c>
      <c r="AE174" s="868">
        <f t="shared" si="73"/>
        <v>126702</v>
      </c>
      <c r="AF174" s="886">
        <f t="shared" si="74"/>
        <v>126702</v>
      </c>
      <c r="AG174" s="886">
        <f t="shared" si="75"/>
        <v>126702</v>
      </c>
      <c r="AH174" s="886">
        <f t="shared" si="76"/>
        <v>760212</v>
      </c>
      <c r="AI174" s="1077">
        <f t="shared" si="64"/>
        <v>5574888</v>
      </c>
      <c r="AK174" s="1089"/>
    </row>
    <row r="175" spans="1:37" s="1083" customFormat="1" ht="40.5" customHeight="1" x14ac:dyDescent="0.2">
      <c r="A175" s="1082">
        <v>48</v>
      </c>
      <c r="B175" s="1083" t="s">
        <v>3011</v>
      </c>
      <c r="C175" s="1084" t="s">
        <v>4246</v>
      </c>
      <c r="D175" s="892"/>
      <c r="E175" s="1085" t="s">
        <v>2722</v>
      </c>
      <c r="F175" s="1086"/>
      <c r="G175" s="893" t="s">
        <v>1752</v>
      </c>
      <c r="H175" s="893"/>
      <c r="I175" s="1020" t="s">
        <v>43</v>
      </c>
      <c r="J175" s="1023"/>
      <c r="K175" s="1023"/>
      <c r="L175" s="1023"/>
      <c r="M175" s="1024" t="s">
        <v>417</v>
      </c>
      <c r="N175" s="1023">
        <v>2013</v>
      </c>
      <c r="O175" s="1023"/>
      <c r="P175" s="1087"/>
      <c r="Q175" s="1020"/>
      <c r="R175" s="1023"/>
      <c r="S175" s="1087" t="s">
        <v>12</v>
      </c>
      <c r="T175" s="894">
        <v>36632045.731048763</v>
      </c>
      <c r="U175" s="1088"/>
      <c r="V175" s="1120"/>
      <c r="W175" s="1124" t="str">
        <f t="shared" si="67"/>
        <v>03.11.01</v>
      </c>
      <c r="X175" s="884" t="str">
        <f t="shared" si="65"/>
        <v>Bangunan Gedung Tempat Kerja</v>
      </c>
      <c r="Y175" s="884">
        <f t="shared" si="66"/>
        <v>50</v>
      </c>
      <c r="Z175" s="868">
        <f t="shared" si="68"/>
        <v>732640.91462097527</v>
      </c>
      <c r="AA175" s="1051">
        <f t="shared" si="69"/>
        <v>0</v>
      </c>
      <c r="AB175" s="868">
        <f t="shared" si="70"/>
        <v>0</v>
      </c>
      <c r="AC175" s="868">
        <f t="shared" si="71"/>
        <v>732640.91462097527</v>
      </c>
      <c r="AD175" s="868">
        <f t="shared" si="72"/>
        <v>732640.91462097527</v>
      </c>
      <c r="AE175" s="868">
        <f t="shared" si="73"/>
        <v>732640.91462097527</v>
      </c>
      <c r="AF175" s="886">
        <f t="shared" si="74"/>
        <v>732640.91462097527</v>
      </c>
      <c r="AG175" s="886">
        <f t="shared" si="75"/>
        <v>732640.91462097527</v>
      </c>
      <c r="AH175" s="886">
        <f t="shared" si="76"/>
        <v>3663204.5731048761</v>
      </c>
      <c r="AI175" s="1077">
        <f t="shared" si="64"/>
        <v>32968841.157943886</v>
      </c>
      <c r="AK175" s="1089"/>
    </row>
    <row r="176" spans="1:37" s="1083" customFormat="1" ht="40.5" customHeight="1" x14ac:dyDescent="0.2">
      <c r="A176" s="1082">
        <v>48</v>
      </c>
      <c r="B176" s="1083" t="s">
        <v>3011</v>
      </c>
      <c r="C176" s="1084" t="s">
        <v>4246</v>
      </c>
      <c r="D176" s="892"/>
      <c r="E176" s="1085" t="s">
        <v>2756</v>
      </c>
      <c r="F176" s="1086"/>
      <c r="G176" s="893" t="s">
        <v>1752</v>
      </c>
      <c r="H176" s="893" t="s">
        <v>2086</v>
      </c>
      <c r="I176" s="1020" t="s">
        <v>43</v>
      </c>
      <c r="J176" s="1023" t="s">
        <v>1786</v>
      </c>
      <c r="K176" s="1023" t="s">
        <v>1934</v>
      </c>
      <c r="L176" s="1023"/>
      <c r="M176" s="1024" t="s">
        <v>417</v>
      </c>
      <c r="N176" s="1023">
        <v>2013</v>
      </c>
      <c r="O176" s="1023" t="s">
        <v>2087</v>
      </c>
      <c r="P176" s="1087"/>
      <c r="Q176" s="1020"/>
      <c r="R176" s="1023"/>
      <c r="S176" s="1087" t="s">
        <v>12</v>
      </c>
      <c r="T176" s="894">
        <v>426541000</v>
      </c>
      <c r="U176" s="1088"/>
      <c r="V176" s="1120"/>
      <c r="W176" s="1124" t="str">
        <f t="shared" si="67"/>
        <v>03.11.01</v>
      </c>
      <c r="X176" s="884" t="str">
        <f t="shared" si="65"/>
        <v>Bangunan Gedung Tempat Kerja</v>
      </c>
      <c r="Y176" s="884">
        <f t="shared" si="66"/>
        <v>50</v>
      </c>
      <c r="Z176" s="868">
        <f t="shared" si="68"/>
        <v>8530820</v>
      </c>
      <c r="AA176" s="1051">
        <f t="shared" si="69"/>
        <v>0</v>
      </c>
      <c r="AB176" s="868">
        <f t="shared" si="70"/>
        <v>0</v>
      </c>
      <c r="AC176" s="868">
        <f t="shared" si="71"/>
        <v>8530820</v>
      </c>
      <c r="AD176" s="868">
        <f t="shared" si="72"/>
        <v>8530820</v>
      </c>
      <c r="AE176" s="868">
        <f t="shared" si="73"/>
        <v>8530820</v>
      </c>
      <c r="AF176" s="886">
        <f t="shared" si="74"/>
        <v>8530820</v>
      </c>
      <c r="AG176" s="886">
        <f t="shared" si="75"/>
        <v>8530820</v>
      </c>
      <c r="AH176" s="886">
        <f t="shared" si="76"/>
        <v>42654100</v>
      </c>
      <c r="AI176" s="1077">
        <f t="shared" si="64"/>
        <v>383886900</v>
      </c>
      <c r="AK176" s="1089"/>
    </row>
    <row r="177" spans="1:35" s="946" customFormat="1" ht="40.5" customHeight="1" x14ac:dyDescent="0.2">
      <c r="A177" s="1306"/>
      <c r="C177" s="1075" t="s">
        <v>2302</v>
      </c>
      <c r="D177" s="890"/>
      <c r="E177" s="907" t="s">
        <v>2680</v>
      </c>
      <c r="F177" s="917"/>
      <c r="G177" s="878" t="s">
        <v>1867</v>
      </c>
      <c r="H177" s="878" t="s">
        <v>39</v>
      </c>
      <c r="I177" s="861" t="s">
        <v>43</v>
      </c>
      <c r="J177" s="862" t="s">
        <v>1753</v>
      </c>
      <c r="K177" s="862" t="s">
        <v>835</v>
      </c>
      <c r="L177" s="862"/>
      <c r="M177" s="863" t="s">
        <v>420</v>
      </c>
      <c r="N177" s="862">
        <v>2011</v>
      </c>
      <c r="O177" s="862" t="s">
        <v>1868</v>
      </c>
      <c r="P177" s="903"/>
      <c r="Q177" s="861"/>
      <c r="R177" s="862"/>
      <c r="S177" s="903" t="s">
        <v>12</v>
      </c>
      <c r="T177" s="879">
        <v>295881353.59703356</v>
      </c>
      <c r="U177" s="1081"/>
      <c r="V177" s="1118"/>
      <c r="W177" s="1124" t="str">
        <f t="shared" si="67"/>
        <v>03.12.02</v>
      </c>
      <c r="X177" s="884" t="str">
        <f t="shared" si="65"/>
        <v>Bangunan Bersejarah</v>
      </c>
      <c r="Y177" s="884">
        <f t="shared" si="66"/>
        <v>50</v>
      </c>
      <c r="Z177" s="868">
        <f t="shared" si="68"/>
        <v>5917627.0719406717</v>
      </c>
      <c r="AA177" s="1051">
        <f t="shared" si="69"/>
        <v>2</v>
      </c>
      <c r="AB177" s="868">
        <f t="shared" si="70"/>
        <v>11835254.143881343</v>
      </c>
      <c r="AC177" s="868">
        <f t="shared" si="71"/>
        <v>5917627.0719406717</v>
      </c>
      <c r="AD177" s="868">
        <f t="shared" si="72"/>
        <v>5917627.0719406717</v>
      </c>
      <c r="AE177" s="868">
        <f t="shared" si="73"/>
        <v>5917627.0719406717</v>
      </c>
      <c r="AF177" s="886">
        <f t="shared" si="74"/>
        <v>5917627.0719406717</v>
      </c>
      <c r="AG177" s="886">
        <f t="shared" si="75"/>
        <v>5917627.0719406717</v>
      </c>
      <c r="AH177" s="886">
        <f t="shared" si="76"/>
        <v>41423389.503584698</v>
      </c>
      <c r="AI177" s="1077">
        <f t="shared" si="64"/>
        <v>254457964.09344888</v>
      </c>
    </row>
    <row r="178" spans="1:35" s="946" customFormat="1" ht="40.5" customHeight="1" x14ac:dyDescent="0.2">
      <c r="A178" s="1306"/>
      <c r="C178" s="1075" t="s">
        <v>2302</v>
      </c>
      <c r="D178" s="890"/>
      <c r="E178" s="907" t="s">
        <v>2681</v>
      </c>
      <c r="F178" s="917"/>
      <c r="G178" s="878" t="s">
        <v>1752</v>
      </c>
      <c r="H178" s="878" t="s">
        <v>1870</v>
      </c>
      <c r="I178" s="861" t="s">
        <v>43</v>
      </c>
      <c r="J178" s="862" t="s">
        <v>1753</v>
      </c>
      <c r="K178" s="862" t="s">
        <v>835</v>
      </c>
      <c r="L178" s="862"/>
      <c r="M178" s="863" t="s">
        <v>1871</v>
      </c>
      <c r="N178" s="862">
        <v>2011</v>
      </c>
      <c r="O178" s="862" t="s">
        <v>1872</v>
      </c>
      <c r="P178" s="903"/>
      <c r="Q178" s="861"/>
      <c r="R178" s="862"/>
      <c r="S178" s="903" t="s">
        <v>12</v>
      </c>
      <c r="T178" s="879">
        <v>370753609.40306878</v>
      </c>
      <c r="U178" s="1081"/>
      <c r="V178" s="1118"/>
      <c r="W178" s="1124" t="str">
        <f t="shared" si="67"/>
        <v>03.11.01</v>
      </c>
      <c r="X178" s="884" t="str">
        <f t="shared" si="65"/>
        <v>Bangunan Gedung Tempat Kerja</v>
      </c>
      <c r="Y178" s="884">
        <f t="shared" si="66"/>
        <v>50</v>
      </c>
      <c r="Z178" s="868">
        <f t="shared" si="68"/>
        <v>7415072.1880613752</v>
      </c>
      <c r="AA178" s="1051">
        <f t="shared" si="69"/>
        <v>2</v>
      </c>
      <c r="AB178" s="868">
        <f t="shared" si="70"/>
        <v>14830144.37612275</v>
      </c>
      <c r="AC178" s="868">
        <f t="shared" si="71"/>
        <v>7415072.1880613752</v>
      </c>
      <c r="AD178" s="868">
        <f t="shared" si="72"/>
        <v>7415072.1880613752</v>
      </c>
      <c r="AE178" s="868">
        <f t="shared" si="73"/>
        <v>7415072.1880613752</v>
      </c>
      <c r="AF178" s="886">
        <f t="shared" si="74"/>
        <v>7415072.1880613752</v>
      </c>
      <c r="AG178" s="886">
        <f t="shared" si="75"/>
        <v>7415072.1880613752</v>
      </c>
      <c r="AH178" s="886">
        <f t="shared" si="76"/>
        <v>51905505.316429615</v>
      </c>
      <c r="AI178" s="1077">
        <f t="shared" si="64"/>
        <v>318848104.08663917</v>
      </c>
    </row>
    <row r="179" spans="1:35" s="946" customFormat="1" ht="40.5" customHeight="1" x14ac:dyDescent="0.2">
      <c r="A179" s="1306"/>
      <c r="C179" s="1075" t="s">
        <v>2302</v>
      </c>
      <c r="D179" s="890"/>
      <c r="E179" s="907" t="s">
        <v>2685</v>
      </c>
      <c r="F179" s="917"/>
      <c r="G179" s="878" t="s">
        <v>1881</v>
      </c>
      <c r="H179" s="878" t="s">
        <v>39</v>
      </c>
      <c r="I179" s="861" t="s">
        <v>43</v>
      </c>
      <c r="J179" s="862"/>
      <c r="K179" s="862" t="s">
        <v>835</v>
      </c>
      <c r="L179" s="862"/>
      <c r="M179" s="863" t="s">
        <v>420</v>
      </c>
      <c r="N179" s="862">
        <v>2011</v>
      </c>
      <c r="O179" s="862" t="s">
        <v>1882</v>
      </c>
      <c r="P179" s="903"/>
      <c r="Q179" s="861"/>
      <c r="R179" s="862"/>
      <c r="S179" s="903" t="s">
        <v>12</v>
      </c>
      <c r="T179" s="879">
        <v>445621061.3068198</v>
      </c>
      <c r="U179" s="1081"/>
      <c r="V179" s="1118"/>
      <c r="W179" s="1124" t="str">
        <f t="shared" si="67"/>
        <v>03.11.02</v>
      </c>
      <c r="X179" s="884" t="str">
        <f t="shared" si="65"/>
        <v>Bangunan Gedung Tempat Tinggal</v>
      </c>
      <c r="Y179" s="884">
        <f t="shared" si="66"/>
        <v>50</v>
      </c>
      <c r="Z179" s="868">
        <f t="shared" si="68"/>
        <v>8912421.2261363957</v>
      </c>
      <c r="AA179" s="1051">
        <f t="shared" si="69"/>
        <v>2</v>
      </c>
      <c r="AB179" s="868">
        <f t="shared" si="70"/>
        <v>17824842.452272791</v>
      </c>
      <c r="AC179" s="868">
        <f t="shared" si="71"/>
        <v>8912421.2261363957</v>
      </c>
      <c r="AD179" s="868">
        <f t="shared" si="72"/>
        <v>8912421.2261363957</v>
      </c>
      <c r="AE179" s="868">
        <f t="shared" si="73"/>
        <v>8912421.2261363957</v>
      </c>
      <c r="AF179" s="886">
        <f t="shared" si="74"/>
        <v>8912421.2261363957</v>
      </c>
      <c r="AG179" s="886">
        <f t="shared" si="75"/>
        <v>8912421.2261363957</v>
      </c>
      <c r="AH179" s="886">
        <f t="shared" si="76"/>
        <v>62386948.582954764</v>
      </c>
      <c r="AI179" s="1077">
        <f t="shared" si="64"/>
        <v>383234112.72386503</v>
      </c>
    </row>
    <row r="180" spans="1:35" s="946" customFormat="1" ht="40.5" customHeight="1" x14ac:dyDescent="0.2">
      <c r="A180" s="1306"/>
      <c r="C180" s="1075" t="s">
        <v>2302</v>
      </c>
      <c r="D180" s="890"/>
      <c r="E180" s="907" t="s">
        <v>2686</v>
      </c>
      <c r="F180" s="917"/>
      <c r="G180" s="878" t="s">
        <v>1884</v>
      </c>
      <c r="H180" s="878" t="s">
        <v>39</v>
      </c>
      <c r="I180" s="861" t="s">
        <v>43</v>
      </c>
      <c r="J180" s="862" t="s">
        <v>1753</v>
      </c>
      <c r="K180" s="862" t="s">
        <v>835</v>
      </c>
      <c r="L180" s="862"/>
      <c r="M180" s="863" t="s">
        <v>420</v>
      </c>
      <c r="N180" s="862">
        <v>2011</v>
      </c>
      <c r="O180" s="862" t="s">
        <v>1885</v>
      </c>
      <c r="P180" s="903"/>
      <c r="Q180" s="861"/>
      <c r="R180" s="862"/>
      <c r="S180" s="903" t="s">
        <v>12</v>
      </c>
      <c r="T180" s="879">
        <v>108853060.37847494</v>
      </c>
      <c r="U180" s="1081"/>
      <c r="V180" s="1118"/>
      <c r="W180" s="1124" t="str">
        <f t="shared" si="67"/>
        <v>03.11.02</v>
      </c>
      <c r="X180" s="884" t="str">
        <f t="shared" si="65"/>
        <v>Bangunan Gedung Tempat Tinggal</v>
      </c>
      <c r="Y180" s="884">
        <f t="shared" si="66"/>
        <v>50</v>
      </c>
      <c r="Z180" s="868">
        <f t="shared" si="68"/>
        <v>2177061.2075694986</v>
      </c>
      <c r="AA180" s="1051">
        <f t="shared" si="69"/>
        <v>2</v>
      </c>
      <c r="AB180" s="868">
        <f t="shared" si="70"/>
        <v>4354122.4151389971</v>
      </c>
      <c r="AC180" s="868">
        <f t="shared" si="71"/>
        <v>2177061.2075694986</v>
      </c>
      <c r="AD180" s="868">
        <f t="shared" si="72"/>
        <v>2177061.2075694986</v>
      </c>
      <c r="AE180" s="868">
        <f t="shared" si="73"/>
        <v>2177061.2075694986</v>
      </c>
      <c r="AF180" s="886">
        <f t="shared" si="74"/>
        <v>2177061.2075694986</v>
      </c>
      <c r="AG180" s="886">
        <f t="shared" si="75"/>
        <v>2177061.2075694986</v>
      </c>
      <c r="AH180" s="886">
        <f t="shared" si="76"/>
        <v>15239428.45298649</v>
      </c>
      <c r="AI180" s="1077">
        <f t="shared" si="64"/>
        <v>93613631.925488442</v>
      </c>
    </row>
    <row r="181" spans="1:35" s="946" customFormat="1" ht="40.5" customHeight="1" x14ac:dyDescent="0.2">
      <c r="A181" s="1306"/>
      <c r="C181" s="1075" t="s">
        <v>2302</v>
      </c>
      <c r="D181" s="890"/>
      <c r="E181" s="907" t="s">
        <v>2687</v>
      </c>
      <c r="F181" s="917"/>
      <c r="G181" s="878" t="s">
        <v>1887</v>
      </c>
      <c r="H181" s="878" t="s">
        <v>1888</v>
      </c>
      <c r="I181" s="861" t="s">
        <v>43</v>
      </c>
      <c r="J181" s="862" t="s">
        <v>1753</v>
      </c>
      <c r="K181" s="862" t="s">
        <v>835</v>
      </c>
      <c r="L181" s="862">
        <v>120</v>
      </c>
      <c r="M181" s="863" t="s">
        <v>1889</v>
      </c>
      <c r="N181" s="862">
        <v>2011</v>
      </c>
      <c r="O181" s="862" t="s">
        <v>1890</v>
      </c>
      <c r="P181" s="903"/>
      <c r="Q181" s="861"/>
      <c r="R181" s="862"/>
      <c r="S181" s="903" t="s">
        <v>12</v>
      </c>
      <c r="T181" s="879">
        <v>358193812.42158926</v>
      </c>
      <c r="U181" s="1081"/>
      <c r="V181" s="1118"/>
      <c r="W181" s="1124" t="str">
        <f t="shared" si="67"/>
        <v>03.11.01</v>
      </c>
      <c r="X181" s="884" t="str">
        <f t="shared" si="65"/>
        <v>Bangunan Gedung Tempat Kerja</v>
      </c>
      <c r="Y181" s="884">
        <f t="shared" si="66"/>
        <v>50</v>
      </c>
      <c r="Z181" s="868">
        <f t="shared" si="68"/>
        <v>7163876.248431785</v>
      </c>
      <c r="AA181" s="1051">
        <f t="shared" si="69"/>
        <v>2</v>
      </c>
      <c r="AB181" s="868">
        <f t="shared" si="70"/>
        <v>14327752.49686357</v>
      </c>
      <c r="AC181" s="868">
        <f t="shared" si="71"/>
        <v>7163876.248431785</v>
      </c>
      <c r="AD181" s="868">
        <f t="shared" si="72"/>
        <v>7163876.248431785</v>
      </c>
      <c r="AE181" s="868">
        <f t="shared" si="73"/>
        <v>7163876.248431785</v>
      </c>
      <c r="AF181" s="886">
        <f t="shared" si="74"/>
        <v>7163876.248431785</v>
      </c>
      <c r="AG181" s="886">
        <f t="shared" si="75"/>
        <v>7163876.248431785</v>
      </c>
      <c r="AH181" s="886">
        <f t="shared" si="76"/>
        <v>50147133.739022501</v>
      </c>
      <c r="AI181" s="1077">
        <f t="shared" si="64"/>
        <v>308046678.68256676</v>
      </c>
    </row>
    <row r="182" spans="1:35" s="946" customFormat="1" ht="40.5" customHeight="1" x14ac:dyDescent="0.2">
      <c r="A182" s="1306"/>
      <c r="C182" s="1075" t="s">
        <v>2302</v>
      </c>
      <c r="D182" s="890"/>
      <c r="E182" s="907" t="s">
        <v>2689</v>
      </c>
      <c r="F182" s="917"/>
      <c r="G182" s="878" t="s">
        <v>1887</v>
      </c>
      <c r="H182" s="878" t="s">
        <v>1895</v>
      </c>
      <c r="I182" s="861" t="s">
        <v>43</v>
      </c>
      <c r="J182" s="862" t="s">
        <v>1753</v>
      </c>
      <c r="K182" s="862" t="s">
        <v>835</v>
      </c>
      <c r="L182" s="862">
        <v>120</v>
      </c>
      <c r="M182" s="863" t="s">
        <v>1896</v>
      </c>
      <c r="N182" s="862">
        <v>2011</v>
      </c>
      <c r="O182" s="862" t="s">
        <v>1897</v>
      </c>
      <c r="P182" s="903"/>
      <c r="Q182" s="861"/>
      <c r="R182" s="862"/>
      <c r="S182" s="903" t="s">
        <v>12</v>
      </c>
      <c r="T182" s="879">
        <v>364814419.24170172</v>
      </c>
      <c r="U182" s="1081"/>
      <c r="V182" s="1118"/>
      <c r="W182" s="1124" t="str">
        <f t="shared" si="67"/>
        <v>03.11.01</v>
      </c>
      <c r="X182" s="884" t="str">
        <f t="shared" si="65"/>
        <v>Bangunan Gedung Tempat Kerja</v>
      </c>
      <c r="Y182" s="884">
        <f t="shared" si="66"/>
        <v>50</v>
      </c>
      <c r="Z182" s="868">
        <f t="shared" si="68"/>
        <v>7296288.3848340344</v>
      </c>
      <c r="AA182" s="1051">
        <f t="shared" si="69"/>
        <v>2</v>
      </c>
      <c r="AB182" s="868">
        <f t="shared" si="70"/>
        <v>14592576.769668069</v>
      </c>
      <c r="AC182" s="868">
        <f t="shared" si="71"/>
        <v>7296288.3848340344</v>
      </c>
      <c r="AD182" s="868">
        <f t="shared" si="72"/>
        <v>7296288.3848340344</v>
      </c>
      <c r="AE182" s="868">
        <f t="shared" si="73"/>
        <v>7296288.3848340344</v>
      </c>
      <c r="AF182" s="886">
        <f t="shared" si="74"/>
        <v>7296288.3848340344</v>
      </c>
      <c r="AG182" s="886">
        <f t="shared" si="75"/>
        <v>7296288.3848340344</v>
      </c>
      <c r="AH182" s="886">
        <f t="shared" si="76"/>
        <v>51074018.693838246</v>
      </c>
      <c r="AI182" s="1077">
        <f t="shared" si="64"/>
        <v>313740400.54786348</v>
      </c>
    </row>
    <row r="183" spans="1:35" s="946" customFormat="1" ht="40.5" customHeight="1" x14ac:dyDescent="0.2">
      <c r="A183" s="1306"/>
      <c r="C183" s="1075" t="s">
        <v>2302</v>
      </c>
      <c r="D183" s="890"/>
      <c r="E183" s="907" t="s">
        <v>2690</v>
      </c>
      <c r="F183" s="917"/>
      <c r="G183" s="878" t="s">
        <v>1887</v>
      </c>
      <c r="H183" s="878" t="s">
        <v>1899</v>
      </c>
      <c r="I183" s="861" t="s">
        <v>43</v>
      </c>
      <c r="J183" s="862" t="s">
        <v>1753</v>
      </c>
      <c r="K183" s="862" t="s">
        <v>835</v>
      </c>
      <c r="L183" s="862">
        <v>120</v>
      </c>
      <c r="M183" s="863" t="s">
        <v>1900</v>
      </c>
      <c r="N183" s="862">
        <v>2011</v>
      </c>
      <c r="O183" s="862" t="s">
        <v>1901</v>
      </c>
      <c r="P183" s="903"/>
      <c r="Q183" s="861"/>
      <c r="R183" s="862"/>
      <c r="S183" s="903" t="s">
        <v>12</v>
      </c>
      <c r="T183" s="879">
        <v>296190899.72203624</v>
      </c>
      <c r="U183" s="1081"/>
      <c r="V183" s="1118"/>
      <c r="W183" s="1124" t="str">
        <f t="shared" si="67"/>
        <v>03.11.01</v>
      </c>
      <c r="X183" s="884" t="str">
        <f t="shared" si="65"/>
        <v>Bangunan Gedung Tempat Kerja</v>
      </c>
      <c r="Y183" s="884">
        <f t="shared" si="66"/>
        <v>50</v>
      </c>
      <c r="Z183" s="868">
        <f t="shared" si="68"/>
        <v>5923817.9944407251</v>
      </c>
      <c r="AA183" s="1051">
        <f t="shared" si="69"/>
        <v>2</v>
      </c>
      <c r="AB183" s="868">
        <f t="shared" si="70"/>
        <v>11847635.98888145</v>
      </c>
      <c r="AC183" s="868">
        <f t="shared" si="71"/>
        <v>5923817.9944407251</v>
      </c>
      <c r="AD183" s="868">
        <f t="shared" si="72"/>
        <v>5923817.9944407251</v>
      </c>
      <c r="AE183" s="868">
        <f t="shared" si="73"/>
        <v>5923817.9944407251</v>
      </c>
      <c r="AF183" s="886">
        <f t="shared" si="74"/>
        <v>5923817.9944407251</v>
      </c>
      <c r="AG183" s="886">
        <f t="shared" si="75"/>
        <v>5923817.9944407251</v>
      </c>
      <c r="AH183" s="886">
        <f t="shared" si="76"/>
        <v>41466725.961085081</v>
      </c>
      <c r="AI183" s="1077">
        <f t="shared" si="64"/>
        <v>254724173.76095116</v>
      </c>
    </row>
    <row r="184" spans="1:35" s="946" customFormat="1" ht="40.5" customHeight="1" x14ac:dyDescent="0.2">
      <c r="A184" s="1306"/>
      <c r="C184" s="1075" t="s">
        <v>2302</v>
      </c>
      <c r="D184" s="890"/>
      <c r="E184" s="907" t="s">
        <v>2691</v>
      </c>
      <c r="F184" s="917"/>
      <c r="G184" s="878" t="s">
        <v>1887</v>
      </c>
      <c r="H184" s="878" t="s">
        <v>1701</v>
      </c>
      <c r="I184" s="861" t="s">
        <v>43</v>
      </c>
      <c r="J184" s="862" t="s">
        <v>1753</v>
      </c>
      <c r="K184" s="862" t="s">
        <v>835</v>
      </c>
      <c r="L184" s="862">
        <v>120</v>
      </c>
      <c r="M184" s="863" t="s">
        <v>1903</v>
      </c>
      <c r="N184" s="862">
        <v>2011</v>
      </c>
      <c r="O184" s="862" t="s">
        <v>1904</v>
      </c>
      <c r="P184" s="903"/>
      <c r="Q184" s="861"/>
      <c r="R184" s="862"/>
      <c r="S184" s="903" t="s">
        <v>12</v>
      </c>
      <c r="T184" s="879">
        <v>369887614.54344255</v>
      </c>
      <c r="U184" s="1081"/>
      <c r="V184" s="1118"/>
      <c r="W184" s="1124" t="str">
        <f t="shared" si="67"/>
        <v>03.11.01</v>
      </c>
      <c r="X184" s="884" t="str">
        <f t="shared" si="65"/>
        <v>Bangunan Gedung Tempat Kerja</v>
      </c>
      <c r="Y184" s="884">
        <f t="shared" si="66"/>
        <v>50</v>
      </c>
      <c r="Z184" s="868">
        <f t="shared" si="68"/>
        <v>7397752.2908688514</v>
      </c>
      <c r="AA184" s="1051">
        <f t="shared" si="69"/>
        <v>2</v>
      </c>
      <c r="AB184" s="868">
        <f t="shared" si="70"/>
        <v>14795504.581737703</v>
      </c>
      <c r="AC184" s="868">
        <f t="shared" si="71"/>
        <v>7397752.2908688514</v>
      </c>
      <c r="AD184" s="868">
        <f t="shared" si="72"/>
        <v>7397752.2908688514</v>
      </c>
      <c r="AE184" s="868">
        <f t="shared" si="73"/>
        <v>7397752.2908688514</v>
      </c>
      <c r="AF184" s="886">
        <f t="shared" si="74"/>
        <v>7397752.2908688514</v>
      </c>
      <c r="AG184" s="886">
        <f t="shared" si="75"/>
        <v>7397752.2908688514</v>
      </c>
      <c r="AH184" s="886">
        <f t="shared" si="76"/>
        <v>51784266.036081955</v>
      </c>
      <c r="AI184" s="1077">
        <f t="shared" si="64"/>
        <v>318103348.50736058</v>
      </c>
    </row>
    <row r="185" spans="1:35" s="946" customFormat="1" ht="40.5" customHeight="1" x14ac:dyDescent="0.2">
      <c r="A185" s="1306"/>
      <c r="C185" s="1075" t="s">
        <v>2302</v>
      </c>
      <c r="D185" s="890"/>
      <c r="E185" s="907" t="s">
        <v>2692</v>
      </c>
      <c r="F185" s="917"/>
      <c r="G185" s="878" t="s">
        <v>1887</v>
      </c>
      <c r="H185" s="878" t="s">
        <v>1906</v>
      </c>
      <c r="I185" s="861" t="s">
        <v>43</v>
      </c>
      <c r="J185" s="862" t="s">
        <v>1753</v>
      </c>
      <c r="K185" s="862" t="s">
        <v>835</v>
      </c>
      <c r="L185" s="862">
        <v>120</v>
      </c>
      <c r="M185" s="863" t="s">
        <v>1907</v>
      </c>
      <c r="N185" s="862">
        <v>2011</v>
      </c>
      <c r="O185" s="862" t="s">
        <v>1908</v>
      </c>
      <c r="P185" s="903"/>
      <c r="Q185" s="861"/>
      <c r="R185" s="862"/>
      <c r="S185" s="903" t="s">
        <v>12</v>
      </c>
      <c r="T185" s="879">
        <v>321953506.89305788</v>
      </c>
      <c r="U185" s="1081"/>
      <c r="V185" s="1118"/>
      <c r="W185" s="1124" t="str">
        <f t="shared" si="67"/>
        <v>03.11.01</v>
      </c>
      <c r="X185" s="884" t="str">
        <f t="shared" si="65"/>
        <v>Bangunan Gedung Tempat Kerja</v>
      </c>
      <c r="Y185" s="884">
        <f t="shared" si="66"/>
        <v>50</v>
      </c>
      <c r="Z185" s="868">
        <f t="shared" si="68"/>
        <v>6439070.1378611578</v>
      </c>
      <c r="AA185" s="1051">
        <f t="shared" si="69"/>
        <v>2</v>
      </c>
      <c r="AB185" s="868">
        <f t="shared" si="70"/>
        <v>12878140.275722316</v>
      </c>
      <c r="AC185" s="868">
        <f t="shared" si="71"/>
        <v>6439070.1378611578</v>
      </c>
      <c r="AD185" s="868">
        <f t="shared" si="72"/>
        <v>6439070.1378611578</v>
      </c>
      <c r="AE185" s="868">
        <f t="shared" si="73"/>
        <v>6439070.1378611578</v>
      </c>
      <c r="AF185" s="886">
        <f t="shared" si="74"/>
        <v>6439070.1378611578</v>
      </c>
      <c r="AG185" s="886">
        <f t="shared" si="75"/>
        <v>6439070.1378611578</v>
      </c>
      <c r="AH185" s="886">
        <f t="shared" si="76"/>
        <v>45073490.9650281</v>
      </c>
      <c r="AI185" s="1077">
        <f t="shared" si="64"/>
        <v>276880015.92802978</v>
      </c>
    </row>
    <row r="186" spans="1:35" s="946" customFormat="1" ht="40.5" customHeight="1" x14ac:dyDescent="0.2">
      <c r="A186" s="1306"/>
      <c r="C186" s="1075" t="s">
        <v>2302</v>
      </c>
      <c r="D186" s="890"/>
      <c r="E186" s="907" t="s">
        <v>2693</v>
      </c>
      <c r="F186" s="917"/>
      <c r="G186" s="878" t="s">
        <v>1887</v>
      </c>
      <c r="H186" s="878" t="s">
        <v>1910</v>
      </c>
      <c r="I186" s="861" t="s">
        <v>43</v>
      </c>
      <c r="J186" s="862" t="s">
        <v>1753</v>
      </c>
      <c r="K186" s="862" t="s">
        <v>835</v>
      </c>
      <c r="L186" s="862"/>
      <c r="M186" s="863" t="s">
        <v>1911</v>
      </c>
      <c r="N186" s="862">
        <v>2012</v>
      </c>
      <c r="O186" s="862"/>
      <c r="P186" s="903"/>
      <c r="Q186" s="861"/>
      <c r="R186" s="862"/>
      <c r="S186" s="903" t="s">
        <v>12</v>
      </c>
      <c r="T186" s="879">
        <v>369737433.94443774</v>
      </c>
      <c r="U186" s="1081"/>
      <c r="V186" s="1118"/>
      <c r="W186" s="1124" t="str">
        <f t="shared" si="67"/>
        <v>03.11.01</v>
      </c>
      <c r="X186" s="884" t="str">
        <f t="shared" si="65"/>
        <v>Bangunan Gedung Tempat Kerja</v>
      </c>
      <c r="Y186" s="884">
        <f t="shared" si="66"/>
        <v>50</v>
      </c>
      <c r="Z186" s="868">
        <f t="shared" si="68"/>
        <v>7394748.6788887549</v>
      </c>
      <c r="AA186" s="1051">
        <f t="shared" si="69"/>
        <v>1</v>
      </c>
      <c r="AB186" s="868">
        <f t="shared" si="70"/>
        <v>7394748.6788887549</v>
      </c>
      <c r="AC186" s="868">
        <f t="shared" si="71"/>
        <v>7394748.6788887549</v>
      </c>
      <c r="AD186" s="868">
        <f t="shared" si="72"/>
        <v>7394748.6788887549</v>
      </c>
      <c r="AE186" s="868">
        <f t="shared" si="73"/>
        <v>7394748.6788887549</v>
      </c>
      <c r="AF186" s="886">
        <f t="shared" si="74"/>
        <v>7394748.6788887549</v>
      </c>
      <c r="AG186" s="886">
        <f t="shared" si="75"/>
        <v>7394748.6788887549</v>
      </c>
      <c r="AH186" s="886">
        <f t="shared" si="76"/>
        <v>44368492.073332526</v>
      </c>
      <c r="AI186" s="1077">
        <f t="shared" si="64"/>
        <v>325368941.87110519</v>
      </c>
    </row>
    <row r="187" spans="1:35" s="946" customFormat="1" ht="40.5" customHeight="1" x14ac:dyDescent="0.2">
      <c r="A187" s="1306"/>
      <c r="C187" s="1075" t="s">
        <v>2302</v>
      </c>
      <c r="D187" s="890"/>
      <c r="E187" s="907" t="s">
        <v>2694</v>
      </c>
      <c r="F187" s="917"/>
      <c r="G187" s="878" t="s">
        <v>1887</v>
      </c>
      <c r="H187" s="878" t="s">
        <v>1913</v>
      </c>
      <c r="I187" s="861" t="s">
        <v>43</v>
      </c>
      <c r="J187" s="862" t="s">
        <v>1753</v>
      </c>
      <c r="K187" s="862" t="s">
        <v>835</v>
      </c>
      <c r="L187" s="862">
        <v>400</v>
      </c>
      <c r="M187" s="863" t="s">
        <v>837</v>
      </c>
      <c r="N187" s="862">
        <v>2011</v>
      </c>
      <c r="O187" s="862" t="s">
        <v>1914</v>
      </c>
      <c r="P187" s="903"/>
      <c r="Q187" s="861"/>
      <c r="R187" s="862"/>
      <c r="S187" s="903" t="s">
        <v>12</v>
      </c>
      <c r="T187" s="879">
        <v>418841604.26034129</v>
      </c>
      <c r="U187" s="1081"/>
      <c r="V187" s="1118"/>
      <c r="W187" s="1124" t="str">
        <f t="shared" si="67"/>
        <v>03.11.01</v>
      </c>
      <c r="X187" s="884" t="str">
        <f t="shared" si="65"/>
        <v>Bangunan Gedung Tempat Kerja</v>
      </c>
      <c r="Y187" s="884">
        <f t="shared" si="66"/>
        <v>50</v>
      </c>
      <c r="Z187" s="868">
        <f t="shared" si="68"/>
        <v>8376832.0852068253</v>
      </c>
      <c r="AA187" s="1051">
        <f t="shared" si="69"/>
        <v>2</v>
      </c>
      <c r="AB187" s="868">
        <f t="shared" si="70"/>
        <v>16753664.170413651</v>
      </c>
      <c r="AC187" s="868">
        <f t="shared" si="71"/>
        <v>8376832.0852068253</v>
      </c>
      <c r="AD187" s="868">
        <f t="shared" si="72"/>
        <v>8376832.0852068253</v>
      </c>
      <c r="AE187" s="868">
        <f t="shared" si="73"/>
        <v>8376832.0852068253</v>
      </c>
      <c r="AF187" s="886">
        <f t="shared" si="74"/>
        <v>8376832.0852068253</v>
      </c>
      <c r="AG187" s="886">
        <f t="shared" si="75"/>
        <v>8376832.0852068253</v>
      </c>
      <c r="AH187" s="886">
        <f t="shared" si="76"/>
        <v>58637824.596447766</v>
      </c>
      <c r="AI187" s="1077">
        <f t="shared" si="64"/>
        <v>360203779.66389352</v>
      </c>
    </row>
    <row r="188" spans="1:35" s="946" customFormat="1" ht="40.5" customHeight="1" x14ac:dyDescent="0.2">
      <c r="A188" s="1306"/>
      <c r="C188" s="1075" t="s">
        <v>2302</v>
      </c>
      <c r="D188" s="890"/>
      <c r="E188" s="907" t="s">
        <v>2695</v>
      </c>
      <c r="F188" s="917"/>
      <c r="G188" s="878" t="s">
        <v>1887</v>
      </c>
      <c r="H188" s="878" t="s">
        <v>1916</v>
      </c>
      <c r="I188" s="861" t="s">
        <v>43</v>
      </c>
      <c r="J188" s="862" t="s">
        <v>1753</v>
      </c>
      <c r="K188" s="862" t="s">
        <v>835</v>
      </c>
      <c r="L188" s="862">
        <v>120</v>
      </c>
      <c r="M188" s="863" t="s">
        <v>1917</v>
      </c>
      <c r="N188" s="862">
        <v>2011</v>
      </c>
      <c r="O188" s="862" t="s">
        <v>1918</v>
      </c>
      <c r="P188" s="903"/>
      <c r="Q188" s="861"/>
      <c r="R188" s="862"/>
      <c r="S188" s="903" t="s">
        <v>12</v>
      </c>
      <c r="T188" s="879">
        <v>328356658.1584819</v>
      </c>
      <c r="U188" s="1081"/>
      <c r="V188" s="1118"/>
      <c r="W188" s="1124" t="str">
        <f t="shared" si="67"/>
        <v>03.11.01</v>
      </c>
      <c r="X188" s="884" t="str">
        <f t="shared" si="65"/>
        <v>Bangunan Gedung Tempat Kerja</v>
      </c>
      <c r="Y188" s="884">
        <f t="shared" si="66"/>
        <v>50</v>
      </c>
      <c r="Z188" s="868">
        <f t="shared" si="68"/>
        <v>6567133.1631696383</v>
      </c>
      <c r="AA188" s="1051">
        <f t="shared" si="69"/>
        <v>2</v>
      </c>
      <c r="AB188" s="868">
        <f t="shared" si="70"/>
        <v>13134266.326339277</v>
      </c>
      <c r="AC188" s="868">
        <f t="shared" si="71"/>
        <v>6567133.1631696383</v>
      </c>
      <c r="AD188" s="868">
        <f t="shared" si="72"/>
        <v>6567133.1631696383</v>
      </c>
      <c r="AE188" s="868">
        <f t="shared" si="73"/>
        <v>6567133.1631696383</v>
      </c>
      <c r="AF188" s="886">
        <f t="shared" si="74"/>
        <v>6567133.1631696383</v>
      </c>
      <c r="AG188" s="886">
        <f t="shared" si="75"/>
        <v>6567133.1631696383</v>
      </c>
      <c r="AH188" s="886">
        <f t="shared" si="76"/>
        <v>45969932.142187469</v>
      </c>
      <c r="AI188" s="1077">
        <f t="shared" si="64"/>
        <v>282386726.01629442</v>
      </c>
    </row>
    <row r="189" spans="1:35" s="946" customFormat="1" ht="40.5" customHeight="1" x14ac:dyDescent="0.2">
      <c r="A189" s="1306"/>
      <c r="C189" s="1075" t="s">
        <v>2302</v>
      </c>
      <c r="D189" s="890"/>
      <c r="E189" s="907" t="s">
        <v>2696</v>
      </c>
      <c r="F189" s="917"/>
      <c r="G189" s="878" t="s">
        <v>1887</v>
      </c>
      <c r="H189" s="878" t="s">
        <v>1920</v>
      </c>
      <c r="I189" s="861" t="s">
        <v>43</v>
      </c>
      <c r="J189" s="862" t="s">
        <v>1753</v>
      </c>
      <c r="K189" s="862" t="s">
        <v>835</v>
      </c>
      <c r="L189" s="862">
        <v>120</v>
      </c>
      <c r="M189" s="863" t="s">
        <v>1921</v>
      </c>
      <c r="N189" s="862">
        <v>2011</v>
      </c>
      <c r="O189" s="862" t="s">
        <v>1922</v>
      </c>
      <c r="P189" s="903"/>
      <c r="Q189" s="861"/>
      <c r="R189" s="862"/>
      <c r="S189" s="903" t="s">
        <v>12</v>
      </c>
      <c r="T189" s="879">
        <v>297325609.5558452</v>
      </c>
      <c r="U189" s="1081"/>
      <c r="V189" s="1118"/>
      <c r="W189" s="1124" t="str">
        <f t="shared" si="67"/>
        <v>03.11.01</v>
      </c>
      <c r="X189" s="884" t="str">
        <f t="shared" si="65"/>
        <v>Bangunan Gedung Tempat Kerja</v>
      </c>
      <c r="Y189" s="884">
        <f t="shared" si="66"/>
        <v>50</v>
      </c>
      <c r="Z189" s="868">
        <f t="shared" si="68"/>
        <v>5946512.1911169039</v>
      </c>
      <c r="AA189" s="1051">
        <f t="shared" si="69"/>
        <v>2</v>
      </c>
      <c r="AB189" s="868">
        <f t="shared" si="70"/>
        <v>11893024.382233808</v>
      </c>
      <c r="AC189" s="868">
        <f t="shared" si="71"/>
        <v>5946512.1911169039</v>
      </c>
      <c r="AD189" s="868">
        <f t="shared" si="72"/>
        <v>5946512.1911169039</v>
      </c>
      <c r="AE189" s="868">
        <f t="shared" si="73"/>
        <v>5946512.1911169039</v>
      </c>
      <c r="AF189" s="886">
        <f t="shared" si="74"/>
        <v>5946512.1911169039</v>
      </c>
      <c r="AG189" s="886">
        <f t="shared" si="75"/>
        <v>5946512.1911169039</v>
      </c>
      <c r="AH189" s="886">
        <f t="shared" si="76"/>
        <v>41625585.337818332</v>
      </c>
      <c r="AI189" s="1077">
        <f t="shared" si="64"/>
        <v>255700024.21802688</v>
      </c>
    </row>
    <row r="190" spans="1:35" s="946" customFormat="1" ht="40.5" customHeight="1" x14ac:dyDescent="0.2">
      <c r="A190" s="1306"/>
      <c r="C190" s="1075" t="s">
        <v>2302</v>
      </c>
      <c r="D190" s="890"/>
      <c r="E190" s="907" t="s">
        <v>2697</v>
      </c>
      <c r="F190" s="917"/>
      <c r="G190" s="878" t="s">
        <v>1887</v>
      </c>
      <c r="H190" s="878" t="s">
        <v>1924</v>
      </c>
      <c r="I190" s="861" t="s">
        <v>43</v>
      </c>
      <c r="J190" s="862" t="s">
        <v>1753</v>
      </c>
      <c r="K190" s="862" t="s">
        <v>835</v>
      </c>
      <c r="L190" s="862">
        <v>120</v>
      </c>
      <c r="M190" s="863" t="s">
        <v>1925</v>
      </c>
      <c r="N190" s="862">
        <v>2011</v>
      </c>
      <c r="O190" s="862" t="s">
        <v>1850</v>
      </c>
      <c r="P190" s="903"/>
      <c r="Q190" s="861"/>
      <c r="R190" s="862"/>
      <c r="S190" s="903" t="s">
        <v>12</v>
      </c>
      <c r="T190" s="879">
        <v>347018145.06558543</v>
      </c>
      <c r="U190" s="1081"/>
      <c r="V190" s="1118"/>
      <c r="W190" s="1124" t="str">
        <f t="shared" si="67"/>
        <v>03.11.01</v>
      </c>
      <c r="X190" s="884" t="str">
        <f t="shared" si="65"/>
        <v>Bangunan Gedung Tempat Kerja</v>
      </c>
      <c r="Y190" s="884">
        <f t="shared" si="66"/>
        <v>50</v>
      </c>
      <c r="Z190" s="868">
        <f t="shared" si="68"/>
        <v>6940362.9013117086</v>
      </c>
      <c r="AA190" s="1051">
        <f t="shared" si="69"/>
        <v>2</v>
      </c>
      <c r="AB190" s="868">
        <f t="shared" si="70"/>
        <v>13880725.802623417</v>
      </c>
      <c r="AC190" s="868">
        <f t="shared" si="71"/>
        <v>6940362.9013117086</v>
      </c>
      <c r="AD190" s="868">
        <f t="shared" si="72"/>
        <v>6940362.9013117086</v>
      </c>
      <c r="AE190" s="868">
        <f t="shared" si="73"/>
        <v>6940362.9013117086</v>
      </c>
      <c r="AF190" s="886">
        <f t="shared" si="74"/>
        <v>6940362.9013117086</v>
      </c>
      <c r="AG190" s="886">
        <f t="shared" si="75"/>
        <v>6940362.9013117086</v>
      </c>
      <c r="AH190" s="886">
        <f t="shared" si="76"/>
        <v>48582540.309181966</v>
      </c>
      <c r="AI190" s="1077">
        <f t="shared" si="64"/>
        <v>298435604.75640345</v>
      </c>
    </row>
    <row r="191" spans="1:35" s="946" customFormat="1" ht="40.5" customHeight="1" x14ac:dyDescent="0.2">
      <c r="A191" s="1306"/>
      <c r="C191" s="1075" t="s">
        <v>2302</v>
      </c>
      <c r="D191" s="890"/>
      <c r="E191" s="907" t="s">
        <v>2698</v>
      </c>
      <c r="F191" s="917"/>
      <c r="G191" s="878" t="s">
        <v>1887</v>
      </c>
      <c r="H191" s="878" t="s">
        <v>1927</v>
      </c>
      <c r="I191" s="861" t="s">
        <v>43</v>
      </c>
      <c r="J191" s="862" t="s">
        <v>1753</v>
      </c>
      <c r="K191" s="862" t="s">
        <v>835</v>
      </c>
      <c r="L191" s="862"/>
      <c r="M191" s="863" t="s">
        <v>1928</v>
      </c>
      <c r="N191" s="862">
        <v>2011</v>
      </c>
      <c r="O191" s="862" t="s">
        <v>1929</v>
      </c>
      <c r="P191" s="903"/>
      <c r="Q191" s="861"/>
      <c r="R191" s="862"/>
      <c r="S191" s="903" t="s">
        <v>12</v>
      </c>
      <c r="T191" s="879">
        <v>306126753.72545201</v>
      </c>
      <c r="U191" s="1081"/>
      <c r="V191" s="1118"/>
      <c r="W191" s="1124" t="str">
        <f t="shared" si="67"/>
        <v>03.11.01</v>
      </c>
      <c r="X191" s="884" t="str">
        <f t="shared" si="65"/>
        <v>Bangunan Gedung Tempat Kerja</v>
      </c>
      <c r="Y191" s="884">
        <f t="shared" si="66"/>
        <v>50</v>
      </c>
      <c r="Z191" s="868">
        <f t="shared" si="68"/>
        <v>6122535.0745090405</v>
      </c>
      <c r="AA191" s="1051">
        <f t="shared" si="69"/>
        <v>2</v>
      </c>
      <c r="AB191" s="868">
        <f t="shared" si="70"/>
        <v>12245070.149018081</v>
      </c>
      <c r="AC191" s="868">
        <f t="shared" si="71"/>
        <v>6122535.0745090405</v>
      </c>
      <c r="AD191" s="868">
        <f t="shared" si="72"/>
        <v>6122535.0745090405</v>
      </c>
      <c r="AE191" s="868">
        <f t="shared" si="73"/>
        <v>6122535.0745090405</v>
      </c>
      <c r="AF191" s="886">
        <f t="shared" si="74"/>
        <v>6122535.0745090405</v>
      </c>
      <c r="AG191" s="886">
        <f t="shared" si="75"/>
        <v>6122535.0745090405</v>
      </c>
      <c r="AH191" s="886">
        <f t="shared" si="76"/>
        <v>42857745.521563284</v>
      </c>
      <c r="AI191" s="1077">
        <f t="shared" si="64"/>
        <v>263269008.20388871</v>
      </c>
    </row>
    <row r="192" spans="1:35" s="946" customFormat="1" ht="40.5" customHeight="1" x14ac:dyDescent="0.2">
      <c r="A192" s="1306"/>
      <c r="C192" s="1075" t="s">
        <v>2302</v>
      </c>
      <c r="D192" s="890"/>
      <c r="E192" s="907" t="s">
        <v>2699</v>
      </c>
      <c r="F192" s="917"/>
      <c r="G192" s="878" t="s">
        <v>2845</v>
      </c>
      <c r="H192" s="878"/>
      <c r="I192" s="861" t="s">
        <v>43</v>
      </c>
      <c r="J192" s="862"/>
      <c r="K192" s="862"/>
      <c r="L192" s="862"/>
      <c r="M192" s="863" t="s">
        <v>1931</v>
      </c>
      <c r="N192" s="862">
        <v>2012</v>
      </c>
      <c r="O192" s="862"/>
      <c r="P192" s="903"/>
      <c r="Q192" s="861"/>
      <c r="R192" s="862"/>
      <c r="S192" s="903" t="s">
        <v>12</v>
      </c>
      <c r="T192" s="879">
        <v>500000000</v>
      </c>
      <c r="U192" s="1081"/>
      <c r="V192" s="1118"/>
      <c r="W192" s="1124" t="str">
        <f t="shared" si="67"/>
        <v>03.11.01</v>
      </c>
      <c r="X192" s="884" t="str">
        <f t="shared" si="65"/>
        <v>Bangunan Gedung Tempat Kerja</v>
      </c>
      <c r="Y192" s="884">
        <f t="shared" si="66"/>
        <v>50</v>
      </c>
      <c r="Z192" s="868">
        <f t="shared" si="68"/>
        <v>10000000</v>
      </c>
      <c r="AA192" s="1051">
        <f t="shared" si="69"/>
        <v>1</v>
      </c>
      <c r="AB192" s="868">
        <f t="shared" si="70"/>
        <v>10000000</v>
      </c>
      <c r="AC192" s="868">
        <f t="shared" si="71"/>
        <v>10000000</v>
      </c>
      <c r="AD192" s="868">
        <f t="shared" si="72"/>
        <v>10000000</v>
      </c>
      <c r="AE192" s="868">
        <f t="shared" si="73"/>
        <v>10000000</v>
      </c>
      <c r="AF192" s="886">
        <f t="shared" si="74"/>
        <v>10000000</v>
      </c>
      <c r="AG192" s="886">
        <f t="shared" si="75"/>
        <v>10000000</v>
      </c>
      <c r="AH192" s="886">
        <f t="shared" si="76"/>
        <v>60000000</v>
      </c>
      <c r="AI192" s="1077">
        <f t="shared" si="64"/>
        <v>440000000</v>
      </c>
    </row>
    <row r="193" spans="1:37" s="946" customFormat="1" ht="40.5" customHeight="1" x14ac:dyDescent="0.2">
      <c r="A193" s="1306"/>
      <c r="C193" s="1075" t="s">
        <v>2302</v>
      </c>
      <c r="D193" s="890"/>
      <c r="E193" s="907" t="s">
        <v>2700</v>
      </c>
      <c r="F193" s="917"/>
      <c r="G193" s="878" t="s">
        <v>2845</v>
      </c>
      <c r="H193" s="878"/>
      <c r="I193" s="861" t="s">
        <v>43</v>
      </c>
      <c r="J193" s="862"/>
      <c r="K193" s="862"/>
      <c r="L193" s="862"/>
      <c r="M193" s="863" t="s">
        <v>1931</v>
      </c>
      <c r="N193" s="862">
        <v>2012</v>
      </c>
      <c r="O193" s="862"/>
      <c r="P193" s="903"/>
      <c r="Q193" s="861"/>
      <c r="R193" s="862"/>
      <c r="S193" s="903" t="s">
        <v>12</v>
      </c>
      <c r="T193" s="879">
        <v>712591462.12766397</v>
      </c>
      <c r="U193" s="1081"/>
      <c r="V193" s="1118"/>
      <c r="W193" s="1124" t="str">
        <f t="shared" si="67"/>
        <v>03.11.01</v>
      </c>
      <c r="X193" s="884" t="str">
        <f t="shared" si="65"/>
        <v>Bangunan Gedung Tempat Kerja</v>
      </c>
      <c r="Y193" s="884">
        <f t="shared" si="66"/>
        <v>50</v>
      </c>
      <c r="Z193" s="868">
        <f t="shared" si="68"/>
        <v>14251829.242553279</v>
      </c>
      <c r="AA193" s="1051">
        <f t="shared" si="69"/>
        <v>1</v>
      </c>
      <c r="AB193" s="868">
        <f t="shared" si="70"/>
        <v>14251829.242553279</v>
      </c>
      <c r="AC193" s="868">
        <f t="shared" si="71"/>
        <v>14251829.242553279</v>
      </c>
      <c r="AD193" s="868">
        <f t="shared" si="72"/>
        <v>14251829.242553279</v>
      </c>
      <c r="AE193" s="868">
        <f t="shared" si="73"/>
        <v>14251829.242553279</v>
      </c>
      <c r="AF193" s="886">
        <f t="shared" si="74"/>
        <v>14251829.242553279</v>
      </c>
      <c r="AG193" s="886">
        <f t="shared" si="75"/>
        <v>14251829.242553279</v>
      </c>
      <c r="AH193" s="886">
        <f t="shared" si="76"/>
        <v>85510975.455319673</v>
      </c>
      <c r="AI193" s="1077">
        <f t="shared" si="64"/>
        <v>627080486.67234433</v>
      </c>
    </row>
    <row r="194" spans="1:37" s="946" customFormat="1" ht="40.5" customHeight="1" x14ac:dyDescent="0.2">
      <c r="A194" s="1306"/>
      <c r="C194" s="1075" t="s">
        <v>2302</v>
      </c>
      <c r="D194" s="890"/>
      <c r="E194" s="907" t="s">
        <v>2699</v>
      </c>
      <c r="F194" s="917"/>
      <c r="G194" s="878" t="s">
        <v>2845</v>
      </c>
      <c r="H194" s="878"/>
      <c r="I194" s="861" t="s">
        <v>43</v>
      </c>
      <c r="J194" s="862"/>
      <c r="K194" s="862"/>
      <c r="L194" s="862"/>
      <c r="M194" s="863" t="s">
        <v>1931</v>
      </c>
      <c r="N194" s="862">
        <v>2012</v>
      </c>
      <c r="O194" s="862"/>
      <c r="P194" s="903"/>
      <c r="Q194" s="861"/>
      <c r="R194" s="862"/>
      <c r="S194" s="903" t="s">
        <v>12</v>
      </c>
      <c r="T194" s="879">
        <v>640564729.19418764</v>
      </c>
      <c r="U194" s="1081"/>
      <c r="V194" s="1118"/>
      <c r="W194" s="1124" t="str">
        <f t="shared" si="67"/>
        <v>03.11.01</v>
      </c>
      <c r="X194" s="884" t="str">
        <f t="shared" si="65"/>
        <v>Bangunan Gedung Tempat Kerja</v>
      </c>
      <c r="Y194" s="884">
        <f t="shared" si="66"/>
        <v>50</v>
      </c>
      <c r="Z194" s="868">
        <f t="shared" si="68"/>
        <v>12811294.583883753</v>
      </c>
      <c r="AA194" s="1051">
        <f t="shared" si="69"/>
        <v>1</v>
      </c>
      <c r="AB194" s="868">
        <f t="shared" si="70"/>
        <v>12811294.583883753</v>
      </c>
      <c r="AC194" s="868">
        <f t="shared" si="71"/>
        <v>12811294.583883753</v>
      </c>
      <c r="AD194" s="868">
        <f t="shared" si="72"/>
        <v>12811294.583883753</v>
      </c>
      <c r="AE194" s="868">
        <f t="shared" si="73"/>
        <v>12811294.583883753</v>
      </c>
      <c r="AF194" s="886">
        <f t="shared" si="74"/>
        <v>12811294.583883753</v>
      </c>
      <c r="AG194" s="886">
        <f t="shared" si="75"/>
        <v>12811294.583883753</v>
      </c>
      <c r="AH194" s="886">
        <f t="shared" si="76"/>
        <v>76867767.503302515</v>
      </c>
      <c r="AI194" s="1077">
        <f t="shared" si="64"/>
        <v>563696961.69088507</v>
      </c>
    </row>
    <row r="195" spans="1:37" s="946" customFormat="1" ht="40.5" customHeight="1" x14ac:dyDescent="0.2">
      <c r="A195" s="1306"/>
      <c r="C195" s="1075" t="s">
        <v>2302</v>
      </c>
      <c r="D195" s="890"/>
      <c r="E195" s="907" t="s">
        <v>2699</v>
      </c>
      <c r="F195" s="917"/>
      <c r="G195" s="878" t="s">
        <v>2845</v>
      </c>
      <c r="H195" s="878"/>
      <c r="I195" s="861" t="s">
        <v>43</v>
      </c>
      <c r="J195" s="862"/>
      <c r="K195" s="862"/>
      <c r="L195" s="862"/>
      <c r="M195" s="863" t="s">
        <v>1931</v>
      </c>
      <c r="N195" s="862">
        <v>2012</v>
      </c>
      <c r="O195" s="862"/>
      <c r="P195" s="903"/>
      <c r="Q195" s="861"/>
      <c r="R195" s="862"/>
      <c r="S195" s="903" t="s">
        <v>12</v>
      </c>
      <c r="T195" s="879">
        <v>349398943.19682962</v>
      </c>
      <c r="U195" s="1081"/>
      <c r="V195" s="1118"/>
      <c r="W195" s="1124" t="str">
        <f t="shared" si="67"/>
        <v>03.11.01</v>
      </c>
      <c r="X195" s="884" t="str">
        <f t="shared" si="65"/>
        <v>Bangunan Gedung Tempat Kerja</v>
      </c>
      <c r="Y195" s="884">
        <f t="shared" si="66"/>
        <v>50</v>
      </c>
      <c r="Z195" s="868">
        <f t="shared" si="68"/>
        <v>6987978.8639365919</v>
      </c>
      <c r="AA195" s="1051">
        <f t="shared" si="69"/>
        <v>1</v>
      </c>
      <c r="AB195" s="868">
        <f t="shared" si="70"/>
        <v>6987978.8639365919</v>
      </c>
      <c r="AC195" s="868">
        <f t="shared" si="71"/>
        <v>6987978.8639365919</v>
      </c>
      <c r="AD195" s="868">
        <f t="shared" si="72"/>
        <v>6987978.8639365919</v>
      </c>
      <c r="AE195" s="868">
        <f t="shared" si="73"/>
        <v>6987978.8639365919</v>
      </c>
      <c r="AF195" s="886">
        <f t="shared" si="74"/>
        <v>6987978.8639365919</v>
      </c>
      <c r="AG195" s="886">
        <f t="shared" si="75"/>
        <v>6987978.8639365919</v>
      </c>
      <c r="AH195" s="886">
        <f t="shared" si="76"/>
        <v>41927873.183619544</v>
      </c>
      <c r="AI195" s="1077">
        <f t="shared" si="64"/>
        <v>307471070.01321006</v>
      </c>
    </row>
    <row r="196" spans="1:37" s="1083" customFormat="1" ht="40.5" customHeight="1" x14ac:dyDescent="0.2">
      <c r="A196" s="1082">
        <v>49</v>
      </c>
      <c r="B196" s="1083" t="s">
        <v>2898</v>
      </c>
      <c r="C196" s="1084" t="s">
        <v>4246</v>
      </c>
      <c r="D196" s="892"/>
      <c r="E196" s="1085" t="s">
        <v>2701</v>
      </c>
      <c r="F196" s="1086"/>
      <c r="G196" s="893" t="s">
        <v>1752</v>
      </c>
      <c r="H196" s="893" t="s">
        <v>39</v>
      </c>
      <c r="I196" s="1020" t="s">
        <v>43</v>
      </c>
      <c r="J196" s="1023" t="s">
        <v>1786</v>
      </c>
      <c r="K196" s="1023" t="s">
        <v>1934</v>
      </c>
      <c r="L196" s="1023"/>
      <c r="M196" s="1024" t="s">
        <v>427</v>
      </c>
      <c r="N196" s="1023">
        <v>2012</v>
      </c>
      <c r="O196" s="1023" t="s">
        <v>1935</v>
      </c>
      <c r="P196" s="1087"/>
      <c r="Q196" s="1020"/>
      <c r="R196" s="1023"/>
      <c r="S196" s="1087" t="s">
        <v>12</v>
      </c>
      <c r="T196" s="894">
        <v>37008650</v>
      </c>
      <c r="U196" s="1088"/>
      <c r="V196" s="1120"/>
      <c r="W196" s="1124" t="str">
        <f t="shared" si="67"/>
        <v>03.11.01</v>
      </c>
      <c r="X196" s="884" t="str">
        <f t="shared" si="65"/>
        <v>Bangunan Gedung Tempat Kerja</v>
      </c>
      <c r="Y196" s="884">
        <f t="shared" si="66"/>
        <v>50</v>
      </c>
      <c r="Z196" s="868">
        <f t="shared" si="68"/>
        <v>740173</v>
      </c>
      <c r="AA196" s="1051">
        <f t="shared" si="69"/>
        <v>1</v>
      </c>
      <c r="AB196" s="868">
        <f t="shared" si="70"/>
        <v>740173</v>
      </c>
      <c r="AC196" s="868">
        <f t="shared" si="71"/>
        <v>740173</v>
      </c>
      <c r="AD196" s="868">
        <f t="shared" si="72"/>
        <v>740173</v>
      </c>
      <c r="AE196" s="868">
        <f t="shared" si="73"/>
        <v>740173</v>
      </c>
      <c r="AF196" s="886">
        <f t="shared" si="74"/>
        <v>740173</v>
      </c>
      <c r="AG196" s="886">
        <f t="shared" si="75"/>
        <v>740173</v>
      </c>
      <c r="AH196" s="886">
        <f t="shared" si="76"/>
        <v>4441038</v>
      </c>
      <c r="AI196" s="1077">
        <f t="shared" si="64"/>
        <v>32567612</v>
      </c>
      <c r="AK196" s="1089"/>
    </row>
    <row r="197" spans="1:37" s="1083" customFormat="1" ht="40.5" customHeight="1" x14ac:dyDescent="0.2">
      <c r="A197" s="1082">
        <v>49</v>
      </c>
      <c r="B197" s="1083" t="s">
        <v>2898</v>
      </c>
      <c r="C197" s="1084" t="s">
        <v>4246</v>
      </c>
      <c r="D197" s="892"/>
      <c r="E197" s="1085" t="s">
        <v>2715</v>
      </c>
      <c r="F197" s="1086"/>
      <c r="G197" s="893" t="s">
        <v>1752</v>
      </c>
      <c r="H197" s="893" t="s">
        <v>1701</v>
      </c>
      <c r="I197" s="1020" t="s">
        <v>43</v>
      </c>
      <c r="J197" s="1023" t="s">
        <v>1786</v>
      </c>
      <c r="K197" s="1023" t="s">
        <v>1934</v>
      </c>
      <c r="L197" s="1023"/>
      <c r="M197" s="1024" t="s">
        <v>427</v>
      </c>
      <c r="N197" s="1023">
        <v>2012</v>
      </c>
      <c r="O197" s="1023" t="s">
        <v>1970</v>
      </c>
      <c r="P197" s="1087"/>
      <c r="Q197" s="1020"/>
      <c r="R197" s="1023"/>
      <c r="S197" s="1087" t="s">
        <v>12</v>
      </c>
      <c r="T197" s="894">
        <v>488428761.87471801</v>
      </c>
      <c r="U197" s="1088"/>
      <c r="V197" s="1120"/>
      <c r="W197" s="1124" t="str">
        <f t="shared" si="67"/>
        <v>03.11.01</v>
      </c>
      <c r="X197" s="884" t="str">
        <f t="shared" si="65"/>
        <v>Bangunan Gedung Tempat Kerja</v>
      </c>
      <c r="Y197" s="884">
        <f t="shared" si="66"/>
        <v>50</v>
      </c>
      <c r="Z197" s="868">
        <f t="shared" si="68"/>
        <v>9768575.2374943607</v>
      </c>
      <c r="AA197" s="1051">
        <f t="shared" si="69"/>
        <v>1</v>
      </c>
      <c r="AB197" s="868">
        <f t="shared" si="70"/>
        <v>9768575.2374943607</v>
      </c>
      <c r="AC197" s="868">
        <f t="shared" si="71"/>
        <v>9768575.2374943607</v>
      </c>
      <c r="AD197" s="868">
        <f t="shared" si="72"/>
        <v>9768575.2374943607</v>
      </c>
      <c r="AE197" s="868">
        <f t="shared" si="73"/>
        <v>9768575.2374943607</v>
      </c>
      <c r="AF197" s="886">
        <f t="shared" si="74"/>
        <v>9768575.2374943607</v>
      </c>
      <c r="AG197" s="886">
        <f t="shared" si="75"/>
        <v>9768575.2374943607</v>
      </c>
      <c r="AH197" s="886">
        <f t="shared" si="76"/>
        <v>58611451.424966171</v>
      </c>
      <c r="AI197" s="1077">
        <f t="shared" si="64"/>
        <v>429817310.44975185</v>
      </c>
      <c r="AK197" s="1089"/>
    </row>
    <row r="198" spans="1:37" s="1083" customFormat="1" ht="40.5" customHeight="1" x14ac:dyDescent="0.2">
      <c r="A198" s="1082">
        <v>49</v>
      </c>
      <c r="B198" s="1083" t="s">
        <v>2898</v>
      </c>
      <c r="C198" s="1084" t="s">
        <v>4246</v>
      </c>
      <c r="D198" s="892"/>
      <c r="E198" s="1085" t="s">
        <v>2704</v>
      </c>
      <c r="F198" s="1086"/>
      <c r="G198" s="893" t="s">
        <v>1752</v>
      </c>
      <c r="H198" s="893" t="s">
        <v>1768</v>
      </c>
      <c r="I198" s="1020" t="s">
        <v>43</v>
      </c>
      <c r="J198" s="1023" t="s">
        <v>1786</v>
      </c>
      <c r="K198" s="1023" t="s">
        <v>1934</v>
      </c>
      <c r="L198" s="1023"/>
      <c r="M198" s="1024" t="s">
        <v>427</v>
      </c>
      <c r="N198" s="1023">
        <v>2012</v>
      </c>
      <c r="O198" s="1023" t="s">
        <v>1943</v>
      </c>
      <c r="P198" s="1087"/>
      <c r="Q198" s="1020"/>
      <c r="R198" s="1023"/>
      <c r="S198" s="1087" t="s">
        <v>12</v>
      </c>
      <c r="T198" s="894">
        <v>26185000</v>
      </c>
      <c r="U198" s="1088"/>
      <c r="V198" s="1120"/>
      <c r="W198" s="1124" t="str">
        <f t="shared" si="67"/>
        <v>03.11.01</v>
      </c>
      <c r="X198" s="884" t="str">
        <f t="shared" si="65"/>
        <v>Bangunan Gedung Tempat Kerja</v>
      </c>
      <c r="Y198" s="884">
        <f t="shared" si="66"/>
        <v>50</v>
      </c>
      <c r="Z198" s="868">
        <f t="shared" si="68"/>
        <v>523700</v>
      </c>
      <c r="AA198" s="1051">
        <f t="shared" si="69"/>
        <v>1</v>
      </c>
      <c r="AB198" s="868">
        <f t="shared" si="70"/>
        <v>523700</v>
      </c>
      <c r="AC198" s="868">
        <f t="shared" si="71"/>
        <v>523700</v>
      </c>
      <c r="AD198" s="868">
        <f t="shared" si="72"/>
        <v>523700</v>
      </c>
      <c r="AE198" s="868">
        <f t="shared" si="73"/>
        <v>523700</v>
      </c>
      <c r="AF198" s="886">
        <f t="shared" si="74"/>
        <v>523700</v>
      </c>
      <c r="AG198" s="886">
        <f t="shared" si="75"/>
        <v>523700</v>
      </c>
      <c r="AH198" s="886">
        <f t="shared" si="76"/>
        <v>3142200</v>
      </c>
      <c r="AI198" s="1077">
        <f t="shared" si="64"/>
        <v>23042800</v>
      </c>
      <c r="AK198" s="1089"/>
    </row>
    <row r="199" spans="1:37" s="946" customFormat="1" ht="40.5" customHeight="1" x14ac:dyDescent="0.2">
      <c r="A199" s="1306"/>
      <c r="C199" s="1075" t="s">
        <v>2302</v>
      </c>
      <c r="D199" s="890"/>
      <c r="E199" s="907" t="s">
        <v>2705</v>
      </c>
      <c r="F199" s="917"/>
      <c r="G199" s="878" t="s">
        <v>1752</v>
      </c>
      <c r="H199" s="878" t="s">
        <v>1855</v>
      </c>
      <c r="I199" s="861" t="s">
        <v>43</v>
      </c>
      <c r="J199" s="862" t="s">
        <v>1786</v>
      </c>
      <c r="K199" s="862" t="s">
        <v>1934</v>
      </c>
      <c r="L199" s="862"/>
      <c r="M199" s="863" t="s">
        <v>1776</v>
      </c>
      <c r="N199" s="862">
        <v>2012</v>
      </c>
      <c r="O199" s="862" t="s">
        <v>1945</v>
      </c>
      <c r="P199" s="903"/>
      <c r="Q199" s="861"/>
      <c r="R199" s="862"/>
      <c r="S199" s="903" t="s">
        <v>12</v>
      </c>
      <c r="T199" s="879">
        <v>39847000</v>
      </c>
      <c r="U199" s="1081"/>
      <c r="V199" s="1118"/>
      <c r="W199" s="1124" t="str">
        <f t="shared" si="67"/>
        <v>03.11.01</v>
      </c>
      <c r="X199" s="884" t="str">
        <f t="shared" si="65"/>
        <v>Bangunan Gedung Tempat Kerja</v>
      </c>
      <c r="Y199" s="884">
        <f t="shared" si="66"/>
        <v>50</v>
      </c>
      <c r="Z199" s="868">
        <f t="shared" si="68"/>
        <v>796940</v>
      </c>
      <c r="AA199" s="1051">
        <f t="shared" si="69"/>
        <v>1</v>
      </c>
      <c r="AB199" s="868">
        <f t="shared" si="70"/>
        <v>796940</v>
      </c>
      <c r="AC199" s="868">
        <f t="shared" si="71"/>
        <v>796940</v>
      </c>
      <c r="AD199" s="868">
        <f t="shared" si="72"/>
        <v>796940</v>
      </c>
      <c r="AE199" s="868">
        <f t="shared" si="73"/>
        <v>796940</v>
      </c>
      <c r="AF199" s="886">
        <f t="shared" si="74"/>
        <v>796940</v>
      </c>
      <c r="AG199" s="886">
        <f t="shared" si="75"/>
        <v>796940</v>
      </c>
      <c r="AH199" s="886">
        <f t="shared" si="76"/>
        <v>4781640</v>
      </c>
      <c r="AI199" s="1077">
        <f t="shared" si="64"/>
        <v>35065360</v>
      </c>
    </row>
    <row r="200" spans="1:37" s="1083" customFormat="1" ht="40.5" customHeight="1" x14ac:dyDescent="0.2">
      <c r="A200" s="1082">
        <v>50</v>
      </c>
      <c r="B200" s="1083" t="s">
        <v>2908</v>
      </c>
      <c r="C200" s="1084" t="s">
        <v>4246</v>
      </c>
      <c r="D200" s="892"/>
      <c r="E200" s="1085" t="s">
        <v>2716</v>
      </c>
      <c r="F200" s="1086"/>
      <c r="G200" s="893" t="s">
        <v>1752</v>
      </c>
      <c r="H200" s="893" t="s">
        <v>1910</v>
      </c>
      <c r="I200" s="1020" t="s">
        <v>43</v>
      </c>
      <c r="J200" s="1023" t="s">
        <v>1786</v>
      </c>
      <c r="K200" s="1023" t="s">
        <v>1934</v>
      </c>
      <c r="L200" s="1023"/>
      <c r="M200" s="1024" t="s">
        <v>1975</v>
      </c>
      <c r="N200" s="1023">
        <v>2012</v>
      </c>
      <c r="O200" s="1023" t="s">
        <v>1976</v>
      </c>
      <c r="P200" s="1087"/>
      <c r="Q200" s="1020"/>
      <c r="R200" s="1023"/>
      <c r="S200" s="1087" t="s">
        <v>12</v>
      </c>
      <c r="T200" s="894">
        <v>519172526.81379509</v>
      </c>
      <c r="U200" s="1088"/>
      <c r="V200" s="1120"/>
      <c r="W200" s="1124" t="str">
        <f t="shared" si="67"/>
        <v>03.11.01</v>
      </c>
      <c r="X200" s="884" t="str">
        <f t="shared" si="65"/>
        <v>Bangunan Gedung Tempat Kerja</v>
      </c>
      <c r="Y200" s="884">
        <f t="shared" si="66"/>
        <v>50</v>
      </c>
      <c r="Z200" s="868">
        <f t="shared" si="68"/>
        <v>10383450.536275901</v>
      </c>
      <c r="AA200" s="1051">
        <f t="shared" si="69"/>
        <v>1</v>
      </c>
      <c r="AB200" s="868">
        <f t="shared" si="70"/>
        <v>10383450.536275901</v>
      </c>
      <c r="AC200" s="868">
        <f t="shared" si="71"/>
        <v>10383450.536275901</v>
      </c>
      <c r="AD200" s="868">
        <f t="shared" si="72"/>
        <v>10383450.536275901</v>
      </c>
      <c r="AE200" s="868">
        <f t="shared" si="73"/>
        <v>10383450.536275901</v>
      </c>
      <c r="AF200" s="886">
        <f t="shared" si="74"/>
        <v>10383450.536275901</v>
      </c>
      <c r="AG200" s="886">
        <f t="shared" si="75"/>
        <v>10383450.536275901</v>
      </c>
      <c r="AH200" s="886">
        <f t="shared" si="76"/>
        <v>62300703.217655405</v>
      </c>
      <c r="AI200" s="1077">
        <f t="shared" si="64"/>
        <v>456871823.59613967</v>
      </c>
      <c r="AK200" s="1089"/>
    </row>
    <row r="201" spans="1:37" s="1083" customFormat="1" ht="40.5" customHeight="1" x14ac:dyDescent="0.2">
      <c r="A201" s="1082">
        <v>50</v>
      </c>
      <c r="B201" s="1083" t="s">
        <v>2908</v>
      </c>
      <c r="C201" s="1084" t="s">
        <v>4246</v>
      </c>
      <c r="D201" s="892"/>
      <c r="E201" s="1085" t="s">
        <v>2702</v>
      </c>
      <c r="F201" s="1086"/>
      <c r="G201" s="893" t="s">
        <v>1752</v>
      </c>
      <c r="H201" s="893" t="s">
        <v>68</v>
      </c>
      <c r="I201" s="1020" t="s">
        <v>43</v>
      </c>
      <c r="J201" s="1023" t="s">
        <v>1786</v>
      </c>
      <c r="K201" s="1023" t="s">
        <v>1934</v>
      </c>
      <c r="L201" s="1023"/>
      <c r="M201" s="1024" t="s">
        <v>1937</v>
      </c>
      <c r="N201" s="1023">
        <v>2012</v>
      </c>
      <c r="O201" s="1023" t="s">
        <v>1938</v>
      </c>
      <c r="P201" s="1087"/>
      <c r="Q201" s="1020"/>
      <c r="R201" s="1023"/>
      <c r="S201" s="1087" t="s">
        <v>12</v>
      </c>
      <c r="T201" s="894">
        <v>36800000</v>
      </c>
      <c r="U201" s="1088"/>
      <c r="V201" s="1120"/>
      <c r="W201" s="1124" t="str">
        <f t="shared" si="67"/>
        <v>03.11.01</v>
      </c>
      <c r="X201" s="884" t="str">
        <f t="shared" si="65"/>
        <v>Bangunan Gedung Tempat Kerja</v>
      </c>
      <c r="Y201" s="884">
        <f t="shared" si="66"/>
        <v>50</v>
      </c>
      <c r="Z201" s="868">
        <f t="shared" si="68"/>
        <v>736000</v>
      </c>
      <c r="AA201" s="1051">
        <f t="shared" si="69"/>
        <v>1</v>
      </c>
      <c r="AB201" s="868">
        <f t="shared" si="70"/>
        <v>736000</v>
      </c>
      <c r="AC201" s="868">
        <f t="shared" si="71"/>
        <v>736000</v>
      </c>
      <c r="AD201" s="868">
        <f t="shared" si="72"/>
        <v>736000</v>
      </c>
      <c r="AE201" s="868">
        <f t="shared" si="73"/>
        <v>736000</v>
      </c>
      <c r="AF201" s="886">
        <f t="shared" si="74"/>
        <v>736000</v>
      </c>
      <c r="AG201" s="886">
        <f t="shared" si="75"/>
        <v>736000</v>
      </c>
      <c r="AH201" s="886">
        <f t="shared" si="76"/>
        <v>4416000</v>
      </c>
      <c r="AI201" s="1077">
        <f t="shared" si="64"/>
        <v>32384000</v>
      </c>
      <c r="AK201" s="1089"/>
    </row>
    <row r="202" spans="1:37" s="1083" customFormat="1" ht="40.5" customHeight="1" x14ac:dyDescent="0.2">
      <c r="A202" s="1082">
        <v>50</v>
      </c>
      <c r="B202" s="1083" t="s">
        <v>2908</v>
      </c>
      <c r="C202" s="1084" t="s">
        <v>4246</v>
      </c>
      <c r="D202" s="892"/>
      <c r="E202" s="1085" t="s">
        <v>2708</v>
      </c>
      <c r="F202" s="1086"/>
      <c r="G202" s="893" t="s">
        <v>1752</v>
      </c>
      <c r="H202" s="893" t="s">
        <v>1864</v>
      </c>
      <c r="I202" s="1020" t="s">
        <v>43</v>
      </c>
      <c r="J202" s="1023" t="s">
        <v>1786</v>
      </c>
      <c r="K202" s="1023" t="s">
        <v>1934</v>
      </c>
      <c r="L202" s="1023"/>
      <c r="M202" s="1024" t="s">
        <v>1950</v>
      </c>
      <c r="N202" s="1023">
        <v>2012</v>
      </c>
      <c r="O202" s="1023" t="s">
        <v>1951</v>
      </c>
      <c r="P202" s="1087"/>
      <c r="Q202" s="1020"/>
      <c r="R202" s="1023"/>
      <c r="S202" s="1087" t="s">
        <v>12</v>
      </c>
      <c r="T202" s="894">
        <v>25213000</v>
      </c>
      <c r="U202" s="1088"/>
      <c r="V202" s="1120"/>
      <c r="W202" s="1124" t="str">
        <f t="shared" si="67"/>
        <v>03.11.01</v>
      </c>
      <c r="X202" s="884" t="str">
        <f t="shared" si="65"/>
        <v>Bangunan Gedung Tempat Kerja</v>
      </c>
      <c r="Y202" s="884">
        <f t="shared" si="66"/>
        <v>50</v>
      </c>
      <c r="Z202" s="868">
        <f t="shared" si="68"/>
        <v>504260</v>
      </c>
      <c r="AA202" s="1051">
        <f t="shared" si="69"/>
        <v>1</v>
      </c>
      <c r="AB202" s="868">
        <f t="shared" si="70"/>
        <v>504260</v>
      </c>
      <c r="AC202" s="868">
        <f t="shared" si="71"/>
        <v>504260</v>
      </c>
      <c r="AD202" s="868">
        <f t="shared" si="72"/>
        <v>504260</v>
      </c>
      <c r="AE202" s="868">
        <f t="shared" si="73"/>
        <v>504260</v>
      </c>
      <c r="AF202" s="886">
        <f t="shared" si="74"/>
        <v>504260</v>
      </c>
      <c r="AG202" s="886">
        <f t="shared" si="75"/>
        <v>504260</v>
      </c>
      <c r="AH202" s="886">
        <f t="shared" si="76"/>
        <v>3025560</v>
      </c>
      <c r="AI202" s="1077">
        <f t="shared" ref="AI202:AI267" si="77">T202-AH202</f>
        <v>22187440</v>
      </c>
      <c r="AK202" s="1089"/>
    </row>
    <row r="203" spans="1:37" s="946" customFormat="1" ht="40.5" customHeight="1" x14ac:dyDescent="0.2">
      <c r="A203" s="1306"/>
      <c r="C203" s="1075" t="s">
        <v>2302</v>
      </c>
      <c r="D203" s="890"/>
      <c r="E203" s="907" t="s">
        <v>2710</v>
      </c>
      <c r="F203" s="917"/>
      <c r="G203" s="878" t="s">
        <v>2843</v>
      </c>
      <c r="H203" s="878"/>
      <c r="I203" s="861" t="s">
        <v>43</v>
      </c>
      <c r="J203" s="862"/>
      <c r="K203" s="862"/>
      <c r="L203" s="862"/>
      <c r="M203" s="863" t="s">
        <v>1956</v>
      </c>
      <c r="N203" s="862">
        <v>2012</v>
      </c>
      <c r="O203" s="862"/>
      <c r="P203" s="903"/>
      <c r="Q203" s="861"/>
      <c r="R203" s="862"/>
      <c r="S203" s="903" t="s">
        <v>12</v>
      </c>
      <c r="T203" s="879">
        <v>107448943.1871327</v>
      </c>
      <c r="U203" s="1081"/>
      <c r="V203" s="1118"/>
      <c r="W203" s="1124" t="str">
        <f t="shared" si="67"/>
        <v>03.11.01</v>
      </c>
      <c r="X203" s="884" t="str">
        <f t="shared" si="65"/>
        <v>Bangunan Gedung Tempat Kerja</v>
      </c>
      <c r="Y203" s="884">
        <f t="shared" si="66"/>
        <v>50</v>
      </c>
      <c r="Z203" s="868">
        <f t="shared" si="68"/>
        <v>2148978.8637426542</v>
      </c>
      <c r="AA203" s="1051">
        <f t="shared" si="69"/>
        <v>1</v>
      </c>
      <c r="AB203" s="868">
        <f t="shared" si="70"/>
        <v>2148978.8637426542</v>
      </c>
      <c r="AC203" s="868">
        <f t="shared" si="71"/>
        <v>2148978.8637426542</v>
      </c>
      <c r="AD203" s="868">
        <f t="shared" si="72"/>
        <v>2148978.8637426542</v>
      </c>
      <c r="AE203" s="868">
        <f t="shared" si="73"/>
        <v>2148978.8637426542</v>
      </c>
      <c r="AF203" s="886">
        <f t="shared" si="74"/>
        <v>2148978.8637426542</v>
      </c>
      <c r="AG203" s="886">
        <f t="shared" si="75"/>
        <v>2148978.8637426542</v>
      </c>
      <c r="AH203" s="886">
        <f t="shared" si="76"/>
        <v>12893873.182455923</v>
      </c>
      <c r="AI203" s="1077">
        <f t="shared" si="77"/>
        <v>94555070.004676774</v>
      </c>
    </row>
    <row r="204" spans="1:37" s="946" customFormat="1" ht="40.5" customHeight="1" x14ac:dyDescent="0.2">
      <c r="A204" s="1306"/>
      <c r="C204" s="1075" t="s">
        <v>2302</v>
      </c>
      <c r="D204" s="890"/>
      <c r="E204" s="907" t="s">
        <v>2711</v>
      </c>
      <c r="F204" s="917"/>
      <c r="G204" s="878" t="s">
        <v>1752</v>
      </c>
      <c r="H204" s="878" t="s">
        <v>1870</v>
      </c>
      <c r="I204" s="861" t="s">
        <v>43</v>
      </c>
      <c r="J204" s="862" t="s">
        <v>1786</v>
      </c>
      <c r="K204" s="862" t="s">
        <v>1934</v>
      </c>
      <c r="L204" s="862"/>
      <c r="M204" s="863" t="s">
        <v>1958</v>
      </c>
      <c r="N204" s="862">
        <v>2012</v>
      </c>
      <c r="O204" s="862" t="s">
        <v>1959</v>
      </c>
      <c r="P204" s="903"/>
      <c r="Q204" s="861"/>
      <c r="R204" s="862"/>
      <c r="S204" s="903" t="s">
        <v>12</v>
      </c>
      <c r="T204" s="879">
        <v>81058991.464514166</v>
      </c>
      <c r="U204" s="1081"/>
      <c r="V204" s="1118"/>
      <c r="W204" s="1124" t="str">
        <f t="shared" si="67"/>
        <v>03.11.01</v>
      </c>
      <c r="X204" s="884" t="str">
        <f t="shared" si="65"/>
        <v>Bangunan Gedung Tempat Kerja</v>
      </c>
      <c r="Y204" s="884">
        <f t="shared" si="66"/>
        <v>50</v>
      </c>
      <c r="Z204" s="868">
        <f t="shared" si="68"/>
        <v>1621179.8292902834</v>
      </c>
      <c r="AA204" s="1051">
        <f t="shared" si="69"/>
        <v>1</v>
      </c>
      <c r="AB204" s="868">
        <f t="shared" si="70"/>
        <v>1621179.8292902834</v>
      </c>
      <c r="AC204" s="868">
        <f t="shared" si="71"/>
        <v>1621179.8292902834</v>
      </c>
      <c r="AD204" s="868">
        <f t="shared" si="72"/>
        <v>1621179.8292902834</v>
      </c>
      <c r="AE204" s="868">
        <f t="shared" si="73"/>
        <v>1621179.8292902834</v>
      </c>
      <c r="AF204" s="886">
        <f t="shared" si="74"/>
        <v>1621179.8292902834</v>
      </c>
      <c r="AG204" s="886">
        <f t="shared" si="75"/>
        <v>1621179.8292902834</v>
      </c>
      <c r="AH204" s="886">
        <f t="shared" si="76"/>
        <v>9727078.9757417012</v>
      </c>
      <c r="AI204" s="1077">
        <f t="shared" si="77"/>
        <v>71331912.488772467</v>
      </c>
    </row>
    <row r="205" spans="1:37" s="946" customFormat="1" ht="40.5" customHeight="1" x14ac:dyDescent="0.2">
      <c r="A205" s="1306"/>
      <c r="C205" s="1075" t="s">
        <v>2302</v>
      </c>
      <c r="D205" s="890"/>
      <c r="E205" s="907" t="s">
        <v>2712</v>
      </c>
      <c r="F205" s="917"/>
      <c r="G205" s="878" t="s">
        <v>1752</v>
      </c>
      <c r="H205" s="878" t="s">
        <v>1888</v>
      </c>
      <c r="I205" s="861" t="s">
        <v>43</v>
      </c>
      <c r="J205" s="862" t="s">
        <v>1786</v>
      </c>
      <c r="K205" s="862" t="s">
        <v>1934</v>
      </c>
      <c r="L205" s="862">
        <v>120</v>
      </c>
      <c r="M205" s="863" t="s">
        <v>1961</v>
      </c>
      <c r="N205" s="862">
        <v>2012</v>
      </c>
      <c r="O205" s="862" t="s">
        <v>1962</v>
      </c>
      <c r="P205" s="903"/>
      <c r="Q205" s="861"/>
      <c r="R205" s="862"/>
      <c r="S205" s="903" t="s">
        <v>12</v>
      </c>
      <c r="T205" s="879">
        <v>351466878.48290658</v>
      </c>
      <c r="U205" s="1081"/>
      <c r="V205" s="1118"/>
      <c r="W205" s="1124" t="str">
        <f t="shared" si="67"/>
        <v>03.11.01</v>
      </c>
      <c r="X205" s="884" t="str">
        <f t="shared" si="65"/>
        <v>Bangunan Gedung Tempat Kerja</v>
      </c>
      <c r="Y205" s="884">
        <f t="shared" si="66"/>
        <v>50</v>
      </c>
      <c r="Z205" s="868">
        <f t="shared" si="68"/>
        <v>7029337.5696581313</v>
      </c>
      <c r="AA205" s="1051">
        <f t="shared" si="69"/>
        <v>1</v>
      </c>
      <c r="AB205" s="868">
        <f t="shared" si="70"/>
        <v>7029337.5696581313</v>
      </c>
      <c r="AC205" s="868">
        <f t="shared" si="71"/>
        <v>7029337.5696581313</v>
      </c>
      <c r="AD205" s="868">
        <f t="shared" si="72"/>
        <v>7029337.5696581313</v>
      </c>
      <c r="AE205" s="868">
        <f t="shared" si="73"/>
        <v>7029337.5696581313</v>
      </c>
      <c r="AF205" s="886">
        <f t="shared" si="74"/>
        <v>7029337.5696581313</v>
      </c>
      <c r="AG205" s="886">
        <f t="shared" si="75"/>
        <v>7029337.5696581313</v>
      </c>
      <c r="AH205" s="886">
        <f t="shared" si="76"/>
        <v>42176025.41794879</v>
      </c>
      <c r="AI205" s="1077">
        <f t="shared" si="77"/>
        <v>309290853.0649578</v>
      </c>
    </row>
    <row r="206" spans="1:37" s="946" customFormat="1" ht="40.5" customHeight="1" x14ac:dyDescent="0.2">
      <c r="A206" s="1306"/>
      <c r="C206" s="1075" t="s">
        <v>2302</v>
      </c>
      <c r="D206" s="890"/>
      <c r="E206" s="907" t="s">
        <v>2713</v>
      </c>
      <c r="F206" s="917"/>
      <c r="G206" s="878" t="s">
        <v>1752</v>
      </c>
      <c r="H206" s="878" t="s">
        <v>1895</v>
      </c>
      <c r="I206" s="861" t="s">
        <v>43</v>
      </c>
      <c r="J206" s="862" t="s">
        <v>1786</v>
      </c>
      <c r="K206" s="862" t="s">
        <v>1934</v>
      </c>
      <c r="L206" s="862">
        <v>120</v>
      </c>
      <c r="M206" s="863" t="s">
        <v>1964</v>
      </c>
      <c r="N206" s="862">
        <v>2012</v>
      </c>
      <c r="O206" s="862" t="s">
        <v>1965</v>
      </c>
      <c r="P206" s="903"/>
      <c r="Q206" s="861"/>
      <c r="R206" s="862"/>
      <c r="S206" s="903" t="s">
        <v>12</v>
      </c>
      <c r="T206" s="879">
        <v>362976238.0473305</v>
      </c>
      <c r="U206" s="1081"/>
      <c r="V206" s="1118"/>
      <c r="W206" s="1124" t="str">
        <f t="shared" si="67"/>
        <v>03.11.01</v>
      </c>
      <c r="X206" s="884" t="str">
        <f t="shared" si="65"/>
        <v>Bangunan Gedung Tempat Kerja</v>
      </c>
      <c r="Y206" s="884">
        <f t="shared" si="66"/>
        <v>50</v>
      </c>
      <c r="Z206" s="868">
        <f t="shared" si="68"/>
        <v>7259524.76094661</v>
      </c>
      <c r="AA206" s="1051">
        <f t="shared" si="69"/>
        <v>1</v>
      </c>
      <c r="AB206" s="868">
        <f t="shared" si="70"/>
        <v>7259524.76094661</v>
      </c>
      <c r="AC206" s="868">
        <f t="shared" si="71"/>
        <v>7259524.76094661</v>
      </c>
      <c r="AD206" s="868">
        <f t="shared" si="72"/>
        <v>7259524.76094661</v>
      </c>
      <c r="AE206" s="868">
        <f t="shared" si="73"/>
        <v>7259524.76094661</v>
      </c>
      <c r="AF206" s="886">
        <f t="shared" si="74"/>
        <v>7259524.76094661</v>
      </c>
      <c r="AG206" s="886">
        <f t="shared" si="75"/>
        <v>7259524.76094661</v>
      </c>
      <c r="AH206" s="886">
        <f t="shared" si="76"/>
        <v>43557148.565679662</v>
      </c>
      <c r="AI206" s="1077">
        <f t="shared" si="77"/>
        <v>319419089.48165083</v>
      </c>
    </row>
    <row r="207" spans="1:37" s="946" customFormat="1" ht="40.5" customHeight="1" x14ac:dyDescent="0.2">
      <c r="A207" s="1306"/>
      <c r="C207" s="1075" t="s">
        <v>2302</v>
      </c>
      <c r="D207" s="890"/>
      <c r="E207" s="907" t="s">
        <v>2714</v>
      </c>
      <c r="F207" s="917"/>
      <c r="G207" s="878" t="s">
        <v>1752</v>
      </c>
      <c r="H207" s="878" t="s">
        <v>1899</v>
      </c>
      <c r="I207" s="861" t="s">
        <v>43</v>
      </c>
      <c r="J207" s="862" t="s">
        <v>1786</v>
      </c>
      <c r="K207" s="862" t="s">
        <v>1934</v>
      </c>
      <c r="L207" s="862">
        <v>120</v>
      </c>
      <c r="M207" s="863" t="s">
        <v>1967</v>
      </c>
      <c r="N207" s="862">
        <v>2012</v>
      </c>
      <c r="O207" s="862" t="s">
        <v>1968</v>
      </c>
      <c r="P207" s="903"/>
      <c r="Q207" s="861"/>
      <c r="R207" s="862"/>
      <c r="S207" s="903" t="s">
        <v>12</v>
      </c>
      <c r="T207" s="879">
        <v>392223433.04041535</v>
      </c>
      <c r="U207" s="1081"/>
      <c r="V207" s="1118"/>
      <c r="W207" s="1124" t="str">
        <f t="shared" si="67"/>
        <v>03.11.01</v>
      </c>
      <c r="X207" s="884" t="str">
        <f t="shared" si="65"/>
        <v>Bangunan Gedung Tempat Kerja</v>
      </c>
      <c r="Y207" s="884">
        <f t="shared" si="66"/>
        <v>50</v>
      </c>
      <c r="Z207" s="868">
        <f t="shared" si="68"/>
        <v>7844468.6608083071</v>
      </c>
      <c r="AA207" s="1051">
        <f t="shared" si="69"/>
        <v>1</v>
      </c>
      <c r="AB207" s="868">
        <f t="shared" si="70"/>
        <v>7844468.6608083071</v>
      </c>
      <c r="AC207" s="868">
        <f t="shared" si="71"/>
        <v>7844468.6608083071</v>
      </c>
      <c r="AD207" s="868">
        <f t="shared" si="72"/>
        <v>7844468.6608083071</v>
      </c>
      <c r="AE207" s="868">
        <f t="shared" si="73"/>
        <v>7844468.6608083071</v>
      </c>
      <c r="AF207" s="886">
        <f t="shared" si="74"/>
        <v>7844468.6608083071</v>
      </c>
      <c r="AG207" s="886">
        <f t="shared" si="75"/>
        <v>7844468.6608083071</v>
      </c>
      <c r="AH207" s="886">
        <f t="shared" si="76"/>
        <v>47066811.964849845</v>
      </c>
      <c r="AI207" s="1077">
        <f t="shared" si="77"/>
        <v>345156621.07556552</v>
      </c>
    </row>
    <row r="208" spans="1:37" s="813" customFormat="1" ht="40.5" customHeight="1" x14ac:dyDescent="0.2">
      <c r="A208" s="812">
        <v>46</v>
      </c>
      <c r="B208" s="813" t="s">
        <v>4292</v>
      </c>
      <c r="C208" s="814" t="s">
        <v>4247</v>
      </c>
      <c r="D208" s="815"/>
      <c r="E208" s="816" t="s">
        <v>2709</v>
      </c>
      <c r="F208" s="817"/>
      <c r="G208" s="818" t="s">
        <v>1772</v>
      </c>
      <c r="H208" s="818" t="s">
        <v>68</v>
      </c>
      <c r="I208" s="819" t="s">
        <v>43</v>
      </c>
      <c r="J208" s="820" t="s">
        <v>1786</v>
      </c>
      <c r="K208" s="820" t="s">
        <v>1934</v>
      </c>
      <c r="L208" s="820"/>
      <c r="M208" s="830" t="s">
        <v>1978</v>
      </c>
      <c r="N208" s="820">
        <v>2012</v>
      </c>
      <c r="O208" s="820" t="s">
        <v>1979</v>
      </c>
      <c r="P208" s="822"/>
      <c r="Q208" s="819"/>
      <c r="R208" s="820"/>
      <c r="S208" s="822" t="s">
        <v>12</v>
      </c>
      <c r="T208" s="823">
        <f>1966923816.22651+F209</f>
        <v>2016291816.22651</v>
      </c>
      <c r="U208" s="831"/>
      <c r="V208" s="1121"/>
      <c r="W208" s="651" t="str">
        <f t="shared" ref="W208:W215" si="78">LEFT(G208,8)</f>
        <v>03.11.01</v>
      </c>
      <c r="X208" s="825" t="str">
        <f t="shared" ref="X208:X215" si="79">VLOOKUP(W208,UE,3)</f>
        <v>Bangunan Gedung Tempat Kerja</v>
      </c>
      <c r="Y208" s="825">
        <f t="shared" ref="Y208:Y215" si="80">VLOOKUP(W208,UE,4)</f>
        <v>50</v>
      </c>
      <c r="Z208" s="826"/>
      <c r="AA208" s="827"/>
      <c r="AB208" s="826"/>
      <c r="AC208" s="826"/>
      <c r="AD208" s="826"/>
      <c r="AE208" s="826"/>
      <c r="AF208" s="826"/>
      <c r="AG208" s="828">
        <f>'PERHITUNGAN (C)'!R639</f>
        <v>40325836.324530199</v>
      </c>
      <c r="AH208" s="828">
        <f>'PERHITUNGAN (C)'!U642</f>
        <v>322606690.59624153</v>
      </c>
      <c r="AI208" s="829">
        <f t="shared" si="77"/>
        <v>1693685125.6302686</v>
      </c>
    </row>
    <row r="209" spans="1:35" s="48" customFormat="1" ht="40.5" customHeight="1" x14ac:dyDescent="0.2">
      <c r="A209" s="296">
        <v>46</v>
      </c>
      <c r="B209" s="48" t="s">
        <v>4292</v>
      </c>
      <c r="C209" s="772" t="s">
        <v>4247</v>
      </c>
      <c r="D209" s="73"/>
      <c r="E209" s="65" t="s">
        <v>2709</v>
      </c>
      <c r="F209" s="555">
        <v>49368000</v>
      </c>
      <c r="G209" s="67" t="s">
        <v>1772</v>
      </c>
      <c r="H209" s="67" t="s">
        <v>39</v>
      </c>
      <c r="I209" s="33" t="s">
        <v>43</v>
      </c>
      <c r="J209" s="40" t="s">
        <v>1786</v>
      </c>
      <c r="K209" s="40" t="s">
        <v>1934</v>
      </c>
      <c r="L209" s="40"/>
      <c r="M209" s="72" t="s">
        <v>1953</v>
      </c>
      <c r="N209" s="40">
        <v>2012</v>
      </c>
      <c r="O209" s="40" t="s">
        <v>1954</v>
      </c>
      <c r="P209" s="32"/>
      <c r="Q209" s="33"/>
      <c r="R209" s="40"/>
      <c r="S209" s="32" t="s">
        <v>12</v>
      </c>
      <c r="T209" s="252"/>
      <c r="U209" s="105"/>
      <c r="V209" s="1116"/>
      <c r="W209" s="206" t="str">
        <f t="shared" si="78"/>
        <v>03.11.01</v>
      </c>
      <c r="X209" s="207" t="str">
        <f t="shared" si="79"/>
        <v>Bangunan Gedung Tempat Kerja</v>
      </c>
      <c r="Y209" s="207">
        <f t="shared" si="80"/>
        <v>50</v>
      </c>
      <c r="Z209" s="233"/>
      <c r="AA209" s="714"/>
      <c r="AB209" s="233"/>
      <c r="AC209" s="233"/>
      <c r="AD209" s="233"/>
      <c r="AE209" s="233"/>
      <c r="AF209" s="233"/>
      <c r="AG209" s="238"/>
      <c r="AH209" s="238"/>
      <c r="AI209" s="210">
        <f t="shared" si="77"/>
        <v>0</v>
      </c>
    </row>
    <row r="210" spans="1:35" s="1089" customFormat="1" ht="40.5" customHeight="1" x14ac:dyDescent="0.2">
      <c r="A210" s="1133">
        <v>24</v>
      </c>
      <c r="B210" s="1089" t="s">
        <v>4794</v>
      </c>
      <c r="C210" s="1134" t="s">
        <v>4247</v>
      </c>
      <c r="D210" s="1014"/>
      <c r="E210" s="1135" t="s">
        <v>4787</v>
      </c>
      <c r="F210" s="1136"/>
      <c r="G210" s="1010" t="s">
        <v>2092</v>
      </c>
      <c r="H210" s="1010" t="s">
        <v>39</v>
      </c>
      <c r="I210" s="1137" t="s">
        <v>43</v>
      </c>
      <c r="J210" s="1138" t="s">
        <v>1786</v>
      </c>
      <c r="K210" s="1138" t="s">
        <v>1934</v>
      </c>
      <c r="L210" s="1138"/>
      <c r="M210" s="1139" t="s">
        <v>1776</v>
      </c>
      <c r="N210" s="1138">
        <v>2013</v>
      </c>
      <c r="O210" s="1138" t="s">
        <v>2093</v>
      </c>
      <c r="P210" s="1140"/>
      <c r="Q210" s="1137"/>
      <c r="R210" s="1141"/>
      <c r="S210" s="1140" t="s">
        <v>12</v>
      </c>
      <c r="T210" s="1011">
        <f>783393333.333333+F211</f>
        <v>997067333.33333302</v>
      </c>
      <c r="U210" s="1142"/>
      <c r="V210" s="1143"/>
      <c r="W210" s="1144" t="str">
        <f t="shared" si="78"/>
        <v>03.11.01</v>
      </c>
      <c r="X210" s="1006" t="str">
        <f t="shared" si="79"/>
        <v>Bangunan Gedung Tempat Kerja</v>
      </c>
      <c r="Y210" s="1006">
        <f t="shared" si="80"/>
        <v>50</v>
      </c>
      <c r="Z210" s="1007"/>
      <c r="AA210" s="1145">
        <f t="shared" ref="AA210:AA216" si="81">IF(2013-N210&gt;Y210,Y210,IF(2013-N210&lt;0,0,2013-N210))</f>
        <v>0</v>
      </c>
      <c r="AB210" s="1007">
        <f>IF(AA210&gt;Y210,T210,Z210*AA210)</f>
        <v>0</v>
      </c>
      <c r="AC210" s="1007"/>
      <c r="AD210" s="1007"/>
      <c r="AE210" s="1007"/>
      <c r="AF210" s="1009"/>
      <c r="AG210" s="1009">
        <f>'PERHITUNGAN (C)'!R420</f>
        <v>19627989.333333336</v>
      </c>
      <c r="AH210" s="1009">
        <f>'PERHITUNGAN (C)'!U426</f>
        <v>133435802.66666669</v>
      </c>
      <c r="AI210" s="1146">
        <f t="shared" ref="AI210:AI215" si="82">T210-AH210</f>
        <v>863631530.66666627</v>
      </c>
    </row>
    <row r="211" spans="1:35" s="946" customFormat="1" ht="40.5" customHeight="1" x14ac:dyDescent="0.2">
      <c r="A211" s="1306">
        <v>24</v>
      </c>
      <c r="B211" s="946" t="s">
        <v>4794</v>
      </c>
      <c r="C211" s="1075" t="s">
        <v>4247</v>
      </c>
      <c r="D211" s="890"/>
      <c r="E211" s="907" t="s">
        <v>4789</v>
      </c>
      <c r="F211" s="917">
        <v>213674000</v>
      </c>
      <c r="G211" s="878" t="s">
        <v>1752</v>
      </c>
      <c r="H211" s="878" t="s">
        <v>2071</v>
      </c>
      <c r="I211" s="861" t="s">
        <v>43</v>
      </c>
      <c r="J211" s="862" t="s">
        <v>1786</v>
      </c>
      <c r="K211" s="862" t="s">
        <v>1934</v>
      </c>
      <c r="L211" s="862"/>
      <c r="M211" s="863" t="s">
        <v>1776</v>
      </c>
      <c r="N211" s="862">
        <v>2014</v>
      </c>
      <c r="O211" s="862" t="s">
        <v>2208</v>
      </c>
      <c r="P211" s="903"/>
      <c r="Q211" s="861"/>
      <c r="R211" s="862"/>
      <c r="S211" s="903"/>
      <c r="T211" s="879"/>
      <c r="U211" s="1081"/>
      <c r="V211" s="1118"/>
      <c r="W211" s="1124" t="str">
        <f t="shared" si="78"/>
        <v>03.11.01</v>
      </c>
      <c r="X211" s="884" t="str">
        <f t="shared" si="79"/>
        <v>Bangunan Gedung Tempat Kerja</v>
      </c>
      <c r="Y211" s="884">
        <f t="shared" si="80"/>
        <v>50</v>
      </c>
      <c r="Z211" s="868"/>
      <c r="AA211" s="1051">
        <f t="shared" si="81"/>
        <v>0</v>
      </c>
      <c r="AB211" s="868">
        <f>IF(AA211&gt;Y211,T211,Z211*AA211)</f>
        <v>0</v>
      </c>
      <c r="AC211" s="868"/>
      <c r="AD211" s="868"/>
      <c r="AE211" s="868"/>
      <c r="AF211" s="886"/>
      <c r="AG211" s="886"/>
      <c r="AH211" s="886"/>
      <c r="AI211" s="1077">
        <f t="shared" si="82"/>
        <v>0</v>
      </c>
    </row>
    <row r="212" spans="1:35" s="1089" customFormat="1" ht="40.5" customHeight="1" x14ac:dyDescent="0.2">
      <c r="A212" s="1133">
        <v>25</v>
      </c>
      <c r="B212" s="1089" t="s">
        <v>4796</v>
      </c>
      <c r="C212" s="1134" t="s">
        <v>4247</v>
      </c>
      <c r="D212" s="1014"/>
      <c r="E212" s="1135" t="s">
        <v>4788</v>
      </c>
      <c r="F212" s="1136"/>
      <c r="G212" s="1010" t="s">
        <v>2092</v>
      </c>
      <c r="H212" s="1010" t="s">
        <v>39</v>
      </c>
      <c r="I212" s="1137" t="s">
        <v>43</v>
      </c>
      <c r="J212" s="1138" t="s">
        <v>1786</v>
      </c>
      <c r="K212" s="1138" t="s">
        <v>1934</v>
      </c>
      <c r="L212" s="1138"/>
      <c r="M212" s="1139" t="s">
        <v>1776</v>
      </c>
      <c r="N212" s="1138">
        <v>2013</v>
      </c>
      <c r="O212" s="1138" t="s">
        <v>2093</v>
      </c>
      <c r="P212" s="1140"/>
      <c r="Q212" s="1137"/>
      <c r="R212" s="1138"/>
      <c r="S212" s="1140" t="s">
        <v>12</v>
      </c>
      <c r="T212" s="1011">
        <f>783393333.333333+F213</f>
        <v>962312333.33333302</v>
      </c>
      <c r="U212" s="1142"/>
      <c r="V212" s="1143"/>
      <c r="W212" s="1144" t="str">
        <f t="shared" si="78"/>
        <v>03.11.01</v>
      </c>
      <c r="X212" s="1006" t="str">
        <f t="shared" si="79"/>
        <v>Bangunan Gedung Tempat Kerja</v>
      </c>
      <c r="Y212" s="1006">
        <f t="shared" si="80"/>
        <v>50</v>
      </c>
      <c r="Z212" s="1007"/>
      <c r="AA212" s="1145">
        <f t="shared" si="81"/>
        <v>0</v>
      </c>
      <c r="AB212" s="1007"/>
      <c r="AC212" s="1007"/>
      <c r="AD212" s="1007"/>
      <c r="AE212" s="1007"/>
      <c r="AF212" s="1009"/>
      <c r="AG212" s="1009">
        <f>'PERHITUNGAN (C)'!R438</f>
        <v>18932889.333333336</v>
      </c>
      <c r="AH212" s="1009">
        <f>'PERHITUNGAN (C)'!U444</f>
        <v>129265202.66666669</v>
      </c>
      <c r="AI212" s="1146">
        <f t="shared" si="82"/>
        <v>833047130.66666627</v>
      </c>
    </row>
    <row r="213" spans="1:35" s="946" customFormat="1" ht="40.5" customHeight="1" x14ac:dyDescent="0.2">
      <c r="A213" s="1306">
        <v>25</v>
      </c>
      <c r="B213" s="946" t="s">
        <v>4796</v>
      </c>
      <c r="C213" s="1075" t="s">
        <v>4247</v>
      </c>
      <c r="D213" s="890"/>
      <c r="E213" s="907" t="s">
        <v>4790</v>
      </c>
      <c r="F213" s="917">
        <v>178919000</v>
      </c>
      <c r="G213" s="878" t="s">
        <v>1752</v>
      </c>
      <c r="H213" s="878" t="s">
        <v>2075</v>
      </c>
      <c r="I213" s="861" t="s">
        <v>43</v>
      </c>
      <c r="J213" s="862" t="s">
        <v>1786</v>
      </c>
      <c r="K213" s="862" t="s">
        <v>1934</v>
      </c>
      <c r="L213" s="862"/>
      <c r="M213" s="863" t="s">
        <v>1776</v>
      </c>
      <c r="N213" s="862">
        <v>2014</v>
      </c>
      <c r="O213" s="862" t="s">
        <v>2210</v>
      </c>
      <c r="P213" s="903"/>
      <c r="Q213" s="861"/>
      <c r="R213" s="862"/>
      <c r="S213" s="903"/>
      <c r="T213" s="879"/>
      <c r="U213" s="1081"/>
      <c r="V213" s="1118"/>
      <c r="W213" s="1124" t="str">
        <f t="shared" si="78"/>
        <v>03.11.01</v>
      </c>
      <c r="X213" s="884" t="str">
        <f t="shared" si="79"/>
        <v>Bangunan Gedung Tempat Kerja</v>
      </c>
      <c r="Y213" s="884">
        <f t="shared" si="80"/>
        <v>50</v>
      </c>
      <c r="Z213" s="868"/>
      <c r="AA213" s="1051">
        <f t="shared" si="81"/>
        <v>0</v>
      </c>
      <c r="AB213" s="868"/>
      <c r="AC213" s="868"/>
      <c r="AD213" s="868"/>
      <c r="AE213" s="868"/>
      <c r="AF213" s="886"/>
      <c r="AG213" s="886"/>
      <c r="AH213" s="886">
        <f>SUM(AB213:AG213)</f>
        <v>0</v>
      </c>
      <c r="AI213" s="1077">
        <f t="shared" si="82"/>
        <v>0</v>
      </c>
    </row>
    <row r="214" spans="1:35" s="1089" customFormat="1" ht="40.5" customHeight="1" x14ac:dyDescent="0.2">
      <c r="A214" s="1133">
        <v>26</v>
      </c>
      <c r="B214" s="1089" t="s">
        <v>2983</v>
      </c>
      <c r="C214" s="1134" t="s">
        <v>4247</v>
      </c>
      <c r="D214" s="1014"/>
      <c r="E214" s="1135" t="s">
        <v>4792</v>
      </c>
      <c r="F214" s="1136"/>
      <c r="G214" s="1010" t="s">
        <v>2092</v>
      </c>
      <c r="H214" s="1010" t="s">
        <v>39</v>
      </c>
      <c r="I214" s="1137" t="s">
        <v>43</v>
      </c>
      <c r="J214" s="1138" t="s">
        <v>1786</v>
      </c>
      <c r="K214" s="1138" t="s">
        <v>1934</v>
      </c>
      <c r="L214" s="1138"/>
      <c r="M214" s="1139" t="s">
        <v>1776</v>
      </c>
      <c r="N214" s="1138">
        <v>2013</v>
      </c>
      <c r="O214" s="1138" t="s">
        <v>2093</v>
      </c>
      <c r="P214" s="1140"/>
      <c r="Q214" s="1137"/>
      <c r="R214" s="1138"/>
      <c r="S214" s="1140" t="s">
        <v>12</v>
      </c>
      <c r="T214" s="1011">
        <f>783393333.333333+F215</f>
        <v>996980333.33333302</v>
      </c>
      <c r="U214" s="1142"/>
      <c r="V214" s="1143"/>
      <c r="W214" s="1144" t="str">
        <f t="shared" si="78"/>
        <v>03.11.01</v>
      </c>
      <c r="X214" s="1006" t="str">
        <f t="shared" si="79"/>
        <v>Bangunan Gedung Tempat Kerja</v>
      </c>
      <c r="Y214" s="1006">
        <f t="shared" si="80"/>
        <v>50</v>
      </c>
      <c r="Z214" s="1007"/>
      <c r="AA214" s="1145">
        <f t="shared" si="81"/>
        <v>0</v>
      </c>
      <c r="AB214" s="1007"/>
      <c r="AC214" s="1007"/>
      <c r="AD214" s="1007"/>
      <c r="AE214" s="1007"/>
      <c r="AF214" s="1009"/>
      <c r="AG214" s="1009">
        <f>'PERHITUNGAN (C)'!R456</f>
        <v>19626249.333333336</v>
      </c>
      <c r="AH214" s="1009">
        <f>'PERHITUNGAN (C)'!U462</f>
        <v>133425362.66666669</v>
      </c>
      <c r="AI214" s="1146">
        <f t="shared" si="82"/>
        <v>863554970.66666627</v>
      </c>
    </row>
    <row r="215" spans="1:35" s="946" customFormat="1" ht="40.5" customHeight="1" x14ac:dyDescent="0.2">
      <c r="A215" s="1306">
        <v>26</v>
      </c>
      <c r="B215" s="946" t="s">
        <v>2983</v>
      </c>
      <c r="C215" s="1075" t="s">
        <v>4247</v>
      </c>
      <c r="D215" s="890"/>
      <c r="E215" s="907" t="s">
        <v>4791</v>
      </c>
      <c r="F215" s="917">
        <v>213587000</v>
      </c>
      <c r="G215" s="878" t="s">
        <v>1752</v>
      </c>
      <c r="H215" s="878" t="s">
        <v>2079</v>
      </c>
      <c r="I215" s="861" t="s">
        <v>43</v>
      </c>
      <c r="J215" s="862" t="s">
        <v>1786</v>
      </c>
      <c r="K215" s="862" t="s">
        <v>1934</v>
      </c>
      <c r="L215" s="862"/>
      <c r="M215" s="863" t="s">
        <v>1776</v>
      </c>
      <c r="N215" s="862">
        <v>2014</v>
      </c>
      <c r="O215" s="862" t="s">
        <v>2212</v>
      </c>
      <c r="P215" s="903"/>
      <c r="Q215" s="861"/>
      <c r="R215" s="862"/>
      <c r="S215" s="903"/>
      <c r="T215" s="879"/>
      <c r="U215" s="1081"/>
      <c r="V215" s="1118"/>
      <c r="W215" s="1124" t="str">
        <f t="shared" si="78"/>
        <v>03.11.01</v>
      </c>
      <c r="X215" s="884" t="str">
        <f t="shared" si="79"/>
        <v>Bangunan Gedung Tempat Kerja</v>
      </c>
      <c r="Y215" s="884">
        <f t="shared" si="80"/>
        <v>50</v>
      </c>
      <c r="Z215" s="868"/>
      <c r="AA215" s="1051">
        <f t="shared" si="81"/>
        <v>0</v>
      </c>
      <c r="AB215" s="868"/>
      <c r="AC215" s="868"/>
      <c r="AD215" s="868"/>
      <c r="AE215" s="868"/>
      <c r="AF215" s="886"/>
      <c r="AG215" s="886"/>
      <c r="AH215" s="886"/>
      <c r="AI215" s="1077">
        <f t="shared" si="82"/>
        <v>0</v>
      </c>
    </row>
    <row r="216" spans="1:35" s="946" customFormat="1" ht="40.5" customHeight="1" x14ac:dyDescent="0.2">
      <c r="A216" s="1306"/>
      <c r="C216" s="1075" t="s">
        <v>2302</v>
      </c>
      <c r="D216" s="890"/>
      <c r="E216" s="907" t="s">
        <v>2717</v>
      </c>
      <c r="F216" s="917"/>
      <c r="G216" s="878" t="s">
        <v>2843</v>
      </c>
      <c r="H216" s="878" t="s">
        <v>68</v>
      </c>
      <c r="I216" s="861" t="s">
        <v>43</v>
      </c>
      <c r="J216" s="862" t="s">
        <v>1786</v>
      </c>
      <c r="K216" s="862" t="s">
        <v>1934</v>
      </c>
      <c r="L216" s="862"/>
      <c r="M216" s="863" t="s">
        <v>1981</v>
      </c>
      <c r="N216" s="862">
        <v>2012</v>
      </c>
      <c r="O216" s="862" t="s">
        <v>1982</v>
      </c>
      <c r="P216" s="903"/>
      <c r="Q216" s="861"/>
      <c r="R216" s="862"/>
      <c r="S216" s="903" t="s">
        <v>12</v>
      </c>
      <c r="T216" s="879">
        <v>82249788.859167397</v>
      </c>
      <c r="U216" s="1081"/>
      <c r="V216" s="1118"/>
      <c r="W216" s="1124" t="str">
        <f t="shared" ref="W216:W279" si="83">LEFT(G216,8)</f>
        <v>03.11.01</v>
      </c>
      <c r="X216" s="884" t="str">
        <f t="shared" ref="X216:X279" si="84">VLOOKUP(W216,UE,3)</f>
        <v>Bangunan Gedung Tempat Kerja</v>
      </c>
      <c r="Y216" s="884">
        <f t="shared" ref="Y216:Y279" si="85">VLOOKUP(W216,UE,4)</f>
        <v>50</v>
      </c>
      <c r="Z216" s="868">
        <f>T216/Y216</f>
        <v>1644995.7771833478</v>
      </c>
      <c r="AA216" s="1051">
        <f t="shared" si="81"/>
        <v>1</v>
      </c>
      <c r="AB216" s="868">
        <f>IF(AA216&gt;Y216,T216,Z216*AA216)</f>
        <v>1644995.7771833478</v>
      </c>
      <c r="AC216" s="868">
        <f>IF(T216=AB216,0,Z216)</f>
        <v>1644995.7771833478</v>
      </c>
      <c r="AD216" s="868">
        <f>IF(T216=AB216+AC216,0,Z216)</f>
        <v>1644995.7771833478</v>
      </c>
      <c r="AE216" s="868">
        <f>IF(T216=AB216+AC216+AD216,0,Z216)</f>
        <v>1644995.7771833478</v>
      </c>
      <c r="AF216" s="886">
        <f>IF(T216=AB216+AC216+AD216+AE216,0,Z216)</f>
        <v>1644995.7771833478</v>
      </c>
      <c r="AG216" s="886">
        <f>IF(T216=AB216+AC216+AD216+AE216+AF216,0,Z216)</f>
        <v>1644995.7771833478</v>
      </c>
      <c r="AH216" s="886">
        <f>SUM(AB216:AG216)</f>
        <v>9869974.663100088</v>
      </c>
      <c r="AI216" s="1077">
        <f t="shared" si="77"/>
        <v>72379814.196067303</v>
      </c>
    </row>
    <row r="217" spans="1:35" s="670" customFormat="1" ht="40.5" customHeight="1" x14ac:dyDescent="0.2">
      <c r="A217" s="669">
        <v>27</v>
      </c>
      <c r="B217" s="670" t="s">
        <v>3009</v>
      </c>
      <c r="C217" s="773" t="s">
        <v>4247</v>
      </c>
      <c r="D217" s="652"/>
      <c r="E217" s="671" t="s">
        <v>2718</v>
      </c>
      <c r="F217" s="672"/>
      <c r="G217" s="653" t="s">
        <v>1984</v>
      </c>
      <c r="H217" s="653" t="s">
        <v>39</v>
      </c>
      <c r="I217" s="673" t="s">
        <v>43</v>
      </c>
      <c r="J217" s="674" t="s">
        <v>1786</v>
      </c>
      <c r="K217" s="674" t="s">
        <v>1934</v>
      </c>
      <c r="L217" s="674"/>
      <c r="M217" s="691" t="s">
        <v>3008</v>
      </c>
      <c r="N217" s="674">
        <v>2012</v>
      </c>
      <c r="O217" s="674" t="s">
        <v>1985</v>
      </c>
      <c r="P217" s="675"/>
      <c r="Q217" s="673"/>
      <c r="R217" s="674"/>
      <c r="S217" s="675" t="s">
        <v>12</v>
      </c>
      <c r="T217" s="654">
        <f>49059200+48328000</f>
        <v>97387200</v>
      </c>
      <c r="U217" s="702"/>
      <c r="V217" s="1119"/>
      <c r="W217" s="647" t="str">
        <f t="shared" si="83"/>
        <v>03.12.12</v>
      </c>
      <c r="X217" s="648" t="str">
        <f t="shared" si="84"/>
        <v>Rambu-Rambu Lalu Lintas Udara</v>
      </c>
      <c r="Y217" s="648">
        <f t="shared" si="85"/>
        <v>50</v>
      </c>
      <c r="Z217" s="649"/>
      <c r="AA217" s="718"/>
      <c r="AB217" s="649"/>
      <c r="AC217" s="649"/>
      <c r="AD217" s="649"/>
      <c r="AE217" s="649"/>
      <c r="AF217" s="649"/>
      <c r="AG217" s="650">
        <f>'PERHITUNGAN (C)'!U476</f>
        <v>1947744</v>
      </c>
      <c r="AH217" s="650">
        <f>'PERHITUNGAN (C)'!U479</f>
        <v>15581952</v>
      </c>
      <c r="AI217" s="677">
        <f t="shared" si="77"/>
        <v>81805248</v>
      </c>
    </row>
    <row r="218" spans="1:35" s="48" customFormat="1" ht="40.5" customHeight="1" x14ac:dyDescent="0.2">
      <c r="A218" s="296">
        <v>27</v>
      </c>
      <c r="B218" s="48" t="s">
        <v>3009</v>
      </c>
      <c r="C218" s="772" t="s">
        <v>4247</v>
      </c>
      <c r="D218" s="73"/>
      <c r="E218" s="65" t="s">
        <v>2719</v>
      </c>
      <c r="F218" s="555"/>
      <c r="G218" s="67" t="s">
        <v>1984</v>
      </c>
      <c r="H218" s="67" t="s">
        <v>68</v>
      </c>
      <c r="I218" s="33" t="s">
        <v>43</v>
      </c>
      <c r="J218" s="40" t="s">
        <v>1786</v>
      </c>
      <c r="K218" s="40" t="s">
        <v>1934</v>
      </c>
      <c r="L218" s="40"/>
      <c r="M218" s="72" t="s">
        <v>3008</v>
      </c>
      <c r="N218" s="40">
        <v>2012</v>
      </c>
      <c r="O218" s="40" t="s">
        <v>1987</v>
      </c>
      <c r="P218" s="32"/>
      <c r="Q218" s="33"/>
      <c r="R218" s="40"/>
      <c r="S218" s="32" t="s">
        <v>12</v>
      </c>
      <c r="T218" s="252"/>
      <c r="U218" s="105"/>
      <c r="V218" s="1116"/>
      <c r="W218" s="206" t="str">
        <f t="shared" si="83"/>
        <v>03.12.12</v>
      </c>
      <c r="X218" s="207" t="str">
        <f t="shared" si="84"/>
        <v>Rambu-Rambu Lalu Lintas Udara</v>
      </c>
      <c r="Y218" s="207">
        <f t="shared" si="85"/>
        <v>50</v>
      </c>
      <c r="Z218" s="233"/>
      <c r="AA218" s="714"/>
      <c r="AB218" s="233"/>
      <c r="AC218" s="233"/>
      <c r="AD218" s="233"/>
      <c r="AE218" s="233"/>
      <c r="AF218" s="233"/>
      <c r="AG218" s="238"/>
      <c r="AH218" s="238"/>
      <c r="AI218" s="210">
        <f t="shared" si="77"/>
        <v>0</v>
      </c>
    </row>
    <row r="219" spans="1:35" s="670" customFormat="1" ht="40.5" customHeight="1" x14ac:dyDescent="0.2">
      <c r="A219" s="669">
        <v>28</v>
      </c>
      <c r="B219" s="670" t="s">
        <v>3016</v>
      </c>
      <c r="C219" s="773" t="s">
        <v>4247</v>
      </c>
      <c r="D219" s="652"/>
      <c r="E219" s="671" t="s">
        <v>2720</v>
      </c>
      <c r="F219" s="672"/>
      <c r="G219" s="653" t="s">
        <v>1752</v>
      </c>
      <c r="H219" s="653"/>
      <c r="I219" s="673" t="s">
        <v>43</v>
      </c>
      <c r="J219" s="674"/>
      <c r="K219" s="674"/>
      <c r="L219" s="674"/>
      <c r="M219" s="691" t="s">
        <v>1931</v>
      </c>
      <c r="N219" s="674">
        <v>2013</v>
      </c>
      <c r="O219" s="674"/>
      <c r="P219" s="675"/>
      <c r="Q219" s="673"/>
      <c r="R219" s="674"/>
      <c r="S219" s="675" t="s">
        <v>12</v>
      </c>
      <c r="T219" s="654">
        <f>1689351378.79478+F220+F221+F222</f>
        <v>2361852100.000001</v>
      </c>
      <c r="U219" s="702"/>
      <c r="V219" s="1119"/>
      <c r="W219" s="647" t="str">
        <f t="shared" si="83"/>
        <v>03.11.01</v>
      </c>
      <c r="X219" s="648" t="str">
        <f t="shared" si="84"/>
        <v>Bangunan Gedung Tempat Kerja</v>
      </c>
      <c r="Y219" s="648">
        <f t="shared" si="85"/>
        <v>50</v>
      </c>
      <c r="Z219" s="649"/>
      <c r="AA219" s="718"/>
      <c r="AB219" s="649"/>
      <c r="AC219" s="649"/>
      <c r="AD219" s="649"/>
      <c r="AE219" s="649"/>
      <c r="AF219" s="649"/>
      <c r="AG219" s="650" t="e">
        <f>'PERHITUNGAN (C)'!#REF!</f>
        <v>#REF!</v>
      </c>
      <c r="AH219" s="650" t="e">
        <f>'PERHITUNGAN (C)'!#REF!</f>
        <v>#REF!</v>
      </c>
      <c r="AI219" s="677" t="e">
        <f t="shared" si="77"/>
        <v>#REF!</v>
      </c>
    </row>
    <row r="220" spans="1:35" s="48" customFormat="1" ht="40.5" customHeight="1" x14ac:dyDescent="0.2">
      <c r="A220" s="296">
        <v>28</v>
      </c>
      <c r="B220" s="48" t="s">
        <v>3016</v>
      </c>
      <c r="C220" s="772" t="s">
        <v>4247</v>
      </c>
      <c r="D220" s="73"/>
      <c r="E220" s="65" t="s">
        <v>2720</v>
      </c>
      <c r="F220" s="555">
        <v>408571621.20522106</v>
      </c>
      <c r="G220" s="67" t="s">
        <v>1752</v>
      </c>
      <c r="H220" s="67"/>
      <c r="I220" s="33" t="s">
        <v>43</v>
      </c>
      <c r="J220" s="40"/>
      <c r="K220" s="40"/>
      <c r="L220" s="40"/>
      <c r="M220" s="72" t="s">
        <v>1931</v>
      </c>
      <c r="N220" s="40">
        <v>2013</v>
      </c>
      <c r="O220" s="40"/>
      <c r="P220" s="32"/>
      <c r="Q220" s="33"/>
      <c r="R220" s="40"/>
      <c r="S220" s="32" t="s">
        <v>12</v>
      </c>
      <c r="T220" s="252"/>
      <c r="U220" s="105"/>
      <c r="V220" s="1116"/>
      <c r="W220" s="206" t="str">
        <f t="shared" si="83"/>
        <v>03.11.01</v>
      </c>
      <c r="X220" s="207" t="str">
        <f t="shared" si="84"/>
        <v>Bangunan Gedung Tempat Kerja</v>
      </c>
      <c r="Y220" s="207">
        <f t="shared" si="85"/>
        <v>50</v>
      </c>
      <c r="Z220" s="233"/>
      <c r="AA220" s="714"/>
      <c r="AB220" s="233"/>
      <c r="AC220" s="233"/>
      <c r="AD220" s="233"/>
      <c r="AE220" s="233"/>
      <c r="AF220" s="233"/>
      <c r="AG220" s="238"/>
      <c r="AH220" s="238"/>
      <c r="AI220" s="210">
        <f t="shared" si="77"/>
        <v>0</v>
      </c>
    </row>
    <row r="221" spans="1:35" s="48" customFormat="1" ht="40.5" customHeight="1" x14ac:dyDescent="0.2">
      <c r="A221" s="296">
        <v>28</v>
      </c>
      <c r="B221" s="48" t="s">
        <v>3016</v>
      </c>
      <c r="C221" s="772" t="s">
        <v>4247</v>
      </c>
      <c r="D221" s="73"/>
      <c r="E221" s="65" t="s">
        <v>2771</v>
      </c>
      <c r="F221" s="555">
        <v>189561100</v>
      </c>
      <c r="G221" s="67" t="s">
        <v>1752</v>
      </c>
      <c r="H221" s="67" t="s">
        <v>2130</v>
      </c>
      <c r="I221" s="33" t="s">
        <v>43</v>
      </c>
      <c r="J221" s="40" t="s">
        <v>1786</v>
      </c>
      <c r="K221" s="40" t="s">
        <v>1934</v>
      </c>
      <c r="L221" s="40"/>
      <c r="M221" s="72" t="s">
        <v>1776</v>
      </c>
      <c r="N221" s="40">
        <v>2013</v>
      </c>
      <c r="O221" s="40" t="s">
        <v>2131</v>
      </c>
      <c r="P221" s="32"/>
      <c r="Q221" s="33"/>
      <c r="R221" s="40"/>
      <c r="S221" s="32" t="s">
        <v>12</v>
      </c>
      <c r="T221" s="252"/>
      <c r="U221" s="105"/>
      <c r="V221" s="1116"/>
      <c r="W221" s="206" t="str">
        <f t="shared" si="83"/>
        <v>03.11.01</v>
      </c>
      <c r="X221" s="207" t="str">
        <f t="shared" si="84"/>
        <v>Bangunan Gedung Tempat Kerja</v>
      </c>
      <c r="Y221" s="207">
        <f t="shared" si="85"/>
        <v>50</v>
      </c>
      <c r="Z221" s="233"/>
      <c r="AA221" s="714"/>
      <c r="AB221" s="233"/>
      <c r="AC221" s="233"/>
      <c r="AD221" s="233"/>
      <c r="AE221" s="233"/>
      <c r="AF221" s="233"/>
      <c r="AG221" s="238"/>
      <c r="AH221" s="238"/>
      <c r="AI221" s="210">
        <f t="shared" si="77"/>
        <v>0</v>
      </c>
    </row>
    <row r="222" spans="1:35" s="48" customFormat="1" ht="40.5" customHeight="1" x14ac:dyDescent="0.2">
      <c r="A222" s="296">
        <v>28</v>
      </c>
      <c r="B222" s="48" t="s">
        <v>3016</v>
      </c>
      <c r="C222" s="772" t="s">
        <v>4247</v>
      </c>
      <c r="D222" s="73"/>
      <c r="E222" s="65" t="s">
        <v>3019</v>
      </c>
      <c r="F222" s="555">
        <v>74368000</v>
      </c>
      <c r="G222" s="67" t="s">
        <v>1752</v>
      </c>
      <c r="H222" s="67" t="s">
        <v>2205</v>
      </c>
      <c r="I222" s="33" t="s">
        <v>43</v>
      </c>
      <c r="J222" s="40" t="s">
        <v>1786</v>
      </c>
      <c r="K222" s="40" t="s">
        <v>1934</v>
      </c>
      <c r="L222" s="40"/>
      <c r="M222" s="72" t="s">
        <v>1776</v>
      </c>
      <c r="N222" s="40">
        <v>2014</v>
      </c>
      <c r="O222" s="40" t="s">
        <v>2206</v>
      </c>
      <c r="P222" s="32"/>
      <c r="Q222" s="33"/>
      <c r="R222" s="40"/>
      <c r="S222" s="32" t="s">
        <v>12</v>
      </c>
      <c r="T222" s="252"/>
      <c r="U222" s="105"/>
      <c r="V222" s="1116"/>
      <c r="W222" s="206" t="str">
        <f t="shared" si="83"/>
        <v>03.11.01</v>
      </c>
      <c r="X222" s="207" t="str">
        <f t="shared" si="84"/>
        <v>Bangunan Gedung Tempat Kerja</v>
      </c>
      <c r="Y222" s="207">
        <f t="shared" si="85"/>
        <v>50</v>
      </c>
      <c r="Z222" s="233"/>
      <c r="AA222" s="714"/>
      <c r="AB222" s="233"/>
      <c r="AC222" s="233"/>
      <c r="AD222" s="233"/>
      <c r="AE222" s="233"/>
      <c r="AF222" s="233"/>
      <c r="AG222" s="238"/>
      <c r="AH222" s="238"/>
      <c r="AI222" s="210">
        <f t="shared" si="77"/>
        <v>0</v>
      </c>
    </row>
    <row r="223" spans="1:35" s="946" customFormat="1" ht="40.5" customHeight="1" x14ac:dyDescent="0.2">
      <c r="A223" s="1306"/>
      <c r="C223" s="1075" t="s">
        <v>2302</v>
      </c>
      <c r="D223" s="890"/>
      <c r="E223" s="907" t="s">
        <v>2699</v>
      </c>
      <c r="F223" s="917"/>
      <c r="G223" s="878" t="s">
        <v>2845</v>
      </c>
      <c r="H223" s="878"/>
      <c r="I223" s="861" t="s">
        <v>43</v>
      </c>
      <c r="J223" s="862"/>
      <c r="K223" s="862"/>
      <c r="L223" s="862"/>
      <c r="M223" s="863" t="s">
        <v>1931</v>
      </c>
      <c r="N223" s="862">
        <v>2013</v>
      </c>
      <c r="O223" s="862"/>
      <c r="P223" s="903"/>
      <c r="Q223" s="861"/>
      <c r="R223" s="862"/>
      <c r="S223" s="903" t="s">
        <v>12</v>
      </c>
      <c r="T223" s="879">
        <v>145567127.71980911</v>
      </c>
      <c r="U223" s="1081"/>
      <c r="V223" s="1118"/>
      <c r="W223" s="1124" t="str">
        <f t="shared" si="83"/>
        <v>03.11.01</v>
      </c>
      <c r="X223" s="884" t="str">
        <f t="shared" si="84"/>
        <v>Bangunan Gedung Tempat Kerja</v>
      </c>
      <c r="Y223" s="884">
        <f t="shared" si="85"/>
        <v>50</v>
      </c>
      <c r="Z223" s="868">
        <f t="shared" ref="Z223:Z228" si="86">T223/Y223</f>
        <v>2911342.5543961823</v>
      </c>
      <c r="AA223" s="1051">
        <f t="shared" ref="AA223:AA228" si="87">IF(2013-N223&gt;Y223,Y223,IF(2013-N223&lt;0,0,2013-N223))</f>
        <v>0</v>
      </c>
      <c r="AB223" s="868">
        <f t="shared" ref="AB223:AB228" si="88">IF(AA223&gt;Y223,T223,Z223*AA223)</f>
        <v>0</v>
      </c>
      <c r="AC223" s="868">
        <f t="shared" ref="AC223:AC228" si="89">IF(T223=AB223,0,Z223)</f>
        <v>2911342.5543961823</v>
      </c>
      <c r="AD223" s="868">
        <f t="shared" ref="AD223:AD228" si="90">IF(T223=AB223+AC223,0,Z223)</f>
        <v>2911342.5543961823</v>
      </c>
      <c r="AE223" s="868">
        <f t="shared" ref="AE223:AE228" si="91">IF(T223=AB223+AC223+AD223,0,Z223)</f>
        <v>2911342.5543961823</v>
      </c>
      <c r="AF223" s="886">
        <f t="shared" ref="AF223:AF228" si="92">IF(T223=AB223+AC223+AD223+AE223,0,Z223)</f>
        <v>2911342.5543961823</v>
      </c>
      <c r="AG223" s="886">
        <f t="shared" ref="AG223:AG228" si="93">IF(T223=AB223+AC223+AD223+AE223+AF223,0,Z223)</f>
        <v>2911342.5543961823</v>
      </c>
      <c r="AH223" s="886">
        <f t="shared" ref="AH223:AH228" si="94">SUM(AB223:AG223)</f>
        <v>14556712.771980911</v>
      </c>
      <c r="AI223" s="1077">
        <f t="shared" si="77"/>
        <v>131010414.9478282</v>
      </c>
    </row>
    <row r="224" spans="1:35" s="946" customFormat="1" ht="40.5" customHeight="1" x14ac:dyDescent="0.2">
      <c r="A224" s="1306"/>
      <c r="C224" s="1075" t="s">
        <v>2302</v>
      </c>
      <c r="D224" s="890"/>
      <c r="E224" s="907" t="s">
        <v>2699</v>
      </c>
      <c r="F224" s="917"/>
      <c r="G224" s="878" t="s">
        <v>2845</v>
      </c>
      <c r="H224" s="878"/>
      <c r="I224" s="861" t="s">
        <v>43</v>
      </c>
      <c r="J224" s="862"/>
      <c r="K224" s="862"/>
      <c r="L224" s="862"/>
      <c r="M224" s="863" t="s">
        <v>1931</v>
      </c>
      <c r="N224" s="862">
        <v>2013</v>
      </c>
      <c r="O224" s="862"/>
      <c r="P224" s="903"/>
      <c r="Q224" s="861"/>
      <c r="R224" s="862"/>
      <c r="S224" s="903" t="s">
        <v>12</v>
      </c>
      <c r="T224" s="879">
        <v>145567127.71980911</v>
      </c>
      <c r="U224" s="1081"/>
      <c r="V224" s="1118"/>
      <c r="W224" s="1124" t="str">
        <f t="shared" si="83"/>
        <v>03.11.01</v>
      </c>
      <c r="X224" s="884" t="str">
        <f t="shared" si="84"/>
        <v>Bangunan Gedung Tempat Kerja</v>
      </c>
      <c r="Y224" s="884">
        <f t="shared" si="85"/>
        <v>50</v>
      </c>
      <c r="Z224" s="868">
        <f t="shared" si="86"/>
        <v>2911342.5543961823</v>
      </c>
      <c r="AA224" s="1051">
        <f t="shared" si="87"/>
        <v>0</v>
      </c>
      <c r="AB224" s="868">
        <f t="shared" si="88"/>
        <v>0</v>
      </c>
      <c r="AC224" s="868">
        <f t="shared" si="89"/>
        <v>2911342.5543961823</v>
      </c>
      <c r="AD224" s="868">
        <f t="shared" si="90"/>
        <v>2911342.5543961823</v>
      </c>
      <c r="AE224" s="868">
        <f t="shared" si="91"/>
        <v>2911342.5543961823</v>
      </c>
      <c r="AF224" s="886">
        <f t="shared" si="92"/>
        <v>2911342.5543961823</v>
      </c>
      <c r="AG224" s="886">
        <f t="shared" si="93"/>
        <v>2911342.5543961823</v>
      </c>
      <c r="AH224" s="886">
        <f t="shared" si="94"/>
        <v>14556712.771980911</v>
      </c>
      <c r="AI224" s="1077">
        <f t="shared" si="77"/>
        <v>131010414.9478282</v>
      </c>
    </row>
    <row r="225" spans="1:35" s="946" customFormat="1" ht="40.5" customHeight="1" x14ac:dyDescent="0.2">
      <c r="A225" s="1306"/>
      <c r="C225" s="1075" t="s">
        <v>2302</v>
      </c>
      <c r="D225" s="890"/>
      <c r="E225" s="907" t="s">
        <v>2699</v>
      </c>
      <c r="F225" s="917"/>
      <c r="G225" s="878" t="s">
        <v>2845</v>
      </c>
      <c r="H225" s="878"/>
      <c r="I225" s="861" t="s">
        <v>43</v>
      </c>
      <c r="J225" s="862"/>
      <c r="K225" s="862"/>
      <c r="L225" s="862"/>
      <c r="M225" s="863" t="s">
        <v>1931</v>
      </c>
      <c r="N225" s="862">
        <v>2013</v>
      </c>
      <c r="O225" s="862"/>
      <c r="P225" s="903"/>
      <c r="Q225" s="861"/>
      <c r="R225" s="862"/>
      <c r="S225" s="903" t="s">
        <v>12</v>
      </c>
      <c r="T225" s="879">
        <v>145567127.71980911</v>
      </c>
      <c r="U225" s="1081"/>
      <c r="V225" s="1118"/>
      <c r="W225" s="1124" t="str">
        <f t="shared" si="83"/>
        <v>03.11.01</v>
      </c>
      <c r="X225" s="884" t="str">
        <f t="shared" si="84"/>
        <v>Bangunan Gedung Tempat Kerja</v>
      </c>
      <c r="Y225" s="884">
        <f t="shared" si="85"/>
        <v>50</v>
      </c>
      <c r="Z225" s="868">
        <f t="shared" si="86"/>
        <v>2911342.5543961823</v>
      </c>
      <c r="AA225" s="1051">
        <f t="shared" si="87"/>
        <v>0</v>
      </c>
      <c r="AB225" s="868">
        <f t="shared" si="88"/>
        <v>0</v>
      </c>
      <c r="AC225" s="868">
        <f t="shared" si="89"/>
        <v>2911342.5543961823</v>
      </c>
      <c r="AD225" s="868">
        <f t="shared" si="90"/>
        <v>2911342.5543961823</v>
      </c>
      <c r="AE225" s="868">
        <f t="shared" si="91"/>
        <v>2911342.5543961823</v>
      </c>
      <c r="AF225" s="886">
        <f t="shared" si="92"/>
        <v>2911342.5543961823</v>
      </c>
      <c r="AG225" s="886">
        <f t="shared" si="93"/>
        <v>2911342.5543961823</v>
      </c>
      <c r="AH225" s="886">
        <f t="shared" si="94"/>
        <v>14556712.771980911</v>
      </c>
      <c r="AI225" s="1077">
        <f t="shared" si="77"/>
        <v>131010414.9478282</v>
      </c>
    </row>
    <row r="226" spans="1:35" s="946" customFormat="1" ht="40.5" customHeight="1" x14ac:dyDescent="0.2">
      <c r="A226" s="1306"/>
      <c r="C226" s="1075" t="s">
        <v>2302</v>
      </c>
      <c r="D226" s="890"/>
      <c r="E226" s="907" t="s">
        <v>2723</v>
      </c>
      <c r="F226" s="917"/>
      <c r="G226" s="878" t="s">
        <v>2845</v>
      </c>
      <c r="H226" s="878"/>
      <c r="I226" s="861" t="s">
        <v>43</v>
      </c>
      <c r="J226" s="862"/>
      <c r="K226" s="862"/>
      <c r="L226" s="862"/>
      <c r="M226" s="863" t="s">
        <v>1931</v>
      </c>
      <c r="N226" s="862">
        <v>2013</v>
      </c>
      <c r="O226" s="862"/>
      <c r="P226" s="903"/>
      <c r="Q226" s="861"/>
      <c r="R226" s="862"/>
      <c r="S226" s="903" t="s">
        <v>12</v>
      </c>
      <c r="T226" s="879">
        <v>63459263.200000003</v>
      </c>
      <c r="U226" s="1081"/>
      <c r="V226" s="1118"/>
      <c r="W226" s="1124" t="str">
        <f t="shared" si="83"/>
        <v>03.11.01</v>
      </c>
      <c r="X226" s="884" t="str">
        <f t="shared" si="84"/>
        <v>Bangunan Gedung Tempat Kerja</v>
      </c>
      <c r="Y226" s="884">
        <f t="shared" si="85"/>
        <v>50</v>
      </c>
      <c r="Z226" s="868">
        <f t="shared" si="86"/>
        <v>1269185.264</v>
      </c>
      <c r="AA226" s="1051">
        <f t="shared" si="87"/>
        <v>0</v>
      </c>
      <c r="AB226" s="868">
        <f t="shared" si="88"/>
        <v>0</v>
      </c>
      <c r="AC226" s="868">
        <f t="shared" si="89"/>
        <v>1269185.264</v>
      </c>
      <c r="AD226" s="868">
        <f t="shared" si="90"/>
        <v>1269185.264</v>
      </c>
      <c r="AE226" s="868">
        <f t="shared" si="91"/>
        <v>1269185.264</v>
      </c>
      <c r="AF226" s="886">
        <f t="shared" si="92"/>
        <v>1269185.264</v>
      </c>
      <c r="AG226" s="886">
        <f t="shared" si="93"/>
        <v>1269185.264</v>
      </c>
      <c r="AH226" s="886">
        <f t="shared" si="94"/>
        <v>6345926.3200000003</v>
      </c>
      <c r="AI226" s="1077">
        <f t="shared" si="77"/>
        <v>57113336.880000003</v>
      </c>
    </row>
    <row r="227" spans="1:35" s="946" customFormat="1" ht="40.5" customHeight="1" x14ac:dyDescent="0.2">
      <c r="A227" s="1306"/>
      <c r="C227" s="1075" t="s">
        <v>2302</v>
      </c>
      <c r="D227" s="890"/>
      <c r="E227" s="907" t="s">
        <v>2724</v>
      </c>
      <c r="F227" s="917"/>
      <c r="G227" s="878" t="s">
        <v>2845</v>
      </c>
      <c r="H227" s="878"/>
      <c r="I227" s="861"/>
      <c r="J227" s="862"/>
      <c r="K227" s="862"/>
      <c r="L227" s="862"/>
      <c r="M227" s="863"/>
      <c r="N227" s="862">
        <v>2013</v>
      </c>
      <c r="O227" s="862"/>
      <c r="P227" s="903"/>
      <c r="Q227" s="861"/>
      <c r="R227" s="862"/>
      <c r="S227" s="903" t="s">
        <v>12</v>
      </c>
      <c r="T227" s="879">
        <v>839591000</v>
      </c>
      <c r="U227" s="1081"/>
      <c r="V227" s="1118"/>
      <c r="W227" s="1124" t="str">
        <f t="shared" si="83"/>
        <v>03.11.01</v>
      </c>
      <c r="X227" s="884" t="str">
        <f t="shared" si="84"/>
        <v>Bangunan Gedung Tempat Kerja</v>
      </c>
      <c r="Y227" s="884">
        <f t="shared" si="85"/>
        <v>50</v>
      </c>
      <c r="Z227" s="868">
        <f t="shared" si="86"/>
        <v>16791820</v>
      </c>
      <c r="AA227" s="1051">
        <f t="shared" si="87"/>
        <v>0</v>
      </c>
      <c r="AB227" s="868">
        <f t="shared" si="88"/>
        <v>0</v>
      </c>
      <c r="AC227" s="868">
        <f t="shared" si="89"/>
        <v>16791820</v>
      </c>
      <c r="AD227" s="868">
        <f t="shared" si="90"/>
        <v>16791820</v>
      </c>
      <c r="AE227" s="868">
        <f t="shared" si="91"/>
        <v>16791820</v>
      </c>
      <c r="AF227" s="886">
        <f t="shared" si="92"/>
        <v>16791820</v>
      </c>
      <c r="AG227" s="886">
        <f t="shared" si="93"/>
        <v>16791820</v>
      </c>
      <c r="AH227" s="886">
        <f t="shared" si="94"/>
        <v>83959100</v>
      </c>
      <c r="AI227" s="1077">
        <f t="shared" si="77"/>
        <v>755631900</v>
      </c>
    </row>
    <row r="228" spans="1:35" s="946" customFormat="1" ht="40.5" customHeight="1" x14ac:dyDescent="0.2">
      <c r="A228" s="1306"/>
      <c r="C228" s="1075" t="s">
        <v>2302</v>
      </c>
      <c r="D228" s="890"/>
      <c r="E228" s="907" t="s">
        <v>2725</v>
      </c>
      <c r="F228" s="917"/>
      <c r="G228" s="878" t="s">
        <v>2845</v>
      </c>
      <c r="H228" s="878"/>
      <c r="I228" s="861"/>
      <c r="J228" s="862"/>
      <c r="K228" s="862"/>
      <c r="L228" s="862"/>
      <c r="M228" s="863"/>
      <c r="N228" s="862">
        <v>2013</v>
      </c>
      <c r="O228" s="862"/>
      <c r="P228" s="903"/>
      <c r="Q228" s="861"/>
      <c r="R228" s="862"/>
      <c r="S228" s="903" t="s">
        <v>12</v>
      </c>
      <c r="T228" s="879">
        <v>440000000</v>
      </c>
      <c r="U228" s="1081"/>
      <c r="V228" s="1118"/>
      <c r="W228" s="1124" t="str">
        <f t="shared" si="83"/>
        <v>03.11.01</v>
      </c>
      <c r="X228" s="884" t="str">
        <f t="shared" si="84"/>
        <v>Bangunan Gedung Tempat Kerja</v>
      </c>
      <c r="Y228" s="884">
        <f t="shared" si="85"/>
        <v>50</v>
      </c>
      <c r="Z228" s="868">
        <f t="shared" si="86"/>
        <v>8800000</v>
      </c>
      <c r="AA228" s="1051">
        <f t="shared" si="87"/>
        <v>0</v>
      </c>
      <c r="AB228" s="868">
        <f t="shared" si="88"/>
        <v>0</v>
      </c>
      <c r="AC228" s="868">
        <f t="shared" si="89"/>
        <v>8800000</v>
      </c>
      <c r="AD228" s="868">
        <f t="shared" si="90"/>
        <v>8800000</v>
      </c>
      <c r="AE228" s="868">
        <f t="shared" si="91"/>
        <v>8800000</v>
      </c>
      <c r="AF228" s="886">
        <f t="shared" si="92"/>
        <v>8800000</v>
      </c>
      <c r="AG228" s="886">
        <f t="shared" si="93"/>
        <v>8800000</v>
      </c>
      <c r="AH228" s="886">
        <f t="shared" si="94"/>
        <v>44000000</v>
      </c>
      <c r="AI228" s="1077">
        <f t="shared" si="77"/>
        <v>396000000</v>
      </c>
    </row>
    <row r="229" spans="1:35" s="670" customFormat="1" ht="40.5" customHeight="1" x14ac:dyDescent="0.2">
      <c r="A229" s="669">
        <v>29</v>
      </c>
      <c r="B229" s="670" t="s">
        <v>2984</v>
      </c>
      <c r="C229" s="773" t="s">
        <v>4247</v>
      </c>
      <c r="D229" s="652"/>
      <c r="E229" s="671" t="s">
        <v>4224</v>
      </c>
      <c r="F229" s="672"/>
      <c r="G229" s="653" t="s">
        <v>2845</v>
      </c>
      <c r="H229" s="653"/>
      <c r="I229" s="673"/>
      <c r="J229" s="674"/>
      <c r="K229" s="674"/>
      <c r="L229" s="674"/>
      <c r="M229" s="691"/>
      <c r="N229" s="674">
        <v>2013</v>
      </c>
      <c r="O229" s="674"/>
      <c r="P229" s="675"/>
      <c r="Q229" s="673"/>
      <c r="R229" s="674"/>
      <c r="S229" s="675" t="s">
        <v>12</v>
      </c>
      <c r="T229" s="654">
        <f>121067000+113672190.514067</f>
        <v>234739190.51406699</v>
      </c>
      <c r="U229" s="702"/>
      <c r="V229" s="1119"/>
      <c r="W229" s="647" t="str">
        <f t="shared" si="83"/>
        <v>03.11.01</v>
      </c>
      <c r="X229" s="648" t="str">
        <f t="shared" si="84"/>
        <v>Bangunan Gedung Tempat Kerja</v>
      </c>
      <c r="Y229" s="648">
        <f t="shared" si="85"/>
        <v>50</v>
      </c>
      <c r="Z229" s="649"/>
      <c r="AA229" s="718"/>
      <c r="AB229" s="649"/>
      <c r="AC229" s="649"/>
      <c r="AD229" s="649"/>
      <c r="AE229" s="649"/>
      <c r="AF229" s="649"/>
      <c r="AG229" s="650">
        <f>'PERHITUNGAN (C)'!U494</f>
        <v>4694783.81028134</v>
      </c>
      <c r="AH229" s="650">
        <f>'PERHITUNGAN (C)'!U498</f>
        <v>32863486.67196938</v>
      </c>
      <c r="AI229" s="677">
        <f t="shared" si="77"/>
        <v>201875703.84209761</v>
      </c>
    </row>
    <row r="230" spans="1:35" s="48" customFormat="1" ht="40.5" customHeight="1" x14ac:dyDescent="0.2">
      <c r="A230" s="296">
        <v>29</v>
      </c>
      <c r="B230" s="48" t="s">
        <v>2984</v>
      </c>
      <c r="C230" s="772" t="s">
        <v>4247</v>
      </c>
      <c r="D230" s="73"/>
      <c r="E230" s="65" t="s">
        <v>2779</v>
      </c>
      <c r="F230" s="555"/>
      <c r="G230" s="67" t="s">
        <v>2845</v>
      </c>
      <c r="H230" s="67"/>
      <c r="I230" s="33"/>
      <c r="J230" s="40"/>
      <c r="K230" s="40" t="s">
        <v>835</v>
      </c>
      <c r="L230" s="40"/>
      <c r="M230" s="72" t="s">
        <v>831</v>
      </c>
      <c r="N230" s="40">
        <v>2013</v>
      </c>
      <c r="O230" s="40"/>
      <c r="P230" s="32"/>
      <c r="Q230" s="33"/>
      <c r="R230" s="40"/>
      <c r="S230" s="32" t="s">
        <v>12</v>
      </c>
      <c r="T230" s="252"/>
      <c r="U230" s="105"/>
      <c r="V230" s="1116"/>
      <c r="W230" s="206" t="str">
        <f t="shared" si="83"/>
        <v>03.11.01</v>
      </c>
      <c r="X230" s="207" t="str">
        <f t="shared" si="84"/>
        <v>Bangunan Gedung Tempat Kerja</v>
      </c>
      <c r="Y230" s="207">
        <f t="shared" si="85"/>
        <v>50</v>
      </c>
      <c r="Z230" s="233"/>
      <c r="AA230" s="714"/>
      <c r="AB230" s="233"/>
      <c r="AC230" s="233"/>
      <c r="AD230" s="233"/>
      <c r="AE230" s="233"/>
      <c r="AF230" s="233"/>
      <c r="AG230" s="238"/>
      <c r="AH230" s="238"/>
      <c r="AI230" s="210">
        <f t="shared" si="77"/>
        <v>0</v>
      </c>
    </row>
    <row r="231" spans="1:35" s="670" customFormat="1" ht="40.5" customHeight="1" x14ac:dyDescent="0.2">
      <c r="A231" s="669">
        <v>30</v>
      </c>
      <c r="B231" s="670" t="s">
        <v>2974</v>
      </c>
      <c r="C231" s="773" t="s">
        <v>4247</v>
      </c>
      <c r="D231" s="652"/>
      <c r="E231" s="671" t="s">
        <v>2726</v>
      </c>
      <c r="F231" s="672"/>
      <c r="G231" s="653" t="s">
        <v>1752</v>
      </c>
      <c r="H231" s="653" t="s">
        <v>39</v>
      </c>
      <c r="I231" s="673" t="s">
        <v>43</v>
      </c>
      <c r="J231" s="674" t="s">
        <v>1786</v>
      </c>
      <c r="K231" s="674" t="s">
        <v>1934</v>
      </c>
      <c r="L231" s="674"/>
      <c r="M231" s="691" t="s">
        <v>1997</v>
      </c>
      <c r="N231" s="674">
        <v>2013</v>
      </c>
      <c r="O231" s="674" t="s">
        <v>1998</v>
      </c>
      <c r="P231" s="675"/>
      <c r="Q231" s="673"/>
      <c r="R231" s="674"/>
      <c r="S231" s="675" t="s">
        <v>12</v>
      </c>
      <c r="T231" s="654">
        <f>184025000+2716159000</f>
        <v>2900184000</v>
      </c>
      <c r="U231" s="702"/>
      <c r="V231" s="1119"/>
      <c r="W231" s="647" t="str">
        <f t="shared" si="83"/>
        <v>03.11.01</v>
      </c>
      <c r="X231" s="648" t="str">
        <f t="shared" si="84"/>
        <v>Bangunan Gedung Tempat Kerja</v>
      </c>
      <c r="Y231" s="648">
        <f t="shared" si="85"/>
        <v>50</v>
      </c>
      <c r="Z231" s="649"/>
      <c r="AA231" s="718"/>
      <c r="AB231" s="649"/>
      <c r="AC231" s="649"/>
      <c r="AD231" s="649"/>
      <c r="AE231" s="649"/>
      <c r="AF231" s="649"/>
      <c r="AG231" s="650" t="e">
        <f>'PERHITUNGAN (C)'!#REF!</f>
        <v>#REF!</v>
      </c>
      <c r="AH231" s="650" t="e">
        <f>'PERHITUNGAN (C)'!#REF!</f>
        <v>#REF!</v>
      </c>
      <c r="AI231" s="677" t="e">
        <f t="shared" si="77"/>
        <v>#REF!</v>
      </c>
    </row>
    <row r="232" spans="1:35" s="48" customFormat="1" ht="40.5" customHeight="1" x14ac:dyDescent="0.2">
      <c r="A232" s="296">
        <v>30</v>
      </c>
      <c r="B232" s="48" t="s">
        <v>2974</v>
      </c>
      <c r="C232" s="772" t="s">
        <v>4247</v>
      </c>
      <c r="D232" s="73"/>
      <c r="E232" s="65" t="s">
        <v>2729</v>
      </c>
      <c r="F232" s="555">
        <v>2716159000</v>
      </c>
      <c r="G232" s="67" t="s">
        <v>1752</v>
      </c>
      <c r="H232" s="67" t="s">
        <v>1768</v>
      </c>
      <c r="I232" s="33" t="s">
        <v>43</v>
      </c>
      <c r="J232" s="40" t="s">
        <v>1786</v>
      </c>
      <c r="K232" s="40" t="s">
        <v>1934</v>
      </c>
      <c r="L232" s="40"/>
      <c r="M232" s="72" t="s">
        <v>1997</v>
      </c>
      <c r="N232" s="40">
        <v>2013</v>
      </c>
      <c r="O232" s="40" t="s">
        <v>2006</v>
      </c>
      <c r="P232" s="32"/>
      <c r="Q232" s="33"/>
      <c r="R232" s="40"/>
      <c r="S232" s="32" t="s">
        <v>12</v>
      </c>
      <c r="T232" s="252"/>
      <c r="U232" s="105"/>
      <c r="V232" s="1116"/>
      <c r="W232" s="206" t="str">
        <f t="shared" si="83"/>
        <v>03.11.01</v>
      </c>
      <c r="X232" s="207" t="str">
        <f t="shared" si="84"/>
        <v>Bangunan Gedung Tempat Kerja</v>
      </c>
      <c r="Y232" s="207">
        <f t="shared" si="85"/>
        <v>50</v>
      </c>
      <c r="Z232" s="233"/>
      <c r="AA232" s="714"/>
      <c r="AB232" s="233"/>
      <c r="AC232" s="233"/>
      <c r="AD232" s="233"/>
      <c r="AE232" s="233"/>
      <c r="AF232" s="233"/>
      <c r="AG232" s="238"/>
      <c r="AH232" s="238"/>
      <c r="AI232" s="210">
        <f t="shared" si="77"/>
        <v>0</v>
      </c>
    </row>
    <row r="233" spans="1:35" s="670" customFormat="1" ht="40.5" customHeight="1" x14ac:dyDescent="0.2">
      <c r="A233" s="669">
        <v>31</v>
      </c>
      <c r="B233" s="670" t="s">
        <v>2978</v>
      </c>
      <c r="C233" s="773" t="s">
        <v>4247</v>
      </c>
      <c r="D233" s="652"/>
      <c r="E233" s="671" t="s">
        <v>2772</v>
      </c>
      <c r="F233" s="672"/>
      <c r="G233" s="653" t="s">
        <v>1752</v>
      </c>
      <c r="H233" s="653" t="s">
        <v>2133</v>
      </c>
      <c r="I233" s="673" t="s">
        <v>43</v>
      </c>
      <c r="J233" s="674" t="s">
        <v>1786</v>
      </c>
      <c r="K233" s="674" t="s">
        <v>1934</v>
      </c>
      <c r="L233" s="674"/>
      <c r="M233" s="691" t="s">
        <v>1997</v>
      </c>
      <c r="N233" s="674">
        <v>2013</v>
      </c>
      <c r="O233" s="674" t="s">
        <v>2134</v>
      </c>
      <c r="P233" s="675"/>
      <c r="Q233" s="673"/>
      <c r="R233" s="674"/>
      <c r="S233" s="675" t="s">
        <v>12</v>
      </c>
      <c r="T233" s="654">
        <f>151057700+F234+F235</f>
        <v>1393007250</v>
      </c>
      <c r="U233" s="702"/>
      <c r="V233" s="1119"/>
      <c r="W233" s="647" t="str">
        <f t="shared" si="83"/>
        <v>03.11.01</v>
      </c>
      <c r="X233" s="648" t="str">
        <f t="shared" si="84"/>
        <v>Bangunan Gedung Tempat Kerja</v>
      </c>
      <c r="Y233" s="648">
        <f t="shared" si="85"/>
        <v>50</v>
      </c>
      <c r="Z233" s="649"/>
      <c r="AA233" s="718"/>
      <c r="AB233" s="649"/>
      <c r="AC233" s="649"/>
      <c r="AD233" s="649"/>
      <c r="AE233" s="649"/>
      <c r="AF233" s="649"/>
      <c r="AG233" s="650" t="e">
        <f>'PERHITUNGAN (C)'!#REF!</f>
        <v>#REF!</v>
      </c>
      <c r="AH233" s="650" t="e">
        <f>'PERHITUNGAN (C)'!#REF!</f>
        <v>#REF!</v>
      </c>
      <c r="AI233" s="677" t="e">
        <f t="shared" si="77"/>
        <v>#REF!</v>
      </c>
    </row>
    <row r="234" spans="1:35" s="48" customFormat="1" ht="40.5" customHeight="1" x14ac:dyDescent="0.2">
      <c r="A234" s="296">
        <v>31</v>
      </c>
      <c r="B234" s="48" t="s">
        <v>2978</v>
      </c>
      <c r="C234" s="772" t="s">
        <v>4247</v>
      </c>
      <c r="D234" s="73"/>
      <c r="E234" s="65" t="s">
        <v>2980</v>
      </c>
      <c r="F234" s="555">
        <v>47768300</v>
      </c>
      <c r="G234" s="67" t="s">
        <v>1752</v>
      </c>
      <c r="H234" s="67" t="s">
        <v>2089</v>
      </c>
      <c r="I234" s="33" t="s">
        <v>43</v>
      </c>
      <c r="J234" s="40" t="s">
        <v>1786</v>
      </c>
      <c r="K234" s="40" t="s">
        <v>1934</v>
      </c>
      <c r="L234" s="40"/>
      <c r="M234" s="72" t="s">
        <v>841</v>
      </c>
      <c r="N234" s="40">
        <v>2014</v>
      </c>
      <c r="O234" s="40" t="s">
        <v>2219</v>
      </c>
      <c r="P234" s="32"/>
      <c r="Q234" s="33"/>
      <c r="R234" s="40"/>
      <c r="S234" s="32"/>
      <c r="T234" s="252"/>
      <c r="U234" s="105"/>
      <c r="V234" s="1116"/>
      <c r="W234" s="206" t="str">
        <f t="shared" si="83"/>
        <v>03.11.01</v>
      </c>
      <c r="X234" s="207" t="str">
        <f t="shared" si="84"/>
        <v>Bangunan Gedung Tempat Kerja</v>
      </c>
      <c r="Y234" s="207">
        <f t="shared" si="85"/>
        <v>50</v>
      </c>
      <c r="Z234" s="233"/>
      <c r="AA234" s="714"/>
      <c r="AB234" s="233"/>
      <c r="AC234" s="233"/>
      <c r="AD234" s="233"/>
      <c r="AE234" s="233"/>
      <c r="AF234" s="233"/>
      <c r="AG234" s="238"/>
      <c r="AH234" s="238"/>
      <c r="AI234" s="210">
        <f t="shared" si="77"/>
        <v>0</v>
      </c>
    </row>
    <row r="235" spans="1:35" s="48" customFormat="1" ht="40.5" customHeight="1" x14ac:dyDescent="0.2">
      <c r="A235" s="296">
        <v>31</v>
      </c>
      <c r="B235" s="48" t="s">
        <v>2978</v>
      </c>
      <c r="C235" s="772" t="s">
        <v>4247</v>
      </c>
      <c r="D235" s="73"/>
      <c r="E235" s="65" t="s">
        <v>2831</v>
      </c>
      <c r="F235" s="555">
        <v>1194181250</v>
      </c>
      <c r="G235" s="67" t="s">
        <v>1752</v>
      </c>
      <c r="H235" s="67"/>
      <c r="I235" s="33"/>
      <c r="J235" s="40"/>
      <c r="K235" s="40"/>
      <c r="L235" s="40"/>
      <c r="M235" s="72"/>
      <c r="N235" s="40">
        <v>2018</v>
      </c>
      <c r="O235" s="40"/>
      <c r="P235" s="32"/>
      <c r="Q235" s="33"/>
      <c r="R235" s="40"/>
      <c r="S235" s="32" t="s">
        <v>12</v>
      </c>
      <c r="T235" s="252"/>
      <c r="U235" s="105"/>
      <c r="V235" s="1116"/>
      <c r="W235" s="206" t="str">
        <f t="shared" si="83"/>
        <v>03.11.01</v>
      </c>
      <c r="X235" s="207" t="str">
        <f t="shared" si="84"/>
        <v>Bangunan Gedung Tempat Kerja</v>
      </c>
      <c r="Y235" s="207">
        <f t="shared" si="85"/>
        <v>50</v>
      </c>
      <c r="Z235" s="233"/>
      <c r="AA235" s="714"/>
      <c r="AB235" s="233"/>
      <c r="AC235" s="233"/>
      <c r="AD235" s="233"/>
      <c r="AE235" s="233"/>
      <c r="AF235" s="233"/>
      <c r="AG235" s="238"/>
      <c r="AH235" s="238"/>
      <c r="AI235" s="210">
        <f t="shared" si="77"/>
        <v>0</v>
      </c>
    </row>
    <row r="236" spans="1:35" s="670" customFormat="1" ht="40.5" customHeight="1" x14ac:dyDescent="0.2">
      <c r="A236" s="669">
        <v>32</v>
      </c>
      <c r="B236" s="670" t="s">
        <v>2972</v>
      </c>
      <c r="C236" s="773" t="s">
        <v>4247</v>
      </c>
      <c r="D236" s="652"/>
      <c r="E236" s="671" t="s">
        <v>2730</v>
      </c>
      <c r="F236" s="672"/>
      <c r="G236" s="653" t="s">
        <v>1752</v>
      </c>
      <c r="H236" s="653" t="s">
        <v>1855</v>
      </c>
      <c r="I236" s="673" t="s">
        <v>43</v>
      </c>
      <c r="J236" s="674" t="s">
        <v>1786</v>
      </c>
      <c r="K236" s="674" t="s">
        <v>1934</v>
      </c>
      <c r="L236" s="674"/>
      <c r="M236" s="691" t="s">
        <v>2000</v>
      </c>
      <c r="N236" s="674">
        <v>2013</v>
      </c>
      <c r="O236" s="674" t="s">
        <v>2008</v>
      </c>
      <c r="P236" s="675"/>
      <c r="Q236" s="673"/>
      <c r="R236" s="674"/>
      <c r="S236" s="675" t="s">
        <v>12</v>
      </c>
      <c r="T236" s="654">
        <f>2351209700+184800000</f>
        <v>2536009700</v>
      </c>
      <c r="U236" s="702"/>
      <c r="V236" s="1119"/>
      <c r="W236" s="647" t="str">
        <f t="shared" si="83"/>
        <v>03.11.01</v>
      </c>
      <c r="X236" s="648" t="str">
        <f t="shared" si="84"/>
        <v>Bangunan Gedung Tempat Kerja</v>
      </c>
      <c r="Y236" s="648">
        <f t="shared" si="85"/>
        <v>50</v>
      </c>
      <c r="Z236" s="649"/>
      <c r="AA236" s="718"/>
      <c r="AB236" s="649"/>
      <c r="AC236" s="649"/>
      <c r="AD236" s="649"/>
      <c r="AE236" s="649"/>
      <c r="AF236" s="649"/>
      <c r="AG236" s="650" t="e">
        <f>'PERHITUNGAN (C)'!#REF!</f>
        <v>#REF!</v>
      </c>
      <c r="AH236" s="650" t="e">
        <f>'PERHITUNGAN (C)'!#REF!</f>
        <v>#REF!</v>
      </c>
      <c r="AI236" s="677" t="e">
        <f t="shared" si="77"/>
        <v>#REF!</v>
      </c>
    </row>
    <row r="237" spans="1:35" s="48" customFormat="1" ht="40.5" customHeight="1" x14ac:dyDescent="0.2">
      <c r="A237" s="296">
        <v>32</v>
      </c>
      <c r="B237" s="48" t="s">
        <v>2972</v>
      </c>
      <c r="C237" s="772" t="s">
        <v>4247</v>
      </c>
      <c r="D237" s="73"/>
      <c r="E237" s="65" t="s">
        <v>2727</v>
      </c>
      <c r="F237" s="555">
        <v>184800000</v>
      </c>
      <c r="G237" s="67" t="s">
        <v>1752</v>
      </c>
      <c r="H237" s="67" t="s">
        <v>68</v>
      </c>
      <c r="I237" s="33" t="s">
        <v>43</v>
      </c>
      <c r="J237" s="40" t="s">
        <v>1786</v>
      </c>
      <c r="K237" s="40" t="s">
        <v>1934</v>
      </c>
      <c r="L237" s="40"/>
      <c r="M237" s="72" t="s">
        <v>2000</v>
      </c>
      <c r="N237" s="40">
        <v>2013</v>
      </c>
      <c r="O237" s="40" t="s">
        <v>2001</v>
      </c>
      <c r="P237" s="32"/>
      <c r="Q237" s="33"/>
      <c r="R237" s="40"/>
      <c r="S237" s="32" t="s">
        <v>12</v>
      </c>
      <c r="T237" s="252"/>
      <c r="U237" s="105"/>
      <c r="V237" s="1116"/>
      <c r="W237" s="206" t="str">
        <f t="shared" si="83"/>
        <v>03.11.01</v>
      </c>
      <c r="X237" s="207" t="str">
        <f t="shared" si="84"/>
        <v>Bangunan Gedung Tempat Kerja</v>
      </c>
      <c r="Y237" s="207">
        <f t="shared" si="85"/>
        <v>50</v>
      </c>
      <c r="Z237" s="233"/>
      <c r="AA237" s="714"/>
      <c r="AB237" s="233"/>
      <c r="AC237" s="233"/>
      <c r="AD237" s="233"/>
      <c r="AE237" s="233"/>
      <c r="AF237" s="233"/>
      <c r="AG237" s="238"/>
      <c r="AH237" s="238"/>
      <c r="AI237" s="210">
        <f t="shared" si="77"/>
        <v>0</v>
      </c>
    </row>
    <row r="238" spans="1:35" s="670" customFormat="1" ht="40.5" customHeight="1" x14ac:dyDescent="0.2">
      <c r="A238" s="669">
        <v>33</v>
      </c>
      <c r="B238" s="670" t="s">
        <v>2975</v>
      </c>
      <c r="C238" s="773" t="s">
        <v>4247</v>
      </c>
      <c r="D238" s="652"/>
      <c r="E238" s="671" t="s">
        <v>2728</v>
      </c>
      <c r="F238" s="672"/>
      <c r="G238" s="653" t="s">
        <v>1752</v>
      </c>
      <c r="H238" s="653" t="s">
        <v>1765</v>
      </c>
      <c r="I238" s="673" t="s">
        <v>43</v>
      </c>
      <c r="J238" s="674" t="s">
        <v>1786</v>
      </c>
      <c r="K238" s="674" t="s">
        <v>1934</v>
      </c>
      <c r="L238" s="674"/>
      <c r="M238" s="691" t="s">
        <v>2003</v>
      </c>
      <c r="N238" s="674">
        <v>2013</v>
      </c>
      <c r="O238" s="674" t="s">
        <v>2004</v>
      </c>
      <c r="P238" s="675"/>
      <c r="Q238" s="673"/>
      <c r="R238" s="674"/>
      <c r="S238" s="675" t="s">
        <v>12</v>
      </c>
      <c r="T238" s="654">
        <f>199291000+F239+F240</f>
        <v>3376155780</v>
      </c>
      <c r="U238" s="702"/>
      <c r="V238" s="1119"/>
      <c r="W238" s="647" t="str">
        <f t="shared" si="83"/>
        <v>03.11.01</v>
      </c>
      <c r="X238" s="648" t="str">
        <f t="shared" si="84"/>
        <v>Bangunan Gedung Tempat Kerja</v>
      </c>
      <c r="Y238" s="648">
        <f t="shared" si="85"/>
        <v>50</v>
      </c>
      <c r="Z238" s="649"/>
      <c r="AA238" s="718"/>
      <c r="AB238" s="649"/>
      <c r="AC238" s="649"/>
      <c r="AD238" s="649"/>
      <c r="AE238" s="649"/>
      <c r="AF238" s="649"/>
      <c r="AG238" s="650" t="e">
        <f>'PERHITUNGAN (C)'!#REF!</f>
        <v>#REF!</v>
      </c>
      <c r="AH238" s="650" t="e">
        <f>'PERHITUNGAN (C)'!#REF!</f>
        <v>#REF!</v>
      </c>
      <c r="AI238" s="677" t="e">
        <f t="shared" si="77"/>
        <v>#REF!</v>
      </c>
    </row>
    <row r="239" spans="1:35" s="48" customFormat="1" ht="40.5" customHeight="1" x14ac:dyDescent="0.2">
      <c r="A239" s="296">
        <v>33</v>
      </c>
      <c r="B239" s="48" t="s">
        <v>2975</v>
      </c>
      <c r="C239" s="772" t="s">
        <v>4247</v>
      </c>
      <c r="D239" s="73"/>
      <c r="E239" s="65" t="s">
        <v>2731</v>
      </c>
      <c r="F239" s="555">
        <v>2958431000</v>
      </c>
      <c r="G239" s="67" t="s">
        <v>1752</v>
      </c>
      <c r="H239" s="67" t="s">
        <v>1857</v>
      </c>
      <c r="I239" s="33" t="s">
        <v>43</v>
      </c>
      <c r="J239" s="40" t="s">
        <v>1786</v>
      </c>
      <c r="K239" s="40" t="s">
        <v>1934</v>
      </c>
      <c r="L239" s="40"/>
      <c r="M239" s="72" t="s">
        <v>2003</v>
      </c>
      <c r="N239" s="40">
        <v>2013</v>
      </c>
      <c r="O239" s="40" t="s">
        <v>2010</v>
      </c>
      <c r="P239" s="32"/>
      <c r="Q239" s="33"/>
      <c r="R239" s="40"/>
      <c r="S239" s="32" t="s">
        <v>12</v>
      </c>
      <c r="T239" s="252"/>
      <c r="U239" s="105"/>
      <c r="V239" s="1116"/>
      <c r="W239" s="206" t="str">
        <f t="shared" si="83"/>
        <v>03.11.01</v>
      </c>
      <c r="X239" s="207" t="str">
        <f t="shared" si="84"/>
        <v>Bangunan Gedung Tempat Kerja</v>
      </c>
      <c r="Y239" s="207">
        <f t="shared" si="85"/>
        <v>50</v>
      </c>
      <c r="Z239" s="233"/>
      <c r="AA239" s="714"/>
      <c r="AB239" s="233"/>
      <c r="AC239" s="233"/>
      <c r="AD239" s="233"/>
      <c r="AE239" s="233"/>
      <c r="AF239" s="233"/>
      <c r="AG239" s="238"/>
      <c r="AH239" s="238"/>
      <c r="AI239" s="210">
        <f t="shared" si="77"/>
        <v>0</v>
      </c>
    </row>
    <row r="240" spans="1:35" s="48" customFormat="1" ht="40.5" customHeight="1" x14ac:dyDescent="0.2">
      <c r="A240" s="296">
        <v>33</v>
      </c>
      <c r="B240" s="48" t="s">
        <v>2972</v>
      </c>
      <c r="C240" s="772" t="s">
        <v>4247</v>
      </c>
      <c r="D240" s="73"/>
      <c r="E240" s="65" t="s">
        <v>2976</v>
      </c>
      <c r="F240" s="555">
        <v>218433780</v>
      </c>
      <c r="G240" s="67" t="s">
        <v>1752</v>
      </c>
      <c r="H240" s="67" t="s">
        <v>2086</v>
      </c>
      <c r="I240" s="33" t="s">
        <v>43</v>
      </c>
      <c r="J240" s="40" t="s">
        <v>1786</v>
      </c>
      <c r="K240" s="40" t="s">
        <v>1934</v>
      </c>
      <c r="L240" s="40"/>
      <c r="M240" s="72" t="s">
        <v>2000</v>
      </c>
      <c r="N240" s="40">
        <v>2014</v>
      </c>
      <c r="O240" s="40" t="s">
        <v>2217</v>
      </c>
      <c r="P240" s="32"/>
      <c r="Q240" s="33"/>
      <c r="R240" s="40"/>
      <c r="S240" s="32" t="s">
        <v>12</v>
      </c>
      <c r="T240" s="252"/>
      <c r="U240" s="105"/>
      <c r="V240" s="1116"/>
      <c r="W240" s="206" t="str">
        <f t="shared" si="83"/>
        <v>03.11.01</v>
      </c>
      <c r="X240" s="207" t="str">
        <f t="shared" si="84"/>
        <v>Bangunan Gedung Tempat Kerja</v>
      </c>
      <c r="Y240" s="207">
        <f t="shared" si="85"/>
        <v>50</v>
      </c>
      <c r="Z240" s="233"/>
      <c r="AA240" s="714"/>
      <c r="AB240" s="233"/>
      <c r="AC240" s="233"/>
      <c r="AD240" s="233"/>
      <c r="AE240" s="233"/>
      <c r="AF240" s="233"/>
      <c r="AG240" s="238"/>
      <c r="AH240" s="238"/>
      <c r="AI240" s="210">
        <f t="shared" si="77"/>
        <v>0</v>
      </c>
    </row>
    <row r="241" spans="1:35" s="946" customFormat="1" ht="40.5" customHeight="1" x14ac:dyDescent="0.2">
      <c r="A241" s="1306"/>
      <c r="C241" s="1075" t="s">
        <v>2302</v>
      </c>
      <c r="D241" s="890"/>
      <c r="E241" s="907" t="s">
        <v>2774</v>
      </c>
      <c r="F241" s="917"/>
      <c r="G241" s="878" t="s">
        <v>1752</v>
      </c>
      <c r="H241" s="878" t="s">
        <v>2139</v>
      </c>
      <c r="I241" s="861" t="s">
        <v>43</v>
      </c>
      <c r="J241" s="862" t="s">
        <v>1786</v>
      </c>
      <c r="K241" s="862" t="s">
        <v>1934</v>
      </c>
      <c r="L241" s="862"/>
      <c r="M241" s="863" t="s">
        <v>2003</v>
      </c>
      <c r="N241" s="862">
        <v>2013</v>
      </c>
      <c r="O241" s="862" t="s">
        <v>2140</v>
      </c>
      <c r="P241" s="903"/>
      <c r="Q241" s="861"/>
      <c r="R241" s="862"/>
      <c r="S241" s="903" t="s">
        <v>12</v>
      </c>
      <c r="T241" s="879">
        <v>198413000</v>
      </c>
      <c r="U241" s="1081"/>
      <c r="V241" s="1118"/>
      <c r="W241" s="1124" t="str">
        <f t="shared" si="83"/>
        <v>03.11.01</v>
      </c>
      <c r="X241" s="884" t="str">
        <f t="shared" si="84"/>
        <v>Bangunan Gedung Tempat Kerja</v>
      </c>
      <c r="Y241" s="884">
        <f t="shared" si="85"/>
        <v>50</v>
      </c>
      <c r="Z241" s="868">
        <f t="shared" ref="Z241:Z256" si="95">T241/Y241</f>
        <v>3968260</v>
      </c>
      <c r="AA241" s="1051">
        <f t="shared" ref="AA241:AA256" si="96">IF(2013-N241&gt;Y241,Y241,IF(2013-N241&lt;0,0,2013-N241))</f>
        <v>0</v>
      </c>
      <c r="AB241" s="868">
        <f t="shared" ref="AB241:AB256" si="97">IF(AA241&gt;Y241,T241,Z241*AA241)</f>
        <v>0</v>
      </c>
      <c r="AC241" s="868">
        <f t="shared" ref="AC241:AC256" si="98">IF(T241=AB241,0,Z241)</f>
        <v>3968260</v>
      </c>
      <c r="AD241" s="868">
        <f t="shared" ref="AD241:AD256" si="99">IF(T241=AB241+AC241,0,Z241)</f>
        <v>3968260</v>
      </c>
      <c r="AE241" s="868">
        <f t="shared" ref="AE241:AE256" si="100">IF(T241=AB241+AC241+AD241,0,Z241)</f>
        <v>3968260</v>
      </c>
      <c r="AF241" s="886">
        <f t="shared" ref="AF241:AF256" si="101">IF(T241=AB241+AC241+AD241+AE241,0,Z241)</f>
        <v>3968260</v>
      </c>
      <c r="AG241" s="886">
        <f t="shared" ref="AG241:AG256" si="102">IF(T241=AB241+AC241+AD241+AE241+AF241,0,Z241)</f>
        <v>3968260</v>
      </c>
      <c r="AH241" s="886">
        <f t="shared" ref="AH241:AH256" si="103">SUM(AB241:AG241)</f>
        <v>19841300</v>
      </c>
      <c r="AI241" s="1077">
        <f t="shared" si="77"/>
        <v>178571700</v>
      </c>
    </row>
    <row r="242" spans="1:35" s="946" customFormat="1" ht="40.5" customHeight="1" x14ac:dyDescent="0.2">
      <c r="A242" s="1306"/>
      <c r="C242" s="1075" t="s">
        <v>2302</v>
      </c>
      <c r="D242" s="890"/>
      <c r="E242" s="907" t="s">
        <v>2732</v>
      </c>
      <c r="F242" s="917"/>
      <c r="G242" s="878" t="s">
        <v>1752</v>
      </c>
      <c r="H242" s="878" t="s">
        <v>1861</v>
      </c>
      <c r="I242" s="861" t="s">
        <v>43</v>
      </c>
      <c r="J242" s="862" t="s">
        <v>1786</v>
      </c>
      <c r="K242" s="862" t="s">
        <v>1934</v>
      </c>
      <c r="L242" s="862"/>
      <c r="M242" s="863" t="s">
        <v>2012</v>
      </c>
      <c r="N242" s="862">
        <v>2013</v>
      </c>
      <c r="O242" s="862" t="s">
        <v>2013</v>
      </c>
      <c r="P242" s="903"/>
      <c r="Q242" s="861"/>
      <c r="R242" s="862"/>
      <c r="S242" s="903" t="s">
        <v>12</v>
      </c>
      <c r="T242" s="879">
        <v>443030094.3235327</v>
      </c>
      <c r="U242" s="1081"/>
      <c r="V242" s="1118"/>
      <c r="W242" s="1124" t="str">
        <f t="shared" si="83"/>
        <v>03.11.01</v>
      </c>
      <c r="X242" s="884" t="str">
        <f t="shared" si="84"/>
        <v>Bangunan Gedung Tempat Kerja</v>
      </c>
      <c r="Y242" s="884">
        <f t="shared" si="85"/>
        <v>50</v>
      </c>
      <c r="Z242" s="868">
        <f t="shared" si="95"/>
        <v>8860601.8864706531</v>
      </c>
      <c r="AA242" s="1051">
        <f t="shared" si="96"/>
        <v>0</v>
      </c>
      <c r="AB242" s="868">
        <f t="shared" si="97"/>
        <v>0</v>
      </c>
      <c r="AC242" s="868">
        <f t="shared" si="98"/>
        <v>8860601.8864706531</v>
      </c>
      <c r="AD242" s="868">
        <f t="shared" si="99"/>
        <v>8860601.8864706531</v>
      </c>
      <c r="AE242" s="868">
        <f t="shared" si="100"/>
        <v>8860601.8864706531</v>
      </c>
      <c r="AF242" s="886">
        <f t="shared" si="101"/>
        <v>8860601.8864706531</v>
      </c>
      <c r="AG242" s="886">
        <f t="shared" si="102"/>
        <v>8860601.8864706531</v>
      </c>
      <c r="AH242" s="886">
        <f t="shared" si="103"/>
        <v>44303009.432353266</v>
      </c>
      <c r="AI242" s="1077">
        <f t="shared" si="77"/>
        <v>398727084.89117944</v>
      </c>
    </row>
    <row r="243" spans="1:35" s="946" customFormat="1" ht="40.5" customHeight="1" x14ac:dyDescent="0.2">
      <c r="A243" s="1306"/>
      <c r="C243" s="1075" t="s">
        <v>2302</v>
      </c>
      <c r="D243" s="890"/>
      <c r="E243" s="907" t="s">
        <v>2733</v>
      </c>
      <c r="F243" s="917"/>
      <c r="G243" s="878" t="s">
        <v>1752</v>
      </c>
      <c r="H243" s="878" t="s">
        <v>1864</v>
      </c>
      <c r="I243" s="861" t="s">
        <v>43</v>
      </c>
      <c r="J243" s="862" t="s">
        <v>1786</v>
      </c>
      <c r="K243" s="862" t="s">
        <v>1934</v>
      </c>
      <c r="L243" s="862"/>
      <c r="M243" s="863" t="s">
        <v>2015</v>
      </c>
      <c r="N243" s="862">
        <v>2013</v>
      </c>
      <c r="O243" s="862" t="s">
        <v>2016</v>
      </c>
      <c r="P243" s="903"/>
      <c r="Q243" s="861"/>
      <c r="R243" s="862"/>
      <c r="S243" s="903" t="s">
        <v>12</v>
      </c>
      <c r="T243" s="879">
        <v>439755084.76753765</v>
      </c>
      <c r="U243" s="1081"/>
      <c r="V243" s="1118"/>
      <c r="W243" s="1124" t="str">
        <f t="shared" si="83"/>
        <v>03.11.01</v>
      </c>
      <c r="X243" s="884" t="str">
        <f t="shared" si="84"/>
        <v>Bangunan Gedung Tempat Kerja</v>
      </c>
      <c r="Y243" s="884">
        <f t="shared" si="85"/>
        <v>50</v>
      </c>
      <c r="Z243" s="868">
        <f t="shared" si="95"/>
        <v>8795101.6953507531</v>
      </c>
      <c r="AA243" s="1051">
        <f t="shared" si="96"/>
        <v>0</v>
      </c>
      <c r="AB243" s="868">
        <f t="shared" si="97"/>
        <v>0</v>
      </c>
      <c r="AC243" s="868">
        <f t="shared" si="98"/>
        <v>8795101.6953507531</v>
      </c>
      <c r="AD243" s="868">
        <f t="shared" si="99"/>
        <v>8795101.6953507531</v>
      </c>
      <c r="AE243" s="868">
        <f t="shared" si="100"/>
        <v>8795101.6953507531</v>
      </c>
      <c r="AF243" s="886">
        <f t="shared" si="101"/>
        <v>8795101.6953507531</v>
      </c>
      <c r="AG243" s="886">
        <f t="shared" si="102"/>
        <v>8795101.6953507531</v>
      </c>
      <c r="AH243" s="886">
        <f t="shared" si="103"/>
        <v>43975508.476753764</v>
      </c>
      <c r="AI243" s="1077">
        <f t="shared" si="77"/>
        <v>395779576.29078388</v>
      </c>
    </row>
    <row r="244" spans="1:35" s="946" customFormat="1" ht="40.5" customHeight="1" x14ac:dyDescent="0.2">
      <c r="A244" s="1306"/>
      <c r="C244" s="1075" t="s">
        <v>2302</v>
      </c>
      <c r="D244" s="890"/>
      <c r="E244" s="907" t="s">
        <v>2734</v>
      </c>
      <c r="F244" s="917"/>
      <c r="G244" s="878" t="s">
        <v>1752</v>
      </c>
      <c r="H244" s="878" t="s">
        <v>1870</v>
      </c>
      <c r="I244" s="861" t="s">
        <v>43</v>
      </c>
      <c r="J244" s="862" t="s">
        <v>1786</v>
      </c>
      <c r="K244" s="862" t="s">
        <v>1934</v>
      </c>
      <c r="L244" s="862"/>
      <c r="M244" s="863" t="s">
        <v>2018</v>
      </c>
      <c r="N244" s="862">
        <v>2013</v>
      </c>
      <c r="O244" s="862" t="s">
        <v>2019</v>
      </c>
      <c r="P244" s="903"/>
      <c r="Q244" s="861"/>
      <c r="R244" s="862"/>
      <c r="S244" s="903" t="s">
        <v>12</v>
      </c>
      <c r="T244" s="879">
        <v>441362872.62528366</v>
      </c>
      <c r="U244" s="1081"/>
      <c r="V244" s="1118"/>
      <c r="W244" s="1124" t="str">
        <f t="shared" si="83"/>
        <v>03.11.01</v>
      </c>
      <c r="X244" s="884" t="str">
        <f t="shared" si="84"/>
        <v>Bangunan Gedung Tempat Kerja</v>
      </c>
      <c r="Y244" s="884">
        <f t="shared" si="85"/>
        <v>50</v>
      </c>
      <c r="Z244" s="868">
        <f t="shared" si="95"/>
        <v>8827257.4525056724</v>
      </c>
      <c r="AA244" s="1051">
        <f t="shared" si="96"/>
        <v>0</v>
      </c>
      <c r="AB244" s="868">
        <f t="shared" si="97"/>
        <v>0</v>
      </c>
      <c r="AC244" s="868">
        <f t="shared" si="98"/>
        <v>8827257.4525056724</v>
      </c>
      <c r="AD244" s="868">
        <f t="shared" si="99"/>
        <v>8827257.4525056724</v>
      </c>
      <c r="AE244" s="868">
        <f t="shared" si="100"/>
        <v>8827257.4525056724</v>
      </c>
      <c r="AF244" s="886">
        <f t="shared" si="101"/>
        <v>8827257.4525056724</v>
      </c>
      <c r="AG244" s="886">
        <f t="shared" si="102"/>
        <v>8827257.4525056724</v>
      </c>
      <c r="AH244" s="886">
        <f t="shared" si="103"/>
        <v>44136287.26252836</v>
      </c>
      <c r="AI244" s="1077">
        <f t="shared" si="77"/>
        <v>397226585.3627553</v>
      </c>
    </row>
    <row r="245" spans="1:35" s="946" customFormat="1" ht="40.5" customHeight="1" x14ac:dyDescent="0.2">
      <c r="A245" s="1306"/>
      <c r="C245" s="1075" t="s">
        <v>2302</v>
      </c>
      <c r="D245" s="890"/>
      <c r="E245" s="907" t="s">
        <v>2735</v>
      </c>
      <c r="F245" s="917"/>
      <c r="G245" s="878" t="s">
        <v>1752</v>
      </c>
      <c r="H245" s="878" t="s">
        <v>1888</v>
      </c>
      <c r="I245" s="861" t="s">
        <v>43</v>
      </c>
      <c r="J245" s="862" t="s">
        <v>1786</v>
      </c>
      <c r="K245" s="862" t="s">
        <v>1934</v>
      </c>
      <c r="L245" s="862"/>
      <c r="M245" s="863" t="s">
        <v>2021</v>
      </c>
      <c r="N245" s="862">
        <v>2013</v>
      </c>
      <c r="O245" s="862" t="s">
        <v>2022</v>
      </c>
      <c r="P245" s="903"/>
      <c r="Q245" s="861"/>
      <c r="R245" s="862"/>
      <c r="S245" s="903" t="s">
        <v>12</v>
      </c>
      <c r="T245" s="879">
        <v>438678102.58876711</v>
      </c>
      <c r="U245" s="1081"/>
      <c r="V245" s="1118"/>
      <c r="W245" s="1124" t="str">
        <f t="shared" si="83"/>
        <v>03.11.01</v>
      </c>
      <c r="X245" s="884" t="str">
        <f t="shared" si="84"/>
        <v>Bangunan Gedung Tempat Kerja</v>
      </c>
      <c r="Y245" s="884">
        <f t="shared" si="85"/>
        <v>50</v>
      </c>
      <c r="Z245" s="868">
        <f t="shared" si="95"/>
        <v>8773562.0517753419</v>
      </c>
      <c r="AA245" s="1051">
        <f t="shared" si="96"/>
        <v>0</v>
      </c>
      <c r="AB245" s="868">
        <f t="shared" si="97"/>
        <v>0</v>
      </c>
      <c r="AC245" s="868">
        <f t="shared" si="98"/>
        <v>8773562.0517753419</v>
      </c>
      <c r="AD245" s="868">
        <f t="shared" si="99"/>
        <v>8773562.0517753419</v>
      </c>
      <c r="AE245" s="868">
        <f t="shared" si="100"/>
        <v>8773562.0517753419</v>
      </c>
      <c r="AF245" s="886">
        <f t="shared" si="101"/>
        <v>8773562.0517753419</v>
      </c>
      <c r="AG245" s="886">
        <f t="shared" si="102"/>
        <v>8773562.0517753419</v>
      </c>
      <c r="AH245" s="886">
        <f t="shared" si="103"/>
        <v>43867810.258876711</v>
      </c>
      <c r="AI245" s="1077">
        <f t="shared" si="77"/>
        <v>394810292.32989037</v>
      </c>
    </row>
    <row r="246" spans="1:35" s="946" customFormat="1" ht="40.5" customHeight="1" x14ac:dyDescent="0.2">
      <c r="A246" s="1306"/>
      <c r="C246" s="1075" t="s">
        <v>2302</v>
      </c>
      <c r="D246" s="890"/>
      <c r="E246" s="907" t="s">
        <v>2736</v>
      </c>
      <c r="F246" s="917"/>
      <c r="G246" s="878" t="s">
        <v>1752</v>
      </c>
      <c r="H246" s="878" t="s">
        <v>1895</v>
      </c>
      <c r="I246" s="861" t="s">
        <v>43</v>
      </c>
      <c r="J246" s="862" t="s">
        <v>1786</v>
      </c>
      <c r="K246" s="862" t="s">
        <v>1934</v>
      </c>
      <c r="L246" s="862"/>
      <c r="M246" s="863" t="s">
        <v>2024</v>
      </c>
      <c r="N246" s="862">
        <v>2013</v>
      </c>
      <c r="O246" s="862" t="s">
        <v>2025</v>
      </c>
      <c r="P246" s="903"/>
      <c r="Q246" s="861"/>
      <c r="R246" s="862"/>
      <c r="S246" s="903" t="s">
        <v>12</v>
      </c>
      <c r="T246" s="879">
        <v>443392845.69487888</v>
      </c>
      <c r="U246" s="1081"/>
      <c r="V246" s="1118"/>
      <c r="W246" s="1124" t="str">
        <f t="shared" si="83"/>
        <v>03.11.01</v>
      </c>
      <c r="X246" s="884" t="str">
        <f t="shared" si="84"/>
        <v>Bangunan Gedung Tempat Kerja</v>
      </c>
      <c r="Y246" s="884">
        <f t="shared" si="85"/>
        <v>50</v>
      </c>
      <c r="Z246" s="868">
        <f t="shared" si="95"/>
        <v>8867856.9138975777</v>
      </c>
      <c r="AA246" s="1051">
        <f t="shared" si="96"/>
        <v>0</v>
      </c>
      <c r="AB246" s="868">
        <f t="shared" si="97"/>
        <v>0</v>
      </c>
      <c r="AC246" s="868">
        <f t="shared" si="98"/>
        <v>8867856.9138975777</v>
      </c>
      <c r="AD246" s="868">
        <f t="shared" si="99"/>
        <v>8867856.9138975777</v>
      </c>
      <c r="AE246" s="868">
        <f t="shared" si="100"/>
        <v>8867856.9138975777</v>
      </c>
      <c r="AF246" s="886">
        <f t="shared" si="101"/>
        <v>8867856.9138975777</v>
      </c>
      <c r="AG246" s="886">
        <f t="shared" si="102"/>
        <v>8867856.9138975777</v>
      </c>
      <c r="AH246" s="886">
        <f t="shared" si="103"/>
        <v>44339284.569487885</v>
      </c>
      <c r="AI246" s="1077">
        <f t="shared" si="77"/>
        <v>399053561.12539101</v>
      </c>
    </row>
    <row r="247" spans="1:35" s="946" customFormat="1" ht="40.5" customHeight="1" x14ac:dyDescent="0.2">
      <c r="A247" s="1306"/>
      <c r="C247" s="1075" t="s">
        <v>2302</v>
      </c>
      <c r="D247" s="890"/>
      <c r="E247" s="907" t="s">
        <v>2737</v>
      </c>
      <c r="F247" s="917"/>
      <c r="G247" s="878" t="s">
        <v>1752</v>
      </c>
      <c r="H247" s="878" t="s">
        <v>1899</v>
      </c>
      <c r="I247" s="861" t="s">
        <v>43</v>
      </c>
      <c r="J247" s="862" t="s">
        <v>1786</v>
      </c>
      <c r="K247" s="862" t="s">
        <v>1934</v>
      </c>
      <c r="L247" s="862"/>
      <c r="M247" s="863" t="s">
        <v>2027</v>
      </c>
      <c r="N247" s="862">
        <v>2013</v>
      </c>
      <c r="O247" s="862" t="s">
        <v>2028</v>
      </c>
      <c r="P247" s="903"/>
      <c r="Q247" s="861"/>
      <c r="R247" s="862"/>
      <c r="S247" s="903" t="s">
        <v>12</v>
      </c>
      <c r="T247" s="879">
        <v>550731000</v>
      </c>
      <c r="U247" s="1081"/>
      <c r="V247" s="1118"/>
      <c r="W247" s="1124" t="str">
        <f t="shared" si="83"/>
        <v>03.11.01</v>
      </c>
      <c r="X247" s="884" t="str">
        <f t="shared" si="84"/>
        <v>Bangunan Gedung Tempat Kerja</v>
      </c>
      <c r="Y247" s="884">
        <f t="shared" si="85"/>
        <v>50</v>
      </c>
      <c r="Z247" s="868">
        <f t="shared" si="95"/>
        <v>11014620</v>
      </c>
      <c r="AA247" s="1051">
        <f t="shared" si="96"/>
        <v>0</v>
      </c>
      <c r="AB247" s="868">
        <f t="shared" si="97"/>
        <v>0</v>
      </c>
      <c r="AC247" s="868">
        <f t="shared" si="98"/>
        <v>11014620</v>
      </c>
      <c r="AD247" s="868">
        <f t="shared" si="99"/>
        <v>11014620</v>
      </c>
      <c r="AE247" s="868">
        <f t="shared" si="100"/>
        <v>11014620</v>
      </c>
      <c r="AF247" s="886">
        <f t="shared" si="101"/>
        <v>11014620</v>
      </c>
      <c r="AG247" s="886">
        <f t="shared" si="102"/>
        <v>11014620</v>
      </c>
      <c r="AH247" s="886">
        <f t="shared" si="103"/>
        <v>55073100</v>
      </c>
      <c r="AI247" s="1077">
        <f t="shared" si="77"/>
        <v>495657900</v>
      </c>
    </row>
    <row r="248" spans="1:35" s="946" customFormat="1" ht="40.5" customHeight="1" x14ac:dyDescent="0.2">
      <c r="A248" s="1306"/>
      <c r="C248" s="1075" t="s">
        <v>2302</v>
      </c>
      <c r="D248" s="890"/>
      <c r="E248" s="907" t="s">
        <v>2738</v>
      </c>
      <c r="F248" s="917"/>
      <c r="G248" s="878" t="s">
        <v>1752</v>
      </c>
      <c r="H248" s="878" t="s">
        <v>1701</v>
      </c>
      <c r="I248" s="861" t="s">
        <v>43</v>
      </c>
      <c r="J248" s="862" t="s">
        <v>1786</v>
      </c>
      <c r="K248" s="862" t="s">
        <v>1934</v>
      </c>
      <c r="L248" s="862"/>
      <c r="M248" s="863" t="s">
        <v>2030</v>
      </c>
      <c r="N248" s="862">
        <v>2013</v>
      </c>
      <c r="O248" s="862" t="s">
        <v>2028</v>
      </c>
      <c r="P248" s="903"/>
      <c r="Q248" s="861"/>
      <c r="R248" s="862"/>
      <c r="S248" s="903" t="s">
        <v>12</v>
      </c>
      <c r="T248" s="879">
        <v>448379000</v>
      </c>
      <c r="U248" s="1081"/>
      <c r="V248" s="1118"/>
      <c r="W248" s="1124" t="str">
        <f t="shared" si="83"/>
        <v>03.11.01</v>
      </c>
      <c r="X248" s="884" t="str">
        <f t="shared" si="84"/>
        <v>Bangunan Gedung Tempat Kerja</v>
      </c>
      <c r="Y248" s="884">
        <f t="shared" si="85"/>
        <v>50</v>
      </c>
      <c r="Z248" s="868">
        <f t="shared" si="95"/>
        <v>8967580</v>
      </c>
      <c r="AA248" s="1051">
        <f t="shared" si="96"/>
        <v>0</v>
      </c>
      <c r="AB248" s="868">
        <f t="shared" si="97"/>
        <v>0</v>
      </c>
      <c r="AC248" s="868">
        <f t="shared" si="98"/>
        <v>8967580</v>
      </c>
      <c r="AD248" s="868">
        <f t="shared" si="99"/>
        <v>8967580</v>
      </c>
      <c r="AE248" s="868">
        <f t="shared" si="100"/>
        <v>8967580</v>
      </c>
      <c r="AF248" s="886">
        <f t="shared" si="101"/>
        <v>8967580</v>
      </c>
      <c r="AG248" s="886">
        <f t="shared" si="102"/>
        <v>8967580</v>
      </c>
      <c r="AH248" s="886">
        <f t="shared" si="103"/>
        <v>44837900</v>
      </c>
      <c r="AI248" s="1077">
        <f t="shared" si="77"/>
        <v>403541100</v>
      </c>
    </row>
    <row r="249" spans="1:35" s="946" customFormat="1" ht="40.5" customHeight="1" x14ac:dyDescent="0.2">
      <c r="A249" s="1306"/>
      <c r="C249" s="1075" t="s">
        <v>2302</v>
      </c>
      <c r="D249" s="890"/>
      <c r="E249" s="907" t="s">
        <v>2739</v>
      </c>
      <c r="F249" s="917"/>
      <c r="G249" s="878" t="s">
        <v>1752</v>
      </c>
      <c r="H249" s="878" t="s">
        <v>1906</v>
      </c>
      <c r="I249" s="861" t="s">
        <v>43</v>
      </c>
      <c r="J249" s="862" t="s">
        <v>1786</v>
      </c>
      <c r="K249" s="862" t="s">
        <v>1934</v>
      </c>
      <c r="L249" s="862"/>
      <c r="M249" s="863" t="s">
        <v>2032</v>
      </c>
      <c r="N249" s="862">
        <v>2013</v>
      </c>
      <c r="O249" s="862" t="s">
        <v>2033</v>
      </c>
      <c r="P249" s="903"/>
      <c r="Q249" s="861"/>
      <c r="R249" s="862"/>
      <c r="S249" s="903" t="s">
        <v>12</v>
      </c>
      <c r="T249" s="879">
        <v>426089126.5672524</v>
      </c>
      <c r="U249" s="1081"/>
      <c r="V249" s="1118"/>
      <c r="W249" s="1124" t="str">
        <f t="shared" si="83"/>
        <v>03.11.01</v>
      </c>
      <c r="X249" s="884" t="str">
        <f t="shared" si="84"/>
        <v>Bangunan Gedung Tempat Kerja</v>
      </c>
      <c r="Y249" s="884">
        <f t="shared" si="85"/>
        <v>50</v>
      </c>
      <c r="Z249" s="868">
        <f t="shared" si="95"/>
        <v>8521782.5313450471</v>
      </c>
      <c r="AA249" s="1051">
        <f t="shared" si="96"/>
        <v>0</v>
      </c>
      <c r="AB249" s="868">
        <f t="shared" si="97"/>
        <v>0</v>
      </c>
      <c r="AC249" s="868">
        <f t="shared" si="98"/>
        <v>8521782.5313450471</v>
      </c>
      <c r="AD249" s="868">
        <f t="shared" si="99"/>
        <v>8521782.5313450471</v>
      </c>
      <c r="AE249" s="868">
        <f t="shared" si="100"/>
        <v>8521782.5313450471</v>
      </c>
      <c r="AF249" s="886">
        <f t="shared" si="101"/>
        <v>8521782.5313450471</v>
      </c>
      <c r="AG249" s="886">
        <f t="shared" si="102"/>
        <v>8521782.5313450471</v>
      </c>
      <c r="AH249" s="886">
        <f t="shared" si="103"/>
        <v>42608912.656725235</v>
      </c>
      <c r="AI249" s="1077">
        <f t="shared" si="77"/>
        <v>383480213.91052717</v>
      </c>
    </row>
    <row r="250" spans="1:35" s="946" customFormat="1" ht="40.5" customHeight="1" x14ac:dyDescent="0.2">
      <c r="A250" s="1306"/>
      <c r="C250" s="1075" t="s">
        <v>2302</v>
      </c>
      <c r="D250" s="890"/>
      <c r="E250" s="907" t="s">
        <v>2740</v>
      </c>
      <c r="F250" s="917"/>
      <c r="G250" s="878" t="s">
        <v>1752</v>
      </c>
      <c r="H250" s="878" t="s">
        <v>1910</v>
      </c>
      <c r="I250" s="861" t="s">
        <v>43</v>
      </c>
      <c r="J250" s="862" t="s">
        <v>1786</v>
      </c>
      <c r="K250" s="862" t="s">
        <v>1934</v>
      </c>
      <c r="L250" s="862"/>
      <c r="M250" s="863" t="s">
        <v>2035</v>
      </c>
      <c r="N250" s="862">
        <v>2013</v>
      </c>
      <c r="O250" s="862" t="s">
        <v>2036</v>
      </c>
      <c r="P250" s="903"/>
      <c r="Q250" s="861"/>
      <c r="R250" s="862"/>
      <c r="S250" s="903" t="s">
        <v>12</v>
      </c>
      <c r="T250" s="879">
        <v>441125006.51592267</v>
      </c>
      <c r="U250" s="1081"/>
      <c r="V250" s="1118"/>
      <c r="W250" s="1124" t="str">
        <f t="shared" si="83"/>
        <v>03.11.01</v>
      </c>
      <c r="X250" s="884" t="str">
        <f t="shared" si="84"/>
        <v>Bangunan Gedung Tempat Kerja</v>
      </c>
      <c r="Y250" s="884">
        <f t="shared" si="85"/>
        <v>50</v>
      </c>
      <c r="Z250" s="868">
        <f t="shared" si="95"/>
        <v>8822500.1303184535</v>
      </c>
      <c r="AA250" s="1051">
        <f t="shared" si="96"/>
        <v>0</v>
      </c>
      <c r="AB250" s="868">
        <f t="shared" si="97"/>
        <v>0</v>
      </c>
      <c r="AC250" s="868">
        <f t="shared" si="98"/>
        <v>8822500.1303184535</v>
      </c>
      <c r="AD250" s="868">
        <f t="shared" si="99"/>
        <v>8822500.1303184535</v>
      </c>
      <c r="AE250" s="868">
        <f t="shared" si="100"/>
        <v>8822500.1303184535</v>
      </c>
      <c r="AF250" s="886">
        <f t="shared" si="101"/>
        <v>8822500.1303184535</v>
      </c>
      <c r="AG250" s="886">
        <f t="shared" si="102"/>
        <v>8822500.1303184535</v>
      </c>
      <c r="AH250" s="886">
        <f t="shared" si="103"/>
        <v>44112500.65159227</v>
      </c>
      <c r="AI250" s="1077">
        <f t="shared" si="77"/>
        <v>397012505.86433041</v>
      </c>
    </row>
    <row r="251" spans="1:35" s="946" customFormat="1" ht="40.5" customHeight="1" x14ac:dyDescent="0.2">
      <c r="A251" s="1306"/>
      <c r="C251" s="1075" t="s">
        <v>2302</v>
      </c>
      <c r="D251" s="890"/>
      <c r="E251" s="907" t="s">
        <v>2741</v>
      </c>
      <c r="F251" s="917"/>
      <c r="G251" s="878" t="s">
        <v>1752</v>
      </c>
      <c r="H251" s="878" t="s">
        <v>1913</v>
      </c>
      <c r="I251" s="861" t="s">
        <v>43</v>
      </c>
      <c r="J251" s="862" t="s">
        <v>1786</v>
      </c>
      <c r="K251" s="862" t="s">
        <v>1934</v>
      </c>
      <c r="L251" s="862"/>
      <c r="M251" s="863" t="s">
        <v>2038</v>
      </c>
      <c r="N251" s="862">
        <v>2013</v>
      </c>
      <c r="O251" s="862" t="s">
        <v>2039</v>
      </c>
      <c r="P251" s="903"/>
      <c r="Q251" s="861"/>
      <c r="R251" s="862"/>
      <c r="S251" s="903" t="s">
        <v>12</v>
      </c>
      <c r="T251" s="879">
        <v>443360374.87962258</v>
      </c>
      <c r="U251" s="1081"/>
      <c r="V251" s="1118"/>
      <c r="W251" s="1124" t="str">
        <f t="shared" si="83"/>
        <v>03.11.01</v>
      </c>
      <c r="X251" s="884" t="str">
        <f t="shared" si="84"/>
        <v>Bangunan Gedung Tempat Kerja</v>
      </c>
      <c r="Y251" s="884">
        <f t="shared" si="85"/>
        <v>50</v>
      </c>
      <c r="Z251" s="868">
        <f t="shared" si="95"/>
        <v>8867207.4975924511</v>
      </c>
      <c r="AA251" s="1051">
        <f t="shared" si="96"/>
        <v>0</v>
      </c>
      <c r="AB251" s="868">
        <f t="shared" si="97"/>
        <v>0</v>
      </c>
      <c r="AC251" s="868">
        <f t="shared" si="98"/>
        <v>8867207.4975924511</v>
      </c>
      <c r="AD251" s="868">
        <f t="shared" si="99"/>
        <v>8867207.4975924511</v>
      </c>
      <c r="AE251" s="868">
        <f t="shared" si="100"/>
        <v>8867207.4975924511</v>
      </c>
      <c r="AF251" s="886">
        <f t="shared" si="101"/>
        <v>8867207.4975924511</v>
      </c>
      <c r="AG251" s="886">
        <f t="shared" si="102"/>
        <v>8867207.4975924511</v>
      </c>
      <c r="AH251" s="886">
        <f t="shared" si="103"/>
        <v>44336037.487962253</v>
      </c>
      <c r="AI251" s="1077">
        <f t="shared" si="77"/>
        <v>399024337.39166033</v>
      </c>
    </row>
    <row r="252" spans="1:35" s="946" customFormat="1" ht="40.5" customHeight="1" x14ac:dyDescent="0.2">
      <c r="A252" s="1306"/>
      <c r="C252" s="1075" t="s">
        <v>2302</v>
      </c>
      <c r="D252" s="890"/>
      <c r="E252" s="907" t="s">
        <v>2742</v>
      </c>
      <c r="F252" s="917"/>
      <c r="G252" s="878" t="s">
        <v>1752</v>
      </c>
      <c r="H252" s="878" t="s">
        <v>1916</v>
      </c>
      <c r="I252" s="861" t="s">
        <v>43</v>
      </c>
      <c r="J252" s="862" t="s">
        <v>1786</v>
      </c>
      <c r="K252" s="862" t="s">
        <v>1934</v>
      </c>
      <c r="L252" s="862"/>
      <c r="M252" s="863" t="s">
        <v>2041</v>
      </c>
      <c r="N252" s="862">
        <v>2013</v>
      </c>
      <c r="O252" s="862" t="s">
        <v>2042</v>
      </c>
      <c r="P252" s="903"/>
      <c r="Q252" s="861"/>
      <c r="R252" s="862"/>
      <c r="S252" s="903" t="s">
        <v>12</v>
      </c>
      <c r="T252" s="879">
        <v>439390492.03720236</v>
      </c>
      <c r="U252" s="1081"/>
      <c r="V252" s="1118"/>
      <c r="W252" s="1124" t="str">
        <f t="shared" si="83"/>
        <v>03.11.01</v>
      </c>
      <c r="X252" s="884" t="str">
        <f t="shared" si="84"/>
        <v>Bangunan Gedung Tempat Kerja</v>
      </c>
      <c r="Y252" s="884">
        <f t="shared" si="85"/>
        <v>50</v>
      </c>
      <c r="Z252" s="868">
        <f t="shared" si="95"/>
        <v>8787809.8407440465</v>
      </c>
      <c r="AA252" s="1051">
        <f t="shared" si="96"/>
        <v>0</v>
      </c>
      <c r="AB252" s="868">
        <f t="shared" si="97"/>
        <v>0</v>
      </c>
      <c r="AC252" s="868">
        <f t="shared" si="98"/>
        <v>8787809.8407440465</v>
      </c>
      <c r="AD252" s="868">
        <f t="shared" si="99"/>
        <v>8787809.8407440465</v>
      </c>
      <c r="AE252" s="868">
        <f t="shared" si="100"/>
        <v>8787809.8407440465</v>
      </c>
      <c r="AF252" s="886">
        <f t="shared" si="101"/>
        <v>8787809.8407440465</v>
      </c>
      <c r="AG252" s="886">
        <f t="shared" si="102"/>
        <v>8787809.8407440465</v>
      </c>
      <c r="AH252" s="886">
        <f t="shared" si="103"/>
        <v>43939049.203720234</v>
      </c>
      <c r="AI252" s="1077">
        <f t="shared" si="77"/>
        <v>395451442.83348215</v>
      </c>
    </row>
    <row r="253" spans="1:35" s="946" customFormat="1" ht="40.5" customHeight="1" x14ac:dyDescent="0.2">
      <c r="A253" s="1306"/>
      <c r="C253" s="1075" t="s">
        <v>2302</v>
      </c>
      <c r="D253" s="890"/>
      <c r="E253" s="907" t="s">
        <v>2743</v>
      </c>
      <c r="F253" s="917"/>
      <c r="G253" s="878" t="s">
        <v>1752</v>
      </c>
      <c r="H253" s="878" t="s">
        <v>1920</v>
      </c>
      <c r="I253" s="861" t="s">
        <v>43</v>
      </c>
      <c r="J253" s="862" t="s">
        <v>1786</v>
      </c>
      <c r="K253" s="862" t="s">
        <v>1934</v>
      </c>
      <c r="L253" s="862"/>
      <c r="M253" s="863" t="s">
        <v>2044</v>
      </c>
      <c r="N253" s="862">
        <v>2013</v>
      </c>
      <c r="O253" s="862" t="s">
        <v>2045</v>
      </c>
      <c r="P253" s="903"/>
      <c r="Q253" s="861"/>
      <c r="R253" s="862"/>
      <c r="S253" s="903" t="s">
        <v>12</v>
      </c>
      <c r="T253" s="879">
        <v>426167000</v>
      </c>
      <c r="U253" s="1081"/>
      <c r="V253" s="1118"/>
      <c r="W253" s="1124" t="str">
        <f t="shared" si="83"/>
        <v>03.11.01</v>
      </c>
      <c r="X253" s="884" t="str">
        <f t="shared" si="84"/>
        <v>Bangunan Gedung Tempat Kerja</v>
      </c>
      <c r="Y253" s="884">
        <f t="shared" si="85"/>
        <v>50</v>
      </c>
      <c r="Z253" s="868">
        <f t="shared" si="95"/>
        <v>8523340</v>
      </c>
      <c r="AA253" s="1051">
        <f t="shared" si="96"/>
        <v>0</v>
      </c>
      <c r="AB253" s="868">
        <f t="shared" si="97"/>
        <v>0</v>
      </c>
      <c r="AC253" s="868">
        <f t="shared" si="98"/>
        <v>8523340</v>
      </c>
      <c r="AD253" s="868">
        <f t="shared" si="99"/>
        <v>8523340</v>
      </c>
      <c r="AE253" s="868">
        <f t="shared" si="100"/>
        <v>8523340</v>
      </c>
      <c r="AF253" s="886">
        <f t="shared" si="101"/>
        <v>8523340</v>
      </c>
      <c r="AG253" s="886">
        <f t="shared" si="102"/>
        <v>8523340</v>
      </c>
      <c r="AH253" s="886">
        <f t="shared" si="103"/>
        <v>42616700</v>
      </c>
      <c r="AI253" s="1077">
        <f t="shared" si="77"/>
        <v>383550300</v>
      </c>
    </row>
    <row r="254" spans="1:35" s="946" customFormat="1" ht="40.5" customHeight="1" x14ac:dyDescent="0.2">
      <c r="A254" s="1306"/>
      <c r="C254" s="1075" t="s">
        <v>2302</v>
      </c>
      <c r="D254" s="890"/>
      <c r="E254" s="907" t="s">
        <v>2744</v>
      </c>
      <c r="F254" s="917"/>
      <c r="G254" s="878" t="s">
        <v>1752</v>
      </c>
      <c r="H254" s="878" t="s">
        <v>1924</v>
      </c>
      <c r="I254" s="861" t="s">
        <v>43</v>
      </c>
      <c r="J254" s="862" t="s">
        <v>1786</v>
      </c>
      <c r="K254" s="862" t="s">
        <v>1934</v>
      </c>
      <c r="L254" s="862"/>
      <c r="M254" s="863" t="s">
        <v>2047</v>
      </c>
      <c r="N254" s="862">
        <v>2013</v>
      </c>
      <c r="O254" s="862" t="s">
        <v>2048</v>
      </c>
      <c r="P254" s="903"/>
      <c r="Q254" s="861"/>
      <c r="R254" s="862"/>
      <c r="S254" s="903" t="s">
        <v>12</v>
      </c>
      <c r="T254" s="879">
        <v>460983000</v>
      </c>
      <c r="U254" s="1081"/>
      <c r="V254" s="1118"/>
      <c r="W254" s="1124" t="str">
        <f t="shared" si="83"/>
        <v>03.11.01</v>
      </c>
      <c r="X254" s="884" t="str">
        <f t="shared" si="84"/>
        <v>Bangunan Gedung Tempat Kerja</v>
      </c>
      <c r="Y254" s="884">
        <f t="shared" si="85"/>
        <v>50</v>
      </c>
      <c r="Z254" s="868">
        <f t="shared" si="95"/>
        <v>9219660</v>
      </c>
      <c r="AA254" s="1051">
        <f t="shared" si="96"/>
        <v>0</v>
      </c>
      <c r="AB254" s="868">
        <f t="shared" si="97"/>
        <v>0</v>
      </c>
      <c r="AC254" s="868">
        <f t="shared" si="98"/>
        <v>9219660</v>
      </c>
      <c r="AD254" s="868">
        <f t="shared" si="99"/>
        <v>9219660</v>
      </c>
      <c r="AE254" s="868">
        <f t="shared" si="100"/>
        <v>9219660</v>
      </c>
      <c r="AF254" s="886">
        <f t="shared" si="101"/>
        <v>9219660</v>
      </c>
      <c r="AG254" s="886">
        <f t="shared" si="102"/>
        <v>9219660</v>
      </c>
      <c r="AH254" s="886">
        <f t="shared" si="103"/>
        <v>46098300</v>
      </c>
      <c r="AI254" s="1077">
        <f t="shared" si="77"/>
        <v>414884700</v>
      </c>
    </row>
    <row r="255" spans="1:35" s="946" customFormat="1" ht="40.5" customHeight="1" x14ac:dyDescent="0.2">
      <c r="A255" s="1306"/>
      <c r="C255" s="1075" t="s">
        <v>2302</v>
      </c>
      <c r="D255" s="890"/>
      <c r="E255" s="907" t="s">
        <v>2745</v>
      </c>
      <c r="F255" s="917"/>
      <c r="G255" s="878" t="s">
        <v>1752</v>
      </c>
      <c r="H255" s="878" t="s">
        <v>1927</v>
      </c>
      <c r="I255" s="861" t="s">
        <v>43</v>
      </c>
      <c r="J255" s="862" t="s">
        <v>1786</v>
      </c>
      <c r="K255" s="862" t="s">
        <v>1934</v>
      </c>
      <c r="L255" s="862"/>
      <c r="M255" s="863" t="s">
        <v>2050</v>
      </c>
      <c r="N255" s="862">
        <v>2013</v>
      </c>
      <c r="O255" s="862" t="s">
        <v>2051</v>
      </c>
      <c r="P255" s="903"/>
      <c r="Q255" s="861"/>
      <c r="R255" s="862"/>
      <c r="S255" s="903" t="s">
        <v>12</v>
      </c>
      <c r="T255" s="879">
        <v>443827000</v>
      </c>
      <c r="U255" s="1081"/>
      <c r="V255" s="1118"/>
      <c r="W255" s="1124" t="str">
        <f t="shared" si="83"/>
        <v>03.11.01</v>
      </c>
      <c r="X255" s="884" t="str">
        <f t="shared" si="84"/>
        <v>Bangunan Gedung Tempat Kerja</v>
      </c>
      <c r="Y255" s="884">
        <f t="shared" si="85"/>
        <v>50</v>
      </c>
      <c r="Z255" s="868">
        <f t="shared" si="95"/>
        <v>8876540</v>
      </c>
      <c r="AA255" s="1051">
        <f t="shared" si="96"/>
        <v>0</v>
      </c>
      <c r="AB255" s="868">
        <f t="shared" si="97"/>
        <v>0</v>
      </c>
      <c r="AC255" s="868">
        <f t="shared" si="98"/>
        <v>8876540</v>
      </c>
      <c r="AD255" s="868">
        <f t="shared" si="99"/>
        <v>8876540</v>
      </c>
      <c r="AE255" s="868">
        <f t="shared" si="100"/>
        <v>8876540</v>
      </c>
      <c r="AF255" s="886">
        <f t="shared" si="101"/>
        <v>8876540</v>
      </c>
      <c r="AG255" s="886">
        <f t="shared" si="102"/>
        <v>8876540</v>
      </c>
      <c r="AH255" s="886">
        <f t="shared" si="103"/>
        <v>44382700</v>
      </c>
      <c r="AI255" s="1077">
        <f t="shared" si="77"/>
        <v>399444300</v>
      </c>
    </row>
    <row r="256" spans="1:35" s="946" customFormat="1" ht="40.5" customHeight="1" x14ac:dyDescent="0.2">
      <c r="A256" s="1306"/>
      <c r="C256" s="1075" t="s">
        <v>2302</v>
      </c>
      <c r="D256" s="890"/>
      <c r="E256" s="907" t="s">
        <v>2746</v>
      </c>
      <c r="F256" s="917"/>
      <c r="G256" s="878" t="s">
        <v>1752</v>
      </c>
      <c r="H256" s="878" t="s">
        <v>2053</v>
      </c>
      <c r="I256" s="861" t="s">
        <v>43</v>
      </c>
      <c r="J256" s="862" t="s">
        <v>1786</v>
      </c>
      <c r="K256" s="862" t="s">
        <v>1934</v>
      </c>
      <c r="L256" s="862"/>
      <c r="M256" s="863" t="s">
        <v>2054</v>
      </c>
      <c r="N256" s="862">
        <v>2013</v>
      </c>
      <c r="O256" s="862" t="s">
        <v>2055</v>
      </c>
      <c r="P256" s="903"/>
      <c r="Q256" s="861"/>
      <c r="R256" s="862"/>
      <c r="S256" s="903" t="s">
        <v>12</v>
      </c>
      <c r="T256" s="879">
        <v>441644000</v>
      </c>
      <c r="U256" s="1081"/>
      <c r="V256" s="1118"/>
      <c r="W256" s="1124" t="str">
        <f t="shared" si="83"/>
        <v>03.11.01</v>
      </c>
      <c r="X256" s="884" t="str">
        <f t="shared" si="84"/>
        <v>Bangunan Gedung Tempat Kerja</v>
      </c>
      <c r="Y256" s="884">
        <f t="shared" si="85"/>
        <v>50</v>
      </c>
      <c r="Z256" s="868">
        <f t="shared" si="95"/>
        <v>8832880</v>
      </c>
      <c r="AA256" s="1051">
        <f t="shared" si="96"/>
        <v>0</v>
      </c>
      <c r="AB256" s="868">
        <f t="shared" si="97"/>
        <v>0</v>
      </c>
      <c r="AC256" s="868">
        <f t="shared" si="98"/>
        <v>8832880</v>
      </c>
      <c r="AD256" s="868">
        <f t="shared" si="99"/>
        <v>8832880</v>
      </c>
      <c r="AE256" s="868">
        <f t="shared" si="100"/>
        <v>8832880</v>
      </c>
      <c r="AF256" s="886">
        <f t="shared" si="101"/>
        <v>8832880</v>
      </c>
      <c r="AG256" s="886">
        <f t="shared" si="102"/>
        <v>8832880</v>
      </c>
      <c r="AH256" s="886">
        <f t="shared" si="103"/>
        <v>44164400</v>
      </c>
      <c r="AI256" s="1077">
        <f t="shared" si="77"/>
        <v>397479600</v>
      </c>
    </row>
    <row r="257" spans="1:35" s="670" customFormat="1" ht="40.5" customHeight="1" x14ac:dyDescent="0.2">
      <c r="A257" s="669">
        <v>34</v>
      </c>
      <c r="B257" s="670" t="s">
        <v>3013</v>
      </c>
      <c r="C257" s="773" t="s">
        <v>4247</v>
      </c>
      <c r="D257" s="652"/>
      <c r="E257" s="671" t="s">
        <v>2747</v>
      </c>
      <c r="F257" s="672"/>
      <c r="G257" s="653" t="s">
        <v>2843</v>
      </c>
      <c r="H257" s="653" t="s">
        <v>39</v>
      </c>
      <c r="I257" s="673" t="s">
        <v>43</v>
      </c>
      <c r="J257" s="674" t="s">
        <v>1786</v>
      </c>
      <c r="K257" s="674" t="s">
        <v>1934</v>
      </c>
      <c r="L257" s="674"/>
      <c r="M257" s="691" t="s">
        <v>2058</v>
      </c>
      <c r="N257" s="674">
        <v>2013</v>
      </c>
      <c r="O257" s="674" t="s">
        <v>2059</v>
      </c>
      <c r="P257" s="675"/>
      <c r="Q257" s="673"/>
      <c r="R257" s="674"/>
      <c r="S257" s="675" t="s">
        <v>12</v>
      </c>
      <c r="T257" s="654">
        <f>1104682200+F258</f>
        <v>1275381000</v>
      </c>
      <c r="U257" s="702"/>
      <c r="V257" s="1119"/>
      <c r="W257" s="647" t="str">
        <f t="shared" si="83"/>
        <v>03.11.01</v>
      </c>
      <c r="X257" s="648" t="str">
        <f t="shared" si="84"/>
        <v>Bangunan Gedung Tempat Kerja</v>
      </c>
      <c r="Y257" s="648">
        <f t="shared" si="85"/>
        <v>50</v>
      </c>
      <c r="Z257" s="649"/>
      <c r="AA257" s="718"/>
      <c r="AB257" s="649"/>
      <c r="AC257" s="649"/>
      <c r="AD257" s="649"/>
      <c r="AE257" s="649"/>
      <c r="AF257" s="649"/>
      <c r="AG257" s="650">
        <f>'PERHITUNGAN (C)'!U514</f>
        <v>25065747.120000001</v>
      </c>
      <c r="AH257" s="650">
        <f>'PERHITUNGAN (C)'!U519</f>
        <v>172488126.72000003</v>
      </c>
      <c r="AI257" s="677">
        <f t="shared" si="77"/>
        <v>1102892873.28</v>
      </c>
    </row>
    <row r="258" spans="1:35" s="48" customFormat="1" ht="40.5" customHeight="1" x14ac:dyDescent="0.2">
      <c r="A258" s="296">
        <v>34</v>
      </c>
      <c r="B258" s="48" t="s">
        <v>3013</v>
      </c>
      <c r="C258" s="772" t="s">
        <v>4247</v>
      </c>
      <c r="D258" s="73"/>
      <c r="E258" s="65" t="s">
        <v>3012</v>
      </c>
      <c r="F258" s="555">
        <v>170698800</v>
      </c>
      <c r="G258" s="67" t="s">
        <v>2843</v>
      </c>
      <c r="H258" s="67" t="s">
        <v>39</v>
      </c>
      <c r="I258" s="33" t="s">
        <v>43</v>
      </c>
      <c r="J258" s="40" t="s">
        <v>1786</v>
      </c>
      <c r="K258" s="40" t="s">
        <v>1934</v>
      </c>
      <c r="L258" s="40"/>
      <c r="M258" s="72" t="s">
        <v>834</v>
      </c>
      <c r="N258" s="40">
        <v>2014</v>
      </c>
      <c r="O258" s="40" t="s">
        <v>2154</v>
      </c>
      <c r="P258" s="32"/>
      <c r="Q258" s="33"/>
      <c r="R258" s="40"/>
      <c r="S258" s="32"/>
      <c r="T258" s="252"/>
      <c r="U258" s="105"/>
      <c r="V258" s="1116"/>
      <c r="W258" s="206" t="str">
        <f t="shared" si="83"/>
        <v>03.11.01</v>
      </c>
      <c r="X258" s="207" t="str">
        <f t="shared" si="84"/>
        <v>Bangunan Gedung Tempat Kerja</v>
      </c>
      <c r="Y258" s="207">
        <f t="shared" si="85"/>
        <v>50</v>
      </c>
      <c r="Z258" s="233"/>
      <c r="AA258" s="714"/>
      <c r="AB258" s="233"/>
      <c r="AC258" s="233"/>
      <c r="AD258" s="233"/>
      <c r="AE258" s="233"/>
      <c r="AF258" s="233"/>
      <c r="AG258" s="238"/>
      <c r="AH258" s="238"/>
      <c r="AI258" s="210">
        <f t="shared" si="77"/>
        <v>0</v>
      </c>
    </row>
    <row r="259" spans="1:35" s="946" customFormat="1" ht="40.5" customHeight="1" x14ac:dyDescent="0.2">
      <c r="A259" s="1306"/>
      <c r="C259" s="1075" t="s">
        <v>2302</v>
      </c>
      <c r="D259" s="890"/>
      <c r="E259" s="907" t="s">
        <v>2749</v>
      </c>
      <c r="F259" s="917"/>
      <c r="G259" s="878" t="s">
        <v>2843</v>
      </c>
      <c r="H259" s="878" t="s">
        <v>1765</v>
      </c>
      <c r="I259" s="861" t="s">
        <v>43</v>
      </c>
      <c r="J259" s="862" t="s">
        <v>1786</v>
      </c>
      <c r="K259" s="862" t="s">
        <v>1934</v>
      </c>
      <c r="L259" s="862"/>
      <c r="M259" s="863" t="s">
        <v>2063</v>
      </c>
      <c r="N259" s="862">
        <v>2013</v>
      </c>
      <c r="O259" s="862" t="s">
        <v>2064</v>
      </c>
      <c r="P259" s="903"/>
      <c r="Q259" s="861"/>
      <c r="R259" s="862"/>
      <c r="S259" s="903" t="s">
        <v>12</v>
      </c>
      <c r="T259" s="879">
        <v>1266610000</v>
      </c>
      <c r="U259" s="1081"/>
      <c r="V259" s="1118"/>
      <c r="W259" s="1124" t="str">
        <f t="shared" si="83"/>
        <v>03.11.01</v>
      </c>
      <c r="X259" s="884" t="str">
        <f t="shared" si="84"/>
        <v>Bangunan Gedung Tempat Kerja</v>
      </c>
      <c r="Y259" s="884">
        <f t="shared" si="85"/>
        <v>50</v>
      </c>
      <c r="Z259" s="868">
        <f>T259/Y259</f>
        <v>25332200</v>
      </c>
      <c r="AA259" s="1051">
        <f>IF(2013-N259&gt;Y259,Y259,IF(2013-N259&lt;0,0,2013-N259))</f>
        <v>0</v>
      </c>
      <c r="AB259" s="868">
        <f>IF(AA259&gt;Y259,T259,Z259*AA259)</f>
        <v>0</v>
      </c>
      <c r="AC259" s="868">
        <f>IF(T259=AB259,0,Z259)</f>
        <v>25332200</v>
      </c>
      <c r="AD259" s="868">
        <f>IF(T259=AB259+AC259,0,Z259)</f>
        <v>25332200</v>
      </c>
      <c r="AE259" s="868">
        <f>IF(T259=AB259+AC259+AD259,0,Z259)</f>
        <v>25332200</v>
      </c>
      <c r="AF259" s="886">
        <f>IF(T259=AB259+AC259+AD259+AE259,0,Z259)</f>
        <v>25332200</v>
      </c>
      <c r="AG259" s="886">
        <f>IF(T259=AB259+AC259+AD259+AE259+AF259,0,Z259)</f>
        <v>25332200</v>
      </c>
      <c r="AH259" s="886">
        <f>SUM(AB259:AG259)</f>
        <v>126661000</v>
      </c>
      <c r="AI259" s="1077">
        <f t="shared" si="77"/>
        <v>1139949000</v>
      </c>
    </row>
    <row r="260" spans="1:35" s="670" customFormat="1" ht="40.5" customHeight="1" x14ac:dyDescent="0.2">
      <c r="A260" s="669">
        <v>35</v>
      </c>
      <c r="B260" s="670" t="s">
        <v>2982</v>
      </c>
      <c r="C260" s="773" t="s">
        <v>4247</v>
      </c>
      <c r="D260" s="652"/>
      <c r="E260" s="671" t="s">
        <v>2750</v>
      </c>
      <c r="F260" s="672"/>
      <c r="G260" s="653" t="s">
        <v>2843</v>
      </c>
      <c r="H260" s="653" t="s">
        <v>1768</v>
      </c>
      <c r="I260" s="673" t="s">
        <v>43</v>
      </c>
      <c r="J260" s="674" t="s">
        <v>1786</v>
      </c>
      <c r="K260" s="674" t="s">
        <v>1934</v>
      </c>
      <c r="L260" s="674"/>
      <c r="M260" s="691" t="s">
        <v>2012</v>
      </c>
      <c r="N260" s="674">
        <v>2013</v>
      </c>
      <c r="O260" s="674" t="s">
        <v>2066</v>
      </c>
      <c r="P260" s="675"/>
      <c r="Q260" s="673"/>
      <c r="R260" s="674"/>
      <c r="S260" s="675" t="s">
        <v>12</v>
      </c>
      <c r="T260" s="654">
        <f>994218140+F261</f>
        <v>1145014840</v>
      </c>
      <c r="U260" s="702"/>
      <c r="V260" s="1119"/>
      <c r="W260" s="647" t="str">
        <f t="shared" si="83"/>
        <v>03.11.01</v>
      </c>
      <c r="X260" s="648" t="str">
        <f t="shared" si="84"/>
        <v>Bangunan Gedung Tempat Kerja</v>
      </c>
      <c r="Y260" s="648">
        <f t="shared" si="85"/>
        <v>50</v>
      </c>
      <c r="Z260" s="649"/>
      <c r="AA260" s="718"/>
      <c r="AB260" s="649"/>
      <c r="AC260" s="649"/>
      <c r="AD260" s="649"/>
      <c r="AE260" s="649"/>
      <c r="AF260" s="649"/>
      <c r="AG260" s="650">
        <f>'PERHITUNGAN (C)'!U531</f>
        <v>22502609.544</v>
      </c>
      <c r="AH260" s="650">
        <f>'PERHITUNGAN (C)'!U536</f>
        <v>154900020.06400001</v>
      </c>
      <c r="AI260" s="677">
        <f t="shared" si="77"/>
        <v>990114819.93599999</v>
      </c>
    </row>
    <row r="261" spans="1:35" s="48" customFormat="1" ht="40.5" customHeight="1" x14ac:dyDescent="0.2">
      <c r="A261" s="296">
        <v>35</v>
      </c>
      <c r="B261" s="48" t="s">
        <v>2982</v>
      </c>
      <c r="C261" s="772" t="s">
        <v>4247</v>
      </c>
      <c r="D261" s="73"/>
      <c r="E261" s="65" t="s">
        <v>2981</v>
      </c>
      <c r="F261" s="555">
        <v>150796700</v>
      </c>
      <c r="G261" s="67" t="s">
        <v>2843</v>
      </c>
      <c r="H261" s="67" t="s">
        <v>68</v>
      </c>
      <c r="I261" s="33" t="s">
        <v>43</v>
      </c>
      <c r="J261" s="40" t="s">
        <v>1786</v>
      </c>
      <c r="K261" s="40" t="s">
        <v>1934</v>
      </c>
      <c r="L261" s="40"/>
      <c r="M261" s="72" t="s">
        <v>2012</v>
      </c>
      <c r="N261" s="40">
        <v>2014</v>
      </c>
      <c r="O261" s="40" t="s">
        <v>2066</v>
      </c>
      <c r="P261" s="32"/>
      <c r="Q261" s="33"/>
      <c r="R261" s="40"/>
      <c r="S261" s="32"/>
      <c r="T261" s="252"/>
      <c r="U261" s="105"/>
      <c r="V261" s="1116"/>
      <c r="W261" s="206" t="str">
        <f t="shared" si="83"/>
        <v>03.11.01</v>
      </c>
      <c r="X261" s="207" t="str">
        <f t="shared" si="84"/>
        <v>Bangunan Gedung Tempat Kerja</v>
      </c>
      <c r="Y261" s="207">
        <f t="shared" si="85"/>
        <v>50</v>
      </c>
      <c r="Z261" s="233"/>
      <c r="AA261" s="714"/>
      <c r="AB261" s="233"/>
      <c r="AC261" s="233"/>
      <c r="AD261" s="233"/>
      <c r="AE261" s="233"/>
      <c r="AF261" s="233"/>
      <c r="AG261" s="238"/>
      <c r="AH261" s="238"/>
      <c r="AI261" s="210">
        <f t="shared" si="77"/>
        <v>0</v>
      </c>
    </row>
    <row r="262" spans="1:35" s="946" customFormat="1" ht="40.5" customHeight="1" x14ac:dyDescent="0.2">
      <c r="A262" s="1306"/>
      <c r="C262" s="1075" t="s">
        <v>2302</v>
      </c>
      <c r="D262" s="890"/>
      <c r="E262" s="907" t="s">
        <v>2751</v>
      </c>
      <c r="F262" s="917"/>
      <c r="G262" s="878" t="s">
        <v>1752</v>
      </c>
      <c r="H262" s="878" t="s">
        <v>2053</v>
      </c>
      <c r="I262" s="861" t="s">
        <v>43</v>
      </c>
      <c r="J262" s="862" t="s">
        <v>1786</v>
      </c>
      <c r="K262" s="862" t="s">
        <v>1934</v>
      </c>
      <c r="L262" s="862"/>
      <c r="M262" s="863" t="s">
        <v>2068</v>
      </c>
      <c r="N262" s="862">
        <v>2013</v>
      </c>
      <c r="O262" s="862" t="s">
        <v>2069</v>
      </c>
      <c r="P262" s="903"/>
      <c r="Q262" s="861"/>
      <c r="R262" s="862"/>
      <c r="S262" s="903" t="s">
        <v>12</v>
      </c>
      <c r="T262" s="879">
        <v>446691730.21282196</v>
      </c>
      <c r="U262" s="1081"/>
      <c r="V262" s="1118"/>
      <c r="W262" s="1124" t="str">
        <f t="shared" si="83"/>
        <v>03.11.01</v>
      </c>
      <c r="X262" s="884" t="str">
        <f t="shared" si="84"/>
        <v>Bangunan Gedung Tempat Kerja</v>
      </c>
      <c r="Y262" s="884">
        <f t="shared" si="85"/>
        <v>50</v>
      </c>
      <c r="Z262" s="868">
        <f t="shared" ref="Z262:Z269" si="104">T262/Y262</f>
        <v>8933834.60425644</v>
      </c>
      <c r="AA262" s="1051">
        <f t="shared" ref="AA262:AA269" si="105">IF(2013-N262&gt;Y262,Y262,IF(2013-N262&lt;0,0,2013-N262))</f>
        <v>0</v>
      </c>
      <c r="AB262" s="868">
        <f t="shared" ref="AB262:AB269" si="106">IF(AA262&gt;Y262,T262,Z262*AA262)</f>
        <v>0</v>
      </c>
      <c r="AC262" s="868">
        <f t="shared" ref="AC262:AC269" si="107">IF(T262=AB262,0,Z262)</f>
        <v>8933834.60425644</v>
      </c>
      <c r="AD262" s="868">
        <f t="shared" ref="AD262:AD269" si="108">IF(T262=AB262+AC262,0,Z262)</f>
        <v>8933834.60425644</v>
      </c>
      <c r="AE262" s="868">
        <f t="shared" ref="AE262:AE269" si="109">IF(T262=AB262+AC262+AD262,0,Z262)</f>
        <v>8933834.60425644</v>
      </c>
      <c r="AF262" s="886">
        <f t="shared" ref="AF262:AF269" si="110">IF(T262=AB262+AC262+AD262+AE262,0,Z262)</f>
        <v>8933834.60425644</v>
      </c>
      <c r="AG262" s="886">
        <f t="shared" ref="AG262:AG269" si="111">IF(T262=AB262+AC262+AD262+AE262+AF262,0,Z262)</f>
        <v>8933834.60425644</v>
      </c>
      <c r="AH262" s="886">
        <f t="shared" ref="AH262:AH269" si="112">SUM(AB262:AG262)</f>
        <v>44669173.021282196</v>
      </c>
      <c r="AI262" s="1077">
        <f t="shared" si="77"/>
        <v>402022557.19153976</v>
      </c>
    </row>
    <row r="263" spans="1:35" s="946" customFormat="1" ht="40.5" customHeight="1" x14ac:dyDescent="0.2">
      <c r="A263" s="1306"/>
      <c r="C263" s="1075" t="s">
        <v>2302</v>
      </c>
      <c r="D263" s="890"/>
      <c r="E263" s="907" t="s">
        <v>2752</v>
      </c>
      <c r="F263" s="917"/>
      <c r="G263" s="878" t="s">
        <v>1752</v>
      </c>
      <c r="H263" s="878" t="s">
        <v>2071</v>
      </c>
      <c r="I263" s="861" t="s">
        <v>43</v>
      </c>
      <c r="J263" s="862" t="s">
        <v>1786</v>
      </c>
      <c r="K263" s="862" t="s">
        <v>1934</v>
      </c>
      <c r="L263" s="862"/>
      <c r="M263" s="863" t="s">
        <v>2072</v>
      </c>
      <c r="N263" s="862">
        <v>2013</v>
      </c>
      <c r="O263" s="862" t="s">
        <v>2073</v>
      </c>
      <c r="P263" s="903"/>
      <c r="Q263" s="861"/>
      <c r="R263" s="862"/>
      <c r="S263" s="903" t="s">
        <v>12</v>
      </c>
      <c r="T263" s="879">
        <v>452117524.85524189</v>
      </c>
      <c r="U263" s="1081"/>
      <c r="V263" s="1118"/>
      <c r="W263" s="1124" t="str">
        <f t="shared" si="83"/>
        <v>03.11.01</v>
      </c>
      <c r="X263" s="884" t="str">
        <f t="shared" si="84"/>
        <v>Bangunan Gedung Tempat Kerja</v>
      </c>
      <c r="Y263" s="884">
        <f t="shared" si="85"/>
        <v>50</v>
      </c>
      <c r="Z263" s="868">
        <f t="shared" si="104"/>
        <v>9042350.4971048385</v>
      </c>
      <c r="AA263" s="1051">
        <f t="shared" si="105"/>
        <v>0</v>
      </c>
      <c r="AB263" s="868">
        <f t="shared" si="106"/>
        <v>0</v>
      </c>
      <c r="AC263" s="868">
        <f t="shared" si="107"/>
        <v>9042350.4971048385</v>
      </c>
      <c r="AD263" s="868">
        <f t="shared" si="108"/>
        <v>9042350.4971048385</v>
      </c>
      <c r="AE263" s="868">
        <f t="shared" si="109"/>
        <v>9042350.4971048385</v>
      </c>
      <c r="AF263" s="886">
        <f t="shared" si="110"/>
        <v>9042350.4971048385</v>
      </c>
      <c r="AG263" s="886">
        <f t="shared" si="111"/>
        <v>9042350.4971048385</v>
      </c>
      <c r="AH263" s="886">
        <f t="shared" si="112"/>
        <v>45211752.485524192</v>
      </c>
      <c r="AI263" s="1077">
        <f t="shared" si="77"/>
        <v>406905772.36971772</v>
      </c>
    </row>
    <row r="264" spans="1:35" s="946" customFormat="1" ht="40.5" customHeight="1" x14ac:dyDescent="0.2">
      <c r="A264" s="1306"/>
      <c r="C264" s="1075" t="s">
        <v>2302</v>
      </c>
      <c r="D264" s="890"/>
      <c r="E264" s="907" t="s">
        <v>2753</v>
      </c>
      <c r="F264" s="917"/>
      <c r="G264" s="878" t="s">
        <v>1752</v>
      </c>
      <c r="H264" s="878" t="s">
        <v>2075</v>
      </c>
      <c r="I264" s="861" t="s">
        <v>43</v>
      </c>
      <c r="J264" s="862" t="s">
        <v>1786</v>
      </c>
      <c r="K264" s="862" t="s">
        <v>1934</v>
      </c>
      <c r="L264" s="862"/>
      <c r="M264" s="863" t="s">
        <v>2076</v>
      </c>
      <c r="N264" s="862">
        <v>2013</v>
      </c>
      <c r="O264" s="862" t="s">
        <v>2077</v>
      </c>
      <c r="P264" s="903"/>
      <c r="Q264" s="861"/>
      <c r="R264" s="862"/>
      <c r="S264" s="903" t="s">
        <v>12</v>
      </c>
      <c r="T264" s="879">
        <v>437203744.93193614</v>
      </c>
      <c r="U264" s="1081"/>
      <c r="V264" s="1118"/>
      <c r="W264" s="1124" t="str">
        <f t="shared" si="83"/>
        <v>03.11.01</v>
      </c>
      <c r="X264" s="884" t="str">
        <f t="shared" si="84"/>
        <v>Bangunan Gedung Tempat Kerja</v>
      </c>
      <c r="Y264" s="884">
        <f t="shared" si="85"/>
        <v>50</v>
      </c>
      <c r="Z264" s="868">
        <f t="shared" si="104"/>
        <v>8744074.8986387234</v>
      </c>
      <c r="AA264" s="1051">
        <f t="shared" si="105"/>
        <v>0</v>
      </c>
      <c r="AB264" s="868">
        <f t="shared" si="106"/>
        <v>0</v>
      </c>
      <c r="AC264" s="868">
        <f t="shared" si="107"/>
        <v>8744074.8986387234</v>
      </c>
      <c r="AD264" s="868">
        <f t="shared" si="108"/>
        <v>8744074.8986387234</v>
      </c>
      <c r="AE264" s="868">
        <f t="shared" si="109"/>
        <v>8744074.8986387234</v>
      </c>
      <c r="AF264" s="886">
        <f t="shared" si="110"/>
        <v>8744074.8986387234</v>
      </c>
      <c r="AG264" s="886">
        <f t="shared" si="111"/>
        <v>8744074.8986387234</v>
      </c>
      <c r="AH264" s="886">
        <f t="shared" si="112"/>
        <v>43720374.493193619</v>
      </c>
      <c r="AI264" s="1077">
        <f t="shared" si="77"/>
        <v>393483370.43874252</v>
      </c>
    </row>
    <row r="265" spans="1:35" s="946" customFormat="1" ht="40.5" customHeight="1" x14ac:dyDescent="0.2">
      <c r="A265" s="1306"/>
      <c r="C265" s="1075" t="s">
        <v>2302</v>
      </c>
      <c r="D265" s="890"/>
      <c r="E265" s="907" t="s">
        <v>2754</v>
      </c>
      <c r="F265" s="917"/>
      <c r="G265" s="878" t="s">
        <v>1752</v>
      </c>
      <c r="H265" s="878" t="s">
        <v>2079</v>
      </c>
      <c r="I265" s="861" t="s">
        <v>43</v>
      </c>
      <c r="J265" s="862" t="s">
        <v>1786</v>
      </c>
      <c r="K265" s="862" t="s">
        <v>1934</v>
      </c>
      <c r="L265" s="862"/>
      <c r="M265" s="863" t="s">
        <v>2080</v>
      </c>
      <c r="N265" s="862">
        <v>2013</v>
      </c>
      <c r="O265" s="862" t="s">
        <v>2081</v>
      </c>
      <c r="P265" s="903"/>
      <c r="Q265" s="861"/>
      <c r="R265" s="862"/>
      <c r="S265" s="903" t="s">
        <v>12</v>
      </c>
      <c r="T265" s="879">
        <v>438372000</v>
      </c>
      <c r="U265" s="1081"/>
      <c r="V265" s="1118"/>
      <c r="W265" s="1124" t="str">
        <f t="shared" si="83"/>
        <v>03.11.01</v>
      </c>
      <c r="X265" s="884" t="str">
        <f t="shared" si="84"/>
        <v>Bangunan Gedung Tempat Kerja</v>
      </c>
      <c r="Y265" s="884">
        <f t="shared" si="85"/>
        <v>50</v>
      </c>
      <c r="Z265" s="868">
        <f t="shared" si="104"/>
        <v>8767440</v>
      </c>
      <c r="AA265" s="1051">
        <f t="shared" si="105"/>
        <v>0</v>
      </c>
      <c r="AB265" s="868">
        <f t="shared" si="106"/>
        <v>0</v>
      </c>
      <c r="AC265" s="868">
        <f t="shared" si="107"/>
        <v>8767440</v>
      </c>
      <c r="AD265" s="868">
        <f t="shared" si="108"/>
        <v>8767440</v>
      </c>
      <c r="AE265" s="868">
        <f t="shared" si="109"/>
        <v>8767440</v>
      </c>
      <c r="AF265" s="886">
        <f t="shared" si="110"/>
        <v>8767440</v>
      </c>
      <c r="AG265" s="886">
        <f t="shared" si="111"/>
        <v>8767440</v>
      </c>
      <c r="AH265" s="886">
        <f t="shared" si="112"/>
        <v>43837200</v>
      </c>
      <c r="AI265" s="1077">
        <f t="shared" si="77"/>
        <v>394534800</v>
      </c>
    </row>
    <row r="266" spans="1:35" s="946" customFormat="1" ht="40.5" customHeight="1" x14ac:dyDescent="0.2">
      <c r="A266" s="1306"/>
      <c r="C266" s="1075" t="s">
        <v>2302</v>
      </c>
      <c r="D266" s="890"/>
      <c r="E266" s="907" t="s">
        <v>2755</v>
      </c>
      <c r="F266" s="917"/>
      <c r="G266" s="878" t="s">
        <v>1752</v>
      </c>
      <c r="H266" s="878" t="s">
        <v>2083</v>
      </c>
      <c r="I266" s="861" t="s">
        <v>43</v>
      </c>
      <c r="J266" s="862" t="s">
        <v>1786</v>
      </c>
      <c r="K266" s="862" t="s">
        <v>1934</v>
      </c>
      <c r="L266" s="862"/>
      <c r="M266" s="863" t="s">
        <v>2058</v>
      </c>
      <c r="N266" s="862">
        <v>2013</v>
      </c>
      <c r="O266" s="862" t="s">
        <v>2084</v>
      </c>
      <c r="P266" s="903"/>
      <c r="Q266" s="861"/>
      <c r="R266" s="862"/>
      <c r="S266" s="903" t="s">
        <v>12</v>
      </c>
      <c r="T266" s="879">
        <v>480245000</v>
      </c>
      <c r="U266" s="1081"/>
      <c r="V266" s="1118"/>
      <c r="W266" s="1124" t="str">
        <f t="shared" si="83"/>
        <v>03.11.01</v>
      </c>
      <c r="X266" s="884" t="str">
        <f t="shared" si="84"/>
        <v>Bangunan Gedung Tempat Kerja</v>
      </c>
      <c r="Y266" s="884">
        <f t="shared" si="85"/>
        <v>50</v>
      </c>
      <c r="Z266" s="868">
        <f t="shared" si="104"/>
        <v>9604900</v>
      </c>
      <c r="AA266" s="1051">
        <f t="shared" si="105"/>
        <v>0</v>
      </c>
      <c r="AB266" s="868">
        <f t="shared" si="106"/>
        <v>0</v>
      </c>
      <c r="AC266" s="868">
        <f t="shared" si="107"/>
        <v>9604900</v>
      </c>
      <c r="AD266" s="868">
        <f t="shared" si="108"/>
        <v>9604900</v>
      </c>
      <c r="AE266" s="868">
        <f t="shared" si="109"/>
        <v>9604900</v>
      </c>
      <c r="AF266" s="886">
        <f t="shared" si="110"/>
        <v>9604900</v>
      </c>
      <c r="AG266" s="886">
        <f t="shared" si="111"/>
        <v>9604900</v>
      </c>
      <c r="AH266" s="886">
        <f t="shared" si="112"/>
        <v>48024500</v>
      </c>
      <c r="AI266" s="1077">
        <f t="shared" si="77"/>
        <v>432220500</v>
      </c>
    </row>
    <row r="267" spans="1:35" s="946" customFormat="1" ht="40.5" customHeight="1" x14ac:dyDescent="0.2">
      <c r="A267" s="1306"/>
      <c r="C267" s="1075" t="s">
        <v>2302</v>
      </c>
      <c r="D267" s="890"/>
      <c r="E267" s="907" t="s">
        <v>2759</v>
      </c>
      <c r="F267" s="917"/>
      <c r="G267" s="878" t="s">
        <v>2092</v>
      </c>
      <c r="H267" s="878" t="s">
        <v>68</v>
      </c>
      <c r="I267" s="861" t="s">
        <v>43</v>
      </c>
      <c r="J267" s="862" t="s">
        <v>1786</v>
      </c>
      <c r="K267" s="862" t="s">
        <v>1934</v>
      </c>
      <c r="L267" s="862"/>
      <c r="M267" s="863" t="s">
        <v>2095</v>
      </c>
      <c r="N267" s="862">
        <v>2013</v>
      </c>
      <c r="O267" s="862" t="s">
        <v>2096</v>
      </c>
      <c r="P267" s="903"/>
      <c r="Q267" s="861"/>
      <c r="R267" s="862"/>
      <c r="S267" s="903" t="s">
        <v>12</v>
      </c>
      <c r="T267" s="879">
        <v>213424296.579411</v>
      </c>
      <c r="U267" s="1081"/>
      <c r="V267" s="1118"/>
      <c r="W267" s="1124" t="str">
        <f t="shared" si="83"/>
        <v>03.11.01</v>
      </c>
      <c r="X267" s="884" t="str">
        <f t="shared" si="84"/>
        <v>Bangunan Gedung Tempat Kerja</v>
      </c>
      <c r="Y267" s="884">
        <f t="shared" si="85"/>
        <v>50</v>
      </c>
      <c r="Z267" s="868">
        <f t="shared" si="104"/>
        <v>4268485.9315882204</v>
      </c>
      <c r="AA267" s="1051">
        <f t="shared" si="105"/>
        <v>0</v>
      </c>
      <c r="AB267" s="868">
        <f t="shared" si="106"/>
        <v>0</v>
      </c>
      <c r="AC267" s="868">
        <f t="shared" si="107"/>
        <v>4268485.9315882204</v>
      </c>
      <c r="AD267" s="868">
        <f t="shared" si="108"/>
        <v>4268485.9315882204</v>
      </c>
      <c r="AE267" s="868">
        <f t="shared" si="109"/>
        <v>4268485.9315882204</v>
      </c>
      <c r="AF267" s="886">
        <f t="shared" si="110"/>
        <v>4268485.9315882204</v>
      </c>
      <c r="AG267" s="886">
        <f t="shared" si="111"/>
        <v>4268485.9315882204</v>
      </c>
      <c r="AH267" s="886">
        <f t="shared" si="112"/>
        <v>21342429.657941103</v>
      </c>
      <c r="AI267" s="1077">
        <f t="shared" si="77"/>
        <v>192081866.9214699</v>
      </c>
    </row>
    <row r="268" spans="1:35" s="946" customFormat="1" ht="40.5" customHeight="1" x14ac:dyDescent="0.2">
      <c r="A268" s="1306"/>
      <c r="C268" s="1075" t="s">
        <v>2302</v>
      </c>
      <c r="D268" s="890"/>
      <c r="E268" s="907" t="s">
        <v>2760</v>
      </c>
      <c r="F268" s="917"/>
      <c r="G268" s="878" t="s">
        <v>2092</v>
      </c>
      <c r="H268" s="878" t="s">
        <v>1765</v>
      </c>
      <c r="I268" s="861" t="s">
        <v>43</v>
      </c>
      <c r="J268" s="862" t="s">
        <v>1786</v>
      </c>
      <c r="K268" s="862" t="s">
        <v>1934</v>
      </c>
      <c r="L268" s="862"/>
      <c r="M268" s="863" t="s">
        <v>2098</v>
      </c>
      <c r="N268" s="862">
        <v>2013</v>
      </c>
      <c r="O268" s="862" t="s">
        <v>2099</v>
      </c>
      <c r="P268" s="903"/>
      <c r="Q268" s="861"/>
      <c r="R268" s="862"/>
      <c r="S268" s="903" t="s">
        <v>12</v>
      </c>
      <c r="T268" s="879">
        <v>213172925.403359</v>
      </c>
      <c r="U268" s="1081"/>
      <c r="V268" s="1118"/>
      <c r="W268" s="1124" t="str">
        <f t="shared" si="83"/>
        <v>03.11.01</v>
      </c>
      <c r="X268" s="884" t="str">
        <f t="shared" si="84"/>
        <v>Bangunan Gedung Tempat Kerja</v>
      </c>
      <c r="Y268" s="884">
        <f t="shared" si="85"/>
        <v>50</v>
      </c>
      <c r="Z268" s="868">
        <f t="shared" si="104"/>
        <v>4263458.5080671795</v>
      </c>
      <c r="AA268" s="1051">
        <f t="shared" si="105"/>
        <v>0</v>
      </c>
      <c r="AB268" s="868">
        <f t="shared" si="106"/>
        <v>0</v>
      </c>
      <c r="AC268" s="868">
        <f t="shared" si="107"/>
        <v>4263458.5080671795</v>
      </c>
      <c r="AD268" s="868">
        <f t="shared" si="108"/>
        <v>4263458.5080671795</v>
      </c>
      <c r="AE268" s="868">
        <f t="shared" si="109"/>
        <v>4263458.5080671795</v>
      </c>
      <c r="AF268" s="886">
        <f t="shared" si="110"/>
        <v>4263458.5080671795</v>
      </c>
      <c r="AG268" s="886">
        <f t="shared" si="111"/>
        <v>4263458.5080671795</v>
      </c>
      <c r="AH268" s="886">
        <f t="shared" si="112"/>
        <v>21317292.540335897</v>
      </c>
      <c r="AI268" s="1077">
        <f t="shared" ref="AI268:AI330" si="113">T268-AH268</f>
        <v>191855632.8630231</v>
      </c>
    </row>
    <row r="269" spans="1:35" s="946" customFormat="1" ht="40.5" customHeight="1" x14ac:dyDescent="0.2">
      <c r="A269" s="1306"/>
      <c r="C269" s="1075" t="s">
        <v>2302</v>
      </c>
      <c r="D269" s="890"/>
      <c r="E269" s="907" t="s">
        <v>2761</v>
      </c>
      <c r="F269" s="917"/>
      <c r="G269" s="878" t="s">
        <v>2092</v>
      </c>
      <c r="H269" s="878" t="s">
        <v>1768</v>
      </c>
      <c r="I269" s="861" t="s">
        <v>43</v>
      </c>
      <c r="J269" s="862" t="s">
        <v>1786</v>
      </c>
      <c r="K269" s="862" t="s">
        <v>1934</v>
      </c>
      <c r="L269" s="862"/>
      <c r="M269" s="863" t="s">
        <v>2101</v>
      </c>
      <c r="N269" s="862">
        <v>2013</v>
      </c>
      <c r="O269" s="862" t="s">
        <v>2102</v>
      </c>
      <c r="P269" s="903"/>
      <c r="Q269" s="861"/>
      <c r="R269" s="862"/>
      <c r="S269" s="903" t="s">
        <v>12</v>
      </c>
      <c r="T269" s="879">
        <v>213314778.01723</v>
      </c>
      <c r="U269" s="1081"/>
      <c r="V269" s="1118"/>
      <c r="W269" s="1124" t="str">
        <f t="shared" si="83"/>
        <v>03.11.01</v>
      </c>
      <c r="X269" s="884" t="str">
        <f t="shared" si="84"/>
        <v>Bangunan Gedung Tempat Kerja</v>
      </c>
      <c r="Y269" s="884">
        <f t="shared" si="85"/>
        <v>50</v>
      </c>
      <c r="Z269" s="868">
        <f t="shared" si="104"/>
        <v>4266295.5603446001</v>
      </c>
      <c r="AA269" s="1051">
        <f t="shared" si="105"/>
        <v>0</v>
      </c>
      <c r="AB269" s="868">
        <f t="shared" si="106"/>
        <v>0</v>
      </c>
      <c r="AC269" s="868">
        <f t="shared" si="107"/>
        <v>4266295.5603446001</v>
      </c>
      <c r="AD269" s="868">
        <f t="shared" si="108"/>
        <v>4266295.5603446001</v>
      </c>
      <c r="AE269" s="868">
        <f t="shared" si="109"/>
        <v>4266295.5603446001</v>
      </c>
      <c r="AF269" s="886">
        <f t="shared" si="110"/>
        <v>4266295.5603446001</v>
      </c>
      <c r="AG269" s="886">
        <f t="shared" si="111"/>
        <v>4266295.5603446001</v>
      </c>
      <c r="AH269" s="886">
        <f t="shared" si="112"/>
        <v>21331477.801723</v>
      </c>
      <c r="AI269" s="1077">
        <f t="shared" si="113"/>
        <v>191983300.215507</v>
      </c>
    </row>
    <row r="270" spans="1:35" s="670" customFormat="1" ht="40.5" customHeight="1" x14ac:dyDescent="0.2">
      <c r="A270" s="669">
        <v>37</v>
      </c>
      <c r="B270" s="670" t="s">
        <v>2852</v>
      </c>
      <c r="C270" s="773" t="s">
        <v>4247</v>
      </c>
      <c r="D270" s="652"/>
      <c r="E270" s="671" t="s">
        <v>2762</v>
      </c>
      <c r="F270" s="672"/>
      <c r="G270" s="653" t="s">
        <v>1772</v>
      </c>
      <c r="H270" s="653" t="s">
        <v>2104</v>
      </c>
      <c r="I270" s="673" t="s">
        <v>43</v>
      </c>
      <c r="J270" s="674" t="s">
        <v>1786</v>
      </c>
      <c r="K270" s="674" t="s">
        <v>1934</v>
      </c>
      <c r="L270" s="674"/>
      <c r="M270" s="691" t="s">
        <v>2105</v>
      </c>
      <c r="N270" s="674">
        <v>2013</v>
      </c>
      <c r="O270" s="674" t="s">
        <v>2106</v>
      </c>
      <c r="P270" s="675"/>
      <c r="Q270" s="673"/>
      <c r="R270" s="674"/>
      <c r="S270" s="675" t="s">
        <v>12</v>
      </c>
      <c r="T270" s="654">
        <f>2030934900+F271</f>
        <v>2537534000</v>
      </c>
      <c r="U270" s="702"/>
      <c r="V270" s="1119"/>
      <c r="W270" s="647" t="str">
        <f t="shared" si="83"/>
        <v>03.11.01</v>
      </c>
      <c r="X270" s="648" t="str">
        <f t="shared" si="84"/>
        <v>Bangunan Gedung Tempat Kerja</v>
      </c>
      <c r="Y270" s="648">
        <f t="shared" si="85"/>
        <v>50</v>
      </c>
      <c r="Z270" s="649"/>
      <c r="AA270" s="718"/>
      <c r="AB270" s="649"/>
      <c r="AC270" s="649"/>
      <c r="AD270" s="649"/>
      <c r="AE270" s="649"/>
      <c r="AF270" s="649"/>
      <c r="AG270" s="650">
        <f>'PERHITUNGAN (C)'!U548</f>
        <v>49938306.039999999</v>
      </c>
      <c r="AH270" s="650">
        <f>'PERHITUNGAN (C)'!U553</f>
        <v>340248534.24000001</v>
      </c>
      <c r="AI270" s="677">
        <f t="shared" si="113"/>
        <v>2197285465.7600002</v>
      </c>
    </row>
    <row r="271" spans="1:35" s="48" customFormat="1" ht="40.5" customHeight="1" x14ac:dyDescent="0.2">
      <c r="A271" s="296">
        <v>37</v>
      </c>
      <c r="B271" s="48" t="s">
        <v>2852</v>
      </c>
      <c r="C271" s="772" t="s">
        <v>4247</v>
      </c>
      <c r="D271" s="73"/>
      <c r="E271" s="65" t="s">
        <v>2851</v>
      </c>
      <c r="F271" s="555">
        <v>506599100</v>
      </c>
      <c r="G271" s="67" t="s">
        <v>1752</v>
      </c>
      <c r="H271" s="67" t="s">
        <v>1765</v>
      </c>
      <c r="I271" s="33" t="s">
        <v>43</v>
      </c>
      <c r="J271" s="40" t="s">
        <v>1786</v>
      </c>
      <c r="K271" s="40" t="s">
        <v>1934</v>
      </c>
      <c r="L271" s="40"/>
      <c r="M271" s="72" t="s">
        <v>2012</v>
      </c>
      <c r="N271" s="40">
        <v>2014</v>
      </c>
      <c r="O271" s="40" t="s">
        <v>2157</v>
      </c>
      <c r="P271" s="32"/>
      <c r="Q271" s="33"/>
      <c r="R271" s="40"/>
      <c r="S271" s="32"/>
      <c r="T271" s="252"/>
      <c r="U271" s="105"/>
      <c r="V271" s="1116"/>
      <c r="W271" s="206" t="str">
        <f t="shared" si="83"/>
        <v>03.11.01</v>
      </c>
      <c r="X271" s="207" t="str">
        <f t="shared" si="84"/>
        <v>Bangunan Gedung Tempat Kerja</v>
      </c>
      <c r="Y271" s="207">
        <f t="shared" si="85"/>
        <v>50</v>
      </c>
      <c r="Z271" s="233"/>
      <c r="AA271" s="714"/>
      <c r="AB271" s="233"/>
      <c r="AC271" s="233"/>
      <c r="AD271" s="233"/>
      <c r="AE271" s="233"/>
      <c r="AF271" s="233"/>
      <c r="AG271" s="238"/>
      <c r="AH271" s="238"/>
      <c r="AI271" s="210">
        <f t="shared" si="113"/>
        <v>0</v>
      </c>
    </row>
    <row r="272" spans="1:35" s="946" customFormat="1" ht="40.5" customHeight="1" x14ac:dyDescent="0.2">
      <c r="A272" s="1306"/>
      <c r="C272" s="1075" t="s">
        <v>2302</v>
      </c>
      <c r="D272" s="890"/>
      <c r="E272" s="907" t="s">
        <v>2763</v>
      </c>
      <c r="F272" s="917"/>
      <c r="G272" s="878" t="s">
        <v>1772</v>
      </c>
      <c r="H272" s="878" t="s">
        <v>1857</v>
      </c>
      <c r="I272" s="861" t="s">
        <v>43</v>
      </c>
      <c r="J272" s="862" t="s">
        <v>1786</v>
      </c>
      <c r="K272" s="862" t="s">
        <v>1934</v>
      </c>
      <c r="L272" s="862"/>
      <c r="M272" s="863" t="s">
        <v>1776</v>
      </c>
      <c r="N272" s="862">
        <v>2013</v>
      </c>
      <c r="O272" s="862" t="s">
        <v>2108</v>
      </c>
      <c r="P272" s="903"/>
      <c r="Q272" s="861"/>
      <c r="R272" s="862"/>
      <c r="S272" s="903" t="s">
        <v>12</v>
      </c>
      <c r="T272" s="879">
        <v>1956592000</v>
      </c>
      <c r="U272" s="1081"/>
      <c r="V272" s="1118"/>
      <c r="W272" s="1124" t="str">
        <f t="shared" si="83"/>
        <v>03.11.01</v>
      </c>
      <c r="X272" s="884" t="str">
        <f t="shared" si="84"/>
        <v>Bangunan Gedung Tempat Kerja</v>
      </c>
      <c r="Y272" s="884">
        <f t="shared" si="85"/>
        <v>50</v>
      </c>
      <c r="Z272" s="868">
        <f>T272/Y272</f>
        <v>39131840</v>
      </c>
      <c r="AA272" s="1051">
        <f>IF(2013-N272&gt;Y272,Y272,IF(2013-N272&lt;0,0,2013-N272))</f>
        <v>0</v>
      </c>
      <c r="AB272" s="868">
        <f>IF(AA272&gt;Y272,T272,Z272*AA272)</f>
        <v>0</v>
      </c>
      <c r="AC272" s="868">
        <f>IF(T272=AB272,0,Z272)</f>
        <v>39131840</v>
      </c>
      <c r="AD272" s="868">
        <f>IF(T272=AB272+AC272,0,Z272)</f>
        <v>39131840</v>
      </c>
      <c r="AE272" s="868">
        <f>IF(T272=AB272+AC272+AD272,0,Z272)</f>
        <v>39131840</v>
      </c>
      <c r="AF272" s="886">
        <f>IF(T272=AB272+AC272+AD272+AE272,0,Z272)</f>
        <v>39131840</v>
      </c>
      <c r="AG272" s="886">
        <f>IF(T272=AB272+AC272+AD272+AE272+AF272,0,Z272)</f>
        <v>39131840</v>
      </c>
      <c r="AH272" s="886">
        <f>SUM(AB272:AG272)</f>
        <v>195659200</v>
      </c>
      <c r="AI272" s="1077">
        <f t="shared" si="113"/>
        <v>1760932800</v>
      </c>
    </row>
    <row r="273" spans="1:37" s="946" customFormat="1" ht="40.5" customHeight="1" x14ac:dyDescent="0.2">
      <c r="A273" s="1306"/>
      <c r="C273" s="1075" t="s">
        <v>2302</v>
      </c>
      <c r="D273" s="890"/>
      <c r="E273" s="907" t="s">
        <v>2764</v>
      </c>
      <c r="F273" s="917"/>
      <c r="G273" s="878" t="s">
        <v>1772</v>
      </c>
      <c r="H273" s="878" t="s">
        <v>1861</v>
      </c>
      <c r="I273" s="861" t="s">
        <v>43</v>
      </c>
      <c r="J273" s="862" t="s">
        <v>1786</v>
      </c>
      <c r="K273" s="862" t="s">
        <v>1934</v>
      </c>
      <c r="L273" s="862"/>
      <c r="M273" s="863" t="s">
        <v>431</v>
      </c>
      <c r="N273" s="862">
        <v>2013</v>
      </c>
      <c r="O273" s="862" t="s">
        <v>2110</v>
      </c>
      <c r="P273" s="903"/>
      <c r="Q273" s="861"/>
      <c r="R273" s="862"/>
      <c r="S273" s="903" t="s">
        <v>12</v>
      </c>
      <c r="T273" s="879">
        <v>397173000</v>
      </c>
      <c r="U273" s="1081"/>
      <c r="V273" s="1118"/>
      <c r="W273" s="1124" t="str">
        <f t="shared" si="83"/>
        <v>03.11.01</v>
      </c>
      <c r="X273" s="884" t="str">
        <f t="shared" si="84"/>
        <v>Bangunan Gedung Tempat Kerja</v>
      </c>
      <c r="Y273" s="884">
        <f t="shared" si="85"/>
        <v>50</v>
      </c>
      <c r="Z273" s="868">
        <f>T273/Y273</f>
        <v>7943460</v>
      </c>
      <c r="AA273" s="1051">
        <f>IF(2013-N273&gt;Y273,Y273,IF(2013-N273&lt;0,0,2013-N273))</f>
        <v>0</v>
      </c>
      <c r="AB273" s="868">
        <f>IF(AA273&gt;Y273,T273,Z273*AA273)</f>
        <v>0</v>
      </c>
      <c r="AC273" s="868">
        <f>IF(T273=AB273,0,Z273)</f>
        <v>7943460</v>
      </c>
      <c r="AD273" s="868">
        <f>IF(T273=AB273+AC273,0,Z273)</f>
        <v>7943460</v>
      </c>
      <c r="AE273" s="868">
        <f>IF(T273=AB273+AC273+AD273,0,Z273)</f>
        <v>7943460</v>
      </c>
      <c r="AF273" s="886">
        <f>IF(T273=AB273+AC273+AD273+AE273,0,Z273)</f>
        <v>7943460</v>
      </c>
      <c r="AG273" s="886">
        <f>IF(T273=AB273+AC273+AD273+AE273+AF273,0,Z273)</f>
        <v>7943460</v>
      </c>
      <c r="AH273" s="886">
        <f>SUM(AB273:AG273)</f>
        <v>39717300</v>
      </c>
      <c r="AI273" s="1077">
        <f t="shared" si="113"/>
        <v>357455700</v>
      </c>
    </row>
    <row r="274" spans="1:37" s="946" customFormat="1" ht="40.5" customHeight="1" x14ac:dyDescent="0.2">
      <c r="A274" s="1306"/>
      <c r="C274" s="1075" t="s">
        <v>2302</v>
      </c>
      <c r="D274" s="890"/>
      <c r="E274" s="907" t="s">
        <v>2765</v>
      </c>
      <c r="F274" s="917"/>
      <c r="G274" s="878" t="s">
        <v>1772</v>
      </c>
      <c r="H274" s="878" t="s">
        <v>1864</v>
      </c>
      <c r="I274" s="861" t="s">
        <v>43</v>
      </c>
      <c r="J274" s="862" t="s">
        <v>1786</v>
      </c>
      <c r="K274" s="862" t="s">
        <v>1934</v>
      </c>
      <c r="L274" s="862"/>
      <c r="M274" s="863" t="s">
        <v>1776</v>
      </c>
      <c r="N274" s="862">
        <v>2013</v>
      </c>
      <c r="O274" s="862" t="s">
        <v>2022</v>
      </c>
      <c r="P274" s="903"/>
      <c r="Q274" s="861"/>
      <c r="R274" s="862"/>
      <c r="S274" s="903" t="s">
        <v>12</v>
      </c>
      <c r="T274" s="879">
        <v>991552000</v>
      </c>
      <c r="U274" s="1081"/>
      <c r="V274" s="1118"/>
      <c r="W274" s="1124" t="str">
        <f t="shared" si="83"/>
        <v>03.11.01</v>
      </c>
      <c r="X274" s="884" t="str">
        <f t="shared" si="84"/>
        <v>Bangunan Gedung Tempat Kerja</v>
      </c>
      <c r="Y274" s="884">
        <f t="shared" si="85"/>
        <v>50</v>
      </c>
      <c r="Z274" s="868">
        <f>T274/Y274</f>
        <v>19831040</v>
      </c>
      <c r="AA274" s="1051">
        <f>IF(2013-N274&gt;Y274,Y274,IF(2013-N274&lt;0,0,2013-N274))</f>
        <v>0</v>
      </c>
      <c r="AB274" s="868">
        <f>IF(AA274&gt;Y274,T274,Z274*AA274)</f>
        <v>0</v>
      </c>
      <c r="AC274" s="868">
        <f>IF(T274=AB274,0,Z274)</f>
        <v>19831040</v>
      </c>
      <c r="AD274" s="868">
        <f>IF(T274=AB274+AC274,0,Z274)</f>
        <v>19831040</v>
      </c>
      <c r="AE274" s="868">
        <f>IF(T274=AB274+AC274+AD274,0,Z274)</f>
        <v>19831040</v>
      </c>
      <c r="AF274" s="886">
        <f>IF(T274=AB274+AC274+AD274+AE274,0,Z274)</f>
        <v>19831040</v>
      </c>
      <c r="AG274" s="886">
        <f>IF(T274=AB274+AC274+AD274+AE274+AF274,0,Z274)</f>
        <v>19831040</v>
      </c>
      <c r="AH274" s="886">
        <f>SUM(AB274:AG274)</f>
        <v>99155200</v>
      </c>
      <c r="AI274" s="1077">
        <f t="shared" si="113"/>
        <v>892396800</v>
      </c>
    </row>
    <row r="275" spans="1:37" s="946" customFormat="1" ht="40.5" customHeight="1" x14ac:dyDescent="0.2">
      <c r="A275" s="1306"/>
      <c r="C275" s="1075" t="s">
        <v>2302</v>
      </c>
      <c r="D275" s="890"/>
      <c r="E275" s="907" t="s">
        <v>2766</v>
      </c>
      <c r="F275" s="917"/>
      <c r="G275" s="878" t="s">
        <v>2113</v>
      </c>
      <c r="H275" s="878" t="s">
        <v>39</v>
      </c>
      <c r="I275" s="861" t="s">
        <v>43</v>
      </c>
      <c r="J275" s="862" t="s">
        <v>1786</v>
      </c>
      <c r="K275" s="862" t="s">
        <v>1934</v>
      </c>
      <c r="L275" s="862"/>
      <c r="M275" s="863" t="s">
        <v>1776</v>
      </c>
      <c r="N275" s="862">
        <v>2013</v>
      </c>
      <c r="O275" s="862" t="s">
        <v>2022</v>
      </c>
      <c r="P275" s="903"/>
      <c r="Q275" s="861"/>
      <c r="R275" s="862"/>
      <c r="S275" s="903" t="s">
        <v>12</v>
      </c>
      <c r="T275" s="879">
        <v>48327850</v>
      </c>
      <c r="U275" s="1081"/>
      <c r="V275" s="1118"/>
      <c r="W275" s="1124" t="str">
        <f t="shared" si="83"/>
        <v>03.11.01</v>
      </c>
      <c r="X275" s="884" t="str">
        <f t="shared" si="84"/>
        <v>Bangunan Gedung Tempat Kerja</v>
      </c>
      <c r="Y275" s="884">
        <f t="shared" si="85"/>
        <v>50</v>
      </c>
      <c r="Z275" s="868">
        <f>T275/Y275</f>
        <v>966557</v>
      </c>
      <c r="AA275" s="1051">
        <f>IF(2013-N275&gt;Y275,Y275,IF(2013-N275&lt;0,0,2013-N275))</f>
        <v>0</v>
      </c>
      <c r="AB275" s="868">
        <f>IF(AA275&gt;Y275,T275,Z275*AA275)</f>
        <v>0</v>
      </c>
      <c r="AC275" s="868">
        <f>IF(T275=AB275,0,Z275)</f>
        <v>966557</v>
      </c>
      <c r="AD275" s="868">
        <f>IF(T275=AB275+AC275,0,Z275)</f>
        <v>966557</v>
      </c>
      <c r="AE275" s="868">
        <f>IF(T275=AB275+AC275+AD275,0,Z275)</f>
        <v>966557</v>
      </c>
      <c r="AF275" s="886">
        <f>IF(T275=AB275+AC275+AD275+AE275,0,Z275)</f>
        <v>966557</v>
      </c>
      <c r="AG275" s="886">
        <f>IF(T275=AB275+AC275+AD275+AE275+AF275,0,Z275)</f>
        <v>966557</v>
      </c>
      <c r="AH275" s="886">
        <f>SUM(AB275:AG275)</f>
        <v>4832785</v>
      </c>
      <c r="AI275" s="1077">
        <f t="shared" si="113"/>
        <v>43495065</v>
      </c>
    </row>
    <row r="276" spans="1:37" s="946" customFormat="1" ht="40.5" customHeight="1" x14ac:dyDescent="0.2">
      <c r="A276" s="1306"/>
      <c r="C276" s="1075" t="s">
        <v>2302</v>
      </c>
      <c r="D276" s="890"/>
      <c r="E276" s="907" t="s">
        <v>2769</v>
      </c>
      <c r="F276" s="917"/>
      <c r="G276" s="878" t="s">
        <v>1752</v>
      </c>
      <c r="H276" s="878" t="s">
        <v>2118</v>
      </c>
      <c r="I276" s="861" t="s">
        <v>43</v>
      </c>
      <c r="J276" s="862" t="s">
        <v>1786</v>
      </c>
      <c r="K276" s="862" t="s">
        <v>1934</v>
      </c>
      <c r="L276" s="862"/>
      <c r="M276" s="863" t="s">
        <v>1776</v>
      </c>
      <c r="N276" s="862">
        <v>2013</v>
      </c>
      <c r="O276" s="862" t="s">
        <v>2121</v>
      </c>
      <c r="P276" s="903"/>
      <c r="Q276" s="861"/>
      <c r="R276" s="862"/>
      <c r="S276" s="903" t="s">
        <v>12</v>
      </c>
      <c r="T276" s="879">
        <v>74497000</v>
      </c>
      <c r="U276" s="1081"/>
      <c r="V276" s="1118"/>
      <c r="W276" s="1124" t="str">
        <f t="shared" si="83"/>
        <v>03.11.01</v>
      </c>
      <c r="X276" s="884" t="str">
        <f t="shared" si="84"/>
        <v>Bangunan Gedung Tempat Kerja</v>
      </c>
      <c r="Y276" s="884">
        <f t="shared" si="85"/>
        <v>50</v>
      </c>
      <c r="Z276" s="868">
        <f>T276/Y276</f>
        <v>1489940</v>
      </c>
      <c r="AA276" s="1051">
        <f>IF(2013-N276&gt;Y276,Y276,IF(2013-N276&lt;0,0,2013-N276))</f>
        <v>0</v>
      </c>
      <c r="AB276" s="868">
        <f>IF(AA276&gt;Y276,T276,Z276*AA276)</f>
        <v>0</v>
      </c>
      <c r="AC276" s="868">
        <f>IF(T276=AB276,0,Z276)</f>
        <v>1489940</v>
      </c>
      <c r="AD276" s="868">
        <f>IF(T276=AB276+AC276,0,Z276)</f>
        <v>1489940</v>
      </c>
      <c r="AE276" s="868">
        <f>IF(T276=AB276+AC276+AD276,0,Z276)</f>
        <v>1489940</v>
      </c>
      <c r="AF276" s="886">
        <f>IF(T276=AB276+AC276+AD276+AE276,0,Z276)</f>
        <v>1489940</v>
      </c>
      <c r="AG276" s="886">
        <f>IF(T276=AB276+AC276+AD276+AE276+AF276,0,Z276)</f>
        <v>1489940</v>
      </c>
      <c r="AH276" s="886">
        <f>SUM(AB276:AG276)</f>
        <v>7449700</v>
      </c>
      <c r="AI276" s="1077">
        <f t="shared" si="113"/>
        <v>67047300</v>
      </c>
    </row>
    <row r="277" spans="1:37" s="670" customFormat="1" ht="40.5" customHeight="1" x14ac:dyDescent="0.2">
      <c r="A277" s="669">
        <v>38</v>
      </c>
      <c r="B277" s="670" t="s">
        <v>2994</v>
      </c>
      <c r="C277" s="773" t="s">
        <v>4247</v>
      </c>
      <c r="D277" s="652"/>
      <c r="E277" s="671" t="s">
        <v>2778</v>
      </c>
      <c r="F277" s="672"/>
      <c r="G277" s="653" t="s">
        <v>1752</v>
      </c>
      <c r="H277" s="653"/>
      <c r="I277" s="673" t="s">
        <v>43</v>
      </c>
      <c r="J277" s="674" t="s">
        <v>1780</v>
      </c>
      <c r="K277" s="674" t="s">
        <v>835</v>
      </c>
      <c r="L277" s="674"/>
      <c r="M277" s="691" t="s">
        <v>420</v>
      </c>
      <c r="N277" s="674">
        <v>2013</v>
      </c>
      <c r="O277" s="674"/>
      <c r="P277" s="675"/>
      <c r="Q277" s="673"/>
      <c r="R277" s="674"/>
      <c r="S277" s="675" t="s">
        <v>12</v>
      </c>
      <c r="T277" s="654">
        <f>6245218080.46009+F278</f>
        <v>8247801930.4600897</v>
      </c>
      <c r="U277" s="702"/>
      <c r="V277" s="1119"/>
      <c r="W277" s="647" t="str">
        <f t="shared" si="83"/>
        <v>03.11.01</v>
      </c>
      <c r="X277" s="648" t="str">
        <f t="shared" si="84"/>
        <v>Bangunan Gedung Tempat Kerja</v>
      </c>
      <c r="Y277" s="648">
        <f t="shared" si="85"/>
        <v>50</v>
      </c>
      <c r="Z277" s="649"/>
      <c r="AA277" s="718"/>
      <c r="AB277" s="649"/>
      <c r="AC277" s="649"/>
      <c r="AD277" s="649"/>
      <c r="AE277" s="649"/>
      <c r="AF277" s="649"/>
      <c r="AG277" s="650">
        <f>'PERHITUNGAN (C)'!U565</f>
        <v>164956038.60920179</v>
      </c>
      <c r="AH277" s="650">
        <f>'PERHITUNGAN (C)'!U570</f>
        <v>1154692270.2644124</v>
      </c>
      <c r="AI277" s="677">
        <f t="shared" si="113"/>
        <v>7093109660.1956768</v>
      </c>
    </row>
    <row r="278" spans="1:37" s="48" customFormat="1" ht="40.5" customHeight="1" x14ac:dyDescent="0.2">
      <c r="A278" s="296">
        <v>38</v>
      </c>
      <c r="B278" s="48" t="s">
        <v>2994</v>
      </c>
      <c r="C278" s="772" t="s">
        <v>4247</v>
      </c>
      <c r="D278" s="73"/>
      <c r="E278" s="65" t="s">
        <v>4230</v>
      </c>
      <c r="F278" s="555">
        <v>2002583850</v>
      </c>
      <c r="G278" s="67" t="s">
        <v>1752</v>
      </c>
      <c r="H278" s="67" t="s">
        <v>2123</v>
      </c>
      <c r="I278" s="33" t="s">
        <v>43</v>
      </c>
      <c r="J278" s="40" t="s">
        <v>1786</v>
      </c>
      <c r="K278" s="40" t="s">
        <v>1934</v>
      </c>
      <c r="L278" s="40"/>
      <c r="M278" s="72" t="s">
        <v>1776</v>
      </c>
      <c r="N278" s="40">
        <v>2013</v>
      </c>
      <c r="O278" s="40" t="s">
        <v>2124</v>
      </c>
      <c r="P278" s="32"/>
      <c r="Q278" s="33"/>
      <c r="R278" s="40"/>
      <c r="S278" s="32" t="s">
        <v>12</v>
      </c>
      <c r="T278" s="252"/>
      <c r="U278" s="105"/>
      <c r="V278" s="1116"/>
      <c r="W278" s="206" t="str">
        <f t="shared" si="83"/>
        <v>03.11.01</v>
      </c>
      <c r="X278" s="207" t="str">
        <f t="shared" si="84"/>
        <v>Bangunan Gedung Tempat Kerja</v>
      </c>
      <c r="Y278" s="207">
        <f t="shared" si="85"/>
        <v>50</v>
      </c>
      <c r="Z278" s="233"/>
      <c r="AA278" s="714"/>
      <c r="AB278" s="233"/>
      <c r="AC278" s="233"/>
      <c r="AD278" s="233"/>
      <c r="AE278" s="233"/>
      <c r="AF278" s="233"/>
      <c r="AG278" s="238"/>
      <c r="AH278" s="238"/>
      <c r="AI278" s="210">
        <f t="shared" si="113"/>
        <v>0</v>
      </c>
    </row>
    <row r="279" spans="1:37" s="946" customFormat="1" ht="40.5" customHeight="1" x14ac:dyDescent="0.2">
      <c r="A279" s="1306"/>
      <c r="B279" s="946" t="s">
        <v>4229</v>
      </c>
      <c r="C279" s="1075" t="s">
        <v>2302</v>
      </c>
      <c r="D279" s="890"/>
      <c r="E279" s="907" t="s">
        <v>2777</v>
      </c>
      <c r="F279" s="917"/>
      <c r="G279" s="878" t="s">
        <v>1752</v>
      </c>
      <c r="H279" s="878"/>
      <c r="I279" s="861"/>
      <c r="J279" s="862" t="s">
        <v>1753</v>
      </c>
      <c r="K279" s="862" t="s">
        <v>1753</v>
      </c>
      <c r="L279" s="862"/>
      <c r="M279" s="863" t="s">
        <v>420</v>
      </c>
      <c r="N279" s="862">
        <v>2013</v>
      </c>
      <c r="O279" s="862"/>
      <c r="P279" s="903"/>
      <c r="Q279" s="861"/>
      <c r="R279" s="862"/>
      <c r="S279" s="903" t="s">
        <v>12</v>
      </c>
      <c r="T279" s="879">
        <v>40499800</v>
      </c>
      <c r="U279" s="1081"/>
      <c r="V279" s="1118"/>
      <c r="W279" s="1124" t="str">
        <f t="shared" si="83"/>
        <v>03.11.01</v>
      </c>
      <c r="X279" s="884" t="str">
        <f t="shared" si="84"/>
        <v>Bangunan Gedung Tempat Kerja</v>
      </c>
      <c r="Y279" s="884">
        <f t="shared" si="85"/>
        <v>50</v>
      </c>
      <c r="Z279" s="868">
        <f>T279/Y279</f>
        <v>809996</v>
      </c>
      <c r="AA279" s="1051">
        <f>IF(2013-N279&gt;Y279,Y279,IF(2013-N279&lt;0,0,2013-N279))</f>
        <v>0</v>
      </c>
      <c r="AB279" s="868">
        <f>IF(AA279&gt;Y279,T279,Z279*AA279)</f>
        <v>0</v>
      </c>
      <c r="AC279" s="868">
        <f>IF(T279=AB279,0,Z279)</f>
        <v>809996</v>
      </c>
      <c r="AD279" s="868">
        <f>IF(T279=AB279+AC279,0,Z279)</f>
        <v>809996</v>
      </c>
      <c r="AE279" s="868">
        <f>IF(T279=AB279+AC279+AD279,0,Z279)</f>
        <v>809996</v>
      </c>
      <c r="AF279" s="886">
        <f>IF(T279=AB279+AC279+AD279+AE279,0,Z279)</f>
        <v>809996</v>
      </c>
      <c r="AG279" s="886">
        <f>IF(T279=AB279+AC279+AD279+AE279+AF279,0,Z279)</f>
        <v>809996</v>
      </c>
      <c r="AH279" s="886">
        <f>SUM(AB279:AG279)</f>
        <v>4049980</v>
      </c>
      <c r="AI279" s="1077">
        <f t="shared" si="113"/>
        <v>36449820</v>
      </c>
    </row>
    <row r="280" spans="1:37" s="946" customFormat="1" ht="40.5" customHeight="1" x14ac:dyDescent="0.2">
      <c r="A280" s="1306"/>
      <c r="C280" s="1075" t="s">
        <v>2302</v>
      </c>
      <c r="D280" s="890"/>
      <c r="E280" s="907" t="s">
        <v>2770</v>
      </c>
      <c r="F280" s="917"/>
      <c r="G280" s="878" t="s">
        <v>1752</v>
      </c>
      <c r="H280" s="878" t="s">
        <v>2126</v>
      </c>
      <c r="I280" s="861" t="s">
        <v>43</v>
      </c>
      <c r="J280" s="862" t="s">
        <v>1786</v>
      </c>
      <c r="K280" s="862" t="s">
        <v>1934</v>
      </c>
      <c r="L280" s="862"/>
      <c r="M280" s="863" t="s">
        <v>2127</v>
      </c>
      <c r="N280" s="862">
        <v>2013</v>
      </c>
      <c r="O280" s="862" t="s">
        <v>2128</v>
      </c>
      <c r="P280" s="903"/>
      <c r="Q280" s="861"/>
      <c r="R280" s="862"/>
      <c r="S280" s="903" t="s">
        <v>12</v>
      </c>
      <c r="T280" s="879">
        <v>199852000</v>
      </c>
      <c r="U280" s="1081"/>
      <c r="V280" s="1118"/>
      <c r="W280" s="1124" t="str">
        <f t="shared" ref="W280:W342" si="114">LEFT(G280,8)</f>
        <v>03.11.01</v>
      </c>
      <c r="X280" s="884" t="str">
        <f t="shared" ref="X280:X342" si="115">VLOOKUP(W280,UE,3)</f>
        <v>Bangunan Gedung Tempat Kerja</v>
      </c>
      <c r="Y280" s="884">
        <f t="shared" ref="Y280:Y342" si="116">VLOOKUP(W280,UE,4)</f>
        <v>50</v>
      </c>
      <c r="Z280" s="868">
        <f>T280/Y280</f>
        <v>3997040</v>
      </c>
      <c r="AA280" s="1051">
        <f>IF(2013-N280&gt;Y280,Y280,IF(2013-N280&lt;0,0,2013-N280))</f>
        <v>0</v>
      </c>
      <c r="AB280" s="868">
        <f>IF(AA280&gt;Y280,T280,Z280*AA280)</f>
        <v>0</v>
      </c>
      <c r="AC280" s="868">
        <f>IF(T280=AB280,0,Z280)</f>
        <v>3997040</v>
      </c>
      <c r="AD280" s="868">
        <f>IF(T280=AB280+AC280,0,Z280)</f>
        <v>3997040</v>
      </c>
      <c r="AE280" s="868">
        <f>IF(T280=AB280+AC280+AD280,0,Z280)</f>
        <v>3997040</v>
      </c>
      <c r="AF280" s="886">
        <f>IF(T280=AB280+AC280+AD280+AE280,0,Z280)</f>
        <v>3997040</v>
      </c>
      <c r="AG280" s="886">
        <f>IF(T280=AB280+AC280+AD280+AE280+AF280,0,Z280)</f>
        <v>3997040</v>
      </c>
      <c r="AH280" s="886">
        <f>SUM(AB280:AG280)</f>
        <v>19985200</v>
      </c>
      <c r="AI280" s="1077">
        <f t="shared" si="113"/>
        <v>179866800</v>
      </c>
    </row>
    <row r="281" spans="1:37" s="670" customFormat="1" ht="40.5" customHeight="1" x14ac:dyDescent="0.2">
      <c r="A281" s="669">
        <v>39</v>
      </c>
      <c r="B281" s="670" t="s">
        <v>2971</v>
      </c>
      <c r="C281" s="773" t="s">
        <v>4247</v>
      </c>
      <c r="D281" s="652"/>
      <c r="E281" s="671" t="s">
        <v>2773</v>
      </c>
      <c r="F281" s="672"/>
      <c r="G281" s="653" t="s">
        <v>1752</v>
      </c>
      <c r="H281" s="653" t="s">
        <v>2136</v>
      </c>
      <c r="I281" s="673" t="s">
        <v>43</v>
      </c>
      <c r="J281" s="674" t="s">
        <v>1786</v>
      </c>
      <c r="K281" s="674" t="s">
        <v>1934</v>
      </c>
      <c r="L281" s="674"/>
      <c r="M281" s="691" t="s">
        <v>2000</v>
      </c>
      <c r="N281" s="674">
        <v>2013</v>
      </c>
      <c r="O281" s="674" t="s">
        <v>2137</v>
      </c>
      <c r="P281" s="675"/>
      <c r="Q281" s="673"/>
      <c r="R281" s="674"/>
      <c r="S281" s="675" t="s">
        <v>12</v>
      </c>
      <c r="T281" s="654">
        <f>181010000+F282</f>
        <v>200534300</v>
      </c>
      <c r="U281" s="702"/>
      <c r="V281" s="1119"/>
      <c r="W281" s="647" t="str">
        <f t="shared" si="114"/>
        <v>03.11.01</v>
      </c>
      <c r="X281" s="648" t="str">
        <f t="shared" si="115"/>
        <v>Bangunan Gedung Tempat Kerja</v>
      </c>
      <c r="Y281" s="648">
        <f t="shared" si="116"/>
        <v>50</v>
      </c>
      <c r="Z281" s="649"/>
      <c r="AA281" s="718"/>
      <c r="AB281" s="649"/>
      <c r="AC281" s="649"/>
      <c r="AD281" s="649"/>
      <c r="AE281" s="649"/>
      <c r="AF281" s="649"/>
      <c r="AG281" s="650" t="e">
        <f>'PERHITUNGAN (C)'!#REF!</f>
        <v>#REF!</v>
      </c>
      <c r="AH281" s="650" t="e">
        <f>'PERHITUNGAN (C)'!#REF!</f>
        <v>#REF!</v>
      </c>
      <c r="AI281" s="677" t="e">
        <f t="shared" si="113"/>
        <v>#REF!</v>
      </c>
    </row>
    <row r="282" spans="1:37" s="48" customFormat="1" ht="40.5" customHeight="1" x14ac:dyDescent="0.2">
      <c r="A282" s="296">
        <v>39</v>
      </c>
      <c r="B282" s="48" t="s">
        <v>2971</v>
      </c>
      <c r="C282" s="772" t="s">
        <v>4247</v>
      </c>
      <c r="D282" s="73"/>
      <c r="E282" s="65" t="s">
        <v>2806</v>
      </c>
      <c r="F282" s="555">
        <v>19524300</v>
      </c>
      <c r="G282" s="67" t="s">
        <v>1752</v>
      </c>
      <c r="H282" s="67" t="s">
        <v>2115</v>
      </c>
      <c r="I282" s="33" t="s">
        <v>43</v>
      </c>
      <c r="J282" s="40" t="s">
        <v>1786</v>
      </c>
      <c r="K282" s="40" t="s">
        <v>1934</v>
      </c>
      <c r="L282" s="40"/>
      <c r="M282" s="72" t="s">
        <v>2000</v>
      </c>
      <c r="N282" s="40">
        <v>2014</v>
      </c>
      <c r="O282" s="40" t="s">
        <v>2221</v>
      </c>
      <c r="P282" s="32"/>
      <c r="Q282" s="33"/>
      <c r="R282" s="40"/>
      <c r="S282" s="32" t="s">
        <v>12</v>
      </c>
      <c r="T282" s="252"/>
      <c r="U282" s="105"/>
      <c r="V282" s="1116"/>
      <c r="W282" s="206" t="str">
        <f t="shared" si="114"/>
        <v>03.11.01</v>
      </c>
      <c r="X282" s="207" t="str">
        <f t="shared" si="115"/>
        <v>Bangunan Gedung Tempat Kerja</v>
      </c>
      <c r="Y282" s="207">
        <f t="shared" si="116"/>
        <v>50</v>
      </c>
      <c r="Z282" s="233"/>
      <c r="AA282" s="714"/>
      <c r="AB282" s="233"/>
      <c r="AC282" s="233"/>
      <c r="AD282" s="233"/>
      <c r="AE282" s="233"/>
      <c r="AF282" s="233"/>
      <c r="AG282" s="238"/>
      <c r="AH282" s="238"/>
      <c r="AI282" s="210">
        <f t="shared" si="113"/>
        <v>0</v>
      </c>
    </row>
    <row r="283" spans="1:37" s="813" customFormat="1" ht="40.5" customHeight="1" x14ac:dyDescent="0.2">
      <c r="A283" s="812">
        <v>40</v>
      </c>
      <c r="B283" s="813" t="s">
        <v>4267</v>
      </c>
      <c r="C283" s="814" t="s">
        <v>4247</v>
      </c>
      <c r="D283" s="815"/>
      <c r="E283" s="816" t="s">
        <v>2703</v>
      </c>
      <c r="F283" s="817"/>
      <c r="G283" s="818" t="s">
        <v>1752</v>
      </c>
      <c r="H283" s="818" t="s">
        <v>1765</v>
      </c>
      <c r="I283" s="819" t="s">
        <v>43</v>
      </c>
      <c r="J283" s="820" t="s">
        <v>1786</v>
      </c>
      <c r="K283" s="820" t="s">
        <v>1934</v>
      </c>
      <c r="L283" s="820"/>
      <c r="M283" s="830" t="s">
        <v>1940</v>
      </c>
      <c r="N283" s="820">
        <v>2012</v>
      </c>
      <c r="O283" s="820" t="s">
        <v>1941</v>
      </c>
      <c r="P283" s="822"/>
      <c r="Q283" s="819"/>
      <c r="R283" s="820"/>
      <c r="S283" s="822" t="s">
        <v>12</v>
      </c>
      <c r="T283" s="823">
        <f>22181000+F284+F285</f>
        <v>697959159.54341817</v>
      </c>
      <c r="U283" s="831"/>
      <c r="V283" s="1121"/>
      <c r="W283" s="651" t="str">
        <f>LEFT(G283,8)</f>
        <v>03.11.01</v>
      </c>
      <c r="X283" s="825" t="str">
        <f>VLOOKUP(W283,UE,3)</f>
        <v>Bangunan Gedung Tempat Kerja</v>
      </c>
      <c r="Y283" s="825">
        <f>VLOOKUP(W283,UE,4)</f>
        <v>50</v>
      </c>
      <c r="Z283" s="826"/>
      <c r="AA283" s="827"/>
      <c r="AB283" s="826"/>
      <c r="AC283" s="826"/>
      <c r="AD283" s="826"/>
      <c r="AE283" s="826"/>
      <c r="AF283" s="826"/>
      <c r="AG283" s="828">
        <f>'PERHITUNGAN (C)'!R585</f>
        <v>13740011.12705099</v>
      </c>
      <c r="AH283" s="828">
        <f>'PERHITUNGAN (C)'!U589</f>
        <v>107138681.0802253</v>
      </c>
      <c r="AI283" s="829">
        <f t="shared" si="113"/>
        <v>590820478.46319282</v>
      </c>
    </row>
    <row r="284" spans="1:37" s="48" customFormat="1" ht="40.5" customHeight="1" x14ac:dyDescent="0.2">
      <c r="A284" s="296">
        <v>40</v>
      </c>
      <c r="B284" s="48" t="s">
        <v>4267</v>
      </c>
      <c r="C284" s="772" t="s">
        <v>4247</v>
      </c>
      <c r="D284" s="73"/>
      <c r="E284" s="65" t="s">
        <v>2703</v>
      </c>
      <c r="F284" s="555">
        <v>525749159.54341811</v>
      </c>
      <c r="G284" s="67" t="s">
        <v>1752</v>
      </c>
      <c r="H284" s="67" t="s">
        <v>1906</v>
      </c>
      <c r="I284" s="33" t="s">
        <v>43</v>
      </c>
      <c r="J284" s="40" t="s">
        <v>1786</v>
      </c>
      <c r="K284" s="40" t="s">
        <v>1934</v>
      </c>
      <c r="L284" s="40">
        <v>120</v>
      </c>
      <c r="M284" s="72" t="s">
        <v>1972</v>
      </c>
      <c r="N284" s="40">
        <v>2012</v>
      </c>
      <c r="O284" s="40" t="s">
        <v>1973</v>
      </c>
      <c r="P284" s="32"/>
      <c r="Q284" s="33"/>
      <c r="R284" s="40"/>
      <c r="S284" s="32" t="s">
        <v>12</v>
      </c>
      <c r="T284" s="252"/>
      <c r="U284" s="105"/>
      <c r="V284" s="1116"/>
      <c r="W284" s="206" t="str">
        <f>LEFT(G284,8)</f>
        <v>03.11.01</v>
      </c>
      <c r="X284" s="207" t="str">
        <f>VLOOKUP(W284,UE,3)</f>
        <v>Bangunan Gedung Tempat Kerja</v>
      </c>
      <c r="Y284" s="207">
        <f>VLOOKUP(W284,UE,4)</f>
        <v>50</v>
      </c>
      <c r="Z284" s="233"/>
      <c r="AA284" s="714"/>
      <c r="AB284" s="233"/>
      <c r="AC284" s="233"/>
      <c r="AD284" s="233"/>
      <c r="AE284" s="233"/>
      <c r="AF284" s="233"/>
      <c r="AG284" s="238"/>
      <c r="AH284" s="238"/>
      <c r="AI284" s="210">
        <f t="shared" si="113"/>
        <v>0</v>
      </c>
    </row>
    <row r="285" spans="1:37" s="48" customFormat="1" ht="40.5" customHeight="1" x14ac:dyDescent="0.2">
      <c r="A285" s="296">
        <v>40</v>
      </c>
      <c r="B285" s="48" t="s">
        <v>4267</v>
      </c>
      <c r="C285" s="772" t="s">
        <v>4247</v>
      </c>
      <c r="D285" s="73"/>
      <c r="E285" s="65" t="s">
        <v>2775</v>
      </c>
      <c r="F285" s="555">
        <v>150029000</v>
      </c>
      <c r="G285" s="67" t="s">
        <v>1752</v>
      </c>
      <c r="H285" s="67" t="s">
        <v>2142</v>
      </c>
      <c r="I285" s="33" t="s">
        <v>43</v>
      </c>
      <c r="J285" s="40" t="s">
        <v>1786</v>
      </c>
      <c r="K285" s="40" t="s">
        <v>1934</v>
      </c>
      <c r="L285" s="40"/>
      <c r="M285" s="72" t="s">
        <v>2143</v>
      </c>
      <c r="N285" s="40">
        <v>2013</v>
      </c>
      <c r="O285" s="40" t="s">
        <v>2144</v>
      </c>
      <c r="P285" s="32"/>
      <c r="Q285" s="33"/>
      <c r="R285" s="40"/>
      <c r="S285" s="32" t="s">
        <v>12</v>
      </c>
      <c r="T285" s="252"/>
      <c r="U285" s="105"/>
      <c r="V285" s="1116"/>
      <c r="W285" s="206" t="str">
        <f t="shared" si="114"/>
        <v>03.11.01</v>
      </c>
      <c r="X285" s="207" t="str">
        <f t="shared" si="115"/>
        <v>Bangunan Gedung Tempat Kerja</v>
      </c>
      <c r="Y285" s="207">
        <f t="shared" si="116"/>
        <v>50</v>
      </c>
      <c r="Z285" s="233"/>
      <c r="AA285" s="714"/>
      <c r="AB285" s="233"/>
      <c r="AC285" s="233"/>
      <c r="AD285" s="233"/>
      <c r="AE285" s="233"/>
      <c r="AF285" s="233"/>
      <c r="AG285" s="238"/>
      <c r="AH285" s="238"/>
      <c r="AI285" s="210">
        <f t="shared" si="113"/>
        <v>0</v>
      </c>
    </row>
    <row r="286" spans="1:37" s="1083" customFormat="1" ht="40.5" customHeight="1" x14ac:dyDescent="0.2">
      <c r="A286" s="1082">
        <v>36</v>
      </c>
      <c r="B286" s="1083" t="s">
        <v>3022</v>
      </c>
      <c r="C286" s="1084" t="s">
        <v>4246</v>
      </c>
      <c r="D286" s="892"/>
      <c r="E286" s="1085" t="s">
        <v>2776</v>
      </c>
      <c r="F286" s="1086"/>
      <c r="G286" s="893" t="s">
        <v>2485</v>
      </c>
      <c r="H286" s="893"/>
      <c r="I286" s="1020"/>
      <c r="J286" s="1023" t="s">
        <v>1753</v>
      </c>
      <c r="K286" s="1023" t="s">
        <v>835</v>
      </c>
      <c r="L286" s="1023"/>
      <c r="M286" s="1024" t="s">
        <v>420</v>
      </c>
      <c r="N286" s="1023">
        <v>2013</v>
      </c>
      <c r="O286" s="1023"/>
      <c r="P286" s="1087"/>
      <c r="Q286" s="1020"/>
      <c r="R286" s="1023"/>
      <c r="S286" s="1087" t="s">
        <v>12</v>
      </c>
      <c r="T286" s="894">
        <v>113211796.06274666</v>
      </c>
      <c r="U286" s="1088"/>
      <c r="V286" s="1120"/>
      <c r="W286" s="1124" t="str">
        <f t="shared" si="114"/>
        <v>03.11.02</v>
      </c>
      <c r="X286" s="884" t="str">
        <f t="shared" si="115"/>
        <v>Bangunan Gedung Tempat Tinggal</v>
      </c>
      <c r="Y286" s="884">
        <f t="shared" si="116"/>
        <v>50</v>
      </c>
      <c r="Z286" s="868">
        <f t="shared" ref="Z286:Z296" si="117">T286/Y286</f>
        <v>2264235.9212549333</v>
      </c>
      <c r="AA286" s="1051">
        <f t="shared" ref="AA286:AA296" si="118">IF(2013-N286&gt;Y286,Y286,IF(2013-N286&lt;0,0,2013-N286))</f>
        <v>0</v>
      </c>
      <c r="AB286" s="868">
        <f t="shared" ref="AB286:AB296" si="119">IF(AA286&gt;Y286,T286,Z286*AA286)</f>
        <v>0</v>
      </c>
      <c r="AC286" s="868">
        <f t="shared" ref="AC286:AC296" si="120">IF(T286=AB286,0,Z286)</f>
        <v>2264235.9212549333</v>
      </c>
      <c r="AD286" s="868">
        <f t="shared" ref="AD286:AD296" si="121">IF(T286=AB286+AC286,0,Z286)</f>
        <v>2264235.9212549333</v>
      </c>
      <c r="AE286" s="868">
        <f t="shared" ref="AE286:AE296" si="122">IF(T286=AB286+AC286+AD286,0,Z286)</f>
        <v>2264235.9212549333</v>
      </c>
      <c r="AF286" s="886">
        <f t="shared" ref="AF286:AF296" si="123">IF(T286=AB286+AC286+AD286+AE286,0,Z286)</f>
        <v>2264235.9212549333</v>
      </c>
      <c r="AG286" s="886">
        <f t="shared" ref="AG286:AG296" si="124">IF(T286=AB286+AC286+AD286+AE286+AF286,0,Z286)</f>
        <v>2264235.9212549333</v>
      </c>
      <c r="AH286" s="886">
        <f t="shared" ref="AH286:AH296" si="125">SUM(AB286:AG286)</f>
        <v>11321179.606274666</v>
      </c>
      <c r="AI286" s="1077">
        <f t="shared" si="113"/>
        <v>101890616.45647199</v>
      </c>
      <c r="AK286" s="1089"/>
    </row>
    <row r="287" spans="1:37" s="946" customFormat="1" ht="40.5" customHeight="1" x14ac:dyDescent="0.2">
      <c r="A287" s="1306"/>
      <c r="C287" s="1075" t="s">
        <v>2302</v>
      </c>
      <c r="D287" s="890"/>
      <c r="E287" s="907" t="s">
        <v>2699</v>
      </c>
      <c r="F287" s="917"/>
      <c r="G287" s="878" t="s">
        <v>2845</v>
      </c>
      <c r="H287" s="878"/>
      <c r="I287" s="861"/>
      <c r="J287" s="862"/>
      <c r="K287" s="862"/>
      <c r="L287" s="862"/>
      <c r="M287" s="863"/>
      <c r="N287" s="862">
        <v>2013</v>
      </c>
      <c r="O287" s="862"/>
      <c r="P287" s="903"/>
      <c r="Q287" s="861"/>
      <c r="R287" s="862"/>
      <c r="S287" s="903" t="s">
        <v>12</v>
      </c>
      <c r="T287" s="879">
        <v>518872308.79713184</v>
      </c>
      <c r="U287" s="1081"/>
      <c r="V287" s="1118"/>
      <c r="W287" s="1124" t="str">
        <f t="shared" si="114"/>
        <v>03.11.01</v>
      </c>
      <c r="X287" s="884" t="str">
        <f t="shared" si="115"/>
        <v>Bangunan Gedung Tempat Kerja</v>
      </c>
      <c r="Y287" s="884">
        <f t="shared" si="116"/>
        <v>50</v>
      </c>
      <c r="Z287" s="868">
        <f t="shared" si="117"/>
        <v>10377446.175942637</v>
      </c>
      <c r="AA287" s="1051">
        <f t="shared" si="118"/>
        <v>0</v>
      </c>
      <c r="AB287" s="868">
        <f t="shared" si="119"/>
        <v>0</v>
      </c>
      <c r="AC287" s="868">
        <f t="shared" si="120"/>
        <v>10377446.175942637</v>
      </c>
      <c r="AD287" s="868">
        <f t="shared" si="121"/>
        <v>10377446.175942637</v>
      </c>
      <c r="AE287" s="868">
        <f t="shared" si="122"/>
        <v>10377446.175942637</v>
      </c>
      <c r="AF287" s="886">
        <f t="shared" si="123"/>
        <v>10377446.175942637</v>
      </c>
      <c r="AG287" s="886">
        <f t="shared" si="124"/>
        <v>10377446.175942637</v>
      </c>
      <c r="AH287" s="886">
        <f t="shared" si="125"/>
        <v>51887230.879713185</v>
      </c>
      <c r="AI287" s="1077">
        <f t="shared" si="113"/>
        <v>466985077.91741866</v>
      </c>
    </row>
    <row r="288" spans="1:37" s="946" customFormat="1" ht="40.5" customHeight="1" x14ac:dyDescent="0.2">
      <c r="A288" s="1306"/>
      <c r="C288" s="1075" t="s">
        <v>2302</v>
      </c>
      <c r="D288" s="890"/>
      <c r="E288" s="907" t="s">
        <v>2780</v>
      </c>
      <c r="F288" s="917"/>
      <c r="G288" s="878" t="s">
        <v>2843</v>
      </c>
      <c r="H288" s="878"/>
      <c r="I288" s="861"/>
      <c r="J288" s="862"/>
      <c r="K288" s="862" t="s">
        <v>835</v>
      </c>
      <c r="L288" s="862"/>
      <c r="M288" s="863" t="s">
        <v>431</v>
      </c>
      <c r="N288" s="862">
        <v>2013</v>
      </c>
      <c r="O288" s="862"/>
      <c r="P288" s="903"/>
      <c r="Q288" s="861"/>
      <c r="R288" s="862"/>
      <c r="S288" s="903" t="s">
        <v>12</v>
      </c>
      <c r="T288" s="879">
        <v>7392750</v>
      </c>
      <c r="U288" s="1081"/>
      <c r="V288" s="1118"/>
      <c r="W288" s="1124" t="str">
        <f t="shared" si="114"/>
        <v>03.11.01</v>
      </c>
      <c r="X288" s="884" t="str">
        <f t="shared" si="115"/>
        <v>Bangunan Gedung Tempat Kerja</v>
      </c>
      <c r="Y288" s="884">
        <f t="shared" si="116"/>
        <v>50</v>
      </c>
      <c r="Z288" s="868">
        <f t="shared" si="117"/>
        <v>147855</v>
      </c>
      <c r="AA288" s="1051">
        <f t="shared" si="118"/>
        <v>0</v>
      </c>
      <c r="AB288" s="868">
        <f t="shared" si="119"/>
        <v>0</v>
      </c>
      <c r="AC288" s="868">
        <f t="shared" si="120"/>
        <v>147855</v>
      </c>
      <c r="AD288" s="868">
        <f t="shared" si="121"/>
        <v>147855</v>
      </c>
      <c r="AE288" s="868">
        <f t="shared" si="122"/>
        <v>147855</v>
      </c>
      <c r="AF288" s="886">
        <f t="shared" si="123"/>
        <v>147855</v>
      </c>
      <c r="AG288" s="886">
        <f t="shared" si="124"/>
        <v>147855</v>
      </c>
      <c r="AH288" s="886">
        <f t="shared" si="125"/>
        <v>739275</v>
      </c>
      <c r="AI288" s="1077">
        <f t="shared" si="113"/>
        <v>6653475</v>
      </c>
    </row>
    <row r="289" spans="1:37" s="1083" customFormat="1" ht="40.5" customHeight="1" x14ac:dyDescent="0.2">
      <c r="A289" s="1082">
        <v>47</v>
      </c>
      <c r="B289" s="1083" t="s">
        <v>2995</v>
      </c>
      <c r="C289" s="1084" t="s">
        <v>4246</v>
      </c>
      <c r="D289" s="892"/>
      <c r="E289" s="1085" t="s">
        <v>2757</v>
      </c>
      <c r="F289" s="1086"/>
      <c r="G289" s="893" t="s">
        <v>1752</v>
      </c>
      <c r="H289" s="893" t="s">
        <v>2089</v>
      </c>
      <c r="I289" s="1020" t="s">
        <v>43</v>
      </c>
      <c r="J289" s="1023" t="s">
        <v>1786</v>
      </c>
      <c r="K289" s="1023" t="s">
        <v>1934</v>
      </c>
      <c r="L289" s="1023"/>
      <c r="M289" s="1024" t="s">
        <v>1776</v>
      </c>
      <c r="N289" s="1023">
        <v>2013</v>
      </c>
      <c r="O289" s="1023" t="s">
        <v>2090</v>
      </c>
      <c r="P289" s="1087"/>
      <c r="Q289" s="1020"/>
      <c r="R289" s="1023"/>
      <c r="S289" s="1087" t="s">
        <v>12</v>
      </c>
      <c r="T289" s="894">
        <v>1435037000</v>
      </c>
      <c r="U289" s="1088"/>
      <c r="V289" s="1120"/>
      <c r="W289" s="1124" t="str">
        <f t="shared" si="114"/>
        <v>03.11.01</v>
      </c>
      <c r="X289" s="884" t="str">
        <f t="shared" si="115"/>
        <v>Bangunan Gedung Tempat Kerja</v>
      </c>
      <c r="Y289" s="884">
        <f t="shared" si="116"/>
        <v>50</v>
      </c>
      <c r="Z289" s="868">
        <f t="shared" si="117"/>
        <v>28700740</v>
      </c>
      <c r="AA289" s="1051">
        <f t="shared" si="118"/>
        <v>0</v>
      </c>
      <c r="AB289" s="868">
        <f t="shared" si="119"/>
        <v>0</v>
      </c>
      <c r="AC289" s="868">
        <f t="shared" si="120"/>
        <v>28700740</v>
      </c>
      <c r="AD289" s="868">
        <f t="shared" si="121"/>
        <v>28700740</v>
      </c>
      <c r="AE289" s="868">
        <f t="shared" si="122"/>
        <v>28700740</v>
      </c>
      <c r="AF289" s="886">
        <f t="shared" si="123"/>
        <v>28700740</v>
      </c>
      <c r="AG289" s="886">
        <f t="shared" si="124"/>
        <v>28700740</v>
      </c>
      <c r="AH289" s="886">
        <f t="shared" si="125"/>
        <v>143503700</v>
      </c>
      <c r="AI289" s="1077">
        <f t="shared" si="113"/>
        <v>1291533300</v>
      </c>
      <c r="AK289" s="1089"/>
    </row>
    <row r="290" spans="1:37" s="1083" customFormat="1" ht="40.5" customHeight="1" x14ac:dyDescent="0.2">
      <c r="A290" s="1082">
        <v>47</v>
      </c>
      <c r="B290" s="1083" t="s">
        <v>2995</v>
      </c>
      <c r="C290" s="1084" t="s">
        <v>4246</v>
      </c>
      <c r="D290" s="892"/>
      <c r="E290" s="1085" t="s">
        <v>2781</v>
      </c>
      <c r="F290" s="1086"/>
      <c r="G290" s="893" t="s">
        <v>1752</v>
      </c>
      <c r="H290" s="893"/>
      <c r="I290" s="1020"/>
      <c r="J290" s="1023"/>
      <c r="K290" s="1023"/>
      <c r="L290" s="1023"/>
      <c r="M290" s="1024" t="s">
        <v>420</v>
      </c>
      <c r="N290" s="1023">
        <v>2013</v>
      </c>
      <c r="O290" s="1023"/>
      <c r="P290" s="1087"/>
      <c r="Q290" s="1020"/>
      <c r="R290" s="1023"/>
      <c r="S290" s="1087" t="s">
        <v>12</v>
      </c>
      <c r="T290" s="894">
        <v>33253000</v>
      </c>
      <c r="U290" s="1088"/>
      <c r="V290" s="1120"/>
      <c r="W290" s="1124" t="str">
        <f t="shared" si="114"/>
        <v>03.11.01</v>
      </c>
      <c r="X290" s="884" t="str">
        <f t="shared" si="115"/>
        <v>Bangunan Gedung Tempat Kerja</v>
      </c>
      <c r="Y290" s="884">
        <f t="shared" si="116"/>
        <v>50</v>
      </c>
      <c r="Z290" s="868">
        <f t="shared" si="117"/>
        <v>665060</v>
      </c>
      <c r="AA290" s="1051">
        <f t="shared" si="118"/>
        <v>0</v>
      </c>
      <c r="AB290" s="868">
        <f t="shared" si="119"/>
        <v>0</v>
      </c>
      <c r="AC290" s="868">
        <f t="shared" si="120"/>
        <v>665060</v>
      </c>
      <c r="AD290" s="868">
        <f t="shared" si="121"/>
        <v>665060</v>
      </c>
      <c r="AE290" s="868">
        <f t="shared" si="122"/>
        <v>665060</v>
      </c>
      <c r="AF290" s="886">
        <f t="shared" si="123"/>
        <v>665060</v>
      </c>
      <c r="AG290" s="886">
        <f t="shared" si="124"/>
        <v>665060</v>
      </c>
      <c r="AH290" s="886">
        <f t="shared" si="125"/>
        <v>3325300</v>
      </c>
      <c r="AI290" s="1077">
        <f t="shared" si="113"/>
        <v>29927700</v>
      </c>
      <c r="AK290" s="1089"/>
    </row>
    <row r="291" spans="1:37" s="946" customFormat="1" ht="40.5" customHeight="1" x14ac:dyDescent="0.2">
      <c r="A291" s="1306"/>
      <c r="C291" s="1075" t="s">
        <v>2302</v>
      </c>
      <c r="D291" s="890"/>
      <c r="E291" s="907" t="s">
        <v>2783</v>
      </c>
      <c r="F291" s="917"/>
      <c r="G291" s="878" t="s">
        <v>2845</v>
      </c>
      <c r="H291" s="878"/>
      <c r="I291" s="861"/>
      <c r="J291" s="862"/>
      <c r="K291" s="862"/>
      <c r="L291" s="862"/>
      <c r="M291" s="863"/>
      <c r="N291" s="862">
        <v>2014</v>
      </c>
      <c r="O291" s="862"/>
      <c r="P291" s="903"/>
      <c r="Q291" s="861"/>
      <c r="R291" s="862"/>
      <c r="S291" s="903"/>
      <c r="T291" s="879">
        <v>340497000</v>
      </c>
      <c r="U291" s="1081"/>
      <c r="V291" s="1118"/>
      <c r="W291" s="1124" t="str">
        <f t="shared" si="114"/>
        <v>03.11.01</v>
      </c>
      <c r="X291" s="884" t="str">
        <f t="shared" si="115"/>
        <v>Bangunan Gedung Tempat Kerja</v>
      </c>
      <c r="Y291" s="884">
        <f t="shared" si="116"/>
        <v>50</v>
      </c>
      <c r="Z291" s="868">
        <f t="shared" si="117"/>
        <v>6809940</v>
      </c>
      <c r="AA291" s="1051">
        <f t="shared" si="118"/>
        <v>0</v>
      </c>
      <c r="AB291" s="868">
        <f t="shared" si="119"/>
        <v>0</v>
      </c>
      <c r="AC291" s="868">
        <f t="shared" si="120"/>
        <v>6809940</v>
      </c>
      <c r="AD291" s="868">
        <f t="shared" si="121"/>
        <v>6809940</v>
      </c>
      <c r="AE291" s="868">
        <f t="shared" si="122"/>
        <v>6809940</v>
      </c>
      <c r="AF291" s="886">
        <f t="shared" si="123"/>
        <v>6809940</v>
      </c>
      <c r="AG291" s="886">
        <f t="shared" si="124"/>
        <v>6809940</v>
      </c>
      <c r="AH291" s="886">
        <f t="shared" si="125"/>
        <v>34049700</v>
      </c>
      <c r="AI291" s="1077">
        <f t="shared" si="113"/>
        <v>306447300</v>
      </c>
    </row>
    <row r="292" spans="1:37" s="946" customFormat="1" ht="40.5" customHeight="1" x14ac:dyDescent="0.2">
      <c r="A292" s="1306"/>
      <c r="C292" s="1075" t="s">
        <v>2302</v>
      </c>
      <c r="D292" s="890"/>
      <c r="E292" s="907" t="s">
        <v>2784</v>
      </c>
      <c r="F292" s="917"/>
      <c r="G292" s="878" t="s">
        <v>1752</v>
      </c>
      <c r="H292" s="878" t="s">
        <v>1768</v>
      </c>
      <c r="I292" s="861" t="s">
        <v>43</v>
      </c>
      <c r="J292" s="862" t="s">
        <v>1786</v>
      </c>
      <c r="K292" s="862" t="s">
        <v>1934</v>
      </c>
      <c r="L292" s="862"/>
      <c r="M292" s="863" t="s">
        <v>2159</v>
      </c>
      <c r="N292" s="862">
        <v>2014</v>
      </c>
      <c r="O292" s="862" t="s">
        <v>2160</v>
      </c>
      <c r="P292" s="903"/>
      <c r="Q292" s="861"/>
      <c r="R292" s="862"/>
      <c r="S292" s="903"/>
      <c r="T292" s="879">
        <v>475767500</v>
      </c>
      <c r="U292" s="1081"/>
      <c r="V292" s="1118"/>
      <c r="W292" s="1124" t="str">
        <f t="shared" si="114"/>
        <v>03.11.01</v>
      </c>
      <c r="X292" s="884" t="str">
        <f t="shared" si="115"/>
        <v>Bangunan Gedung Tempat Kerja</v>
      </c>
      <c r="Y292" s="884">
        <f t="shared" si="116"/>
        <v>50</v>
      </c>
      <c r="Z292" s="868">
        <f t="shared" si="117"/>
        <v>9515350</v>
      </c>
      <c r="AA292" s="1051">
        <f t="shared" si="118"/>
        <v>0</v>
      </c>
      <c r="AB292" s="868">
        <f t="shared" si="119"/>
        <v>0</v>
      </c>
      <c r="AC292" s="868">
        <f t="shared" si="120"/>
        <v>9515350</v>
      </c>
      <c r="AD292" s="868">
        <f t="shared" si="121"/>
        <v>9515350</v>
      </c>
      <c r="AE292" s="868">
        <f t="shared" si="122"/>
        <v>9515350</v>
      </c>
      <c r="AF292" s="886">
        <f t="shared" si="123"/>
        <v>9515350</v>
      </c>
      <c r="AG292" s="886">
        <f t="shared" si="124"/>
        <v>9515350</v>
      </c>
      <c r="AH292" s="886">
        <f t="shared" si="125"/>
        <v>47576750</v>
      </c>
      <c r="AI292" s="1077">
        <f t="shared" si="113"/>
        <v>428190750</v>
      </c>
    </row>
    <row r="293" spans="1:37" s="946" customFormat="1" ht="40.5" customHeight="1" x14ac:dyDescent="0.2">
      <c r="A293" s="1306"/>
      <c r="C293" s="1075" t="s">
        <v>2302</v>
      </c>
      <c r="D293" s="890"/>
      <c r="E293" s="907" t="s">
        <v>2785</v>
      </c>
      <c r="F293" s="917"/>
      <c r="G293" s="878" t="s">
        <v>1752</v>
      </c>
      <c r="H293" s="878" t="s">
        <v>1855</v>
      </c>
      <c r="I293" s="861" t="s">
        <v>43</v>
      </c>
      <c r="J293" s="862" t="s">
        <v>1786</v>
      </c>
      <c r="K293" s="862" t="s">
        <v>1934</v>
      </c>
      <c r="L293" s="862"/>
      <c r="M293" s="863" t="s">
        <v>2162</v>
      </c>
      <c r="N293" s="862">
        <v>2014</v>
      </c>
      <c r="O293" s="862" t="s">
        <v>2160</v>
      </c>
      <c r="P293" s="903"/>
      <c r="Q293" s="861"/>
      <c r="R293" s="862"/>
      <c r="S293" s="903"/>
      <c r="T293" s="879">
        <v>2375871000</v>
      </c>
      <c r="U293" s="1081"/>
      <c r="V293" s="1118"/>
      <c r="W293" s="1124" t="str">
        <f t="shared" si="114"/>
        <v>03.11.01</v>
      </c>
      <c r="X293" s="884" t="str">
        <f t="shared" si="115"/>
        <v>Bangunan Gedung Tempat Kerja</v>
      </c>
      <c r="Y293" s="884">
        <f t="shared" si="116"/>
        <v>50</v>
      </c>
      <c r="Z293" s="868">
        <f t="shared" si="117"/>
        <v>47517420</v>
      </c>
      <c r="AA293" s="1051">
        <f t="shared" si="118"/>
        <v>0</v>
      </c>
      <c r="AB293" s="868">
        <f t="shared" si="119"/>
        <v>0</v>
      </c>
      <c r="AC293" s="868">
        <f t="shared" si="120"/>
        <v>47517420</v>
      </c>
      <c r="AD293" s="868">
        <f t="shared" si="121"/>
        <v>47517420</v>
      </c>
      <c r="AE293" s="868">
        <f t="shared" si="122"/>
        <v>47517420</v>
      </c>
      <c r="AF293" s="886">
        <f t="shared" si="123"/>
        <v>47517420</v>
      </c>
      <c r="AG293" s="886">
        <f t="shared" si="124"/>
        <v>47517420</v>
      </c>
      <c r="AH293" s="886">
        <f t="shared" si="125"/>
        <v>237587100</v>
      </c>
      <c r="AI293" s="1077">
        <f t="shared" si="113"/>
        <v>2138283900</v>
      </c>
    </row>
    <row r="294" spans="1:37" s="946" customFormat="1" ht="40.5" customHeight="1" x14ac:dyDescent="0.2">
      <c r="A294" s="1306"/>
      <c r="C294" s="1075" t="s">
        <v>2302</v>
      </c>
      <c r="D294" s="890"/>
      <c r="E294" s="907" t="s">
        <v>2787</v>
      </c>
      <c r="F294" s="917"/>
      <c r="G294" s="878" t="s">
        <v>1752</v>
      </c>
      <c r="H294" s="878" t="s">
        <v>1861</v>
      </c>
      <c r="I294" s="861" t="s">
        <v>43</v>
      </c>
      <c r="J294" s="862" t="s">
        <v>1786</v>
      </c>
      <c r="K294" s="862" t="s">
        <v>1934</v>
      </c>
      <c r="L294" s="862"/>
      <c r="M294" s="863" t="s">
        <v>2166</v>
      </c>
      <c r="N294" s="862">
        <v>2014</v>
      </c>
      <c r="O294" s="862" t="s">
        <v>2167</v>
      </c>
      <c r="P294" s="903"/>
      <c r="Q294" s="861"/>
      <c r="R294" s="862"/>
      <c r="S294" s="903"/>
      <c r="T294" s="879">
        <v>3973869000</v>
      </c>
      <c r="U294" s="1081"/>
      <c r="V294" s="1118"/>
      <c r="W294" s="1124" t="str">
        <f t="shared" si="114"/>
        <v>03.11.01</v>
      </c>
      <c r="X294" s="884" t="str">
        <f t="shared" si="115"/>
        <v>Bangunan Gedung Tempat Kerja</v>
      </c>
      <c r="Y294" s="884">
        <f t="shared" si="116"/>
        <v>50</v>
      </c>
      <c r="Z294" s="868">
        <f t="shared" si="117"/>
        <v>79477380</v>
      </c>
      <c r="AA294" s="1051">
        <f t="shared" si="118"/>
        <v>0</v>
      </c>
      <c r="AB294" s="868">
        <f t="shared" si="119"/>
        <v>0</v>
      </c>
      <c r="AC294" s="868">
        <f t="shared" si="120"/>
        <v>79477380</v>
      </c>
      <c r="AD294" s="868">
        <f t="shared" si="121"/>
        <v>79477380</v>
      </c>
      <c r="AE294" s="868">
        <f t="shared" si="122"/>
        <v>79477380</v>
      </c>
      <c r="AF294" s="886">
        <f t="shared" si="123"/>
        <v>79477380</v>
      </c>
      <c r="AG294" s="886">
        <f t="shared" si="124"/>
        <v>79477380</v>
      </c>
      <c r="AH294" s="886">
        <f t="shared" si="125"/>
        <v>397386900</v>
      </c>
      <c r="AI294" s="1077">
        <f t="shared" si="113"/>
        <v>3576482100</v>
      </c>
    </row>
    <row r="295" spans="1:37" s="946" customFormat="1" ht="40.5" customHeight="1" x14ac:dyDescent="0.2">
      <c r="A295" s="1306"/>
      <c r="C295" s="1075" t="s">
        <v>2302</v>
      </c>
      <c r="D295" s="890"/>
      <c r="E295" s="907" t="s">
        <v>2788</v>
      </c>
      <c r="F295" s="917"/>
      <c r="G295" s="878" t="s">
        <v>1752</v>
      </c>
      <c r="H295" s="878" t="s">
        <v>1861</v>
      </c>
      <c r="I295" s="861" t="s">
        <v>43</v>
      </c>
      <c r="J295" s="862" t="s">
        <v>1786</v>
      </c>
      <c r="K295" s="862" t="s">
        <v>1934</v>
      </c>
      <c r="L295" s="862"/>
      <c r="M295" s="863" t="s">
        <v>2169</v>
      </c>
      <c r="N295" s="862">
        <v>2014</v>
      </c>
      <c r="O295" s="862" t="s">
        <v>2170</v>
      </c>
      <c r="P295" s="903"/>
      <c r="Q295" s="861"/>
      <c r="R295" s="862"/>
      <c r="S295" s="903"/>
      <c r="T295" s="879">
        <v>619769000</v>
      </c>
      <c r="U295" s="1081"/>
      <c r="V295" s="1118"/>
      <c r="W295" s="1124" t="str">
        <f t="shared" si="114"/>
        <v>03.11.01</v>
      </c>
      <c r="X295" s="884" t="str">
        <f t="shared" si="115"/>
        <v>Bangunan Gedung Tempat Kerja</v>
      </c>
      <c r="Y295" s="884">
        <f t="shared" si="116"/>
        <v>50</v>
      </c>
      <c r="Z295" s="868">
        <f t="shared" si="117"/>
        <v>12395380</v>
      </c>
      <c r="AA295" s="1051">
        <f t="shared" si="118"/>
        <v>0</v>
      </c>
      <c r="AB295" s="868">
        <f t="shared" si="119"/>
        <v>0</v>
      </c>
      <c r="AC295" s="868">
        <f t="shared" si="120"/>
        <v>12395380</v>
      </c>
      <c r="AD295" s="868">
        <f t="shared" si="121"/>
        <v>12395380</v>
      </c>
      <c r="AE295" s="868">
        <f t="shared" si="122"/>
        <v>12395380</v>
      </c>
      <c r="AF295" s="886">
        <f t="shared" si="123"/>
        <v>12395380</v>
      </c>
      <c r="AG295" s="886">
        <f t="shared" si="124"/>
        <v>12395380</v>
      </c>
      <c r="AH295" s="886">
        <f t="shared" si="125"/>
        <v>61976900</v>
      </c>
      <c r="AI295" s="1077">
        <f t="shared" si="113"/>
        <v>557792100</v>
      </c>
    </row>
    <row r="296" spans="1:37" s="946" customFormat="1" ht="40.5" customHeight="1" x14ac:dyDescent="0.2">
      <c r="A296" s="1306"/>
      <c r="C296" s="1075" t="s">
        <v>2302</v>
      </c>
      <c r="D296" s="890"/>
      <c r="E296" s="907" t="s">
        <v>2789</v>
      </c>
      <c r="F296" s="917"/>
      <c r="G296" s="878" t="s">
        <v>2843</v>
      </c>
      <c r="H296" s="878" t="s">
        <v>1861</v>
      </c>
      <c r="I296" s="861" t="s">
        <v>43</v>
      </c>
      <c r="J296" s="862" t="s">
        <v>1786</v>
      </c>
      <c r="K296" s="862" t="s">
        <v>1934</v>
      </c>
      <c r="L296" s="862"/>
      <c r="M296" s="863" t="s">
        <v>2095</v>
      </c>
      <c r="N296" s="862">
        <v>2014</v>
      </c>
      <c r="O296" s="862" t="s">
        <v>2172</v>
      </c>
      <c r="P296" s="903"/>
      <c r="Q296" s="861"/>
      <c r="R296" s="862"/>
      <c r="S296" s="903"/>
      <c r="T296" s="879">
        <v>634567000</v>
      </c>
      <c r="U296" s="1081"/>
      <c r="V296" s="1118"/>
      <c r="W296" s="1124" t="str">
        <f t="shared" si="114"/>
        <v>03.11.01</v>
      </c>
      <c r="X296" s="884" t="str">
        <f t="shared" si="115"/>
        <v>Bangunan Gedung Tempat Kerja</v>
      </c>
      <c r="Y296" s="884">
        <f t="shared" si="116"/>
        <v>50</v>
      </c>
      <c r="Z296" s="868">
        <f t="shared" si="117"/>
        <v>12691340</v>
      </c>
      <c r="AA296" s="1051">
        <f t="shared" si="118"/>
        <v>0</v>
      </c>
      <c r="AB296" s="868">
        <f t="shared" si="119"/>
        <v>0</v>
      </c>
      <c r="AC296" s="868">
        <f t="shared" si="120"/>
        <v>12691340</v>
      </c>
      <c r="AD296" s="868">
        <f t="shared" si="121"/>
        <v>12691340</v>
      </c>
      <c r="AE296" s="868">
        <f t="shared" si="122"/>
        <v>12691340</v>
      </c>
      <c r="AF296" s="886">
        <f t="shared" si="123"/>
        <v>12691340</v>
      </c>
      <c r="AG296" s="886">
        <f t="shared" si="124"/>
        <v>12691340</v>
      </c>
      <c r="AH296" s="886">
        <f t="shared" si="125"/>
        <v>63456700</v>
      </c>
      <c r="AI296" s="1077">
        <f t="shared" si="113"/>
        <v>571110300</v>
      </c>
    </row>
    <row r="297" spans="1:37" s="670" customFormat="1" ht="40.5" customHeight="1" x14ac:dyDescent="0.2">
      <c r="A297" s="669">
        <v>41</v>
      </c>
      <c r="B297" s="670" t="s">
        <v>2977</v>
      </c>
      <c r="C297" s="773" t="s">
        <v>4247</v>
      </c>
      <c r="D297" s="652"/>
      <c r="E297" s="671" t="s">
        <v>2748</v>
      </c>
      <c r="F297" s="672"/>
      <c r="G297" s="653" t="s">
        <v>2843</v>
      </c>
      <c r="H297" s="653" t="s">
        <v>68</v>
      </c>
      <c r="I297" s="673" t="s">
        <v>43</v>
      </c>
      <c r="J297" s="674" t="s">
        <v>1786</v>
      </c>
      <c r="K297" s="674" t="s">
        <v>1934</v>
      </c>
      <c r="L297" s="674"/>
      <c r="M297" s="691" t="s">
        <v>1997</v>
      </c>
      <c r="N297" s="674">
        <v>2013</v>
      </c>
      <c r="O297" s="674" t="s">
        <v>2061</v>
      </c>
      <c r="P297" s="675"/>
      <c r="Q297" s="673"/>
      <c r="R297" s="674"/>
      <c r="S297" s="675" t="s">
        <v>12</v>
      </c>
      <c r="T297" s="654">
        <f>1345290000+F298</f>
        <v>2671822000</v>
      </c>
      <c r="U297" s="702"/>
      <c r="V297" s="1119"/>
      <c r="W297" s="647" t="str">
        <f t="shared" si="114"/>
        <v>03.11.01</v>
      </c>
      <c r="X297" s="648" t="str">
        <f t="shared" si="115"/>
        <v>Bangunan Gedung Tempat Kerja</v>
      </c>
      <c r="Y297" s="648">
        <f t="shared" si="116"/>
        <v>50</v>
      </c>
      <c r="Z297" s="649"/>
      <c r="AA297" s="718"/>
      <c r="AB297" s="649"/>
      <c r="AC297" s="649"/>
      <c r="AD297" s="649"/>
      <c r="AE297" s="649"/>
      <c r="AF297" s="649"/>
      <c r="AG297" s="650">
        <f>'PERHITUNGAN (C)'!U601</f>
        <v>52898324</v>
      </c>
      <c r="AH297" s="650">
        <f>'PERHITUNGAN (C)'!U606</f>
        <v>344295744</v>
      </c>
      <c r="AI297" s="677">
        <f t="shared" si="113"/>
        <v>2327526256</v>
      </c>
    </row>
    <row r="298" spans="1:37" s="48" customFormat="1" ht="40.5" customHeight="1" x14ac:dyDescent="0.2">
      <c r="A298" s="296">
        <v>41</v>
      </c>
      <c r="B298" s="48" t="s">
        <v>2977</v>
      </c>
      <c r="C298" s="772" t="s">
        <v>4247</v>
      </c>
      <c r="D298" s="73"/>
      <c r="E298" s="65" t="s">
        <v>2979</v>
      </c>
      <c r="F298" s="555">
        <v>1326532000</v>
      </c>
      <c r="G298" s="67" t="s">
        <v>2843</v>
      </c>
      <c r="H298" s="67" t="s">
        <v>1864</v>
      </c>
      <c r="I298" s="33" t="s">
        <v>43</v>
      </c>
      <c r="J298" s="40" t="s">
        <v>1786</v>
      </c>
      <c r="K298" s="40" t="s">
        <v>1934</v>
      </c>
      <c r="L298" s="40"/>
      <c r="M298" s="72" t="s">
        <v>841</v>
      </c>
      <c r="N298" s="40">
        <v>2014</v>
      </c>
      <c r="O298" s="40" t="s">
        <v>2174</v>
      </c>
      <c r="P298" s="32"/>
      <c r="Q298" s="33"/>
      <c r="R298" s="40"/>
      <c r="S298" s="32"/>
      <c r="T298" s="252"/>
      <c r="U298" s="105"/>
      <c r="V298" s="1116"/>
      <c r="W298" s="206" t="str">
        <f t="shared" si="114"/>
        <v>03.11.01</v>
      </c>
      <c r="X298" s="207" t="str">
        <f t="shared" si="115"/>
        <v>Bangunan Gedung Tempat Kerja</v>
      </c>
      <c r="Y298" s="207">
        <f t="shared" si="116"/>
        <v>50</v>
      </c>
      <c r="Z298" s="233"/>
      <c r="AA298" s="714"/>
      <c r="AB298" s="233"/>
      <c r="AC298" s="233"/>
      <c r="AD298" s="233"/>
      <c r="AE298" s="233"/>
      <c r="AF298" s="233"/>
      <c r="AG298" s="238"/>
      <c r="AH298" s="238"/>
      <c r="AI298" s="210">
        <f t="shared" si="113"/>
        <v>0</v>
      </c>
    </row>
    <row r="299" spans="1:37" s="946" customFormat="1" ht="40.5" customHeight="1" x14ac:dyDescent="0.2">
      <c r="A299" s="1306"/>
      <c r="C299" s="1075" t="s">
        <v>2302</v>
      </c>
      <c r="D299" s="890"/>
      <c r="E299" s="907" t="s">
        <v>2790</v>
      </c>
      <c r="F299" s="917"/>
      <c r="G299" s="878" t="s">
        <v>1752</v>
      </c>
      <c r="H299" s="878" t="s">
        <v>1870</v>
      </c>
      <c r="I299" s="861" t="s">
        <v>43</v>
      </c>
      <c r="J299" s="862" t="s">
        <v>1786</v>
      </c>
      <c r="K299" s="862" t="s">
        <v>1934</v>
      </c>
      <c r="L299" s="862"/>
      <c r="M299" s="863" t="s">
        <v>2176</v>
      </c>
      <c r="N299" s="862">
        <v>2014</v>
      </c>
      <c r="O299" s="862" t="s">
        <v>2177</v>
      </c>
      <c r="P299" s="903"/>
      <c r="Q299" s="861"/>
      <c r="R299" s="862"/>
      <c r="S299" s="903"/>
      <c r="T299" s="879">
        <v>442917500</v>
      </c>
      <c r="U299" s="1081"/>
      <c r="V299" s="1118"/>
      <c r="W299" s="1124" t="str">
        <f t="shared" si="114"/>
        <v>03.11.01</v>
      </c>
      <c r="X299" s="884" t="str">
        <f t="shared" si="115"/>
        <v>Bangunan Gedung Tempat Kerja</v>
      </c>
      <c r="Y299" s="884">
        <f t="shared" si="116"/>
        <v>50</v>
      </c>
      <c r="Z299" s="868">
        <f t="shared" ref="Z299:Z312" si="126">T299/Y299</f>
        <v>8858350</v>
      </c>
      <c r="AA299" s="1051">
        <f t="shared" ref="AA299:AA312" si="127">IF(2013-N299&gt;Y299,Y299,IF(2013-N299&lt;0,0,2013-N299))</f>
        <v>0</v>
      </c>
      <c r="AB299" s="868">
        <f t="shared" ref="AB299:AB312" si="128">IF(AA299&gt;Y299,T299,Z299*AA299)</f>
        <v>0</v>
      </c>
      <c r="AC299" s="868">
        <f t="shared" ref="AC299:AC311" si="129">IF(T299=AB299,0,Z299)</f>
        <v>8858350</v>
      </c>
      <c r="AD299" s="868">
        <f t="shared" ref="AD299:AD312" si="130">IF(T299=AB299+AC299,0,Z299)</f>
        <v>8858350</v>
      </c>
      <c r="AE299" s="868">
        <f t="shared" ref="AE299:AE312" si="131">IF(T299=AB299+AC299+AD299,0,Z299)</f>
        <v>8858350</v>
      </c>
      <c r="AF299" s="886">
        <f t="shared" ref="AF299:AF312" si="132">IF(T299=AB299+AC299+AD299+AE299,0,Z299)</f>
        <v>8858350</v>
      </c>
      <c r="AG299" s="886">
        <f t="shared" ref="AG299:AG312" si="133">IF(T299=AB299+AC299+AD299+AE299+AF299,0,Z299)</f>
        <v>8858350</v>
      </c>
      <c r="AH299" s="886">
        <f t="shared" ref="AH299:AH312" si="134">SUM(AB299:AG299)</f>
        <v>44291750</v>
      </c>
      <c r="AI299" s="1077">
        <f t="shared" si="113"/>
        <v>398625750</v>
      </c>
    </row>
    <row r="300" spans="1:37" s="946" customFormat="1" ht="40.5" customHeight="1" x14ac:dyDescent="0.2">
      <c r="A300" s="1306"/>
      <c r="C300" s="1075" t="s">
        <v>2302</v>
      </c>
      <c r="D300" s="890"/>
      <c r="E300" s="907" t="s">
        <v>2791</v>
      </c>
      <c r="F300" s="917"/>
      <c r="G300" s="878" t="s">
        <v>1752</v>
      </c>
      <c r="H300" s="878" t="s">
        <v>1888</v>
      </c>
      <c r="I300" s="861" t="s">
        <v>43</v>
      </c>
      <c r="J300" s="862" t="s">
        <v>1786</v>
      </c>
      <c r="K300" s="862" t="s">
        <v>1934</v>
      </c>
      <c r="L300" s="862"/>
      <c r="M300" s="863" t="s">
        <v>2179</v>
      </c>
      <c r="N300" s="862">
        <v>2014</v>
      </c>
      <c r="O300" s="862" t="s">
        <v>2180</v>
      </c>
      <c r="P300" s="903"/>
      <c r="Q300" s="861"/>
      <c r="R300" s="862"/>
      <c r="S300" s="903"/>
      <c r="T300" s="879">
        <v>463224500</v>
      </c>
      <c r="U300" s="1081"/>
      <c r="V300" s="1118"/>
      <c r="W300" s="1124" t="str">
        <f t="shared" si="114"/>
        <v>03.11.01</v>
      </c>
      <c r="X300" s="884" t="str">
        <f t="shared" si="115"/>
        <v>Bangunan Gedung Tempat Kerja</v>
      </c>
      <c r="Y300" s="884">
        <f t="shared" si="116"/>
        <v>50</v>
      </c>
      <c r="Z300" s="868">
        <f t="shared" si="126"/>
        <v>9264490</v>
      </c>
      <c r="AA300" s="1051">
        <f t="shared" si="127"/>
        <v>0</v>
      </c>
      <c r="AB300" s="868">
        <f t="shared" si="128"/>
        <v>0</v>
      </c>
      <c r="AC300" s="868">
        <f t="shared" si="129"/>
        <v>9264490</v>
      </c>
      <c r="AD300" s="868">
        <f t="shared" si="130"/>
        <v>9264490</v>
      </c>
      <c r="AE300" s="868">
        <f t="shared" si="131"/>
        <v>9264490</v>
      </c>
      <c r="AF300" s="886">
        <f t="shared" si="132"/>
        <v>9264490</v>
      </c>
      <c r="AG300" s="886">
        <f t="shared" si="133"/>
        <v>9264490</v>
      </c>
      <c r="AH300" s="886">
        <f t="shared" si="134"/>
        <v>46322450</v>
      </c>
      <c r="AI300" s="1077">
        <f t="shared" si="113"/>
        <v>416902050</v>
      </c>
    </row>
    <row r="301" spans="1:37" s="946" customFormat="1" ht="40.5" customHeight="1" x14ac:dyDescent="0.2">
      <c r="A301" s="1306"/>
      <c r="C301" s="1075" t="s">
        <v>2302</v>
      </c>
      <c r="D301" s="890"/>
      <c r="E301" s="907" t="s">
        <v>2792</v>
      </c>
      <c r="F301" s="917"/>
      <c r="G301" s="878" t="s">
        <v>1752</v>
      </c>
      <c r="H301" s="878" t="s">
        <v>1895</v>
      </c>
      <c r="I301" s="861" t="s">
        <v>43</v>
      </c>
      <c r="J301" s="862" t="s">
        <v>1786</v>
      </c>
      <c r="K301" s="862" t="s">
        <v>1934</v>
      </c>
      <c r="L301" s="862"/>
      <c r="M301" s="863" t="s">
        <v>2182</v>
      </c>
      <c r="N301" s="862">
        <v>2014</v>
      </c>
      <c r="O301" s="862" t="s">
        <v>2183</v>
      </c>
      <c r="P301" s="903"/>
      <c r="Q301" s="861"/>
      <c r="R301" s="862"/>
      <c r="S301" s="903"/>
      <c r="T301" s="879">
        <v>458480000</v>
      </c>
      <c r="U301" s="1081"/>
      <c r="V301" s="1118"/>
      <c r="W301" s="1124" t="str">
        <f t="shared" si="114"/>
        <v>03.11.01</v>
      </c>
      <c r="X301" s="884" t="str">
        <f t="shared" si="115"/>
        <v>Bangunan Gedung Tempat Kerja</v>
      </c>
      <c r="Y301" s="884">
        <f t="shared" si="116"/>
        <v>50</v>
      </c>
      <c r="Z301" s="868">
        <f t="shared" si="126"/>
        <v>9169600</v>
      </c>
      <c r="AA301" s="1051">
        <f t="shared" si="127"/>
        <v>0</v>
      </c>
      <c r="AB301" s="868">
        <f t="shared" si="128"/>
        <v>0</v>
      </c>
      <c r="AC301" s="868">
        <f t="shared" si="129"/>
        <v>9169600</v>
      </c>
      <c r="AD301" s="868">
        <f t="shared" si="130"/>
        <v>9169600</v>
      </c>
      <c r="AE301" s="868">
        <f t="shared" si="131"/>
        <v>9169600</v>
      </c>
      <c r="AF301" s="886">
        <f t="shared" si="132"/>
        <v>9169600</v>
      </c>
      <c r="AG301" s="886">
        <f t="shared" si="133"/>
        <v>9169600</v>
      </c>
      <c r="AH301" s="886">
        <f t="shared" si="134"/>
        <v>45848000</v>
      </c>
      <c r="AI301" s="1077">
        <f t="shared" si="113"/>
        <v>412632000</v>
      </c>
    </row>
    <row r="302" spans="1:37" s="946" customFormat="1" ht="40.5" customHeight="1" x14ac:dyDescent="0.2">
      <c r="A302" s="1306"/>
      <c r="C302" s="1075" t="s">
        <v>2302</v>
      </c>
      <c r="D302" s="890"/>
      <c r="E302" s="907" t="s">
        <v>2793</v>
      </c>
      <c r="F302" s="917"/>
      <c r="G302" s="878" t="s">
        <v>1752</v>
      </c>
      <c r="H302" s="878" t="s">
        <v>1899</v>
      </c>
      <c r="I302" s="861" t="s">
        <v>43</v>
      </c>
      <c r="J302" s="862" t="s">
        <v>1786</v>
      </c>
      <c r="K302" s="862" t="s">
        <v>1934</v>
      </c>
      <c r="L302" s="862"/>
      <c r="M302" s="863" t="s">
        <v>838</v>
      </c>
      <c r="N302" s="862">
        <v>2014</v>
      </c>
      <c r="O302" s="862" t="s">
        <v>2185</v>
      </c>
      <c r="P302" s="903"/>
      <c r="Q302" s="861"/>
      <c r="R302" s="862"/>
      <c r="S302" s="903"/>
      <c r="T302" s="879">
        <v>480055500</v>
      </c>
      <c r="U302" s="1081"/>
      <c r="V302" s="1118"/>
      <c r="W302" s="1124" t="str">
        <f t="shared" si="114"/>
        <v>03.11.01</v>
      </c>
      <c r="X302" s="884" t="str">
        <f t="shared" si="115"/>
        <v>Bangunan Gedung Tempat Kerja</v>
      </c>
      <c r="Y302" s="884">
        <f t="shared" si="116"/>
        <v>50</v>
      </c>
      <c r="Z302" s="868">
        <f t="shared" si="126"/>
        <v>9601110</v>
      </c>
      <c r="AA302" s="1051">
        <f t="shared" si="127"/>
        <v>0</v>
      </c>
      <c r="AB302" s="868">
        <f t="shared" si="128"/>
        <v>0</v>
      </c>
      <c r="AC302" s="868">
        <f t="shared" si="129"/>
        <v>9601110</v>
      </c>
      <c r="AD302" s="868">
        <f t="shared" si="130"/>
        <v>9601110</v>
      </c>
      <c r="AE302" s="868">
        <f t="shared" si="131"/>
        <v>9601110</v>
      </c>
      <c r="AF302" s="886">
        <f t="shared" si="132"/>
        <v>9601110</v>
      </c>
      <c r="AG302" s="886">
        <f t="shared" si="133"/>
        <v>9601110</v>
      </c>
      <c r="AH302" s="886">
        <f t="shared" si="134"/>
        <v>48005550</v>
      </c>
      <c r="AI302" s="1077">
        <f t="shared" si="113"/>
        <v>432049950</v>
      </c>
    </row>
    <row r="303" spans="1:37" s="946" customFormat="1" ht="40.5" customHeight="1" x14ac:dyDescent="0.2">
      <c r="A303" s="1306"/>
      <c r="C303" s="1075" t="s">
        <v>2302</v>
      </c>
      <c r="D303" s="890"/>
      <c r="E303" s="907" t="s">
        <v>2794</v>
      </c>
      <c r="F303" s="917"/>
      <c r="G303" s="878" t="s">
        <v>1752</v>
      </c>
      <c r="H303" s="878" t="s">
        <v>1701</v>
      </c>
      <c r="I303" s="861" t="s">
        <v>43</v>
      </c>
      <c r="J303" s="862" t="s">
        <v>1786</v>
      </c>
      <c r="K303" s="862" t="s">
        <v>1934</v>
      </c>
      <c r="L303" s="862"/>
      <c r="M303" s="863" t="s">
        <v>2058</v>
      </c>
      <c r="N303" s="862">
        <v>2014</v>
      </c>
      <c r="O303" s="862" t="s">
        <v>2187</v>
      </c>
      <c r="P303" s="903"/>
      <c r="Q303" s="861"/>
      <c r="R303" s="862"/>
      <c r="S303" s="903"/>
      <c r="T303" s="879">
        <v>463021000</v>
      </c>
      <c r="U303" s="1081"/>
      <c r="V303" s="1118"/>
      <c r="W303" s="1124" t="str">
        <f t="shared" si="114"/>
        <v>03.11.01</v>
      </c>
      <c r="X303" s="884" t="str">
        <f t="shared" si="115"/>
        <v>Bangunan Gedung Tempat Kerja</v>
      </c>
      <c r="Y303" s="884">
        <f t="shared" si="116"/>
        <v>50</v>
      </c>
      <c r="Z303" s="868">
        <f t="shared" si="126"/>
        <v>9260420</v>
      </c>
      <c r="AA303" s="1051">
        <f t="shared" si="127"/>
        <v>0</v>
      </c>
      <c r="AB303" s="868">
        <f t="shared" si="128"/>
        <v>0</v>
      </c>
      <c r="AC303" s="868">
        <f t="shared" si="129"/>
        <v>9260420</v>
      </c>
      <c r="AD303" s="868">
        <f t="shared" si="130"/>
        <v>9260420</v>
      </c>
      <c r="AE303" s="868">
        <f t="shared" si="131"/>
        <v>9260420</v>
      </c>
      <c r="AF303" s="886">
        <f t="shared" si="132"/>
        <v>9260420</v>
      </c>
      <c r="AG303" s="886">
        <f t="shared" si="133"/>
        <v>9260420</v>
      </c>
      <c r="AH303" s="886">
        <f t="shared" si="134"/>
        <v>46302100</v>
      </c>
      <c r="AI303" s="1077">
        <f t="shared" si="113"/>
        <v>416718900</v>
      </c>
    </row>
    <row r="304" spans="1:37" s="946" customFormat="1" ht="40.5" customHeight="1" x14ac:dyDescent="0.2">
      <c r="A304" s="1306"/>
      <c r="C304" s="1075" t="s">
        <v>2302</v>
      </c>
      <c r="D304" s="890"/>
      <c r="E304" s="907" t="s">
        <v>2795</v>
      </c>
      <c r="F304" s="917"/>
      <c r="G304" s="878" t="s">
        <v>1752</v>
      </c>
      <c r="H304" s="878" t="s">
        <v>1906</v>
      </c>
      <c r="I304" s="861" t="s">
        <v>43</v>
      </c>
      <c r="J304" s="862" t="s">
        <v>1786</v>
      </c>
      <c r="K304" s="862" t="s">
        <v>1934</v>
      </c>
      <c r="L304" s="862"/>
      <c r="M304" s="863" t="s">
        <v>2003</v>
      </c>
      <c r="N304" s="862">
        <v>2014</v>
      </c>
      <c r="O304" s="862" t="s">
        <v>2189</v>
      </c>
      <c r="P304" s="903"/>
      <c r="Q304" s="861"/>
      <c r="R304" s="862"/>
      <c r="S304" s="903"/>
      <c r="T304" s="879">
        <v>484939000</v>
      </c>
      <c r="U304" s="1081"/>
      <c r="V304" s="1118"/>
      <c r="W304" s="1124" t="str">
        <f t="shared" si="114"/>
        <v>03.11.01</v>
      </c>
      <c r="X304" s="884" t="str">
        <f t="shared" si="115"/>
        <v>Bangunan Gedung Tempat Kerja</v>
      </c>
      <c r="Y304" s="884">
        <f t="shared" si="116"/>
        <v>50</v>
      </c>
      <c r="Z304" s="868">
        <f t="shared" si="126"/>
        <v>9698780</v>
      </c>
      <c r="AA304" s="1051">
        <f t="shared" si="127"/>
        <v>0</v>
      </c>
      <c r="AB304" s="868">
        <f t="shared" si="128"/>
        <v>0</v>
      </c>
      <c r="AC304" s="868">
        <f t="shared" si="129"/>
        <v>9698780</v>
      </c>
      <c r="AD304" s="868">
        <f t="shared" si="130"/>
        <v>9698780</v>
      </c>
      <c r="AE304" s="868">
        <f t="shared" si="131"/>
        <v>9698780</v>
      </c>
      <c r="AF304" s="886">
        <f t="shared" si="132"/>
        <v>9698780</v>
      </c>
      <c r="AG304" s="886">
        <f t="shared" si="133"/>
        <v>9698780</v>
      </c>
      <c r="AH304" s="886">
        <f t="shared" si="134"/>
        <v>48493900</v>
      </c>
      <c r="AI304" s="1077">
        <f t="shared" si="113"/>
        <v>436445100</v>
      </c>
    </row>
    <row r="305" spans="1:35" s="946" customFormat="1" ht="40.5" customHeight="1" x14ac:dyDescent="0.2">
      <c r="A305" s="1306"/>
      <c r="C305" s="1075" t="s">
        <v>2302</v>
      </c>
      <c r="D305" s="890"/>
      <c r="E305" s="907" t="s">
        <v>2796</v>
      </c>
      <c r="F305" s="917"/>
      <c r="G305" s="878" t="s">
        <v>1752</v>
      </c>
      <c r="H305" s="878" t="s">
        <v>1910</v>
      </c>
      <c r="I305" s="861" t="s">
        <v>43</v>
      </c>
      <c r="J305" s="862" t="s">
        <v>1786</v>
      </c>
      <c r="K305" s="862" t="s">
        <v>1934</v>
      </c>
      <c r="L305" s="862"/>
      <c r="M305" s="863" t="s">
        <v>2058</v>
      </c>
      <c r="N305" s="862">
        <v>2014</v>
      </c>
      <c r="O305" s="862" t="s">
        <v>2191</v>
      </c>
      <c r="P305" s="903"/>
      <c r="Q305" s="861"/>
      <c r="R305" s="862"/>
      <c r="S305" s="903"/>
      <c r="T305" s="879">
        <v>483753000</v>
      </c>
      <c r="U305" s="1081"/>
      <c r="V305" s="1118"/>
      <c r="W305" s="1124" t="str">
        <f t="shared" si="114"/>
        <v>03.11.01</v>
      </c>
      <c r="X305" s="884" t="str">
        <f t="shared" si="115"/>
        <v>Bangunan Gedung Tempat Kerja</v>
      </c>
      <c r="Y305" s="884">
        <f t="shared" si="116"/>
        <v>50</v>
      </c>
      <c r="Z305" s="868">
        <f t="shared" si="126"/>
        <v>9675060</v>
      </c>
      <c r="AA305" s="1051">
        <f t="shared" si="127"/>
        <v>0</v>
      </c>
      <c r="AB305" s="868">
        <f t="shared" si="128"/>
        <v>0</v>
      </c>
      <c r="AC305" s="868">
        <f t="shared" si="129"/>
        <v>9675060</v>
      </c>
      <c r="AD305" s="868">
        <f t="shared" si="130"/>
        <v>9675060</v>
      </c>
      <c r="AE305" s="868">
        <f t="shared" si="131"/>
        <v>9675060</v>
      </c>
      <c r="AF305" s="886">
        <f t="shared" si="132"/>
        <v>9675060</v>
      </c>
      <c r="AG305" s="886">
        <f t="shared" si="133"/>
        <v>9675060</v>
      </c>
      <c r="AH305" s="886">
        <f t="shared" si="134"/>
        <v>48375300</v>
      </c>
      <c r="AI305" s="1077">
        <f t="shared" si="113"/>
        <v>435377700</v>
      </c>
    </row>
    <row r="306" spans="1:35" s="946" customFormat="1" ht="40.5" customHeight="1" x14ac:dyDescent="0.2">
      <c r="A306" s="1306"/>
      <c r="C306" s="1075" t="s">
        <v>2302</v>
      </c>
      <c r="D306" s="890"/>
      <c r="E306" s="907" t="s">
        <v>2797</v>
      </c>
      <c r="F306" s="917"/>
      <c r="G306" s="878" t="s">
        <v>1752</v>
      </c>
      <c r="H306" s="878" t="s">
        <v>1913</v>
      </c>
      <c r="I306" s="861" t="s">
        <v>43</v>
      </c>
      <c r="J306" s="862" t="s">
        <v>1786</v>
      </c>
      <c r="K306" s="862" t="s">
        <v>1934</v>
      </c>
      <c r="L306" s="862"/>
      <c r="M306" s="863" t="s">
        <v>2063</v>
      </c>
      <c r="N306" s="862">
        <v>2014</v>
      </c>
      <c r="O306" s="862" t="s">
        <v>2193</v>
      </c>
      <c r="P306" s="903"/>
      <c r="Q306" s="861"/>
      <c r="R306" s="862"/>
      <c r="S306" s="903"/>
      <c r="T306" s="879">
        <v>470472500</v>
      </c>
      <c r="U306" s="1081"/>
      <c r="V306" s="1118"/>
      <c r="W306" s="1124" t="str">
        <f t="shared" si="114"/>
        <v>03.11.01</v>
      </c>
      <c r="X306" s="884" t="str">
        <f t="shared" si="115"/>
        <v>Bangunan Gedung Tempat Kerja</v>
      </c>
      <c r="Y306" s="884">
        <f t="shared" si="116"/>
        <v>50</v>
      </c>
      <c r="Z306" s="868">
        <f t="shared" si="126"/>
        <v>9409450</v>
      </c>
      <c r="AA306" s="1051">
        <f t="shared" si="127"/>
        <v>0</v>
      </c>
      <c r="AB306" s="868">
        <f t="shared" si="128"/>
        <v>0</v>
      </c>
      <c r="AC306" s="868">
        <f t="shared" si="129"/>
        <v>9409450</v>
      </c>
      <c r="AD306" s="868">
        <f t="shared" si="130"/>
        <v>9409450</v>
      </c>
      <c r="AE306" s="868">
        <f t="shared" si="131"/>
        <v>9409450</v>
      </c>
      <c r="AF306" s="886">
        <f t="shared" si="132"/>
        <v>9409450</v>
      </c>
      <c r="AG306" s="886">
        <f t="shared" si="133"/>
        <v>9409450</v>
      </c>
      <c r="AH306" s="886">
        <f t="shared" si="134"/>
        <v>47047250</v>
      </c>
      <c r="AI306" s="1077">
        <f t="shared" si="113"/>
        <v>423425250</v>
      </c>
    </row>
    <row r="307" spans="1:35" s="946" customFormat="1" ht="40.5" customHeight="1" x14ac:dyDescent="0.2">
      <c r="A307" s="1306"/>
      <c r="C307" s="1075" t="s">
        <v>2302</v>
      </c>
      <c r="D307" s="890"/>
      <c r="E307" s="907" t="s">
        <v>2798</v>
      </c>
      <c r="F307" s="917"/>
      <c r="G307" s="878" t="s">
        <v>1752</v>
      </c>
      <c r="H307" s="878" t="s">
        <v>1916</v>
      </c>
      <c r="I307" s="861" t="s">
        <v>43</v>
      </c>
      <c r="J307" s="862" t="s">
        <v>1786</v>
      </c>
      <c r="K307" s="862" t="s">
        <v>1934</v>
      </c>
      <c r="L307" s="862"/>
      <c r="M307" s="863" t="s">
        <v>2195</v>
      </c>
      <c r="N307" s="862">
        <v>2014</v>
      </c>
      <c r="O307" s="862" t="s">
        <v>2196</v>
      </c>
      <c r="P307" s="903"/>
      <c r="Q307" s="861"/>
      <c r="R307" s="862"/>
      <c r="S307" s="903"/>
      <c r="T307" s="879">
        <v>465972500</v>
      </c>
      <c r="U307" s="1081"/>
      <c r="V307" s="1118"/>
      <c r="W307" s="1124" t="str">
        <f t="shared" si="114"/>
        <v>03.11.01</v>
      </c>
      <c r="X307" s="884" t="str">
        <f t="shared" si="115"/>
        <v>Bangunan Gedung Tempat Kerja</v>
      </c>
      <c r="Y307" s="884">
        <f t="shared" si="116"/>
        <v>50</v>
      </c>
      <c r="Z307" s="868">
        <f t="shared" si="126"/>
        <v>9319450</v>
      </c>
      <c r="AA307" s="1051">
        <f t="shared" si="127"/>
        <v>0</v>
      </c>
      <c r="AB307" s="868">
        <f t="shared" si="128"/>
        <v>0</v>
      </c>
      <c r="AC307" s="868">
        <f t="shared" si="129"/>
        <v>9319450</v>
      </c>
      <c r="AD307" s="868">
        <f t="shared" si="130"/>
        <v>9319450</v>
      </c>
      <c r="AE307" s="868">
        <f t="shared" si="131"/>
        <v>9319450</v>
      </c>
      <c r="AF307" s="886">
        <f t="shared" si="132"/>
        <v>9319450</v>
      </c>
      <c r="AG307" s="886">
        <f t="shared" si="133"/>
        <v>9319450</v>
      </c>
      <c r="AH307" s="886">
        <f t="shared" si="134"/>
        <v>46597250</v>
      </c>
      <c r="AI307" s="1077">
        <f t="shared" si="113"/>
        <v>419375250</v>
      </c>
    </row>
    <row r="308" spans="1:35" s="946" customFormat="1" ht="40.5" customHeight="1" x14ac:dyDescent="0.2">
      <c r="A308" s="1306"/>
      <c r="C308" s="1075" t="s">
        <v>2302</v>
      </c>
      <c r="D308" s="890"/>
      <c r="E308" s="907" t="s">
        <v>2799</v>
      </c>
      <c r="F308" s="917"/>
      <c r="G308" s="878" t="s">
        <v>1752</v>
      </c>
      <c r="H308" s="878" t="s">
        <v>1920</v>
      </c>
      <c r="I308" s="861" t="s">
        <v>43</v>
      </c>
      <c r="J308" s="862" t="s">
        <v>1786</v>
      </c>
      <c r="K308" s="862" t="s">
        <v>1934</v>
      </c>
      <c r="L308" s="862"/>
      <c r="M308" s="863" t="s">
        <v>2127</v>
      </c>
      <c r="N308" s="862">
        <v>2014</v>
      </c>
      <c r="O308" s="862" t="s">
        <v>2196</v>
      </c>
      <c r="P308" s="903"/>
      <c r="Q308" s="861"/>
      <c r="R308" s="862"/>
      <c r="S308" s="903"/>
      <c r="T308" s="879">
        <v>456553500</v>
      </c>
      <c r="U308" s="1081"/>
      <c r="V308" s="1118"/>
      <c r="W308" s="1124" t="str">
        <f t="shared" si="114"/>
        <v>03.11.01</v>
      </c>
      <c r="X308" s="884" t="str">
        <f t="shared" si="115"/>
        <v>Bangunan Gedung Tempat Kerja</v>
      </c>
      <c r="Y308" s="884">
        <f t="shared" si="116"/>
        <v>50</v>
      </c>
      <c r="Z308" s="868">
        <f t="shared" si="126"/>
        <v>9131070</v>
      </c>
      <c r="AA308" s="1051">
        <f t="shared" si="127"/>
        <v>0</v>
      </c>
      <c r="AB308" s="868">
        <f t="shared" si="128"/>
        <v>0</v>
      </c>
      <c r="AC308" s="868">
        <f t="shared" si="129"/>
        <v>9131070</v>
      </c>
      <c r="AD308" s="868">
        <f t="shared" si="130"/>
        <v>9131070</v>
      </c>
      <c r="AE308" s="868">
        <f t="shared" si="131"/>
        <v>9131070</v>
      </c>
      <c r="AF308" s="886">
        <f t="shared" si="132"/>
        <v>9131070</v>
      </c>
      <c r="AG308" s="886">
        <f t="shared" si="133"/>
        <v>9131070</v>
      </c>
      <c r="AH308" s="886">
        <f t="shared" si="134"/>
        <v>45655350</v>
      </c>
      <c r="AI308" s="1077">
        <f t="shared" si="113"/>
        <v>410898150</v>
      </c>
    </row>
    <row r="309" spans="1:35" s="946" customFormat="1" ht="40.5" customHeight="1" x14ac:dyDescent="0.2">
      <c r="A309" s="1306"/>
      <c r="C309" s="1075" t="s">
        <v>2302</v>
      </c>
      <c r="D309" s="890"/>
      <c r="E309" s="907" t="s">
        <v>2800</v>
      </c>
      <c r="F309" s="917"/>
      <c r="G309" s="878" t="s">
        <v>1752</v>
      </c>
      <c r="H309" s="878" t="s">
        <v>1924</v>
      </c>
      <c r="I309" s="861" t="s">
        <v>43</v>
      </c>
      <c r="J309" s="862" t="s">
        <v>1786</v>
      </c>
      <c r="K309" s="862" t="s">
        <v>1934</v>
      </c>
      <c r="L309" s="862"/>
      <c r="M309" s="863" t="s">
        <v>2199</v>
      </c>
      <c r="N309" s="862">
        <v>2014</v>
      </c>
      <c r="O309" s="862" t="s">
        <v>2200</v>
      </c>
      <c r="P309" s="903"/>
      <c r="Q309" s="861"/>
      <c r="R309" s="862"/>
      <c r="S309" s="903"/>
      <c r="T309" s="879">
        <v>469934500</v>
      </c>
      <c r="U309" s="1081"/>
      <c r="V309" s="1118"/>
      <c r="W309" s="1124" t="str">
        <f t="shared" si="114"/>
        <v>03.11.01</v>
      </c>
      <c r="X309" s="884" t="str">
        <f t="shared" si="115"/>
        <v>Bangunan Gedung Tempat Kerja</v>
      </c>
      <c r="Y309" s="884">
        <f t="shared" si="116"/>
        <v>50</v>
      </c>
      <c r="Z309" s="868">
        <f t="shared" si="126"/>
        <v>9398690</v>
      </c>
      <c r="AA309" s="1051">
        <f t="shared" si="127"/>
        <v>0</v>
      </c>
      <c r="AB309" s="868">
        <f t="shared" si="128"/>
        <v>0</v>
      </c>
      <c r="AC309" s="868">
        <f t="shared" si="129"/>
        <v>9398690</v>
      </c>
      <c r="AD309" s="868">
        <f t="shared" si="130"/>
        <v>9398690</v>
      </c>
      <c r="AE309" s="868">
        <f t="shared" si="131"/>
        <v>9398690</v>
      </c>
      <c r="AF309" s="886">
        <f t="shared" si="132"/>
        <v>9398690</v>
      </c>
      <c r="AG309" s="886">
        <f t="shared" si="133"/>
        <v>9398690</v>
      </c>
      <c r="AH309" s="886">
        <f t="shared" si="134"/>
        <v>46993450</v>
      </c>
      <c r="AI309" s="1077">
        <f t="shared" si="113"/>
        <v>422941050</v>
      </c>
    </row>
    <row r="310" spans="1:35" s="946" customFormat="1" ht="40.5" customHeight="1" x14ac:dyDescent="0.2">
      <c r="A310" s="1306"/>
      <c r="C310" s="1075" t="s">
        <v>2302</v>
      </c>
      <c r="D310" s="890"/>
      <c r="E310" s="907" t="s">
        <v>2801</v>
      </c>
      <c r="F310" s="917"/>
      <c r="G310" s="878" t="s">
        <v>1752</v>
      </c>
      <c r="H310" s="878" t="s">
        <v>2202</v>
      </c>
      <c r="I310" s="861" t="s">
        <v>43</v>
      </c>
      <c r="J310" s="862" t="s">
        <v>1786</v>
      </c>
      <c r="K310" s="862" t="s">
        <v>1934</v>
      </c>
      <c r="L310" s="862"/>
      <c r="M310" s="863" t="s">
        <v>2058</v>
      </c>
      <c r="N310" s="862">
        <v>2014</v>
      </c>
      <c r="O310" s="862" t="s">
        <v>2203</v>
      </c>
      <c r="P310" s="903"/>
      <c r="Q310" s="861"/>
      <c r="R310" s="862"/>
      <c r="S310" s="903"/>
      <c r="T310" s="879">
        <v>551109500</v>
      </c>
      <c r="U310" s="1081"/>
      <c r="V310" s="1118"/>
      <c r="W310" s="1124" t="str">
        <f t="shared" si="114"/>
        <v>03.11.01</v>
      </c>
      <c r="X310" s="884" t="str">
        <f t="shared" si="115"/>
        <v>Bangunan Gedung Tempat Kerja</v>
      </c>
      <c r="Y310" s="884">
        <f t="shared" si="116"/>
        <v>50</v>
      </c>
      <c r="Z310" s="868">
        <f t="shared" si="126"/>
        <v>11022190</v>
      </c>
      <c r="AA310" s="1051">
        <f t="shared" si="127"/>
        <v>0</v>
      </c>
      <c r="AB310" s="868">
        <f t="shared" si="128"/>
        <v>0</v>
      </c>
      <c r="AC310" s="868">
        <f t="shared" si="129"/>
        <v>11022190</v>
      </c>
      <c r="AD310" s="868">
        <f t="shared" si="130"/>
        <v>11022190</v>
      </c>
      <c r="AE310" s="868">
        <f t="shared" si="131"/>
        <v>11022190</v>
      </c>
      <c r="AF310" s="886">
        <f t="shared" si="132"/>
        <v>11022190</v>
      </c>
      <c r="AG310" s="886">
        <f t="shared" si="133"/>
        <v>11022190</v>
      </c>
      <c r="AH310" s="886">
        <f t="shared" si="134"/>
        <v>55110950</v>
      </c>
      <c r="AI310" s="1077">
        <f t="shared" si="113"/>
        <v>495998550</v>
      </c>
    </row>
    <row r="311" spans="1:35" s="946" customFormat="1" ht="40.5" customHeight="1" x14ac:dyDescent="0.2">
      <c r="A311" s="1306"/>
      <c r="C311" s="1075" t="s">
        <v>2302</v>
      </c>
      <c r="D311" s="890"/>
      <c r="E311" s="907" t="s">
        <v>2805</v>
      </c>
      <c r="F311" s="917"/>
      <c r="G311" s="878" t="s">
        <v>1752</v>
      </c>
      <c r="H311" s="878" t="s">
        <v>2214</v>
      </c>
      <c r="I311" s="861" t="s">
        <v>43</v>
      </c>
      <c r="J311" s="862" t="s">
        <v>1786</v>
      </c>
      <c r="K311" s="862" t="s">
        <v>1934</v>
      </c>
      <c r="L311" s="862"/>
      <c r="M311" s="863" t="s">
        <v>1776</v>
      </c>
      <c r="N311" s="862">
        <v>2014</v>
      </c>
      <c r="O311" s="862" t="s">
        <v>2215</v>
      </c>
      <c r="P311" s="903"/>
      <c r="Q311" s="861"/>
      <c r="R311" s="862"/>
      <c r="S311" s="903"/>
      <c r="T311" s="879">
        <v>213258000</v>
      </c>
      <c r="U311" s="1081"/>
      <c r="V311" s="1118"/>
      <c r="W311" s="1124" t="str">
        <f t="shared" si="114"/>
        <v>03.11.01</v>
      </c>
      <c r="X311" s="884" t="str">
        <f t="shared" si="115"/>
        <v>Bangunan Gedung Tempat Kerja</v>
      </c>
      <c r="Y311" s="884">
        <f t="shared" si="116"/>
        <v>50</v>
      </c>
      <c r="Z311" s="868">
        <f t="shared" si="126"/>
        <v>4265160</v>
      </c>
      <c r="AA311" s="1051">
        <f t="shared" si="127"/>
        <v>0</v>
      </c>
      <c r="AB311" s="868">
        <f t="shared" si="128"/>
        <v>0</v>
      </c>
      <c r="AC311" s="868">
        <f t="shared" si="129"/>
        <v>4265160</v>
      </c>
      <c r="AD311" s="868">
        <f t="shared" si="130"/>
        <v>4265160</v>
      </c>
      <c r="AE311" s="868">
        <f t="shared" si="131"/>
        <v>4265160</v>
      </c>
      <c r="AF311" s="886">
        <f t="shared" si="132"/>
        <v>4265160</v>
      </c>
      <c r="AG311" s="886">
        <f t="shared" si="133"/>
        <v>4265160</v>
      </c>
      <c r="AH311" s="886">
        <f t="shared" si="134"/>
        <v>21325800</v>
      </c>
      <c r="AI311" s="1077">
        <f t="shared" si="113"/>
        <v>191932200</v>
      </c>
    </row>
    <row r="312" spans="1:35" s="946" customFormat="1" ht="40.5" customHeight="1" x14ac:dyDescent="0.2">
      <c r="A312" s="1306"/>
      <c r="C312" s="1075" t="s">
        <v>2302</v>
      </c>
      <c r="D312" s="890"/>
      <c r="E312" s="907" t="s">
        <v>2808</v>
      </c>
      <c r="F312" s="917"/>
      <c r="G312" s="878" t="s">
        <v>2845</v>
      </c>
      <c r="H312" s="878"/>
      <c r="I312" s="861"/>
      <c r="J312" s="862"/>
      <c r="K312" s="862"/>
      <c r="L312" s="862"/>
      <c r="M312" s="863" t="s">
        <v>2225</v>
      </c>
      <c r="N312" s="862">
        <v>2015</v>
      </c>
      <c r="O312" s="862"/>
      <c r="P312" s="903"/>
      <c r="Q312" s="861"/>
      <c r="R312" s="862"/>
      <c r="S312" s="903"/>
      <c r="T312" s="879">
        <v>1480026913</v>
      </c>
      <c r="U312" s="1081"/>
      <c r="V312" s="1118"/>
      <c r="W312" s="1124" t="str">
        <f t="shared" si="114"/>
        <v>03.11.01</v>
      </c>
      <c r="X312" s="884" t="str">
        <f t="shared" si="115"/>
        <v>Bangunan Gedung Tempat Kerja</v>
      </c>
      <c r="Y312" s="884">
        <f t="shared" si="116"/>
        <v>50</v>
      </c>
      <c r="Z312" s="868">
        <f t="shared" si="126"/>
        <v>29600538.260000002</v>
      </c>
      <c r="AA312" s="1051">
        <f t="shared" si="127"/>
        <v>0</v>
      </c>
      <c r="AB312" s="868">
        <f t="shared" si="128"/>
        <v>0</v>
      </c>
      <c r="AC312" s="868"/>
      <c r="AD312" s="868">
        <f t="shared" si="130"/>
        <v>29600538.260000002</v>
      </c>
      <c r="AE312" s="868">
        <f t="shared" si="131"/>
        <v>29600538.260000002</v>
      </c>
      <c r="AF312" s="886">
        <f t="shared" si="132"/>
        <v>29600538.260000002</v>
      </c>
      <c r="AG312" s="886">
        <f t="shared" si="133"/>
        <v>29600538.260000002</v>
      </c>
      <c r="AH312" s="886">
        <f t="shared" si="134"/>
        <v>118402153.04000001</v>
      </c>
      <c r="AI312" s="1077">
        <f t="shared" si="113"/>
        <v>1361624759.96</v>
      </c>
    </row>
    <row r="313" spans="1:35" s="670" customFormat="1" ht="40.5" customHeight="1" x14ac:dyDescent="0.2">
      <c r="A313" s="669">
        <v>42</v>
      </c>
      <c r="B313" s="670" t="s">
        <v>2490</v>
      </c>
      <c r="C313" s="773" t="s">
        <v>4247</v>
      </c>
      <c r="D313" s="652"/>
      <c r="E313" s="671" t="s">
        <v>2490</v>
      </c>
      <c r="F313" s="672"/>
      <c r="G313" s="653" t="s">
        <v>2491</v>
      </c>
      <c r="H313" s="653"/>
      <c r="I313" s="673"/>
      <c r="J313" s="674"/>
      <c r="K313" s="674"/>
      <c r="L313" s="674"/>
      <c r="M313" s="691"/>
      <c r="N313" s="674">
        <v>2014</v>
      </c>
      <c r="O313" s="674" t="s">
        <v>2253</v>
      </c>
      <c r="P313" s="675"/>
      <c r="Q313" s="673"/>
      <c r="R313" s="674"/>
      <c r="S313" s="675" t="s">
        <v>2251</v>
      </c>
      <c r="T313" s="654">
        <f>10195294623+F314+F315</f>
        <v>50319663621</v>
      </c>
      <c r="U313" s="710" t="s">
        <v>2488</v>
      </c>
      <c r="V313" s="1122"/>
      <c r="W313" s="647" t="str">
        <f t="shared" si="114"/>
        <v>03.11.01</v>
      </c>
      <c r="X313" s="648" t="str">
        <f t="shared" si="115"/>
        <v>Bangunan Gedung Tempat Kerja</v>
      </c>
      <c r="Y313" s="648">
        <f t="shared" si="116"/>
        <v>50</v>
      </c>
      <c r="Z313" s="650"/>
      <c r="AA313" s="718"/>
      <c r="AB313" s="649"/>
      <c r="AC313" s="649"/>
      <c r="AD313" s="649"/>
      <c r="AE313" s="649"/>
      <c r="AF313" s="650"/>
      <c r="AG313" s="650" t="e">
        <f>'PERHITUNGAN (C)'!#REF!</f>
        <v>#REF!</v>
      </c>
      <c r="AH313" s="650" t="e">
        <f>'PERHITUNGAN (C)'!#REF!</f>
        <v>#REF!</v>
      </c>
      <c r="AI313" s="677" t="e">
        <f t="shared" si="113"/>
        <v>#REF!</v>
      </c>
    </row>
    <row r="314" spans="1:35" s="48" customFormat="1" ht="40.5" customHeight="1" x14ac:dyDescent="0.2">
      <c r="A314" s="296">
        <v>42</v>
      </c>
      <c r="B314" s="48" t="s">
        <v>2490</v>
      </c>
      <c r="C314" s="772" t="s">
        <v>4247</v>
      </c>
      <c r="D314" s="73"/>
      <c r="E314" s="65" t="s">
        <v>2809</v>
      </c>
      <c r="F314" s="555">
        <v>4784780000</v>
      </c>
      <c r="G314" s="67" t="s">
        <v>2491</v>
      </c>
      <c r="H314" s="67"/>
      <c r="I314" s="33"/>
      <c r="J314" s="40"/>
      <c r="K314" s="40"/>
      <c r="L314" s="40"/>
      <c r="M314" s="72" t="s">
        <v>1776</v>
      </c>
      <c r="N314" s="40">
        <v>2015</v>
      </c>
      <c r="O314" s="40" t="s">
        <v>2227</v>
      </c>
      <c r="P314" s="32"/>
      <c r="Q314" s="33"/>
      <c r="R314" s="40"/>
      <c r="S314" s="32"/>
      <c r="T314" s="252"/>
      <c r="U314" s="105"/>
      <c r="V314" s="1116"/>
      <c r="W314" s="206" t="str">
        <f t="shared" si="114"/>
        <v>03.11.01</v>
      </c>
      <c r="X314" s="207" t="str">
        <f t="shared" si="115"/>
        <v>Bangunan Gedung Tempat Kerja</v>
      </c>
      <c r="Y314" s="207">
        <f t="shared" si="116"/>
        <v>50</v>
      </c>
      <c r="Z314" s="233"/>
      <c r="AA314" s="714"/>
      <c r="AB314" s="233"/>
      <c r="AC314" s="233"/>
      <c r="AD314" s="233"/>
      <c r="AE314" s="233"/>
      <c r="AF314" s="233"/>
      <c r="AG314" s="238"/>
      <c r="AH314" s="238"/>
      <c r="AI314" s="210">
        <f t="shared" si="113"/>
        <v>0</v>
      </c>
    </row>
    <row r="315" spans="1:35" s="48" customFormat="1" ht="40.5" customHeight="1" x14ac:dyDescent="0.2">
      <c r="A315" s="296">
        <v>42</v>
      </c>
      <c r="B315" s="48" t="s">
        <v>2490</v>
      </c>
      <c r="C315" s="772" t="s">
        <v>4247</v>
      </c>
      <c r="D315" s="73"/>
      <c r="E315" s="65" t="s">
        <v>2490</v>
      </c>
      <c r="F315" s="555">
        <v>35339588998</v>
      </c>
      <c r="G315" s="67" t="s">
        <v>2491</v>
      </c>
      <c r="H315" s="67"/>
      <c r="I315" s="33" t="s">
        <v>43</v>
      </c>
      <c r="J315" s="40" t="s">
        <v>2492</v>
      </c>
      <c r="K315" s="40"/>
      <c r="L315" s="40"/>
      <c r="M315" s="72" t="s">
        <v>417</v>
      </c>
      <c r="N315" s="40">
        <v>2018</v>
      </c>
      <c r="O315" s="40"/>
      <c r="P315" s="32"/>
      <c r="Q315" s="33"/>
      <c r="R315" s="40"/>
      <c r="S315" s="32" t="s">
        <v>12</v>
      </c>
      <c r="T315" s="252"/>
      <c r="U315" s="243" t="s">
        <v>2493</v>
      </c>
      <c r="V315" s="1123"/>
      <c r="W315" s="206" t="str">
        <f t="shared" si="114"/>
        <v>03.11.01</v>
      </c>
      <c r="X315" s="207" t="str">
        <f t="shared" si="115"/>
        <v>Bangunan Gedung Tempat Kerja</v>
      </c>
      <c r="Y315" s="207">
        <f t="shared" si="116"/>
        <v>50</v>
      </c>
      <c r="Z315" s="233"/>
      <c r="AA315" s="714"/>
      <c r="AB315" s="233"/>
      <c r="AC315" s="233"/>
      <c r="AD315" s="233"/>
      <c r="AE315" s="233"/>
      <c r="AF315" s="233"/>
      <c r="AG315" s="238"/>
      <c r="AH315" s="238"/>
      <c r="AI315" s="210">
        <f t="shared" si="113"/>
        <v>0</v>
      </c>
    </row>
    <row r="316" spans="1:35" s="946" customFormat="1" ht="40.5" customHeight="1" x14ac:dyDescent="0.2">
      <c r="A316" s="1306"/>
      <c r="C316" s="1075" t="s">
        <v>2302</v>
      </c>
      <c r="D316" s="890"/>
      <c r="E316" s="907" t="s">
        <v>2810</v>
      </c>
      <c r="F316" s="917"/>
      <c r="G316" s="878" t="s">
        <v>1752</v>
      </c>
      <c r="H316" s="878"/>
      <c r="I316" s="861"/>
      <c r="J316" s="862"/>
      <c r="K316" s="862"/>
      <c r="L316" s="862"/>
      <c r="M316" s="863" t="s">
        <v>2229</v>
      </c>
      <c r="N316" s="862">
        <v>2015</v>
      </c>
      <c r="O316" s="862"/>
      <c r="P316" s="903"/>
      <c r="Q316" s="861"/>
      <c r="R316" s="862"/>
      <c r="S316" s="903"/>
      <c r="T316" s="879">
        <v>437954000</v>
      </c>
      <c r="U316" s="1081"/>
      <c r="V316" s="1118"/>
      <c r="W316" s="1124" t="str">
        <f t="shared" si="114"/>
        <v>03.11.01</v>
      </c>
      <c r="X316" s="884" t="str">
        <f t="shared" si="115"/>
        <v>Bangunan Gedung Tempat Kerja</v>
      </c>
      <c r="Y316" s="884">
        <f t="shared" si="116"/>
        <v>50</v>
      </c>
      <c r="Z316" s="868">
        <f t="shared" ref="Z316:Z329" si="135">T316/Y316</f>
        <v>8759080</v>
      </c>
      <c r="AA316" s="1051">
        <f t="shared" ref="AA316:AA329" si="136">IF(2013-N316&gt;Y316,Y316,IF(2013-N316&lt;0,0,2013-N316))</f>
        <v>0</v>
      </c>
      <c r="AB316" s="868">
        <f t="shared" ref="AB316:AB329" si="137">IF(AA316&gt;Y316,T316,Z316*AA316)</f>
        <v>0</v>
      </c>
      <c r="AC316" s="868"/>
      <c r="AD316" s="868">
        <f t="shared" ref="AD316:AD329" si="138">IF(T316=AB316+AC316,0,Z316)</f>
        <v>8759080</v>
      </c>
      <c r="AE316" s="868">
        <f t="shared" ref="AE316:AE329" si="139">IF(T316=AB316+AC316+AD316,0,Z316)</f>
        <v>8759080</v>
      </c>
      <c r="AF316" s="886">
        <f t="shared" ref="AF316:AF329" si="140">IF(T316=AB316+AC316+AD316+AE316,0,Z316)</f>
        <v>8759080</v>
      </c>
      <c r="AG316" s="886">
        <f t="shared" ref="AG316:AG329" si="141">IF(T316=AB316+AC316+AD316+AE316+AF316,0,Z316)</f>
        <v>8759080</v>
      </c>
      <c r="AH316" s="886">
        <f t="shared" ref="AH316:AH329" si="142">SUM(AB316:AG316)</f>
        <v>35036320</v>
      </c>
      <c r="AI316" s="1077">
        <f t="shared" si="113"/>
        <v>402917680</v>
      </c>
    </row>
    <row r="317" spans="1:35" s="946" customFormat="1" ht="40.5" customHeight="1" x14ac:dyDescent="0.2">
      <c r="A317" s="1306"/>
      <c r="C317" s="1075" t="s">
        <v>2302</v>
      </c>
      <c r="D317" s="890"/>
      <c r="E317" s="907" t="s">
        <v>2811</v>
      </c>
      <c r="F317" s="917"/>
      <c r="G317" s="878" t="s">
        <v>1752</v>
      </c>
      <c r="H317" s="878"/>
      <c r="I317" s="861"/>
      <c r="J317" s="862"/>
      <c r="K317" s="862"/>
      <c r="L317" s="862"/>
      <c r="M317" s="863" t="s">
        <v>2231</v>
      </c>
      <c r="N317" s="862">
        <v>2015</v>
      </c>
      <c r="O317" s="862"/>
      <c r="P317" s="903"/>
      <c r="Q317" s="861"/>
      <c r="R317" s="862"/>
      <c r="S317" s="903"/>
      <c r="T317" s="879">
        <v>1407432000</v>
      </c>
      <c r="U317" s="1081"/>
      <c r="V317" s="1118"/>
      <c r="W317" s="1124" t="str">
        <f t="shared" si="114"/>
        <v>03.11.01</v>
      </c>
      <c r="X317" s="884" t="str">
        <f t="shared" si="115"/>
        <v>Bangunan Gedung Tempat Kerja</v>
      </c>
      <c r="Y317" s="884">
        <f t="shared" si="116"/>
        <v>50</v>
      </c>
      <c r="Z317" s="868">
        <f t="shared" si="135"/>
        <v>28148640</v>
      </c>
      <c r="AA317" s="1051">
        <f t="shared" si="136"/>
        <v>0</v>
      </c>
      <c r="AB317" s="868">
        <f t="shared" si="137"/>
        <v>0</v>
      </c>
      <c r="AC317" s="868"/>
      <c r="AD317" s="868">
        <f t="shared" si="138"/>
        <v>28148640</v>
      </c>
      <c r="AE317" s="868">
        <f t="shared" si="139"/>
        <v>28148640</v>
      </c>
      <c r="AF317" s="886">
        <f t="shared" si="140"/>
        <v>28148640</v>
      </c>
      <c r="AG317" s="886">
        <f t="shared" si="141"/>
        <v>28148640</v>
      </c>
      <c r="AH317" s="886">
        <f t="shared" si="142"/>
        <v>112594560</v>
      </c>
      <c r="AI317" s="1077">
        <f t="shared" si="113"/>
        <v>1294837440</v>
      </c>
    </row>
    <row r="318" spans="1:35" s="946" customFormat="1" ht="40.5" customHeight="1" x14ac:dyDescent="0.2">
      <c r="A318" s="1306"/>
      <c r="C318" s="1075" t="s">
        <v>2302</v>
      </c>
      <c r="D318" s="890"/>
      <c r="E318" s="907" t="s">
        <v>2812</v>
      </c>
      <c r="F318" s="917"/>
      <c r="G318" s="878" t="s">
        <v>2485</v>
      </c>
      <c r="H318" s="878"/>
      <c r="I318" s="861"/>
      <c r="J318" s="862"/>
      <c r="K318" s="862"/>
      <c r="L318" s="862"/>
      <c r="M318" s="863" t="s">
        <v>1776</v>
      </c>
      <c r="N318" s="862">
        <v>2015</v>
      </c>
      <c r="O318" s="862"/>
      <c r="P318" s="903"/>
      <c r="Q318" s="861"/>
      <c r="R318" s="862"/>
      <c r="S318" s="903"/>
      <c r="T318" s="879">
        <v>200800000</v>
      </c>
      <c r="U318" s="1081"/>
      <c r="V318" s="1118"/>
      <c r="W318" s="1124" t="str">
        <f t="shared" si="114"/>
        <v>03.11.02</v>
      </c>
      <c r="X318" s="884" t="str">
        <f t="shared" si="115"/>
        <v>Bangunan Gedung Tempat Tinggal</v>
      </c>
      <c r="Y318" s="884">
        <f t="shared" si="116"/>
        <v>50</v>
      </c>
      <c r="Z318" s="868">
        <f t="shared" si="135"/>
        <v>4016000</v>
      </c>
      <c r="AA318" s="1051">
        <f t="shared" si="136"/>
        <v>0</v>
      </c>
      <c r="AB318" s="868">
        <f t="shared" si="137"/>
        <v>0</v>
      </c>
      <c r="AC318" s="868"/>
      <c r="AD318" s="868">
        <f t="shared" si="138"/>
        <v>4016000</v>
      </c>
      <c r="AE318" s="868">
        <f t="shared" si="139"/>
        <v>4016000</v>
      </c>
      <c r="AF318" s="886">
        <f t="shared" si="140"/>
        <v>4016000</v>
      </c>
      <c r="AG318" s="886">
        <f t="shared" si="141"/>
        <v>4016000</v>
      </c>
      <c r="AH318" s="886">
        <f t="shared" si="142"/>
        <v>16064000</v>
      </c>
      <c r="AI318" s="1077">
        <f t="shared" si="113"/>
        <v>184736000</v>
      </c>
    </row>
    <row r="319" spans="1:35" s="946" customFormat="1" ht="40.5" customHeight="1" x14ac:dyDescent="0.2">
      <c r="A319" s="1306"/>
      <c r="C319" s="1075" t="s">
        <v>2302</v>
      </c>
      <c r="D319" s="890"/>
      <c r="E319" s="907" t="s">
        <v>2813</v>
      </c>
      <c r="F319" s="917"/>
      <c r="G319" s="878" t="s">
        <v>1752</v>
      </c>
      <c r="H319" s="878"/>
      <c r="I319" s="861"/>
      <c r="J319" s="862"/>
      <c r="K319" s="862"/>
      <c r="L319" s="862"/>
      <c r="M319" s="863" t="s">
        <v>2234</v>
      </c>
      <c r="N319" s="862">
        <v>2015</v>
      </c>
      <c r="O319" s="862"/>
      <c r="P319" s="903"/>
      <c r="Q319" s="861"/>
      <c r="R319" s="862"/>
      <c r="S319" s="903"/>
      <c r="T319" s="879">
        <v>439684000</v>
      </c>
      <c r="U319" s="1081"/>
      <c r="V319" s="1118"/>
      <c r="W319" s="1124" t="str">
        <f t="shared" si="114"/>
        <v>03.11.01</v>
      </c>
      <c r="X319" s="884" t="str">
        <f t="shared" si="115"/>
        <v>Bangunan Gedung Tempat Kerja</v>
      </c>
      <c r="Y319" s="884">
        <f t="shared" si="116"/>
        <v>50</v>
      </c>
      <c r="Z319" s="868">
        <f t="shared" si="135"/>
        <v>8793680</v>
      </c>
      <c r="AA319" s="1051">
        <f t="shared" si="136"/>
        <v>0</v>
      </c>
      <c r="AB319" s="868">
        <f t="shared" si="137"/>
        <v>0</v>
      </c>
      <c r="AC319" s="868"/>
      <c r="AD319" s="868">
        <f t="shared" si="138"/>
        <v>8793680</v>
      </c>
      <c r="AE319" s="868">
        <f t="shared" si="139"/>
        <v>8793680</v>
      </c>
      <c r="AF319" s="886">
        <f t="shared" si="140"/>
        <v>8793680</v>
      </c>
      <c r="AG319" s="886">
        <f t="shared" si="141"/>
        <v>8793680</v>
      </c>
      <c r="AH319" s="886">
        <f t="shared" si="142"/>
        <v>35174720</v>
      </c>
      <c r="AI319" s="1077">
        <f t="shared" si="113"/>
        <v>404509280</v>
      </c>
    </row>
    <row r="320" spans="1:35" s="946" customFormat="1" ht="40.5" customHeight="1" x14ac:dyDescent="0.2">
      <c r="A320" s="1306"/>
      <c r="C320" s="1075" t="s">
        <v>2302</v>
      </c>
      <c r="D320" s="890"/>
      <c r="E320" s="907" t="s">
        <v>2814</v>
      </c>
      <c r="F320" s="917"/>
      <c r="G320" s="878" t="s">
        <v>1752</v>
      </c>
      <c r="H320" s="878"/>
      <c r="I320" s="861"/>
      <c r="J320" s="862"/>
      <c r="K320" s="862"/>
      <c r="L320" s="862"/>
      <c r="M320" s="863" t="s">
        <v>2236</v>
      </c>
      <c r="N320" s="862">
        <v>2015</v>
      </c>
      <c r="O320" s="862"/>
      <c r="P320" s="903"/>
      <c r="Q320" s="861"/>
      <c r="R320" s="862"/>
      <c r="S320" s="903"/>
      <c r="T320" s="879">
        <v>428775000</v>
      </c>
      <c r="U320" s="1081"/>
      <c r="V320" s="1118"/>
      <c r="W320" s="1124" t="str">
        <f t="shared" si="114"/>
        <v>03.11.01</v>
      </c>
      <c r="X320" s="884" t="str">
        <f t="shared" si="115"/>
        <v>Bangunan Gedung Tempat Kerja</v>
      </c>
      <c r="Y320" s="884">
        <f t="shared" si="116"/>
        <v>50</v>
      </c>
      <c r="Z320" s="868">
        <f t="shared" si="135"/>
        <v>8575500</v>
      </c>
      <c r="AA320" s="1051">
        <f t="shared" si="136"/>
        <v>0</v>
      </c>
      <c r="AB320" s="868">
        <f t="shared" si="137"/>
        <v>0</v>
      </c>
      <c r="AC320" s="868"/>
      <c r="AD320" s="868">
        <f t="shared" si="138"/>
        <v>8575500</v>
      </c>
      <c r="AE320" s="868">
        <f t="shared" si="139"/>
        <v>8575500</v>
      </c>
      <c r="AF320" s="886">
        <f t="shared" si="140"/>
        <v>8575500</v>
      </c>
      <c r="AG320" s="886">
        <f t="shared" si="141"/>
        <v>8575500</v>
      </c>
      <c r="AH320" s="886">
        <f t="shared" si="142"/>
        <v>34302000</v>
      </c>
      <c r="AI320" s="1077">
        <f t="shared" si="113"/>
        <v>394473000</v>
      </c>
    </row>
    <row r="321" spans="1:37" s="946" customFormat="1" ht="40.5" customHeight="1" x14ac:dyDescent="0.2">
      <c r="A321" s="1306"/>
      <c r="C321" s="1075" t="s">
        <v>2302</v>
      </c>
      <c r="D321" s="890"/>
      <c r="E321" s="907" t="s">
        <v>2815</v>
      </c>
      <c r="F321" s="917"/>
      <c r="G321" s="878" t="s">
        <v>1752</v>
      </c>
      <c r="H321" s="878"/>
      <c r="I321" s="861"/>
      <c r="J321" s="862"/>
      <c r="K321" s="862"/>
      <c r="L321" s="862"/>
      <c r="M321" s="863" t="s">
        <v>2238</v>
      </c>
      <c r="N321" s="862">
        <v>2015</v>
      </c>
      <c r="O321" s="862"/>
      <c r="P321" s="903"/>
      <c r="Q321" s="861"/>
      <c r="R321" s="862"/>
      <c r="S321" s="903"/>
      <c r="T321" s="879">
        <v>423709000</v>
      </c>
      <c r="U321" s="1081"/>
      <c r="V321" s="1118"/>
      <c r="W321" s="1124" t="str">
        <f t="shared" si="114"/>
        <v>03.11.01</v>
      </c>
      <c r="X321" s="884" t="str">
        <f t="shared" si="115"/>
        <v>Bangunan Gedung Tempat Kerja</v>
      </c>
      <c r="Y321" s="884">
        <f t="shared" si="116"/>
        <v>50</v>
      </c>
      <c r="Z321" s="868">
        <f t="shared" si="135"/>
        <v>8474180</v>
      </c>
      <c r="AA321" s="1051">
        <f t="shared" si="136"/>
        <v>0</v>
      </c>
      <c r="AB321" s="868">
        <f t="shared" si="137"/>
        <v>0</v>
      </c>
      <c r="AC321" s="868"/>
      <c r="AD321" s="868">
        <f t="shared" si="138"/>
        <v>8474180</v>
      </c>
      <c r="AE321" s="868">
        <f t="shared" si="139"/>
        <v>8474180</v>
      </c>
      <c r="AF321" s="886">
        <f t="shared" si="140"/>
        <v>8474180</v>
      </c>
      <c r="AG321" s="886">
        <f t="shared" si="141"/>
        <v>8474180</v>
      </c>
      <c r="AH321" s="886">
        <f t="shared" si="142"/>
        <v>33896720</v>
      </c>
      <c r="AI321" s="1077">
        <f t="shared" si="113"/>
        <v>389812280</v>
      </c>
    </row>
    <row r="322" spans="1:37" s="946" customFormat="1" ht="40.5" customHeight="1" x14ac:dyDescent="0.2">
      <c r="A322" s="1306"/>
      <c r="C322" s="1075" t="s">
        <v>2302</v>
      </c>
      <c r="D322" s="890"/>
      <c r="E322" s="907" t="s">
        <v>2816</v>
      </c>
      <c r="F322" s="917"/>
      <c r="G322" s="878" t="s">
        <v>1752</v>
      </c>
      <c r="H322" s="878"/>
      <c r="I322" s="861"/>
      <c r="J322" s="862"/>
      <c r="K322" s="862"/>
      <c r="L322" s="862"/>
      <c r="M322" s="863" t="s">
        <v>2240</v>
      </c>
      <c r="N322" s="862">
        <v>2015</v>
      </c>
      <c r="O322" s="862"/>
      <c r="P322" s="903"/>
      <c r="Q322" s="861"/>
      <c r="R322" s="862"/>
      <c r="S322" s="903"/>
      <c r="T322" s="879">
        <v>438658000</v>
      </c>
      <c r="U322" s="1081"/>
      <c r="V322" s="1118"/>
      <c r="W322" s="1124" t="str">
        <f t="shared" si="114"/>
        <v>03.11.01</v>
      </c>
      <c r="X322" s="884" t="str">
        <f t="shared" si="115"/>
        <v>Bangunan Gedung Tempat Kerja</v>
      </c>
      <c r="Y322" s="884">
        <f t="shared" si="116"/>
        <v>50</v>
      </c>
      <c r="Z322" s="868">
        <f t="shared" si="135"/>
        <v>8773160</v>
      </c>
      <c r="AA322" s="1051">
        <f t="shared" si="136"/>
        <v>0</v>
      </c>
      <c r="AB322" s="868">
        <f t="shared" si="137"/>
        <v>0</v>
      </c>
      <c r="AC322" s="868"/>
      <c r="AD322" s="868">
        <f t="shared" si="138"/>
        <v>8773160</v>
      </c>
      <c r="AE322" s="868">
        <f t="shared" si="139"/>
        <v>8773160</v>
      </c>
      <c r="AF322" s="886">
        <f t="shared" si="140"/>
        <v>8773160</v>
      </c>
      <c r="AG322" s="886">
        <f t="shared" si="141"/>
        <v>8773160</v>
      </c>
      <c r="AH322" s="886">
        <f t="shared" si="142"/>
        <v>35092640</v>
      </c>
      <c r="AI322" s="1077">
        <f t="shared" si="113"/>
        <v>403565360</v>
      </c>
    </row>
    <row r="323" spans="1:37" s="946" customFormat="1" ht="40.5" customHeight="1" x14ac:dyDescent="0.2">
      <c r="A323" s="1306"/>
      <c r="C323" s="1075" t="s">
        <v>2302</v>
      </c>
      <c r="D323" s="890"/>
      <c r="E323" s="907" t="s">
        <v>2817</v>
      </c>
      <c r="F323" s="917"/>
      <c r="G323" s="878" t="s">
        <v>1752</v>
      </c>
      <c r="H323" s="878"/>
      <c r="I323" s="861"/>
      <c r="J323" s="862"/>
      <c r="K323" s="862"/>
      <c r="L323" s="862"/>
      <c r="M323" s="863" t="s">
        <v>2242</v>
      </c>
      <c r="N323" s="862">
        <v>2015</v>
      </c>
      <c r="O323" s="862"/>
      <c r="P323" s="903"/>
      <c r="Q323" s="861"/>
      <c r="R323" s="862"/>
      <c r="S323" s="903"/>
      <c r="T323" s="879">
        <v>447244000</v>
      </c>
      <c r="U323" s="1081"/>
      <c r="V323" s="1118"/>
      <c r="W323" s="1124" t="str">
        <f t="shared" si="114"/>
        <v>03.11.01</v>
      </c>
      <c r="X323" s="884" t="str">
        <f t="shared" si="115"/>
        <v>Bangunan Gedung Tempat Kerja</v>
      </c>
      <c r="Y323" s="884">
        <f t="shared" si="116"/>
        <v>50</v>
      </c>
      <c r="Z323" s="868">
        <f t="shared" si="135"/>
        <v>8944880</v>
      </c>
      <c r="AA323" s="1051">
        <f t="shared" si="136"/>
        <v>0</v>
      </c>
      <c r="AB323" s="868">
        <f t="shared" si="137"/>
        <v>0</v>
      </c>
      <c r="AC323" s="868"/>
      <c r="AD323" s="868">
        <f t="shared" si="138"/>
        <v>8944880</v>
      </c>
      <c r="AE323" s="868">
        <f t="shared" si="139"/>
        <v>8944880</v>
      </c>
      <c r="AF323" s="886">
        <f t="shared" si="140"/>
        <v>8944880</v>
      </c>
      <c r="AG323" s="886">
        <f t="shared" si="141"/>
        <v>8944880</v>
      </c>
      <c r="AH323" s="886">
        <f t="shared" si="142"/>
        <v>35779520</v>
      </c>
      <c r="AI323" s="1077">
        <f t="shared" si="113"/>
        <v>411464480</v>
      </c>
    </row>
    <row r="324" spans="1:37" s="946" customFormat="1" ht="40.5" customHeight="1" x14ac:dyDescent="0.2">
      <c r="A324" s="1306"/>
      <c r="C324" s="1075" t="s">
        <v>2302</v>
      </c>
      <c r="D324" s="890"/>
      <c r="E324" s="907" t="s">
        <v>2818</v>
      </c>
      <c r="F324" s="917"/>
      <c r="G324" s="878" t="s">
        <v>1752</v>
      </c>
      <c r="H324" s="878"/>
      <c r="I324" s="861"/>
      <c r="J324" s="862"/>
      <c r="K324" s="862"/>
      <c r="L324" s="862"/>
      <c r="M324" s="863" t="s">
        <v>1997</v>
      </c>
      <c r="N324" s="862">
        <v>2015</v>
      </c>
      <c r="O324" s="862"/>
      <c r="P324" s="903"/>
      <c r="Q324" s="861"/>
      <c r="R324" s="862"/>
      <c r="S324" s="903"/>
      <c r="T324" s="879">
        <v>427675000</v>
      </c>
      <c r="U324" s="1081"/>
      <c r="V324" s="1118"/>
      <c r="W324" s="1124" t="str">
        <f t="shared" si="114"/>
        <v>03.11.01</v>
      </c>
      <c r="X324" s="884" t="str">
        <f t="shared" si="115"/>
        <v>Bangunan Gedung Tempat Kerja</v>
      </c>
      <c r="Y324" s="884">
        <f t="shared" si="116"/>
        <v>50</v>
      </c>
      <c r="Z324" s="868">
        <f t="shared" si="135"/>
        <v>8553500</v>
      </c>
      <c r="AA324" s="1051">
        <f t="shared" si="136"/>
        <v>0</v>
      </c>
      <c r="AB324" s="868">
        <f t="shared" si="137"/>
        <v>0</v>
      </c>
      <c r="AC324" s="868"/>
      <c r="AD324" s="868">
        <f t="shared" si="138"/>
        <v>8553500</v>
      </c>
      <c r="AE324" s="868">
        <f t="shared" si="139"/>
        <v>8553500</v>
      </c>
      <c r="AF324" s="886">
        <f t="shared" si="140"/>
        <v>8553500</v>
      </c>
      <c r="AG324" s="886">
        <f t="shared" si="141"/>
        <v>8553500</v>
      </c>
      <c r="AH324" s="886">
        <f t="shared" si="142"/>
        <v>34214000</v>
      </c>
      <c r="AI324" s="1077">
        <f t="shared" si="113"/>
        <v>393461000</v>
      </c>
    </row>
    <row r="325" spans="1:37" s="1083" customFormat="1" ht="40.5" customHeight="1" x14ac:dyDescent="0.2">
      <c r="A325" s="1082">
        <v>43</v>
      </c>
      <c r="B325" s="1083" t="s">
        <v>2999</v>
      </c>
      <c r="C325" s="1084" t="s">
        <v>4246</v>
      </c>
      <c r="D325" s="892"/>
      <c r="E325" s="1085" t="s">
        <v>2819</v>
      </c>
      <c r="F325" s="1086"/>
      <c r="G325" s="893" t="s">
        <v>2485</v>
      </c>
      <c r="H325" s="893"/>
      <c r="I325" s="1020"/>
      <c r="J325" s="1023"/>
      <c r="K325" s="1023"/>
      <c r="L325" s="1023"/>
      <c r="M325" s="1024" t="s">
        <v>1094</v>
      </c>
      <c r="N325" s="1023">
        <v>2015</v>
      </c>
      <c r="O325" s="1023"/>
      <c r="P325" s="1087"/>
      <c r="Q325" s="1020"/>
      <c r="R325" s="1023"/>
      <c r="S325" s="1087"/>
      <c r="T325" s="894">
        <v>838730000</v>
      </c>
      <c r="U325" s="1088"/>
      <c r="V325" s="1120"/>
      <c r="W325" s="1124" t="str">
        <f t="shared" si="114"/>
        <v>03.11.02</v>
      </c>
      <c r="X325" s="884" t="str">
        <f t="shared" si="115"/>
        <v>Bangunan Gedung Tempat Tinggal</v>
      </c>
      <c r="Y325" s="884">
        <f t="shared" si="116"/>
        <v>50</v>
      </c>
      <c r="Z325" s="868">
        <f t="shared" si="135"/>
        <v>16774600</v>
      </c>
      <c r="AA325" s="1051">
        <f t="shared" si="136"/>
        <v>0</v>
      </c>
      <c r="AB325" s="868">
        <f t="shared" si="137"/>
        <v>0</v>
      </c>
      <c r="AC325" s="868"/>
      <c r="AD325" s="868">
        <f t="shared" si="138"/>
        <v>16774600</v>
      </c>
      <c r="AE325" s="868">
        <f t="shared" si="139"/>
        <v>16774600</v>
      </c>
      <c r="AF325" s="886">
        <f t="shared" si="140"/>
        <v>16774600</v>
      </c>
      <c r="AG325" s="886">
        <f t="shared" si="141"/>
        <v>16774600</v>
      </c>
      <c r="AH325" s="886">
        <f t="shared" si="142"/>
        <v>67098400</v>
      </c>
      <c r="AI325" s="1077">
        <f t="shared" si="113"/>
        <v>771631600</v>
      </c>
      <c r="AK325" s="1089"/>
    </row>
    <row r="326" spans="1:37" s="1083" customFormat="1" ht="40.5" customHeight="1" x14ac:dyDescent="0.2">
      <c r="A326" s="1082">
        <v>43</v>
      </c>
      <c r="B326" s="1083" t="s">
        <v>2999</v>
      </c>
      <c r="C326" s="1084" t="s">
        <v>4246</v>
      </c>
      <c r="D326" s="892"/>
      <c r="E326" s="1085" t="s">
        <v>2819</v>
      </c>
      <c r="F326" s="1086"/>
      <c r="G326" s="893" t="s">
        <v>2485</v>
      </c>
      <c r="H326" s="893"/>
      <c r="I326" s="1020"/>
      <c r="J326" s="1023"/>
      <c r="K326" s="1023"/>
      <c r="L326" s="1023"/>
      <c r="M326" s="1024" t="s">
        <v>1094</v>
      </c>
      <c r="N326" s="1023">
        <v>2015</v>
      </c>
      <c r="O326" s="1023"/>
      <c r="P326" s="1087"/>
      <c r="Q326" s="1020"/>
      <c r="R326" s="1023"/>
      <c r="S326" s="1087"/>
      <c r="T326" s="894">
        <v>840750500</v>
      </c>
      <c r="U326" s="1088"/>
      <c r="V326" s="1120"/>
      <c r="W326" s="1124" t="str">
        <f t="shared" si="114"/>
        <v>03.11.02</v>
      </c>
      <c r="X326" s="884" t="str">
        <f t="shared" si="115"/>
        <v>Bangunan Gedung Tempat Tinggal</v>
      </c>
      <c r="Y326" s="884">
        <f t="shared" si="116"/>
        <v>50</v>
      </c>
      <c r="Z326" s="868">
        <f t="shared" si="135"/>
        <v>16815010</v>
      </c>
      <c r="AA326" s="1051">
        <f t="shared" si="136"/>
        <v>0</v>
      </c>
      <c r="AB326" s="868">
        <f t="shared" si="137"/>
        <v>0</v>
      </c>
      <c r="AC326" s="868"/>
      <c r="AD326" s="868">
        <f t="shared" si="138"/>
        <v>16815010</v>
      </c>
      <c r="AE326" s="868">
        <f t="shared" si="139"/>
        <v>16815010</v>
      </c>
      <c r="AF326" s="886">
        <f t="shared" si="140"/>
        <v>16815010</v>
      </c>
      <c r="AG326" s="886">
        <f t="shared" si="141"/>
        <v>16815010</v>
      </c>
      <c r="AH326" s="886">
        <f t="shared" si="142"/>
        <v>67260040</v>
      </c>
      <c r="AI326" s="1077">
        <f t="shared" si="113"/>
        <v>773490460</v>
      </c>
      <c r="AK326" s="1089"/>
    </row>
    <row r="327" spans="1:37" s="946" customFormat="1" ht="40.5" customHeight="1" x14ac:dyDescent="0.2">
      <c r="A327" s="1306"/>
      <c r="C327" s="1075" t="s">
        <v>2302</v>
      </c>
      <c r="D327" s="890"/>
      <c r="E327" s="907" t="s">
        <v>2820</v>
      </c>
      <c r="F327" s="917"/>
      <c r="G327" s="878" t="s">
        <v>1752</v>
      </c>
      <c r="H327" s="878"/>
      <c r="I327" s="861"/>
      <c r="J327" s="862"/>
      <c r="K327" s="862"/>
      <c r="L327" s="862"/>
      <c r="M327" s="863" t="s">
        <v>2246</v>
      </c>
      <c r="N327" s="862">
        <v>2015</v>
      </c>
      <c r="O327" s="862"/>
      <c r="P327" s="903"/>
      <c r="Q327" s="861"/>
      <c r="R327" s="862"/>
      <c r="S327" s="903"/>
      <c r="T327" s="879">
        <v>424801000</v>
      </c>
      <c r="U327" s="1081"/>
      <c r="V327" s="1118"/>
      <c r="W327" s="1124" t="str">
        <f t="shared" si="114"/>
        <v>03.11.01</v>
      </c>
      <c r="X327" s="884" t="str">
        <f t="shared" si="115"/>
        <v>Bangunan Gedung Tempat Kerja</v>
      </c>
      <c r="Y327" s="884">
        <f t="shared" si="116"/>
        <v>50</v>
      </c>
      <c r="Z327" s="868">
        <f t="shared" si="135"/>
        <v>8496020</v>
      </c>
      <c r="AA327" s="1051">
        <f t="shared" si="136"/>
        <v>0</v>
      </c>
      <c r="AB327" s="868">
        <f t="shared" si="137"/>
        <v>0</v>
      </c>
      <c r="AC327" s="868"/>
      <c r="AD327" s="868">
        <f t="shared" si="138"/>
        <v>8496020</v>
      </c>
      <c r="AE327" s="868">
        <f t="shared" si="139"/>
        <v>8496020</v>
      </c>
      <c r="AF327" s="886">
        <f t="shared" si="140"/>
        <v>8496020</v>
      </c>
      <c r="AG327" s="886">
        <f t="shared" si="141"/>
        <v>8496020</v>
      </c>
      <c r="AH327" s="886">
        <f t="shared" si="142"/>
        <v>33984080</v>
      </c>
      <c r="AI327" s="1077">
        <f t="shared" si="113"/>
        <v>390816920</v>
      </c>
    </row>
    <row r="328" spans="1:37" s="946" customFormat="1" ht="40.5" customHeight="1" x14ac:dyDescent="0.2">
      <c r="A328" s="1306"/>
      <c r="C328" s="1075" t="s">
        <v>2302</v>
      </c>
      <c r="D328" s="890"/>
      <c r="E328" s="907" t="s">
        <v>2821</v>
      </c>
      <c r="F328" s="917"/>
      <c r="G328" s="878" t="s">
        <v>1752</v>
      </c>
      <c r="H328" s="878"/>
      <c r="I328" s="861"/>
      <c r="J328" s="862"/>
      <c r="K328" s="862"/>
      <c r="L328" s="862"/>
      <c r="M328" s="863" t="s">
        <v>2248</v>
      </c>
      <c r="N328" s="862">
        <v>2015</v>
      </c>
      <c r="O328" s="862"/>
      <c r="P328" s="903"/>
      <c r="Q328" s="861"/>
      <c r="R328" s="862"/>
      <c r="S328" s="903"/>
      <c r="T328" s="879">
        <v>434794000</v>
      </c>
      <c r="U328" s="1081"/>
      <c r="V328" s="1118"/>
      <c r="W328" s="1124" t="str">
        <f t="shared" si="114"/>
        <v>03.11.01</v>
      </c>
      <c r="X328" s="884" t="str">
        <f t="shared" si="115"/>
        <v>Bangunan Gedung Tempat Kerja</v>
      </c>
      <c r="Y328" s="884">
        <f t="shared" si="116"/>
        <v>50</v>
      </c>
      <c r="Z328" s="868">
        <f t="shared" si="135"/>
        <v>8695880</v>
      </c>
      <c r="AA328" s="1051">
        <f t="shared" si="136"/>
        <v>0</v>
      </c>
      <c r="AB328" s="868">
        <f t="shared" si="137"/>
        <v>0</v>
      </c>
      <c r="AC328" s="868"/>
      <c r="AD328" s="868">
        <f t="shared" si="138"/>
        <v>8695880</v>
      </c>
      <c r="AE328" s="868">
        <f t="shared" si="139"/>
        <v>8695880</v>
      </c>
      <c r="AF328" s="886">
        <f t="shared" si="140"/>
        <v>8695880</v>
      </c>
      <c r="AG328" s="886">
        <f t="shared" si="141"/>
        <v>8695880</v>
      </c>
      <c r="AH328" s="886">
        <f t="shared" si="142"/>
        <v>34783520</v>
      </c>
      <c r="AI328" s="1077">
        <f t="shared" si="113"/>
        <v>400010480</v>
      </c>
    </row>
    <row r="329" spans="1:37" s="946" customFormat="1" ht="40.5" customHeight="1" x14ac:dyDescent="0.2">
      <c r="A329" s="1306"/>
      <c r="B329" s="946" t="s">
        <v>3010</v>
      </c>
      <c r="C329" s="1075" t="s">
        <v>2302</v>
      </c>
      <c r="D329" s="890"/>
      <c r="E329" s="907" t="s">
        <v>2822</v>
      </c>
      <c r="F329" s="917"/>
      <c r="G329" s="878" t="s">
        <v>2848</v>
      </c>
      <c r="H329" s="878"/>
      <c r="I329" s="861"/>
      <c r="J329" s="862"/>
      <c r="K329" s="862"/>
      <c r="L329" s="862"/>
      <c r="M329" s="863" t="s">
        <v>1776</v>
      </c>
      <c r="N329" s="862">
        <v>2014</v>
      </c>
      <c r="O329" s="862" t="s">
        <v>2250</v>
      </c>
      <c r="P329" s="903"/>
      <c r="Q329" s="861"/>
      <c r="R329" s="862"/>
      <c r="S329" s="903" t="s">
        <v>2251</v>
      </c>
      <c r="T329" s="879">
        <v>52985624344.199997</v>
      </c>
      <c r="U329" s="1081"/>
      <c r="V329" s="1118"/>
      <c r="W329" s="1124" t="str">
        <f t="shared" si="114"/>
        <v>03.11.02</v>
      </c>
      <c r="X329" s="884" t="str">
        <f t="shared" si="115"/>
        <v>Bangunan Gedung Tempat Tinggal</v>
      </c>
      <c r="Y329" s="884">
        <f t="shared" si="116"/>
        <v>50</v>
      </c>
      <c r="Z329" s="868">
        <f t="shared" si="135"/>
        <v>1059712486.8839999</v>
      </c>
      <c r="AA329" s="1051">
        <f t="shared" si="136"/>
        <v>0</v>
      </c>
      <c r="AB329" s="868">
        <f t="shared" si="137"/>
        <v>0</v>
      </c>
      <c r="AC329" s="868">
        <f>IF(T329=AB329,0,Z329)</f>
        <v>1059712486.8839999</v>
      </c>
      <c r="AD329" s="868">
        <f t="shared" si="138"/>
        <v>1059712486.8839999</v>
      </c>
      <c r="AE329" s="868">
        <f t="shared" si="139"/>
        <v>1059712486.8839999</v>
      </c>
      <c r="AF329" s="886">
        <f t="shared" si="140"/>
        <v>1059712486.8839999</v>
      </c>
      <c r="AG329" s="886">
        <f t="shared" si="141"/>
        <v>1059712486.8839999</v>
      </c>
      <c r="AH329" s="886">
        <f t="shared" si="142"/>
        <v>5298562434.4200001</v>
      </c>
      <c r="AI329" s="1077">
        <f t="shared" si="113"/>
        <v>47687061909.779999</v>
      </c>
    </row>
    <row r="330" spans="1:37" s="813" customFormat="1" ht="40.5" customHeight="1" x14ac:dyDescent="0.2">
      <c r="A330" s="812">
        <v>43</v>
      </c>
      <c r="B330" s="813" t="s">
        <v>4233</v>
      </c>
      <c r="C330" s="772" t="s">
        <v>4247</v>
      </c>
      <c r="D330" s="815"/>
      <c r="E330" s="816" t="s">
        <v>2612</v>
      </c>
      <c r="F330" s="817"/>
      <c r="G330" s="818" t="s">
        <v>2613</v>
      </c>
      <c r="H330" s="818"/>
      <c r="I330" s="819"/>
      <c r="J330" s="820"/>
      <c r="K330" s="820"/>
      <c r="L330" s="820"/>
      <c r="M330" s="830" t="s">
        <v>1776</v>
      </c>
      <c r="N330" s="820">
        <v>2014</v>
      </c>
      <c r="O330" s="820" t="s">
        <v>2255</v>
      </c>
      <c r="P330" s="822"/>
      <c r="Q330" s="819"/>
      <c r="R330" s="820"/>
      <c r="S330" s="822" t="s">
        <v>2251</v>
      </c>
      <c r="T330" s="823">
        <f>3023660100+F331</f>
        <v>6779278500</v>
      </c>
      <c r="U330" s="831"/>
      <c r="V330" s="1121"/>
      <c r="W330" s="651" t="str">
        <f t="shared" si="114"/>
        <v>03.11.01</v>
      </c>
      <c r="X330" s="825" t="str">
        <f t="shared" si="115"/>
        <v>Bangunan Gedung Tempat Kerja</v>
      </c>
      <c r="Y330" s="825">
        <f t="shared" si="116"/>
        <v>50</v>
      </c>
      <c r="Z330" s="826"/>
      <c r="AA330" s="827"/>
      <c r="AB330" s="826"/>
      <c r="AC330" s="826"/>
      <c r="AD330" s="826"/>
      <c r="AE330" s="826"/>
      <c r="AF330" s="826"/>
      <c r="AG330" s="828">
        <f>'PERHITUNGAN (C)'!R618</f>
        <v>130747713.84</v>
      </c>
      <c r="AH330" s="828">
        <f>'PERHITUNGAN (C)'!U624</f>
        <v>503388235.68000007</v>
      </c>
      <c r="AI330" s="829">
        <f t="shared" si="113"/>
        <v>6275890264.3199997</v>
      </c>
    </row>
    <row r="331" spans="1:37" s="48" customFormat="1" ht="40.5" customHeight="1" x14ac:dyDescent="0.2">
      <c r="A331" s="296">
        <v>43</v>
      </c>
      <c r="B331" s="48" t="s">
        <v>4233</v>
      </c>
      <c r="C331" s="772" t="s">
        <v>4247</v>
      </c>
      <c r="D331" s="73"/>
      <c r="E331" s="65" t="s">
        <v>2612</v>
      </c>
      <c r="F331" s="555">
        <v>3755618400</v>
      </c>
      <c r="G331" s="67" t="s">
        <v>2613</v>
      </c>
      <c r="H331" s="67"/>
      <c r="I331" s="33"/>
      <c r="J331" s="40"/>
      <c r="K331" s="40"/>
      <c r="L331" s="40"/>
      <c r="M331" s="72" t="s">
        <v>2614</v>
      </c>
      <c r="N331" s="40">
        <v>2018</v>
      </c>
      <c r="O331" s="40" t="s">
        <v>2255</v>
      </c>
      <c r="P331" s="32"/>
      <c r="Q331" s="33" t="s">
        <v>52</v>
      </c>
      <c r="R331" s="40"/>
      <c r="S331" s="32" t="s">
        <v>2251</v>
      </c>
      <c r="T331" s="252"/>
      <c r="U331" s="243" t="s">
        <v>2493</v>
      </c>
      <c r="V331" s="1123"/>
      <c r="W331" s="206"/>
      <c r="X331" s="207"/>
      <c r="Y331" s="207"/>
      <c r="Z331" s="233"/>
      <c r="AA331" s="714"/>
      <c r="AB331" s="233"/>
      <c r="AC331" s="233"/>
      <c r="AD331" s="233"/>
      <c r="AE331" s="233"/>
      <c r="AF331" s="233"/>
      <c r="AG331" s="233"/>
      <c r="AH331" s="233"/>
      <c r="AI331" s="210"/>
    </row>
    <row r="332" spans="1:37" s="946" customFormat="1" ht="40.5" customHeight="1" x14ac:dyDescent="0.2">
      <c r="A332" s="1306"/>
      <c r="C332" s="1075" t="s">
        <v>2302</v>
      </c>
      <c r="D332" s="890"/>
      <c r="E332" s="907" t="s">
        <v>2823</v>
      </c>
      <c r="F332" s="917"/>
      <c r="G332" s="878" t="s">
        <v>2844</v>
      </c>
      <c r="H332" s="878"/>
      <c r="I332" s="861"/>
      <c r="J332" s="862"/>
      <c r="K332" s="862"/>
      <c r="L332" s="862"/>
      <c r="M332" s="863" t="s">
        <v>2231</v>
      </c>
      <c r="N332" s="862">
        <v>2016</v>
      </c>
      <c r="O332" s="862"/>
      <c r="P332" s="903"/>
      <c r="Q332" s="861"/>
      <c r="R332" s="862"/>
      <c r="S332" s="903" t="s">
        <v>2251</v>
      </c>
      <c r="T332" s="879">
        <v>555684800</v>
      </c>
      <c r="U332" s="1081" t="s">
        <v>2823</v>
      </c>
      <c r="V332" s="1118"/>
      <c r="W332" s="1124" t="str">
        <f t="shared" si="114"/>
        <v>03.11.01</v>
      </c>
      <c r="X332" s="884" t="str">
        <f t="shared" si="115"/>
        <v>Bangunan Gedung Tempat Kerja</v>
      </c>
      <c r="Y332" s="884">
        <f t="shared" si="116"/>
        <v>50</v>
      </c>
      <c r="Z332" s="868">
        <f>T332/Y332</f>
        <v>11113696</v>
      </c>
      <c r="AA332" s="1051">
        <f>IF(2013-N332&gt;Y332,Y332,IF(2013-N332&lt;0,0,2013-N332))</f>
        <v>0</v>
      </c>
      <c r="AB332" s="868">
        <f>IF(AA332&gt;Y332,T332,Z332*AA332)</f>
        <v>0</v>
      </c>
      <c r="AC332" s="868"/>
      <c r="AD332" s="868"/>
      <c r="AE332" s="868">
        <f>IF(T332=AB332+AC332+AD332,0,Z332)</f>
        <v>11113696</v>
      </c>
      <c r="AF332" s="886">
        <f>IF(T332=AB332+AC332+AD332+AE332,0,Z332)</f>
        <v>11113696</v>
      </c>
      <c r="AG332" s="886">
        <f>IF(T332=AB332+AC332+AD332+AE332+AF332,0,Z332)</f>
        <v>11113696</v>
      </c>
      <c r="AH332" s="886">
        <f>SUM(AB332:AG332)</f>
        <v>33341088</v>
      </c>
      <c r="AI332" s="1077">
        <f t="shared" ref="AI332:AI342" si="143">T332-AH332</f>
        <v>522343712</v>
      </c>
    </row>
    <row r="333" spans="1:37" s="946" customFormat="1" ht="40.5" customHeight="1" x14ac:dyDescent="0.2">
      <c r="A333" s="1306"/>
      <c r="C333" s="1075" t="s">
        <v>2302</v>
      </c>
      <c r="D333" s="890"/>
      <c r="E333" s="907" t="s">
        <v>2824</v>
      </c>
      <c r="F333" s="917"/>
      <c r="G333" s="878" t="s">
        <v>1752</v>
      </c>
      <c r="H333" s="878"/>
      <c r="I333" s="861"/>
      <c r="J333" s="862"/>
      <c r="K333" s="862"/>
      <c r="L333" s="862"/>
      <c r="M333" s="863" t="s">
        <v>2258</v>
      </c>
      <c r="N333" s="862">
        <v>2016</v>
      </c>
      <c r="O333" s="862" t="s">
        <v>2259</v>
      </c>
      <c r="P333" s="903"/>
      <c r="Q333" s="861" t="s">
        <v>2260</v>
      </c>
      <c r="R333" s="862"/>
      <c r="S333" s="903" t="s">
        <v>2251</v>
      </c>
      <c r="T333" s="879">
        <v>596755000</v>
      </c>
      <c r="U333" s="1081"/>
      <c r="V333" s="1118"/>
      <c r="W333" s="1124" t="str">
        <f t="shared" si="114"/>
        <v>03.11.01</v>
      </c>
      <c r="X333" s="884" t="str">
        <f t="shared" si="115"/>
        <v>Bangunan Gedung Tempat Kerja</v>
      </c>
      <c r="Y333" s="884">
        <f t="shared" si="116"/>
        <v>50</v>
      </c>
      <c r="Z333" s="868">
        <f>T333/Y333</f>
        <v>11935100</v>
      </c>
      <c r="AA333" s="1051">
        <f>IF(2013-N333&gt;Y333,Y333,IF(2013-N333&lt;0,0,2013-N333))</f>
        <v>0</v>
      </c>
      <c r="AB333" s="868">
        <f>IF(AA333&gt;Y333,T333,Z333*AA333)</f>
        <v>0</v>
      </c>
      <c r="AC333" s="868"/>
      <c r="AD333" s="868"/>
      <c r="AE333" s="868">
        <f>IF(T333=AB333+AC333+AD333,0,Z333)</f>
        <v>11935100</v>
      </c>
      <c r="AF333" s="886">
        <f>IF(T333=AB333+AC333+AD333+AE333,0,Z333)</f>
        <v>11935100</v>
      </c>
      <c r="AG333" s="886">
        <f>IF(T333=AB333+AC333+AD333+AE333+AF333,0,Z333)</f>
        <v>11935100</v>
      </c>
      <c r="AH333" s="886">
        <f>SUM(AB333:AG333)</f>
        <v>35805300</v>
      </c>
      <c r="AI333" s="1077">
        <f t="shared" si="143"/>
        <v>560949700</v>
      </c>
    </row>
    <row r="334" spans="1:37" s="946" customFormat="1" ht="40.5" customHeight="1" x14ac:dyDescent="0.2">
      <c r="A334" s="1306"/>
      <c r="C334" s="1075" t="s">
        <v>2302</v>
      </c>
      <c r="D334" s="890"/>
      <c r="E334" s="907" t="s">
        <v>2825</v>
      </c>
      <c r="F334" s="917"/>
      <c r="G334" s="878" t="s">
        <v>2485</v>
      </c>
      <c r="H334" s="878"/>
      <c r="I334" s="861"/>
      <c r="J334" s="862"/>
      <c r="K334" s="862"/>
      <c r="L334" s="862"/>
      <c r="M334" s="863" t="s">
        <v>2162</v>
      </c>
      <c r="N334" s="862">
        <v>2016</v>
      </c>
      <c r="O334" s="862" t="s">
        <v>2262</v>
      </c>
      <c r="P334" s="903"/>
      <c r="Q334" s="861" t="s">
        <v>2260</v>
      </c>
      <c r="R334" s="862"/>
      <c r="S334" s="903" t="s">
        <v>2251</v>
      </c>
      <c r="T334" s="879">
        <v>343212000</v>
      </c>
      <c r="U334" s="1081"/>
      <c r="V334" s="1118"/>
      <c r="W334" s="1124" t="str">
        <f t="shared" si="114"/>
        <v>03.11.02</v>
      </c>
      <c r="X334" s="884" t="str">
        <f t="shared" si="115"/>
        <v>Bangunan Gedung Tempat Tinggal</v>
      </c>
      <c r="Y334" s="884">
        <f t="shared" si="116"/>
        <v>50</v>
      </c>
      <c r="Z334" s="868">
        <f>T334/Y334</f>
        <v>6864240</v>
      </c>
      <c r="AA334" s="1051">
        <f>IF(2013-N334&gt;Y334,Y334,IF(2013-N334&lt;0,0,2013-N334))</f>
        <v>0</v>
      </c>
      <c r="AB334" s="868">
        <f>IF(AA334&gt;Y334,T334,Z334*AA334)</f>
        <v>0</v>
      </c>
      <c r="AC334" s="868"/>
      <c r="AD334" s="868"/>
      <c r="AE334" s="868">
        <f>IF(T334=AB334+AC334+AD334,0,Z334)</f>
        <v>6864240</v>
      </c>
      <c r="AF334" s="886">
        <f>IF(T334=AB334+AC334+AD334+AE334,0,Z334)</f>
        <v>6864240</v>
      </c>
      <c r="AG334" s="886">
        <f>IF(T334=AB334+AC334+AD334+AE334+AF334,0,Z334)</f>
        <v>6864240</v>
      </c>
      <c r="AH334" s="886">
        <f>SUM(AB334:AG334)</f>
        <v>20592720</v>
      </c>
      <c r="AI334" s="1077">
        <f t="shared" si="143"/>
        <v>322619280</v>
      </c>
    </row>
    <row r="335" spans="1:37" s="946" customFormat="1" ht="40.5" customHeight="1" x14ac:dyDescent="0.2">
      <c r="A335" s="1306"/>
      <c r="C335" s="1075" t="s">
        <v>2302</v>
      </c>
      <c r="D335" s="890"/>
      <c r="E335" s="907" t="s">
        <v>2826</v>
      </c>
      <c r="F335" s="917"/>
      <c r="G335" s="878" t="s">
        <v>2843</v>
      </c>
      <c r="H335" s="878"/>
      <c r="I335" s="861"/>
      <c r="J335" s="862"/>
      <c r="K335" s="862"/>
      <c r="L335" s="862"/>
      <c r="M335" s="863" t="s">
        <v>838</v>
      </c>
      <c r="N335" s="862">
        <v>2016</v>
      </c>
      <c r="O335" s="862" t="s">
        <v>2264</v>
      </c>
      <c r="P335" s="903"/>
      <c r="Q335" s="861" t="s">
        <v>2260</v>
      </c>
      <c r="R335" s="862"/>
      <c r="S335" s="903" t="s">
        <v>2251</v>
      </c>
      <c r="T335" s="879">
        <v>1385448000</v>
      </c>
      <c r="U335" s="1081"/>
      <c r="V335" s="1118"/>
      <c r="W335" s="1124" t="str">
        <f t="shared" si="114"/>
        <v>03.11.01</v>
      </c>
      <c r="X335" s="884" t="str">
        <f t="shared" si="115"/>
        <v>Bangunan Gedung Tempat Kerja</v>
      </c>
      <c r="Y335" s="884">
        <f t="shared" si="116"/>
        <v>50</v>
      </c>
      <c r="Z335" s="868">
        <f>T335/Y335</f>
        <v>27708960</v>
      </c>
      <c r="AA335" s="1051">
        <f>IF(2013-N335&gt;Y335,Y335,IF(2013-N335&lt;0,0,2013-N335))</f>
        <v>0</v>
      </c>
      <c r="AB335" s="868">
        <f>IF(AA335&gt;Y335,T335,Z335*AA335)</f>
        <v>0</v>
      </c>
      <c r="AC335" s="868"/>
      <c r="AD335" s="868"/>
      <c r="AE335" s="868">
        <f>IF(T335=AB335+AC335+AD335,0,Z335)</f>
        <v>27708960</v>
      </c>
      <c r="AF335" s="886">
        <f>IF(T335=AB335+AC335+AD335+AE335,0,Z335)</f>
        <v>27708960</v>
      </c>
      <c r="AG335" s="886">
        <f>IF(T335=AB335+AC335+AD335+AE335+AF335,0,Z335)</f>
        <v>27708960</v>
      </c>
      <c r="AH335" s="886">
        <f>SUM(AB335:AG335)</f>
        <v>83126880</v>
      </c>
      <c r="AI335" s="1077">
        <f t="shared" si="143"/>
        <v>1302321120</v>
      </c>
    </row>
    <row r="336" spans="1:37" s="1332" customFormat="1" ht="40.5" customHeight="1" x14ac:dyDescent="0.2">
      <c r="A336" s="1331">
        <v>44</v>
      </c>
      <c r="B336" s="1332" t="s">
        <v>2829</v>
      </c>
      <c r="C336" s="1333" t="s">
        <v>4247</v>
      </c>
      <c r="D336" s="731"/>
      <c r="E336" s="1334" t="s">
        <v>2829</v>
      </c>
      <c r="F336" s="1335"/>
      <c r="G336" s="659" t="s">
        <v>1752</v>
      </c>
      <c r="H336" s="659"/>
      <c r="I336" s="724"/>
      <c r="J336" s="727"/>
      <c r="K336" s="727"/>
      <c r="L336" s="727"/>
      <c r="M336" s="728" t="s">
        <v>2967</v>
      </c>
      <c r="N336" s="727">
        <v>2017</v>
      </c>
      <c r="O336" s="727"/>
      <c r="P336" s="665"/>
      <c r="Q336" s="724"/>
      <c r="R336" s="727"/>
      <c r="S336" s="665"/>
      <c r="T336" s="1336">
        <f>2967244000+F337</f>
        <v>6222865000</v>
      </c>
      <c r="U336" s="1337"/>
      <c r="V336" s="1338"/>
      <c r="W336" s="660" t="str">
        <f t="shared" si="114"/>
        <v>03.11.01</v>
      </c>
      <c r="X336" s="661" t="str">
        <f t="shared" si="115"/>
        <v>Bangunan Gedung Tempat Kerja</v>
      </c>
      <c r="Y336" s="661">
        <f t="shared" si="116"/>
        <v>50</v>
      </c>
      <c r="Z336" s="662"/>
      <c r="AA336" s="1339"/>
      <c r="AB336" s="662"/>
      <c r="AC336" s="662"/>
      <c r="AD336" s="662"/>
      <c r="AE336" s="662"/>
      <c r="AF336" s="662"/>
      <c r="AG336" s="664" t="e">
        <f>'PERHITUNGAN (C)'!#REF!</f>
        <v>#REF!</v>
      </c>
      <c r="AH336" s="664" t="e">
        <f>'PERHITUNGAN (C)'!#REF!</f>
        <v>#REF!</v>
      </c>
      <c r="AI336" s="1340" t="e">
        <f t="shared" si="143"/>
        <v>#REF!</v>
      </c>
    </row>
    <row r="337" spans="1:35" s="1332" customFormat="1" ht="40.5" customHeight="1" x14ac:dyDescent="0.2">
      <c r="A337" s="1331">
        <v>44</v>
      </c>
      <c r="B337" s="1332" t="s">
        <v>2829</v>
      </c>
      <c r="C337" s="1333" t="s">
        <v>4247</v>
      </c>
      <c r="D337" s="731"/>
      <c r="E337" s="732" t="s">
        <v>2829</v>
      </c>
      <c r="F337" s="1341">
        <v>3255621000</v>
      </c>
      <c r="G337" s="659" t="s">
        <v>1752</v>
      </c>
      <c r="H337" s="659"/>
      <c r="I337" s="724"/>
      <c r="J337" s="727"/>
      <c r="K337" s="727"/>
      <c r="L337" s="727"/>
      <c r="M337" s="728" t="s">
        <v>2967</v>
      </c>
      <c r="N337" s="727">
        <v>2018</v>
      </c>
      <c r="O337" s="727"/>
      <c r="P337" s="665"/>
      <c r="Q337" s="724"/>
      <c r="R337" s="727"/>
      <c r="S337" s="665" t="s">
        <v>12</v>
      </c>
      <c r="T337" s="1336"/>
      <c r="U337" s="1337"/>
      <c r="V337" s="1338"/>
      <c r="W337" s="660" t="str">
        <f t="shared" si="114"/>
        <v>03.11.01</v>
      </c>
      <c r="X337" s="661" t="str">
        <f t="shared" si="115"/>
        <v>Bangunan Gedung Tempat Kerja</v>
      </c>
      <c r="Y337" s="661">
        <f t="shared" si="116"/>
        <v>50</v>
      </c>
      <c r="Z337" s="662"/>
      <c r="AA337" s="1339"/>
      <c r="AB337" s="662"/>
      <c r="AC337" s="662"/>
      <c r="AD337" s="662"/>
      <c r="AE337" s="662"/>
      <c r="AF337" s="662"/>
      <c r="AG337" s="664"/>
      <c r="AH337" s="664"/>
      <c r="AI337" s="1340">
        <f t="shared" si="143"/>
        <v>0</v>
      </c>
    </row>
    <row r="338" spans="1:35" s="1311" customFormat="1" ht="40.5" customHeight="1" x14ac:dyDescent="0.2">
      <c r="A338" s="1310"/>
      <c r="C338" s="1312"/>
      <c r="D338" s="1313"/>
      <c r="E338" s="1329" t="s">
        <v>3031</v>
      </c>
      <c r="F338" s="1330"/>
      <c r="G338" s="1316" t="s">
        <v>1752</v>
      </c>
      <c r="H338" s="1316"/>
      <c r="I338" s="1317"/>
      <c r="J338" s="1318"/>
      <c r="K338" s="1318"/>
      <c r="L338" s="1318"/>
      <c r="M338" s="1319" t="s">
        <v>2968</v>
      </c>
      <c r="N338" s="1318">
        <v>2017</v>
      </c>
      <c r="O338" s="1318"/>
      <c r="P338" s="930"/>
      <c r="Q338" s="1317"/>
      <c r="R338" s="1318"/>
      <c r="S338" s="930"/>
      <c r="T338" s="1320">
        <v>495349000</v>
      </c>
      <c r="U338" s="1321"/>
      <c r="V338" s="1322"/>
      <c r="W338" s="1323" t="str">
        <f t="shared" si="114"/>
        <v>03.11.01</v>
      </c>
      <c r="X338" s="1324" t="str">
        <f t="shared" si="115"/>
        <v>Bangunan Gedung Tempat Kerja</v>
      </c>
      <c r="Y338" s="1324">
        <f t="shared" si="116"/>
        <v>50</v>
      </c>
      <c r="Z338" s="1325">
        <f>T338/Y338</f>
        <v>9906980</v>
      </c>
      <c r="AA338" s="1326">
        <f>IF(2013-N338&gt;Y338,Y338,IF(2013-N338&lt;0,0,2013-N338))</f>
        <v>0</v>
      </c>
      <c r="AB338" s="1325">
        <f>IF(AA338&gt;Y338,T338,Z338*AA338)</f>
        <v>0</v>
      </c>
      <c r="AC338" s="1325"/>
      <c r="AD338" s="1325"/>
      <c r="AE338" s="1325"/>
      <c r="AF338" s="1327">
        <f>IF(T338=AB338+AC338+AD338+AE338,0,Z338)</f>
        <v>9906980</v>
      </c>
      <c r="AG338" s="1327">
        <f>IF(T338=AB338+AC338+AD338+AE338+AF338,0,Z338)</f>
        <v>9906980</v>
      </c>
      <c r="AH338" s="1327">
        <f>SUM(AB338:AG338)</f>
        <v>19813960</v>
      </c>
      <c r="AI338" s="1328">
        <f t="shared" si="143"/>
        <v>475535040</v>
      </c>
    </row>
    <row r="339" spans="1:35" s="946" customFormat="1" ht="40.5" customHeight="1" x14ac:dyDescent="0.2">
      <c r="A339" s="1306"/>
      <c r="C339" s="1075"/>
      <c r="D339" s="890"/>
      <c r="E339" s="1090" t="s">
        <v>3029</v>
      </c>
      <c r="F339" s="1091"/>
      <c r="G339" s="878" t="s">
        <v>1752</v>
      </c>
      <c r="H339" s="878"/>
      <c r="I339" s="861"/>
      <c r="J339" s="862"/>
      <c r="K339" s="862"/>
      <c r="L339" s="862"/>
      <c r="M339" s="863" t="s">
        <v>456</v>
      </c>
      <c r="N339" s="862">
        <v>2017</v>
      </c>
      <c r="O339" s="862"/>
      <c r="P339" s="903"/>
      <c r="Q339" s="861"/>
      <c r="R339" s="862"/>
      <c r="S339" s="903"/>
      <c r="T339" s="879">
        <v>589475000</v>
      </c>
      <c r="U339" s="1081" t="s">
        <v>2849</v>
      </c>
      <c r="V339" s="1118"/>
      <c r="W339" s="1124" t="str">
        <f t="shared" si="114"/>
        <v>03.11.01</v>
      </c>
      <c r="X339" s="884" t="str">
        <f t="shared" si="115"/>
        <v>Bangunan Gedung Tempat Kerja</v>
      </c>
      <c r="Y339" s="884">
        <f t="shared" si="116"/>
        <v>50</v>
      </c>
      <c r="Z339" s="868">
        <f>T339/Y339</f>
        <v>11789500</v>
      </c>
      <c r="AA339" s="1051">
        <f>IF(2013-N339&gt;Y339,Y339,IF(2013-N339&lt;0,0,2013-N339))</f>
        <v>0</v>
      </c>
      <c r="AB339" s="868">
        <f>IF(AA339&gt;Y339,T339,Z339*AA339)</f>
        <v>0</v>
      </c>
      <c r="AC339" s="868"/>
      <c r="AD339" s="868"/>
      <c r="AE339" s="868"/>
      <c r="AF339" s="886">
        <f>IF(T339=AB339+AC339+AD339+AE339,0,Z339)</f>
        <v>11789500</v>
      </c>
      <c r="AG339" s="886">
        <f>IF(T339=AB339+AC339+AD339+AE339+AF339,0,Z339)</f>
        <v>11789500</v>
      </c>
      <c r="AH339" s="886">
        <f>SUM(AB339:AG339)</f>
        <v>23579000</v>
      </c>
      <c r="AI339" s="1077">
        <f t="shared" si="143"/>
        <v>565896000</v>
      </c>
    </row>
    <row r="340" spans="1:35" s="946" customFormat="1" ht="40.5" customHeight="1" x14ac:dyDescent="0.2">
      <c r="A340" s="1306"/>
      <c r="C340" s="1075"/>
      <c r="D340" s="890"/>
      <c r="E340" s="1090" t="s">
        <v>3032</v>
      </c>
      <c r="F340" s="1091"/>
      <c r="G340" s="878" t="s">
        <v>1772</v>
      </c>
      <c r="H340" s="878"/>
      <c r="I340" s="861"/>
      <c r="J340" s="862"/>
      <c r="K340" s="862"/>
      <c r="L340" s="862"/>
      <c r="M340" s="863" t="s">
        <v>417</v>
      </c>
      <c r="N340" s="862">
        <v>2017</v>
      </c>
      <c r="O340" s="862"/>
      <c r="P340" s="903"/>
      <c r="Q340" s="861"/>
      <c r="R340" s="862"/>
      <c r="S340" s="903"/>
      <c r="T340" s="879">
        <v>192434000</v>
      </c>
      <c r="U340" s="1081" t="s">
        <v>2849</v>
      </c>
      <c r="V340" s="1118"/>
      <c r="W340" s="1124" t="str">
        <f t="shared" si="114"/>
        <v>03.11.01</v>
      </c>
      <c r="X340" s="884" t="str">
        <f t="shared" si="115"/>
        <v>Bangunan Gedung Tempat Kerja</v>
      </c>
      <c r="Y340" s="884">
        <f t="shared" si="116"/>
        <v>50</v>
      </c>
      <c r="Z340" s="868">
        <f>T340/Y340</f>
        <v>3848680</v>
      </c>
      <c r="AA340" s="1051">
        <f>IF(2013-N340&gt;Y340,Y340,IF(2013-N340&lt;0,0,2013-N340))</f>
        <v>0</v>
      </c>
      <c r="AB340" s="868">
        <f>IF(AA340&gt;Y340,T340,Z340*AA340)</f>
        <v>0</v>
      </c>
      <c r="AC340" s="868"/>
      <c r="AD340" s="868"/>
      <c r="AE340" s="868"/>
      <c r="AF340" s="886">
        <f>IF(T340=AB340+AC340+AD340+AE340,0,Z340)</f>
        <v>3848680</v>
      </c>
      <c r="AG340" s="886">
        <f>IF(T340=AB340+AC340+AD340+AE340+AF340,0,Z340)</f>
        <v>3848680</v>
      </c>
      <c r="AH340" s="886">
        <f>SUM(AB340:AG340)</f>
        <v>7697360</v>
      </c>
      <c r="AI340" s="1077">
        <f t="shared" si="143"/>
        <v>184736640</v>
      </c>
    </row>
    <row r="341" spans="1:35" s="946" customFormat="1" ht="40.5" customHeight="1" x14ac:dyDescent="0.2">
      <c r="A341" s="1306"/>
      <c r="C341" s="1075"/>
      <c r="D341" s="890"/>
      <c r="E341" s="1090" t="s">
        <v>3033</v>
      </c>
      <c r="F341" s="1091"/>
      <c r="G341" s="878" t="s">
        <v>2486</v>
      </c>
      <c r="H341" s="878"/>
      <c r="I341" s="861"/>
      <c r="J341" s="862"/>
      <c r="K341" s="862"/>
      <c r="L341" s="862"/>
      <c r="M341" s="863" t="s">
        <v>417</v>
      </c>
      <c r="N341" s="862">
        <v>2017</v>
      </c>
      <c r="O341" s="862"/>
      <c r="P341" s="903"/>
      <c r="Q341" s="861"/>
      <c r="R341" s="862"/>
      <c r="S341" s="903"/>
      <c r="T341" s="879">
        <v>202381000</v>
      </c>
      <c r="U341" s="1081" t="s">
        <v>2849</v>
      </c>
      <c r="V341" s="1118"/>
      <c r="W341" s="1124" t="str">
        <f t="shared" si="114"/>
        <v>03.11.01</v>
      </c>
      <c r="X341" s="884" t="str">
        <f t="shared" si="115"/>
        <v>Bangunan Gedung Tempat Kerja</v>
      </c>
      <c r="Y341" s="884">
        <f t="shared" si="116"/>
        <v>50</v>
      </c>
      <c r="Z341" s="868">
        <f>T341/Y341</f>
        <v>4047620</v>
      </c>
      <c r="AA341" s="1051">
        <f>IF(2013-N341&gt;Y341,Y341,IF(2013-N341&lt;0,0,2013-N341))</f>
        <v>0</v>
      </c>
      <c r="AB341" s="868">
        <f>IF(AA341&gt;Y341,T341,Z341*AA341)</f>
        <v>0</v>
      </c>
      <c r="AC341" s="868"/>
      <c r="AD341" s="868"/>
      <c r="AE341" s="868"/>
      <c r="AF341" s="886">
        <f>IF(T341=AB341+AC341+AD341+AE341,0,Z341)</f>
        <v>4047620</v>
      </c>
      <c r="AG341" s="886">
        <f>IF(T341=AB341+AC341+AD341+AE341+AF341,0,Z341)</f>
        <v>4047620</v>
      </c>
      <c r="AH341" s="886">
        <f>SUM(AB341:AG341)</f>
        <v>8095240</v>
      </c>
      <c r="AI341" s="1077">
        <f t="shared" si="143"/>
        <v>194285760</v>
      </c>
    </row>
    <row r="342" spans="1:35" s="1311" customFormat="1" ht="40.5" customHeight="1" x14ac:dyDescent="0.2">
      <c r="A342" s="1310"/>
      <c r="C342" s="1312"/>
      <c r="D342" s="1313"/>
      <c r="E342" s="1314" t="s">
        <v>2830</v>
      </c>
      <c r="F342" s="1315"/>
      <c r="G342" s="1316" t="s">
        <v>1752</v>
      </c>
      <c r="H342" s="1316"/>
      <c r="I342" s="1317"/>
      <c r="J342" s="1318"/>
      <c r="K342" s="1318"/>
      <c r="L342" s="1318"/>
      <c r="M342" s="1319" t="s">
        <v>2969</v>
      </c>
      <c r="N342" s="1318">
        <v>2018</v>
      </c>
      <c r="O342" s="1318"/>
      <c r="P342" s="930"/>
      <c r="Q342" s="1317"/>
      <c r="R342" s="1318"/>
      <c r="S342" s="930" t="s">
        <v>12</v>
      </c>
      <c r="T342" s="1320">
        <v>558819000</v>
      </c>
      <c r="U342" s="1321"/>
      <c r="V342" s="1322"/>
      <c r="W342" s="1323" t="str">
        <f t="shared" si="114"/>
        <v>03.11.01</v>
      </c>
      <c r="X342" s="1324" t="str">
        <f t="shared" si="115"/>
        <v>Bangunan Gedung Tempat Kerja</v>
      </c>
      <c r="Y342" s="1324">
        <f t="shared" si="116"/>
        <v>50</v>
      </c>
      <c r="Z342" s="1325">
        <f>T342/Y342</f>
        <v>11176380</v>
      </c>
      <c r="AA342" s="1326">
        <f>IF(2013-N342&gt;Y342,Y342,IF(2013-N342&lt;0,0,2013-N342))</f>
        <v>0</v>
      </c>
      <c r="AB342" s="1325">
        <f>IF(AA342&gt;Y342,T342,Z342*AA342)</f>
        <v>0</v>
      </c>
      <c r="AC342" s="1325"/>
      <c r="AD342" s="1325"/>
      <c r="AE342" s="1325"/>
      <c r="AF342" s="1327"/>
      <c r="AG342" s="1327">
        <f>IF(T342=AB342+AC342+AD342+AE342+AF342,0,Z342)</f>
        <v>11176380</v>
      </c>
      <c r="AH342" s="1327">
        <f>SUM(AB342:AG342)</f>
        <v>11176380</v>
      </c>
      <c r="AI342" s="1328">
        <f t="shared" si="143"/>
        <v>547642620</v>
      </c>
    </row>
    <row r="343" spans="1:35" s="946" customFormat="1" ht="40.5" customHeight="1" x14ac:dyDescent="0.2">
      <c r="A343" s="1306"/>
      <c r="D343" s="890"/>
      <c r="E343" s="907" t="s">
        <v>52</v>
      </c>
      <c r="F343" s="917"/>
      <c r="G343" s="878"/>
      <c r="H343" s="878"/>
      <c r="I343" s="861"/>
      <c r="J343" s="862"/>
      <c r="K343" s="862"/>
      <c r="L343" s="862"/>
      <c r="M343" s="863" t="s">
        <v>52</v>
      </c>
      <c r="N343" s="862"/>
      <c r="O343" s="862"/>
      <c r="P343" s="903"/>
      <c r="Q343" s="861"/>
      <c r="R343" s="862"/>
      <c r="S343" s="903"/>
      <c r="T343" s="879"/>
      <c r="U343" s="906"/>
      <c r="V343" s="970"/>
      <c r="W343" s="1306"/>
      <c r="Z343" s="958"/>
      <c r="AA343" s="1038"/>
      <c r="AB343" s="958"/>
      <c r="AC343" s="958"/>
      <c r="AD343" s="958"/>
      <c r="AE343" s="958"/>
      <c r="AF343" s="958"/>
      <c r="AG343" s="958"/>
      <c r="AH343" s="958"/>
    </row>
    <row r="344" spans="1:35" s="1055" customFormat="1" ht="40.5" customHeight="1" x14ac:dyDescent="0.2">
      <c r="A344" s="1067"/>
      <c r="D344" s="858" t="s">
        <v>416</v>
      </c>
      <c r="E344" s="859" t="s">
        <v>1080</v>
      </c>
      <c r="F344" s="860"/>
      <c r="G344" s="871"/>
      <c r="H344" s="871"/>
      <c r="I344" s="871"/>
      <c r="J344" s="871"/>
      <c r="K344" s="871"/>
      <c r="L344" s="871"/>
      <c r="M344" s="872" t="s">
        <v>52</v>
      </c>
      <c r="N344" s="871"/>
      <c r="O344" s="871"/>
      <c r="P344" s="870"/>
      <c r="Q344" s="870"/>
      <c r="R344" s="871"/>
      <c r="S344" s="870"/>
      <c r="T344" s="864">
        <f>SUM(T345:T354)</f>
        <v>7211001134</v>
      </c>
      <c r="U344" s="873"/>
      <c r="V344" s="964"/>
      <c r="W344" s="1067"/>
      <c r="Z344" s="1073"/>
      <c r="AA344" s="1062"/>
      <c r="AB344" s="1073">
        <f t="shared" ref="AB344:AI344" si="144">SUM(AB345:AB353)</f>
        <v>757879090.72000003</v>
      </c>
      <c r="AC344" s="1073">
        <f t="shared" si="144"/>
        <v>144220022.68000001</v>
      </c>
      <c r="AD344" s="1073">
        <f t="shared" si="144"/>
        <v>144220022.68000001</v>
      </c>
      <c r="AE344" s="1073">
        <f t="shared" si="144"/>
        <v>144220022.68000001</v>
      </c>
      <c r="AF344" s="1073">
        <f t="shared" si="144"/>
        <v>144220022.68000001</v>
      </c>
      <c r="AG344" s="1073">
        <f t="shared" si="144"/>
        <v>144220022.68000001</v>
      </c>
      <c r="AH344" s="1073">
        <f t="shared" si="144"/>
        <v>1478979204.1200004</v>
      </c>
      <c r="AI344" s="1073">
        <f t="shared" si="144"/>
        <v>5732021929.8799992</v>
      </c>
    </row>
    <row r="345" spans="1:35" s="946" customFormat="1" ht="40.5" customHeight="1" x14ac:dyDescent="0.2">
      <c r="A345" s="1306"/>
      <c r="C345" s="1075" t="s">
        <v>2303</v>
      </c>
      <c r="D345" s="890"/>
      <c r="E345" s="907" t="s">
        <v>415</v>
      </c>
      <c r="F345" s="917"/>
      <c r="G345" s="878" t="s">
        <v>392</v>
      </c>
      <c r="H345" s="862"/>
      <c r="I345" s="861"/>
      <c r="J345" s="862"/>
      <c r="K345" s="903" t="s">
        <v>386</v>
      </c>
      <c r="L345" s="862"/>
      <c r="M345" s="907" t="s">
        <v>414</v>
      </c>
      <c r="N345" s="862">
        <v>1980</v>
      </c>
      <c r="O345" s="862"/>
      <c r="P345" s="861"/>
      <c r="Q345" s="861"/>
      <c r="R345" s="878" t="s">
        <v>413</v>
      </c>
      <c r="S345" s="903" t="s">
        <v>12</v>
      </c>
      <c r="T345" s="879">
        <v>88200000</v>
      </c>
      <c r="U345" s="906"/>
      <c r="V345" s="970"/>
      <c r="W345" s="1124" t="str">
        <f t="shared" ref="W345:W353" si="145">LEFT(G345,8)</f>
        <v>03.12.02</v>
      </c>
      <c r="X345" s="884" t="str">
        <f t="shared" ref="X345:X353" si="146">VLOOKUP(W345,UE,3)</f>
        <v>Bangunan Bersejarah</v>
      </c>
      <c r="Y345" s="884">
        <f t="shared" ref="Y345:Y353" si="147">VLOOKUP(W345,UE,4)</f>
        <v>50</v>
      </c>
      <c r="Z345" s="868">
        <f t="shared" ref="Z345:Z353" si="148">T345/Y345</f>
        <v>1764000</v>
      </c>
      <c r="AA345" s="1051">
        <f t="shared" ref="AA345:AA353" si="149">IF(2013-N345&gt;Y345,Y345,IF(2013-N345&lt;0,0,2013-N345))</f>
        <v>33</v>
      </c>
      <c r="AB345" s="868">
        <f t="shared" ref="AB345:AB353" si="150">IF(AA345&gt;Y345,T345,Z345*AA345)</f>
        <v>58212000</v>
      </c>
      <c r="AC345" s="868">
        <f t="shared" ref="AC345:AC353" si="151">IF(T345=AB345,0,Z345)</f>
        <v>1764000</v>
      </c>
      <c r="AD345" s="868">
        <f t="shared" ref="AD345:AD353" si="152">IF(T345=AB345+AC345,0,Z345)</f>
        <v>1764000</v>
      </c>
      <c r="AE345" s="868">
        <f t="shared" ref="AE345:AE353" si="153">IF(T345=AB345+AC345+AD345,0,Z345)</f>
        <v>1764000</v>
      </c>
      <c r="AF345" s="886">
        <f t="shared" ref="AF345:AF353" si="154">IF(T345=AB345+AC345+AD345+AE345,0,Z345)</f>
        <v>1764000</v>
      </c>
      <c r="AG345" s="886">
        <f t="shared" ref="AG345:AG353" si="155">IF(T345=AB345+AC345+AD345+AE345+AF345,0,Z345)</f>
        <v>1764000</v>
      </c>
      <c r="AH345" s="886">
        <f t="shared" ref="AH345:AH353" si="156">SUM(AB345:AG345)</f>
        <v>67032000</v>
      </c>
      <c r="AI345" s="1077">
        <f t="shared" ref="AI345:AI353" si="157">T345-AH345</f>
        <v>21168000</v>
      </c>
    </row>
    <row r="346" spans="1:35" s="946" customFormat="1" ht="40.5" customHeight="1" x14ac:dyDescent="0.2">
      <c r="A346" s="1306"/>
      <c r="C346" s="1075" t="s">
        <v>2303</v>
      </c>
      <c r="D346" s="890"/>
      <c r="E346" s="907" t="s">
        <v>409</v>
      </c>
      <c r="F346" s="917"/>
      <c r="G346" s="878" t="s">
        <v>392</v>
      </c>
      <c r="H346" s="862"/>
      <c r="I346" s="861"/>
      <c r="J346" s="862"/>
      <c r="K346" s="903" t="s">
        <v>386</v>
      </c>
      <c r="L346" s="862"/>
      <c r="M346" s="907" t="s">
        <v>408</v>
      </c>
      <c r="N346" s="862">
        <v>1991</v>
      </c>
      <c r="O346" s="862"/>
      <c r="P346" s="861"/>
      <c r="Q346" s="861"/>
      <c r="R346" s="878" t="s">
        <v>407</v>
      </c>
      <c r="S346" s="903" t="s">
        <v>12</v>
      </c>
      <c r="T346" s="879">
        <v>189000000</v>
      </c>
      <c r="U346" s="906"/>
      <c r="V346" s="970"/>
      <c r="W346" s="1124" t="str">
        <f t="shared" si="145"/>
        <v>03.12.02</v>
      </c>
      <c r="X346" s="884" t="str">
        <f t="shared" si="146"/>
        <v>Bangunan Bersejarah</v>
      </c>
      <c r="Y346" s="884">
        <f t="shared" si="147"/>
        <v>50</v>
      </c>
      <c r="Z346" s="868">
        <f t="shared" si="148"/>
        <v>3780000</v>
      </c>
      <c r="AA346" s="1051">
        <f t="shared" si="149"/>
        <v>22</v>
      </c>
      <c r="AB346" s="868">
        <f t="shared" si="150"/>
        <v>83160000</v>
      </c>
      <c r="AC346" s="868">
        <f t="shared" si="151"/>
        <v>3780000</v>
      </c>
      <c r="AD346" s="868">
        <f t="shared" si="152"/>
        <v>3780000</v>
      </c>
      <c r="AE346" s="868">
        <f t="shared" si="153"/>
        <v>3780000</v>
      </c>
      <c r="AF346" s="886">
        <f t="shared" si="154"/>
        <v>3780000</v>
      </c>
      <c r="AG346" s="886">
        <f t="shared" si="155"/>
        <v>3780000</v>
      </c>
      <c r="AH346" s="886">
        <f t="shared" si="156"/>
        <v>102060000</v>
      </c>
      <c r="AI346" s="1077">
        <f t="shared" si="157"/>
        <v>86940000</v>
      </c>
    </row>
    <row r="347" spans="1:35" s="946" customFormat="1" ht="40.5" customHeight="1" x14ac:dyDescent="0.2">
      <c r="A347" s="1306"/>
      <c r="C347" s="1075" t="s">
        <v>2303</v>
      </c>
      <c r="D347" s="890"/>
      <c r="E347" s="907" t="s">
        <v>406</v>
      </c>
      <c r="F347" s="917"/>
      <c r="G347" s="878" t="s">
        <v>392</v>
      </c>
      <c r="H347" s="862"/>
      <c r="I347" s="861"/>
      <c r="J347" s="862"/>
      <c r="K347" s="903" t="s">
        <v>386</v>
      </c>
      <c r="L347" s="862"/>
      <c r="M347" s="907" t="s">
        <v>405</v>
      </c>
      <c r="N347" s="862">
        <v>1992</v>
      </c>
      <c r="O347" s="862"/>
      <c r="P347" s="861"/>
      <c r="Q347" s="861"/>
      <c r="R347" s="878" t="s">
        <v>404</v>
      </c>
      <c r="S347" s="903" t="s">
        <v>12</v>
      </c>
      <c r="T347" s="879">
        <v>157500000</v>
      </c>
      <c r="U347" s="906"/>
      <c r="V347" s="970"/>
      <c r="W347" s="1124" t="str">
        <f t="shared" si="145"/>
        <v>03.12.02</v>
      </c>
      <c r="X347" s="884" t="str">
        <f t="shared" si="146"/>
        <v>Bangunan Bersejarah</v>
      </c>
      <c r="Y347" s="884">
        <f t="shared" si="147"/>
        <v>50</v>
      </c>
      <c r="Z347" s="868">
        <f t="shared" si="148"/>
        <v>3150000</v>
      </c>
      <c r="AA347" s="1051">
        <f t="shared" si="149"/>
        <v>21</v>
      </c>
      <c r="AB347" s="868">
        <f t="shared" si="150"/>
        <v>66150000</v>
      </c>
      <c r="AC347" s="868">
        <f t="shared" si="151"/>
        <v>3150000</v>
      </c>
      <c r="AD347" s="868">
        <f t="shared" si="152"/>
        <v>3150000</v>
      </c>
      <c r="AE347" s="868">
        <f t="shared" si="153"/>
        <v>3150000</v>
      </c>
      <c r="AF347" s="886">
        <f t="shared" si="154"/>
        <v>3150000</v>
      </c>
      <c r="AG347" s="886">
        <f t="shared" si="155"/>
        <v>3150000</v>
      </c>
      <c r="AH347" s="886">
        <f t="shared" si="156"/>
        <v>81900000</v>
      </c>
      <c r="AI347" s="1077">
        <f t="shared" si="157"/>
        <v>75600000</v>
      </c>
    </row>
    <row r="348" spans="1:35" s="946" customFormat="1" ht="40.5" customHeight="1" x14ac:dyDescent="0.2">
      <c r="A348" s="1306"/>
      <c r="C348" s="1075" t="s">
        <v>2303</v>
      </c>
      <c r="D348" s="890"/>
      <c r="E348" s="907" t="s">
        <v>403</v>
      </c>
      <c r="F348" s="917"/>
      <c r="G348" s="878" t="s">
        <v>392</v>
      </c>
      <c r="H348" s="862"/>
      <c r="I348" s="861"/>
      <c r="J348" s="862"/>
      <c r="K348" s="903" t="s">
        <v>386</v>
      </c>
      <c r="L348" s="862"/>
      <c r="M348" s="907" t="s">
        <v>402</v>
      </c>
      <c r="N348" s="862">
        <v>2000</v>
      </c>
      <c r="O348" s="862"/>
      <c r="P348" s="861"/>
      <c r="Q348" s="861"/>
      <c r="R348" s="878" t="s">
        <v>401</v>
      </c>
      <c r="S348" s="903" t="s">
        <v>12</v>
      </c>
      <c r="T348" s="879">
        <v>49000000</v>
      </c>
      <c r="U348" s="906"/>
      <c r="V348" s="970"/>
      <c r="W348" s="1124" t="str">
        <f t="shared" si="145"/>
        <v>03.12.02</v>
      </c>
      <c r="X348" s="884" t="str">
        <f t="shared" si="146"/>
        <v>Bangunan Bersejarah</v>
      </c>
      <c r="Y348" s="884">
        <f t="shared" si="147"/>
        <v>50</v>
      </c>
      <c r="Z348" s="868">
        <f t="shared" si="148"/>
        <v>980000</v>
      </c>
      <c r="AA348" s="1051">
        <f t="shared" si="149"/>
        <v>13</v>
      </c>
      <c r="AB348" s="868">
        <f t="shared" si="150"/>
        <v>12740000</v>
      </c>
      <c r="AC348" s="868">
        <f t="shared" si="151"/>
        <v>980000</v>
      </c>
      <c r="AD348" s="868">
        <f t="shared" si="152"/>
        <v>980000</v>
      </c>
      <c r="AE348" s="868">
        <f t="shared" si="153"/>
        <v>980000</v>
      </c>
      <c r="AF348" s="886">
        <f t="shared" si="154"/>
        <v>980000</v>
      </c>
      <c r="AG348" s="886">
        <f t="shared" si="155"/>
        <v>980000</v>
      </c>
      <c r="AH348" s="886">
        <f t="shared" si="156"/>
        <v>17640000</v>
      </c>
      <c r="AI348" s="1077">
        <f t="shared" si="157"/>
        <v>31360000</v>
      </c>
    </row>
    <row r="349" spans="1:35" s="946" customFormat="1" ht="40.5" customHeight="1" x14ac:dyDescent="0.2">
      <c r="A349" s="1306"/>
      <c r="C349" s="1075" t="s">
        <v>2303</v>
      </c>
      <c r="D349" s="890"/>
      <c r="E349" s="907" t="s">
        <v>400</v>
      </c>
      <c r="F349" s="917"/>
      <c r="G349" s="878" t="s">
        <v>396</v>
      </c>
      <c r="H349" s="862"/>
      <c r="I349" s="861"/>
      <c r="J349" s="862"/>
      <c r="K349" s="903" t="s">
        <v>386</v>
      </c>
      <c r="L349" s="862"/>
      <c r="M349" s="907" t="s">
        <v>399</v>
      </c>
      <c r="N349" s="862">
        <v>2001</v>
      </c>
      <c r="O349" s="862"/>
      <c r="P349" s="861"/>
      <c r="Q349" s="861"/>
      <c r="R349" s="878" t="s">
        <v>394</v>
      </c>
      <c r="S349" s="903" t="s">
        <v>398</v>
      </c>
      <c r="T349" s="879">
        <v>22050000</v>
      </c>
      <c r="U349" s="906"/>
      <c r="V349" s="970"/>
      <c r="W349" s="1124" t="str">
        <f t="shared" si="145"/>
        <v>03.12.02</v>
      </c>
      <c r="X349" s="884" t="str">
        <f t="shared" si="146"/>
        <v>Bangunan Bersejarah</v>
      </c>
      <c r="Y349" s="884">
        <f t="shared" si="147"/>
        <v>50</v>
      </c>
      <c r="Z349" s="868">
        <f t="shared" si="148"/>
        <v>441000</v>
      </c>
      <c r="AA349" s="1051">
        <f t="shared" si="149"/>
        <v>12</v>
      </c>
      <c r="AB349" s="868">
        <f t="shared" si="150"/>
        <v>5292000</v>
      </c>
      <c r="AC349" s="868">
        <f t="shared" si="151"/>
        <v>441000</v>
      </c>
      <c r="AD349" s="868">
        <f t="shared" si="152"/>
        <v>441000</v>
      </c>
      <c r="AE349" s="868">
        <f t="shared" si="153"/>
        <v>441000</v>
      </c>
      <c r="AF349" s="886">
        <f t="shared" si="154"/>
        <v>441000</v>
      </c>
      <c r="AG349" s="886">
        <f t="shared" si="155"/>
        <v>441000</v>
      </c>
      <c r="AH349" s="886">
        <f t="shared" si="156"/>
        <v>7497000</v>
      </c>
      <c r="AI349" s="1077">
        <f t="shared" si="157"/>
        <v>14553000</v>
      </c>
    </row>
    <row r="350" spans="1:35" s="946" customFormat="1" ht="40.5" customHeight="1" x14ac:dyDescent="0.2">
      <c r="A350" s="1306"/>
      <c r="C350" s="1075" t="s">
        <v>2303</v>
      </c>
      <c r="D350" s="890"/>
      <c r="E350" s="907" t="s">
        <v>388</v>
      </c>
      <c r="F350" s="917"/>
      <c r="G350" s="878" t="s">
        <v>387</v>
      </c>
      <c r="H350" s="862"/>
      <c r="I350" s="861" t="s">
        <v>43</v>
      </c>
      <c r="J350" s="862"/>
      <c r="K350" s="903" t="s">
        <v>386</v>
      </c>
      <c r="L350" s="862"/>
      <c r="M350" s="907" t="s">
        <v>390</v>
      </c>
      <c r="N350" s="862">
        <v>2010</v>
      </c>
      <c r="O350" s="862"/>
      <c r="P350" s="861"/>
      <c r="Q350" s="861"/>
      <c r="R350" s="878" t="s">
        <v>384</v>
      </c>
      <c r="S350" s="903" t="s">
        <v>12</v>
      </c>
      <c r="T350" s="879">
        <v>68250000</v>
      </c>
      <c r="U350" s="906"/>
      <c r="V350" s="970"/>
      <c r="W350" s="1124" t="str">
        <f t="shared" si="145"/>
        <v>03.12.06</v>
      </c>
      <c r="X350" s="884" t="str">
        <f t="shared" si="146"/>
        <v>Tugu Titik Kontrol/Pasti</v>
      </c>
      <c r="Y350" s="884">
        <f t="shared" si="147"/>
        <v>50</v>
      </c>
      <c r="Z350" s="868">
        <f t="shared" si="148"/>
        <v>1365000</v>
      </c>
      <c r="AA350" s="1051">
        <f t="shared" si="149"/>
        <v>3</v>
      </c>
      <c r="AB350" s="868">
        <f t="shared" si="150"/>
        <v>4095000</v>
      </c>
      <c r="AC350" s="868">
        <f t="shared" si="151"/>
        <v>1365000</v>
      </c>
      <c r="AD350" s="868">
        <f t="shared" si="152"/>
        <v>1365000</v>
      </c>
      <c r="AE350" s="868">
        <f t="shared" si="153"/>
        <v>1365000</v>
      </c>
      <c r="AF350" s="886">
        <f t="shared" si="154"/>
        <v>1365000</v>
      </c>
      <c r="AG350" s="886">
        <f t="shared" si="155"/>
        <v>1365000</v>
      </c>
      <c r="AH350" s="886">
        <f t="shared" si="156"/>
        <v>10920000</v>
      </c>
      <c r="AI350" s="1077">
        <f t="shared" si="157"/>
        <v>57330000</v>
      </c>
    </row>
    <row r="351" spans="1:35" s="946" customFormat="1" ht="40.5" customHeight="1" x14ac:dyDescent="0.2">
      <c r="A351" s="1306"/>
      <c r="C351" s="1075" t="s">
        <v>2303</v>
      </c>
      <c r="D351" s="890"/>
      <c r="E351" s="907" t="s">
        <v>388</v>
      </c>
      <c r="F351" s="917"/>
      <c r="G351" s="878" t="s">
        <v>387</v>
      </c>
      <c r="H351" s="862"/>
      <c r="I351" s="861" t="s">
        <v>43</v>
      </c>
      <c r="J351" s="862"/>
      <c r="K351" s="903" t="s">
        <v>386</v>
      </c>
      <c r="L351" s="862"/>
      <c r="M351" s="907" t="s">
        <v>389</v>
      </c>
      <c r="N351" s="862">
        <v>2010</v>
      </c>
      <c r="O351" s="862"/>
      <c r="P351" s="861"/>
      <c r="Q351" s="861"/>
      <c r="R351" s="878" t="s">
        <v>384</v>
      </c>
      <c r="S351" s="903" t="s">
        <v>12</v>
      </c>
      <c r="T351" s="879">
        <v>68250000</v>
      </c>
      <c r="U351" s="906"/>
      <c r="V351" s="970"/>
      <c r="W351" s="1124" t="str">
        <f t="shared" si="145"/>
        <v>03.12.06</v>
      </c>
      <c r="X351" s="884" t="str">
        <f t="shared" si="146"/>
        <v>Tugu Titik Kontrol/Pasti</v>
      </c>
      <c r="Y351" s="884">
        <f t="shared" si="147"/>
        <v>50</v>
      </c>
      <c r="Z351" s="868">
        <f t="shared" si="148"/>
        <v>1365000</v>
      </c>
      <c r="AA351" s="1051">
        <f t="shared" si="149"/>
        <v>3</v>
      </c>
      <c r="AB351" s="868">
        <f t="shared" si="150"/>
        <v>4095000</v>
      </c>
      <c r="AC351" s="868">
        <f t="shared" si="151"/>
        <v>1365000</v>
      </c>
      <c r="AD351" s="868">
        <f t="shared" si="152"/>
        <v>1365000</v>
      </c>
      <c r="AE351" s="868">
        <f t="shared" si="153"/>
        <v>1365000</v>
      </c>
      <c r="AF351" s="886">
        <f t="shared" si="154"/>
        <v>1365000</v>
      </c>
      <c r="AG351" s="886">
        <f t="shared" si="155"/>
        <v>1365000</v>
      </c>
      <c r="AH351" s="886">
        <f t="shared" si="156"/>
        <v>10920000</v>
      </c>
      <c r="AI351" s="1077">
        <f t="shared" si="157"/>
        <v>57330000</v>
      </c>
    </row>
    <row r="352" spans="1:35" s="946" customFormat="1" ht="40.5" customHeight="1" thickBot="1" x14ac:dyDescent="0.25">
      <c r="A352" s="1306"/>
      <c r="C352" s="1075" t="s">
        <v>2303</v>
      </c>
      <c r="D352" s="1092"/>
      <c r="E352" s="1093" t="s">
        <v>388</v>
      </c>
      <c r="F352" s="1094"/>
      <c r="G352" s="1095" t="s">
        <v>387</v>
      </c>
      <c r="H352" s="1096"/>
      <c r="I352" s="1097" t="s">
        <v>43</v>
      </c>
      <c r="J352" s="1096"/>
      <c r="K352" s="1098" t="s">
        <v>386</v>
      </c>
      <c r="L352" s="1096"/>
      <c r="M352" s="1093" t="s">
        <v>385</v>
      </c>
      <c r="N352" s="1096">
        <v>2010</v>
      </c>
      <c r="O352" s="1096"/>
      <c r="P352" s="1097"/>
      <c r="Q352" s="1097"/>
      <c r="R352" s="1095" t="s">
        <v>384</v>
      </c>
      <c r="S352" s="1098" t="s">
        <v>12</v>
      </c>
      <c r="T352" s="1099">
        <v>68250000</v>
      </c>
      <c r="U352" s="1100"/>
      <c r="V352" s="970"/>
      <c r="W352" s="1124" t="str">
        <f t="shared" si="145"/>
        <v>03.12.06</v>
      </c>
      <c r="X352" s="884" t="str">
        <f t="shared" si="146"/>
        <v>Tugu Titik Kontrol/Pasti</v>
      </c>
      <c r="Y352" s="884">
        <f t="shared" si="147"/>
        <v>50</v>
      </c>
      <c r="Z352" s="868">
        <f t="shared" si="148"/>
        <v>1365000</v>
      </c>
      <c r="AA352" s="1051">
        <f t="shared" si="149"/>
        <v>3</v>
      </c>
      <c r="AB352" s="868">
        <f t="shared" si="150"/>
        <v>4095000</v>
      </c>
      <c r="AC352" s="868">
        <f t="shared" si="151"/>
        <v>1365000</v>
      </c>
      <c r="AD352" s="868">
        <f t="shared" si="152"/>
        <v>1365000</v>
      </c>
      <c r="AE352" s="868">
        <f t="shared" si="153"/>
        <v>1365000</v>
      </c>
      <c r="AF352" s="886">
        <f t="shared" si="154"/>
        <v>1365000</v>
      </c>
      <c r="AG352" s="886">
        <f t="shared" si="155"/>
        <v>1365000</v>
      </c>
      <c r="AH352" s="886">
        <f t="shared" si="156"/>
        <v>10920000</v>
      </c>
      <c r="AI352" s="1077">
        <f t="shared" si="157"/>
        <v>57330000</v>
      </c>
    </row>
    <row r="353" spans="1:35" s="946" customFormat="1" ht="40.5" customHeight="1" x14ac:dyDescent="0.2">
      <c r="A353" s="1306"/>
      <c r="C353" s="1075" t="s">
        <v>2303</v>
      </c>
      <c r="D353" s="1092"/>
      <c r="E353" s="1101" t="s">
        <v>2265</v>
      </c>
      <c r="F353" s="1102"/>
      <c r="G353" s="878" t="s">
        <v>392</v>
      </c>
      <c r="H353" s="922"/>
      <c r="I353" s="921"/>
      <c r="J353" s="922"/>
      <c r="K353" s="1103"/>
      <c r="L353" s="922"/>
      <c r="M353" s="1104" t="s">
        <v>836</v>
      </c>
      <c r="N353" s="922">
        <v>2009</v>
      </c>
      <c r="O353" s="922"/>
      <c r="P353" s="921"/>
      <c r="Q353" s="921"/>
      <c r="R353" s="1105"/>
      <c r="S353" s="1103" t="s">
        <v>12</v>
      </c>
      <c r="T353" s="1106">
        <v>6500501134</v>
      </c>
      <c r="U353" s="1100"/>
      <c r="V353" s="970"/>
      <c r="W353" s="1124" t="str">
        <f t="shared" si="145"/>
        <v>03.12.02</v>
      </c>
      <c r="X353" s="884" t="str">
        <f t="shared" si="146"/>
        <v>Bangunan Bersejarah</v>
      </c>
      <c r="Y353" s="884">
        <f t="shared" si="147"/>
        <v>50</v>
      </c>
      <c r="Z353" s="868">
        <f t="shared" si="148"/>
        <v>130010022.68000001</v>
      </c>
      <c r="AA353" s="1051">
        <f t="shared" si="149"/>
        <v>4</v>
      </c>
      <c r="AB353" s="868">
        <f t="shared" si="150"/>
        <v>520040090.72000003</v>
      </c>
      <c r="AC353" s="868">
        <f t="shared" si="151"/>
        <v>130010022.68000001</v>
      </c>
      <c r="AD353" s="868">
        <f t="shared" si="152"/>
        <v>130010022.68000001</v>
      </c>
      <c r="AE353" s="868">
        <f t="shared" si="153"/>
        <v>130010022.68000001</v>
      </c>
      <c r="AF353" s="886">
        <f t="shared" si="154"/>
        <v>130010022.68000001</v>
      </c>
      <c r="AG353" s="886">
        <f t="shared" si="155"/>
        <v>130010022.68000001</v>
      </c>
      <c r="AH353" s="886">
        <f t="shared" si="156"/>
        <v>1170090204.1200004</v>
      </c>
      <c r="AI353" s="1077">
        <f t="shared" si="157"/>
        <v>5330410929.8799992</v>
      </c>
    </row>
    <row r="354" spans="1:35" s="946" customFormat="1" ht="40.5" customHeight="1" thickBot="1" x14ac:dyDescent="0.25">
      <c r="A354" s="1306"/>
      <c r="D354" s="1107"/>
      <c r="E354" s="1093"/>
      <c r="F354" s="1094"/>
      <c r="G354" s="1095"/>
      <c r="H354" s="1096"/>
      <c r="I354" s="1097"/>
      <c r="J354" s="1096"/>
      <c r="K354" s="1098"/>
      <c r="L354" s="1096"/>
      <c r="M354" s="1093"/>
      <c r="N354" s="1096"/>
      <c r="O354" s="1096"/>
      <c r="P354" s="1097"/>
      <c r="Q354" s="1097"/>
      <c r="R354" s="1095"/>
      <c r="S354" s="1098"/>
      <c r="T354" s="1099"/>
      <c r="U354" s="1108"/>
      <c r="V354" s="970"/>
      <c r="W354" s="1306"/>
      <c r="Z354" s="958"/>
      <c r="AA354" s="1038"/>
      <c r="AB354" s="958"/>
      <c r="AC354" s="958"/>
      <c r="AD354" s="958"/>
      <c r="AE354" s="958"/>
      <c r="AF354" s="958"/>
      <c r="AG354" s="958"/>
      <c r="AH354" s="958"/>
    </row>
    <row r="355" spans="1:35" x14ac:dyDescent="0.15">
      <c r="T355" s="1036">
        <f>SUBTOTAL(9,T19:T337)</f>
        <v>294184041390.63196</v>
      </c>
    </row>
    <row r="356" spans="1:35" x14ac:dyDescent="0.15">
      <c r="T356" s="1036">
        <v>112419607727.02014</v>
      </c>
      <c r="AH356" s="1036" t="e">
        <f>SUBTOTAL(9,AH22:AH336)</f>
        <v>#REF!</v>
      </c>
    </row>
    <row r="357" spans="1:35" x14ac:dyDescent="0.15">
      <c r="D357" s="1919" t="s">
        <v>1109</v>
      </c>
      <c r="E357" s="1919"/>
      <c r="F357" s="1919"/>
      <c r="G357" s="1919"/>
      <c r="T357" s="1036">
        <f>T356-T355</f>
        <v>-181764433663.61182</v>
      </c>
    </row>
    <row r="358" spans="1:35" x14ac:dyDescent="0.15">
      <c r="D358" s="1940" t="s">
        <v>23</v>
      </c>
      <c r="E358" s="1940"/>
      <c r="F358" s="1940"/>
      <c r="G358" s="1940"/>
      <c r="R358" s="1940" t="s">
        <v>884</v>
      </c>
      <c r="S358" s="1940"/>
      <c r="T358" s="1940"/>
      <c r="U358" s="1940"/>
      <c r="V358" s="1301"/>
    </row>
    <row r="359" spans="1:35" x14ac:dyDescent="0.15">
      <c r="D359" s="1940" t="s">
        <v>25</v>
      </c>
      <c r="E359" s="1940"/>
      <c r="F359" s="1940"/>
      <c r="G359" s="1940"/>
      <c r="R359" s="1940" t="s">
        <v>24</v>
      </c>
      <c r="S359" s="1940"/>
      <c r="T359" s="1940"/>
      <c r="U359" s="1940"/>
      <c r="V359" s="1301"/>
    </row>
    <row r="360" spans="1:35" x14ac:dyDescent="0.15">
      <c r="D360" s="1109"/>
      <c r="E360" s="1109"/>
      <c r="F360" s="1110"/>
      <c r="G360" s="1109"/>
      <c r="R360" s="1043"/>
      <c r="S360" s="1043"/>
      <c r="T360" s="1050"/>
      <c r="U360" s="1043"/>
      <c r="V360" s="1043"/>
    </row>
    <row r="361" spans="1:35" x14ac:dyDescent="0.15">
      <c r="D361" s="1109"/>
      <c r="E361" s="1109"/>
      <c r="F361" s="1110"/>
      <c r="G361" s="1109"/>
      <c r="R361" s="1043"/>
      <c r="S361" s="1043"/>
      <c r="T361" s="1050"/>
      <c r="U361" s="1043"/>
      <c r="V361" s="1043"/>
    </row>
    <row r="362" spans="1:35" x14ac:dyDescent="0.15">
      <c r="D362" s="1043"/>
      <c r="E362" s="1043"/>
      <c r="F362" s="1050"/>
      <c r="G362" s="1043"/>
      <c r="R362" s="1043"/>
      <c r="S362" s="1043"/>
      <c r="T362" s="1050"/>
      <c r="U362" s="1043"/>
      <c r="V362" s="1043"/>
    </row>
    <row r="363" spans="1:35" x14ac:dyDescent="0.15">
      <c r="D363" s="1043"/>
      <c r="E363" s="1043"/>
      <c r="F363" s="1050"/>
      <c r="G363" s="1043"/>
      <c r="R363" s="1043"/>
      <c r="S363" s="1043"/>
      <c r="T363" s="1050"/>
      <c r="U363" s="1043"/>
      <c r="V363" s="1043"/>
    </row>
    <row r="364" spans="1:35" x14ac:dyDescent="0.15">
      <c r="D364" s="1043"/>
      <c r="E364" s="1043"/>
      <c r="F364" s="1050"/>
      <c r="G364" s="1043"/>
      <c r="R364" s="1043"/>
      <c r="S364" s="1043"/>
      <c r="T364" s="1050"/>
      <c r="U364" s="1043"/>
      <c r="V364" s="1043"/>
    </row>
    <row r="365" spans="1:35" x14ac:dyDescent="0.15">
      <c r="D365" s="1941" t="s">
        <v>26</v>
      </c>
      <c r="E365" s="1941"/>
      <c r="F365" s="1941"/>
      <c r="G365" s="1941"/>
      <c r="R365" s="1941" t="s">
        <v>27</v>
      </c>
      <c r="S365" s="1941"/>
      <c r="T365" s="1941"/>
      <c r="U365" s="1941"/>
      <c r="V365" s="1302"/>
    </row>
    <row r="366" spans="1:35" x14ac:dyDescent="0.15">
      <c r="D366" s="1940" t="s">
        <v>28</v>
      </c>
      <c r="E366" s="1940"/>
      <c r="F366" s="1940"/>
      <c r="G366" s="1940"/>
      <c r="R366" s="1940" t="s">
        <v>29</v>
      </c>
      <c r="S366" s="1940"/>
      <c r="T366" s="1940"/>
      <c r="U366" s="1940"/>
      <c r="V366" s="1301"/>
    </row>
    <row r="367" spans="1:35" x14ac:dyDescent="0.15">
      <c r="R367" s="1940"/>
      <c r="S367" s="1940"/>
      <c r="T367" s="1940"/>
      <c r="U367" s="1940"/>
      <c r="V367" s="1301"/>
    </row>
  </sheetData>
  <autoFilter ref="A9:AK354" xr:uid="{00000000-0009-0000-0000-000007000000}"/>
  <mergeCells count="47">
    <mergeCell ref="D366:G366"/>
    <mergeCell ref="R366:U366"/>
    <mergeCell ref="R367:U367"/>
    <mergeCell ref="D358:G358"/>
    <mergeCell ref="R358:U358"/>
    <mergeCell ref="D359:G359"/>
    <mergeCell ref="R359:U359"/>
    <mergeCell ref="D365:G365"/>
    <mergeCell ref="R365:U365"/>
    <mergeCell ref="AC7:AC8"/>
    <mergeCell ref="AD7:AD8"/>
    <mergeCell ref="AE7:AE8"/>
    <mergeCell ref="AF7:AF8"/>
    <mergeCell ref="AG7:AG8"/>
    <mergeCell ref="D357:G357"/>
    <mergeCell ref="AA6:AA8"/>
    <mergeCell ref="AB6:AG6"/>
    <mergeCell ref="AH6:AH8"/>
    <mergeCell ref="AI6:AI8"/>
    <mergeCell ref="J7:J8"/>
    <mergeCell ref="K7:K8"/>
    <mergeCell ref="L7:L8"/>
    <mergeCell ref="N7:N8"/>
    <mergeCell ref="O7:O8"/>
    <mergeCell ref="AB7:AB8"/>
    <mergeCell ref="T6:T8"/>
    <mergeCell ref="U6:U8"/>
    <mergeCell ref="W6:W8"/>
    <mergeCell ref="X6:X8"/>
    <mergeCell ref="Y6:Y8"/>
    <mergeCell ref="Z6:Z8"/>
    <mergeCell ref="M6:M8"/>
    <mergeCell ref="N6:O6"/>
    <mergeCell ref="P6:P8"/>
    <mergeCell ref="Q6:Q8"/>
    <mergeCell ref="R6:R8"/>
    <mergeCell ref="S6:S8"/>
    <mergeCell ref="D2:U2"/>
    <mergeCell ref="D3:U3"/>
    <mergeCell ref="B6:B8"/>
    <mergeCell ref="D6:D8"/>
    <mergeCell ref="E6:E8"/>
    <mergeCell ref="F6:F8"/>
    <mergeCell ref="G6:G8"/>
    <mergeCell ref="H6:H8"/>
    <mergeCell ref="I6:I8"/>
    <mergeCell ref="J6:L6"/>
  </mergeCells>
  <printOptions horizontalCentered="1"/>
  <pageMargins left="0.43307086614173229" right="0.35433070866141736" top="0.6692913385826772" bottom="0.74803149606299213" header="0.31496062992125984" footer="0.31496062992125984"/>
  <pageSetup paperSize="258" scale="55" orientation="landscape"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K30"/>
  <sheetViews>
    <sheetView zoomScale="68" zoomScaleNormal="68" workbookViewId="0">
      <pane xSplit="8" ySplit="9" topLeftCell="AF10" activePane="bottomRight" state="frozen"/>
      <selection pane="topRight" activeCell="F1" sqref="F1"/>
      <selection pane="bottomLeft" activeCell="A10" sqref="A10"/>
      <selection pane="bottomRight" activeCell="H13" sqref="H13"/>
    </sheetView>
  </sheetViews>
  <sheetFormatPr baseColWidth="10" defaultColWidth="9.1640625" defaultRowHeight="14" x14ac:dyDescent="0.15"/>
  <cols>
    <col min="1" max="1" width="6.1640625" style="1304" customWidth="1"/>
    <col min="2" max="2" width="13.5" style="1035" customWidth="1"/>
    <col min="3" max="3" width="9.1640625" style="946"/>
    <col min="4" max="4" width="6.5" style="1035" bestFit="1" customWidth="1"/>
    <col min="5" max="5" width="47.83203125" style="1035" customWidth="1"/>
    <col min="6" max="6" width="25.5" style="1036" customWidth="1"/>
    <col min="7" max="7" width="18.83203125" style="1035" bestFit="1" customWidth="1"/>
    <col min="8" max="8" width="11.1640625" style="1035" customWidth="1"/>
    <col min="9" max="9" width="16.33203125" style="1035" customWidth="1"/>
    <col min="10" max="10" width="14.5" style="1035" customWidth="1"/>
    <col min="11" max="11" width="9.6640625" style="1035" customWidth="1"/>
    <col min="12" max="12" width="16.33203125" style="1035" customWidth="1"/>
    <col min="13" max="13" width="21.1640625" style="1037" customWidth="1"/>
    <col min="14" max="14" width="14.5" style="1035" customWidth="1"/>
    <col min="15" max="15" width="13.83203125" style="1035" customWidth="1"/>
    <col min="16" max="16" width="8.5" style="1304" bestFit="1" customWidth="1"/>
    <col min="17" max="17" width="10.83203125" style="1304" bestFit="1" customWidth="1"/>
    <col min="18" max="18" width="15.1640625" style="1035" customWidth="1"/>
    <col min="19" max="19" width="15.5" style="1304" customWidth="1"/>
    <col min="20" max="20" width="26.5" style="1036" customWidth="1"/>
    <col min="21" max="22" width="17.33203125" style="1035" customWidth="1"/>
    <col min="23" max="23" width="14.6640625" style="1306" customWidth="1"/>
    <col min="24" max="25" width="24" style="1035" customWidth="1"/>
    <col min="26" max="26" width="24" style="1036" customWidth="1"/>
    <col min="27" max="27" width="24" style="1038" customWidth="1"/>
    <col min="28" max="33" width="24" style="1036" customWidth="1"/>
    <col min="34" max="34" width="25" style="1036" customWidth="1"/>
    <col min="35" max="35" width="26.33203125" style="1035" customWidth="1"/>
    <col min="36" max="36" width="9.1640625" style="1035"/>
    <col min="37" max="37" width="16.1640625" style="1035" bestFit="1" customWidth="1"/>
    <col min="38" max="16384" width="9.1640625" style="1035"/>
  </cols>
  <sheetData>
    <row r="2" spans="1:37" ht="25" x14ac:dyDescent="0.25">
      <c r="D2" s="1905" t="s">
        <v>2624</v>
      </c>
      <c r="E2" s="1905"/>
      <c r="F2" s="1905"/>
      <c r="G2" s="1905"/>
      <c r="H2" s="1905"/>
      <c r="I2" s="1905"/>
      <c r="J2" s="1905"/>
      <c r="K2" s="1905"/>
      <c r="L2" s="1905"/>
      <c r="M2" s="1905"/>
      <c r="N2" s="1905"/>
      <c r="O2" s="1905"/>
      <c r="P2" s="1905"/>
      <c r="Q2" s="1905"/>
      <c r="R2" s="1905"/>
      <c r="S2" s="1905"/>
      <c r="T2" s="1905"/>
      <c r="U2" s="1905"/>
      <c r="V2" s="1305"/>
    </row>
    <row r="3" spans="1:37" ht="25" x14ac:dyDescent="0.25">
      <c r="D3" s="1905" t="s">
        <v>2625</v>
      </c>
      <c r="E3" s="1905"/>
      <c r="F3" s="1905"/>
      <c r="G3" s="1905"/>
      <c r="H3" s="1905"/>
      <c r="I3" s="1905"/>
      <c r="J3" s="1905"/>
      <c r="K3" s="1905"/>
      <c r="L3" s="1905"/>
      <c r="M3" s="1905"/>
      <c r="N3" s="1905"/>
      <c r="O3" s="1905"/>
      <c r="P3" s="1905"/>
      <c r="Q3" s="1905"/>
      <c r="R3" s="1905"/>
      <c r="S3" s="1905"/>
      <c r="T3" s="1905"/>
      <c r="U3" s="1905"/>
      <c r="V3" s="1305"/>
      <c r="AF3" s="1036" t="e">
        <f>SUM(#REF!)</f>
        <v>#REF!</v>
      </c>
    </row>
    <row r="4" spans="1:37" ht="15" customHeight="1" x14ac:dyDescent="0.25">
      <c r="D4" s="1305"/>
      <c r="E4" s="1305"/>
      <c r="F4" s="1039"/>
      <c r="G4" s="1305"/>
      <c r="H4" s="1305"/>
      <c r="I4" s="1305"/>
      <c r="J4" s="1305"/>
      <c r="K4" s="1305"/>
      <c r="L4" s="1305"/>
      <c r="M4" s="1040"/>
      <c r="N4" s="1305"/>
      <c r="O4" s="1305"/>
      <c r="P4" s="1305"/>
      <c r="Q4" s="1305"/>
      <c r="R4" s="1305"/>
      <c r="S4" s="1305"/>
      <c r="T4" s="1041"/>
      <c r="U4" s="1305"/>
      <c r="V4" s="1305"/>
    </row>
    <row r="5" spans="1:37" s="1043" customFormat="1" thickBot="1" x14ac:dyDescent="0.2">
      <c r="A5" s="1301"/>
      <c r="C5" s="857"/>
      <c r="D5" s="1044"/>
      <c r="E5" s="1045" t="s">
        <v>32</v>
      </c>
      <c r="F5" s="1046"/>
      <c r="G5" s="1045" t="s">
        <v>33</v>
      </c>
      <c r="H5" s="1044"/>
      <c r="I5" s="1044"/>
      <c r="J5" s="1044"/>
      <c r="K5" s="1044"/>
      <c r="L5" s="1044"/>
      <c r="M5" s="1047"/>
      <c r="N5" s="1044"/>
      <c r="O5" s="1044"/>
      <c r="P5" s="1048"/>
      <c r="Q5" s="1048"/>
      <c r="R5" s="1044"/>
      <c r="S5" s="1048"/>
      <c r="T5" s="1049"/>
      <c r="U5" s="1044"/>
      <c r="V5" s="1111"/>
      <c r="W5" s="1300"/>
      <c r="Z5" s="1050"/>
      <c r="AA5" s="1051"/>
      <c r="AB5" s="1050"/>
      <c r="AC5" s="1050"/>
      <c r="AD5" s="1050"/>
      <c r="AE5" s="1050"/>
      <c r="AF5" s="1050"/>
      <c r="AG5" s="1050"/>
      <c r="AH5" s="1050"/>
    </row>
    <row r="6" spans="1:37" s="1045" customFormat="1" ht="27.75" customHeight="1" thickTop="1" x14ac:dyDescent="0.15">
      <c r="A6" s="1052"/>
      <c r="B6" s="1906" t="s">
        <v>3003</v>
      </c>
      <c r="C6" s="869"/>
      <c r="D6" s="1907" t="s">
        <v>869</v>
      </c>
      <c r="E6" s="1910" t="s">
        <v>870</v>
      </c>
      <c r="F6" s="1913"/>
      <c r="G6" s="1910" t="s">
        <v>877</v>
      </c>
      <c r="H6" s="1910" t="s">
        <v>878</v>
      </c>
      <c r="I6" s="1910" t="s">
        <v>1101</v>
      </c>
      <c r="J6" s="1910" t="s">
        <v>1102</v>
      </c>
      <c r="K6" s="1910"/>
      <c r="L6" s="1910"/>
      <c r="M6" s="1910" t="s">
        <v>874</v>
      </c>
      <c r="N6" s="1910" t="s">
        <v>1103</v>
      </c>
      <c r="O6" s="1910"/>
      <c r="P6" s="1910" t="s">
        <v>872</v>
      </c>
      <c r="Q6" s="1910" t="s">
        <v>875</v>
      </c>
      <c r="R6" s="1910" t="s">
        <v>1104</v>
      </c>
      <c r="S6" s="1910" t="s">
        <v>909</v>
      </c>
      <c r="T6" s="1934" t="s">
        <v>1105</v>
      </c>
      <c r="U6" s="1937" t="s">
        <v>911</v>
      </c>
      <c r="V6" s="966"/>
      <c r="W6" s="1920" t="s">
        <v>2279</v>
      </c>
      <c r="X6" s="1927" t="s">
        <v>2280</v>
      </c>
      <c r="Y6" s="1927" t="s">
        <v>2281</v>
      </c>
      <c r="Z6" s="1916" t="s">
        <v>2282</v>
      </c>
      <c r="AA6" s="1920" t="s">
        <v>4778</v>
      </c>
      <c r="AB6" s="1923" t="s">
        <v>4785</v>
      </c>
      <c r="AC6" s="1923"/>
      <c r="AD6" s="1923"/>
      <c r="AE6" s="1923"/>
      <c r="AF6" s="1923"/>
      <c r="AG6" s="1923"/>
      <c r="AH6" s="1924" t="s">
        <v>2489</v>
      </c>
      <c r="AI6" s="1927" t="s">
        <v>2289</v>
      </c>
    </row>
    <row r="7" spans="1:37" s="1045" customFormat="1" ht="12.75" customHeight="1" x14ac:dyDescent="0.15">
      <c r="A7" s="1052"/>
      <c r="B7" s="1906"/>
      <c r="C7" s="869"/>
      <c r="D7" s="1908"/>
      <c r="E7" s="1911"/>
      <c r="F7" s="1914"/>
      <c r="G7" s="1911"/>
      <c r="H7" s="1911"/>
      <c r="I7" s="1911"/>
      <c r="J7" s="1911" t="s">
        <v>1106</v>
      </c>
      <c r="K7" s="1911" t="s">
        <v>1107</v>
      </c>
      <c r="L7" s="1911" t="s">
        <v>1108</v>
      </c>
      <c r="M7" s="1911"/>
      <c r="N7" s="1930" t="s">
        <v>882</v>
      </c>
      <c r="O7" s="1930" t="s">
        <v>883</v>
      </c>
      <c r="P7" s="1911"/>
      <c r="Q7" s="1911"/>
      <c r="R7" s="1911"/>
      <c r="S7" s="1911"/>
      <c r="T7" s="1935"/>
      <c r="U7" s="1938"/>
      <c r="V7" s="966"/>
      <c r="W7" s="1921"/>
      <c r="X7" s="1928"/>
      <c r="Y7" s="1928"/>
      <c r="Z7" s="1917"/>
      <c r="AA7" s="1921"/>
      <c r="AB7" s="1932" t="s">
        <v>4779</v>
      </c>
      <c r="AC7" s="1932" t="s">
        <v>4780</v>
      </c>
      <c r="AD7" s="1932" t="s">
        <v>4781</v>
      </c>
      <c r="AE7" s="1932" t="s">
        <v>4782</v>
      </c>
      <c r="AF7" s="1932" t="s">
        <v>4783</v>
      </c>
      <c r="AG7" s="1932" t="s">
        <v>4784</v>
      </c>
      <c r="AH7" s="1925"/>
      <c r="AI7" s="1928"/>
    </row>
    <row r="8" spans="1:37" s="1045" customFormat="1" ht="24" customHeight="1" thickBot="1" x14ac:dyDescent="0.2">
      <c r="A8" s="1052"/>
      <c r="B8" s="1906"/>
      <c r="C8" s="869"/>
      <c r="D8" s="1909"/>
      <c r="E8" s="1912"/>
      <c r="F8" s="1915"/>
      <c r="G8" s="1912"/>
      <c r="H8" s="1912"/>
      <c r="I8" s="1912"/>
      <c r="J8" s="1912"/>
      <c r="K8" s="1912"/>
      <c r="L8" s="1912"/>
      <c r="M8" s="1912"/>
      <c r="N8" s="1931"/>
      <c r="O8" s="1931"/>
      <c r="P8" s="1912"/>
      <c r="Q8" s="1912"/>
      <c r="R8" s="1912"/>
      <c r="S8" s="1912"/>
      <c r="T8" s="1936"/>
      <c r="U8" s="1939"/>
      <c r="V8" s="966"/>
      <c r="W8" s="1922"/>
      <c r="X8" s="1929"/>
      <c r="Y8" s="1929"/>
      <c r="Z8" s="1918"/>
      <c r="AA8" s="1922"/>
      <c r="AB8" s="1933"/>
      <c r="AC8" s="1933"/>
      <c r="AD8" s="1933"/>
      <c r="AE8" s="1933"/>
      <c r="AF8" s="1933"/>
      <c r="AG8" s="1933"/>
      <c r="AH8" s="1926"/>
      <c r="AI8" s="1929"/>
    </row>
    <row r="9" spans="1:37" s="1054" customFormat="1" ht="15" thickTop="1" x14ac:dyDescent="0.15">
      <c r="A9" s="1053"/>
      <c r="C9" s="1055"/>
      <c r="D9" s="1056">
        <v>1</v>
      </c>
      <c r="E9" s="1057">
        <v>2</v>
      </c>
      <c r="F9" s="1058"/>
      <c r="G9" s="1057">
        <v>3</v>
      </c>
      <c r="H9" s="1059">
        <v>4</v>
      </c>
      <c r="I9" s="1059">
        <v>5</v>
      </c>
      <c r="J9" s="1057">
        <v>6</v>
      </c>
      <c r="K9" s="1057">
        <v>7</v>
      </c>
      <c r="L9" s="1059">
        <v>8</v>
      </c>
      <c r="M9" s="1059">
        <v>9</v>
      </c>
      <c r="N9" s="1057">
        <v>10</v>
      </c>
      <c r="O9" s="1057">
        <v>11</v>
      </c>
      <c r="P9" s="1057">
        <v>12</v>
      </c>
      <c r="Q9" s="1057">
        <v>13</v>
      </c>
      <c r="R9" s="1057">
        <v>14</v>
      </c>
      <c r="S9" s="1059">
        <v>15</v>
      </c>
      <c r="T9" s="1058">
        <v>16</v>
      </c>
      <c r="U9" s="1060">
        <v>17</v>
      </c>
      <c r="V9" s="1112"/>
      <c r="W9" s="1067"/>
      <c r="Z9" s="1061"/>
      <c r="AA9" s="1062"/>
      <c r="AB9" s="1061"/>
      <c r="AC9" s="1061"/>
      <c r="AD9" s="1061"/>
      <c r="AE9" s="1061"/>
      <c r="AF9" s="1061"/>
      <c r="AG9" s="1061"/>
      <c r="AH9" s="1061"/>
    </row>
    <row r="10" spans="1:37" s="1054" customFormat="1" x14ac:dyDescent="0.15">
      <c r="A10" s="1053"/>
      <c r="C10" s="1055"/>
      <c r="D10" s="1063"/>
      <c r="E10" s="1064"/>
      <c r="F10" s="1065"/>
      <c r="G10" s="1064"/>
      <c r="H10" s="1303"/>
      <c r="I10" s="1303"/>
      <c r="J10" s="1064"/>
      <c r="K10" s="1064"/>
      <c r="L10" s="1303"/>
      <c r="M10" s="1303"/>
      <c r="N10" s="1064"/>
      <c r="O10" s="1064"/>
      <c r="P10" s="1064"/>
      <c r="Q10" s="1064"/>
      <c r="R10" s="1064"/>
      <c r="S10" s="1303"/>
      <c r="T10" s="1065"/>
      <c r="U10" s="1066"/>
      <c r="V10" s="1112"/>
      <c r="W10" s="1067"/>
      <c r="Z10" s="1061"/>
      <c r="AA10" s="1062"/>
      <c r="AB10" s="1061"/>
      <c r="AC10" s="1061"/>
      <c r="AD10" s="1061"/>
      <c r="AE10" s="1061"/>
      <c r="AF10" s="1061"/>
      <c r="AG10" s="1061"/>
      <c r="AH10" s="1061"/>
    </row>
    <row r="11" spans="1:37" s="1055" customFormat="1" ht="40.5" customHeight="1" x14ac:dyDescent="0.2">
      <c r="A11" s="1067"/>
      <c r="D11" s="858" t="s">
        <v>471</v>
      </c>
      <c r="E11" s="859" t="s">
        <v>1013</v>
      </c>
      <c r="F11" s="860"/>
      <c r="G11" s="1307"/>
      <c r="H11" s="1068"/>
      <c r="I11" s="1068"/>
      <c r="J11" s="1068"/>
      <c r="K11" s="1068"/>
      <c r="L11" s="1068"/>
      <c r="M11" s="1069"/>
      <c r="N11" s="1068"/>
      <c r="O11" s="1068"/>
      <c r="P11" s="1303"/>
      <c r="Q11" s="1303"/>
      <c r="R11" s="1068"/>
      <c r="S11" s="1303"/>
      <c r="T11" s="1070">
        <f>T12</f>
        <v>7277033000</v>
      </c>
      <c r="U11" s="1071"/>
      <c r="V11" s="1113"/>
      <c r="W11" s="1067"/>
      <c r="X11" s="1072"/>
      <c r="Z11" s="1073"/>
      <c r="AA11" s="1062"/>
      <c r="AB11" s="1073">
        <f t="shared" ref="AB11:AG11" si="0">AB12</f>
        <v>0</v>
      </c>
      <c r="AC11" s="1073">
        <f t="shared" si="0"/>
        <v>0</v>
      </c>
      <c r="AD11" s="1073">
        <f t="shared" si="0"/>
        <v>0</v>
      </c>
      <c r="AE11" s="1073">
        <f t="shared" si="0"/>
        <v>0</v>
      </c>
      <c r="AF11" s="1073">
        <f t="shared" si="0"/>
        <v>9906980</v>
      </c>
      <c r="AG11" s="1073" t="e">
        <f t="shared" si="0"/>
        <v>#REF!</v>
      </c>
      <c r="AH11" s="1073" t="e">
        <f>AH12</f>
        <v>#REF!</v>
      </c>
      <c r="AI11" s="1073" t="e">
        <f>AI12</f>
        <v>#REF!</v>
      </c>
      <c r="AK11" s="1076"/>
    </row>
    <row r="12" spans="1:37" s="1055" customFormat="1" ht="40.5" customHeight="1" x14ac:dyDescent="0.2">
      <c r="A12" s="1067"/>
      <c r="D12" s="858" t="s">
        <v>470</v>
      </c>
      <c r="E12" s="859" t="s">
        <v>1014</v>
      </c>
      <c r="F12" s="860"/>
      <c r="G12" s="871"/>
      <c r="H12" s="871"/>
      <c r="I12" s="871"/>
      <c r="J12" s="871"/>
      <c r="K12" s="871"/>
      <c r="L12" s="871"/>
      <c r="M12" s="872"/>
      <c r="N12" s="871"/>
      <c r="O12" s="871"/>
      <c r="P12" s="870"/>
      <c r="Q12" s="870"/>
      <c r="R12" s="871"/>
      <c r="S12" s="870"/>
      <c r="T12" s="864">
        <f>SUM(T13:T16)</f>
        <v>7277033000</v>
      </c>
      <c r="U12" s="873"/>
      <c r="V12" s="964"/>
      <c r="W12" s="1067"/>
      <c r="X12" s="1074"/>
      <c r="Z12" s="1073"/>
      <c r="AA12" s="1062"/>
      <c r="AB12" s="1073">
        <f t="shared" ref="AB12:AI12" si="1">SUM(AB13:AB16)</f>
        <v>0</v>
      </c>
      <c r="AC12" s="1073">
        <f t="shared" si="1"/>
        <v>0</v>
      </c>
      <c r="AD12" s="1073">
        <f t="shared" si="1"/>
        <v>0</v>
      </c>
      <c r="AE12" s="1073">
        <f t="shared" si="1"/>
        <v>0</v>
      </c>
      <c r="AF12" s="1073">
        <f t="shared" si="1"/>
        <v>9906980</v>
      </c>
      <c r="AG12" s="1073" t="e">
        <f t="shared" si="1"/>
        <v>#REF!</v>
      </c>
      <c r="AH12" s="1073" t="e">
        <f t="shared" si="1"/>
        <v>#REF!</v>
      </c>
      <c r="AI12" s="1073" t="e">
        <f t="shared" si="1"/>
        <v>#REF!</v>
      </c>
      <c r="AK12" s="1076"/>
    </row>
    <row r="13" spans="1:37" s="946" customFormat="1" ht="40.5" customHeight="1" x14ac:dyDescent="0.2">
      <c r="A13" s="1306">
        <v>44</v>
      </c>
      <c r="B13" s="946" t="s">
        <v>2829</v>
      </c>
      <c r="C13" s="1075" t="s">
        <v>4247</v>
      </c>
      <c r="D13" s="890"/>
      <c r="E13" s="1090" t="s">
        <v>2829</v>
      </c>
      <c r="F13" s="1091"/>
      <c r="G13" s="878" t="s">
        <v>1752</v>
      </c>
      <c r="H13" s="878"/>
      <c r="I13" s="861"/>
      <c r="J13" s="862"/>
      <c r="K13" s="862"/>
      <c r="L13" s="862"/>
      <c r="M13" s="863" t="s">
        <v>2967</v>
      </c>
      <c r="N13" s="862">
        <v>2017</v>
      </c>
      <c r="O13" s="862"/>
      <c r="P13" s="903"/>
      <c r="Q13" s="861"/>
      <c r="R13" s="862"/>
      <c r="S13" s="903"/>
      <c r="T13" s="879">
        <f>2967244000+F14</f>
        <v>6222865000</v>
      </c>
      <c r="U13" s="1081"/>
      <c r="V13" s="1118"/>
      <c r="W13" s="883" t="str">
        <f>LEFT(G13,8)</f>
        <v>03.11.01</v>
      </c>
      <c r="X13" s="884" t="str">
        <f>VLOOKUP(W13,UE,3)</f>
        <v>Bangunan Gedung Tempat Kerja</v>
      </c>
      <c r="Y13" s="884">
        <f>VLOOKUP(W13,UE,4)</f>
        <v>50</v>
      </c>
      <c r="Z13" s="868"/>
      <c r="AA13" s="1051"/>
      <c r="AB13" s="868"/>
      <c r="AC13" s="868"/>
      <c r="AD13" s="868"/>
      <c r="AE13" s="868"/>
      <c r="AF13" s="868"/>
      <c r="AG13" s="886" t="e">
        <f>'PERHITUNGAN (C)'!#REF!</f>
        <v>#REF!</v>
      </c>
      <c r="AH13" s="886" t="e">
        <f>'PERHITUNGAN (C)'!#REF!</f>
        <v>#REF!</v>
      </c>
      <c r="AI13" s="1077" t="e">
        <f>T13-AH13</f>
        <v>#REF!</v>
      </c>
    </row>
    <row r="14" spans="1:37" s="946" customFormat="1" ht="40.5" customHeight="1" x14ac:dyDescent="0.2">
      <c r="A14" s="1306">
        <v>44</v>
      </c>
      <c r="B14" s="946" t="s">
        <v>2829</v>
      </c>
      <c r="C14" s="1075" t="s">
        <v>4247</v>
      </c>
      <c r="D14" s="890"/>
      <c r="E14" s="907" t="s">
        <v>2829</v>
      </c>
      <c r="F14" s="917">
        <v>3255621000</v>
      </c>
      <c r="G14" s="878" t="s">
        <v>1752</v>
      </c>
      <c r="H14" s="878"/>
      <c r="I14" s="861"/>
      <c r="J14" s="862"/>
      <c r="K14" s="862"/>
      <c r="L14" s="862"/>
      <c r="M14" s="863" t="s">
        <v>2967</v>
      </c>
      <c r="N14" s="862">
        <v>2018</v>
      </c>
      <c r="O14" s="862"/>
      <c r="P14" s="903"/>
      <c r="Q14" s="861"/>
      <c r="R14" s="862"/>
      <c r="S14" s="903" t="s">
        <v>12</v>
      </c>
      <c r="T14" s="879"/>
      <c r="U14" s="1081"/>
      <c r="V14" s="1118"/>
      <c r="W14" s="883" t="str">
        <f>LEFT(G14,8)</f>
        <v>03.11.01</v>
      </c>
      <c r="X14" s="884" t="str">
        <f>VLOOKUP(W14,UE,3)</f>
        <v>Bangunan Gedung Tempat Kerja</v>
      </c>
      <c r="Y14" s="884">
        <f>VLOOKUP(W14,UE,4)</f>
        <v>50</v>
      </c>
      <c r="Z14" s="868"/>
      <c r="AA14" s="1051"/>
      <c r="AB14" s="868"/>
      <c r="AC14" s="868"/>
      <c r="AD14" s="868"/>
      <c r="AE14" s="868"/>
      <c r="AF14" s="868"/>
      <c r="AG14" s="886"/>
      <c r="AH14" s="886"/>
      <c r="AI14" s="1077">
        <f>T14-AH14</f>
        <v>0</v>
      </c>
    </row>
    <row r="15" spans="1:37" s="946" customFormat="1" ht="40.5" customHeight="1" x14ac:dyDescent="0.2">
      <c r="A15" s="1306"/>
      <c r="C15" s="1075"/>
      <c r="D15" s="890"/>
      <c r="E15" s="1090" t="s">
        <v>3031</v>
      </c>
      <c r="F15" s="1091"/>
      <c r="G15" s="878" t="s">
        <v>1752</v>
      </c>
      <c r="H15" s="878"/>
      <c r="I15" s="861"/>
      <c r="J15" s="862"/>
      <c r="K15" s="862"/>
      <c r="L15" s="862"/>
      <c r="M15" s="863" t="s">
        <v>2968</v>
      </c>
      <c r="N15" s="862">
        <v>2017</v>
      </c>
      <c r="O15" s="862"/>
      <c r="P15" s="903"/>
      <c r="Q15" s="861"/>
      <c r="R15" s="862"/>
      <c r="S15" s="903"/>
      <c r="T15" s="879">
        <v>495349000</v>
      </c>
      <c r="U15" s="1081"/>
      <c r="V15" s="1118"/>
      <c r="W15" s="1124" t="str">
        <f>LEFT(G15,8)</f>
        <v>03.11.01</v>
      </c>
      <c r="X15" s="884" t="str">
        <f>VLOOKUP(W15,UE,3)</f>
        <v>Bangunan Gedung Tempat Kerja</v>
      </c>
      <c r="Y15" s="884">
        <f>VLOOKUP(W15,UE,4)</f>
        <v>50</v>
      </c>
      <c r="Z15" s="868">
        <f>T15/Y15</f>
        <v>9906980</v>
      </c>
      <c r="AA15" s="1051">
        <f>IF(2013-N15&gt;Y15,Y15,IF(2013-N15&lt;0,0,2013-N15))</f>
        <v>0</v>
      </c>
      <c r="AB15" s="868">
        <f>IF(AA15&gt;Y15,T15,Z15*AA15)</f>
        <v>0</v>
      </c>
      <c r="AC15" s="868"/>
      <c r="AD15" s="868"/>
      <c r="AE15" s="868"/>
      <c r="AF15" s="886">
        <f>IF(T15=AB15+AC15+AD15+AE15,0,Z15)</f>
        <v>9906980</v>
      </c>
      <c r="AG15" s="886">
        <f>IF(T15=AB15+AC15+AD15+AE15+AF15,0,Z15)</f>
        <v>9906980</v>
      </c>
      <c r="AH15" s="886">
        <f>SUM(AB15:AG15)</f>
        <v>19813960</v>
      </c>
      <c r="AI15" s="1077">
        <f>T15-AH15</f>
        <v>475535040</v>
      </c>
    </row>
    <row r="16" spans="1:37" s="946" customFormat="1" ht="40.5" customHeight="1" x14ac:dyDescent="0.2">
      <c r="A16" s="1306"/>
      <c r="C16" s="1075"/>
      <c r="D16" s="890"/>
      <c r="E16" s="907" t="s">
        <v>2830</v>
      </c>
      <c r="F16" s="917"/>
      <c r="G16" s="878" t="s">
        <v>1752</v>
      </c>
      <c r="H16" s="878"/>
      <c r="I16" s="861"/>
      <c r="J16" s="862"/>
      <c r="K16" s="862"/>
      <c r="L16" s="862"/>
      <c r="M16" s="863" t="s">
        <v>2969</v>
      </c>
      <c r="N16" s="862">
        <v>2018</v>
      </c>
      <c r="O16" s="862"/>
      <c r="P16" s="903"/>
      <c r="Q16" s="861"/>
      <c r="R16" s="862"/>
      <c r="S16" s="903" t="s">
        <v>12</v>
      </c>
      <c r="T16" s="879">
        <v>558819000</v>
      </c>
      <c r="U16" s="1081"/>
      <c r="V16" s="1118"/>
      <c r="W16" s="1124" t="str">
        <f>LEFT(G16,8)</f>
        <v>03.11.01</v>
      </c>
      <c r="X16" s="884" t="str">
        <f>VLOOKUP(W16,UE,3)</f>
        <v>Bangunan Gedung Tempat Kerja</v>
      </c>
      <c r="Y16" s="884">
        <f>VLOOKUP(W16,UE,4)</f>
        <v>50</v>
      </c>
      <c r="Z16" s="868">
        <f>T16/Y16</f>
        <v>11176380</v>
      </c>
      <c r="AA16" s="1051">
        <f>IF(2013-N16&gt;Y16,Y16,IF(2013-N16&lt;0,0,2013-N16))</f>
        <v>0</v>
      </c>
      <c r="AB16" s="868">
        <f>IF(AA16&gt;Y16,T16,Z16*AA16)</f>
        <v>0</v>
      </c>
      <c r="AC16" s="868"/>
      <c r="AD16" s="868"/>
      <c r="AE16" s="868"/>
      <c r="AF16" s="886"/>
      <c r="AG16" s="886">
        <f>IF(T16=AB16+AC16+AD16+AE16+AF16,0,Z16)</f>
        <v>11176380</v>
      </c>
      <c r="AH16" s="886">
        <f>SUM(AB16:AG16)</f>
        <v>11176380</v>
      </c>
      <c r="AI16" s="1077">
        <f>T16-AH16</f>
        <v>547642620</v>
      </c>
    </row>
    <row r="17" spans="1:34" s="946" customFormat="1" ht="24" customHeight="1" thickBot="1" x14ac:dyDescent="0.25">
      <c r="A17" s="1306"/>
      <c r="D17" s="1107"/>
      <c r="E17" s="1093"/>
      <c r="F17" s="1094"/>
      <c r="G17" s="1095"/>
      <c r="H17" s="1096"/>
      <c r="I17" s="1097"/>
      <c r="J17" s="1096"/>
      <c r="K17" s="1098"/>
      <c r="L17" s="1096"/>
      <c r="M17" s="1093"/>
      <c r="N17" s="1096"/>
      <c r="O17" s="1096"/>
      <c r="P17" s="1097"/>
      <c r="Q17" s="1097"/>
      <c r="R17" s="1095"/>
      <c r="S17" s="1098"/>
      <c r="T17" s="1099"/>
      <c r="U17" s="1108"/>
      <c r="V17" s="970"/>
      <c r="W17" s="1306"/>
      <c r="Z17" s="958"/>
      <c r="AA17" s="1038"/>
      <c r="AB17" s="958"/>
      <c r="AC17" s="958"/>
      <c r="AD17" s="958"/>
      <c r="AE17" s="958"/>
      <c r="AF17" s="958"/>
      <c r="AG17" s="958"/>
      <c r="AH17" s="958"/>
    </row>
    <row r="19" spans="1:34" x14ac:dyDescent="0.15">
      <c r="AH19" s="1036" t="e">
        <f>SUBTOTAL(9,AH13:AH13)</f>
        <v>#REF!</v>
      </c>
    </row>
    <row r="20" spans="1:34" x14ac:dyDescent="0.15">
      <c r="D20" s="1919" t="s">
        <v>1109</v>
      </c>
      <c r="E20" s="1919"/>
      <c r="F20" s="1919"/>
      <c r="G20" s="1919"/>
    </row>
    <row r="21" spans="1:34" x14ac:dyDescent="0.15">
      <c r="D21" s="1940" t="s">
        <v>23</v>
      </c>
      <c r="E21" s="1940"/>
      <c r="F21" s="1940"/>
      <c r="G21" s="1940"/>
      <c r="R21" s="1940" t="s">
        <v>884</v>
      </c>
      <c r="S21" s="1940"/>
      <c r="T21" s="1940"/>
      <c r="U21" s="1940"/>
      <c r="V21" s="1301"/>
    </row>
    <row r="22" spans="1:34" x14ac:dyDescent="0.15">
      <c r="D22" s="1940" t="s">
        <v>25</v>
      </c>
      <c r="E22" s="1940"/>
      <c r="F22" s="1940"/>
      <c r="G22" s="1940"/>
      <c r="R22" s="1940" t="s">
        <v>24</v>
      </c>
      <c r="S22" s="1940"/>
      <c r="T22" s="1940"/>
      <c r="U22" s="1940"/>
      <c r="V22" s="1301"/>
    </row>
    <row r="23" spans="1:34" x14ac:dyDescent="0.15">
      <c r="D23" s="1109"/>
      <c r="E23" s="1109"/>
      <c r="F23" s="1110"/>
      <c r="G23" s="1109"/>
      <c r="R23" s="1043"/>
      <c r="S23" s="1043"/>
      <c r="T23" s="1050"/>
      <c r="U23" s="1043"/>
      <c r="V23" s="1043"/>
    </row>
    <row r="24" spans="1:34" x14ac:dyDescent="0.15">
      <c r="D24" s="1109"/>
      <c r="E24" s="1109"/>
      <c r="F24" s="1110"/>
      <c r="G24" s="1109"/>
      <c r="R24" s="1043"/>
      <c r="S24" s="1043"/>
      <c r="T24" s="1050"/>
      <c r="U24" s="1043"/>
      <c r="V24" s="1043"/>
    </row>
    <row r="25" spans="1:34" x14ac:dyDescent="0.15">
      <c r="D25" s="1043"/>
      <c r="E25" s="1043"/>
      <c r="F25" s="1050"/>
      <c r="G25" s="1043"/>
      <c r="R25" s="1043"/>
      <c r="S25" s="1043"/>
      <c r="T25" s="1050"/>
      <c r="U25" s="1043"/>
      <c r="V25" s="1043"/>
    </row>
    <row r="26" spans="1:34" x14ac:dyDescent="0.15">
      <c r="D26" s="1043"/>
      <c r="E26" s="1043"/>
      <c r="F26" s="1050"/>
      <c r="G26" s="1043"/>
      <c r="R26" s="1043"/>
      <c r="S26" s="1043"/>
      <c r="T26" s="1050"/>
      <c r="U26" s="1043"/>
      <c r="V26" s="1043"/>
    </row>
    <row r="27" spans="1:34" x14ac:dyDescent="0.15">
      <c r="D27" s="1043"/>
      <c r="E27" s="1043"/>
      <c r="F27" s="1050"/>
      <c r="G27" s="1043"/>
      <c r="R27" s="1043"/>
      <c r="S27" s="1043"/>
      <c r="T27" s="1050"/>
      <c r="U27" s="1043"/>
      <c r="V27" s="1043"/>
    </row>
    <row r="28" spans="1:34" x14ac:dyDescent="0.15">
      <c r="D28" s="1941" t="s">
        <v>26</v>
      </c>
      <c r="E28" s="1941"/>
      <c r="F28" s="1941"/>
      <c r="G28" s="1941"/>
      <c r="R28" s="1941" t="s">
        <v>27</v>
      </c>
      <c r="S28" s="1941"/>
      <c r="T28" s="1941"/>
      <c r="U28" s="1941"/>
      <c r="V28" s="1302"/>
    </row>
    <row r="29" spans="1:34" x14ac:dyDescent="0.15">
      <c r="D29" s="1940" t="s">
        <v>28</v>
      </c>
      <c r="E29" s="1940"/>
      <c r="F29" s="1940"/>
      <c r="G29" s="1940"/>
      <c r="R29" s="1940" t="s">
        <v>29</v>
      </c>
      <c r="S29" s="1940"/>
      <c r="T29" s="1940"/>
      <c r="U29" s="1940"/>
      <c r="V29" s="1301"/>
    </row>
    <row r="30" spans="1:34" x14ac:dyDescent="0.15">
      <c r="R30" s="1940"/>
      <c r="S30" s="1940"/>
      <c r="T30" s="1940"/>
      <c r="U30" s="1940"/>
      <c r="V30" s="1301"/>
    </row>
  </sheetData>
  <autoFilter ref="A9:AK17" xr:uid="{00000000-0009-0000-0000-000008000000}"/>
  <mergeCells count="47">
    <mergeCell ref="D29:G29"/>
    <mergeCell ref="R29:U29"/>
    <mergeCell ref="R30:U30"/>
    <mergeCell ref="D21:G21"/>
    <mergeCell ref="R21:U21"/>
    <mergeCell ref="D22:G22"/>
    <mergeCell ref="R22:U22"/>
    <mergeCell ref="D28:G28"/>
    <mergeCell ref="R28:U28"/>
    <mergeCell ref="AC7:AC8"/>
    <mergeCell ref="AD7:AD8"/>
    <mergeCell ref="AE7:AE8"/>
    <mergeCell ref="AF7:AF8"/>
    <mergeCell ref="AG7:AG8"/>
    <mergeCell ref="D20:G20"/>
    <mergeCell ref="AA6:AA8"/>
    <mergeCell ref="AB6:AG6"/>
    <mergeCell ref="AH6:AH8"/>
    <mergeCell ref="AI6:AI8"/>
    <mergeCell ref="J7:J8"/>
    <mergeCell ref="K7:K8"/>
    <mergeCell ref="L7:L8"/>
    <mergeCell ref="N7:N8"/>
    <mergeCell ref="O7:O8"/>
    <mergeCell ref="AB7:AB8"/>
    <mergeCell ref="T6:T8"/>
    <mergeCell ref="U6:U8"/>
    <mergeCell ref="W6:W8"/>
    <mergeCell ref="X6:X8"/>
    <mergeCell ref="Y6:Y8"/>
    <mergeCell ref="Z6:Z8"/>
    <mergeCell ref="M6:M8"/>
    <mergeCell ref="N6:O6"/>
    <mergeCell ref="P6:P8"/>
    <mergeCell ref="Q6:Q8"/>
    <mergeCell ref="R6:R8"/>
    <mergeCell ref="S6:S8"/>
    <mergeCell ref="D2:U2"/>
    <mergeCell ref="D3:U3"/>
    <mergeCell ref="B6:B8"/>
    <mergeCell ref="D6:D8"/>
    <mergeCell ref="E6:E8"/>
    <mergeCell ref="F6:F8"/>
    <mergeCell ref="G6:G8"/>
    <mergeCell ref="H6:H8"/>
    <mergeCell ref="I6:I8"/>
    <mergeCell ref="J6:L6"/>
  </mergeCells>
  <printOptions horizontalCentered="1"/>
  <pageMargins left="0.43307086614173229" right="0.35433070866141736" top="0.6692913385826772" bottom="0.74803149606299213" header="0.31496062992125984" footer="0.31496062992125984"/>
  <pageSetup paperSize="258" scale="55" orientation="landscape"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K295"/>
  <sheetViews>
    <sheetView view="pageBreakPreview" topLeftCell="C1" zoomScale="70" zoomScaleNormal="80" zoomScaleSheetLayoutView="70" workbookViewId="0">
      <selection activeCell="K13" sqref="K13"/>
    </sheetView>
  </sheetViews>
  <sheetFormatPr baseColWidth="10" defaultColWidth="9.1640625" defaultRowHeight="14" x14ac:dyDescent="0.15"/>
  <cols>
    <col min="1" max="1" width="4" style="1034" hidden="1" customWidth="1"/>
    <col min="2" max="2" width="6.6640625" style="1356" hidden="1" customWidth="1"/>
    <col min="3" max="3" width="7" style="1348" customWidth="1"/>
    <col min="4" max="4" width="45.83203125" style="1035" customWidth="1"/>
    <col min="5" max="5" width="17" style="1343" customWidth="1"/>
    <col min="6" max="6" width="11.83203125" style="1344" customWidth="1"/>
    <col min="7" max="7" width="14.83203125" style="1035" customWidth="1"/>
    <col min="8" max="8" width="14.5" style="1343" customWidth="1"/>
    <col min="9" max="9" width="9.6640625" style="1035" customWidth="1"/>
    <col min="10" max="10" width="13" style="1343" customWidth="1"/>
    <col min="11" max="11" width="32.6640625" style="1347" customWidth="1"/>
    <col min="12" max="12" width="12" style="1343" customWidth="1"/>
    <col min="13" max="13" width="26.5" style="1035" customWidth="1"/>
    <col min="14" max="14" width="8.5" style="1034" bestFit="1" customWidth="1"/>
    <col min="15" max="15" width="10.83203125" style="1034" bestFit="1" customWidth="1"/>
    <col min="16" max="16" width="13.6640625" style="1035" customWidth="1"/>
    <col min="17" max="17" width="12.6640625" style="1034" customWidth="1"/>
    <col min="18" max="18" width="22.6640625" style="1036" customWidth="1"/>
    <col min="19" max="19" width="14" style="1035" customWidth="1"/>
    <col min="20" max="20" width="17.33203125" style="1035" customWidth="1"/>
    <col min="21" max="21" width="14.6640625" style="995" customWidth="1"/>
    <col min="22" max="22" width="27.5" style="1035" customWidth="1"/>
    <col min="23" max="23" width="24" style="1035" customWidth="1"/>
    <col min="24" max="24" width="24" style="1036" customWidth="1"/>
    <col min="25" max="25" width="24" style="1038" customWidth="1"/>
    <col min="26" max="26" width="30" style="1036" customWidth="1"/>
    <col min="27" max="27" width="27.1640625" style="1036" customWidth="1"/>
    <col min="28" max="28" width="28.33203125" style="1036" customWidth="1"/>
    <col min="29" max="29" width="26.83203125" style="1036" customWidth="1"/>
    <col min="30" max="30" width="28" style="1036" customWidth="1"/>
    <col min="31" max="32" width="27.5" style="1036" customWidth="1"/>
    <col min="33" max="33" width="31.5" style="1036" customWidth="1"/>
    <col min="34" max="34" width="29.5" style="1035" customWidth="1"/>
    <col min="35" max="35" width="9.1640625" style="1035"/>
    <col min="36" max="36" width="20.33203125" style="1035" customWidth="1"/>
    <col min="37" max="37" width="29.1640625" style="1035" bestFit="1" customWidth="1"/>
    <col min="38" max="16384" width="9.1640625" style="1035"/>
  </cols>
  <sheetData>
    <row r="2" spans="1:37" s="1390" customFormat="1" ht="33" customHeight="1" x14ac:dyDescent="0.2">
      <c r="A2" s="1391"/>
      <c r="B2" s="1477"/>
      <c r="C2" s="1859" t="s">
        <v>0</v>
      </c>
      <c r="D2" s="1859"/>
      <c r="E2" s="1859"/>
      <c r="F2" s="1859"/>
      <c r="G2" s="1859"/>
      <c r="H2" s="1859"/>
      <c r="I2" s="1859"/>
      <c r="J2" s="1859"/>
      <c r="K2" s="1859"/>
      <c r="L2" s="1859"/>
      <c r="M2" s="1859"/>
      <c r="N2" s="1859"/>
      <c r="O2" s="1859"/>
      <c r="P2" s="1859"/>
      <c r="Q2" s="1859"/>
      <c r="R2" s="1859"/>
      <c r="S2" s="1859"/>
      <c r="T2" s="1424"/>
      <c r="U2" s="1391"/>
      <c r="X2" s="1401"/>
      <c r="Y2" s="1629"/>
      <c r="Z2" s="1401"/>
      <c r="AA2" s="1401"/>
      <c r="AB2" s="1401"/>
      <c r="AC2" s="1401"/>
      <c r="AD2" s="1401"/>
      <c r="AE2" s="1401"/>
      <c r="AF2" s="1401"/>
      <c r="AG2" s="1401"/>
    </row>
    <row r="3" spans="1:37" s="1390" customFormat="1" ht="33" customHeight="1" x14ac:dyDescent="0.2">
      <c r="A3" s="1391"/>
      <c r="B3" s="1477"/>
      <c r="C3" s="1859" t="s">
        <v>472</v>
      </c>
      <c r="D3" s="1859"/>
      <c r="E3" s="1859"/>
      <c r="F3" s="1859"/>
      <c r="G3" s="1859"/>
      <c r="H3" s="1859"/>
      <c r="I3" s="1859"/>
      <c r="J3" s="1859"/>
      <c r="K3" s="1859"/>
      <c r="L3" s="1859"/>
      <c r="M3" s="1859"/>
      <c r="N3" s="1859"/>
      <c r="O3" s="1859"/>
      <c r="P3" s="1859"/>
      <c r="Q3" s="1859"/>
      <c r="R3" s="1859"/>
      <c r="S3" s="1859"/>
      <c r="T3" s="1424"/>
      <c r="U3" s="1391"/>
      <c r="X3" s="1401"/>
      <c r="Y3" s="1629"/>
      <c r="Z3" s="1401"/>
      <c r="AA3" s="1401"/>
      <c r="AB3" s="1401"/>
      <c r="AC3" s="1401"/>
      <c r="AD3" s="1401"/>
      <c r="AE3" s="1401"/>
      <c r="AF3" s="1401"/>
      <c r="AG3" s="1401"/>
    </row>
    <row r="4" spans="1:37" s="1403" customFormat="1" ht="15" customHeight="1" x14ac:dyDescent="0.15">
      <c r="A4" s="1404"/>
      <c r="B4" s="1627"/>
      <c r="C4" s="1630"/>
      <c r="D4" s="1628"/>
      <c r="E4" s="1628"/>
      <c r="F4" s="1424"/>
      <c r="G4" s="1628"/>
      <c r="H4" s="1628"/>
      <c r="I4" s="1628"/>
      <c r="J4" s="1628"/>
      <c r="K4" s="1631"/>
      <c r="L4" s="1628"/>
      <c r="M4" s="1628"/>
      <c r="N4" s="1628"/>
      <c r="O4" s="1628"/>
      <c r="P4" s="1628"/>
      <c r="Q4" s="1628"/>
      <c r="R4" s="1632"/>
      <c r="S4" s="1628"/>
      <c r="T4" s="1628"/>
      <c r="U4" s="1391"/>
      <c r="X4" s="1406"/>
      <c r="Y4" s="1629"/>
      <c r="Z4" s="1406"/>
      <c r="AA4" s="1406"/>
      <c r="AB4" s="1406"/>
      <c r="AC4" s="1406"/>
      <c r="AD4" s="1406"/>
      <c r="AE4" s="1406"/>
      <c r="AF4" s="1406"/>
      <c r="AG4" s="1406"/>
    </row>
    <row r="5" spans="1:37" s="1390" customFormat="1" ht="28.5" customHeight="1" thickBot="1" x14ac:dyDescent="0.25">
      <c r="A5" s="1391"/>
      <c r="B5" s="1477"/>
      <c r="C5" s="1835" t="s">
        <v>32</v>
      </c>
      <c r="D5" s="1835"/>
      <c r="E5" s="1424"/>
      <c r="F5" s="1494"/>
      <c r="G5" s="1489"/>
      <c r="H5" s="1494"/>
      <c r="I5" s="1489"/>
      <c r="J5" s="1494"/>
      <c r="K5" s="1657"/>
      <c r="L5" s="1494"/>
      <c r="M5" s="1489"/>
      <c r="N5" s="1494"/>
      <c r="O5" s="1494"/>
      <c r="P5" s="1489"/>
      <c r="Q5" s="1494"/>
      <c r="R5" s="1514"/>
      <c r="S5" s="1489"/>
      <c r="T5" s="1489"/>
      <c r="U5" s="1391"/>
      <c r="X5" s="1401"/>
      <c r="Y5" s="1629"/>
      <c r="Z5" s="1401"/>
      <c r="AA5" s="1401"/>
      <c r="AB5" s="1401"/>
      <c r="AC5" s="1401"/>
      <c r="AD5" s="1401"/>
      <c r="AE5" s="1401"/>
      <c r="AF5" s="1401"/>
      <c r="AG5" s="1401"/>
    </row>
    <row r="6" spans="1:37" s="1451" customFormat="1" ht="27.75" customHeight="1" x14ac:dyDescent="0.15">
      <c r="A6" s="1628"/>
      <c r="B6" s="1942" t="s">
        <v>3003</v>
      </c>
      <c r="C6" s="1844" t="s">
        <v>869</v>
      </c>
      <c r="D6" s="1847" t="s">
        <v>870</v>
      </c>
      <c r="E6" s="1847" t="s">
        <v>877</v>
      </c>
      <c r="F6" s="1847" t="s">
        <v>878</v>
      </c>
      <c r="G6" s="1847" t="s">
        <v>1101</v>
      </c>
      <c r="H6" s="1847" t="s">
        <v>1102</v>
      </c>
      <c r="I6" s="1847"/>
      <c r="J6" s="1847"/>
      <c r="K6" s="1847" t="s">
        <v>874</v>
      </c>
      <c r="L6" s="1847" t="s">
        <v>1103</v>
      </c>
      <c r="M6" s="1847"/>
      <c r="N6" s="1847" t="s">
        <v>872</v>
      </c>
      <c r="O6" s="1847" t="s">
        <v>875</v>
      </c>
      <c r="P6" s="1847" t="s">
        <v>1104</v>
      </c>
      <c r="Q6" s="1847" t="s">
        <v>909</v>
      </c>
      <c r="R6" s="1863" t="s">
        <v>1105</v>
      </c>
      <c r="S6" s="1943" t="s">
        <v>911</v>
      </c>
      <c r="T6" s="1496"/>
      <c r="U6" s="1952" t="s">
        <v>2279</v>
      </c>
      <c r="V6" s="1945" t="s">
        <v>2280</v>
      </c>
      <c r="W6" s="1945" t="s">
        <v>2281</v>
      </c>
      <c r="X6" s="1954" t="s">
        <v>2282</v>
      </c>
      <c r="Y6" s="1952" t="s">
        <v>4778</v>
      </c>
      <c r="Z6" s="1949" t="s">
        <v>4785</v>
      </c>
      <c r="AA6" s="1950"/>
      <c r="AB6" s="1950"/>
      <c r="AC6" s="1950"/>
      <c r="AD6" s="1950"/>
      <c r="AE6" s="1950"/>
      <c r="AF6" s="1951"/>
      <c r="AG6" s="1947" t="s">
        <v>6019</v>
      </c>
      <c r="AH6" s="1945" t="s">
        <v>2289</v>
      </c>
    </row>
    <row r="7" spans="1:37" s="1451" customFormat="1" ht="47" customHeight="1" thickBot="1" x14ac:dyDescent="0.2">
      <c r="A7" s="1628"/>
      <c r="B7" s="1942"/>
      <c r="C7" s="1846"/>
      <c r="D7" s="1839"/>
      <c r="E7" s="1839"/>
      <c r="F7" s="1839"/>
      <c r="G7" s="1839"/>
      <c r="H7" s="1623" t="s">
        <v>1106</v>
      </c>
      <c r="I7" s="1623" t="s">
        <v>1107</v>
      </c>
      <c r="J7" s="1623" t="s">
        <v>1108</v>
      </c>
      <c r="K7" s="1839"/>
      <c r="L7" s="1609" t="s">
        <v>5810</v>
      </c>
      <c r="M7" s="1609" t="s">
        <v>883</v>
      </c>
      <c r="N7" s="1839"/>
      <c r="O7" s="1839"/>
      <c r="P7" s="1839"/>
      <c r="Q7" s="1839"/>
      <c r="R7" s="1865"/>
      <c r="S7" s="1944"/>
      <c r="T7" s="1496"/>
      <c r="U7" s="1953"/>
      <c r="V7" s="1946"/>
      <c r="W7" s="1946"/>
      <c r="X7" s="1955"/>
      <c r="Y7" s="1953"/>
      <c r="Z7" s="1634" t="s">
        <v>5665</v>
      </c>
      <c r="AA7" s="1635">
        <v>2014</v>
      </c>
      <c r="AB7" s="1635">
        <v>2015</v>
      </c>
      <c r="AC7" s="1635">
        <v>2016</v>
      </c>
      <c r="AD7" s="1635">
        <v>2017</v>
      </c>
      <c r="AE7" s="1635">
        <v>2018</v>
      </c>
      <c r="AF7" s="1635">
        <v>2019</v>
      </c>
      <c r="AG7" s="1948"/>
      <c r="AH7" s="1946"/>
    </row>
    <row r="8" spans="1:37" s="1451" customFormat="1" ht="21" customHeight="1" thickBot="1" x14ac:dyDescent="0.2">
      <c r="A8" s="1628"/>
      <c r="B8" s="1636"/>
      <c r="C8" s="1671">
        <v>1</v>
      </c>
      <c r="D8" s="1672">
        <v>2</v>
      </c>
      <c r="E8" s="1672">
        <v>3</v>
      </c>
      <c r="F8" s="1673">
        <v>4</v>
      </c>
      <c r="G8" s="1673">
        <v>5</v>
      </c>
      <c r="H8" s="1672">
        <v>6</v>
      </c>
      <c r="I8" s="1672">
        <v>7</v>
      </c>
      <c r="J8" s="1673">
        <v>8</v>
      </c>
      <c r="K8" s="1674">
        <v>9</v>
      </c>
      <c r="L8" s="1672">
        <v>10</v>
      </c>
      <c r="M8" s="1672">
        <v>11</v>
      </c>
      <c r="N8" s="1672">
        <v>12</v>
      </c>
      <c r="O8" s="1672">
        <v>13</v>
      </c>
      <c r="P8" s="1672">
        <v>14</v>
      </c>
      <c r="Q8" s="1673">
        <v>15</v>
      </c>
      <c r="R8" s="1675">
        <v>16</v>
      </c>
      <c r="S8" s="1676">
        <v>17</v>
      </c>
      <c r="T8" s="1637"/>
      <c r="U8" s="1424"/>
      <c r="X8" s="1638"/>
      <c r="Y8" s="1639"/>
      <c r="Z8" s="1638"/>
      <c r="AA8" s="1638"/>
      <c r="AB8" s="1638"/>
      <c r="AC8" s="1638"/>
      <c r="AD8" s="1638"/>
      <c r="AE8" s="1638"/>
      <c r="AF8" s="1638"/>
      <c r="AG8" s="1638"/>
    </row>
    <row r="9" spans="1:37" s="1451" customFormat="1" ht="21" customHeight="1" thickTop="1" x14ac:dyDescent="0.15">
      <c r="A9" s="1628"/>
      <c r="B9" s="1636"/>
      <c r="C9" s="1666"/>
      <c r="D9" s="1667"/>
      <c r="E9" s="1667"/>
      <c r="F9" s="1633"/>
      <c r="G9" s="1633"/>
      <c r="H9" s="1667"/>
      <c r="I9" s="1667"/>
      <c r="J9" s="1633"/>
      <c r="K9" s="1669"/>
      <c r="L9" s="1667"/>
      <c r="M9" s="1667"/>
      <c r="N9" s="1667"/>
      <c r="O9" s="1667"/>
      <c r="P9" s="1667"/>
      <c r="Q9" s="1633"/>
      <c r="R9" s="1670"/>
      <c r="S9" s="1668"/>
      <c r="T9" s="1637"/>
      <c r="U9" s="1424"/>
      <c r="X9" s="1638"/>
      <c r="Y9" s="1639"/>
      <c r="Z9" s="1638"/>
      <c r="AA9" s="1638"/>
      <c r="AB9" s="1638"/>
      <c r="AC9" s="1638"/>
      <c r="AD9" s="1638"/>
      <c r="AE9" s="1638"/>
      <c r="AF9" s="1638"/>
      <c r="AG9" s="1638"/>
    </row>
    <row r="10" spans="1:37" s="1407" customFormat="1" ht="40.5" customHeight="1" x14ac:dyDescent="0.2">
      <c r="A10" s="1424"/>
      <c r="B10" s="1489"/>
      <c r="C10" s="1658" t="s">
        <v>471</v>
      </c>
      <c r="D10" s="1410" t="s">
        <v>1013</v>
      </c>
      <c r="E10" s="1640"/>
      <c r="F10" s="1498"/>
      <c r="G10" s="1641"/>
      <c r="H10" s="1498"/>
      <c r="I10" s="1641"/>
      <c r="J10" s="1498"/>
      <c r="K10" s="1642"/>
      <c r="L10" s="1498"/>
      <c r="M10" s="1641"/>
      <c r="N10" s="1498"/>
      <c r="O10" s="1498"/>
      <c r="P10" s="1641"/>
      <c r="Q10" s="1498"/>
      <c r="R10" s="1643">
        <f>R12+R267</f>
        <v>197583385215.44348</v>
      </c>
      <c r="S10" s="1659"/>
      <c r="T10" s="1644"/>
      <c r="U10" s="1424"/>
      <c r="V10" s="1511"/>
      <c r="X10" s="1446"/>
      <c r="Y10" s="1639"/>
      <c r="Z10" s="1446">
        <f t="shared" ref="Z10:AH10" si="0">Z12+Z267</f>
        <v>11421342099.169632</v>
      </c>
      <c r="AA10" s="1446">
        <f t="shared" si="0"/>
        <v>2910821336.1954575</v>
      </c>
      <c r="AB10" s="1446">
        <f t="shared" si="0"/>
        <v>3424340924.653861</v>
      </c>
      <c r="AC10" s="1446">
        <f t="shared" si="0"/>
        <v>3375138022.0446596</v>
      </c>
      <c r="AD10" s="1446">
        <f t="shared" si="0"/>
        <v>3444295556.7769632</v>
      </c>
      <c r="AE10" s="1446">
        <f t="shared" si="0"/>
        <v>3632519773.1169634</v>
      </c>
      <c r="AF10" s="1446">
        <f t="shared" si="0"/>
        <v>3894904569.2321577</v>
      </c>
      <c r="AG10" s="1446">
        <f t="shared" si="0"/>
        <v>32103362281.189686</v>
      </c>
      <c r="AH10" s="1446">
        <f t="shared" si="0"/>
        <v>165073900054.25385</v>
      </c>
      <c r="AJ10" s="1515"/>
    </row>
    <row r="11" spans="1:37" s="1407" customFormat="1" ht="25" customHeight="1" x14ac:dyDescent="0.2">
      <c r="A11" s="1424"/>
      <c r="B11" s="1489"/>
      <c r="C11" s="1658"/>
      <c r="D11" s="1410" t="s">
        <v>52</v>
      </c>
      <c r="E11" s="1640"/>
      <c r="F11" s="1498"/>
      <c r="G11" s="1641"/>
      <c r="H11" s="1498"/>
      <c r="I11" s="1641"/>
      <c r="J11" s="1498"/>
      <c r="K11" s="1642"/>
      <c r="L11" s="1498"/>
      <c r="M11" s="1641"/>
      <c r="N11" s="1498"/>
      <c r="O11" s="1498"/>
      <c r="P11" s="1641"/>
      <c r="Q11" s="1498"/>
      <c r="R11" s="1643"/>
      <c r="S11" s="1659"/>
      <c r="T11" s="1644"/>
      <c r="U11" s="1424"/>
      <c r="X11" s="1446"/>
      <c r="Y11" s="1639"/>
      <c r="Z11" s="1446"/>
      <c r="AA11" s="1446"/>
      <c r="AB11" s="1446"/>
      <c r="AC11" s="1446"/>
      <c r="AD11" s="1446"/>
      <c r="AE11" s="1446"/>
      <c r="AF11" s="1446"/>
      <c r="AG11" s="1446"/>
    </row>
    <row r="12" spans="1:37" s="1407" customFormat="1" ht="40.5" customHeight="1" x14ac:dyDescent="0.2">
      <c r="A12" s="1424"/>
      <c r="B12" s="1489"/>
      <c r="C12" s="1658" t="s">
        <v>470</v>
      </c>
      <c r="D12" s="1410" t="s">
        <v>1014</v>
      </c>
      <c r="E12" s="1469"/>
      <c r="F12" s="1469"/>
      <c r="G12" s="1508"/>
      <c r="H12" s="1469"/>
      <c r="I12" s="1508"/>
      <c r="J12" s="1469"/>
      <c r="K12" s="1599"/>
      <c r="L12" s="1469"/>
      <c r="M12" s="1508"/>
      <c r="N12" s="1469"/>
      <c r="O12" s="1469"/>
      <c r="P12" s="1508"/>
      <c r="Q12" s="1469"/>
      <c r="R12" s="1506">
        <f>SUM(R13:R265)</f>
        <v>189488101386.50531</v>
      </c>
      <c r="S12" s="1571"/>
      <c r="T12" s="1489"/>
      <c r="U12" s="1424"/>
      <c r="V12" s="1497"/>
      <c r="X12" s="1446"/>
      <c r="Y12" s="1639"/>
      <c r="Z12" s="1446">
        <f t="shared" ref="Z12:AH12" si="1">SUM(Z13:Z265)</f>
        <v>10430881943.592873</v>
      </c>
      <c r="AA12" s="1446">
        <f t="shared" si="1"/>
        <v>2748915659.616694</v>
      </c>
      <c r="AB12" s="1446">
        <f t="shared" si="1"/>
        <v>3262435248.0750976</v>
      </c>
      <c r="AC12" s="1446">
        <f t="shared" si="1"/>
        <v>3213232345.4658961</v>
      </c>
      <c r="AD12" s="1446">
        <f t="shared" si="1"/>
        <v>3282389880.1981997</v>
      </c>
      <c r="AE12" s="1446">
        <f t="shared" si="1"/>
        <v>3470614096.5381999</v>
      </c>
      <c r="AF12" s="1446">
        <f t="shared" si="1"/>
        <v>3732998892.6533942</v>
      </c>
      <c r="AG12" s="1446">
        <f t="shared" si="1"/>
        <v>30141468066.140343</v>
      </c>
      <c r="AH12" s="1446">
        <f t="shared" si="1"/>
        <v>158940510440.36499</v>
      </c>
      <c r="AJ12" s="1515"/>
      <c r="AK12" s="1447">
        <f>SUM(Z12:AE12)</f>
        <v>26408469173.486961</v>
      </c>
    </row>
    <row r="13" spans="1:37" s="1390" customFormat="1" ht="40.5" customHeight="1" x14ac:dyDescent="0.2">
      <c r="A13" s="1391"/>
      <c r="B13" s="1477"/>
      <c r="C13" s="1660">
        <v>1</v>
      </c>
      <c r="D13" s="1455" t="s">
        <v>469</v>
      </c>
      <c r="E13" s="1501" t="s">
        <v>1752</v>
      </c>
      <c r="F13" s="1501"/>
      <c r="G13" s="1416"/>
      <c r="H13" s="1416"/>
      <c r="I13" s="1414"/>
      <c r="J13" s="1416"/>
      <c r="K13" s="1455" t="s">
        <v>467</v>
      </c>
      <c r="L13" s="1416">
        <v>1984</v>
      </c>
      <c r="M13" s="1429"/>
      <c r="N13" s="1501">
        <v>36</v>
      </c>
      <c r="O13" s="1501" t="s">
        <v>430</v>
      </c>
      <c r="P13" s="1414"/>
      <c r="Q13" s="1501" t="s">
        <v>12</v>
      </c>
      <c r="R13" s="1539">
        <v>27928800</v>
      </c>
      <c r="S13" s="1575"/>
      <c r="T13" s="1490"/>
      <c r="U13" s="1645" t="str">
        <f>LEFT(E13,8)</f>
        <v>03.11.01</v>
      </c>
      <c r="V13" s="1478" t="str">
        <f t="shared" ref="V13:V56" si="2">VLOOKUP(U13,UE,3)</f>
        <v>Bangunan Gedung Tempat Kerja</v>
      </c>
      <c r="W13" s="1478">
        <f t="shared" ref="W13:W56" si="3">VLOOKUP(U13,UE,4)</f>
        <v>50</v>
      </c>
      <c r="X13" s="1401">
        <f>R13/W13</f>
        <v>558576</v>
      </c>
      <c r="Y13" s="1629">
        <f>IF(2013-L13+1&gt;W13,W13,IF(2013-L13+1&lt;0,0,2013-L13+1))</f>
        <v>30</v>
      </c>
      <c r="Z13" s="1401">
        <f>IF(Y13&gt;W13,R13,X13*Y13)</f>
        <v>16757280</v>
      </c>
      <c r="AA13" s="1401">
        <f>IF(R13=Z13,0,X13)</f>
        <v>558576</v>
      </c>
      <c r="AB13" s="1401">
        <f>IF(R13=Z13+AA13,0,X13)</f>
        <v>558576</v>
      </c>
      <c r="AC13" s="1401">
        <f>IF(R13=Z13+AA13+AB13,0,X13)</f>
        <v>558576</v>
      </c>
      <c r="AD13" s="1479">
        <f>IF(R13=Z13+AA13+AB13+AC13,0,X13)</f>
        <v>558576</v>
      </c>
      <c r="AE13" s="1479">
        <f>IF(R13=Z13+AA13+AB13+AC13+AD13,0,X13)</f>
        <v>558576</v>
      </c>
      <c r="AF13" s="1479">
        <f>IF(R13=Z13+AA13+AB13+AC13+AD13+AE13,0,X13)</f>
        <v>558576</v>
      </c>
      <c r="AG13" s="1479">
        <f>SUM(Z13:AF13)</f>
        <v>20108736</v>
      </c>
      <c r="AH13" s="1646">
        <f t="shared" ref="AH13:AH33" si="4">R13-AG13</f>
        <v>7820064</v>
      </c>
      <c r="AK13" s="1401">
        <v>10106492257.577255</v>
      </c>
    </row>
    <row r="14" spans="1:37" s="1390" customFormat="1" ht="40.5" customHeight="1" x14ac:dyDescent="0.2">
      <c r="A14" s="1391"/>
      <c r="B14" s="1477"/>
      <c r="C14" s="1660">
        <v>2</v>
      </c>
      <c r="D14" s="1455" t="s">
        <v>468</v>
      </c>
      <c r="E14" s="1501" t="s">
        <v>1752</v>
      </c>
      <c r="F14" s="1501"/>
      <c r="G14" s="1416"/>
      <c r="H14" s="1416"/>
      <c r="I14" s="1414"/>
      <c r="J14" s="1416"/>
      <c r="K14" s="1455" t="s">
        <v>467</v>
      </c>
      <c r="L14" s="1416">
        <v>1984</v>
      </c>
      <c r="M14" s="1429"/>
      <c r="N14" s="1501">
        <v>60</v>
      </c>
      <c r="O14" s="1501" t="s">
        <v>430</v>
      </c>
      <c r="P14" s="1414"/>
      <c r="Q14" s="1501" t="s">
        <v>12</v>
      </c>
      <c r="R14" s="1539">
        <v>46548000</v>
      </c>
      <c r="S14" s="1575"/>
      <c r="T14" s="1490"/>
      <c r="U14" s="1645" t="str">
        <f t="shared" ref="U14:U20" si="5">LEFT(E14,8)</f>
        <v>03.11.01</v>
      </c>
      <c r="V14" s="1478" t="str">
        <f t="shared" si="2"/>
        <v>Bangunan Gedung Tempat Kerja</v>
      </c>
      <c r="W14" s="1478">
        <f t="shared" si="3"/>
        <v>50</v>
      </c>
      <c r="X14" s="1401">
        <f t="shared" ref="X14:X20" si="6">R14/W14</f>
        <v>930960</v>
      </c>
      <c r="Y14" s="1629">
        <f t="shared" ref="Y14:Y20" si="7">IF(2013-L14+1&gt;W14,W14,IF(2013-L14+1&lt;0,0,2013-L14+1))</f>
        <v>30</v>
      </c>
      <c r="Z14" s="1401">
        <f t="shared" ref="Z14:Z20" si="8">IF(Y14&gt;W14,R14,X14*Y14)</f>
        <v>27928800</v>
      </c>
      <c r="AA14" s="1401">
        <f t="shared" ref="AA14:AA20" si="9">IF(R14=Z14,0,X14)</f>
        <v>930960</v>
      </c>
      <c r="AB14" s="1401">
        <f t="shared" ref="AB14:AB20" si="10">IF(R14=Z14+AA14,0,X14)</f>
        <v>930960</v>
      </c>
      <c r="AC14" s="1401">
        <f t="shared" ref="AC14:AC20" si="11">IF(R14=Z14+AA14+AB14,0,X14)</f>
        <v>930960</v>
      </c>
      <c r="AD14" s="1479">
        <f t="shared" ref="AD14:AD20" si="12">IF(R14=Z14+AA14+AB14+AC14,0,X14)</f>
        <v>930960</v>
      </c>
      <c r="AE14" s="1479">
        <f t="shared" ref="AE14:AE20" si="13">IF(R14=Z14+AA14+AB14+AC14+AD14,0,X14)</f>
        <v>930960</v>
      </c>
      <c r="AF14" s="1479">
        <f t="shared" ref="AF14:AF20" si="14">IF(R14=Z14+AA14+AB14+AC14+AD14+AE14,0,X14)</f>
        <v>930960</v>
      </c>
      <c r="AG14" s="1479">
        <f t="shared" ref="AG14:AG20" si="15">SUM(Z14:AF14)</f>
        <v>33514560</v>
      </c>
      <c r="AH14" s="1646">
        <f t="shared" si="4"/>
        <v>13033440</v>
      </c>
    </row>
    <row r="15" spans="1:37" s="1390" customFormat="1" ht="40.5" customHeight="1" x14ac:dyDescent="0.2">
      <c r="A15" s="1391"/>
      <c r="B15" s="1477"/>
      <c r="C15" s="1660">
        <v>3</v>
      </c>
      <c r="D15" s="1455" t="s">
        <v>466</v>
      </c>
      <c r="E15" s="1501" t="s">
        <v>1752</v>
      </c>
      <c r="F15" s="1501"/>
      <c r="G15" s="1416"/>
      <c r="H15" s="1416"/>
      <c r="I15" s="1414"/>
      <c r="J15" s="1416"/>
      <c r="K15" s="1455" t="s">
        <v>464</v>
      </c>
      <c r="L15" s="1416">
        <v>1986</v>
      </c>
      <c r="M15" s="1429"/>
      <c r="N15" s="1501">
        <v>30</v>
      </c>
      <c r="O15" s="1501" t="s">
        <v>430</v>
      </c>
      <c r="P15" s="1414"/>
      <c r="Q15" s="1501" t="s">
        <v>433</v>
      </c>
      <c r="R15" s="1539">
        <v>25213500</v>
      </c>
      <c r="S15" s="1575"/>
      <c r="T15" s="1490"/>
      <c r="U15" s="1645" t="str">
        <f t="shared" si="5"/>
        <v>03.11.01</v>
      </c>
      <c r="V15" s="1478" t="str">
        <f t="shared" si="2"/>
        <v>Bangunan Gedung Tempat Kerja</v>
      </c>
      <c r="W15" s="1478">
        <f t="shared" si="3"/>
        <v>50</v>
      </c>
      <c r="X15" s="1401">
        <f t="shared" si="6"/>
        <v>504270</v>
      </c>
      <c r="Y15" s="1629">
        <f t="shared" si="7"/>
        <v>28</v>
      </c>
      <c r="Z15" s="1401">
        <f t="shared" si="8"/>
        <v>14119560</v>
      </c>
      <c r="AA15" s="1401">
        <f t="shared" si="9"/>
        <v>504270</v>
      </c>
      <c r="AB15" s="1401">
        <f t="shared" si="10"/>
        <v>504270</v>
      </c>
      <c r="AC15" s="1401">
        <f t="shared" si="11"/>
        <v>504270</v>
      </c>
      <c r="AD15" s="1479">
        <f t="shared" si="12"/>
        <v>504270</v>
      </c>
      <c r="AE15" s="1479">
        <f t="shared" si="13"/>
        <v>504270</v>
      </c>
      <c r="AF15" s="1479">
        <f t="shared" si="14"/>
        <v>504270</v>
      </c>
      <c r="AG15" s="1479">
        <f t="shared" si="15"/>
        <v>17145180</v>
      </c>
      <c r="AH15" s="1646">
        <f t="shared" si="4"/>
        <v>8068320</v>
      </c>
    </row>
    <row r="16" spans="1:37" s="1390" customFormat="1" ht="40.5" customHeight="1" x14ac:dyDescent="0.2">
      <c r="A16" s="1391"/>
      <c r="B16" s="1477"/>
      <c r="C16" s="1660">
        <v>4</v>
      </c>
      <c r="D16" s="1455" t="s">
        <v>465</v>
      </c>
      <c r="E16" s="1501" t="s">
        <v>1752</v>
      </c>
      <c r="F16" s="1501"/>
      <c r="G16" s="1416"/>
      <c r="H16" s="1416"/>
      <c r="I16" s="1414"/>
      <c r="J16" s="1416"/>
      <c r="K16" s="1455" t="s">
        <v>464</v>
      </c>
      <c r="L16" s="1416">
        <v>1986</v>
      </c>
      <c r="M16" s="1429"/>
      <c r="N16" s="1501">
        <v>63</v>
      </c>
      <c r="O16" s="1501" t="s">
        <v>430</v>
      </c>
      <c r="P16" s="1414"/>
      <c r="Q16" s="1501" t="s">
        <v>433</v>
      </c>
      <c r="R16" s="1539">
        <v>52948350</v>
      </c>
      <c r="S16" s="1575"/>
      <c r="T16" s="1490"/>
      <c r="U16" s="1645" t="str">
        <f t="shared" si="5"/>
        <v>03.11.01</v>
      </c>
      <c r="V16" s="1478" t="str">
        <f t="shared" si="2"/>
        <v>Bangunan Gedung Tempat Kerja</v>
      </c>
      <c r="W16" s="1478">
        <f t="shared" si="3"/>
        <v>50</v>
      </c>
      <c r="X16" s="1401">
        <f t="shared" si="6"/>
        <v>1058967</v>
      </c>
      <c r="Y16" s="1629">
        <f t="shared" si="7"/>
        <v>28</v>
      </c>
      <c r="Z16" s="1401">
        <f t="shared" si="8"/>
        <v>29651076</v>
      </c>
      <c r="AA16" s="1401">
        <f t="shared" si="9"/>
        <v>1058967</v>
      </c>
      <c r="AB16" s="1401">
        <f t="shared" si="10"/>
        <v>1058967</v>
      </c>
      <c r="AC16" s="1401">
        <f t="shared" si="11"/>
        <v>1058967</v>
      </c>
      <c r="AD16" s="1479">
        <f t="shared" si="12"/>
        <v>1058967</v>
      </c>
      <c r="AE16" s="1479">
        <f t="shared" si="13"/>
        <v>1058967</v>
      </c>
      <c r="AF16" s="1479">
        <f t="shared" si="14"/>
        <v>1058967</v>
      </c>
      <c r="AG16" s="1479">
        <f t="shared" si="15"/>
        <v>36004878</v>
      </c>
      <c r="AH16" s="1646">
        <f t="shared" si="4"/>
        <v>16943472</v>
      </c>
    </row>
    <row r="17" spans="1:36" s="1390" customFormat="1" ht="40.5" customHeight="1" x14ac:dyDescent="0.2">
      <c r="A17" s="1391"/>
      <c r="B17" s="1477"/>
      <c r="C17" s="1660">
        <v>5</v>
      </c>
      <c r="D17" s="1455" t="s">
        <v>463</v>
      </c>
      <c r="E17" s="1501" t="s">
        <v>5761</v>
      </c>
      <c r="F17" s="1501"/>
      <c r="G17" s="1416" t="s">
        <v>43</v>
      </c>
      <c r="H17" s="1416"/>
      <c r="I17" s="1414"/>
      <c r="J17" s="1416"/>
      <c r="K17" s="1455" t="s">
        <v>20</v>
      </c>
      <c r="L17" s="1416">
        <v>1999</v>
      </c>
      <c r="M17" s="1429"/>
      <c r="N17" s="1501">
        <v>152</v>
      </c>
      <c r="O17" s="1501" t="s">
        <v>11</v>
      </c>
      <c r="P17" s="1414"/>
      <c r="Q17" s="1501" t="s">
        <v>12</v>
      </c>
      <c r="R17" s="1539">
        <v>127748400</v>
      </c>
      <c r="S17" s="1575"/>
      <c r="T17" s="1490"/>
      <c r="U17" s="1645" t="str">
        <f t="shared" si="5"/>
        <v>03.11.02</v>
      </c>
      <c r="V17" s="1478" t="str">
        <f t="shared" si="2"/>
        <v>Bangunan Gedung Tempat Tinggal</v>
      </c>
      <c r="W17" s="1478">
        <f t="shared" si="3"/>
        <v>50</v>
      </c>
      <c r="X17" s="1401">
        <f t="shared" si="6"/>
        <v>2554968</v>
      </c>
      <c r="Y17" s="1629">
        <f t="shared" si="7"/>
        <v>15</v>
      </c>
      <c r="Z17" s="1401">
        <f t="shared" si="8"/>
        <v>38324520</v>
      </c>
      <c r="AA17" s="1401">
        <f t="shared" si="9"/>
        <v>2554968</v>
      </c>
      <c r="AB17" s="1401">
        <f t="shared" si="10"/>
        <v>2554968</v>
      </c>
      <c r="AC17" s="1401">
        <f t="shared" si="11"/>
        <v>2554968</v>
      </c>
      <c r="AD17" s="1479">
        <f t="shared" si="12"/>
        <v>2554968</v>
      </c>
      <c r="AE17" s="1479">
        <f t="shared" si="13"/>
        <v>2554968</v>
      </c>
      <c r="AF17" s="1479">
        <f t="shared" si="14"/>
        <v>2554968</v>
      </c>
      <c r="AG17" s="1479">
        <f t="shared" si="15"/>
        <v>53654328</v>
      </c>
      <c r="AH17" s="1646">
        <f t="shared" si="4"/>
        <v>74094072</v>
      </c>
    </row>
    <row r="18" spans="1:36" s="1390" customFormat="1" ht="40.5" customHeight="1" x14ac:dyDescent="0.2">
      <c r="A18" s="1391"/>
      <c r="B18" s="1477" t="s">
        <v>461</v>
      </c>
      <c r="C18" s="1660">
        <v>6</v>
      </c>
      <c r="D18" s="1455" t="s">
        <v>461</v>
      </c>
      <c r="E18" s="1501" t="s">
        <v>1752</v>
      </c>
      <c r="F18" s="1501"/>
      <c r="G18" s="1416" t="s">
        <v>43</v>
      </c>
      <c r="H18" s="1416"/>
      <c r="I18" s="1414"/>
      <c r="J18" s="1416"/>
      <c r="K18" s="1455" t="s">
        <v>10</v>
      </c>
      <c r="L18" s="1416">
        <v>2000</v>
      </c>
      <c r="M18" s="1429"/>
      <c r="N18" s="1501">
        <v>192</v>
      </c>
      <c r="O18" s="1501" t="s">
        <v>11</v>
      </c>
      <c r="P18" s="1414"/>
      <c r="Q18" s="1501" t="s">
        <v>12</v>
      </c>
      <c r="R18" s="1539">
        <v>186192000</v>
      </c>
      <c r="S18" s="1575"/>
      <c r="T18" s="1490"/>
      <c r="U18" s="1645" t="str">
        <f t="shared" si="5"/>
        <v>03.11.01</v>
      </c>
      <c r="V18" s="1478" t="str">
        <f t="shared" si="2"/>
        <v>Bangunan Gedung Tempat Kerja</v>
      </c>
      <c r="W18" s="1478">
        <f t="shared" si="3"/>
        <v>50</v>
      </c>
      <c r="X18" s="1401">
        <f t="shared" si="6"/>
        <v>3723840</v>
      </c>
      <c r="Y18" s="1629">
        <f t="shared" si="7"/>
        <v>14</v>
      </c>
      <c r="Z18" s="1401">
        <f t="shared" si="8"/>
        <v>52133760</v>
      </c>
      <c r="AA18" s="1401">
        <f t="shared" si="9"/>
        <v>3723840</v>
      </c>
      <c r="AB18" s="1401">
        <f t="shared" si="10"/>
        <v>3723840</v>
      </c>
      <c r="AC18" s="1401">
        <f t="shared" si="11"/>
        <v>3723840</v>
      </c>
      <c r="AD18" s="1479">
        <f t="shared" si="12"/>
        <v>3723840</v>
      </c>
      <c r="AE18" s="1479">
        <f t="shared" si="13"/>
        <v>3723840</v>
      </c>
      <c r="AF18" s="1479">
        <f t="shared" si="14"/>
        <v>3723840</v>
      </c>
      <c r="AG18" s="1479">
        <f t="shared" si="15"/>
        <v>74476800</v>
      </c>
      <c r="AH18" s="1646">
        <f t="shared" si="4"/>
        <v>111715200</v>
      </c>
    </row>
    <row r="19" spans="1:36" s="1390" customFormat="1" ht="40.5" customHeight="1" x14ac:dyDescent="0.2">
      <c r="A19" s="1391"/>
      <c r="B19" s="1477" t="s">
        <v>4234</v>
      </c>
      <c r="C19" s="1660">
        <v>7</v>
      </c>
      <c r="D19" s="1455" t="s">
        <v>460</v>
      </c>
      <c r="E19" s="1501" t="s">
        <v>1752</v>
      </c>
      <c r="F19" s="1501"/>
      <c r="G19" s="1416" t="s">
        <v>43</v>
      </c>
      <c r="H19" s="1416"/>
      <c r="I19" s="1414"/>
      <c r="J19" s="1416"/>
      <c r="K19" s="1455" t="s">
        <v>10</v>
      </c>
      <c r="L19" s="1416">
        <v>2000</v>
      </c>
      <c r="M19" s="1429"/>
      <c r="N19" s="1501">
        <v>80</v>
      </c>
      <c r="O19" s="1501" t="s">
        <v>11</v>
      </c>
      <c r="P19" s="1414"/>
      <c r="Q19" s="1501" t="s">
        <v>12</v>
      </c>
      <c r="R19" s="1539">
        <v>77580000</v>
      </c>
      <c r="S19" s="1575"/>
      <c r="T19" s="1490"/>
      <c r="U19" s="1645" t="str">
        <f t="shared" si="5"/>
        <v>03.11.01</v>
      </c>
      <c r="V19" s="1478" t="str">
        <f t="shared" si="2"/>
        <v>Bangunan Gedung Tempat Kerja</v>
      </c>
      <c r="W19" s="1478">
        <f t="shared" si="3"/>
        <v>50</v>
      </c>
      <c r="X19" s="1401">
        <f t="shared" si="6"/>
        <v>1551600</v>
      </c>
      <c r="Y19" s="1629">
        <f t="shared" si="7"/>
        <v>14</v>
      </c>
      <c r="Z19" s="1401">
        <f t="shared" si="8"/>
        <v>21722400</v>
      </c>
      <c r="AA19" s="1401">
        <f t="shared" si="9"/>
        <v>1551600</v>
      </c>
      <c r="AB19" s="1401">
        <f t="shared" si="10"/>
        <v>1551600</v>
      </c>
      <c r="AC19" s="1401">
        <f t="shared" si="11"/>
        <v>1551600</v>
      </c>
      <c r="AD19" s="1479">
        <f t="shared" si="12"/>
        <v>1551600</v>
      </c>
      <c r="AE19" s="1479">
        <f t="shared" si="13"/>
        <v>1551600</v>
      </c>
      <c r="AF19" s="1479">
        <f t="shared" si="14"/>
        <v>1551600</v>
      </c>
      <c r="AG19" s="1479">
        <f t="shared" si="15"/>
        <v>31032000</v>
      </c>
      <c r="AH19" s="1646">
        <f t="shared" si="4"/>
        <v>46548000</v>
      </c>
    </row>
    <row r="20" spans="1:36" s="1390" customFormat="1" ht="40.5" customHeight="1" x14ac:dyDescent="0.2">
      <c r="A20" s="1391"/>
      <c r="B20" s="1477" t="s">
        <v>4235</v>
      </c>
      <c r="C20" s="1660">
        <v>8</v>
      </c>
      <c r="D20" s="1455" t="s">
        <v>459</v>
      </c>
      <c r="E20" s="1501" t="s">
        <v>2835</v>
      </c>
      <c r="F20" s="1501"/>
      <c r="G20" s="1416" t="s">
        <v>43</v>
      </c>
      <c r="H20" s="1416"/>
      <c r="I20" s="1414"/>
      <c r="J20" s="1416"/>
      <c r="K20" s="1455" t="s">
        <v>10</v>
      </c>
      <c r="L20" s="1416">
        <v>2000</v>
      </c>
      <c r="M20" s="1429"/>
      <c r="N20" s="1501">
        <v>48</v>
      </c>
      <c r="O20" s="1501" t="s">
        <v>11</v>
      </c>
      <c r="P20" s="1414"/>
      <c r="Q20" s="1501" t="s">
        <v>12</v>
      </c>
      <c r="R20" s="1539">
        <v>14760000</v>
      </c>
      <c r="S20" s="1575"/>
      <c r="T20" s="1490"/>
      <c r="U20" s="1645" t="str">
        <f t="shared" si="5"/>
        <v>03.11.01</v>
      </c>
      <c r="V20" s="1478" t="str">
        <f t="shared" si="2"/>
        <v>Bangunan Gedung Tempat Kerja</v>
      </c>
      <c r="W20" s="1478">
        <f t="shared" si="3"/>
        <v>50</v>
      </c>
      <c r="X20" s="1401">
        <f t="shared" si="6"/>
        <v>295200</v>
      </c>
      <c r="Y20" s="1629">
        <f t="shared" si="7"/>
        <v>14</v>
      </c>
      <c r="Z20" s="1401">
        <f t="shared" si="8"/>
        <v>4132800</v>
      </c>
      <c r="AA20" s="1401">
        <f t="shared" si="9"/>
        <v>295200</v>
      </c>
      <c r="AB20" s="1401">
        <f t="shared" si="10"/>
        <v>295200</v>
      </c>
      <c r="AC20" s="1401">
        <f t="shared" si="11"/>
        <v>295200</v>
      </c>
      <c r="AD20" s="1479">
        <f t="shared" si="12"/>
        <v>295200</v>
      </c>
      <c r="AE20" s="1479">
        <f t="shared" si="13"/>
        <v>295200</v>
      </c>
      <c r="AF20" s="1479">
        <f t="shared" si="14"/>
        <v>295200</v>
      </c>
      <c r="AG20" s="1479">
        <f t="shared" si="15"/>
        <v>5904000</v>
      </c>
      <c r="AH20" s="1646">
        <f t="shared" si="4"/>
        <v>8856000</v>
      </c>
    </row>
    <row r="21" spans="1:36" s="1390" customFormat="1" ht="40.5" customHeight="1" x14ac:dyDescent="0.2">
      <c r="A21" s="1391">
        <v>1</v>
      </c>
      <c r="B21" s="1477" t="s">
        <v>4216</v>
      </c>
      <c r="C21" s="1660">
        <v>9</v>
      </c>
      <c r="D21" s="1455" t="s">
        <v>5766</v>
      </c>
      <c r="E21" s="1501" t="s">
        <v>1752</v>
      </c>
      <c r="F21" s="1501"/>
      <c r="G21" s="1416" t="s">
        <v>43</v>
      </c>
      <c r="H21" s="1416" t="s">
        <v>5412</v>
      </c>
      <c r="I21" s="1414" t="s">
        <v>736</v>
      </c>
      <c r="J21" s="1416" t="s">
        <v>5434</v>
      </c>
      <c r="K21" s="1455" t="s">
        <v>456</v>
      </c>
      <c r="L21" s="1416">
        <v>2000</v>
      </c>
      <c r="M21" s="1429"/>
      <c r="N21" s="1501">
        <v>499.5</v>
      </c>
      <c r="O21" s="1501" t="s">
        <v>11</v>
      </c>
      <c r="P21" s="1414"/>
      <c r="Q21" s="1501" t="s">
        <v>12</v>
      </c>
      <c r="R21" s="1539">
        <v>1389894937.4663367</v>
      </c>
      <c r="S21" s="1575"/>
      <c r="T21" s="1490"/>
      <c r="U21" s="1522" t="str">
        <f t="shared" ref="U21:U27" si="16">LEFT(E21,8)</f>
        <v>03.11.01</v>
      </c>
      <c r="V21" s="1478" t="str">
        <f t="shared" si="2"/>
        <v>Bangunan Gedung Tempat Kerja</v>
      </c>
      <c r="W21" s="1478">
        <f t="shared" si="3"/>
        <v>50</v>
      </c>
      <c r="X21" s="1401"/>
      <c r="Y21" s="1629"/>
      <c r="Z21" s="1401">
        <f>SUM('PERHITUNGAN (C)'!U8:U10)</f>
        <v>257924893.97380134</v>
      </c>
      <c r="AA21" s="1479">
        <f>SUMIF('PERHITUNGAN (C)'!$A:$A,'KIB C'!B21&amp;'KIB C'!$AA$7,'PERHITUNGAN (C)'!$U:$U)</f>
        <v>16249131.869850706</v>
      </c>
      <c r="AB21" s="1479">
        <f>SUMIF('PERHITUNGAN (C)'!$A:$A,'KIB C'!B21&amp;'KIB C'!$AB$7,'PERHITUNGAN (C)'!$U:$U)</f>
        <v>16249131.869850706</v>
      </c>
      <c r="AC21" s="1479">
        <f>SUMIF('PERHITUNGAN (C)'!$A:$A,'KIB C'!B21&amp;'KIB C'!$AC$7,'PERHITUNGAN (C)'!$U:$U)</f>
        <v>16249131.869850706</v>
      </c>
      <c r="AD21" s="1479">
        <f>SUMIF('PERHITUNGAN (C)'!$A:$A,'KIB C'!B21&amp;'KIB C'!$AD$7,'PERHITUNGAN (C)'!$U:$U)</f>
        <v>19722043.957659662</v>
      </c>
      <c r="AE21" s="1479">
        <f>SUMIF('PERHITUNGAN (C)'!$A:$A,'KIB C'!B21&amp;'KIB C'!$AE$7,'PERHITUNGAN (C)'!$U:$U)</f>
        <v>19722043.957659662</v>
      </c>
      <c r="AF21" s="1479">
        <f>SUMIF('PERHITUNGAN (C)'!$A:$A,'KIB C'!B21&amp;'KIB C'!$AF$7,'PERHITUNGAN (C)'!$U:$U)</f>
        <v>20875571.199353274</v>
      </c>
      <c r="AG21" s="1479">
        <f>SUM(Z21:AF21)</f>
        <v>366991948.69802606</v>
      </c>
      <c r="AH21" s="1646">
        <f t="shared" si="4"/>
        <v>1022902988.7683107</v>
      </c>
      <c r="AJ21" s="1443">
        <f>SUM(Z21:AE21)</f>
        <v>346116377.49867278</v>
      </c>
    </row>
    <row r="22" spans="1:36" s="1390" customFormat="1" ht="40.5" customHeight="1" x14ac:dyDescent="0.2">
      <c r="A22" s="1391"/>
      <c r="B22" s="1477" t="s">
        <v>4236</v>
      </c>
      <c r="C22" s="1660">
        <v>10</v>
      </c>
      <c r="D22" s="1455" t="s">
        <v>455</v>
      </c>
      <c r="E22" s="1501" t="s">
        <v>5761</v>
      </c>
      <c r="F22" s="1501"/>
      <c r="G22" s="1416" t="s">
        <v>43</v>
      </c>
      <c r="H22" s="1416"/>
      <c r="I22" s="1414"/>
      <c r="J22" s="1416"/>
      <c r="K22" s="1455" t="s">
        <v>10</v>
      </c>
      <c r="L22" s="1416">
        <v>2000</v>
      </c>
      <c r="M22" s="1429"/>
      <c r="N22" s="1501">
        <v>36</v>
      </c>
      <c r="O22" s="1501" t="s">
        <v>11</v>
      </c>
      <c r="P22" s="1414"/>
      <c r="Q22" s="1501" t="s">
        <v>12</v>
      </c>
      <c r="R22" s="1539">
        <v>35370000</v>
      </c>
      <c r="S22" s="1575"/>
      <c r="T22" s="1490"/>
      <c r="U22" s="1645" t="str">
        <f t="shared" si="16"/>
        <v>03.11.02</v>
      </c>
      <c r="V22" s="1478" t="str">
        <f t="shared" si="2"/>
        <v>Bangunan Gedung Tempat Tinggal</v>
      </c>
      <c r="W22" s="1478">
        <f t="shared" si="3"/>
        <v>50</v>
      </c>
      <c r="X22" s="1401">
        <f t="shared" ref="X22:X27" si="17">R22/W22</f>
        <v>707400</v>
      </c>
      <c r="Y22" s="1629">
        <f t="shared" ref="Y22:Y27" si="18">IF(2013-L22+1&gt;W22,W22,IF(2013-L22+1&lt;0,0,2013-L22+1))</f>
        <v>14</v>
      </c>
      <c r="Z22" s="1401">
        <f t="shared" ref="Z22:Z27" si="19">IF(Y22&gt;W22,R22,X22*Y22)</f>
        <v>9903600</v>
      </c>
      <c r="AA22" s="1401">
        <f t="shared" ref="AA22:AA27" si="20">IF(R22=Z22,0,X22)</f>
        <v>707400</v>
      </c>
      <c r="AB22" s="1401">
        <f t="shared" ref="AB22:AB27" si="21">IF(R22=Z22+AA22,0,X22)</f>
        <v>707400</v>
      </c>
      <c r="AC22" s="1401">
        <f t="shared" ref="AC22:AC27" si="22">IF(R22=Z22+AA22+AB22,0,X22)</f>
        <v>707400</v>
      </c>
      <c r="AD22" s="1479">
        <f t="shared" ref="AD22:AD27" si="23">IF(R22=Z22+AA22+AB22+AC22,0,X22)</f>
        <v>707400</v>
      </c>
      <c r="AE22" s="1479">
        <f t="shared" ref="AE22:AE27" si="24">IF(R22=Z22+AA22+AB22+AC22+AD22,0,X22)</f>
        <v>707400</v>
      </c>
      <c r="AF22" s="1479">
        <f t="shared" ref="AF22:AF27" si="25">IF(R22=Z22+AA22+AB22+AC22+AD22+AE22,0,X22)</f>
        <v>707400</v>
      </c>
      <c r="AG22" s="1479">
        <f t="shared" ref="AG22:AG27" si="26">SUM(Z22:AF22)</f>
        <v>14148000</v>
      </c>
      <c r="AH22" s="1646">
        <f t="shared" si="4"/>
        <v>21222000</v>
      </c>
    </row>
    <row r="23" spans="1:36" s="1390" customFormat="1" ht="40.5" customHeight="1" x14ac:dyDescent="0.2">
      <c r="A23" s="1391"/>
      <c r="B23" s="1477" t="s">
        <v>4237</v>
      </c>
      <c r="C23" s="1660">
        <v>11</v>
      </c>
      <c r="D23" s="1455" t="s">
        <v>453</v>
      </c>
      <c r="E23" s="1501" t="s">
        <v>5761</v>
      </c>
      <c r="F23" s="1501"/>
      <c r="G23" s="1416" t="s">
        <v>43</v>
      </c>
      <c r="H23" s="1416"/>
      <c r="I23" s="1414"/>
      <c r="J23" s="1416"/>
      <c r="K23" s="1455" t="s">
        <v>10</v>
      </c>
      <c r="L23" s="1416">
        <v>2000</v>
      </c>
      <c r="M23" s="1429"/>
      <c r="N23" s="1501">
        <v>36</v>
      </c>
      <c r="O23" s="1501" t="s">
        <v>11</v>
      </c>
      <c r="P23" s="1414"/>
      <c r="Q23" s="1501" t="s">
        <v>12</v>
      </c>
      <c r="R23" s="1539">
        <v>35370000</v>
      </c>
      <c r="S23" s="1575"/>
      <c r="T23" s="1490"/>
      <c r="U23" s="1645" t="str">
        <f t="shared" si="16"/>
        <v>03.11.02</v>
      </c>
      <c r="V23" s="1478" t="str">
        <f t="shared" si="2"/>
        <v>Bangunan Gedung Tempat Tinggal</v>
      </c>
      <c r="W23" s="1478">
        <f t="shared" si="3"/>
        <v>50</v>
      </c>
      <c r="X23" s="1401">
        <f t="shared" si="17"/>
        <v>707400</v>
      </c>
      <c r="Y23" s="1629">
        <f t="shared" si="18"/>
        <v>14</v>
      </c>
      <c r="Z23" s="1401">
        <f t="shared" si="19"/>
        <v>9903600</v>
      </c>
      <c r="AA23" s="1401">
        <f t="shared" si="20"/>
        <v>707400</v>
      </c>
      <c r="AB23" s="1401">
        <f t="shared" si="21"/>
        <v>707400</v>
      </c>
      <c r="AC23" s="1401">
        <f t="shared" si="22"/>
        <v>707400</v>
      </c>
      <c r="AD23" s="1479">
        <f t="shared" si="23"/>
        <v>707400</v>
      </c>
      <c r="AE23" s="1479">
        <f t="shared" si="24"/>
        <v>707400</v>
      </c>
      <c r="AF23" s="1479">
        <f t="shared" si="25"/>
        <v>707400</v>
      </c>
      <c r="AG23" s="1479">
        <f t="shared" si="26"/>
        <v>14148000</v>
      </c>
      <c r="AH23" s="1646">
        <f t="shared" si="4"/>
        <v>21222000</v>
      </c>
    </row>
    <row r="24" spans="1:36" s="1390" customFormat="1" ht="40.5" customHeight="1" x14ac:dyDescent="0.2">
      <c r="A24" s="1391"/>
      <c r="B24" s="1477" t="s">
        <v>4238</v>
      </c>
      <c r="C24" s="1660">
        <v>12</v>
      </c>
      <c r="D24" s="1455" t="s">
        <v>451</v>
      </c>
      <c r="E24" s="1501" t="s">
        <v>5761</v>
      </c>
      <c r="F24" s="1501"/>
      <c r="G24" s="1416" t="s">
        <v>43</v>
      </c>
      <c r="H24" s="1416"/>
      <c r="I24" s="1414"/>
      <c r="J24" s="1416"/>
      <c r="K24" s="1455" t="s">
        <v>10</v>
      </c>
      <c r="L24" s="1416">
        <v>2000</v>
      </c>
      <c r="M24" s="1429"/>
      <c r="N24" s="1501">
        <v>18</v>
      </c>
      <c r="O24" s="1501" t="s">
        <v>11</v>
      </c>
      <c r="P24" s="1414"/>
      <c r="Q24" s="1501" t="s">
        <v>12</v>
      </c>
      <c r="R24" s="1539">
        <v>17685000</v>
      </c>
      <c r="S24" s="1575"/>
      <c r="T24" s="1490"/>
      <c r="U24" s="1645" t="str">
        <f t="shared" si="16"/>
        <v>03.11.02</v>
      </c>
      <c r="V24" s="1478" t="str">
        <f t="shared" si="2"/>
        <v>Bangunan Gedung Tempat Tinggal</v>
      </c>
      <c r="W24" s="1478">
        <f t="shared" si="3"/>
        <v>50</v>
      </c>
      <c r="X24" s="1401">
        <f t="shared" si="17"/>
        <v>353700</v>
      </c>
      <c r="Y24" s="1629">
        <f t="shared" si="18"/>
        <v>14</v>
      </c>
      <c r="Z24" s="1401">
        <f t="shared" si="19"/>
        <v>4951800</v>
      </c>
      <c r="AA24" s="1401">
        <f t="shared" si="20"/>
        <v>353700</v>
      </c>
      <c r="AB24" s="1401">
        <f t="shared" si="21"/>
        <v>353700</v>
      </c>
      <c r="AC24" s="1401">
        <f t="shared" si="22"/>
        <v>353700</v>
      </c>
      <c r="AD24" s="1479">
        <f t="shared" si="23"/>
        <v>353700</v>
      </c>
      <c r="AE24" s="1479">
        <f t="shared" si="24"/>
        <v>353700</v>
      </c>
      <c r="AF24" s="1479">
        <f t="shared" si="25"/>
        <v>353700</v>
      </c>
      <c r="AG24" s="1479">
        <f t="shared" si="26"/>
        <v>7074000</v>
      </c>
      <c r="AH24" s="1646">
        <f t="shared" si="4"/>
        <v>10611000</v>
      </c>
    </row>
    <row r="25" spans="1:36" s="1390" customFormat="1" ht="40.5" customHeight="1" x14ac:dyDescent="0.2">
      <c r="A25" s="1391"/>
      <c r="B25" s="1477" t="s">
        <v>4239</v>
      </c>
      <c r="C25" s="1660">
        <v>13</v>
      </c>
      <c r="D25" s="1455" t="s">
        <v>449</v>
      </c>
      <c r="E25" s="1501" t="s">
        <v>2835</v>
      </c>
      <c r="F25" s="1501"/>
      <c r="G25" s="1416" t="s">
        <v>43</v>
      </c>
      <c r="H25" s="1416"/>
      <c r="I25" s="1414"/>
      <c r="J25" s="1416"/>
      <c r="K25" s="1455" t="s">
        <v>10</v>
      </c>
      <c r="L25" s="1416">
        <v>2000</v>
      </c>
      <c r="M25" s="1429"/>
      <c r="N25" s="1501">
        <v>64</v>
      </c>
      <c r="O25" s="1501" t="s">
        <v>11</v>
      </c>
      <c r="P25" s="1414"/>
      <c r="Q25" s="1501" t="s">
        <v>12</v>
      </c>
      <c r="R25" s="1539">
        <v>19680000</v>
      </c>
      <c r="S25" s="1575"/>
      <c r="T25" s="1490"/>
      <c r="U25" s="1645" t="str">
        <f t="shared" si="16"/>
        <v>03.11.01</v>
      </c>
      <c r="V25" s="1478" t="str">
        <f t="shared" si="2"/>
        <v>Bangunan Gedung Tempat Kerja</v>
      </c>
      <c r="W25" s="1478">
        <f t="shared" si="3"/>
        <v>50</v>
      </c>
      <c r="X25" s="1401">
        <f t="shared" si="17"/>
        <v>393600</v>
      </c>
      <c r="Y25" s="1629">
        <f t="shared" si="18"/>
        <v>14</v>
      </c>
      <c r="Z25" s="1401">
        <f t="shared" si="19"/>
        <v>5510400</v>
      </c>
      <c r="AA25" s="1401">
        <f t="shared" si="20"/>
        <v>393600</v>
      </c>
      <c r="AB25" s="1401">
        <f t="shared" si="21"/>
        <v>393600</v>
      </c>
      <c r="AC25" s="1401">
        <f t="shared" si="22"/>
        <v>393600</v>
      </c>
      <c r="AD25" s="1479">
        <f t="shared" si="23"/>
        <v>393600</v>
      </c>
      <c r="AE25" s="1479">
        <f t="shared" si="24"/>
        <v>393600</v>
      </c>
      <c r="AF25" s="1479">
        <f t="shared" si="25"/>
        <v>393600</v>
      </c>
      <c r="AG25" s="1479">
        <f t="shared" si="26"/>
        <v>7872000</v>
      </c>
      <c r="AH25" s="1646">
        <f t="shared" si="4"/>
        <v>11808000</v>
      </c>
    </row>
    <row r="26" spans="1:36" s="1390" customFormat="1" ht="40.5" customHeight="1" x14ac:dyDescent="0.2">
      <c r="A26" s="1391"/>
      <c r="B26" s="1477" t="s">
        <v>4240</v>
      </c>
      <c r="C26" s="1660">
        <v>14</v>
      </c>
      <c r="D26" s="1455" t="s">
        <v>447</v>
      </c>
      <c r="E26" s="1501" t="s">
        <v>1892</v>
      </c>
      <c r="F26" s="1501"/>
      <c r="G26" s="1416" t="s">
        <v>43</v>
      </c>
      <c r="H26" s="1416"/>
      <c r="I26" s="1414"/>
      <c r="J26" s="1416"/>
      <c r="K26" s="1455" t="s">
        <v>10</v>
      </c>
      <c r="L26" s="1416">
        <v>2000</v>
      </c>
      <c r="M26" s="1429"/>
      <c r="N26" s="1501">
        <v>4</v>
      </c>
      <c r="O26" s="1501" t="s">
        <v>11</v>
      </c>
      <c r="P26" s="1414"/>
      <c r="Q26" s="1501" t="s">
        <v>12</v>
      </c>
      <c r="R26" s="1539">
        <v>3879000</v>
      </c>
      <c r="S26" s="1575"/>
      <c r="T26" s="1490"/>
      <c r="U26" s="1645" t="str">
        <f t="shared" si="16"/>
        <v>03.11.01</v>
      </c>
      <c r="V26" s="1478" t="str">
        <f t="shared" si="2"/>
        <v>Bangunan Gedung Tempat Kerja</v>
      </c>
      <c r="W26" s="1478">
        <f t="shared" si="3"/>
        <v>50</v>
      </c>
      <c r="X26" s="1401">
        <f t="shared" si="17"/>
        <v>77580</v>
      </c>
      <c r="Y26" s="1629">
        <f t="shared" si="18"/>
        <v>14</v>
      </c>
      <c r="Z26" s="1401">
        <f t="shared" si="19"/>
        <v>1086120</v>
      </c>
      <c r="AA26" s="1401">
        <f t="shared" si="20"/>
        <v>77580</v>
      </c>
      <c r="AB26" s="1401">
        <f t="shared" si="21"/>
        <v>77580</v>
      </c>
      <c r="AC26" s="1401">
        <f t="shared" si="22"/>
        <v>77580</v>
      </c>
      <c r="AD26" s="1479">
        <f t="shared" si="23"/>
        <v>77580</v>
      </c>
      <c r="AE26" s="1479">
        <f t="shared" si="24"/>
        <v>77580</v>
      </c>
      <c r="AF26" s="1479">
        <f t="shared" si="25"/>
        <v>77580</v>
      </c>
      <c r="AG26" s="1479">
        <f t="shared" si="26"/>
        <v>1551600</v>
      </c>
      <c r="AH26" s="1646">
        <f t="shared" si="4"/>
        <v>2327400</v>
      </c>
    </row>
    <row r="27" spans="1:36" s="1390" customFormat="1" ht="40.5" customHeight="1" x14ac:dyDescent="0.2">
      <c r="A27" s="1391"/>
      <c r="B27" s="1477"/>
      <c r="C27" s="1660">
        <v>15</v>
      </c>
      <c r="D27" s="1455" t="s">
        <v>445</v>
      </c>
      <c r="E27" s="1501" t="s">
        <v>5761</v>
      </c>
      <c r="F27" s="1501"/>
      <c r="G27" s="1416"/>
      <c r="H27" s="1416"/>
      <c r="I27" s="1414"/>
      <c r="J27" s="1416"/>
      <c r="K27" s="1455" t="s">
        <v>434</v>
      </c>
      <c r="L27" s="1416">
        <v>2000</v>
      </c>
      <c r="M27" s="1429"/>
      <c r="N27" s="1501">
        <v>42</v>
      </c>
      <c r="O27" s="1501" t="s">
        <v>430</v>
      </c>
      <c r="P27" s="1414"/>
      <c r="Q27" s="1501" t="s">
        <v>433</v>
      </c>
      <c r="R27" s="1539">
        <v>40729500</v>
      </c>
      <c r="S27" s="1575"/>
      <c r="T27" s="1490"/>
      <c r="U27" s="1645" t="str">
        <f t="shared" si="16"/>
        <v>03.11.02</v>
      </c>
      <c r="V27" s="1478" t="str">
        <f t="shared" si="2"/>
        <v>Bangunan Gedung Tempat Tinggal</v>
      </c>
      <c r="W27" s="1478">
        <f t="shared" si="3"/>
        <v>50</v>
      </c>
      <c r="X27" s="1401">
        <f t="shared" si="17"/>
        <v>814590</v>
      </c>
      <c r="Y27" s="1629">
        <f t="shared" si="18"/>
        <v>14</v>
      </c>
      <c r="Z27" s="1401">
        <f t="shared" si="19"/>
        <v>11404260</v>
      </c>
      <c r="AA27" s="1401">
        <f t="shared" si="20"/>
        <v>814590</v>
      </c>
      <c r="AB27" s="1401">
        <f t="shared" si="21"/>
        <v>814590</v>
      </c>
      <c r="AC27" s="1401">
        <f t="shared" si="22"/>
        <v>814590</v>
      </c>
      <c r="AD27" s="1479">
        <f t="shared" si="23"/>
        <v>814590</v>
      </c>
      <c r="AE27" s="1479">
        <f t="shared" si="24"/>
        <v>814590</v>
      </c>
      <c r="AF27" s="1479">
        <f t="shared" si="25"/>
        <v>814590</v>
      </c>
      <c r="AG27" s="1479">
        <f t="shared" si="26"/>
        <v>16291800</v>
      </c>
      <c r="AH27" s="1646">
        <f t="shared" si="4"/>
        <v>24437700</v>
      </c>
    </row>
    <row r="28" spans="1:36" s="1390" customFormat="1" ht="40.5" customHeight="1" x14ac:dyDescent="0.2">
      <c r="A28" s="1391">
        <v>2</v>
      </c>
      <c r="B28" s="1477" t="s">
        <v>442</v>
      </c>
      <c r="C28" s="1660">
        <v>16</v>
      </c>
      <c r="D28" s="1455" t="s">
        <v>439</v>
      </c>
      <c r="E28" s="1501" t="s">
        <v>1752</v>
      </c>
      <c r="F28" s="1501"/>
      <c r="G28" s="1416" t="s">
        <v>43</v>
      </c>
      <c r="H28" s="1416"/>
      <c r="I28" s="1414"/>
      <c r="J28" s="1416"/>
      <c r="K28" s="1455" t="s">
        <v>437</v>
      </c>
      <c r="L28" s="1416">
        <v>2000</v>
      </c>
      <c r="M28" s="1429"/>
      <c r="N28" s="1501">
        <v>53.4</v>
      </c>
      <c r="O28" s="1501" t="s">
        <v>430</v>
      </c>
      <c r="P28" s="1414"/>
      <c r="Q28" s="1501" t="s">
        <v>12</v>
      </c>
      <c r="R28" s="1539">
        <v>227262135</v>
      </c>
      <c r="S28" s="1575"/>
      <c r="T28" s="1490"/>
      <c r="U28" s="1522" t="str">
        <f>LEFT(E28,8)</f>
        <v>03.11.01</v>
      </c>
      <c r="V28" s="1478" t="str">
        <f t="shared" si="2"/>
        <v>Bangunan Gedung Tempat Kerja</v>
      </c>
      <c r="W28" s="1478">
        <f t="shared" si="3"/>
        <v>50</v>
      </c>
      <c r="X28" s="1401"/>
      <c r="Y28" s="1629"/>
      <c r="Z28" s="1401">
        <f>SUM('PERHITUNGAN (C)'!U27:U32)</f>
        <v>51520519.70064</v>
      </c>
      <c r="AA28" s="1479">
        <f>SUMIF('PERHITUNGAN (C)'!$A:$A,'KIB C'!B28&amp;'KIB C'!$AA$7,'PERHITUNGAN (C)'!$U:$U)</f>
        <v>4286380.8609600002</v>
      </c>
      <c r="AB28" s="1479">
        <f>SUMIF('PERHITUNGAN (C)'!$A:$A,'KIB C'!B28&amp;'KIB C'!$AB$7,'PERHITUNGAN (C)'!$U:$U)</f>
        <v>4286380.8609600002</v>
      </c>
      <c r="AC28" s="1479">
        <f>SUMIF('PERHITUNGAN (C)'!$A:$A,'KIB C'!B28&amp;'KIB C'!$AC$7,'PERHITUNGAN (C)'!$U:$U)</f>
        <v>4286380.8609600002</v>
      </c>
      <c r="AD28" s="1479">
        <f>SUMIF('PERHITUNGAN (C)'!$A:$A,'KIB C'!B28&amp;'KIB C'!$AD$7,'PERHITUNGAN (C)'!$U:$U)</f>
        <v>4286380.8609600002</v>
      </c>
      <c r="AE28" s="1479">
        <f>SUMIF('PERHITUNGAN (C)'!$A:$A,'KIB C'!B28&amp;'KIB C'!$AE$7,'PERHITUNGAN (C)'!$U:$U)</f>
        <v>4286380.8609600002</v>
      </c>
      <c r="AF28" s="1479">
        <f>SUMIF('PERHITUNGAN (C)'!$A:$A,'KIB C'!B28&amp;'KIB C'!$AF$7,'PERHITUNGAN (C)'!$U:$U)</f>
        <v>4286380.8609600002</v>
      </c>
      <c r="AG28" s="1479">
        <f>SUM(Z28:AF28)</f>
        <v>77238804.866400018</v>
      </c>
      <c r="AH28" s="1646">
        <f t="shared" si="4"/>
        <v>150023330.1336</v>
      </c>
      <c r="AJ28" s="1443">
        <f>SUM(Z28:AE28)</f>
        <v>72952424.005440012</v>
      </c>
    </row>
    <row r="29" spans="1:36" s="1390" customFormat="1" ht="40.5" customHeight="1" x14ac:dyDescent="0.2">
      <c r="A29" s="1391"/>
      <c r="B29" s="1477"/>
      <c r="C29" s="1660">
        <v>17</v>
      </c>
      <c r="D29" s="1455" t="s">
        <v>441</v>
      </c>
      <c r="E29" s="1501" t="s">
        <v>1752</v>
      </c>
      <c r="F29" s="1501"/>
      <c r="G29" s="1416"/>
      <c r="H29" s="1416"/>
      <c r="I29" s="1414"/>
      <c r="J29" s="1416"/>
      <c r="K29" s="1455" t="s">
        <v>434</v>
      </c>
      <c r="L29" s="1416">
        <v>2001</v>
      </c>
      <c r="M29" s="1429"/>
      <c r="N29" s="1501">
        <v>12</v>
      </c>
      <c r="O29" s="1501" t="s">
        <v>430</v>
      </c>
      <c r="P29" s="1414"/>
      <c r="Q29" s="1501" t="s">
        <v>433</v>
      </c>
      <c r="R29" s="1539">
        <v>10861200</v>
      </c>
      <c r="S29" s="1575"/>
      <c r="T29" s="1490"/>
      <c r="U29" s="1645" t="str">
        <f>LEFT(E29,8)</f>
        <v>03.11.01</v>
      </c>
      <c r="V29" s="1478" t="str">
        <f t="shared" si="2"/>
        <v>Bangunan Gedung Tempat Kerja</v>
      </c>
      <c r="W29" s="1478">
        <f t="shared" si="3"/>
        <v>50</v>
      </c>
      <c r="X29" s="1401">
        <f t="shared" ref="X29:X34" si="27">R29/W29</f>
        <v>217224</v>
      </c>
      <c r="Y29" s="1629">
        <f t="shared" ref="Y29:Y34" si="28">IF(2013-L29+1&gt;W29,W29,IF(2013-L29+1&lt;0,0,2013-L29+1))</f>
        <v>13</v>
      </c>
      <c r="Z29" s="1401">
        <f t="shared" ref="Z29:Z34" si="29">IF(Y29&gt;W29,R29,X29*Y29)</f>
        <v>2823912</v>
      </c>
      <c r="AA29" s="1401">
        <f t="shared" ref="AA29:AA34" si="30">IF(R29=Z29,0,X29)</f>
        <v>217224</v>
      </c>
      <c r="AB29" s="1401">
        <f t="shared" ref="AB29:AB34" si="31">IF(R29=Z29+AA29,0,X29)</f>
        <v>217224</v>
      </c>
      <c r="AC29" s="1401">
        <f t="shared" ref="AC29:AC34" si="32">IF(R29=Z29+AA29+AB29,0,X29)</f>
        <v>217224</v>
      </c>
      <c r="AD29" s="1479">
        <f t="shared" ref="AD29:AD34" si="33">IF(R29=Z29+AA29+AB29+AC29,0,X29)</f>
        <v>217224</v>
      </c>
      <c r="AE29" s="1479">
        <f t="shared" ref="AE29:AE34" si="34">IF(R29=Z29+AA29+AB29+AC29+AD29,0,X29)</f>
        <v>217224</v>
      </c>
      <c r="AF29" s="1479">
        <f t="shared" ref="AF29:AF34" si="35">IF(R29=Z29+AA29+AB29+AC29+AD29+AE29,0,X29)</f>
        <v>217224</v>
      </c>
      <c r="AG29" s="1479">
        <f t="shared" ref="AG29:AG34" si="36">SUM(Z29:AF29)</f>
        <v>4127256</v>
      </c>
      <c r="AH29" s="1646">
        <f t="shared" si="4"/>
        <v>6733944</v>
      </c>
    </row>
    <row r="30" spans="1:36" s="1390" customFormat="1" ht="40.5" customHeight="1" x14ac:dyDescent="0.2">
      <c r="A30" s="1391"/>
      <c r="B30" s="1477"/>
      <c r="C30" s="1660">
        <v>18</v>
      </c>
      <c r="D30" s="1455" t="s">
        <v>436</v>
      </c>
      <c r="E30" s="1501" t="s">
        <v>2836</v>
      </c>
      <c r="F30" s="1501"/>
      <c r="G30" s="1416"/>
      <c r="H30" s="1416"/>
      <c r="I30" s="1414"/>
      <c r="J30" s="1416"/>
      <c r="K30" s="1455" t="s">
        <v>434</v>
      </c>
      <c r="L30" s="1416">
        <v>2006</v>
      </c>
      <c r="M30" s="1429"/>
      <c r="N30" s="1501">
        <v>9</v>
      </c>
      <c r="O30" s="1501" t="s">
        <v>430</v>
      </c>
      <c r="P30" s="1414"/>
      <c r="Q30" s="1501" t="s">
        <v>433</v>
      </c>
      <c r="R30" s="1539">
        <v>7245000</v>
      </c>
      <c r="S30" s="1575"/>
      <c r="T30" s="1490"/>
      <c r="U30" s="1645" t="str">
        <f>LEFT(E30,8)</f>
        <v>03.11.01</v>
      </c>
      <c r="V30" s="1478" t="str">
        <f t="shared" si="2"/>
        <v>Bangunan Gedung Tempat Kerja</v>
      </c>
      <c r="W30" s="1478">
        <f t="shared" si="3"/>
        <v>50</v>
      </c>
      <c r="X30" s="1401">
        <f t="shared" si="27"/>
        <v>144900</v>
      </c>
      <c r="Y30" s="1629">
        <f t="shared" si="28"/>
        <v>8</v>
      </c>
      <c r="Z30" s="1401">
        <f t="shared" si="29"/>
        <v>1159200</v>
      </c>
      <c r="AA30" s="1401">
        <f t="shared" si="30"/>
        <v>144900</v>
      </c>
      <c r="AB30" s="1401">
        <f t="shared" si="31"/>
        <v>144900</v>
      </c>
      <c r="AC30" s="1401">
        <f t="shared" si="32"/>
        <v>144900</v>
      </c>
      <c r="AD30" s="1479">
        <f t="shared" si="33"/>
        <v>144900</v>
      </c>
      <c r="AE30" s="1479">
        <f t="shared" si="34"/>
        <v>144900</v>
      </c>
      <c r="AF30" s="1479">
        <f t="shared" si="35"/>
        <v>144900</v>
      </c>
      <c r="AG30" s="1479">
        <f t="shared" si="36"/>
        <v>2028600</v>
      </c>
      <c r="AH30" s="1646">
        <f t="shared" si="4"/>
        <v>5216400</v>
      </c>
    </row>
    <row r="31" spans="1:36" s="1390" customFormat="1" ht="40.5" customHeight="1" x14ac:dyDescent="0.2">
      <c r="A31" s="1391"/>
      <c r="B31" s="1477"/>
      <c r="C31" s="1660">
        <v>19</v>
      </c>
      <c r="D31" s="1455" t="s">
        <v>1015</v>
      </c>
      <c r="E31" s="1501" t="s">
        <v>5761</v>
      </c>
      <c r="F31" s="1501"/>
      <c r="G31" s="1416" t="s">
        <v>43</v>
      </c>
      <c r="H31" s="1416"/>
      <c r="I31" s="1414"/>
      <c r="J31" s="1416"/>
      <c r="K31" s="1455" t="s">
        <v>1081</v>
      </c>
      <c r="L31" s="1416">
        <v>2007</v>
      </c>
      <c r="M31" s="1429"/>
      <c r="N31" s="1501">
        <v>94</v>
      </c>
      <c r="O31" s="1501" t="s">
        <v>430</v>
      </c>
      <c r="P31" s="1414"/>
      <c r="Q31" s="1501" t="s">
        <v>12</v>
      </c>
      <c r="R31" s="1539">
        <v>244369300</v>
      </c>
      <c r="S31" s="1575"/>
      <c r="T31" s="1490"/>
      <c r="U31" s="1645" t="str">
        <f>LEFT(E31,8)</f>
        <v>03.11.02</v>
      </c>
      <c r="V31" s="1478" t="str">
        <f t="shared" si="2"/>
        <v>Bangunan Gedung Tempat Tinggal</v>
      </c>
      <c r="W31" s="1478">
        <f t="shared" si="3"/>
        <v>50</v>
      </c>
      <c r="X31" s="1401">
        <f t="shared" si="27"/>
        <v>4887386</v>
      </c>
      <c r="Y31" s="1629">
        <f t="shared" si="28"/>
        <v>7</v>
      </c>
      <c r="Z31" s="1401">
        <f t="shared" si="29"/>
        <v>34211702</v>
      </c>
      <c r="AA31" s="1401">
        <f t="shared" si="30"/>
        <v>4887386</v>
      </c>
      <c r="AB31" s="1401">
        <f t="shared" si="31"/>
        <v>4887386</v>
      </c>
      <c r="AC31" s="1401">
        <f t="shared" si="32"/>
        <v>4887386</v>
      </c>
      <c r="AD31" s="1479">
        <f t="shared" si="33"/>
        <v>4887386</v>
      </c>
      <c r="AE31" s="1479">
        <f t="shared" si="34"/>
        <v>4887386</v>
      </c>
      <c r="AF31" s="1479">
        <f t="shared" si="35"/>
        <v>4887386</v>
      </c>
      <c r="AG31" s="1479">
        <f t="shared" si="36"/>
        <v>63536018</v>
      </c>
      <c r="AH31" s="1646">
        <f t="shared" si="4"/>
        <v>180833282</v>
      </c>
    </row>
    <row r="32" spans="1:36" s="1390" customFormat="1" ht="40.5" customHeight="1" x14ac:dyDescent="0.2">
      <c r="A32" s="1391"/>
      <c r="B32" s="1477"/>
      <c r="C32" s="1660">
        <v>20</v>
      </c>
      <c r="D32" s="1455" t="s">
        <v>1017</v>
      </c>
      <c r="E32" s="1501" t="s">
        <v>1752</v>
      </c>
      <c r="F32" s="1501"/>
      <c r="G32" s="1416" t="s">
        <v>43</v>
      </c>
      <c r="H32" s="1416"/>
      <c r="I32" s="1414"/>
      <c r="J32" s="1416"/>
      <c r="K32" s="1647" t="s">
        <v>1083</v>
      </c>
      <c r="L32" s="1416">
        <v>2007</v>
      </c>
      <c r="M32" s="1429"/>
      <c r="N32" s="1648">
        <v>120</v>
      </c>
      <c r="O32" s="1416"/>
      <c r="P32" s="1414"/>
      <c r="Q32" s="1501" t="s">
        <v>12</v>
      </c>
      <c r="R32" s="1539">
        <v>223266588.177632</v>
      </c>
      <c r="S32" s="1575"/>
      <c r="T32" s="1490"/>
      <c r="U32" s="1645" t="str">
        <f t="shared" ref="U32:U43" si="37">LEFT(E32,8)</f>
        <v>03.11.01</v>
      </c>
      <c r="V32" s="1478" t="str">
        <f t="shared" si="2"/>
        <v>Bangunan Gedung Tempat Kerja</v>
      </c>
      <c r="W32" s="1478">
        <f t="shared" si="3"/>
        <v>50</v>
      </c>
      <c r="X32" s="1401">
        <f t="shared" si="27"/>
        <v>4465331.7635526396</v>
      </c>
      <c r="Y32" s="1629">
        <f t="shared" si="28"/>
        <v>7</v>
      </c>
      <c r="Z32" s="1401">
        <f t="shared" si="29"/>
        <v>31257322.344868477</v>
      </c>
      <c r="AA32" s="1401">
        <f t="shared" si="30"/>
        <v>4465331.7635526396</v>
      </c>
      <c r="AB32" s="1401">
        <f t="shared" si="31"/>
        <v>4465331.7635526396</v>
      </c>
      <c r="AC32" s="1401">
        <f t="shared" si="32"/>
        <v>4465331.7635526396</v>
      </c>
      <c r="AD32" s="1479">
        <f t="shared" si="33"/>
        <v>4465331.7635526396</v>
      </c>
      <c r="AE32" s="1479">
        <f t="shared" si="34"/>
        <v>4465331.7635526396</v>
      </c>
      <c r="AF32" s="1479">
        <f t="shared" si="35"/>
        <v>4465331.7635526396</v>
      </c>
      <c r="AG32" s="1479">
        <f t="shared" si="36"/>
        <v>58049312.926184297</v>
      </c>
      <c r="AH32" s="1646">
        <f t="shared" si="4"/>
        <v>165217275.25144771</v>
      </c>
    </row>
    <row r="33" spans="1:36" s="1390" customFormat="1" ht="40.5" customHeight="1" x14ac:dyDescent="0.2">
      <c r="A33" s="1391"/>
      <c r="B33" s="1477"/>
      <c r="C33" s="1660">
        <v>21</v>
      </c>
      <c r="D33" s="1455" t="s">
        <v>1018</v>
      </c>
      <c r="E33" s="1501" t="s">
        <v>1752</v>
      </c>
      <c r="F33" s="1501"/>
      <c r="G33" s="1416" t="s">
        <v>43</v>
      </c>
      <c r="H33" s="1416"/>
      <c r="I33" s="1414"/>
      <c r="J33" s="1416"/>
      <c r="K33" s="1647" t="s">
        <v>1084</v>
      </c>
      <c r="L33" s="1416">
        <v>2007</v>
      </c>
      <c r="M33" s="1429"/>
      <c r="N33" s="1649">
        <v>120</v>
      </c>
      <c r="O33" s="1416"/>
      <c r="P33" s="1414"/>
      <c r="Q33" s="1501" t="s">
        <v>12</v>
      </c>
      <c r="R33" s="1539">
        <v>223266588.17763156</v>
      </c>
      <c r="S33" s="1575"/>
      <c r="T33" s="1490"/>
      <c r="U33" s="1645" t="str">
        <f t="shared" si="37"/>
        <v>03.11.01</v>
      </c>
      <c r="V33" s="1478" t="str">
        <f t="shared" si="2"/>
        <v>Bangunan Gedung Tempat Kerja</v>
      </c>
      <c r="W33" s="1478">
        <f t="shared" si="3"/>
        <v>50</v>
      </c>
      <c r="X33" s="1401">
        <f t="shared" si="27"/>
        <v>4465331.7635526313</v>
      </c>
      <c r="Y33" s="1629">
        <f t="shared" si="28"/>
        <v>7</v>
      </c>
      <c r="Z33" s="1401">
        <f t="shared" si="29"/>
        <v>31257322.344868418</v>
      </c>
      <c r="AA33" s="1401">
        <f t="shared" si="30"/>
        <v>4465331.7635526313</v>
      </c>
      <c r="AB33" s="1401">
        <f t="shared" si="31"/>
        <v>4465331.7635526313</v>
      </c>
      <c r="AC33" s="1401">
        <f t="shared" si="32"/>
        <v>4465331.7635526313</v>
      </c>
      <c r="AD33" s="1479">
        <f t="shared" si="33"/>
        <v>4465331.7635526313</v>
      </c>
      <c r="AE33" s="1479">
        <f t="shared" si="34"/>
        <v>4465331.7635526313</v>
      </c>
      <c r="AF33" s="1479">
        <f t="shared" si="35"/>
        <v>4465331.7635526313</v>
      </c>
      <c r="AG33" s="1479">
        <f t="shared" si="36"/>
        <v>58049312.926184192</v>
      </c>
      <c r="AH33" s="1646">
        <f t="shared" si="4"/>
        <v>165217275.25144738</v>
      </c>
    </row>
    <row r="34" spans="1:36" s="1390" customFormat="1" ht="40.5" customHeight="1" x14ac:dyDescent="0.2">
      <c r="A34" s="1391"/>
      <c r="B34" s="1477"/>
      <c r="C34" s="1660">
        <v>22</v>
      </c>
      <c r="D34" s="1455" t="s">
        <v>1019</v>
      </c>
      <c r="E34" s="1501" t="s">
        <v>1752</v>
      </c>
      <c r="F34" s="1501"/>
      <c r="G34" s="1416" t="s">
        <v>43</v>
      </c>
      <c r="H34" s="1416"/>
      <c r="I34" s="1414"/>
      <c r="J34" s="1416"/>
      <c r="K34" s="1647" t="s">
        <v>1085</v>
      </c>
      <c r="L34" s="1416">
        <v>2007</v>
      </c>
      <c r="M34" s="1429"/>
      <c r="N34" s="1649">
        <v>120</v>
      </c>
      <c r="O34" s="1416"/>
      <c r="P34" s="1414"/>
      <c r="Q34" s="1501" t="s">
        <v>12</v>
      </c>
      <c r="R34" s="1539">
        <v>223266588.17763156</v>
      </c>
      <c r="S34" s="1575"/>
      <c r="T34" s="1490"/>
      <c r="U34" s="1645" t="str">
        <f t="shared" si="37"/>
        <v>03.11.01</v>
      </c>
      <c r="V34" s="1478" t="str">
        <f t="shared" si="2"/>
        <v>Bangunan Gedung Tempat Kerja</v>
      </c>
      <c r="W34" s="1478">
        <f t="shared" si="3"/>
        <v>50</v>
      </c>
      <c r="X34" s="1401">
        <f t="shared" si="27"/>
        <v>4465331.7635526313</v>
      </c>
      <c r="Y34" s="1629">
        <f t="shared" si="28"/>
        <v>7</v>
      </c>
      <c r="Z34" s="1401">
        <f t="shared" si="29"/>
        <v>31257322.344868418</v>
      </c>
      <c r="AA34" s="1401">
        <f t="shared" si="30"/>
        <v>4465331.7635526313</v>
      </c>
      <c r="AB34" s="1401">
        <f t="shared" si="31"/>
        <v>4465331.7635526313</v>
      </c>
      <c r="AC34" s="1401">
        <f t="shared" si="32"/>
        <v>4465331.7635526313</v>
      </c>
      <c r="AD34" s="1479">
        <f t="shared" si="33"/>
        <v>4465331.7635526313</v>
      </c>
      <c r="AE34" s="1479">
        <f t="shared" si="34"/>
        <v>4465331.7635526313</v>
      </c>
      <c r="AF34" s="1479">
        <f t="shared" si="35"/>
        <v>4465331.7635526313</v>
      </c>
      <c r="AG34" s="1479">
        <f t="shared" si="36"/>
        <v>58049312.926184192</v>
      </c>
      <c r="AH34" s="1646">
        <f t="shared" ref="AH34:AH49" si="38">R34-AG34</f>
        <v>165217275.25144738</v>
      </c>
    </row>
    <row r="35" spans="1:36" s="1390" customFormat="1" ht="40.5" customHeight="1" x14ac:dyDescent="0.2">
      <c r="A35" s="1391">
        <v>4</v>
      </c>
      <c r="B35" s="1477" t="s">
        <v>2992</v>
      </c>
      <c r="C35" s="1660">
        <v>23</v>
      </c>
      <c r="D35" s="1455" t="s">
        <v>1020</v>
      </c>
      <c r="E35" s="1501" t="s">
        <v>1752</v>
      </c>
      <c r="F35" s="1501"/>
      <c r="G35" s="1416" t="s">
        <v>43</v>
      </c>
      <c r="H35" s="1416"/>
      <c r="I35" s="1414"/>
      <c r="J35" s="1416"/>
      <c r="K35" s="1455" t="s">
        <v>1098</v>
      </c>
      <c r="L35" s="1416">
        <v>2007</v>
      </c>
      <c r="M35" s="1429"/>
      <c r="N35" s="1649">
        <v>120</v>
      </c>
      <c r="O35" s="1416"/>
      <c r="P35" s="1414"/>
      <c r="Q35" s="1501" t="s">
        <v>12</v>
      </c>
      <c r="R35" s="1539">
        <v>641623608.79067278</v>
      </c>
      <c r="S35" s="1575"/>
      <c r="T35" s="1490"/>
      <c r="U35" s="1522" t="str">
        <f t="shared" si="37"/>
        <v>03.11.01</v>
      </c>
      <c r="V35" s="1478" t="str">
        <f t="shared" si="2"/>
        <v>Bangunan Gedung Tempat Kerja</v>
      </c>
      <c r="W35" s="1478">
        <f t="shared" si="3"/>
        <v>50</v>
      </c>
      <c r="X35" s="1401"/>
      <c r="Y35" s="1629"/>
      <c r="Z35" s="1401">
        <f>SUM('PERHITUNGAN (C)'!U50:U54)</f>
        <v>57727969.329433575</v>
      </c>
      <c r="AA35" s="1479">
        <f>SUMIF('PERHITUNGAN (C)'!$A:$A,'KIB C'!B35&amp;'KIB C'!$AA$7,'PERHITUNGAN (C)'!$U:$U)</f>
        <v>12423311.477898695</v>
      </c>
      <c r="AB35" s="1479">
        <f>SUMIF('PERHITUNGAN (C)'!$A:$A,'KIB C'!B35&amp;'KIB C'!$AB$7,'PERHITUNGAN (C)'!$U:$U)</f>
        <v>12423311.477898695</v>
      </c>
      <c r="AC35" s="1479">
        <f>SUMIF('PERHITUNGAN (C)'!$A:$A,'KIB C'!B35&amp;'KIB C'!$AC$7,'PERHITUNGAN (C)'!$U:$U)</f>
        <v>12423311.477898695</v>
      </c>
      <c r="AD35" s="1479">
        <f>SUMIF('PERHITUNGAN (C)'!$A:$A,'KIB C'!B35&amp;'KIB C'!$AD$7,'PERHITUNGAN (C)'!$U:$U)</f>
        <v>12423311.477898695</v>
      </c>
      <c r="AE35" s="1479">
        <f>SUMIF('PERHITUNGAN (C)'!$A:$A,'KIB C'!B35&amp;'KIB C'!$AE$7,'PERHITUNGAN (C)'!$U:$U)</f>
        <v>12423311.477898695</v>
      </c>
      <c r="AF35" s="1479">
        <f>SUMIF('PERHITUNGAN (C)'!$A:$A,'KIB C'!B35&amp;'KIB C'!$AF$7,'PERHITUNGAN (C)'!$U:$U)</f>
        <v>12423311.477898695</v>
      </c>
      <c r="AG35" s="1479">
        <f>SUM(Z35:AF35)</f>
        <v>132267838.19682571</v>
      </c>
      <c r="AH35" s="1646">
        <f t="shared" si="38"/>
        <v>509355770.59384704</v>
      </c>
      <c r="AJ35" s="1443">
        <f>SUM(Z35:AE35)</f>
        <v>119844526.71892703</v>
      </c>
    </row>
    <row r="36" spans="1:36" s="1390" customFormat="1" ht="40.5" customHeight="1" x14ac:dyDescent="0.2">
      <c r="A36" s="1391"/>
      <c r="B36" s="1477"/>
      <c r="C36" s="1660">
        <v>24</v>
      </c>
      <c r="D36" s="1455" t="s">
        <v>1021</v>
      </c>
      <c r="E36" s="1501" t="s">
        <v>1752</v>
      </c>
      <c r="F36" s="1501"/>
      <c r="G36" s="1416" t="s">
        <v>43</v>
      </c>
      <c r="H36" s="1416"/>
      <c r="I36" s="1414"/>
      <c r="J36" s="1416"/>
      <c r="K36" s="1647" t="s">
        <v>1087</v>
      </c>
      <c r="L36" s="1416">
        <v>2007</v>
      </c>
      <c r="M36" s="1429"/>
      <c r="N36" s="1649">
        <v>120</v>
      </c>
      <c r="O36" s="1416"/>
      <c r="P36" s="1414"/>
      <c r="Q36" s="1501" t="s">
        <v>12</v>
      </c>
      <c r="R36" s="1539">
        <v>223266588.17763156</v>
      </c>
      <c r="S36" s="1575"/>
      <c r="T36" s="1490"/>
      <c r="U36" s="1645" t="str">
        <f t="shared" si="37"/>
        <v>03.11.01</v>
      </c>
      <c r="V36" s="1478" t="str">
        <f t="shared" si="2"/>
        <v>Bangunan Gedung Tempat Kerja</v>
      </c>
      <c r="W36" s="1478">
        <f t="shared" si="3"/>
        <v>50</v>
      </c>
      <c r="X36" s="1401">
        <f t="shared" ref="X36:X41" si="39">R36/W36</f>
        <v>4465331.7635526313</v>
      </c>
      <c r="Y36" s="1629">
        <f t="shared" ref="Y36:Y41" si="40">IF(2013-L36+1&gt;W36,W36,IF(2013-L36+1&lt;0,0,2013-L36+1))</f>
        <v>7</v>
      </c>
      <c r="Z36" s="1401">
        <f t="shared" ref="Z36:Z41" si="41">IF(Y36&gt;W36,R36,X36*Y36)</f>
        <v>31257322.344868418</v>
      </c>
      <c r="AA36" s="1401">
        <f t="shared" ref="AA36:AA41" si="42">IF(R36=Z36,0,X36)</f>
        <v>4465331.7635526313</v>
      </c>
      <c r="AB36" s="1401">
        <f t="shared" ref="AB36:AB41" si="43">IF(R36=Z36+AA36,0,X36)</f>
        <v>4465331.7635526313</v>
      </c>
      <c r="AC36" s="1401">
        <f t="shared" ref="AC36:AC41" si="44">IF(R36=Z36+AA36+AB36,0,X36)</f>
        <v>4465331.7635526313</v>
      </c>
      <c r="AD36" s="1479">
        <f t="shared" ref="AD36:AD41" si="45">IF(R36=Z36+AA36+AB36+AC36,0,X36)</f>
        <v>4465331.7635526313</v>
      </c>
      <c r="AE36" s="1479">
        <f t="shared" ref="AE36:AE41" si="46">IF(R36=Z36+AA36+AB36+AC36+AD36,0,X36)</f>
        <v>4465331.7635526313</v>
      </c>
      <c r="AF36" s="1479">
        <f t="shared" ref="AF36:AF41" si="47">IF(R36=Z36+AA36+AB36+AC36+AD36+AE36,0,X36)</f>
        <v>4465331.7635526313</v>
      </c>
      <c r="AG36" s="1479">
        <f t="shared" ref="AG36:AG41" si="48">SUM(Z36:AF36)</f>
        <v>58049312.926184192</v>
      </c>
      <c r="AH36" s="1646">
        <f t="shared" si="38"/>
        <v>165217275.25144738</v>
      </c>
    </row>
    <row r="37" spans="1:36" s="1390" customFormat="1" ht="40.5" customHeight="1" x14ac:dyDescent="0.2">
      <c r="A37" s="1391"/>
      <c r="B37" s="1477"/>
      <c r="C37" s="1660">
        <v>25</v>
      </c>
      <c r="D37" s="1455" t="s">
        <v>1022</v>
      </c>
      <c r="E37" s="1501" t="s">
        <v>1752</v>
      </c>
      <c r="F37" s="1501"/>
      <c r="G37" s="1416" t="s">
        <v>43</v>
      </c>
      <c r="H37" s="1416"/>
      <c r="I37" s="1414"/>
      <c r="J37" s="1416"/>
      <c r="K37" s="1647" t="s">
        <v>1088</v>
      </c>
      <c r="L37" s="1416">
        <v>2007</v>
      </c>
      <c r="M37" s="1429"/>
      <c r="N37" s="1649">
        <v>120</v>
      </c>
      <c r="O37" s="1416"/>
      <c r="P37" s="1414"/>
      <c r="Q37" s="1501" t="s">
        <v>12</v>
      </c>
      <c r="R37" s="1539">
        <v>223266588.17763156</v>
      </c>
      <c r="S37" s="1575"/>
      <c r="T37" s="1490"/>
      <c r="U37" s="1645" t="str">
        <f t="shared" si="37"/>
        <v>03.11.01</v>
      </c>
      <c r="V37" s="1478" t="str">
        <f t="shared" si="2"/>
        <v>Bangunan Gedung Tempat Kerja</v>
      </c>
      <c r="W37" s="1478">
        <f t="shared" si="3"/>
        <v>50</v>
      </c>
      <c r="X37" s="1401">
        <f t="shared" si="39"/>
        <v>4465331.7635526313</v>
      </c>
      <c r="Y37" s="1629">
        <f t="shared" si="40"/>
        <v>7</v>
      </c>
      <c r="Z37" s="1401">
        <f t="shared" si="41"/>
        <v>31257322.344868418</v>
      </c>
      <c r="AA37" s="1401">
        <f t="shared" si="42"/>
        <v>4465331.7635526313</v>
      </c>
      <c r="AB37" s="1401">
        <f t="shared" si="43"/>
        <v>4465331.7635526313</v>
      </c>
      <c r="AC37" s="1401">
        <f t="shared" si="44"/>
        <v>4465331.7635526313</v>
      </c>
      <c r="AD37" s="1479">
        <f t="shared" si="45"/>
        <v>4465331.7635526313</v>
      </c>
      <c r="AE37" s="1479">
        <f t="shared" si="46"/>
        <v>4465331.7635526313</v>
      </c>
      <c r="AF37" s="1479">
        <f t="shared" si="47"/>
        <v>4465331.7635526313</v>
      </c>
      <c r="AG37" s="1479">
        <f t="shared" si="48"/>
        <v>58049312.926184192</v>
      </c>
      <c r="AH37" s="1646">
        <f t="shared" si="38"/>
        <v>165217275.25144738</v>
      </c>
    </row>
    <row r="38" spans="1:36" s="1390" customFormat="1" ht="40.5" customHeight="1" x14ac:dyDescent="0.2">
      <c r="A38" s="1391"/>
      <c r="B38" s="1477"/>
      <c r="C38" s="1660">
        <v>26</v>
      </c>
      <c r="D38" s="1455" t="s">
        <v>1023</v>
      </c>
      <c r="E38" s="1501" t="s">
        <v>1752</v>
      </c>
      <c r="F38" s="1501"/>
      <c r="G38" s="1416" t="s">
        <v>43</v>
      </c>
      <c r="H38" s="1416"/>
      <c r="I38" s="1414"/>
      <c r="J38" s="1416"/>
      <c r="K38" s="1647" t="s">
        <v>1089</v>
      </c>
      <c r="L38" s="1416">
        <v>2007</v>
      </c>
      <c r="M38" s="1429"/>
      <c r="N38" s="1649">
        <v>120</v>
      </c>
      <c r="O38" s="1416"/>
      <c r="P38" s="1414"/>
      <c r="Q38" s="1501" t="s">
        <v>12</v>
      </c>
      <c r="R38" s="1539">
        <v>223266588.15000001</v>
      </c>
      <c r="S38" s="1575"/>
      <c r="T38" s="1490"/>
      <c r="U38" s="1645" t="str">
        <f t="shared" si="37"/>
        <v>03.11.01</v>
      </c>
      <c r="V38" s="1478" t="str">
        <f t="shared" si="2"/>
        <v>Bangunan Gedung Tempat Kerja</v>
      </c>
      <c r="W38" s="1478">
        <f t="shared" si="3"/>
        <v>50</v>
      </c>
      <c r="X38" s="1401">
        <f t="shared" si="39"/>
        <v>4465331.7630000003</v>
      </c>
      <c r="Y38" s="1629">
        <f t="shared" si="40"/>
        <v>7</v>
      </c>
      <c r="Z38" s="1401">
        <f t="shared" si="41"/>
        <v>31257322.341000002</v>
      </c>
      <c r="AA38" s="1401">
        <f t="shared" si="42"/>
        <v>4465331.7630000003</v>
      </c>
      <c r="AB38" s="1401">
        <f t="shared" si="43"/>
        <v>4465331.7630000003</v>
      </c>
      <c r="AC38" s="1401">
        <f t="shared" si="44"/>
        <v>4465331.7630000003</v>
      </c>
      <c r="AD38" s="1479">
        <f t="shared" si="45"/>
        <v>4465331.7630000003</v>
      </c>
      <c r="AE38" s="1479">
        <f t="shared" si="46"/>
        <v>4465331.7630000003</v>
      </c>
      <c r="AF38" s="1479">
        <f t="shared" si="47"/>
        <v>4465331.7630000003</v>
      </c>
      <c r="AG38" s="1479">
        <f t="shared" si="48"/>
        <v>58049312.918999985</v>
      </c>
      <c r="AH38" s="1646">
        <f t="shared" si="38"/>
        <v>165217275.23100001</v>
      </c>
    </row>
    <row r="39" spans="1:36" s="1390" customFormat="1" ht="40.5" customHeight="1" x14ac:dyDescent="0.2">
      <c r="A39" s="1391"/>
      <c r="B39" s="1477"/>
      <c r="C39" s="1660">
        <v>27</v>
      </c>
      <c r="D39" s="1455" t="s">
        <v>1024</v>
      </c>
      <c r="E39" s="1501" t="s">
        <v>1752</v>
      </c>
      <c r="F39" s="1501"/>
      <c r="G39" s="1416" t="s">
        <v>43</v>
      </c>
      <c r="H39" s="1416"/>
      <c r="I39" s="1414"/>
      <c r="J39" s="1416"/>
      <c r="K39" s="1647" t="s">
        <v>1090</v>
      </c>
      <c r="L39" s="1416">
        <v>2007</v>
      </c>
      <c r="M39" s="1429"/>
      <c r="N39" s="1649">
        <v>120</v>
      </c>
      <c r="O39" s="1416"/>
      <c r="P39" s="1414"/>
      <c r="Q39" s="1501" t="s">
        <v>12</v>
      </c>
      <c r="R39" s="1539">
        <v>223266588.17763156</v>
      </c>
      <c r="S39" s="1575"/>
      <c r="T39" s="1490"/>
      <c r="U39" s="1645" t="str">
        <f t="shared" si="37"/>
        <v>03.11.01</v>
      </c>
      <c r="V39" s="1478" t="str">
        <f t="shared" si="2"/>
        <v>Bangunan Gedung Tempat Kerja</v>
      </c>
      <c r="W39" s="1478">
        <f t="shared" si="3"/>
        <v>50</v>
      </c>
      <c r="X39" s="1401">
        <f t="shared" si="39"/>
        <v>4465331.7635526313</v>
      </c>
      <c r="Y39" s="1629">
        <f t="shared" si="40"/>
        <v>7</v>
      </c>
      <c r="Z39" s="1401">
        <f t="shared" si="41"/>
        <v>31257322.344868418</v>
      </c>
      <c r="AA39" s="1401">
        <f t="shared" si="42"/>
        <v>4465331.7635526313</v>
      </c>
      <c r="AB39" s="1401">
        <f t="shared" si="43"/>
        <v>4465331.7635526313</v>
      </c>
      <c r="AC39" s="1401">
        <f t="shared" si="44"/>
        <v>4465331.7635526313</v>
      </c>
      <c r="AD39" s="1479">
        <f t="shared" si="45"/>
        <v>4465331.7635526313</v>
      </c>
      <c r="AE39" s="1479">
        <f t="shared" si="46"/>
        <v>4465331.7635526313</v>
      </c>
      <c r="AF39" s="1479">
        <f t="shared" si="47"/>
        <v>4465331.7635526313</v>
      </c>
      <c r="AG39" s="1479">
        <f t="shared" si="48"/>
        <v>58049312.926184192</v>
      </c>
      <c r="AH39" s="1646">
        <f t="shared" si="38"/>
        <v>165217275.25144738</v>
      </c>
    </row>
    <row r="40" spans="1:36" s="1390" customFormat="1" ht="40.5" customHeight="1" x14ac:dyDescent="0.2">
      <c r="A40" s="1391"/>
      <c r="B40" s="1477"/>
      <c r="C40" s="1660">
        <v>28</v>
      </c>
      <c r="D40" s="1455" t="s">
        <v>1025</v>
      </c>
      <c r="E40" s="1501" t="s">
        <v>1752</v>
      </c>
      <c r="F40" s="1501"/>
      <c r="G40" s="1416" t="s">
        <v>43</v>
      </c>
      <c r="H40" s="1416"/>
      <c r="I40" s="1414"/>
      <c r="J40" s="1416"/>
      <c r="K40" s="1647" t="s">
        <v>1091</v>
      </c>
      <c r="L40" s="1416">
        <v>2007</v>
      </c>
      <c r="M40" s="1429"/>
      <c r="N40" s="1649">
        <v>120</v>
      </c>
      <c r="O40" s="1416"/>
      <c r="P40" s="1414"/>
      <c r="Q40" s="1501" t="s">
        <v>12</v>
      </c>
      <c r="R40" s="1539">
        <v>223266588.17763156</v>
      </c>
      <c r="S40" s="1575"/>
      <c r="T40" s="1490"/>
      <c r="U40" s="1645" t="str">
        <f t="shared" si="37"/>
        <v>03.11.01</v>
      </c>
      <c r="V40" s="1478" t="str">
        <f t="shared" si="2"/>
        <v>Bangunan Gedung Tempat Kerja</v>
      </c>
      <c r="W40" s="1478">
        <f t="shared" si="3"/>
        <v>50</v>
      </c>
      <c r="X40" s="1401">
        <f t="shared" si="39"/>
        <v>4465331.7635526313</v>
      </c>
      <c r="Y40" s="1629">
        <f t="shared" si="40"/>
        <v>7</v>
      </c>
      <c r="Z40" s="1401">
        <f t="shared" si="41"/>
        <v>31257322.344868418</v>
      </c>
      <c r="AA40" s="1401">
        <f t="shared" si="42"/>
        <v>4465331.7635526313</v>
      </c>
      <c r="AB40" s="1401">
        <f t="shared" si="43"/>
        <v>4465331.7635526313</v>
      </c>
      <c r="AC40" s="1401">
        <f t="shared" si="44"/>
        <v>4465331.7635526313</v>
      </c>
      <c r="AD40" s="1479">
        <f t="shared" si="45"/>
        <v>4465331.7635526313</v>
      </c>
      <c r="AE40" s="1479">
        <f t="shared" si="46"/>
        <v>4465331.7635526313</v>
      </c>
      <c r="AF40" s="1479">
        <f t="shared" si="47"/>
        <v>4465331.7635526313</v>
      </c>
      <c r="AG40" s="1479">
        <f t="shared" si="48"/>
        <v>58049312.926184192</v>
      </c>
      <c r="AH40" s="1646">
        <f t="shared" si="38"/>
        <v>165217275.25144738</v>
      </c>
    </row>
    <row r="41" spans="1:36" s="1390" customFormat="1" ht="40.5" customHeight="1" x14ac:dyDescent="0.2">
      <c r="A41" s="1391"/>
      <c r="B41" s="1477"/>
      <c r="C41" s="1660">
        <v>29</v>
      </c>
      <c r="D41" s="1455" t="s">
        <v>1026</v>
      </c>
      <c r="E41" s="1501" t="s">
        <v>1752</v>
      </c>
      <c r="F41" s="1501"/>
      <c r="G41" s="1416" t="s">
        <v>43</v>
      </c>
      <c r="H41" s="1416"/>
      <c r="I41" s="1414"/>
      <c r="J41" s="1416"/>
      <c r="K41" s="1647" t="s">
        <v>1092</v>
      </c>
      <c r="L41" s="1416">
        <v>2007</v>
      </c>
      <c r="M41" s="1429"/>
      <c r="N41" s="1649">
        <v>120</v>
      </c>
      <c r="O41" s="1416"/>
      <c r="P41" s="1414"/>
      <c r="Q41" s="1501" t="s">
        <v>12</v>
      </c>
      <c r="R41" s="1539">
        <v>223266588.17763156</v>
      </c>
      <c r="S41" s="1575"/>
      <c r="T41" s="1490"/>
      <c r="U41" s="1645" t="str">
        <f t="shared" si="37"/>
        <v>03.11.01</v>
      </c>
      <c r="V41" s="1478" t="str">
        <f t="shared" si="2"/>
        <v>Bangunan Gedung Tempat Kerja</v>
      </c>
      <c r="W41" s="1478">
        <f t="shared" si="3"/>
        <v>50</v>
      </c>
      <c r="X41" s="1401">
        <f t="shared" si="39"/>
        <v>4465331.7635526313</v>
      </c>
      <c r="Y41" s="1629">
        <f t="shared" si="40"/>
        <v>7</v>
      </c>
      <c r="Z41" s="1401">
        <f t="shared" si="41"/>
        <v>31257322.344868418</v>
      </c>
      <c r="AA41" s="1401">
        <f t="shared" si="42"/>
        <v>4465331.7635526313</v>
      </c>
      <c r="AB41" s="1401">
        <f t="shared" si="43"/>
        <v>4465331.7635526313</v>
      </c>
      <c r="AC41" s="1401">
        <f t="shared" si="44"/>
        <v>4465331.7635526313</v>
      </c>
      <c r="AD41" s="1479">
        <f t="shared" si="45"/>
        <v>4465331.7635526313</v>
      </c>
      <c r="AE41" s="1479">
        <f t="shared" si="46"/>
        <v>4465331.7635526313</v>
      </c>
      <c r="AF41" s="1479">
        <f t="shared" si="47"/>
        <v>4465331.7635526313</v>
      </c>
      <c r="AG41" s="1479">
        <f t="shared" si="48"/>
        <v>58049312.926184192</v>
      </c>
      <c r="AH41" s="1646">
        <f t="shared" si="38"/>
        <v>165217275.25144738</v>
      </c>
    </row>
    <row r="42" spans="1:36" s="1390" customFormat="1" ht="40.5" customHeight="1" x14ac:dyDescent="0.2">
      <c r="A42" s="1391">
        <v>5</v>
      </c>
      <c r="B42" s="1545" t="s">
        <v>2988</v>
      </c>
      <c r="C42" s="1660">
        <v>30</v>
      </c>
      <c r="D42" s="1455" t="s">
        <v>2988</v>
      </c>
      <c r="E42" s="1501" t="s">
        <v>1772</v>
      </c>
      <c r="F42" s="1501"/>
      <c r="G42" s="1416" t="s">
        <v>43</v>
      </c>
      <c r="H42" s="1416"/>
      <c r="I42" s="1414"/>
      <c r="J42" s="1416"/>
      <c r="K42" s="1647" t="s">
        <v>1093</v>
      </c>
      <c r="L42" s="1416">
        <v>2007</v>
      </c>
      <c r="M42" s="1429"/>
      <c r="N42" s="1649">
        <v>550</v>
      </c>
      <c r="O42" s="1416"/>
      <c r="P42" s="1414"/>
      <c r="Q42" s="1501" t="s">
        <v>12</v>
      </c>
      <c r="R42" s="1539">
        <v>2330711082.2410507</v>
      </c>
      <c r="S42" s="1575"/>
      <c r="T42" s="1490"/>
      <c r="U42" s="1522" t="str">
        <f t="shared" si="37"/>
        <v>03.11.01</v>
      </c>
      <c r="V42" s="1478" t="str">
        <f t="shared" si="2"/>
        <v>Bangunan Gedung Tempat Kerja</v>
      </c>
      <c r="W42" s="1478">
        <f t="shared" si="3"/>
        <v>50</v>
      </c>
      <c r="X42" s="1401"/>
      <c r="Y42" s="1629"/>
      <c r="Z42" s="1401">
        <f>SUM('PERHITUNGAN (C)'!U70:U72)</f>
        <v>297695501.31525558</v>
      </c>
      <c r="AA42" s="1479">
        <f>SUMIF('PERHITUNGAN (C)'!$A:$A,'KIB C'!B42&amp;'KIB C'!$AA$7,'PERHITUNGAN (C)'!$U:$U)</f>
        <v>46204899.566495448</v>
      </c>
      <c r="AB42" s="1479">
        <f>SUMIF('PERHITUNGAN (C)'!$A:$A,'KIB C'!B42&amp;'KIB C'!$AB$7,'PERHITUNGAN (C)'!$U:$U)</f>
        <v>46204899.566495448</v>
      </c>
      <c r="AC42" s="1479">
        <f>SUMIF('PERHITUNGAN (C)'!$A:$A,'KIB C'!B42&amp;'KIB C'!$AC$7,'PERHITUNGAN (C)'!$U:$U)</f>
        <v>46204899.566495448</v>
      </c>
      <c r="AD42" s="1479">
        <f>SUMIF('PERHITUNGAN (C)'!$A:$A,'KIB C'!B42&amp;'KIB C'!$AD$7,'PERHITUNGAN (C)'!$U:$U)</f>
        <v>46204899.566495448</v>
      </c>
      <c r="AE42" s="1479">
        <f>SUMIF('PERHITUNGAN (C)'!$A:$A,'KIB C'!B42&amp;'KIB C'!$AE$7,'PERHITUNGAN (C)'!$U:$U)</f>
        <v>46204899.566495448</v>
      </c>
      <c r="AF42" s="1479">
        <f>SUMIF('PERHITUNGAN (C)'!$A:$A,'KIB C'!B42&amp;'KIB C'!$AF$7,'PERHITUNGAN (C)'!$U:$U)</f>
        <v>46204899.566495448</v>
      </c>
      <c r="AG42" s="1479">
        <f t="shared" ref="AG42:AG50" si="49">SUM(Z42:AF42)</f>
        <v>574924898.71422815</v>
      </c>
      <c r="AH42" s="1646">
        <f t="shared" si="38"/>
        <v>1755786183.5268226</v>
      </c>
      <c r="AJ42" s="1443">
        <f>SUM(Z42:AE42)</f>
        <v>528719999.14773273</v>
      </c>
    </row>
    <row r="43" spans="1:36" s="1390" customFormat="1" ht="40.5" customHeight="1" x14ac:dyDescent="0.2">
      <c r="A43" s="1391">
        <v>6</v>
      </c>
      <c r="B43" s="1477" t="s">
        <v>2989</v>
      </c>
      <c r="C43" s="1660">
        <v>31</v>
      </c>
      <c r="D43" s="1455" t="s">
        <v>2989</v>
      </c>
      <c r="E43" s="1501" t="s">
        <v>1772</v>
      </c>
      <c r="F43" s="1501"/>
      <c r="G43" s="1416" t="s">
        <v>43</v>
      </c>
      <c r="H43" s="1416"/>
      <c r="I43" s="1414"/>
      <c r="J43" s="1416"/>
      <c r="K43" s="1647" t="s">
        <v>428</v>
      </c>
      <c r="L43" s="1416">
        <v>2007</v>
      </c>
      <c r="M43" s="1429"/>
      <c r="N43" s="1649">
        <v>420</v>
      </c>
      <c r="O43" s="1416"/>
      <c r="P43" s="1414"/>
      <c r="Q43" s="1501" t="s">
        <v>12</v>
      </c>
      <c r="R43" s="1539">
        <v>1012320804.6332581</v>
      </c>
      <c r="S43" s="1575"/>
      <c r="T43" s="1490"/>
      <c r="U43" s="1522" t="str">
        <f t="shared" si="37"/>
        <v>03.11.01</v>
      </c>
      <c r="V43" s="1478" t="str">
        <f t="shared" si="2"/>
        <v>Bangunan Gedung Tempat Kerja</v>
      </c>
      <c r="W43" s="1478">
        <f t="shared" si="3"/>
        <v>50</v>
      </c>
      <c r="X43" s="1401"/>
      <c r="Y43" s="1629"/>
      <c r="Z43" s="1401">
        <f>SUM('PERHITUNGAN (C)'!U89:U91)</f>
        <v>135231718.38735095</v>
      </c>
      <c r="AA43" s="1479">
        <f>SUMIF('PERHITUNGAN (C)'!$A:$A,'KIB C'!B43&amp;'KIB C'!$AA$7,'PERHITUNGAN (C)'!$U:$U)</f>
        <v>19933842.869225159</v>
      </c>
      <c r="AB43" s="1479">
        <f>SUMIF('PERHITUNGAN (C)'!$A:$A,'KIB C'!B43&amp;'KIB C'!$AB$7,'PERHITUNGAN (C)'!$U:$U)</f>
        <v>19933842.869225159</v>
      </c>
      <c r="AC43" s="1479">
        <f>SUMIF('PERHITUNGAN (C)'!$A:$A,'KIB C'!B43&amp;'KIB C'!$AC$7,'PERHITUNGAN (C)'!$U:$U)</f>
        <v>19933842.869225159</v>
      </c>
      <c r="AD43" s="1479">
        <f>SUMIF('PERHITUNGAN (C)'!$A:$A,'KIB C'!B43&amp;'KIB C'!$AD$7,'PERHITUNGAN (C)'!$U:$U)</f>
        <v>19933842.869225159</v>
      </c>
      <c r="AE43" s="1479">
        <f>SUMIF('PERHITUNGAN (C)'!$A:$A,'KIB C'!B43&amp;'KIB C'!$AE$7,'PERHITUNGAN (C)'!$U:$U)</f>
        <v>19933842.869225159</v>
      </c>
      <c r="AF43" s="1479">
        <f>SUMIF('PERHITUNGAN (C)'!$A:$A,'KIB C'!B43&amp;'KIB C'!$AF$7,'PERHITUNGAN (C)'!$U:$U)</f>
        <v>19933842.869225159</v>
      </c>
      <c r="AG43" s="1479">
        <f t="shared" si="49"/>
        <v>254834775.60270184</v>
      </c>
      <c r="AH43" s="1646">
        <f t="shared" si="38"/>
        <v>757486029.0305562</v>
      </c>
      <c r="AJ43" s="1443">
        <f>SUM(Z43:AE43)</f>
        <v>234900932.7334767</v>
      </c>
    </row>
    <row r="44" spans="1:36" s="1390" customFormat="1" ht="40.5" customHeight="1" x14ac:dyDescent="0.2">
      <c r="A44" s="1391">
        <v>7</v>
      </c>
      <c r="B44" s="1545" t="s">
        <v>2987</v>
      </c>
      <c r="C44" s="1660">
        <v>32</v>
      </c>
      <c r="D44" s="1455" t="s">
        <v>1029</v>
      </c>
      <c r="E44" s="1501" t="s">
        <v>1772</v>
      </c>
      <c r="F44" s="1501"/>
      <c r="G44" s="1416" t="s">
        <v>43</v>
      </c>
      <c r="H44" s="1416"/>
      <c r="I44" s="1414"/>
      <c r="J44" s="1416"/>
      <c r="K44" s="1647" t="s">
        <v>1094</v>
      </c>
      <c r="L44" s="1416">
        <v>2007</v>
      </c>
      <c r="M44" s="1429"/>
      <c r="N44" s="1649">
        <v>420</v>
      </c>
      <c r="O44" s="1416"/>
      <c r="P44" s="1414"/>
      <c r="Q44" s="1501" t="s">
        <v>12</v>
      </c>
      <c r="R44" s="1539">
        <v>1313893149.8412251</v>
      </c>
      <c r="S44" s="1575"/>
      <c r="T44" s="1490"/>
      <c r="U44" s="1522" t="str">
        <f t="shared" ref="U44:U50" si="50">LEFT(E44,8)</f>
        <v>03.11.01</v>
      </c>
      <c r="V44" s="1478" t="str">
        <f t="shared" si="2"/>
        <v>Bangunan Gedung Tempat Kerja</v>
      </c>
      <c r="W44" s="1478">
        <f t="shared" si="3"/>
        <v>50</v>
      </c>
      <c r="X44" s="1401"/>
      <c r="Y44" s="1629"/>
      <c r="Z44" s="1401">
        <f>SUM('PERHITUNGAN (C)'!U108:U110)</f>
        <v>156673479.81019503</v>
      </c>
      <c r="AA44" s="1479">
        <f>SUMIF('PERHITUNGAN (C)'!$A:$A,'KIB C'!B44&amp;'KIB C'!$AA$7,'PERHITUNGAN (C)'!$U:$U)</f>
        <v>23507469.773432504</v>
      </c>
      <c r="AB44" s="1479">
        <f>SUMIF('PERHITUNGAN (C)'!$A:$A,'KIB C'!B44&amp;'KIB C'!$AB$7,'PERHITUNGAN (C)'!$U:$U)</f>
        <v>23507469.773432504</v>
      </c>
      <c r="AC44" s="1479">
        <f>SUMIF('PERHITUNGAN (C)'!$A:$A,'KIB C'!B44&amp;'KIB C'!$AC$7,'PERHITUNGAN (C)'!$U:$U)</f>
        <v>23507469.773432504</v>
      </c>
      <c r="AD44" s="1479">
        <f>SUMIF('PERHITUNGAN (C)'!$A:$A,'KIB C'!B44&amp;'KIB C'!$AD$7,'PERHITUNGAN (C)'!$U:$U)</f>
        <v>23507469.773432504</v>
      </c>
      <c r="AE44" s="1479">
        <f>SUMIF('PERHITUNGAN (C)'!$A:$A,'KIB C'!B44&amp;'KIB C'!$AE$7,'PERHITUNGAN (C)'!$U:$U)</f>
        <v>23507469.773432504</v>
      </c>
      <c r="AF44" s="1479">
        <f>SUMIF('PERHITUNGAN (C)'!$A:$A,'KIB C'!B44&amp;'KIB C'!$AF$7,'PERHITUNGAN (C)'!$U:$U)</f>
        <v>23629143.662815176</v>
      </c>
      <c r="AG44" s="1479">
        <f t="shared" si="49"/>
        <v>297839972.34017265</v>
      </c>
      <c r="AH44" s="1646">
        <f t="shared" si="38"/>
        <v>1016053177.5010525</v>
      </c>
      <c r="AJ44" s="1443">
        <f>SUM(Z44:AE44)</f>
        <v>274210828.67735749</v>
      </c>
    </row>
    <row r="45" spans="1:36" s="1390" customFormat="1" ht="40.5" customHeight="1" x14ac:dyDescent="0.2">
      <c r="A45" s="1391"/>
      <c r="B45" s="1477" t="s">
        <v>3001</v>
      </c>
      <c r="C45" s="1660">
        <v>33</v>
      </c>
      <c r="D45" s="1455" t="s">
        <v>5420</v>
      </c>
      <c r="E45" s="1501" t="s">
        <v>1752</v>
      </c>
      <c r="F45" s="1501"/>
      <c r="G45" s="1416"/>
      <c r="H45" s="1416"/>
      <c r="I45" s="1414"/>
      <c r="J45" s="1416"/>
      <c r="K45" s="1455" t="s">
        <v>52</v>
      </c>
      <c r="L45" s="1416">
        <v>2007</v>
      </c>
      <c r="M45" s="1429"/>
      <c r="N45" s="1501"/>
      <c r="O45" s="1416"/>
      <c r="P45" s="1414"/>
      <c r="Q45" s="1501" t="s">
        <v>12</v>
      </c>
      <c r="R45" s="1539">
        <v>956968150</v>
      </c>
      <c r="S45" s="1575"/>
      <c r="T45" s="1490"/>
      <c r="U45" s="1645" t="str">
        <f t="shared" si="50"/>
        <v>03.11.01</v>
      </c>
      <c r="V45" s="1478" t="str">
        <f t="shared" si="2"/>
        <v>Bangunan Gedung Tempat Kerja</v>
      </c>
      <c r="W45" s="1478">
        <f t="shared" si="3"/>
        <v>50</v>
      </c>
      <c r="X45" s="1401">
        <f>R45/W45</f>
        <v>19139363</v>
      </c>
      <c r="Y45" s="1629">
        <f>IF(2013-L45+1&gt;W45,W45,IF(2013-L45+1&lt;0,0,2013-L45+1))</f>
        <v>7</v>
      </c>
      <c r="Z45" s="1401">
        <f>IF(Y45&gt;W45,R45,X45*Y45)</f>
        <v>133975541</v>
      </c>
      <c r="AA45" s="1401">
        <f>IF(R45=Z45,0,X45)</f>
        <v>19139363</v>
      </c>
      <c r="AB45" s="1401">
        <f>IF(R45=Z45+AA45,0,X45)</f>
        <v>19139363</v>
      </c>
      <c r="AC45" s="1401">
        <f>IF(R45=Z45+AA45+AB45,0,X45)</f>
        <v>19139363</v>
      </c>
      <c r="AD45" s="1479">
        <f>IF(R45=Z45+AA45+AB45+AC45,0,X45)</f>
        <v>19139363</v>
      </c>
      <c r="AE45" s="1479">
        <f>IF(R45=Z45+AA45+AB45+AC45+AD45,0,X45)</f>
        <v>19139363</v>
      </c>
      <c r="AF45" s="1479">
        <f>IF(R45=Z45+AA45+AB45+AC45+AD45+AE45,0,X45)</f>
        <v>19139363</v>
      </c>
      <c r="AG45" s="1479">
        <f t="shared" si="49"/>
        <v>248811719</v>
      </c>
      <c r="AH45" s="1646">
        <f t="shared" si="38"/>
        <v>708156431</v>
      </c>
    </row>
    <row r="46" spans="1:36" s="1390" customFormat="1" ht="40.5" customHeight="1" x14ac:dyDescent="0.2">
      <c r="A46" s="1391"/>
      <c r="B46" s="1477"/>
      <c r="C46" s="1660">
        <v>34</v>
      </c>
      <c r="D46" s="1455" t="s">
        <v>1031</v>
      </c>
      <c r="E46" s="1501" t="s">
        <v>5761</v>
      </c>
      <c r="F46" s="1501"/>
      <c r="G46" s="1416" t="s">
        <v>135</v>
      </c>
      <c r="H46" s="1416"/>
      <c r="I46" s="1414"/>
      <c r="J46" s="1416"/>
      <c r="K46" s="1647" t="s">
        <v>428</v>
      </c>
      <c r="L46" s="1416">
        <v>2007</v>
      </c>
      <c r="M46" s="1429"/>
      <c r="N46" s="1501"/>
      <c r="O46" s="1416"/>
      <c r="P46" s="1414"/>
      <c r="Q46" s="1501" t="s">
        <v>12</v>
      </c>
      <c r="R46" s="1539">
        <v>110133381.99452282</v>
      </c>
      <c r="S46" s="1575"/>
      <c r="T46" s="1490"/>
      <c r="U46" s="1645" t="str">
        <f t="shared" si="50"/>
        <v>03.11.02</v>
      </c>
      <c r="V46" s="1478" t="str">
        <f t="shared" si="2"/>
        <v>Bangunan Gedung Tempat Tinggal</v>
      </c>
      <c r="W46" s="1478">
        <f t="shared" si="3"/>
        <v>50</v>
      </c>
      <c r="X46" s="1401">
        <f>R46/W46</f>
        <v>2202667.6398904566</v>
      </c>
      <c r="Y46" s="1629">
        <f>IF(2013-L46+1&gt;W46,W46,IF(2013-L46+1&lt;0,0,2013-L46+1))</f>
        <v>7</v>
      </c>
      <c r="Z46" s="1401">
        <f>IF(Y46&gt;W46,R46,X46*Y46)</f>
        <v>15418673.479233196</v>
      </c>
      <c r="AA46" s="1401">
        <f>IF(R46=Z46,0,X46)</f>
        <v>2202667.6398904566</v>
      </c>
      <c r="AB46" s="1401">
        <f>IF(R46=Z46+AA46,0,X46)</f>
        <v>2202667.6398904566</v>
      </c>
      <c r="AC46" s="1401">
        <f>IF(R46=Z46+AA46+AB46,0,X46)</f>
        <v>2202667.6398904566</v>
      </c>
      <c r="AD46" s="1479">
        <f>IF(R46=Z46+AA46+AB46+AC46,0,X46)</f>
        <v>2202667.6398904566</v>
      </c>
      <c r="AE46" s="1479">
        <f>IF(R46=Z46+AA46+AB46+AC46+AD46,0,X46)</f>
        <v>2202667.6398904566</v>
      </c>
      <c r="AF46" s="1479">
        <f>IF(R46=Z46+AA46+AB46+AC46+AD46+AE46,0,X46)</f>
        <v>2202667.6398904566</v>
      </c>
      <c r="AG46" s="1479">
        <f t="shared" si="49"/>
        <v>28634679.318575926</v>
      </c>
      <c r="AH46" s="1646">
        <f t="shared" si="38"/>
        <v>81498702.675946891</v>
      </c>
    </row>
    <row r="47" spans="1:36" s="1390" customFormat="1" ht="40.5" customHeight="1" x14ac:dyDescent="0.2">
      <c r="A47" s="1391"/>
      <c r="B47" s="1477"/>
      <c r="C47" s="1660">
        <v>35</v>
      </c>
      <c r="D47" s="1455" t="s">
        <v>1032</v>
      </c>
      <c r="E47" s="1501" t="s">
        <v>5761</v>
      </c>
      <c r="F47" s="1501"/>
      <c r="G47" s="1416"/>
      <c r="H47" s="1416"/>
      <c r="I47" s="1414"/>
      <c r="J47" s="1416"/>
      <c r="K47" s="1647" t="s">
        <v>427</v>
      </c>
      <c r="L47" s="1416">
        <v>2007</v>
      </c>
      <c r="M47" s="1429"/>
      <c r="N47" s="1501"/>
      <c r="O47" s="1416"/>
      <c r="P47" s="1414"/>
      <c r="Q47" s="1501" t="s">
        <v>12</v>
      </c>
      <c r="R47" s="1539">
        <v>94910618.005477175</v>
      </c>
      <c r="S47" s="1575"/>
      <c r="T47" s="1490"/>
      <c r="U47" s="1645" t="str">
        <f t="shared" si="50"/>
        <v>03.11.02</v>
      </c>
      <c r="V47" s="1478" t="str">
        <f t="shared" si="2"/>
        <v>Bangunan Gedung Tempat Tinggal</v>
      </c>
      <c r="W47" s="1478">
        <f t="shared" si="3"/>
        <v>50</v>
      </c>
      <c r="X47" s="1401">
        <f>R47/W47</f>
        <v>1898212.3601095434</v>
      </c>
      <c r="Y47" s="1629">
        <f>IF(2013-L47+1&gt;W47,W47,IF(2013-L47+1&lt;0,0,2013-L47+1))</f>
        <v>7</v>
      </c>
      <c r="Z47" s="1401">
        <f>IF(Y47&gt;W47,R47,X47*Y47)</f>
        <v>13287486.520766804</v>
      </c>
      <c r="AA47" s="1401">
        <f>IF(R47=Z47,0,X47)</f>
        <v>1898212.3601095434</v>
      </c>
      <c r="AB47" s="1401">
        <f>IF(R47=Z47+AA47,0,X47)</f>
        <v>1898212.3601095434</v>
      </c>
      <c r="AC47" s="1401">
        <f>IF(R47=Z47+AA47+AB47,0,X47)</f>
        <v>1898212.3601095434</v>
      </c>
      <c r="AD47" s="1479">
        <f>IF(R47=Z47+AA47+AB47+AC47,0,X47)</f>
        <v>1898212.3601095434</v>
      </c>
      <c r="AE47" s="1479">
        <f>IF(R47=Z47+AA47+AB47+AC47+AD47,0,X47)</f>
        <v>1898212.3601095434</v>
      </c>
      <c r="AF47" s="1479">
        <f>IF(R47=Z47+AA47+AB47+AC47+AD47+AE47,0,X47)</f>
        <v>1898212.3601095434</v>
      </c>
      <c r="AG47" s="1479">
        <f t="shared" si="49"/>
        <v>24676760.681424074</v>
      </c>
      <c r="AH47" s="1646">
        <f t="shared" si="38"/>
        <v>70233857.324053109</v>
      </c>
    </row>
    <row r="48" spans="1:36" s="1390" customFormat="1" ht="40.5" customHeight="1" x14ac:dyDescent="0.2">
      <c r="A48" s="1391">
        <v>8</v>
      </c>
      <c r="B48" s="1477" t="s">
        <v>3002</v>
      </c>
      <c r="C48" s="1660">
        <v>36</v>
      </c>
      <c r="D48" s="1455" t="s">
        <v>3002</v>
      </c>
      <c r="E48" s="1501" t="s">
        <v>1752</v>
      </c>
      <c r="F48" s="1501" t="s">
        <v>426</v>
      </c>
      <c r="G48" s="1416" t="s">
        <v>43</v>
      </c>
      <c r="H48" s="1416"/>
      <c r="I48" s="1414"/>
      <c r="J48" s="1416"/>
      <c r="K48" s="1647" t="s">
        <v>417</v>
      </c>
      <c r="L48" s="1416">
        <v>2007</v>
      </c>
      <c r="M48" s="1429"/>
      <c r="N48" s="1501">
        <v>550</v>
      </c>
      <c r="O48" s="1416"/>
      <c r="P48" s="1414"/>
      <c r="Q48" s="1501" t="s">
        <v>12</v>
      </c>
      <c r="R48" s="1539">
        <v>1708579087.2</v>
      </c>
      <c r="S48" s="1575"/>
      <c r="T48" s="1490"/>
      <c r="U48" s="1522" t="str">
        <f t="shared" si="50"/>
        <v>03.11.01</v>
      </c>
      <c r="V48" s="1478" t="str">
        <f t="shared" si="2"/>
        <v>Bangunan Gedung Tempat Kerja</v>
      </c>
      <c r="W48" s="1478">
        <f t="shared" si="3"/>
        <v>50</v>
      </c>
      <c r="X48" s="1401"/>
      <c r="Y48" s="1629"/>
      <c r="Z48" s="1401">
        <f>SUM('PERHITUNGAN (C)'!U127:U129)</f>
        <v>222378132.31872004</v>
      </c>
      <c r="AA48" s="1479">
        <f>SUMIF('PERHITUNGAN (C)'!$A:$A,'KIB C'!B48&amp;'KIB C'!$AA$7,'PERHITUNGAN (C)'!$U:$U)</f>
        <v>33777294.429120004</v>
      </c>
      <c r="AB48" s="1479">
        <f>SUMIF('PERHITUNGAN (C)'!$A:$A,'KIB C'!B48&amp;'KIB C'!$AB$7,'PERHITUNGAN (C)'!$U:$U)</f>
        <v>33777294.429120004</v>
      </c>
      <c r="AC48" s="1479">
        <f>SUMIF('PERHITUNGAN (C)'!$A:$A,'KIB C'!B48&amp;'KIB C'!$AC$7,'PERHITUNGAN (C)'!$U:$U)</f>
        <v>33777294.429120004</v>
      </c>
      <c r="AD48" s="1479">
        <f>SUMIF('PERHITUNGAN (C)'!$A:$A,'KIB C'!B48&amp;'KIB C'!$AD$7,'PERHITUNGAN (C)'!$U:$U)</f>
        <v>33777294.429120004</v>
      </c>
      <c r="AE48" s="1479">
        <f>SUMIF('PERHITUNGAN (C)'!$A:$A,'KIB C'!B48&amp;'KIB C'!$AE$7,'PERHITUNGAN (C)'!$U:$U)</f>
        <v>33777294.429120004</v>
      </c>
      <c r="AF48" s="1479">
        <f>SUMIF('PERHITUNGAN (C)'!$A:$A,'KIB C'!B48&amp;'KIB C'!$AF$7,'PERHITUNGAN (C)'!$U:$U)</f>
        <v>33777294.429120004</v>
      </c>
      <c r="AG48" s="1479">
        <f t="shared" si="49"/>
        <v>425041898.89344007</v>
      </c>
      <c r="AH48" s="1646">
        <f t="shared" si="38"/>
        <v>1283537188.30656</v>
      </c>
      <c r="AJ48" s="1443">
        <f>SUM(Z48:AE48)</f>
        <v>391264604.46432006</v>
      </c>
    </row>
    <row r="49" spans="1:36" s="1390" customFormat="1" ht="40.5" customHeight="1" x14ac:dyDescent="0.2">
      <c r="A49" s="1391">
        <v>9</v>
      </c>
      <c r="B49" s="1477" t="s">
        <v>3004</v>
      </c>
      <c r="C49" s="1660">
        <v>37</v>
      </c>
      <c r="D49" s="1455" t="s">
        <v>5767</v>
      </c>
      <c r="E49" s="1501" t="s">
        <v>1752</v>
      </c>
      <c r="F49" s="1501" t="s">
        <v>426</v>
      </c>
      <c r="G49" s="1416" t="s">
        <v>43</v>
      </c>
      <c r="H49" s="1416"/>
      <c r="I49" s="1414"/>
      <c r="J49" s="1416"/>
      <c r="K49" s="1647" t="s">
        <v>417</v>
      </c>
      <c r="L49" s="1416">
        <v>2007</v>
      </c>
      <c r="M49" s="1429"/>
      <c r="N49" s="1501">
        <v>550</v>
      </c>
      <c r="O49" s="1416"/>
      <c r="P49" s="1414"/>
      <c r="Q49" s="1501" t="s">
        <v>12</v>
      </c>
      <c r="R49" s="1539">
        <v>2039132471.6859493</v>
      </c>
      <c r="S49" s="1575"/>
      <c r="T49" s="1490"/>
      <c r="U49" s="1522" t="str">
        <f t="shared" si="50"/>
        <v>03.11.01</v>
      </c>
      <c r="V49" s="1478" t="str">
        <f t="shared" si="2"/>
        <v>Bangunan Gedung Tempat Kerja</v>
      </c>
      <c r="W49" s="1478">
        <f t="shared" si="3"/>
        <v>50</v>
      </c>
      <c r="X49" s="1401"/>
      <c r="Y49" s="1629"/>
      <c r="Z49" s="1401">
        <f>SUM('PERHITUNGAN (C)'!U146:U151)</f>
        <v>254007715.43105215</v>
      </c>
      <c r="AA49" s="1479">
        <f>SUMIF('PERHITUNGAN (C)'!$A:$A,'KIB C'!B49&amp;'KIB C'!$AA$7,'PERHITUNGAN (C)'!$U:$U)</f>
        <v>37981377.792657383</v>
      </c>
      <c r="AB49" s="1479">
        <f>SUMIF('PERHITUNGAN (C)'!$A:$A,'KIB C'!B49&amp;'KIB C'!$AB$7,'PERHITUNGAN (C)'!$U:$U)</f>
        <v>37981377.792657383</v>
      </c>
      <c r="AC49" s="1479">
        <f>SUMIF('PERHITUNGAN (C)'!$A:$A,'KIB C'!B49&amp;'KIB C'!$AC$7,'PERHITUNGAN (C)'!$U:$U)</f>
        <v>37981377.792657383</v>
      </c>
      <c r="AD49" s="1479">
        <f>SUMIF('PERHITUNGAN (C)'!$A:$A,'KIB C'!B49&amp;'KIB C'!$AD$7,'PERHITUNGAN (C)'!$U:$U)</f>
        <v>37981377.792657383</v>
      </c>
      <c r="AE49" s="1479">
        <f>SUMIF('PERHITUNGAN (C)'!$A:$A,'KIB C'!B49&amp;'KIB C'!$AE$7,'PERHITUNGAN (C)'!$U:$U)</f>
        <v>37981377.792657383</v>
      </c>
      <c r="AF49" s="1479">
        <f>SUMIF('PERHITUNGAN (C)'!$A:$A,'KIB C'!B49&amp;'KIB C'!$AF$7,'PERHITUNGAN (C)'!$U:$U)</f>
        <v>37981377.792657383</v>
      </c>
      <c r="AG49" s="1479">
        <f t="shared" si="49"/>
        <v>481895982.1869964</v>
      </c>
      <c r="AH49" s="1646">
        <f t="shared" si="38"/>
        <v>1557236489.4989529</v>
      </c>
      <c r="AJ49" s="1443">
        <f>SUM(Z49:AE49)</f>
        <v>443914604.39433903</v>
      </c>
    </row>
    <row r="50" spans="1:36" s="1390" customFormat="1" ht="40.5" customHeight="1" x14ac:dyDescent="0.2">
      <c r="A50" s="1391">
        <v>10</v>
      </c>
      <c r="B50" s="1477" t="s">
        <v>3005</v>
      </c>
      <c r="C50" s="1660">
        <v>38</v>
      </c>
      <c r="D50" s="1455" t="s">
        <v>5768</v>
      </c>
      <c r="E50" s="1501" t="s">
        <v>1752</v>
      </c>
      <c r="F50" s="1501" t="s">
        <v>426</v>
      </c>
      <c r="G50" s="1416" t="s">
        <v>43</v>
      </c>
      <c r="H50" s="1416"/>
      <c r="I50" s="1414"/>
      <c r="J50" s="1416"/>
      <c r="K50" s="1647" t="s">
        <v>417</v>
      </c>
      <c r="L50" s="1416">
        <v>2007</v>
      </c>
      <c r="M50" s="1429"/>
      <c r="N50" s="1501">
        <v>550</v>
      </c>
      <c r="O50" s="1416"/>
      <c r="P50" s="1414"/>
      <c r="Q50" s="1501" t="s">
        <v>12</v>
      </c>
      <c r="R50" s="1539">
        <v>1583974808.8</v>
      </c>
      <c r="S50" s="1575"/>
      <c r="T50" s="1490"/>
      <c r="U50" s="1522" t="str">
        <f t="shared" si="50"/>
        <v>03.11.01</v>
      </c>
      <c r="V50" s="1478" t="str">
        <f t="shared" si="2"/>
        <v>Bangunan Gedung Tempat Kerja</v>
      </c>
      <c r="W50" s="1478">
        <f t="shared" si="3"/>
        <v>50</v>
      </c>
      <c r="X50" s="1401"/>
      <c r="Y50" s="1629"/>
      <c r="Z50" s="1401">
        <f>SUM('PERHITUNGAN (C)'!U168:U170)</f>
        <v>208075979.85887998</v>
      </c>
      <c r="AA50" s="1479">
        <f>SUMIF('PERHITUNGAN (C)'!$A:$A,'KIB C'!B50&amp;'KIB C'!$AA$7,'PERHITUNGAN (C)'!$U:$U)</f>
        <v>31270427.93048</v>
      </c>
      <c r="AB50" s="1479">
        <f>SUMIF('PERHITUNGAN (C)'!$A:$A,'KIB C'!B50&amp;'KIB C'!$AB$7,'PERHITUNGAN (C)'!$U:$U)</f>
        <v>31270427.93048</v>
      </c>
      <c r="AC50" s="1479">
        <f>SUMIF('PERHITUNGAN (C)'!$A:$A,'KIB C'!B50&amp;'KIB C'!$AC$7,'PERHITUNGAN (C)'!$U:$U)</f>
        <v>31270427.93048</v>
      </c>
      <c r="AD50" s="1479">
        <f>SUMIF('PERHITUNGAN (C)'!$A:$A,'KIB C'!B50&amp;'KIB C'!$AD$7,'PERHITUNGAN (C)'!$U:$U)</f>
        <v>31270427.93048</v>
      </c>
      <c r="AE50" s="1479">
        <f>SUMIF('PERHITUNGAN (C)'!$A:$A,'KIB C'!B50&amp;'KIB C'!$AE$7,'PERHITUNGAN (C)'!$U:$U)</f>
        <v>31270427.93048</v>
      </c>
      <c r="AF50" s="1479">
        <f>SUMIF('PERHITUNGAN (C)'!$A:$A,'KIB C'!B50&amp;'KIB C'!$AF$7,'PERHITUNGAN (C)'!$U:$U)</f>
        <v>31270427.93048</v>
      </c>
      <c r="AG50" s="1479">
        <f t="shared" si="49"/>
        <v>395698547.44176</v>
      </c>
      <c r="AH50" s="1646">
        <f>R50-AG50</f>
        <v>1188276261.3582399</v>
      </c>
      <c r="AJ50" s="1443">
        <f>SUM(Z50:AE50)</f>
        <v>364428119.51128</v>
      </c>
    </row>
    <row r="51" spans="1:36" s="1390" customFormat="1" ht="40.5" customHeight="1" x14ac:dyDescent="0.2">
      <c r="A51" s="1391"/>
      <c r="B51" s="1477" t="s">
        <v>3001</v>
      </c>
      <c r="C51" s="1660">
        <v>39</v>
      </c>
      <c r="D51" s="1455" t="s">
        <v>1037</v>
      </c>
      <c r="E51" s="1501" t="s">
        <v>1752</v>
      </c>
      <c r="F51" s="1501"/>
      <c r="G51" s="1416"/>
      <c r="H51" s="1416"/>
      <c r="I51" s="1414"/>
      <c r="J51" s="1416"/>
      <c r="K51" s="1455" t="s">
        <v>52</v>
      </c>
      <c r="L51" s="1416">
        <v>2007</v>
      </c>
      <c r="M51" s="1429"/>
      <c r="N51" s="1501"/>
      <c r="O51" s="1416"/>
      <c r="P51" s="1414"/>
      <c r="Q51" s="1501" t="s">
        <v>12</v>
      </c>
      <c r="R51" s="1539">
        <v>1590808752.0999999</v>
      </c>
      <c r="S51" s="1575"/>
      <c r="T51" s="1490"/>
      <c r="U51" s="1645" t="str">
        <f t="shared" ref="U51:U61" si="51">LEFT(E51,8)</f>
        <v>03.11.01</v>
      </c>
      <c r="V51" s="1478" t="str">
        <f t="shared" si="2"/>
        <v>Bangunan Gedung Tempat Kerja</v>
      </c>
      <c r="W51" s="1478">
        <f t="shared" si="3"/>
        <v>50</v>
      </c>
      <c r="X51" s="1401">
        <f t="shared" ref="X51:X57" si="52">R51/W51</f>
        <v>31816175.041999999</v>
      </c>
      <c r="Y51" s="1629">
        <f t="shared" ref="Y51:Y58" si="53">IF(2013-L51+1&gt;W51,W51,IF(2013-L51+1&lt;0,0,2013-L51+1))</f>
        <v>7</v>
      </c>
      <c r="Z51" s="1401">
        <f t="shared" ref="Z51:Z58" si="54">IF(Y51&gt;W51,R51,X51*Y51)</f>
        <v>222713225.294</v>
      </c>
      <c r="AA51" s="1401">
        <f t="shared" ref="AA51:AA58" si="55">IF(R51=Z51,0,X51)</f>
        <v>31816175.041999999</v>
      </c>
      <c r="AB51" s="1401">
        <f t="shared" ref="AB51:AB58" si="56">IF(R51=Z51+AA51,0,X51)</f>
        <v>31816175.041999999</v>
      </c>
      <c r="AC51" s="1401">
        <f t="shared" ref="AC51:AC58" si="57">IF(R51=Z51+AA51+AB51,0,X51)</f>
        <v>31816175.041999999</v>
      </c>
      <c r="AD51" s="1479">
        <f t="shared" ref="AD51:AD58" si="58">IF(R51=Z51+AA51+AB51+AC51,0,X51)</f>
        <v>31816175.041999999</v>
      </c>
      <c r="AE51" s="1479">
        <f t="shared" ref="AE51:AE58" si="59">IF(R51=Z51+AA51+AB51+AC51+AD51,0,X51)</f>
        <v>31816175.041999999</v>
      </c>
      <c r="AF51" s="1479">
        <f t="shared" ref="AF51:AF58" si="60">IF(R51=Z51+AA51+AB51+AC51+AD51+AE51,0,X51)</f>
        <v>31816175.041999999</v>
      </c>
      <c r="AG51" s="1479">
        <f t="shared" ref="AG51:AG58" si="61">SUM(Z51:AF51)</f>
        <v>413610275.546</v>
      </c>
      <c r="AH51" s="1646">
        <f t="shared" ref="AH51:AH97" si="62">R51-AG51</f>
        <v>1177198476.5539999</v>
      </c>
    </row>
    <row r="52" spans="1:36" s="1390" customFormat="1" ht="40.5" customHeight="1" x14ac:dyDescent="0.2">
      <c r="A52" s="1391"/>
      <c r="B52" s="1477"/>
      <c r="C52" s="1660">
        <v>40</v>
      </c>
      <c r="D52" s="1455" t="s">
        <v>1038</v>
      </c>
      <c r="E52" s="1501" t="s">
        <v>2837</v>
      </c>
      <c r="F52" s="1501"/>
      <c r="G52" s="1416" t="s">
        <v>43</v>
      </c>
      <c r="H52" s="1416"/>
      <c r="I52" s="1414"/>
      <c r="J52" s="1416"/>
      <c r="K52" s="1647" t="s">
        <v>417</v>
      </c>
      <c r="L52" s="1416">
        <v>2007</v>
      </c>
      <c r="M52" s="1429"/>
      <c r="N52" s="1501"/>
      <c r="O52" s="1416"/>
      <c r="P52" s="1414"/>
      <c r="Q52" s="1501" t="s">
        <v>12</v>
      </c>
      <c r="R52" s="1539">
        <v>192483016.46138337</v>
      </c>
      <c r="S52" s="1575"/>
      <c r="T52" s="1490"/>
      <c r="U52" s="1645" t="str">
        <f t="shared" si="51"/>
        <v>03.11.01</v>
      </c>
      <c r="V52" s="1478" t="str">
        <f t="shared" si="2"/>
        <v>Bangunan Gedung Tempat Kerja</v>
      </c>
      <c r="W52" s="1478">
        <f t="shared" si="3"/>
        <v>50</v>
      </c>
      <c r="X52" s="1401">
        <f t="shared" si="52"/>
        <v>3849660.3292276673</v>
      </c>
      <c r="Y52" s="1629">
        <f t="shared" si="53"/>
        <v>7</v>
      </c>
      <c r="Z52" s="1401">
        <f t="shared" si="54"/>
        <v>26947622.304593671</v>
      </c>
      <c r="AA52" s="1401">
        <f t="shared" si="55"/>
        <v>3849660.3292276673</v>
      </c>
      <c r="AB52" s="1401">
        <f t="shared" si="56"/>
        <v>3849660.3292276673</v>
      </c>
      <c r="AC52" s="1401">
        <f t="shared" si="57"/>
        <v>3849660.3292276673</v>
      </c>
      <c r="AD52" s="1479">
        <f t="shared" si="58"/>
        <v>3849660.3292276673</v>
      </c>
      <c r="AE52" s="1479">
        <f t="shared" si="59"/>
        <v>3849660.3292276673</v>
      </c>
      <c r="AF52" s="1479">
        <f t="shared" si="60"/>
        <v>3849660.3292276673</v>
      </c>
      <c r="AG52" s="1479">
        <f t="shared" si="61"/>
        <v>50045584.279959694</v>
      </c>
      <c r="AH52" s="1646">
        <f t="shared" si="62"/>
        <v>142437432.18142366</v>
      </c>
    </row>
    <row r="53" spans="1:36" s="1390" customFormat="1" ht="40.5" customHeight="1" x14ac:dyDescent="0.2">
      <c r="A53" s="1391"/>
      <c r="B53" s="1477"/>
      <c r="C53" s="1660">
        <v>41</v>
      </c>
      <c r="D53" s="1455" t="s">
        <v>1039</v>
      </c>
      <c r="E53" s="1501" t="s">
        <v>2837</v>
      </c>
      <c r="F53" s="1501"/>
      <c r="G53" s="1416" t="s">
        <v>43</v>
      </c>
      <c r="H53" s="1416"/>
      <c r="I53" s="1414"/>
      <c r="J53" s="1416"/>
      <c r="K53" s="1647" t="s">
        <v>417</v>
      </c>
      <c r="L53" s="1416">
        <v>2007</v>
      </c>
      <c r="M53" s="1429"/>
      <c r="N53" s="1501"/>
      <c r="O53" s="1416"/>
      <c r="P53" s="1414"/>
      <c r="Q53" s="1501" t="s">
        <v>12</v>
      </c>
      <c r="R53" s="1539">
        <v>683915333.53861666</v>
      </c>
      <c r="S53" s="1575"/>
      <c r="T53" s="1490"/>
      <c r="U53" s="1645" t="str">
        <f t="shared" si="51"/>
        <v>03.11.01</v>
      </c>
      <c r="V53" s="1478" t="str">
        <f t="shared" si="2"/>
        <v>Bangunan Gedung Tempat Kerja</v>
      </c>
      <c r="W53" s="1478">
        <f t="shared" si="3"/>
        <v>50</v>
      </c>
      <c r="X53" s="1401">
        <f t="shared" si="52"/>
        <v>13678306.670772333</v>
      </c>
      <c r="Y53" s="1629">
        <f t="shared" si="53"/>
        <v>7</v>
      </c>
      <c r="Z53" s="1401">
        <f t="shared" si="54"/>
        <v>95748146.695406333</v>
      </c>
      <c r="AA53" s="1401">
        <f t="shared" si="55"/>
        <v>13678306.670772333</v>
      </c>
      <c r="AB53" s="1401">
        <f t="shared" si="56"/>
        <v>13678306.670772333</v>
      </c>
      <c r="AC53" s="1401">
        <f t="shared" si="57"/>
        <v>13678306.670772333</v>
      </c>
      <c r="AD53" s="1479">
        <f t="shared" si="58"/>
        <v>13678306.670772333</v>
      </c>
      <c r="AE53" s="1479">
        <f t="shared" si="59"/>
        <v>13678306.670772333</v>
      </c>
      <c r="AF53" s="1479">
        <f t="shared" si="60"/>
        <v>13678306.670772333</v>
      </c>
      <c r="AG53" s="1479">
        <f t="shared" si="61"/>
        <v>177817986.72004035</v>
      </c>
      <c r="AH53" s="1646">
        <f t="shared" si="62"/>
        <v>506097346.81857634</v>
      </c>
    </row>
    <row r="54" spans="1:36" s="1390" customFormat="1" ht="40.5" customHeight="1" x14ac:dyDescent="0.2">
      <c r="A54" s="1391"/>
      <c r="B54" s="1477"/>
      <c r="C54" s="1660">
        <v>42</v>
      </c>
      <c r="D54" s="1455" t="s">
        <v>1040</v>
      </c>
      <c r="E54" s="1501" t="s">
        <v>2838</v>
      </c>
      <c r="F54" s="1501"/>
      <c r="G54" s="1416"/>
      <c r="H54" s="1416"/>
      <c r="I54" s="1414"/>
      <c r="J54" s="1416"/>
      <c r="K54" s="1647" t="s">
        <v>417</v>
      </c>
      <c r="L54" s="1416">
        <v>2007</v>
      </c>
      <c r="M54" s="1429"/>
      <c r="N54" s="1501"/>
      <c r="O54" s="1416"/>
      <c r="P54" s="1414"/>
      <c r="Q54" s="1501" t="s">
        <v>12</v>
      </c>
      <c r="R54" s="1539">
        <v>2713933500</v>
      </c>
      <c r="S54" s="1575"/>
      <c r="T54" s="1490"/>
      <c r="U54" s="1645" t="str">
        <f t="shared" si="51"/>
        <v>03.11.02</v>
      </c>
      <c r="V54" s="1478" t="str">
        <f t="shared" si="2"/>
        <v>Bangunan Gedung Tempat Tinggal</v>
      </c>
      <c r="W54" s="1478">
        <f t="shared" si="3"/>
        <v>50</v>
      </c>
      <c r="X54" s="1401">
        <f t="shared" si="52"/>
        <v>54278670</v>
      </c>
      <c r="Y54" s="1629">
        <f t="shared" si="53"/>
        <v>7</v>
      </c>
      <c r="Z54" s="1401">
        <f t="shared" si="54"/>
        <v>379950690</v>
      </c>
      <c r="AA54" s="1401">
        <f t="shared" si="55"/>
        <v>54278670</v>
      </c>
      <c r="AB54" s="1401">
        <f t="shared" si="56"/>
        <v>54278670</v>
      </c>
      <c r="AC54" s="1401">
        <f t="shared" si="57"/>
        <v>54278670</v>
      </c>
      <c r="AD54" s="1479">
        <f t="shared" si="58"/>
        <v>54278670</v>
      </c>
      <c r="AE54" s="1479">
        <f t="shared" si="59"/>
        <v>54278670</v>
      </c>
      <c r="AF54" s="1479">
        <f t="shared" si="60"/>
        <v>54278670</v>
      </c>
      <c r="AG54" s="1479">
        <f t="shared" si="61"/>
        <v>705622710</v>
      </c>
      <c r="AH54" s="1646">
        <f t="shared" si="62"/>
        <v>2008310790</v>
      </c>
    </row>
    <row r="55" spans="1:36" s="1390" customFormat="1" ht="40.5" customHeight="1" x14ac:dyDescent="0.2">
      <c r="A55" s="1391"/>
      <c r="B55" s="1477"/>
      <c r="C55" s="1660">
        <v>43</v>
      </c>
      <c r="D55" s="1455" t="s">
        <v>1041</v>
      </c>
      <c r="E55" s="1501" t="s">
        <v>5761</v>
      </c>
      <c r="F55" s="1501"/>
      <c r="G55" s="1416" t="s">
        <v>43</v>
      </c>
      <c r="H55" s="1416"/>
      <c r="I55" s="1414"/>
      <c r="J55" s="1416"/>
      <c r="K55" s="1455" t="s">
        <v>1082</v>
      </c>
      <c r="L55" s="1416">
        <v>2008</v>
      </c>
      <c r="M55" s="1429"/>
      <c r="N55" s="1501"/>
      <c r="O55" s="1416"/>
      <c r="P55" s="1414"/>
      <c r="Q55" s="1501" t="s">
        <v>12</v>
      </c>
      <c r="R55" s="1539">
        <v>221125500</v>
      </c>
      <c r="S55" s="1575"/>
      <c r="T55" s="1490"/>
      <c r="U55" s="1645" t="str">
        <f t="shared" si="51"/>
        <v>03.11.02</v>
      </c>
      <c r="V55" s="1478" t="str">
        <f t="shared" si="2"/>
        <v>Bangunan Gedung Tempat Tinggal</v>
      </c>
      <c r="W55" s="1478">
        <f t="shared" si="3"/>
        <v>50</v>
      </c>
      <c r="X55" s="1401">
        <f t="shared" si="52"/>
        <v>4422510</v>
      </c>
      <c r="Y55" s="1629">
        <f t="shared" si="53"/>
        <v>6</v>
      </c>
      <c r="Z55" s="1401">
        <f t="shared" si="54"/>
        <v>26535060</v>
      </c>
      <c r="AA55" s="1401">
        <f t="shared" si="55"/>
        <v>4422510</v>
      </c>
      <c r="AB55" s="1401">
        <f t="shared" si="56"/>
        <v>4422510</v>
      </c>
      <c r="AC55" s="1401">
        <f t="shared" si="57"/>
        <v>4422510</v>
      </c>
      <c r="AD55" s="1479">
        <f t="shared" si="58"/>
        <v>4422510</v>
      </c>
      <c r="AE55" s="1479">
        <f t="shared" si="59"/>
        <v>4422510</v>
      </c>
      <c r="AF55" s="1479">
        <f t="shared" si="60"/>
        <v>4422510</v>
      </c>
      <c r="AG55" s="1479">
        <f t="shared" si="61"/>
        <v>53070120</v>
      </c>
      <c r="AH55" s="1646">
        <f t="shared" si="62"/>
        <v>168055380</v>
      </c>
    </row>
    <row r="56" spans="1:36" s="1390" customFormat="1" ht="40.5" customHeight="1" x14ac:dyDescent="0.2">
      <c r="A56" s="1391"/>
      <c r="B56" s="1477"/>
      <c r="C56" s="1660">
        <v>44</v>
      </c>
      <c r="D56" s="1455" t="s">
        <v>2626</v>
      </c>
      <c r="E56" s="1501" t="s">
        <v>2835</v>
      </c>
      <c r="F56" s="1501"/>
      <c r="G56" s="1416" t="s">
        <v>43</v>
      </c>
      <c r="H56" s="1416"/>
      <c r="I56" s="1414"/>
      <c r="J56" s="1416"/>
      <c r="K56" s="1455" t="s">
        <v>52</v>
      </c>
      <c r="L56" s="1416">
        <v>2008</v>
      </c>
      <c r="M56" s="1429"/>
      <c r="N56" s="1501"/>
      <c r="O56" s="1416"/>
      <c r="P56" s="1414"/>
      <c r="Q56" s="1501" t="s">
        <v>12</v>
      </c>
      <c r="R56" s="1539">
        <v>499891102.30899686</v>
      </c>
      <c r="S56" s="1575"/>
      <c r="T56" s="1490"/>
      <c r="U56" s="1645" t="str">
        <f t="shared" si="51"/>
        <v>03.11.01</v>
      </c>
      <c r="V56" s="1478" t="str">
        <f t="shared" si="2"/>
        <v>Bangunan Gedung Tempat Kerja</v>
      </c>
      <c r="W56" s="1478">
        <f t="shared" si="3"/>
        <v>50</v>
      </c>
      <c r="X56" s="1401">
        <f t="shared" si="52"/>
        <v>9997822.0461799372</v>
      </c>
      <c r="Y56" s="1629">
        <f t="shared" si="53"/>
        <v>6</v>
      </c>
      <c r="Z56" s="1401">
        <f t="shared" si="54"/>
        <v>59986932.277079627</v>
      </c>
      <c r="AA56" s="1401">
        <f t="shared" si="55"/>
        <v>9997822.0461799372</v>
      </c>
      <c r="AB56" s="1401">
        <f t="shared" si="56"/>
        <v>9997822.0461799372</v>
      </c>
      <c r="AC56" s="1401">
        <f t="shared" si="57"/>
        <v>9997822.0461799372</v>
      </c>
      <c r="AD56" s="1479">
        <f t="shared" si="58"/>
        <v>9997822.0461799372</v>
      </c>
      <c r="AE56" s="1479">
        <f t="shared" si="59"/>
        <v>9997822.0461799372</v>
      </c>
      <c r="AF56" s="1479">
        <f t="shared" si="60"/>
        <v>9997822.0461799372</v>
      </c>
      <c r="AG56" s="1479">
        <f t="shared" si="61"/>
        <v>119973864.55415924</v>
      </c>
      <c r="AH56" s="1646">
        <f t="shared" si="62"/>
        <v>379917237.75483763</v>
      </c>
    </row>
    <row r="57" spans="1:36" s="1390" customFormat="1" ht="40.5" customHeight="1" x14ac:dyDescent="0.2">
      <c r="A57" s="1391"/>
      <c r="B57" s="1477"/>
      <c r="C57" s="1660">
        <v>45</v>
      </c>
      <c r="D57" s="1455" t="s">
        <v>2629</v>
      </c>
      <c r="E57" s="1501" t="s">
        <v>1772</v>
      </c>
      <c r="F57" s="1501"/>
      <c r="G57" s="1416" t="s">
        <v>43</v>
      </c>
      <c r="H57" s="1416"/>
      <c r="I57" s="1414"/>
      <c r="J57" s="1416"/>
      <c r="K57" s="1455" t="s">
        <v>424</v>
      </c>
      <c r="L57" s="1416">
        <v>2008</v>
      </c>
      <c r="M57" s="1429"/>
      <c r="N57" s="1501"/>
      <c r="O57" s="1416"/>
      <c r="P57" s="1414"/>
      <c r="Q57" s="1501" t="s">
        <v>12</v>
      </c>
      <c r="R57" s="1539">
        <v>1663604072.7990077</v>
      </c>
      <c r="S57" s="1575"/>
      <c r="T57" s="1490"/>
      <c r="U57" s="1645" t="str">
        <f t="shared" si="51"/>
        <v>03.11.01</v>
      </c>
      <c r="V57" s="1478" t="str">
        <f t="shared" ref="V57:V101" si="63">VLOOKUP(U57,UE,3)</f>
        <v>Bangunan Gedung Tempat Kerja</v>
      </c>
      <c r="W57" s="1478">
        <f t="shared" ref="W57:W101" si="64">VLOOKUP(U57,UE,4)</f>
        <v>50</v>
      </c>
      <c r="X57" s="1401">
        <f t="shared" si="52"/>
        <v>33272081.455980152</v>
      </c>
      <c r="Y57" s="1629">
        <f t="shared" si="53"/>
        <v>6</v>
      </c>
      <c r="Z57" s="1401">
        <f t="shared" si="54"/>
        <v>199632488.73588091</v>
      </c>
      <c r="AA57" s="1401">
        <f t="shared" si="55"/>
        <v>33272081.455980152</v>
      </c>
      <c r="AB57" s="1401">
        <f t="shared" si="56"/>
        <v>33272081.455980152</v>
      </c>
      <c r="AC57" s="1401">
        <f t="shared" si="57"/>
        <v>33272081.455980152</v>
      </c>
      <c r="AD57" s="1479">
        <f t="shared" si="58"/>
        <v>33272081.455980152</v>
      </c>
      <c r="AE57" s="1479">
        <f t="shared" si="59"/>
        <v>33272081.455980152</v>
      </c>
      <c r="AF57" s="1479">
        <f t="shared" si="60"/>
        <v>33272081.455980152</v>
      </c>
      <c r="AG57" s="1479">
        <f t="shared" si="61"/>
        <v>399264977.47176194</v>
      </c>
      <c r="AH57" s="1646">
        <f t="shared" si="62"/>
        <v>1264339095.3272457</v>
      </c>
    </row>
    <row r="58" spans="1:36" s="1390" customFormat="1" ht="40.5" customHeight="1" x14ac:dyDescent="0.2">
      <c r="A58" s="1391"/>
      <c r="B58" s="1477" t="s">
        <v>4211</v>
      </c>
      <c r="C58" s="1660">
        <v>46</v>
      </c>
      <c r="D58" s="1455" t="s">
        <v>1053</v>
      </c>
      <c r="E58" s="1501" t="s">
        <v>1772</v>
      </c>
      <c r="F58" s="1501"/>
      <c r="G58" s="1416"/>
      <c r="H58" s="1416"/>
      <c r="I58" s="1414"/>
      <c r="J58" s="1416"/>
      <c r="K58" s="1455" t="s">
        <v>417</v>
      </c>
      <c r="L58" s="1416">
        <v>2008</v>
      </c>
      <c r="M58" s="1429"/>
      <c r="N58" s="1501"/>
      <c r="O58" s="1416"/>
      <c r="P58" s="1414"/>
      <c r="Q58" s="1501" t="s">
        <v>12</v>
      </c>
      <c r="R58" s="1539">
        <v>840144641.96015704</v>
      </c>
      <c r="S58" s="1575"/>
      <c r="T58" s="1490"/>
      <c r="U58" s="1645" t="str">
        <f t="shared" si="51"/>
        <v>03.11.01</v>
      </c>
      <c r="V58" s="1478" t="str">
        <f>VLOOKUP(U58,UE,3)</f>
        <v>Bangunan Gedung Tempat Kerja</v>
      </c>
      <c r="W58" s="1478">
        <f>VLOOKUP(U58,UE,4)</f>
        <v>50</v>
      </c>
      <c r="X58" s="1401">
        <f>R58/W58</f>
        <v>16802892.839203142</v>
      </c>
      <c r="Y58" s="1629">
        <f t="shared" si="53"/>
        <v>6</v>
      </c>
      <c r="Z58" s="1401">
        <f t="shared" si="54"/>
        <v>100817357.03521885</v>
      </c>
      <c r="AA58" s="1401">
        <f t="shared" si="55"/>
        <v>16802892.839203142</v>
      </c>
      <c r="AB58" s="1401">
        <f t="shared" si="56"/>
        <v>16802892.839203142</v>
      </c>
      <c r="AC58" s="1401">
        <f t="shared" si="57"/>
        <v>16802892.839203142</v>
      </c>
      <c r="AD58" s="1479">
        <f t="shared" si="58"/>
        <v>16802892.839203142</v>
      </c>
      <c r="AE58" s="1479">
        <f t="shared" si="59"/>
        <v>16802892.839203142</v>
      </c>
      <c r="AF58" s="1479">
        <f t="shared" si="60"/>
        <v>16802892.839203142</v>
      </c>
      <c r="AG58" s="1479">
        <f t="shared" si="61"/>
        <v>201634714.07043773</v>
      </c>
      <c r="AH58" s="1646">
        <f>R58-AG58</f>
        <v>638509927.88971925</v>
      </c>
    </row>
    <row r="59" spans="1:36" s="1390" customFormat="1" ht="40.5" customHeight="1" x14ac:dyDescent="0.2">
      <c r="A59" s="1391">
        <v>11</v>
      </c>
      <c r="B59" s="1477" t="s">
        <v>3015</v>
      </c>
      <c r="C59" s="1660">
        <v>47</v>
      </c>
      <c r="D59" s="1455" t="s">
        <v>3015</v>
      </c>
      <c r="E59" s="1501" t="s">
        <v>1772</v>
      </c>
      <c r="F59" s="1501"/>
      <c r="G59" s="1416" t="s">
        <v>43</v>
      </c>
      <c r="H59" s="1416"/>
      <c r="I59" s="1414"/>
      <c r="J59" s="1416"/>
      <c r="K59" s="1455" t="s">
        <v>5466</v>
      </c>
      <c r="L59" s="1416">
        <v>2008</v>
      </c>
      <c r="M59" s="1429"/>
      <c r="N59" s="1501"/>
      <c r="O59" s="1416"/>
      <c r="P59" s="1414"/>
      <c r="Q59" s="1501" t="s">
        <v>12</v>
      </c>
      <c r="R59" s="1539">
        <v>1832159079.6396301</v>
      </c>
      <c r="S59" s="1575"/>
      <c r="T59" s="1490"/>
      <c r="U59" s="1522" t="str">
        <f t="shared" si="51"/>
        <v>03.11.01</v>
      </c>
      <c r="V59" s="1478" t="str">
        <f t="shared" si="63"/>
        <v>Bangunan Gedung Tempat Kerja</v>
      </c>
      <c r="W59" s="1478">
        <f t="shared" si="64"/>
        <v>50</v>
      </c>
      <c r="X59" s="1401"/>
      <c r="Y59" s="1629"/>
      <c r="Z59" s="1401">
        <f>SUM('PERHITUNGAN (C)'!U186:U188)</f>
        <v>183338652.80747685</v>
      </c>
      <c r="AA59" s="1479">
        <f>SUMIF('PERHITUNGAN (C)'!$A:$A,'KIB C'!B59&amp;'KIB C'!$AA$7,'PERHITUNGAN (C)'!$U:$U)</f>
        <v>32343987.262936831</v>
      </c>
      <c r="AB59" s="1479">
        <f>SUMIF('PERHITUNGAN (C)'!$A:$A,'KIB C'!B59&amp;'KIB C'!$AB$7,'PERHITUNGAN (C)'!$U:$U)</f>
        <v>32343987.262936831</v>
      </c>
      <c r="AC59" s="1479">
        <f>SUMIF('PERHITUNGAN (C)'!$A:$A,'KIB C'!B59&amp;'KIB C'!$AC$7,'PERHITUNGAN (C)'!$U:$U)</f>
        <v>32343987.262936831</v>
      </c>
      <c r="AD59" s="1479">
        <f>SUMIF('PERHITUNGAN (C)'!$A:$A,'KIB C'!B59&amp;'KIB C'!$AD$7,'PERHITUNGAN (C)'!$U:$U)</f>
        <v>32343987.262936831</v>
      </c>
      <c r="AE59" s="1479">
        <f>SUMIF('PERHITUNGAN (C)'!$A:$A,'KIB C'!B59&amp;'KIB C'!$AE$7,'PERHITUNGAN (C)'!$U:$U)</f>
        <v>32343987.262936831</v>
      </c>
      <c r="AF59" s="1479">
        <f>SUMIF('PERHITUNGAN (C)'!$A:$A,'KIB C'!B59&amp;'KIB C'!$AF$7,'PERHITUNGAN (C)'!$U:$U)</f>
        <v>33046677.567054961</v>
      </c>
      <c r="AG59" s="1479">
        <f>SUM(Z59:AF59)</f>
        <v>378105266.68921602</v>
      </c>
      <c r="AH59" s="1646">
        <f t="shared" si="62"/>
        <v>1454053812.9504142</v>
      </c>
      <c r="AJ59" s="1443">
        <f>SUM(Z59:AE59)</f>
        <v>345058589.12216103</v>
      </c>
    </row>
    <row r="60" spans="1:36" s="1390" customFormat="1" ht="40.5" customHeight="1" x14ac:dyDescent="0.2">
      <c r="A60" s="1391">
        <v>12</v>
      </c>
      <c r="B60" s="1477" t="s">
        <v>2991</v>
      </c>
      <c r="C60" s="1660">
        <v>48</v>
      </c>
      <c r="D60" s="1455" t="s">
        <v>5769</v>
      </c>
      <c r="E60" s="1501" t="s">
        <v>1779</v>
      </c>
      <c r="F60" s="1501"/>
      <c r="G60" s="1416"/>
      <c r="H60" s="1416"/>
      <c r="I60" s="1414"/>
      <c r="J60" s="1416"/>
      <c r="K60" s="1455" t="s">
        <v>52</v>
      </c>
      <c r="L60" s="1416">
        <v>2008</v>
      </c>
      <c r="M60" s="1429"/>
      <c r="N60" s="1501"/>
      <c r="O60" s="1416"/>
      <c r="P60" s="1414"/>
      <c r="Q60" s="1501" t="s">
        <v>12</v>
      </c>
      <c r="R60" s="1539">
        <v>4523417110.7070913</v>
      </c>
      <c r="S60" s="1575"/>
      <c r="T60" s="1490"/>
      <c r="U60" s="1522" t="str">
        <f t="shared" si="51"/>
        <v>03.11.02</v>
      </c>
      <c r="V60" s="1478" t="str">
        <f t="shared" si="63"/>
        <v>Bangunan Gedung Tempat Tinggal</v>
      </c>
      <c r="W60" s="1478">
        <f t="shared" si="64"/>
        <v>50</v>
      </c>
      <c r="X60" s="1401"/>
      <c r="Y60" s="1629"/>
      <c r="Z60" s="1401">
        <f>SUM('PERHITUNGAN (C)'!U205:U208)</f>
        <v>502026175.79707283</v>
      </c>
      <c r="AA60" s="1479">
        <f>SUMIF('PERHITUNGAN (C)'!$A:$A,'KIB C'!B60&amp;'KIB C'!$AA$7,'PERHITUNGAN (C)'!$U:$U)</f>
        <v>82069202.753265679</v>
      </c>
      <c r="AB60" s="1479">
        <f>SUMIF('PERHITUNGAN (C)'!$A:$A,'KIB C'!B60&amp;'KIB C'!$AB$7,'PERHITUNGAN (C)'!$U:$U)</f>
        <v>82069202.753265679</v>
      </c>
      <c r="AC60" s="1479">
        <f>SUMIF('PERHITUNGAN (C)'!$A:$A,'KIB C'!B60&amp;'KIB C'!$AC$7,'PERHITUNGAN (C)'!$U:$U)</f>
        <v>82069202.753265679</v>
      </c>
      <c r="AD60" s="1479">
        <f>SUMIF('PERHITUNGAN (C)'!$A:$A,'KIB C'!B60&amp;'KIB C'!$AD$7,'PERHITUNGAN (C)'!$U:$U)</f>
        <v>82069202.753265679</v>
      </c>
      <c r="AE60" s="1479">
        <f>SUMIF('PERHITUNGAN (C)'!$A:$A,'KIB C'!B60&amp;'KIB C'!$AE$7,'PERHITUNGAN (C)'!$U:$U)</f>
        <v>82069202.753265679</v>
      </c>
      <c r="AF60" s="1479">
        <f>SUMIF('PERHITUNGAN (C)'!$A:$A,'KIB C'!B60&amp;'KIB C'!$AF$7,'PERHITUNGAN (C)'!$U:$U)</f>
        <v>82069202.753265679</v>
      </c>
      <c r="AG60" s="1479">
        <f>SUM(Z60:AF60)</f>
        <v>994441392.3166666</v>
      </c>
      <c r="AH60" s="1646">
        <f t="shared" si="62"/>
        <v>3528975718.3904247</v>
      </c>
      <c r="AJ60" s="1443">
        <f>SUM(Z60:AE60)</f>
        <v>912372189.56340098</v>
      </c>
    </row>
    <row r="61" spans="1:36" s="1390" customFormat="1" ht="40.5" customHeight="1" x14ac:dyDescent="0.2">
      <c r="A61" s="1391">
        <v>13</v>
      </c>
      <c r="B61" s="1477" t="s">
        <v>3000</v>
      </c>
      <c r="C61" s="1660">
        <v>49</v>
      </c>
      <c r="D61" s="1455" t="s">
        <v>3000</v>
      </c>
      <c r="E61" s="1501" t="s">
        <v>1752</v>
      </c>
      <c r="F61" s="1501"/>
      <c r="G61" s="1416" t="s">
        <v>43</v>
      </c>
      <c r="H61" s="1416"/>
      <c r="I61" s="1414"/>
      <c r="J61" s="1416"/>
      <c r="K61" s="1455" t="s">
        <v>417</v>
      </c>
      <c r="L61" s="1416">
        <v>2008</v>
      </c>
      <c r="M61" s="1429"/>
      <c r="N61" s="1501"/>
      <c r="O61" s="1416"/>
      <c r="P61" s="1414"/>
      <c r="Q61" s="1501" t="s">
        <v>12</v>
      </c>
      <c r="R61" s="1539">
        <v>1076722010.3063059</v>
      </c>
      <c r="S61" s="1575"/>
      <c r="T61" s="1490"/>
      <c r="U61" s="1522" t="str">
        <f t="shared" si="51"/>
        <v>03.11.01</v>
      </c>
      <c r="V61" s="1478" t="str">
        <f t="shared" si="63"/>
        <v>Bangunan Gedung Tempat Kerja</v>
      </c>
      <c r="W61" s="1478">
        <f t="shared" si="64"/>
        <v>50</v>
      </c>
      <c r="X61" s="1401"/>
      <c r="Y61" s="1629"/>
      <c r="Z61" s="1401">
        <f>SUM('PERHITUNGAN (C)'!U225:U227)</f>
        <v>62588307.216144115</v>
      </c>
      <c r="AA61" s="1479">
        <f>SUMIF('PERHITUNGAN (C)'!$A:$A,'KIB C'!B61&amp;'KIB C'!$AA$7,'PERHITUNGAN (C)'!$U:$U)</f>
        <v>20696606.185513508</v>
      </c>
      <c r="AB61" s="1479">
        <f>SUMIF('PERHITUNGAN (C)'!$A:$A,'KIB C'!B61&amp;'KIB C'!$AB$7,'PERHITUNGAN (C)'!$U:$U)</f>
        <v>20696606.185513508</v>
      </c>
      <c r="AC61" s="1479">
        <f>SUMIF('PERHITUNGAN (C)'!$A:$A,'KIB C'!B61&amp;'KIB C'!$AC$7,'PERHITUNGAN (C)'!$U:$U)</f>
        <v>20696606.185513508</v>
      </c>
      <c r="AD61" s="1479">
        <f>SUMIF('PERHITUNGAN (C)'!$A:$A,'KIB C'!B61&amp;'KIB C'!$AD$7,'PERHITUNGAN (C)'!$U:$U)</f>
        <v>20696606.185513508</v>
      </c>
      <c r="AE61" s="1479">
        <f>SUMIF('PERHITUNGAN (C)'!$A:$A,'KIB C'!B61&amp;'KIB C'!$AE$7,'PERHITUNGAN (C)'!$U:$U)</f>
        <v>20696606.185513508</v>
      </c>
      <c r="AF61" s="1479">
        <f>SUMIF('PERHITUNGAN (C)'!$A:$A,'KIB C'!B61&amp;'KIB C'!$AF$7,'PERHITUNGAN (C)'!$U:$U)</f>
        <v>20696606.185513508</v>
      </c>
      <c r="AG61" s="1479">
        <f>SUM(Z61:AF61)</f>
        <v>186767944.32922515</v>
      </c>
      <c r="AH61" s="1646">
        <f t="shared" si="62"/>
        <v>889954065.9770807</v>
      </c>
      <c r="AJ61" s="1443">
        <f>SUM(Z61:AE61)</f>
        <v>166071338.14371166</v>
      </c>
    </row>
    <row r="62" spans="1:36" s="1390" customFormat="1" ht="40.5" customHeight="1" x14ac:dyDescent="0.2">
      <c r="A62" s="1391"/>
      <c r="B62" s="1477" t="s">
        <v>3001</v>
      </c>
      <c r="C62" s="1660">
        <v>50</v>
      </c>
      <c r="D62" s="1455" t="s">
        <v>1058</v>
      </c>
      <c r="E62" s="1501" t="s">
        <v>1752</v>
      </c>
      <c r="F62" s="1501"/>
      <c r="G62" s="1416"/>
      <c r="H62" s="1416"/>
      <c r="I62" s="1414"/>
      <c r="J62" s="1416"/>
      <c r="K62" s="1455" t="s">
        <v>1099</v>
      </c>
      <c r="L62" s="1416">
        <v>2008</v>
      </c>
      <c r="M62" s="1429"/>
      <c r="N62" s="1501"/>
      <c r="O62" s="1416"/>
      <c r="P62" s="1414"/>
      <c r="Q62" s="1501" t="s">
        <v>12</v>
      </c>
      <c r="R62" s="1539">
        <v>9660483991.4269543</v>
      </c>
      <c r="S62" s="1575"/>
      <c r="T62" s="1490"/>
      <c r="U62" s="1645" t="str">
        <f t="shared" ref="U62:U67" si="65">LEFT(E62,8)</f>
        <v>03.11.01</v>
      </c>
      <c r="V62" s="1478" t="str">
        <f t="shared" si="63"/>
        <v>Bangunan Gedung Tempat Kerja</v>
      </c>
      <c r="W62" s="1478">
        <f t="shared" si="64"/>
        <v>50</v>
      </c>
      <c r="X62" s="1401">
        <f t="shared" ref="X62:X85" si="66">R62/W62</f>
        <v>193209679.82853907</v>
      </c>
      <c r="Y62" s="1629">
        <f t="shared" ref="Y62:Y70" si="67">IF(2013-L62+1&gt;W62,W62,IF(2013-L62+1&lt;0,0,2013-L62+1))</f>
        <v>6</v>
      </c>
      <c r="Z62" s="1401">
        <f t="shared" ref="Z62:Z70" si="68">IF(Y62&gt;W62,R62,X62*Y62)</f>
        <v>1159258078.9712343</v>
      </c>
      <c r="AA62" s="1401">
        <f t="shared" ref="AA62:AA70" si="69">IF(R62=Z62,0,X62)</f>
        <v>193209679.82853907</v>
      </c>
      <c r="AB62" s="1401">
        <f t="shared" ref="AB62:AB70" si="70">IF(R62=Z62+AA62,0,X62)</f>
        <v>193209679.82853907</v>
      </c>
      <c r="AC62" s="1401">
        <f t="shared" ref="AC62:AC70" si="71">IF(R62=Z62+AA62+AB62,0,X62)</f>
        <v>193209679.82853907</v>
      </c>
      <c r="AD62" s="1479">
        <f t="shared" ref="AD62:AD70" si="72">IF(R62=Z62+AA62+AB62+AC62,0,X62)</f>
        <v>193209679.82853907</v>
      </c>
      <c r="AE62" s="1479">
        <f t="shared" ref="AE62:AE70" si="73">IF(R62=Z62+AA62+AB62+AC62+AD62,0,X62)</f>
        <v>193209679.82853907</v>
      </c>
      <c r="AF62" s="1479">
        <f t="shared" ref="AF62:AF70" si="74">IF(R62=Z62+AA62+AB62+AC62+AD62+AE62,0,X62)</f>
        <v>193209679.82853907</v>
      </c>
      <c r="AG62" s="1479">
        <f t="shared" ref="AG62:AG70" si="75">SUM(Z62:AF62)</f>
        <v>2318516157.9424691</v>
      </c>
      <c r="AH62" s="1646">
        <f t="shared" si="62"/>
        <v>7341967833.4844856</v>
      </c>
    </row>
    <row r="63" spans="1:36" s="1390" customFormat="1" ht="40.5" customHeight="1" x14ac:dyDescent="0.2">
      <c r="A63" s="1391"/>
      <c r="B63" s="1477" t="s">
        <v>3001</v>
      </c>
      <c r="C63" s="1660">
        <v>51</v>
      </c>
      <c r="D63" s="1455" t="s">
        <v>1057</v>
      </c>
      <c r="E63" s="1501" t="s">
        <v>1752</v>
      </c>
      <c r="F63" s="1501"/>
      <c r="G63" s="1416" t="s">
        <v>43</v>
      </c>
      <c r="H63" s="1416"/>
      <c r="I63" s="1414"/>
      <c r="J63" s="1416"/>
      <c r="K63" s="1455" t="s">
        <v>1099</v>
      </c>
      <c r="L63" s="1416">
        <v>2008</v>
      </c>
      <c r="M63" s="1429"/>
      <c r="N63" s="1501"/>
      <c r="O63" s="1416"/>
      <c r="P63" s="1414"/>
      <c r="Q63" s="1501" t="s">
        <v>12</v>
      </c>
      <c r="R63" s="1539">
        <v>76568873.791398466</v>
      </c>
      <c r="S63" s="1575"/>
      <c r="T63" s="1490"/>
      <c r="U63" s="1645" t="str">
        <f t="shared" si="65"/>
        <v>03.11.01</v>
      </c>
      <c r="V63" s="1478" t="str">
        <f t="shared" si="63"/>
        <v>Bangunan Gedung Tempat Kerja</v>
      </c>
      <c r="W63" s="1478">
        <f t="shared" si="64"/>
        <v>50</v>
      </c>
      <c r="X63" s="1401">
        <f t="shared" si="66"/>
        <v>1531377.4758279694</v>
      </c>
      <c r="Y63" s="1629">
        <f t="shared" si="67"/>
        <v>6</v>
      </c>
      <c r="Z63" s="1401">
        <f t="shared" si="68"/>
        <v>9188264.8549678158</v>
      </c>
      <c r="AA63" s="1401">
        <f t="shared" si="69"/>
        <v>1531377.4758279694</v>
      </c>
      <c r="AB63" s="1401">
        <f t="shared" si="70"/>
        <v>1531377.4758279694</v>
      </c>
      <c r="AC63" s="1401">
        <f t="shared" si="71"/>
        <v>1531377.4758279694</v>
      </c>
      <c r="AD63" s="1479">
        <f t="shared" si="72"/>
        <v>1531377.4758279694</v>
      </c>
      <c r="AE63" s="1479">
        <f t="shared" si="73"/>
        <v>1531377.4758279694</v>
      </c>
      <c r="AF63" s="1479">
        <f t="shared" si="74"/>
        <v>1531377.4758279694</v>
      </c>
      <c r="AG63" s="1479">
        <f t="shared" si="75"/>
        <v>18376529.709935632</v>
      </c>
      <c r="AH63" s="1646">
        <f t="shared" si="62"/>
        <v>58192344.08146283</v>
      </c>
    </row>
    <row r="64" spans="1:36" s="1390" customFormat="1" ht="40.5" customHeight="1" x14ac:dyDescent="0.2">
      <c r="A64" s="1391"/>
      <c r="B64" s="1477" t="s">
        <v>3001</v>
      </c>
      <c r="C64" s="1660">
        <v>52</v>
      </c>
      <c r="D64" s="1455" t="s">
        <v>2850</v>
      </c>
      <c r="E64" s="1501" t="s">
        <v>1752</v>
      </c>
      <c r="F64" s="1501"/>
      <c r="G64" s="1416" t="s">
        <v>43</v>
      </c>
      <c r="H64" s="1416"/>
      <c r="I64" s="1414"/>
      <c r="J64" s="1416"/>
      <c r="K64" s="1455" t="s">
        <v>417</v>
      </c>
      <c r="L64" s="1416">
        <v>2009</v>
      </c>
      <c r="M64" s="1429"/>
      <c r="N64" s="1501"/>
      <c r="O64" s="1416"/>
      <c r="P64" s="1414"/>
      <c r="Q64" s="1501" t="s">
        <v>12</v>
      </c>
      <c r="R64" s="1539">
        <v>2065687788</v>
      </c>
      <c r="S64" s="1661"/>
      <c r="T64" s="1490"/>
      <c r="U64" s="1645" t="str">
        <f t="shared" si="65"/>
        <v>03.11.01</v>
      </c>
      <c r="V64" s="1478" t="str">
        <f t="shared" si="63"/>
        <v>Bangunan Gedung Tempat Kerja</v>
      </c>
      <c r="W64" s="1478">
        <f t="shared" si="64"/>
        <v>50</v>
      </c>
      <c r="X64" s="1401">
        <f t="shared" si="66"/>
        <v>41313755.759999998</v>
      </c>
      <c r="Y64" s="1629">
        <f t="shared" si="67"/>
        <v>5</v>
      </c>
      <c r="Z64" s="1401">
        <f t="shared" si="68"/>
        <v>206568778.79999998</v>
      </c>
      <c r="AA64" s="1401">
        <f t="shared" si="69"/>
        <v>41313755.759999998</v>
      </c>
      <c r="AB64" s="1401">
        <f t="shared" si="70"/>
        <v>41313755.759999998</v>
      </c>
      <c r="AC64" s="1401">
        <f t="shared" si="71"/>
        <v>41313755.759999998</v>
      </c>
      <c r="AD64" s="1479">
        <f t="shared" si="72"/>
        <v>41313755.759999998</v>
      </c>
      <c r="AE64" s="1479">
        <f t="shared" si="73"/>
        <v>41313755.759999998</v>
      </c>
      <c r="AF64" s="1479">
        <f t="shared" si="74"/>
        <v>41313755.759999998</v>
      </c>
      <c r="AG64" s="1479">
        <f t="shared" si="75"/>
        <v>454451313.35999995</v>
      </c>
      <c r="AH64" s="1646">
        <f t="shared" si="62"/>
        <v>1611236474.6400001</v>
      </c>
    </row>
    <row r="65" spans="1:34" s="1390" customFormat="1" ht="40.5" customHeight="1" x14ac:dyDescent="0.2">
      <c r="A65" s="1391"/>
      <c r="B65" s="1477"/>
      <c r="C65" s="1660">
        <v>53</v>
      </c>
      <c r="D65" s="1455" t="s">
        <v>2631</v>
      </c>
      <c r="E65" s="1501" t="s">
        <v>1752</v>
      </c>
      <c r="F65" s="1501"/>
      <c r="G65" s="1416"/>
      <c r="H65" s="1416"/>
      <c r="I65" s="1414"/>
      <c r="J65" s="1416"/>
      <c r="K65" s="1455" t="s">
        <v>52</v>
      </c>
      <c r="L65" s="1416">
        <v>2008</v>
      </c>
      <c r="M65" s="1429"/>
      <c r="N65" s="1501"/>
      <c r="O65" s="1416"/>
      <c r="P65" s="1414"/>
      <c r="Q65" s="1501" t="s">
        <v>12</v>
      </c>
      <c r="R65" s="1539">
        <v>226216176.75853017</v>
      </c>
      <c r="S65" s="1575"/>
      <c r="T65" s="1490"/>
      <c r="U65" s="1645" t="str">
        <f t="shared" si="65"/>
        <v>03.11.01</v>
      </c>
      <c r="V65" s="1478" t="str">
        <f t="shared" si="63"/>
        <v>Bangunan Gedung Tempat Kerja</v>
      </c>
      <c r="W65" s="1478">
        <f t="shared" si="64"/>
        <v>50</v>
      </c>
      <c r="X65" s="1401">
        <f t="shared" si="66"/>
        <v>4524323.5351706035</v>
      </c>
      <c r="Y65" s="1629">
        <f t="shared" si="67"/>
        <v>6</v>
      </c>
      <c r="Z65" s="1401">
        <f t="shared" si="68"/>
        <v>27145941.211023621</v>
      </c>
      <c r="AA65" s="1401">
        <f t="shared" si="69"/>
        <v>4524323.5351706035</v>
      </c>
      <c r="AB65" s="1401">
        <f t="shared" si="70"/>
        <v>4524323.5351706035</v>
      </c>
      <c r="AC65" s="1401">
        <f t="shared" si="71"/>
        <v>4524323.5351706035</v>
      </c>
      <c r="AD65" s="1479">
        <f t="shared" si="72"/>
        <v>4524323.5351706035</v>
      </c>
      <c r="AE65" s="1479">
        <f t="shared" si="73"/>
        <v>4524323.5351706035</v>
      </c>
      <c r="AF65" s="1479">
        <f t="shared" si="74"/>
        <v>4524323.5351706035</v>
      </c>
      <c r="AG65" s="1479">
        <f t="shared" si="75"/>
        <v>54291882.422047228</v>
      </c>
      <c r="AH65" s="1646">
        <f t="shared" si="62"/>
        <v>171924294.33648294</v>
      </c>
    </row>
    <row r="66" spans="1:34" s="1390" customFormat="1" ht="40.5" customHeight="1" x14ac:dyDescent="0.2">
      <c r="A66" s="1391"/>
      <c r="B66" s="1477"/>
      <c r="C66" s="1660">
        <v>54</v>
      </c>
      <c r="D66" s="1455" t="s">
        <v>2632</v>
      </c>
      <c r="E66" s="1501" t="s">
        <v>1752</v>
      </c>
      <c r="F66" s="1501"/>
      <c r="G66" s="1416" t="s">
        <v>43</v>
      </c>
      <c r="H66" s="1416"/>
      <c r="I66" s="1414"/>
      <c r="J66" s="1416"/>
      <c r="K66" s="1455" t="s">
        <v>417</v>
      </c>
      <c r="L66" s="1416">
        <v>2008</v>
      </c>
      <c r="M66" s="1429"/>
      <c r="N66" s="1501"/>
      <c r="O66" s="1416"/>
      <c r="P66" s="1414"/>
      <c r="Q66" s="1501" t="s">
        <v>12</v>
      </c>
      <c r="R66" s="1539">
        <v>361142029.27301109</v>
      </c>
      <c r="S66" s="1575"/>
      <c r="T66" s="1490"/>
      <c r="U66" s="1645" t="str">
        <f t="shared" si="65"/>
        <v>03.11.01</v>
      </c>
      <c r="V66" s="1478" t="str">
        <f t="shared" si="63"/>
        <v>Bangunan Gedung Tempat Kerja</v>
      </c>
      <c r="W66" s="1478">
        <f t="shared" si="64"/>
        <v>50</v>
      </c>
      <c r="X66" s="1401">
        <f t="shared" si="66"/>
        <v>7222840.5854602214</v>
      </c>
      <c r="Y66" s="1629">
        <f t="shared" si="67"/>
        <v>6</v>
      </c>
      <c r="Z66" s="1401">
        <f t="shared" si="68"/>
        <v>43337043.512761325</v>
      </c>
      <c r="AA66" s="1401">
        <f t="shared" si="69"/>
        <v>7222840.5854602214</v>
      </c>
      <c r="AB66" s="1401">
        <f t="shared" si="70"/>
        <v>7222840.5854602214</v>
      </c>
      <c r="AC66" s="1401">
        <f t="shared" si="71"/>
        <v>7222840.5854602214</v>
      </c>
      <c r="AD66" s="1479">
        <f t="shared" si="72"/>
        <v>7222840.5854602214</v>
      </c>
      <c r="AE66" s="1479">
        <f t="shared" si="73"/>
        <v>7222840.5854602214</v>
      </c>
      <c r="AF66" s="1479">
        <f t="shared" si="74"/>
        <v>7222840.5854602214</v>
      </c>
      <c r="AG66" s="1479">
        <f t="shared" si="75"/>
        <v>86674087.025522649</v>
      </c>
      <c r="AH66" s="1646">
        <f t="shared" si="62"/>
        <v>274467942.24748844</v>
      </c>
    </row>
    <row r="67" spans="1:34" s="1390" customFormat="1" ht="52.5" customHeight="1" x14ac:dyDescent="0.2">
      <c r="A67" s="1391"/>
      <c r="B67" s="1477"/>
      <c r="C67" s="1660">
        <v>55</v>
      </c>
      <c r="D67" s="1455" t="s">
        <v>1066</v>
      </c>
      <c r="E67" s="1501" t="s">
        <v>5761</v>
      </c>
      <c r="F67" s="1501"/>
      <c r="G67" s="1416"/>
      <c r="H67" s="1416"/>
      <c r="I67" s="1414"/>
      <c r="J67" s="1416"/>
      <c r="K67" s="1455" t="s">
        <v>417</v>
      </c>
      <c r="L67" s="1416">
        <v>2008</v>
      </c>
      <c r="M67" s="1429"/>
      <c r="N67" s="1501"/>
      <c r="O67" s="1416"/>
      <c r="P67" s="1414"/>
      <c r="Q67" s="1501" t="s">
        <v>12</v>
      </c>
      <c r="R67" s="1539">
        <v>348601700</v>
      </c>
      <c r="S67" s="1575"/>
      <c r="T67" s="1490"/>
      <c r="U67" s="1645" t="str">
        <f t="shared" si="65"/>
        <v>03.11.02</v>
      </c>
      <c r="V67" s="1478" t="str">
        <f t="shared" si="63"/>
        <v>Bangunan Gedung Tempat Tinggal</v>
      </c>
      <c r="W67" s="1478">
        <f t="shared" si="64"/>
        <v>50</v>
      </c>
      <c r="X67" s="1401">
        <f t="shared" si="66"/>
        <v>6972034</v>
      </c>
      <c r="Y67" s="1629">
        <f t="shared" si="67"/>
        <v>6</v>
      </c>
      <c r="Z67" s="1401">
        <f t="shared" si="68"/>
        <v>41832204</v>
      </c>
      <c r="AA67" s="1401">
        <f t="shared" si="69"/>
        <v>6972034</v>
      </c>
      <c r="AB67" s="1401">
        <f t="shared" si="70"/>
        <v>6972034</v>
      </c>
      <c r="AC67" s="1401">
        <f t="shared" si="71"/>
        <v>6972034</v>
      </c>
      <c r="AD67" s="1479">
        <f t="shared" si="72"/>
        <v>6972034</v>
      </c>
      <c r="AE67" s="1479">
        <f t="shared" si="73"/>
        <v>6972034</v>
      </c>
      <c r="AF67" s="1479">
        <f t="shared" si="74"/>
        <v>6972034</v>
      </c>
      <c r="AG67" s="1479">
        <f t="shared" si="75"/>
        <v>83664408</v>
      </c>
      <c r="AH67" s="1646">
        <f t="shared" si="62"/>
        <v>264937292</v>
      </c>
    </row>
    <row r="68" spans="1:34" s="1390" customFormat="1" ht="40.5" customHeight="1" x14ac:dyDescent="0.2">
      <c r="A68" s="1391"/>
      <c r="B68" s="1477"/>
      <c r="C68" s="1660">
        <v>56</v>
      </c>
      <c r="D68" s="1455" t="s">
        <v>1067</v>
      </c>
      <c r="E68" s="1501" t="s">
        <v>2839</v>
      </c>
      <c r="F68" s="1501"/>
      <c r="G68" s="1416" t="s">
        <v>43</v>
      </c>
      <c r="H68" s="1416"/>
      <c r="I68" s="1414"/>
      <c r="J68" s="1416"/>
      <c r="K68" s="1455" t="s">
        <v>1099</v>
      </c>
      <c r="L68" s="1416">
        <v>2008</v>
      </c>
      <c r="M68" s="1429"/>
      <c r="N68" s="1501"/>
      <c r="O68" s="1416"/>
      <c r="P68" s="1414"/>
      <c r="Q68" s="1501" t="s">
        <v>12</v>
      </c>
      <c r="R68" s="1539">
        <v>943307860</v>
      </c>
      <c r="S68" s="1575"/>
      <c r="T68" s="1490"/>
      <c r="U68" s="1645" t="str">
        <f t="shared" ref="U68:U84" si="76">LEFT(E68,8)</f>
        <v>03.11.01</v>
      </c>
      <c r="V68" s="1478" t="str">
        <f t="shared" si="63"/>
        <v>Bangunan Gedung Tempat Kerja</v>
      </c>
      <c r="W68" s="1478">
        <f t="shared" si="64"/>
        <v>50</v>
      </c>
      <c r="X68" s="1401">
        <f t="shared" si="66"/>
        <v>18866157.199999999</v>
      </c>
      <c r="Y68" s="1629">
        <f t="shared" si="67"/>
        <v>6</v>
      </c>
      <c r="Z68" s="1401">
        <f t="shared" si="68"/>
        <v>113196943.19999999</v>
      </c>
      <c r="AA68" s="1401">
        <f t="shared" si="69"/>
        <v>18866157.199999999</v>
      </c>
      <c r="AB68" s="1401">
        <f t="shared" si="70"/>
        <v>18866157.199999999</v>
      </c>
      <c r="AC68" s="1401">
        <f t="shared" si="71"/>
        <v>18866157.199999999</v>
      </c>
      <c r="AD68" s="1479">
        <f t="shared" si="72"/>
        <v>18866157.199999999</v>
      </c>
      <c r="AE68" s="1479">
        <f t="shared" si="73"/>
        <v>18866157.199999999</v>
      </c>
      <c r="AF68" s="1479">
        <f t="shared" si="74"/>
        <v>18866157.199999999</v>
      </c>
      <c r="AG68" s="1479">
        <f t="shared" si="75"/>
        <v>226393886.39999995</v>
      </c>
      <c r="AH68" s="1646">
        <f t="shared" si="62"/>
        <v>716913973.60000002</v>
      </c>
    </row>
    <row r="69" spans="1:34" s="1390" customFormat="1" ht="40.5" customHeight="1" x14ac:dyDescent="0.2">
      <c r="A69" s="1391"/>
      <c r="B69" s="1477"/>
      <c r="C69" s="1660">
        <v>57</v>
      </c>
      <c r="D69" s="1455" t="s">
        <v>1068</v>
      </c>
      <c r="E69" s="1501" t="s">
        <v>2837</v>
      </c>
      <c r="F69" s="1501"/>
      <c r="G69" s="1416" t="s">
        <v>43</v>
      </c>
      <c r="H69" s="1416"/>
      <c r="I69" s="1414"/>
      <c r="J69" s="1416"/>
      <c r="K69" s="1455" t="s">
        <v>1099</v>
      </c>
      <c r="L69" s="1416">
        <v>2008</v>
      </c>
      <c r="M69" s="1429"/>
      <c r="N69" s="1501"/>
      <c r="O69" s="1416"/>
      <c r="P69" s="1414"/>
      <c r="Q69" s="1501" t="s">
        <v>12</v>
      </c>
      <c r="R69" s="1539">
        <v>1288238000</v>
      </c>
      <c r="S69" s="1575"/>
      <c r="T69" s="1490"/>
      <c r="U69" s="1645" t="str">
        <f t="shared" si="76"/>
        <v>03.11.01</v>
      </c>
      <c r="V69" s="1478" t="str">
        <f t="shared" si="63"/>
        <v>Bangunan Gedung Tempat Kerja</v>
      </c>
      <c r="W69" s="1478">
        <f t="shared" si="64"/>
        <v>50</v>
      </c>
      <c r="X69" s="1401">
        <f t="shared" si="66"/>
        <v>25764760</v>
      </c>
      <c r="Y69" s="1629">
        <f t="shared" si="67"/>
        <v>6</v>
      </c>
      <c r="Z69" s="1401">
        <f t="shared" si="68"/>
        <v>154588560</v>
      </c>
      <c r="AA69" s="1401">
        <f t="shared" si="69"/>
        <v>25764760</v>
      </c>
      <c r="AB69" s="1401">
        <f t="shared" si="70"/>
        <v>25764760</v>
      </c>
      <c r="AC69" s="1401">
        <f t="shared" si="71"/>
        <v>25764760</v>
      </c>
      <c r="AD69" s="1479">
        <f t="shared" si="72"/>
        <v>25764760</v>
      </c>
      <c r="AE69" s="1479">
        <f t="shared" si="73"/>
        <v>25764760</v>
      </c>
      <c r="AF69" s="1479">
        <f t="shared" si="74"/>
        <v>25764760</v>
      </c>
      <c r="AG69" s="1479">
        <f t="shared" si="75"/>
        <v>309177120</v>
      </c>
      <c r="AH69" s="1646">
        <f t="shared" si="62"/>
        <v>979060880</v>
      </c>
    </row>
    <row r="70" spans="1:34" s="1390" customFormat="1" ht="40.5" customHeight="1" x14ac:dyDescent="0.2">
      <c r="A70" s="1391"/>
      <c r="B70" s="1477" t="s">
        <v>3007</v>
      </c>
      <c r="C70" s="1660">
        <v>58</v>
      </c>
      <c r="D70" s="1455" t="s">
        <v>1069</v>
      </c>
      <c r="E70" s="1501" t="s">
        <v>1772</v>
      </c>
      <c r="F70" s="1501"/>
      <c r="G70" s="1416" t="s">
        <v>43</v>
      </c>
      <c r="H70" s="1416"/>
      <c r="I70" s="1414"/>
      <c r="J70" s="1416"/>
      <c r="K70" s="1455" t="s">
        <v>1099</v>
      </c>
      <c r="L70" s="1416">
        <v>2008</v>
      </c>
      <c r="M70" s="1429"/>
      <c r="N70" s="1501"/>
      <c r="O70" s="1416"/>
      <c r="P70" s="1414"/>
      <c r="Q70" s="1501" t="s">
        <v>12</v>
      </c>
      <c r="R70" s="1539">
        <v>629515500</v>
      </c>
      <c r="S70" s="1575"/>
      <c r="T70" s="1490"/>
      <c r="U70" s="1645" t="str">
        <f t="shared" si="76"/>
        <v>03.11.01</v>
      </c>
      <c r="V70" s="1478" t="str">
        <f t="shared" si="63"/>
        <v>Bangunan Gedung Tempat Kerja</v>
      </c>
      <c r="W70" s="1478">
        <f t="shared" si="64"/>
        <v>50</v>
      </c>
      <c r="X70" s="1401">
        <f t="shared" si="66"/>
        <v>12590310</v>
      </c>
      <c r="Y70" s="1629">
        <f t="shared" si="67"/>
        <v>6</v>
      </c>
      <c r="Z70" s="1401">
        <f t="shared" si="68"/>
        <v>75541860</v>
      </c>
      <c r="AA70" s="1401">
        <f t="shared" si="69"/>
        <v>12590310</v>
      </c>
      <c r="AB70" s="1401">
        <f t="shared" si="70"/>
        <v>12590310</v>
      </c>
      <c r="AC70" s="1401">
        <f t="shared" si="71"/>
        <v>12590310</v>
      </c>
      <c r="AD70" s="1479">
        <f t="shared" si="72"/>
        <v>12590310</v>
      </c>
      <c r="AE70" s="1479">
        <f t="shared" si="73"/>
        <v>12590310</v>
      </c>
      <c r="AF70" s="1479">
        <f t="shared" si="74"/>
        <v>12590310</v>
      </c>
      <c r="AG70" s="1479">
        <f t="shared" si="75"/>
        <v>151083720</v>
      </c>
      <c r="AH70" s="1646">
        <f t="shared" si="62"/>
        <v>478431780</v>
      </c>
    </row>
    <row r="71" spans="1:34" s="1390" customFormat="1" ht="40.5" customHeight="1" x14ac:dyDescent="0.2">
      <c r="A71" s="1391"/>
      <c r="B71" s="1477" t="s">
        <v>3007</v>
      </c>
      <c r="C71" s="1660">
        <v>59</v>
      </c>
      <c r="D71" s="1455" t="s">
        <v>2807</v>
      </c>
      <c r="E71" s="1501" t="s">
        <v>1772</v>
      </c>
      <c r="F71" s="1501" t="s">
        <v>2115</v>
      </c>
      <c r="G71" s="1416" t="s">
        <v>43</v>
      </c>
      <c r="H71" s="1416" t="s">
        <v>2492</v>
      </c>
      <c r="I71" s="1414" t="s">
        <v>736</v>
      </c>
      <c r="J71" s="1416"/>
      <c r="K71" s="1455" t="s">
        <v>2614</v>
      </c>
      <c r="L71" s="1416">
        <v>2014</v>
      </c>
      <c r="M71" s="1429" t="s">
        <v>5321</v>
      </c>
      <c r="N71" s="1501"/>
      <c r="O71" s="1416"/>
      <c r="P71" s="1414"/>
      <c r="Q71" s="1501" t="s">
        <v>12</v>
      </c>
      <c r="R71" s="1539">
        <v>443790000</v>
      </c>
      <c r="S71" s="1661"/>
      <c r="T71" s="1490"/>
      <c r="U71" s="1645" t="str">
        <f t="shared" si="76"/>
        <v>03.11.01</v>
      </c>
      <c r="V71" s="1478" t="str">
        <f t="shared" si="63"/>
        <v>Bangunan Gedung Tempat Kerja</v>
      </c>
      <c r="W71" s="1478">
        <f t="shared" si="64"/>
        <v>50</v>
      </c>
      <c r="X71" s="1401">
        <f t="shared" si="66"/>
        <v>8875800</v>
      </c>
      <c r="Y71" s="1629">
        <f t="shared" ref="Y71:Y85" si="77">IF(2013-L71+1&gt;W71,W71,IF(2013-L71+1&lt;0,0,2013-L71+1))</f>
        <v>0</v>
      </c>
      <c r="Z71" s="1401">
        <f t="shared" ref="Z71:Z85" si="78">IF(Y71&gt;W71,R71,X71*Y71)</f>
        <v>0</v>
      </c>
      <c r="AA71" s="1401">
        <f t="shared" ref="AA71:AA77" si="79">IF(R71=Z71,0,X71)</f>
        <v>8875800</v>
      </c>
      <c r="AB71" s="1401">
        <f t="shared" ref="AB71:AB85" si="80">IF(R71=Z71+AA71,0,X71)</f>
        <v>8875800</v>
      </c>
      <c r="AC71" s="1401">
        <f t="shared" ref="AC71:AC85" si="81">IF(R71=Z71+AA71+AB71,0,X71)</f>
        <v>8875800</v>
      </c>
      <c r="AD71" s="1479">
        <f t="shared" ref="AD71:AD85" si="82">IF(R71=Z71+AA71+AB71+AC71,0,X71)</f>
        <v>8875800</v>
      </c>
      <c r="AE71" s="1479">
        <f t="shared" ref="AE71:AE85" si="83">IF(R71=Z71+AA71+AB71+AC71+AD71,0,X71)</f>
        <v>8875800</v>
      </c>
      <c r="AF71" s="1479">
        <f t="shared" ref="AF71:AF85" si="84">IF(R71=Z71+AA71+AB71+AC71+AD71+AE71,0,X71)</f>
        <v>8875800</v>
      </c>
      <c r="AG71" s="1479">
        <f t="shared" ref="AG71:AG86" si="85">SUM(Z71:AF71)</f>
        <v>53254800</v>
      </c>
      <c r="AH71" s="1646">
        <f t="shared" si="62"/>
        <v>390535200</v>
      </c>
    </row>
    <row r="72" spans="1:34" s="1390" customFormat="1" ht="40.5" customHeight="1" x14ac:dyDescent="0.2">
      <c r="A72" s="1391"/>
      <c r="B72" s="1477"/>
      <c r="C72" s="1660">
        <v>60</v>
      </c>
      <c r="D72" s="1455" t="s">
        <v>1070</v>
      </c>
      <c r="E72" s="1501" t="s">
        <v>2837</v>
      </c>
      <c r="F72" s="1501"/>
      <c r="G72" s="1416" t="s">
        <v>43</v>
      </c>
      <c r="H72" s="1416"/>
      <c r="I72" s="1414"/>
      <c r="J72" s="1416"/>
      <c r="K72" s="1455" t="s">
        <v>1099</v>
      </c>
      <c r="L72" s="1416">
        <v>2008</v>
      </c>
      <c r="M72" s="1429"/>
      <c r="N72" s="1501"/>
      <c r="O72" s="1416"/>
      <c r="P72" s="1414"/>
      <c r="Q72" s="1501" t="s">
        <v>12</v>
      </c>
      <c r="R72" s="1539">
        <v>106679650</v>
      </c>
      <c r="S72" s="1575"/>
      <c r="T72" s="1490"/>
      <c r="U72" s="1645" t="str">
        <f t="shared" si="76"/>
        <v>03.11.01</v>
      </c>
      <c r="V72" s="1478" t="str">
        <f t="shared" si="63"/>
        <v>Bangunan Gedung Tempat Kerja</v>
      </c>
      <c r="W72" s="1478">
        <f t="shared" si="64"/>
        <v>50</v>
      </c>
      <c r="X72" s="1401">
        <f t="shared" si="66"/>
        <v>2133593</v>
      </c>
      <c r="Y72" s="1629">
        <f t="shared" si="77"/>
        <v>6</v>
      </c>
      <c r="Z72" s="1401">
        <f t="shared" si="78"/>
        <v>12801558</v>
      </c>
      <c r="AA72" s="1401">
        <f t="shared" si="79"/>
        <v>2133593</v>
      </c>
      <c r="AB72" s="1401">
        <f t="shared" si="80"/>
        <v>2133593</v>
      </c>
      <c r="AC72" s="1401">
        <f t="shared" si="81"/>
        <v>2133593</v>
      </c>
      <c r="AD72" s="1479">
        <f t="shared" si="82"/>
        <v>2133593</v>
      </c>
      <c r="AE72" s="1479">
        <f t="shared" si="83"/>
        <v>2133593</v>
      </c>
      <c r="AF72" s="1479">
        <f t="shared" si="84"/>
        <v>2133593</v>
      </c>
      <c r="AG72" s="1479">
        <f t="shared" si="85"/>
        <v>25603116</v>
      </c>
      <c r="AH72" s="1646">
        <f t="shared" si="62"/>
        <v>81076534</v>
      </c>
    </row>
    <row r="73" spans="1:34" s="1390" customFormat="1" ht="40.5" customHeight="1" x14ac:dyDescent="0.2">
      <c r="A73" s="1391"/>
      <c r="B73" s="1477" t="s">
        <v>3001</v>
      </c>
      <c r="C73" s="1660">
        <v>61</v>
      </c>
      <c r="D73" s="1455" t="s">
        <v>1071</v>
      </c>
      <c r="E73" s="1501" t="s">
        <v>1752</v>
      </c>
      <c r="F73" s="1501"/>
      <c r="G73" s="1416"/>
      <c r="H73" s="1416"/>
      <c r="I73" s="1414"/>
      <c r="J73" s="1416"/>
      <c r="K73" s="1455" t="s">
        <v>52</v>
      </c>
      <c r="L73" s="1416">
        <v>2008</v>
      </c>
      <c r="M73" s="1429"/>
      <c r="N73" s="1501"/>
      <c r="O73" s="1416"/>
      <c r="P73" s="1414"/>
      <c r="Q73" s="1501" t="s">
        <v>12</v>
      </c>
      <c r="R73" s="1539">
        <v>3401817973.9301944</v>
      </c>
      <c r="S73" s="1575"/>
      <c r="T73" s="1490"/>
      <c r="U73" s="1645" t="str">
        <f t="shared" si="76"/>
        <v>03.11.01</v>
      </c>
      <c r="V73" s="1478" t="str">
        <f t="shared" si="63"/>
        <v>Bangunan Gedung Tempat Kerja</v>
      </c>
      <c r="W73" s="1478">
        <f t="shared" si="64"/>
        <v>50</v>
      </c>
      <c r="X73" s="1401">
        <f t="shared" si="66"/>
        <v>68036359.478603885</v>
      </c>
      <c r="Y73" s="1629">
        <f t="shared" si="77"/>
        <v>6</v>
      </c>
      <c r="Z73" s="1401">
        <f t="shared" si="78"/>
        <v>408218156.87162328</v>
      </c>
      <c r="AA73" s="1401">
        <f t="shared" si="79"/>
        <v>68036359.478603885</v>
      </c>
      <c r="AB73" s="1401">
        <f t="shared" si="80"/>
        <v>68036359.478603885</v>
      </c>
      <c r="AC73" s="1401">
        <f t="shared" si="81"/>
        <v>68036359.478603885</v>
      </c>
      <c r="AD73" s="1479">
        <f t="shared" si="82"/>
        <v>68036359.478603885</v>
      </c>
      <c r="AE73" s="1479">
        <f t="shared" si="83"/>
        <v>68036359.478603885</v>
      </c>
      <c r="AF73" s="1479">
        <f t="shared" si="84"/>
        <v>68036359.478603885</v>
      </c>
      <c r="AG73" s="1479">
        <f t="shared" si="85"/>
        <v>816436313.74324644</v>
      </c>
      <c r="AH73" s="1646">
        <f t="shared" si="62"/>
        <v>2585381660.1869478</v>
      </c>
    </row>
    <row r="74" spans="1:34" s="1390" customFormat="1" ht="40.5" customHeight="1" x14ac:dyDescent="0.2">
      <c r="A74" s="1391"/>
      <c r="B74" s="1477"/>
      <c r="C74" s="1660">
        <v>62</v>
      </c>
      <c r="D74" s="1455" t="s">
        <v>1072</v>
      </c>
      <c r="E74" s="1501" t="s">
        <v>2840</v>
      </c>
      <c r="F74" s="1501"/>
      <c r="G74" s="1416"/>
      <c r="H74" s="1416"/>
      <c r="I74" s="1414"/>
      <c r="J74" s="1416"/>
      <c r="K74" s="1455" t="s">
        <v>52</v>
      </c>
      <c r="L74" s="1416">
        <v>2008</v>
      </c>
      <c r="M74" s="1429"/>
      <c r="N74" s="1501"/>
      <c r="O74" s="1416"/>
      <c r="P74" s="1414"/>
      <c r="Q74" s="1501" t="s">
        <v>12</v>
      </c>
      <c r="R74" s="1539">
        <v>1418400500</v>
      </c>
      <c r="S74" s="1575"/>
      <c r="T74" s="1490"/>
      <c r="U74" s="1645" t="str">
        <f t="shared" si="76"/>
        <v>03.11.02</v>
      </c>
      <c r="V74" s="1478" t="str">
        <f t="shared" si="63"/>
        <v>Bangunan Gedung Tempat Tinggal</v>
      </c>
      <c r="W74" s="1478">
        <f t="shared" si="64"/>
        <v>50</v>
      </c>
      <c r="X74" s="1401">
        <f t="shared" si="66"/>
        <v>28368010</v>
      </c>
      <c r="Y74" s="1629">
        <f t="shared" si="77"/>
        <v>6</v>
      </c>
      <c r="Z74" s="1401">
        <f t="shared" si="78"/>
        <v>170208060</v>
      </c>
      <c r="AA74" s="1401">
        <f t="shared" si="79"/>
        <v>28368010</v>
      </c>
      <c r="AB74" s="1401">
        <f t="shared" si="80"/>
        <v>28368010</v>
      </c>
      <c r="AC74" s="1401">
        <f t="shared" si="81"/>
        <v>28368010</v>
      </c>
      <c r="AD74" s="1479">
        <f t="shared" si="82"/>
        <v>28368010</v>
      </c>
      <c r="AE74" s="1479">
        <f t="shared" si="83"/>
        <v>28368010</v>
      </c>
      <c r="AF74" s="1479">
        <f t="shared" si="84"/>
        <v>28368010</v>
      </c>
      <c r="AG74" s="1479">
        <f t="shared" si="85"/>
        <v>340416120</v>
      </c>
      <c r="AH74" s="1646">
        <f t="shared" si="62"/>
        <v>1077984380</v>
      </c>
    </row>
    <row r="75" spans="1:34" s="1390" customFormat="1" ht="40.5" customHeight="1" x14ac:dyDescent="0.2">
      <c r="A75" s="1391"/>
      <c r="B75" s="1477"/>
      <c r="C75" s="1660">
        <v>63</v>
      </c>
      <c r="D75" s="1455" t="s">
        <v>1040</v>
      </c>
      <c r="E75" s="1501" t="s">
        <v>2485</v>
      </c>
      <c r="F75" s="1501"/>
      <c r="G75" s="1416"/>
      <c r="H75" s="1416"/>
      <c r="I75" s="1414"/>
      <c r="J75" s="1416"/>
      <c r="K75" s="1455" t="s">
        <v>52</v>
      </c>
      <c r="L75" s="1416">
        <v>2008</v>
      </c>
      <c r="M75" s="1429"/>
      <c r="N75" s="1501"/>
      <c r="O75" s="1416"/>
      <c r="P75" s="1414"/>
      <c r="Q75" s="1501" t="s">
        <v>12</v>
      </c>
      <c r="R75" s="1539">
        <v>340000000</v>
      </c>
      <c r="S75" s="1575"/>
      <c r="T75" s="1490"/>
      <c r="U75" s="1645" t="str">
        <f t="shared" si="76"/>
        <v>03.11.02</v>
      </c>
      <c r="V75" s="1478" t="str">
        <f t="shared" si="63"/>
        <v>Bangunan Gedung Tempat Tinggal</v>
      </c>
      <c r="W75" s="1478">
        <f t="shared" si="64"/>
        <v>50</v>
      </c>
      <c r="X75" s="1401">
        <f t="shared" si="66"/>
        <v>6800000</v>
      </c>
      <c r="Y75" s="1629">
        <f t="shared" si="77"/>
        <v>6</v>
      </c>
      <c r="Z75" s="1401">
        <f t="shared" si="78"/>
        <v>40800000</v>
      </c>
      <c r="AA75" s="1401">
        <f t="shared" si="79"/>
        <v>6800000</v>
      </c>
      <c r="AB75" s="1401">
        <f t="shared" si="80"/>
        <v>6800000</v>
      </c>
      <c r="AC75" s="1401">
        <f t="shared" si="81"/>
        <v>6800000</v>
      </c>
      <c r="AD75" s="1479">
        <f t="shared" si="82"/>
        <v>6800000</v>
      </c>
      <c r="AE75" s="1479">
        <f t="shared" si="83"/>
        <v>6800000</v>
      </c>
      <c r="AF75" s="1479">
        <f t="shared" si="84"/>
        <v>6800000</v>
      </c>
      <c r="AG75" s="1479">
        <f t="shared" si="85"/>
        <v>81600000</v>
      </c>
      <c r="AH75" s="1646">
        <f t="shared" si="62"/>
        <v>258400000</v>
      </c>
    </row>
    <row r="76" spans="1:34" s="1390" customFormat="1" ht="40.5" customHeight="1" x14ac:dyDescent="0.2">
      <c r="A76" s="1391"/>
      <c r="B76" s="1477"/>
      <c r="C76" s="1660">
        <v>64</v>
      </c>
      <c r="D76" s="1455" t="s">
        <v>1075</v>
      </c>
      <c r="E76" s="1501" t="s">
        <v>2842</v>
      </c>
      <c r="F76" s="1501"/>
      <c r="G76" s="1416"/>
      <c r="H76" s="1416"/>
      <c r="I76" s="1414"/>
      <c r="J76" s="1416"/>
      <c r="K76" s="1455" t="s">
        <v>417</v>
      </c>
      <c r="L76" s="1416">
        <v>2014</v>
      </c>
      <c r="M76" s="1429"/>
      <c r="N76" s="1501"/>
      <c r="O76" s="1416"/>
      <c r="P76" s="1414"/>
      <c r="Q76" s="1501" t="s">
        <v>12</v>
      </c>
      <c r="R76" s="1539">
        <v>34581000</v>
      </c>
      <c r="S76" s="1661"/>
      <c r="T76" s="1490"/>
      <c r="U76" s="1645" t="str">
        <f t="shared" si="76"/>
        <v>03.11.01</v>
      </c>
      <c r="V76" s="1478" t="str">
        <f t="shared" si="63"/>
        <v>Bangunan Gedung Tempat Kerja</v>
      </c>
      <c r="W76" s="1478">
        <f t="shared" si="64"/>
        <v>50</v>
      </c>
      <c r="X76" s="1401">
        <f t="shared" si="66"/>
        <v>691620</v>
      </c>
      <c r="Y76" s="1629">
        <f>IF(2013-L76+1&gt;W76,W76,IF(2013-L76+1&lt;0,0,2013-L76+1))</f>
        <v>0</v>
      </c>
      <c r="Z76" s="1401">
        <f>IF(Y76&gt;W76,R76,X76*Y76)</f>
        <v>0</v>
      </c>
      <c r="AA76" s="1401">
        <f t="shared" si="79"/>
        <v>691620</v>
      </c>
      <c r="AB76" s="1401">
        <f>IF(R76=Z76+AA76,0,X76)</f>
        <v>691620</v>
      </c>
      <c r="AC76" s="1401">
        <f>IF(R76=Z76+AA76+AB76,0,X76)</f>
        <v>691620</v>
      </c>
      <c r="AD76" s="1479">
        <f>IF(R76=Z76+AA76+AB76+AC76,0,X76)</f>
        <v>691620</v>
      </c>
      <c r="AE76" s="1479">
        <f>IF(R76=Z76+AA76+AB76+AC76+AD76,0,X76)</f>
        <v>691620</v>
      </c>
      <c r="AF76" s="1479">
        <f>IF(R76=Z76+AA76+AB76+AC76+AD76+AE76,0,X76)</f>
        <v>691620</v>
      </c>
      <c r="AG76" s="1479">
        <f>SUM(Z76:AF76)</f>
        <v>4149720</v>
      </c>
      <c r="AH76" s="1646">
        <f t="shared" si="62"/>
        <v>30431280</v>
      </c>
    </row>
    <row r="77" spans="1:34" s="1390" customFormat="1" ht="40.5" customHeight="1" x14ac:dyDescent="0.2">
      <c r="A77" s="1391"/>
      <c r="B77" s="1477"/>
      <c r="C77" s="1660">
        <v>65</v>
      </c>
      <c r="D77" s="1455" t="s">
        <v>1076</v>
      </c>
      <c r="E77" s="1501" t="s">
        <v>1752</v>
      </c>
      <c r="F77" s="1501"/>
      <c r="G77" s="1416"/>
      <c r="H77" s="1416"/>
      <c r="I77" s="1414"/>
      <c r="J77" s="1416"/>
      <c r="K77" s="1455" t="s">
        <v>1099</v>
      </c>
      <c r="L77" s="1416">
        <v>2014</v>
      </c>
      <c r="M77" s="1429"/>
      <c r="N77" s="1501"/>
      <c r="O77" s="1416"/>
      <c r="P77" s="1414"/>
      <c r="Q77" s="1501" t="s">
        <v>12</v>
      </c>
      <c r="R77" s="1539">
        <v>114869000</v>
      </c>
      <c r="S77" s="1661"/>
      <c r="T77" s="1490"/>
      <c r="U77" s="1645" t="str">
        <f t="shared" si="76"/>
        <v>03.11.01</v>
      </c>
      <c r="V77" s="1478" t="str">
        <f t="shared" si="63"/>
        <v>Bangunan Gedung Tempat Kerja</v>
      </c>
      <c r="W77" s="1478">
        <f t="shared" si="64"/>
        <v>50</v>
      </c>
      <c r="X77" s="1401">
        <f t="shared" si="66"/>
        <v>2297380</v>
      </c>
      <c r="Y77" s="1629">
        <f>IF(2013-L77+1&gt;W77,W77,IF(2013-L77+1&lt;0,0,2013-L77+1))</f>
        <v>0</v>
      </c>
      <c r="Z77" s="1401">
        <f>IF(Y77&gt;W77,R77,X77*Y77)</f>
        <v>0</v>
      </c>
      <c r="AA77" s="1401">
        <f t="shared" si="79"/>
        <v>2297380</v>
      </c>
      <c r="AB77" s="1401">
        <f>IF(R77=Z77+AA77,0,X77)</f>
        <v>2297380</v>
      </c>
      <c r="AC77" s="1401">
        <f>IF(R77=Z77+AA77+AB77,0,X77)</f>
        <v>2297380</v>
      </c>
      <c r="AD77" s="1479">
        <f>IF(R77=Z77+AA77+AB77+AC77,0,X77)</f>
        <v>2297380</v>
      </c>
      <c r="AE77" s="1479">
        <f>IF(R77=Z77+AA77+AB77+AC77+AD77,0,X77)</f>
        <v>2297380</v>
      </c>
      <c r="AF77" s="1479">
        <f>IF(R77=Z77+AA77+AB77+AC77+AD77+AE77,0,X77)</f>
        <v>2297380</v>
      </c>
      <c r="AG77" s="1479">
        <f>SUM(Z77:AF77)</f>
        <v>13784280</v>
      </c>
      <c r="AH77" s="1646">
        <f t="shared" si="62"/>
        <v>101084720</v>
      </c>
    </row>
    <row r="78" spans="1:34" s="1390" customFormat="1" ht="40.5" customHeight="1" x14ac:dyDescent="0.2">
      <c r="A78" s="1391"/>
      <c r="B78" s="1477"/>
      <c r="C78" s="1660">
        <v>66</v>
      </c>
      <c r="D78" s="1455" t="s">
        <v>1078</v>
      </c>
      <c r="E78" s="1501" t="s">
        <v>2843</v>
      </c>
      <c r="F78" s="1501"/>
      <c r="G78" s="1416"/>
      <c r="H78" s="1416"/>
      <c r="I78" s="1414"/>
      <c r="J78" s="1416"/>
      <c r="K78" s="1455" t="s">
        <v>1099</v>
      </c>
      <c r="L78" s="1416">
        <v>2015</v>
      </c>
      <c r="M78" s="1429"/>
      <c r="N78" s="1501"/>
      <c r="O78" s="1416"/>
      <c r="P78" s="1414"/>
      <c r="Q78" s="1501" t="s">
        <v>12</v>
      </c>
      <c r="R78" s="1539">
        <v>195914149</v>
      </c>
      <c r="S78" s="1661"/>
      <c r="T78" s="1490"/>
      <c r="U78" s="1645" t="str">
        <f t="shared" si="76"/>
        <v>03.11.01</v>
      </c>
      <c r="V78" s="1478" t="str">
        <f t="shared" si="63"/>
        <v>Bangunan Gedung Tempat Kerja</v>
      </c>
      <c r="W78" s="1478">
        <f t="shared" si="64"/>
        <v>50</v>
      </c>
      <c r="X78" s="1401">
        <f t="shared" si="66"/>
        <v>3918282.98</v>
      </c>
      <c r="Y78" s="1629">
        <f t="shared" si="77"/>
        <v>0</v>
      </c>
      <c r="Z78" s="1401">
        <f t="shared" si="78"/>
        <v>0</v>
      </c>
      <c r="AA78" s="1401"/>
      <c r="AB78" s="1401">
        <f t="shared" si="80"/>
        <v>3918282.98</v>
      </c>
      <c r="AC78" s="1401">
        <f t="shared" si="81"/>
        <v>3918282.98</v>
      </c>
      <c r="AD78" s="1479">
        <f t="shared" si="82"/>
        <v>3918282.98</v>
      </c>
      <c r="AE78" s="1479">
        <f t="shared" si="83"/>
        <v>3918282.98</v>
      </c>
      <c r="AF78" s="1479">
        <f t="shared" si="84"/>
        <v>3918282.98</v>
      </c>
      <c r="AG78" s="1479">
        <f t="shared" si="85"/>
        <v>19591414.899999999</v>
      </c>
      <c r="AH78" s="1646">
        <f t="shared" si="62"/>
        <v>176322734.09999999</v>
      </c>
    </row>
    <row r="79" spans="1:34" s="1390" customFormat="1" ht="40.5" customHeight="1" x14ac:dyDescent="0.2">
      <c r="A79" s="1391"/>
      <c r="B79" s="1477" t="s">
        <v>3020</v>
      </c>
      <c r="C79" s="1660">
        <v>67</v>
      </c>
      <c r="D79" s="1455" t="s">
        <v>1079</v>
      </c>
      <c r="E79" s="1501" t="s">
        <v>2835</v>
      </c>
      <c r="F79" s="1501"/>
      <c r="G79" s="1416"/>
      <c r="H79" s="1416"/>
      <c r="I79" s="1414"/>
      <c r="J79" s="1416"/>
      <c r="K79" s="1455" t="s">
        <v>1100</v>
      </c>
      <c r="L79" s="1416">
        <v>2015</v>
      </c>
      <c r="M79" s="1429"/>
      <c r="N79" s="1501"/>
      <c r="O79" s="1416"/>
      <c r="P79" s="1414"/>
      <c r="Q79" s="1501" t="s">
        <v>12</v>
      </c>
      <c r="R79" s="1539">
        <v>313428000</v>
      </c>
      <c r="S79" s="1661"/>
      <c r="T79" s="1490"/>
      <c r="U79" s="1645" t="str">
        <f t="shared" si="76"/>
        <v>03.11.01</v>
      </c>
      <c r="V79" s="1478" t="str">
        <f t="shared" si="63"/>
        <v>Bangunan Gedung Tempat Kerja</v>
      </c>
      <c r="W79" s="1478">
        <f t="shared" si="64"/>
        <v>50</v>
      </c>
      <c r="X79" s="1401">
        <f t="shared" si="66"/>
        <v>6268560</v>
      </c>
      <c r="Y79" s="1629">
        <f>IF(2013-L79+1&gt;W79,W79,IF(2013-L79+1&lt;0,0,2013-L79+1))</f>
        <v>0</v>
      </c>
      <c r="Z79" s="1401">
        <f>IF(Y79&gt;W79,R79,X79*Y79)</f>
        <v>0</v>
      </c>
      <c r="AA79" s="1401"/>
      <c r="AB79" s="1401">
        <f>IF(R79=Z79+AA79,0,X79)</f>
        <v>6268560</v>
      </c>
      <c r="AC79" s="1401">
        <f>IF(R79=Z79+AA79+AB79,0,X79)</f>
        <v>6268560</v>
      </c>
      <c r="AD79" s="1479">
        <f>IF(R79=Z79+AA79+AB79+AC79,0,X79)</f>
        <v>6268560</v>
      </c>
      <c r="AE79" s="1479">
        <f>IF(R79=Z79+AA79+AB79+AC79+AD79,0,X79)</f>
        <v>6268560</v>
      </c>
      <c r="AF79" s="1479">
        <f>IF(R79=Z79+AA79+AB79+AC79+AD79+AE79,0,X79)</f>
        <v>6268560</v>
      </c>
      <c r="AG79" s="1479">
        <f t="shared" si="85"/>
        <v>31342800</v>
      </c>
      <c r="AH79" s="1646">
        <f t="shared" si="62"/>
        <v>282085200</v>
      </c>
    </row>
    <row r="80" spans="1:34" s="1390" customFormat="1" ht="40.5" customHeight="1" x14ac:dyDescent="0.2">
      <c r="A80" s="1391"/>
      <c r="B80" s="1477"/>
      <c r="C80" s="1660">
        <v>68</v>
      </c>
      <c r="D80" s="1455" t="s">
        <v>2634</v>
      </c>
      <c r="E80" s="1501" t="s">
        <v>1752</v>
      </c>
      <c r="F80" s="1501" t="s">
        <v>39</v>
      </c>
      <c r="G80" s="1416" t="s">
        <v>43</v>
      </c>
      <c r="H80" s="1416" t="s">
        <v>2492</v>
      </c>
      <c r="I80" s="1414" t="s">
        <v>736</v>
      </c>
      <c r="J80" s="1416">
        <v>124</v>
      </c>
      <c r="K80" s="1455" t="s">
        <v>2855</v>
      </c>
      <c r="L80" s="1416">
        <v>2009</v>
      </c>
      <c r="M80" s="1429" t="s">
        <v>5322</v>
      </c>
      <c r="N80" s="1501"/>
      <c r="O80" s="1416"/>
      <c r="P80" s="1414"/>
      <c r="Q80" s="1501" t="s">
        <v>12</v>
      </c>
      <c r="R80" s="1539">
        <v>267474021.18227947</v>
      </c>
      <c r="S80" s="1661"/>
      <c r="T80" s="1490"/>
      <c r="U80" s="1645" t="str">
        <f t="shared" si="76"/>
        <v>03.11.01</v>
      </c>
      <c r="V80" s="1478" t="str">
        <f t="shared" si="63"/>
        <v>Bangunan Gedung Tempat Kerja</v>
      </c>
      <c r="W80" s="1478">
        <f t="shared" si="64"/>
        <v>50</v>
      </c>
      <c r="X80" s="1401">
        <f t="shared" si="66"/>
        <v>5349480.4236455895</v>
      </c>
      <c r="Y80" s="1629">
        <f t="shared" si="77"/>
        <v>5</v>
      </c>
      <c r="Z80" s="1401">
        <f t="shared" si="78"/>
        <v>26747402.118227948</v>
      </c>
      <c r="AA80" s="1401">
        <f t="shared" ref="AA80:AA85" si="86">IF(R80=Z80,0,X80)</f>
        <v>5349480.4236455895</v>
      </c>
      <c r="AB80" s="1401">
        <f t="shared" si="80"/>
        <v>5349480.4236455895</v>
      </c>
      <c r="AC80" s="1401">
        <f t="shared" si="81"/>
        <v>5349480.4236455895</v>
      </c>
      <c r="AD80" s="1479">
        <f t="shared" si="82"/>
        <v>5349480.4236455895</v>
      </c>
      <c r="AE80" s="1479">
        <f t="shared" si="83"/>
        <v>5349480.4236455895</v>
      </c>
      <c r="AF80" s="1479">
        <f t="shared" si="84"/>
        <v>5349480.4236455895</v>
      </c>
      <c r="AG80" s="1479">
        <f t="shared" si="85"/>
        <v>58844284.660101473</v>
      </c>
      <c r="AH80" s="1646">
        <f t="shared" si="62"/>
        <v>208629736.52217799</v>
      </c>
    </row>
    <row r="81" spans="1:36" s="1390" customFormat="1" ht="40.5" customHeight="1" x14ac:dyDescent="0.2">
      <c r="A81" s="1391"/>
      <c r="B81" s="1477"/>
      <c r="C81" s="1660">
        <v>69</v>
      </c>
      <c r="D81" s="1455" t="s">
        <v>2635</v>
      </c>
      <c r="E81" s="1501" t="s">
        <v>1752</v>
      </c>
      <c r="F81" s="1501" t="s">
        <v>39</v>
      </c>
      <c r="G81" s="1416" t="s">
        <v>43</v>
      </c>
      <c r="H81" s="1416" t="s">
        <v>2492</v>
      </c>
      <c r="I81" s="1414" t="s">
        <v>736</v>
      </c>
      <c r="J81" s="1416">
        <v>120</v>
      </c>
      <c r="K81" s="1455" t="s">
        <v>2856</v>
      </c>
      <c r="L81" s="1416">
        <v>2009</v>
      </c>
      <c r="M81" s="1429" t="s">
        <v>5323</v>
      </c>
      <c r="N81" s="1501"/>
      <c r="O81" s="1416"/>
      <c r="P81" s="1414"/>
      <c r="Q81" s="1501" t="s">
        <v>12</v>
      </c>
      <c r="R81" s="1539">
        <v>294688334.55143684</v>
      </c>
      <c r="S81" s="1661"/>
      <c r="T81" s="1490"/>
      <c r="U81" s="1645" t="str">
        <f t="shared" si="76"/>
        <v>03.11.01</v>
      </c>
      <c r="V81" s="1478" t="str">
        <f t="shared" si="63"/>
        <v>Bangunan Gedung Tempat Kerja</v>
      </c>
      <c r="W81" s="1478">
        <f t="shared" si="64"/>
        <v>50</v>
      </c>
      <c r="X81" s="1401">
        <f t="shared" si="66"/>
        <v>5893766.6910287365</v>
      </c>
      <c r="Y81" s="1629">
        <f t="shared" si="77"/>
        <v>5</v>
      </c>
      <c r="Z81" s="1401">
        <f t="shared" si="78"/>
        <v>29468833.455143683</v>
      </c>
      <c r="AA81" s="1401">
        <f t="shared" si="86"/>
        <v>5893766.6910287365</v>
      </c>
      <c r="AB81" s="1401">
        <f t="shared" si="80"/>
        <v>5893766.6910287365</v>
      </c>
      <c r="AC81" s="1401">
        <f t="shared" si="81"/>
        <v>5893766.6910287365</v>
      </c>
      <c r="AD81" s="1479">
        <f t="shared" si="82"/>
        <v>5893766.6910287365</v>
      </c>
      <c r="AE81" s="1479">
        <f t="shared" si="83"/>
        <v>5893766.6910287365</v>
      </c>
      <c r="AF81" s="1479">
        <f t="shared" si="84"/>
        <v>5893766.6910287365</v>
      </c>
      <c r="AG81" s="1479">
        <f t="shared" si="85"/>
        <v>64831433.601316102</v>
      </c>
      <c r="AH81" s="1646">
        <f t="shared" si="62"/>
        <v>229856900.95012075</v>
      </c>
    </row>
    <row r="82" spans="1:36" s="1390" customFormat="1" ht="40.5" customHeight="1" x14ac:dyDescent="0.2">
      <c r="A82" s="1391"/>
      <c r="B82" s="1477"/>
      <c r="C82" s="1660">
        <v>70</v>
      </c>
      <c r="D82" s="1455" t="s">
        <v>2636</v>
      </c>
      <c r="E82" s="1501" t="s">
        <v>1752</v>
      </c>
      <c r="F82" s="1501" t="s">
        <v>39</v>
      </c>
      <c r="G82" s="1416" t="s">
        <v>43</v>
      </c>
      <c r="H82" s="1416" t="s">
        <v>2492</v>
      </c>
      <c r="I82" s="1414" t="s">
        <v>736</v>
      </c>
      <c r="J82" s="1416">
        <v>120</v>
      </c>
      <c r="K82" s="1455" t="s">
        <v>2857</v>
      </c>
      <c r="L82" s="1416">
        <v>2009</v>
      </c>
      <c r="M82" s="1429" t="s">
        <v>5324</v>
      </c>
      <c r="N82" s="1501"/>
      <c r="O82" s="1416"/>
      <c r="P82" s="1414"/>
      <c r="Q82" s="1501" t="s">
        <v>12</v>
      </c>
      <c r="R82" s="1539">
        <v>290925425.00972772</v>
      </c>
      <c r="S82" s="1661"/>
      <c r="T82" s="1490"/>
      <c r="U82" s="1645" t="str">
        <f t="shared" si="76"/>
        <v>03.11.01</v>
      </c>
      <c r="V82" s="1478" t="str">
        <f t="shared" si="63"/>
        <v>Bangunan Gedung Tempat Kerja</v>
      </c>
      <c r="W82" s="1478">
        <f t="shared" si="64"/>
        <v>50</v>
      </c>
      <c r="X82" s="1401">
        <f t="shared" si="66"/>
        <v>5818508.5001945542</v>
      </c>
      <c r="Y82" s="1629">
        <f t="shared" si="77"/>
        <v>5</v>
      </c>
      <c r="Z82" s="1401">
        <f t="shared" si="78"/>
        <v>29092542.50097277</v>
      </c>
      <c r="AA82" s="1401">
        <f t="shared" si="86"/>
        <v>5818508.5001945542</v>
      </c>
      <c r="AB82" s="1401">
        <f t="shared" si="80"/>
        <v>5818508.5001945542</v>
      </c>
      <c r="AC82" s="1401">
        <f t="shared" si="81"/>
        <v>5818508.5001945542</v>
      </c>
      <c r="AD82" s="1479">
        <f t="shared" si="82"/>
        <v>5818508.5001945542</v>
      </c>
      <c r="AE82" s="1479">
        <f t="shared" si="83"/>
        <v>5818508.5001945542</v>
      </c>
      <c r="AF82" s="1479">
        <f t="shared" si="84"/>
        <v>5818508.5001945542</v>
      </c>
      <c r="AG82" s="1479">
        <f t="shared" si="85"/>
        <v>64003593.502140112</v>
      </c>
      <c r="AH82" s="1646">
        <f t="shared" si="62"/>
        <v>226921831.50758761</v>
      </c>
    </row>
    <row r="83" spans="1:36" s="1390" customFormat="1" ht="40.5" customHeight="1" x14ac:dyDescent="0.2">
      <c r="A83" s="1391"/>
      <c r="B83" s="1477"/>
      <c r="C83" s="1660">
        <v>71</v>
      </c>
      <c r="D83" s="1455" t="s">
        <v>2637</v>
      </c>
      <c r="E83" s="1501" t="s">
        <v>1752</v>
      </c>
      <c r="F83" s="1501" t="s">
        <v>68</v>
      </c>
      <c r="G83" s="1416" t="s">
        <v>43</v>
      </c>
      <c r="H83" s="1416" t="s">
        <v>2492</v>
      </c>
      <c r="I83" s="1414" t="s">
        <v>736</v>
      </c>
      <c r="J83" s="1416">
        <v>120</v>
      </c>
      <c r="K83" s="1455" t="s">
        <v>2858</v>
      </c>
      <c r="L83" s="1416">
        <v>2009</v>
      </c>
      <c r="M83" s="1429" t="s">
        <v>5325</v>
      </c>
      <c r="N83" s="1501"/>
      <c r="O83" s="1416"/>
      <c r="P83" s="1414"/>
      <c r="Q83" s="1501" t="s">
        <v>12</v>
      </c>
      <c r="R83" s="1539">
        <v>261207210.48636299</v>
      </c>
      <c r="S83" s="1661"/>
      <c r="T83" s="1490"/>
      <c r="U83" s="1645" t="str">
        <f t="shared" si="76"/>
        <v>03.11.01</v>
      </c>
      <c r="V83" s="1478" t="str">
        <f t="shared" si="63"/>
        <v>Bangunan Gedung Tempat Kerja</v>
      </c>
      <c r="W83" s="1478">
        <f t="shared" si="64"/>
        <v>50</v>
      </c>
      <c r="X83" s="1401">
        <f t="shared" si="66"/>
        <v>5224144.2097272603</v>
      </c>
      <c r="Y83" s="1629">
        <f t="shared" si="77"/>
        <v>5</v>
      </c>
      <c r="Z83" s="1401">
        <f t="shared" si="78"/>
        <v>26120721.048636302</v>
      </c>
      <c r="AA83" s="1401">
        <f t="shared" si="86"/>
        <v>5224144.2097272603</v>
      </c>
      <c r="AB83" s="1401">
        <f t="shared" si="80"/>
        <v>5224144.2097272603</v>
      </c>
      <c r="AC83" s="1401">
        <f t="shared" si="81"/>
        <v>5224144.2097272603</v>
      </c>
      <c r="AD83" s="1479">
        <f t="shared" si="82"/>
        <v>5224144.2097272603</v>
      </c>
      <c r="AE83" s="1479">
        <f t="shared" si="83"/>
        <v>5224144.2097272603</v>
      </c>
      <c r="AF83" s="1479">
        <f t="shared" si="84"/>
        <v>5224144.2097272603</v>
      </c>
      <c r="AG83" s="1479">
        <f t="shared" si="85"/>
        <v>57465586.306999855</v>
      </c>
      <c r="AH83" s="1646">
        <f t="shared" si="62"/>
        <v>203741624.17936313</v>
      </c>
    </row>
    <row r="84" spans="1:36" s="1390" customFormat="1" ht="40.5" customHeight="1" x14ac:dyDescent="0.2">
      <c r="A84" s="1391"/>
      <c r="B84" s="1477"/>
      <c r="C84" s="1660">
        <v>72</v>
      </c>
      <c r="D84" s="1455" t="s">
        <v>2638</v>
      </c>
      <c r="E84" s="1501" t="s">
        <v>1752</v>
      </c>
      <c r="F84" s="1501" t="s">
        <v>1765</v>
      </c>
      <c r="G84" s="1416" t="s">
        <v>43</v>
      </c>
      <c r="H84" s="1416" t="s">
        <v>2492</v>
      </c>
      <c r="I84" s="1414" t="s">
        <v>736</v>
      </c>
      <c r="J84" s="1416">
        <v>120</v>
      </c>
      <c r="K84" s="1455" t="s">
        <v>2859</v>
      </c>
      <c r="L84" s="1416">
        <v>2009</v>
      </c>
      <c r="M84" s="1429" t="s">
        <v>5325</v>
      </c>
      <c r="N84" s="1501"/>
      <c r="O84" s="1416"/>
      <c r="P84" s="1414"/>
      <c r="Q84" s="1501" t="s">
        <v>12</v>
      </c>
      <c r="R84" s="1539">
        <v>255580486.38729501</v>
      </c>
      <c r="S84" s="1661"/>
      <c r="T84" s="1490"/>
      <c r="U84" s="1645" t="str">
        <f t="shared" si="76"/>
        <v>03.11.01</v>
      </c>
      <c r="V84" s="1478" t="str">
        <f t="shared" si="63"/>
        <v>Bangunan Gedung Tempat Kerja</v>
      </c>
      <c r="W84" s="1478">
        <f t="shared" si="64"/>
        <v>50</v>
      </c>
      <c r="X84" s="1401">
        <f t="shared" si="66"/>
        <v>5111609.7277458999</v>
      </c>
      <c r="Y84" s="1629">
        <f t="shared" si="77"/>
        <v>5</v>
      </c>
      <c r="Z84" s="1401">
        <f t="shared" si="78"/>
        <v>25558048.638729498</v>
      </c>
      <c r="AA84" s="1401">
        <f t="shared" si="86"/>
        <v>5111609.7277458999</v>
      </c>
      <c r="AB84" s="1401">
        <f t="shared" si="80"/>
        <v>5111609.7277458999</v>
      </c>
      <c r="AC84" s="1401">
        <f t="shared" si="81"/>
        <v>5111609.7277458999</v>
      </c>
      <c r="AD84" s="1479">
        <f t="shared" si="82"/>
        <v>5111609.7277458999</v>
      </c>
      <c r="AE84" s="1479">
        <f t="shared" si="83"/>
        <v>5111609.7277458999</v>
      </c>
      <c r="AF84" s="1479">
        <f t="shared" si="84"/>
        <v>5111609.7277458999</v>
      </c>
      <c r="AG84" s="1479">
        <f t="shared" si="85"/>
        <v>56227707.005204886</v>
      </c>
      <c r="AH84" s="1646">
        <f t="shared" si="62"/>
        <v>199352779.38209012</v>
      </c>
    </row>
    <row r="85" spans="1:36" s="1390" customFormat="1" ht="40.5" customHeight="1" x14ac:dyDescent="0.2">
      <c r="A85" s="1391"/>
      <c r="B85" s="1477"/>
      <c r="C85" s="1660">
        <v>73</v>
      </c>
      <c r="D85" s="1455" t="s">
        <v>2639</v>
      </c>
      <c r="E85" s="1501" t="s">
        <v>1752</v>
      </c>
      <c r="F85" s="1501" t="s">
        <v>1768</v>
      </c>
      <c r="G85" s="1416" t="s">
        <v>43</v>
      </c>
      <c r="H85" s="1416" t="s">
        <v>2492</v>
      </c>
      <c r="I85" s="1414" t="s">
        <v>736</v>
      </c>
      <c r="J85" s="1416">
        <v>120</v>
      </c>
      <c r="K85" s="1455" t="s">
        <v>2860</v>
      </c>
      <c r="L85" s="1416">
        <v>2009</v>
      </c>
      <c r="M85" s="1429" t="s">
        <v>5326</v>
      </c>
      <c r="N85" s="1501"/>
      <c r="O85" s="1416"/>
      <c r="P85" s="1414"/>
      <c r="Q85" s="1501" t="s">
        <v>12</v>
      </c>
      <c r="R85" s="1539">
        <v>265355180.68838102</v>
      </c>
      <c r="S85" s="1661"/>
      <c r="T85" s="1490"/>
      <c r="U85" s="1645" t="str">
        <f t="shared" ref="U85:U91" si="87">LEFT(E85,8)</f>
        <v>03.11.01</v>
      </c>
      <c r="V85" s="1478" t="str">
        <f t="shared" si="63"/>
        <v>Bangunan Gedung Tempat Kerja</v>
      </c>
      <c r="W85" s="1478">
        <f t="shared" si="64"/>
        <v>50</v>
      </c>
      <c r="X85" s="1401">
        <f t="shared" si="66"/>
        <v>5307103.6137676202</v>
      </c>
      <c r="Y85" s="1629">
        <f t="shared" si="77"/>
        <v>5</v>
      </c>
      <c r="Z85" s="1401">
        <f t="shared" si="78"/>
        <v>26535518.068838101</v>
      </c>
      <c r="AA85" s="1401">
        <f t="shared" si="86"/>
        <v>5307103.6137676202</v>
      </c>
      <c r="AB85" s="1401">
        <f t="shared" si="80"/>
        <v>5307103.6137676202</v>
      </c>
      <c r="AC85" s="1401">
        <f t="shared" si="81"/>
        <v>5307103.6137676202</v>
      </c>
      <c r="AD85" s="1479">
        <f t="shared" si="82"/>
        <v>5307103.6137676202</v>
      </c>
      <c r="AE85" s="1479">
        <f t="shared" si="83"/>
        <v>5307103.6137676202</v>
      </c>
      <c r="AF85" s="1479">
        <f t="shared" si="84"/>
        <v>5307103.6137676202</v>
      </c>
      <c r="AG85" s="1479">
        <f t="shared" si="85"/>
        <v>58378139.751443833</v>
      </c>
      <c r="AH85" s="1646">
        <f t="shared" si="62"/>
        <v>206977040.93693718</v>
      </c>
    </row>
    <row r="86" spans="1:36" s="1390" customFormat="1" ht="40.5" customHeight="1" x14ac:dyDescent="0.2">
      <c r="A86" s="1391">
        <v>14</v>
      </c>
      <c r="B86" s="1477" t="s">
        <v>2853</v>
      </c>
      <c r="C86" s="1660">
        <v>74</v>
      </c>
      <c r="D86" s="1455" t="s">
        <v>2853</v>
      </c>
      <c r="E86" s="1501" t="s">
        <v>1772</v>
      </c>
      <c r="F86" s="1501" t="s">
        <v>39</v>
      </c>
      <c r="G86" s="1416" t="s">
        <v>43</v>
      </c>
      <c r="H86" s="1416" t="s">
        <v>2492</v>
      </c>
      <c r="I86" s="1414" t="s">
        <v>736</v>
      </c>
      <c r="J86" s="1416">
        <v>420</v>
      </c>
      <c r="K86" s="1455" t="s">
        <v>2877</v>
      </c>
      <c r="L86" s="1416">
        <v>2009</v>
      </c>
      <c r="M86" s="1429" t="s">
        <v>5327</v>
      </c>
      <c r="N86" s="1501"/>
      <c r="O86" s="1416"/>
      <c r="P86" s="1414"/>
      <c r="Q86" s="1501" t="s">
        <v>12</v>
      </c>
      <c r="R86" s="1539">
        <v>1720233393.4579301</v>
      </c>
      <c r="S86" s="1661"/>
      <c r="T86" s="1490"/>
      <c r="U86" s="1522" t="str">
        <f t="shared" si="87"/>
        <v>03.11.01</v>
      </c>
      <c r="V86" s="1478" t="str">
        <f t="shared" si="63"/>
        <v>Bangunan Gedung Tempat Kerja</v>
      </c>
      <c r="W86" s="1478">
        <f t="shared" si="64"/>
        <v>50</v>
      </c>
      <c r="X86" s="1401"/>
      <c r="Y86" s="1629"/>
      <c r="Z86" s="1401">
        <f>SUM('PERHITUNGAN (C)'!U243:U245)</f>
        <v>172023339.34579301</v>
      </c>
      <c r="AA86" s="1479">
        <f>SUMIF('PERHITUNGAN (C)'!$A:$A,'KIB C'!B86&amp;'KIB C'!$AA$7,'PERHITUNGAN (C)'!$U:$U)</f>
        <v>34404667.869158603</v>
      </c>
      <c r="AB86" s="1479">
        <f>SUMIF('PERHITUNGAN (C)'!$A:$A,'KIB C'!B86&amp;'KIB C'!$AB$7,'PERHITUNGAN (C)'!$U:$U)</f>
        <v>34404667.869158603</v>
      </c>
      <c r="AC86" s="1479">
        <f>SUMIF('PERHITUNGAN (C)'!$A:$A,'KIB C'!B86&amp;'KIB C'!$AC$7,'PERHITUNGAN (C)'!$U:$U)</f>
        <v>34404667.869158603</v>
      </c>
      <c r="AD86" s="1479">
        <f>SUMIF('PERHITUNGAN (C)'!$A:$A,'KIB C'!B86&amp;'KIB C'!$AD$7,'PERHITUNGAN (C)'!$U:$U)</f>
        <v>34404667.869158603</v>
      </c>
      <c r="AE86" s="1479">
        <f>SUMIF('PERHITUNGAN (C)'!$A:$A,'KIB C'!B86&amp;'KIB C'!$AE$7,'PERHITUNGAN (C)'!$U:$U)</f>
        <v>34404667.869158603</v>
      </c>
      <c r="AF86" s="1479">
        <f>SUMIF('PERHITUNGAN (C)'!$A:$A,'KIB C'!B86&amp;'KIB C'!$AF$7,'PERHITUNGAN (C)'!$U:$U)</f>
        <v>34404667.869158603</v>
      </c>
      <c r="AG86" s="1479">
        <f t="shared" si="85"/>
        <v>378451346.5607447</v>
      </c>
      <c r="AH86" s="1646">
        <f t="shared" si="62"/>
        <v>1341782046.8971853</v>
      </c>
      <c r="AJ86" s="1443">
        <f>SUM(Z86:AE86)</f>
        <v>344046678.69158608</v>
      </c>
    </row>
    <row r="87" spans="1:36" s="1390" customFormat="1" ht="40.5" customHeight="1" x14ac:dyDescent="0.2">
      <c r="A87" s="1391"/>
      <c r="B87" s="1477"/>
      <c r="C87" s="1660">
        <v>75</v>
      </c>
      <c r="D87" s="1455" t="s">
        <v>2641</v>
      </c>
      <c r="E87" s="1501" t="s">
        <v>1772</v>
      </c>
      <c r="F87" s="1501" t="s">
        <v>39</v>
      </c>
      <c r="G87" s="1416" t="s">
        <v>43</v>
      </c>
      <c r="H87" s="1416" t="s">
        <v>2492</v>
      </c>
      <c r="I87" s="1414" t="s">
        <v>736</v>
      </c>
      <c r="J87" s="1416" t="s">
        <v>9</v>
      </c>
      <c r="K87" s="1455" t="s">
        <v>2614</v>
      </c>
      <c r="L87" s="1416">
        <v>2009</v>
      </c>
      <c r="M87" s="1429" t="s">
        <v>5328</v>
      </c>
      <c r="N87" s="1501"/>
      <c r="O87" s="1416"/>
      <c r="P87" s="1414"/>
      <c r="Q87" s="1501" t="s">
        <v>12</v>
      </c>
      <c r="R87" s="1539">
        <v>524619475.60007006</v>
      </c>
      <c r="S87" s="1661"/>
      <c r="T87" s="1490"/>
      <c r="U87" s="1645" t="str">
        <f t="shared" si="87"/>
        <v>03.11.01</v>
      </c>
      <c r="V87" s="1478" t="str">
        <f t="shared" si="63"/>
        <v>Bangunan Gedung Tempat Kerja</v>
      </c>
      <c r="W87" s="1478">
        <f t="shared" si="64"/>
        <v>50</v>
      </c>
      <c r="X87" s="1401">
        <f>R87/W87</f>
        <v>10492389.512001401</v>
      </c>
      <c r="Y87" s="1629">
        <f>IF(2013-L87+1&gt;W87,W87,IF(2013-L87+1&lt;0,0,2013-L87+1))</f>
        <v>5</v>
      </c>
      <c r="Z87" s="1401">
        <f>IF(Y87&gt;W87,R87,X87*Y87)</f>
        <v>52461947.560007006</v>
      </c>
      <c r="AA87" s="1401">
        <f>IF(R87=Z87,0,X87)</f>
        <v>10492389.512001401</v>
      </c>
      <c r="AB87" s="1401">
        <f>IF(R87=Z87+AA87,0,X87)</f>
        <v>10492389.512001401</v>
      </c>
      <c r="AC87" s="1401">
        <f>IF(R87=Z87+AA87+AB87,0,X87)</f>
        <v>10492389.512001401</v>
      </c>
      <c r="AD87" s="1479">
        <f>IF(R87=Z87+AA87+AB87+AC87,0,X87)</f>
        <v>10492389.512001401</v>
      </c>
      <c r="AE87" s="1479">
        <f>IF(R87=Z87+AA87+AB87+AC87+AD87,0,X87)</f>
        <v>10492389.512001401</v>
      </c>
      <c r="AF87" s="1479">
        <f>IF(R87=Z87+AA87+AB87+AC87+AD87+AE87,0,X87)</f>
        <v>10492389.512001401</v>
      </c>
      <c r="AG87" s="1479">
        <f t="shared" ref="AG87:AG93" si="88">SUM(Z87:AF87)</f>
        <v>115416284.63201539</v>
      </c>
      <c r="AH87" s="1646">
        <f t="shared" si="62"/>
        <v>409203190.96805465</v>
      </c>
    </row>
    <row r="88" spans="1:36" s="1390" customFormat="1" ht="40.5" customHeight="1" x14ac:dyDescent="0.2">
      <c r="A88" s="1391"/>
      <c r="B88" s="1477"/>
      <c r="C88" s="1660">
        <v>76</v>
      </c>
      <c r="D88" s="1455" t="s">
        <v>2643</v>
      </c>
      <c r="E88" s="1501" t="s">
        <v>2844</v>
      </c>
      <c r="F88" s="1501"/>
      <c r="G88" s="1416" t="s">
        <v>43</v>
      </c>
      <c r="H88" s="1416"/>
      <c r="I88" s="1414"/>
      <c r="J88" s="1416"/>
      <c r="K88" s="1455" t="s">
        <v>2614</v>
      </c>
      <c r="L88" s="1416">
        <v>2009</v>
      </c>
      <c r="M88" s="1429"/>
      <c r="N88" s="1501"/>
      <c r="O88" s="1416"/>
      <c r="P88" s="1414"/>
      <c r="Q88" s="1501" t="s">
        <v>12</v>
      </c>
      <c r="R88" s="1539">
        <v>35880687.702640109</v>
      </c>
      <c r="S88" s="1661"/>
      <c r="T88" s="1490"/>
      <c r="U88" s="1645" t="str">
        <f t="shared" si="87"/>
        <v>03.11.01</v>
      </c>
      <c r="V88" s="1478" t="str">
        <f t="shared" si="63"/>
        <v>Bangunan Gedung Tempat Kerja</v>
      </c>
      <c r="W88" s="1478">
        <f t="shared" si="64"/>
        <v>50</v>
      </c>
      <c r="X88" s="1401">
        <f>R88/W88</f>
        <v>717613.75405280222</v>
      </c>
      <c r="Y88" s="1629">
        <f>IF(2013-L88+1&gt;W88,W88,IF(2013-L88+1&lt;0,0,2013-L88+1))</f>
        <v>5</v>
      </c>
      <c r="Z88" s="1401">
        <f>IF(Y88&gt;W88,R88,X88*Y88)</f>
        <v>3588068.7702640109</v>
      </c>
      <c r="AA88" s="1401">
        <f>IF(R88=Z88,0,X88)</f>
        <v>717613.75405280222</v>
      </c>
      <c r="AB88" s="1401">
        <f>IF(R88=Z88+AA88,0,X88)</f>
        <v>717613.75405280222</v>
      </c>
      <c r="AC88" s="1401">
        <f>IF(R88=Z88+AA88+AB88,0,X88)</f>
        <v>717613.75405280222</v>
      </c>
      <c r="AD88" s="1479">
        <f>IF(R88=Z88+AA88+AB88+AC88,0,X88)</f>
        <v>717613.75405280222</v>
      </c>
      <c r="AE88" s="1479">
        <f>IF(R88=Z88+AA88+AB88+AC88+AD88,0,X88)</f>
        <v>717613.75405280222</v>
      </c>
      <c r="AF88" s="1479">
        <f>IF(R88=Z88+AA88+AB88+AC88+AD88+AE88,0,X88)</f>
        <v>717613.75405280222</v>
      </c>
      <c r="AG88" s="1479">
        <f t="shared" si="88"/>
        <v>7893751.2945808228</v>
      </c>
      <c r="AH88" s="1646">
        <f t="shared" si="62"/>
        <v>27986936.408059284</v>
      </c>
    </row>
    <row r="89" spans="1:36" s="1390" customFormat="1" ht="40.5" customHeight="1" x14ac:dyDescent="0.2">
      <c r="A89" s="1391"/>
      <c r="B89" s="1477"/>
      <c r="C89" s="1660">
        <v>77</v>
      </c>
      <c r="D89" s="1455" t="s">
        <v>2644</v>
      </c>
      <c r="E89" s="1501" t="s">
        <v>2845</v>
      </c>
      <c r="F89" s="1501"/>
      <c r="G89" s="1416" t="s">
        <v>43</v>
      </c>
      <c r="H89" s="1416"/>
      <c r="I89" s="1414"/>
      <c r="J89" s="1416"/>
      <c r="K89" s="1455" t="s">
        <v>52</v>
      </c>
      <c r="L89" s="1416">
        <v>2008</v>
      </c>
      <c r="M89" s="1429"/>
      <c r="N89" s="1501"/>
      <c r="O89" s="1416"/>
      <c r="P89" s="1414"/>
      <c r="Q89" s="1501" t="s">
        <v>12</v>
      </c>
      <c r="R89" s="1539">
        <v>530596000</v>
      </c>
      <c r="S89" s="1661"/>
      <c r="T89" s="1490"/>
      <c r="U89" s="1645" t="str">
        <f t="shared" si="87"/>
        <v>03.11.01</v>
      </c>
      <c r="V89" s="1478" t="str">
        <f t="shared" si="63"/>
        <v>Bangunan Gedung Tempat Kerja</v>
      </c>
      <c r="W89" s="1478">
        <f t="shared" si="64"/>
        <v>50</v>
      </c>
      <c r="X89" s="1401">
        <f>R89/W89</f>
        <v>10611920</v>
      </c>
      <c r="Y89" s="1629">
        <f>IF(2013-L89+1&gt;W89,W89,IF(2013-L89+1&lt;0,0,2013-L89+1))</f>
        <v>6</v>
      </c>
      <c r="Z89" s="1401">
        <f>IF(Y89&gt;W89,R89,X89*Y89)</f>
        <v>63671520</v>
      </c>
      <c r="AA89" s="1401">
        <f>IF(R89=Z89,0,X89)</f>
        <v>10611920</v>
      </c>
      <c r="AB89" s="1401">
        <f>IF(R89=Z89+AA89,0,X89)</f>
        <v>10611920</v>
      </c>
      <c r="AC89" s="1401">
        <f>IF(R89=Z89+AA89+AB89,0,X89)</f>
        <v>10611920</v>
      </c>
      <c r="AD89" s="1479">
        <f>IF(R89=Z89+AA89+AB89+AC89,0,X89)</f>
        <v>10611920</v>
      </c>
      <c r="AE89" s="1479">
        <f>IF(R89=Z89+AA89+AB89+AC89+AD89,0,X89)</f>
        <v>10611920</v>
      </c>
      <c r="AF89" s="1479">
        <f>IF(R89=Z89+AA89+AB89+AC89+AD89+AE89,0,X89)</f>
        <v>10611920</v>
      </c>
      <c r="AG89" s="1479">
        <f t="shared" si="88"/>
        <v>127343040</v>
      </c>
      <c r="AH89" s="1646">
        <f t="shared" si="62"/>
        <v>403252960</v>
      </c>
    </row>
    <row r="90" spans="1:36" s="1390" customFormat="1" ht="40.5" customHeight="1" x14ac:dyDescent="0.2">
      <c r="A90" s="1391"/>
      <c r="B90" s="1477" t="s">
        <v>4241</v>
      </c>
      <c r="C90" s="1660">
        <v>78</v>
      </c>
      <c r="D90" s="1455" t="s">
        <v>2645</v>
      </c>
      <c r="E90" s="1501" t="s">
        <v>2835</v>
      </c>
      <c r="F90" s="1501" t="s">
        <v>39</v>
      </c>
      <c r="G90" s="1416" t="s">
        <v>43</v>
      </c>
      <c r="H90" s="1416" t="s">
        <v>2492</v>
      </c>
      <c r="I90" s="1414" t="s">
        <v>2492</v>
      </c>
      <c r="J90" s="1416"/>
      <c r="K90" s="1455" t="s">
        <v>2614</v>
      </c>
      <c r="L90" s="1416">
        <v>2008</v>
      </c>
      <c r="M90" s="1429"/>
      <c r="N90" s="1501"/>
      <c r="O90" s="1416"/>
      <c r="P90" s="1414"/>
      <c r="Q90" s="1501" t="s">
        <v>12</v>
      </c>
      <c r="R90" s="1539">
        <v>215036010.5</v>
      </c>
      <c r="S90" s="1661"/>
      <c r="T90" s="1490"/>
      <c r="U90" s="1645" t="str">
        <f t="shared" si="87"/>
        <v>03.11.01</v>
      </c>
      <c r="V90" s="1478" t="str">
        <f t="shared" si="63"/>
        <v>Bangunan Gedung Tempat Kerja</v>
      </c>
      <c r="W90" s="1478">
        <f t="shared" si="64"/>
        <v>50</v>
      </c>
      <c r="X90" s="1401">
        <f>R90/W90</f>
        <v>4300720.21</v>
      </c>
      <c r="Y90" s="1629">
        <f>IF(2013-L90+1&gt;W90,W90,IF(2013-L90+1&lt;0,0,2013-L90+1))</f>
        <v>6</v>
      </c>
      <c r="Z90" s="1401">
        <f>IF(Y90&gt;W90,R90,X90*Y90)</f>
        <v>25804321.259999998</v>
      </c>
      <c r="AA90" s="1401">
        <f>IF(R90=Z90,0,X90)</f>
        <v>4300720.21</v>
      </c>
      <c r="AB90" s="1401">
        <f>IF(R90=Z90+AA90,0,X90)</f>
        <v>4300720.21</v>
      </c>
      <c r="AC90" s="1401">
        <f>IF(R90=Z90+AA90+AB90,0,X90)</f>
        <v>4300720.21</v>
      </c>
      <c r="AD90" s="1479">
        <f>IF(R90=Z90+AA90+AB90+AC90,0,X90)</f>
        <v>4300720.21</v>
      </c>
      <c r="AE90" s="1479">
        <f>IF(R90=Z90+AA90+AB90+AC90+AD90,0,X90)</f>
        <v>4300720.21</v>
      </c>
      <c r="AF90" s="1479">
        <f>IF(R90=Z90+AA90+AB90+AC90+AD90+AE90,0,X90)</f>
        <v>4300720.21</v>
      </c>
      <c r="AG90" s="1479">
        <f t="shared" si="88"/>
        <v>51608642.520000003</v>
      </c>
      <c r="AH90" s="1646">
        <f t="shared" si="62"/>
        <v>163427367.97999999</v>
      </c>
    </row>
    <row r="91" spans="1:36" s="1390" customFormat="1" ht="40.5" customHeight="1" x14ac:dyDescent="0.2">
      <c r="A91" s="1391">
        <v>15</v>
      </c>
      <c r="B91" s="1477" t="s">
        <v>3021</v>
      </c>
      <c r="C91" s="1660">
        <v>79</v>
      </c>
      <c r="D91" s="1455" t="s">
        <v>5770</v>
      </c>
      <c r="E91" s="1501" t="s">
        <v>1874</v>
      </c>
      <c r="F91" s="1501" t="s">
        <v>39</v>
      </c>
      <c r="G91" s="1416" t="s">
        <v>43</v>
      </c>
      <c r="H91" s="1416" t="s">
        <v>5412</v>
      </c>
      <c r="I91" s="1414" t="s">
        <v>736</v>
      </c>
      <c r="J91" s="1416"/>
      <c r="K91" s="1455" t="s">
        <v>2614</v>
      </c>
      <c r="L91" s="1416">
        <v>2010</v>
      </c>
      <c r="M91" s="1429" t="s">
        <v>5329</v>
      </c>
      <c r="N91" s="1501"/>
      <c r="O91" s="1416"/>
      <c r="P91" s="1414"/>
      <c r="Q91" s="1501" t="s">
        <v>12</v>
      </c>
      <c r="R91" s="1539">
        <v>2095092265.3747973</v>
      </c>
      <c r="S91" s="1661"/>
      <c r="T91" s="1490"/>
      <c r="U91" s="1522" t="str">
        <f t="shared" si="87"/>
        <v>03.11.01</v>
      </c>
      <c r="V91" s="1478" t="str">
        <f t="shared" si="63"/>
        <v>Bangunan Gedung Tempat Kerja</v>
      </c>
      <c r="W91" s="1478">
        <f t="shared" si="64"/>
        <v>50</v>
      </c>
      <c r="X91" s="1401"/>
      <c r="Y91" s="1629"/>
      <c r="Z91" s="1401">
        <f>SUM('PERHITUNGAN (C)'!U261:U263)</f>
        <v>163196372.29536334</v>
      </c>
      <c r="AA91" s="1479">
        <f>SUMIF('PERHITUNGAN (C)'!$A:$A,'KIB C'!B91&amp;'KIB C'!$AA$7,'PERHITUNGAN (C)'!$U:$U)</f>
        <v>41104167.937860258</v>
      </c>
      <c r="AB91" s="1479">
        <f>SUMIF('PERHITUNGAN (C)'!$A:$A,'KIB C'!B91&amp;'KIB C'!$AB$7,'PERHITUNGAN (C)'!$U:$U)</f>
        <v>41104167.937860258</v>
      </c>
      <c r="AC91" s="1479">
        <f>SUMIF('PERHITUNGAN (C)'!$A:$A,'KIB C'!B91&amp;'KIB C'!$AC$7,'PERHITUNGAN (C)'!$U:$U)</f>
        <v>41104167.937860258</v>
      </c>
      <c r="AD91" s="1479">
        <f>SUMIF('PERHITUNGAN (C)'!$A:$A,'KIB C'!B91&amp;'KIB C'!$AD$7,'PERHITUNGAN (C)'!$U:$U)</f>
        <v>41104167.937860258</v>
      </c>
      <c r="AE91" s="1479">
        <f>SUMIF('PERHITUNGAN (C)'!$A:$A,'KIB C'!B91&amp;'KIB C'!$AE$7,'PERHITUNGAN (C)'!$U:$U)</f>
        <v>41104167.937860258</v>
      </c>
      <c r="AF91" s="1479">
        <f>SUMIF('PERHITUNGAN (C)'!$A:$A,'KIB C'!B91&amp;'KIB C'!$AF$7,'PERHITUNGAN (C)'!$U:$U)</f>
        <v>41104167.937860258</v>
      </c>
      <c r="AG91" s="1479">
        <f t="shared" si="88"/>
        <v>409821379.92252487</v>
      </c>
      <c r="AH91" s="1646">
        <f t="shared" si="62"/>
        <v>1685270885.4522724</v>
      </c>
      <c r="AJ91" s="1443">
        <f>SUM(Z91:AE91)</f>
        <v>368717211.98466462</v>
      </c>
    </row>
    <row r="92" spans="1:36" s="1390" customFormat="1" ht="52.5" customHeight="1" x14ac:dyDescent="0.2">
      <c r="A92" s="1391"/>
      <c r="B92" s="1477" t="s">
        <v>4219</v>
      </c>
      <c r="C92" s="1660">
        <v>80</v>
      </c>
      <c r="D92" s="1455" t="s">
        <v>2688</v>
      </c>
      <c r="E92" s="1501" t="s">
        <v>1892</v>
      </c>
      <c r="F92" s="1501" t="s">
        <v>39</v>
      </c>
      <c r="G92" s="1416" t="s">
        <v>43</v>
      </c>
      <c r="H92" s="1416" t="s">
        <v>2492</v>
      </c>
      <c r="I92" s="1414" t="s">
        <v>736</v>
      </c>
      <c r="J92" s="1416"/>
      <c r="K92" s="1455" t="s">
        <v>417</v>
      </c>
      <c r="L92" s="1416">
        <v>2011</v>
      </c>
      <c r="M92" s="1429" t="s">
        <v>5330</v>
      </c>
      <c r="N92" s="1501"/>
      <c r="O92" s="1416"/>
      <c r="P92" s="1414"/>
      <c r="Q92" s="1501" t="s">
        <v>12</v>
      </c>
      <c r="R92" s="1539">
        <v>90830869.097878858</v>
      </c>
      <c r="S92" s="1661"/>
      <c r="T92" s="1490"/>
      <c r="U92" s="1645" t="str">
        <f>LEFT(E92,8)</f>
        <v>03.11.01</v>
      </c>
      <c r="V92" s="1478" t="str">
        <f t="shared" si="63"/>
        <v>Bangunan Gedung Tempat Kerja</v>
      </c>
      <c r="W92" s="1478">
        <f t="shared" si="64"/>
        <v>50</v>
      </c>
      <c r="X92" s="1401">
        <f>R92/W92</f>
        <v>1816617.3819575771</v>
      </c>
      <c r="Y92" s="1629">
        <f>IF(2013-L92+1&gt;W92,W92,IF(2013-L92+1&lt;0,0,2013-L92+1))</f>
        <v>3</v>
      </c>
      <c r="Z92" s="1401">
        <f>IF(Y92&gt;W92,R92,X92*Y92)</f>
        <v>5449852.1458727308</v>
      </c>
      <c r="AA92" s="1401">
        <f>IF(R92=Z92,0,X92)</f>
        <v>1816617.3819575771</v>
      </c>
      <c r="AB92" s="1401">
        <f>IF(R92=Z92+AA92,0,X92)</f>
        <v>1816617.3819575771</v>
      </c>
      <c r="AC92" s="1401">
        <f>IF(R92=Z92+AA92+AB92,0,X92)</f>
        <v>1816617.3819575771</v>
      </c>
      <c r="AD92" s="1479">
        <f>IF(R92=Z92+AA92+AB92+AC92,0,X92)</f>
        <v>1816617.3819575771</v>
      </c>
      <c r="AE92" s="1479">
        <f>IF(R92=Z92+AA92+AB92+AC92+AD92,0,X92)</f>
        <v>1816617.3819575771</v>
      </c>
      <c r="AF92" s="1479">
        <f>IF(R92=Z92+AA92+AB92+AC92+AD92+AE92,0,X92)</f>
        <v>1816617.3819575771</v>
      </c>
      <c r="AG92" s="1479">
        <f t="shared" si="88"/>
        <v>16349556.437618196</v>
      </c>
      <c r="AH92" s="1646">
        <f t="shared" si="62"/>
        <v>74481312.660260662</v>
      </c>
    </row>
    <row r="93" spans="1:36" s="1390" customFormat="1" ht="40.5" customHeight="1" x14ac:dyDescent="0.2">
      <c r="A93" s="1391">
        <v>16</v>
      </c>
      <c r="B93" s="1477" t="s">
        <v>2993</v>
      </c>
      <c r="C93" s="1660">
        <v>81</v>
      </c>
      <c r="D93" s="1455" t="s">
        <v>5771</v>
      </c>
      <c r="E93" s="1501" t="s">
        <v>1779</v>
      </c>
      <c r="F93" s="1501"/>
      <c r="G93" s="1416" t="s">
        <v>43</v>
      </c>
      <c r="H93" s="1416"/>
      <c r="I93" s="1414" t="s">
        <v>736</v>
      </c>
      <c r="J93" s="1416"/>
      <c r="K93" s="1455" t="s">
        <v>2614</v>
      </c>
      <c r="L93" s="1416">
        <v>2010</v>
      </c>
      <c r="M93" s="1429" t="s">
        <v>5331</v>
      </c>
      <c r="N93" s="1501"/>
      <c r="O93" s="1416"/>
      <c r="P93" s="1414"/>
      <c r="Q93" s="1501" t="s">
        <v>12</v>
      </c>
      <c r="R93" s="1539">
        <v>845744482.7995193</v>
      </c>
      <c r="S93" s="1661"/>
      <c r="T93" s="1490"/>
      <c r="U93" s="1522" t="str">
        <f>LEFT(E93,8)</f>
        <v>03.11.02</v>
      </c>
      <c r="V93" s="1478" t="str">
        <f t="shared" si="63"/>
        <v>Bangunan Gedung Tempat Tinggal</v>
      </c>
      <c r="W93" s="1478">
        <f t="shared" si="64"/>
        <v>50</v>
      </c>
      <c r="X93" s="1401"/>
      <c r="Y93" s="1629"/>
      <c r="Z93" s="1401">
        <f>SUM('PERHITUNGAN (C)'!U278:U280)</f>
        <v>65896587.915363692</v>
      </c>
      <c r="AA93" s="1479">
        <f>SUMIF('PERHITUNGAN (C)'!$A:$A,'KIB C'!B93&amp;'KIB C'!$AA$7,'PERHITUNGAN (C)'!$U:$U)</f>
        <v>16592508.401790544</v>
      </c>
      <c r="AB93" s="1479">
        <f>SUMIF('PERHITUNGAN (C)'!$A:$A,'KIB C'!B93&amp;'KIB C'!$AB$7,'PERHITUNGAN (C)'!$U:$U)</f>
        <v>16592508.401790544</v>
      </c>
      <c r="AC93" s="1479">
        <f>SUMIF('PERHITUNGAN (C)'!$A:$A,'KIB C'!B93&amp;'KIB C'!$AC$7,'PERHITUNGAN (C)'!$U:$U)</f>
        <v>16592508.401790544</v>
      </c>
      <c r="AD93" s="1479">
        <f>SUMIF('PERHITUNGAN (C)'!$A:$A,'KIB C'!B93&amp;'KIB C'!$AD$7,'PERHITUNGAN (C)'!$U:$U)</f>
        <v>16592508.401790544</v>
      </c>
      <c r="AE93" s="1479">
        <f>SUMIF('PERHITUNGAN (C)'!$A:$A,'KIB C'!B93&amp;'KIB C'!$AE$7,'PERHITUNGAN (C)'!$U:$U)</f>
        <v>16592508.401790544</v>
      </c>
      <c r="AF93" s="1479">
        <f>SUMIF('PERHITUNGAN (C)'!$A:$A,'KIB C'!B93&amp;'KIB C'!$AF$7,'PERHITUNGAN (C)'!$U:$U)</f>
        <v>16592508.401790544</v>
      </c>
      <c r="AG93" s="1479">
        <f t="shared" si="88"/>
        <v>165451638.32610697</v>
      </c>
      <c r="AH93" s="1646">
        <f t="shared" si="62"/>
        <v>680292844.47341228</v>
      </c>
      <c r="AJ93" s="1443">
        <f>SUM(Z93:AE93)</f>
        <v>148859129.92431641</v>
      </c>
    </row>
    <row r="94" spans="1:36" s="1390" customFormat="1" ht="62.25" customHeight="1" x14ac:dyDescent="0.2">
      <c r="A94" s="1391"/>
      <c r="B94" s="1477" t="s">
        <v>5716</v>
      </c>
      <c r="C94" s="1660">
        <v>82</v>
      </c>
      <c r="D94" s="1455" t="s">
        <v>5715</v>
      </c>
      <c r="E94" s="1501" t="s">
        <v>1752</v>
      </c>
      <c r="F94" s="1501" t="s">
        <v>39</v>
      </c>
      <c r="G94" s="1416" t="s">
        <v>43</v>
      </c>
      <c r="H94" s="1416" t="s">
        <v>5412</v>
      </c>
      <c r="I94" s="1414" t="s">
        <v>736</v>
      </c>
      <c r="J94" s="1416">
        <v>550</v>
      </c>
      <c r="K94" s="1455" t="s">
        <v>2863</v>
      </c>
      <c r="L94" s="1416">
        <v>2010</v>
      </c>
      <c r="M94" s="1429"/>
      <c r="N94" s="1501"/>
      <c r="O94" s="1416"/>
      <c r="P94" s="1414"/>
      <c r="Q94" s="1501" t="s">
        <v>12</v>
      </c>
      <c r="R94" s="1539">
        <v>1951623713.3763018</v>
      </c>
      <c r="S94" s="1661"/>
      <c r="T94" s="1490"/>
      <c r="U94" s="1522" t="str">
        <f>LEFT(E94,8)</f>
        <v>03.11.01</v>
      </c>
      <c r="V94" s="1478" t="str">
        <f>VLOOKUP(U94,UE,3)</f>
        <v>Bangunan Gedung Tempat Kerja</v>
      </c>
      <c r="W94" s="1478">
        <f>VLOOKUP(U94,UE,4)</f>
        <v>50</v>
      </c>
      <c r="X94" s="1401">
        <f>R94/W94</f>
        <v>39032474.267526038</v>
      </c>
      <c r="Y94" s="1629">
        <f t="shared" ref="Y94:Y107" si="89">IF(2013-L94+1&gt;W94,W94,IF(2013-L94+1&lt;0,0,2013-L94+1))</f>
        <v>4</v>
      </c>
      <c r="Z94" s="1401">
        <f t="shared" ref="Z94:Z107" si="90">IF(Y94&gt;W94,R94,X94*Y94)</f>
        <v>156129897.07010415</v>
      </c>
      <c r="AA94" s="1401">
        <f t="shared" ref="AA94:AA107" si="91">IF(R94=Z94,0,X94)</f>
        <v>39032474.267526038</v>
      </c>
      <c r="AB94" s="1401">
        <f t="shared" ref="AB94:AB107" si="92">IF(R94=Z94+AA94,0,X94)</f>
        <v>39032474.267526038</v>
      </c>
      <c r="AC94" s="1401">
        <f t="shared" ref="AC94:AC107" si="93">IF(R94=Z94+AA94+AB94,0,X94)</f>
        <v>39032474.267526038</v>
      </c>
      <c r="AD94" s="1479">
        <f t="shared" ref="AD94:AD107" si="94">IF(R94=Z94+AA94+AB94+AC94,0,X94)</f>
        <v>39032474.267526038</v>
      </c>
      <c r="AE94" s="1479">
        <f t="shared" ref="AE94:AE107" si="95">IF(R94=Z94+AA94+AB94+AC94+AD94,0,X94)</f>
        <v>39032474.267526038</v>
      </c>
      <c r="AF94" s="1479">
        <f t="shared" ref="AF94:AF107" si="96">IF(R94=Z94+AA94+AB94+AC94+AD94+AE94,0,X94)</f>
        <v>39032474.267526038</v>
      </c>
      <c r="AG94" s="1479">
        <f t="shared" ref="AG94:AG107" si="97">SUM(Z94:AF94)</f>
        <v>390324742.67526037</v>
      </c>
      <c r="AH94" s="1646">
        <f>R94-AG94</f>
        <v>1561298970.7010415</v>
      </c>
      <c r="AJ94" s="1443">
        <f>SUM(Z94:AE94)</f>
        <v>351292268.40773433</v>
      </c>
    </row>
    <row r="95" spans="1:36" s="1390" customFormat="1" ht="53.25" customHeight="1" x14ac:dyDescent="0.2">
      <c r="A95" s="1391"/>
      <c r="B95" s="1477"/>
      <c r="C95" s="1660">
        <v>83</v>
      </c>
      <c r="D95" s="1455" t="s">
        <v>2652</v>
      </c>
      <c r="E95" s="1501" t="s">
        <v>2845</v>
      </c>
      <c r="F95" s="1501"/>
      <c r="G95" s="1416" t="s">
        <v>43</v>
      </c>
      <c r="H95" s="1416"/>
      <c r="I95" s="1414" t="s">
        <v>736</v>
      </c>
      <c r="J95" s="1416"/>
      <c r="K95" s="1455" t="s">
        <v>2864</v>
      </c>
      <c r="L95" s="1416">
        <v>2010</v>
      </c>
      <c r="M95" s="1429"/>
      <c r="N95" s="1501"/>
      <c r="O95" s="1416"/>
      <c r="P95" s="1414"/>
      <c r="Q95" s="1501" t="s">
        <v>12</v>
      </c>
      <c r="R95" s="1539">
        <v>41073930.524229623</v>
      </c>
      <c r="S95" s="1661"/>
      <c r="T95" s="1490"/>
      <c r="U95" s="1645" t="str">
        <f t="shared" ref="U95:U100" si="98">LEFT(E95,8)</f>
        <v>03.11.01</v>
      </c>
      <c r="V95" s="1478" t="str">
        <f t="shared" si="63"/>
        <v>Bangunan Gedung Tempat Kerja</v>
      </c>
      <c r="W95" s="1478">
        <f t="shared" si="64"/>
        <v>50</v>
      </c>
      <c r="X95" s="1401">
        <f t="shared" ref="X95:X107" si="99">R95/W95</f>
        <v>821478.6104845925</v>
      </c>
      <c r="Y95" s="1629">
        <f t="shared" si="89"/>
        <v>4</v>
      </c>
      <c r="Z95" s="1401">
        <f t="shared" si="90"/>
        <v>3285914.44193837</v>
      </c>
      <c r="AA95" s="1401">
        <f t="shared" si="91"/>
        <v>821478.6104845925</v>
      </c>
      <c r="AB95" s="1401">
        <f t="shared" si="92"/>
        <v>821478.6104845925</v>
      </c>
      <c r="AC95" s="1401">
        <f t="shared" si="93"/>
        <v>821478.6104845925</v>
      </c>
      <c r="AD95" s="1479">
        <f t="shared" si="94"/>
        <v>821478.6104845925</v>
      </c>
      <c r="AE95" s="1479">
        <f t="shared" si="95"/>
        <v>821478.6104845925</v>
      </c>
      <c r="AF95" s="1479">
        <f t="shared" si="96"/>
        <v>821478.6104845925</v>
      </c>
      <c r="AG95" s="1479">
        <f t="shared" si="97"/>
        <v>8214786.1048459252</v>
      </c>
      <c r="AH95" s="1646">
        <f t="shared" si="62"/>
        <v>32859144.419383697</v>
      </c>
    </row>
    <row r="96" spans="1:36" s="1390" customFormat="1" ht="53.25" customHeight="1" x14ac:dyDescent="0.2">
      <c r="A96" s="1391"/>
      <c r="B96" s="1477"/>
      <c r="C96" s="1660">
        <v>84</v>
      </c>
      <c r="D96" s="1455" t="s">
        <v>2653</v>
      </c>
      <c r="E96" s="1501" t="s">
        <v>2845</v>
      </c>
      <c r="F96" s="1501"/>
      <c r="G96" s="1416" t="s">
        <v>43</v>
      </c>
      <c r="H96" s="1416"/>
      <c r="I96" s="1414" t="s">
        <v>736</v>
      </c>
      <c r="J96" s="1416"/>
      <c r="K96" s="1455" t="s">
        <v>2865</v>
      </c>
      <c r="L96" s="1416">
        <v>2010</v>
      </c>
      <c r="M96" s="1429"/>
      <c r="N96" s="1501"/>
      <c r="O96" s="1416"/>
      <c r="P96" s="1414"/>
      <c r="Q96" s="1501" t="s">
        <v>12</v>
      </c>
      <c r="R96" s="1539">
        <v>41073930.524229623</v>
      </c>
      <c r="S96" s="1661"/>
      <c r="T96" s="1490"/>
      <c r="U96" s="1645" t="str">
        <f t="shared" si="98"/>
        <v>03.11.01</v>
      </c>
      <c r="V96" s="1478" t="str">
        <f t="shared" si="63"/>
        <v>Bangunan Gedung Tempat Kerja</v>
      </c>
      <c r="W96" s="1478">
        <f t="shared" si="64"/>
        <v>50</v>
      </c>
      <c r="X96" s="1401">
        <f t="shared" si="99"/>
        <v>821478.6104845925</v>
      </c>
      <c r="Y96" s="1629">
        <f t="shared" si="89"/>
        <v>4</v>
      </c>
      <c r="Z96" s="1401">
        <f t="shared" si="90"/>
        <v>3285914.44193837</v>
      </c>
      <c r="AA96" s="1401">
        <f t="shared" si="91"/>
        <v>821478.6104845925</v>
      </c>
      <c r="AB96" s="1401">
        <f t="shared" si="92"/>
        <v>821478.6104845925</v>
      </c>
      <c r="AC96" s="1401">
        <f t="shared" si="93"/>
        <v>821478.6104845925</v>
      </c>
      <c r="AD96" s="1479">
        <f t="shared" si="94"/>
        <v>821478.6104845925</v>
      </c>
      <c r="AE96" s="1479">
        <f t="shared" si="95"/>
        <v>821478.6104845925</v>
      </c>
      <c r="AF96" s="1479">
        <f t="shared" si="96"/>
        <v>821478.6104845925</v>
      </c>
      <c r="AG96" s="1479">
        <f t="shared" si="97"/>
        <v>8214786.1048459252</v>
      </c>
      <c r="AH96" s="1646">
        <f t="shared" si="62"/>
        <v>32859144.419383697</v>
      </c>
    </row>
    <row r="97" spans="1:36" s="1390" customFormat="1" ht="53.25" customHeight="1" x14ac:dyDescent="0.2">
      <c r="A97" s="1391"/>
      <c r="B97" s="1477"/>
      <c r="C97" s="1660">
        <v>85</v>
      </c>
      <c r="D97" s="1455" t="s">
        <v>2654</v>
      </c>
      <c r="E97" s="1501" t="s">
        <v>2845</v>
      </c>
      <c r="F97" s="1501"/>
      <c r="G97" s="1416" t="s">
        <v>43</v>
      </c>
      <c r="H97" s="1416"/>
      <c r="I97" s="1414" t="s">
        <v>736</v>
      </c>
      <c r="J97" s="1416"/>
      <c r="K97" s="1455" t="s">
        <v>2866</v>
      </c>
      <c r="L97" s="1416">
        <v>2010</v>
      </c>
      <c r="M97" s="1429"/>
      <c r="N97" s="1501"/>
      <c r="O97" s="1416"/>
      <c r="P97" s="1414"/>
      <c r="Q97" s="1501" t="s">
        <v>12</v>
      </c>
      <c r="R97" s="1539">
        <v>41073930.524229623</v>
      </c>
      <c r="S97" s="1661"/>
      <c r="T97" s="1490"/>
      <c r="U97" s="1645" t="str">
        <f t="shared" si="98"/>
        <v>03.11.01</v>
      </c>
      <c r="V97" s="1478" t="str">
        <f t="shared" si="63"/>
        <v>Bangunan Gedung Tempat Kerja</v>
      </c>
      <c r="W97" s="1478">
        <f t="shared" si="64"/>
        <v>50</v>
      </c>
      <c r="X97" s="1401">
        <f t="shared" si="99"/>
        <v>821478.6104845925</v>
      </c>
      <c r="Y97" s="1629">
        <f t="shared" si="89"/>
        <v>4</v>
      </c>
      <c r="Z97" s="1401">
        <f t="shared" si="90"/>
        <v>3285914.44193837</v>
      </c>
      <c r="AA97" s="1401">
        <f t="shared" si="91"/>
        <v>821478.6104845925</v>
      </c>
      <c r="AB97" s="1401">
        <f t="shared" si="92"/>
        <v>821478.6104845925</v>
      </c>
      <c r="AC97" s="1401">
        <f t="shared" si="93"/>
        <v>821478.6104845925</v>
      </c>
      <c r="AD97" s="1479">
        <f t="shared" si="94"/>
        <v>821478.6104845925</v>
      </c>
      <c r="AE97" s="1479">
        <f t="shared" si="95"/>
        <v>821478.6104845925</v>
      </c>
      <c r="AF97" s="1479">
        <f t="shared" si="96"/>
        <v>821478.6104845925</v>
      </c>
      <c r="AG97" s="1479">
        <f t="shared" si="97"/>
        <v>8214786.1048459252</v>
      </c>
      <c r="AH97" s="1646">
        <f t="shared" si="62"/>
        <v>32859144.419383697</v>
      </c>
    </row>
    <row r="98" spans="1:36" s="1390" customFormat="1" ht="53.25" customHeight="1" x14ac:dyDescent="0.2">
      <c r="A98" s="1391"/>
      <c r="B98" s="1477"/>
      <c r="C98" s="1660">
        <v>86</v>
      </c>
      <c r="D98" s="1455" t="s">
        <v>2655</v>
      </c>
      <c r="E98" s="1501" t="s">
        <v>2845</v>
      </c>
      <c r="F98" s="1501"/>
      <c r="G98" s="1416" t="s">
        <v>43</v>
      </c>
      <c r="H98" s="1416"/>
      <c r="I98" s="1414" t="s">
        <v>736</v>
      </c>
      <c r="J98" s="1416"/>
      <c r="K98" s="1455" t="s">
        <v>826</v>
      </c>
      <c r="L98" s="1416">
        <v>2010</v>
      </c>
      <c r="M98" s="1429"/>
      <c r="N98" s="1501"/>
      <c r="O98" s="1416"/>
      <c r="P98" s="1414"/>
      <c r="Q98" s="1501" t="s">
        <v>12</v>
      </c>
      <c r="R98" s="1539">
        <v>20536965.262114812</v>
      </c>
      <c r="S98" s="1661"/>
      <c r="T98" s="1490"/>
      <c r="U98" s="1645" t="str">
        <f t="shared" si="98"/>
        <v>03.11.01</v>
      </c>
      <c r="V98" s="1478" t="str">
        <f t="shared" si="63"/>
        <v>Bangunan Gedung Tempat Kerja</v>
      </c>
      <c r="W98" s="1478">
        <f t="shared" si="64"/>
        <v>50</v>
      </c>
      <c r="X98" s="1401">
        <f t="shared" si="99"/>
        <v>410739.30524229625</v>
      </c>
      <c r="Y98" s="1629">
        <f t="shared" si="89"/>
        <v>4</v>
      </c>
      <c r="Z98" s="1401">
        <f t="shared" si="90"/>
        <v>1642957.220969185</v>
      </c>
      <c r="AA98" s="1401">
        <f t="shared" si="91"/>
        <v>410739.30524229625</v>
      </c>
      <c r="AB98" s="1401">
        <f t="shared" si="92"/>
        <v>410739.30524229625</v>
      </c>
      <c r="AC98" s="1401">
        <f t="shared" si="93"/>
        <v>410739.30524229625</v>
      </c>
      <c r="AD98" s="1479">
        <f t="shared" si="94"/>
        <v>410739.30524229625</v>
      </c>
      <c r="AE98" s="1479">
        <f t="shared" si="95"/>
        <v>410739.30524229625</v>
      </c>
      <c r="AF98" s="1479">
        <f t="shared" si="96"/>
        <v>410739.30524229625</v>
      </c>
      <c r="AG98" s="1479">
        <f t="shared" si="97"/>
        <v>4107393.0524229626</v>
      </c>
      <c r="AH98" s="1646">
        <f t="shared" ref="AH98:AH139" si="100">R98-AG98</f>
        <v>16429572.209691849</v>
      </c>
    </row>
    <row r="99" spans="1:36" s="1390" customFormat="1" ht="53.25" customHeight="1" x14ac:dyDescent="0.2">
      <c r="A99" s="1391"/>
      <c r="B99" s="1477"/>
      <c r="C99" s="1660">
        <v>87</v>
      </c>
      <c r="D99" s="1455" t="s">
        <v>2656</v>
      </c>
      <c r="E99" s="1501" t="s">
        <v>2845</v>
      </c>
      <c r="F99" s="1501"/>
      <c r="G99" s="1416" t="s">
        <v>43</v>
      </c>
      <c r="H99" s="1416"/>
      <c r="I99" s="1414" t="s">
        <v>736</v>
      </c>
      <c r="J99" s="1416"/>
      <c r="K99" s="1455" t="s">
        <v>2867</v>
      </c>
      <c r="L99" s="1416">
        <v>2010</v>
      </c>
      <c r="M99" s="1429"/>
      <c r="N99" s="1501"/>
      <c r="O99" s="1416"/>
      <c r="P99" s="1414"/>
      <c r="Q99" s="1501" t="s">
        <v>12</v>
      </c>
      <c r="R99" s="1539">
        <v>41073930.524229623</v>
      </c>
      <c r="S99" s="1661"/>
      <c r="T99" s="1490"/>
      <c r="U99" s="1645" t="str">
        <f t="shared" si="98"/>
        <v>03.11.01</v>
      </c>
      <c r="V99" s="1478" t="str">
        <f t="shared" si="63"/>
        <v>Bangunan Gedung Tempat Kerja</v>
      </c>
      <c r="W99" s="1478">
        <f t="shared" si="64"/>
        <v>50</v>
      </c>
      <c r="X99" s="1401">
        <f t="shared" si="99"/>
        <v>821478.6104845925</v>
      </c>
      <c r="Y99" s="1629">
        <f t="shared" si="89"/>
        <v>4</v>
      </c>
      <c r="Z99" s="1401">
        <f t="shared" si="90"/>
        <v>3285914.44193837</v>
      </c>
      <c r="AA99" s="1401">
        <f t="shared" si="91"/>
        <v>821478.6104845925</v>
      </c>
      <c r="AB99" s="1401">
        <f t="shared" si="92"/>
        <v>821478.6104845925</v>
      </c>
      <c r="AC99" s="1401">
        <f t="shared" si="93"/>
        <v>821478.6104845925</v>
      </c>
      <c r="AD99" s="1479">
        <f t="shared" si="94"/>
        <v>821478.6104845925</v>
      </c>
      <c r="AE99" s="1479">
        <f t="shared" si="95"/>
        <v>821478.6104845925</v>
      </c>
      <c r="AF99" s="1479">
        <f t="shared" si="96"/>
        <v>821478.6104845925</v>
      </c>
      <c r="AG99" s="1479">
        <f t="shared" si="97"/>
        <v>8214786.1048459252</v>
      </c>
      <c r="AH99" s="1646">
        <f t="shared" si="100"/>
        <v>32859144.419383697</v>
      </c>
    </row>
    <row r="100" spans="1:36" s="1390" customFormat="1" ht="53.25" customHeight="1" x14ac:dyDescent="0.2">
      <c r="A100" s="1391"/>
      <c r="B100" s="1477"/>
      <c r="C100" s="1660">
        <v>88</v>
      </c>
      <c r="D100" s="1455" t="s">
        <v>2657</v>
      </c>
      <c r="E100" s="1501" t="s">
        <v>2845</v>
      </c>
      <c r="F100" s="1501"/>
      <c r="G100" s="1416" t="s">
        <v>43</v>
      </c>
      <c r="H100" s="1416"/>
      <c r="I100" s="1414" t="s">
        <v>736</v>
      </c>
      <c r="J100" s="1416"/>
      <c r="K100" s="1455" t="s">
        <v>2868</v>
      </c>
      <c r="L100" s="1416">
        <v>2010</v>
      </c>
      <c r="M100" s="1429"/>
      <c r="N100" s="1501"/>
      <c r="O100" s="1416"/>
      <c r="P100" s="1414"/>
      <c r="Q100" s="1501" t="s">
        <v>12</v>
      </c>
      <c r="R100" s="1539">
        <v>41073930.524229623</v>
      </c>
      <c r="S100" s="1661"/>
      <c r="T100" s="1490"/>
      <c r="U100" s="1645" t="str">
        <f t="shared" si="98"/>
        <v>03.11.01</v>
      </c>
      <c r="V100" s="1478" t="str">
        <f t="shared" si="63"/>
        <v>Bangunan Gedung Tempat Kerja</v>
      </c>
      <c r="W100" s="1478">
        <f t="shared" si="64"/>
        <v>50</v>
      </c>
      <c r="X100" s="1401">
        <f t="shared" si="99"/>
        <v>821478.6104845925</v>
      </c>
      <c r="Y100" s="1629">
        <f t="shared" si="89"/>
        <v>4</v>
      </c>
      <c r="Z100" s="1401">
        <f t="shared" si="90"/>
        <v>3285914.44193837</v>
      </c>
      <c r="AA100" s="1401">
        <f t="shared" si="91"/>
        <v>821478.6104845925</v>
      </c>
      <c r="AB100" s="1401">
        <f t="shared" si="92"/>
        <v>821478.6104845925</v>
      </c>
      <c r="AC100" s="1401">
        <f t="shared" si="93"/>
        <v>821478.6104845925</v>
      </c>
      <c r="AD100" s="1479">
        <f t="shared" si="94"/>
        <v>821478.6104845925</v>
      </c>
      <c r="AE100" s="1479">
        <f t="shared" si="95"/>
        <v>821478.6104845925</v>
      </c>
      <c r="AF100" s="1479">
        <f t="shared" si="96"/>
        <v>821478.6104845925</v>
      </c>
      <c r="AG100" s="1479">
        <f t="shared" si="97"/>
        <v>8214786.1048459252</v>
      </c>
      <c r="AH100" s="1646">
        <f t="shared" si="100"/>
        <v>32859144.419383697</v>
      </c>
    </row>
    <row r="101" spans="1:36" s="1390" customFormat="1" ht="53.25" customHeight="1" x14ac:dyDescent="0.2">
      <c r="A101" s="1391"/>
      <c r="B101" s="1477"/>
      <c r="C101" s="1660">
        <v>89</v>
      </c>
      <c r="D101" s="1455" t="s">
        <v>2658</v>
      </c>
      <c r="E101" s="1501" t="s">
        <v>2845</v>
      </c>
      <c r="F101" s="1501"/>
      <c r="G101" s="1416" t="s">
        <v>43</v>
      </c>
      <c r="H101" s="1416"/>
      <c r="I101" s="1414" t="s">
        <v>736</v>
      </c>
      <c r="J101" s="1416"/>
      <c r="K101" s="1455" t="s">
        <v>2869</v>
      </c>
      <c r="L101" s="1416">
        <v>2010</v>
      </c>
      <c r="M101" s="1429"/>
      <c r="N101" s="1501"/>
      <c r="O101" s="1416"/>
      <c r="P101" s="1414"/>
      <c r="Q101" s="1501" t="s">
        <v>12</v>
      </c>
      <c r="R101" s="1539">
        <v>20536965.262114812</v>
      </c>
      <c r="S101" s="1661"/>
      <c r="T101" s="1490"/>
      <c r="U101" s="1645" t="str">
        <f t="shared" ref="U101:U108" si="101">LEFT(E101,8)</f>
        <v>03.11.01</v>
      </c>
      <c r="V101" s="1478" t="str">
        <f t="shared" si="63"/>
        <v>Bangunan Gedung Tempat Kerja</v>
      </c>
      <c r="W101" s="1478">
        <f t="shared" si="64"/>
        <v>50</v>
      </c>
      <c r="X101" s="1401">
        <f t="shared" si="99"/>
        <v>410739.30524229625</v>
      </c>
      <c r="Y101" s="1629">
        <f t="shared" si="89"/>
        <v>4</v>
      </c>
      <c r="Z101" s="1401">
        <f t="shared" si="90"/>
        <v>1642957.220969185</v>
      </c>
      <c r="AA101" s="1401">
        <f t="shared" si="91"/>
        <v>410739.30524229625</v>
      </c>
      <c r="AB101" s="1401">
        <f t="shared" si="92"/>
        <v>410739.30524229625</v>
      </c>
      <c r="AC101" s="1401">
        <f t="shared" si="93"/>
        <v>410739.30524229625</v>
      </c>
      <c r="AD101" s="1479">
        <f t="shared" si="94"/>
        <v>410739.30524229625</v>
      </c>
      <c r="AE101" s="1479">
        <f t="shared" si="95"/>
        <v>410739.30524229625</v>
      </c>
      <c r="AF101" s="1479">
        <f t="shared" si="96"/>
        <v>410739.30524229625</v>
      </c>
      <c r="AG101" s="1479">
        <f t="shared" si="97"/>
        <v>4107393.0524229626</v>
      </c>
      <c r="AH101" s="1646">
        <f t="shared" si="100"/>
        <v>16429572.209691849</v>
      </c>
    </row>
    <row r="102" spans="1:36" s="1390" customFormat="1" ht="53.25" customHeight="1" x14ac:dyDescent="0.2">
      <c r="A102" s="1391"/>
      <c r="B102" s="1477"/>
      <c r="C102" s="1660">
        <v>90</v>
      </c>
      <c r="D102" s="1455" t="s">
        <v>2659</v>
      </c>
      <c r="E102" s="1501" t="s">
        <v>2845</v>
      </c>
      <c r="F102" s="1501"/>
      <c r="G102" s="1416" t="s">
        <v>43</v>
      </c>
      <c r="H102" s="1416"/>
      <c r="I102" s="1414" t="s">
        <v>736</v>
      </c>
      <c r="J102" s="1416"/>
      <c r="K102" s="1455" t="s">
        <v>2870</v>
      </c>
      <c r="L102" s="1416">
        <v>2010</v>
      </c>
      <c r="M102" s="1429"/>
      <c r="N102" s="1501"/>
      <c r="O102" s="1416"/>
      <c r="P102" s="1414"/>
      <c r="Q102" s="1501" t="s">
        <v>12</v>
      </c>
      <c r="R102" s="1539">
        <v>41073930.524229623</v>
      </c>
      <c r="S102" s="1661"/>
      <c r="T102" s="1490"/>
      <c r="U102" s="1645" t="str">
        <f t="shared" si="101"/>
        <v>03.11.01</v>
      </c>
      <c r="V102" s="1478" t="str">
        <f t="shared" ref="V102:V144" si="102">VLOOKUP(U102,UE,3)</f>
        <v>Bangunan Gedung Tempat Kerja</v>
      </c>
      <c r="W102" s="1478">
        <f t="shared" ref="W102:W144" si="103">VLOOKUP(U102,UE,4)</f>
        <v>50</v>
      </c>
      <c r="X102" s="1401">
        <f t="shared" si="99"/>
        <v>821478.6104845925</v>
      </c>
      <c r="Y102" s="1629">
        <f t="shared" si="89"/>
        <v>4</v>
      </c>
      <c r="Z102" s="1401">
        <f t="shared" si="90"/>
        <v>3285914.44193837</v>
      </c>
      <c r="AA102" s="1401">
        <f t="shared" si="91"/>
        <v>821478.6104845925</v>
      </c>
      <c r="AB102" s="1401">
        <f t="shared" si="92"/>
        <v>821478.6104845925</v>
      </c>
      <c r="AC102" s="1401">
        <f t="shared" si="93"/>
        <v>821478.6104845925</v>
      </c>
      <c r="AD102" s="1479">
        <f t="shared" si="94"/>
        <v>821478.6104845925</v>
      </c>
      <c r="AE102" s="1479">
        <f t="shared" si="95"/>
        <v>821478.6104845925</v>
      </c>
      <c r="AF102" s="1479">
        <f t="shared" si="96"/>
        <v>821478.6104845925</v>
      </c>
      <c r="AG102" s="1479">
        <f t="shared" si="97"/>
        <v>8214786.1048459252</v>
      </c>
      <c r="AH102" s="1646">
        <f t="shared" si="100"/>
        <v>32859144.419383697</v>
      </c>
    </row>
    <row r="103" spans="1:36" s="1390" customFormat="1" ht="53.25" customHeight="1" x14ac:dyDescent="0.2">
      <c r="A103" s="1391"/>
      <c r="B103" s="1477"/>
      <c r="C103" s="1660">
        <v>91</v>
      </c>
      <c r="D103" s="1455" t="s">
        <v>2660</v>
      </c>
      <c r="E103" s="1501" t="s">
        <v>2845</v>
      </c>
      <c r="F103" s="1501"/>
      <c r="G103" s="1416" t="s">
        <v>43</v>
      </c>
      <c r="H103" s="1416"/>
      <c r="I103" s="1414" t="s">
        <v>736</v>
      </c>
      <c r="J103" s="1416"/>
      <c r="K103" s="1455" t="s">
        <v>2871</v>
      </c>
      <c r="L103" s="1416">
        <v>2010</v>
      </c>
      <c r="M103" s="1429"/>
      <c r="N103" s="1501"/>
      <c r="O103" s="1416"/>
      <c r="P103" s="1414"/>
      <c r="Q103" s="1501" t="s">
        <v>12</v>
      </c>
      <c r="R103" s="1539">
        <v>20536965.262114812</v>
      </c>
      <c r="S103" s="1661"/>
      <c r="T103" s="1490"/>
      <c r="U103" s="1645" t="str">
        <f t="shared" si="101"/>
        <v>03.11.01</v>
      </c>
      <c r="V103" s="1478" t="str">
        <f t="shared" si="102"/>
        <v>Bangunan Gedung Tempat Kerja</v>
      </c>
      <c r="W103" s="1478">
        <f t="shared" si="103"/>
        <v>50</v>
      </c>
      <c r="X103" s="1401">
        <f t="shared" si="99"/>
        <v>410739.30524229625</v>
      </c>
      <c r="Y103" s="1629">
        <f t="shared" si="89"/>
        <v>4</v>
      </c>
      <c r="Z103" s="1401">
        <f t="shared" si="90"/>
        <v>1642957.220969185</v>
      </c>
      <c r="AA103" s="1401">
        <f t="shared" si="91"/>
        <v>410739.30524229625</v>
      </c>
      <c r="AB103" s="1401">
        <f t="shared" si="92"/>
        <v>410739.30524229625</v>
      </c>
      <c r="AC103" s="1401">
        <f t="shared" si="93"/>
        <v>410739.30524229625</v>
      </c>
      <c r="AD103" s="1479">
        <f t="shared" si="94"/>
        <v>410739.30524229625</v>
      </c>
      <c r="AE103" s="1479">
        <f t="shared" si="95"/>
        <v>410739.30524229625</v>
      </c>
      <c r="AF103" s="1479">
        <f t="shared" si="96"/>
        <v>410739.30524229625</v>
      </c>
      <c r="AG103" s="1479">
        <f t="shared" si="97"/>
        <v>4107393.0524229626</v>
      </c>
      <c r="AH103" s="1646">
        <f t="shared" si="100"/>
        <v>16429572.209691849</v>
      </c>
    </row>
    <row r="104" spans="1:36" s="1390" customFormat="1" ht="53.25" customHeight="1" x14ac:dyDescent="0.2">
      <c r="A104" s="1391"/>
      <c r="B104" s="1477"/>
      <c r="C104" s="1660">
        <v>92</v>
      </c>
      <c r="D104" s="1455" t="s">
        <v>2661</v>
      </c>
      <c r="E104" s="1501" t="s">
        <v>2845</v>
      </c>
      <c r="F104" s="1501"/>
      <c r="G104" s="1416" t="s">
        <v>43</v>
      </c>
      <c r="H104" s="1416"/>
      <c r="I104" s="1414" t="s">
        <v>736</v>
      </c>
      <c r="J104" s="1416"/>
      <c r="K104" s="1455" t="s">
        <v>2872</v>
      </c>
      <c r="L104" s="1416">
        <v>2010</v>
      </c>
      <c r="M104" s="1429"/>
      <c r="N104" s="1501"/>
      <c r="O104" s="1416"/>
      <c r="P104" s="1414"/>
      <c r="Q104" s="1501" t="s">
        <v>12</v>
      </c>
      <c r="R104" s="1539">
        <v>20536965.262114812</v>
      </c>
      <c r="S104" s="1661"/>
      <c r="T104" s="1490"/>
      <c r="U104" s="1645" t="str">
        <f t="shared" si="101"/>
        <v>03.11.01</v>
      </c>
      <c r="V104" s="1478" t="str">
        <f t="shared" si="102"/>
        <v>Bangunan Gedung Tempat Kerja</v>
      </c>
      <c r="W104" s="1478">
        <f t="shared" si="103"/>
        <v>50</v>
      </c>
      <c r="X104" s="1401">
        <f t="shared" si="99"/>
        <v>410739.30524229625</v>
      </c>
      <c r="Y104" s="1629">
        <f t="shared" si="89"/>
        <v>4</v>
      </c>
      <c r="Z104" s="1401">
        <f t="shared" si="90"/>
        <v>1642957.220969185</v>
      </c>
      <c r="AA104" s="1401">
        <f t="shared" si="91"/>
        <v>410739.30524229625</v>
      </c>
      <c r="AB104" s="1401">
        <f t="shared" si="92"/>
        <v>410739.30524229625</v>
      </c>
      <c r="AC104" s="1401">
        <f t="shared" si="93"/>
        <v>410739.30524229625</v>
      </c>
      <c r="AD104" s="1479">
        <f t="shared" si="94"/>
        <v>410739.30524229625</v>
      </c>
      <c r="AE104" s="1479">
        <f t="shared" si="95"/>
        <v>410739.30524229625</v>
      </c>
      <c r="AF104" s="1479">
        <f t="shared" si="96"/>
        <v>410739.30524229625</v>
      </c>
      <c r="AG104" s="1479">
        <f t="shared" si="97"/>
        <v>4107393.0524229626</v>
      </c>
      <c r="AH104" s="1646">
        <f t="shared" si="100"/>
        <v>16429572.209691849</v>
      </c>
    </row>
    <row r="105" spans="1:36" s="1390" customFormat="1" ht="53.25" customHeight="1" x14ac:dyDescent="0.2">
      <c r="A105" s="1391"/>
      <c r="B105" s="1477"/>
      <c r="C105" s="1660">
        <v>93</v>
      </c>
      <c r="D105" s="1455" t="s">
        <v>2662</v>
      </c>
      <c r="E105" s="1501" t="s">
        <v>2845</v>
      </c>
      <c r="F105" s="1501"/>
      <c r="G105" s="1416" t="s">
        <v>43</v>
      </c>
      <c r="H105" s="1416"/>
      <c r="I105" s="1414" t="s">
        <v>736</v>
      </c>
      <c r="J105" s="1416"/>
      <c r="K105" s="1455" t="s">
        <v>2873</v>
      </c>
      <c r="L105" s="1416">
        <v>2010</v>
      </c>
      <c r="M105" s="1429"/>
      <c r="N105" s="1501"/>
      <c r="O105" s="1416"/>
      <c r="P105" s="1414"/>
      <c r="Q105" s="1501" t="s">
        <v>12</v>
      </c>
      <c r="R105" s="1539">
        <v>41073930.524229623</v>
      </c>
      <c r="S105" s="1661"/>
      <c r="T105" s="1490"/>
      <c r="U105" s="1645" t="str">
        <f t="shared" si="101"/>
        <v>03.11.01</v>
      </c>
      <c r="V105" s="1478" t="str">
        <f t="shared" si="102"/>
        <v>Bangunan Gedung Tempat Kerja</v>
      </c>
      <c r="W105" s="1478">
        <f t="shared" si="103"/>
        <v>50</v>
      </c>
      <c r="X105" s="1401">
        <f t="shared" si="99"/>
        <v>821478.6104845925</v>
      </c>
      <c r="Y105" s="1629">
        <f t="shared" si="89"/>
        <v>4</v>
      </c>
      <c r="Z105" s="1401">
        <f t="shared" si="90"/>
        <v>3285914.44193837</v>
      </c>
      <c r="AA105" s="1401">
        <f t="shared" si="91"/>
        <v>821478.6104845925</v>
      </c>
      <c r="AB105" s="1401">
        <f t="shared" si="92"/>
        <v>821478.6104845925</v>
      </c>
      <c r="AC105" s="1401">
        <f t="shared" si="93"/>
        <v>821478.6104845925</v>
      </c>
      <c r="AD105" s="1479">
        <f t="shared" si="94"/>
        <v>821478.6104845925</v>
      </c>
      <c r="AE105" s="1479">
        <f t="shared" si="95"/>
        <v>821478.6104845925</v>
      </c>
      <c r="AF105" s="1479">
        <f t="shared" si="96"/>
        <v>821478.6104845925</v>
      </c>
      <c r="AG105" s="1479">
        <f t="shared" si="97"/>
        <v>8214786.1048459252</v>
      </c>
      <c r="AH105" s="1646">
        <f t="shared" si="100"/>
        <v>32859144.419383697</v>
      </c>
    </row>
    <row r="106" spans="1:36" s="1390" customFormat="1" ht="53.25" customHeight="1" x14ac:dyDescent="0.2">
      <c r="A106" s="1391"/>
      <c r="B106" s="1477"/>
      <c r="C106" s="1660">
        <v>94</v>
      </c>
      <c r="D106" s="1455" t="s">
        <v>2663</v>
      </c>
      <c r="E106" s="1501" t="s">
        <v>2845</v>
      </c>
      <c r="F106" s="1501"/>
      <c r="G106" s="1416" t="s">
        <v>43</v>
      </c>
      <c r="H106" s="1416"/>
      <c r="I106" s="1414" t="s">
        <v>736</v>
      </c>
      <c r="J106" s="1416"/>
      <c r="K106" s="1455" t="s">
        <v>2874</v>
      </c>
      <c r="L106" s="1416">
        <v>2010</v>
      </c>
      <c r="M106" s="1429"/>
      <c r="N106" s="1501"/>
      <c r="O106" s="1416"/>
      <c r="P106" s="1414"/>
      <c r="Q106" s="1501" t="s">
        <v>12</v>
      </c>
      <c r="R106" s="1539">
        <v>20536965.262114812</v>
      </c>
      <c r="S106" s="1661"/>
      <c r="T106" s="1490"/>
      <c r="U106" s="1645" t="str">
        <f t="shared" si="101"/>
        <v>03.11.01</v>
      </c>
      <c r="V106" s="1478" t="str">
        <f t="shared" si="102"/>
        <v>Bangunan Gedung Tempat Kerja</v>
      </c>
      <c r="W106" s="1478">
        <f t="shared" si="103"/>
        <v>50</v>
      </c>
      <c r="X106" s="1401">
        <f t="shared" si="99"/>
        <v>410739.30524229625</v>
      </c>
      <c r="Y106" s="1629">
        <f t="shared" si="89"/>
        <v>4</v>
      </c>
      <c r="Z106" s="1401">
        <f t="shared" si="90"/>
        <v>1642957.220969185</v>
      </c>
      <c r="AA106" s="1401">
        <f t="shared" si="91"/>
        <v>410739.30524229625</v>
      </c>
      <c r="AB106" s="1401">
        <f t="shared" si="92"/>
        <v>410739.30524229625</v>
      </c>
      <c r="AC106" s="1401">
        <f t="shared" si="93"/>
        <v>410739.30524229625</v>
      </c>
      <c r="AD106" s="1479">
        <f t="shared" si="94"/>
        <v>410739.30524229625</v>
      </c>
      <c r="AE106" s="1479">
        <f t="shared" si="95"/>
        <v>410739.30524229625</v>
      </c>
      <c r="AF106" s="1479">
        <f t="shared" si="96"/>
        <v>410739.30524229625</v>
      </c>
      <c r="AG106" s="1479">
        <f t="shared" si="97"/>
        <v>4107393.0524229626</v>
      </c>
      <c r="AH106" s="1646">
        <f t="shared" si="100"/>
        <v>16429572.209691849</v>
      </c>
    </row>
    <row r="107" spans="1:36" s="1390" customFormat="1" ht="53.25" customHeight="1" x14ac:dyDescent="0.2">
      <c r="A107" s="1391"/>
      <c r="B107" s="1477"/>
      <c r="C107" s="1660">
        <v>95</v>
      </c>
      <c r="D107" s="1455" t="s">
        <v>2664</v>
      </c>
      <c r="E107" s="1501" t="s">
        <v>2845</v>
      </c>
      <c r="F107" s="1501"/>
      <c r="G107" s="1416" t="s">
        <v>43</v>
      </c>
      <c r="H107" s="1416"/>
      <c r="I107" s="1414" t="s">
        <v>736</v>
      </c>
      <c r="J107" s="1416"/>
      <c r="K107" s="1455" t="s">
        <v>2875</v>
      </c>
      <c r="L107" s="1416">
        <v>2010</v>
      </c>
      <c r="M107" s="1429"/>
      <c r="N107" s="1501"/>
      <c r="O107" s="1416"/>
      <c r="P107" s="1414"/>
      <c r="Q107" s="1501" t="s">
        <v>12</v>
      </c>
      <c r="R107" s="1539">
        <v>41073930.524229623</v>
      </c>
      <c r="S107" s="1661"/>
      <c r="T107" s="1490"/>
      <c r="U107" s="1645" t="str">
        <f t="shared" si="101"/>
        <v>03.11.01</v>
      </c>
      <c r="V107" s="1478" t="str">
        <f t="shared" si="102"/>
        <v>Bangunan Gedung Tempat Kerja</v>
      </c>
      <c r="W107" s="1478">
        <f t="shared" si="103"/>
        <v>50</v>
      </c>
      <c r="X107" s="1401">
        <f t="shared" si="99"/>
        <v>821478.6104845925</v>
      </c>
      <c r="Y107" s="1629">
        <f t="shared" si="89"/>
        <v>4</v>
      </c>
      <c r="Z107" s="1401">
        <f t="shared" si="90"/>
        <v>3285914.44193837</v>
      </c>
      <c r="AA107" s="1401">
        <f t="shared" si="91"/>
        <v>821478.6104845925</v>
      </c>
      <c r="AB107" s="1401">
        <f t="shared" si="92"/>
        <v>821478.6104845925</v>
      </c>
      <c r="AC107" s="1401">
        <f t="shared" si="93"/>
        <v>821478.6104845925</v>
      </c>
      <c r="AD107" s="1479">
        <f t="shared" si="94"/>
        <v>821478.6104845925</v>
      </c>
      <c r="AE107" s="1479">
        <f t="shared" si="95"/>
        <v>821478.6104845925</v>
      </c>
      <c r="AF107" s="1479">
        <f t="shared" si="96"/>
        <v>821478.6104845925</v>
      </c>
      <c r="AG107" s="1479">
        <f t="shared" si="97"/>
        <v>8214786.1048459252</v>
      </c>
      <c r="AH107" s="1646">
        <f t="shared" si="100"/>
        <v>32859144.419383697</v>
      </c>
    </row>
    <row r="108" spans="1:36" s="1390" customFormat="1" ht="43.5" customHeight="1" x14ac:dyDescent="0.2">
      <c r="A108" s="1391">
        <v>17</v>
      </c>
      <c r="B108" s="1477" t="s">
        <v>2827</v>
      </c>
      <c r="C108" s="1660">
        <v>96</v>
      </c>
      <c r="D108" s="1455" t="s">
        <v>5772</v>
      </c>
      <c r="E108" s="1501" t="s">
        <v>2846</v>
      </c>
      <c r="F108" s="1501" t="s">
        <v>39</v>
      </c>
      <c r="G108" s="1416" t="s">
        <v>43</v>
      </c>
      <c r="H108" s="1416" t="s">
        <v>2492</v>
      </c>
      <c r="I108" s="1414" t="s">
        <v>736</v>
      </c>
      <c r="J108" s="1416"/>
      <c r="K108" s="1455" t="s">
        <v>2998</v>
      </c>
      <c r="L108" s="1416">
        <v>2009</v>
      </c>
      <c r="M108" s="1429" t="s">
        <v>5332</v>
      </c>
      <c r="N108" s="1501"/>
      <c r="O108" s="1416"/>
      <c r="P108" s="1414"/>
      <c r="Q108" s="1501" t="s">
        <v>12</v>
      </c>
      <c r="R108" s="1539">
        <v>2691721709.8382602</v>
      </c>
      <c r="S108" s="1661"/>
      <c r="T108" s="1490"/>
      <c r="U108" s="1522" t="str">
        <f t="shared" si="101"/>
        <v>03.11.02</v>
      </c>
      <c r="V108" s="1478" t="str">
        <f t="shared" si="102"/>
        <v>Bangunan Gedung Tempat Tinggal</v>
      </c>
      <c r="W108" s="1478">
        <f t="shared" si="103"/>
        <v>50</v>
      </c>
      <c r="X108" s="1401"/>
      <c r="Y108" s="1629"/>
      <c r="Z108" s="1401">
        <f>SUM('PERHITUNGAN (C)'!U295:U297)</f>
        <v>248864670.98382628</v>
      </c>
      <c r="AA108" s="1479">
        <f>SUMIF('PERHITUNGAN (C)'!$A:$A,'KIB C'!B108&amp;'KIB C'!$AA$7,'PERHITUNGAN (C)'!$U:$U)</f>
        <v>49772934.196765251</v>
      </c>
      <c r="AB108" s="1479">
        <f>SUMIF('PERHITUNGAN (C)'!$A:$A,'KIB C'!B108&amp;'KIB C'!$AB$7,'PERHITUNGAN (C)'!$U:$U)</f>
        <v>49772934.196765251</v>
      </c>
      <c r="AC108" s="1479">
        <f>SUMIF('PERHITUNGAN (C)'!$A:$A,'KIB C'!B108&amp;'KIB C'!$AC$7,'PERHITUNGAN (C)'!$U:$U)</f>
        <v>49772934.196765251</v>
      </c>
      <c r="AD108" s="1479">
        <f>SUMIF('PERHITUNGAN (C)'!$A:$A,'KIB C'!B108&amp;'KIB C'!$AD$7,'PERHITUNGAN (C)'!$U:$U)</f>
        <v>48798685.877960429</v>
      </c>
      <c r="AE108" s="1479">
        <f>SUMIF('PERHITUNGAN (C)'!$A:$A,'KIB C'!B108&amp;'KIB C'!$AE$7,'PERHITUNGAN (C)'!$U:$U)</f>
        <v>48798685.877960429</v>
      </c>
      <c r="AF108" s="1479">
        <f>SUMIF('PERHITUNGAN (C)'!$A:$A,'KIB C'!B108&amp;'KIB C'!$AF$7,'PERHITUNGAN (C)'!$U:$U)</f>
        <v>48798685.877960429</v>
      </c>
      <c r="AG108" s="1479">
        <f t="shared" ref="AG108:AG117" si="104">SUM(Z108:AF108)</f>
        <v>544579531.20800328</v>
      </c>
      <c r="AH108" s="1646">
        <f t="shared" si="100"/>
        <v>2147142178.6302569</v>
      </c>
      <c r="AJ108" s="1443">
        <f t="shared" ref="AJ108:AJ113" si="105">SUM(Z108:AE108)</f>
        <v>495780845.3300429</v>
      </c>
    </row>
    <row r="109" spans="1:36" s="1390" customFormat="1" ht="40.5" customHeight="1" x14ac:dyDescent="0.2">
      <c r="A109" s="1391">
        <v>18</v>
      </c>
      <c r="B109" s="1477" t="s">
        <v>2828</v>
      </c>
      <c r="C109" s="1660">
        <v>97</v>
      </c>
      <c r="D109" s="1455" t="s">
        <v>5773</v>
      </c>
      <c r="E109" s="1501" t="s">
        <v>2846</v>
      </c>
      <c r="F109" s="1501" t="s">
        <v>39</v>
      </c>
      <c r="G109" s="1416" t="s">
        <v>43</v>
      </c>
      <c r="H109" s="1416" t="s">
        <v>2492</v>
      </c>
      <c r="I109" s="1414" t="s">
        <v>736</v>
      </c>
      <c r="J109" s="1416"/>
      <c r="K109" s="1455" t="s">
        <v>2998</v>
      </c>
      <c r="L109" s="1416">
        <v>2009</v>
      </c>
      <c r="M109" s="1429" t="s">
        <v>5333</v>
      </c>
      <c r="N109" s="1501"/>
      <c r="O109" s="1416"/>
      <c r="P109" s="1414"/>
      <c r="Q109" s="1501" t="s">
        <v>12</v>
      </c>
      <c r="R109" s="1539">
        <v>1827649171.2309201</v>
      </c>
      <c r="S109" s="1661"/>
      <c r="T109" s="1490"/>
      <c r="U109" s="1522" t="str">
        <f t="shared" ref="U109:U116" si="106">LEFT(E109,8)</f>
        <v>03.11.02</v>
      </c>
      <c r="V109" s="1478" t="str">
        <f t="shared" si="102"/>
        <v>Bangunan Gedung Tempat Tinggal</v>
      </c>
      <c r="W109" s="1478">
        <f t="shared" si="103"/>
        <v>50</v>
      </c>
      <c r="X109" s="1401"/>
      <c r="Y109" s="1629"/>
      <c r="Z109" s="1401">
        <f>SUM('PERHITUNGAN (C)'!U312:U314)</f>
        <v>162455817.123092</v>
      </c>
      <c r="AA109" s="1479">
        <f>SUMIF('PERHITUNGAN (C)'!$A:$A,'KIB C'!B109&amp;'KIB C'!$AA$7,'PERHITUNGAN (C)'!$U:$U)</f>
        <v>32491163.424618401</v>
      </c>
      <c r="AB109" s="1479">
        <f>SUMIF('PERHITUNGAN (C)'!$A:$A,'KIB C'!B109&amp;'KIB C'!$AB$7,'PERHITUNGAN (C)'!$U:$U)</f>
        <v>32491163.424618401</v>
      </c>
      <c r="AC109" s="1479">
        <f>SUMIF('PERHITUNGAN (C)'!$A:$A,'KIB C'!B109&amp;'KIB C'!$AC$7,'PERHITUNGAN (C)'!$U:$U)</f>
        <v>32491163.424618401</v>
      </c>
      <c r="AD109" s="1479">
        <f>SUMIF('PERHITUNGAN (C)'!$A:$A,'KIB C'!B109&amp;'KIB C'!$AD$7,'PERHITUNGAN (C)'!$U:$U)</f>
        <v>33355741.783701543</v>
      </c>
      <c r="AE109" s="1479">
        <f>SUMIF('PERHITUNGAN (C)'!$A:$A,'KIB C'!B109&amp;'KIB C'!$AE$7,'PERHITUNGAN (C)'!$U:$U)</f>
        <v>33355741.783701543</v>
      </c>
      <c r="AF109" s="1479">
        <f>SUMIF('PERHITUNGAN (C)'!$A:$A,'KIB C'!B109&amp;'KIB C'!$AF$7,'PERHITUNGAN (C)'!$U:$U)</f>
        <v>33355741.783701543</v>
      </c>
      <c r="AG109" s="1479">
        <f t="shared" si="104"/>
        <v>359996532.74805182</v>
      </c>
      <c r="AH109" s="1646">
        <f t="shared" si="100"/>
        <v>1467652638.4828682</v>
      </c>
      <c r="AJ109" s="1443">
        <f t="shared" si="105"/>
        <v>326640790.96435028</v>
      </c>
    </row>
    <row r="110" spans="1:36" s="1390" customFormat="1" ht="40.5" customHeight="1" x14ac:dyDescent="0.2">
      <c r="A110" s="1391">
        <v>19</v>
      </c>
      <c r="B110" s="1477" t="s">
        <v>4364</v>
      </c>
      <c r="C110" s="1660">
        <v>98</v>
      </c>
      <c r="D110" s="1455" t="s">
        <v>5774</v>
      </c>
      <c r="E110" s="1501" t="s">
        <v>2846</v>
      </c>
      <c r="F110" s="1501" t="s">
        <v>39</v>
      </c>
      <c r="G110" s="1416" t="s">
        <v>43</v>
      </c>
      <c r="H110" s="1416" t="s">
        <v>2492</v>
      </c>
      <c r="I110" s="1414" t="s">
        <v>736</v>
      </c>
      <c r="J110" s="1416"/>
      <c r="K110" s="1455" t="s">
        <v>2998</v>
      </c>
      <c r="L110" s="1416">
        <v>2009</v>
      </c>
      <c r="M110" s="1429" t="s">
        <v>5333</v>
      </c>
      <c r="N110" s="1501"/>
      <c r="O110" s="1416"/>
      <c r="P110" s="1414"/>
      <c r="Q110" s="1501" t="s">
        <v>12</v>
      </c>
      <c r="R110" s="1539">
        <v>1827708171.2309201</v>
      </c>
      <c r="S110" s="1661"/>
      <c r="T110" s="1490"/>
      <c r="U110" s="1522" t="str">
        <f>LEFT(E110,8)</f>
        <v>03.11.02</v>
      </c>
      <c r="V110" s="1478" t="str">
        <f>VLOOKUP(U110,UE,3)</f>
        <v>Bangunan Gedung Tempat Tinggal</v>
      </c>
      <c r="W110" s="1478">
        <f>VLOOKUP(U110,UE,4)</f>
        <v>50</v>
      </c>
      <c r="X110" s="1401"/>
      <c r="Y110" s="1629"/>
      <c r="Z110" s="1401">
        <f>SUM('PERHITUNGAN (C)'!U329:U331)</f>
        <v>162455817.12309217</v>
      </c>
      <c r="AA110" s="1479">
        <f>SUMIF('PERHITUNGAN (C)'!$A:$A,'KIB C'!B110&amp;'KIB C'!$AA$7,'PERHITUNGAN (C)'!$U:$U)</f>
        <v>32491163.424618434</v>
      </c>
      <c r="AB110" s="1479">
        <f>SUMIF('PERHITUNGAN (C)'!$A:$A,'KIB C'!B110&amp;'KIB C'!$AB$7,'PERHITUNGAN (C)'!$U:$U)</f>
        <v>32491163.424618434</v>
      </c>
      <c r="AC110" s="1479">
        <f>SUMIF('PERHITUNGAN (C)'!$A:$A,'KIB C'!B110&amp;'KIB C'!$AC$7,'PERHITUNGAN (C)'!$U:$U)</f>
        <v>32491163.424618434</v>
      </c>
      <c r="AD110" s="1479">
        <f>SUMIF('PERHITUNGAN (C)'!$A:$A,'KIB C'!B110&amp;'KIB C'!$AD$7,'PERHITUNGAN (C)'!$U:$U)</f>
        <v>33356997.102850512</v>
      </c>
      <c r="AE110" s="1479">
        <f>SUMIF('PERHITUNGAN (C)'!$A:$A,'KIB C'!B110&amp;'KIB C'!$AE$7,'PERHITUNGAN (C)'!$U:$U)</f>
        <v>33356997.102850512</v>
      </c>
      <c r="AF110" s="1479">
        <f>SUMIF('PERHITUNGAN (C)'!$A:$A,'KIB C'!B110&amp;'KIB C'!$AF$7,'PERHITUNGAN (C)'!$U:$U)</f>
        <v>33356997.102850512</v>
      </c>
      <c r="AG110" s="1479">
        <f t="shared" si="104"/>
        <v>360000298.70549893</v>
      </c>
      <c r="AH110" s="1646">
        <f t="shared" si="100"/>
        <v>1467707872.5254211</v>
      </c>
      <c r="AJ110" s="1443">
        <f t="shared" si="105"/>
        <v>326643301.60264844</v>
      </c>
    </row>
    <row r="111" spans="1:36" s="1390" customFormat="1" ht="40.5" customHeight="1" x14ac:dyDescent="0.2">
      <c r="A111" s="1391">
        <v>20</v>
      </c>
      <c r="B111" s="1477" t="s">
        <v>3026</v>
      </c>
      <c r="C111" s="1660">
        <v>99</v>
      </c>
      <c r="D111" s="1455" t="s">
        <v>5775</v>
      </c>
      <c r="E111" s="1501" t="s">
        <v>2846</v>
      </c>
      <c r="F111" s="1501" t="s">
        <v>39</v>
      </c>
      <c r="G111" s="1416" t="s">
        <v>43</v>
      </c>
      <c r="H111" s="1416" t="s">
        <v>2492</v>
      </c>
      <c r="I111" s="1414" t="s">
        <v>736</v>
      </c>
      <c r="J111" s="1416"/>
      <c r="K111" s="1455" t="s">
        <v>2998</v>
      </c>
      <c r="L111" s="1416">
        <v>2009</v>
      </c>
      <c r="M111" s="1429" t="s">
        <v>5334</v>
      </c>
      <c r="N111" s="1501"/>
      <c r="O111" s="1416"/>
      <c r="P111" s="1414"/>
      <c r="Q111" s="1501" t="s">
        <v>12</v>
      </c>
      <c r="R111" s="1539">
        <v>1763256912.9821301</v>
      </c>
      <c r="S111" s="1661"/>
      <c r="T111" s="1490"/>
      <c r="U111" s="1522" t="str">
        <f>LEFT(E111,8)</f>
        <v>03.11.02</v>
      </c>
      <c r="V111" s="1478" t="str">
        <f>VLOOKUP(U111,UE,3)</f>
        <v>Bangunan Gedung Tempat Tinggal</v>
      </c>
      <c r="W111" s="1478">
        <f>VLOOKUP(U111,UE,4)</f>
        <v>50</v>
      </c>
      <c r="X111" s="1401"/>
      <c r="Y111" s="1629"/>
      <c r="Z111" s="1401">
        <f>SUM('PERHITUNGAN (C)'!U346:U348)</f>
        <v>156098791.29821265</v>
      </c>
      <c r="AA111" s="1479">
        <f>SUMIF('PERHITUNGAN (C)'!$A:$A,'KIB C'!B111&amp;'KIB C'!$AA$7,'PERHITUNGAN (C)'!$U:$U)</f>
        <v>31219758.259642534</v>
      </c>
      <c r="AB111" s="1479">
        <f>SUMIF('PERHITUNGAN (C)'!$A:$A,'KIB C'!B111&amp;'KIB C'!$AB$7,'PERHITUNGAN (C)'!$U:$U)</f>
        <v>31219758.259642534</v>
      </c>
      <c r="AC111" s="1479">
        <f>SUMIF('PERHITUNGAN (C)'!$A:$A,'KIB C'!B111&amp;'KIB C'!$AC$7,'PERHITUNGAN (C)'!$U:$U)</f>
        <v>31219758.259642534</v>
      </c>
      <c r="AD111" s="1479">
        <f>SUMIF('PERHITUNGAN (C)'!$A:$A,'KIB C'!B111&amp;'KIB C'!$AD$7,'PERHITUNGAN (C)'!$U:$U)</f>
        <v>32202103.125638004</v>
      </c>
      <c r="AE111" s="1479">
        <f>SUMIF('PERHITUNGAN (C)'!$A:$A,'KIB C'!B111&amp;'KIB C'!$AE$7,'PERHITUNGAN (C)'!$U:$U)</f>
        <v>32202103.125638004</v>
      </c>
      <c r="AF111" s="1479">
        <f>SUMIF('PERHITUNGAN (C)'!$A:$A,'KIB C'!B111&amp;'KIB C'!$AF$7,'PERHITUNGAN (C)'!$U:$U)</f>
        <v>32202103.125638004</v>
      </c>
      <c r="AG111" s="1479">
        <f t="shared" si="104"/>
        <v>346364375.4540543</v>
      </c>
      <c r="AH111" s="1646">
        <f t="shared" si="100"/>
        <v>1416892537.5280757</v>
      </c>
      <c r="AJ111" s="1443">
        <f t="shared" si="105"/>
        <v>314162272.32841629</v>
      </c>
    </row>
    <row r="112" spans="1:36" s="1390" customFormat="1" ht="40.5" customHeight="1" x14ac:dyDescent="0.2">
      <c r="A112" s="1391">
        <v>21</v>
      </c>
      <c r="B112" s="1477" t="s">
        <v>4772</v>
      </c>
      <c r="C112" s="1660">
        <v>100</v>
      </c>
      <c r="D112" s="1455" t="s">
        <v>5776</v>
      </c>
      <c r="E112" s="1501" t="s">
        <v>2846</v>
      </c>
      <c r="F112" s="1501" t="s">
        <v>39</v>
      </c>
      <c r="G112" s="1416" t="s">
        <v>43</v>
      </c>
      <c r="H112" s="1416" t="s">
        <v>2492</v>
      </c>
      <c r="I112" s="1414" t="s">
        <v>736</v>
      </c>
      <c r="J112" s="1416"/>
      <c r="K112" s="1455" t="s">
        <v>2998</v>
      </c>
      <c r="L112" s="1416">
        <v>2009</v>
      </c>
      <c r="M112" s="1429" t="s">
        <v>5334</v>
      </c>
      <c r="N112" s="1501"/>
      <c r="O112" s="1416"/>
      <c r="P112" s="1414"/>
      <c r="Q112" s="1501" t="s">
        <v>12</v>
      </c>
      <c r="R112" s="1539">
        <v>1175832940.2820191</v>
      </c>
      <c r="S112" s="1661"/>
      <c r="T112" s="1490"/>
      <c r="U112" s="1522" t="str">
        <f>LEFT(E112,8)</f>
        <v>03.11.02</v>
      </c>
      <c r="V112" s="1478" t="str">
        <f>VLOOKUP(U112,UE,3)</f>
        <v>Bangunan Gedung Tempat Tinggal</v>
      </c>
      <c r="W112" s="1478">
        <f>VLOOKUP(U112,UE,4)</f>
        <v>50</v>
      </c>
      <c r="X112" s="1401"/>
      <c r="Y112" s="1629"/>
      <c r="Z112" s="1401">
        <f>SUM('PERHITUNGAN (C)'!U363:U365)</f>
        <v>97352794.028201923</v>
      </c>
      <c r="AA112" s="1479">
        <f>SUMIF('PERHITUNGAN (C)'!$A:$A,'KIB C'!B112&amp;'KIB C'!$AA$7,'PERHITUNGAN (C)'!$U:$U)</f>
        <v>19470558.805640385</v>
      </c>
      <c r="AB112" s="1479">
        <f>SUMIF('PERHITUNGAN (C)'!$A:$A,'KIB C'!B112&amp;'KIB C'!$AB$7,'PERHITUNGAN (C)'!$U:$U)</f>
        <v>19470558.805640385</v>
      </c>
      <c r="AC112" s="1479">
        <f>SUMIF('PERHITUNGAN (C)'!$A:$A,'KIB C'!B112&amp;'KIB C'!$AC$7,'PERHITUNGAN (C)'!$U:$U)</f>
        <v>19470558.805640385</v>
      </c>
      <c r="AD112" s="1479">
        <f>SUMIF('PERHITUNGAN (C)'!$A:$A,'KIB C'!B112&amp;'KIB C'!$AD$7,'PERHITUNGAN (C)'!$U:$U)</f>
        <v>21703584.464614816</v>
      </c>
      <c r="AE112" s="1479">
        <f>SUMIF('PERHITUNGAN (C)'!$A:$A,'KIB C'!B112&amp;'KIB C'!$AE$7,'PERHITUNGAN (C)'!$U:$U)</f>
        <v>21703584.464614816</v>
      </c>
      <c r="AF112" s="1479">
        <f>SUMIF('PERHITUNGAN (C)'!$A:$A,'KIB C'!B112&amp;'KIB C'!$AF$7,'PERHITUNGAN (C)'!$U:$U)</f>
        <v>21703584.464614816</v>
      </c>
      <c r="AG112" s="1479">
        <f t="shared" si="104"/>
        <v>220875223.8389675</v>
      </c>
      <c r="AH112" s="1646">
        <f t="shared" si="100"/>
        <v>954957716.44305158</v>
      </c>
      <c r="AJ112" s="1443">
        <f t="shared" si="105"/>
        <v>199171639.37435269</v>
      </c>
    </row>
    <row r="113" spans="1:36" s="1390" customFormat="1" ht="40.5" customHeight="1" x14ac:dyDescent="0.2">
      <c r="A113" s="1391">
        <v>22</v>
      </c>
      <c r="B113" s="1477" t="s">
        <v>4773</v>
      </c>
      <c r="C113" s="1660">
        <v>101</v>
      </c>
      <c r="D113" s="1455" t="s">
        <v>5777</v>
      </c>
      <c r="E113" s="1501" t="s">
        <v>2846</v>
      </c>
      <c r="F113" s="1501" t="s">
        <v>39</v>
      </c>
      <c r="G113" s="1416" t="s">
        <v>43</v>
      </c>
      <c r="H113" s="1416" t="s">
        <v>2492</v>
      </c>
      <c r="I113" s="1414" t="s">
        <v>736</v>
      </c>
      <c r="J113" s="1416"/>
      <c r="K113" s="1455" t="s">
        <v>2998</v>
      </c>
      <c r="L113" s="1416">
        <v>2009</v>
      </c>
      <c r="M113" s="1429" t="s">
        <v>5334</v>
      </c>
      <c r="N113" s="1501"/>
      <c r="O113" s="1416"/>
      <c r="P113" s="1414"/>
      <c r="Q113" s="1501" t="s">
        <v>12</v>
      </c>
      <c r="R113" s="1539">
        <v>1514113451.5233099</v>
      </c>
      <c r="S113" s="1661"/>
      <c r="T113" s="1490"/>
      <c r="U113" s="1522" t="str">
        <f>LEFT(E113,8)</f>
        <v>03.11.02</v>
      </c>
      <c r="V113" s="1478" t="str">
        <f>VLOOKUP(U113,UE,3)</f>
        <v>Bangunan Gedung Tempat Tinggal</v>
      </c>
      <c r="W113" s="1478">
        <f>VLOOKUP(U113,UE,4)</f>
        <v>50</v>
      </c>
      <c r="X113" s="1401"/>
      <c r="Y113" s="1629"/>
      <c r="Z113" s="1401">
        <f>SUM('PERHITUNGAN (C)'!U380:U382)</f>
        <v>131178245.15233059</v>
      </c>
      <c r="AA113" s="1479">
        <f>SUMIF('PERHITUNGAN (C)'!$A:$A,'KIB C'!B113&amp;'KIB C'!$AA$7,'PERHITUNGAN (C)'!$U:$U)</f>
        <v>26235649.030466117</v>
      </c>
      <c r="AB113" s="1479">
        <f>SUMIF('PERHITUNGAN (C)'!$A:$A,'KIB C'!B113&amp;'KIB C'!$AB$7,'PERHITUNGAN (C)'!$U:$U)</f>
        <v>26235649.030466117</v>
      </c>
      <c r="AC113" s="1479">
        <f>SUMIF('PERHITUNGAN (C)'!$A:$A,'KIB C'!B113&amp;'KIB C'!$AC$7,'PERHITUNGAN (C)'!$U:$U)</f>
        <v>26235649.030466117</v>
      </c>
      <c r="AD113" s="1479">
        <f>SUMIF('PERHITUNGAN (C)'!$A:$A,'KIB C'!B113&amp;'KIB C'!$AD$7,'PERHITUNGAN (C)'!$U:$U)</f>
        <v>27749537.431480367</v>
      </c>
      <c r="AE113" s="1479">
        <f>SUMIF('PERHITUNGAN (C)'!$A:$A,'KIB C'!B113&amp;'KIB C'!$AE$7,'PERHITUNGAN (C)'!$U:$U)</f>
        <v>27749537.431480367</v>
      </c>
      <c r="AF113" s="1479">
        <f>SUMIF('PERHITUNGAN (C)'!$A:$A,'KIB C'!B113&amp;'KIB C'!$AF$7,'PERHITUNGAN (C)'!$U:$U)</f>
        <v>27749537.431480367</v>
      </c>
      <c r="AG113" s="1479">
        <f t="shared" si="104"/>
        <v>293133804.53817004</v>
      </c>
      <c r="AH113" s="1646">
        <f t="shared" si="100"/>
        <v>1220979646.9851398</v>
      </c>
      <c r="AJ113" s="1443">
        <f t="shared" si="105"/>
        <v>265384267.10668969</v>
      </c>
    </row>
    <row r="114" spans="1:36" s="1390" customFormat="1" ht="40.5" customHeight="1" x14ac:dyDescent="0.2">
      <c r="A114" s="1391"/>
      <c r="B114" s="1477"/>
      <c r="C114" s="1660">
        <v>102</v>
      </c>
      <c r="D114" s="1455" t="s">
        <v>2669</v>
      </c>
      <c r="E114" s="1501" t="s">
        <v>2613</v>
      </c>
      <c r="F114" s="1501" t="s">
        <v>39</v>
      </c>
      <c r="G114" s="1416" t="s">
        <v>43</v>
      </c>
      <c r="H114" s="1416" t="s">
        <v>2492</v>
      </c>
      <c r="I114" s="1414" t="s">
        <v>736</v>
      </c>
      <c r="J114" s="1416"/>
      <c r="K114" s="1455" t="s">
        <v>2863</v>
      </c>
      <c r="L114" s="1416">
        <v>2009</v>
      </c>
      <c r="M114" s="1429" t="s">
        <v>5335</v>
      </c>
      <c r="N114" s="1501"/>
      <c r="O114" s="1416"/>
      <c r="P114" s="1414"/>
      <c r="Q114" s="1501" t="s">
        <v>12</v>
      </c>
      <c r="R114" s="1539">
        <v>2825626654.2934227</v>
      </c>
      <c r="S114" s="1661"/>
      <c r="T114" s="1490"/>
      <c r="U114" s="1645" t="str">
        <f t="shared" si="106"/>
        <v>03.11.01</v>
      </c>
      <c r="V114" s="1478" t="str">
        <f t="shared" si="102"/>
        <v>Bangunan Gedung Tempat Kerja</v>
      </c>
      <c r="W114" s="1478">
        <f t="shared" si="103"/>
        <v>50</v>
      </c>
      <c r="X114" s="1401">
        <f>R114/W114</f>
        <v>56512533.085868455</v>
      </c>
      <c r="Y114" s="1629">
        <f>IF(2013-L114+1&gt;W114,W114,IF(2013-L114+1&lt;0,0,2013-L114+1))</f>
        <v>5</v>
      </c>
      <c r="Z114" s="1401">
        <f>IF(Y114&gt;W114,R114,X114*Y114)</f>
        <v>282562665.42934227</v>
      </c>
      <c r="AA114" s="1401">
        <f>IF(R114=Z114,0,X114)</f>
        <v>56512533.085868455</v>
      </c>
      <c r="AB114" s="1401">
        <f>IF(R114=Z114+AA114,0,X114)</f>
        <v>56512533.085868455</v>
      </c>
      <c r="AC114" s="1401">
        <f>IF(R114=Z114+AA114+AB114,0,X114)</f>
        <v>56512533.085868455</v>
      </c>
      <c r="AD114" s="1479">
        <f>IF(R114=Z114+AA114+AB114+AC114,0,X114)</f>
        <v>56512533.085868455</v>
      </c>
      <c r="AE114" s="1479">
        <f>IF(R114=Z114+AA114+AB114+AC114+AD114,0,X114)</f>
        <v>56512533.085868455</v>
      </c>
      <c r="AF114" s="1479">
        <f>IF(R114=Z114+AA114+AB114+AC114+AD114+AE114,0,X114)</f>
        <v>56512533.085868455</v>
      </c>
      <c r="AG114" s="1479">
        <f t="shared" si="104"/>
        <v>621637863.94455314</v>
      </c>
      <c r="AH114" s="1646">
        <f t="shared" si="100"/>
        <v>2203988790.3488693</v>
      </c>
    </row>
    <row r="115" spans="1:36" s="1390" customFormat="1" ht="40.5" customHeight="1" x14ac:dyDescent="0.2">
      <c r="A115" s="1391"/>
      <c r="B115" s="1477"/>
      <c r="C115" s="1660">
        <v>103</v>
      </c>
      <c r="D115" s="1455" t="s">
        <v>2670</v>
      </c>
      <c r="E115" s="1501" t="s">
        <v>1772</v>
      </c>
      <c r="F115" s="1501" t="s">
        <v>39</v>
      </c>
      <c r="G115" s="1416" t="s">
        <v>43</v>
      </c>
      <c r="H115" s="1416" t="s">
        <v>2492</v>
      </c>
      <c r="I115" s="1414" t="s">
        <v>736</v>
      </c>
      <c r="J115" s="1416"/>
      <c r="K115" s="1455" t="s">
        <v>417</v>
      </c>
      <c r="L115" s="1416">
        <v>2009</v>
      </c>
      <c r="M115" s="1429" t="s">
        <v>5336</v>
      </c>
      <c r="N115" s="1501"/>
      <c r="O115" s="1416"/>
      <c r="P115" s="1414"/>
      <c r="Q115" s="1501" t="s">
        <v>12</v>
      </c>
      <c r="R115" s="1539">
        <v>824027928.92159629</v>
      </c>
      <c r="S115" s="1661"/>
      <c r="T115" s="1490"/>
      <c r="U115" s="1645" t="str">
        <f t="shared" si="106"/>
        <v>03.11.01</v>
      </c>
      <c r="V115" s="1478" t="str">
        <f t="shared" si="102"/>
        <v>Bangunan Gedung Tempat Kerja</v>
      </c>
      <c r="W115" s="1478">
        <f t="shared" si="103"/>
        <v>50</v>
      </c>
      <c r="X115" s="1401">
        <f>R115/W115</f>
        <v>16480558.578431927</v>
      </c>
      <c r="Y115" s="1629">
        <f>IF(2013-L115+1&gt;W115,W115,IF(2013-L115+1&lt;0,0,2013-L115+1))</f>
        <v>5</v>
      </c>
      <c r="Z115" s="1401">
        <f>IF(Y115&gt;W115,R115,X115*Y115)</f>
        <v>82402792.892159641</v>
      </c>
      <c r="AA115" s="1401">
        <f>IF(R115=Z115,0,X115)</f>
        <v>16480558.578431927</v>
      </c>
      <c r="AB115" s="1401">
        <f>IF(R115=Z115+AA115,0,X115)</f>
        <v>16480558.578431927</v>
      </c>
      <c r="AC115" s="1401">
        <f>IF(R115=Z115+AA115+AB115,0,X115)</f>
        <v>16480558.578431927</v>
      </c>
      <c r="AD115" s="1479">
        <f>IF(R115=Z115+AA115+AB115+AC115,0,X115)</f>
        <v>16480558.578431927</v>
      </c>
      <c r="AE115" s="1479">
        <f>IF(R115=Z115+AA115+AB115+AC115+AD115,0,X115)</f>
        <v>16480558.578431927</v>
      </c>
      <c r="AF115" s="1479">
        <f>IF(R115=Z115+AA115+AB115+AC115+AD115+AE115,0,X115)</f>
        <v>16480558.578431927</v>
      </c>
      <c r="AG115" s="1479">
        <f t="shared" si="104"/>
        <v>181286144.36275125</v>
      </c>
      <c r="AH115" s="1646">
        <f t="shared" si="100"/>
        <v>642741784.55884504</v>
      </c>
    </row>
    <row r="116" spans="1:36" s="1390" customFormat="1" ht="40.5" customHeight="1" x14ac:dyDescent="0.2">
      <c r="A116" s="1391"/>
      <c r="B116" s="1477"/>
      <c r="C116" s="1660">
        <v>104</v>
      </c>
      <c r="D116" s="1455" t="s">
        <v>2671</v>
      </c>
      <c r="E116" s="1501" t="s">
        <v>2847</v>
      </c>
      <c r="F116" s="1501" t="s">
        <v>39</v>
      </c>
      <c r="G116" s="1416" t="s">
        <v>43</v>
      </c>
      <c r="H116" s="1416" t="s">
        <v>2492</v>
      </c>
      <c r="I116" s="1414" t="s">
        <v>736</v>
      </c>
      <c r="J116" s="1416"/>
      <c r="K116" s="1455" t="s">
        <v>2878</v>
      </c>
      <c r="L116" s="1416">
        <v>2009</v>
      </c>
      <c r="M116" s="1429" t="s">
        <v>5337</v>
      </c>
      <c r="N116" s="1501"/>
      <c r="O116" s="1416"/>
      <c r="P116" s="1414"/>
      <c r="Q116" s="1501" t="s">
        <v>12</v>
      </c>
      <c r="R116" s="1539">
        <v>755262054.30549741</v>
      </c>
      <c r="S116" s="1661"/>
      <c r="T116" s="1490"/>
      <c r="U116" s="1645" t="str">
        <f t="shared" si="106"/>
        <v>03.11.01</v>
      </c>
      <c r="V116" s="1478" t="str">
        <f t="shared" si="102"/>
        <v>Bangunan Gedung Tempat Kerja</v>
      </c>
      <c r="W116" s="1478">
        <f t="shared" si="103"/>
        <v>50</v>
      </c>
      <c r="X116" s="1401">
        <f>R116/W116</f>
        <v>15105241.086109947</v>
      </c>
      <c r="Y116" s="1629">
        <f>IF(2013-L116+1&gt;W116,W116,IF(2013-L116+1&lt;0,0,2013-L116+1))</f>
        <v>5</v>
      </c>
      <c r="Z116" s="1401">
        <f>IF(Y116&gt;W116,R116,X116*Y116)</f>
        <v>75526205.430549741</v>
      </c>
      <c r="AA116" s="1401">
        <f>IF(R116=Z116,0,X116)</f>
        <v>15105241.086109947</v>
      </c>
      <c r="AB116" s="1401">
        <f>IF(R116=Z116+AA116,0,X116)</f>
        <v>15105241.086109947</v>
      </c>
      <c r="AC116" s="1401">
        <f>IF(R116=Z116+AA116+AB116,0,X116)</f>
        <v>15105241.086109947</v>
      </c>
      <c r="AD116" s="1479">
        <f>IF(R116=Z116+AA116+AB116+AC116,0,X116)</f>
        <v>15105241.086109947</v>
      </c>
      <c r="AE116" s="1479">
        <f>IF(R116=Z116+AA116+AB116+AC116+AD116,0,X116)</f>
        <v>15105241.086109947</v>
      </c>
      <c r="AF116" s="1479">
        <f>IF(R116=Z116+AA116+AB116+AC116+AD116+AE116,0,X116)</f>
        <v>15105241.086109947</v>
      </c>
      <c r="AG116" s="1479">
        <f t="shared" si="104"/>
        <v>166157651.94720942</v>
      </c>
      <c r="AH116" s="1646">
        <f t="shared" si="100"/>
        <v>589104402.35828805</v>
      </c>
    </row>
    <row r="117" spans="1:36" s="1390" customFormat="1" ht="40.5" customHeight="1" x14ac:dyDescent="0.2">
      <c r="A117" s="1391">
        <v>23</v>
      </c>
      <c r="B117" s="1477" t="s">
        <v>2990</v>
      </c>
      <c r="C117" s="1660">
        <v>105</v>
      </c>
      <c r="D117" s="1455" t="s">
        <v>2990</v>
      </c>
      <c r="E117" s="1501" t="s">
        <v>1772</v>
      </c>
      <c r="F117" s="1501" t="s">
        <v>39</v>
      </c>
      <c r="G117" s="1416" t="s">
        <v>43</v>
      </c>
      <c r="H117" s="1416" t="s">
        <v>2492</v>
      </c>
      <c r="I117" s="1414" t="s">
        <v>736</v>
      </c>
      <c r="J117" s="1416">
        <v>420</v>
      </c>
      <c r="K117" s="1455" t="s">
        <v>1095</v>
      </c>
      <c r="L117" s="1416">
        <v>2009</v>
      </c>
      <c r="M117" s="1429" t="s">
        <v>5338</v>
      </c>
      <c r="N117" s="1501"/>
      <c r="O117" s="1416"/>
      <c r="P117" s="1414"/>
      <c r="Q117" s="1501" t="s">
        <v>12</v>
      </c>
      <c r="R117" s="1539">
        <v>1547128664.1561065</v>
      </c>
      <c r="S117" s="1661"/>
      <c r="T117" s="1490"/>
      <c r="U117" s="1522" t="str">
        <f t="shared" ref="U117:U124" si="107">LEFT(E117,8)</f>
        <v>03.11.01</v>
      </c>
      <c r="V117" s="1478" t="str">
        <f t="shared" si="102"/>
        <v>Bangunan Gedung Tempat Kerja</v>
      </c>
      <c r="W117" s="1478">
        <f t="shared" si="103"/>
        <v>50</v>
      </c>
      <c r="X117" s="1401"/>
      <c r="Y117" s="1629"/>
      <c r="Z117" s="1401">
        <f>SUM('PERHITUNGAN (C)'!U397:U400)</f>
        <v>150067109.11900368</v>
      </c>
      <c r="AA117" s="1479">
        <f>SUMIF('PERHITUNGAN (C)'!$A:$A,'KIB C'!B117&amp;'KIB C'!$AA$7,'PERHITUNGAN (C)'!$U:$U)</f>
        <v>29724713.936959628</v>
      </c>
      <c r="AB117" s="1479">
        <f>SUMIF('PERHITUNGAN (C)'!$A:$A,'KIB C'!B117&amp;'KIB C'!$AB$7,'PERHITUNGAN (C)'!$U:$U)</f>
        <v>29724713.936959628</v>
      </c>
      <c r="AC117" s="1479">
        <f>SUMIF('PERHITUNGAN (C)'!$A:$A,'KIB C'!B117&amp;'KIB C'!$AC$7,'PERHITUNGAN (C)'!$U:$U)</f>
        <v>29724713.936959628</v>
      </c>
      <c r="AD117" s="1479">
        <f>SUMIF('PERHITUNGAN (C)'!$A:$A,'KIB C'!B117&amp;'KIB C'!$AD$7,'PERHITUNGAN (C)'!$U:$U)</f>
        <v>29724713.936959628</v>
      </c>
      <c r="AE117" s="1479">
        <f>SUMIF('PERHITUNGAN (C)'!$A:$A,'KIB C'!B117&amp;'KIB C'!$AE$7,'PERHITUNGAN (C)'!$U:$U)</f>
        <v>29724713.936959628</v>
      </c>
      <c r="AF117" s="1479">
        <f>SUMIF('PERHITUNGAN (C)'!$A:$A,'KIB C'!B117&amp;'KIB C'!$AF$7,'PERHITUNGAN (C)'!$U:$U)</f>
        <v>29724713.936959628</v>
      </c>
      <c r="AG117" s="1479">
        <f t="shared" si="104"/>
        <v>328415392.74076146</v>
      </c>
      <c r="AH117" s="1646">
        <f t="shared" si="100"/>
        <v>1218713271.415345</v>
      </c>
      <c r="AJ117" s="1443">
        <f>SUM(Z117:AE117)</f>
        <v>298690678.80380183</v>
      </c>
    </row>
    <row r="118" spans="1:36" s="1390" customFormat="1" ht="40.5" customHeight="1" x14ac:dyDescent="0.2">
      <c r="A118" s="1391"/>
      <c r="B118" s="1477"/>
      <c r="C118" s="1660">
        <v>106</v>
      </c>
      <c r="D118" s="1455" t="s">
        <v>1014</v>
      </c>
      <c r="E118" s="1501" t="s">
        <v>1752</v>
      </c>
      <c r="F118" s="1501"/>
      <c r="G118" s="1416" t="s">
        <v>43</v>
      </c>
      <c r="H118" s="1416" t="s">
        <v>2492</v>
      </c>
      <c r="I118" s="1414" t="s">
        <v>736</v>
      </c>
      <c r="J118" s="1416"/>
      <c r="K118" s="1455" t="s">
        <v>2879</v>
      </c>
      <c r="L118" s="1416">
        <v>2009</v>
      </c>
      <c r="M118" s="1429"/>
      <c r="N118" s="1501"/>
      <c r="O118" s="1416"/>
      <c r="P118" s="1414"/>
      <c r="Q118" s="1501" t="s">
        <v>12</v>
      </c>
      <c r="R118" s="1539">
        <v>102500000</v>
      </c>
      <c r="S118" s="1661"/>
      <c r="T118" s="1490"/>
      <c r="U118" s="1645" t="str">
        <f t="shared" si="107"/>
        <v>03.11.01</v>
      </c>
      <c r="V118" s="1478" t="str">
        <f t="shared" si="102"/>
        <v>Bangunan Gedung Tempat Kerja</v>
      </c>
      <c r="W118" s="1478">
        <f t="shared" si="103"/>
        <v>50</v>
      </c>
      <c r="X118" s="1401">
        <f t="shared" ref="X118:X144" si="108">R118/W118</f>
        <v>2050000</v>
      </c>
      <c r="Y118" s="1629">
        <f t="shared" ref="Y118:Y144" si="109">IF(2013-L118+1&gt;W118,W118,IF(2013-L118+1&lt;0,0,2013-L118+1))</f>
        <v>5</v>
      </c>
      <c r="Z118" s="1401">
        <f t="shared" ref="Z118:Z144" si="110">IF(Y118&gt;W118,R118,X118*Y118)</f>
        <v>10250000</v>
      </c>
      <c r="AA118" s="1401">
        <f t="shared" ref="AA118:AA144" si="111">IF(R118=Z118,0,X118)</f>
        <v>2050000</v>
      </c>
      <c r="AB118" s="1401">
        <f t="shared" ref="AB118:AB144" si="112">IF(R118=Z118+AA118,0,X118)</f>
        <v>2050000</v>
      </c>
      <c r="AC118" s="1401">
        <f t="shared" ref="AC118:AC144" si="113">IF(R118=Z118+AA118+AB118,0,X118)</f>
        <v>2050000</v>
      </c>
      <c r="AD118" s="1479">
        <f t="shared" ref="AD118:AD144" si="114">IF(R118=Z118+AA118+AB118+AC118,0,X118)</f>
        <v>2050000</v>
      </c>
      <c r="AE118" s="1479">
        <f t="shared" ref="AE118:AE144" si="115">IF(R118=Z118+AA118+AB118+AC118+AD118,0,X118)</f>
        <v>2050000</v>
      </c>
      <c r="AF118" s="1479">
        <f t="shared" ref="AF118:AF144" si="116">IF(R118=Z118+AA118+AB118+AC118+AD118+AE118,0,X118)</f>
        <v>2050000</v>
      </c>
      <c r="AG118" s="1479">
        <f t="shared" ref="AG118:AG144" si="117">SUM(Z118:AF118)</f>
        <v>22550000</v>
      </c>
      <c r="AH118" s="1646">
        <f t="shared" si="100"/>
        <v>79950000</v>
      </c>
    </row>
    <row r="119" spans="1:36" s="1390" customFormat="1" ht="40.5" customHeight="1" x14ac:dyDescent="0.2">
      <c r="A119" s="1391"/>
      <c r="B119" s="1477"/>
      <c r="C119" s="1660">
        <v>107</v>
      </c>
      <c r="D119" s="1455" t="s">
        <v>4295</v>
      </c>
      <c r="E119" s="1501" t="s">
        <v>1752</v>
      </c>
      <c r="F119" s="1501" t="s">
        <v>1768</v>
      </c>
      <c r="G119" s="1416" t="s">
        <v>43</v>
      </c>
      <c r="H119" s="1416" t="s">
        <v>2492</v>
      </c>
      <c r="I119" s="1414" t="s">
        <v>736</v>
      </c>
      <c r="J119" s="1416">
        <v>400</v>
      </c>
      <c r="K119" s="1455" t="s">
        <v>2881</v>
      </c>
      <c r="L119" s="1416">
        <v>2011</v>
      </c>
      <c r="M119" s="1429" t="s">
        <v>5340</v>
      </c>
      <c r="N119" s="1501"/>
      <c r="O119" s="1416"/>
      <c r="P119" s="1414"/>
      <c r="Q119" s="1501" t="s">
        <v>12</v>
      </c>
      <c r="R119" s="1539">
        <v>352125359.74023843</v>
      </c>
      <c r="S119" s="1661"/>
      <c r="T119" s="1490"/>
      <c r="U119" s="1645" t="str">
        <f t="shared" si="107"/>
        <v>03.11.01</v>
      </c>
      <c r="V119" s="1478" t="str">
        <f t="shared" si="102"/>
        <v>Bangunan Gedung Tempat Kerja</v>
      </c>
      <c r="W119" s="1478">
        <f t="shared" si="103"/>
        <v>50</v>
      </c>
      <c r="X119" s="1401">
        <f t="shared" si="108"/>
        <v>7042507.194804769</v>
      </c>
      <c r="Y119" s="1629">
        <f t="shared" si="109"/>
        <v>3</v>
      </c>
      <c r="Z119" s="1401">
        <f t="shared" si="110"/>
        <v>21127521.584414307</v>
      </c>
      <c r="AA119" s="1401">
        <f t="shared" si="111"/>
        <v>7042507.194804769</v>
      </c>
      <c r="AB119" s="1401">
        <f t="shared" si="112"/>
        <v>7042507.194804769</v>
      </c>
      <c r="AC119" s="1401">
        <f t="shared" si="113"/>
        <v>7042507.194804769</v>
      </c>
      <c r="AD119" s="1479">
        <f t="shared" si="114"/>
        <v>7042507.194804769</v>
      </c>
      <c r="AE119" s="1479">
        <f t="shared" si="115"/>
        <v>7042507.194804769</v>
      </c>
      <c r="AF119" s="1479">
        <f t="shared" si="116"/>
        <v>7042507.194804769</v>
      </c>
      <c r="AG119" s="1479">
        <f t="shared" si="117"/>
        <v>63382564.75324294</v>
      </c>
      <c r="AH119" s="1646">
        <f t="shared" si="100"/>
        <v>288742794.98699546</v>
      </c>
    </row>
    <row r="120" spans="1:36" s="1390" customFormat="1" ht="40.5" customHeight="1" x14ac:dyDescent="0.2">
      <c r="A120" s="1391"/>
      <c r="B120" s="1477"/>
      <c r="C120" s="1660">
        <v>108</v>
      </c>
      <c r="D120" s="1455" t="s">
        <v>2676</v>
      </c>
      <c r="E120" s="1501" t="s">
        <v>1752</v>
      </c>
      <c r="F120" s="1501" t="s">
        <v>1855</v>
      </c>
      <c r="G120" s="1416" t="s">
        <v>43</v>
      </c>
      <c r="H120" s="1416" t="s">
        <v>2492</v>
      </c>
      <c r="I120" s="1414" t="s">
        <v>736</v>
      </c>
      <c r="J120" s="1416" t="s">
        <v>9</v>
      </c>
      <c r="K120" s="1455" t="s">
        <v>417</v>
      </c>
      <c r="L120" s="1416">
        <v>2011</v>
      </c>
      <c r="M120" s="1429"/>
      <c r="N120" s="1501"/>
      <c r="O120" s="1416"/>
      <c r="P120" s="1414"/>
      <c r="Q120" s="1501" t="s">
        <v>12</v>
      </c>
      <c r="R120" s="1539">
        <v>44841446.885704212</v>
      </c>
      <c r="S120" s="1661"/>
      <c r="T120" s="1490"/>
      <c r="U120" s="1645" t="str">
        <f t="shared" si="107"/>
        <v>03.11.01</v>
      </c>
      <c r="V120" s="1478" t="str">
        <f t="shared" si="102"/>
        <v>Bangunan Gedung Tempat Kerja</v>
      </c>
      <c r="W120" s="1478">
        <f t="shared" si="103"/>
        <v>50</v>
      </c>
      <c r="X120" s="1401">
        <f t="shared" si="108"/>
        <v>896828.93771408428</v>
      </c>
      <c r="Y120" s="1629">
        <f t="shared" si="109"/>
        <v>3</v>
      </c>
      <c r="Z120" s="1401">
        <f t="shared" si="110"/>
        <v>2690486.8131422531</v>
      </c>
      <c r="AA120" s="1401">
        <f t="shared" si="111"/>
        <v>896828.93771408428</v>
      </c>
      <c r="AB120" s="1401">
        <f t="shared" si="112"/>
        <v>896828.93771408428</v>
      </c>
      <c r="AC120" s="1401">
        <f t="shared" si="113"/>
        <v>896828.93771408428</v>
      </c>
      <c r="AD120" s="1479">
        <f t="shared" si="114"/>
        <v>896828.93771408428</v>
      </c>
      <c r="AE120" s="1479">
        <f t="shared" si="115"/>
        <v>896828.93771408428</v>
      </c>
      <c r="AF120" s="1479">
        <f t="shared" si="116"/>
        <v>896828.93771408428</v>
      </c>
      <c r="AG120" s="1479">
        <f t="shared" si="117"/>
        <v>8071460.4394267574</v>
      </c>
      <c r="AH120" s="1646">
        <f t="shared" si="100"/>
        <v>36769986.446277454</v>
      </c>
    </row>
    <row r="121" spans="1:36" s="1390" customFormat="1" ht="40.5" customHeight="1" x14ac:dyDescent="0.2">
      <c r="A121" s="1391"/>
      <c r="B121" s="1477" t="s">
        <v>5718</v>
      </c>
      <c r="C121" s="1660">
        <v>109</v>
      </c>
      <c r="D121" s="1455" t="s">
        <v>5717</v>
      </c>
      <c r="E121" s="1501" t="s">
        <v>1752</v>
      </c>
      <c r="F121" s="1501" t="s">
        <v>1857</v>
      </c>
      <c r="G121" s="1416" t="s">
        <v>43</v>
      </c>
      <c r="H121" s="1416" t="s">
        <v>2492</v>
      </c>
      <c r="I121" s="1414" t="s">
        <v>736</v>
      </c>
      <c r="J121" s="1416">
        <v>1139</v>
      </c>
      <c r="K121" s="1455" t="s">
        <v>2882</v>
      </c>
      <c r="L121" s="1416">
        <v>2011</v>
      </c>
      <c r="M121" s="1429" t="s">
        <v>5341</v>
      </c>
      <c r="N121" s="1501"/>
      <c r="O121" s="1416"/>
      <c r="P121" s="1414"/>
      <c r="Q121" s="1501" t="s">
        <v>12</v>
      </c>
      <c r="R121" s="1539">
        <v>102042251.24181733</v>
      </c>
      <c r="S121" s="1661"/>
      <c r="T121" s="1490"/>
      <c r="U121" s="1645" t="str">
        <f t="shared" si="107"/>
        <v>03.11.01</v>
      </c>
      <c r="V121" s="1478" t="str">
        <f>VLOOKUP(U121,UE,3)</f>
        <v>Bangunan Gedung Tempat Kerja</v>
      </c>
      <c r="W121" s="1478">
        <f>VLOOKUP(U121,UE,4)</f>
        <v>50</v>
      </c>
      <c r="X121" s="1401">
        <f>R121/W121</f>
        <v>2040845.0248363465</v>
      </c>
      <c r="Y121" s="1629">
        <f t="shared" si="109"/>
        <v>3</v>
      </c>
      <c r="Z121" s="1401">
        <f t="shared" si="110"/>
        <v>6122535.0745090395</v>
      </c>
      <c r="AA121" s="1401">
        <f t="shared" si="111"/>
        <v>2040845.0248363465</v>
      </c>
      <c r="AB121" s="1401">
        <f t="shared" si="112"/>
        <v>2040845.0248363465</v>
      </c>
      <c r="AC121" s="1401">
        <f t="shared" si="113"/>
        <v>2040845.0248363465</v>
      </c>
      <c r="AD121" s="1479">
        <f t="shared" si="114"/>
        <v>2040845.0248363465</v>
      </c>
      <c r="AE121" s="1479">
        <f t="shared" si="115"/>
        <v>2040845.0248363465</v>
      </c>
      <c r="AF121" s="1479">
        <f t="shared" si="116"/>
        <v>2040845.0248363465</v>
      </c>
      <c r="AG121" s="1479">
        <f t="shared" si="117"/>
        <v>18367605.223527119</v>
      </c>
      <c r="AH121" s="1646">
        <f>R121-AG121</f>
        <v>83674646.018290207</v>
      </c>
      <c r="AJ121" s="1443">
        <f>SUM(Z121:AE121)</f>
        <v>16326760.198690772</v>
      </c>
    </row>
    <row r="122" spans="1:36" s="1390" customFormat="1" ht="40.5" customHeight="1" x14ac:dyDescent="0.2">
      <c r="A122" s="1391"/>
      <c r="B122" s="1477"/>
      <c r="C122" s="1660">
        <v>110</v>
      </c>
      <c r="D122" s="1455" t="s">
        <v>5780</v>
      </c>
      <c r="E122" s="1501" t="s">
        <v>1752</v>
      </c>
      <c r="F122" s="1501" t="s">
        <v>1870</v>
      </c>
      <c r="G122" s="1416" t="s">
        <v>43</v>
      </c>
      <c r="H122" s="1416" t="s">
        <v>2492</v>
      </c>
      <c r="I122" s="1414" t="s">
        <v>736</v>
      </c>
      <c r="J122" s="1416"/>
      <c r="K122" s="1455" t="s">
        <v>2884</v>
      </c>
      <c r="L122" s="1416">
        <v>2011</v>
      </c>
      <c r="M122" s="1429" t="s">
        <v>5343</v>
      </c>
      <c r="N122" s="1501"/>
      <c r="O122" s="1416"/>
      <c r="P122" s="1414"/>
      <c r="Q122" s="1501" t="s">
        <v>12</v>
      </c>
      <c r="R122" s="1539">
        <v>370753609.40306878</v>
      </c>
      <c r="S122" s="1661"/>
      <c r="T122" s="1490"/>
      <c r="U122" s="1645" t="str">
        <f t="shared" si="107"/>
        <v>03.11.01</v>
      </c>
      <c r="V122" s="1478" t="str">
        <f t="shared" si="102"/>
        <v>Bangunan Gedung Tempat Kerja</v>
      </c>
      <c r="W122" s="1478">
        <f t="shared" si="103"/>
        <v>50</v>
      </c>
      <c r="X122" s="1401">
        <f t="shared" si="108"/>
        <v>7415072.1880613752</v>
      </c>
      <c r="Y122" s="1629">
        <f t="shared" si="109"/>
        <v>3</v>
      </c>
      <c r="Z122" s="1401">
        <f t="shared" si="110"/>
        <v>22245216.564184126</v>
      </c>
      <c r="AA122" s="1401">
        <f t="shared" si="111"/>
        <v>7415072.1880613752</v>
      </c>
      <c r="AB122" s="1401">
        <f t="shared" si="112"/>
        <v>7415072.1880613752</v>
      </c>
      <c r="AC122" s="1401">
        <f t="shared" si="113"/>
        <v>7415072.1880613752</v>
      </c>
      <c r="AD122" s="1479">
        <f t="shared" si="114"/>
        <v>7415072.1880613752</v>
      </c>
      <c r="AE122" s="1479">
        <f t="shared" si="115"/>
        <v>7415072.1880613752</v>
      </c>
      <c r="AF122" s="1479">
        <f t="shared" si="116"/>
        <v>7415072.1880613752</v>
      </c>
      <c r="AG122" s="1479">
        <f t="shared" si="117"/>
        <v>66735649.692552358</v>
      </c>
      <c r="AH122" s="1646">
        <f t="shared" si="100"/>
        <v>304017959.71051645</v>
      </c>
    </row>
    <row r="123" spans="1:36" s="1390" customFormat="1" ht="40.5" customHeight="1" x14ac:dyDescent="0.2">
      <c r="A123" s="1391"/>
      <c r="B123" s="1477"/>
      <c r="C123" s="1660">
        <v>111</v>
      </c>
      <c r="D123" s="1455" t="s">
        <v>2685</v>
      </c>
      <c r="E123" s="1501" t="s">
        <v>1881</v>
      </c>
      <c r="F123" s="1501" t="s">
        <v>39</v>
      </c>
      <c r="G123" s="1416" t="s">
        <v>43</v>
      </c>
      <c r="H123" s="1416"/>
      <c r="I123" s="1414" t="s">
        <v>736</v>
      </c>
      <c r="J123" s="1416"/>
      <c r="K123" s="1455" t="s">
        <v>417</v>
      </c>
      <c r="L123" s="1416">
        <v>2011</v>
      </c>
      <c r="M123" s="1429" t="s">
        <v>5344</v>
      </c>
      <c r="N123" s="1501"/>
      <c r="O123" s="1416"/>
      <c r="P123" s="1414"/>
      <c r="Q123" s="1501" t="s">
        <v>12</v>
      </c>
      <c r="R123" s="1539">
        <v>445621061.3068198</v>
      </c>
      <c r="S123" s="1661"/>
      <c r="T123" s="1490"/>
      <c r="U123" s="1645" t="str">
        <f t="shared" si="107"/>
        <v>03.11.02</v>
      </c>
      <c r="V123" s="1478" t="str">
        <f t="shared" si="102"/>
        <v>Bangunan Gedung Tempat Tinggal</v>
      </c>
      <c r="W123" s="1478">
        <f t="shared" si="103"/>
        <v>50</v>
      </c>
      <c r="X123" s="1401">
        <f t="shared" si="108"/>
        <v>8912421.2261363957</v>
      </c>
      <c r="Y123" s="1629">
        <f t="shared" si="109"/>
        <v>3</v>
      </c>
      <c r="Z123" s="1401">
        <f t="shared" si="110"/>
        <v>26737263.678409189</v>
      </c>
      <c r="AA123" s="1401">
        <f t="shared" si="111"/>
        <v>8912421.2261363957</v>
      </c>
      <c r="AB123" s="1401">
        <f t="shared" si="112"/>
        <v>8912421.2261363957</v>
      </c>
      <c r="AC123" s="1401">
        <f t="shared" si="113"/>
        <v>8912421.2261363957</v>
      </c>
      <c r="AD123" s="1479">
        <f t="shared" si="114"/>
        <v>8912421.2261363957</v>
      </c>
      <c r="AE123" s="1479">
        <f t="shared" si="115"/>
        <v>8912421.2261363957</v>
      </c>
      <c r="AF123" s="1479">
        <f t="shared" si="116"/>
        <v>8912421.2261363957</v>
      </c>
      <c r="AG123" s="1479">
        <f t="shared" si="117"/>
        <v>80211791.035227567</v>
      </c>
      <c r="AH123" s="1646">
        <f t="shared" si="100"/>
        <v>365409270.27159226</v>
      </c>
    </row>
    <row r="124" spans="1:36" s="1390" customFormat="1" ht="40.5" customHeight="1" x14ac:dyDescent="0.2">
      <c r="A124" s="1391"/>
      <c r="B124" s="1477"/>
      <c r="C124" s="1660">
        <v>112</v>
      </c>
      <c r="D124" s="1455" t="s">
        <v>2686</v>
      </c>
      <c r="E124" s="1501" t="s">
        <v>5761</v>
      </c>
      <c r="F124" s="1501" t="s">
        <v>39</v>
      </c>
      <c r="G124" s="1416" t="s">
        <v>43</v>
      </c>
      <c r="H124" s="1416" t="s">
        <v>2492</v>
      </c>
      <c r="I124" s="1414" t="s">
        <v>736</v>
      </c>
      <c r="J124" s="1416"/>
      <c r="K124" s="1455" t="s">
        <v>417</v>
      </c>
      <c r="L124" s="1416">
        <v>2011</v>
      </c>
      <c r="M124" s="1429" t="s">
        <v>5345</v>
      </c>
      <c r="N124" s="1501"/>
      <c r="O124" s="1416"/>
      <c r="P124" s="1414"/>
      <c r="Q124" s="1501" t="s">
        <v>12</v>
      </c>
      <c r="R124" s="1539">
        <v>108853060.37847494</v>
      </c>
      <c r="S124" s="1661"/>
      <c r="T124" s="1490"/>
      <c r="U124" s="1645" t="str">
        <f t="shared" si="107"/>
        <v>03.11.02</v>
      </c>
      <c r="V124" s="1478" t="str">
        <f t="shared" si="102"/>
        <v>Bangunan Gedung Tempat Tinggal</v>
      </c>
      <c r="W124" s="1478">
        <f t="shared" si="103"/>
        <v>50</v>
      </c>
      <c r="X124" s="1401">
        <f t="shared" si="108"/>
        <v>2177061.2075694986</v>
      </c>
      <c r="Y124" s="1629">
        <f t="shared" si="109"/>
        <v>3</v>
      </c>
      <c r="Z124" s="1401">
        <f t="shared" si="110"/>
        <v>6531183.6227084957</v>
      </c>
      <c r="AA124" s="1401">
        <f t="shared" si="111"/>
        <v>2177061.2075694986</v>
      </c>
      <c r="AB124" s="1401">
        <f t="shared" si="112"/>
        <v>2177061.2075694986</v>
      </c>
      <c r="AC124" s="1401">
        <f t="shared" si="113"/>
        <v>2177061.2075694986</v>
      </c>
      <c r="AD124" s="1479">
        <f t="shared" si="114"/>
        <v>2177061.2075694986</v>
      </c>
      <c r="AE124" s="1479">
        <f t="shared" si="115"/>
        <v>2177061.2075694986</v>
      </c>
      <c r="AF124" s="1479">
        <f t="shared" si="116"/>
        <v>2177061.2075694986</v>
      </c>
      <c r="AG124" s="1479">
        <f t="shared" si="117"/>
        <v>19593550.868125487</v>
      </c>
      <c r="AH124" s="1646">
        <f t="shared" si="100"/>
        <v>89259509.510349452</v>
      </c>
    </row>
    <row r="125" spans="1:36" s="1390" customFormat="1" ht="40.5" customHeight="1" x14ac:dyDescent="0.2">
      <c r="A125" s="1391"/>
      <c r="B125" s="1477"/>
      <c r="C125" s="1660">
        <v>113</v>
      </c>
      <c r="D125" s="1455" t="s">
        <v>4296</v>
      </c>
      <c r="E125" s="1501" t="s">
        <v>1887</v>
      </c>
      <c r="F125" s="1501" t="s">
        <v>1888</v>
      </c>
      <c r="G125" s="1416" t="s">
        <v>43</v>
      </c>
      <c r="H125" s="1416" t="s">
        <v>2492</v>
      </c>
      <c r="I125" s="1414" t="s">
        <v>736</v>
      </c>
      <c r="J125" s="1416">
        <v>120</v>
      </c>
      <c r="K125" s="1455" t="s">
        <v>2885</v>
      </c>
      <c r="L125" s="1416">
        <v>2011</v>
      </c>
      <c r="M125" s="1429" t="s">
        <v>5346</v>
      </c>
      <c r="N125" s="1501"/>
      <c r="O125" s="1416"/>
      <c r="P125" s="1414"/>
      <c r="Q125" s="1501" t="s">
        <v>12</v>
      </c>
      <c r="R125" s="1539">
        <v>358193812.42158926</v>
      </c>
      <c r="S125" s="1661"/>
      <c r="T125" s="1490"/>
      <c r="U125" s="1645" t="str">
        <f t="shared" ref="U125:U134" si="118">LEFT(E125,8)</f>
        <v>03.11.01</v>
      </c>
      <c r="V125" s="1478" t="str">
        <f t="shared" si="102"/>
        <v>Bangunan Gedung Tempat Kerja</v>
      </c>
      <c r="W125" s="1478">
        <f t="shared" si="103"/>
        <v>50</v>
      </c>
      <c r="X125" s="1401">
        <f t="shared" si="108"/>
        <v>7163876.248431785</v>
      </c>
      <c r="Y125" s="1629">
        <f t="shared" si="109"/>
        <v>3</v>
      </c>
      <c r="Z125" s="1401">
        <f t="shared" si="110"/>
        <v>21491628.745295353</v>
      </c>
      <c r="AA125" s="1401">
        <f t="shared" si="111"/>
        <v>7163876.248431785</v>
      </c>
      <c r="AB125" s="1401">
        <f t="shared" si="112"/>
        <v>7163876.248431785</v>
      </c>
      <c r="AC125" s="1401">
        <f t="shared" si="113"/>
        <v>7163876.248431785</v>
      </c>
      <c r="AD125" s="1479">
        <f t="shared" si="114"/>
        <v>7163876.248431785</v>
      </c>
      <c r="AE125" s="1479">
        <f t="shared" si="115"/>
        <v>7163876.248431785</v>
      </c>
      <c r="AF125" s="1479">
        <f t="shared" si="116"/>
        <v>7163876.248431785</v>
      </c>
      <c r="AG125" s="1479">
        <f t="shared" si="117"/>
        <v>64474886.235886075</v>
      </c>
      <c r="AH125" s="1646">
        <f t="shared" si="100"/>
        <v>293718926.18570316</v>
      </c>
    </row>
    <row r="126" spans="1:36" s="1390" customFormat="1" ht="40.5" customHeight="1" x14ac:dyDescent="0.2">
      <c r="A126" s="1391"/>
      <c r="B126" s="1477"/>
      <c r="C126" s="1660">
        <v>114</v>
      </c>
      <c r="D126" s="1455" t="s">
        <v>2689</v>
      </c>
      <c r="E126" s="1501" t="s">
        <v>1887</v>
      </c>
      <c r="F126" s="1501" t="s">
        <v>1895</v>
      </c>
      <c r="G126" s="1416" t="s">
        <v>43</v>
      </c>
      <c r="H126" s="1416" t="s">
        <v>2492</v>
      </c>
      <c r="I126" s="1414" t="s">
        <v>736</v>
      </c>
      <c r="J126" s="1416">
        <v>120</v>
      </c>
      <c r="K126" s="1455" t="s">
        <v>2886</v>
      </c>
      <c r="L126" s="1416">
        <v>2011</v>
      </c>
      <c r="M126" s="1429" t="s">
        <v>5347</v>
      </c>
      <c r="N126" s="1501"/>
      <c r="O126" s="1416"/>
      <c r="P126" s="1414"/>
      <c r="Q126" s="1501" t="s">
        <v>12</v>
      </c>
      <c r="R126" s="1539">
        <v>364814419.24170172</v>
      </c>
      <c r="S126" s="1661"/>
      <c r="T126" s="1490"/>
      <c r="U126" s="1645" t="str">
        <f t="shared" si="118"/>
        <v>03.11.01</v>
      </c>
      <c r="V126" s="1478" t="str">
        <f t="shared" si="102"/>
        <v>Bangunan Gedung Tempat Kerja</v>
      </c>
      <c r="W126" s="1478">
        <f t="shared" si="103"/>
        <v>50</v>
      </c>
      <c r="X126" s="1401">
        <f t="shared" si="108"/>
        <v>7296288.3848340344</v>
      </c>
      <c r="Y126" s="1629">
        <f t="shared" si="109"/>
        <v>3</v>
      </c>
      <c r="Z126" s="1401">
        <f t="shared" si="110"/>
        <v>21888865.154502101</v>
      </c>
      <c r="AA126" s="1401">
        <f t="shared" si="111"/>
        <v>7296288.3848340344</v>
      </c>
      <c r="AB126" s="1401">
        <f t="shared" si="112"/>
        <v>7296288.3848340344</v>
      </c>
      <c r="AC126" s="1401">
        <f t="shared" si="113"/>
        <v>7296288.3848340344</v>
      </c>
      <c r="AD126" s="1479">
        <f t="shared" si="114"/>
        <v>7296288.3848340344</v>
      </c>
      <c r="AE126" s="1479">
        <f t="shared" si="115"/>
        <v>7296288.3848340344</v>
      </c>
      <c r="AF126" s="1479">
        <f t="shared" si="116"/>
        <v>7296288.3848340344</v>
      </c>
      <c r="AG126" s="1479">
        <f t="shared" si="117"/>
        <v>65666595.463506319</v>
      </c>
      <c r="AH126" s="1646">
        <f t="shared" si="100"/>
        <v>299147823.77819538</v>
      </c>
    </row>
    <row r="127" spans="1:36" s="1390" customFormat="1" ht="40.5" customHeight="1" x14ac:dyDescent="0.2">
      <c r="A127" s="1391"/>
      <c r="B127" s="1477"/>
      <c r="C127" s="1660">
        <v>115</v>
      </c>
      <c r="D127" s="1455" t="s">
        <v>4297</v>
      </c>
      <c r="E127" s="1501" t="s">
        <v>1887</v>
      </c>
      <c r="F127" s="1501" t="s">
        <v>1899</v>
      </c>
      <c r="G127" s="1416" t="s">
        <v>43</v>
      </c>
      <c r="H127" s="1416" t="s">
        <v>2492</v>
      </c>
      <c r="I127" s="1414" t="s">
        <v>736</v>
      </c>
      <c r="J127" s="1416">
        <v>120</v>
      </c>
      <c r="K127" s="1455" t="s">
        <v>2887</v>
      </c>
      <c r="L127" s="1416">
        <v>2011</v>
      </c>
      <c r="M127" s="1429" t="s">
        <v>5348</v>
      </c>
      <c r="N127" s="1501"/>
      <c r="O127" s="1416"/>
      <c r="P127" s="1414"/>
      <c r="Q127" s="1501" t="s">
        <v>12</v>
      </c>
      <c r="R127" s="1539">
        <v>296190899.72203624</v>
      </c>
      <c r="S127" s="1661"/>
      <c r="T127" s="1490"/>
      <c r="U127" s="1645" t="str">
        <f t="shared" si="118"/>
        <v>03.11.01</v>
      </c>
      <c r="V127" s="1478" t="str">
        <f t="shared" si="102"/>
        <v>Bangunan Gedung Tempat Kerja</v>
      </c>
      <c r="W127" s="1478">
        <f t="shared" si="103"/>
        <v>50</v>
      </c>
      <c r="X127" s="1401">
        <f t="shared" si="108"/>
        <v>5923817.9944407251</v>
      </c>
      <c r="Y127" s="1629">
        <f t="shared" si="109"/>
        <v>3</v>
      </c>
      <c r="Z127" s="1401">
        <f t="shared" si="110"/>
        <v>17771453.983322173</v>
      </c>
      <c r="AA127" s="1401">
        <f t="shared" si="111"/>
        <v>5923817.9944407251</v>
      </c>
      <c r="AB127" s="1401">
        <f t="shared" si="112"/>
        <v>5923817.9944407251</v>
      </c>
      <c r="AC127" s="1401">
        <f t="shared" si="113"/>
        <v>5923817.9944407251</v>
      </c>
      <c r="AD127" s="1479">
        <f t="shared" si="114"/>
        <v>5923817.9944407251</v>
      </c>
      <c r="AE127" s="1479">
        <f t="shared" si="115"/>
        <v>5923817.9944407251</v>
      </c>
      <c r="AF127" s="1479">
        <f t="shared" si="116"/>
        <v>5923817.9944407251</v>
      </c>
      <c r="AG127" s="1479">
        <f t="shared" si="117"/>
        <v>53314361.949966535</v>
      </c>
      <c r="AH127" s="1646">
        <f t="shared" si="100"/>
        <v>242876537.77206969</v>
      </c>
    </row>
    <row r="128" spans="1:36" s="1390" customFormat="1" ht="40.5" customHeight="1" x14ac:dyDescent="0.2">
      <c r="A128" s="1391"/>
      <c r="B128" s="1477"/>
      <c r="C128" s="1660">
        <v>116</v>
      </c>
      <c r="D128" s="1455" t="s">
        <v>5781</v>
      </c>
      <c r="E128" s="1501" t="s">
        <v>1887</v>
      </c>
      <c r="F128" s="1501" t="s">
        <v>1701</v>
      </c>
      <c r="G128" s="1416" t="s">
        <v>43</v>
      </c>
      <c r="H128" s="1416" t="s">
        <v>2492</v>
      </c>
      <c r="I128" s="1414" t="s">
        <v>736</v>
      </c>
      <c r="J128" s="1416">
        <v>120</v>
      </c>
      <c r="K128" s="1455" t="s">
        <v>2888</v>
      </c>
      <c r="L128" s="1416">
        <v>2011</v>
      </c>
      <c r="M128" s="1429" t="s">
        <v>5349</v>
      </c>
      <c r="N128" s="1501"/>
      <c r="O128" s="1416"/>
      <c r="P128" s="1414"/>
      <c r="Q128" s="1501" t="s">
        <v>12</v>
      </c>
      <c r="R128" s="1539">
        <v>369887614.54344255</v>
      </c>
      <c r="S128" s="1661"/>
      <c r="T128" s="1490"/>
      <c r="U128" s="1645" t="str">
        <f t="shared" si="118"/>
        <v>03.11.01</v>
      </c>
      <c r="V128" s="1478" t="str">
        <f t="shared" si="102"/>
        <v>Bangunan Gedung Tempat Kerja</v>
      </c>
      <c r="W128" s="1478">
        <f t="shared" si="103"/>
        <v>50</v>
      </c>
      <c r="X128" s="1401">
        <f t="shared" si="108"/>
        <v>7397752.2908688514</v>
      </c>
      <c r="Y128" s="1629">
        <f t="shared" si="109"/>
        <v>3</v>
      </c>
      <c r="Z128" s="1401">
        <f t="shared" si="110"/>
        <v>22193256.872606553</v>
      </c>
      <c r="AA128" s="1401">
        <f t="shared" si="111"/>
        <v>7397752.2908688514</v>
      </c>
      <c r="AB128" s="1401">
        <f t="shared" si="112"/>
        <v>7397752.2908688514</v>
      </c>
      <c r="AC128" s="1401">
        <f t="shared" si="113"/>
        <v>7397752.2908688514</v>
      </c>
      <c r="AD128" s="1479">
        <f t="shared" si="114"/>
        <v>7397752.2908688514</v>
      </c>
      <c r="AE128" s="1479">
        <f t="shared" si="115"/>
        <v>7397752.2908688514</v>
      </c>
      <c r="AF128" s="1479">
        <f t="shared" si="116"/>
        <v>7397752.2908688514</v>
      </c>
      <c r="AG128" s="1479">
        <f t="shared" si="117"/>
        <v>66579770.617819652</v>
      </c>
      <c r="AH128" s="1646">
        <f t="shared" si="100"/>
        <v>303307843.92562288</v>
      </c>
    </row>
    <row r="129" spans="1:34" s="1390" customFormat="1" ht="40.5" customHeight="1" x14ac:dyDescent="0.2">
      <c r="A129" s="1391"/>
      <c r="B129" s="1477"/>
      <c r="C129" s="1660">
        <v>117</v>
      </c>
      <c r="D129" s="1455" t="s">
        <v>4299</v>
      </c>
      <c r="E129" s="1501" t="s">
        <v>1887</v>
      </c>
      <c r="F129" s="1501" t="s">
        <v>1906</v>
      </c>
      <c r="G129" s="1416" t="s">
        <v>43</v>
      </c>
      <c r="H129" s="1416" t="s">
        <v>2492</v>
      </c>
      <c r="I129" s="1414" t="s">
        <v>736</v>
      </c>
      <c r="J129" s="1416">
        <v>120</v>
      </c>
      <c r="K129" s="1455" t="s">
        <v>2889</v>
      </c>
      <c r="L129" s="1416">
        <v>2011</v>
      </c>
      <c r="M129" s="1429" t="s">
        <v>5350</v>
      </c>
      <c r="N129" s="1501"/>
      <c r="O129" s="1416"/>
      <c r="P129" s="1414"/>
      <c r="Q129" s="1501" t="s">
        <v>12</v>
      </c>
      <c r="R129" s="1539">
        <v>321953506.89305788</v>
      </c>
      <c r="S129" s="1661"/>
      <c r="T129" s="1490"/>
      <c r="U129" s="1645" t="str">
        <f t="shared" si="118"/>
        <v>03.11.01</v>
      </c>
      <c r="V129" s="1478" t="str">
        <f t="shared" si="102"/>
        <v>Bangunan Gedung Tempat Kerja</v>
      </c>
      <c r="W129" s="1478">
        <f t="shared" si="103"/>
        <v>50</v>
      </c>
      <c r="X129" s="1401">
        <f t="shared" si="108"/>
        <v>6439070.1378611578</v>
      </c>
      <c r="Y129" s="1629">
        <f t="shared" si="109"/>
        <v>3</v>
      </c>
      <c r="Z129" s="1401">
        <f t="shared" si="110"/>
        <v>19317210.413583472</v>
      </c>
      <c r="AA129" s="1401">
        <f t="shared" si="111"/>
        <v>6439070.1378611578</v>
      </c>
      <c r="AB129" s="1401">
        <f t="shared" si="112"/>
        <v>6439070.1378611578</v>
      </c>
      <c r="AC129" s="1401">
        <f t="shared" si="113"/>
        <v>6439070.1378611578</v>
      </c>
      <c r="AD129" s="1479">
        <f t="shared" si="114"/>
        <v>6439070.1378611578</v>
      </c>
      <c r="AE129" s="1479">
        <f t="shared" si="115"/>
        <v>6439070.1378611578</v>
      </c>
      <c r="AF129" s="1479">
        <f t="shared" si="116"/>
        <v>6439070.1378611578</v>
      </c>
      <c r="AG129" s="1479">
        <f t="shared" si="117"/>
        <v>57951631.24075041</v>
      </c>
      <c r="AH129" s="1646">
        <f t="shared" si="100"/>
        <v>264001875.65230748</v>
      </c>
    </row>
    <row r="130" spans="1:34" s="1390" customFormat="1" ht="40.5" customHeight="1" x14ac:dyDescent="0.2">
      <c r="A130" s="1391"/>
      <c r="B130" s="1477"/>
      <c r="C130" s="1660">
        <v>118</v>
      </c>
      <c r="D130" s="1455" t="s">
        <v>2693</v>
      </c>
      <c r="E130" s="1501" t="s">
        <v>1887</v>
      </c>
      <c r="F130" s="1501" t="s">
        <v>1910</v>
      </c>
      <c r="G130" s="1416" t="s">
        <v>43</v>
      </c>
      <c r="H130" s="1416" t="s">
        <v>2492</v>
      </c>
      <c r="I130" s="1414" t="s">
        <v>736</v>
      </c>
      <c r="J130" s="1416"/>
      <c r="K130" s="1455" t="s">
        <v>2890</v>
      </c>
      <c r="L130" s="1416">
        <v>2012</v>
      </c>
      <c r="M130" s="1429"/>
      <c r="N130" s="1501"/>
      <c r="O130" s="1416"/>
      <c r="P130" s="1414"/>
      <c r="Q130" s="1501" t="s">
        <v>12</v>
      </c>
      <c r="R130" s="1539">
        <v>369737433.94443774</v>
      </c>
      <c r="S130" s="1661"/>
      <c r="T130" s="1490"/>
      <c r="U130" s="1645" t="str">
        <f t="shared" si="118"/>
        <v>03.11.01</v>
      </c>
      <c r="V130" s="1478" t="str">
        <f t="shared" si="102"/>
        <v>Bangunan Gedung Tempat Kerja</v>
      </c>
      <c r="W130" s="1478">
        <f t="shared" si="103"/>
        <v>50</v>
      </c>
      <c r="X130" s="1401">
        <f t="shared" si="108"/>
        <v>7394748.6788887549</v>
      </c>
      <c r="Y130" s="1629">
        <f t="shared" si="109"/>
        <v>2</v>
      </c>
      <c r="Z130" s="1401">
        <f t="shared" si="110"/>
        <v>14789497.35777751</v>
      </c>
      <c r="AA130" s="1401">
        <f t="shared" si="111"/>
        <v>7394748.6788887549</v>
      </c>
      <c r="AB130" s="1401">
        <f t="shared" si="112"/>
        <v>7394748.6788887549</v>
      </c>
      <c r="AC130" s="1401">
        <f t="shared" si="113"/>
        <v>7394748.6788887549</v>
      </c>
      <c r="AD130" s="1479">
        <f t="shared" si="114"/>
        <v>7394748.6788887549</v>
      </c>
      <c r="AE130" s="1479">
        <f t="shared" si="115"/>
        <v>7394748.6788887549</v>
      </c>
      <c r="AF130" s="1479">
        <f t="shared" si="116"/>
        <v>7394748.6788887549</v>
      </c>
      <c r="AG130" s="1479">
        <f t="shared" si="117"/>
        <v>59157989.431110032</v>
      </c>
      <c r="AH130" s="1646">
        <f t="shared" si="100"/>
        <v>310579444.51332772</v>
      </c>
    </row>
    <row r="131" spans="1:34" s="1390" customFormat="1" ht="40.5" customHeight="1" x14ac:dyDescent="0.2">
      <c r="A131" s="1391"/>
      <c r="B131" s="1477"/>
      <c r="C131" s="1660">
        <v>119</v>
      </c>
      <c r="D131" s="1455" t="s">
        <v>4300</v>
      </c>
      <c r="E131" s="1501" t="s">
        <v>1887</v>
      </c>
      <c r="F131" s="1501" t="s">
        <v>1916</v>
      </c>
      <c r="G131" s="1416" t="s">
        <v>43</v>
      </c>
      <c r="H131" s="1416" t="s">
        <v>2492</v>
      </c>
      <c r="I131" s="1414" t="s">
        <v>736</v>
      </c>
      <c r="J131" s="1416">
        <v>120</v>
      </c>
      <c r="K131" s="1455" t="s">
        <v>2892</v>
      </c>
      <c r="L131" s="1416">
        <v>2011</v>
      </c>
      <c r="M131" s="1429" t="s">
        <v>5351</v>
      </c>
      <c r="N131" s="1501"/>
      <c r="O131" s="1416"/>
      <c r="P131" s="1414"/>
      <c r="Q131" s="1501" t="s">
        <v>12</v>
      </c>
      <c r="R131" s="1539">
        <v>328356658.1584819</v>
      </c>
      <c r="S131" s="1661"/>
      <c r="T131" s="1490"/>
      <c r="U131" s="1645" t="str">
        <f t="shared" si="118"/>
        <v>03.11.01</v>
      </c>
      <c r="V131" s="1478" t="str">
        <f t="shared" si="102"/>
        <v>Bangunan Gedung Tempat Kerja</v>
      </c>
      <c r="W131" s="1478">
        <f t="shared" si="103"/>
        <v>50</v>
      </c>
      <c r="X131" s="1401">
        <f t="shared" si="108"/>
        <v>6567133.1631696383</v>
      </c>
      <c r="Y131" s="1629">
        <f t="shared" si="109"/>
        <v>3</v>
      </c>
      <c r="Z131" s="1401">
        <f t="shared" si="110"/>
        <v>19701399.489508916</v>
      </c>
      <c r="AA131" s="1401">
        <f t="shared" si="111"/>
        <v>6567133.1631696383</v>
      </c>
      <c r="AB131" s="1401">
        <f t="shared" si="112"/>
        <v>6567133.1631696383</v>
      </c>
      <c r="AC131" s="1401">
        <f t="shared" si="113"/>
        <v>6567133.1631696383</v>
      </c>
      <c r="AD131" s="1479">
        <f t="shared" si="114"/>
        <v>6567133.1631696383</v>
      </c>
      <c r="AE131" s="1479">
        <f t="shared" si="115"/>
        <v>6567133.1631696383</v>
      </c>
      <c r="AF131" s="1479">
        <f t="shared" si="116"/>
        <v>6567133.1631696383</v>
      </c>
      <c r="AG131" s="1479">
        <f t="shared" si="117"/>
        <v>59104198.468526743</v>
      </c>
      <c r="AH131" s="1646">
        <f t="shared" si="100"/>
        <v>269252459.68995517</v>
      </c>
    </row>
    <row r="132" spans="1:34" s="1390" customFormat="1" ht="40.5" customHeight="1" x14ac:dyDescent="0.2">
      <c r="A132" s="1391"/>
      <c r="B132" s="1477"/>
      <c r="C132" s="1660">
        <v>120</v>
      </c>
      <c r="D132" s="1455" t="s">
        <v>4301</v>
      </c>
      <c r="E132" s="1501" t="s">
        <v>1887</v>
      </c>
      <c r="F132" s="1501" t="s">
        <v>1920</v>
      </c>
      <c r="G132" s="1416" t="s">
        <v>43</v>
      </c>
      <c r="H132" s="1416" t="s">
        <v>2492</v>
      </c>
      <c r="I132" s="1414" t="s">
        <v>736</v>
      </c>
      <c r="J132" s="1416">
        <v>120</v>
      </c>
      <c r="K132" s="1455" t="s">
        <v>2893</v>
      </c>
      <c r="L132" s="1416">
        <v>2011</v>
      </c>
      <c r="M132" s="1429" t="s">
        <v>5352</v>
      </c>
      <c r="N132" s="1501"/>
      <c r="O132" s="1416"/>
      <c r="P132" s="1414"/>
      <c r="Q132" s="1501" t="s">
        <v>12</v>
      </c>
      <c r="R132" s="1539">
        <v>297325609.5558452</v>
      </c>
      <c r="S132" s="1661"/>
      <c r="T132" s="1490"/>
      <c r="U132" s="1645" t="str">
        <f t="shared" si="118"/>
        <v>03.11.01</v>
      </c>
      <c r="V132" s="1478" t="str">
        <f t="shared" si="102"/>
        <v>Bangunan Gedung Tempat Kerja</v>
      </c>
      <c r="W132" s="1478">
        <f t="shared" si="103"/>
        <v>50</v>
      </c>
      <c r="X132" s="1401">
        <f t="shared" si="108"/>
        <v>5946512.1911169039</v>
      </c>
      <c r="Y132" s="1629">
        <f t="shared" si="109"/>
        <v>3</v>
      </c>
      <c r="Z132" s="1401">
        <f t="shared" si="110"/>
        <v>17839536.573350713</v>
      </c>
      <c r="AA132" s="1401">
        <f t="shared" si="111"/>
        <v>5946512.1911169039</v>
      </c>
      <c r="AB132" s="1401">
        <f t="shared" si="112"/>
        <v>5946512.1911169039</v>
      </c>
      <c r="AC132" s="1401">
        <f t="shared" si="113"/>
        <v>5946512.1911169039</v>
      </c>
      <c r="AD132" s="1479">
        <f t="shared" si="114"/>
        <v>5946512.1911169039</v>
      </c>
      <c r="AE132" s="1479">
        <f t="shared" si="115"/>
        <v>5946512.1911169039</v>
      </c>
      <c r="AF132" s="1479">
        <f t="shared" si="116"/>
        <v>5946512.1911169039</v>
      </c>
      <c r="AG132" s="1479">
        <f t="shared" si="117"/>
        <v>53518609.720052145</v>
      </c>
      <c r="AH132" s="1646">
        <f t="shared" si="100"/>
        <v>243806999.83579305</v>
      </c>
    </row>
    <row r="133" spans="1:34" s="1390" customFormat="1" ht="40.5" customHeight="1" x14ac:dyDescent="0.2">
      <c r="A133" s="1391"/>
      <c r="B133" s="1477"/>
      <c r="C133" s="1660">
        <v>121</v>
      </c>
      <c r="D133" s="1455" t="s">
        <v>4303</v>
      </c>
      <c r="E133" s="1501" t="s">
        <v>1887</v>
      </c>
      <c r="F133" s="1501" t="s">
        <v>1924</v>
      </c>
      <c r="G133" s="1416" t="s">
        <v>43</v>
      </c>
      <c r="H133" s="1416" t="s">
        <v>2492</v>
      </c>
      <c r="I133" s="1414" t="s">
        <v>736</v>
      </c>
      <c r="J133" s="1416">
        <v>120</v>
      </c>
      <c r="K133" s="1455" t="s">
        <v>2894</v>
      </c>
      <c r="L133" s="1416">
        <v>2011</v>
      </c>
      <c r="M133" s="1429" t="s">
        <v>5339</v>
      </c>
      <c r="N133" s="1501"/>
      <c r="O133" s="1416"/>
      <c r="P133" s="1414"/>
      <c r="Q133" s="1501" t="s">
        <v>12</v>
      </c>
      <c r="R133" s="1539">
        <v>347018145.06558543</v>
      </c>
      <c r="S133" s="1661"/>
      <c r="T133" s="1490"/>
      <c r="U133" s="1645" t="str">
        <f t="shared" si="118"/>
        <v>03.11.01</v>
      </c>
      <c r="V133" s="1478" t="str">
        <f t="shared" si="102"/>
        <v>Bangunan Gedung Tempat Kerja</v>
      </c>
      <c r="W133" s="1478">
        <f t="shared" si="103"/>
        <v>50</v>
      </c>
      <c r="X133" s="1401">
        <f t="shared" si="108"/>
        <v>6940362.9013117086</v>
      </c>
      <c r="Y133" s="1629">
        <f t="shared" si="109"/>
        <v>3</v>
      </c>
      <c r="Z133" s="1401">
        <f t="shared" si="110"/>
        <v>20821088.703935124</v>
      </c>
      <c r="AA133" s="1401">
        <f t="shared" si="111"/>
        <v>6940362.9013117086</v>
      </c>
      <c r="AB133" s="1401">
        <f t="shared" si="112"/>
        <v>6940362.9013117086</v>
      </c>
      <c r="AC133" s="1401">
        <f t="shared" si="113"/>
        <v>6940362.9013117086</v>
      </c>
      <c r="AD133" s="1479">
        <f t="shared" si="114"/>
        <v>6940362.9013117086</v>
      </c>
      <c r="AE133" s="1479">
        <f t="shared" si="115"/>
        <v>6940362.9013117086</v>
      </c>
      <c r="AF133" s="1479">
        <f t="shared" si="116"/>
        <v>6940362.9013117086</v>
      </c>
      <c r="AG133" s="1479">
        <f t="shared" si="117"/>
        <v>62463266.111805387</v>
      </c>
      <c r="AH133" s="1646">
        <f t="shared" si="100"/>
        <v>284554878.95378006</v>
      </c>
    </row>
    <row r="134" spans="1:34" s="1390" customFormat="1" ht="40.5" customHeight="1" x14ac:dyDescent="0.2">
      <c r="A134" s="1391"/>
      <c r="B134" s="1477"/>
      <c r="C134" s="1660">
        <v>122</v>
      </c>
      <c r="D134" s="1455" t="s">
        <v>4304</v>
      </c>
      <c r="E134" s="1501" t="s">
        <v>1887</v>
      </c>
      <c r="F134" s="1501" t="s">
        <v>1927</v>
      </c>
      <c r="G134" s="1416" t="s">
        <v>43</v>
      </c>
      <c r="H134" s="1416" t="s">
        <v>2492</v>
      </c>
      <c r="I134" s="1414" t="s">
        <v>736</v>
      </c>
      <c r="J134" s="1416"/>
      <c r="K134" s="1455" t="s">
        <v>2895</v>
      </c>
      <c r="L134" s="1416">
        <v>2011</v>
      </c>
      <c r="M134" s="1429" t="s">
        <v>5353</v>
      </c>
      <c r="N134" s="1501"/>
      <c r="O134" s="1416"/>
      <c r="P134" s="1414"/>
      <c r="Q134" s="1501" t="s">
        <v>12</v>
      </c>
      <c r="R134" s="1539">
        <v>306126753.72545201</v>
      </c>
      <c r="S134" s="1661"/>
      <c r="T134" s="1490"/>
      <c r="U134" s="1645" t="str">
        <f t="shared" si="118"/>
        <v>03.11.01</v>
      </c>
      <c r="V134" s="1478" t="str">
        <f t="shared" si="102"/>
        <v>Bangunan Gedung Tempat Kerja</v>
      </c>
      <c r="W134" s="1478">
        <f t="shared" si="103"/>
        <v>50</v>
      </c>
      <c r="X134" s="1401">
        <f t="shared" si="108"/>
        <v>6122535.0745090405</v>
      </c>
      <c r="Y134" s="1629">
        <f t="shared" si="109"/>
        <v>3</v>
      </c>
      <c r="Z134" s="1401">
        <f t="shared" si="110"/>
        <v>18367605.223527122</v>
      </c>
      <c r="AA134" s="1401">
        <f t="shared" si="111"/>
        <v>6122535.0745090405</v>
      </c>
      <c r="AB134" s="1401">
        <f t="shared" si="112"/>
        <v>6122535.0745090405</v>
      </c>
      <c r="AC134" s="1401">
        <f t="shared" si="113"/>
        <v>6122535.0745090405</v>
      </c>
      <c r="AD134" s="1479">
        <f t="shared" si="114"/>
        <v>6122535.0745090405</v>
      </c>
      <c r="AE134" s="1479">
        <f t="shared" si="115"/>
        <v>6122535.0745090405</v>
      </c>
      <c r="AF134" s="1479">
        <f t="shared" si="116"/>
        <v>6122535.0745090405</v>
      </c>
      <c r="AG134" s="1479">
        <f t="shared" si="117"/>
        <v>55102815.670581363</v>
      </c>
      <c r="AH134" s="1646">
        <f t="shared" si="100"/>
        <v>251023938.05487064</v>
      </c>
    </row>
    <row r="135" spans="1:34" s="1390" customFormat="1" ht="40.5" customHeight="1" x14ac:dyDescent="0.2">
      <c r="A135" s="1391"/>
      <c r="B135" s="1477"/>
      <c r="C135" s="1660">
        <v>123</v>
      </c>
      <c r="D135" s="1455" t="s">
        <v>2699</v>
      </c>
      <c r="E135" s="1501" t="s">
        <v>2845</v>
      </c>
      <c r="F135" s="1501"/>
      <c r="G135" s="1416" t="s">
        <v>43</v>
      </c>
      <c r="H135" s="1416"/>
      <c r="I135" s="1414"/>
      <c r="J135" s="1416"/>
      <c r="K135" s="1455" t="s">
        <v>1931</v>
      </c>
      <c r="L135" s="1416">
        <v>2012</v>
      </c>
      <c r="M135" s="1429"/>
      <c r="N135" s="1501"/>
      <c r="O135" s="1416"/>
      <c r="P135" s="1414"/>
      <c r="Q135" s="1501" t="s">
        <v>12</v>
      </c>
      <c r="R135" s="1539">
        <v>500000000</v>
      </c>
      <c r="S135" s="1661"/>
      <c r="T135" s="1490"/>
      <c r="U135" s="1645" t="str">
        <f t="shared" ref="U135:U143" si="119">LEFT(E135,8)</f>
        <v>03.11.01</v>
      </c>
      <c r="V135" s="1478" t="str">
        <f t="shared" si="102"/>
        <v>Bangunan Gedung Tempat Kerja</v>
      </c>
      <c r="W135" s="1478">
        <f t="shared" si="103"/>
        <v>50</v>
      </c>
      <c r="X135" s="1401">
        <f t="shared" si="108"/>
        <v>10000000</v>
      </c>
      <c r="Y135" s="1629">
        <f t="shared" si="109"/>
        <v>2</v>
      </c>
      <c r="Z135" s="1401">
        <f t="shared" si="110"/>
        <v>20000000</v>
      </c>
      <c r="AA135" s="1401">
        <f t="shared" si="111"/>
        <v>10000000</v>
      </c>
      <c r="AB135" s="1401">
        <f t="shared" si="112"/>
        <v>10000000</v>
      </c>
      <c r="AC135" s="1401">
        <f t="shared" si="113"/>
        <v>10000000</v>
      </c>
      <c r="AD135" s="1479">
        <f t="shared" si="114"/>
        <v>10000000</v>
      </c>
      <c r="AE135" s="1479">
        <f t="shared" si="115"/>
        <v>10000000</v>
      </c>
      <c r="AF135" s="1479">
        <f t="shared" si="116"/>
        <v>10000000</v>
      </c>
      <c r="AG135" s="1479">
        <f t="shared" si="117"/>
        <v>80000000</v>
      </c>
      <c r="AH135" s="1646">
        <f t="shared" si="100"/>
        <v>420000000</v>
      </c>
    </row>
    <row r="136" spans="1:34" s="1390" customFormat="1" ht="40.5" customHeight="1" x14ac:dyDescent="0.2">
      <c r="A136" s="1391"/>
      <c r="B136" s="1477"/>
      <c r="C136" s="1660">
        <v>124</v>
      </c>
      <c r="D136" s="1455" t="s">
        <v>2700</v>
      </c>
      <c r="E136" s="1501" t="s">
        <v>2845</v>
      </c>
      <c r="F136" s="1501"/>
      <c r="G136" s="1416" t="s">
        <v>43</v>
      </c>
      <c r="H136" s="1416"/>
      <c r="I136" s="1414"/>
      <c r="J136" s="1416"/>
      <c r="K136" s="1455" t="s">
        <v>1931</v>
      </c>
      <c r="L136" s="1416">
        <v>2012</v>
      </c>
      <c r="M136" s="1429"/>
      <c r="N136" s="1501"/>
      <c r="O136" s="1416"/>
      <c r="P136" s="1414"/>
      <c r="Q136" s="1501" t="s">
        <v>12</v>
      </c>
      <c r="R136" s="1539">
        <v>712591462.12766397</v>
      </c>
      <c r="S136" s="1661"/>
      <c r="T136" s="1490"/>
      <c r="U136" s="1645" t="str">
        <f t="shared" si="119"/>
        <v>03.11.01</v>
      </c>
      <c r="V136" s="1478" t="str">
        <f t="shared" si="102"/>
        <v>Bangunan Gedung Tempat Kerja</v>
      </c>
      <c r="W136" s="1478">
        <f t="shared" si="103"/>
        <v>50</v>
      </c>
      <c r="X136" s="1401">
        <f t="shared" si="108"/>
        <v>14251829.242553279</v>
      </c>
      <c r="Y136" s="1629">
        <f t="shared" si="109"/>
        <v>2</v>
      </c>
      <c r="Z136" s="1401">
        <f t="shared" si="110"/>
        <v>28503658.485106558</v>
      </c>
      <c r="AA136" s="1401">
        <f t="shared" si="111"/>
        <v>14251829.242553279</v>
      </c>
      <c r="AB136" s="1401">
        <f t="shared" si="112"/>
        <v>14251829.242553279</v>
      </c>
      <c r="AC136" s="1401">
        <f t="shared" si="113"/>
        <v>14251829.242553279</v>
      </c>
      <c r="AD136" s="1479">
        <f t="shared" si="114"/>
        <v>14251829.242553279</v>
      </c>
      <c r="AE136" s="1479">
        <f t="shared" si="115"/>
        <v>14251829.242553279</v>
      </c>
      <c r="AF136" s="1479">
        <f t="shared" si="116"/>
        <v>14251829.242553279</v>
      </c>
      <c r="AG136" s="1479">
        <f t="shared" si="117"/>
        <v>114014633.94042623</v>
      </c>
      <c r="AH136" s="1646">
        <f t="shared" si="100"/>
        <v>598576828.18723774</v>
      </c>
    </row>
    <row r="137" spans="1:34" s="1390" customFormat="1" ht="40.5" customHeight="1" x14ac:dyDescent="0.2">
      <c r="A137" s="1391"/>
      <c r="B137" s="1477"/>
      <c r="C137" s="1660">
        <v>125</v>
      </c>
      <c r="D137" s="1455" t="s">
        <v>2699</v>
      </c>
      <c r="E137" s="1501" t="s">
        <v>2845</v>
      </c>
      <c r="F137" s="1501"/>
      <c r="G137" s="1416" t="s">
        <v>43</v>
      </c>
      <c r="H137" s="1416"/>
      <c r="I137" s="1414"/>
      <c r="J137" s="1416"/>
      <c r="K137" s="1455" t="s">
        <v>1931</v>
      </c>
      <c r="L137" s="1416">
        <v>2012</v>
      </c>
      <c r="M137" s="1429"/>
      <c r="N137" s="1501"/>
      <c r="O137" s="1416"/>
      <c r="P137" s="1414"/>
      <c r="Q137" s="1501" t="s">
        <v>12</v>
      </c>
      <c r="R137" s="1539">
        <v>640564729.19418764</v>
      </c>
      <c r="S137" s="1661"/>
      <c r="T137" s="1490"/>
      <c r="U137" s="1645" t="str">
        <f t="shared" si="119"/>
        <v>03.11.01</v>
      </c>
      <c r="V137" s="1478" t="str">
        <f t="shared" si="102"/>
        <v>Bangunan Gedung Tempat Kerja</v>
      </c>
      <c r="W137" s="1478">
        <f t="shared" si="103"/>
        <v>50</v>
      </c>
      <c r="X137" s="1401">
        <f t="shared" si="108"/>
        <v>12811294.583883753</v>
      </c>
      <c r="Y137" s="1629">
        <f t="shared" si="109"/>
        <v>2</v>
      </c>
      <c r="Z137" s="1401">
        <f t="shared" si="110"/>
        <v>25622589.167767506</v>
      </c>
      <c r="AA137" s="1401">
        <f t="shared" si="111"/>
        <v>12811294.583883753</v>
      </c>
      <c r="AB137" s="1401">
        <f t="shared" si="112"/>
        <v>12811294.583883753</v>
      </c>
      <c r="AC137" s="1401">
        <f t="shared" si="113"/>
        <v>12811294.583883753</v>
      </c>
      <c r="AD137" s="1479">
        <f t="shared" si="114"/>
        <v>12811294.583883753</v>
      </c>
      <c r="AE137" s="1479">
        <f t="shared" si="115"/>
        <v>12811294.583883753</v>
      </c>
      <c r="AF137" s="1479">
        <f t="shared" si="116"/>
        <v>12811294.583883753</v>
      </c>
      <c r="AG137" s="1479">
        <f t="shared" si="117"/>
        <v>102490356.67107001</v>
      </c>
      <c r="AH137" s="1646">
        <f t="shared" si="100"/>
        <v>538074372.52311766</v>
      </c>
    </row>
    <row r="138" spans="1:34" s="1390" customFormat="1" ht="40.5" customHeight="1" x14ac:dyDescent="0.2">
      <c r="A138" s="1391"/>
      <c r="B138" s="1477"/>
      <c r="C138" s="1660">
        <v>126</v>
      </c>
      <c r="D138" s="1455" t="s">
        <v>2699</v>
      </c>
      <c r="E138" s="1501" t="s">
        <v>2845</v>
      </c>
      <c r="F138" s="1501"/>
      <c r="G138" s="1416" t="s">
        <v>43</v>
      </c>
      <c r="H138" s="1416"/>
      <c r="I138" s="1414"/>
      <c r="J138" s="1416"/>
      <c r="K138" s="1455" t="s">
        <v>1931</v>
      </c>
      <c r="L138" s="1416">
        <v>2012</v>
      </c>
      <c r="M138" s="1429"/>
      <c r="N138" s="1501"/>
      <c r="O138" s="1416"/>
      <c r="P138" s="1414"/>
      <c r="Q138" s="1501" t="s">
        <v>12</v>
      </c>
      <c r="R138" s="1539">
        <v>349398943.19682962</v>
      </c>
      <c r="S138" s="1661"/>
      <c r="T138" s="1490"/>
      <c r="U138" s="1645" t="str">
        <f t="shared" si="119"/>
        <v>03.11.01</v>
      </c>
      <c r="V138" s="1478" t="str">
        <f t="shared" si="102"/>
        <v>Bangunan Gedung Tempat Kerja</v>
      </c>
      <c r="W138" s="1478">
        <f t="shared" si="103"/>
        <v>50</v>
      </c>
      <c r="X138" s="1401">
        <f t="shared" si="108"/>
        <v>6987978.8639365919</v>
      </c>
      <c r="Y138" s="1629">
        <f t="shared" si="109"/>
        <v>2</v>
      </c>
      <c r="Z138" s="1401">
        <f t="shared" si="110"/>
        <v>13975957.727873184</v>
      </c>
      <c r="AA138" s="1401">
        <f t="shared" si="111"/>
        <v>6987978.8639365919</v>
      </c>
      <c r="AB138" s="1401">
        <f t="shared" si="112"/>
        <v>6987978.8639365919</v>
      </c>
      <c r="AC138" s="1401">
        <f t="shared" si="113"/>
        <v>6987978.8639365919</v>
      </c>
      <c r="AD138" s="1479">
        <f t="shared" si="114"/>
        <v>6987978.8639365919</v>
      </c>
      <c r="AE138" s="1479">
        <f t="shared" si="115"/>
        <v>6987978.8639365919</v>
      </c>
      <c r="AF138" s="1479">
        <f t="shared" si="116"/>
        <v>6987978.8639365919</v>
      </c>
      <c r="AG138" s="1479">
        <f t="shared" si="117"/>
        <v>55903830.91149272</v>
      </c>
      <c r="AH138" s="1646">
        <f t="shared" si="100"/>
        <v>293495112.28533691</v>
      </c>
    </row>
    <row r="139" spans="1:34" s="1390" customFormat="1" ht="40.5" customHeight="1" x14ac:dyDescent="0.2">
      <c r="A139" s="1391"/>
      <c r="B139" s="1477"/>
      <c r="C139" s="1660">
        <v>127</v>
      </c>
      <c r="D139" s="1455" t="s">
        <v>5782</v>
      </c>
      <c r="E139" s="1501" t="s">
        <v>1752</v>
      </c>
      <c r="F139" s="1501" t="s">
        <v>1855</v>
      </c>
      <c r="G139" s="1416" t="s">
        <v>43</v>
      </c>
      <c r="H139" s="1416" t="s">
        <v>2492</v>
      </c>
      <c r="I139" s="1414" t="s">
        <v>736</v>
      </c>
      <c r="J139" s="1416"/>
      <c r="K139" s="1455" t="s">
        <v>2614</v>
      </c>
      <c r="L139" s="1416">
        <v>2012</v>
      </c>
      <c r="M139" s="1429" t="s">
        <v>5354</v>
      </c>
      <c r="N139" s="1501"/>
      <c r="O139" s="1416"/>
      <c r="P139" s="1414"/>
      <c r="Q139" s="1501" t="s">
        <v>12</v>
      </c>
      <c r="R139" s="1539">
        <v>39847000</v>
      </c>
      <c r="S139" s="1661"/>
      <c r="T139" s="1490"/>
      <c r="U139" s="1645" t="str">
        <f t="shared" si="119"/>
        <v>03.11.01</v>
      </c>
      <c r="V139" s="1478" t="str">
        <f t="shared" si="102"/>
        <v>Bangunan Gedung Tempat Kerja</v>
      </c>
      <c r="W139" s="1478">
        <f t="shared" si="103"/>
        <v>50</v>
      </c>
      <c r="X139" s="1401">
        <f t="shared" si="108"/>
        <v>796940</v>
      </c>
      <c r="Y139" s="1629">
        <f t="shared" si="109"/>
        <v>2</v>
      </c>
      <c r="Z139" s="1401">
        <f t="shared" si="110"/>
        <v>1593880</v>
      </c>
      <c r="AA139" s="1401">
        <f t="shared" si="111"/>
        <v>796940</v>
      </c>
      <c r="AB139" s="1401">
        <f t="shared" si="112"/>
        <v>796940</v>
      </c>
      <c r="AC139" s="1401">
        <f t="shared" si="113"/>
        <v>796940</v>
      </c>
      <c r="AD139" s="1479">
        <f t="shared" si="114"/>
        <v>796940</v>
      </c>
      <c r="AE139" s="1479">
        <f t="shared" si="115"/>
        <v>796940</v>
      </c>
      <c r="AF139" s="1479">
        <f t="shared" si="116"/>
        <v>796940</v>
      </c>
      <c r="AG139" s="1479">
        <f t="shared" si="117"/>
        <v>6375520</v>
      </c>
      <c r="AH139" s="1646">
        <f t="shared" si="100"/>
        <v>33471480</v>
      </c>
    </row>
    <row r="140" spans="1:34" s="1390" customFormat="1" ht="40.5" customHeight="1" x14ac:dyDescent="0.2">
      <c r="A140" s="1391"/>
      <c r="B140" s="1477"/>
      <c r="C140" s="1660">
        <v>128</v>
      </c>
      <c r="D140" s="1455" t="s">
        <v>2710</v>
      </c>
      <c r="E140" s="1501" t="s">
        <v>2843</v>
      </c>
      <c r="F140" s="1501"/>
      <c r="G140" s="1416" t="s">
        <v>43</v>
      </c>
      <c r="H140" s="1416"/>
      <c r="I140" s="1414"/>
      <c r="J140" s="1416"/>
      <c r="K140" s="1455" t="s">
        <v>2903</v>
      </c>
      <c r="L140" s="1416">
        <v>2012</v>
      </c>
      <c r="M140" s="1429"/>
      <c r="N140" s="1501"/>
      <c r="O140" s="1416"/>
      <c r="P140" s="1414"/>
      <c r="Q140" s="1501" t="s">
        <v>12</v>
      </c>
      <c r="R140" s="1539">
        <v>107448943.1871327</v>
      </c>
      <c r="S140" s="1661"/>
      <c r="T140" s="1490"/>
      <c r="U140" s="1645" t="str">
        <f t="shared" si="119"/>
        <v>03.11.01</v>
      </c>
      <c r="V140" s="1478" t="str">
        <f t="shared" si="102"/>
        <v>Bangunan Gedung Tempat Kerja</v>
      </c>
      <c r="W140" s="1478">
        <f t="shared" si="103"/>
        <v>50</v>
      </c>
      <c r="X140" s="1401">
        <f t="shared" si="108"/>
        <v>2148978.8637426542</v>
      </c>
      <c r="Y140" s="1629">
        <f t="shared" si="109"/>
        <v>2</v>
      </c>
      <c r="Z140" s="1401">
        <f t="shared" si="110"/>
        <v>4297957.7274853084</v>
      </c>
      <c r="AA140" s="1401">
        <f t="shared" si="111"/>
        <v>2148978.8637426542</v>
      </c>
      <c r="AB140" s="1401">
        <f t="shared" si="112"/>
        <v>2148978.8637426542</v>
      </c>
      <c r="AC140" s="1401">
        <f t="shared" si="113"/>
        <v>2148978.8637426542</v>
      </c>
      <c r="AD140" s="1479">
        <f t="shared" si="114"/>
        <v>2148978.8637426542</v>
      </c>
      <c r="AE140" s="1479">
        <f t="shared" si="115"/>
        <v>2148978.8637426542</v>
      </c>
      <c r="AF140" s="1479">
        <f t="shared" si="116"/>
        <v>2148978.8637426542</v>
      </c>
      <c r="AG140" s="1479">
        <f t="shared" si="117"/>
        <v>17191830.90994123</v>
      </c>
      <c r="AH140" s="1646">
        <f t="shared" ref="AH140:AH159" si="120">R140-AG140</f>
        <v>90257112.277191475</v>
      </c>
    </row>
    <row r="141" spans="1:34" s="1390" customFormat="1" ht="40.5" customHeight="1" x14ac:dyDescent="0.2">
      <c r="A141" s="1391"/>
      <c r="B141" s="1477"/>
      <c r="C141" s="1660">
        <v>129</v>
      </c>
      <c r="D141" s="1455" t="s">
        <v>2711</v>
      </c>
      <c r="E141" s="1501" t="s">
        <v>1752</v>
      </c>
      <c r="F141" s="1501" t="s">
        <v>1870</v>
      </c>
      <c r="G141" s="1416" t="s">
        <v>43</v>
      </c>
      <c r="H141" s="1416" t="s">
        <v>2492</v>
      </c>
      <c r="I141" s="1414" t="s">
        <v>736</v>
      </c>
      <c r="J141" s="1416"/>
      <c r="K141" s="1455" t="s">
        <v>1958</v>
      </c>
      <c r="L141" s="1416">
        <v>2012</v>
      </c>
      <c r="M141" s="1429" t="s">
        <v>5355</v>
      </c>
      <c r="N141" s="1501"/>
      <c r="O141" s="1416"/>
      <c r="P141" s="1414"/>
      <c r="Q141" s="1501" t="s">
        <v>12</v>
      </c>
      <c r="R141" s="1539">
        <v>81058991.464514166</v>
      </c>
      <c r="S141" s="1661"/>
      <c r="T141" s="1490"/>
      <c r="U141" s="1645" t="str">
        <f t="shared" si="119"/>
        <v>03.11.01</v>
      </c>
      <c r="V141" s="1478" t="str">
        <f t="shared" si="102"/>
        <v>Bangunan Gedung Tempat Kerja</v>
      </c>
      <c r="W141" s="1478">
        <f t="shared" si="103"/>
        <v>50</v>
      </c>
      <c r="X141" s="1401">
        <f t="shared" si="108"/>
        <v>1621179.8292902834</v>
      </c>
      <c r="Y141" s="1629">
        <f t="shared" si="109"/>
        <v>2</v>
      </c>
      <c r="Z141" s="1401">
        <f t="shared" si="110"/>
        <v>3242359.6585805668</v>
      </c>
      <c r="AA141" s="1401">
        <f t="shared" si="111"/>
        <v>1621179.8292902834</v>
      </c>
      <c r="AB141" s="1401">
        <f t="shared" si="112"/>
        <v>1621179.8292902834</v>
      </c>
      <c r="AC141" s="1401">
        <f t="shared" si="113"/>
        <v>1621179.8292902834</v>
      </c>
      <c r="AD141" s="1479">
        <f t="shared" si="114"/>
        <v>1621179.8292902834</v>
      </c>
      <c r="AE141" s="1479">
        <f t="shared" si="115"/>
        <v>1621179.8292902834</v>
      </c>
      <c r="AF141" s="1479">
        <f t="shared" si="116"/>
        <v>1621179.8292902834</v>
      </c>
      <c r="AG141" s="1479">
        <f t="shared" si="117"/>
        <v>12969438.634322269</v>
      </c>
      <c r="AH141" s="1646">
        <f t="shared" si="120"/>
        <v>68089552.830191895</v>
      </c>
    </row>
    <row r="142" spans="1:34" s="1390" customFormat="1" ht="40.5" customHeight="1" x14ac:dyDescent="0.2">
      <c r="A142" s="1391"/>
      <c r="B142" s="1477"/>
      <c r="C142" s="1660">
        <v>130</v>
      </c>
      <c r="D142" s="1455" t="s">
        <v>5783</v>
      </c>
      <c r="E142" s="1501" t="s">
        <v>1752</v>
      </c>
      <c r="F142" s="1501" t="s">
        <v>1888</v>
      </c>
      <c r="G142" s="1416" t="s">
        <v>43</v>
      </c>
      <c r="H142" s="1416" t="s">
        <v>2492</v>
      </c>
      <c r="I142" s="1414" t="s">
        <v>736</v>
      </c>
      <c r="J142" s="1416">
        <v>120</v>
      </c>
      <c r="K142" s="1455" t="s">
        <v>5666</v>
      </c>
      <c r="L142" s="1416">
        <v>2012</v>
      </c>
      <c r="M142" s="1429" t="s">
        <v>5356</v>
      </c>
      <c r="N142" s="1501"/>
      <c r="O142" s="1416"/>
      <c r="P142" s="1414"/>
      <c r="Q142" s="1501" t="s">
        <v>12</v>
      </c>
      <c r="R142" s="1539">
        <v>351466878.48290658</v>
      </c>
      <c r="S142" s="1661"/>
      <c r="T142" s="1490"/>
      <c r="U142" s="1645" t="str">
        <f t="shared" si="119"/>
        <v>03.11.01</v>
      </c>
      <c r="V142" s="1478" t="str">
        <f t="shared" si="102"/>
        <v>Bangunan Gedung Tempat Kerja</v>
      </c>
      <c r="W142" s="1478">
        <f t="shared" si="103"/>
        <v>50</v>
      </c>
      <c r="X142" s="1401">
        <f t="shared" si="108"/>
        <v>7029337.5696581313</v>
      </c>
      <c r="Y142" s="1629">
        <f t="shared" si="109"/>
        <v>2</v>
      </c>
      <c r="Z142" s="1401">
        <f t="shared" si="110"/>
        <v>14058675.139316263</v>
      </c>
      <c r="AA142" s="1401">
        <f t="shared" si="111"/>
        <v>7029337.5696581313</v>
      </c>
      <c r="AB142" s="1401">
        <f t="shared" si="112"/>
        <v>7029337.5696581313</v>
      </c>
      <c r="AC142" s="1401">
        <f t="shared" si="113"/>
        <v>7029337.5696581313</v>
      </c>
      <c r="AD142" s="1479">
        <f t="shared" si="114"/>
        <v>7029337.5696581313</v>
      </c>
      <c r="AE142" s="1479">
        <f t="shared" si="115"/>
        <v>7029337.5696581313</v>
      </c>
      <c r="AF142" s="1479">
        <f t="shared" si="116"/>
        <v>7029337.5696581313</v>
      </c>
      <c r="AG142" s="1479">
        <f t="shared" si="117"/>
        <v>56234700.557265051</v>
      </c>
      <c r="AH142" s="1646">
        <f t="shared" si="120"/>
        <v>295232177.92564154</v>
      </c>
    </row>
    <row r="143" spans="1:34" s="1390" customFormat="1" ht="40.5" customHeight="1" x14ac:dyDescent="0.2">
      <c r="A143" s="1391"/>
      <c r="B143" s="1477"/>
      <c r="C143" s="1660">
        <v>131</v>
      </c>
      <c r="D143" s="1455" t="s">
        <v>5784</v>
      </c>
      <c r="E143" s="1501" t="s">
        <v>1752</v>
      </c>
      <c r="F143" s="1501" t="s">
        <v>1895</v>
      </c>
      <c r="G143" s="1416" t="s">
        <v>43</v>
      </c>
      <c r="H143" s="1416" t="s">
        <v>2492</v>
      </c>
      <c r="I143" s="1414" t="s">
        <v>736</v>
      </c>
      <c r="J143" s="1416">
        <v>120</v>
      </c>
      <c r="K143" s="1455" t="s">
        <v>5667</v>
      </c>
      <c r="L143" s="1416">
        <v>2012</v>
      </c>
      <c r="M143" s="1429" t="s">
        <v>5357</v>
      </c>
      <c r="N143" s="1501"/>
      <c r="O143" s="1416"/>
      <c r="P143" s="1414"/>
      <c r="Q143" s="1501" t="s">
        <v>12</v>
      </c>
      <c r="R143" s="1539">
        <v>362976238.0473305</v>
      </c>
      <c r="S143" s="1661"/>
      <c r="T143" s="1490"/>
      <c r="U143" s="1645" t="str">
        <f t="shared" si="119"/>
        <v>03.11.01</v>
      </c>
      <c r="V143" s="1478" t="str">
        <f t="shared" si="102"/>
        <v>Bangunan Gedung Tempat Kerja</v>
      </c>
      <c r="W143" s="1478">
        <f t="shared" si="103"/>
        <v>50</v>
      </c>
      <c r="X143" s="1401">
        <f t="shared" si="108"/>
        <v>7259524.76094661</v>
      </c>
      <c r="Y143" s="1629">
        <f t="shared" si="109"/>
        <v>2</v>
      </c>
      <c r="Z143" s="1401">
        <f t="shared" si="110"/>
        <v>14519049.52189322</v>
      </c>
      <c r="AA143" s="1401">
        <f t="shared" si="111"/>
        <v>7259524.76094661</v>
      </c>
      <c r="AB143" s="1401">
        <f t="shared" si="112"/>
        <v>7259524.76094661</v>
      </c>
      <c r="AC143" s="1401">
        <f t="shared" si="113"/>
        <v>7259524.76094661</v>
      </c>
      <c r="AD143" s="1479">
        <f t="shared" si="114"/>
        <v>7259524.76094661</v>
      </c>
      <c r="AE143" s="1479">
        <f t="shared" si="115"/>
        <v>7259524.76094661</v>
      </c>
      <c r="AF143" s="1479">
        <f t="shared" si="116"/>
        <v>7259524.76094661</v>
      </c>
      <c r="AG143" s="1479">
        <f t="shared" si="117"/>
        <v>58076198.08757288</v>
      </c>
      <c r="AH143" s="1646">
        <f t="shared" si="120"/>
        <v>304900039.95975763</v>
      </c>
    </row>
    <row r="144" spans="1:34" s="1390" customFormat="1" ht="40.5" customHeight="1" x14ac:dyDescent="0.2">
      <c r="A144" s="1391"/>
      <c r="B144" s="1477"/>
      <c r="C144" s="1660">
        <v>132</v>
      </c>
      <c r="D144" s="1455" t="s">
        <v>5785</v>
      </c>
      <c r="E144" s="1501" t="s">
        <v>1752</v>
      </c>
      <c r="F144" s="1501" t="s">
        <v>1899</v>
      </c>
      <c r="G144" s="1416" t="s">
        <v>43</v>
      </c>
      <c r="H144" s="1416" t="s">
        <v>2492</v>
      </c>
      <c r="I144" s="1414" t="s">
        <v>736</v>
      </c>
      <c r="J144" s="1416">
        <v>120</v>
      </c>
      <c r="K144" s="1455" t="s">
        <v>5668</v>
      </c>
      <c r="L144" s="1416">
        <v>2012</v>
      </c>
      <c r="M144" s="1429" t="s">
        <v>5358</v>
      </c>
      <c r="N144" s="1501"/>
      <c r="O144" s="1416"/>
      <c r="P144" s="1414"/>
      <c r="Q144" s="1501" t="s">
        <v>12</v>
      </c>
      <c r="R144" s="1539">
        <v>392223433.04041535</v>
      </c>
      <c r="S144" s="1661"/>
      <c r="T144" s="1490"/>
      <c r="U144" s="1645" t="str">
        <f t="shared" ref="U144:U151" si="121">LEFT(E144,8)</f>
        <v>03.11.01</v>
      </c>
      <c r="V144" s="1478" t="str">
        <f t="shared" si="102"/>
        <v>Bangunan Gedung Tempat Kerja</v>
      </c>
      <c r="W144" s="1478">
        <f t="shared" si="103"/>
        <v>50</v>
      </c>
      <c r="X144" s="1401">
        <f t="shared" si="108"/>
        <v>7844468.6608083071</v>
      </c>
      <c r="Y144" s="1629">
        <f t="shared" si="109"/>
        <v>2</v>
      </c>
      <c r="Z144" s="1401">
        <f t="shared" si="110"/>
        <v>15688937.321616614</v>
      </c>
      <c r="AA144" s="1401">
        <f t="shared" si="111"/>
        <v>7844468.6608083071</v>
      </c>
      <c r="AB144" s="1401">
        <f t="shared" si="112"/>
        <v>7844468.6608083071</v>
      </c>
      <c r="AC144" s="1401">
        <f t="shared" si="113"/>
        <v>7844468.6608083071</v>
      </c>
      <c r="AD144" s="1479">
        <f t="shared" si="114"/>
        <v>7844468.6608083071</v>
      </c>
      <c r="AE144" s="1479">
        <f t="shared" si="115"/>
        <v>7844468.6608083071</v>
      </c>
      <c r="AF144" s="1479">
        <f t="shared" si="116"/>
        <v>7844468.6608083071</v>
      </c>
      <c r="AG144" s="1479">
        <f t="shared" si="117"/>
        <v>62755749.286466464</v>
      </c>
      <c r="AH144" s="1646">
        <f t="shared" si="120"/>
        <v>329467683.75394887</v>
      </c>
    </row>
    <row r="145" spans="1:36" s="1390" customFormat="1" ht="40.5" customHeight="1" x14ac:dyDescent="0.2">
      <c r="A145" s="1391">
        <v>46</v>
      </c>
      <c r="B145" s="1477" t="s">
        <v>4292</v>
      </c>
      <c r="C145" s="1660">
        <v>133</v>
      </c>
      <c r="D145" s="1455" t="s">
        <v>4292</v>
      </c>
      <c r="E145" s="1501" t="s">
        <v>1772</v>
      </c>
      <c r="F145" s="1501" t="s">
        <v>68</v>
      </c>
      <c r="G145" s="1416" t="s">
        <v>43</v>
      </c>
      <c r="H145" s="1416" t="s">
        <v>2492</v>
      </c>
      <c r="I145" s="1414" t="s">
        <v>736</v>
      </c>
      <c r="J145" s="1416"/>
      <c r="K145" s="1455" t="s">
        <v>2902</v>
      </c>
      <c r="L145" s="1416">
        <v>2012</v>
      </c>
      <c r="M145" s="1429" t="s">
        <v>5359</v>
      </c>
      <c r="N145" s="1501"/>
      <c r="O145" s="1416"/>
      <c r="P145" s="1414"/>
      <c r="Q145" s="1501" t="s">
        <v>12</v>
      </c>
      <c r="R145" s="1539">
        <v>2016291816.22651</v>
      </c>
      <c r="S145" s="1661"/>
      <c r="T145" s="1490"/>
      <c r="U145" s="1522" t="str">
        <f>LEFT(E145,8)</f>
        <v>03.11.01</v>
      </c>
      <c r="V145" s="1478" t="str">
        <f>VLOOKUP(U145,UE,3)</f>
        <v>Bangunan Gedung Tempat Kerja</v>
      </c>
      <c r="W145" s="1478">
        <f>VLOOKUP(U145,UE,4)</f>
        <v>50</v>
      </c>
      <c r="X145" s="1401"/>
      <c r="Y145" s="1629"/>
      <c r="Z145" s="1401">
        <f>SUM('PERHITUNGAN (C)'!U632:U634)</f>
        <v>80651672.649060398</v>
      </c>
      <c r="AA145" s="1479">
        <f>SUMIF('PERHITUNGAN (C)'!$A:$A,'KIB C'!B145&amp;'KIB C'!$AA$7,'PERHITUNGAN (C)'!$U:$U)</f>
        <v>40325836.324530199</v>
      </c>
      <c r="AB145" s="1479">
        <f>SUMIF('PERHITUNGAN (C)'!$A:$A,'KIB C'!B145&amp;'KIB C'!$AB$7,'PERHITUNGAN (C)'!$U:$U)</f>
        <v>40325836.324530199</v>
      </c>
      <c r="AC145" s="1479">
        <f>SUMIF('PERHITUNGAN (C)'!$A:$A,'KIB C'!B145&amp;'KIB C'!$AC$7,'PERHITUNGAN (C)'!$U:$U)</f>
        <v>40325836.324530199</v>
      </c>
      <c r="AD145" s="1479">
        <f>SUMIF('PERHITUNGAN (C)'!$A:$A,'KIB C'!B145&amp;'KIB C'!$AD$7,'PERHITUNGAN (C)'!$U:$U)</f>
        <v>40325836.324530199</v>
      </c>
      <c r="AE145" s="1479">
        <f>SUMIF('PERHITUNGAN (C)'!$A:$A,'KIB C'!B145&amp;'KIB C'!$AE$7,'PERHITUNGAN (C)'!$U:$U)</f>
        <v>40325836.324530199</v>
      </c>
      <c r="AF145" s="1479">
        <f>SUMIF('PERHITUNGAN (C)'!$A:$A,'KIB C'!B145&amp;'KIB C'!$AF$7,'PERHITUNGAN (C)'!$U:$U)</f>
        <v>40325836.324530199</v>
      </c>
      <c r="AG145" s="1479">
        <f t="shared" ref="AG145:AG150" si="122">SUM(Z145:AF145)</f>
        <v>322606690.59624153</v>
      </c>
      <c r="AH145" s="1646">
        <f t="shared" si="120"/>
        <v>1693685125.6302686</v>
      </c>
      <c r="AJ145" s="1443">
        <f>SUM(Z145:AE145)</f>
        <v>282280854.27171135</v>
      </c>
    </row>
    <row r="146" spans="1:36" s="1390" customFormat="1" ht="40.5" customHeight="1" x14ac:dyDescent="0.2">
      <c r="A146" s="1391">
        <v>24</v>
      </c>
      <c r="B146" s="1477" t="s">
        <v>5669</v>
      </c>
      <c r="C146" s="1660">
        <v>134</v>
      </c>
      <c r="D146" s="1455" t="s">
        <v>5669</v>
      </c>
      <c r="E146" s="1501" t="s">
        <v>2485</v>
      </c>
      <c r="F146" s="1501" t="s">
        <v>39</v>
      </c>
      <c r="G146" s="1416" t="s">
        <v>43</v>
      </c>
      <c r="H146" s="1416" t="s">
        <v>2492</v>
      </c>
      <c r="I146" s="1414" t="s">
        <v>736</v>
      </c>
      <c r="J146" s="1416"/>
      <c r="K146" s="1455" t="s">
        <v>2614</v>
      </c>
      <c r="L146" s="1416">
        <v>2013</v>
      </c>
      <c r="M146" s="1429" t="s">
        <v>5360</v>
      </c>
      <c r="N146" s="1501"/>
      <c r="O146" s="1416"/>
      <c r="P146" s="1650"/>
      <c r="Q146" s="1501" t="s">
        <v>12</v>
      </c>
      <c r="R146" s="1539">
        <v>997067333.33333302</v>
      </c>
      <c r="S146" s="1661"/>
      <c r="T146" s="1490"/>
      <c r="U146" s="1645" t="str">
        <f>LEFT(E146,8)</f>
        <v>03.11.02</v>
      </c>
      <c r="V146" s="1478" t="str">
        <f>VLOOKUP(U146,UE,3)</f>
        <v>Bangunan Gedung Tempat Tinggal</v>
      </c>
      <c r="W146" s="1478">
        <f>VLOOKUP(U146,UE,4)</f>
        <v>50</v>
      </c>
      <c r="X146" s="1401"/>
      <c r="Y146" s="1629">
        <f>IF(2013-L146&gt;W146,W146,IF(2013-L146&lt;0,0,2013-L146))</f>
        <v>0</v>
      </c>
      <c r="Z146" s="1401">
        <f>SUM('PERHITUNGAN (C)'!U415)</f>
        <v>15667866.666666668</v>
      </c>
      <c r="AA146" s="1479">
        <f>SUMIF('PERHITUNGAN (C)'!$A:$A,'KIB C'!B146&amp;'KIB C'!$AA$7,'PERHITUNGAN (C)'!$U:$U)</f>
        <v>19627989.333333336</v>
      </c>
      <c r="AB146" s="1479">
        <f>SUMIF('PERHITUNGAN (C)'!$A:$A,'KIB C'!B146&amp;'KIB C'!$AB$7,'PERHITUNGAN (C)'!$U:$U)</f>
        <v>19627989.333333336</v>
      </c>
      <c r="AC146" s="1479">
        <f>SUMIF('PERHITUNGAN (C)'!$A:$A,'KIB C'!B146&amp;'KIB C'!$AC$7,'PERHITUNGAN (C)'!$U:$U)</f>
        <v>19627989.333333336</v>
      </c>
      <c r="AD146" s="1479">
        <f>SUMIF('PERHITUNGAN (C)'!$A:$A,'KIB C'!B146&amp;'KIB C'!$AD$7,'PERHITUNGAN (C)'!$U:$U)</f>
        <v>19627989.333333336</v>
      </c>
      <c r="AE146" s="1479">
        <f>SUMIF('PERHITUNGAN (C)'!$A:$A,'KIB C'!B146&amp;'KIB C'!$AE$7,'PERHITUNGAN (C)'!$U:$U)</f>
        <v>19627989.333333336</v>
      </c>
      <c r="AF146" s="1479">
        <f>SUMIF('PERHITUNGAN (C)'!$A:$A,'KIB C'!B146&amp;'KIB C'!$AF$7,'PERHITUNGAN (C)'!$U:$U)</f>
        <v>19627989.333333336</v>
      </c>
      <c r="AG146" s="1479">
        <f t="shared" si="122"/>
        <v>133435802.66666669</v>
      </c>
      <c r="AH146" s="1646">
        <f>R146-AG146</f>
        <v>863631530.66666627</v>
      </c>
      <c r="AJ146" s="1443">
        <f>SUM(Z146:AE146)</f>
        <v>113807813.33333334</v>
      </c>
    </row>
    <row r="147" spans="1:36" s="1390" customFormat="1" ht="43.5" customHeight="1" x14ac:dyDescent="0.2">
      <c r="A147" s="1391">
        <v>25</v>
      </c>
      <c r="B147" s="1477" t="s">
        <v>5670</v>
      </c>
      <c r="C147" s="1660">
        <v>135</v>
      </c>
      <c r="D147" s="1455" t="s">
        <v>5670</v>
      </c>
      <c r="E147" s="1501" t="s">
        <v>2485</v>
      </c>
      <c r="F147" s="1501" t="s">
        <v>39</v>
      </c>
      <c r="G147" s="1416" t="s">
        <v>43</v>
      </c>
      <c r="H147" s="1416" t="s">
        <v>2492</v>
      </c>
      <c r="I147" s="1414" t="s">
        <v>736</v>
      </c>
      <c r="J147" s="1416"/>
      <c r="K147" s="1455" t="s">
        <v>2614</v>
      </c>
      <c r="L147" s="1416">
        <v>2013</v>
      </c>
      <c r="M147" s="1429" t="s">
        <v>5360</v>
      </c>
      <c r="N147" s="1501"/>
      <c r="O147" s="1416"/>
      <c r="P147" s="1414"/>
      <c r="Q147" s="1501" t="s">
        <v>12</v>
      </c>
      <c r="R147" s="1539">
        <v>962312333.33333302</v>
      </c>
      <c r="S147" s="1661"/>
      <c r="T147" s="1490"/>
      <c r="U147" s="1645" t="str">
        <f>LEFT(E147,8)</f>
        <v>03.11.02</v>
      </c>
      <c r="V147" s="1478" t="str">
        <f>VLOOKUP(U147,UE,3)</f>
        <v>Bangunan Gedung Tempat Tinggal</v>
      </c>
      <c r="W147" s="1478">
        <f>VLOOKUP(U147,UE,4)</f>
        <v>50</v>
      </c>
      <c r="X147" s="1401"/>
      <c r="Y147" s="1629">
        <f>IF(2013-L147&gt;W147,W147,IF(2013-L147&lt;0,0,2013-L147))</f>
        <v>0</v>
      </c>
      <c r="Z147" s="1401">
        <f>SUM('PERHITUNGAN (C)'!U433)</f>
        <v>15667866.666666668</v>
      </c>
      <c r="AA147" s="1479">
        <f>SUMIF('PERHITUNGAN (C)'!$A:$A,'KIB C'!B147&amp;'KIB C'!$AA$7,'PERHITUNGAN (C)'!$U:$U)</f>
        <v>18932889.333333336</v>
      </c>
      <c r="AB147" s="1479">
        <f>SUMIF('PERHITUNGAN (C)'!$A:$A,'KIB C'!B147&amp;'KIB C'!$AB$7,'PERHITUNGAN (C)'!$U:$U)</f>
        <v>18932889.333333336</v>
      </c>
      <c r="AC147" s="1479">
        <f>SUMIF('PERHITUNGAN (C)'!$A:$A,'KIB C'!B147&amp;'KIB C'!$AC$7,'PERHITUNGAN (C)'!$U:$U)</f>
        <v>18932889.333333336</v>
      </c>
      <c r="AD147" s="1479">
        <f>SUMIF('PERHITUNGAN (C)'!$A:$A,'KIB C'!B147&amp;'KIB C'!$AD$7,'PERHITUNGAN (C)'!$U:$U)</f>
        <v>18932889.333333336</v>
      </c>
      <c r="AE147" s="1479">
        <f>SUMIF('PERHITUNGAN (C)'!$A:$A,'KIB C'!B147&amp;'KIB C'!$AE$7,'PERHITUNGAN (C)'!$U:$U)</f>
        <v>18932889.333333336</v>
      </c>
      <c r="AF147" s="1479">
        <f>SUMIF('PERHITUNGAN (C)'!$A:$A,'KIB C'!B147&amp;'KIB C'!$AF$7,'PERHITUNGAN (C)'!$U:$U)</f>
        <v>18932889.333333336</v>
      </c>
      <c r="AG147" s="1479">
        <f t="shared" si="122"/>
        <v>129265202.66666669</v>
      </c>
      <c r="AH147" s="1646">
        <f>R147-AG147</f>
        <v>833047130.66666627</v>
      </c>
      <c r="AJ147" s="1443">
        <f>SUM(Z147:AE147)</f>
        <v>110332313.33333334</v>
      </c>
    </row>
    <row r="148" spans="1:36" s="1390" customFormat="1" ht="40.5" customHeight="1" x14ac:dyDescent="0.2">
      <c r="A148" s="1391">
        <v>26</v>
      </c>
      <c r="B148" s="1477" t="s">
        <v>2983</v>
      </c>
      <c r="C148" s="1660">
        <v>136</v>
      </c>
      <c r="D148" s="1455" t="s">
        <v>2983</v>
      </c>
      <c r="E148" s="1501" t="s">
        <v>2485</v>
      </c>
      <c r="F148" s="1501" t="s">
        <v>39</v>
      </c>
      <c r="G148" s="1416" t="s">
        <v>43</v>
      </c>
      <c r="H148" s="1416" t="s">
        <v>2492</v>
      </c>
      <c r="I148" s="1414" t="s">
        <v>736</v>
      </c>
      <c r="J148" s="1416"/>
      <c r="K148" s="1455" t="s">
        <v>2614</v>
      </c>
      <c r="L148" s="1416">
        <v>2013</v>
      </c>
      <c r="M148" s="1429" t="s">
        <v>5360</v>
      </c>
      <c r="N148" s="1501"/>
      <c r="O148" s="1416"/>
      <c r="P148" s="1414"/>
      <c r="Q148" s="1501" t="s">
        <v>12</v>
      </c>
      <c r="R148" s="1539">
        <v>996980333.33333302</v>
      </c>
      <c r="S148" s="1661"/>
      <c r="T148" s="1490"/>
      <c r="U148" s="1645" t="str">
        <f>LEFT(E148,8)</f>
        <v>03.11.02</v>
      </c>
      <c r="V148" s="1478" t="str">
        <f>VLOOKUP(U148,UE,3)</f>
        <v>Bangunan Gedung Tempat Tinggal</v>
      </c>
      <c r="W148" s="1478">
        <f>VLOOKUP(U148,UE,4)</f>
        <v>50</v>
      </c>
      <c r="X148" s="1401"/>
      <c r="Y148" s="1629">
        <f>IF(2013-L148&gt;W148,W148,IF(2013-L148&lt;0,0,2013-L148))</f>
        <v>0</v>
      </c>
      <c r="Z148" s="1401">
        <f>SUM('PERHITUNGAN (C)'!U451)</f>
        <v>15667866.666666668</v>
      </c>
      <c r="AA148" s="1479">
        <f>SUMIF('PERHITUNGAN (C)'!$A:$A,'KIB C'!B148&amp;'KIB C'!$AA$7,'PERHITUNGAN (C)'!$U:$U)</f>
        <v>19626249.333333336</v>
      </c>
      <c r="AB148" s="1479">
        <f>SUMIF('PERHITUNGAN (C)'!$A:$A,'KIB C'!B148&amp;'KIB C'!$AB$7,'PERHITUNGAN (C)'!$U:$U)</f>
        <v>19626249.333333336</v>
      </c>
      <c r="AC148" s="1479">
        <f>SUMIF('PERHITUNGAN (C)'!$A:$A,'KIB C'!B148&amp;'KIB C'!$AC$7,'PERHITUNGAN (C)'!$U:$U)</f>
        <v>19626249.333333336</v>
      </c>
      <c r="AD148" s="1479">
        <f>SUMIF('PERHITUNGAN (C)'!$A:$A,'KIB C'!B148&amp;'KIB C'!$AD$7,'PERHITUNGAN (C)'!$U:$U)</f>
        <v>19626249.333333336</v>
      </c>
      <c r="AE148" s="1479">
        <f>SUMIF('PERHITUNGAN (C)'!$A:$A,'KIB C'!B148&amp;'KIB C'!$AE$7,'PERHITUNGAN (C)'!$U:$U)</f>
        <v>19626249.333333336</v>
      </c>
      <c r="AF148" s="1479">
        <f>SUMIF('PERHITUNGAN (C)'!$A:$A,'KIB C'!B148&amp;'KIB C'!$AF$7,'PERHITUNGAN (C)'!$U:$U)</f>
        <v>19626249.333333336</v>
      </c>
      <c r="AG148" s="1479">
        <f t="shared" si="122"/>
        <v>133425362.66666669</v>
      </c>
      <c r="AH148" s="1646">
        <f>R148-AG148</f>
        <v>863554970.66666627</v>
      </c>
      <c r="AJ148" s="1443">
        <f>SUM(Z148:AE148)</f>
        <v>113799113.33333334</v>
      </c>
    </row>
    <row r="149" spans="1:36" s="1390" customFormat="1" ht="40.5" customHeight="1" x14ac:dyDescent="0.2">
      <c r="A149" s="1391"/>
      <c r="B149" s="1477"/>
      <c r="C149" s="1660">
        <v>137</v>
      </c>
      <c r="D149" s="1455" t="s">
        <v>2717</v>
      </c>
      <c r="E149" s="1501" t="s">
        <v>2843</v>
      </c>
      <c r="F149" s="1501" t="s">
        <v>68</v>
      </c>
      <c r="G149" s="1416" t="s">
        <v>43</v>
      </c>
      <c r="H149" s="1416" t="s">
        <v>2492</v>
      </c>
      <c r="I149" s="1414" t="s">
        <v>736</v>
      </c>
      <c r="J149" s="1416"/>
      <c r="K149" s="1455" t="s">
        <v>2903</v>
      </c>
      <c r="L149" s="1416">
        <v>2012</v>
      </c>
      <c r="M149" s="1429" t="s">
        <v>5361</v>
      </c>
      <c r="N149" s="1501"/>
      <c r="O149" s="1416"/>
      <c r="P149" s="1414"/>
      <c r="Q149" s="1501" t="s">
        <v>12</v>
      </c>
      <c r="R149" s="1539">
        <v>82249788.859167397</v>
      </c>
      <c r="S149" s="1661"/>
      <c r="T149" s="1490"/>
      <c r="U149" s="1645" t="str">
        <f t="shared" si="121"/>
        <v>03.11.01</v>
      </c>
      <c r="V149" s="1478" t="str">
        <f t="shared" ref="V149:V159" si="123">VLOOKUP(U149,UE,3)</f>
        <v>Bangunan Gedung Tempat Kerja</v>
      </c>
      <c r="W149" s="1478">
        <f t="shared" ref="W149:W159" si="124">VLOOKUP(U149,UE,4)</f>
        <v>50</v>
      </c>
      <c r="X149" s="1401">
        <f>R149/W149</f>
        <v>1644995.7771833478</v>
      </c>
      <c r="Y149" s="1629">
        <f>IF(2013-L149+1&gt;W149,W149,IF(2013-L149+1&lt;0,0,2013-L149+1))</f>
        <v>2</v>
      </c>
      <c r="Z149" s="1401">
        <f>IF(Y149&gt;W149,R149,X149*Y149)</f>
        <v>3289991.5543666957</v>
      </c>
      <c r="AA149" s="1401">
        <f>IF(R149=Z149,0,X149)</f>
        <v>1644995.7771833478</v>
      </c>
      <c r="AB149" s="1401">
        <f>IF(R149=Z149+AA149,0,X149)</f>
        <v>1644995.7771833478</v>
      </c>
      <c r="AC149" s="1401">
        <f>IF(R149=Z149+AA149+AB149,0,X149)</f>
        <v>1644995.7771833478</v>
      </c>
      <c r="AD149" s="1479">
        <f>IF(R149=Z149+AA149+AB149+AC149,0,X149)</f>
        <v>1644995.7771833478</v>
      </c>
      <c r="AE149" s="1479">
        <f>IF(R149=Z149+AA149+AB149+AC149+AD149,0,X149)</f>
        <v>1644995.7771833478</v>
      </c>
      <c r="AF149" s="1479">
        <f>IF(R149=Z149+AA149+AB149+AC149+AD149+AE149,0,X149)</f>
        <v>1644995.7771833478</v>
      </c>
      <c r="AG149" s="1479">
        <f t="shared" si="122"/>
        <v>13159966.217466785</v>
      </c>
      <c r="AH149" s="1646">
        <f t="shared" si="120"/>
        <v>69089822.641700611</v>
      </c>
    </row>
    <row r="150" spans="1:36" s="1390" customFormat="1" ht="40.5" customHeight="1" x14ac:dyDescent="0.2">
      <c r="A150" s="1391">
        <v>27</v>
      </c>
      <c r="B150" s="1477" t="s">
        <v>3009</v>
      </c>
      <c r="C150" s="1660">
        <v>138</v>
      </c>
      <c r="D150" s="1455" t="s">
        <v>3009</v>
      </c>
      <c r="E150" s="1501" t="s">
        <v>5762</v>
      </c>
      <c r="F150" s="1501" t="s">
        <v>39</v>
      </c>
      <c r="G150" s="1416" t="s">
        <v>43</v>
      </c>
      <c r="H150" s="1416" t="s">
        <v>2492</v>
      </c>
      <c r="I150" s="1414" t="s">
        <v>736</v>
      </c>
      <c r="J150" s="1416"/>
      <c r="K150" s="1455" t="s">
        <v>3008</v>
      </c>
      <c r="L150" s="1416">
        <v>2012</v>
      </c>
      <c r="M150" s="1429" t="s">
        <v>5362</v>
      </c>
      <c r="N150" s="1501"/>
      <c r="O150" s="1416"/>
      <c r="P150" s="1414"/>
      <c r="Q150" s="1501" t="s">
        <v>12</v>
      </c>
      <c r="R150" s="1539">
        <v>97387200</v>
      </c>
      <c r="S150" s="1661"/>
      <c r="T150" s="1490"/>
      <c r="U150" s="1522" t="str">
        <f t="shared" si="121"/>
        <v>03.11.01</v>
      </c>
      <c r="V150" s="1478" t="str">
        <f t="shared" si="123"/>
        <v>Bangunan Gedung Tempat Kerja</v>
      </c>
      <c r="W150" s="1478">
        <f t="shared" si="124"/>
        <v>50</v>
      </c>
      <c r="X150" s="1401"/>
      <c r="Y150" s="1629"/>
      <c r="Z150" s="1401">
        <f>SUM('PERHITUNGAN (C)'!U469:U471)</f>
        <v>3895488</v>
      </c>
      <c r="AA150" s="1479">
        <f>SUMIF('PERHITUNGAN (C)'!$A:$A,'KIB C'!B150&amp;'KIB C'!$AA$7,'PERHITUNGAN (C)'!$U:$U)</f>
        <v>1947744</v>
      </c>
      <c r="AB150" s="1479">
        <f>SUMIF('PERHITUNGAN (C)'!$A:$A,'KIB C'!B150&amp;'KIB C'!$AB$7,'PERHITUNGAN (C)'!$U:$U)</f>
        <v>1947744</v>
      </c>
      <c r="AC150" s="1479">
        <f>SUMIF('PERHITUNGAN (C)'!$A:$A,'KIB C'!B150&amp;'KIB C'!$AC$7,'PERHITUNGAN (C)'!$U:$U)</f>
        <v>1947744</v>
      </c>
      <c r="AD150" s="1479">
        <f>SUMIF('PERHITUNGAN (C)'!$A:$A,'KIB C'!B150&amp;'KIB C'!$AD$7,'PERHITUNGAN (C)'!$U:$U)</f>
        <v>1947744</v>
      </c>
      <c r="AE150" s="1479">
        <f>SUMIF('PERHITUNGAN (C)'!$A:$A,'KIB C'!B150&amp;'KIB C'!$AE$7,'PERHITUNGAN (C)'!$U:$U)</f>
        <v>1947744</v>
      </c>
      <c r="AF150" s="1479">
        <f>SUMIF('PERHITUNGAN (C)'!$A:$A,'KIB C'!B150&amp;'KIB C'!$AF$7,'PERHITUNGAN (C)'!$U:$U)</f>
        <v>1947744</v>
      </c>
      <c r="AG150" s="1479">
        <f t="shared" si="122"/>
        <v>15581952</v>
      </c>
      <c r="AH150" s="1646">
        <f t="shared" si="120"/>
        <v>81805248</v>
      </c>
      <c r="AJ150" s="1443">
        <f>SUM(Z150:AE150)</f>
        <v>13634208</v>
      </c>
    </row>
    <row r="151" spans="1:36" s="1390" customFormat="1" ht="40.5" customHeight="1" x14ac:dyDescent="0.2">
      <c r="A151" s="1391"/>
      <c r="B151" s="1477"/>
      <c r="C151" s="1660">
        <v>139</v>
      </c>
      <c r="D151" s="1455" t="s">
        <v>2720</v>
      </c>
      <c r="E151" s="1501" t="s">
        <v>1752</v>
      </c>
      <c r="F151" s="1501"/>
      <c r="G151" s="1416" t="s">
        <v>43</v>
      </c>
      <c r="H151" s="1416"/>
      <c r="I151" s="1414" t="s">
        <v>736</v>
      </c>
      <c r="J151" s="1416"/>
      <c r="K151" s="1455"/>
      <c r="L151" s="1416">
        <v>2013</v>
      </c>
      <c r="M151" s="1429"/>
      <c r="N151" s="1501"/>
      <c r="O151" s="1416"/>
      <c r="P151" s="1414"/>
      <c r="Q151" s="1501" t="s">
        <v>12</v>
      </c>
      <c r="R151" s="1539">
        <v>1689351378.79478</v>
      </c>
      <c r="S151" s="1661"/>
      <c r="T151" s="1490"/>
      <c r="U151" s="1522" t="str">
        <f t="shared" si="121"/>
        <v>03.11.01</v>
      </c>
      <c r="V151" s="1478" t="str">
        <f t="shared" si="123"/>
        <v>Bangunan Gedung Tempat Kerja</v>
      </c>
      <c r="W151" s="1478">
        <f t="shared" si="124"/>
        <v>50</v>
      </c>
      <c r="X151" s="1401">
        <f>R151/W151</f>
        <v>33787027.5758956</v>
      </c>
      <c r="Y151" s="1629">
        <f t="shared" ref="Y151:Y158" si="125">IF(2013-L151+1&gt;W151,W151,IF(2013-L151+1&lt;0,0,2013-L151+1))</f>
        <v>1</v>
      </c>
      <c r="Z151" s="1401">
        <f t="shared" ref="Z151:Z158" si="126">IF(Y151&gt;W151,R151,X151*Y151)</f>
        <v>33787027.5758956</v>
      </c>
      <c r="AA151" s="1401">
        <f t="shared" ref="AA151:AA158" si="127">IF(R151=Z151,0,X151)</f>
        <v>33787027.5758956</v>
      </c>
      <c r="AB151" s="1401">
        <f t="shared" ref="AB151:AB158" si="128">IF(R151=Z151+AA151,0,X151)</f>
        <v>33787027.5758956</v>
      </c>
      <c r="AC151" s="1401">
        <f t="shared" ref="AC151:AC158" si="129">IF(R151=Z151+AA151+AB151,0,X151)</f>
        <v>33787027.5758956</v>
      </c>
      <c r="AD151" s="1479">
        <f t="shared" ref="AD151:AD158" si="130">IF(R151=Z151+AA151+AB151+AC151,0,X151)</f>
        <v>33787027.5758956</v>
      </c>
      <c r="AE151" s="1479">
        <f t="shared" ref="AE151:AE158" si="131">IF(R151=Z151+AA151+AB151+AC151+AD151,0,X151)</f>
        <v>33787027.5758956</v>
      </c>
      <c r="AF151" s="1479">
        <f t="shared" ref="AF151:AF158" si="132">IF(R151=Z151+AA151+AB151+AC151+AD151+AE151,0,X151)</f>
        <v>33787027.5758956</v>
      </c>
      <c r="AG151" s="1479">
        <f t="shared" ref="AG151:AG158" si="133">SUM(Z151:AF151)</f>
        <v>236509193.03126922</v>
      </c>
      <c r="AH151" s="1646">
        <f t="shared" si="120"/>
        <v>1452842185.7635107</v>
      </c>
      <c r="AJ151" s="1443">
        <f>SUM(Z151:AE151)</f>
        <v>202722165.45537362</v>
      </c>
    </row>
    <row r="152" spans="1:36" s="1390" customFormat="1" ht="40.5" customHeight="1" x14ac:dyDescent="0.2">
      <c r="A152" s="1391"/>
      <c r="B152" s="1477"/>
      <c r="C152" s="1660">
        <v>140</v>
      </c>
      <c r="D152" s="1455" t="s">
        <v>2720</v>
      </c>
      <c r="E152" s="1501" t="s">
        <v>1752</v>
      </c>
      <c r="F152" s="1501"/>
      <c r="G152" s="1416" t="s">
        <v>43</v>
      </c>
      <c r="H152" s="1416"/>
      <c r="I152" s="1414"/>
      <c r="J152" s="1416"/>
      <c r="K152" s="1455"/>
      <c r="L152" s="1416">
        <v>2013</v>
      </c>
      <c r="M152" s="1429"/>
      <c r="N152" s="1501"/>
      <c r="O152" s="1416"/>
      <c r="P152" s="1414"/>
      <c r="Q152" s="1501" t="s">
        <v>12</v>
      </c>
      <c r="R152" s="1539">
        <v>408571621.20522106</v>
      </c>
      <c r="S152" s="1661"/>
      <c r="T152" s="1490"/>
      <c r="U152" s="1522" t="str">
        <f>LEFT(E152,8)</f>
        <v>03.11.01</v>
      </c>
      <c r="V152" s="1478" t="str">
        <f>VLOOKUP(U152,UE,3)</f>
        <v>Bangunan Gedung Tempat Kerja</v>
      </c>
      <c r="W152" s="1478">
        <f>VLOOKUP(U152,UE,4)</f>
        <v>50</v>
      </c>
      <c r="X152" s="1401">
        <f>R152/W152</f>
        <v>8171432.4241044214</v>
      </c>
      <c r="Y152" s="1629">
        <f t="shared" si="125"/>
        <v>1</v>
      </c>
      <c r="Z152" s="1401">
        <f t="shared" si="126"/>
        <v>8171432.4241044214</v>
      </c>
      <c r="AA152" s="1401">
        <f t="shared" si="127"/>
        <v>8171432.4241044214</v>
      </c>
      <c r="AB152" s="1401">
        <f t="shared" si="128"/>
        <v>8171432.4241044214</v>
      </c>
      <c r="AC152" s="1401">
        <f t="shared" si="129"/>
        <v>8171432.4241044214</v>
      </c>
      <c r="AD152" s="1479">
        <f t="shared" si="130"/>
        <v>8171432.4241044214</v>
      </c>
      <c r="AE152" s="1479">
        <f t="shared" si="131"/>
        <v>8171432.4241044214</v>
      </c>
      <c r="AF152" s="1479">
        <f t="shared" si="132"/>
        <v>8171432.4241044214</v>
      </c>
      <c r="AG152" s="1479">
        <f t="shared" si="133"/>
        <v>57200026.968730949</v>
      </c>
      <c r="AH152" s="1646">
        <f>R152-AG152</f>
        <v>351371594.23649013</v>
      </c>
      <c r="AJ152" s="1443">
        <f>SUM(Z152:AE152)</f>
        <v>49028594.544626527</v>
      </c>
    </row>
    <row r="153" spans="1:36" s="1390" customFormat="1" ht="40.5" customHeight="1" x14ac:dyDescent="0.2">
      <c r="A153" s="1391"/>
      <c r="B153" s="1477"/>
      <c r="C153" s="1660">
        <v>141</v>
      </c>
      <c r="D153" s="1455" t="s">
        <v>2699</v>
      </c>
      <c r="E153" s="1501" t="s">
        <v>2845</v>
      </c>
      <c r="F153" s="1501"/>
      <c r="G153" s="1416" t="s">
        <v>43</v>
      </c>
      <c r="H153" s="1416"/>
      <c r="I153" s="1414"/>
      <c r="J153" s="1416"/>
      <c r="K153" s="1455" t="s">
        <v>1931</v>
      </c>
      <c r="L153" s="1416">
        <v>2013</v>
      </c>
      <c r="M153" s="1429"/>
      <c r="N153" s="1501"/>
      <c r="O153" s="1416"/>
      <c r="P153" s="1414"/>
      <c r="Q153" s="1501" t="s">
        <v>12</v>
      </c>
      <c r="R153" s="1539">
        <v>145567127.71980911</v>
      </c>
      <c r="S153" s="1661"/>
      <c r="T153" s="1490"/>
      <c r="U153" s="1645" t="str">
        <f t="shared" ref="U153:U159" si="134">LEFT(E153,8)</f>
        <v>03.11.01</v>
      </c>
      <c r="V153" s="1478" t="str">
        <f t="shared" si="123"/>
        <v>Bangunan Gedung Tempat Kerja</v>
      </c>
      <c r="W153" s="1478">
        <f t="shared" si="124"/>
        <v>50</v>
      </c>
      <c r="X153" s="1401">
        <f t="shared" ref="X153:X158" si="135">R153/W153</f>
        <v>2911342.5543961823</v>
      </c>
      <c r="Y153" s="1629">
        <f t="shared" si="125"/>
        <v>1</v>
      </c>
      <c r="Z153" s="1401">
        <f t="shared" si="126"/>
        <v>2911342.5543961823</v>
      </c>
      <c r="AA153" s="1401">
        <f t="shared" si="127"/>
        <v>2911342.5543961823</v>
      </c>
      <c r="AB153" s="1401">
        <f t="shared" si="128"/>
        <v>2911342.5543961823</v>
      </c>
      <c r="AC153" s="1401">
        <f t="shared" si="129"/>
        <v>2911342.5543961823</v>
      </c>
      <c r="AD153" s="1479">
        <f t="shared" si="130"/>
        <v>2911342.5543961823</v>
      </c>
      <c r="AE153" s="1479">
        <f t="shared" si="131"/>
        <v>2911342.5543961823</v>
      </c>
      <c r="AF153" s="1479">
        <f t="shared" si="132"/>
        <v>2911342.5543961823</v>
      </c>
      <c r="AG153" s="1479">
        <f t="shared" si="133"/>
        <v>20379397.880773276</v>
      </c>
      <c r="AH153" s="1646">
        <f t="shared" si="120"/>
        <v>125187729.83903584</v>
      </c>
    </row>
    <row r="154" spans="1:36" s="1390" customFormat="1" ht="40.5" customHeight="1" x14ac:dyDescent="0.2">
      <c r="A154" s="1391"/>
      <c r="B154" s="1477"/>
      <c r="C154" s="1660">
        <v>142</v>
      </c>
      <c r="D154" s="1455" t="s">
        <v>2699</v>
      </c>
      <c r="E154" s="1501" t="s">
        <v>2845</v>
      </c>
      <c r="F154" s="1501"/>
      <c r="G154" s="1416" t="s">
        <v>43</v>
      </c>
      <c r="H154" s="1416"/>
      <c r="I154" s="1414"/>
      <c r="J154" s="1416"/>
      <c r="K154" s="1455" t="s">
        <v>1931</v>
      </c>
      <c r="L154" s="1416">
        <v>2013</v>
      </c>
      <c r="M154" s="1429"/>
      <c r="N154" s="1501"/>
      <c r="O154" s="1416"/>
      <c r="P154" s="1414"/>
      <c r="Q154" s="1501" t="s">
        <v>12</v>
      </c>
      <c r="R154" s="1539">
        <v>145567127.71980911</v>
      </c>
      <c r="S154" s="1661"/>
      <c r="T154" s="1490"/>
      <c r="U154" s="1645" t="str">
        <f t="shared" si="134"/>
        <v>03.11.01</v>
      </c>
      <c r="V154" s="1478" t="str">
        <f t="shared" si="123"/>
        <v>Bangunan Gedung Tempat Kerja</v>
      </c>
      <c r="W154" s="1478">
        <f t="shared" si="124"/>
        <v>50</v>
      </c>
      <c r="X154" s="1401">
        <f t="shared" si="135"/>
        <v>2911342.5543961823</v>
      </c>
      <c r="Y154" s="1629">
        <f t="shared" si="125"/>
        <v>1</v>
      </c>
      <c r="Z154" s="1401">
        <f t="shared" si="126"/>
        <v>2911342.5543961823</v>
      </c>
      <c r="AA154" s="1401">
        <f t="shared" si="127"/>
        <v>2911342.5543961823</v>
      </c>
      <c r="AB154" s="1401">
        <f t="shared" si="128"/>
        <v>2911342.5543961823</v>
      </c>
      <c r="AC154" s="1401">
        <f t="shared" si="129"/>
        <v>2911342.5543961823</v>
      </c>
      <c r="AD154" s="1479">
        <f t="shared" si="130"/>
        <v>2911342.5543961823</v>
      </c>
      <c r="AE154" s="1479">
        <f t="shared" si="131"/>
        <v>2911342.5543961823</v>
      </c>
      <c r="AF154" s="1479">
        <f t="shared" si="132"/>
        <v>2911342.5543961823</v>
      </c>
      <c r="AG154" s="1479">
        <f t="shared" si="133"/>
        <v>20379397.880773276</v>
      </c>
      <c r="AH154" s="1646">
        <f t="shared" si="120"/>
        <v>125187729.83903584</v>
      </c>
    </row>
    <row r="155" spans="1:36" s="1390" customFormat="1" ht="40.5" customHeight="1" x14ac:dyDescent="0.2">
      <c r="A155" s="1391"/>
      <c r="B155" s="1477"/>
      <c r="C155" s="1660">
        <v>143</v>
      </c>
      <c r="D155" s="1455" t="s">
        <v>2699</v>
      </c>
      <c r="E155" s="1501" t="s">
        <v>2845</v>
      </c>
      <c r="F155" s="1501"/>
      <c r="G155" s="1416" t="s">
        <v>43</v>
      </c>
      <c r="H155" s="1416"/>
      <c r="I155" s="1414"/>
      <c r="J155" s="1416"/>
      <c r="K155" s="1455" t="s">
        <v>1931</v>
      </c>
      <c r="L155" s="1416">
        <v>2013</v>
      </c>
      <c r="M155" s="1429"/>
      <c r="N155" s="1501"/>
      <c r="O155" s="1416"/>
      <c r="P155" s="1414"/>
      <c r="Q155" s="1501" t="s">
        <v>12</v>
      </c>
      <c r="R155" s="1539">
        <v>145567127.71980911</v>
      </c>
      <c r="S155" s="1661"/>
      <c r="T155" s="1490"/>
      <c r="U155" s="1645" t="str">
        <f t="shared" si="134"/>
        <v>03.11.01</v>
      </c>
      <c r="V155" s="1478" t="str">
        <f t="shared" si="123"/>
        <v>Bangunan Gedung Tempat Kerja</v>
      </c>
      <c r="W155" s="1478">
        <f t="shared" si="124"/>
        <v>50</v>
      </c>
      <c r="X155" s="1401">
        <f t="shared" si="135"/>
        <v>2911342.5543961823</v>
      </c>
      <c r="Y155" s="1629">
        <f t="shared" si="125"/>
        <v>1</v>
      </c>
      <c r="Z155" s="1401">
        <f t="shared" si="126"/>
        <v>2911342.5543961823</v>
      </c>
      <c r="AA155" s="1401">
        <f t="shared" si="127"/>
        <v>2911342.5543961823</v>
      </c>
      <c r="AB155" s="1401">
        <f t="shared" si="128"/>
        <v>2911342.5543961823</v>
      </c>
      <c r="AC155" s="1401">
        <f t="shared" si="129"/>
        <v>2911342.5543961823</v>
      </c>
      <c r="AD155" s="1479">
        <f t="shared" si="130"/>
        <v>2911342.5543961823</v>
      </c>
      <c r="AE155" s="1479">
        <f t="shared" si="131"/>
        <v>2911342.5543961823</v>
      </c>
      <c r="AF155" s="1479">
        <f t="shared" si="132"/>
        <v>2911342.5543961823</v>
      </c>
      <c r="AG155" s="1479">
        <f t="shared" si="133"/>
        <v>20379397.880773276</v>
      </c>
      <c r="AH155" s="1646">
        <f t="shared" si="120"/>
        <v>125187729.83903584</v>
      </c>
    </row>
    <row r="156" spans="1:36" s="1390" customFormat="1" ht="40.5" customHeight="1" x14ac:dyDescent="0.2">
      <c r="A156" s="1391"/>
      <c r="B156" s="1477"/>
      <c r="C156" s="1660">
        <v>144</v>
      </c>
      <c r="D156" s="1455" t="s">
        <v>2723</v>
      </c>
      <c r="E156" s="1501" t="s">
        <v>2845</v>
      </c>
      <c r="F156" s="1501"/>
      <c r="G156" s="1416" t="s">
        <v>43</v>
      </c>
      <c r="H156" s="1416"/>
      <c r="I156" s="1414"/>
      <c r="J156" s="1416"/>
      <c r="K156" s="1455" t="s">
        <v>1931</v>
      </c>
      <c r="L156" s="1416">
        <v>2013</v>
      </c>
      <c r="M156" s="1429"/>
      <c r="N156" s="1501"/>
      <c r="O156" s="1416"/>
      <c r="P156" s="1414"/>
      <c r="Q156" s="1501" t="s">
        <v>12</v>
      </c>
      <c r="R156" s="1539">
        <v>63459263.200000003</v>
      </c>
      <c r="S156" s="1661"/>
      <c r="T156" s="1490"/>
      <c r="U156" s="1645" t="str">
        <f t="shared" si="134"/>
        <v>03.11.01</v>
      </c>
      <c r="V156" s="1478" t="str">
        <f t="shared" si="123"/>
        <v>Bangunan Gedung Tempat Kerja</v>
      </c>
      <c r="W156" s="1478">
        <f t="shared" si="124"/>
        <v>50</v>
      </c>
      <c r="X156" s="1401">
        <f t="shared" si="135"/>
        <v>1269185.264</v>
      </c>
      <c r="Y156" s="1629">
        <f t="shared" si="125"/>
        <v>1</v>
      </c>
      <c r="Z156" s="1401">
        <f t="shared" si="126"/>
        <v>1269185.264</v>
      </c>
      <c r="AA156" s="1401">
        <f t="shared" si="127"/>
        <v>1269185.264</v>
      </c>
      <c r="AB156" s="1401">
        <f t="shared" si="128"/>
        <v>1269185.264</v>
      </c>
      <c r="AC156" s="1401">
        <f t="shared" si="129"/>
        <v>1269185.264</v>
      </c>
      <c r="AD156" s="1479">
        <f t="shared" si="130"/>
        <v>1269185.264</v>
      </c>
      <c r="AE156" s="1479">
        <f t="shared" si="131"/>
        <v>1269185.264</v>
      </c>
      <c r="AF156" s="1479">
        <f t="shared" si="132"/>
        <v>1269185.264</v>
      </c>
      <c r="AG156" s="1479">
        <f t="shared" si="133"/>
        <v>8884296.8480000012</v>
      </c>
      <c r="AH156" s="1646">
        <f t="shared" si="120"/>
        <v>54574966.351999998</v>
      </c>
    </row>
    <row r="157" spans="1:36" s="1390" customFormat="1" ht="40.5" customHeight="1" x14ac:dyDescent="0.2">
      <c r="A157" s="1391"/>
      <c r="B157" s="1477"/>
      <c r="C157" s="1660">
        <v>145</v>
      </c>
      <c r="D157" s="1455" t="s">
        <v>2724</v>
      </c>
      <c r="E157" s="1501" t="s">
        <v>2845</v>
      </c>
      <c r="F157" s="1501"/>
      <c r="G157" s="1416"/>
      <c r="H157" s="1416"/>
      <c r="I157" s="1414"/>
      <c r="J157" s="1416"/>
      <c r="K157" s="1455" t="s">
        <v>52</v>
      </c>
      <c r="L157" s="1416">
        <v>2013</v>
      </c>
      <c r="M157" s="1429"/>
      <c r="N157" s="1501"/>
      <c r="O157" s="1416"/>
      <c r="P157" s="1414"/>
      <c r="Q157" s="1501" t="s">
        <v>12</v>
      </c>
      <c r="R157" s="1539">
        <v>839591000</v>
      </c>
      <c r="S157" s="1661"/>
      <c r="T157" s="1490"/>
      <c r="U157" s="1645" t="str">
        <f t="shared" si="134"/>
        <v>03.11.01</v>
      </c>
      <c r="V157" s="1478" t="str">
        <f t="shared" si="123"/>
        <v>Bangunan Gedung Tempat Kerja</v>
      </c>
      <c r="W157" s="1478">
        <f t="shared" si="124"/>
        <v>50</v>
      </c>
      <c r="X157" s="1401">
        <f t="shared" si="135"/>
        <v>16791820</v>
      </c>
      <c r="Y157" s="1629">
        <f t="shared" si="125"/>
        <v>1</v>
      </c>
      <c r="Z157" s="1401">
        <f t="shared" si="126"/>
        <v>16791820</v>
      </c>
      <c r="AA157" s="1401">
        <f t="shared" si="127"/>
        <v>16791820</v>
      </c>
      <c r="AB157" s="1401">
        <f t="shared" si="128"/>
        <v>16791820</v>
      </c>
      <c r="AC157" s="1401">
        <f t="shared" si="129"/>
        <v>16791820</v>
      </c>
      <c r="AD157" s="1479">
        <f t="shared" si="130"/>
        <v>16791820</v>
      </c>
      <c r="AE157" s="1479">
        <f t="shared" si="131"/>
        <v>16791820</v>
      </c>
      <c r="AF157" s="1479">
        <f t="shared" si="132"/>
        <v>16791820</v>
      </c>
      <c r="AG157" s="1479">
        <f t="shared" si="133"/>
        <v>117542740</v>
      </c>
      <c r="AH157" s="1646">
        <f t="shared" si="120"/>
        <v>722048260</v>
      </c>
    </row>
    <row r="158" spans="1:36" s="1390" customFormat="1" ht="40.5" customHeight="1" x14ac:dyDescent="0.2">
      <c r="A158" s="1391"/>
      <c r="B158" s="1477"/>
      <c r="C158" s="1660">
        <v>146</v>
      </c>
      <c r="D158" s="1455" t="s">
        <v>5419</v>
      </c>
      <c r="E158" s="1501" t="s">
        <v>2845</v>
      </c>
      <c r="F158" s="1501"/>
      <c r="G158" s="1416"/>
      <c r="H158" s="1416"/>
      <c r="I158" s="1414"/>
      <c r="J158" s="1416"/>
      <c r="K158" s="1455" t="s">
        <v>52</v>
      </c>
      <c r="L158" s="1416">
        <v>2013</v>
      </c>
      <c r="M158" s="1429"/>
      <c r="N158" s="1501"/>
      <c r="O158" s="1416"/>
      <c r="P158" s="1414"/>
      <c r="Q158" s="1501" t="s">
        <v>12</v>
      </c>
      <c r="R158" s="1539">
        <v>440000000</v>
      </c>
      <c r="S158" s="1661"/>
      <c r="T158" s="1490"/>
      <c r="U158" s="1645" t="str">
        <f t="shared" si="134"/>
        <v>03.11.01</v>
      </c>
      <c r="V158" s="1478" t="str">
        <f t="shared" si="123"/>
        <v>Bangunan Gedung Tempat Kerja</v>
      </c>
      <c r="W158" s="1478">
        <f t="shared" si="124"/>
        <v>50</v>
      </c>
      <c r="X158" s="1401">
        <f t="shared" si="135"/>
        <v>8800000</v>
      </c>
      <c r="Y158" s="1629">
        <f t="shared" si="125"/>
        <v>1</v>
      </c>
      <c r="Z158" s="1401">
        <f t="shared" si="126"/>
        <v>8800000</v>
      </c>
      <c r="AA158" s="1401">
        <f t="shared" si="127"/>
        <v>8800000</v>
      </c>
      <c r="AB158" s="1401">
        <f t="shared" si="128"/>
        <v>8800000</v>
      </c>
      <c r="AC158" s="1401">
        <f t="shared" si="129"/>
        <v>8800000</v>
      </c>
      <c r="AD158" s="1479">
        <f t="shared" si="130"/>
        <v>8800000</v>
      </c>
      <c r="AE158" s="1479">
        <f t="shared" si="131"/>
        <v>8800000</v>
      </c>
      <c r="AF158" s="1479">
        <f t="shared" si="132"/>
        <v>8800000</v>
      </c>
      <c r="AG158" s="1479">
        <f t="shared" si="133"/>
        <v>61600000</v>
      </c>
      <c r="AH158" s="1646">
        <f t="shared" si="120"/>
        <v>378400000</v>
      </c>
    </row>
    <row r="159" spans="1:36" s="1390" customFormat="1" ht="40.5" customHeight="1" x14ac:dyDescent="0.2">
      <c r="A159" s="1391">
        <v>29</v>
      </c>
      <c r="B159" s="1477" t="s">
        <v>2984</v>
      </c>
      <c r="C159" s="1660">
        <v>147</v>
      </c>
      <c r="D159" s="1455" t="s">
        <v>2984</v>
      </c>
      <c r="E159" s="1501" t="s">
        <v>2845</v>
      </c>
      <c r="F159" s="1501"/>
      <c r="G159" s="1416"/>
      <c r="H159" s="1416"/>
      <c r="I159" s="1414" t="s">
        <v>736</v>
      </c>
      <c r="J159" s="1416"/>
      <c r="K159" s="1455" t="s">
        <v>52</v>
      </c>
      <c r="L159" s="1416">
        <v>2013</v>
      </c>
      <c r="M159" s="1429"/>
      <c r="N159" s="1501"/>
      <c r="O159" s="1416"/>
      <c r="P159" s="1414"/>
      <c r="Q159" s="1501" t="s">
        <v>12</v>
      </c>
      <c r="R159" s="1539">
        <v>234739190.51406699</v>
      </c>
      <c r="S159" s="1661"/>
      <c r="T159" s="1490"/>
      <c r="U159" s="1522" t="str">
        <f t="shared" si="134"/>
        <v>03.11.01</v>
      </c>
      <c r="V159" s="1478" t="str">
        <f t="shared" si="123"/>
        <v>Bangunan Gedung Tempat Kerja</v>
      </c>
      <c r="W159" s="1478">
        <f t="shared" si="124"/>
        <v>50</v>
      </c>
      <c r="X159" s="1401"/>
      <c r="Y159" s="1629"/>
      <c r="Z159" s="1401">
        <f>SUM('PERHITUNGAN (C)'!U487)</f>
        <v>4694783.81028134</v>
      </c>
      <c r="AA159" s="1479">
        <f>SUMIF('PERHITUNGAN (C)'!$A:$A,'KIB C'!B159&amp;'KIB C'!$AA$7,'PERHITUNGAN (C)'!$U:$U)</f>
        <v>4694783.81028134</v>
      </c>
      <c r="AB159" s="1479">
        <f>SUMIF('PERHITUNGAN (C)'!$A:$A,'KIB C'!B159&amp;'KIB C'!$AB$7,'PERHITUNGAN (C)'!$U:$U)</f>
        <v>4694783.81028134</v>
      </c>
      <c r="AC159" s="1479">
        <f>SUMIF('PERHITUNGAN (C)'!$A:$A,'KIB C'!B159&amp;'KIB C'!$AC$7,'PERHITUNGAN (C)'!$U:$U)</f>
        <v>4694783.81028134</v>
      </c>
      <c r="AD159" s="1479">
        <f>SUMIF('PERHITUNGAN (C)'!$A:$A,'KIB C'!B159&amp;'KIB C'!$AD$7,'PERHITUNGAN (C)'!$U:$U)</f>
        <v>4694783.81028134</v>
      </c>
      <c r="AE159" s="1479">
        <f>SUMIF('PERHITUNGAN (C)'!$A:$A,'KIB C'!B159&amp;'KIB C'!$AE$7,'PERHITUNGAN (C)'!$U:$U)</f>
        <v>4694783.81028134</v>
      </c>
      <c r="AF159" s="1479">
        <f>SUMIF('PERHITUNGAN (C)'!$A:$A,'KIB C'!B159&amp;'KIB C'!$AF$7,'PERHITUNGAN (C)'!$U:$U)</f>
        <v>4694783.81028134</v>
      </c>
      <c r="AG159" s="1479">
        <f>SUM(Z159:AF159)</f>
        <v>32863486.67196938</v>
      </c>
      <c r="AH159" s="1646">
        <f t="shared" si="120"/>
        <v>201875703.84209761</v>
      </c>
      <c r="AJ159" s="1443">
        <f>SUM(Z159:AE159)</f>
        <v>28168702.86168804</v>
      </c>
    </row>
    <row r="160" spans="1:36" s="1390" customFormat="1" ht="51" customHeight="1" x14ac:dyDescent="0.2">
      <c r="A160" s="1391"/>
      <c r="B160" s="1477"/>
      <c r="C160" s="1660">
        <v>148</v>
      </c>
      <c r="D160" s="1455" t="s">
        <v>4324</v>
      </c>
      <c r="E160" s="1501" t="s">
        <v>1752</v>
      </c>
      <c r="F160" s="1501" t="s">
        <v>1861</v>
      </c>
      <c r="G160" s="1416" t="s">
        <v>43</v>
      </c>
      <c r="H160" s="1416" t="s">
        <v>2492</v>
      </c>
      <c r="I160" s="1414" t="s">
        <v>736</v>
      </c>
      <c r="J160" s="1416"/>
      <c r="K160" s="1455" t="s">
        <v>2915</v>
      </c>
      <c r="L160" s="1416">
        <v>2013</v>
      </c>
      <c r="M160" s="1429" t="s">
        <v>5363</v>
      </c>
      <c r="N160" s="1501"/>
      <c r="O160" s="1416"/>
      <c r="P160" s="1414"/>
      <c r="Q160" s="1501" t="s">
        <v>12</v>
      </c>
      <c r="R160" s="1539">
        <v>443030094.3235327</v>
      </c>
      <c r="S160" s="1661"/>
      <c r="T160" s="1490"/>
      <c r="U160" s="1645" t="str">
        <f t="shared" ref="U160:U194" si="136">LEFT(E160,8)</f>
        <v>03.11.01</v>
      </c>
      <c r="V160" s="1478" t="str">
        <f t="shared" ref="V160:V194" si="137">VLOOKUP(U160,UE,3)</f>
        <v>Bangunan Gedung Tempat Kerja</v>
      </c>
      <c r="W160" s="1478">
        <f t="shared" ref="W160:W194" si="138">VLOOKUP(U160,UE,4)</f>
        <v>50</v>
      </c>
      <c r="X160" s="1401">
        <f t="shared" ref="X160:X174" si="139">R160/W160</f>
        <v>8860601.8864706531</v>
      </c>
      <c r="Y160" s="1629">
        <f t="shared" ref="Y160:Y174" si="140">IF(2013-L160+1&gt;W160,W160,IF(2013-L160+1&lt;0,0,2013-L160+1))</f>
        <v>1</v>
      </c>
      <c r="Z160" s="1401">
        <f t="shared" ref="Z160:Z174" si="141">IF(Y160&gt;W160,R160,X160*Y160)</f>
        <v>8860601.8864706531</v>
      </c>
      <c r="AA160" s="1401">
        <f t="shared" ref="AA160:AA174" si="142">IF(R160=Z160,0,X160)</f>
        <v>8860601.8864706531</v>
      </c>
      <c r="AB160" s="1401">
        <f t="shared" ref="AB160:AB174" si="143">IF(R160=Z160+AA160,0,X160)</f>
        <v>8860601.8864706531</v>
      </c>
      <c r="AC160" s="1401">
        <f t="shared" ref="AC160:AC174" si="144">IF(R160=Z160+AA160+AB160,0,X160)</f>
        <v>8860601.8864706531</v>
      </c>
      <c r="AD160" s="1479">
        <f t="shared" ref="AD160:AD174" si="145">IF(R160=Z160+AA160+AB160+AC160,0,X160)</f>
        <v>8860601.8864706531</v>
      </c>
      <c r="AE160" s="1479">
        <f t="shared" ref="AE160:AE174" si="146">IF(R160=Z160+AA160+AB160+AC160+AD160,0,X160)</f>
        <v>8860601.8864706531</v>
      </c>
      <c r="AF160" s="1479">
        <f t="shared" ref="AF160:AF174" si="147">IF(R160=Z160+AA160+AB160+AC160+AD160+AE160,0,X160)</f>
        <v>8860601.8864706531</v>
      </c>
      <c r="AG160" s="1479">
        <f t="shared" ref="AG160:AG174" si="148">SUM(Z160:AF160)</f>
        <v>62024213.205294572</v>
      </c>
      <c r="AH160" s="1646">
        <f t="shared" ref="AH160:AH194" si="149">R160-AG160</f>
        <v>381005881.11823815</v>
      </c>
    </row>
    <row r="161" spans="1:36" s="1390" customFormat="1" ht="51" customHeight="1" x14ac:dyDescent="0.2">
      <c r="A161" s="1391"/>
      <c r="B161" s="1477"/>
      <c r="C161" s="1660">
        <v>149</v>
      </c>
      <c r="D161" s="1455" t="s">
        <v>4325</v>
      </c>
      <c r="E161" s="1501" t="s">
        <v>1752</v>
      </c>
      <c r="F161" s="1501" t="s">
        <v>1864</v>
      </c>
      <c r="G161" s="1416" t="s">
        <v>43</v>
      </c>
      <c r="H161" s="1416" t="s">
        <v>2492</v>
      </c>
      <c r="I161" s="1414" t="s">
        <v>736</v>
      </c>
      <c r="J161" s="1416"/>
      <c r="K161" s="1455" t="s">
        <v>2916</v>
      </c>
      <c r="L161" s="1416">
        <v>2013</v>
      </c>
      <c r="M161" s="1429" t="s">
        <v>5364</v>
      </c>
      <c r="N161" s="1501"/>
      <c r="O161" s="1416"/>
      <c r="P161" s="1414"/>
      <c r="Q161" s="1501" t="s">
        <v>12</v>
      </c>
      <c r="R161" s="1539">
        <v>439755084.76753765</v>
      </c>
      <c r="S161" s="1661"/>
      <c r="T161" s="1490"/>
      <c r="U161" s="1645" t="str">
        <f t="shared" si="136"/>
        <v>03.11.01</v>
      </c>
      <c r="V161" s="1478" t="str">
        <f t="shared" si="137"/>
        <v>Bangunan Gedung Tempat Kerja</v>
      </c>
      <c r="W161" s="1478">
        <f t="shared" si="138"/>
        <v>50</v>
      </c>
      <c r="X161" s="1401">
        <f t="shared" si="139"/>
        <v>8795101.6953507531</v>
      </c>
      <c r="Y161" s="1629">
        <f t="shared" si="140"/>
        <v>1</v>
      </c>
      <c r="Z161" s="1401">
        <f t="shared" si="141"/>
        <v>8795101.6953507531</v>
      </c>
      <c r="AA161" s="1401">
        <f t="shared" si="142"/>
        <v>8795101.6953507531</v>
      </c>
      <c r="AB161" s="1401">
        <f t="shared" si="143"/>
        <v>8795101.6953507531</v>
      </c>
      <c r="AC161" s="1401">
        <f t="shared" si="144"/>
        <v>8795101.6953507531</v>
      </c>
      <c r="AD161" s="1479">
        <f t="shared" si="145"/>
        <v>8795101.6953507531</v>
      </c>
      <c r="AE161" s="1479">
        <f t="shared" si="146"/>
        <v>8795101.6953507531</v>
      </c>
      <c r="AF161" s="1479">
        <f t="shared" si="147"/>
        <v>8795101.6953507531</v>
      </c>
      <c r="AG161" s="1479">
        <f t="shared" si="148"/>
        <v>61565711.867455266</v>
      </c>
      <c r="AH161" s="1646">
        <f t="shared" si="149"/>
        <v>378189372.90008241</v>
      </c>
    </row>
    <row r="162" spans="1:36" s="1390" customFormat="1" ht="51" customHeight="1" x14ac:dyDescent="0.2">
      <c r="A162" s="1391"/>
      <c r="B162" s="1477"/>
      <c r="C162" s="1660">
        <v>150</v>
      </c>
      <c r="D162" s="1455" t="s">
        <v>5786</v>
      </c>
      <c r="E162" s="1501" t="s">
        <v>1752</v>
      </c>
      <c r="F162" s="1501" t="s">
        <v>1870</v>
      </c>
      <c r="G162" s="1416" t="s">
        <v>43</v>
      </c>
      <c r="H162" s="1416" t="s">
        <v>2492</v>
      </c>
      <c r="I162" s="1414" t="s">
        <v>736</v>
      </c>
      <c r="J162" s="1416"/>
      <c r="K162" s="1455" t="s">
        <v>2917</v>
      </c>
      <c r="L162" s="1416">
        <v>2013</v>
      </c>
      <c r="M162" s="1429" t="s">
        <v>5365</v>
      </c>
      <c r="N162" s="1501"/>
      <c r="O162" s="1416"/>
      <c r="P162" s="1414"/>
      <c r="Q162" s="1501" t="s">
        <v>12</v>
      </c>
      <c r="R162" s="1539">
        <v>441362872.62528366</v>
      </c>
      <c r="S162" s="1661"/>
      <c r="T162" s="1490"/>
      <c r="U162" s="1645" t="str">
        <f t="shared" si="136"/>
        <v>03.11.01</v>
      </c>
      <c r="V162" s="1478" t="str">
        <f t="shared" si="137"/>
        <v>Bangunan Gedung Tempat Kerja</v>
      </c>
      <c r="W162" s="1478">
        <f t="shared" si="138"/>
        <v>50</v>
      </c>
      <c r="X162" s="1401">
        <f t="shared" si="139"/>
        <v>8827257.4525056724</v>
      </c>
      <c r="Y162" s="1629">
        <f t="shared" si="140"/>
        <v>1</v>
      </c>
      <c r="Z162" s="1401">
        <f t="shared" si="141"/>
        <v>8827257.4525056724</v>
      </c>
      <c r="AA162" s="1401">
        <f t="shared" si="142"/>
        <v>8827257.4525056724</v>
      </c>
      <c r="AB162" s="1401">
        <f t="shared" si="143"/>
        <v>8827257.4525056724</v>
      </c>
      <c r="AC162" s="1401">
        <f t="shared" si="144"/>
        <v>8827257.4525056724</v>
      </c>
      <c r="AD162" s="1479">
        <f t="shared" si="145"/>
        <v>8827257.4525056724</v>
      </c>
      <c r="AE162" s="1479">
        <f t="shared" si="146"/>
        <v>8827257.4525056724</v>
      </c>
      <c r="AF162" s="1479">
        <f t="shared" si="147"/>
        <v>8827257.4525056724</v>
      </c>
      <c r="AG162" s="1479">
        <f t="shared" si="148"/>
        <v>61790802.167539701</v>
      </c>
      <c r="AH162" s="1646">
        <f t="shared" si="149"/>
        <v>379572070.45774394</v>
      </c>
    </row>
    <row r="163" spans="1:36" s="1390" customFormat="1" ht="51" customHeight="1" x14ac:dyDescent="0.2">
      <c r="A163" s="1391"/>
      <c r="B163" s="1477"/>
      <c r="C163" s="1660">
        <v>151</v>
      </c>
      <c r="D163" s="1455" t="s">
        <v>5787</v>
      </c>
      <c r="E163" s="1501" t="s">
        <v>1752</v>
      </c>
      <c r="F163" s="1501" t="s">
        <v>1888</v>
      </c>
      <c r="G163" s="1416" t="s">
        <v>43</v>
      </c>
      <c r="H163" s="1416" t="s">
        <v>2492</v>
      </c>
      <c r="I163" s="1414" t="s">
        <v>736</v>
      </c>
      <c r="J163" s="1416"/>
      <c r="K163" s="1455" t="s">
        <v>2918</v>
      </c>
      <c r="L163" s="1416">
        <v>2013</v>
      </c>
      <c r="M163" s="1429" t="s">
        <v>5366</v>
      </c>
      <c r="N163" s="1501"/>
      <c r="O163" s="1416"/>
      <c r="P163" s="1414"/>
      <c r="Q163" s="1501" t="s">
        <v>12</v>
      </c>
      <c r="R163" s="1539">
        <v>438678102.58876711</v>
      </c>
      <c r="S163" s="1661"/>
      <c r="T163" s="1490"/>
      <c r="U163" s="1645" t="str">
        <f t="shared" si="136"/>
        <v>03.11.01</v>
      </c>
      <c r="V163" s="1478" t="str">
        <f t="shared" si="137"/>
        <v>Bangunan Gedung Tempat Kerja</v>
      </c>
      <c r="W163" s="1478">
        <f t="shared" si="138"/>
        <v>50</v>
      </c>
      <c r="X163" s="1401">
        <f t="shared" si="139"/>
        <v>8773562.0517753419</v>
      </c>
      <c r="Y163" s="1629">
        <f t="shared" si="140"/>
        <v>1</v>
      </c>
      <c r="Z163" s="1401">
        <f t="shared" si="141"/>
        <v>8773562.0517753419</v>
      </c>
      <c r="AA163" s="1401">
        <f t="shared" si="142"/>
        <v>8773562.0517753419</v>
      </c>
      <c r="AB163" s="1401">
        <f t="shared" si="143"/>
        <v>8773562.0517753419</v>
      </c>
      <c r="AC163" s="1401">
        <f t="shared" si="144"/>
        <v>8773562.0517753419</v>
      </c>
      <c r="AD163" s="1479">
        <f t="shared" si="145"/>
        <v>8773562.0517753419</v>
      </c>
      <c r="AE163" s="1479">
        <f t="shared" si="146"/>
        <v>8773562.0517753419</v>
      </c>
      <c r="AF163" s="1479">
        <f t="shared" si="147"/>
        <v>8773562.0517753419</v>
      </c>
      <c r="AG163" s="1479">
        <f t="shared" si="148"/>
        <v>61414934.362427399</v>
      </c>
      <c r="AH163" s="1646">
        <f t="shared" si="149"/>
        <v>377263168.2263397</v>
      </c>
    </row>
    <row r="164" spans="1:36" s="1390" customFormat="1" ht="51" customHeight="1" x14ac:dyDescent="0.2">
      <c r="A164" s="1391"/>
      <c r="B164" s="1477"/>
      <c r="C164" s="1660">
        <v>152</v>
      </c>
      <c r="D164" s="1455" t="s">
        <v>5788</v>
      </c>
      <c r="E164" s="1501" t="s">
        <v>1752</v>
      </c>
      <c r="F164" s="1501" t="s">
        <v>1895</v>
      </c>
      <c r="G164" s="1416" t="s">
        <v>43</v>
      </c>
      <c r="H164" s="1416" t="s">
        <v>2492</v>
      </c>
      <c r="I164" s="1414" t="s">
        <v>736</v>
      </c>
      <c r="J164" s="1416"/>
      <c r="K164" s="1455" t="s">
        <v>2919</v>
      </c>
      <c r="L164" s="1416">
        <v>2013</v>
      </c>
      <c r="M164" s="1429" t="s">
        <v>5367</v>
      </c>
      <c r="N164" s="1501"/>
      <c r="O164" s="1416"/>
      <c r="P164" s="1414"/>
      <c r="Q164" s="1501" t="s">
        <v>12</v>
      </c>
      <c r="R164" s="1539">
        <v>443392845.69487888</v>
      </c>
      <c r="S164" s="1661"/>
      <c r="T164" s="1490"/>
      <c r="U164" s="1645" t="str">
        <f t="shared" si="136"/>
        <v>03.11.01</v>
      </c>
      <c r="V164" s="1478" t="str">
        <f t="shared" si="137"/>
        <v>Bangunan Gedung Tempat Kerja</v>
      </c>
      <c r="W164" s="1478">
        <f t="shared" si="138"/>
        <v>50</v>
      </c>
      <c r="X164" s="1401">
        <f t="shared" si="139"/>
        <v>8867856.9138975777</v>
      </c>
      <c r="Y164" s="1629">
        <f t="shared" si="140"/>
        <v>1</v>
      </c>
      <c r="Z164" s="1401">
        <f t="shared" si="141"/>
        <v>8867856.9138975777</v>
      </c>
      <c r="AA164" s="1401">
        <f t="shared" si="142"/>
        <v>8867856.9138975777</v>
      </c>
      <c r="AB164" s="1401">
        <f t="shared" si="143"/>
        <v>8867856.9138975777</v>
      </c>
      <c r="AC164" s="1401">
        <f t="shared" si="144"/>
        <v>8867856.9138975777</v>
      </c>
      <c r="AD164" s="1479">
        <f t="shared" si="145"/>
        <v>8867856.9138975777</v>
      </c>
      <c r="AE164" s="1479">
        <f t="shared" si="146"/>
        <v>8867856.9138975777</v>
      </c>
      <c r="AF164" s="1479">
        <f t="shared" si="147"/>
        <v>8867856.9138975777</v>
      </c>
      <c r="AG164" s="1479">
        <f t="shared" si="148"/>
        <v>62074998.397283033</v>
      </c>
      <c r="AH164" s="1646">
        <f t="shared" si="149"/>
        <v>381317847.29759586</v>
      </c>
    </row>
    <row r="165" spans="1:36" s="1390" customFormat="1" ht="51" customHeight="1" x14ac:dyDescent="0.2">
      <c r="A165" s="1391"/>
      <c r="B165" s="1477"/>
      <c r="C165" s="1660">
        <v>153</v>
      </c>
      <c r="D165" s="1455" t="s">
        <v>4756</v>
      </c>
      <c r="E165" s="1501" t="s">
        <v>1752</v>
      </c>
      <c r="F165" s="1501" t="s">
        <v>1899</v>
      </c>
      <c r="G165" s="1416" t="s">
        <v>43</v>
      </c>
      <c r="H165" s="1416" t="s">
        <v>2492</v>
      </c>
      <c r="I165" s="1414" t="s">
        <v>736</v>
      </c>
      <c r="J165" s="1416"/>
      <c r="K165" s="1455" t="s">
        <v>2920</v>
      </c>
      <c r="L165" s="1416">
        <v>2013</v>
      </c>
      <c r="M165" s="1429" t="s">
        <v>5368</v>
      </c>
      <c r="N165" s="1501"/>
      <c r="O165" s="1416"/>
      <c r="P165" s="1414"/>
      <c r="Q165" s="1501" t="s">
        <v>12</v>
      </c>
      <c r="R165" s="1539">
        <v>550731000</v>
      </c>
      <c r="S165" s="1661"/>
      <c r="T165" s="1490"/>
      <c r="U165" s="1645" t="str">
        <f t="shared" si="136"/>
        <v>03.11.01</v>
      </c>
      <c r="V165" s="1478" t="str">
        <f t="shared" si="137"/>
        <v>Bangunan Gedung Tempat Kerja</v>
      </c>
      <c r="W165" s="1478">
        <f t="shared" si="138"/>
        <v>50</v>
      </c>
      <c r="X165" s="1401">
        <f t="shared" si="139"/>
        <v>11014620</v>
      </c>
      <c r="Y165" s="1629">
        <f t="shared" si="140"/>
        <v>1</v>
      </c>
      <c r="Z165" s="1401">
        <f t="shared" si="141"/>
        <v>11014620</v>
      </c>
      <c r="AA165" s="1401">
        <f t="shared" si="142"/>
        <v>11014620</v>
      </c>
      <c r="AB165" s="1401">
        <f t="shared" si="143"/>
        <v>11014620</v>
      </c>
      <c r="AC165" s="1401">
        <f t="shared" si="144"/>
        <v>11014620</v>
      </c>
      <c r="AD165" s="1479">
        <f t="shared" si="145"/>
        <v>11014620</v>
      </c>
      <c r="AE165" s="1479">
        <f t="shared" si="146"/>
        <v>11014620</v>
      </c>
      <c r="AF165" s="1479">
        <f t="shared" si="147"/>
        <v>11014620</v>
      </c>
      <c r="AG165" s="1479">
        <f t="shared" si="148"/>
        <v>77102340</v>
      </c>
      <c r="AH165" s="1646">
        <f t="shared" si="149"/>
        <v>473628660</v>
      </c>
    </row>
    <row r="166" spans="1:36" s="1390" customFormat="1" ht="51" customHeight="1" x14ac:dyDescent="0.2">
      <c r="A166" s="1391"/>
      <c r="B166" s="1477"/>
      <c r="C166" s="1660">
        <v>154</v>
      </c>
      <c r="D166" s="1455" t="s">
        <v>4328</v>
      </c>
      <c r="E166" s="1501" t="s">
        <v>1752</v>
      </c>
      <c r="F166" s="1501" t="s">
        <v>1701</v>
      </c>
      <c r="G166" s="1416" t="s">
        <v>43</v>
      </c>
      <c r="H166" s="1416" t="s">
        <v>2492</v>
      </c>
      <c r="I166" s="1414" t="s">
        <v>736</v>
      </c>
      <c r="J166" s="1416"/>
      <c r="K166" s="1455" t="s">
        <v>2921</v>
      </c>
      <c r="L166" s="1416">
        <v>2013</v>
      </c>
      <c r="M166" s="1429" t="s">
        <v>5368</v>
      </c>
      <c r="N166" s="1501"/>
      <c r="O166" s="1416"/>
      <c r="P166" s="1414"/>
      <c r="Q166" s="1501" t="s">
        <v>12</v>
      </c>
      <c r="R166" s="1539">
        <v>448379000</v>
      </c>
      <c r="S166" s="1661"/>
      <c r="T166" s="1490"/>
      <c r="U166" s="1645" t="str">
        <f t="shared" si="136"/>
        <v>03.11.01</v>
      </c>
      <c r="V166" s="1478" t="str">
        <f t="shared" si="137"/>
        <v>Bangunan Gedung Tempat Kerja</v>
      </c>
      <c r="W166" s="1478">
        <f t="shared" si="138"/>
        <v>50</v>
      </c>
      <c r="X166" s="1401">
        <f t="shared" si="139"/>
        <v>8967580</v>
      </c>
      <c r="Y166" s="1629">
        <f t="shared" si="140"/>
        <v>1</v>
      </c>
      <c r="Z166" s="1401">
        <f t="shared" si="141"/>
        <v>8967580</v>
      </c>
      <c r="AA166" s="1401">
        <f t="shared" si="142"/>
        <v>8967580</v>
      </c>
      <c r="AB166" s="1401">
        <f t="shared" si="143"/>
        <v>8967580</v>
      </c>
      <c r="AC166" s="1401">
        <f t="shared" si="144"/>
        <v>8967580</v>
      </c>
      <c r="AD166" s="1479">
        <f t="shared" si="145"/>
        <v>8967580</v>
      </c>
      <c r="AE166" s="1479">
        <f t="shared" si="146"/>
        <v>8967580</v>
      </c>
      <c r="AF166" s="1479">
        <f t="shared" si="147"/>
        <v>8967580</v>
      </c>
      <c r="AG166" s="1479">
        <f t="shared" si="148"/>
        <v>62773060</v>
      </c>
      <c r="AH166" s="1646">
        <f t="shared" si="149"/>
        <v>385605940</v>
      </c>
    </row>
    <row r="167" spans="1:36" s="1390" customFormat="1" ht="51" customHeight="1" x14ac:dyDescent="0.2">
      <c r="A167" s="1391"/>
      <c r="B167" s="1477"/>
      <c r="C167" s="1660">
        <v>155</v>
      </c>
      <c r="D167" s="1455" t="s">
        <v>5789</v>
      </c>
      <c r="E167" s="1501" t="s">
        <v>1752</v>
      </c>
      <c r="F167" s="1501" t="s">
        <v>1906</v>
      </c>
      <c r="G167" s="1416" t="s">
        <v>43</v>
      </c>
      <c r="H167" s="1416" t="s">
        <v>2492</v>
      </c>
      <c r="I167" s="1414" t="s">
        <v>736</v>
      </c>
      <c r="J167" s="1416"/>
      <c r="K167" s="1455" t="s">
        <v>2922</v>
      </c>
      <c r="L167" s="1416">
        <v>2013</v>
      </c>
      <c r="M167" s="1429" t="s">
        <v>5369</v>
      </c>
      <c r="N167" s="1501"/>
      <c r="O167" s="1416"/>
      <c r="P167" s="1414"/>
      <c r="Q167" s="1501" t="s">
        <v>12</v>
      </c>
      <c r="R167" s="1539">
        <v>426089126.5672524</v>
      </c>
      <c r="S167" s="1661"/>
      <c r="T167" s="1490"/>
      <c r="U167" s="1645" t="str">
        <f t="shared" si="136"/>
        <v>03.11.01</v>
      </c>
      <c r="V167" s="1478" t="str">
        <f t="shared" si="137"/>
        <v>Bangunan Gedung Tempat Kerja</v>
      </c>
      <c r="W167" s="1478">
        <f t="shared" si="138"/>
        <v>50</v>
      </c>
      <c r="X167" s="1401">
        <f t="shared" si="139"/>
        <v>8521782.5313450471</v>
      </c>
      <c r="Y167" s="1629">
        <f t="shared" si="140"/>
        <v>1</v>
      </c>
      <c r="Z167" s="1401">
        <f t="shared" si="141"/>
        <v>8521782.5313450471</v>
      </c>
      <c r="AA167" s="1401">
        <f t="shared" si="142"/>
        <v>8521782.5313450471</v>
      </c>
      <c r="AB167" s="1401">
        <f t="shared" si="143"/>
        <v>8521782.5313450471</v>
      </c>
      <c r="AC167" s="1401">
        <f t="shared" si="144"/>
        <v>8521782.5313450471</v>
      </c>
      <c r="AD167" s="1479">
        <f t="shared" si="145"/>
        <v>8521782.5313450471</v>
      </c>
      <c r="AE167" s="1479">
        <f t="shared" si="146"/>
        <v>8521782.5313450471</v>
      </c>
      <c r="AF167" s="1479">
        <f t="shared" si="147"/>
        <v>8521782.5313450471</v>
      </c>
      <c r="AG167" s="1479">
        <f t="shared" si="148"/>
        <v>59652477.719415329</v>
      </c>
      <c r="AH167" s="1646">
        <f t="shared" si="149"/>
        <v>366436648.84783709</v>
      </c>
    </row>
    <row r="168" spans="1:36" s="1390" customFormat="1" ht="51" customHeight="1" x14ac:dyDescent="0.2">
      <c r="A168" s="1391"/>
      <c r="B168" s="1477"/>
      <c r="C168" s="1660">
        <v>156</v>
      </c>
      <c r="D168" s="1455" t="s">
        <v>4270</v>
      </c>
      <c r="E168" s="1501" t="s">
        <v>1752</v>
      </c>
      <c r="F168" s="1501" t="s">
        <v>1910</v>
      </c>
      <c r="G168" s="1416" t="s">
        <v>43</v>
      </c>
      <c r="H168" s="1416" t="s">
        <v>2492</v>
      </c>
      <c r="I168" s="1414" t="s">
        <v>736</v>
      </c>
      <c r="J168" s="1416"/>
      <c r="K168" s="1455" t="s">
        <v>2923</v>
      </c>
      <c r="L168" s="1416">
        <v>2013</v>
      </c>
      <c r="M168" s="1429" t="s">
        <v>5370</v>
      </c>
      <c r="N168" s="1501"/>
      <c r="O168" s="1416"/>
      <c r="P168" s="1414"/>
      <c r="Q168" s="1501" t="s">
        <v>12</v>
      </c>
      <c r="R168" s="1539">
        <v>441125006.51592267</v>
      </c>
      <c r="S168" s="1661"/>
      <c r="T168" s="1490"/>
      <c r="U168" s="1645" t="str">
        <f t="shared" si="136"/>
        <v>03.11.01</v>
      </c>
      <c r="V168" s="1478" t="str">
        <f t="shared" si="137"/>
        <v>Bangunan Gedung Tempat Kerja</v>
      </c>
      <c r="W168" s="1478">
        <f t="shared" si="138"/>
        <v>50</v>
      </c>
      <c r="X168" s="1401">
        <f t="shared" si="139"/>
        <v>8822500.1303184535</v>
      </c>
      <c r="Y168" s="1629">
        <f t="shared" si="140"/>
        <v>1</v>
      </c>
      <c r="Z168" s="1401">
        <f t="shared" si="141"/>
        <v>8822500.1303184535</v>
      </c>
      <c r="AA168" s="1401">
        <f t="shared" si="142"/>
        <v>8822500.1303184535</v>
      </c>
      <c r="AB168" s="1401">
        <f t="shared" si="143"/>
        <v>8822500.1303184535</v>
      </c>
      <c r="AC168" s="1401">
        <f t="shared" si="144"/>
        <v>8822500.1303184535</v>
      </c>
      <c r="AD168" s="1479">
        <f t="shared" si="145"/>
        <v>8822500.1303184535</v>
      </c>
      <c r="AE168" s="1479">
        <f t="shared" si="146"/>
        <v>8822500.1303184535</v>
      </c>
      <c r="AF168" s="1479">
        <f t="shared" si="147"/>
        <v>8822500.1303184535</v>
      </c>
      <c r="AG168" s="1479">
        <f t="shared" si="148"/>
        <v>61757500.91222918</v>
      </c>
      <c r="AH168" s="1646">
        <f t="shared" si="149"/>
        <v>379367505.60369349</v>
      </c>
    </row>
    <row r="169" spans="1:36" s="1390" customFormat="1" ht="51" customHeight="1" x14ac:dyDescent="0.2">
      <c r="A169" s="1391"/>
      <c r="B169" s="1477"/>
      <c r="C169" s="1660">
        <v>157</v>
      </c>
      <c r="D169" s="1455" t="s">
        <v>5790</v>
      </c>
      <c r="E169" s="1501" t="s">
        <v>1752</v>
      </c>
      <c r="F169" s="1501" t="s">
        <v>1913</v>
      </c>
      <c r="G169" s="1416" t="s">
        <v>43</v>
      </c>
      <c r="H169" s="1416" t="s">
        <v>2492</v>
      </c>
      <c r="I169" s="1414" t="s">
        <v>736</v>
      </c>
      <c r="J169" s="1416"/>
      <c r="K169" s="1455" t="s">
        <v>2924</v>
      </c>
      <c r="L169" s="1416">
        <v>2013</v>
      </c>
      <c r="M169" s="1429" t="s">
        <v>5371</v>
      </c>
      <c r="N169" s="1501"/>
      <c r="O169" s="1416"/>
      <c r="P169" s="1414"/>
      <c r="Q169" s="1501" t="s">
        <v>12</v>
      </c>
      <c r="R169" s="1539">
        <v>443360374.87962258</v>
      </c>
      <c r="S169" s="1661"/>
      <c r="T169" s="1490"/>
      <c r="U169" s="1645" t="str">
        <f t="shared" si="136"/>
        <v>03.11.01</v>
      </c>
      <c r="V169" s="1478" t="str">
        <f t="shared" si="137"/>
        <v>Bangunan Gedung Tempat Kerja</v>
      </c>
      <c r="W169" s="1478">
        <f t="shared" si="138"/>
        <v>50</v>
      </c>
      <c r="X169" s="1401">
        <f t="shared" si="139"/>
        <v>8867207.4975924511</v>
      </c>
      <c r="Y169" s="1629">
        <f t="shared" si="140"/>
        <v>1</v>
      </c>
      <c r="Z169" s="1401">
        <f t="shared" si="141"/>
        <v>8867207.4975924511</v>
      </c>
      <c r="AA169" s="1401">
        <f t="shared" si="142"/>
        <v>8867207.4975924511</v>
      </c>
      <c r="AB169" s="1401">
        <f t="shared" si="143"/>
        <v>8867207.4975924511</v>
      </c>
      <c r="AC169" s="1401">
        <f t="shared" si="144"/>
        <v>8867207.4975924511</v>
      </c>
      <c r="AD169" s="1479">
        <f t="shared" si="145"/>
        <v>8867207.4975924511</v>
      </c>
      <c r="AE169" s="1479">
        <f t="shared" si="146"/>
        <v>8867207.4975924511</v>
      </c>
      <c r="AF169" s="1479">
        <f t="shared" si="147"/>
        <v>8867207.4975924511</v>
      </c>
      <c r="AG169" s="1479">
        <f t="shared" si="148"/>
        <v>62070452.483147152</v>
      </c>
      <c r="AH169" s="1646">
        <f t="shared" si="149"/>
        <v>381289922.39647543</v>
      </c>
    </row>
    <row r="170" spans="1:36" s="1390" customFormat="1" ht="51" customHeight="1" x14ac:dyDescent="0.2">
      <c r="A170" s="1391"/>
      <c r="B170" s="1477"/>
      <c r="C170" s="1660">
        <v>158</v>
      </c>
      <c r="D170" s="1455" t="s">
        <v>5791</v>
      </c>
      <c r="E170" s="1501" t="s">
        <v>1752</v>
      </c>
      <c r="F170" s="1501" t="s">
        <v>1916</v>
      </c>
      <c r="G170" s="1416" t="s">
        <v>43</v>
      </c>
      <c r="H170" s="1416" t="s">
        <v>2492</v>
      </c>
      <c r="I170" s="1414" t="s">
        <v>736</v>
      </c>
      <c r="J170" s="1416"/>
      <c r="K170" s="1455" t="s">
        <v>2925</v>
      </c>
      <c r="L170" s="1416">
        <v>2013</v>
      </c>
      <c r="M170" s="1429" t="s">
        <v>5372</v>
      </c>
      <c r="N170" s="1501"/>
      <c r="O170" s="1416"/>
      <c r="P170" s="1414"/>
      <c r="Q170" s="1501" t="s">
        <v>12</v>
      </c>
      <c r="R170" s="1539">
        <v>439390492.03720236</v>
      </c>
      <c r="S170" s="1661"/>
      <c r="T170" s="1490"/>
      <c r="U170" s="1645" t="str">
        <f t="shared" si="136"/>
        <v>03.11.01</v>
      </c>
      <c r="V170" s="1478" t="str">
        <f t="shared" si="137"/>
        <v>Bangunan Gedung Tempat Kerja</v>
      </c>
      <c r="W170" s="1478">
        <f t="shared" si="138"/>
        <v>50</v>
      </c>
      <c r="X170" s="1401">
        <f t="shared" si="139"/>
        <v>8787809.8407440465</v>
      </c>
      <c r="Y170" s="1629">
        <f t="shared" si="140"/>
        <v>1</v>
      </c>
      <c r="Z170" s="1401">
        <f t="shared" si="141"/>
        <v>8787809.8407440465</v>
      </c>
      <c r="AA170" s="1401">
        <f t="shared" si="142"/>
        <v>8787809.8407440465</v>
      </c>
      <c r="AB170" s="1401">
        <f t="shared" si="143"/>
        <v>8787809.8407440465</v>
      </c>
      <c r="AC170" s="1401">
        <f t="shared" si="144"/>
        <v>8787809.8407440465</v>
      </c>
      <c r="AD170" s="1479">
        <f t="shared" si="145"/>
        <v>8787809.8407440465</v>
      </c>
      <c r="AE170" s="1479">
        <f t="shared" si="146"/>
        <v>8787809.8407440465</v>
      </c>
      <c r="AF170" s="1479">
        <f t="shared" si="147"/>
        <v>8787809.8407440465</v>
      </c>
      <c r="AG170" s="1479">
        <f t="shared" si="148"/>
        <v>61514668.885208331</v>
      </c>
      <c r="AH170" s="1646">
        <f t="shared" si="149"/>
        <v>377875823.15199405</v>
      </c>
    </row>
    <row r="171" spans="1:36" s="1390" customFormat="1" ht="51" customHeight="1" x14ac:dyDescent="0.2">
      <c r="A171" s="1391"/>
      <c r="B171" s="1477"/>
      <c r="C171" s="1660">
        <v>159</v>
      </c>
      <c r="D171" s="1455" t="s">
        <v>5792</v>
      </c>
      <c r="E171" s="1501" t="s">
        <v>1752</v>
      </c>
      <c r="F171" s="1501" t="s">
        <v>1920</v>
      </c>
      <c r="G171" s="1416" t="s">
        <v>43</v>
      </c>
      <c r="H171" s="1416" t="s">
        <v>2492</v>
      </c>
      <c r="I171" s="1414" t="s">
        <v>736</v>
      </c>
      <c r="J171" s="1416"/>
      <c r="K171" s="1455" t="s">
        <v>2926</v>
      </c>
      <c r="L171" s="1416">
        <v>2013</v>
      </c>
      <c r="M171" s="1429" t="s">
        <v>5373</v>
      </c>
      <c r="N171" s="1501"/>
      <c r="O171" s="1416"/>
      <c r="P171" s="1414"/>
      <c r="Q171" s="1501" t="s">
        <v>12</v>
      </c>
      <c r="R171" s="1539">
        <v>426167000</v>
      </c>
      <c r="S171" s="1661"/>
      <c r="T171" s="1490"/>
      <c r="U171" s="1645" t="str">
        <f t="shared" si="136"/>
        <v>03.11.01</v>
      </c>
      <c r="V171" s="1478" t="str">
        <f t="shared" si="137"/>
        <v>Bangunan Gedung Tempat Kerja</v>
      </c>
      <c r="W171" s="1478">
        <f t="shared" si="138"/>
        <v>50</v>
      </c>
      <c r="X171" s="1401">
        <f t="shared" si="139"/>
        <v>8523340</v>
      </c>
      <c r="Y171" s="1629">
        <f t="shared" si="140"/>
        <v>1</v>
      </c>
      <c r="Z171" s="1401">
        <f t="shared" si="141"/>
        <v>8523340</v>
      </c>
      <c r="AA171" s="1401">
        <f t="shared" si="142"/>
        <v>8523340</v>
      </c>
      <c r="AB171" s="1401">
        <f t="shared" si="143"/>
        <v>8523340</v>
      </c>
      <c r="AC171" s="1401">
        <f t="shared" si="144"/>
        <v>8523340</v>
      </c>
      <c r="AD171" s="1479">
        <f t="shared" si="145"/>
        <v>8523340</v>
      </c>
      <c r="AE171" s="1479">
        <f t="shared" si="146"/>
        <v>8523340</v>
      </c>
      <c r="AF171" s="1479">
        <f t="shared" si="147"/>
        <v>8523340</v>
      </c>
      <c r="AG171" s="1479">
        <f t="shared" si="148"/>
        <v>59663380</v>
      </c>
      <c r="AH171" s="1646">
        <f t="shared" si="149"/>
        <v>366503620</v>
      </c>
    </row>
    <row r="172" spans="1:36" s="1390" customFormat="1" ht="51" customHeight="1" x14ac:dyDescent="0.2">
      <c r="A172" s="1391"/>
      <c r="B172" s="1477"/>
      <c r="C172" s="1660">
        <v>160</v>
      </c>
      <c r="D172" s="1455" t="s">
        <v>5793</v>
      </c>
      <c r="E172" s="1501" t="s">
        <v>1752</v>
      </c>
      <c r="F172" s="1501" t="s">
        <v>1924</v>
      </c>
      <c r="G172" s="1416" t="s">
        <v>43</v>
      </c>
      <c r="H172" s="1416" t="s">
        <v>2492</v>
      </c>
      <c r="I172" s="1414" t="s">
        <v>736</v>
      </c>
      <c r="J172" s="1416"/>
      <c r="K172" s="1455" t="s">
        <v>2927</v>
      </c>
      <c r="L172" s="1416">
        <v>2013</v>
      </c>
      <c r="M172" s="1429" t="s">
        <v>5374</v>
      </c>
      <c r="N172" s="1501"/>
      <c r="O172" s="1416"/>
      <c r="P172" s="1414"/>
      <c r="Q172" s="1501" t="s">
        <v>12</v>
      </c>
      <c r="R172" s="1539">
        <v>460983000</v>
      </c>
      <c r="S172" s="1661"/>
      <c r="T172" s="1490"/>
      <c r="U172" s="1645" t="str">
        <f t="shared" si="136"/>
        <v>03.11.01</v>
      </c>
      <c r="V172" s="1478" t="str">
        <f t="shared" si="137"/>
        <v>Bangunan Gedung Tempat Kerja</v>
      </c>
      <c r="W172" s="1478">
        <f t="shared" si="138"/>
        <v>50</v>
      </c>
      <c r="X172" s="1401">
        <f t="shared" si="139"/>
        <v>9219660</v>
      </c>
      <c r="Y172" s="1629">
        <f t="shared" si="140"/>
        <v>1</v>
      </c>
      <c r="Z172" s="1401">
        <f t="shared" si="141"/>
        <v>9219660</v>
      </c>
      <c r="AA172" s="1401">
        <f t="shared" si="142"/>
        <v>9219660</v>
      </c>
      <c r="AB172" s="1401">
        <f t="shared" si="143"/>
        <v>9219660</v>
      </c>
      <c r="AC172" s="1401">
        <f t="shared" si="144"/>
        <v>9219660</v>
      </c>
      <c r="AD172" s="1479">
        <f t="shared" si="145"/>
        <v>9219660</v>
      </c>
      <c r="AE172" s="1479">
        <f t="shared" si="146"/>
        <v>9219660</v>
      </c>
      <c r="AF172" s="1479">
        <f t="shared" si="147"/>
        <v>9219660</v>
      </c>
      <c r="AG172" s="1479">
        <f t="shared" si="148"/>
        <v>64537620</v>
      </c>
      <c r="AH172" s="1646">
        <f t="shared" si="149"/>
        <v>396445380</v>
      </c>
    </row>
    <row r="173" spans="1:36" s="1390" customFormat="1" ht="51" customHeight="1" x14ac:dyDescent="0.2">
      <c r="A173" s="1391"/>
      <c r="B173" s="1477"/>
      <c r="C173" s="1660">
        <v>161</v>
      </c>
      <c r="D173" s="1455" t="s">
        <v>4331</v>
      </c>
      <c r="E173" s="1501" t="s">
        <v>1752</v>
      </c>
      <c r="F173" s="1501" t="s">
        <v>1927</v>
      </c>
      <c r="G173" s="1416" t="s">
        <v>43</v>
      </c>
      <c r="H173" s="1416" t="s">
        <v>2492</v>
      </c>
      <c r="I173" s="1414" t="s">
        <v>736</v>
      </c>
      <c r="J173" s="1416"/>
      <c r="K173" s="1455" t="s">
        <v>2928</v>
      </c>
      <c r="L173" s="1416">
        <v>2013</v>
      </c>
      <c r="M173" s="1429" t="s">
        <v>5375</v>
      </c>
      <c r="N173" s="1501"/>
      <c r="O173" s="1416"/>
      <c r="P173" s="1414"/>
      <c r="Q173" s="1501" t="s">
        <v>12</v>
      </c>
      <c r="R173" s="1539">
        <v>443827000</v>
      </c>
      <c r="S173" s="1661"/>
      <c r="T173" s="1490"/>
      <c r="U173" s="1645" t="str">
        <f t="shared" si="136"/>
        <v>03.11.01</v>
      </c>
      <c r="V173" s="1478" t="str">
        <f t="shared" si="137"/>
        <v>Bangunan Gedung Tempat Kerja</v>
      </c>
      <c r="W173" s="1478">
        <f t="shared" si="138"/>
        <v>50</v>
      </c>
      <c r="X173" s="1401">
        <f t="shared" si="139"/>
        <v>8876540</v>
      </c>
      <c r="Y173" s="1629">
        <f t="shared" si="140"/>
        <v>1</v>
      </c>
      <c r="Z173" s="1401">
        <f t="shared" si="141"/>
        <v>8876540</v>
      </c>
      <c r="AA173" s="1401">
        <f t="shared" si="142"/>
        <v>8876540</v>
      </c>
      <c r="AB173" s="1401">
        <f t="shared" si="143"/>
        <v>8876540</v>
      </c>
      <c r="AC173" s="1401">
        <f t="shared" si="144"/>
        <v>8876540</v>
      </c>
      <c r="AD173" s="1479">
        <f t="shared" si="145"/>
        <v>8876540</v>
      </c>
      <c r="AE173" s="1479">
        <f t="shared" si="146"/>
        <v>8876540</v>
      </c>
      <c r="AF173" s="1479">
        <f t="shared" si="147"/>
        <v>8876540</v>
      </c>
      <c r="AG173" s="1479">
        <f t="shared" si="148"/>
        <v>62135780</v>
      </c>
      <c r="AH173" s="1646">
        <f t="shared" si="149"/>
        <v>381691220</v>
      </c>
    </row>
    <row r="174" spans="1:36" s="1390" customFormat="1" ht="51" customHeight="1" x14ac:dyDescent="0.2">
      <c r="A174" s="1391"/>
      <c r="B174" s="1477"/>
      <c r="C174" s="1660">
        <v>162</v>
      </c>
      <c r="D174" s="1455" t="s">
        <v>4752</v>
      </c>
      <c r="E174" s="1501" t="s">
        <v>1752</v>
      </c>
      <c r="F174" s="1501" t="s">
        <v>2053</v>
      </c>
      <c r="G174" s="1416" t="s">
        <v>43</v>
      </c>
      <c r="H174" s="1416" t="s">
        <v>2492</v>
      </c>
      <c r="I174" s="1414" t="s">
        <v>736</v>
      </c>
      <c r="J174" s="1416"/>
      <c r="K174" s="1455" t="s">
        <v>2929</v>
      </c>
      <c r="L174" s="1416">
        <v>2013</v>
      </c>
      <c r="M174" s="1429" t="s">
        <v>5376</v>
      </c>
      <c r="N174" s="1501"/>
      <c r="O174" s="1416"/>
      <c r="P174" s="1414"/>
      <c r="Q174" s="1501" t="s">
        <v>12</v>
      </c>
      <c r="R174" s="1539">
        <v>441644000</v>
      </c>
      <c r="S174" s="1661"/>
      <c r="T174" s="1490"/>
      <c r="U174" s="1645" t="str">
        <f t="shared" si="136"/>
        <v>03.11.01</v>
      </c>
      <c r="V174" s="1478" t="str">
        <f t="shared" si="137"/>
        <v>Bangunan Gedung Tempat Kerja</v>
      </c>
      <c r="W174" s="1478">
        <f t="shared" si="138"/>
        <v>50</v>
      </c>
      <c r="X174" s="1401">
        <f t="shared" si="139"/>
        <v>8832880</v>
      </c>
      <c r="Y174" s="1629">
        <f t="shared" si="140"/>
        <v>1</v>
      </c>
      <c r="Z174" s="1401">
        <f t="shared" si="141"/>
        <v>8832880</v>
      </c>
      <c r="AA174" s="1401">
        <f t="shared" si="142"/>
        <v>8832880</v>
      </c>
      <c r="AB174" s="1401">
        <f t="shared" si="143"/>
        <v>8832880</v>
      </c>
      <c r="AC174" s="1401">
        <f t="shared" si="144"/>
        <v>8832880</v>
      </c>
      <c r="AD174" s="1479">
        <f t="shared" si="145"/>
        <v>8832880</v>
      </c>
      <c r="AE174" s="1479">
        <f t="shared" si="146"/>
        <v>8832880</v>
      </c>
      <c r="AF174" s="1479">
        <f t="shared" si="147"/>
        <v>8832880</v>
      </c>
      <c r="AG174" s="1479">
        <f t="shared" si="148"/>
        <v>61830160</v>
      </c>
      <c r="AH174" s="1646">
        <f t="shared" si="149"/>
        <v>379813840</v>
      </c>
    </row>
    <row r="175" spans="1:36" s="1390" customFormat="1" ht="51" customHeight="1" x14ac:dyDescent="0.2">
      <c r="A175" s="1391">
        <v>34</v>
      </c>
      <c r="B175" s="1477" t="s">
        <v>3013</v>
      </c>
      <c r="C175" s="1660">
        <v>163</v>
      </c>
      <c r="D175" s="1455" t="s">
        <v>3013</v>
      </c>
      <c r="E175" s="1501" t="s">
        <v>2843</v>
      </c>
      <c r="F175" s="1501" t="s">
        <v>39</v>
      </c>
      <c r="G175" s="1416" t="s">
        <v>43</v>
      </c>
      <c r="H175" s="1416" t="s">
        <v>2492</v>
      </c>
      <c r="I175" s="1414" t="s">
        <v>736</v>
      </c>
      <c r="J175" s="1416"/>
      <c r="K175" s="1455" t="s">
        <v>2930</v>
      </c>
      <c r="L175" s="1416">
        <v>2013</v>
      </c>
      <c r="M175" s="1429" t="s">
        <v>5377</v>
      </c>
      <c r="N175" s="1501"/>
      <c r="O175" s="1416"/>
      <c r="P175" s="1414"/>
      <c r="Q175" s="1501" t="s">
        <v>12</v>
      </c>
      <c r="R175" s="1539">
        <v>1275381000</v>
      </c>
      <c r="S175" s="1661"/>
      <c r="T175" s="1490"/>
      <c r="U175" s="1522" t="str">
        <f t="shared" si="136"/>
        <v>03.11.01</v>
      </c>
      <c r="V175" s="1478" t="str">
        <f t="shared" si="137"/>
        <v>Bangunan Gedung Tempat Kerja</v>
      </c>
      <c r="W175" s="1478">
        <f t="shared" si="138"/>
        <v>50</v>
      </c>
      <c r="X175" s="1401"/>
      <c r="Y175" s="1629"/>
      <c r="Z175" s="1401">
        <f>SUM('PERHITUNGAN (C)'!U509)</f>
        <v>22093644</v>
      </c>
      <c r="AA175" s="1479">
        <f>SUMIF('PERHITUNGAN (C)'!$A:$A,'KIB C'!B175&amp;'KIB C'!$AA$7,'PERHITUNGAN (C)'!$U:$U)</f>
        <v>25065747.120000001</v>
      </c>
      <c r="AB175" s="1479">
        <f>SUMIF('PERHITUNGAN (C)'!$A:$A,'KIB C'!B175&amp;'KIB C'!$AB$7,'PERHITUNGAN (C)'!$U:$U)</f>
        <v>25065747.120000001</v>
      </c>
      <c r="AC175" s="1479">
        <f>SUMIF('PERHITUNGAN (C)'!$A:$A,'KIB C'!B175&amp;'KIB C'!$AC$7,'PERHITUNGAN (C)'!$U:$U)</f>
        <v>25065747.120000001</v>
      </c>
      <c r="AD175" s="1479">
        <f>SUMIF('PERHITUNGAN (C)'!$A:$A,'KIB C'!B175&amp;'KIB C'!$AD$7,'PERHITUNGAN (C)'!$U:$U)</f>
        <v>25065747.120000001</v>
      </c>
      <c r="AE175" s="1479">
        <f>SUMIF('PERHITUNGAN (C)'!$A:$A,'KIB C'!B175&amp;'KIB C'!$AE$7,'PERHITUNGAN (C)'!$U:$U)</f>
        <v>25065747.120000001</v>
      </c>
      <c r="AF175" s="1479">
        <f>SUMIF('PERHITUNGAN (C)'!$A:$A,'KIB C'!B175&amp;'KIB C'!$AF$7,'PERHITUNGAN (C)'!$U:$U)</f>
        <v>25065747.120000001</v>
      </c>
      <c r="AG175" s="1479">
        <f>SUM(Z175:AF175)</f>
        <v>172488126.72000003</v>
      </c>
      <c r="AH175" s="1646">
        <f t="shared" si="149"/>
        <v>1102892873.28</v>
      </c>
      <c r="AJ175" s="1443">
        <f>SUM(Z175:AE175)</f>
        <v>147422379.60000002</v>
      </c>
    </row>
    <row r="176" spans="1:36" s="1390" customFormat="1" ht="51" customHeight="1" x14ac:dyDescent="0.2">
      <c r="A176" s="1391"/>
      <c r="B176" s="1477"/>
      <c r="C176" s="1660">
        <v>164</v>
      </c>
      <c r="D176" s="1455" t="s">
        <v>2749</v>
      </c>
      <c r="E176" s="1501" t="s">
        <v>2843</v>
      </c>
      <c r="F176" s="1501" t="s">
        <v>1765</v>
      </c>
      <c r="G176" s="1416" t="s">
        <v>43</v>
      </c>
      <c r="H176" s="1416" t="s">
        <v>2492</v>
      </c>
      <c r="I176" s="1414" t="s">
        <v>736</v>
      </c>
      <c r="J176" s="1416"/>
      <c r="K176" s="1455" t="s">
        <v>2931</v>
      </c>
      <c r="L176" s="1416">
        <v>2013</v>
      </c>
      <c r="M176" s="1429" t="s">
        <v>5378</v>
      </c>
      <c r="N176" s="1501"/>
      <c r="O176" s="1416"/>
      <c r="P176" s="1414"/>
      <c r="Q176" s="1501" t="s">
        <v>12</v>
      </c>
      <c r="R176" s="1539">
        <v>1266610000</v>
      </c>
      <c r="S176" s="1661"/>
      <c r="T176" s="1490"/>
      <c r="U176" s="1645" t="str">
        <f t="shared" si="136"/>
        <v>03.11.01</v>
      </c>
      <c r="V176" s="1478" t="str">
        <f t="shared" si="137"/>
        <v>Bangunan Gedung Tempat Kerja</v>
      </c>
      <c r="W176" s="1478">
        <f t="shared" si="138"/>
        <v>50</v>
      </c>
      <c r="X176" s="1401">
        <f>R176/W176</f>
        <v>25332200</v>
      </c>
      <c r="Y176" s="1629">
        <f>IF(2013-L176+1&gt;W176,W176,IF(2013-L176+1&lt;0,0,2013-L176+1))</f>
        <v>1</v>
      </c>
      <c r="Z176" s="1401">
        <f>IF(Y176&gt;W176,R176,X176*Y176)</f>
        <v>25332200</v>
      </c>
      <c r="AA176" s="1401">
        <f>IF(R176=Z176,0,X176)</f>
        <v>25332200</v>
      </c>
      <c r="AB176" s="1401">
        <f>IF(R176=Z176+AA176,0,X176)</f>
        <v>25332200</v>
      </c>
      <c r="AC176" s="1401">
        <f>IF(R176=Z176+AA176+AB176,0,X176)</f>
        <v>25332200</v>
      </c>
      <c r="AD176" s="1479">
        <f>IF(R176=Z176+AA176+AB176+AC176,0,X176)</f>
        <v>25332200</v>
      </c>
      <c r="AE176" s="1479">
        <f>IF(R176=Z176+AA176+AB176+AC176+AD176,0,X176)</f>
        <v>25332200</v>
      </c>
      <c r="AF176" s="1479">
        <f>IF(R176=Z176+AA176+AB176+AC176+AD176+AE176,0,X176)</f>
        <v>25332200</v>
      </c>
      <c r="AG176" s="1479">
        <f>SUM(Z176:AF176)</f>
        <v>177325400</v>
      </c>
      <c r="AH176" s="1646">
        <f t="shared" si="149"/>
        <v>1089284600</v>
      </c>
    </row>
    <row r="177" spans="1:36" s="1390" customFormat="1" ht="51" customHeight="1" x14ac:dyDescent="0.2">
      <c r="A177" s="1391">
        <v>35</v>
      </c>
      <c r="B177" s="1477" t="s">
        <v>2982</v>
      </c>
      <c r="C177" s="1660">
        <v>165</v>
      </c>
      <c r="D177" s="1455" t="s">
        <v>2982</v>
      </c>
      <c r="E177" s="1501" t="s">
        <v>2843</v>
      </c>
      <c r="F177" s="1501" t="s">
        <v>1768</v>
      </c>
      <c r="G177" s="1416" t="s">
        <v>43</v>
      </c>
      <c r="H177" s="1416" t="s">
        <v>2492</v>
      </c>
      <c r="I177" s="1414" t="s">
        <v>736</v>
      </c>
      <c r="J177" s="1416"/>
      <c r="K177" s="1455" t="s">
        <v>2915</v>
      </c>
      <c r="L177" s="1416">
        <v>2013</v>
      </c>
      <c r="M177" s="1429" t="s">
        <v>5379</v>
      </c>
      <c r="N177" s="1501"/>
      <c r="O177" s="1416"/>
      <c r="P177" s="1414"/>
      <c r="Q177" s="1501" t="s">
        <v>12</v>
      </c>
      <c r="R177" s="1539">
        <v>1145014840</v>
      </c>
      <c r="S177" s="1661"/>
      <c r="T177" s="1490"/>
      <c r="U177" s="1522" t="str">
        <f t="shared" si="136"/>
        <v>03.11.01</v>
      </c>
      <c r="V177" s="1478" t="str">
        <f t="shared" si="137"/>
        <v>Bangunan Gedung Tempat Kerja</v>
      </c>
      <c r="W177" s="1478">
        <f t="shared" si="138"/>
        <v>50</v>
      </c>
      <c r="X177" s="1401"/>
      <c r="Y177" s="1629"/>
      <c r="Z177" s="1401">
        <f>SUM('PERHITUNGAN (C)'!U526)</f>
        <v>19884362.800000001</v>
      </c>
      <c r="AA177" s="1479">
        <f>SUMIF('PERHITUNGAN (C)'!$A:$A,'KIB C'!B177&amp;'KIB C'!$AA$7,'PERHITUNGAN (C)'!$U:$U)</f>
        <v>22502609.544</v>
      </c>
      <c r="AB177" s="1479">
        <f>SUMIF('PERHITUNGAN (C)'!$A:$A,'KIB C'!B177&amp;'KIB C'!$AB$7,'PERHITUNGAN (C)'!$U:$U)</f>
        <v>22502609.544</v>
      </c>
      <c r="AC177" s="1479">
        <f>SUMIF('PERHITUNGAN (C)'!$A:$A,'KIB C'!B177&amp;'KIB C'!$AC$7,'PERHITUNGAN (C)'!$U:$U)</f>
        <v>22502609.544</v>
      </c>
      <c r="AD177" s="1479">
        <f>SUMIF('PERHITUNGAN (C)'!$A:$A,'KIB C'!B177&amp;'KIB C'!$AD$7,'PERHITUNGAN (C)'!$U:$U)</f>
        <v>22502609.544</v>
      </c>
      <c r="AE177" s="1479">
        <f>SUMIF('PERHITUNGAN (C)'!$A:$A,'KIB C'!B177&amp;'KIB C'!$AE$7,'PERHITUNGAN (C)'!$U:$U)</f>
        <v>22502609.544</v>
      </c>
      <c r="AF177" s="1479">
        <f>SUMIF('PERHITUNGAN (C)'!$A:$A,'KIB C'!B177&amp;'KIB C'!$AF$7,'PERHITUNGAN (C)'!$U:$U)</f>
        <v>22502609.544</v>
      </c>
      <c r="AG177" s="1479">
        <f>SUM(Z177:AF177)</f>
        <v>154900020.06400001</v>
      </c>
      <c r="AH177" s="1646">
        <f t="shared" si="149"/>
        <v>990114819.93599999</v>
      </c>
      <c r="AJ177" s="1443">
        <f>SUM(Z177:AE177)</f>
        <v>132397410.52</v>
      </c>
    </row>
    <row r="178" spans="1:36" s="1390" customFormat="1" ht="51" customHeight="1" x14ac:dyDescent="0.2">
      <c r="A178" s="1391"/>
      <c r="B178" s="1477"/>
      <c r="C178" s="1660">
        <v>166</v>
      </c>
      <c r="D178" s="1455" t="s">
        <v>4754</v>
      </c>
      <c r="E178" s="1501" t="s">
        <v>1752</v>
      </c>
      <c r="F178" s="1501" t="s">
        <v>2053</v>
      </c>
      <c r="G178" s="1416" t="s">
        <v>43</v>
      </c>
      <c r="H178" s="1416" t="s">
        <v>2492</v>
      </c>
      <c r="I178" s="1414" t="s">
        <v>736</v>
      </c>
      <c r="J178" s="1416"/>
      <c r="K178" s="1455" t="s">
        <v>2932</v>
      </c>
      <c r="L178" s="1416">
        <v>2013</v>
      </c>
      <c r="M178" s="1429" t="s">
        <v>5380</v>
      </c>
      <c r="N178" s="1501"/>
      <c r="O178" s="1416"/>
      <c r="P178" s="1414"/>
      <c r="Q178" s="1501" t="s">
        <v>12</v>
      </c>
      <c r="R178" s="1539">
        <v>446691730.21282196</v>
      </c>
      <c r="S178" s="1661"/>
      <c r="T178" s="1490"/>
      <c r="U178" s="1645" t="str">
        <f t="shared" si="136"/>
        <v>03.11.01</v>
      </c>
      <c r="V178" s="1478" t="str">
        <f t="shared" si="137"/>
        <v>Bangunan Gedung Tempat Kerja</v>
      </c>
      <c r="W178" s="1478">
        <f t="shared" si="138"/>
        <v>50</v>
      </c>
      <c r="X178" s="1401">
        <f t="shared" ref="X178:X185" si="150">R178/W178</f>
        <v>8933834.60425644</v>
      </c>
      <c r="Y178" s="1629">
        <f t="shared" ref="Y178:Y185" si="151">IF(2013-L178+1&gt;W178,W178,IF(2013-L178+1&lt;0,0,2013-L178+1))</f>
        <v>1</v>
      </c>
      <c r="Z178" s="1401">
        <f t="shared" ref="Z178:Z185" si="152">IF(Y178&gt;W178,R178,X178*Y178)</f>
        <v>8933834.60425644</v>
      </c>
      <c r="AA178" s="1401">
        <f t="shared" ref="AA178:AA185" si="153">IF(R178=Z178,0,X178)</f>
        <v>8933834.60425644</v>
      </c>
      <c r="AB178" s="1401">
        <f t="shared" ref="AB178:AB185" si="154">IF(R178=Z178+AA178,0,X178)</f>
        <v>8933834.60425644</v>
      </c>
      <c r="AC178" s="1401">
        <f t="shared" ref="AC178:AC185" si="155">IF(R178=Z178+AA178+AB178,0,X178)</f>
        <v>8933834.60425644</v>
      </c>
      <c r="AD178" s="1479">
        <f t="shared" ref="AD178:AD185" si="156">IF(R178=Z178+AA178+AB178+AC178,0,X178)</f>
        <v>8933834.60425644</v>
      </c>
      <c r="AE178" s="1479">
        <f t="shared" ref="AE178:AE185" si="157">IF(R178=Z178+AA178+AB178+AC178+AD178,0,X178)</f>
        <v>8933834.60425644</v>
      </c>
      <c r="AF178" s="1479">
        <f t="shared" ref="AF178:AF185" si="158">IF(R178=Z178+AA178+AB178+AC178+AD178+AE178,0,X178)</f>
        <v>8933834.60425644</v>
      </c>
      <c r="AG178" s="1479">
        <f t="shared" ref="AG178:AG185" si="159">SUM(Z178:AF178)</f>
        <v>62536842.229795069</v>
      </c>
      <c r="AH178" s="1646">
        <f t="shared" si="149"/>
        <v>384154887.98302686</v>
      </c>
    </row>
    <row r="179" spans="1:36" s="1390" customFormat="1" ht="51" customHeight="1" x14ac:dyDescent="0.2">
      <c r="A179" s="1391"/>
      <c r="B179" s="1477"/>
      <c r="C179" s="1660">
        <v>167</v>
      </c>
      <c r="D179" s="1455" t="s">
        <v>5794</v>
      </c>
      <c r="E179" s="1501" t="s">
        <v>1752</v>
      </c>
      <c r="F179" s="1501" t="s">
        <v>2071</v>
      </c>
      <c r="G179" s="1416" t="s">
        <v>43</v>
      </c>
      <c r="H179" s="1416" t="s">
        <v>2492</v>
      </c>
      <c r="I179" s="1414" t="s">
        <v>736</v>
      </c>
      <c r="J179" s="1416"/>
      <c r="K179" s="1455" t="s">
        <v>2933</v>
      </c>
      <c r="L179" s="1416">
        <v>2013</v>
      </c>
      <c r="M179" s="1429" t="s">
        <v>5381</v>
      </c>
      <c r="N179" s="1501"/>
      <c r="O179" s="1416"/>
      <c r="P179" s="1414"/>
      <c r="Q179" s="1501" t="s">
        <v>12</v>
      </c>
      <c r="R179" s="1539">
        <v>452117524.85524189</v>
      </c>
      <c r="S179" s="1661"/>
      <c r="T179" s="1490"/>
      <c r="U179" s="1645" t="str">
        <f t="shared" si="136"/>
        <v>03.11.01</v>
      </c>
      <c r="V179" s="1478" t="str">
        <f t="shared" si="137"/>
        <v>Bangunan Gedung Tempat Kerja</v>
      </c>
      <c r="W179" s="1478">
        <f t="shared" si="138"/>
        <v>50</v>
      </c>
      <c r="X179" s="1401">
        <f t="shared" si="150"/>
        <v>9042350.4971048385</v>
      </c>
      <c r="Y179" s="1629">
        <f t="shared" si="151"/>
        <v>1</v>
      </c>
      <c r="Z179" s="1401">
        <f t="shared" si="152"/>
        <v>9042350.4971048385</v>
      </c>
      <c r="AA179" s="1401">
        <f t="shared" si="153"/>
        <v>9042350.4971048385</v>
      </c>
      <c r="AB179" s="1401">
        <f t="shared" si="154"/>
        <v>9042350.4971048385</v>
      </c>
      <c r="AC179" s="1401">
        <f t="shared" si="155"/>
        <v>9042350.4971048385</v>
      </c>
      <c r="AD179" s="1479">
        <f t="shared" si="156"/>
        <v>9042350.4971048385</v>
      </c>
      <c r="AE179" s="1479">
        <f t="shared" si="157"/>
        <v>9042350.4971048385</v>
      </c>
      <c r="AF179" s="1479">
        <f t="shared" si="158"/>
        <v>9042350.4971048385</v>
      </c>
      <c r="AG179" s="1479">
        <f t="shared" si="159"/>
        <v>63296453.479733869</v>
      </c>
      <c r="AH179" s="1646">
        <f t="shared" si="149"/>
        <v>388821071.37550801</v>
      </c>
    </row>
    <row r="180" spans="1:36" s="1390" customFormat="1" ht="51" customHeight="1" x14ac:dyDescent="0.2">
      <c r="A180" s="1391"/>
      <c r="B180" s="1477"/>
      <c r="C180" s="1660">
        <v>168</v>
      </c>
      <c r="D180" s="1455" t="s">
        <v>5795</v>
      </c>
      <c r="E180" s="1501" t="s">
        <v>1752</v>
      </c>
      <c r="F180" s="1501" t="s">
        <v>2075</v>
      </c>
      <c r="G180" s="1416" t="s">
        <v>43</v>
      </c>
      <c r="H180" s="1416" t="s">
        <v>2492</v>
      </c>
      <c r="I180" s="1414" t="s">
        <v>736</v>
      </c>
      <c r="J180" s="1416"/>
      <c r="K180" s="1455" t="s">
        <v>2934</v>
      </c>
      <c r="L180" s="1416">
        <v>2013</v>
      </c>
      <c r="M180" s="1429" t="s">
        <v>5382</v>
      </c>
      <c r="N180" s="1501"/>
      <c r="O180" s="1416"/>
      <c r="P180" s="1414"/>
      <c r="Q180" s="1501" t="s">
        <v>12</v>
      </c>
      <c r="R180" s="1539">
        <v>437203744.93193614</v>
      </c>
      <c r="S180" s="1661"/>
      <c r="T180" s="1490"/>
      <c r="U180" s="1645" t="str">
        <f t="shared" si="136"/>
        <v>03.11.01</v>
      </c>
      <c r="V180" s="1478" t="str">
        <f t="shared" si="137"/>
        <v>Bangunan Gedung Tempat Kerja</v>
      </c>
      <c r="W180" s="1478">
        <f t="shared" si="138"/>
        <v>50</v>
      </c>
      <c r="X180" s="1401">
        <f t="shared" si="150"/>
        <v>8744074.8986387234</v>
      </c>
      <c r="Y180" s="1629">
        <f t="shared" si="151"/>
        <v>1</v>
      </c>
      <c r="Z180" s="1401">
        <f t="shared" si="152"/>
        <v>8744074.8986387234</v>
      </c>
      <c r="AA180" s="1401">
        <f t="shared" si="153"/>
        <v>8744074.8986387234</v>
      </c>
      <c r="AB180" s="1401">
        <f t="shared" si="154"/>
        <v>8744074.8986387234</v>
      </c>
      <c r="AC180" s="1401">
        <f t="shared" si="155"/>
        <v>8744074.8986387234</v>
      </c>
      <c r="AD180" s="1479">
        <f t="shared" si="156"/>
        <v>8744074.8986387234</v>
      </c>
      <c r="AE180" s="1479">
        <f t="shared" si="157"/>
        <v>8744074.8986387234</v>
      </c>
      <c r="AF180" s="1479">
        <f t="shared" si="158"/>
        <v>8744074.8986387234</v>
      </c>
      <c r="AG180" s="1479">
        <f t="shared" si="159"/>
        <v>61208524.29047107</v>
      </c>
      <c r="AH180" s="1646">
        <f t="shared" si="149"/>
        <v>375995220.64146507</v>
      </c>
    </row>
    <row r="181" spans="1:36" s="1390" customFormat="1" ht="51" customHeight="1" x14ac:dyDescent="0.2">
      <c r="A181" s="1391"/>
      <c r="B181" s="1477"/>
      <c r="C181" s="1660">
        <v>169</v>
      </c>
      <c r="D181" s="1455" t="s">
        <v>5796</v>
      </c>
      <c r="E181" s="1501" t="s">
        <v>1752</v>
      </c>
      <c r="F181" s="1501" t="s">
        <v>2079</v>
      </c>
      <c r="G181" s="1416" t="s">
        <v>43</v>
      </c>
      <c r="H181" s="1416" t="s">
        <v>2492</v>
      </c>
      <c r="I181" s="1414" t="s">
        <v>736</v>
      </c>
      <c r="J181" s="1416"/>
      <c r="K181" s="1455" t="s">
        <v>2935</v>
      </c>
      <c r="L181" s="1416">
        <v>2013</v>
      </c>
      <c r="M181" s="1429" t="s">
        <v>5383</v>
      </c>
      <c r="N181" s="1501"/>
      <c r="O181" s="1416"/>
      <c r="P181" s="1414"/>
      <c r="Q181" s="1501" t="s">
        <v>12</v>
      </c>
      <c r="R181" s="1539">
        <v>438372000</v>
      </c>
      <c r="S181" s="1661"/>
      <c r="T181" s="1490"/>
      <c r="U181" s="1645" t="str">
        <f t="shared" si="136"/>
        <v>03.11.01</v>
      </c>
      <c r="V181" s="1478" t="str">
        <f t="shared" si="137"/>
        <v>Bangunan Gedung Tempat Kerja</v>
      </c>
      <c r="W181" s="1478">
        <f t="shared" si="138"/>
        <v>50</v>
      </c>
      <c r="X181" s="1401">
        <f t="shared" si="150"/>
        <v>8767440</v>
      </c>
      <c r="Y181" s="1629">
        <f t="shared" si="151"/>
        <v>1</v>
      </c>
      <c r="Z181" s="1401">
        <f t="shared" si="152"/>
        <v>8767440</v>
      </c>
      <c r="AA181" s="1401">
        <f t="shared" si="153"/>
        <v>8767440</v>
      </c>
      <c r="AB181" s="1401">
        <f t="shared" si="154"/>
        <v>8767440</v>
      </c>
      <c r="AC181" s="1401">
        <f t="shared" si="155"/>
        <v>8767440</v>
      </c>
      <c r="AD181" s="1479">
        <f t="shared" si="156"/>
        <v>8767440</v>
      </c>
      <c r="AE181" s="1479">
        <f t="shared" si="157"/>
        <v>8767440</v>
      </c>
      <c r="AF181" s="1479">
        <f t="shared" si="158"/>
        <v>8767440</v>
      </c>
      <c r="AG181" s="1479">
        <f t="shared" si="159"/>
        <v>61372080</v>
      </c>
      <c r="AH181" s="1646">
        <f t="shared" si="149"/>
        <v>376999920</v>
      </c>
    </row>
    <row r="182" spans="1:36" s="1390" customFormat="1" ht="51" customHeight="1" x14ac:dyDescent="0.2">
      <c r="A182" s="1391"/>
      <c r="B182" s="1477"/>
      <c r="C182" s="1660">
        <v>170</v>
      </c>
      <c r="D182" s="1455" t="s">
        <v>2755</v>
      </c>
      <c r="E182" s="1501" t="s">
        <v>1752</v>
      </c>
      <c r="F182" s="1501" t="s">
        <v>2083</v>
      </c>
      <c r="G182" s="1416" t="s">
        <v>43</v>
      </c>
      <c r="H182" s="1416" t="s">
        <v>2492</v>
      </c>
      <c r="I182" s="1414" t="s">
        <v>736</v>
      </c>
      <c r="J182" s="1416"/>
      <c r="K182" s="1455" t="s">
        <v>2930</v>
      </c>
      <c r="L182" s="1416">
        <v>2013</v>
      </c>
      <c r="M182" s="1429" t="s">
        <v>5384</v>
      </c>
      <c r="N182" s="1501"/>
      <c r="O182" s="1416"/>
      <c r="P182" s="1414"/>
      <c r="Q182" s="1501" t="s">
        <v>12</v>
      </c>
      <c r="R182" s="1539">
        <v>480245000</v>
      </c>
      <c r="S182" s="1661"/>
      <c r="T182" s="1490"/>
      <c r="U182" s="1645" t="str">
        <f t="shared" si="136"/>
        <v>03.11.01</v>
      </c>
      <c r="V182" s="1478" t="str">
        <f t="shared" si="137"/>
        <v>Bangunan Gedung Tempat Kerja</v>
      </c>
      <c r="W182" s="1478">
        <f t="shared" si="138"/>
        <v>50</v>
      </c>
      <c r="X182" s="1401">
        <f t="shared" si="150"/>
        <v>9604900</v>
      </c>
      <c r="Y182" s="1629">
        <f t="shared" si="151"/>
        <v>1</v>
      </c>
      <c r="Z182" s="1401">
        <f t="shared" si="152"/>
        <v>9604900</v>
      </c>
      <c r="AA182" s="1401">
        <f t="shared" si="153"/>
        <v>9604900</v>
      </c>
      <c r="AB182" s="1401">
        <f t="shared" si="154"/>
        <v>9604900</v>
      </c>
      <c r="AC182" s="1401">
        <f t="shared" si="155"/>
        <v>9604900</v>
      </c>
      <c r="AD182" s="1479">
        <f t="shared" si="156"/>
        <v>9604900</v>
      </c>
      <c r="AE182" s="1479">
        <f t="shared" si="157"/>
        <v>9604900</v>
      </c>
      <c r="AF182" s="1479">
        <f t="shared" si="158"/>
        <v>9604900</v>
      </c>
      <c r="AG182" s="1479">
        <f t="shared" si="159"/>
        <v>67234300</v>
      </c>
      <c r="AH182" s="1646">
        <f t="shared" si="149"/>
        <v>413010700</v>
      </c>
    </row>
    <row r="183" spans="1:36" s="1390" customFormat="1" ht="51" customHeight="1" x14ac:dyDescent="0.2">
      <c r="A183" s="1391"/>
      <c r="B183" s="1477"/>
      <c r="C183" s="1660">
        <v>171</v>
      </c>
      <c r="D183" s="1455" t="s">
        <v>2759</v>
      </c>
      <c r="E183" s="1501" t="s">
        <v>5761</v>
      </c>
      <c r="F183" s="1501" t="s">
        <v>68</v>
      </c>
      <c r="G183" s="1416" t="s">
        <v>43</v>
      </c>
      <c r="H183" s="1416" t="s">
        <v>2492</v>
      </c>
      <c r="I183" s="1414" t="s">
        <v>736</v>
      </c>
      <c r="J183" s="1416"/>
      <c r="K183" s="1455" t="s">
        <v>2937</v>
      </c>
      <c r="L183" s="1416">
        <v>2013</v>
      </c>
      <c r="M183" s="1429" t="s">
        <v>5385</v>
      </c>
      <c r="N183" s="1501"/>
      <c r="O183" s="1416"/>
      <c r="P183" s="1414"/>
      <c r="Q183" s="1501" t="s">
        <v>12</v>
      </c>
      <c r="R183" s="1539">
        <v>213424296.579411</v>
      </c>
      <c r="S183" s="1661"/>
      <c r="T183" s="1490"/>
      <c r="U183" s="1645" t="str">
        <f t="shared" si="136"/>
        <v>03.11.02</v>
      </c>
      <c r="V183" s="1478" t="str">
        <f t="shared" si="137"/>
        <v>Bangunan Gedung Tempat Tinggal</v>
      </c>
      <c r="W183" s="1478">
        <f t="shared" si="138"/>
        <v>50</v>
      </c>
      <c r="X183" s="1401">
        <f t="shared" si="150"/>
        <v>4268485.9315882204</v>
      </c>
      <c r="Y183" s="1629">
        <f t="shared" si="151"/>
        <v>1</v>
      </c>
      <c r="Z183" s="1401">
        <f t="shared" si="152"/>
        <v>4268485.9315882204</v>
      </c>
      <c r="AA183" s="1401">
        <f t="shared" si="153"/>
        <v>4268485.9315882204</v>
      </c>
      <c r="AB183" s="1401">
        <f t="shared" si="154"/>
        <v>4268485.9315882204</v>
      </c>
      <c r="AC183" s="1401">
        <f t="shared" si="155"/>
        <v>4268485.9315882204</v>
      </c>
      <c r="AD183" s="1479">
        <f t="shared" si="156"/>
        <v>4268485.9315882204</v>
      </c>
      <c r="AE183" s="1479">
        <f t="shared" si="157"/>
        <v>4268485.9315882204</v>
      </c>
      <c r="AF183" s="1479">
        <f t="shared" si="158"/>
        <v>4268485.9315882204</v>
      </c>
      <c r="AG183" s="1479">
        <f t="shared" si="159"/>
        <v>29879401.521117546</v>
      </c>
      <c r="AH183" s="1646">
        <f t="shared" si="149"/>
        <v>183544895.05829346</v>
      </c>
    </row>
    <row r="184" spans="1:36" s="1390" customFormat="1" ht="51" customHeight="1" x14ac:dyDescent="0.2">
      <c r="A184" s="1391"/>
      <c r="B184" s="1477"/>
      <c r="C184" s="1660">
        <v>172</v>
      </c>
      <c r="D184" s="1455" t="s">
        <v>2760</v>
      </c>
      <c r="E184" s="1501" t="s">
        <v>5761</v>
      </c>
      <c r="F184" s="1501" t="s">
        <v>1765</v>
      </c>
      <c r="G184" s="1416" t="s">
        <v>43</v>
      </c>
      <c r="H184" s="1416" t="s">
        <v>2492</v>
      </c>
      <c r="I184" s="1414" t="s">
        <v>736</v>
      </c>
      <c r="J184" s="1416"/>
      <c r="K184" s="1455" t="s">
        <v>2938</v>
      </c>
      <c r="L184" s="1416">
        <v>2013</v>
      </c>
      <c r="M184" s="1429" t="s">
        <v>5386</v>
      </c>
      <c r="N184" s="1501"/>
      <c r="O184" s="1416"/>
      <c r="P184" s="1414"/>
      <c r="Q184" s="1501" t="s">
        <v>12</v>
      </c>
      <c r="R184" s="1539">
        <v>213172925.403359</v>
      </c>
      <c r="S184" s="1661"/>
      <c r="T184" s="1490"/>
      <c r="U184" s="1645" t="str">
        <f t="shared" si="136"/>
        <v>03.11.02</v>
      </c>
      <c r="V184" s="1478" t="str">
        <f t="shared" si="137"/>
        <v>Bangunan Gedung Tempat Tinggal</v>
      </c>
      <c r="W184" s="1478">
        <f t="shared" si="138"/>
        <v>50</v>
      </c>
      <c r="X184" s="1401">
        <f t="shared" si="150"/>
        <v>4263458.5080671795</v>
      </c>
      <c r="Y184" s="1629">
        <f t="shared" si="151"/>
        <v>1</v>
      </c>
      <c r="Z184" s="1401">
        <f t="shared" si="152"/>
        <v>4263458.5080671795</v>
      </c>
      <c r="AA184" s="1401">
        <f t="shared" si="153"/>
        <v>4263458.5080671795</v>
      </c>
      <c r="AB184" s="1401">
        <f t="shared" si="154"/>
        <v>4263458.5080671795</v>
      </c>
      <c r="AC184" s="1401">
        <f t="shared" si="155"/>
        <v>4263458.5080671795</v>
      </c>
      <c r="AD184" s="1479">
        <f t="shared" si="156"/>
        <v>4263458.5080671795</v>
      </c>
      <c r="AE184" s="1479">
        <f t="shared" si="157"/>
        <v>4263458.5080671795</v>
      </c>
      <c r="AF184" s="1479">
        <f t="shared" si="158"/>
        <v>4263458.5080671795</v>
      </c>
      <c r="AG184" s="1479">
        <f t="shared" si="159"/>
        <v>29844209.556470256</v>
      </c>
      <c r="AH184" s="1646">
        <f t="shared" si="149"/>
        <v>183328715.84688875</v>
      </c>
    </row>
    <row r="185" spans="1:36" s="1390" customFormat="1" ht="51" customHeight="1" x14ac:dyDescent="0.2">
      <c r="A185" s="1391"/>
      <c r="B185" s="1477"/>
      <c r="C185" s="1660">
        <v>173</v>
      </c>
      <c r="D185" s="1455" t="s">
        <v>2761</v>
      </c>
      <c r="E185" s="1501" t="s">
        <v>5761</v>
      </c>
      <c r="F185" s="1501" t="s">
        <v>1768</v>
      </c>
      <c r="G185" s="1416" t="s">
        <v>43</v>
      </c>
      <c r="H185" s="1416" t="s">
        <v>2492</v>
      </c>
      <c r="I185" s="1414" t="s">
        <v>736</v>
      </c>
      <c r="J185" s="1416"/>
      <c r="K185" s="1455" t="s">
        <v>2939</v>
      </c>
      <c r="L185" s="1416">
        <v>2013</v>
      </c>
      <c r="M185" s="1429" t="s">
        <v>5387</v>
      </c>
      <c r="N185" s="1501"/>
      <c r="O185" s="1416"/>
      <c r="P185" s="1414"/>
      <c r="Q185" s="1501" t="s">
        <v>12</v>
      </c>
      <c r="R185" s="1539">
        <v>213314778.01723</v>
      </c>
      <c r="S185" s="1661"/>
      <c r="T185" s="1490"/>
      <c r="U185" s="1645" t="str">
        <f t="shared" si="136"/>
        <v>03.11.02</v>
      </c>
      <c r="V185" s="1478" t="str">
        <f t="shared" si="137"/>
        <v>Bangunan Gedung Tempat Tinggal</v>
      </c>
      <c r="W185" s="1478">
        <f t="shared" si="138"/>
        <v>50</v>
      </c>
      <c r="X185" s="1401">
        <f t="shared" si="150"/>
        <v>4266295.5603446001</v>
      </c>
      <c r="Y185" s="1629">
        <f t="shared" si="151"/>
        <v>1</v>
      </c>
      <c r="Z185" s="1401">
        <f t="shared" si="152"/>
        <v>4266295.5603446001</v>
      </c>
      <c r="AA185" s="1401">
        <f t="shared" si="153"/>
        <v>4266295.5603446001</v>
      </c>
      <c r="AB185" s="1401">
        <f t="shared" si="154"/>
        <v>4266295.5603446001</v>
      </c>
      <c r="AC185" s="1401">
        <f t="shared" si="155"/>
        <v>4266295.5603446001</v>
      </c>
      <c r="AD185" s="1479">
        <f t="shared" si="156"/>
        <v>4266295.5603446001</v>
      </c>
      <c r="AE185" s="1479">
        <f t="shared" si="157"/>
        <v>4266295.5603446001</v>
      </c>
      <c r="AF185" s="1479">
        <f t="shared" si="158"/>
        <v>4266295.5603446001</v>
      </c>
      <c r="AG185" s="1479">
        <f t="shared" si="159"/>
        <v>29864068.922412198</v>
      </c>
      <c r="AH185" s="1646">
        <f t="shared" si="149"/>
        <v>183450709.09481782</v>
      </c>
      <c r="AJ185" s="1443">
        <f>SUM(Z185:AE185)</f>
        <v>25597773.362067599</v>
      </c>
    </row>
    <row r="186" spans="1:36" s="1390" customFormat="1" ht="51" customHeight="1" x14ac:dyDescent="0.2">
      <c r="A186" s="1391">
        <v>37</v>
      </c>
      <c r="B186" s="1477" t="s">
        <v>2852</v>
      </c>
      <c r="C186" s="1660">
        <v>174</v>
      </c>
      <c r="D186" s="1455" t="s">
        <v>2852</v>
      </c>
      <c r="E186" s="1501" t="s">
        <v>1772</v>
      </c>
      <c r="F186" s="1501" t="s">
        <v>2104</v>
      </c>
      <c r="G186" s="1416" t="s">
        <v>43</v>
      </c>
      <c r="H186" s="1416" t="s">
        <v>2492</v>
      </c>
      <c r="I186" s="1414" t="s">
        <v>736</v>
      </c>
      <c r="J186" s="1416"/>
      <c r="K186" s="1455" t="s">
        <v>2940</v>
      </c>
      <c r="L186" s="1416">
        <v>2013</v>
      </c>
      <c r="M186" s="1429" t="s">
        <v>5388</v>
      </c>
      <c r="N186" s="1501"/>
      <c r="O186" s="1416"/>
      <c r="P186" s="1414"/>
      <c r="Q186" s="1501" t="s">
        <v>12</v>
      </c>
      <c r="R186" s="1539">
        <v>2537534000</v>
      </c>
      <c r="S186" s="1661"/>
      <c r="T186" s="1490"/>
      <c r="U186" s="1522" t="str">
        <f t="shared" si="136"/>
        <v>03.11.01</v>
      </c>
      <c r="V186" s="1478" t="str">
        <f t="shared" si="137"/>
        <v>Bangunan Gedung Tempat Kerja</v>
      </c>
      <c r="W186" s="1478">
        <f t="shared" si="138"/>
        <v>50</v>
      </c>
      <c r="X186" s="1401"/>
      <c r="Y186" s="1629"/>
      <c r="Z186" s="1401">
        <f>SUM('PERHITUNGAN (C)'!U543)</f>
        <v>40618698</v>
      </c>
      <c r="AA186" s="1479">
        <f>SUMIF('PERHITUNGAN (C)'!$A:$A,'KIB C'!B186&amp;'KIB C'!$AA$7,'PERHITUNGAN (C)'!$U:$U)</f>
        <v>49938306.039999999</v>
      </c>
      <c r="AB186" s="1479">
        <f>SUMIF('PERHITUNGAN (C)'!$A:$A,'KIB C'!B186&amp;'KIB C'!$AB$7,'PERHITUNGAN (C)'!$U:$U)</f>
        <v>49938306.039999999</v>
      </c>
      <c r="AC186" s="1479">
        <f>SUMIF('PERHITUNGAN (C)'!$A:$A,'KIB C'!B186&amp;'KIB C'!$AC$7,'PERHITUNGAN (C)'!$U:$U)</f>
        <v>49938306.039999999</v>
      </c>
      <c r="AD186" s="1479">
        <f>SUMIF('PERHITUNGAN (C)'!$A:$A,'KIB C'!B186&amp;'KIB C'!$AD$7,'PERHITUNGAN (C)'!$U:$U)</f>
        <v>49938306.039999999</v>
      </c>
      <c r="AE186" s="1479">
        <f>SUMIF('PERHITUNGAN (C)'!$A:$A,'KIB C'!B186&amp;'KIB C'!$AE$7,'PERHITUNGAN (C)'!$U:$U)</f>
        <v>49938306.039999999</v>
      </c>
      <c r="AF186" s="1479">
        <f>SUMIF('PERHITUNGAN (C)'!$A:$A,'KIB C'!B186&amp;'KIB C'!$AF$7,'PERHITUNGAN (C)'!$U:$U)</f>
        <v>49938306.039999999</v>
      </c>
      <c r="AG186" s="1479">
        <f t="shared" ref="AG186:AG195" si="160">SUM(Z186:AF186)</f>
        <v>340248534.24000001</v>
      </c>
      <c r="AH186" s="1646">
        <f t="shared" si="149"/>
        <v>2197285465.7600002</v>
      </c>
      <c r="AJ186" s="1443">
        <f>SUM(Z186:AE186)</f>
        <v>290310228.19999999</v>
      </c>
    </row>
    <row r="187" spans="1:36" s="1390" customFormat="1" ht="51" customHeight="1" x14ac:dyDescent="0.2">
      <c r="A187" s="1391"/>
      <c r="B187" s="1477"/>
      <c r="C187" s="1660">
        <v>175</v>
      </c>
      <c r="D187" s="1455" t="s">
        <v>2763</v>
      </c>
      <c r="E187" s="1501" t="s">
        <v>1772</v>
      </c>
      <c r="F187" s="1501" t="s">
        <v>1857</v>
      </c>
      <c r="G187" s="1416" t="s">
        <v>43</v>
      </c>
      <c r="H187" s="1416" t="s">
        <v>2492</v>
      </c>
      <c r="I187" s="1414" t="s">
        <v>736</v>
      </c>
      <c r="J187" s="1416"/>
      <c r="K187" s="1455" t="s">
        <v>2614</v>
      </c>
      <c r="L187" s="1416">
        <v>2013</v>
      </c>
      <c r="M187" s="1429" t="s">
        <v>5389</v>
      </c>
      <c r="N187" s="1501"/>
      <c r="O187" s="1416"/>
      <c r="P187" s="1414"/>
      <c r="Q187" s="1501" t="s">
        <v>12</v>
      </c>
      <c r="R187" s="1539">
        <v>1956592000</v>
      </c>
      <c r="S187" s="1661"/>
      <c r="T187" s="1490"/>
      <c r="U187" s="1645" t="str">
        <f t="shared" si="136"/>
        <v>03.11.01</v>
      </c>
      <c r="V187" s="1478" t="str">
        <f t="shared" si="137"/>
        <v>Bangunan Gedung Tempat Kerja</v>
      </c>
      <c r="W187" s="1478">
        <f t="shared" si="138"/>
        <v>50</v>
      </c>
      <c r="X187" s="1401">
        <f>R187/W187</f>
        <v>39131840</v>
      </c>
      <c r="Y187" s="1629">
        <f>IF(2013-L187+1&gt;W187,W187,IF(2013-L187+1&lt;0,0,2013-L187+1))</f>
        <v>1</v>
      </c>
      <c r="Z187" s="1401">
        <f>IF(Y187&gt;W187,R187,X187*Y187)</f>
        <v>39131840</v>
      </c>
      <c r="AA187" s="1401">
        <f>IF(R187=Z187,0,X187)</f>
        <v>39131840</v>
      </c>
      <c r="AB187" s="1401">
        <f>IF(R187=Z187+AA187,0,X187)</f>
        <v>39131840</v>
      </c>
      <c r="AC187" s="1401">
        <f>IF(R187=Z187+AA187+AB187,0,X187)</f>
        <v>39131840</v>
      </c>
      <c r="AD187" s="1479">
        <f>IF(R187=Z187+AA187+AB187+AC187,0,X187)</f>
        <v>39131840</v>
      </c>
      <c r="AE187" s="1479">
        <f>IF(R187=Z187+AA187+AB187+AC187+AD187,0,X187)</f>
        <v>39131840</v>
      </c>
      <c r="AF187" s="1479">
        <f>IF(R187=Z187+AA187+AB187+AC187+AD187+AE187,0,X187)</f>
        <v>39131840</v>
      </c>
      <c r="AG187" s="1479">
        <f t="shared" si="160"/>
        <v>273922880</v>
      </c>
      <c r="AH187" s="1646">
        <f t="shared" si="149"/>
        <v>1682669120</v>
      </c>
    </row>
    <row r="188" spans="1:36" s="1390" customFormat="1" ht="51" customHeight="1" x14ac:dyDescent="0.2">
      <c r="A188" s="1391"/>
      <c r="B188" s="1477"/>
      <c r="C188" s="1660">
        <v>176</v>
      </c>
      <c r="D188" s="1455" t="s">
        <v>2764</v>
      </c>
      <c r="E188" s="1501" t="s">
        <v>1772</v>
      </c>
      <c r="F188" s="1501" t="s">
        <v>1861</v>
      </c>
      <c r="G188" s="1416" t="s">
        <v>43</v>
      </c>
      <c r="H188" s="1416" t="s">
        <v>2492</v>
      </c>
      <c r="I188" s="1414" t="s">
        <v>736</v>
      </c>
      <c r="J188" s="1416"/>
      <c r="K188" s="1455" t="s">
        <v>1081</v>
      </c>
      <c r="L188" s="1416">
        <v>2013</v>
      </c>
      <c r="M188" s="1429" t="s">
        <v>5390</v>
      </c>
      <c r="N188" s="1501"/>
      <c r="O188" s="1416"/>
      <c r="P188" s="1414"/>
      <c r="Q188" s="1501" t="s">
        <v>12</v>
      </c>
      <c r="R188" s="1539">
        <v>397173000</v>
      </c>
      <c r="S188" s="1661"/>
      <c r="T188" s="1490"/>
      <c r="U188" s="1645" t="str">
        <f t="shared" si="136"/>
        <v>03.11.01</v>
      </c>
      <c r="V188" s="1478" t="str">
        <f t="shared" si="137"/>
        <v>Bangunan Gedung Tempat Kerja</v>
      </c>
      <c r="W188" s="1478">
        <f t="shared" si="138"/>
        <v>50</v>
      </c>
      <c r="X188" s="1401">
        <f>R188/W188</f>
        <v>7943460</v>
      </c>
      <c r="Y188" s="1629">
        <f>IF(2013-L188+1&gt;W188,W188,IF(2013-L188+1&lt;0,0,2013-L188+1))</f>
        <v>1</v>
      </c>
      <c r="Z188" s="1401">
        <f>IF(Y188&gt;W188,R188,X188*Y188)</f>
        <v>7943460</v>
      </c>
      <c r="AA188" s="1401">
        <f>IF(R188=Z188,0,X188)</f>
        <v>7943460</v>
      </c>
      <c r="AB188" s="1401">
        <f>IF(R188=Z188+AA188,0,X188)</f>
        <v>7943460</v>
      </c>
      <c r="AC188" s="1401">
        <f>IF(R188=Z188+AA188+AB188,0,X188)</f>
        <v>7943460</v>
      </c>
      <c r="AD188" s="1479">
        <f>IF(R188=Z188+AA188+AB188+AC188,0,X188)</f>
        <v>7943460</v>
      </c>
      <c r="AE188" s="1479">
        <f>IF(R188=Z188+AA188+AB188+AC188+AD188,0,X188)</f>
        <v>7943460</v>
      </c>
      <c r="AF188" s="1479">
        <f>IF(R188=Z188+AA188+AB188+AC188+AD188+AE188,0,X188)</f>
        <v>7943460</v>
      </c>
      <c r="AG188" s="1479">
        <f t="shared" si="160"/>
        <v>55604220</v>
      </c>
      <c r="AH188" s="1646">
        <f t="shared" si="149"/>
        <v>341568780</v>
      </c>
    </row>
    <row r="189" spans="1:36" s="1390" customFormat="1" ht="51" customHeight="1" x14ac:dyDescent="0.2">
      <c r="A189" s="1391"/>
      <c r="B189" s="1477"/>
      <c r="C189" s="1660">
        <v>177</v>
      </c>
      <c r="D189" s="1455" t="s">
        <v>2765</v>
      </c>
      <c r="E189" s="1501" t="s">
        <v>1772</v>
      </c>
      <c r="F189" s="1501" t="s">
        <v>1864</v>
      </c>
      <c r="G189" s="1416" t="s">
        <v>43</v>
      </c>
      <c r="H189" s="1416" t="s">
        <v>2492</v>
      </c>
      <c r="I189" s="1414" t="s">
        <v>736</v>
      </c>
      <c r="J189" s="1416"/>
      <c r="K189" s="1455" t="s">
        <v>2614</v>
      </c>
      <c r="L189" s="1416">
        <v>2013</v>
      </c>
      <c r="M189" s="1429" t="s">
        <v>5366</v>
      </c>
      <c r="N189" s="1501"/>
      <c r="O189" s="1416"/>
      <c r="P189" s="1414"/>
      <c r="Q189" s="1501" t="s">
        <v>12</v>
      </c>
      <c r="R189" s="1539">
        <v>991552000</v>
      </c>
      <c r="S189" s="1661"/>
      <c r="T189" s="1490"/>
      <c r="U189" s="1645" t="str">
        <f t="shared" si="136"/>
        <v>03.11.01</v>
      </c>
      <c r="V189" s="1478" t="str">
        <f t="shared" si="137"/>
        <v>Bangunan Gedung Tempat Kerja</v>
      </c>
      <c r="W189" s="1478">
        <f t="shared" si="138"/>
        <v>50</v>
      </c>
      <c r="X189" s="1401">
        <f>R189/W189</f>
        <v>19831040</v>
      </c>
      <c r="Y189" s="1629">
        <f>IF(2013-L189+1&gt;W189,W189,IF(2013-L189+1&lt;0,0,2013-L189+1))</f>
        <v>1</v>
      </c>
      <c r="Z189" s="1401">
        <f>IF(Y189&gt;W189,R189,X189*Y189)</f>
        <v>19831040</v>
      </c>
      <c r="AA189" s="1401">
        <f>IF(R189=Z189,0,X189)</f>
        <v>19831040</v>
      </c>
      <c r="AB189" s="1401">
        <f>IF(R189=Z189+AA189,0,X189)</f>
        <v>19831040</v>
      </c>
      <c r="AC189" s="1401">
        <f>IF(R189=Z189+AA189+AB189,0,X189)</f>
        <v>19831040</v>
      </c>
      <c r="AD189" s="1479">
        <f>IF(R189=Z189+AA189+AB189+AC189,0,X189)</f>
        <v>19831040</v>
      </c>
      <c r="AE189" s="1479">
        <f>IF(R189=Z189+AA189+AB189+AC189+AD189,0,X189)</f>
        <v>19831040</v>
      </c>
      <c r="AF189" s="1479">
        <f>IF(R189=Z189+AA189+AB189+AC189+AD189+AE189,0,X189)</f>
        <v>19831040</v>
      </c>
      <c r="AG189" s="1479">
        <f t="shared" si="160"/>
        <v>138817280</v>
      </c>
      <c r="AH189" s="1646">
        <f t="shared" si="149"/>
        <v>852734720</v>
      </c>
    </row>
    <row r="190" spans="1:36" s="1390" customFormat="1" ht="51" customHeight="1" x14ac:dyDescent="0.2">
      <c r="A190" s="1391"/>
      <c r="B190" s="1477"/>
      <c r="C190" s="1660">
        <v>178</v>
      </c>
      <c r="D190" s="1455" t="s">
        <v>2766</v>
      </c>
      <c r="E190" s="1501" t="s">
        <v>2113</v>
      </c>
      <c r="F190" s="1501" t="s">
        <v>39</v>
      </c>
      <c r="G190" s="1416" t="s">
        <v>43</v>
      </c>
      <c r="H190" s="1416" t="s">
        <v>2492</v>
      </c>
      <c r="I190" s="1414" t="s">
        <v>736</v>
      </c>
      <c r="J190" s="1416"/>
      <c r="K190" s="1455" t="s">
        <v>2614</v>
      </c>
      <c r="L190" s="1416">
        <v>2013</v>
      </c>
      <c r="M190" s="1429" t="s">
        <v>5366</v>
      </c>
      <c r="N190" s="1501"/>
      <c r="O190" s="1416"/>
      <c r="P190" s="1414"/>
      <c r="Q190" s="1501" t="s">
        <v>12</v>
      </c>
      <c r="R190" s="1539">
        <v>48327850</v>
      </c>
      <c r="S190" s="1661"/>
      <c r="T190" s="1490"/>
      <c r="U190" s="1645" t="str">
        <f t="shared" si="136"/>
        <v>03.11.01</v>
      </c>
      <c r="V190" s="1478" t="str">
        <f t="shared" si="137"/>
        <v>Bangunan Gedung Tempat Kerja</v>
      </c>
      <c r="W190" s="1478">
        <f t="shared" si="138"/>
        <v>50</v>
      </c>
      <c r="X190" s="1401">
        <f>R190/W190</f>
        <v>966557</v>
      </c>
      <c r="Y190" s="1629">
        <f>IF(2013-L190+1&gt;W190,W190,IF(2013-L190+1&lt;0,0,2013-L190+1))</f>
        <v>1</v>
      </c>
      <c r="Z190" s="1401">
        <f>IF(Y190&gt;W190,R190,X190*Y190)</f>
        <v>966557</v>
      </c>
      <c r="AA190" s="1401">
        <f>IF(R190=Z190,0,X190)</f>
        <v>966557</v>
      </c>
      <c r="AB190" s="1401">
        <f>IF(R190=Z190+AA190,0,X190)</f>
        <v>966557</v>
      </c>
      <c r="AC190" s="1401">
        <f>IF(R190=Z190+AA190+AB190,0,X190)</f>
        <v>966557</v>
      </c>
      <c r="AD190" s="1479">
        <f>IF(R190=Z190+AA190+AB190+AC190,0,X190)</f>
        <v>966557</v>
      </c>
      <c r="AE190" s="1479">
        <f>IF(R190=Z190+AA190+AB190+AC190+AD190,0,X190)</f>
        <v>966557</v>
      </c>
      <c r="AF190" s="1479">
        <f>IF(R190=Z190+AA190+AB190+AC190+AD190+AE190,0,X190)</f>
        <v>966557</v>
      </c>
      <c r="AG190" s="1479">
        <f t="shared" si="160"/>
        <v>6765899</v>
      </c>
      <c r="AH190" s="1646">
        <f t="shared" si="149"/>
        <v>41561951</v>
      </c>
    </row>
    <row r="191" spans="1:36" s="1390" customFormat="1" ht="51" customHeight="1" x14ac:dyDescent="0.2">
      <c r="A191" s="1391"/>
      <c r="B191" s="1477"/>
      <c r="C191" s="1660">
        <v>179</v>
      </c>
      <c r="D191" s="1455" t="s">
        <v>2769</v>
      </c>
      <c r="E191" s="1501" t="s">
        <v>1752</v>
      </c>
      <c r="F191" s="1501" t="s">
        <v>2118</v>
      </c>
      <c r="G191" s="1416" t="s">
        <v>43</v>
      </c>
      <c r="H191" s="1416" t="s">
        <v>2492</v>
      </c>
      <c r="I191" s="1414" t="s">
        <v>736</v>
      </c>
      <c r="J191" s="1416"/>
      <c r="K191" s="1455" t="s">
        <v>2614</v>
      </c>
      <c r="L191" s="1416">
        <v>2013</v>
      </c>
      <c r="M191" s="1429" t="s">
        <v>5391</v>
      </c>
      <c r="N191" s="1501"/>
      <c r="O191" s="1416"/>
      <c r="P191" s="1414"/>
      <c r="Q191" s="1501" t="s">
        <v>12</v>
      </c>
      <c r="R191" s="1539">
        <v>74497000</v>
      </c>
      <c r="S191" s="1661"/>
      <c r="T191" s="1490"/>
      <c r="U191" s="1645" t="str">
        <f t="shared" si="136"/>
        <v>03.11.01</v>
      </c>
      <c r="V191" s="1478" t="str">
        <f t="shared" si="137"/>
        <v>Bangunan Gedung Tempat Kerja</v>
      </c>
      <c r="W191" s="1478">
        <f t="shared" si="138"/>
        <v>50</v>
      </c>
      <c r="X191" s="1401">
        <f>R191/W191</f>
        <v>1489940</v>
      </c>
      <c r="Y191" s="1629">
        <f>IF(2013-L191+1&gt;W191,W191,IF(2013-L191+1&lt;0,0,2013-L191+1))</f>
        <v>1</v>
      </c>
      <c r="Z191" s="1401">
        <f>IF(Y191&gt;W191,R191,X191*Y191)</f>
        <v>1489940</v>
      </c>
      <c r="AA191" s="1401">
        <f>IF(R191=Z191,0,X191)</f>
        <v>1489940</v>
      </c>
      <c r="AB191" s="1401">
        <f>IF(R191=Z191+AA191,0,X191)</f>
        <v>1489940</v>
      </c>
      <c r="AC191" s="1401">
        <f>IF(R191=Z191+AA191+AB191,0,X191)</f>
        <v>1489940</v>
      </c>
      <c r="AD191" s="1479">
        <f>IF(R191=Z191+AA191+AB191+AC191,0,X191)</f>
        <v>1489940</v>
      </c>
      <c r="AE191" s="1479">
        <f>IF(R191=Z191+AA191+AB191+AC191+AD191,0,X191)</f>
        <v>1489940</v>
      </c>
      <c r="AF191" s="1479">
        <f>IF(R191=Z191+AA191+AB191+AC191+AD191+AE191,0,X191)</f>
        <v>1489940</v>
      </c>
      <c r="AG191" s="1479">
        <f t="shared" si="160"/>
        <v>10429580</v>
      </c>
      <c r="AH191" s="1646">
        <f t="shared" si="149"/>
        <v>64067420</v>
      </c>
    </row>
    <row r="192" spans="1:36" s="1390" customFormat="1" ht="40.5" customHeight="1" x14ac:dyDescent="0.2">
      <c r="A192" s="1391">
        <v>38</v>
      </c>
      <c r="B192" s="1477" t="s">
        <v>2994</v>
      </c>
      <c r="C192" s="1660">
        <v>180</v>
      </c>
      <c r="D192" s="1455" t="s">
        <v>5778</v>
      </c>
      <c r="E192" s="1501" t="s">
        <v>1752</v>
      </c>
      <c r="F192" s="1501"/>
      <c r="G192" s="1416" t="s">
        <v>43</v>
      </c>
      <c r="H192" s="1416" t="s">
        <v>5412</v>
      </c>
      <c r="I192" s="1414" t="s">
        <v>736</v>
      </c>
      <c r="J192" s="1416"/>
      <c r="K192" s="1455" t="s">
        <v>417</v>
      </c>
      <c r="L192" s="1416">
        <v>2013</v>
      </c>
      <c r="M192" s="1429"/>
      <c r="N192" s="1501"/>
      <c r="O192" s="1416"/>
      <c r="P192" s="1414"/>
      <c r="Q192" s="1501" t="s">
        <v>12</v>
      </c>
      <c r="R192" s="1539">
        <v>8247801930.4600897</v>
      </c>
      <c r="S192" s="1661"/>
      <c r="T192" s="1490"/>
      <c r="U192" s="1522" t="str">
        <f t="shared" si="136"/>
        <v>03.11.01</v>
      </c>
      <c r="V192" s="1478" t="str">
        <f t="shared" si="137"/>
        <v>Bangunan Gedung Tempat Kerja</v>
      </c>
      <c r="W192" s="1478">
        <f t="shared" si="138"/>
        <v>50</v>
      </c>
      <c r="X192" s="1401"/>
      <c r="Y192" s="1629"/>
      <c r="Z192" s="1401">
        <f>SUM('PERHITUNGAN (C)'!U560)</f>
        <v>164956038.60920179</v>
      </c>
      <c r="AA192" s="1479">
        <f>SUMIF('PERHITUNGAN (C)'!$A:$A,'KIB C'!B192&amp;'KIB C'!$AA$7,'PERHITUNGAN (C)'!$U:$U)</f>
        <v>0</v>
      </c>
      <c r="AB192" s="1479">
        <f>SUMIF('PERHITUNGAN (C)'!$A:$A,'KIB C'!B192&amp;'KIB C'!$AB$7,'PERHITUNGAN (C)'!$U:$U)</f>
        <v>329912077.21840358</v>
      </c>
      <c r="AC192" s="1479">
        <f>SUMIF('PERHITUNGAN (C)'!$A:$A,'KIB C'!B192&amp;'KIB C'!$AC$7,'PERHITUNGAN (C)'!$U:$U)</f>
        <v>164956038.60920179</v>
      </c>
      <c r="AD192" s="1479">
        <f>SUMIF('PERHITUNGAN (C)'!$A:$A,'KIB C'!B192&amp;'KIB C'!$AD$7,'PERHITUNGAN (C)'!$U:$U)</f>
        <v>164956038.60920179</v>
      </c>
      <c r="AE192" s="1479">
        <f>SUMIF('PERHITUNGAN (C)'!$A:$A,'KIB C'!B192&amp;'KIB C'!$AE$7,'PERHITUNGAN (C)'!$U:$U)</f>
        <v>164956038.60920179</v>
      </c>
      <c r="AF192" s="1479">
        <f>SUMIF('PERHITUNGAN (C)'!$A:$A,'KIB C'!B192&amp;'KIB C'!$AF$7,'PERHITUNGAN (C)'!$U:$U)</f>
        <v>164956038.60920179</v>
      </c>
      <c r="AG192" s="1479">
        <f t="shared" si="160"/>
        <v>1154692270.2644124</v>
      </c>
      <c r="AH192" s="1646">
        <f t="shared" si="149"/>
        <v>7093109660.1956768</v>
      </c>
      <c r="AJ192" s="1443">
        <f>SUM(Z192:AE192)</f>
        <v>989736231.65521073</v>
      </c>
    </row>
    <row r="193" spans="1:36" s="1390" customFormat="1" ht="40.5" customHeight="1" x14ac:dyDescent="0.2">
      <c r="A193" s="1391"/>
      <c r="B193" s="1477" t="s">
        <v>4229</v>
      </c>
      <c r="C193" s="1660">
        <v>181</v>
      </c>
      <c r="D193" s="1455" t="s">
        <v>2777</v>
      </c>
      <c r="E193" s="1501" t="s">
        <v>1752</v>
      </c>
      <c r="F193" s="1501"/>
      <c r="G193" s="1416"/>
      <c r="H193" s="1416" t="s">
        <v>2492</v>
      </c>
      <c r="I193" s="1414" t="s">
        <v>2492</v>
      </c>
      <c r="J193" s="1416"/>
      <c r="K193" s="1455" t="s">
        <v>417</v>
      </c>
      <c r="L193" s="1416">
        <v>2013</v>
      </c>
      <c r="M193" s="1429"/>
      <c r="N193" s="1501"/>
      <c r="O193" s="1416"/>
      <c r="P193" s="1414"/>
      <c r="Q193" s="1501" t="s">
        <v>12</v>
      </c>
      <c r="R193" s="1539">
        <v>40499800</v>
      </c>
      <c r="S193" s="1661"/>
      <c r="T193" s="1490"/>
      <c r="U193" s="1645" t="str">
        <f t="shared" si="136"/>
        <v>03.11.01</v>
      </c>
      <c r="V193" s="1478" t="str">
        <f t="shared" si="137"/>
        <v>Bangunan Gedung Tempat Kerja</v>
      </c>
      <c r="W193" s="1478">
        <f t="shared" si="138"/>
        <v>50</v>
      </c>
      <c r="X193" s="1401">
        <f>R193/W193</f>
        <v>809996</v>
      </c>
      <c r="Y193" s="1629">
        <f>IF(2013-L193+1&gt;W193,W193,IF(2013-L193+1&lt;0,0,2013-L193+1))</f>
        <v>1</v>
      </c>
      <c r="Z193" s="1401">
        <f>IF(Y193&gt;W193,R193,X193*Y193)</f>
        <v>809996</v>
      </c>
      <c r="AA193" s="1401">
        <f>IF(R193=Z193,0,X193)</f>
        <v>809996</v>
      </c>
      <c r="AB193" s="1401">
        <f>IF(R193=Z193+AA193,0,X193)</f>
        <v>809996</v>
      </c>
      <c r="AC193" s="1401">
        <f>IF(R193=Z193+AA193+AB193,0,X193)</f>
        <v>809996</v>
      </c>
      <c r="AD193" s="1479">
        <f>IF(R193=Z193+AA193+AB193+AC193,0,X193)</f>
        <v>809996</v>
      </c>
      <c r="AE193" s="1479">
        <f>IF(R193=Z193+AA193+AB193+AC193+AD193,0,X193)</f>
        <v>809996</v>
      </c>
      <c r="AF193" s="1479">
        <f>IF(R193=Z193+AA193+AB193+AC193+AD193+AE193,0,X193)</f>
        <v>809996</v>
      </c>
      <c r="AG193" s="1479">
        <f t="shared" si="160"/>
        <v>5669972</v>
      </c>
      <c r="AH193" s="1646">
        <f t="shared" si="149"/>
        <v>34829828</v>
      </c>
    </row>
    <row r="194" spans="1:36" s="1390" customFormat="1" ht="40.5" customHeight="1" x14ac:dyDescent="0.2">
      <c r="A194" s="1391"/>
      <c r="B194" s="1477"/>
      <c r="C194" s="1660">
        <v>182</v>
      </c>
      <c r="D194" s="1455" t="s">
        <v>2770</v>
      </c>
      <c r="E194" s="1501" t="s">
        <v>1752</v>
      </c>
      <c r="F194" s="1501" t="s">
        <v>2126</v>
      </c>
      <c r="G194" s="1416" t="s">
        <v>43</v>
      </c>
      <c r="H194" s="1416" t="s">
        <v>2492</v>
      </c>
      <c r="I194" s="1414" t="s">
        <v>736</v>
      </c>
      <c r="J194" s="1416"/>
      <c r="K194" s="1455" t="s">
        <v>2941</v>
      </c>
      <c r="L194" s="1416">
        <v>2013</v>
      </c>
      <c r="M194" s="1429" t="s">
        <v>5392</v>
      </c>
      <c r="N194" s="1501"/>
      <c r="O194" s="1416"/>
      <c r="P194" s="1414"/>
      <c r="Q194" s="1501" t="s">
        <v>12</v>
      </c>
      <c r="R194" s="1539">
        <v>199852000</v>
      </c>
      <c r="S194" s="1661"/>
      <c r="T194" s="1490"/>
      <c r="U194" s="1645" t="str">
        <f t="shared" si="136"/>
        <v>03.11.01</v>
      </c>
      <c r="V194" s="1478" t="str">
        <f t="shared" si="137"/>
        <v>Bangunan Gedung Tempat Kerja</v>
      </c>
      <c r="W194" s="1478">
        <f t="shared" si="138"/>
        <v>50</v>
      </c>
      <c r="X194" s="1401">
        <f>R194/W194</f>
        <v>3997040</v>
      </c>
      <c r="Y194" s="1629">
        <f>IF(2013-L194+1&gt;W194,W194,IF(2013-L194+1&lt;0,0,2013-L194+1))</f>
        <v>1</v>
      </c>
      <c r="Z194" s="1401">
        <f>IF(Y194&gt;W194,R194,X194*Y194)</f>
        <v>3997040</v>
      </c>
      <c r="AA194" s="1401">
        <f>IF(R194=Z194,0,X194)</f>
        <v>3997040</v>
      </c>
      <c r="AB194" s="1401">
        <f>IF(R194=Z194+AA194,0,X194)</f>
        <v>3997040</v>
      </c>
      <c r="AC194" s="1401">
        <f>IF(R194=Z194+AA194+AB194,0,X194)</f>
        <v>3997040</v>
      </c>
      <c r="AD194" s="1479">
        <f>IF(R194=Z194+AA194+AB194+AC194,0,X194)</f>
        <v>3997040</v>
      </c>
      <c r="AE194" s="1479">
        <f>IF(R194=Z194+AA194+AB194+AC194+AD194,0,X194)</f>
        <v>3997040</v>
      </c>
      <c r="AF194" s="1479">
        <f>IF(R194=Z194+AA194+AB194+AC194+AD194+AE194,0,X194)</f>
        <v>3997040</v>
      </c>
      <c r="AG194" s="1479">
        <f t="shared" si="160"/>
        <v>27979280</v>
      </c>
      <c r="AH194" s="1646">
        <f t="shared" si="149"/>
        <v>171872720</v>
      </c>
    </row>
    <row r="195" spans="1:36" s="1390" customFormat="1" ht="40.5" customHeight="1" x14ac:dyDescent="0.2">
      <c r="A195" s="1391">
        <v>40</v>
      </c>
      <c r="B195" s="1477" t="s">
        <v>4267</v>
      </c>
      <c r="C195" s="1660">
        <v>183</v>
      </c>
      <c r="D195" s="1455" t="s">
        <v>4267</v>
      </c>
      <c r="E195" s="1501" t="s">
        <v>1752</v>
      </c>
      <c r="F195" s="1501" t="s">
        <v>1765</v>
      </c>
      <c r="G195" s="1416" t="s">
        <v>43</v>
      </c>
      <c r="H195" s="1416" t="s">
        <v>2492</v>
      </c>
      <c r="I195" s="1414" t="s">
        <v>736</v>
      </c>
      <c r="J195" s="1416"/>
      <c r="K195" s="1455" t="s">
        <v>2897</v>
      </c>
      <c r="L195" s="1416">
        <v>2012</v>
      </c>
      <c r="M195" s="1429" t="s">
        <v>5393</v>
      </c>
      <c r="N195" s="1501"/>
      <c r="O195" s="1416"/>
      <c r="P195" s="1414"/>
      <c r="Q195" s="1501" t="s">
        <v>12</v>
      </c>
      <c r="R195" s="1539">
        <v>697959159.54341817</v>
      </c>
      <c r="S195" s="1661"/>
      <c r="T195" s="1490"/>
      <c r="U195" s="1522" t="str">
        <f>LEFT(E195,8)</f>
        <v>03.11.01</v>
      </c>
      <c r="V195" s="1478" t="str">
        <f>VLOOKUP(U195,UE,3)</f>
        <v>Bangunan Gedung Tempat Kerja</v>
      </c>
      <c r="W195" s="1478">
        <f>VLOOKUP(U195,UE,4)</f>
        <v>50</v>
      </c>
      <c r="X195" s="1401"/>
      <c r="Y195" s="1629"/>
      <c r="Z195" s="1401">
        <f>SUM('PERHITUNGAN (C)'!U578:U580)</f>
        <v>24698614.317919351</v>
      </c>
      <c r="AA195" s="1479">
        <f>SUMIF('PERHITUNGAN (C)'!$A:$A,'KIB C'!B195&amp;'KIB C'!$AA$7,'PERHITUNGAN (C)'!$U:$U)</f>
        <v>13740011.12705099</v>
      </c>
      <c r="AB195" s="1479">
        <f>SUMIF('PERHITUNGAN (C)'!$A:$A,'KIB C'!B195&amp;'KIB C'!$AB$7,'PERHITUNGAN (C)'!$U:$U)</f>
        <v>13740011.12705099</v>
      </c>
      <c r="AC195" s="1479">
        <f>SUMIF('PERHITUNGAN (C)'!$A:$A,'KIB C'!B195&amp;'KIB C'!$AC$7,'PERHITUNGAN (C)'!$U:$U)</f>
        <v>13740011.12705099</v>
      </c>
      <c r="AD195" s="1479">
        <f>SUMIF('PERHITUNGAN (C)'!$A:$A,'KIB C'!B195&amp;'KIB C'!$AD$7,'PERHITUNGAN (C)'!$U:$U)</f>
        <v>13740011.12705099</v>
      </c>
      <c r="AE195" s="1479">
        <f>SUMIF('PERHITUNGAN (C)'!$A:$A,'KIB C'!B195&amp;'KIB C'!$AE$7,'PERHITUNGAN (C)'!$U:$U)</f>
        <v>13740011.12705099</v>
      </c>
      <c r="AF195" s="1479">
        <f>SUMIF('PERHITUNGAN (C)'!$A:$A,'KIB C'!B195&amp;'KIB C'!$AF$7,'PERHITUNGAN (C)'!$U:$U)</f>
        <v>13740011.12705099</v>
      </c>
      <c r="AG195" s="1479">
        <f t="shared" si="160"/>
        <v>107138681.0802253</v>
      </c>
      <c r="AH195" s="1646">
        <f t="shared" ref="AH195:AH235" si="161">R195-AG195</f>
        <v>590820478.46319282</v>
      </c>
      <c r="AJ195" s="1443">
        <f>SUM(Z195:AE195)</f>
        <v>93398669.953174308</v>
      </c>
    </row>
    <row r="196" spans="1:36" s="1390" customFormat="1" ht="40.5" customHeight="1" x14ac:dyDescent="0.2">
      <c r="A196" s="1391">
        <v>36</v>
      </c>
      <c r="B196" s="1477" t="s">
        <v>3022</v>
      </c>
      <c r="C196" s="1660">
        <v>184</v>
      </c>
      <c r="D196" s="1455" t="s">
        <v>2776</v>
      </c>
      <c r="E196" s="1501" t="s">
        <v>5761</v>
      </c>
      <c r="F196" s="1501"/>
      <c r="G196" s="1416"/>
      <c r="H196" s="1416" t="s">
        <v>2492</v>
      </c>
      <c r="I196" s="1414" t="s">
        <v>736</v>
      </c>
      <c r="J196" s="1416"/>
      <c r="K196" s="1455" t="s">
        <v>417</v>
      </c>
      <c r="L196" s="1416">
        <v>2013</v>
      </c>
      <c r="M196" s="1429"/>
      <c r="N196" s="1501"/>
      <c r="O196" s="1416"/>
      <c r="P196" s="1414"/>
      <c r="Q196" s="1501" t="s">
        <v>12</v>
      </c>
      <c r="R196" s="1539">
        <v>113211796.06274666</v>
      </c>
      <c r="S196" s="1661"/>
      <c r="T196" s="1490"/>
      <c r="U196" s="1645" t="str">
        <f t="shared" ref="U196:U201" si="162">LEFT(E196,8)</f>
        <v>03.11.02</v>
      </c>
      <c r="V196" s="1478" t="str">
        <f t="shared" ref="V196:V240" si="163">VLOOKUP(U196,UE,3)</f>
        <v>Bangunan Gedung Tempat Tinggal</v>
      </c>
      <c r="W196" s="1478">
        <f t="shared" ref="W196:W242" si="164">VLOOKUP(U196,UE,4)</f>
        <v>50</v>
      </c>
      <c r="X196" s="1401">
        <f t="shared" ref="X196:X206" si="165">R196/W196</f>
        <v>2264235.9212549333</v>
      </c>
      <c r="Y196" s="1629">
        <f t="shared" ref="Y196:Y206" si="166">IF(2013-L196+1&gt;W196,W196,IF(2013-L196+1&lt;0,0,2013-L196+1))</f>
        <v>1</v>
      </c>
      <c r="Z196" s="1401">
        <f t="shared" ref="Z196:Z206" si="167">IF(Y196&gt;W196,R196,X196*Y196)</f>
        <v>2264235.9212549333</v>
      </c>
      <c r="AA196" s="1401">
        <f t="shared" ref="AA196:AA206" si="168">IF(R196=Z196,0,X196)</f>
        <v>2264235.9212549333</v>
      </c>
      <c r="AB196" s="1401">
        <f t="shared" ref="AB196:AB206" si="169">IF(R196=Z196+AA196,0,X196)</f>
        <v>2264235.9212549333</v>
      </c>
      <c r="AC196" s="1401">
        <f t="shared" ref="AC196:AC206" si="170">IF(R196=Z196+AA196+AB196,0,X196)</f>
        <v>2264235.9212549333</v>
      </c>
      <c r="AD196" s="1479">
        <f t="shared" ref="AD196:AD206" si="171">IF(R196=Z196+AA196+AB196+AC196,0,X196)</f>
        <v>2264235.9212549333</v>
      </c>
      <c r="AE196" s="1479">
        <f t="shared" ref="AE196:AE206" si="172">IF(R196=Z196+AA196+AB196+AC196+AD196,0,X196)</f>
        <v>2264235.9212549333</v>
      </c>
      <c r="AF196" s="1479">
        <f t="shared" ref="AF196:AF206" si="173">IF(R196=Z196+AA196+AB196+AC196+AD196+AE196,0,X196)</f>
        <v>2264235.9212549333</v>
      </c>
      <c r="AG196" s="1479">
        <f t="shared" ref="AG196:AG206" si="174">SUM(Z196:AF196)</f>
        <v>15849651.448784532</v>
      </c>
      <c r="AH196" s="1646">
        <f t="shared" si="161"/>
        <v>97362144.613962129</v>
      </c>
    </row>
    <row r="197" spans="1:36" s="1390" customFormat="1" ht="40.5" customHeight="1" x14ac:dyDescent="0.2">
      <c r="A197" s="1391"/>
      <c r="B197" s="1477"/>
      <c r="C197" s="1660">
        <v>185</v>
      </c>
      <c r="D197" s="1455" t="s">
        <v>2699</v>
      </c>
      <c r="E197" s="1501" t="s">
        <v>2845</v>
      </c>
      <c r="F197" s="1501"/>
      <c r="G197" s="1416"/>
      <c r="H197" s="1416"/>
      <c r="I197" s="1414"/>
      <c r="J197" s="1416"/>
      <c r="K197" s="1455" t="s">
        <v>52</v>
      </c>
      <c r="L197" s="1416">
        <v>2013</v>
      </c>
      <c r="M197" s="1429"/>
      <c r="N197" s="1501"/>
      <c r="O197" s="1416"/>
      <c r="P197" s="1414"/>
      <c r="Q197" s="1501" t="s">
        <v>12</v>
      </c>
      <c r="R197" s="1539">
        <v>518872308.79713184</v>
      </c>
      <c r="S197" s="1661"/>
      <c r="T197" s="1490"/>
      <c r="U197" s="1645" t="str">
        <f t="shared" si="162"/>
        <v>03.11.01</v>
      </c>
      <c r="V197" s="1478" t="str">
        <f t="shared" si="163"/>
        <v>Bangunan Gedung Tempat Kerja</v>
      </c>
      <c r="W197" s="1478">
        <f t="shared" si="164"/>
        <v>50</v>
      </c>
      <c r="X197" s="1401">
        <f t="shared" si="165"/>
        <v>10377446.175942637</v>
      </c>
      <c r="Y197" s="1629">
        <f t="shared" si="166"/>
        <v>1</v>
      </c>
      <c r="Z197" s="1401">
        <f t="shared" si="167"/>
        <v>10377446.175942637</v>
      </c>
      <c r="AA197" s="1401">
        <f t="shared" si="168"/>
        <v>10377446.175942637</v>
      </c>
      <c r="AB197" s="1401">
        <f t="shared" si="169"/>
        <v>10377446.175942637</v>
      </c>
      <c r="AC197" s="1401">
        <f t="shared" si="170"/>
        <v>10377446.175942637</v>
      </c>
      <c r="AD197" s="1479">
        <f t="shared" si="171"/>
        <v>10377446.175942637</v>
      </c>
      <c r="AE197" s="1479">
        <f t="shared" si="172"/>
        <v>10377446.175942637</v>
      </c>
      <c r="AF197" s="1479">
        <f t="shared" si="173"/>
        <v>10377446.175942637</v>
      </c>
      <c r="AG197" s="1479">
        <f t="shared" si="174"/>
        <v>72642123.231598467</v>
      </c>
      <c r="AH197" s="1646">
        <f t="shared" si="161"/>
        <v>446230185.5655334</v>
      </c>
    </row>
    <row r="198" spans="1:36" s="1390" customFormat="1" ht="40.5" customHeight="1" x14ac:dyDescent="0.2">
      <c r="A198" s="1391"/>
      <c r="B198" s="1477"/>
      <c r="C198" s="1660">
        <v>186</v>
      </c>
      <c r="D198" s="1455" t="s">
        <v>2780</v>
      </c>
      <c r="E198" s="1501" t="s">
        <v>2843</v>
      </c>
      <c r="F198" s="1501"/>
      <c r="G198" s="1416"/>
      <c r="H198" s="1416"/>
      <c r="I198" s="1414" t="s">
        <v>736</v>
      </c>
      <c r="J198" s="1416"/>
      <c r="K198" s="1455" t="s">
        <v>1081</v>
      </c>
      <c r="L198" s="1416">
        <v>2013</v>
      </c>
      <c r="M198" s="1429"/>
      <c r="N198" s="1501"/>
      <c r="O198" s="1416"/>
      <c r="P198" s="1414"/>
      <c r="Q198" s="1501" t="s">
        <v>12</v>
      </c>
      <c r="R198" s="1539">
        <v>7392750</v>
      </c>
      <c r="S198" s="1661"/>
      <c r="T198" s="1490"/>
      <c r="U198" s="1645" t="str">
        <f t="shared" si="162"/>
        <v>03.11.01</v>
      </c>
      <c r="V198" s="1478" t="str">
        <f t="shared" si="163"/>
        <v>Bangunan Gedung Tempat Kerja</v>
      </c>
      <c r="W198" s="1478">
        <f t="shared" si="164"/>
        <v>50</v>
      </c>
      <c r="X198" s="1401">
        <f t="shared" si="165"/>
        <v>147855</v>
      </c>
      <c r="Y198" s="1629">
        <f t="shared" si="166"/>
        <v>1</v>
      </c>
      <c r="Z198" s="1401">
        <f t="shared" si="167"/>
        <v>147855</v>
      </c>
      <c r="AA198" s="1401">
        <f t="shared" si="168"/>
        <v>147855</v>
      </c>
      <c r="AB198" s="1401">
        <f t="shared" si="169"/>
        <v>147855</v>
      </c>
      <c r="AC198" s="1401">
        <f t="shared" si="170"/>
        <v>147855</v>
      </c>
      <c r="AD198" s="1479">
        <f t="shared" si="171"/>
        <v>147855</v>
      </c>
      <c r="AE198" s="1479">
        <f t="shared" si="172"/>
        <v>147855</v>
      </c>
      <c r="AF198" s="1479">
        <f t="shared" si="173"/>
        <v>147855</v>
      </c>
      <c r="AG198" s="1479">
        <f t="shared" si="174"/>
        <v>1034985</v>
      </c>
      <c r="AH198" s="1646">
        <f t="shared" si="161"/>
        <v>6357765</v>
      </c>
    </row>
    <row r="199" spans="1:36" s="1390" customFormat="1" ht="40.5" customHeight="1" x14ac:dyDescent="0.2">
      <c r="A199" s="1391">
        <v>47</v>
      </c>
      <c r="B199" s="1477" t="s">
        <v>2995</v>
      </c>
      <c r="C199" s="1660">
        <v>187</v>
      </c>
      <c r="D199" s="1455" t="s">
        <v>2757</v>
      </c>
      <c r="E199" s="1501" t="s">
        <v>1752</v>
      </c>
      <c r="F199" s="1501" t="s">
        <v>2089</v>
      </c>
      <c r="G199" s="1416" t="s">
        <v>43</v>
      </c>
      <c r="H199" s="1416" t="s">
        <v>2492</v>
      </c>
      <c r="I199" s="1414" t="s">
        <v>736</v>
      </c>
      <c r="J199" s="1416"/>
      <c r="K199" s="1455" t="s">
        <v>2614</v>
      </c>
      <c r="L199" s="1416">
        <v>2013</v>
      </c>
      <c r="M199" s="1429" t="s">
        <v>5394</v>
      </c>
      <c r="N199" s="1501"/>
      <c r="O199" s="1416"/>
      <c r="P199" s="1414"/>
      <c r="Q199" s="1501" t="s">
        <v>12</v>
      </c>
      <c r="R199" s="1539">
        <v>1435037000</v>
      </c>
      <c r="S199" s="1661"/>
      <c r="T199" s="1490"/>
      <c r="U199" s="1645" t="str">
        <f t="shared" si="162"/>
        <v>03.11.01</v>
      </c>
      <c r="V199" s="1478" t="str">
        <f t="shared" si="163"/>
        <v>Bangunan Gedung Tempat Kerja</v>
      </c>
      <c r="W199" s="1478">
        <f t="shared" si="164"/>
        <v>50</v>
      </c>
      <c r="X199" s="1401">
        <f t="shared" si="165"/>
        <v>28700740</v>
      </c>
      <c r="Y199" s="1629">
        <f t="shared" si="166"/>
        <v>1</v>
      </c>
      <c r="Z199" s="1401">
        <f t="shared" si="167"/>
        <v>28700740</v>
      </c>
      <c r="AA199" s="1401">
        <f t="shared" si="168"/>
        <v>28700740</v>
      </c>
      <c r="AB199" s="1401">
        <f t="shared" si="169"/>
        <v>28700740</v>
      </c>
      <c r="AC199" s="1401">
        <f t="shared" si="170"/>
        <v>28700740</v>
      </c>
      <c r="AD199" s="1479">
        <f t="shared" si="171"/>
        <v>28700740</v>
      </c>
      <c r="AE199" s="1479">
        <f t="shared" si="172"/>
        <v>28700740</v>
      </c>
      <c r="AF199" s="1479">
        <f t="shared" si="173"/>
        <v>28700740</v>
      </c>
      <c r="AG199" s="1479">
        <f t="shared" si="174"/>
        <v>200905180</v>
      </c>
      <c r="AH199" s="1646">
        <f t="shared" si="161"/>
        <v>1234131820</v>
      </c>
    </row>
    <row r="200" spans="1:36" s="1390" customFormat="1" ht="40.5" customHeight="1" x14ac:dyDescent="0.2">
      <c r="A200" s="1391">
        <v>47</v>
      </c>
      <c r="B200" s="1477" t="s">
        <v>2995</v>
      </c>
      <c r="C200" s="1660">
        <v>188</v>
      </c>
      <c r="D200" s="1455" t="s">
        <v>2781</v>
      </c>
      <c r="E200" s="1501" t="s">
        <v>1752</v>
      </c>
      <c r="F200" s="1501"/>
      <c r="G200" s="1416"/>
      <c r="H200" s="1416"/>
      <c r="I200" s="1414"/>
      <c r="J200" s="1416"/>
      <c r="K200" s="1455" t="s">
        <v>417</v>
      </c>
      <c r="L200" s="1416">
        <v>2013</v>
      </c>
      <c r="M200" s="1429"/>
      <c r="N200" s="1501"/>
      <c r="O200" s="1416"/>
      <c r="P200" s="1414"/>
      <c r="Q200" s="1501" t="s">
        <v>12</v>
      </c>
      <c r="R200" s="1539">
        <v>33253000</v>
      </c>
      <c r="S200" s="1661"/>
      <c r="T200" s="1490"/>
      <c r="U200" s="1645" t="str">
        <f t="shared" si="162"/>
        <v>03.11.01</v>
      </c>
      <c r="V200" s="1478" t="str">
        <f t="shared" si="163"/>
        <v>Bangunan Gedung Tempat Kerja</v>
      </c>
      <c r="W200" s="1478">
        <f t="shared" si="164"/>
        <v>50</v>
      </c>
      <c r="X200" s="1401">
        <f t="shared" si="165"/>
        <v>665060</v>
      </c>
      <c r="Y200" s="1629">
        <f t="shared" si="166"/>
        <v>1</v>
      </c>
      <c r="Z200" s="1401">
        <f t="shared" si="167"/>
        <v>665060</v>
      </c>
      <c r="AA200" s="1401">
        <f t="shared" si="168"/>
        <v>665060</v>
      </c>
      <c r="AB200" s="1401">
        <f t="shared" si="169"/>
        <v>665060</v>
      </c>
      <c r="AC200" s="1401">
        <f t="shared" si="170"/>
        <v>665060</v>
      </c>
      <c r="AD200" s="1479">
        <f t="shared" si="171"/>
        <v>665060</v>
      </c>
      <c r="AE200" s="1479">
        <f t="shared" si="172"/>
        <v>665060</v>
      </c>
      <c r="AF200" s="1479">
        <f t="shared" si="173"/>
        <v>665060</v>
      </c>
      <c r="AG200" s="1479">
        <f t="shared" si="174"/>
        <v>4655420</v>
      </c>
      <c r="AH200" s="1646">
        <f t="shared" si="161"/>
        <v>28597580</v>
      </c>
    </row>
    <row r="201" spans="1:36" s="1390" customFormat="1" ht="40.5" customHeight="1" x14ac:dyDescent="0.2">
      <c r="A201" s="1391"/>
      <c r="B201" s="1477"/>
      <c r="C201" s="1660">
        <v>189</v>
      </c>
      <c r="D201" s="1455" t="s">
        <v>5418</v>
      </c>
      <c r="E201" s="1501" t="s">
        <v>2845</v>
      </c>
      <c r="F201" s="1501"/>
      <c r="G201" s="1416"/>
      <c r="H201" s="1416"/>
      <c r="I201" s="1414"/>
      <c r="J201" s="1416"/>
      <c r="K201" s="1455" t="s">
        <v>52</v>
      </c>
      <c r="L201" s="1416">
        <v>2014</v>
      </c>
      <c r="M201" s="1429"/>
      <c r="N201" s="1501"/>
      <c r="O201" s="1416"/>
      <c r="P201" s="1414"/>
      <c r="Q201" s="1501" t="s">
        <v>12</v>
      </c>
      <c r="R201" s="1539">
        <v>340497000</v>
      </c>
      <c r="S201" s="1661"/>
      <c r="T201" s="1490"/>
      <c r="U201" s="1645" t="str">
        <f t="shared" si="162"/>
        <v>03.11.01</v>
      </c>
      <c r="V201" s="1478" t="str">
        <f t="shared" si="163"/>
        <v>Bangunan Gedung Tempat Kerja</v>
      </c>
      <c r="W201" s="1478">
        <f t="shared" si="164"/>
        <v>50</v>
      </c>
      <c r="X201" s="1401">
        <f t="shared" si="165"/>
        <v>6809940</v>
      </c>
      <c r="Y201" s="1629">
        <f t="shared" si="166"/>
        <v>0</v>
      </c>
      <c r="Z201" s="1401">
        <f t="shared" si="167"/>
        <v>0</v>
      </c>
      <c r="AA201" s="1401">
        <f t="shared" si="168"/>
        <v>6809940</v>
      </c>
      <c r="AB201" s="1401">
        <f t="shared" si="169"/>
        <v>6809940</v>
      </c>
      <c r="AC201" s="1401">
        <f t="shared" si="170"/>
        <v>6809940</v>
      </c>
      <c r="AD201" s="1479">
        <f t="shared" si="171"/>
        <v>6809940</v>
      </c>
      <c r="AE201" s="1479">
        <f t="shared" si="172"/>
        <v>6809940</v>
      </c>
      <c r="AF201" s="1479">
        <f t="shared" si="173"/>
        <v>6809940</v>
      </c>
      <c r="AG201" s="1479">
        <f t="shared" si="174"/>
        <v>40859640</v>
      </c>
      <c r="AH201" s="1646">
        <f t="shared" si="161"/>
        <v>299637360</v>
      </c>
    </row>
    <row r="202" spans="1:36" s="1390" customFormat="1" ht="49" customHeight="1" x14ac:dyDescent="0.2">
      <c r="A202" s="1391"/>
      <c r="B202" s="1477"/>
      <c r="C202" s="1660">
        <v>190</v>
      </c>
      <c r="D202" s="1455" t="s">
        <v>5797</v>
      </c>
      <c r="E202" s="1501" t="s">
        <v>1752</v>
      </c>
      <c r="F202" s="1501" t="s">
        <v>1768</v>
      </c>
      <c r="G202" s="1416" t="s">
        <v>43</v>
      </c>
      <c r="H202" s="1416" t="s">
        <v>2492</v>
      </c>
      <c r="I202" s="1414" t="s">
        <v>736</v>
      </c>
      <c r="J202" s="1416"/>
      <c r="K202" s="1455" t="s">
        <v>2943</v>
      </c>
      <c r="L202" s="1416">
        <v>2014</v>
      </c>
      <c r="M202" s="1429" t="s">
        <v>5395</v>
      </c>
      <c r="N202" s="1501"/>
      <c r="O202" s="1416"/>
      <c r="P202" s="1414"/>
      <c r="Q202" s="1501" t="s">
        <v>12</v>
      </c>
      <c r="R202" s="1539">
        <v>475767500</v>
      </c>
      <c r="S202" s="1661"/>
      <c r="T202" s="1490"/>
      <c r="U202" s="1645" t="str">
        <f t="shared" ref="U202:U212" si="175">LEFT(E202,8)</f>
        <v>03.11.01</v>
      </c>
      <c r="V202" s="1478" t="str">
        <f t="shared" si="163"/>
        <v>Bangunan Gedung Tempat Kerja</v>
      </c>
      <c r="W202" s="1478">
        <f t="shared" si="164"/>
        <v>50</v>
      </c>
      <c r="X202" s="1401">
        <f t="shared" si="165"/>
        <v>9515350</v>
      </c>
      <c r="Y202" s="1629">
        <f t="shared" si="166"/>
        <v>0</v>
      </c>
      <c r="Z202" s="1401">
        <f t="shared" si="167"/>
        <v>0</v>
      </c>
      <c r="AA202" s="1401">
        <f t="shared" si="168"/>
        <v>9515350</v>
      </c>
      <c r="AB202" s="1401">
        <f t="shared" si="169"/>
        <v>9515350</v>
      </c>
      <c r="AC202" s="1401">
        <f t="shared" si="170"/>
        <v>9515350</v>
      </c>
      <c r="AD202" s="1479">
        <f t="shared" si="171"/>
        <v>9515350</v>
      </c>
      <c r="AE202" s="1479">
        <f t="shared" si="172"/>
        <v>9515350</v>
      </c>
      <c r="AF202" s="1479">
        <f t="shared" si="173"/>
        <v>9515350</v>
      </c>
      <c r="AG202" s="1479">
        <f t="shared" si="174"/>
        <v>57092100</v>
      </c>
      <c r="AH202" s="1646">
        <f t="shared" si="161"/>
        <v>418675400</v>
      </c>
    </row>
    <row r="203" spans="1:36" s="1390" customFormat="1" ht="49" customHeight="1" x14ac:dyDescent="0.2">
      <c r="A203" s="1391"/>
      <c r="B203" s="1477"/>
      <c r="C203" s="1660">
        <v>191</v>
      </c>
      <c r="D203" s="1455" t="s">
        <v>5413</v>
      </c>
      <c r="E203" s="1501" t="s">
        <v>1752</v>
      </c>
      <c r="F203" s="1501" t="s">
        <v>1855</v>
      </c>
      <c r="G203" s="1416" t="s">
        <v>43</v>
      </c>
      <c r="H203" s="1416" t="s">
        <v>2492</v>
      </c>
      <c r="I203" s="1414" t="s">
        <v>736</v>
      </c>
      <c r="J203" s="1416"/>
      <c r="K203" s="1455" t="s">
        <v>2944</v>
      </c>
      <c r="L203" s="1416">
        <v>2014</v>
      </c>
      <c r="M203" s="1429" t="s">
        <v>5395</v>
      </c>
      <c r="N203" s="1501"/>
      <c r="O203" s="1416"/>
      <c r="P203" s="1414"/>
      <c r="Q203" s="1501" t="s">
        <v>12</v>
      </c>
      <c r="R203" s="1539">
        <v>2375871000</v>
      </c>
      <c r="S203" s="1661"/>
      <c r="T203" s="1490"/>
      <c r="U203" s="1645" t="str">
        <f t="shared" si="175"/>
        <v>03.11.01</v>
      </c>
      <c r="V203" s="1478" t="str">
        <f t="shared" si="163"/>
        <v>Bangunan Gedung Tempat Kerja</v>
      </c>
      <c r="W203" s="1478">
        <f t="shared" si="164"/>
        <v>50</v>
      </c>
      <c r="X203" s="1401">
        <f t="shared" si="165"/>
        <v>47517420</v>
      </c>
      <c r="Y203" s="1629">
        <f t="shared" si="166"/>
        <v>0</v>
      </c>
      <c r="Z203" s="1401">
        <f t="shared" si="167"/>
        <v>0</v>
      </c>
      <c r="AA203" s="1401">
        <f t="shared" si="168"/>
        <v>47517420</v>
      </c>
      <c r="AB203" s="1401">
        <f t="shared" si="169"/>
        <v>47517420</v>
      </c>
      <c r="AC203" s="1401">
        <f t="shared" si="170"/>
        <v>47517420</v>
      </c>
      <c r="AD203" s="1479">
        <f t="shared" si="171"/>
        <v>47517420</v>
      </c>
      <c r="AE203" s="1479">
        <f t="shared" si="172"/>
        <v>47517420</v>
      </c>
      <c r="AF203" s="1479">
        <f t="shared" si="173"/>
        <v>47517420</v>
      </c>
      <c r="AG203" s="1479">
        <f t="shared" si="174"/>
        <v>285104520</v>
      </c>
      <c r="AH203" s="1646">
        <f t="shared" si="161"/>
        <v>2090766480</v>
      </c>
    </row>
    <row r="204" spans="1:36" s="1390" customFormat="1" ht="49" customHeight="1" x14ac:dyDescent="0.2">
      <c r="A204" s="1391"/>
      <c r="B204" s="1477"/>
      <c r="C204" s="1660">
        <v>192</v>
      </c>
      <c r="D204" s="1455" t="s">
        <v>5414</v>
      </c>
      <c r="E204" s="1501" t="s">
        <v>1752</v>
      </c>
      <c r="F204" s="1501" t="s">
        <v>1861</v>
      </c>
      <c r="G204" s="1416" t="s">
        <v>43</v>
      </c>
      <c r="H204" s="1416" t="s">
        <v>2492</v>
      </c>
      <c r="I204" s="1414" t="s">
        <v>736</v>
      </c>
      <c r="J204" s="1416"/>
      <c r="K204" s="1455" t="s">
        <v>2946</v>
      </c>
      <c r="L204" s="1416">
        <v>2014</v>
      </c>
      <c r="M204" s="1429" t="s">
        <v>5396</v>
      </c>
      <c r="N204" s="1501"/>
      <c r="O204" s="1416"/>
      <c r="P204" s="1414"/>
      <c r="Q204" s="1501" t="s">
        <v>12</v>
      </c>
      <c r="R204" s="1539">
        <v>3973869000</v>
      </c>
      <c r="S204" s="1661"/>
      <c r="T204" s="1490"/>
      <c r="U204" s="1645" t="str">
        <f t="shared" si="175"/>
        <v>03.11.01</v>
      </c>
      <c r="V204" s="1478" t="str">
        <f t="shared" si="163"/>
        <v>Bangunan Gedung Tempat Kerja</v>
      </c>
      <c r="W204" s="1478">
        <f t="shared" si="164"/>
        <v>50</v>
      </c>
      <c r="X204" s="1401">
        <f t="shared" si="165"/>
        <v>79477380</v>
      </c>
      <c r="Y204" s="1629">
        <f t="shared" si="166"/>
        <v>0</v>
      </c>
      <c r="Z204" s="1401">
        <f t="shared" si="167"/>
        <v>0</v>
      </c>
      <c r="AA204" s="1401">
        <f t="shared" si="168"/>
        <v>79477380</v>
      </c>
      <c r="AB204" s="1401">
        <f t="shared" si="169"/>
        <v>79477380</v>
      </c>
      <c r="AC204" s="1401">
        <f t="shared" si="170"/>
        <v>79477380</v>
      </c>
      <c r="AD204" s="1479">
        <f t="shared" si="171"/>
        <v>79477380</v>
      </c>
      <c r="AE204" s="1479">
        <f t="shared" si="172"/>
        <v>79477380</v>
      </c>
      <c r="AF204" s="1479">
        <f t="shared" si="173"/>
        <v>79477380</v>
      </c>
      <c r="AG204" s="1479">
        <f t="shared" si="174"/>
        <v>476864280</v>
      </c>
      <c r="AH204" s="1646">
        <f t="shared" si="161"/>
        <v>3497004720</v>
      </c>
    </row>
    <row r="205" spans="1:36" s="1390" customFormat="1" ht="49" customHeight="1" x14ac:dyDescent="0.2">
      <c r="A205" s="1391"/>
      <c r="B205" s="1477"/>
      <c r="C205" s="1660">
        <v>193</v>
      </c>
      <c r="D205" s="1455" t="s">
        <v>5415</v>
      </c>
      <c r="E205" s="1501" t="s">
        <v>1752</v>
      </c>
      <c r="F205" s="1501" t="s">
        <v>1861</v>
      </c>
      <c r="G205" s="1416" t="s">
        <v>43</v>
      </c>
      <c r="H205" s="1416" t="s">
        <v>2492</v>
      </c>
      <c r="I205" s="1414" t="s">
        <v>736</v>
      </c>
      <c r="J205" s="1416"/>
      <c r="K205" s="1455" t="s">
        <v>2947</v>
      </c>
      <c r="L205" s="1416">
        <v>2014</v>
      </c>
      <c r="M205" s="1429" t="s">
        <v>5397</v>
      </c>
      <c r="N205" s="1501"/>
      <c r="O205" s="1416"/>
      <c r="P205" s="1414"/>
      <c r="Q205" s="1501" t="s">
        <v>12</v>
      </c>
      <c r="R205" s="1539">
        <v>619769000</v>
      </c>
      <c r="S205" s="1661"/>
      <c r="T205" s="1490"/>
      <c r="U205" s="1645" t="str">
        <f t="shared" si="175"/>
        <v>03.11.01</v>
      </c>
      <c r="V205" s="1478" t="str">
        <f t="shared" si="163"/>
        <v>Bangunan Gedung Tempat Kerja</v>
      </c>
      <c r="W205" s="1478">
        <f t="shared" si="164"/>
        <v>50</v>
      </c>
      <c r="X205" s="1401">
        <f t="shared" si="165"/>
        <v>12395380</v>
      </c>
      <c r="Y205" s="1629">
        <f t="shared" si="166"/>
        <v>0</v>
      </c>
      <c r="Z205" s="1401">
        <f t="shared" si="167"/>
        <v>0</v>
      </c>
      <c r="AA205" s="1401">
        <f t="shared" si="168"/>
        <v>12395380</v>
      </c>
      <c r="AB205" s="1401">
        <f t="shared" si="169"/>
        <v>12395380</v>
      </c>
      <c r="AC205" s="1401">
        <f t="shared" si="170"/>
        <v>12395380</v>
      </c>
      <c r="AD205" s="1479">
        <f t="shared" si="171"/>
        <v>12395380</v>
      </c>
      <c r="AE205" s="1479">
        <f t="shared" si="172"/>
        <v>12395380</v>
      </c>
      <c r="AF205" s="1479">
        <f t="shared" si="173"/>
        <v>12395380</v>
      </c>
      <c r="AG205" s="1479">
        <f t="shared" si="174"/>
        <v>74372280</v>
      </c>
      <c r="AH205" s="1646">
        <f t="shared" si="161"/>
        <v>545396720</v>
      </c>
    </row>
    <row r="206" spans="1:36" s="1390" customFormat="1" ht="49" customHeight="1" x14ac:dyDescent="0.2">
      <c r="A206" s="1391"/>
      <c r="B206" s="1477"/>
      <c r="C206" s="1660">
        <v>194</v>
      </c>
      <c r="D206" s="1455" t="s">
        <v>5416</v>
      </c>
      <c r="E206" s="1501" t="s">
        <v>2843</v>
      </c>
      <c r="F206" s="1501" t="s">
        <v>1861</v>
      </c>
      <c r="G206" s="1416" t="s">
        <v>43</v>
      </c>
      <c r="H206" s="1416" t="s">
        <v>2492</v>
      </c>
      <c r="I206" s="1414" t="s">
        <v>736</v>
      </c>
      <c r="J206" s="1416"/>
      <c r="K206" s="1455" t="s">
        <v>2937</v>
      </c>
      <c r="L206" s="1416">
        <v>2014</v>
      </c>
      <c r="M206" s="1429" t="s">
        <v>5398</v>
      </c>
      <c r="N206" s="1501"/>
      <c r="O206" s="1416"/>
      <c r="P206" s="1414"/>
      <c r="Q206" s="1501" t="s">
        <v>12</v>
      </c>
      <c r="R206" s="1539">
        <v>634567000</v>
      </c>
      <c r="S206" s="1661"/>
      <c r="T206" s="1490"/>
      <c r="U206" s="1645" t="str">
        <f t="shared" si="175"/>
        <v>03.11.01</v>
      </c>
      <c r="V206" s="1478" t="str">
        <f t="shared" si="163"/>
        <v>Bangunan Gedung Tempat Kerja</v>
      </c>
      <c r="W206" s="1478">
        <f t="shared" si="164"/>
        <v>50</v>
      </c>
      <c r="X206" s="1401">
        <f t="shared" si="165"/>
        <v>12691340</v>
      </c>
      <c r="Y206" s="1629">
        <f t="shared" si="166"/>
        <v>0</v>
      </c>
      <c r="Z206" s="1401">
        <f t="shared" si="167"/>
        <v>0</v>
      </c>
      <c r="AA206" s="1401">
        <f t="shared" si="168"/>
        <v>12691340</v>
      </c>
      <c r="AB206" s="1401">
        <f t="shared" si="169"/>
        <v>12691340</v>
      </c>
      <c r="AC206" s="1401">
        <f t="shared" si="170"/>
        <v>12691340</v>
      </c>
      <c r="AD206" s="1479">
        <f t="shared" si="171"/>
        <v>12691340</v>
      </c>
      <c r="AE206" s="1479">
        <f t="shared" si="172"/>
        <v>12691340</v>
      </c>
      <c r="AF206" s="1479">
        <f t="shared" si="173"/>
        <v>12691340</v>
      </c>
      <c r="AG206" s="1479">
        <f t="shared" si="174"/>
        <v>76148040</v>
      </c>
      <c r="AH206" s="1479">
        <f>SUM(AA206:AG206)</f>
        <v>152296080</v>
      </c>
    </row>
    <row r="207" spans="1:36" s="1390" customFormat="1" ht="49" customHeight="1" x14ac:dyDescent="0.2">
      <c r="A207" s="1391">
        <v>41</v>
      </c>
      <c r="B207" s="1477" t="s">
        <v>2977</v>
      </c>
      <c r="C207" s="1660">
        <v>195</v>
      </c>
      <c r="D207" s="1455" t="s">
        <v>2977</v>
      </c>
      <c r="E207" s="1501" t="s">
        <v>2843</v>
      </c>
      <c r="F207" s="1501" t="s">
        <v>68</v>
      </c>
      <c r="G207" s="1416" t="s">
        <v>43</v>
      </c>
      <c r="H207" s="1416" t="s">
        <v>2492</v>
      </c>
      <c r="I207" s="1414" t="s">
        <v>736</v>
      </c>
      <c r="J207" s="1416"/>
      <c r="K207" s="1455" t="s">
        <v>2912</v>
      </c>
      <c r="L207" s="1416">
        <v>2013</v>
      </c>
      <c r="M207" s="1429" t="s">
        <v>5399</v>
      </c>
      <c r="N207" s="1501"/>
      <c r="O207" s="1416"/>
      <c r="P207" s="1414"/>
      <c r="Q207" s="1501" t="s">
        <v>12</v>
      </c>
      <c r="R207" s="1539">
        <v>2671822000</v>
      </c>
      <c r="S207" s="1661"/>
      <c r="T207" s="1490"/>
      <c r="U207" s="1522" t="str">
        <f t="shared" si="175"/>
        <v>03.11.01</v>
      </c>
      <c r="V207" s="1478" t="str">
        <f t="shared" si="163"/>
        <v>Bangunan Gedung Tempat Kerja</v>
      </c>
      <c r="W207" s="1478">
        <f t="shared" si="164"/>
        <v>50</v>
      </c>
      <c r="X207" s="1401"/>
      <c r="Y207" s="1629"/>
      <c r="Z207" s="1401">
        <f>SUM('PERHITUNGAN (C)'!U596)</f>
        <v>26905800</v>
      </c>
      <c r="AA207" s="1479">
        <f>SUMIF('PERHITUNGAN (C)'!$A:$A,'KIB C'!B207&amp;'KIB C'!$AA$7,'PERHITUNGAN (C)'!$U:$U)</f>
        <v>52898324</v>
      </c>
      <c r="AB207" s="1479">
        <f>SUMIF('PERHITUNGAN (C)'!$A:$A,'KIB C'!B207&amp;'KIB C'!$AB$7,'PERHITUNGAN (C)'!$U:$U)</f>
        <v>52898324</v>
      </c>
      <c r="AC207" s="1479">
        <f>SUMIF('PERHITUNGAN (C)'!$A:$A,'KIB C'!B207&amp;'KIB C'!$AC$7,'PERHITUNGAN (C)'!$U:$U)</f>
        <v>52898324</v>
      </c>
      <c r="AD207" s="1479">
        <f>SUMIF('PERHITUNGAN (C)'!$A:$A,'KIB C'!B207&amp;'KIB C'!$AD$7,'PERHITUNGAN (C)'!$U:$U)</f>
        <v>52898324</v>
      </c>
      <c r="AE207" s="1479">
        <f>SUMIF('PERHITUNGAN (C)'!$A:$A,'KIB C'!B207&amp;'KIB C'!$AE$7,'PERHITUNGAN (C)'!$U:$U)</f>
        <v>52898324</v>
      </c>
      <c r="AF207" s="1479">
        <f>SUMIF('PERHITUNGAN (C)'!$A:$A,'KIB C'!B207&amp;'KIB C'!$AF$7,'PERHITUNGAN (C)'!$U:$U)</f>
        <v>52898324</v>
      </c>
      <c r="AG207" s="1479">
        <f>SUM(Z207:AF207)</f>
        <v>344295744</v>
      </c>
      <c r="AH207" s="1646">
        <f t="shared" si="161"/>
        <v>2327526256</v>
      </c>
      <c r="AJ207" s="1443">
        <f>SUM(Z207:AE207)</f>
        <v>291397420</v>
      </c>
    </row>
    <row r="208" spans="1:36" s="1390" customFormat="1" ht="49" customHeight="1" x14ac:dyDescent="0.2">
      <c r="A208" s="1391"/>
      <c r="B208" s="1477"/>
      <c r="C208" s="1660">
        <v>196</v>
      </c>
      <c r="D208" s="1455" t="s">
        <v>5421</v>
      </c>
      <c r="E208" s="1501" t="s">
        <v>1752</v>
      </c>
      <c r="F208" s="1501" t="s">
        <v>1870</v>
      </c>
      <c r="G208" s="1416" t="s">
        <v>43</v>
      </c>
      <c r="H208" s="1416" t="s">
        <v>2492</v>
      </c>
      <c r="I208" s="1414" t="s">
        <v>736</v>
      </c>
      <c r="J208" s="1416"/>
      <c r="K208" s="1455" t="s">
        <v>2949</v>
      </c>
      <c r="L208" s="1416">
        <v>2014</v>
      </c>
      <c r="M208" s="1429" t="s">
        <v>5400</v>
      </c>
      <c r="N208" s="1501"/>
      <c r="O208" s="1416"/>
      <c r="P208" s="1414"/>
      <c r="Q208" s="1501" t="s">
        <v>12</v>
      </c>
      <c r="R208" s="1539">
        <v>442917500</v>
      </c>
      <c r="S208" s="1661"/>
      <c r="T208" s="1490"/>
      <c r="U208" s="1645" t="str">
        <f t="shared" si="175"/>
        <v>03.11.01</v>
      </c>
      <c r="V208" s="1478" t="str">
        <f t="shared" si="163"/>
        <v>Bangunan Gedung Tempat Kerja</v>
      </c>
      <c r="W208" s="1478">
        <f t="shared" si="164"/>
        <v>50</v>
      </c>
      <c r="X208" s="1401">
        <f t="shared" ref="X208:X221" si="176">R208/W208</f>
        <v>8858350</v>
      </c>
      <c r="Y208" s="1629">
        <f t="shared" ref="Y208:Y234" si="177">IF(2013-L208+1&gt;W208,W208,IF(2013-L208+1&lt;0,0,2013-L208+1))</f>
        <v>0</v>
      </c>
      <c r="Z208" s="1401">
        <f t="shared" ref="Z208:Z234" si="178">IF(Y208&gt;W208,R208,X208*Y208)</f>
        <v>0</v>
      </c>
      <c r="AA208" s="1401">
        <f t="shared" ref="AA208:AA220" si="179">IF(R208=Z208,0,X208)</f>
        <v>8858350</v>
      </c>
      <c r="AB208" s="1401">
        <f t="shared" ref="AB208:AB234" si="180">IF(R208=Z208+AA208,0,X208)</f>
        <v>8858350</v>
      </c>
      <c r="AC208" s="1401">
        <f t="shared" ref="AC208:AC234" si="181">IF(R208=Z208+AA208+AB208,0,X208)</f>
        <v>8858350</v>
      </c>
      <c r="AD208" s="1479">
        <f t="shared" ref="AD208:AD234" si="182">IF(R208=Z208+AA208+AB208+AC208,0,X208)</f>
        <v>8858350</v>
      </c>
      <c r="AE208" s="1479">
        <f t="shared" ref="AE208:AE234" si="183">IF(R208=Z208+AA208+AB208+AC208+AD208,0,X208)</f>
        <v>8858350</v>
      </c>
      <c r="AF208" s="1479">
        <f t="shared" ref="AF208:AF234" si="184">IF(R208=Z208+AA208+AB208+AC208+AD208+AE208,0,X208)</f>
        <v>8858350</v>
      </c>
      <c r="AG208" s="1479">
        <f t="shared" ref="AG208:AG220" si="185">SUM(Z208:AF208)</f>
        <v>53150100</v>
      </c>
      <c r="AH208" s="1646">
        <f t="shared" si="161"/>
        <v>389767400</v>
      </c>
    </row>
    <row r="209" spans="1:34" s="1390" customFormat="1" ht="49" customHeight="1" x14ac:dyDescent="0.2">
      <c r="A209" s="1391"/>
      <c r="B209" s="1477"/>
      <c r="C209" s="1660">
        <v>197</v>
      </c>
      <c r="D209" s="1455" t="s">
        <v>4321</v>
      </c>
      <c r="E209" s="1501" t="s">
        <v>1752</v>
      </c>
      <c r="F209" s="1501" t="s">
        <v>1888</v>
      </c>
      <c r="G209" s="1416" t="s">
        <v>43</v>
      </c>
      <c r="H209" s="1416" t="s">
        <v>2492</v>
      </c>
      <c r="I209" s="1414" t="s">
        <v>736</v>
      </c>
      <c r="J209" s="1416"/>
      <c r="K209" s="1455" t="s">
        <v>2950</v>
      </c>
      <c r="L209" s="1416">
        <v>2014</v>
      </c>
      <c r="M209" s="1429" t="s">
        <v>5401</v>
      </c>
      <c r="N209" s="1501"/>
      <c r="O209" s="1416"/>
      <c r="P209" s="1414"/>
      <c r="Q209" s="1501" t="s">
        <v>12</v>
      </c>
      <c r="R209" s="1539">
        <v>463224500</v>
      </c>
      <c r="S209" s="1661"/>
      <c r="T209" s="1490"/>
      <c r="U209" s="1645" t="str">
        <f t="shared" si="175"/>
        <v>03.11.01</v>
      </c>
      <c r="V209" s="1478" t="str">
        <f t="shared" si="163"/>
        <v>Bangunan Gedung Tempat Kerja</v>
      </c>
      <c r="W209" s="1478">
        <f t="shared" si="164"/>
        <v>50</v>
      </c>
      <c r="X209" s="1401">
        <f t="shared" si="176"/>
        <v>9264490</v>
      </c>
      <c r="Y209" s="1629">
        <f t="shared" si="177"/>
        <v>0</v>
      </c>
      <c r="Z209" s="1401">
        <f t="shared" si="178"/>
        <v>0</v>
      </c>
      <c r="AA209" s="1401">
        <f t="shared" si="179"/>
        <v>9264490</v>
      </c>
      <c r="AB209" s="1401">
        <f t="shared" si="180"/>
        <v>9264490</v>
      </c>
      <c r="AC209" s="1401">
        <f t="shared" si="181"/>
        <v>9264490</v>
      </c>
      <c r="AD209" s="1479">
        <f t="shared" si="182"/>
        <v>9264490</v>
      </c>
      <c r="AE209" s="1479">
        <f t="shared" si="183"/>
        <v>9264490</v>
      </c>
      <c r="AF209" s="1479">
        <f t="shared" si="184"/>
        <v>9264490</v>
      </c>
      <c r="AG209" s="1479">
        <f t="shared" si="185"/>
        <v>55586940</v>
      </c>
      <c r="AH209" s="1646">
        <f t="shared" si="161"/>
        <v>407637560</v>
      </c>
    </row>
    <row r="210" spans="1:34" s="1390" customFormat="1" ht="49" customHeight="1" x14ac:dyDescent="0.2">
      <c r="A210" s="1391"/>
      <c r="B210" s="1477"/>
      <c r="C210" s="1660">
        <v>198</v>
      </c>
      <c r="D210" s="1455" t="s">
        <v>4320</v>
      </c>
      <c r="E210" s="1501" t="s">
        <v>1752</v>
      </c>
      <c r="F210" s="1501" t="s">
        <v>1895</v>
      </c>
      <c r="G210" s="1416" t="s">
        <v>43</v>
      </c>
      <c r="H210" s="1416" t="s">
        <v>2492</v>
      </c>
      <c r="I210" s="1414" t="s">
        <v>736</v>
      </c>
      <c r="J210" s="1416"/>
      <c r="K210" s="1455" t="s">
        <v>2951</v>
      </c>
      <c r="L210" s="1416">
        <v>2014</v>
      </c>
      <c r="M210" s="1429" t="s">
        <v>5402</v>
      </c>
      <c r="N210" s="1501"/>
      <c r="O210" s="1416"/>
      <c r="P210" s="1414"/>
      <c r="Q210" s="1501" t="s">
        <v>12</v>
      </c>
      <c r="R210" s="1539">
        <v>458480000</v>
      </c>
      <c r="S210" s="1661"/>
      <c r="T210" s="1490"/>
      <c r="U210" s="1645" t="str">
        <f t="shared" si="175"/>
        <v>03.11.01</v>
      </c>
      <c r="V210" s="1478" t="str">
        <f t="shared" si="163"/>
        <v>Bangunan Gedung Tempat Kerja</v>
      </c>
      <c r="W210" s="1478">
        <f t="shared" si="164"/>
        <v>50</v>
      </c>
      <c r="X210" s="1401">
        <f t="shared" si="176"/>
        <v>9169600</v>
      </c>
      <c r="Y210" s="1629">
        <f t="shared" si="177"/>
        <v>0</v>
      </c>
      <c r="Z210" s="1401">
        <f t="shared" si="178"/>
        <v>0</v>
      </c>
      <c r="AA210" s="1401">
        <f t="shared" si="179"/>
        <v>9169600</v>
      </c>
      <c r="AB210" s="1401">
        <f t="shared" si="180"/>
        <v>9169600</v>
      </c>
      <c r="AC210" s="1401">
        <f t="shared" si="181"/>
        <v>9169600</v>
      </c>
      <c r="AD210" s="1479">
        <f t="shared" si="182"/>
        <v>9169600</v>
      </c>
      <c r="AE210" s="1479">
        <f t="shared" si="183"/>
        <v>9169600</v>
      </c>
      <c r="AF210" s="1479">
        <f t="shared" si="184"/>
        <v>9169600</v>
      </c>
      <c r="AG210" s="1479">
        <f t="shared" si="185"/>
        <v>55017600</v>
      </c>
      <c r="AH210" s="1646">
        <f t="shared" si="161"/>
        <v>403462400</v>
      </c>
    </row>
    <row r="211" spans="1:34" s="1390" customFormat="1" ht="49" customHeight="1" x14ac:dyDescent="0.2">
      <c r="A211" s="1391"/>
      <c r="B211" s="1477"/>
      <c r="C211" s="1660">
        <v>199</v>
      </c>
      <c r="D211" s="1455" t="s">
        <v>5798</v>
      </c>
      <c r="E211" s="1501" t="s">
        <v>1752</v>
      </c>
      <c r="F211" s="1501" t="s">
        <v>1899</v>
      </c>
      <c r="G211" s="1416" t="s">
        <v>43</v>
      </c>
      <c r="H211" s="1416" t="s">
        <v>2492</v>
      </c>
      <c r="I211" s="1414" t="s">
        <v>736</v>
      </c>
      <c r="J211" s="1416"/>
      <c r="K211" s="1455" t="s">
        <v>2952</v>
      </c>
      <c r="L211" s="1416">
        <v>2014</v>
      </c>
      <c r="M211" s="1429" t="s">
        <v>5403</v>
      </c>
      <c r="N211" s="1501"/>
      <c r="O211" s="1416"/>
      <c r="P211" s="1414"/>
      <c r="Q211" s="1501" t="s">
        <v>12</v>
      </c>
      <c r="R211" s="1539">
        <v>480055500</v>
      </c>
      <c r="S211" s="1661"/>
      <c r="T211" s="1490"/>
      <c r="U211" s="1645" t="str">
        <f t="shared" si="175"/>
        <v>03.11.01</v>
      </c>
      <c r="V211" s="1478" t="str">
        <f t="shared" si="163"/>
        <v>Bangunan Gedung Tempat Kerja</v>
      </c>
      <c r="W211" s="1478">
        <f t="shared" si="164"/>
        <v>50</v>
      </c>
      <c r="X211" s="1401">
        <f t="shared" si="176"/>
        <v>9601110</v>
      </c>
      <c r="Y211" s="1629">
        <f t="shared" si="177"/>
        <v>0</v>
      </c>
      <c r="Z211" s="1401">
        <f t="shared" si="178"/>
        <v>0</v>
      </c>
      <c r="AA211" s="1401">
        <f t="shared" si="179"/>
        <v>9601110</v>
      </c>
      <c r="AB211" s="1401">
        <f t="shared" si="180"/>
        <v>9601110</v>
      </c>
      <c r="AC211" s="1401">
        <f t="shared" si="181"/>
        <v>9601110</v>
      </c>
      <c r="AD211" s="1479">
        <f t="shared" si="182"/>
        <v>9601110</v>
      </c>
      <c r="AE211" s="1479">
        <f t="shared" si="183"/>
        <v>9601110</v>
      </c>
      <c r="AF211" s="1479">
        <f t="shared" si="184"/>
        <v>9601110</v>
      </c>
      <c r="AG211" s="1479">
        <f t="shared" si="185"/>
        <v>57606660</v>
      </c>
      <c r="AH211" s="1646">
        <f t="shared" si="161"/>
        <v>422448840</v>
      </c>
    </row>
    <row r="212" spans="1:34" s="1390" customFormat="1" ht="49" customHeight="1" x14ac:dyDescent="0.2">
      <c r="A212" s="1391"/>
      <c r="B212" s="1477"/>
      <c r="C212" s="1660">
        <v>200</v>
      </c>
      <c r="D212" s="1455" t="s">
        <v>4750</v>
      </c>
      <c r="E212" s="1501" t="s">
        <v>1752</v>
      </c>
      <c r="F212" s="1501" t="s">
        <v>1701</v>
      </c>
      <c r="G212" s="1416" t="s">
        <v>43</v>
      </c>
      <c r="H212" s="1416" t="s">
        <v>2492</v>
      </c>
      <c r="I212" s="1414" t="s">
        <v>736</v>
      </c>
      <c r="J212" s="1416"/>
      <c r="K212" s="1455" t="s">
        <v>2930</v>
      </c>
      <c r="L212" s="1416">
        <v>2014</v>
      </c>
      <c r="M212" s="1429" t="s">
        <v>5404</v>
      </c>
      <c r="N212" s="1501"/>
      <c r="O212" s="1416"/>
      <c r="P212" s="1414"/>
      <c r="Q212" s="1501" t="s">
        <v>12</v>
      </c>
      <c r="R212" s="1539">
        <v>463021000</v>
      </c>
      <c r="S212" s="1661"/>
      <c r="T212" s="1490"/>
      <c r="U212" s="1645" t="str">
        <f t="shared" si="175"/>
        <v>03.11.01</v>
      </c>
      <c r="V212" s="1478" t="str">
        <f t="shared" si="163"/>
        <v>Bangunan Gedung Tempat Kerja</v>
      </c>
      <c r="W212" s="1478">
        <f t="shared" si="164"/>
        <v>50</v>
      </c>
      <c r="X212" s="1401">
        <f t="shared" si="176"/>
        <v>9260420</v>
      </c>
      <c r="Y212" s="1629">
        <f t="shared" si="177"/>
        <v>0</v>
      </c>
      <c r="Z212" s="1401">
        <f t="shared" si="178"/>
        <v>0</v>
      </c>
      <c r="AA212" s="1401">
        <f t="shared" si="179"/>
        <v>9260420</v>
      </c>
      <c r="AB212" s="1401">
        <f t="shared" si="180"/>
        <v>9260420</v>
      </c>
      <c r="AC212" s="1401">
        <f t="shared" si="181"/>
        <v>9260420</v>
      </c>
      <c r="AD212" s="1479">
        <f t="shared" si="182"/>
        <v>9260420</v>
      </c>
      <c r="AE212" s="1479">
        <f t="shared" si="183"/>
        <v>9260420</v>
      </c>
      <c r="AF212" s="1479">
        <f t="shared" si="184"/>
        <v>9260420</v>
      </c>
      <c r="AG212" s="1479">
        <f t="shared" si="185"/>
        <v>55562520</v>
      </c>
      <c r="AH212" s="1646">
        <f t="shared" si="161"/>
        <v>407458480</v>
      </c>
    </row>
    <row r="213" spans="1:34" s="1390" customFormat="1" ht="49" customHeight="1" x14ac:dyDescent="0.2">
      <c r="A213" s="1391"/>
      <c r="B213" s="1477"/>
      <c r="C213" s="1660">
        <v>201</v>
      </c>
      <c r="D213" s="1455" t="s">
        <v>4753</v>
      </c>
      <c r="E213" s="1501" t="s">
        <v>1752</v>
      </c>
      <c r="F213" s="1501" t="s">
        <v>1906</v>
      </c>
      <c r="G213" s="1416" t="s">
        <v>43</v>
      </c>
      <c r="H213" s="1416" t="s">
        <v>2492</v>
      </c>
      <c r="I213" s="1414" t="s">
        <v>736</v>
      </c>
      <c r="J213" s="1416"/>
      <c r="K213" s="1455" t="s">
        <v>2914</v>
      </c>
      <c r="L213" s="1416">
        <v>2014</v>
      </c>
      <c r="M213" s="1429" t="s">
        <v>5405</v>
      </c>
      <c r="N213" s="1501"/>
      <c r="O213" s="1416"/>
      <c r="P213" s="1414"/>
      <c r="Q213" s="1501" t="s">
        <v>12</v>
      </c>
      <c r="R213" s="1539">
        <v>484939000</v>
      </c>
      <c r="S213" s="1661"/>
      <c r="T213" s="1490"/>
      <c r="U213" s="1645" t="str">
        <f t="shared" ref="U213:U224" si="186">LEFT(E213,8)</f>
        <v>03.11.01</v>
      </c>
      <c r="V213" s="1478" t="str">
        <f t="shared" si="163"/>
        <v>Bangunan Gedung Tempat Kerja</v>
      </c>
      <c r="W213" s="1478">
        <f t="shared" si="164"/>
        <v>50</v>
      </c>
      <c r="X213" s="1401">
        <f t="shared" si="176"/>
        <v>9698780</v>
      </c>
      <c r="Y213" s="1629">
        <f t="shared" si="177"/>
        <v>0</v>
      </c>
      <c r="Z213" s="1401">
        <f t="shared" si="178"/>
        <v>0</v>
      </c>
      <c r="AA213" s="1401">
        <f t="shared" si="179"/>
        <v>9698780</v>
      </c>
      <c r="AB213" s="1401">
        <f t="shared" si="180"/>
        <v>9698780</v>
      </c>
      <c r="AC213" s="1401">
        <f t="shared" si="181"/>
        <v>9698780</v>
      </c>
      <c r="AD213" s="1479">
        <f t="shared" si="182"/>
        <v>9698780</v>
      </c>
      <c r="AE213" s="1479">
        <f t="shared" si="183"/>
        <v>9698780</v>
      </c>
      <c r="AF213" s="1479">
        <f t="shared" si="184"/>
        <v>9698780</v>
      </c>
      <c r="AG213" s="1479">
        <f t="shared" si="185"/>
        <v>58192680</v>
      </c>
      <c r="AH213" s="1646">
        <f t="shared" si="161"/>
        <v>426746320</v>
      </c>
    </row>
    <row r="214" spans="1:34" s="1390" customFormat="1" ht="49" customHeight="1" x14ac:dyDescent="0.2">
      <c r="A214" s="1391"/>
      <c r="B214" s="1477"/>
      <c r="C214" s="1660">
        <v>202</v>
      </c>
      <c r="D214" s="1455" t="s">
        <v>5799</v>
      </c>
      <c r="E214" s="1501" t="s">
        <v>1752</v>
      </c>
      <c r="F214" s="1501" t="s">
        <v>1910</v>
      </c>
      <c r="G214" s="1416" t="s">
        <v>43</v>
      </c>
      <c r="H214" s="1416" t="s">
        <v>2492</v>
      </c>
      <c r="I214" s="1414" t="s">
        <v>736</v>
      </c>
      <c r="J214" s="1416"/>
      <c r="K214" s="1455" t="s">
        <v>2930</v>
      </c>
      <c r="L214" s="1416">
        <v>2014</v>
      </c>
      <c r="M214" s="1429" t="s">
        <v>5406</v>
      </c>
      <c r="N214" s="1501"/>
      <c r="O214" s="1416"/>
      <c r="P214" s="1414"/>
      <c r="Q214" s="1501" t="s">
        <v>12</v>
      </c>
      <c r="R214" s="1539">
        <v>483753000</v>
      </c>
      <c r="S214" s="1661"/>
      <c r="T214" s="1490"/>
      <c r="U214" s="1645" t="str">
        <f t="shared" si="186"/>
        <v>03.11.01</v>
      </c>
      <c r="V214" s="1478" t="str">
        <f t="shared" si="163"/>
        <v>Bangunan Gedung Tempat Kerja</v>
      </c>
      <c r="W214" s="1478">
        <f t="shared" si="164"/>
        <v>50</v>
      </c>
      <c r="X214" s="1401">
        <f t="shared" si="176"/>
        <v>9675060</v>
      </c>
      <c r="Y214" s="1629">
        <f t="shared" si="177"/>
        <v>0</v>
      </c>
      <c r="Z214" s="1401">
        <f t="shared" si="178"/>
        <v>0</v>
      </c>
      <c r="AA214" s="1401">
        <f t="shared" si="179"/>
        <v>9675060</v>
      </c>
      <c r="AB214" s="1401">
        <f t="shared" si="180"/>
        <v>9675060</v>
      </c>
      <c r="AC214" s="1401">
        <f t="shared" si="181"/>
        <v>9675060</v>
      </c>
      <c r="AD214" s="1479">
        <f t="shared" si="182"/>
        <v>9675060</v>
      </c>
      <c r="AE214" s="1479">
        <f t="shared" si="183"/>
        <v>9675060</v>
      </c>
      <c r="AF214" s="1479">
        <f t="shared" si="184"/>
        <v>9675060</v>
      </c>
      <c r="AG214" s="1479">
        <f t="shared" si="185"/>
        <v>58050360</v>
      </c>
      <c r="AH214" s="1646">
        <f t="shared" si="161"/>
        <v>425702640</v>
      </c>
    </row>
    <row r="215" spans="1:34" s="1390" customFormat="1" ht="49" customHeight="1" x14ac:dyDescent="0.2">
      <c r="A215" s="1391"/>
      <c r="B215" s="1477"/>
      <c r="C215" s="1660">
        <v>203</v>
      </c>
      <c r="D215" s="1455" t="s">
        <v>5800</v>
      </c>
      <c r="E215" s="1501" t="s">
        <v>1752</v>
      </c>
      <c r="F215" s="1501" t="s">
        <v>1913</v>
      </c>
      <c r="G215" s="1416" t="s">
        <v>43</v>
      </c>
      <c r="H215" s="1416" t="s">
        <v>2492</v>
      </c>
      <c r="I215" s="1414" t="s">
        <v>736</v>
      </c>
      <c r="J215" s="1416"/>
      <c r="K215" s="1455" t="s">
        <v>2931</v>
      </c>
      <c r="L215" s="1416">
        <v>2014</v>
      </c>
      <c r="M215" s="1429" t="s">
        <v>5407</v>
      </c>
      <c r="N215" s="1501"/>
      <c r="O215" s="1416"/>
      <c r="P215" s="1414"/>
      <c r="Q215" s="1501" t="s">
        <v>12</v>
      </c>
      <c r="R215" s="1539">
        <v>470472500</v>
      </c>
      <c r="S215" s="1661"/>
      <c r="T215" s="1490"/>
      <c r="U215" s="1645" t="str">
        <f t="shared" si="186"/>
        <v>03.11.01</v>
      </c>
      <c r="V215" s="1478" t="str">
        <f t="shared" si="163"/>
        <v>Bangunan Gedung Tempat Kerja</v>
      </c>
      <c r="W215" s="1478">
        <f t="shared" si="164"/>
        <v>50</v>
      </c>
      <c r="X215" s="1401">
        <f t="shared" si="176"/>
        <v>9409450</v>
      </c>
      <c r="Y215" s="1629">
        <f t="shared" si="177"/>
        <v>0</v>
      </c>
      <c r="Z215" s="1401">
        <f t="shared" si="178"/>
        <v>0</v>
      </c>
      <c r="AA215" s="1401">
        <f t="shared" si="179"/>
        <v>9409450</v>
      </c>
      <c r="AB215" s="1401">
        <f t="shared" si="180"/>
        <v>9409450</v>
      </c>
      <c r="AC215" s="1401">
        <f t="shared" si="181"/>
        <v>9409450</v>
      </c>
      <c r="AD215" s="1479">
        <f t="shared" si="182"/>
        <v>9409450</v>
      </c>
      <c r="AE215" s="1479">
        <f t="shared" si="183"/>
        <v>9409450</v>
      </c>
      <c r="AF215" s="1479">
        <f t="shared" si="184"/>
        <v>9409450</v>
      </c>
      <c r="AG215" s="1479">
        <f t="shared" si="185"/>
        <v>56456700</v>
      </c>
      <c r="AH215" s="1646">
        <f t="shared" si="161"/>
        <v>414015800</v>
      </c>
    </row>
    <row r="216" spans="1:34" s="1390" customFormat="1" ht="49" customHeight="1" x14ac:dyDescent="0.2">
      <c r="A216" s="1391"/>
      <c r="B216" s="1477"/>
      <c r="C216" s="1660">
        <v>204</v>
      </c>
      <c r="D216" s="1455" t="s">
        <v>4333</v>
      </c>
      <c r="E216" s="1501" t="s">
        <v>1752</v>
      </c>
      <c r="F216" s="1501" t="s">
        <v>1916</v>
      </c>
      <c r="G216" s="1416" t="s">
        <v>43</v>
      </c>
      <c r="H216" s="1416" t="s">
        <v>2492</v>
      </c>
      <c r="I216" s="1414" t="s">
        <v>736</v>
      </c>
      <c r="J216" s="1416"/>
      <c r="K216" s="1455" t="s">
        <v>2953</v>
      </c>
      <c r="L216" s="1416">
        <v>2014</v>
      </c>
      <c r="M216" s="1429" t="s">
        <v>5408</v>
      </c>
      <c r="N216" s="1501"/>
      <c r="O216" s="1416"/>
      <c r="P216" s="1414"/>
      <c r="Q216" s="1501" t="s">
        <v>12</v>
      </c>
      <c r="R216" s="1539">
        <v>465972500</v>
      </c>
      <c r="S216" s="1661"/>
      <c r="T216" s="1490"/>
      <c r="U216" s="1645" t="str">
        <f t="shared" si="186"/>
        <v>03.11.01</v>
      </c>
      <c r="V216" s="1478" t="str">
        <f t="shared" si="163"/>
        <v>Bangunan Gedung Tempat Kerja</v>
      </c>
      <c r="W216" s="1478">
        <f t="shared" si="164"/>
        <v>50</v>
      </c>
      <c r="X216" s="1401">
        <f t="shared" si="176"/>
        <v>9319450</v>
      </c>
      <c r="Y216" s="1629">
        <f t="shared" si="177"/>
        <v>0</v>
      </c>
      <c r="Z216" s="1401">
        <f t="shared" si="178"/>
        <v>0</v>
      </c>
      <c r="AA216" s="1401">
        <f t="shared" si="179"/>
        <v>9319450</v>
      </c>
      <c r="AB216" s="1401">
        <f t="shared" si="180"/>
        <v>9319450</v>
      </c>
      <c r="AC216" s="1401">
        <f t="shared" si="181"/>
        <v>9319450</v>
      </c>
      <c r="AD216" s="1479">
        <f t="shared" si="182"/>
        <v>9319450</v>
      </c>
      <c r="AE216" s="1479">
        <f t="shared" si="183"/>
        <v>9319450</v>
      </c>
      <c r="AF216" s="1479">
        <f t="shared" si="184"/>
        <v>9319450</v>
      </c>
      <c r="AG216" s="1479">
        <f t="shared" si="185"/>
        <v>55916700</v>
      </c>
      <c r="AH216" s="1646">
        <f t="shared" si="161"/>
        <v>410055800</v>
      </c>
    </row>
    <row r="217" spans="1:34" s="1390" customFormat="1" ht="49" customHeight="1" x14ac:dyDescent="0.2">
      <c r="A217" s="1391"/>
      <c r="B217" s="1477"/>
      <c r="C217" s="1660">
        <v>205</v>
      </c>
      <c r="D217" s="1455" t="s">
        <v>5801</v>
      </c>
      <c r="E217" s="1501" t="s">
        <v>1752</v>
      </c>
      <c r="F217" s="1501" t="s">
        <v>1920</v>
      </c>
      <c r="G217" s="1416" t="s">
        <v>43</v>
      </c>
      <c r="H217" s="1416" t="s">
        <v>2492</v>
      </c>
      <c r="I217" s="1414" t="s">
        <v>736</v>
      </c>
      <c r="J217" s="1416"/>
      <c r="K217" s="1455" t="s">
        <v>2941</v>
      </c>
      <c r="L217" s="1416">
        <v>2014</v>
      </c>
      <c r="M217" s="1429" t="s">
        <v>5408</v>
      </c>
      <c r="N217" s="1501"/>
      <c r="O217" s="1416"/>
      <c r="P217" s="1414"/>
      <c r="Q217" s="1501" t="s">
        <v>12</v>
      </c>
      <c r="R217" s="1539">
        <v>456553500</v>
      </c>
      <c r="S217" s="1661"/>
      <c r="T217" s="1490"/>
      <c r="U217" s="1645" t="str">
        <f t="shared" si="186"/>
        <v>03.11.01</v>
      </c>
      <c r="V217" s="1478" t="str">
        <f t="shared" si="163"/>
        <v>Bangunan Gedung Tempat Kerja</v>
      </c>
      <c r="W217" s="1478">
        <f t="shared" si="164"/>
        <v>50</v>
      </c>
      <c r="X217" s="1401">
        <f t="shared" si="176"/>
        <v>9131070</v>
      </c>
      <c r="Y217" s="1629">
        <f t="shared" si="177"/>
        <v>0</v>
      </c>
      <c r="Z217" s="1401">
        <f t="shared" si="178"/>
        <v>0</v>
      </c>
      <c r="AA217" s="1401">
        <f t="shared" si="179"/>
        <v>9131070</v>
      </c>
      <c r="AB217" s="1401">
        <f t="shared" si="180"/>
        <v>9131070</v>
      </c>
      <c r="AC217" s="1401">
        <f t="shared" si="181"/>
        <v>9131070</v>
      </c>
      <c r="AD217" s="1479">
        <f t="shared" si="182"/>
        <v>9131070</v>
      </c>
      <c r="AE217" s="1479">
        <f t="shared" si="183"/>
        <v>9131070</v>
      </c>
      <c r="AF217" s="1479">
        <f t="shared" si="184"/>
        <v>9131070</v>
      </c>
      <c r="AG217" s="1479">
        <f t="shared" si="185"/>
        <v>54786420</v>
      </c>
      <c r="AH217" s="1646">
        <f t="shared" si="161"/>
        <v>401767080</v>
      </c>
    </row>
    <row r="218" spans="1:34" s="1390" customFormat="1" ht="49" customHeight="1" x14ac:dyDescent="0.2">
      <c r="A218" s="1391"/>
      <c r="B218" s="1477"/>
      <c r="C218" s="1660">
        <v>206</v>
      </c>
      <c r="D218" s="1455" t="s">
        <v>5802</v>
      </c>
      <c r="E218" s="1501" t="s">
        <v>1752</v>
      </c>
      <c r="F218" s="1501" t="s">
        <v>1924</v>
      </c>
      <c r="G218" s="1416" t="s">
        <v>43</v>
      </c>
      <c r="H218" s="1416" t="s">
        <v>2492</v>
      </c>
      <c r="I218" s="1414" t="s">
        <v>736</v>
      </c>
      <c r="J218" s="1416"/>
      <c r="K218" s="1455" t="s">
        <v>2954</v>
      </c>
      <c r="L218" s="1416">
        <v>2014</v>
      </c>
      <c r="M218" s="1429" t="s">
        <v>5409</v>
      </c>
      <c r="N218" s="1501"/>
      <c r="O218" s="1416"/>
      <c r="P218" s="1414"/>
      <c r="Q218" s="1501" t="s">
        <v>12</v>
      </c>
      <c r="R218" s="1539">
        <v>469934500</v>
      </c>
      <c r="S218" s="1661"/>
      <c r="T218" s="1490"/>
      <c r="U218" s="1645" t="str">
        <f t="shared" si="186"/>
        <v>03.11.01</v>
      </c>
      <c r="V218" s="1478" t="str">
        <f t="shared" si="163"/>
        <v>Bangunan Gedung Tempat Kerja</v>
      </c>
      <c r="W218" s="1478">
        <f t="shared" si="164"/>
        <v>50</v>
      </c>
      <c r="X218" s="1401">
        <f t="shared" si="176"/>
        <v>9398690</v>
      </c>
      <c r="Y218" s="1629">
        <f t="shared" si="177"/>
        <v>0</v>
      </c>
      <c r="Z218" s="1401">
        <f t="shared" si="178"/>
        <v>0</v>
      </c>
      <c r="AA218" s="1401">
        <f t="shared" si="179"/>
        <v>9398690</v>
      </c>
      <c r="AB218" s="1401">
        <f t="shared" si="180"/>
        <v>9398690</v>
      </c>
      <c r="AC218" s="1401">
        <f t="shared" si="181"/>
        <v>9398690</v>
      </c>
      <c r="AD218" s="1479">
        <f t="shared" si="182"/>
        <v>9398690</v>
      </c>
      <c r="AE218" s="1479">
        <f t="shared" si="183"/>
        <v>9398690</v>
      </c>
      <c r="AF218" s="1479">
        <f t="shared" si="184"/>
        <v>9398690</v>
      </c>
      <c r="AG218" s="1479">
        <f t="shared" si="185"/>
        <v>56392140</v>
      </c>
      <c r="AH218" s="1646">
        <f t="shared" si="161"/>
        <v>413542360</v>
      </c>
    </row>
    <row r="219" spans="1:34" s="1390" customFormat="1" ht="49" customHeight="1" x14ac:dyDescent="0.2">
      <c r="A219" s="1391"/>
      <c r="B219" s="1477"/>
      <c r="C219" s="1660">
        <v>207</v>
      </c>
      <c r="D219" s="1455" t="s">
        <v>5422</v>
      </c>
      <c r="E219" s="1501" t="s">
        <v>1752</v>
      </c>
      <c r="F219" s="1501" t="s">
        <v>2202</v>
      </c>
      <c r="G219" s="1416" t="s">
        <v>43</v>
      </c>
      <c r="H219" s="1416" t="s">
        <v>2492</v>
      </c>
      <c r="I219" s="1414" t="s">
        <v>736</v>
      </c>
      <c r="J219" s="1416"/>
      <c r="K219" s="1455" t="s">
        <v>2930</v>
      </c>
      <c r="L219" s="1416">
        <v>2014</v>
      </c>
      <c r="M219" s="1429" t="s">
        <v>5410</v>
      </c>
      <c r="N219" s="1501"/>
      <c r="O219" s="1416"/>
      <c r="P219" s="1414"/>
      <c r="Q219" s="1501" t="s">
        <v>12</v>
      </c>
      <c r="R219" s="1539">
        <v>551109500</v>
      </c>
      <c r="S219" s="1661"/>
      <c r="T219" s="1490"/>
      <c r="U219" s="1645" t="str">
        <f t="shared" si="186"/>
        <v>03.11.01</v>
      </c>
      <c r="V219" s="1478" t="str">
        <f t="shared" si="163"/>
        <v>Bangunan Gedung Tempat Kerja</v>
      </c>
      <c r="W219" s="1478">
        <f t="shared" si="164"/>
        <v>50</v>
      </c>
      <c r="X219" s="1401">
        <f t="shared" si="176"/>
        <v>11022190</v>
      </c>
      <c r="Y219" s="1629">
        <f t="shared" si="177"/>
        <v>0</v>
      </c>
      <c r="Z219" s="1401">
        <f t="shared" si="178"/>
        <v>0</v>
      </c>
      <c r="AA219" s="1401">
        <f t="shared" si="179"/>
        <v>11022190</v>
      </c>
      <c r="AB219" s="1401">
        <f t="shared" si="180"/>
        <v>11022190</v>
      </c>
      <c r="AC219" s="1401">
        <f t="shared" si="181"/>
        <v>11022190</v>
      </c>
      <c r="AD219" s="1479">
        <f t="shared" si="182"/>
        <v>11022190</v>
      </c>
      <c r="AE219" s="1479">
        <f t="shared" si="183"/>
        <v>11022190</v>
      </c>
      <c r="AF219" s="1479">
        <f t="shared" si="184"/>
        <v>11022190</v>
      </c>
      <c r="AG219" s="1479">
        <f t="shared" si="185"/>
        <v>66133140</v>
      </c>
      <c r="AH219" s="1646">
        <f t="shared" si="161"/>
        <v>484976360</v>
      </c>
    </row>
    <row r="220" spans="1:34" s="1390" customFormat="1" ht="49" customHeight="1" x14ac:dyDescent="0.2">
      <c r="A220" s="1391"/>
      <c r="B220" s="1477"/>
      <c r="C220" s="1660">
        <v>208</v>
      </c>
      <c r="D220" s="1455" t="s">
        <v>5423</v>
      </c>
      <c r="E220" s="1501" t="s">
        <v>1752</v>
      </c>
      <c r="F220" s="1501" t="s">
        <v>2214</v>
      </c>
      <c r="G220" s="1416" t="s">
        <v>43</v>
      </c>
      <c r="H220" s="1416" t="s">
        <v>2492</v>
      </c>
      <c r="I220" s="1414" t="s">
        <v>736</v>
      </c>
      <c r="J220" s="1416"/>
      <c r="K220" s="1455" t="s">
        <v>2614</v>
      </c>
      <c r="L220" s="1416">
        <v>2014</v>
      </c>
      <c r="M220" s="1429" t="s">
        <v>5411</v>
      </c>
      <c r="N220" s="1501"/>
      <c r="O220" s="1416"/>
      <c r="P220" s="1414"/>
      <c r="Q220" s="1501" t="s">
        <v>12</v>
      </c>
      <c r="R220" s="1539">
        <v>213258000</v>
      </c>
      <c r="S220" s="1661"/>
      <c r="T220" s="1490"/>
      <c r="U220" s="1645" t="str">
        <f t="shared" si="186"/>
        <v>03.11.01</v>
      </c>
      <c r="V220" s="1478" t="str">
        <f t="shared" si="163"/>
        <v>Bangunan Gedung Tempat Kerja</v>
      </c>
      <c r="W220" s="1478">
        <f t="shared" si="164"/>
        <v>50</v>
      </c>
      <c r="X220" s="1401">
        <f t="shared" si="176"/>
        <v>4265160</v>
      </c>
      <c r="Y220" s="1629">
        <f t="shared" si="177"/>
        <v>0</v>
      </c>
      <c r="Z220" s="1401">
        <f t="shared" si="178"/>
        <v>0</v>
      </c>
      <c r="AA220" s="1401">
        <f t="shared" si="179"/>
        <v>4265160</v>
      </c>
      <c r="AB220" s="1401">
        <f t="shared" si="180"/>
        <v>4265160</v>
      </c>
      <c r="AC220" s="1401">
        <f t="shared" si="181"/>
        <v>4265160</v>
      </c>
      <c r="AD220" s="1479">
        <f t="shared" si="182"/>
        <v>4265160</v>
      </c>
      <c r="AE220" s="1479">
        <f t="shared" si="183"/>
        <v>4265160</v>
      </c>
      <c r="AF220" s="1479">
        <f t="shared" si="184"/>
        <v>4265160</v>
      </c>
      <c r="AG220" s="1479">
        <f t="shared" si="185"/>
        <v>25590960</v>
      </c>
      <c r="AH220" s="1646">
        <f t="shared" si="161"/>
        <v>187667040</v>
      </c>
    </row>
    <row r="221" spans="1:34" s="1390" customFormat="1" ht="40.5" customHeight="1" x14ac:dyDescent="0.2">
      <c r="A221" s="1391"/>
      <c r="B221" s="1477"/>
      <c r="C221" s="1660">
        <v>209</v>
      </c>
      <c r="D221" s="1455" t="s">
        <v>2808</v>
      </c>
      <c r="E221" s="1501" t="s">
        <v>2845</v>
      </c>
      <c r="F221" s="1501"/>
      <c r="G221" s="1416"/>
      <c r="H221" s="1416"/>
      <c r="I221" s="1414"/>
      <c r="J221" s="1416"/>
      <c r="K221" s="1455" t="s">
        <v>2955</v>
      </c>
      <c r="L221" s="1416">
        <v>2015</v>
      </c>
      <c r="M221" s="1429"/>
      <c r="N221" s="1501"/>
      <c r="O221" s="1416"/>
      <c r="P221" s="1414"/>
      <c r="Q221" s="1501" t="s">
        <v>12</v>
      </c>
      <c r="R221" s="1539">
        <v>1480026913</v>
      </c>
      <c r="S221" s="1661"/>
      <c r="T221" s="1490"/>
      <c r="U221" s="1645" t="str">
        <f t="shared" si="186"/>
        <v>03.11.01</v>
      </c>
      <c r="V221" s="1478" t="str">
        <f t="shared" si="163"/>
        <v>Bangunan Gedung Tempat Kerja</v>
      </c>
      <c r="W221" s="1478">
        <f t="shared" si="164"/>
        <v>50</v>
      </c>
      <c r="X221" s="1401">
        <f t="shared" si="176"/>
        <v>29600538.260000002</v>
      </c>
      <c r="Y221" s="1629">
        <f t="shared" si="177"/>
        <v>0</v>
      </c>
      <c r="Z221" s="1401">
        <f t="shared" si="178"/>
        <v>0</v>
      </c>
      <c r="AA221" s="1401"/>
      <c r="AB221" s="1401">
        <f t="shared" si="180"/>
        <v>29600538.260000002</v>
      </c>
      <c r="AC221" s="1401">
        <f t="shared" si="181"/>
        <v>29600538.260000002</v>
      </c>
      <c r="AD221" s="1479">
        <f t="shared" si="182"/>
        <v>29600538.260000002</v>
      </c>
      <c r="AE221" s="1479">
        <f t="shared" si="183"/>
        <v>29600538.260000002</v>
      </c>
      <c r="AF221" s="1479">
        <f t="shared" si="184"/>
        <v>29600538.260000002</v>
      </c>
      <c r="AG221" s="1479">
        <f>SUM(Z221:AF221)</f>
        <v>148002691.30000001</v>
      </c>
      <c r="AH221" s="1646">
        <f t="shared" si="161"/>
        <v>1332024221.7</v>
      </c>
    </row>
    <row r="222" spans="1:34" s="1390" customFormat="1" ht="40.5" customHeight="1" x14ac:dyDescent="0.2">
      <c r="A222" s="1391"/>
      <c r="B222" s="1477"/>
      <c r="C222" s="1660">
        <v>210</v>
      </c>
      <c r="D222" s="1455" t="s">
        <v>2810</v>
      </c>
      <c r="E222" s="1501" t="s">
        <v>1752</v>
      </c>
      <c r="F222" s="1501"/>
      <c r="G222" s="1416"/>
      <c r="H222" s="1416"/>
      <c r="I222" s="1414"/>
      <c r="J222" s="1416"/>
      <c r="K222" s="1455" t="s">
        <v>2956</v>
      </c>
      <c r="L222" s="1416">
        <v>2015</v>
      </c>
      <c r="M222" s="1429"/>
      <c r="N222" s="1501"/>
      <c r="O222" s="1416"/>
      <c r="P222" s="1414"/>
      <c r="Q222" s="1501" t="s">
        <v>12</v>
      </c>
      <c r="R222" s="1539">
        <v>437954000</v>
      </c>
      <c r="S222" s="1661"/>
      <c r="T222" s="1490"/>
      <c r="U222" s="1645" t="str">
        <f t="shared" si="186"/>
        <v>03.11.01</v>
      </c>
      <c r="V222" s="1478" t="str">
        <f t="shared" si="163"/>
        <v>Bangunan Gedung Tempat Kerja</v>
      </c>
      <c r="W222" s="1478">
        <f t="shared" si="164"/>
        <v>50</v>
      </c>
      <c r="X222" s="1401">
        <f t="shared" ref="X222:X234" si="187">R222/W222</f>
        <v>8759080</v>
      </c>
      <c r="Y222" s="1629">
        <f t="shared" si="177"/>
        <v>0</v>
      </c>
      <c r="Z222" s="1401">
        <f t="shared" si="178"/>
        <v>0</v>
      </c>
      <c r="AA222" s="1401"/>
      <c r="AB222" s="1401">
        <f t="shared" si="180"/>
        <v>8759080</v>
      </c>
      <c r="AC222" s="1401">
        <f t="shared" si="181"/>
        <v>8759080</v>
      </c>
      <c r="AD222" s="1479">
        <f t="shared" si="182"/>
        <v>8759080</v>
      </c>
      <c r="AE222" s="1479">
        <f t="shared" si="183"/>
        <v>8759080</v>
      </c>
      <c r="AF222" s="1479">
        <f t="shared" si="184"/>
        <v>8759080</v>
      </c>
      <c r="AG222" s="1479">
        <f t="shared" ref="AG222:AG234" si="188">SUM(Z222:AF222)</f>
        <v>43795400</v>
      </c>
      <c r="AH222" s="1646">
        <f t="shared" si="161"/>
        <v>394158600</v>
      </c>
    </row>
    <row r="223" spans="1:34" s="1390" customFormat="1" ht="40.5" customHeight="1" x14ac:dyDescent="0.2">
      <c r="A223" s="1391"/>
      <c r="B223" s="1477"/>
      <c r="C223" s="1660">
        <v>211</v>
      </c>
      <c r="D223" s="1455" t="s">
        <v>2811</v>
      </c>
      <c r="E223" s="1501" t="s">
        <v>1752</v>
      </c>
      <c r="F223" s="1501"/>
      <c r="G223" s="1416"/>
      <c r="H223" s="1416"/>
      <c r="I223" s="1414"/>
      <c r="J223" s="1416"/>
      <c r="K223" s="1455" t="s">
        <v>2957</v>
      </c>
      <c r="L223" s="1416">
        <v>2015</v>
      </c>
      <c r="M223" s="1429"/>
      <c r="N223" s="1501"/>
      <c r="O223" s="1416"/>
      <c r="P223" s="1414"/>
      <c r="Q223" s="1501" t="s">
        <v>12</v>
      </c>
      <c r="R223" s="1539">
        <v>1407432000</v>
      </c>
      <c r="S223" s="1661"/>
      <c r="T223" s="1490"/>
      <c r="U223" s="1645" t="str">
        <f t="shared" si="186"/>
        <v>03.11.01</v>
      </c>
      <c r="V223" s="1478" t="str">
        <f t="shared" si="163"/>
        <v>Bangunan Gedung Tempat Kerja</v>
      </c>
      <c r="W223" s="1478">
        <f t="shared" si="164"/>
        <v>50</v>
      </c>
      <c r="X223" s="1401">
        <f t="shared" si="187"/>
        <v>28148640</v>
      </c>
      <c r="Y223" s="1629">
        <f t="shared" si="177"/>
        <v>0</v>
      </c>
      <c r="Z223" s="1401">
        <f t="shared" si="178"/>
        <v>0</v>
      </c>
      <c r="AA223" s="1401"/>
      <c r="AB223" s="1401">
        <f t="shared" si="180"/>
        <v>28148640</v>
      </c>
      <c r="AC223" s="1401">
        <f t="shared" si="181"/>
        <v>28148640</v>
      </c>
      <c r="AD223" s="1479">
        <f t="shared" si="182"/>
        <v>28148640</v>
      </c>
      <c r="AE223" s="1479">
        <f t="shared" si="183"/>
        <v>28148640</v>
      </c>
      <c r="AF223" s="1479">
        <f t="shared" si="184"/>
        <v>28148640</v>
      </c>
      <c r="AG223" s="1479">
        <f t="shared" si="188"/>
        <v>140743200</v>
      </c>
      <c r="AH223" s="1646">
        <f t="shared" si="161"/>
        <v>1266688800</v>
      </c>
    </row>
    <row r="224" spans="1:34" s="1390" customFormat="1" ht="40.5" customHeight="1" x14ac:dyDescent="0.2">
      <c r="A224" s="1391"/>
      <c r="B224" s="1477"/>
      <c r="C224" s="1660">
        <v>212</v>
      </c>
      <c r="D224" s="1455" t="s">
        <v>2812</v>
      </c>
      <c r="E224" s="1501" t="s">
        <v>5761</v>
      </c>
      <c r="F224" s="1501"/>
      <c r="G224" s="1416"/>
      <c r="H224" s="1416"/>
      <c r="I224" s="1414"/>
      <c r="J224" s="1416"/>
      <c r="K224" s="1455" t="s">
        <v>2614</v>
      </c>
      <c r="L224" s="1416">
        <v>2015</v>
      </c>
      <c r="M224" s="1429"/>
      <c r="N224" s="1501"/>
      <c r="O224" s="1416"/>
      <c r="P224" s="1414"/>
      <c r="Q224" s="1501" t="s">
        <v>12</v>
      </c>
      <c r="R224" s="1539">
        <v>200800000</v>
      </c>
      <c r="S224" s="1661"/>
      <c r="T224" s="1490"/>
      <c r="U224" s="1645" t="str">
        <f t="shared" si="186"/>
        <v>03.11.02</v>
      </c>
      <c r="V224" s="1478" t="str">
        <f t="shared" si="163"/>
        <v>Bangunan Gedung Tempat Tinggal</v>
      </c>
      <c r="W224" s="1478">
        <f t="shared" si="164"/>
        <v>50</v>
      </c>
      <c r="X224" s="1401">
        <f t="shared" si="187"/>
        <v>4016000</v>
      </c>
      <c r="Y224" s="1629">
        <f t="shared" si="177"/>
        <v>0</v>
      </c>
      <c r="Z224" s="1401">
        <f t="shared" si="178"/>
        <v>0</v>
      </c>
      <c r="AA224" s="1401"/>
      <c r="AB224" s="1401">
        <f t="shared" si="180"/>
        <v>4016000</v>
      </c>
      <c r="AC224" s="1401">
        <f t="shared" si="181"/>
        <v>4016000</v>
      </c>
      <c r="AD224" s="1479">
        <f t="shared" si="182"/>
        <v>4016000</v>
      </c>
      <c r="AE224" s="1479">
        <f t="shared" si="183"/>
        <v>4016000</v>
      </c>
      <c r="AF224" s="1479">
        <f t="shared" si="184"/>
        <v>4016000</v>
      </c>
      <c r="AG224" s="1479">
        <f t="shared" si="188"/>
        <v>20080000</v>
      </c>
      <c r="AH224" s="1646">
        <f t="shared" si="161"/>
        <v>180720000</v>
      </c>
    </row>
    <row r="225" spans="1:36" s="1390" customFormat="1" ht="40.5" customHeight="1" x14ac:dyDescent="0.2">
      <c r="A225" s="1391"/>
      <c r="B225" s="1477"/>
      <c r="C225" s="1660">
        <v>213</v>
      </c>
      <c r="D225" s="1455" t="s">
        <v>5803</v>
      </c>
      <c r="E225" s="1501" t="s">
        <v>1752</v>
      </c>
      <c r="F225" s="1501"/>
      <c r="G225" s="1416"/>
      <c r="H225" s="1416"/>
      <c r="I225" s="1414"/>
      <c r="J225" s="1416"/>
      <c r="K225" s="1455" t="s">
        <v>2958</v>
      </c>
      <c r="L225" s="1416">
        <v>2015</v>
      </c>
      <c r="M225" s="1429"/>
      <c r="N225" s="1501"/>
      <c r="O225" s="1416"/>
      <c r="P225" s="1414"/>
      <c r="Q225" s="1501" t="s">
        <v>12</v>
      </c>
      <c r="R225" s="1539">
        <v>439684000</v>
      </c>
      <c r="S225" s="1661"/>
      <c r="T225" s="1490"/>
      <c r="U225" s="1645" t="str">
        <f t="shared" ref="U225:U234" si="189">LEFT(E225,8)</f>
        <v>03.11.01</v>
      </c>
      <c r="V225" s="1478" t="str">
        <f t="shared" si="163"/>
        <v>Bangunan Gedung Tempat Kerja</v>
      </c>
      <c r="W225" s="1478">
        <f t="shared" si="164"/>
        <v>50</v>
      </c>
      <c r="X225" s="1401">
        <f t="shared" si="187"/>
        <v>8793680</v>
      </c>
      <c r="Y225" s="1629">
        <f t="shared" si="177"/>
        <v>0</v>
      </c>
      <c r="Z225" s="1401">
        <f t="shared" si="178"/>
        <v>0</v>
      </c>
      <c r="AA225" s="1401"/>
      <c r="AB225" s="1401">
        <f t="shared" si="180"/>
        <v>8793680</v>
      </c>
      <c r="AC225" s="1401">
        <f t="shared" si="181"/>
        <v>8793680</v>
      </c>
      <c r="AD225" s="1479">
        <f t="shared" si="182"/>
        <v>8793680</v>
      </c>
      <c r="AE225" s="1479">
        <f t="shared" si="183"/>
        <v>8793680</v>
      </c>
      <c r="AF225" s="1479">
        <f t="shared" si="184"/>
        <v>8793680</v>
      </c>
      <c r="AG225" s="1479">
        <f t="shared" si="188"/>
        <v>43968400</v>
      </c>
      <c r="AH225" s="1646">
        <f t="shared" si="161"/>
        <v>395715600</v>
      </c>
    </row>
    <row r="226" spans="1:36" s="1390" customFormat="1" ht="40.5" customHeight="1" x14ac:dyDescent="0.2">
      <c r="A226" s="1391"/>
      <c r="B226" s="1477"/>
      <c r="C226" s="1660">
        <v>214</v>
      </c>
      <c r="D226" s="1455" t="s">
        <v>5804</v>
      </c>
      <c r="E226" s="1501" t="s">
        <v>1752</v>
      </c>
      <c r="F226" s="1501"/>
      <c r="G226" s="1416"/>
      <c r="H226" s="1416"/>
      <c r="I226" s="1414"/>
      <c r="J226" s="1416"/>
      <c r="K226" s="1455" t="s">
        <v>2959</v>
      </c>
      <c r="L226" s="1416">
        <v>2015</v>
      </c>
      <c r="M226" s="1429"/>
      <c r="N226" s="1501"/>
      <c r="O226" s="1416"/>
      <c r="P226" s="1414"/>
      <c r="Q226" s="1501" t="s">
        <v>12</v>
      </c>
      <c r="R226" s="1539">
        <v>428775000</v>
      </c>
      <c r="S226" s="1661"/>
      <c r="T226" s="1490"/>
      <c r="U226" s="1645" t="str">
        <f t="shared" si="189"/>
        <v>03.11.01</v>
      </c>
      <c r="V226" s="1478" t="str">
        <f t="shared" si="163"/>
        <v>Bangunan Gedung Tempat Kerja</v>
      </c>
      <c r="W226" s="1478">
        <f t="shared" si="164"/>
        <v>50</v>
      </c>
      <c r="X226" s="1401">
        <f t="shared" si="187"/>
        <v>8575500</v>
      </c>
      <c r="Y226" s="1629">
        <f t="shared" si="177"/>
        <v>0</v>
      </c>
      <c r="Z226" s="1401">
        <f t="shared" si="178"/>
        <v>0</v>
      </c>
      <c r="AA226" s="1401"/>
      <c r="AB226" s="1401">
        <f t="shared" si="180"/>
        <v>8575500</v>
      </c>
      <c r="AC226" s="1401">
        <f t="shared" si="181"/>
        <v>8575500</v>
      </c>
      <c r="AD226" s="1479">
        <f t="shared" si="182"/>
        <v>8575500</v>
      </c>
      <c r="AE226" s="1479">
        <f t="shared" si="183"/>
        <v>8575500</v>
      </c>
      <c r="AF226" s="1479">
        <f t="shared" si="184"/>
        <v>8575500</v>
      </c>
      <c r="AG226" s="1479">
        <f t="shared" si="188"/>
        <v>42877500</v>
      </c>
      <c r="AH226" s="1646">
        <f t="shared" si="161"/>
        <v>385897500</v>
      </c>
    </row>
    <row r="227" spans="1:36" s="1390" customFormat="1" ht="40.5" customHeight="1" x14ac:dyDescent="0.2">
      <c r="A227" s="1391"/>
      <c r="B227" s="1477"/>
      <c r="C227" s="1660">
        <v>215</v>
      </c>
      <c r="D227" s="1455" t="s">
        <v>5805</v>
      </c>
      <c r="E227" s="1501" t="s">
        <v>1752</v>
      </c>
      <c r="F227" s="1501"/>
      <c r="G227" s="1416"/>
      <c r="H227" s="1416"/>
      <c r="I227" s="1414"/>
      <c r="J227" s="1416"/>
      <c r="K227" s="1455" t="s">
        <v>2960</v>
      </c>
      <c r="L227" s="1416">
        <v>2015</v>
      </c>
      <c r="M227" s="1429"/>
      <c r="N227" s="1501"/>
      <c r="O227" s="1416"/>
      <c r="P227" s="1414"/>
      <c r="Q227" s="1501" t="s">
        <v>12</v>
      </c>
      <c r="R227" s="1539">
        <v>423709000</v>
      </c>
      <c r="S227" s="1661"/>
      <c r="T227" s="1490"/>
      <c r="U227" s="1645" t="str">
        <f t="shared" si="189"/>
        <v>03.11.01</v>
      </c>
      <c r="V227" s="1478" t="str">
        <f t="shared" si="163"/>
        <v>Bangunan Gedung Tempat Kerja</v>
      </c>
      <c r="W227" s="1478">
        <f t="shared" si="164"/>
        <v>50</v>
      </c>
      <c r="X227" s="1401">
        <f t="shared" si="187"/>
        <v>8474180</v>
      </c>
      <c r="Y227" s="1629">
        <f t="shared" si="177"/>
        <v>0</v>
      </c>
      <c r="Z227" s="1401">
        <f t="shared" si="178"/>
        <v>0</v>
      </c>
      <c r="AA227" s="1401"/>
      <c r="AB227" s="1401">
        <f t="shared" si="180"/>
        <v>8474180</v>
      </c>
      <c r="AC227" s="1401">
        <f t="shared" si="181"/>
        <v>8474180</v>
      </c>
      <c r="AD227" s="1479">
        <f t="shared" si="182"/>
        <v>8474180</v>
      </c>
      <c r="AE227" s="1479">
        <f t="shared" si="183"/>
        <v>8474180</v>
      </c>
      <c r="AF227" s="1479">
        <f t="shared" si="184"/>
        <v>8474180</v>
      </c>
      <c r="AG227" s="1479">
        <f t="shared" si="188"/>
        <v>42370900</v>
      </c>
      <c r="AH227" s="1646">
        <f t="shared" si="161"/>
        <v>381338100</v>
      </c>
    </row>
    <row r="228" spans="1:36" s="1390" customFormat="1" ht="40.5" customHeight="1" x14ac:dyDescent="0.2">
      <c r="A228" s="1391"/>
      <c r="B228" s="1477"/>
      <c r="C228" s="1660">
        <v>216</v>
      </c>
      <c r="D228" s="1455" t="s">
        <v>5806</v>
      </c>
      <c r="E228" s="1501" t="s">
        <v>1752</v>
      </c>
      <c r="F228" s="1501"/>
      <c r="G228" s="1416"/>
      <c r="H228" s="1416"/>
      <c r="I228" s="1414"/>
      <c r="J228" s="1416"/>
      <c r="K228" s="1455" t="s">
        <v>2961</v>
      </c>
      <c r="L228" s="1416">
        <v>2015</v>
      </c>
      <c r="M228" s="1429"/>
      <c r="N228" s="1501"/>
      <c r="O228" s="1416"/>
      <c r="P228" s="1414"/>
      <c r="Q228" s="1501" t="s">
        <v>12</v>
      </c>
      <c r="R228" s="1539">
        <v>438658000</v>
      </c>
      <c r="S228" s="1661"/>
      <c r="T228" s="1490"/>
      <c r="U228" s="1645" t="str">
        <f t="shared" si="189"/>
        <v>03.11.01</v>
      </c>
      <c r="V228" s="1478" t="str">
        <f t="shared" si="163"/>
        <v>Bangunan Gedung Tempat Kerja</v>
      </c>
      <c r="W228" s="1478">
        <f t="shared" si="164"/>
        <v>50</v>
      </c>
      <c r="X228" s="1401">
        <f t="shared" si="187"/>
        <v>8773160</v>
      </c>
      <c r="Y228" s="1629">
        <f t="shared" si="177"/>
        <v>0</v>
      </c>
      <c r="Z228" s="1401">
        <f t="shared" si="178"/>
        <v>0</v>
      </c>
      <c r="AA228" s="1401"/>
      <c r="AB228" s="1401">
        <f t="shared" si="180"/>
        <v>8773160</v>
      </c>
      <c r="AC228" s="1401">
        <f t="shared" si="181"/>
        <v>8773160</v>
      </c>
      <c r="AD228" s="1479">
        <f t="shared" si="182"/>
        <v>8773160</v>
      </c>
      <c r="AE228" s="1479">
        <f t="shared" si="183"/>
        <v>8773160</v>
      </c>
      <c r="AF228" s="1479">
        <f t="shared" si="184"/>
        <v>8773160</v>
      </c>
      <c r="AG228" s="1479">
        <f t="shared" si="188"/>
        <v>43865800</v>
      </c>
      <c r="AH228" s="1646">
        <f t="shared" si="161"/>
        <v>394792200</v>
      </c>
    </row>
    <row r="229" spans="1:36" s="1390" customFormat="1" ht="40.5" customHeight="1" x14ac:dyDescent="0.2">
      <c r="A229" s="1391"/>
      <c r="B229" s="1477"/>
      <c r="C229" s="1660">
        <v>217</v>
      </c>
      <c r="D229" s="1455" t="s">
        <v>5807</v>
      </c>
      <c r="E229" s="1501" t="s">
        <v>1752</v>
      </c>
      <c r="F229" s="1501"/>
      <c r="G229" s="1416"/>
      <c r="H229" s="1416"/>
      <c r="I229" s="1414"/>
      <c r="J229" s="1416"/>
      <c r="K229" s="1455" t="s">
        <v>2962</v>
      </c>
      <c r="L229" s="1416">
        <v>2015</v>
      </c>
      <c r="M229" s="1429"/>
      <c r="N229" s="1501"/>
      <c r="O229" s="1416"/>
      <c r="P229" s="1414"/>
      <c r="Q229" s="1501" t="s">
        <v>12</v>
      </c>
      <c r="R229" s="1539">
        <v>447244000</v>
      </c>
      <c r="S229" s="1661"/>
      <c r="T229" s="1490"/>
      <c r="U229" s="1645" t="str">
        <f t="shared" si="189"/>
        <v>03.11.01</v>
      </c>
      <c r="V229" s="1478" t="str">
        <f t="shared" si="163"/>
        <v>Bangunan Gedung Tempat Kerja</v>
      </c>
      <c r="W229" s="1478">
        <f t="shared" si="164"/>
        <v>50</v>
      </c>
      <c r="X229" s="1401">
        <f t="shared" si="187"/>
        <v>8944880</v>
      </c>
      <c r="Y229" s="1629">
        <f t="shared" si="177"/>
        <v>0</v>
      </c>
      <c r="Z229" s="1401">
        <f t="shared" si="178"/>
        <v>0</v>
      </c>
      <c r="AA229" s="1401"/>
      <c r="AB229" s="1401">
        <f t="shared" si="180"/>
        <v>8944880</v>
      </c>
      <c r="AC229" s="1401">
        <f t="shared" si="181"/>
        <v>8944880</v>
      </c>
      <c r="AD229" s="1479">
        <f t="shared" si="182"/>
        <v>8944880</v>
      </c>
      <c r="AE229" s="1479">
        <f t="shared" si="183"/>
        <v>8944880</v>
      </c>
      <c r="AF229" s="1479">
        <f t="shared" si="184"/>
        <v>8944880</v>
      </c>
      <c r="AG229" s="1479">
        <f t="shared" si="188"/>
        <v>44724400</v>
      </c>
      <c r="AH229" s="1646">
        <f t="shared" si="161"/>
        <v>402519600</v>
      </c>
    </row>
    <row r="230" spans="1:36" s="1390" customFormat="1" ht="45" customHeight="1" x14ac:dyDescent="0.2">
      <c r="A230" s="1391"/>
      <c r="B230" s="1477"/>
      <c r="C230" s="1660">
        <v>218</v>
      </c>
      <c r="D230" s="1455" t="s">
        <v>2818</v>
      </c>
      <c r="E230" s="1501" t="s">
        <v>1752</v>
      </c>
      <c r="F230" s="1501"/>
      <c r="G230" s="1416"/>
      <c r="H230" s="1416"/>
      <c r="I230" s="1414"/>
      <c r="J230" s="1416"/>
      <c r="K230" s="1455" t="s">
        <v>2912</v>
      </c>
      <c r="L230" s="1416">
        <v>2015</v>
      </c>
      <c r="M230" s="1429"/>
      <c r="N230" s="1501"/>
      <c r="O230" s="1416"/>
      <c r="P230" s="1414"/>
      <c r="Q230" s="1501" t="s">
        <v>12</v>
      </c>
      <c r="R230" s="1539">
        <v>427675000</v>
      </c>
      <c r="S230" s="1661"/>
      <c r="T230" s="1490"/>
      <c r="U230" s="1645" t="str">
        <f t="shared" si="189"/>
        <v>03.11.01</v>
      </c>
      <c r="V230" s="1478" t="str">
        <f t="shared" si="163"/>
        <v>Bangunan Gedung Tempat Kerja</v>
      </c>
      <c r="W230" s="1478">
        <f t="shared" si="164"/>
        <v>50</v>
      </c>
      <c r="X230" s="1401">
        <f t="shared" si="187"/>
        <v>8553500</v>
      </c>
      <c r="Y230" s="1629">
        <f t="shared" si="177"/>
        <v>0</v>
      </c>
      <c r="Z230" s="1401">
        <f t="shared" si="178"/>
        <v>0</v>
      </c>
      <c r="AA230" s="1401"/>
      <c r="AB230" s="1401">
        <f t="shared" si="180"/>
        <v>8553500</v>
      </c>
      <c r="AC230" s="1401">
        <f t="shared" si="181"/>
        <v>8553500</v>
      </c>
      <c r="AD230" s="1479">
        <f t="shared" si="182"/>
        <v>8553500</v>
      </c>
      <c r="AE230" s="1479">
        <f t="shared" si="183"/>
        <v>8553500</v>
      </c>
      <c r="AF230" s="1479">
        <f t="shared" si="184"/>
        <v>8553500</v>
      </c>
      <c r="AG230" s="1479">
        <f t="shared" si="188"/>
        <v>42767500</v>
      </c>
      <c r="AH230" s="1646">
        <f t="shared" si="161"/>
        <v>384907500</v>
      </c>
    </row>
    <row r="231" spans="1:36" s="1390" customFormat="1" ht="60.75" customHeight="1" x14ac:dyDescent="0.2">
      <c r="A231" s="1391">
        <v>43</v>
      </c>
      <c r="B231" s="1477" t="s">
        <v>2999</v>
      </c>
      <c r="C231" s="1660">
        <v>219</v>
      </c>
      <c r="D231" s="1455" t="s">
        <v>2819</v>
      </c>
      <c r="E231" s="1501" t="s">
        <v>5761</v>
      </c>
      <c r="F231" s="1501"/>
      <c r="G231" s="1416"/>
      <c r="H231" s="1416"/>
      <c r="I231" s="1414"/>
      <c r="J231" s="1416"/>
      <c r="K231" s="1455" t="s">
        <v>1094</v>
      </c>
      <c r="L231" s="1416">
        <v>2015</v>
      </c>
      <c r="M231" s="1429"/>
      <c r="N231" s="1501"/>
      <c r="O231" s="1416"/>
      <c r="P231" s="1414"/>
      <c r="Q231" s="1501" t="s">
        <v>12</v>
      </c>
      <c r="R231" s="1539">
        <v>838730000</v>
      </c>
      <c r="S231" s="1661"/>
      <c r="T231" s="1490"/>
      <c r="U231" s="1645" t="str">
        <f t="shared" si="189"/>
        <v>03.11.02</v>
      </c>
      <c r="V231" s="1478" t="str">
        <f t="shared" si="163"/>
        <v>Bangunan Gedung Tempat Tinggal</v>
      </c>
      <c r="W231" s="1478">
        <f t="shared" si="164"/>
        <v>50</v>
      </c>
      <c r="X231" s="1401">
        <f t="shared" si="187"/>
        <v>16774600</v>
      </c>
      <c r="Y231" s="1629">
        <f t="shared" si="177"/>
        <v>0</v>
      </c>
      <c r="Z231" s="1401">
        <f t="shared" si="178"/>
        <v>0</v>
      </c>
      <c r="AA231" s="1401"/>
      <c r="AB231" s="1401">
        <f t="shared" si="180"/>
        <v>16774600</v>
      </c>
      <c r="AC231" s="1401">
        <f t="shared" si="181"/>
        <v>16774600</v>
      </c>
      <c r="AD231" s="1479">
        <f t="shared" si="182"/>
        <v>16774600</v>
      </c>
      <c r="AE231" s="1479">
        <f t="shared" si="183"/>
        <v>16774600</v>
      </c>
      <c r="AF231" s="1479">
        <f t="shared" si="184"/>
        <v>16774600</v>
      </c>
      <c r="AG231" s="1479">
        <f t="shared" si="188"/>
        <v>83873000</v>
      </c>
      <c r="AH231" s="1646">
        <f t="shared" si="161"/>
        <v>754857000</v>
      </c>
    </row>
    <row r="232" spans="1:36" s="1390" customFormat="1" ht="55.5" customHeight="1" x14ac:dyDescent="0.2">
      <c r="A232" s="1391">
        <v>43</v>
      </c>
      <c r="B232" s="1477" t="s">
        <v>2999</v>
      </c>
      <c r="C232" s="1660">
        <v>220</v>
      </c>
      <c r="D232" s="1455" t="s">
        <v>2819</v>
      </c>
      <c r="E232" s="1501" t="s">
        <v>5761</v>
      </c>
      <c r="F232" s="1501"/>
      <c r="G232" s="1416"/>
      <c r="H232" s="1416"/>
      <c r="I232" s="1414"/>
      <c r="J232" s="1416"/>
      <c r="K232" s="1455" t="s">
        <v>1094</v>
      </c>
      <c r="L232" s="1416">
        <v>2015</v>
      </c>
      <c r="M232" s="1429"/>
      <c r="N232" s="1501"/>
      <c r="O232" s="1416"/>
      <c r="P232" s="1414"/>
      <c r="Q232" s="1501" t="s">
        <v>12</v>
      </c>
      <c r="R232" s="1539">
        <v>840750500</v>
      </c>
      <c r="S232" s="1661"/>
      <c r="T232" s="1490"/>
      <c r="U232" s="1645" t="str">
        <f t="shared" si="189"/>
        <v>03.11.02</v>
      </c>
      <c r="V232" s="1478" t="str">
        <f t="shared" si="163"/>
        <v>Bangunan Gedung Tempat Tinggal</v>
      </c>
      <c r="W232" s="1478">
        <f t="shared" si="164"/>
        <v>50</v>
      </c>
      <c r="X232" s="1401">
        <f t="shared" si="187"/>
        <v>16815010</v>
      </c>
      <c r="Y232" s="1629">
        <f t="shared" si="177"/>
        <v>0</v>
      </c>
      <c r="Z232" s="1401">
        <f t="shared" si="178"/>
        <v>0</v>
      </c>
      <c r="AA232" s="1401"/>
      <c r="AB232" s="1401">
        <f t="shared" si="180"/>
        <v>16815010</v>
      </c>
      <c r="AC232" s="1401">
        <f t="shared" si="181"/>
        <v>16815010</v>
      </c>
      <c r="AD232" s="1479">
        <f t="shared" si="182"/>
        <v>16815010</v>
      </c>
      <c r="AE232" s="1479">
        <f t="shared" si="183"/>
        <v>16815010</v>
      </c>
      <c r="AF232" s="1479">
        <f t="shared" si="184"/>
        <v>16815010</v>
      </c>
      <c r="AG232" s="1479">
        <f t="shared" si="188"/>
        <v>84075050</v>
      </c>
      <c r="AH232" s="1646">
        <f t="shared" si="161"/>
        <v>756675450</v>
      </c>
    </row>
    <row r="233" spans="1:36" s="1390" customFormat="1" ht="40.5" customHeight="1" x14ac:dyDescent="0.2">
      <c r="A233" s="1391"/>
      <c r="B233" s="1477"/>
      <c r="C233" s="1660">
        <v>221</v>
      </c>
      <c r="D233" s="1455" t="s">
        <v>5808</v>
      </c>
      <c r="E233" s="1501" t="s">
        <v>1752</v>
      </c>
      <c r="F233" s="1501"/>
      <c r="G233" s="1416"/>
      <c r="H233" s="1416"/>
      <c r="I233" s="1414"/>
      <c r="J233" s="1416"/>
      <c r="K233" s="1455" t="s">
        <v>2963</v>
      </c>
      <c r="L233" s="1416">
        <v>2015</v>
      </c>
      <c r="M233" s="1429"/>
      <c r="N233" s="1501"/>
      <c r="O233" s="1416"/>
      <c r="P233" s="1414"/>
      <c r="Q233" s="1501" t="s">
        <v>12</v>
      </c>
      <c r="R233" s="1539">
        <v>424801000</v>
      </c>
      <c r="S233" s="1661"/>
      <c r="T233" s="1490"/>
      <c r="U233" s="1645" t="str">
        <f t="shared" si="189"/>
        <v>03.11.01</v>
      </c>
      <c r="V233" s="1478" t="str">
        <f t="shared" si="163"/>
        <v>Bangunan Gedung Tempat Kerja</v>
      </c>
      <c r="W233" s="1478">
        <f t="shared" si="164"/>
        <v>50</v>
      </c>
      <c r="X233" s="1401">
        <f t="shared" si="187"/>
        <v>8496020</v>
      </c>
      <c r="Y233" s="1629">
        <f t="shared" si="177"/>
        <v>0</v>
      </c>
      <c r="Z233" s="1401">
        <f t="shared" si="178"/>
        <v>0</v>
      </c>
      <c r="AA233" s="1401"/>
      <c r="AB233" s="1401">
        <f t="shared" si="180"/>
        <v>8496020</v>
      </c>
      <c r="AC233" s="1401">
        <f t="shared" si="181"/>
        <v>8496020</v>
      </c>
      <c r="AD233" s="1479">
        <f t="shared" si="182"/>
        <v>8496020</v>
      </c>
      <c r="AE233" s="1479">
        <f t="shared" si="183"/>
        <v>8496020</v>
      </c>
      <c r="AF233" s="1479">
        <f t="shared" si="184"/>
        <v>8496020</v>
      </c>
      <c r="AG233" s="1479">
        <f t="shared" si="188"/>
        <v>42480100</v>
      </c>
      <c r="AH233" s="1646">
        <f t="shared" si="161"/>
        <v>382320900</v>
      </c>
    </row>
    <row r="234" spans="1:36" s="1390" customFormat="1" ht="40.5" customHeight="1" x14ac:dyDescent="0.2">
      <c r="A234" s="1391"/>
      <c r="B234" s="1477"/>
      <c r="C234" s="1660">
        <v>222</v>
      </c>
      <c r="D234" s="1455" t="s">
        <v>5809</v>
      </c>
      <c r="E234" s="1501" t="s">
        <v>1752</v>
      </c>
      <c r="F234" s="1501"/>
      <c r="G234" s="1416"/>
      <c r="H234" s="1416"/>
      <c r="I234" s="1414"/>
      <c r="J234" s="1416"/>
      <c r="K234" s="1455" t="s">
        <v>2964</v>
      </c>
      <c r="L234" s="1416">
        <v>2015</v>
      </c>
      <c r="M234" s="1429"/>
      <c r="N234" s="1501"/>
      <c r="O234" s="1416"/>
      <c r="P234" s="1414"/>
      <c r="Q234" s="1501" t="s">
        <v>12</v>
      </c>
      <c r="R234" s="1539">
        <v>434794000</v>
      </c>
      <c r="S234" s="1661"/>
      <c r="T234" s="1490"/>
      <c r="U234" s="1645" t="str">
        <f t="shared" si="189"/>
        <v>03.11.01</v>
      </c>
      <c r="V234" s="1478" t="str">
        <f t="shared" si="163"/>
        <v>Bangunan Gedung Tempat Kerja</v>
      </c>
      <c r="W234" s="1478">
        <f t="shared" si="164"/>
        <v>50</v>
      </c>
      <c r="X234" s="1401">
        <f t="shared" si="187"/>
        <v>8695880</v>
      </c>
      <c r="Y234" s="1629">
        <f t="shared" si="177"/>
        <v>0</v>
      </c>
      <c r="Z234" s="1401">
        <f t="shared" si="178"/>
        <v>0</v>
      </c>
      <c r="AA234" s="1401"/>
      <c r="AB234" s="1401">
        <f t="shared" si="180"/>
        <v>8695880</v>
      </c>
      <c r="AC234" s="1401">
        <f t="shared" si="181"/>
        <v>8695880</v>
      </c>
      <c r="AD234" s="1479">
        <f t="shared" si="182"/>
        <v>8695880</v>
      </c>
      <c r="AE234" s="1479">
        <f t="shared" si="183"/>
        <v>8695880</v>
      </c>
      <c r="AF234" s="1479">
        <f t="shared" si="184"/>
        <v>8695880</v>
      </c>
      <c r="AG234" s="1479">
        <f t="shared" si="188"/>
        <v>43479400</v>
      </c>
      <c r="AH234" s="1646">
        <f t="shared" si="161"/>
        <v>391314600</v>
      </c>
    </row>
    <row r="235" spans="1:36" s="1390" customFormat="1" ht="48" customHeight="1" x14ac:dyDescent="0.2">
      <c r="A235" s="1391">
        <v>43</v>
      </c>
      <c r="B235" s="1477" t="s">
        <v>4233</v>
      </c>
      <c r="C235" s="1660">
        <v>223</v>
      </c>
      <c r="D235" s="1455" t="s">
        <v>5779</v>
      </c>
      <c r="E235" s="1501" t="s">
        <v>2613</v>
      </c>
      <c r="F235" s="1501"/>
      <c r="G235" s="1416"/>
      <c r="H235" s="1416"/>
      <c r="I235" s="1414"/>
      <c r="J235" s="1416"/>
      <c r="K235" s="1455" t="s">
        <v>2614</v>
      </c>
      <c r="L235" s="1416">
        <v>2014</v>
      </c>
      <c r="M235" s="1429" t="s">
        <v>2255</v>
      </c>
      <c r="N235" s="1501"/>
      <c r="O235" s="1416"/>
      <c r="P235" s="1414"/>
      <c r="Q235" s="1501" t="s">
        <v>2251</v>
      </c>
      <c r="R235" s="1539">
        <v>6779278500</v>
      </c>
      <c r="S235" s="1661"/>
      <c r="T235" s="1490"/>
      <c r="U235" s="1522" t="str">
        <f t="shared" ref="U235:U241" si="190">LEFT(E235,8)</f>
        <v>03.11.01</v>
      </c>
      <c r="V235" s="1478" t="str">
        <f t="shared" si="163"/>
        <v>Bangunan Gedung Tempat Kerja</v>
      </c>
      <c r="W235" s="1478">
        <f t="shared" si="164"/>
        <v>50</v>
      </c>
      <c r="X235" s="1401"/>
      <c r="Y235" s="1629"/>
      <c r="Z235" s="1401"/>
      <c r="AA235" s="1479">
        <f>SUMIF('PERHITUNGAN (C)'!$A:$A,'KIB C'!B235&amp;'KIB C'!$AA$7,'PERHITUNGAN (C)'!$U:$U)</f>
        <v>60473202</v>
      </c>
      <c r="AB235" s="1479">
        <f>SUMIF('PERHITUNGAN (C)'!$A:$A,'KIB C'!B235&amp;'KIB C'!$AB$7,'PERHITUNGAN (C)'!$U:$U)</f>
        <v>60473202</v>
      </c>
      <c r="AC235" s="1479">
        <f>SUMIF('PERHITUNGAN (C)'!$A:$A,'KIB C'!B235&amp;'KIB C'!$AC$7,'PERHITUNGAN (C)'!$U:$U)</f>
        <v>60473202</v>
      </c>
      <c r="AD235" s="1479">
        <f>SUMIF('PERHITUNGAN (C)'!$A:$A,'KIB C'!B235&amp;'KIB C'!$AD$7,'PERHITUNGAN (C)'!$U:$U)</f>
        <v>60473202</v>
      </c>
      <c r="AE235" s="1479">
        <f>SUMIF('PERHITUNGAN (C)'!$A:$A,'KIB C'!B235&amp;'KIB C'!$AE$7,'PERHITUNGAN (C)'!$U:$U)</f>
        <v>130747713.84</v>
      </c>
      <c r="AF235" s="1479">
        <f>SUMIF('PERHITUNGAN (C)'!$A:$A,'KIB C'!B235&amp;'KIB C'!$AF$7,'PERHITUNGAN (C)'!$U:$U)</f>
        <v>130747713.84</v>
      </c>
      <c r="AG235" s="1479">
        <f t="shared" ref="AG235:AG243" si="191">SUM(Z235:AF235)</f>
        <v>503388235.68000007</v>
      </c>
      <c r="AH235" s="1646">
        <f t="shared" si="161"/>
        <v>6275890264.3199997</v>
      </c>
      <c r="AJ235" s="1443">
        <f>SUM(Z235:AE235)</f>
        <v>372640521.84000003</v>
      </c>
    </row>
    <row r="236" spans="1:36" s="1390" customFormat="1" ht="48" customHeight="1" x14ac:dyDescent="0.2">
      <c r="A236" s="1391"/>
      <c r="B236" s="1477"/>
      <c r="C236" s="1660">
        <v>224</v>
      </c>
      <c r="D236" s="1455" t="s">
        <v>2823</v>
      </c>
      <c r="E236" s="1501" t="s">
        <v>2844</v>
      </c>
      <c r="F236" s="1501"/>
      <c r="G236" s="1416"/>
      <c r="H236" s="1416"/>
      <c r="I236" s="1414"/>
      <c r="J236" s="1416"/>
      <c r="K236" s="1455" t="s">
        <v>2957</v>
      </c>
      <c r="L236" s="1416">
        <v>2016</v>
      </c>
      <c r="M236" s="1429"/>
      <c r="N236" s="1501"/>
      <c r="O236" s="1416"/>
      <c r="P236" s="1414"/>
      <c r="Q236" s="1501" t="s">
        <v>2251</v>
      </c>
      <c r="R236" s="1539">
        <v>555684800</v>
      </c>
      <c r="S236" s="1661" t="s">
        <v>2823</v>
      </c>
      <c r="T236" s="1490"/>
      <c r="U236" s="1645" t="str">
        <f t="shared" si="190"/>
        <v>03.11.01</v>
      </c>
      <c r="V236" s="1478" t="str">
        <f t="shared" si="163"/>
        <v>Bangunan Gedung Tempat Kerja</v>
      </c>
      <c r="W236" s="1478">
        <f t="shared" si="164"/>
        <v>50</v>
      </c>
      <c r="X236" s="1401">
        <f t="shared" ref="X236:X242" si="192">R236/W236</f>
        <v>11113696</v>
      </c>
      <c r="Y236" s="1629">
        <f t="shared" ref="Y236:Y243" si="193">IF(2013-L236+1&gt;W236,W236,IF(2013-L236+1&lt;0,0,2013-L236+1))</f>
        <v>0</v>
      </c>
      <c r="Z236" s="1401">
        <f t="shared" ref="Z236:Z242" si="194">IF(Y236&gt;W236,R236,X236*Y236)</f>
        <v>0</v>
      </c>
      <c r="AA236" s="1401"/>
      <c r="AB236" s="1401"/>
      <c r="AC236" s="1401">
        <f>IF(R236=Z236+AA236+AB236,0,X236)</f>
        <v>11113696</v>
      </c>
      <c r="AD236" s="1479">
        <f t="shared" ref="AD236:AD242" si="195">IF(R236=Z236+AA236+AB236+AC236,0,X236)</f>
        <v>11113696</v>
      </c>
      <c r="AE236" s="1479">
        <f t="shared" ref="AE236:AE242" si="196">IF(R236=Z236+AA236+AB236+AC236+AD236,0,X236)</f>
        <v>11113696</v>
      </c>
      <c r="AF236" s="1479">
        <f t="shared" ref="AF236:AF243" si="197">IF(R236=Z236+AA236+AB236+AC236+AD236+AE236,0,X236)</f>
        <v>11113696</v>
      </c>
      <c r="AG236" s="1479">
        <f t="shared" si="191"/>
        <v>44454784</v>
      </c>
      <c r="AH236" s="1646">
        <f t="shared" ref="AH236:AH242" si="198">R236-AG236</f>
        <v>511230016</v>
      </c>
    </row>
    <row r="237" spans="1:36" s="1390" customFormat="1" ht="48" customHeight="1" x14ac:dyDescent="0.2">
      <c r="A237" s="1391"/>
      <c r="B237" s="1477"/>
      <c r="C237" s="1660">
        <v>225</v>
      </c>
      <c r="D237" s="1455" t="s">
        <v>2824</v>
      </c>
      <c r="E237" s="1501" t="s">
        <v>1752</v>
      </c>
      <c r="F237" s="1501"/>
      <c r="G237" s="1416"/>
      <c r="H237" s="1416"/>
      <c r="I237" s="1414"/>
      <c r="J237" s="1416"/>
      <c r="K237" s="1455" t="s">
        <v>2965</v>
      </c>
      <c r="L237" s="1416">
        <v>2016</v>
      </c>
      <c r="M237" s="1429" t="s">
        <v>2259</v>
      </c>
      <c r="N237" s="1501"/>
      <c r="O237" s="1416" t="s">
        <v>2260</v>
      </c>
      <c r="P237" s="1414"/>
      <c r="Q237" s="1501" t="s">
        <v>2251</v>
      </c>
      <c r="R237" s="1539">
        <v>596755000</v>
      </c>
      <c r="S237" s="1661"/>
      <c r="T237" s="1490"/>
      <c r="U237" s="1645" t="str">
        <f t="shared" si="190"/>
        <v>03.11.01</v>
      </c>
      <c r="V237" s="1478" t="str">
        <f t="shared" si="163"/>
        <v>Bangunan Gedung Tempat Kerja</v>
      </c>
      <c r="W237" s="1478">
        <f t="shared" si="164"/>
        <v>50</v>
      </c>
      <c r="X237" s="1401">
        <f t="shared" si="192"/>
        <v>11935100</v>
      </c>
      <c r="Y237" s="1629">
        <f t="shared" si="193"/>
        <v>0</v>
      </c>
      <c r="Z237" s="1401">
        <f t="shared" si="194"/>
        <v>0</v>
      </c>
      <c r="AA237" s="1401"/>
      <c r="AB237" s="1401"/>
      <c r="AC237" s="1401">
        <f>IF(R237=Z237+AA237+AB237,0,X237)</f>
        <v>11935100</v>
      </c>
      <c r="AD237" s="1479">
        <f t="shared" si="195"/>
        <v>11935100</v>
      </c>
      <c r="AE237" s="1479">
        <f t="shared" si="196"/>
        <v>11935100</v>
      </c>
      <c r="AF237" s="1479">
        <f t="shared" si="197"/>
        <v>11935100</v>
      </c>
      <c r="AG237" s="1479">
        <f t="shared" si="191"/>
        <v>47740400</v>
      </c>
      <c r="AH237" s="1646">
        <f t="shared" si="198"/>
        <v>549014600</v>
      </c>
    </row>
    <row r="238" spans="1:36" s="1390" customFormat="1" ht="48" customHeight="1" x14ac:dyDescent="0.2">
      <c r="A238" s="1391"/>
      <c r="B238" s="1477"/>
      <c r="C238" s="1660">
        <v>226</v>
      </c>
      <c r="D238" s="1455" t="s">
        <v>2825</v>
      </c>
      <c r="E238" s="1501" t="s">
        <v>5761</v>
      </c>
      <c r="F238" s="1501"/>
      <c r="G238" s="1416"/>
      <c r="H238" s="1416"/>
      <c r="I238" s="1414"/>
      <c r="J238" s="1416"/>
      <c r="K238" s="1455" t="s">
        <v>2944</v>
      </c>
      <c r="L238" s="1416">
        <v>2016</v>
      </c>
      <c r="M238" s="1429" t="s">
        <v>2262</v>
      </c>
      <c r="N238" s="1501"/>
      <c r="O238" s="1416" t="s">
        <v>2260</v>
      </c>
      <c r="P238" s="1414"/>
      <c r="Q238" s="1501" t="s">
        <v>2251</v>
      </c>
      <c r="R238" s="1539">
        <v>343212000</v>
      </c>
      <c r="S238" s="1661"/>
      <c r="T238" s="1490"/>
      <c r="U238" s="1645" t="str">
        <f t="shared" si="190"/>
        <v>03.11.02</v>
      </c>
      <c r="V238" s="1478" t="str">
        <f t="shared" si="163"/>
        <v>Bangunan Gedung Tempat Tinggal</v>
      </c>
      <c r="W238" s="1478">
        <f t="shared" si="164"/>
        <v>50</v>
      </c>
      <c r="X238" s="1401">
        <f t="shared" si="192"/>
        <v>6864240</v>
      </c>
      <c r="Y238" s="1629">
        <f t="shared" si="193"/>
        <v>0</v>
      </c>
      <c r="Z238" s="1401">
        <f t="shared" si="194"/>
        <v>0</v>
      </c>
      <c r="AA238" s="1401"/>
      <c r="AB238" s="1401"/>
      <c r="AC238" s="1401">
        <f>IF(R238=Z238+AA238+AB238,0,X238)</f>
        <v>6864240</v>
      </c>
      <c r="AD238" s="1479">
        <f t="shared" si="195"/>
        <v>6864240</v>
      </c>
      <c r="AE238" s="1479">
        <f t="shared" si="196"/>
        <v>6864240</v>
      </c>
      <c r="AF238" s="1479">
        <f t="shared" si="197"/>
        <v>6864240</v>
      </c>
      <c r="AG238" s="1479">
        <f t="shared" si="191"/>
        <v>27456960</v>
      </c>
      <c r="AH238" s="1646">
        <f t="shared" si="198"/>
        <v>315755040</v>
      </c>
    </row>
    <row r="239" spans="1:36" s="1390" customFormat="1" ht="48" customHeight="1" x14ac:dyDescent="0.2">
      <c r="A239" s="1391"/>
      <c r="B239" s="1477"/>
      <c r="C239" s="1660">
        <v>227</v>
      </c>
      <c r="D239" s="1455" t="s">
        <v>2826</v>
      </c>
      <c r="E239" s="1501" t="s">
        <v>2843</v>
      </c>
      <c r="F239" s="1501"/>
      <c r="G239" s="1416"/>
      <c r="H239" s="1416"/>
      <c r="I239" s="1414"/>
      <c r="J239" s="1416"/>
      <c r="K239" s="1455" t="s">
        <v>2952</v>
      </c>
      <c r="L239" s="1416">
        <v>2016</v>
      </c>
      <c r="M239" s="1429" t="s">
        <v>2264</v>
      </c>
      <c r="N239" s="1501"/>
      <c r="O239" s="1416" t="s">
        <v>2260</v>
      </c>
      <c r="P239" s="1414"/>
      <c r="Q239" s="1501" t="s">
        <v>2251</v>
      </c>
      <c r="R239" s="1539">
        <v>1385448000</v>
      </c>
      <c r="S239" s="1661"/>
      <c r="T239" s="1490"/>
      <c r="U239" s="1645" t="str">
        <f t="shared" si="190"/>
        <v>03.11.01</v>
      </c>
      <c r="V239" s="1478" t="str">
        <f t="shared" si="163"/>
        <v>Bangunan Gedung Tempat Kerja</v>
      </c>
      <c r="W239" s="1478">
        <f t="shared" si="164"/>
        <v>50</v>
      </c>
      <c r="X239" s="1401">
        <f t="shared" si="192"/>
        <v>27708960</v>
      </c>
      <c r="Y239" s="1629">
        <f t="shared" si="193"/>
        <v>0</v>
      </c>
      <c r="Z239" s="1401">
        <f t="shared" si="194"/>
        <v>0</v>
      </c>
      <c r="AA239" s="1401"/>
      <c r="AB239" s="1401"/>
      <c r="AC239" s="1401">
        <f>IF(R239=Z239+AA239+AB239,0,X239)</f>
        <v>27708960</v>
      </c>
      <c r="AD239" s="1479">
        <f t="shared" si="195"/>
        <v>27708960</v>
      </c>
      <c r="AE239" s="1479">
        <f t="shared" si="196"/>
        <v>27708960</v>
      </c>
      <c r="AF239" s="1479">
        <f t="shared" si="197"/>
        <v>27708960</v>
      </c>
      <c r="AG239" s="1479">
        <f t="shared" si="191"/>
        <v>110835840</v>
      </c>
      <c r="AH239" s="1646">
        <f t="shared" si="198"/>
        <v>1274612160</v>
      </c>
    </row>
    <row r="240" spans="1:36" s="1390" customFormat="1" ht="40.5" customHeight="1" x14ac:dyDescent="0.2">
      <c r="A240" s="1391"/>
      <c r="B240" s="1477"/>
      <c r="C240" s="1660">
        <v>228</v>
      </c>
      <c r="D240" s="1540" t="s">
        <v>3029</v>
      </c>
      <c r="E240" s="1501" t="s">
        <v>1752</v>
      </c>
      <c r="F240" s="1501"/>
      <c r="G240" s="1416"/>
      <c r="H240" s="1416"/>
      <c r="I240" s="1414"/>
      <c r="J240" s="1416"/>
      <c r="K240" s="1455" t="s">
        <v>456</v>
      </c>
      <c r="L240" s="1416">
        <v>2017</v>
      </c>
      <c r="M240" s="1429"/>
      <c r="N240" s="1501"/>
      <c r="O240" s="1416"/>
      <c r="P240" s="1414"/>
      <c r="Q240" s="1501" t="s">
        <v>12</v>
      </c>
      <c r="R240" s="1539">
        <v>589475000</v>
      </c>
      <c r="S240" s="1661" t="s">
        <v>2849</v>
      </c>
      <c r="T240" s="1490"/>
      <c r="U240" s="1645" t="str">
        <f t="shared" si="190"/>
        <v>03.11.01</v>
      </c>
      <c r="V240" s="1478" t="str">
        <f t="shared" si="163"/>
        <v>Bangunan Gedung Tempat Kerja</v>
      </c>
      <c r="W240" s="1478">
        <f t="shared" si="164"/>
        <v>50</v>
      </c>
      <c r="X240" s="1401">
        <f t="shared" si="192"/>
        <v>11789500</v>
      </c>
      <c r="Y240" s="1629">
        <f t="shared" si="193"/>
        <v>0</v>
      </c>
      <c r="Z240" s="1401">
        <f t="shared" si="194"/>
        <v>0</v>
      </c>
      <c r="AA240" s="1401"/>
      <c r="AB240" s="1401"/>
      <c r="AC240" s="1401"/>
      <c r="AD240" s="1479">
        <f t="shared" si="195"/>
        <v>11789500</v>
      </c>
      <c r="AE240" s="1479">
        <f t="shared" si="196"/>
        <v>11789500</v>
      </c>
      <c r="AF240" s="1479">
        <f t="shared" si="197"/>
        <v>11789500</v>
      </c>
      <c r="AG240" s="1479">
        <f t="shared" si="191"/>
        <v>35368500</v>
      </c>
      <c r="AH240" s="1646">
        <f t="shared" si="198"/>
        <v>554106500</v>
      </c>
    </row>
    <row r="241" spans="1:37" s="1390" customFormat="1" ht="40.5" customHeight="1" x14ac:dyDescent="0.2">
      <c r="A241" s="1391"/>
      <c r="B241" s="1477"/>
      <c r="C241" s="1660">
        <v>229</v>
      </c>
      <c r="D241" s="1540" t="s">
        <v>3032</v>
      </c>
      <c r="E241" s="1501" t="s">
        <v>1772</v>
      </c>
      <c r="F241" s="1501"/>
      <c r="G241" s="1416"/>
      <c r="H241" s="1416"/>
      <c r="I241" s="1414"/>
      <c r="J241" s="1416"/>
      <c r="K241" s="1455" t="s">
        <v>417</v>
      </c>
      <c r="L241" s="1416">
        <v>2017</v>
      </c>
      <c r="M241" s="1429"/>
      <c r="N241" s="1501"/>
      <c r="O241" s="1416"/>
      <c r="P241" s="1414"/>
      <c r="Q241" s="1501" t="s">
        <v>12</v>
      </c>
      <c r="R241" s="1539">
        <v>192434000</v>
      </c>
      <c r="S241" s="1661" t="s">
        <v>2849</v>
      </c>
      <c r="T241" s="1490"/>
      <c r="U241" s="1645" t="str">
        <f t="shared" si="190"/>
        <v>03.11.01</v>
      </c>
      <c r="V241" s="1478" t="str">
        <f>VLOOKUP(U241,UE,3)</f>
        <v>Bangunan Gedung Tempat Kerja</v>
      </c>
      <c r="W241" s="1478">
        <f t="shared" si="164"/>
        <v>50</v>
      </c>
      <c r="X241" s="1401">
        <f t="shared" si="192"/>
        <v>3848680</v>
      </c>
      <c r="Y241" s="1629">
        <f t="shared" si="193"/>
        <v>0</v>
      </c>
      <c r="Z241" s="1401">
        <f t="shared" si="194"/>
        <v>0</v>
      </c>
      <c r="AA241" s="1401"/>
      <c r="AB241" s="1401"/>
      <c r="AC241" s="1401"/>
      <c r="AD241" s="1479">
        <f t="shared" si="195"/>
        <v>3848680</v>
      </c>
      <c r="AE241" s="1479">
        <f t="shared" si="196"/>
        <v>3848680</v>
      </c>
      <c r="AF241" s="1479">
        <f t="shared" si="197"/>
        <v>3848680</v>
      </c>
      <c r="AG241" s="1479">
        <f t="shared" si="191"/>
        <v>11546040</v>
      </c>
      <c r="AH241" s="1646">
        <f t="shared" si="198"/>
        <v>180887960</v>
      </c>
    </row>
    <row r="242" spans="1:37" s="1390" customFormat="1" ht="40.5" customHeight="1" x14ac:dyDescent="0.2">
      <c r="A242" s="1391"/>
      <c r="B242" s="1477"/>
      <c r="C242" s="1660">
        <v>230</v>
      </c>
      <c r="D242" s="1540" t="s">
        <v>3033</v>
      </c>
      <c r="E242" s="1501" t="s">
        <v>2486</v>
      </c>
      <c r="F242" s="1501"/>
      <c r="G242" s="1416"/>
      <c r="H242" s="1416"/>
      <c r="I242" s="1414"/>
      <c r="J242" s="1416"/>
      <c r="K242" s="1455" t="s">
        <v>417</v>
      </c>
      <c r="L242" s="1416">
        <v>2017</v>
      </c>
      <c r="M242" s="1429"/>
      <c r="N242" s="1501"/>
      <c r="O242" s="1416"/>
      <c r="P242" s="1414"/>
      <c r="Q242" s="1501" t="s">
        <v>12</v>
      </c>
      <c r="R242" s="1539">
        <v>202381000</v>
      </c>
      <c r="S242" s="1661" t="s">
        <v>2849</v>
      </c>
      <c r="T242" s="1490"/>
      <c r="U242" s="1645" t="str">
        <f>LEFT(E242,8)</f>
        <v>03.11.01</v>
      </c>
      <c r="V242" s="1478" t="str">
        <f>VLOOKUP(U242,UE,3)</f>
        <v>Bangunan Gedung Tempat Kerja</v>
      </c>
      <c r="W242" s="1478">
        <f t="shared" si="164"/>
        <v>50</v>
      </c>
      <c r="X242" s="1401">
        <f t="shared" si="192"/>
        <v>4047620</v>
      </c>
      <c r="Y242" s="1629">
        <f t="shared" si="193"/>
        <v>0</v>
      </c>
      <c r="Z242" s="1401">
        <f t="shared" si="194"/>
        <v>0</v>
      </c>
      <c r="AA242" s="1401"/>
      <c r="AB242" s="1401"/>
      <c r="AC242" s="1401"/>
      <c r="AD242" s="1479">
        <f t="shared" si="195"/>
        <v>4047620</v>
      </c>
      <c r="AE242" s="1479">
        <f t="shared" si="196"/>
        <v>4047620</v>
      </c>
      <c r="AF242" s="1479">
        <f t="shared" si="197"/>
        <v>4047620</v>
      </c>
      <c r="AG242" s="1479">
        <f t="shared" si="191"/>
        <v>12142860</v>
      </c>
      <c r="AH242" s="1646">
        <f t="shared" si="198"/>
        <v>190238140</v>
      </c>
    </row>
    <row r="243" spans="1:37" s="1390" customFormat="1" ht="48" customHeight="1" x14ac:dyDescent="0.2">
      <c r="A243" s="1391"/>
      <c r="B243" s="1651" t="s">
        <v>4316</v>
      </c>
      <c r="C243" s="1660">
        <v>231</v>
      </c>
      <c r="D243" s="1540" t="s">
        <v>4316</v>
      </c>
      <c r="E243" s="1501" t="s">
        <v>1752</v>
      </c>
      <c r="F243" s="1501"/>
      <c r="G243" s="1416" t="s">
        <v>43</v>
      </c>
      <c r="H243" s="1416" t="s">
        <v>2492</v>
      </c>
      <c r="I243" s="1414" t="s">
        <v>736</v>
      </c>
      <c r="J243" s="1416" t="s">
        <v>5436</v>
      </c>
      <c r="K243" s="1455" t="s">
        <v>5437</v>
      </c>
      <c r="L243" s="1416">
        <v>2019</v>
      </c>
      <c r="M243" s="1429" t="s">
        <v>5458</v>
      </c>
      <c r="N243" s="1501" t="s">
        <v>5436</v>
      </c>
      <c r="O243" s="1416" t="s">
        <v>433</v>
      </c>
      <c r="P243" s="1414"/>
      <c r="Q243" s="1501" t="s">
        <v>12</v>
      </c>
      <c r="R243" s="1539">
        <v>639165000</v>
      </c>
      <c r="S243" s="1661"/>
      <c r="T243" s="1490"/>
      <c r="U243" s="1645" t="str">
        <f t="shared" ref="U243:U248" si="199">LEFT(E243,8)</f>
        <v>03.11.01</v>
      </c>
      <c r="V243" s="1478" t="str">
        <f t="shared" ref="V243:V248" si="200">VLOOKUP(U243,UE,3)</f>
        <v>Bangunan Gedung Tempat Kerja</v>
      </c>
      <c r="W243" s="1478">
        <f t="shared" ref="W243:W248" si="201">VLOOKUP(U243,UE,4)</f>
        <v>50</v>
      </c>
      <c r="X243" s="1401">
        <f t="shared" ref="X243:X248" si="202">R243/W243</f>
        <v>12783300</v>
      </c>
      <c r="Y243" s="1629">
        <f t="shared" si="193"/>
        <v>0</v>
      </c>
      <c r="Z243" s="1401"/>
      <c r="AA243" s="1401"/>
      <c r="AB243" s="1401"/>
      <c r="AC243" s="1401"/>
      <c r="AD243" s="1479"/>
      <c r="AE243" s="1479"/>
      <c r="AF243" s="1479">
        <f t="shared" si="197"/>
        <v>12783300</v>
      </c>
      <c r="AG243" s="1479">
        <f t="shared" si="191"/>
        <v>12783300</v>
      </c>
      <c r="AH243" s="1646">
        <f t="shared" ref="AH243:AH250" si="203">R243-AG243</f>
        <v>626381700</v>
      </c>
    </row>
    <row r="244" spans="1:37" s="1390" customFormat="1" ht="48" customHeight="1" x14ac:dyDescent="0.2">
      <c r="A244" s="1391"/>
      <c r="B244" s="1477" t="s">
        <v>5438</v>
      </c>
      <c r="C244" s="1660">
        <v>232</v>
      </c>
      <c r="D244" s="1540" t="s">
        <v>5438</v>
      </c>
      <c r="E244" s="1501" t="s">
        <v>1752</v>
      </c>
      <c r="F244" s="1501"/>
      <c r="G244" s="1416" t="s">
        <v>43</v>
      </c>
      <c r="H244" s="1416" t="s">
        <v>2492</v>
      </c>
      <c r="I244" s="1414" t="s">
        <v>736</v>
      </c>
      <c r="J244" s="1416" t="s">
        <v>5436</v>
      </c>
      <c r="K244" s="1455" t="s">
        <v>5439</v>
      </c>
      <c r="L244" s="1416">
        <v>2019</v>
      </c>
      <c r="M244" s="1429" t="s">
        <v>5457</v>
      </c>
      <c r="N244" s="1501" t="s">
        <v>5436</v>
      </c>
      <c r="O244" s="1416" t="s">
        <v>433</v>
      </c>
      <c r="P244" s="1429" t="s">
        <v>5440</v>
      </c>
      <c r="Q244" s="1501" t="s">
        <v>12</v>
      </c>
      <c r="R244" s="1539">
        <v>640287000</v>
      </c>
      <c r="S244" s="1661"/>
      <c r="T244" s="1490"/>
      <c r="U244" s="1645" t="str">
        <f t="shared" si="199"/>
        <v>03.11.01</v>
      </c>
      <c r="V244" s="1478" t="str">
        <f t="shared" si="200"/>
        <v>Bangunan Gedung Tempat Kerja</v>
      </c>
      <c r="W244" s="1478">
        <f t="shared" si="201"/>
        <v>50</v>
      </c>
      <c r="X244" s="1401">
        <f t="shared" si="202"/>
        <v>12805740</v>
      </c>
      <c r="Y244" s="1629">
        <f t="shared" ref="Y244:Y254" si="204">IF(2013-L244+1&gt;W244,W244,IF(2013-L244+1&lt;0,0,2013-L244+1))</f>
        <v>0</v>
      </c>
      <c r="Z244" s="1401"/>
      <c r="AA244" s="1401"/>
      <c r="AB244" s="1401"/>
      <c r="AC244" s="1401"/>
      <c r="AD244" s="1479"/>
      <c r="AE244" s="1479"/>
      <c r="AF244" s="1479">
        <f t="shared" ref="AF244:AF254" si="205">IF(R244=Z244+AA244+AB244+AC244+AD244+AE244,0,X244)</f>
        <v>12805740</v>
      </c>
      <c r="AG244" s="1479">
        <f t="shared" ref="AG244:AG254" si="206">SUM(Z244:AF244)</f>
        <v>12805740</v>
      </c>
      <c r="AH244" s="1646">
        <f t="shared" si="203"/>
        <v>627481260</v>
      </c>
    </row>
    <row r="245" spans="1:37" s="1390" customFormat="1" ht="48" customHeight="1" x14ac:dyDescent="0.2">
      <c r="A245" s="1391"/>
      <c r="B245" s="1651" t="s">
        <v>5441</v>
      </c>
      <c r="C245" s="1660">
        <v>233</v>
      </c>
      <c r="D245" s="1540" t="s">
        <v>5441</v>
      </c>
      <c r="E245" s="1501" t="s">
        <v>1752</v>
      </c>
      <c r="F245" s="1501"/>
      <c r="G245" s="1416" t="s">
        <v>43</v>
      </c>
      <c r="H245" s="1416" t="s">
        <v>2492</v>
      </c>
      <c r="I245" s="1414" t="s">
        <v>736</v>
      </c>
      <c r="J245" s="1416" t="s">
        <v>5436</v>
      </c>
      <c r="K245" s="1455" t="s">
        <v>5442</v>
      </c>
      <c r="L245" s="1416">
        <v>2019</v>
      </c>
      <c r="M245" s="1429" t="s">
        <v>5456</v>
      </c>
      <c r="N245" s="1501" t="s">
        <v>5436</v>
      </c>
      <c r="O245" s="1416" t="s">
        <v>433</v>
      </c>
      <c r="P245" s="1414"/>
      <c r="Q245" s="1501" t="s">
        <v>12</v>
      </c>
      <c r="R245" s="1539">
        <v>608669000</v>
      </c>
      <c r="S245" s="1661"/>
      <c r="T245" s="1490"/>
      <c r="U245" s="1645" t="str">
        <f t="shared" si="199"/>
        <v>03.11.01</v>
      </c>
      <c r="V245" s="1478" t="str">
        <f t="shared" si="200"/>
        <v>Bangunan Gedung Tempat Kerja</v>
      </c>
      <c r="W245" s="1478">
        <f t="shared" si="201"/>
        <v>50</v>
      </c>
      <c r="X245" s="1401">
        <f t="shared" si="202"/>
        <v>12173380</v>
      </c>
      <c r="Y245" s="1629">
        <f t="shared" si="204"/>
        <v>0</v>
      </c>
      <c r="Z245" s="1401"/>
      <c r="AA245" s="1401"/>
      <c r="AB245" s="1401"/>
      <c r="AC245" s="1401"/>
      <c r="AD245" s="1479"/>
      <c r="AE245" s="1479"/>
      <c r="AF245" s="1479">
        <f t="shared" si="205"/>
        <v>12173380</v>
      </c>
      <c r="AG245" s="1479">
        <f t="shared" si="206"/>
        <v>12173380</v>
      </c>
      <c r="AH245" s="1646">
        <f t="shared" si="203"/>
        <v>596495620</v>
      </c>
    </row>
    <row r="246" spans="1:37" s="1390" customFormat="1" ht="48" customHeight="1" x14ac:dyDescent="0.2">
      <c r="A246" s="1391"/>
      <c r="B246" s="1477" t="s">
        <v>5443</v>
      </c>
      <c r="C246" s="1660">
        <v>234</v>
      </c>
      <c r="D246" s="1540" t="s">
        <v>5443</v>
      </c>
      <c r="E246" s="1501" t="s">
        <v>1752</v>
      </c>
      <c r="F246" s="1501"/>
      <c r="G246" s="1416" t="s">
        <v>43</v>
      </c>
      <c r="H246" s="1416" t="s">
        <v>2492</v>
      </c>
      <c r="I246" s="1414" t="s">
        <v>736</v>
      </c>
      <c r="J246" s="1416" t="s">
        <v>5436</v>
      </c>
      <c r="K246" s="1455" t="s">
        <v>5444</v>
      </c>
      <c r="L246" s="1416">
        <v>2019</v>
      </c>
      <c r="M246" s="1429" t="s">
        <v>5455</v>
      </c>
      <c r="N246" s="1501" t="s">
        <v>5436</v>
      </c>
      <c r="O246" s="1416" t="s">
        <v>433</v>
      </c>
      <c r="P246" s="1414"/>
      <c r="Q246" s="1501" t="s">
        <v>12</v>
      </c>
      <c r="R246" s="1539">
        <v>611948000</v>
      </c>
      <c r="S246" s="1661"/>
      <c r="T246" s="1490"/>
      <c r="U246" s="1645" t="str">
        <f t="shared" si="199"/>
        <v>03.11.01</v>
      </c>
      <c r="V246" s="1478" t="str">
        <f t="shared" si="200"/>
        <v>Bangunan Gedung Tempat Kerja</v>
      </c>
      <c r="W246" s="1478">
        <f t="shared" si="201"/>
        <v>50</v>
      </c>
      <c r="X246" s="1401">
        <f t="shared" si="202"/>
        <v>12238960</v>
      </c>
      <c r="Y246" s="1629">
        <f t="shared" si="204"/>
        <v>0</v>
      </c>
      <c r="Z246" s="1401"/>
      <c r="AA246" s="1401"/>
      <c r="AB246" s="1401"/>
      <c r="AC246" s="1401"/>
      <c r="AD246" s="1479"/>
      <c r="AE246" s="1479"/>
      <c r="AF246" s="1479">
        <f t="shared" si="205"/>
        <v>12238960</v>
      </c>
      <c r="AG246" s="1479">
        <f t="shared" si="206"/>
        <v>12238960</v>
      </c>
      <c r="AH246" s="1646">
        <f t="shared" si="203"/>
        <v>599709040</v>
      </c>
    </row>
    <row r="247" spans="1:37" s="1390" customFormat="1" ht="48" customHeight="1" x14ac:dyDescent="0.2">
      <c r="A247" s="1391"/>
      <c r="B247" s="1477" t="s">
        <v>5445</v>
      </c>
      <c r="C247" s="1660">
        <v>235</v>
      </c>
      <c r="D247" s="1540" t="s">
        <v>5445</v>
      </c>
      <c r="E247" s="1501" t="s">
        <v>1752</v>
      </c>
      <c r="F247" s="1501"/>
      <c r="G247" s="1416" t="s">
        <v>43</v>
      </c>
      <c r="H247" s="1416" t="s">
        <v>2492</v>
      </c>
      <c r="I247" s="1414" t="s">
        <v>736</v>
      </c>
      <c r="J247" s="1416" t="s">
        <v>5436</v>
      </c>
      <c r="K247" s="1455" t="s">
        <v>5446</v>
      </c>
      <c r="L247" s="1416">
        <v>2019</v>
      </c>
      <c r="M247" s="1429" t="s">
        <v>5454</v>
      </c>
      <c r="N247" s="1501" t="s">
        <v>5436</v>
      </c>
      <c r="O247" s="1416" t="s">
        <v>433</v>
      </c>
      <c r="P247" s="1414"/>
      <c r="Q247" s="1501" t="s">
        <v>12</v>
      </c>
      <c r="R247" s="1539">
        <v>623658000</v>
      </c>
      <c r="S247" s="1661"/>
      <c r="T247" s="1490"/>
      <c r="U247" s="1645" t="str">
        <f t="shared" si="199"/>
        <v>03.11.01</v>
      </c>
      <c r="V247" s="1478" t="str">
        <f t="shared" si="200"/>
        <v>Bangunan Gedung Tempat Kerja</v>
      </c>
      <c r="W247" s="1478">
        <f t="shared" si="201"/>
        <v>50</v>
      </c>
      <c r="X247" s="1401">
        <f t="shared" si="202"/>
        <v>12473160</v>
      </c>
      <c r="Y247" s="1629">
        <f t="shared" si="204"/>
        <v>0</v>
      </c>
      <c r="Z247" s="1401"/>
      <c r="AA247" s="1401"/>
      <c r="AB247" s="1401"/>
      <c r="AC247" s="1401"/>
      <c r="AD247" s="1479"/>
      <c r="AE247" s="1479"/>
      <c r="AF247" s="1479">
        <f t="shared" si="205"/>
        <v>12473160</v>
      </c>
      <c r="AG247" s="1479">
        <f t="shared" si="206"/>
        <v>12473160</v>
      </c>
      <c r="AH247" s="1646">
        <f t="shared" si="203"/>
        <v>611184840</v>
      </c>
    </row>
    <row r="248" spans="1:37" s="1390" customFormat="1" ht="48" customHeight="1" x14ac:dyDescent="0.2">
      <c r="A248" s="1391"/>
      <c r="B248" s="1651" t="s">
        <v>4297</v>
      </c>
      <c r="C248" s="1660">
        <v>236</v>
      </c>
      <c r="D248" s="1540" t="s">
        <v>4297</v>
      </c>
      <c r="E248" s="1501" t="s">
        <v>1752</v>
      </c>
      <c r="F248" s="1501"/>
      <c r="G248" s="1416" t="s">
        <v>43</v>
      </c>
      <c r="H248" s="1416" t="s">
        <v>2492</v>
      </c>
      <c r="I248" s="1414" t="s">
        <v>736</v>
      </c>
      <c r="J248" s="1416" t="s">
        <v>5436</v>
      </c>
      <c r="K248" s="1455" t="s">
        <v>5449</v>
      </c>
      <c r="L248" s="1416">
        <v>2019</v>
      </c>
      <c r="M248" s="1429" t="s">
        <v>5453</v>
      </c>
      <c r="N248" s="1501" t="s">
        <v>5436</v>
      </c>
      <c r="O248" s="1416" t="s">
        <v>433</v>
      </c>
      <c r="P248" s="1414"/>
      <c r="Q248" s="1501" t="s">
        <v>12</v>
      </c>
      <c r="R248" s="1539">
        <v>662075000</v>
      </c>
      <c r="S248" s="1661"/>
      <c r="T248" s="1490"/>
      <c r="U248" s="1645" t="str">
        <f t="shared" si="199"/>
        <v>03.11.01</v>
      </c>
      <c r="V248" s="1478" t="str">
        <f t="shared" si="200"/>
        <v>Bangunan Gedung Tempat Kerja</v>
      </c>
      <c r="W248" s="1478">
        <f t="shared" si="201"/>
        <v>50</v>
      </c>
      <c r="X248" s="1401">
        <f t="shared" si="202"/>
        <v>13241500</v>
      </c>
      <c r="Y248" s="1629">
        <f t="shared" si="204"/>
        <v>0</v>
      </c>
      <c r="Z248" s="1401"/>
      <c r="AA248" s="1401"/>
      <c r="AB248" s="1401"/>
      <c r="AC248" s="1401"/>
      <c r="AD248" s="1479"/>
      <c r="AE248" s="1479"/>
      <c r="AF248" s="1479">
        <f t="shared" si="205"/>
        <v>13241500</v>
      </c>
      <c r="AG248" s="1479">
        <f t="shared" si="206"/>
        <v>13241500</v>
      </c>
      <c r="AH248" s="1646">
        <f t="shared" si="203"/>
        <v>648833500</v>
      </c>
    </row>
    <row r="249" spans="1:37" s="1390" customFormat="1" ht="48" customHeight="1" x14ac:dyDescent="0.2">
      <c r="A249" s="1391"/>
      <c r="B249" s="1651" t="s">
        <v>5450</v>
      </c>
      <c r="C249" s="1660">
        <v>237</v>
      </c>
      <c r="D249" s="1540" t="s">
        <v>5450</v>
      </c>
      <c r="E249" s="1501" t="s">
        <v>1752</v>
      </c>
      <c r="F249" s="1501"/>
      <c r="G249" s="1416" t="s">
        <v>43</v>
      </c>
      <c r="H249" s="1416" t="s">
        <v>2492</v>
      </c>
      <c r="I249" s="1414" t="s">
        <v>736</v>
      </c>
      <c r="J249" s="1416" t="s">
        <v>5436</v>
      </c>
      <c r="K249" s="1455" t="s">
        <v>5451</v>
      </c>
      <c r="L249" s="1416">
        <v>2019</v>
      </c>
      <c r="M249" s="1429" t="s">
        <v>5452</v>
      </c>
      <c r="N249" s="1501" t="s">
        <v>5436</v>
      </c>
      <c r="O249" s="1416" t="s">
        <v>433</v>
      </c>
      <c r="P249" s="1414"/>
      <c r="Q249" s="1501" t="s">
        <v>12</v>
      </c>
      <c r="R249" s="1539">
        <v>620180000</v>
      </c>
      <c r="S249" s="1661"/>
      <c r="T249" s="1545"/>
      <c r="U249" s="1645" t="str">
        <f t="shared" ref="U249:U256" si="207">LEFT(E249,8)</f>
        <v>03.11.01</v>
      </c>
      <c r="V249" s="1478" t="str">
        <f t="shared" ref="V249:V256" si="208">VLOOKUP(U249,UE,3)</f>
        <v>Bangunan Gedung Tempat Kerja</v>
      </c>
      <c r="W249" s="1478">
        <f t="shared" ref="W249:W256" si="209">VLOOKUP(U249,UE,4)</f>
        <v>50</v>
      </c>
      <c r="X249" s="1401">
        <f t="shared" ref="X249:X256" si="210">R249/W249</f>
        <v>12403600</v>
      </c>
      <c r="Y249" s="1629">
        <f t="shared" si="204"/>
        <v>0</v>
      </c>
      <c r="Z249" s="1401"/>
      <c r="AA249" s="1401"/>
      <c r="AB249" s="1401"/>
      <c r="AC249" s="1401"/>
      <c r="AD249" s="1479"/>
      <c r="AE249" s="1479"/>
      <c r="AF249" s="1479">
        <f t="shared" si="205"/>
        <v>12403600</v>
      </c>
      <c r="AG249" s="1479">
        <f t="shared" si="206"/>
        <v>12403600</v>
      </c>
      <c r="AH249" s="1646">
        <f t="shared" si="203"/>
        <v>607776400</v>
      </c>
    </row>
    <row r="250" spans="1:37" s="1390" customFormat="1" ht="48" customHeight="1" x14ac:dyDescent="0.2">
      <c r="A250" s="1391"/>
      <c r="B250" s="1651" t="s">
        <v>5459</v>
      </c>
      <c r="C250" s="1660">
        <v>238</v>
      </c>
      <c r="D250" s="1540" t="s">
        <v>5459</v>
      </c>
      <c r="E250" s="1501" t="s">
        <v>1752</v>
      </c>
      <c r="F250" s="1501"/>
      <c r="G250" s="1416" t="s">
        <v>43</v>
      </c>
      <c r="H250" s="1416" t="s">
        <v>2492</v>
      </c>
      <c r="I250" s="1414" t="s">
        <v>736</v>
      </c>
      <c r="J250" s="1416" t="s">
        <v>5436</v>
      </c>
      <c r="K250" s="1455" t="s">
        <v>5460</v>
      </c>
      <c r="L250" s="1416">
        <v>2019</v>
      </c>
      <c r="M250" s="1429" t="s">
        <v>5461</v>
      </c>
      <c r="N250" s="1501" t="s">
        <v>5436</v>
      </c>
      <c r="O250" s="1416" t="s">
        <v>433</v>
      </c>
      <c r="P250" s="1414"/>
      <c r="Q250" s="1501" t="s">
        <v>12</v>
      </c>
      <c r="R250" s="1539">
        <v>596349000</v>
      </c>
      <c r="S250" s="1661"/>
      <c r="T250" s="1545"/>
      <c r="U250" s="1645" t="str">
        <f t="shared" si="207"/>
        <v>03.11.01</v>
      </c>
      <c r="V250" s="1478" t="str">
        <f t="shared" si="208"/>
        <v>Bangunan Gedung Tempat Kerja</v>
      </c>
      <c r="W250" s="1478">
        <f t="shared" si="209"/>
        <v>50</v>
      </c>
      <c r="X250" s="1401">
        <f t="shared" si="210"/>
        <v>11926980</v>
      </c>
      <c r="Y250" s="1629">
        <f t="shared" si="204"/>
        <v>0</v>
      </c>
      <c r="Z250" s="1401"/>
      <c r="AA250" s="1401"/>
      <c r="AB250" s="1401"/>
      <c r="AC250" s="1401"/>
      <c r="AD250" s="1479"/>
      <c r="AE250" s="1479"/>
      <c r="AF250" s="1479">
        <f t="shared" si="205"/>
        <v>11926980</v>
      </c>
      <c r="AG250" s="1479">
        <f t="shared" si="206"/>
        <v>11926980</v>
      </c>
      <c r="AH250" s="1646">
        <f t="shared" si="203"/>
        <v>584422020</v>
      </c>
    </row>
    <row r="251" spans="1:37" s="1390" customFormat="1" ht="48" customHeight="1" x14ac:dyDescent="0.2">
      <c r="A251" s="1391"/>
      <c r="B251" s="1477" t="s">
        <v>5462</v>
      </c>
      <c r="C251" s="1660">
        <v>239</v>
      </c>
      <c r="D251" s="1540" t="s">
        <v>5462</v>
      </c>
      <c r="E251" s="1501" t="s">
        <v>1752</v>
      </c>
      <c r="F251" s="1501"/>
      <c r="G251" s="1416" t="s">
        <v>43</v>
      </c>
      <c r="H251" s="1416" t="s">
        <v>2492</v>
      </c>
      <c r="I251" s="1414" t="s">
        <v>736</v>
      </c>
      <c r="J251" s="1416" t="s">
        <v>5436</v>
      </c>
      <c r="K251" s="1455" t="s">
        <v>5463</v>
      </c>
      <c r="L251" s="1416">
        <v>2019</v>
      </c>
      <c r="M251" s="1429" t="s">
        <v>5464</v>
      </c>
      <c r="N251" s="1501" t="s">
        <v>5436</v>
      </c>
      <c r="O251" s="1416" t="s">
        <v>433</v>
      </c>
      <c r="P251" s="1414"/>
      <c r="Q251" s="1501" t="s">
        <v>12</v>
      </c>
      <c r="R251" s="1539">
        <v>579581273</v>
      </c>
      <c r="S251" s="1661"/>
      <c r="T251" s="1545"/>
      <c r="U251" s="1645" t="str">
        <f t="shared" si="207"/>
        <v>03.11.01</v>
      </c>
      <c r="V251" s="1478" t="str">
        <f t="shared" si="208"/>
        <v>Bangunan Gedung Tempat Kerja</v>
      </c>
      <c r="W251" s="1478">
        <f t="shared" si="209"/>
        <v>50</v>
      </c>
      <c r="X251" s="1401">
        <f t="shared" si="210"/>
        <v>11591625.460000001</v>
      </c>
      <c r="Y251" s="1629">
        <f t="shared" si="204"/>
        <v>0</v>
      </c>
      <c r="Z251" s="1401"/>
      <c r="AA251" s="1401"/>
      <c r="AB251" s="1401"/>
      <c r="AC251" s="1401"/>
      <c r="AD251" s="1479"/>
      <c r="AE251" s="1479"/>
      <c r="AF251" s="1479">
        <f t="shared" si="205"/>
        <v>11591625.460000001</v>
      </c>
      <c r="AG251" s="1479">
        <f t="shared" si="206"/>
        <v>11591625.460000001</v>
      </c>
      <c r="AH251" s="1646">
        <f t="shared" ref="AH251:AH258" si="211">R251-AG251</f>
        <v>567989647.53999996</v>
      </c>
    </row>
    <row r="252" spans="1:37" s="1390" customFormat="1" ht="48" customHeight="1" x14ac:dyDescent="0.2">
      <c r="A252" s="1391"/>
      <c r="B252" s="1651" t="s">
        <v>5447</v>
      </c>
      <c r="C252" s="1660">
        <v>240</v>
      </c>
      <c r="D252" s="1540" t="s">
        <v>5447</v>
      </c>
      <c r="E252" s="1501" t="s">
        <v>1752</v>
      </c>
      <c r="F252" s="1501"/>
      <c r="G252" s="1416" t="s">
        <v>43</v>
      </c>
      <c r="H252" s="1416" t="s">
        <v>2492</v>
      </c>
      <c r="I252" s="1414" t="s">
        <v>736</v>
      </c>
      <c r="J252" s="1416" t="s">
        <v>5436</v>
      </c>
      <c r="K252" s="1455" t="s">
        <v>5448</v>
      </c>
      <c r="L252" s="1416">
        <v>2019</v>
      </c>
      <c r="M252" s="1429" t="s">
        <v>5660</v>
      </c>
      <c r="N252" s="1501" t="s">
        <v>5436</v>
      </c>
      <c r="O252" s="1416" t="s">
        <v>433</v>
      </c>
      <c r="P252" s="1414"/>
      <c r="Q252" s="1501" t="s">
        <v>12</v>
      </c>
      <c r="R252" s="1539">
        <v>615930000</v>
      </c>
      <c r="S252" s="1661"/>
      <c r="T252" s="1545"/>
      <c r="U252" s="1645" t="str">
        <f t="shared" si="207"/>
        <v>03.11.01</v>
      </c>
      <c r="V252" s="1478" t="str">
        <f t="shared" si="208"/>
        <v>Bangunan Gedung Tempat Kerja</v>
      </c>
      <c r="W252" s="1478">
        <f t="shared" si="209"/>
        <v>50</v>
      </c>
      <c r="X252" s="1401">
        <f t="shared" si="210"/>
        <v>12318600</v>
      </c>
      <c r="Y252" s="1629">
        <f t="shared" si="204"/>
        <v>0</v>
      </c>
      <c r="Z252" s="1401"/>
      <c r="AA252" s="1401"/>
      <c r="AB252" s="1401"/>
      <c r="AC252" s="1401"/>
      <c r="AD252" s="1479"/>
      <c r="AE252" s="1479"/>
      <c r="AF252" s="1479">
        <f t="shared" si="205"/>
        <v>12318600</v>
      </c>
      <c r="AG252" s="1479">
        <f t="shared" si="206"/>
        <v>12318600</v>
      </c>
      <c r="AH252" s="1646">
        <f t="shared" si="211"/>
        <v>603611400</v>
      </c>
    </row>
    <row r="253" spans="1:37" s="1390" customFormat="1" ht="48" customHeight="1" x14ac:dyDescent="0.2">
      <c r="A253" s="1391"/>
      <c r="B253" s="1477"/>
      <c r="C253" s="1660">
        <v>241</v>
      </c>
      <c r="D253" s="1540" t="s">
        <v>5467</v>
      </c>
      <c r="E253" s="1501" t="s">
        <v>1752</v>
      </c>
      <c r="F253" s="1501"/>
      <c r="G253" s="1416" t="s">
        <v>43</v>
      </c>
      <c r="H253" s="1416" t="s">
        <v>2492</v>
      </c>
      <c r="I253" s="1414" t="s">
        <v>736</v>
      </c>
      <c r="J253" s="1652" t="s">
        <v>9</v>
      </c>
      <c r="K253" s="1455" t="s">
        <v>5466</v>
      </c>
      <c r="L253" s="1416">
        <v>2019</v>
      </c>
      <c r="M253" s="1429" t="s">
        <v>5468</v>
      </c>
      <c r="N253" s="1501" t="s">
        <v>5469</v>
      </c>
      <c r="O253" s="1416" t="s">
        <v>433</v>
      </c>
      <c r="P253" s="1414"/>
      <c r="Q253" s="1501" t="s">
        <v>12</v>
      </c>
      <c r="R253" s="1539">
        <v>386554000</v>
      </c>
      <c r="S253" s="1661"/>
      <c r="T253" s="1545"/>
      <c r="U253" s="1645" t="str">
        <f t="shared" si="207"/>
        <v>03.11.01</v>
      </c>
      <c r="V253" s="1478" t="str">
        <f t="shared" si="208"/>
        <v>Bangunan Gedung Tempat Kerja</v>
      </c>
      <c r="W253" s="1478">
        <f t="shared" si="209"/>
        <v>50</v>
      </c>
      <c r="X253" s="1401">
        <f t="shared" si="210"/>
        <v>7731080</v>
      </c>
      <c r="Y253" s="1629">
        <f t="shared" si="204"/>
        <v>0</v>
      </c>
      <c r="Z253" s="1401"/>
      <c r="AA253" s="1401"/>
      <c r="AB253" s="1401"/>
      <c r="AC253" s="1401"/>
      <c r="AD253" s="1479"/>
      <c r="AE253" s="1479"/>
      <c r="AF253" s="1479">
        <f t="shared" si="205"/>
        <v>7731080</v>
      </c>
      <c r="AG253" s="1479">
        <f t="shared" si="206"/>
        <v>7731080</v>
      </c>
      <c r="AH253" s="1646">
        <f t="shared" si="211"/>
        <v>378822920</v>
      </c>
    </row>
    <row r="254" spans="1:37" s="1390" customFormat="1" ht="48" customHeight="1" x14ac:dyDescent="0.2">
      <c r="A254" s="1391"/>
      <c r="B254" s="1477"/>
      <c r="C254" s="1660">
        <v>242</v>
      </c>
      <c r="D254" s="1540" t="s">
        <v>5661</v>
      </c>
      <c r="E254" s="1501" t="s">
        <v>2613</v>
      </c>
      <c r="F254" s="1501"/>
      <c r="G254" s="1416" t="s">
        <v>43</v>
      </c>
      <c r="H254" s="1416" t="s">
        <v>2492</v>
      </c>
      <c r="I254" s="1414" t="s">
        <v>736</v>
      </c>
      <c r="J254" s="1416">
        <v>78.78</v>
      </c>
      <c r="K254" s="1455" t="s">
        <v>5663</v>
      </c>
      <c r="L254" s="1416">
        <v>2019</v>
      </c>
      <c r="M254" s="1429" t="s">
        <v>5662</v>
      </c>
      <c r="N254" s="1501">
        <v>78.78</v>
      </c>
      <c r="O254" s="1653" t="s">
        <v>5435</v>
      </c>
      <c r="P254" s="1414"/>
      <c r="Q254" s="1501" t="s">
        <v>12</v>
      </c>
      <c r="R254" s="1539">
        <v>539596000</v>
      </c>
      <c r="S254" s="1662"/>
      <c r="T254" s="1490"/>
      <c r="U254" s="1645" t="str">
        <f t="shared" si="207"/>
        <v>03.11.01</v>
      </c>
      <c r="V254" s="1478" t="str">
        <f t="shared" si="208"/>
        <v>Bangunan Gedung Tempat Kerja</v>
      </c>
      <c r="W254" s="1478">
        <f t="shared" si="209"/>
        <v>50</v>
      </c>
      <c r="X254" s="1401">
        <f t="shared" si="210"/>
        <v>10791920</v>
      </c>
      <c r="Y254" s="1629">
        <f t="shared" si="204"/>
        <v>0</v>
      </c>
      <c r="Z254" s="1401"/>
      <c r="AA254" s="1401"/>
      <c r="AB254" s="1401"/>
      <c r="AC254" s="1401"/>
      <c r="AD254" s="1479"/>
      <c r="AE254" s="1479"/>
      <c r="AF254" s="1479">
        <f t="shared" si="205"/>
        <v>10791920</v>
      </c>
      <c r="AG254" s="1479">
        <f t="shared" si="206"/>
        <v>10791920</v>
      </c>
      <c r="AH254" s="1646">
        <f t="shared" si="211"/>
        <v>528804080</v>
      </c>
      <c r="AJ254" s="1443"/>
    </row>
    <row r="255" spans="1:37" s="1390" customFormat="1" ht="59" customHeight="1" x14ac:dyDescent="0.2">
      <c r="A255" s="1391"/>
      <c r="B255" s="1477"/>
      <c r="C255" s="1660">
        <v>243</v>
      </c>
      <c r="D255" s="1540" t="s">
        <v>3031</v>
      </c>
      <c r="E255" s="1501" t="s">
        <v>1752</v>
      </c>
      <c r="F255" s="1501"/>
      <c r="G255" s="1416" t="s">
        <v>43</v>
      </c>
      <c r="H255" s="1416" t="s">
        <v>2492</v>
      </c>
      <c r="I255" s="1414" t="s">
        <v>736</v>
      </c>
      <c r="J255" s="1416" t="s">
        <v>5436</v>
      </c>
      <c r="K255" s="1455" t="s">
        <v>5550</v>
      </c>
      <c r="L255" s="1416">
        <v>2017</v>
      </c>
      <c r="M255" s="1429"/>
      <c r="N255" s="1501"/>
      <c r="O255" s="1416"/>
      <c r="P255" s="1414"/>
      <c r="Q255" s="1501" t="s">
        <v>12</v>
      </c>
      <c r="R255" s="1539">
        <v>495349000</v>
      </c>
      <c r="S255" s="1678" t="s">
        <v>5552</v>
      </c>
      <c r="T255" s="1490"/>
      <c r="U255" s="1645" t="str">
        <f t="shared" si="207"/>
        <v>03.11.01</v>
      </c>
      <c r="V255" s="1478" t="str">
        <f t="shared" si="208"/>
        <v>Bangunan Gedung Tempat Kerja</v>
      </c>
      <c r="W255" s="1478">
        <f t="shared" si="209"/>
        <v>50</v>
      </c>
      <c r="X255" s="1401">
        <f t="shared" si="210"/>
        <v>9906980</v>
      </c>
      <c r="Y255" s="1629">
        <f>IF(2013-L255+1&gt;W255,W255,IF(2013-L255+1&lt;0,0,2013-L255+1))</f>
        <v>0</v>
      </c>
      <c r="Z255" s="1401">
        <f>IF(Y255&gt;W255,R255,X255*Y255)</f>
        <v>0</v>
      </c>
      <c r="AA255" s="1401"/>
      <c r="AB255" s="1401"/>
      <c r="AC255" s="1401"/>
      <c r="AD255" s="1479">
        <f>IF(R255=Z255+AA255+AB255+AC255,0,X255)</f>
        <v>9906980</v>
      </c>
      <c r="AE255" s="1479">
        <f t="shared" ref="AE255:AE262" si="212">IF(R255=Z255+AA255+AB255+AC255+AD255,0,X255)</f>
        <v>9906980</v>
      </c>
      <c r="AF255" s="1479">
        <f>IF(R255=Z255+AA255+AB255+AC255+AD255+AE255,0,X255)</f>
        <v>9906980</v>
      </c>
      <c r="AG255" s="1479">
        <f t="shared" ref="AG255:AG265" si="213">SUM(Z255:AF255)</f>
        <v>29720940</v>
      </c>
      <c r="AH255" s="1646">
        <f t="shared" si="211"/>
        <v>465628060</v>
      </c>
      <c r="AJ255" s="1443"/>
      <c r="AK255" s="1443">
        <f t="shared" ref="AK255:AK262" si="214">SUM(Z255:AE255)</f>
        <v>19813960</v>
      </c>
    </row>
    <row r="256" spans="1:37" s="1390" customFormat="1" ht="59" customHeight="1" x14ac:dyDescent="0.2">
      <c r="A256" s="1391"/>
      <c r="B256" s="1477"/>
      <c r="C256" s="1660">
        <v>244</v>
      </c>
      <c r="D256" s="1540" t="s">
        <v>2830</v>
      </c>
      <c r="E256" s="1501" t="s">
        <v>1752</v>
      </c>
      <c r="F256" s="1501"/>
      <c r="G256" s="1416" t="s">
        <v>43</v>
      </c>
      <c r="H256" s="1416" t="s">
        <v>2492</v>
      </c>
      <c r="I256" s="1414" t="s">
        <v>736</v>
      </c>
      <c r="J256" s="1416" t="s">
        <v>5436</v>
      </c>
      <c r="K256" s="1455" t="s">
        <v>5549</v>
      </c>
      <c r="L256" s="1416">
        <v>2018</v>
      </c>
      <c r="M256" s="1429" t="s">
        <v>5551</v>
      </c>
      <c r="N256" s="1501"/>
      <c r="O256" s="1416"/>
      <c r="P256" s="1414"/>
      <c r="Q256" s="1501" t="s">
        <v>12</v>
      </c>
      <c r="R256" s="1539">
        <v>558819000</v>
      </c>
      <c r="S256" s="1678" t="s">
        <v>5552</v>
      </c>
      <c r="T256" s="1490"/>
      <c r="U256" s="1645" t="str">
        <f t="shared" si="207"/>
        <v>03.11.01</v>
      </c>
      <c r="V256" s="1478" t="str">
        <f t="shared" si="208"/>
        <v>Bangunan Gedung Tempat Kerja</v>
      </c>
      <c r="W256" s="1478">
        <f t="shared" si="209"/>
        <v>50</v>
      </c>
      <c r="X256" s="1401">
        <f t="shared" si="210"/>
        <v>11176380</v>
      </c>
      <c r="Y256" s="1629">
        <f>IF(2013-L256+1&gt;W256,W256,IF(2013-L256+1&lt;0,0,2013-L256+1))</f>
        <v>0</v>
      </c>
      <c r="Z256" s="1401"/>
      <c r="AA256" s="1401"/>
      <c r="AB256" s="1401"/>
      <c r="AC256" s="1401"/>
      <c r="AD256" s="1479"/>
      <c r="AE256" s="1479">
        <f t="shared" si="212"/>
        <v>11176380</v>
      </c>
      <c r="AF256" s="1479">
        <f>IF(R256=Z256+AA256+AB256+AC256+AD256+AE256,0,X256)</f>
        <v>11176380</v>
      </c>
      <c r="AG256" s="1479">
        <f t="shared" si="213"/>
        <v>22352760</v>
      </c>
      <c r="AH256" s="1646">
        <f t="shared" si="211"/>
        <v>536466240</v>
      </c>
      <c r="AJ256" s="1443"/>
      <c r="AK256" s="1443">
        <f t="shared" si="214"/>
        <v>11176380</v>
      </c>
    </row>
    <row r="257" spans="1:37" s="1390" customFormat="1" ht="40.5" customHeight="1" x14ac:dyDescent="0.2">
      <c r="A257" s="1391"/>
      <c r="B257" s="1477"/>
      <c r="C257" s="1660">
        <v>245</v>
      </c>
      <c r="D257" s="1663" t="s">
        <v>5738</v>
      </c>
      <c r="E257" s="1501" t="s">
        <v>2486</v>
      </c>
      <c r="F257" s="1501"/>
      <c r="G257" s="1416" t="s">
        <v>43</v>
      </c>
      <c r="H257" s="1416" t="s">
        <v>5412</v>
      </c>
      <c r="I257" s="1414" t="s">
        <v>736</v>
      </c>
      <c r="J257" s="1416"/>
      <c r="K257" s="1455" t="s">
        <v>3480</v>
      </c>
      <c r="L257" s="1416">
        <v>2016</v>
      </c>
      <c r="M257" s="1429"/>
      <c r="N257" s="1501"/>
      <c r="O257" s="1416"/>
      <c r="P257" s="1414"/>
      <c r="Q257" s="1501" t="s">
        <v>12</v>
      </c>
      <c r="R257" s="1539">
        <v>1436621000</v>
      </c>
      <c r="S257" s="1662"/>
      <c r="T257" s="1490"/>
      <c r="U257" s="1645" t="str">
        <f t="shared" ref="U257:U265" si="215">LEFT(E257,8)</f>
        <v>03.11.01</v>
      </c>
      <c r="V257" s="1478" t="str">
        <f t="shared" ref="V257:V265" si="216">VLOOKUP(U257,UE,3)</f>
        <v>Bangunan Gedung Tempat Kerja</v>
      </c>
      <c r="W257" s="1478">
        <f t="shared" ref="W257:W265" si="217">VLOOKUP(U257,UE,4)</f>
        <v>50</v>
      </c>
      <c r="X257" s="1401">
        <f t="shared" ref="X257:X265" si="218">R257/W257</f>
        <v>28732420</v>
      </c>
      <c r="Y257" s="1629">
        <f t="shared" ref="Y257:Y265" si="219">IF(2013-L257+1&gt;W257,W257,IF(2013-L257+1&lt;0,0,2013-L257+1))</f>
        <v>0</v>
      </c>
      <c r="Z257" s="1401">
        <f>IF(Y257&gt;W257,R257,X257*Y257)</f>
        <v>0</v>
      </c>
      <c r="AA257" s="1401"/>
      <c r="AB257" s="1401"/>
      <c r="AC257" s="1401">
        <f>IF(R257=Z257+AA257+AB257,0,X257)</f>
        <v>28732420</v>
      </c>
      <c r="AD257" s="1479">
        <f>IF(R257=Z257+AA257+AB257+AC257,0,X257)</f>
        <v>28732420</v>
      </c>
      <c r="AE257" s="1479">
        <f t="shared" si="212"/>
        <v>28732420</v>
      </c>
      <c r="AF257" s="1479">
        <f>IF(R257=Z257+AA257+AB257+AC257+AD257+AE257,0,X257)</f>
        <v>28732420</v>
      </c>
      <c r="AG257" s="1479">
        <f t="shared" si="213"/>
        <v>114929680</v>
      </c>
      <c r="AH257" s="1646">
        <f t="shared" si="211"/>
        <v>1321691320</v>
      </c>
      <c r="AJ257" s="1443"/>
      <c r="AK257" s="1443">
        <f t="shared" si="214"/>
        <v>86197260</v>
      </c>
    </row>
    <row r="258" spans="1:37" s="1390" customFormat="1" ht="40.5" customHeight="1" x14ac:dyDescent="0.2">
      <c r="A258" s="1391"/>
      <c r="B258" s="1477"/>
      <c r="C258" s="1660">
        <v>246</v>
      </c>
      <c r="D258" s="1663" t="s">
        <v>3401</v>
      </c>
      <c r="E258" s="1501" t="s">
        <v>2486</v>
      </c>
      <c r="F258" s="1501"/>
      <c r="G258" s="1416" t="s">
        <v>43</v>
      </c>
      <c r="H258" s="1416" t="s">
        <v>5412</v>
      </c>
      <c r="I258" s="1414" t="s">
        <v>736</v>
      </c>
      <c r="J258" s="1416"/>
      <c r="K258" s="1455" t="s">
        <v>3401</v>
      </c>
      <c r="L258" s="1416">
        <v>2016</v>
      </c>
      <c r="M258" s="1429"/>
      <c r="N258" s="1501"/>
      <c r="O258" s="1416"/>
      <c r="P258" s="1414"/>
      <c r="Q258" s="1501" t="s">
        <v>12</v>
      </c>
      <c r="R258" s="1539">
        <v>1469936000</v>
      </c>
      <c r="S258" s="1662"/>
      <c r="T258" s="1490"/>
      <c r="U258" s="1645" t="str">
        <f t="shared" si="215"/>
        <v>03.11.01</v>
      </c>
      <c r="V258" s="1478" t="str">
        <f t="shared" si="216"/>
        <v>Bangunan Gedung Tempat Kerja</v>
      </c>
      <c r="W258" s="1478">
        <f t="shared" si="217"/>
        <v>50</v>
      </c>
      <c r="X258" s="1401">
        <f t="shared" si="218"/>
        <v>29398720</v>
      </c>
      <c r="Y258" s="1629">
        <f t="shared" si="219"/>
        <v>0</v>
      </c>
      <c r="Z258" s="1401">
        <f>IF(Y258&gt;W258,R258,X258*Y258)</f>
        <v>0</v>
      </c>
      <c r="AA258" s="1401"/>
      <c r="AB258" s="1401"/>
      <c r="AC258" s="1401">
        <f>IF(R258=Z258+AA258+AB258,0,X258)</f>
        <v>29398720</v>
      </c>
      <c r="AD258" s="1479">
        <f>IF(R258=Z258+AA258+AB258+AC258,0,X258)</f>
        <v>29398720</v>
      </c>
      <c r="AE258" s="1479">
        <f t="shared" si="212"/>
        <v>29398720</v>
      </c>
      <c r="AF258" s="1479">
        <f>IF(R258=Z258+AA258+AB258+AC258+AD258+AE258,0,X258)</f>
        <v>29398720</v>
      </c>
      <c r="AG258" s="1479">
        <f t="shared" si="213"/>
        <v>117594880</v>
      </c>
      <c r="AH258" s="1646">
        <f t="shared" si="211"/>
        <v>1352341120</v>
      </c>
      <c r="AJ258" s="1443"/>
      <c r="AK258" s="1443">
        <f t="shared" si="214"/>
        <v>88196160</v>
      </c>
    </row>
    <row r="259" spans="1:37" s="1390" customFormat="1" ht="40.5" customHeight="1" x14ac:dyDescent="0.2">
      <c r="A259" s="1391"/>
      <c r="B259" s="1477"/>
      <c r="C259" s="1660">
        <v>247</v>
      </c>
      <c r="D259" s="1663" t="s">
        <v>5739</v>
      </c>
      <c r="E259" s="1501" t="s">
        <v>2486</v>
      </c>
      <c r="F259" s="1501"/>
      <c r="G259" s="1416" t="s">
        <v>43</v>
      </c>
      <c r="H259" s="1416" t="s">
        <v>5412</v>
      </c>
      <c r="I259" s="1414" t="s">
        <v>736</v>
      </c>
      <c r="J259" s="1416"/>
      <c r="K259" s="1455" t="s">
        <v>2588</v>
      </c>
      <c r="L259" s="1416">
        <v>2017</v>
      </c>
      <c r="M259" s="1429"/>
      <c r="N259" s="1501"/>
      <c r="O259" s="1416"/>
      <c r="P259" s="1414"/>
      <c r="Q259" s="1501" t="s">
        <v>12</v>
      </c>
      <c r="R259" s="1539">
        <v>1530321000</v>
      </c>
      <c r="S259" s="1662"/>
      <c r="T259" s="1490"/>
      <c r="U259" s="1645" t="str">
        <f t="shared" si="215"/>
        <v>03.11.01</v>
      </c>
      <c r="V259" s="1478" t="str">
        <f t="shared" si="216"/>
        <v>Bangunan Gedung Tempat Kerja</v>
      </c>
      <c r="W259" s="1478">
        <f t="shared" si="217"/>
        <v>50</v>
      </c>
      <c r="X259" s="1401">
        <f t="shared" si="218"/>
        <v>30606420</v>
      </c>
      <c r="Y259" s="1629">
        <f t="shared" si="219"/>
        <v>0</v>
      </c>
      <c r="Z259" s="1401">
        <f>IF(Y259&gt;W259,R259,X259*Y259)</f>
        <v>0</v>
      </c>
      <c r="AA259" s="1401"/>
      <c r="AB259" s="1401"/>
      <c r="AC259" s="1401"/>
      <c r="AD259" s="1479">
        <f>IF(R259=Z259+AA259+AB259+AC259,0,X259)</f>
        <v>30606420</v>
      </c>
      <c r="AE259" s="1479">
        <f t="shared" si="212"/>
        <v>30606420</v>
      </c>
      <c r="AF259" s="1479">
        <f>IF(R259=Z259+AA259+AB259+AC259+AD259+AE259,0,X259)</f>
        <v>30606420</v>
      </c>
      <c r="AG259" s="1479">
        <f t="shared" si="213"/>
        <v>91819260</v>
      </c>
      <c r="AH259" s="1646">
        <f t="shared" ref="AH259:AH265" si="220">R259-AG259</f>
        <v>1438501740</v>
      </c>
      <c r="AJ259" s="1443"/>
      <c r="AK259" s="1443">
        <f t="shared" si="214"/>
        <v>61212840</v>
      </c>
    </row>
    <row r="260" spans="1:37" s="1390" customFormat="1" ht="59" customHeight="1" x14ac:dyDescent="0.2">
      <c r="A260" s="1391"/>
      <c r="B260" s="1477"/>
      <c r="C260" s="1660">
        <v>248</v>
      </c>
      <c r="D260" s="1663" t="s">
        <v>5740</v>
      </c>
      <c r="E260" s="1501" t="s">
        <v>2486</v>
      </c>
      <c r="F260" s="1501"/>
      <c r="G260" s="1416" t="s">
        <v>43</v>
      </c>
      <c r="H260" s="1416" t="s">
        <v>5412</v>
      </c>
      <c r="I260" s="1414" t="s">
        <v>736</v>
      </c>
      <c r="J260" s="1416"/>
      <c r="K260" s="1455" t="s">
        <v>3494</v>
      </c>
      <c r="L260" s="1416">
        <v>2018</v>
      </c>
      <c r="M260" s="1429"/>
      <c r="N260" s="1501"/>
      <c r="O260" s="1416"/>
      <c r="P260" s="1414"/>
      <c r="Q260" s="1501" t="s">
        <v>12</v>
      </c>
      <c r="R260" s="1539">
        <v>1765249000</v>
      </c>
      <c r="S260" s="1662"/>
      <c r="T260" s="1490"/>
      <c r="U260" s="1645" t="str">
        <f t="shared" si="215"/>
        <v>03.11.01</v>
      </c>
      <c r="V260" s="1478" t="str">
        <f t="shared" si="216"/>
        <v>Bangunan Gedung Tempat Kerja</v>
      </c>
      <c r="W260" s="1478">
        <f t="shared" si="217"/>
        <v>50</v>
      </c>
      <c r="X260" s="1401">
        <f t="shared" si="218"/>
        <v>35304980</v>
      </c>
      <c r="Y260" s="1629">
        <f t="shared" si="219"/>
        <v>0</v>
      </c>
      <c r="Z260" s="1401"/>
      <c r="AA260" s="1401"/>
      <c r="AB260" s="1401"/>
      <c r="AC260" s="1401"/>
      <c r="AD260" s="1479"/>
      <c r="AE260" s="1479">
        <f t="shared" si="212"/>
        <v>35304980</v>
      </c>
      <c r="AF260" s="1479">
        <f t="shared" ref="AF260:AF265" si="221">IF(R260=Z260+AA260+AB260+AC260+AD260+AE260,0,X260)</f>
        <v>35304980</v>
      </c>
      <c r="AG260" s="1479">
        <f t="shared" si="213"/>
        <v>70609960</v>
      </c>
      <c r="AH260" s="1646">
        <f t="shared" si="220"/>
        <v>1694639040</v>
      </c>
      <c r="AJ260" s="1443"/>
      <c r="AK260" s="1443">
        <f t="shared" si="214"/>
        <v>35304980</v>
      </c>
    </row>
    <row r="261" spans="1:37" s="1390" customFormat="1" ht="59" customHeight="1" x14ac:dyDescent="0.2">
      <c r="A261" s="1391"/>
      <c r="B261" s="1477"/>
      <c r="C261" s="1660">
        <v>249</v>
      </c>
      <c r="D261" s="1663" t="s">
        <v>5741</v>
      </c>
      <c r="E261" s="1501" t="s">
        <v>2486</v>
      </c>
      <c r="F261" s="1501"/>
      <c r="G261" s="1416" t="s">
        <v>43</v>
      </c>
      <c r="H261" s="1416" t="s">
        <v>5412</v>
      </c>
      <c r="I261" s="1414" t="s">
        <v>736</v>
      </c>
      <c r="J261" s="1416"/>
      <c r="K261" s="1455" t="s">
        <v>3495</v>
      </c>
      <c r="L261" s="1416">
        <v>2018</v>
      </c>
      <c r="M261" s="1429"/>
      <c r="N261" s="1501"/>
      <c r="O261" s="1416"/>
      <c r="P261" s="1414"/>
      <c r="Q261" s="1501" t="s">
        <v>12</v>
      </c>
      <c r="R261" s="1539">
        <v>1906019000</v>
      </c>
      <c r="S261" s="1662"/>
      <c r="T261" s="1490"/>
      <c r="U261" s="1645" t="str">
        <f t="shared" si="215"/>
        <v>03.11.01</v>
      </c>
      <c r="V261" s="1478" t="str">
        <f t="shared" si="216"/>
        <v>Bangunan Gedung Tempat Kerja</v>
      </c>
      <c r="W261" s="1478">
        <f t="shared" si="217"/>
        <v>50</v>
      </c>
      <c r="X261" s="1401">
        <f t="shared" si="218"/>
        <v>38120380</v>
      </c>
      <c r="Y261" s="1629">
        <f t="shared" si="219"/>
        <v>0</v>
      </c>
      <c r="Z261" s="1401"/>
      <c r="AA261" s="1401"/>
      <c r="AB261" s="1401"/>
      <c r="AC261" s="1401"/>
      <c r="AD261" s="1479"/>
      <c r="AE261" s="1479">
        <f t="shared" si="212"/>
        <v>38120380</v>
      </c>
      <c r="AF261" s="1479">
        <f t="shared" si="221"/>
        <v>38120380</v>
      </c>
      <c r="AG261" s="1479">
        <f t="shared" si="213"/>
        <v>76240760</v>
      </c>
      <c r="AH261" s="1646">
        <f t="shared" si="220"/>
        <v>1829778240</v>
      </c>
      <c r="AJ261" s="1443"/>
      <c r="AK261" s="1443">
        <f t="shared" si="214"/>
        <v>38120380</v>
      </c>
    </row>
    <row r="262" spans="1:37" s="1390" customFormat="1" ht="59" customHeight="1" x14ac:dyDescent="0.2">
      <c r="A262" s="1391"/>
      <c r="B262" s="1477"/>
      <c r="C262" s="1660">
        <v>250</v>
      </c>
      <c r="D262" s="1663" t="s">
        <v>5742</v>
      </c>
      <c r="E262" s="1501" t="s">
        <v>2486</v>
      </c>
      <c r="F262" s="1501"/>
      <c r="G262" s="1416" t="s">
        <v>43</v>
      </c>
      <c r="H262" s="1416" t="s">
        <v>5412</v>
      </c>
      <c r="I262" s="1414" t="s">
        <v>736</v>
      </c>
      <c r="J262" s="1416"/>
      <c r="K262" s="1455" t="s">
        <v>3496</v>
      </c>
      <c r="L262" s="1416">
        <v>2018</v>
      </c>
      <c r="M262" s="1429"/>
      <c r="N262" s="1501"/>
      <c r="O262" s="1416"/>
      <c r="P262" s="1414"/>
      <c r="Q262" s="1501" t="s">
        <v>12</v>
      </c>
      <c r="R262" s="1539">
        <v>1667398225</v>
      </c>
      <c r="S262" s="1662"/>
      <c r="T262" s="1490"/>
      <c r="U262" s="1645" t="str">
        <f t="shared" si="215"/>
        <v>03.11.01</v>
      </c>
      <c r="V262" s="1478" t="str">
        <f t="shared" si="216"/>
        <v>Bangunan Gedung Tempat Kerja</v>
      </c>
      <c r="W262" s="1478">
        <f t="shared" si="217"/>
        <v>50</v>
      </c>
      <c r="X262" s="1401">
        <f t="shared" si="218"/>
        <v>33347964.5</v>
      </c>
      <c r="Y262" s="1629">
        <f t="shared" si="219"/>
        <v>0</v>
      </c>
      <c r="Z262" s="1401"/>
      <c r="AA262" s="1401"/>
      <c r="AB262" s="1401"/>
      <c r="AC262" s="1401"/>
      <c r="AD262" s="1479"/>
      <c r="AE262" s="1479">
        <f t="shared" si="212"/>
        <v>33347964.5</v>
      </c>
      <c r="AF262" s="1479">
        <f t="shared" si="221"/>
        <v>33347964.5</v>
      </c>
      <c r="AG262" s="1479">
        <f t="shared" si="213"/>
        <v>66695929</v>
      </c>
      <c r="AH262" s="1646">
        <f t="shared" si="220"/>
        <v>1600702296</v>
      </c>
      <c r="AJ262" s="1443"/>
      <c r="AK262" s="1443">
        <f t="shared" si="214"/>
        <v>33347964.5</v>
      </c>
    </row>
    <row r="263" spans="1:37" s="1390" customFormat="1" ht="40.5" customHeight="1" x14ac:dyDescent="0.2">
      <c r="A263" s="1391"/>
      <c r="B263" s="1477"/>
      <c r="C263" s="1660">
        <v>251</v>
      </c>
      <c r="D263" s="1663" t="s">
        <v>5576</v>
      </c>
      <c r="E263" s="1501" t="s">
        <v>2486</v>
      </c>
      <c r="F263" s="1501"/>
      <c r="G263" s="1416" t="s">
        <v>43</v>
      </c>
      <c r="H263" s="1416" t="s">
        <v>5412</v>
      </c>
      <c r="I263" s="1414" t="s">
        <v>736</v>
      </c>
      <c r="J263" s="1416" t="s">
        <v>5743</v>
      </c>
      <c r="K263" s="1455" t="s">
        <v>5470</v>
      </c>
      <c r="L263" s="1416">
        <v>2019</v>
      </c>
      <c r="M263" s="1429" t="s">
        <v>5471</v>
      </c>
      <c r="N263" s="1501" t="s">
        <v>5744</v>
      </c>
      <c r="O263" s="1416" t="s">
        <v>433</v>
      </c>
      <c r="P263" s="1414"/>
      <c r="Q263" s="1501" t="s">
        <v>12</v>
      </c>
      <c r="R263" s="1539">
        <v>1992779200</v>
      </c>
      <c r="S263" s="1662"/>
      <c r="T263" s="1490"/>
      <c r="U263" s="1645" t="str">
        <f t="shared" si="215"/>
        <v>03.11.01</v>
      </c>
      <c r="V263" s="1478" t="str">
        <f t="shared" si="216"/>
        <v>Bangunan Gedung Tempat Kerja</v>
      </c>
      <c r="W263" s="1478">
        <f t="shared" si="217"/>
        <v>50</v>
      </c>
      <c r="X263" s="1401">
        <f t="shared" si="218"/>
        <v>39855584</v>
      </c>
      <c r="Y263" s="1629">
        <f t="shared" si="219"/>
        <v>0</v>
      </c>
      <c r="Z263" s="1401"/>
      <c r="AA263" s="1401"/>
      <c r="AB263" s="1401"/>
      <c r="AC263" s="1401"/>
      <c r="AD263" s="1479"/>
      <c r="AE263" s="1479"/>
      <c r="AF263" s="1479">
        <f t="shared" si="221"/>
        <v>39855584</v>
      </c>
      <c r="AG263" s="1479">
        <f t="shared" si="213"/>
        <v>39855584</v>
      </c>
      <c r="AH263" s="1646">
        <f t="shared" si="220"/>
        <v>1952923616</v>
      </c>
      <c r="AJ263" s="1443"/>
    </row>
    <row r="264" spans="1:37" s="1390" customFormat="1" ht="40.5" customHeight="1" x14ac:dyDescent="0.2">
      <c r="A264" s="1391"/>
      <c r="B264" s="1477"/>
      <c r="C264" s="1660">
        <v>252</v>
      </c>
      <c r="D264" s="1663" t="s">
        <v>5577</v>
      </c>
      <c r="E264" s="1501" t="s">
        <v>2486</v>
      </c>
      <c r="F264" s="1501"/>
      <c r="G264" s="1416" t="s">
        <v>43</v>
      </c>
      <c r="H264" s="1416" t="s">
        <v>5412</v>
      </c>
      <c r="I264" s="1414" t="s">
        <v>736</v>
      </c>
      <c r="J264" s="1416" t="s">
        <v>5743</v>
      </c>
      <c r="K264" s="1455" t="s">
        <v>5475</v>
      </c>
      <c r="L264" s="1416">
        <v>2019</v>
      </c>
      <c r="M264" s="1429" t="s">
        <v>5476</v>
      </c>
      <c r="N264" s="1501" t="s">
        <v>5744</v>
      </c>
      <c r="O264" s="1416" t="s">
        <v>433</v>
      </c>
      <c r="P264" s="1414"/>
      <c r="Q264" s="1501" t="s">
        <v>12</v>
      </c>
      <c r="R264" s="1539">
        <v>1904494761</v>
      </c>
      <c r="S264" s="1662"/>
      <c r="T264" s="1490"/>
      <c r="U264" s="1645" t="str">
        <f t="shared" si="215"/>
        <v>03.11.01</v>
      </c>
      <c r="V264" s="1478" t="str">
        <f t="shared" si="216"/>
        <v>Bangunan Gedung Tempat Kerja</v>
      </c>
      <c r="W264" s="1478">
        <f t="shared" si="217"/>
        <v>50</v>
      </c>
      <c r="X264" s="1401">
        <f t="shared" si="218"/>
        <v>38089895.219999999</v>
      </c>
      <c r="Y264" s="1629">
        <f t="shared" si="219"/>
        <v>0</v>
      </c>
      <c r="Z264" s="1401"/>
      <c r="AA264" s="1401"/>
      <c r="AB264" s="1401"/>
      <c r="AC264" s="1401"/>
      <c r="AD264" s="1479"/>
      <c r="AE264" s="1479"/>
      <c r="AF264" s="1479">
        <f t="shared" si="221"/>
        <v>38089895.219999999</v>
      </c>
      <c r="AG264" s="1479">
        <f t="shared" si="213"/>
        <v>38089895.219999999</v>
      </c>
      <c r="AH264" s="1646">
        <f t="shared" si="220"/>
        <v>1866404865.78</v>
      </c>
      <c r="AJ264" s="1443"/>
    </row>
    <row r="265" spans="1:37" s="1390" customFormat="1" ht="40.5" customHeight="1" x14ac:dyDescent="0.2">
      <c r="A265" s="1391"/>
      <c r="B265" s="1477"/>
      <c r="C265" s="1660">
        <v>253</v>
      </c>
      <c r="D265" s="1663" t="s">
        <v>5472</v>
      </c>
      <c r="E265" s="1501" t="s">
        <v>2486</v>
      </c>
      <c r="F265" s="1501"/>
      <c r="G265" s="1416" t="s">
        <v>43</v>
      </c>
      <c r="H265" s="1416" t="s">
        <v>5412</v>
      </c>
      <c r="I265" s="1414" t="s">
        <v>736</v>
      </c>
      <c r="J265" s="1416" t="s">
        <v>5743</v>
      </c>
      <c r="K265" s="1455" t="s">
        <v>5473</v>
      </c>
      <c r="L265" s="1416">
        <v>2019</v>
      </c>
      <c r="M265" s="1429" t="s">
        <v>5474</v>
      </c>
      <c r="N265" s="1501" t="s">
        <v>5744</v>
      </c>
      <c r="O265" s="1416" t="s">
        <v>433</v>
      </c>
      <c r="P265" s="1414"/>
      <c r="Q265" s="1501" t="s">
        <v>12</v>
      </c>
      <c r="R265" s="1539">
        <v>1999079000</v>
      </c>
      <c r="S265" s="1662"/>
      <c r="T265" s="1490"/>
      <c r="U265" s="1645" t="str">
        <f t="shared" si="215"/>
        <v>03.11.01</v>
      </c>
      <c r="V265" s="1478" t="str">
        <f t="shared" si="216"/>
        <v>Bangunan Gedung Tempat Kerja</v>
      </c>
      <c r="W265" s="1478">
        <f t="shared" si="217"/>
        <v>50</v>
      </c>
      <c r="X265" s="1401">
        <f t="shared" si="218"/>
        <v>39981580</v>
      </c>
      <c r="Y265" s="1629">
        <f t="shared" si="219"/>
        <v>0</v>
      </c>
      <c r="Z265" s="1401"/>
      <c r="AA265" s="1401"/>
      <c r="AB265" s="1401"/>
      <c r="AC265" s="1401"/>
      <c r="AD265" s="1479"/>
      <c r="AE265" s="1479"/>
      <c r="AF265" s="1479">
        <f t="shared" si="221"/>
        <v>39981580</v>
      </c>
      <c r="AG265" s="1479">
        <f t="shared" si="213"/>
        <v>39981580</v>
      </c>
      <c r="AH265" s="1646">
        <f t="shared" si="220"/>
        <v>1959097420</v>
      </c>
      <c r="AJ265" s="1443"/>
    </row>
    <row r="266" spans="1:37" s="1390" customFormat="1" ht="30" customHeight="1" x14ac:dyDescent="0.2">
      <c r="A266" s="1391"/>
      <c r="B266" s="1477"/>
      <c r="C266" s="1660"/>
      <c r="D266" s="1455" t="s">
        <v>52</v>
      </c>
      <c r="E266" s="1501"/>
      <c r="F266" s="1501"/>
      <c r="G266" s="1416"/>
      <c r="H266" s="1416"/>
      <c r="I266" s="1414"/>
      <c r="J266" s="1416"/>
      <c r="K266" s="1455" t="s">
        <v>52</v>
      </c>
      <c r="L266" s="1416"/>
      <c r="M266" s="1429"/>
      <c r="N266" s="1501"/>
      <c r="O266" s="1416"/>
      <c r="P266" s="1414"/>
      <c r="Q266" s="1501"/>
      <c r="R266" s="1539"/>
      <c r="S266" s="1575"/>
      <c r="T266" s="1490"/>
      <c r="U266" s="1391"/>
      <c r="X266" s="1401"/>
      <c r="Y266" s="1629"/>
      <c r="Z266" s="1401"/>
      <c r="AA266" s="1401"/>
      <c r="AB266" s="1401"/>
      <c r="AC266" s="1401"/>
      <c r="AD266" s="1401"/>
      <c r="AE266" s="1401"/>
      <c r="AF266" s="1401"/>
      <c r="AG266" s="1401"/>
    </row>
    <row r="267" spans="1:37" s="1407" customFormat="1" ht="40.5" customHeight="1" x14ac:dyDescent="0.2">
      <c r="A267" s="1424"/>
      <c r="B267" s="1489"/>
      <c r="C267" s="1658" t="s">
        <v>416</v>
      </c>
      <c r="D267" s="1410" t="s">
        <v>1080</v>
      </c>
      <c r="E267" s="1469"/>
      <c r="F267" s="1469"/>
      <c r="G267" s="1508"/>
      <c r="H267" s="1469"/>
      <c r="I267" s="1508"/>
      <c r="J267" s="1469"/>
      <c r="K267" s="1599" t="s">
        <v>52</v>
      </c>
      <c r="L267" s="1469"/>
      <c r="M267" s="1410"/>
      <c r="N267" s="1469"/>
      <c r="O267" s="1469"/>
      <c r="P267" s="1508"/>
      <c r="Q267" s="1469"/>
      <c r="R267" s="1506">
        <f>SUM(R268:R282)</f>
        <v>8095283828.9381819</v>
      </c>
      <c r="S267" s="1571"/>
      <c r="T267" s="1490"/>
      <c r="U267" s="1424"/>
      <c r="X267" s="1446"/>
      <c r="Y267" s="1639"/>
      <c r="Z267" s="1446">
        <f t="shared" ref="Z267:AH267" si="222">SUM(Z268:Z281)</f>
        <v>990460155.57675993</v>
      </c>
      <c r="AA267" s="1446">
        <f t="shared" si="222"/>
        <v>161905676.57876363</v>
      </c>
      <c r="AB267" s="1446">
        <f t="shared" si="222"/>
        <v>161905676.57876363</v>
      </c>
      <c r="AC267" s="1446">
        <f t="shared" si="222"/>
        <v>161905676.57876363</v>
      </c>
      <c r="AD267" s="1446">
        <f t="shared" si="222"/>
        <v>161905676.57876363</v>
      </c>
      <c r="AE267" s="1446">
        <f t="shared" si="222"/>
        <v>161905676.57876363</v>
      </c>
      <c r="AF267" s="1446">
        <f t="shared" si="222"/>
        <v>161905676.57876363</v>
      </c>
      <c r="AG267" s="1446">
        <f t="shared" si="222"/>
        <v>1961894215.0493422</v>
      </c>
      <c r="AH267" s="1446">
        <f t="shared" si="222"/>
        <v>6133389613.8888407</v>
      </c>
    </row>
    <row r="268" spans="1:37" s="1390" customFormat="1" ht="40.5" customHeight="1" x14ac:dyDescent="0.2">
      <c r="A268" s="1391"/>
      <c r="B268" s="1477"/>
      <c r="C268" s="1660">
        <v>1</v>
      </c>
      <c r="D268" s="1455" t="s">
        <v>415</v>
      </c>
      <c r="E268" s="1501" t="s">
        <v>1867</v>
      </c>
      <c r="F268" s="1416"/>
      <c r="G268" s="1416"/>
      <c r="H268" s="1416"/>
      <c r="I268" s="1501" t="s">
        <v>736</v>
      </c>
      <c r="J268" s="1416"/>
      <c r="K268" s="1455" t="s">
        <v>414</v>
      </c>
      <c r="L268" s="1416">
        <v>1980</v>
      </c>
      <c r="M268" s="1429"/>
      <c r="N268" s="1416"/>
      <c r="O268" s="1416"/>
      <c r="P268" s="1429" t="s">
        <v>413</v>
      </c>
      <c r="Q268" s="1501" t="s">
        <v>12</v>
      </c>
      <c r="R268" s="1539">
        <v>88200000</v>
      </c>
      <c r="S268" s="1575"/>
      <c r="T268" s="1490"/>
      <c r="U268" s="1645" t="str">
        <f>LEFT(E268,8)</f>
        <v>03.12.02</v>
      </c>
      <c r="V268" s="1478" t="str">
        <f t="shared" ref="V268:V280" si="223">VLOOKUP(U268,UE,3)</f>
        <v>Bangunan Bersejarah</v>
      </c>
      <c r="W268" s="1478">
        <f t="shared" ref="W268:W280" si="224">VLOOKUP(U268,UE,4)</f>
        <v>50</v>
      </c>
      <c r="X268" s="1401">
        <f>R268/W268</f>
        <v>1764000</v>
      </c>
      <c r="Y268" s="1629">
        <f t="shared" ref="Y268:Y280" si="225">IF(2013-L268+1&gt;W268,W268,IF(2013-L268+1&lt;0,0,2013-L268+1))</f>
        <v>34</v>
      </c>
      <c r="Z268" s="1401">
        <f t="shared" ref="Z268:Z280" si="226">IF(Y268&gt;W268,R268,X268*Y268)</f>
        <v>59976000</v>
      </c>
      <c r="AA268" s="1401">
        <f t="shared" ref="AA268:AA280" si="227">IF(R268=Z268,0,X268)</f>
        <v>1764000</v>
      </c>
      <c r="AB268" s="1401">
        <f t="shared" ref="AB268:AB280" si="228">IF(R268=Z268+AA268,0,X268)</f>
        <v>1764000</v>
      </c>
      <c r="AC268" s="1401">
        <f t="shared" ref="AC268:AC280" si="229">IF(R268=Z268+AA268+AB268,0,X268)</f>
        <v>1764000</v>
      </c>
      <c r="AD268" s="1479">
        <f t="shared" ref="AD268:AD280" si="230">IF(R268=Z268+AA268+AB268+AC268,0,X268)</f>
        <v>1764000</v>
      </c>
      <c r="AE268" s="1479">
        <f t="shared" ref="AE268:AE280" si="231">IF(R268=Z268+AA268+AB268+AC268+AD268,0,X268)</f>
        <v>1764000</v>
      </c>
      <c r="AF268" s="1479">
        <f t="shared" ref="AF268:AF280" si="232">IF(R268=Z268+AA268+AB268+AC268+AD268+AE268,0,X268)</f>
        <v>1764000</v>
      </c>
      <c r="AG268" s="1479">
        <f t="shared" ref="AG268:AG280" si="233">SUM(Z268:AF268)</f>
        <v>70560000</v>
      </c>
      <c r="AH268" s="1646">
        <f t="shared" ref="AH268:AH280" si="234">R268-AG268</f>
        <v>17640000</v>
      </c>
    </row>
    <row r="269" spans="1:37" s="1390" customFormat="1" ht="40.5" customHeight="1" x14ac:dyDescent="0.2">
      <c r="A269" s="1391"/>
      <c r="B269" s="1477"/>
      <c r="C269" s="1660">
        <v>2</v>
      </c>
      <c r="D269" s="1455" t="s">
        <v>409</v>
      </c>
      <c r="E269" s="1501" t="s">
        <v>5763</v>
      </c>
      <c r="F269" s="1416"/>
      <c r="G269" s="1416"/>
      <c r="H269" s="1416"/>
      <c r="I269" s="1501" t="s">
        <v>736</v>
      </c>
      <c r="J269" s="1416"/>
      <c r="K269" s="1455" t="s">
        <v>408</v>
      </c>
      <c r="L269" s="1416">
        <v>1991</v>
      </c>
      <c r="M269" s="1429"/>
      <c r="N269" s="1416"/>
      <c r="O269" s="1416"/>
      <c r="P269" s="1429" t="s">
        <v>407</v>
      </c>
      <c r="Q269" s="1501" t="s">
        <v>12</v>
      </c>
      <c r="R269" s="1539">
        <v>189000000</v>
      </c>
      <c r="S269" s="1575"/>
      <c r="T269" s="1490"/>
      <c r="U269" s="1645" t="str">
        <f t="shared" ref="U269:U280" si="235">LEFT(E269,8)</f>
        <v>03.12.02</v>
      </c>
      <c r="V269" s="1478" t="str">
        <f t="shared" si="223"/>
        <v>Bangunan Bersejarah</v>
      </c>
      <c r="W269" s="1478">
        <f t="shared" si="224"/>
        <v>50</v>
      </c>
      <c r="X269" s="1401">
        <f t="shared" ref="X269:X280" si="236">R269/W269</f>
        <v>3780000</v>
      </c>
      <c r="Y269" s="1629">
        <f t="shared" si="225"/>
        <v>23</v>
      </c>
      <c r="Z269" s="1401">
        <f t="shared" si="226"/>
        <v>86940000</v>
      </c>
      <c r="AA269" s="1401">
        <f t="shared" si="227"/>
        <v>3780000</v>
      </c>
      <c r="AB269" s="1401">
        <f t="shared" si="228"/>
        <v>3780000</v>
      </c>
      <c r="AC269" s="1401">
        <f t="shared" si="229"/>
        <v>3780000</v>
      </c>
      <c r="AD269" s="1479">
        <f t="shared" si="230"/>
        <v>3780000</v>
      </c>
      <c r="AE269" s="1479">
        <f t="shared" si="231"/>
        <v>3780000</v>
      </c>
      <c r="AF269" s="1479">
        <f t="shared" si="232"/>
        <v>3780000</v>
      </c>
      <c r="AG269" s="1479">
        <f t="shared" si="233"/>
        <v>109620000</v>
      </c>
      <c r="AH269" s="1646">
        <f t="shared" si="234"/>
        <v>79380000</v>
      </c>
    </row>
    <row r="270" spans="1:37" s="1390" customFormat="1" ht="40.5" customHeight="1" x14ac:dyDescent="0.2">
      <c r="A270" s="1391"/>
      <c r="B270" s="1477"/>
      <c r="C270" s="1660">
        <v>3</v>
      </c>
      <c r="D270" s="1455" t="s">
        <v>406</v>
      </c>
      <c r="E270" s="1501" t="s">
        <v>5763</v>
      </c>
      <c r="F270" s="1416"/>
      <c r="G270" s="1416"/>
      <c r="H270" s="1416"/>
      <c r="I270" s="1501" t="s">
        <v>736</v>
      </c>
      <c r="J270" s="1416"/>
      <c r="K270" s="1455" t="s">
        <v>405</v>
      </c>
      <c r="L270" s="1416">
        <v>1992</v>
      </c>
      <c r="M270" s="1429"/>
      <c r="N270" s="1416"/>
      <c r="O270" s="1416"/>
      <c r="P270" s="1429" t="s">
        <v>404</v>
      </c>
      <c r="Q270" s="1501" t="s">
        <v>12</v>
      </c>
      <c r="R270" s="1539">
        <v>157500000</v>
      </c>
      <c r="S270" s="1575"/>
      <c r="T270" s="1490"/>
      <c r="U270" s="1645" t="str">
        <f t="shared" si="235"/>
        <v>03.12.02</v>
      </c>
      <c r="V270" s="1478" t="str">
        <f t="shared" si="223"/>
        <v>Bangunan Bersejarah</v>
      </c>
      <c r="W270" s="1478">
        <f t="shared" si="224"/>
        <v>50</v>
      </c>
      <c r="X270" s="1401">
        <f t="shared" si="236"/>
        <v>3150000</v>
      </c>
      <c r="Y270" s="1629">
        <f t="shared" si="225"/>
        <v>22</v>
      </c>
      <c r="Z270" s="1401">
        <f t="shared" si="226"/>
        <v>69300000</v>
      </c>
      <c r="AA270" s="1401">
        <f t="shared" si="227"/>
        <v>3150000</v>
      </c>
      <c r="AB270" s="1401">
        <f t="shared" si="228"/>
        <v>3150000</v>
      </c>
      <c r="AC270" s="1401">
        <f t="shared" si="229"/>
        <v>3150000</v>
      </c>
      <c r="AD270" s="1479">
        <f t="shared" si="230"/>
        <v>3150000</v>
      </c>
      <c r="AE270" s="1479">
        <f t="shared" si="231"/>
        <v>3150000</v>
      </c>
      <c r="AF270" s="1479">
        <f t="shared" si="232"/>
        <v>3150000</v>
      </c>
      <c r="AG270" s="1479">
        <f t="shared" si="233"/>
        <v>88200000</v>
      </c>
      <c r="AH270" s="1646">
        <f t="shared" si="234"/>
        <v>69300000</v>
      </c>
    </row>
    <row r="271" spans="1:37" s="1390" customFormat="1" ht="40.5" customHeight="1" x14ac:dyDescent="0.2">
      <c r="A271" s="1391"/>
      <c r="B271" s="1477"/>
      <c r="C271" s="1660">
        <v>4</v>
      </c>
      <c r="D271" s="1455" t="s">
        <v>403</v>
      </c>
      <c r="E271" s="1501" t="s">
        <v>5763</v>
      </c>
      <c r="F271" s="1416"/>
      <c r="G271" s="1416"/>
      <c r="H271" s="1416"/>
      <c r="I271" s="1501" t="s">
        <v>736</v>
      </c>
      <c r="J271" s="1416"/>
      <c r="K271" s="1455" t="s">
        <v>402</v>
      </c>
      <c r="L271" s="1416">
        <v>2000</v>
      </c>
      <c r="M271" s="1429"/>
      <c r="N271" s="1416"/>
      <c r="O271" s="1416"/>
      <c r="P271" s="1429" t="s">
        <v>401</v>
      </c>
      <c r="Q271" s="1501" t="s">
        <v>12</v>
      </c>
      <c r="R271" s="1539">
        <v>49000000</v>
      </c>
      <c r="S271" s="1575"/>
      <c r="T271" s="1490"/>
      <c r="U271" s="1645" t="str">
        <f t="shared" si="235"/>
        <v>03.12.02</v>
      </c>
      <c r="V271" s="1478" t="str">
        <f t="shared" si="223"/>
        <v>Bangunan Bersejarah</v>
      </c>
      <c r="W271" s="1478">
        <f t="shared" si="224"/>
        <v>50</v>
      </c>
      <c r="X271" s="1401">
        <f t="shared" si="236"/>
        <v>980000</v>
      </c>
      <c r="Y271" s="1629">
        <f t="shared" si="225"/>
        <v>14</v>
      </c>
      <c r="Z271" s="1401">
        <f t="shared" si="226"/>
        <v>13720000</v>
      </c>
      <c r="AA271" s="1401">
        <f t="shared" si="227"/>
        <v>980000</v>
      </c>
      <c r="AB271" s="1401">
        <f t="shared" si="228"/>
        <v>980000</v>
      </c>
      <c r="AC271" s="1401">
        <f t="shared" si="229"/>
        <v>980000</v>
      </c>
      <c r="AD271" s="1479">
        <f t="shared" si="230"/>
        <v>980000</v>
      </c>
      <c r="AE271" s="1479">
        <f t="shared" si="231"/>
        <v>980000</v>
      </c>
      <c r="AF271" s="1479">
        <f t="shared" si="232"/>
        <v>980000</v>
      </c>
      <c r="AG271" s="1479">
        <f t="shared" si="233"/>
        <v>19600000</v>
      </c>
      <c r="AH271" s="1646">
        <f t="shared" si="234"/>
        <v>29400000</v>
      </c>
    </row>
    <row r="272" spans="1:37" s="1390" customFormat="1" ht="40.5" customHeight="1" x14ac:dyDescent="0.2">
      <c r="A272" s="1391"/>
      <c r="B272" s="1477"/>
      <c r="C272" s="1660">
        <v>5</v>
      </c>
      <c r="D272" s="1455" t="s">
        <v>400</v>
      </c>
      <c r="E272" s="1501" t="s">
        <v>1867</v>
      </c>
      <c r="F272" s="1416"/>
      <c r="G272" s="1416"/>
      <c r="H272" s="1416"/>
      <c r="I272" s="1501" t="s">
        <v>736</v>
      </c>
      <c r="J272" s="1416"/>
      <c r="K272" s="1455" t="s">
        <v>399</v>
      </c>
      <c r="L272" s="1416">
        <v>2001</v>
      </c>
      <c r="M272" s="1429"/>
      <c r="N272" s="1416"/>
      <c r="O272" s="1416"/>
      <c r="P272" s="1429" t="s">
        <v>394</v>
      </c>
      <c r="Q272" s="1501" t="s">
        <v>398</v>
      </c>
      <c r="R272" s="1539">
        <v>22050000</v>
      </c>
      <c r="S272" s="1575"/>
      <c r="T272" s="1490"/>
      <c r="U272" s="1645" t="str">
        <f t="shared" si="235"/>
        <v>03.12.02</v>
      </c>
      <c r="V272" s="1478" t="str">
        <f t="shared" si="223"/>
        <v>Bangunan Bersejarah</v>
      </c>
      <c r="W272" s="1478">
        <f t="shared" si="224"/>
        <v>50</v>
      </c>
      <c r="X272" s="1401">
        <f t="shared" si="236"/>
        <v>441000</v>
      </c>
      <c r="Y272" s="1629">
        <f t="shared" si="225"/>
        <v>13</v>
      </c>
      <c r="Z272" s="1401">
        <f t="shared" si="226"/>
        <v>5733000</v>
      </c>
      <c r="AA272" s="1401">
        <f t="shared" si="227"/>
        <v>441000</v>
      </c>
      <c r="AB272" s="1401">
        <f t="shared" si="228"/>
        <v>441000</v>
      </c>
      <c r="AC272" s="1401">
        <f t="shared" si="229"/>
        <v>441000</v>
      </c>
      <c r="AD272" s="1479">
        <f t="shared" si="230"/>
        <v>441000</v>
      </c>
      <c r="AE272" s="1479">
        <f t="shared" si="231"/>
        <v>441000</v>
      </c>
      <c r="AF272" s="1479">
        <f t="shared" si="232"/>
        <v>441000</v>
      </c>
      <c r="AG272" s="1479">
        <f t="shared" si="233"/>
        <v>8379000</v>
      </c>
      <c r="AH272" s="1646">
        <f t="shared" si="234"/>
        <v>13671000</v>
      </c>
    </row>
    <row r="273" spans="1:36" s="1390" customFormat="1" ht="40.5" customHeight="1" x14ac:dyDescent="0.2">
      <c r="A273" s="1391"/>
      <c r="B273" s="1477"/>
      <c r="C273" s="1660">
        <v>6</v>
      </c>
      <c r="D273" s="1455" t="s">
        <v>4346</v>
      </c>
      <c r="E273" s="1501" t="s">
        <v>4243</v>
      </c>
      <c r="F273" s="1501"/>
      <c r="G273" s="1416" t="s">
        <v>43</v>
      </c>
      <c r="H273" s="1416"/>
      <c r="I273" s="1414"/>
      <c r="J273" s="1416"/>
      <c r="K273" s="1455" t="s">
        <v>1095</v>
      </c>
      <c r="L273" s="1416">
        <v>2008</v>
      </c>
      <c r="M273" s="1429"/>
      <c r="N273" s="1501"/>
      <c r="O273" s="1416"/>
      <c r="P273" s="1414"/>
      <c r="Q273" s="1501" t="s">
        <v>12</v>
      </c>
      <c r="R273" s="1539">
        <v>98429383.119542718</v>
      </c>
      <c r="S273" s="1575"/>
      <c r="T273" s="1490"/>
      <c r="U273" s="1645" t="str">
        <f>LEFT(E273,8)</f>
        <v>03.12.01</v>
      </c>
      <c r="V273" s="1478" t="str">
        <f>VLOOKUP(U273,UE,3)</f>
        <v>Bangunan Bersejarah</v>
      </c>
      <c r="W273" s="1478">
        <f>VLOOKUP(U273,UE,4)</f>
        <v>50</v>
      </c>
      <c r="X273" s="1401">
        <f>R273/W273</f>
        <v>1968587.6623908544</v>
      </c>
      <c r="Y273" s="1629">
        <f>IF(2013-L273+1&gt;W273,W273,IF(2013-L273+1&lt;0,0,2013-L273+1))</f>
        <v>6</v>
      </c>
      <c r="Z273" s="1401">
        <f>IF(Y273&gt;W273,R273,X273*Y273)</f>
        <v>11811525.974345127</v>
      </c>
      <c r="AA273" s="1401">
        <f>IF(R273=Z273,0,X273)</f>
        <v>1968587.6623908544</v>
      </c>
      <c r="AB273" s="1401">
        <f>IF(R273=Z273+AA273,0,X273)</f>
        <v>1968587.6623908544</v>
      </c>
      <c r="AC273" s="1401">
        <f>IF(R273=Z273+AA273+AB273,0,X273)</f>
        <v>1968587.6623908544</v>
      </c>
      <c r="AD273" s="1479">
        <f>IF(R273=Z273+AA273+AB273+AC273,0,X273)</f>
        <v>1968587.6623908544</v>
      </c>
      <c r="AE273" s="1479">
        <f>IF(R273=Z273+AA273+AB273+AC273+AD273,0,X273)</f>
        <v>1968587.6623908544</v>
      </c>
      <c r="AF273" s="1479">
        <f>IF(R273=Z273+AA273+AB273+AC273+AD273+AE273,0,X273)</f>
        <v>1968587.6623908544</v>
      </c>
      <c r="AG273" s="1479">
        <f>SUM(Z273:AF273)</f>
        <v>23623051.948690254</v>
      </c>
      <c r="AH273" s="1646">
        <f>R273-AG273</f>
        <v>74806331.170852467</v>
      </c>
      <c r="AJ273" s="1443">
        <f>SUM(Z273:AE273)</f>
        <v>21654464.2862994</v>
      </c>
    </row>
    <row r="274" spans="1:36" s="1390" customFormat="1" ht="40.5" customHeight="1" x14ac:dyDescent="0.2">
      <c r="A274" s="1391"/>
      <c r="B274" s="1477"/>
      <c r="C274" s="1660">
        <v>7</v>
      </c>
      <c r="D274" s="1455" t="s">
        <v>4347</v>
      </c>
      <c r="E274" s="1501" t="s">
        <v>4243</v>
      </c>
      <c r="F274" s="1501"/>
      <c r="G274" s="1416" t="s">
        <v>43</v>
      </c>
      <c r="H274" s="1416"/>
      <c r="I274" s="1414"/>
      <c r="J274" s="1416"/>
      <c r="K274" s="1455" t="s">
        <v>1096</v>
      </c>
      <c r="L274" s="1416">
        <v>2008</v>
      </c>
      <c r="M274" s="1429"/>
      <c r="N274" s="1501"/>
      <c r="O274" s="1416"/>
      <c r="P274" s="1414"/>
      <c r="Q274" s="1501" t="s">
        <v>12</v>
      </c>
      <c r="R274" s="1539">
        <v>133146608.22160593</v>
      </c>
      <c r="S274" s="1575"/>
      <c r="T274" s="1490"/>
      <c r="U274" s="1645" t="str">
        <f>LEFT(E274,8)</f>
        <v>03.12.01</v>
      </c>
      <c r="V274" s="1478" t="str">
        <f>VLOOKUP(U274,UE,3)</f>
        <v>Bangunan Bersejarah</v>
      </c>
      <c r="W274" s="1478">
        <f>VLOOKUP(U274,UE,4)</f>
        <v>50</v>
      </c>
      <c r="X274" s="1401">
        <f>R274/W274</f>
        <v>2662932.1644321186</v>
      </c>
      <c r="Y274" s="1629">
        <f>IF(2013-L274+1&gt;W274,W274,IF(2013-L274+1&lt;0,0,2013-L274+1))</f>
        <v>6</v>
      </c>
      <c r="Z274" s="1401">
        <f>IF(Y274&gt;W274,R274,X274*Y274)</f>
        <v>15977592.986592712</v>
      </c>
      <c r="AA274" s="1401">
        <f>IF(R274=Z274,0,X274)</f>
        <v>2662932.1644321186</v>
      </c>
      <c r="AB274" s="1401">
        <f>IF(R274=Z274+AA274,0,X274)</f>
        <v>2662932.1644321186</v>
      </c>
      <c r="AC274" s="1401">
        <f>IF(R274=Z274+AA274+AB274,0,X274)</f>
        <v>2662932.1644321186</v>
      </c>
      <c r="AD274" s="1479">
        <f>IF(R274=Z274+AA274+AB274+AC274,0,X274)</f>
        <v>2662932.1644321186</v>
      </c>
      <c r="AE274" s="1479">
        <f>IF(R274=Z274+AA274+AB274+AC274+AD274,0,X274)</f>
        <v>2662932.1644321186</v>
      </c>
      <c r="AF274" s="1479">
        <f>IF(R274=Z274+AA274+AB274+AC274+AD274+AE274,0,X274)</f>
        <v>2662932.1644321186</v>
      </c>
      <c r="AG274" s="1479">
        <f>SUM(Z274:AF274)</f>
        <v>31955185.973185427</v>
      </c>
      <c r="AH274" s="1646">
        <f>R274-AG274</f>
        <v>101191422.24842051</v>
      </c>
      <c r="AJ274" s="1443">
        <f>SUM(Z274:AE274)</f>
        <v>29292253.808753308</v>
      </c>
    </row>
    <row r="275" spans="1:36" s="1390" customFormat="1" ht="40.5" customHeight="1" x14ac:dyDescent="0.2">
      <c r="A275" s="1391"/>
      <c r="B275" s="1477"/>
      <c r="C275" s="1660">
        <v>8</v>
      </c>
      <c r="D275" s="1455" t="s">
        <v>1073</v>
      </c>
      <c r="E275" s="1501" t="s">
        <v>2841</v>
      </c>
      <c r="F275" s="1501"/>
      <c r="G275" s="1416" t="s">
        <v>43</v>
      </c>
      <c r="H275" s="1416"/>
      <c r="I275" s="1414"/>
      <c r="J275" s="1416"/>
      <c r="K275" s="1455" t="s">
        <v>417</v>
      </c>
      <c r="L275" s="1416">
        <v>2008</v>
      </c>
      <c r="M275" s="1429"/>
      <c r="N275" s="1501"/>
      <c r="O275" s="1416"/>
      <c r="P275" s="1414"/>
      <c r="Q275" s="1501" t="s">
        <v>12</v>
      </c>
      <c r="R275" s="1539">
        <v>207120100</v>
      </c>
      <c r="S275" s="1575"/>
      <c r="T275" s="1490"/>
      <c r="U275" s="1645" t="str">
        <f>LEFT(E275,8)</f>
        <v>03.12.01</v>
      </c>
      <c r="V275" s="1478" t="str">
        <f>VLOOKUP(U275,UE,3)</f>
        <v>Bangunan Bersejarah</v>
      </c>
      <c r="W275" s="1478">
        <f>VLOOKUP(U275,UE,4)</f>
        <v>50</v>
      </c>
      <c r="X275" s="1401">
        <f>R275/W275</f>
        <v>4142402</v>
      </c>
      <c r="Y275" s="1629">
        <f>IF(2013-L275+1&gt;W275,W275,IF(2013-L275+1&lt;0,0,2013-L275+1))</f>
        <v>6</v>
      </c>
      <c r="Z275" s="1401">
        <f>IF(Y275&gt;W275,R275,X275*Y275)</f>
        <v>24854412</v>
      </c>
      <c r="AA275" s="1401">
        <f>IF(R275=Z275,0,X275)</f>
        <v>4142402</v>
      </c>
      <c r="AB275" s="1401">
        <f>IF(R275=Z275+AA275,0,X275)</f>
        <v>4142402</v>
      </c>
      <c r="AC275" s="1401">
        <f>IF(R275=Z275+AA275+AB275,0,X275)</f>
        <v>4142402</v>
      </c>
      <c r="AD275" s="1479">
        <f>IF(R275=Z275+AA275+AB275+AC275,0,X275)</f>
        <v>4142402</v>
      </c>
      <c r="AE275" s="1479">
        <f>IF(R275=Z275+AA275+AB275+AC275+AD275,0,X275)</f>
        <v>4142402</v>
      </c>
      <c r="AF275" s="1479">
        <f>IF(R275=Z275+AA275+AB275+AC275+AD275+AE275,0,X275)</f>
        <v>4142402</v>
      </c>
      <c r="AG275" s="1479">
        <f>SUM(Z275:AF275)</f>
        <v>49708824</v>
      </c>
      <c r="AH275" s="1646">
        <f>R275-AG275</f>
        <v>157411276</v>
      </c>
      <c r="AJ275" s="1443">
        <f>SUM(Z275:AE275)</f>
        <v>45566422</v>
      </c>
    </row>
    <row r="276" spans="1:36" s="1390" customFormat="1" ht="40.5" customHeight="1" x14ac:dyDescent="0.2">
      <c r="A276" s="1391"/>
      <c r="B276" s="1477"/>
      <c r="C276" s="1660">
        <v>9</v>
      </c>
      <c r="D276" s="1455" t="s">
        <v>5764</v>
      </c>
      <c r="E276" s="1501" t="s">
        <v>4243</v>
      </c>
      <c r="F276" s="1501"/>
      <c r="G276" s="1416" t="s">
        <v>43</v>
      </c>
      <c r="H276" s="1416"/>
      <c r="I276" s="1414" t="s">
        <v>736</v>
      </c>
      <c r="J276" s="1416"/>
      <c r="K276" s="1455" t="s">
        <v>2862</v>
      </c>
      <c r="L276" s="1416">
        <v>2008</v>
      </c>
      <c r="M276" s="1429"/>
      <c r="N276" s="1501"/>
      <c r="O276" s="1416"/>
      <c r="P276" s="1414"/>
      <c r="Q276" s="1501" t="s">
        <v>12</v>
      </c>
      <c r="R276" s="1539">
        <v>149705250</v>
      </c>
      <c r="S276" s="1661"/>
      <c r="T276" s="1490"/>
      <c r="U276" s="1645" t="str">
        <f>LEFT(E276,8)</f>
        <v>03.12.01</v>
      </c>
      <c r="V276" s="1478" t="str">
        <f>VLOOKUP(U276,UE,3)</f>
        <v>Bangunan Bersejarah</v>
      </c>
      <c r="W276" s="1478">
        <f>VLOOKUP(U276,UE,4)</f>
        <v>50</v>
      </c>
      <c r="X276" s="1401">
        <f>R276/W276</f>
        <v>2994105</v>
      </c>
      <c r="Y276" s="1629">
        <f>IF(2013-L276+1&gt;W276,W276,IF(2013-L276+1&lt;0,0,2013-L276+1))</f>
        <v>6</v>
      </c>
      <c r="Z276" s="1401">
        <f>IF(Y276&gt;W276,R276,X276*Y276)</f>
        <v>17964630</v>
      </c>
      <c r="AA276" s="1401">
        <f>IF(R276=Z276,0,X276)</f>
        <v>2994105</v>
      </c>
      <c r="AB276" s="1401">
        <f>IF(R276=Z276+AA276,0,X276)</f>
        <v>2994105</v>
      </c>
      <c r="AC276" s="1401">
        <f>IF(R276=Z276+AA276+AB276,0,X276)</f>
        <v>2994105</v>
      </c>
      <c r="AD276" s="1479">
        <f>IF(R276=Z276+AA276+AB276+AC276,0,X276)</f>
        <v>2994105</v>
      </c>
      <c r="AE276" s="1479">
        <f>IF(R276=Z276+AA276+AB276+AC276+AD276,0,X276)</f>
        <v>2994105</v>
      </c>
      <c r="AF276" s="1479">
        <f>IF(R276=Z276+AA276+AB276+AC276+AD276+AE276,0,X276)</f>
        <v>2994105</v>
      </c>
      <c r="AG276" s="1479">
        <f>SUM(Z276:AF276)</f>
        <v>35929260</v>
      </c>
      <c r="AH276" s="1646">
        <f>R276-AG276</f>
        <v>113775990</v>
      </c>
      <c r="AJ276" s="1443">
        <f>SUM(Z276:AE276)</f>
        <v>32935155</v>
      </c>
    </row>
    <row r="277" spans="1:36" s="1390" customFormat="1" ht="40.5" customHeight="1" x14ac:dyDescent="0.2">
      <c r="A277" s="1391"/>
      <c r="B277" s="1477"/>
      <c r="C277" s="1660">
        <v>10</v>
      </c>
      <c r="D277" s="1455" t="s">
        <v>5417</v>
      </c>
      <c r="E277" s="1501" t="s">
        <v>5763</v>
      </c>
      <c r="F277" s="1416"/>
      <c r="G277" s="1416"/>
      <c r="H277" s="1416"/>
      <c r="I277" s="1501"/>
      <c r="J277" s="1416"/>
      <c r="K277" s="1455" t="s">
        <v>2883</v>
      </c>
      <c r="L277" s="1416">
        <v>2009</v>
      </c>
      <c r="M277" s="1429"/>
      <c r="N277" s="1416"/>
      <c r="O277" s="1416"/>
      <c r="P277" s="1429"/>
      <c r="Q277" s="1501" t="s">
        <v>12</v>
      </c>
      <c r="R277" s="1539">
        <v>6500501134</v>
      </c>
      <c r="S277" s="1575"/>
      <c r="T277" s="1490"/>
      <c r="U277" s="1645" t="str">
        <f>LEFT(E277,8)</f>
        <v>03.12.02</v>
      </c>
      <c r="V277" s="1478" t="str">
        <f>VLOOKUP(U277,UE,3)</f>
        <v>Bangunan Bersejarah</v>
      </c>
      <c r="W277" s="1478">
        <f>VLOOKUP(U277,UE,4)</f>
        <v>50</v>
      </c>
      <c r="X277" s="1401">
        <f>R277/W277</f>
        <v>130010022.68000001</v>
      </c>
      <c r="Y277" s="1629">
        <f>IF(2013-L277+1&gt;W277,W277,IF(2013-L277+1&lt;0,0,2013-L277+1))</f>
        <v>5</v>
      </c>
      <c r="Z277" s="1401">
        <f>IF(Y277&gt;W277,R277,X277*Y277)</f>
        <v>650050113.4000001</v>
      </c>
      <c r="AA277" s="1401">
        <f>IF(R277=Z277,0,X277)</f>
        <v>130010022.68000001</v>
      </c>
      <c r="AB277" s="1401">
        <f>IF(R277=Z277+AA277,0,X277)</f>
        <v>130010022.68000001</v>
      </c>
      <c r="AC277" s="1401">
        <f>IF(R277=Z277+AA277+AB277,0,X277)</f>
        <v>130010022.68000001</v>
      </c>
      <c r="AD277" s="1479">
        <f>IF(R277=Z277+AA277+AB277+AC277,0,X277)</f>
        <v>130010022.68000001</v>
      </c>
      <c r="AE277" s="1479">
        <f>IF(R277=Z277+AA277+AB277+AC277+AD277,0,X277)</f>
        <v>130010022.68000001</v>
      </c>
      <c r="AF277" s="1479">
        <f>IF(R277=Z277+AA277+AB277+AC277+AD277+AE277,0,X277)</f>
        <v>130010022.68000001</v>
      </c>
      <c r="AG277" s="1479">
        <f>SUM(Z277:AF277)</f>
        <v>1430110249.4800005</v>
      </c>
      <c r="AH277" s="1646">
        <f>R277-AG277</f>
        <v>5070390884.5199995</v>
      </c>
    </row>
    <row r="278" spans="1:36" s="1390" customFormat="1" ht="40.5" customHeight="1" x14ac:dyDescent="0.2">
      <c r="A278" s="1391"/>
      <c r="B278" s="1477"/>
      <c r="C278" s="1660">
        <v>11</v>
      </c>
      <c r="D278" s="1455" t="s">
        <v>388</v>
      </c>
      <c r="E278" s="1501" t="s">
        <v>5765</v>
      </c>
      <c r="F278" s="1416"/>
      <c r="G278" s="1416" t="s">
        <v>43</v>
      </c>
      <c r="H278" s="1416"/>
      <c r="I278" s="1501" t="s">
        <v>736</v>
      </c>
      <c r="J278" s="1416"/>
      <c r="K278" s="1455" t="s">
        <v>390</v>
      </c>
      <c r="L278" s="1416">
        <v>2010</v>
      </c>
      <c r="M278" s="1429"/>
      <c r="N278" s="1416"/>
      <c r="O278" s="1416"/>
      <c r="P278" s="1429" t="s">
        <v>384</v>
      </c>
      <c r="Q278" s="1501" t="s">
        <v>12</v>
      </c>
      <c r="R278" s="1539">
        <v>68250000</v>
      </c>
      <c r="S278" s="1575"/>
      <c r="T278" s="1490"/>
      <c r="U278" s="1645" t="str">
        <f t="shared" si="235"/>
        <v>03.12.06</v>
      </c>
      <c r="V278" s="1478" t="str">
        <f t="shared" si="223"/>
        <v>Tugu Titik Kontrol/Pasti</v>
      </c>
      <c r="W278" s="1478">
        <f t="shared" si="224"/>
        <v>50</v>
      </c>
      <c r="X278" s="1401">
        <f t="shared" si="236"/>
        <v>1365000</v>
      </c>
      <c r="Y278" s="1629">
        <f t="shared" si="225"/>
        <v>4</v>
      </c>
      <c r="Z278" s="1401">
        <f t="shared" si="226"/>
        <v>5460000</v>
      </c>
      <c r="AA278" s="1401">
        <f t="shared" si="227"/>
        <v>1365000</v>
      </c>
      <c r="AB278" s="1401">
        <f t="shared" si="228"/>
        <v>1365000</v>
      </c>
      <c r="AC278" s="1401">
        <f t="shared" si="229"/>
        <v>1365000</v>
      </c>
      <c r="AD278" s="1479">
        <f t="shared" si="230"/>
        <v>1365000</v>
      </c>
      <c r="AE278" s="1479">
        <f t="shared" si="231"/>
        <v>1365000</v>
      </c>
      <c r="AF278" s="1479">
        <f t="shared" si="232"/>
        <v>1365000</v>
      </c>
      <c r="AG278" s="1479">
        <f t="shared" si="233"/>
        <v>13650000</v>
      </c>
      <c r="AH278" s="1646">
        <f t="shared" si="234"/>
        <v>54600000</v>
      </c>
    </row>
    <row r="279" spans="1:36" s="1390" customFormat="1" ht="40.5" customHeight="1" x14ac:dyDescent="0.2">
      <c r="A279" s="1391"/>
      <c r="B279" s="1477"/>
      <c r="C279" s="1660">
        <v>12</v>
      </c>
      <c r="D279" s="1455" t="s">
        <v>388</v>
      </c>
      <c r="E279" s="1501" t="s">
        <v>5765</v>
      </c>
      <c r="F279" s="1416"/>
      <c r="G279" s="1416" t="s">
        <v>43</v>
      </c>
      <c r="H279" s="1416"/>
      <c r="I279" s="1501" t="s">
        <v>736</v>
      </c>
      <c r="J279" s="1416"/>
      <c r="K279" s="1455" t="s">
        <v>389</v>
      </c>
      <c r="L279" s="1416">
        <v>2010</v>
      </c>
      <c r="M279" s="1429"/>
      <c r="N279" s="1416"/>
      <c r="O279" s="1416"/>
      <c r="P279" s="1429" t="s">
        <v>384</v>
      </c>
      <c r="Q279" s="1501" t="s">
        <v>12</v>
      </c>
      <c r="R279" s="1539">
        <v>68250000</v>
      </c>
      <c r="S279" s="1575"/>
      <c r="T279" s="1490"/>
      <c r="U279" s="1645" t="str">
        <f t="shared" si="235"/>
        <v>03.12.06</v>
      </c>
      <c r="V279" s="1478" t="str">
        <f t="shared" si="223"/>
        <v>Tugu Titik Kontrol/Pasti</v>
      </c>
      <c r="W279" s="1478">
        <f t="shared" si="224"/>
        <v>50</v>
      </c>
      <c r="X279" s="1401">
        <f t="shared" si="236"/>
        <v>1365000</v>
      </c>
      <c r="Y279" s="1629">
        <f t="shared" si="225"/>
        <v>4</v>
      </c>
      <c r="Z279" s="1401">
        <f t="shared" si="226"/>
        <v>5460000</v>
      </c>
      <c r="AA279" s="1401">
        <f t="shared" si="227"/>
        <v>1365000</v>
      </c>
      <c r="AB279" s="1401">
        <f t="shared" si="228"/>
        <v>1365000</v>
      </c>
      <c r="AC279" s="1401">
        <f t="shared" si="229"/>
        <v>1365000</v>
      </c>
      <c r="AD279" s="1479">
        <f t="shared" si="230"/>
        <v>1365000</v>
      </c>
      <c r="AE279" s="1479">
        <f t="shared" si="231"/>
        <v>1365000</v>
      </c>
      <c r="AF279" s="1479">
        <f t="shared" si="232"/>
        <v>1365000</v>
      </c>
      <c r="AG279" s="1479">
        <f t="shared" si="233"/>
        <v>13650000</v>
      </c>
      <c r="AH279" s="1646">
        <f t="shared" si="234"/>
        <v>54600000</v>
      </c>
    </row>
    <row r="280" spans="1:36" s="1390" customFormat="1" ht="40.5" customHeight="1" x14ac:dyDescent="0.2">
      <c r="A280" s="1391"/>
      <c r="B280" s="1477"/>
      <c r="C280" s="1660">
        <v>13</v>
      </c>
      <c r="D280" s="1455" t="s">
        <v>388</v>
      </c>
      <c r="E280" s="1501" t="s">
        <v>5765</v>
      </c>
      <c r="F280" s="1416"/>
      <c r="G280" s="1416" t="s">
        <v>43</v>
      </c>
      <c r="H280" s="1416"/>
      <c r="I280" s="1501" t="s">
        <v>736</v>
      </c>
      <c r="J280" s="1416"/>
      <c r="K280" s="1455" t="s">
        <v>385</v>
      </c>
      <c r="L280" s="1416">
        <v>2010</v>
      </c>
      <c r="M280" s="1429"/>
      <c r="N280" s="1416"/>
      <c r="O280" s="1416"/>
      <c r="P280" s="1429" t="s">
        <v>384</v>
      </c>
      <c r="Q280" s="1501" t="s">
        <v>12</v>
      </c>
      <c r="R280" s="1539">
        <v>68250000</v>
      </c>
      <c r="S280" s="1575"/>
      <c r="T280" s="1490"/>
      <c r="U280" s="1645" t="str">
        <f t="shared" si="235"/>
        <v>03.12.06</v>
      </c>
      <c r="V280" s="1478" t="str">
        <f t="shared" si="223"/>
        <v>Tugu Titik Kontrol/Pasti</v>
      </c>
      <c r="W280" s="1478">
        <f t="shared" si="224"/>
        <v>50</v>
      </c>
      <c r="X280" s="1401">
        <f t="shared" si="236"/>
        <v>1365000</v>
      </c>
      <c r="Y280" s="1629">
        <f t="shared" si="225"/>
        <v>4</v>
      </c>
      <c r="Z280" s="1401">
        <f t="shared" si="226"/>
        <v>5460000</v>
      </c>
      <c r="AA280" s="1401">
        <f t="shared" si="227"/>
        <v>1365000</v>
      </c>
      <c r="AB280" s="1401">
        <f t="shared" si="228"/>
        <v>1365000</v>
      </c>
      <c r="AC280" s="1401">
        <f t="shared" si="229"/>
        <v>1365000</v>
      </c>
      <c r="AD280" s="1479">
        <f t="shared" si="230"/>
        <v>1365000</v>
      </c>
      <c r="AE280" s="1479">
        <f t="shared" si="231"/>
        <v>1365000</v>
      </c>
      <c r="AF280" s="1479">
        <f t="shared" si="232"/>
        <v>1365000</v>
      </c>
      <c r="AG280" s="1479">
        <f t="shared" si="233"/>
        <v>13650000</v>
      </c>
      <c r="AH280" s="1646">
        <f t="shared" si="234"/>
        <v>54600000</v>
      </c>
    </row>
    <row r="281" spans="1:36" s="1390" customFormat="1" ht="40.5" customHeight="1" x14ac:dyDescent="0.2">
      <c r="A281" s="1391"/>
      <c r="B281" s="1477"/>
      <c r="C281" s="1660">
        <v>14</v>
      </c>
      <c r="D281" s="1455" t="s">
        <v>4342</v>
      </c>
      <c r="E281" s="1501" t="s">
        <v>1867</v>
      </c>
      <c r="F281" s="1501" t="s">
        <v>39</v>
      </c>
      <c r="G281" s="1416" t="s">
        <v>43</v>
      </c>
      <c r="H281" s="1416" t="s">
        <v>2492</v>
      </c>
      <c r="I281" s="1414" t="s">
        <v>736</v>
      </c>
      <c r="J281" s="1416"/>
      <c r="K281" s="1455" t="s">
        <v>417</v>
      </c>
      <c r="L281" s="1416">
        <v>2011</v>
      </c>
      <c r="M281" s="1429" t="s">
        <v>5342</v>
      </c>
      <c r="N281" s="1501"/>
      <c r="O281" s="1416"/>
      <c r="P281" s="1414"/>
      <c r="Q281" s="1501" t="s">
        <v>12</v>
      </c>
      <c r="R281" s="1539">
        <v>295881353.59703356</v>
      </c>
      <c r="S281" s="1661"/>
      <c r="T281" s="1490"/>
      <c r="U281" s="1645" t="str">
        <f>LEFT(E281,8)</f>
        <v>03.12.02</v>
      </c>
      <c r="V281" s="1478" t="str">
        <f>VLOOKUP(U281,UE,3)</f>
        <v>Bangunan Bersejarah</v>
      </c>
      <c r="W281" s="1478">
        <f>VLOOKUP(U281,UE,4)</f>
        <v>50</v>
      </c>
      <c r="X281" s="1401">
        <f>R281/W281</f>
        <v>5917627.0719406717</v>
      </c>
      <c r="Y281" s="1629">
        <f>IF(2013-L281+1&gt;W281,W281,IF(2013-L281+1&lt;0,0,2013-L281+1))</f>
        <v>3</v>
      </c>
      <c r="Z281" s="1401">
        <f>IF(Y281&gt;W281,R281,X281*Y281)</f>
        <v>17752881.215822015</v>
      </c>
      <c r="AA281" s="1401">
        <f>IF(R281=Z281,0,X281)</f>
        <v>5917627.0719406717</v>
      </c>
      <c r="AB281" s="1401">
        <f>IF(R281=Z281+AA281,0,X281)</f>
        <v>5917627.0719406717</v>
      </c>
      <c r="AC281" s="1401">
        <f>IF(R281=Z281+AA281+AB281,0,X281)</f>
        <v>5917627.0719406717</v>
      </c>
      <c r="AD281" s="1479">
        <f>IF(R281=Z281+AA281+AB281+AC281,0,X281)</f>
        <v>5917627.0719406717</v>
      </c>
      <c r="AE281" s="1479">
        <f>IF(R281=Z281+AA281+AB281+AC281+AD281,0,X281)</f>
        <v>5917627.0719406717</v>
      </c>
      <c r="AF281" s="1479">
        <f>IF(R281=Z281+AA281+AB281+AC281+AD281+AE281,0,X281)</f>
        <v>5917627.0719406717</v>
      </c>
      <c r="AG281" s="1479">
        <f>SUM(Z281:AF281)</f>
        <v>53258643.647466049</v>
      </c>
      <c r="AH281" s="1646">
        <f>R281-AG281</f>
        <v>242622709.9495675</v>
      </c>
      <c r="AJ281" s="1443">
        <f>SUM(Z281:AE281)</f>
        <v>47341016.575525373</v>
      </c>
    </row>
    <row r="282" spans="1:36" s="1390" customFormat="1" ht="29.25" customHeight="1" thickBot="1" x14ac:dyDescent="0.25">
      <c r="A282" s="1391"/>
      <c r="B282" s="1477"/>
      <c r="C282" s="1664"/>
      <c r="D282" s="1654"/>
      <c r="E282" s="1569"/>
      <c r="F282" s="1458"/>
      <c r="G282" s="1458"/>
      <c r="H282" s="1458"/>
      <c r="I282" s="1569"/>
      <c r="J282" s="1458"/>
      <c r="K282" s="1654"/>
      <c r="L282" s="1458"/>
      <c r="M282" s="1568"/>
      <c r="N282" s="1458"/>
      <c r="O282" s="1458"/>
      <c r="P282" s="1568"/>
      <c r="Q282" s="1569"/>
      <c r="R282" s="1605"/>
      <c r="S282" s="1665"/>
      <c r="T282" s="1490"/>
      <c r="U282" s="1391"/>
      <c r="X282" s="1401"/>
      <c r="Y282" s="1629"/>
      <c r="Z282" s="1401"/>
      <c r="AA282" s="1401"/>
      <c r="AB282" s="1401"/>
      <c r="AC282" s="1401"/>
      <c r="AD282" s="1401"/>
      <c r="AE282" s="1401"/>
      <c r="AF282" s="1401"/>
      <c r="AG282" s="1401"/>
      <c r="AJ282" s="1443">
        <f>SUM(AJ273:AJ281)</f>
        <v>176789311.67057806</v>
      </c>
    </row>
    <row r="283" spans="1:36" s="1403" customFormat="1" x14ac:dyDescent="0.15">
      <c r="A283" s="1404"/>
      <c r="B283" s="1627"/>
      <c r="C283" s="1655"/>
      <c r="E283" s="1404"/>
      <c r="F283" s="1391"/>
      <c r="H283" s="1404"/>
      <c r="J283" s="1404"/>
      <c r="K283" s="1656"/>
      <c r="L283" s="1404"/>
      <c r="N283" s="1404"/>
      <c r="O283" s="1404"/>
      <c r="Q283" s="1404"/>
      <c r="R283" s="1406"/>
      <c r="U283" s="1391"/>
      <c r="X283" s="1406"/>
      <c r="Y283" s="1629"/>
      <c r="Z283" s="1406"/>
      <c r="AA283" s="1406"/>
      <c r="AB283" s="1406"/>
      <c r="AC283" s="1406"/>
      <c r="AD283" s="1406"/>
      <c r="AE283" s="1406"/>
      <c r="AF283" s="1406"/>
      <c r="AG283" s="1406"/>
    </row>
    <row r="284" spans="1:36" s="1403" customFormat="1" x14ac:dyDescent="0.15">
      <c r="A284" s="1404"/>
      <c r="B284" s="1627"/>
      <c r="C284" s="1655"/>
      <c r="E284" s="1404"/>
      <c r="F284" s="1391"/>
      <c r="H284" s="1404"/>
      <c r="J284" s="1404"/>
      <c r="K284" s="1656"/>
      <c r="L284" s="1404"/>
      <c r="N284" s="1404"/>
      <c r="O284" s="1404"/>
      <c r="Q284" s="1404"/>
      <c r="R284" s="1406"/>
      <c r="U284" s="1391"/>
      <c r="X284" s="1406"/>
      <c r="Y284" s="1629"/>
      <c r="Z284" s="1406"/>
      <c r="AA284" s="1406"/>
      <c r="AB284" s="1406"/>
      <c r="AC284" s="1406"/>
      <c r="AD284" s="1406"/>
      <c r="AE284" s="1406"/>
      <c r="AF284" s="1406"/>
      <c r="AG284" s="1406"/>
    </row>
    <row r="285" spans="1:36" s="1407" customFormat="1" ht="19" customHeight="1" x14ac:dyDescent="0.2">
      <c r="A285" s="1424"/>
      <c r="B285" s="1489"/>
      <c r="C285" s="1857" t="s">
        <v>22</v>
      </c>
      <c r="D285" s="1857"/>
      <c r="E285" s="1857"/>
      <c r="F285" s="1857"/>
      <c r="G285" s="1857"/>
      <c r="H285" s="1424"/>
      <c r="J285" s="1424"/>
      <c r="K285" s="1677"/>
      <c r="L285" s="1424"/>
      <c r="N285" s="1424"/>
      <c r="O285" s="1424"/>
      <c r="Q285" s="1424"/>
      <c r="R285" s="1446"/>
      <c r="U285" s="1424"/>
      <c r="X285" s="1446"/>
      <c r="Y285" s="1639"/>
      <c r="Z285" s="1446"/>
      <c r="AA285" s="1446"/>
      <c r="AB285" s="1446"/>
      <c r="AC285" s="1446"/>
      <c r="AD285" s="1446"/>
      <c r="AE285" s="1446"/>
      <c r="AF285" s="1446"/>
      <c r="AG285" s="1446"/>
    </row>
    <row r="286" spans="1:36" s="1407" customFormat="1" ht="19" customHeight="1" x14ac:dyDescent="0.2">
      <c r="A286" s="1424"/>
      <c r="B286" s="1489"/>
      <c r="C286" s="1857" t="s">
        <v>4374</v>
      </c>
      <c r="D286" s="1857"/>
      <c r="E286" s="1857"/>
      <c r="F286" s="1857"/>
      <c r="G286" s="1857"/>
      <c r="H286" s="1424"/>
      <c r="J286" s="1424"/>
      <c r="K286" s="1677"/>
      <c r="L286" s="1424"/>
      <c r="M286" s="1857" t="s">
        <v>5491</v>
      </c>
      <c r="N286" s="1857"/>
      <c r="O286" s="1857"/>
      <c r="P286" s="1857"/>
      <c r="Q286" s="1857"/>
      <c r="R286" s="1857"/>
      <c r="S286" s="1857"/>
      <c r="T286" s="1424"/>
      <c r="U286" s="1424"/>
      <c r="X286" s="1446"/>
      <c r="Y286" s="1639"/>
      <c r="Z286" s="1446"/>
      <c r="AA286" s="1446"/>
      <c r="AB286" s="1446"/>
      <c r="AC286" s="1446"/>
      <c r="AD286" s="1446"/>
      <c r="AE286" s="1446"/>
      <c r="AF286" s="1446"/>
      <c r="AG286" s="1446"/>
    </row>
    <row r="287" spans="1:36" s="1407" customFormat="1" ht="19" customHeight="1" x14ac:dyDescent="0.2">
      <c r="A287" s="1424"/>
      <c r="B287" s="1489"/>
      <c r="C287" s="1857" t="s">
        <v>6041</v>
      </c>
      <c r="D287" s="1857"/>
      <c r="E287" s="1857"/>
      <c r="F287" s="1857"/>
      <c r="G287" s="1857"/>
      <c r="H287" s="1424"/>
      <c r="J287" s="1424"/>
      <c r="K287" s="1677"/>
      <c r="L287" s="1424"/>
      <c r="M287" s="1857" t="s">
        <v>6040</v>
      </c>
      <c r="N287" s="1857"/>
      <c r="O287" s="1857"/>
      <c r="P287" s="1857"/>
      <c r="Q287" s="1857"/>
      <c r="R287" s="1857"/>
      <c r="S287" s="1857"/>
      <c r="T287" s="1424"/>
      <c r="U287" s="1424"/>
      <c r="X287" s="1446"/>
      <c r="Y287" s="1639"/>
      <c r="Z287" s="1446"/>
      <c r="AA287" s="1446"/>
      <c r="AB287" s="1446"/>
      <c r="AC287" s="1446"/>
      <c r="AD287" s="1446"/>
      <c r="AE287" s="1446"/>
      <c r="AF287" s="1446"/>
      <c r="AG287" s="1446"/>
    </row>
    <row r="288" spans="1:36" s="1407" customFormat="1" ht="19" customHeight="1" x14ac:dyDescent="0.2">
      <c r="A288" s="1424"/>
      <c r="B288" s="1489"/>
      <c r="C288" s="1630"/>
      <c r="E288" s="1424"/>
      <c r="F288" s="1424"/>
      <c r="H288" s="1424"/>
      <c r="J288" s="1424"/>
      <c r="K288" s="1677"/>
      <c r="L288" s="1424"/>
      <c r="N288" s="1424"/>
      <c r="O288" s="1424"/>
      <c r="R288" s="1446"/>
      <c r="U288" s="1424"/>
      <c r="X288" s="1446"/>
      <c r="Y288" s="1639"/>
      <c r="Z288" s="1446"/>
      <c r="AA288" s="1446"/>
      <c r="AB288" s="1446"/>
      <c r="AC288" s="1446"/>
      <c r="AD288" s="1446"/>
      <c r="AE288" s="1446"/>
      <c r="AF288" s="1446"/>
      <c r="AG288" s="1446"/>
    </row>
    <row r="289" spans="1:33" s="1407" customFormat="1" ht="19" customHeight="1" x14ac:dyDescent="0.2">
      <c r="A289" s="1424"/>
      <c r="B289" s="1489"/>
      <c r="C289" s="1630"/>
      <c r="E289" s="1424"/>
      <c r="F289" s="1424"/>
      <c r="H289" s="1424"/>
      <c r="J289" s="1424"/>
      <c r="K289" s="1677"/>
      <c r="L289" s="1424"/>
      <c r="N289" s="1424"/>
      <c r="O289" s="1424"/>
      <c r="R289" s="1446"/>
      <c r="U289" s="1424"/>
      <c r="X289" s="1446"/>
      <c r="Y289" s="1639"/>
      <c r="Z289" s="1446"/>
      <c r="AA289" s="1446"/>
      <c r="AB289" s="1446"/>
      <c r="AC289" s="1446"/>
      <c r="AD289" s="1446"/>
      <c r="AE289" s="1446"/>
      <c r="AF289" s="1446"/>
      <c r="AG289" s="1446"/>
    </row>
    <row r="290" spans="1:33" s="1407" customFormat="1" ht="19" customHeight="1" x14ac:dyDescent="0.2">
      <c r="A290" s="1424"/>
      <c r="B290" s="1489"/>
      <c r="C290" s="1630"/>
      <c r="E290" s="1424"/>
      <c r="F290" s="1424"/>
      <c r="H290" s="1424"/>
      <c r="J290" s="1424"/>
      <c r="K290" s="1677"/>
      <c r="L290" s="1424"/>
      <c r="N290" s="1424"/>
      <c r="O290" s="1424"/>
      <c r="R290" s="1446"/>
      <c r="U290" s="1424"/>
      <c r="X290" s="1446"/>
      <c r="Y290" s="1639"/>
      <c r="Z290" s="1446"/>
      <c r="AA290" s="1446"/>
      <c r="AB290" s="1446"/>
      <c r="AC290" s="1446"/>
      <c r="AD290" s="1446"/>
      <c r="AE290" s="1446"/>
      <c r="AF290" s="1446"/>
      <c r="AG290" s="1446"/>
    </row>
    <row r="291" spans="1:33" s="1407" customFormat="1" ht="19" customHeight="1" x14ac:dyDescent="0.2">
      <c r="A291" s="1424"/>
      <c r="B291" s="1489"/>
      <c r="C291" s="1630"/>
      <c r="E291" s="1424"/>
      <c r="F291" s="1424"/>
      <c r="H291" s="1424"/>
      <c r="J291" s="1424"/>
      <c r="K291" s="1677"/>
      <c r="L291" s="1424"/>
      <c r="N291" s="1424"/>
      <c r="O291" s="1424"/>
      <c r="R291" s="1446"/>
      <c r="U291" s="1424"/>
      <c r="X291" s="1446"/>
      <c r="Y291" s="1639"/>
      <c r="Z291" s="1446"/>
      <c r="AA291" s="1446"/>
      <c r="AB291" s="1446"/>
      <c r="AC291" s="1446"/>
      <c r="AD291" s="1446"/>
      <c r="AE291" s="1446"/>
      <c r="AF291" s="1446"/>
      <c r="AG291" s="1446"/>
    </row>
    <row r="292" spans="1:33" s="1407" customFormat="1" ht="19" customHeight="1" x14ac:dyDescent="0.2">
      <c r="A292" s="1424"/>
      <c r="B292" s="1489"/>
      <c r="C292" s="1630"/>
      <c r="E292" s="1424"/>
      <c r="F292" s="1424"/>
      <c r="H292" s="1424"/>
      <c r="J292" s="1424"/>
      <c r="K292" s="1677"/>
      <c r="L292" s="1424"/>
      <c r="N292" s="1424"/>
      <c r="O292" s="1424"/>
      <c r="R292" s="1446"/>
      <c r="U292" s="1424"/>
      <c r="X292" s="1446"/>
      <c r="Y292" s="1639"/>
      <c r="Z292" s="1446"/>
      <c r="AA292" s="1446"/>
      <c r="AB292" s="1446"/>
      <c r="AC292" s="1446"/>
      <c r="AD292" s="1446"/>
      <c r="AE292" s="1446"/>
      <c r="AF292" s="1446"/>
      <c r="AG292" s="1446"/>
    </row>
    <row r="293" spans="1:33" s="1407" customFormat="1" ht="19" customHeight="1" x14ac:dyDescent="0.2">
      <c r="A293" s="1424"/>
      <c r="B293" s="1489"/>
      <c r="C293" s="1858" t="s">
        <v>5424</v>
      </c>
      <c r="D293" s="1858"/>
      <c r="E293" s="1858"/>
      <c r="F293" s="1858"/>
      <c r="G293" s="1858"/>
      <c r="H293" s="1424"/>
      <c r="J293" s="1424"/>
      <c r="K293" s="1677"/>
      <c r="L293" s="1424"/>
      <c r="M293" s="1858" t="s">
        <v>27</v>
      </c>
      <c r="N293" s="1858"/>
      <c r="O293" s="1858"/>
      <c r="P293" s="1858"/>
      <c r="Q293" s="1858"/>
      <c r="R293" s="1858"/>
      <c r="S293" s="1858"/>
      <c r="T293" s="1449"/>
      <c r="U293" s="1424"/>
      <c r="X293" s="1446"/>
      <c r="Y293" s="1639"/>
      <c r="Z293" s="1446"/>
      <c r="AA293" s="1446"/>
      <c r="AB293" s="1446"/>
      <c r="AC293" s="1446"/>
      <c r="AD293" s="1446"/>
      <c r="AE293" s="1446"/>
      <c r="AF293" s="1446"/>
      <c r="AG293" s="1446"/>
    </row>
    <row r="294" spans="1:33" s="1407" customFormat="1" ht="19" customHeight="1" x14ac:dyDescent="0.2">
      <c r="A294" s="1424"/>
      <c r="B294" s="1489"/>
      <c r="C294" s="1857" t="s">
        <v>4376</v>
      </c>
      <c r="D294" s="1857"/>
      <c r="E294" s="1857"/>
      <c r="F294" s="1857"/>
      <c r="G294" s="1857"/>
      <c r="H294" s="1424"/>
      <c r="J294" s="1424"/>
      <c r="K294" s="1677"/>
      <c r="L294" s="1424"/>
      <c r="M294" s="1857" t="s">
        <v>29</v>
      </c>
      <c r="N294" s="1857"/>
      <c r="O294" s="1857"/>
      <c r="P294" s="1857"/>
      <c r="Q294" s="1857"/>
      <c r="R294" s="1857"/>
      <c r="S294" s="1857"/>
      <c r="T294" s="1424"/>
      <c r="U294" s="1424"/>
      <c r="X294" s="1446"/>
      <c r="Y294" s="1639"/>
      <c r="Z294" s="1446"/>
      <c r="AA294" s="1446"/>
      <c r="AB294" s="1446"/>
      <c r="AC294" s="1446"/>
      <c r="AD294" s="1446"/>
      <c r="AE294" s="1446"/>
      <c r="AF294" s="1446"/>
      <c r="AG294" s="1446"/>
    </row>
    <row r="295" spans="1:33" x14ac:dyDescent="0.15">
      <c r="P295" s="1940"/>
      <c r="Q295" s="1940"/>
      <c r="R295" s="1940"/>
      <c r="S295" s="1940"/>
      <c r="T295" s="1042"/>
    </row>
  </sheetData>
  <mergeCells count="36">
    <mergeCell ref="AH6:AH7"/>
    <mergeCell ref="AG6:AG7"/>
    <mergeCell ref="Z6:AF6"/>
    <mergeCell ref="U6:U7"/>
    <mergeCell ref="V6:V7"/>
    <mergeCell ref="W6:W7"/>
    <mergeCell ref="X6:X7"/>
    <mergeCell ref="Y6:Y7"/>
    <mergeCell ref="C286:G286"/>
    <mergeCell ref="C287:G287"/>
    <mergeCell ref="M286:S286"/>
    <mergeCell ref="M287:S287"/>
    <mergeCell ref="P295:S295"/>
    <mergeCell ref="C293:G293"/>
    <mergeCell ref="C294:G294"/>
    <mergeCell ref="M293:S293"/>
    <mergeCell ref="M294:S294"/>
    <mergeCell ref="B6:B7"/>
    <mergeCell ref="S6:S7"/>
    <mergeCell ref="R6:R7"/>
    <mergeCell ref="D6:D7"/>
    <mergeCell ref="C285:G285"/>
    <mergeCell ref="C2:S2"/>
    <mergeCell ref="C3:S3"/>
    <mergeCell ref="C6:C7"/>
    <mergeCell ref="E6:E7"/>
    <mergeCell ref="F6:F7"/>
    <mergeCell ref="G6:G7"/>
    <mergeCell ref="H6:J6"/>
    <mergeCell ref="K6:K7"/>
    <mergeCell ref="L6:M6"/>
    <mergeCell ref="N6:N7"/>
    <mergeCell ref="O6:O7"/>
    <mergeCell ref="P6:P7"/>
    <mergeCell ref="Q6:Q7"/>
    <mergeCell ref="C5:D5"/>
  </mergeCells>
  <printOptions horizontalCentered="1"/>
  <pageMargins left="0" right="0.643700787" top="1.0374015750000001" bottom="0.66929133858267698" header="0.31496062992126" footer="0.31496062992126"/>
  <pageSetup paperSize="5" scale="50" orientation="landscape"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2:BG647"/>
  <sheetViews>
    <sheetView topLeftCell="A3" zoomScale="86" zoomScaleNormal="86" workbookViewId="0">
      <pane xSplit="6" ySplit="5" topLeftCell="H221" activePane="bottomRight" state="frozen"/>
      <selection activeCell="A3" sqref="A3"/>
      <selection pane="topRight" activeCell="G3" sqref="G3"/>
      <selection pane="bottomLeft" activeCell="A8" sqref="A8"/>
      <selection pane="bottomRight" activeCell="F230" sqref="F230"/>
    </sheetView>
  </sheetViews>
  <sheetFormatPr baseColWidth="10" defaultColWidth="9.1640625" defaultRowHeight="15" x14ac:dyDescent="0.2"/>
  <cols>
    <col min="1" max="1" width="9.1640625" style="419"/>
    <col min="2" max="2" width="9.1640625" style="686"/>
    <col min="3" max="3" width="34.83203125" style="419" customWidth="1"/>
    <col min="4" max="4" width="14.83203125" style="419" customWidth="1"/>
    <col min="5" max="6" width="9.1640625" style="419"/>
    <col min="7" max="7" width="18.33203125" style="562" customWidth="1"/>
    <col min="8" max="9" width="9.1640625" style="419"/>
    <col min="10" max="10" width="17" style="419" customWidth="1"/>
    <col min="11" max="11" width="9.1640625" style="419"/>
    <col min="12" max="12" width="16.33203125" style="419" customWidth="1"/>
    <col min="13" max="13" width="13.5" style="679" customWidth="1"/>
    <col min="14" max="14" width="14.5" style="419" customWidth="1"/>
    <col min="15" max="18" width="16.6640625" style="419" customWidth="1"/>
    <col min="19" max="19" width="11" style="419" customWidth="1"/>
    <col min="20" max="20" width="11.83203125" style="419" customWidth="1"/>
    <col min="21" max="21" width="19.5" style="562" customWidth="1"/>
    <col min="22" max="22" width="9.1640625" style="419"/>
    <col min="23" max="23" width="17.6640625" style="562" customWidth="1"/>
    <col min="24" max="24" width="9.1640625" style="419"/>
    <col min="25" max="25" width="5.5" style="419" customWidth="1"/>
    <col min="26" max="26" width="2.83203125" style="419" customWidth="1"/>
    <col min="27" max="29" width="9.1640625" style="419"/>
    <col min="30" max="30" width="24.1640625" style="562" customWidth="1"/>
    <col min="31" max="31" width="9.1640625" style="419"/>
    <col min="32" max="32" width="16.6640625" style="562" customWidth="1"/>
    <col min="33" max="16384" width="9.1640625" style="419"/>
  </cols>
  <sheetData>
    <row r="2" spans="1:59" x14ac:dyDescent="0.2">
      <c r="T2" s="420"/>
    </row>
    <row r="3" spans="1:59" x14ac:dyDescent="0.2">
      <c r="B3" s="720" t="s">
        <v>4244</v>
      </c>
      <c r="C3" s="720" t="s">
        <v>4244</v>
      </c>
      <c r="D3" s="720" t="s">
        <v>4244</v>
      </c>
      <c r="E3" s="720" t="s">
        <v>4244</v>
      </c>
      <c r="F3" s="720" t="s">
        <v>4244</v>
      </c>
      <c r="G3" s="720" t="s">
        <v>4244</v>
      </c>
      <c r="H3" s="720" t="s">
        <v>4244</v>
      </c>
      <c r="I3" s="720" t="s">
        <v>4244</v>
      </c>
      <c r="J3" s="720" t="s">
        <v>4244</v>
      </c>
      <c r="K3" s="720" t="s">
        <v>4244</v>
      </c>
      <c r="L3" s="720" t="s">
        <v>4244</v>
      </c>
      <c r="M3" s="720" t="s">
        <v>4244</v>
      </c>
      <c r="N3" s="720" t="s">
        <v>4244</v>
      </c>
      <c r="O3" s="720" t="s">
        <v>4244</v>
      </c>
      <c r="P3" s="720" t="s">
        <v>4244</v>
      </c>
      <c r="Q3" s="720" t="s">
        <v>4244</v>
      </c>
      <c r="R3" s="720" t="s">
        <v>4244</v>
      </c>
      <c r="S3" s="720" t="s">
        <v>4244</v>
      </c>
      <c r="T3" s="720" t="s">
        <v>4244</v>
      </c>
      <c r="U3" s="720" t="s">
        <v>4244</v>
      </c>
      <c r="V3" s="720" t="s">
        <v>4244</v>
      </c>
      <c r="W3" s="720" t="s">
        <v>4244</v>
      </c>
      <c r="X3" s="720" t="s">
        <v>4244</v>
      </c>
    </row>
    <row r="4" spans="1:59" s="422" customFormat="1" ht="18" customHeight="1" x14ac:dyDescent="0.2">
      <c r="B4" s="688" t="s">
        <v>4200</v>
      </c>
      <c r="C4" s="556"/>
      <c r="D4" s="553" t="s">
        <v>4216</v>
      </c>
      <c r="E4" s="553"/>
      <c r="F4" s="421"/>
      <c r="G4" s="611"/>
      <c r="I4" s="423"/>
      <c r="J4" s="424"/>
      <c r="K4" s="424"/>
      <c r="M4" s="680"/>
      <c r="U4" s="611"/>
      <c r="W4" s="611"/>
      <c r="Y4" s="425"/>
      <c r="Z4" s="425"/>
      <c r="AA4" s="425"/>
      <c r="AB4" s="425"/>
      <c r="AC4" s="425"/>
      <c r="AD4" s="563"/>
      <c r="AE4" s="425"/>
      <c r="AF4" s="563"/>
      <c r="AG4" s="425"/>
      <c r="AH4" s="425"/>
      <c r="AI4" s="425"/>
      <c r="AJ4" s="425"/>
      <c r="AK4" s="425"/>
      <c r="AL4" s="425"/>
      <c r="AM4" s="425"/>
      <c r="AN4" s="425"/>
      <c r="AO4" s="425"/>
      <c r="AP4" s="425"/>
      <c r="AQ4" s="425"/>
      <c r="AR4" s="425"/>
      <c r="AS4" s="425"/>
      <c r="AT4" s="425"/>
      <c r="AU4" s="425"/>
      <c r="AV4" s="425"/>
      <c r="AW4" s="425"/>
      <c r="AX4" s="425"/>
      <c r="AY4" s="425"/>
      <c r="AZ4" s="425"/>
      <c r="BA4" s="425"/>
      <c r="BB4" s="425"/>
    </row>
    <row r="5" spans="1:59" s="431" customFormat="1" ht="18" customHeight="1" x14ac:dyDescent="0.2">
      <c r="B5" s="1968" t="s">
        <v>5</v>
      </c>
      <c r="C5" s="1968" t="s">
        <v>2280</v>
      </c>
      <c r="D5" s="1968" t="s">
        <v>4157</v>
      </c>
      <c r="E5" s="1968" t="s">
        <v>4158</v>
      </c>
      <c r="F5" s="1968"/>
      <c r="G5" s="1969" t="s">
        <v>4159</v>
      </c>
      <c r="H5" s="1355" t="s">
        <v>4160</v>
      </c>
      <c r="I5" s="1355"/>
      <c r="J5" s="1968" t="s">
        <v>4161</v>
      </c>
      <c r="K5" s="1964" t="s">
        <v>4162</v>
      </c>
      <c r="L5" s="1968" t="s">
        <v>4163</v>
      </c>
      <c r="M5" s="1971" t="s">
        <v>4164</v>
      </c>
      <c r="N5" s="1962" t="s">
        <v>4165</v>
      </c>
      <c r="O5" s="1968" t="s">
        <v>4166</v>
      </c>
      <c r="P5" s="1972" t="s">
        <v>4167</v>
      </c>
      <c r="Q5" s="1973"/>
      <c r="R5" s="631" t="s">
        <v>4168</v>
      </c>
      <c r="S5" s="1972" t="s">
        <v>4169</v>
      </c>
      <c r="T5" s="1974"/>
      <c r="U5" s="1973"/>
      <c r="V5" s="1975" t="s">
        <v>4170</v>
      </c>
      <c r="W5" s="1975"/>
      <c r="X5" s="1960" t="s">
        <v>4171</v>
      </c>
      <c r="Y5" s="1959"/>
      <c r="Z5" s="628"/>
      <c r="AA5" s="426"/>
      <c r="AB5" s="426"/>
      <c r="AC5" s="426"/>
      <c r="AD5" s="564"/>
      <c r="AE5" s="426"/>
      <c r="AF5" s="564"/>
      <c r="AG5" s="426"/>
      <c r="AH5" s="426"/>
      <c r="AI5" s="427"/>
      <c r="AJ5" s="427"/>
      <c r="AK5" s="427"/>
      <c r="AL5" s="427"/>
      <c r="AM5" s="428"/>
      <c r="AN5" s="427"/>
      <c r="AO5" s="427"/>
      <c r="AP5" s="426"/>
      <c r="AQ5" s="427"/>
      <c r="AR5" s="427"/>
      <c r="AS5" s="427"/>
      <c r="AT5" s="426"/>
      <c r="AU5" s="427"/>
      <c r="AV5" s="427"/>
      <c r="AW5" s="427"/>
      <c r="AX5" s="426"/>
      <c r="AY5" s="427"/>
      <c r="AZ5" s="427"/>
      <c r="BA5" s="427"/>
      <c r="BB5" s="429"/>
      <c r="BC5" s="430"/>
      <c r="BD5" s="430"/>
    </row>
    <row r="6" spans="1:59" s="431" customFormat="1" ht="18" customHeight="1" x14ac:dyDescent="0.2">
      <c r="B6" s="1968"/>
      <c r="C6" s="1968"/>
      <c r="D6" s="1968"/>
      <c r="E6" s="1968"/>
      <c r="F6" s="1968"/>
      <c r="G6" s="1969"/>
      <c r="H6" s="1355"/>
      <c r="I6" s="1355"/>
      <c r="J6" s="1968"/>
      <c r="K6" s="1970"/>
      <c r="L6" s="1968"/>
      <c r="M6" s="1971"/>
      <c r="N6" s="1963"/>
      <c r="O6" s="1968"/>
      <c r="P6" s="1960" t="s">
        <v>4172</v>
      </c>
      <c r="Q6" s="1960" t="s">
        <v>4173</v>
      </c>
      <c r="R6" s="1962" t="s">
        <v>4159</v>
      </c>
      <c r="S6" s="1962" t="s">
        <v>4174</v>
      </c>
      <c r="T6" s="1964" t="s">
        <v>4175</v>
      </c>
      <c r="U6" s="1966" t="s">
        <v>4159</v>
      </c>
      <c r="V6" s="1975"/>
      <c r="W6" s="1975"/>
      <c r="X6" s="1976"/>
      <c r="Y6" s="1959"/>
      <c r="Z6" s="628"/>
      <c r="AA6" s="426"/>
      <c r="AB6" s="426"/>
      <c r="AC6" s="426"/>
      <c r="AD6" s="564"/>
      <c r="AE6" s="426"/>
      <c r="AF6" s="564"/>
      <c r="AG6" s="426"/>
      <c r="AH6" s="426"/>
      <c r="AI6" s="427"/>
      <c r="AJ6" s="427"/>
      <c r="AK6" s="426"/>
      <c r="AL6" s="427"/>
      <c r="AM6" s="428"/>
      <c r="AN6" s="427"/>
      <c r="AO6" s="427"/>
      <c r="AP6" s="432"/>
      <c r="AQ6" s="427"/>
      <c r="AR6" s="427"/>
      <c r="AS6" s="427"/>
      <c r="AT6" s="432"/>
      <c r="AU6" s="427"/>
      <c r="AV6" s="427"/>
      <c r="AW6" s="427"/>
      <c r="AX6" s="432"/>
      <c r="AY6" s="427"/>
      <c r="AZ6" s="427"/>
      <c r="BA6" s="427"/>
      <c r="BB6" s="429"/>
      <c r="BC6" s="430"/>
      <c r="BD6" s="430"/>
    </row>
    <row r="7" spans="1:59" s="431" customFormat="1" ht="21.75" customHeight="1" x14ac:dyDescent="0.2">
      <c r="B7" s="1968"/>
      <c r="C7" s="1968"/>
      <c r="D7" s="1968"/>
      <c r="E7" s="433" t="s">
        <v>4176</v>
      </c>
      <c r="F7" s="434" t="s">
        <v>2288</v>
      </c>
      <c r="G7" s="1969"/>
      <c r="H7" s="1355" t="s">
        <v>2288</v>
      </c>
      <c r="I7" s="1355" t="s">
        <v>4177</v>
      </c>
      <c r="J7" s="1968"/>
      <c r="K7" s="1965"/>
      <c r="L7" s="435" t="s">
        <v>2288</v>
      </c>
      <c r="M7" s="681" t="s">
        <v>2288</v>
      </c>
      <c r="N7" s="630" t="s">
        <v>2288</v>
      </c>
      <c r="O7" s="1968"/>
      <c r="P7" s="1961"/>
      <c r="Q7" s="1961"/>
      <c r="R7" s="1963"/>
      <c r="S7" s="1963"/>
      <c r="T7" s="1965"/>
      <c r="U7" s="1967"/>
      <c r="V7" s="630" t="s">
        <v>4178</v>
      </c>
      <c r="W7" s="632" t="s">
        <v>4159</v>
      </c>
      <c r="X7" s="1961"/>
      <c r="Y7" s="436"/>
      <c r="Z7" s="436"/>
      <c r="AA7" s="426"/>
      <c r="AB7" s="426"/>
      <c r="AC7" s="426"/>
      <c r="AD7" s="564"/>
      <c r="AE7" s="426"/>
      <c r="AF7" s="564"/>
      <c r="AG7" s="426"/>
      <c r="AH7" s="426"/>
      <c r="AI7" s="427"/>
      <c r="AJ7" s="432"/>
      <c r="AK7" s="432"/>
      <c r="AL7" s="427"/>
      <c r="AM7" s="428"/>
      <c r="AN7" s="432"/>
      <c r="AO7" s="427"/>
      <c r="AP7" s="432"/>
      <c r="AQ7" s="432"/>
      <c r="AR7" s="427"/>
      <c r="AS7" s="427"/>
      <c r="AT7" s="432"/>
      <c r="AU7" s="432"/>
      <c r="AV7" s="427"/>
      <c r="AW7" s="427"/>
      <c r="AX7" s="432"/>
      <c r="AY7" s="432"/>
      <c r="AZ7" s="427"/>
      <c r="BA7" s="427"/>
      <c r="BB7" s="429"/>
      <c r="BC7" s="430"/>
      <c r="BD7" s="430"/>
    </row>
    <row r="8" spans="1:59" s="461" customFormat="1" ht="18" customHeight="1" x14ac:dyDescent="0.2">
      <c r="A8" s="461" t="str">
        <f>$D$4&amp;S8</f>
        <v>KANTOR DINAS PEKERJAAN UMUM DAN PENATAAN RUANG2000</v>
      </c>
      <c r="B8" s="689">
        <v>1</v>
      </c>
      <c r="C8" s="597" t="s">
        <v>457</v>
      </c>
      <c r="D8" s="597" t="s">
        <v>1752</v>
      </c>
      <c r="E8" s="598"/>
      <c r="F8" s="599">
        <v>2000</v>
      </c>
      <c r="G8" s="626">
        <v>811188000</v>
      </c>
      <c r="H8" s="600">
        <f>VLOOKUP(LEFT(D8,8),UE,4)</f>
        <v>50</v>
      </c>
      <c r="I8" s="601"/>
      <c r="J8" s="602">
        <f t="shared" ref="J8:J17" si="0">(F8+N8)-1</f>
        <v>2049</v>
      </c>
      <c r="K8" s="603"/>
      <c r="L8" s="600"/>
      <c r="M8" s="685">
        <f>IF(H8+L8&gt;$H8,$H8-H8,L8)</f>
        <v>0</v>
      </c>
      <c r="N8" s="604">
        <f>H8+M8</f>
        <v>50</v>
      </c>
      <c r="O8" s="602">
        <f t="shared" ref="O8:O17" si="1">(F8+N8)-1</f>
        <v>2049</v>
      </c>
      <c r="P8" s="605">
        <f>G8</f>
        <v>811188000</v>
      </c>
      <c r="Q8" s="606">
        <v>0</v>
      </c>
      <c r="R8" s="606">
        <f>P8/N8</f>
        <v>16223760</v>
      </c>
      <c r="S8" s="607">
        <f t="shared" ref="S8:S17" si="2">F8</f>
        <v>2000</v>
      </c>
      <c r="T8" s="608">
        <v>1</v>
      </c>
      <c r="U8" s="615">
        <f t="shared" ref="U8:U17" si="3">R8*T8</f>
        <v>16223760</v>
      </c>
      <c r="V8" s="602">
        <f t="shared" ref="V8:V17" si="4">F8</f>
        <v>2000</v>
      </c>
      <c r="W8" s="618">
        <f>IF(OR(AND(ISBLANK(E8),ISBLANK(G8)),ISTEXT(E8),ISTEXT(G8)),"",G8-R8)</f>
        <v>794964240</v>
      </c>
      <c r="X8" s="609"/>
      <c r="Y8" s="449"/>
      <c r="Z8" s="449"/>
      <c r="AA8" s="693"/>
      <c r="AB8" s="452"/>
      <c r="AC8" s="452"/>
      <c r="AD8" s="571"/>
      <c r="AE8" s="452"/>
      <c r="AF8" s="571"/>
      <c r="AG8" s="452"/>
      <c r="AH8" s="452"/>
      <c r="AI8" s="453"/>
      <c r="AJ8" s="449"/>
      <c r="AK8" s="453"/>
      <c r="AL8" s="454"/>
      <c r="AM8" s="455"/>
      <c r="AN8" s="456"/>
      <c r="AO8" s="455"/>
      <c r="AP8" s="452"/>
      <c r="AQ8" s="457"/>
      <c r="AR8" s="449"/>
      <c r="AS8" s="449"/>
      <c r="AT8" s="452"/>
      <c r="AU8" s="457"/>
      <c r="AV8" s="449"/>
      <c r="AW8" s="458"/>
      <c r="AX8" s="452"/>
      <c r="AY8" s="457"/>
      <c r="AZ8" s="449"/>
      <c r="BA8" s="459"/>
      <c r="BB8" s="455"/>
      <c r="BC8" s="460"/>
      <c r="BD8" s="460"/>
      <c r="BG8" s="462"/>
    </row>
    <row r="9" spans="1:59" s="461" customFormat="1" ht="18" customHeight="1" x14ac:dyDescent="0.2">
      <c r="A9" s="461" t="str">
        <f t="shared" ref="A9:A17" si="5">$D$4&amp;S9</f>
        <v>KANTOR DINAS PEKERJAAN UMUM DAN PENATAAN RUANG2012</v>
      </c>
      <c r="B9" s="708">
        <v>2</v>
      </c>
      <c r="C9" s="489" t="s">
        <v>1074</v>
      </c>
      <c r="D9" s="489" t="s">
        <v>1752</v>
      </c>
      <c r="E9" s="558"/>
      <c r="F9" s="559">
        <v>2012</v>
      </c>
      <c r="G9" s="619">
        <v>19496000</v>
      </c>
      <c r="H9" s="464">
        <f t="shared" ref="H9:H17" si="6">IF(N8-(F9-F8)&lt;=0,0,(N8-(F9-F8)))</f>
        <v>38</v>
      </c>
      <c r="I9" s="560"/>
      <c r="J9" s="468">
        <f t="shared" si="0"/>
        <v>2054</v>
      </c>
      <c r="K9" s="490">
        <f t="shared" ref="K9:K17" si="7">IF(G9=0,0,IF(H9=50,100%,G9/W8))</f>
        <v>2.4524373574338388E-2</v>
      </c>
      <c r="L9" s="469">
        <f t="shared" ref="L9:L17" si="8">IF(K9=0%,0,IF(K9&lt;=25%,5,IF(K9&lt;=50%,10,IF(K9&lt;=75%,15,50))))</f>
        <v>5</v>
      </c>
      <c r="M9" s="683">
        <f>IF(OR(AND(ISBLANK(E9),ISBLANK(G9)),ISTEXT(E9),ISTEXT(G9)),"",IF(H9+L9&gt;$H$8,$H$8-H9,L9))</f>
        <v>5</v>
      </c>
      <c r="N9" s="470">
        <f t="shared" ref="N9:N17" si="9">IF(OR(AND(ISBLANK(F9),ISBLANK(G9)),ISTEXT(F9),ISTEXT(G9)),"",H9+M9)</f>
        <v>43</v>
      </c>
      <c r="O9" s="468">
        <f t="shared" si="1"/>
        <v>2054</v>
      </c>
      <c r="P9" s="471">
        <f t="shared" ref="P9:P17" si="10">W8</f>
        <v>794964240</v>
      </c>
      <c r="Q9" s="472">
        <f t="shared" ref="Q9:Q17" si="11">P9+G9</f>
        <v>814460240</v>
      </c>
      <c r="R9" s="472">
        <f t="shared" ref="R9:R17" si="12">IF(L9=0,R8,Q9/N9)</f>
        <v>18940935.813953489</v>
      </c>
      <c r="S9" s="629">
        <f t="shared" si="2"/>
        <v>2012</v>
      </c>
      <c r="T9" s="470">
        <f t="shared" ref="T9:T17" si="13">S9-S8</f>
        <v>12</v>
      </c>
      <c r="U9" s="612">
        <f t="shared" si="3"/>
        <v>227291229.76744187</v>
      </c>
      <c r="V9" s="464">
        <f t="shared" si="4"/>
        <v>2012</v>
      </c>
      <c r="W9" s="612">
        <f t="shared" ref="W9:W17" si="14">IF(OR(AND(ISBLANK(E9),ISBLANK(G9)),ISTEXT(E9),ISTEXT(G9)),"",Q9-U9)</f>
        <v>587169010.23255813</v>
      </c>
      <c r="X9" s="561"/>
      <c r="Y9" s="449"/>
      <c r="Z9" s="449"/>
      <c r="AA9" s="693"/>
      <c r="AB9" s="452"/>
      <c r="AC9" s="452"/>
      <c r="AD9" s="571"/>
      <c r="AE9" s="452"/>
      <c r="AF9" s="571"/>
      <c r="AG9" s="452"/>
      <c r="AH9" s="452"/>
      <c r="AI9" s="453"/>
      <c r="AJ9" s="449"/>
      <c r="AK9" s="453"/>
      <c r="AL9" s="454"/>
      <c r="AM9" s="455"/>
      <c r="AN9" s="456"/>
      <c r="AO9" s="455"/>
      <c r="AP9" s="452"/>
      <c r="AQ9" s="457"/>
      <c r="AR9" s="449"/>
      <c r="AS9" s="449"/>
      <c r="AT9" s="452"/>
      <c r="AU9" s="457"/>
      <c r="AV9" s="449"/>
      <c r="AW9" s="458"/>
      <c r="AX9" s="452"/>
      <c r="AY9" s="457"/>
      <c r="AZ9" s="449"/>
      <c r="BA9" s="459"/>
      <c r="BB9" s="455"/>
      <c r="BC9" s="460"/>
      <c r="BD9" s="460"/>
      <c r="BG9" s="462"/>
    </row>
    <row r="10" spans="1:59" s="461" customFormat="1" ht="18" customHeight="1" x14ac:dyDescent="0.2">
      <c r="A10" s="461" t="str">
        <f t="shared" si="5"/>
        <v>KANTOR DINAS PEKERJAAN UMUM DAN PENATAAN RUANG2013</v>
      </c>
      <c r="B10" s="708">
        <v>3</v>
      </c>
      <c r="C10" s="489" t="s">
        <v>419</v>
      </c>
      <c r="D10" s="489" t="s">
        <v>1752</v>
      </c>
      <c r="E10" s="558"/>
      <c r="F10" s="559">
        <v>2013</v>
      </c>
      <c r="G10" s="619">
        <v>90096487.466336727</v>
      </c>
      <c r="H10" s="464">
        <f t="shared" si="6"/>
        <v>42</v>
      </c>
      <c r="I10" s="560"/>
      <c r="J10" s="468">
        <f t="shared" si="0"/>
        <v>2059</v>
      </c>
      <c r="K10" s="490">
        <f t="shared" si="7"/>
        <v>0.15344217064632296</v>
      </c>
      <c r="L10" s="469">
        <f t="shared" si="8"/>
        <v>5</v>
      </c>
      <c r="M10" s="683">
        <f t="shared" ref="M10:M16" si="15">IF(OR(AND(ISBLANK(E10),ISBLANK(G10)),ISTEXT(E10),ISTEXT(G10)),"",IF(H10+L10&gt;$H$8,$H$8-H10,L10))</f>
        <v>5</v>
      </c>
      <c r="N10" s="470">
        <f t="shared" si="9"/>
        <v>47</v>
      </c>
      <c r="O10" s="468">
        <f t="shared" si="1"/>
        <v>2059</v>
      </c>
      <c r="P10" s="471">
        <f t="shared" si="10"/>
        <v>587169010.23255813</v>
      </c>
      <c r="Q10" s="472">
        <f t="shared" si="11"/>
        <v>677265497.69889486</v>
      </c>
      <c r="R10" s="472">
        <f t="shared" si="12"/>
        <v>14409904.206359465</v>
      </c>
      <c r="S10" s="629">
        <f t="shared" si="2"/>
        <v>2013</v>
      </c>
      <c r="T10" s="470">
        <f t="shared" si="13"/>
        <v>1</v>
      </c>
      <c r="U10" s="612">
        <f t="shared" si="3"/>
        <v>14409904.206359465</v>
      </c>
      <c r="V10" s="464">
        <f t="shared" si="4"/>
        <v>2013</v>
      </c>
      <c r="W10" s="612">
        <f t="shared" si="14"/>
        <v>662855593.49253535</v>
      </c>
      <c r="X10" s="561"/>
      <c r="Y10" s="449"/>
      <c r="Z10" s="449"/>
      <c r="AA10" s="694"/>
      <c r="AB10" s="692"/>
      <c r="AC10" s="692"/>
      <c r="AD10" s="695"/>
      <c r="AE10" s="452"/>
      <c r="AF10" s="571"/>
      <c r="AG10" s="452"/>
      <c r="AH10" s="452"/>
      <c r="AI10" s="453"/>
      <c r="AJ10" s="449"/>
      <c r="AK10" s="453"/>
      <c r="AL10" s="454"/>
      <c r="AM10" s="455"/>
      <c r="AN10" s="456"/>
      <c r="AO10" s="455"/>
      <c r="AP10" s="452"/>
      <c r="AQ10" s="457"/>
      <c r="AR10" s="449"/>
      <c r="AS10" s="449"/>
      <c r="AT10" s="452"/>
      <c r="AU10" s="457"/>
      <c r="AV10" s="449"/>
      <c r="AW10" s="458"/>
      <c r="AX10" s="452"/>
      <c r="AY10" s="457"/>
      <c r="AZ10" s="449"/>
      <c r="BA10" s="459"/>
      <c r="BB10" s="455"/>
      <c r="BC10" s="460"/>
      <c r="BD10" s="460"/>
      <c r="BG10" s="462"/>
    </row>
    <row r="11" spans="1:59" s="461" customFormat="1" ht="18" customHeight="1" x14ac:dyDescent="0.2">
      <c r="A11" s="461" t="str">
        <f t="shared" si="5"/>
        <v>KANTOR DINAS PEKERJAAN UMUM DAN PENATAAN RUANG2014</v>
      </c>
      <c r="B11" s="708">
        <v>4</v>
      </c>
      <c r="C11" s="489" t="s">
        <v>1077</v>
      </c>
      <c r="D11" s="489" t="s">
        <v>1752</v>
      </c>
      <c r="E11" s="558"/>
      <c r="F11" s="559">
        <v>2014</v>
      </c>
      <c r="G11" s="619">
        <v>149601000</v>
      </c>
      <c r="H11" s="464">
        <f t="shared" si="6"/>
        <v>46</v>
      </c>
      <c r="I11" s="560"/>
      <c r="J11" s="468">
        <f t="shared" si="0"/>
        <v>2063</v>
      </c>
      <c r="K11" s="490">
        <f t="shared" si="7"/>
        <v>0.22569169132565328</v>
      </c>
      <c r="L11" s="469">
        <f t="shared" si="8"/>
        <v>5</v>
      </c>
      <c r="M11" s="683">
        <f t="shared" si="15"/>
        <v>4</v>
      </c>
      <c r="N11" s="470">
        <f t="shared" si="9"/>
        <v>50</v>
      </c>
      <c r="O11" s="468">
        <f t="shared" si="1"/>
        <v>2063</v>
      </c>
      <c r="P11" s="471">
        <f t="shared" si="10"/>
        <v>662855593.49253535</v>
      </c>
      <c r="Q11" s="472">
        <f t="shared" si="11"/>
        <v>812456593.49253535</v>
      </c>
      <c r="R11" s="472">
        <f t="shared" si="12"/>
        <v>16249131.869850706</v>
      </c>
      <c r="S11" s="629">
        <f t="shared" si="2"/>
        <v>2014</v>
      </c>
      <c r="T11" s="470">
        <f t="shared" si="13"/>
        <v>1</v>
      </c>
      <c r="U11" s="612">
        <f t="shared" si="3"/>
        <v>16249131.869850706</v>
      </c>
      <c r="V11" s="464">
        <f t="shared" si="4"/>
        <v>2014</v>
      </c>
      <c r="W11" s="612">
        <f t="shared" si="14"/>
        <v>796207461.6226846</v>
      </c>
      <c r="X11" s="561"/>
      <c r="Y11" s="449"/>
      <c r="Z11" s="449"/>
      <c r="AA11" s="554" t="s">
        <v>4179</v>
      </c>
      <c r="AB11" s="476"/>
      <c r="AC11" s="476"/>
      <c r="AD11" s="567"/>
      <c r="AE11" s="452"/>
      <c r="AF11" s="571"/>
      <c r="AG11" s="452"/>
      <c r="AH11" s="452"/>
      <c r="AI11" s="453"/>
      <c r="AJ11" s="449"/>
      <c r="AK11" s="453"/>
      <c r="AL11" s="454"/>
      <c r="AM11" s="455"/>
      <c r="AN11" s="456"/>
      <c r="AO11" s="455"/>
      <c r="AP11" s="452"/>
      <c r="AQ11" s="457"/>
      <c r="AR11" s="449"/>
      <c r="AS11" s="449"/>
      <c r="AT11" s="452"/>
      <c r="AU11" s="457"/>
      <c r="AV11" s="449"/>
      <c r="AW11" s="458"/>
      <c r="AX11" s="452"/>
      <c r="AY11" s="457"/>
      <c r="AZ11" s="449"/>
      <c r="BA11" s="459"/>
      <c r="BB11" s="455"/>
      <c r="BC11" s="460"/>
      <c r="BD11" s="460"/>
      <c r="BG11" s="462"/>
    </row>
    <row r="12" spans="1:59" s="461" customFormat="1" ht="18" customHeight="1" x14ac:dyDescent="0.2">
      <c r="A12" s="461" t="str">
        <f t="shared" si="5"/>
        <v>KANTOR DINAS PEKERJAAN UMUM DAN PENATAAN RUANG2015</v>
      </c>
      <c r="B12" s="708"/>
      <c r="C12" s="489"/>
      <c r="D12" s="489"/>
      <c r="E12" s="558"/>
      <c r="F12" s="559">
        <v>2015</v>
      </c>
      <c r="G12" s="619">
        <v>0</v>
      </c>
      <c r="H12" s="464">
        <f t="shared" si="6"/>
        <v>49</v>
      </c>
      <c r="I12" s="560"/>
      <c r="J12" s="468">
        <f t="shared" si="0"/>
        <v>2063</v>
      </c>
      <c r="K12" s="490">
        <f t="shared" si="7"/>
        <v>0</v>
      </c>
      <c r="L12" s="469">
        <f t="shared" si="8"/>
        <v>0</v>
      </c>
      <c r="M12" s="683">
        <f t="shared" si="15"/>
        <v>0</v>
      </c>
      <c r="N12" s="470">
        <f t="shared" si="9"/>
        <v>49</v>
      </c>
      <c r="O12" s="468">
        <f t="shared" si="1"/>
        <v>2063</v>
      </c>
      <c r="P12" s="471">
        <f t="shared" si="10"/>
        <v>796207461.6226846</v>
      </c>
      <c r="Q12" s="472">
        <f t="shared" si="11"/>
        <v>796207461.6226846</v>
      </c>
      <c r="R12" s="472">
        <f t="shared" si="12"/>
        <v>16249131.869850706</v>
      </c>
      <c r="S12" s="709">
        <f t="shared" si="2"/>
        <v>2015</v>
      </c>
      <c r="T12" s="470">
        <f t="shared" si="13"/>
        <v>1</v>
      </c>
      <c r="U12" s="612">
        <f t="shared" si="3"/>
        <v>16249131.869850706</v>
      </c>
      <c r="V12" s="464">
        <f t="shared" si="4"/>
        <v>2015</v>
      </c>
      <c r="W12" s="612">
        <f t="shared" si="14"/>
        <v>779958329.75283384</v>
      </c>
      <c r="X12" s="561"/>
      <c r="Y12" s="449"/>
      <c r="Z12" s="449"/>
      <c r="AA12" s="475"/>
      <c r="AB12" s="476"/>
      <c r="AC12" s="476"/>
      <c r="AD12" s="567"/>
      <c r="AE12" s="452"/>
      <c r="AF12" s="571"/>
      <c r="AG12" s="452"/>
      <c r="AH12" s="452"/>
      <c r="AI12" s="453"/>
      <c r="AJ12" s="449"/>
      <c r="AK12" s="453"/>
      <c r="AL12" s="454"/>
      <c r="AM12" s="455"/>
      <c r="AN12" s="456"/>
      <c r="AO12" s="455"/>
      <c r="AP12" s="452"/>
      <c r="AQ12" s="457"/>
      <c r="AR12" s="449"/>
      <c r="AS12" s="449"/>
      <c r="AT12" s="452"/>
      <c r="AU12" s="457"/>
      <c r="AV12" s="449"/>
      <c r="AW12" s="458"/>
      <c r="AX12" s="452"/>
      <c r="AY12" s="457"/>
      <c r="AZ12" s="449"/>
      <c r="BA12" s="459"/>
      <c r="BB12" s="455"/>
      <c r="BC12" s="460"/>
      <c r="BD12" s="460"/>
      <c r="BG12" s="462"/>
    </row>
    <row r="13" spans="1:59" s="461" customFormat="1" ht="18" customHeight="1" x14ac:dyDescent="0.2">
      <c r="A13" s="461" t="str">
        <f t="shared" si="5"/>
        <v>KANTOR DINAS PEKERJAAN UMUM DAN PENATAAN RUANG2016</v>
      </c>
      <c r="B13" s="708"/>
      <c r="C13" s="489"/>
      <c r="D13" s="489"/>
      <c r="E13" s="558"/>
      <c r="F13" s="559">
        <v>2016</v>
      </c>
      <c r="G13" s="619">
        <v>0</v>
      </c>
      <c r="H13" s="464">
        <f t="shared" si="6"/>
        <v>48</v>
      </c>
      <c r="I13" s="560"/>
      <c r="J13" s="468">
        <f t="shared" si="0"/>
        <v>2063</v>
      </c>
      <c r="K13" s="490">
        <f t="shared" si="7"/>
        <v>0</v>
      </c>
      <c r="L13" s="469">
        <f t="shared" si="8"/>
        <v>0</v>
      </c>
      <c r="M13" s="683">
        <f t="shared" si="15"/>
        <v>0</v>
      </c>
      <c r="N13" s="470">
        <f t="shared" si="9"/>
        <v>48</v>
      </c>
      <c r="O13" s="468">
        <f t="shared" si="1"/>
        <v>2063</v>
      </c>
      <c r="P13" s="471">
        <f t="shared" si="10"/>
        <v>779958329.75283384</v>
      </c>
      <c r="Q13" s="472">
        <f t="shared" si="11"/>
        <v>779958329.75283384</v>
      </c>
      <c r="R13" s="472">
        <f t="shared" si="12"/>
        <v>16249131.869850706</v>
      </c>
      <c r="S13" s="709">
        <f t="shared" si="2"/>
        <v>2016</v>
      </c>
      <c r="T13" s="470">
        <f t="shared" si="13"/>
        <v>1</v>
      </c>
      <c r="U13" s="612">
        <f t="shared" si="3"/>
        <v>16249131.869850706</v>
      </c>
      <c r="V13" s="464">
        <f t="shared" si="4"/>
        <v>2016</v>
      </c>
      <c r="W13" s="612">
        <f t="shared" si="14"/>
        <v>763709197.88298309</v>
      </c>
      <c r="X13" s="561"/>
      <c r="Y13" s="449"/>
      <c r="Z13" s="449"/>
      <c r="AA13" s="475" t="s">
        <v>4180</v>
      </c>
      <c r="AB13" s="476"/>
      <c r="AC13" s="476"/>
      <c r="AD13" s="567">
        <f>G20</f>
        <v>1389894937.4663367</v>
      </c>
      <c r="AE13" s="452"/>
      <c r="AF13" s="571"/>
      <c r="AG13" s="452"/>
      <c r="AH13" s="452"/>
      <c r="AI13" s="453"/>
      <c r="AJ13" s="449"/>
      <c r="AK13" s="453"/>
      <c r="AL13" s="454"/>
      <c r="AM13" s="455"/>
      <c r="AN13" s="456"/>
      <c r="AO13" s="455"/>
      <c r="AP13" s="452"/>
      <c r="AQ13" s="457"/>
      <c r="AR13" s="449"/>
      <c r="AS13" s="449"/>
      <c r="AT13" s="452"/>
      <c r="AU13" s="457"/>
      <c r="AV13" s="449"/>
      <c r="AW13" s="458"/>
      <c r="AX13" s="452"/>
      <c r="AY13" s="457"/>
      <c r="AZ13" s="449"/>
      <c r="BA13" s="459"/>
      <c r="BB13" s="455"/>
      <c r="BC13" s="460"/>
      <c r="BD13" s="460"/>
      <c r="BG13" s="462"/>
    </row>
    <row r="14" spans="1:59" s="461" customFormat="1" ht="18" customHeight="1" x14ac:dyDescent="0.2">
      <c r="A14" s="461" t="str">
        <f t="shared" si="5"/>
        <v>KANTOR DINAS PEKERJAAN UMUM DAN PENATAAN RUANG2017</v>
      </c>
      <c r="B14" s="708">
        <v>5</v>
      </c>
      <c r="C14" s="489" t="s">
        <v>3027</v>
      </c>
      <c r="D14" s="489" t="s">
        <v>1752</v>
      </c>
      <c r="E14" s="558"/>
      <c r="F14" s="559">
        <v>2017</v>
      </c>
      <c r="G14" s="619">
        <f>74799000+147594000</f>
        <v>222393000</v>
      </c>
      <c r="H14" s="464">
        <f t="shared" si="6"/>
        <v>47</v>
      </c>
      <c r="I14" s="560"/>
      <c r="J14" s="468">
        <f t="shared" si="0"/>
        <v>2066</v>
      </c>
      <c r="K14" s="490">
        <f t="shared" si="7"/>
        <v>0.29120115433528593</v>
      </c>
      <c r="L14" s="469">
        <f t="shared" si="8"/>
        <v>10</v>
      </c>
      <c r="M14" s="683">
        <f t="shared" si="15"/>
        <v>3</v>
      </c>
      <c r="N14" s="470">
        <f t="shared" si="9"/>
        <v>50</v>
      </c>
      <c r="O14" s="468">
        <f t="shared" si="1"/>
        <v>2066</v>
      </c>
      <c r="P14" s="471">
        <f t="shared" si="10"/>
        <v>763709197.88298309</v>
      </c>
      <c r="Q14" s="472">
        <f t="shared" si="11"/>
        <v>986102197.88298309</v>
      </c>
      <c r="R14" s="472">
        <f t="shared" si="12"/>
        <v>19722043.957659662</v>
      </c>
      <c r="S14" s="709">
        <f t="shared" si="2"/>
        <v>2017</v>
      </c>
      <c r="T14" s="470">
        <f t="shared" si="13"/>
        <v>1</v>
      </c>
      <c r="U14" s="612">
        <f t="shared" si="3"/>
        <v>19722043.957659662</v>
      </c>
      <c r="V14" s="464">
        <f t="shared" si="4"/>
        <v>2017</v>
      </c>
      <c r="W14" s="612">
        <f t="shared" si="14"/>
        <v>966380153.92532349</v>
      </c>
      <c r="X14" s="561"/>
      <c r="Y14" s="449"/>
      <c r="Z14" s="449"/>
      <c r="AA14" s="475" t="s">
        <v>4181</v>
      </c>
      <c r="AB14" s="491"/>
      <c r="AC14" s="491"/>
      <c r="AD14" s="567">
        <f>U20</f>
        <v>366991948.69802606</v>
      </c>
      <c r="AE14" s="452"/>
      <c r="AF14" s="571"/>
      <c r="AG14" s="452"/>
      <c r="AH14" s="452"/>
      <c r="AI14" s="453"/>
      <c r="AJ14" s="449"/>
      <c r="AK14" s="453"/>
      <c r="AL14" s="454"/>
      <c r="AM14" s="455"/>
      <c r="AN14" s="456"/>
      <c r="AO14" s="455"/>
      <c r="AP14" s="452"/>
      <c r="AQ14" s="457"/>
      <c r="AR14" s="449"/>
      <c r="AS14" s="449"/>
      <c r="AT14" s="452"/>
      <c r="AU14" s="457"/>
      <c r="AV14" s="449"/>
      <c r="AW14" s="458"/>
      <c r="AX14" s="452"/>
      <c r="AY14" s="457"/>
      <c r="AZ14" s="449"/>
      <c r="BA14" s="459"/>
      <c r="BB14" s="455"/>
      <c r="BC14" s="460"/>
      <c r="BD14" s="460"/>
      <c r="BG14" s="462"/>
    </row>
    <row r="15" spans="1:59" s="461" customFormat="1" ht="18" customHeight="1" x14ac:dyDescent="0.2">
      <c r="A15" s="461" t="str">
        <f t="shared" si="5"/>
        <v>KANTOR DINAS PEKERJAAN UMUM DAN PENATAAN RUANG2017</v>
      </c>
      <c r="B15" s="708">
        <v>6</v>
      </c>
      <c r="C15" s="489" t="s">
        <v>3028</v>
      </c>
      <c r="D15" s="489" t="s">
        <v>1752</v>
      </c>
      <c r="E15" s="558"/>
      <c r="F15" s="559">
        <v>2017</v>
      </c>
      <c r="G15" s="619">
        <v>0</v>
      </c>
      <c r="H15" s="464">
        <f t="shared" si="6"/>
        <v>50</v>
      </c>
      <c r="I15" s="560"/>
      <c r="J15" s="468">
        <f t="shared" si="0"/>
        <v>2066</v>
      </c>
      <c r="K15" s="490">
        <f t="shared" si="7"/>
        <v>0</v>
      </c>
      <c r="L15" s="469">
        <f t="shared" si="8"/>
        <v>0</v>
      </c>
      <c r="M15" s="683">
        <f t="shared" si="15"/>
        <v>0</v>
      </c>
      <c r="N15" s="470">
        <f t="shared" si="9"/>
        <v>50</v>
      </c>
      <c r="O15" s="468">
        <f t="shared" si="1"/>
        <v>2066</v>
      </c>
      <c r="P15" s="471">
        <f t="shared" si="10"/>
        <v>966380153.92532349</v>
      </c>
      <c r="Q15" s="472">
        <f t="shared" si="11"/>
        <v>966380153.92532349</v>
      </c>
      <c r="R15" s="472">
        <f t="shared" si="12"/>
        <v>19722043.957659662</v>
      </c>
      <c r="S15" s="709">
        <f t="shared" si="2"/>
        <v>2017</v>
      </c>
      <c r="T15" s="470">
        <f t="shared" si="13"/>
        <v>0</v>
      </c>
      <c r="U15" s="612">
        <f t="shared" si="3"/>
        <v>0</v>
      </c>
      <c r="V15" s="464">
        <f t="shared" si="4"/>
        <v>2017</v>
      </c>
      <c r="W15" s="612">
        <f t="shared" si="14"/>
        <v>966380153.92532349</v>
      </c>
      <c r="X15" s="561"/>
      <c r="Y15" s="449"/>
      <c r="Z15" s="449"/>
      <c r="AA15" s="492" t="s">
        <v>4182</v>
      </c>
      <c r="AB15" s="476"/>
      <c r="AC15" s="476"/>
      <c r="AD15" s="568">
        <f>AD13-AD14</f>
        <v>1022902988.7683107</v>
      </c>
      <c r="AE15" s="452"/>
      <c r="AF15" s="571"/>
      <c r="AG15" s="452"/>
      <c r="AH15" s="452"/>
      <c r="AI15" s="453"/>
      <c r="AJ15" s="449"/>
      <c r="AK15" s="453"/>
      <c r="AL15" s="454"/>
      <c r="AM15" s="455"/>
      <c r="AN15" s="456"/>
      <c r="AO15" s="455"/>
      <c r="AP15" s="452"/>
      <c r="AQ15" s="457"/>
      <c r="AR15" s="449"/>
      <c r="AS15" s="449"/>
      <c r="AT15" s="452"/>
      <c r="AU15" s="457"/>
      <c r="AV15" s="449"/>
      <c r="AW15" s="458"/>
      <c r="AX15" s="452"/>
      <c r="AY15" s="457"/>
      <c r="AZ15" s="449"/>
      <c r="BA15" s="459"/>
      <c r="BB15" s="455"/>
      <c r="BC15" s="460"/>
      <c r="BD15" s="460"/>
      <c r="BG15" s="462"/>
    </row>
    <row r="16" spans="1:59" s="461" customFormat="1" ht="18" customHeight="1" x14ac:dyDescent="0.2">
      <c r="A16" s="461" t="str">
        <f t="shared" si="5"/>
        <v>KANTOR DINAS PEKERJAAN UMUM DAN PENATAAN RUANG2018</v>
      </c>
      <c r="B16" s="708"/>
      <c r="C16" s="489"/>
      <c r="D16" s="489"/>
      <c r="E16" s="558"/>
      <c r="F16" s="466">
        <v>2018</v>
      </c>
      <c r="G16" s="619">
        <v>0</v>
      </c>
      <c r="H16" s="464">
        <f t="shared" si="6"/>
        <v>49</v>
      </c>
      <c r="I16" s="560"/>
      <c r="J16" s="468">
        <f t="shared" si="0"/>
        <v>2066</v>
      </c>
      <c r="K16" s="490">
        <f t="shared" si="7"/>
        <v>0</v>
      </c>
      <c r="L16" s="469">
        <f t="shared" si="8"/>
        <v>0</v>
      </c>
      <c r="M16" s="683">
        <f t="shared" si="15"/>
        <v>0</v>
      </c>
      <c r="N16" s="470">
        <f t="shared" si="9"/>
        <v>49</v>
      </c>
      <c r="O16" s="468">
        <f t="shared" si="1"/>
        <v>2066</v>
      </c>
      <c r="P16" s="471">
        <f t="shared" si="10"/>
        <v>966380153.92532349</v>
      </c>
      <c r="Q16" s="472">
        <f t="shared" si="11"/>
        <v>966380153.92532349</v>
      </c>
      <c r="R16" s="472">
        <f t="shared" si="12"/>
        <v>19722043.957659662</v>
      </c>
      <c r="S16" s="709">
        <f t="shared" si="2"/>
        <v>2018</v>
      </c>
      <c r="T16" s="470">
        <f t="shared" si="13"/>
        <v>1</v>
      </c>
      <c r="U16" s="612">
        <f t="shared" si="3"/>
        <v>19722043.957659662</v>
      </c>
      <c r="V16" s="464">
        <f t="shared" si="4"/>
        <v>2018</v>
      </c>
      <c r="W16" s="612">
        <f t="shared" si="14"/>
        <v>946658109.96766376</v>
      </c>
      <c r="X16" s="561"/>
      <c r="Y16" s="449"/>
      <c r="Z16" s="449"/>
      <c r="AA16" s="475" t="s">
        <v>4183</v>
      </c>
      <c r="AB16" s="476"/>
      <c r="AC16" s="476"/>
      <c r="AD16" s="567">
        <f>AD15-W20</f>
        <v>0</v>
      </c>
      <c r="AE16" s="452"/>
      <c r="AF16" s="571"/>
      <c r="AG16" s="452"/>
      <c r="AH16" s="452"/>
      <c r="AI16" s="453"/>
      <c r="AJ16" s="449"/>
      <c r="AK16" s="453"/>
      <c r="AL16" s="454"/>
      <c r="AM16" s="455"/>
      <c r="AN16" s="456"/>
      <c r="AO16" s="455"/>
      <c r="AP16" s="452"/>
      <c r="AQ16" s="457"/>
      <c r="AR16" s="449"/>
      <c r="AS16" s="449"/>
      <c r="AT16" s="452"/>
      <c r="AU16" s="457"/>
      <c r="AV16" s="449"/>
      <c r="AW16" s="458"/>
      <c r="AX16" s="452"/>
      <c r="AY16" s="457"/>
      <c r="AZ16" s="449"/>
      <c r="BA16" s="459"/>
      <c r="BB16" s="455"/>
      <c r="BC16" s="460"/>
      <c r="BD16" s="460"/>
      <c r="BG16" s="462"/>
    </row>
    <row r="17" spans="1:59" s="486" customFormat="1" ht="18" customHeight="1" x14ac:dyDescent="0.2">
      <c r="A17" s="461" t="str">
        <f t="shared" si="5"/>
        <v>KANTOR DINAS PEKERJAAN UMUM DAN PENATAAN RUANG2019</v>
      </c>
      <c r="B17" s="708">
        <v>7</v>
      </c>
      <c r="C17" s="463" t="s">
        <v>5433</v>
      </c>
      <c r="D17" s="489" t="s">
        <v>1752</v>
      </c>
      <c r="E17" s="465"/>
      <c r="F17" s="466">
        <v>2019</v>
      </c>
      <c r="G17" s="620">
        <v>97120450</v>
      </c>
      <c r="H17" s="464">
        <f t="shared" si="6"/>
        <v>48</v>
      </c>
      <c r="I17" s="560"/>
      <c r="J17" s="468">
        <f t="shared" si="0"/>
        <v>2068</v>
      </c>
      <c r="K17" s="490">
        <f t="shared" si="7"/>
        <v>0.10259295196163003</v>
      </c>
      <c r="L17" s="469">
        <f t="shared" si="8"/>
        <v>5</v>
      </c>
      <c r="M17" s="683">
        <f>IF(OR(AND(ISBLANK(E17),ISBLANK(G17)),ISTEXT(E17),ISTEXT(G17)),"",IF(H17+L17&gt;$H$8,$H$8-H17,L17))</f>
        <v>2</v>
      </c>
      <c r="N17" s="470">
        <f t="shared" si="9"/>
        <v>50</v>
      </c>
      <c r="O17" s="468">
        <f t="shared" si="1"/>
        <v>2068</v>
      </c>
      <c r="P17" s="471">
        <f t="shared" si="10"/>
        <v>946658109.96766376</v>
      </c>
      <c r="Q17" s="472">
        <f t="shared" si="11"/>
        <v>1043778559.9676638</v>
      </c>
      <c r="R17" s="472">
        <f t="shared" si="12"/>
        <v>20875571.199353274</v>
      </c>
      <c r="S17" s="1189">
        <f t="shared" si="2"/>
        <v>2019</v>
      </c>
      <c r="T17" s="470">
        <f t="shared" si="13"/>
        <v>1</v>
      </c>
      <c r="U17" s="612">
        <f t="shared" si="3"/>
        <v>20875571.199353274</v>
      </c>
      <c r="V17" s="464">
        <f t="shared" si="4"/>
        <v>2019</v>
      </c>
      <c r="W17" s="612">
        <f t="shared" si="14"/>
        <v>1022902988.7683105</v>
      </c>
      <c r="X17" s="473"/>
      <c r="Y17" s="474"/>
      <c r="Z17" s="449"/>
      <c r="AA17" s="495"/>
      <c r="AB17" s="496"/>
      <c r="AC17" s="496"/>
      <c r="AD17" s="569"/>
      <c r="AE17" s="476"/>
      <c r="AF17" s="568"/>
      <c r="AG17" s="476"/>
      <c r="AH17" s="476"/>
      <c r="AI17" s="477"/>
      <c r="AJ17" s="478"/>
      <c r="AK17" s="479"/>
      <c r="AL17" s="480"/>
      <c r="AM17" s="474"/>
      <c r="AN17" s="481"/>
      <c r="AO17" s="474"/>
      <c r="AP17" s="476"/>
      <c r="AQ17" s="482"/>
      <c r="AR17" s="478"/>
      <c r="AS17" s="478"/>
      <c r="AT17" s="476"/>
      <c r="AU17" s="482"/>
      <c r="AV17" s="478"/>
      <c r="AW17" s="483"/>
      <c r="AX17" s="476"/>
      <c r="AY17" s="482"/>
      <c r="AZ17" s="478"/>
      <c r="BA17" s="484"/>
      <c r="BB17" s="474"/>
      <c r="BC17" s="485"/>
      <c r="BD17" s="485"/>
      <c r="BG17" s="487"/>
    </row>
    <row r="18" spans="1:59" s="486" customFormat="1" ht="18" customHeight="1" x14ac:dyDescent="0.2">
      <c r="B18" s="708"/>
      <c r="C18" s="488"/>
      <c r="D18" s="489"/>
      <c r="E18" s="465"/>
      <c r="F18" s="466"/>
      <c r="G18" s="620"/>
      <c r="H18" s="464"/>
      <c r="I18" s="467"/>
      <c r="J18" s="468"/>
      <c r="K18" s="490"/>
      <c r="L18" s="469"/>
      <c r="M18" s="683"/>
      <c r="N18" s="470"/>
      <c r="O18" s="468"/>
      <c r="P18" s="471"/>
      <c r="Q18" s="472"/>
      <c r="R18" s="472"/>
      <c r="S18" s="629"/>
      <c r="T18" s="470"/>
      <c r="U18" s="612"/>
      <c r="V18" s="464"/>
      <c r="W18" s="612"/>
      <c r="X18" s="473"/>
      <c r="Y18" s="478"/>
      <c r="Z18" s="449"/>
      <c r="AA18" s="699"/>
      <c r="AB18" s="700"/>
      <c r="AC18" s="700"/>
      <c r="AD18" s="701"/>
      <c r="AE18" s="491"/>
      <c r="AF18" s="568"/>
      <c r="AG18" s="491"/>
      <c r="AH18" s="491"/>
      <c r="AI18" s="477"/>
      <c r="AJ18" s="478"/>
      <c r="AK18" s="479"/>
      <c r="AL18" s="480"/>
      <c r="AM18" s="474"/>
      <c r="AN18" s="481"/>
      <c r="AO18" s="474"/>
      <c r="AP18" s="476"/>
      <c r="AQ18" s="482"/>
      <c r="AR18" s="478"/>
      <c r="AS18" s="478"/>
      <c r="AT18" s="476"/>
      <c r="AU18" s="482"/>
      <c r="AV18" s="478"/>
      <c r="AW18" s="483"/>
      <c r="AX18" s="476"/>
      <c r="AY18" s="482"/>
      <c r="AZ18" s="478"/>
      <c r="BA18" s="484"/>
      <c r="BB18" s="474"/>
      <c r="BC18" s="485"/>
      <c r="BD18" s="485"/>
      <c r="BG18" s="487"/>
    </row>
    <row r="19" spans="1:59" s="486" customFormat="1" ht="18" customHeight="1" x14ac:dyDescent="0.2">
      <c r="B19" s="687"/>
      <c r="C19" s="494"/>
      <c r="D19" s="464"/>
      <c r="E19" s="465"/>
      <c r="F19" s="466"/>
      <c r="G19" s="620"/>
      <c r="H19" s="464"/>
      <c r="I19" s="467"/>
      <c r="J19" s="468"/>
      <c r="K19" s="490"/>
      <c r="L19" s="469"/>
      <c r="M19" s="683"/>
      <c r="N19" s="470"/>
      <c r="O19" s="468"/>
      <c r="P19" s="471"/>
      <c r="Q19" s="472"/>
      <c r="R19" s="472"/>
      <c r="S19" s="629"/>
      <c r="T19" s="470"/>
      <c r="U19" s="612"/>
      <c r="V19" s="464"/>
      <c r="W19" s="612"/>
      <c r="X19" s="473"/>
      <c r="Y19" s="478"/>
      <c r="Z19" s="449"/>
      <c r="AA19" s="497"/>
      <c r="AB19" s="476"/>
      <c r="AC19" s="476"/>
      <c r="AD19" s="568"/>
      <c r="AE19" s="476"/>
      <c r="AF19" s="568"/>
      <c r="AG19" s="476"/>
      <c r="AH19" s="476"/>
      <c r="AI19" s="477"/>
      <c r="AJ19" s="478"/>
      <c r="AK19" s="479"/>
      <c r="AL19" s="480"/>
      <c r="AM19" s="474"/>
      <c r="AN19" s="481"/>
      <c r="AO19" s="474"/>
      <c r="AP19" s="476"/>
      <c r="AQ19" s="482"/>
      <c r="AR19" s="478"/>
      <c r="AS19" s="478"/>
      <c r="AT19" s="476"/>
      <c r="AU19" s="482"/>
      <c r="AV19" s="478"/>
      <c r="AW19" s="483"/>
      <c r="AX19" s="476"/>
      <c r="AY19" s="482"/>
      <c r="AZ19" s="478"/>
      <c r="BA19" s="484"/>
      <c r="BB19" s="474"/>
      <c r="BC19" s="485"/>
      <c r="BD19" s="485"/>
      <c r="BG19" s="487"/>
    </row>
    <row r="20" spans="1:59" s="526" customFormat="1" ht="18" customHeight="1" x14ac:dyDescent="0.2">
      <c r="B20" s="1956" t="s">
        <v>4184</v>
      </c>
      <c r="C20" s="1957"/>
      <c r="D20" s="1957"/>
      <c r="E20" s="1957"/>
      <c r="F20" s="1958"/>
      <c r="G20" s="621">
        <f>SUM(G8:G19)</f>
        <v>1389894937.4663367</v>
      </c>
      <c r="H20" s="505"/>
      <c r="I20" s="506"/>
      <c r="J20" s="507"/>
      <c r="K20" s="507"/>
      <c r="L20" s="505"/>
      <c r="M20" s="684"/>
      <c r="N20" s="508"/>
      <c r="O20" s="507"/>
      <c r="P20" s="509"/>
      <c r="Q20" s="510"/>
      <c r="R20" s="511"/>
      <c r="S20" s="512"/>
      <c r="T20" s="512"/>
      <c r="U20" s="610">
        <f>SUM(U8:U19)</f>
        <v>366991948.69802606</v>
      </c>
      <c r="V20" s="513"/>
      <c r="W20" s="610">
        <f>G20-U20</f>
        <v>1022902988.7683107</v>
      </c>
      <c r="X20" s="514"/>
      <c r="Y20" s="515"/>
      <c r="Z20" s="515"/>
      <c r="AA20" s="515"/>
      <c r="AB20" s="515"/>
      <c r="AC20" s="515"/>
      <c r="AD20" s="570"/>
      <c r="AE20" s="515"/>
      <c r="AF20" s="570">
        <v>355662062.77346683</v>
      </c>
      <c r="AG20" s="515"/>
      <c r="AH20" s="515"/>
      <c r="AI20" s="516"/>
      <c r="AJ20" s="517"/>
      <c r="AK20" s="518"/>
      <c r="AL20" s="519"/>
      <c r="AM20" s="520"/>
      <c r="AN20" s="521"/>
      <c r="AO20" s="520"/>
      <c r="AP20" s="515"/>
      <c r="AQ20" s="522"/>
      <c r="AR20" s="517"/>
      <c r="AS20" s="517"/>
      <c r="AT20" s="515"/>
      <c r="AU20" s="522"/>
      <c r="AV20" s="517"/>
      <c r="AW20" s="523"/>
      <c r="AX20" s="515"/>
      <c r="AY20" s="522"/>
      <c r="AZ20" s="517"/>
      <c r="BA20" s="524"/>
      <c r="BB20" s="520"/>
      <c r="BC20" s="525"/>
      <c r="BD20" s="525"/>
      <c r="BG20" s="527"/>
    </row>
    <row r="21" spans="1:59" s="526" customFormat="1" ht="18" customHeight="1" x14ac:dyDescent="0.2">
      <c r="B21" s="741"/>
      <c r="C21" s="697"/>
      <c r="D21" s="697"/>
      <c r="E21" s="697"/>
      <c r="F21" s="585"/>
      <c r="G21" s="622"/>
      <c r="H21" s="586"/>
      <c r="I21" s="587"/>
      <c r="J21" s="588"/>
      <c r="K21" s="588"/>
      <c r="L21" s="586"/>
      <c r="M21" s="521"/>
      <c r="N21" s="589"/>
      <c r="O21" s="588"/>
      <c r="P21" s="590"/>
      <c r="Q21" s="591"/>
      <c r="R21" s="592"/>
      <c r="S21" s="593"/>
      <c r="T21" s="593"/>
      <c r="U21" s="570"/>
      <c r="V21" s="594"/>
      <c r="W21" s="570"/>
      <c r="X21" s="515"/>
      <c r="Y21" s="515"/>
      <c r="Z21" s="515"/>
      <c r="AA21" s="515"/>
      <c r="AB21" s="515"/>
      <c r="AC21" s="515"/>
      <c r="AD21" s="570"/>
      <c r="AE21" s="515"/>
      <c r="AF21" s="570"/>
      <c r="AG21" s="515"/>
      <c r="AH21" s="515"/>
      <c r="AI21" s="516"/>
      <c r="AJ21" s="517"/>
      <c r="AK21" s="518"/>
      <c r="AL21" s="519"/>
      <c r="AM21" s="520"/>
      <c r="AN21" s="521"/>
      <c r="AO21" s="520"/>
      <c r="AP21" s="515"/>
      <c r="AQ21" s="522"/>
      <c r="AR21" s="517"/>
      <c r="AS21" s="517"/>
      <c r="AT21" s="515"/>
      <c r="AU21" s="522"/>
      <c r="AV21" s="517"/>
      <c r="AW21" s="523"/>
      <c r="AX21" s="515"/>
      <c r="AY21" s="522"/>
      <c r="AZ21" s="517"/>
      <c r="BA21" s="524"/>
      <c r="BB21" s="520"/>
      <c r="BC21" s="525"/>
      <c r="BD21" s="525"/>
      <c r="BG21" s="527"/>
    </row>
    <row r="22" spans="1:59" s="526" customFormat="1" ht="18" customHeight="1" x14ac:dyDescent="0.2">
      <c r="B22" s="742"/>
      <c r="C22" s="696"/>
      <c r="D22" s="696"/>
      <c r="E22" s="696"/>
      <c r="F22" s="585"/>
      <c r="G22" s="622"/>
      <c r="H22" s="586"/>
      <c r="I22" s="587"/>
      <c r="J22" s="588"/>
      <c r="K22" s="588"/>
      <c r="L22" s="586"/>
      <c r="M22" s="521"/>
      <c r="N22" s="589"/>
      <c r="O22" s="588"/>
      <c r="P22" s="590"/>
      <c r="Q22" s="591"/>
      <c r="R22" s="592"/>
      <c r="S22" s="593"/>
      <c r="T22" s="593"/>
      <c r="U22" s="570"/>
      <c r="V22" s="594"/>
      <c r="W22" s="570"/>
      <c r="X22" s="515"/>
      <c r="Y22" s="515"/>
      <c r="Z22" s="515"/>
      <c r="AA22" s="515"/>
      <c r="AB22" s="515"/>
      <c r="AC22" s="515"/>
      <c r="AD22" s="570"/>
      <c r="AE22" s="515"/>
      <c r="AF22" s="570"/>
      <c r="AG22" s="515"/>
      <c r="AH22" s="515"/>
      <c r="AI22" s="516"/>
      <c r="AJ22" s="517"/>
      <c r="AK22" s="518"/>
      <c r="AL22" s="519"/>
      <c r="AM22" s="520"/>
      <c r="AN22" s="521"/>
      <c r="AO22" s="520"/>
      <c r="AP22" s="515"/>
      <c r="AQ22" s="522"/>
      <c r="AR22" s="517"/>
      <c r="AS22" s="517"/>
      <c r="AT22" s="515"/>
      <c r="AU22" s="522"/>
      <c r="AV22" s="517"/>
      <c r="AW22" s="523"/>
      <c r="AX22" s="515"/>
      <c r="AY22" s="522"/>
      <c r="AZ22" s="517"/>
      <c r="BA22" s="524"/>
      <c r="BB22" s="520"/>
      <c r="BC22" s="525"/>
      <c r="BD22" s="525"/>
      <c r="BG22" s="527"/>
    </row>
    <row r="23" spans="1:59" s="422" customFormat="1" ht="18" customHeight="1" x14ac:dyDescent="0.2">
      <c r="B23" s="688" t="s">
        <v>4201</v>
      </c>
      <c r="C23" s="556"/>
      <c r="D23" s="553" t="s">
        <v>442</v>
      </c>
      <c r="E23" s="553"/>
      <c r="F23" s="421"/>
      <c r="G23" s="611"/>
      <c r="I23" s="423"/>
      <c r="J23" s="424"/>
      <c r="K23" s="424"/>
      <c r="M23" s="680"/>
      <c r="U23" s="611"/>
      <c r="W23" s="611"/>
      <c r="Y23" s="425"/>
      <c r="Z23" s="425"/>
      <c r="AA23" s="425"/>
      <c r="AB23" s="425"/>
      <c r="AC23" s="425"/>
      <c r="AD23" s="563"/>
      <c r="AE23" s="425"/>
      <c r="AF23" s="563"/>
      <c r="AG23" s="425"/>
      <c r="AH23" s="425"/>
      <c r="AI23" s="425"/>
      <c r="AJ23" s="425"/>
      <c r="AK23" s="425"/>
      <c r="AL23" s="425"/>
      <c r="AM23" s="425"/>
      <c r="AN23" s="425"/>
      <c r="AO23" s="425"/>
      <c r="AP23" s="425"/>
      <c r="AQ23" s="425"/>
      <c r="AR23" s="425"/>
      <c r="AS23" s="425"/>
      <c r="AT23" s="425"/>
      <c r="AU23" s="425"/>
      <c r="AV23" s="425"/>
      <c r="AW23" s="425"/>
      <c r="AX23" s="425"/>
      <c r="AY23" s="425"/>
      <c r="AZ23" s="425"/>
      <c r="BA23" s="425"/>
      <c r="BB23" s="425"/>
    </row>
    <row r="24" spans="1:59" s="431" customFormat="1" ht="18" customHeight="1" x14ac:dyDescent="0.2">
      <c r="B24" s="1968" t="s">
        <v>5</v>
      </c>
      <c r="C24" s="1968" t="s">
        <v>2280</v>
      </c>
      <c r="D24" s="1968" t="s">
        <v>4157</v>
      </c>
      <c r="E24" s="1968" t="s">
        <v>4158</v>
      </c>
      <c r="F24" s="1968"/>
      <c r="G24" s="1969" t="s">
        <v>4159</v>
      </c>
      <c r="H24" s="1355" t="s">
        <v>4160</v>
      </c>
      <c r="I24" s="1355"/>
      <c r="J24" s="1968" t="s">
        <v>4161</v>
      </c>
      <c r="K24" s="1964" t="s">
        <v>4162</v>
      </c>
      <c r="L24" s="1968" t="s">
        <v>4163</v>
      </c>
      <c r="M24" s="1971" t="s">
        <v>4164</v>
      </c>
      <c r="N24" s="1962" t="s">
        <v>4165</v>
      </c>
      <c r="O24" s="1968" t="s">
        <v>4166</v>
      </c>
      <c r="P24" s="1972" t="s">
        <v>4167</v>
      </c>
      <c r="Q24" s="1973"/>
      <c r="R24" s="631" t="s">
        <v>4168</v>
      </c>
      <c r="S24" s="1972" t="s">
        <v>4169</v>
      </c>
      <c r="T24" s="1974"/>
      <c r="U24" s="1973"/>
      <c r="V24" s="1975" t="s">
        <v>4170</v>
      </c>
      <c r="W24" s="1975"/>
      <c r="X24" s="1960" t="s">
        <v>4171</v>
      </c>
      <c r="Y24" s="1959"/>
      <c r="Z24" s="628"/>
      <c r="AA24" s="426"/>
      <c r="AB24" s="426"/>
      <c r="AC24" s="426"/>
      <c r="AD24" s="564"/>
      <c r="AE24" s="426"/>
      <c r="AF24" s="564"/>
      <c r="AG24" s="426"/>
      <c r="AH24" s="426"/>
      <c r="AI24" s="427"/>
      <c r="AJ24" s="427"/>
      <c r="AK24" s="427"/>
      <c r="AL24" s="427"/>
      <c r="AM24" s="428"/>
      <c r="AN24" s="427"/>
      <c r="AO24" s="427"/>
      <c r="AP24" s="426"/>
      <c r="AQ24" s="427"/>
      <c r="AR24" s="427"/>
      <c r="AS24" s="427"/>
      <c r="AT24" s="426"/>
      <c r="AU24" s="427"/>
      <c r="AV24" s="427"/>
      <c r="AW24" s="427"/>
      <c r="AX24" s="426"/>
      <c r="AY24" s="427"/>
      <c r="AZ24" s="427"/>
      <c r="BA24" s="427"/>
      <c r="BB24" s="429"/>
      <c r="BC24" s="430"/>
      <c r="BD24" s="430"/>
    </row>
    <row r="25" spans="1:59" s="431" customFormat="1" ht="18" customHeight="1" x14ac:dyDescent="0.2">
      <c r="B25" s="1968"/>
      <c r="C25" s="1968"/>
      <c r="D25" s="1968"/>
      <c r="E25" s="1968"/>
      <c r="F25" s="1968"/>
      <c r="G25" s="1969"/>
      <c r="H25" s="1355"/>
      <c r="I25" s="1355"/>
      <c r="J25" s="1968"/>
      <c r="K25" s="1970"/>
      <c r="L25" s="1968"/>
      <c r="M25" s="1971"/>
      <c r="N25" s="1963"/>
      <c r="O25" s="1968"/>
      <c r="P25" s="1960" t="s">
        <v>4172</v>
      </c>
      <c r="Q25" s="1960" t="s">
        <v>4173</v>
      </c>
      <c r="R25" s="1962" t="s">
        <v>4159</v>
      </c>
      <c r="S25" s="1962" t="s">
        <v>4174</v>
      </c>
      <c r="T25" s="1964" t="s">
        <v>4175</v>
      </c>
      <c r="U25" s="1966" t="s">
        <v>4159</v>
      </c>
      <c r="V25" s="1975"/>
      <c r="W25" s="1975"/>
      <c r="X25" s="1976"/>
      <c r="Y25" s="1959"/>
      <c r="Z25" s="628"/>
      <c r="AA25" s="426"/>
      <c r="AB25" s="426"/>
      <c r="AC25" s="426"/>
      <c r="AD25" s="564"/>
      <c r="AE25" s="426"/>
      <c r="AF25" s="564"/>
      <c r="AG25" s="426"/>
      <c r="AH25" s="426"/>
      <c r="AI25" s="427"/>
      <c r="AJ25" s="427"/>
      <c r="AK25" s="426"/>
      <c r="AL25" s="427"/>
      <c r="AM25" s="428"/>
      <c r="AN25" s="427"/>
      <c r="AO25" s="427"/>
      <c r="AP25" s="432"/>
      <c r="AQ25" s="427"/>
      <c r="AR25" s="427"/>
      <c r="AS25" s="427"/>
      <c r="AT25" s="432"/>
      <c r="AU25" s="427"/>
      <c r="AV25" s="427"/>
      <c r="AW25" s="427"/>
      <c r="AX25" s="432"/>
      <c r="AY25" s="427"/>
      <c r="AZ25" s="427"/>
      <c r="BA25" s="427"/>
      <c r="BB25" s="429"/>
      <c r="BC25" s="430"/>
      <c r="BD25" s="430"/>
    </row>
    <row r="26" spans="1:59" s="431" customFormat="1" ht="18" customHeight="1" x14ac:dyDescent="0.2">
      <c r="B26" s="1968"/>
      <c r="C26" s="1968"/>
      <c r="D26" s="1968"/>
      <c r="E26" s="433" t="s">
        <v>4176</v>
      </c>
      <c r="F26" s="434" t="s">
        <v>2288</v>
      </c>
      <c r="G26" s="1969"/>
      <c r="H26" s="1355" t="s">
        <v>2288</v>
      </c>
      <c r="I26" s="1355" t="s">
        <v>4177</v>
      </c>
      <c r="J26" s="1968"/>
      <c r="K26" s="1965"/>
      <c r="L26" s="435" t="s">
        <v>2288</v>
      </c>
      <c r="M26" s="681" t="s">
        <v>2288</v>
      </c>
      <c r="N26" s="630" t="s">
        <v>2288</v>
      </c>
      <c r="O26" s="1968"/>
      <c r="P26" s="1961"/>
      <c r="Q26" s="1961"/>
      <c r="R26" s="1963"/>
      <c r="S26" s="1963"/>
      <c r="T26" s="1965"/>
      <c r="U26" s="1967"/>
      <c r="V26" s="630" t="s">
        <v>4178</v>
      </c>
      <c r="W26" s="632" t="s">
        <v>4159</v>
      </c>
      <c r="X26" s="1961"/>
      <c r="Y26" s="436"/>
      <c r="Z26" s="436"/>
      <c r="AA26" s="426"/>
      <c r="AB26" s="426"/>
      <c r="AC26" s="426"/>
      <c r="AD26" s="564"/>
      <c r="AE26" s="426"/>
      <c r="AF26" s="564"/>
      <c r="AG26" s="426"/>
      <c r="AH26" s="426"/>
      <c r="AI26" s="427"/>
      <c r="AJ26" s="432"/>
      <c r="AK26" s="432"/>
      <c r="AL26" s="427"/>
      <c r="AM26" s="428"/>
      <c r="AN26" s="432"/>
      <c r="AO26" s="427"/>
      <c r="AP26" s="432"/>
      <c r="AQ26" s="432"/>
      <c r="AR26" s="427"/>
      <c r="AS26" s="427"/>
      <c r="AT26" s="432"/>
      <c r="AU26" s="432"/>
      <c r="AV26" s="427"/>
      <c r="AW26" s="427"/>
      <c r="AX26" s="432"/>
      <c r="AY26" s="432"/>
      <c r="AZ26" s="427"/>
      <c r="BA26" s="427"/>
      <c r="BB26" s="429"/>
      <c r="BC26" s="430"/>
      <c r="BD26" s="430"/>
    </row>
    <row r="27" spans="1:59" s="461" customFormat="1" ht="18" customHeight="1" x14ac:dyDescent="0.2">
      <c r="A27" s="461" t="str">
        <f>$D$23&amp;S27</f>
        <v>PDAM KUANTAN TENGAH2000</v>
      </c>
      <c r="B27" s="708">
        <v>1</v>
      </c>
      <c r="C27" s="489" t="s">
        <v>439</v>
      </c>
      <c r="D27" s="489" t="s">
        <v>1752</v>
      </c>
      <c r="E27" s="558"/>
      <c r="F27" s="559">
        <v>2000</v>
      </c>
      <c r="G27" s="619">
        <f>48967800+34332480</f>
        <v>83300280</v>
      </c>
      <c r="H27" s="600">
        <f>VLOOKUP(LEFT(D27,8),UE,4)</f>
        <v>50</v>
      </c>
      <c r="I27" s="560"/>
      <c r="J27" s="468">
        <f t="shared" ref="J27:J38" si="16">(F27+N27)-1</f>
        <v>2049</v>
      </c>
      <c r="K27" s="595"/>
      <c r="L27" s="557"/>
      <c r="M27" s="682">
        <f>IF(H27+L27&gt;$H27,$H27-H27,L27)</f>
        <v>0</v>
      </c>
      <c r="N27" s="584">
        <f>H27+M27</f>
        <v>50</v>
      </c>
      <c r="O27" s="468">
        <f t="shared" ref="O27:O38" si="17">(F27+N27)-1</f>
        <v>2049</v>
      </c>
      <c r="P27" s="605">
        <f>G27</f>
        <v>83300280</v>
      </c>
      <c r="Q27" s="472">
        <v>0</v>
      </c>
      <c r="R27" s="472">
        <f>P27/N27</f>
        <v>1666005.6</v>
      </c>
      <c r="S27" s="596">
        <f t="shared" ref="S27:S38" si="18">F27</f>
        <v>2000</v>
      </c>
      <c r="T27" s="470">
        <v>1</v>
      </c>
      <c r="U27" s="612">
        <f t="shared" ref="U27:U38" si="19">R27*T27</f>
        <v>1666005.6</v>
      </c>
      <c r="V27" s="468">
        <f t="shared" ref="V27:V38" si="20">F27</f>
        <v>2000</v>
      </c>
      <c r="W27" s="616">
        <f>IF(OR(AND(ISBLANK(E27),ISBLANK(G27)),ISTEXT(E27),ISTEXT(G27)),"",G27-R27)</f>
        <v>81634274.400000006</v>
      </c>
      <c r="X27" s="561"/>
      <c r="Y27" s="449"/>
      <c r="Z27" s="449"/>
      <c r="AA27" s="693"/>
      <c r="AB27" s="452"/>
      <c r="AC27" s="452"/>
      <c r="AD27" s="571"/>
      <c r="AE27" s="452"/>
      <c r="AF27" s="571"/>
      <c r="AG27" s="452"/>
      <c r="AH27" s="452"/>
      <c r="AI27" s="453"/>
      <c r="AJ27" s="449"/>
      <c r="AK27" s="453"/>
      <c r="AL27" s="454"/>
      <c r="AM27" s="455"/>
      <c r="AN27" s="456"/>
      <c r="AO27" s="455"/>
      <c r="AP27" s="452"/>
      <c r="AQ27" s="457"/>
      <c r="AR27" s="449"/>
      <c r="AS27" s="449"/>
      <c r="AT27" s="452"/>
      <c r="AU27" s="457"/>
      <c r="AV27" s="449"/>
      <c r="AW27" s="458"/>
      <c r="AX27" s="452"/>
      <c r="AY27" s="457"/>
      <c r="AZ27" s="449"/>
      <c r="BA27" s="459"/>
      <c r="BB27" s="455"/>
      <c r="BC27" s="460"/>
      <c r="BD27" s="460"/>
      <c r="BG27" s="462"/>
    </row>
    <row r="28" spans="1:59" s="461" customFormat="1" ht="18" customHeight="1" x14ac:dyDescent="0.2">
      <c r="A28" s="461" t="str">
        <f t="shared" ref="A28:A38" si="21">$D$23&amp;S28</f>
        <v>PDAM KUANTAN TENGAH2000</v>
      </c>
      <c r="B28" s="738"/>
      <c r="C28" s="489" t="s">
        <v>442</v>
      </c>
      <c r="D28" s="489" t="s">
        <v>1752</v>
      </c>
      <c r="E28" s="558"/>
      <c r="F28" s="559">
        <v>2000</v>
      </c>
      <c r="G28" s="619">
        <v>0</v>
      </c>
      <c r="H28" s="464">
        <f t="shared" ref="H28:H38" si="22">IF(N27-(F28-F27)&lt;=0,0,(N27-(F28-F27)))</f>
        <v>50</v>
      </c>
      <c r="I28" s="560"/>
      <c r="J28" s="468">
        <f t="shared" si="16"/>
        <v>2049</v>
      </c>
      <c r="K28" s="490">
        <f>IF(G28=0,0,IF(H28=50,100%,G28/W27))</f>
        <v>0</v>
      </c>
      <c r="L28" s="469">
        <f t="shared" ref="L28:L38" si="23">IF(K28=0%,0,IF(K28&lt;=25%,5,IF(K28&lt;=50%,10,IF(K28&lt;=75%,15,50))))</f>
        <v>0</v>
      </c>
      <c r="M28" s="683">
        <f t="shared" ref="M28:M38" si="24">IF(OR(AND(ISBLANK(E28),ISBLANK(G28)),ISTEXT(E28),ISTEXT(G28)),"",IF(H28+L28&gt;$H$27,$H$27-H28,L28))</f>
        <v>0</v>
      </c>
      <c r="N28" s="470">
        <f t="shared" ref="N28:N38" si="25">IF(OR(AND(ISBLANK(F28),ISBLANK(G28)),ISTEXT(F28),ISTEXT(G28)),"",H28+M28)</f>
        <v>50</v>
      </c>
      <c r="O28" s="468">
        <f t="shared" si="17"/>
        <v>2049</v>
      </c>
      <c r="P28" s="471">
        <f t="shared" ref="P28:P38" si="26">W27</f>
        <v>81634274.400000006</v>
      </c>
      <c r="Q28" s="472">
        <f t="shared" ref="Q28:Q38" si="27">P28+G28</f>
        <v>81634274.400000006</v>
      </c>
      <c r="R28" s="472">
        <f t="shared" ref="R28:R38" si="28">IF(L28=0,R27,Q28/N28)</f>
        <v>1666005.6</v>
      </c>
      <c r="S28" s="629">
        <f t="shared" si="18"/>
        <v>2000</v>
      </c>
      <c r="T28" s="470">
        <f t="shared" ref="T28:T38" si="29">S28-S27</f>
        <v>0</v>
      </c>
      <c r="U28" s="612">
        <f t="shared" si="19"/>
        <v>0</v>
      </c>
      <c r="V28" s="464">
        <f t="shared" si="20"/>
        <v>2000</v>
      </c>
      <c r="W28" s="612">
        <f t="shared" ref="W28:W38" si="30">IF(OR(AND(ISBLANK(E28),ISBLANK(G28)),ISTEXT(E28),ISTEXT(G28)),"",Q28-U28)</f>
        <v>81634274.400000006</v>
      </c>
      <c r="X28" s="561"/>
      <c r="Y28" s="449"/>
      <c r="Z28" s="449"/>
      <c r="AA28" s="693"/>
      <c r="AB28" s="452"/>
      <c r="AC28" s="452"/>
      <c r="AD28" s="571"/>
      <c r="AE28" s="452"/>
      <c r="AF28" s="571"/>
      <c r="AG28" s="452"/>
      <c r="AH28" s="452"/>
      <c r="AI28" s="453"/>
      <c r="AJ28" s="449"/>
      <c r="AK28" s="453"/>
      <c r="AL28" s="454"/>
      <c r="AM28" s="455"/>
      <c r="AN28" s="456"/>
      <c r="AO28" s="455"/>
      <c r="AP28" s="452"/>
      <c r="AQ28" s="457"/>
      <c r="AR28" s="449"/>
      <c r="AS28" s="449"/>
      <c r="AT28" s="452"/>
      <c r="AU28" s="457"/>
      <c r="AV28" s="449"/>
      <c r="AW28" s="458"/>
      <c r="AX28" s="452"/>
      <c r="AY28" s="457"/>
      <c r="AZ28" s="449"/>
      <c r="BA28" s="459"/>
      <c r="BB28" s="455"/>
      <c r="BC28" s="460"/>
      <c r="BD28" s="460"/>
      <c r="BG28" s="462"/>
    </row>
    <row r="29" spans="1:59" s="486" customFormat="1" ht="18" customHeight="1" x14ac:dyDescent="0.2">
      <c r="A29" s="461" t="str">
        <f t="shared" si="21"/>
        <v>PDAM KUANTAN TENGAH2001</v>
      </c>
      <c r="B29" s="738"/>
      <c r="C29" s="463" t="s">
        <v>442</v>
      </c>
      <c r="D29" s="489" t="s">
        <v>1752</v>
      </c>
      <c r="E29" s="465"/>
      <c r="F29" s="466">
        <v>2001</v>
      </c>
      <c r="G29" s="620">
        <v>59329305</v>
      </c>
      <c r="H29" s="464">
        <f t="shared" si="22"/>
        <v>49</v>
      </c>
      <c r="I29" s="467"/>
      <c r="J29" s="468">
        <f t="shared" si="16"/>
        <v>2050</v>
      </c>
      <c r="K29" s="490">
        <f t="shared" ref="K29:K37" si="31">IF(G29=0,0,IF(H29=50,100%,G29/W28))</f>
        <v>0.72676955158922796</v>
      </c>
      <c r="L29" s="469">
        <f t="shared" si="23"/>
        <v>15</v>
      </c>
      <c r="M29" s="683">
        <f t="shared" si="24"/>
        <v>1</v>
      </c>
      <c r="N29" s="470">
        <f t="shared" si="25"/>
        <v>50</v>
      </c>
      <c r="O29" s="468">
        <f t="shared" si="17"/>
        <v>2050</v>
      </c>
      <c r="P29" s="471">
        <f t="shared" si="26"/>
        <v>81634274.400000006</v>
      </c>
      <c r="Q29" s="472">
        <f t="shared" si="27"/>
        <v>140963579.40000001</v>
      </c>
      <c r="R29" s="472">
        <f t="shared" si="28"/>
        <v>2819271.588</v>
      </c>
      <c r="S29" s="629">
        <f t="shared" si="18"/>
        <v>2001</v>
      </c>
      <c r="T29" s="470">
        <f t="shared" si="29"/>
        <v>1</v>
      </c>
      <c r="U29" s="612">
        <f t="shared" si="19"/>
        <v>2819271.588</v>
      </c>
      <c r="V29" s="464">
        <f t="shared" si="20"/>
        <v>2001</v>
      </c>
      <c r="W29" s="612">
        <f t="shared" si="30"/>
        <v>138144307.81200001</v>
      </c>
      <c r="X29" s="473"/>
      <c r="Y29" s="474"/>
      <c r="Z29" s="449"/>
      <c r="AA29" s="573"/>
      <c r="AB29" s="476"/>
      <c r="AC29" s="476"/>
      <c r="AD29" s="568"/>
      <c r="AE29" s="476"/>
      <c r="AF29" s="568"/>
      <c r="AG29" s="476"/>
      <c r="AH29" s="476"/>
      <c r="AI29" s="477"/>
      <c r="AJ29" s="478"/>
      <c r="AK29" s="479"/>
      <c r="AL29" s="480"/>
      <c r="AM29" s="474"/>
      <c r="AN29" s="481"/>
      <c r="AO29" s="474"/>
      <c r="AP29" s="476"/>
      <c r="AQ29" s="482"/>
      <c r="AR29" s="478"/>
      <c r="AS29" s="478"/>
      <c r="AT29" s="476"/>
      <c r="AU29" s="482"/>
      <c r="AV29" s="478"/>
      <c r="AW29" s="483"/>
      <c r="AX29" s="476"/>
      <c r="AY29" s="482"/>
      <c r="AZ29" s="478"/>
      <c r="BA29" s="484"/>
      <c r="BB29" s="474"/>
      <c r="BC29" s="485"/>
      <c r="BD29" s="485"/>
      <c r="BG29" s="487"/>
    </row>
    <row r="30" spans="1:59" s="486" customFormat="1" ht="18" customHeight="1" x14ac:dyDescent="0.2">
      <c r="A30" s="461" t="str">
        <f t="shared" si="21"/>
        <v>PDAM KUANTAN TENGAH2004</v>
      </c>
      <c r="B30" s="738"/>
      <c r="C30" s="463"/>
      <c r="D30" s="489"/>
      <c r="E30" s="465"/>
      <c r="F30" s="466">
        <v>2004</v>
      </c>
      <c r="G30" s="620">
        <v>0</v>
      </c>
      <c r="H30" s="464">
        <f t="shared" si="22"/>
        <v>47</v>
      </c>
      <c r="I30" s="467"/>
      <c r="J30" s="468">
        <f t="shared" si="16"/>
        <v>2050</v>
      </c>
      <c r="K30" s="490">
        <f>IF(G30=0,0,IF(H30=50,100%,G30/W29))</f>
        <v>0</v>
      </c>
      <c r="L30" s="469">
        <f t="shared" si="23"/>
        <v>0</v>
      </c>
      <c r="M30" s="683">
        <f t="shared" si="24"/>
        <v>0</v>
      </c>
      <c r="N30" s="470">
        <f t="shared" si="25"/>
        <v>47</v>
      </c>
      <c r="O30" s="468">
        <f t="shared" si="17"/>
        <v>2050</v>
      </c>
      <c r="P30" s="471">
        <f t="shared" si="26"/>
        <v>138144307.81200001</v>
      </c>
      <c r="Q30" s="472">
        <f t="shared" si="27"/>
        <v>138144307.81200001</v>
      </c>
      <c r="R30" s="472">
        <f t="shared" si="28"/>
        <v>2819271.588</v>
      </c>
      <c r="S30" s="768">
        <f t="shared" si="18"/>
        <v>2004</v>
      </c>
      <c r="T30" s="470">
        <f t="shared" si="29"/>
        <v>3</v>
      </c>
      <c r="U30" s="612">
        <f t="shared" si="19"/>
        <v>8457814.7640000004</v>
      </c>
      <c r="V30" s="464">
        <f t="shared" si="20"/>
        <v>2004</v>
      </c>
      <c r="W30" s="612">
        <f t="shared" si="30"/>
        <v>129686493.04800001</v>
      </c>
      <c r="X30" s="473"/>
      <c r="Y30" s="474"/>
      <c r="Z30" s="449"/>
      <c r="AA30" s="573"/>
      <c r="AB30" s="476"/>
      <c r="AC30" s="476"/>
      <c r="AD30" s="568"/>
      <c r="AE30" s="476"/>
      <c r="AF30" s="568"/>
      <c r="AG30" s="476"/>
      <c r="AH30" s="476"/>
      <c r="AI30" s="477"/>
      <c r="AJ30" s="478"/>
      <c r="AK30" s="479"/>
      <c r="AL30" s="480"/>
      <c r="AM30" s="474"/>
      <c r="AN30" s="481"/>
      <c r="AO30" s="474"/>
      <c r="AP30" s="476"/>
      <c r="AQ30" s="482"/>
      <c r="AR30" s="478"/>
      <c r="AS30" s="478"/>
      <c r="AT30" s="476"/>
      <c r="AU30" s="482"/>
      <c r="AV30" s="478"/>
      <c r="AW30" s="483"/>
      <c r="AX30" s="476"/>
      <c r="AY30" s="482"/>
      <c r="AZ30" s="478"/>
      <c r="BA30" s="484"/>
      <c r="BB30" s="474"/>
      <c r="BC30" s="485"/>
      <c r="BD30" s="485"/>
      <c r="BG30" s="487"/>
    </row>
    <row r="31" spans="1:59" s="486" customFormat="1" ht="18" customHeight="1" x14ac:dyDescent="0.2">
      <c r="A31" s="461" t="str">
        <f t="shared" si="21"/>
        <v>PDAM KUANTAN TENGAH2005</v>
      </c>
      <c r="B31" s="738"/>
      <c r="C31" s="488" t="s">
        <v>439</v>
      </c>
      <c r="D31" s="489" t="s">
        <v>1752</v>
      </c>
      <c r="E31" s="465"/>
      <c r="F31" s="466">
        <v>2005</v>
      </c>
      <c r="G31" s="620">
        <v>84632550</v>
      </c>
      <c r="H31" s="464">
        <f t="shared" si="22"/>
        <v>46</v>
      </c>
      <c r="I31" s="467"/>
      <c r="J31" s="468">
        <f t="shared" si="16"/>
        <v>2054</v>
      </c>
      <c r="K31" s="490">
        <f>IF(G31=0,0,IF(H31=50,100%,G31/W30))</f>
        <v>0.65259340437770574</v>
      </c>
      <c r="L31" s="469">
        <f t="shared" si="23"/>
        <v>15</v>
      </c>
      <c r="M31" s="683">
        <f t="shared" si="24"/>
        <v>4</v>
      </c>
      <c r="N31" s="470">
        <f t="shared" si="25"/>
        <v>50</v>
      </c>
      <c r="O31" s="468">
        <f t="shared" si="17"/>
        <v>2054</v>
      </c>
      <c r="P31" s="471">
        <f t="shared" si="26"/>
        <v>129686493.04800001</v>
      </c>
      <c r="Q31" s="472">
        <f t="shared" si="27"/>
        <v>214319043.04800001</v>
      </c>
      <c r="R31" s="472">
        <f t="shared" si="28"/>
        <v>4286380.8609600002</v>
      </c>
      <c r="S31" s="768">
        <f t="shared" si="18"/>
        <v>2005</v>
      </c>
      <c r="T31" s="470">
        <f t="shared" si="29"/>
        <v>1</v>
      </c>
      <c r="U31" s="612">
        <f t="shared" si="19"/>
        <v>4286380.8609600002</v>
      </c>
      <c r="V31" s="464">
        <f t="shared" si="20"/>
        <v>2005</v>
      </c>
      <c r="W31" s="612">
        <f t="shared" si="30"/>
        <v>210032662.18704</v>
      </c>
      <c r="X31" s="473"/>
      <c r="Y31" s="478"/>
      <c r="Z31" s="449"/>
      <c r="AA31" s="573"/>
      <c r="AB31" s="491"/>
      <c r="AC31" s="491"/>
      <c r="AD31" s="568"/>
      <c r="AE31" s="491"/>
      <c r="AF31" s="568"/>
      <c r="AG31" s="491"/>
      <c r="AH31" s="491"/>
      <c r="AI31" s="477"/>
      <c r="AJ31" s="478"/>
      <c r="AK31" s="479"/>
      <c r="AL31" s="480"/>
      <c r="AM31" s="474"/>
      <c r="AN31" s="481"/>
      <c r="AO31" s="474"/>
      <c r="AP31" s="476"/>
      <c r="AQ31" s="482"/>
      <c r="AR31" s="478"/>
      <c r="AS31" s="478"/>
      <c r="AT31" s="476"/>
      <c r="AU31" s="482"/>
      <c r="AV31" s="478"/>
      <c r="AW31" s="483"/>
      <c r="AX31" s="476"/>
      <c r="AY31" s="482"/>
      <c r="AZ31" s="478"/>
      <c r="BA31" s="484"/>
      <c r="BB31" s="474"/>
      <c r="BC31" s="485"/>
      <c r="BD31" s="485"/>
      <c r="BG31" s="487"/>
    </row>
    <row r="32" spans="1:59" s="486" customFormat="1" ht="18" customHeight="1" x14ac:dyDescent="0.2">
      <c r="A32" s="461" t="str">
        <f t="shared" si="21"/>
        <v>PDAM KUANTAN TENGAH2013</v>
      </c>
      <c r="B32" s="738"/>
      <c r="C32" s="488"/>
      <c r="D32" s="489"/>
      <c r="E32" s="465"/>
      <c r="F32" s="466">
        <v>2013</v>
      </c>
      <c r="G32" s="620">
        <v>0</v>
      </c>
      <c r="H32" s="464">
        <f t="shared" si="22"/>
        <v>42</v>
      </c>
      <c r="I32" s="467"/>
      <c r="J32" s="468">
        <f t="shared" si="16"/>
        <v>2054</v>
      </c>
      <c r="K32" s="490">
        <f t="shared" si="31"/>
        <v>0</v>
      </c>
      <c r="L32" s="469">
        <f t="shared" si="23"/>
        <v>0</v>
      </c>
      <c r="M32" s="683">
        <f t="shared" si="24"/>
        <v>0</v>
      </c>
      <c r="N32" s="470">
        <f t="shared" si="25"/>
        <v>42</v>
      </c>
      <c r="O32" s="468">
        <f t="shared" si="17"/>
        <v>2054</v>
      </c>
      <c r="P32" s="471">
        <f t="shared" si="26"/>
        <v>210032662.18704</v>
      </c>
      <c r="Q32" s="472">
        <f t="shared" si="27"/>
        <v>210032662.18704</v>
      </c>
      <c r="R32" s="472">
        <f t="shared" si="28"/>
        <v>4286380.8609600002</v>
      </c>
      <c r="S32" s="634">
        <f t="shared" si="18"/>
        <v>2013</v>
      </c>
      <c r="T32" s="470">
        <f t="shared" si="29"/>
        <v>8</v>
      </c>
      <c r="U32" s="612">
        <f t="shared" si="19"/>
        <v>34291046.887680002</v>
      </c>
      <c r="V32" s="464">
        <f t="shared" si="20"/>
        <v>2013</v>
      </c>
      <c r="W32" s="612">
        <f t="shared" si="30"/>
        <v>175741615.29936001</v>
      </c>
      <c r="X32" s="473"/>
      <c r="Y32" s="478"/>
      <c r="Z32" s="449"/>
      <c r="AA32" s="739"/>
      <c r="AB32" s="743"/>
      <c r="AC32" s="743"/>
      <c r="AD32" s="740"/>
      <c r="AE32" s="491"/>
      <c r="AF32" s="568"/>
      <c r="AG32" s="491"/>
      <c r="AH32" s="491"/>
      <c r="AI32" s="477"/>
      <c r="AJ32" s="478"/>
      <c r="AK32" s="479"/>
      <c r="AL32" s="480"/>
      <c r="AM32" s="474"/>
      <c r="AN32" s="481"/>
      <c r="AO32" s="474"/>
      <c r="AP32" s="476"/>
      <c r="AQ32" s="482"/>
      <c r="AR32" s="478"/>
      <c r="AS32" s="478"/>
      <c r="AT32" s="476"/>
      <c r="AU32" s="482"/>
      <c r="AV32" s="478"/>
      <c r="AW32" s="483"/>
      <c r="AX32" s="476"/>
      <c r="AY32" s="482"/>
      <c r="AZ32" s="478"/>
      <c r="BA32" s="484"/>
      <c r="BB32" s="474"/>
      <c r="BC32" s="485"/>
      <c r="BD32" s="485"/>
      <c r="BG32" s="487"/>
    </row>
    <row r="33" spans="1:59" s="486" customFormat="1" ht="18" customHeight="1" x14ac:dyDescent="0.2">
      <c r="A33" s="461" t="str">
        <f t="shared" si="21"/>
        <v>PDAM KUANTAN TENGAH2014</v>
      </c>
      <c r="B33" s="738"/>
      <c r="C33" s="488"/>
      <c r="D33" s="489"/>
      <c r="E33" s="465"/>
      <c r="F33" s="466">
        <v>2014</v>
      </c>
      <c r="G33" s="620">
        <v>0</v>
      </c>
      <c r="H33" s="464">
        <f t="shared" si="22"/>
        <v>41</v>
      </c>
      <c r="I33" s="467"/>
      <c r="J33" s="468">
        <f t="shared" si="16"/>
        <v>2054</v>
      </c>
      <c r="K33" s="490">
        <f t="shared" si="31"/>
        <v>0</v>
      </c>
      <c r="L33" s="469">
        <f t="shared" si="23"/>
        <v>0</v>
      </c>
      <c r="M33" s="683">
        <f t="shared" si="24"/>
        <v>0</v>
      </c>
      <c r="N33" s="470">
        <f t="shared" si="25"/>
        <v>41</v>
      </c>
      <c r="O33" s="468">
        <f t="shared" si="17"/>
        <v>2054</v>
      </c>
      <c r="P33" s="471">
        <f t="shared" si="26"/>
        <v>175741615.29936001</v>
      </c>
      <c r="Q33" s="472">
        <f t="shared" si="27"/>
        <v>175741615.29936001</v>
      </c>
      <c r="R33" s="472">
        <f t="shared" si="28"/>
        <v>4286380.8609600002</v>
      </c>
      <c r="S33" s="709">
        <f t="shared" si="18"/>
        <v>2014</v>
      </c>
      <c r="T33" s="470">
        <f t="shared" si="29"/>
        <v>1</v>
      </c>
      <c r="U33" s="612">
        <f t="shared" si="19"/>
        <v>4286380.8609600002</v>
      </c>
      <c r="V33" s="464">
        <f t="shared" si="20"/>
        <v>2014</v>
      </c>
      <c r="W33" s="612">
        <f t="shared" si="30"/>
        <v>171455234.4384</v>
      </c>
      <c r="X33" s="473"/>
      <c r="Y33" s="478"/>
      <c r="Z33" s="449"/>
      <c r="AA33" s="554" t="s">
        <v>4179</v>
      </c>
      <c r="AB33" s="491"/>
      <c r="AC33" s="491"/>
      <c r="AD33" s="744"/>
      <c r="AE33" s="491"/>
      <c r="AF33" s="568"/>
      <c r="AG33" s="491"/>
      <c r="AH33" s="491"/>
      <c r="AI33" s="477"/>
      <c r="AJ33" s="478"/>
      <c r="AK33" s="479"/>
      <c r="AL33" s="480"/>
      <c r="AM33" s="474"/>
      <c r="AN33" s="481"/>
      <c r="AO33" s="474"/>
      <c r="AP33" s="476"/>
      <c r="AQ33" s="482"/>
      <c r="AR33" s="478"/>
      <c r="AS33" s="478"/>
      <c r="AT33" s="476"/>
      <c r="AU33" s="482"/>
      <c r="AV33" s="478"/>
      <c r="AW33" s="483"/>
      <c r="AX33" s="476"/>
      <c r="AY33" s="482"/>
      <c r="AZ33" s="478"/>
      <c r="BA33" s="484"/>
      <c r="BB33" s="474"/>
      <c r="BC33" s="485"/>
      <c r="BD33" s="485"/>
      <c r="BG33" s="487"/>
    </row>
    <row r="34" spans="1:59" s="486" customFormat="1" ht="18" customHeight="1" x14ac:dyDescent="0.2">
      <c r="A34" s="461" t="str">
        <f t="shared" si="21"/>
        <v>PDAM KUANTAN TENGAH2015</v>
      </c>
      <c r="B34" s="738"/>
      <c r="C34" s="488"/>
      <c r="D34" s="489"/>
      <c r="E34" s="465"/>
      <c r="F34" s="466">
        <v>2015</v>
      </c>
      <c r="G34" s="620">
        <v>0</v>
      </c>
      <c r="H34" s="464">
        <f t="shared" si="22"/>
        <v>40</v>
      </c>
      <c r="I34" s="467"/>
      <c r="J34" s="468">
        <f t="shared" si="16"/>
        <v>2054</v>
      </c>
      <c r="K34" s="490">
        <f t="shared" si="31"/>
        <v>0</v>
      </c>
      <c r="L34" s="469">
        <f t="shared" si="23"/>
        <v>0</v>
      </c>
      <c r="M34" s="683">
        <f t="shared" si="24"/>
        <v>0</v>
      </c>
      <c r="N34" s="470">
        <f t="shared" si="25"/>
        <v>40</v>
      </c>
      <c r="O34" s="468">
        <f t="shared" si="17"/>
        <v>2054</v>
      </c>
      <c r="P34" s="471">
        <f t="shared" si="26"/>
        <v>171455234.4384</v>
      </c>
      <c r="Q34" s="472">
        <f t="shared" si="27"/>
        <v>171455234.4384</v>
      </c>
      <c r="R34" s="472">
        <f t="shared" si="28"/>
        <v>4286380.8609600002</v>
      </c>
      <c r="S34" s="709">
        <f t="shared" si="18"/>
        <v>2015</v>
      </c>
      <c r="T34" s="470">
        <f t="shared" si="29"/>
        <v>1</v>
      </c>
      <c r="U34" s="612">
        <f t="shared" si="19"/>
        <v>4286380.8609600002</v>
      </c>
      <c r="V34" s="464">
        <f t="shared" si="20"/>
        <v>2015</v>
      </c>
      <c r="W34" s="612">
        <f t="shared" si="30"/>
        <v>167168853.57743999</v>
      </c>
      <c r="X34" s="473"/>
      <c r="Y34" s="478"/>
      <c r="Z34" s="449"/>
      <c r="AA34" s="475"/>
      <c r="AB34" s="491"/>
      <c r="AC34" s="491"/>
      <c r="AD34" s="567"/>
      <c r="AE34" s="491"/>
      <c r="AF34" s="568"/>
      <c r="AG34" s="491"/>
      <c r="AH34" s="491"/>
      <c r="AI34" s="477"/>
      <c r="AJ34" s="478"/>
      <c r="AK34" s="479"/>
      <c r="AL34" s="480"/>
      <c r="AM34" s="474"/>
      <c r="AN34" s="481"/>
      <c r="AO34" s="474"/>
      <c r="AP34" s="476"/>
      <c r="AQ34" s="482"/>
      <c r="AR34" s="478"/>
      <c r="AS34" s="478"/>
      <c r="AT34" s="476"/>
      <c r="AU34" s="482"/>
      <c r="AV34" s="478"/>
      <c r="AW34" s="483"/>
      <c r="AX34" s="476"/>
      <c r="AY34" s="482"/>
      <c r="AZ34" s="478"/>
      <c r="BA34" s="484"/>
      <c r="BB34" s="474"/>
      <c r="BC34" s="485"/>
      <c r="BD34" s="485"/>
      <c r="BG34" s="487"/>
    </row>
    <row r="35" spans="1:59" s="486" customFormat="1" ht="18" customHeight="1" x14ac:dyDescent="0.2">
      <c r="A35" s="461" t="str">
        <f t="shared" si="21"/>
        <v>PDAM KUANTAN TENGAH2016</v>
      </c>
      <c r="B35" s="738"/>
      <c r="C35" s="488"/>
      <c r="D35" s="489"/>
      <c r="E35" s="465"/>
      <c r="F35" s="466">
        <v>2016</v>
      </c>
      <c r="G35" s="620">
        <v>0</v>
      </c>
      <c r="H35" s="464">
        <f t="shared" si="22"/>
        <v>39</v>
      </c>
      <c r="I35" s="467"/>
      <c r="J35" s="468">
        <f t="shared" si="16"/>
        <v>2054</v>
      </c>
      <c r="K35" s="490">
        <f t="shared" si="31"/>
        <v>0</v>
      </c>
      <c r="L35" s="469">
        <f t="shared" si="23"/>
        <v>0</v>
      </c>
      <c r="M35" s="683">
        <f t="shared" si="24"/>
        <v>0</v>
      </c>
      <c r="N35" s="470">
        <f t="shared" si="25"/>
        <v>39</v>
      </c>
      <c r="O35" s="468">
        <f t="shared" si="17"/>
        <v>2054</v>
      </c>
      <c r="P35" s="471">
        <f t="shared" si="26"/>
        <v>167168853.57743999</v>
      </c>
      <c r="Q35" s="472">
        <f t="shared" si="27"/>
        <v>167168853.57743999</v>
      </c>
      <c r="R35" s="472">
        <f t="shared" si="28"/>
        <v>4286380.8609600002</v>
      </c>
      <c r="S35" s="709">
        <f t="shared" si="18"/>
        <v>2016</v>
      </c>
      <c r="T35" s="470">
        <f t="shared" si="29"/>
        <v>1</v>
      </c>
      <c r="U35" s="612">
        <f t="shared" si="19"/>
        <v>4286380.8609600002</v>
      </c>
      <c r="V35" s="464">
        <f t="shared" si="20"/>
        <v>2016</v>
      </c>
      <c r="W35" s="612">
        <f t="shared" si="30"/>
        <v>162882472.71647999</v>
      </c>
      <c r="X35" s="473"/>
      <c r="Y35" s="478"/>
      <c r="Z35" s="449"/>
      <c r="AA35" s="475" t="s">
        <v>4180</v>
      </c>
      <c r="AB35" s="491"/>
      <c r="AC35" s="491"/>
      <c r="AD35" s="567">
        <f>G42</f>
        <v>227262135</v>
      </c>
      <c r="AE35" s="491"/>
      <c r="AF35" s="568"/>
      <c r="AG35" s="491"/>
      <c r="AH35" s="491"/>
      <c r="AI35" s="477"/>
      <c r="AJ35" s="478"/>
      <c r="AK35" s="479"/>
      <c r="AL35" s="480"/>
      <c r="AM35" s="474"/>
      <c r="AN35" s="481"/>
      <c r="AO35" s="474"/>
      <c r="AP35" s="476"/>
      <c r="AQ35" s="482"/>
      <c r="AR35" s="478"/>
      <c r="AS35" s="478"/>
      <c r="AT35" s="476"/>
      <c r="AU35" s="482"/>
      <c r="AV35" s="478"/>
      <c r="AW35" s="483"/>
      <c r="AX35" s="476"/>
      <c r="AY35" s="482"/>
      <c r="AZ35" s="478"/>
      <c r="BA35" s="484"/>
      <c r="BB35" s="474"/>
      <c r="BC35" s="485"/>
      <c r="BD35" s="485"/>
      <c r="BG35" s="487"/>
    </row>
    <row r="36" spans="1:59" s="486" customFormat="1" ht="18" customHeight="1" x14ac:dyDescent="0.2">
      <c r="A36" s="461" t="str">
        <f t="shared" si="21"/>
        <v>PDAM KUANTAN TENGAH2017</v>
      </c>
      <c r="B36" s="738"/>
      <c r="C36" s="488"/>
      <c r="D36" s="489"/>
      <c r="E36" s="465"/>
      <c r="F36" s="466">
        <v>2017</v>
      </c>
      <c r="G36" s="620">
        <v>0</v>
      </c>
      <c r="H36" s="464">
        <f t="shared" si="22"/>
        <v>38</v>
      </c>
      <c r="I36" s="467"/>
      <c r="J36" s="468">
        <f t="shared" si="16"/>
        <v>2054</v>
      </c>
      <c r="K36" s="490">
        <f t="shared" si="31"/>
        <v>0</v>
      </c>
      <c r="L36" s="469">
        <f t="shared" si="23"/>
        <v>0</v>
      </c>
      <c r="M36" s="683">
        <f t="shared" si="24"/>
        <v>0</v>
      </c>
      <c r="N36" s="470">
        <f t="shared" si="25"/>
        <v>38</v>
      </c>
      <c r="O36" s="468">
        <f t="shared" si="17"/>
        <v>2054</v>
      </c>
      <c r="P36" s="471">
        <f t="shared" si="26"/>
        <v>162882472.71647999</v>
      </c>
      <c r="Q36" s="472">
        <f t="shared" si="27"/>
        <v>162882472.71647999</v>
      </c>
      <c r="R36" s="472">
        <f t="shared" si="28"/>
        <v>4286380.8609600002</v>
      </c>
      <c r="S36" s="709">
        <f t="shared" si="18"/>
        <v>2017</v>
      </c>
      <c r="T36" s="470">
        <f t="shared" si="29"/>
        <v>1</v>
      </c>
      <c r="U36" s="612">
        <f t="shared" si="19"/>
        <v>4286380.8609600002</v>
      </c>
      <c r="V36" s="464">
        <f t="shared" si="20"/>
        <v>2017</v>
      </c>
      <c r="W36" s="612">
        <f t="shared" si="30"/>
        <v>158596091.85551998</v>
      </c>
      <c r="X36" s="473"/>
      <c r="Y36" s="478"/>
      <c r="Z36" s="449"/>
      <c r="AA36" s="475" t="s">
        <v>4181</v>
      </c>
      <c r="AB36" s="491"/>
      <c r="AC36" s="491"/>
      <c r="AD36" s="567">
        <f>U42</f>
        <v>77238804.866400018</v>
      </c>
      <c r="AE36" s="491"/>
      <c r="AF36" s="568"/>
      <c r="AG36" s="491"/>
      <c r="AH36" s="491"/>
      <c r="AI36" s="477"/>
      <c r="AJ36" s="478"/>
      <c r="AK36" s="479"/>
      <c r="AL36" s="480"/>
      <c r="AM36" s="474"/>
      <c r="AN36" s="481"/>
      <c r="AO36" s="474"/>
      <c r="AP36" s="476"/>
      <c r="AQ36" s="482"/>
      <c r="AR36" s="478"/>
      <c r="AS36" s="478"/>
      <c r="AT36" s="476"/>
      <c r="AU36" s="482"/>
      <c r="AV36" s="478"/>
      <c r="AW36" s="483"/>
      <c r="AX36" s="476"/>
      <c r="AY36" s="482"/>
      <c r="AZ36" s="478"/>
      <c r="BA36" s="484"/>
      <c r="BB36" s="474"/>
      <c r="BC36" s="485"/>
      <c r="BD36" s="485"/>
      <c r="BG36" s="487"/>
    </row>
    <row r="37" spans="1:59" s="486" customFormat="1" ht="18" customHeight="1" x14ac:dyDescent="0.2">
      <c r="A37" s="461" t="str">
        <f t="shared" si="21"/>
        <v>PDAM KUANTAN TENGAH2018</v>
      </c>
      <c r="B37" s="738"/>
      <c r="C37" s="463"/>
      <c r="D37" s="464"/>
      <c r="E37" s="465"/>
      <c r="F37" s="466">
        <v>2018</v>
      </c>
      <c r="G37" s="620">
        <v>0</v>
      </c>
      <c r="H37" s="464">
        <f t="shared" si="22"/>
        <v>37</v>
      </c>
      <c r="I37" s="467"/>
      <c r="J37" s="468">
        <f t="shared" si="16"/>
        <v>2054</v>
      </c>
      <c r="K37" s="490">
        <f t="shared" si="31"/>
        <v>0</v>
      </c>
      <c r="L37" s="469">
        <f t="shared" si="23"/>
        <v>0</v>
      </c>
      <c r="M37" s="683">
        <f t="shared" si="24"/>
        <v>0</v>
      </c>
      <c r="N37" s="470">
        <f t="shared" si="25"/>
        <v>37</v>
      </c>
      <c r="O37" s="468">
        <f t="shared" si="17"/>
        <v>2054</v>
      </c>
      <c r="P37" s="471">
        <f t="shared" si="26"/>
        <v>158596091.85551998</v>
      </c>
      <c r="Q37" s="472">
        <f t="shared" si="27"/>
        <v>158596091.85551998</v>
      </c>
      <c r="R37" s="472">
        <f t="shared" si="28"/>
        <v>4286380.8609600002</v>
      </c>
      <c r="S37" s="709">
        <f t="shared" si="18"/>
        <v>2018</v>
      </c>
      <c r="T37" s="470">
        <f t="shared" si="29"/>
        <v>1</v>
      </c>
      <c r="U37" s="612">
        <f t="shared" si="19"/>
        <v>4286380.8609600002</v>
      </c>
      <c r="V37" s="464">
        <f t="shared" si="20"/>
        <v>2018</v>
      </c>
      <c r="W37" s="612">
        <f t="shared" si="30"/>
        <v>154309710.99455997</v>
      </c>
      <c r="X37" s="473"/>
      <c r="Y37" s="478"/>
      <c r="Z37" s="449"/>
      <c r="AA37" s="492" t="s">
        <v>5547</v>
      </c>
      <c r="AB37" s="476"/>
      <c r="AC37" s="476"/>
      <c r="AD37" s="567">
        <f>AD35-AD36</f>
        <v>150023330.1336</v>
      </c>
      <c r="AE37" s="476"/>
      <c r="AF37" s="568"/>
      <c r="AG37" s="476"/>
      <c r="AH37" s="476"/>
      <c r="AI37" s="477"/>
      <c r="AJ37" s="478"/>
      <c r="AK37" s="479"/>
      <c r="AL37" s="480"/>
      <c r="AM37" s="474"/>
      <c r="AN37" s="481"/>
      <c r="AO37" s="474"/>
      <c r="AP37" s="476"/>
      <c r="AQ37" s="482"/>
      <c r="AR37" s="478"/>
      <c r="AS37" s="478"/>
      <c r="AT37" s="476"/>
      <c r="AU37" s="482"/>
      <c r="AV37" s="478"/>
      <c r="AW37" s="483"/>
      <c r="AX37" s="476"/>
      <c r="AY37" s="482"/>
      <c r="AZ37" s="478"/>
      <c r="BA37" s="484"/>
      <c r="BB37" s="474"/>
      <c r="BC37" s="485"/>
      <c r="BD37" s="485"/>
      <c r="BG37" s="487"/>
    </row>
    <row r="38" spans="1:59" s="486" customFormat="1" ht="18" customHeight="1" x14ac:dyDescent="0.2">
      <c r="A38" s="461" t="str">
        <f t="shared" si="21"/>
        <v>PDAM KUANTAN TENGAH2019</v>
      </c>
      <c r="B38" s="687"/>
      <c r="C38" s="463"/>
      <c r="D38" s="464"/>
      <c r="E38" s="465"/>
      <c r="F38" s="466">
        <v>2019</v>
      </c>
      <c r="G38" s="620">
        <v>0</v>
      </c>
      <c r="H38" s="464">
        <f t="shared" si="22"/>
        <v>36</v>
      </c>
      <c r="I38" s="467"/>
      <c r="J38" s="468">
        <f t="shared" si="16"/>
        <v>2054</v>
      </c>
      <c r="K38" s="490">
        <f>IF(G38=0,0,IF(H38=50,100%,G38/W37))</f>
        <v>0</v>
      </c>
      <c r="L38" s="469">
        <f t="shared" si="23"/>
        <v>0</v>
      </c>
      <c r="M38" s="683">
        <f t="shared" si="24"/>
        <v>0</v>
      </c>
      <c r="N38" s="470">
        <f t="shared" si="25"/>
        <v>36</v>
      </c>
      <c r="O38" s="468">
        <f t="shared" si="17"/>
        <v>2054</v>
      </c>
      <c r="P38" s="471">
        <f t="shared" si="26"/>
        <v>154309710.99455997</v>
      </c>
      <c r="Q38" s="472">
        <f t="shared" si="27"/>
        <v>154309710.99455997</v>
      </c>
      <c r="R38" s="472">
        <f t="shared" si="28"/>
        <v>4286380.8609600002</v>
      </c>
      <c r="S38" s="1189">
        <f t="shared" si="18"/>
        <v>2019</v>
      </c>
      <c r="T38" s="470">
        <f t="shared" si="29"/>
        <v>1</v>
      </c>
      <c r="U38" s="612">
        <f t="shared" si="19"/>
        <v>4286380.8609600002</v>
      </c>
      <c r="V38" s="464">
        <f t="shared" si="20"/>
        <v>2019</v>
      </c>
      <c r="W38" s="612">
        <f t="shared" si="30"/>
        <v>150023330.13359997</v>
      </c>
      <c r="X38" s="473"/>
      <c r="Y38" s="478"/>
      <c r="Z38" s="449"/>
      <c r="AA38" s="475" t="s">
        <v>4183</v>
      </c>
      <c r="AB38" s="476"/>
      <c r="AC38" s="476"/>
      <c r="AD38" s="567">
        <f>AD37-W42</f>
        <v>0</v>
      </c>
      <c r="AE38" s="476"/>
      <c r="AF38" s="568"/>
      <c r="AG38" s="476"/>
      <c r="AH38" s="476"/>
      <c r="AI38" s="477"/>
      <c r="AJ38" s="478"/>
      <c r="AK38" s="479"/>
      <c r="AL38" s="480"/>
      <c r="AM38" s="474"/>
      <c r="AN38" s="481"/>
      <c r="AO38" s="474"/>
      <c r="AP38" s="476"/>
      <c r="AQ38" s="482"/>
      <c r="AR38" s="478"/>
      <c r="AS38" s="478"/>
      <c r="AT38" s="476"/>
      <c r="AU38" s="482"/>
      <c r="AV38" s="478"/>
      <c r="AW38" s="483"/>
      <c r="AX38" s="476"/>
      <c r="AY38" s="482"/>
      <c r="AZ38" s="478"/>
      <c r="BA38" s="484"/>
      <c r="BB38" s="474"/>
      <c r="BC38" s="485"/>
      <c r="BD38" s="485"/>
      <c r="BG38" s="487"/>
    </row>
    <row r="39" spans="1:59" s="486" customFormat="1" ht="18" customHeight="1" x14ac:dyDescent="0.2">
      <c r="B39" s="687"/>
      <c r="C39" s="494"/>
      <c r="D39" s="464"/>
      <c r="E39" s="465"/>
      <c r="F39" s="466"/>
      <c r="G39" s="620"/>
      <c r="H39" s="464"/>
      <c r="I39" s="467"/>
      <c r="J39" s="468"/>
      <c r="K39" s="490"/>
      <c r="L39" s="469"/>
      <c r="M39" s="683"/>
      <c r="N39" s="470"/>
      <c r="O39" s="468"/>
      <c r="P39" s="471"/>
      <c r="Q39" s="472"/>
      <c r="R39" s="472"/>
      <c r="S39" s="629"/>
      <c r="T39" s="470"/>
      <c r="U39" s="612"/>
      <c r="V39" s="464"/>
      <c r="W39" s="612"/>
      <c r="X39" s="473"/>
      <c r="Y39" s="478"/>
      <c r="Z39" s="449"/>
      <c r="AA39" s="495"/>
      <c r="AB39" s="496"/>
      <c r="AC39" s="496"/>
      <c r="AD39" s="569"/>
      <c r="AE39" s="476"/>
      <c r="AF39" s="568"/>
      <c r="AG39" s="476"/>
      <c r="AH39" s="476"/>
      <c r="AI39" s="477"/>
      <c r="AJ39" s="478"/>
      <c r="AK39" s="479"/>
      <c r="AL39" s="480"/>
      <c r="AM39" s="474"/>
      <c r="AN39" s="481"/>
      <c r="AO39" s="474"/>
      <c r="AP39" s="476"/>
      <c r="AQ39" s="482"/>
      <c r="AR39" s="478"/>
      <c r="AS39" s="478"/>
      <c r="AT39" s="476"/>
      <c r="AU39" s="482"/>
      <c r="AV39" s="478"/>
      <c r="AW39" s="483"/>
      <c r="AX39" s="476"/>
      <c r="AY39" s="482"/>
      <c r="AZ39" s="478"/>
      <c r="BA39" s="484"/>
      <c r="BB39" s="474"/>
      <c r="BC39" s="485"/>
      <c r="BD39" s="485"/>
      <c r="BG39" s="487"/>
    </row>
    <row r="40" spans="1:59" s="486" customFormat="1" ht="18" customHeight="1" x14ac:dyDescent="0.2">
      <c r="B40" s="687"/>
      <c r="C40" s="463"/>
      <c r="D40" s="464"/>
      <c r="E40" s="465"/>
      <c r="F40" s="466"/>
      <c r="G40" s="620"/>
      <c r="H40" s="464"/>
      <c r="I40" s="467"/>
      <c r="J40" s="468"/>
      <c r="K40" s="490"/>
      <c r="L40" s="469"/>
      <c r="M40" s="683"/>
      <c r="N40" s="470"/>
      <c r="O40" s="468"/>
      <c r="P40" s="471"/>
      <c r="Q40" s="472"/>
      <c r="R40" s="472"/>
      <c r="S40" s="629"/>
      <c r="T40" s="470"/>
      <c r="U40" s="612"/>
      <c r="V40" s="464"/>
      <c r="W40" s="612"/>
      <c r="X40" s="473"/>
      <c r="Y40" s="497"/>
      <c r="Z40" s="449"/>
      <c r="AA40" s="497"/>
      <c r="AB40" s="476"/>
      <c r="AC40" s="497"/>
      <c r="AD40" s="568"/>
      <c r="AE40" s="476"/>
      <c r="AF40" s="568"/>
      <c r="AG40" s="476"/>
      <c r="AH40" s="476"/>
      <c r="AI40" s="477"/>
      <c r="AJ40" s="478"/>
      <c r="AK40" s="479"/>
      <c r="AL40" s="480"/>
      <c r="AM40" s="474"/>
      <c r="AN40" s="481"/>
      <c r="AO40" s="474"/>
      <c r="AP40" s="476"/>
      <c r="AQ40" s="482"/>
      <c r="AR40" s="478"/>
      <c r="AS40" s="478"/>
      <c r="AT40" s="476"/>
      <c r="AU40" s="482"/>
      <c r="AV40" s="478"/>
      <c r="AW40" s="483"/>
      <c r="AX40" s="476"/>
      <c r="AY40" s="482"/>
      <c r="AZ40" s="478"/>
      <c r="BA40" s="484"/>
      <c r="BB40" s="474"/>
      <c r="BC40" s="485"/>
      <c r="BD40" s="485"/>
      <c r="BG40" s="487"/>
    </row>
    <row r="41" spans="1:59" s="486" customFormat="1" ht="18" customHeight="1" x14ac:dyDescent="0.2">
      <c r="B41" s="687"/>
      <c r="C41" s="463"/>
      <c r="D41" s="464"/>
      <c r="E41" s="465"/>
      <c r="F41" s="629"/>
      <c r="G41" s="620"/>
      <c r="H41" s="469" t="str">
        <f>IF(OR(AND(ISBLANK(E41),ISBLANK(G41)),ISTEXT(E41),ISTEXT(G41)),"",IF(#REF!-(YEAR(E41)-YEAR(#REF!))&lt;0,0,#REF!-(YEAR(E41)-YEAR(#REF!))))</f>
        <v/>
      </c>
      <c r="I41" s="467" t="str">
        <f>IF(OR(AND(ISBLANK(E41),ISBLANK(G41)),ISTEXT(E41),ISTEXT(G41)),"",IF(#REF!-E41&lt;0,0,#REF!-E41))</f>
        <v/>
      </c>
      <c r="J41" s="498" t="str">
        <f>IF(OR(AND(ISBLANK(E41),ISBLANK(G41)),ISTEXT(E41),ISTEXT(G41)),"",#REF!)</f>
        <v/>
      </c>
      <c r="K41" s="498"/>
      <c r="L41" s="469" t="str">
        <f>IF(OR(AND(ISBLANK(E41),ISBLANK(G41)),ISTEXT(E41),ISTEXT(G41)),"",ROUNDDOWN(G41/SUM($G41:G$627)*#REF!,0))</f>
        <v/>
      </c>
      <c r="M41" s="683" t="str">
        <f>IF(OR(AND(ISBLANK(E41),ISBLANK(G41)),ISTEXT(E41),ISTEXT(G41)),"",IF(H41+L41&gt;#REF!,#REF!-H41,L41))</f>
        <v/>
      </c>
      <c r="N41" s="470" t="str">
        <f>IF(OR(AND(ISBLANK(E41),ISBLANK(G41)),ISTEXT(E41),ISTEXT(G41)),"",H41+M41)</f>
        <v/>
      </c>
      <c r="O41" s="498" t="str">
        <f>IF(OR(AND(ISBLANK(E41),ISBLANK(G41)),ISTEXT(E41),ISTEXT(G41)),"",DATE(YEAR($J41)+M41,MONTH($J41),DAY($J41)))</f>
        <v/>
      </c>
      <c r="P41" s="499" t="str">
        <f>IF(OR(AND(ISBLANK(E41),ISBLANK(G41)),ISTEXT(E41),ISTEXT(G41)),"",#REF!-#REF!*(IF(J41&lt;E41,J41,E41)-#REF!))</f>
        <v/>
      </c>
      <c r="Q41" s="500" t="str">
        <f>IF(OR(AND(ISBLANK(E41),ISBLANK(G41)),ISTEXT(E41),ISTEXT(G41)),"",P41+G41)</f>
        <v/>
      </c>
      <c r="R41" s="501" t="str">
        <f>IF(OR(AND(ISBLANK(E41),ISBLANK(G41)),ISTEXT(E41),ISTEXT(G41)),"",IF(OR(E41&lt;DATE(2004,12,31),#REF!=0),0,Q41/#REF!))</f>
        <v/>
      </c>
      <c r="S41" s="502" t="str">
        <f>IF(OR(AND(ISBLANK(E41),ISBLANK(G41)),ISTEXT(E41),ISTEXT(G41)),"",IF(YEAR(E41)&lt;=YEAR(#REF!),"-",YEAR(E41)-1))</f>
        <v/>
      </c>
      <c r="T41" s="502"/>
      <c r="U41" s="612" t="str">
        <f>IF(OR(AND(ISBLANK(E41),ISBLANK(G41)),ISTEXT(E41),ISTEXT(G41)),"",IF(AND(J41&lt;=DATE(2004,12,31),E41&gt;J41),SUM($G41:G41),#REF!+#REF!+#REF!*IF(YEAR(E41)&lt;=YEAR(#REF!),0,(IF(DATE(YEAR(E41)-1,12,31)&gt;J41,J41,DATE(YEAR(E41)-1,12,31))-#REF!))))</f>
        <v/>
      </c>
      <c r="V41" s="503" t="str">
        <f>IF(OR(AND(ISBLANK(E41),ISBLANK(G41)),ISTEXT(E41),ISTEXT(G41)),"",IF(YEAR(E41)=YEAR(E42),E42,DATE(YEAR(E41),12,31)))</f>
        <v/>
      </c>
      <c r="W41" s="612" t="str">
        <f>IF(OR(AND(ISBLANK(E41),ISBLANK(G41)),ISTEXT(E41),ISTEXT(G41)),"",P41-U41)</f>
        <v/>
      </c>
      <c r="X41" s="504" t="str">
        <f>IF(OR(AND(ISBLANK(E41),ISBLANK(G41)),ISTEXT(E41),ISTEXT(G41)),"",#REF!&amp;"//"&amp;TEXT(#REF!,"dd-mmm-yyyy")&amp;"//"&amp;#REF!)</f>
        <v/>
      </c>
      <c r="Y41" s="476"/>
      <c r="Z41" s="476"/>
      <c r="AA41" s="476"/>
      <c r="AB41" s="476"/>
      <c r="AC41" s="476"/>
      <c r="AD41" s="568"/>
      <c r="AE41" s="476"/>
      <c r="AF41" s="568"/>
      <c r="AG41" s="476"/>
      <c r="AH41" s="476"/>
      <c r="AI41" s="477"/>
      <c r="AJ41" s="478"/>
      <c r="AK41" s="479"/>
      <c r="AL41" s="480"/>
      <c r="AM41" s="474"/>
      <c r="AN41" s="481"/>
      <c r="AO41" s="474"/>
      <c r="AP41" s="476"/>
      <c r="AQ41" s="482"/>
      <c r="AR41" s="478"/>
      <c r="AS41" s="478"/>
      <c r="AT41" s="476"/>
      <c r="AU41" s="482"/>
      <c r="AV41" s="478"/>
      <c r="AW41" s="483"/>
      <c r="AX41" s="476"/>
      <c r="AY41" s="482"/>
      <c r="AZ41" s="478"/>
      <c r="BA41" s="484"/>
      <c r="BB41" s="474"/>
      <c r="BC41" s="485"/>
      <c r="BD41" s="485"/>
      <c r="BG41" s="487"/>
    </row>
    <row r="42" spans="1:59" s="526" customFormat="1" ht="18" customHeight="1" x14ac:dyDescent="0.2">
      <c r="B42" s="1956" t="s">
        <v>4184</v>
      </c>
      <c r="C42" s="1957"/>
      <c r="D42" s="1957"/>
      <c r="E42" s="1957"/>
      <c r="F42" s="1958"/>
      <c r="G42" s="621">
        <f>SUM(G27:G41)</f>
        <v>227262135</v>
      </c>
      <c r="H42" s="505"/>
      <c r="I42" s="506"/>
      <c r="J42" s="507"/>
      <c r="K42" s="507"/>
      <c r="L42" s="505"/>
      <c r="M42" s="684"/>
      <c r="N42" s="508"/>
      <c r="O42" s="507"/>
      <c r="P42" s="509"/>
      <c r="Q42" s="510"/>
      <c r="R42" s="511"/>
      <c r="S42" s="512"/>
      <c r="T42" s="512"/>
      <c r="U42" s="610">
        <f>SUM(U27:U41)</f>
        <v>77238804.866400018</v>
      </c>
      <c r="V42" s="513"/>
      <c r="W42" s="610">
        <f>G42-U42</f>
        <v>150023330.1336</v>
      </c>
      <c r="X42" s="514"/>
      <c r="Y42" s="515"/>
      <c r="Z42" s="515"/>
      <c r="AA42" s="515"/>
      <c r="AB42" s="515"/>
      <c r="AC42" s="515"/>
      <c r="AD42" s="570"/>
      <c r="AE42" s="515"/>
      <c r="AF42" s="570">
        <v>80229408.844080016</v>
      </c>
      <c r="AG42" s="515"/>
      <c r="AH42" s="515"/>
      <c r="AI42" s="516"/>
      <c r="AJ42" s="517"/>
      <c r="AK42" s="518"/>
      <c r="AL42" s="519"/>
      <c r="AM42" s="520"/>
      <c r="AN42" s="521"/>
      <c r="AO42" s="520"/>
      <c r="AP42" s="515"/>
      <c r="AQ42" s="522"/>
      <c r="AR42" s="517"/>
      <c r="AS42" s="517"/>
      <c r="AT42" s="515"/>
      <c r="AU42" s="522"/>
      <c r="AV42" s="517"/>
      <c r="AW42" s="523"/>
      <c r="AX42" s="515"/>
      <c r="AY42" s="522"/>
      <c r="AZ42" s="517"/>
      <c r="BA42" s="524"/>
      <c r="BB42" s="520"/>
      <c r="BC42" s="525"/>
      <c r="BD42" s="525"/>
      <c r="BG42" s="527"/>
    </row>
    <row r="43" spans="1:59" s="526" customFormat="1" ht="13.5" customHeight="1" x14ac:dyDescent="0.2">
      <c r="B43" s="575"/>
      <c r="C43" s="585"/>
      <c r="D43" s="585"/>
      <c r="E43" s="585"/>
      <c r="F43" s="585"/>
      <c r="G43" s="622"/>
      <c r="H43" s="586"/>
      <c r="I43" s="587"/>
      <c r="J43" s="588"/>
      <c r="K43" s="588"/>
      <c r="L43" s="586"/>
      <c r="M43" s="521"/>
      <c r="N43" s="589"/>
      <c r="O43" s="588"/>
      <c r="P43" s="590"/>
      <c r="Q43" s="591"/>
      <c r="R43" s="592"/>
      <c r="S43" s="593"/>
      <c r="T43" s="593"/>
      <c r="U43" s="570"/>
      <c r="V43" s="594"/>
      <c r="W43" s="570"/>
      <c r="X43" s="515"/>
      <c r="Y43" s="515"/>
      <c r="Z43" s="515"/>
      <c r="AA43" s="515"/>
      <c r="AB43" s="515"/>
      <c r="AC43" s="515"/>
      <c r="AD43" s="570"/>
      <c r="AE43" s="515"/>
      <c r="AF43" s="570">
        <v>80229408.844080016</v>
      </c>
      <c r="AG43" s="515"/>
      <c r="AH43" s="515"/>
      <c r="AI43" s="516"/>
      <c r="AJ43" s="517"/>
      <c r="AK43" s="518"/>
      <c r="AL43" s="519"/>
      <c r="AM43" s="520"/>
      <c r="AN43" s="521"/>
      <c r="AO43" s="520"/>
      <c r="AP43" s="515"/>
      <c r="AQ43" s="522"/>
      <c r="AR43" s="517"/>
      <c r="AS43" s="517"/>
      <c r="AT43" s="515"/>
      <c r="AU43" s="522"/>
      <c r="AV43" s="517"/>
      <c r="AW43" s="523"/>
      <c r="AX43" s="515"/>
      <c r="AY43" s="522"/>
      <c r="AZ43" s="517"/>
      <c r="BA43" s="524"/>
      <c r="BB43" s="520"/>
      <c r="BC43" s="525"/>
      <c r="BD43" s="525"/>
      <c r="BG43" s="527"/>
    </row>
    <row r="44" spans="1:59" ht="15" customHeight="1" x14ac:dyDescent="0.2"/>
    <row r="45" spans="1:59" ht="15" customHeight="1" x14ac:dyDescent="0.2">
      <c r="U45" s="614"/>
    </row>
    <row r="46" spans="1:59" s="422" customFormat="1" ht="18" customHeight="1" x14ac:dyDescent="0.2">
      <c r="B46" s="688" t="s">
        <v>4202</v>
      </c>
      <c r="C46" s="556"/>
      <c r="D46" s="553" t="s">
        <v>2992</v>
      </c>
      <c r="E46" s="553"/>
      <c r="F46" s="421"/>
      <c r="G46" s="611"/>
      <c r="I46" s="423"/>
      <c r="J46" s="424"/>
      <c r="K46" s="424"/>
      <c r="M46" s="680"/>
      <c r="U46" s="611"/>
      <c r="W46" s="611"/>
      <c r="Y46" s="425"/>
      <c r="Z46" s="425"/>
      <c r="AA46" s="425"/>
      <c r="AB46" s="425"/>
      <c r="AC46" s="425"/>
      <c r="AD46" s="563"/>
      <c r="AE46" s="425"/>
      <c r="AF46" s="563"/>
      <c r="AG46" s="425"/>
      <c r="AH46" s="425"/>
      <c r="AI46" s="425"/>
      <c r="AJ46" s="425"/>
      <c r="AK46" s="425"/>
      <c r="AL46" s="425"/>
      <c r="AM46" s="425"/>
      <c r="AN46" s="425"/>
      <c r="AO46" s="425"/>
      <c r="AP46" s="425"/>
      <c r="AQ46" s="425"/>
      <c r="AR46" s="425"/>
      <c r="AS46" s="425"/>
      <c r="AT46" s="425"/>
      <c r="AU46" s="425"/>
      <c r="AV46" s="425"/>
      <c r="AW46" s="425"/>
      <c r="AX46" s="425"/>
      <c r="AY46" s="425"/>
      <c r="AZ46" s="425"/>
      <c r="BA46" s="425"/>
      <c r="BB46" s="425"/>
    </row>
    <row r="47" spans="1:59" s="431" customFormat="1" ht="18" customHeight="1" x14ac:dyDescent="0.2">
      <c r="B47" s="1968" t="s">
        <v>5</v>
      </c>
      <c r="C47" s="1968" t="s">
        <v>2280</v>
      </c>
      <c r="D47" s="1968" t="s">
        <v>4157</v>
      </c>
      <c r="E47" s="1968" t="s">
        <v>4158</v>
      </c>
      <c r="F47" s="1968"/>
      <c r="G47" s="1969" t="s">
        <v>4159</v>
      </c>
      <c r="H47" s="1355" t="s">
        <v>4160</v>
      </c>
      <c r="I47" s="1355"/>
      <c r="J47" s="1968" t="s">
        <v>4161</v>
      </c>
      <c r="K47" s="1964" t="s">
        <v>4162</v>
      </c>
      <c r="L47" s="1968" t="s">
        <v>4163</v>
      </c>
      <c r="M47" s="1971" t="s">
        <v>4164</v>
      </c>
      <c r="N47" s="1962" t="s">
        <v>4165</v>
      </c>
      <c r="O47" s="1968" t="s">
        <v>4166</v>
      </c>
      <c r="P47" s="1972" t="s">
        <v>4167</v>
      </c>
      <c r="Q47" s="1973"/>
      <c r="R47" s="631" t="s">
        <v>4168</v>
      </c>
      <c r="S47" s="1972" t="s">
        <v>4169</v>
      </c>
      <c r="T47" s="1974"/>
      <c r="U47" s="1973"/>
      <c r="V47" s="1975" t="s">
        <v>4170</v>
      </c>
      <c r="W47" s="1975"/>
      <c r="X47" s="1960" t="s">
        <v>4171</v>
      </c>
      <c r="Y47" s="1959"/>
      <c r="Z47" s="628"/>
      <c r="AA47" s="426"/>
      <c r="AB47" s="426"/>
      <c r="AC47" s="426"/>
      <c r="AD47" s="564"/>
      <c r="AE47" s="426"/>
      <c r="AF47" s="564"/>
      <c r="AG47" s="426"/>
      <c r="AH47" s="426"/>
      <c r="AI47" s="427"/>
      <c r="AJ47" s="427"/>
      <c r="AK47" s="427"/>
      <c r="AL47" s="427"/>
      <c r="AM47" s="428"/>
      <c r="AN47" s="427"/>
      <c r="AO47" s="427"/>
      <c r="AP47" s="426"/>
      <c r="AQ47" s="427"/>
      <c r="AR47" s="427"/>
      <c r="AS47" s="427"/>
      <c r="AT47" s="426"/>
      <c r="AU47" s="427"/>
      <c r="AV47" s="427"/>
      <c r="AW47" s="427"/>
      <c r="AX47" s="426"/>
      <c r="AY47" s="427"/>
      <c r="AZ47" s="427"/>
      <c r="BA47" s="427"/>
      <c r="BB47" s="429"/>
      <c r="BC47" s="430"/>
      <c r="BD47" s="430"/>
    </row>
    <row r="48" spans="1:59" s="431" customFormat="1" ht="18" customHeight="1" x14ac:dyDescent="0.2">
      <c r="B48" s="1968"/>
      <c r="C48" s="1968"/>
      <c r="D48" s="1968"/>
      <c r="E48" s="1968"/>
      <c r="F48" s="1968"/>
      <c r="G48" s="1969"/>
      <c r="H48" s="1355"/>
      <c r="I48" s="1355"/>
      <c r="J48" s="1968"/>
      <c r="K48" s="1970"/>
      <c r="L48" s="1968"/>
      <c r="M48" s="1971"/>
      <c r="N48" s="1963"/>
      <c r="O48" s="1968"/>
      <c r="P48" s="1960" t="s">
        <v>4172</v>
      </c>
      <c r="Q48" s="1960" t="s">
        <v>4173</v>
      </c>
      <c r="R48" s="1962" t="s">
        <v>4159</v>
      </c>
      <c r="S48" s="1962" t="s">
        <v>4174</v>
      </c>
      <c r="T48" s="1964" t="s">
        <v>4175</v>
      </c>
      <c r="U48" s="1966" t="s">
        <v>4159</v>
      </c>
      <c r="V48" s="1975"/>
      <c r="W48" s="1975"/>
      <c r="X48" s="1976"/>
      <c r="Y48" s="1959"/>
      <c r="Z48" s="628"/>
      <c r="AA48" s="426"/>
      <c r="AB48" s="426"/>
      <c r="AC48" s="426"/>
      <c r="AD48" s="564"/>
      <c r="AE48" s="426"/>
      <c r="AF48" s="564"/>
      <c r="AG48" s="426"/>
      <c r="AH48" s="426"/>
      <c r="AI48" s="427"/>
      <c r="AJ48" s="427"/>
      <c r="AK48" s="426"/>
      <c r="AL48" s="427"/>
      <c r="AM48" s="428"/>
      <c r="AN48" s="427"/>
      <c r="AO48" s="427"/>
      <c r="AP48" s="432"/>
      <c r="AQ48" s="427"/>
      <c r="AR48" s="427"/>
      <c r="AS48" s="427"/>
      <c r="AT48" s="432"/>
      <c r="AU48" s="427"/>
      <c r="AV48" s="427"/>
      <c r="AW48" s="427"/>
      <c r="AX48" s="432"/>
      <c r="AY48" s="427"/>
      <c r="AZ48" s="427"/>
      <c r="BA48" s="427"/>
      <c r="BB48" s="429"/>
      <c r="BC48" s="430"/>
      <c r="BD48" s="430"/>
    </row>
    <row r="49" spans="1:59" s="431" customFormat="1" ht="18" customHeight="1" x14ac:dyDescent="0.2">
      <c r="B49" s="1968"/>
      <c r="C49" s="1968"/>
      <c r="D49" s="1968"/>
      <c r="E49" s="433" t="s">
        <v>4176</v>
      </c>
      <c r="F49" s="434" t="s">
        <v>2288</v>
      </c>
      <c r="G49" s="1969"/>
      <c r="H49" s="1355" t="s">
        <v>2288</v>
      </c>
      <c r="I49" s="1355" t="s">
        <v>4177</v>
      </c>
      <c r="J49" s="1968"/>
      <c r="K49" s="1965"/>
      <c r="L49" s="435" t="s">
        <v>2288</v>
      </c>
      <c r="M49" s="681" t="s">
        <v>2288</v>
      </c>
      <c r="N49" s="630" t="s">
        <v>2288</v>
      </c>
      <c r="O49" s="1968"/>
      <c r="P49" s="1961"/>
      <c r="Q49" s="1961"/>
      <c r="R49" s="1963"/>
      <c r="S49" s="1963"/>
      <c r="T49" s="1965"/>
      <c r="U49" s="1967"/>
      <c r="V49" s="630" t="s">
        <v>4178</v>
      </c>
      <c r="W49" s="632" t="s">
        <v>4159</v>
      </c>
      <c r="X49" s="1961"/>
      <c r="Y49" s="436"/>
      <c r="Z49" s="436"/>
      <c r="AA49" s="426"/>
      <c r="AB49" s="426"/>
      <c r="AC49" s="426"/>
      <c r="AD49" s="564"/>
      <c r="AE49" s="426"/>
      <c r="AF49" s="564"/>
      <c r="AG49" s="426"/>
      <c r="AH49" s="426"/>
      <c r="AI49" s="427"/>
      <c r="AJ49" s="432"/>
      <c r="AK49" s="432"/>
      <c r="AL49" s="427"/>
      <c r="AM49" s="428"/>
      <c r="AN49" s="432"/>
      <c r="AO49" s="427"/>
      <c r="AP49" s="432"/>
      <c r="AQ49" s="432"/>
      <c r="AR49" s="427"/>
      <c r="AS49" s="427"/>
      <c r="AT49" s="432"/>
      <c r="AU49" s="432"/>
      <c r="AV49" s="427"/>
      <c r="AW49" s="427"/>
      <c r="AX49" s="432"/>
      <c r="AY49" s="432"/>
      <c r="AZ49" s="427"/>
      <c r="BA49" s="427"/>
      <c r="BB49" s="429"/>
      <c r="BC49" s="430"/>
      <c r="BD49" s="430"/>
    </row>
    <row r="50" spans="1:59" s="461" customFormat="1" ht="18" customHeight="1" x14ac:dyDescent="0.2">
      <c r="A50" s="461" t="str">
        <f>$D$46&amp;S50</f>
        <v>KANTOR KEPALA DESA PULAU BUSUK JAYA2007</v>
      </c>
      <c r="B50" s="708">
        <v>1</v>
      </c>
      <c r="C50" s="489" t="s">
        <v>1020</v>
      </c>
      <c r="D50" s="489" t="s">
        <v>1752</v>
      </c>
      <c r="E50" s="558"/>
      <c r="F50" s="559">
        <v>2007</v>
      </c>
      <c r="G50" s="619">
        <v>223266588.17763156</v>
      </c>
      <c r="H50" s="600">
        <f>VLOOKUP(LEFT(D50,8),UE,4)</f>
        <v>50</v>
      </c>
      <c r="I50" s="560"/>
      <c r="J50" s="468">
        <f>(F50+N50)-1</f>
        <v>2056</v>
      </c>
      <c r="K50" s="595"/>
      <c r="L50" s="557"/>
      <c r="M50" s="682">
        <f>IF(H50+L50&gt;$H50,$H50-H50,L50)</f>
        <v>0</v>
      </c>
      <c r="N50" s="584">
        <f>H50+M50</f>
        <v>50</v>
      </c>
      <c r="O50" s="468">
        <f>(F50+N50)-1</f>
        <v>2056</v>
      </c>
      <c r="P50" s="605">
        <f>G50</f>
        <v>223266588.17763156</v>
      </c>
      <c r="Q50" s="472">
        <v>0</v>
      </c>
      <c r="R50" s="472">
        <f>P50/N50</f>
        <v>4465331.7635526313</v>
      </c>
      <c r="S50" s="596">
        <f>F50</f>
        <v>2007</v>
      </c>
      <c r="T50" s="470">
        <v>1</v>
      </c>
      <c r="U50" s="612">
        <f>R50*T50</f>
        <v>4465331.7635526313</v>
      </c>
      <c r="V50" s="468">
        <f>F50</f>
        <v>2007</v>
      </c>
      <c r="W50" s="616">
        <f>IF(OR(AND(ISBLANK(E50),ISBLANK(G50)),ISTEXT(E50),ISTEXT(G50)),"",G50-R50)</f>
        <v>218801256.41407892</v>
      </c>
      <c r="X50" s="561"/>
      <c r="Y50" s="449"/>
      <c r="Z50" s="449"/>
      <c r="AA50" s="693"/>
      <c r="AB50" s="452"/>
      <c r="AC50" s="452"/>
      <c r="AD50" s="571"/>
      <c r="AE50" s="452"/>
      <c r="AF50" s="571"/>
      <c r="AG50" s="452"/>
      <c r="AH50" s="452"/>
      <c r="AI50" s="453"/>
      <c r="AJ50" s="449"/>
      <c r="AK50" s="453"/>
      <c r="AL50" s="454"/>
      <c r="AM50" s="455"/>
      <c r="AN50" s="456"/>
      <c r="AO50" s="455"/>
      <c r="AP50" s="452"/>
      <c r="AQ50" s="457"/>
      <c r="AR50" s="449"/>
      <c r="AS50" s="449"/>
      <c r="AT50" s="452"/>
      <c r="AU50" s="457"/>
      <c r="AV50" s="449"/>
      <c r="AW50" s="458"/>
      <c r="AX50" s="452"/>
      <c r="AY50" s="457"/>
      <c r="AZ50" s="449"/>
      <c r="BA50" s="459"/>
      <c r="BB50" s="455"/>
      <c r="BC50" s="460"/>
      <c r="BD50" s="460"/>
      <c r="BG50" s="462"/>
    </row>
    <row r="51" spans="1:59" s="461" customFormat="1" ht="18" customHeight="1" x14ac:dyDescent="0.2">
      <c r="A51" s="461" t="str">
        <f t="shared" ref="A51:A60" si="32">$D$46&amp;S51</f>
        <v>KANTOR KEPALA DESA PULAU BUSUK JAYA2008</v>
      </c>
      <c r="B51" s="738"/>
      <c r="C51" s="489" t="s">
        <v>1049</v>
      </c>
      <c r="D51" s="489" t="s">
        <v>1752</v>
      </c>
      <c r="E51" s="558"/>
      <c r="F51" s="559">
        <v>2008</v>
      </c>
      <c r="G51" s="619">
        <v>47743795.789002009</v>
      </c>
      <c r="H51" s="464">
        <f>IF(N50-(F51-F50)&lt;=0,0,(N50-(F51-F50)))</f>
        <v>49</v>
      </c>
      <c r="I51" s="560"/>
      <c r="J51" s="468">
        <f>(F51+N51)-1</f>
        <v>2057</v>
      </c>
      <c r="K51" s="490">
        <f>IF(G51=0,0,IF(H51=50,100%,G51/W50))</f>
        <v>0.21820622317930119</v>
      </c>
      <c r="L51" s="469">
        <f>IF(K51=0%,0,IF(K51&lt;=25%,5,IF(K51&lt;=50%,10,IF(K51&lt;=75%,15,50))))</f>
        <v>5</v>
      </c>
      <c r="M51" s="683">
        <f>IF(OR(AND(ISBLANK(E51),ISBLANK(G51)),ISTEXT(E51),ISTEXT(G51)),"",IF(H51+L51&gt;$H$50,$H$50-H51,L51))</f>
        <v>1</v>
      </c>
      <c r="N51" s="470">
        <f>IF(OR(AND(ISBLANK(F51),ISBLANK(G51)),ISTEXT(F51),ISTEXT(G51)),"",H51+M51)</f>
        <v>50</v>
      </c>
      <c r="O51" s="468">
        <f>(F51+N51)-1</f>
        <v>2057</v>
      </c>
      <c r="P51" s="471">
        <f>W50</f>
        <v>218801256.41407892</v>
      </c>
      <c r="Q51" s="472">
        <f>P51+G51</f>
        <v>266545052.20308092</v>
      </c>
      <c r="R51" s="472">
        <f>IF(L51=0,R50,Q51/N51)</f>
        <v>5330901.0440616189</v>
      </c>
      <c r="S51" s="629">
        <f>F51</f>
        <v>2008</v>
      </c>
      <c r="T51" s="470">
        <f>S51-S50</f>
        <v>1</v>
      </c>
      <c r="U51" s="612">
        <f>R51*T51</f>
        <v>5330901.0440616189</v>
      </c>
      <c r="V51" s="464">
        <f>F51</f>
        <v>2008</v>
      </c>
      <c r="W51" s="612">
        <f>IF(OR(AND(ISBLANK(E51),ISBLANK(G51)),ISTEXT(E51),ISTEXT(G51)),"",Q51-U51)</f>
        <v>261214151.15901929</v>
      </c>
      <c r="X51" s="561"/>
      <c r="Y51" s="449"/>
      <c r="Z51" s="449"/>
      <c r="AA51" s="693"/>
      <c r="AB51" s="452"/>
      <c r="AC51" s="452"/>
      <c r="AD51" s="571"/>
      <c r="AE51" s="452"/>
      <c r="AF51" s="571"/>
      <c r="AG51" s="452"/>
      <c r="AH51" s="452"/>
      <c r="AI51" s="453"/>
      <c r="AJ51" s="449"/>
      <c r="AK51" s="453"/>
      <c r="AL51" s="454"/>
      <c r="AM51" s="455"/>
      <c r="AN51" s="456"/>
      <c r="AO51" s="455"/>
      <c r="AP51" s="452"/>
      <c r="AQ51" s="457"/>
      <c r="AR51" s="449"/>
      <c r="AS51" s="449"/>
      <c r="AT51" s="452"/>
      <c r="AU51" s="457"/>
      <c r="AV51" s="449"/>
      <c r="AW51" s="458"/>
      <c r="AX51" s="452"/>
      <c r="AY51" s="457"/>
      <c r="AZ51" s="449"/>
      <c r="BA51" s="459"/>
      <c r="BB51" s="455"/>
      <c r="BC51" s="460"/>
      <c r="BD51" s="460"/>
      <c r="BG51" s="462"/>
    </row>
    <row r="52" spans="1:59" s="461" customFormat="1" ht="18" customHeight="1" x14ac:dyDescent="0.2">
      <c r="A52" s="461" t="str">
        <f t="shared" si="32"/>
        <v>KANTOR KEPALA DESA PULAU BUSUK JAYA2010</v>
      </c>
      <c r="B52" s="738"/>
      <c r="C52" s="489"/>
      <c r="D52" s="489"/>
      <c r="E52" s="558"/>
      <c r="F52" s="559">
        <v>2010</v>
      </c>
      <c r="G52" s="619">
        <v>0</v>
      </c>
      <c r="H52" s="464">
        <f t="shared" ref="H52:H59" si="33">IF(N51-(F52-F51)&lt;=0,0,(N51-(F52-F51)))</f>
        <v>48</v>
      </c>
      <c r="I52" s="560"/>
      <c r="J52" s="468">
        <f t="shared" ref="J52:J59" si="34">(F52+N52)-1</f>
        <v>2057</v>
      </c>
      <c r="K52" s="490">
        <f t="shared" ref="K52:K59" si="35">IF(G52=0,0,IF(H52=50,100%,G52/W51))</f>
        <v>0</v>
      </c>
      <c r="L52" s="469">
        <f t="shared" ref="L52:L59" si="36">IF(K52=0%,0,IF(K52&lt;=25%,5,IF(K52&lt;=50%,10,IF(K52&lt;=75%,15,50))))</f>
        <v>0</v>
      </c>
      <c r="M52" s="683">
        <f t="shared" ref="M52:M60" si="37">IF(OR(AND(ISBLANK(E52),ISBLANK(G52)),ISTEXT(E52),ISTEXT(G52)),"",IF(H52+L52&gt;$H$50,$H$50-H52,L52))</f>
        <v>0</v>
      </c>
      <c r="N52" s="470">
        <f t="shared" ref="N52:N59" si="38">IF(OR(AND(ISBLANK(F52),ISBLANK(G52)),ISTEXT(F52),ISTEXT(G52)),"",H52+M52)</f>
        <v>48</v>
      </c>
      <c r="O52" s="468">
        <f t="shared" ref="O52:O59" si="39">(F52+N52)-1</f>
        <v>2057</v>
      </c>
      <c r="P52" s="471">
        <f t="shared" ref="P52:P59" si="40">W51</f>
        <v>261214151.15901929</v>
      </c>
      <c r="Q52" s="472">
        <f t="shared" ref="Q52:Q59" si="41">P52+G52</f>
        <v>261214151.15901929</v>
      </c>
      <c r="R52" s="472">
        <f t="shared" ref="R52:R59" si="42">IF(L52=0,R51,Q52/N52)</f>
        <v>5330901.0440616189</v>
      </c>
      <c r="S52" s="768">
        <f t="shared" ref="S52:S59" si="43">F52</f>
        <v>2010</v>
      </c>
      <c r="T52" s="470">
        <f t="shared" ref="T52:T59" si="44">S52-S51</f>
        <v>2</v>
      </c>
      <c r="U52" s="612">
        <f t="shared" ref="U52:U59" si="45">R52*T52</f>
        <v>10661802.088123238</v>
      </c>
      <c r="V52" s="464">
        <f t="shared" ref="V52:V59" si="46">F52</f>
        <v>2010</v>
      </c>
      <c r="W52" s="612">
        <f t="shared" ref="W52:W59" si="47">IF(OR(AND(ISBLANK(E52),ISBLANK(G52)),ISTEXT(E52),ISTEXT(G52)),"",Q52-U52)</f>
        <v>250552349.07089606</v>
      </c>
      <c r="X52" s="561"/>
      <c r="Y52" s="449"/>
      <c r="Z52" s="449"/>
      <c r="AA52" s="693"/>
      <c r="AB52" s="452"/>
      <c r="AC52" s="452"/>
      <c r="AD52" s="571"/>
      <c r="AE52" s="452"/>
      <c r="AF52" s="571"/>
      <c r="AG52" s="452"/>
      <c r="AH52" s="452"/>
      <c r="AI52" s="453"/>
      <c r="AJ52" s="449"/>
      <c r="AK52" s="453"/>
      <c r="AL52" s="454"/>
      <c r="AM52" s="455"/>
      <c r="AN52" s="456"/>
      <c r="AO52" s="455"/>
      <c r="AP52" s="452"/>
      <c r="AQ52" s="457"/>
      <c r="AR52" s="449"/>
      <c r="AS52" s="449"/>
      <c r="AT52" s="452"/>
      <c r="AU52" s="457"/>
      <c r="AV52" s="449"/>
      <c r="AW52" s="458"/>
      <c r="AX52" s="452"/>
      <c r="AY52" s="457"/>
      <c r="AZ52" s="449"/>
      <c r="BA52" s="459"/>
      <c r="BB52" s="455"/>
      <c r="BC52" s="460"/>
      <c r="BD52" s="460"/>
      <c r="BG52" s="462"/>
    </row>
    <row r="53" spans="1:59" s="486" customFormat="1" ht="18" customHeight="1" x14ac:dyDescent="0.2">
      <c r="A53" s="461" t="str">
        <f t="shared" si="32"/>
        <v>KANTOR KEPALA DESA PULAU BUSUK JAYA2011</v>
      </c>
      <c r="B53" s="738"/>
      <c r="C53" s="463" t="s">
        <v>2673</v>
      </c>
      <c r="D53" s="489" t="s">
        <v>1752</v>
      </c>
      <c r="E53" s="465"/>
      <c r="F53" s="466">
        <v>2011</v>
      </c>
      <c r="G53" s="620">
        <v>370613224.82403874</v>
      </c>
      <c r="H53" s="464">
        <f t="shared" si="33"/>
        <v>47</v>
      </c>
      <c r="I53" s="560"/>
      <c r="J53" s="468">
        <f t="shared" si="34"/>
        <v>2060</v>
      </c>
      <c r="K53" s="490">
        <f t="shared" si="35"/>
        <v>1.4791847939097564</v>
      </c>
      <c r="L53" s="469">
        <f t="shared" si="36"/>
        <v>50</v>
      </c>
      <c r="M53" s="683">
        <f t="shared" si="37"/>
        <v>3</v>
      </c>
      <c r="N53" s="470">
        <f t="shared" si="38"/>
        <v>50</v>
      </c>
      <c r="O53" s="468">
        <f t="shared" si="39"/>
        <v>2060</v>
      </c>
      <c r="P53" s="471">
        <f t="shared" si="40"/>
        <v>250552349.07089606</v>
      </c>
      <c r="Q53" s="472">
        <f t="shared" si="41"/>
        <v>621165573.89493477</v>
      </c>
      <c r="R53" s="472">
        <f t="shared" si="42"/>
        <v>12423311.477898695</v>
      </c>
      <c r="S53" s="768">
        <f t="shared" si="43"/>
        <v>2011</v>
      </c>
      <c r="T53" s="470">
        <f t="shared" si="44"/>
        <v>1</v>
      </c>
      <c r="U53" s="612">
        <f t="shared" si="45"/>
        <v>12423311.477898695</v>
      </c>
      <c r="V53" s="464">
        <f t="shared" si="46"/>
        <v>2011</v>
      </c>
      <c r="W53" s="612">
        <f t="shared" si="47"/>
        <v>608742262.41703606</v>
      </c>
      <c r="X53" s="473"/>
      <c r="Y53" s="474"/>
      <c r="Z53" s="449"/>
      <c r="AA53" s="573"/>
      <c r="AB53" s="476"/>
      <c r="AC53" s="476"/>
      <c r="AD53" s="568"/>
      <c r="AE53" s="476"/>
      <c r="AF53" s="568"/>
      <c r="AG53" s="476"/>
      <c r="AH53" s="476"/>
      <c r="AI53" s="477"/>
      <c r="AJ53" s="478"/>
      <c r="AK53" s="479"/>
      <c r="AL53" s="480"/>
      <c r="AM53" s="474"/>
      <c r="AN53" s="481"/>
      <c r="AO53" s="474"/>
      <c r="AP53" s="476"/>
      <c r="AQ53" s="482"/>
      <c r="AR53" s="478"/>
      <c r="AS53" s="478"/>
      <c r="AT53" s="476"/>
      <c r="AU53" s="482"/>
      <c r="AV53" s="478"/>
      <c r="AW53" s="483"/>
      <c r="AX53" s="476"/>
      <c r="AY53" s="482"/>
      <c r="AZ53" s="478"/>
      <c r="BA53" s="484"/>
      <c r="BB53" s="474"/>
      <c r="BC53" s="485"/>
      <c r="BD53" s="485"/>
      <c r="BG53" s="487"/>
    </row>
    <row r="54" spans="1:59" s="486" customFormat="1" ht="18" customHeight="1" x14ac:dyDescent="0.2">
      <c r="A54" s="461" t="str">
        <f t="shared" si="32"/>
        <v>KANTOR KEPALA DESA PULAU BUSUK JAYA2013</v>
      </c>
      <c r="B54" s="738"/>
      <c r="C54" s="463"/>
      <c r="D54" s="489"/>
      <c r="E54" s="465"/>
      <c r="F54" s="466">
        <v>2013</v>
      </c>
      <c r="G54" s="620">
        <v>0</v>
      </c>
      <c r="H54" s="464">
        <f t="shared" si="33"/>
        <v>48</v>
      </c>
      <c r="I54" s="560"/>
      <c r="J54" s="468">
        <f t="shared" si="34"/>
        <v>2060</v>
      </c>
      <c r="K54" s="490">
        <f t="shared" si="35"/>
        <v>0</v>
      </c>
      <c r="L54" s="469">
        <f t="shared" si="36"/>
        <v>0</v>
      </c>
      <c r="M54" s="683">
        <f t="shared" si="37"/>
        <v>0</v>
      </c>
      <c r="N54" s="470">
        <f t="shared" si="38"/>
        <v>48</v>
      </c>
      <c r="O54" s="468">
        <f t="shared" si="39"/>
        <v>2060</v>
      </c>
      <c r="P54" s="471">
        <f t="shared" si="40"/>
        <v>608742262.41703606</v>
      </c>
      <c r="Q54" s="472">
        <f t="shared" si="41"/>
        <v>608742262.41703606</v>
      </c>
      <c r="R54" s="472">
        <f t="shared" si="42"/>
        <v>12423311.477898695</v>
      </c>
      <c r="S54" s="768">
        <f t="shared" si="43"/>
        <v>2013</v>
      </c>
      <c r="T54" s="470">
        <f t="shared" si="44"/>
        <v>2</v>
      </c>
      <c r="U54" s="612">
        <f t="shared" si="45"/>
        <v>24846622.955797389</v>
      </c>
      <c r="V54" s="464">
        <f t="shared" si="46"/>
        <v>2013</v>
      </c>
      <c r="W54" s="612">
        <f t="shared" si="47"/>
        <v>583895639.46123862</v>
      </c>
      <c r="X54" s="473"/>
      <c r="Y54" s="474"/>
      <c r="Z54" s="449"/>
      <c r="AA54" s="573"/>
      <c r="AB54" s="476"/>
      <c r="AC54" s="476"/>
      <c r="AD54" s="568"/>
      <c r="AE54" s="476"/>
      <c r="AF54" s="568"/>
      <c r="AG54" s="476"/>
      <c r="AH54" s="476"/>
      <c r="AI54" s="477"/>
      <c r="AJ54" s="478"/>
      <c r="AK54" s="479"/>
      <c r="AL54" s="480"/>
      <c r="AM54" s="474"/>
      <c r="AN54" s="481"/>
      <c r="AO54" s="474"/>
      <c r="AP54" s="476"/>
      <c r="AQ54" s="482"/>
      <c r="AR54" s="478"/>
      <c r="AS54" s="478"/>
      <c r="AT54" s="476"/>
      <c r="AU54" s="482"/>
      <c r="AV54" s="478"/>
      <c r="AW54" s="483"/>
      <c r="AX54" s="476"/>
      <c r="AY54" s="482"/>
      <c r="AZ54" s="478"/>
      <c r="BA54" s="484"/>
      <c r="BB54" s="474"/>
      <c r="BC54" s="485"/>
      <c r="BD54" s="485"/>
      <c r="BG54" s="487"/>
    </row>
    <row r="55" spans="1:59" s="486" customFormat="1" ht="18" customHeight="1" x14ac:dyDescent="0.2">
      <c r="A55" s="461" t="str">
        <f t="shared" si="32"/>
        <v>KANTOR KEPALA DESA PULAU BUSUK JAYA2014</v>
      </c>
      <c r="B55" s="738"/>
      <c r="C55" s="463"/>
      <c r="D55" s="489"/>
      <c r="E55" s="465"/>
      <c r="F55" s="466">
        <v>2014</v>
      </c>
      <c r="G55" s="620">
        <v>0</v>
      </c>
      <c r="H55" s="464">
        <f t="shared" si="33"/>
        <v>47</v>
      </c>
      <c r="I55" s="560"/>
      <c r="J55" s="468">
        <f t="shared" si="34"/>
        <v>2060</v>
      </c>
      <c r="K55" s="490">
        <f t="shared" si="35"/>
        <v>0</v>
      </c>
      <c r="L55" s="469">
        <f t="shared" si="36"/>
        <v>0</v>
      </c>
      <c r="M55" s="683">
        <f t="shared" si="37"/>
        <v>0</v>
      </c>
      <c r="N55" s="470">
        <f t="shared" si="38"/>
        <v>47</v>
      </c>
      <c r="O55" s="468">
        <f t="shared" si="39"/>
        <v>2060</v>
      </c>
      <c r="P55" s="471">
        <f t="shared" si="40"/>
        <v>583895639.46123862</v>
      </c>
      <c r="Q55" s="472">
        <f t="shared" si="41"/>
        <v>583895639.46123862</v>
      </c>
      <c r="R55" s="472">
        <f t="shared" si="42"/>
        <v>12423311.477898695</v>
      </c>
      <c r="S55" s="768">
        <f t="shared" si="43"/>
        <v>2014</v>
      </c>
      <c r="T55" s="470">
        <f t="shared" si="44"/>
        <v>1</v>
      </c>
      <c r="U55" s="612">
        <f t="shared" si="45"/>
        <v>12423311.477898695</v>
      </c>
      <c r="V55" s="464">
        <f t="shared" si="46"/>
        <v>2014</v>
      </c>
      <c r="W55" s="612">
        <f t="shared" si="47"/>
        <v>571472327.98333991</v>
      </c>
      <c r="X55" s="473"/>
      <c r="Y55" s="474"/>
      <c r="Z55" s="449"/>
      <c r="AA55" s="739"/>
      <c r="AB55" s="496"/>
      <c r="AC55" s="496"/>
      <c r="AD55" s="740"/>
      <c r="AE55" s="476"/>
      <c r="AF55" s="568"/>
      <c r="AG55" s="476"/>
      <c r="AH55" s="476"/>
      <c r="AI55" s="477"/>
      <c r="AJ55" s="478"/>
      <c r="AK55" s="479"/>
      <c r="AL55" s="480"/>
      <c r="AM55" s="474"/>
      <c r="AN55" s="481"/>
      <c r="AO55" s="474"/>
      <c r="AP55" s="476"/>
      <c r="AQ55" s="482"/>
      <c r="AR55" s="478"/>
      <c r="AS55" s="478"/>
      <c r="AT55" s="476"/>
      <c r="AU55" s="482"/>
      <c r="AV55" s="478"/>
      <c r="AW55" s="483"/>
      <c r="AX55" s="476"/>
      <c r="AY55" s="482"/>
      <c r="AZ55" s="478"/>
      <c r="BA55" s="484"/>
      <c r="BB55" s="474"/>
      <c r="BC55" s="485"/>
      <c r="BD55" s="485"/>
      <c r="BG55" s="487"/>
    </row>
    <row r="56" spans="1:59" s="486" customFormat="1" ht="18" customHeight="1" x14ac:dyDescent="0.2">
      <c r="A56" s="461" t="str">
        <f t="shared" si="32"/>
        <v>KANTOR KEPALA DESA PULAU BUSUK JAYA2015</v>
      </c>
      <c r="B56" s="738"/>
      <c r="C56" s="463"/>
      <c r="D56" s="489"/>
      <c r="E56" s="465"/>
      <c r="F56" s="466">
        <v>2015</v>
      </c>
      <c r="G56" s="620">
        <v>0</v>
      </c>
      <c r="H56" s="464">
        <f t="shared" si="33"/>
        <v>46</v>
      </c>
      <c r="I56" s="560"/>
      <c r="J56" s="468">
        <f t="shared" si="34"/>
        <v>2060</v>
      </c>
      <c r="K56" s="490">
        <f t="shared" si="35"/>
        <v>0</v>
      </c>
      <c r="L56" s="469">
        <f t="shared" si="36"/>
        <v>0</v>
      </c>
      <c r="M56" s="683">
        <f t="shared" si="37"/>
        <v>0</v>
      </c>
      <c r="N56" s="470">
        <f t="shared" si="38"/>
        <v>46</v>
      </c>
      <c r="O56" s="468">
        <f t="shared" si="39"/>
        <v>2060</v>
      </c>
      <c r="P56" s="471">
        <f t="shared" si="40"/>
        <v>571472327.98333991</v>
      </c>
      <c r="Q56" s="472">
        <f t="shared" si="41"/>
        <v>571472327.98333991</v>
      </c>
      <c r="R56" s="472">
        <f t="shared" si="42"/>
        <v>12423311.477898695</v>
      </c>
      <c r="S56" s="768">
        <f t="shared" si="43"/>
        <v>2015</v>
      </c>
      <c r="T56" s="470">
        <f t="shared" si="44"/>
        <v>1</v>
      </c>
      <c r="U56" s="612">
        <f t="shared" si="45"/>
        <v>12423311.477898695</v>
      </c>
      <c r="V56" s="464">
        <f t="shared" si="46"/>
        <v>2015</v>
      </c>
      <c r="W56" s="612">
        <f t="shared" si="47"/>
        <v>559049016.50544119</v>
      </c>
      <c r="X56" s="473"/>
      <c r="Y56" s="474"/>
      <c r="Z56" s="449"/>
      <c r="AA56" s="554" t="s">
        <v>4179</v>
      </c>
      <c r="AB56" s="476"/>
      <c r="AC56" s="476"/>
      <c r="AD56" s="567"/>
      <c r="AE56" s="476"/>
      <c r="AF56" s="568"/>
      <c r="AG56" s="476"/>
      <c r="AH56" s="476"/>
      <c r="AI56" s="477"/>
      <c r="AJ56" s="478"/>
      <c r="AK56" s="479"/>
      <c r="AL56" s="480"/>
      <c r="AM56" s="474"/>
      <c r="AN56" s="481"/>
      <c r="AO56" s="474"/>
      <c r="AP56" s="476"/>
      <c r="AQ56" s="482"/>
      <c r="AR56" s="478"/>
      <c r="AS56" s="478"/>
      <c r="AT56" s="476"/>
      <c r="AU56" s="482"/>
      <c r="AV56" s="478"/>
      <c r="AW56" s="483"/>
      <c r="AX56" s="476"/>
      <c r="AY56" s="482"/>
      <c r="AZ56" s="478"/>
      <c r="BA56" s="484"/>
      <c r="BB56" s="474"/>
      <c r="BC56" s="485"/>
      <c r="BD56" s="485"/>
      <c r="BG56" s="487"/>
    </row>
    <row r="57" spans="1:59" s="486" customFormat="1" ht="18" customHeight="1" x14ac:dyDescent="0.2">
      <c r="A57" s="461" t="str">
        <f t="shared" si="32"/>
        <v>KANTOR KEPALA DESA PULAU BUSUK JAYA2016</v>
      </c>
      <c r="B57" s="738"/>
      <c r="C57" s="463"/>
      <c r="D57" s="489"/>
      <c r="E57" s="465"/>
      <c r="F57" s="466">
        <v>2016</v>
      </c>
      <c r="G57" s="620">
        <v>0</v>
      </c>
      <c r="H57" s="464">
        <f t="shared" si="33"/>
        <v>45</v>
      </c>
      <c r="I57" s="560"/>
      <c r="J57" s="468">
        <f t="shared" si="34"/>
        <v>2060</v>
      </c>
      <c r="K57" s="490">
        <f t="shared" si="35"/>
        <v>0</v>
      </c>
      <c r="L57" s="469">
        <f t="shared" si="36"/>
        <v>0</v>
      </c>
      <c r="M57" s="683">
        <f t="shared" si="37"/>
        <v>0</v>
      </c>
      <c r="N57" s="470">
        <f t="shared" si="38"/>
        <v>45</v>
      </c>
      <c r="O57" s="468">
        <f t="shared" si="39"/>
        <v>2060</v>
      </c>
      <c r="P57" s="471">
        <f t="shared" si="40"/>
        <v>559049016.50544119</v>
      </c>
      <c r="Q57" s="472">
        <f t="shared" si="41"/>
        <v>559049016.50544119</v>
      </c>
      <c r="R57" s="472">
        <f t="shared" si="42"/>
        <v>12423311.477898695</v>
      </c>
      <c r="S57" s="768">
        <f t="shared" si="43"/>
        <v>2016</v>
      </c>
      <c r="T57" s="470">
        <f t="shared" si="44"/>
        <v>1</v>
      </c>
      <c r="U57" s="612">
        <f t="shared" si="45"/>
        <v>12423311.477898695</v>
      </c>
      <c r="V57" s="464">
        <f t="shared" si="46"/>
        <v>2016</v>
      </c>
      <c r="W57" s="612">
        <f t="shared" si="47"/>
        <v>546625705.02754247</v>
      </c>
      <c r="X57" s="473"/>
      <c r="Y57" s="474"/>
      <c r="Z57" s="449"/>
      <c r="AA57" s="475"/>
      <c r="AB57" s="476"/>
      <c r="AC57" s="476"/>
      <c r="AD57" s="567"/>
      <c r="AE57" s="476"/>
      <c r="AF57" s="568"/>
      <c r="AG57" s="476"/>
      <c r="AH57" s="476"/>
      <c r="AI57" s="477"/>
      <c r="AJ57" s="478"/>
      <c r="AK57" s="479"/>
      <c r="AL57" s="480"/>
      <c r="AM57" s="474"/>
      <c r="AN57" s="481"/>
      <c r="AO57" s="474"/>
      <c r="AP57" s="476"/>
      <c r="AQ57" s="482"/>
      <c r="AR57" s="478"/>
      <c r="AS57" s="478"/>
      <c r="AT57" s="476"/>
      <c r="AU57" s="482"/>
      <c r="AV57" s="478"/>
      <c r="AW57" s="483"/>
      <c r="AX57" s="476"/>
      <c r="AY57" s="482"/>
      <c r="AZ57" s="478"/>
      <c r="BA57" s="484"/>
      <c r="BB57" s="474"/>
      <c r="BC57" s="485"/>
      <c r="BD57" s="485"/>
      <c r="BG57" s="487"/>
    </row>
    <row r="58" spans="1:59" s="486" customFormat="1" ht="18" customHeight="1" x14ac:dyDescent="0.2">
      <c r="A58" s="461" t="str">
        <f t="shared" si="32"/>
        <v>KANTOR KEPALA DESA PULAU BUSUK JAYA2017</v>
      </c>
      <c r="B58" s="738"/>
      <c r="C58" s="463"/>
      <c r="D58" s="489"/>
      <c r="E58" s="465"/>
      <c r="F58" s="466">
        <v>2017</v>
      </c>
      <c r="G58" s="620">
        <v>0</v>
      </c>
      <c r="H58" s="464">
        <f t="shared" si="33"/>
        <v>44</v>
      </c>
      <c r="I58" s="560"/>
      <c r="J58" s="468">
        <f t="shared" si="34"/>
        <v>2060</v>
      </c>
      <c r="K58" s="490">
        <f t="shared" si="35"/>
        <v>0</v>
      </c>
      <c r="L58" s="469">
        <f t="shared" si="36"/>
        <v>0</v>
      </c>
      <c r="M58" s="683">
        <f t="shared" si="37"/>
        <v>0</v>
      </c>
      <c r="N58" s="470">
        <f t="shared" si="38"/>
        <v>44</v>
      </c>
      <c r="O58" s="468">
        <f t="shared" si="39"/>
        <v>2060</v>
      </c>
      <c r="P58" s="471">
        <f t="shared" si="40"/>
        <v>546625705.02754247</v>
      </c>
      <c r="Q58" s="472">
        <f t="shared" si="41"/>
        <v>546625705.02754247</v>
      </c>
      <c r="R58" s="472">
        <f t="shared" si="42"/>
        <v>12423311.477898695</v>
      </c>
      <c r="S58" s="768">
        <f t="shared" si="43"/>
        <v>2017</v>
      </c>
      <c r="T58" s="470">
        <f t="shared" si="44"/>
        <v>1</v>
      </c>
      <c r="U58" s="612">
        <f t="shared" si="45"/>
        <v>12423311.477898695</v>
      </c>
      <c r="V58" s="464">
        <f t="shared" si="46"/>
        <v>2017</v>
      </c>
      <c r="W58" s="612">
        <f t="shared" si="47"/>
        <v>534202393.54964375</v>
      </c>
      <c r="X58" s="473"/>
      <c r="Y58" s="474"/>
      <c r="Z58" s="449"/>
      <c r="AA58" s="475" t="s">
        <v>4180</v>
      </c>
      <c r="AB58" s="476"/>
      <c r="AC58" s="476"/>
      <c r="AD58" s="567">
        <f>G63</f>
        <v>641623608.7906723</v>
      </c>
      <c r="AE58" s="476"/>
      <c r="AF58" s="568"/>
      <c r="AG58" s="476"/>
      <c r="AH58" s="476"/>
      <c r="AI58" s="477"/>
      <c r="AJ58" s="478"/>
      <c r="AK58" s="479"/>
      <c r="AL58" s="480"/>
      <c r="AM58" s="474"/>
      <c r="AN58" s="481"/>
      <c r="AO58" s="474"/>
      <c r="AP58" s="476"/>
      <c r="AQ58" s="482"/>
      <c r="AR58" s="478"/>
      <c r="AS58" s="478"/>
      <c r="AT58" s="476"/>
      <c r="AU58" s="482"/>
      <c r="AV58" s="478"/>
      <c r="AW58" s="483"/>
      <c r="AX58" s="476"/>
      <c r="AY58" s="482"/>
      <c r="AZ58" s="478"/>
      <c r="BA58" s="484"/>
      <c r="BB58" s="474"/>
      <c r="BC58" s="485"/>
      <c r="BD58" s="485"/>
      <c r="BG58" s="487"/>
    </row>
    <row r="59" spans="1:59" s="486" customFormat="1" ht="18" customHeight="1" x14ac:dyDescent="0.2">
      <c r="A59" s="461" t="str">
        <f t="shared" si="32"/>
        <v>KANTOR KEPALA DESA PULAU BUSUK JAYA2018</v>
      </c>
      <c r="B59" s="738"/>
      <c r="C59" s="488"/>
      <c r="D59" s="489"/>
      <c r="E59" s="465"/>
      <c r="F59" s="466">
        <v>2018</v>
      </c>
      <c r="G59" s="620">
        <v>0</v>
      </c>
      <c r="H59" s="464">
        <f t="shared" si="33"/>
        <v>43</v>
      </c>
      <c r="I59" s="560"/>
      <c r="J59" s="468">
        <f t="shared" si="34"/>
        <v>2060</v>
      </c>
      <c r="K59" s="490">
        <f t="shared" si="35"/>
        <v>0</v>
      </c>
      <c r="L59" s="469">
        <f t="shared" si="36"/>
        <v>0</v>
      </c>
      <c r="M59" s="683">
        <f t="shared" si="37"/>
        <v>0</v>
      </c>
      <c r="N59" s="470">
        <f t="shared" si="38"/>
        <v>43</v>
      </c>
      <c r="O59" s="468">
        <f t="shared" si="39"/>
        <v>2060</v>
      </c>
      <c r="P59" s="471">
        <f t="shared" si="40"/>
        <v>534202393.54964375</v>
      </c>
      <c r="Q59" s="472">
        <f t="shared" si="41"/>
        <v>534202393.54964375</v>
      </c>
      <c r="R59" s="472">
        <f t="shared" si="42"/>
        <v>12423311.477898695</v>
      </c>
      <c r="S59" s="768">
        <f t="shared" si="43"/>
        <v>2018</v>
      </c>
      <c r="T59" s="470">
        <f t="shared" si="44"/>
        <v>1</v>
      </c>
      <c r="U59" s="612">
        <f t="shared" si="45"/>
        <v>12423311.477898695</v>
      </c>
      <c r="V59" s="464">
        <f t="shared" si="46"/>
        <v>2018</v>
      </c>
      <c r="W59" s="612">
        <f t="shared" si="47"/>
        <v>521779082.07174504</v>
      </c>
      <c r="X59" s="473"/>
      <c r="Y59" s="478"/>
      <c r="Z59" s="449"/>
      <c r="AA59" s="475" t="s">
        <v>4181</v>
      </c>
      <c r="AB59" s="491"/>
      <c r="AC59" s="491"/>
      <c r="AD59" s="567">
        <f>U63</f>
        <v>132267838.19682571</v>
      </c>
      <c r="AE59" s="491"/>
      <c r="AF59" s="568"/>
      <c r="AG59" s="491"/>
      <c r="AH59" s="491"/>
      <c r="AI59" s="477"/>
      <c r="AJ59" s="478"/>
      <c r="AK59" s="479"/>
      <c r="AL59" s="480"/>
      <c r="AM59" s="474"/>
      <c r="AN59" s="481"/>
      <c r="AO59" s="474"/>
      <c r="AP59" s="476"/>
      <c r="AQ59" s="482"/>
      <c r="AR59" s="478"/>
      <c r="AS59" s="478"/>
      <c r="AT59" s="476"/>
      <c r="AU59" s="482"/>
      <c r="AV59" s="478"/>
      <c r="AW59" s="483"/>
      <c r="AX59" s="476"/>
      <c r="AY59" s="482"/>
      <c r="AZ59" s="478"/>
      <c r="BA59" s="484"/>
      <c r="BB59" s="474"/>
      <c r="BC59" s="485"/>
      <c r="BD59" s="485"/>
      <c r="BG59" s="487"/>
    </row>
    <row r="60" spans="1:59" s="486" customFormat="1" ht="18" customHeight="1" x14ac:dyDescent="0.2">
      <c r="A60" s="461" t="str">
        <f t="shared" si="32"/>
        <v>KANTOR KEPALA DESA PULAU BUSUK JAYA2019</v>
      </c>
      <c r="B60" s="738"/>
      <c r="C60" s="463"/>
      <c r="D60" s="464"/>
      <c r="E60" s="465"/>
      <c r="F60" s="466">
        <v>2019</v>
      </c>
      <c r="G60" s="620">
        <v>0</v>
      </c>
      <c r="H60" s="464">
        <f>IF(N59-(F60-F59)&lt;=0,0,(N59-(F60-F59)))</f>
        <v>42</v>
      </c>
      <c r="I60" s="560"/>
      <c r="J60" s="468">
        <f>(F60+N60)-1</f>
        <v>2060</v>
      </c>
      <c r="K60" s="490">
        <f>IF(G60=0,0,IF(H60=50,100%,G60/W59))</f>
        <v>0</v>
      </c>
      <c r="L60" s="469">
        <f>IF(K60=0%,0,IF(K60&lt;=25%,5,IF(K60&lt;=50%,10,IF(K60&lt;=75%,15,50))))</f>
        <v>0</v>
      </c>
      <c r="M60" s="683">
        <f t="shared" si="37"/>
        <v>0</v>
      </c>
      <c r="N60" s="470">
        <f>IF(OR(AND(ISBLANK(F60),ISBLANK(G60)),ISTEXT(F60),ISTEXT(G60)),"",H60+M60)</f>
        <v>42</v>
      </c>
      <c r="O60" s="468">
        <f>(F60+N60)-1</f>
        <v>2060</v>
      </c>
      <c r="P60" s="471">
        <f>W59</f>
        <v>521779082.07174504</v>
      </c>
      <c r="Q60" s="472">
        <f>P60+G60</f>
        <v>521779082.07174504</v>
      </c>
      <c r="R60" s="472">
        <f>IF(L60=0,R59,Q60/N60)</f>
        <v>12423311.477898695</v>
      </c>
      <c r="S60" s="1189">
        <f>F60</f>
        <v>2019</v>
      </c>
      <c r="T60" s="470">
        <f>S60-S59</f>
        <v>1</v>
      </c>
      <c r="U60" s="612">
        <f>R60*T60</f>
        <v>12423311.477898695</v>
      </c>
      <c r="V60" s="464">
        <f>F60</f>
        <v>2019</v>
      </c>
      <c r="W60" s="612">
        <f>IF(OR(AND(ISBLANK(E60),ISBLANK(G60)),ISTEXT(E60),ISTEXT(G60)),"",Q60-U60)</f>
        <v>509355770.59384632</v>
      </c>
      <c r="X60" s="473"/>
      <c r="Y60" s="478"/>
      <c r="Z60" s="449"/>
      <c r="AA60" s="492" t="s">
        <v>4182</v>
      </c>
      <c r="AB60" s="476"/>
      <c r="AC60" s="476"/>
      <c r="AD60" s="568">
        <f>AD58-AD59</f>
        <v>509355770.59384656</v>
      </c>
      <c r="AE60" s="476"/>
      <c r="AF60" s="568"/>
      <c r="AG60" s="476"/>
      <c r="AH60" s="476"/>
      <c r="AI60" s="477"/>
      <c r="AJ60" s="478"/>
      <c r="AK60" s="479"/>
      <c r="AL60" s="480"/>
      <c r="AM60" s="474"/>
      <c r="AN60" s="481"/>
      <c r="AO60" s="474"/>
      <c r="AP60" s="476"/>
      <c r="AQ60" s="482"/>
      <c r="AR60" s="478"/>
      <c r="AS60" s="478"/>
      <c r="AT60" s="476"/>
      <c r="AU60" s="482"/>
      <c r="AV60" s="478"/>
      <c r="AW60" s="483"/>
      <c r="AX60" s="476"/>
      <c r="AY60" s="482"/>
      <c r="AZ60" s="478"/>
      <c r="BA60" s="484"/>
      <c r="BB60" s="474"/>
      <c r="BC60" s="485"/>
      <c r="BD60" s="485"/>
      <c r="BG60" s="487"/>
    </row>
    <row r="61" spans="1:59" s="486" customFormat="1" ht="18" customHeight="1" x14ac:dyDescent="0.2">
      <c r="B61" s="687"/>
      <c r="C61" s="463"/>
      <c r="D61" s="464"/>
      <c r="E61" s="465"/>
      <c r="F61" s="466"/>
      <c r="G61" s="620"/>
      <c r="H61" s="464"/>
      <c r="I61" s="467"/>
      <c r="J61" s="468"/>
      <c r="K61" s="490"/>
      <c r="L61" s="469"/>
      <c r="M61" s="683"/>
      <c r="N61" s="470"/>
      <c r="O61" s="468"/>
      <c r="P61" s="471"/>
      <c r="Q61" s="472"/>
      <c r="R61" s="472"/>
      <c r="S61" s="629"/>
      <c r="T61" s="470"/>
      <c r="U61" s="612"/>
      <c r="V61" s="464"/>
      <c r="W61" s="612"/>
      <c r="X61" s="473"/>
      <c r="Y61" s="478"/>
      <c r="Z61" s="449"/>
      <c r="AA61" s="475" t="s">
        <v>4183</v>
      </c>
      <c r="AB61" s="476"/>
      <c r="AC61" s="476"/>
      <c r="AD61" s="567">
        <f>AD60-W63</f>
        <v>0</v>
      </c>
      <c r="AE61" s="476"/>
      <c r="AF61" s="568"/>
      <c r="AG61" s="476"/>
      <c r="AH61" s="476"/>
      <c r="AI61" s="477"/>
      <c r="AJ61" s="478"/>
      <c r="AK61" s="479"/>
      <c r="AL61" s="480"/>
      <c r="AM61" s="474"/>
      <c r="AN61" s="481"/>
      <c r="AO61" s="474"/>
      <c r="AP61" s="476"/>
      <c r="AQ61" s="482"/>
      <c r="AR61" s="478"/>
      <c r="AS61" s="478"/>
      <c r="AT61" s="476"/>
      <c r="AU61" s="482"/>
      <c r="AV61" s="478"/>
      <c r="AW61" s="483"/>
      <c r="AX61" s="476"/>
      <c r="AY61" s="482"/>
      <c r="AZ61" s="478"/>
      <c r="BA61" s="484"/>
      <c r="BB61" s="474"/>
      <c r="BC61" s="485"/>
      <c r="BD61" s="485"/>
      <c r="BG61" s="487"/>
    </row>
    <row r="62" spans="1:59" s="486" customFormat="1" ht="18" customHeight="1" x14ac:dyDescent="0.2">
      <c r="B62" s="687"/>
      <c r="C62" s="494"/>
      <c r="D62" s="464"/>
      <c r="E62" s="465"/>
      <c r="F62" s="466"/>
      <c r="G62" s="620"/>
      <c r="H62" s="464"/>
      <c r="I62" s="467"/>
      <c r="J62" s="468"/>
      <c r="K62" s="490"/>
      <c r="L62" s="469"/>
      <c r="M62" s="683"/>
      <c r="N62" s="470"/>
      <c r="O62" s="468"/>
      <c r="P62" s="471"/>
      <c r="Q62" s="472"/>
      <c r="R62" s="472"/>
      <c r="S62" s="629"/>
      <c r="T62" s="470"/>
      <c r="U62" s="612"/>
      <c r="V62" s="464"/>
      <c r="W62" s="612"/>
      <c r="X62" s="473"/>
      <c r="Y62" s="478"/>
      <c r="Z62" s="449"/>
      <c r="AA62" s="495"/>
      <c r="AB62" s="496"/>
      <c r="AC62" s="496"/>
      <c r="AD62" s="569"/>
      <c r="AE62" s="476"/>
      <c r="AF62" s="568"/>
      <c r="AG62" s="476"/>
      <c r="AH62" s="476"/>
      <c r="AI62" s="477"/>
      <c r="AJ62" s="478"/>
      <c r="AK62" s="479"/>
      <c r="AL62" s="480"/>
      <c r="AM62" s="474"/>
      <c r="AN62" s="481"/>
      <c r="AO62" s="474"/>
      <c r="AP62" s="476"/>
      <c r="AQ62" s="482"/>
      <c r="AR62" s="478"/>
      <c r="AS62" s="478"/>
      <c r="AT62" s="476"/>
      <c r="AU62" s="482"/>
      <c r="AV62" s="478"/>
      <c r="AW62" s="483"/>
      <c r="AX62" s="476"/>
      <c r="AY62" s="482"/>
      <c r="AZ62" s="478"/>
      <c r="BA62" s="484"/>
      <c r="BB62" s="474"/>
      <c r="BC62" s="485"/>
      <c r="BD62" s="485"/>
      <c r="BG62" s="487"/>
    </row>
    <row r="63" spans="1:59" s="526" customFormat="1" ht="18" customHeight="1" x14ac:dyDescent="0.2">
      <c r="B63" s="1956" t="s">
        <v>4184</v>
      </c>
      <c r="C63" s="1957"/>
      <c r="D63" s="1957"/>
      <c r="E63" s="1957"/>
      <c r="F63" s="1958"/>
      <c r="G63" s="621">
        <f>SUM(G50:G62)</f>
        <v>641623608.7906723</v>
      </c>
      <c r="H63" s="505"/>
      <c r="I63" s="506"/>
      <c r="J63" s="507"/>
      <c r="K63" s="507"/>
      <c r="L63" s="505"/>
      <c r="M63" s="684"/>
      <c r="N63" s="508"/>
      <c r="O63" s="507"/>
      <c r="P63" s="509"/>
      <c r="Q63" s="510"/>
      <c r="R63" s="511"/>
      <c r="S63" s="512"/>
      <c r="T63" s="512"/>
      <c r="U63" s="610">
        <f>SUM(U50:U62)</f>
        <v>132267838.19682571</v>
      </c>
      <c r="V63" s="513"/>
      <c r="W63" s="610">
        <f>G63-U63</f>
        <v>509355770.59384656</v>
      </c>
      <c r="X63" s="514"/>
      <c r="Y63" s="515"/>
      <c r="Z63" s="515"/>
      <c r="AA63" s="515"/>
      <c r="AB63" s="515"/>
      <c r="AC63" s="515"/>
      <c r="AD63" s="570"/>
      <c r="AE63" s="515"/>
      <c r="AF63" s="570"/>
      <c r="AG63" s="515"/>
      <c r="AH63" s="515"/>
      <c r="AI63" s="516"/>
      <c r="AJ63" s="517"/>
      <c r="AK63" s="518"/>
      <c r="AL63" s="519"/>
      <c r="AM63" s="520"/>
      <c r="AN63" s="521"/>
      <c r="AO63" s="520"/>
      <c r="AP63" s="515"/>
      <c r="AQ63" s="522"/>
      <c r="AR63" s="517"/>
      <c r="AS63" s="517"/>
      <c r="AT63" s="515"/>
      <c r="AU63" s="522"/>
      <c r="AV63" s="517"/>
      <c r="AW63" s="523"/>
      <c r="AX63" s="515"/>
      <c r="AY63" s="522"/>
      <c r="AZ63" s="517"/>
      <c r="BA63" s="524"/>
      <c r="BB63" s="520"/>
      <c r="BC63" s="525"/>
      <c r="BD63" s="525"/>
      <c r="BG63" s="527"/>
    </row>
    <row r="64" spans="1:59" ht="15" customHeight="1" x14ac:dyDescent="0.2">
      <c r="U64" s="614"/>
      <c r="AF64" s="562">
        <v>136161708.00422585</v>
      </c>
    </row>
    <row r="65" spans="1:59" ht="15" customHeight="1" x14ac:dyDescent="0.2">
      <c r="U65" s="614"/>
    </row>
    <row r="66" spans="1:59" s="422" customFormat="1" ht="18" customHeight="1" x14ac:dyDescent="0.2">
      <c r="B66" s="688" t="s">
        <v>4203</v>
      </c>
      <c r="C66" s="556"/>
      <c r="D66" s="553" t="s">
        <v>2988</v>
      </c>
      <c r="E66" s="553"/>
      <c r="F66" s="421"/>
      <c r="G66" s="611"/>
      <c r="I66" s="423"/>
      <c r="J66" s="424"/>
      <c r="K66" s="424"/>
      <c r="M66" s="680"/>
      <c r="U66" s="611"/>
      <c r="W66" s="611"/>
      <c r="Y66" s="425"/>
      <c r="Z66" s="425"/>
      <c r="AA66" s="425"/>
      <c r="AB66" s="425"/>
      <c r="AC66" s="425"/>
      <c r="AD66" s="563"/>
      <c r="AE66" s="425"/>
      <c r="AF66" s="563"/>
      <c r="AG66" s="425"/>
      <c r="AH66" s="425"/>
      <c r="AI66" s="425"/>
      <c r="AJ66" s="425"/>
      <c r="AK66" s="425"/>
      <c r="AL66" s="425"/>
      <c r="AM66" s="425"/>
      <c r="AN66" s="425"/>
      <c r="AO66" s="425"/>
      <c r="AP66" s="425"/>
      <c r="AQ66" s="425"/>
      <c r="AR66" s="425"/>
      <c r="AS66" s="425"/>
      <c r="AT66" s="425"/>
      <c r="AU66" s="425"/>
      <c r="AV66" s="425"/>
      <c r="AW66" s="425"/>
      <c r="AX66" s="425"/>
      <c r="AY66" s="425"/>
      <c r="AZ66" s="425"/>
      <c r="BA66" s="425"/>
      <c r="BB66" s="425"/>
    </row>
    <row r="67" spans="1:59" s="431" customFormat="1" ht="18" customHeight="1" x14ac:dyDescent="0.2">
      <c r="B67" s="1968" t="s">
        <v>5</v>
      </c>
      <c r="C67" s="1968" t="s">
        <v>2280</v>
      </c>
      <c r="D67" s="1968" t="s">
        <v>4157</v>
      </c>
      <c r="E67" s="1968" t="s">
        <v>4158</v>
      </c>
      <c r="F67" s="1968"/>
      <c r="G67" s="1969" t="s">
        <v>4159</v>
      </c>
      <c r="H67" s="1355" t="s">
        <v>4160</v>
      </c>
      <c r="I67" s="1355"/>
      <c r="J67" s="1968" t="s">
        <v>4161</v>
      </c>
      <c r="K67" s="1964" t="s">
        <v>4162</v>
      </c>
      <c r="L67" s="1968" t="s">
        <v>4163</v>
      </c>
      <c r="M67" s="1971" t="s">
        <v>4164</v>
      </c>
      <c r="N67" s="1962" t="s">
        <v>4165</v>
      </c>
      <c r="O67" s="1968" t="s">
        <v>4166</v>
      </c>
      <c r="P67" s="1972" t="s">
        <v>4167</v>
      </c>
      <c r="Q67" s="1973"/>
      <c r="R67" s="631" t="s">
        <v>4168</v>
      </c>
      <c r="S67" s="1972" t="s">
        <v>4169</v>
      </c>
      <c r="T67" s="1974"/>
      <c r="U67" s="1973"/>
      <c r="V67" s="1975" t="s">
        <v>4170</v>
      </c>
      <c r="W67" s="1975"/>
      <c r="X67" s="1960" t="s">
        <v>4171</v>
      </c>
      <c r="Y67" s="1959"/>
      <c r="Z67" s="628"/>
      <c r="AA67" s="426"/>
      <c r="AB67" s="426"/>
      <c r="AC67" s="426"/>
      <c r="AD67" s="564"/>
      <c r="AE67" s="426"/>
      <c r="AF67" s="564"/>
      <c r="AG67" s="426"/>
      <c r="AH67" s="426"/>
      <c r="AI67" s="427"/>
      <c r="AJ67" s="427"/>
      <c r="AK67" s="427"/>
      <c r="AL67" s="427"/>
      <c r="AM67" s="428"/>
      <c r="AN67" s="427"/>
      <c r="AO67" s="427"/>
      <c r="AP67" s="426"/>
      <c r="AQ67" s="427"/>
      <c r="AR67" s="427"/>
      <c r="AS67" s="427"/>
      <c r="AT67" s="426"/>
      <c r="AU67" s="427"/>
      <c r="AV67" s="427"/>
      <c r="AW67" s="427"/>
      <c r="AX67" s="426"/>
      <c r="AY67" s="427"/>
      <c r="AZ67" s="427"/>
      <c r="BA67" s="427"/>
      <c r="BB67" s="429"/>
      <c r="BC67" s="430"/>
      <c r="BD67" s="430"/>
    </row>
    <row r="68" spans="1:59" s="431" customFormat="1" ht="18" customHeight="1" x14ac:dyDescent="0.2">
      <c r="B68" s="1968"/>
      <c r="C68" s="1968"/>
      <c r="D68" s="1968"/>
      <c r="E68" s="1968"/>
      <c r="F68" s="1968"/>
      <c r="G68" s="1969"/>
      <c r="H68" s="1355"/>
      <c r="I68" s="1355"/>
      <c r="J68" s="1968"/>
      <c r="K68" s="1970"/>
      <c r="L68" s="1968"/>
      <c r="M68" s="1971"/>
      <c r="N68" s="1963"/>
      <c r="O68" s="1968"/>
      <c r="P68" s="1960" t="s">
        <v>4172</v>
      </c>
      <c r="Q68" s="1960" t="s">
        <v>4173</v>
      </c>
      <c r="R68" s="1962" t="s">
        <v>4159</v>
      </c>
      <c r="S68" s="1962" t="s">
        <v>4174</v>
      </c>
      <c r="T68" s="1964" t="s">
        <v>4175</v>
      </c>
      <c r="U68" s="1966" t="s">
        <v>4159</v>
      </c>
      <c r="V68" s="1975"/>
      <c r="W68" s="1975"/>
      <c r="X68" s="1976"/>
      <c r="Y68" s="1959"/>
      <c r="Z68" s="628"/>
      <c r="AA68" s="426"/>
      <c r="AB68" s="426"/>
      <c r="AC68" s="426"/>
      <c r="AD68" s="564"/>
      <c r="AE68" s="426"/>
      <c r="AF68" s="564"/>
      <c r="AG68" s="426"/>
      <c r="AH68" s="426"/>
      <c r="AI68" s="427"/>
      <c r="AJ68" s="427"/>
      <c r="AK68" s="426"/>
      <c r="AL68" s="427"/>
      <c r="AM68" s="428"/>
      <c r="AN68" s="427"/>
      <c r="AO68" s="427"/>
      <c r="AP68" s="432"/>
      <c r="AQ68" s="427"/>
      <c r="AR68" s="427"/>
      <c r="AS68" s="427"/>
      <c r="AT68" s="432"/>
      <c r="AU68" s="427"/>
      <c r="AV68" s="427"/>
      <c r="AW68" s="427"/>
      <c r="AX68" s="432"/>
      <c r="AY68" s="427"/>
      <c r="AZ68" s="427"/>
      <c r="BA68" s="427"/>
      <c r="BB68" s="429"/>
      <c r="BC68" s="430"/>
      <c r="BD68" s="430"/>
    </row>
    <row r="69" spans="1:59" s="431" customFormat="1" ht="21.75" customHeight="1" x14ac:dyDescent="0.2">
      <c r="B69" s="1968"/>
      <c r="C69" s="1968"/>
      <c r="D69" s="1968"/>
      <c r="E69" s="433" t="s">
        <v>4176</v>
      </c>
      <c r="F69" s="434" t="s">
        <v>2288</v>
      </c>
      <c r="G69" s="1969"/>
      <c r="H69" s="1355" t="s">
        <v>2288</v>
      </c>
      <c r="I69" s="1355" t="s">
        <v>4177</v>
      </c>
      <c r="J69" s="1968"/>
      <c r="K69" s="1965"/>
      <c r="L69" s="435" t="s">
        <v>2288</v>
      </c>
      <c r="M69" s="681" t="s">
        <v>2288</v>
      </c>
      <c r="N69" s="630" t="s">
        <v>2288</v>
      </c>
      <c r="O69" s="1968"/>
      <c r="P69" s="1961"/>
      <c r="Q69" s="1961"/>
      <c r="R69" s="1963"/>
      <c r="S69" s="1963"/>
      <c r="T69" s="1965"/>
      <c r="U69" s="1967"/>
      <c r="V69" s="630" t="s">
        <v>4178</v>
      </c>
      <c r="W69" s="632" t="s">
        <v>4159</v>
      </c>
      <c r="X69" s="1961"/>
      <c r="Y69" s="436"/>
      <c r="Z69" s="436"/>
      <c r="AA69" s="426"/>
      <c r="AB69" s="426"/>
      <c r="AC69" s="426"/>
      <c r="AD69" s="564"/>
      <c r="AE69" s="426"/>
      <c r="AF69" s="564"/>
      <c r="AG69" s="426"/>
      <c r="AH69" s="426"/>
      <c r="AI69" s="427"/>
      <c r="AJ69" s="432"/>
      <c r="AK69" s="432"/>
      <c r="AL69" s="427"/>
      <c r="AM69" s="428"/>
      <c r="AN69" s="432"/>
      <c r="AO69" s="427"/>
      <c r="AP69" s="432"/>
      <c r="AQ69" s="432"/>
      <c r="AR69" s="427"/>
      <c r="AS69" s="427"/>
      <c r="AT69" s="432"/>
      <c r="AU69" s="432"/>
      <c r="AV69" s="427"/>
      <c r="AW69" s="427"/>
      <c r="AX69" s="432"/>
      <c r="AY69" s="432"/>
      <c r="AZ69" s="427"/>
      <c r="BA69" s="427"/>
      <c r="BB69" s="429"/>
      <c r="BC69" s="430"/>
      <c r="BD69" s="430"/>
    </row>
    <row r="70" spans="1:59" s="461" customFormat="1" ht="18" customHeight="1" x14ac:dyDescent="0.2">
      <c r="A70" s="461" t="str">
        <f>$D$66&amp;S70</f>
        <v>GEDUNG SERBAGUNA KENEGERIAN SENTAJO2007</v>
      </c>
      <c r="B70" s="689">
        <v>1</v>
      </c>
      <c r="C70" s="597" t="s">
        <v>1027</v>
      </c>
      <c r="D70" s="597" t="s">
        <v>1772</v>
      </c>
      <c r="E70" s="598"/>
      <c r="F70" s="599">
        <v>2007</v>
      </c>
      <c r="G70" s="626">
        <v>1023305195.8141447</v>
      </c>
      <c r="H70" s="600">
        <f>VLOOKUP(LEFT(D70,8),UE,4)</f>
        <v>50</v>
      </c>
      <c r="I70" s="601"/>
      <c r="J70" s="602">
        <f>(F70+N70)-1</f>
        <v>2056</v>
      </c>
      <c r="K70" s="603"/>
      <c r="L70" s="600"/>
      <c r="M70" s="685">
        <f>IF(H70+L70&gt;$H70,$H70-H70,L70)</f>
        <v>0</v>
      </c>
      <c r="N70" s="604">
        <f>H70+M70</f>
        <v>50</v>
      </c>
      <c r="O70" s="602">
        <f>(F70+N70)-1</f>
        <v>2056</v>
      </c>
      <c r="P70" s="605">
        <f>G70</f>
        <v>1023305195.8141447</v>
      </c>
      <c r="Q70" s="606">
        <v>0</v>
      </c>
      <c r="R70" s="606">
        <f>P70/N70</f>
        <v>20466103.916282896</v>
      </c>
      <c r="S70" s="607">
        <f>F70</f>
        <v>2007</v>
      </c>
      <c r="T70" s="608">
        <v>1</v>
      </c>
      <c r="U70" s="615">
        <f>R70*T70</f>
        <v>20466103.916282896</v>
      </c>
      <c r="V70" s="602">
        <f>F70</f>
        <v>2007</v>
      </c>
      <c r="W70" s="618">
        <f>IF(OR(AND(ISBLANK(E70),ISBLANK(G70)),ISTEXT(E70),ISTEXT(G70)),"",G70-R70)</f>
        <v>1002839091.8978618</v>
      </c>
      <c r="X70" s="609"/>
      <c r="Y70" s="449"/>
      <c r="Z70" s="449"/>
      <c r="AA70" s="693"/>
      <c r="AB70" s="452"/>
      <c r="AC70" s="452"/>
      <c r="AD70" s="571"/>
      <c r="AE70" s="452"/>
      <c r="AF70" s="571"/>
      <c r="AG70" s="452"/>
      <c r="AH70" s="452"/>
      <c r="AI70" s="453"/>
      <c r="AJ70" s="449"/>
      <c r="AK70" s="453"/>
      <c r="AL70" s="454"/>
      <c r="AM70" s="455"/>
      <c r="AN70" s="456"/>
      <c r="AO70" s="455"/>
      <c r="AP70" s="452"/>
      <c r="AQ70" s="457"/>
      <c r="AR70" s="449"/>
      <c r="AS70" s="449"/>
      <c r="AT70" s="452"/>
      <c r="AU70" s="457"/>
      <c r="AV70" s="449"/>
      <c r="AW70" s="458"/>
      <c r="AX70" s="452"/>
      <c r="AY70" s="457"/>
      <c r="AZ70" s="449"/>
      <c r="BA70" s="459"/>
      <c r="BB70" s="455"/>
      <c r="BC70" s="460"/>
      <c r="BD70" s="460"/>
      <c r="BG70" s="462"/>
    </row>
    <row r="71" spans="1:59" s="461" customFormat="1" ht="18" customHeight="1" x14ac:dyDescent="0.2">
      <c r="A71" s="461" t="str">
        <f t="shared" ref="A71:A78" si="48">$D$66&amp;S71</f>
        <v>GEDUNG SERBAGUNA KENEGERIAN SENTAJO2008</v>
      </c>
      <c r="B71" s="708">
        <v>2</v>
      </c>
      <c r="C71" s="489" t="s">
        <v>1050</v>
      </c>
      <c r="D71" s="489" t="s">
        <v>1772</v>
      </c>
      <c r="E71" s="558"/>
      <c r="F71" s="559">
        <v>2008</v>
      </c>
      <c r="G71" s="619">
        <v>1307405886.4269106</v>
      </c>
      <c r="H71" s="464">
        <f>IF(N70-(F71-F70)&lt;=0,0,(N70-(F71-F70)))</f>
        <v>49</v>
      </c>
      <c r="I71" s="560"/>
      <c r="J71" s="468">
        <f>(F71+N71)-1</f>
        <v>2057</v>
      </c>
      <c r="K71" s="490">
        <f t="shared" ref="K71:K77" si="49">IF(G71=0,0,IF(H71=50,100%,G71/W70))</f>
        <v>1.3037045494034936</v>
      </c>
      <c r="L71" s="469">
        <f>IF(K71=0%,0,IF(K71&lt;=25%,5,IF(K71&lt;=50%,10,IF(K71&lt;=75%,15,50))))</f>
        <v>50</v>
      </c>
      <c r="M71" s="683">
        <f>IF(OR(AND(ISBLANK(E71),ISBLANK(G71)),ISTEXT(E71),ISTEXT(G71)),"",IF(H71+L71&gt;$H$27,$H$27-H71,L71))</f>
        <v>1</v>
      </c>
      <c r="N71" s="470">
        <f>IF(OR(AND(ISBLANK(F71),ISBLANK(G71)),ISTEXT(F71),ISTEXT(G71)),"",H71+M71)</f>
        <v>50</v>
      </c>
      <c r="O71" s="468">
        <f>(F71+N71)-1</f>
        <v>2057</v>
      </c>
      <c r="P71" s="471">
        <f>W70</f>
        <v>1002839091.8978618</v>
      </c>
      <c r="Q71" s="472">
        <f>P71+G71</f>
        <v>2310244978.3247724</v>
      </c>
      <c r="R71" s="472">
        <f>IF(L71=0,R70,Q71/N71)</f>
        <v>46204899.566495448</v>
      </c>
      <c r="S71" s="629">
        <f>F71</f>
        <v>2008</v>
      </c>
      <c r="T71" s="470">
        <f>S71-S70</f>
        <v>1</v>
      </c>
      <c r="U71" s="612">
        <f>R71*T71</f>
        <v>46204899.566495448</v>
      </c>
      <c r="V71" s="464">
        <f>F71</f>
        <v>2008</v>
      </c>
      <c r="W71" s="612">
        <f>IF(OR(AND(ISBLANK(E71),ISBLANK(G71)),ISTEXT(E71),ISTEXT(G71)),"",Q71-U71)</f>
        <v>2264040078.7582769</v>
      </c>
      <c r="X71" s="561"/>
      <c r="Y71" s="449"/>
      <c r="Z71" s="449"/>
      <c r="AA71" s="693"/>
      <c r="AB71" s="452"/>
      <c r="AC71" s="452"/>
      <c r="AD71" s="571"/>
      <c r="AE71" s="452"/>
      <c r="AF71" s="571"/>
      <c r="AG71" s="452"/>
      <c r="AH71" s="452"/>
      <c r="AI71" s="453"/>
      <c r="AJ71" s="449"/>
      <c r="AK71" s="453"/>
      <c r="AL71" s="454"/>
      <c r="AM71" s="455"/>
      <c r="AN71" s="456"/>
      <c r="AO71" s="455"/>
      <c r="AP71" s="452"/>
      <c r="AQ71" s="457"/>
      <c r="AR71" s="449"/>
      <c r="AS71" s="449"/>
      <c r="AT71" s="452"/>
      <c r="AU71" s="457"/>
      <c r="AV71" s="449"/>
      <c r="AW71" s="458"/>
      <c r="AX71" s="452"/>
      <c r="AY71" s="457"/>
      <c r="AZ71" s="449"/>
      <c r="BA71" s="459"/>
      <c r="BB71" s="455"/>
      <c r="BC71" s="460"/>
      <c r="BD71" s="460"/>
      <c r="BG71" s="462"/>
    </row>
    <row r="72" spans="1:59" s="461" customFormat="1" ht="18" customHeight="1" x14ac:dyDescent="0.2">
      <c r="A72" s="461" t="str">
        <f t="shared" si="48"/>
        <v>GEDUNG SERBAGUNA KENEGERIAN SENTAJO2013</v>
      </c>
      <c r="B72" s="708"/>
      <c r="C72" s="489"/>
      <c r="D72" s="489"/>
      <c r="E72" s="558"/>
      <c r="F72" s="559">
        <v>2013</v>
      </c>
      <c r="G72" s="619">
        <v>0</v>
      </c>
      <c r="H72" s="464">
        <f t="shared" ref="H72:H77" si="50">IF(N71-(F72-F71)&lt;=0,0,(N71-(F72-F71)))</f>
        <v>45</v>
      </c>
      <c r="I72" s="560"/>
      <c r="J72" s="468">
        <f t="shared" ref="J72:J77" si="51">(F72+N72)-1</f>
        <v>2057</v>
      </c>
      <c r="K72" s="490">
        <f t="shared" si="49"/>
        <v>0</v>
      </c>
      <c r="L72" s="469">
        <f t="shared" ref="L72:L77" si="52">IF(K72=0%,0,IF(K72&lt;=25%,5,IF(K72&lt;=50%,10,IF(K72&lt;=75%,15,50))))</f>
        <v>0</v>
      </c>
      <c r="M72" s="683">
        <f t="shared" ref="M72:M77" si="53">IF(OR(AND(ISBLANK(E72),ISBLANK(G72)),ISTEXT(E72),ISTEXT(G72)),"",IF(H72+L72&gt;$H$27,$H$27-H72,L72))</f>
        <v>0</v>
      </c>
      <c r="N72" s="470">
        <f t="shared" ref="N72:N77" si="54">IF(OR(AND(ISBLANK(F72),ISBLANK(G72)),ISTEXT(F72),ISTEXT(G72)),"",H72+M72)</f>
        <v>45</v>
      </c>
      <c r="O72" s="468">
        <f t="shared" ref="O72:O77" si="55">(F72+N72)-1</f>
        <v>2057</v>
      </c>
      <c r="P72" s="471">
        <f t="shared" ref="P72:P77" si="56">W71</f>
        <v>2264040078.7582769</v>
      </c>
      <c r="Q72" s="472">
        <f t="shared" ref="Q72:Q77" si="57">P72+G72</f>
        <v>2264040078.7582769</v>
      </c>
      <c r="R72" s="472">
        <f t="shared" ref="R72:R77" si="58">IF(L72=0,R71,Q72/N72)</f>
        <v>46204899.566495448</v>
      </c>
      <c r="S72" s="709">
        <f t="shared" ref="S72:S77" si="59">F72</f>
        <v>2013</v>
      </c>
      <c r="T72" s="470">
        <f t="shared" ref="T72:T77" si="60">S72-S71</f>
        <v>5</v>
      </c>
      <c r="U72" s="612">
        <f t="shared" ref="U72:U77" si="61">R72*T72</f>
        <v>231024497.83247724</v>
      </c>
      <c r="V72" s="464">
        <f t="shared" ref="V72:V77" si="62">F72</f>
        <v>2013</v>
      </c>
      <c r="W72" s="612">
        <f t="shared" ref="W72:W77" si="63">IF(OR(AND(ISBLANK(E72),ISBLANK(G72)),ISTEXT(E72),ISTEXT(G72)),"",Q72-U72)</f>
        <v>2033015580.9257996</v>
      </c>
      <c r="X72" s="561"/>
      <c r="Y72" s="449"/>
      <c r="Z72" s="449"/>
      <c r="AA72" s="693"/>
      <c r="AB72" s="452"/>
      <c r="AC72" s="452"/>
      <c r="AD72" s="571"/>
      <c r="AE72" s="452"/>
      <c r="AF72" s="571"/>
      <c r="AG72" s="452"/>
      <c r="AH72" s="452"/>
      <c r="AI72" s="453"/>
      <c r="AJ72" s="449"/>
      <c r="AK72" s="453"/>
      <c r="AL72" s="454"/>
      <c r="AM72" s="455"/>
      <c r="AN72" s="456"/>
      <c r="AO72" s="455"/>
      <c r="AP72" s="452"/>
      <c r="AQ72" s="457"/>
      <c r="AR72" s="449"/>
      <c r="AS72" s="449"/>
      <c r="AT72" s="452"/>
      <c r="AU72" s="457"/>
      <c r="AV72" s="449"/>
      <c r="AW72" s="458"/>
      <c r="AX72" s="452"/>
      <c r="AY72" s="457"/>
      <c r="AZ72" s="449"/>
      <c r="BA72" s="459"/>
      <c r="BB72" s="455"/>
      <c r="BC72" s="460"/>
      <c r="BD72" s="460"/>
      <c r="BG72" s="462"/>
    </row>
    <row r="73" spans="1:59" s="461" customFormat="1" ht="18" customHeight="1" x14ac:dyDescent="0.2">
      <c r="A73" s="461" t="str">
        <f t="shared" si="48"/>
        <v>GEDUNG SERBAGUNA KENEGERIAN SENTAJO2014</v>
      </c>
      <c r="B73" s="708"/>
      <c r="C73" s="489"/>
      <c r="D73" s="489"/>
      <c r="E73" s="558"/>
      <c r="F73" s="559">
        <v>2014</v>
      </c>
      <c r="G73" s="619">
        <v>0</v>
      </c>
      <c r="H73" s="464">
        <f t="shared" si="50"/>
        <v>44</v>
      </c>
      <c r="I73" s="560"/>
      <c r="J73" s="468">
        <f t="shared" si="51"/>
        <v>2057</v>
      </c>
      <c r="K73" s="490">
        <f t="shared" si="49"/>
        <v>0</v>
      </c>
      <c r="L73" s="469">
        <f t="shared" si="52"/>
        <v>0</v>
      </c>
      <c r="M73" s="683">
        <f t="shared" si="53"/>
        <v>0</v>
      </c>
      <c r="N73" s="470">
        <f t="shared" si="54"/>
        <v>44</v>
      </c>
      <c r="O73" s="468">
        <f t="shared" si="55"/>
        <v>2057</v>
      </c>
      <c r="P73" s="471">
        <f t="shared" si="56"/>
        <v>2033015580.9257996</v>
      </c>
      <c r="Q73" s="472">
        <f t="shared" si="57"/>
        <v>2033015580.9257996</v>
      </c>
      <c r="R73" s="472">
        <f t="shared" si="58"/>
        <v>46204899.566495448</v>
      </c>
      <c r="S73" s="709">
        <f t="shared" si="59"/>
        <v>2014</v>
      </c>
      <c r="T73" s="470">
        <f t="shared" si="60"/>
        <v>1</v>
      </c>
      <c r="U73" s="612">
        <f t="shared" si="61"/>
        <v>46204899.566495448</v>
      </c>
      <c r="V73" s="464">
        <f t="shared" si="62"/>
        <v>2014</v>
      </c>
      <c r="W73" s="612">
        <f t="shared" si="63"/>
        <v>1986810681.3593042</v>
      </c>
      <c r="X73" s="561"/>
      <c r="Y73" s="449"/>
      <c r="Z73" s="449"/>
      <c r="AA73" s="693"/>
      <c r="AB73" s="452"/>
      <c r="AC73" s="452"/>
      <c r="AD73" s="571"/>
      <c r="AE73" s="452"/>
      <c r="AF73" s="571"/>
      <c r="AG73" s="452"/>
      <c r="AH73" s="452"/>
      <c r="AI73" s="453"/>
      <c r="AJ73" s="449"/>
      <c r="AK73" s="453"/>
      <c r="AL73" s="454"/>
      <c r="AM73" s="455"/>
      <c r="AN73" s="456"/>
      <c r="AO73" s="455"/>
      <c r="AP73" s="452"/>
      <c r="AQ73" s="457"/>
      <c r="AR73" s="449"/>
      <c r="AS73" s="449"/>
      <c r="AT73" s="452"/>
      <c r="AU73" s="457"/>
      <c r="AV73" s="449"/>
      <c r="AW73" s="458"/>
      <c r="AX73" s="452"/>
      <c r="AY73" s="457"/>
      <c r="AZ73" s="449"/>
      <c r="BA73" s="459"/>
      <c r="BB73" s="455"/>
      <c r="BC73" s="460"/>
      <c r="BD73" s="460"/>
      <c r="BG73" s="462"/>
    </row>
    <row r="74" spans="1:59" s="461" customFormat="1" ht="18" customHeight="1" x14ac:dyDescent="0.2">
      <c r="A74" s="461" t="str">
        <f t="shared" si="48"/>
        <v>GEDUNG SERBAGUNA KENEGERIAN SENTAJO2015</v>
      </c>
      <c r="B74" s="708"/>
      <c r="C74" s="489"/>
      <c r="D74" s="489"/>
      <c r="E74" s="558"/>
      <c r="F74" s="559">
        <v>2015</v>
      </c>
      <c r="G74" s="619">
        <v>0</v>
      </c>
      <c r="H74" s="464">
        <f t="shared" si="50"/>
        <v>43</v>
      </c>
      <c r="I74" s="560"/>
      <c r="J74" s="468">
        <f t="shared" si="51"/>
        <v>2057</v>
      </c>
      <c r="K74" s="490">
        <f t="shared" si="49"/>
        <v>0</v>
      </c>
      <c r="L74" s="469">
        <f t="shared" si="52"/>
        <v>0</v>
      </c>
      <c r="M74" s="683">
        <f t="shared" si="53"/>
        <v>0</v>
      </c>
      <c r="N74" s="470">
        <f t="shared" si="54"/>
        <v>43</v>
      </c>
      <c r="O74" s="468">
        <f t="shared" si="55"/>
        <v>2057</v>
      </c>
      <c r="P74" s="471">
        <f t="shared" si="56"/>
        <v>1986810681.3593042</v>
      </c>
      <c r="Q74" s="472">
        <f t="shared" si="57"/>
        <v>1986810681.3593042</v>
      </c>
      <c r="R74" s="472">
        <f t="shared" si="58"/>
        <v>46204899.566495448</v>
      </c>
      <c r="S74" s="709">
        <f t="shared" si="59"/>
        <v>2015</v>
      </c>
      <c r="T74" s="470">
        <f t="shared" si="60"/>
        <v>1</v>
      </c>
      <c r="U74" s="612">
        <f t="shared" si="61"/>
        <v>46204899.566495448</v>
      </c>
      <c r="V74" s="464">
        <f t="shared" si="62"/>
        <v>2015</v>
      </c>
      <c r="W74" s="612">
        <f t="shared" si="63"/>
        <v>1940605781.7928088</v>
      </c>
      <c r="X74" s="561"/>
      <c r="Y74" s="449"/>
      <c r="Z74" s="449"/>
      <c r="AA74" s="694"/>
      <c r="AB74" s="692"/>
      <c r="AC74" s="692"/>
      <c r="AD74" s="695"/>
      <c r="AE74" s="452"/>
      <c r="AF74" s="571"/>
      <c r="AG74" s="452"/>
      <c r="AH74" s="452"/>
      <c r="AI74" s="453"/>
      <c r="AJ74" s="449"/>
      <c r="AK74" s="453"/>
      <c r="AL74" s="454"/>
      <c r="AM74" s="455"/>
      <c r="AN74" s="456"/>
      <c r="AO74" s="455"/>
      <c r="AP74" s="452"/>
      <c r="AQ74" s="457"/>
      <c r="AR74" s="449"/>
      <c r="AS74" s="449"/>
      <c r="AT74" s="452"/>
      <c r="AU74" s="457"/>
      <c r="AV74" s="449"/>
      <c r="AW74" s="458"/>
      <c r="AX74" s="452"/>
      <c r="AY74" s="457"/>
      <c r="AZ74" s="449"/>
      <c r="BA74" s="459"/>
      <c r="BB74" s="455"/>
      <c r="BC74" s="460"/>
      <c r="BD74" s="460"/>
      <c r="BG74" s="462"/>
    </row>
    <row r="75" spans="1:59" s="461" customFormat="1" ht="18" customHeight="1" x14ac:dyDescent="0.2">
      <c r="A75" s="461" t="str">
        <f t="shared" si="48"/>
        <v>GEDUNG SERBAGUNA KENEGERIAN SENTAJO2016</v>
      </c>
      <c r="B75" s="708"/>
      <c r="C75" s="489"/>
      <c r="D75" s="489"/>
      <c r="E75" s="558"/>
      <c r="F75" s="559">
        <v>2016</v>
      </c>
      <c r="G75" s="619">
        <v>0</v>
      </c>
      <c r="H75" s="464">
        <f t="shared" si="50"/>
        <v>42</v>
      </c>
      <c r="I75" s="560"/>
      <c r="J75" s="468">
        <f t="shared" si="51"/>
        <v>2057</v>
      </c>
      <c r="K75" s="490">
        <f t="shared" si="49"/>
        <v>0</v>
      </c>
      <c r="L75" s="469">
        <f t="shared" si="52"/>
        <v>0</v>
      </c>
      <c r="M75" s="683">
        <f t="shared" si="53"/>
        <v>0</v>
      </c>
      <c r="N75" s="470">
        <f t="shared" si="54"/>
        <v>42</v>
      </c>
      <c r="O75" s="468">
        <f t="shared" si="55"/>
        <v>2057</v>
      </c>
      <c r="P75" s="471">
        <f t="shared" si="56"/>
        <v>1940605781.7928088</v>
      </c>
      <c r="Q75" s="472">
        <f t="shared" si="57"/>
        <v>1940605781.7928088</v>
      </c>
      <c r="R75" s="472">
        <f t="shared" si="58"/>
        <v>46204899.566495448</v>
      </c>
      <c r="S75" s="709">
        <f t="shared" si="59"/>
        <v>2016</v>
      </c>
      <c r="T75" s="470">
        <f t="shared" si="60"/>
        <v>1</v>
      </c>
      <c r="U75" s="612">
        <f t="shared" si="61"/>
        <v>46204899.566495448</v>
      </c>
      <c r="V75" s="464">
        <f t="shared" si="62"/>
        <v>2016</v>
      </c>
      <c r="W75" s="612">
        <f t="shared" si="63"/>
        <v>1894400882.2263134</v>
      </c>
      <c r="X75" s="561"/>
      <c r="Y75" s="449"/>
      <c r="Z75" s="449"/>
      <c r="AA75" s="554" t="s">
        <v>4179</v>
      </c>
      <c r="AB75" s="452"/>
      <c r="AC75" s="452"/>
      <c r="AD75" s="566"/>
      <c r="AE75" s="452"/>
      <c r="AF75" s="571"/>
      <c r="AG75" s="452"/>
      <c r="AH75" s="452"/>
      <c r="AI75" s="453"/>
      <c r="AJ75" s="449"/>
      <c r="AK75" s="453"/>
      <c r="AL75" s="454"/>
      <c r="AM75" s="455"/>
      <c r="AN75" s="456"/>
      <c r="AO75" s="455"/>
      <c r="AP75" s="452"/>
      <c r="AQ75" s="457"/>
      <c r="AR75" s="449"/>
      <c r="AS75" s="449"/>
      <c r="AT75" s="452"/>
      <c r="AU75" s="457"/>
      <c r="AV75" s="449"/>
      <c r="AW75" s="458"/>
      <c r="AX75" s="452"/>
      <c r="AY75" s="457"/>
      <c r="AZ75" s="449"/>
      <c r="BA75" s="459"/>
      <c r="BB75" s="455"/>
      <c r="BC75" s="460"/>
      <c r="BD75" s="460"/>
      <c r="BG75" s="462"/>
    </row>
    <row r="76" spans="1:59" s="461" customFormat="1" ht="18" customHeight="1" x14ac:dyDescent="0.2">
      <c r="A76" s="461" t="str">
        <f t="shared" si="48"/>
        <v>GEDUNG SERBAGUNA KENEGERIAN SENTAJO2017</v>
      </c>
      <c r="B76" s="708"/>
      <c r="C76" s="489"/>
      <c r="D76" s="489"/>
      <c r="E76" s="558"/>
      <c r="F76" s="559">
        <v>2017</v>
      </c>
      <c r="G76" s="619">
        <v>0</v>
      </c>
      <c r="H76" s="464">
        <f t="shared" si="50"/>
        <v>41</v>
      </c>
      <c r="I76" s="560"/>
      <c r="J76" s="468">
        <f t="shared" si="51"/>
        <v>2057</v>
      </c>
      <c r="K76" s="490">
        <f t="shared" si="49"/>
        <v>0</v>
      </c>
      <c r="L76" s="469">
        <f t="shared" si="52"/>
        <v>0</v>
      </c>
      <c r="M76" s="683">
        <f t="shared" si="53"/>
        <v>0</v>
      </c>
      <c r="N76" s="470">
        <f t="shared" si="54"/>
        <v>41</v>
      </c>
      <c r="O76" s="468">
        <f t="shared" si="55"/>
        <v>2057</v>
      </c>
      <c r="P76" s="471">
        <f t="shared" si="56"/>
        <v>1894400882.2263134</v>
      </c>
      <c r="Q76" s="472">
        <f t="shared" si="57"/>
        <v>1894400882.2263134</v>
      </c>
      <c r="R76" s="472">
        <f t="shared" si="58"/>
        <v>46204899.566495448</v>
      </c>
      <c r="S76" s="709">
        <f t="shared" si="59"/>
        <v>2017</v>
      </c>
      <c r="T76" s="470">
        <f t="shared" si="60"/>
        <v>1</v>
      </c>
      <c r="U76" s="612">
        <f t="shared" si="61"/>
        <v>46204899.566495448</v>
      </c>
      <c r="V76" s="464">
        <f t="shared" si="62"/>
        <v>2017</v>
      </c>
      <c r="W76" s="612">
        <f t="shared" si="63"/>
        <v>1848195982.6598179</v>
      </c>
      <c r="X76" s="561"/>
      <c r="Y76" s="449"/>
      <c r="Z76" s="449"/>
      <c r="AA76" s="554"/>
      <c r="AB76" s="452"/>
      <c r="AC76" s="452"/>
      <c r="AD76" s="566"/>
      <c r="AE76" s="452"/>
      <c r="AF76" s="571"/>
      <c r="AG76" s="452"/>
      <c r="AH76" s="452"/>
      <c r="AI76" s="453"/>
      <c r="AJ76" s="449"/>
      <c r="AK76" s="453"/>
      <c r="AL76" s="454"/>
      <c r="AM76" s="455"/>
      <c r="AN76" s="456"/>
      <c r="AO76" s="455"/>
      <c r="AP76" s="452"/>
      <c r="AQ76" s="457"/>
      <c r="AR76" s="449"/>
      <c r="AS76" s="449"/>
      <c r="AT76" s="452"/>
      <c r="AU76" s="457"/>
      <c r="AV76" s="449"/>
      <c r="AW76" s="458"/>
      <c r="AX76" s="452"/>
      <c r="AY76" s="457"/>
      <c r="AZ76" s="449"/>
      <c r="BA76" s="459"/>
      <c r="BB76" s="455"/>
      <c r="BC76" s="460"/>
      <c r="BD76" s="460"/>
      <c r="BG76" s="462"/>
    </row>
    <row r="77" spans="1:59" s="486" customFormat="1" ht="18" customHeight="1" x14ac:dyDescent="0.2">
      <c r="A77" s="461" t="str">
        <f t="shared" si="48"/>
        <v>GEDUNG SERBAGUNA KENEGERIAN SENTAJO2018</v>
      </c>
      <c r="B77" s="708"/>
      <c r="C77" s="463"/>
      <c r="D77" s="489"/>
      <c r="E77" s="465"/>
      <c r="F77" s="466">
        <v>2018</v>
      </c>
      <c r="G77" s="620">
        <v>0</v>
      </c>
      <c r="H77" s="464">
        <f t="shared" si="50"/>
        <v>40</v>
      </c>
      <c r="I77" s="560"/>
      <c r="J77" s="468">
        <f t="shared" si="51"/>
        <v>2057</v>
      </c>
      <c r="K77" s="490">
        <f t="shared" si="49"/>
        <v>0</v>
      </c>
      <c r="L77" s="469">
        <f t="shared" si="52"/>
        <v>0</v>
      </c>
      <c r="M77" s="683">
        <f t="shared" si="53"/>
        <v>0</v>
      </c>
      <c r="N77" s="470">
        <f t="shared" si="54"/>
        <v>40</v>
      </c>
      <c r="O77" s="468">
        <f t="shared" si="55"/>
        <v>2057</v>
      </c>
      <c r="P77" s="471">
        <f t="shared" si="56"/>
        <v>1848195982.6598179</v>
      </c>
      <c r="Q77" s="472">
        <f t="shared" si="57"/>
        <v>1848195982.6598179</v>
      </c>
      <c r="R77" s="472">
        <f t="shared" si="58"/>
        <v>46204899.566495448</v>
      </c>
      <c r="S77" s="709">
        <f t="shared" si="59"/>
        <v>2018</v>
      </c>
      <c r="T77" s="470">
        <f t="shared" si="60"/>
        <v>1</v>
      </c>
      <c r="U77" s="612">
        <f t="shared" si="61"/>
        <v>46204899.566495448</v>
      </c>
      <c r="V77" s="464">
        <f t="shared" si="62"/>
        <v>2018</v>
      </c>
      <c r="W77" s="612">
        <f t="shared" si="63"/>
        <v>1801991083.0933225</v>
      </c>
      <c r="X77" s="473"/>
      <c r="Y77" s="474"/>
      <c r="Z77" s="449"/>
      <c r="AA77" s="475" t="s">
        <v>4180</v>
      </c>
      <c r="AB77" s="476"/>
      <c r="AC77" s="476"/>
      <c r="AD77" s="567">
        <f>G82</f>
        <v>2330711082.2410555</v>
      </c>
      <c r="AE77" s="476"/>
      <c r="AF77" s="568"/>
      <c r="AG77" s="476"/>
      <c r="AH77" s="476"/>
      <c r="AI77" s="477"/>
      <c r="AJ77" s="478"/>
      <c r="AK77" s="479"/>
      <c r="AL77" s="480"/>
      <c r="AM77" s="474"/>
      <c r="AN77" s="481"/>
      <c r="AO77" s="474"/>
      <c r="AP77" s="476"/>
      <c r="AQ77" s="482"/>
      <c r="AR77" s="478"/>
      <c r="AS77" s="478"/>
      <c r="AT77" s="476"/>
      <c r="AU77" s="482"/>
      <c r="AV77" s="478"/>
      <c r="AW77" s="483"/>
      <c r="AX77" s="476"/>
      <c r="AY77" s="482"/>
      <c r="AZ77" s="478"/>
      <c r="BA77" s="484"/>
      <c r="BB77" s="474"/>
      <c r="BC77" s="485"/>
      <c r="BD77" s="485"/>
      <c r="BG77" s="487"/>
    </row>
    <row r="78" spans="1:59" s="486" customFormat="1" ht="18" customHeight="1" x14ac:dyDescent="0.2">
      <c r="A78" s="461" t="str">
        <f t="shared" si="48"/>
        <v>GEDUNG SERBAGUNA KENEGERIAN SENTAJO2019</v>
      </c>
      <c r="B78" s="708"/>
      <c r="C78" s="488"/>
      <c r="D78" s="489"/>
      <c r="E78" s="465"/>
      <c r="F78" s="466">
        <v>2019</v>
      </c>
      <c r="G78" s="620">
        <v>0</v>
      </c>
      <c r="H78" s="464">
        <f>IF(N77-(F78-F77)&lt;=0,0,(N77-(F78-F77)))</f>
        <v>39</v>
      </c>
      <c r="I78" s="560"/>
      <c r="J78" s="468">
        <f>(F78+N78)-1</f>
        <v>2057</v>
      </c>
      <c r="K78" s="490">
        <f>IF(G78=0,0,IF(H78=50,100%,G78/W77))</f>
        <v>0</v>
      </c>
      <c r="L78" s="469">
        <f>IF(K78=0%,0,IF(K78&lt;=25%,5,IF(K78&lt;=50%,10,IF(K78&lt;=75%,15,50))))</f>
        <v>0</v>
      </c>
      <c r="M78" s="683">
        <f>IF(OR(AND(ISBLANK(E78),ISBLANK(G78)),ISTEXT(E78),ISTEXT(G78)),"",IF(H78+L78&gt;$H$27,$H$27-H78,L78))</f>
        <v>0</v>
      </c>
      <c r="N78" s="470">
        <f>IF(OR(AND(ISBLANK(F78),ISBLANK(G78)),ISTEXT(F78),ISTEXT(G78)),"",H78+M78)</f>
        <v>39</v>
      </c>
      <c r="O78" s="468">
        <f>(F78+N78)-1</f>
        <v>2057</v>
      </c>
      <c r="P78" s="471">
        <f>W77</f>
        <v>1801991083.0933225</v>
      </c>
      <c r="Q78" s="472">
        <f>P78+G78</f>
        <v>1801991083.0933225</v>
      </c>
      <c r="R78" s="472">
        <f>IF(L78=0,R77,Q78/N78)</f>
        <v>46204899.566495448</v>
      </c>
      <c r="S78" s="1189">
        <f>F78</f>
        <v>2019</v>
      </c>
      <c r="T78" s="470">
        <f>S78-S77</f>
        <v>1</v>
      </c>
      <c r="U78" s="612">
        <f>R78*T78</f>
        <v>46204899.566495448</v>
      </c>
      <c r="V78" s="464">
        <f>F78</f>
        <v>2019</v>
      </c>
      <c r="W78" s="612">
        <f>IF(OR(AND(ISBLANK(E78),ISBLANK(G78)),ISTEXT(E78),ISTEXT(G78)),"",Q78-U78)</f>
        <v>1755786183.5268271</v>
      </c>
      <c r="X78" s="473"/>
      <c r="Y78" s="478"/>
      <c r="Z78" s="449"/>
      <c r="AA78" s="475" t="s">
        <v>4181</v>
      </c>
      <c r="AB78" s="491"/>
      <c r="AC78" s="491"/>
      <c r="AD78" s="567">
        <f>U82</f>
        <v>574924898.71422815</v>
      </c>
      <c r="AE78" s="491"/>
      <c r="AF78" s="568"/>
      <c r="AG78" s="491"/>
      <c r="AH78" s="491"/>
      <c r="AI78" s="477"/>
      <c r="AJ78" s="478"/>
      <c r="AK78" s="479"/>
      <c r="AL78" s="480"/>
      <c r="AM78" s="474"/>
      <c r="AN78" s="481"/>
      <c r="AO78" s="474"/>
      <c r="AP78" s="476"/>
      <c r="AQ78" s="482"/>
      <c r="AR78" s="478"/>
      <c r="AS78" s="478"/>
      <c r="AT78" s="476"/>
      <c r="AU78" s="482"/>
      <c r="AV78" s="478"/>
      <c r="AW78" s="483"/>
      <c r="AX78" s="476"/>
      <c r="AY78" s="482"/>
      <c r="AZ78" s="478"/>
      <c r="BA78" s="484"/>
      <c r="BB78" s="474"/>
      <c r="BC78" s="485"/>
      <c r="BD78" s="485"/>
      <c r="BG78" s="487"/>
    </row>
    <row r="79" spans="1:59" s="486" customFormat="1" ht="18" customHeight="1" x14ac:dyDescent="0.2">
      <c r="B79" s="708"/>
      <c r="C79" s="463"/>
      <c r="D79" s="464"/>
      <c r="E79" s="465"/>
      <c r="F79" s="466"/>
      <c r="G79" s="620"/>
      <c r="H79" s="464"/>
      <c r="I79" s="467"/>
      <c r="J79" s="468"/>
      <c r="K79" s="490"/>
      <c r="L79" s="469"/>
      <c r="M79" s="683"/>
      <c r="N79" s="470"/>
      <c r="O79" s="468"/>
      <c r="P79" s="471"/>
      <c r="Q79" s="472"/>
      <c r="R79" s="472"/>
      <c r="S79" s="629"/>
      <c r="T79" s="470"/>
      <c r="U79" s="612"/>
      <c r="V79" s="464"/>
      <c r="W79" s="612"/>
      <c r="X79" s="473"/>
      <c r="Y79" s="478"/>
      <c r="Z79" s="449"/>
      <c r="AA79" s="492" t="s">
        <v>4182</v>
      </c>
      <c r="AB79" s="476"/>
      <c r="AC79" s="476"/>
      <c r="AD79" s="568">
        <f>AD77-AD78</f>
        <v>1755786183.5268273</v>
      </c>
      <c r="AE79" s="476"/>
      <c r="AF79" s="568"/>
      <c r="AG79" s="476"/>
      <c r="AH79" s="476"/>
      <c r="AI79" s="477"/>
      <c r="AJ79" s="478"/>
      <c r="AK79" s="479"/>
      <c r="AL79" s="480"/>
      <c r="AM79" s="474"/>
      <c r="AN79" s="481"/>
      <c r="AO79" s="474"/>
      <c r="AP79" s="476"/>
      <c r="AQ79" s="482"/>
      <c r="AR79" s="478"/>
      <c r="AS79" s="478"/>
      <c r="AT79" s="476"/>
      <c r="AU79" s="482"/>
      <c r="AV79" s="478"/>
      <c r="AW79" s="483"/>
      <c r="AX79" s="476"/>
      <c r="AY79" s="482"/>
      <c r="AZ79" s="478"/>
      <c r="BA79" s="484"/>
      <c r="BB79" s="474"/>
      <c r="BC79" s="485"/>
      <c r="BD79" s="485"/>
      <c r="BG79" s="487"/>
    </row>
    <row r="80" spans="1:59" s="486" customFormat="1" ht="18" customHeight="1" x14ac:dyDescent="0.2">
      <c r="B80" s="687"/>
      <c r="C80" s="463"/>
      <c r="D80" s="464"/>
      <c r="E80" s="465"/>
      <c r="F80" s="466"/>
      <c r="G80" s="620"/>
      <c r="H80" s="464"/>
      <c r="I80" s="467"/>
      <c r="J80" s="468"/>
      <c r="K80" s="490"/>
      <c r="L80" s="469"/>
      <c r="M80" s="683"/>
      <c r="N80" s="470"/>
      <c r="O80" s="468"/>
      <c r="P80" s="471"/>
      <c r="Q80" s="472"/>
      <c r="R80" s="472"/>
      <c r="S80" s="629"/>
      <c r="T80" s="470"/>
      <c r="U80" s="612"/>
      <c r="V80" s="464"/>
      <c r="W80" s="612"/>
      <c r="X80" s="473"/>
      <c r="Y80" s="478"/>
      <c r="Z80" s="449"/>
      <c r="AA80" s="475" t="s">
        <v>4183</v>
      </c>
      <c r="AB80" s="476"/>
      <c r="AC80" s="476"/>
      <c r="AD80" s="567">
        <f>AD79-W82</f>
        <v>0</v>
      </c>
      <c r="AE80" s="476"/>
      <c r="AF80" s="568"/>
      <c r="AG80" s="476"/>
      <c r="AH80" s="476"/>
      <c r="AI80" s="477"/>
      <c r="AJ80" s="478"/>
      <c r="AK80" s="479"/>
      <c r="AL80" s="480"/>
      <c r="AM80" s="474"/>
      <c r="AN80" s="481"/>
      <c r="AO80" s="474"/>
      <c r="AP80" s="476"/>
      <c r="AQ80" s="482"/>
      <c r="AR80" s="478"/>
      <c r="AS80" s="478"/>
      <c r="AT80" s="476"/>
      <c r="AU80" s="482"/>
      <c r="AV80" s="478"/>
      <c r="AW80" s="483"/>
      <c r="AX80" s="476"/>
      <c r="AY80" s="482"/>
      <c r="AZ80" s="478"/>
      <c r="BA80" s="484"/>
      <c r="BB80" s="474"/>
      <c r="BC80" s="485"/>
      <c r="BD80" s="485"/>
      <c r="BG80" s="487"/>
    </row>
    <row r="81" spans="1:59" s="486" customFormat="1" ht="18" customHeight="1" x14ac:dyDescent="0.2">
      <c r="B81" s="687"/>
      <c r="C81" s="494"/>
      <c r="D81" s="464"/>
      <c r="E81" s="465"/>
      <c r="F81" s="466"/>
      <c r="G81" s="620"/>
      <c r="H81" s="464"/>
      <c r="I81" s="467"/>
      <c r="J81" s="468"/>
      <c r="K81" s="490"/>
      <c r="L81" s="469"/>
      <c r="M81" s="683"/>
      <c r="N81" s="470"/>
      <c r="O81" s="468"/>
      <c r="P81" s="471"/>
      <c r="Q81" s="472"/>
      <c r="R81" s="472"/>
      <c r="S81" s="629"/>
      <c r="T81" s="470"/>
      <c r="U81" s="612"/>
      <c r="V81" s="464"/>
      <c r="W81" s="612"/>
      <c r="X81" s="473"/>
      <c r="Y81" s="478"/>
      <c r="Z81" s="449"/>
      <c r="AA81" s="495"/>
      <c r="AB81" s="496"/>
      <c r="AC81" s="496"/>
      <c r="AD81" s="569"/>
      <c r="AE81" s="476"/>
      <c r="AF81" s="568"/>
      <c r="AG81" s="476"/>
      <c r="AH81" s="476"/>
      <c r="AI81" s="477"/>
      <c r="AJ81" s="478"/>
      <c r="AK81" s="479"/>
      <c r="AL81" s="480"/>
      <c r="AM81" s="474"/>
      <c r="AN81" s="481"/>
      <c r="AO81" s="474"/>
      <c r="AP81" s="476"/>
      <c r="AQ81" s="482"/>
      <c r="AR81" s="478"/>
      <c r="AS81" s="478"/>
      <c r="AT81" s="476"/>
      <c r="AU81" s="482"/>
      <c r="AV81" s="478"/>
      <c r="AW81" s="483"/>
      <c r="AX81" s="476"/>
      <c r="AY81" s="482"/>
      <c r="AZ81" s="478"/>
      <c r="BA81" s="484"/>
      <c r="BB81" s="474"/>
      <c r="BC81" s="485"/>
      <c r="BD81" s="485"/>
      <c r="BG81" s="487"/>
    </row>
    <row r="82" spans="1:59" s="526" customFormat="1" ht="18" customHeight="1" x14ac:dyDescent="0.2">
      <c r="B82" s="1956" t="s">
        <v>4184</v>
      </c>
      <c r="C82" s="1957"/>
      <c r="D82" s="1957"/>
      <c r="E82" s="1957"/>
      <c r="F82" s="1958"/>
      <c r="G82" s="621">
        <f>SUM(G70:G81)</f>
        <v>2330711082.2410555</v>
      </c>
      <c r="H82" s="505"/>
      <c r="I82" s="506"/>
      <c r="J82" s="507"/>
      <c r="K82" s="507"/>
      <c r="L82" s="505"/>
      <c r="M82" s="684"/>
      <c r="N82" s="508"/>
      <c r="O82" s="507"/>
      <c r="P82" s="509"/>
      <c r="Q82" s="510"/>
      <c r="R82" s="511"/>
      <c r="S82" s="512"/>
      <c r="T82" s="512"/>
      <c r="U82" s="610">
        <f>SUM(U70:U81)</f>
        <v>574924898.71422815</v>
      </c>
      <c r="V82" s="513"/>
      <c r="W82" s="610">
        <f>G82-U82</f>
        <v>1755786183.5268273</v>
      </c>
      <c r="X82" s="514"/>
      <c r="Y82" s="515"/>
      <c r="Z82" s="515"/>
      <c r="AA82" s="515"/>
      <c r="AB82" s="515"/>
      <c r="AC82" s="515"/>
      <c r="AD82" s="570"/>
      <c r="AE82" s="515"/>
      <c r="AF82" s="570"/>
      <c r="AG82" s="515"/>
      <c r="AH82" s="515"/>
      <c r="AI82" s="516"/>
      <c r="AJ82" s="517"/>
      <c r="AK82" s="518"/>
      <c r="AL82" s="519"/>
      <c r="AM82" s="520"/>
      <c r="AN82" s="521"/>
      <c r="AO82" s="520"/>
      <c r="AP82" s="515"/>
      <c r="AQ82" s="522"/>
      <c r="AR82" s="517"/>
      <c r="AS82" s="517"/>
      <c r="AT82" s="515"/>
      <c r="AU82" s="522"/>
      <c r="AV82" s="517"/>
      <c r="AW82" s="523"/>
      <c r="AX82" s="515"/>
      <c r="AY82" s="522"/>
      <c r="AZ82" s="517"/>
      <c r="BA82" s="524"/>
      <c r="BB82" s="520"/>
      <c r="BC82" s="525"/>
      <c r="BD82" s="525"/>
      <c r="BG82" s="527"/>
    </row>
    <row r="83" spans="1:59" ht="15" customHeight="1" x14ac:dyDescent="0.2">
      <c r="U83" s="614"/>
    </row>
    <row r="84" spans="1:59" ht="15" customHeight="1" x14ac:dyDescent="0.2">
      <c r="U84" s="614"/>
    </row>
    <row r="85" spans="1:59" s="422" customFormat="1" ht="18" customHeight="1" x14ac:dyDescent="0.2">
      <c r="B85" s="688" t="s">
        <v>4204</v>
      </c>
      <c r="C85" s="556"/>
      <c r="D85" s="553" t="s">
        <v>2989</v>
      </c>
      <c r="E85" s="553"/>
      <c r="F85" s="421"/>
      <c r="G85" s="611"/>
      <c r="I85" s="423"/>
      <c r="J85" s="424"/>
      <c r="K85" s="424"/>
      <c r="M85" s="680"/>
      <c r="U85" s="611"/>
      <c r="W85" s="611"/>
      <c r="Y85" s="425"/>
      <c r="Z85" s="425"/>
      <c r="AA85" s="425"/>
      <c r="AB85" s="425"/>
      <c r="AC85" s="425"/>
      <c r="AD85" s="563"/>
      <c r="AE85" s="425"/>
      <c r="AF85" s="563"/>
      <c r="AG85" s="425"/>
      <c r="AH85" s="425"/>
      <c r="AI85" s="425"/>
      <c r="AJ85" s="425"/>
      <c r="AK85" s="425"/>
      <c r="AL85" s="425"/>
      <c r="AM85" s="425"/>
      <c r="AN85" s="425"/>
      <c r="AO85" s="425"/>
      <c r="AP85" s="425"/>
      <c r="AQ85" s="425"/>
      <c r="AR85" s="425"/>
      <c r="AS85" s="425"/>
      <c r="AT85" s="425"/>
      <c r="AU85" s="425"/>
      <c r="AV85" s="425"/>
      <c r="AW85" s="425"/>
      <c r="AX85" s="425"/>
      <c r="AY85" s="425"/>
      <c r="AZ85" s="425"/>
      <c r="BA85" s="425"/>
      <c r="BB85" s="425"/>
    </row>
    <row r="86" spans="1:59" s="431" customFormat="1" ht="18" customHeight="1" x14ac:dyDescent="0.2">
      <c r="B86" s="1968" t="s">
        <v>5</v>
      </c>
      <c r="C86" s="1968" t="s">
        <v>2280</v>
      </c>
      <c r="D86" s="1968" t="s">
        <v>4157</v>
      </c>
      <c r="E86" s="1968" t="s">
        <v>4158</v>
      </c>
      <c r="F86" s="1968"/>
      <c r="G86" s="1969" t="s">
        <v>4159</v>
      </c>
      <c r="H86" s="1355" t="s">
        <v>4160</v>
      </c>
      <c r="I86" s="1355"/>
      <c r="J86" s="1968" t="s">
        <v>4161</v>
      </c>
      <c r="K86" s="1964" t="s">
        <v>4162</v>
      </c>
      <c r="L86" s="1968" t="s">
        <v>4163</v>
      </c>
      <c r="M86" s="1971" t="s">
        <v>4164</v>
      </c>
      <c r="N86" s="1962" t="s">
        <v>4165</v>
      </c>
      <c r="O86" s="1968" t="s">
        <v>4166</v>
      </c>
      <c r="P86" s="1972" t="s">
        <v>4167</v>
      </c>
      <c r="Q86" s="1973"/>
      <c r="R86" s="631" t="s">
        <v>4168</v>
      </c>
      <c r="S86" s="1972" t="s">
        <v>4169</v>
      </c>
      <c r="T86" s="1974"/>
      <c r="U86" s="1973"/>
      <c r="V86" s="1975" t="s">
        <v>4170</v>
      </c>
      <c r="W86" s="1975"/>
      <c r="X86" s="1960" t="s">
        <v>4171</v>
      </c>
      <c r="Y86" s="1959"/>
      <c r="Z86" s="628"/>
      <c r="AA86" s="426"/>
      <c r="AB86" s="426"/>
      <c r="AC86" s="426"/>
      <c r="AD86" s="564"/>
      <c r="AE86" s="426"/>
      <c r="AF86" s="564"/>
      <c r="AG86" s="426"/>
      <c r="AH86" s="426"/>
      <c r="AI86" s="427"/>
      <c r="AJ86" s="427"/>
      <c r="AK86" s="427"/>
      <c r="AL86" s="427"/>
      <c r="AM86" s="428"/>
      <c r="AN86" s="427"/>
      <c r="AO86" s="427"/>
      <c r="AP86" s="426"/>
      <c r="AQ86" s="427"/>
      <c r="AR86" s="427"/>
      <c r="AS86" s="427"/>
      <c r="AT86" s="426"/>
      <c r="AU86" s="427"/>
      <c r="AV86" s="427"/>
      <c r="AW86" s="427"/>
      <c r="AX86" s="426"/>
      <c r="AY86" s="427"/>
      <c r="AZ86" s="427"/>
      <c r="BA86" s="427"/>
      <c r="BB86" s="429"/>
      <c r="BC86" s="430"/>
      <c r="BD86" s="430"/>
    </row>
    <row r="87" spans="1:59" s="431" customFormat="1" ht="18" customHeight="1" x14ac:dyDescent="0.2">
      <c r="B87" s="1968"/>
      <c r="C87" s="1968"/>
      <c r="D87" s="1968"/>
      <c r="E87" s="1968"/>
      <c r="F87" s="1968"/>
      <c r="G87" s="1969"/>
      <c r="H87" s="1355"/>
      <c r="I87" s="1355"/>
      <c r="J87" s="1968"/>
      <c r="K87" s="1970"/>
      <c r="L87" s="1968"/>
      <c r="M87" s="1971"/>
      <c r="N87" s="1963"/>
      <c r="O87" s="1968"/>
      <c r="P87" s="1960" t="s">
        <v>4172</v>
      </c>
      <c r="Q87" s="1960" t="s">
        <v>4173</v>
      </c>
      <c r="R87" s="1962" t="s">
        <v>4159</v>
      </c>
      <c r="S87" s="1962" t="s">
        <v>4174</v>
      </c>
      <c r="T87" s="1964" t="s">
        <v>4175</v>
      </c>
      <c r="U87" s="1966" t="s">
        <v>4159</v>
      </c>
      <c r="V87" s="1975"/>
      <c r="W87" s="1975"/>
      <c r="X87" s="1976"/>
      <c r="Y87" s="1959"/>
      <c r="Z87" s="628"/>
      <c r="AA87" s="426"/>
      <c r="AB87" s="426"/>
      <c r="AC87" s="426"/>
      <c r="AD87" s="564"/>
      <c r="AE87" s="426"/>
      <c r="AF87" s="564"/>
      <c r="AG87" s="426"/>
      <c r="AH87" s="426"/>
      <c r="AI87" s="427"/>
      <c r="AJ87" s="427"/>
      <c r="AK87" s="426"/>
      <c r="AL87" s="427"/>
      <c r="AM87" s="428"/>
      <c r="AN87" s="427"/>
      <c r="AO87" s="427"/>
      <c r="AP87" s="432"/>
      <c r="AQ87" s="427"/>
      <c r="AR87" s="427"/>
      <c r="AS87" s="427"/>
      <c r="AT87" s="432"/>
      <c r="AU87" s="427"/>
      <c r="AV87" s="427"/>
      <c r="AW87" s="427"/>
      <c r="AX87" s="432"/>
      <c r="AY87" s="427"/>
      <c r="AZ87" s="427"/>
      <c r="BA87" s="427"/>
      <c r="BB87" s="429"/>
      <c r="BC87" s="430"/>
      <c r="BD87" s="430"/>
    </row>
    <row r="88" spans="1:59" s="431" customFormat="1" ht="21.75" customHeight="1" x14ac:dyDescent="0.2">
      <c r="B88" s="1968"/>
      <c r="C88" s="1968"/>
      <c r="D88" s="1968"/>
      <c r="E88" s="433" t="s">
        <v>4176</v>
      </c>
      <c r="F88" s="434" t="s">
        <v>2288</v>
      </c>
      <c r="G88" s="1969"/>
      <c r="H88" s="1355" t="s">
        <v>2288</v>
      </c>
      <c r="I88" s="1355" t="s">
        <v>4177</v>
      </c>
      <c r="J88" s="1968"/>
      <c r="K88" s="1965"/>
      <c r="L88" s="435" t="s">
        <v>2288</v>
      </c>
      <c r="M88" s="681" t="s">
        <v>2288</v>
      </c>
      <c r="N88" s="630" t="s">
        <v>2288</v>
      </c>
      <c r="O88" s="1968"/>
      <c r="P88" s="1961"/>
      <c r="Q88" s="1961"/>
      <c r="R88" s="1963"/>
      <c r="S88" s="1963"/>
      <c r="T88" s="1965"/>
      <c r="U88" s="1967"/>
      <c r="V88" s="630" t="s">
        <v>4178</v>
      </c>
      <c r="W88" s="632" t="s">
        <v>4159</v>
      </c>
      <c r="X88" s="1961"/>
      <c r="Y88" s="436"/>
      <c r="Z88" s="436"/>
      <c r="AA88" s="426"/>
      <c r="AB88" s="426"/>
      <c r="AC88" s="426"/>
      <c r="AD88" s="564"/>
      <c r="AE88" s="426"/>
      <c r="AF88" s="564"/>
      <c r="AG88" s="426"/>
      <c r="AH88" s="426"/>
      <c r="AI88" s="427"/>
      <c r="AJ88" s="432"/>
      <c r="AK88" s="432"/>
      <c r="AL88" s="427"/>
      <c r="AM88" s="428"/>
      <c r="AN88" s="432"/>
      <c r="AO88" s="427"/>
      <c r="AP88" s="432"/>
      <c r="AQ88" s="432"/>
      <c r="AR88" s="427"/>
      <c r="AS88" s="427"/>
      <c r="AT88" s="432"/>
      <c r="AU88" s="432"/>
      <c r="AV88" s="427"/>
      <c r="AW88" s="427"/>
      <c r="AX88" s="432"/>
      <c r="AY88" s="432"/>
      <c r="AZ88" s="427"/>
      <c r="BA88" s="427"/>
      <c r="BB88" s="429"/>
      <c r="BC88" s="430"/>
      <c r="BD88" s="430"/>
    </row>
    <row r="89" spans="1:59" s="461" customFormat="1" ht="18" customHeight="1" x14ac:dyDescent="0.2">
      <c r="A89" s="461" t="str">
        <f>$D$85&amp;S89</f>
        <v>GEDUNG SERBAGUNA KECAMATAN BENAI2007</v>
      </c>
      <c r="B89" s="689">
        <v>1</v>
      </c>
      <c r="C89" s="597" t="s">
        <v>1028</v>
      </c>
      <c r="D89" s="597" t="s">
        <v>1772</v>
      </c>
      <c r="E89" s="598"/>
      <c r="F89" s="599">
        <v>2007</v>
      </c>
      <c r="G89" s="626">
        <v>781433058.60000002</v>
      </c>
      <c r="H89" s="600">
        <f>VLOOKUP(LEFT(D89,8),UE,4)</f>
        <v>50</v>
      </c>
      <c r="I89" s="601"/>
      <c r="J89" s="602">
        <f>(F89+N89)-1</f>
        <v>2056</v>
      </c>
      <c r="K89" s="603"/>
      <c r="L89" s="600"/>
      <c r="M89" s="685">
        <f>IF(H89+L89&gt;$H89,$H89-H89,L89)</f>
        <v>0</v>
      </c>
      <c r="N89" s="604">
        <f>H89+M89</f>
        <v>50</v>
      </c>
      <c r="O89" s="602">
        <f>(F89+N89)-1</f>
        <v>2056</v>
      </c>
      <c r="P89" s="605">
        <f>G89</f>
        <v>781433058.60000002</v>
      </c>
      <c r="Q89" s="606">
        <v>0</v>
      </c>
      <c r="R89" s="606">
        <f>P89/N89</f>
        <v>15628661.172</v>
      </c>
      <c r="S89" s="607">
        <f>F89</f>
        <v>2007</v>
      </c>
      <c r="T89" s="608">
        <v>1</v>
      </c>
      <c r="U89" s="615">
        <f>R89*T89</f>
        <v>15628661.172</v>
      </c>
      <c r="V89" s="602">
        <f>F89</f>
        <v>2007</v>
      </c>
      <c r="W89" s="618">
        <f>IF(OR(AND(ISBLANK(E89),ISBLANK(G89)),ISTEXT(E89),ISTEXT(G89)),"",G89-R89)</f>
        <v>765804397.42799997</v>
      </c>
      <c r="X89" s="609"/>
      <c r="Y89" s="449"/>
      <c r="Z89" s="449"/>
      <c r="AA89" s="693"/>
      <c r="AB89" s="452"/>
      <c r="AC89" s="452"/>
      <c r="AD89" s="571"/>
      <c r="AE89" s="452"/>
      <c r="AF89" s="571"/>
      <c r="AG89" s="452"/>
      <c r="AH89" s="452"/>
      <c r="AI89" s="453"/>
      <c r="AJ89" s="449"/>
      <c r="AK89" s="453"/>
      <c r="AL89" s="454"/>
      <c r="AM89" s="455"/>
      <c r="AN89" s="456"/>
      <c r="AO89" s="455"/>
      <c r="AP89" s="452"/>
      <c r="AQ89" s="457"/>
      <c r="AR89" s="449"/>
      <c r="AS89" s="449"/>
      <c r="AT89" s="452"/>
      <c r="AU89" s="457"/>
      <c r="AV89" s="449"/>
      <c r="AW89" s="458"/>
      <c r="AX89" s="452"/>
      <c r="AY89" s="457"/>
      <c r="AZ89" s="449"/>
      <c r="BA89" s="459"/>
      <c r="BB89" s="455"/>
      <c r="BC89" s="460"/>
      <c r="BD89" s="460"/>
      <c r="BG89" s="462"/>
    </row>
    <row r="90" spans="1:59" s="461" customFormat="1" ht="18" customHeight="1" x14ac:dyDescent="0.2">
      <c r="A90" s="461" t="str">
        <f t="shared" ref="A90:A98" si="64">$D$85&amp;S90</f>
        <v>GEDUNG SERBAGUNA KECAMATAN BENAI2008</v>
      </c>
      <c r="B90" s="708">
        <v>2</v>
      </c>
      <c r="C90" s="489" t="s">
        <v>1051</v>
      </c>
      <c r="D90" s="489" t="s">
        <v>1772</v>
      </c>
      <c r="E90" s="558"/>
      <c r="F90" s="559">
        <v>2008</v>
      </c>
      <c r="G90" s="619">
        <v>230887746.03325808</v>
      </c>
      <c r="H90" s="464">
        <f>IF(N89-(F90-F89)&lt;=0,0,(N89-(F90-F89)))</f>
        <v>49</v>
      </c>
      <c r="I90" s="560"/>
      <c r="J90" s="468">
        <f>(F90+N90)-1</f>
        <v>2057</v>
      </c>
      <c r="K90" s="490">
        <f t="shared" ref="K90:K96" si="65">IF(G90=0,0,IF(H90=50,100%,G90/W89))</f>
        <v>0.3014970230109783</v>
      </c>
      <c r="L90" s="469">
        <f>IF(K90=0%,0,IF(K90&lt;=25%,5,IF(K90&lt;=50%,10,IF(K90&lt;=75%,15,50))))</f>
        <v>10</v>
      </c>
      <c r="M90" s="683">
        <f>IF(OR(AND(ISBLANK(E90),ISBLANK(G90)),ISTEXT(E90),ISTEXT(G90)),"",IF(H90+L90&gt;$H$27,$H$27-H90,L90))</f>
        <v>1</v>
      </c>
      <c r="N90" s="470">
        <f>IF(OR(AND(ISBLANK(F90),ISBLANK(G90)),ISTEXT(F90),ISTEXT(G90)),"",H90+M90)</f>
        <v>50</v>
      </c>
      <c r="O90" s="468">
        <f>(F90+N90)-1</f>
        <v>2057</v>
      </c>
      <c r="P90" s="471">
        <f>W89</f>
        <v>765804397.42799997</v>
      </c>
      <c r="Q90" s="472">
        <f>P90+G90</f>
        <v>996692143.46125805</v>
      </c>
      <c r="R90" s="472">
        <f>IF(L90=0,R89,Q90/N90)</f>
        <v>19933842.869225159</v>
      </c>
      <c r="S90" s="629">
        <f>F90</f>
        <v>2008</v>
      </c>
      <c r="T90" s="470">
        <f>S90-S89</f>
        <v>1</v>
      </c>
      <c r="U90" s="612">
        <f>R90*T90</f>
        <v>19933842.869225159</v>
      </c>
      <c r="V90" s="464">
        <f>F90</f>
        <v>2008</v>
      </c>
      <c r="W90" s="612">
        <f>IF(OR(AND(ISBLANK(E90),ISBLANK(G90)),ISTEXT(E90),ISTEXT(G90)),"",Q90-U90)</f>
        <v>976758300.59203291</v>
      </c>
      <c r="X90" s="561"/>
      <c r="Y90" s="449"/>
      <c r="Z90" s="449"/>
      <c r="AA90" s="693"/>
      <c r="AB90" s="452"/>
      <c r="AC90" s="452"/>
      <c r="AD90" s="571"/>
      <c r="AE90" s="452"/>
      <c r="AF90" s="571"/>
      <c r="AG90" s="452"/>
      <c r="AH90" s="452"/>
      <c r="AI90" s="453"/>
      <c r="AJ90" s="449"/>
      <c r="AK90" s="453"/>
      <c r="AL90" s="454"/>
      <c r="AM90" s="455"/>
      <c r="AN90" s="456"/>
      <c r="AO90" s="455"/>
      <c r="AP90" s="452"/>
      <c r="AQ90" s="457"/>
      <c r="AR90" s="449"/>
      <c r="AS90" s="449"/>
      <c r="AT90" s="452"/>
      <c r="AU90" s="457"/>
      <c r="AV90" s="449"/>
      <c r="AW90" s="458"/>
      <c r="AX90" s="452"/>
      <c r="AY90" s="457"/>
      <c r="AZ90" s="449"/>
      <c r="BA90" s="459"/>
      <c r="BB90" s="455"/>
      <c r="BC90" s="460"/>
      <c r="BD90" s="460"/>
      <c r="BG90" s="462"/>
    </row>
    <row r="91" spans="1:59" s="461" customFormat="1" ht="18" customHeight="1" x14ac:dyDescent="0.2">
      <c r="A91" s="461" t="str">
        <f t="shared" si="64"/>
        <v>GEDUNG SERBAGUNA KECAMATAN BENAI2013</v>
      </c>
      <c r="B91" s="708"/>
      <c r="C91" s="489"/>
      <c r="D91" s="489"/>
      <c r="E91" s="558"/>
      <c r="F91" s="559">
        <v>2013</v>
      </c>
      <c r="G91" s="619">
        <v>0</v>
      </c>
      <c r="H91" s="464">
        <f t="shared" ref="H91:H96" si="66">IF(N90-(F91-F90)&lt;=0,0,(N90-(F91-F90)))</f>
        <v>45</v>
      </c>
      <c r="I91" s="560"/>
      <c r="J91" s="468">
        <f t="shared" ref="J91:J96" si="67">(F91+N91)-1</f>
        <v>2057</v>
      </c>
      <c r="K91" s="490">
        <f t="shared" si="65"/>
        <v>0</v>
      </c>
      <c r="L91" s="469">
        <f t="shared" ref="L91:L96" si="68">IF(K91=0%,0,IF(K91&lt;=25%,5,IF(K91&lt;=50%,10,IF(K91&lt;=75%,15,50))))</f>
        <v>0</v>
      </c>
      <c r="M91" s="683">
        <f t="shared" ref="M91:M96" si="69">IF(OR(AND(ISBLANK(E91),ISBLANK(G91)),ISTEXT(E91),ISTEXT(G91)),"",IF(H91+L91&gt;$H$27,$H$27-H91,L91))</f>
        <v>0</v>
      </c>
      <c r="N91" s="470">
        <f t="shared" ref="N91:N96" si="70">IF(OR(AND(ISBLANK(F91),ISBLANK(G91)),ISTEXT(F91),ISTEXT(G91)),"",H91+M91)</f>
        <v>45</v>
      </c>
      <c r="O91" s="468">
        <f t="shared" ref="O91:O96" si="71">(F91+N91)-1</f>
        <v>2057</v>
      </c>
      <c r="P91" s="471">
        <f t="shared" ref="P91:P96" si="72">W90</f>
        <v>976758300.59203291</v>
      </c>
      <c r="Q91" s="472">
        <f t="shared" ref="Q91:Q96" si="73">P91+G91</f>
        <v>976758300.59203291</v>
      </c>
      <c r="R91" s="472">
        <f t="shared" ref="R91:R96" si="74">IF(L91=0,R90,Q91/N91)</f>
        <v>19933842.869225159</v>
      </c>
      <c r="S91" s="709">
        <f t="shared" ref="S91:S96" si="75">F91</f>
        <v>2013</v>
      </c>
      <c r="T91" s="470">
        <f t="shared" ref="T91:T96" si="76">S91-S90</f>
        <v>5</v>
      </c>
      <c r="U91" s="612">
        <f t="shared" ref="U91:U96" si="77">R91*T91</f>
        <v>99669214.346125796</v>
      </c>
      <c r="V91" s="464">
        <f t="shared" ref="V91:V96" si="78">F91</f>
        <v>2013</v>
      </c>
      <c r="W91" s="612">
        <f t="shared" ref="W91:W96" si="79">IF(OR(AND(ISBLANK(E91),ISBLANK(G91)),ISTEXT(E91),ISTEXT(G91)),"",Q91-U91)</f>
        <v>877089086.24590707</v>
      </c>
      <c r="X91" s="561"/>
      <c r="Y91" s="449"/>
      <c r="Z91" s="449"/>
      <c r="AA91" s="693"/>
      <c r="AB91" s="452"/>
      <c r="AC91" s="452"/>
      <c r="AD91" s="571"/>
      <c r="AE91" s="452"/>
      <c r="AF91" s="571"/>
      <c r="AG91" s="452"/>
      <c r="AH91" s="452"/>
      <c r="AI91" s="453"/>
      <c r="AJ91" s="449"/>
      <c r="AK91" s="453"/>
      <c r="AL91" s="454"/>
      <c r="AM91" s="455"/>
      <c r="AN91" s="456"/>
      <c r="AO91" s="455"/>
      <c r="AP91" s="452"/>
      <c r="AQ91" s="457"/>
      <c r="AR91" s="449"/>
      <c r="AS91" s="449"/>
      <c r="AT91" s="452"/>
      <c r="AU91" s="457"/>
      <c r="AV91" s="449"/>
      <c r="AW91" s="458"/>
      <c r="AX91" s="452"/>
      <c r="AY91" s="457"/>
      <c r="AZ91" s="449"/>
      <c r="BA91" s="459"/>
      <c r="BB91" s="455"/>
      <c r="BC91" s="460"/>
      <c r="BD91" s="460"/>
      <c r="BG91" s="462"/>
    </row>
    <row r="92" spans="1:59" s="461" customFormat="1" ht="18" customHeight="1" x14ac:dyDescent="0.2">
      <c r="A92" s="461" t="str">
        <f t="shared" si="64"/>
        <v>GEDUNG SERBAGUNA KECAMATAN BENAI2014</v>
      </c>
      <c r="B92" s="708"/>
      <c r="C92" s="489"/>
      <c r="D92" s="489"/>
      <c r="E92" s="558"/>
      <c r="F92" s="559">
        <v>2014</v>
      </c>
      <c r="G92" s="619">
        <v>0</v>
      </c>
      <c r="H92" s="464">
        <f t="shared" si="66"/>
        <v>44</v>
      </c>
      <c r="I92" s="560"/>
      <c r="J92" s="468">
        <f t="shared" si="67"/>
        <v>2057</v>
      </c>
      <c r="K92" s="490">
        <f t="shared" si="65"/>
        <v>0</v>
      </c>
      <c r="L92" s="469">
        <f t="shared" si="68"/>
        <v>0</v>
      </c>
      <c r="M92" s="683">
        <f t="shared" si="69"/>
        <v>0</v>
      </c>
      <c r="N92" s="470">
        <f t="shared" si="70"/>
        <v>44</v>
      </c>
      <c r="O92" s="468">
        <f t="shared" si="71"/>
        <v>2057</v>
      </c>
      <c r="P92" s="471">
        <f t="shared" si="72"/>
        <v>877089086.24590707</v>
      </c>
      <c r="Q92" s="472">
        <f t="shared" si="73"/>
        <v>877089086.24590707</v>
      </c>
      <c r="R92" s="472">
        <f t="shared" si="74"/>
        <v>19933842.869225159</v>
      </c>
      <c r="S92" s="709">
        <f t="shared" si="75"/>
        <v>2014</v>
      </c>
      <c r="T92" s="470">
        <f t="shared" si="76"/>
        <v>1</v>
      </c>
      <c r="U92" s="612">
        <f t="shared" si="77"/>
        <v>19933842.869225159</v>
      </c>
      <c r="V92" s="464">
        <f t="shared" si="78"/>
        <v>2014</v>
      </c>
      <c r="W92" s="612">
        <f t="shared" si="79"/>
        <v>857155243.37668192</v>
      </c>
      <c r="X92" s="561"/>
      <c r="Y92" s="449"/>
      <c r="Z92" s="449"/>
      <c r="AA92" s="693"/>
      <c r="AB92" s="452"/>
      <c r="AC92" s="452"/>
      <c r="AD92" s="571"/>
      <c r="AE92" s="452"/>
      <c r="AF92" s="571"/>
      <c r="AG92" s="452"/>
      <c r="AH92" s="452"/>
      <c r="AI92" s="453"/>
      <c r="AJ92" s="449"/>
      <c r="AK92" s="453"/>
      <c r="AL92" s="454"/>
      <c r="AM92" s="455"/>
      <c r="AN92" s="456"/>
      <c r="AO92" s="455"/>
      <c r="AP92" s="452"/>
      <c r="AQ92" s="457"/>
      <c r="AR92" s="449"/>
      <c r="AS92" s="449"/>
      <c r="AT92" s="452"/>
      <c r="AU92" s="457"/>
      <c r="AV92" s="449"/>
      <c r="AW92" s="458"/>
      <c r="AX92" s="452"/>
      <c r="AY92" s="457"/>
      <c r="AZ92" s="449"/>
      <c r="BA92" s="459"/>
      <c r="BB92" s="455"/>
      <c r="BC92" s="460"/>
      <c r="BD92" s="460"/>
      <c r="BG92" s="462"/>
    </row>
    <row r="93" spans="1:59" s="461" customFormat="1" ht="18" customHeight="1" x14ac:dyDescent="0.2">
      <c r="A93" s="461" t="str">
        <f t="shared" si="64"/>
        <v>GEDUNG SERBAGUNA KECAMATAN BENAI2015</v>
      </c>
      <c r="B93" s="708"/>
      <c r="C93" s="489"/>
      <c r="D93" s="489"/>
      <c r="E93" s="558"/>
      <c r="F93" s="559">
        <v>2015</v>
      </c>
      <c r="G93" s="619">
        <v>0</v>
      </c>
      <c r="H93" s="464">
        <f t="shared" si="66"/>
        <v>43</v>
      </c>
      <c r="I93" s="560"/>
      <c r="J93" s="468">
        <f t="shared" si="67"/>
        <v>2057</v>
      </c>
      <c r="K93" s="490">
        <f t="shared" si="65"/>
        <v>0</v>
      </c>
      <c r="L93" s="469">
        <f t="shared" si="68"/>
        <v>0</v>
      </c>
      <c r="M93" s="683">
        <f t="shared" si="69"/>
        <v>0</v>
      </c>
      <c r="N93" s="470">
        <f t="shared" si="70"/>
        <v>43</v>
      </c>
      <c r="O93" s="468">
        <f t="shared" si="71"/>
        <v>2057</v>
      </c>
      <c r="P93" s="471">
        <f t="shared" si="72"/>
        <v>857155243.37668192</v>
      </c>
      <c r="Q93" s="472">
        <f t="shared" si="73"/>
        <v>857155243.37668192</v>
      </c>
      <c r="R93" s="472">
        <f t="shared" si="74"/>
        <v>19933842.869225159</v>
      </c>
      <c r="S93" s="709">
        <f t="shared" si="75"/>
        <v>2015</v>
      </c>
      <c r="T93" s="470">
        <f t="shared" si="76"/>
        <v>1</v>
      </c>
      <c r="U93" s="612">
        <f t="shared" si="77"/>
        <v>19933842.869225159</v>
      </c>
      <c r="V93" s="464">
        <f t="shared" si="78"/>
        <v>2015</v>
      </c>
      <c r="W93" s="612">
        <f t="shared" si="79"/>
        <v>837221400.50745678</v>
      </c>
      <c r="X93" s="561"/>
      <c r="Y93" s="449"/>
      <c r="Z93" s="449"/>
      <c r="AA93" s="694"/>
      <c r="AB93" s="692"/>
      <c r="AC93" s="692"/>
      <c r="AD93" s="695"/>
      <c r="AE93" s="452"/>
      <c r="AF93" s="571"/>
      <c r="AG93" s="452"/>
      <c r="AH93" s="452"/>
      <c r="AI93" s="453"/>
      <c r="AJ93" s="449"/>
      <c r="AK93" s="453"/>
      <c r="AL93" s="454"/>
      <c r="AM93" s="455"/>
      <c r="AN93" s="456"/>
      <c r="AO93" s="455"/>
      <c r="AP93" s="452"/>
      <c r="AQ93" s="457"/>
      <c r="AR93" s="449"/>
      <c r="AS93" s="449"/>
      <c r="AT93" s="452"/>
      <c r="AU93" s="457"/>
      <c r="AV93" s="449"/>
      <c r="AW93" s="458"/>
      <c r="AX93" s="452"/>
      <c r="AY93" s="457"/>
      <c r="AZ93" s="449"/>
      <c r="BA93" s="459"/>
      <c r="BB93" s="455"/>
      <c r="BC93" s="460"/>
      <c r="BD93" s="460"/>
      <c r="BG93" s="462"/>
    </row>
    <row r="94" spans="1:59" s="461" customFormat="1" ht="18" customHeight="1" x14ac:dyDescent="0.2">
      <c r="A94" s="461" t="str">
        <f t="shared" si="64"/>
        <v>GEDUNG SERBAGUNA KECAMATAN BENAI2016</v>
      </c>
      <c r="B94" s="708"/>
      <c r="C94" s="489"/>
      <c r="D94" s="489"/>
      <c r="E94" s="558"/>
      <c r="F94" s="559">
        <v>2016</v>
      </c>
      <c r="G94" s="619">
        <v>0</v>
      </c>
      <c r="H94" s="464">
        <f t="shared" si="66"/>
        <v>42</v>
      </c>
      <c r="I94" s="560"/>
      <c r="J94" s="468">
        <f t="shared" si="67"/>
        <v>2057</v>
      </c>
      <c r="K94" s="490">
        <f t="shared" si="65"/>
        <v>0</v>
      </c>
      <c r="L94" s="469">
        <f t="shared" si="68"/>
        <v>0</v>
      </c>
      <c r="M94" s="683">
        <f t="shared" si="69"/>
        <v>0</v>
      </c>
      <c r="N94" s="470">
        <f t="shared" si="70"/>
        <v>42</v>
      </c>
      <c r="O94" s="468">
        <f t="shared" si="71"/>
        <v>2057</v>
      </c>
      <c r="P94" s="471">
        <f t="shared" si="72"/>
        <v>837221400.50745678</v>
      </c>
      <c r="Q94" s="472">
        <f t="shared" si="73"/>
        <v>837221400.50745678</v>
      </c>
      <c r="R94" s="472">
        <f t="shared" si="74"/>
        <v>19933842.869225159</v>
      </c>
      <c r="S94" s="709">
        <f t="shared" si="75"/>
        <v>2016</v>
      </c>
      <c r="T94" s="470">
        <f t="shared" si="76"/>
        <v>1</v>
      </c>
      <c r="U94" s="612">
        <f t="shared" si="77"/>
        <v>19933842.869225159</v>
      </c>
      <c r="V94" s="464">
        <f t="shared" si="78"/>
        <v>2016</v>
      </c>
      <c r="W94" s="612">
        <f t="shared" si="79"/>
        <v>817287557.63823164</v>
      </c>
      <c r="X94" s="561"/>
      <c r="Y94" s="449"/>
      <c r="Z94" s="449"/>
      <c r="AA94" s="554" t="s">
        <v>4179</v>
      </c>
      <c r="AB94" s="452"/>
      <c r="AC94" s="452"/>
      <c r="AD94" s="566"/>
      <c r="AE94" s="452"/>
      <c r="AF94" s="571"/>
      <c r="AG94" s="452"/>
      <c r="AH94" s="452"/>
      <c r="AI94" s="453"/>
      <c r="AJ94" s="449"/>
      <c r="AK94" s="453"/>
      <c r="AL94" s="454"/>
      <c r="AM94" s="455"/>
      <c r="AN94" s="456"/>
      <c r="AO94" s="455"/>
      <c r="AP94" s="452"/>
      <c r="AQ94" s="457"/>
      <c r="AR94" s="449"/>
      <c r="AS94" s="449"/>
      <c r="AT94" s="452"/>
      <c r="AU94" s="457"/>
      <c r="AV94" s="449"/>
      <c r="AW94" s="458"/>
      <c r="AX94" s="452"/>
      <c r="AY94" s="457"/>
      <c r="AZ94" s="449"/>
      <c r="BA94" s="459"/>
      <c r="BB94" s="455"/>
      <c r="BC94" s="460"/>
      <c r="BD94" s="460"/>
      <c r="BG94" s="462"/>
    </row>
    <row r="95" spans="1:59" s="461" customFormat="1" ht="18" customHeight="1" x14ac:dyDescent="0.2">
      <c r="A95" s="461" t="str">
        <f t="shared" si="64"/>
        <v>GEDUNG SERBAGUNA KECAMATAN BENAI2017</v>
      </c>
      <c r="B95" s="708"/>
      <c r="C95" s="489"/>
      <c r="D95" s="489"/>
      <c r="E95" s="558"/>
      <c r="F95" s="559">
        <v>2017</v>
      </c>
      <c r="G95" s="619">
        <v>0</v>
      </c>
      <c r="H95" s="464">
        <f t="shared" si="66"/>
        <v>41</v>
      </c>
      <c r="I95" s="560"/>
      <c r="J95" s="468">
        <f t="shared" si="67"/>
        <v>2057</v>
      </c>
      <c r="K95" s="490">
        <f t="shared" si="65"/>
        <v>0</v>
      </c>
      <c r="L95" s="469">
        <f t="shared" si="68"/>
        <v>0</v>
      </c>
      <c r="M95" s="683">
        <f t="shared" si="69"/>
        <v>0</v>
      </c>
      <c r="N95" s="470">
        <f t="shared" si="70"/>
        <v>41</v>
      </c>
      <c r="O95" s="468">
        <f t="shared" si="71"/>
        <v>2057</v>
      </c>
      <c r="P95" s="471">
        <f t="shared" si="72"/>
        <v>817287557.63823164</v>
      </c>
      <c r="Q95" s="472">
        <f t="shared" si="73"/>
        <v>817287557.63823164</v>
      </c>
      <c r="R95" s="472">
        <f t="shared" si="74"/>
        <v>19933842.869225159</v>
      </c>
      <c r="S95" s="709">
        <f t="shared" si="75"/>
        <v>2017</v>
      </c>
      <c r="T95" s="470">
        <f t="shared" si="76"/>
        <v>1</v>
      </c>
      <c r="U95" s="612">
        <f t="shared" si="77"/>
        <v>19933842.869225159</v>
      </c>
      <c r="V95" s="464">
        <f t="shared" si="78"/>
        <v>2017</v>
      </c>
      <c r="W95" s="612">
        <f t="shared" si="79"/>
        <v>797353714.76900649</v>
      </c>
      <c r="X95" s="561"/>
      <c r="Y95" s="449"/>
      <c r="Z95" s="449"/>
      <c r="AA95" s="554"/>
      <c r="AB95" s="452"/>
      <c r="AC95" s="452"/>
      <c r="AD95" s="566"/>
      <c r="AE95" s="452"/>
      <c r="AF95" s="571"/>
      <c r="AG95" s="452"/>
      <c r="AH95" s="452"/>
      <c r="AI95" s="453"/>
      <c r="AJ95" s="449"/>
      <c r="AK95" s="453"/>
      <c r="AL95" s="454"/>
      <c r="AM95" s="455"/>
      <c r="AN95" s="456"/>
      <c r="AO95" s="455"/>
      <c r="AP95" s="452"/>
      <c r="AQ95" s="457"/>
      <c r="AR95" s="449"/>
      <c r="AS95" s="449"/>
      <c r="AT95" s="452"/>
      <c r="AU95" s="457"/>
      <c r="AV95" s="449"/>
      <c r="AW95" s="458"/>
      <c r="AX95" s="452"/>
      <c r="AY95" s="457"/>
      <c r="AZ95" s="449"/>
      <c r="BA95" s="459"/>
      <c r="BB95" s="455"/>
      <c r="BC95" s="460"/>
      <c r="BD95" s="460"/>
      <c r="BG95" s="462"/>
    </row>
    <row r="96" spans="1:59" s="486" customFormat="1" ht="18" customHeight="1" x14ac:dyDescent="0.2">
      <c r="A96" s="461" t="str">
        <f t="shared" si="64"/>
        <v>GEDUNG SERBAGUNA KECAMATAN BENAI2018</v>
      </c>
      <c r="B96" s="708"/>
      <c r="C96" s="463"/>
      <c r="D96" s="489"/>
      <c r="E96" s="465"/>
      <c r="F96" s="466">
        <v>2018</v>
      </c>
      <c r="G96" s="620">
        <v>0</v>
      </c>
      <c r="H96" s="464">
        <f t="shared" si="66"/>
        <v>40</v>
      </c>
      <c r="I96" s="560"/>
      <c r="J96" s="468">
        <f t="shared" si="67"/>
        <v>2057</v>
      </c>
      <c r="K96" s="490">
        <f t="shared" si="65"/>
        <v>0</v>
      </c>
      <c r="L96" s="469">
        <f t="shared" si="68"/>
        <v>0</v>
      </c>
      <c r="M96" s="683">
        <f t="shared" si="69"/>
        <v>0</v>
      </c>
      <c r="N96" s="470">
        <f t="shared" si="70"/>
        <v>40</v>
      </c>
      <c r="O96" s="468">
        <f t="shared" si="71"/>
        <v>2057</v>
      </c>
      <c r="P96" s="471">
        <f t="shared" si="72"/>
        <v>797353714.76900649</v>
      </c>
      <c r="Q96" s="472">
        <f t="shared" si="73"/>
        <v>797353714.76900649</v>
      </c>
      <c r="R96" s="472">
        <f t="shared" si="74"/>
        <v>19933842.869225159</v>
      </c>
      <c r="S96" s="709">
        <f t="shared" si="75"/>
        <v>2018</v>
      </c>
      <c r="T96" s="470">
        <f t="shared" si="76"/>
        <v>1</v>
      </c>
      <c r="U96" s="612">
        <f t="shared" si="77"/>
        <v>19933842.869225159</v>
      </c>
      <c r="V96" s="464">
        <f t="shared" si="78"/>
        <v>2018</v>
      </c>
      <c r="W96" s="612">
        <f t="shared" si="79"/>
        <v>777419871.89978135</v>
      </c>
      <c r="X96" s="473"/>
      <c r="Y96" s="474"/>
      <c r="Z96" s="449"/>
      <c r="AA96" s="475" t="s">
        <v>4180</v>
      </c>
      <c r="AB96" s="476"/>
      <c r="AC96" s="476"/>
      <c r="AD96" s="567">
        <f>G101</f>
        <v>1012320804.6332581</v>
      </c>
      <c r="AE96" s="476"/>
      <c r="AF96" s="568"/>
      <c r="AG96" s="476"/>
      <c r="AH96" s="476"/>
      <c r="AI96" s="477"/>
      <c r="AJ96" s="478"/>
      <c r="AK96" s="479"/>
      <c r="AL96" s="480"/>
      <c r="AM96" s="474"/>
      <c r="AN96" s="481"/>
      <c r="AO96" s="474"/>
      <c r="AP96" s="476"/>
      <c r="AQ96" s="482"/>
      <c r="AR96" s="478"/>
      <c r="AS96" s="478"/>
      <c r="AT96" s="476"/>
      <c r="AU96" s="482"/>
      <c r="AV96" s="478"/>
      <c r="AW96" s="483"/>
      <c r="AX96" s="476"/>
      <c r="AY96" s="482"/>
      <c r="AZ96" s="478"/>
      <c r="BA96" s="484"/>
      <c r="BB96" s="474"/>
      <c r="BC96" s="485"/>
      <c r="BD96" s="485"/>
      <c r="BG96" s="487"/>
    </row>
    <row r="97" spans="1:59" s="486" customFormat="1" ht="18" customHeight="1" x14ac:dyDescent="0.2">
      <c r="A97" s="461" t="str">
        <f t="shared" si="64"/>
        <v>GEDUNG SERBAGUNA KECAMATAN BENAI2019</v>
      </c>
      <c r="B97" s="708"/>
      <c r="C97" s="488"/>
      <c r="D97" s="489"/>
      <c r="E97" s="465"/>
      <c r="F97" s="466">
        <v>2019</v>
      </c>
      <c r="G97" s="620">
        <v>0</v>
      </c>
      <c r="H97" s="464">
        <f>IF(N96-(F97-F96)&lt;=0,0,(N96-(F97-F96)))</f>
        <v>39</v>
      </c>
      <c r="I97" s="560"/>
      <c r="J97" s="468">
        <f>(F97+N97)-1</f>
        <v>2057</v>
      </c>
      <c r="K97" s="490">
        <f>IF(G97=0,0,IF(H97=50,100%,G97/W96))</f>
        <v>0</v>
      </c>
      <c r="L97" s="469">
        <f>IF(K97=0%,0,IF(K97&lt;=25%,5,IF(K97&lt;=50%,10,IF(K97&lt;=75%,15,50))))</f>
        <v>0</v>
      </c>
      <c r="M97" s="683">
        <f>IF(OR(AND(ISBLANK(E97),ISBLANK(G97)),ISTEXT(E97),ISTEXT(G97)),"",IF(H97+L97&gt;$H$27,$H$27-H97,L97))</f>
        <v>0</v>
      </c>
      <c r="N97" s="470">
        <f>IF(OR(AND(ISBLANK(F97),ISBLANK(G97)),ISTEXT(F97),ISTEXT(G97)),"",H97+M97)</f>
        <v>39</v>
      </c>
      <c r="O97" s="468">
        <f>(F97+N97)-1</f>
        <v>2057</v>
      </c>
      <c r="P97" s="471">
        <f>W96</f>
        <v>777419871.89978135</v>
      </c>
      <c r="Q97" s="472">
        <f>P97+G97</f>
        <v>777419871.89978135</v>
      </c>
      <c r="R97" s="472">
        <f>IF(L97=0,R96,Q97/N97)</f>
        <v>19933842.869225159</v>
      </c>
      <c r="S97" s="1189">
        <f>F97</f>
        <v>2019</v>
      </c>
      <c r="T97" s="470">
        <f>S97-S96</f>
        <v>1</v>
      </c>
      <c r="U97" s="612">
        <f>R97*T97</f>
        <v>19933842.869225159</v>
      </c>
      <c r="V97" s="464">
        <f>F97</f>
        <v>2019</v>
      </c>
      <c r="W97" s="612">
        <f>IF(OR(AND(ISBLANK(E97),ISBLANK(G97)),ISTEXT(E97),ISTEXT(G97)),"",Q97-U97)</f>
        <v>757486029.0305562</v>
      </c>
      <c r="X97" s="473"/>
      <c r="Y97" s="478"/>
      <c r="Z97" s="449"/>
      <c r="AA97" s="475" t="s">
        <v>4181</v>
      </c>
      <c r="AB97" s="491"/>
      <c r="AC97" s="491"/>
      <c r="AD97" s="567">
        <f>U101</f>
        <v>254834775.60270184</v>
      </c>
      <c r="AE97" s="491"/>
      <c r="AF97" s="568"/>
      <c r="AG97" s="491"/>
      <c r="AH97" s="491"/>
      <c r="AI97" s="477"/>
      <c r="AJ97" s="478"/>
      <c r="AK97" s="479"/>
      <c r="AL97" s="480"/>
      <c r="AM97" s="474"/>
      <c r="AN97" s="481"/>
      <c r="AO97" s="474"/>
      <c r="AP97" s="476"/>
      <c r="AQ97" s="482"/>
      <c r="AR97" s="478"/>
      <c r="AS97" s="478"/>
      <c r="AT97" s="476"/>
      <c r="AU97" s="482"/>
      <c r="AV97" s="478"/>
      <c r="AW97" s="483"/>
      <c r="AX97" s="476"/>
      <c r="AY97" s="482"/>
      <c r="AZ97" s="478"/>
      <c r="BA97" s="484"/>
      <c r="BB97" s="474"/>
      <c r="BC97" s="485"/>
      <c r="BD97" s="485"/>
      <c r="BG97" s="487"/>
    </row>
    <row r="98" spans="1:59" s="486" customFormat="1" ht="18" customHeight="1" x14ac:dyDescent="0.2">
      <c r="A98" s="461" t="str">
        <f t="shared" si="64"/>
        <v>GEDUNG SERBAGUNA KECAMATAN BENAI</v>
      </c>
      <c r="B98" s="708"/>
      <c r="C98" s="463"/>
      <c r="D98" s="464"/>
      <c r="E98" s="465"/>
      <c r="F98" s="466"/>
      <c r="G98" s="620"/>
      <c r="H98" s="464"/>
      <c r="I98" s="467"/>
      <c r="J98" s="468"/>
      <c r="K98" s="490"/>
      <c r="L98" s="469"/>
      <c r="M98" s="683"/>
      <c r="N98" s="470"/>
      <c r="O98" s="468"/>
      <c r="P98" s="471"/>
      <c r="Q98" s="472"/>
      <c r="R98" s="472"/>
      <c r="S98" s="629"/>
      <c r="T98" s="470"/>
      <c r="U98" s="612"/>
      <c r="V98" s="464"/>
      <c r="W98" s="612"/>
      <c r="X98" s="473"/>
      <c r="Y98" s="478"/>
      <c r="Z98" s="449"/>
      <c r="AA98" s="492" t="s">
        <v>4182</v>
      </c>
      <c r="AB98" s="476"/>
      <c r="AC98" s="476"/>
      <c r="AD98" s="568">
        <f>AD96-AD97</f>
        <v>757486029.0305562</v>
      </c>
      <c r="AE98" s="476"/>
      <c r="AF98" s="568"/>
      <c r="AG98" s="476"/>
      <c r="AH98" s="476"/>
      <c r="AI98" s="477"/>
      <c r="AJ98" s="478"/>
      <c r="AK98" s="479"/>
      <c r="AL98" s="480"/>
      <c r="AM98" s="474"/>
      <c r="AN98" s="481"/>
      <c r="AO98" s="474"/>
      <c r="AP98" s="476"/>
      <c r="AQ98" s="482"/>
      <c r="AR98" s="478"/>
      <c r="AS98" s="478"/>
      <c r="AT98" s="476"/>
      <c r="AU98" s="482"/>
      <c r="AV98" s="478"/>
      <c r="AW98" s="483"/>
      <c r="AX98" s="476"/>
      <c r="AY98" s="482"/>
      <c r="AZ98" s="478"/>
      <c r="BA98" s="484"/>
      <c r="BB98" s="474"/>
      <c r="BC98" s="485"/>
      <c r="BD98" s="485"/>
      <c r="BG98" s="487"/>
    </row>
    <row r="99" spans="1:59" s="486" customFormat="1" ht="18" customHeight="1" x14ac:dyDescent="0.2">
      <c r="B99" s="687"/>
      <c r="C99" s="463"/>
      <c r="D99" s="464"/>
      <c r="E99" s="465"/>
      <c r="F99" s="466"/>
      <c r="G99" s="620"/>
      <c r="H99" s="464"/>
      <c r="I99" s="467"/>
      <c r="J99" s="468"/>
      <c r="K99" s="490"/>
      <c r="L99" s="469"/>
      <c r="M99" s="683"/>
      <c r="N99" s="470"/>
      <c r="O99" s="468"/>
      <c r="P99" s="471"/>
      <c r="Q99" s="472"/>
      <c r="R99" s="472"/>
      <c r="S99" s="629"/>
      <c r="T99" s="470"/>
      <c r="U99" s="612"/>
      <c r="V99" s="464"/>
      <c r="W99" s="612"/>
      <c r="X99" s="473"/>
      <c r="Y99" s="478"/>
      <c r="Z99" s="449"/>
      <c r="AA99" s="475" t="s">
        <v>4183</v>
      </c>
      <c r="AB99" s="476"/>
      <c r="AC99" s="476"/>
      <c r="AD99" s="567">
        <f>AD98-W101</f>
        <v>0</v>
      </c>
      <c r="AE99" s="476"/>
      <c r="AF99" s="568"/>
      <c r="AG99" s="476"/>
      <c r="AH99" s="476"/>
      <c r="AI99" s="477"/>
      <c r="AJ99" s="478"/>
      <c r="AK99" s="479"/>
      <c r="AL99" s="480"/>
      <c r="AM99" s="474"/>
      <c r="AN99" s="481"/>
      <c r="AO99" s="474"/>
      <c r="AP99" s="476"/>
      <c r="AQ99" s="482"/>
      <c r="AR99" s="478"/>
      <c r="AS99" s="478"/>
      <c r="AT99" s="476"/>
      <c r="AU99" s="482"/>
      <c r="AV99" s="478"/>
      <c r="AW99" s="483"/>
      <c r="AX99" s="476"/>
      <c r="AY99" s="482"/>
      <c r="AZ99" s="478"/>
      <c r="BA99" s="484"/>
      <c r="BB99" s="474"/>
      <c r="BC99" s="485"/>
      <c r="BD99" s="485"/>
      <c r="BG99" s="487"/>
    </row>
    <row r="100" spans="1:59" s="486" customFormat="1" ht="18" customHeight="1" x14ac:dyDescent="0.2">
      <c r="B100" s="687"/>
      <c r="C100" s="494"/>
      <c r="D100" s="464"/>
      <c r="E100" s="465"/>
      <c r="F100" s="466"/>
      <c r="G100" s="620"/>
      <c r="H100" s="464"/>
      <c r="I100" s="467"/>
      <c r="J100" s="468"/>
      <c r="K100" s="490"/>
      <c r="L100" s="469"/>
      <c r="M100" s="683"/>
      <c r="N100" s="470"/>
      <c r="O100" s="468"/>
      <c r="P100" s="471"/>
      <c r="Q100" s="472"/>
      <c r="R100" s="472"/>
      <c r="S100" s="629"/>
      <c r="T100" s="470"/>
      <c r="U100" s="612"/>
      <c r="V100" s="464"/>
      <c r="W100" s="612"/>
      <c r="X100" s="473"/>
      <c r="Y100" s="478"/>
      <c r="Z100" s="449"/>
      <c r="AA100" s="495"/>
      <c r="AB100" s="496"/>
      <c r="AC100" s="496"/>
      <c r="AD100" s="569"/>
      <c r="AE100" s="476"/>
      <c r="AF100" s="568"/>
      <c r="AG100" s="476"/>
      <c r="AH100" s="476"/>
      <c r="AI100" s="477"/>
      <c r="AJ100" s="478"/>
      <c r="AK100" s="479"/>
      <c r="AL100" s="480"/>
      <c r="AM100" s="474"/>
      <c r="AN100" s="481"/>
      <c r="AO100" s="474"/>
      <c r="AP100" s="476"/>
      <c r="AQ100" s="482"/>
      <c r="AR100" s="478"/>
      <c r="AS100" s="478"/>
      <c r="AT100" s="476"/>
      <c r="AU100" s="482"/>
      <c r="AV100" s="478"/>
      <c r="AW100" s="483"/>
      <c r="AX100" s="476"/>
      <c r="AY100" s="482"/>
      <c r="AZ100" s="478"/>
      <c r="BA100" s="484"/>
      <c r="BB100" s="474"/>
      <c r="BC100" s="485"/>
      <c r="BD100" s="485"/>
      <c r="BG100" s="487"/>
    </row>
    <row r="101" spans="1:59" s="526" customFormat="1" ht="18" customHeight="1" x14ac:dyDescent="0.2">
      <c r="B101" s="1956" t="s">
        <v>4184</v>
      </c>
      <c r="C101" s="1957"/>
      <c r="D101" s="1957"/>
      <c r="E101" s="1957"/>
      <c r="F101" s="1958"/>
      <c r="G101" s="621">
        <f>SUM(G89:G100)</f>
        <v>1012320804.6332581</v>
      </c>
      <c r="H101" s="505"/>
      <c r="I101" s="506"/>
      <c r="J101" s="507"/>
      <c r="K101" s="507"/>
      <c r="L101" s="505"/>
      <c r="M101" s="684"/>
      <c r="N101" s="508"/>
      <c r="O101" s="507"/>
      <c r="P101" s="509"/>
      <c r="Q101" s="510"/>
      <c r="R101" s="511"/>
      <c r="S101" s="512"/>
      <c r="T101" s="512"/>
      <c r="U101" s="610">
        <f>SUM(U89:U100)</f>
        <v>254834775.60270184</v>
      </c>
      <c r="V101" s="513"/>
      <c r="W101" s="610">
        <f>G101-U101</f>
        <v>757486029.0305562</v>
      </c>
      <c r="X101" s="514"/>
      <c r="Y101" s="515"/>
      <c r="Z101" s="515"/>
      <c r="AA101" s="515"/>
      <c r="AB101" s="515"/>
      <c r="AC101" s="515"/>
      <c r="AD101" s="570"/>
      <c r="AE101" s="515"/>
      <c r="AF101" s="570"/>
      <c r="AG101" s="515"/>
      <c r="AH101" s="515"/>
      <c r="AI101" s="516"/>
      <c r="AJ101" s="517"/>
      <c r="AK101" s="518"/>
      <c r="AL101" s="519"/>
      <c r="AM101" s="520"/>
      <c r="AN101" s="521"/>
      <c r="AO101" s="520"/>
      <c r="AP101" s="515"/>
      <c r="AQ101" s="522"/>
      <c r="AR101" s="517"/>
      <c r="AS101" s="517"/>
      <c r="AT101" s="515"/>
      <c r="AU101" s="522"/>
      <c r="AV101" s="517"/>
      <c r="AW101" s="523"/>
      <c r="AX101" s="515"/>
      <c r="AY101" s="522"/>
      <c r="AZ101" s="517"/>
      <c r="BA101" s="524"/>
      <c r="BB101" s="520"/>
      <c r="BC101" s="525"/>
      <c r="BD101" s="525"/>
      <c r="BG101" s="527"/>
    </row>
    <row r="102" spans="1:59" ht="15" customHeight="1" x14ac:dyDescent="0.2">
      <c r="U102" s="614"/>
    </row>
    <row r="103" spans="1:59" ht="15" customHeight="1" x14ac:dyDescent="0.2">
      <c r="U103" s="614"/>
    </row>
    <row r="104" spans="1:59" s="422" customFormat="1" ht="18" customHeight="1" x14ac:dyDescent="0.2">
      <c r="B104" s="688" t="s">
        <v>4205</v>
      </c>
      <c r="C104" s="556"/>
      <c r="D104" s="553" t="s">
        <v>2987</v>
      </c>
      <c r="E104" s="553"/>
      <c r="F104" s="421"/>
      <c r="G104" s="611"/>
      <c r="I104" s="423"/>
      <c r="J104" s="424"/>
      <c r="K104" s="424"/>
      <c r="M104" s="680"/>
      <c r="U104" s="611"/>
      <c r="W104" s="611"/>
      <c r="Y104" s="425"/>
      <c r="Z104" s="425"/>
      <c r="AA104" s="425"/>
      <c r="AB104" s="425"/>
      <c r="AC104" s="425"/>
      <c r="AD104" s="563"/>
      <c r="AE104" s="425"/>
      <c r="AF104" s="563"/>
      <c r="AG104" s="425"/>
      <c r="AH104" s="425"/>
      <c r="AI104" s="425"/>
      <c r="AJ104" s="425"/>
      <c r="AK104" s="425"/>
      <c r="AL104" s="425"/>
      <c r="AM104" s="425"/>
      <c r="AN104" s="425"/>
      <c r="AO104" s="425"/>
      <c r="AP104" s="425"/>
      <c r="AQ104" s="425"/>
      <c r="AR104" s="425"/>
      <c r="AS104" s="425"/>
      <c r="AT104" s="425"/>
      <c r="AU104" s="425"/>
      <c r="AV104" s="425"/>
      <c r="AW104" s="425"/>
      <c r="AX104" s="425"/>
      <c r="AY104" s="425"/>
      <c r="AZ104" s="425"/>
      <c r="BA104" s="425"/>
      <c r="BB104" s="425"/>
    </row>
    <row r="105" spans="1:59" s="431" customFormat="1" ht="18" customHeight="1" x14ac:dyDescent="0.2">
      <c r="B105" s="1968" t="s">
        <v>5</v>
      </c>
      <c r="C105" s="1968" t="s">
        <v>2280</v>
      </c>
      <c r="D105" s="1968" t="s">
        <v>4157</v>
      </c>
      <c r="E105" s="1968" t="s">
        <v>4158</v>
      </c>
      <c r="F105" s="1968"/>
      <c r="G105" s="1969" t="s">
        <v>4159</v>
      </c>
      <c r="H105" s="1355" t="s">
        <v>4160</v>
      </c>
      <c r="I105" s="1355"/>
      <c r="J105" s="1968" t="s">
        <v>4161</v>
      </c>
      <c r="K105" s="1964" t="s">
        <v>4162</v>
      </c>
      <c r="L105" s="1968" t="s">
        <v>4163</v>
      </c>
      <c r="M105" s="1971" t="s">
        <v>4164</v>
      </c>
      <c r="N105" s="1962" t="s">
        <v>4165</v>
      </c>
      <c r="O105" s="1968" t="s">
        <v>4166</v>
      </c>
      <c r="P105" s="1972" t="s">
        <v>4167</v>
      </c>
      <c r="Q105" s="1973"/>
      <c r="R105" s="631" t="s">
        <v>4168</v>
      </c>
      <c r="S105" s="1972" t="s">
        <v>4169</v>
      </c>
      <c r="T105" s="1974"/>
      <c r="U105" s="1973"/>
      <c r="V105" s="1975" t="s">
        <v>4170</v>
      </c>
      <c r="W105" s="1975"/>
      <c r="X105" s="1960" t="s">
        <v>4171</v>
      </c>
      <c r="Y105" s="1959"/>
      <c r="Z105" s="628"/>
      <c r="AA105" s="426"/>
      <c r="AB105" s="426"/>
      <c r="AC105" s="426"/>
      <c r="AD105" s="564"/>
      <c r="AE105" s="426"/>
      <c r="AF105" s="564"/>
      <c r="AG105" s="426"/>
      <c r="AH105" s="426"/>
      <c r="AI105" s="427"/>
      <c r="AJ105" s="427"/>
      <c r="AK105" s="427"/>
      <c r="AL105" s="427"/>
      <c r="AM105" s="428"/>
      <c r="AN105" s="427"/>
      <c r="AO105" s="427"/>
      <c r="AP105" s="426"/>
      <c r="AQ105" s="427"/>
      <c r="AR105" s="427"/>
      <c r="AS105" s="427"/>
      <c r="AT105" s="426"/>
      <c r="AU105" s="427"/>
      <c r="AV105" s="427"/>
      <c r="AW105" s="427"/>
      <c r="AX105" s="426"/>
      <c r="AY105" s="427"/>
      <c r="AZ105" s="427"/>
      <c r="BA105" s="427"/>
      <c r="BB105" s="429"/>
      <c r="BC105" s="430"/>
      <c r="BD105" s="430"/>
    </row>
    <row r="106" spans="1:59" s="431" customFormat="1" ht="18" customHeight="1" x14ac:dyDescent="0.2">
      <c r="B106" s="1968"/>
      <c r="C106" s="1968"/>
      <c r="D106" s="1968"/>
      <c r="E106" s="1968"/>
      <c r="F106" s="1968"/>
      <c r="G106" s="1969"/>
      <c r="H106" s="1355"/>
      <c r="I106" s="1355"/>
      <c r="J106" s="1968"/>
      <c r="K106" s="1970"/>
      <c r="L106" s="1968"/>
      <c r="M106" s="1971"/>
      <c r="N106" s="1963"/>
      <c r="O106" s="1968"/>
      <c r="P106" s="1960" t="s">
        <v>4172</v>
      </c>
      <c r="Q106" s="1960" t="s">
        <v>4173</v>
      </c>
      <c r="R106" s="1962" t="s">
        <v>4159</v>
      </c>
      <c r="S106" s="1962" t="s">
        <v>4174</v>
      </c>
      <c r="T106" s="1964" t="s">
        <v>4175</v>
      </c>
      <c r="U106" s="1966" t="s">
        <v>4159</v>
      </c>
      <c r="V106" s="1975"/>
      <c r="W106" s="1975"/>
      <c r="X106" s="1976"/>
      <c r="Y106" s="1959"/>
      <c r="Z106" s="628"/>
      <c r="AA106" s="426"/>
      <c r="AB106" s="426"/>
      <c r="AC106" s="426"/>
      <c r="AD106" s="564"/>
      <c r="AE106" s="426"/>
      <c r="AF106" s="564"/>
      <c r="AG106" s="426"/>
      <c r="AH106" s="426"/>
      <c r="AI106" s="427"/>
      <c r="AJ106" s="427"/>
      <c r="AK106" s="426"/>
      <c r="AL106" s="427"/>
      <c r="AM106" s="428"/>
      <c r="AN106" s="427"/>
      <c r="AO106" s="427"/>
      <c r="AP106" s="432"/>
      <c r="AQ106" s="427"/>
      <c r="AR106" s="427"/>
      <c r="AS106" s="427"/>
      <c r="AT106" s="432"/>
      <c r="AU106" s="427"/>
      <c r="AV106" s="427"/>
      <c r="AW106" s="427"/>
      <c r="AX106" s="432"/>
      <c r="AY106" s="427"/>
      <c r="AZ106" s="427"/>
      <c r="BA106" s="427"/>
      <c r="BB106" s="429"/>
      <c r="BC106" s="430"/>
      <c r="BD106" s="430"/>
    </row>
    <row r="107" spans="1:59" s="431" customFormat="1" ht="21.75" customHeight="1" x14ac:dyDescent="0.2">
      <c r="B107" s="1968"/>
      <c r="C107" s="1968"/>
      <c r="D107" s="1968"/>
      <c r="E107" s="433" t="s">
        <v>4176</v>
      </c>
      <c r="F107" s="434" t="s">
        <v>2288</v>
      </c>
      <c r="G107" s="1969"/>
      <c r="H107" s="1355" t="s">
        <v>2288</v>
      </c>
      <c r="I107" s="1355" t="s">
        <v>4177</v>
      </c>
      <c r="J107" s="1968"/>
      <c r="K107" s="1965"/>
      <c r="L107" s="435" t="s">
        <v>2288</v>
      </c>
      <c r="M107" s="681" t="s">
        <v>2288</v>
      </c>
      <c r="N107" s="630" t="s">
        <v>2288</v>
      </c>
      <c r="O107" s="1968"/>
      <c r="P107" s="1961"/>
      <c r="Q107" s="1961"/>
      <c r="R107" s="1963"/>
      <c r="S107" s="1963"/>
      <c r="T107" s="1965"/>
      <c r="U107" s="1967"/>
      <c r="V107" s="630" t="s">
        <v>4178</v>
      </c>
      <c r="W107" s="632" t="s">
        <v>4159</v>
      </c>
      <c r="X107" s="1961"/>
      <c r="Y107" s="436"/>
      <c r="Z107" s="436"/>
      <c r="AA107" s="426"/>
      <c r="AB107" s="426"/>
      <c r="AC107" s="426"/>
      <c r="AD107" s="564"/>
      <c r="AE107" s="426"/>
      <c r="AF107" s="564"/>
      <c r="AG107" s="426"/>
      <c r="AH107" s="426"/>
      <c r="AI107" s="427"/>
      <c r="AJ107" s="432"/>
      <c r="AK107" s="432"/>
      <c r="AL107" s="427"/>
      <c r="AM107" s="428"/>
      <c r="AN107" s="432"/>
      <c r="AO107" s="427"/>
      <c r="AP107" s="432"/>
      <c r="AQ107" s="432"/>
      <c r="AR107" s="427"/>
      <c r="AS107" s="427"/>
      <c r="AT107" s="432"/>
      <c r="AU107" s="432"/>
      <c r="AV107" s="427"/>
      <c r="AW107" s="427"/>
      <c r="AX107" s="432"/>
      <c r="AY107" s="432"/>
      <c r="AZ107" s="427"/>
      <c r="BA107" s="427"/>
      <c r="BB107" s="429"/>
      <c r="BC107" s="430"/>
      <c r="BD107" s="430"/>
    </row>
    <row r="108" spans="1:59" s="461" customFormat="1" ht="18" customHeight="1" x14ac:dyDescent="0.2">
      <c r="A108" s="461" t="str">
        <f>$D$104&amp;S108</f>
        <v>GEDUNG SERBAGUNA KECAMATAN LOGAS TANAH DARAT2007</v>
      </c>
      <c r="B108" s="689">
        <v>1</v>
      </c>
      <c r="C108" s="597" t="s">
        <v>1029</v>
      </c>
      <c r="D108" s="597" t="s">
        <v>1772</v>
      </c>
      <c r="E108" s="598"/>
      <c r="F108" s="599">
        <v>2007</v>
      </c>
      <c r="G108" s="626">
        <v>781433058.48000002</v>
      </c>
      <c r="H108" s="600">
        <f>VLOOKUP(LEFT(D108,8),UE,4)</f>
        <v>50</v>
      </c>
      <c r="I108" s="601"/>
      <c r="J108" s="602">
        <f>(F108+N108)-1</f>
        <v>2056</v>
      </c>
      <c r="K108" s="603"/>
      <c r="L108" s="600"/>
      <c r="M108" s="685">
        <f>IF(H108+L108&gt;$H108,$H108-H108,L108)</f>
        <v>0</v>
      </c>
      <c r="N108" s="604">
        <f>H108+M108</f>
        <v>50</v>
      </c>
      <c r="O108" s="602">
        <f>(F108+N108)-1</f>
        <v>2056</v>
      </c>
      <c r="P108" s="605">
        <f>G108</f>
        <v>781433058.48000002</v>
      </c>
      <c r="Q108" s="606">
        <v>0</v>
      </c>
      <c r="R108" s="606">
        <f>P108/N108</f>
        <v>15628661.169600001</v>
      </c>
      <c r="S108" s="607">
        <f>F108</f>
        <v>2007</v>
      </c>
      <c r="T108" s="608">
        <v>1</v>
      </c>
      <c r="U108" s="615">
        <f>R108*T108</f>
        <v>15628661.169600001</v>
      </c>
      <c r="V108" s="602">
        <f>F108</f>
        <v>2007</v>
      </c>
      <c r="W108" s="618">
        <f>IF(OR(AND(ISBLANK(E108),ISBLANK(G108)),ISTEXT(E108),ISTEXT(G108)),"",G108-R108)</f>
        <v>765804397.31040001</v>
      </c>
      <c r="X108" s="609"/>
      <c r="Y108" s="449"/>
      <c r="Z108" s="449"/>
      <c r="AA108" s="693"/>
      <c r="AB108" s="452"/>
      <c r="AC108" s="452"/>
      <c r="AD108" s="571"/>
      <c r="AE108" s="452"/>
      <c r="AF108" s="571"/>
      <c r="AG108" s="452"/>
      <c r="AH108" s="452"/>
      <c r="AI108" s="453"/>
      <c r="AJ108" s="449"/>
      <c r="AK108" s="453"/>
      <c r="AL108" s="454"/>
      <c r="AM108" s="455"/>
      <c r="AN108" s="456"/>
      <c r="AO108" s="455"/>
      <c r="AP108" s="452"/>
      <c r="AQ108" s="457"/>
      <c r="AR108" s="449"/>
      <c r="AS108" s="449"/>
      <c r="AT108" s="452"/>
      <c r="AU108" s="457"/>
      <c r="AV108" s="449"/>
      <c r="AW108" s="458"/>
      <c r="AX108" s="452"/>
      <c r="AY108" s="457"/>
      <c r="AZ108" s="449"/>
      <c r="BA108" s="459"/>
      <c r="BB108" s="455"/>
      <c r="BC108" s="460"/>
      <c r="BD108" s="460"/>
      <c r="BG108" s="462"/>
    </row>
    <row r="109" spans="1:59" s="461" customFormat="1" ht="18" customHeight="1" x14ac:dyDescent="0.2">
      <c r="A109" s="461" t="str">
        <f t="shared" ref="A109:A116" si="80">$D$104&amp;S109</f>
        <v>GEDUNG SERBAGUNA KECAMATAN LOGAS TANAH DARAT2008</v>
      </c>
      <c r="B109" s="708">
        <v>2</v>
      </c>
      <c r="C109" s="489" t="s">
        <v>1052</v>
      </c>
      <c r="D109" s="489" t="s">
        <v>1772</v>
      </c>
      <c r="E109" s="558"/>
      <c r="F109" s="559">
        <v>2008</v>
      </c>
      <c r="G109" s="619">
        <v>409569091.36122507</v>
      </c>
      <c r="H109" s="464">
        <f>IF(N108-(F109-F108)&lt;=0,0,(N108-(F109-F108)))</f>
        <v>49</v>
      </c>
      <c r="I109" s="560"/>
      <c r="J109" s="468">
        <f>(F109+N109)-1</f>
        <v>2057</v>
      </c>
      <c r="K109" s="490">
        <f t="shared" ref="K109:K115" si="81">IF(G109=0,0,IF(H109=50,100%,G109/W108))</f>
        <v>0.53482206788010422</v>
      </c>
      <c r="L109" s="469">
        <f>IF(K109=0%,0,IF(K109&lt;=25%,5,IF(K109&lt;=50%,10,IF(K109&lt;=75%,15,50))))</f>
        <v>15</v>
      </c>
      <c r="M109" s="683">
        <f>IF(OR(AND(ISBLANK(E109),ISBLANK(G109)),ISTEXT(E109),ISTEXT(G109)),"",IF(H109+L109&gt;$H$108,$H$108-H109,L109))</f>
        <v>1</v>
      </c>
      <c r="N109" s="470">
        <f>IF(OR(AND(ISBLANK(F109),ISBLANK(G109)),ISTEXT(F109),ISTEXT(G109)),"",H109+M109)</f>
        <v>50</v>
      </c>
      <c r="O109" s="468">
        <f>(F109+N109)-1</f>
        <v>2057</v>
      </c>
      <c r="P109" s="471">
        <f>W108</f>
        <v>765804397.31040001</v>
      </c>
      <c r="Q109" s="472">
        <f>P109+G109</f>
        <v>1175373488.6716251</v>
      </c>
      <c r="R109" s="472">
        <f>IF(L109=0,R108,Q109/N109)</f>
        <v>23507469.773432504</v>
      </c>
      <c r="S109" s="629">
        <f>F109</f>
        <v>2008</v>
      </c>
      <c r="T109" s="470">
        <f>S109-S108</f>
        <v>1</v>
      </c>
      <c r="U109" s="612">
        <f>R109*T109</f>
        <v>23507469.773432504</v>
      </c>
      <c r="V109" s="464">
        <f>F109</f>
        <v>2008</v>
      </c>
      <c r="W109" s="612">
        <f>IF(OR(AND(ISBLANK(E109),ISBLANK(G109)),ISTEXT(E109),ISTEXT(G109)),"",Q109-U109)</f>
        <v>1151866018.8981926</v>
      </c>
      <c r="X109" s="561"/>
      <c r="Y109" s="449"/>
      <c r="Z109" s="449"/>
      <c r="AA109" s="693"/>
      <c r="AB109" s="452"/>
      <c r="AC109" s="452"/>
      <c r="AD109" s="571"/>
      <c r="AE109" s="452"/>
      <c r="AF109" s="571"/>
      <c r="AG109" s="452"/>
      <c r="AH109" s="452"/>
      <c r="AI109" s="453"/>
      <c r="AJ109" s="449"/>
      <c r="AK109" s="453"/>
      <c r="AL109" s="454"/>
      <c r="AM109" s="455"/>
      <c r="AN109" s="456"/>
      <c r="AO109" s="455"/>
      <c r="AP109" s="452"/>
      <c r="AQ109" s="457"/>
      <c r="AR109" s="449"/>
      <c r="AS109" s="449"/>
      <c r="AT109" s="452"/>
      <c r="AU109" s="457"/>
      <c r="AV109" s="449"/>
      <c r="AW109" s="458"/>
      <c r="AX109" s="452"/>
      <c r="AY109" s="457"/>
      <c r="AZ109" s="449"/>
      <c r="BA109" s="459"/>
      <c r="BB109" s="455"/>
      <c r="BC109" s="460"/>
      <c r="BD109" s="460"/>
      <c r="BG109" s="462"/>
    </row>
    <row r="110" spans="1:59" s="461" customFormat="1" ht="18" customHeight="1" x14ac:dyDescent="0.2">
      <c r="A110" s="461" t="str">
        <f t="shared" si="80"/>
        <v>GEDUNG SERBAGUNA KECAMATAN LOGAS TANAH DARAT2013</v>
      </c>
      <c r="B110" s="708"/>
      <c r="C110" s="489"/>
      <c r="D110" s="489"/>
      <c r="E110" s="558"/>
      <c r="F110" s="559">
        <v>2013</v>
      </c>
      <c r="G110" s="619">
        <v>0</v>
      </c>
      <c r="H110" s="464">
        <f t="shared" ref="H110:H115" si="82">IF(N109-(F110-F109)&lt;=0,0,(N109-(F110-F109)))</f>
        <v>45</v>
      </c>
      <c r="I110" s="560"/>
      <c r="J110" s="468">
        <f t="shared" ref="J110:J115" si="83">(F110+N110)-1</f>
        <v>2057</v>
      </c>
      <c r="K110" s="490">
        <f t="shared" si="81"/>
        <v>0</v>
      </c>
      <c r="L110" s="469">
        <f t="shared" ref="L110:L115" si="84">IF(K110=0%,0,IF(K110&lt;=25%,5,IF(K110&lt;=50%,10,IF(K110&lt;=75%,15,50))))</f>
        <v>0</v>
      </c>
      <c r="M110" s="683">
        <f t="shared" ref="M110:M115" si="85">IF(OR(AND(ISBLANK(E110),ISBLANK(G110)),ISTEXT(E110),ISTEXT(G110)),"",IF(H110+L110&gt;$H$108,$H$108-H110,L110))</f>
        <v>0</v>
      </c>
      <c r="N110" s="470">
        <f t="shared" ref="N110:N115" si="86">IF(OR(AND(ISBLANK(F110),ISBLANK(G110)),ISTEXT(F110),ISTEXT(G110)),"",H110+M110)</f>
        <v>45</v>
      </c>
      <c r="O110" s="468">
        <f t="shared" ref="O110:O115" si="87">(F110+N110)-1</f>
        <v>2057</v>
      </c>
      <c r="P110" s="471">
        <f t="shared" ref="P110:P115" si="88">W109</f>
        <v>1151866018.8981926</v>
      </c>
      <c r="Q110" s="472">
        <f t="shared" ref="Q110:Q115" si="89">P110+G110</f>
        <v>1151866018.8981926</v>
      </c>
      <c r="R110" s="472">
        <f t="shared" ref="R110:R115" si="90">IF(L110=0,R109,Q110/N110)</f>
        <v>23507469.773432504</v>
      </c>
      <c r="S110" s="709">
        <f t="shared" ref="S110:S115" si="91">F110</f>
        <v>2013</v>
      </c>
      <c r="T110" s="470">
        <f t="shared" ref="T110:T115" si="92">S110-S109</f>
        <v>5</v>
      </c>
      <c r="U110" s="612">
        <f t="shared" ref="U110:U115" si="93">R110*T110</f>
        <v>117537348.86716253</v>
      </c>
      <c r="V110" s="464">
        <f t="shared" ref="V110:V115" si="94">F110</f>
        <v>2013</v>
      </c>
      <c r="W110" s="612">
        <f t="shared" ref="W110:W115" si="95">IF(OR(AND(ISBLANK(E110),ISBLANK(G110)),ISTEXT(E110),ISTEXT(G110)),"",Q110-U110)</f>
        <v>1034328670.0310302</v>
      </c>
      <c r="X110" s="561"/>
      <c r="Y110" s="449"/>
      <c r="Z110" s="449"/>
      <c r="AA110" s="693"/>
      <c r="AB110" s="452"/>
      <c r="AC110" s="452"/>
      <c r="AD110" s="571"/>
      <c r="AE110" s="452"/>
      <c r="AF110" s="571"/>
      <c r="AG110" s="452"/>
      <c r="AH110" s="452"/>
      <c r="AI110" s="453"/>
      <c r="AJ110" s="449"/>
      <c r="AK110" s="453"/>
      <c r="AL110" s="454"/>
      <c r="AM110" s="455"/>
      <c r="AN110" s="456"/>
      <c r="AO110" s="455"/>
      <c r="AP110" s="452"/>
      <c r="AQ110" s="457"/>
      <c r="AR110" s="449"/>
      <c r="AS110" s="449"/>
      <c r="AT110" s="452"/>
      <c r="AU110" s="457"/>
      <c r="AV110" s="449"/>
      <c r="AW110" s="458"/>
      <c r="AX110" s="452"/>
      <c r="AY110" s="457"/>
      <c r="AZ110" s="449"/>
      <c r="BA110" s="459"/>
      <c r="BB110" s="455"/>
      <c r="BC110" s="460"/>
      <c r="BD110" s="460"/>
      <c r="BG110" s="462"/>
    </row>
    <row r="111" spans="1:59" s="461" customFormat="1" ht="18" customHeight="1" x14ac:dyDescent="0.2">
      <c r="A111" s="461" t="str">
        <f t="shared" si="80"/>
        <v>GEDUNG SERBAGUNA KECAMATAN LOGAS TANAH DARAT2014</v>
      </c>
      <c r="B111" s="708"/>
      <c r="C111" s="489"/>
      <c r="D111" s="489"/>
      <c r="E111" s="558"/>
      <c r="F111" s="559">
        <v>2014</v>
      </c>
      <c r="G111" s="619">
        <v>0</v>
      </c>
      <c r="H111" s="464">
        <f t="shared" si="82"/>
        <v>44</v>
      </c>
      <c r="I111" s="560"/>
      <c r="J111" s="468">
        <f t="shared" si="83"/>
        <v>2057</v>
      </c>
      <c r="K111" s="490">
        <f t="shared" si="81"/>
        <v>0</v>
      </c>
      <c r="L111" s="469">
        <f t="shared" si="84"/>
        <v>0</v>
      </c>
      <c r="M111" s="683">
        <f t="shared" si="85"/>
        <v>0</v>
      </c>
      <c r="N111" s="470">
        <f t="shared" si="86"/>
        <v>44</v>
      </c>
      <c r="O111" s="468">
        <f t="shared" si="87"/>
        <v>2057</v>
      </c>
      <c r="P111" s="471">
        <f t="shared" si="88"/>
        <v>1034328670.0310302</v>
      </c>
      <c r="Q111" s="472">
        <f t="shared" si="89"/>
        <v>1034328670.0310302</v>
      </c>
      <c r="R111" s="472">
        <f t="shared" si="90"/>
        <v>23507469.773432504</v>
      </c>
      <c r="S111" s="709">
        <f t="shared" si="91"/>
        <v>2014</v>
      </c>
      <c r="T111" s="470">
        <f t="shared" si="92"/>
        <v>1</v>
      </c>
      <c r="U111" s="612">
        <f t="shared" si="93"/>
        <v>23507469.773432504</v>
      </c>
      <c r="V111" s="464">
        <f t="shared" si="94"/>
        <v>2014</v>
      </c>
      <c r="W111" s="612">
        <f t="shared" si="95"/>
        <v>1010821200.2575977</v>
      </c>
      <c r="X111" s="561"/>
      <c r="Y111" s="449"/>
      <c r="Z111" s="449"/>
      <c r="AA111" s="693"/>
      <c r="AB111" s="452"/>
      <c r="AC111" s="452"/>
      <c r="AD111" s="571"/>
      <c r="AE111" s="452"/>
      <c r="AF111" s="571"/>
      <c r="AG111" s="452"/>
      <c r="AH111" s="452"/>
      <c r="AI111" s="453"/>
      <c r="AJ111" s="449"/>
      <c r="AK111" s="453"/>
      <c r="AL111" s="454"/>
      <c r="AM111" s="455"/>
      <c r="AN111" s="456"/>
      <c r="AO111" s="455"/>
      <c r="AP111" s="452"/>
      <c r="AQ111" s="457"/>
      <c r="AR111" s="449"/>
      <c r="AS111" s="449"/>
      <c r="AT111" s="452"/>
      <c r="AU111" s="457"/>
      <c r="AV111" s="449"/>
      <c r="AW111" s="458"/>
      <c r="AX111" s="452"/>
      <c r="AY111" s="457"/>
      <c r="AZ111" s="449"/>
      <c r="BA111" s="459"/>
      <c r="BB111" s="455"/>
      <c r="BC111" s="460"/>
      <c r="BD111" s="460"/>
      <c r="BG111" s="462"/>
    </row>
    <row r="112" spans="1:59" s="461" customFormat="1" ht="18" customHeight="1" x14ac:dyDescent="0.2">
      <c r="A112" s="461" t="str">
        <f t="shared" si="80"/>
        <v>GEDUNG SERBAGUNA KECAMATAN LOGAS TANAH DARAT2015</v>
      </c>
      <c r="B112" s="708"/>
      <c r="C112" s="489"/>
      <c r="D112" s="489"/>
      <c r="E112" s="558"/>
      <c r="F112" s="559">
        <v>2015</v>
      </c>
      <c r="G112" s="619">
        <v>0</v>
      </c>
      <c r="H112" s="464">
        <f t="shared" si="82"/>
        <v>43</v>
      </c>
      <c r="I112" s="560"/>
      <c r="J112" s="468">
        <f t="shared" si="83"/>
        <v>2057</v>
      </c>
      <c r="K112" s="490">
        <f t="shared" si="81"/>
        <v>0</v>
      </c>
      <c r="L112" s="469">
        <f t="shared" si="84"/>
        <v>0</v>
      </c>
      <c r="M112" s="683">
        <f t="shared" si="85"/>
        <v>0</v>
      </c>
      <c r="N112" s="470">
        <f t="shared" si="86"/>
        <v>43</v>
      </c>
      <c r="O112" s="468">
        <f t="shared" si="87"/>
        <v>2057</v>
      </c>
      <c r="P112" s="471">
        <f t="shared" si="88"/>
        <v>1010821200.2575977</v>
      </c>
      <c r="Q112" s="472">
        <f t="shared" si="89"/>
        <v>1010821200.2575977</v>
      </c>
      <c r="R112" s="472">
        <f t="shared" si="90"/>
        <v>23507469.773432504</v>
      </c>
      <c r="S112" s="709">
        <f t="shared" si="91"/>
        <v>2015</v>
      </c>
      <c r="T112" s="470">
        <f t="shared" si="92"/>
        <v>1</v>
      </c>
      <c r="U112" s="612">
        <f t="shared" si="93"/>
        <v>23507469.773432504</v>
      </c>
      <c r="V112" s="464">
        <f t="shared" si="94"/>
        <v>2015</v>
      </c>
      <c r="W112" s="612">
        <f t="shared" si="95"/>
        <v>987313730.48416519</v>
      </c>
      <c r="X112" s="561"/>
      <c r="Y112" s="449"/>
      <c r="Z112" s="449"/>
      <c r="AA112" s="694"/>
      <c r="AB112" s="692"/>
      <c r="AC112" s="692"/>
      <c r="AD112" s="695"/>
      <c r="AE112" s="452"/>
      <c r="AF112" s="571"/>
      <c r="AG112" s="452"/>
      <c r="AH112" s="452"/>
      <c r="AI112" s="453"/>
      <c r="AJ112" s="449"/>
      <c r="AK112" s="453"/>
      <c r="AL112" s="454"/>
      <c r="AM112" s="455"/>
      <c r="AN112" s="456"/>
      <c r="AO112" s="455"/>
      <c r="AP112" s="452"/>
      <c r="AQ112" s="457"/>
      <c r="AR112" s="449"/>
      <c r="AS112" s="449"/>
      <c r="AT112" s="452"/>
      <c r="AU112" s="457"/>
      <c r="AV112" s="449"/>
      <c r="AW112" s="458"/>
      <c r="AX112" s="452"/>
      <c r="AY112" s="457"/>
      <c r="AZ112" s="449"/>
      <c r="BA112" s="459"/>
      <c r="BB112" s="455"/>
      <c r="BC112" s="460"/>
      <c r="BD112" s="460"/>
      <c r="BG112" s="462"/>
    </row>
    <row r="113" spans="1:59" s="461" customFormat="1" ht="18" customHeight="1" x14ac:dyDescent="0.2">
      <c r="A113" s="461" t="str">
        <f t="shared" si="80"/>
        <v>GEDUNG SERBAGUNA KECAMATAN LOGAS TANAH DARAT2016</v>
      </c>
      <c r="B113" s="708"/>
      <c r="C113" s="489"/>
      <c r="D113" s="489"/>
      <c r="E113" s="558"/>
      <c r="F113" s="559">
        <v>2016</v>
      </c>
      <c r="G113" s="619">
        <v>0</v>
      </c>
      <c r="H113" s="464">
        <f t="shared" si="82"/>
        <v>42</v>
      </c>
      <c r="I113" s="560"/>
      <c r="J113" s="468">
        <f t="shared" si="83"/>
        <v>2057</v>
      </c>
      <c r="K113" s="490">
        <f t="shared" si="81"/>
        <v>0</v>
      </c>
      <c r="L113" s="469">
        <f t="shared" si="84"/>
        <v>0</v>
      </c>
      <c r="M113" s="683">
        <f t="shared" si="85"/>
        <v>0</v>
      </c>
      <c r="N113" s="470">
        <f t="shared" si="86"/>
        <v>42</v>
      </c>
      <c r="O113" s="468">
        <f t="shared" si="87"/>
        <v>2057</v>
      </c>
      <c r="P113" s="471">
        <f t="shared" si="88"/>
        <v>987313730.48416519</v>
      </c>
      <c r="Q113" s="472">
        <f t="shared" si="89"/>
        <v>987313730.48416519</v>
      </c>
      <c r="R113" s="472">
        <f t="shared" si="90"/>
        <v>23507469.773432504</v>
      </c>
      <c r="S113" s="709">
        <f t="shared" si="91"/>
        <v>2016</v>
      </c>
      <c r="T113" s="470">
        <f t="shared" si="92"/>
        <v>1</v>
      </c>
      <c r="U113" s="612">
        <f t="shared" si="93"/>
        <v>23507469.773432504</v>
      </c>
      <c r="V113" s="464">
        <f t="shared" si="94"/>
        <v>2016</v>
      </c>
      <c r="W113" s="612">
        <f t="shared" si="95"/>
        <v>963806260.7107327</v>
      </c>
      <c r="X113" s="561"/>
      <c r="Y113" s="449"/>
      <c r="Z113" s="449"/>
      <c r="AA113" s="554" t="s">
        <v>4179</v>
      </c>
      <c r="AB113" s="452"/>
      <c r="AC113" s="452"/>
      <c r="AD113" s="566"/>
      <c r="AE113" s="452"/>
      <c r="AF113" s="571"/>
      <c r="AG113" s="452"/>
      <c r="AH113" s="452"/>
      <c r="AI113" s="453"/>
      <c r="AJ113" s="449"/>
      <c r="AK113" s="453"/>
      <c r="AL113" s="454"/>
      <c r="AM113" s="455"/>
      <c r="AN113" s="456"/>
      <c r="AO113" s="455"/>
      <c r="AP113" s="452"/>
      <c r="AQ113" s="457"/>
      <c r="AR113" s="449"/>
      <c r="AS113" s="449"/>
      <c r="AT113" s="452"/>
      <c r="AU113" s="457"/>
      <c r="AV113" s="449"/>
      <c r="AW113" s="458"/>
      <c r="AX113" s="452"/>
      <c r="AY113" s="457"/>
      <c r="AZ113" s="449"/>
      <c r="BA113" s="459"/>
      <c r="BB113" s="455"/>
      <c r="BC113" s="460"/>
      <c r="BD113" s="460"/>
      <c r="BG113" s="462"/>
    </row>
    <row r="114" spans="1:59" s="461" customFormat="1" ht="18" customHeight="1" x14ac:dyDescent="0.2">
      <c r="A114" s="461" t="str">
        <f t="shared" si="80"/>
        <v>GEDUNG SERBAGUNA KECAMATAN LOGAS TANAH DARAT2017</v>
      </c>
      <c r="B114" s="708"/>
      <c r="C114" s="489"/>
      <c r="D114" s="489"/>
      <c r="E114" s="558"/>
      <c r="F114" s="559">
        <v>2017</v>
      </c>
      <c r="G114" s="619">
        <v>0</v>
      </c>
      <c r="H114" s="464">
        <f t="shared" si="82"/>
        <v>41</v>
      </c>
      <c r="I114" s="560"/>
      <c r="J114" s="468">
        <f t="shared" si="83"/>
        <v>2057</v>
      </c>
      <c r="K114" s="490">
        <f t="shared" si="81"/>
        <v>0</v>
      </c>
      <c r="L114" s="469">
        <f t="shared" si="84"/>
        <v>0</v>
      </c>
      <c r="M114" s="683">
        <f t="shared" si="85"/>
        <v>0</v>
      </c>
      <c r="N114" s="470">
        <f t="shared" si="86"/>
        <v>41</v>
      </c>
      <c r="O114" s="468">
        <f t="shared" si="87"/>
        <v>2057</v>
      </c>
      <c r="P114" s="471">
        <f t="shared" si="88"/>
        <v>963806260.7107327</v>
      </c>
      <c r="Q114" s="472">
        <f t="shared" si="89"/>
        <v>963806260.7107327</v>
      </c>
      <c r="R114" s="472">
        <f t="shared" si="90"/>
        <v>23507469.773432504</v>
      </c>
      <c r="S114" s="709">
        <f t="shared" si="91"/>
        <v>2017</v>
      </c>
      <c r="T114" s="470">
        <f t="shared" si="92"/>
        <v>1</v>
      </c>
      <c r="U114" s="612">
        <f t="shared" si="93"/>
        <v>23507469.773432504</v>
      </c>
      <c r="V114" s="464">
        <f t="shared" si="94"/>
        <v>2017</v>
      </c>
      <c r="W114" s="612">
        <f t="shared" si="95"/>
        <v>940298790.93730021</v>
      </c>
      <c r="X114" s="561"/>
      <c r="Y114" s="449"/>
      <c r="Z114" s="449"/>
      <c r="AA114" s="554"/>
      <c r="AB114" s="452"/>
      <c r="AC114" s="452"/>
      <c r="AD114" s="566"/>
      <c r="AE114" s="452"/>
      <c r="AF114" s="571"/>
      <c r="AG114" s="452"/>
      <c r="AH114" s="452"/>
      <c r="AI114" s="453"/>
      <c r="AJ114" s="449"/>
      <c r="AK114" s="453"/>
      <c r="AL114" s="454"/>
      <c r="AM114" s="455"/>
      <c r="AN114" s="456"/>
      <c r="AO114" s="455"/>
      <c r="AP114" s="452"/>
      <c r="AQ114" s="457"/>
      <c r="AR114" s="449"/>
      <c r="AS114" s="449"/>
      <c r="AT114" s="452"/>
      <c r="AU114" s="457"/>
      <c r="AV114" s="449"/>
      <c r="AW114" s="458"/>
      <c r="AX114" s="452"/>
      <c r="AY114" s="457"/>
      <c r="AZ114" s="449"/>
      <c r="BA114" s="459"/>
      <c r="BB114" s="455"/>
      <c r="BC114" s="460"/>
      <c r="BD114" s="460"/>
      <c r="BG114" s="462"/>
    </row>
    <row r="115" spans="1:59" s="486" customFormat="1" ht="18" customHeight="1" x14ac:dyDescent="0.2">
      <c r="A115" s="461" t="str">
        <f t="shared" si="80"/>
        <v>GEDUNG SERBAGUNA KECAMATAN LOGAS TANAH DARAT2018</v>
      </c>
      <c r="B115" s="708"/>
      <c r="C115" s="463"/>
      <c r="D115" s="489"/>
      <c r="E115" s="465"/>
      <c r="F115" s="466">
        <v>2018</v>
      </c>
      <c r="G115" s="620">
        <v>0</v>
      </c>
      <c r="H115" s="464">
        <f t="shared" si="82"/>
        <v>40</v>
      </c>
      <c r="I115" s="560"/>
      <c r="J115" s="468">
        <f t="shared" si="83"/>
        <v>2057</v>
      </c>
      <c r="K115" s="490">
        <f t="shared" si="81"/>
        <v>0</v>
      </c>
      <c r="L115" s="469">
        <f t="shared" si="84"/>
        <v>0</v>
      </c>
      <c r="M115" s="683">
        <f t="shared" si="85"/>
        <v>0</v>
      </c>
      <c r="N115" s="470">
        <f t="shared" si="86"/>
        <v>40</v>
      </c>
      <c r="O115" s="468">
        <f t="shared" si="87"/>
        <v>2057</v>
      </c>
      <c r="P115" s="471">
        <f t="shared" si="88"/>
        <v>940298790.93730021</v>
      </c>
      <c r="Q115" s="472">
        <f t="shared" si="89"/>
        <v>940298790.93730021</v>
      </c>
      <c r="R115" s="472">
        <f t="shared" si="90"/>
        <v>23507469.773432504</v>
      </c>
      <c r="S115" s="709">
        <f t="shared" si="91"/>
        <v>2018</v>
      </c>
      <c r="T115" s="470">
        <f t="shared" si="92"/>
        <v>1</v>
      </c>
      <c r="U115" s="612">
        <f t="shared" si="93"/>
        <v>23507469.773432504</v>
      </c>
      <c r="V115" s="464">
        <f t="shared" si="94"/>
        <v>2018</v>
      </c>
      <c r="W115" s="612">
        <f t="shared" si="95"/>
        <v>916791321.16386771</v>
      </c>
      <c r="X115" s="473"/>
      <c r="Y115" s="474"/>
      <c r="Z115" s="449"/>
      <c r="AA115" s="475" t="s">
        <v>4180</v>
      </c>
      <c r="AB115" s="476"/>
      <c r="AC115" s="476"/>
      <c r="AD115" s="567">
        <f>G120</f>
        <v>1313893149.8412251</v>
      </c>
      <c r="AE115" s="476"/>
      <c r="AF115" s="568"/>
      <c r="AG115" s="476"/>
      <c r="AH115" s="476"/>
      <c r="AI115" s="477"/>
      <c r="AJ115" s="478"/>
      <c r="AK115" s="479"/>
      <c r="AL115" s="480"/>
      <c r="AM115" s="474"/>
      <c r="AN115" s="481"/>
      <c r="AO115" s="474"/>
      <c r="AP115" s="476"/>
      <c r="AQ115" s="482"/>
      <c r="AR115" s="478"/>
      <c r="AS115" s="478"/>
      <c r="AT115" s="476"/>
      <c r="AU115" s="482"/>
      <c r="AV115" s="478"/>
      <c r="AW115" s="483"/>
      <c r="AX115" s="476"/>
      <c r="AY115" s="482"/>
      <c r="AZ115" s="478"/>
      <c r="BA115" s="484"/>
      <c r="BB115" s="474"/>
      <c r="BC115" s="485"/>
      <c r="BD115" s="485"/>
      <c r="BG115" s="487"/>
    </row>
    <row r="116" spans="1:59" s="486" customFormat="1" ht="18" customHeight="1" x14ac:dyDescent="0.2">
      <c r="A116" s="461" t="str">
        <f t="shared" si="80"/>
        <v>GEDUNG SERBAGUNA KECAMATAN LOGAS TANAH DARAT2019</v>
      </c>
      <c r="B116" s="708">
        <v>3</v>
      </c>
      <c r="C116" s="488" t="s">
        <v>5664</v>
      </c>
      <c r="D116" s="489" t="s">
        <v>1772</v>
      </c>
      <c r="E116" s="465"/>
      <c r="F116" s="466">
        <v>2019</v>
      </c>
      <c r="G116" s="620">
        <v>122891000</v>
      </c>
      <c r="H116" s="464">
        <f>IF(N115-(F116-F115)&lt;=0,0,(N115-(F116-F115)))</f>
        <v>39</v>
      </c>
      <c r="I116" s="560"/>
      <c r="J116" s="468">
        <f>(F116+N116)-1</f>
        <v>2062</v>
      </c>
      <c r="K116" s="490">
        <f>IF(G116=0,0,IF(H116=50,100%,G116/W115))</f>
        <v>0.13404468079386891</v>
      </c>
      <c r="L116" s="469">
        <f>IF(K116=0%,0,IF(K116&lt;=25%,5,IF(K116&lt;=50%,10,IF(K116&lt;=75%,15,50))))</f>
        <v>5</v>
      </c>
      <c r="M116" s="683">
        <f>IF(OR(AND(ISBLANK(E116),ISBLANK(G116)),ISTEXT(E116),ISTEXT(G116)),"",IF(H116+L116&gt;$H$108,$H$108-H116,L116))</f>
        <v>5</v>
      </c>
      <c r="N116" s="470">
        <f>IF(OR(AND(ISBLANK(F116),ISBLANK(G116)),ISTEXT(F116),ISTEXT(G116)),"",H116+M116)</f>
        <v>44</v>
      </c>
      <c r="O116" s="468">
        <f>(F116+N116)-1</f>
        <v>2062</v>
      </c>
      <c r="P116" s="471">
        <f>W115</f>
        <v>916791321.16386771</v>
      </c>
      <c r="Q116" s="472">
        <f>P116+G116</f>
        <v>1039682321.1638677</v>
      </c>
      <c r="R116" s="472">
        <f>IF(L116=0,R115,Q116/N116)</f>
        <v>23629143.662815176</v>
      </c>
      <c r="S116" s="1189">
        <f>F116</f>
        <v>2019</v>
      </c>
      <c r="T116" s="470">
        <f>S116-S115</f>
        <v>1</v>
      </c>
      <c r="U116" s="612">
        <f>R116*T116</f>
        <v>23629143.662815176</v>
      </c>
      <c r="V116" s="464">
        <f>F116</f>
        <v>2019</v>
      </c>
      <c r="W116" s="612">
        <f>IF(OR(AND(ISBLANK(E116),ISBLANK(G116)),ISTEXT(E116),ISTEXT(G116)),"",Q116-U116)</f>
        <v>1016053177.5010525</v>
      </c>
      <c r="X116" s="473"/>
      <c r="Y116" s="478"/>
      <c r="Z116" s="449"/>
      <c r="AA116" s="475" t="s">
        <v>4181</v>
      </c>
      <c r="AB116" s="491"/>
      <c r="AC116" s="491"/>
      <c r="AD116" s="567">
        <f>U120</f>
        <v>297839972.34017265</v>
      </c>
      <c r="AE116" s="491"/>
      <c r="AF116" s="568"/>
      <c r="AG116" s="491"/>
      <c r="AH116" s="491"/>
      <c r="AI116" s="477"/>
      <c r="AJ116" s="478"/>
      <c r="AK116" s="479"/>
      <c r="AL116" s="480"/>
      <c r="AM116" s="474"/>
      <c r="AN116" s="481"/>
      <c r="AO116" s="474"/>
      <c r="AP116" s="476"/>
      <c r="AQ116" s="482"/>
      <c r="AR116" s="478"/>
      <c r="AS116" s="478"/>
      <c r="AT116" s="476"/>
      <c r="AU116" s="482"/>
      <c r="AV116" s="478"/>
      <c r="AW116" s="483"/>
      <c r="AX116" s="476"/>
      <c r="AY116" s="482"/>
      <c r="AZ116" s="478"/>
      <c r="BA116" s="484"/>
      <c r="BB116" s="474"/>
      <c r="BC116" s="485"/>
      <c r="BD116" s="485"/>
      <c r="BG116" s="487"/>
    </row>
    <row r="117" spans="1:59" s="486" customFormat="1" ht="18" customHeight="1" x14ac:dyDescent="0.2">
      <c r="B117" s="708"/>
      <c r="C117" s="463"/>
      <c r="D117" s="464"/>
      <c r="E117" s="465"/>
      <c r="F117" s="466"/>
      <c r="G117" s="620"/>
      <c r="H117" s="464"/>
      <c r="I117" s="467"/>
      <c r="J117" s="468"/>
      <c r="K117" s="490"/>
      <c r="L117" s="469"/>
      <c r="M117" s="683"/>
      <c r="N117" s="470"/>
      <c r="O117" s="468"/>
      <c r="P117" s="471"/>
      <c r="Q117" s="472"/>
      <c r="R117" s="472"/>
      <c r="S117" s="629"/>
      <c r="T117" s="470"/>
      <c r="U117" s="612"/>
      <c r="V117" s="464"/>
      <c r="W117" s="612"/>
      <c r="X117" s="473"/>
      <c r="Y117" s="478"/>
      <c r="Z117" s="449"/>
      <c r="AA117" s="492" t="s">
        <v>4182</v>
      </c>
      <c r="AB117" s="476"/>
      <c r="AC117" s="476"/>
      <c r="AD117" s="568">
        <f>AD115-AD116</f>
        <v>1016053177.5010525</v>
      </c>
      <c r="AE117" s="476"/>
      <c r="AF117" s="568"/>
      <c r="AG117" s="476"/>
      <c r="AH117" s="476"/>
      <c r="AI117" s="477"/>
      <c r="AJ117" s="478"/>
      <c r="AK117" s="479"/>
      <c r="AL117" s="480"/>
      <c r="AM117" s="474"/>
      <c r="AN117" s="481"/>
      <c r="AO117" s="474"/>
      <c r="AP117" s="476"/>
      <c r="AQ117" s="482"/>
      <c r="AR117" s="478"/>
      <c r="AS117" s="478"/>
      <c r="AT117" s="476"/>
      <c r="AU117" s="482"/>
      <c r="AV117" s="478"/>
      <c r="AW117" s="483"/>
      <c r="AX117" s="476"/>
      <c r="AY117" s="482"/>
      <c r="AZ117" s="478"/>
      <c r="BA117" s="484"/>
      <c r="BB117" s="474"/>
      <c r="BC117" s="485"/>
      <c r="BD117" s="485"/>
      <c r="BG117" s="487"/>
    </row>
    <row r="118" spans="1:59" s="486" customFormat="1" ht="18" customHeight="1" x14ac:dyDescent="0.2">
      <c r="B118" s="687"/>
      <c r="C118" s="463"/>
      <c r="D118" s="464"/>
      <c r="E118" s="465"/>
      <c r="F118" s="466"/>
      <c r="G118" s="620"/>
      <c r="H118" s="464"/>
      <c r="I118" s="467"/>
      <c r="J118" s="468"/>
      <c r="K118" s="490"/>
      <c r="L118" s="469"/>
      <c r="M118" s="683"/>
      <c r="N118" s="470"/>
      <c r="O118" s="468"/>
      <c r="P118" s="471"/>
      <c r="Q118" s="472"/>
      <c r="R118" s="472"/>
      <c r="S118" s="629"/>
      <c r="T118" s="470"/>
      <c r="U118" s="612"/>
      <c r="V118" s="464"/>
      <c r="W118" s="612"/>
      <c r="X118" s="473"/>
      <c r="Y118" s="478"/>
      <c r="Z118" s="449"/>
      <c r="AA118" s="475" t="s">
        <v>4183</v>
      </c>
      <c r="AB118" s="476"/>
      <c r="AC118" s="476"/>
      <c r="AD118" s="567">
        <f>AD117-W120</f>
        <v>0</v>
      </c>
      <c r="AE118" s="476"/>
      <c r="AF118" s="568"/>
      <c r="AG118" s="476"/>
      <c r="AH118" s="476"/>
      <c r="AI118" s="477"/>
      <c r="AJ118" s="478"/>
      <c r="AK118" s="479"/>
      <c r="AL118" s="480"/>
      <c r="AM118" s="474"/>
      <c r="AN118" s="481"/>
      <c r="AO118" s="474"/>
      <c r="AP118" s="476"/>
      <c r="AQ118" s="482"/>
      <c r="AR118" s="478"/>
      <c r="AS118" s="478"/>
      <c r="AT118" s="476"/>
      <c r="AU118" s="482"/>
      <c r="AV118" s="478"/>
      <c r="AW118" s="483"/>
      <c r="AX118" s="476"/>
      <c r="AY118" s="482"/>
      <c r="AZ118" s="478"/>
      <c r="BA118" s="484"/>
      <c r="BB118" s="474"/>
      <c r="BC118" s="485"/>
      <c r="BD118" s="485"/>
      <c r="BG118" s="487"/>
    </row>
    <row r="119" spans="1:59" s="486" customFormat="1" ht="18" customHeight="1" x14ac:dyDescent="0.2">
      <c r="B119" s="687"/>
      <c r="C119" s="494"/>
      <c r="D119" s="464"/>
      <c r="E119" s="465"/>
      <c r="F119" s="466"/>
      <c r="G119" s="620"/>
      <c r="H119" s="464"/>
      <c r="I119" s="467"/>
      <c r="J119" s="468"/>
      <c r="K119" s="490"/>
      <c r="L119" s="469"/>
      <c r="M119" s="683"/>
      <c r="N119" s="470"/>
      <c r="O119" s="468"/>
      <c r="P119" s="471"/>
      <c r="Q119" s="472"/>
      <c r="R119" s="472"/>
      <c r="S119" s="629"/>
      <c r="T119" s="470"/>
      <c r="U119" s="612"/>
      <c r="V119" s="464"/>
      <c r="W119" s="612"/>
      <c r="X119" s="473"/>
      <c r="Y119" s="478"/>
      <c r="Z119" s="449"/>
      <c r="AA119" s="495"/>
      <c r="AB119" s="496"/>
      <c r="AC119" s="496"/>
      <c r="AD119" s="569"/>
      <c r="AE119" s="476"/>
      <c r="AF119" s="568"/>
      <c r="AG119" s="476"/>
      <c r="AH119" s="476"/>
      <c r="AI119" s="477"/>
      <c r="AJ119" s="478"/>
      <c r="AK119" s="479"/>
      <c r="AL119" s="480"/>
      <c r="AM119" s="474"/>
      <c r="AN119" s="481"/>
      <c r="AO119" s="474"/>
      <c r="AP119" s="476"/>
      <c r="AQ119" s="482"/>
      <c r="AR119" s="478"/>
      <c r="AS119" s="478"/>
      <c r="AT119" s="476"/>
      <c r="AU119" s="482"/>
      <c r="AV119" s="478"/>
      <c r="AW119" s="483"/>
      <c r="AX119" s="476"/>
      <c r="AY119" s="482"/>
      <c r="AZ119" s="478"/>
      <c r="BA119" s="484"/>
      <c r="BB119" s="474"/>
      <c r="BC119" s="485"/>
      <c r="BD119" s="485"/>
      <c r="BG119" s="487"/>
    </row>
    <row r="120" spans="1:59" s="526" customFormat="1" ht="18" customHeight="1" x14ac:dyDescent="0.2">
      <c r="B120" s="1956" t="s">
        <v>4184</v>
      </c>
      <c r="C120" s="1957"/>
      <c r="D120" s="1957"/>
      <c r="E120" s="1957"/>
      <c r="F120" s="1958"/>
      <c r="G120" s="621">
        <f>SUM(G108:G119)</f>
        <v>1313893149.8412251</v>
      </c>
      <c r="H120" s="505"/>
      <c r="I120" s="506"/>
      <c r="J120" s="507"/>
      <c r="K120" s="507"/>
      <c r="L120" s="505"/>
      <c r="M120" s="684"/>
      <c r="N120" s="508"/>
      <c r="O120" s="507"/>
      <c r="P120" s="509"/>
      <c r="Q120" s="510"/>
      <c r="R120" s="511"/>
      <c r="S120" s="512"/>
      <c r="T120" s="512"/>
      <c r="U120" s="610">
        <f>SUM(U108:U119)</f>
        <v>297839972.34017265</v>
      </c>
      <c r="V120" s="513"/>
      <c r="W120" s="610">
        <f>G120-U120</f>
        <v>1016053177.5010525</v>
      </c>
      <c r="X120" s="514"/>
      <c r="Y120" s="515"/>
      <c r="Z120" s="515"/>
      <c r="AA120" s="515"/>
      <c r="AB120" s="515"/>
      <c r="AC120" s="515"/>
      <c r="AD120" s="570"/>
      <c r="AE120" s="515"/>
      <c r="AF120" s="570"/>
      <c r="AG120" s="515"/>
      <c r="AH120" s="515"/>
      <c r="AI120" s="516"/>
      <c r="AJ120" s="517"/>
      <c r="AK120" s="518"/>
      <c r="AL120" s="519"/>
      <c r="AM120" s="520"/>
      <c r="AN120" s="521"/>
      <c r="AO120" s="520"/>
      <c r="AP120" s="515"/>
      <c r="AQ120" s="522"/>
      <c r="AR120" s="517"/>
      <c r="AS120" s="517"/>
      <c r="AT120" s="515"/>
      <c r="AU120" s="522"/>
      <c r="AV120" s="517"/>
      <c r="AW120" s="523"/>
      <c r="AX120" s="515"/>
      <c r="AY120" s="522"/>
      <c r="AZ120" s="517"/>
      <c r="BA120" s="524"/>
      <c r="BB120" s="520"/>
      <c r="BC120" s="525"/>
      <c r="BD120" s="525"/>
      <c r="BG120" s="527"/>
    </row>
    <row r="121" spans="1:59" ht="15" customHeight="1" x14ac:dyDescent="0.2">
      <c r="U121" s="614"/>
    </row>
    <row r="122" spans="1:59" ht="15" customHeight="1" x14ac:dyDescent="0.2">
      <c r="U122" s="614"/>
    </row>
    <row r="123" spans="1:59" s="422" customFormat="1" ht="18" customHeight="1" x14ac:dyDescent="0.2">
      <c r="B123" s="688" t="s">
        <v>4206</v>
      </c>
      <c r="C123" s="556"/>
      <c r="D123" s="553" t="s">
        <v>3002</v>
      </c>
      <c r="E123" s="553"/>
      <c r="F123" s="421"/>
      <c r="G123" s="611"/>
      <c r="I123" s="423"/>
      <c r="J123" s="424"/>
      <c r="K123" s="424"/>
      <c r="M123" s="680"/>
      <c r="U123" s="611"/>
      <c r="W123" s="611"/>
      <c r="Y123" s="425"/>
      <c r="Z123" s="425"/>
      <c r="AA123" s="425"/>
      <c r="AB123" s="425"/>
      <c r="AC123" s="425"/>
      <c r="AD123" s="563"/>
      <c r="AE123" s="425"/>
      <c r="AF123" s="563"/>
      <c r="AG123" s="425"/>
      <c r="AH123" s="425"/>
      <c r="AI123" s="425"/>
      <c r="AJ123" s="425"/>
      <c r="AK123" s="425"/>
      <c r="AL123" s="425"/>
      <c r="AM123" s="425"/>
      <c r="AN123" s="425"/>
      <c r="AO123" s="425"/>
      <c r="AP123" s="425"/>
      <c r="AQ123" s="425"/>
      <c r="AR123" s="425"/>
      <c r="AS123" s="425"/>
      <c r="AT123" s="425"/>
      <c r="AU123" s="425"/>
      <c r="AV123" s="425"/>
      <c r="AW123" s="425"/>
      <c r="AX123" s="425"/>
      <c r="AY123" s="425"/>
      <c r="AZ123" s="425"/>
      <c r="BA123" s="425"/>
      <c r="BB123" s="425"/>
    </row>
    <row r="124" spans="1:59" s="431" customFormat="1" ht="18" customHeight="1" x14ac:dyDescent="0.2">
      <c r="B124" s="1968" t="s">
        <v>5</v>
      </c>
      <c r="C124" s="1968" t="s">
        <v>2280</v>
      </c>
      <c r="D124" s="1968" t="s">
        <v>4157</v>
      </c>
      <c r="E124" s="1968" t="s">
        <v>4158</v>
      </c>
      <c r="F124" s="1968"/>
      <c r="G124" s="1969" t="s">
        <v>4159</v>
      </c>
      <c r="H124" s="1355" t="s">
        <v>4160</v>
      </c>
      <c r="I124" s="1355"/>
      <c r="J124" s="1968" t="s">
        <v>4161</v>
      </c>
      <c r="K124" s="1964" t="s">
        <v>4162</v>
      </c>
      <c r="L124" s="1968" t="s">
        <v>4163</v>
      </c>
      <c r="M124" s="1971" t="s">
        <v>4164</v>
      </c>
      <c r="N124" s="1962" t="s">
        <v>4165</v>
      </c>
      <c r="O124" s="1968" t="s">
        <v>4166</v>
      </c>
      <c r="P124" s="1972" t="s">
        <v>4167</v>
      </c>
      <c r="Q124" s="1973"/>
      <c r="R124" s="631" t="s">
        <v>4168</v>
      </c>
      <c r="S124" s="1972" t="s">
        <v>4169</v>
      </c>
      <c r="T124" s="1974"/>
      <c r="U124" s="1973"/>
      <c r="V124" s="1975" t="s">
        <v>4170</v>
      </c>
      <c r="W124" s="1975"/>
      <c r="X124" s="1960" t="s">
        <v>4171</v>
      </c>
      <c r="Y124" s="1959"/>
      <c r="Z124" s="628"/>
      <c r="AA124" s="426"/>
      <c r="AB124" s="426"/>
      <c r="AC124" s="426"/>
      <c r="AD124" s="564"/>
      <c r="AE124" s="426"/>
      <c r="AF124" s="564"/>
      <c r="AG124" s="426"/>
      <c r="AH124" s="426"/>
      <c r="AI124" s="427"/>
      <c r="AJ124" s="427"/>
      <c r="AK124" s="427"/>
      <c r="AL124" s="427"/>
      <c r="AM124" s="428"/>
      <c r="AN124" s="427"/>
      <c r="AO124" s="427"/>
      <c r="AP124" s="426"/>
      <c r="AQ124" s="427"/>
      <c r="AR124" s="427"/>
      <c r="AS124" s="427"/>
      <c r="AT124" s="426"/>
      <c r="AU124" s="427"/>
      <c r="AV124" s="427"/>
      <c r="AW124" s="427"/>
      <c r="AX124" s="426"/>
      <c r="AY124" s="427"/>
      <c r="AZ124" s="427"/>
      <c r="BA124" s="427"/>
      <c r="BB124" s="429"/>
      <c r="BC124" s="430"/>
      <c r="BD124" s="430"/>
    </row>
    <row r="125" spans="1:59" s="431" customFormat="1" ht="18" customHeight="1" x14ac:dyDescent="0.2">
      <c r="B125" s="1968"/>
      <c r="C125" s="1968"/>
      <c r="D125" s="1968"/>
      <c r="E125" s="1968"/>
      <c r="F125" s="1968"/>
      <c r="G125" s="1969"/>
      <c r="H125" s="1355"/>
      <c r="I125" s="1355"/>
      <c r="J125" s="1968"/>
      <c r="K125" s="1970"/>
      <c r="L125" s="1968"/>
      <c r="M125" s="1971"/>
      <c r="N125" s="1963"/>
      <c r="O125" s="1968"/>
      <c r="P125" s="1960" t="s">
        <v>4172</v>
      </c>
      <c r="Q125" s="1960" t="s">
        <v>4173</v>
      </c>
      <c r="R125" s="1962" t="s">
        <v>4159</v>
      </c>
      <c r="S125" s="1962" t="s">
        <v>4174</v>
      </c>
      <c r="T125" s="1964" t="s">
        <v>4175</v>
      </c>
      <c r="U125" s="1966" t="s">
        <v>4159</v>
      </c>
      <c r="V125" s="1975"/>
      <c r="W125" s="1975"/>
      <c r="X125" s="1976"/>
      <c r="Y125" s="1959"/>
      <c r="Z125" s="628"/>
      <c r="AA125" s="426"/>
      <c r="AB125" s="426"/>
      <c r="AC125" s="426"/>
      <c r="AD125" s="564"/>
      <c r="AE125" s="426"/>
      <c r="AF125" s="564"/>
      <c r="AG125" s="426"/>
      <c r="AH125" s="426"/>
      <c r="AI125" s="427"/>
      <c r="AJ125" s="427"/>
      <c r="AK125" s="426"/>
      <c r="AL125" s="427"/>
      <c r="AM125" s="428"/>
      <c r="AN125" s="427"/>
      <c r="AO125" s="427"/>
      <c r="AP125" s="432"/>
      <c r="AQ125" s="427"/>
      <c r="AR125" s="427"/>
      <c r="AS125" s="427"/>
      <c r="AT125" s="432"/>
      <c r="AU125" s="427"/>
      <c r="AV125" s="427"/>
      <c r="AW125" s="427"/>
      <c r="AX125" s="432"/>
      <c r="AY125" s="427"/>
      <c r="AZ125" s="427"/>
      <c r="BA125" s="427"/>
      <c r="BB125" s="429"/>
      <c r="BC125" s="430"/>
      <c r="BD125" s="430"/>
    </row>
    <row r="126" spans="1:59" s="431" customFormat="1" ht="21.75" customHeight="1" x14ac:dyDescent="0.2">
      <c r="B126" s="1968"/>
      <c r="C126" s="1968"/>
      <c r="D126" s="1968"/>
      <c r="E126" s="433" t="s">
        <v>4176</v>
      </c>
      <c r="F126" s="434" t="s">
        <v>2288</v>
      </c>
      <c r="G126" s="1969"/>
      <c r="H126" s="1355" t="s">
        <v>2288</v>
      </c>
      <c r="I126" s="1355" t="s">
        <v>4177</v>
      </c>
      <c r="J126" s="1968"/>
      <c r="K126" s="1965"/>
      <c r="L126" s="435" t="s">
        <v>2288</v>
      </c>
      <c r="M126" s="681" t="s">
        <v>2288</v>
      </c>
      <c r="N126" s="630" t="s">
        <v>2288</v>
      </c>
      <c r="O126" s="1968"/>
      <c r="P126" s="1961"/>
      <c r="Q126" s="1961"/>
      <c r="R126" s="1963"/>
      <c r="S126" s="1963"/>
      <c r="T126" s="1965"/>
      <c r="U126" s="1967"/>
      <c r="V126" s="630" t="s">
        <v>4178</v>
      </c>
      <c r="W126" s="632" t="s">
        <v>4159</v>
      </c>
      <c r="X126" s="1961"/>
      <c r="Y126" s="436"/>
      <c r="Z126" s="436"/>
      <c r="AA126" s="426"/>
      <c r="AB126" s="426"/>
      <c r="AC126" s="426"/>
      <c r="AD126" s="564"/>
      <c r="AE126" s="426"/>
      <c r="AF126" s="564"/>
      <c r="AG126" s="426"/>
      <c r="AH126" s="426"/>
      <c r="AI126" s="427"/>
      <c r="AJ126" s="432"/>
      <c r="AK126" s="432"/>
      <c r="AL126" s="427"/>
      <c r="AM126" s="428"/>
      <c r="AN126" s="432"/>
      <c r="AO126" s="427"/>
      <c r="AP126" s="432"/>
      <c r="AQ126" s="432"/>
      <c r="AR126" s="427"/>
      <c r="AS126" s="427"/>
      <c r="AT126" s="432"/>
      <c r="AU126" s="432"/>
      <c r="AV126" s="427"/>
      <c r="AW126" s="427"/>
      <c r="AX126" s="432"/>
      <c r="AY126" s="432"/>
      <c r="AZ126" s="427"/>
      <c r="BA126" s="427"/>
      <c r="BB126" s="429"/>
      <c r="BC126" s="430"/>
      <c r="BD126" s="430"/>
    </row>
    <row r="127" spans="1:59" s="461" customFormat="1" ht="18" customHeight="1" x14ac:dyDescent="0.2">
      <c r="A127" s="461" t="str">
        <f>$D$123&amp;S127</f>
        <v>KANTOR DINAS KESENIAN KEBUDAYAAN &amp; PARIWISATA2007</v>
      </c>
      <c r="B127" s="689">
        <v>1</v>
      </c>
      <c r="C127" s="597" t="s">
        <v>1033</v>
      </c>
      <c r="D127" s="597" t="s">
        <v>1752</v>
      </c>
      <c r="E127" s="598"/>
      <c r="F127" s="599">
        <v>2007</v>
      </c>
      <c r="G127" s="626">
        <v>985718287.20000005</v>
      </c>
      <c r="H127" s="600">
        <f>VLOOKUP(LEFT(D127,8),UE,4)</f>
        <v>50</v>
      </c>
      <c r="I127" s="601"/>
      <c r="J127" s="602">
        <f>(F127+N127)-1</f>
        <v>2056</v>
      </c>
      <c r="K127" s="603"/>
      <c r="L127" s="600"/>
      <c r="M127" s="685">
        <f>IF(H127+L127&gt;$H127,$H127-H127,L127)</f>
        <v>0</v>
      </c>
      <c r="N127" s="604">
        <f>H127+M127</f>
        <v>50</v>
      </c>
      <c r="O127" s="602">
        <f>(F127+N127)-1</f>
        <v>2056</v>
      </c>
      <c r="P127" s="605">
        <f>G127</f>
        <v>985718287.20000005</v>
      </c>
      <c r="Q127" s="606">
        <v>0</v>
      </c>
      <c r="R127" s="606">
        <f>P127/N127</f>
        <v>19714365.744000003</v>
      </c>
      <c r="S127" s="607">
        <f>F127</f>
        <v>2007</v>
      </c>
      <c r="T127" s="608">
        <v>1</v>
      </c>
      <c r="U127" s="615">
        <f>R127*T127</f>
        <v>19714365.744000003</v>
      </c>
      <c r="V127" s="602">
        <f>F127</f>
        <v>2007</v>
      </c>
      <c r="W127" s="618">
        <f>IF(OR(AND(ISBLANK(E127),ISBLANK(G127)),ISTEXT(E127),ISTEXT(G127)),"",G127-R127)</f>
        <v>966003921.45600009</v>
      </c>
      <c r="X127" s="609"/>
      <c r="Y127" s="449"/>
      <c r="Z127" s="449"/>
      <c r="AA127" s="693"/>
      <c r="AB127" s="452"/>
      <c r="AC127" s="452"/>
      <c r="AD127" s="571"/>
      <c r="AE127" s="452"/>
      <c r="AF127" s="571"/>
      <c r="AG127" s="452"/>
      <c r="AH127" s="452"/>
      <c r="AI127" s="453"/>
      <c r="AJ127" s="449"/>
      <c r="AK127" s="453"/>
      <c r="AL127" s="454"/>
      <c r="AM127" s="455"/>
      <c r="AN127" s="456"/>
      <c r="AO127" s="455"/>
      <c r="AP127" s="452"/>
      <c r="AQ127" s="457"/>
      <c r="AR127" s="449"/>
      <c r="AS127" s="449"/>
      <c r="AT127" s="452"/>
      <c r="AU127" s="457"/>
      <c r="AV127" s="449"/>
      <c r="AW127" s="458"/>
      <c r="AX127" s="452"/>
      <c r="AY127" s="457"/>
      <c r="AZ127" s="449"/>
      <c r="BA127" s="459"/>
      <c r="BB127" s="455"/>
      <c r="BC127" s="460"/>
      <c r="BD127" s="460"/>
      <c r="BG127" s="462"/>
    </row>
    <row r="128" spans="1:59" s="461" customFormat="1" ht="18" customHeight="1" x14ac:dyDescent="0.2">
      <c r="A128" s="461" t="str">
        <f t="shared" ref="A128:A135" si="96">$D$123&amp;S128</f>
        <v>KANTOR DINAS KESENIAN KEBUDAYAAN &amp; PARIWISATA2008</v>
      </c>
      <c r="B128" s="708">
        <v>2</v>
      </c>
      <c r="C128" s="489" t="s">
        <v>1062</v>
      </c>
      <c r="D128" s="489" t="s">
        <v>1752</v>
      </c>
      <c r="E128" s="558"/>
      <c r="F128" s="559">
        <v>2008</v>
      </c>
      <c r="G128" s="619">
        <v>722860800</v>
      </c>
      <c r="H128" s="464">
        <f>IF(N127-(F128-F127)&lt;=0,0,(N127-(F128-F127)))</f>
        <v>49</v>
      </c>
      <c r="I128" s="560"/>
      <c r="J128" s="468">
        <f>(F128+N128)-1</f>
        <v>2057</v>
      </c>
      <c r="K128" s="490">
        <f t="shared" ref="K128:K134" si="97">IF(G128=0,0,IF(H128=50,100%,G128/W127))</f>
        <v>0.74830006788220382</v>
      </c>
      <c r="L128" s="469">
        <f>IF(K128=0%,0,IF(K128&lt;=25%,5,IF(K128&lt;=50%,10,IF(K128&lt;=75%,15,50))))</f>
        <v>15</v>
      </c>
      <c r="M128" s="683">
        <f>IF(OR(AND(ISBLANK(E128),ISBLANK(G128)),ISTEXT(E128),ISTEXT(G128)),"",IF(H128+L128&gt;$H$27,$H$27-H128,L128))</f>
        <v>1</v>
      </c>
      <c r="N128" s="470">
        <f>IF(OR(AND(ISBLANK(F128),ISBLANK(G128)),ISTEXT(F128),ISTEXT(G128)),"",H128+M128)</f>
        <v>50</v>
      </c>
      <c r="O128" s="468">
        <f>(F128+N128)-1</f>
        <v>2057</v>
      </c>
      <c r="P128" s="471">
        <f>W127</f>
        <v>966003921.45600009</v>
      </c>
      <c r="Q128" s="472">
        <f>P128+G128</f>
        <v>1688864721.4560001</v>
      </c>
      <c r="R128" s="472">
        <f>IF(L128=0,R127,Q128/N128)</f>
        <v>33777294.429120004</v>
      </c>
      <c r="S128" s="629">
        <f>F128</f>
        <v>2008</v>
      </c>
      <c r="T128" s="470">
        <f>S128-S127</f>
        <v>1</v>
      </c>
      <c r="U128" s="612">
        <f>R128*T128</f>
        <v>33777294.429120004</v>
      </c>
      <c r="V128" s="464">
        <f>F128</f>
        <v>2008</v>
      </c>
      <c r="W128" s="612">
        <f>IF(OR(AND(ISBLANK(E128),ISBLANK(G128)),ISTEXT(E128),ISTEXT(G128)),"",Q128-U128)</f>
        <v>1655087427.02688</v>
      </c>
      <c r="X128" s="561"/>
      <c r="Y128" s="449"/>
      <c r="Z128" s="449"/>
      <c r="AA128" s="693"/>
      <c r="AB128" s="452"/>
      <c r="AC128" s="452"/>
      <c r="AD128" s="571"/>
      <c r="AE128" s="452"/>
      <c r="AF128" s="571"/>
      <c r="AG128" s="452"/>
      <c r="AH128" s="452"/>
      <c r="AI128" s="453"/>
      <c r="AJ128" s="449"/>
      <c r="AK128" s="453"/>
      <c r="AL128" s="454"/>
      <c r="AM128" s="455"/>
      <c r="AN128" s="456"/>
      <c r="AO128" s="455"/>
      <c r="AP128" s="452"/>
      <c r="AQ128" s="457"/>
      <c r="AR128" s="449"/>
      <c r="AS128" s="449"/>
      <c r="AT128" s="452"/>
      <c r="AU128" s="457"/>
      <c r="AV128" s="449"/>
      <c r="AW128" s="458"/>
      <c r="AX128" s="452"/>
      <c r="AY128" s="457"/>
      <c r="AZ128" s="449"/>
      <c r="BA128" s="459"/>
      <c r="BB128" s="455"/>
      <c r="BC128" s="460"/>
      <c r="BD128" s="460"/>
      <c r="BG128" s="462"/>
    </row>
    <row r="129" spans="1:59" s="461" customFormat="1" ht="18" customHeight="1" x14ac:dyDescent="0.2">
      <c r="A129" s="461" t="str">
        <f t="shared" si="96"/>
        <v>KANTOR DINAS KESENIAN KEBUDAYAAN &amp; PARIWISATA2013</v>
      </c>
      <c r="B129" s="708"/>
      <c r="C129" s="489"/>
      <c r="D129" s="489"/>
      <c r="E129" s="558"/>
      <c r="F129" s="559">
        <v>2013</v>
      </c>
      <c r="G129" s="619">
        <v>0</v>
      </c>
      <c r="H129" s="464">
        <f t="shared" ref="H129:H134" si="98">IF(N128-(F129-F128)&lt;=0,0,(N128-(F129-F128)))</f>
        <v>45</v>
      </c>
      <c r="I129" s="560"/>
      <c r="J129" s="468">
        <f t="shared" ref="J129:J134" si="99">(F129+N129)-1</f>
        <v>2057</v>
      </c>
      <c r="K129" s="490">
        <f t="shared" si="97"/>
        <v>0</v>
      </c>
      <c r="L129" s="469">
        <f t="shared" ref="L129:L134" si="100">IF(K129=0%,0,IF(K129&lt;=25%,5,IF(K129&lt;=50%,10,IF(K129&lt;=75%,15,50))))</f>
        <v>0</v>
      </c>
      <c r="M129" s="683">
        <f t="shared" ref="M129:M134" si="101">IF(OR(AND(ISBLANK(E129),ISBLANK(G129)),ISTEXT(E129),ISTEXT(G129)),"",IF(H129+L129&gt;$H$27,$H$27-H129,L129))</f>
        <v>0</v>
      </c>
      <c r="N129" s="470">
        <f t="shared" ref="N129:N134" si="102">IF(OR(AND(ISBLANK(F129),ISBLANK(G129)),ISTEXT(F129),ISTEXT(G129)),"",H129+M129)</f>
        <v>45</v>
      </c>
      <c r="O129" s="468">
        <f t="shared" ref="O129:O134" si="103">(F129+N129)-1</f>
        <v>2057</v>
      </c>
      <c r="P129" s="471">
        <f t="shared" ref="P129:P134" si="104">W128</f>
        <v>1655087427.02688</v>
      </c>
      <c r="Q129" s="472">
        <f t="shared" ref="Q129:Q134" si="105">P129+G129</f>
        <v>1655087427.02688</v>
      </c>
      <c r="R129" s="472">
        <f t="shared" ref="R129:R134" si="106">IF(L129=0,R128,Q129/N129)</f>
        <v>33777294.429120004</v>
      </c>
      <c r="S129" s="709">
        <f t="shared" ref="S129:S134" si="107">F129</f>
        <v>2013</v>
      </c>
      <c r="T129" s="470">
        <f t="shared" ref="T129:T134" si="108">S129-S128</f>
        <v>5</v>
      </c>
      <c r="U129" s="612">
        <f t="shared" ref="U129:U134" si="109">R129*T129</f>
        <v>168886472.14560002</v>
      </c>
      <c r="V129" s="464">
        <f t="shared" ref="V129:V134" si="110">F129</f>
        <v>2013</v>
      </c>
      <c r="W129" s="612">
        <f t="shared" ref="W129:W134" si="111">IF(OR(AND(ISBLANK(E129),ISBLANK(G129)),ISTEXT(E129),ISTEXT(G129)),"",Q129-U129)</f>
        <v>1486200954.8812799</v>
      </c>
      <c r="X129" s="561"/>
      <c r="Y129" s="449"/>
      <c r="Z129" s="449"/>
      <c r="AA129" s="693"/>
      <c r="AB129" s="452"/>
      <c r="AC129" s="452"/>
      <c r="AD129" s="571"/>
      <c r="AE129" s="452"/>
      <c r="AF129" s="571"/>
      <c r="AG129" s="452"/>
      <c r="AH129" s="452"/>
      <c r="AI129" s="453"/>
      <c r="AJ129" s="449"/>
      <c r="AK129" s="453"/>
      <c r="AL129" s="454"/>
      <c r="AM129" s="455"/>
      <c r="AN129" s="456"/>
      <c r="AO129" s="455"/>
      <c r="AP129" s="452"/>
      <c r="AQ129" s="457"/>
      <c r="AR129" s="449"/>
      <c r="AS129" s="449"/>
      <c r="AT129" s="452"/>
      <c r="AU129" s="457"/>
      <c r="AV129" s="449"/>
      <c r="AW129" s="458"/>
      <c r="AX129" s="452"/>
      <c r="AY129" s="457"/>
      <c r="AZ129" s="449"/>
      <c r="BA129" s="459"/>
      <c r="BB129" s="455"/>
      <c r="BC129" s="460"/>
      <c r="BD129" s="460"/>
      <c r="BG129" s="462"/>
    </row>
    <row r="130" spans="1:59" s="461" customFormat="1" ht="18" customHeight="1" x14ac:dyDescent="0.2">
      <c r="A130" s="461" t="str">
        <f t="shared" si="96"/>
        <v>KANTOR DINAS KESENIAN KEBUDAYAAN &amp; PARIWISATA2014</v>
      </c>
      <c r="B130" s="708"/>
      <c r="C130" s="489"/>
      <c r="D130" s="489"/>
      <c r="E130" s="558"/>
      <c r="F130" s="559">
        <v>2014</v>
      </c>
      <c r="G130" s="619">
        <v>0</v>
      </c>
      <c r="H130" s="464">
        <f t="shared" si="98"/>
        <v>44</v>
      </c>
      <c r="I130" s="560"/>
      <c r="J130" s="468">
        <f t="shared" si="99"/>
        <v>2057</v>
      </c>
      <c r="K130" s="490">
        <f t="shared" si="97"/>
        <v>0</v>
      </c>
      <c r="L130" s="469">
        <f t="shared" si="100"/>
        <v>0</v>
      </c>
      <c r="M130" s="683">
        <f t="shared" si="101"/>
        <v>0</v>
      </c>
      <c r="N130" s="470">
        <f t="shared" si="102"/>
        <v>44</v>
      </c>
      <c r="O130" s="468">
        <f t="shared" si="103"/>
        <v>2057</v>
      </c>
      <c r="P130" s="471">
        <f t="shared" si="104"/>
        <v>1486200954.8812799</v>
      </c>
      <c r="Q130" s="472">
        <f t="shared" si="105"/>
        <v>1486200954.8812799</v>
      </c>
      <c r="R130" s="472">
        <f t="shared" si="106"/>
        <v>33777294.429120004</v>
      </c>
      <c r="S130" s="709">
        <f t="shared" si="107"/>
        <v>2014</v>
      </c>
      <c r="T130" s="470">
        <f t="shared" si="108"/>
        <v>1</v>
      </c>
      <c r="U130" s="612">
        <f t="shared" si="109"/>
        <v>33777294.429120004</v>
      </c>
      <c r="V130" s="464">
        <f t="shared" si="110"/>
        <v>2014</v>
      </c>
      <c r="W130" s="612">
        <f t="shared" si="111"/>
        <v>1452423660.4521599</v>
      </c>
      <c r="X130" s="561"/>
      <c r="Y130" s="449"/>
      <c r="Z130" s="449"/>
      <c r="AA130" s="693"/>
      <c r="AB130" s="452"/>
      <c r="AC130" s="452"/>
      <c r="AD130" s="571"/>
      <c r="AE130" s="452"/>
      <c r="AF130" s="571"/>
      <c r="AG130" s="452"/>
      <c r="AH130" s="452"/>
      <c r="AI130" s="453"/>
      <c r="AJ130" s="449"/>
      <c r="AK130" s="453"/>
      <c r="AL130" s="454"/>
      <c r="AM130" s="455"/>
      <c r="AN130" s="456"/>
      <c r="AO130" s="455"/>
      <c r="AP130" s="452"/>
      <c r="AQ130" s="457"/>
      <c r="AR130" s="449"/>
      <c r="AS130" s="449"/>
      <c r="AT130" s="452"/>
      <c r="AU130" s="457"/>
      <c r="AV130" s="449"/>
      <c r="AW130" s="458"/>
      <c r="AX130" s="452"/>
      <c r="AY130" s="457"/>
      <c r="AZ130" s="449"/>
      <c r="BA130" s="459"/>
      <c r="BB130" s="455"/>
      <c r="BC130" s="460"/>
      <c r="BD130" s="460"/>
      <c r="BG130" s="462"/>
    </row>
    <row r="131" spans="1:59" s="461" customFormat="1" ht="18" customHeight="1" x14ac:dyDescent="0.2">
      <c r="A131" s="461" t="str">
        <f t="shared" si="96"/>
        <v>KANTOR DINAS KESENIAN KEBUDAYAAN &amp; PARIWISATA2015</v>
      </c>
      <c r="B131" s="708"/>
      <c r="C131" s="489"/>
      <c r="D131" s="489"/>
      <c r="E131" s="558"/>
      <c r="F131" s="559">
        <v>2015</v>
      </c>
      <c r="G131" s="619">
        <v>0</v>
      </c>
      <c r="H131" s="464">
        <f t="shared" si="98"/>
        <v>43</v>
      </c>
      <c r="I131" s="560"/>
      <c r="J131" s="468">
        <f t="shared" si="99"/>
        <v>2057</v>
      </c>
      <c r="K131" s="490">
        <f t="shared" si="97"/>
        <v>0</v>
      </c>
      <c r="L131" s="469">
        <f t="shared" si="100"/>
        <v>0</v>
      </c>
      <c r="M131" s="683">
        <f t="shared" si="101"/>
        <v>0</v>
      </c>
      <c r="N131" s="470">
        <f t="shared" si="102"/>
        <v>43</v>
      </c>
      <c r="O131" s="468">
        <f t="shared" si="103"/>
        <v>2057</v>
      </c>
      <c r="P131" s="471">
        <f t="shared" si="104"/>
        <v>1452423660.4521599</v>
      </c>
      <c r="Q131" s="472">
        <f t="shared" si="105"/>
        <v>1452423660.4521599</v>
      </c>
      <c r="R131" s="472">
        <f t="shared" si="106"/>
        <v>33777294.429120004</v>
      </c>
      <c r="S131" s="709">
        <f t="shared" si="107"/>
        <v>2015</v>
      </c>
      <c r="T131" s="470">
        <f t="shared" si="108"/>
        <v>1</v>
      </c>
      <c r="U131" s="612">
        <f t="shared" si="109"/>
        <v>33777294.429120004</v>
      </c>
      <c r="V131" s="464">
        <f t="shared" si="110"/>
        <v>2015</v>
      </c>
      <c r="W131" s="612">
        <f t="shared" si="111"/>
        <v>1418646366.0230398</v>
      </c>
      <c r="X131" s="561"/>
      <c r="Y131" s="449"/>
      <c r="Z131" s="449"/>
      <c r="AA131" s="694"/>
      <c r="AB131" s="692"/>
      <c r="AC131" s="692"/>
      <c r="AD131" s="695"/>
      <c r="AE131" s="452"/>
      <c r="AF131" s="571"/>
      <c r="AG131" s="452"/>
      <c r="AH131" s="452"/>
      <c r="AI131" s="453"/>
      <c r="AJ131" s="449"/>
      <c r="AK131" s="453"/>
      <c r="AL131" s="454"/>
      <c r="AM131" s="455"/>
      <c r="AN131" s="456"/>
      <c r="AO131" s="455"/>
      <c r="AP131" s="452"/>
      <c r="AQ131" s="457"/>
      <c r="AR131" s="449"/>
      <c r="AS131" s="449"/>
      <c r="AT131" s="452"/>
      <c r="AU131" s="457"/>
      <c r="AV131" s="449"/>
      <c r="AW131" s="458"/>
      <c r="AX131" s="452"/>
      <c r="AY131" s="457"/>
      <c r="AZ131" s="449"/>
      <c r="BA131" s="459"/>
      <c r="BB131" s="455"/>
      <c r="BC131" s="460"/>
      <c r="BD131" s="460"/>
      <c r="BG131" s="462"/>
    </row>
    <row r="132" spans="1:59" s="461" customFormat="1" ht="18" customHeight="1" x14ac:dyDescent="0.2">
      <c r="A132" s="461" t="str">
        <f t="shared" si="96"/>
        <v>KANTOR DINAS KESENIAN KEBUDAYAAN &amp; PARIWISATA2016</v>
      </c>
      <c r="B132" s="708"/>
      <c r="C132" s="489"/>
      <c r="D132" s="489"/>
      <c r="E132" s="558"/>
      <c r="F132" s="559">
        <v>2016</v>
      </c>
      <c r="G132" s="619">
        <v>0</v>
      </c>
      <c r="H132" s="464">
        <f t="shared" si="98"/>
        <v>42</v>
      </c>
      <c r="I132" s="560"/>
      <c r="J132" s="468">
        <f t="shared" si="99"/>
        <v>2057</v>
      </c>
      <c r="K132" s="490">
        <f t="shared" si="97"/>
        <v>0</v>
      </c>
      <c r="L132" s="469">
        <f t="shared" si="100"/>
        <v>0</v>
      </c>
      <c r="M132" s="683">
        <f t="shared" si="101"/>
        <v>0</v>
      </c>
      <c r="N132" s="470">
        <f t="shared" si="102"/>
        <v>42</v>
      </c>
      <c r="O132" s="468">
        <f t="shared" si="103"/>
        <v>2057</v>
      </c>
      <c r="P132" s="471">
        <f t="shared" si="104"/>
        <v>1418646366.0230398</v>
      </c>
      <c r="Q132" s="472">
        <f t="shared" si="105"/>
        <v>1418646366.0230398</v>
      </c>
      <c r="R132" s="472">
        <f t="shared" si="106"/>
        <v>33777294.429120004</v>
      </c>
      <c r="S132" s="709">
        <f t="shared" si="107"/>
        <v>2016</v>
      </c>
      <c r="T132" s="470">
        <f t="shared" si="108"/>
        <v>1</v>
      </c>
      <c r="U132" s="612">
        <f t="shared" si="109"/>
        <v>33777294.429120004</v>
      </c>
      <c r="V132" s="464">
        <f t="shared" si="110"/>
        <v>2016</v>
      </c>
      <c r="W132" s="612">
        <f t="shared" si="111"/>
        <v>1384869071.5939198</v>
      </c>
      <c r="X132" s="561"/>
      <c r="Y132" s="449"/>
      <c r="Z132" s="449"/>
      <c r="AA132" s="554" t="s">
        <v>4179</v>
      </c>
      <c r="AB132" s="452"/>
      <c r="AC132" s="452"/>
      <c r="AD132" s="566"/>
      <c r="AE132" s="452"/>
      <c r="AF132" s="571"/>
      <c r="AG132" s="452"/>
      <c r="AH132" s="452"/>
      <c r="AI132" s="453"/>
      <c r="AJ132" s="449"/>
      <c r="AK132" s="453"/>
      <c r="AL132" s="454"/>
      <c r="AM132" s="455"/>
      <c r="AN132" s="456"/>
      <c r="AO132" s="455"/>
      <c r="AP132" s="452"/>
      <c r="AQ132" s="457"/>
      <c r="AR132" s="449"/>
      <c r="AS132" s="449"/>
      <c r="AT132" s="452"/>
      <c r="AU132" s="457"/>
      <c r="AV132" s="449"/>
      <c r="AW132" s="458"/>
      <c r="AX132" s="452"/>
      <c r="AY132" s="457"/>
      <c r="AZ132" s="449"/>
      <c r="BA132" s="459"/>
      <c r="BB132" s="455"/>
      <c r="BC132" s="460"/>
      <c r="BD132" s="460"/>
      <c r="BG132" s="462"/>
    </row>
    <row r="133" spans="1:59" s="461" customFormat="1" ht="18" customHeight="1" x14ac:dyDescent="0.2">
      <c r="A133" s="461" t="str">
        <f t="shared" si="96"/>
        <v>KANTOR DINAS KESENIAN KEBUDAYAAN &amp; PARIWISATA2017</v>
      </c>
      <c r="B133" s="708"/>
      <c r="C133" s="489"/>
      <c r="D133" s="489"/>
      <c r="E133" s="558"/>
      <c r="F133" s="559">
        <v>2017</v>
      </c>
      <c r="G133" s="619">
        <v>0</v>
      </c>
      <c r="H133" s="464">
        <f t="shared" si="98"/>
        <v>41</v>
      </c>
      <c r="I133" s="560"/>
      <c r="J133" s="468">
        <f t="shared" si="99"/>
        <v>2057</v>
      </c>
      <c r="K133" s="490">
        <f t="shared" si="97"/>
        <v>0</v>
      </c>
      <c r="L133" s="469">
        <f t="shared" si="100"/>
        <v>0</v>
      </c>
      <c r="M133" s="683">
        <f t="shared" si="101"/>
        <v>0</v>
      </c>
      <c r="N133" s="470">
        <f t="shared" si="102"/>
        <v>41</v>
      </c>
      <c r="O133" s="468">
        <f t="shared" si="103"/>
        <v>2057</v>
      </c>
      <c r="P133" s="471">
        <f t="shared" si="104"/>
        <v>1384869071.5939198</v>
      </c>
      <c r="Q133" s="472">
        <f t="shared" si="105"/>
        <v>1384869071.5939198</v>
      </c>
      <c r="R133" s="472">
        <f t="shared" si="106"/>
        <v>33777294.429120004</v>
      </c>
      <c r="S133" s="709">
        <f t="shared" si="107"/>
        <v>2017</v>
      </c>
      <c r="T133" s="470">
        <f t="shared" si="108"/>
        <v>1</v>
      </c>
      <c r="U133" s="612">
        <f t="shared" si="109"/>
        <v>33777294.429120004</v>
      </c>
      <c r="V133" s="464">
        <f t="shared" si="110"/>
        <v>2017</v>
      </c>
      <c r="W133" s="612">
        <f t="shared" si="111"/>
        <v>1351091777.1647997</v>
      </c>
      <c r="X133" s="561"/>
      <c r="Y133" s="449"/>
      <c r="Z133" s="449"/>
      <c r="AA133" s="554"/>
      <c r="AB133" s="452"/>
      <c r="AC133" s="452"/>
      <c r="AD133" s="566"/>
      <c r="AE133" s="452"/>
      <c r="AF133" s="571"/>
      <c r="AG133" s="452"/>
      <c r="AH133" s="452"/>
      <c r="AI133" s="453"/>
      <c r="AJ133" s="449"/>
      <c r="AK133" s="453"/>
      <c r="AL133" s="454"/>
      <c r="AM133" s="455"/>
      <c r="AN133" s="456"/>
      <c r="AO133" s="455"/>
      <c r="AP133" s="452"/>
      <c r="AQ133" s="457"/>
      <c r="AR133" s="449"/>
      <c r="AS133" s="449"/>
      <c r="AT133" s="452"/>
      <c r="AU133" s="457"/>
      <c r="AV133" s="449"/>
      <c r="AW133" s="458"/>
      <c r="AX133" s="452"/>
      <c r="AY133" s="457"/>
      <c r="AZ133" s="449"/>
      <c r="BA133" s="459"/>
      <c r="BB133" s="455"/>
      <c r="BC133" s="460"/>
      <c r="BD133" s="460"/>
      <c r="BG133" s="462"/>
    </row>
    <row r="134" spans="1:59" s="486" customFormat="1" ht="18" customHeight="1" x14ac:dyDescent="0.2">
      <c r="A134" s="461" t="str">
        <f t="shared" si="96"/>
        <v>KANTOR DINAS KESENIAN KEBUDAYAAN &amp; PARIWISATA2018</v>
      </c>
      <c r="B134" s="708"/>
      <c r="C134" s="463"/>
      <c r="D134" s="489"/>
      <c r="E134" s="465"/>
      <c r="F134" s="466">
        <v>2018</v>
      </c>
      <c r="G134" s="620">
        <v>0</v>
      </c>
      <c r="H134" s="464">
        <f t="shared" si="98"/>
        <v>40</v>
      </c>
      <c r="I134" s="560"/>
      <c r="J134" s="468">
        <f t="shared" si="99"/>
        <v>2057</v>
      </c>
      <c r="K134" s="490">
        <f t="shared" si="97"/>
        <v>0</v>
      </c>
      <c r="L134" s="469">
        <f t="shared" si="100"/>
        <v>0</v>
      </c>
      <c r="M134" s="683">
        <f t="shared" si="101"/>
        <v>0</v>
      </c>
      <c r="N134" s="470">
        <f t="shared" si="102"/>
        <v>40</v>
      </c>
      <c r="O134" s="468">
        <f t="shared" si="103"/>
        <v>2057</v>
      </c>
      <c r="P134" s="471">
        <f t="shared" si="104"/>
        <v>1351091777.1647997</v>
      </c>
      <c r="Q134" s="472">
        <f t="shared" si="105"/>
        <v>1351091777.1647997</v>
      </c>
      <c r="R134" s="472">
        <f t="shared" si="106"/>
        <v>33777294.429120004</v>
      </c>
      <c r="S134" s="709">
        <f t="shared" si="107"/>
        <v>2018</v>
      </c>
      <c r="T134" s="470">
        <f t="shared" si="108"/>
        <v>1</v>
      </c>
      <c r="U134" s="612">
        <f t="shared" si="109"/>
        <v>33777294.429120004</v>
      </c>
      <c r="V134" s="464">
        <f t="shared" si="110"/>
        <v>2018</v>
      </c>
      <c r="W134" s="612">
        <f t="shared" si="111"/>
        <v>1317314482.7356796</v>
      </c>
      <c r="X134" s="473"/>
      <c r="Y134" s="474"/>
      <c r="Z134" s="449"/>
      <c r="AA134" s="475" t="s">
        <v>4180</v>
      </c>
      <c r="AB134" s="476"/>
      <c r="AC134" s="476"/>
      <c r="AD134" s="567">
        <f>G139</f>
        <v>1708579087.2</v>
      </c>
      <c r="AE134" s="476"/>
      <c r="AF134" s="568"/>
      <c r="AG134" s="476"/>
      <c r="AH134" s="476"/>
      <c r="AI134" s="477"/>
      <c r="AJ134" s="478"/>
      <c r="AK134" s="479"/>
      <c r="AL134" s="480"/>
      <c r="AM134" s="474"/>
      <c r="AN134" s="481"/>
      <c r="AO134" s="474"/>
      <c r="AP134" s="476"/>
      <c r="AQ134" s="482"/>
      <c r="AR134" s="478"/>
      <c r="AS134" s="478"/>
      <c r="AT134" s="476"/>
      <c r="AU134" s="482"/>
      <c r="AV134" s="478"/>
      <c r="AW134" s="483"/>
      <c r="AX134" s="476"/>
      <c r="AY134" s="482"/>
      <c r="AZ134" s="478"/>
      <c r="BA134" s="484"/>
      <c r="BB134" s="474"/>
      <c r="BC134" s="485"/>
      <c r="BD134" s="485"/>
      <c r="BG134" s="487"/>
    </row>
    <row r="135" spans="1:59" s="486" customFormat="1" ht="18" customHeight="1" x14ac:dyDescent="0.2">
      <c r="A135" s="461" t="str">
        <f t="shared" si="96"/>
        <v>KANTOR DINAS KESENIAN KEBUDAYAAN &amp; PARIWISATA2019</v>
      </c>
      <c r="B135" s="708"/>
      <c r="C135" s="488"/>
      <c r="D135" s="489"/>
      <c r="E135" s="465"/>
      <c r="F135" s="466">
        <v>2019</v>
      </c>
      <c r="G135" s="620">
        <v>0</v>
      </c>
      <c r="H135" s="464">
        <f>IF(N134-(F135-F134)&lt;=0,0,(N134-(F135-F134)))</f>
        <v>39</v>
      </c>
      <c r="I135" s="560"/>
      <c r="J135" s="468">
        <f>(F135+N135)-1</f>
        <v>2057</v>
      </c>
      <c r="K135" s="490">
        <f>IF(G135=0,0,IF(H135=50,100%,G135/W134))</f>
        <v>0</v>
      </c>
      <c r="L135" s="469">
        <f>IF(K135=0%,0,IF(K135&lt;=25%,5,IF(K135&lt;=50%,10,IF(K135&lt;=75%,15,50))))</f>
        <v>0</v>
      </c>
      <c r="M135" s="683">
        <f>IF(OR(AND(ISBLANK(E135),ISBLANK(G135)),ISTEXT(E135),ISTEXT(G135)),"",IF(H135+L135&gt;$H$27,$H$27-H135,L135))</f>
        <v>0</v>
      </c>
      <c r="N135" s="470">
        <f>IF(OR(AND(ISBLANK(F135),ISBLANK(G135)),ISTEXT(F135),ISTEXT(G135)),"",H135+M135)</f>
        <v>39</v>
      </c>
      <c r="O135" s="468">
        <f>(F135+N135)-1</f>
        <v>2057</v>
      </c>
      <c r="P135" s="471">
        <f>W134</f>
        <v>1317314482.7356796</v>
      </c>
      <c r="Q135" s="472">
        <f>P135+G135</f>
        <v>1317314482.7356796</v>
      </c>
      <c r="R135" s="472">
        <f>IF(L135=0,R134,Q135/N135)</f>
        <v>33777294.429120004</v>
      </c>
      <c r="S135" s="1189">
        <f>F135</f>
        <v>2019</v>
      </c>
      <c r="T135" s="470">
        <f>S135-S134</f>
        <v>1</v>
      </c>
      <c r="U135" s="612">
        <f>R135*T135</f>
        <v>33777294.429120004</v>
      </c>
      <c r="V135" s="464">
        <f>F135</f>
        <v>2019</v>
      </c>
      <c r="W135" s="612">
        <f>IF(OR(AND(ISBLANK(E135),ISBLANK(G135)),ISTEXT(E135),ISTEXT(G135)),"",Q135-U135)</f>
        <v>1283537188.3065596</v>
      </c>
      <c r="X135" s="473"/>
      <c r="Y135" s="478"/>
      <c r="Z135" s="449"/>
      <c r="AA135" s="475" t="s">
        <v>4181</v>
      </c>
      <c r="AB135" s="491"/>
      <c r="AC135" s="491"/>
      <c r="AD135" s="567">
        <f>U139</f>
        <v>425041898.89344007</v>
      </c>
      <c r="AE135" s="491"/>
      <c r="AF135" s="568"/>
      <c r="AG135" s="491"/>
      <c r="AH135" s="491"/>
      <c r="AI135" s="477"/>
      <c r="AJ135" s="478"/>
      <c r="AK135" s="479"/>
      <c r="AL135" s="480"/>
      <c r="AM135" s="474"/>
      <c r="AN135" s="481"/>
      <c r="AO135" s="474"/>
      <c r="AP135" s="476"/>
      <c r="AQ135" s="482"/>
      <c r="AR135" s="478"/>
      <c r="AS135" s="478"/>
      <c r="AT135" s="476"/>
      <c r="AU135" s="482"/>
      <c r="AV135" s="478"/>
      <c r="AW135" s="483"/>
      <c r="AX135" s="476"/>
      <c r="AY135" s="482"/>
      <c r="AZ135" s="478"/>
      <c r="BA135" s="484"/>
      <c r="BB135" s="474"/>
      <c r="BC135" s="485"/>
      <c r="BD135" s="485"/>
      <c r="BG135" s="487"/>
    </row>
    <row r="136" spans="1:59" s="486" customFormat="1" ht="18" customHeight="1" x14ac:dyDescent="0.2">
      <c r="B136" s="708"/>
      <c r="C136" s="463"/>
      <c r="D136" s="464"/>
      <c r="E136" s="465"/>
      <c r="F136" s="466"/>
      <c r="G136" s="620"/>
      <c r="H136" s="464"/>
      <c r="I136" s="467"/>
      <c r="J136" s="468"/>
      <c r="K136" s="490"/>
      <c r="L136" s="469"/>
      <c r="M136" s="683"/>
      <c r="N136" s="470"/>
      <c r="O136" s="468"/>
      <c r="P136" s="471"/>
      <c r="Q136" s="472"/>
      <c r="R136" s="472"/>
      <c r="S136" s="629"/>
      <c r="T136" s="470"/>
      <c r="U136" s="612"/>
      <c r="V136" s="464"/>
      <c r="W136" s="612"/>
      <c r="X136" s="473"/>
      <c r="Y136" s="478"/>
      <c r="Z136" s="449"/>
      <c r="AA136" s="492" t="s">
        <v>4182</v>
      </c>
      <c r="AB136" s="476"/>
      <c r="AC136" s="476"/>
      <c r="AD136" s="568">
        <f>AD134-AD135</f>
        <v>1283537188.30656</v>
      </c>
      <c r="AE136" s="476"/>
      <c r="AF136" s="568"/>
      <c r="AG136" s="476"/>
      <c r="AH136" s="476"/>
      <c r="AI136" s="477"/>
      <c r="AJ136" s="478"/>
      <c r="AK136" s="479"/>
      <c r="AL136" s="480"/>
      <c r="AM136" s="474"/>
      <c r="AN136" s="481"/>
      <c r="AO136" s="474"/>
      <c r="AP136" s="476"/>
      <c r="AQ136" s="482"/>
      <c r="AR136" s="478"/>
      <c r="AS136" s="478"/>
      <c r="AT136" s="476"/>
      <c r="AU136" s="482"/>
      <c r="AV136" s="478"/>
      <c r="AW136" s="483"/>
      <c r="AX136" s="476"/>
      <c r="AY136" s="482"/>
      <c r="AZ136" s="478"/>
      <c r="BA136" s="484"/>
      <c r="BB136" s="474"/>
      <c r="BC136" s="485"/>
      <c r="BD136" s="485"/>
      <c r="BG136" s="487"/>
    </row>
    <row r="137" spans="1:59" s="486" customFormat="1" ht="18" customHeight="1" x14ac:dyDescent="0.2">
      <c r="B137" s="687"/>
      <c r="C137" s="463"/>
      <c r="D137" s="464"/>
      <c r="E137" s="465"/>
      <c r="F137" s="466"/>
      <c r="G137" s="620"/>
      <c r="H137" s="464"/>
      <c r="I137" s="467"/>
      <c r="J137" s="468"/>
      <c r="K137" s="490"/>
      <c r="L137" s="469"/>
      <c r="M137" s="683"/>
      <c r="N137" s="470"/>
      <c r="O137" s="468"/>
      <c r="P137" s="471"/>
      <c r="Q137" s="472"/>
      <c r="R137" s="472"/>
      <c r="S137" s="629"/>
      <c r="T137" s="470"/>
      <c r="U137" s="612"/>
      <c r="V137" s="464"/>
      <c r="W137" s="612"/>
      <c r="X137" s="473"/>
      <c r="Y137" s="478"/>
      <c r="Z137" s="449"/>
      <c r="AA137" s="475" t="s">
        <v>4183</v>
      </c>
      <c r="AB137" s="476"/>
      <c r="AC137" s="476"/>
      <c r="AD137" s="567">
        <f>AD136-W139</f>
        <v>0</v>
      </c>
      <c r="AE137" s="476"/>
      <c r="AF137" s="568"/>
      <c r="AG137" s="476"/>
      <c r="AH137" s="476"/>
      <c r="AI137" s="477"/>
      <c r="AJ137" s="478"/>
      <c r="AK137" s="479"/>
      <c r="AL137" s="480"/>
      <c r="AM137" s="474"/>
      <c r="AN137" s="481"/>
      <c r="AO137" s="474"/>
      <c r="AP137" s="476"/>
      <c r="AQ137" s="482"/>
      <c r="AR137" s="478"/>
      <c r="AS137" s="478"/>
      <c r="AT137" s="476"/>
      <c r="AU137" s="482"/>
      <c r="AV137" s="478"/>
      <c r="AW137" s="483"/>
      <c r="AX137" s="476"/>
      <c r="AY137" s="482"/>
      <c r="AZ137" s="478"/>
      <c r="BA137" s="484"/>
      <c r="BB137" s="474"/>
      <c r="BC137" s="485"/>
      <c r="BD137" s="485"/>
      <c r="BG137" s="487"/>
    </row>
    <row r="138" spans="1:59" s="486" customFormat="1" ht="18" customHeight="1" x14ac:dyDescent="0.2">
      <c r="B138" s="687"/>
      <c r="C138" s="494"/>
      <c r="D138" s="464"/>
      <c r="E138" s="465"/>
      <c r="F138" s="466"/>
      <c r="G138" s="620"/>
      <c r="H138" s="464"/>
      <c r="I138" s="467"/>
      <c r="J138" s="468"/>
      <c r="K138" s="490"/>
      <c r="L138" s="469"/>
      <c r="M138" s="683"/>
      <c r="N138" s="470"/>
      <c r="O138" s="468"/>
      <c r="P138" s="471"/>
      <c r="Q138" s="472"/>
      <c r="R138" s="472"/>
      <c r="S138" s="629"/>
      <c r="T138" s="470"/>
      <c r="U138" s="612"/>
      <c r="V138" s="464"/>
      <c r="W138" s="612"/>
      <c r="X138" s="473"/>
      <c r="Y138" s="478"/>
      <c r="Z138" s="449"/>
      <c r="AA138" s="495"/>
      <c r="AB138" s="496"/>
      <c r="AC138" s="496"/>
      <c r="AD138" s="569"/>
      <c r="AE138" s="476"/>
      <c r="AF138" s="568"/>
      <c r="AG138" s="476"/>
      <c r="AH138" s="476"/>
      <c r="AI138" s="477"/>
      <c r="AJ138" s="478"/>
      <c r="AK138" s="479"/>
      <c r="AL138" s="480"/>
      <c r="AM138" s="474"/>
      <c r="AN138" s="481"/>
      <c r="AO138" s="474"/>
      <c r="AP138" s="476"/>
      <c r="AQ138" s="482"/>
      <c r="AR138" s="478"/>
      <c r="AS138" s="478"/>
      <c r="AT138" s="476"/>
      <c r="AU138" s="482"/>
      <c r="AV138" s="478"/>
      <c r="AW138" s="483"/>
      <c r="AX138" s="476"/>
      <c r="AY138" s="482"/>
      <c r="AZ138" s="478"/>
      <c r="BA138" s="484"/>
      <c r="BB138" s="474"/>
      <c r="BC138" s="485"/>
      <c r="BD138" s="485"/>
      <c r="BG138" s="487"/>
    </row>
    <row r="139" spans="1:59" s="526" customFormat="1" ht="18" customHeight="1" x14ac:dyDescent="0.2">
      <c r="B139" s="1956" t="s">
        <v>4184</v>
      </c>
      <c r="C139" s="1957"/>
      <c r="D139" s="1957"/>
      <c r="E139" s="1957"/>
      <c r="F139" s="1958"/>
      <c r="G139" s="621">
        <f>SUM(G127:G138)</f>
        <v>1708579087.2</v>
      </c>
      <c r="H139" s="505"/>
      <c r="I139" s="506"/>
      <c r="J139" s="507"/>
      <c r="K139" s="507"/>
      <c r="L139" s="505"/>
      <c r="M139" s="684"/>
      <c r="N139" s="508"/>
      <c r="O139" s="507"/>
      <c r="P139" s="509"/>
      <c r="Q139" s="510"/>
      <c r="R139" s="511"/>
      <c r="S139" s="512"/>
      <c r="T139" s="512"/>
      <c r="U139" s="610">
        <f>SUM(U127:U138)</f>
        <v>425041898.89344007</v>
      </c>
      <c r="V139" s="513"/>
      <c r="W139" s="610">
        <f>G139-U139</f>
        <v>1283537188.30656</v>
      </c>
      <c r="X139" s="514"/>
      <c r="Y139" s="515"/>
      <c r="Z139" s="515"/>
      <c r="AA139" s="515"/>
      <c r="AB139" s="515"/>
      <c r="AC139" s="515"/>
      <c r="AD139" s="570"/>
      <c r="AE139" s="515"/>
      <c r="AF139" s="570"/>
      <c r="AG139" s="515"/>
      <c r="AH139" s="515"/>
      <c r="AI139" s="516"/>
      <c r="AJ139" s="517"/>
      <c r="AK139" s="518"/>
      <c r="AL139" s="519"/>
      <c r="AM139" s="520"/>
      <c r="AN139" s="521"/>
      <c r="AO139" s="520"/>
      <c r="AP139" s="515"/>
      <c r="AQ139" s="522"/>
      <c r="AR139" s="517"/>
      <c r="AS139" s="517"/>
      <c r="AT139" s="515"/>
      <c r="AU139" s="522"/>
      <c r="AV139" s="517"/>
      <c r="AW139" s="523"/>
      <c r="AX139" s="515"/>
      <c r="AY139" s="522"/>
      <c r="AZ139" s="517"/>
      <c r="BA139" s="524"/>
      <c r="BB139" s="520"/>
      <c r="BC139" s="525"/>
      <c r="BD139" s="525"/>
      <c r="BG139" s="527"/>
    </row>
    <row r="140" spans="1:59" ht="15" customHeight="1" x14ac:dyDescent="0.2">
      <c r="U140" s="614"/>
    </row>
    <row r="141" spans="1:59" ht="15" customHeight="1" x14ac:dyDescent="0.2">
      <c r="U141" s="614"/>
    </row>
    <row r="142" spans="1:59" s="422" customFormat="1" ht="18" customHeight="1" x14ac:dyDescent="0.2">
      <c r="B142" s="688" t="s">
        <v>4207</v>
      </c>
      <c r="C142" s="556"/>
      <c r="D142" s="553" t="s">
        <v>3004</v>
      </c>
      <c r="E142" s="553"/>
      <c r="F142" s="421"/>
      <c r="G142" s="611"/>
      <c r="I142" s="423"/>
      <c r="J142" s="424"/>
      <c r="K142" s="424"/>
      <c r="M142" s="680"/>
      <c r="U142" s="611"/>
      <c r="W142" s="611"/>
      <c r="Y142" s="425"/>
      <c r="Z142" s="425"/>
      <c r="AA142" s="425"/>
      <c r="AB142" s="425"/>
      <c r="AC142" s="425"/>
      <c r="AD142" s="563"/>
      <c r="AE142" s="425"/>
      <c r="AF142" s="563"/>
      <c r="AG142" s="425"/>
      <c r="AH142" s="425"/>
      <c r="AI142" s="425"/>
      <c r="AJ142" s="425"/>
      <c r="AK142" s="425"/>
      <c r="AL142" s="425"/>
      <c r="AM142" s="425"/>
      <c r="AN142" s="425"/>
      <c r="AO142" s="425"/>
      <c r="AP142" s="425"/>
      <c r="AQ142" s="425"/>
      <c r="AR142" s="425"/>
      <c r="AS142" s="425"/>
      <c r="AT142" s="425"/>
      <c r="AU142" s="425"/>
      <c r="AV142" s="425"/>
      <c r="AW142" s="425"/>
      <c r="AX142" s="425"/>
      <c r="AY142" s="425"/>
      <c r="AZ142" s="425"/>
      <c r="BA142" s="425"/>
      <c r="BB142" s="425"/>
    </row>
    <row r="143" spans="1:59" s="431" customFormat="1" ht="18" customHeight="1" x14ac:dyDescent="0.2">
      <c r="B143" s="1968" t="s">
        <v>5</v>
      </c>
      <c r="C143" s="1968" t="s">
        <v>2280</v>
      </c>
      <c r="D143" s="1968" t="s">
        <v>4157</v>
      </c>
      <c r="E143" s="1968" t="s">
        <v>4158</v>
      </c>
      <c r="F143" s="1968"/>
      <c r="G143" s="1969" t="s">
        <v>4159</v>
      </c>
      <c r="H143" s="1355" t="s">
        <v>4160</v>
      </c>
      <c r="I143" s="1355"/>
      <c r="J143" s="1968" t="s">
        <v>4161</v>
      </c>
      <c r="K143" s="1964" t="s">
        <v>4162</v>
      </c>
      <c r="L143" s="1968" t="s">
        <v>4163</v>
      </c>
      <c r="M143" s="1971" t="s">
        <v>4164</v>
      </c>
      <c r="N143" s="1962" t="s">
        <v>4165</v>
      </c>
      <c r="O143" s="1968" t="s">
        <v>4166</v>
      </c>
      <c r="P143" s="1972" t="s">
        <v>4167</v>
      </c>
      <c r="Q143" s="1973"/>
      <c r="R143" s="631" t="s">
        <v>4168</v>
      </c>
      <c r="S143" s="1972" t="s">
        <v>4169</v>
      </c>
      <c r="T143" s="1974"/>
      <c r="U143" s="1973"/>
      <c r="V143" s="1975" t="s">
        <v>4170</v>
      </c>
      <c r="W143" s="1975"/>
      <c r="X143" s="1960" t="s">
        <v>4171</v>
      </c>
      <c r="Y143" s="1959"/>
      <c r="Z143" s="628"/>
      <c r="AA143" s="426"/>
      <c r="AB143" s="426"/>
      <c r="AC143" s="426"/>
      <c r="AD143" s="564"/>
      <c r="AE143" s="426"/>
      <c r="AF143" s="564"/>
      <c r="AG143" s="426"/>
      <c r="AH143" s="426"/>
      <c r="AI143" s="427"/>
      <c r="AJ143" s="427"/>
      <c r="AK143" s="427"/>
      <c r="AL143" s="427"/>
      <c r="AM143" s="428"/>
      <c r="AN143" s="427"/>
      <c r="AO143" s="427"/>
      <c r="AP143" s="426"/>
      <c r="AQ143" s="427"/>
      <c r="AR143" s="427"/>
      <c r="AS143" s="427"/>
      <c r="AT143" s="426"/>
      <c r="AU143" s="427"/>
      <c r="AV143" s="427"/>
      <c r="AW143" s="427"/>
      <c r="AX143" s="426"/>
      <c r="AY143" s="427"/>
      <c r="AZ143" s="427"/>
      <c r="BA143" s="427"/>
      <c r="BB143" s="429"/>
      <c r="BC143" s="430"/>
      <c r="BD143" s="430"/>
    </row>
    <row r="144" spans="1:59" s="431" customFormat="1" ht="18" customHeight="1" x14ac:dyDescent="0.2">
      <c r="B144" s="1968"/>
      <c r="C144" s="1968"/>
      <c r="D144" s="1968"/>
      <c r="E144" s="1968"/>
      <c r="F144" s="1968"/>
      <c r="G144" s="1969"/>
      <c r="H144" s="1355"/>
      <c r="I144" s="1355"/>
      <c r="J144" s="1968"/>
      <c r="K144" s="1970"/>
      <c r="L144" s="1968"/>
      <c r="M144" s="1971"/>
      <c r="N144" s="1963"/>
      <c r="O144" s="1968"/>
      <c r="P144" s="1960" t="s">
        <v>4172</v>
      </c>
      <c r="Q144" s="1960" t="s">
        <v>4173</v>
      </c>
      <c r="R144" s="1962" t="s">
        <v>4159</v>
      </c>
      <c r="S144" s="1962" t="s">
        <v>4174</v>
      </c>
      <c r="T144" s="1964" t="s">
        <v>4175</v>
      </c>
      <c r="U144" s="1966" t="s">
        <v>4159</v>
      </c>
      <c r="V144" s="1975"/>
      <c r="W144" s="1975"/>
      <c r="X144" s="1976"/>
      <c r="Y144" s="1959"/>
      <c r="Z144" s="628"/>
      <c r="AA144" s="426"/>
      <c r="AB144" s="426"/>
      <c r="AC144" s="426"/>
      <c r="AD144" s="564"/>
      <c r="AE144" s="426"/>
      <c r="AF144" s="564"/>
      <c r="AG144" s="426"/>
      <c r="AH144" s="426"/>
      <c r="AI144" s="427"/>
      <c r="AJ144" s="427"/>
      <c r="AK144" s="426"/>
      <c r="AL144" s="427"/>
      <c r="AM144" s="428"/>
      <c r="AN144" s="427"/>
      <c r="AO144" s="427"/>
      <c r="AP144" s="432"/>
      <c r="AQ144" s="427"/>
      <c r="AR144" s="427"/>
      <c r="AS144" s="427"/>
      <c r="AT144" s="432"/>
      <c r="AU144" s="427"/>
      <c r="AV144" s="427"/>
      <c r="AW144" s="427"/>
      <c r="AX144" s="432"/>
      <c r="AY144" s="427"/>
      <c r="AZ144" s="427"/>
      <c r="BA144" s="427"/>
      <c r="BB144" s="429"/>
      <c r="BC144" s="430"/>
      <c r="BD144" s="430"/>
    </row>
    <row r="145" spans="1:59" s="431" customFormat="1" ht="21.75" customHeight="1" x14ac:dyDescent="0.2">
      <c r="B145" s="1968"/>
      <c r="C145" s="1968"/>
      <c r="D145" s="1968"/>
      <c r="E145" s="433" t="s">
        <v>4176</v>
      </c>
      <c r="F145" s="434" t="s">
        <v>2288</v>
      </c>
      <c r="G145" s="1969"/>
      <c r="H145" s="1355" t="s">
        <v>2288</v>
      </c>
      <c r="I145" s="1355" t="s">
        <v>4177</v>
      </c>
      <c r="J145" s="1968"/>
      <c r="K145" s="1965"/>
      <c r="L145" s="435" t="s">
        <v>2288</v>
      </c>
      <c r="M145" s="681" t="s">
        <v>2288</v>
      </c>
      <c r="N145" s="630" t="s">
        <v>2288</v>
      </c>
      <c r="O145" s="1968"/>
      <c r="P145" s="1961"/>
      <c r="Q145" s="1961"/>
      <c r="R145" s="1963"/>
      <c r="S145" s="1963"/>
      <c r="T145" s="1965"/>
      <c r="U145" s="1967"/>
      <c r="V145" s="630" t="s">
        <v>4178</v>
      </c>
      <c r="W145" s="632" t="s">
        <v>4159</v>
      </c>
      <c r="X145" s="1961"/>
      <c r="Y145" s="436"/>
      <c r="Z145" s="436"/>
      <c r="AA145" s="426"/>
      <c r="AB145" s="426"/>
      <c r="AC145" s="426"/>
      <c r="AD145" s="564"/>
      <c r="AE145" s="426"/>
      <c r="AF145" s="564"/>
      <c r="AG145" s="426"/>
      <c r="AH145" s="426"/>
      <c r="AI145" s="427"/>
      <c r="AJ145" s="432"/>
      <c r="AK145" s="432"/>
      <c r="AL145" s="427"/>
      <c r="AM145" s="428"/>
      <c r="AN145" s="432"/>
      <c r="AO145" s="427"/>
      <c r="AP145" s="432"/>
      <c r="AQ145" s="432"/>
      <c r="AR145" s="427"/>
      <c r="AS145" s="427"/>
      <c r="AT145" s="432"/>
      <c r="AU145" s="432"/>
      <c r="AV145" s="427"/>
      <c r="AW145" s="427"/>
      <c r="AX145" s="432"/>
      <c r="AY145" s="432"/>
      <c r="AZ145" s="427"/>
      <c r="BA145" s="427"/>
      <c r="BB145" s="429"/>
      <c r="BC145" s="430"/>
      <c r="BD145" s="430"/>
    </row>
    <row r="146" spans="1:59" s="461" customFormat="1" ht="18" customHeight="1" x14ac:dyDescent="0.2">
      <c r="A146" s="461" t="str">
        <f>$D$142&amp;S146</f>
        <v>KANTOR DINAS PERHUBUNGAN, INFORMASI DAN KOMUNIKASI2007</v>
      </c>
      <c r="B146" s="689">
        <v>1</v>
      </c>
      <c r="C146" s="597" t="s">
        <v>1034</v>
      </c>
      <c r="D146" s="597" t="s">
        <v>1752</v>
      </c>
      <c r="E146" s="598"/>
      <c r="F146" s="599">
        <v>2007</v>
      </c>
      <c r="G146" s="626">
        <v>1498540229.0999999</v>
      </c>
      <c r="H146" s="600">
        <f>VLOOKUP(LEFT(D146,8),UE,4)</f>
        <v>50</v>
      </c>
      <c r="I146" s="601"/>
      <c r="J146" s="602">
        <f>(F146+N146)-1</f>
        <v>2056</v>
      </c>
      <c r="K146" s="603"/>
      <c r="L146" s="600"/>
      <c r="M146" s="685">
        <f>IF(H146+L146&gt;$H146,$H146-H146,L146)</f>
        <v>0</v>
      </c>
      <c r="N146" s="604">
        <f>H146+M146</f>
        <v>50</v>
      </c>
      <c r="O146" s="602">
        <f>(F146+N146)-1</f>
        <v>2056</v>
      </c>
      <c r="P146" s="605">
        <f>G146</f>
        <v>1498540229.0999999</v>
      </c>
      <c r="Q146" s="606">
        <v>0</v>
      </c>
      <c r="R146" s="606">
        <f>P146/N146</f>
        <v>29970804.581999999</v>
      </c>
      <c r="S146" s="607">
        <f>F146</f>
        <v>2007</v>
      </c>
      <c r="T146" s="608">
        <v>1</v>
      </c>
      <c r="U146" s="615">
        <f>R146*T146</f>
        <v>29970804.581999999</v>
      </c>
      <c r="V146" s="602">
        <f>F146</f>
        <v>2007</v>
      </c>
      <c r="W146" s="618">
        <f>IF(OR(AND(ISBLANK(E146),ISBLANK(G146)),ISTEXT(E146),ISTEXT(G146)),"",G146-R146)</f>
        <v>1468569424.5179999</v>
      </c>
      <c r="X146" s="609"/>
      <c r="Y146" s="449"/>
      <c r="Z146" s="449"/>
      <c r="AA146" s="693"/>
      <c r="AB146" s="452"/>
      <c r="AC146" s="452"/>
      <c r="AD146" s="571"/>
      <c r="AE146" s="452"/>
      <c r="AF146" s="571"/>
      <c r="AG146" s="452"/>
      <c r="AH146" s="452"/>
      <c r="AI146" s="453"/>
      <c r="AJ146" s="449"/>
      <c r="AK146" s="453"/>
      <c r="AL146" s="454"/>
      <c r="AM146" s="455"/>
      <c r="AN146" s="456"/>
      <c r="AO146" s="455"/>
      <c r="AP146" s="452"/>
      <c r="AQ146" s="457"/>
      <c r="AR146" s="449"/>
      <c r="AS146" s="449"/>
      <c r="AT146" s="452"/>
      <c r="AU146" s="457"/>
      <c r="AV146" s="449"/>
      <c r="AW146" s="458"/>
      <c r="AX146" s="452"/>
      <c r="AY146" s="457"/>
      <c r="AZ146" s="449"/>
      <c r="BA146" s="459"/>
      <c r="BB146" s="455"/>
      <c r="BC146" s="460"/>
      <c r="BD146" s="460"/>
      <c r="BG146" s="462"/>
    </row>
    <row r="147" spans="1:59" s="781" customFormat="1" ht="18" customHeight="1" x14ac:dyDescent="0.2">
      <c r="A147" s="461" t="str">
        <f t="shared" ref="A147:A157" si="112">$D$142&amp;S147</f>
        <v>KANTOR DINAS PERHUBUNGAN, INFORMASI DAN KOMUNIKASI2008</v>
      </c>
      <c r="B147" s="782">
        <v>2</v>
      </c>
      <c r="C147" s="783" t="s">
        <v>1063</v>
      </c>
      <c r="D147" s="783"/>
      <c r="E147" s="784"/>
      <c r="F147" s="785">
        <v>2008</v>
      </c>
      <c r="G147" s="786">
        <v>366310200</v>
      </c>
      <c r="H147" s="787">
        <f>IF(N146-(F147-F146)&lt;=0,0,(N146-(F147-F146)))</f>
        <v>49</v>
      </c>
      <c r="I147" s="788"/>
      <c r="J147" s="789">
        <f>(F147+N147)-1</f>
        <v>2057</v>
      </c>
      <c r="K147" s="790">
        <f>IF(G147=0,0,IF(H147=50,100%,G147/W146))</f>
        <v>0.24943335594789937</v>
      </c>
      <c r="L147" s="791">
        <f>IF(K147=0%,0,IF(K147&lt;=25%,5,IF(K147&lt;=50%,10,IF(K147&lt;=75%,15,50))))</f>
        <v>5</v>
      </c>
      <c r="M147" s="792">
        <f>IF(OR(AND(ISBLANK(E147),ISBLANK(G147)),ISTEXT(E147),ISTEXT(G147)),"",IF(H147+L147&gt;$H$27,$H$27-H147,L147))</f>
        <v>1</v>
      </c>
      <c r="N147" s="793">
        <f>IF(OR(AND(ISBLANK(F147),ISBLANK(G147)),ISTEXT(F147),ISTEXT(G147)),"",H147+M147)</f>
        <v>50</v>
      </c>
      <c r="O147" s="789">
        <f>(F147+N147)-1</f>
        <v>2057</v>
      </c>
      <c r="P147" s="794">
        <f>W146</f>
        <v>1468569424.5179999</v>
      </c>
      <c r="Q147" s="795">
        <f>P147+G147</f>
        <v>1834879624.5179999</v>
      </c>
      <c r="R147" s="795">
        <f>IF(L147=0,R146,Q147/N147)</f>
        <v>36697592.490359999</v>
      </c>
      <c r="S147" s="796">
        <f>F147</f>
        <v>2008</v>
      </c>
      <c r="T147" s="793">
        <f>S147-S146</f>
        <v>1</v>
      </c>
      <c r="U147" s="797">
        <f>R147*T147</f>
        <v>36697592.490359999</v>
      </c>
      <c r="V147" s="787">
        <f>F147</f>
        <v>2008</v>
      </c>
      <c r="W147" s="797">
        <f>IF(OR(AND(ISBLANK(E147),ISBLANK(G147)),ISTEXT(E147),ISTEXT(G147)),"",Q147-U147)</f>
        <v>1798182032.0276399</v>
      </c>
      <c r="X147" s="798"/>
      <c r="Y147" s="799"/>
      <c r="Z147" s="799"/>
      <c r="AA147" s="800"/>
      <c r="AB147" s="801"/>
      <c r="AC147" s="801"/>
      <c r="AD147" s="802"/>
      <c r="AE147" s="801"/>
      <c r="AF147" s="802"/>
      <c r="AG147" s="801"/>
      <c r="AH147" s="801"/>
      <c r="AI147" s="803"/>
      <c r="AJ147" s="799"/>
      <c r="AK147" s="803"/>
      <c r="AL147" s="804"/>
      <c r="AM147" s="805"/>
      <c r="AN147" s="806"/>
      <c r="AO147" s="805"/>
      <c r="AP147" s="801"/>
      <c r="AQ147" s="807"/>
      <c r="AR147" s="799"/>
      <c r="AS147" s="799"/>
      <c r="AT147" s="801"/>
      <c r="AU147" s="807"/>
      <c r="AV147" s="799"/>
      <c r="AW147" s="808"/>
      <c r="AX147" s="801"/>
      <c r="AY147" s="807"/>
      <c r="AZ147" s="799"/>
      <c r="BA147" s="809"/>
      <c r="BB147" s="805"/>
      <c r="BC147" s="810"/>
      <c r="BD147" s="810"/>
      <c r="BG147" s="811"/>
    </row>
    <row r="148" spans="1:59" s="461" customFormat="1" ht="18" customHeight="1" x14ac:dyDescent="0.2">
      <c r="A148" s="461" t="str">
        <f t="shared" si="112"/>
        <v>KANTOR DINAS PERHUBUNGAN, INFORMASI DAN KOMUNIKASI2009</v>
      </c>
      <c r="B148" s="708"/>
      <c r="C148" s="489"/>
      <c r="D148" s="489"/>
      <c r="E148" s="558"/>
      <c r="F148" s="559">
        <v>2009</v>
      </c>
      <c r="G148" s="619">
        <v>0</v>
      </c>
      <c r="H148" s="464">
        <f t="shared" ref="H148:H155" si="113">IF(N147-(F148-F147)&lt;=0,0,(N147-(F148-F147)))</f>
        <v>49</v>
      </c>
      <c r="I148" s="560"/>
      <c r="J148" s="468">
        <f t="shared" ref="J148:J155" si="114">(F148+N148)-1</f>
        <v>2057</v>
      </c>
      <c r="K148" s="490">
        <f t="shared" ref="K148:K155" si="115">IF(G148=0,0,IF(H148=50,100%,G148/W147))</f>
        <v>0</v>
      </c>
      <c r="L148" s="469">
        <f t="shared" ref="L148:L155" si="116">IF(K148=0%,0,IF(K148&lt;=25%,5,IF(K148&lt;=50%,10,IF(K148&lt;=75%,15,50))))</f>
        <v>0</v>
      </c>
      <c r="M148" s="683">
        <f t="shared" ref="M148:M155" si="117">IF(OR(AND(ISBLANK(E148),ISBLANK(G148)),ISTEXT(E148),ISTEXT(G148)),"",IF(H148+L148&gt;$H$27,$H$27-H148,L148))</f>
        <v>0</v>
      </c>
      <c r="N148" s="470">
        <f t="shared" ref="N148:N155" si="118">IF(OR(AND(ISBLANK(F148),ISBLANK(G148)),ISTEXT(F148),ISTEXT(G148)),"",H148+M148)</f>
        <v>49</v>
      </c>
      <c r="O148" s="468">
        <f t="shared" ref="O148:O155" si="119">(F148+N148)-1</f>
        <v>2057</v>
      </c>
      <c r="P148" s="471">
        <f t="shared" ref="P148:P155" si="120">W147</f>
        <v>1798182032.0276399</v>
      </c>
      <c r="Q148" s="472">
        <f t="shared" ref="Q148:Q155" si="121">P148+G148</f>
        <v>1798182032.0276399</v>
      </c>
      <c r="R148" s="472">
        <f t="shared" ref="R148:R155" si="122">IF(L148=0,R147,Q148/N148)</f>
        <v>36697592.490359999</v>
      </c>
      <c r="S148" s="774">
        <f t="shared" ref="S148:S155" si="123">F148</f>
        <v>2009</v>
      </c>
      <c r="T148" s="470">
        <f t="shared" ref="T148:T155" si="124">S148-S147</f>
        <v>1</v>
      </c>
      <c r="U148" s="612">
        <f t="shared" ref="U148:U155" si="125">R148*T148</f>
        <v>36697592.490359999</v>
      </c>
      <c r="V148" s="464">
        <f t="shared" ref="V148:V155" si="126">F148</f>
        <v>2009</v>
      </c>
      <c r="W148" s="612">
        <f t="shared" ref="W148:W155" si="127">IF(OR(AND(ISBLANK(E148),ISBLANK(G148)),ISTEXT(E148),ISTEXT(G148)),"",Q148-U148)</f>
        <v>1761484439.5372798</v>
      </c>
      <c r="X148" s="561"/>
      <c r="Y148" s="449"/>
      <c r="Z148" s="449"/>
      <c r="AA148" s="693"/>
      <c r="AB148" s="452"/>
      <c r="AC148" s="452"/>
      <c r="AD148" s="571"/>
      <c r="AE148" s="452"/>
      <c r="AF148" s="571"/>
      <c r="AG148" s="452"/>
      <c r="AH148" s="452"/>
      <c r="AI148" s="453"/>
      <c r="AJ148" s="449"/>
      <c r="AK148" s="453"/>
      <c r="AL148" s="454"/>
      <c r="AM148" s="455"/>
      <c r="AN148" s="456"/>
      <c r="AO148" s="455"/>
      <c r="AP148" s="452"/>
      <c r="AQ148" s="457"/>
      <c r="AR148" s="449"/>
      <c r="AS148" s="449"/>
      <c r="AT148" s="452"/>
      <c r="AU148" s="457"/>
      <c r="AV148" s="449"/>
      <c r="AW148" s="458"/>
      <c r="AX148" s="452"/>
      <c r="AY148" s="457"/>
      <c r="AZ148" s="449"/>
      <c r="BA148" s="459"/>
      <c r="BB148" s="455"/>
      <c r="BC148" s="460"/>
      <c r="BD148" s="460"/>
      <c r="BG148" s="462"/>
    </row>
    <row r="149" spans="1:59" s="461" customFormat="1" ht="18" customHeight="1" x14ac:dyDescent="0.2">
      <c r="A149" s="461" t="str">
        <f t="shared" si="112"/>
        <v>KANTOR DINAS PERHUBUNGAN, INFORMASI DAN KOMUNIKASI2010</v>
      </c>
      <c r="B149" s="708"/>
      <c r="C149" s="489"/>
      <c r="D149" s="489"/>
      <c r="E149" s="558"/>
      <c r="F149" s="559">
        <v>2010</v>
      </c>
      <c r="G149" s="619">
        <v>0</v>
      </c>
      <c r="H149" s="464">
        <f t="shared" si="113"/>
        <v>48</v>
      </c>
      <c r="I149" s="560"/>
      <c r="J149" s="468">
        <f t="shared" si="114"/>
        <v>2057</v>
      </c>
      <c r="K149" s="490">
        <f t="shared" si="115"/>
        <v>0</v>
      </c>
      <c r="L149" s="469">
        <f t="shared" si="116"/>
        <v>0</v>
      </c>
      <c r="M149" s="683">
        <f t="shared" si="117"/>
        <v>0</v>
      </c>
      <c r="N149" s="470">
        <f t="shared" si="118"/>
        <v>48</v>
      </c>
      <c r="O149" s="468">
        <f t="shared" si="119"/>
        <v>2057</v>
      </c>
      <c r="P149" s="471">
        <f t="shared" si="120"/>
        <v>1761484439.5372798</v>
      </c>
      <c r="Q149" s="472">
        <f t="shared" si="121"/>
        <v>1761484439.5372798</v>
      </c>
      <c r="R149" s="472">
        <f t="shared" si="122"/>
        <v>36697592.490359999</v>
      </c>
      <c r="S149" s="774">
        <f t="shared" si="123"/>
        <v>2010</v>
      </c>
      <c r="T149" s="470">
        <f t="shared" si="124"/>
        <v>1</v>
      </c>
      <c r="U149" s="612">
        <f t="shared" si="125"/>
        <v>36697592.490359999</v>
      </c>
      <c r="V149" s="464">
        <f t="shared" si="126"/>
        <v>2010</v>
      </c>
      <c r="W149" s="612">
        <f t="shared" si="127"/>
        <v>1724786847.0469198</v>
      </c>
      <c r="X149" s="561"/>
      <c r="Y149" s="449"/>
      <c r="Z149" s="449"/>
      <c r="AA149" s="693"/>
      <c r="AB149" s="452"/>
      <c r="AC149" s="452"/>
      <c r="AD149" s="571"/>
      <c r="AE149" s="452"/>
      <c r="AF149" s="571"/>
      <c r="AG149" s="452"/>
      <c r="AH149" s="452"/>
      <c r="AI149" s="453"/>
      <c r="AJ149" s="449"/>
      <c r="AK149" s="453"/>
      <c r="AL149" s="454"/>
      <c r="AM149" s="455"/>
      <c r="AN149" s="456"/>
      <c r="AO149" s="455"/>
      <c r="AP149" s="452"/>
      <c r="AQ149" s="457"/>
      <c r="AR149" s="449"/>
      <c r="AS149" s="449"/>
      <c r="AT149" s="452"/>
      <c r="AU149" s="457"/>
      <c r="AV149" s="449"/>
      <c r="AW149" s="458"/>
      <c r="AX149" s="452"/>
      <c r="AY149" s="457"/>
      <c r="AZ149" s="449"/>
      <c r="BA149" s="459"/>
      <c r="BB149" s="455"/>
      <c r="BC149" s="460"/>
      <c r="BD149" s="460"/>
      <c r="BG149" s="462"/>
    </row>
    <row r="150" spans="1:59" s="461" customFormat="1" ht="18" customHeight="1" x14ac:dyDescent="0.2">
      <c r="A150" s="461" t="str">
        <f t="shared" si="112"/>
        <v>KANTOR DINAS PERHUBUNGAN, INFORMASI DAN KOMUNIKASI2011</v>
      </c>
      <c r="B150" s="708">
        <v>3</v>
      </c>
      <c r="C150" s="489" t="s">
        <v>2679</v>
      </c>
      <c r="D150" s="489" t="s">
        <v>1752</v>
      </c>
      <c r="E150" s="558"/>
      <c r="F150" s="559">
        <v>2011</v>
      </c>
      <c r="G150" s="619">
        <v>174282042.58594951</v>
      </c>
      <c r="H150" s="464">
        <f t="shared" si="113"/>
        <v>47</v>
      </c>
      <c r="I150" s="560"/>
      <c r="J150" s="468">
        <f t="shared" si="114"/>
        <v>2060</v>
      </c>
      <c r="K150" s="490">
        <f t="shared" si="115"/>
        <v>0.10104555405460398</v>
      </c>
      <c r="L150" s="469">
        <f t="shared" si="116"/>
        <v>5</v>
      </c>
      <c r="M150" s="683">
        <f t="shared" si="117"/>
        <v>3</v>
      </c>
      <c r="N150" s="470">
        <f t="shared" si="118"/>
        <v>50</v>
      </c>
      <c r="O150" s="468">
        <f t="shared" si="119"/>
        <v>2060</v>
      </c>
      <c r="P150" s="471">
        <f t="shared" si="120"/>
        <v>1724786847.0469198</v>
      </c>
      <c r="Q150" s="472">
        <f t="shared" si="121"/>
        <v>1899068889.6328692</v>
      </c>
      <c r="R150" s="472">
        <f t="shared" si="122"/>
        <v>37981377.792657383</v>
      </c>
      <c r="S150" s="774">
        <f t="shared" si="123"/>
        <v>2011</v>
      </c>
      <c r="T150" s="470">
        <f t="shared" si="124"/>
        <v>1</v>
      </c>
      <c r="U150" s="612">
        <f t="shared" si="125"/>
        <v>37981377.792657383</v>
      </c>
      <c r="V150" s="464">
        <f t="shared" si="126"/>
        <v>2011</v>
      </c>
      <c r="W150" s="612">
        <f t="shared" si="127"/>
        <v>1861087511.8402119</v>
      </c>
      <c r="X150" s="561"/>
      <c r="Y150" s="449"/>
      <c r="Z150" s="449"/>
      <c r="AA150" s="693"/>
      <c r="AB150" s="452"/>
      <c r="AC150" s="452"/>
      <c r="AD150" s="571"/>
      <c r="AE150" s="452"/>
      <c r="AF150" s="571"/>
      <c r="AG150" s="452"/>
      <c r="AH150" s="452"/>
      <c r="AI150" s="453"/>
      <c r="AJ150" s="449"/>
      <c r="AK150" s="453"/>
      <c r="AL150" s="454"/>
      <c r="AM150" s="455"/>
      <c r="AN150" s="456"/>
      <c r="AO150" s="455"/>
      <c r="AP150" s="452"/>
      <c r="AQ150" s="457"/>
      <c r="AR150" s="449"/>
      <c r="AS150" s="449"/>
      <c r="AT150" s="452"/>
      <c r="AU150" s="457"/>
      <c r="AV150" s="449"/>
      <c r="AW150" s="458"/>
      <c r="AX150" s="452"/>
      <c r="AY150" s="457"/>
      <c r="AZ150" s="449"/>
      <c r="BA150" s="459"/>
      <c r="BB150" s="455"/>
      <c r="BC150" s="460"/>
      <c r="BD150" s="460"/>
      <c r="BG150" s="462"/>
    </row>
    <row r="151" spans="1:59" s="461" customFormat="1" ht="18" customHeight="1" x14ac:dyDescent="0.2">
      <c r="A151" s="461" t="str">
        <f t="shared" si="112"/>
        <v>KANTOR DINAS PERHUBUNGAN, INFORMASI DAN KOMUNIKASI2013</v>
      </c>
      <c r="B151" s="708"/>
      <c r="C151" s="489"/>
      <c r="D151" s="489"/>
      <c r="E151" s="558"/>
      <c r="F151" s="559">
        <v>2013</v>
      </c>
      <c r="G151" s="619">
        <v>0</v>
      </c>
      <c r="H151" s="464">
        <f t="shared" si="113"/>
        <v>48</v>
      </c>
      <c r="I151" s="560"/>
      <c r="J151" s="468">
        <f t="shared" si="114"/>
        <v>2060</v>
      </c>
      <c r="K151" s="490">
        <f t="shared" si="115"/>
        <v>0</v>
      </c>
      <c r="L151" s="469">
        <f t="shared" si="116"/>
        <v>0</v>
      </c>
      <c r="M151" s="683">
        <f t="shared" si="117"/>
        <v>0</v>
      </c>
      <c r="N151" s="470">
        <f t="shared" si="118"/>
        <v>48</v>
      </c>
      <c r="O151" s="468">
        <f t="shared" si="119"/>
        <v>2060</v>
      </c>
      <c r="P151" s="471">
        <f t="shared" si="120"/>
        <v>1861087511.8402119</v>
      </c>
      <c r="Q151" s="472">
        <f t="shared" si="121"/>
        <v>1861087511.8402119</v>
      </c>
      <c r="R151" s="472">
        <f t="shared" si="122"/>
        <v>37981377.792657383</v>
      </c>
      <c r="S151" s="774">
        <f t="shared" si="123"/>
        <v>2013</v>
      </c>
      <c r="T151" s="470">
        <f t="shared" si="124"/>
        <v>2</v>
      </c>
      <c r="U151" s="612">
        <f t="shared" si="125"/>
        <v>75962755.585314766</v>
      </c>
      <c r="V151" s="464">
        <f t="shared" si="126"/>
        <v>2013</v>
      </c>
      <c r="W151" s="612">
        <f t="shared" si="127"/>
        <v>1785124756.2548971</v>
      </c>
      <c r="X151" s="561"/>
      <c r="Y151" s="449"/>
      <c r="Z151" s="449"/>
      <c r="AA151" s="693"/>
      <c r="AB151" s="452"/>
      <c r="AC151" s="452"/>
      <c r="AD151" s="571"/>
      <c r="AE151" s="452"/>
      <c r="AF151" s="571"/>
      <c r="AG151" s="452"/>
      <c r="AH151" s="452"/>
      <c r="AI151" s="453"/>
      <c r="AJ151" s="449"/>
      <c r="AK151" s="453"/>
      <c r="AL151" s="454"/>
      <c r="AM151" s="455"/>
      <c r="AN151" s="456"/>
      <c r="AO151" s="455"/>
      <c r="AP151" s="452"/>
      <c r="AQ151" s="457"/>
      <c r="AR151" s="449"/>
      <c r="AS151" s="449"/>
      <c r="AT151" s="452"/>
      <c r="AU151" s="457"/>
      <c r="AV151" s="449"/>
      <c r="AW151" s="458"/>
      <c r="AX151" s="452"/>
      <c r="AY151" s="457"/>
      <c r="AZ151" s="449"/>
      <c r="BA151" s="459"/>
      <c r="BB151" s="455"/>
      <c r="BC151" s="460"/>
      <c r="BD151" s="460"/>
      <c r="BG151" s="462"/>
    </row>
    <row r="152" spans="1:59" s="461" customFormat="1" ht="18" customHeight="1" x14ac:dyDescent="0.2">
      <c r="A152" s="461" t="str">
        <f t="shared" si="112"/>
        <v>KANTOR DINAS PERHUBUNGAN, INFORMASI DAN KOMUNIKASI2014</v>
      </c>
      <c r="B152" s="708"/>
      <c r="C152" s="489"/>
      <c r="D152" s="489"/>
      <c r="E152" s="558"/>
      <c r="F152" s="559">
        <v>2014</v>
      </c>
      <c r="G152" s="619">
        <v>0</v>
      </c>
      <c r="H152" s="464">
        <f t="shared" si="113"/>
        <v>47</v>
      </c>
      <c r="I152" s="560"/>
      <c r="J152" s="468">
        <f t="shared" si="114"/>
        <v>2060</v>
      </c>
      <c r="K152" s="490">
        <f t="shared" si="115"/>
        <v>0</v>
      </c>
      <c r="L152" s="469">
        <f t="shared" si="116"/>
        <v>0</v>
      </c>
      <c r="M152" s="683">
        <f t="shared" si="117"/>
        <v>0</v>
      </c>
      <c r="N152" s="470">
        <f t="shared" si="118"/>
        <v>47</v>
      </c>
      <c r="O152" s="468">
        <f t="shared" si="119"/>
        <v>2060</v>
      </c>
      <c r="P152" s="471">
        <f t="shared" si="120"/>
        <v>1785124756.2548971</v>
      </c>
      <c r="Q152" s="472">
        <f t="shared" si="121"/>
        <v>1785124756.2548971</v>
      </c>
      <c r="R152" s="472">
        <f t="shared" si="122"/>
        <v>37981377.792657383</v>
      </c>
      <c r="S152" s="774">
        <f t="shared" si="123"/>
        <v>2014</v>
      </c>
      <c r="T152" s="470">
        <f t="shared" si="124"/>
        <v>1</v>
      </c>
      <c r="U152" s="612">
        <f t="shared" si="125"/>
        <v>37981377.792657383</v>
      </c>
      <c r="V152" s="464">
        <f t="shared" si="126"/>
        <v>2014</v>
      </c>
      <c r="W152" s="612">
        <f t="shared" si="127"/>
        <v>1747143378.4622397</v>
      </c>
      <c r="X152" s="561"/>
      <c r="Y152" s="449"/>
      <c r="Z152" s="449"/>
      <c r="AA152" s="693"/>
      <c r="AB152" s="452"/>
      <c r="AC152" s="452"/>
      <c r="AD152" s="571"/>
      <c r="AE152" s="452"/>
      <c r="AF152" s="571"/>
      <c r="AG152" s="452"/>
      <c r="AH152" s="452"/>
      <c r="AI152" s="453"/>
      <c r="AJ152" s="449"/>
      <c r="AK152" s="453"/>
      <c r="AL152" s="454"/>
      <c r="AM152" s="455"/>
      <c r="AN152" s="456"/>
      <c r="AO152" s="455"/>
      <c r="AP152" s="452"/>
      <c r="AQ152" s="457"/>
      <c r="AR152" s="449"/>
      <c r="AS152" s="449"/>
      <c r="AT152" s="452"/>
      <c r="AU152" s="457"/>
      <c r="AV152" s="449"/>
      <c r="AW152" s="458"/>
      <c r="AX152" s="452"/>
      <c r="AY152" s="457"/>
      <c r="AZ152" s="449"/>
      <c r="BA152" s="459"/>
      <c r="BB152" s="455"/>
      <c r="BC152" s="460"/>
      <c r="BD152" s="460"/>
      <c r="BG152" s="462"/>
    </row>
    <row r="153" spans="1:59" s="461" customFormat="1" ht="18" customHeight="1" x14ac:dyDescent="0.2">
      <c r="A153" s="461" t="str">
        <f t="shared" si="112"/>
        <v>KANTOR DINAS PERHUBUNGAN, INFORMASI DAN KOMUNIKASI2015</v>
      </c>
      <c r="B153" s="708"/>
      <c r="C153" s="489"/>
      <c r="D153" s="489"/>
      <c r="E153" s="558"/>
      <c r="F153" s="559">
        <v>2015</v>
      </c>
      <c r="G153" s="619">
        <v>0</v>
      </c>
      <c r="H153" s="464">
        <f t="shared" si="113"/>
        <v>46</v>
      </c>
      <c r="I153" s="560"/>
      <c r="J153" s="468">
        <f t="shared" si="114"/>
        <v>2060</v>
      </c>
      <c r="K153" s="490">
        <f t="shared" si="115"/>
        <v>0</v>
      </c>
      <c r="L153" s="469">
        <f t="shared" si="116"/>
        <v>0</v>
      </c>
      <c r="M153" s="683">
        <f t="shared" si="117"/>
        <v>0</v>
      </c>
      <c r="N153" s="470">
        <f t="shared" si="118"/>
        <v>46</v>
      </c>
      <c r="O153" s="468">
        <f t="shared" si="119"/>
        <v>2060</v>
      </c>
      <c r="P153" s="471">
        <f t="shared" si="120"/>
        <v>1747143378.4622397</v>
      </c>
      <c r="Q153" s="472">
        <f t="shared" si="121"/>
        <v>1747143378.4622397</v>
      </c>
      <c r="R153" s="472">
        <f t="shared" si="122"/>
        <v>37981377.792657383</v>
      </c>
      <c r="S153" s="774">
        <f t="shared" si="123"/>
        <v>2015</v>
      </c>
      <c r="T153" s="470">
        <f t="shared" si="124"/>
        <v>1</v>
      </c>
      <c r="U153" s="612">
        <f t="shared" si="125"/>
        <v>37981377.792657383</v>
      </c>
      <c r="V153" s="464">
        <f t="shared" si="126"/>
        <v>2015</v>
      </c>
      <c r="W153" s="612">
        <f t="shared" si="127"/>
        <v>1709162000.6695824</v>
      </c>
      <c r="X153" s="561"/>
      <c r="Y153" s="449"/>
      <c r="Z153" s="449"/>
      <c r="AA153" s="694"/>
      <c r="AB153" s="692"/>
      <c r="AC153" s="692"/>
      <c r="AD153" s="695"/>
      <c r="AE153" s="452"/>
      <c r="AF153" s="571"/>
      <c r="AG153" s="452"/>
      <c r="AH153" s="452"/>
      <c r="AI153" s="453"/>
      <c r="AJ153" s="449"/>
      <c r="AK153" s="453"/>
      <c r="AL153" s="454"/>
      <c r="AM153" s="455"/>
      <c r="AN153" s="456"/>
      <c r="AO153" s="455"/>
      <c r="AP153" s="452"/>
      <c r="AQ153" s="457"/>
      <c r="AR153" s="449"/>
      <c r="AS153" s="449"/>
      <c r="AT153" s="452"/>
      <c r="AU153" s="457"/>
      <c r="AV153" s="449"/>
      <c r="AW153" s="458"/>
      <c r="AX153" s="452"/>
      <c r="AY153" s="457"/>
      <c r="AZ153" s="449"/>
      <c r="BA153" s="459"/>
      <c r="BB153" s="455"/>
      <c r="BC153" s="460"/>
      <c r="BD153" s="460"/>
      <c r="BG153" s="462"/>
    </row>
    <row r="154" spans="1:59" s="461" customFormat="1" ht="18" customHeight="1" x14ac:dyDescent="0.2">
      <c r="A154" s="461" t="str">
        <f t="shared" si="112"/>
        <v>KANTOR DINAS PERHUBUNGAN, INFORMASI DAN KOMUNIKASI2016</v>
      </c>
      <c r="B154" s="708"/>
      <c r="C154" s="489"/>
      <c r="D154" s="489"/>
      <c r="E154" s="558"/>
      <c r="F154" s="559">
        <v>2016</v>
      </c>
      <c r="G154" s="619">
        <v>0</v>
      </c>
      <c r="H154" s="464">
        <f t="shared" si="113"/>
        <v>45</v>
      </c>
      <c r="I154" s="560"/>
      <c r="J154" s="468">
        <f t="shared" si="114"/>
        <v>2060</v>
      </c>
      <c r="K154" s="490">
        <f t="shared" si="115"/>
        <v>0</v>
      </c>
      <c r="L154" s="469">
        <f t="shared" si="116"/>
        <v>0</v>
      </c>
      <c r="M154" s="683">
        <f t="shared" si="117"/>
        <v>0</v>
      </c>
      <c r="N154" s="470">
        <f t="shared" si="118"/>
        <v>45</v>
      </c>
      <c r="O154" s="468">
        <f t="shared" si="119"/>
        <v>2060</v>
      </c>
      <c r="P154" s="471">
        <f t="shared" si="120"/>
        <v>1709162000.6695824</v>
      </c>
      <c r="Q154" s="472">
        <f t="shared" si="121"/>
        <v>1709162000.6695824</v>
      </c>
      <c r="R154" s="472">
        <f t="shared" si="122"/>
        <v>37981377.792657383</v>
      </c>
      <c r="S154" s="774">
        <f t="shared" si="123"/>
        <v>2016</v>
      </c>
      <c r="T154" s="470">
        <f t="shared" si="124"/>
        <v>1</v>
      </c>
      <c r="U154" s="612">
        <f t="shared" si="125"/>
        <v>37981377.792657383</v>
      </c>
      <c r="V154" s="464">
        <f t="shared" si="126"/>
        <v>2016</v>
      </c>
      <c r="W154" s="612">
        <f t="shared" si="127"/>
        <v>1671180622.876925</v>
      </c>
      <c r="X154" s="561"/>
      <c r="Y154" s="449"/>
      <c r="Z154" s="449"/>
      <c r="AA154" s="554" t="s">
        <v>4179</v>
      </c>
      <c r="AB154" s="452"/>
      <c r="AC154" s="452"/>
      <c r="AD154" s="566"/>
      <c r="AE154" s="452"/>
      <c r="AF154" s="571"/>
      <c r="AG154" s="452"/>
      <c r="AH154" s="452"/>
      <c r="AI154" s="453"/>
      <c r="AJ154" s="449"/>
      <c r="AK154" s="453"/>
      <c r="AL154" s="454"/>
      <c r="AM154" s="455"/>
      <c r="AN154" s="456"/>
      <c r="AO154" s="455"/>
      <c r="AP154" s="452"/>
      <c r="AQ154" s="457"/>
      <c r="AR154" s="449"/>
      <c r="AS154" s="449"/>
      <c r="AT154" s="452"/>
      <c r="AU154" s="457"/>
      <c r="AV154" s="449"/>
      <c r="AW154" s="458"/>
      <c r="AX154" s="452"/>
      <c r="AY154" s="457"/>
      <c r="AZ154" s="449"/>
      <c r="BA154" s="459"/>
      <c r="BB154" s="455"/>
      <c r="BC154" s="460"/>
      <c r="BD154" s="460"/>
      <c r="BG154" s="462"/>
    </row>
    <row r="155" spans="1:59" s="461" customFormat="1" ht="18" customHeight="1" x14ac:dyDescent="0.2">
      <c r="A155" s="461" t="str">
        <f t="shared" si="112"/>
        <v>KANTOR DINAS PERHUBUNGAN, INFORMASI DAN KOMUNIKASI2017</v>
      </c>
      <c r="B155" s="708"/>
      <c r="C155" s="489"/>
      <c r="D155" s="489"/>
      <c r="E155" s="558"/>
      <c r="F155" s="559">
        <v>2017</v>
      </c>
      <c r="G155" s="619">
        <v>0</v>
      </c>
      <c r="H155" s="464">
        <f t="shared" si="113"/>
        <v>44</v>
      </c>
      <c r="I155" s="560"/>
      <c r="J155" s="468">
        <f t="shared" si="114"/>
        <v>2060</v>
      </c>
      <c r="K155" s="490">
        <f t="shared" si="115"/>
        <v>0</v>
      </c>
      <c r="L155" s="469">
        <f t="shared" si="116"/>
        <v>0</v>
      </c>
      <c r="M155" s="683">
        <f t="shared" si="117"/>
        <v>0</v>
      </c>
      <c r="N155" s="470">
        <f t="shared" si="118"/>
        <v>44</v>
      </c>
      <c r="O155" s="468">
        <f t="shared" si="119"/>
        <v>2060</v>
      </c>
      <c r="P155" s="471">
        <f t="shared" si="120"/>
        <v>1671180622.876925</v>
      </c>
      <c r="Q155" s="472">
        <f t="shared" si="121"/>
        <v>1671180622.876925</v>
      </c>
      <c r="R155" s="472">
        <f t="shared" si="122"/>
        <v>37981377.792657383</v>
      </c>
      <c r="S155" s="774">
        <f t="shared" si="123"/>
        <v>2017</v>
      </c>
      <c r="T155" s="470">
        <f t="shared" si="124"/>
        <v>1</v>
      </c>
      <c r="U155" s="612">
        <f t="shared" si="125"/>
        <v>37981377.792657383</v>
      </c>
      <c r="V155" s="464">
        <f t="shared" si="126"/>
        <v>2017</v>
      </c>
      <c r="W155" s="612">
        <f t="shared" si="127"/>
        <v>1633199245.0842676</v>
      </c>
      <c r="X155" s="561"/>
      <c r="Y155" s="449"/>
      <c r="Z155" s="449"/>
      <c r="AA155" s="554"/>
      <c r="AB155" s="452"/>
      <c r="AC155" s="452"/>
      <c r="AD155" s="566"/>
      <c r="AE155" s="452"/>
      <c r="AF155" s="571"/>
      <c r="AG155" s="452"/>
      <c r="AH155" s="452"/>
      <c r="AI155" s="453"/>
      <c r="AJ155" s="449"/>
      <c r="AK155" s="453"/>
      <c r="AL155" s="454"/>
      <c r="AM155" s="455"/>
      <c r="AN155" s="456"/>
      <c r="AO155" s="455"/>
      <c r="AP155" s="452"/>
      <c r="AQ155" s="457"/>
      <c r="AR155" s="449"/>
      <c r="AS155" s="449"/>
      <c r="AT155" s="452"/>
      <c r="AU155" s="457"/>
      <c r="AV155" s="449"/>
      <c r="AW155" s="458"/>
      <c r="AX155" s="452"/>
      <c r="AY155" s="457"/>
      <c r="AZ155" s="449"/>
      <c r="BA155" s="459"/>
      <c r="BB155" s="455"/>
      <c r="BC155" s="460"/>
      <c r="BD155" s="460"/>
      <c r="BG155" s="462"/>
    </row>
    <row r="156" spans="1:59" s="486" customFormat="1" ht="18" customHeight="1" x14ac:dyDescent="0.2">
      <c r="A156" s="461" t="str">
        <f t="shared" si="112"/>
        <v>KANTOR DINAS PERHUBUNGAN, INFORMASI DAN KOMUNIKASI2018</v>
      </c>
      <c r="B156" s="708"/>
      <c r="C156" s="463"/>
      <c r="D156" s="489"/>
      <c r="E156" s="465"/>
      <c r="F156" s="466">
        <v>2018</v>
      </c>
      <c r="G156" s="620">
        <v>0</v>
      </c>
      <c r="H156" s="464">
        <f>IF(N155-(F156-F155)&lt;=0,0,(N155-(F156-F155)))</f>
        <v>43</v>
      </c>
      <c r="I156" s="560"/>
      <c r="J156" s="468">
        <f>(F156+N156)-1</f>
        <v>2060</v>
      </c>
      <c r="K156" s="490">
        <f>IF(G156=0,0,IF(H156=50,100%,G156/W155))</f>
        <v>0</v>
      </c>
      <c r="L156" s="469">
        <f>IF(K156=0%,0,IF(K156&lt;=25%,5,IF(K156&lt;=50%,10,IF(K156&lt;=75%,15,50))))</f>
        <v>0</v>
      </c>
      <c r="M156" s="683">
        <f>IF(OR(AND(ISBLANK(E156),ISBLANK(G156)),ISTEXT(E156),ISTEXT(G156)),"",IF(H156+L156&gt;$H$27,$H$27-H156,L156))</f>
        <v>0</v>
      </c>
      <c r="N156" s="470">
        <f>IF(OR(AND(ISBLANK(F156),ISBLANK(G156)),ISTEXT(F156),ISTEXT(G156)),"",H156+M156)</f>
        <v>43</v>
      </c>
      <c r="O156" s="468">
        <f>(F156+N156)-1</f>
        <v>2060</v>
      </c>
      <c r="P156" s="471">
        <f>W155</f>
        <v>1633199245.0842676</v>
      </c>
      <c r="Q156" s="472">
        <f>P156+G156</f>
        <v>1633199245.0842676</v>
      </c>
      <c r="R156" s="472">
        <f>IF(L156=0,R155,Q156/N156)</f>
        <v>37981377.792657383</v>
      </c>
      <c r="S156" s="768">
        <f>F156</f>
        <v>2018</v>
      </c>
      <c r="T156" s="470">
        <f>S156-S155</f>
        <v>1</v>
      </c>
      <c r="U156" s="612">
        <f>R156*T156</f>
        <v>37981377.792657383</v>
      </c>
      <c r="V156" s="464">
        <f>F156</f>
        <v>2018</v>
      </c>
      <c r="W156" s="612">
        <f>IF(OR(AND(ISBLANK(E156),ISBLANK(G156)),ISTEXT(E156),ISTEXT(G156)),"",Q156-U156)</f>
        <v>1595217867.2916102</v>
      </c>
      <c r="X156" s="473"/>
      <c r="Y156" s="474"/>
      <c r="Z156" s="449"/>
      <c r="AA156" s="475" t="s">
        <v>4180</v>
      </c>
      <c r="AB156" s="476"/>
      <c r="AC156" s="476"/>
      <c r="AD156" s="567">
        <f>G161</f>
        <v>2039132471.6859493</v>
      </c>
      <c r="AE156" s="476"/>
      <c r="AF156" s="568"/>
      <c r="AG156" s="476"/>
      <c r="AH156" s="476"/>
      <c r="AI156" s="477"/>
      <c r="AJ156" s="478"/>
      <c r="AK156" s="479"/>
      <c r="AL156" s="480"/>
      <c r="AM156" s="474"/>
      <c r="AN156" s="481"/>
      <c r="AO156" s="474"/>
      <c r="AP156" s="476"/>
      <c r="AQ156" s="482"/>
      <c r="AR156" s="478"/>
      <c r="AS156" s="478"/>
      <c r="AT156" s="476"/>
      <c r="AU156" s="482"/>
      <c r="AV156" s="478"/>
      <c r="AW156" s="483"/>
      <c r="AX156" s="476"/>
      <c r="AY156" s="482"/>
      <c r="AZ156" s="478"/>
      <c r="BA156" s="484"/>
      <c r="BB156" s="474"/>
      <c r="BC156" s="485"/>
      <c r="BD156" s="485"/>
      <c r="BG156" s="487"/>
    </row>
    <row r="157" spans="1:59" s="486" customFormat="1" ht="18" customHeight="1" x14ac:dyDescent="0.2">
      <c r="A157" s="461" t="str">
        <f t="shared" si="112"/>
        <v>KANTOR DINAS PERHUBUNGAN, INFORMASI DAN KOMUNIKASI2019</v>
      </c>
      <c r="B157" s="708"/>
      <c r="C157" s="488"/>
      <c r="D157" s="489"/>
      <c r="E157" s="465"/>
      <c r="F157" s="466">
        <v>2019</v>
      </c>
      <c r="G157" s="620">
        <v>0</v>
      </c>
      <c r="H157" s="464">
        <f>IF(N156-(F157-F156)&lt;=0,0,(N156-(F157-F156)))</f>
        <v>42</v>
      </c>
      <c r="I157" s="560"/>
      <c r="J157" s="468">
        <f>(F157+N157)-1</f>
        <v>2060</v>
      </c>
      <c r="K157" s="490">
        <f>IF(G157=0,0,IF(H157=50,100%,G157/W156))</f>
        <v>0</v>
      </c>
      <c r="L157" s="469">
        <f>IF(K157=0%,0,IF(K157&lt;=25%,5,IF(K157&lt;=50%,10,IF(K157&lt;=75%,15,50))))</f>
        <v>0</v>
      </c>
      <c r="M157" s="683">
        <f>IF(OR(AND(ISBLANK(E157),ISBLANK(G157)),ISTEXT(E157),ISTEXT(G157)),"",IF(H157+L157&gt;$H$27,$H$27-H157,L157))</f>
        <v>0</v>
      </c>
      <c r="N157" s="470">
        <f>IF(OR(AND(ISBLANK(F157),ISBLANK(G157)),ISTEXT(F157),ISTEXT(G157)),"",H157+M157)</f>
        <v>42</v>
      </c>
      <c r="O157" s="468">
        <f>(F157+N157)-1</f>
        <v>2060</v>
      </c>
      <c r="P157" s="471">
        <f>W156</f>
        <v>1595217867.2916102</v>
      </c>
      <c r="Q157" s="472">
        <f>P157+G157</f>
        <v>1595217867.2916102</v>
      </c>
      <c r="R157" s="472">
        <f>IF(L157=0,R156,Q157/N157)</f>
        <v>37981377.792657383</v>
      </c>
      <c r="S157" s="1189">
        <f>F157</f>
        <v>2019</v>
      </c>
      <c r="T157" s="470">
        <f>S157-S156</f>
        <v>1</v>
      </c>
      <c r="U157" s="612">
        <f>R157*T157</f>
        <v>37981377.792657383</v>
      </c>
      <c r="V157" s="464">
        <f>F157</f>
        <v>2019</v>
      </c>
      <c r="W157" s="612">
        <f>IF(OR(AND(ISBLANK(E157),ISBLANK(G157)),ISTEXT(E157),ISTEXT(G157)),"",Q157-U157)</f>
        <v>1557236489.4989529</v>
      </c>
      <c r="X157" s="473"/>
      <c r="Y157" s="478"/>
      <c r="Z157" s="449"/>
      <c r="AA157" s="475" t="s">
        <v>4181</v>
      </c>
      <c r="AB157" s="491"/>
      <c r="AC157" s="491"/>
      <c r="AD157" s="567">
        <f>U161</f>
        <v>481895982.1869964</v>
      </c>
      <c r="AE157" s="491"/>
      <c r="AF157" s="568"/>
      <c r="AG157" s="491"/>
      <c r="AH157" s="491"/>
      <c r="AI157" s="477"/>
      <c r="AJ157" s="478"/>
      <c r="AK157" s="479"/>
      <c r="AL157" s="480"/>
      <c r="AM157" s="474"/>
      <c r="AN157" s="481"/>
      <c r="AO157" s="474"/>
      <c r="AP157" s="476"/>
      <c r="AQ157" s="482"/>
      <c r="AR157" s="478"/>
      <c r="AS157" s="478"/>
      <c r="AT157" s="476"/>
      <c r="AU157" s="482"/>
      <c r="AV157" s="478"/>
      <c r="AW157" s="483"/>
      <c r="AX157" s="476"/>
      <c r="AY157" s="482"/>
      <c r="AZ157" s="478"/>
      <c r="BA157" s="484"/>
      <c r="BB157" s="474"/>
      <c r="BC157" s="485"/>
      <c r="BD157" s="485"/>
      <c r="BG157" s="487"/>
    </row>
    <row r="158" spans="1:59" s="486" customFormat="1" ht="18" customHeight="1" x14ac:dyDescent="0.2">
      <c r="B158" s="708"/>
      <c r="C158" s="463"/>
      <c r="D158" s="464"/>
      <c r="E158" s="465"/>
      <c r="F158" s="466"/>
      <c r="G158" s="620"/>
      <c r="H158" s="464"/>
      <c r="I158" s="467"/>
      <c r="J158" s="468"/>
      <c r="K158" s="490"/>
      <c r="L158" s="469"/>
      <c r="M158" s="683"/>
      <c r="N158" s="470"/>
      <c r="O158" s="468"/>
      <c r="P158" s="471"/>
      <c r="Q158" s="472"/>
      <c r="R158" s="472"/>
      <c r="S158" s="629"/>
      <c r="T158" s="470"/>
      <c r="U158" s="612"/>
      <c r="V158" s="464"/>
      <c r="W158" s="612"/>
      <c r="X158" s="473"/>
      <c r="Y158" s="478"/>
      <c r="Z158" s="449"/>
      <c r="AA158" s="492" t="s">
        <v>4182</v>
      </c>
      <c r="AB158" s="476"/>
      <c r="AC158" s="476"/>
      <c r="AD158" s="568">
        <f>AD156-AD157</f>
        <v>1557236489.4989529</v>
      </c>
      <c r="AE158" s="476"/>
      <c r="AF158" s="568"/>
      <c r="AG158" s="476"/>
      <c r="AH158" s="476"/>
      <c r="AI158" s="477"/>
      <c r="AJ158" s="478"/>
      <c r="AK158" s="479"/>
      <c r="AL158" s="480"/>
      <c r="AM158" s="474"/>
      <c r="AN158" s="481"/>
      <c r="AO158" s="474"/>
      <c r="AP158" s="476"/>
      <c r="AQ158" s="482"/>
      <c r="AR158" s="478"/>
      <c r="AS158" s="478"/>
      <c r="AT158" s="476"/>
      <c r="AU158" s="482"/>
      <c r="AV158" s="478"/>
      <c r="AW158" s="483"/>
      <c r="AX158" s="476"/>
      <c r="AY158" s="482"/>
      <c r="AZ158" s="478"/>
      <c r="BA158" s="484"/>
      <c r="BB158" s="474"/>
      <c r="BC158" s="485"/>
      <c r="BD158" s="485"/>
      <c r="BG158" s="487"/>
    </row>
    <row r="159" spans="1:59" s="486" customFormat="1" ht="18" customHeight="1" x14ac:dyDescent="0.2">
      <c r="B159" s="687"/>
      <c r="C159" s="463"/>
      <c r="D159" s="464"/>
      <c r="E159" s="465"/>
      <c r="F159" s="466"/>
      <c r="G159" s="620"/>
      <c r="H159" s="464"/>
      <c r="I159" s="467"/>
      <c r="J159" s="468"/>
      <c r="K159" s="490"/>
      <c r="L159" s="469"/>
      <c r="M159" s="683"/>
      <c r="N159" s="470"/>
      <c r="O159" s="468"/>
      <c r="P159" s="471"/>
      <c r="Q159" s="472"/>
      <c r="R159" s="472"/>
      <c r="S159" s="629"/>
      <c r="T159" s="470"/>
      <c r="U159" s="612"/>
      <c r="V159" s="464"/>
      <c r="W159" s="612"/>
      <c r="X159" s="473"/>
      <c r="Y159" s="478"/>
      <c r="Z159" s="449"/>
      <c r="AA159" s="475" t="s">
        <v>4183</v>
      </c>
      <c r="AB159" s="476"/>
      <c r="AC159" s="476"/>
      <c r="AD159" s="567">
        <f>AD158-W161</f>
        <v>0</v>
      </c>
      <c r="AE159" s="476"/>
      <c r="AF159" s="568"/>
      <c r="AG159" s="476"/>
      <c r="AH159" s="476"/>
      <c r="AI159" s="477"/>
      <c r="AJ159" s="478"/>
      <c r="AK159" s="479"/>
      <c r="AL159" s="480"/>
      <c r="AM159" s="474"/>
      <c r="AN159" s="481"/>
      <c r="AO159" s="474"/>
      <c r="AP159" s="476"/>
      <c r="AQ159" s="482"/>
      <c r="AR159" s="478"/>
      <c r="AS159" s="478"/>
      <c r="AT159" s="476"/>
      <c r="AU159" s="482"/>
      <c r="AV159" s="478"/>
      <c r="AW159" s="483"/>
      <c r="AX159" s="476"/>
      <c r="AY159" s="482"/>
      <c r="AZ159" s="478"/>
      <c r="BA159" s="484"/>
      <c r="BB159" s="474"/>
      <c r="BC159" s="485"/>
      <c r="BD159" s="485"/>
      <c r="BG159" s="487"/>
    </row>
    <row r="160" spans="1:59" s="486" customFormat="1" ht="18" customHeight="1" x14ac:dyDescent="0.2">
      <c r="B160" s="687"/>
      <c r="C160" s="494"/>
      <c r="D160" s="464"/>
      <c r="E160" s="465"/>
      <c r="F160" s="466"/>
      <c r="G160" s="620"/>
      <c r="H160" s="464"/>
      <c r="I160" s="467"/>
      <c r="J160" s="468"/>
      <c r="K160" s="490"/>
      <c r="L160" s="469"/>
      <c r="M160" s="683"/>
      <c r="N160" s="470"/>
      <c r="O160" s="468"/>
      <c r="P160" s="471"/>
      <c r="Q160" s="472"/>
      <c r="R160" s="472"/>
      <c r="S160" s="629"/>
      <c r="T160" s="470"/>
      <c r="U160" s="612"/>
      <c r="V160" s="464"/>
      <c r="W160" s="612"/>
      <c r="X160" s="473"/>
      <c r="Y160" s="478"/>
      <c r="Z160" s="449"/>
      <c r="AA160" s="495"/>
      <c r="AB160" s="496"/>
      <c r="AC160" s="496"/>
      <c r="AD160" s="569"/>
      <c r="AE160" s="476"/>
      <c r="AF160" s="568"/>
      <c r="AG160" s="476"/>
      <c r="AH160" s="476"/>
      <c r="AI160" s="477"/>
      <c r="AJ160" s="478"/>
      <c r="AK160" s="479"/>
      <c r="AL160" s="480"/>
      <c r="AM160" s="474"/>
      <c r="AN160" s="481"/>
      <c r="AO160" s="474"/>
      <c r="AP160" s="476"/>
      <c r="AQ160" s="482"/>
      <c r="AR160" s="478"/>
      <c r="AS160" s="478"/>
      <c r="AT160" s="476"/>
      <c r="AU160" s="482"/>
      <c r="AV160" s="478"/>
      <c r="AW160" s="483"/>
      <c r="AX160" s="476"/>
      <c r="AY160" s="482"/>
      <c r="AZ160" s="478"/>
      <c r="BA160" s="484"/>
      <c r="BB160" s="474"/>
      <c r="BC160" s="485"/>
      <c r="BD160" s="485"/>
      <c r="BG160" s="487"/>
    </row>
    <row r="161" spans="1:59" s="526" customFormat="1" ht="18" customHeight="1" x14ac:dyDescent="0.2">
      <c r="B161" s="1956" t="s">
        <v>4184</v>
      </c>
      <c r="C161" s="1957"/>
      <c r="D161" s="1957"/>
      <c r="E161" s="1957"/>
      <c r="F161" s="1958"/>
      <c r="G161" s="621">
        <f>SUM(G146:G160)</f>
        <v>2039132471.6859493</v>
      </c>
      <c r="H161" s="505"/>
      <c r="I161" s="506"/>
      <c r="J161" s="507"/>
      <c r="K161" s="507"/>
      <c r="L161" s="505"/>
      <c r="M161" s="684"/>
      <c r="N161" s="508"/>
      <c r="O161" s="507"/>
      <c r="P161" s="509"/>
      <c r="Q161" s="510"/>
      <c r="R161" s="511"/>
      <c r="S161" s="512"/>
      <c r="T161" s="512"/>
      <c r="U161" s="610">
        <f>SUM(U146:U160)</f>
        <v>481895982.1869964</v>
      </c>
      <c r="V161" s="513"/>
      <c r="W161" s="610">
        <f>G161-U161</f>
        <v>1557236489.4989529</v>
      </c>
      <c r="X161" s="514"/>
      <c r="Y161" s="515"/>
      <c r="Z161" s="515"/>
      <c r="AA161" s="515"/>
      <c r="AB161" s="515"/>
      <c r="AC161" s="515"/>
      <c r="AD161" s="570"/>
      <c r="AE161" s="515"/>
      <c r="AF161" s="570"/>
      <c r="AG161" s="515"/>
      <c r="AH161" s="515"/>
      <c r="AI161" s="516"/>
      <c r="AJ161" s="517"/>
      <c r="AK161" s="518"/>
      <c r="AL161" s="519"/>
      <c r="AM161" s="520"/>
      <c r="AN161" s="521"/>
      <c r="AO161" s="520"/>
      <c r="AP161" s="515"/>
      <c r="AQ161" s="522"/>
      <c r="AR161" s="517"/>
      <c r="AS161" s="517"/>
      <c r="AT161" s="515"/>
      <c r="AU161" s="522"/>
      <c r="AV161" s="517"/>
      <c r="AW161" s="523"/>
      <c r="AX161" s="515"/>
      <c r="AY161" s="522"/>
      <c r="AZ161" s="517"/>
      <c r="BA161" s="524"/>
      <c r="BB161" s="520"/>
      <c r="BC161" s="525"/>
      <c r="BD161" s="525"/>
      <c r="BG161" s="527"/>
    </row>
    <row r="162" spans="1:59" ht="15" customHeight="1" x14ac:dyDescent="0.2">
      <c r="U162" s="614"/>
    </row>
    <row r="163" spans="1:59" ht="15" customHeight="1" x14ac:dyDescent="0.2">
      <c r="U163" s="614"/>
    </row>
    <row r="164" spans="1:59" s="422" customFormat="1" ht="18" customHeight="1" x14ac:dyDescent="0.2">
      <c r="B164" s="688" t="s">
        <v>4208</v>
      </c>
      <c r="C164" s="556"/>
      <c r="D164" s="553" t="s">
        <v>3005</v>
      </c>
      <c r="E164" s="553"/>
      <c r="F164" s="421"/>
      <c r="G164" s="611"/>
      <c r="I164" s="423"/>
      <c r="J164" s="424"/>
      <c r="K164" s="424"/>
      <c r="M164" s="680"/>
      <c r="U164" s="611"/>
      <c r="W164" s="611"/>
      <c r="Y164" s="425"/>
      <c r="Z164" s="425"/>
      <c r="AA164" s="425"/>
      <c r="AB164" s="425"/>
      <c r="AC164" s="425"/>
      <c r="AD164" s="563"/>
      <c r="AE164" s="425"/>
      <c r="AF164" s="563"/>
      <c r="AG164" s="425"/>
      <c r="AH164" s="425"/>
      <c r="AI164" s="425"/>
      <c r="AJ164" s="425"/>
      <c r="AK164" s="425"/>
      <c r="AL164" s="425"/>
      <c r="AM164" s="425"/>
      <c r="AN164" s="425"/>
      <c r="AO164" s="425"/>
      <c r="AP164" s="425"/>
      <c r="AQ164" s="425"/>
      <c r="AR164" s="425"/>
      <c r="AS164" s="425"/>
      <c r="AT164" s="425"/>
      <c r="AU164" s="425"/>
      <c r="AV164" s="425"/>
      <c r="AW164" s="425"/>
      <c r="AX164" s="425"/>
      <c r="AY164" s="425"/>
      <c r="AZ164" s="425"/>
      <c r="BA164" s="425"/>
      <c r="BB164" s="425"/>
    </row>
    <row r="165" spans="1:59" s="431" customFormat="1" ht="18" customHeight="1" x14ac:dyDescent="0.2">
      <c r="B165" s="1968" t="s">
        <v>5</v>
      </c>
      <c r="C165" s="1968" t="s">
        <v>2280</v>
      </c>
      <c r="D165" s="1968" t="s">
        <v>4157</v>
      </c>
      <c r="E165" s="1968" t="s">
        <v>4158</v>
      </c>
      <c r="F165" s="1968"/>
      <c r="G165" s="1969" t="s">
        <v>4159</v>
      </c>
      <c r="H165" s="1355" t="s">
        <v>4160</v>
      </c>
      <c r="I165" s="1355"/>
      <c r="J165" s="1968" t="s">
        <v>4161</v>
      </c>
      <c r="K165" s="1964" t="s">
        <v>4162</v>
      </c>
      <c r="L165" s="1968" t="s">
        <v>4163</v>
      </c>
      <c r="M165" s="1971" t="s">
        <v>4164</v>
      </c>
      <c r="N165" s="1962" t="s">
        <v>4165</v>
      </c>
      <c r="O165" s="1968" t="s">
        <v>4166</v>
      </c>
      <c r="P165" s="1972" t="s">
        <v>4167</v>
      </c>
      <c r="Q165" s="1973"/>
      <c r="R165" s="631" t="s">
        <v>4168</v>
      </c>
      <c r="S165" s="1972" t="s">
        <v>4169</v>
      </c>
      <c r="T165" s="1974"/>
      <c r="U165" s="1973"/>
      <c r="V165" s="1975" t="s">
        <v>4170</v>
      </c>
      <c r="W165" s="1975"/>
      <c r="X165" s="1960" t="s">
        <v>4171</v>
      </c>
      <c r="Y165" s="1959"/>
      <c r="Z165" s="628"/>
      <c r="AA165" s="426"/>
      <c r="AB165" s="426"/>
      <c r="AC165" s="426"/>
      <c r="AD165" s="564"/>
      <c r="AE165" s="426"/>
      <c r="AF165" s="564"/>
      <c r="AG165" s="426"/>
      <c r="AH165" s="426"/>
      <c r="AI165" s="427"/>
      <c r="AJ165" s="427"/>
      <c r="AK165" s="427"/>
      <c r="AL165" s="427"/>
      <c r="AM165" s="428"/>
      <c r="AN165" s="427"/>
      <c r="AO165" s="427"/>
      <c r="AP165" s="426"/>
      <c r="AQ165" s="427"/>
      <c r="AR165" s="427"/>
      <c r="AS165" s="427"/>
      <c r="AT165" s="426"/>
      <c r="AU165" s="427"/>
      <c r="AV165" s="427"/>
      <c r="AW165" s="427"/>
      <c r="AX165" s="426"/>
      <c r="AY165" s="427"/>
      <c r="AZ165" s="427"/>
      <c r="BA165" s="427"/>
      <c r="BB165" s="429"/>
      <c r="BC165" s="430"/>
      <c r="BD165" s="430"/>
    </row>
    <row r="166" spans="1:59" s="431" customFormat="1" ht="18" customHeight="1" x14ac:dyDescent="0.2">
      <c r="B166" s="1968"/>
      <c r="C166" s="1968"/>
      <c r="D166" s="1968"/>
      <c r="E166" s="1968"/>
      <c r="F166" s="1968"/>
      <c r="G166" s="1969"/>
      <c r="H166" s="1355"/>
      <c r="I166" s="1355"/>
      <c r="J166" s="1968"/>
      <c r="K166" s="1970"/>
      <c r="L166" s="1968"/>
      <c r="M166" s="1971"/>
      <c r="N166" s="1963"/>
      <c r="O166" s="1968"/>
      <c r="P166" s="1960" t="s">
        <v>4172</v>
      </c>
      <c r="Q166" s="1960" t="s">
        <v>4173</v>
      </c>
      <c r="R166" s="1962" t="s">
        <v>4159</v>
      </c>
      <c r="S166" s="1962" t="s">
        <v>4174</v>
      </c>
      <c r="T166" s="1964" t="s">
        <v>4175</v>
      </c>
      <c r="U166" s="1966" t="s">
        <v>4159</v>
      </c>
      <c r="V166" s="1975"/>
      <c r="W166" s="1975"/>
      <c r="X166" s="1976"/>
      <c r="Y166" s="1959"/>
      <c r="Z166" s="628"/>
      <c r="AA166" s="426"/>
      <c r="AB166" s="426"/>
      <c r="AC166" s="426"/>
      <c r="AD166" s="564"/>
      <c r="AE166" s="426"/>
      <c r="AF166" s="564"/>
      <c r="AG166" s="426"/>
      <c r="AH166" s="426"/>
      <c r="AI166" s="427"/>
      <c r="AJ166" s="427"/>
      <c r="AK166" s="426"/>
      <c r="AL166" s="427"/>
      <c r="AM166" s="428"/>
      <c r="AN166" s="427"/>
      <c r="AO166" s="427"/>
      <c r="AP166" s="432"/>
      <c r="AQ166" s="427"/>
      <c r="AR166" s="427"/>
      <c r="AS166" s="427"/>
      <c r="AT166" s="432"/>
      <c r="AU166" s="427"/>
      <c r="AV166" s="427"/>
      <c r="AW166" s="427"/>
      <c r="AX166" s="432"/>
      <c r="AY166" s="427"/>
      <c r="AZ166" s="427"/>
      <c r="BA166" s="427"/>
      <c r="BB166" s="429"/>
      <c r="BC166" s="430"/>
      <c r="BD166" s="430"/>
    </row>
    <row r="167" spans="1:59" s="431" customFormat="1" ht="21.75" customHeight="1" x14ac:dyDescent="0.2">
      <c r="B167" s="1968"/>
      <c r="C167" s="1968"/>
      <c r="D167" s="1968"/>
      <c r="E167" s="433" t="s">
        <v>4176</v>
      </c>
      <c r="F167" s="434" t="s">
        <v>2288</v>
      </c>
      <c r="G167" s="1969"/>
      <c r="H167" s="1355" t="s">
        <v>2288</v>
      </c>
      <c r="I167" s="1355" t="s">
        <v>4177</v>
      </c>
      <c r="J167" s="1968"/>
      <c r="K167" s="1965"/>
      <c r="L167" s="435" t="s">
        <v>2288</v>
      </c>
      <c r="M167" s="681" t="s">
        <v>2288</v>
      </c>
      <c r="N167" s="630" t="s">
        <v>2288</v>
      </c>
      <c r="O167" s="1968"/>
      <c r="P167" s="1961"/>
      <c r="Q167" s="1961"/>
      <c r="R167" s="1963"/>
      <c r="S167" s="1963"/>
      <c r="T167" s="1965"/>
      <c r="U167" s="1967"/>
      <c r="V167" s="630" t="s">
        <v>4178</v>
      </c>
      <c r="W167" s="632" t="s">
        <v>4159</v>
      </c>
      <c r="X167" s="1961"/>
      <c r="Y167" s="436"/>
      <c r="Z167" s="436"/>
      <c r="AA167" s="426"/>
      <c r="AB167" s="426"/>
      <c r="AC167" s="426"/>
      <c r="AD167" s="564"/>
      <c r="AE167" s="426"/>
      <c r="AF167" s="564"/>
      <c r="AG167" s="426"/>
      <c r="AH167" s="426"/>
      <c r="AI167" s="427"/>
      <c r="AJ167" s="432"/>
      <c r="AK167" s="432"/>
      <c r="AL167" s="427"/>
      <c r="AM167" s="428"/>
      <c r="AN167" s="432"/>
      <c r="AO167" s="427"/>
      <c r="AP167" s="432"/>
      <c r="AQ167" s="432"/>
      <c r="AR167" s="427"/>
      <c r="AS167" s="427"/>
      <c r="AT167" s="432"/>
      <c r="AU167" s="432"/>
      <c r="AV167" s="427"/>
      <c r="AW167" s="427"/>
      <c r="AX167" s="432"/>
      <c r="AY167" s="432"/>
      <c r="AZ167" s="427"/>
      <c r="BA167" s="427"/>
      <c r="BB167" s="429"/>
      <c r="BC167" s="430"/>
      <c r="BD167" s="430"/>
    </row>
    <row r="168" spans="1:59" s="461" customFormat="1" ht="18" customHeight="1" x14ac:dyDescent="0.2">
      <c r="A168" s="461" t="str">
        <f>$D$164&amp;S168</f>
        <v>KANTOR DINAS PETERNAKAN2007</v>
      </c>
      <c r="B168" s="689">
        <v>1</v>
      </c>
      <c r="C168" s="597" t="s">
        <v>1035</v>
      </c>
      <c r="D168" s="597" t="s">
        <v>1752</v>
      </c>
      <c r="E168" s="598"/>
      <c r="F168" s="599">
        <v>2007</v>
      </c>
      <c r="G168" s="626">
        <v>1022670613.8</v>
      </c>
      <c r="H168" s="600">
        <f>VLOOKUP(LEFT(D168,8),UE,4)</f>
        <v>50</v>
      </c>
      <c r="I168" s="601"/>
      <c r="J168" s="602">
        <f t="shared" ref="J168:J176" si="128">(F168+N168)-1</f>
        <v>2056</v>
      </c>
      <c r="K168" s="603"/>
      <c r="L168" s="600"/>
      <c r="M168" s="685">
        <f>IF(H168+L168&gt;$H168,$H168-H168,L168)</f>
        <v>0</v>
      </c>
      <c r="N168" s="604">
        <f>H168+M168</f>
        <v>50</v>
      </c>
      <c r="O168" s="602">
        <f t="shared" ref="O168:O176" si="129">(F168+N168)-1</f>
        <v>2056</v>
      </c>
      <c r="P168" s="605">
        <f>G168</f>
        <v>1022670613.8</v>
      </c>
      <c r="Q168" s="606">
        <v>0</v>
      </c>
      <c r="R168" s="606">
        <f>P168/N168</f>
        <v>20453412.276000001</v>
      </c>
      <c r="S168" s="607">
        <f t="shared" ref="S168:S176" si="130">F168</f>
        <v>2007</v>
      </c>
      <c r="T168" s="608">
        <v>1</v>
      </c>
      <c r="U168" s="615">
        <f t="shared" ref="U168:U176" si="131">R168*T168</f>
        <v>20453412.276000001</v>
      </c>
      <c r="V168" s="602">
        <f t="shared" ref="V168:V176" si="132">F168</f>
        <v>2007</v>
      </c>
      <c r="W168" s="618">
        <f>IF(OR(AND(ISBLANK(E168),ISBLANK(G168)),ISTEXT(E168),ISTEXT(G168)),"",G168-R168)</f>
        <v>1002217201.5239999</v>
      </c>
      <c r="X168" s="609"/>
      <c r="Y168" s="449"/>
      <c r="Z168" s="449"/>
      <c r="AA168" s="450" t="s">
        <v>4179</v>
      </c>
      <c r="AB168" s="451"/>
      <c r="AC168" s="451"/>
      <c r="AD168" s="565"/>
      <c r="AE168" s="452"/>
      <c r="AF168" s="571"/>
      <c r="AG168" s="452"/>
      <c r="AH168" s="452"/>
      <c r="AI168" s="453"/>
      <c r="AJ168" s="449"/>
      <c r="AK168" s="453"/>
      <c r="AL168" s="454"/>
      <c r="AM168" s="455"/>
      <c r="AN168" s="456"/>
      <c r="AO168" s="455"/>
      <c r="AP168" s="452"/>
      <c r="AQ168" s="457"/>
      <c r="AR168" s="449"/>
      <c r="AS168" s="449"/>
      <c r="AT168" s="452"/>
      <c r="AU168" s="457"/>
      <c r="AV168" s="449"/>
      <c r="AW168" s="458"/>
      <c r="AX168" s="452"/>
      <c r="AY168" s="457"/>
      <c r="AZ168" s="449"/>
      <c r="BA168" s="459"/>
      <c r="BB168" s="455"/>
      <c r="BC168" s="460"/>
      <c r="BD168" s="460"/>
      <c r="BG168" s="462"/>
    </row>
    <row r="169" spans="1:59" s="461" customFormat="1" ht="18" customHeight="1" x14ac:dyDescent="0.2">
      <c r="A169" s="461" t="str">
        <f t="shared" ref="A169:A176" si="133">$D$164&amp;S169</f>
        <v>KANTOR DINAS PETERNAKAN2008</v>
      </c>
      <c r="B169" s="708">
        <v>2</v>
      </c>
      <c r="C169" s="489" t="s">
        <v>1064</v>
      </c>
      <c r="D169" s="489" t="s">
        <v>1752</v>
      </c>
      <c r="E169" s="558"/>
      <c r="F169" s="559">
        <v>2008</v>
      </c>
      <c r="G169" s="619">
        <v>561304195</v>
      </c>
      <c r="H169" s="464">
        <f t="shared" ref="H169:H176" si="134">IF(N168-(F169-F168)&lt;=0,0,(N168-(F169-F168)))</f>
        <v>49</v>
      </c>
      <c r="I169" s="560"/>
      <c r="J169" s="468">
        <f t="shared" si="128"/>
        <v>2057</v>
      </c>
      <c r="K169" s="490">
        <f t="shared" ref="K169:K176" si="135">IF(G169=0,0,IF(H169=50,100%,G169/W168))</f>
        <v>0.56006242374054738</v>
      </c>
      <c r="L169" s="469">
        <f t="shared" ref="L169:L176" si="136">IF(K169=0%,0,IF(K169&lt;=25%,5,IF(K169&lt;=50%,10,IF(K169&lt;=75%,15,50))))</f>
        <v>15</v>
      </c>
      <c r="M169" s="683">
        <f t="shared" ref="M169:M176" si="137">IF(OR(AND(ISBLANK(E169),ISBLANK(G169)),ISTEXT(E169),ISTEXT(G169)),"",IF(H169+L169&gt;$H$27,$H$27-H169,L169))</f>
        <v>1</v>
      </c>
      <c r="N169" s="470">
        <f t="shared" ref="N169:N176" si="138">IF(OR(AND(ISBLANK(F169),ISBLANK(G169)),ISTEXT(F169),ISTEXT(G169)),"",H169+M169)</f>
        <v>50</v>
      </c>
      <c r="O169" s="468">
        <f t="shared" si="129"/>
        <v>2057</v>
      </c>
      <c r="P169" s="471">
        <f t="shared" ref="P169:P176" si="139">W168</f>
        <v>1002217201.5239999</v>
      </c>
      <c r="Q169" s="472">
        <f t="shared" ref="Q169:Q176" si="140">P169+G169</f>
        <v>1563521396.5239999</v>
      </c>
      <c r="R169" s="472">
        <f t="shared" ref="R169:R176" si="141">IF(L169=0,R168,Q169/N169)</f>
        <v>31270427.93048</v>
      </c>
      <c r="S169" s="629">
        <f t="shared" si="130"/>
        <v>2008</v>
      </c>
      <c r="T169" s="470">
        <f t="shared" ref="T169:T176" si="142">S169-S168</f>
        <v>1</v>
      </c>
      <c r="U169" s="612">
        <f t="shared" si="131"/>
        <v>31270427.93048</v>
      </c>
      <c r="V169" s="464">
        <f t="shared" si="132"/>
        <v>2008</v>
      </c>
      <c r="W169" s="612">
        <f t="shared" ref="W169:W176" si="143">IF(OR(AND(ISBLANK(E169),ISBLANK(G169)),ISTEXT(E169),ISTEXT(G169)),"",Q169-U169)</f>
        <v>1532250968.5935199</v>
      </c>
      <c r="X169" s="561"/>
      <c r="Y169" s="449"/>
      <c r="Z169" s="449"/>
      <c r="AA169" s="554"/>
      <c r="AB169" s="452"/>
      <c r="AC169" s="452"/>
      <c r="AD169" s="566"/>
      <c r="AE169" s="452"/>
      <c r="AF169" s="571"/>
      <c r="AG169" s="452"/>
      <c r="AH169" s="452"/>
      <c r="AI169" s="453"/>
      <c r="AJ169" s="449"/>
      <c r="AK169" s="453"/>
      <c r="AL169" s="454"/>
      <c r="AM169" s="455"/>
      <c r="AN169" s="456"/>
      <c r="AO169" s="455"/>
      <c r="AP169" s="452"/>
      <c r="AQ169" s="457"/>
      <c r="AR169" s="449"/>
      <c r="AS169" s="449"/>
      <c r="AT169" s="452"/>
      <c r="AU169" s="457"/>
      <c r="AV169" s="449"/>
      <c r="AW169" s="458"/>
      <c r="AX169" s="452"/>
      <c r="AY169" s="457"/>
      <c r="AZ169" s="449"/>
      <c r="BA169" s="459"/>
      <c r="BB169" s="455"/>
      <c r="BC169" s="460"/>
      <c r="BD169" s="460"/>
      <c r="BG169" s="462"/>
    </row>
    <row r="170" spans="1:59" s="461" customFormat="1" ht="18" customHeight="1" x14ac:dyDescent="0.2">
      <c r="A170" s="461" t="str">
        <f t="shared" si="133"/>
        <v>KANTOR DINAS PETERNAKAN2013</v>
      </c>
      <c r="B170" s="708"/>
      <c r="C170" s="489"/>
      <c r="D170" s="489"/>
      <c r="E170" s="558"/>
      <c r="F170" s="559">
        <v>2013</v>
      </c>
      <c r="G170" s="619">
        <v>0</v>
      </c>
      <c r="H170" s="464">
        <f t="shared" si="134"/>
        <v>45</v>
      </c>
      <c r="I170" s="560"/>
      <c r="J170" s="468">
        <f t="shared" si="128"/>
        <v>2057</v>
      </c>
      <c r="K170" s="490">
        <f t="shared" si="135"/>
        <v>0</v>
      </c>
      <c r="L170" s="469">
        <f t="shared" si="136"/>
        <v>0</v>
      </c>
      <c r="M170" s="683">
        <f t="shared" si="137"/>
        <v>0</v>
      </c>
      <c r="N170" s="470">
        <f t="shared" si="138"/>
        <v>45</v>
      </c>
      <c r="O170" s="468">
        <f t="shared" si="129"/>
        <v>2057</v>
      </c>
      <c r="P170" s="471">
        <f t="shared" si="139"/>
        <v>1532250968.5935199</v>
      </c>
      <c r="Q170" s="472">
        <f t="shared" si="140"/>
        <v>1532250968.5935199</v>
      </c>
      <c r="R170" s="472">
        <f t="shared" si="141"/>
        <v>31270427.93048</v>
      </c>
      <c r="S170" s="709">
        <f t="shared" si="130"/>
        <v>2013</v>
      </c>
      <c r="T170" s="470">
        <f t="shared" si="142"/>
        <v>5</v>
      </c>
      <c r="U170" s="612">
        <f t="shared" si="131"/>
        <v>156352139.65239999</v>
      </c>
      <c r="V170" s="464">
        <f t="shared" si="132"/>
        <v>2013</v>
      </c>
      <c r="W170" s="612">
        <f t="shared" si="143"/>
        <v>1375898828.9411199</v>
      </c>
      <c r="X170" s="561"/>
      <c r="Y170" s="449"/>
      <c r="Z170" s="449"/>
      <c r="AA170" s="554"/>
      <c r="AB170" s="452"/>
      <c r="AC170" s="452"/>
      <c r="AD170" s="566"/>
      <c r="AE170" s="452"/>
      <c r="AF170" s="571"/>
      <c r="AG170" s="452"/>
      <c r="AH170" s="452"/>
      <c r="AI170" s="453"/>
      <c r="AJ170" s="449"/>
      <c r="AK170" s="453"/>
      <c r="AL170" s="454"/>
      <c r="AM170" s="455"/>
      <c r="AN170" s="456"/>
      <c r="AO170" s="455"/>
      <c r="AP170" s="452"/>
      <c r="AQ170" s="457"/>
      <c r="AR170" s="449"/>
      <c r="AS170" s="449"/>
      <c r="AT170" s="452"/>
      <c r="AU170" s="457"/>
      <c r="AV170" s="449"/>
      <c r="AW170" s="458"/>
      <c r="AX170" s="452"/>
      <c r="AY170" s="457"/>
      <c r="AZ170" s="449"/>
      <c r="BA170" s="459"/>
      <c r="BB170" s="455"/>
      <c r="BC170" s="460"/>
      <c r="BD170" s="460"/>
      <c r="BG170" s="462"/>
    </row>
    <row r="171" spans="1:59" s="461" customFormat="1" ht="18" customHeight="1" x14ac:dyDescent="0.2">
      <c r="A171" s="461" t="str">
        <f t="shared" si="133"/>
        <v>KANTOR DINAS PETERNAKAN2014</v>
      </c>
      <c r="B171" s="708"/>
      <c r="C171" s="489"/>
      <c r="D171" s="489"/>
      <c r="E171" s="558"/>
      <c r="F171" s="559">
        <v>2014</v>
      </c>
      <c r="G171" s="619">
        <v>0</v>
      </c>
      <c r="H171" s="464">
        <f t="shared" si="134"/>
        <v>44</v>
      </c>
      <c r="I171" s="560"/>
      <c r="J171" s="468">
        <f t="shared" si="128"/>
        <v>2057</v>
      </c>
      <c r="K171" s="490">
        <f t="shared" si="135"/>
        <v>0</v>
      </c>
      <c r="L171" s="469">
        <f t="shared" si="136"/>
        <v>0</v>
      </c>
      <c r="M171" s="683">
        <f t="shared" si="137"/>
        <v>0</v>
      </c>
      <c r="N171" s="470">
        <f t="shared" si="138"/>
        <v>44</v>
      </c>
      <c r="O171" s="468">
        <f t="shared" si="129"/>
        <v>2057</v>
      </c>
      <c r="P171" s="471">
        <f t="shared" si="139"/>
        <v>1375898828.9411199</v>
      </c>
      <c r="Q171" s="472">
        <f t="shared" si="140"/>
        <v>1375898828.9411199</v>
      </c>
      <c r="R171" s="472">
        <f t="shared" si="141"/>
        <v>31270427.93048</v>
      </c>
      <c r="S171" s="709">
        <f t="shared" si="130"/>
        <v>2014</v>
      </c>
      <c r="T171" s="470">
        <f t="shared" si="142"/>
        <v>1</v>
      </c>
      <c r="U171" s="612">
        <f t="shared" si="131"/>
        <v>31270427.93048</v>
      </c>
      <c r="V171" s="464">
        <f t="shared" si="132"/>
        <v>2014</v>
      </c>
      <c r="W171" s="612">
        <f t="shared" si="143"/>
        <v>1344628401.0106399</v>
      </c>
      <c r="X171" s="561"/>
      <c r="Y171" s="449"/>
      <c r="Z171" s="449"/>
      <c r="AA171" s="554"/>
      <c r="AB171" s="452"/>
      <c r="AC171" s="452"/>
      <c r="AD171" s="566"/>
      <c r="AE171" s="452"/>
      <c r="AF171" s="571"/>
      <c r="AG171" s="452"/>
      <c r="AH171" s="452"/>
      <c r="AI171" s="453"/>
      <c r="AJ171" s="449"/>
      <c r="AK171" s="453"/>
      <c r="AL171" s="454"/>
      <c r="AM171" s="455"/>
      <c r="AN171" s="456"/>
      <c r="AO171" s="455"/>
      <c r="AP171" s="452"/>
      <c r="AQ171" s="457"/>
      <c r="AR171" s="449"/>
      <c r="AS171" s="449"/>
      <c r="AT171" s="452"/>
      <c r="AU171" s="457"/>
      <c r="AV171" s="449"/>
      <c r="AW171" s="458"/>
      <c r="AX171" s="452"/>
      <c r="AY171" s="457"/>
      <c r="AZ171" s="449"/>
      <c r="BA171" s="459"/>
      <c r="BB171" s="455"/>
      <c r="BC171" s="460"/>
      <c r="BD171" s="460"/>
      <c r="BG171" s="462"/>
    </row>
    <row r="172" spans="1:59" s="486" customFormat="1" ht="18" customHeight="1" x14ac:dyDescent="0.2">
      <c r="A172" s="461" t="str">
        <f t="shared" si="133"/>
        <v>KANTOR DINAS PETERNAKAN2015</v>
      </c>
      <c r="B172" s="708"/>
      <c r="C172" s="463"/>
      <c r="D172" s="489"/>
      <c r="E172" s="465"/>
      <c r="F172" s="559">
        <v>2015</v>
      </c>
      <c r="G172" s="620">
        <v>0</v>
      </c>
      <c r="H172" s="464">
        <f t="shared" si="134"/>
        <v>43</v>
      </c>
      <c r="I172" s="560"/>
      <c r="J172" s="468">
        <f t="shared" si="128"/>
        <v>2057</v>
      </c>
      <c r="K172" s="490">
        <f t="shared" si="135"/>
        <v>0</v>
      </c>
      <c r="L172" s="469">
        <f t="shared" si="136"/>
        <v>0</v>
      </c>
      <c r="M172" s="683">
        <f t="shared" si="137"/>
        <v>0</v>
      </c>
      <c r="N172" s="470">
        <f t="shared" si="138"/>
        <v>43</v>
      </c>
      <c r="O172" s="468">
        <f t="shared" si="129"/>
        <v>2057</v>
      </c>
      <c r="P172" s="471">
        <f t="shared" si="139"/>
        <v>1344628401.0106399</v>
      </c>
      <c r="Q172" s="472">
        <f t="shared" si="140"/>
        <v>1344628401.0106399</v>
      </c>
      <c r="R172" s="472">
        <f t="shared" si="141"/>
        <v>31270427.93048</v>
      </c>
      <c r="S172" s="709">
        <f t="shared" si="130"/>
        <v>2015</v>
      </c>
      <c r="T172" s="470">
        <f t="shared" si="142"/>
        <v>1</v>
      </c>
      <c r="U172" s="612">
        <f t="shared" si="131"/>
        <v>31270427.93048</v>
      </c>
      <c r="V172" s="464">
        <f t="shared" si="132"/>
        <v>2015</v>
      </c>
      <c r="W172" s="612">
        <f t="shared" si="143"/>
        <v>1313357973.0801599</v>
      </c>
      <c r="X172" s="473"/>
      <c r="Y172" s="474"/>
      <c r="Z172" s="449"/>
      <c r="AA172" s="475" t="s">
        <v>4180</v>
      </c>
      <c r="AB172" s="476"/>
      <c r="AC172" s="476"/>
      <c r="AD172" s="567">
        <f>G179</f>
        <v>1583974808.8</v>
      </c>
      <c r="AE172" s="476"/>
      <c r="AF172" s="568"/>
      <c r="AG172" s="476"/>
      <c r="AH172" s="476"/>
      <c r="AI172" s="477"/>
      <c r="AJ172" s="478"/>
      <c r="AK172" s="479"/>
      <c r="AL172" s="480"/>
      <c r="AM172" s="474"/>
      <c r="AN172" s="481"/>
      <c r="AO172" s="474"/>
      <c r="AP172" s="476"/>
      <c r="AQ172" s="482"/>
      <c r="AR172" s="478"/>
      <c r="AS172" s="478"/>
      <c r="AT172" s="476"/>
      <c r="AU172" s="482"/>
      <c r="AV172" s="478"/>
      <c r="AW172" s="483"/>
      <c r="AX172" s="476"/>
      <c r="AY172" s="482"/>
      <c r="AZ172" s="478"/>
      <c r="BA172" s="484"/>
      <c r="BB172" s="474"/>
      <c r="BC172" s="485"/>
      <c r="BD172" s="485"/>
      <c r="BG172" s="487"/>
    </row>
    <row r="173" spans="1:59" s="486" customFormat="1" ht="18" customHeight="1" x14ac:dyDescent="0.2">
      <c r="A173" s="461" t="str">
        <f t="shared" si="133"/>
        <v>KANTOR DINAS PETERNAKAN2016</v>
      </c>
      <c r="B173" s="708"/>
      <c r="C173" s="488"/>
      <c r="D173" s="489"/>
      <c r="E173" s="465"/>
      <c r="F173" s="559">
        <v>2016</v>
      </c>
      <c r="G173" s="620">
        <v>0</v>
      </c>
      <c r="H173" s="464">
        <f t="shared" si="134"/>
        <v>42</v>
      </c>
      <c r="I173" s="560"/>
      <c r="J173" s="468">
        <f t="shared" si="128"/>
        <v>2057</v>
      </c>
      <c r="K173" s="490">
        <f t="shared" si="135"/>
        <v>0</v>
      </c>
      <c r="L173" s="469">
        <f t="shared" si="136"/>
        <v>0</v>
      </c>
      <c r="M173" s="683">
        <f t="shared" si="137"/>
        <v>0</v>
      </c>
      <c r="N173" s="470">
        <f t="shared" si="138"/>
        <v>42</v>
      </c>
      <c r="O173" s="468">
        <f t="shared" si="129"/>
        <v>2057</v>
      </c>
      <c r="P173" s="471">
        <f t="shared" si="139"/>
        <v>1313357973.0801599</v>
      </c>
      <c r="Q173" s="472">
        <f t="shared" si="140"/>
        <v>1313357973.0801599</v>
      </c>
      <c r="R173" s="472">
        <f t="shared" si="141"/>
        <v>31270427.93048</v>
      </c>
      <c r="S173" s="768">
        <f t="shared" si="130"/>
        <v>2016</v>
      </c>
      <c r="T173" s="470">
        <f t="shared" si="142"/>
        <v>1</v>
      </c>
      <c r="U173" s="612">
        <f t="shared" si="131"/>
        <v>31270427.93048</v>
      </c>
      <c r="V173" s="464">
        <f t="shared" si="132"/>
        <v>2016</v>
      </c>
      <c r="W173" s="612">
        <f t="shared" si="143"/>
        <v>1282087545.1496799</v>
      </c>
      <c r="X173" s="473"/>
      <c r="Y173" s="478"/>
      <c r="Z173" s="449"/>
      <c r="AA173" s="475" t="s">
        <v>4181</v>
      </c>
      <c r="AB173" s="491"/>
      <c r="AC173" s="491"/>
      <c r="AD173" s="567">
        <f>U179</f>
        <v>395698547.44176</v>
      </c>
      <c r="AE173" s="491"/>
      <c r="AF173" s="568"/>
      <c r="AG173" s="491"/>
      <c r="AH173" s="491"/>
      <c r="AI173" s="477"/>
      <c r="AJ173" s="478"/>
      <c r="AK173" s="479"/>
      <c r="AL173" s="480"/>
      <c r="AM173" s="474"/>
      <c r="AN173" s="481"/>
      <c r="AO173" s="474"/>
      <c r="AP173" s="476"/>
      <c r="AQ173" s="482"/>
      <c r="AR173" s="478"/>
      <c r="AS173" s="478"/>
      <c r="AT173" s="476"/>
      <c r="AU173" s="482"/>
      <c r="AV173" s="478"/>
      <c r="AW173" s="483"/>
      <c r="AX173" s="476"/>
      <c r="AY173" s="482"/>
      <c r="AZ173" s="478"/>
      <c r="BA173" s="484"/>
      <c r="BB173" s="474"/>
      <c r="BC173" s="485"/>
      <c r="BD173" s="485"/>
      <c r="BG173" s="487"/>
    </row>
    <row r="174" spans="1:59" s="486" customFormat="1" ht="18" customHeight="1" x14ac:dyDescent="0.2">
      <c r="A174" s="461" t="str">
        <f t="shared" si="133"/>
        <v>KANTOR DINAS PETERNAKAN2017</v>
      </c>
      <c r="B174" s="708"/>
      <c r="C174" s="463"/>
      <c r="D174" s="464"/>
      <c r="E174" s="465"/>
      <c r="F174" s="559">
        <v>2017</v>
      </c>
      <c r="G174" s="620">
        <v>0</v>
      </c>
      <c r="H174" s="464">
        <f t="shared" si="134"/>
        <v>41</v>
      </c>
      <c r="I174" s="560"/>
      <c r="J174" s="468">
        <f t="shared" si="128"/>
        <v>2057</v>
      </c>
      <c r="K174" s="490">
        <f t="shared" si="135"/>
        <v>0</v>
      </c>
      <c r="L174" s="469">
        <f t="shared" si="136"/>
        <v>0</v>
      </c>
      <c r="M174" s="683">
        <f t="shared" si="137"/>
        <v>0</v>
      </c>
      <c r="N174" s="470">
        <f t="shared" si="138"/>
        <v>41</v>
      </c>
      <c r="O174" s="468">
        <f t="shared" si="129"/>
        <v>2057</v>
      </c>
      <c r="P174" s="471">
        <f t="shared" si="139"/>
        <v>1282087545.1496799</v>
      </c>
      <c r="Q174" s="472">
        <f t="shared" si="140"/>
        <v>1282087545.1496799</v>
      </c>
      <c r="R174" s="472">
        <f t="shared" si="141"/>
        <v>31270427.93048</v>
      </c>
      <c r="S174" s="768">
        <f t="shared" si="130"/>
        <v>2017</v>
      </c>
      <c r="T174" s="470">
        <f t="shared" si="142"/>
        <v>1</v>
      </c>
      <c r="U174" s="612">
        <f t="shared" si="131"/>
        <v>31270427.93048</v>
      </c>
      <c r="V174" s="464">
        <f t="shared" si="132"/>
        <v>2017</v>
      </c>
      <c r="W174" s="612">
        <f t="shared" si="143"/>
        <v>1250817117.2191999</v>
      </c>
      <c r="X174" s="473"/>
      <c r="Y174" s="478"/>
      <c r="Z174" s="449"/>
      <c r="AA174" s="492" t="s">
        <v>4182</v>
      </c>
      <c r="AB174" s="476"/>
      <c r="AC174" s="476"/>
      <c r="AD174" s="568">
        <f>AD172-AD173</f>
        <v>1188276261.3582399</v>
      </c>
      <c r="AE174" s="476"/>
      <c r="AF174" s="568"/>
      <c r="AG174" s="476"/>
      <c r="AH174" s="476"/>
      <c r="AI174" s="477"/>
      <c r="AJ174" s="478"/>
      <c r="AK174" s="479"/>
      <c r="AL174" s="480"/>
      <c r="AM174" s="474"/>
      <c r="AN174" s="481"/>
      <c r="AO174" s="474"/>
      <c r="AP174" s="476"/>
      <c r="AQ174" s="482"/>
      <c r="AR174" s="478"/>
      <c r="AS174" s="478"/>
      <c r="AT174" s="476"/>
      <c r="AU174" s="482"/>
      <c r="AV174" s="478"/>
      <c r="AW174" s="483"/>
      <c r="AX174" s="476"/>
      <c r="AY174" s="482"/>
      <c r="AZ174" s="478"/>
      <c r="BA174" s="484"/>
      <c r="BB174" s="474"/>
      <c r="BC174" s="485"/>
      <c r="BD174" s="485"/>
      <c r="BG174" s="487"/>
    </row>
    <row r="175" spans="1:59" s="486" customFormat="1" ht="18" customHeight="1" x14ac:dyDescent="0.2">
      <c r="A175" s="461" t="str">
        <f t="shared" si="133"/>
        <v>KANTOR DINAS PETERNAKAN2018</v>
      </c>
      <c r="B175" s="687"/>
      <c r="C175" s="463"/>
      <c r="D175" s="464"/>
      <c r="E175" s="465"/>
      <c r="F175" s="559">
        <v>2018</v>
      </c>
      <c r="G175" s="620">
        <v>0</v>
      </c>
      <c r="H175" s="464">
        <f t="shared" si="134"/>
        <v>40</v>
      </c>
      <c r="I175" s="560"/>
      <c r="J175" s="468">
        <f t="shared" si="128"/>
        <v>2057</v>
      </c>
      <c r="K175" s="490">
        <f t="shared" si="135"/>
        <v>0</v>
      </c>
      <c r="L175" s="469">
        <f t="shared" si="136"/>
        <v>0</v>
      </c>
      <c r="M175" s="683">
        <f t="shared" si="137"/>
        <v>0</v>
      </c>
      <c r="N175" s="470">
        <f t="shared" si="138"/>
        <v>40</v>
      </c>
      <c r="O175" s="468">
        <f t="shared" si="129"/>
        <v>2057</v>
      </c>
      <c r="P175" s="471">
        <f t="shared" si="139"/>
        <v>1250817117.2191999</v>
      </c>
      <c r="Q175" s="472">
        <f t="shared" si="140"/>
        <v>1250817117.2191999</v>
      </c>
      <c r="R175" s="472">
        <f t="shared" si="141"/>
        <v>31270427.93048</v>
      </c>
      <c r="S175" s="768">
        <f t="shared" si="130"/>
        <v>2018</v>
      </c>
      <c r="T175" s="470">
        <f t="shared" si="142"/>
        <v>1</v>
      </c>
      <c r="U175" s="612">
        <f t="shared" si="131"/>
        <v>31270427.93048</v>
      </c>
      <c r="V175" s="464">
        <f t="shared" si="132"/>
        <v>2018</v>
      </c>
      <c r="W175" s="612">
        <f t="shared" si="143"/>
        <v>1219546689.2887199</v>
      </c>
      <c r="X175" s="473"/>
      <c r="Y175" s="478"/>
      <c r="Z175" s="449"/>
      <c r="AA175" s="475" t="s">
        <v>4183</v>
      </c>
      <c r="AB175" s="476"/>
      <c r="AC175" s="476"/>
      <c r="AD175" s="567">
        <f>AD174-W179</f>
        <v>0</v>
      </c>
      <c r="AE175" s="476"/>
      <c r="AF175" s="568"/>
      <c r="AG175" s="476"/>
      <c r="AH175" s="476"/>
      <c r="AI175" s="477"/>
      <c r="AJ175" s="478"/>
      <c r="AK175" s="479"/>
      <c r="AL175" s="480"/>
      <c r="AM175" s="474"/>
      <c r="AN175" s="481"/>
      <c r="AO175" s="474"/>
      <c r="AP175" s="476"/>
      <c r="AQ175" s="482"/>
      <c r="AR175" s="478"/>
      <c r="AS175" s="478"/>
      <c r="AT175" s="476"/>
      <c r="AU175" s="482"/>
      <c r="AV175" s="478"/>
      <c r="AW175" s="483"/>
      <c r="AX175" s="476"/>
      <c r="AY175" s="482"/>
      <c r="AZ175" s="478"/>
      <c r="BA175" s="484"/>
      <c r="BB175" s="474"/>
      <c r="BC175" s="485"/>
      <c r="BD175" s="485"/>
      <c r="BG175" s="487"/>
    </row>
    <row r="176" spans="1:59" s="486" customFormat="1" ht="18" customHeight="1" x14ac:dyDescent="0.2">
      <c r="A176" s="461" t="str">
        <f t="shared" si="133"/>
        <v>KANTOR DINAS PETERNAKAN2019</v>
      </c>
      <c r="B176" s="687"/>
      <c r="C176" s="463"/>
      <c r="D176" s="464"/>
      <c r="E176" s="465"/>
      <c r="F176" s="466">
        <v>2019</v>
      </c>
      <c r="G176" s="620">
        <v>0</v>
      </c>
      <c r="H176" s="464">
        <f t="shared" si="134"/>
        <v>39</v>
      </c>
      <c r="I176" s="560"/>
      <c r="J176" s="468">
        <f t="shared" si="128"/>
        <v>2057</v>
      </c>
      <c r="K176" s="490">
        <f t="shared" si="135"/>
        <v>0</v>
      </c>
      <c r="L176" s="469">
        <f t="shared" si="136"/>
        <v>0</v>
      </c>
      <c r="M176" s="683">
        <f t="shared" si="137"/>
        <v>0</v>
      </c>
      <c r="N176" s="470">
        <f t="shared" si="138"/>
        <v>39</v>
      </c>
      <c r="O176" s="468">
        <f t="shared" si="129"/>
        <v>2057</v>
      </c>
      <c r="P176" s="471">
        <f t="shared" si="139"/>
        <v>1219546689.2887199</v>
      </c>
      <c r="Q176" s="472">
        <f t="shared" si="140"/>
        <v>1219546689.2887199</v>
      </c>
      <c r="R176" s="472">
        <f t="shared" si="141"/>
        <v>31270427.93048</v>
      </c>
      <c r="S176" s="1189">
        <f t="shared" si="130"/>
        <v>2019</v>
      </c>
      <c r="T176" s="470">
        <f t="shared" si="142"/>
        <v>1</v>
      </c>
      <c r="U176" s="612">
        <f t="shared" si="131"/>
        <v>31270427.93048</v>
      </c>
      <c r="V176" s="464">
        <f t="shared" si="132"/>
        <v>2019</v>
      </c>
      <c r="W176" s="612">
        <f t="shared" si="143"/>
        <v>1188276261.3582399</v>
      </c>
      <c r="X176" s="473"/>
      <c r="Y176" s="478"/>
      <c r="Z176" s="449"/>
      <c r="AA176" s="475"/>
      <c r="AB176" s="476"/>
      <c r="AC176" s="476"/>
      <c r="AD176" s="567"/>
      <c r="AE176" s="476"/>
      <c r="AF176" s="568"/>
      <c r="AG176" s="476"/>
      <c r="AH176" s="476"/>
      <c r="AI176" s="477"/>
      <c r="AJ176" s="478"/>
      <c r="AK176" s="479"/>
      <c r="AL176" s="480"/>
      <c r="AM176" s="474"/>
      <c r="AN176" s="481"/>
      <c r="AO176" s="474"/>
      <c r="AP176" s="476"/>
      <c r="AQ176" s="482"/>
      <c r="AR176" s="478"/>
      <c r="AS176" s="478"/>
      <c r="AT176" s="476"/>
      <c r="AU176" s="482"/>
      <c r="AV176" s="478"/>
      <c r="AW176" s="483"/>
      <c r="AX176" s="476"/>
      <c r="AY176" s="482"/>
      <c r="AZ176" s="478"/>
      <c r="BA176" s="484"/>
      <c r="BB176" s="474"/>
      <c r="BC176" s="485"/>
      <c r="BD176" s="485"/>
      <c r="BG176" s="487"/>
    </row>
    <row r="177" spans="1:59" s="486" customFormat="1" ht="18" customHeight="1" x14ac:dyDescent="0.2">
      <c r="B177" s="687"/>
      <c r="C177" s="463"/>
      <c r="D177" s="464"/>
      <c r="E177" s="465"/>
      <c r="F177" s="466"/>
      <c r="G177" s="620"/>
      <c r="H177" s="464"/>
      <c r="I177" s="467"/>
      <c r="J177" s="468"/>
      <c r="K177" s="490"/>
      <c r="L177" s="469"/>
      <c r="M177" s="683"/>
      <c r="N177" s="470"/>
      <c r="O177" s="468"/>
      <c r="P177" s="471"/>
      <c r="Q177" s="472"/>
      <c r="R177" s="472"/>
      <c r="S177" s="768"/>
      <c r="T177" s="470"/>
      <c r="U177" s="612"/>
      <c r="V177" s="464"/>
      <c r="W177" s="612"/>
      <c r="X177" s="473"/>
      <c r="Y177" s="478"/>
      <c r="Z177" s="449"/>
      <c r="AA177" s="475"/>
      <c r="AB177" s="476"/>
      <c r="AC177" s="476"/>
      <c r="AD177" s="567"/>
      <c r="AE177" s="476"/>
      <c r="AF177" s="568"/>
      <c r="AG177" s="476"/>
      <c r="AH177" s="476"/>
      <c r="AI177" s="477"/>
      <c r="AJ177" s="478"/>
      <c r="AK177" s="479"/>
      <c r="AL177" s="480"/>
      <c r="AM177" s="474"/>
      <c r="AN177" s="481"/>
      <c r="AO177" s="474"/>
      <c r="AP177" s="476"/>
      <c r="AQ177" s="482"/>
      <c r="AR177" s="478"/>
      <c r="AS177" s="478"/>
      <c r="AT177" s="476"/>
      <c r="AU177" s="482"/>
      <c r="AV177" s="478"/>
      <c r="AW177" s="483"/>
      <c r="AX177" s="476"/>
      <c r="AY177" s="482"/>
      <c r="AZ177" s="478"/>
      <c r="BA177" s="484"/>
      <c r="BB177" s="474"/>
      <c r="BC177" s="485"/>
      <c r="BD177" s="485"/>
      <c r="BG177" s="487"/>
    </row>
    <row r="178" spans="1:59" s="486" customFormat="1" ht="18" customHeight="1" x14ac:dyDescent="0.2">
      <c r="B178" s="687"/>
      <c r="C178" s="494"/>
      <c r="D178" s="464"/>
      <c r="E178" s="465"/>
      <c r="F178" s="466"/>
      <c r="G178" s="620"/>
      <c r="H178" s="464"/>
      <c r="I178" s="467"/>
      <c r="J178" s="468"/>
      <c r="K178" s="490"/>
      <c r="L178" s="469"/>
      <c r="M178" s="683"/>
      <c r="N178" s="470"/>
      <c r="O178" s="468"/>
      <c r="P178" s="471"/>
      <c r="Q178" s="472"/>
      <c r="R178" s="472"/>
      <c r="S178" s="629"/>
      <c r="T178" s="470"/>
      <c r="U178" s="612"/>
      <c r="V178" s="464"/>
      <c r="W178" s="612"/>
      <c r="X178" s="473"/>
      <c r="Y178" s="478"/>
      <c r="Z178" s="449"/>
      <c r="AA178" s="495"/>
      <c r="AB178" s="496"/>
      <c r="AC178" s="496"/>
      <c r="AD178" s="569"/>
      <c r="AE178" s="476"/>
      <c r="AF178" s="568"/>
      <c r="AG178" s="476"/>
      <c r="AH178" s="476"/>
      <c r="AI178" s="477"/>
      <c r="AJ178" s="478"/>
      <c r="AK178" s="479"/>
      <c r="AL178" s="480"/>
      <c r="AM178" s="474"/>
      <c r="AN178" s="481"/>
      <c r="AO178" s="474"/>
      <c r="AP178" s="476"/>
      <c r="AQ178" s="482"/>
      <c r="AR178" s="478"/>
      <c r="AS178" s="478"/>
      <c r="AT178" s="476"/>
      <c r="AU178" s="482"/>
      <c r="AV178" s="478"/>
      <c r="AW178" s="483"/>
      <c r="AX178" s="476"/>
      <c r="AY178" s="482"/>
      <c r="AZ178" s="478"/>
      <c r="BA178" s="484"/>
      <c r="BB178" s="474"/>
      <c r="BC178" s="485"/>
      <c r="BD178" s="485"/>
      <c r="BG178" s="487"/>
    </row>
    <row r="179" spans="1:59" s="526" customFormat="1" ht="18" customHeight="1" x14ac:dyDescent="0.2">
      <c r="B179" s="1956" t="s">
        <v>4184</v>
      </c>
      <c r="C179" s="1957"/>
      <c r="D179" s="1957"/>
      <c r="E179" s="1957"/>
      <c r="F179" s="1958"/>
      <c r="G179" s="621">
        <f>SUM(G168:G178)</f>
        <v>1583974808.8</v>
      </c>
      <c r="H179" s="505"/>
      <c r="I179" s="506"/>
      <c r="J179" s="507"/>
      <c r="K179" s="507"/>
      <c r="L179" s="505"/>
      <c r="M179" s="684"/>
      <c r="N179" s="508"/>
      <c r="O179" s="507"/>
      <c r="P179" s="509"/>
      <c r="Q179" s="510"/>
      <c r="R179" s="511"/>
      <c r="S179" s="512"/>
      <c r="T179" s="512"/>
      <c r="U179" s="610">
        <f>SUM(U168:U178)</f>
        <v>395698547.44176</v>
      </c>
      <c r="V179" s="513"/>
      <c r="W179" s="610">
        <f>G179-U179</f>
        <v>1188276261.3582399</v>
      </c>
      <c r="X179" s="514"/>
      <c r="Y179" s="515"/>
      <c r="Z179" s="515"/>
      <c r="AA179" s="515"/>
      <c r="AB179" s="515"/>
      <c r="AC179" s="515"/>
      <c r="AD179" s="570"/>
      <c r="AE179" s="515"/>
      <c r="AF179" s="570"/>
      <c r="AG179" s="515"/>
      <c r="AH179" s="515"/>
      <c r="AI179" s="516"/>
      <c r="AJ179" s="517"/>
      <c r="AK179" s="518"/>
      <c r="AL179" s="519"/>
      <c r="AM179" s="520"/>
      <c r="AN179" s="521"/>
      <c r="AO179" s="520"/>
      <c r="AP179" s="515"/>
      <c r="AQ179" s="522"/>
      <c r="AR179" s="517"/>
      <c r="AS179" s="517"/>
      <c r="AT179" s="515"/>
      <c r="AU179" s="522"/>
      <c r="AV179" s="517"/>
      <c r="AW179" s="523"/>
      <c r="AX179" s="515"/>
      <c r="AY179" s="522"/>
      <c r="AZ179" s="517"/>
      <c r="BA179" s="524"/>
      <c r="BB179" s="520"/>
      <c r="BC179" s="525"/>
      <c r="BD179" s="525"/>
      <c r="BG179" s="527"/>
    </row>
    <row r="180" spans="1:59" ht="15" customHeight="1" x14ac:dyDescent="0.2">
      <c r="U180" s="614"/>
    </row>
    <row r="181" spans="1:59" ht="15" customHeight="1" x14ac:dyDescent="0.2">
      <c r="U181" s="614"/>
    </row>
    <row r="182" spans="1:59" s="422" customFormat="1" ht="18" customHeight="1" x14ac:dyDescent="0.2">
      <c r="B182" s="688" t="s">
        <v>4209</v>
      </c>
      <c r="C182" s="556"/>
      <c r="D182" s="553" t="s">
        <v>3015</v>
      </c>
      <c r="E182" s="553"/>
      <c r="F182" s="421"/>
      <c r="G182" s="611"/>
      <c r="I182" s="423"/>
      <c r="J182" s="424"/>
      <c r="K182" s="424"/>
      <c r="M182" s="680"/>
      <c r="U182" s="611"/>
      <c r="W182" s="611"/>
      <c r="Y182" s="425"/>
      <c r="Z182" s="425"/>
      <c r="AA182" s="425"/>
      <c r="AB182" s="425"/>
      <c r="AC182" s="425"/>
      <c r="AD182" s="563"/>
      <c r="AE182" s="425"/>
      <c r="AF182" s="563"/>
      <c r="AG182" s="425"/>
      <c r="AH182" s="425"/>
      <c r="AI182" s="425"/>
      <c r="AJ182" s="425"/>
      <c r="AK182" s="425"/>
      <c r="AL182" s="425"/>
      <c r="AM182" s="425"/>
      <c r="AN182" s="425"/>
      <c r="AO182" s="425"/>
      <c r="AP182" s="425"/>
      <c r="AQ182" s="425"/>
      <c r="AR182" s="425"/>
      <c r="AS182" s="425"/>
      <c r="AT182" s="425"/>
      <c r="AU182" s="425"/>
      <c r="AV182" s="425"/>
      <c r="AW182" s="425"/>
      <c r="AX182" s="425"/>
      <c r="AY182" s="425"/>
      <c r="AZ182" s="425"/>
      <c r="BA182" s="425"/>
      <c r="BB182" s="425"/>
    </row>
    <row r="183" spans="1:59" s="431" customFormat="1" ht="18" customHeight="1" x14ac:dyDescent="0.2">
      <c r="B183" s="1968" t="s">
        <v>5</v>
      </c>
      <c r="C183" s="1968" t="s">
        <v>2280</v>
      </c>
      <c r="D183" s="1968" t="s">
        <v>4157</v>
      </c>
      <c r="E183" s="1968" t="s">
        <v>4158</v>
      </c>
      <c r="F183" s="1968"/>
      <c r="G183" s="1969" t="s">
        <v>4159</v>
      </c>
      <c r="H183" s="1355" t="s">
        <v>4160</v>
      </c>
      <c r="I183" s="1355"/>
      <c r="J183" s="1968" t="s">
        <v>4161</v>
      </c>
      <c r="K183" s="1964" t="s">
        <v>4162</v>
      </c>
      <c r="L183" s="1968" t="s">
        <v>4163</v>
      </c>
      <c r="M183" s="1971" t="s">
        <v>4164</v>
      </c>
      <c r="N183" s="1962" t="s">
        <v>4165</v>
      </c>
      <c r="O183" s="1968" t="s">
        <v>4166</v>
      </c>
      <c r="P183" s="1972" t="s">
        <v>4167</v>
      </c>
      <c r="Q183" s="1973"/>
      <c r="R183" s="631" t="s">
        <v>4168</v>
      </c>
      <c r="S183" s="1972" t="s">
        <v>4169</v>
      </c>
      <c r="T183" s="1974"/>
      <c r="U183" s="1973"/>
      <c r="V183" s="1975" t="s">
        <v>4170</v>
      </c>
      <c r="W183" s="1975"/>
      <c r="X183" s="1960" t="s">
        <v>4171</v>
      </c>
      <c r="Y183" s="1959"/>
      <c r="Z183" s="628"/>
      <c r="AA183" s="426"/>
      <c r="AB183" s="426"/>
      <c r="AC183" s="426"/>
      <c r="AD183" s="564"/>
      <c r="AE183" s="426"/>
      <c r="AF183" s="564"/>
      <c r="AG183" s="426"/>
      <c r="AH183" s="426"/>
      <c r="AI183" s="427"/>
      <c r="AJ183" s="427"/>
      <c r="AK183" s="427"/>
      <c r="AL183" s="427"/>
      <c r="AM183" s="428"/>
      <c r="AN183" s="427"/>
      <c r="AO183" s="427"/>
      <c r="AP183" s="426"/>
      <c r="AQ183" s="427"/>
      <c r="AR183" s="427"/>
      <c r="AS183" s="427"/>
      <c r="AT183" s="426"/>
      <c r="AU183" s="427"/>
      <c r="AV183" s="427"/>
      <c r="AW183" s="427"/>
      <c r="AX183" s="426"/>
      <c r="AY183" s="427"/>
      <c r="AZ183" s="427"/>
      <c r="BA183" s="427"/>
      <c r="BB183" s="429"/>
      <c r="BC183" s="430"/>
      <c r="BD183" s="430"/>
    </row>
    <row r="184" spans="1:59" s="431" customFormat="1" ht="18" customHeight="1" x14ac:dyDescent="0.2">
      <c r="B184" s="1968"/>
      <c r="C184" s="1968"/>
      <c r="D184" s="1968"/>
      <c r="E184" s="1968"/>
      <c r="F184" s="1968"/>
      <c r="G184" s="1969"/>
      <c r="H184" s="1355"/>
      <c r="I184" s="1355"/>
      <c r="J184" s="1968"/>
      <c r="K184" s="1970"/>
      <c r="L184" s="1968"/>
      <c r="M184" s="1971"/>
      <c r="N184" s="1963"/>
      <c r="O184" s="1968"/>
      <c r="P184" s="1960" t="s">
        <v>4172</v>
      </c>
      <c r="Q184" s="1960" t="s">
        <v>4173</v>
      </c>
      <c r="R184" s="1962" t="s">
        <v>4159</v>
      </c>
      <c r="S184" s="1962" t="s">
        <v>4174</v>
      </c>
      <c r="T184" s="1964" t="s">
        <v>4175</v>
      </c>
      <c r="U184" s="1966" t="s">
        <v>4159</v>
      </c>
      <c r="V184" s="1975"/>
      <c r="W184" s="1975"/>
      <c r="X184" s="1976"/>
      <c r="Y184" s="1959"/>
      <c r="Z184" s="628"/>
      <c r="AA184" s="426"/>
      <c r="AB184" s="426"/>
      <c r="AC184" s="426"/>
      <c r="AD184" s="564"/>
      <c r="AE184" s="426"/>
      <c r="AF184" s="564"/>
      <c r="AG184" s="426"/>
      <c r="AH184" s="426"/>
      <c r="AI184" s="427"/>
      <c r="AJ184" s="427"/>
      <c r="AK184" s="426"/>
      <c r="AL184" s="427"/>
      <c r="AM184" s="428"/>
      <c r="AN184" s="427"/>
      <c r="AO184" s="427"/>
      <c r="AP184" s="432"/>
      <c r="AQ184" s="427"/>
      <c r="AR184" s="427"/>
      <c r="AS184" s="427"/>
      <c r="AT184" s="432"/>
      <c r="AU184" s="427"/>
      <c r="AV184" s="427"/>
      <c r="AW184" s="427"/>
      <c r="AX184" s="432"/>
      <c r="AY184" s="427"/>
      <c r="AZ184" s="427"/>
      <c r="BA184" s="427"/>
      <c r="BB184" s="429"/>
      <c r="BC184" s="430"/>
      <c r="BD184" s="430"/>
    </row>
    <row r="185" spans="1:59" s="431" customFormat="1" ht="21.75" customHeight="1" x14ac:dyDescent="0.2">
      <c r="B185" s="1968"/>
      <c r="C185" s="1968"/>
      <c r="D185" s="1968"/>
      <c r="E185" s="433" t="s">
        <v>4176</v>
      </c>
      <c r="F185" s="434" t="s">
        <v>2288</v>
      </c>
      <c r="G185" s="1969"/>
      <c r="H185" s="1355" t="s">
        <v>2288</v>
      </c>
      <c r="I185" s="1355" t="s">
        <v>4177</v>
      </c>
      <c r="J185" s="1968"/>
      <c r="K185" s="1965"/>
      <c r="L185" s="435" t="s">
        <v>2288</v>
      </c>
      <c r="M185" s="681" t="s">
        <v>2288</v>
      </c>
      <c r="N185" s="630" t="s">
        <v>2288</v>
      </c>
      <c r="O185" s="1968"/>
      <c r="P185" s="1961"/>
      <c r="Q185" s="1961"/>
      <c r="R185" s="1963"/>
      <c r="S185" s="1963"/>
      <c r="T185" s="1965"/>
      <c r="U185" s="1967"/>
      <c r="V185" s="630" t="s">
        <v>4178</v>
      </c>
      <c r="W185" s="632" t="s">
        <v>4159</v>
      </c>
      <c r="X185" s="1961"/>
      <c r="Y185" s="436"/>
      <c r="Z185" s="436"/>
      <c r="AA185" s="426"/>
      <c r="AB185" s="426"/>
      <c r="AC185" s="426"/>
      <c r="AD185" s="564"/>
      <c r="AE185" s="426"/>
      <c r="AF185" s="564"/>
      <c r="AG185" s="426"/>
      <c r="AH185" s="426"/>
      <c r="AI185" s="427"/>
      <c r="AJ185" s="432"/>
      <c r="AK185" s="432"/>
      <c r="AL185" s="427"/>
      <c r="AM185" s="428"/>
      <c r="AN185" s="432"/>
      <c r="AO185" s="427"/>
      <c r="AP185" s="432"/>
      <c r="AQ185" s="432"/>
      <c r="AR185" s="427"/>
      <c r="AS185" s="427"/>
      <c r="AT185" s="432"/>
      <c r="AU185" s="432"/>
      <c r="AV185" s="427"/>
      <c r="AW185" s="427"/>
      <c r="AX185" s="432"/>
      <c r="AY185" s="432"/>
      <c r="AZ185" s="427"/>
      <c r="BA185" s="427"/>
      <c r="BB185" s="429"/>
      <c r="BC185" s="430"/>
      <c r="BD185" s="430"/>
    </row>
    <row r="186" spans="1:59" s="461" customFormat="1" ht="18" customHeight="1" x14ac:dyDescent="0.2">
      <c r="A186" s="461" t="str">
        <f>$D$182&amp;S186</f>
        <v>GEDUNG SERBAGUNA KECAMATAN PANGEAN2008</v>
      </c>
      <c r="B186" s="689">
        <v>1</v>
      </c>
      <c r="C186" s="597" t="s">
        <v>2630</v>
      </c>
      <c r="D186" s="597" t="s">
        <v>1772</v>
      </c>
      <c r="E186" s="598"/>
      <c r="F186" s="599">
        <v>2008</v>
      </c>
      <c r="G186" s="626">
        <v>1080935824.6396344</v>
      </c>
      <c r="H186" s="600">
        <f>VLOOKUP(LEFT(D186,8),UE,4)</f>
        <v>50</v>
      </c>
      <c r="I186" s="601"/>
      <c r="J186" s="602">
        <f>(F186+N186)-1</f>
        <v>2057</v>
      </c>
      <c r="K186" s="603"/>
      <c r="L186" s="600"/>
      <c r="M186" s="685">
        <f>IF(H186+L186&gt;$H186,$H186-H186,L186)</f>
        <v>0</v>
      </c>
      <c r="N186" s="604">
        <f>H186+M186</f>
        <v>50</v>
      </c>
      <c r="O186" s="602">
        <f>(F186+N186)-1</f>
        <v>2057</v>
      </c>
      <c r="P186" s="605">
        <f>G186</f>
        <v>1080935824.6396344</v>
      </c>
      <c r="Q186" s="606">
        <v>0</v>
      </c>
      <c r="R186" s="606">
        <f>P186/N186</f>
        <v>21618716.492792688</v>
      </c>
      <c r="S186" s="607">
        <f>F186</f>
        <v>2008</v>
      </c>
      <c r="T186" s="608">
        <v>1</v>
      </c>
      <c r="U186" s="615">
        <f>R186*T186</f>
        <v>21618716.492792688</v>
      </c>
      <c r="V186" s="602">
        <f>F186</f>
        <v>2008</v>
      </c>
      <c r="W186" s="618">
        <f>IF(OR(AND(ISBLANK(E186),ISBLANK(G186)),ISTEXT(E186),ISTEXT(G186)),"",G186-R186)</f>
        <v>1059317108.1468416</v>
      </c>
      <c r="X186" s="609"/>
      <c r="Y186" s="449"/>
      <c r="Z186" s="449"/>
      <c r="AA186" s="693"/>
      <c r="AB186" s="452"/>
      <c r="AC186" s="452"/>
      <c r="AD186" s="571"/>
      <c r="AE186" s="452"/>
      <c r="AF186" s="571"/>
      <c r="AG186" s="452"/>
      <c r="AH186" s="452"/>
      <c r="AI186" s="453"/>
      <c r="AJ186" s="449"/>
      <c r="AK186" s="453"/>
      <c r="AL186" s="454"/>
      <c r="AM186" s="455"/>
      <c r="AN186" s="456"/>
      <c r="AO186" s="455"/>
      <c r="AP186" s="452"/>
      <c r="AQ186" s="457"/>
      <c r="AR186" s="449"/>
      <c r="AS186" s="449"/>
      <c r="AT186" s="452"/>
      <c r="AU186" s="457"/>
      <c r="AV186" s="449"/>
      <c r="AW186" s="458"/>
      <c r="AX186" s="452"/>
      <c r="AY186" s="457"/>
      <c r="AZ186" s="449"/>
      <c r="BA186" s="459"/>
      <c r="BB186" s="455"/>
      <c r="BC186" s="460"/>
      <c r="BD186" s="460"/>
      <c r="BG186" s="462"/>
    </row>
    <row r="187" spans="1:59" s="461" customFormat="1" ht="18" customHeight="1" x14ac:dyDescent="0.2">
      <c r="A187" s="461" t="str">
        <f t="shared" ref="A187:A194" si="144">$D$182&amp;S187</f>
        <v>GEDUNG SERBAGUNA KECAMATAN PANGEAN2009</v>
      </c>
      <c r="B187" s="708">
        <v>2</v>
      </c>
      <c r="C187" s="489" t="s">
        <v>2630</v>
      </c>
      <c r="D187" s="489" t="s">
        <v>1772</v>
      </c>
      <c r="E187" s="558"/>
      <c r="F187" s="559">
        <v>2009</v>
      </c>
      <c r="G187" s="619">
        <v>557882255</v>
      </c>
      <c r="H187" s="464">
        <f>IF(N186-(F187-F186)&lt;=0,0,(N186-(F187-F186)))</f>
        <v>49</v>
      </c>
      <c r="I187" s="560"/>
      <c r="J187" s="468">
        <f>(F187+N187)-1</f>
        <v>2058</v>
      </c>
      <c r="K187" s="490">
        <f t="shared" ref="K187:K193" si="145">IF(G187=0,0,IF(H187=50,100%,G187/W186))</f>
        <v>0.52664329756361006</v>
      </c>
      <c r="L187" s="469">
        <f>IF(K187=0%,0,IF(K187&lt;=25%,5,IF(K187&lt;=50%,10,IF(K187&lt;=75%,15,50))))</f>
        <v>15</v>
      </c>
      <c r="M187" s="683">
        <f>IF(OR(AND(ISBLANK(E187),ISBLANK(G187)),ISTEXT(E187),ISTEXT(G187)),"",IF(H187+L187&gt;$H$186,$H$186-H187,L187))</f>
        <v>1</v>
      </c>
      <c r="N187" s="470">
        <f>IF(OR(AND(ISBLANK(F187),ISBLANK(G187)),ISTEXT(F187),ISTEXT(G187)),"",H187+M187)</f>
        <v>50</v>
      </c>
      <c r="O187" s="468">
        <f>(F187+N187)-1</f>
        <v>2058</v>
      </c>
      <c r="P187" s="471">
        <f>W186</f>
        <v>1059317108.1468416</v>
      </c>
      <c r="Q187" s="472">
        <f>P187+G187</f>
        <v>1617199363.1468415</v>
      </c>
      <c r="R187" s="472">
        <f>IF(L187=0,R186,Q187/N187)</f>
        <v>32343987.262936831</v>
      </c>
      <c r="S187" s="629">
        <f>F187</f>
        <v>2009</v>
      </c>
      <c r="T187" s="470">
        <f>S187-S186</f>
        <v>1</v>
      </c>
      <c r="U187" s="612">
        <f>R187*T187</f>
        <v>32343987.262936831</v>
      </c>
      <c r="V187" s="464">
        <f>F187</f>
        <v>2009</v>
      </c>
      <c r="W187" s="612">
        <f>IF(OR(AND(ISBLANK(E187),ISBLANK(G187)),ISTEXT(E187),ISTEXT(G187)),"",Q187-U187)</f>
        <v>1584855375.8839047</v>
      </c>
      <c r="X187" s="561"/>
      <c r="Y187" s="449"/>
      <c r="Z187" s="449"/>
      <c r="AA187" s="693"/>
      <c r="AB187" s="452"/>
      <c r="AC187" s="452"/>
      <c r="AD187" s="571"/>
      <c r="AE187" s="452"/>
      <c r="AF187" s="571"/>
      <c r="AG187" s="452"/>
      <c r="AH187" s="452"/>
      <c r="AI187" s="453"/>
      <c r="AJ187" s="449"/>
      <c r="AK187" s="453"/>
      <c r="AL187" s="454"/>
      <c r="AM187" s="455"/>
      <c r="AN187" s="456"/>
      <c r="AO187" s="455"/>
      <c r="AP187" s="452"/>
      <c r="AQ187" s="457"/>
      <c r="AR187" s="449"/>
      <c r="AS187" s="449"/>
      <c r="AT187" s="452"/>
      <c r="AU187" s="457"/>
      <c r="AV187" s="449"/>
      <c r="AW187" s="458"/>
      <c r="AX187" s="452"/>
      <c r="AY187" s="457"/>
      <c r="AZ187" s="449"/>
      <c r="BA187" s="459"/>
      <c r="BB187" s="455"/>
      <c r="BC187" s="460"/>
      <c r="BD187" s="460"/>
      <c r="BG187" s="462"/>
    </row>
    <row r="188" spans="1:59" s="461" customFormat="1" ht="18" customHeight="1" x14ac:dyDescent="0.2">
      <c r="A188" s="461" t="str">
        <f t="shared" si="144"/>
        <v>GEDUNG SERBAGUNA KECAMATAN PANGEAN2013</v>
      </c>
      <c r="B188" s="708"/>
      <c r="C188" s="489"/>
      <c r="D188" s="489"/>
      <c r="E188" s="558"/>
      <c r="F188" s="559">
        <v>2013</v>
      </c>
      <c r="G188" s="619">
        <v>0</v>
      </c>
      <c r="H188" s="464">
        <f t="shared" ref="H188:H193" si="146">IF(N187-(F188-F187)&lt;=0,0,(N187-(F188-F187)))</f>
        <v>46</v>
      </c>
      <c r="I188" s="560"/>
      <c r="J188" s="468">
        <f t="shared" ref="J188:J193" si="147">(F188+N188)-1</f>
        <v>2058</v>
      </c>
      <c r="K188" s="490">
        <f t="shared" si="145"/>
        <v>0</v>
      </c>
      <c r="L188" s="469">
        <f t="shared" ref="L188:L193" si="148">IF(K188=0%,0,IF(K188&lt;=25%,5,IF(K188&lt;=50%,10,IF(K188&lt;=75%,15,50))))</f>
        <v>0</v>
      </c>
      <c r="M188" s="683">
        <f t="shared" ref="M188:M193" si="149">IF(OR(AND(ISBLANK(E188),ISBLANK(G188)),ISTEXT(E188),ISTEXT(G188)),"",IF(H188+L188&gt;$H$186,$H$186-H188,L188))</f>
        <v>0</v>
      </c>
      <c r="N188" s="470">
        <f t="shared" ref="N188:N193" si="150">IF(OR(AND(ISBLANK(F188),ISBLANK(G188)),ISTEXT(F188),ISTEXT(G188)),"",H188+M188)</f>
        <v>46</v>
      </c>
      <c r="O188" s="468">
        <f t="shared" ref="O188:O193" si="151">(F188+N188)-1</f>
        <v>2058</v>
      </c>
      <c r="P188" s="471">
        <f t="shared" ref="P188:P193" si="152">W187</f>
        <v>1584855375.8839047</v>
      </c>
      <c r="Q188" s="472">
        <f t="shared" ref="Q188:Q193" si="153">P188+G188</f>
        <v>1584855375.8839047</v>
      </c>
      <c r="R188" s="472">
        <f t="shared" ref="R188:R193" si="154">IF(L188=0,R187,Q188/N188)</f>
        <v>32343987.262936831</v>
      </c>
      <c r="S188" s="629">
        <f t="shared" ref="S188:S193" si="155">F188</f>
        <v>2013</v>
      </c>
      <c r="T188" s="470">
        <f t="shared" ref="T188:T193" si="156">S188-S187</f>
        <v>4</v>
      </c>
      <c r="U188" s="612">
        <f t="shared" ref="U188:U193" si="157">R188*T188</f>
        <v>129375949.05174732</v>
      </c>
      <c r="V188" s="464">
        <f t="shared" ref="V188:V193" si="158">F188</f>
        <v>2013</v>
      </c>
      <c r="W188" s="612">
        <f t="shared" ref="W188:W193" si="159">IF(OR(AND(ISBLANK(E188),ISBLANK(G188)),ISTEXT(E188),ISTEXT(G188)),"",Q188-U188)</f>
        <v>1455479426.8321574</v>
      </c>
      <c r="X188" s="561"/>
      <c r="Y188" s="449"/>
      <c r="Z188" s="449"/>
      <c r="AA188" s="693"/>
      <c r="AB188" s="452"/>
      <c r="AC188" s="452"/>
      <c r="AD188" s="571"/>
      <c r="AE188" s="452"/>
      <c r="AF188" s="571"/>
      <c r="AG188" s="452"/>
      <c r="AH188" s="452"/>
      <c r="AI188" s="453"/>
      <c r="AJ188" s="449"/>
      <c r="AK188" s="453"/>
      <c r="AL188" s="454"/>
      <c r="AM188" s="455"/>
      <c r="AN188" s="456"/>
      <c r="AO188" s="455"/>
      <c r="AP188" s="452"/>
      <c r="AQ188" s="457"/>
      <c r="AR188" s="449"/>
      <c r="AS188" s="449"/>
      <c r="AT188" s="452"/>
      <c r="AU188" s="457"/>
      <c r="AV188" s="449"/>
      <c r="AW188" s="458"/>
      <c r="AX188" s="452"/>
      <c r="AY188" s="457"/>
      <c r="AZ188" s="449"/>
      <c r="BA188" s="459"/>
      <c r="BB188" s="455"/>
      <c r="BC188" s="460"/>
      <c r="BD188" s="460"/>
      <c r="BG188" s="462"/>
    </row>
    <row r="189" spans="1:59" s="461" customFormat="1" ht="18" customHeight="1" x14ac:dyDescent="0.2">
      <c r="A189" s="461" t="str">
        <f t="shared" si="144"/>
        <v>GEDUNG SERBAGUNA KECAMATAN PANGEAN2014</v>
      </c>
      <c r="B189" s="708"/>
      <c r="C189" s="489"/>
      <c r="D189" s="489"/>
      <c r="E189" s="558"/>
      <c r="F189" s="559">
        <v>2014</v>
      </c>
      <c r="G189" s="619">
        <v>0</v>
      </c>
      <c r="H189" s="464">
        <f t="shared" si="146"/>
        <v>45</v>
      </c>
      <c r="I189" s="560"/>
      <c r="J189" s="468">
        <f t="shared" si="147"/>
        <v>2058</v>
      </c>
      <c r="K189" s="490">
        <f t="shared" si="145"/>
        <v>0</v>
      </c>
      <c r="L189" s="469">
        <f t="shared" si="148"/>
        <v>0</v>
      </c>
      <c r="M189" s="683">
        <f t="shared" si="149"/>
        <v>0</v>
      </c>
      <c r="N189" s="470">
        <f t="shared" si="150"/>
        <v>45</v>
      </c>
      <c r="O189" s="468">
        <f t="shared" si="151"/>
        <v>2058</v>
      </c>
      <c r="P189" s="471">
        <f t="shared" si="152"/>
        <v>1455479426.8321574</v>
      </c>
      <c r="Q189" s="472">
        <f t="shared" si="153"/>
        <v>1455479426.8321574</v>
      </c>
      <c r="R189" s="472">
        <f t="shared" si="154"/>
        <v>32343987.262936831</v>
      </c>
      <c r="S189" s="629">
        <f t="shared" si="155"/>
        <v>2014</v>
      </c>
      <c r="T189" s="470">
        <f t="shared" si="156"/>
        <v>1</v>
      </c>
      <c r="U189" s="612">
        <f t="shared" si="157"/>
        <v>32343987.262936831</v>
      </c>
      <c r="V189" s="464">
        <f t="shared" si="158"/>
        <v>2014</v>
      </c>
      <c r="W189" s="612">
        <f t="shared" si="159"/>
        <v>1423135439.5692205</v>
      </c>
      <c r="X189" s="561"/>
      <c r="Y189" s="449"/>
      <c r="Z189" s="449"/>
      <c r="AA189" s="693"/>
      <c r="AB189" s="452"/>
      <c r="AC189" s="452"/>
      <c r="AD189" s="571"/>
      <c r="AE189" s="452"/>
      <c r="AF189" s="571"/>
      <c r="AG189" s="452"/>
      <c r="AH189" s="452"/>
      <c r="AI189" s="453"/>
      <c r="AJ189" s="449"/>
      <c r="AK189" s="453"/>
      <c r="AL189" s="454"/>
      <c r="AM189" s="455"/>
      <c r="AN189" s="456"/>
      <c r="AO189" s="455"/>
      <c r="AP189" s="452"/>
      <c r="AQ189" s="457"/>
      <c r="AR189" s="449"/>
      <c r="AS189" s="449"/>
      <c r="AT189" s="452"/>
      <c r="AU189" s="457"/>
      <c r="AV189" s="449"/>
      <c r="AW189" s="458"/>
      <c r="AX189" s="452"/>
      <c r="AY189" s="457"/>
      <c r="AZ189" s="449"/>
      <c r="BA189" s="459"/>
      <c r="BB189" s="455"/>
      <c r="BC189" s="460"/>
      <c r="BD189" s="460"/>
      <c r="BG189" s="462"/>
    </row>
    <row r="190" spans="1:59" s="461" customFormat="1" ht="18" customHeight="1" x14ac:dyDescent="0.2">
      <c r="A190" s="461" t="str">
        <f t="shared" si="144"/>
        <v>GEDUNG SERBAGUNA KECAMATAN PANGEAN2015</v>
      </c>
      <c r="B190" s="708"/>
      <c r="C190" s="489"/>
      <c r="D190" s="489"/>
      <c r="E190" s="558"/>
      <c r="F190" s="559">
        <v>2015</v>
      </c>
      <c r="G190" s="619">
        <v>0</v>
      </c>
      <c r="H190" s="464">
        <f t="shared" si="146"/>
        <v>44</v>
      </c>
      <c r="I190" s="560"/>
      <c r="J190" s="468">
        <f t="shared" si="147"/>
        <v>2058</v>
      </c>
      <c r="K190" s="490">
        <f t="shared" si="145"/>
        <v>0</v>
      </c>
      <c r="L190" s="469">
        <f t="shared" si="148"/>
        <v>0</v>
      </c>
      <c r="M190" s="683">
        <f t="shared" si="149"/>
        <v>0</v>
      </c>
      <c r="N190" s="470">
        <f t="shared" si="150"/>
        <v>44</v>
      </c>
      <c r="O190" s="468">
        <f t="shared" si="151"/>
        <v>2058</v>
      </c>
      <c r="P190" s="471">
        <f t="shared" si="152"/>
        <v>1423135439.5692205</v>
      </c>
      <c r="Q190" s="472">
        <f t="shared" si="153"/>
        <v>1423135439.5692205</v>
      </c>
      <c r="R190" s="472">
        <f t="shared" si="154"/>
        <v>32343987.262936831</v>
      </c>
      <c r="S190" s="629">
        <f t="shared" si="155"/>
        <v>2015</v>
      </c>
      <c r="T190" s="470">
        <f t="shared" si="156"/>
        <v>1</v>
      </c>
      <c r="U190" s="612">
        <f t="shared" si="157"/>
        <v>32343987.262936831</v>
      </c>
      <c r="V190" s="464">
        <f t="shared" si="158"/>
        <v>2015</v>
      </c>
      <c r="W190" s="612">
        <f t="shared" si="159"/>
        <v>1390791452.3062837</v>
      </c>
      <c r="X190" s="561"/>
      <c r="Y190" s="449"/>
      <c r="Z190" s="449"/>
      <c r="AA190" s="694"/>
      <c r="AB190" s="692"/>
      <c r="AC190" s="692"/>
      <c r="AD190" s="695"/>
      <c r="AE190" s="452"/>
      <c r="AF190" s="571"/>
      <c r="AG190" s="452"/>
      <c r="AH190" s="452"/>
      <c r="AI190" s="453"/>
      <c r="AJ190" s="449"/>
      <c r="AK190" s="453"/>
      <c r="AL190" s="454"/>
      <c r="AM190" s="455"/>
      <c r="AN190" s="456"/>
      <c r="AO190" s="455"/>
      <c r="AP190" s="452"/>
      <c r="AQ190" s="457"/>
      <c r="AR190" s="449"/>
      <c r="AS190" s="449"/>
      <c r="AT190" s="452"/>
      <c r="AU190" s="457"/>
      <c r="AV190" s="449"/>
      <c r="AW190" s="458"/>
      <c r="AX190" s="452"/>
      <c r="AY190" s="457"/>
      <c r="AZ190" s="449"/>
      <c r="BA190" s="459"/>
      <c r="BB190" s="455"/>
      <c r="BC190" s="460"/>
      <c r="BD190" s="460"/>
      <c r="BG190" s="462"/>
    </row>
    <row r="191" spans="1:59" s="461" customFormat="1" ht="18" customHeight="1" x14ac:dyDescent="0.2">
      <c r="A191" s="461" t="str">
        <f t="shared" si="144"/>
        <v>GEDUNG SERBAGUNA KECAMATAN PANGEAN2016</v>
      </c>
      <c r="B191" s="708"/>
      <c r="C191" s="489"/>
      <c r="D191" s="489"/>
      <c r="E191" s="558"/>
      <c r="F191" s="559">
        <v>2016</v>
      </c>
      <c r="G191" s="619">
        <v>0</v>
      </c>
      <c r="H191" s="464">
        <f t="shared" si="146"/>
        <v>43</v>
      </c>
      <c r="I191" s="560"/>
      <c r="J191" s="468">
        <f t="shared" si="147"/>
        <v>2058</v>
      </c>
      <c r="K191" s="490">
        <f t="shared" si="145"/>
        <v>0</v>
      </c>
      <c r="L191" s="469">
        <f t="shared" si="148"/>
        <v>0</v>
      </c>
      <c r="M191" s="683">
        <f t="shared" si="149"/>
        <v>0</v>
      </c>
      <c r="N191" s="470">
        <f t="shared" si="150"/>
        <v>43</v>
      </c>
      <c r="O191" s="468">
        <f t="shared" si="151"/>
        <v>2058</v>
      </c>
      <c r="P191" s="471">
        <f t="shared" si="152"/>
        <v>1390791452.3062837</v>
      </c>
      <c r="Q191" s="472">
        <f t="shared" si="153"/>
        <v>1390791452.3062837</v>
      </c>
      <c r="R191" s="472">
        <f t="shared" si="154"/>
        <v>32343987.262936831</v>
      </c>
      <c r="S191" s="629">
        <f t="shared" si="155"/>
        <v>2016</v>
      </c>
      <c r="T191" s="470">
        <f t="shared" si="156"/>
        <v>1</v>
      </c>
      <c r="U191" s="612">
        <f t="shared" si="157"/>
        <v>32343987.262936831</v>
      </c>
      <c r="V191" s="464">
        <f t="shared" si="158"/>
        <v>2016</v>
      </c>
      <c r="W191" s="612">
        <f t="shared" si="159"/>
        <v>1358447465.0433469</v>
      </c>
      <c r="X191" s="561"/>
      <c r="Y191" s="449"/>
      <c r="Z191" s="449"/>
      <c r="AA191" s="554" t="s">
        <v>4179</v>
      </c>
      <c r="AB191" s="452"/>
      <c r="AC191" s="452"/>
      <c r="AD191" s="566"/>
      <c r="AE191" s="452"/>
      <c r="AF191" s="571"/>
      <c r="AG191" s="452"/>
      <c r="AH191" s="452"/>
      <c r="AI191" s="453"/>
      <c r="AJ191" s="449"/>
      <c r="AK191" s="453"/>
      <c r="AL191" s="454"/>
      <c r="AM191" s="455"/>
      <c r="AN191" s="456"/>
      <c r="AO191" s="455"/>
      <c r="AP191" s="452"/>
      <c r="AQ191" s="457"/>
      <c r="AR191" s="449"/>
      <c r="AS191" s="449"/>
      <c r="AT191" s="452"/>
      <c r="AU191" s="457"/>
      <c r="AV191" s="449"/>
      <c r="AW191" s="458"/>
      <c r="AX191" s="452"/>
      <c r="AY191" s="457"/>
      <c r="AZ191" s="449"/>
      <c r="BA191" s="459"/>
      <c r="BB191" s="455"/>
      <c r="BC191" s="460"/>
      <c r="BD191" s="460"/>
      <c r="BG191" s="462"/>
    </row>
    <row r="192" spans="1:59" s="461" customFormat="1" ht="18" customHeight="1" x14ac:dyDescent="0.2">
      <c r="A192" s="461" t="str">
        <f t="shared" si="144"/>
        <v>GEDUNG SERBAGUNA KECAMATAN PANGEAN2017</v>
      </c>
      <c r="B192" s="708"/>
      <c r="C192" s="489"/>
      <c r="D192" s="489"/>
      <c r="E192" s="558"/>
      <c r="F192" s="559">
        <v>2017</v>
      </c>
      <c r="G192" s="619">
        <v>0</v>
      </c>
      <c r="H192" s="464">
        <f t="shared" si="146"/>
        <v>42</v>
      </c>
      <c r="I192" s="560"/>
      <c r="J192" s="468">
        <f t="shared" si="147"/>
        <v>2058</v>
      </c>
      <c r="K192" s="490">
        <f t="shared" si="145"/>
        <v>0</v>
      </c>
      <c r="L192" s="469">
        <f t="shared" si="148"/>
        <v>0</v>
      </c>
      <c r="M192" s="683">
        <f t="shared" si="149"/>
        <v>0</v>
      </c>
      <c r="N192" s="470">
        <f t="shared" si="150"/>
        <v>42</v>
      </c>
      <c r="O192" s="468">
        <f t="shared" si="151"/>
        <v>2058</v>
      </c>
      <c r="P192" s="471">
        <f t="shared" si="152"/>
        <v>1358447465.0433469</v>
      </c>
      <c r="Q192" s="472">
        <f t="shared" si="153"/>
        <v>1358447465.0433469</v>
      </c>
      <c r="R192" s="472">
        <f t="shared" si="154"/>
        <v>32343987.262936831</v>
      </c>
      <c r="S192" s="629">
        <f t="shared" si="155"/>
        <v>2017</v>
      </c>
      <c r="T192" s="470">
        <f t="shared" si="156"/>
        <v>1</v>
      </c>
      <c r="U192" s="612">
        <f t="shared" si="157"/>
        <v>32343987.262936831</v>
      </c>
      <c r="V192" s="464">
        <f t="shared" si="158"/>
        <v>2017</v>
      </c>
      <c r="W192" s="612">
        <f t="shared" si="159"/>
        <v>1326103477.7804101</v>
      </c>
      <c r="X192" s="561"/>
      <c r="Y192" s="449"/>
      <c r="Z192" s="449"/>
      <c r="AA192" s="554"/>
      <c r="AB192" s="452"/>
      <c r="AC192" s="452"/>
      <c r="AD192" s="566"/>
      <c r="AE192" s="452"/>
      <c r="AF192" s="571"/>
      <c r="AG192" s="452"/>
      <c r="AH192" s="452"/>
      <c r="AI192" s="453"/>
      <c r="AJ192" s="449"/>
      <c r="AK192" s="453"/>
      <c r="AL192" s="454"/>
      <c r="AM192" s="455"/>
      <c r="AN192" s="456"/>
      <c r="AO192" s="455"/>
      <c r="AP192" s="452"/>
      <c r="AQ192" s="457"/>
      <c r="AR192" s="449"/>
      <c r="AS192" s="449"/>
      <c r="AT192" s="452"/>
      <c r="AU192" s="457"/>
      <c r="AV192" s="449"/>
      <c r="AW192" s="458"/>
      <c r="AX192" s="452"/>
      <c r="AY192" s="457"/>
      <c r="AZ192" s="449"/>
      <c r="BA192" s="459"/>
      <c r="BB192" s="455"/>
      <c r="BC192" s="460"/>
      <c r="BD192" s="460"/>
      <c r="BG192" s="462"/>
    </row>
    <row r="193" spans="1:59" s="486" customFormat="1" ht="18" customHeight="1" x14ac:dyDescent="0.2">
      <c r="A193" s="461" t="str">
        <f t="shared" si="144"/>
        <v>GEDUNG SERBAGUNA KECAMATAN PANGEAN2018</v>
      </c>
      <c r="B193" s="708"/>
      <c r="C193" s="463"/>
      <c r="D193" s="489"/>
      <c r="E193" s="465"/>
      <c r="F193" s="466">
        <v>2018</v>
      </c>
      <c r="G193" s="620">
        <v>0</v>
      </c>
      <c r="H193" s="464">
        <f t="shared" si="146"/>
        <v>41</v>
      </c>
      <c r="I193" s="560"/>
      <c r="J193" s="468">
        <f t="shared" si="147"/>
        <v>2058</v>
      </c>
      <c r="K193" s="490">
        <f t="shared" si="145"/>
        <v>0</v>
      </c>
      <c r="L193" s="469">
        <f t="shared" si="148"/>
        <v>0</v>
      </c>
      <c r="M193" s="683">
        <f t="shared" si="149"/>
        <v>0</v>
      </c>
      <c r="N193" s="470">
        <f t="shared" si="150"/>
        <v>41</v>
      </c>
      <c r="O193" s="468">
        <f t="shared" si="151"/>
        <v>2058</v>
      </c>
      <c r="P193" s="471">
        <f t="shared" si="152"/>
        <v>1326103477.7804101</v>
      </c>
      <c r="Q193" s="472">
        <f t="shared" si="153"/>
        <v>1326103477.7804101</v>
      </c>
      <c r="R193" s="472">
        <f t="shared" si="154"/>
        <v>32343987.262936831</v>
      </c>
      <c r="S193" s="629">
        <f t="shared" si="155"/>
        <v>2018</v>
      </c>
      <c r="T193" s="470">
        <f t="shared" si="156"/>
        <v>1</v>
      </c>
      <c r="U193" s="612">
        <f t="shared" si="157"/>
        <v>32343987.262936831</v>
      </c>
      <c r="V193" s="464">
        <f t="shared" si="158"/>
        <v>2018</v>
      </c>
      <c r="W193" s="612">
        <f t="shared" si="159"/>
        <v>1293759490.5174732</v>
      </c>
      <c r="X193" s="473"/>
      <c r="Y193" s="474"/>
      <c r="Z193" s="449"/>
      <c r="AA193" s="475" t="s">
        <v>4180</v>
      </c>
      <c r="AB193" s="476"/>
      <c r="AC193" s="476"/>
      <c r="AD193" s="567">
        <f>G198</f>
        <v>1832159079.6396344</v>
      </c>
      <c r="AE193" s="476"/>
      <c r="AF193" s="568"/>
      <c r="AG193" s="476"/>
      <c r="AH193" s="476"/>
      <c r="AI193" s="477"/>
      <c r="AJ193" s="478"/>
      <c r="AK193" s="479"/>
      <c r="AL193" s="480"/>
      <c r="AM193" s="474"/>
      <c r="AN193" s="481"/>
      <c r="AO193" s="474"/>
      <c r="AP193" s="476"/>
      <c r="AQ193" s="482"/>
      <c r="AR193" s="478"/>
      <c r="AS193" s="478"/>
      <c r="AT193" s="476"/>
      <c r="AU193" s="482"/>
      <c r="AV193" s="478"/>
      <c r="AW193" s="483"/>
      <c r="AX193" s="476"/>
      <c r="AY193" s="482"/>
      <c r="AZ193" s="478"/>
      <c r="BA193" s="484"/>
      <c r="BB193" s="474"/>
      <c r="BC193" s="485"/>
      <c r="BD193" s="485"/>
      <c r="BG193" s="487"/>
    </row>
    <row r="194" spans="1:59" s="486" customFormat="1" ht="18" customHeight="1" x14ac:dyDescent="0.2">
      <c r="A194" s="461" t="str">
        <f t="shared" si="144"/>
        <v>GEDUNG SERBAGUNA KECAMATAN PANGEAN2019</v>
      </c>
      <c r="B194" s="708">
        <v>3</v>
      </c>
      <c r="C194" s="488" t="s">
        <v>5465</v>
      </c>
      <c r="D194" s="489" t="s">
        <v>1772</v>
      </c>
      <c r="E194" s="465"/>
      <c r="F194" s="466">
        <v>2019</v>
      </c>
      <c r="G194" s="620">
        <v>193341000</v>
      </c>
      <c r="H194" s="464">
        <f>IF(N193-(F194-F193)&lt;=0,0,(N193-(F194-F193)))</f>
        <v>40</v>
      </c>
      <c r="I194" s="560"/>
      <c r="J194" s="468">
        <f>(F194+N194)-1</f>
        <v>2063</v>
      </c>
      <c r="K194" s="490">
        <f>IF(G194=0,0,IF(H194=50,100%,G194/W193))</f>
        <v>0.14944122258973203</v>
      </c>
      <c r="L194" s="469">
        <f>IF(K194=0%,0,IF(K194&lt;=25%,5,IF(K194&lt;=50%,10,IF(K194&lt;=75%,15,50))))</f>
        <v>5</v>
      </c>
      <c r="M194" s="683">
        <f>IF(OR(AND(ISBLANK(E194),ISBLANK(G194)),ISTEXT(E194),ISTEXT(G194)),"",IF(H194+L194&gt;$H$186,$H$186-H194,L194))</f>
        <v>5</v>
      </c>
      <c r="N194" s="470">
        <f>IF(OR(AND(ISBLANK(F194),ISBLANK(G194)),ISTEXT(F194),ISTEXT(G194)),"",H194+M194)</f>
        <v>45</v>
      </c>
      <c r="O194" s="468">
        <f>(F194+N194)-1</f>
        <v>2063</v>
      </c>
      <c r="P194" s="471">
        <f>W193</f>
        <v>1293759490.5174732</v>
      </c>
      <c r="Q194" s="472">
        <f>P194+G194</f>
        <v>1487100490.5174732</v>
      </c>
      <c r="R194" s="472">
        <f>IF(L194=0,R193,Q194/N194)</f>
        <v>33046677.567054961</v>
      </c>
      <c r="S194" s="1189">
        <f>F194</f>
        <v>2019</v>
      </c>
      <c r="T194" s="470">
        <f>S194-S193</f>
        <v>1</v>
      </c>
      <c r="U194" s="612">
        <f>R194*T194</f>
        <v>33046677.567054961</v>
      </c>
      <c r="V194" s="464">
        <f>F194</f>
        <v>2019</v>
      </c>
      <c r="W194" s="612">
        <f>IF(OR(AND(ISBLANK(E194),ISBLANK(G194)),ISTEXT(E194),ISTEXT(G194)),"",Q194-U194)</f>
        <v>1454053812.9504182</v>
      </c>
      <c r="X194" s="473"/>
      <c r="Y194" s="478"/>
      <c r="Z194" s="449"/>
      <c r="AA194" s="475" t="s">
        <v>4181</v>
      </c>
      <c r="AB194" s="491"/>
      <c r="AC194" s="491"/>
      <c r="AD194" s="567">
        <f>U198</f>
        <v>378105266.68921602</v>
      </c>
      <c r="AE194" s="491"/>
      <c r="AF194" s="568"/>
      <c r="AG194" s="491"/>
      <c r="AH194" s="491"/>
      <c r="AI194" s="477"/>
      <c r="AJ194" s="478"/>
      <c r="AK194" s="479"/>
      <c r="AL194" s="480"/>
      <c r="AM194" s="474"/>
      <c r="AN194" s="481"/>
      <c r="AO194" s="474"/>
      <c r="AP194" s="476"/>
      <c r="AQ194" s="482"/>
      <c r="AR194" s="478"/>
      <c r="AS194" s="478"/>
      <c r="AT194" s="476"/>
      <c r="AU194" s="482"/>
      <c r="AV194" s="478"/>
      <c r="AW194" s="483"/>
      <c r="AX194" s="476"/>
      <c r="AY194" s="482"/>
      <c r="AZ194" s="478"/>
      <c r="BA194" s="484"/>
      <c r="BB194" s="474"/>
      <c r="BC194" s="485"/>
      <c r="BD194" s="485"/>
      <c r="BG194" s="487"/>
    </row>
    <row r="195" spans="1:59" s="486" customFormat="1" ht="18" customHeight="1" x14ac:dyDescent="0.2">
      <c r="B195" s="708"/>
      <c r="C195" s="463"/>
      <c r="D195" s="464"/>
      <c r="E195" s="465"/>
      <c r="F195" s="466"/>
      <c r="G195" s="620"/>
      <c r="H195" s="464"/>
      <c r="I195" s="467"/>
      <c r="J195" s="468"/>
      <c r="K195" s="490"/>
      <c r="L195" s="469"/>
      <c r="M195" s="683"/>
      <c r="N195" s="470"/>
      <c r="O195" s="468"/>
      <c r="P195" s="471"/>
      <c r="Q195" s="472"/>
      <c r="R195" s="472"/>
      <c r="S195" s="629"/>
      <c r="T195" s="470"/>
      <c r="U195" s="612"/>
      <c r="V195" s="464"/>
      <c r="W195" s="612"/>
      <c r="X195" s="473"/>
      <c r="Y195" s="478"/>
      <c r="Z195" s="449"/>
      <c r="AA195" s="492" t="s">
        <v>4182</v>
      </c>
      <c r="AB195" s="476"/>
      <c r="AC195" s="476"/>
      <c r="AD195" s="568">
        <f>AD193-AD194</f>
        <v>1454053812.9504185</v>
      </c>
      <c r="AE195" s="476"/>
      <c r="AF195" s="568"/>
      <c r="AG195" s="476"/>
      <c r="AH195" s="476"/>
      <c r="AI195" s="477"/>
      <c r="AJ195" s="478"/>
      <c r="AK195" s="479"/>
      <c r="AL195" s="480"/>
      <c r="AM195" s="474"/>
      <c r="AN195" s="481"/>
      <c r="AO195" s="474"/>
      <c r="AP195" s="476"/>
      <c r="AQ195" s="482"/>
      <c r="AR195" s="478"/>
      <c r="AS195" s="478"/>
      <c r="AT195" s="476"/>
      <c r="AU195" s="482"/>
      <c r="AV195" s="478"/>
      <c r="AW195" s="483"/>
      <c r="AX195" s="476"/>
      <c r="AY195" s="482"/>
      <c r="AZ195" s="478"/>
      <c r="BA195" s="484"/>
      <c r="BB195" s="474"/>
      <c r="BC195" s="485"/>
      <c r="BD195" s="485"/>
      <c r="BG195" s="487"/>
    </row>
    <row r="196" spans="1:59" s="486" customFormat="1" ht="18" customHeight="1" x14ac:dyDescent="0.2">
      <c r="B196" s="687"/>
      <c r="C196" s="463"/>
      <c r="D196" s="464"/>
      <c r="E196" s="465"/>
      <c r="F196" s="466"/>
      <c r="G196" s="620"/>
      <c r="H196" s="464"/>
      <c r="I196" s="467"/>
      <c r="J196" s="468"/>
      <c r="K196" s="490"/>
      <c r="L196" s="469"/>
      <c r="M196" s="683"/>
      <c r="N196" s="470"/>
      <c r="O196" s="468"/>
      <c r="P196" s="471"/>
      <c r="Q196" s="472"/>
      <c r="R196" s="472"/>
      <c r="S196" s="629"/>
      <c r="T196" s="470"/>
      <c r="U196" s="612"/>
      <c r="V196" s="464"/>
      <c r="W196" s="612"/>
      <c r="X196" s="473"/>
      <c r="Y196" s="478"/>
      <c r="Z196" s="449"/>
      <c r="AA196" s="475" t="s">
        <v>4183</v>
      </c>
      <c r="AB196" s="476"/>
      <c r="AC196" s="476"/>
      <c r="AD196" s="567">
        <f>AD195-W198</f>
        <v>0</v>
      </c>
      <c r="AE196" s="476"/>
      <c r="AF196" s="568"/>
      <c r="AG196" s="476"/>
      <c r="AH196" s="476"/>
      <c r="AI196" s="477"/>
      <c r="AJ196" s="478"/>
      <c r="AK196" s="479"/>
      <c r="AL196" s="480"/>
      <c r="AM196" s="474"/>
      <c r="AN196" s="481"/>
      <c r="AO196" s="474"/>
      <c r="AP196" s="476"/>
      <c r="AQ196" s="482"/>
      <c r="AR196" s="478"/>
      <c r="AS196" s="478"/>
      <c r="AT196" s="476"/>
      <c r="AU196" s="482"/>
      <c r="AV196" s="478"/>
      <c r="AW196" s="483"/>
      <c r="AX196" s="476"/>
      <c r="AY196" s="482"/>
      <c r="AZ196" s="478"/>
      <c r="BA196" s="484"/>
      <c r="BB196" s="474"/>
      <c r="BC196" s="485"/>
      <c r="BD196" s="485"/>
      <c r="BG196" s="487"/>
    </row>
    <row r="197" spans="1:59" s="486" customFormat="1" ht="18" customHeight="1" x14ac:dyDescent="0.2">
      <c r="B197" s="687"/>
      <c r="C197" s="494"/>
      <c r="D197" s="464"/>
      <c r="E197" s="465"/>
      <c r="F197" s="466"/>
      <c r="G197" s="620"/>
      <c r="H197" s="464"/>
      <c r="I197" s="467"/>
      <c r="J197" s="468"/>
      <c r="K197" s="490"/>
      <c r="L197" s="469"/>
      <c r="M197" s="683"/>
      <c r="N197" s="470"/>
      <c r="O197" s="468"/>
      <c r="P197" s="471"/>
      <c r="Q197" s="472"/>
      <c r="R197" s="472"/>
      <c r="S197" s="629"/>
      <c r="T197" s="470"/>
      <c r="U197" s="612"/>
      <c r="V197" s="464"/>
      <c r="W197" s="612"/>
      <c r="X197" s="473"/>
      <c r="Y197" s="478"/>
      <c r="Z197" s="449"/>
      <c r="AA197" s="495"/>
      <c r="AB197" s="496"/>
      <c r="AC197" s="496"/>
      <c r="AD197" s="569"/>
      <c r="AE197" s="476"/>
      <c r="AF197" s="568"/>
      <c r="AG197" s="476"/>
      <c r="AH197" s="476"/>
      <c r="AI197" s="477"/>
      <c r="AJ197" s="478"/>
      <c r="AK197" s="479"/>
      <c r="AL197" s="480"/>
      <c r="AM197" s="474"/>
      <c r="AN197" s="481"/>
      <c r="AO197" s="474"/>
      <c r="AP197" s="476"/>
      <c r="AQ197" s="482"/>
      <c r="AR197" s="478"/>
      <c r="AS197" s="478"/>
      <c r="AT197" s="476"/>
      <c r="AU197" s="482"/>
      <c r="AV197" s="478"/>
      <c r="AW197" s="483"/>
      <c r="AX197" s="476"/>
      <c r="AY197" s="482"/>
      <c r="AZ197" s="478"/>
      <c r="BA197" s="484"/>
      <c r="BB197" s="474"/>
      <c r="BC197" s="485"/>
      <c r="BD197" s="485"/>
      <c r="BG197" s="487"/>
    </row>
    <row r="198" spans="1:59" s="526" customFormat="1" ht="18" customHeight="1" x14ac:dyDescent="0.2">
      <c r="B198" s="1977" t="s">
        <v>4184</v>
      </c>
      <c r="C198" s="1978"/>
      <c r="D198" s="1978"/>
      <c r="E198" s="1978"/>
      <c r="F198" s="1958"/>
      <c r="G198" s="621">
        <f>SUM(G186:G197)</f>
        <v>1832159079.6396344</v>
      </c>
      <c r="H198" s="505"/>
      <c r="I198" s="506"/>
      <c r="J198" s="507"/>
      <c r="K198" s="507"/>
      <c r="L198" s="505"/>
      <c r="M198" s="684"/>
      <c r="N198" s="508"/>
      <c r="O198" s="507"/>
      <c r="P198" s="509"/>
      <c r="Q198" s="510"/>
      <c r="R198" s="511"/>
      <c r="S198" s="512"/>
      <c r="T198" s="512"/>
      <c r="U198" s="610">
        <f>SUM(U186:U197)</f>
        <v>378105266.68921602</v>
      </c>
      <c r="V198" s="513"/>
      <c r="W198" s="610">
        <f>G198-U198</f>
        <v>1454053812.9504185</v>
      </c>
      <c r="X198" s="514"/>
      <c r="Y198" s="515"/>
      <c r="Z198" s="515"/>
      <c r="AA198" s="515"/>
      <c r="AB198" s="515"/>
      <c r="AC198" s="515"/>
      <c r="AD198" s="570"/>
      <c r="AE198" s="515"/>
      <c r="AF198" s="570"/>
      <c r="AG198" s="515"/>
      <c r="AH198" s="515"/>
      <c r="AI198" s="516"/>
      <c r="AJ198" s="517"/>
      <c r="AK198" s="518"/>
      <c r="AL198" s="519"/>
      <c r="AM198" s="520"/>
      <c r="AN198" s="521"/>
      <c r="AO198" s="520"/>
      <c r="AP198" s="515"/>
      <c r="AQ198" s="522"/>
      <c r="AR198" s="517"/>
      <c r="AS198" s="517"/>
      <c r="AT198" s="515"/>
      <c r="AU198" s="522"/>
      <c r="AV198" s="517"/>
      <c r="AW198" s="523"/>
      <c r="AX198" s="515"/>
      <c r="AY198" s="522"/>
      <c r="AZ198" s="517"/>
      <c r="BA198" s="524"/>
      <c r="BB198" s="520"/>
      <c r="BC198" s="525"/>
      <c r="BD198" s="525"/>
      <c r="BG198" s="527"/>
    </row>
    <row r="199" spans="1:59" s="526" customFormat="1" ht="18" customHeight="1" x14ac:dyDescent="0.2">
      <c r="B199" s="575"/>
      <c r="C199" s="585"/>
      <c r="D199" s="585"/>
      <c r="E199" s="585"/>
      <c r="F199" s="585"/>
      <c r="G199" s="622"/>
      <c r="H199" s="586"/>
      <c r="I199" s="587"/>
      <c r="J199" s="588"/>
      <c r="K199" s="588"/>
      <c r="L199" s="586"/>
      <c r="M199" s="521"/>
      <c r="N199" s="589"/>
      <c r="O199" s="588"/>
      <c r="P199" s="590"/>
      <c r="Q199" s="591"/>
      <c r="R199" s="592"/>
      <c r="S199" s="593"/>
      <c r="T199" s="593"/>
      <c r="U199" s="570"/>
      <c r="V199" s="594"/>
      <c r="W199" s="570"/>
      <c r="X199" s="515"/>
      <c r="Y199" s="515"/>
      <c r="Z199" s="515"/>
      <c r="AA199" s="515"/>
      <c r="AB199" s="515"/>
      <c r="AC199" s="515"/>
      <c r="AD199" s="570"/>
      <c r="AE199" s="515"/>
      <c r="AF199" s="570"/>
      <c r="AG199" s="515"/>
      <c r="AH199" s="515"/>
      <c r="AI199" s="516"/>
      <c r="AJ199" s="517"/>
      <c r="AK199" s="518"/>
      <c r="AL199" s="519"/>
      <c r="AM199" s="520"/>
      <c r="AN199" s="521"/>
      <c r="AO199" s="520"/>
      <c r="AP199" s="515"/>
      <c r="AQ199" s="522"/>
      <c r="AR199" s="517"/>
      <c r="AS199" s="517"/>
      <c r="AT199" s="515"/>
      <c r="AU199" s="522"/>
      <c r="AV199" s="517"/>
      <c r="AW199" s="523"/>
      <c r="AX199" s="515"/>
      <c r="AY199" s="522"/>
      <c r="AZ199" s="517"/>
      <c r="BA199" s="524"/>
      <c r="BB199" s="520"/>
      <c r="BC199" s="525"/>
      <c r="BD199" s="525"/>
      <c r="BG199" s="527"/>
    </row>
    <row r="200" spans="1:59" s="526" customFormat="1" ht="18" customHeight="1" x14ac:dyDescent="0.2">
      <c r="B200" s="575"/>
      <c r="C200" s="585"/>
      <c r="D200" s="585"/>
      <c r="E200" s="585"/>
      <c r="F200" s="585"/>
      <c r="G200" s="622"/>
      <c r="H200" s="586"/>
      <c r="I200" s="587"/>
      <c r="J200" s="588"/>
      <c r="K200" s="588"/>
      <c r="L200" s="586"/>
      <c r="M200" s="521"/>
      <c r="N200" s="589"/>
      <c r="O200" s="588"/>
      <c r="P200" s="590"/>
      <c r="Q200" s="591"/>
      <c r="R200" s="592"/>
      <c r="S200" s="593"/>
      <c r="T200" s="593"/>
      <c r="U200" s="570"/>
      <c r="V200" s="594"/>
      <c r="W200" s="570"/>
      <c r="X200" s="515"/>
      <c r="Y200" s="515"/>
      <c r="Z200" s="515"/>
      <c r="AA200" s="515"/>
      <c r="AB200" s="515"/>
      <c r="AC200" s="515"/>
      <c r="AD200" s="570"/>
      <c r="AE200" s="515"/>
      <c r="AF200" s="570"/>
      <c r="AG200" s="515"/>
      <c r="AH200" s="515"/>
      <c r="AI200" s="516"/>
      <c r="AJ200" s="517"/>
      <c r="AK200" s="518"/>
      <c r="AL200" s="519"/>
      <c r="AM200" s="520"/>
      <c r="AN200" s="521"/>
      <c r="AO200" s="520"/>
      <c r="AP200" s="515"/>
      <c r="AQ200" s="522"/>
      <c r="AR200" s="517"/>
      <c r="AS200" s="517"/>
      <c r="AT200" s="515"/>
      <c r="AU200" s="522"/>
      <c r="AV200" s="517"/>
      <c r="AW200" s="523"/>
      <c r="AX200" s="515"/>
      <c r="AY200" s="522"/>
      <c r="AZ200" s="517"/>
      <c r="BA200" s="524"/>
      <c r="BB200" s="520"/>
      <c r="BC200" s="525"/>
      <c r="BD200" s="525"/>
      <c r="BG200" s="527"/>
    </row>
    <row r="201" spans="1:59" s="422" customFormat="1" ht="18" customHeight="1" x14ac:dyDescent="0.2">
      <c r="B201" s="688" t="s">
        <v>4212</v>
      </c>
      <c r="C201" s="556"/>
      <c r="D201" s="553" t="s">
        <v>2991</v>
      </c>
      <c r="E201" s="553"/>
      <c r="F201" s="421"/>
      <c r="G201" s="611"/>
      <c r="I201" s="423"/>
      <c r="J201" s="424"/>
      <c r="K201" s="424"/>
      <c r="M201" s="680"/>
      <c r="U201" s="611"/>
      <c r="W201" s="611"/>
      <c r="Y201" s="425"/>
      <c r="Z201" s="425"/>
      <c r="AA201" s="425"/>
      <c r="AB201" s="425"/>
      <c r="AC201" s="425"/>
      <c r="AD201" s="563"/>
      <c r="AE201" s="425"/>
      <c r="AF201" s="563"/>
      <c r="AG201" s="425"/>
      <c r="AH201" s="425"/>
      <c r="AI201" s="425"/>
      <c r="AJ201" s="425"/>
      <c r="AK201" s="425"/>
      <c r="AL201" s="425"/>
      <c r="AM201" s="425"/>
      <c r="AN201" s="425"/>
      <c r="AO201" s="425"/>
      <c r="AP201" s="425"/>
      <c r="AQ201" s="425"/>
      <c r="AR201" s="425"/>
      <c r="AS201" s="425"/>
      <c r="AT201" s="425"/>
      <c r="AU201" s="425"/>
      <c r="AV201" s="425"/>
      <c r="AW201" s="425"/>
      <c r="AX201" s="425"/>
      <c r="AY201" s="425"/>
      <c r="AZ201" s="425"/>
      <c r="BA201" s="425"/>
      <c r="BB201" s="425"/>
    </row>
    <row r="202" spans="1:59" s="431" customFormat="1" ht="18" customHeight="1" x14ac:dyDescent="0.2">
      <c r="B202" s="1968" t="s">
        <v>5</v>
      </c>
      <c r="C202" s="1968" t="s">
        <v>2280</v>
      </c>
      <c r="D202" s="1968" t="s">
        <v>4157</v>
      </c>
      <c r="E202" s="1968" t="s">
        <v>4158</v>
      </c>
      <c r="F202" s="1968"/>
      <c r="G202" s="1969" t="s">
        <v>4159</v>
      </c>
      <c r="H202" s="1355" t="s">
        <v>4160</v>
      </c>
      <c r="I202" s="1355"/>
      <c r="J202" s="1968" t="s">
        <v>4161</v>
      </c>
      <c r="K202" s="1964" t="s">
        <v>4162</v>
      </c>
      <c r="L202" s="1968" t="s">
        <v>4163</v>
      </c>
      <c r="M202" s="1971" t="s">
        <v>4164</v>
      </c>
      <c r="N202" s="1962" t="s">
        <v>4165</v>
      </c>
      <c r="O202" s="1968" t="s">
        <v>4166</v>
      </c>
      <c r="P202" s="1972" t="s">
        <v>4167</v>
      </c>
      <c r="Q202" s="1973"/>
      <c r="R202" s="631" t="s">
        <v>4168</v>
      </c>
      <c r="S202" s="1972" t="s">
        <v>4169</v>
      </c>
      <c r="T202" s="1974"/>
      <c r="U202" s="1973"/>
      <c r="V202" s="1975" t="s">
        <v>4170</v>
      </c>
      <c r="W202" s="1975"/>
      <c r="X202" s="1960" t="s">
        <v>4171</v>
      </c>
      <c r="Y202" s="1959"/>
      <c r="Z202" s="628"/>
      <c r="AA202" s="426"/>
      <c r="AB202" s="426"/>
      <c r="AC202" s="426"/>
      <c r="AD202" s="564"/>
      <c r="AE202" s="426"/>
      <c r="AF202" s="564"/>
      <c r="AG202" s="426"/>
      <c r="AH202" s="426"/>
      <c r="AI202" s="427"/>
      <c r="AJ202" s="427"/>
      <c r="AK202" s="427"/>
      <c r="AL202" s="427"/>
      <c r="AM202" s="428"/>
      <c r="AN202" s="427"/>
      <c r="AO202" s="427"/>
      <c r="AP202" s="426"/>
      <c r="AQ202" s="427"/>
      <c r="AR202" s="427"/>
      <c r="AS202" s="427"/>
      <c r="AT202" s="426"/>
      <c r="AU202" s="427"/>
      <c r="AV202" s="427"/>
      <c r="AW202" s="427"/>
      <c r="AX202" s="426"/>
      <c r="AY202" s="427"/>
      <c r="AZ202" s="427"/>
      <c r="BA202" s="427"/>
      <c r="BB202" s="429"/>
      <c r="BC202" s="430"/>
      <c r="BD202" s="430"/>
    </row>
    <row r="203" spans="1:59" s="431" customFormat="1" ht="18" customHeight="1" x14ac:dyDescent="0.2">
      <c r="B203" s="1968"/>
      <c r="C203" s="1968"/>
      <c r="D203" s="1968"/>
      <c r="E203" s="1968"/>
      <c r="F203" s="1968"/>
      <c r="G203" s="1969"/>
      <c r="H203" s="1355"/>
      <c r="I203" s="1355"/>
      <c r="J203" s="1968"/>
      <c r="K203" s="1970"/>
      <c r="L203" s="1968"/>
      <c r="M203" s="1971"/>
      <c r="N203" s="1963"/>
      <c r="O203" s="1968"/>
      <c r="P203" s="1960" t="s">
        <v>4172</v>
      </c>
      <c r="Q203" s="1960" t="s">
        <v>4173</v>
      </c>
      <c r="R203" s="1962" t="s">
        <v>4159</v>
      </c>
      <c r="S203" s="1962" t="s">
        <v>4174</v>
      </c>
      <c r="T203" s="1964" t="s">
        <v>4175</v>
      </c>
      <c r="U203" s="1966" t="s">
        <v>4159</v>
      </c>
      <c r="V203" s="1975"/>
      <c r="W203" s="1975"/>
      <c r="X203" s="1976"/>
      <c r="Y203" s="1959"/>
      <c r="Z203" s="628"/>
      <c r="AA203" s="426"/>
      <c r="AB203" s="426"/>
      <c r="AC203" s="426"/>
      <c r="AD203" s="564"/>
      <c r="AE203" s="426"/>
      <c r="AF203" s="564"/>
      <c r="AG203" s="426"/>
      <c r="AH203" s="426"/>
      <c r="AI203" s="427"/>
      <c r="AJ203" s="427"/>
      <c r="AK203" s="426"/>
      <c r="AL203" s="427"/>
      <c r="AM203" s="428"/>
      <c r="AN203" s="427"/>
      <c r="AO203" s="427"/>
      <c r="AP203" s="432"/>
      <c r="AQ203" s="427"/>
      <c r="AR203" s="427"/>
      <c r="AS203" s="427"/>
      <c r="AT203" s="432"/>
      <c r="AU203" s="427"/>
      <c r="AV203" s="427"/>
      <c r="AW203" s="427"/>
      <c r="AX203" s="432"/>
      <c r="AY203" s="427"/>
      <c r="AZ203" s="427"/>
      <c r="BA203" s="427"/>
      <c r="BB203" s="429"/>
      <c r="BC203" s="430"/>
      <c r="BD203" s="430"/>
    </row>
    <row r="204" spans="1:59" s="431" customFormat="1" ht="21.75" customHeight="1" x14ac:dyDescent="0.2">
      <c r="B204" s="1968"/>
      <c r="C204" s="1968"/>
      <c r="D204" s="1968"/>
      <c r="E204" s="433" t="s">
        <v>4176</v>
      </c>
      <c r="F204" s="434" t="s">
        <v>2288</v>
      </c>
      <c r="G204" s="1969"/>
      <c r="H204" s="1355" t="s">
        <v>2288</v>
      </c>
      <c r="I204" s="1355" t="s">
        <v>4177</v>
      </c>
      <c r="J204" s="1968"/>
      <c r="K204" s="1965"/>
      <c r="L204" s="435" t="s">
        <v>2288</v>
      </c>
      <c r="M204" s="681" t="s">
        <v>2288</v>
      </c>
      <c r="N204" s="630" t="s">
        <v>2288</v>
      </c>
      <c r="O204" s="1968"/>
      <c r="P204" s="1961"/>
      <c r="Q204" s="1961"/>
      <c r="R204" s="1963"/>
      <c r="S204" s="1963"/>
      <c r="T204" s="1965"/>
      <c r="U204" s="1967"/>
      <c r="V204" s="630" t="s">
        <v>4178</v>
      </c>
      <c r="W204" s="632" t="s">
        <v>4159</v>
      </c>
      <c r="X204" s="1961"/>
      <c r="Y204" s="436"/>
      <c r="Z204" s="436"/>
      <c r="AA204" s="426"/>
      <c r="AB204" s="426"/>
      <c r="AC204" s="426"/>
      <c r="AD204" s="564"/>
      <c r="AE204" s="426"/>
      <c r="AF204" s="564"/>
      <c r="AG204" s="426"/>
      <c r="AH204" s="426"/>
      <c r="AI204" s="427"/>
      <c r="AJ204" s="432"/>
      <c r="AK204" s="432"/>
      <c r="AL204" s="427"/>
      <c r="AM204" s="428"/>
      <c r="AN204" s="432"/>
      <c r="AO204" s="427"/>
      <c r="AP204" s="432"/>
      <c r="AQ204" s="432"/>
      <c r="AR204" s="427"/>
      <c r="AS204" s="427"/>
      <c r="AT204" s="432"/>
      <c r="AU204" s="432"/>
      <c r="AV204" s="427"/>
      <c r="AW204" s="427"/>
      <c r="AX204" s="432"/>
      <c r="AY204" s="432"/>
      <c r="AZ204" s="427"/>
      <c r="BA204" s="427"/>
      <c r="BB204" s="429"/>
      <c r="BC204" s="430"/>
      <c r="BD204" s="430"/>
    </row>
    <row r="205" spans="1:59" s="461" customFormat="1" ht="18" customHeight="1" x14ac:dyDescent="0.2">
      <c r="A205" s="461" t="str">
        <f>$D$201&amp;S205</f>
        <v>MESS PEMDA KUANTAN SINGINGI2008</v>
      </c>
      <c r="B205" s="689">
        <v>1</v>
      </c>
      <c r="C205" s="597" t="s">
        <v>4210</v>
      </c>
      <c r="D205" s="597" t="s">
        <v>1752</v>
      </c>
      <c r="E205" s="598"/>
      <c r="F205" s="599">
        <v>2008</v>
      </c>
      <c r="G205" s="626">
        <v>3356786127.2156734</v>
      </c>
      <c r="H205" s="600">
        <f>VLOOKUP(LEFT(D205,8),UE,4)</f>
        <v>50</v>
      </c>
      <c r="I205" s="601"/>
      <c r="J205" s="602">
        <f>(F205+N205)-1</f>
        <v>2057</v>
      </c>
      <c r="K205" s="603"/>
      <c r="L205" s="600"/>
      <c r="M205" s="685">
        <f>IF(H205+L205&gt;$H205,$H205-H205,L205)</f>
        <v>0</v>
      </c>
      <c r="N205" s="604">
        <f>H205+M205</f>
        <v>50</v>
      </c>
      <c r="O205" s="602">
        <f>(F205+N205)-1</f>
        <v>2057</v>
      </c>
      <c r="P205" s="605">
        <f>G205</f>
        <v>3356786127.2156734</v>
      </c>
      <c r="Q205" s="606">
        <v>0</v>
      </c>
      <c r="R205" s="606">
        <f>P205/N205</f>
        <v>67135722.544313475</v>
      </c>
      <c r="S205" s="607">
        <f>F205</f>
        <v>2008</v>
      </c>
      <c r="T205" s="608">
        <v>1</v>
      </c>
      <c r="U205" s="615">
        <f>R205*T205</f>
        <v>67135722.544313475</v>
      </c>
      <c r="V205" s="602">
        <f>F205</f>
        <v>2008</v>
      </c>
      <c r="W205" s="618">
        <f>IF(OR(AND(ISBLANK(E205),ISBLANK(G205)),ISTEXT(E205),ISTEXT(G205)),"",G205-R205)</f>
        <v>3289650404.67136</v>
      </c>
      <c r="X205" s="609"/>
      <c r="Y205" s="449"/>
      <c r="Z205" s="449"/>
      <c r="AA205" s="693"/>
      <c r="AB205" s="452"/>
      <c r="AC205" s="452"/>
      <c r="AD205" s="571"/>
      <c r="AE205" s="452"/>
      <c r="AF205" s="571"/>
      <c r="AG205" s="452"/>
      <c r="AH205" s="452"/>
      <c r="AI205" s="453"/>
      <c r="AJ205" s="449"/>
      <c r="AK205" s="453"/>
      <c r="AL205" s="454"/>
      <c r="AM205" s="455"/>
      <c r="AN205" s="456"/>
      <c r="AO205" s="455"/>
      <c r="AP205" s="452"/>
      <c r="AQ205" s="457"/>
      <c r="AR205" s="449"/>
      <c r="AS205" s="449"/>
      <c r="AT205" s="452"/>
      <c r="AU205" s="457"/>
      <c r="AV205" s="449"/>
      <c r="AW205" s="458"/>
      <c r="AX205" s="452"/>
      <c r="AY205" s="457"/>
      <c r="AZ205" s="449"/>
      <c r="BA205" s="459"/>
      <c r="BB205" s="455"/>
      <c r="BC205" s="460"/>
      <c r="BD205" s="460"/>
      <c r="BG205" s="462"/>
    </row>
    <row r="206" spans="1:59" s="461" customFormat="1" ht="18" customHeight="1" x14ac:dyDescent="0.2">
      <c r="A206" s="461" t="str">
        <f t="shared" ref="A206:A214" si="160">$D$201&amp;S206</f>
        <v>MESS PEMDA KUANTAN SINGINGI2009</v>
      </c>
      <c r="B206" s="708">
        <v>2</v>
      </c>
      <c r="C206" s="489" t="s">
        <v>2642</v>
      </c>
      <c r="D206" s="489" t="s">
        <v>1752</v>
      </c>
      <c r="E206" s="558"/>
      <c r="F206" s="559">
        <v>2009</v>
      </c>
      <c r="G206" s="619">
        <v>1120615226.5723109</v>
      </c>
      <c r="H206" s="464">
        <f>IF(N205-(F206-F205)&lt;=0,0,(N205-(F206-F205)))</f>
        <v>49</v>
      </c>
      <c r="I206" s="560"/>
      <c r="J206" s="468">
        <f>(F206+N206)-1</f>
        <v>2058</v>
      </c>
      <c r="K206" s="490">
        <f>IF(G206=0,0,IF(H206=50,100%,G206/W205))</f>
        <v>0.34064872819951264</v>
      </c>
      <c r="L206" s="469">
        <f>IF(K206=0%,0,IF(K206&lt;=25%,5,IF(K206&lt;=50%,10,IF(K206&lt;=75%,15,50))))</f>
        <v>10</v>
      </c>
      <c r="M206" s="683">
        <f>IF(OR(AND(ISBLANK(E206),ISBLANK(G206)),ISTEXT(E206),ISTEXT(G206)),"",IF(H206+L206&gt;$H$27,$H$27-H206,L206))</f>
        <v>1</v>
      </c>
      <c r="N206" s="470">
        <f>IF(OR(AND(ISBLANK(F206),ISBLANK(G206)),ISTEXT(F206),ISTEXT(G206)),"",H206+M206)</f>
        <v>50</v>
      </c>
      <c r="O206" s="468">
        <f>(F206+N206)-1</f>
        <v>2058</v>
      </c>
      <c r="P206" s="471">
        <f>W205</f>
        <v>3289650404.67136</v>
      </c>
      <c r="Q206" s="472">
        <f>P206+G206</f>
        <v>4410265631.2436714</v>
      </c>
      <c r="R206" s="472">
        <f>IF(L206=0,R205,Q206/N206)</f>
        <v>88205312.62487343</v>
      </c>
      <c r="S206" s="629">
        <f>F206</f>
        <v>2009</v>
      </c>
      <c r="T206" s="470">
        <f>S206-S205</f>
        <v>1</v>
      </c>
      <c r="U206" s="612">
        <f>R206*T206</f>
        <v>88205312.62487343</v>
      </c>
      <c r="V206" s="464">
        <f>F206</f>
        <v>2009</v>
      </c>
      <c r="W206" s="612">
        <f>IF(OR(AND(ISBLANK(E206),ISBLANK(G206)),ISTEXT(E206),ISTEXT(G206)),"",Q206-U206)</f>
        <v>4322060318.6187983</v>
      </c>
      <c r="X206" s="561"/>
      <c r="Y206" s="449"/>
      <c r="Z206" s="449"/>
      <c r="AA206" s="693"/>
      <c r="AB206" s="452"/>
      <c r="AC206" s="452"/>
      <c r="AD206" s="571"/>
      <c r="AE206" s="452"/>
      <c r="AF206" s="571"/>
      <c r="AG206" s="452"/>
      <c r="AH206" s="452"/>
      <c r="AI206" s="453"/>
      <c r="AJ206" s="449"/>
      <c r="AK206" s="453"/>
      <c r="AL206" s="454"/>
      <c r="AM206" s="455"/>
      <c r="AN206" s="456"/>
      <c r="AO206" s="455"/>
      <c r="AP206" s="452"/>
      <c r="AQ206" s="457"/>
      <c r="AR206" s="449"/>
      <c r="AS206" s="449"/>
      <c r="AT206" s="452"/>
      <c r="AU206" s="457"/>
      <c r="AV206" s="449"/>
      <c r="AW206" s="458"/>
      <c r="AX206" s="452"/>
      <c r="AY206" s="457"/>
      <c r="AZ206" s="449"/>
      <c r="BA206" s="459"/>
      <c r="BB206" s="455"/>
      <c r="BC206" s="460"/>
      <c r="BD206" s="460"/>
      <c r="BG206" s="462"/>
    </row>
    <row r="207" spans="1:59" s="461" customFormat="1" ht="18" customHeight="1" x14ac:dyDescent="0.2">
      <c r="A207" s="461" t="str">
        <f t="shared" si="160"/>
        <v>MESS PEMDA KUANTAN SINGINGI2012</v>
      </c>
      <c r="B207" s="708"/>
      <c r="C207" s="489"/>
      <c r="D207" s="489"/>
      <c r="E207" s="558"/>
      <c r="F207" s="559">
        <v>2012</v>
      </c>
      <c r="G207" s="619">
        <v>0</v>
      </c>
      <c r="H207" s="464">
        <f t="shared" ref="H207:H213" si="161">IF(N206-(F207-F206)&lt;=0,0,(N206-(F207-F206)))</f>
        <v>47</v>
      </c>
      <c r="I207" s="560"/>
      <c r="J207" s="468">
        <f t="shared" ref="J207:J213" si="162">(F207+N207)-1</f>
        <v>2058</v>
      </c>
      <c r="K207" s="490">
        <f t="shared" ref="K207:K213" si="163">IF(G207=0,0,IF(H207=50,100%,G207/W206))</f>
        <v>0</v>
      </c>
      <c r="L207" s="469">
        <f t="shared" ref="L207:L213" si="164">IF(K207=0%,0,IF(K207&lt;=25%,5,IF(K207&lt;=50%,10,IF(K207&lt;=75%,15,50))))</f>
        <v>0</v>
      </c>
      <c r="M207" s="683">
        <f t="shared" ref="M207:M213" si="165">IF(OR(AND(ISBLANK(E207),ISBLANK(G207)),ISTEXT(E207),ISTEXT(G207)),"",IF(H207+L207&gt;$H$27,$H$27-H207,L207))</f>
        <v>0</v>
      </c>
      <c r="N207" s="470">
        <f t="shared" ref="N207:N213" si="166">IF(OR(AND(ISBLANK(F207),ISBLANK(G207)),ISTEXT(F207),ISTEXT(G207)),"",H207+M207)</f>
        <v>47</v>
      </c>
      <c r="O207" s="468">
        <f t="shared" ref="O207:O213" si="167">(F207+N207)-1</f>
        <v>2058</v>
      </c>
      <c r="P207" s="471">
        <f t="shared" ref="P207:P213" si="168">W206</f>
        <v>4322060318.6187983</v>
      </c>
      <c r="Q207" s="472">
        <f t="shared" ref="Q207:Q213" si="169">P207+G207</f>
        <v>4322060318.6187983</v>
      </c>
      <c r="R207" s="472">
        <f t="shared" ref="R207:R213" si="170">IF(L207=0,R206,Q207/N207)</f>
        <v>88205312.62487343</v>
      </c>
      <c r="S207" s="768">
        <f t="shared" ref="S207:S213" si="171">F207</f>
        <v>2012</v>
      </c>
      <c r="T207" s="470">
        <f t="shared" ref="T207:T213" si="172">S207-S206</f>
        <v>3</v>
      </c>
      <c r="U207" s="612">
        <f t="shared" ref="U207:U213" si="173">R207*T207</f>
        <v>264615937.87462029</v>
      </c>
      <c r="V207" s="464">
        <f t="shared" ref="V207:V213" si="174">F207</f>
        <v>2012</v>
      </c>
      <c r="W207" s="612">
        <f t="shared" ref="W207:W213" si="175">IF(OR(AND(ISBLANK(E207),ISBLANK(G207)),ISTEXT(E207),ISTEXT(G207)),"",Q207-U207)</f>
        <v>4057444380.7441778</v>
      </c>
      <c r="X207" s="561"/>
      <c r="Y207" s="449"/>
      <c r="Z207" s="449"/>
      <c r="AA207" s="693"/>
      <c r="AB207" s="452"/>
      <c r="AC207" s="452"/>
      <c r="AD207" s="571"/>
      <c r="AE207" s="452"/>
      <c r="AF207" s="571"/>
      <c r="AG207" s="452"/>
      <c r="AH207" s="452"/>
      <c r="AI207" s="453"/>
      <c r="AJ207" s="449"/>
      <c r="AK207" s="453"/>
      <c r="AL207" s="454"/>
      <c r="AM207" s="455"/>
      <c r="AN207" s="456"/>
      <c r="AO207" s="455"/>
      <c r="AP207" s="452"/>
      <c r="AQ207" s="457"/>
      <c r="AR207" s="449"/>
      <c r="AS207" s="449"/>
      <c r="AT207" s="452"/>
      <c r="AU207" s="457"/>
      <c r="AV207" s="449"/>
      <c r="AW207" s="458"/>
      <c r="AX207" s="452"/>
      <c r="AY207" s="457"/>
      <c r="AZ207" s="449"/>
      <c r="BA207" s="459"/>
      <c r="BB207" s="455"/>
      <c r="BC207" s="460"/>
      <c r="BD207" s="460"/>
      <c r="BG207" s="462"/>
    </row>
    <row r="208" spans="1:59" s="461" customFormat="1" ht="18" customHeight="1" x14ac:dyDescent="0.2">
      <c r="A208" s="461" t="str">
        <f t="shared" si="160"/>
        <v>MESS PEMDA KUANTAN SINGINGI2013</v>
      </c>
      <c r="B208" s="708">
        <v>3</v>
      </c>
      <c r="C208" s="489" t="s">
        <v>2782</v>
      </c>
      <c r="D208" s="489" t="s">
        <v>1752</v>
      </c>
      <c r="E208" s="558"/>
      <c r="F208" s="559">
        <v>2013</v>
      </c>
      <c r="G208" s="619">
        <v>46015756.919106446</v>
      </c>
      <c r="H208" s="464">
        <f t="shared" si="161"/>
        <v>46</v>
      </c>
      <c r="I208" s="560"/>
      <c r="J208" s="468">
        <f t="shared" si="162"/>
        <v>2062</v>
      </c>
      <c r="K208" s="490">
        <f t="shared" si="163"/>
        <v>1.1341069057529921E-2</v>
      </c>
      <c r="L208" s="469">
        <f t="shared" si="164"/>
        <v>5</v>
      </c>
      <c r="M208" s="683">
        <f t="shared" si="165"/>
        <v>4</v>
      </c>
      <c r="N208" s="470">
        <f t="shared" si="166"/>
        <v>50</v>
      </c>
      <c r="O208" s="468">
        <f t="shared" si="167"/>
        <v>2062</v>
      </c>
      <c r="P208" s="471">
        <f t="shared" si="168"/>
        <v>4057444380.7441778</v>
      </c>
      <c r="Q208" s="472">
        <f t="shared" si="169"/>
        <v>4103460137.6632843</v>
      </c>
      <c r="R208" s="472">
        <f t="shared" si="170"/>
        <v>82069202.753265679</v>
      </c>
      <c r="S208" s="768">
        <f t="shared" si="171"/>
        <v>2013</v>
      </c>
      <c r="T208" s="470">
        <f t="shared" si="172"/>
        <v>1</v>
      </c>
      <c r="U208" s="612">
        <f t="shared" si="173"/>
        <v>82069202.753265679</v>
      </c>
      <c r="V208" s="464">
        <f t="shared" si="174"/>
        <v>2013</v>
      </c>
      <c r="W208" s="612">
        <f t="shared" si="175"/>
        <v>4021390934.9100184</v>
      </c>
      <c r="X208" s="561"/>
      <c r="Y208" s="449"/>
      <c r="Z208" s="449"/>
      <c r="AA208" s="693"/>
      <c r="AB208" s="452"/>
      <c r="AC208" s="452"/>
      <c r="AD208" s="571"/>
      <c r="AE208" s="452"/>
      <c r="AF208" s="571"/>
      <c r="AG208" s="452"/>
      <c r="AH208" s="452"/>
      <c r="AI208" s="453"/>
      <c r="AJ208" s="449"/>
      <c r="AK208" s="453"/>
      <c r="AL208" s="454"/>
      <c r="AM208" s="455"/>
      <c r="AN208" s="456"/>
      <c r="AO208" s="455"/>
      <c r="AP208" s="452"/>
      <c r="AQ208" s="457"/>
      <c r="AR208" s="449"/>
      <c r="AS208" s="449"/>
      <c r="AT208" s="452"/>
      <c r="AU208" s="457"/>
      <c r="AV208" s="449"/>
      <c r="AW208" s="458"/>
      <c r="AX208" s="452"/>
      <c r="AY208" s="457"/>
      <c r="AZ208" s="449"/>
      <c r="BA208" s="459"/>
      <c r="BB208" s="455"/>
      <c r="BC208" s="460"/>
      <c r="BD208" s="460"/>
      <c r="BG208" s="462"/>
    </row>
    <row r="209" spans="1:59" s="461" customFormat="1" ht="18" customHeight="1" x14ac:dyDescent="0.2">
      <c r="A209" s="461" t="str">
        <f t="shared" si="160"/>
        <v>MESS PEMDA KUANTAN SINGINGI2014</v>
      </c>
      <c r="B209" s="708"/>
      <c r="C209" s="489"/>
      <c r="D209" s="489" t="s">
        <v>1752</v>
      </c>
      <c r="E209" s="558"/>
      <c r="F209" s="559">
        <v>2014</v>
      </c>
      <c r="G209" s="619">
        <v>0</v>
      </c>
      <c r="H209" s="464">
        <f t="shared" si="161"/>
        <v>49</v>
      </c>
      <c r="I209" s="560"/>
      <c r="J209" s="468">
        <f t="shared" si="162"/>
        <v>2062</v>
      </c>
      <c r="K209" s="490">
        <f t="shared" si="163"/>
        <v>0</v>
      </c>
      <c r="L209" s="469">
        <f t="shared" si="164"/>
        <v>0</v>
      </c>
      <c r="M209" s="683">
        <f t="shared" si="165"/>
        <v>0</v>
      </c>
      <c r="N209" s="470">
        <f t="shared" si="166"/>
        <v>49</v>
      </c>
      <c r="O209" s="468">
        <f t="shared" si="167"/>
        <v>2062</v>
      </c>
      <c r="P209" s="471">
        <f t="shared" si="168"/>
        <v>4021390934.9100184</v>
      </c>
      <c r="Q209" s="472">
        <f t="shared" si="169"/>
        <v>4021390934.9100184</v>
      </c>
      <c r="R209" s="472">
        <f t="shared" si="170"/>
        <v>82069202.753265679</v>
      </c>
      <c r="S209" s="768">
        <f t="shared" si="171"/>
        <v>2014</v>
      </c>
      <c r="T209" s="470">
        <f t="shared" si="172"/>
        <v>1</v>
      </c>
      <c r="U209" s="612">
        <f t="shared" si="173"/>
        <v>82069202.753265679</v>
      </c>
      <c r="V209" s="464">
        <f t="shared" si="174"/>
        <v>2014</v>
      </c>
      <c r="W209" s="612">
        <f t="shared" si="175"/>
        <v>3939321732.1567526</v>
      </c>
      <c r="X209" s="561"/>
      <c r="Y209" s="449"/>
      <c r="Z209" s="449"/>
      <c r="AA209" s="693"/>
      <c r="AB209" s="452"/>
      <c r="AC209" s="452"/>
      <c r="AD209" s="571"/>
      <c r="AE209" s="452"/>
      <c r="AF209" s="571"/>
      <c r="AG209" s="452"/>
      <c r="AH209" s="452"/>
      <c r="AI209" s="453"/>
      <c r="AJ209" s="449"/>
      <c r="AK209" s="453"/>
      <c r="AL209" s="454"/>
      <c r="AM209" s="455"/>
      <c r="AN209" s="456"/>
      <c r="AO209" s="455"/>
      <c r="AP209" s="452"/>
      <c r="AQ209" s="457"/>
      <c r="AR209" s="449"/>
      <c r="AS209" s="449"/>
      <c r="AT209" s="452"/>
      <c r="AU209" s="457"/>
      <c r="AV209" s="449"/>
      <c r="AW209" s="458"/>
      <c r="AX209" s="452"/>
      <c r="AY209" s="457"/>
      <c r="AZ209" s="449"/>
      <c r="BA209" s="459"/>
      <c r="BB209" s="455"/>
      <c r="BC209" s="460"/>
      <c r="BD209" s="460"/>
      <c r="BG209" s="462"/>
    </row>
    <row r="210" spans="1:59" s="461" customFormat="1" ht="18" customHeight="1" x14ac:dyDescent="0.2">
      <c r="A210" s="461" t="str">
        <f t="shared" si="160"/>
        <v>MESS PEMDA KUANTAN SINGINGI2015</v>
      </c>
      <c r="B210" s="708"/>
      <c r="C210" s="489"/>
      <c r="D210" s="489" t="s">
        <v>1752</v>
      </c>
      <c r="E210" s="558"/>
      <c r="F210" s="559">
        <v>2015</v>
      </c>
      <c r="G210" s="619">
        <v>0</v>
      </c>
      <c r="H210" s="464">
        <f t="shared" si="161"/>
        <v>48</v>
      </c>
      <c r="I210" s="560"/>
      <c r="J210" s="468">
        <f t="shared" si="162"/>
        <v>2062</v>
      </c>
      <c r="K210" s="490">
        <f t="shared" si="163"/>
        <v>0</v>
      </c>
      <c r="L210" s="469">
        <f t="shared" si="164"/>
        <v>0</v>
      </c>
      <c r="M210" s="683">
        <f t="shared" si="165"/>
        <v>0</v>
      </c>
      <c r="N210" s="470">
        <f t="shared" si="166"/>
        <v>48</v>
      </c>
      <c r="O210" s="468">
        <f t="shared" si="167"/>
        <v>2062</v>
      </c>
      <c r="P210" s="471">
        <f t="shared" si="168"/>
        <v>3939321732.1567526</v>
      </c>
      <c r="Q210" s="472">
        <f t="shared" si="169"/>
        <v>3939321732.1567526</v>
      </c>
      <c r="R210" s="472">
        <f t="shared" si="170"/>
        <v>82069202.753265679</v>
      </c>
      <c r="S210" s="768">
        <f t="shared" si="171"/>
        <v>2015</v>
      </c>
      <c r="T210" s="470">
        <f t="shared" si="172"/>
        <v>1</v>
      </c>
      <c r="U210" s="612">
        <f t="shared" si="173"/>
        <v>82069202.753265679</v>
      </c>
      <c r="V210" s="464">
        <f t="shared" si="174"/>
        <v>2015</v>
      </c>
      <c r="W210" s="612">
        <f t="shared" si="175"/>
        <v>3857252529.4034867</v>
      </c>
      <c r="X210" s="561"/>
      <c r="Y210" s="449"/>
      <c r="Z210" s="449"/>
      <c r="AA210" s="694"/>
      <c r="AB210" s="692"/>
      <c r="AC210" s="692"/>
      <c r="AD210" s="695"/>
      <c r="AE210" s="452"/>
      <c r="AF210" s="571"/>
      <c r="AG210" s="452"/>
      <c r="AH210" s="452"/>
      <c r="AI210" s="453"/>
      <c r="AJ210" s="449"/>
      <c r="AK210" s="453"/>
      <c r="AL210" s="454"/>
      <c r="AM210" s="455"/>
      <c r="AN210" s="456"/>
      <c r="AO210" s="455"/>
      <c r="AP210" s="452"/>
      <c r="AQ210" s="457"/>
      <c r="AR210" s="449"/>
      <c r="AS210" s="449"/>
      <c r="AT210" s="452"/>
      <c r="AU210" s="457"/>
      <c r="AV210" s="449"/>
      <c r="AW210" s="458"/>
      <c r="AX210" s="452"/>
      <c r="AY210" s="457"/>
      <c r="AZ210" s="449"/>
      <c r="BA210" s="459"/>
      <c r="BB210" s="455"/>
      <c r="BC210" s="460"/>
      <c r="BD210" s="460"/>
      <c r="BG210" s="462"/>
    </row>
    <row r="211" spans="1:59" s="461" customFormat="1" ht="18" customHeight="1" x14ac:dyDescent="0.2">
      <c r="A211" s="461" t="str">
        <f t="shared" si="160"/>
        <v>MESS PEMDA KUANTAN SINGINGI2016</v>
      </c>
      <c r="B211" s="708"/>
      <c r="C211" s="489"/>
      <c r="D211" s="489" t="s">
        <v>1752</v>
      </c>
      <c r="E211" s="558"/>
      <c r="F211" s="559">
        <v>2016</v>
      </c>
      <c r="G211" s="619">
        <v>0</v>
      </c>
      <c r="H211" s="464">
        <f t="shared" si="161"/>
        <v>47</v>
      </c>
      <c r="I211" s="560"/>
      <c r="J211" s="468">
        <f t="shared" si="162"/>
        <v>2062</v>
      </c>
      <c r="K211" s="490">
        <f t="shared" si="163"/>
        <v>0</v>
      </c>
      <c r="L211" s="469">
        <f t="shared" si="164"/>
        <v>0</v>
      </c>
      <c r="M211" s="683">
        <f t="shared" si="165"/>
        <v>0</v>
      </c>
      <c r="N211" s="470">
        <f t="shared" si="166"/>
        <v>47</v>
      </c>
      <c r="O211" s="468">
        <f t="shared" si="167"/>
        <v>2062</v>
      </c>
      <c r="P211" s="471">
        <f t="shared" si="168"/>
        <v>3857252529.4034867</v>
      </c>
      <c r="Q211" s="472">
        <f t="shared" si="169"/>
        <v>3857252529.4034867</v>
      </c>
      <c r="R211" s="472">
        <f t="shared" si="170"/>
        <v>82069202.753265679</v>
      </c>
      <c r="S211" s="768">
        <f t="shared" si="171"/>
        <v>2016</v>
      </c>
      <c r="T211" s="470">
        <f t="shared" si="172"/>
        <v>1</v>
      </c>
      <c r="U211" s="612">
        <f t="shared" si="173"/>
        <v>82069202.753265679</v>
      </c>
      <c r="V211" s="464">
        <f t="shared" si="174"/>
        <v>2016</v>
      </c>
      <c r="W211" s="612">
        <f t="shared" si="175"/>
        <v>3775183326.6502209</v>
      </c>
      <c r="X211" s="561"/>
      <c r="Y211" s="449"/>
      <c r="Z211" s="449"/>
      <c r="AA211" s="554" t="s">
        <v>4179</v>
      </c>
      <c r="AB211" s="452"/>
      <c r="AC211" s="452"/>
      <c r="AD211" s="566"/>
      <c r="AE211" s="452"/>
      <c r="AF211" s="571"/>
      <c r="AG211" s="452"/>
      <c r="AH211" s="452"/>
      <c r="AI211" s="453"/>
      <c r="AJ211" s="449"/>
      <c r="AK211" s="453"/>
      <c r="AL211" s="454"/>
      <c r="AM211" s="455"/>
      <c r="AN211" s="456"/>
      <c r="AO211" s="455"/>
      <c r="AP211" s="452"/>
      <c r="AQ211" s="457"/>
      <c r="AR211" s="449"/>
      <c r="AS211" s="449"/>
      <c r="AT211" s="452"/>
      <c r="AU211" s="457"/>
      <c r="AV211" s="449"/>
      <c r="AW211" s="458"/>
      <c r="AX211" s="452"/>
      <c r="AY211" s="457"/>
      <c r="AZ211" s="449"/>
      <c r="BA211" s="459"/>
      <c r="BB211" s="455"/>
      <c r="BC211" s="460"/>
      <c r="BD211" s="460"/>
      <c r="BG211" s="462"/>
    </row>
    <row r="212" spans="1:59" s="461" customFormat="1" ht="18" customHeight="1" x14ac:dyDescent="0.2">
      <c r="A212" s="461" t="str">
        <f t="shared" si="160"/>
        <v>MESS PEMDA KUANTAN SINGINGI2017</v>
      </c>
      <c r="B212" s="708"/>
      <c r="C212" s="489"/>
      <c r="D212" s="489" t="s">
        <v>1752</v>
      </c>
      <c r="E212" s="558"/>
      <c r="F212" s="559">
        <v>2017</v>
      </c>
      <c r="G212" s="619">
        <v>0</v>
      </c>
      <c r="H212" s="464">
        <f t="shared" si="161"/>
        <v>46</v>
      </c>
      <c r="I212" s="560"/>
      <c r="J212" s="468">
        <f t="shared" si="162"/>
        <v>2062</v>
      </c>
      <c r="K212" s="490">
        <f t="shared" si="163"/>
        <v>0</v>
      </c>
      <c r="L212" s="469">
        <f t="shared" si="164"/>
        <v>0</v>
      </c>
      <c r="M212" s="683">
        <f t="shared" si="165"/>
        <v>0</v>
      </c>
      <c r="N212" s="470">
        <f t="shared" si="166"/>
        <v>46</v>
      </c>
      <c r="O212" s="468">
        <f t="shared" si="167"/>
        <v>2062</v>
      </c>
      <c r="P212" s="471">
        <f t="shared" si="168"/>
        <v>3775183326.6502209</v>
      </c>
      <c r="Q212" s="472">
        <f t="shared" si="169"/>
        <v>3775183326.6502209</v>
      </c>
      <c r="R212" s="472">
        <f t="shared" si="170"/>
        <v>82069202.753265679</v>
      </c>
      <c r="S212" s="768">
        <f t="shared" si="171"/>
        <v>2017</v>
      </c>
      <c r="T212" s="470">
        <f t="shared" si="172"/>
        <v>1</v>
      </c>
      <c r="U212" s="612">
        <f t="shared" si="173"/>
        <v>82069202.753265679</v>
      </c>
      <c r="V212" s="464">
        <f t="shared" si="174"/>
        <v>2017</v>
      </c>
      <c r="W212" s="612">
        <f t="shared" si="175"/>
        <v>3693114123.896955</v>
      </c>
      <c r="X212" s="561"/>
      <c r="Y212" s="449"/>
      <c r="Z212" s="449"/>
      <c r="AA212" s="554"/>
      <c r="AB212" s="452"/>
      <c r="AC212" s="452"/>
      <c r="AD212" s="566"/>
      <c r="AE212" s="452"/>
      <c r="AF212" s="571"/>
      <c r="AG212" s="452"/>
      <c r="AH212" s="452"/>
      <c r="AI212" s="453"/>
      <c r="AJ212" s="449"/>
      <c r="AK212" s="453"/>
      <c r="AL212" s="454"/>
      <c r="AM212" s="455"/>
      <c r="AN212" s="456"/>
      <c r="AO212" s="455"/>
      <c r="AP212" s="452"/>
      <c r="AQ212" s="457"/>
      <c r="AR212" s="449"/>
      <c r="AS212" s="449"/>
      <c r="AT212" s="452"/>
      <c r="AU212" s="457"/>
      <c r="AV212" s="449"/>
      <c r="AW212" s="458"/>
      <c r="AX212" s="452"/>
      <c r="AY212" s="457"/>
      <c r="AZ212" s="449"/>
      <c r="BA212" s="459"/>
      <c r="BB212" s="455"/>
      <c r="BC212" s="460"/>
      <c r="BD212" s="460"/>
      <c r="BG212" s="462"/>
    </row>
    <row r="213" spans="1:59" s="486" customFormat="1" ht="18" customHeight="1" x14ac:dyDescent="0.2">
      <c r="A213" s="461" t="str">
        <f t="shared" si="160"/>
        <v>MESS PEMDA KUANTAN SINGINGI2018</v>
      </c>
      <c r="B213" s="708"/>
      <c r="C213" s="463"/>
      <c r="D213" s="489" t="s">
        <v>1752</v>
      </c>
      <c r="E213" s="465"/>
      <c r="F213" s="466">
        <v>2018</v>
      </c>
      <c r="G213" s="620">
        <v>0</v>
      </c>
      <c r="H213" s="464">
        <f t="shared" si="161"/>
        <v>45</v>
      </c>
      <c r="I213" s="560"/>
      <c r="J213" s="468">
        <f t="shared" si="162"/>
        <v>2062</v>
      </c>
      <c r="K213" s="490">
        <f t="shared" si="163"/>
        <v>0</v>
      </c>
      <c r="L213" s="469">
        <f t="shared" si="164"/>
        <v>0</v>
      </c>
      <c r="M213" s="683">
        <f t="shared" si="165"/>
        <v>0</v>
      </c>
      <c r="N213" s="470">
        <f t="shared" si="166"/>
        <v>45</v>
      </c>
      <c r="O213" s="468">
        <f t="shared" si="167"/>
        <v>2062</v>
      </c>
      <c r="P213" s="471">
        <f t="shared" si="168"/>
        <v>3693114123.896955</v>
      </c>
      <c r="Q213" s="472">
        <f t="shared" si="169"/>
        <v>3693114123.896955</v>
      </c>
      <c r="R213" s="472">
        <f t="shared" si="170"/>
        <v>82069202.753265679</v>
      </c>
      <c r="S213" s="768">
        <f t="shared" si="171"/>
        <v>2018</v>
      </c>
      <c r="T213" s="470">
        <f t="shared" si="172"/>
        <v>1</v>
      </c>
      <c r="U213" s="612">
        <f t="shared" si="173"/>
        <v>82069202.753265679</v>
      </c>
      <c r="V213" s="464">
        <f t="shared" si="174"/>
        <v>2018</v>
      </c>
      <c r="W213" s="612">
        <f t="shared" si="175"/>
        <v>3611044921.1436892</v>
      </c>
      <c r="X213" s="473"/>
      <c r="Y213" s="474"/>
      <c r="Z213" s="449"/>
      <c r="AA213" s="475" t="s">
        <v>4180</v>
      </c>
      <c r="AB213" s="476"/>
      <c r="AC213" s="476"/>
      <c r="AD213" s="567">
        <f>G218</f>
        <v>4523417110.7070913</v>
      </c>
      <c r="AE213" s="476"/>
      <c r="AF213" s="568"/>
      <c r="AG213" s="476"/>
      <c r="AH213" s="476"/>
      <c r="AI213" s="477"/>
      <c r="AJ213" s="478"/>
      <c r="AK213" s="479"/>
      <c r="AL213" s="480"/>
      <c r="AM213" s="474"/>
      <c r="AN213" s="481"/>
      <c r="AO213" s="474"/>
      <c r="AP213" s="476"/>
      <c r="AQ213" s="482"/>
      <c r="AR213" s="478"/>
      <c r="AS213" s="478"/>
      <c r="AT213" s="476"/>
      <c r="AU213" s="482"/>
      <c r="AV213" s="478"/>
      <c r="AW213" s="483"/>
      <c r="AX213" s="476"/>
      <c r="AY213" s="482"/>
      <c r="AZ213" s="478"/>
      <c r="BA213" s="484"/>
      <c r="BB213" s="474"/>
      <c r="BC213" s="485"/>
      <c r="BD213" s="485"/>
      <c r="BG213" s="487"/>
    </row>
    <row r="214" spans="1:59" s="486" customFormat="1" ht="18" customHeight="1" x14ac:dyDescent="0.2">
      <c r="A214" s="461" t="str">
        <f t="shared" si="160"/>
        <v>MESS PEMDA KUANTAN SINGINGI2019</v>
      </c>
      <c r="B214" s="708"/>
      <c r="C214" s="488"/>
      <c r="D214" s="489"/>
      <c r="E214" s="465"/>
      <c r="F214" s="559">
        <v>2019</v>
      </c>
      <c r="G214" s="620">
        <v>0</v>
      </c>
      <c r="H214" s="464">
        <f>IF(N213-(F214-F213)&lt;=0,0,(N213-(F214-F213)))</f>
        <v>44</v>
      </c>
      <c r="I214" s="560"/>
      <c r="J214" s="468">
        <f>(F214+N214)-1</f>
        <v>2062</v>
      </c>
      <c r="K214" s="490">
        <f>IF(G214=0,0,IF(H214=50,100%,G214/W213))</f>
        <v>0</v>
      </c>
      <c r="L214" s="469">
        <f>IF(K214=0%,0,IF(K214&lt;=25%,5,IF(K214&lt;=50%,10,IF(K214&lt;=75%,15,50))))</f>
        <v>0</v>
      </c>
      <c r="M214" s="683">
        <f>IF(OR(AND(ISBLANK(E214),ISBLANK(G214)),ISTEXT(E214),ISTEXT(G214)),"",IF(H214+L214&gt;$H$27,$H$27-H214,L214))</f>
        <v>0</v>
      </c>
      <c r="N214" s="470">
        <f>IF(OR(AND(ISBLANK(F214),ISBLANK(G214)),ISTEXT(F214),ISTEXT(G214)),"",H214+M214)</f>
        <v>44</v>
      </c>
      <c r="O214" s="468">
        <f>(F214+N214)-1</f>
        <v>2062</v>
      </c>
      <c r="P214" s="471">
        <f>W213</f>
        <v>3611044921.1436892</v>
      </c>
      <c r="Q214" s="472">
        <f>P214+G214</f>
        <v>3611044921.1436892</v>
      </c>
      <c r="R214" s="472">
        <f>IF(L214=0,R213,Q214/N214)</f>
        <v>82069202.753265679</v>
      </c>
      <c r="S214" s="1189">
        <f>F214</f>
        <v>2019</v>
      </c>
      <c r="T214" s="470">
        <f>S214-S213</f>
        <v>1</v>
      </c>
      <c r="U214" s="612">
        <f>R214*T214</f>
        <v>82069202.753265679</v>
      </c>
      <c r="V214" s="464">
        <f>F214</f>
        <v>2019</v>
      </c>
      <c r="W214" s="612">
        <f>IF(OR(AND(ISBLANK(E214),ISBLANK(G214)),ISTEXT(E214),ISTEXT(G214)),"",Q214-U214)</f>
        <v>3528975718.3904233</v>
      </c>
      <c r="X214" s="473"/>
      <c r="Y214" s="478"/>
      <c r="Z214" s="449"/>
      <c r="AA214" s="475" t="s">
        <v>4181</v>
      </c>
      <c r="AB214" s="491"/>
      <c r="AC214" s="491"/>
      <c r="AD214" s="567">
        <f>U218</f>
        <v>994441392.3166666</v>
      </c>
      <c r="AE214" s="491"/>
      <c r="AF214" s="568"/>
      <c r="AG214" s="491"/>
      <c r="AH214" s="491"/>
      <c r="AI214" s="477"/>
      <c r="AJ214" s="478"/>
      <c r="AK214" s="479"/>
      <c r="AL214" s="480"/>
      <c r="AM214" s="474"/>
      <c r="AN214" s="481"/>
      <c r="AO214" s="474"/>
      <c r="AP214" s="476"/>
      <c r="AQ214" s="482"/>
      <c r="AR214" s="478"/>
      <c r="AS214" s="478"/>
      <c r="AT214" s="476"/>
      <c r="AU214" s="482"/>
      <c r="AV214" s="478"/>
      <c r="AW214" s="483"/>
      <c r="AX214" s="476"/>
      <c r="AY214" s="482"/>
      <c r="AZ214" s="478"/>
      <c r="BA214" s="484"/>
      <c r="BB214" s="474"/>
      <c r="BC214" s="485"/>
      <c r="BD214" s="485"/>
      <c r="BG214" s="487"/>
    </row>
    <row r="215" spans="1:59" s="486" customFormat="1" ht="18" customHeight="1" x14ac:dyDescent="0.2">
      <c r="B215" s="708"/>
      <c r="C215" s="463"/>
      <c r="D215" s="464"/>
      <c r="E215" s="465"/>
      <c r="F215" s="466"/>
      <c r="G215" s="620"/>
      <c r="H215" s="464"/>
      <c r="I215" s="467"/>
      <c r="J215" s="468"/>
      <c r="K215" s="490"/>
      <c r="L215" s="469"/>
      <c r="M215" s="683"/>
      <c r="N215" s="470"/>
      <c r="O215" s="468"/>
      <c r="P215" s="471"/>
      <c r="Q215" s="472"/>
      <c r="R215" s="472"/>
      <c r="S215" s="629"/>
      <c r="T215" s="470"/>
      <c r="U215" s="612"/>
      <c r="V215" s="464"/>
      <c r="W215" s="612"/>
      <c r="X215" s="473"/>
      <c r="Y215" s="478"/>
      <c r="Z215" s="449"/>
      <c r="AA215" s="492" t="s">
        <v>4182</v>
      </c>
      <c r="AB215" s="476"/>
      <c r="AC215" s="476"/>
      <c r="AD215" s="568">
        <f>AD213-AD214</f>
        <v>3528975718.3904247</v>
      </c>
      <c r="AE215" s="476"/>
      <c r="AF215" s="568"/>
      <c r="AG215" s="476"/>
      <c r="AH215" s="476"/>
      <c r="AI215" s="477"/>
      <c r="AJ215" s="478"/>
      <c r="AK215" s="479"/>
      <c r="AL215" s="480"/>
      <c r="AM215" s="474"/>
      <c r="AN215" s="481"/>
      <c r="AO215" s="474"/>
      <c r="AP215" s="476"/>
      <c r="AQ215" s="482"/>
      <c r="AR215" s="478"/>
      <c r="AS215" s="478"/>
      <c r="AT215" s="476"/>
      <c r="AU215" s="482"/>
      <c r="AV215" s="478"/>
      <c r="AW215" s="483"/>
      <c r="AX215" s="476"/>
      <c r="AY215" s="482"/>
      <c r="AZ215" s="478"/>
      <c r="BA215" s="484"/>
      <c r="BB215" s="474"/>
      <c r="BC215" s="485"/>
      <c r="BD215" s="485"/>
      <c r="BG215" s="487"/>
    </row>
    <row r="216" spans="1:59" s="486" customFormat="1" ht="18" customHeight="1" x14ac:dyDescent="0.2">
      <c r="B216" s="687"/>
      <c r="C216" s="463"/>
      <c r="D216" s="464"/>
      <c r="E216" s="465"/>
      <c r="F216" s="466"/>
      <c r="G216" s="620"/>
      <c r="H216" s="464"/>
      <c r="I216" s="467"/>
      <c r="J216" s="468"/>
      <c r="K216" s="490"/>
      <c r="L216" s="469"/>
      <c r="M216" s="683"/>
      <c r="N216" s="470"/>
      <c r="O216" s="468"/>
      <c r="P216" s="471"/>
      <c r="Q216" s="472"/>
      <c r="R216" s="472"/>
      <c r="S216" s="629"/>
      <c r="T216" s="470"/>
      <c r="U216" s="612"/>
      <c r="V216" s="464"/>
      <c r="W216" s="612"/>
      <c r="X216" s="473"/>
      <c r="Y216" s="478"/>
      <c r="Z216" s="449"/>
      <c r="AA216" s="475" t="s">
        <v>4183</v>
      </c>
      <c r="AB216" s="476"/>
      <c r="AC216" s="476"/>
      <c r="AD216" s="567">
        <f>AD215-W218</f>
        <v>0</v>
      </c>
      <c r="AE216" s="476"/>
      <c r="AF216" s="568"/>
      <c r="AG216" s="476"/>
      <c r="AH216" s="476"/>
      <c r="AI216" s="477"/>
      <c r="AJ216" s="478"/>
      <c r="AK216" s="479"/>
      <c r="AL216" s="480"/>
      <c r="AM216" s="474"/>
      <c r="AN216" s="481"/>
      <c r="AO216" s="474"/>
      <c r="AP216" s="476"/>
      <c r="AQ216" s="482"/>
      <c r="AR216" s="478"/>
      <c r="AS216" s="478"/>
      <c r="AT216" s="476"/>
      <c r="AU216" s="482"/>
      <c r="AV216" s="478"/>
      <c r="AW216" s="483"/>
      <c r="AX216" s="476"/>
      <c r="AY216" s="482"/>
      <c r="AZ216" s="478"/>
      <c r="BA216" s="484"/>
      <c r="BB216" s="474"/>
      <c r="BC216" s="485"/>
      <c r="BD216" s="485"/>
      <c r="BG216" s="487"/>
    </row>
    <row r="217" spans="1:59" s="486" customFormat="1" ht="18" customHeight="1" x14ac:dyDescent="0.2">
      <c r="B217" s="687"/>
      <c r="C217" s="494"/>
      <c r="D217" s="464"/>
      <c r="E217" s="465"/>
      <c r="F217" s="466"/>
      <c r="G217" s="620"/>
      <c r="H217" s="464"/>
      <c r="I217" s="467"/>
      <c r="J217" s="468"/>
      <c r="K217" s="490"/>
      <c r="L217" s="469"/>
      <c r="M217" s="683"/>
      <c r="N217" s="470"/>
      <c r="O217" s="468"/>
      <c r="P217" s="471"/>
      <c r="Q217" s="472"/>
      <c r="R217" s="472"/>
      <c r="S217" s="629"/>
      <c r="T217" s="470"/>
      <c r="U217" s="612"/>
      <c r="V217" s="464"/>
      <c r="W217" s="612"/>
      <c r="X217" s="473"/>
      <c r="Y217" s="478"/>
      <c r="Z217" s="449"/>
      <c r="AA217" s="495"/>
      <c r="AB217" s="496"/>
      <c r="AC217" s="496"/>
      <c r="AD217" s="569"/>
      <c r="AE217" s="476"/>
      <c r="AF217" s="568"/>
      <c r="AG217" s="476"/>
      <c r="AH217" s="476"/>
      <c r="AI217" s="477"/>
      <c r="AJ217" s="478"/>
      <c r="AK217" s="479"/>
      <c r="AL217" s="480"/>
      <c r="AM217" s="474"/>
      <c r="AN217" s="481"/>
      <c r="AO217" s="474"/>
      <c r="AP217" s="476"/>
      <c r="AQ217" s="482"/>
      <c r="AR217" s="478"/>
      <c r="AS217" s="478"/>
      <c r="AT217" s="476"/>
      <c r="AU217" s="482"/>
      <c r="AV217" s="478"/>
      <c r="AW217" s="483"/>
      <c r="AX217" s="476"/>
      <c r="AY217" s="482"/>
      <c r="AZ217" s="478"/>
      <c r="BA217" s="484"/>
      <c r="BB217" s="474"/>
      <c r="BC217" s="485"/>
      <c r="BD217" s="485"/>
      <c r="BG217" s="487"/>
    </row>
    <row r="218" spans="1:59" s="526" customFormat="1" ht="18" customHeight="1" x14ac:dyDescent="0.2">
      <c r="B218" s="1956" t="s">
        <v>4184</v>
      </c>
      <c r="C218" s="1957"/>
      <c r="D218" s="1957"/>
      <c r="E218" s="1957"/>
      <c r="F218" s="1958"/>
      <c r="G218" s="621">
        <f>SUM(G205:G217)</f>
        <v>4523417110.7070913</v>
      </c>
      <c r="H218" s="505"/>
      <c r="I218" s="506"/>
      <c r="J218" s="507"/>
      <c r="K218" s="507"/>
      <c r="L218" s="505"/>
      <c r="M218" s="684"/>
      <c r="N218" s="508"/>
      <c r="O218" s="507"/>
      <c r="P218" s="509"/>
      <c r="Q218" s="510"/>
      <c r="R218" s="511"/>
      <c r="S218" s="512"/>
      <c r="T218" s="512"/>
      <c r="U218" s="610">
        <f>SUM(U205:U217)</f>
        <v>994441392.3166666</v>
      </c>
      <c r="V218" s="513"/>
      <c r="W218" s="610">
        <f>G218-U218</f>
        <v>3528975718.3904247</v>
      </c>
      <c r="X218" s="514"/>
      <c r="Y218" s="515"/>
      <c r="Z218" s="515"/>
      <c r="AA218" s="515"/>
      <c r="AB218" s="515"/>
      <c r="AC218" s="515"/>
      <c r="AD218" s="570"/>
      <c r="AE218" s="515"/>
      <c r="AF218" s="570">
        <v>941594728.76601005</v>
      </c>
      <c r="AG218" s="515"/>
      <c r="AH218" s="515"/>
      <c r="AI218" s="516"/>
      <c r="AJ218" s="517"/>
      <c r="AK218" s="518"/>
      <c r="AL218" s="519"/>
      <c r="AM218" s="520"/>
      <c r="AN218" s="521"/>
      <c r="AO218" s="520"/>
      <c r="AP218" s="515"/>
      <c r="AQ218" s="522"/>
      <c r="AR218" s="517"/>
      <c r="AS218" s="517"/>
      <c r="AT218" s="515"/>
      <c r="AU218" s="522"/>
      <c r="AV218" s="517"/>
      <c r="AW218" s="523"/>
      <c r="AX218" s="515"/>
      <c r="AY218" s="522"/>
      <c r="AZ218" s="517"/>
      <c r="BA218" s="524"/>
      <c r="BB218" s="520"/>
      <c r="BC218" s="525"/>
      <c r="BD218" s="525"/>
      <c r="BG218" s="527"/>
    </row>
    <row r="219" spans="1:59" s="526" customFormat="1" ht="18" customHeight="1" x14ac:dyDescent="0.2">
      <c r="B219" s="741"/>
      <c r="C219" s="697"/>
      <c r="D219" s="697"/>
      <c r="E219" s="697"/>
      <c r="F219" s="585"/>
      <c r="G219" s="622"/>
      <c r="H219" s="586"/>
      <c r="I219" s="587"/>
      <c r="J219" s="588"/>
      <c r="K219" s="588"/>
      <c r="L219" s="586"/>
      <c r="M219" s="521"/>
      <c r="N219" s="589"/>
      <c r="O219" s="588"/>
      <c r="P219" s="590"/>
      <c r="Q219" s="591"/>
      <c r="R219" s="592"/>
      <c r="S219" s="593"/>
      <c r="T219" s="593"/>
      <c r="U219" s="570"/>
      <c r="V219" s="594"/>
      <c r="W219" s="570"/>
      <c r="X219" s="515"/>
      <c r="Y219" s="515"/>
      <c r="Z219" s="515"/>
      <c r="AA219" s="515"/>
      <c r="AB219" s="515"/>
      <c r="AC219" s="515"/>
      <c r="AD219" s="570"/>
      <c r="AE219" s="515"/>
      <c r="AF219" s="570"/>
      <c r="AG219" s="515"/>
      <c r="AH219" s="515"/>
      <c r="AI219" s="516"/>
      <c r="AJ219" s="517"/>
      <c r="AK219" s="518"/>
      <c r="AL219" s="519"/>
      <c r="AM219" s="520"/>
      <c r="AN219" s="521"/>
      <c r="AO219" s="520"/>
      <c r="AP219" s="515"/>
      <c r="AQ219" s="522"/>
      <c r="AR219" s="517"/>
      <c r="AS219" s="517"/>
      <c r="AT219" s="515"/>
      <c r="AU219" s="522"/>
      <c r="AV219" s="517"/>
      <c r="AW219" s="523"/>
      <c r="AX219" s="515"/>
      <c r="AY219" s="522"/>
      <c r="AZ219" s="517"/>
      <c r="BA219" s="524"/>
      <c r="BB219" s="520"/>
      <c r="BC219" s="525"/>
      <c r="BD219" s="525"/>
      <c r="BG219" s="527"/>
    </row>
    <row r="220" spans="1:59" s="526" customFormat="1" ht="18" customHeight="1" x14ac:dyDescent="0.2">
      <c r="B220" s="742"/>
      <c r="C220" s="696"/>
      <c r="D220" s="696"/>
      <c r="E220" s="696"/>
      <c r="F220" s="585"/>
      <c r="G220" s="622"/>
      <c r="H220" s="586"/>
      <c r="I220" s="587"/>
      <c r="J220" s="588"/>
      <c r="K220" s="588"/>
      <c r="L220" s="586"/>
      <c r="M220" s="521"/>
      <c r="N220" s="589"/>
      <c r="O220" s="588"/>
      <c r="P220" s="590"/>
      <c r="Q220" s="591"/>
      <c r="R220" s="592"/>
      <c r="S220" s="593"/>
      <c r="T220" s="593"/>
      <c r="U220" s="570"/>
      <c r="V220" s="594"/>
      <c r="W220" s="570"/>
      <c r="X220" s="515"/>
      <c r="Y220" s="515"/>
      <c r="Z220" s="515"/>
      <c r="AA220" s="515"/>
      <c r="AB220" s="515"/>
      <c r="AC220" s="515"/>
      <c r="AD220" s="570"/>
      <c r="AE220" s="515"/>
      <c r="AF220" s="570"/>
      <c r="AG220" s="515"/>
      <c r="AH220" s="515"/>
      <c r="AI220" s="516"/>
      <c r="AJ220" s="517"/>
      <c r="AK220" s="518"/>
      <c r="AL220" s="519"/>
      <c r="AM220" s="520"/>
      <c r="AN220" s="521"/>
      <c r="AO220" s="520"/>
      <c r="AP220" s="515"/>
      <c r="AQ220" s="522"/>
      <c r="AR220" s="517"/>
      <c r="AS220" s="517"/>
      <c r="AT220" s="515"/>
      <c r="AU220" s="522"/>
      <c r="AV220" s="517"/>
      <c r="AW220" s="523"/>
      <c r="AX220" s="515"/>
      <c r="AY220" s="522"/>
      <c r="AZ220" s="517"/>
      <c r="BA220" s="524"/>
      <c r="BB220" s="520"/>
      <c r="BC220" s="525"/>
      <c r="BD220" s="525"/>
      <c r="BG220" s="527"/>
    </row>
    <row r="221" spans="1:59" s="422" customFormat="1" ht="18" customHeight="1" x14ac:dyDescent="0.2">
      <c r="B221" s="688" t="s">
        <v>4215</v>
      </c>
      <c r="C221" s="556"/>
      <c r="D221" s="553" t="s">
        <v>3000</v>
      </c>
      <c r="E221" s="553"/>
      <c r="F221" s="421"/>
      <c r="G221" s="611"/>
      <c r="I221" s="423"/>
      <c r="J221" s="424"/>
      <c r="K221" s="424"/>
      <c r="M221" s="680"/>
      <c r="U221" s="611"/>
      <c r="W221" s="611"/>
      <c r="Y221" s="425"/>
      <c r="Z221" s="425"/>
      <c r="AA221" s="425"/>
      <c r="AB221" s="425"/>
      <c r="AC221" s="425"/>
      <c r="AD221" s="563"/>
      <c r="AE221" s="425"/>
      <c r="AF221" s="563"/>
      <c r="AG221" s="425"/>
      <c r="AH221" s="425"/>
      <c r="AI221" s="425"/>
      <c r="AJ221" s="425"/>
      <c r="AK221" s="425"/>
      <c r="AL221" s="425"/>
      <c r="AM221" s="425"/>
      <c r="AN221" s="425"/>
      <c r="AO221" s="425"/>
      <c r="AP221" s="425"/>
      <c r="AQ221" s="425"/>
      <c r="AR221" s="425"/>
      <c r="AS221" s="425"/>
      <c r="AT221" s="425"/>
      <c r="AU221" s="425"/>
      <c r="AV221" s="425"/>
      <c r="AW221" s="425"/>
      <c r="AX221" s="425"/>
      <c r="AY221" s="425"/>
      <c r="AZ221" s="425"/>
      <c r="BA221" s="425"/>
      <c r="BB221" s="425"/>
    </row>
    <row r="222" spans="1:59" s="431" customFormat="1" ht="18" customHeight="1" x14ac:dyDescent="0.2">
      <c r="B222" s="1968" t="s">
        <v>5</v>
      </c>
      <c r="C222" s="1968" t="s">
        <v>2280</v>
      </c>
      <c r="D222" s="1968" t="s">
        <v>4157</v>
      </c>
      <c r="E222" s="1968" t="s">
        <v>4158</v>
      </c>
      <c r="F222" s="1968"/>
      <c r="G222" s="1969" t="s">
        <v>4159</v>
      </c>
      <c r="H222" s="1355" t="s">
        <v>4160</v>
      </c>
      <c r="I222" s="1355"/>
      <c r="J222" s="1968" t="s">
        <v>4161</v>
      </c>
      <c r="K222" s="1964" t="s">
        <v>4162</v>
      </c>
      <c r="L222" s="1968" t="s">
        <v>4163</v>
      </c>
      <c r="M222" s="1971" t="s">
        <v>4164</v>
      </c>
      <c r="N222" s="1962" t="s">
        <v>4165</v>
      </c>
      <c r="O222" s="1968" t="s">
        <v>4166</v>
      </c>
      <c r="P222" s="1972" t="s">
        <v>4167</v>
      </c>
      <c r="Q222" s="1973"/>
      <c r="R222" s="631" t="s">
        <v>4168</v>
      </c>
      <c r="S222" s="1972" t="s">
        <v>4169</v>
      </c>
      <c r="T222" s="1974"/>
      <c r="U222" s="1973"/>
      <c r="V222" s="1975" t="s">
        <v>4170</v>
      </c>
      <c r="W222" s="1975"/>
      <c r="X222" s="1960" t="s">
        <v>4171</v>
      </c>
      <c r="Y222" s="1959"/>
      <c r="Z222" s="628"/>
      <c r="AA222" s="426"/>
      <c r="AB222" s="426"/>
      <c r="AC222" s="426"/>
      <c r="AD222" s="564"/>
      <c r="AE222" s="426"/>
      <c r="AF222" s="564"/>
      <c r="AG222" s="426"/>
      <c r="AH222" s="426"/>
      <c r="AI222" s="427"/>
      <c r="AJ222" s="427"/>
      <c r="AK222" s="427"/>
      <c r="AL222" s="427"/>
      <c r="AM222" s="428"/>
      <c r="AN222" s="427"/>
      <c r="AO222" s="427"/>
      <c r="AP222" s="426"/>
      <c r="AQ222" s="427"/>
      <c r="AR222" s="427"/>
      <c r="AS222" s="427"/>
      <c r="AT222" s="426"/>
      <c r="AU222" s="427"/>
      <c r="AV222" s="427"/>
      <c r="AW222" s="427"/>
      <c r="AX222" s="426"/>
      <c r="AY222" s="427"/>
      <c r="AZ222" s="427"/>
      <c r="BA222" s="427"/>
      <c r="BB222" s="429"/>
      <c r="BC222" s="430"/>
      <c r="BD222" s="430"/>
    </row>
    <row r="223" spans="1:59" s="431" customFormat="1" ht="18" customHeight="1" x14ac:dyDescent="0.2">
      <c r="B223" s="1968"/>
      <c r="C223" s="1968"/>
      <c r="D223" s="1968"/>
      <c r="E223" s="1968"/>
      <c r="F223" s="1968"/>
      <c r="G223" s="1969"/>
      <c r="H223" s="1355"/>
      <c r="I223" s="1355"/>
      <c r="J223" s="1968"/>
      <c r="K223" s="1970"/>
      <c r="L223" s="1968"/>
      <c r="M223" s="1971"/>
      <c r="N223" s="1963"/>
      <c r="O223" s="1968"/>
      <c r="P223" s="1960" t="s">
        <v>4172</v>
      </c>
      <c r="Q223" s="1960" t="s">
        <v>4173</v>
      </c>
      <c r="R223" s="1962" t="s">
        <v>4159</v>
      </c>
      <c r="S223" s="1962" t="s">
        <v>4174</v>
      </c>
      <c r="T223" s="1964" t="s">
        <v>4175</v>
      </c>
      <c r="U223" s="1966" t="s">
        <v>4159</v>
      </c>
      <c r="V223" s="1975"/>
      <c r="W223" s="1975"/>
      <c r="X223" s="1976"/>
      <c r="Y223" s="1959"/>
      <c r="Z223" s="628"/>
      <c r="AA223" s="426"/>
      <c r="AB223" s="426"/>
      <c r="AC223" s="426"/>
      <c r="AD223" s="564"/>
      <c r="AE223" s="426"/>
      <c r="AF223" s="564"/>
      <c r="AG223" s="426"/>
      <c r="AH223" s="426"/>
      <c r="AI223" s="427"/>
      <c r="AJ223" s="427"/>
      <c r="AK223" s="426"/>
      <c r="AL223" s="427"/>
      <c r="AM223" s="428"/>
      <c r="AN223" s="427"/>
      <c r="AO223" s="427"/>
      <c r="AP223" s="432"/>
      <c r="AQ223" s="427"/>
      <c r="AR223" s="427"/>
      <c r="AS223" s="427"/>
      <c r="AT223" s="432"/>
      <c r="AU223" s="427"/>
      <c r="AV223" s="427"/>
      <c r="AW223" s="427"/>
      <c r="AX223" s="432"/>
      <c r="AY223" s="427"/>
      <c r="AZ223" s="427"/>
      <c r="BA223" s="427"/>
      <c r="BB223" s="429"/>
      <c r="BC223" s="430"/>
      <c r="BD223" s="430"/>
    </row>
    <row r="224" spans="1:59" s="431" customFormat="1" ht="21.75" customHeight="1" x14ac:dyDescent="0.2">
      <c r="B224" s="1968"/>
      <c r="C224" s="1968"/>
      <c r="D224" s="1968"/>
      <c r="E224" s="433" t="s">
        <v>4176</v>
      </c>
      <c r="F224" s="434" t="s">
        <v>2288</v>
      </c>
      <c r="G224" s="1969"/>
      <c r="H224" s="1355" t="s">
        <v>2288</v>
      </c>
      <c r="I224" s="1355" t="s">
        <v>4177</v>
      </c>
      <c r="J224" s="1968"/>
      <c r="K224" s="1965"/>
      <c r="L224" s="435" t="s">
        <v>2288</v>
      </c>
      <c r="M224" s="681" t="s">
        <v>2288</v>
      </c>
      <c r="N224" s="630" t="s">
        <v>2288</v>
      </c>
      <c r="O224" s="1968"/>
      <c r="P224" s="1961"/>
      <c r="Q224" s="1961"/>
      <c r="R224" s="1963"/>
      <c r="S224" s="1963"/>
      <c r="T224" s="1965"/>
      <c r="U224" s="1967"/>
      <c r="V224" s="630" t="s">
        <v>4178</v>
      </c>
      <c r="W224" s="632" t="s">
        <v>4159</v>
      </c>
      <c r="X224" s="1961"/>
      <c r="Y224" s="436"/>
      <c r="Z224" s="436"/>
      <c r="AA224" s="426"/>
      <c r="AB224" s="426"/>
      <c r="AC224" s="426"/>
      <c r="AD224" s="564"/>
      <c r="AE224" s="426"/>
      <c r="AF224" s="564"/>
      <c r="AG224" s="426"/>
      <c r="AH224" s="426"/>
      <c r="AI224" s="427"/>
      <c r="AJ224" s="432"/>
      <c r="AK224" s="432"/>
      <c r="AL224" s="427"/>
      <c r="AM224" s="428"/>
      <c r="AN224" s="432"/>
      <c r="AO224" s="427"/>
      <c r="AP224" s="432"/>
      <c r="AQ224" s="432"/>
      <c r="AR224" s="427"/>
      <c r="AS224" s="427"/>
      <c r="AT224" s="432"/>
      <c r="AU224" s="432"/>
      <c r="AV224" s="427"/>
      <c r="AW224" s="427"/>
      <c r="AX224" s="432"/>
      <c r="AY224" s="432"/>
      <c r="AZ224" s="427"/>
      <c r="BA224" s="427"/>
      <c r="BB224" s="429"/>
      <c r="BC224" s="430"/>
      <c r="BD224" s="430"/>
    </row>
    <row r="225" spans="1:59" s="461" customFormat="1" ht="18" customHeight="1" x14ac:dyDescent="0.2">
      <c r="A225" s="461" t="str">
        <f>$D$221&amp;S225</f>
        <v>GEDUNG KANTOR KORAMIL2008</v>
      </c>
      <c r="B225" s="689">
        <v>1</v>
      </c>
      <c r="C225" s="597" t="s">
        <v>4213</v>
      </c>
      <c r="D225" s="597" t="s">
        <v>1752</v>
      </c>
      <c r="E225" s="598"/>
      <c r="F225" s="599">
        <v>2008</v>
      </c>
      <c r="G225" s="626">
        <v>418917010.306306</v>
      </c>
      <c r="H225" s="600">
        <f>VLOOKUP(LEFT(D225,8),UE,4)</f>
        <v>50</v>
      </c>
      <c r="I225" s="601"/>
      <c r="J225" s="602">
        <f>(F225+N225)-1</f>
        <v>2057</v>
      </c>
      <c r="K225" s="603"/>
      <c r="L225" s="600"/>
      <c r="M225" s="685">
        <f>IF(H225+L225&gt;$H225,$H225-H225,L225)</f>
        <v>0</v>
      </c>
      <c r="N225" s="604">
        <f>H225+M225</f>
        <v>50</v>
      </c>
      <c r="O225" s="602">
        <f>(F225+N225)-1</f>
        <v>2057</v>
      </c>
      <c r="P225" s="605">
        <f>G225</f>
        <v>418917010.306306</v>
      </c>
      <c r="Q225" s="606">
        <v>0</v>
      </c>
      <c r="R225" s="606">
        <f>P225/N225</f>
        <v>8378340.2061261199</v>
      </c>
      <c r="S225" s="607">
        <f>F225</f>
        <v>2008</v>
      </c>
      <c r="T225" s="608">
        <v>1</v>
      </c>
      <c r="U225" s="615">
        <f>R225*T225</f>
        <v>8378340.2061261199</v>
      </c>
      <c r="V225" s="602">
        <f>F225</f>
        <v>2008</v>
      </c>
      <c r="W225" s="618">
        <f>IF(OR(AND(ISBLANK(E225),ISBLANK(G225)),ISTEXT(E225),ISTEXT(G225)),"",G225-R225)</f>
        <v>410538670.10017991</v>
      </c>
      <c r="X225" s="609"/>
      <c r="Y225" s="449"/>
      <c r="Z225" s="449"/>
      <c r="AA225" s="694"/>
      <c r="AB225" s="692"/>
      <c r="AC225" s="692"/>
      <c r="AD225" s="695"/>
      <c r="AE225" s="452"/>
      <c r="AF225" s="571"/>
      <c r="AG225" s="452"/>
      <c r="AH225" s="452"/>
      <c r="AI225" s="453"/>
      <c r="AJ225" s="449"/>
      <c r="AK225" s="453"/>
      <c r="AL225" s="454"/>
      <c r="AM225" s="455"/>
      <c r="AN225" s="456"/>
      <c r="AO225" s="455"/>
      <c r="AP225" s="452"/>
      <c r="AQ225" s="457"/>
      <c r="AR225" s="449"/>
      <c r="AS225" s="449"/>
      <c r="AT225" s="452"/>
      <c r="AU225" s="457"/>
      <c r="AV225" s="449"/>
      <c r="AW225" s="458"/>
      <c r="AX225" s="452"/>
      <c r="AY225" s="457"/>
      <c r="AZ225" s="449"/>
      <c r="BA225" s="459"/>
      <c r="BB225" s="455"/>
      <c r="BC225" s="460"/>
      <c r="BD225" s="460"/>
      <c r="BG225" s="462"/>
    </row>
    <row r="226" spans="1:59" s="461" customFormat="1" ht="18" customHeight="1" x14ac:dyDescent="0.2">
      <c r="A226" s="461" t="str">
        <f t="shared" ref="A226:A233" si="176">$D$221&amp;S226</f>
        <v>GEDUNG KANTOR KORAMIL2012</v>
      </c>
      <c r="B226" s="708"/>
      <c r="C226" s="489"/>
      <c r="D226" s="489"/>
      <c r="E226" s="558"/>
      <c r="F226" s="559">
        <v>2012</v>
      </c>
      <c r="G226" s="619">
        <v>0</v>
      </c>
      <c r="H226" s="464">
        <f>IF(N225-(F226-F225)&lt;=0,0,(N225-(F226-F225)))</f>
        <v>46</v>
      </c>
      <c r="I226" s="560"/>
      <c r="J226" s="468">
        <f>(F226+N226)-1</f>
        <v>2057</v>
      </c>
      <c r="K226" s="490">
        <f>IF(G226=0,0,IF(H226=50,100%,G226/W225))</f>
        <v>0</v>
      </c>
      <c r="L226" s="469">
        <f>IF(K226=0%,0,IF(K226&lt;=25%,5,IF(K226&lt;=50%,10,IF(K226&lt;=75%,15,50))))</f>
        <v>0</v>
      </c>
      <c r="M226" s="683">
        <f>IF(OR(AND(ISBLANK(E226),ISBLANK(G226)),ISTEXT(E226),ISTEXT(G226)),"",IF(H226+L226&gt;$H$27,$H$27-H226,L226))</f>
        <v>0</v>
      </c>
      <c r="N226" s="470">
        <f>IF(OR(AND(ISBLANK(F226),ISBLANK(G226)),ISTEXT(F226),ISTEXT(G226)),"",H226+M226)</f>
        <v>46</v>
      </c>
      <c r="O226" s="468">
        <f>(F226+N226)-1</f>
        <v>2057</v>
      </c>
      <c r="P226" s="471">
        <f>W225</f>
        <v>410538670.10017991</v>
      </c>
      <c r="Q226" s="472">
        <f>P226+G226</f>
        <v>410538670.10017991</v>
      </c>
      <c r="R226" s="472">
        <f>IF(L226=0,R225,Q226/N226)</f>
        <v>8378340.2061261199</v>
      </c>
      <c r="S226" s="768">
        <f>F226</f>
        <v>2012</v>
      </c>
      <c r="T226" s="470">
        <f>S226-S225</f>
        <v>4</v>
      </c>
      <c r="U226" s="612">
        <f>R226*T226</f>
        <v>33513360.82450448</v>
      </c>
      <c r="V226" s="464">
        <f>F226</f>
        <v>2012</v>
      </c>
      <c r="W226" s="612">
        <f>IF(OR(AND(ISBLANK(E226),ISBLANK(G226)),ISTEXT(E226),ISTEXT(G226)),"",Q226-U226)</f>
        <v>377025309.27567542</v>
      </c>
      <c r="X226" s="561"/>
      <c r="Y226" s="449"/>
      <c r="Z226" s="449"/>
      <c r="AA226" s="693"/>
      <c r="AB226" s="452"/>
      <c r="AC226" s="452"/>
      <c r="AD226" s="571"/>
      <c r="AE226" s="452"/>
      <c r="AF226" s="571"/>
      <c r="AG226" s="452"/>
      <c r="AH226" s="452"/>
      <c r="AI226" s="453"/>
      <c r="AJ226" s="449"/>
      <c r="AK226" s="453"/>
      <c r="AL226" s="454"/>
      <c r="AM226" s="455"/>
      <c r="AN226" s="456"/>
      <c r="AO226" s="455"/>
      <c r="AP226" s="452"/>
      <c r="AQ226" s="457"/>
      <c r="AR226" s="449"/>
      <c r="AS226" s="449"/>
      <c r="AT226" s="452"/>
      <c r="AU226" s="457"/>
      <c r="AV226" s="449"/>
      <c r="AW226" s="458"/>
      <c r="AX226" s="452"/>
      <c r="AY226" s="457"/>
      <c r="AZ226" s="449"/>
      <c r="BA226" s="459"/>
      <c r="BB226" s="455"/>
      <c r="BC226" s="460"/>
      <c r="BD226" s="460"/>
      <c r="BG226" s="462"/>
    </row>
    <row r="227" spans="1:59" s="461" customFormat="1" ht="18" customHeight="1" x14ac:dyDescent="0.2">
      <c r="A227" s="461" t="str">
        <f t="shared" si="176"/>
        <v>GEDUNG KANTOR KORAMIL2013</v>
      </c>
      <c r="B227" s="708">
        <v>2</v>
      </c>
      <c r="C227" s="489" t="s">
        <v>4214</v>
      </c>
      <c r="D227" s="489" t="s">
        <v>1752</v>
      </c>
      <c r="E227" s="558"/>
      <c r="F227" s="559">
        <v>2013</v>
      </c>
      <c r="G227" s="619">
        <f>199428000+458377000</f>
        <v>657805000</v>
      </c>
      <c r="H227" s="464">
        <f t="shared" ref="H227:H232" si="177">IF(N226-(F227-F226)&lt;=0,0,(N226-(F227-F226)))</f>
        <v>45</v>
      </c>
      <c r="I227" s="560"/>
      <c r="J227" s="468">
        <f t="shared" ref="J227:J232" si="178">(F227+N227)-1</f>
        <v>2062</v>
      </c>
      <c r="K227" s="490">
        <f t="shared" ref="K227:K232" si="179">IF(G227=0,0,IF(H227=50,100%,G227/W226))</f>
        <v>1.7447237196456289</v>
      </c>
      <c r="L227" s="469">
        <f t="shared" ref="L227:L232" si="180">IF(K227=0%,0,IF(K227&lt;=25%,5,IF(K227&lt;=50%,10,IF(K227&lt;=75%,15,50))))</f>
        <v>50</v>
      </c>
      <c r="M227" s="683">
        <f t="shared" ref="M227:M232" si="181">IF(OR(AND(ISBLANK(E227),ISBLANK(G227)),ISTEXT(E227),ISTEXT(G227)),"",IF(H227+L227&gt;$H$27,$H$27-H227,L227))</f>
        <v>5</v>
      </c>
      <c r="N227" s="470">
        <f t="shared" ref="N227:N232" si="182">IF(OR(AND(ISBLANK(F227),ISBLANK(G227)),ISTEXT(F227),ISTEXT(G227)),"",H227+M227)</f>
        <v>50</v>
      </c>
      <c r="O227" s="468">
        <f t="shared" ref="O227:O232" si="183">(F227+N227)-1</f>
        <v>2062</v>
      </c>
      <c r="P227" s="471">
        <f t="shared" ref="P227:P232" si="184">W226</f>
        <v>377025309.27567542</v>
      </c>
      <c r="Q227" s="472">
        <f t="shared" ref="Q227:Q232" si="185">P227+G227</f>
        <v>1034830309.2756754</v>
      </c>
      <c r="R227" s="472">
        <f t="shared" ref="R227:R232" si="186">IF(L227=0,R226,Q227/N227)</f>
        <v>20696606.185513508</v>
      </c>
      <c r="S227" s="768">
        <f t="shared" ref="S227:S232" si="187">F227</f>
        <v>2013</v>
      </c>
      <c r="T227" s="470">
        <f t="shared" ref="T227:T232" si="188">S227-S226</f>
        <v>1</v>
      </c>
      <c r="U227" s="612">
        <f t="shared" ref="U227:U232" si="189">R227*T227</f>
        <v>20696606.185513508</v>
      </c>
      <c r="V227" s="464">
        <f t="shared" ref="V227:V232" si="190">F227</f>
        <v>2013</v>
      </c>
      <c r="W227" s="612">
        <f t="shared" ref="W227:W232" si="191">IF(OR(AND(ISBLANK(E227),ISBLANK(G227)),ISTEXT(E227),ISTEXT(G227)),"",Q227-U227)</f>
        <v>1014133703.0901619</v>
      </c>
      <c r="X227" s="561"/>
      <c r="Y227" s="449"/>
      <c r="Z227" s="449"/>
      <c r="AA227" s="554" t="s">
        <v>4179</v>
      </c>
      <c r="AB227" s="452"/>
      <c r="AC227" s="452"/>
      <c r="AD227" s="566"/>
      <c r="AE227" s="452"/>
      <c r="AF227" s="571"/>
      <c r="AG227" s="452"/>
      <c r="AH227" s="452"/>
      <c r="AI227" s="453"/>
      <c r="AJ227" s="449"/>
      <c r="AK227" s="453"/>
      <c r="AL227" s="454"/>
      <c r="AM227" s="455"/>
      <c r="AN227" s="456"/>
      <c r="AO227" s="455"/>
      <c r="AP227" s="452"/>
      <c r="AQ227" s="457"/>
      <c r="AR227" s="449"/>
      <c r="AS227" s="449"/>
      <c r="AT227" s="452"/>
      <c r="AU227" s="457"/>
      <c r="AV227" s="449"/>
      <c r="AW227" s="458"/>
      <c r="AX227" s="452"/>
      <c r="AY227" s="457"/>
      <c r="AZ227" s="449"/>
      <c r="BA227" s="459"/>
      <c r="BB227" s="455"/>
      <c r="BC227" s="460"/>
      <c r="BD227" s="460"/>
      <c r="BG227" s="462"/>
    </row>
    <row r="228" spans="1:59" s="461" customFormat="1" ht="18" customHeight="1" x14ac:dyDescent="0.2">
      <c r="A228" s="461" t="str">
        <f t="shared" si="176"/>
        <v>GEDUNG KANTOR KORAMIL2014</v>
      </c>
      <c r="B228" s="708"/>
      <c r="C228" s="489"/>
      <c r="D228" s="489" t="s">
        <v>1752</v>
      </c>
      <c r="E228" s="558"/>
      <c r="F228" s="559">
        <v>2014</v>
      </c>
      <c r="G228" s="619">
        <v>0</v>
      </c>
      <c r="H228" s="464">
        <f t="shared" si="177"/>
        <v>49</v>
      </c>
      <c r="I228" s="560"/>
      <c r="J228" s="468">
        <f t="shared" si="178"/>
        <v>2062</v>
      </c>
      <c r="K228" s="490">
        <f t="shared" si="179"/>
        <v>0</v>
      </c>
      <c r="L228" s="469">
        <f t="shared" si="180"/>
        <v>0</v>
      </c>
      <c r="M228" s="683">
        <f t="shared" si="181"/>
        <v>0</v>
      </c>
      <c r="N228" s="470">
        <f t="shared" si="182"/>
        <v>49</v>
      </c>
      <c r="O228" s="468">
        <f t="shared" si="183"/>
        <v>2062</v>
      </c>
      <c r="P228" s="471">
        <f t="shared" si="184"/>
        <v>1014133703.0901619</v>
      </c>
      <c r="Q228" s="472">
        <f t="shared" si="185"/>
        <v>1014133703.0901619</v>
      </c>
      <c r="R228" s="472">
        <f t="shared" si="186"/>
        <v>20696606.185513508</v>
      </c>
      <c r="S228" s="768">
        <f t="shared" si="187"/>
        <v>2014</v>
      </c>
      <c r="T228" s="470">
        <f t="shared" si="188"/>
        <v>1</v>
      </c>
      <c r="U228" s="612">
        <f t="shared" si="189"/>
        <v>20696606.185513508</v>
      </c>
      <c r="V228" s="464">
        <f t="shared" si="190"/>
        <v>2014</v>
      </c>
      <c r="W228" s="612">
        <f t="shared" si="191"/>
        <v>993437096.90464842</v>
      </c>
      <c r="X228" s="561"/>
      <c r="Y228" s="449"/>
      <c r="Z228" s="449"/>
      <c r="AA228" s="554"/>
      <c r="AB228" s="452"/>
      <c r="AC228" s="452"/>
      <c r="AD228" s="566"/>
      <c r="AE228" s="452"/>
      <c r="AF228" s="571"/>
      <c r="AG228" s="452"/>
      <c r="AH228" s="452"/>
      <c r="AI228" s="453"/>
      <c r="AJ228" s="449"/>
      <c r="AK228" s="453"/>
      <c r="AL228" s="454"/>
      <c r="AM228" s="455"/>
      <c r="AN228" s="456"/>
      <c r="AO228" s="455"/>
      <c r="AP228" s="452"/>
      <c r="AQ228" s="457"/>
      <c r="AR228" s="449"/>
      <c r="AS228" s="449"/>
      <c r="AT228" s="452"/>
      <c r="AU228" s="457"/>
      <c r="AV228" s="449"/>
      <c r="AW228" s="458"/>
      <c r="AX228" s="452"/>
      <c r="AY228" s="457"/>
      <c r="AZ228" s="449"/>
      <c r="BA228" s="459"/>
      <c r="BB228" s="455"/>
      <c r="BC228" s="460"/>
      <c r="BD228" s="460"/>
      <c r="BG228" s="462"/>
    </row>
    <row r="229" spans="1:59" s="461" customFormat="1" ht="18" customHeight="1" x14ac:dyDescent="0.2">
      <c r="A229" s="461" t="str">
        <f t="shared" si="176"/>
        <v>GEDUNG KANTOR KORAMIL2015</v>
      </c>
      <c r="B229" s="708"/>
      <c r="C229" s="489"/>
      <c r="D229" s="489" t="s">
        <v>1752</v>
      </c>
      <c r="E229" s="558"/>
      <c r="F229" s="559">
        <v>2015</v>
      </c>
      <c r="G229" s="619">
        <v>0</v>
      </c>
      <c r="H229" s="464">
        <f t="shared" si="177"/>
        <v>48</v>
      </c>
      <c r="I229" s="560"/>
      <c r="J229" s="468">
        <f t="shared" si="178"/>
        <v>2062</v>
      </c>
      <c r="K229" s="490">
        <f t="shared" si="179"/>
        <v>0</v>
      </c>
      <c r="L229" s="469">
        <f t="shared" si="180"/>
        <v>0</v>
      </c>
      <c r="M229" s="683">
        <f t="shared" si="181"/>
        <v>0</v>
      </c>
      <c r="N229" s="470">
        <f t="shared" si="182"/>
        <v>48</v>
      </c>
      <c r="O229" s="468">
        <f t="shared" si="183"/>
        <v>2062</v>
      </c>
      <c r="P229" s="471">
        <f t="shared" si="184"/>
        <v>993437096.90464842</v>
      </c>
      <c r="Q229" s="472">
        <f t="shared" si="185"/>
        <v>993437096.90464842</v>
      </c>
      <c r="R229" s="472">
        <f t="shared" si="186"/>
        <v>20696606.185513508</v>
      </c>
      <c r="S229" s="768">
        <f t="shared" si="187"/>
        <v>2015</v>
      </c>
      <c r="T229" s="470">
        <f t="shared" si="188"/>
        <v>1</v>
      </c>
      <c r="U229" s="612">
        <f t="shared" si="189"/>
        <v>20696606.185513508</v>
      </c>
      <c r="V229" s="464">
        <f t="shared" si="190"/>
        <v>2015</v>
      </c>
      <c r="W229" s="612">
        <f t="shared" si="191"/>
        <v>972740490.71913493</v>
      </c>
      <c r="X229" s="561"/>
      <c r="Y229" s="449"/>
      <c r="Z229" s="449"/>
      <c r="AA229" s="475" t="s">
        <v>4180</v>
      </c>
      <c r="AB229" s="476"/>
      <c r="AC229" s="476"/>
      <c r="AD229" s="567">
        <f>G236</f>
        <v>1076722010.3063059</v>
      </c>
      <c r="AE229" s="452"/>
      <c r="AF229" s="571"/>
      <c r="AG229" s="452"/>
      <c r="AH229" s="452"/>
      <c r="AI229" s="453"/>
      <c r="AJ229" s="449"/>
      <c r="AK229" s="453"/>
      <c r="AL229" s="454"/>
      <c r="AM229" s="455"/>
      <c r="AN229" s="456"/>
      <c r="AO229" s="455"/>
      <c r="AP229" s="452"/>
      <c r="AQ229" s="457"/>
      <c r="AR229" s="449"/>
      <c r="AS229" s="449"/>
      <c r="AT229" s="452"/>
      <c r="AU229" s="457"/>
      <c r="AV229" s="449"/>
      <c r="AW229" s="458"/>
      <c r="AX229" s="452"/>
      <c r="AY229" s="457"/>
      <c r="AZ229" s="449"/>
      <c r="BA229" s="459"/>
      <c r="BB229" s="455"/>
      <c r="BC229" s="460"/>
      <c r="BD229" s="460"/>
      <c r="BG229" s="462"/>
    </row>
    <row r="230" spans="1:59" s="461" customFormat="1" ht="18" customHeight="1" x14ac:dyDescent="0.2">
      <c r="A230" s="461" t="str">
        <f t="shared" si="176"/>
        <v>GEDUNG KANTOR KORAMIL2016</v>
      </c>
      <c r="B230" s="708"/>
      <c r="C230" s="489"/>
      <c r="D230" s="489" t="s">
        <v>1752</v>
      </c>
      <c r="E230" s="558"/>
      <c r="F230" s="559">
        <v>2016</v>
      </c>
      <c r="G230" s="619">
        <v>0</v>
      </c>
      <c r="H230" s="464">
        <f t="shared" si="177"/>
        <v>47</v>
      </c>
      <c r="I230" s="560"/>
      <c r="J230" s="468">
        <f t="shared" si="178"/>
        <v>2062</v>
      </c>
      <c r="K230" s="490">
        <f t="shared" si="179"/>
        <v>0</v>
      </c>
      <c r="L230" s="469">
        <f t="shared" si="180"/>
        <v>0</v>
      </c>
      <c r="M230" s="683">
        <f t="shared" si="181"/>
        <v>0</v>
      </c>
      <c r="N230" s="470">
        <f t="shared" si="182"/>
        <v>47</v>
      </c>
      <c r="O230" s="468">
        <f t="shared" si="183"/>
        <v>2062</v>
      </c>
      <c r="P230" s="471">
        <f t="shared" si="184"/>
        <v>972740490.71913493</v>
      </c>
      <c r="Q230" s="472">
        <f t="shared" si="185"/>
        <v>972740490.71913493</v>
      </c>
      <c r="R230" s="472">
        <f t="shared" si="186"/>
        <v>20696606.185513508</v>
      </c>
      <c r="S230" s="768">
        <f t="shared" si="187"/>
        <v>2016</v>
      </c>
      <c r="T230" s="470">
        <f t="shared" si="188"/>
        <v>1</v>
      </c>
      <c r="U230" s="612">
        <f t="shared" si="189"/>
        <v>20696606.185513508</v>
      </c>
      <c r="V230" s="464">
        <f t="shared" si="190"/>
        <v>2016</v>
      </c>
      <c r="W230" s="612">
        <f t="shared" si="191"/>
        <v>952043884.53362143</v>
      </c>
      <c r="X230" s="561"/>
      <c r="Y230" s="449"/>
      <c r="Z230" s="449"/>
      <c r="AA230" s="475" t="s">
        <v>4181</v>
      </c>
      <c r="AB230" s="491"/>
      <c r="AC230" s="491"/>
      <c r="AD230" s="567">
        <f>U236</f>
        <v>186767944.32922515</v>
      </c>
      <c r="AE230" s="452"/>
      <c r="AF230" s="571"/>
      <c r="AG230" s="452"/>
      <c r="AH230" s="452"/>
      <c r="AI230" s="453"/>
      <c r="AJ230" s="449"/>
      <c r="AK230" s="453"/>
      <c r="AL230" s="454"/>
      <c r="AM230" s="455"/>
      <c r="AN230" s="456"/>
      <c r="AO230" s="455"/>
      <c r="AP230" s="452"/>
      <c r="AQ230" s="457"/>
      <c r="AR230" s="449"/>
      <c r="AS230" s="449"/>
      <c r="AT230" s="452"/>
      <c r="AU230" s="457"/>
      <c r="AV230" s="449"/>
      <c r="AW230" s="458"/>
      <c r="AX230" s="452"/>
      <c r="AY230" s="457"/>
      <c r="AZ230" s="449"/>
      <c r="BA230" s="459"/>
      <c r="BB230" s="455"/>
      <c r="BC230" s="460"/>
      <c r="BD230" s="460"/>
      <c r="BG230" s="462"/>
    </row>
    <row r="231" spans="1:59" s="461" customFormat="1" ht="18" customHeight="1" x14ac:dyDescent="0.2">
      <c r="A231" s="461" t="str">
        <f t="shared" si="176"/>
        <v>GEDUNG KANTOR KORAMIL2017</v>
      </c>
      <c r="B231" s="708"/>
      <c r="C231" s="489"/>
      <c r="D231" s="489" t="s">
        <v>1752</v>
      </c>
      <c r="E231" s="558"/>
      <c r="F231" s="559">
        <v>2017</v>
      </c>
      <c r="G231" s="619">
        <v>0</v>
      </c>
      <c r="H231" s="464">
        <f t="shared" si="177"/>
        <v>46</v>
      </c>
      <c r="I231" s="560"/>
      <c r="J231" s="468">
        <f t="shared" si="178"/>
        <v>2062</v>
      </c>
      <c r="K231" s="490">
        <f t="shared" si="179"/>
        <v>0</v>
      </c>
      <c r="L231" s="469">
        <f t="shared" si="180"/>
        <v>0</v>
      </c>
      <c r="M231" s="683">
        <f t="shared" si="181"/>
        <v>0</v>
      </c>
      <c r="N231" s="470">
        <f t="shared" si="182"/>
        <v>46</v>
      </c>
      <c r="O231" s="468">
        <f t="shared" si="183"/>
        <v>2062</v>
      </c>
      <c r="P231" s="471">
        <f t="shared" si="184"/>
        <v>952043884.53362143</v>
      </c>
      <c r="Q231" s="472">
        <f t="shared" si="185"/>
        <v>952043884.53362143</v>
      </c>
      <c r="R231" s="472">
        <f t="shared" si="186"/>
        <v>20696606.185513508</v>
      </c>
      <c r="S231" s="768">
        <f t="shared" si="187"/>
        <v>2017</v>
      </c>
      <c r="T231" s="470">
        <f t="shared" si="188"/>
        <v>1</v>
      </c>
      <c r="U231" s="612">
        <f t="shared" si="189"/>
        <v>20696606.185513508</v>
      </c>
      <c r="V231" s="464">
        <f t="shared" si="190"/>
        <v>2017</v>
      </c>
      <c r="W231" s="612">
        <f t="shared" si="191"/>
        <v>931347278.34810793</v>
      </c>
      <c r="X231" s="561"/>
      <c r="Y231" s="449"/>
      <c r="Z231" s="449"/>
      <c r="AA231" s="492" t="s">
        <v>4182</v>
      </c>
      <c r="AB231" s="476"/>
      <c r="AC231" s="476"/>
      <c r="AD231" s="568">
        <f>AD229-AD230</f>
        <v>889954065.9770807</v>
      </c>
      <c r="AE231" s="452"/>
      <c r="AF231" s="571"/>
      <c r="AG231" s="452"/>
      <c r="AH231" s="452"/>
      <c r="AI231" s="453"/>
      <c r="AJ231" s="449"/>
      <c r="AK231" s="453"/>
      <c r="AL231" s="454"/>
      <c r="AM231" s="455"/>
      <c r="AN231" s="456"/>
      <c r="AO231" s="455"/>
      <c r="AP231" s="452"/>
      <c r="AQ231" s="457"/>
      <c r="AR231" s="449"/>
      <c r="AS231" s="449"/>
      <c r="AT231" s="452"/>
      <c r="AU231" s="457"/>
      <c r="AV231" s="449"/>
      <c r="AW231" s="458"/>
      <c r="AX231" s="452"/>
      <c r="AY231" s="457"/>
      <c r="AZ231" s="449"/>
      <c r="BA231" s="459"/>
      <c r="BB231" s="455"/>
      <c r="BC231" s="460"/>
      <c r="BD231" s="460"/>
      <c r="BG231" s="462"/>
    </row>
    <row r="232" spans="1:59" s="461" customFormat="1" ht="18" customHeight="1" x14ac:dyDescent="0.2">
      <c r="A232" s="461" t="str">
        <f t="shared" si="176"/>
        <v>GEDUNG KANTOR KORAMIL2018</v>
      </c>
      <c r="B232" s="708"/>
      <c r="C232" s="489"/>
      <c r="D232" s="489" t="s">
        <v>1752</v>
      </c>
      <c r="E232" s="558"/>
      <c r="F232" s="466">
        <v>2018</v>
      </c>
      <c r="G232" s="619">
        <v>0</v>
      </c>
      <c r="H232" s="464">
        <f t="shared" si="177"/>
        <v>45</v>
      </c>
      <c r="I232" s="560"/>
      <c r="J232" s="468">
        <f t="shared" si="178"/>
        <v>2062</v>
      </c>
      <c r="K232" s="490">
        <f t="shared" si="179"/>
        <v>0</v>
      </c>
      <c r="L232" s="469">
        <f t="shared" si="180"/>
        <v>0</v>
      </c>
      <c r="M232" s="683">
        <f t="shared" si="181"/>
        <v>0</v>
      </c>
      <c r="N232" s="470">
        <f t="shared" si="182"/>
        <v>45</v>
      </c>
      <c r="O232" s="468">
        <f t="shared" si="183"/>
        <v>2062</v>
      </c>
      <c r="P232" s="471">
        <f t="shared" si="184"/>
        <v>931347278.34810793</v>
      </c>
      <c r="Q232" s="472">
        <f t="shared" si="185"/>
        <v>931347278.34810793</v>
      </c>
      <c r="R232" s="472">
        <f t="shared" si="186"/>
        <v>20696606.185513508</v>
      </c>
      <c r="S232" s="768">
        <f t="shared" si="187"/>
        <v>2018</v>
      </c>
      <c r="T232" s="470">
        <f t="shared" si="188"/>
        <v>1</v>
      </c>
      <c r="U232" s="612">
        <f t="shared" si="189"/>
        <v>20696606.185513508</v>
      </c>
      <c r="V232" s="464">
        <f t="shared" si="190"/>
        <v>2018</v>
      </c>
      <c r="W232" s="612">
        <f t="shared" si="191"/>
        <v>910650672.16259444</v>
      </c>
      <c r="X232" s="561"/>
      <c r="Y232" s="449"/>
      <c r="Z232" s="449"/>
      <c r="AA232" s="475" t="s">
        <v>4183</v>
      </c>
      <c r="AB232" s="476"/>
      <c r="AC232" s="476"/>
      <c r="AD232" s="567">
        <f>AD231-W236</f>
        <v>0</v>
      </c>
      <c r="AE232" s="452"/>
      <c r="AF232" s="571"/>
      <c r="AG232" s="452"/>
      <c r="AH232" s="452"/>
      <c r="AI232" s="453"/>
      <c r="AJ232" s="449"/>
      <c r="AK232" s="453"/>
      <c r="AL232" s="454"/>
      <c r="AM232" s="455"/>
      <c r="AN232" s="456"/>
      <c r="AO232" s="455"/>
      <c r="AP232" s="452"/>
      <c r="AQ232" s="457"/>
      <c r="AR232" s="449"/>
      <c r="AS232" s="449"/>
      <c r="AT232" s="452"/>
      <c r="AU232" s="457"/>
      <c r="AV232" s="449"/>
      <c r="AW232" s="458"/>
      <c r="AX232" s="452"/>
      <c r="AY232" s="457"/>
      <c r="AZ232" s="449"/>
      <c r="BA232" s="459"/>
      <c r="BB232" s="455"/>
      <c r="BC232" s="460"/>
      <c r="BD232" s="460"/>
      <c r="BG232" s="462"/>
    </row>
    <row r="233" spans="1:59" s="486" customFormat="1" ht="18" customHeight="1" x14ac:dyDescent="0.2">
      <c r="A233" s="461" t="str">
        <f t="shared" si="176"/>
        <v>GEDUNG KANTOR KORAMIL2019</v>
      </c>
      <c r="B233" s="708"/>
      <c r="C233" s="463"/>
      <c r="D233" s="489"/>
      <c r="E233" s="465"/>
      <c r="F233" s="466">
        <v>2019</v>
      </c>
      <c r="G233" s="619">
        <v>0</v>
      </c>
      <c r="H233" s="464">
        <f>IF(N232-(F233-F232)&lt;=0,0,(N232-(F233-F232)))</f>
        <v>44</v>
      </c>
      <c r="I233" s="560"/>
      <c r="J233" s="468">
        <f>(F233+N233)-1</f>
        <v>2062</v>
      </c>
      <c r="K233" s="490">
        <f>IF(G233=0,0,IF(H233=50,100%,G233/W232))</f>
        <v>0</v>
      </c>
      <c r="L233" s="469">
        <f>IF(K233=0%,0,IF(K233&lt;=25%,5,IF(K233&lt;=50%,10,IF(K233&lt;=75%,15,50))))</f>
        <v>0</v>
      </c>
      <c r="M233" s="683">
        <f>IF(OR(AND(ISBLANK(E233),ISBLANK(G233)),ISTEXT(E233),ISTEXT(G233)),"",IF(H233+L233&gt;$H$27,$H$27-H233,L233))</f>
        <v>0</v>
      </c>
      <c r="N233" s="470">
        <f>IF(OR(AND(ISBLANK(F233),ISBLANK(G233)),ISTEXT(F233),ISTEXT(G233)),"",H233+M233)</f>
        <v>44</v>
      </c>
      <c r="O233" s="468">
        <f>(F233+N233)-1</f>
        <v>2062</v>
      </c>
      <c r="P233" s="471">
        <f>W232</f>
        <v>910650672.16259444</v>
      </c>
      <c r="Q233" s="472">
        <f>P233+G233</f>
        <v>910650672.16259444</v>
      </c>
      <c r="R233" s="472">
        <f>IF(L233=0,R232,Q233/N233)</f>
        <v>20696606.185513508</v>
      </c>
      <c r="S233" s="1189">
        <f>F233</f>
        <v>2019</v>
      </c>
      <c r="T233" s="470">
        <f>S233-S232</f>
        <v>1</v>
      </c>
      <c r="U233" s="612">
        <f>R233*T233</f>
        <v>20696606.185513508</v>
      </c>
      <c r="V233" s="464">
        <f>F233</f>
        <v>2019</v>
      </c>
      <c r="W233" s="612">
        <f>IF(OR(AND(ISBLANK(E233),ISBLANK(G233)),ISTEXT(E233),ISTEXT(G233)),"",Q233-U233)</f>
        <v>889954065.97708094</v>
      </c>
      <c r="X233" s="561"/>
      <c r="Y233" s="474"/>
      <c r="Z233" s="449"/>
      <c r="AA233" s="495"/>
      <c r="AB233" s="496"/>
      <c r="AC233" s="496"/>
      <c r="AD233" s="569"/>
      <c r="AE233" s="476"/>
      <c r="AF233" s="568"/>
      <c r="AG233" s="476"/>
      <c r="AH233" s="476"/>
      <c r="AI233" s="477"/>
      <c r="AJ233" s="478"/>
      <c r="AK233" s="479"/>
      <c r="AL233" s="480"/>
      <c r="AM233" s="474"/>
      <c r="AN233" s="481"/>
      <c r="AO233" s="474"/>
      <c r="AP233" s="476"/>
      <c r="AQ233" s="482"/>
      <c r="AR233" s="478"/>
      <c r="AS233" s="478"/>
      <c r="AT233" s="476"/>
      <c r="AU233" s="482"/>
      <c r="AV233" s="478"/>
      <c r="AW233" s="483"/>
      <c r="AX233" s="476"/>
      <c r="AY233" s="482"/>
      <c r="AZ233" s="478"/>
      <c r="BA233" s="484"/>
      <c r="BB233" s="474"/>
      <c r="BC233" s="485"/>
      <c r="BD233" s="485"/>
      <c r="BG233" s="487"/>
    </row>
    <row r="234" spans="1:59" s="486" customFormat="1" ht="18" customHeight="1" x14ac:dyDescent="0.2">
      <c r="B234" s="708"/>
      <c r="C234" s="488"/>
      <c r="D234" s="489"/>
      <c r="E234" s="465"/>
      <c r="F234" s="466"/>
      <c r="G234" s="620"/>
      <c r="H234" s="464"/>
      <c r="I234" s="467"/>
      <c r="J234" s="468"/>
      <c r="K234" s="490"/>
      <c r="L234" s="469"/>
      <c r="M234" s="683"/>
      <c r="N234" s="470"/>
      <c r="O234" s="468"/>
      <c r="P234" s="471"/>
      <c r="Q234" s="472"/>
      <c r="R234" s="472"/>
      <c r="S234" s="629"/>
      <c r="T234" s="470"/>
      <c r="U234" s="612"/>
      <c r="V234" s="464"/>
      <c r="W234" s="612"/>
      <c r="X234" s="473"/>
      <c r="Y234" s="478"/>
      <c r="Z234" s="449"/>
      <c r="AA234" s="699"/>
      <c r="AB234" s="700"/>
      <c r="AC234" s="700"/>
      <c r="AD234" s="701"/>
      <c r="AE234" s="491"/>
      <c r="AF234" s="568"/>
      <c r="AG234" s="491"/>
      <c r="AH234" s="491"/>
      <c r="AI234" s="477"/>
      <c r="AJ234" s="478"/>
      <c r="AK234" s="479"/>
      <c r="AL234" s="480"/>
      <c r="AM234" s="474"/>
      <c r="AN234" s="481"/>
      <c r="AO234" s="474"/>
      <c r="AP234" s="476"/>
      <c r="AQ234" s="482"/>
      <c r="AR234" s="478"/>
      <c r="AS234" s="478"/>
      <c r="AT234" s="476"/>
      <c r="AU234" s="482"/>
      <c r="AV234" s="478"/>
      <c r="AW234" s="483"/>
      <c r="AX234" s="476"/>
      <c r="AY234" s="482"/>
      <c r="AZ234" s="478"/>
      <c r="BA234" s="484"/>
      <c r="BB234" s="474"/>
      <c r="BC234" s="485"/>
      <c r="BD234" s="485"/>
      <c r="BG234" s="487"/>
    </row>
    <row r="235" spans="1:59" s="486" customFormat="1" ht="18" customHeight="1" x14ac:dyDescent="0.2">
      <c r="B235" s="687"/>
      <c r="C235" s="494"/>
      <c r="D235" s="464"/>
      <c r="E235" s="465"/>
      <c r="F235" s="466"/>
      <c r="G235" s="620"/>
      <c r="H235" s="464"/>
      <c r="I235" s="467"/>
      <c r="J235" s="468"/>
      <c r="K235" s="490"/>
      <c r="L235" s="469"/>
      <c r="M235" s="683"/>
      <c r="N235" s="470"/>
      <c r="O235" s="468"/>
      <c r="P235" s="471"/>
      <c r="Q235" s="472"/>
      <c r="R235" s="472"/>
      <c r="S235" s="629"/>
      <c r="T235" s="470"/>
      <c r="U235" s="612"/>
      <c r="V235" s="464"/>
      <c r="W235" s="612"/>
      <c r="X235" s="473"/>
      <c r="Y235" s="478"/>
      <c r="Z235" s="449"/>
      <c r="AA235" s="497"/>
      <c r="AB235" s="476"/>
      <c r="AC235" s="476"/>
      <c r="AD235" s="568"/>
      <c r="AE235" s="476"/>
      <c r="AF235" s="568"/>
      <c r="AG235" s="476"/>
      <c r="AH235" s="476"/>
      <c r="AI235" s="477"/>
      <c r="AJ235" s="478"/>
      <c r="AK235" s="479"/>
      <c r="AL235" s="480"/>
      <c r="AM235" s="474"/>
      <c r="AN235" s="481"/>
      <c r="AO235" s="474"/>
      <c r="AP235" s="476"/>
      <c r="AQ235" s="482"/>
      <c r="AR235" s="478"/>
      <c r="AS235" s="478"/>
      <c r="AT235" s="476"/>
      <c r="AU235" s="482"/>
      <c r="AV235" s="478"/>
      <c r="AW235" s="483"/>
      <c r="AX235" s="476"/>
      <c r="AY235" s="482"/>
      <c r="AZ235" s="478"/>
      <c r="BA235" s="484"/>
      <c r="BB235" s="474"/>
      <c r="BC235" s="485"/>
      <c r="BD235" s="485"/>
      <c r="BG235" s="487"/>
    </row>
    <row r="236" spans="1:59" s="526" customFormat="1" ht="18" customHeight="1" x14ac:dyDescent="0.2">
      <c r="B236" s="1956" t="s">
        <v>4184</v>
      </c>
      <c r="C236" s="1957"/>
      <c r="D236" s="1957"/>
      <c r="E236" s="1957"/>
      <c r="F236" s="1958"/>
      <c r="G236" s="621">
        <f>SUM(G225:G235)</f>
        <v>1076722010.3063059</v>
      </c>
      <c r="H236" s="505"/>
      <c r="I236" s="506"/>
      <c r="J236" s="507"/>
      <c r="K236" s="507"/>
      <c r="L236" s="505"/>
      <c r="M236" s="684"/>
      <c r="N236" s="508"/>
      <c r="O236" s="507"/>
      <c r="P236" s="509"/>
      <c r="Q236" s="510"/>
      <c r="R236" s="511"/>
      <c r="S236" s="512"/>
      <c r="T236" s="512"/>
      <c r="U236" s="610">
        <f>SUM(U225:U235)</f>
        <v>186767944.32922515</v>
      </c>
      <c r="V236" s="513"/>
      <c r="W236" s="610">
        <f>G236-U236</f>
        <v>889954065.9770807</v>
      </c>
      <c r="X236" s="514"/>
      <c r="Y236" s="515"/>
      <c r="Z236" s="515"/>
      <c r="AA236" s="515"/>
      <c r="AB236" s="515"/>
      <c r="AC236" s="515"/>
      <c r="AD236" s="570"/>
      <c r="AE236" s="515"/>
      <c r="AF236" s="570"/>
      <c r="AG236" s="515"/>
      <c r="AH236" s="515"/>
      <c r="AI236" s="516"/>
      <c r="AJ236" s="517"/>
      <c r="AK236" s="518"/>
      <c r="AL236" s="519"/>
      <c r="AM236" s="520"/>
      <c r="AN236" s="521"/>
      <c r="AO236" s="520"/>
      <c r="AP236" s="515"/>
      <c r="AQ236" s="522"/>
      <c r="AR236" s="517"/>
      <c r="AS236" s="517"/>
      <c r="AT236" s="515"/>
      <c r="AU236" s="522"/>
      <c r="AV236" s="517"/>
      <c r="AW236" s="523"/>
      <c r="AX236" s="515"/>
      <c r="AY236" s="522"/>
      <c r="AZ236" s="517"/>
      <c r="BA236" s="524"/>
      <c r="BB236" s="520"/>
      <c r="BC236" s="525"/>
      <c r="BD236" s="525"/>
      <c r="BG236" s="527"/>
    </row>
    <row r="237" spans="1:59" s="526" customFormat="1" ht="18" customHeight="1" x14ac:dyDescent="0.2">
      <c r="B237" s="741"/>
      <c r="C237" s="697"/>
      <c r="D237" s="697"/>
      <c r="E237" s="697"/>
      <c r="F237" s="585"/>
      <c r="G237" s="622"/>
      <c r="H237" s="586"/>
      <c r="I237" s="587"/>
      <c r="J237" s="588"/>
      <c r="K237" s="588"/>
      <c r="L237" s="586"/>
      <c r="M237" s="521"/>
      <c r="N237" s="589"/>
      <c r="O237" s="588"/>
      <c r="P237" s="590"/>
      <c r="Q237" s="591"/>
      <c r="R237" s="592"/>
      <c r="S237" s="593"/>
      <c r="T237" s="593"/>
      <c r="U237" s="570"/>
      <c r="V237" s="594"/>
      <c r="W237" s="570"/>
      <c r="X237" s="515"/>
      <c r="Y237" s="515"/>
      <c r="Z237" s="515"/>
      <c r="AA237" s="515"/>
      <c r="AB237" s="515"/>
      <c r="AC237" s="515"/>
      <c r="AD237" s="570"/>
      <c r="AE237" s="515"/>
      <c r="AF237" s="570"/>
      <c r="AG237" s="515"/>
      <c r="AH237" s="515"/>
      <c r="AI237" s="516"/>
      <c r="AJ237" s="517"/>
      <c r="AK237" s="518"/>
      <c r="AL237" s="519"/>
      <c r="AM237" s="520"/>
      <c r="AN237" s="521"/>
      <c r="AO237" s="520"/>
      <c r="AP237" s="515"/>
      <c r="AQ237" s="522"/>
      <c r="AR237" s="517"/>
      <c r="AS237" s="517"/>
      <c r="AT237" s="515"/>
      <c r="AU237" s="522"/>
      <c r="AV237" s="517"/>
      <c r="AW237" s="523"/>
      <c r="AX237" s="515"/>
      <c r="AY237" s="522"/>
      <c r="AZ237" s="517"/>
      <c r="BA237" s="524"/>
      <c r="BB237" s="520"/>
      <c r="BC237" s="525"/>
      <c r="BD237" s="525"/>
      <c r="BG237" s="527"/>
    </row>
    <row r="238" spans="1:59" s="526" customFormat="1" ht="18" customHeight="1" x14ac:dyDescent="0.2">
      <c r="B238" s="742"/>
      <c r="C238" s="696"/>
      <c r="D238" s="696"/>
      <c r="E238" s="696"/>
      <c r="F238" s="585"/>
      <c r="G238" s="622"/>
      <c r="H238" s="586"/>
      <c r="I238" s="587"/>
      <c r="J238" s="588"/>
      <c r="K238" s="588"/>
      <c r="L238" s="586"/>
      <c r="M238" s="521"/>
      <c r="N238" s="589"/>
      <c r="O238" s="588"/>
      <c r="P238" s="590"/>
      <c r="Q238" s="591"/>
      <c r="R238" s="592"/>
      <c r="S238" s="593"/>
      <c r="T238" s="593"/>
      <c r="U238" s="570"/>
      <c r="V238" s="594"/>
      <c r="W238" s="570"/>
      <c r="X238" s="515"/>
      <c r="Y238" s="515"/>
      <c r="Z238" s="515"/>
      <c r="AA238" s="515"/>
      <c r="AB238" s="515"/>
      <c r="AC238" s="515"/>
      <c r="AD238" s="570"/>
      <c r="AE238" s="515"/>
      <c r="AF238" s="570"/>
      <c r="AG238" s="515"/>
      <c r="AH238" s="515"/>
      <c r="AI238" s="516"/>
      <c r="AJ238" s="517"/>
      <c r="AK238" s="518"/>
      <c r="AL238" s="519"/>
      <c r="AM238" s="520"/>
      <c r="AN238" s="521"/>
      <c r="AO238" s="520"/>
      <c r="AP238" s="515"/>
      <c r="AQ238" s="522"/>
      <c r="AR238" s="517"/>
      <c r="AS238" s="517"/>
      <c r="AT238" s="515"/>
      <c r="AU238" s="522"/>
      <c r="AV238" s="517"/>
      <c r="AW238" s="523"/>
      <c r="AX238" s="515"/>
      <c r="AY238" s="522"/>
      <c r="AZ238" s="517"/>
      <c r="BA238" s="524"/>
      <c r="BB238" s="520"/>
      <c r="BC238" s="525"/>
      <c r="BD238" s="525"/>
      <c r="BG238" s="527"/>
    </row>
    <row r="239" spans="1:59" s="422" customFormat="1" ht="18" customHeight="1" x14ac:dyDescent="0.2">
      <c r="B239" s="688" t="s">
        <v>4217</v>
      </c>
      <c r="C239" s="556"/>
      <c r="D239" s="553" t="s">
        <v>2853</v>
      </c>
      <c r="E239" s="553"/>
      <c r="F239" s="421"/>
      <c r="G239" s="611"/>
      <c r="I239" s="423"/>
      <c r="J239" s="424"/>
      <c r="K239" s="424"/>
      <c r="M239" s="680"/>
      <c r="U239" s="611"/>
      <c r="W239" s="611"/>
      <c r="Y239" s="425"/>
      <c r="Z239" s="425"/>
      <c r="AA239" s="425"/>
      <c r="AB239" s="425"/>
      <c r="AC239" s="425"/>
      <c r="AD239" s="563"/>
      <c r="AE239" s="425"/>
      <c r="AF239" s="563"/>
      <c r="AG239" s="425"/>
      <c r="AH239" s="425"/>
      <c r="AI239" s="425"/>
      <c r="AJ239" s="425"/>
      <c r="AK239" s="425"/>
      <c r="AL239" s="425"/>
      <c r="AM239" s="425"/>
      <c r="AN239" s="425"/>
      <c r="AO239" s="425"/>
      <c r="AP239" s="425"/>
      <c r="AQ239" s="425"/>
      <c r="AR239" s="425"/>
      <c r="AS239" s="425"/>
      <c r="AT239" s="425"/>
      <c r="AU239" s="425"/>
      <c r="AV239" s="425"/>
      <c r="AW239" s="425"/>
      <c r="AX239" s="425"/>
      <c r="AY239" s="425"/>
      <c r="AZ239" s="425"/>
      <c r="BA239" s="425"/>
      <c r="BB239" s="425"/>
    </row>
    <row r="240" spans="1:59" s="431" customFormat="1" ht="18" customHeight="1" x14ac:dyDescent="0.2">
      <c r="B240" s="1968" t="s">
        <v>5</v>
      </c>
      <c r="C240" s="1968" t="s">
        <v>2280</v>
      </c>
      <c r="D240" s="1968" t="s">
        <v>4157</v>
      </c>
      <c r="E240" s="1968" t="s">
        <v>4158</v>
      </c>
      <c r="F240" s="1968"/>
      <c r="G240" s="1969" t="s">
        <v>4159</v>
      </c>
      <c r="H240" s="1355" t="s">
        <v>4160</v>
      </c>
      <c r="I240" s="1355"/>
      <c r="J240" s="1968" t="s">
        <v>4161</v>
      </c>
      <c r="K240" s="1964" t="s">
        <v>4162</v>
      </c>
      <c r="L240" s="1968" t="s">
        <v>4163</v>
      </c>
      <c r="M240" s="1971" t="s">
        <v>4164</v>
      </c>
      <c r="N240" s="1962" t="s">
        <v>4165</v>
      </c>
      <c r="O240" s="1968" t="s">
        <v>4166</v>
      </c>
      <c r="P240" s="1972" t="s">
        <v>4167</v>
      </c>
      <c r="Q240" s="1973"/>
      <c r="R240" s="631" t="s">
        <v>4168</v>
      </c>
      <c r="S240" s="1972" t="s">
        <v>4169</v>
      </c>
      <c r="T240" s="1974"/>
      <c r="U240" s="1973"/>
      <c r="V240" s="1975" t="s">
        <v>4170</v>
      </c>
      <c r="W240" s="1975"/>
      <c r="X240" s="1960" t="s">
        <v>4171</v>
      </c>
      <c r="Y240" s="1959"/>
      <c r="Z240" s="628"/>
      <c r="AA240" s="426"/>
      <c r="AB240" s="426"/>
      <c r="AC240" s="426"/>
      <c r="AD240" s="564"/>
      <c r="AE240" s="426"/>
      <c r="AF240" s="564"/>
      <c r="AG240" s="426"/>
      <c r="AH240" s="426"/>
      <c r="AI240" s="427"/>
      <c r="AJ240" s="427"/>
      <c r="AK240" s="427"/>
      <c r="AL240" s="427"/>
      <c r="AM240" s="428"/>
      <c r="AN240" s="427"/>
      <c r="AO240" s="427"/>
      <c r="AP240" s="426"/>
      <c r="AQ240" s="427"/>
      <c r="AR240" s="427"/>
      <c r="AS240" s="427"/>
      <c r="AT240" s="426"/>
      <c r="AU240" s="427"/>
      <c r="AV240" s="427"/>
      <c r="AW240" s="427"/>
      <c r="AX240" s="426"/>
      <c r="AY240" s="427"/>
      <c r="AZ240" s="427"/>
      <c r="BA240" s="427"/>
      <c r="BB240" s="429"/>
      <c r="BC240" s="430"/>
      <c r="BD240" s="430"/>
    </row>
    <row r="241" spans="1:59" s="431" customFormat="1" ht="18" customHeight="1" x14ac:dyDescent="0.2">
      <c r="B241" s="1968"/>
      <c r="C241" s="1968"/>
      <c r="D241" s="1968"/>
      <c r="E241" s="1968"/>
      <c r="F241" s="1968"/>
      <c r="G241" s="1969"/>
      <c r="H241" s="1355"/>
      <c r="I241" s="1355"/>
      <c r="J241" s="1968"/>
      <c r="K241" s="1970"/>
      <c r="L241" s="1968"/>
      <c r="M241" s="1971"/>
      <c r="N241" s="1963"/>
      <c r="O241" s="1968"/>
      <c r="P241" s="1960" t="s">
        <v>4172</v>
      </c>
      <c r="Q241" s="1960" t="s">
        <v>4173</v>
      </c>
      <c r="R241" s="1962" t="s">
        <v>4159</v>
      </c>
      <c r="S241" s="1962" t="s">
        <v>4174</v>
      </c>
      <c r="T241" s="1964" t="s">
        <v>4175</v>
      </c>
      <c r="U241" s="1966" t="s">
        <v>4159</v>
      </c>
      <c r="V241" s="1975"/>
      <c r="W241" s="1975"/>
      <c r="X241" s="1976"/>
      <c r="Y241" s="1959"/>
      <c r="Z241" s="628"/>
      <c r="AA241" s="426"/>
      <c r="AB241" s="426"/>
      <c r="AC241" s="426"/>
      <c r="AD241" s="564"/>
      <c r="AE241" s="426"/>
      <c r="AF241" s="564"/>
      <c r="AG241" s="426"/>
      <c r="AH241" s="426"/>
      <c r="AI241" s="427"/>
      <c r="AJ241" s="427"/>
      <c r="AK241" s="426"/>
      <c r="AL241" s="427"/>
      <c r="AM241" s="428"/>
      <c r="AN241" s="427"/>
      <c r="AO241" s="427"/>
      <c r="AP241" s="432"/>
      <c r="AQ241" s="427"/>
      <c r="AR241" s="427"/>
      <c r="AS241" s="427"/>
      <c r="AT241" s="432"/>
      <c r="AU241" s="427"/>
      <c r="AV241" s="427"/>
      <c r="AW241" s="427"/>
      <c r="AX241" s="432"/>
      <c r="AY241" s="427"/>
      <c r="AZ241" s="427"/>
      <c r="BA241" s="427"/>
      <c r="BB241" s="429"/>
      <c r="BC241" s="430"/>
      <c r="BD241" s="430"/>
    </row>
    <row r="242" spans="1:59" s="431" customFormat="1" ht="21.75" customHeight="1" x14ac:dyDescent="0.2">
      <c r="B242" s="1968"/>
      <c r="C242" s="1968"/>
      <c r="D242" s="1968"/>
      <c r="E242" s="433" t="s">
        <v>4176</v>
      </c>
      <c r="F242" s="434" t="s">
        <v>2288</v>
      </c>
      <c r="G242" s="1969"/>
      <c r="H242" s="1355" t="s">
        <v>2288</v>
      </c>
      <c r="I242" s="1355" t="s">
        <v>4177</v>
      </c>
      <c r="J242" s="1968"/>
      <c r="K242" s="1965"/>
      <c r="L242" s="435" t="s">
        <v>2288</v>
      </c>
      <c r="M242" s="681" t="s">
        <v>2288</v>
      </c>
      <c r="N242" s="630" t="s">
        <v>2288</v>
      </c>
      <c r="O242" s="1968"/>
      <c r="P242" s="1961"/>
      <c r="Q242" s="1961"/>
      <c r="R242" s="1963"/>
      <c r="S242" s="1963"/>
      <c r="T242" s="1965"/>
      <c r="U242" s="1967"/>
      <c r="V242" s="630" t="s">
        <v>4178</v>
      </c>
      <c r="W242" s="632" t="s">
        <v>4159</v>
      </c>
      <c r="X242" s="1961"/>
      <c r="Y242" s="436"/>
      <c r="Z242" s="436"/>
      <c r="AA242" s="426"/>
      <c r="AB242" s="426"/>
      <c r="AC242" s="426"/>
      <c r="AD242" s="564"/>
      <c r="AE242" s="426"/>
      <c r="AF242" s="564"/>
      <c r="AG242" s="426"/>
      <c r="AH242" s="426"/>
      <c r="AI242" s="427"/>
      <c r="AJ242" s="432"/>
      <c r="AK242" s="432"/>
      <c r="AL242" s="427"/>
      <c r="AM242" s="428"/>
      <c r="AN242" s="432"/>
      <c r="AO242" s="427"/>
      <c r="AP242" s="432"/>
      <c r="AQ242" s="432"/>
      <c r="AR242" s="427"/>
      <c r="AS242" s="427"/>
      <c r="AT242" s="432"/>
      <c r="AU242" s="432"/>
      <c r="AV242" s="427"/>
      <c r="AW242" s="427"/>
      <c r="AX242" s="432"/>
      <c r="AY242" s="432"/>
      <c r="AZ242" s="427"/>
      <c r="BA242" s="427"/>
      <c r="BB242" s="429"/>
      <c r="BC242" s="430"/>
      <c r="BD242" s="430"/>
    </row>
    <row r="243" spans="1:59" s="461" customFormat="1" ht="18" customHeight="1" x14ac:dyDescent="0.2">
      <c r="A243" s="461" t="str">
        <f>$D$239&amp;S243</f>
        <v>GEDUNG SERBAGUNA KECAMATAN SINGINGI2009</v>
      </c>
      <c r="B243" s="689">
        <v>1</v>
      </c>
      <c r="C243" s="597" t="s">
        <v>2640</v>
      </c>
      <c r="D243" s="597" t="s">
        <v>1772</v>
      </c>
      <c r="E243" s="598"/>
      <c r="F243" s="599">
        <v>2009</v>
      </c>
      <c r="G243" s="626">
        <f>1713608643.45793+6624750</f>
        <v>1720233393.4579301</v>
      </c>
      <c r="H243" s="600">
        <f>VLOOKUP(LEFT(D243,8),UE,4)</f>
        <v>50</v>
      </c>
      <c r="I243" s="601"/>
      <c r="J243" s="602">
        <f>(F243+N243)-1</f>
        <v>2058</v>
      </c>
      <c r="K243" s="603"/>
      <c r="L243" s="600"/>
      <c r="M243" s="685">
        <f>IF(H243+L243&gt;$H243,$H243-H243,L243)</f>
        <v>0</v>
      </c>
      <c r="N243" s="604">
        <f>H243+M243</f>
        <v>50</v>
      </c>
      <c r="O243" s="602">
        <f>(F243+N243)-1</f>
        <v>2058</v>
      </c>
      <c r="P243" s="605">
        <f>G243</f>
        <v>1720233393.4579301</v>
      </c>
      <c r="Q243" s="606">
        <v>0</v>
      </c>
      <c r="R243" s="606">
        <f>P243/N243</f>
        <v>34404667.869158603</v>
      </c>
      <c r="S243" s="607">
        <f>F243</f>
        <v>2009</v>
      </c>
      <c r="T243" s="608">
        <v>1</v>
      </c>
      <c r="U243" s="615">
        <f>R243*T243</f>
        <v>34404667.869158603</v>
      </c>
      <c r="V243" s="602">
        <f>F243</f>
        <v>2009</v>
      </c>
      <c r="W243" s="618">
        <f>IF(OR(AND(ISBLANK(E243),ISBLANK(G243)),ISTEXT(E243),ISTEXT(G243)),"",G243-R243)</f>
        <v>1685828725.5887716</v>
      </c>
      <c r="X243" s="609"/>
      <c r="Y243" s="449"/>
      <c r="Z243" s="449"/>
      <c r="AA243" s="694"/>
      <c r="AB243" s="692"/>
      <c r="AC243" s="692"/>
      <c r="AD243" s="695"/>
      <c r="AE243" s="452"/>
      <c r="AF243" s="571"/>
      <c r="AG243" s="452"/>
      <c r="AH243" s="452"/>
      <c r="AI243" s="453"/>
      <c r="AJ243" s="449"/>
      <c r="AK243" s="453"/>
      <c r="AL243" s="454"/>
      <c r="AM243" s="455"/>
      <c r="AN243" s="456"/>
      <c r="AO243" s="455"/>
      <c r="AP243" s="452"/>
      <c r="AQ243" s="457"/>
      <c r="AR243" s="449"/>
      <c r="AS243" s="449"/>
      <c r="AT243" s="452"/>
      <c r="AU243" s="457"/>
      <c r="AV243" s="449"/>
      <c r="AW243" s="458"/>
      <c r="AX243" s="452"/>
      <c r="AY243" s="457"/>
      <c r="AZ243" s="449"/>
      <c r="BA243" s="459"/>
      <c r="BB243" s="455"/>
      <c r="BC243" s="460"/>
      <c r="BD243" s="460"/>
      <c r="BG243" s="462"/>
    </row>
    <row r="244" spans="1:59" s="461" customFormat="1" ht="18" customHeight="1" x14ac:dyDescent="0.2">
      <c r="A244" s="461" t="str">
        <f t="shared" ref="A244:A251" si="192">$D$239&amp;S244</f>
        <v>GEDUNG SERBAGUNA KECAMATAN SINGINGI2012</v>
      </c>
      <c r="B244" s="708"/>
      <c r="C244" s="489"/>
      <c r="D244" s="489"/>
      <c r="E244" s="558"/>
      <c r="F244" s="559">
        <v>2012</v>
      </c>
      <c r="G244" s="619">
        <v>0</v>
      </c>
      <c r="H244" s="464">
        <f>IF(N243-(F244-F243)&lt;=0,0,(N243-(F244-F243)))</f>
        <v>47</v>
      </c>
      <c r="I244" s="560"/>
      <c r="J244" s="468">
        <f>(F244+N244)-1</f>
        <v>2058</v>
      </c>
      <c r="K244" s="490">
        <f>IF(G244=0,0,IF(H244=50,100%,G244/W243))</f>
        <v>0</v>
      </c>
      <c r="L244" s="469">
        <f>IF(K244=0%,0,IF(K244&lt;=25%,5,IF(K244&lt;=50%,10,IF(K244&lt;=75%,15,50))))</f>
        <v>0</v>
      </c>
      <c r="M244" s="683">
        <f>IF(OR(AND(ISBLANK(E244),ISBLANK(G244)),ISTEXT(E244),ISTEXT(G244)),"",IF(H244+L244&gt;$H$27,$H$27-H244,L244))</f>
        <v>0</v>
      </c>
      <c r="N244" s="470">
        <f>IF(OR(AND(ISBLANK(F244),ISBLANK(G244)),ISTEXT(F244),ISTEXT(G244)),"",H244+M244)</f>
        <v>47</v>
      </c>
      <c r="O244" s="468">
        <f>(F244+N244)-1</f>
        <v>2058</v>
      </c>
      <c r="P244" s="471">
        <f>W243</f>
        <v>1685828725.5887716</v>
      </c>
      <c r="Q244" s="472">
        <f>P244+G244</f>
        <v>1685828725.5887716</v>
      </c>
      <c r="R244" s="472">
        <f>IF(L244=0,R243,Q244/N244)</f>
        <v>34404667.869158603</v>
      </c>
      <c r="S244" s="768">
        <f>F244</f>
        <v>2012</v>
      </c>
      <c r="T244" s="470">
        <f>S244-S243</f>
        <v>3</v>
      </c>
      <c r="U244" s="612">
        <f>R244*T244</f>
        <v>103214003.60747582</v>
      </c>
      <c r="V244" s="464">
        <f>F244</f>
        <v>2012</v>
      </c>
      <c r="W244" s="612">
        <f>IF(OR(AND(ISBLANK(E244),ISBLANK(G244)),ISTEXT(E244),ISTEXT(G244)),"",Q244-U244)</f>
        <v>1582614721.9812958</v>
      </c>
      <c r="X244" s="561"/>
      <c r="Y244" s="449"/>
      <c r="Z244" s="449"/>
      <c r="AA244" s="693"/>
      <c r="AB244" s="452"/>
      <c r="AC244" s="452"/>
      <c r="AD244" s="571"/>
      <c r="AE244" s="452"/>
      <c r="AF244" s="571"/>
      <c r="AG244" s="452"/>
      <c r="AH244" s="452"/>
      <c r="AI244" s="453"/>
      <c r="AJ244" s="449"/>
      <c r="AK244" s="453"/>
      <c r="AL244" s="454"/>
      <c r="AM244" s="455"/>
      <c r="AN244" s="456"/>
      <c r="AO244" s="455"/>
      <c r="AP244" s="452"/>
      <c r="AQ244" s="457"/>
      <c r="AR244" s="449"/>
      <c r="AS244" s="449"/>
      <c r="AT244" s="452"/>
      <c r="AU244" s="457"/>
      <c r="AV244" s="449"/>
      <c r="AW244" s="458"/>
      <c r="AX244" s="452"/>
      <c r="AY244" s="457"/>
      <c r="AZ244" s="449"/>
      <c r="BA244" s="459"/>
      <c r="BB244" s="455"/>
      <c r="BC244" s="460"/>
      <c r="BD244" s="460"/>
      <c r="BG244" s="462"/>
    </row>
    <row r="245" spans="1:59" s="461" customFormat="1" ht="18" customHeight="1" x14ac:dyDescent="0.2">
      <c r="A245" s="461" t="str">
        <f t="shared" si="192"/>
        <v>GEDUNG SERBAGUNA KECAMATAN SINGINGI2013</v>
      </c>
      <c r="B245" s="708">
        <v>2</v>
      </c>
      <c r="C245" s="489" t="s">
        <v>2668</v>
      </c>
      <c r="D245" s="489" t="s">
        <v>1772</v>
      </c>
      <c r="E245" s="558"/>
      <c r="F245" s="559">
        <v>2013</v>
      </c>
      <c r="G245" s="619">
        <v>0</v>
      </c>
      <c r="H245" s="464">
        <f t="shared" ref="H245:H250" si="193">IF(N244-(F245-F244)&lt;=0,0,(N244-(F245-F244)))</f>
        <v>46</v>
      </c>
      <c r="I245" s="560"/>
      <c r="J245" s="468">
        <f t="shared" ref="J245:J250" si="194">(F245+N245)-1</f>
        <v>2058</v>
      </c>
      <c r="K245" s="490">
        <f t="shared" ref="K245:K250" si="195">IF(G245=0,0,IF(H245=50,100%,G245/W244))</f>
        <v>0</v>
      </c>
      <c r="L245" s="469">
        <f t="shared" ref="L245:L250" si="196">IF(K245=0%,0,IF(K245&lt;=25%,5,IF(K245&lt;=50%,10,IF(K245&lt;=75%,15,50))))</f>
        <v>0</v>
      </c>
      <c r="M245" s="683">
        <f t="shared" ref="M245:M250" si="197">IF(OR(AND(ISBLANK(E245),ISBLANK(G245)),ISTEXT(E245),ISTEXT(G245)),"",IF(H245+L245&gt;$H$27,$H$27-H245,L245))</f>
        <v>0</v>
      </c>
      <c r="N245" s="470">
        <f t="shared" ref="N245:N250" si="198">IF(OR(AND(ISBLANK(F245),ISBLANK(G245)),ISTEXT(F245),ISTEXT(G245)),"",H245+M245)</f>
        <v>46</v>
      </c>
      <c r="O245" s="468">
        <f t="shared" ref="O245:O250" si="199">(F245+N245)-1</f>
        <v>2058</v>
      </c>
      <c r="P245" s="471">
        <f t="shared" ref="P245:P250" si="200">W244</f>
        <v>1582614721.9812958</v>
      </c>
      <c r="Q245" s="472">
        <f t="shared" ref="Q245:Q250" si="201">P245+G245</f>
        <v>1582614721.9812958</v>
      </c>
      <c r="R245" s="472">
        <f t="shared" ref="R245:R250" si="202">IF(L245=0,R244,Q245/N245)</f>
        <v>34404667.869158603</v>
      </c>
      <c r="S245" s="768">
        <f t="shared" ref="S245:S250" si="203">F245</f>
        <v>2013</v>
      </c>
      <c r="T245" s="470">
        <f t="shared" ref="T245:T250" si="204">S245-S244</f>
        <v>1</v>
      </c>
      <c r="U245" s="612">
        <f t="shared" ref="U245:U250" si="205">R245*T245</f>
        <v>34404667.869158603</v>
      </c>
      <c r="V245" s="464">
        <f t="shared" ref="V245:V250" si="206">F245</f>
        <v>2013</v>
      </c>
      <c r="W245" s="612">
        <f t="shared" ref="W245:W250" si="207">IF(OR(AND(ISBLANK(E245),ISBLANK(G245)),ISTEXT(E245),ISTEXT(G245)),"",Q245-U245)</f>
        <v>1548210054.1121373</v>
      </c>
      <c r="X245" s="561"/>
      <c r="Y245" s="449"/>
      <c r="Z245" s="449"/>
      <c r="AA245" s="554" t="s">
        <v>4179</v>
      </c>
      <c r="AB245" s="452"/>
      <c r="AC245" s="452"/>
      <c r="AD245" s="566"/>
      <c r="AE245" s="452"/>
      <c r="AF245" s="571"/>
      <c r="AG245" s="452"/>
      <c r="AH245" s="452"/>
      <c r="AI245" s="453"/>
      <c r="AJ245" s="449"/>
      <c r="AK245" s="453"/>
      <c r="AL245" s="454"/>
      <c r="AM245" s="455"/>
      <c r="AN245" s="456"/>
      <c r="AO245" s="455"/>
      <c r="AP245" s="452"/>
      <c r="AQ245" s="457"/>
      <c r="AR245" s="449"/>
      <c r="AS245" s="449"/>
      <c r="AT245" s="452"/>
      <c r="AU245" s="457"/>
      <c r="AV245" s="449"/>
      <c r="AW245" s="458"/>
      <c r="AX245" s="452"/>
      <c r="AY245" s="457"/>
      <c r="AZ245" s="449"/>
      <c r="BA245" s="459"/>
      <c r="BB245" s="455"/>
      <c r="BC245" s="460"/>
      <c r="BD245" s="460"/>
      <c r="BG245" s="462"/>
    </row>
    <row r="246" spans="1:59" s="461" customFormat="1" ht="18" customHeight="1" x14ac:dyDescent="0.2">
      <c r="A246" s="461" t="str">
        <f t="shared" si="192"/>
        <v>GEDUNG SERBAGUNA KECAMATAN SINGINGI2014</v>
      </c>
      <c r="B246" s="708"/>
      <c r="C246" s="489"/>
      <c r="D246" s="489"/>
      <c r="E246" s="558"/>
      <c r="F246" s="559">
        <v>2014</v>
      </c>
      <c r="G246" s="619">
        <v>0</v>
      </c>
      <c r="H246" s="464">
        <f t="shared" si="193"/>
        <v>45</v>
      </c>
      <c r="I246" s="560"/>
      <c r="J246" s="468">
        <f t="shared" si="194"/>
        <v>2058</v>
      </c>
      <c r="K246" s="490">
        <f t="shared" si="195"/>
        <v>0</v>
      </c>
      <c r="L246" s="469">
        <f t="shared" si="196"/>
        <v>0</v>
      </c>
      <c r="M246" s="683">
        <f t="shared" si="197"/>
        <v>0</v>
      </c>
      <c r="N246" s="470">
        <f t="shared" si="198"/>
        <v>45</v>
      </c>
      <c r="O246" s="468">
        <f t="shared" si="199"/>
        <v>2058</v>
      </c>
      <c r="P246" s="471">
        <f t="shared" si="200"/>
        <v>1548210054.1121373</v>
      </c>
      <c r="Q246" s="472">
        <f t="shared" si="201"/>
        <v>1548210054.1121373</v>
      </c>
      <c r="R246" s="472">
        <f t="shared" si="202"/>
        <v>34404667.869158603</v>
      </c>
      <c r="S246" s="768">
        <f t="shared" si="203"/>
        <v>2014</v>
      </c>
      <c r="T246" s="470">
        <f t="shared" si="204"/>
        <v>1</v>
      </c>
      <c r="U246" s="612">
        <f t="shared" si="205"/>
        <v>34404667.869158603</v>
      </c>
      <c r="V246" s="464">
        <f t="shared" si="206"/>
        <v>2014</v>
      </c>
      <c r="W246" s="612">
        <f t="shared" si="207"/>
        <v>1513805386.2429788</v>
      </c>
      <c r="X246" s="561"/>
      <c r="Y246" s="449"/>
      <c r="Z246" s="449"/>
      <c r="AA246" s="554"/>
      <c r="AB246" s="452"/>
      <c r="AC246" s="452"/>
      <c r="AD246" s="566"/>
      <c r="AE246" s="452"/>
      <c r="AF246" s="571"/>
      <c r="AG246" s="452"/>
      <c r="AH246" s="452"/>
      <c r="AI246" s="453"/>
      <c r="AJ246" s="449"/>
      <c r="AK246" s="453"/>
      <c r="AL246" s="454"/>
      <c r="AM246" s="455"/>
      <c r="AN246" s="456"/>
      <c r="AO246" s="455"/>
      <c r="AP246" s="452"/>
      <c r="AQ246" s="457"/>
      <c r="AR246" s="449"/>
      <c r="AS246" s="449"/>
      <c r="AT246" s="452"/>
      <c r="AU246" s="457"/>
      <c r="AV246" s="449"/>
      <c r="AW246" s="458"/>
      <c r="AX246" s="452"/>
      <c r="AY246" s="457"/>
      <c r="AZ246" s="449"/>
      <c r="BA246" s="459"/>
      <c r="BB246" s="455"/>
      <c r="BC246" s="460"/>
      <c r="BD246" s="460"/>
      <c r="BG246" s="462"/>
    </row>
    <row r="247" spans="1:59" s="461" customFormat="1" ht="18" customHeight="1" x14ac:dyDescent="0.2">
      <c r="A247" s="461" t="str">
        <f t="shared" si="192"/>
        <v>GEDUNG SERBAGUNA KECAMATAN SINGINGI2015</v>
      </c>
      <c r="B247" s="708"/>
      <c r="C247" s="489"/>
      <c r="D247" s="489"/>
      <c r="E247" s="558"/>
      <c r="F247" s="559">
        <v>2015</v>
      </c>
      <c r="G247" s="619">
        <v>0</v>
      </c>
      <c r="H247" s="464">
        <f t="shared" si="193"/>
        <v>44</v>
      </c>
      <c r="I247" s="560"/>
      <c r="J247" s="468">
        <f t="shared" si="194"/>
        <v>2058</v>
      </c>
      <c r="K247" s="490">
        <f t="shared" si="195"/>
        <v>0</v>
      </c>
      <c r="L247" s="469">
        <f t="shared" si="196"/>
        <v>0</v>
      </c>
      <c r="M247" s="683">
        <f t="shared" si="197"/>
        <v>0</v>
      </c>
      <c r="N247" s="470">
        <f t="shared" si="198"/>
        <v>44</v>
      </c>
      <c r="O247" s="468">
        <f t="shared" si="199"/>
        <v>2058</v>
      </c>
      <c r="P247" s="471">
        <f t="shared" si="200"/>
        <v>1513805386.2429788</v>
      </c>
      <c r="Q247" s="472">
        <f t="shared" si="201"/>
        <v>1513805386.2429788</v>
      </c>
      <c r="R247" s="472">
        <f t="shared" si="202"/>
        <v>34404667.869158603</v>
      </c>
      <c r="S247" s="768">
        <f t="shared" si="203"/>
        <v>2015</v>
      </c>
      <c r="T247" s="470">
        <f t="shared" si="204"/>
        <v>1</v>
      </c>
      <c r="U247" s="612">
        <f t="shared" si="205"/>
        <v>34404667.869158603</v>
      </c>
      <c r="V247" s="464">
        <f t="shared" si="206"/>
        <v>2015</v>
      </c>
      <c r="W247" s="612">
        <f t="shared" si="207"/>
        <v>1479400718.3738203</v>
      </c>
      <c r="X247" s="561"/>
      <c r="Y247" s="449"/>
      <c r="Z247" s="449"/>
      <c r="AA247" s="475" t="s">
        <v>4180</v>
      </c>
      <c r="AB247" s="476"/>
      <c r="AC247" s="476"/>
      <c r="AD247" s="567">
        <f>G254</f>
        <v>1720233393.4579301</v>
      </c>
      <c r="AE247" s="452"/>
      <c r="AF247" s="571"/>
      <c r="AG247" s="452"/>
      <c r="AH247" s="452"/>
      <c r="AI247" s="453"/>
      <c r="AJ247" s="449"/>
      <c r="AK247" s="453"/>
      <c r="AL247" s="454"/>
      <c r="AM247" s="455"/>
      <c r="AN247" s="456"/>
      <c r="AO247" s="455"/>
      <c r="AP247" s="452"/>
      <c r="AQ247" s="457"/>
      <c r="AR247" s="449"/>
      <c r="AS247" s="449"/>
      <c r="AT247" s="452"/>
      <c r="AU247" s="457"/>
      <c r="AV247" s="449"/>
      <c r="AW247" s="458"/>
      <c r="AX247" s="452"/>
      <c r="AY247" s="457"/>
      <c r="AZ247" s="449"/>
      <c r="BA247" s="459"/>
      <c r="BB247" s="455"/>
      <c r="BC247" s="460"/>
      <c r="BD247" s="460"/>
      <c r="BG247" s="462"/>
    </row>
    <row r="248" spans="1:59" s="461" customFormat="1" ht="18" customHeight="1" x14ac:dyDescent="0.2">
      <c r="A248" s="461" t="str">
        <f t="shared" si="192"/>
        <v>GEDUNG SERBAGUNA KECAMATAN SINGINGI2016</v>
      </c>
      <c r="B248" s="708"/>
      <c r="C248" s="489"/>
      <c r="D248" s="489"/>
      <c r="E248" s="558"/>
      <c r="F248" s="559">
        <v>2016</v>
      </c>
      <c r="G248" s="619">
        <v>0</v>
      </c>
      <c r="H248" s="464">
        <f t="shared" si="193"/>
        <v>43</v>
      </c>
      <c r="I248" s="560"/>
      <c r="J248" s="468">
        <f t="shared" si="194"/>
        <v>2058</v>
      </c>
      <c r="K248" s="490">
        <f t="shared" si="195"/>
        <v>0</v>
      </c>
      <c r="L248" s="469">
        <f t="shared" si="196"/>
        <v>0</v>
      </c>
      <c r="M248" s="683">
        <f t="shared" si="197"/>
        <v>0</v>
      </c>
      <c r="N248" s="470">
        <f t="shared" si="198"/>
        <v>43</v>
      </c>
      <c r="O248" s="468">
        <f t="shared" si="199"/>
        <v>2058</v>
      </c>
      <c r="P248" s="471">
        <f t="shared" si="200"/>
        <v>1479400718.3738203</v>
      </c>
      <c r="Q248" s="472">
        <f t="shared" si="201"/>
        <v>1479400718.3738203</v>
      </c>
      <c r="R248" s="472">
        <f t="shared" si="202"/>
        <v>34404667.869158603</v>
      </c>
      <c r="S248" s="768">
        <f t="shared" si="203"/>
        <v>2016</v>
      </c>
      <c r="T248" s="470">
        <f t="shared" si="204"/>
        <v>1</v>
      </c>
      <c r="U248" s="612">
        <f t="shared" si="205"/>
        <v>34404667.869158603</v>
      </c>
      <c r="V248" s="464">
        <f t="shared" si="206"/>
        <v>2016</v>
      </c>
      <c r="W248" s="612">
        <f t="shared" si="207"/>
        <v>1444996050.5046618</v>
      </c>
      <c r="X248" s="561"/>
      <c r="Y248" s="449"/>
      <c r="Z248" s="449"/>
      <c r="AA248" s="475" t="s">
        <v>4181</v>
      </c>
      <c r="AB248" s="491"/>
      <c r="AC248" s="491"/>
      <c r="AD248" s="567">
        <f>U254</f>
        <v>378451346.5607447</v>
      </c>
      <c r="AE248" s="452"/>
      <c r="AF248" s="571"/>
      <c r="AG248" s="452"/>
      <c r="AH248" s="452"/>
      <c r="AI248" s="453"/>
      <c r="AJ248" s="449"/>
      <c r="AK248" s="453"/>
      <c r="AL248" s="454"/>
      <c r="AM248" s="455"/>
      <c r="AN248" s="456"/>
      <c r="AO248" s="455"/>
      <c r="AP248" s="452"/>
      <c r="AQ248" s="457"/>
      <c r="AR248" s="449"/>
      <c r="AS248" s="449"/>
      <c r="AT248" s="452"/>
      <c r="AU248" s="457"/>
      <c r="AV248" s="449"/>
      <c r="AW248" s="458"/>
      <c r="AX248" s="452"/>
      <c r="AY248" s="457"/>
      <c r="AZ248" s="449"/>
      <c r="BA248" s="459"/>
      <c r="BB248" s="455"/>
      <c r="BC248" s="460"/>
      <c r="BD248" s="460"/>
      <c r="BG248" s="462"/>
    </row>
    <row r="249" spans="1:59" s="461" customFormat="1" ht="18" customHeight="1" x14ac:dyDescent="0.2">
      <c r="A249" s="461" t="str">
        <f t="shared" si="192"/>
        <v>GEDUNG SERBAGUNA KECAMATAN SINGINGI2017</v>
      </c>
      <c r="B249" s="708"/>
      <c r="C249" s="489"/>
      <c r="D249" s="489"/>
      <c r="E249" s="558"/>
      <c r="F249" s="559">
        <v>2017</v>
      </c>
      <c r="G249" s="619">
        <v>0</v>
      </c>
      <c r="H249" s="464">
        <f t="shared" si="193"/>
        <v>42</v>
      </c>
      <c r="I249" s="560"/>
      <c r="J249" s="468">
        <f t="shared" si="194"/>
        <v>2058</v>
      </c>
      <c r="K249" s="490">
        <f t="shared" si="195"/>
        <v>0</v>
      </c>
      <c r="L249" s="469">
        <f t="shared" si="196"/>
        <v>0</v>
      </c>
      <c r="M249" s="683">
        <f t="shared" si="197"/>
        <v>0</v>
      </c>
      <c r="N249" s="470">
        <f t="shared" si="198"/>
        <v>42</v>
      </c>
      <c r="O249" s="468">
        <f t="shared" si="199"/>
        <v>2058</v>
      </c>
      <c r="P249" s="471">
        <f t="shared" si="200"/>
        <v>1444996050.5046618</v>
      </c>
      <c r="Q249" s="472">
        <f t="shared" si="201"/>
        <v>1444996050.5046618</v>
      </c>
      <c r="R249" s="472">
        <f t="shared" si="202"/>
        <v>34404667.869158603</v>
      </c>
      <c r="S249" s="768">
        <f t="shared" si="203"/>
        <v>2017</v>
      </c>
      <c r="T249" s="470">
        <f t="shared" si="204"/>
        <v>1</v>
      </c>
      <c r="U249" s="612">
        <f t="shared" si="205"/>
        <v>34404667.869158603</v>
      </c>
      <c r="V249" s="464">
        <f t="shared" si="206"/>
        <v>2017</v>
      </c>
      <c r="W249" s="612">
        <f t="shared" si="207"/>
        <v>1410591382.6355033</v>
      </c>
      <c r="X249" s="561"/>
      <c r="Y249" s="449"/>
      <c r="Z249" s="449"/>
      <c r="AA249" s="492" t="s">
        <v>4182</v>
      </c>
      <c r="AB249" s="476"/>
      <c r="AC249" s="476"/>
      <c r="AD249" s="568">
        <f>AD247-AD248</f>
        <v>1341782046.8971853</v>
      </c>
      <c r="AE249" s="452"/>
      <c r="AF249" s="571"/>
      <c r="AG249" s="452"/>
      <c r="AH249" s="452"/>
      <c r="AI249" s="453"/>
      <c r="AJ249" s="449"/>
      <c r="AK249" s="453"/>
      <c r="AL249" s="454"/>
      <c r="AM249" s="455"/>
      <c r="AN249" s="456"/>
      <c r="AO249" s="455"/>
      <c r="AP249" s="452"/>
      <c r="AQ249" s="457"/>
      <c r="AR249" s="449"/>
      <c r="AS249" s="449"/>
      <c r="AT249" s="452"/>
      <c r="AU249" s="457"/>
      <c r="AV249" s="449"/>
      <c r="AW249" s="458"/>
      <c r="AX249" s="452"/>
      <c r="AY249" s="457"/>
      <c r="AZ249" s="449"/>
      <c r="BA249" s="459"/>
      <c r="BB249" s="455"/>
      <c r="BC249" s="460"/>
      <c r="BD249" s="460"/>
      <c r="BG249" s="462"/>
    </row>
    <row r="250" spans="1:59" s="461" customFormat="1" ht="18" customHeight="1" x14ac:dyDescent="0.2">
      <c r="A250" s="461" t="str">
        <f t="shared" si="192"/>
        <v>GEDUNG SERBAGUNA KECAMATAN SINGINGI2018</v>
      </c>
      <c r="B250" s="708"/>
      <c r="C250" s="489"/>
      <c r="D250" s="489"/>
      <c r="E250" s="558"/>
      <c r="F250" s="466">
        <v>2018</v>
      </c>
      <c r="G250" s="619">
        <v>0</v>
      </c>
      <c r="H250" s="464">
        <f t="shared" si="193"/>
        <v>41</v>
      </c>
      <c r="I250" s="560"/>
      <c r="J250" s="468">
        <f t="shared" si="194"/>
        <v>2058</v>
      </c>
      <c r="K250" s="490">
        <f t="shared" si="195"/>
        <v>0</v>
      </c>
      <c r="L250" s="469">
        <f t="shared" si="196"/>
        <v>0</v>
      </c>
      <c r="M250" s="683">
        <f t="shared" si="197"/>
        <v>0</v>
      </c>
      <c r="N250" s="470">
        <f t="shared" si="198"/>
        <v>41</v>
      </c>
      <c r="O250" s="468">
        <f t="shared" si="199"/>
        <v>2058</v>
      </c>
      <c r="P250" s="471">
        <f t="shared" si="200"/>
        <v>1410591382.6355033</v>
      </c>
      <c r="Q250" s="472">
        <f t="shared" si="201"/>
        <v>1410591382.6355033</v>
      </c>
      <c r="R250" s="472">
        <f t="shared" si="202"/>
        <v>34404667.869158603</v>
      </c>
      <c r="S250" s="768">
        <f t="shared" si="203"/>
        <v>2018</v>
      </c>
      <c r="T250" s="470">
        <f t="shared" si="204"/>
        <v>1</v>
      </c>
      <c r="U250" s="612">
        <f t="shared" si="205"/>
        <v>34404667.869158603</v>
      </c>
      <c r="V250" s="464">
        <f t="shared" si="206"/>
        <v>2018</v>
      </c>
      <c r="W250" s="612">
        <f t="shared" si="207"/>
        <v>1376186714.7663448</v>
      </c>
      <c r="X250" s="561"/>
      <c r="Y250" s="449"/>
      <c r="Z250" s="449"/>
      <c r="AA250" s="475" t="s">
        <v>4183</v>
      </c>
      <c r="AB250" s="476"/>
      <c r="AC250" s="476"/>
      <c r="AD250" s="567">
        <f>AD249-W254</f>
        <v>0</v>
      </c>
      <c r="AE250" s="452"/>
      <c r="AF250" s="571"/>
      <c r="AG250" s="452"/>
      <c r="AH250" s="452"/>
      <c r="AI250" s="453"/>
      <c r="AJ250" s="449"/>
      <c r="AK250" s="453"/>
      <c r="AL250" s="454"/>
      <c r="AM250" s="455"/>
      <c r="AN250" s="456"/>
      <c r="AO250" s="455"/>
      <c r="AP250" s="452"/>
      <c r="AQ250" s="457"/>
      <c r="AR250" s="449"/>
      <c r="AS250" s="449"/>
      <c r="AT250" s="452"/>
      <c r="AU250" s="457"/>
      <c r="AV250" s="449"/>
      <c r="AW250" s="458"/>
      <c r="AX250" s="452"/>
      <c r="AY250" s="457"/>
      <c r="AZ250" s="449"/>
      <c r="BA250" s="459"/>
      <c r="BB250" s="455"/>
      <c r="BC250" s="460"/>
      <c r="BD250" s="460"/>
      <c r="BG250" s="462"/>
    </row>
    <row r="251" spans="1:59" s="486" customFormat="1" ht="18" customHeight="1" x14ac:dyDescent="0.2">
      <c r="A251" s="461" t="str">
        <f t="shared" si="192"/>
        <v>GEDUNG SERBAGUNA KECAMATAN SINGINGI2019</v>
      </c>
      <c r="B251" s="708"/>
      <c r="C251" s="463"/>
      <c r="D251" s="489"/>
      <c r="E251" s="465"/>
      <c r="F251" s="559">
        <v>2019</v>
      </c>
      <c r="G251" s="619">
        <v>0</v>
      </c>
      <c r="H251" s="464">
        <f>IF(N250-(F251-F250)&lt;=0,0,(N250-(F251-F250)))</f>
        <v>40</v>
      </c>
      <c r="I251" s="560"/>
      <c r="J251" s="468">
        <f>(F251+N251)-1</f>
        <v>2058</v>
      </c>
      <c r="K251" s="490">
        <f>IF(G251=0,0,IF(H251=50,100%,G251/W250))</f>
        <v>0</v>
      </c>
      <c r="L251" s="469">
        <f>IF(K251=0%,0,IF(K251&lt;=25%,5,IF(K251&lt;=50%,10,IF(K251&lt;=75%,15,50))))</f>
        <v>0</v>
      </c>
      <c r="M251" s="683">
        <f>IF(OR(AND(ISBLANK(E251),ISBLANK(G251)),ISTEXT(E251),ISTEXT(G251)),"",IF(H251+L251&gt;$H$27,$H$27-H251,L251))</f>
        <v>0</v>
      </c>
      <c r="N251" s="470">
        <f>IF(OR(AND(ISBLANK(F251),ISBLANK(G251)),ISTEXT(F251),ISTEXT(G251)),"",H251+M251)</f>
        <v>40</v>
      </c>
      <c r="O251" s="468">
        <f>(F251+N251)-1</f>
        <v>2058</v>
      </c>
      <c r="P251" s="471">
        <f>W250</f>
        <v>1376186714.7663448</v>
      </c>
      <c r="Q251" s="472">
        <f>P251+G251</f>
        <v>1376186714.7663448</v>
      </c>
      <c r="R251" s="472">
        <f>IF(L251=0,R250,Q251/N251)</f>
        <v>34404667.869158603</v>
      </c>
      <c r="S251" s="1189">
        <f>F251</f>
        <v>2019</v>
      </c>
      <c r="T251" s="470">
        <f>S251-S250</f>
        <v>1</v>
      </c>
      <c r="U251" s="612">
        <f>R251*T251</f>
        <v>34404667.869158603</v>
      </c>
      <c r="V251" s="464">
        <f>F251</f>
        <v>2019</v>
      </c>
      <c r="W251" s="612">
        <f>IF(OR(AND(ISBLANK(E251),ISBLANK(G251)),ISTEXT(E251),ISTEXT(G251)),"",Q251-U251)</f>
        <v>1341782046.8971863</v>
      </c>
      <c r="X251" s="473"/>
      <c r="Y251" s="474"/>
      <c r="Z251" s="449"/>
      <c r="AA251" s="495"/>
      <c r="AB251" s="496"/>
      <c r="AC251" s="496"/>
      <c r="AD251" s="569"/>
      <c r="AE251" s="476"/>
      <c r="AF251" s="568"/>
      <c r="AG251" s="476"/>
      <c r="AH251" s="476"/>
      <c r="AI251" s="477"/>
      <c r="AJ251" s="478"/>
      <c r="AK251" s="479"/>
      <c r="AL251" s="480"/>
      <c r="AM251" s="474"/>
      <c r="AN251" s="481"/>
      <c r="AO251" s="474"/>
      <c r="AP251" s="476"/>
      <c r="AQ251" s="482"/>
      <c r="AR251" s="478"/>
      <c r="AS251" s="478"/>
      <c r="AT251" s="476"/>
      <c r="AU251" s="482"/>
      <c r="AV251" s="478"/>
      <c r="AW251" s="483"/>
      <c r="AX251" s="476"/>
      <c r="AY251" s="482"/>
      <c r="AZ251" s="478"/>
      <c r="BA251" s="484"/>
      <c r="BB251" s="474"/>
      <c r="BC251" s="485"/>
      <c r="BD251" s="485"/>
      <c r="BG251" s="487"/>
    </row>
    <row r="252" spans="1:59" s="486" customFormat="1" ht="18" customHeight="1" x14ac:dyDescent="0.2">
      <c r="B252" s="708"/>
      <c r="C252" s="488"/>
      <c r="D252" s="489"/>
      <c r="E252" s="465"/>
      <c r="F252" s="466"/>
      <c r="G252" s="620"/>
      <c r="H252" s="464"/>
      <c r="I252" s="467"/>
      <c r="J252" s="468"/>
      <c r="K252" s="490"/>
      <c r="L252" s="469"/>
      <c r="M252" s="683"/>
      <c r="N252" s="470"/>
      <c r="O252" s="468"/>
      <c r="P252" s="471"/>
      <c r="Q252" s="472"/>
      <c r="R252" s="472"/>
      <c r="S252" s="629"/>
      <c r="T252" s="470"/>
      <c r="U252" s="612"/>
      <c r="V252" s="464"/>
      <c r="W252" s="612"/>
      <c r="X252" s="473"/>
      <c r="Y252" s="478"/>
      <c r="Z252" s="449"/>
      <c r="AA252" s="699"/>
      <c r="AB252" s="700"/>
      <c r="AC252" s="700"/>
      <c r="AD252" s="701"/>
      <c r="AE252" s="491"/>
      <c r="AF252" s="568"/>
      <c r="AG252" s="491"/>
      <c r="AH252" s="491"/>
      <c r="AI252" s="477"/>
      <c r="AJ252" s="478"/>
      <c r="AK252" s="479"/>
      <c r="AL252" s="480"/>
      <c r="AM252" s="474"/>
      <c r="AN252" s="481"/>
      <c r="AO252" s="474"/>
      <c r="AP252" s="476"/>
      <c r="AQ252" s="482"/>
      <c r="AR252" s="478"/>
      <c r="AS252" s="478"/>
      <c r="AT252" s="476"/>
      <c r="AU252" s="482"/>
      <c r="AV252" s="478"/>
      <c r="AW252" s="483"/>
      <c r="AX252" s="476"/>
      <c r="AY252" s="482"/>
      <c r="AZ252" s="478"/>
      <c r="BA252" s="484"/>
      <c r="BB252" s="474"/>
      <c r="BC252" s="485"/>
      <c r="BD252" s="485"/>
      <c r="BG252" s="487"/>
    </row>
    <row r="253" spans="1:59" s="486" customFormat="1" ht="18" customHeight="1" x14ac:dyDescent="0.2">
      <c r="B253" s="687"/>
      <c r="C253" s="494"/>
      <c r="D253" s="464"/>
      <c r="E253" s="465"/>
      <c r="F253" s="466"/>
      <c r="G253" s="620"/>
      <c r="H253" s="464"/>
      <c r="I253" s="467"/>
      <c r="J253" s="468"/>
      <c r="K253" s="490"/>
      <c r="L253" s="469"/>
      <c r="M253" s="683"/>
      <c r="N253" s="470"/>
      <c r="O253" s="468"/>
      <c r="P253" s="471"/>
      <c r="Q253" s="472"/>
      <c r="R253" s="472"/>
      <c r="S253" s="629"/>
      <c r="T253" s="470"/>
      <c r="U253" s="612"/>
      <c r="V253" s="464"/>
      <c r="W253" s="612"/>
      <c r="X253" s="473"/>
      <c r="Y253" s="478"/>
      <c r="Z253" s="449"/>
      <c r="AA253" s="497"/>
      <c r="AB253" s="476"/>
      <c r="AC253" s="476"/>
      <c r="AD253" s="568"/>
      <c r="AE253" s="476"/>
      <c r="AF253" s="568"/>
      <c r="AG253" s="476"/>
      <c r="AH253" s="476"/>
      <c r="AI253" s="477"/>
      <c r="AJ253" s="478"/>
      <c r="AK253" s="479"/>
      <c r="AL253" s="480"/>
      <c r="AM253" s="474"/>
      <c r="AN253" s="481"/>
      <c r="AO253" s="474"/>
      <c r="AP253" s="476"/>
      <c r="AQ253" s="482"/>
      <c r="AR253" s="478"/>
      <c r="AS253" s="478"/>
      <c r="AT253" s="476"/>
      <c r="AU253" s="482"/>
      <c r="AV253" s="478"/>
      <c r="AW253" s="483"/>
      <c r="AX253" s="476"/>
      <c r="AY253" s="482"/>
      <c r="AZ253" s="478"/>
      <c r="BA253" s="484"/>
      <c r="BB253" s="474"/>
      <c r="BC253" s="485"/>
      <c r="BD253" s="485"/>
      <c r="BG253" s="487"/>
    </row>
    <row r="254" spans="1:59" s="526" customFormat="1" ht="18" customHeight="1" x14ac:dyDescent="0.2">
      <c r="B254" s="1956" t="s">
        <v>4184</v>
      </c>
      <c r="C254" s="1957"/>
      <c r="D254" s="1957"/>
      <c r="E254" s="1957"/>
      <c r="F254" s="1958"/>
      <c r="G254" s="621">
        <f>SUM(G243:G253)</f>
        <v>1720233393.4579301</v>
      </c>
      <c r="H254" s="505"/>
      <c r="I254" s="506"/>
      <c r="J254" s="507"/>
      <c r="K254" s="507"/>
      <c r="L254" s="505"/>
      <c r="M254" s="684"/>
      <c r="N254" s="508"/>
      <c r="O254" s="507"/>
      <c r="P254" s="509"/>
      <c r="Q254" s="510"/>
      <c r="R254" s="511"/>
      <c r="S254" s="512"/>
      <c r="T254" s="512"/>
      <c r="U254" s="610">
        <f>SUM(U243:U253)</f>
        <v>378451346.5607447</v>
      </c>
      <c r="V254" s="513"/>
      <c r="W254" s="610">
        <f>G254-U254</f>
        <v>1341782046.8971853</v>
      </c>
      <c r="X254" s="514"/>
      <c r="Y254" s="515"/>
      <c r="Z254" s="515"/>
      <c r="AA254" s="515"/>
      <c r="AB254" s="515"/>
      <c r="AC254" s="515"/>
      <c r="AD254" s="570"/>
      <c r="AE254" s="515"/>
      <c r="AF254" s="570"/>
      <c r="AG254" s="515"/>
      <c r="AH254" s="515"/>
      <c r="AI254" s="516"/>
      <c r="AJ254" s="517"/>
      <c r="AK254" s="518"/>
      <c r="AL254" s="519"/>
      <c r="AM254" s="520"/>
      <c r="AN254" s="521"/>
      <c r="AO254" s="520"/>
      <c r="AP254" s="515"/>
      <c r="AQ254" s="522"/>
      <c r="AR254" s="517"/>
      <c r="AS254" s="517"/>
      <c r="AT254" s="515"/>
      <c r="AU254" s="522"/>
      <c r="AV254" s="517"/>
      <c r="AW254" s="523"/>
      <c r="AX254" s="515"/>
      <c r="AY254" s="522"/>
      <c r="AZ254" s="517"/>
      <c r="BA254" s="524"/>
      <c r="BB254" s="520"/>
      <c r="BC254" s="525"/>
      <c r="BD254" s="525"/>
      <c r="BG254" s="527"/>
    </row>
    <row r="255" spans="1:59" s="526" customFormat="1" ht="18" customHeight="1" x14ac:dyDescent="0.2">
      <c r="B255" s="741"/>
      <c r="C255" s="697"/>
      <c r="D255" s="697"/>
      <c r="E255" s="697"/>
      <c r="F255" s="585"/>
      <c r="G255" s="622"/>
      <c r="H255" s="586"/>
      <c r="I255" s="587"/>
      <c r="J255" s="588"/>
      <c r="K255" s="588"/>
      <c r="L255" s="586"/>
      <c r="M255" s="521"/>
      <c r="N255" s="589"/>
      <c r="O255" s="588"/>
      <c r="P255" s="590"/>
      <c r="Q255" s="591"/>
      <c r="R255" s="592"/>
      <c r="S255" s="593"/>
      <c r="T255" s="593"/>
      <c r="U255" s="570"/>
      <c r="V255" s="594"/>
      <c r="W255" s="570"/>
      <c r="X255" s="515"/>
      <c r="Y255" s="515"/>
      <c r="Z255" s="515"/>
      <c r="AA255" s="515"/>
      <c r="AB255" s="515"/>
      <c r="AC255" s="515"/>
      <c r="AD255" s="570"/>
      <c r="AE255" s="515"/>
      <c r="AF255" s="570"/>
      <c r="AG255" s="515"/>
      <c r="AH255" s="515"/>
      <c r="AI255" s="516"/>
      <c r="AJ255" s="517"/>
      <c r="AK255" s="518"/>
      <c r="AL255" s="519"/>
      <c r="AM255" s="520"/>
      <c r="AN255" s="521"/>
      <c r="AO255" s="520"/>
      <c r="AP255" s="515"/>
      <c r="AQ255" s="522"/>
      <c r="AR255" s="517"/>
      <c r="AS255" s="517"/>
      <c r="AT255" s="515"/>
      <c r="AU255" s="522"/>
      <c r="AV255" s="517"/>
      <c r="AW255" s="523"/>
      <c r="AX255" s="515"/>
      <c r="AY255" s="522"/>
      <c r="AZ255" s="517"/>
      <c r="BA255" s="524"/>
      <c r="BB255" s="520"/>
      <c r="BC255" s="525"/>
      <c r="BD255" s="525"/>
      <c r="BG255" s="527"/>
    </row>
    <row r="256" spans="1:59" s="526" customFormat="1" ht="18" customHeight="1" x14ac:dyDescent="0.2">
      <c r="B256" s="575"/>
      <c r="C256" s="585"/>
      <c r="D256" s="585"/>
      <c r="E256" s="585"/>
      <c r="F256" s="585"/>
      <c r="G256" s="622"/>
      <c r="H256" s="586"/>
      <c r="I256" s="587"/>
      <c r="J256" s="588"/>
      <c r="K256" s="588"/>
      <c r="L256" s="586"/>
      <c r="M256" s="521"/>
      <c r="N256" s="589"/>
      <c r="O256" s="588"/>
      <c r="P256" s="590"/>
      <c r="Q256" s="591"/>
      <c r="R256" s="592"/>
      <c r="S256" s="593"/>
      <c r="T256" s="593"/>
      <c r="U256" s="570"/>
      <c r="V256" s="594"/>
      <c r="W256" s="570"/>
      <c r="X256" s="515"/>
      <c r="Y256" s="515"/>
      <c r="Z256" s="515"/>
      <c r="AA256" s="515"/>
      <c r="AB256" s="515"/>
      <c r="AC256" s="515"/>
      <c r="AD256" s="570"/>
      <c r="AE256" s="515"/>
      <c r="AF256" s="570"/>
      <c r="AG256" s="515"/>
      <c r="AH256" s="515"/>
      <c r="AI256" s="516"/>
      <c r="AJ256" s="517"/>
      <c r="AK256" s="518"/>
      <c r="AL256" s="519"/>
      <c r="AM256" s="520"/>
      <c r="AN256" s="521"/>
      <c r="AO256" s="520"/>
      <c r="AP256" s="515"/>
      <c r="AQ256" s="522"/>
      <c r="AR256" s="517"/>
      <c r="AS256" s="517"/>
      <c r="AT256" s="515"/>
      <c r="AU256" s="522"/>
      <c r="AV256" s="517"/>
      <c r="AW256" s="523"/>
      <c r="AX256" s="515"/>
      <c r="AY256" s="522"/>
      <c r="AZ256" s="517"/>
      <c r="BA256" s="524"/>
      <c r="BB256" s="520"/>
      <c r="BC256" s="525"/>
      <c r="BD256" s="525"/>
      <c r="BG256" s="527"/>
    </row>
    <row r="257" spans="1:59" s="422" customFormat="1" ht="18" customHeight="1" x14ac:dyDescent="0.2">
      <c r="B257" s="688" t="s">
        <v>4218</v>
      </c>
      <c r="C257" s="556"/>
      <c r="D257" s="553" t="s">
        <v>3021</v>
      </c>
      <c r="E257" s="553"/>
      <c r="F257" s="421"/>
      <c r="G257" s="611"/>
      <c r="I257" s="423"/>
      <c r="J257" s="424"/>
      <c r="K257" s="424"/>
      <c r="M257" s="680"/>
      <c r="U257" s="611"/>
      <c r="W257" s="611"/>
      <c r="Y257" s="425"/>
      <c r="Z257" s="425"/>
      <c r="AA257" s="425"/>
      <c r="AB257" s="425"/>
      <c r="AC257" s="425"/>
      <c r="AD257" s="563"/>
      <c r="AE257" s="425"/>
      <c r="AF257" s="563"/>
      <c r="AG257" s="425"/>
      <c r="AH257" s="425"/>
      <c r="AI257" s="425"/>
      <c r="AJ257" s="425"/>
      <c r="AK257" s="425"/>
      <c r="AL257" s="425"/>
      <c r="AM257" s="425"/>
      <c r="AN257" s="425"/>
      <c r="AO257" s="425"/>
      <c r="AP257" s="425"/>
      <c r="AQ257" s="425"/>
      <c r="AR257" s="425"/>
      <c r="AS257" s="425"/>
      <c r="AT257" s="425"/>
      <c r="AU257" s="425"/>
      <c r="AV257" s="425"/>
      <c r="AW257" s="425"/>
      <c r="AX257" s="425"/>
      <c r="AY257" s="425"/>
      <c r="AZ257" s="425"/>
      <c r="BA257" s="425"/>
      <c r="BB257" s="425"/>
    </row>
    <row r="258" spans="1:59" s="431" customFormat="1" ht="18" customHeight="1" x14ac:dyDescent="0.2">
      <c r="B258" s="1968" t="s">
        <v>5</v>
      </c>
      <c r="C258" s="1968" t="s">
        <v>2280</v>
      </c>
      <c r="D258" s="1968" t="s">
        <v>4157</v>
      </c>
      <c r="E258" s="1968" t="s">
        <v>4158</v>
      </c>
      <c r="F258" s="1968"/>
      <c r="G258" s="1969" t="s">
        <v>4159</v>
      </c>
      <c r="H258" s="1355" t="s">
        <v>4160</v>
      </c>
      <c r="I258" s="1355"/>
      <c r="J258" s="1968" t="s">
        <v>4161</v>
      </c>
      <c r="K258" s="1964" t="s">
        <v>4162</v>
      </c>
      <c r="L258" s="1968" t="s">
        <v>4163</v>
      </c>
      <c r="M258" s="1971" t="s">
        <v>4164</v>
      </c>
      <c r="N258" s="1962" t="s">
        <v>4165</v>
      </c>
      <c r="O258" s="1968" t="s">
        <v>4166</v>
      </c>
      <c r="P258" s="1972" t="s">
        <v>4167</v>
      </c>
      <c r="Q258" s="1973"/>
      <c r="R258" s="631" t="s">
        <v>4168</v>
      </c>
      <c r="S258" s="1972" t="s">
        <v>4169</v>
      </c>
      <c r="T258" s="1974"/>
      <c r="U258" s="1973"/>
      <c r="V258" s="1975" t="s">
        <v>4170</v>
      </c>
      <c r="W258" s="1975"/>
      <c r="X258" s="1960" t="s">
        <v>4171</v>
      </c>
      <c r="Y258" s="1959"/>
      <c r="Z258" s="628"/>
      <c r="AA258" s="426"/>
      <c r="AB258" s="426"/>
      <c r="AC258" s="426"/>
      <c r="AD258" s="564"/>
      <c r="AE258" s="426"/>
      <c r="AF258" s="564"/>
      <c r="AG258" s="426"/>
      <c r="AH258" s="426"/>
      <c r="AI258" s="427"/>
      <c r="AJ258" s="427"/>
      <c r="AK258" s="427"/>
      <c r="AL258" s="427"/>
      <c r="AM258" s="428"/>
      <c r="AN258" s="427"/>
      <c r="AO258" s="427"/>
      <c r="AP258" s="426"/>
      <c r="AQ258" s="427"/>
      <c r="AR258" s="427"/>
      <c r="AS258" s="427"/>
      <c r="AT258" s="426"/>
      <c r="AU258" s="427"/>
      <c r="AV258" s="427"/>
      <c r="AW258" s="427"/>
      <c r="AX258" s="426"/>
      <c r="AY258" s="427"/>
      <c r="AZ258" s="427"/>
      <c r="BA258" s="427"/>
      <c r="BB258" s="429"/>
      <c r="BC258" s="430"/>
      <c r="BD258" s="430"/>
    </row>
    <row r="259" spans="1:59" s="431" customFormat="1" ht="18" customHeight="1" x14ac:dyDescent="0.2">
      <c r="B259" s="1968"/>
      <c r="C259" s="1968"/>
      <c r="D259" s="1968"/>
      <c r="E259" s="1968"/>
      <c r="F259" s="1968"/>
      <c r="G259" s="1969"/>
      <c r="H259" s="1355"/>
      <c r="I259" s="1355"/>
      <c r="J259" s="1968"/>
      <c r="K259" s="1970"/>
      <c r="L259" s="1968"/>
      <c r="M259" s="1971"/>
      <c r="N259" s="1963"/>
      <c r="O259" s="1968"/>
      <c r="P259" s="1960" t="s">
        <v>4172</v>
      </c>
      <c r="Q259" s="1960" t="s">
        <v>4173</v>
      </c>
      <c r="R259" s="1962" t="s">
        <v>4159</v>
      </c>
      <c r="S259" s="1962" t="s">
        <v>4174</v>
      </c>
      <c r="T259" s="1964" t="s">
        <v>4175</v>
      </c>
      <c r="U259" s="1966" t="s">
        <v>4159</v>
      </c>
      <c r="V259" s="1975"/>
      <c r="W259" s="1975"/>
      <c r="X259" s="1976"/>
      <c r="Y259" s="1959"/>
      <c r="Z259" s="628"/>
      <c r="AA259" s="426"/>
      <c r="AB259" s="426"/>
      <c r="AC259" s="426"/>
      <c r="AD259" s="564"/>
      <c r="AE259" s="426"/>
      <c r="AF259" s="564"/>
      <c r="AG259" s="426"/>
      <c r="AH259" s="426"/>
      <c r="AI259" s="427"/>
      <c r="AJ259" s="427"/>
      <c r="AK259" s="426"/>
      <c r="AL259" s="427"/>
      <c r="AM259" s="428"/>
      <c r="AN259" s="427"/>
      <c r="AO259" s="427"/>
      <c r="AP259" s="432"/>
      <c r="AQ259" s="427"/>
      <c r="AR259" s="427"/>
      <c r="AS259" s="427"/>
      <c r="AT259" s="432"/>
      <c r="AU259" s="427"/>
      <c r="AV259" s="427"/>
      <c r="AW259" s="427"/>
      <c r="AX259" s="432"/>
      <c r="AY259" s="427"/>
      <c r="AZ259" s="427"/>
      <c r="BA259" s="427"/>
      <c r="BB259" s="429"/>
      <c r="BC259" s="430"/>
      <c r="BD259" s="430"/>
    </row>
    <row r="260" spans="1:59" s="431" customFormat="1" ht="21.75" customHeight="1" x14ac:dyDescent="0.2">
      <c r="B260" s="1968"/>
      <c r="C260" s="1968"/>
      <c r="D260" s="1968"/>
      <c r="E260" s="433" t="s">
        <v>4176</v>
      </c>
      <c r="F260" s="434" t="s">
        <v>2288</v>
      </c>
      <c r="G260" s="1969"/>
      <c r="H260" s="1355" t="s">
        <v>2288</v>
      </c>
      <c r="I260" s="1355" t="s">
        <v>4177</v>
      </c>
      <c r="J260" s="1968"/>
      <c r="K260" s="1965"/>
      <c r="L260" s="435" t="s">
        <v>2288</v>
      </c>
      <c r="M260" s="681" t="s">
        <v>2288</v>
      </c>
      <c r="N260" s="630" t="s">
        <v>2288</v>
      </c>
      <c r="O260" s="1968"/>
      <c r="P260" s="1961"/>
      <c r="Q260" s="1961"/>
      <c r="R260" s="1963"/>
      <c r="S260" s="1963"/>
      <c r="T260" s="1965"/>
      <c r="U260" s="1967"/>
      <c r="V260" s="630" t="s">
        <v>4178</v>
      </c>
      <c r="W260" s="632" t="s">
        <v>4159</v>
      </c>
      <c r="X260" s="1961"/>
      <c r="Y260" s="436"/>
      <c r="Z260" s="436"/>
      <c r="AA260" s="426"/>
      <c r="AB260" s="426"/>
      <c r="AC260" s="426"/>
      <c r="AD260" s="564"/>
      <c r="AE260" s="426"/>
      <c r="AF260" s="564"/>
      <c r="AG260" s="426"/>
      <c r="AH260" s="426"/>
      <c r="AI260" s="427"/>
      <c r="AJ260" s="432"/>
      <c r="AK260" s="432"/>
      <c r="AL260" s="427"/>
      <c r="AM260" s="428"/>
      <c r="AN260" s="432"/>
      <c r="AO260" s="427"/>
      <c r="AP260" s="432"/>
      <c r="AQ260" s="432"/>
      <c r="AR260" s="427"/>
      <c r="AS260" s="427"/>
      <c r="AT260" s="432"/>
      <c r="AU260" s="432"/>
      <c r="AV260" s="427"/>
      <c r="AW260" s="427"/>
      <c r="AX260" s="432"/>
      <c r="AY260" s="432"/>
      <c r="AZ260" s="427"/>
      <c r="BA260" s="427"/>
      <c r="BB260" s="429"/>
      <c r="BC260" s="430"/>
      <c r="BD260" s="430"/>
    </row>
    <row r="261" spans="1:59" s="461" customFormat="1" ht="18" customHeight="1" x14ac:dyDescent="0.2">
      <c r="A261" s="461" t="str">
        <f>$D$257&amp;S261</f>
        <v>BALAI DIKLAT2010</v>
      </c>
      <c r="B261" s="689">
        <v>1</v>
      </c>
      <c r="C261" s="597" t="s">
        <v>2649</v>
      </c>
      <c r="D261" s="597" t="s">
        <v>1752</v>
      </c>
      <c r="E261" s="598"/>
      <c r="F261" s="599">
        <v>2010</v>
      </c>
      <c r="G261" s="626">
        <v>1994193424.089128</v>
      </c>
      <c r="H261" s="600">
        <f>VLOOKUP(LEFT(D261,8),UE,4)</f>
        <v>50</v>
      </c>
      <c r="I261" s="601"/>
      <c r="J261" s="602">
        <f>(F261+N261)-1</f>
        <v>2059</v>
      </c>
      <c r="K261" s="603"/>
      <c r="L261" s="600"/>
      <c r="M261" s="685">
        <f>IF(H261+L261&gt;$H261,$H261-H261,L261)</f>
        <v>0</v>
      </c>
      <c r="N261" s="604">
        <f>H261+M261</f>
        <v>50</v>
      </c>
      <c r="O261" s="602">
        <f>(F261+N261)-1</f>
        <v>2059</v>
      </c>
      <c r="P261" s="605">
        <f>G261</f>
        <v>1994193424.089128</v>
      </c>
      <c r="Q261" s="606">
        <v>0</v>
      </c>
      <c r="R261" s="606">
        <f>P261/N261</f>
        <v>39883868.481782563</v>
      </c>
      <c r="S261" s="607">
        <f t="shared" ref="S261:S267" si="208">F261</f>
        <v>2010</v>
      </c>
      <c r="T261" s="608">
        <v>1</v>
      </c>
      <c r="U261" s="615">
        <f t="shared" ref="U261:U267" si="209">R261*T261</f>
        <v>39883868.481782563</v>
      </c>
      <c r="V261" s="602">
        <f>F261</f>
        <v>2010</v>
      </c>
      <c r="W261" s="618">
        <f>IF(OR(AND(ISBLANK(E261),ISBLANK(G261)),ISTEXT(E261),ISTEXT(G261)),"",G261-R261)</f>
        <v>1954309555.6073453</v>
      </c>
      <c r="X261" s="609"/>
      <c r="Y261" s="449"/>
      <c r="Z261" s="449"/>
      <c r="AA261" s="694"/>
      <c r="AB261" s="692"/>
      <c r="AC261" s="692"/>
      <c r="AD261" s="695"/>
      <c r="AE261" s="452"/>
      <c r="AF261" s="571"/>
      <c r="AG261" s="452"/>
      <c r="AH261" s="452"/>
      <c r="AI261" s="453"/>
      <c r="AJ261" s="449"/>
      <c r="AK261" s="453"/>
      <c r="AL261" s="454"/>
      <c r="AM261" s="455"/>
      <c r="AN261" s="456"/>
      <c r="AO261" s="455"/>
      <c r="AP261" s="452"/>
      <c r="AQ261" s="457"/>
      <c r="AR261" s="449"/>
      <c r="AS261" s="449"/>
      <c r="AT261" s="452"/>
      <c r="AU261" s="457"/>
      <c r="AV261" s="449"/>
      <c r="AW261" s="458"/>
      <c r="AX261" s="452"/>
      <c r="AY261" s="457"/>
      <c r="AZ261" s="449"/>
      <c r="BA261" s="459"/>
      <c r="BB261" s="455"/>
      <c r="BC261" s="460"/>
      <c r="BD261" s="460"/>
      <c r="BG261" s="462"/>
    </row>
    <row r="262" spans="1:59" s="461" customFormat="1" ht="18" customHeight="1" x14ac:dyDescent="0.2">
      <c r="A262" s="461" t="str">
        <f t="shared" ref="A262:A269" si="210">$D$257&amp;S262</f>
        <v>BALAI DIKLAT2011</v>
      </c>
      <c r="B262" s="708">
        <v>2</v>
      </c>
      <c r="C262" s="489" t="s">
        <v>2682</v>
      </c>
      <c r="D262" s="489" t="s">
        <v>1752</v>
      </c>
      <c r="E262" s="558"/>
      <c r="F262" s="559">
        <v>2011</v>
      </c>
      <c r="G262" s="619">
        <v>100898841.28566745</v>
      </c>
      <c r="H262" s="464">
        <f t="shared" ref="H262:H267" si="211">IF(N261-(F262-F261)&lt;=0,0,(N261-(F262-F261)))</f>
        <v>49</v>
      </c>
      <c r="I262" s="560"/>
      <c r="J262" s="468">
        <f t="shared" ref="J262:J267" si="212">(F262+N262)-1</f>
        <v>2060</v>
      </c>
      <c r="K262" s="490">
        <f t="shared" ref="K262:K268" si="213">IF(G262=0,0,IF(H262=50,100%,G262/W261))</f>
        <v>5.1628894202643799E-2</v>
      </c>
      <c r="L262" s="469">
        <f>IF(K262=0%,0,IF(K262&lt;=25%,5,IF(K262&lt;=50%,10,IF(K262&lt;=75%,15,50))))</f>
        <v>5</v>
      </c>
      <c r="M262" s="683">
        <f t="shared" ref="M262:M267" si="214">IF(OR(AND(ISBLANK(E262),ISBLANK(G262)),ISTEXT(E262),ISTEXT(G262)),"",IF(H262+L262&gt;$H$27,$H$27-H262,L262))</f>
        <v>1</v>
      </c>
      <c r="N262" s="470">
        <f t="shared" ref="N262:N267" si="215">IF(OR(AND(ISBLANK(F262),ISBLANK(G262)),ISTEXT(F262),ISTEXT(G262)),"",H262+M262)</f>
        <v>50</v>
      </c>
      <c r="O262" s="468">
        <f t="shared" ref="O262:O267" si="216">(F262+N262)-1</f>
        <v>2060</v>
      </c>
      <c r="P262" s="471">
        <f t="shared" ref="P262:P269" si="217">W261</f>
        <v>1954309555.6073453</v>
      </c>
      <c r="Q262" s="472">
        <f t="shared" ref="Q262:Q267" si="218">P262+G262</f>
        <v>2055208396.8930128</v>
      </c>
      <c r="R262" s="472">
        <f t="shared" ref="R262:R269" si="219">IF(L262=0,R261,Q262/N262)</f>
        <v>41104167.937860258</v>
      </c>
      <c r="S262" s="629">
        <f t="shared" si="208"/>
        <v>2011</v>
      </c>
      <c r="T262" s="470">
        <f>S262-S261</f>
        <v>1</v>
      </c>
      <c r="U262" s="612">
        <f t="shared" si="209"/>
        <v>41104167.937860258</v>
      </c>
      <c r="V262" s="464">
        <f t="shared" ref="V262:V267" si="220">F262</f>
        <v>2011</v>
      </c>
      <c r="W262" s="612">
        <f t="shared" ref="W262:W267" si="221">IF(OR(AND(ISBLANK(E262),ISBLANK(G262)),ISTEXT(E262),ISTEXT(G262)),"",Q262-U262)</f>
        <v>2014104228.9551525</v>
      </c>
      <c r="X262" s="561"/>
      <c r="Y262" s="449"/>
      <c r="Z262" s="449"/>
      <c r="AA262" s="554" t="s">
        <v>4179</v>
      </c>
      <c r="AB262" s="452"/>
      <c r="AC262" s="452"/>
      <c r="AD262" s="566"/>
      <c r="AE262" s="452"/>
      <c r="AF262" s="571"/>
      <c r="AG262" s="452"/>
      <c r="AH262" s="452"/>
      <c r="AI262" s="453"/>
      <c r="AJ262" s="449"/>
      <c r="AK262" s="453"/>
      <c r="AL262" s="454"/>
      <c r="AM262" s="455"/>
      <c r="AN262" s="456"/>
      <c r="AO262" s="455"/>
      <c r="AP262" s="452"/>
      <c r="AQ262" s="457"/>
      <c r="AR262" s="449"/>
      <c r="AS262" s="449"/>
      <c r="AT262" s="452"/>
      <c r="AU262" s="457"/>
      <c r="AV262" s="449"/>
      <c r="AW262" s="458"/>
      <c r="AX262" s="452"/>
      <c r="AY262" s="457"/>
      <c r="AZ262" s="449"/>
      <c r="BA262" s="459"/>
      <c r="BB262" s="455"/>
      <c r="BC262" s="460"/>
      <c r="BD262" s="460"/>
      <c r="BG262" s="462"/>
    </row>
    <row r="263" spans="1:59" s="461" customFormat="1" ht="18" customHeight="1" x14ac:dyDescent="0.2">
      <c r="A263" s="461" t="str">
        <f t="shared" si="210"/>
        <v>BALAI DIKLAT2013</v>
      </c>
      <c r="B263" s="708"/>
      <c r="C263" s="489"/>
      <c r="D263" s="489"/>
      <c r="E263" s="558"/>
      <c r="F263" s="559">
        <v>2013</v>
      </c>
      <c r="G263" s="619">
        <v>0</v>
      </c>
      <c r="H263" s="464">
        <f t="shared" si="211"/>
        <v>48</v>
      </c>
      <c r="I263" s="560"/>
      <c r="J263" s="468">
        <f t="shared" si="212"/>
        <v>2060</v>
      </c>
      <c r="K263" s="490">
        <f t="shared" si="213"/>
        <v>0</v>
      </c>
      <c r="L263" s="469">
        <f t="shared" ref="L263:L268" si="222">IF(K263=0%,0,IF(K263&lt;=25%,5,IF(K263&lt;=50%,10,IF(K263&lt;=75%,15,50))))</f>
        <v>0</v>
      </c>
      <c r="M263" s="683">
        <f t="shared" si="214"/>
        <v>0</v>
      </c>
      <c r="N263" s="470">
        <f t="shared" si="215"/>
        <v>48</v>
      </c>
      <c r="O263" s="468">
        <f t="shared" si="216"/>
        <v>2060</v>
      </c>
      <c r="P263" s="471">
        <f t="shared" si="217"/>
        <v>2014104228.9551525</v>
      </c>
      <c r="Q263" s="472">
        <f t="shared" si="218"/>
        <v>2014104228.9551525</v>
      </c>
      <c r="R263" s="472">
        <f t="shared" si="219"/>
        <v>41104167.937860258</v>
      </c>
      <c r="S263" s="629">
        <f t="shared" si="208"/>
        <v>2013</v>
      </c>
      <c r="T263" s="470">
        <f t="shared" ref="T263:T268" si="223">S263-S262</f>
        <v>2</v>
      </c>
      <c r="U263" s="612">
        <f t="shared" si="209"/>
        <v>82208335.875720516</v>
      </c>
      <c r="V263" s="464">
        <f t="shared" si="220"/>
        <v>2013</v>
      </c>
      <c r="W263" s="612">
        <f t="shared" si="221"/>
        <v>1931895893.079432</v>
      </c>
      <c r="X263" s="561"/>
      <c r="Y263" s="449"/>
      <c r="Z263" s="449"/>
      <c r="AA263" s="554"/>
      <c r="AB263" s="452"/>
      <c r="AC263" s="452"/>
      <c r="AD263" s="566"/>
      <c r="AE263" s="452"/>
      <c r="AF263" s="571"/>
      <c r="AG263" s="452"/>
      <c r="AH263" s="452"/>
      <c r="AI263" s="453"/>
      <c r="AJ263" s="449"/>
      <c r="AK263" s="453"/>
      <c r="AL263" s="454"/>
      <c r="AM263" s="455"/>
      <c r="AN263" s="456"/>
      <c r="AO263" s="455"/>
      <c r="AP263" s="452"/>
      <c r="AQ263" s="457"/>
      <c r="AR263" s="449"/>
      <c r="AS263" s="449"/>
      <c r="AT263" s="452"/>
      <c r="AU263" s="457"/>
      <c r="AV263" s="449"/>
      <c r="AW263" s="458"/>
      <c r="AX263" s="452"/>
      <c r="AY263" s="457"/>
      <c r="AZ263" s="449"/>
      <c r="BA263" s="459"/>
      <c r="BB263" s="455"/>
      <c r="BC263" s="460"/>
      <c r="BD263" s="460"/>
      <c r="BG263" s="462"/>
    </row>
    <row r="264" spans="1:59" s="461" customFormat="1" ht="18" customHeight="1" x14ac:dyDescent="0.2">
      <c r="A264" s="461" t="str">
        <f t="shared" si="210"/>
        <v>BALAI DIKLAT2014</v>
      </c>
      <c r="B264" s="708"/>
      <c r="C264" s="489"/>
      <c r="D264" s="489"/>
      <c r="E264" s="558"/>
      <c r="F264" s="559">
        <v>2014</v>
      </c>
      <c r="G264" s="619">
        <v>0</v>
      </c>
      <c r="H264" s="464">
        <f t="shared" si="211"/>
        <v>47</v>
      </c>
      <c r="I264" s="560"/>
      <c r="J264" s="468">
        <f t="shared" si="212"/>
        <v>2060</v>
      </c>
      <c r="K264" s="490">
        <f t="shared" si="213"/>
        <v>0</v>
      </c>
      <c r="L264" s="469">
        <f t="shared" si="222"/>
        <v>0</v>
      </c>
      <c r="M264" s="683">
        <f t="shared" si="214"/>
        <v>0</v>
      </c>
      <c r="N264" s="470">
        <f t="shared" si="215"/>
        <v>47</v>
      </c>
      <c r="O264" s="468">
        <f t="shared" si="216"/>
        <v>2060</v>
      </c>
      <c r="P264" s="471">
        <f t="shared" si="217"/>
        <v>1931895893.079432</v>
      </c>
      <c r="Q264" s="472">
        <f t="shared" si="218"/>
        <v>1931895893.079432</v>
      </c>
      <c r="R264" s="472">
        <f t="shared" si="219"/>
        <v>41104167.937860258</v>
      </c>
      <c r="S264" s="629">
        <f t="shared" si="208"/>
        <v>2014</v>
      </c>
      <c r="T264" s="470">
        <f t="shared" si="223"/>
        <v>1</v>
      </c>
      <c r="U264" s="612">
        <f t="shared" si="209"/>
        <v>41104167.937860258</v>
      </c>
      <c r="V264" s="464">
        <f t="shared" si="220"/>
        <v>2014</v>
      </c>
      <c r="W264" s="612">
        <f t="shared" si="221"/>
        <v>1890791725.1415718</v>
      </c>
      <c r="X264" s="561"/>
      <c r="Y264" s="449"/>
      <c r="Z264" s="449"/>
      <c r="AA264" s="475" t="s">
        <v>4180</v>
      </c>
      <c r="AB264" s="476"/>
      <c r="AC264" s="476"/>
      <c r="AD264" s="567">
        <f>G271</f>
        <v>2095092265.3747954</v>
      </c>
      <c r="AE264" s="452"/>
      <c r="AF264" s="571"/>
      <c r="AG264" s="452"/>
      <c r="AH264" s="452"/>
      <c r="AI264" s="453"/>
      <c r="AJ264" s="449"/>
      <c r="AK264" s="453"/>
      <c r="AL264" s="454"/>
      <c r="AM264" s="455"/>
      <c r="AN264" s="456"/>
      <c r="AO264" s="455"/>
      <c r="AP264" s="452"/>
      <c r="AQ264" s="457"/>
      <c r="AR264" s="449"/>
      <c r="AS264" s="449"/>
      <c r="AT264" s="452"/>
      <c r="AU264" s="457"/>
      <c r="AV264" s="449"/>
      <c r="AW264" s="458"/>
      <c r="AX264" s="452"/>
      <c r="AY264" s="457"/>
      <c r="AZ264" s="449"/>
      <c r="BA264" s="459"/>
      <c r="BB264" s="455"/>
      <c r="BC264" s="460"/>
      <c r="BD264" s="460"/>
      <c r="BG264" s="462"/>
    </row>
    <row r="265" spans="1:59" s="461" customFormat="1" ht="18" customHeight="1" x14ac:dyDescent="0.2">
      <c r="A265" s="461" t="str">
        <f t="shared" si="210"/>
        <v>BALAI DIKLAT2015</v>
      </c>
      <c r="B265" s="708"/>
      <c r="C265" s="489"/>
      <c r="D265" s="489"/>
      <c r="E265" s="558"/>
      <c r="F265" s="559">
        <v>2015</v>
      </c>
      <c r="G265" s="619">
        <v>0</v>
      </c>
      <c r="H265" s="464">
        <f t="shared" si="211"/>
        <v>46</v>
      </c>
      <c r="I265" s="560"/>
      <c r="J265" s="468">
        <f t="shared" si="212"/>
        <v>2060</v>
      </c>
      <c r="K265" s="490">
        <f t="shared" si="213"/>
        <v>0</v>
      </c>
      <c r="L265" s="469">
        <f t="shared" si="222"/>
        <v>0</v>
      </c>
      <c r="M265" s="683">
        <f t="shared" si="214"/>
        <v>0</v>
      </c>
      <c r="N265" s="470">
        <f t="shared" si="215"/>
        <v>46</v>
      </c>
      <c r="O265" s="468">
        <f t="shared" si="216"/>
        <v>2060</v>
      </c>
      <c r="P265" s="471">
        <f t="shared" si="217"/>
        <v>1890791725.1415718</v>
      </c>
      <c r="Q265" s="472">
        <f t="shared" si="218"/>
        <v>1890791725.1415718</v>
      </c>
      <c r="R265" s="472">
        <f t="shared" si="219"/>
        <v>41104167.937860258</v>
      </c>
      <c r="S265" s="629">
        <f t="shared" si="208"/>
        <v>2015</v>
      </c>
      <c r="T265" s="470">
        <f t="shared" si="223"/>
        <v>1</v>
      </c>
      <c r="U265" s="612">
        <f t="shared" si="209"/>
        <v>41104167.937860258</v>
      </c>
      <c r="V265" s="464">
        <f t="shared" si="220"/>
        <v>2015</v>
      </c>
      <c r="W265" s="612">
        <f t="shared" si="221"/>
        <v>1849687557.2037115</v>
      </c>
      <c r="X265" s="561"/>
      <c r="Y265" s="449"/>
      <c r="Z265" s="449"/>
      <c r="AA265" s="475" t="s">
        <v>4181</v>
      </c>
      <c r="AB265" s="491"/>
      <c r="AC265" s="491"/>
      <c r="AD265" s="567">
        <f>U271</f>
        <v>409821379.92252487</v>
      </c>
      <c r="AE265" s="452"/>
      <c r="AF265" s="571"/>
      <c r="AG265" s="452"/>
      <c r="AH265" s="452"/>
      <c r="AI265" s="453"/>
      <c r="AJ265" s="449"/>
      <c r="AK265" s="453"/>
      <c r="AL265" s="454"/>
      <c r="AM265" s="455"/>
      <c r="AN265" s="456"/>
      <c r="AO265" s="455"/>
      <c r="AP265" s="452"/>
      <c r="AQ265" s="457"/>
      <c r="AR265" s="449"/>
      <c r="AS265" s="449"/>
      <c r="AT265" s="452"/>
      <c r="AU265" s="457"/>
      <c r="AV265" s="449"/>
      <c r="AW265" s="458"/>
      <c r="AX265" s="452"/>
      <c r="AY265" s="457"/>
      <c r="AZ265" s="449"/>
      <c r="BA265" s="459"/>
      <c r="BB265" s="455"/>
      <c r="BC265" s="460"/>
      <c r="BD265" s="460"/>
      <c r="BG265" s="462"/>
    </row>
    <row r="266" spans="1:59" s="461" customFormat="1" ht="18" customHeight="1" x14ac:dyDescent="0.2">
      <c r="A266" s="461" t="str">
        <f t="shared" si="210"/>
        <v>BALAI DIKLAT2016</v>
      </c>
      <c r="B266" s="708"/>
      <c r="C266" s="489"/>
      <c r="D266" s="489"/>
      <c r="E266" s="558"/>
      <c r="F266" s="559">
        <v>2016</v>
      </c>
      <c r="G266" s="619">
        <v>0</v>
      </c>
      <c r="H266" s="464">
        <f t="shared" si="211"/>
        <v>45</v>
      </c>
      <c r="I266" s="560"/>
      <c r="J266" s="468">
        <f t="shared" si="212"/>
        <v>2060</v>
      </c>
      <c r="K266" s="490">
        <f t="shared" si="213"/>
        <v>0</v>
      </c>
      <c r="L266" s="469">
        <f t="shared" si="222"/>
        <v>0</v>
      </c>
      <c r="M266" s="683">
        <f t="shared" si="214"/>
        <v>0</v>
      </c>
      <c r="N266" s="470">
        <f t="shared" si="215"/>
        <v>45</v>
      </c>
      <c r="O266" s="468">
        <f t="shared" si="216"/>
        <v>2060</v>
      </c>
      <c r="P266" s="471">
        <f t="shared" si="217"/>
        <v>1849687557.2037115</v>
      </c>
      <c r="Q266" s="472">
        <f t="shared" si="218"/>
        <v>1849687557.2037115</v>
      </c>
      <c r="R266" s="472">
        <f t="shared" si="219"/>
        <v>41104167.937860258</v>
      </c>
      <c r="S266" s="629">
        <f t="shared" si="208"/>
        <v>2016</v>
      </c>
      <c r="T266" s="470">
        <f t="shared" si="223"/>
        <v>1</v>
      </c>
      <c r="U266" s="612">
        <f t="shared" si="209"/>
        <v>41104167.937860258</v>
      </c>
      <c r="V266" s="464">
        <f t="shared" si="220"/>
        <v>2016</v>
      </c>
      <c r="W266" s="612">
        <f t="shared" si="221"/>
        <v>1808583389.2658513</v>
      </c>
      <c r="X266" s="561"/>
      <c r="Y266" s="449"/>
      <c r="Z266" s="449"/>
      <c r="AA266" s="492" t="s">
        <v>4182</v>
      </c>
      <c r="AB266" s="476"/>
      <c r="AC266" s="476"/>
      <c r="AD266" s="568">
        <f>AD264-AD265</f>
        <v>1685270885.4522705</v>
      </c>
      <c r="AE266" s="452"/>
      <c r="AF266" s="571"/>
      <c r="AG266" s="452"/>
      <c r="AH266" s="452"/>
      <c r="AI266" s="453"/>
      <c r="AJ266" s="449"/>
      <c r="AK266" s="453"/>
      <c r="AL266" s="454"/>
      <c r="AM266" s="455"/>
      <c r="AN266" s="456"/>
      <c r="AO266" s="455"/>
      <c r="AP266" s="452"/>
      <c r="AQ266" s="457"/>
      <c r="AR266" s="449"/>
      <c r="AS266" s="449"/>
      <c r="AT266" s="452"/>
      <c r="AU266" s="457"/>
      <c r="AV266" s="449"/>
      <c r="AW266" s="458"/>
      <c r="AX266" s="452"/>
      <c r="AY266" s="457"/>
      <c r="AZ266" s="449"/>
      <c r="BA266" s="459"/>
      <c r="BB266" s="455"/>
      <c r="BC266" s="460"/>
      <c r="BD266" s="460"/>
      <c r="BG266" s="462"/>
    </row>
    <row r="267" spans="1:59" s="461" customFormat="1" ht="18" customHeight="1" x14ac:dyDescent="0.2">
      <c r="A267" s="461" t="str">
        <f t="shared" si="210"/>
        <v>BALAI DIKLAT2017</v>
      </c>
      <c r="B267" s="708"/>
      <c r="C267" s="489"/>
      <c r="D267" s="489"/>
      <c r="E267" s="558"/>
      <c r="F267" s="559">
        <v>2017</v>
      </c>
      <c r="G267" s="619">
        <v>0</v>
      </c>
      <c r="H267" s="464">
        <f t="shared" si="211"/>
        <v>44</v>
      </c>
      <c r="I267" s="560"/>
      <c r="J267" s="468">
        <f t="shared" si="212"/>
        <v>2060</v>
      </c>
      <c r="K267" s="490">
        <f t="shared" si="213"/>
        <v>0</v>
      </c>
      <c r="L267" s="469">
        <f t="shared" si="222"/>
        <v>0</v>
      </c>
      <c r="M267" s="683">
        <f t="shared" si="214"/>
        <v>0</v>
      </c>
      <c r="N267" s="470">
        <f t="shared" si="215"/>
        <v>44</v>
      </c>
      <c r="O267" s="468">
        <f t="shared" si="216"/>
        <v>2060</v>
      </c>
      <c r="P267" s="471">
        <f t="shared" si="217"/>
        <v>1808583389.2658513</v>
      </c>
      <c r="Q267" s="472">
        <f t="shared" si="218"/>
        <v>1808583389.2658513</v>
      </c>
      <c r="R267" s="472">
        <f t="shared" si="219"/>
        <v>41104167.937860258</v>
      </c>
      <c r="S267" s="629">
        <f t="shared" si="208"/>
        <v>2017</v>
      </c>
      <c r="T267" s="470">
        <f t="shared" si="223"/>
        <v>1</v>
      </c>
      <c r="U267" s="612">
        <f t="shared" si="209"/>
        <v>41104167.937860258</v>
      </c>
      <c r="V267" s="464">
        <f t="shared" si="220"/>
        <v>2017</v>
      </c>
      <c r="W267" s="612">
        <f t="shared" si="221"/>
        <v>1767479221.327991</v>
      </c>
      <c r="X267" s="561"/>
      <c r="Y267" s="449"/>
      <c r="Z267" s="449"/>
      <c r="AA267" s="475" t="s">
        <v>4183</v>
      </c>
      <c r="AB267" s="476"/>
      <c r="AC267" s="476"/>
      <c r="AD267" s="567">
        <f>AD266-W271</f>
        <v>0</v>
      </c>
      <c r="AE267" s="452"/>
      <c r="AF267" s="571"/>
      <c r="AG267" s="452"/>
      <c r="AH267" s="452"/>
      <c r="AI267" s="453"/>
      <c r="AJ267" s="449"/>
      <c r="AK267" s="453"/>
      <c r="AL267" s="454"/>
      <c r="AM267" s="455"/>
      <c r="AN267" s="456"/>
      <c r="AO267" s="455"/>
      <c r="AP267" s="452"/>
      <c r="AQ267" s="457"/>
      <c r="AR267" s="449"/>
      <c r="AS267" s="449"/>
      <c r="AT267" s="452"/>
      <c r="AU267" s="457"/>
      <c r="AV267" s="449"/>
      <c r="AW267" s="458"/>
      <c r="AX267" s="452"/>
      <c r="AY267" s="457"/>
      <c r="AZ267" s="449"/>
      <c r="BA267" s="459"/>
      <c r="BB267" s="455"/>
      <c r="BC267" s="460"/>
      <c r="BD267" s="460"/>
      <c r="BG267" s="462"/>
    </row>
    <row r="268" spans="1:59" s="486" customFormat="1" ht="18" customHeight="1" x14ac:dyDescent="0.2">
      <c r="A268" s="461" t="str">
        <f t="shared" si="210"/>
        <v>BALAI DIKLAT2018</v>
      </c>
      <c r="B268" s="708"/>
      <c r="C268" s="463"/>
      <c r="D268" s="489"/>
      <c r="E268" s="465"/>
      <c r="F268" s="559">
        <v>2018</v>
      </c>
      <c r="G268" s="619">
        <v>0</v>
      </c>
      <c r="H268" s="464">
        <f>IF(N267-(F268-F267)&lt;=0,0,(N267-(F268-F267)))</f>
        <v>43</v>
      </c>
      <c r="I268" s="560"/>
      <c r="J268" s="468">
        <f>(F268+N268)-1</f>
        <v>2060</v>
      </c>
      <c r="K268" s="490">
        <f t="shared" si="213"/>
        <v>0</v>
      </c>
      <c r="L268" s="469">
        <f t="shared" si="222"/>
        <v>0</v>
      </c>
      <c r="M268" s="683">
        <f>IF(OR(AND(ISBLANK(E268),ISBLANK(G268)),ISTEXT(E268),ISTEXT(G268)),"",IF(H268+L268&gt;$H$27,$H$27-H268,L268))</f>
        <v>0</v>
      </c>
      <c r="N268" s="470">
        <f>IF(OR(AND(ISBLANK(F268),ISBLANK(G268)),ISTEXT(F268),ISTEXT(G268)),"",H268+M268)</f>
        <v>43</v>
      </c>
      <c r="O268" s="468">
        <f>(F268+N268)-1</f>
        <v>2060</v>
      </c>
      <c r="P268" s="471">
        <f t="shared" si="217"/>
        <v>1767479221.327991</v>
      </c>
      <c r="Q268" s="472">
        <f>P268+G268</f>
        <v>1767479221.327991</v>
      </c>
      <c r="R268" s="472">
        <f t="shared" si="219"/>
        <v>41104167.937860258</v>
      </c>
      <c r="S268" s="629">
        <f>F268</f>
        <v>2018</v>
      </c>
      <c r="T268" s="470">
        <f t="shared" si="223"/>
        <v>1</v>
      </c>
      <c r="U268" s="612">
        <f>R268*T268</f>
        <v>41104167.937860258</v>
      </c>
      <c r="V268" s="464">
        <f>F268</f>
        <v>2018</v>
      </c>
      <c r="W268" s="612">
        <f>IF(OR(AND(ISBLANK(E268),ISBLANK(G268)),ISTEXT(E268),ISTEXT(G268)),"",Q268-U268)</f>
        <v>1726375053.3901308</v>
      </c>
      <c r="X268" s="561"/>
      <c r="Y268" s="474"/>
      <c r="Z268" s="449"/>
      <c r="AA268" s="495"/>
      <c r="AB268" s="496"/>
      <c r="AC268" s="496"/>
      <c r="AD268" s="569"/>
      <c r="AE268" s="476"/>
      <c r="AF268" s="568"/>
      <c r="AG268" s="476"/>
      <c r="AH268" s="476"/>
      <c r="AI268" s="477"/>
      <c r="AJ268" s="478"/>
      <c r="AK268" s="479"/>
      <c r="AL268" s="480"/>
      <c r="AM268" s="474"/>
      <c r="AN268" s="481"/>
      <c r="AO268" s="474"/>
      <c r="AP268" s="476"/>
      <c r="AQ268" s="482"/>
      <c r="AR268" s="478"/>
      <c r="AS268" s="478"/>
      <c r="AT268" s="476"/>
      <c r="AU268" s="482"/>
      <c r="AV268" s="478"/>
      <c r="AW268" s="483"/>
      <c r="AX268" s="476"/>
      <c r="AY268" s="482"/>
      <c r="AZ268" s="478"/>
      <c r="BA268" s="484"/>
      <c r="BB268" s="474"/>
      <c r="BC268" s="485"/>
      <c r="BD268" s="485"/>
      <c r="BG268" s="487"/>
    </row>
    <row r="269" spans="1:59" s="486" customFormat="1" ht="18" customHeight="1" x14ac:dyDescent="0.2">
      <c r="A269" s="461" t="str">
        <f t="shared" si="210"/>
        <v>BALAI DIKLAT2019</v>
      </c>
      <c r="B269" s="708"/>
      <c r="C269" s="488"/>
      <c r="D269" s="489"/>
      <c r="E269" s="465"/>
      <c r="F269" s="466">
        <v>2019</v>
      </c>
      <c r="G269" s="619">
        <v>0</v>
      </c>
      <c r="H269" s="464">
        <f>IF(N268-(F269-F268)&lt;=0,0,(N268-(F269-F268)))</f>
        <v>42</v>
      </c>
      <c r="I269" s="560"/>
      <c r="J269" s="468">
        <f>(F269+N269)-1</f>
        <v>2060</v>
      </c>
      <c r="K269" s="490">
        <f>IF(G269=0,0,IF(H269=50,100%,G269/W268))</f>
        <v>0</v>
      </c>
      <c r="L269" s="469">
        <f>IF(K269=0%,0,IF(K269&lt;=25%,5,IF(K269&lt;=50%,10,IF(K269&lt;=75%,15,50))))</f>
        <v>0</v>
      </c>
      <c r="M269" s="683">
        <f>IF(OR(AND(ISBLANK(E269),ISBLANK(G269)),ISTEXT(E269),ISTEXT(G269)),"",IF(H269+L269&gt;$H$27,$H$27-H269,L269))</f>
        <v>0</v>
      </c>
      <c r="N269" s="470">
        <f>IF(OR(AND(ISBLANK(F269),ISBLANK(G269)),ISTEXT(F269),ISTEXT(G269)),"",H269+M269)</f>
        <v>42</v>
      </c>
      <c r="O269" s="468">
        <f>(F269+N269)-1</f>
        <v>2060</v>
      </c>
      <c r="P269" s="471">
        <f t="shared" si="217"/>
        <v>1726375053.3901308</v>
      </c>
      <c r="Q269" s="472">
        <f>P269+G269</f>
        <v>1726375053.3901308</v>
      </c>
      <c r="R269" s="472">
        <f t="shared" si="219"/>
        <v>41104167.937860258</v>
      </c>
      <c r="S269" s="1189">
        <f>F269</f>
        <v>2019</v>
      </c>
      <c r="T269" s="470">
        <f>S269-S268</f>
        <v>1</v>
      </c>
      <c r="U269" s="612">
        <f>R269*T269</f>
        <v>41104167.937860258</v>
      </c>
      <c r="V269" s="464">
        <f>F269</f>
        <v>2019</v>
      </c>
      <c r="W269" s="612">
        <f>IF(OR(AND(ISBLANK(E269),ISBLANK(G269)),ISTEXT(E269),ISTEXT(G269)),"",Q269-U269)</f>
        <v>1685270885.4522705</v>
      </c>
      <c r="X269" s="473"/>
      <c r="Y269" s="478"/>
      <c r="Z269" s="449"/>
      <c r="AA269" s="699"/>
      <c r="AB269" s="700"/>
      <c r="AC269" s="700"/>
      <c r="AD269" s="701"/>
      <c r="AE269" s="491"/>
      <c r="AF269" s="568"/>
      <c r="AG269" s="491"/>
      <c r="AH269" s="491"/>
      <c r="AI269" s="477"/>
      <c r="AJ269" s="478"/>
      <c r="AK269" s="479"/>
      <c r="AL269" s="480"/>
      <c r="AM269" s="474"/>
      <c r="AN269" s="481"/>
      <c r="AO269" s="474"/>
      <c r="AP269" s="476"/>
      <c r="AQ269" s="482"/>
      <c r="AR269" s="478"/>
      <c r="AS269" s="478"/>
      <c r="AT269" s="476"/>
      <c r="AU269" s="482"/>
      <c r="AV269" s="478"/>
      <c r="AW269" s="483"/>
      <c r="AX269" s="476"/>
      <c r="AY269" s="482"/>
      <c r="AZ269" s="478"/>
      <c r="BA269" s="484"/>
      <c r="BB269" s="474"/>
      <c r="BC269" s="485"/>
      <c r="BD269" s="485"/>
      <c r="BG269" s="487"/>
    </row>
    <row r="270" spans="1:59" s="486" customFormat="1" ht="18" customHeight="1" x14ac:dyDescent="0.2">
      <c r="B270" s="687"/>
      <c r="C270" s="494"/>
      <c r="D270" s="464"/>
      <c r="E270" s="465"/>
      <c r="F270" s="466"/>
      <c r="G270" s="620"/>
      <c r="H270" s="464"/>
      <c r="I270" s="467"/>
      <c r="J270" s="468"/>
      <c r="K270" s="490"/>
      <c r="L270" s="469"/>
      <c r="M270" s="683"/>
      <c r="N270" s="470"/>
      <c r="O270" s="468"/>
      <c r="P270" s="471"/>
      <c r="Q270" s="472"/>
      <c r="R270" s="472"/>
      <c r="S270" s="629"/>
      <c r="T270" s="470"/>
      <c r="U270" s="612"/>
      <c r="V270" s="464"/>
      <c r="W270" s="612"/>
      <c r="X270" s="473"/>
      <c r="Y270" s="478"/>
      <c r="Z270" s="449"/>
      <c r="AA270" s="497"/>
      <c r="AB270" s="476"/>
      <c r="AC270" s="476"/>
      <c r="AD270" s="568"/>
      <c r="AE270" s="476"/>
      <c r="AF270" s="568"/>
      <c r="AG270" s="476"/>
      <c r="AH270" s="476"/>
      <c r="AI270" s="477"/>
      <c r="AJ270" s="478"/>
      <c r="AK270" s="479"/>
      <c r="AL270" s="480"/>
      <c r="AM270" s="474"/>
      <c r="AN270" s="481"/>
      <c r="AO270" s="474"/>
      <c r="AP270" s="476"/>
      <c r="AQ270" s="482"/>
      <c r="AR270" s="478"/>
      <c r="AS270" s="478"/>
      <c r="AT270" s="476"/>
      <c r="AU270" s="482"/>
      <c r="AV270" s="478"/>
      <c r="AW270" s="483"/>
      <c r="AX270" s="476"/>
      <c r="AY270" s="482"/>
      <c r="AZ270" s="478"/>
      <c r="BA270" s="484"/>
      <c r="BB270" s="474"/>
      <c r="BC270" s="485"/>
      <c r="BD270" s="485"/>
      <c r="BG270" s="487"/>
    </row>
    <row r="271" spans="1:59" s="526" customFormat="1" ht="18" customHeight="1" x14ac:dyDescent="0.2">
      <c r="B271" s="1956" t="s">
        <v>4184</v>
      </c>
      <c r="C271" s="1957"/>
      <c r="D271" s="1957"/>
      <c r="E271" s="1957"/>
      <c r="F271" s="1958"/>
      <c r="G271" s="621">
        <f>SUM(G261:G270)</f>
        <v>2095092265.3747954</v>
      </c>
      <c r="H271" s="505"/>
      <c r="I271" s="506"/>
      <c r="J271" s="507"/>
      <c r="K271" s="507"/>
      <c r="L271" s="505"/>
      <c r="M271" s="684"/>
      <c r="N271" s="508"/>
      <c r="O271" s="507"/>
      <c r="P271" s="509"/>
      <c r="Q271" s="510"/>
      <c r="R271" s="511"/>
      <c r="S271" s="512"/>
      <c r="T271" s="512"/>
      <c r="U271" s="610">
        <f>SUM(U261:U270)</f>
        <v>409821379.92252487</v>
      </c>
      <c r="V271" s="513"/>
      <c r="W271" s="610">
        <f>G271-U271</f>
        <v>1685270885.4522705</v>
      </c>
      <c r="X271" s="514"/>
      <c r="Y271" s="515"/>
      <c r="Z271" s="515"/>
      <c r="AA271" s="515"/>
      <c r="AB271" s="515"/>
      <c r="AC271" s="515"/>
      <c r="AD271" s="570"/>
      <c r="AE271" s="515"/>
      <c r="AF271" s="570"/>
      <c r="AG271" s="515"/>
      <c r="AH271" s="515"/>
      <c r="AI271" s="516"/>
      <c r="AJ271" s="517"/>
      <c r="AK271" s="518"/>
      <c r="AL271" s="519"/>
      <c r="AM271" s="520"/>
      <c r="AN271" s="521"/>
      <c r="AO271" s="520"/>
      <c r="AP271" s="515"/>
      <c r="AQ271" s="522"/>
      <c r="AR271" s="517"/>
      <c r="AS271" s="517"/>
      <c r="AT271" s="515"/>
      <c r="AU271" s="522"/>
      <c r="AV271" s="517"/>
      <c r="AW271" s="523"/>
      <c r="AX271" s="515"/>
      <c r="AY271" s="522"/>
      <c r="AZ271" s="517"/>
      <c r="BA271" s="524"/>
      <c r="BB271" s="520"/>
      <c r="BC271" s="525"/>
      <c r="BD271" s="525"/>
      <c r="BG271" s="527"/>
    </row>
    <row r="272" spans="1:59" s="526" customFormat="1" ht="18" customHeight="1" x14ac:dyDescent="0.2">
      <c r="B272" s="741"/>
      <c r="C272" s="697"/>
      <c r="D272" s="697"/>
      <c r="E272" s="697"/>
      <c r="F272" s="585"/>
      <c r="G272" s="622"/>
      <c r="H272" s="586"/>
      <c r="I272" s="587"/>
      <c r="J272" s="588"/>
      <c r="K272" s="588"/>
      <c r="L272" s="586"/>
      <c r="M272" s="521"/>
      <c r="N272" s="589"/>
      <c r="O272" s="588"/>
      <c r="P272" s="590"/>
      <c r="Q272" s="591"/>
      <c r="R272" s="592"/>
      <c r="S272" s="593"/>
      <c r="T272" s="593"/>
      <c r="U272" s="570"/>
      <c r="V272" s="594"/>
      <c r="W272" s="570"/>
      <c r="X272" s="515"/>
      <c r="Y272" s="515"/>
      <c r="Z272" s="515"/>
      <c r="AA272" s="515"/>
      <c r="AB272" s="515"/>
      <c r="AC272" s="515"/>
      <c r="AD272" s="570"/>
      <c r="AE272" s="515"/>
      <c r="AF272" s="570"/>
      <c r="AG272" s="515"/>
      <c r="AH272" s="515"/>
      <c r="AI272" s="516"/>
      <c r="AJ272" s="517"/>
      <c r="AK272" s="518"/>
      <c r="AL272" s="519"/>
      <c r="AM272" s="520"/>
      <c r="AN272" s="521"/>
      <c r="AO272" s="520"/>
      <c r="AP272" s="515"/>
      <c r="AQ272" s="522"/>
      <c r="AR272" s="517"/>
      <c r="AS272" s="517"/>
      <c r="AT272" s="515"/>
      <c r="AU272" s="522"/>
      <c r="AV272" s="517"/>
      <c r="AW272" s="523"/>
      <c r="AX272" s="515"/>
      <c r="AY272" s="522"/>
      <c r="AZ272" s="517"/>
      <c r="BA272" s="524"/>
      <c r="BB272" s="520"/>
      <c r="BC272" s="525"/>
      <c r="BD272" s="525"/>
      <c r="BG272" s="527"/>
    </row>
    <row r="273" spans="1:59" s="526" customFormat="1" ht="18" customHeight="1" x14ac:dyDescent="0.2">
      <c r="B273" s="742"/>
      <c r="C273" s="696"/>
      <c r="D273" s="696"/>
      <c r="E273" s="696"/>
      <c r="F273" s="585"/>
      <c r="G273" s="622"/>
      <c r="H273" s="586"/>
      <c r="I273" s="587"/>
      <c r="J273" s="588"/>
      <c r="K273" s="588"/>
      <c r="L273" s="586"/>
      <c r="M273" s="521"/>
      <c r="N273" s="589"/>
      <c r="O273" s="588"/>
      <c r="P273" s="590"/>
      <c r="Q273" s="591"/>
      <c r="R273" s="592"/>
      <c r="S273" s="593"/>
      <c r="T273" s="593"/>
      <c r="U273" s="570"/>
      <c r="V273" s="594"/>
      <c r="W273" s="570"/>
      <c r="X273" s="515"/>
      <c r="Y273" s="515"/>
      <c r="Z273" s="515"/>
      <c r="AA273" s="515"/>
      <c r="AB273" s="515"/>
      <c r="AC273" s="515"/>
      <c r="AD273" s="570"/>
      <c r="AE273" s="515"/>
      <c r="AF273" s="570"/>
      <c r="AG273" s="515"/>
      <c r="AH273" s="515"/>
      <c r="AI273" s="516"/>
      <c r="AJ273" s="517"/>
      <c r="AK273" s="518"/>
      <c r="AL273" s="519"/>
      <c r="AM273" s="520"/>
      <c r="AN273" s="521"/>
      <c r="AO273" s="520"/>
      <c r="AP273" s="515"/>
      <c r="AQ273" s="522"/>
      <c r="AR273" s="517"/>
      <c r="AS273" s="517"/>
      <c r="AT273" s="515"/>
      <c r="AU273" s="522"/>
      <c r="AV273" s="517"/>
      <c r="AW273" s="523"/>
      <c r="AX273" s="515"/>
      <c r="AY273" s="522"/>
      <c r="AZ273" s="517"/>
      <c r="BA273" s="524"/>
      <c r="BB273" s="520"/>
      <c r="BC273" s="525"/>
      <c r="BD273" s="525"/>
      <c r="BG273" s="527"/>
    </row>
    <row r="274" spans="1:59" s="422" customFormat="1" ht="18" customHeight="1" x14ac:dyDescent="0.2">
      <c r="B274" s="688" t="s">
        <v>4220</v>
      </c>
      <c r="C274" s="556"/>
      <c r="D274" s="553" t="s">
        <v>2993</v>
      </c>
      <c r="E274" s="553"/>
      <c r="F274" s="421"/>
      <c r="G274" s="611"/>
      <c r="I274" s="423"/>
      <c r="J274" s="424"/>
      <c r="K274" s="424"/>
      <c r="M274" s="680"/>
      <c r="U274" s="611"/>
      <c r="W274" s="611"/>
      <c r="Y274" s="425"/>
      <c r="Z274" s="425"/>
      <c r="AA274" s="425"/>
      <c r="AB274" s="425"/>
      <c r="AC274" s="425"/>
      <c r="AD274" s="563"/>
      <c r="AE274" s="425"/>
      <c r="AF274" s="563"/>
      <c r="AG274" s="425"/>
      <c r="AH274" s="425"/>
      <c r="AI274" s="425"/>
      <c r="AJ274" s="425"/>
      <c r="AK274" s="425"/>
      <c r="AL274" s="425"/>
      <c r="AM274" s="425"/>
      <c r="AN274" s="425"/>
      <c r="AO274" s="425"/>
      <c r="AP274" s="425"/>
      <c r="AQ274" s="425"/>
      <c r="AR274" s="425"/>
      <c r="AS274" s="425"/>
      <c r="AT274" s="425"/>
      <c r="AU274" s="425"/>
      <c r="AV274" s="425"/>
      <c r="AW274" s="425"/>
      <c r="AX274" s="425"/>
      <c r="AY274" s="425"/>
      <c r="AZ274" s="425"/>
      <c r="BA274" s="425"/>
      <c r="BB274" s="425"/>
    </row>
    <row r="275" spans="1:59" s="431" customFormat="1" ht="18" customHeight="1" x14ac:dyDescent="0.2">
      <c r="B275" s="1968" t="s">
        <v>5</v>
      </c>
      <c r="C275" s="1968" t="s">
        <v>2280</v>
      </c>
      <c r="D275" s="1968" t="s">
        <v>4157</v>
      </c>
      <c r="E275" s="1968" t="s">
        <v>4158</v>
      </c>
      <c r="F275" s="1968"/>
      <c r="G275" s="1969" t="s">
        <v>4159</v>
      </c>
      <c r="H275" s="1355" t="s">
        <v>4160</v>
      </c>
      <c r="I275" s="1355"/>
      <c r="J275" s="1968" t="s">
        <v>4161</v>
      </c>
      <c r="K275" s="1964" t="s">
        <v>4162</v>
      </c>
      <c r="L275" s="1968" t="s">
        <v>4163</v>
      </c>
      <c r="M275" s="1971" t="s">
        <v>4164</v>
      </c>
      <c r="N275" s="1962" t="s">
        <v>4165</v>
      </c>
      <c r="O275" s="1968" t="s">
        <v>4166</v>
      </c>
      <c r="P275" s="1972" t="s">
        <v>4167</v>
      </c>
      <c r="Q275" s="1973"/>
      <c r="R275" s="631" t="s">
        <v>4168</v>
      </c>
      <c r="S275" s="1972" t="s">
        <v>4169</v>
      </c>
      <c r="T275" s="1974"/>
      <c r="U275" s="1973"/>
      <c r="V275" s="1975" t="s">
        <v>4170</v>
      </c>
      <c r="W275" s="1975"/>
      <c r="X275" s="1960" t="s">
        <v>4171</v>
      </c>
      <c r="Y275" s="1959"/>
      <c r="Z275" s="628"/>
      <c r="AA275" s="426"/>
      <c r="AB275" s="426"/>
      <c r="AC275" s="426"/>
      <c r="AD275" s="564"/>
      <c r="AE275" s="426"/>
      <c r="AF275" s="564"/>
      <c r="AG275" s="426"/>
      <c r="AH275" s="426"/>
      <c r="AI275" s="427"/>
      <c r="AJ275" s="427"/>
      <c r="AK275" s="427"/>
      <c r="AL275" s="427"/>
      <c r="AM275" s="428"/>
      <c r="AN275" s="427"/>
      <c r="AO275" s="427"/>
      <c r="AP275" s="426"/>
      <c r="AQ275" s="427"/>
      <c r="AR275" s="427"/>
      <c r="AS275" s="427"/>
      <c r="AT275" s="426"/>
      <c r="AU275" s="427"/>
      <c r="AV275" s="427"/>
      <c r="AW275" s="427"/>
      <c r="AX275" s="426"/>
      <c r="AY275" s="427"/>
      <c r="AZ275" s="427"/>
      <c r="BA275" s="427"/>
      <c r="BB275" s="429"/>
      <c r="BC275" s="430"/>
      <c r="BD275" s="430"/>
    </row>
    <row r="276" spans="1:59" s="431" customFormat="1" ht="18" customHeight="1" x14ac:dyDescent="0.2">
      <c r="B276" s="1968"/>
      <c r="C276" s="1968"/>
      <c r="D276" s="1968"/>
      <c r="E276" s="1968"/>
      <c r="F276" s="1968"/>
      <c r="G276" s="1969"/>
      <c r="H276" s="1355"/>
      <c r="I276" s="1355"/>
      <c r="J276" s="1968"/>
      <c r="K276" s="1970"/>
      <c r="L276" s="1968"/>
      <c r="M276" s="1971"/>
      <c r="N276" s="1963"/>
      <c r="O276" s="1968"/>
      <c r="P276" s="1960" t="s">
        <v>4172</v>
      </c>
      <c r="Q276" s="1960" t="s">
        <v>4173</v>
      </c>
      <c r="R276" s="1962" t="s">
        <v>4159</v>
      </c>
      <c r="S276" s="1962" t="s">
        <v>4174</v>
      </c>
      <c r="T276" s="1964" t="s">
        <v>4175</v>
      </c>
      <c r="U276" s="1966" t="s">
        <v>4159</v>
      </c>
      <c r="V276" s="1975"/>
      <c r="W276" s="1975"/>
      <c r="X276" s="1976"/>
      <c r="Y276" s="1959"/>
      <c r="Z276" s="628"/>
      <c r="AA276" s="426"/>
      <c r="AB276" s="426"/>
      <c r="AC276" s="426"/>
      <c r="AD276" s="564"/>
      <c r="AE276" s="426"/>
      <c r="AF276" s="564"/>
      <c r="AG276" s="426"/>
      <c r="AH276" s="426"/>
      <c r="AI276" s="427"/>
      <c r="AJ276" s="427"/>
      <c r="AK276" s="426"/>
      <c r="AL276" s="427"/>
      <c r="AM276" s="428"/>
      <c r="AN276" s="427"/>
      <c r="AO276" s="427"/>
      <c r="AP276" s="432"/>
      <c r="AQ276" s="427"/>
      <c r="AR276" s="427"/>
      <c r="AS276" s="427"/>
      <c r="AT276" s="432"/>
      <c r="AU276" s="427"/>
      <c r="AV276" s="427"/>
      <c r="AW276" s="427"/>
      <c r="AX276" s="432"/>
      <c r="AY276" s="427"/>
      <c r="AZ276" s="427"/>
      <c r="BA276" s="427"/>
      <c r="BB276" s="429"/>
      <c r="BC276" s="430"/>
      <c r="BD276" s="430"/>
    </row>
    <row r="277" spans="1:59" s="431" customFormat="1" ht="21.75" customHeight="1" x14ac:dyDescent="0.2">
      <c r="B277" s="1968"/>
      <c r="C277" s="1968"/>
      <c r="D277" s="1968"/>
      <c r="E277" s="433" t="s">
        <v>4176</v>
      </c>
      <c r="F277" s="434" t="s">
        <v>2288</v>
      </c>
      <c r="G277" s="1969"/>
      <c r="H277" s="1355" t="s">
        <v>2288</v>
      </c>
      <c r="I277" s="1355" t="s">
        <v>4177</v>
      </c>
      <c r="J277" s="1968"/>
      <c r="K277" s="1965"/>
      <c r="L277" s="435" t="s">
        <v>2288</v>
      </c>
      <c r="M277" s="681" t="s">
        <v>2288</v>
      </c>
      <c r="N277" s="630" t="s">
        <v>2288</v>
      </c>
      <c r="O277" s="1968"/>
      <c r="P277" s="1961"/>
      <c r="Q277" s="1961"/>
      <c r="R277" s="1963"/>
      <c r="S277" s="1963"/>
      <c r="T277" s="1965"/>
      <c r="U277" s="1967"/>
      <c r="V277" s="630" t="s">
        <v>4178</v>
      </c>
      <c r="W277" s="632" t="s">
        <v>4159</v>
      </c>
      <c r="X277" s="1961"/>
      <c r="Y277" s="436"/>
      <c r="Z277" s="436"/>
      <c r="AA277" s="426"/>
      <c r="AB277" s="426"/>
      <c r="AC277" s="426"/>
      <c r="AD277" s="564"/>
      <c r="AE277" s="426"/>
      <c r="AF277" s="564"/>
      <c r="AG277" s="426"/>
      <c r="AH277" s="426"/>
      <c r="AI277" s="427"/>
      <c r="AJ277" s="432"/>
      <c r="AK277" s="432"/>
      <c r="AL277" s="427"/>
      <c r="AM277" s="428"/>
      <c r="AN277" s="432"/>
      <c r="AO277" s="427"/>
      <c r="AP277" s="432"/>
      <c r="AQ277" s="432"/>
      <c r="AR277" s="427"/>
      <c r="AS277" s="427"/>
      <c r="AT277" s="432"/>
      <c r="AU277" s="432"/>
      <c r="AV277" s="427"/>
      <c r="AW277" s="427"/>
      <c r="AX277" s="432"/>
      <c r="AY277" s="432"/>
      <c r="AZ277" s="427"/>
      <c r="BA277" s="427"/>
      <c r="BB277" s="429"/>
      <c r="BC277" s="430"/>
      <c r="BD277" s="430"/>
    </row>
    <row r="278" spans="1:59" s="461" customFormat="1" ht="18" customHeight="1" x14ac:dyDescent="0.2">
      <c r="A278" s="461" t="str">
        <f>$D$274&amp;S278</f>
        <v>WISMA JALUR2010</v>
      </c>
      <c r="B278" s="689">
        <v>1</v>
      </c>
      <c r="C278" s="597" t="s">
        <v>2650</v>
      </c>
      <c r="D278" s="597" t="s">
        <v>1752</v>
      </c>
      <c r="E278" s="598"/>
      <c r="F278" s="599">
        <v>2010</v>
      </c>
      <c r="G278" s="626">
        <v>805953135.49960303</v>
      </c>
      <c r="H278" s="600">
        <f>VLOOKUP(LEFT(D278,8),UE,4)</f>
        <v>50</v>
      </c>
      <c r="I278" s="601"/>
      <c r="J278" s="602">
        <f>(F278+N278)-1</f>
        <v>2059</v>
      </c>
      <c r="K278" s="603"/>
      <c r="L278" s="600"/>
      <c r="M278" s="685">
        <f>IF(H278+L278&gt;$H278,$H278-H278,L278)</f>
        <v>0</v>
      </c>
      <c r="N278" s="604">
        <f>H278+M278</f>
        <v>50</v>
      </c>
      <c r="O278" s="602">
        <f>(F278+N278)-1</f>
        <v>2059</v>
      </c>
      <c r="P278" s="605">
        <f>G278</f>
        <v>805953135.49960303</v>
      </c>
      <c r="Q278" s="606">
        <v>0</v>
      </c>
      <c r="R278" s="606">
        <f>P278/N278</f>
        <v>16119062.70999206</v>
      </c>
      <c r="S278" s="607">
        <f t="shared" ref="S278:S285" si="224">F278</f>
        <v>2010</v>
      </c>
      <c r="T278" s="608">
        <v>1</v>
      </c>
      <c r="U278" s="615">
        <f t="shared" ref="U278:U285" si="225">R278*T278</f>
        <v>16119062.70999206</v>
      </c>
      <c r="V278" s="602">
        <f>F278</f>
        <v>2010</v>
      </c>
      <c r="W278" s="618">
        <f>IF(OR(AND(ISBLANK(E278),ISBLANK(G278)),ISTEXT(E278),ISTEXT(G278)),"",G278-R278)</f>
        <v>789834072.78961098</v>
      </c>
      <c r="X278" s="609"/>
      <c r="Y278" s="449"/>
      <c r="Z278" s="449"/>
      <c r="AA278" s="694"/>
      <c r="AB278" s="692"/>
      <c r="AC278" s="692"/>
      <c r="AD278" s="695"/>
      <c r="AE278" s="452"/>
      <c r="AF278" s="571"/>
      <c r="AG278" s="452"/>
      <c r="AH278" s="452"/>
      <c r="AI278" s="453"/>
      <c r="AJ278" s="449"/>
      <c r="AK278" s="453"/>
      <c r="AL278" s="454"/>
      <c r="AM278" s="455"/>
      <c r="AN278" s="456"/>
      <c r="AO278" s="455"/>
      <c r="AP278" s="452"/>
      <c r="AQ278" s="457"/>
      <c r="AR278" s="449"/>
      <c r="AS278" s="449"/>
      <c r="AT278" s="452"/>
      <c r="AU278" s="457"/>
      <c r="AV278" s="449"/>
      <c r="AW278" s="458"/>
      <c r="AX278" s="452"/>
      <c r="AY278" s="457"/>
      <c r="AZ278" s="449"/>
      <c r="BA278" s="459"/>
      <c r="BB278" s="455"/>
      <c r="BC278" s="460"/>
      <c r="BD278" s="460"/>
      <c r="BG278" s="462"/>
    </row>
    <row r="279" spans="1:59" s="461" customFormat="1" ht="18" customHeight="1" x14ac:dyDescent="0.2">
      <c r="A279" s="461" t="str">
        <f t="shared" ref="A279:A286" si="226">$D$274&amp;S279</f>
        <v>WISMA JALUR2011</v>
      </c>
      <c r="B279" s="708">
        <v>2</v>
      </c>
      <c r="C279" s="489" t="s">
        <v>2683</v>
      </c>
      <c r="D279" s="489" t="s">
        <v>1752</v>
      </c>
      <c r="E279" s="558"/>
      <c r="F279" s="559">
        <v>2011</v>
      </c>
      <c r="G279" s="619">
        <v>39791347.29991632</v>
      </c>
      <c r="H279" s="464">
        <f t="shared" ref="H279:H285" si="227">IF(N278-(F279-F278)&lt;=0,0,(N278-(F279-F278)))</f>
        <v>49</v>
      </c>
      <c r="I279" s="560"/>
      <c r="J279" s="468">
        <f t="shared" ref="J279:J285" si="228">(F279+N279)-1</f>
        <v>2060</v>
      </c>
      <c r="K279" s="490">
        <f t="shared" ref="K279:K285" si="229">IF(G279=0,0,IF(H279=50,100%,G279/W278))</f>
        <v>5.0379375454616009E-2</v>
      </c>
      <c r="L279" s="469">
        <f>IF(K279=0%,0,IF(K279&lt;=25%,5,IF(K279&lt;=50%,10,IF(K279&lt;=75%,15,50))))</f>
        <v>5</v>
      </c>
      <c r="M279" s="683">
        <f t="shared" ref="M279:M285" si="230">IF(OR(AND(ISBLANK(E279),ISBLANK(G279)),ISTEXT(E279),ISTEXT(G279)),"",IF(H279+L279&gt;$H$27,$H$27-H279,L279))</f>
        <v>1</v>
      </c>
      <c r="N279" s="470">
        <f t="shared" ref="N279:N285" si="231">IF(OR(AND(ISBLANK(F279),ISBLANK(G279)),ISTEXT(F279),ISTEXT(G279)),"",H279+M279)</f>
        <v>50</v>
      </c>
      <c r="O279" s="468">
        <f t="shared" ref="O279:O285" si="232">(F279+N279)-1</f>
        <v>2060</v>
      </c>
      <c r="P279" s="471">
        <f>W278</f>
        <v>789834072.78961098</v>
      </c>
      <c r="Q279" s="472">
        <f t="shared" ref="Q279:Q285" si="233">P279+G279</f>
        <v>829625420.08952725</v>
      </c>
      <c r="R279" s="472">
        <f>IF(L279=0,R278,Q279/N279)</f>
        <v>16592508.401790544</v>
      </c>
      <c r="S279" s="629">
        <f t="shared" si="224"/>
        <v>2011</v>
      </c>
      <c r="T279" s="470">
        <f>S279-S278</f>
        <v>1</v>
      </c>
      <c r="U279" s="612">
        <f t="shared" si="225"/>
        <v>16592508.401790544</v>
      </c>
      <c r="V279" s="464">
        <f t="shared" ref="V279:V285" si="234">F279</f>
        <v>2011</v>
      </c>
      <c r="W279" s="612">
        <f t="shared" ref="W279:W285" si="235">IF(OR(AND(ISBLANK(E279),ISBLANK(G279)),ISTEXT(E279),ISTEXT(G279)),"",Q279-U279)</f>
        <v>813032911.68773675</v>
      </c>
      <c r="X279" s="561"/>
      <c r="Y279" s="449"/>
      <c r="Z279" s="449"/>
      <c r="AA279" s="554" t="s">
        <v>4179</v>
      </c>
      <c r="AB279" s="452"/>
      <c r="AC279" s="452"/>
      <c r="AD279" s="566"/>
      <c r="AE279" s="452"/>
      <c r="AF279" s="571"/>
      <c r="AG279" s="452"/>
      <c r="AH279" s="452"/>
      <c r="AI279" s="453"/>
      <c r="AJ279" s="449"/>
      <c r="AK279" s="453"/>
      <c r="AL279" s="454"/>
      <c r="AM279" s="455"/>
      <c r="AN279" s="456"/>
      <c r="AO279" s="455"/>
      <c r="AP279" s="452"/>
      <c r="AQ279" s="457"/>
      <c r="AR279" s="449"/>
      <c r="AS279" s="449"/>
      <c r="AT279" s="452"/>
      <c r="AU279" s="457"/>
      <c r="AV279" s="449"/>
      <c r="AW279" s="458"/>
      <c r="AX279" s="452"/>
      <c r="AY279" s="457"/>
      <c r="AZ279" s="449"/>
      <c r="BA279" s="459"/>
      <c r="BB279" s="455"/>
      <c r="BC279" s="460"/>
      <c r="BD279" s="460"/>
      <c r="BG279" s="462"/>
    </row>
    <row r="280" spans="1:59" s="461" customFormat="1" ht="18" customHeight="1" x14ac:dyDescent="0.2">
      <c r="A280" s="461" t="str">
        <f t="shared" si="226"/>
        <v>WISMA JALUR2013</v>
      </c>
      <c r="B280" s="708"/>
      <c r="C280" s="489"/>
      <c r="D280" s="489"/>
      <c r="E280" s="558"/>
      <c r="F280" s="559">
        <v>2013</v>
      </c>
      <c r="G280" s="619">
        <v>0</v>
      </c>
      <c r="H280" s="464">
        <f t="shared" si="227"/>
        <v>48</v>
      </c>
      <c r="I280" s="560"/>
      <c r="J280" s="468">
        <f t="shared" si="228"/>
        <v>2060</v>
      </c>
      <c r="K280" s="490">
        <f t="shared" si="229"/>
        <v>0</v>
      </c>
      <c r="L280" s="469">
        <f t="shared" ref="L280:L285" si="236">IF(K280=0%,0,IF(K280&lt;=25%,5,IF(K280&lt;=50%,10,IF(K280&lt;=75%,15,50))))</f>
        <v>0</v>
      </c>
      <c r="M280" s="683">
        <f t="shared" si="230"/>
        <v>0</v>
      </c>
      <c r="N280" s="470">
        <f t="shared" si="231"/>
        <v>48</v>
      </c>
      <c r="O280" s="468">
        <f t="shared" si="232"/>
        <v>2060</v>
      </c>
      <c r="P280" s="471">
        <f t="shared" ref="P280:P285" si="237">W279</f>
        <v>813032911.68773675</v>
      </c>
      <c r="Q280" s="472">
        <f t="shared" si="233"/>
        <v>813032911.68773675</v>
      </c>
      <c r="R280" s="472">
        <f t="shared" ref="R280:R285" si="238">IF(L280=0,R279,Q280/N280)</f>
        <v>16592508.401790544</v>
      </c>
      <c r="S280" s="629">
        <f t="shared" si="224"/>
        <v>2013</v>
      </c>
      <c r="T280" s="470">
        <f t="shared" ref="T280:T285" si="239">S280-S279</f>
        <v>2</v>
      </c>
      <c r="U280" s="612">
        <f t="shared" si="225"/>
        <v>33185016.803581089</v>
      </c>
      <c r="V280" s="464">
        <f t="shared" si="234"/>
        <v>2013</v>
      </c>
      <c r="W280" s="612">
        <f t="shared" si="235"/>
        <v>779847894.88415563</v>
      </c>
      <c r="X280" s="561"/>
      <c r="Y280" s="449"/>
      <c r="Z280" s="449"/>
      <c r="AA280" s="554"/>
      <c r="AB280" s="452"/>
      <c r="AC280" s="452"/>
      <c r="AD280" s="566"/>
      <c r="AE280" s="452"/>
      <c r="AF280" s="571"/>
      <c r="AG280" s="452"/>
      <c r="AH280" s="452"/>
      <c r="AI280" s="453"/>
      <c r="AJ280" s="449"/>
      <c r="AK280" s="453"/>
      <c r="AL280" s="454"/>
      <c r="AM280" s="455"/>
      <c r="AN280" s="456"/>
      <c r="AO280" s="455"/>
      <c r="AP280" s="452"/>
      <c r="AQ280" s="457"/>
      <c r="AR280" s="449"/>
      <c r="AS280" s="449"/>
      <c r="AT280" s="452"/>
      <c r="AU280" s="457"/>
      <c r="AV280" s="449"/>
      <c r="AW280" s="458"/>
      <c r="AX280" s="452"/>
      <c r="AY280" s="457"/>
      <c r="AZ280" s="449"/>
      <c r="BA280" s="459"/>
      <c r="BB280" s="455"/>
      <c r="BC280" s="460"/>
      <c r="BD280" s="460"/>
      <c r="BG280" s="462"/>
    </row>
    <row r="281" spans="1:59" s="461" customFormat="1" ht="18" customHeight="1" x14ac:dyDescent="0.2">
      <c r="A281" s="461" t="str">
        <f t="shared" si="226"/>
        <v>WISMA JALUR2014</v>
      </c>
      <c r="B281" s="708"/>
      <c r="C281" s="489"/>
      <c r="D281" s="489"/>
      <c r="E281" s="558"/>
      <c r="F281" s="559">
        <v>2014</v>
      </c>
      <c r="G281" s="619">
        <v>0</v>
      </c>
      <c r="H281" s="464">
        <f t="shared" si="227"/>
        <v>47</v>
      </c>
      <c r="I281" s="560"/>
      <c r="J281" s="468">
        <f t="shared" si="228"/>
        <v>2060</v>
      </c>
      <c r="K281" s="490">
        <f t="shared" si="229"/>
        <v>0</v>
      </c>
      <c r="L281" s="469">
        <f t="shared" si="236"/>
        <v>0</v>
      </c>
      <c r="M281" s="683">
        <f t="shared" si="230"/>
        <v>0</v>
      </c>
      <c r="N281" s="470">
        <f t="shared" si="231"/>
        <v>47</v>
      </c>
      <c r="O281" s="468">
        <f t="shared" si="232"/>
        <v>2060</v>
      </c>
      <c r="P281" s="471">
        <f t="shared" si="237"/>
        <v>779847894.88415563</v>
      </c>
      <c r="Q281" s="472">
        <f t="shared" si="233"/>
        <v>779847894.88415563</v>
      </c>
      <c r="R281" s="472">
        <f t="shared" si="238"/>
        <v>16592508.401790544</v>
      </c>
      <c r="S281" s="629">
        <f t="shared" si="224"/>
        <v>2014</v>
      </c>
      <c r="T281" s="470">
        <f t="shared" si="239"/>
        <v>1</v>
      </c>
      <c r="U281" s="612">
        <f t="shared" si="225"/>
        <v>16592508.401790544</v>
      </c>
      <c r="V281" s="464">
        <f t="shared" si="234"/>
        <v>2014</v>
      </c>
      <c r="W281" s="612">
        <f t="shared" si="235"/>
        <v>763255386.48236513</v>
      </c>
      <c r="X281" s="561"/>
      <c r="Y281" s="449"/>
      <c r="Z281" s="449"/>
      <c r="AA281" s="475" t="s">
        <v>4180</v>
      </c>
      <c r="AB281" s="476"/>
      <c r="AC281" s="476"/>
      <c r="AD281" s="567">
        <f>G288</f>
        <v>845744482.7995193</v>
      </c>
      <c r="AE281" s="452"/>
      <c r="AF281" s="571"/>
      <c r="AG281" s="452"/>
      <c r="AH281" s="452"/>
      <c r="AI281" s="453"/>
      <c r="AJ281" s="449"/>
      <c r="AK281" s="453"/>
      <c r="AL281" s="454"/>
      <c r="AM281" s="455"/>
      <c r="AN281" s="456"/>
      <c r="AO281" s="455"/>
      <c r="AP281" s="452"/>
      <c r="AQ281" s="457"/>
      <c r="AR281" s="449"/>
      <c r="AS281" s="449"/>
      <c r="AT281" s="452"/>
      <c r="AU281" s="457"/>
      <c r="AV281" s="449"/>
      <c r="AW281" s="458"/>
      <c r="AX281" s="452"/>
      <c r="AY281" s="457"/>
      <c r="AZ281" s="449"/>
      <c r="BA281" s="459"/>
      <c r="BB281" s="455"/>
      <c r="BC281" s="460"/>
      <c r="BD281" s="460"/>
      <c r="BG281" s="462"/>
    </row>
    <row r="282" spans="1:59" s="461" customFormat="1" ht="18" customHeight="1" x14ac:dyDescent="0.2">
      <c r="A282" s="461" t="str">
        <f t="shared" si="226"/>
        <v>WISMA JALUR2015</v>
      </c>
      <c r="B282" s="708"/>
      <c r="C282" s="489"/>
      <c r="D282" s="489"/>
      <c r="E282" s="558"/>
      <c r="F282" s="559">
        <v>2015</v>
      </c>
      <c r="G282" s="619">
        <v>0</v>
      </c>
      <c r="H282" s="464">
        <f t="shared" si="227"/>
        <v>46</v>
      </c>
      <c r="I282" s="560"/>
      <c r="J282" s="468">
        <f t="shared" si="228"/>
        <v>2060</v>
      </c>
      <c r="K282" s="490">
        <f t="shared" si="229"/>
        <v>0</v>
      </c>
      <c r="L282" s="469">
        <f t="shared" si="236"/>
        <v>0</v>
      </c>
      <c r="M282" s="683">
        <f t="shared" si="230"/>
        <v>0</v>
      </c>
      <c r="N282" s="470">
        <f t="shared" si="231"/>
        <v>46</v>
      </c>
      <c r="O282" s="468">
        <f t="shared" si="232"/>
        <v>2060</v>
      </c>
      <c r="P282" s="471">
        <f t="shared" si="237"/>
        <v>763255386.48236513</v>
      </c>
      <c r="Q282" s="472">
        <f t="shared" si="233"/>
        <v>763255386.48236513</v>
      </c>
      <c r="R282" s="472">
        <f t="shared" si="238"/>
        <v>16592508.401790544</v>
      </c>
      <c r="S282" s="629">
        <f t="shared" si="224"/>
        <v>2015</v>
      </c>
      <c r="T282" s="470">
        <f t="shared" si="239"/>
        <v>1</v>
      </c>
      <c r="U282" s="612">
        <f t="shared" si="225"/>
        <v>16592508.401790544</v>
      </c>
      <c r="V282" s="464">
        <f t="shared" si="234"/>
        <v>2015</v>
      </c>
      <c r="W282" s="612">
        <f t="shared" si="235"/>
        <v>746662878.08057463</v>
      </c>
      <c r="X282" s="561"/>
      <c r="Y282" s="449"/>
      <c r="Z282" s="449"/>
      <c r="AA282" s="475" t="s">
        <v>4181</v>
      </c>
      <c r="AB282" s="491"/>
      <c r="AC282" s="491"/>
      <c r="AD282" s="567">
        <f>U288</f>
        <v>165451638.32610697</v>
      </c>
      <c r="AE282" s="452"/>
      <c r="AF282" s="571"/>
      <c r="AG282" s="452"/>
      <c r="AH282" s="452"/>
      <c r="AI282" s="453"/>
      <c r="AJ282" s="449"/>
      <c r="AK282" s="453"/>
      <c r="AL282" s="454"/>
      <c r="AM282" s="455"/>
      <c r="AN282" s="456"/>
      <c r="AO282" s="455"/>
      <c r="AP282" s="452"/>
      <c r="AQ282" s="457"/>
      <c r="AR282" s="449"/>
      <c r="AS282" s="449"/>
      <c r="AT282" s="452"/>
      <c r="AU282" s="457"/>
      <c r="AV282" s="449"/>
      <c r="AW282" s="458"/>
      <c r="AX282" s="452"/>
      <c r="AY282" s="457"/>
      <c r="AZ282" s="449"/>
      <c r="BA282" s="459"/>
      <c r="BB282" s="455"/>
      <c r="BC282" s="460"/>
      <c r="BD282" s="460"/>
      <c r="BG282" s="462"/>
    </row>
    <row r="283" spans="1:59" s="461" customFormat="1" ht="18" customHeight="1" x14ac:dyDescent="0.2">
      <c r="A283" s="461" t="str">
        <f t="shared" si="226"/>
        <v>WISMA JALUR2016</v>
      </c>
      <c r="B283" s="708"/>
      <c r="C283" s="489"/>
      <c r="D283" s="489"/>
      <c r="E283" s="558"/>
      <c r="F283" s="559">
        <v>2016</v>
      </c>
      <c r="G283" s="619">
        <v>0</v>
      </c>
      <c r="H283" s="464">
        <f t="shared" si="227"/>
        <v>45</v>
      </c>
      <c r="I283" s="560"/>
      <c r="J283" s="468">
        <f t="shared" si="228"/>
        <v>2060</v>
      </c>
      <c r="K283" s="490">
        <f t="shared" si="229"/>
        <v>0</v>
      </c>
      <c r="L283" s="469">
        <f t="shared" si="236"/>
        <v>0</v>
      </c>
      <c r="M283" s="683">
        <f t="shared" si="230"/>
        <v>0</v>
      </c>
      <c r="N283" s="470">
        <f t="shared" si="231"/>
        <v>45</v>
      </c>
      <c r="O283" s="468">
        <f t="shared" si="232"/>
        <v>2060</v>
      </c>
      <c r="P283" s="471">
        <f t="shared" si="237"/>
        <v>746662878.08057463</v>
      </c>
      <c r="Q283" s="472">
        <f t="shared" si="233"/>
        <v>746662878.08057463</v>
      </c>
      <c r="R283" s="472">
        <f t="shared" si="238"/>
        <v>16592508.401790544</v>
      </c>
      <c r="S283" s="629">
        <f t="shared" si="224"/>
        <v>2016</v>
      </c>
      <c r="T283" s="470">
        <f t="shared" si="239"/>
        <v>1</v>
      </c>
      <c r="U283" s="612">
        <f t="shared" si="225"/>
        <v>16592508.401790544</v>
      </c>
      <c r="V283" s="464">
        <f t="shared" si="234"/>
        <v>2016</v>
      </c>
      <c r="W283" s="612">
        <f t="shared" si="235"/>
        <v>730070369.67878413</v>
      </c>
      <c r="X283" s="561"/>
      <c r="Y283" s="449"/>
      <c r="Z283" s="449"/>
      <c r="AA283" s="492" t="s">
        <v>4182</v>
      </c>
      <c r="AB283" s="476"/>
      <c r="AC283" s="476"/>
      <c r="AD283" s="568">
        <f>AD281-AD282</f>
        <v>680292844.47341228</v>
      </c>
      <c r="AE283" s="452"/>
      <c r="AF283" s="571"/>
      <c r="AG283" s="452"/>
      <c r="AH283" s="452"/>
      <c r="AI283" s="453"/>
      <c r="AJ283" s="449"/>
      <c r="AK283" s="453"/>
      <c r="AL283" s="454"/>
      <c r="AM283" s="455"/>
      <c r="AN283" s="456"/>
      <c r="AO283" s="455"/>
      <c r="AP283" s="452"/>
      <c r="AQ283" s="457"/>
      <c r="AR283" s="449"/>
      <c r="AS283" s="449"/>
      <c r="AT283" s="452"/>
      <c r="AU283" s="457"/>
      <c r="AV283" s="449"/>
      <c r="AW283" s="458"/>
      <c r="AX283" s="452"/>
      <c r="AY283" s="457"/>
      <c r="AZ283" s="449"/>
      <c r="BA283" s="459"/>
      <c r="BB283" s="455"/>
      <c r="BC283" s="460"/>
      <c r="BD283" s="460"/>
      <c r="BG283" s="462"/>
    </row>
    <row r="284" spans="1:59" s="461" customFormat="1" ht="18" customHeight="1" x14ac:dyDescent="0.2">
      <c r="A284" s="461" t="str">
        <f t="shared" si="226"/>
        <v>WISMA JALUR2017</v>
      </c>
      <c r="B284" s="708"/>
      <c r="C284" s="489"/>
      <c r="D284" s="489"/>
      <c r="E284" s="558"/>
      <c r="F284" s="559">
        <v>2017</v>
      </c>
      <c r="G284" s="619">
        <v>0</v>
      </c>
      <c r="H284" s="464">
        <f t="shared" si="227"/>
        <v>44</v>
      </c>
      <c r="I284" s="560"/>
      <c r="J284" s="468">
        <f t="shared" si="228"/>
        <v>2060</v>
      </c>
      <c r="K284" s="490">
        <f t="shared" si="229"/>
        <v>0</v>
      </c>
      <c r="L284" s="469">
        <f t="shared" si="236"/>
        <v>0</v>
      </c>
      <c r="M284" s="683">
        <f t="shared" si="230"/>
        <v>0</v>
      </c>
      <c r="N284" s="470">
        <f t="shared" si="231"/>
        <v>44</v>
      </c>
      <c r="O284" s="468">
        <f t="shared" si="232"/>
        <v>2060</v>
      </c>
      <c r="P284" s="471">
        <f t="shared" si="237"/>
        <v>730070369.67878413</v>
      </c>
      <c r="Q284" s="472">
        <f t="shared" si="233"/>
        <v>730070369.67878413</v>
      </c>
      <c r="R284" s="472">
        <f t="shared" si="238"/>
        <v>16592508.401790544</v>
      </c>
      <c r="S284" s="629">
        <f t="shared" si="224"/>
        <v>2017</v>
      </c>
      <c r="T284" s="470">
        <f t="shared" si="239"/>
        <v>1</v>
      </c>
      <c r="U284" s="612">
        <f t="shared" si="225"/>
        <v>16592508.401790544</v>
      </c>
      <c r="V284" s="464">
        <f t="shared" si="234"/>
        <v>2017</v>
      </c>
      <c r="W284" s="612">
        <f t="shared" si="235"/>
        <v>713477861.27699363</v>
      </c>
      <c r="X284" s="561"/>
      <c r="Y284" s="449"/>
      <c r="Z284" s="449"/>
      <c r="AA284" s="475" t="s">
        <v>4183</v>
      </c>
      <c r="AB284" s="476"/>
      <c r="AC284" s="476"/>
      <c r="AD284" s="567">
        <f>AD283-W288</f>
        <v>0</v>
      </c>
      <c r="AE284" s="452"/>
      <c r="AF284" s="571"/>
      <c r="AG284" s="452"/>
      <c r="AH284" s="452"/>
      <c r="AI284" s="453"/>
      <c r="AJ284" s="449"/>
      <c r="AK284" s="453"/>
      <c r="AL284" s="454"/>
      <c r="AM284" s="455"/>
      <c r="AN284" s="456"/>
      <c r="AO284" s="455"/>
      <c r="AP284" s="452"/>
      <c r="AQ284" s="457"/>
      <c r="AR284" s="449"/>
      <c r="AS284" s="449"/>
      <c r="AT284" s="452"/>
      <c r="AU284" s="457"/>
      <c r="AV284" s="449"/>
      <c r="AW284" s="458"/>
      <c r="AX284" s="452"/>
      <c r="AY284" s="457"/>
      <c r="AZ284" s="449"/>
      <c r="BA284" s="459"/>
      <c r="BB284" s="455"/>
      <c r="BC284" s="460"/>
      <c r="BD284" s="460"/>
      <c r="BG284" s="462"/>
    </row>
    <row r="285" spans="1:59" s="486" customFormat="1" ht="18" customHeight="1" x14ac:dyDescent="0.2">
      <c r="A285" s="461" t="str">
        <f t="shared" si="226"/>
        <v>WISMA JALUR2018</v>
      </c>
      <c r="B285" s="708"/>
      <c r="C285" s="463"/>
      <c r="D285" s="489"/>
      <c r="E285" s="465"/>
      <c r="F285" s="559">
        <v>2018</v>
      </c>
      <c r="G285" s="619">
        <v>0</v>
      </c>
      <c r="H285" s="464">
        <f t="shared" si="227"/>
        <v>43</v>
      </c>
      <c r="I285" s="560"/>
      <c r="J285" s="468">
        <f t="shared" si="228"/>
        <v>2060</v>
      </c>
      <c r="K285" s="490">
        <f t="shared" si="229"/>
        <v>0</v>
      </c>
      <c r="L285" s="469">
        <f t="shared" si="236"/>
        <v>0</v>
      </c>
      <c r="M285" s="683">
        <f t="shared" si="230"/>
        <v>0</v>
      </c>
      <c r="N285" s="470">
        <f t="shared" si="231"/>
        <v>43</v>
      </c>
      <c r="O285" s="468">
        <f t="shared" si="232"/>
        <v>2060</v>
      </c>
      <c r="P285" s="471">
        <f t="shared" si="237"/>
        <v>713477861.27699363</v>
      </c>
      <c r="Q285" s="472">
        <f t="shared" si="233"/>
        <v>713477861.27699363</v>
      </c>
      <c r="R285" s="472">
        <f t="shared" si="238"/>
        <v>16592508.401790544</v>
      </c>
      <c r="S285" s="629">
        <f t="shared" si="224"/>
        <v>2018</v>
      </c>
      <c r="T285" s="470">
        <f t="shared" si="239"/>
        <v>1</v>
      </c>
      <c r="U285" s="612">
        <f t="shared" si="225"/>
        <v>16592508.401790544</v>
      </c>
      <c r="V285" s="464">
        <f t="shared" si="234"/>
        <v>2018</v>
      </c>
      <c r="W285" s="612">
        <f t="shared" si="235"/>
        <v>696885352.87520313</v>
      </c>
      <c r="X285" s="561"/>
      <c r="Y285" s="474"/>
      <c r="Z285" s="449"/>
      <c r="AA285" s="495"/>
      <c r="AB285" s="496"/>
      <c r="AC285" s="496"/>
      <c r="AD285" s="569"/>
      <c r="AE285" s="476"/>
      <c r="AF285" s="568"/>
      <c r="AG285" s="476"/>
      <c r="AH285" s="476"/>
      <c r="AI285" s="477"/>
      <c r="AJ285" s="478"/>
      <c r="AK285" s="479"/>
      <c r="AL285" s="480"/>
      <c r="AM285" s="474"/>
      <c r="AN285" s="481"/>
      <c r="AO285" s="474"/>
      <c r="AP285" s="476"/>
      <c r="AQ285" s="482"/>
      <c r="AR285" s="478"/>
      <c r="AS285" s="478"/>
      <c r="AT285" s="476"/>
      <c r="AU285" s="482"/>
      <c r="AV285" s="478"/>
      <c r="AW285" s="483"/>
      <c r="AX285" s="476"/>
      <c r="AY285" s="482"/>
      <c r="AZ285" s="478"/>
      <c r="BA285" s="484"/>
      <c r="BB285" s="474"/>
      <c r="BC285" s="485"/>
      <c r="BD285" s="485"/>
      <c r="BG285" s="487"/>
    </row>
    <row r="286" spans="1:59" s="486" customFormat="1" ht="18" customHeight="1" x14ac:dyDescent="0.2">
      <c r="A286" s="461" t="str">
        <f t="shared" si="226"/>
        <v>WISMA JALUR2019</v>
      </c>
      <c r="B286" s="708"/>
      <c r="C286" s="488"/>
      <c r="D286" s="489"/>
      <c r="E286" s="465"/>
      <c r="F286" s="466">
        <v>2019</v>
      </c>
      <c r="G286" s="619">
        <v>0</v>
      </c>
      <c r="H286" s="464">
        <f>IF(N285-(F286-F285)&lt;=0,0,(N285-(F286-F285)))</f>
        <v>42</v>
      </c>
      <c r="I286" s="560"/>
      <c r="J286" s="468">
        <f>(F286+N286)-1</f>
        <v>2060</v>
      </c>
      <c r="K286" s="490">
        <f>IF(G286=0,0,IF(H286=50,100%,G286/W285))</f>
        <v>0</v>
      </c>
      <c r="L286" s="469">
        <f>IF(K286=0%,0,IF(K286&lt;=25%,5,IF(K286&lt;=50%,10,IF(K286&lt;=75%,15,50))))</f>
        <v>0</v>
      </c>
      <c r="M286" s="683">
        <f>IF(OR(AND(ISBLANK(E286),ISBLANK(G286)),ISTEXT(E286),ISTEXT(G286)),"",IF(H286+L286&gt;$H$27,$H$27-H286,L286))</f>
        <v>0</v>
      </c>
      <c r="N286" s="470">
        <f>IF(OR(AND(ISBLANK(F286),ISBLANK(G286)),ISTEXT(F286),ISTEXT(G286)),"",H286+M286)</f>
        <v>42</v>
      </c>
      <c r="O286" s="468">
        <f>(F286+N286)-1</f>
        <v>2060</v>
      </c>
      <c r="P286" s="471">
        <f>W285</f>
        <v>696885352.87520313</v>
      </c>
      <c r="Q286" s="472">
        <f>P286+G286</f>
        <v>696885352.87520313</v>
      </c>
      <c r="R286" s="472">
        <f>IF(L286=0,R285,Q286/N286)</f>
        <v>16592508.401790544</v>
      </c>
      <c r="S286" s="1189">
        <f>F286</f>
        <v>2019</v>
      </c>
      <c r="T286" s="470">
        <f>S286-S285</f>
        <v>1</v>
      </c>
      <c r="U286" s="612">
        <f>R286*T286</f>
        <v>16592508.401790544</v>
      </c>
      <c r="V286" s="464">
        <f>F286</f>
        <v>2019</v>
      </c>
      <c r="W286" s="612">
        <f>IF(OR(AND(ISBLANK(E286),ISBLANK(G286)),ISTEXT(E286),ISTEXT(G286)),"",Q286-U286)</f>
        <v>680292844.47341263</v>
      </c>
      <c r="X286" s="473"/>
      <c r="Y286" s="478"/>
      <c r="Z286" s="449"/>
      <c r="AA286" s="699"/>
      <c r="AB286" s="700"/>
      <c r="AC286" s="700"/>
      <c r="AD286" s="701"/>
      <c r="AE286" s="491"/>
      <c r="AF286" s="568"/>
      <c r="AG286" s="491"/>
      <c r="AH286" s="491"/>
      <c r="AI286" s="477"/>
      <c r="AJ286" s="478"/>
      <c r="AK286" s="479"/>
      <c r="AL286" s="480"/>
      <c r="AM286" s="474"/>
      <c r="AN286" s="481"/>
      <c r="AO286" s="474"/>
      <c r="AP286" s="476"/>
      <c r="AQ286" s="482"/>
      <c r="AR286" s="478"/>
      <c r="AS286" s="478"/>
      <c r="AT286" s="476"/>
      <c r="AU286" s="482"/>
      <c r="AV286" s="478"/>
      <c r="AW286" s="483"/>
      <c r="AX286" s="476"/>
      <c r="AY286" s="482"/>
      <c r="AZ286" s="478"/>
      <c r="BA286" s="484"/>
      <c r="BB286" s="474"/>
      <c r="BC286" s="485"/>
      <c r="BD286" s="485"/>
      <c r="BG286" s="487"/>
    </row>
    <row r="287" spans="1:59" s="486" customFormat="1" ht="18" customHeight="1" x14ac:dyDescent="0.2">
      <c r="B287" s="687"/>
      <c r="C287" s="494"/>
      <c r="D287" s="464"/>
      <c r="E287" s="465"/>
      <c r="F287" s="466"/>
      <c r="G287" s="620"/>
      <c r="H287" s="464"/>
      <c r="I287" s="467"/>
      <c r="J287" s="468"/>
      <c r="K287" s="490"/>
      <c r="L287" s="469"/>
      <c r="M287" s="683"/>
      <c r="N287" s="470"/>
      <c r="O287" s="468"/>
      <c r="P287" s="471"/>
      <c r="Q287" s="472"/>
      <c r="R287" s="472"/>
      <c r="S287" s="629"/>
      <c r="T287" s="470"/>
      <c r="U287" s="612"/>
      <c r="V287" s="464"/>
      <c r="W287" s="612"/>
      <c r="X287" s="473"/>
      <c r="Y287" s="478"/>
      <c r="Z287" s="449"/>
      <c r="AA287" s="497"/>
      <c r="AB287" s="476"/>
      <c r="AC287" s="476"/>
      <c r="AD287" s="568"/>
      <c r="AE287" s="476"/>
      <c r="AF287" s="568"/>
      <c r="AG287" s="476"/>
      <c r="AH287" s="476"/>
      <c r="AI287" s="477"/>
      <c r="AJ287" s="478"/>
      <c r="AK287" s="479"/>
      <c r="AL287" s="480"/>
      <c r="AM287" s="474"/>
      <c r="AN287" s="481"/>
      <c r="AO287" s="474"/>
      <c r="AP287" s="476"/>
      <c r="AQ287" s="482"/>
      <c r="AR287" s="478"/>
      <c r="AS287" s="478"/>
      <c r="AT287" s="476"/>
      <c r="AU287" s="482"/>
      <c r="AV287" s="478"/>
      <c r="AW287" s="483"/>
      <c r="AX287" s="476"/>
      <c r="AY287" s="482"/>
      <c r="AZ287" s="478"/>
      <c r="BA287" s="484"/>
      <c r="BB287" s="474"/>
      <c r="BC287" s="485"/>
      <c r="BD287" s="485"/>
      <c r="BG287" s="487"/>
    </row>
    <row r="288" spans="1:59" s="526" customFormat="1" ht="18" customHeight="1" x14ac:dyDescent="0.2">
      <c r="B288" s="1956" t="s">
        <v>4184</v>
      </c>
      <c r="C288" s="1957"/>
      <c r="D288" s="1957"/>
      <c r="E288" s="1957"/>
      <c r="F288" s="1958"/>
      <c r="G288" s="621">
        <f>SUM(G278:G287)</f>
        <v>845744482.7995193</v>
      </c>
      <c r="H288" s="505"/>
      <c r="I288" s="506"/>
      <c r="J288" s="507"/>
      <c r="K288" s="507"/>
      <c r="L288" s="505"/>
      <c r="M288" s="684"/>
      <c r="N288" s="508"/>
      <c r="O288" s="507"/>
      <c r="P288" s="509"/>
      <c r="Q288" s="510"/>
      <c r="R288" s="511"/>
      <c r="S288" s="512"/>
      <c r="T288" s="512"/>
      <c r="U288" s="610">
        <f>SUM(U278:U287)</f>
        <v>165451638.32610697</v>
      </c>
      <c r="V288" s="513"/>
      <c r="W288" s="610">
        <f>G288-U288</f>
        <v>680292844.47341228</v>
      </c>
      <c r="X288" s="514"/>
      <c r="Y288" s="515"/>
      <c r="Z288" s="515"/>
      <c r="AA288" s="515"/>
      <c r="AB288" s="515"/>
      <c r="AC288" s="515"/>
      <c r="AD288" s="570"/>
      <c r="AE288" s="515"/>
      <c r="AF288" s="570"/>
      <c r="AG288" s="515"/>
      <c r="AH288" s="515"/>
      <c r="AI288" s="516"/>
      <c r="AJ288" s="517"/>
      <c r="AK288" s="518"/>
      <c r="AL288" s="519"/>
      <c r="AM288" s="520"/>
      <c r="AN288" s="521"/>
      <c r="AO288" s="520"/>
      <c r="AP288" s="515"/>
      <c r="AQ288" s="522"/>
      <c r="AR288" s="517"/>
      <c r="AS288" s="517"/>
      <c r="AT288" s="515"/>
      <c r="AU288" s="522"/>
      <c r="AV288" s="517"/>
      <c r="AW288" s="523"/>
      <c r="AX288" s="515"/>
      <c r="AY288" s="522"/>
      <c r="AZ288" s="517"/>
      <c r="BA288" s="524"/>
      <c r="BB288" s="520"/>
      <c r="BC288" s="525"/>
      <c r="BD288" s="525"/>
      <c r="BG288" s="527"/>
    </row>
    <row r="289" spans="1:59" s="526" customFormat="1" ht="18" customHeight="1" x14ac:dyDescent="0.2">
      <c r="B289" s="741"/>
      <c r="C289" s="697"/>
      <c r="D289" s="697"/>
      <c r="E289" s="697"/>
      <c r="F289" s="585"/>
      <c r="G289" s="622"/>
      <c r="H289" s="586"/>
      <c r="I289" s="587"/>
      <c r="J289" s="588"/>
      <c r="K289" s="588"/>
      <c r="L289" s="586"/>
      <c r="M289" s="521"/>
      <c r="N289" s="589"/>
      <c r="O289" s="588"/>
      <c r="P289" s="590"/>
      <c r="Q289" s="591"/>
      <c r="R289" s="592"/>
      <c r="S289" s="593"/>
      <c r="T289" s="593"/>
      <c r="U289" s="570"/>
      <c r="V289" s="594"/>
      <c r="W289" s="570"/>
      <c r="X289" s="515"/>
      <c r="Y289" s="515"/>
      <c r="Z289" s="515"/>
      <c r="AA289" s="515"/>
      <c r="AB289" s="515"/>
      <c r="AC289" s="515"/>
      <c r="AD289" s="570"/>
      <c r="AE289" s="515"/>
      <c r="AF289" s="570"/>
      <c r="AG289" s="515"/>
      <c r="AH289" s="515"/>
      <c r="AI289" s="516"/>
      <c r="AJ289" s="517"/>
      <c r="AK289" s="518"/>
      <c r="AL289" s="519"/>
      <c r="AM289" s="520"/>
      <c r="AN289" s="521"/>
      <c r="AO289" s="520"/>
      <c r="AP289" s="515"/>
      <c r="AQ289" s="522"/>
      <c r="AR289" s="517"/>
      <c r="AS289" s="517"/>
      <c r="AT289" s="515"/>
      <c r="AU289" s="522"/>
      <c r="AV289" s="517"/>
      <c r="AW289" s="523"/>
      <c r="AX289" s="515"/>
      <c r="AY289" s="522"/>
      <c r="AZ289" s="517"/>
      <c r="BA289" s="524"/>
      <c r="BB289" s="520"/>
      <c r="BC289" s="525"/>
      <c r="BD289" s="525"/>
      <c r="BG289" s="527"/>
    </row>
    <row r="290" spans="1:59" s="526" customFormat="1" ht="18" customHeight="1" x14ac:dyDescent="0.2">
      <c r="B290" s="575"/>
      <c r="C290" s="585"/>
      <c r="D290" s="585"/>
      <c r="E290" s="585"/>
      <c r="F290" s="585"/>
      <c r="G290" s="622"/>
      <c r="H290" s="586"/>
      <c r="I290" s="587"/>
      <c r="J290" s="588"/>
      <c r="K290" s="588"/>
      <c r="L290" s="586"/>
      <c r="M290" s="521"/>
      <c r="N290" s="589"/>
      <c r="O290" s="588"/>
      <c r="P290" s="590"/>
      <c r="Q290" s="591"/>
      <c r="R290" s="592"/>
      <c r="S290" s="593"/>
      <c r="T290" s="593"/>
      <c r="U290" s="570"/>
      <c r="V290" s="594"/>
      <c r="W290" s="570"/>
      <c r="X290" s="515"/>
      <c r="Y290" s="515"/>
      <c r="Z290" s="515"/>
      <c r="AA290" s="515"/>
      <c r="AB290" s="515"/>
      <c r="AC290" s="515"/>
      <c r="AD290" s="570"/>
      <c r="AE290" s="515"/>
      <c r="AF290" s="570"/>
      <c r="AG290" s="515"/>
      <c r="AH290" s="515"/>
      <c r="AI290" s="516"/>
      <c r="AJ290" s="517"/>
      <c r="AK290" s="518"/>
      <c r="AL290" s="519"/>
      <c r="AM290" s="520"/>
      <c r="AN290" s="521"/>
      <c r="AO290" s="520"/>
      <c r="AP290" s="515"/>
      <c r="AQ290" s="522"/>
      <c r="AR290" s="517"/>
      <c r="AS290" s="517"/>
      <c r="AT290" s="515"/>
      <c r="AU290" s="522"/>
      <c r="AV290" s="517"/>
      <c r="AW290" s="523"/>
      <c r="AX290" s="515"/>
      <c r="AY290" s="522"/>
      <c r="AZ290" s="517"/>
      <c r="BA290" s="524"/>
      <c r="BB290" s="520"/>
      <c r="BC290" s="525"/>
      <c r="BD290" s="525"/>
      <c r="BG290" s="527"/>
    </row>
    <row r="291" spans="1:59" s="422" customFormat="1" ht="18" customHeight="1" x14ac:dyDescent="0.2">
      <c r="B291" s="688" t="s">
        <v>4221</v>
      </c>
      <c r="C291" s="556"/>
      <c r="D291" s="553" t="s">
        <v>2827</v>
      </c>
      <c r="E291" s="553"/>
      <c r="F291" s="421"/>
      <c r="G291" s="611"/>
      <c r="I291" s="423"/>
      <c r="J291" s="424"/>
      <c r="K291" s="424"/>
      <c r="M291" s="680"/>
      <c r="U291" s="611"/>
      <c r="W291" s="611"/>
      <c r="Y291" s="425"/>
      <c r="Z291" s="425"/>
      <c r="AA291" s="425"/>
      <c r="AB291" s="425"/>
      <c r="AC291" s="425"/>
      <c r="AD291" s="563"/>
      <c r="AE291" s="425"/>
      <c r="AF291" s="563"/>
      <c r="AG291" s="425"/>
      <c r="AH291" s="425"/>
      <c r="AI291" s="425"/>
      <c r="AJ291" s="425"/>
      <c r="AK291" s="425"/>
      <c r="AL291" s="425"/>
      <c r="AM291" s="425"/>
      <c r="AN291" s="425"/>
      <c r="AO291" s="425"/>
      <c r="AP291" s="425"/>
      <c r="AQ291" s="425"/>
      <c r="AR291" s="425"/>
      <c r="AS291" s="425"/>
      <c r="AT291" s="425"/>
      <c r="AU291" s="425"/>
      <c r="AV291" s="425"/>
      <c r="AW291" s="425"/>
      <c r="AX291" s="425"/>
      <c r="AY291" s="425"/>
      <c r="AZ291" s="425"/>
      <c r="BA291" s="425"/>
      <c r="BB291" s="425"/>
    </row>
    <row r="292" spans="1:59" s="431" customFormat="1" ht="18" customHeight="1" x14ac:dyDescent="0.2">
      <c r="B292" s="1968" t="s">
        <v>5</v>
      </c>
      <c r="C292" s="1968" t="s">
        <v>2280</v>
      </c>
      <c r="D292" s="1968" t="s">
        <v>4157</v>
      </c>
      <c r="E292" s="1968" t="s">
        <v>4158</v>
      </c>
      <c r="F292" s="1968"/>
      <c r="G292" s="1969" t="s">
        <v>4159</v>
      </c>
      <c r="H292" s="1355" t="s">
        <v>4160</v>
      </c>
      <c r="I292" s="1355"/>
      <c r="J292" s="1968" t="s">
        <v>4161</v>
      </c>
      <c r="K292" s="1964" t="s">
        <v>4162</v>
      </c>
      <c r="L292" s="1968" t="s">
        <v>4163</v>
      </c>
      <c r="M292" s="1971" t="s">
        <v>4164</v>
      </c>
      <c r="N292" s="1962" t="s">
        <v>4165</v>
      </c>
      <c r="O292" s="1968" t="s">
        <v>4166</v>
      </c>
      <c r="P292" s="1972" t="s">
        <v>4167</v>
      </c>
      <c r="Q292" s="1973"/>
      <c r="R292" s="631" t="s">
        <v>4168</v>
      </c>
      <c r="S292" s="1972" t="s">
        <v>4169</v>
      </c>
      <c r="T292" s="1974"/>
      <c r="U292" s="1973"/>
      <c r="V292" s="1975" t="s">
        <v>4170</v>
      </c>
      <c r="W292" s="1975"/>
      <c r="X292" s="1960" t="s">
        <v>4171</v>
      </c>
      <c r="Y292" s="1959"/>
      <c r="Z292" s="628"/>
      <c r="AA292" s="426"/>
      <c r="AB292" s="426"/>
      <c r="AC292" s="426"/>
      <c r="AD292" s="564"/>
      <c r="AE292" s="426"/>
      <c r="AF292" s="564"/>
      <c r="AG292" s="426"/>
      <c r="AH292" s="426"/>
      <c r="AI292" s="427"/>
      <c r="AJ292" s="427"/>
      <c r="AK292" s="427"/>
      <c r="AL292" s="427"/>
      <c r="AM292" s="428"/>
      <c r="AN292" s="427"/>
      <c r="AO292" s="427"/>
      <c r="AP292" s="426"/>
      <c r="AQ292" s="427"/>
      <c r="AR292" s="427"/>
      <c r="AS292" s="427"/>
      <c r="AT292" s="426"/>
      <c r="AU292" s="427"/>
      <c r="AV292" s="427"/>
      <c r="AW292" s="427"/>
      <c r="AX292" s="426"/>
      <c r="AY292" s="427"/>
      <c r="AZ292" s="427"/>
      <c r="BA292" s="427"/>
      <c r="BB292" s="429"/>
      <c r="BC292" s="430"/>
      <c r="BD292" s="430"/>
    </row>
    <row r="293" spans="1:59" s="431" customFormat="1" ht="18" customHeight="1" x14ac:dyDescent="0.2">
      <c r="B293" s="1968"/>
      <c r="C293" s="1968"/>
      <c r="D293" s="1968"/>
      <c r="E293" s="1968"/>
      <c r="F293" s="1968"/>
      <c r="G293" s="1969"/>
      <c r="H293" s="1355"/>
      <c r="I293" s="1355"/>
      <c r="J293" s="1968"/>
      <c r="K293" s="1970"/>
      <c r="L293" s="1968"/>
      <c r="M293" s="1971"/>
      <c r="N293" s="1963"/>
      <c r="O293" s="1968"/>
      <c r="P293" s="1960" t="s">
        <v>4172</v>
      </c>
      <c r="Q293" s="1960" t="s">
        <v>4173</v>
      </c>
      <c r="R293" s="1962" t="s">
        <v>4159</v>
      </c>
      <c r="S293" s="1962" t="s">
        <v>4174</v>
      </c>
      <c r="T293" s="1964" t="s">
        <v>4175</v>
      </c>
      <c r="U293" s="1966" t="s">
        <v>4159</v>
      </c>
      <c r="V293" s="1975"/>
      <c r="W293" s="1975"/>
      <c r="X293" s="1976"/>
      <c r="Y293" s="1959"/>
      <c r="Z293" s="628"/>
      <c r="AA293" s="426"/>
      <c r="AB293" s="426"/>
      <c r="AC293" s="426"/>
      <c r="AD293" s="564"/>
      <c r="AE293" s="426"/>
      <c r="AF293" s="564"/>
      <c r="AG293" s="426"/>
      <c r="AH293" s="426"/>
      <c r="AI293" s="427"/>
      <c r="AJ293" s="427"/>
      <c r="AK293" s="426"/>
      <c r="AL293" s="427"/>
      <c r="AM293" s="428"/>
      <c r="AN293" s="427"/>
      <c r="AO293" s="427"/>
      <c r="AP293" s="432"/>
      <c r="AQ293" s="427"/>
      <c r="AR293" s="427"/>
      <c r="AS293" s="427"/>
      <c r="AT293" s="432"/>
      <c r="AU293" s="427"/>
      <c r="AV293" s="427"/>
      <c r="AW293" s="427"/>
      <c r="AX293" s="432"/>
      <c r="AY293" s="427"/>
      <c r="AZ293" s="427"/>
      <c r="BA293" s="427"/>
      <c r="BB293" s="429"/>
      <c r="BC293" s="430"/>
      <c r="BD293" s="430"/>
    </row>
    <row r="294" spans="1:59" s="431" customFormat="1" ht="21.75" customHeight="1" x14ac:dyDescent="0.2">
      <c r="B294" s="1968"/>
      <c r="C294" s="1968"/>
      <c r="D294" s="1968"/>
      <c r="E294" s="433" t="s">
        <v>4176</v>
      </c>
      <c r="F294" s="434" t="s">
        <v>2288</v>
      </c>
      <c r="G294" s="1969"/>
      <c r="H294" s="1355" t="s">
        <v>2288</v>
      </c>
      <c r="I294" s="1355" t="s">
        <v>4177</v>
      </c>
      <c r="J294" s="1968"/>
      <c r="K294" s="1965"/>
      <c r="L294" s="435" t="s">
        <v>2288</v>
      </c>
      <c r="M294" s="681" t="s">
        <v>2288</v>
      </c>
      <c r="N294" s="630" t="s">
        <v>2288</v>
      </c>
      <c r="O294" s="1968"/>
      <c r="P294" s="1961"/>
      <c r="Q294" s="1961"/>
      <c r="R294" s="1963"/>
      <c r="S294" s="1963"/>
      <c r="T294" s="1965"/>
      <c r="U294" s="1967"/>
      <c r="V294" s="630" t="s">
        <v>4178</v>
      </c>
      <c r="W294" s="632" t="s">
        <v>4159</v>
      </c>
      <c r="X294" s="1961"/>
      <c r="Y294" s="436"/>
      <c r="Z294" s="436"/>
      <c r="AA294" s="426"/>
      <c r="AB294" s="426"/>
      <c r="AC294" s="426"/>
      <c r="AD294" s="564"/>
      <c r="AE294" s="426"/>
      <c r="AF294" s="564"/>
      <c r="AG294" s="426"/>
      <c r="AH294" s="426"/>
      <c r="AI294" s="427"/>
      <c r="AJ294" s="432"/>
      <c r="AK294" s="432"/>
      <c r="AL294" s="427"/>
      <c r="AM294" s="428"/>
      <c r="AN294" s="432"/>
      <c r="AO294" s="427"/>
      <c r="AP294" s="432"/>
      <c r="AQ294" s="432"/>
      <c r="AR294" s="427"/>
      <c r="AS294" s="427"/>
      <c r="AT294" s="432"/>
      <c r="AU294" s="432"/>
      <c r="AV294" s="427"/>
      <c r="AW294" s="427"/>
      <c r="AX294" s="432"/>
      <c r="AY294" s="432"/>
      <c r="AZ294" s="427"/>
      <c r="BA294" s="427"/>
      <c r="BB294" s="429"/>
      <c r="BC294" s="430"/>
      <c r="BD294" s="430"/>
    </row>
    <row r="295" spans="1:59" s="461" customFormat="1" ht="18" customHeight="1" x14ac:dyDescent="0.2">
      <c r="A295" s="461" t="str">
        <f>$D$291&amp;S295</f>
        <v>RUMAH DINAS BUPATI2009</v>
      </c>
      <c r="B295" s="689">
        <v>1</v>
      </c>
      <c r="C295" s="597" t="s">
        <v>2665</v>
      </c>
      <c r="D295" s="597" t="s">
        <v>1752</v>
      </c>
      <c r="E295" s="598"/>
      <c r="F295" s="599">
        <v>2009</v>
      </c>
      <c r="G295" s="626">
        <v>2488646709.8382626</v>
      </c>
      <c r="H295" s="600">
        <f>VLOOKUP(LEFT(D295,8),UE,4)</f>
        <v>50</v>
      </c>
      <c r="I295" s="601"/>
      <c r="J295" s="602">
        <f>(F295+N295)-1</f>
        <v>2058</v>
      </c>
      <c r="K295" s="603"/>
      <c r="L295" s="600"/>
      <c r="M295" s="685">
        <f>IF(H295+L295&gt;$H295,$H295-H295,L295)</f>
        <v>0</v>
      </c>
      <c r="N295" s="604">
        <f>H295+M295</f>
        <v>50</v>
      </c>
      <c r="O295" s="602">
        <f>(F295+N295)-1</f>
        <v>2058</v>
      </c>
      <c r="P295" s="605">
        <f>G295</f>
        <v>2488646709.8382626</v>
      </c>
      <c r="Q295" s="606">
        <v>0</v>
      </c>
      <c r="R295" s="606">
        <f>P295/N295</f>
        <v>49772934.196765251</v>
      </c>
      <c r="S295" s="607">
        <f t="shared" ref="S295:S302" si="240">F295</f>
        <v>2009</v>
      </c>
      <c r="T295" s="608">
        <v>1</v>
      </c>
      <c r="U295" s="615">
        <f t="shared" ref="U295:U302" si="241">R295*T295</f>
        <v>49772934.196765251</v>
      </c>
      <c r="V295" s="602">
        <f>F295</f>
        <v>2009</v>
      </c>
      <c r="W295" s="618">
        <f>IF(OR(AND(ISBLANK(E295),ISBLANK(G295)),ISTEXT(E295),ISTEXT(G295)),"",G295-R295)</f>
        <v>2438873775.6414971</v>
      </c>
      <c r="X295" s="609"/>
      <c r="Y295" s="449"/>
      <c r="Z295" s="449"/>
      <c r="AA295" s="694"/>
      <c r="AB295" s="692"/>
      <c r="AC295" s="692"/>
      <c r="AD295" s="695"/>
      <c r="AE295" s="452"/>
      <c r="AF295" s="571"/>
      <c r="AG295" s="452"/>
      <c r="AH295" s="452"/>
      <c r="AI295" s="453"/>
      <c r="AJ295" s="449"/>
      <c r="AK295" s="453"/>
      <c r="AL295" s="454"/>
      <c r="AM295" s="455"/>
      <c r="AN295" s="456"/>
      <c r="AO295" s="455"/>
      <c r="AP295" s="452"/>
      <c r="AQ295" s="457"/>
      <c r="AR295" s="449"/>
      <c r="AS295" s="449"/>
      <c r="AT295" s="452"/>
      <c r="AU295" s="457"/>
      <c r="AV295" s="449"/>
      <c r="AW295" s="458"/>
      <c r="AX295" s="452"/>
      <c r="AY295" s="457"/>
      <c r="AZ295" s="449"/>
      <c r="BA295" s="459"/>
      <c r="BB295" s="455"/>
      <c r="BC295" s="460"/>
      <c r="BD295" s="460"/>
      <c r="BG295" s="462"/>
    </row>
    <row r="296" spans="1:59" s="461" customFormat="1" ht="18" customHeight="1" x14ac:dyDescent="0.2">
      <c r="A296" s="461" t="str">
        <f t="shared" ref="A296:A303" si="242">$D$291&amp;S296</f>
        <v>RUMAH DINAS BUPATI2010</v>
      </c>
      <c r="B296" s="708"/>
      <c r="C296" s="489"/>
      <c r="D296" s="489"/>
      <c r="E296" s="558"/>
      <c r="F296" s="559">
        <v>2010</v>
      </c>
      <c r="G296" s="619">
        <v>0</v>
      </c>
      <c r="H296" s="464">
        <f t="shared" ref="H296:H302" si="243">IF(N295-(F296-F295)&lt;=0,0,(N295-(F296-F295)))</f>
        <v>49</v>
      </c>
      <c r="I296" s="560"/>
      <c r="J296" s="468">
        <f t="shared" ref="J296:J302" si="244">(F296+N296)-1</f>
        <v>2058</v>
      </c>
      <c r="K296" s="490">
        <f t="shared" ref="K296:K302" si="245">IF(G296=0,0,IF(H296=50,100%,G296/W295))</f>
        <v>0</v>
      </c>
      <c r="L296" s="469">
        <f>IF(K296=0%,0,IF(K296&lt;=25%,5,IF(K296&lt;=50%,10,IF(K296&lt;=75%,15,50))))</f>
        <v>0</v>
      </c>
      <c r="M296" s="683">
        <f>IF(OR(AND(ISBLANK(E296),ISBLANK(G296)),ISTEXT(E296),ISTEXT(G296)),"",IF(H296+L296&gt;$H$295,$H$295-H296,L296))</f>
        <v>0</v>
      </c>
      <c r="N296" s="470">
        <f t="shared" ref="N296:N302" si="246">IF(OR(AND(ISBLANK(F296),ISBLANK(G296)),ISTEXT(F296),ISTEXT(G296)),"",H296+M296)</f>
        <v>49</v>
      </c>
      <c r="O296" s="468">
        <f t="shared" ref="O296:O302" si="247">(F296+N296)-1</f>
        <v>2058</v>
      </c>
      <c r="P296" s="471">
        <f>W295</f>
        <v>2438873775.6414971</v>
      </c>
      <c r="Q296" s="472">
        <f t="shared" ref="Q296:Q302" si="248">P296+G296</f>
        <v>2438873775.6414971</v>
      </c>
      <c r="R296" s="472">
        <f>IF(L296=0,R295,Q296/N296)</f>
        <v>49772934.196765251</v>
      </c>
      <c r="S296" s="629">
        <f t="shared" si="240"/>
        <v>2010</v>
      </c>
      <c r="T296" s="470">
        <f>S296-S295</f>
        <v>1</v>
      </c>
      <c r="U296" s="612">
        <f t="shared" si="241"/>
        <v>49772934.196765251</v>
      </c>
      <c r="V296" s="464">
        <f t="shared" ref="V296:V302" si="249">F296</f>
        <v>2010</v>
      </c>
      <c r="W296" s="612">
        <f t="shared" ref="W296:W302" si="250">IF(OR(AND(ISBLANK(E296),ISBLANK(G296)),ISTEXT(E296),ISTEXT(G296)),"",Q296-U296)</f>
        <v>2389100841.4447317</v>
      </c>
      <c r="X296" s="561"/>
      <c r="Y296" s="449"/>
      <c r="Z296" s="449"/>
      <c r="AA296" s="554" t="s">
        <v>4179</v>
      </c>
      <c r="AB296" s="452"/>
      <c r="AC296" s="452"/>
      <c r="AD296" s="566"/>
      <c r="AE296" s="452"/>
      <c r="AF296" s="571"/>
      <c r="AG296" s="452"/>
      <c r="AH296" s="452"/>
      <c r="AI296" s="453"/>
      <c r="AJ296" s="449"/>
      <c r="AK296" s="453"/>
      <c r="AL296" s="454"/>
      <c r="AM296" s="455"/>
      <c r="AN296" s="456"/>
      <c r="AO296" s="455"/>
      <c r="AP296" s="452"/>
      <c r="AQ296" s="457"/>
      <c r="AR296" s="449"/>
      <c r="AS296" s="449"/>
      <c r="AT296" s="452"/>
      <c r="AU296" s="457"/>
      <c r="AV296" s="449"/>
      <c r="AW296" s="458"/>
      <c r="AX296" s="452"/>
      <c r="AY296" s="457"/>
      <c r="AZ296" s="449"/>
      <c r="BA296" s="459"/>
      <c r="BB296" s="455"/>
      <c r="BC296" s="460"/>
      <c r="BD296" s="460"/>
      <c r="BG296" s="462"/>
    </row>
    <row r="297" spans="1:59" s="461" customFormat="1" ht="18" customHeight="1" x14ac:dyDescent="0.2">
      <c r="A297" s="461" t="str">
        <f t="shared" si="242"/>
        <v>RUMAH DINAS BUPATI2013</v>
      </c>
      <c r="B297" s="708"/>
      <c r="C297" s="489"/>
      <c r="D297" s="489"/>
      <c r="E297" s="558"/>
      <c r="F297" s="559">
        <v>2013</v>
      </c>
      <c r="G297" s="619">
        <v>0</v>
      </c>
      <c r="H297" s="464">
        <f t="shared" si="243"/>
        <v>46</v>
      </c>
      <c r="I297" s="560"/>
      <c r="J297" s="468">
        <f t="shared" si="244"/>
        <v>2058</v>
      </c>
      <c r="K297" s="490">
        <f t="shared" si="245"/>
        <v>0</v>
      </c>
      <c r="L297" s="469">
        <f t="shared" ref="L297:L302" si="251">IF(K297=0%,0,IF(K297&lt;=25%,5,IF(K297&lt;=50%,10,IF(K297&lt;=75%,15,50))))</f>
        <v>0</v>
      </c>
      <c r="M297" s="683">
        <f t="shared" ref="M297:M303" si="252">IF(OR(AND(ISBLANK(E297),ISBLANK(G297)),ISTEXT(E297),ISTEXT(G297)),"",IF(H297+L297&gt;$H$295,$H$295-H297,L297))</f>
        <v>0</v>
      </c>
      <c r="N297" s="470">
        <f t="shared" si="246"/>
        <v>46</v>
      </c>
      <c r="O297" s="468">
        <f t="shared" si="247"/>
        <v>2058</v>
      </c>
      <c r="P297" s="471">
        <f t="shared" ref="P297:P302" si="253">W296</f>
        <v>2389100841.4447317</v>
      </c>
      <c r="Q297" s="472">
        <f t="shared" si="248"/>
        <v>2389100841.4447317</v>
      </c>
      <c r="R297" s="472">
        <f t="shared" ref="R297:R302" si="254">IF(L297=0,R296,Q297/N297)</f>
        <v>49772934.196765251</v>
      </c>
      <c r="S297" s="629">
        <f t="shared" si="240"/>
        <v>2013</v>
      </c>
      <c r="T297" s="470">
        <f t="shared" ref="T297:T302" si="255">S297-S296</f>
        <v>3</v>
      </c>
      <c r="U297" s="612">
        <f t="shared" si="241"/>
        <v>149318802.59029576</v>
      </c>
      <c r="V297" s="464">
        <f t="shared" si="249"/>
        <v>2013</v>
      </c>
      <c r="W297" s="612">
        <f t="shared" si="250"/>
        <v>2239782038.8544359</v>
      </c>
      <c r="X297" s="561"/>
      <c r="Y297" s="449"/>
      <c r="Z297" s="449"/>
      <c r="AA297" s="554"/>
      <c r="AB297" s="452"/>
      <c r="AC297" s="452"/>
      <c r="AD297" s="566"/>
      <c r="AE297" s="452"/>
      <c r="AF297" s="571"/>
      <c r="AG297" s="452"/>
      <c r="AH297" s="452"/>
      <c r="AI297" s="453"/>
      <c r="AJ297" s="449"/>
      <c r="AK297" s="453"/>
      <c r="AL297" s="454"/>
      <c r="AM297" s="455"/>
      <c r="AN297" s="456"/>
      <c r="AO297" s="455"/>
      <c r="AP297" s="452"/>
      <c r="AQ297" s="457"/>
      <c r="AR297" s="449"/>
      <c r="AS297" s="449"/>
      <c r="AT297" s="452"/>
      <c r="AU297" s="457"/>
      <c r="AV297" s="449"/>
      <c r="AW297" s="458"/>
      <c r="AX297" s="452"/>
      <c r="AY297" s="457"/>
      <c r="AZ297" s="449"/>
      <c r="BA297" s="459"/>
      <c r="BB297" s="455"/>
      <c r="BC297" s="460"/>
      <c r="BD297" s="460"/>
      <c r="BG297" s="462"/>
    </row>
    <row r="298" spans="1:59" s="461" customFormat="1" ht="18" customHeight="1" x14ac:dyDescent="0.2">
      <c r="A298" s="461" t="str">
        <f t="shared" si="242"/>
        <v>RUMAH DINAS BUPATI2014</v>
      </c>
      <c r="B298" s="708"/>
      <c r="C298" s="489"/>
      <c r="D298" s="489"/>
      <c r="E298" s="558"/>
      <c r="F298" s="559">
        <v>2014</v>
      </c>
      <c r="G298" s="619">
        <v>0</v>
      </c>
      <c r="H298" s="464">
        <f t="shared" si="243"/>
        <v>45</v>
      </c>
      <c r="I298" s="560"/>
      <c r="J298" s="468">
        <f t="shared" si="244"/>
        <v>2058</v>
      </c>
      <c r="K298" s="490">
        <f t="shared" si="245"/>
        <v>0</v>
      </c>
      <c r="L298" s="469">
        <f t="shared" si="251"/>
        <v>0</v>
      </c>
      <c r="M298" s="683">
        <f t="shared" si="252"/>
        <v>0</v>
      </c>
      <c r="N298" s="470">
        <f t="shared" si="246"/>
        <v>45</v>
      </c>
      <c r="O298" s="468">
        <f t="shared" si="247"/>
        <v>2058</v>
      </c>
      <c r="P298" s="471">
        <f t="shared" si="253"/>
        <v>2239782038.8544359</v>
      </c>
      <c r="Q298" s="472">
        <f t="shared" si="248"/>
        <v>2239782038.8544359</v>
      </c>
      <c r="R298" s="472">
        <f t="shared" si="254"/>
        <v>49772934.196765251</v>
      </c>
      <c r="S298" s="629">
        <f t="shared" si="240"/>
        <v>2014</v>
      </c>
      <c r="T298" s="470">
        <f t="shared" si="255"/>
        <v>1</v>
      </c>
      <c r="U298" s="612">
        <f t="shared" si="241"/>
        <v>49772934.196765251</v>
      </c>
      <c r="V298" s="464">
        <f t="shared" si="249"/>
        <v>2014</v>
      </c>
      <c r="W298" s="612">
        <f t="shared" si="250"/>
        <v>2190009104.6576705</v>
      </c>
      <c r="X298" s="561"/>
      <c r="Y298" s="449"/>
      <c r="Z298" s="449"/>
      <c r="AA298" s="475" t="s">
        <v>4180</v>
      </c>
      <c r="AB298" s="476"/>
      <c r="AC298" s="476"/>
      <c r="AD298" s="567">
        <f>G305</f>
        <v>2691721709.8382626</v>
      </c>
      <c r="AE298" s="452"/>
      <c r="AF298" s="571"/>
      <c r="AG298" s="452"/>
      <c r="AH298" s="452"/>
      <c r="AI298" s="453"/>
      <c r="AJ298" s="449"/>
      <c r="AK298" s="453"/>
      <c r="AL298" s="454"/>
      <c r="AM298" s="455"/>
      <c r="AN298" s="456"/>
      <c r="AO298" s="455"/>
      <c r="AP298" s="452"/>
      <c r="AQ298" s="457"/>
      <c r="AR298" s="449"/>
      <c r="AS298" s="449"/>
      <c r="AT298" s="452"/>
      <c r="AU298" s="457"/>
      <c r="AV298" s="449"/>
      <c r="AW298" s="458"/>
      <c r="AX298" s="452"/>
      <c r="AY298" s="457"/>
      <c r="AZ298" s="449"/>
      <c r="BA298" s="459"/>
      <c r="BB298" s="455"/>
      <c r="BC298" s="460"/>
      <c r="BD298" s="460"/>
      <c r="BG298" s="462"/>
    </row>
    <row r="299" spans="1:59" s="461" customFormat="1" ht="18" customHeight="1" x14ac:dyDescent="0.2">
      <c r="A299" s="461" t="str">
        <f t="shared" si="242"/>
        <v>RUMAH DINAS BUPATI2015</v>
      </c>
      <c r="B299" s="708"/>
      <c r="C299" s="489"/>
      <c r="D299" s="489"/>
      <c r="E299" s="558"/>
      <c r="F299" s="559">
        <v>2015</v>
      </c>
      <c r="G299" s="619">
        <v>0</v>
      </c>
      <c r="H299" s="464">
        <f t="shared" si="243"/>
        <v>44</v>
      </c>
      <c r="I299" s="560"/>
      <c r="J299" s="468">
        <f t="shared" si="244"/>
        <v>2058</v>
      </c>
      <c r="K299" s="490">
        <f t="shared" si="245"/>
        <v>0</v>
      </c>
      <c r="L299" s="469">
        <f t="shared" si="251"/>
        <v>0</v>
      </c>
      <c r="M299" s="683">
        <f t="shared" si="252"/>
        <v>0</v>
      </c>
      <c r="N299" s="470">
        <f t="shared" si="246"/>
        <v>44</v>
      </c>
      <c r="O299" s="468">
        <f t="shared" si="247"/>
        <v>2058</v>
      </c>
      <c r="P299" s="471">
        <f t="shared" si="253"/>
        <v>2190009104.6576705</v>
      </c>
      <c r="Q299" s="472">
        <f t="shared" si="248"/>
        <v>2190009104.6576705</v>
      </c>
      <c r="R299" s="472">
        <f t="shared" si="254"/>
        <v>49772934.196765251</v>
      </c>
      <c r="S299" s="629">
        <f t="shared" si="240"/>
        <v>2015</v>
      </c>
      <c r="T299" s="470">
        <f t="shared" si="255"/>
        <v>1</v>
      </c>
      <c r="U299" s="612">
        <f t="shared" si="241"/>
        <v>49772934.196765251</v>
      </c>
      <c r="V299" s="464">
        <f t="shared" si="249"/>
        <v>2015</v>
      </c>
      <c r="W299" s="612">
        <f t="shared" si="250"/>
        <v>2140236170.4609053</v>
      </c>
      <c r="X299" s="561"/>
      <c r="Y299" s="449"/>
      <c r="Z299" s="449"/>
      <c r="AA299" s="475" t="s">
        <v>4181</v>
      </c>
      <c r="AB299" s="491"/>
      <c r="AC299" s="491"/>
      <c r="AD299" s="567">
        <f>U305</f>
        <v>544579531.20800328</v>
      </c>
      <c r="AE299" s="452"/>
      <c r="AF299" s="571"/>
      <c r="AG299" s="452"/>
      <c r="AH299" s="452"/>
      <c r="AI299" s="453"/>
      <c r="AJ299" s="449"/>
      <c r="AK299" s="453"/>
      <c r="AL299" s="454"/>
      <c r="AM299" s="455"/>
      <c r="AN299" s="456"/>
      <c r="AO299" s="455"/>
      <c r="AP299" s="452"/>
      <c r="AQ299" s="457"/>
      <c r="AR299" s="449"/>
      <c r="AS299" s="449"/>
      <c r="AT299" s="452"/>
      <c r="AU299" s="457"/>
      <c r="AV299" s="449"/>
      <c r="AW299" s="458"/>
      <c r="AX299" s="452"/>
      <c r="AY299" s="457"/>
      <c r="AZ299" s="449"/>
      <c r="BA299" s="459"/>
      <c r="BB299" s="455"/>
      <c r="BC299" s="460"/>
      <c r="BD299" s="460"/>
      <c r="BG299" s="462"/>
    </row>
    <row r="300" spans="1:59" s="461" customFormat="1" ht="18" customHeight="1" x14ac:dyDescent="0.2">
      <c r="A300" s="461" t="str">
        <f t="shared" si="242"/>
        <v>RUMAH DINAS BUPATI2016</v>
      </c>
      <c r="B300" s="708"/>
      <c r="C300" s="489"/>
      <c r="D300" s="489"/>
      <c r="E300" s="558"/>
      <c r="F300" s="559">
        <v>2016</v>
      </c>
      <c r="G300" s="619">
        <v>0</v>
      </c>
      <c r="H300" s="464">
        <f t="shared" si="243"/>
        <v>43</v>
      </c>
      <c r="I300" s="560"/>
      <c r="J300" s="468">
        <f t="shared" si="244"/>
        <v>2058</v>
      </c>
      <c r="K300" s="490">
        <f t="shared" si="245"/>
        <v>0</v>
      </c>
      <c r="L300" s="469">
        <f t="shared" si="251"/>
        <v>0</v>
      </c>
      <c r="M300" s="683">
        <f t="shared" si="252"/>
        <v>0</v>
      </c>
      <c r="N300" s="470">
        <f t="shared" si="246"/>
        <v>43</v>
      </c>
      <c r="O300" s="468">
        <f t="shared" si="247"/>
        <v>2058</v>
      </c>
      <c r="P300" s="471">
        <f t="shared" si="253"/>
        <v>2140236170.4609053</v>
      </c>
      <c r="Q300" s="472">
        <f t="shared" si="248"/>
        <v>2140236170.4609053</v>
      </c>
      <c r="R300" s="472">
        <f t="shared" si="254"/>
        <v>49772934.196765251</v>
      </c>
      <c r="S300" s="629">
        <f t="shared" si="240"/>
        <v>2016</v>
      </c>
      <c r="T300" s="470">
        <f t="shared" si="255"/>
        <v>1</v>
      </c>
      <c r="U300" s="612">
        <f t="shared" si="241"/>
        <v>49772934.196765251</v>
      </c>
      <c r="V300" s="464">
        <f t="shared" si="249"/>
        <v>2016</v>
      </c>
      <c r="W300" s="612">
        <f t="shared" si="250"/>
        <v>2090463236.2641401</v>
      </c>
      <c r="X300" s="561"/>
      <c r="Y300" s="449"/>
      <c r="Z300" s="449"/>
      <c r="AA300" s="492" t="s">
        <v>4182</v>
      </c>
      <c r="AB300" s="476"/>
      <c r="AC300" s="476"/>
      <c r="AD300" s="568">
        <f>AD298-AD299</f>
        <v>2147142178.6302593</v>
      </c>
      <c r="AE300" s="452"/>
      <c r="AF300" s="571"/>
      <c r="AG300" s="452"/>
      <c r="AH300" s="452"/>
      <c r="AI300" s="453"/>
      <c r="AJ300" s="449"/>
      <c r="AK300" s="453"/>
      <c r="AL300" s="454"/>
      <c r="AM300" s="455"/>
      <c r="AN300" s="456"/>
      <c r="AO300" s="455"/>
      <c r="AP300" s="452"/>
      <c r="AQ300" s="457"/>
      <c r="AR300" s="449"/>
      <c r="AS300" s="449"/>
      <c r="AT300" s="452"/>
      <c r="AU300" s="457"/>
      <c r="AV300" s="449"/>
      <c r="AW300" s="458"/>
      <c r="AX300" s="452"/>
      <c r="AY300" s="457"/>
      <c r="AZ300" s="449"/>
      <c r="BA300" s="459"/>
      <c r="BB300" s="455"/>
      <c r="BC300" s="460"/>
      <c r="BD300" s="460"/>
      <c r="BG300" s="462"/>
    </row>
    <row r="301" spans="1:59" s="461" customFormat="1" ht="18" customHeight="1" x14ac:dyDescent="0.2">
      <c r="A301" s="461" t="str">
        <f t="shared" si="242"/>
        <v>RUMAH DINAS BUPATI2017</v>
      </c>
      <c r="B301" s="708">
        <v>2</v>
      </c>
      <c r="C301" s="489" t="s">
        <v>2996</v>
      </c>
      <c r="D301" s="489" t="s">
        <v>1752</v>
      </c>
      <c r="E301" s="558"/>
      <c r="F301" s="559">
        <v>2017</v>
      </c>
      <c r="G301" s="619">
        <v>203075000</v>
      </c>
      <c r="H301" s="464">
        <f t="shared" si="243"/>
        <v>42</v>
      </c>
      <c r="I301" s="560"/>
      <c r="J301" s="468">
        <f t="shared" si="244"/>
        <v>2063</v>
      </c>
      <c r="K301" s="490">
        <f t="shared" si="245"/>
        <v>9.7143540473313778E-2</v>
      </c>
      <c r="L301" s="469">
        <f t="shared" si="251"/>
        <v>5</v>
      </c>
      <c r="M301" s="683">
        <f t="shared" si="252"/>
        <v>5</v>
      </c>
      <c r="N301" s="470">
        <f t="shared" si="246"/>
        <v>47</v>
      </c>
      <c r="O301" s="468">
        <f t="shared" si="247"/>
        <v>2063</v>
      </c>
      <c r="P301" s="471">
        <f t="shared" si="253"/>
        <v>2090463236.2641401</v>
      </c>
      <c r="Q301" s="472">
        <f t="shared" si="248"/>
        <v>2293538236.2641401</v>
      </c>
      <c r="R301" s="472">
        <f t="shared" si="254"/>
        <v>48798685.877960429</v>
      </c>
      <c r="S301" s="629">
        <f t="shared" si="240"/>
        <v>2017</v>
      </c>
      <c r="T301" s="470">
        <f t="shared" si="255"/>
        <v>1</v>
      </c>
      <c r="U301" s="612">
        <f t="shared" si="241"/>
        <v>48798685.877960429</v>
      </c>
      <c r="V301" s="464">
        <f t="shared" si="249"/>
        <v>2017</v>
      </c>
      <c r="W301" s="612">
        <f t="shared" si="250"/>
        <v>2244739550.3861799</v>
      </c>
      <c r="X301" s="561"/>
      <c r="Y301" s="449"/>
      <c r="Z301" s="449"/>
      <c r="AA301" s="475" t="s">
        <v>4183</v>
      </c>
      <c r="AB301" s="476"/>
      <c r="AC301" s="476"/>
      <c r="AD301" s="567">
        <f>AD300-W305</f>
        <v>0</v>
      </c>
      <c r="AE301" s="452"/>
      <c r="AF301" s="571"/>
      <c r="AG301" s="452"/>
      <c r="AH301" s="452"/>
      <c r="AI301" s="453"/>
      <c r="AJ301" s="449"/>
      <c r="AK301" s="453"/>
      <c r="AL301" s="454"/>
      <c r="AM301" s="455"/>
      <c r="AN301" s="456"/>
      <c r="AO301" s="455"/>
      <c r="AP301" s="452"/>
      <c r="AQ301" s="457"/>
      <c r="AR301" s="449"/>
      <c r="AS301" s="449"/>
      <c r="AT301" s="452"/>
      <c r="AU301" s="457"/>
      <c r="AV301" s="449"/>
      <c r="AW301" s="458"/>
      <c r="AX301" s="452"/>
      <c r="AY301" s="457"/>
      <c r="AZ301" s="449"/>
      <c r="BA301" s="459"/>
      <c r="BB301" s="455"/>
      <c r="BC301" s="460"/>
      <c r="BD301" s="460"/>
      <c r="BG301" s="462"/>
    </row>
    <row r="302" spans="1:59" s="486" customFormat="1" ht="18" customHeight="1" x14ac:dyDescent="0.2">
      <c r="A302" s="461" t="str">
        <f t="shared" si="242"/>
        <v>RUMAH DINAS BUPATI2018</v>
      </c>
      <c r="B302" s="708"/>
      <c r="C302" s="463"/>
      <c r="D302" s="489"/>
      <c r="E302" s="465"/>
      <c r="F302" s="559">
        <v>2018</v>
      </c>
      <c r="G302" s="619">
        <v>0</v>
      </c>
      <c r="H302" s="464">
        <f t="shared" si="243"/>
        <v>46</v>
      </c>
      <c r="I302" s="560"/>
      <c r="J302" s="468">
        <f t="shared" si="244"/>
        <v>2063</v>
      </c>
      <c r="K302" s="490">
        <f t="shared" si="245"/>
        <v>0</v>
      </c>
      <c r="L302" s="469">
        <f t="shared" si="251"/>
        <v>0</v>
      </c>
      <c r="M302" s="683">
        <f t="shared" si="252"/>
        <v>0</v>
      </c>
      <c r="N302" s="470">
        <f t="shared" si="246"/>
        <v>46</v>
      </c>
      <c r="O302" s="468">
        <f t="shared" si="247"/>
        <v>2063</v>
      </c>
      <c r="P302" s="471">
        <f t="shared" si="253"/>
        <v>2244739550.3861799</v>
      </c>
      <c r="Q302" s="472">
        <f t="shared" si="248"/>
        <v>2244739550.3861799</v>
      </c>
      <c r="R302" s="472">
        <f t="shared" si="254"/>
        <v>48798685.877960429</v>
      </c>
      <c r="S302" s="629">
        <f t="shared" si="240"/>
        <v>2018</v>
      </c>
      <c r="T302" s="470">
        <f t="shared" si="255"/>
        <v>1</v>
      </c>
      <c r="U302" s="612">
        <f t="shared" si="241"/>
        <v>48798685.877960429</v>
      </c>
      <c r="V302" s="464">
        <f t="shared" si="249"/>
        <v>2018</v>
      </c>
      <c r="W302" s="612">
        <f t="shared" si="250"/>
        <v>2195940864.5082197</v>
      </c>
      <c r="X302" s="561"/>
      <c r="Y302" s="474"/>
      <c r="Z302" s="449"/>
      <c r="AA302" s="495"/>
      <c r="AB302" s="496"/>
      <c r="AC302" s="496"/>
      <c r="AD302" s="569"/>
      <c r="AE302" s="476"/>
      <c r="AF302" s="568"/>
      <c r="AG302" s="476"/>
      <c r="AH302" s="476"/>
      <c r="AI302" s="477"/>
      <c r="AJ302" s="478"/>
      <c r="AK302" s="479"/>
      <c r="AL302" s="480"/>
      <c r="AM302" s="474"/>
      <c r="AN302" s="481"/>
      <c r="AO302" s="474"/>
      <c r="AP302" s="476"/>
      <c r="AQ302" s="482"/>
      <c r="AR302" s="478"/>
      <c r="AS302" s="478"/>
      <c r="AT302" s="476"/>
      <c r="AU302" s="482"/>
      <c r="AV302" s="478"/>
      <c r="AW302" s="483"/>
      <c r="AX302" s="476"/>
      <c r="AY302" s="482"/>
      <c r="AZ302" s="478"/>
      <c r="BA302" s="484"/>
      <c r="BB302" s="474"/>
      <c r="BC302" s="485"/>
      <c r="BD302" s="485"/>
      <c r="BG302" s="487"/>
    </row>
    <row r="303" spans="1:59" s="486" customFormat="1" ht="18" customHeight="1" x14ac:dyDescent="0.2">
      <c r="A303" s="461" t="str">
        <f t="shared" si="242"/>
        <v>RUMAH DINAS BUPATI2019</v>
      </c>
      <c r="B303" s="708"/>
      <c r="C303" s="488"/>
      <c r="D303" s="489"/>
      <c r="E303" s="465"/>
      <c r="F303" s="466">
        <v>2019</v>
      </c>
      <c r="G303" s="619">
        <v>0</v>
      </c>
      <c r="H303" s="464">
        <f>IF(N302-(F303-F302)&lt;=0,0,(N302-(F303-F302)))</f>
        <v>45</v>
      </c>
      <c r="I303" s="560"/>
      <c r="J303" s="468">
        <f>(F303+N303)-1</f>
        <v>2063</v>
      </c>
      <c r="K303" s="490">
        <f>IF(G303=0,0,IF(H303=50,100%,G303/W302))</f>
        <v>0</v>
      </c>
      <c r="L303" s="469">
        <f>IF(K303=0%,0,IF(K303&lt;=25%,5,IF(K303&lt;=50%,10,IF(K303&lt;=75%,15,50))))</f>
        <v>0</v>
      </c>
      <c r="M303" s="683">
        <f t="shared" si="252"/>
        <v>0</v>
      </c>
      <c r="N303" s="470">
        <f>IF(OR(AND(ISBLANK(F303),ISBLANK(G303)),ISTEXT(F303),ISTEXT(G303)),"",H303+M303)</f>
        <v>45</v>
      </c>
      <c r="O303" s="468">
        <f>(F303+N303)-1</f>
        <v>2063</v>
      </c>
      <c r="P303" s="471">
        <f>W302</f>
        <v>2195940864.5082197</v>
      </c>
      <c r="Q303" s="472">
        <f>P303+G303</f>
        <v>2195940864.5082197</v>
      </c>
      <c r="R303" s="472">
        <f>IF(L303=0,R302,Q303/N303)</f>
        <v>48798685.877960429</v>
      </c>
      <c r="S303" s="1189">
        <f>F303</f>
        <v>2019</v>
      </c>
      <c r="T303" s="470">
        <f>S303-S302</f>
        <v>1</v>
      </c>
      <c r="U303" s="612">
        <f>R303*T303</f>
        <v>48798685.877960429</v>
      </c>
      <c r="V303" s="464">
        <f>F303</f>
        <v>2019</v>
      </c>
      <c r="W303" s="612">
        <f>IF(OR(AND(ISBLANK(E303),ISBLANK(G303)),ISTEXT(E303),ISTEXT(G303)),"",Q303-U303)</f>
        <v>2147142178.6302593</v>
      </c>
      <c r="X303" s="473"/>
      <c r="Y303" s="478"/>
      <c r="Z303" s="449"/>
      <c r="AA303" s="699"/>
      <c r="AB303" s="700"/>
      <c r="AC303" s="700"/>
      <c r="AD303" s="701"/>
      <c r="AE303" s="491"/>
      <c r="AF303" s="568"/>
      <c r="AG303" s="491"/>
      <c r="AH303" s="491"/>
      <c r="AI303" s="477"/>
      <c r="AJ303" s="478"/>
      <c r="AK303" s="479"/>
      <c r="AL303" s="480"/>
      <c r="AM303" s="474"/>
      <c r="AN303" s="481"/>
      <c r="AO303" s="474"/>
      <c r="AP303" s="476"/>
      <c r="AQ303" s="482"/>
      <c r="AR303" s="478"/>
      <c r="AS303" s="478"/>
      <c r="AT303" s="476"/>
      <c r="AU303" s="482"/>
      <c r="AV303" s="478"/>
      <c r="AW303" s="483"/>
      <c r="AX303" s="476"/>
      <c r="AY303" s="482"/>
      <c r="AZ303" s="478"/>
      <c r="BA303" s="484"/>
      <c r="BB303" s="474"/>
      <c r="BC303" s="485"/>
      <c r="BD303" s="485"/>
      <c r="BG303" s="487"/>
    </row>
    <row r="304" spans="1:59" s="486" customFormat="1" ht="18" customHeight="1" x14ac:dyDescent="0.2">
      <c r="B304" s="687"/>
      <c r="C304" s="494"/>
      <c r="D304" s="464"/>
      <c r="E304" s="465"/>
      <c r="F304" s="466"/>
      <c r="G304" s="620"/>
      <c r="H304" s="464"/>
      <c r="I304" s="467"/>
      <c r="J304" s="468"/>
      <c r="K304" s="490"/>
      <c r="L304" s="469"/>
      <c r="M304" s="683"/>
      <c r="N304" s="470"/>
      <c r="O304" s="468"/>
      <c r="P304" s="471"/>
      <c r="Q304" s="472"/>
      <c r="R304" s="472"/>
      <c r="S304" s="629"/>
      <c r="T304" s="470"/>
      <c r="U304" s="612"/>
      <c r="V304" s="464"/>
      <c r="W304" s="612"/>
      <c r="X304" s="473"/>
      <c r="Y304" s="478"/>
      <c r="Z304" s="449"/>
      <c r="AA304" s="497"/>
      <c r="AB304" s="476"/>
      <c r="AC304" s="476"/>
      <c r="AD304" s="568"/>
      <c r="AE304" s="476"/>
      <c r="AF304" s="568"/>
      <c r="AG304" s="476"/>
      <c r="AH304" s="476"/>
      <c r="AI304" s="477"/>
      <c r="AJ304" s="478"/>
      <c r="AK304" s="479"/>
      <c r="AL304" s="480"/>
      <c r="AM304" s="474"/>
      <c r="AN304" s="481"/>
      <c r="AO304" s="474"/>
      <c r="AP304" s="476"/>
      <c r="AQ304" s="482"/>
      <c r="AR304" s="478"/>
      <c r="AS304" s="478"/>
      <c r="AT304" s="476"/>
      <c r="AU304" s="482"/>
      <c r="AV304" s="478"/>
      <c r="AW304" s="483"/>
      <c r="AX304" s="476"/>
      <c r="AY304" s="482"/>
      <c r="AZ304" s="478"/>
      <c r="BA304" s="484"/>
      <c r="BB304" s="474"/>
      <c r="BC304" s="485"/>
      <c r="BD304" s="485"/>
      <c r="BG304" s="487"/>
    </row>
    <row r="305" spans="1:59" s="526" customFormat="1" ht="18" customHeight="1" x14ac:dyDescent="0.2">
      <c r="B305" s="1956" t="s">
        <v>4184</v>
      </c>
      <c r="C305" s="1957"/>
      <c r="D305" s="1957"/>
      <c r="E305" s="1957"/>
      <c r="F305" s="1958"/>
      <c r="G305" s="621">
        <f>SUM(G295:G304)</f>
        <v>2691721709.8382626</v>
      </c>
      <c r="H305" s="505"/>
      <c r="I305" s="506"/>
      <c r="J305" s="507"/>
      <c r="K305" s="507"/>
      <c r="L305" s="505"/>
      <c r="M305" s="684"/>
      <c r="N305" s="508"/>
      <c r="O305" s="507"/>
      <c r="P305" s="509"/>
      <c r="Q305" s="510"/>
      <c r="R305" s="511"/>
      <c r="S305" s="512"/>
      <c r="T305" s="512"/>
      <c r="U305" s="610">
        <f>SUM(U295:U304)</f>
        <v>544579531.20800328</v>
      </c>
      <c r="V305" s="513"/>
      <c r="W305" s="610">
        <f>G305-U305</f>
        <v>2147142178.6302593</v>
      </c>
      <c r="X305" s="514"/>
      <c r="Y305" s="515"/>
      <c r="Z305" s="515"/>
      <c r="AA305" s="515"/>
      <c r="AB305" s="515"/>
      <c r="AC305" s="515"/>
      <c r="AD305" s="570"/>
      <c r="AE305" s="515"/>
      <c r="AF305" s="570"/>
      <c r="AG305" s="515"/>
      <c r="AH305" s="515"/>
      <c r="AI305" s="516"/>
      <c r="AJ305" s="517"/>
      <c r="AK305" s="518"/>
      <c r="AL305" s="519"/>
      <c r="AM305" s="520"/>
      <c r="AN305" s="521"/>
      <c r="AO305" s="520"/>
      <c r="AP305" s="515"/>
      <c r="AQ305" s="522"/>
      <c r="AR305" s="517"/>
      <c r="AS305" s="517"/>
      <c r="AT305" s="515"/>
      <c r="AU305" s="522"/>
      <c r="AV305" s="517"/>
      <c r="AW305" s="523"/>
      <c r="AX305" s="515"/>
      <c r="AY305" s="522"/>
      <c r="AZ305" s="517"/>
      <c r="BA305" s="524"/>
      <c r="BB305" s="520"/>
      <c r="BC305" s="525"/>
      <c r="BD305" s="525"/>
      <c r="BG305" s="527"/>
    </row>
    <row r="306" spans="1:59" s="526" customFormat="1" ht="18" customHeight="1" x14ac:dyDescent="0.2">
      <c r="B306" s="741"/>
      <c r="C306" s="697"/>
      <c r="D306" s="697"/>
      <c r="E306" s="697"/>
      <c r="F306" s="585"/>
      <c r="G306" s="622"/>
      <c r="H306" s="586"/>
      <c r="I306" s="587"/>
      <c r="J306" s="588"/>
      <c r="K306" s="588"/>
      <c r="L306" s="586"/>
      <c r="M306" s="521"/>
      <c r="N306" s="589"/>
      <c r="O306" s="588"/>
      <c r="P306" s="590"/>
      <c r="Q306" s="591"/>
      <c r="R306" s="592"/>
      <c r="S306" s="593"/>
      <c r="T306" s="593"/>
      <c r="U306" s="570"/>
      <c r="V306" s="594"/>
      <c r="W306" s="570"/>
      <c r="X306" s="515"/>
      <c r="Y306" s="515"/>
      <c r="Z306" s="515"/>
      <c r="AA306" s="515"/>
      <c r="AB306" s="515"/>
      <c r="AC306" s="515"/>
      <c r="AD306" s="570"/>
      <c r="AE306" s="515"/>
      <c r="AF306" s="570"/>
      <c r="AG306" s="515"/>
      <c r="AH306" s="515"/>
      <c r="AI306" s="516"/>
      <c r="AJ306" s="517"/>
      <c r="AK306" s="518"/>
      <c r="AL306" s="519"/>
      <c r="AM306" s="520"/>
      <c r="AN306" s="521"/>
      <c r="AO306" s="520"/>
      <c r="AP306" s="515"/>
      <c r="AQ306" s="522"/>
      <c r="AR306" s="517"/>
      <c r="AS306" s="517"/>
      <c r="AT306" s="515"/>
      <c r="AU306" s="522"/>
      <c r="AV306" s="517"/>
      <c r="AW306" s="523"/>
      <c r="AX306" s="515"/>
      <c r="AY306" s="522"/>
      <c r="AZ306" s="517"/>
      <c r="BA306" s="524"/>
      <c r="BB306" s="520"/>
      <c r="BC306" s="525"/>
      <c r="BD306" s="525"/>
      <c r="BG306" s="527"/>
    </row>
    <row r="307" spans="1:59" s="526" customFormat="1" ht="18" customHeight="1" x14ac:dyDescent="0.2">
      <c r="B307" s="575"/>
      <c r="C307" s="585"/>
      <c r="D307" s="585"/>
      <c r="E307" s="585"/>
      <c r="F307" s="585"/>
      <c r="G307" s="622"/>
      <c r="H307" s="586"/>
      <c r="I307" s="587"/>
      <c r="J307" s="588"/>
      <c r="K307" s="588"/>
      <c r="L307" s="586"/>
      <c r="M307" s="521"/>
      <c r="N307" s="589"/>
      <c r="O307" s="588"/>
      <c r="P307" s="590"/>
      <c r="Q307" s="591"/>
      <c r="R307" s="592"/>
      <c r="S307" s="593"/>
      <c r="T307" s="593"/>
      <c r="U307" s="570"/>
      <c r="V307" s="594"/>
      <c r="W307" s="570"/>
      <c r="X307" s="515"/>
      <c r="Y307" s="515"/>
      <c r="Z307" s="515"/>
      <c r="AA307" s="515"/>
      <c r="AB307" s="515"/>
      <c r="AC307" s="515"/>
      <c r="AD307" s="570"/>
      <c r="AE307" s="515"/>
      <c r="AF307" s="570"/>
      <c r="AG307" s="515"/>
      <c r="AH307" s="515"/>
      <c r="AI307" s="516"/>
      <c r="AJ307" s="517"/>
      <c r="AK307" s="518"/>
      <c r="AL307" s="519"/>
      <c r="AM307" s="520"/>
      <c r="AN307" s="521"/>
      <c r="AO307" s="520"/>
      <c r="AP307" s="515"/>
      <c r="AQ307" s="522"/>
      <c r="AR307" s="517"/>
      <c r="AS307" s="517"/>
      <c r="AT307" s="515"/>
      <c r="AU307" s="522"/>
      <c r="AV307" s="517"/>
      <c r="AW307" s="523"/>
      <c r="AX307" s="515"/>
      <c r="AY307" s="522"/>
      <c r="AZ307" s="517"/>
      <c r="BA307" s="524"/>
      <c r="BB307" s="520"/>
      <c r="BC307" s="525"/>
      <c r="BD307" s="525"/>
      <c r="BG307" s="527"/>
    </row>
    <row r="308" spans="1:59" s="422" customFormat="1" ht="18" customHeight="1" x14ac:dyDescent="0.2">
      <c r="B308" s="688" t="s">
        <v>4766</v>
      </c>
      <c r="C308" s="556"/>
      <c r="D308" s="553" t="s">
        <v>2828</v>
      </c>
      <c r="E308" s="553"/>
      <c r="F308" s="421"/>
      <c r="G308" s="611"/>
      <c r="I308" s="423"/>
      <c r="J308" s="424"/>
      <c r="K308" s="424"/>
      <c r="M308" s="680"/>
      <c r="U308" s="611"/>
      <c r="W308" s="611"/>
      <c r="Y308" s="425"/>
      <c r="Z308" s="425"/>
      <c r="AA308" s="425"/>
      <c r="AB308" s="425"/>
      <c r="AC308" s="425"/>
      <c r="AD308" s="563"/>
      <c r="AE308" s="425"/>
      <c r="AF308" s="563"/>
      <c r="AG308" s="425"/>
      <c r="AH308" s="425"/>
      <c r="AI308" s="425"/>
      <c r="AJ308" s="425"/>
      <c r="AK308" s="425"/>
      <c r="AL308" s="425"/>
      <c r="AM308" s="425"/>
      <c r="AN308" s="425"/>
      <c r="AO308" s="425"/>
      <c r="AP308" s="425"/>
      <c r="AQ308" s="425"/>
      <c r="AR308" s="425"/>
      <c r="AS308" s="425"/>
      <c r="AT308" s="425"/>
      <c r="AU308" s="425"/>
      <c r="AV308" s="425"/>
      <c r="AW308" s="425"/>
      <c r="AX308" s="425"/>
      <c r="AY308" s="425"/>
      <c r="AZ308" s="425"/>
      <c r="BA308" s="425"/>
      <c r="BB308" s="425"/>
    </row>
    <row r="309" spans="1:59" s="431" customFormat="1" ht="18" customHeight="1" x14ac:dyDescent="0.2">
      <c r="B309" s="1968" t="s">
        <v>5</v>
      </c>
      <c r="C309" s="1968" t="s">
        <v>2280</v>
      </c>
      <c r="D309" s="1968" t="s">
        <v>4157</v>
      </c>
      <c r="E309" s="1968" t="s">
        <v>4158</v>
      </c>
      <c r="F309" s="1968"/>
      <c r="G309" s="1969" t="s">
        <v>4159</v>
      </c>
      <c r="H309" s="1355" t="s">
        <v>4160</v>
      </c>
      <c r="I309" s="1355"/>
      <c r="J309" s="1968" t="s">
        <v>4161</v>
      </c>
      <c r="K309" s="1964" t="s">
        <v>4162</v>
      </c>
      <c r="L309" s="1968" t="s">
        <v>4163</v>
      </c>
      <c r="M309" s="1971" t="s">
        <v>4164</v>
      </c>
      <c r="N309" s="1962" t="s">
        <v>4165</v>
      </c>
      <c r="O309" s="1968" t="s">
        <v>4166</v>
      </c>
      <c r="P309" s="1972" t="s">
        <v>4167</v>
      </c>
      <c r="Q309" s="1973"/>
      <c r="R309" s="840" t="s">
        <v>4168</v>
      </c>
      <c r="S309" s="1972" t="s">
        <v>4169</v>
      </c>
      <c r="T309" s="1974"/>
      <c r="U309" s="1973"/>
      <c r="V309" s="1975" t="s">
        <v>4170</v>
      </c>
      <c r="W309" s="1975"/>
      <c r="X309" s="1960" t="s">
        <v>4171</v>
      </c>
      <c r="Y309" s="1959"/>
      <c r="Z309" s="837"/>
      <c r="AA309" s="426"/>
      <c r="AB309" s="426"/>
      <c r="AC309" s="426"/>
      <c r="AD309" s="564"/>
      <c r="AE309" s="426"/>
      <c r="AF309" s="564"/>
      <c r="AG309" s="426"/>
      <c r="AH309" s="426"/>
      <c r="AI309" s="427"/>
      <c r="AJ309" s="427"/>
      <c r="AK309" s="427"/>
      <c r="AL309" s="427"/>
      <c r="AM309" s="428"/>
      <c r="AN309" s="427"/>
      <c r="AO309" s="427"/>
      <c r="AP309" s="426"/>
      <c r="AQ309" s="427"/>
      <c r="AR309" s="427"/>
      <c r="AS309" s="427"/>
      <c r="AT309" s="426"/>
      <c r="AU309" s="427"/>
      <c r="AV309" s="427"/>
      <c r="AW309" s="427"/>
      <c r="AX309" s="426"/>
      <c r="AY309" s="427"/>
      <c r="AZ309" s="427"/>
      <c r="BA309" s="427"/>
      <c r="BB309" s="429"/>
      <c r="BC309" s="430"/>
      <c r="BD309" s="430"/>
    </row>
    <row r="310" spans="1:59" s="431" customFormat="1" ht="18" customHeight="1" x14ac:dyDescent="0.2">
      <c r="B310" s="1968"/>
      <c r="C310" s="1968"/>
      <c r="D310" s="1968"/>
      <c r="E310" s="1968"/>
      <c r="F310" s="1968"/>
      <c r="G310" s="1969"/>
      <c r="H310" s="1355"/>
      <c r="I310" s="1355"/>
      <c r="J310" s="1968"/>
      <c r="K310" s="1970"/>
      <c r="L310" s="1968"/>
      <c r="M310" s="1971"/>
      <c r="N310" s="1963"/>
      <c r="O310" s="1968"/>
      <c r="P310" s="1960" t="s">
        <v>4172</v>
      </c>
      <c r="Q310" s="1960" t="s">
        <v>4173</v>
      </c>
      <c r="R310" s="1962" t="s">
        <v>4159</v>
      </c>
      <c r="S310" s="1962" t="s">
        <v>4174</v>
      </c>
      <c r="T310" s="1964" t="s">
        <v>4175</v>
      </c>
      <c r="U310" s="1966" t="s">
        <v>4159</v>
      </c>
      <c r="V310" s="1975"/>
      <c r="W310" s="1975"/>
      <c r="X310" s="1976"/>
      <c r="Y310" s="1959"/>
      <c r="Z310" s="837"/>
      <c r="AA310" s="426"/>
      <c r="AB310" s="426"/>
      <c r="AC310" s="426"/>
      <c r="AD310" s="564"/>
      <c r="AE310" s="426"/>
      <c r="AF310" s="564"/>
      <c r="AG310" s="426"/>
      <c r="AH310" s="426"/>
      <c r="AI310" s="427"/>
      <c r="AJ310" s="427"/>
      <c r="AK310" s="426"/>
      <c r="AL310" s="427"/>
      <c r="AM310" s="428"/>
      <c r="AN310" s="427"/>
      <c r="AO310" s="427"/>
      <c r="AP310" s="432"/>
      <c r="AQ310" s="427"/>
      <c r="AR310" s="427"/>
      <c r="AS310" s="427"/>
      <c r="AT310" s="432"/>
      <c r="AU310" s="427"/>
      <c r="AV310" s="427"/>
      <c r="AW310" s="427"/>
      <c r="AX310" s="432"/>
      <c r="AY310" s="427"/>
      <c r="AZ310" s="427"/>
      <c r="BA310" s="427"/>
      <c r="BB310" s="429"/>
      <c r="BC310" s="430"/>
      <c r="BD310" s="430"/>
    </row>
    <row r="311" spans="1:59" s="431" customFormat="1" ht="21.75" customHeight="1" x14ac:dyDescent="0.2">
      <c r="B311" s="1968"/>
      <c r="C311" s="1968"/>
      <c r="D311" s="1968"/>
      <c r="E311" s="433" t="s">
        <v>4176</v>
      </c>
      <c r="F311" s="434" t="s">
        <v>2288</v>
      </c>
      <c r="G311" s="1969"/>
      <c r="H311" s="1355" t="s">
        <v>2288</v>
      </c>
      <c r="I311" s="1355" t="s">
        <v>4177</v>
      </c>
      <c r="J311" s="1968"/>
      <c r="K311" s="1965"/>
      <c r="L311" s="435" t="s">
        <v>2288</v>
      </c>
      <c r="M311" s="681" t="s">
        <v>2288</v>
      </c>
      <c r="N311" s="838" t="s">
        <v>2288</v>
      </c>
      <c r="O311" s="1968"/>
      <c r="P311" s="1961"/>
      <c r="Q311" s="1961"/>
      <c r="R311" s="1963"/>
      <c r="S311" s="1963"/>
      <c r="T311" s="1965"/>
      <c r="U311" s="1967"/>
      <c r="V311" s="838" t="s">
        <v>4178</v>
      </c>
      <c r="W311" s="839" t="s">
        <v>4159</v>
      </c>
      <c r="X311" s="1961"/>
      <c r="Y311" s="436"/>
      <c r="Z311" s="436"/>
      <c r="AA311" s="426"/>
      <c r="AB311" s="426"/>
      <c r="AC311" s="426"/>
      <c r="AD311" s="564"/>
      <c r="AE311" s="426"/>
      <c r="AF311" s="564"/>
      <c r="AG311" s="426"/>
      <c r="AH311" s="426"/>
      <c r="AI311" s="427"/>
      <c r="AJ311" s="432"/>
      <c r="AK311" s="432"/>
      <c r="AL311" s="427"/>
      <c r="AM311" s="428"/>
      <c r="AN311" s="432"/>
      <c r="AO311" s="427"/>
      <c r="AP311" s="432"/>
      <c r="AQ311" s="432"/>
      <c r="AR311" s="427"/>
      <c r="AS311" s="427"/>
      <c r="AT311" s="432"/>
      <c r="AU311" s="432"/>
      <c r="AV311" s="427"/>
      <c r="AW311" s="427"/>
      <c r="AX311" s="432"/>
      <c r="AY311" s="432"/>
      <c r="AZ311" s="427"/>
      <c r="BA311" s="427"/>
      <c r="BB311" s="429"/>
      <c r="BC311" s="430"/>
      <c r="BD311" s="430"/>
    </row>
    <row r="312" spans="1:59" s="461" customFormat="1" ht="18" customHeight="1" x14ac:dyDescent="0.2">
      <c r="A312" s="461" t="str">
        <f>$D$308&amp;S312</f>
        <v>RUMAH DINAS WAKIL BUPATI2009</v>
      </c>
      <c r="B312" s="689">
        <v>1</v>
      </c>
      <c r="C312" s="597" t="s">
        <v>4764</v>
      </c>
      <c r="D312" s="597" t="s">
        <v>1752</v>
      </c>
      <c r="E312" s="598"/>
      <c r="F312" s="599">
        <v>2009</v>
      </c>
      <c r="G312" s="626">
        <v>1624558171.2309201</v>
      </c>
      <c r="H312" s="600">
        <f>VLOOKUP(LEFT(D312,8),UE,4)</f>
        <v>50</v>
      </c>
      <c r="I312" s="601"/>
      <c r="J312" s="602">
        <f>(F312+N312)-1</f>
        <v>2058</v>
      </c>
      <c r="K312" s="603"/>
      <c r="L312" s="600"/>
      <c r="M312" s="685">
        <f>IF(H312+L312&gt;$H312,$H312-H312,L312)</f>
        <v>0</v>
      </c>
      <c r="N312" s="604">
        <f>H312+M312</f>
        <v>50</v>
      </c>
      <c r="O312" s="602">
        <f>(F312+N312)-1</f>
        <v>2058</v>
      </c>
      <c r="P312" s="605">
        <f>G312</f>
        <v>1624558171.2309201</v>
      </c>
      <c r="Q312" s="606">
        <v>0</v>
      </c>
      <c r="R312" s="606">
        <f>P312/N312</f>
        <v>32491163.424618401</v>
      </c>
      <c r="S312" s="607">
        <f t="shared" ref="S312:S319" si="256">F312</f>
        <v>2009</v>
      </c>
      <c r="T312" s="608">
        <v>1</v>
      </c>
      <c r="U312" s="615">
        <f t="shared" ref="U312:U319" si="257">R312*T312</f>
        <v>32491163.424618401</v>
      </c>
      <c r="V312" s="602">
        <f>F312</f>
        <v>2009</v>
      </c>
      <c r="W312" s="618">
        <f>IF(OR(AND(ISBLANK(E312),ISBLANK(G312)),ISTEXT(E312),ISTEXT(G312)),"",G312-R312)</f>
        <v>1592067007.8063016</v>
      </c>
      <c r="X312" s="609"/>
      <c r="Y312" s="449"/>
      <c r="Z312" s="449"/>
      <c r="AA312" s="694"/>
      <c r="AB312" s="692"/>
      <c r="AC312" s="692"/>
      <c r="AD312" s="695"/>
      <c r="AE312" s="452"/>
      <c r="AF312" s="571"/>
      <c r="AG312" s="452"/>
      <c r="AH312" s="452"/>
      <c r="AI312" s="453"/>
      <c r="AJ312" s="449"/>
      <c r="AK312" s="453"/>
      <c r="AL312" s="454"/>
      <c r="AM312" s="455"/>
      <c r="AN312" s="456"/>
      <c r="AO312" s="455"/>
      <c r="AP312" s="452"/>
      <c r="AQ312" s="457"/>
      <c r="AR312" s="449"/>
      <c r="AS312" s="449"/>
      <c r="AT312" s="452"/>
      <c r="AU312" s="457"/>
      <c r="AV312" s="449"/>
      <c r="AW312" s="458"/>
      <c r="AX312" s="452"/>
      <c r="AY312" s="457"/>
      <c r="AZ312" s="449"/>
      <c r="BA312" s="459"/>
      <c r="BB312" s="455"/>
      <c r="BC312" s="460"/>
      <c r="BD312" s="460"/>
      <c r="BG312" s="462"/>
    </row>
    <row r="313" spans="1:59" s="461" customFormat="1" ht="18" customHeight="1" x14ac:dyDescent="0.2">
      <c r="A313" s="461" t="str">
        <f t="shared" ref="A313:A320" si="258">$D$308&amp;S313</f>
        <v>RUMAH DINAS WAKIL BUPATI2010</v>
      </c>
      <c r="B313" s="708"/>
      <c r="C313" s="489"/>
      <c r="D313" s="489"/>
      <c r="E313" s="558"/>
      <c r="F313" s="559">
        <v>2010</v>
      </c>
      <c r="G313" s="619">
        <v>0</v>
      </c>
      <c r="H313" s="464">
        <f t="shared" ref="H313:H319" si="259">IF(N312-(F313-F312)&lt;=0,0,(N312-(F313-F312)))</f>
        <v>49</v>
      </c>
      <c r="I313" s="560"/>
      <c r="J313" s="468">
        <f t="shared" ref="J313:J319" si="260">(F313+N313)-1</f>
        <v>2058</v>
      </c>
      <c r="K313" s="490">
        <f t="shared" ref="K313:K319" si="261">IF(G313=0,0,IF(H313=50,100%,G313/W312))</f>
        <v>0</v>
      </c>
      <c r="L313" s="469">
        <f>IF(K313=0%,0,IF(K313&lt;=25%,5,IF(K313&lt;=50%,10,IF(K313&lt;=75%,15,50))))</f>
        <v>0</v>
      </c>
      <c r="M313" s="683">
        <f>IF(OR(AND(ISBLANK(E313),ISBLANK(G313)),ISTEXT(E313),ISTEXT(G313)),"",IF(H313+L313&gt;$H$312,$H$312-H313,L313))</f>
        <v>0</v>
      </c>
      <c r="N313" s="470">
        <f t="shared" ref="N313:N319" si="262">IF(OR(AND(ISBLANK(F313),ISBLANK(G313)),ISTEXT(F313),ISTEXT(G313)),"",H313+M313)</f>
        <v>49</v>
      </c>
      <c r="O313" s="468">
        <f t="shared" ref="O313:O319" si="263">(F313+N313)-1</f>
        <v>2058</v>
      </c>
      <c r="P313" s="471">
        <f>W312</f>
        <v>1592067007.8063016</v>
      </c>
      <c r="Q313" s="472">
        <f t="shared" ref="Q313:Q319" si="264">P313+G313</f>
        <v>1592067007.8063016</v>
      </c>
      <c r="R313" s="472">
        <f>IF(L313=0,R312,Q313/N313)</f>
        <v>32491163.424618401</v>
      </c>
      <c r="S313" s="842">
        <f t="shared" si="256"/>
        <v>2010</v>
      </c>
      <c r="T313" s="470">
        <f>S313-S312</f>
        <v>1</v>
      </c>
      <c r="U313" s="612">
        <f t="shared" si="257"/>
        <v>32491163.424618401</v>
      </c>
      <c r="V313" s="464">
        <f t="shared" ref="V313:V319" si="265">F313</f>
        <v>2010</v>
      </c>
      <c r="W313" s="612">
        <f t="shared" ref="W313:W319" si="266">IF(OR(AND(ISBLANK(E313),ISBLANK(G313)),ISTEXT(E313),ISTEXT(G313)),"",Q313-U313)</f>
        <v>1559575844.3816831</v>
      </c>
      <c r="X313" s="561"/>
      <c r="Y313" s="449"/>
      <c r="Z313" s="449"/>
      <c r="AA313" s="554" t="s">
        <v>4179</v>
      </c>
      <c r="AB313" s="452"/>
      <c r="AC313" s="452"/>
      <c r="AD313" s="566"/>
      <c r="AE313" s="452"/>
      <c r="AF313" s="571"/>
      <c r="AG313" s="452"/>
      <c r="AH313" s="452"/>
      <c r="AI313" s="453"/>
      <c r="AJ313" s="449"/>
      <c r="AK313" s="453"/>
      <c r="AL313" s="454"/>
      <c r="AM313" s="455"/>
      <c r="AN313" s="456"/>
      <c r="AO313" s="455"/>
      <c r="AP313" s="452"/>
      <c r="AQ313" s="457"/>
      <c r="AR313" s="449"/>
      <c r="AS313" s="449"/>
      <c r="AT313" s="452"/>
      <c r="AU313" s="457"/>
      <c r="AV313" s="449"/>
      <c r="AW313" s="458"/>
      <c r="AX313" s="452"/>
      <c r="AY313" s="457"/>
      <c r="AZ313" s="449"/>
      <c r="BA313" s="459"/>
      <c r="BB313" s="455"/>
      <c r="BC313" s="460"/>
      <c r="BD313" s="460"/>
      <c r="BG313" s="462"/>
    </row>
    <row r="314" spans="1:59" s="461" customFormat="1" ht="18" customHeight="1" x14ac:dyDescent="0.2">
      <c r="A314" s="461" t="str">
        <f t="shared" si="258"/>
        <v>RUMAH DINAS WAKIL BUPATI2013</v>
      </c>
      <c r="B314" s="708"/>
      <c r="C314" s="489"/>
      <c r="D314" s="489"/>
      <c r="E314" s="558"/>
      <c r="F314" s="559">
        <v>2013</v>
      </c>
      <c r="G314" s="619">
        <v>0</v>
      </c>
      <c r="H314" s="464">
        <f t="shared" si="259"/>
        <v>46</v>
      </c>
      <c r="I314" s="560"/>
      <c r="J314" s="468">
        <f t="shared" si="260"/>
        <v>2058</v>
      </c>
      <c r="K314" s="490">
        <f t="shared" si="261"/>
        <v>0</v>
      </c>
      <c r="L314" s="469">
        <f t="shared" ref="L314:L319" si="267">IF(K314=0%,0,IF(K314&lt;=25%,5,IF(K314&lt;=50%,10,IF(K314&lt;=75%,15,50))))</f>
        <v>0</v>
      </c>
      <c r="M314" s="683">
        <f t="shared" ref="M314:M320" si="268">IF(OR(AND(ISBLANK(E314),ISBLANK(G314)),ISTEXT(E314),ISTEXT(G314)),"",IF(H314+L314&gt;$H$312,$H$312-H314,L314))</f>
        <v>0</v>
      </c>
      <c r="N314" s="470">
        <f t="shared" si="262"/>
        <v>46</v>
      </c>
      <c r="O314" s="468">
        <f t="shared" si="263"/>
        <v>2058</v>
      </c>
      <c r="P314" s="471">
        <f t="shared" ref="P314:P319" si="269">W313</f>
        <v>1559575844.3816831</v>
      </c>
      <c r="Q314" s="472">
        <f t="shared" si="264"/>
        <v>1559575844.3816831</v>
      </c>
      <c r="R314" s="472">
        <f t="shared" ref="R314:R319" si="270">IF(L314=0,R313,Q314/N314)</f>
        <v>32491163.424618401</v>
      </c>
      <c r="S314" s="842">
        <f t="shared" si="256"/>
        <v>2013</v>
      </c>
      <c r="T314" s="470">
        <f t="shared" ref="T314:T319" si="271">S314-S313</f>
        <v>3</v>
      </c>
      <c r="U314" s="612">
        <f t="shared" si="257"/>
        <v>97473490.273855209</v>
      </c>
      <c r="V314" s="464">
        <f t="shared" si="265"/>
        <v>2013</v>
      </c>
      <c r="W314" s="612">
        <f t="shared" si="266"/>
        <v>1462102354.1078279</v>
      </c>
      <c r="X314" s="561"/>
      <c r="Y314" s="449"/>
      <c r="Z314" s="449"/>
      <c r="AA314" s="554"/>
      <c r="AB314" s="452"/>
      <c r="AC314" s="452"/>
      <c r="AD314" s="566"/>
      <c r="AE314" s="452"/>
      <c r="AF314" s="571"/>
      <c r="AG314" s="452"/>
      <c r="AH314" s="452"/>
      <c r="AI314" s="453"/>
      <c r="AJ314" s="449"/>
      <c r="AK314" s="453"/>
      <c r="AL314" s="454"/>
      <c r="AM314" s="455"/>
      <c r="AN314" s="456"/>
      <c r="AO314" s="455"/>
      <c r="AP314" s="452"/>
      <c r="AQ314" s="457"/>
      <c r="AR314" s="449"/>
      <c r="AS314" s="449"/>
      <c r="AT314" s="452"/>
      <c r="AU314" s="457"/>
      <c r="AV314" s="449"/>
      <c r="AW314" s="458"/>
      <c r="AX314" s="452"/>
      <c r="AY314" s="457"/>
      <c r="AZ314" s="449"/>
      <c r="BA314" s="459"/>
      <c r="BB314" s="455"/>
      <c r="BC314" s="460"/>
      <c r="BD314" s="460"/>
      <c r="BG314" s="462"/>
    </row>
    <row r="315" spans="1:59" s="461" customFormat="1" ht="18" customHeight="1" x14ac:dyDescent="0.2">
      <c r="A315" s="461" t="str">
        <f t="shared" si="258"/>
        <v>RUMAH DINAS WAKIL BUPATI2014</v>
      </c>
      <c r="B315" s="708"/>
      <c r="C315" s="489"/>
      <c r="D315" s="489"/>
      <c r="E315" s="558"/>
      <c r="F315" s="559">
        <v>2014</v>
      </c>
      <c r="G315" s="619">
        <v>0</v>
      </c>
      <c r="H315" s="464">
        <f t="shared" si="259"/>
        <v>45</v>
      </c>
      <c r="I315" s="560"/>
      <c r="J315" s="468">
        <f t="shared" si="260"/>
        <v>2058</v>
      </c>
      <c r="K315" s="490">
        <f t="shared" si="261"/>
        <v>0</v>
      </c>
      <c r="L315" s="469">
        <f t="shared" si="267"/>
        <v>0</v>
      </c>
      <c r="M315" s="683">
        <f t="shared" si="268"/>
        <v>0</v>
      </c>
      <c r="N315" s="470">
        <f t="shared" si="262"/>
        <v>45</v>
      </c>
      <c r="O315" s="468">
        <f t="shared" si="263"/>
        <v>2058</v>
      </c>
      <c r="P315" s="471">
        <f t="shared" si="269"/>
        <v>1462102354.1078279</v>
      </c>
      <c r="Q315" s="472">
        <f t="shared" si="264"/>
        <v>1462102354.1078279</v>
      </c>
      <c r="R315" s="472">
        <f t="shared" si="270"/>
        <v>32491163.424618401</v>
      </c>
      <c r="S315" s="842">
        <f t="shared" si="256"/>
        <v>2014</v>
      </c>
      <c r="T315" s="470">
        <f t="shared" si="271"/>
        <v>1</v>
      </c>
      <c r="U315" s="612">
        <f t="shared" si="257"/>
        <v>32491163.424618401</v>
      </c>
      <c r="V315" s="464">
        <f t="shared" si="265"/>
        <v>2014</v>
      </c>
      <c r="W315" s="612">
        <f t="shared" si="266"/>
        <v>1429611190.6832094</v>
      </c>
      <c r="X315" s="561"/>
      <c r="Y315" s="449"/>
      <c r="Z315" s="449"/>
      <c r="AA315" s="475" t="s">
        <v>4180</v>
      </c>
      <c r="AB315" s="476"/>
      <c r="AC315" s="476"/>
      <c r="AD315" s="567">
        <f>G322</f>
        <v>1827649171.2309201</v>
      </c>
      <c r="AE315" s="452"/>
      <c r="AF315" s="571"/>
      <c r="AG315" s="452"/>
      <c r="AH315" s="452"/>
      <c r="AI315" s="453"/>
      <c r="AJ315" s="449"/>
      <c r="AK315" s="453"/>
      <c r="AL315" s="454"/>
      <c r="AM315" s="455"/>
      <c r="AN315" s="456"/>
      <c r="AO315" s="455"/>
      <c r="AP315" s="452"/>
      <c r="AQ315" s="457"/>
      <c r="AR315" s="449"/>
      <c r="AS315" s="449"/>
      <c r="AT315" s="452"/>
      <c r="AU315" s="457"/>
      <c r="AV315" s="449"/>
      <c r="AW315" s="458"/>
      <c r="AX315" s="452"/>
      <c r="AY315" s="457"/>
      <c r="AZ315" s="449"/>
      <c r="BA315" s="459"/>
      <c r="BB315" s="455"/>
      <c r="BC315" s="460"/>
      <c r="BD315" s="460"/>
      <c r="BG315" s="462"/>
    </row>
    <row r="316" spans="1:59" s="461" customFormat="1" ht="18" customHeight="1" x14ac:dyDescent="0.2">
      <c r="A316" s="461" t="str">
        <f t="shared" si="258"/>
        <v>RUMAH DINAS WAKIL BUPATI2015</v>
      </c>
      <c r="B316" s="708"/>
      <c r="C316" s="489"/>
      <c r="D316" s="489"/>
      <c r="E316" s="558"/>
      <c r="F316" s="559">
        <v>2015</v>
      </c>
      <c r="G316" s="619">
        <v>0</v>
      </c>
      <c r="H316" s="464">
        <f t="shared" si="259"/>
        <v>44</v>
      </c>
      <c r="I316" s="560"/>
      <c r="J316" s="468">
        <f t="shared" si="260"/>
        <v>2058</v>
      </c>
      <c r="K316" s="490">
        <f t="shared" si="261"/>
        <v>0</v>
      </c>
      <c r="L316" s="469">
        <f t="shared" si="267"/>
        <v>0</v>
      </c>
      <c r="M316" s="683">
        <f t="shared" si="268"/>
        <v>0</v>
      </c>
      <c r="N316" s="470">
        <f t="shared" si="262"/>
        <v>44</v>
      </c>
      <c r="O316" s="468">
        <f t="shared" si="263"/>
        <v>2058</v>
      </c>
      <c r="P316" s="471">
        <f t="shared" si="269"/>
        <v>1429611190.6832094</v>
      </c>
      <c r="Q316" s="472">
        <f t="shared" si="264"/>
        <v>1429611190.6832094</v>
      </c>
      <c r="R316" s="472">
        <f t="shared" si="270"/>
        <v>32491163.424618401</v>
      </c>
      <c r="S316" s="842">
        <f t="shared" si="256"/>
        <v>2015</v>
      </c>
      <c r="T316" s="470">
        <f t="shared" si="271"/>
        <v>1</v>
      </c>
      <c r="U316" s="612">
        <f t="shared" si="257"/>
        <v>32491163.424618401</v>
      </c>
      <c r="V316" s="464">
        <f t="shared" si="265"/>
        <v>2015</v>
      </c>
      <c r="W316" s="612">
        <f t="shared" si="266"/>
        <v>1397120027.2585909</v>
      </c>
      <c r="X316" s="561"/>
      <c r="Y316" s="449"/>
      <c r="Z316" s="449"/>
      <c r="AA316" s="475" t="s">
        <v>4181</v>
      </c>
      <c r="AB316" s="491"/>
      <c r="AC316" s="491"/>
      <c r="AD316" s="567">
        <f>U322</f>
        <v>359996532.74805182</v>
      </c>
      <c r="AE316" s="452"/>
      <c r="AF316" s="571"/>
      <c r="AG316" s="452"/>
      <c r="AH316" s="452"/>
      <c r="AI316" s="453"/>
      <c r="AJ316" s="449"/>
      <c r="AK316" s="453"/>
      <c r="AL316" s="454"/>
      <c r="AM316" s="455"/>
      <c r="AN316" s="456"/>
      <c r="AO316" s="455"/>
      <c r="AP316" s="452"/>
      <c r="AQ316" s="457"/>
      <c r="AR316" s="449"/>
      <c r="AS316" s="449"/>
      <c r="AT316" s="452"/>
      <c r="AU316" s="457"/>
      <c r="AV316" s="449"/>
      <c r="AW316" s="458"/>
      <c r="AX316" s="452"/>
      <c r="AY316" s="457"/>
      <c r="AZ316" s="449"/>
      <c r="BA316" s="459"/>
      <c r="BB316" s="455"/>
      <c r="BC316" s="460"/>
      <c r="BD316" s="460"/>
      <c r="BG316" s="462"/>
    </row>
    <row r="317" spans="1:59" s="461" customFormat="1" ht="18" customHeight="1" x14ac:dyDescent="0.2">
      <c r="A317" s="461" t="str">
        <f t="shared" si="258"/>
        <v>RUMAH DINAS WAKIL BUPATI2016</v>
      </c>
      <c r="B317" s="708"/>
      <c r="C317" s="489"/>
      <c r="D317" s="489"/>
      <c r="E317" s="558"/>
      <c r="F317" s="559">
        <v>2016</v>
      </c>
      <c r="G317" s="619">
        <v>0</v>
      </c>
      <c r="H317" s="464">
        <f t="shared" si="259"/>
        <v>43</v>
      </c>
      <c r="I317" s="560"/>
      <c r="J317" s="468">
        <f t="shared" si="260"/>
        <v>2058</v>
      </c>
      <c r="K317" s="490">
        <f t="shared" si="261"/>
        <v>0</v>
      </c>
      <c r="L317" s="469">
        <f t="shared" si="267"/>
        <v>0</v>
      </c>
      <c r="M317" s="683">
        <f t="shared" si="268"/>
        <v>0</v>
      </c>
      <c r="N317" s="470">
        <f t="shared" si="262"/>
        <v>43</v>
      </c>
      <c r="O317" s="468">
        <f t="shared" si="263"/>
        <v>2058</v>
      </c>
      <c r="P317" s="471">
        <f t="shared" si="269"/>
        <v>1397120027.2585909</v>
      </c>
      <c r="Q317" s="472">
        <f t="shared" si="264"/>
        <v>1397120027.2585909</v>
      </c>
      <c r="R317" s="472">
        <f t="shared" si="270"/>
        <v>32491163.424618401</v>
      </c>
      <c r="S317" s="842">
        <f t="shared" si="256"/>
        <v>2016</v>
      </c>
      <c r="T317" s="470">
        <f t="shared" si="271"/>
        <v>1</v>
      </c>
      <c r="U317" s="612">
        <f t="shared" si="257"/>
        <v>32491163.424618401</v>
      </c>
      <c r="V317" s="464">
        <f t="shared" si="265"/>
        <v>2016</v>
      </c>
      <c r="W317" s="612">
        <f t="shared" si="266"/>
        <v>1364628863.8339725</v>
      </c>
      <c r="X317" s="561"/>
      <c r="Y317" s="449"/>
      <c r="Z317" s="449"/>
      <c r="AA317" s="492" t="s">
        <v>4182</v>
      </c>
      <c r="AB317" s="476"/>
      <c r="AC317" s="476"/>
      <c r="AD317" s="568">
        <f>AD315-AD316</f>
        <v>1467652638.4828682</v>
      </c>
      <c r="AE317" s="452"/>
      <c r="AF317" s="571"/>
      <c r="AG317" s="452"/>
      <c r="AH317" s="452"/>
      <c r="AI317" s="453"/>
      <c r="AJ317" s="449"/>
      <c r="AK317" s="453"/>
      <c r="AL317" s="454"/>
      <c r="AM317" s="455"/>
      <c r="AN317" s="456"/>
      <c r="AO317" s="455"/>
      <c r="AP317" s="452"/>
      <c r="AQ317" s="457"/>
      <c r="AR317" s="449"/>
      <c r="AS317" s="449"/>
      <c r="AT317" s="452"/>
      <c r="AU317" s="457"/>
      <c r="AV317" s="449"/>
      <c r="AW317" s="458"/>
      <c r="AX317" s="452"/>
      <c r="AY317" s="457"/>
      <c r="AZ317" s="449"/>
      <c r="BA317" s="459"/>
      <c r="BB317" s="455"/>
      <c r="BC317" s="460"/>
      <c r="BD317" s="460"/>
      <c r="BG317" s="462"/>
    </row>
    <row r="318" spans="1:59" s="461" customFormat="1" ht="18" customHeight="1" x14ac:dyDescent="0.2">
      <c r="A318" s="461" t="str">
        <f t="shared" si="258"/>
        <v>RUMAH DINAS WAKIL BUPATI2017</v>
      </c>
      <c r="B318" s="708">
        <v>2</v>
      </c>
      <c r="C318" s="489" t="s">
        <v>2996</v>
      </c>
      <c r="D318" s="489" t="s">
        <v>1752</v>
      </c>
      <c r="E318" s="558"/>
      <c r="F318" s="559">
        <v>2017</v>
      </c>
      <c r="G318" s="619">
        <v>203091000</v>
      </c>
      <c r="H318" s="464">
        <f t="shared" si="259"/>
        <v>42</v>
      </c>
      <c r="I318" s="560"/>
      <c r="J318" s="468">
        <f t="shared" si="260"/>
        <v>2063</v>
      </c>
      <c r="K318" s="490">
        <f t="shared" si="261"/>
        <v>0.14882508012428283</v>
      </c>
      <c r="L318" s="469">
        <f t="shared" si="267"/>
        <v>5</v>
      </c>
      <c r="M318" s="683">
        <f t="shared" si="268"/>
        <v>5</v>
      </c>
      <c r="N318" s="470">
        <f t="shared" si="262"/>
        <v>47</v>
      </c>
      <c r="O318" s="468">
        <f t="shared" si="263"/>
        <v>2063</v>
      </c>
      <c r="P318" s="471">
        <f t="shared" si="269"/>
        <v>1364628863.8339725</v>
      </c>
      <c r="Q318" s="472">
        <f t="shared" si="264"/>
        <v>1567719863.8339725</v>
      </c>
      <c r="R318" s="472">
        <f t="shared" si="270"/>
        <v>33355741.783701543</v>
      </c>
      <c r="S318" s="842">
        <f t="shared" si="256"/>
        <v>2017</v>
      </c>
      <c r="T318" s="470">
        <f t="shared" si="271"/>
        <v>1</v>
      </c>
      <c r="U318" s="612">
        <f t="shared" si="257"/>
        <v>33355741.783701543</v>
      </c>
      <c r="V318" s="464">
        <f t="shared" si="265"/>
        <v>2017</v>
      </c>
      <c r="W318" s="612">
        <f t="shared" si="266"/>
        <v>1534364122.0502708</v>
      </c>
      <c r="X318" s="561"/>
      <c r="Y318" s="449"/>
      <c r="Z318" s="449"/>
      <c r="AA318" s="475" t="s">
        <v>4183</v>
      </c>
      <c r="AB318" s="476"/>
      <c r="AC318" s="476"/>
      <c r="AD318" s="567">
        <f>AD317-W322</f>
        <v>0</v>
      </c>
      <c r="AE318" s="452"/>
      <c r="AF318" s="571"/>
      <c r="AG318" s="452"/>
      <c r="AH318" s="452"/>
      <c r="AI318" s="453"/>
      <c r="AJ318" s="449"/>
      <c r="AK318" s="453"/>
      <c r="AL318" s="454"/>
      <c r="AM318" s="455"/>
      <c r="AN318" s="456"/>
      <c r="AO318" s="455"/>
      <c r="AP318" s="452"/>
      <c r="AQ318" s="457"/>
      <c r="AR318" s="449"/>
      <c r="AS318" s="449"/>
      <c r="AT318" s="452"/>
      <c r="AU318" s="457"/>
      <c r="AV318" s="449"/>
      <c r="AW318" s="458"/>
      <c r="AX318" s="452"/>
      <c r="AY318" s="457"/>
      <c r="AZ318" s="449"/>
      <c r="BA318" s="459"/>
      <c r="BB318" s="455"/>
      <c r="BC318" s="460"/>
      <c r="BD318" s="460"/>
      <c r="BG318" s="462"/>
    </row>
    <row r="319" spans="1:59" s="486" customFormat="1" ht="18" customHeight="1" x14ac:dyDescent="0.2">
      <c r="A319" s="461" t="str">
        <f t="shared" si="258"/>
        <v>RUMAH DINAS WAKIL BUPATI2018</v>
      </c>
      <c r="B319" s="708"/>
      <c r="C319" s="463"/>
      <c r="D319" s="489"/>
      <c r="E319" s="465"/>
      <c r="F319" s="559">
        <v>2018</v>
      </c>
      <c r="G319" s="619">
        <v>0</v>
      </c>
      <c r="H319" s="464">
        <f t="shared" si="259"/>
        <v>46</v>
      </c>
      <c r="I319" s="560"/>
      <c r="J319" s="468">
        <f t="shared" si="260"/>
        <v>2063</v>
      </c>
      <c r="K319" s="490">
        <f t="shared" si="261"/>
        <v>0</v>
      </c>
      <c r="L319" s="469">
        <f t="shared" si="267"/>
        <v>0</v>
      </c>
      <c r="M319" s="683">
        <f t="shared" si="268"/>
        <v>0</v>
      </c>
      <c r="N319" s="470">
        <f t="shared" si="262"/>
        <v>46</v>
      </c>
      <c r="O319" s="468">
        <f t="shared" si="263"/>
        <v>2063</v>
      </c>
      <c r="P319" s="471">
        <f t="shared" si="269"/>
        <v>1534364122.0502708</v>
      </c>
      <c r="Q319" s="472">
        <f t="shared" si="264"/>
        <v>1534364122.0502708</v>
      </c>
      <c r="R319" s="472">
        <f t="shared" si="270"/>
        <v>33355741.783701543</v>
      </c>
      <c r="S319" s="842">
        <f t="shared" si="256"/>
        <v>2018</v>
      </c>
      <c r="T319" s="470">
        <f t="shared" si="271"/>
        <v>1</v>
      </c>
      <c r="U319" s="612">
        <f t="shared" si="257"/>
        <v>33355741.783701543</v>
      </c>
      <c r="V319" s="464">
        <f t="shared" si="265"/>
        <v>2018</v>
      </c>
      <c r="W319" s="612">
        <f t="shared" si="266"/>
        <v>1501008380.2665691</v>
      </c>
      <c r="X319" s="561"/>
      <c r="Y319" s="474"/>
      <c r="Z319" s="449"/>
      <c r="AA319" s="495"/>
      <c r="AB319" s="496"/>
      <c r="AC319" s="496"/>
      <c r="AD319" s="569"/>
      <c r="AE319" s="476"/>
      <c r="AF319" s="568"/>
      <c r="AG319" s="476"/>
      <c r="AH319" s="476"/>
      <c r="AI319" s="477"/>
      <c r="AJ319" s="478"/>
      <c r="AK319" s="479"/>
      <c r="AL319" s="480"/>
      <c r="AM319" s="474"/>
      <c r="AN319" s="481"/>
      <c r="AO319" s="474"/>
      <c r="AP319" s="476"/>
      <c r="AQ319" s="482"/>
      <c r="AR319" s="478"/>
      <c r="AS319" s="478"/>
      <c r="AT319" s="476"/>
      <c r="AU319" s="482"/>
      <c r="AV319" s="478"/>
      <c r="AW319" s="483"/>
      <c r="AX319" s="476"/>
      <c r="AY319" s="482"/>
      <c r="AZ319" s="478"/>
      <c r="BA319" s="484"/>
      <c r="BB319" s="474"/>
      <c r="BC319" s="485"/>
      <c r="BD319" s="485"/>
      <c r="BG319" s="487"/>
    </row>
    <row r="320" spans="1:59" s="486" customFormat="1" ht="18" customHeight="1" x14ac:dyDescent="0.2">
      <c r="A320" s="461" t="str">
        <f t="shared" si="258"/>
        <v>RUMAH DINAS WAKIL BUPATI2019</v>
      </c>
      <c r="B320" s="708"/>
      <c r="C320" s="488"/>
      <c r="D320" s="489"/>
      <c r="E320" s="465"/>
      <c r="F320" s="466">
        <v>2019</v>
      </c>
      <c r="G320" s="619">
        <v>0</v>
      </c>
      <c r="H320" s="464">
        <f>IF(N319-(F320-F319)&lt;=0,0,(N319-(F320-F319)))</f>
        <v>45</v>
      </c>
      <c r="I320" s="560"/>
      <c r="J320" s="468">
        <f>(F320+N320)-1</f>
        <v>2063</v>
      </c>
      <c r="K320" s="490">
        <f>IF(G320=0,0,IF(H320=50,100%,G320/W319))</f>
        <v>0</v>
      </c>
      <c r="L320" s="469">
        <f>IF(K320=0%,0,IF(K320&lt;=25%,5,IF(K320&lt;=50%,10,IF(K320&lt;=75%,15,50))))</f>
        <v>0</v>
      </c>
      <c r="M320" s="683">
        <f t="shared" si="268"/>
        <v>0</v>
      </c>
      <c r="N320" s="470">
        <f>IF(OR(AND(ISBLANK(F320),ISBLANK(G320)),ISTEXT(F320),ISTEXT(G320)),"",H320+M320)</f>
        <v>45</v>
      </c>
      <c r="O320" s="468">
        <f>(F320+N320)-1</f>
        <v>2063</v>
      </c>
      <c r="P320" s="471">
        <f>W319</f>
        <v>1501008380.2665691</v>
      </c>
      <c r="Q320" s="472">
        <f>P320+G320</f>
        <v>1501008380.2665691</v>
      </c>
      <c r="R320" s="472">
        <f>IF(L320=0,R319,Q320/N320)</f>
        <v>33355741.783701543</v>
      </c>
      <c r="S320" s="1189">
        <f>F320</f>
        <v>2019</v>
      </c>
      <c r="T320" s="470">
        <f>S320-S319</f>
        <v>1</v>
      </c>
      <c r="U320" s="612">
        <f>R320*T320</f>
        <v>33355741.783701543</v>
      </c>
      <c r="V320" s="464">
        <f>F320</f>
        <v>2019</v>
      </c>
      <c r="W320" s="612">
        <f>IF(OR(AND(ISBLANK(E320),ISBLANK(G320)),ISTEXT(E320),ISTEXT(G320)),"",Q320-U320)</f>
        <v>1467652638.4828675</v>
      </c>
      <c r="X320" s="473"/>
      <c r="Y320" s="478"/>
      <c r="Z320" s="449"/>
      <c r="AA320" s="699"/>
      <c r="AB320" s="700"/>
      <c r="AC320" s="700"/>
      <c r="AD320" s="701"/>
      <c r="AE320" s="491"/>
      <c r="AF320" s="568"/>
      <c r="AG320" s="491"/>
      <c r="AH320" s="491"/>
      <c r="AI320" s="477"/>
      <c r="AJ320" s="478"/>
      <c r="AK320" s="479"/>
      <c r="AL320" s="480"/>
      <c r="AM320" s="474"/>
      <c r="AN320" s="481"/>
      <c r="AO320" s="474"/>
      <c r="AP320" s="476"/>
      <c r="AQ320" s="482"/>
      <c r="AR320" s="478"/>
      <c r="AS320" s="478"/>
      <c r="AT320" s="476"/>
      <c r="AU320" s="482"/>
      <c r="AV320" s="478"/>
      <c r="AW320" s="483"/>
      <c r="AX320" s="476"/>
      <c r="AY320" s="482"/>
      <c r="AZ320" s="478"/>
      <c r="BA320" s="484"/>
      <c r="BB320" s="474"/>
      <c r="BC320" s="485"/>
      <c r="BD320" s="485"/>
      <c r="BG320" s="487"/>
    </row>
    <row r="321" spans="1:59" s="486" customFormat="1" ht="18" customHeight="1" x14ac:dyDescent="0.2">
      <c r="B321" s="687"/>
      <c r="C321" s="494"/>
      <c r="D321" s="464"/>
      <c r="E321" s="465"/>
      <c r="F321" s="466"/>
      <c r="G321" s="620"/>
      <c r="H321" s="464"/>
      <c r="I321" s="467"/>
      <c r="J321" s="468"/>
      <c r="K321" s="490"/>
      <c r="L321" s="469"/>
      <c r="M321" s="683"/>
      <c r="N321" s="470"/>
      <c r="O321" s="468"/>
      <c r="P321" s="471"/>
      <c r="Q321" s="472"/>
      <c r="R321" s="472"/>
      <c r="S321" s="842"/>
      <c r="T321" s="470"/>
      <c r="U321" s="612"/>
      <c r="V321" s="464"/>
      <c r="W321" s="612"/>
      <c r="X321" s="473"/>
      <c r="Y321" s="478"/>
      <c r="Z321" s="449"/>
      <c r="AA321" s="497"/>
      <c r="AB321" s="476"/>
      <c r="AC321" s="476"/>
      <c r="AD321" s="568"/>
      <c r="AE321" s="476"/>
      <c r="AF321" s="568"/>
      <c r="AG321" s="476"/>
      <c r="AH321" s="476"/>
      <c r="AI321" s="477"/>
      <c r="AJ321" s="478"/>
      <c r="AK321" s="479"/>
      <c r="AL321" s="480"/>
      <c r="AM321" s="474"/>
      <c r="AN321" s="481"/>
      <c r="AO321" s="474"/>
      <c r="AP321" s="476"/>
      <c r="AQ321" s="482"/>
      <c r="AR321" s="478"/>
      <c r="AS321" s="478"/>
      <c r="AT321" s="476"/>
      <c r="AU321" s="482"/>
      <c r="AV321" s="478"/>
      <c r="AW321" s="483"/>
      <c r="AX321" s="476"/>
      <c r="AY321" s="482"/>
      <c r="AZ321" s="478"/>
      <c r="BA321" s="484"/>
      <c r="BB321" s="474"/>
      <c r="BC321" s="485"/>
      <c r="BD321" s="485"/>
      <c r="BG321" s="487"/>
    </row>
    <row r="322" spans="1:59" s="526" customFormat="1" ht="18" customHeight="1" x14ac:dyDescent="0.2">
      <c r="B322" s="1956" t="s">
        <v>4184</v>
      </c>
      <c r="C322" s="1957"/>
      <c r="D322" s="1957"/>
      <c r="E322" s="1957"/>
      <c r="F322" s="1958"/>
      <c r="G322" s="621">
        <f>SUM(G312:G321)</f>
        <v>1827649171.2309201</v>
      </c>
      <c r="H322" s="505"/>
      <c r="I322" s="506"/>
      <c r="J322" s="507"/>
      <c r="K322" s="507"/>
      <c r="L322" s="505"/>
      <c r="M322" s="684"/>
      <c r="N322" s="508"/>
      <c r="O322" s="507"/>
      <c r="P322" s="509"/>
      <c r="Q322" s="510"/>
      <c r="R322" s="511"/>
      <c r="S322" s="512"/>
      <c r="T322" s="512"/>
      <c r="U322" s="610">
        <f>SUM(U312:U321)</f>
        <v>359996532.74805182</v>
      </c>
      <c r="V322" s="513"/>
      <c r="W322" s="610">
        <f>G322-U322</f>
        <v>1467652638.4828682</v>
      </c>
      <c r="X322" s="514"/>
      <c r="Y322" s="515"/>
      <c r="Z322" s="515"/>
      <c r="AA322" s="515"/>
      <c r="AB322" s="515"/>
      <c r="AC322" s="515"/>
      <c r="AD322" s="570"/>
      <c r="AE322" s="515"/>
      <c r="AF322" s="570"/>
      <c r="AG322" s="515"/>
      <c r="AH322" s="515"/>
      <c r="AI322" s="516"/>
      <c r="AJ322" s="517"/>
      <c r="AK322" s="518"/>
      <c r="AL322" s="519"/>
      <c r="AM322" s="520"/>
      <c r="AN322" s="521"/>
      <c r="AO322" s="520"/>
      <c r="AP322" s="515"/>
      <c r="AQ322" s="522"/>
      <c r="AR322" s="517"/>
      <c r="AS322" s="517"/>
      <c r="AT322" s="515"/>
      <c r="AU322" s="522"/>
      <c r="AV322" s="517"/>
      <c r="AW322" s="523"/>
      <c r="AX322" s="515"/>
      <c r="AY322" s="522"/>
      <c r="AZ322" s="517"/>
      <c r="BA322" s="524"/>
      <c r="BB322" s="520"/>
      <c r="BC322" s="525"/>
      <c r="BD322" s="525"/>
      <c r="BG322" s="527"/>
    </row>
    <row r="323" spans="1:59" s="526" customFormat="1" ht="18" customHeight="1" x14ac:dyDescent="0.2">
      <c r="B323" s="741"/>
      <c r="C323" s="841"/>
      <c r="D323" s="841"/>
      <c r="E323" s="841"/>
      <c r="F323" s="585"/>
      <c r="G323" s="622"/>
      <c r="H323" s="586"/>
      <c r="I323" s="587"/>
      <c r="J323" s="588"/>
      <c r="K323" s="588"/>
      <c r="L323" s="586"/>
      <c r="M323" s="521"/>
      <c r="N323" s="589"/>
      <c r="O323" s="588"/>
      <c r="P323" s="590"/>
      <c r="Q323" s="591"/>
      <c r="R323" s="592"/>
      <c r="S323" s="593"/>
      <c r="T323" s="593"/>
      <c r="U323" s="570"/>
      <c r="V323" s="594"/>
      <c r="W323" s="570"/>
      <c r="X323" s="515"/>
      <c r="Y323" s="515"/>
      <c r="Z323" s="515"/>
      <c r="AA323" s="515"/>
      <c r="AB323" s="515"/>
      <c r="AC323" s="515"/>
      <c r="AD323" s="570"/>
      <c r="AE323" s="515"/>
      <c r="AF323" s="570"/>
      <c r="AG323" s="515"/>
      <c r="AH323" s="515"/>
      <c r="AI323" s="516"/>
      <c r="AJ323" s="517"/>
      <c r="AK323" s="518"/>
      <c r="AL323" s="519"/>
      <c r="AM323" s="520"/>
      <c r="AN323" s="521"/>
      <c r="AO323" s="520"/>
      <c r="AP323" s="515"/>
      <c r="AQ323" s="522"/>
      <c r="AR323" s="517"/>
      <c r="AS323" s="517"/>
      <c r="AT323" s="515"/>
      <c r="AU323" s="522"/>
      <c r="AV323" s="517"/>
      <c r="AW323" s="523"/>
      <c r="AX323" s="515"/>
      <c r="AY323" s="522"/>
      <c r="AZ323" s="517"/>
      <c r="BA323" s="524"/>
      <c r="BB323" s="520"/>
      <c r="BC323" s="525"/>
      <c r="BD323" s="525"/>
      <c r="BG323" s="527"/>
    </row>
    <row r="324" spans="1:59" s="526" customFormat="1" ht="18" customHeight="1" x14ac:dyDescent="0.2">
      <c r="B324" s="575"/>
      <c r="C324" s="585"/>
      <c r="D324" s="585"/>
      <c r="E324" s="585"/>
      <c r="F324" s="585"/>
      <c r="G324" s="622"/>
      <c r="H324" s="586"/>
      <c r="I324" s="587"/>
      <c r="J324" s="588"/>
      <c r="K324" s="588"/>
      <c r="L324" s="586"/>
      <c r="M324" s="521"/>
      <c r="N324" s="589"/>
      <c r="O324" s="588"/>
      <c r="P324" s="590"/>
      <c r="Q324" s="591"/>
      <c r="R324" s="592"/>
      <c r="S324" s="593"/>
      <c r="T324" s="593"/>
      <c r="U324" s="570"/>
      <c r="V324" s="594"/>
      <c r="W324" s="570"/>
      <c r="X324" s="515"/>
      <c r="Y324" s="515"/>
      <c r="Z324" s="515"/>
      <c r="AA324" s="515"/>
      <c r="AB324" s="515"/>
      <c r="AC324" s="515"/>
      <c r="AD324" s="570"/>
      <c r="AE324" s="515"/>
      <c r="AF324" s="570"/>
      <c r="AG324" s="515"/>
      <c r="AH324" s="515"/>
      <c r="AI324" s="516"/>
      <c r="AJ324" s="517"/>
      <c r="AK324" s="518"/>
      <c r="AL324" s="519"/>
      <c r="AM324" s="520"/>
      <c r="AN324" s="521"/>
      <c r="AO324" s="520"/>
      <c r="AP324" s="515"/>
      <c r="AQ324" s="522"/>
      <c r="AR324" s="517"/>
      <c r="AS324" s="517"/>
      <c r="AT324" s="515"/>
      <c r="AU324" s="522"/>
      <c r="AV324" s="517"/>
      <c r="AW324" s="523"/>
      <c r="AX324" s="515"/>
      <c r="AY324" s="522"/>
      <c r="AZ324" s="517"/>
      <c r="BA324" s="524"/>
      <c r="BB324" s="520"/>
      <c r="BC324" s="525"/>
      <c r="BD324" s="525"/>
      <c r="BG324" s="527"/>
    </row>
    <row r="325" spans="1:59" s="422" customFormat="1" ht="18" customHeight="1" x14ac:dyDescent="0.2">
      <c r="B325" s="688" t="s">
        <v>4767</v>
      </c>
      <c r="C325" s="556"/>
      <c r="D325" s="553" t="s">
        <v>4364</v>
      </c>
      <c r="E325" s="553"/>
      <c r="F325" s="421"/>
      <c r="G325" s="611"/>
      <c r="I325" s="423"/>
      <c r="J325" s="424"/>
      <c r="K325" s="424"/>
      <c r="M325" s="680"/>
      <c r="U325" s="611"/>
      <c r="W325" s="611"/>
      <c r="Y325" s="425"/>
      <c r="Z325" s="425"/>
      <c r="AA325" s="425"/>
      <c r="AB325" s="425"/>
      <c r="AC325" s="425"/>
      <c r="AD325" s="563"/>
      <c r="AE325" s="425"/>
      <c r="AF325" s="563"/>
      <c r="AG325" s="425"/>
      <c r="AH325" s="425"/>
      <c r="AI325" s="425"/>
      <c r="AJ325" s="425"/>
      <c r="AK325" s="425"/>
      <c r="AL325" s="425"/>
      <c r="AM325" s="425"/>
      <c r="AN325" s="425"/>
      <c r="AO325" s="425"/>
      <c r="AP325" s="425"/>
      <c r="AQ325" s="425"/>
      <c r="AR325" s="425"/>
      <c r="AS325" s="425"/>
      <c r="AT325" s="425"/>
      <c r="AU325" s="425"/>
      <c r="AV325" s="425"/>
      <c r="AW325" s="425"/>
      <c r="AX325" s="425"/>
      <c r="AY325" s="425"/>
      <c r="AZ325" s="425"/>
      <c r="BA325" s="425"/>
      <c r="BB325" s="425"/>
    </row>
    <row r="326" spans="1:59" s="431" customFormat="1" ht="18" customHeight="1" x14ac:dyDescent="0.2">
      <c r="B326" s="1968" t="s">
        <v>5</v>
      </c>
      <c r="C326" s="1968" t="s">
        <v>2280</v>
      </c>
      <c r="D326" s="1968" t="s">
        <v>4157</v>
      </c>
      <c r="E326" s="1968" t="s">
        <v>4158</v>
      </c>
      <c r="F326" s="1968"/>
      <c r="G326" s="1969" t="s">
        <v>4159</v>
      </c>
      <c r="H326" s="1355" t="s">
        <v>4160</v>
      </c>
      <c r="I326" s="1355"/>
      <c r="J326" s="1968" t="s">
        <v>4161</v>
      </c>
      <c r="K326" s="1964" t="s">
        <v>4162</v>
      </c>
      <c r="L326" s="1968" t="s">
        <v>4163</v>
      </c>
      <c r="M326" s="1971" t="s">
        <v>4164</v>
      </c>
      <c r="N326" s="1962" t="s">
        <v>4165</v>
      </c>
      <c r="O326" s="1968" t="s">
        <v>4166</v>
      </c>
      <c r="P326" s="1972" t="s">
        <v>4167</v>
      </c>
      <c r="Q326" s="1973"/>
      <c r="R326" s="840" t="s">
        <v>4168</v>
      </c>
      <c r="S326" s="1972" t="s">
        <v>4169</v>
      </c>
      <c r="T326" s="1974"/>
      <c r="U326" s="1973"/>
      <c r="V326" s="1975" t="s">
        <v>4170</v>
      </c>
      <c r="W326" s="1975"/>
      <c r="X326" s="1960" t="s">
        <v>4171</v>
      </c>
      <c r="Y326" s="1959"/>
      <c r="Z326" s="837"/>
      <c r="AA326" s="426"/>
      <c r="AB326" s="426"/>
      <c r="AC326" s="426"/>
      <c r="AD326" s="564"/>
      <c r="AE326" s="426"/>
      <c r="AF326" s="564"/>
      <c r="AG326" s="426"/>
      <c r="AH326" s="426"/>
      <c r="AI326" s="427"/>
      <c r="AJ326" s="427"/>
      <c r="AK326" s="427"/>
      <c r="AL326" s="427"/>
      <c r="AM326" s="428"/>
      <c r="AN326" s="427"/>
      <c r="AO326" s="427"/>
      <c r="AP326" s="426"/>
      <c r="AQ326" s="427"/>
      <c r="AR326" s="427"/>
      <c r="AS326" s="427"/>
      <c r="AT326" s="426"/>
      <c r="AU326" s="427"/>
      <c r="AV326" s="427"/>
      <c r="AW326" s="427"/>
      <c r="AX326" s="426"/>
      <c r="AY326" s="427"/>
      <c r="AZ326" s="427"/>
      <c r="BA326" s="427"/>
      <c r="BB326" s="429"/>
      <c r="BC326" s="430"/>
      <c r="BD326" s="430"/>
    </row>
    <row r="327" spans="1:59" s="431" customFormat="1" ht="18" customHeight="1" x14ac:dyDescent="0.2">
      <c r="B327" s="1968"/>
      <c r="C327" s="1968"/>
      <c r="D327" s="1968"/>
      <c r="E327" s="1968"/>
      <c r="F327" s="1968"/>
      <c r="G327" s="1969"/>
      <c r="H327" s="1355"/>
      <c r="I327" s="1355"/>
      <c r="J327" s="1968"/>
      <c r="K327" s="1970"/>
      <c r="L327" s="1968"/>
      <c r="M327" s="1971"/>
      <c r="N327" s="1963"/>
      <c r="O327" s="1968"/>
      <c r="P327" s="1960" t="s">
        <v>4172</v>
      </c>
      <c r="Q327" s="1960" t="s">
        <v>4173</v>
      </c>
      <c r="R327" s="1962" t="s">
        <v>4159</v>
      </c>
      <c r="S327" s="1962" t="s">
        <v>4174</v>
      </c>
      <c r="T327" s="1964" t="s">
        <v>4175</v>
      </c>
      <c r="U327" s="1966" t="s">
        <v>4159</v>
      </c>
      <c r="V327" s="1975"/>
      <c r="W327" s="1975"/>
      <c r="X327" s="1976"/>
      <c r="Y327" s="1959"/>
      <c r="Z327" s="837"/>
      <c r="AA327" s="426"/>
      <c r="AB327" s="426"/>
      <c r="AC327" s="426"/>
      <c r="AD327" s="564"/>
      <c r="AE327" s="426"/>
      <c r="AF327" s="564"/>
      <c r="AG327" s="426"/>
      <c r="AH327" s="426"/>
      <c r="AI327" s="427"/>
      <c r="AJ327" s="427"/>
      <c r="AK327" s="426"/>
      <c r="AL327" s="427"/>
      <c r="AM327" s="428"/>
      <c r="AN327" s="427"/>
      <c r="AO327" s="427"/>
      <c r="AP327" s="432"/>
      <c r="AQ327" s="427"/>
      <c r="AR327" s="427"/>
      <c r="AS327" s="427"/>
      <c r="AT327" s="432"/>
      <c r="AU327" s="427"/>
      <c r="AV327" s="427"/>
      <c r="AW327" s="427"/>
      <c r="AX327" s="432"/>
      <c r="AY327" s="427"/>
      <c r="AZ327" s="427"/>
      <c r="BA327" s="427"/>
      <c r="BB327" s="429"/>
      <c r="BC327" s="430"/>
      <c r="BD327" s="430"/>
    </row>
    <row r="328" spans="1:59" s="431" customFormat="1" ht="21.75" customHeight="1" x14ac:dyDescent="0.2">
      <c r="B328" s="1968"/>
      <c r="C328" s="1968"/>
      <c r="D328" s="1968"/>
      <c r="E328" s="433" t="s">
        <v>4176</v>
      </c>
      <c r="F328" s="434" t="s">
        <v>2288</v>
      </c>
      <c r="G328" s="1969"/>
      <c r="H328" s="1355" t="s">
        <v>2288</v>
      </c>
      <c r="I328" s="1355" t="s">
        <v>4177</v>
      </c>
      <c r="J328" s="1968"/>
      <c r="K328" s="1965"/>
      <c r="L328" s="435" t="s">
        <v>2288</v>
      </c>
      <c r="M328" s="681" t="s">
        <v>2288</v>
      </c>
      <c r="N328" s="838" t="s">
        <v>2288</v>
      </c>
      <c r="O328" s="1968"/>
      <c r="P328" s="1961"/>
      <c r="Q328" s="1961"/>
      <c r="R328" s="1963"/>
      <c r="S328" s="1963"/>
      <c r="T328" s="1965"/>
      <c r="U328" s="1967"/>
      <c r="V328" s="838" t="s">
        <v>4178</v>
      </c>
      <c r="W328" s="839" t="s">
        <v>4159</v>
      </c>
      <c r="X328" s="1961"/>
      <c r="Y328" s="436"/>
      <c r="Z328" s="436"/>
      <c r="AA328" s="426"/>
      <c r="AB328" s="426"/>
      <c r="AC328" s="426"/>
      <c r="AD328" s="564"/>
      <c r="AE328" s="426"/>
      <c r="AF328" s="564"/>
      <c r="AG328" s="426"/>
      <c r="AH328" s="426"/>
      <c r="AI328" s="427"/>
      <c r="AJ328" s="432"/>
      <c r="AK328" s="432"/>
      <c r="AL328" s="427"/>
      <c r="AM328" s="428"/>
      <c r="AN328" s="432"/>
      <c r="AO328" s="427"/>
      <c r="AP328" s="432"/>
      <c r="AQ328" s="432"/>
      <c r="AR328" s="427"/>
      <c r="AS328" s="427"/>
      <c r="AT328" s="432"/>
      <c r="AU328" s="432"/>
      <c r="AV328" s="427"/>
      <c r="AW328" s="427"/>
      <c r="AX328" s="432"/>
      <c r="AY328" s="432"/>
      <c r="AZ328" s="427"/>
      <c r="BA328" s="427"/>
      <c r="BB328" s="429"/>
      <c r="BC328" s="430"/>
      <c r="BD328" s="430"/>
    </row>
    <row r="329" spans="1:59" s="461" customFormat="1" ht="18" customHeight="1" x14ac:dyDescent="0.2">
      <c r="A329" s="461" t="str">
        <f>$D$325&amp;S329</f>
        <v>RUMAH DINAS SEKRETARIS DAERAH2009</v>
      </c>
      <c r="B329" s="689">
        <v>1</v>
      </c>
      <c r="C329" s="597" t="s">
        <v>4765</v>
      </c>
      <c r="D329" s="597" t="s">
        <v>1752</v>
      </c>
      <c r="E329" s="598"/>
      <c r="F329" s="599">
        <v>2009</v>
      </c>
      <c r="G329" s="626">
        <v>1624558171.2309217</v>
      </c>
      <c r="H329" s="600">
        <f>VLOOKUP(LEFT(D329,8),UE,4)</f>
        <v>50</v>
      </c>
      <c r="I329" s="601"/>
      <c r="J329" s="602">
        <f>(F329+N329)-1</f>
        <v>2058</v>
      </c>
      <c r="K329" s="603"/>
      <c r="L329" s="600"/>
      <c r="M329" s="685">
        <f>IF(H329+L329&gt;$H329,$H329-H329,L329)</f>
        <v>0</v>
      </c>
      <c r="N329" s="604">
        <f>H329+M329</f>
        <v>50</v>
      </c>
      <c r="O329" s="602">
        <f>(F329+N329)-1</f>
        <v>2058</v>
      </c>
      <c r="P329" s="605">
        <f>G329</f>
        <v>1624558171.2309217</v>
      </c>
      <c r="Q329" s="606">
        <v>0</v>
      </c>
      <c r="R329" s="606">
        <f>P329/N329</f>
        <v>32491163.424618434</v>
      </c>
      <c r="S329" s="607">
        <f t="shared" ref="S329:S336" si="272">F329</f>
        <v>2009</v>
      </c>
      <c r="T329" s="608">
        <v>1</v>
      </c>
      <c r="U329" s="615">
        <f t="shared" ref="U329:U336" si="273">R329*T329</f>
        <v>32491163.424618434</v>
      </c>
      <c r="V329" s="602">
        <f>F329</f>
        <v>2009</v>
      </c>
      <c r="W329" s="618">
        <f>IF(OR(AND(ISBLANK(E329),ISBLANK(G329)),ISTEXT(E329),ISTEXT(G329)),"",G329-R329)</f>
        <v>1592067007.8063033</v>
      </c>
      <c r="X329" s="609"/>
      <c r="Y329" s="449"/>
      <c r="Z329" s="449"/>
      <c r="AA329" s="694"/>
      <c r="AB329" s="692"/>
      <c r="AC329" s="692"/>
      <c r="AD329" s="695"/>
      <c r="AE329" s="452"/>
      <c r="AF329" s="571"/>
      <c r="AG329" s="452"/>
      <c r="AH329" s="452"/>
      <c r="AI329" s="453"/>
      <c r="AJ329" s="449"/>
      <c r="AK329" s="453"/>
      <c r="AL329" s="454"/>
      <c r="AM329" s="455"/>
      <c r="AN329" s="456"/>
      <c r="AO329" s="455"/>
      <c r="AP329" s="452"/>
      <c r="AQ329" s="457"/>
      <c r="AR329" s="449"/>
      <c r="AS329" s="449"/>
      <c r="AT329" s="452"/>
      <c r="AU329" s="457"/>
      <c r="AV329" s="449"/>
      <c r="AW329" s="458"/>
      <c r="AX329" s="452"/>
      <c r="AY329" s="457"/>
      <c r="AZ329" s="449"/>
      <c r="BA329" s="459"/>
      <c r="BB329" s="455"/>
      <c r="BC329" s="460"/>
      <c r="BD329" s="460"/>
      <c r="BG329" s="462"/>
    </row>
    <row r="330" spans="1:59" s="461" customFormat="1" ht="18" customHeight="1" x14ac:dyDescent="0.2">
      <c r="A330" s="461" t="str">
        <f t="shared" ref="A330:A337" si="274">$D$325&amp;S330</f>
        <v>RUMAH DINAS SEKRETARIS DAERAH2010</v>
      </c>
      <c r="B330" s="708"/>
      <c r="C330" s="489"/>
      <c r="D330" s="489"/>
      <c r="E330" s="558"/>
      <c r="F330" s="559">
        <v>2010</v>
      </c>
      <c r="G330" s="619">
        <v>0</v>
      </c>
      <c r="H330" s="464">
        <f t="shared" ref="H330:H336" si="275">IF(N329-(F330-F329)&lt;=0,0,(N329-(F330-F329)))</f>
        <v>49</v>
      </c>
      <c r="I330" s="560"/>
      <c r="J330" s="468">
        <f t="shared" ref="J330:J336" si="276">(F330+N330)-1</f>
        <v>2058</v>
      </c>
      <c r="K330" s="490">
        <f t="shared" ref="K330:K336" si="277">IF(G330=0,0,IF(H330=50,100%,G330/W329))</f>
        <v>0</v>
      </c>
      <c r="L330" s="469">
        <f>IF(K330=0%,0,IF(K330&lt;=25%,5,IF(K330&lt;=50%,10,IF(K330&lt;=75%,15,50))))</f>
        <v>0</v>
      </c>
      <c r="M330" s="683">
        <f>IF(OR(AND(ISBLANK(E330),ISBLANK(G330)),ISTEXT(E330),ISTEXT(G330)),"",IF(H330+L330&gt;$H$329,$H$329-H330,L330))</f>
        <v>0</v>
      </c>
      <c r="N330" s="470">
        <f t="shared" ref="N330:N336" si="278">IF(OR(AND(ISBLANK(F330),ISBLANK(G330)),ISTEXT(F330),ISTEXT(G330)),"",H330+M330)</f>
        <v>49</v>
      </c>
      <c r="O330" s="468">
        <f t="shared" ref="O330:O336" si="279">(F330+N330)-1</f>
        <v>2058</v>
      </c>
      <c r="P330" s="471">
        <f>W329</f>
        <v>1592067007.8063033</v>
      </c>
      <c r="Q330" s="472">
        <f t="shared" ref="Q330:Q336" si="280">P330+G330</f>
        <v>1592067007.8063033</v>
      </c>
      <c r="R330" s="472">
        <f>IF(L330=0,R329,Q330/N330)</f>
        <v>32491163.424618434</v>
      </c>
      <c r="S330" s="842">
        <f t="shared" si="272"/>
        <v>2010</v>
      </c>
      <c r="T330" s="470">
        <f>S330-S329</f>
        <v>1</v>
      </c>
      <c r="U330" s="612">
        <f t="shared" si="273"/>
        <v>32491163.424618434</v>
      </c>
      <c r="V330" s="464">
        <f t="shared" ref="V330:V336" si="281">F330</f>
        <v>2010</v>
      </c>
      <c r="W330" s="612">
        <f t="shared" ref="W330:W336" si="282">IF(OR(AND(ISBLANK(E330),ISBLANK(G330)),ISTEXT(E330),ISTEXT(G330)),"",Q330-U330)</f>
        <v>1559575844.3816848</v>
      </c>
      <c r="X330" s="561"/>
      <c r="Y330" s="449"/>
      <c r="Z330" s="449"/>
      <c r="AA330" s="554" t="s">
        <v>4179</v>
      </c>
      <c r="AB330" s="452"/>
      <c r="AC330" s="452"/>
      <c r="AD330" s="566"/>
      <c r="AE330" s="452"/>
      <c r="AF330" s="571"/>
      <c r="AG330" s="452"/>
      <c r="AH330" s="452"/>
      <c r="AI330" s="453"/>
      <c r="AJ330" s="449"/>
      <c r="AK330" s="453"/>
      <c r="AL330" s="454"/>
      <c r="AM330" s="455"/>
      <c r="AN330" s="456"/>
      <c r="AO330" s="455"/>
      <c r="AP330" s="452"/>
      <c r="AQ330" s="457"/>
      <c r="AR330" s="449"/>
      <c r="AS330" s="449"/>
      <c r="AT330" s="452"/>
      <c r="AU330" s="457"/>
      <c r="AV330" s="449"/>
      <c r="AW330" s="458"/>
      <c r="AX330" s="452"/>
      <c r="AY330" s="457"/>
      <c r="AZ330" s="449"/>
      <c r="BA330" s="459"/>
      <c r="BB330" s="455"/>
      <c r="BC330" s="460"/>
      <c r="BD330" s="460"/>
      <c r="BG330" s="462"/>
    </row>
    <row r="331" spans="1:59" s="461" customFormat="1" ht="18" customHeight="1" x14ac:dyDescent="0.2">
      <c r="A331" s="461" t="str">
        <f t="shared" si="274"/>
        <v>RUMAH DINAS SEKRETARIS DAERAH2013</v>
      </c>
      <c r="B331" s="708"/>
      <c r="C331" s="489"/>
      <c r="D331" s="489"/>
      <c r="E331" s="558"/>
      <c r="F331" s="559">
        <v>2013</v>
      </c>
      <c r="G331" s="619">
        <v>0</v>
      </c>
      <c r="H331" s="464">
        <f t="shared" si="275"/>
        <v>46</v>
      </c>
      <c r="I331" s="560"/>
      <c r="J331" s="468">
        <f t="shared" si="276"/>
        <v>2058</v>
      </c>
      <c r="K331" s="490">
        <f t="shared" si="277"/>
        <v>0</v>
      </c>
      <c r="L331" s="469">
        <f t="shared" ref="L331:L336" si="283">IF(K331=0%,0,IF(K331&lt;=25%,5,IF(K331&lt;=50%,10,IF(K331&lt;=75%,15,50))))</f>
        <v>0</v>
      </c>
      <c r="M331" s="683">
        <f t="shared" ref="M331:M336" si="284">IF(OR(AND(ISBLANK(E331),ISBLANK(G331)),ISTEXT(E331),ISTEXT(G331)),"",IF(H331+L331&gt;$H$27,$H$27-H331,L331))</f>
        <v>0</v>
      </c>
      <c r="N331" s="470">
        <f t="shared" si="278"/>
        <v>46</v>
      </c>
      <c r="O331" s="468">
        <f t="shared" si="279"/>
        <v>2058</v>
      </c>
      <c r="P331" s="471">
        <f t="shared" ref="P331:P336" si="285">W330</f>
        <v>1559575844.3816848</v>
      </c>
      <c r="Q331" s="472">
        <f t="shared" si="280"/>
        <v>1559575844.3816848</v>
      </c>
      <c r="R331" s="472">
        <f t="shared" ref="R331:R336" si="286">IF(L331=0,R330,Q331/N331)</f>
        <v>32491163.424618434</v>
      </c>
      <c r="S331" s="842">
        <f t="shared" si="272"/>
        <v>2013</v>
      </c>
      <c r="T331" s="470">
        <f t="shared" ref="T331:T336" si="287">S331-S330</f>
        <v>3</v>
      </c>
      <c r="U331" s="612">
        <f t="shared" si="273"/>
        <v>97473490.273855299</v>
      </c>
      <c r="V331" s="464">
        <f t="shared" si="281"/>
        <v>2013</v>
      </c>
      <c r="W331" s="612">
        <f t="shared" si="282"/>
        <v>1462102354.1078296</v>
      </c>
      <c r="X331" s="561"/>
      <c r="Y331" s="449"/>
      <c r="Z331" s="449"/>
      <c r="AA331" s="554"/>
      <c r="AB331" s="452"/>
      <c r="AC331" s="452"/>
      <c r="AD331" s="566"/>
      <c r="AE331" s="452"/>
      <c r="AF331" s="571"/>
      <c r="AG331" s="452"/>
      <c r="AH331" s="452"/>
      <c r="AI331" s="453"/>
      <c r="AJ331" s="449"/>
      <c r="AK331" s="453"/>
      <c r="AL331" s="454"/>
      <c r="AM331" s="455"/>
      <c r="AN331" s="456"/>
      <c r="AO331" s="455"/>
      <c r="AP331" s="452"/>
      <c r="AQ331" s="457"/>
      <c r="AR331" s="449"/>
      <c r="AS331" s="449"/>
      <c r="AT331" s="452"/>
      <c r="AU331" s="457"/>
      <c r="AV331" s="449"/>
      <c r="AW331" s="458"/>
      <c r="AX331" s="452"/>
      <c r="AY331" s="457"/>
      <c r="AZ331" s="449"/>
      <c r="BA331" s="459"/>
      <c r="BB331" s="455"/>
      <c r="BC331" s="460"/>
      <c r="BD331" s="460"/>
      <c r="BG331" s="462"/>
    </row>
    <row r="332" spans="1:59" s="461" customFormat="1" ht="18" customHeight="1" x14ac:dyDescent="0.2">
      <c r="A332" s="461" t="str">
        <f t="shared" si="274"/>
        <v>RUMAH DINAS SEKRETARIS DAERAH2014</v>
      </c>
      <c r="B332" s="708"/>
      <c r="C332" s="489"/>
      <c r="D332" s="489"/>
      <c r="E332" s="558"/>
      <c r="F332" s="559">
        <v>2014</v>
      </c>
      <c r="G332" s="619">
        <v>0</v>
      </c>
      <c r="H332" s="464">
        <f t="shared" si="275"/>
        <v>45</v>
      </c>
      <c r="I332" s="560"/>
      <c r="J332" s="468">
        <f t="shared" si="276"/>
        <v>2058</v>
      </c>
      <c r="K332" s="490">
        <f t="shared" si="277"/>
        <v>0</v>
      </c>
      <c r="L332" s="469">
        <f t="shared" si="283"/>
        <v>0</v>
      </c>
      <c r="M332" s="683">
        <f t="shared" si="284"/>
        <v>0</v>
      </c>
      <c r="N332" s="470">
        <f t="shared" si="278"/>
        <v>45</v>
      </c>
      <c r="O332" s="468">
        <f t="shared" si="279"/>
        <v>2058</v>
      </c>
      <c r="P332" s="471">
        <f t="shared" si="285"/>
        <v>1462102354.1078296</v>
      </c>
      <c r="Q332" s="472">
        <f t="shared" si="280"/>
        <v>1462102354.1078296</v>
      </c>
      <c r="R332" s="472">
        <f t="shared" si="286"/>
        <v>32491163.424618434</v>
      </c>
      <c r="S332" s="842">
        <f t="shared" si="272"/>
        <v>2014</v>
      </c>
      <c r="T332" s="470">
        <f t="shared" si="287"/>
        <v>1</v>
      </c>
      <c r="U332" s="612">
        <f t="shared" si="273"/>
        <v>32491163.424618434</v>
      </c>
      <c r="V332" s="464">
        <f t="shared" si="281"/>
        <v>2014</v>
      </c>
      <c r="W332" s="612">
        <f t="shared" si="282"/>
        <v>1429611190.6832111</v>
      </c>
      <c r="X332" s="561"/>
      <c r="Y332" s="449"/>
      <c r="Z332" s="449"/>
      <c r="AA332" s="475" t="s">
        <v>4180</v>
      </c>
      <c r="AB332" s="476"/>
      <c r="AC332" s="476"/>
      <c r="AD332" s="567">
        <f>G339</f>
        <v>1827708171.2309217</v>
      </c>
      <c r="AE332" s="452"/>
      <c r="AF332" s="571"/>
      <c r="AG332" s="452"/>
      <c r="AH332" s="452"/>
      <c r="AI332" s="453"/>
      <c r="AJ332" s="449"/>
      <c r="AK332" s="453"/>
      <c r="AL332" s="454"/>
      <c r="AM332" s="455"/>
      <c r="AN332" s="456"/>
      <c r="AO332" s="455"/>
      <c r="AP332" s="452"/>
      <c r="AQ332" s="457"/>
      <c r="AR332" s="449"/>
      <c r="AS332" s="449"/>
      <c r="AT332" s="452"/>
      <c r="AU332" s="457"/>
      <c r="AV332" s="449"/>
      <c r="AW332" s="458"/>
      <c r="AX332" s="452"/>
      <c r="AY332" s="457"/>
      <c r="AZ332" s="449"/>
      <c r="BA332" s="459"/>
      <c r="BB332" s="455"/>
      <c r="BC332" s="460"/>
      <c r="BD332" s="460"/>
      <c r="BG332" s="462"/>
    </row>
    <row r="333" spans="1:59" s="461" customFormat="1" ht="18" customHeight="1" x14ac:dyDescent="0.2">
      <c r="A333" s="461" t="str">
        <f t="shared" si="274"/>
        <v>RUMAH DINAS SEKRETARIS DAERAH2015</v>
      </c>
      <c r="B333" s="708"/>
      <c r="C333" s="489"/>
      <c r="D333" s="489"/>
      <c r="E333" s="558"/>
      <c r="F333" s="559">
        <v>2015</v>
      </c>
      <c r="G333" s="619">
        <v>0</v>
      </c>
      <c r="H333" s="464">
        <f t="shared" si="275"/>
        <v>44</v>
      </c>
      <c r="I333" s="560"/>
      <c r="J333" s="468">
        <f t="shared" si="276"/>
        <v>2058</v>
      </c>
      <c r="K333" s="490">
        <f t="shared" si="277"/>
        <v>0</v>
      </c>
      <c r="L333" s="469">
        <f t="shared" si="283"/>
        <v>0</v>
      </c>
      <c r="M333" s="683">
        <f t="shared" si="284"/>
        <v>0</v>
      </c>
      <c r="N333" s="470">
        <f t="shared" si="278"/>
        <v>44</v>
      </c>
      <c r="O333" s="468">
        <f t="shared" si="279"/>
        <v>2058</v>
      </c>
      <c r="P333" s="471">
        <f t="shared" si="285"/>
        <v>1429611190.6832111</v>
      </c>
      <c r="Q333" s="472">
        <f t="shared" si="280"/>
        <v>1429611190.6832111</v>
      </c>
      <c r="R333" s="472">
        <f t="shared" si="286"/>
        <v>32491163.424618434</v>
      </c>
      <c r="S333" s="842">
        <f t="shared" si="272"/>
        <v>2015</v>
      </c>
      <c r="T333" s="470">
        <f t="shared" si="287"/>
        <v>1</v>
      </c>
      <c r="U333" s="612">
        <f t="shared" si="273"/>
        <v>32491163.424618434</v>
      </c>
      <c r="V333" s="464">
        <f t="shared" si="281"/>
        <v>2015</v>
      </c>
      <c r="W333" s="612">
        <f t="shared" si="282"/>
        <v>1397120027.2585926</v>
      </c>
      <c r="X333" s="561"/>
      <c r="Y333" s="449"/>
      <c r="Z333" s="449"/>
      <c r="AA333" s="475" t="s">
        <v>4181</v>
      </c>
      <c r="AB333" s="491"/>
      <c r="AC333" s="491"/>
      <c r="AD333" s="567">
        <f>U339</f>
        <v>360000298.70549893</v>
      </c>
      <c r="AE333" s="452"/>
      <c r="AF333" s="571"/>
      <c r="AG333" s="452"/>
      <c r="AH333" s="452"/>
      <c r="AI333" s="453"/>
      <c r="AJ333" s="449"/>
      <c r="AK333" s="453"/>
      <c r="AL333" s="454"/>
      <c r="AM333" s="455"/>
      <c r="AN333" s="456"/>
      <c r="AO333" s="455"/>
      <c r="AP333" s="452"/>
      <c r="AQ333" s="457"/>
      <c r="AR333" s="449"/>
      <c r="AS333" s="449"/>
      <c r="AT333" s="452"/>
      <c r="AU333" s="457"/>
      <c r="AV333" s="449"/>
      <c r="AW333" s="458"/>
      <c r="AX333" s="452"/>
      <c r="AY333" s="457"/>
      <c r="AZ333" s="449"/>
      <c r="BA333" s="459"/>
      <c r="BB333" s="455"/>
      <c r="BC333" s="460"/>
      <c r="BD333" s="460"/>
      <c r="BG333" s="462"/>
    </row>
    <row r="334" spans="1:59" s="461" customFormat="1" ht="18" customHeight="1" x14ac:dyDescent="0.2">
      <c r="A334" s="461" t="str">
        <f t="shared" si="274"/>
        <v>RUMAH DINAS SEKRETARIS DAERAH2016</v>
      </c>
      <c r="B334" s="708"/>
      <c r="C334" s="489"/>
      <c r="D334" s="489"/>
      <c r="E334" s="558"/>
      <c r="F334" s="559">
        <v>2016</v>
      </c>
      <c r="G334" s="619">
        <v>0</v>
      </c>
      <c r="H334" s="464">
        <f t="shared" si="275"/>
        <v>43</v>
      </c>
      <c r="I334" s="560"/>
      <c r="J334" s="468">
        <f t="shared" si="276"/>
        <v>2058</v>
      </c>
      <c r="K334" s="490">
        <f t="shared" si="277"/>
        <v>0</v>
      </c>
      <c r="L334" s="469">
        <f t="shared" si="283"/>
        <v>0</v>
      </c>
      <c r="M334" s="683">
        <f t="shared" si="284"/>
        <v>0</v>
      </c>
      <c r="N334" s="470">
        <f t="shared" si="278"/>
        <v>43</v>
      </c>
      <c r="O334" s="468">
        <f t="shared" si="279"/>
        <v>2058</v>
      </c>
      <c r="P334" s="471">
        <f t="shared" si="285"/>
        <v>1397120027.2585926</v>
      </c>
      <c r="Q334" s="472">
        <f t="shared" si="280"/>
        <v>1397120027.2585926</v>
      </c>
      <c r="R334" s="472">
        <f t="shared" si="286"/>
        <v>32491163.424618434</v>
      </c>
      <c r="S334" s="842">
        <f t="shared" si="272"/>
        <v>2016</v>
      </c>
      <c r="T334" s="470">
        <f t="shared" si="287"/>
        <v>1</v>
      </c>
      <c r="U334" s="612">
        <f t="shared" si="273"/>
        <v>32491163.424618434</v>
      </c>
      <c r="V334" s="464">
        <f t="shared" si="281"/>
        <v>2016</v>
      </c>
      <c r="W334" s="612">
        <f t="shared" si="282"/>
        <v>1364628863.8339741</v>
      </c>
      <c r="X334" s="561"/>
      <c r="Y334" s="449"/>
      <c r="Z334" s="449"/>
      <c r="AA334" s="492" t="s">
        <v>4182</v>
      </c>
      <c r="AB334" s="476"/>
      <c r="AC334" s="476"/>
      <c r="AD334" s="568">
        <f>AD332-AD333</f>
        <v>1467707872.5254228</v>
      </c>
      <c r="AE334" s="452"/>
      <c r="AF334" s="571"/>
      <c r="AG334" s="452"/>
      <c r="AH334" s="452"/>
      <c r="AI334" s="453"/>
      <c r="AJ334" s="449"/>
      <c r="AK334" s="453"/>
      <c r="AL334" s="454"/>
      <c r="AM334" s="455"/>
      <c r="AN334" s="456"/>
      <c r="AO334" s="455"/>
      <c r="AP334" s="452"/>
      <c r="AQ334" s="457"/>
      <c r="AR334" s="449"/>
      <c r="AS334" s="449"/>
      <c r="AT334" s="452"/>
      <c r="AU334" s="457"/>
      <c r="AV334" s="449"/>
      <c r="AW334" s="458"/>
      <c r="AX334" s="452"/>
      <c r="AY334" s="457"/>
      <c r="AZ334" s="449"/>
      <c r="BA334" s="459"/>
      <c r="BB334" s="455"/>
      <c r="BC334" s="460"/>
      <c r="BD334" s="460"/>
      <c r="BG334" s="462"/>
    </row>
    <row r="335" spans="1:59" s="461" customFormat="1" ht="18" customHeight="1" x14ac:dyDescent="0.2">
      <c r="A335" s="461" t="str">
        <f t="shared" si="274"/>
        <v>RUMAH DINAS SEKRETARIS DAERAH2017</v>
      </c>
      <c r="B335" s="708">
        <v>2</v>
      </c>
      <c r="C335" s="489" t="s">
        <v>2996</v>
      </c>
      <c r="D335" s="489" t="s">
        <v>1752</v>
      </c>
      <c r="E335" s="558"/>
      <c r="F335" s="559">
        <v>2017</v>
      </c>
      <c r="G335" s="619">
        <v>203150000</v>
      </c>
      <c r="H335" s="464">
        <f t="shared" si="275"/>
        <v>42</v>
      </c>
      <c r="I335" s="560"/>
      <c r="J335" s="468">
        <f t="shared" si="276"/>
        <v>2063</v>
      </c>
      <c r="K335" s="490">
        <f t="shared" si="277"/>
        <v>0.1488683153229243</v>
      </c>
      <c r="L335" s="469">
        <f t="shared" si="283"/>
        <v>5</v>
      </c>
      <c r="M335" s="683">
        <f t="shared" si="284"/>
        <v>5</v>
      </c>
      <c r="N335" s="470">
        <f t="shared" si="278"/>
        <v>47</v>
      </c>
      <c r="O335" s="468">
        <f t="shared" si="279"/>
        <v>2063</v>
      </c>
      <c r="P335" s="471">
        <f t="shared" si="285"/>
        <v>1364628863.8339741</v>
      </c>
      <c r="Q335" s="472">
        <f t="shared" si="280"/>
        <v>1567778863.8339741</v>
      </c>
      <c r="R335" s="472">
        <f t="shared" si="286"/>
        <v>33356997.102850512</v>
      </c>
      <c r="S335" s="842">
        <f t="shared" si="272"/>
        <v>2017</v>
      </c>
      <c r="T335" s="470">
        <f t="shared" si="287"/>
        <v>1</v>
      </c>
      <c r="U335" s="612">
        <f t="shared" si="273"/>
        <v>33356997.102850512</v>
      </c>
      <c r="V335" s="464">
        <f t="shared" si="281"/>
        <v>2017</v>
      </c>
      <c r="W335" s="612">
        <f t="shared" si="282"/>
        <v>1534421866.7311237</v>
      </c>
      <c r="X335" s="561"/>
      <c r="Y335" s="449"/>
      <c r="Z335" s="449"/>
      <c r="AA335" s="475" t="s">
        <v>4183</v>
      </c>
      <c r="AB335" s="476"/>
      <c r="AC335" s="476"/>
      <c r="AD335" s="567">
        <f>AD334-W339</f>
        <v>0</v>
      </c>
      <c r="AE335" s="452"/>
      <c r="AF335" s="571"/>
      <c r="AG335" s="452"/>
      <c r="AH335" s="452"/>
      <c r="AI335" s="453"/>
      <c r="AJ335" s="449"/>
      <c r="AK335" s="453"/>
      <c r="AL335" s="454"/>
      <c r="AM335" s="455"/>
      <c r="AN335" s="456"/>
      <c r="AO335" s="455"/>
      <c r="AP335" s="452"/>
      <c r="AQ335" s="457"/>
      <c r="AR335" s="449"/>
      <c r="AS335" s="449"/>
      <c r="AT335" s="452"/>
      <c r="AU335" s="457"/>
      <c r="AV335" s="449"/>
      <c r="AW335" s="458"/>
      <c r="AX335" s="452"/>
      <c r="AY335" s="457"/>
      <c r="AZ335" s="449"/>
      <c r="BA335" s="459"/>
      <c r="BB335" s="455"/>
      <c r="BC335" s="460"/>
      <c r="BD335" s="460"/>
      <c r="BG335" s="462"/>
    </row>
    <row r="336" spans="1:59" s="486" customFormat="1" ht="18" customHeight="1" x14ac:dyDescent="0.2">
      <c r="A336" s="461" t="str">
        <f t="shared" si="274"/>
        <v>RUMAH DINAS SEKRETARIS DAERAH2018</v>
      </c>
      <c r="B336" s="708"/>
      <c r="C336" s="463"/>
      <c r="D336" s="489"/>
      <c r="E336" s="465"/>
      <c r="F336" s="559">
        <v>2018</v>
      </c>
      <c r="G336" s="619">
        <v>0</v>
      </c>
      <c r="H336" s="464">
        <f t="shared" si="275"/>
        <v>46</v>
      </c>
      <c r="I336" s="560"/>
      <c r="J336" s="468">
        <f t="shared" si="276"/>
        <v>2063</v>
      </c>
      <c r="K336" s="490">
        <f t="shared" si="277"/>
        <v>0</v>
      </c>
      <c r="L336" s="469">
        <f t="shared" si="283"/>
        <v>0</v>
      </c>
      <c r="M336" s="683">
        <f t="shared" si="284"/>
        <v>0</v>
      </c>
      <c r="N336" s="470">
        <f t="shared" si="278"/>
        <v>46</v>
      </c>
      <c r="O336" s="468">
        <f t="shared" si="279"/>
        <v>2063</v>
      </c>
      <c r="P336" s="471">
        <f t="shared" si="285"/>
        <v>1534421866.7311237</v>
      </c>
      <c r="Q336" s="472">
        <f t="shared" si="280"/>
        <v>1534421866.7311237</v>
      </c>
      <c r="R336" s="472">
        <f t="shared" si="286"/>
        <v>33356997.102850512</v>
      </c>
      <c r="S336" s="842">
        <f t="shared" si="272"/>
        <v>2018</v>
      </c>
      <c r="T336" s="470">
        <f t="shared" si="287"/>
        <v>1</v>
      </c>
      <c r="U336" s="612">
        <f t="shared" si="273"/>
        <v>33356997.102850512</v>
      </c>
      <c r="V336" s="464">
        <f t="shared" si="281"/>
        <v>2018</v>
      </c>
      <c r="W336" s="612">
        <f t="shared" si="282"/>
        <v>1501064869.6282732</v>
      </c>
      <c r="X336" s="561"/>
      <c r="Y336" s="474"/>
      <c r="Z336" s="449"/>
      <c r="AA336" s="495"/>
      <c r="AB336" s="496"/>
      <c r="AC336" s="496"/>
      <c r="AD336" s="569"/>
      <c r="AE336" s="476"/>
      <c r="AF336" s="568"/>
      <c r="AG336" s="476"/>
      <c r="AH336" s="476"/>
      <c r="AI336" s="477"/>
      <c r="AJ336" s="478"/>
      <c r="AK336" s="479"/>
      <c r="AL336" s="480"/>
      <c r="AM336" s="474"/>
      <c r="AN336" s="481"/>
      <c r="AO336" s="474"/>
      <c r="AP336" s="476"/>
      <c r="AQ336" s="482"/>
      <c r="AR336" s="478"/>
      <c r="AS336" s="478"/>
      <c r="AT336" s="476"/>
      <c r="AU336" s="482"/>
      <c r="AV336" s="478"/>
      <c r="AW336" s="483"/>
      <c r="AX336" s="476"/>
      <c r="AY336" s="482"/>
      <c r="AZ336" s="478"/>
      <c r="BA336" s="484"/>
      <c r="BB336" s="474"/>
      <c r="BC336" s="485"/>
      <c r="BD336" s="485"/>
      <c r="BG336" s="487"/>
    </row>
    <row r="337" spans="1:59" s="486" customFormat="1" ht="18" customHeight="1" x14ac:dyDescent="0.2">
      <c r="A337" s="461" t="str">
        <f t="shared" si="274"/>
        <v>RUMAH DINAS SEKRETARIS DAERAH2019</v>
      </c>
      <c r="B337" s="708"/>
      <c r="C337" s="488"/>
      <c r="D337" s="489"/>
      <c r="E337" s="465"/>
      <c r="F337" s="466">
        <v>2019</v>
      </c>
      <c r="G337" s="619">
        <v>0</v>
      </c>
      <c r="H337" s="464">
        <f>IF(N336-(F337-F336)&lt;=0,0,(N336-(F337-F336)))</f>
        <v>45</v>
      </c>
      <c r="I337" s="560"/>
      <c r="J337" s="468">
        <f>(F337+N337)-1</f>
        <v>2063</v>
      </c>
      <c r="K337" s="490">
        <f>IF(G337=0,0,IF(H337=50,100%,G337/W336))</f>
        <v>0</v>
      </c>
      <c r="L337" s="469">
        <f>IF(K337=0%,0,IF(K337&lt;=25%,5,IF(K337&lt;=50%,10,IF(K337&lt;=75%,15,50))))</f>
        <v>0</v>
      </c>
      <c r="M337" s="683">
        <f>IF(OR(AND(ISBLANK(E337),ISBLANK(G337)),ISTEXT(E337),ISTEXT(G337)),"",IF(H337+L337&gt;$H$27,$H$27-H337,L337))</f>
        <v>0</v>
      </c>
      <c r="N337" s="470">
        <f>IF(OR(AND(ISBLANK(F337),ISBLANK(G337)),ISTEXT(F337),ISTEXT(G337)),"",H337+M337)</f>
        <v>45</v>
      </c>
      <c r="O337" s="468">
        <f>(F337+N337)-1</f>
        <v>2063</v>
      </c>
      <c r="P337" s="471">
        <f>W336</f>
        <v>1501064869.6282732</v>
      </c>
      <c r="Q337" s="472">
        <f>P337+G337</f>
        <v>1501064869.6282732</v>
      </c>
      <c r="R337" s="472">
        <f>IF(L337=0,R336,Q337/N337)</f>
        <v>33356997.102850512</v>
      </c>
      <c r="S337" s="1189">
        <f>F337</f>
        <v>2019</v>
      </c>
      <c r="T337" s="470">
        <f>S337-S336</f>
        <v>1</v>
      </c>
      <c r="U337" s="612">
        <f>R337*T337</f>
        <v>33356997.102850512</v>
      </c>
      <c r="V337" s="464">
        <f>F337</f>
        <v>2019</v>
      </c>
      <c r="W337" s="612">
        <f>IF(OR(AND(ISBLANK(E337),ISBLANK(G337)),ISTEXT(E337),ISTEXT(G337)),"",Q337-U337)</f>
        <v>1467707872.5254228</v>
      </c>
      <c r="X337" s="473"/>
      <c r="Y337" s="478"/>
      <c r="Z337" s="449"/>
      <c r="AA337" s="699"/>
      <c r="AB337" s="700"/>
      <c r="AC337" s="700"/>
      <c r="AD337" s="701"/>
      <c r="AE337" s="491"/>
      <c r="AF337" s="568"/>
      <c r="AG337" s="491"/>
      <c r="AH337" s="491"/>
      <c r="AI337" s="477"/>
      <c r="AJ337" s="478"/>
      <c r="AK337" s="479"/>
      <c r="AL337" s="480"/>
      <c r="AM337" s="474"/>
      <c r="AN337" s="481"/>
      <c r="AO337" s="474"/>
      <c r="AP337" s="476"/>
      <c r="AQ337" s="482"/>
      <c r="AR337" s="478"/>
      <c r="AS337" s="478"/>
      <c r="AT337" s="476"/>
      <c r="AU337" s="482"/>
      <c r="AV337" s="478"/>
      <c r="AW337" s="483"/>
      <c r="AX337" s="476"/>
      <c r="AY337" s="482"/>
      <c r="AZ337" s="478"/>
      <c r="BA337" s="484"/>
      <c r="BB337" s="474"/>
      <c r="BC337" s="485"/>
      <c r="BD337" s="485"/>
      <c r="BG337" s="487"/>
    </row>
    <row r="338" spans="1:59" s="486" customFormat="1" ht="18" customHeight="1" x14ac:dyDescent="0.2">
      <c r="B338" s="687"/>
      <c r="C338" s="494"/>
      <c r="D338" s="464"/>
      <c r="E338" s="465"/>
      <c r="F338" s="466"/>
      <c r="G338" s="620"/>
      <c r="H338" s="464"/>
      <c r="I338" s="467"/>
      <c r="J338" s="468"/>
      <c r="K338" s="490"/>
      <c r="L338" s="469"/>
      <c r="M338" s="683"/>
      <c r="N338" s="470"/>
      <c r="O338" s="468"/>
      <c r="P338" s="471"/>
      <c r="Q338" s="472"/>
      <c r="R338" s="472"/>
      <c r="S338" s="842"/>
      <c r="T338" s="470"/>
      <c r="U338" s="612"/>
      <c r="V338" s="464"/>
      <c r="W338" s="612"/>
      <c r="X338" s="473"/>
      <c r="Y338" s="478"/>
      <c r="Z338" s="449"/>
      <c r="AA338" s="497"/>
      <c r="AB338" s="476"/>
      <c r="AC338" s="476"/>
      <c r="AD338" s="568"/>
      <c r="AE338" s="476"/>
      <c r="AF338" s="568"/>
      <c r="AG338" s="476"/>
      <c r="AH338" s="476"/>
      <c r="AI338" s="477"/>
      <c r="AJ338" s="478"/>
      <c r="AK338" s="479"/>
      <c r="AL338" s="480"/>
      <c r="AM338" s="474"/>
      <c r="AN338" s="481"/>
      <c r="AO338" s="474"/>
      <c r="AP338" s="476"/>
      <c r="AQ338" s="482"/>
      <c r="AR338" s="478"/>
      <c r="AS338" s="478"/>
      <c r="AT338" s="476"/>
      <c r="AU338" s="482"/>
      <c r="AV338" s="478"/>
      <c r="AW338" s="483"/>
      <c r="AX338" s="476"/>
      <c r="AY338" s="482"/>
      <c r="AZ338" s="478"/>
      <c r="BA338" s="484"/>
      <c r="BB338" s="474"/>
      <c r="BC338" s="485"/>
      <c r="BD338" s="485"/>
      <c r="BG338" s="487"/>
    </row>
    <row r="339" spans="1:59" s="526" customFormat="1" ht="18" customHeight="1" x14ac:dyDescent="0.2">
      <c r="B339" s="1956" t="s">
        <v>4184</v>
      </c>
      <c r="C339" s="1957"/>
      <c r="D339" s="1957"/>
      <c r="E339" s="1957"/>
      <c r="F339" s="1958"/>
      <c r="G339" s="621">
        <f>SUM(G329:G338)</f>
        <v>1827708171.2309217</v>
      </c>
      <c r="H339" s="505"/>
      <c r="I339" s="506"/>
      <c r="J339" s="507"/>
      <c r="K339" s="507"/>
      <c r="L339" s="505"/>
      <c r="M339" s="684"/>
      <c r="N339" s="508"/>
      <c r="O339" s="507"/>
      <c r="P339" s="509"/>
      <c r="Q339" s="510"/>
      <c r="R339" s="511"/>
      <c r="S339" s="512"/>
      <c r="T339" s="512"/>
      <c r="U339" s="610">
        <f>SUM(U329:U338)</f>
        <v>360000298.70549893</v>
      </c>
      <c r="V339" s="513"/>
      <c r="W339" s="610">
        <f>G339-U339</f>
        <v>1467707872.5254228</v>
      </c>
      <c r="X339" s="514"/>
      <c r="Y339" s="515"/>
      <c r="Z339" s="515"/>
      <c r="AA339" s="515"/>
      <c r="AB339" s="515"/>
      <c r="AC339" s="515"/>
      <c r="AD339" s="570"/>
      <c r="AE339" s="515"/>
      <c r="AF339" s="570"/>
      <c r="AG339" s="515"/>
      <c r="AH339" s="515"/>
      <c r="AI339" s="516"/>
      <c r="AJ339" s="517"/>
      <c r="AK339" s="518"/>
      <c r="AL339" s="519"/>
      <c r="AM339" s="520"/>
      <c r="AN339" s="521"/>
      <c r="AO339" s="520"/>
      <c r="AP339" s="515"/>
      <c r="AQ339" s="522"/>
      <c r="AR339" s="517"/>
      <c r="AS339" s="517"/>
      <c r="AT339" s="515"/>
      <c r="AU339" s="522"/>
      <c r="AV339" s="517"/>
      <c r="AW339" s="523"/>
      <c r="AX339" s="515"/>
      <c r="AY339" s="522"/>
      <c r="AZ339" s="517"/>
      <c r="BA339" s="524"/>
      <c r="BB339" s="520"/>
      <c r="BC339" s="525"/>
      <c r="BD339" s="525"/>
      <c r="BG339" s="527"/>
    </row>
    <row r="340" spans="1:59" s="526" customFormat="1" ht="18" customHeight="1" x14ac:dyDescent="0.2">
      <c r="B340" s="741"/>
      <c r="C340" s="841"/>
      <c r="D340" s="841"/>
      <c r="E340" s="841"/>
      <c r="F340" s="585"/>
      <c r="G340" s="622"/>
      <c r="H340" s="586"/>
      <c r="I340" s="587"/>
      <c r="J340" s="588"/>
      <c r="K340" s="588"/>
      <c r="L340" s="586"/>
      <c r="M340" s="521"/>
      <c r="N340" s="589"/>
      <c r="O340" s="588"/>
      <c r="P340" s="590"/>
      <c r="Q340" s="591"/>
      <c r="R340" s="592"/>
      <c r="S340" s="593"/>
      <c r="T340" s="593"/>
      <c r="U340" s="570"/>
      <c r="V340" s="594"/>
      <c r="W340" s="570"/>
      <c r="X340" s="515"/>
      <c r="Y340" s="515"/>
      <c r="Z340" s="515"/>
      <c r="AA340" s="515"/>
      <c r="AB340" s="515"/>
      <c r="AC340" s="515"/>
      <c r="AD340" s="570"/>
      <c r="AE340" s="515"/>
      <c r="AF340" s="570"/>
      <c r="AG340" s="515"/>
      <c r="AH340" s="515"/>
      <c r="AI340" s="516"/>
      <c r="AJ340" s="517"/>
      <c r="AK340" s="518"/>
      <c r="AL340" s="519"/>
      <c r="AM340" s="520"/>
      <c r="AN340" s="521"/>
      <c r="AO340" s="520"/>
      <c r="AP340" s="515"/>
      <c r="AQ340" s="522"/>
      <c r="AR340" s="517"/>
      <c r="AS340" s="517"/>
      <c r="AT340" s="515"/>
      <c r="AU340" s="522"/>
      <c r="AV340" s="517"/>
      <c r="AW340" s="523"/>
      <c r="AX340" s="515"/>
      <c r="AY340" s="522"/>
      <c r="AZ340" s="517"/>
      <c r="BA340" s="524"/>
      <c r="BB340" s="520"/>
      <c r="BC340" s="525"/>
      <c r="BD340" s="525"/>
      <c r="BG340" s="527"/>
    </row>
    <row r="341" spans="1:59" s="526" customFormat="1" ht="18" customHeight="1" x14ac:dyDescent="0.2">
      <c r="B341" s="575"/>
      <c r="C341" s="585"/>
      <c r="D341" s="585"/>
      <c r="E341" s="585"/>
      <c r="F341" s="585"/>
      <c r="G341" s="622"/>
      <c r="H341" s="586"/>
      <c r="I341" s="587"/>
      <c r="J341" s="588"/>
      <c r="K341" s="588"/>
      <c r="L341" s="586"/>
      <c r="M341" s="521"/>
      <c r="N341" s="589"/>
      <c r="O341" s="588"/>
      <c r="P341" s="590"/>
      <c r="Q341" s="591"/>
      <c r="R341" s="592"/>
      <c r="S341" s="593"/>
      <c r="T341" s="593"/>
      <c r="U341" s="570"/>
      <c r="V341" s="594"/>
      <c r="W341" s="570"/>
      <c r="X341" s="515"/>
      <c r="Y341" s="515"/>
      <c r="Z341" s="515"/>
      <c r="AA341" s="515"/>
      <c r="AB341" s="515"/>
      <c r="AC341" s="515"/>
      <c r="AD341" s="570"/>
      <c r="AE341" s="515"/>
      <c r="AF341" s="570"/>
      <c r="AG341" s="515"/>
      <c r="AH341" s="515"/>
      <c r="AI341" s="516"/>
      <c r="AJ341" s="517"/>
      <c r="AK341" s="518"/>
      <c r="AL341" s="519"/>
      <c r="AM341" s="520"/>
      <c r="AN341" s="521"/>
      <c r="AO341" s="520"/>
      <c r="AP341" s="515"/>
      <c r="AQ341" s="522"/>
      <c r="AR341" s="517"/>
      <c r="AS341" s="517"/>
      <c r="AT341" s="515"/>
      <c r="AU341" s="522"/>
      <c r="AV341" s="517"/>
      <c r="AW341" s="523"/>
      <c r="AX341" s="515"/>
      <c r="AY341" s="522"/>
      <c r="AZ341" s="517"/>
      <c r="BA341" s="524"/>
      <c r="BB341" s="520"/>
      <c r="BC341" s="525"/>
      <c r="BD341" s="525"/>
      <c r="BG341" s="527"/>
    </row>
    <row r="342" spans="1:59" s="422" customFormat="1" ht="18" customHeight="1" x14ac:dyDescent="0.2">
      <c r="B342" s="688" t="s">
        <v>4771</v>
      </c>
      <c r="C342" s="556"/>
      <c r="D342" s="553" t="s">
        <v>3026</v>
      </c>
      <c r="E342" s="553"/>
      <c r="F342" s="421"/>
      <c r="G342" s="611"/>
      <c r="I342" s="423"/>
      <c r="J342" s="424"/>
      <c r="K342" s="424"/>
      <c r="M342" s="680"/>
      <c r="U342" s="611"/>
      <c r="W342" s="611"/>
      <c r="Y342" s="425"/>
      <c r="Z342" s="425"/>
      <c r="AA342" s="425"/>
      <c r="AB342" s="425"/>
      <c r="AC342" s="425"/>
      <c r="AD342" s="563"/>
      <c r="AE342" s="425"/>
      <c r="AF342" s="563"/>
      <c r="AG342" s="425"/>
      <c r="AH342" s="425"/>
      <c r="AI342" s="425"/>
      <c r="AJ342" s="425"/>
      <c r="AK342" s="425"/>
      <c r="AL342" s="425"/>
      <c r="AM342" s="425"/>
      <c r="AN342" s="425"/>
      <c r="AO342" s="425"/>
      <c r="AP342" s="425"/>
      <c r="AQ342" s="425"/>
      <c r="AR342" s="425"/>
      <c r="AS342" s="425"/>
      <c r="AT342" s="425"/>
      <c r="AU342" s="425"/>
      <c r="AV342" s="425"/>
      <c r="AW342" s="425"/>
      <c r="AX342" s="425"/>
      <c r="AY342" s="425"/>
      <c r="AZ342" s="425"/>
      <c r="BA342" s="425"/>
      <c r="BB342" s="425"/>
    </row>
    <row r="343" spans="1:59" s="431" customFormat="1" ht="18" customHeight="1" x14ac:dyDescent="0.2">
      <c r="B343" s="1968" t="s">
        <v>5</v>
      </c>
      <c r="C343" s="1968" t="s">
        <v>2280</v>
      </c>
      <c r="D343" s="1968" t="s">
        <v>4157</v>
      </c>
      <c r="E343" s="1968" t="s">
        <v>4158</v>
      </c>
      <c r="F343" s="1968"/>
      <c r="G343" s="1969" t="s">
        <v>4159</v>
      </c>
      <c r="H343" s="1355" t="s">
        <v>4160</v>
      </c>
      <c r="I343" s="1355"/>
      <c r="J343" s="1968" t="s">
        <v>4161</v>
      </c>
      <c r="K343" s="1964" t="s">
        <v>4162</v>
      </c>
      <c r="L343" s="1968" t="s">
        <v>4163</v>
      </c>
      <c r="M343" s="1971" t="s">
        <v>4164</v>
      </c>
      <c r="N343" s="1962" t="s">
        <v>4165</v>
      </c>
      <c r="O343" s="1968" t="s">
        <v>4166</v>
      </c>
      <c r="P343" s="1972" t="s">
        <v>4167</v>
      </c>
      <c r="Q343" s="1973"/>
      <c r="R343" s="840" t="s">
        <v>4168</v>
      </c>
      <c r="S343" s="1972" t="s">
        <v>4169</v>
      </c>
      <c r="T343" s="1974"/>
      <c r="U343" s="1973"/>
      <c r="V343" s="1975" t="s">
        <v>4170</v>
      </c>
      <c r="W343" s="1975"/>
      <c r="X343" s="1960" t="s">
        <v>4171</v>
      </c>
      <c r="Y343" s="1959"/>
      <c r="Z343" s="837"/>
      <c r="AA343" s="426"/>
      <c r="AB343" s="426"/>
      <c r="AC343" s="426"/>
      <c r="AD343" s="564"/>
      <c r="AE343" s="426"/>
      <c r="AF343" s="564"/>
      <c r="AG343" s="426"/>
      <c r="AH343" s="426"/>
      <c r="AI343" s="427"/>
      <c r="AJ343" s="427"/>
      <c r="AK343" s="427"/>
      <c r="AL343" s="427"/>
      <c r="AM343" s="428"/>
      <c r="AN343" s="427"/>
      <c r="AO343" s="427"/>
      <c r="AP343" s="426"/>
      <c r="AQ343" s="427"/>
      <c r="AR343" s="427"/>
      <c r="AS343" s="427"/>
      <c r="AT343" s="426"/>
      <c r="AU343" s="427"/>
      <c r="AV343" s="427"/>
      <c r="AW343" s="427"/>
      <c r="AX343" s="426"/>
      <c r="AY343" s="427"/>
      <c r="AZ343" s="427"/>
      <c r="BA343" s="427"/>
      <c r="BB343" s="429"/>
      <c r="BC343" s="430"/>
      <c r="BD343" s="430"/>
    </row>
    <row r="344" spans="1:59" s="431" customFormat="1" ht="18" customHeight="1" x14ac:dyDescent="0.2">
      <c r="B344" s="1968"/>
      <c r="C344" s="1968"/>
      <c r="D344" s="1968"/>
      <c r="E344" s="1968"/>
      <c r="F344" s="1968"/>
      <c r="G344" s="1969"/>
      <c r="H344" s="1355"/>
      <c r="I344" s="1355"/>
      <c r="J344" s="1968"/>
      <c r="K344" s="1970"/>
      <c r="L344" s="1968"/>
      <c r="M344" s="1971"/>
      <c r="N344" s="1963"/>
      <c r="O344" s="1968"/>
      <c r="P344" s="1960" t="s">
        <v>4172</v>
      </c>
      <c r="Q344" s="1960" t="s">
        <v>4173</v>
      </c>
      <c r="R344" s="1962" t="s">
        <v>4159</v>
      </c>
      <c r="S344" s="1962" t="s">
        <v>4174</v>
      </c>
      <c r="T344" s="1964" t="s">
        <v>4175</v>
      </c>
      <c r="U344" s="1966" t="s">
        <v>4159</v>
      </c>
      <c r="V344" s="1975"/>
      <c r="W344" s="1975"/>
      <c r="X344" s="1976"/>
      <c r="Y344" s="1959"/>
      <c r="Z344" s="837"/>
      <c r="AA344" s="426"/>
      <c r="AB344" s="426"/>
      <c r="AC344" s="426"/>
      <c r="AD344" s="564"/>
      <c r="AE344" s="426"/>
      <c r="AF344" s="564"/>
      <c r="AG344" s="426"/>
      <c r="AH344" s="426"/>
      <c r="AI344" s="427"/>
      <c r="AJ344" s="427"/>
      <c r="AK344" s="426"/>
      <c r="AL344" s="427"/>
      <c r="AM344" s="428"/>
      <c r="AN344" s="427"/>
      <c r="AO344" s="427"/>
      <c r="AP344" s="432"/>
      <c r="AQ344" s="427"/>
      <c r="AR344" s="427"/>
      <c r="AS344" s="427"/>
      <c r="AT344" s="432"/>
      <c r="AU344" s="427"/>
      <c r="AV344" s="427"/>
      <c r="AW344" s="427"/>
      <c r="AX344" s="432"/>
      <c r="AY344" s="427"/>
      <c r="AZ344" s="427"/>
      <c r="BA344" s="427"/>
      <c r="BB344" s="429"/>
      <c r="BC344" s="430"/>
      <c r="BD344" s="430"/>
    </row>
    <row r="345" spans="1:59" s="431" customFormat="1" ht="21.75" customHeight="1" x14ac:dyDescent="0.2">
      <c r="B345" s="1968"/>
      <c r="C345" s="1968"/>
      <c r="D345" s="1968"/>
      <c r="E345" s="433" t="s">
        <v>4176</v>
      </c>
      <c r="F345" s="434" t="s">
        <v>2288</v>
      </c>
      <c r="G345" s="1969"/>
      <c r="H345" s="1355" t="s">
        <v>2288</v>
      </c>
      <c r="I345" s="1355" t="s">
        <v>4177</v>
      </c>
      <c r="J345" s="1968"/>
      <c r="K345" s="1965"/>
      <c r="L345" s="435" t="s">
        <v>2288</v>
      </c>
      <c r="M345" s="681" t="s">
        <v>2288</v>
      </c>
      <c r="N345" s="838" t="s">
        <v>2288</v>
      </c>
      <c r="O345" s="1968"/>
      <c r="P345" s="1961"/>
      <c r="Q345" s="1961"/>
      <c r="R345" s="1963"/>
      <c r="S345" s="1963"/>
      <c r="T345" s="1965"/>
      <c r="U345" s="1967"/>
      <c r="V345" s="838" t="s">
        <v>4178</v>
      </c>
      <c r="W345" s="839" t="s">
        <v>4159</v>
      </c>
      <c r="X345" s="1961"/>
      <c r="Y345" s="436"/>
      <c r="Z345" s="436"/>
      <c r="AA345" s="426"/>
      <c r="AB345" s="426"/>
      <c r="AC345" s="426"/>
      <c r="AD345" s="564"/>
      <c r="AE345" s="426"/>
      <c r="AF345" s="564"/>
      <c r="AG345" s="426"/>
      <c r="AH345" s="426"/>
      <c r="AI345" s="427"/>
      <c r="AJ345" s="432"/>
      <c r="AK345" s="432"/>
      <c r="AL345" s="427"/>
      <c r="AM345" s="428"/>
      <c r="AN345" s="432"/>
      <c r="AO345" s="427"/>
      <c r="AP345" s="432"/>
      <c r="AQ345" s="432"/>
      <c r="AR345" s="427"/>
      <c r="AS345" s="427"/>
      <c r="AT345" s="432"/>
      <c r="AU345" s="432"/>
      <c r="AV345" s="427"/>
      <c r="AW345" s="427"/>
      <c r="AX345" s="432"/>
      <c r="AY345" s="432"/>
      <c r="AZ345" s="427"/>
      <c r="BA345" s="427"/>
      <c r="BB345" s="429"/>
      <c r="BC345" s="430"/>
      <c r="BD345" s="430"/>
    </row>
    <row r="346" spans="1:59" s="461" customFormat="1" ht="18" customHeight="1" x14ac:dyDescent="0.2">
      <c r="A346" s="461" t="str">
        <f>$D$342&amp;S346</f>
        <v>RUMAH DINAS KETUA DAN WAKIL KETUA DPRD2009</v>
      </c>
      <c r="B346" s="689">
        <v>1</v>
      </c>
      <c r="C346" s="597" t="s">
        <v>4768</v>
      </c>
      <c r="D346" s="597" t="s">
        <v>1752</v>
      </c>
      <c r="E346" s="598"/>
      <c r="F346" s="599">
        <v>2009</v>
      </c>
      <c r="G346" s="626">
        <v>1560987912.9821267</v>
      </c>
      <c r="H346" s="600">
        <f>VLOOKUP(LEFT(D346,8),UE,4)</f>
        <v>50</v>
      </c>
      <c r="I346" s="601"/>
      <c r="J346" s="602">
        <f>(F346+N346)-1</f>
        <v>2058</v>
      </c>
      <c r="K346" s="603"/>
      <c r="L346" s="600"/>
      <c r="M346" s="685">
        <f>IF(H346+L346&gt;$H346,$H346-H346,L346)</f>
        <v>0</v>
      </c>
      <c r="N346" s="604">
        <f>H346+M346</f>
        <v>50</v>
      </c>
      <c r="O346" s="602">
        <f>(F346+N346)-1</f>
        <v>2058</v>
      </c>
      <c r="P346" s="605">
        <f>G346</f>
        <v>1560987912.9821267</v>
      </c>
      <c r="Q346" s="606">
        <v>0</v>
      </c>
      <c r="R346" s="606">
        <f>P346/N346</f>
        <v>31219758.259642534</v>
      </c>
      <c r="S346" s="607">
        <f t="shared" ref="S346:S353" si="288">F346</f>
        <v>2009</v>
      </c>
      <c r="T346" s="608">
        <v>1</v>
      </c>
      <c r="U346" s="615">
        <f t="shared" ref="U346:U353" si="289">R346*T346</f>
        <v>31219758.259642534</v>
      </c>
      <c r="V346" s="602">
        <f>F346</f>
        <v>2009</v>
      </c>
      <c r="W346" s="618">
        <f>IF(OR(AND(ISBLANK(E346),ISBLANK(G346)),ISTEXT(E346),ISTEXT(G346)),"",G346-R346)</f>
        <v>1529768154.7224841</v>
      </c>
      <c r="X346" s="609"/>
      <c r="Y346" s="449"/>
      <c r="Z346" s="449"/>
      <c r="AA346" s="694"/>
      <c r="AB346" s="692"/>
      <c r="AC346" s="692"/>
      <c r="AD346" s="695"/>
      <c r="AE346" s="452"/>
      <c r="AF346" s="571"/>
      <c r="AG346" s="452"/>
      <c r="AH346" s="452"/>
      <c r="AI346" s="453"/>
      <c r="AJ346" s="449"/>
      <c r="AK346" s="453"/>
      <c r="AL346" s="454"/>
      <c r="AM346" s="455"/>
      <c r="AN346" s="456"/>
      <c r="AO346" s="455"/>
      <c r="AP346" s="452"/>
      <c r="AQ346" s="457"/>
      <c r="AR346" s="449"/>
      <c r="AS346" s="449"/>
      <c r="AT346" s="452"/>
      <c r="AU346" s="457"/>
      <c r="AV346" s="449"/>
      <c r="AW346" s="458"/>
      <c r="AX346" s="452"/>
      <c r="AY346" s="457"/>
      <c r="AZ346" s="449"/>
      <c r="BA346" s="459"/>
      <c r="BB346" s="455"/>
      <c r="BC346" s="460"/>
      <c r="BD346" s="460"/>
      <c r="BG346" s="462"/>
    </row>
    <row r="347" spans="1:59" s="461" customFormat="1" ht="18" customHeight="1" x14ac:dyDescent="0.2">
      <c r="A347" s="461" t="str">
        <f t="shared" ref="A347:A354" si="290">$D$342&amp;S347</f>
        <v>RUMAH DINAS KETUA DAN WAKIL KETUA DPRD2010</v>
      </c>
      <c r="B347" s="708"/>
      <c r="C347" s="489"/>
      <c r="D347" s="489"/>
      <c r="E347" s="558"/>
      <c r="F347" s="559">
        <v>2010</v>
      </c>
      <c r="G347" s="619">
        <v>0</v>
      </c>
      <c r="H347" s="464">
        <f t="shared" ref="H347:H353" si="291">IF(N346-(F347-F346)&lt;=0,0,(N346-(F347-F346)))</f>
        <v>49</v>
      </c>
      <c r="I347" s="560"/>
      <c r="J347" s="468">
        <f t="shared" ref="J347:J353" si="292">(F347+N347)-1</f>
        <v>2058</v>
      </c>
      <c r="K347" s="490">
        <f t="shared" ref="K347:K353" si="293">IF(G347=0,0,IF(H347=50,100%,G347/W346))</f>
        <v>0</v>
      </c>
      <c r="L347" s="469">
        <f>IF(K347=0%,0,IF(K347&lt;=25%,5,IF(K347&lt;=50%,10,IF(K347&lt;=75%,15,50))))</f>
        <v>0</v>
      </c>
      <c r="M347" s="683">
        <f t="shared" ref="M347:M353" si="294">IF(OR(AND(ISBLANK(E347),ISBLANK(G347)),ISTEXT(E347),ISTEXT(G347)),"",IF(H347+L347&gt;$H$27,$H$27-H347,L347))</f>
        <v>0</v>
      </c>
      <c r="N347" s="470">
        <f t="shared" ref="N347:N353" si="295">IF(OR(AND(ISBLANK(F347),ISBLANK(G347)),ISTEXT(F347),ISTEXT(G347)),"",H347+M347)</f>
        <v>49</v>
      </c>
      <c r="O347" s="468">
        <f t="shared" ref="O347:O353" si="296">(F347+N347)-1</f>
        <v>2058</v>
      </c>
      <c r="P347" s="471">
        <f>W346</f>
        <v>1529768154.7224841</v>
      </c>
      <c r="Q347" s="472">
        <f t="shared" ref="Q347:Q353" si="297">P347+G347</f>
        <v>1529768154.7224841</v>
      </c>
      <c r="R347" s="472">
        <f>IF(L347=0,R346,Q347/N347)</f>
        <v>31219758.259642534</v>
      </c>
      <c r="S347" s="842">
        <f t="shared" si="288"/>
        <v>2010</v>
      </c>
      <c r="T347" s="470">
        <f>S347-S346</f>
        <v>1</v>
      </c>
      <c r="U347" s="612">
        <f t="shared" si="289"/>
        <v>31219758.259642534</v>
      </c>
      <c r="V347" s="464">
        <f t="shared" ref="V347:V353" si="298">F347</f>
        <v>2010</v>
      </c>
      <c r="W347" s="612">
        <f t="shared" ref="W347:W353" si="299">IF(OR(AND(ISBLANK(E347),ISBLANK(G347)),ISTEXT(E347),ISTEXT(G347)),"",Q347-U347)</f>
        <v>1498548396.4628415</v>
      </c>
      <c r="X347" s="561"/>
      <c r="Y347" s="449"/>
      <c r="Z347" s="449"/>
      <c r="AA347" s="554" t="s">
        <v>4179</v>
      </c>
      <c r="AB347" s="452"/>
      <c r="AC347" s="452"/>
      <c r="AD347" s="566"/>
      <c r="AE347" s="452"/>
      <c r="AF347" s="571"/>
      <c r="AG347" s="452"/>
      <c r="AH347" s="452"/>
      <c r="AI347" s="453"/>
      <c r="AJ347" s="449"/>
      <c r="AK347" s="453"/>
      <c r="AL347" s="454"/>
      <c r="AM347" s="455"/>
      <c r="AN347" s="456"/>
      <c r="AO347" s="455"/>
      <c r="AP347" s="452"/>
      <c r="AQ347" s="457"/>
      <c r="AR347" s="449"/>
      <c r="AS347" s="449"/>
      <c r="AT347" s="452"/>
      <c r="AU347" s="457"/>
      <c r="AV347" s="449"/>
      <c r="AW347" s="458"/>
      <c r="AX347" s="452"/>
      <c r="AY347" s="457"/>
      <c r="AZ347" s="449"/>
      <c r="BA347" s="459"/>
      <c r="BB347" s="455"/>
      <c r="BC347" s="460"/>
      <c r="BD347" s="460"/>
      <c r="BG347" s="462"/>
    </row>
    <row r="348" spans="1:59" s="461" customFormat="1" ht="18" customHeight="1" x14ac:dyDescent="0.2">
      <c r="A348" s="461" t="str">
        <f t="shared" si="290"/>
        <v>RUMAH DINAS KETUA DAN WAKIL KETUA DPRD2013</v>
      </c>
      <c r="B348" s="708"/>
      <c r="C348" s="489"/>
      <c r="D348" s="489"/>
      <c r="E348" s="558"/>
      <c r="F348" s="559">
        <v>2013</v>
      </c>
      <c r="G348" s="619">
        <v>0</v>
      </c>
      <c r="H348" s="464">
        <f t="shared" si="291"/>
        <v>46</v>
      </c>
      <c r="I348" s="560"/>
      <c r="J348" s="468">
        <f t="shared" si="292"/>
        <v>2058</v>
      </c>
      <c r="K348" s="490">
        <f t="shared" si="293"/>
        <v>0</v>
      </c>
      <c r="L348" s="469">
        <f t="shared" ref="L348:L353" si="300">IF(K348=0%,0,IF(K348&lt;=25%,5,IF(K348&lt;=50%,10,IF(K348&lt;=75%,15,50))))</f>
        <v>0</v>
      </c>
      <c r="M348" s="683">
        <f t="shared" si="294"/>
        <v>0</v>
      </c>
      <c r="N348" s="470">
        <f t="shared" si="295"/>
        <v>46</v>
      </c>
      <c r="O348" s="468">
        <f t="shared" si="296"/>
        <v>2058</v>
      </c>
      <c r="P348" s="471">
        <f t="shared" ref="P348:P353" si="301">W347</f>
        <v>1498548396.4628415</v>
      </c>
      <c r="Q348" s="472">
        <f t="shared" si="297"/>
        <v>1498548396.4628415</v>
      </c>
      <c r="R348" s="472">
        <f t="shared" ref="R348:R353" si="302">IF(L348=0,R347,Q348/N348)</f>
        <v>31219758.259642534</v>
      </c>
      <c r="S348" s="842">
        <f t="shared" si="288"/>
        <v>2013</v>
      </c>
      <c r="T348" s="470">
        <f t="shared" ref="T348:T353" si="303">S348-S347</f>
        <v>3</v>
      </c>
      <c r="U348" s="612">
        <f t="shared" si="289"/>
        <v>93659274.778927594</v>
      </c>
      <c r="V348" s="464">
        <f t="shared" si="298"/>
        <v>2013</v>
      </c>
      <c r="W348" s="612">
        <f t="shared" si="299"/>
        <v>1404889121.6839139</v>
      </c>
      <c r="X348" s="561"/>
      <c r="Y348" s="449"/>
      <c r="Z348" s="449"/>
      <c r="AA348" s="554"/>
      <c r="AB348" s="452"/>
      <c r="AC348" s="452"/>
      <c r="AD348" s="566"/>
      <c r="AE348" s="452"/>
      <c r="AF348" s="571"/>
      <c r="AG348" s="452"/>
      <c r="AH348" s="452"/>
      <c r="AI348" s="453"/>
      <c r="AJ348" s="449"/>
      <c r="AK348" s="453"/>
      <c r="AL348" s="454"/>
      <c r="AM348" s="455"/>
      <c r="AN348" s="456"/>
      <c r="AO348" s="455"/>
      <c r="AP348" s="452"/>
      <c r="AQ348" s="457"/>
      <c r="AR348" s="449"/>
      <c r="AS348" s="449"/>
      <c r="AT348" s="452"/>
      <c r="AU348" s="457"/>
      <c r="AV348" s="449"/>
      <c r="AW348" s="458"/>
      <c r="AX348" s="452"/>
      <c r="AY348" s="457"/>
      <c r="AZ348" s="449"/>
      <c r="BA348" s="459"/>
      <c r="BB348" s="455"/>
      <c r="BC348" s="460"/>
      <c r="BD348" s="460"/>
      <c r="BG348" s="462"/>
    </row>
    <row r="349" spans="1:59" s="461" customFormat="1" ht="18" customHeight="1" x14ac:dyDescent="0.2">
      <c r="A349" s="461" t="str">
        <f t="shared" si="290"/>
        <v>RUMAH DINAS KETUA DAN WAKIL KETUA DPRD2014</v>
      </c>
      <c r="B349" s="708"/>
      <c r="C349" s="489"/>
      <c r="D349" s="489"/>
      <c r="E349" s="558"/>
      <c r="F349" s="559">
        <v>2014</v>
      </c>
      <c r="G349" s="619">
        <v>0</v>
      </c>
      <c r="H349" s="464">
        <f t="shared" si="291"/>
        <v>45</v>
      </c>
      <c r="I349" s="560"/>
      <c r="J349" s="468">
        <f t="shared" si="292"/>
        <v>2058</v>
      </c>
      <c r="K349" s="490">
        <f t="shared" si="293"/>
        <v>0</v>
      </c>
      <c r="L349" s="469">
        <f t="shared" si="300"/>
        <v>0</v>
      </c>
      <c r="M349" s="683">
        <f t="shared" si="294"/>
        <v>0</v>
      </c>
      <c r="N349" s="470">
        <f t="shared" si="295"/>
        <v>45</v>
      </c>
      <c r="O349" s="468">
        <f t="shared" si="296"/>
        <v>2058</v>
      </c>
      <c r="P349" s="471">
        <f t="shared" si="301"/>
        <v>1404889121.6839139</v>
      </c>
      <c r="Q349" s="472">
        <f t="shared" si="297"/>
        <v>1404889121.6839139</v>
      </c>
      <c r="R349" s="472">
        <f t="shared" si="302"/>
        <v>31219758.259642534</v>
      </c>
      <c r="S349" s="842">
        <f t="shared" si="288"/>
        <v>2014</v>
      </c>
      <c r="T349" s="470">
        <f t="shared" si="303"/>
        <v>1</v>
      </c>
      <c r="U349" s="612">
        <f t="shared" si="289"/>
        <v>31219758.259642534</v>
      </c>
      <c r="V349" s="464">
        <f t="shared" si="298"/>
        <v>2014</v>
      </c>
      <c r="W349" s="612">
        <f t="shared" si="299"/>
        <v>1373669363.4242713</v>
      </c>
      <c r="X349" s="561"/>
      <c r="Y349" s="449"/>
      <c r="Z349" s="449"/>
      <c r="AA349" s="475" t="s">
        <v>4180</v>
      </c>
      <c r="AB349" s="476"/>
      <c r="AC349" s="476"/>
      <c r="AD349" s="567">
        <f>G356</f>
        <v>1763256912.9821267</v>
      </c>
      <c r="AE349" s="452"/>
      <c r="AF349" s="571"/>
      <c r="AG349" s="452"/>
      <c r="AH349" s="452"/>
      <c r="AI349" s="453"/>
      <c r="AJ349" s="449"/>
      <c r="AK349" s="453"/>
      <c r="AL349" s="454"/>
      <c r="AM349" s="455"/>
      <c r="AN349" s="456"/>
      <c r="AO349" s="455"/>
      <c r="AP349" s="452"/>
      <c r="AQ349" s="457"/>
      <c r="AR349" s="449"/>
      <c r="AS349" s="449"/>
      <c r="AT349" s="452"/>
      <c r="AU349" s="457"/>
      <c r="AV349" s="449"/>
      <c r="AW349" s="458"/>
      <c r="AX349" s="452"/>
      <c r="AY349" s="457"/>
      <c r="AZ349" s="449"/>
      <c r="BA349" s="459"/>
      <c r="BB349" s="455"/>
      <c r="BC349" s="460"/>
      <c r="BD349" s="460"/>
      <c r="BG349" s="462"/>
    </row>
    <row r="350" spans="1:59" s="461" customFormat="1" ht="18" customHeight="1" x14ac:dyDescent="0.2">
      <c r="A350" s="461" t="str">
        <f t="shared" si="290"/>
        <v>RUMAH DINAS KETUA DAN WAKIL KETUA DPRD2015</v>
      </c>
      <c r="B350" s="708"/>
      <c r="C350" s="489"/>
      <c r="D350" s="489"/>
      <c r="E350" s="558"/>
      <c r="F350" s="559">
        <v>2015</v>
      </c>
      <c r="G350" s="619">
        <v>0</v>
      </c>
      <c r="H350" s="464">
        <f t="shared" si="291"/>
        <v>44</v>
      </c>
      <c r="I350" s="560"/>
      <c r="J350" s="468">
        <f t="shared" si="292"/>
        <v>2058</v>
      </c>
      <c r="K350" s="490">
        <f t="shared" si="293"/>
        <v>0</v>
      </c>
      <c r="L350" s="469">
        <f t="shared" si="300"/>
        <v>0</v>
      </c>
      <c r="M350" s="683">
        <f t="shared" si="294"/>
        <v>0</v>
      </c>
      <c r="N350" s="470">
        <f t="shared" si="295"/>
        <v>44</v>
      </c>
      <c r="O350" s="468">
        <f t="shared" si="296"/>
        <v>2058</v>
      </c>
      <c r="P350" s="471">
        <f t="shared" si="301"/>
        <v>1373669363.4242713</v>
      </c>
      <c r="Q350" s="472">
        <f t="shared" si="297"/>
        <v>1373669363.4242713</v>
      </c>
      <c r="R350" s="472">
        <f t="shared" si="302"/>
        <v>31219758.259642534</v>
      </c>
      <c r="S350" s="842">
        <f t="shared" si="288"/>
        <v>2015</v>
      </c>
      <c r="T350" s="470">
        <f t="shared" si="303"/>
        <v>1</v>
      </c>
      <c r="U350" s="612">
        <f t="shared" si="289"/>
        <v>31219758.259642534</v>
      </c>
      <c r="V350" s="464">
        <f t="shared" si="298"/>
        <v>2015</v>
      </c>
      <c r="W350" s="612">
        <f t="shared" si="299"/>
        <v>1342449605.1646287</v>
      </c>
      <c r="X350" s="561"/>
      <c r="Y350" s="449"/>
      <c r="Z350" s="449"/>
      <c r="AA350" s="475" t="s">
        <v>4181</v>
      </c>
      <c r="AB350" s="491"/>
      <c r="AC350" s="491"/>
      <c r="AD350" s="567">
        <f>U356</f>
        <v>346364375.4540543</v>
      </c>
      <c r="AE350" s="452"/>
      <c r="AF350" s="571"/>
      <c r="AG350" s="452"/>
      <c r="AH350" s="452"/>
      <c r="AI350" s="453"/>
      <c r="AJ350" s="449"/>
      <c r="AK350" s="453"/>
      <c r="AL350" s="454"/>
      <c r="AM350" s="455"/>
      <c r="AN350" s="456"/>
      <c r="AO350" s="455"/>
      <c r="AP350" s="452"/>
      <c r="AQ350" s="457"/>
      <c r="AR350" s="449"/>
      <c r="AS350" s="449"/>
      <c r="AT350" s="452"/>
      <c r="AU350" s="457"/>
      <c r="AV350" s="449"/>
      <c r="AW350" s="458"/>
      <c r="AX350" s="452"/>
      <c r="AY350" s="457"/>
      <c r="AZ350" s="449"/>
      <c r="BA350" s="459"/>
      <c r="BB350" s="455"/>
      <c r="BC350" s="460"/>
      <c r="BD350" s="460"/>
      <c r="BG350" s="462"/>
    </row>
    <row r="351" spans="1:59" s="461" customFormat="1" ht="18" customHeight="1" x14ac:dyDescent="0.2">
      <c r="A351" s="461" t="str">
        <f t="shared" si="290"/>
        <v>RUMAH DINAS KETUA DAN WAKIL KETUA DPRD2016</v>
      </c>
      <c r="B351" s="708"/>
      <c r="C351" s="489"/>
      <c r="D351" s="489"/>
      <c r="E351" s="558"/>
      <c r="F351" s="559">
        <v>2016</v>
      </c>
      <c r="G351" s="619">
        <v>0</v>
      </c>
      <c r="H351" s="464">
        <f t="shared" si="291"/>
        <v>43</v>
      </c>
      <c r="I351" s="560"/>
      <c r="J351" s="468">
        <f t="shared" si="292"/>
        <v>2058</v>
      </c>
      <c r="K351" s="490">
        <f t="shared" si="293"/>
        <v>0</v>
      </c>
      <c r="L351" s="469">
        <f t="shared" si="300"/>
        <v>0</v>
      </c>
      <c r="M351" s="683">
        <f t="shared" si="294"/>
        <v>0</v>
      </c>
      <c r="N351" s="470">
        <f t="shared" si="295"/>
        <v>43</v>
      </c>
      <c r="O351" s="468">
        <f t="shared" si="296"/>
        <v>2058</v>
      </c>
      <c r="P351" s="471">
        <f t="shared" si="301"/>
        <v>1342449605.1646287</v>
      </c>
      <c r="Q351" s="472">
        <f t="shared" si="297"/>
        <v>1342449605.1646287</v>
      </c>
      <c r="R351" s="472">
        <f t="shared" si="302"/>
        <v>31219758.259642534</v>
      </c>
      <c r="S351" s="842">
        <f t="shared" si="288"/>
        <v>2016</v>
      </c>
      <c r="T351" s="470">
        <f t="shared" si="303"/>
        <v>1</v>
      </c>
      <c r="U351" s="612">
        <f t="shared" si="289"/>
        <v>31219758.259642534</v>
      </c>
      <c r="V351" s="464">
        <f t="shared" si="298"/>
        <v>2016</v>
      </c>
      <c r="W351" s="612">
        <f t="shared" si="299"/>
        <v>1311229846.9049861</v>
      </c>
      <c r="X351" s="561"/>
      <c r="Y351" s="449"/>
      <c r="Z351" s="449"/>
      <c r="AA351" s="492" t="s">
        <v>4182</v>
      </c>
      <c r="AB351" s="476"/>
      <c r="AC351" s="476"/>
      <c r="AD351" s="568">
        <f>AD349-AD350</f>
        <v>1416892537.5280724</v>
      </c>
      <c r="AE351" s="452"/>
      <c r="AF351" s="571"/>
      <c r="AG351" s="452"/>
      <c r="AH351" s="452"/>
      <c r="AI351" s="453"/>
      <c r="AJ351" s="449"/>
      <c r="AK351" s="453"/>
      <c r="AL351" s="454"/>
      <c r="AM351" s="455"/>
      <c r="AN351" s="456"/>
      <c r="AO351" s="455"/>
      <c r="AP351" s="452"/>
      <c r="AQ351" s="457"/>
      <c r="AR351" s="449"/>
      <c r="AS351" s="449"/>
      <c r="AT351" s="452"/>
      <c r="AU351" s="457"/>
      <c r="AV351" s="449"/>
      <c r="AW351" s="458"/>
      <c r="AX351" s="452"/>
      <c r="AY351" s="457"/>
      <c r="AZ351" s="449"/>
      <c r="BA351" s="459"/>
      <c r="BB351" s="455"/>
      <c r="BC351" s="460"/>
      <c r="BD351" s="460"/>
      <c r="BG351" s="462"/>
    </row>
    <row r="352" spans="1:59" s="461" customFormat="1" ht="18" customHeight="1" x14ac:dyDescent="0.2">
      <c r="A352" s="461" t="str">
        <f t="shared" si="290"/>
        <v>RUMAH DINAS KETUA DAN WAKIL KETUA DPRD2017</v>
      </c>
      <c r="B352" s="708">
        <v>2</v>
      </c>
      <c r="C352" s="489" t="s">
        <v>2996</v>
      </c>
      <c r="D352" s="489" t="s">
        <v>1752</v>
      </c>
      <c r="E352" s="558"/>
      <c r="F352" s="559">
        <v>2017</v>
      </c>
      <c r="G352" s="619">
        <v>202269000</v>
      </c>
      <c r="H352" s="464">
        <f t="shared" si="291"/>
        <v>42</v>
      </c>
      <c r="I352" s="560"/>
      <c r="J352" s="468">
        <f t="shared" si="292"/>
        <v>2063</v>
      </c>
      <c r="K352" s="490">
        <f t="shared" si="293"/>
        <v>0.15425899622208397</v>
      </c>
      <c r="L352" s="469">
        <f t="shared" si="300"/>
        <v>5</v>
      </c>
      <c r="M352" s="683">
        <f t="shared" si="294"/>
        <v>5</v>
      </c>
      <c r="N352" s="470">
        <f t="shared" si="295"/>
        <v>47</v>
      </c>
      <c r="O352" s="468">
        <f t="shared" si="296"/>
        <v>2063</v>
      </c>
      <c r="P352" s="471">
        <f t="shared" si="301"/>
        <v>1311229846.9049861</v>
      </c>
      <c r="Q352" s="472">
        <f t="shared" si="297"/>
        <v>1513498846.9049861</v>
      </c>
      <c r="R352" s="472">
        <f t="shared" si="302"/>
        <v>32202103.125638004</v>
      </c>
      <c r="S352" s="842">
        <f t="shared" si="288"/>
        <v>2017</v>
      </c>
      <c r="T352" s="470">
        <f t="shared" si="303"/>
        <v>1</v>
      </c>
      <c r="U352" s="612">
        <f t="shared" si="289"/>
        <v>32202103.125638004</v>
      </c>
      <c r="V352" s="464">
        <f t="shared" si="298"/>
        <v>2017</v>
      </c>
      <c r="W352" s="612">
        <f t="shared" si="299"/>
        <v>1481296743.7793481</v>
      </c>
      <c r="X352" s="561"/>
      <c r="Y352" s="449"/>
      <c r="Z352" s="449"/>
      <c r="AA352" s="475" t="s">
        <v>4183</v>
      </c>
      <c r="AB352" s="476"/>
      <c r="AC352" s="476"/>
      <c r="AD352" s="567">
        <f>AD351-W356</f>
        <v>0</v>
      </c>
      <c r="AE352" s="452"/>
      <c r="AF352" s="571"/>
      <c r="AG352" s="452"/>
      <c r="AH352" s="452"/>
      <c r="AI352" s="453"/>
      <c r="AJ352" s="449"/>
      <c r="AK352" s="453"/>
      <c r="AL352" s="454"/>
      <c r="AM352" s="455"/>
      <c r="AN352" s="456"/>
      <c r="AO352" s="455"/>
      <c r="AP352" s="452"/>
      <c r="AQ352" s="457"/>
      <c r="AR352" s="449"/>
      <c r="AS352" s="449"/>
      <c r="AT352" s="452"/>
      <c r="AU352" s="457"/>
      <c r="AV352" s="449"/>
      <c r="AW352" s="458"/>
      <c r="AX352" s="452"/>
      <c r="AY352" s="457"/>
      <c r="AZ352" s="449"/>
      <c r="BA352" s="459"/>
      <c r="BB352" s="455"/>
      <c r="BC352" s="460"/>
      <c r="BD352" s="460"/>
      <c r="BG352" s="462"/>
    </row>
    <row r="353" spans="1:59" s="486" customFormat="1" ht="18" customHeight="1" x14ac:dyDescent="0.2">
      <c r="A353" s="461" t="str">
        <f t="shared" si="290"/>
        <v>RUMAH DINAS KETUA DAN WAKIL KETUA DPRD2018</v>
      </c>
      <c r="B353" s="708"/>
      <c r="C353" s="463"/>
      <c r="D353" s="489"/>
      <c r="E353" s="465"/>
      <c r="F353" s="559">
        <v>2018</v>
      </c>
      <c r="G353" s="619">
        <v>0</v>
      </c>
      <c r="H353" s="464">
        <f t="shared" si="291"/>
        <v>46</v>
      </c>
      <c r="I353" s="560"/>
      <c r="J353" s="468">
        <f t="shared" si="292"/>
        <v>2063</v>
      </c>
      <c r="K353" s="490">
        <f t="shared" si="293"/>
        <v>0</v>
      </c>
      <c r="L353" s="469">
        <f t="shared" si="300"/>
        <v>0</v>
      </c>
      <c r="M353" s="683">
        <f t="shared" si="294"/>
        <v>0</v>
      </c>
      <c r="N353" s="470">
        <f t="shared" si="295"/>
        <v>46</v>
      </c>
      <c r="O353" s="468">
        <f t="shared" si="296"/>
        <v>2063</v>
      </c>
      <c r="P353" s="471">
        <f t="shared" si="301"/>
        <v>1481296743.7793481</v>
      </c>
      <c r="Q353" s="472">
        <f t="shared" si="297"/>
        <v>1481296743.7793481</v>
      </c>
      <c r="R353" s="472">
        <f t="shared" si="302"/>
        <v>32202103.125638004</v>
      </c>
      <c r="S353" s="842">
        <f t="shared" si="288"/>
        <v>2018</v>
      </c>
      <c r="T353" s="470">
        <f t="shared" si="303"/>
        <v>1</v>
      </c>
      <c r="U353" s="612">
        <f t="shared" si="289"/>
        <v>32202103.125638004</v>
      </c>
      <c r="V353" s="464">
        <f t="shared" si="298"/>
        <v>2018</v>
      </c>
      <c r="W353" s="612">
        <f t="shared" si="299"/>
        <v>1449094640.6537101</v>
      </c>
      <c r="X353" s="561"/>
      <c r="Y353" s="474"/>
      <c r="Z353" s="449"/>
      <c r="AA353" s="495"/>
      <c r="AB353" s="496"/>
      <c r="AC353" s="496"/>
      <c r="AD353" s="569"/>
      <c r="AE353" s="476"/>
      <c r="AF353" s="568"/>
      <c r="AG353" s="476"/>
      <c r="AH353" s="476"/>
      <c r="AI353" s="477"/>
      <c r="AJ353" s="478"/>
      <c r="AK353" s="479"/>
      <c r="AL353" s="480"/>
      <c r="AM353" s="474"/>
      <c r="AN353" s="481"/>
      <c r="AO353" s="474"/>
      <c r="AP353" s="476"/>
      <c r="AQ353" s="482"/>
      <c r="AR353" s="478"/>
      <c r="AS353" s="478"/>
      <c r="AT353" s="476"/>
      <c r="AU353" s="482"/>
      <c r="AV353" s="478"/>
      <c r="AW353" s="483"/>
      <c r="AX353" s="476"/>
      <c r="AY353" s="482"/>
      <c r="AZ353" s="478"/>
      <c r="BA353" s="484"/>
      <c r="BB353" s="474"/>
      <c r="BC353" s="485"/>
      <c r="BD353" s="485"/>
      <c r="BG353" s="487"/>
    </row>
    <row r="354" spans="1:59" s="486" customFormat="1" ht="18" customHeight="1" x14ac:dyDescent="0.2">
      <c r="A354" s="461" t="str">
        <f t="shared" si="290"/>
        <v>RUMAH DINAS KETUA DAN WAKIL KETUA DPRD2019</v>
      </c>
      <c r="B354" s="708"/>
      <c r="C354" s="488"/>
      <c r="D354" s="489"/>
      <c r="E354" s="465"/>
      <c r="F354" s="466">
        <v>2019</v>
      </c>
      <c r="G354" s="619">
        <v>0</v>
      </c>
      <c r="H354" s="464">
        <f>IF(N353-(F354-F353)&lt;=0,0,(N353-(F354-F353)))</f>
        <v>45</v>
      </c>
      <c r="I354" s="560"/>
      <c r="J354" s="468">
        <f>(F354+N354)-1</f>
        <v>2063</v>
      </c>
      <c r="K354" s="490">
        <f>IF(G354=0,0,IF(H354=50,100%,G354/W353))</f>
        <v>0</v>
      </c>
      <c r="L354" s="469">
        <f>IF(K354=0%,0,IF(K354&lt;=25%,5,IF(K354&lt;=50%,10,IF(K354&lt;=75%,15,50))))</f>
        <v>0</v>
      </c>
      <c r="M354" s="683">
        <f>IF(OR(AND(ISBLANK(E354),ISBLANK(G354)),ISTEXT(E354),ISTEXT(G354)),"",IF(H354+L354&gt;$H$27,$H$27-H354,L354))</f>
        <v>0</v>
      </c>
      <c r="N354" s="470">
        <f>IF(OR(AND(ISBLANK(F354),ISBLANK(G354)),ISTEXT(F354),ISTEXT(G354)),"",H354+M354)</f>
        <v>45</v>
      </c>
      <c r="O354" s="468">
        <f>(F354+N354)-1</f>
        <v>2063</v>
      </c>
      <c r="P354" s="471">
        <f>W353</f>
        <v>1449094640.6537101</v>
      </c>
      <c r="Q354" s="472">
        <f>P354+G354</f>
        <v>1449094640.6537101</v>
      </c>
      <c r="R354" s="472">
        <f>IF(L354=0,R353,Q354/N354)</f>
        <v>32202103.125638004</v>
      </c>
      <c r="S354" s="1189">
        <f>F354</f>
        <v>2019</v>
      </c>
      <c r="T354" s="470">
        <f>S354-S353</f>
        <v>1</v>
      </c>
      <c r="U354" s="612">
        <f>R354*T354</f>
        <v>32202103.125638004</v>
      </c>
      <c r="V354" s="464">
        <f>F354</f>
        <v>2019</v>
      </c>
      <c r="W354" s="612">
        <f>IF(OR(AND(ISBLANK(E354),ISBLANK(G354)),ISTEXT(E354),ISTEXT(G354)),"",Q354-U354)</f>
        <v>1416892537.5280721</v>
      </c>
      <c r="X354" s="473"/>
      <c r="Y354" s="478"/>
      <c r="Z354" s="449"/>
      <c r="AA354" s="699"/>
      <c r="AB354" s="700"/>
      <c r="AC354" s="700"/>
      <c r="AD354" s="701"/>
      <c r="AE354" s="491"/>
      <c r="AF354" s="568"/>
      <c r="AG354" s="491"/>
      <c r="AH354" s="491"/>
      <c r="AI354" s="477"/>
      <c r="AJ354" s="478"/>
      <c r="AK354" s="479"/>
      <c r="AL354" s="480"/>
      <c r="AM354" s="474"/>
      <c r="AN354" s="481"/>
      <c r="AO354" s="474"/>
      <c r="AP354" s="476"/>
      <c r="AQ354" s="482"/>
      <c r="AR354" s="478"/>
      <c r="AS354" s="478"/>
      <c r="AT354" s="476"/>
      <c r="AU354" s="482"/>
      <c r="AV354" s="478"/>
      <c r="AW354" s="483"/>
      <c r="AX354" s="476"/>
      <c r="AY354" s="482"/>
      <c r="AZ354" s="478"/>
      <c r="BA354" s="484"/>
      <c r="BB354" s="474"/>
      <c r="BC354" s="485"/>
      <c r="BD354" s="485"/>
      <c r="BG354" s="487"/>
    </row>
    <row r="355" spans="1:59" s="486" customFormat="1" ht="18" customHeight="1" x14ac:dyDescent="0.2">
      <c r="B355" s="687"/>
      <c r="C355" s="494"/>
      <c r="D355" s="464"/>
      <c r="E355" s="465"/>
      <c r="F355" s="466"/>
      <c r="G355" s="620"/>
      <c r="H355" s="464"/>
      <c r="I355" s="467"/>
      <c r="J355" s="468"/>
      <c r="K355" s="490"/>
      <c r="L355" s="469"/>
      <c r="M355" s="683"/>
      <c r="N355" s="470"/>
      <c r="O355" s="468"/>
      <c r="P355" s="471"/>
      <c r="Q355" s="472"/>
      <c r="R355" s="472"/>
      <c r="S355" s="842"/>
      <c r="T355" s="470"/>
      <c r="U355" s="612"/>
      <c r="V355" s="464"/>
      <c r="W355" s="612"/>
      <c r="X355" s="473"/>
      <c r="Y355" s="478"/>
      <c r="Z355" s="449"/>
      <c r="AA355" s="497"/>
      <c r="AB355" s="476"/>
      <c r="AC355" s="476"/>
      <c r="AD355" s="568"/>
      <c r="AE355" s="476"/>
      <c r="AF355" s="568"/>
      <c r="AG355" s="476"/>
      <c r="AH355" s="476"/>
      <c r="AI355" s="477"/>
      <c r="AJ355" s="478"/>
      <c r="AK355" s="479"/>
      <c r="AL355" s="480"/>
      <c r="AM355" s="474"/>
      <c r="AN355" s="481"/>
      <c r="AO355" s="474"/>
      <c r="AP355" s="476"/>
      <c r="AQ355" s="482"/>
      <c r="AR355" s="478"/>
      <c r="AS355" s="478"/>
      <c r="AT355" s="476"/>
      <c r="AU355" s="482"/>
      <c r="AV355" s="478"/>
      <c r="AW355" s="483"/>
      <c r="AX355" s="476"/>
      <c r="AY355" s="482"/>
      <c r="AZ355" s="478"/>
      <c r="BA355" s="484"/>
      <c r="BB355" s="474"/>
      <c r="BC355" s="485"/>
      <c r="BD355" s="485"/>
      <c r="BG355" s="487"/>
    </row>
    <row r="356" spans="1:59" s="526" customFormat="1" ht="18" customHeight="1" x14ac:dyDescent="0.2">
      <c r="B356" s="1956" t="s">
        <v>4184</v>
      </c>
      <c r="C356" s="1957"/>
      <c r="D356" s="1957"/>
      <c r="E356" s="1957"/>
      <c r="F356" s="1958"/>
      <c r="G356" s="621">
        <f>SUM(G346:G355)</f>
        <v>1763256912.9821267</v>
      </c>
      <c r="H356" s="505"/>
      <c r="I356" s="506"/>
      <c r="J356" s="507"/>
      <c r="K356" s="507"/>
      <c r="L356" s="505"/>
      <c r="M356" s="684"/>
      <c r="N356" s="508"/>
      <c r="O356" s="507"/>
      <c r="P356" s="509"/>
      <c r="Q356" s="510"/>
      <c r="R356" s="511"/>
      <c r="S356" s="512"/>
      <c r="T356" s="512"/>
      <c r="U356" s="610">
        <f>SUM(U346:U355)</f>
        <v>346364375.4540543</v>
      </c>
      <c r="V356" s="513"/>
      <c r="W356" s="610">
        <f>G356-U356</f>
        <v>1416892537.5280724</v>
      </c>
      <c r="X356" s="514"/>
      <c r="Y356" s="515"/>
      <c r="Z356" s="515"/>
      <c r="AA356" s="515"/>
      <c r="AB356" s="515"/>
      <c r="AC356" s="515"/>
      <c r="AD356" s="570"/>
      <c r="AE356" s="515"/>
      <c r="AF356" s="570"/>
      <c r="AG356" s="515"/>
      <c r="AH356" s="515"/>
      <c r="AI356" s="516"/>
      <c r="AJ356" s="517"/>
      <c r="AK356" s="518"/>
      <c r="AL356" s="519"/>
      <c r="AM356" s="520"/>
      <c r="AN356" s="521"/>
      <c r="AO356" s="520"/>
      <c r="AP356" s="515"/>
      <c r="AQ356" s="522"/>
      <c r="AR356" s="517"/>
      <c r="AS356" s="517"/>
      <c r="AT356" s="515"/>
      <c r="AU356" s="522"/>
      <c r="AV356" s="517"/>
      <c r="AW356" s="523"/>
      <c r="AX356" s="515"/>
      <c r="AY356" s="522"/>
      <c r="AZ356" s="517"/>
      <c r="BA356" s="524"/>
      <c r="BB356" s="520"/>
      <c r="BC356" s="525"/>
      <c r="BD356" s="525"/>
      <c r="BG356" s="527"/>
    </row>
    <row r="357" spans="1:59" s="526" customFormat="1" ht="18" customHeight="1" x14ac:dyDescent="0.2">
      <c r="B357" s="741"/>
      <c r="C357" s="841"/>
      <c r="D357" s="841"/>
      <c r="E357" s="841"/>
      <c r="F357" s="585"/>
      <c r="G357" s="622"/>
      <c r="H357" s="586"/>
      <c r="I357" s="587"/>
      <c r="J357" s="588"/>
      <c r="K357" s="588"/>
      <c r="L357" s="586"/>
      <c r="M357" s="521"/>
      <c r="N357" s="589"/>
      <c r="O357" s="588"/>
      <c r="P357" s="590"/>
      <c r="Q357" s="591"/>
      <c r="R357" s="592"/>
      <c r="S357" s="593"/>
      <c r="T357" s="593"/>
      <c r="U357" s="570"/>
      <c r="V357" s="594"/>
      <c r="W357" s="570"/>
      <c r="X357" s="515"/>
      <c r="Y357" s="515"/>
      <c r="Z357" s="515"/>
      <c r="AA357" s="515"/>
      <c r="AB357" s="515"/>
      <c r="AC357" s="515"/>
      <c r="AD357" s="570"/>
      <c r="AE357" s="515"/>
      <c r="AF357" s="570"/>
      <c r="AG357" s="515"/>
      <c r="AH357" s="515"/>
      <c r="AI357" s="516"/>
      <c r="AJ357" s="517"/>
      <c r="AK357" s="518"/>
      <c r="AL357" s="519"/>
      <c r="AM357" s="520"/>
      <c r="AN357" s="521"/>
      <c r="AO357" s="520"/>
      <c r="AP357" s="515"/>
      <c r="AQ357" s="522"/>
      <c r="AR357" s="517"/>
      <c r="AS357" s="517"/>
      <c r="AT357" s="515"/>
      <c r="AU357" s="522"/>
      <c r="AV357" s="517"/>
      <c r="AW357" s="523"/>
      <c r="AX357" s="515"/>
      <c r="AY357" s="522"/>
      <c r="AZ357" s="517"/>
      <c r="BA357" s="524"/>
      <c r="BB357" s="520"/>
      <c r="BC357" s="525"/>
      <c r="BD357" s="525"/>
      <c r="BG357" s="527"/>
    </row>
    <row r="358" spans="1:59" s="526" customFormat="1" ht="18" customHeight="1" x14ac:dyDescent="0.2">
      <c r="B358" s="575"/>
      <c r="C358" s="585"/>
      <c r="D358" s="585"/>
      <c r="E358" s="585"/>
      <c r="F358" s="585"/>
      <c r="G358" s="622"/>
      <c r="H358" s="586"/>
      <c r="I358" s="587"/>
      <c r="J358" s="588"/>
      <c r="K358" s="588"/>
      <c r="L358" s="586"/>
      <c r="M358" s="521"/>
      <c r="N358" s="589"/>
      <c r="O358" s="588"/>
      <c r="P358" s="590"/>
      <c r="Q358" s="591"/>
      <c r="R358" s="592"/>
      <c r="S358" s="593"/>
      <c r="T358" s="593"/>
      <c r="U358" s="570"/>
      <c r="V358" s="594"/>
      <c r="W358" s="570"/>
      <c r="X358" s="515"/>
      <c r="Y358" s="515"/>
      <c r="Z358" s="515"/>
      <c r="AA358" s="515"/>
      <c r="AB358" s="515"/>
      <c r="AC358" s="515"/>
      <c r="AD358" s="570"/>
      <c r="AE358" s="515"/>
      <c r="AF358" s="570"/>
      <c r="AG358" s="515"/>
      <c r="AH358" s="515"/>
      <c r="AI358" s="516"/>
      <c r="AJ358" s="517"/>
      <c r="AK358" s="518"/>
      <c r="AL358" s="519"/>
      <c r="AM358" s="520"/>
      <c r="AN358" s="521"/>
      <c r="AO358" s="520"/>
      <c r="AP358" s="515"/>
      <c r="AQ358" s="522"/>
      <c r="AR358" s="517"/>
      <c r="AS358" s="517"/>
      <c r="AT358" s="515"/>
      <c r="AU358" s="522"/>
      <c r="AV358" s="517"/>
      <c r="AW358" s="523"/>
      <c r="AX358" s="515"/>
      <c r="AY358" s="522"/>
      <c r="AZ358" s="517"/>
      <c r="BA358" s="524"/>
      <c r="BB358" s="520"/>
      <c r="BC358" s="525"/>
      <c r="BD358" s="525"/>
      <c r="BG358" s="527"/>
    </row>
    <row r="359" spans="1:59" s="422" customFormat="1" ht="18" customHeight="1" x14ac:dyDescent="0.2">
      <c r="B359" s="688" t="s">
        <v>4222</v>
      </c>
      <c r="C359" s="556"/>
      <c r="D359" s="553" t="s">
        <v>4772</v>
      </c>
      <c r="E359" s="553"/>
      <c r="F359" s="421"/>
      <c r="G359" s="611"/>
      <c r="I359" s="423"/>
      <c r="J359" s="424"/>
      <c r="K359" s="424"/>
      <c r="M359" s="680"/>
      <c r="U359" s="611"/>
      <c r="W359" s="611"/>
      <c r="Y359" s="425"/>
      <c r="Z359" s="425"/>
      <c r="AA359" s="425"/>
      <c r="AB359" s="425"/>
      <c r="AC359" s="425"/>
      <c r="AD359" s="563"/>
      <c r="AE359" s="425"/>
      <c r="AF359" s="563"/>
      <c r="AG359" s="425"/>
      <c r="AH359" s="425"/>
      <c r="AI359" s="425"/>
      <c r="AJ359" s="425"/>
      <c r="AK359" s="425"/>
      <c r="AL359" s="425"/>
      <c r="AM359" s="425"/>
      <c r="AN359" s="425"/>
      <c r="AO359" s="425"/>
      <c r="AP359" s="425"/>
      <c r="AQ359" s="425"/>
      <c r="AR359" s="425"/>
      <c r="AS359" s="425"/>
      <c r="AT359" s="425"/>
      <c r="AU359" s="425"/>
      <c r="AV359" s="425"/>
      <c r="AW359" s="425"/>
      <c r="AX359" s="425"/>
      <c r="AY359" s="425"/>
      <c r="AZ359" s="425"/>
      <c r="BA359" s="425"/>
      <c r="BB359" s="425"/>
    </row>
    <row r="360" spans="1:59" s="431" customFormat="1" ht="18" customHeight="1" x14ac:dyDescent="0.2">
      <c r="B360" s="1968" t="s">
        <v>5</v>
      </c>
      <c r="C360" s="1968" t="s">
        <v>2280</v>
      </c>
      <c r="D360" s="1968" t="s">
        <v>4157</v>
      </c>
      <c r="E360" s="1968" t="s">
        <v>4158</v>
      </c>
      <c r="F360" s="1968"/>
      <c r="G360" s="1969" t="s">
        <v>4159</v>
      </c>
      <c r="H360" s="1355" t="s">
        <v>4160</v>
      </c>
      <c r="I360" s="1355"/>
      <c r="J360" s="1968" t="s">
        <v>4161</v>
      </c>
      <c r="K360" s="1964" t="s">
        <v>4162</v>
      </c>
      <c r="L360" s="1968" t="s">
        <v>4163</v>
      </c>
      <c r="M360" s="1971" t="s">
        <v>4164</v>
      </c>
      <c r="N360" s="1962" t="s">
        <v>4165</v>
      </c>
      <c r="O360" s="1968" t="s">
        <v>4166</v>
      </c>
      <c r="P360" s="1972" t="s">
        <v>4167</v>
      </c>
      <c r="Q360" s="1973"/>
      <c r="R360" s="840" t="s">
        <v>4168</v>
      </c>
      <c r="S360" s="1972" t="s">
        <v>4169</v>
      </c>
      <c r="T360" s="1974"/>
      <c r="U360" s="1973"/>
      <c r="V360" s="1975" t="s">
        <v>4170</v>
      </c>
      <c r="W360" s="1975"/>
      <c r="X360" s="1960" t="s">
        <v>4171</v>
      </c>
      <c r="Y360" s="1959"/>
      <c r="Z360" s="837"/>
      <c r="AA360" s="426"/>
      <c r="AB360" s="426"/>
      <c r="AC360" s="426"/>
      <c r="AD360" s="564"/>
      <c r="AE360" s="426"/>
      <c r="AF360" s="564"/>
      <c r="AG360" s="426"/>
      <c r="AH360" s="426"/>
      <c r="AI360" s="427"/>
      <c r="AJ360" s="427"/>
      <c r="AK360" s="427"/>
      <c r="AL360" s="427"/>
      <c r="AM360" s="428"/>
      <c r="AN360" s="427"/>
      <c r="AO360" s="427"/>
      <c r="AP360" s="426"/>
      <c r="AQ360" s="427"/>
      <c r="AR360" s="427"/>
      <c r="AS360" s="427"/>
      <c r="AT360" s="426"/>
      <c r="AU360" s="427"/>
      <c r="AV360" s="427"/>
      <c r="AW360" s="427"/>
      <c r="AX360" s="426"/>
      <c r="AY360" s="427"/>
      <c r="AZ360" s="427"/>
      <c r="BA360" s="427"/>
      <c r="BB360" s="429"/>
      <c r="BC360" s="430"/>
      <c r="BD360" s="430"/>
    </row>
    <row r="361" spans="1:59" s="431" customFormat="1" ht="18" customHeight="1" x14ac:dyDescent="0.2">
      <c r="B361" s="1968"/>
      <c r="C361" s="1968"/>
      <c r="D361" s="1968"/>
      <c r="E361" s="1968"/>
      <c r="F361" s="1968"/>
      <c r="G361" s="1969"/>
      <c r="H361" s="1355"/>
      <c r="I361" s="1355"/>
      <c r="J361" s="1968"/>
      <c r="K361" s="1970"/>
      <c r="L361" s="1968"/>
      <c r="M361" s="1971"/>
      <c r="N361" s="1963"/>
      <c r="O361" s="1968"/>
      <c r="P361" s="1960" t="s">
        <v>4172</v>
      </c>
      <c r="Q361" s="1960" t="s">
        <v>4173</v>
      </c>
      <c r="R361" s="1962" t="s">
        <v>4159</v>
      </c>
      <c r="S361" s="1962" t="s">
        <v>4174</v>
      </c>
      <c r="T361" s="1964" t="s">
        <v>4175</v>
      </c>
      <c r="U361" s="1966" t="s">
        <v>4159</v>
      </c>
      <c r="V361" s="1975"/>
      <c r="W361" s="1975"/>
      <c r="X361" s="1976"/>
      <c r="Y361" s="1959"/>
      <c r="Z361" s="837"/>
      <c r="AA361" s="426"/>
      <c r="AB361" s="426"/>
      <c r="AC361" s="426"/>
      <c r="AD361" s="564"/>
      <c r="AE361" s="426"/>
      <c r="AF361" s="564"/>
      <c r="AG361" s="426"/>
      <c r="AH361" s="426"/>
      <c r="AI361" s="427"/>
      <c r="AJ361" s="427"/>
      <c r="AK361" s="426"/>
      <c r="AL361" s="427"/>
      <c r="AM361" s="428"/>
      <c r="AN361" s="427"/>
      <c r="AO361" s="427"/>
      <c r="AP361" s="432"/>
      <c r="AQ361" s="427"/>
      <c r="AR361" s="427"/>
      <c r="AS361" s="427"/>
      <c r="AT361" s="432"/>
      <c r="AU361" s="427"/>
      <c r="AV361" s="427"/>
      <c r="AW361" s="427"/>
      <c r="AX361" s="432"/>
      <c r="AY361" s="427"/>
      <c r="AZ361" s="427"/>
      <c r="BA361" s="427"/>
      <c r="BB361" s="429"/>
      <c r="BC361" s="430"/>
      <c r="BD361" s="430"/>
    </row>
    <row r="362" spans="1:59" s="431" customFormat="1" ht="21.75" customHeight="1" x14ac:dyDescent="0.2">
      <c r="B362" s="1968"/>
      <c r="C362" s="1968"/>
      <c r="D362" s="1968"/>
      <c r="E362" s="433" t="s">
        <v>4176</v>
      </c>
      <c r="F362" s="434" t="s">
        <v>2288</v>
      </c>
      <c r="G362" s="1969"/>
      <c r="H362" s="1355" t="s">
        <v>2288</v>
      </c>
      <c r="I362" s="1355" t="s">
        <v>4177</v>
      </c>
      <c r="J362" s="1968"/>
      <c r="K362" s="1965"/>
      <c r="L362" s="435" t="s">
        <v>2288</v>
      </c>
      <c r="M362" s="681" t="s">
        <v>2288</v>
      </c>
      <c r="N362" s="838" t="s">
        <v>2288</v>
      </c>
      <c r="O362" s="1968"/>
      <c r="P362" s="1961"/>
      <c r="Q362" s="1961"/>
      <c r="R362" s="1963"/>
      <c r="S362" s="1963"/>
      <c r="T362" s="1965"/>
      <c r="U362" s="1967"/>
      <c r="V362" s="838" t="s">
        <v>4178</v>
      </c>
      <c r="W362" s="839" t="s">
        <v>4159</v>
      </c>
      <c r="X362" s="1961"/>
      <c r="Y362" s="436"/>
      <c r="Z362" s="436"/>
      <c r="AA362" s="426"/>
      <c r="AB362" s="426"/>
      <c r="AC362" s="426"/>
      <c r="AD362" s="564"/>
      <c r="AE362" s="426"/>
      <c r="AF362" s="564"/>
      <c r="AG362" s="426"/>
      <c r="AH362" s="426"/>
      <c r="AI362" s="427"/>
      <c r="AJ362" s="432"/>
      <c r="AK362" s="432"/>
      <c r="AL362" s="427"/>
      <c r="AM362" s="428"/>
      <c r="AN362" s="432"/>
      <c r="AO362" s="427"/>
      <c r="AP362" s="432"/>
      <c r="AQ362" s="432"/>
      <c r="AR362" s="427"/>
      <c r="AS362" s="427"/>
      <c r="AT362" s="432"/>
      <c r="AU362" s="432"/>
      <c r="AV362" s="427"/>
      <c r="AW362" s="427"/>
      <c r="AX362" s="432"/>
      <c r="AY362" s="432"/>
      <c r="AZ362" s="427"/>
      <c r="BA362" s="427"/>
      <c r="BB362" s="429"/>
      <c r="BC362" s="430"/>
      <c r="BD362" s="430"/>
    </row>
    <row r="363" spans="1:59" s="461" customFormat="1" ht="18" customHeight="1" x14ac:dyDescent="0.2">
      <c r="A363" s="461" t="str">
        <f>$D$359&amp;S363</f>
        <v>RUMAH DINAS WAKIL KETUA I DPRD2009</v>
      </c>
      <c r="B363" s="689">
        <v>1</v>
      </c>
      <c r="C363" s="597" t="s">
        <v>4770</v>
      </c>
      <c r="D363" s="597" t="s">
        <v>1752</v>
      </c>
      <c r="E363" s="598"/>
      <c r="F363" s="599">
        <v>2009</v>
      </c>
      <c r="G363" s="626">
        <v>973527940.28201914</v>
      </c>
      <c r="H363" s="600">
        <f>VLOOKUP(LEFT(D363,8),UE,4)</f>
        <v>50</v>
      </c>
      <c r="I363" s="601"/>
      <c r="J363" s="602">
        <f>(F363+N363)-1</f>
        <v>2058</v>
      </c>
      <c r="K363" s="603"/>
      <c r="L363" s="600"/>
      <c r="M363" s="685">
        <f>IF(H363+L363&gt;$H363,$H363-H363,L363)</f>
        <v>0</v>
      </c>
      <c r="N363" s="604">
        <f>H363+M363</f>
        <v>50</v>
      </c>
      <c r="O363" s="602">
        <f>(F363+N363)-1</f>
        <v>2058</v>
      </c>
      <c r="P363" s="605">
        <f>G363</f>
        <v>973527940.28201914</v>
      </c>
      <c r="Q363" s="606">
        <v>0</v>
      </c>
      <c r="R363" s="606">
        <f>P363/N363</f>
        <v>19470558.805640385</v>
      </c>
      <c r="S363" s="607">
        <f t="shared" ref="S363:S370" si="304">F363</f>
        <v>2009</v>
      </c>
      <c r="T363" s="608">
        <v>1</v>
      </c>
      <c r="U363" s="615">
        <f t="shared" ref="U363:U370" si="305">R363*T363</f>
        <v>19470558.805640385</v>
      </c>
      <c r="V363" s="602">
        <f>F363</f>
        <v>2009</v>
      </c>
      <c r="W363" s="618">
        <f>IF(OR(AND(ISBLANK(E363),ISBLANK(G363)),ISTEXT(E363),ISTEXT(G363)),"",G363-R363)</f>
        <v>954057381.4763788</v>
      </c>
      <c r="X363" s="609"/>
      <c r="Y363" s="449"/>
      <c r="Z363" s="449"/>
      <c r="AA363" s="694"/>
      <c r="AB363" s="692"/>
      <c r="AC363" s="692"/>
      <c r="AD363" s="695"/>
      <c r="AE363" s="452"/>
      <c r="AF363" s="571"/>
      <c r="AG363" s="452"/>
      <c r="AH363" s="452"/>
      <c r="AI363" s="453"/>
      <c r="AJ363" s="449"/>
      <c r="AK363" s="453"/>
      <c r="AL363" s="454"/>
      <c r="AM363" s="455"/>
      <c r="AN363" s="456"/>
      <c r="AO363" s="455"/>
      <c r="AP363" s="452"/>
      <c r="AQ363" s="457"/>
      <c r="AR363" s="449"/>
      <c r="AS363" s="449"/>
      <c r="AT363" s="452"/>
      <c r="AU363" s="457"/>
      <c r="AV363" s="449"/>
      <c r="AW363" s="458"/>
      <c r="AX363" s="452"/>
      <c r="AY363" s="457"/>
      <c r="AZ363" s="449"/>
      <c r="BA363" s="459"/>
      <c r="BB363" s="455"/>
      <c r="BC363" s="460"/>
      <c r="BD363" s="460"/>
      <c r="BG363" s="462"/>
    </row>
    <row r="364" spans="1:59" s="461" customFormat="1" ht="18" customHeight="1" x14ac:dyDescent="0.2">
      <c r="A364" s="461" t="str">
        <f t="shared" ref="A364:A371" si="306">$D$359&amp;S364</f>
        <v>RUMAH DINAS WAKIL KETUA I DPRD2010</v>
      </c>
      <c r="B364" s="708"/>
      <c r="C364" s="489"/>
      <c r="D364" s="489" t="s">
        <v>1752</v>
      </c>
      <c r="E364" s="558"/>
      <c r="F364" s="559">
        <v>2010</v>
      </c>
      <c r="G364" s="619">
        <v>0</v>
      </c>
      <c r="H364" s="464">
        <f t="shared" ref="H364:H370" si="307">IF(N363-(F364-F363)&lt;=0,0,(N363-(F364-F363)))</f>
        <v>49</v>
      </c>
      <c r="I364" s="560"/>
      <c r="J364" s="468">
        <f t="shared" ref="J364:J370" si="308">(F364+N364)-1</f>
        <v>2058</v>
      </c>
      <c r="K364" s="490">
        <f t="shared" ref="K364:K370" si="309">IF(G364=0,0,IF(H364=50,100%,G364/W363))</f>
        <v>0</v>
      </c>
      <c r="L364" s="469">
        <f>IF(K364=0%,0,IF(K364&lt;=25%,5,IF(K364&lt;=50%,10,IF(K364&lt;=75%,15,50))))</f>
        <v>0</v>
      </c>
      <c r="M364" s="683">
        <f t="shared" ref="M364:M370" si="310">IF(OR(AND(ISBLANK(E364),ISBLANK(G364)),ISTEXT(E364),ISTEXT(G364)),"",IF(H364+L364&gt;$H$27,$H$27-H364,L364))</f>
        <v>0</v>
      </c>
      <c r="N364" s="470">
        <f t="shared" ref="N364:N370" si="311">IF(OR(AND(ISBLANK(F364),ISBLANK(G364)),ISTEXT(F364),ISTEXT(G364)),"",H364+M364)</f>
        <v>49</v>
      </c>
      <c r="O364" s="468">
        <f t="shared" ref="O364:O370" si="312">(F364+N364)-1</f>
        <v>2058</v>
      </c>
      <c r="P364" s="471">
        <f>W363</f>
        <v>954057381.4763788</v>
      </c>
      <c r="Q364" s="472">
        <f t="shared" ref="Q364:Q370" si="313">P364+G364</f>
        <v>954057381.4763788</v>
      </c>
      <c r="R364" s="472">
        <f>IF(L364=0,R363,Q364/N364)</f>
        <v>19470558.805640385</v>
      </c>
      <c r="S364" s="842">
        <f t="shared" si="304"/>
        <v>2010</v>
      </c>
      <c r="T364" s="470">
        <f>S364-S363</f>
        <v>1</v>
      </c>
      <c r="U364" s="612">
        <f t="shared" si="305"/>
        <v>19470558.805640385</v>
      </c>
      <c r="V364" s="464">
        <f t="shared" ref="V364:V370" si="314">F364</f>
        <v>2010</v>
      </c>
      <c r="W364" s="612">
        <f t="shared" ref="W364:W370" si="315">IF(OR(AND(ISBLANK(E364),ISBLANK(G364)),ISTEXT(E364),ISTEXT(G364)),"",Q364-U364)</f>
        <v>934586822.67073846</v>
      </c>
      <c r="X364" s="561"/>
      <c r="Y364" s="449"/>
      <c r="Z364" s="449"/>
      <c r="AA364" s="554" t="s">
        <v>4179</v>
      </c>
      <c r="AB364" s="452"/>
      <c r="AC364" s="452"/>
      <c r="AD364" s="566"/>
      <c r="AE364" s="452"/>
      <c r="AF364" s="571"/>
      <c r="AG364" s="452"/>
      <c r="AH364" s="452"/>
      <c r="AI364" s="453"/>
      <c r="AJ364" s="449"/>
      <c r="AK364" s="453"/>
      <c r="AL364" s="454"/>
      <c r="AM364" s="455"/>
      <c r="AN364" s="456"/>
      <c r="AO364" s="455"/>
      <c r="AP364" s="452"/>
      <c r="AQ364" s="457"/>
      <c r="AR364" s="449"/>
      <c r="AS364" s="449"/>
      <c r="AT364" s="452"/>
      <c r="AU364" s="457"/>
      <c r="AV364" s="449"/>
      <c r="AW364" s="458"/>
      <c r="AX364" s="452"/>
      <c r="AY364" s="457"/>
      <c r="AZ364" s="449"/>
      <c r="BA364" s="459"/>
      <c r="BB364" s="455"/>
      <c r="BC364" s="460"/>
      <c r="BD364" s="460"/>
      <c r="BG364" s="462"/>
    </row>
    <row r="365" spans="1:59" s="461" customFormat="1" ht="18" customHeight="1" x14ac:dyDescent="0.2">
      <c r="A365" s="461" t="str">
        <f t="shared" si="306"/>
        <v>RUMAH DINAS WAKIL KETUA I DPRD2013</v>
      </c>
      <c r="B365" s="708"/>
      <c r="C365" s="489"/>
      <c r="D365" s="489" t="s">
        <v>1752</v>
      </c>
      <c r="E365" s="558"/>
      <c r="F365" s="559">
        <v>2013</v>
      </c>
      <c r="G365" s="619">
        <v>0</v>
      </c>
      <c r="H365" s="464">
        <f t="shared" si="307"/>
        <v>46</v>
      </c>
      <c r="I365" s="560"/>
      <c r="J365" s="468">
        <f t="shared" si="308"/>
        <v>2058</v>
      </c>
      <c r="K365" s="490">
        <f t="shared" si="309"/>
        <v>0</v>
      </c>
      <c r="L365" s="469">
        <f t="shared" ref="L365:L370" si="316">IF(K365=0%,0,IF(K365&lt;=25%,5,IF(K365&lt;=50%,10,IF(K365&lt;=75%,15,50))))</f>
        <v>0</v>
      </c>
      <c r="M365" s="683">
        <f t="shared" si="310"/>
        <v>0</v>
      </c>
      <c r="N365" s="470">
        <f t="shared" si="311"/>
        <v>46</v>
      </c>
      <c r="O365" s="468">
        <f t="shared" si="312"/>
        <v>2058</v>
      </c>
      <c r="P365" s="471">
        <f t="shared" ref="P365:P370" si="317">W364</f>
        <v>934586822.67073846</v>
      </c>
      <c r="Q365" s="472">
        <f t="shared" si="313"/>
        <v>934586822.67073846</v>
      </c>
      <c r="R365" s="472">
        <f t="shared" ref="R365:R370" si="318">IF(L365=0,R364,Q365/N365)</f>
        <v>19470558.805640385</v>
      </c>
      <c r="S365" s="842">
        <f t="shared" si="304"/>
        <v>2013</v>
      </c>
      <c r="T365" s="470">
        <f t="shared" ref="T365:T370" si="319">S365-S364</f>
        <v>3</v>
      </c>
      <c r="U365" s="612">
        <f t="shared" si="305"/>
        <v>58411676.416921154</v>
      </c>
      <c r="V365" s="464">
        <f t="shared" si="314"/>
        <v>2013</v>
      </c>
      <c r="W365" s="612">
        <f t="shared" si="315"/>
        <v>876175146.25381732</v>
      </c>
      <c r="X365" s="561"/>
      <c r="Y365" s="449"/>
      <c r="Z365" s="449"/>
      <c r="AA365" s="554"/>
      <c r="AB365" s="452"/>
      <c r="AC365" s="452"/>
      <c r="AD365" s="566"/>
      <c r="AE365" s="452"/>
      <c r="AF365" s="571"/>
      <c r="AG365" s="452"/>
      <c r="AH365" s="452"/>
      <c r="AI365" s="453"/>
      <c r="AJ365" s="449"/>
      <c r="AK365" s="453"/>
      <c r="AL365" s="454"/>
      <c r="AM365" s="455"/>
      <c r="AN365" s="456"/>
      <c r="AO365" s="455"/>
      <c r="AP365" s="452"/>
      <c r="AQ365" s="457"/>
      <c r="AR365" s="449"/>
      <c r="AS365" s="449"/>
      <c r="AT365" s="452"/>
      <c r="AU365" s="457"/>
      <c r="AV365" s="449"/>
      <c r="AW365" s="458"/>
      <c r="AX365" s="452"/>
      <c r="AY365" s="457"/>
      <c r="AZ365" s="449"/>
      <c r="BA365" s="459"/>
      <c r="BB365" s="455"/>
      <c r="BC365" s="460"/>
      <c r="BD365" s="460"/>
      <c r="BG365" s="462"/>
    </row>
    <row r="366" spans="1:59" s="461" customFormat="1" ht="18" customHeight="1" x14ac:dyDescent="0.2">
      <c r="A366" s="461" t="str">
        <f t="shared" si="306"/>
        <v>RUMAH DINAS WAKIL KETUA I DPRD2014</v>
      </c>
      <c r="B366" s="708"/>
      <c r="C366" s="489"/>
      <c r="D366" s="489" t="s">
        <v>1752</v>
      </c>
      <c r="E366" s="558"/>
      <c r="F366" s="559">
        <v>2014</v>
      </c>
      <c r="G366" s="619">
        <v>0</v>
      </c>
      <c r="H366" s="464">
        <f t="shared" si="307"/>
        <v>45</v>
      </c>
      <c r="I366" s="560"/>
      <c r="J366" s="468">
        <f t="shared" si="308"/>
        <v>2058</v>
      </c>
      <c r="K366" s="490">
        <f t="shared" si="309"/>
        <v>0</v>
      </c>
      <c r="L366" s="469">
        <f t="shared" si="316"/>
        <v>0</v>
      </c>
      <c r="M366" s="683">
        <f t="shared" si="310"/>
        <v>0</v>
      </c>
      <c r="N366" s="470">
        <f t="shared" si="311"/>
        <v>45</v>
      </c>
      <c r="O366" s="468">
        <f t="shared" si="312"/>
        <v>2058</v>
      </c>
      <c r="P366" s="471">
        <f t="shared" si="317"/>
        <v>876175146.25381732</v>
      </c>
      <c r="Q366" s="472">
        <f t="shared" si="313"/>
        <v>876175146.25381732</v>
      </c>
      <c r="R366" s="472">
        <f t="shared" si="318"/>
        <v>19470558.805640385</v>
      </c>
      <c r="S366" s="842">
        <f t="shared" si="304"/>
        <v>2014</v>
      </c>
      <c r="T366" s="470">
        <f t="shared" si="319"/>
        <v>1</v>
      </c>
      <c r="U366" s="612">
        <f t="shared" si="305"/>
        <v>19470558.805640385</v>
      </c>
      <c r="V366" s="464">
        <f t="shared" si="314"/>
        <v>2014</v>
      </c>
      <c r="W366" s="612">
        <f t="shared" si="315"/>
        <v>856704587.44817698</v>
      </c>
      <c r="X366" s="561"/>
      <c r="Y366" s="449"/>
      <c r="Z366" s="449"/>
      <c r="AA366" s="475" t="s">
        <v>4180</v>
      </c>
      <c r="AB366" s="476"/>
      <c r="AC366" s="476"/>
      <c r="AD366" s="567">
        <f>G373</f>
        <v>1175832940.2820191</v>
      </c>
      <c r="AE366" s="452"/>
      <c r="AF366" s="571"/>
      <c r="AG366" s="452"/>
      <c r="AH366" s="452"/>
      <c r="AI366" s="453"/>
      <c r="AJ366" s="449"/>
      <c r="AK366" s="453"/>
      <c r="AL366" s="454"/>
      <c r="AM366" s="455"/>
      <c r="AN366" s="456"/>
      <c r="AO366" s="455"/>
      <c r="AP366" s="452"/>
      <c r="AQ366" s="457"/>
      <c r="AR366" s="449"/>
      <c r="AS366" s="449"/>
      <c r="AT366" s="452"/>
      <c r="AU366" s="457"/>
      <c r="AV366" s="449"/>
      <c r="AW366" s="458"/>
      <c r="AX366" s="452"/>
      <c r="AY366" s="457"/>
      <c r="AZ366" s="449"/>
      <c r="BA366" s="459"/>
      <c r="BB366" s="455"/>
      <c r="BC366" s="460"/>
      <c r="BD366" s="460"/>
      <c r="BG366" s="462"/>
    </row>
    <row r="367" spans="1:59" s="461" customFormat="1" ht="18" customHeight="1" x14ac:dyDescent="0.2">
      <c r="A367" s="461" t="str">
        <f t="shared" si="306"/>
        <v>RUMAH DINAS WAKIL KETUA I DPRD2015</v>
      </c>
      <c r="B367" s="708"/>
      <c r="C367" s="489"/>
      <c r="D367" s="489" t="s">
        <v>1752</v>
      </c>
      <c r="E367" s="558"/>
      <c r="F367" s="559">
        <v>2015</v>
      </c>
      <c r="G367" s="619">
        <v>0</v>
      </c>
      <c r="H367" s="464">
        <f t="shared" si="307"/>
        <v>44</v>
      </c>
      <c r="I367" s="560"/>
      <c r="J367" s="468">
        <f t="shared" si="308"/>
        <v>2058</v>
      </c>
      <c r="K367" s="490">
        <f t="shared" si="309"/>
        <v>0</v>
      </c>
      <c r="L367" s="469">
        <f t="shared" si="316"/>
        <v>0</v>
      </c>
      <c r="M367" s="683">
        <f t="shared" si="310"/>
        <v>0</v>
      </c>
      <c r="N367" s="470">
        <f t="shared" si="311"/>
        <v>44</v>
      </c>
      <c r="O367" s="468">
        <f t="shared" si="312"/>
        <v>2058</v>
      </c>
      <c r="P367" s="471">
        <f t="shared" si="317"/>
        <v>856704587.44817698</v>
      </c>
      <c r="Q367" s="472">
        <f t="shared" si="313"/>
        <v>856704587.44817698</v>
      </c>
      <c r="R367" s="472">
        <f t="shared" si="318"/>
        <v>19470558.805640385</v>
      </c>
      <c r="S367" s="842">
        <f t="shared" si="304"/>
        <v>2015</v>
      </c>
      <c r="T367" s="470">
        <f t="shared" si="319"/>
        <v>1</v>
      </c>
      <c r="U367" s="612">
        <f t="shared" si="305"/>
        <v>19470558.805640385</v>
      </c>
      <c r="V367" s="464">
        <f t="shared" si="314"/>
        <v>2015</v>
      </c>
      <c r="W367" s="612">
        <f t="shared" si="315"/>
        <v>837234028.64253664</v>
      </c>
      <c r="X367" s="561"/>
      <c r="Y367" s="449"/>
      <c r="Z367" s="449"/>
      <c r="AA367" s="475" t="s">
        <v>4181</v>
      </c>
      <c r="AB367" s="491"/>
      <c r="AC367" s="491"/>
      <c r="AD367" s="567">
        <f>U373</f>
        <v>220875223.8389675</v>
      </c>
      <c r="AE367" s="452"/>
      <c r="AF367" s="571"/>
      <c r="AG367" s="452"/>
      <c r="AH367" s="452"/>
      <c r="AI367" s="453"/>
      <c r="AJ367" s="449"/>
      <c r="AK367" s="453"/>
      <c r="AL367" s="454"/>
      <c r="AM367" s="455"/>
      <c r="AN367" s="456"/>
      <c r="AO367" s="455"/>
      <c r="AP367" s="452"/>
      <c r="AQ367" s="457"/>
      <c r="AR367" s="449"/>
      <c r="AS367" s="449"/>
      <c r="AT367" s="452"/>
      <c r="AU367" s="457"/>
      <c r="AV367" s="449"/>
      <c r="AW367" s="458"/>
      <c r="AX367" s="452"/>
      <c r="AY367" s="457"/>
      <c r="AZ367" s="449"/>
      <c r="BA367" s="459"/>
      <c r="BB367" s="455"/>
      <c r="BC367" s="460"/>
      <c r="BD367" s="460"/>
      <c r="BG367" s="462"/>
    </row>
    <row r="368" spans="1:59" s="461" customFormat="1" ht="18" customHeight="1" x14ac:dyDescent="0.2">
      <c r="A368" s="461" t="str">
        <f t="shared" si="306"/>
        <v>RUMAH DINAS WAKIL KETUA I DPRD2016</v>
      </c>
      <c r="B368" s="708"/>
      <c r="C368" s="489"/>
      <c r="D368" s="489" t="s">
        <v>1752</v>
      </c>
      <c r="E368" s="558"/>
      <c r="F368" s="559">
        <v>2016</v>
      </c>
      <c r="G368" s="619">
        <v>0</v>
      </c>
      <c r="H368" s="464">
        <f t="shared" si="307"/>
        <v>43</v>
      </c>
      <c r="I368" s="560"/>
      <c r="J368" s="468">
        <f t="shared" si="308"/>
        <v>2058</v>
      </c>
      <c r="K368" s="490">
        <f t="shared" si="309"/>
        <v>0</v>
      </c>
      <c r="L368" s="469">
        <f t="shared" si="316"/>
        <v>0</v>
      </c>
      <c r="M368" s="683">
        <f t="shared" si="310"/>
        <v>0</v>
      </c>
      <c r="N368" s="470">
        <f t="shared" si="311"/>
        <v>43</v>
      </c>
      <c r="O368" s="468">
        <f t="shared" si="312"/>
        <v>2058</v>
      </c>
      <c r="P368" s="471">
        <f t="shared" si="317"/>
        <v>837234028.64253664</v>
      </c>
      <c r="Q368" s="472">
        <f t="shared" si="313"/>
        <v>837234028.64253664</v>
      </c>
      <c r="R368" s="472">
        <f t="shared" si="318"/>
        <v>19470558.805640385</v>
      </c>
      <c r="S368" s="842">
        <f t="shared" si="304"/>
        <v>2016</v>
      </c>
      <c r="T368" s="470">
        <f t="shared" si="319"/>
        <v>1</v>
      </c>
      <c r="U368" s="612">
        <f t="shared" si="305"/>
        <v>19470558.805640385</v>
      </c>
      <c r="V368" s="464">
        <f t="shared" si="314"/>
        <v>2016</v>
      </c>
      <c r="W368" s="612">
        <f t="shared" si="315"/>
        <v>817763469.8368963</v>
      </c>
      <c r="X368" s="561"/>
      <c r="Y368" s="449"/>
      <c r="Z368" s="449"/>
      <c r="AA368" s="492" t="s">
        <v>4182</v>
      </c>
      <c r="AB368" s="476"/>
      <c r="AC368" s="476"/>
      <c r="AD368" s="568">
        <f>AD366-AD367</f>
        <v>954957716.44305158</v>
      </c>
      <c r="AE368" s="452"/>
      <c r="AF368" s="571"/>
      <c r="AG368" s="452"/>
      <c r="AH368" s="452"/>
      <c r="AI368" s="453"/>
      <c r="AJ368" s="449"/>
      <c r="AK368" s="453"/>
      <c r="AL368" s="454"/>
      <c r="AM368" s="455"/>
      <c r="AN368" s="456"/>
      <c r="AO368" s="455"/>
      <c r="AP368" s="452"/>
      <c r="AQ368" s="457"/>
      <c r="AR368" s="449"/>
      <c r="AS368" s="449"/>
      <c r="AT368" s="452"/>
      <c r="AU368" s="457"/>
      <c r="AV368" s="449"/>
      <c r="AW368" s="458"/>
      <c r="AX368" s="452"/>
      <c r="AY368" s="457"/>
      <c r="AZ368" s="449"/>
      <c r="BA368" s="459"/>
      <c r="BB368" s="455"/>
      <c r="BC368" s="460"/>
      <c r="BD368" s="460"/>
      <c r="BG368" s="462"/>
    </row>
    <row r="369" spans="1:59" s="461" customFormat="1" ht="18" customHeight="1" x14ac:dyDescent="0.2">
      <c r="A369" s="461" t="str">
        <f t="shared" si="306"/>
        <v>RUMAH DINAS WAKIL KETUA I DPRD2017</v>
      </c>
      <c r="B369" s="708">
        <v>2</v>
      </c>
      <c r="C369" s="489" t="s">
        <v>2996</v>
      </c>
      <c r="D369" s="489" t="s">
        <v>1752</v>
      </c>
      <c r="E369" s="558"/>
      <c r="F369" s="559">
        <v>2017</v>
      </c>
      <c r="G369" s="619">
        <v>202305000</v>
      </c>
      <c r="H369" s="464">
        <f t="shared" si="307"/>
        <v>42</v>
      </c>
      <c r="I369" s="560"/>
      <c r="J369" s="468">
        <f t="shared" si="308"/>
        <v>2063</v>
      </c>
      <c r="K369" s="490">
        <f t="shared" si="309"/>
        <v>0.24738815985550189</v>
      </c>
      <c r="L369" s="469">
        <f t="shared" si="316"/>
        <v>5</v>
      </c>
      <c r="M369" s="683">
        <f t="shared" si="310"/>
        <v>5</v>
      </c>
      <c r="N369" s="470">
        <f t="shared" si="311"/>
        <v>47</v>
      </c>
      <c r="O369" s="468">
        <f t="shared" si="312"/>
        <v>2063</v>
      </c>
      <c r="P369" s="471">
        <f t="shared" si="317"/>
        <v>817763469.8368963</v>
      </c>
      <c r="Q369" s="472">
        <f t="shared" si="313"/>
        <v>1020068469.8368963</v>
      </c>
      <c r="R369" s="472">
        <f t="shared" si="318"/>
        <v>21703584.464614816</v>
      </c>
      <c r="S369" s="842">
        <f t="shared" si="304"/>
        <v>2017</v>
      </c>
      <c r="T369" s="470">
        <f t="shared" si="319"/>
        <v>1</v>
      </c>
      <c r="U369" s="612">
        <f t="shared" si="305"/>
        <v>21703584.464614816</v>
      </c>
      <c r="V369" s="464">
        <f t="shared" si="314"/>
        <v>2017</v>
      </c>
      <c r="W369" s="612">
        <f t="shared" si="315"/>
        <v>998364885.37228143</v>
      </c>
      <c r="X369" s="561"/>
      <c r="Y369" s="449"/>
      <c r="Z369" s="449"/>
      <c r="AA369" s="475" t="s">
        <v>4183</v>
      </c>
      <c r="AB369" s="476"/>
      <c r="AC369" s="476"/>
      <c r="AD369" s="567">
        <f>AD368-W373</f>
        <v>0</v>
      </c>
      <c r="AE369" s="452"/>
      <c r="AF369" s="571"/>
      <c r="AG369" s="452"/>
      <c r="AH369" s="452"/>
      <c r="AI369" s="453"/>
      <c r="AJ369" s="449"/>
      <c r="AK369" s="453"/>
      <c r="AL369" s="454"/>
      <c r="AM369" s="455"/>
      <c r="AN369" s="456"/>
      <c r="AO369" s="455"/>
      <c r="AP369" s="452"/>
      <c r="AQ369" s="457"/>
      <c r="AR369" s="449"/>
      <c r="AS369" s="449"/>
      <c r="AT369" s="452"/>
      <c r="AU369" s="457"/>
      <c r="AV369" s="449"/>
      <c r="AW369" s="458"/>
      <c r="AX369" s="452"/>
      <c r="AY369" s="457"/>
      <c r="AZ369" s="449"/>
      <c r="BA369" s="459"/>
      <c r="BB369" s="455"/>
      <c r="BC369" s="460"/>
      <c r="BD369" s="460"/>
      <c r="BG369" s="462"/>
    </row>
    <row r="370" spans="1:59" s="486" customFormat="1" ht="18" customHeight="1" x14ac:dyDescent="0.2">
      <c r="A370" s="461" t="str">
        <f t="shared" si="306"/>
        <v>RUMAH DINAS WAKIL KETUA I DPRD2018</v>
      </c>
      <c r="B370" s="708"/>
      <c r="C370" s="463"/>
      <c r="D370" s="489"/>
      <c r="E370" s="465"/>
      <c r="F370" s="559">
        <v>2018</v>
      </c>
      <c r="G370" s="619">
        <v>0</v>
      </c>
      <c r="H370" s="464">
        <f t="shared" si="307"/>
        <v>46</v>
      </c>
      <c r="I370" s="560"/>
      <c r="J370" s="468">
        <f t="shared" si="308"/>
        <v>2063</v>
      </c>
      <c r="K370" s="490">
        <f t="shared" si="309"/>
        <v>0</v>
      </c>
      <c r="L370" s="469">
        <f t="shared" si="316"/>
        <v>0</v>
      </c>
      <c r="M370" s="683">
        <f t="shared" si="310"/>
        <v>0</v>
      </c>
      <c r="N370" s="470">
        <f t="shared" si="311"/>
        <v>46</v>
      </c>
      <c r="O370" s="468">
        <f t="shared" si="312"/>
        <v>2063</v>
      </c>
      <c r="P370" s="471">
        <f t="shared" si="317"/>
        <v>998364885.37228143</v>
      </c>
      <c r="Q370" s="472">
        <f t="shared" si="313"/>
        <v>998364885.37228143</v>
      </c>
      <c r="R370" s="472">
        <f t="shared" si="318"/>
        <v>21703584.464614816</v>
      </c>
      <c r="S370" s="842">
        <f t="shared" si="304"/>
        <v>2018</v>
      </c>
      <c r="T370" s="470">
        <f t="shared" si="319"/>
        <v>1</v>
      </c>
      <c r="U370" s="612">
        <f t="shared" si="305"/>
        <v>21703584.464614816</v>
      </c>
      <c r="V370" s="464">
        <f t="shared" si="314"/>
        <v>2018</v>
      </c>
      <c r="W370" s="612">
        <f t="shared" si="315"/>
        <v>976661300.90766656</v>
      </c>
      <c r="X370" s="561"/>
      <c r="Y370" s="474"/>
      <c r="Z370" s="449"/>
      <c r="AA370" s="495"/>
      <c r="AB370" s="496"/>
      <c r="AC370" s="496"/>
      <c r="AD370" s="569"/>
      <c r="AE370" s="476"/>
      <c r="AF370" s="568"/>
      <c r="AG370" s="476"/>
      <c r="AH370" s="476"/>
      <c r="AI370" s="477"/>
      <c r="AJ370" s="478"/>
      <c r="AK370" s="479"/>
      <c r="AL370" s="480"/>
      <c r="AM370" s="474"/>
      <c r="AN370" s="481"/>
      <c r="AO370" s="474"/>
      <c r="AP370" s="476"/>
      <c r="AQ370" s="482"/>
      <c r="AR370" s="478"/>
      <c r="AS370" s="478"/>
      <c r="AT370" s="476"/>
      <c r="AU370" s="482"/>
      <c r="AV370" s="478"/>
      <c r="AW370" s="483"/>
      <c r="AX370" s="476"/>
      <c r="AY370" s="482"/>
      <c r="AZ370" s="478"/>
      <c r="BA370" s="484"/>
      <c r="BB370" s="474"/>
      <c r="BC370" s="485"/>
      <c r="BD370" s="485"/>
      <c r="BG370" s="487"/>
    </row>
    <row r="371" spans="1:59" s="486" customFormat="1" ht="18" customHeight="1" x14ac:dyDescent="0.2">
      <c r="A371" s="461" t="str">
        <f t="shared" si="306"/>
        <v>RUMAH DINAS WAKIL KETUA I DPRD2019</v>
      </c>
      <c r="B371" s="708"/>
      <c r="C371" s="488"/>
      <c r="D371" s="489"/>
      <c r="E371" s="465"/>
      <c r="F371" s="466">
        <v>2019</v>
      </c>
      <c r="G371" s="619">
        <v>0</v>
      </c>
      <c r="H371" s="464">
        <f>IF(N370-(F371-F370)&lt;=0,0,(N370-(F371-F370)))</f>
        <v>45</v>
      </c>
      <c r="I371" s="560"/>
      <c r="J371" s="468">
        <f>(F371+N371)-1</f>
        <v>2063</v>
      </c>
      <c r="K371" s="490">
        <f>IF(G371=0,0,IF(H371=50,100%,G371/W370))</f>
        <v>0</v>
      </c>
      <c r="L371" s="469">
        <f>IF(K371=0%,0,IF(K371&lt;=25%,5,IF(K371&lt;=50%,10,IF(K371&lt;=75%,15,50))))</f>
        <v>0</v>
      </c>
      <c r="M371" s="683">
        <f>IF(OR(AND(ISBLANK(E371),ISBLANK(G371)),ISTEXT(E371),ISTEXT(G371)),"",IF(H371+L371&gt;$H$27,$H$27-H371,L371))</f>
        <v>0</v>
      </c>
      <c r="N371" s="470">
        <f>IF(OR(AND(ISBLANK(F371),ISBLANK(G371)),ISTEXT(F371),ISTEXT(G371)),"",H371+M371)</f>
        <v>45</v>
      </c>
      <c r="O371" s="468">
        <f>(F371+N371)-1</f>
        <v>2063</v>
      </c>
      <c r="P371" s="471">
        <f>W370</f>
        <v>976661300.90766656</v>
      </c>
      <c r="Q371" s="472">
        <f>P371+G371</f>
        <v>976661300.90766656</v>
      </c>
      <c r="R371" s="472">
        <f>IF(L371=0,R370,Q371/N371)</f>
        <v>21703584.464614816</v>
      </c>
      <c r="S371" s="1189">
        <f>F371</f>
        <v>2019</v>
      </c>
      <c r="T371" s="470">
        <f>S371-S370</f>
        <v>1</v>
      </c>
      <c r="U371" s="612">
        <f>R371*T371</f>
        <v>21703584.464614816</v>
      </c>
      <c r="V371" s="464">
        <f>F371</f>
        <v>2019</v>
      </c>
      <c r="W371" s="612">
        <f>IF(OR(AND(ISBLANK(E371),ISBLANK(G371)),ISTEXT(E371),ISTEXT(G371)),"",Q371-U371)</f>
        <v>954957716.4430517</v>
      </c>
      <c r="X371" s="473"/>
      <c r="Y371" s="478"/>
      <c r="Z371" s="449"/>
      <c r="AA371" s="699"/>
      <c r="AB371" s="700"/>
      <c r="AC371" s="700"/>
      <c r="AD371" s="701"/>
      <c r="AE371" s="491"/>
      <c r="AF371" s="568"/>
      <c r="AG371" s="491"/>
      <c r="AH371" s="491"/>
      <c r="AI371" s="477"/>
      <c r="AJ371" s="478"/>
      <c r="AK371" s="479"/>
      <c r="AL371" s="480"/>
      <c r="AM371" s="474"/>
      <c r="AN371" s="481"/>
      <c r="AO371" s="474"/>
      <c r="AP371" s="476"/>
      <c r="AQ371" s="482"/>
      <c r="AR371" s="478"/>
      <c r="AS371" s="478"/>
      <c r="AT371" s="476"/>
      <c r="AU371" s="482"/>
      <c r="AV371" s="478"/>
      <c r="AW371" s="483"/>
      <c r="AX371" s="476"/>
      <c r="AY371" s="482"/>
      <c r="AZ371" s="478"/>
      <c r="BA371" s="484"/>
      <c r="BB371" s="474"/>
      <c r="BC371" s="485"/>
      <c r="BD371" s="485"/>
      <c r="BG371" s="487"/>
    </row>
    <row r="372" spans="1:59" s="486" customFormat="1" ht="18" customHeight="1" x14ac:dyDescent="0.2">
      <c r="B372" s="687"/>
      <c r="C372" s="494"/>
      <c r="D372" s="464"/>
      <c r="E372" s="465"/>
      <c r="F372" s="466"/>
      <c r="G372" s="620"/>
      <c r="H372" s="464"/>
      <c r="I372" s="467"/>
      <c r="J372" s="468"/>
      <c r="K372" s="490"/>
      <c r="L372" s="469"/>
      <c r="M372" s="683"/>
      <c r="N372" s="470"/>
      <c r="O372" s="468"/>
      <c r="P372" s="471"/>
      <c r="Q372" s="472"/>
      <c r="R372" s="472"/>
      <c r="S372" s="842"/>
      <c r="T372" s="470"/>
      <c r="U372" s="612"/>
      <c r="V372" s="464"/>
      <c r="W372" s="612"/>
      <c r="X372" s="473"/>
      <c r="Y372" s="478"/>
      <c r="Z372" s="449"/>
      <c r="AA372" s="497"/>
      <c r="AB372" s="476"/>
      <c r="AC372" s="476"/>
      <c r="AD372" s="568"/>
      <c r="AE372" s="476"/>
      <c r="AF372" s="568"/>
      <c r="AG372" s="476"/>
      <c r="AH372" s="476"/>
      <c r="AI372" s="477"/>
      <c r="AJ372" s="478"/>
      <c r="AK372" s="479"/>
      <c r="AL372" s="480"/>
      <c r="AM372" s="474"/>
      <c r="AN372" s="481"/>
      <c r="AO372" s="474"/>
      <c r="AP372" s="476"/>
      <c r="AQ372" s="482"/>
      <c r="AR372" s="478"/>
      <c r="AS372" s="478"/>
      <c r="AT372" s="476"/>
      <c r="AU372" s="482"/>
      <c r="AV372" s="478"/>
      <c r="AW372" s="483"/>
      <c r="AX372" s="476"/>
      <c r="AY372" s="482"/>
      <c r="AZ372" s="478"/>
      <c r="BA372" s="484"/>
      <c r="BB372" s="474"/>
      <c r="BC372" s="485"/>
      <c r="BD372" s="485"/>
      <c r="BG372" s="487"/>
    </row>
    <row r="373" spans="1:59" s="526" customFormat="1" ht="18" customHeight="1" x14ac:dyDescent="0.2">
      <c r="B373" s="1956" t="s">
        <v>4184</v>
      </c>
      <c r="C373" s="1957"/>
      <c r="D373" s="1957"/>
      <c r="E373" s="1957"/>
      <c r="F373" s="1958"/>
      <c r="G373" s="621">
        <f>SUM(G363:G372)</f>
        <v>1175832940.2820191</v>
      </c>
      <c r="H373" s="505"/>
      <c r="I373" s="506"/>
      <c r="J373" s="507"/>
      <c r="K373" s="507"/>
      <c r="L373" s="505"/>
      <c r="M373" s="684"/>
      <c r="N373" s="508"/>
      <c r="O373" s="507"/>
      <c r="P373" s="509"/>
      <c r="Q373" s="510"/>
      <c r="R373" s="511"/>
      <c r="S373" s="512"/>
      <c r="T373" s="512"/>
      <c r="U373" s="610">
        <f>SUM(U363:U372)</f>
        <v>220875223.8389675</v>
      </c>
      <c r="V373" s="513"/>
      <c r="W373" s="610">
        <f>G373-U373</f>
        <v>954957716.44305158</v>
      </c>
      <c r="X373" s="514"/>
      <c r="Y373" s="515"/>
      <c r="Z373" s="515"/>
      <c r="AA373" s="515"/>
      <c r="AB373" s="515"/>
      <c r="AC373" s="515"/>
      <c r="AD373" s="570"/>
      <c r="AE373" s="515"/>
      <c r="AF373" s="570"/>
      <c r="AG373" s="515"/>
      <c r="AH373" s="515"/>
      <c r="AI373" s="516"/>
      <c r="AJ373" s="517"/>
      <c r="AK373" s="518"/>
      <c r="AL373" s="519"/>
      <c r="AM373" s="520"/>
      <c r="AN373" s="521"/>
      <c r="AO373" s="520"/>
      <c r="AP373" s="515"/>
      <c r="AQ373" s="522"/>
      <c r="AR373" s="517"/>
      <c r="AS373" s="517"/>
      <c r="AT373" s="515"/>
      <c r="AU373" s="522"/>
      <c r="AV373" s="517"/>
      <c r="AW373" s="523"/>
      <c r="AX373" s="515"/>
      <c r="AY373" s="522"/>
      <c r="AZ373" s="517"/>
      <c r="BA373" s="524"/>
      <c r="BB373" s="520"/>
      <c r="BC373" s="525"/>
      <c r="BD373" s="525"/>
      <c r="BG373" s="527"/>
    </row>
    <row r="374" spans="1:59" s="526" customFormat="1" ht="18" customHeight="1" x14ac:dyDescent="0.2">
      <c r="B374" s="741"/>
      <c r="C374" s="841"/>
      <c r="D374" s="841"/>
      <c r="E374" s="841"/>
      <c r="F374" s="585"/>
      <c r="G374" s="622"/>
      <c r="H374" s="586"/>
      <c r="I374" s="587"/>
      <c r="J374" s="588"/>
      <c r="K374" s="588"/>
      <c r="L374" s="586"/>
      <c r="M374" s="521"/>
      <c r="N374" s="589"/>
      <c r="O374" s="588"/>
      <c r="P374" s="590"/>
      <c r="Q374" s="591"/>
      <c r="R374" s="592"/>
      <c r="S374" s="593"/>
      <c r="T374" s="593"/>
      <c r="U374" s="570"/>
      <c r="V374" s="594"/>
      <c r="W374" s="570"/>
      <c r="X374" s="515"/>
      <c r="Y374" s="515"/>
      <c r="Z374" s="515"/>
      <c r="AA374" s="515"/>
      <c r="AB374" s="515"/>
      <c r="AC374" s="515"/>
      <c r="AD374" s="570"/>
      <c r="AE374" s="515"/>
      <c r="AF374" s="570"/>
      <c r="AG374" s="515"/>
      <c r="AH374" s="515"/>
      <c r="AI374" s="516"/>
      <c r="AJ374" s="517"/>
      <c r="AK374" s="518"/>
      <c r="AL374" s="519"/>
      <c r="AM374" s="520"/>
      <c r="AN374" s="521"/>
      <c r="AO374" s="520"/>
      <c r="AP374" s="515"/>
      <c r="AQ374" s="522"/>
      <c r="AR374" s="517"/>
      <c r="AS374" s="517"/>
      <c r="AT374" s="515"/>
      <c r="AU374" s="522"/>
      <c r="AV374" s="517"/>
      <c r="AW374" s="523"/>
      <c r="AX374" s="515"/>
      <c r="AY374" s="522"/>
      <c r="AZ374" s="517"/>
      <c r="BA374" s="524"/>
      <c r="BB374" s="520"/>
      <c r="BC374" s="525"/>
      <c r="BD374" s="525"/>
      <c r="BG374" s="527"/>
    </row>
    <row r="375" spans="1:59" s="526" customFormat="1" ht="18" customHeight="1" x14ac:dyDescent="0.2">
      <c r="B375" s="575"/>
      <c r="C375" s="585"/>
      <c r="D375" s="585"/>
      <c r="E375" s="585"/>
      <c r="F375" s="585"/>
      <c r="G375" s="622"/>
      <c r="H375" s="586"/>
      <c r="I375" s="587"/>
      <c r="J375" s="588"/>
      <c r="K375" s="588"/>
      <c r="L375" s="586"/>
      <c r="M375" s="521"/>
      <c r="N375" s="589"/>
      <c r="O375" s="588"/>
      <c r="P375" s="590"/>
      <c r="Q375" s="591"/>
      <c r="R375" s="592"/>
      <c r="S375" s="593"/>
      <c r="T375" s="593"/>
      <c r="U375" s="570"/>
      <c r="V375" s="594"/>
      <c r="W375" s="570"/>
      <c r="X375" s="515"/>
      <c r="Y375" s="515"/>
      <c r="Z375" s="515"/>
      <c r="AA375" s="515"/>
      <c r="AB375" s="515"/>
      <c r="AC375" s="515"/>
      <c r="AD375" s="570"/>
      <c r="AE375" s="515"/>
      <c r="AF375" s="570"/>
      <c r="AG375" s="515"/>
      <c r="AH375" s="515"/>
      <c r="AI375" s="516"/>
      <c r="AJ375" s="517"/>
      <c r="AK375" s="518"/>
      <c r="AL375" s="519"/>
      <c r="AM375" s="520"/>
      <c r="AN375" s="521"/>
      <c r="AO375" s="520"/>
      <c r="AP375" s="515"/>
      <c r="AQ375" s="522"/>
      <c r="AR375" s="517"/>
      <c r="AS375" s="517"/>
      <c r="AT375" s="515"/>
      <c r="AU375" s="522"/>
      <c r="AV375" s="517"/>
      <c r="AW375" s="523"/>
      <c r="AX375" s="515"/>
      <c r="AY375" s="522"/>
      <c r="AZ375" s="517"/>
      <c r="BA375" s="524"/>
      <c r="BB375" s="520"/>
      <c r="BC375" s="525"/>
      <c r="BD375" s="525"/>
      <c r="BG375" s="527"/>
    </row>
    <row r="376" spans="1:59" s="422" customFormat="1" ht="18" customHeight="1" x14ac:dyDescent="0.2">
      <c r="B376" s="688" t="s">
        <v>4775</v>
      </c>
      <c r="C376" s="556"/>
      <c r="D376" s="553" t="s">
        <v>4773</v>
      </c>
      <c r="E376" s="553"/>
      <c r="F376" s="421"/>
      <c r="G376" s="611"/>
      <c r="I376" s="423"/>
      <c r="J376" s="424"/>
      <c r="K376" s="424"/>
      <c r="M376" s="680"/>
      <c r="U376" s="611"/>
      <c r="W376" s="611"/>
      <c r="Y376" s="425"/>
      <c r="Z376" s="425"/>
      <c r="AA376" s="425"/>
      <c r="AB376" s="425"/>
      <c r="AC376" s="425"/>
      <c r="AD376" s="563"/>
      <c r="AE376" s="425"/>
      <c r="AF376" s="563"/>
      <c r="AG376" s="425"/>
      <c r="AH376" s="425"/>
      <c r="AI376" s="425"/>
      <c r="AJ376" s="425"/>
      <c r="AK376" s="425"/>
      <c r="AL376" s="425"/>
      <c r="AM376" s="425"/>
      <c r="AN376" s="425"/>
      <c r="AO376" s="425"/>
      <c r="AP376" s="425"/>
      <c r="AQ376" s="425"/>
      <c r="AR376" s="425"/>
      <c r="AS376" s="425"/>
      <c r="AT376" s="425"/>
      <c r="AU376" s="425"/>
      <c r="AV376" s="425"/>
      <c r="AW376" s="425"/>
      <c r="AX376" s="425"/>
      <c r="AY376" s="425"/>
      <c r="AZ376" s="425"/>
      <c r="BA376" s="425"/>
      <c r="BB376" s="425"/>
    </row>
    <row r="377" spans="1:59" s="431" customFormat="1" ht="18" customHeight="1" x14ac:dyDescent="0.2">
      <c r="B377" s="1968" t="s">
        <v>5</v>
      </c>
      <c r="C377" s="1968" t="s">
        <v>2280</v>
      </c>
      <c r="D377" s="1968" t="s">
        <v>4157</v>
      </c>
      <c r="E377" s="1968" t="s">
        <v>4158</v>
      </c>
      <c r="F377" s="1968"/>
      <c r="G377" s="1969" t="s">
        <v>4159</v>
      </c>
      <c r="H377" s="1355" t="s">
        <v>4160</v>
      </c>
      <c r="I377" s="1355"/>
      <c r="J377" s="1968" t="s">
        <v>4161</v>
      </c>
      <c r="K377" s="1964" t="s">
        <v>4162</v>
      </c>
      <c r="L377" s="1968" t="s">
        <v>4163</v>
      </c>
      <c r="M377" s="1971" t="s">
        <v>4164</v>
      </c>
      <c r="N377" s="1962" t="s">
        <v>4165</v>
      </c>
      <c r="O377" s="1968" t="s">
        <v>4166</v>
      </c>
      <c r="P377" s="1972" t="s">
        <v>4167</v>
      </c>
      <c r="Q377" s="1973"/>
      <c r="R377" s="840" t="s">
        <v>4168</v>
      </c>
      <c r="S377" s="1972" t="s">
        <v>4169</v>
      </c>
      <c r="T377" s="1974"/>
      <c r="U377" s="1973"/>
      <c r="V377" s="1975" t="s">
        <v>4170</v>
      </c>
      <c r="W377" s="1975"/>
      <c r="X377" s="1960" t="s">
        <v>4171</v>
      </c>
      <c r="Y377" s="1959"/>
      <c r="Z377" s="837"/>
      <c r="AA377" s="426"/>
      <c r="AB377" s="426"/>
      <c r="AC377" s="426"/>
      <c r="AD377" s="564"/>
      <c r="AE377" s="426"/>
      <c r="AF377" s="564"/>
      <c r="AG377" s="426"/>
      <c r="AH377" s="426"/>
      <c r="AI377" s="427"/>
      <c r="AJ377" s="427"/>
      <c r="AK377" s="427"/>
      <c r="AL377" s="427"/>
      <c r="AM377" s="428"/>
      <c r="AN377" s="427"/>
      <c r="AO377" s="427"/>
      <c r="AP377" s="426"/>
      <c r="AQ377" s="427"/>
      <c r="AR377" s="427"/>
      <c r="AS377" s="427"/>
      <c r="AT377" s="426"/>
      <c r="AU377" s="427"/>
      <c r="AV377" s="427"/>
      <c r="AW377" s="427"/>
      <c r="AX377" s="426"/>
      <c r="AY377" s="427"/>
      <c r="AZ377" s="427"/>
      <c r="BA377" s="427"/>
      <c r="BB377" s="429"/>
      <c r="BC377" s="430"/>
      <c r="BD377" s="430"/>
    </row>
    <row r="378" spans="1:59" s="431" customFormat="1" ht="18" customHeight="1" x14ac:dyDescent="0.2">
      <c r="B378" s="1968"/>
      <c r="C378" s="1968"/>
      <c r="D378" s="1968"/>
      <c r="E378" s="1968"/>
      <c r="F378" s="1968"/>
      <c r="G378" s="1969"/>
      <c r="H378" s="1355"/>
      <c r="I378" s="1355"/>
      <c r="J378" s="1968"/>
      <c r="K378" s="1970"/>
      <c r="L378" s="1968"/>
      <c r="M378" s="1971"/>
      <c r="N378" s="1963"/>
      <c r="O378" s="1968"/>
      <c r="P378" s="1960" t="s">
        <v>4172</v>
      </c>
      <c r="Q378" s="1960" t="s">
        <v>4173</v>
      </c>
      <c r="R378" s="1962" t="s">
        <v>4159</v>
      </c>
      <c r="S378" s="1962" t="s">
        <v>4174</v>
      </c>
      <c r="T378" s="1964" t="s">
        <v>4175</v>
      </c>
      <c r="U378" s="1966" t="s">
        <v>4159</v>
      </c>
      <c r="V378" s="1975"/>
      <c r="W378" s="1975"/>
      <c r="X378" s="1976"/>
      <c r="Y378" s="1959"/>
      <c r="Z378" s="837"/>
      <c r="AA378" s="426"/>
      <c r="AB378" s="426"/>
      <c r="AC378" s="426"/>
      <c r="AD378" s="564"/>
      <c r="AE378" s="426"/>
      <c r="AF378" s="564"/>
      <c r="AG378" s="426"/>
      <c r="AH378" s="426"/>
      <c r="AI378" s="427"/>
      <c r="AJ378" s="427"/>
      <c r="AK378" s="426"/>
      <c r="AL378" s="427"/>
      <c r="AM378" s="428"/>
      <c r="AN378" s="427"/>
      <c r="AO378" s="427"/>
      <c r="AP378" s="432"/>
      <c r="AQ378" s="427"/>
      <c r="AR378" s="427"/>
      <c r="AS378" s="427"/>
      <c r="AT378" s="432"/>
      <c r="AU378" s="427"/>
      <c r="AV378" s="427"/>
      <c r="AW378" s="427"/>
      <c r="AX378" s="432"/>
      <c r="AY378" s="427"/>
      <c r="AZ378" s="427"/>
      <c r="BA378" s="427"/>
      <c r="BB378" s="429"/>
      <c r="BC378" s="430"/>
      <c r="BD378" s="430"/>
    </row>
    <row r="379" spans="1:59" s="431" customFormat="1" ht="21.75" customHeight="1" x14ac:dyDescent="0.2">
      <c r="B379" s="1968"/>
      <c r="C379" s="1968"/>
      <c r="D379" s="1968"/>
      <c r="E379" s="433" t="s">
        <v>4176</v>
      </c>
      <c r="F379" s="434" t="s">
        <v>2288</v>
      </c>
      <c r="G379" s="1969"/>
      <c r="H379" s="1355" t="s">
        <v>2288</v>
      </c>
      <c r="I379" s="1355" t="s">
        <v>4177</v>
      </c>
      <c r="J379" s="1968"/>
      <c r="K379" s="1965"/>
      <c r="L379" s="435" t="s">
        <v>2288</v>
      </c>
      <c r="M379" s="681" t="s">
        <v>2288</v>
      </c>
      <c r="N379" s="838" t="s">
        <v>2288</v>
      </c>
      <c r="O379" s="1968"/>
      <c r="P379" s="1961"/>
      <c r="Q379" s="1961"/>
      <c r="R379" s="1963"/>
      <c r="S379" s="1963"/>
      <c r="T379" s="1965"/>
      <c r="U379" s="1967"/>
      <c r="V379" s="838" t="s">
        <v>4178</v>
      </c>
      <c r="W379" s="839" t="s">
        <v>4159</v>
      </c>
      <c r="X379" s="1961"/>
      <c r="Y379" s="436"/>
      <c r="Z379" s="436"/>
      <c r="AA379" s="426"/>
      <c r="AB379" s="426"/>
      <c r="AC379" s="426"/>
      <c r="AD379" s="564"/>
      <c r="AE379" s="426"/>
      <c r="AF379" s="564"/>
      <c r="AG379" s="426"/>
      <c r="AH379" s="426"/>
      <c r="AI379" s="427"/>
      <c r="AJ379" s="432"/>
      <c r="AK379" s="432"/>
      <c r="AL379" s="427"/>
      <c r="AM379" s="428"/>
      <c r="AN379" s="432"/>
      <c r="AO379" s="427"/>
      <c r="AP379" s="432"/>
      <c r="AQ379" s="432"/>
      <c r="AR379" s="427"/>
      <c r="AS379" s="427"/>
      <c r="AT379" s="432"/>
      <c r="AU379" s="432"/>
      <c r="AV379" s="427"/>
      <c r="AW379" s="427"/>
      <c r="AX379" s="432"/>
      <c r="AY379" s="432"/>
      <c r="AZ379" s="427"/>
      <c r="BA379" s="427"/>
      <c r="BB379" s="429"/>
      <c r="BC379" s="430"/>
      <c r="BD379" s="430"/>
    </row>
    <row r="380" spans="1:59" s="461" customFormat="1" ht="18" customHeight="1" x14ac:dyDescent="0.2">
      <c r="A380" s="461" t="str">
        <f>$D$376&amp;S380</f>
        <v>RUMAH DINAS WAKIL KETUA II DPRD2009</v>
      </c>
      <c r="B380" s="689">
        <v>1</v>
      </c>
      <c r="C380" s="597" t="s">
        <v>4770</v>
      </c>
      <c r="D380" s="597" t="s">
        <v>1752</v>
      </c>
      <c r="E380" s="598"/>
      <c r="F380" s="599">
        <v>2009</v>
      </c>
      <c r="G380" s="626">
        <v>1311782451.5233059</v>
      </c>
      <c r="H380" s="600">
        <f>VLOOKUP(LEFT(D380,8),UE,4)</f>
        <v>50</v>
      </c>
      <c r="I380" s="601"/>
      <c r="J380" s="602">
        <f>(F380+N380)-1</f>
        <v>2058</v>
      </c>
      <c r="K380" s="603"/>
      <c r="L380" s="600"/>
      <c r="M380" s="685">
        <f>IF(H380+L380&gt;$H380,$H380-H380,L380)</f>
        <v>0</v>
      </c>
      <c r="N380" s="604">
        <f>H380+M380</f>
        <v>50</v>
      </c>
      <c r="O380" s="602">
        <f>(F380+N380)-1</f>
        <v>2058</v>
      </c>
      <c r="P380" s="605">
        <f>G380</f>
        <v>1311782451.5233059</v>
      </c>
      <c r="Q380" s="606">
        <v>0</v>
      </c>
      <c r="R380" s="606">
        <f>P380/N380</f>
        <v>26235649.030466117</v>
      </c>
      <c r="S380" s="607">
        <f t="shared" ref="S380:S387" si="320">F380</f>
        <v>2009</v>
      </c>
      <c r="T380" s="608">
        <v>1</v>
      </c>
      <c r="U380" s="615">
        <f t="shared" ref="U380:U387" si="321">R380*T380</f>
        <v>26235649.030466117</v>
      </c>
      <c r="V380" s="602">
        <f>F380</f>
        <v>2009</v>
      </c>
      <c r="W380" s="618">
        <f>IF(OR(AND(ISBLANK(E380),ISBLANK(G380)),ISTEXT(E380),ISTEXT(G380)),"",G380-R380)</f>
        <v>1285546802.4928398</v>
      </c>
      <c r="X380" s="609"/>
      <c r="Y380" s="449"/>
      <c r="Z380" s="449"/>
      <c r="AA380" s="694"/>
      <c r="AB380" s="692"/>
      <c r="AC380" s="692"/>
      <c r="AD380" s="695"/>
      <c r="AE380" s="452"/>
      <c r="AF380" s="571"/>
      <c r="AG380" s="452"/>
      <c r="AH380" s="452"/>
      <c r="AI380" s="453"/>
      <c r="AJ380" s="449"/>
      <c r="AK380" s="453"/>
      <c r="AL380" s="454"/>
      <c r="AM380" s="455"/>
      <c r="AN380" s="456"/>
      <c r="AO380" s="455"/>
      <c r="AP380" s="452"/>
      <c r="AQ380" s="457"/>
      <c r="AR380" s="449"/>
      <c r="AS380" s="449"/>
      <c r="AT380" s="452"/>
      <c r="AU380" s="457"/>
      <c r="AV380" s="449"/>
      <c r="AW380" s="458"/>
      <c r="AX380" s="452"/>
      <c r="AY380" s="457"/>
      <c r="AZ380" s="449"/>
      <c r="BA380" s="459"/>
      <c r="BB380" s="455"/>
      <c r="BC380" s="460"/>
      <c r="BD380" s="460"/>
      <c r="BG380" s="462"/>
    </row>
    <row r="381" spans="1:59" s="461" customFormat="1" ht="18" customHeight="1" x14ac:dyDescent="0.2">
      <c r="A381" s="461" t="str">
        <f t="shared" ref="A381:A388" si="322">$D$376&amp;S381</f>
        <v>RUMAH DINAS WAKIL KETUA II DPRD2010</v>
      </c>
      <c r="B381" s="708"/>
      <c r="C381" s="489"/>
      <c r="D381" s="489" t="s">
        <v>1752</v>
      </c>
      <c r="E381" s="558"/>
      <c r="F381" s="559">
        <v>2010</v>
      </c>
      <c r="G381" s="619">
        <v>0</v>
      </c>
      <c r="H381" s="464">
        <f t="shared" ref="H381:H387" si="323">IF(N380-(F381-F380)&lt;=0,0,(N380-(F381-F380)))</f>
        <v>49</v>
      </c>
      <c r="I381" s="560"/>
      <c r="J381" s="468">
        <f t="shared" ref="J381:J387" si="324">(F381+N381)-1</f>
        <v>2058</v>
      </c>
      <c r="K381" s="490">
        <f t="shared" ref="K381:K387" si="325">IF(G381=0,0,IF(H381=50,100%,G381/W380))</f>
        <v>0</v>
      </c>
      <c r="L381" s="469">
        <f>IF(K381=0%,0,IF(K381&lt;=25%,5,IF(K381&lt;=50%,10,IF(K381&lt;=75%,15,50))))</f>
        <v>0</v>
      </c>
      <c r="M381" s="683">
        <f t="shared" ref="M381:M387" si="326">IF(OR(AND(ISBLANK(E381),ISBLANK(G381)),ISTEXT(E381),ISTEXT(G381)),"",IF(H381+L381&gt;$H$27,$H$27-H381,L381))</f>
        <v>0</v>
      </c>
      <c r="N381" s="470">
        <f t="shared" ref="N381:N387" si="327">IF(OR(AND(ISBLANK(F381),ISBLANK(G381)),ISTEXT(F381),ISTEXT(G381)),"",H381+M381)</f>
        <v>49</v>
      </c>
      <c r="O381" s="468">
        <f t="shared" ref="O381:O387" si="328">(F381+N381)-1</f>
        <v>2058</v>
      </c>
      <c r="P381" s="471">
        <f>W380</f>
        <v>1285546802.4928398</v>
      </c>
      <c r="Q381" s="472">
        <f t="shared" ref="Q381:Q387" si="329">P381+G381</f>
        <v>1285546802.4928398</v>
      </c>
      <c r="R381" s="472">
        <f>IF(L381=0,R380,Q381/N381)</f>
        <v>26235649.030466117</v>
      </c>
      <c r="S381" s="842">
        <f t="shared" si="320"/>
        <v>2010</v>
      </c>
      <c r="T381" s="470">
        <f>S381-S380</f>
        <v>1</v>
      </c>
      <c r="U381" s="612">
        <f t="shared" si="321"/>
        <v>26235649.030466117</v>
      </c>
      <c r="V381" s="464">
        <f t="shared" ref="V381:V387" si="330">F381</f>
        <v>2010</v>
      </c>
      <c r="W381" s="612">
        <f t="shared" ref="W381:W387" si="331">IF(OR(AND(ISBLANK(E381),ISBLANK(G381)),ISTEXT(E381),ISTEXT(G381)),"",Q381-U381)</f>
        <v>1259311153.4623737</v>
      </c>
      <c r="X381" s="561"/>
      <c r="Y381" s="449"/>
      <c r="Z381" s="449"/>
      <c r="AA381" s="554" t="s">
        <v>4179</v>
      </c>
      <c r="AB381" s="452"/>
      <c r="AC381" s="452"/>
      <c r="AD381" s="566"/>
      <c r="AE381" s="452"/>
      <c r="AF381" s="571"/>
      <c r="AG381" s="452"/>
      <c r="AH381" s="452"/>
      <c r="AI381" s="453"/>
      <c r="AJ381" s="449"/>
      <c r="AK381" s="453"/>
      <c r="AL381" s="454"/>
      <c r="AM381" s="455"/>
      <c r="AN381" s="456"/>
      <c r="AO381" s="455"/>
      <c r="AP381" s="452"/>
      <c r="AQ381" s="457"/>
      <c r="AR381" s="449"/>
      <c r="AS381" s="449"/>
      <c r="AT381" s="452"/>
      <c r="AU381" s="457"/>
      <c r="AV381" s="449"/>
      <c r="AW381" s="458"/>
      <c r="AX381" s="452"/>
      <c r="AY381" s="457"/>
      <c r="AZ381" s="449"/>
      <c r="BA381" s="459"/>
      <c r="BB381" s="455"/>
      <c r="BC381" s="460"/>
      <c r="BD381" s="460"/>
      <c r="BG381" s="462"/>
    </row>
    <row r="382" spans="1:59" s="461" customFormat="1" ht="18" customHeight="1" x14ac:dyDescent="0.2">
      <c r="A382" s="461" t="str">
        <f t="shared" si="322"/>
        <v>RUMAH DINAS WAKIL KETUA II DPRD2013</v>
      </c>
      <c r="B382" s="708"/>
      <c r="C382" s="489"/>
      <c r="D382" s="489" t="s">
        <v>1752</v>
      </c>
      <c r="E382" s="558"/>
      <c r="F382" s="559">
        <v>2013</v>
      </c>
      <c r="G382" s="619">
        <v>0</v>
      </c>
      <c r="H382" s="464">
        <f t="shared" si="323"/>
        <v>46</v>
      </c>
      <c r="I382" s="560"/>
      <c r="J382" s="468">
        <f t="shared" si="324"/>
        <v>2058</v>
      </c>
      <c r="K382" s="490">
        <f t="shared" si="325"/>
        <v>0</v>
      </c>
      <c r="L382" s="469">
        <f t="shared" ref="L382:L387" si="332">IF(K382=0%,0,IF(K382&lt;=25%,5,IF(K382&lt;=50%,10,IF(K382&lt;=75%,15,50))))</f>
        <v>0</v>
      </c>
      <c r="M382" s="683">
        <f t="shared" si="326"/>
        <v>0</v>
      </c>
      <c r="N382" s="470">
        <f t="shared" si="327"/>
        <v>46</v>
      </c>
      <c r="O382" s="468">
        <f t="shared" si="328"/>
        <v>2058</v>
      </c>
      <c r="P382" s="471">
        <f t="shared" ref="P382:P387" si="333">W381</f>
        <v>1259311153.4623737</v>
      </c>
      <c r="Q382" s="472">
        <f t="shared" si="329"/>
        <v>1259311153.4623737</v>
      </c>
      <c r="R382" s="472">
        <f t="shared" ref="R382:R387" si="334">IF(L382=0,R381,Q382/N382)</f>
        <v>26235649.030466117</v>
      </c>
      <c r="S382" s="842">
        <f t="shared" si="320"/>
        <v>2013</v>
      </c>
      <c r="T382" s="470">
        <f t="shared" ref="T382:T387" si="335">S382-S381</f>
        <v>3</v>
      </c>
      <c r="U382" s="612">
        <f t="shared" si="321"/>
        <v>78706947.091398358</v>
      </c>
      <c r="V382" s="464">
        <f t="shared" si="330"/>
        <v>2013</v>
      </c>
      <c r="W382" s="612">
        <f t="shared" si="331"/>
        <v>1180604206.3709755</v>
      </c>
      <c r="X382" s="561"/>
      <c r="Y382" s="449"/>
      <c r="Z382" s="449"/>
      <c r="AA382" s="554"/>
      <c r="AB382" s="452"/>
      <c r="AC382" s="452"/>
      <c r="AD382" s="566"/>
      <c r="AE382" s="452"/>
      <c r="AF382" s="571"/>
      <c r="AG382" s="452"/>
      <c r="AH382" s="452"/>
      <c r="AI382" s="453"/>
      <c r="AJ382" s="449"/>
      <c r="AK382" s="453"/>
      <c r="AL382" s="454"/>
      <c r="AM382" s="455"/>
      <c r="AN382" s="456"/>
      <c r="AO382" s="455"/>
      <c r="AP382" s="452"/>
      <c r="AQ382" s="457"/>
      <c r="AR382" s="449"/>
      <c r="AS382" s="449"/>
      <c r="AT382" s="452"/>
      <c r="AU382" s="457"/>
      <c r="AV382" s="449"/>
      <c r="AW382" s="458"/>
      <c r="AX382" s="452"/>
      <c r="AY382" s="457"/>
      <c r="AZ382" s="449"/>
      <c r="BA382" s="459"/>
      <c r="BB382" s="455"/>
      <c r="BC382" s="460"/>
      <c r="BD382" s="460"/>
      <c r="BG382" s="462"/>
    </row>
    <row r="383" spans="1:59" s="461" customFormat="1" ht="18" customHeight="1" x14ac:dyDescent="0.2">
      <c r="A383" s="461" t="str">
        <f t="shared" si="322"/>
        <v>RUMAH DINAS WAKIL KETUA II DPRD2014</v>
      </c>
      <c r="B383" s="708"/>
      <c r="C383" s="489"/>
      <c r="D383" s="489" t="s">
        <v>1752</v>
      </c>
      <c r="E383" s="558"/>
      <c r="F383" s="559">
        <v>2014</v>
      </c>
      <c r="G383" s="619">
        <v>0</v>
      </c>
      <c r="H383" s="464">
        <f t="shared" si="323"/>
        <v>45</v>
      </c>
      <c r="I383" s="560"/>
      <c r="J383" s="468">
        <f t="shared" si="324"/>
        <v>2058</v>
      </c>
      <c r="K383" s="490">
        <f t="shared" si="325"/>
        <v>0</v>
      </c>
      <c r="L383" s="469">
        <f t="shared" si="332"/>
        <v>0</v>
      </c>
      <c r="M383" s="683">
        <f t="shared" si="326"/>
        <v>0</v>
      </c>
      <c r="N383" s="470">
        <f t="shared" si="327"/>
        <v>45</v>
      </c>
      <c r="O383" s="468">
        <f t="shared" si="328"/>
        <v>2058</v>
      </c>
      <c r="P383" s="471">
        <f t="shared" si="333"/>
        <v>1180604206.3709755</v>
      </c>
      <c r="Q383" s="472">
        <f t="shared" si="329"/>
        <v>1180604206.3709755</v>
      </c>
      <c r="R383" s="472">
        <f t="shared" si="334"/>
        <v>26235649.030466117</v>
      </c>
      <c r="S383" s="842">
        <f t="shared" si="320"/>
        <v>2014</v>
      </c>
      <c r="T383" s="470">
        <f t="shared" si="335"/>
        <v>1</v>
      </c>
      <c r="U383" s="612">
        <f t="shared" si="321"/>
        <v>26235649.030466117</v>
      </c>
      <c r="V383" s="464">
        <f t="shared" si="330"/>
        <v>2014</v>
      </c>
      <c r="W383" s="612">
        <f t="shared" si="331"/>
        <v>1154368557.3405094</v>
      </c>
      <c r="X383" s="561"/>
      <c r="Y383" s="449"/>
      <c r="Z383" s="449"/>
      <c r="AA383" s="475" t="s">
        <v>4180</v>
      </c>
      <c r="AB383" s="476"/>
      <c r="AC383" s="476"/>
      <c r="AD383" s="567">
        <f>G390</f>
        <v>1514113451.5233059</v>
      </c>
      <c r="AE383" s="452"/>
      <c r="AF383" s="571"/>
      <c r="AG383" s="452"/>
      <c r="AH383" s="452"/>
      <c r="AI383" s="453"/>
      <c r="AJ383" s="449"/>
      <c r="AK383" s="453"/>
      <c r="AL383" s="454"/>
      <c r="AM383" s="455"/>
      <c r="AN383" s="456"/>
      <c r="AO383" s="455"/>
      <c r="AP383" s="452"/>
      <c r="AQ383" s="457"/>
      <c r="AR383" s="449"/>
      <c r="AS383" s="449"/>
      <c r="AT383" s="452"/>
      <c r="AU383" s="457"/>
      <c r="AV383" s="449"/>
      <c r="AW383" s="458"/>
      <c r="AX383" s="452"/>
      <c r="AY383" s="457"/>
      <c r="AZ383" s="449"/>
      <c r="BA383" s="459"/>
      <c r="BB383" s="455"/>
      <c r="BC383" s="460"/>
      <c r="BD383" s="460"/>
      <c r="BG383" s="462"/>
    </row>
    <row r="384" spans="1:59" s="461" customFormat="1" ht="18" customHeight="1" x14ac:dyDescent="0.2">
      <c r="A384" s="461" t="str">
        <f t="shared" si="322"/>
        <v>RUMAH DINAS WAKIL KETUA II DPRD2015</v>
      </c>
      <c r="B384" s="708"/>
      <c r="C384" s="489"/>
      <c r="D384" s="489" t="s">
        <v>1752</v>
      </c>
      <c r="E384" s="558"/>
      <c r="F384" s="559">
        <v>2015</v>
      </c>
      <c r="G384" s="619">
        <v>0</v>
      </c>
      <c r="H384" s="464">
        <f t="shared" si="323"/>
        <v>44</v>
      </c>
      <c r="I384" s="560"/>
      <c r="J384" s="468">
        <f t="shared" si="324"/>
        <v>2058</v>
      </c>
      <c r="K384" s="490">
        <f t="shared" si="325"/>
        <v>0</v>
      </c>
      <c r="L384" s="469">
        <f t="shared" si="332"/>
        <v>0</v>
      </c>
      <c r="M384" s="683">
        <f t="shared" si="326"/>
        <v>0</v>
      </c>
      <c r="N384" s="470">
        <f t="shared" si="327"/>
        <v>44</v>
      </c>
      <c r="O384" s="468">
        <f t="shared" si="328"/>
        <v>2058</v>
      </c>
      <c r="P384" s="471">
        <f t="shared" si="333"/>
        <v>1154368557.3405094</v>
      </c>
      <c r="Q384" s="472">
        <f t="shared" si="329"/>
        <v>1154368557.3405094</v>
      </c>
      <c r="R384" s="472">
        <f t="shared" si="334"/>
        <v>26235649.030466117</v>
      </c>
      <c r="S384" s="842">
        <f t="shared" si="320"/>
        <v>2015</v>
      </c>
      <c r="T384" s="470">
        <f t="shared" si="335"/>
        <v>1</v>
      </c>
      <c r="U384" s="612">
        <f t="shared" si="321"/>
        <v>26235649.030466117</v>
      </c>
      <c r="V384" s="464">
        <f t="shared" si="330"/>
        <v>2015</v>
      </c>
      <c r="W384" s="612">
        <f t="shared" si="331"/>
        <v>1128132908.3100433</v>
      </c>
      <c r="X384" s="561"/>
      <c r="Y384" s="449"/>
      <c r="Z384" s="449"/>
      <c r="AA384" s="475" t="s">
        <v>4181</v>
      </c>
      <c r="AB384" s="491"/>
      <c r="AC384" s="491"/>
      <c r="AD384" s="567">
        <f>U390</f>
        <v>293133804.53817004</v>
      </c>
      <c r="AE384" s="452"/>
      <c r="AF384" s="571"/>
      <c r="AG384" s="452"/>
      <c r="AH384" s="452"/>
      <c r="AI384" s="453"/>
      <c r="AJ384" s="449"/>
      <c r="AK384" s="453"/>
      <c r="AL384" s="454"/>
      <c r="AM384" s="455"/>
      <c r="AN384" s="456"/>
      <c r="AO384" s="455"/>
      <c r="AP384" s="452"/>
      <c r="AQ384" s="457"/>
      <c r="AR384" s="449"/>
      <c r="AS384" s="449"/>
      <c r="AT384" s="452"/>
      <c r="AU384" s="457"/>
      <c r="AV384" s="449"/>
      <c r="AW384" s="458"/>
      <c r="AX384" s="452"/>
      <c r="AY384" s="457"/>
      <c r="AZ384" s="449"/>
      <c r="BA384" s="459"/>
      <c r="BB384" s="455"/>
      <c r="BC384" s="460"/>
      <c r="BD384" s="460"/>
      <c r="BG384" s="462"/>
    </row>
    <row r="385" spans="1:59" s="461" customFormat="1" ht="18" customHeight="1" x14ac:dyDescent="0.2">
      <c r="A385" s="461" t="str">
        <f t="shared" si="322"/>
        <v>RUMAH DINAS WAKIL KETUA II DPRD2016</v>
      </c>
      <c r="B385" s="708"/>
      <c r="C385" s="489"/>
      <c r="D385" s="489" t="s">
        <v>1752</v>
      </c>
      <c r="E385" s="558"/>
      <c r="F385" s="559">
        <v>2016</v>
      </c>
      <c r="G385" s="619">
        <v>0</v>
      </c>
      <c r="H385" s="464">
        <f t="shared" si="323"/>
        <v>43</v>
      </c>
      <c r="I385" s="560"/>
      <c r="J385" s="468">
        <f t="shared" si="324"/>
        <v>2058</v>
      </c>
      <c r="K385" s="490">
        <f t="shared" si="325"/>
        <v>0</v>
      </c>
      <c r="L385" s="469">
        <f t="shared" si="332"/>
        <v>0</v>
      </c>
      <c r="M385" s="683">
        <f t="shared" si="326"/>
        <v>0</v>
      </c>
      <c r="N385" s="470">
        <f t="shared" si="327"/>
        <v>43</v>
      </c>
      <c r="O385" s="468">
        <f t="shared" si="328"/>
        <v>2058</v>
      </c>
      <c r="P385" s="471">
        <f t="shared" si="333"/>
        <v>1128132908.3100433</v>
      </c>
      <c r="Q385" s="472">
        <f t="shared" si="329"/>
        <v>1128132908.3100433</v>
      </c>
      <c r="R385" s="472">
        <f t="shared" si="334"/>
        <v>26235649.030466117</v>
      </c>
      <c r="S385" s="842">
        <f t="shared" si="320"/>
        <v>2016</v>
      </c>
      <c r="T385" s="470">
        <f t="shared" si="335"/>
        <v>1</v>
      </c>
      <c r="U385" s="612">
        <f t="shared" si="321"/>
        <v>26235649.030466117</v>
      </c>
      <c r="V385" s="464">
        <f t="shared" si="330"/>
        <v>2016</v>
      </c>
      <c r="W385" s="612">
        <f t="shared" si="331"/>
        <v>1101897259.2795773</v>
      </c>
      <c r="X385" s="561"/>
      <c r="Y385" s="449"/>
      <c r="Z385" s="449"/>
      <c r="AA385" s="492" t="s">
        <v>4182</v>
      </c>
      <c r="AB385" s="476"/>
      <c r="AC385" s="476"/>
      <c r="AD385" s="568">
        <f>AD383-AD384</f>
        <v>1220979646.9851358</v>
      </c>
      <c r="AE385" s="452"/>
      <c r="AF385" s="571"/>
      <c r="AG385" s="452"/>
      <c r="AH385" s="452"/>
      <c r="AI385" s="453"/>
      <c r="AJ385" s="449"/>
      <c r="AK385" s="453"/>
      <c r="AL385" s="454"/>
      <c r="AM385" s="455"/>
      <c r="AN385" s="456"/>
      <c r="AO385" s="455"/>
      <c r="AP385" s="452"/>
      <c r="AQ385" s="457"/>
      <c r="AR385" s="449"/>
      <c r="AS385" s="449"/>
      <c r="AT385" s="452"/>
      <c r="AU385" s="457"/>
      <c r="AV385" s="449"/>
      <c r="AW385" s="458"/>
      <c r="AX385" s="452"/>
      <c r="AY385" s="457"/>
      <c r="AZ385" s="449"/>
      <c r="BA385" s="459"/>
      <c r="BB385" s="455"/>
      <c r="BC385" s="460"/>
      <c r="BD385" s="460"/>
      <c r="BG385" s="462"/>
    </row>
    <row r="386" spans="1:59" s="461" customFormat="1" ht="18" customHeight="1" x14ac:dyDescent="0.2">
      <c r="A386" s="461" t="str">
        <f t="shared" si="322"/>
        <v>RUMAH DINAS WAKIL KETUA II DPRD2017</v>
      </c>
      <c r="B386" s="708">
        <v>2</v>
      </c>
      <c r="C386" s="489" t="s">
        <v>2996</v>
      </c>
      <c r="D386" s="489" t="s">
        <v>1752</v>
      </c>
      <c r="E386" s="558"/>
      <c r="F386" s="559">
        <v>2017</v>
      </c>
      <c r="G386" s="619">
        <v>202331000</v>
      </c>
      <c r="H386" s="464">
        <f t="shared" si="323"/>
        <v>42</v>
      </c>
      <c r="I386" s="560"/>
      <c r="J386" s="468">
        <f t="shared" si="324"/>
        <v>2063</v>
      </c>
      <c r="K386" s="490">
        <f t="shared" si="325"/>
        <v>0.18362056743138142</v>
      </c>
      <c r="L386" s="469">
        <f t="shared" si="332"/>
        <v>5</v>
      </c>
      <c r="M386" s="683">
        <f t="shared" si="326"/>
        <v>5</v>
      </c>
      <c r="N386" s="470">
        <f t="shared" si="327"/>
        <v>47</v>
      </c>
      <c r="O386" s="468">
        <f t="shared" si="328"/>
        <v>2063</v>
      </c>
      <c r="P386" s="471">
        <f t="shared" si="333"/>
        <v>1101897259.2795773</v>
      </c>
      <c r="Q386" s="472">
        <f t="shared" si="329"/>
        <v>1304228259.2795773</v>
      </c>
      <c r="R386" s="472">
        <f t="shared" si="334"/>
        <v>27749537.431480367</v>
      </c>
      <c r="S386" s="842">
        <f t="shared" si="320"/>
        <v>2017</v>
      </c>
      <c r="T386" s="470">
        <f t="shared" si="335"/>
        <v>1</v>
      </c>
      <c r="U386" s="612">
        <f t="shared" si="321"/>
        <v>27749537.431480367</v>
      </c>
      <c r="V386" s="464">
        <f t="shared" si="330"/>
        <v>2017</v>
      </c>
      <c r="W386" s="612">
        <f t="shared" si="331"/>
        <v>1276478721.8480968</v>
      </c>
      <c r="X386" s="561"/>
      <c r="Y386" s="449"/>
      <c r="Z386" s="449"/>
      <c r="AA386" s="475" t="s">
        <v>4183</v>
      </c>
      <c r="AB386" s="476"/>
      <c r="AC386" s="476"/>
      <c r="AD386" s="567">
        <f>AD385-W390</f>
        <v>0</v>
      </c>
      <c r="AE386" s="452"/>
      <c r="AF386" s="571"/>
      <c r="AG386" s="452"/>
      <c r="AH386" s="452"/>
      <c r="AI386" s="453"/>
      <c r="AJ386" s="449"/>
      <c r="AK386" s="453"/>
      <c r="AL386" s="454"/>
      <c r="AM386" s="455"/>
      <c r="AN386" s="456"/>
      <c r="AO386" s="455"/>
      <c r="AP386" s="452"/>
      <c r="AQ386" s="457"/>
      <c r="AR386" s="449"/>
      <c r="AS386" s="449"/>
      <c r="AT386" s="452"/>
      <c r="AU386" s="457"/>
      <c r="AV386" s="449"/>
      <c r="AW386" s="458"/>
      <c r="AX386" s="452"/>
      <c r="AY386" s="457"/>
      <c r="AZ386" s="449"/>
      <c r="BA386" s="459"/>
      <c r="BB386" s="455"/>
      <c r="BC386" s="460"/>
      <c r="BD386" s="460"/>
      <c r="BG386" s="462"/>
    </row>
    <row r="387" spans="1:59" s="486" customFormat="1" ht="18" customHeight="1" x14ac:dyDescent="0.2">
      <c r="A387" s="461" t="str">
        <f t="shared" si="322"/>
        <v>RUMAH DINAS WAKIL KETUA II DPRD2018</v>
      </c>
      <c r="B387" s="708"/>
      <c r="C387" s="463"/>
      <c r="D387" s="489"/>
      <c r="E387" s="465"/>
      <c r="F387" s="559">
        <v>2018</v>
      </c>
      <c r="G387" s="619">
        <v>0</v>
      </c>
      <c r="H387" s="464">
        <f t="shared" si="323"/>
        <v>46</v>
      </c>
      <c r="I387" s="560"/>
      <c r="J387" s="468">
        <f t="shared" si="324"/>
        <v>2063</v>
      </c>
      <c r="K387" s="490">
        <f t="shared" si="325"/>
        <v>0</v>
      </c>
      <c r="L387" s="469">
        <f t="shared" si="332"/>
        <v>0</v>
      </c>
      <c r="M387" s="683">
        <f t="shared" si="326"/>
        <v>0</v>
      </c>
      <c r="N387" s="470">
        <f t="shared" si="327"/>
        <v>46</v>
      </c>
      <c r="O387" s="468">
        <f t="shared" si="328"/>
        <v>2063</v>
      </c>
      <c r="P387" s="471">
        <f t="shared" si="333"/>
        <v>1276478721.8480968</v>
      </c>
      <c r="Q387" s="472">
        <f t="shared" si="329"/>
        <v>1276478721.8480968</v>
      </c>
      <c r="R387" s="472">
        <f t="shared" si="334"/>
        <v>27749537.431480367</v>
      </c>
      <c r="S387" s="842">
        <f t="shared" si="320"/>
        <v>2018</v>
      </c>
      <c r="T387" s="470">
        <f t="shared" si="335"/>
        <v>1</v>
      </c>
      <c r="U387" s="612">
        <f t="shared" si="321"/>
        <v>27749537.431480367</v>
      </c>
      <c r="V387" s="464">
        <f t="shared" si="330"/>
        <v>2018</v>
      </c>
      <c r="W387" s="612">
        <f t="shared" si="331"/>
        <v>1248729184.4166164</v>
      </c>
      <c r="X387" s="561"/>
      <c r="Y387" s="474"/>
      <c r="Z387" s="449"/>
      <c r="AA387" s="495"/>
      <c r="AB387" s="496"/>
      <c r="AC387" s="496"/>
      <c r="AD387" s="569"/>
      <c r="AE387" s="476"/>
      <c r="AF387" s="568"/>
      <c r="AG387" s="476"/>
      <c r="AH387" s="476"/>
      <c r="AI387" s="477"/>
      <c r="AJ387" s="478"/>
      <c r="AK387" s="479"/>
      <c r="AL387" s="480"/>
      <c r="AM387" s="474"/>
      <c r="AN387" s="481"/>
      <c r="AO387" s="474"/>
      <c r="AP387" s="476"/>
      <c r="AQ387" s="482"/>
      <c r="AR387" s="478"/>
      <c r="AS387" s="478"/>
      <c r="AT387" s="476"/>
      <c r="AU387" s="482"/>
      <c r="AV387" s="478"/>
      <c r="AW387" s="483"/>
      <c r="AX387" s="476"/>
      <c r="AY387" s="482"/>
      <c r="AZ387" s="478"/>
      <c r="BA387" s="484"/>
      <c r="BB387" s="474"/>
      <c r="BC387" s="485"/>
      <c r="BD387" s="485"/>
      <c r="BG387" s="487"/>
    </row>
    <row r="388" spans="1:59" s="486" customFormat="1" ht="18" customHeight="1" x14ac:dyDescent="0.2">
      <c r="A388" s="461" t="str">
        <f t="shared" si="322"/>
        <v>RUMAH DINAS WAKIL KETUA II DPRD2019</v>
      </c>
      <c r="B388" s="708"/>
      <c r="C388" s="488"/>
      <c r="D388" s="489"/>
      <c r="E388" s="465"/>
      <c r="F388" s="466">
        <v>2019</v>
      </c>
      <c r="G388" s="619">
        <v>0</v>
      </c>
      <c r="H388" s="464">
        <f>IF(N387-(F388-F387)&lt;=0,0,(N387-(F388-F387)))</f>
        <v>45</v>
      </c>
      <c r="I388" s="560"/>
      <c r="J388" s="468">
        <f>(F388+N388)-1</f>
        <v>2063</v>
      </c>
      <c r="K388" s="490">
        <f>IF(G388=0,0,IF(H388=50,100%,G388/W387))</f>
        <v>0</v>
      </c>
      <c r="L388" s="469">
        <f>IF(K388=0%,0,IF(K388&lt;=25%,5,IF(K388&lt;=50%,10,IF(K388&lt;=75%,15,50))))</f>
        <v>0</v>
      </c>
      <c r="M388" s="683">
        <f>IF(OR(AND(ISBLANK(E388),ISBLANK(G388)),ISTEXT(E388),ISTEXT(G388)),"",IF(H388+L388&gt;$H$27,$H$27-H388,L388))</f>
        <v>0</v>
      </c>
      <c r="N388" s="470">
        <f>IF(OR(AND(ISBLANK(F388),ISBLANK(G388)),ISTEXT(F388),ISTEXT(G388)),"",H388+M388)</f>
        <v>45</v>
      </c>
      <c r="O388" s="468">
        <f>(F388+N388)-1</f>
        <v>2063</v>
      </c>
      <c r="P388" s="471">
        <f>W387</f>
        <v>1248729184.4166164</v>
      </c>
      <c r="Q388" s="472">
        <f>P388+G388</f>
        <v>1248729184.4166164</v>
      </c>
      <c r="R388" s="472">
        <f>IF(L388=0,R387,Q388/N388)</f>
        <v>27749537.431480367</v>
      </c>
      <c r="S388" s="1189">
        <f>F388</f>
        <v>2019</v>
      </c>
      <c r="T388" s="470">
        <f>S388-S387</f>
        <v>1</v>
      </c>
      <c r="U388" s="612">
        <f>R388*T388</f>
        <v>27749537.431480367</v>
      </c>
      <c r="V388" s="464">
        <f>F388</f>
        <v>2019</v>
      </c>
      <c r="W388" s="612">
        <f>IF(OR(AND(ISBLANK(E388),ISBLANK(G388)),ISTEXT(E388),ISTEXT(G388)),"",Q388-U388)</f>
        <v>1220979646.985136</v>
      </c>
      <c r="X388" s="473"/>
      <c r="Y388" s="478"/>
      <c r="Z388" s="449"/>
      <c r="AA388" s="699"/>
      <c r="AB388" s="700"/>
      <c r="AC388" s="700"/>
      <c r="AD388" s="701"/>
      <c r="AE388" s="491"/>
      <c r="AF388" s="568"/>
      <c r="AG388" s="491"/>
      <c r="AH388" s="491"/>
      <c r="AI388" s="477"/>
      <c r="AJ388" s="478"/>
      <c r="AK388" s="479"/>
      <c r="AL388" s="480"/>
      <c r="AM388" s="474"/>
      <c r="AN388" s="481"/>
      <c r="AO388" s="474"/>
      <c r="AP388" s="476"/>
      <c r="AQ388" s="482"/>
      <c r="AR388" s="478"/>
      <c r="AS388" s="478"/>
      <c r="AT388" s="476"/>
      <c r="AU388" s="482"/>
      <c r="AV388" s="478"/>
      <c r="AW388" s="483"/>
      <c r="AX388" s="476"/>
      <c r="AY388" s="482"/>
      <c r="AZ388" s="478"/>
      <c r="BA388" s="484"/>
      <c r="BB388" s="474"/>
      <c r="BC388" s="485"/>
      <c r="BD388" s="485"/>
      <c r="BG388" s="487"/>
    </row>
    <row r="389" spans="1:59" s="486" customFormat="1" ht="18" customHeight="1" x14ac:dyDescent="0.2">
      <c r="B389" s="687"/>
      <c r="C389" s="494"/>
      <c r="D389" s="464"/>
      <c r="E389" s="465"/>
      <c r="F389" s="466"/>
      <c r="G389" s="620"/>
      <c r="H389" s="464"/>
      <c r="I389" s="467"/>
      <c r="J389" s="468"/>
      <c r="K389" s="490"/>
      <c r="L389" s="469"/>
      <c r="M389" s="683"/>
      <c r="N389" s="470"/>
      <c r="O389" s="468"/>
      <c r="P389" s="471"/>
      <c r="Q389" s="472"/>
      <c r="R389" s="472"/>
      <c r="S389" s="842"/>
      <c r="T389" s="470"/>
      <c r="U389" s="612"/>
      <c r="V389" s="464"/>
      <c r="W389" s="612"/>
      <c r="X389" s="473"/>
      <c r="Y389" s="478"/>
      <c r="Z389" s="449"/>
      <c r="AA389" s="497"/>
      <c r="AB389" s="476"/>
      <c r="AC389" s="476"/>
      <c r="AD389" s="568"/>
      <c r="AE389" s="476"/>
      <c r="AF389" s="568"/>
      <c r="AG389" s="476"/>
      <c r="AH389" s="476"/>
      <c r="AI389" s="477"/>
      <c r="AJ389" s="478"/>
      <c r="AK389" s="479"/>
      <c r="AL389" s="480"/>
      <c r="AM389" s="474"/>
      <c r="AN389" s="481"/>
      <c r="AO389" s="474"/>
      <c r="AP389" s="476"/>
      <c r="AQ389" s="482"/>
      <c r="AR389" s="478"/>
      <c r="AS389" s="478"/>
      <c r="AT389" s="476"/>
      <c r="AU389" s="482"/>
      <c r="AV389" s="478"/>
      <c r="AW389" s="483"/>
      <c r="AX389" s="476"/>
      <c r="AY389" s="482"/>
      <c r="AZ389" s="478"/>
      <c r="BA389" s="484"/>
      <c r="BB389" s="474"/>
      <c r="BC389" s="485"/>
      <c r="BD389" s="485"/>
      <c r="BG389" s="487"/>
    </row>
    <row r="390" spans="1:59" s="526" customFormat="1" ht="18" customHeight="1" x14ac:dyDescent="0.2">
      <c r="B390" s="1956" t="s">
        <v>4184</v>
      </c>
      <c r="C390" s="1957"/>
      <c r="D390" s="1957"/>
      <c r="E390" s="1957"/>
      <c r="F390" s="1958"/>
      <c r="G390" s="621">
        <f>SUM(G380:G389)</f>
        <v>1514113451.5233059</v>
      </c>
      <c r="H390" s="505"/>
      <c r="I390" s="506"/>
      <c r="J390" s="507"/>
      <c r="K390" s="507"/>
      <c r="L390" s="505"/>
      <c r="M390" s="684"/>
      <c r="N390" s="508"/>
      <c r="O390" s="507"/>
      <c r="P390" s="509"/>
      <c r="Q390" s="510"/>
      <c r="R390" s="511"/>
      <c r="S390" s="512"/>
      <c r="T390" s="512"/>
      <c r="U390" s="610">
        <f>SUM(U380:U389)</f>
        <v>293133804.53817004</v>
      </c>
      <c r="V390" s="513"/>
      <c r="W390" s="610">
        <f>G390-U390</f>
        <v>1220979646.9851358</v>
      </c>
      <c r="X390" s="514"/>
      <c r="Y390" s="515"/>
      <c r="Z390" s="515"/>
      <c r="AA390" s="515"/>
      <c r="AB390" s="515"/>
      <c r="AC390" s="515"/>
      <c r="AD390" s="570"/>
      <c r="AE390" s="515"/>
      <c r="AF390" s="570"/>
      <c r="AG390" s="515"/>
      <c r="AH390" s="515"/>
      <c r="AI390" s="516"/>
      <c r="AJ390" s="517"/>
      <c r="AK390" s="518"/>
      <c r="AL390" s="519"/>
      <c r="AM390" s="520"/>
      <c r="AN390" s="521"/>
      <c r="AO390" s="520"/>
      <c r="AP390" s="515"/>
      <c r="AQ390" s="522"/>
      <c r="AR390" s="517"/>
      <c r="AS390" s="517"/>
      <c r="AT390" s="515"/>
      <c r="AU390" s="522"/>
      <c r="AV390" s="517"/>
      <c r="AW390" s="523"/>
      <c r="AX390" s="515"/>
      <c r="AY390" s="522"/>
      <c r="AZ390" s="517"/>
      <c r="BA390" s="524"/>
      <c r="BB390" s="520"/>
      <c r="BC390" s="525"/>
      <c r="BD390" s="525"/>
      <c r="BG390" s="527"/>
    </row>
    <row r="391" spans="1:59" s="526" customFormat="1" ht="18" customHeight="1" x14ac:dyDescent="0.2">
      <c r="B391" s="741"/>
      <c r="C391" s="841"/>
      <c r="D391" s="841"/>
      <c r="E391" s="841"/>
      <c r="F391" s="585"/>
      <c r="G391" s="622"/>
      <c r="H391" s="586"/>
      <c r="I391" s="587"/>
      <c r="J391" s="588"/>
      <c r="K391" s="588"/>
      <c r="L391" s="586"/>
      <c r="M391" s="521"/>
      <c r="N391" s="589"/>
      <c r="O391" s="588"/>
      <c r="P391" s="590"/>
      <c r="Q391" s="591"/>
      <c r="R391" s="592"/>
      <c r="S391" s="593"/>
      <c r="T391" s="593"/>
      <c r="U391" s="570"/>
      <c r="V391" s="594"/>
      <c r="W391" s="570"/>
      <c r="X391" s="515"/>
      <c r="Y391" s="515"/>
      <c r="Z391" s="515"/>
      <c r="AA391" s="515"/>
      <c r="AB391" s="515"/>
      <c r="AC391" s="515"/>
      <c r="AD391" s="570"/>
      <c r="AE391" s="515"/>
      <c r="AF391" s="570"/>
      <c r="AG391" s="515"/>
      <c r="AH391" s="515"/>
      <c r="AI391" s="516"/>
      <c r="AJ391" s="517"/>
      <c r="AK391" s="518"/>
      <c r="AL391" s="519"/>
      <c r="AM391" s="520"/>
      <c r="AN391" s="521"/>
      <c r="AO391" s="520"/>
      <c r="AP391" s="515"/>
      <c r="AQ391" s="522"/>
      <c r="AR391" s="517"/>
      <c r="AS391" s="517"/>
      <c r="AT391" s="515"/>
      <c r="AU391" s="522"/>
      <c r="AV391" s="517"/>
      <c r="AW391" s="523"/>
      <c r="AX391" s="515"/>
      <c r="AY391" s="522"/>
      <c r="AZ391" s="517"/>
      <c r="BA391" s="524"/>
      <c r="BB391" s="520"/>
      <c r="BC391" s="525"/>
      <c r="BD391" s="525"/>
      <c r="BG391" s="527"/>
    </row>
    <row r="392" spans="1:59" s="526" customFormat="1" ht="18" customHeight="1" x14ac:dyDescent="0.2">
      <c r="B392" s="575"/>
      <c r="C392" s="585"/>
      <c r="D392" s="585"/>
      <c r="E392" s="585"/>
      <c r="F392" s="585"/>
      <c r="G392" s="622"/>
      <c r="H392" s="586"/>
      <c r="I392" s="587"/>
      <c r="J392" s="588"/>
      <c r="K392" s="588"/>
      <c r="L392" s="586"/>
      <c r="M392" s="521"/>
      <c r="N392" s="589"/>
      <c r="O392" s="588"/>
      <c r="P392" s="590"/>
      <c r="Q392" s="591"/>
      <c r="R392" s="592"/>
      <c r="S392" s="593"/>
      <c r="T392" s="593"/>
      <c r="U392" s="570"/>
      <c r="V392" s="594"/>
      <c r="W392" s="570"/>
      <c r="X392" s="515"/>
      <c r="Y392" s="515"/>
      <c r="Z392" s="515"/>
      <c r="AA392" s="515"/>
      <c r="AB392" s="515"/>
      <c r="AC392" s="515"/>
      <c r="AD392" s="570"/>
      <c r="AE392" s="515"/>
      <c r="AF392" s="570"/>
      <c r="AG392" s="515"/>
      <c r="AH392" s="515"/>
      <c r="AI392" s="516"/>
      <c r="AJ392" s="517"/>
      <c r="AK392" s="518"/>
      <c r="AL392" s="519"/>
      <c r="AM392" s="520"/>
      <c r="AN392" s="521"/>
      <c r="AO392" s="520"/>
      <c r="AP392" s="515"/>
      <c r="AQ392" s="522"/>
      <c r="AR392" s="517"/>
      <c r="AS392" s="517"/>
      <c r="AT392" s="515"/>
      <c r="AU392" s="522"/>
      <c r="AV392" s="517"/>
      <c r="AW392" s="523"/>
      <c r="AX392" s="515"/>
      <c r="AY392" s="522"/>
      <c r="AZ392" s="517"/>
      <c r="BA392" s="524"/>
      <c r="BB392" s="520"/>
      <c r="BC392" s="525"/>
      <c r="BD392" s="525"/>
      <c r="BG392" s="527"/>
    </row>
    <row r="393" spans="1:59" s="422" customFormat="1" ht="18" customHeight="1" x14ac:dyDescent="0.2">
      <c r="B393" s="688" t="s">
        <v>4774</v>
      </c>
      <c r="C393" s="556"/>
      <c r="D393" s="553" t="s">
        <v>2990</v>
      </c>
      <c r="E393" s="553"/>
      <c r="F393" s="421"/>
      <c r="G393" s="611"/>
      <c r="I393" s="423"/>
      <c r="J393" s="424"/>
      <c r="K393" s="424"/>
      <c r="M393" s="680"/>
      <c r="U393" s="611"/>
      <c r="W393" s="611"/>
      <c r="Y393" s="425"/>
      <c r="Z393" s="425"/>
      <c r="AA393" s="425"/>
      <c r="AB393" s="425"/>
      <c r="AC393" s="425"/>
      <c r="AD393" s="563"/>
      <c r="AE393" s="425"/>
      <c r="AF393" s="563"/>
      <c r="AG393" s="425"/>
      <c r="AH393" s="425"/>
      <c r="AI393" s="425"/>
      <c r="AJ393" s="425"/>
      <c r="AK393" s="425"/>
      <c r="AL393" s="425"/>
      <c r="AM393" s="425"/>
      <c r="AN393" s="425"/>
      <c r="AO393" s="425"/>
      <c r="AP393" s="425"/>
      <c r="AQ393" s="425"/>
      <c r="AR393" s="425"/>
      <c r="AS393" s="425"/>
      <c r="AT393" s="425"/>
      <c r="AU393" s="425"/>
      <c r="AV393" s="425"/>
      <c r="AW393" s="425"/>
      <c r="AX393" s="425"/>
      <c r="AY393" s="425"/>
      <c r="AZ393" s="425"/>
      <c r="BA393" s="425"/>
      <c r="BB393" s="425"/>
    </row>
    <row r="394" spans="1:59" s="431" customFormat="1" ht="18" customHeight="1" x14ac:dyDescent="0.2">
      <c r="B394" s="1968" t="s">
        <v>5</v>
      </c>
      <c r="C394" s="1968" t="s">
        <v>2280</v>
      </c>
      <c r="D394" s="1968" t="s">
        <v>4157</v>
      </c>
      <c r="E394" s="1968" t="s">
        <v>4158</v>
      </c>
      <c r="F394" s="1968"/>
      <c r="G394" s="1969" t="s">
        <v>4159</v>
      </c>
      <c r="H394" s="1355" t="s">
        <v>4160</v>
      </c>
      <c r="I394" s="1355"/>
      <c r="J394" s="1968" t="s">
        <v>4161</v>
      </c>
      <c r="K394" s="1964" t="s">
        <v>4162</v>
      </c>
      <c r="L394" s="1968" t="s">
        <v>4163</v>
      </c>
      <c r="M394" s="1971" t="s">
        <v>4164</v>
      </c>
      <c r="N394" s="1962" t="s">
        <v>4165</v>
      </c>
      <c r="O394" s="1968" t="s">
        <v>4166</v>
      </c>
      <c r="P394" s="1972" t="s">
        <v>4167</v>
      </c>
      <c r="Q394" s="1973"/>
      <c r="R394" s="631" t="s">
        <v>4168</v>
      </c>
      <c r="S394" s="1972" t="s">
        <v>4169</v>
      </c>
      <c r="T394" s="1974"/>
      <c r="U394" s="1973"/>
      <c r="V394" s="1975" t="s">
        <v>4170</v>
      </c>
      <c r="W394" s="1975"/>
      <c r="X394" s="1960" t="s">
        <v>4171</v>
      </c>
      <c r="Y394" s="1959"/>
      <c r="Z394" s="628"/>
      <c r="AA394" s="426"/>
      <c r="AB394" s="426"/>
      <c r="AC394" s="426"/>
      <c r="AD394" s="564"/>
      <c r="AE394" s="426"/>
      <c r="AF394" s="564"/>
      <c r="AG394" s="426"/>
      <c r="AH394" s="426"/>
      <c r="AI394" s="427"/>
      <c r="AJ394" s="427"/>
      <c r="AK394" s="427"/>
      <c r="AL394" s="427"/>
      <c r="AM394" s="428"/>
      <c r="AN394" s="427"/>
      <c r="AO394" s="427"/>
      <c r="AP394" s="426"/>
      <c r="AQ394" s="427"/>
      <c r="AR394" s="427"/>
      <c r="AS394" s="427"/>
      <c r="AT394" s="426"/>
      <c r="AU394" s="427"/>
      <c r="AV394" s="427"/>
      <c r="AW394" s="427"/>
      <c r="AX394" s="426"/>
      <c r="AY394" s="427"/>
      <c r="AZ394" s="427"/>
      <c r="BA394" s="427"/>
      <c r="BB394" s="429"/>
      <c r="BC394" s="430"/>
      <c r="BD394" s="430"/>
    </row>
    <row r="395" spans="1:59" s="431" customFormat="1" ht="18" customHeight="1" x14ac:dyDescent="0.2">
      <c r="B395" s="1968"/>
      <c r="C395" s="1968"/>
      <c r="D395" s="1968"/>
      <c r="E395" s="1968"/>
      <c r="F395" s="1968"/>
      <c r="G395" s="1969"/>
      <c r="H395" s="1355"/>
      <c r="I395" s="1355"/>
      <c r="J395" s="1968"/>
      <c r="K395" s="1970"/>
      <c r="L395" s="1968"/>
      <c r="M395" s="1971"/>
      <c r="N395" s="1963"/>
      <c r="O395" s="1968"/>
      <c r="P395" s="1960" t="s">
        <v>4172</v>
      </c>
      <c r="Q395" s="1960" t="s">
        <v>4173</v>
      </c>
      <c r="R395" s="1962" t="s">
        <v>4159</v>
      </c>
      <c r="S395" s="1962" t="s">
        <v>4174</v>
      </c>
      <c r="T395" s="1964" t="s">
        <v>4175</v>
      </c>
      <c r="U395" s="1966" t="s">
        <v>4159</v>
      </c>
      <c r="V395" s="1975"/>
      <c r="W395" s="1975"/>
      <c r="X395" s="1976"/>
      <c r="Y395" s="1959"/>
      <c r="Z395" s="628"/>
      <c r="AA395" s="426"/>
      <c r="AB395" s="426"/>
      <c r="AC395" s="426"/>
      <c r="AD395" s="564"/>
      <c r="AE395" s="426"/>
      <c r="AF395" s="564"/>
      <c r="AG395" s="426"/>
      <c r="AH395" s="426"/>
      <c r="AI395" s="427"/>
      <c r="AJ395" s="427"/>
      <c r="AK395" s="426"/>
      <c r="AL395" s="427"/>
      <c r="AM395" s="428"/>
      <c r="AN395" s="427"/>
      <c r="AO395" s="427"/>
      <c r="AP395" s="432"/>
      <c r="AQ395" s="427"/>
      <c r="AR395" s="427"/>
      <c r="AS395" s="427"/>
      <c r="AT395" s="432"/>
      <c r="AU395" s="427"/>
      <c r="AV395" s="427"/>
      <c r="AW395" s="427"/>
      <c r="AX395" s="432"/>
      <c r="AY395" s="427"/>
      <c r="AZ395" s="427"/>
      <c r="BA395" s="427"/>
      <c r="BB395" s="429"/>
      <c r="BC395" s="430"/>
      <c r="BD395" s="430"/>
    </row>
    <row r="396" spans="1:59" s="431" customFormat="1" ht="21.75" customHeight="1" x14ac:dyDescent="0.2">
      <c r="B396" s="1968"/>
      <c r="C396" s="1968"/>
      <c r="D396" s="1968"/>
      <c r="E396" s="433" t="s">
        <v>4176</v>
      </c>
      <c r="F396" s="434" t="s">
        <v>2288</v>
      </c>
      <c r="G396" s="1969"/>
      <c r="H396" s="1355" t="s">
        <v>2288</v>
      </c>
      <c r="I396" s="1355" t="s">
        <v>4177</v>
      </c>
      <c r="J396" s="1968"/>
      <c r="K396" s="1965"/>
      <c r="L396" s="435" t="s">
        <v>2288</v>
      </c>
      <c r="M396" s="681" t="s">
        <v>2288</v>
      </c>
      <c r="N396" s="630" t="s">
        <v>2288</v>
      </c>
      <c r="O396" s="1968"/>
      <c r="P396" s="1961"/>
      <c r="Q396" s="1961"/>
      <c r="R396" s="1963"/>
      <c r="S396" s="1963"/>
      <c r="T396" s="1965"/>
      <c r="U396" s="1967"/>
      <c r="V396" s="630" t="s">
        <v>4178</v>
      </c>
      <c r="W396" s="632" t="s">
        <v>4159</v>
      </c>
      <c r="X396" s="1961"/>
      <c r="Y396" s="436"/>
      <c r="Z396" s="436"/>
      <c r="AA396" s="426"/>
      <c r="AB396" s="426"/>
      <c r="AC396" s="426"/>
      <c r="AD396" s="564"/>
      <c r="AE396" s="426"/>
      <c r="AF396" s="564"/>
      <c r="AG396" s="426"/>
      <c r="AH396" s="426"/>
      <c r="AI396" s="427"/>
      <c r="AJ396" s="432"/>
      <c r="AK396" s="432"/>
      <c r="AL396" s="427"/>
      <c r="AM396" s="428"/>
      <c r="AN396" s="432"/>
      <c r="AO396" s="427"/>
      <c r="AP396" s="432"/>
      <c r="AQ396" s="432"/>
      <c r="AR396" s="427"/>
      <c r="AS396" s="427"/>
      <c r="AT396" s="432"/>
      <c r="AU396" s="432"/>
      <c r="AV396" s="427"/>
      <c r="AW396" s="427"/>
      <c r="AX396" s="432"/>
      <c r="AY396" s="432"/>
      <c r="AZ396" s="427"/>
      <c r="BA396" s="427"/>
      <c r="BB396" s="429"/>
      <c r="BC396" s="430"/>
      <c r="BD396" s="430"/>
    </row>
    <row r="397" spans="1:59" s="461" customFormat="1" ht="18" customHeight="1" x14ac:dyDescent="0.2">
      <c r="A397" s="461" t="str">
        <f>$D$393&amp;S397</f>
        <v>GEDUNG SERBAGUNA KECAMATAN GUNUNG TOAR2009</v>
      </c>
      <c r="B397" s="689">
        <v>1</v>
      </c>
      <c r="C397" s="597" t="s">
        <v>2672</v>
      </c>
      <c r="D397" s="597" t="s">
        <v>1752</v>
      </c>
      <c r="E397" s="598"/>
      <c r="F397" s="599">
        <v>2009</v>
      </c>
      <c r="G397" s="626">
        <v>1522324182.70312</v>
      </c>
      <c r="H397" s="600">
        <f>VLOOKUP(LEFT(D397,8),UE,4)</f>
        <v>50</v>
      </c>
      <c r="I397" s="601"/>
      <c r="J397" s="602">
        <f>(F397+N397)-1</f>
        <v>2058</v>
      </c>
      <c r="K397" s="603"/>
      <c r="L397" s="600"/>
      <c r="M397" s="685">
        <f>IF(H397+L397&gt;$H397,$H397-H397,L397)</f>
        <v>0</v>
      </c>
      <c r="N397" s="604">
        <f>H397+M397</f>
        <v>50</v>
      </c>
      <c r="O397" s="602">
        <f>(F397+N397)-1</f>
        <v>2058</v>
      </c>
      <c r="P397" s="605">
        <f>G397</f>
        <v>1522324182.70312</v>
      </c>
      <c r="Q397" s="606">
        <v>0</v>
      </c>
      <c r="R397" s="606">
        <f>P397/N397</f>
        <v>30446483.654062402</v>
      </c>
      <c r="S397" s="607">
        <f>F397</f>
        <v>2009</v>
      </c>
      <c r="T397" s="608">
        <v>1</v>
      </c>
      <c r="U397" s="615">
        <f>R397*T397</f>
        <v>30446483.654062402</v>
      </c>
      <c r="V397" s="602">
        <f>F397</f>
        <v>2009</v>
      </c>
      <c r="W397" s="618">
        <f>IF(OR(AND(ISBLANK(E397),ISBLANK(G397)),ISTEXT(E397),ISTEXT(G397)),"",G397-R397)</f>
        <v>1491877699.0490575</v>
      </c>
      <c r="X397" s="609"/>
      <c r="Y397" s="449"/>
      <c r="Z397" s="449"/>
      <c r="AA397" s="694"/>
      <c r="AB397" s="692"/>
      <c r="AC397" s="692"/>
      <c r="AD397" s="695"/>
      <c r="AE397" s="452"/>
      <c r="AF397" s="571"/>
      <c r="AG397" s="452"/>
      <c r="AH397" s="452"/>
      <c r="AI397" s="453"/>
      <c r="AJ397" s="449"/>
      <c r="AK397" s="453"/>
      <c r="AL397" s="454"/>
      <c r="AM397" s="455"/>
      <c r="AN397" s="456"/>
      <c r="AO397" s="455"/>
      <c r="AP397" s="452"/>
      <c r="AQ397" s="457"/>
      <c r="AR397" s="449"/>
      <c r="AS397" s="449"/>
      <c r="AT397" s="452"/>
      <c r="AU397" s="457"/>
      <c r="AV397" s="449"/>
      <c r="AW397" s="458"/>
      <c r="AX397" s="452"/>
      <c r="AY397" s="457"/>
      <c r="AZ397" s="449"/>
      <c r="BA397" s="459"/>
      <c r="BB397" s="455"/>
      <c r="BC397" s="460"/>
      <c r="BD397" s="460"/>
      <c r="BG397" s="462"/>
    </row>
    <row r="398" spans="1:59" s="461" customFormat="1" ht="18" customHeight="1" x14ac:dyDescent="0.2">
      <c r="A398" s="461" t="str">
        <f t="shared" ref="A398:A406" si="336">$D$393&amp;S398</f>
        <v>GEDUNG SERBAGUNA KECAMATAN GUNUNG TOAR2010</v>
      </c>
      <c r="B398" s="708"/>
      <c r="C398" s="489"/>
      <c r="D398" s="489"/>
      <c r="E398" s="558"/>
      <c r="F398" s="559">
        <v>2010</v>
      </c>
      <c r="G398" s="619">
        <v>0</v>
      </c>
      <c r="H398" s="464">
        <f>IF(N397-(F398-F397)&lt;=0,0,(N397-(F398-F397)))</f>
        <v>49</v>
      </c>
      <c r="I398" s="560"/>
      <c r="J398" s="468">
        <f>(F398+N398)-1</f>
        <v>2058</v>
      </c>
      <c r="K398" s="490">
        <f>IF(G398=0,0,IF(H398=50,100%,G398/W397))</f>
        <v>0</v>
      </c>
      <c r="L398" s="469">
        <f>IF(K398=0%,0,IF(K398&lt;=25%,5,IF(K398&lt;=50%,10,IF(K398&lt;=75%,15,50))))</f>
        <v>0</v>
      </c>
      <c r="M398" s="683">
        <f>IF(OR(AND(ISBLANK(E398),ISBLANK(G398)),ISTEXT(E398),ISTEXT(G398)),"",IF(H398+L398&gt;$H$27,$H$27-H398,L398))</f>
        <v>0</v>
      </c>
      <c r="N398" s="470">
        <f>IF(OR(AND(ISBLANK(F398),ISBLANK(G398)),ISTEXT(F398),ISTEXT(G398)),"",H398+M398)</f>
        <v>49</v>
      </c>
      <c r="O398" s="468">
        <f>(F398+N398)-1</f>
        <v>2058</v>
      </c>
      <c r="P398" s="471">
        <f>W397</f>
        <v>1491877699.0490575</v>
      </c>
      <c r="Q398" s="472">
        <f>P398+G398</f>
        <v>1491877699.0490575</v>
      </c>
      <c r="R398" s="472">
        <f>IF(L398=0,R397,Q398/N398)</f>
        <v>30446483.654062402</v>
      </c>
      <c r="S398" s="768">
        <f>F398</f>
        <v>2010</v>
      </c>
      <c r="T398" s="470">
        <f>S398-S397</f>
        <v>1</v>
      </c>
      <c r="U398" s="612">
        <f>R398*T398</f>
        <v>30446483.654062402</v>
      </c>
      <c r="V398" s="464">
        <f>F398</f>
        <v>2010</v>
      </c>
      <c r="W398" s="612">
        <f>IF(OR(AND(ISBLANK(E398),ISBLANK(G398)),ISTEXT(E398),ISTEXT(G398)),"",Q398-U398)</f>
        <v>1461431215.394995</v>
      </c>
      <c r="X398" s="561"/>
      <c r="Y398" s="449"/>
      <c r="Z398" s="449"/>
      <c r="AA398" s="693"/>
      <c r="AB398" s="452"/>
      <c r="AC398" s="452"/>
      <c r="AD398" s="571"/>
      <c r="AE398" s="452"/>
      <c r="AF398" s="571"/>
      <c r="AG398" s="452"/>
      <c r="AH398" s="452"/>
      <c r="AI398" s="453"/>
      <c r="AJ398" s="449"/>
      <c r="AK398" s="453"/>
      <c r="AL398" s="454"/>
      <c r="AM398" s="455"/>
      <c r="AN398" s="456"/>
      <c r="AO398" s="455"/>
      <c r="AP398" s="452"/>
      <c r="AQ398" s="457"/>
      <c r="AR398" s="449"/>
      <c r="AS398" s="449"/>
      <c r="AT398" s="452"/>
      <c r="AU398" s="457"/>
      <c r="AV398" s="449"/>
      <c r="AW398" s="458"/>
      <c r="AX398" s="452"/>
      <c r="AY398" s="457"/>
      <c r="AZ398" s="449"/>
      <c r="BA398" s="459"/>
      <c r="BB398" s="455"/>
      <c r="BC398" s="460"/>
      <c r="BD398" s="460"/>
      <c r="BG398" s="462"/>
    </row>
    <row r="399" spans="1:59" s="461" customFormat="1" ht="18" customHeight="1" x14ac:dyDescent="0.2">
      <c r="A399" s="461" t="str">
        <f t="shared" si="336"/>
        <v>GEDUNG SERBAGUNA KECAMATAN GUNUNG TOAR2011</v>
      </c>
      <c r="B399" s="708">
        <v>2</v>
      </c>
      <c r="C399" s="489" t="s">
        <v>2684</v>
      </c>
      <c r="D399" s="489" t="s">
        <v>1752</v>
      </c>
      <c r="E399" s="558"/>
      <c r="F399" s="559">
        <v>2011</v>
      </c>
      <c r="G399" s="619">
        <v>24804481.452986579</v>
      </c>
      <c r="H399" s="464">
        <f t="shared" ref="H399:H405" si="337">IF(N398-(F399-F398)&lt;=0,0,(N398-(F399-F398)))</f>
        <v>48</v>
      </c>
      <c r="I399" s="560"/>
      <c r="J399" s="468">
        <f t="shared" ref="J399:J405" si="338">(F399+N399)-1</f>
        <v>2060</v>
      </c>
      <c r="K399" s="490">
        <f t="shared" ref="K399:K405" si="339">IF(G399=0,0,IF(H399=50,100%,G399/W398))</f>
        <v>1.6972732751080889E-2</v>
      </c>
      <c r="L399" s="469">
        <f t="shared" ref="L399:L405" si="340">IF(K399=0%,0,IF(K399&lt;=25%,5,IF(K399&lt;=50%,10,IF(K399&lt;=75%,15,50))))</f>
        <v>5</v>
      </c>
      <c r="M399" s="683">
        <f t="shared" ref="M399:M405" si="341">IF(OR(AND(ISBLANK(E399),ISBLANK(G399)),ISTEXT(E399),ISTEXT(G399)),"",IF(H399+L399&gt;$H$27,$H$27-H399,L399))</f>
        <v>2</v>
      </c>
      <c r="N399" s="470">
        <f t="shared" ref="N399:N405" si="342">IF(OR(AND(ISBLANK(F399),ISBLANK(G399)),ISTEXT(F399),ISTEXT(G399)),"",H399+M399)</f>
        <v>50</v>
      </c>
      <c r="O399" s="468">
        <f t="shared" ref="O399:O405" si="343">(F399+N399)-1</f>
        <v>2060</v>
      </c>
      <c r="P399" s="471">
        <f t="shared" ref="P399:P405" si="344">W398</f>
        <v>1461431215.394995</v>
      </c>
      <c r="Q399" s="472">
        <f t="shared" ref="Q399:Q405" si="345">P399+G399</f>
        <v>1486235696.8479815</v>
      </c>
      <c r="R399" s="472">
        <f t="shared" ref="R399:R405" si="346">IF(L399=0,R398,Q399/N399)</f>
        <v>29724713.936959628</v>
      </c>
      <c r="S399" s="768">
        <f t="shared" ref="S399:S405" si="347">F399</f>
        <v>2011</v>
      </c>
      <c r="T399" s="470">
        <f t="shared" ref="T399:T405" si="348">S399-S398</f>
        <v>1</v>
      </c>
      <c r="U399" s="612">
        <f t="shared" ref="U399:U405" si="349">R399*T399</f>
        <v>29724713.936959628</v>
      </c>
      <c r="V399" s="464">
        <f t="shared" ref="V399:V405" si="350">F399</f>
        <v>2011</v>
      </c>
      <c r="W399" s="612">
        <f t="shared" ref="W399:W405" si="351">IF(OR(AND(ISBLANK(E399),ISBLANK(G399)),ISTEXT(E399),ISTEXT(G399)),"",Q399-U399)</f>
        <v>1456510982.9110217</v>
      </c>
      <c r="X399" s="561"/>
      <c r="Y399" s="449"/>
      <c r="Z399" s="449"/>
      <c r="AA399" s="554" t="s">
        <v>4179</v>
      </c>
      <c r="AB399" s="452"/>
      <c r="AC399" s="452"/>
      <c r="AD399" s="566"/>
      <c r="AE399" s="452"/>
      <c r="AF399" s="571"/>
      <c r="AG399" s="452"/>
      <c r="AH399" s="452"/>
      <c r="AI399" s="453"/>
      <c r="AJ399" s="449"/>
      <c r="AK399" s="453"/>
      <c r="AL399" s="454"/>
      <c r="AM399" s="455"/>
      <c r="AN399" s="456"/>
      <c r="AO399" s="455"/>
      <c r="AP399" s="452"/>
      <c r="AQ399" s="457"/>
      <c r="AR399" s="449"/>
      <c r="AS399" s="449"/>
      <c r="AT399" s="452"/>
      <c r="AU399" s="457"/>
      <c r="AV399" s="449"/>
      <c r="AW399" s="458"/>
      <c r="AX399" s="452"/>
      <c r="AY399" s="457"/>
      <c r="AZ399" s="449"/>
      <c r="BA399" s="459"/>
      <c r="BB399" s="455"/>
      <c r="BC399" s="460"/>
      <c r="BD399" s="460"/>
      <c r="BG399" s="462"/>
    </row>
    <row r="400" spans="1:59" s="461" customFormat="1" ht="18" customHeight="1" x14ac:dyDescent="0.2">
      <c r="A400" s="461" t="str">
        <f t="shared" si="336"/>
        <v>GEDUNG SERBAGUNA KECAMATAN GUNUNG TOAR2013</v>
      </c>
      <c r="B400" s="708"/>
      <c r="C400" s="489"/>
      <c r="D400" s="489"/>
      <c r="E400" s="558"/>
      <c r="F400" s="559">
        <v>2013</v>
      </c>
      <c r="G400" s="619">
        <v>0</v>
      </c>
      <c r="H400" s="464">
        <f t="shared" si="337"/>
        <v>48</v>
      </c>
      <c r="I400" s="560"/>
      <c r="J400" s="468">
        <f t="shared" si="338"/>
        <v>2060</v>
      </c>
      <c r="K400" s="490">
        <f t="shared" si="339"/>
        <v>0</v>
      </c>
      <c r="L400" s="469">
        <f t="shared" si="340"/>
        <v>0</v>
      </c>
      <c r="M400" s="683">
        <f t="shared" si="341"/>
        <v>0</v>
      </c>
      <c r="N400" s="470">
        <f t="shared" si="342"/>
        <v>48</v>
      </c>
      <c r="O400" s="468">
        <f t="shared" si="343"/>
        <v>2060</v>
      </c>
      <c r="P400" s="471">
        <f t="shared" si="344"/>
        <v>1456510982.9110217</v>
      </c>
      <c r="Q400" s="472">
        <f t="shared" si="345"/>
        <v>1456510982.9110217</v>
      </c>
      <c r="R400" s="472">
        <f t="shared" si="346"/>
        <v>29724713.936959628</v>
      </c>
      <c r="S400" s="768">
        <f t="shared" si="347"/>
        <v>2013</v>
      </c>
      <c r="T400" s="470">
        <f t="shared" si="348"/>
        <v>2</v>
      </c>
      <c r="U400" s="612">
        <f t="shared" si="349"/>
        <v>59449427.873919256</v>
      </c>
      <c r="V400" s="464">
        <f t="shared" si="350"/>
        <v>2013</v>
      </c>
      <c r="W400" s="612">
        <f t="shared" si="351"/>
        <v>1397061555.0371025</v>
      </c>
      <c r="X400" s="561"/>
      <c r="Y400" s="449"/>
      <c r="Z400" s="449"/>
      <c r="AA400" s="554"/>
      <c r="AB400" s="452"/>
      <c r="AC400" s="452"/>
      <c r="AD400" s="566"/>
      <c r="AE400" s="452"/>
      <c r="AF400" s="571"/>
      <c r="AG400" s="452"/>
      <c r="AH400" s="452"/>
      <c r="AI400" s="453"/>
      <c r="AJ400" s="449"/>
      <c r="AK400" s="453"/>
      <c r="AL400" s="454"/>
      <c r="AM400" s="455"/>
      <c r="AN400" s="456"/>
      <c r="AO400" s="455"/>
      <c r="AP400" s="452"/>
      <c r="AQ400" s="457"/>
      <c r="AR400" s="449"/>
      <c r="AS400" s="449"/>
      <c r="AT400" s="452"/>
      <c r="AU400" s="457"/>
      <c r="AV400" s="449"/>
      <c r="AW400" s="458"/>
      <c r="AX400" s="452"/>
      <c r="AY400" s="457"/>
      <c r="AZ400" s="449"/>
      <c r="BA400" s="459"/>
      <c r="BB400" s="455"/>
      <c r="BC400" s="460"/>
      <c r="BD400" s="460"/>
      <c r="BG400" s="462"/>
    </row>
    <row r="401" spans="1:59" s="461" customFormat="1" ht="18" customHeight="1" x14ac:dyDescent="0.2">
      <c r="A401" s="461" t="str">
        <f t="shared" si="336"/>
        <v>GEDUNG SERBAGUNA KECAMATAN GUNUNG TOAR2014</v>
      </c>
      <c r="B401" s="708"/>
      <c r="C401" s="489"/>
      <c r="D401" s="489"/>
      <c r="E401" s="558"/>
      <c r="F401" s="559">
        <v>2014</v>
      </c>
      <c r="G401" s="619">
        <v>0</v>
      </c>
      <c r="H401" s="464">
        <f t="shared" si="337"/>
        <v>47</v>
      </c>
      <c r="I401" s="560"/>
      <c r="J401" s="468">
        <f t="shared" si="338"/>
        <v>2060</v>
      </c>
      <c r="K401" s="490">
        <f t="shared" si="339"/>
        <v>0</v>
      </c>
      <c r="L401" s="469">
        <f t="shared" si="340"/>
        <v>0</v>
      </c>
      <c r="M401" s="683">
        <f t="shared" si="341"/>
        <v>0</v>
      </c>
      <c r="N401" s="470">
        <f t="shared" si="342"/>
        <v>47</v>
      </c>
      <c r="O401" s="468">
        <f t="shared" si="343"/>
        <v>2060</v>
      </c>
      <c r="P401" s="471">
        <f t="shared" si="344"/>
        <v>1397061555.0371025</v>
      </c>
      <c r="Q401" s="472">
        <f t="shared" si="345"/>
        <v>1397061555.0371025</v>
      </c>
      <c r="R401" s="472">
        <f t="shared" si="346"/>
        <v>29724713.936959628</v>
      </c>
      <c r="S401" s="768">
        <f t="shared" si="347"/>
        <v>2014</v>
      </c>
      <c r="T401" s="470">
        <f t="shared" si="348"/>
        <v>1</v>
      </c>
      <c r="U401" s="612">
        <f t="shared" si="349"/>
        <v>29724713.936959628</v>
      </c>
      <c r="V401" s="464">
        <f t="shared" si="350"/>
        <v>2014</v>
      </c>
      <c r="W401" s="612">
        <f t="shared" si="351"/>
        <v>1367336841.1001427</v>
      </c>
      <c r="X401" s="561"/>
      <c r="Y401" s="449"/>
      <c r="Z401" s="449"/>
      <c r="AA401" s="475" t="s">
        <v>4180</v>
      </c>
      <c r="AB401" s="476"/>
      <c r="AC401" s="476"/>
      <c r="AD401" s="567">
        <f>G408</f>
        <v>1547128664.1561065</v>
      </c>
      <c r="AE401" s="452"/>
      <c r="AF401" s="571"/>
      <c r="AG401" s="452"/>
      <c r="AH401" s="452"/>
      <c r="AI401" s="453"/>
      <c r="AJ401" s="449"/>
      <c r="AK401" s="453"/>
      <c r="AL401" s="454"/>
      <c r="AM401" s="455"/>
      <c r="AN401" s="456"/>
      <c r="AO401" s="455"/>
      <c r="AP401" s="452"/>
      <c r="AQ401" s="457"/>
      <c r="AR401" s="449"/>
      <c r="AS401" s="449"/>
      <c r="AT401" s="452"/>
      <c r="AU401" s="457"/>
      <c r="AV401" s="449"/>
      <c r="AW401" s="458"/>
      <c r="AX401" s="452"/>
      <c r="AY401" s="457"/>
      <c r="AZ401" s="449"/>
      <c r="BA401" s="459"/>
      <c r="BB401" s="455"/>
      <c r="BC401" s="460"/>
      <c r="BD401" s="460"/>
      <c r="BG401" s="462"/>
    </row>
    <row r="402" spans="1:59" s="461" customFormat="1" ht="18" customHeight="1" x14ac:dyDescent="0.2">
      <c r="A402" s="461" t="str">
        <f t="shared" si="336"/>
        <v>GEDUNG SERBAGUNA KECAMATAN GUNUNG TOAR2015</v>
      </c>
      <c r="B402" s="708"/>
      <c r="C402" s="489"/>
      <c r="D402" s="489"/>
      <c r="E402" s="558"/>
      <c r="F402" s="559">
        <v>2015</v>
      </c>
      <c r="G402" s="619">
        <v>0</v>
      </c>
      <c r="H402" s="464">
        <f t="shared" si="337"/>
        <v>46</v>
      </c>
      <c r="I402" s="560"/>
      <c r="J402" s="468">
        <f t="shared" si="338"/>
        <v>2060</v>
      </c>
      <c r="K402" s="490">
        <f t="shared" si="339"/>
        <v>0</v>
      </c>
      <c r="L402" s="469">
        <f t="shared" si="340"/>
        <v>0</v>
      </c>
      <c r="M402" s="683">
        <f t="shared" si="341"/>
        <v>0</v>
      </c>
      <c r="N402" s="470">
        <f t="shared" si="342"/>
        <v>46</v>
      </c>
      <c r="O402" s="468">
        <f t="shared" si="343"/>
        <v>2060</v>
      </c>
      <c r="P402" s="471">
        <f t="shared" si="344"/>
        <v>1367336841.1001427</v>
      </c>
      <c r="Q402" s="472">
        <f t="shared" si="345"/>
        <v>1367336841.1001427</v>
      </c>
      <c r="R402" s="472">
        <f t="shared" si="346"/>
        <v>29724713.936959628</v>
      </c>
      <c r="S402" s="768">
        <f t="shared" si="347"/>
        <v>2015</v>
      </c>
      <c r="T402" s="470">
        <f t="shared" si="348"/>
        <v>1</v>
      </c>
      <c r="U402" s="612">
        <f t="shared" si="349"/>
        <v>29724713.936959628</v>
      </c>
      <c r="V402" s="464">
        <f t="shared" si="350"/>
        <v>2015</v>
      </c>
      <c r="W402" s="612">
        <f t="shared" si="351"/>
        <v>1337612127.163183</v>
      </c>
      <c r="X402" s="561"/>
      <c r="Y402" s="449"/>
      <c r="Z402" s="449"/>
      <c r="AA402" s="475" t="s">
        <v>4181</v>
      </c>
      <c r="AB402" s="491"/>
      <c r="AC402" s="491"/>
      <c r="AD402" s="567">
        <f>U408</f>
        <v>328415392.74076146</v>
      </c>
      <c r="AE402" s="452"/>
      <c r="AF402" s="571"/>
      <c r="AG402" s="452"/>
      <c r="AH402" s="452"/>
      <c r="AI402" s="453"/>
      <c r="AJ402" s="449"/>
      <c r="AK402" s="453"/>
      <c r="AL402" s="454"/>
      <c r="AM402" s="455"/>
      <c r="AN402" s="456"/>
      <c r="AO402" s="455"/>
      <c r="AP402" s="452"/>
      <c r="AQ402" s="457"/>
      <c r="AR402" s="449"/>
      <c r="AS402" s="449"/>
      <c r="AT402" s="452"/>
      <c r="AU402" s="457"/>
      <c r="AV402" s="449"/>
      <c r="AW402" s="458"/>
      <c r="AX402" s="452"/>
      <c r="AY402" s="457"/>
      <c r="AZ402" s="449"/>
      <c r="BA402" s="459"/>
      <c r="BB402" s="455"/>
      <c r="BC402" s="460"/>
      <c r="BD402" s="460"/>
      <c r="BG402" s="462"/>
    </row>
    <row r="403" spans="1:59" s="461" customFormat="1" ht="18" customHeight="1" x14ac:dyDescent="0.2">
      <c r="A403" s="461" t="str">
        <f t="shared" si="336"/>
        <v>GEDUNG SERBAGUNA KECAMATAN GUNUNG TOAR2016</v>
      </c>
      <c r="B403" s="708"/>
      <c r="C403" s="489"/>
      <c r="D403" s="489"/>
      <c r="E403" s="558"/>
      <c r="F403" s="559">
        <v>2016</v>
      </c>
      <c r="G403" s="619">
        <v>0</v>
      </c>
      <c r="H403" s="464">
        <f t="shared" si="337"/>
        <v>45</v>
      </c>
      <c r="I403" s="560"/>
      <c r="J403" s="468">
        <f t="shared" si="338"/>
        <v>2060</v>
      </c>
      <c r="K403" s="490">
        <f t="shared" si="339"/>
        <v>0</v>
      </c>
      <c r="L403" s="469">
        <f t="shared" si="340"/>
        <v>0</v>
      </c>
      <c r="M403" s="683">
        <f t="shared" si="341"/>
        <v>0</v>
      </c>
      <c r="N403" s="470">
        <f t="shared" si="342"/>
        <v>45</v>
      </c>
      <c r="O403" s="468">
        <f t="shared" si="343"/>
        <v>2060</v>
      </c>
      <c r="P403" s="471">
        <f t="shared" si="344"/>
        <v>1337612127.163183</v>
      </c>
      <c r="Q403" s="472">
        <f t="shared" si="345"/>
        <v>1337612127.163183</v>
      </c>
      <c r="R403" s="472">
        <f t="shared" si="346"/>
        <v>29724713.936959628</v>
      </c>
      <c r="S403" s="768">
        <f t="shared" si="347"/>
        <v>2016</v>
      </c>
      <c r="T403" s="470">
        <f t="shared" si="348"/>
        <v>1</v>
      </c>
      <c r="U403" s="612">
        <f t="shared" si="349"/>
        <v>29724713.936959628</v>
      </c>
      <c r="V403" s="464">
        <f t="shared" si="350"/>
        <v>2016</v>
      </c>
      <c r="W403" s="612">
        <f t="shared" si="351"/>
        <v>1307887413.2262232</v>
      </c>
      <c r="X403" s="561"/>
      <c r="Y403" s="449"/>
      <c r="Z403" s="449"/>
      <c r="AA403" s="492" t="s">
        <v>4182</v>
      </c>
      <c r="AB403" s="476"/>
      <c r="AC403" s="476"/>
      <c r="AD403" s="568">
        <f>AD401-AD402</f>
        <v>1218713271.415345</v>
      </c>
      <c r="AE403" s="452"/>
      <c r="AF403" s="571"/>
      <c r="AG403" s="452"/>
      <c r="AH403" s="452"/>
      <c r="AI403" s="453"/>
      <c r="AJ403" s="449"/>
      <c r="AK403" s="453"/>
      <c r="AL403" s="454"/>
      <c r="AM403" s="455"/>
      <c r="AN403" s="456"/>
      <c r="AO403" s="455"/>
      <c r="AP403" s="452"/>
      <c r="AQ403" s="457"/>
      <c r="AR403" s="449"/>
      <c r="AS403" s="449"/>
      <c r="AT403" s="452"/>
      <c r="AU403" s="457"/>
      <c r="AV403" s="449"/>
      <c r="AW403" s="458"/>
      <c r="AX403" s="452"/>
      <c r="AY403" s="457"/>
      <c r="AZ403" s="449"/>
      <c r="BA403" s="459"/>
      <c r="BB403" s="455"/>
      <c r="BC403" s="460"/>
      <c r="BD403" s="460"/>
      <c r="BG403" s="462"/>
    </row>
    <row r="404" spans="1:59" s="461" customFormat="1" ht="18" customHeight="1" x14ac:dyDescent="0.2">
      <c r="A404" s="461" t="str">
        <f t="shared" si="336"/>
        <v>GEDUNG SERBAGUNA KECAMATAN GUNUNG TOAR2017</v>
      </c>
      <c r="B404" s="708"/>
      <c r="C404" s="489"/>
      <c r="D404" s="489"/>
      <c r="E404" s="558"/>
      <c r="F404" s="559">
        <v>2017</v>
      </c>
      <c r="G404" s="619">
        <v>0</v>
      </c>
      <c r="H404" s="464">
        <f t="shared" si="337"/>
        <v>44</v>
      </c>
      <c r="I404" s="560"/>
      <c r="J404" s="468">
        <f t="shared" si="338"/>
        <v>2060</v>
      </c>
      <c r="K404" s="490">
        <f t="shared" si="339"/>
        <v>0</v>
      </c>
      <c r="L404" s="469">
        <f t="shared" si="340"/>
        <v>0</v>
      </c>
      <c r="M404" s="683">
        <f t="shared" si="341"/>
        <v>0</v>
      </c>
      <c r="N404" s="470">
        <f t="shared" si="342"/>
        <v>44</v>
      </c>
      <c r="O404" s="468">
        <f t="shared" si="343"/>
        <v>2060</v>
      </c>
      <c r="P404" s="471">
        <f t="shared" si="344"/>
        <v>1307887413.2262232</v>
      </c>
      <c r="Q404" s="472">
        <f t="shared" si="345"/>
        <v>1307887413.2262232</v>
      </c>
      <c r="R404" s="472">
        <f t="shared" si="346"/>
        <v>29724713.936959628</v>
      </c>
      <c r="S404" s="768">
        <f t="shared" si="347"/>
        <v>2017</v>
      </c>
      <c r="T404" s="470">
        <f t="shared" si="348"/>
        <v>1</v>
      </c>
      <c r="U404" s="612">
        <f t="shared" si="349"/>
        <v>29724713.936959628</v>
      </c>
      <c r="V404" s="464">
        <f t="shared" si="350"/>
        <v>2017</v>
      </c>
      <c r="W404" s="612">
        <f t="shared" si="351"/>
        <v>1278162699.2892635</v>
      </c>
      <c r="X404" s="561"/>
      <c r="Y404" s="449"/>
      <c r="Z404" s="449"/>
      <c r="AA404" s="475" t="s">
        <v>4183</v>
      </c>
      <c r="AB404" s="476"/>
      <c r="AC404" s="476"/>
      <c r="AD404" s="567">
        <f>AD403-W408</f>
        <v>0</v>
      </c>
      <c r="AE404" s="452"/>
      <c r="AF404" s="571"/>
      <c r="AG404" s="452"/>
      <c r="AH404" s="452"/>
      <c r="AI404" s="453"/>
      <c r="AJ404" s="449"/>
      <c r="AK404" s="453"/>
      <c r="AL404" s="454"/>
      <c r="AM404" s="455"/>
      <c r="AN404" s="456"/>
      <c r="AO404" s="455"/>
      <c r="AP404" s="452"/>
      <c r="AQ404" s="457"/>
      <c r="AR404" s="449"/>
      <c r="AS404" s="449"/>
      <c r="AT404" s="452"/>
      <c r="AU404" s="457"/>
      <c r="AV404" s="449"/>
      <c r="AW404" s="458"/>
      <c r="AX404" s="452"/>
      <c r="AY404" s="457"/>
      <c r="AZ404" s="449"/>
      <c r="BA404" s="459"/>
      <c r="BB404" s="455"/>
      <c r="BC404" s="460"/>
      <c r="BD404" s="460"/>
      <c r="BG404" s="462"/>
    </row>
    <row r="405" spans="1:59" s="486" customFormat="1" ht="18" customHeight="1" x14ac:dyDescent="0.2">
      <c r="A405" s="461" t="str">
        <f t="shared" si="336"/>
        <v>GEDUNG SERBAGUNA KECAMATAN GUNUNG TOAR2018</v>
      </c>
      <c r="B405" s="708"/>
      <c r="C405" s="463"/>
      <c r="D405" s="489"/>
      <c r="E405" s="465"/>
      <c r="F405" s="559">
        <v>2018</v>
      </c>
      <c r="G405" s="619">
        <v>0</v>
      </c>
      <c r="H405" s="464">
        <f t="shared" si="337"/>
        <v>43</v>
      </c>
      <c r="I405" s="560"/>
      <c r="J405" s="468">
        <f t="shared" si="338"/>
        <v>2060</v>
      </c>
      <c r="K405" s="490">
        <f t="shared" si="339"/>
        <v>0</v>
      </c>
      <c r="L405" s="469">
        <f t="shared" si="340"/>
        <v>0</v>
      </c>
      <c r="M405" s="683">
        <f t="shared" si="341"/>
        <v>0</v>
      </c>
      <c r="N405" s="470">
        <f t="shared" si="342"/>
        <v>43</v>
      </c>
      <c r="O405" s="468">
        <f t="shared" si="343"/>
        <v>2060</v>
      </c>
      <c r="P405" s="471">
        <f t="shared" si="344"/>
        <v>1278162699.2892635</v>
      </c>
      <c r="Q405" s="472">
        <f t="shared" si="345"/>
        <v>1278162699.2892635</v>
      </c>
      <c r="R405" s="472">
        <f t="shared" si="346"/>
        <v>29724713.936959628</v>
      </c>
      <c r="S405" s="768">
        <f t="shared" si="347"/>
        <v>2018</v>
      </c>
      <c r="T405" s="470">
        <f t="shared" si="348"/>
        <v>1</v>
      </c>
      <c r="U405" s="612">
        <f t="shared" si="349"/>
        <v>29724713.936959628</v>
      </c>
      <c r="V405" s="464">
        <f t="shared" si="350"/>
        <v>2018</v>
      </c>
      <c r="W405" s="612">
        <f t="shared" si="351"/>
        <v>1248437985.3523037</v>
      </c>
      <c r="X405" s="561"/>
      <c r="Y405" s="474"/>
      <c r="Z405" s="449"/>
      <c r="AA405" s="495"/>
      <c r="AB405" s="496"/>
      <c r="AC405" s="496"/>
      <c r="AD405" s="569"/>
      <c r="AE405" s="476"/>
      <c r="AF405" s="568"/>
      <c r="AG405" s="476"/>
      <c r="AH405" s="476"/>
      <c r="AI405" s="477"/>
      <c r="AJ405" s="478"/>
      <c r="AK405" s="479"/>
      <c r="AL405" s="480"/>
      <c r="AM405" s="474"/>
      <c r="AN405" s="481"/>
      <c r="AO405" s="474"/>
      <c r="AP405" s="476"/>
      <c r="AQ405" s="482"/>
      <c r="AR405" s="478"/>
      <c r="AS405" s="478"/>
      <c r="AT405" s="476"/>
      <c r="AU405" s="482"/>
      <c r="AV405" s="478"/>
      <c r="AW405" s="483"/>
      <c r="AX405" s="476"/>
      <c r="AY405" s="482"/>
      <c r="AZ405" s="478"/>
      <c r="BA405" s="484"/>
      <c r="BB405" s="474"/>
      <c r="BC405" s="485"/>
      <c r="BD405" s="485"/>
      <c r="BG405" s="487"/>
    </row>
    <row r="406" spans="1:59" s="486" customFormat="1" ht="18" customHeight="1" x14ac:dyDescent="0.2">
      <c r="A406" s="461" t="str">
        <f t="shared" si="336"/>
        <v>GEDUNG SERBAGUNA KECAMATAN GUNUNG TOAR2019</v>
      </c>
      <c r="B406" s="708"/>
      <c r="C406" s="488"/>
      <c r="D406" s="489"/>
      <c r="E406" s="465"/>
      <c r="F406" s="466">
        <v>2019</v>
      </c>
      <c r="G406" s="619">
        <v>0</v>
      </c>
      <c r="H406" s="464">
        <f>IF(N405-(F406-F405)&lt;=0,0,(N405-(F406-F405)))</f>
        <v>42</v>
      </c>
      <c r="I406" s="560"/>
      <c r="J406" s="468">
        <f>(F406+N406)-1</f>
        <v>2060</v>
      </c>
      <c r="K406" s="490">
        <f>IF(G406=0,0,IF(H406=50,100%,G406/W405))</f>
        <v>0</v>
      </c>
      <c r="L406" s="469">
        <f>IF(K406=0%,0,IF(K406&lt;=25%,5,IF(K406&lt;=50%,10,IF(K406&lt;=75%,15,50))))</f>
        <v>0</v>
      </c>
      <c r="M406" s="683">
        <f>IF(OR(AND(ISBLANK(E406),ISBLANK(G406)),ISTEXT(E406),ISTEXT(G406)),"",IF(H406+L406&gt;$H$27,$H$27-H406,L406))</f>
        <v>0</v>
      </c>
      <c r="N406" s="470">
        <f>IF(OR(AND(ISBLANK(F406),ISBLANK(G406)),ISTEXT(F406),ISTEXT(G406)),"",H406+M406)</f>
        <v>42</v>
      </c>
      <c r="O406" s="468">
        <f>(F406+N406)-1</f>
        <v>2060</v>
      </c>
      <c r="P406" s="471">
        <f>W405</f>
        <v>1248437985.3523037</v>
      </c>
      <c r="Q406" s="472">
        <f>P406+G406</f>
        <v>1248437985.3523037</v>
      </c>
      <c r="R406" s="472">
        <f>IF(L406=0,R405,Q406/N406)</f>
        <v>29724713.936959628</v>
      </c>
      <c r="S406" s="1189">
        <f>F406</f>
        <v>2019</v>
      </c>
      <c r="T406" s="470">
        <f>S406-S405</f>
        <v>1</v>
      </c>
      <c r="U406" s="612">
        <f>R406*T406</f>
        <v>29724713.936959628</v>
      </c>
      <c r="V406" s="464">
        <f>F406</f>
        <v>2019</v>
      </c>
      <c r="W406" s="612">
        <f>IF(OR(AND(ISBLANK(E406),ISBLANK(G406)),ISTEXT(E406),ISTEXT(G406)),"",Q406-U406)</f>
        <v>1218713271.415344</v>
      </c>
      <c r="X406" s="473"/>
      <c r="Y406" s="478"/>
      <c r="Z406" s="449"/>
      <c r="AA406" s="699"/>
      <c r="AB406" s="700"/>
      <c r="AC406" s="700"/>
      <c r="AD406" s="701"/>
      <c r="AE406" s="491"/>
      <c r="AF406" s="568"/>
      <c r="AG406" s="491"/>
      <c r="AH406" s="491"/>
      <c r="AI406" s="477"/>
      <c r="AJ406" s="478"/>
      <c r="AK406" s="479"/>
      <c r="AL406" s="480"/>
      <c r="AM406" s="474"/>
      <c r="AN406" s="481"/>
      <c r="AO406" s="474"/>
      <c r="AP406" s="476"/>
      <c r="AQ406" s="482"/>
      <c r="AR406" s="478"/>
      <c r="AS406" s="478"/>
      <c r="AT406" s="476"/>
      <c r="AU406" s="482"/>
      <c r="AV406" s="478"/>
      <c r="AW406" s="483"/>
      <c r="AX406" s="476"/>
      <c r="AY406" s="482"/>
      <c r="AZ406" s="478"/>
      <c r="BA406" s="484"/>
      <c r="BB406" s="474"/>
      <c r="BC406" s="485"/>
      <c r="BD406" s="485"/>
      <c r="BG406" s="487"/>
    </row>
    <row r="407" spans="1:59" s="486" customFormat="1" ht="18" customHeight="1" x14ac:dyDescent="0.2">
      <c r="B407" s="687"/>
      <c r="C407" s="494"/>
      <c r="D407" s="464"/>
      <c r="E407" s="465"/>
      <c r="F407" s="466"/>
      <c r="G407" s="620"/>
      <c r="H407" s="464"/>
      <c r="I407" s="467"/>
      <c r="J407" s="468"/>
      <c r="K407" s="490"/>
      <c r="L407" s="469"/>
      <c r="M407" s="683"/>
      <c r="N407" s="470"/>
      <c r="O407" s="468"/>
      <c r="P407" s="471"/>
      <c r="Q407" s="472"/>
      <c r="R407" s="472"/>
      <c r="S407" s="629"/>
      <c r="T407" s="470"/>
      <c r="U407" s="612"/>
      <c r="V407" s="464"/>
      <c r="W407" s="612"/>
      <c r="X407" s="473"/>
      <c r="Y407" s="478"/>
      <c r="Z407" s="449"/>
      <c r="AA407" s="497"/>
      <c r="AB407" s="476"/>
      <c r="AC407" s="476"/>
      <c r="AD407" s="568"/>
      <c r="AE407" s="476"/>
      <c r="AF407" s="568"/>
      <c r="AG407" s="476"/>
      <c r="AH407" s="476"/>
      <c r="AI407" s="477"/>
      <c r="AJ407" s="478"/>
      <c r="AK407" s="479"/>
      <c r="AL407" s="480"/>
      <c r="AM407" s="474"/>
      <c r="AN407" s="481"/>
      <c r="AO407" s="474"/>
      <c r="AP407" s="476"/>
      <c r="AQ407" s="482"/>
      <c r="AR407" s="478"/>
      <c r="AS407" s="478"/>
      <c r="AT407" s="476"/>
      <c r="AU407" s="482"/>
      <c r="AV407" s="478"/>
      <c r="AW407" s="483"/>
      <c r="AX407" s="476"/>
      <c r="AY407" s="482"/>
      <c r="AZ407" s="478"/>
      <c r="BA407" s="484"/>
      <c r="BB407" s="474"/>
      <c r="BC407" s="485"/>
      <c r="BD407" s="485"/>
      <c r="BG407" s="487"/>
    </row>
    <row r="408" spans="1:59" s="526" customFormat="1" ht="18" customHeight="1" x14ac:dyDescent="0.2">
      <c r="B408" s="1956" t="s">
        <v>4184</v>
      </c>
      <c r="C408" s="1957"/>
      <c r="D408" s="1957"/>
      <c r="E408" s="1957"/>
      <c r="F408" s="1958"/>
      <c r="G408" s="621">
        <f>SUM(G397:G407)</f>
        <v>1547128664.1561065</v>
      </c>
      <c r="H408" s="505"/>
      <c r="I408" s="506"/>
      <c r="J408" s="507"/>
      <c r="K408" s="507"/>
      <c r="L408" s="505"/>
      <c r="M408" s="684"/>
      <c r="N408" s="508"/>
      <c r="O408" s="507"/>
      <c r="P408" s="509"/>
      <c r="Q408" s="510"/>
      <c r="R408" s="511"/>
      <c r="S408" s="512"/>
      <c r="T408" s="512"/>
      <c r="U408" s="610">
        <f>SUM(U397:U407)</f>
        <v>328415392.74076146</v>
      </c>
      <c r="V408" s="513"/>
      <c r="W408" s="610">
        <f>G408-U408</f>
        <v>1218713271.415345</v>
      </c>
      <c r="X408" s="514"/>
      <c r="Y408" s="515"/>
      <c r="Z408" s="515"/>
      <c r="AA408" s="515"/>
      <c r="AB408" s="515"/>
      <c r="AC408" s="515"/>
      <c r="AD408" s="570"/>
      <c r="AE408" s="515"/>
      <c r="AF408" s="570"/>
      <c r="AG408" s="515"/>
      <c r="AH408" s="515"/>
      <c r="AI408" s="516"/>
      <c r="AJ408" s="517"/>
      <c r="AK408" s="518"/>
      <c r="AL408" s="519"/>
      <c r="AM408" s="520"/>
      <c r="AN408" s="521"/>
      <c r="AO408" s="520"/>
      <c r="AP408" s="515"/>
      <c r="AQ408" s="522"/>
      <c r="AR408" s="517"/>
      <c r="AS408" s="517"/>
      <c r="AT408" s="515"/>
      <c r="AU408" s="522"/>
      <c r="AV408" s="517"/>
      <c r="AW408" s="523"/>
      <c r="AX408" s="515"/>
      <c r="AY408" s="522"/>
      <c r="AZ408" s="517"/>
      <c r="BA408" s="524"/>
      <c r="BB408" s="520"/>
      <c r="BC408" s="525"/>
      <c r="BD408" s="525"/>
      <c r="BG408" s="527"/>
    </row>
    <row r="409" spans="1:59" s="526" customFormat="1" ht="18" customHeight="1" x14ac:dyDescent="0.2">
      <c r="B409" s="741"/>
      <c r="C409" s="697"/>
      <c r="D409" s="697"/>
      <c r="E409" s="697"/>
      <c r="F409" s="585"/>
      <c r="G409" s="622"/>
      <c r="H409" s="586"/>
      <c r="I409" s="587"/>
      <c r="J409" s="588"/>
      <c r="K409" s="588"/>
      <c r="L409" s="586"/>
      <c r="M409" s="521"/>
      <c r="N409" s="589"/>
      <c r="O409" s="588"/>
      <c r="P409" s="590"/>
      <c r="Q409" s="591"/>
      <c r="R409" s="592"/>
      <c r="S409" s="593"/>
      <c r="T409" s="593"/>
      <c r="U409" s="570"/>
      <c r="V409" s="594"/>
      <c r="W409" s="570"/>
      <c r="X409" s="515"/>
      <c r="Y409" s="515"/>
      <c r="Z409" s="515"/>
      <c r="AA409" s="515"/>
      <c r="AB409" s="515"/>
      <c r="AC409" s="515"/>
      <c r="AD409" s="570"/>
      <c r="AE409" s="515"/>
      <c r="AF409" s="570"/>
      <c r="AG409" s="515"/>
      <c r="AH409" s="515"/>
      <c r="AI409" s="516"/>
      <c r="AJ409" s="517"/>
      <c r="AK409" s="518"/>
      <c r="AL409" s="519"/>
      <c r="AM409" s="520"/>
      <c r="AN409" s="521"/>
      <c r="AO409" s="520"/>
      <c r="AP409" s="515"/>
      <c r="AQ409" s="522"/>
      <c r="AR409" s="517"/>
      <c r="AS409" s="517"/>
      <c r="AT409" s="515"/>
      <c r="AU409" s="522"/>
      <c r="AV409" s="517"/>
      <c r="AW409" s="523"/>
      <c r="AX409" s="515"/>
      <c r="AY409" s="522"/>
      <c r="AZ409" s="517"/>
      <c r="BA409" s="524"/>
      <c r="BB409" s="520"/>
      <c r="BC409" s="525"/>
      <c r="BD409" s="525"/>
      <c r="BG409" s="527"/>
    </row>
    <row r="410" spans="1:59" s="526" customFormat="1" ht="18" customHeight="1" x14ac:dyDescent="0.2">
      <c r="B410" s="742"/>
      <c r="C410" s="696"/>
      <c r="D410" s="696"/>
      <c r="E410" s="696"/>
      <c r="F410" s="585"/>
      <c r="G410" s="622"/>
      <c r="H410" s="586"/>
      <c r="I410" s="587"/>
      <c r="J410" s="588"/>
      <c r="K410" s="588"/>
      <c r="L410" s="586"/>
      <c r="M410" s="521"/>
      <c r="N410" s="589"/>
      <c r="O410" s="588"/>
      <c r="P410" s="590"/>
      <c r="Q410" s="591"/>
      <c r="R410" s="592"/>
      <c r="S410" s="593"/>
      <c r="T410" s="593"/>
      <c r="U410" s="570"/>
      <c r="V410" s="594"/>
      <c r="W410" s="570"/>
      <c r="X410" s="515"/>
      <c r="Y410" s="515"/>
      <c r="Z410" s="515"/>
      <c r="AA410" s="515"/>
      <c r="AB410" s="515"/>
      <c r="AC410" s="515"/>
      <c r="AD410" s="570"/>
      <c r="AE410" s="515"/>
      <c r="AF410" s="570"/>
      <c r="AG410" s="515"/>
      <c r="AH410" s="515"/>
      <c r="AI410" s="516"/>
      <c r="AJ410" s="517"/>
      <c r="AK410" s="518"/>
      <c r="AL410" s="519"/>
      <c r="AM410" s="520"/>
      <c r="AN410" s="521"/>
      <c r="AO410" s="520"/>
      <c r="AP410" s="515"/>
      <c r="AQ410" s="522"/>
      <c r="AR410" s="517"/>
      <c r="AS410" s="517"/>
      <c r="AT410" s="515"/>
      <c r="AU410" s="522"/>
      <c r="AV410" s="517"/>
      <c r="AW410" s="523"/>
      <c r="AX410" s="515"/>
      <c r="AY410" s="522"/>
      <c r="AZ410" s="517"/>
      <c r="BA410" s="524"/>
      <c r="BB410" s="520"/>
      <c r="BC410" s="525"/>
      <c r="BD410" s="525"/>
      <c r="BG410" s="527"/>
    </row>
    <row r="411" spans="1:59" s="422" customFormat="1" ht="18" customHeight="1" x14ac:dyDescent="0.2">
      <c r="B411" s="688" t="s">
        <v>4793</v>
      </c>
      <c r="C411" s="556"/>
      <c r="D411" s="553" t="s">
        <v>5669</v>
      </c>
      <c r="E411" s="553"/>
      <c r="F411" s="421"/>
      <c r="G411" s="611"/>
      <c r="I411" s="423"/>
      <c r="J411" s="424"/>
      <c r="K411" s="424"/>
      <c r="M411" s="680"/>
      <c r="U411" s="611"/>
      <c r="W411" s="611"/>
      <c r="Y411" s="425"/>
      <c r="Z411" s="425"/>
      <c r="AA411" s="425"/>
      <c r="AB411" s="425"/>
      <c r="AC411" s="425"/>
      <c r="AD411" s="563"/>
      <c r="AE411" s="425"/>
      <c r="AF411" s="563"/>
      <c r="AG411" s="425"/>
      <c r="AH411" s="425"/>
      <c r="AI411" s="425"/>
      <c r="AJ411" s="425"/>
      <c r="AK411" s="425"/>
      <c r="AL411" s="425"/>
      <c r="AM411" s="425"/>
      <c r="AN411" s="425"/>
      <c r="AO411" s="425"/>
      <c r="AP411" s="425"/>
      <c r="AQ411" s="425"/>
      <c r="AR411" s="425"/>
      <c r="AS411" s="425"/>
      <c r="AT411" s="425"/>
      <c r="AU411" s="425"/>
      <c r="AV411" s="425"/>
      <c r="AW411" s="425"/>
      <c r="AX411" s="425"/>
      <c r="AY411" s="425"/>
      <c r="AZ411" s="425"/>
      <c r="BA411" s="425"/>
      <c r="BB411" s="425"/>
    </row>
    <row r="412" spans="1:59" s="431" customFormat="1" ht="18" customHeight="1" x14ac:dyDescent="0.2">
      <c r="B412" s="1968" t="s">
        <v>5</v>
      </c>
      <c r="C412" s="1968" t="s">
        <v>2280</v>
      </c>
      <c r="D412" s="1968" t="s">
        <v>4157</v>
      </c>
      <c r="E412" s="1968" t="s">
        <v>4158</v>
      </c>
      <c r="F412" s="1968"/>
      <c r="G412" s="1969" t="s">
        <v>4159</v>
      </c>
      <c r="H412" s="1355" t="s">
        <v>4160</v>
      </c>
      <c r="I412" s="1355"/>
      <c r="J412" s="1968" t="s">
        <v>4161</v>
      </c>
      <c r="K412" s="1964" t="s">
        <v>4162</v>
      </c>
      <c r="L412" s="1968" t="s">
        <v>4163</v>
      </c>
      <c r="M412" s="1971" t="s">
        <v>4164</v>
      </c>
      <c r="N412" s="1962" t="s">
        <v>4165</v>
      </c>
      <c r="O412" s="1968" t="s">
        <v>4166</v>
      </c>
      <c r="P412" s="1972" t="s">
        <v>4167</v>
      </c>
      <c r="Q412" s="1973"/>
      <c r="R412" s="1029" t="s">
        <v>4168</v>
      </c>
      <c r="S412" s="1972" t="s">
        <v>4169</v>
      </c>
      <c r="T412" s="1974"/>
      <c r="U412" s="1973"/>
      <c r="V412" s="1975" t="s">
        <v>4170</v>
      </c>
      <c r="W412" s="1975"/>
      <c r="X412" s="1960" t="s">
        <v>4171</v>
      </c>
      <c r="Y412" s="1959"/>
      <c r="Z412" s="1030"/>
      <c r="AA412" s="426"/>
      <c r="AB412" s="426"/>
      <c r="AC412" s="426"/>
      <c r="AD412" s="564"/>
      <c r="AE412" s="426"/>
      <c r="AF412" s="564"/>
      <c r="AG412" s="426"/>
      <c r="AH412" s="426"/>
      <c r="AI412" s="427"/>
      <c r="AJ412" s="427"/>
      <c r="AK412" s="427"/>
      <c r="AL412" s="427"/>
      <c r="AM412" s="428"/>
      <c r="AN412" s="427"/>
      <c r="AO412" s="427"/>
      <c r="AP412" s="426"/>
      <c r="AQ412" s="427"/>
      <c r="AR412" s="427"/>
      <c r="AS412" s="427"/>
      <c r="AT412" s="426"/>
      <c r="AU412" s="427"/>
      <c r="AV412" s="427"/>
      <c r="AW412" s="427"/>
      <c r="AX412" s="426"/>
      <c r="AY412" s="427"/>
      <c r="AZ412" s="427"/>
      <c r="BA412" s="427"/>
      <c r="BB412" s="429"/>
      <c r="BC412" s="430"/>
      <c r="BD412" s="430"/>
    </row>
    <row r="413" spans="1:59" s="431" customFormat="1" ht="18" customHeight="1" x14ac:dyDescent="0.2">
      <c r="B413" s="1968"/>
      <c r="C413" s="1968"/>
      <c r="D413" s="1968"/>
      <c r="E413" s="1968"/>
      <c r="F413" s="1968"/>
      <c r="G413" s="1969"/>
      <c r="H413" s="1355"/>
      <c r="I413" s="1355"/>
      <c r="J413" s="1968"/>
      <c r="K413" s="1970"/>
      <c r="L413" s="1968"/>
      <c r="M413" s="1971"/>
      <c r="N413" s="1963"/>
      <c r="O413" s="1968"/>
      <c r="P413" s="1960" t="s">
        <v>4172</v>
      </c>
      <c r="Q413" s="1960" t="s">
        <v>4173</v>
      </c>
      <c r="R413" s="1962" t="s">
        <v>4159</v>
      </c>
      <c r="S413" s="1962" t="s">
        <v>4174</v>
      </c>
      <c r="T413" s="1964" t="s">
        <v>4175</v>
      </c>
      <c r="U413" s="1966" t="s">
        <v>4159</v>
      </c>
      <c r="V413" s="1975"/>
      <c r="W413" s="1975"/>
      <c r="X413" s="1976"/>
      <c r="Y413" s="1959"/>
      <c r="Z413" s="1030"/>
      <c r="AA413" s="426"/>
      <c r="AB413" s="426"/>
      <c r="AC413" s="426"/>
      <c r="AD413" s="564"/>
      <c r="AE413" s="426"/>
      <c r="AF413" s="564"/>
      <c r="AG413" s="426"/>
      <c r="AH413" s="426"/>
      <c r="AI413" s="427"/>
      <c r="AJ413" s="427"/>
      <c r="AK413" s="426"/>
      <c r="AL413" s="427"/>
      <c r="AM413" s="428"/>
      <c r="AN413" s="427"/>
      <c r="AO413" s="427"/>
      <c r="AP413" s="432"/>
      <c r="AQ413" s="427"/>
      <c r="AR413" s="427"/>
      <c r="AS413" s="427"/>
      <c r="AT413" s="432"/>
      <c r="AU413" s="427"/>
      <c r="AV413" s="427"/>
      <c r="AW413" s="427"/>
      <c r="AX413" s="432"/>
      <c r="AY413" s="427"/>
      <c r="AZ413" s="427"/>
      <c r="BA413" s="427"/>
      <c r="BB413" s="429"/>
      <c r="BC413" s="430"/>
      <c r="BD413" s="430"/>
    </row>
    <row r="414" spans="1:59" s="431" customFormat="1" ht="21.75" customHeight="1" x14ac:dyDescent="0.2">
      <c r="B414" s="1968"/>
      <c r="C414" s="1968"/>
      <c r="D414" s="1968"/>
      <c r="E414" s="433" t="s">
        <v>4176</v>
      </c>
      <c r="F414" s="434" t="s">
        <v>2288</v>
      </c>
      <c r="G414" s="1969"/>
      <c r="H414" s="1355" t="s">
        <v>2288</v>
      </c>
      <c r="I414" s="1355" t="s">
        <v>4177</v>
      </c>
      <c r="J414" s="1968"/>
      <c r="K414" s="1965"/>
      <c r="L414" s="435" t="s">
        <v>2288</v>
      </c>
      <c r="M414" s="681" t="s">
        <v>2288</v>
      </c>
      <c r="N414" s="1028" t="s">
        <v>2288</v>
      </c>
      <c r="O414" s="1968"/>
      <c r="P414" s="1961"/>
      <c r="Q414" s="1961"/>
      <c r="R414" s="1963"/>
      <c r="S414" s="1963"/>
      <c r="T414" s="1965"/>
      <c r="U414" s="1967"/>
      <c r="V414" s="1028" t="s">
        <v>4178</v>
      </c>
      <c r="W414" s="1031" t="s">
        <v>4159</v>
      </c>
      <c r="X414" s="1961"/>
      <c r="Y414" s="436"/>
      <c r="Z414" s="436"/>
      <c r="AA414" s="426"/>
      <c r="AB414" s="426"/>
      <c r="AC414" s="426"/>
      <c r="AD414" s="564"/>
      <c r="AE414" s="426"/>
      <c r="AF414" s="564"/>
      <c r="AG414" s="426"/>
      <c r="AH414" s="426"/>
      <c r="AI414" s="427"/>
      <c r="AJ414" s="432"/>
      <c r="AK414" s="432"/>
      <c r="AL414" s="427"/>
      <c r="AM414" s="428"/>
      <c r="AN414" s="432"/>
      <c r="AO414" s="427"/>
      <c r="AP414" s="432"/>
      <c r="AQ414" s="432"/>
      <c r="AR414" s="427"/>
      <c r="AS414" s="427"/>
      <c r="AT414" s="432"/>
      <c r="AU414" s="432"/>
      <c r="AV414" s="427"/>
      <c r="AW414" s="427"/>
      <c r="AX414" s="432"/>
      <c r="AY414" s="432"/>
      <c r="AZ414" s="427"/>
      <c r="BA414" s="427"/>
      <c r="BB414" s="429"/>
      <c r="BC414" s="430"/>
      <c r="BD414" s="430"/>
    </row>
    <row r="415" spans="1:59" s="461" customFormat="1" ht="18" customHeight="1" x14ac:dyDescent="0.2">
      <c r="A415" s="461" t="str">
        <f>$D$411&amp;S415</f>
        <v>RUMAH DINAS JABATAN KAPOLRES2013</v>
      </c>
      <c r="B415" s="689">
        <v>1</v>
      </c>
      <c r="C415" s="597" t="s">
        <v>4787</v>
      </c>
      <c r="D415" s="597" t="s">
        <v>1752</v>
      </c>
      <c r="E415" s="598"/>
      <c r="F415" s="599">
        <v>2013</v>
      </c>
      <c r="G415" s="626">
        <v>783393333.33333337</v>
      </c>
      <c r="H415" s="600">
        <f>VLOOKUP(LEFT(D415,8),UE,4)</f>
        <v>50</v>
      </c>
      <c r="I415" s="601"/>
      <c r="J415" s="602">
        <f t="shared" ref="J415:J421" si="352">(F415+N415)-1</f>
        <v>2062</v>
      </c>
      <c r="K415" s="603"/>
      <c r="L415" s="600"/>
      <c r="M415" s="685">
        <f>IF(H415+L415&gt;$H415,$H415-H415,L415)</f>
        <v>0</v>
      </c>
      <c r="N415" s="604">
        <f>H415+M415</f>
        <v>50</v>
      </c>
      <c r="O415" s="602">
        <f t="shared" ref="O415:O421" si="353">(F415+N415)-1</f>
        <v>2062</v>
      </c>
      <c r="P415" s="605">
        <f>G415</f>
        <v>783393333.33333337</v>
      </c>
      <c r="Q415" s="606">
        <v>0</v>
      </c>
      <c r="R415" s="606">
        <f>P415/N415</f>
        <v>15667866.666666668</v>
      </c>
      <c r="S415" s="607">
        <f t="shared" ref="S415:S420" si="354">F415</f>
        <v>2013</v>
      </c>
      <c r="T415" s="608">
        <v>1</v>
      </c>
      <c r="U415" s="615">
        <f t="shared" ref="U415:U420" si="355">R415*T415</f>
        <v>15667866.666666668</v>
      </c>
      <c r="V415" s="602">
        <f t="shared" ref="V415:V421" si="356">F415</f>
        <v>2013</v>
      </c>
      <c r="W415" s="618">
        <f>IF(OR(AND(ISBLANK(E415),ISBLANK(G415)),ISTEXT(E415),ISTEXT(G415)),"",G415-R415)</f>
        <v>767725466.66666675</v>
      </c>
      <c r="X415" s="609"/>
      <c r="Y415" s="449"/>
      <c r="Z415" s="449"/>
      <c r="AA415" s="694"/>
      <c r="AB415" s="692"/>
      <c r="AC415" s="692"/>
      <c r="AD415" s="695"/>
      <c r="AE415" s="452"/>
      <c r="AF415" s="571"/>
      <c r="AG415" s="452"/>
      <c r="AH415" s="452"/>
      <c r="AI415" s="453"/>
      <c r="AJ415" s="449"/>
      <c r="AK415" s="453"/>
      <c r="AL415" s="454"/>
      <c r="AM415" s="455"/>
      <c r="AN415" s="456"/>
      <c r="AO415" s="455"/>
      <c r="AP415" s="452"/>
      <c r="AQ415" s="457"/>
      <c r="AR415" s="449"/>
      <c r="AS415" s="449"/>
      <c r="AT415" s="452"/>
      <c r="AU415" s="457"/>
      <c r="AV415" s="449"/>
      <c r="AW415" s="458"/>
      <c r="AX415" s="452"/>
      <c r="AY415" s="457"/>
      <c r="AZ415" s="449"/>
      <c r="BA415" s="459"/>
      <c r="BB415" s="455"/>
      <c r="BC415" s="460"/>
      <c r="BD415" s="460"/>
      <c r="BG415" s="462"/>
    </row>
    <row r="416" spans="1:59" s="461" customFormat="1" ht="18" customHeight="1" x14ac:dyDescent="0.2">
      <c r="A416" s="461" t="str">
        <f t="shared" ref="A416:A421" si="357">$D$411&amp;S416</f>
        <v>RUMAH DINAS JABATAN KAPOLRES2014</v>
      </c>
      <c r="B416" s="708">
        <v>2</v>
      </c>
      <c r="C416" s="489" t="s">
        <v>4789</v>
      </c>
      <c r="D416" s="489"/>
      <c r="E416" s="558"/>
      <c r="F416" s="559">
        <v>2014</v>
      </c>
      <c r="G416" s="619">
        <v>213674000</v>
      </c>
      <c r="H416" s="464">
        <f t="shared" ref="H416:H421" si="358">IF(N415-(F416-F415)&lt;=0,0,(N415-(F416-F415)))</f>
        <v>49</v>
      </c>
      <c r="I416" s="560"/>
      <c r="J416" s="468">
        <f t="shared" si="352"/>
        <v>2063</v>
      </c>
      <c r="K416" s="490">
        <f t="shared" ref="K416:K421" si="359">IF(G416=0,0,IF(H416=50,100%,G416/W415))</f>
        <v>0.27832084420455155</v>
      </c>
      <c r="L416" s="469">
        <f t="shared" ref="L416:L421" si="360">IF(K416=0%,0,IF(K416&lt;=25%,5,IF(K416&lt;=50%,10,IF(K416&lt;=75%,15,50))))</f>
        <v>10</v>
      </c>
      <c r="M416" s="683">
        <f t="shared" ref="M416:M421" si="361">IF(OR(AND(ISBLANK(E416),ISBLANK(G416)),ISTEXT(E416),ISTEXT(G416)),"",IF(H416+L416&gt;$H$27,$H$27-H416,L416))</f>
        <v>1</v>
      </c>
      <c r="N416" s="470">
        <f t="shared" ref="N416:N421" si="362">IF(OR(AND(ISBLANK(F416),ISBLANK(G416)),ISTEXT(F416),ISTEXT(G416)),"",H416+M416)</f>
        <v>50</v>
      </c>
      <c r="O416" s="468">
        <f t="shared" si="353"/>
        <v>2063</v>
      </c>
      <c r="P416" s="471">
        <f t="shared" ref="P416:P421" si="363">W415</f>
        <v>767725466.66666675</v>
      </c>
      <c r="Q416" s="472">
        <f t="shared" ref="Q416:Q421" si="364">P416+G416</f>
        <v>981399466.66666675</v>
      </c>
      <c r="R416" s="472">
        <f t="shared" ref="R416:R421" si="365">IF(L416=0,R415,Q416/N416)</f>
        <v>19627989.333333336</v>
      </c>
      <c r="S416" s="1033">
        <f t="shared" si="354"/>
        <v>2014</v>
      </c>
      <c r="T416" s="470">
        <f t="shared" ref="T416:T421" si="366">S416-S415</f>
        <v>1</v>
      </c>
      <c r="U416" s="612">
        <f t="shared" si="355"/>
        <v>19627989.333333336</v>
      </c>
      <c r="V416" s="464">
        <f t="shared" si="356"/>
        <v>2014</v>
      </c>
      <c r="W416" s="612">
        <f t="shared" ref="W416:W421" si="367">IF(OR(AND(ISBLANK(E416),ISBLANK(G416)),ISTEXT(E416),ISTEXT(G416)),"",Q416-U416)</f>
        <v>961771477.33333337</v>
      </c>
      <c r="X416" s="561"/>
      <c r="Y416" s="449"/>
      <c r="Z416" s="449"/>
      <c r="AA416" s="693"/>
      <c r="AB416" s="452"/>
      <c r="AC416" s="452"/>
      <c r="AD416" s="571"/>
      <c r="AE416" s="452"/>
      <c r="AF416" s="571"/>
      <c r="AG416" s="452"/>
      <c r="AH416" s="452"/>
      <c r="AI416" s="453"/>
      <c r="AJ416" s="449"/>
      <c r="AK416" s="453"/>
      <c r="AL416" s="454"/>
      <c r="AM416" s="455"/>
      <c r="AN416" s="456"/>
      <c r="AO416" s="455"/>
      <c r="AP416" s="452"/>
      <c r="AQ416" s="457"/>
      <c r="AR416" s="449"/>
      <c r="AS416" s="449"/>
      <c r="AT416" s="452"/>
      <c r="AU416" s="457"/>
      <c r="AV416" s="449"/>
      <c r="AW416" s="458"/>
      <c r="AX416" s="452"/>
      <c r="AY416" s="457"/>
      <c r="AZ416" s="449"/>
      <c r="BA416" s="459"/>
      <c r="BB416" s="455"/>
      <c r="BC416" s="460"/>
      <c r="BD416" s="460"/>
      <c r="BG416" s="462"/>
    </row>
    <row r="417" spans="1:59" s="461" customFormat="1" ht="18" customHeight="1" x14ac:dyDescent="0.2">
      <c r="A417" s="461" t="str">
        <f t="shared" si="357"/>
        <v>RUMAH DINAS JABATAN KAPOLRES2015</v>
      </c>
      <c r="B417" s="708"/>
      <c r="C417" s="489"/>
      <c r="D417" s="489" t="s">
        <v>1752</v>
      </c>
      <c r="E417" s="558"/>
      <c r="F417" s="559">
        <v>2015</v>
      </c>
      <c r="G417" s="619">
        <v>0</v>
      </c>
      <c r="H417" s="464">
        <f t="shared" si="358"/>
        <v>49</v>
      </c>
      <c r="I417" s="560"/>
      <c r="J417" s="468">
        <f t="shared" si="352"/>
        <v>2063</v>
      </c>
      <c r="K417" s="490">
        <f t="shared" si="359"/>
        <v>0</v>
      </c>
      <c r="L417" s="469">
        <f t="shared" si="360"/>
        <v>0</v>
      </c>
      <c r="M417" s="683">
        <f t="shared" si="361"/>
        <v>0</v>
      </c>
      <c r="N417" s="470">
        <f t="shared" si="362"/>
        <v>49</v>
      </c>
      <c r="O417" s="468">
        <f t="shared" si="353"/>
        <v>2063</v>
      </c>
      <c r="P417" s="471">
        <f t="shared" si="363"/>
        <v>961771477.33333337</v>
      </c>
      <c r="Q417" s="472">
        <f t="shared" si="364"/>
        <v>961771477.33333337</v>
      </c>
      <c r="R417" s="472">
        <f t="shared" si="365"/>
        <v>19627989.333333336</v>
      </c>
      <c r="S417" s="1033">
        <f t="shared" si="354"/>
        <v>2015</v>
      </c>
      <c r="T417" s="470">
        <f t="shared" si="366"/>
        <v>1</v>
      </c>
      <c r="U417" s="612">
        <f t="shared" si="355"/>
        <v>19627989.333333336</v>
      </c>
      <c r="V417" s="464">
        <f t="shared" si="356"/>
        <v>2015</v>
      </c>
      <c r="W417" s="612">
        <f t="shared" si="367"/>
        <v>942143488</v>
      </c>
      <c r="X417" s="561"/>
      <c r="Y417" s="449"/>
      <c r="Z417" s="449"/>
      <c r="AA417" s="554" t="s">
        <v>4179</v>
      </c>
      <c r="AB417" s="452"/>
      <c r="AC417" s="452"/>
      <c r="AD417" s="566"/>
      <c r="AE417" s="452"/>
      <c r="AF417" s="571"/>
      <c r="AG417" s="452"/>
      <c r="AH417" s="452"/>
      <c r="AI417" s="453"/>
      <c r="AJ417" s="449"/>
      <c r="AK417" s="453"/>
      <c r="AL417" s="454"/>
      <c r="AM417" s="455"/>
      <c r="AN417" s="456"/>
      <c r="AO417" s="455"/>
      <c r="AP417" s="452"/>
      <c r="AQ417" s="457"/>
      <c r="AR417" s="449"/>
      <c r="AS417" s="449"/>
      <c r="AT417" s="452"/>
      <c r="AU417" s="457"/>
      <c r="AV417" s="449"/>
      <c r="AW417" s="458"/>
      <c r="AX417" s="452"/>
      <c r="AY417" s="457"/>
      <c r="AZ417" s="449"/>
      <c r="BA417" s="459"/>
      <c r="BB417" s="455"/>
      <c r="BC417" s="460"/>
      <c r="BD417" s="460"/>
      <c r="BG417" s="462"/>
    </row>
    <row r="418" spans="1:59" s="461" customFormat="1" ht="18" customHeight="1" x14ac:dyDescent="0.2">
      <c r="A418" s="461" t="str">
        <f t="shared" si="357"/>
        <v>RUMAH DINAS JABATAN KAPOLRES2016</v>
      </c>
      <c r="B418" s="708"/>
      <c r="C418" s="489"/>
      <c r="D418" s="489" t="s">
        <v>1752</v>
      </c>
      <c r="E418" s="558"/>
      <c r="F418" s="559">
        <v>2016</v>
      </c>
      <c r="G418" s="619">
        <v>0</v>
      </c>
      <c r="H418" s="464">
        <f t="shared" si="358"/>
        <v>48</v>
      </c>
      <c r="I418" s="560"/>
      <c r="J418" s="468">
        <f t="shared" si="352"/>
        <v>2063</v>
      </c>
      <c r="K418" s="490">
        <f t="shared" si="359"/>
        <v>0</v>
      </c>
      <c r="L418" s="469">
        <f t="shared" si="360"/>
        <v>0</v>
      </c>
      <c r="M418" s="683">
        <f t="shared" si="361"/>
        <v>0</v>
      </c>
      <c r="N418" s="470">
        <f t="shared" si="362"/>
        <v>48</v>
      </c>
      <c r="O418" s="468">
        <f t="shared" si="353"/>
        <v>2063</v>
      </c>
      <c r="P418" s="471">
        <f t="shared" si="363"/>
        <v>942143488</v>
      </c>
      <c r="Q418" s="472">
        <f t="shared" si="364"/>
        <v>942143488</v>
      </c>
      <c r="R418" s="472">
        <f t="shared" si="365"/>
        <v>19627989.333333336</v>
      </c>
      <c r="S418" s="1033">
        <f t="shared" si="354"/>
        <v>2016</v>
      </c>
      <c r="T418" s="470">
        <f t="shared" si="366"/>
        <v>1</v>
      </c>
      <c r="U418" s="612">
        <f t="shared" si="355"/>
        <v>19627989.333333336</v>
      </c>
      <c r="V418" s="464">
        <f t="shared" si="356"/>
        <v>2016</v>
      </c>
      <c r="W418" s="612">
        <f t="shared" si="367"/>
        <v>922515498.66666663</v>
      </c>
      <c r="X418" s="561"/>
      <c r="Y418" s="449"/>
      <c r="Z418" s="449"/>
      <c r="AA418" s="554"/>
      <c r="AB418" s="452"/>
      <c r="AC418" s="452"/>
      <c r="AD418" s="566"/>
      <c r="AE418" s="452"/>
      <c r="AF418" s="571"/>
      <c r="AG418" s="452"/>
      <c r="AH418" s="452"/>
      <c r="AI418" s="453"/>
      <c r="AJ418" s="449"/>
      <c r="AK418" s="453"/>
      <c r="AL418" s="454"/>
      <c r="AM418" s="455"/>
      <c r="AN418" s="456"/>
      <c r="AO418" s="455"/>
      <c r="AP418" s="452"/>
      <c r="AQ418" s="457"/>
      <c r="AR418" s="449"/>
      <c r="AS418" s="449"/>
      <c r="AT418" s="452"/>
      <c r="AU418" s="457"/>
      <c r="AV418" s="449"/>
      <c r="AW418" s="458"/>
      <c r="AX418" s="452"/>
      <c r="AY418" s="457"/>
      <c r="AZ418" s="449"/>
      <c r="BA418" s="459"/>
      <c r="BB418" s="455"/>
      <c r="BC418" s="460"/>
      <c r="BD418" s="460"/>
      <c r="BG418" s="462"/>
    </row>
    <row r="419" spans="1:59" s="461" customFormat="1" ht="18" customHeight="1" x14ac:dyDescent="0.2">
      <c r="A419" s="461" t="str">
        <f t="shared" si="357"/>
        <v>RUMAH DINAS JABATAN KAPOLRES2017</v>
      </c>
      <c r="B419" s="708"/>
      <c r="C419" s="489"/>
      <c r="D419" s="489" t="s">
        <v>1752</v>
      </c>
      <c r="E419" s="558"/>
      <c r="F419" s="559">
        <v>2017</v>
      </c>
      <c r="G419" s="619">
        <v>0</v>
      </c>
      <c r="H419" s="464">
        <f t="shared" si="358"/>
        <v>47</v>
      </c>
      <c r="I419" s="560"/>
      <c r="J419" s="468">
        <f t="shared" si="352"/>
        <v>2063</v>
      </c>
      <c r="K419" s="490">
        <f t="shared" si="359"/>
        <v>0</v>
      </c>
      <c r="L419" s="469">
        <f t="shared" si="360"/>
        <v>0</v>
      </c>
      <c r="M419" s="683">
        <f t="shared" si="361"/>
        <v>0</v>
      </c>
      <c r="N419" s="470">
        <f t="shared" si="362"/>
        <v>47</v>
      </c>
      <c r="O419" s="468">
        <f t="shared" si="353"/>
        <v>2063</v>
      </c>
      <c r="P419" s="471">
        <f t="shared" si="363"/>
        <v>922515498.66666663</v>
      </c>
      <c r="Q419" s="472">
        <f t="shared" si="364"/>
        <v>922515498.66666663</v>
      </c>
      <c r="R419" s="472">
        <f t="shared" si="365"/>
        <v>19627989.333333336</v>
      </c>
      <c r="S419" s="1033">
        <f t="shared" si="354"/>
        <v>2017</v>
      </c>
      <c r="T419" s="470">
        <f t="shared" si="366"/>
        <v>1</v>
      </c>
      <c r="U419" s="612">
        <f t="shared" si="355"/>
        <v>19627989.333333336</v>
      </c>
      <c r="V419" s="464">
        <f t="shared" si="356"/>
        <v>2017</v>
      </c>
      <c r="W419" s="612">
        <f t="shared" si="367"/>
        <v>902887509.33333325</v>
      </c>
      <c r="X419" s="561"/>
      <c r="Y419" s="449"/>
      <c r="Z419" s="449"/>
      <c r="AA419" s="475" t="s">
        <v>4180</v>
      </c>
      <c r="AB419" s="476"/>
      <c r="AC419" s="476"/>
      <c r="AD419" s="567">
        <f>G426</f>
        <v>997067333.33333337</v>
      </c>
      <c r="AE419" s="452"/>
      <c r="AF419" s="571"/>
      <c r="AG419" s="452"/>
      <c r="AH419" s="452"/>
      <c r="AI419" s="453"/>
      <c r="AJ419" s="449"/>
      <c r="AK419" s="453"/>
      <c r="AL419" s="454"/>
      <c r="AM419" s="455"/>
      <c r="AN419" s="456"/>
      <c r="AO419" s="455"/>
      <c r="AP419" s="452"/>
      <c r="AQ419" s="457"/>
      <c r="AR419" s="449"/>
      <c r="AS419" s="449"/>
      <c r="AT419" s="452"/>
      <c r="AU419" s="457"/>
      <c r="AV419" s="449"/>
      <c r="AW419" s="458"/>
      <c r="AX419" s="452"/>
      <c r="AY419" s="457"/>
      <c r="AZ419" s="449"/>
      <c r="BA419" s="459"/>
      <c r="BB419" s="455"/>
      <c r="BC419" s="460"/>
      <c r="BD419" s="460"/>
      <c r="BG419" s="462"/>
    </row>
    <row r="420" spans="1:59" s="461" customFormat="1" ht="18" customHeight="1" x14ac:dyDescent="0.2">
      <c r="A420" s="461" t="str">
        <f t="shared" si="357"/>
        <v>RUMAH DINAS JABATAN KAPOLRES2018</v>
      </c>
      <c r="B420" s="708"/>
      <c r="C420" s="489"/>
      <c r="D420" s="489" t="s">
        <v>1752</v>
      </c>
      <c r="E420" s="558"/>
      <c r="F420" s="559">
        <v>2018</v>
      </c>
      <c r="G420" s="619">
        <v>0</v>
      </c>
      <c r="H420" s="464">
        <f t="shared" si="358"/>
        <v>46</v>
      </c>
      <c r="I420" s="560"/>
      <c r="J420" s="468">
        <f t="shared" si="352"/>
        <v>2063</v>
      </c>
      <c r="K420" s="490">
        <f t="shared" si="359"/>
        <v>0</v>
      </c>
      <c r="L420" s="469">
        <f t="shared" si="360"/>
        <v>0</v>
      </c>
      <c r="M420" s="683">
        <f t="shared" si="361"/>
        <v>0</v>
      </c>
      <c r="N420" s="470">
        <f t="shared" si="362"/>
        <v>46</v>
      </c>
      <c r="O420" s="468">
        <f t="shared" si="353"/>
        <v>2063</v>
      </c>
      <c r="P420" s="471">
        <f t="shared" si="363"/>
        <v>902887509.33333325</v>
      </c>
      <c r="Q420" s="472">
        <f t="shared" si="364"/>
        <v>902887509.33333325</v>
      </c>
      <c r="R420" s="472">
        <f t="shared" si="365"/>
        <v>19627989.333333336</v>
      </c>
      <c r="S420" s="1033">
        <f t="shared" si="354"/>
        <v>2018</v>
      </c>
      <c r="T420" s="470">
        <f t="shared" si="366"/>
        <v>1</v>
      </c>
      <c r="U420" s="612">
        <f t="shared" si="355"/>
        <v>19627989.333333336</v>
      </c>
      <c r="V420" s="464">
        <f t="shared" si="356"/>
        <v>2018</v>
      </c>
      <c r="W420" s="612">
        <f t="shared" si="367"/>
        <v>883259519.99999988</v>
      </c>
      <c r="X420" s="561"/>
      <c r="Y420" s="449"/>
      <c r="Z420" s="449"/>
      <c r="AA420" s="475" t="s">
        <v>4181</v>
      </c>
      <c r="AB420" s="491"/>
      <c r="AC420" s="491"/>
      <c r="AD420" s="567">
        <f>U426</f>
        <v>133435802.66666669</v>
      </c>
      <c r="AE420" s="452"/>
      <c r="AF420" s="571"/>
      <c r="AG420" s="452"/>
      <c r="AH420" s="452"/>
      <c r="AI420" s="453"/>
      <c r="AJ420" s="449"/>
      <c r="AK420" s="453"/>
      <c r="AL420" s="454"/>
      <c r="AM420" s="455"/>
      <c r="AN420" s="456"/>
      <c r="AO420" s="455"/>
      <c r="AP420" s="452"/>
      <c r="AQ420" s="457"/>
      <c r="AR420" s="449"/>
      <c r="AS420" s="449"/>
      <c r="AT420" s="452"/>
      <c r="AU420" s="457"/>
      <c r="AV420" s="449"/>
      <c r="AW420" s="458"/>
      <c r="AX420" s="452"/>
      <c r="AY420" s="457"/>
      <c r="AZ420" s="449"/>
      <c r="BA420" s="459"/>
      <c r="BB420" s="455"/>
      <c r="BC420" s="460"/>
      <c r="BD420" s="460"/>
      <c r="BG420" s="462"/>
    </row>
    <row r="421" spans="1:59" s="461" customFormat="1" ht="18" customHeight="1" x14ac:dyDescent="0.2">
      <c r="A421" s="461" t="str">
        <f t="shared" si="357"/>
        <v>RUMAH DINAS JABATAN KAPOLRES2019</v>
      </c>
      <c r="B421" s="708"/>
      <c r="C421" s="489"/>
      <c r="D421" s="489"/>
      <c r="E421" s="558"/>
      <c r="F421" s="559">
        <v>2019</v>
      </c>
      <c r="G421" s="619">
        <v>0</v>
      </c>
      <c r="H421" s="464">
        <f t="shared" si="358"/>
        <v>45</v>
      </c>
      <c r="I421" s="560"/>
      <c r="J421" s="468">
        <f t="shared" si="352"/>
        <v>2063</v>
      </c>
      <c r="K421" s="490">
        <f t="shared" si="359"/>
        <v>0</v>
      </c>
      <c r="L421" s="469">
        <f t="shared" si="360"/>
        <v>0</v>
      </c>
      <c r="M421" s="683">
        <f t="shared" si="361"/>
        <v>0</v>
      </c>
      <c r="N421" s="470">
        <f t="shared" si="362"/>
        <v>45</v>
      </c>
      <c r="O421" s="468">
        <f t="shared" si="353"/>
        <v>2063</v>
      </c>
      <c r="P421" s="471">
        <f t="shared" si="363"/>
        <v>883259519.99999988</v>
      </c>
      <c r="Q421" s="472">
        <f t="shared" si="364"/>
        <v>883259519.99999988</v>
      </c>
      <c r="R421" s="472">
        <f t="shared" si="365"/>
        <v>19627989.333333336</v>
      </c>
      <c r="S421" s="1189">
        <f>F421</f>
        <v>2019</v>
      </c>
      <c r="T421" s="470">
        <f t="shared" si="366"/>
        <v>1</v>
      </c>
      <c r="U421" s="612">
        <f>R421*T421</f>
        <v>19627989.333333336</v>
      </c>
      <c r="V421" s="464">
        <f t="shared" si="356"/>
        <v>2019</v>
      </c>
      <c r="W421" s="612">
        <f t="shared" si="367"/>
        <v>863631530.66666651</v>
      </c>
      <c r="X421" s="561"/>
      <c r="Y421" s="449"/>
      <c r="Z421" s="449"/>
      <c r="AA421" s="492" t="s">
        <v>4182</v>
      </c>
      <c r="AB421" s="476"/>
      <c r="AC421" s="476"/>
      <c r="AD421" s="568">
        <f>AD419-AD420</f>
        <v>863631530.66666675</v>
      </c>
      <c r="AE421" s="452"/>
      <c r="AF421" s="571"/>
      <c r="AG421" s="452"/>
      <c r="AH421" s="452"/>
      <c r="AI421" s="453"/>
      <c r="AJ421" s="449"/>
      <c r="AK421" s="453"/>
      <c r="AL421" s="454"/>
      <c r="AM421" s="455"/>
      <c r="AN421" s="456"/>
      <c r="AO421" s="455"/>
      <c r="AP421" s="452"/>
      <c r="AQ421" s="457"/>
      <c r="AR421" s="449"/>
      <c r="AS421" s="449"/>
      <c r="AT421" s="452"/>
      <c r="AU421" s="457"/>
      <c r="AV421" s="449"/>
      <c r="AW421" s="458"/>
      <c r="AX421" s="452"/>
      <c r="AY421" s="457"/>
      <c r="AZ421" s="449"/>
      <c r="BA421" s="459"/>
      <c r="BB421" s="455"/>
      <c r="BC421" s="460"/>
      <c r="BD421" s="460"/>
      <c r="BG421" s="462"/>
    </row>
    <row r="422" spans="1:59" s="461" customFormat="1" ht="18" customHeight="1" x14ac:dyDescent="0.2">
      <c r="B422" s="708"/>
      <c r="C422" s="489"/>
      <c r="D422" s="489"/>
      <c r="E422" s="558"/>
      <c r="F422" s="559"/>
      <c r="G422" s="619"/>
      <c r="H422" s="464"/>
      <c r="I422" s="560"/>
      <c r="J422" s="468"/>
      <c r="K422" s="490"/>
      <c r="L422" s="469"/>
      <c r="M422" s="683"/>
      <c r="N422" s="470"/>
      <c r="O422" s="468"/>
      <c r="P422" s="471"/>
      <c r="Q422" s="472"/>
      <c r="R422" s="472"/>
      <c r="S422" s="1033"/>
      <c r="T422" s="470"/>
      <c r="U422" s="612"/>
      <c r="V422" s="464"/>
      <c r="W422" s="612"/>
      <c r="X422" s="561"/>
      <c r="Y422" s="449"/>
      <c r="Z422" s="449"/>
      <c r="AA422" s="475" t="s">
        <v>4183</v>
      </c>
      <c r="AB422" s="476"/>
      <c r="AC422" s="476"/>
      <c r="AD422" s="567">
        <f>AD421-W426</f>
        <v>0</v>
      </c>
      <c r="AE422" s="452"/>
      <c r="AF422" s="571"/>
      <c r="AG422" s="452"/>
      <c r="AH422" s="452"/>
      <c r="AI422" s="453"/>
      <c r="AJ422" s="449"/>
      <c r="AK422" s="453"/>
      <c r="AL422" s="454"/>
      <c r="AM422" s="455"/>
      <c r="AN422" s="456"/>
      <c r="AO422" s="455"/>
      <c r="AP422" s="452"/>
      <c r="AQ422" s="457"/>
      <c r="AR422" s="449"/>
      <c r="AS422" s="449"/>
      <c r="AT422" s="452"/>
      <c r="AU422" s="457"/>
      <c r="AV422" s="449"/>
      <c r="AW422" s="458"/>
      <c r="AX422" s="452"/>
      <c r="AY422" s="457"/>
      <c r="AZ422" s="449"/>
      <c r="BA422" s="459"/>
      <c r="BB422" s="455"/>
      <c r="BC422" s="460"/>
      <c r="BD422" s="460"/>
      <c r="BG422" s="462"/>
    </row>
    <row r="423" spans="1:59" s="486" customFormat="1" ht="18" customHeight="1" x14ac:dyDescent="0.2">
      <c r="B423" s="708"/>
      <c r="C423" s="463"/>
      <c r="D423" s="489"/>
      <c r="E423" s="465"/>
      <c r="F423" s="559"/>
      <c r="G423" s="619"/>
      <c r="H423" s="464"/>
      <c r="I423" s="560"/>
      <c r="J423" s="468"/>
      <c r="K423" s="490"/>
      <c r="L423" s="469"/>
      <c r="M423" s="683"/>
      <c r="N423" s="470"/>
      <c r="O423" s="468"/>
      <c r="P423" s="471"/>
      <c r="Q423" s="472"/>
      <c r="R423" s="472"/>
      <c r="S423" s="1033"/>
      <c r="T423" s="470"/>
      <c r="U423" s="612"/>
      <c r="V423" s="464"/>
      <c r="W423" s="612"/>
      <c r="X423" s="561"/>
      <c r="Y423" s="474"/>
      <c r="Z423" s="449"/>
      <c r="AA423" s="495"/>
      <c r="AB423" s="496"/>
      <c r="AC423" s="496"/>
      <c r="AD423" s="569"/>
      <c r="AE423" s="476"/>
      <c r="AF423" s="568"/>
      <c r="AG423" s="476"/>
      <c r="AH423" s="476"/>
      <c r="AI423" s="477"/>
      <c r="AJ423" s="478"/>
      <c r="AK423" s="479"/>
      <c r="AL423" s="480"/>
      <c r="AM423" s="474"/>
      <c r="AN423" s="481"/>
      <c r="AO423" s="474"/>
      <c r="AP423" s="476"/>
      <c r="AQ423" s="482"/>
      <c r="AR423" s="478"/>
      <c r="AS423" s="478"/>
      <c r="AT423" s="476"/>
      <c r="AU423" s="482"/>
      <c r="AV423" s="478"/>
      <c r="AW423" s="483"/>
      <c r="AX423" s="476"/>
      <c r="AY423" s="482"/>
      <c r="AZ423" s="478"/>
      <c r="BA423" s="484"/>
      <c r="BB423" s="474"/>
      <c r="BC423" s="485"/>
      <c r="BD423" s="485"/>
      <c r="BG423" s="487"/>
    </row>
    <row r="424" spans="1:59" s="486" customFormat="1" ht="18" customHeight="1" x14ac:dyDescent="0.2">
      <c r="B424" s="708"/>
      <c r="C424" s="488"/>
      <c r="D424" s="489"/>
      <c r="E424" s="465"/>
      <c r="F424" s="466"/>
      <c r="G424" s="620"/>
      <c r="H424" s="464"/>
      <c r="I424" s="467"/>
      <c r="J424" s="468"/>
      <c r="K424" s="490"/>
      <c r="L424" s="469"/>
      <c r="M424" s="683"/>
      <c r="N424" s="470"/>
      <c r="O424" s="468"/>
      <c r="P424" s="471"/>
      <c r="Q424" s="472"/>
      <c r="R424" s="472"/>
      <c r="S424" s="1033"/>
      <c r="T424" s="470"/>
      <c r="U424" s="612"/>
      <c r="V424" s="464"/>
      <c r="W424" s="612"/>
      <c r="X424" s="473"/>
      <c r="Y424" s="478"/>
      <c r="Z424" s="449"/>
      <c r="AA424" s="699"/>
      <c r="AB424" s="700"/>
      <c r="AC424" s="700"/>
      <c r="AD424" s="701"/>
      <c r="AE424" s="491"/>
      <c r="AF424" s="568"/>
      <c r="AG424" s="491"/>
      <c r="AH424" s="491"/>
      <c r="AI424" s="477"/>
      <c r="AJ424" s="478"/>
      <c r="AK424" s="479"/>
      <c r="AL424" s="480"/>
      <c r="AM424" s="474"/>
      <c r="AN424" s="481"/>
      <c r="AO424" s="474"/>
      <c r="AP424" s="476"/>
      <c r="AQ424" s="482"/>
      <c r="AR424" s="478"/>
      <c r="AS424" s="478"/>
      <c r="AT424" s="476"/>
      <c r="AU424" s="482"/>
      <c r="AV424" s="478"/>
      <c r="AW424" s="483"/>
      <c r="AX424" s="476"/>
      <c r="AY424" s="482"/>
      <c r="AZ424" s="478"/>
      <c r="BA424" s="484"/>
      <c r="BB424" s="474"/>
      <c r="BC424" s="485"/>
      <c r="BD424" s="485"/>
      <c r="BG424" s="487"/>
    </row>
    <row r="425" spans="1:59" s="486" customFormat="1" ht="18" customHeight="1" x14ac:dyDescent="0.2">
      <c r="B425" s="687"/>
      <c r="C425" s="494"/>
      <c r="D425" s="464"/>
      <c r="E425" s="465"/>
      <c r="F425" s="466"/>
      <c r="G425" s="620"/>
      <c r="H425" s="464"/>
      <c r="I425" s="467"/>
      <c r="J425" s="468"/>
      <c r="K425" s="490"/>
      <c r="L425" s="469"/>
      <c r="M425" s="683"/>
      <c r="N425" s="470"/>
      <c r="O425" s="468"/>
      <c r="P425" s="471"/>
      <c r="Q425" s="472"/>
      <c r="R425" s="472"/>
      <c r="S425" s="1033"/>
      <c r="T425" s="470"/>
      <c r="U425" s="612"/>
      <c r="V425" s="464"/>
      <c r="W425" s="612"/>
      <c r="X425" s="473"/>
      <c r="Y425" s="478"/>
      <c r="Z425" s="449"/>
      <c r="AA425" s="497"/>
      <c r="AB425" s="476"/>
      <c r="AC425" s="476"/>
      <c r="AD425" s="568"/>
      <c r="AE425" s="476"/>
      <c r="AF425" s="568"/>
      <c r="AG425" s="476"/>
      <c r="AH425" s="476"/>
      <c r="AI425" s="477"/>
      <c r="AJ425" s="478"/>
      <c r="AK425" s="479"/>
      <c r="AL425" s="480"/>
      <c r="AM425" s="474"/>
      <c r="AN425" s="481"/>
      <c r="AO425" s="474"/>
      <c r="AP425" s="476"/>
      <c r="AQ425" s="482"/>
      <c r="AR425" s="478"/>
      <c r="AS425" s="478"/>
      <c r="AT425" s="476"/>
      <c r="AU425" s="482"/>
      <c r="AV425" s="478"/>
      <c r="AW425" s="483"/>
      <c r="AX425" s="476"/>
      <c r="AY425" s="482"/>
      <c r="AZ425" s="478"/>
      <c r="BA425" s="484"/>
      <c r="BB425" s="474"/>
      <c r="BC425" s="485"/>
      <c r="BD425" s="485"/>
      <c r="BG425" s="487"/>
    </row>
    <row r="426" spans="1:59" s="526" customFormat="1" ht="18" customHeight="1" x14ac:dyDescent="0.2">
      <c r="B426" s="1956" t="s">
        <v>4184</v>
      </c>
      <c r="C426" s="1957"/>
      <c r="D426" s="1957"/>
      <c r="E426" s="1957"/>
      <c r="F426" s="1958"/>
      <c r="G426" s="621">
        <f>SUM(G415:G425)</f>
        <v>997067333.33333337</v>
      </c>
      <c r="H426" s="505"/>
      <c r="I426" s="506"/>
      <c r="J426" s="507"/>
      <c r="K426" s="507"/>
      <c r="L426" s="505"/>
      <c r="M426" s="684"/>
      <c r="N426" s="508"/>
      <c r="O426" s="507"/>
      <c r="P426" s="509"/>
      <c r="Q426" s="510"/>
      <c r="R426" s="511"/>
      <c r="S426" s="512"/>
      <c r="T426" s="512"/>
      <c r="U426" s="610">
        <f>SUM(U415:U425)</f>
        <v>133435802.66666669</v>
      </c>
      <c r="V426" s="513"/>
      <c r="W426" s="610">
        <f>G426-U426</f>
        <v>863631530.66666675</v>
      </c>
      <c r="X426" s="514"/>
      <c r="Y426" s="515"/>
      <c r="Z426" s="515"/>
      <c r="AA426" s="515"/>
      <c r="AB426" s="515"/>
      <c r="AC426" s="515"/>
      <c r="AD426" s="570"/>
      <c r="AE426" s="515"/>
      <c r="AF426" s="570"/>
      <c r="AG426" s="515"/>
      <c r="AH426" s="515"/>
      <c r="AI426" s="516"/>
      <c r="AJ426" s="517"/>
      <c r="AK426" s="518"/>
      <c r="AL426" s="519"/>
      <c r="AM426" s="520"/>
      <c r="AN426" s="521"/>
      <c r="AO426" s="520"/>
      <c r="AP426" s="515"/>
      <c r="AQ426" s="522"/>
      <c r="AR426" s="517"/>
      <c r="AS426" s="517"/>
      <c r="AT426" s="515"/>
      <c r="AU426" s="522"/>
      <c r="AV426" s="517"/>
      <c r="AW426" s="523"/>
      <c r="AX426" s="515"/>
      <c r="AY426" s="522"/>
      <c r="AZ426" s="517"/>
      <c r="BA426" s="524"/>
      <c r="BB426" s="520"/>
      <c r="BC426" s="525"/>
      <c r="BD426" s="525"/>
      <c r="BG426" s="527"/>
    </row>
    <row r="427" spans="1:59" s="526" customFormat="1" ht="18" customHeight="1" x14ac:dyDescent="0.2">
      <c r="B427" s="741"/>
      <c r="C427" s="1032"/>
      <c r="D427" s="1032"/>
      <c r="E427" s="1032"/>
      <c r="F427" s="585"/>
      <c r="G427" s="622"/>
      <c r="H427" s="586"/>
      <c r="I427" s="587"/>
      <c r="J427" s="588"/>
      <c r="K427" s="588"/>
      <c r="L427" s="586"/>
      <c r="M427" s="521"/>
      <c r="N427" s="589"/>
      <c r="O427" s="588"/>
      <c r="P427" s="590"/>
      <c r="Q427" s="591"/>
      <c r="R427" s="592"/>
      <c r="S427" s="593"/>
      <c r="T427" s="593"/>
      <c r="U427" s="570"/>
      <c r="V427" s="594"/>
      <c r="W427" s="570"/>
      <c r="X427" s="515"/>
      <c r="Y427" s="515"/>
      <c r="Z427" s="515"/>
      <c r="AA427" s="515"/>
      <c r="AB427" s="515"/>
      <c r="AC427" s="515"/>
      <c r="AD427" s="570"/>
      <c r="AE427" s="515"/>
      <c r="AF427" s="570"/>
      <c r="AG427" s="515"/>
      <c r="AH427" s="515"/>
      <c r="AI427" s="516"/>
      <c r="AJ427" s="517"/>
      <c r="AK427" s="518"/>
      <c r="AL427" s="519"/>
      <c r="AM427" s="520"/>
      <c r="AN427" s="521"/>
      <c r="AO427" s="520"/>
      <c r="AP427" s="515"/>
      <c r="AQ427" s="522"/>
      <c r="AR427" s="517"/>
      <c r="AS427" s="517"/>
      <c r="AT427" s="515"/>
      <c r="AU427" s="522"/>
      <c r="AV427" s="517"/>
      <c r="AW427" s="523"/>
      <c r="AX427" s="515"/>
      <c r="AY427" s="522"/>
      <c r="AZ427" s="517"/>
      <c r="BA427" s="524"/>
      <c r="BB427" s="520"/>
      <c r="BC427" s="525"/>
      <c r="BD427" s="525"/>
      <c r="BG427" s="527"/>
    </row>
    <row r="428" spans="1:59" s="526" customFormat="1" ht="18" customHeight="1" x14ac:dyDescent="0.2">
      <c r="B428" s="575"/>
      <c r="C428" s="585"/>
      <c r="D428" s="585"/>
      <c r="E428" s="585"/>
      <c r="F428" s="585"/>
      <c r="G428" s="622"/>
      <c r="H428" s="586"/>
      <c r="I428" s="587"/>
      <c r="J428" s="588"/>
      <c r="K428" s="588"/>
      <c r="L428" s="586"/>
      <c r="M428" s="521"/>
      <c r="N428" s="589"/>
      <c r="O428" s="588"/>
      <c r="P428" s="590"/>
      <c r="Q428" s="591"/>
      <c r="R428" s="592"/>
      <c r="S428" s="593"/>
      <c r="T428" s="593"/>
      <c r="U428" s="570"/>
      <c r="V428" s="594"/>
      <c r="W428" s="570"/>
      <c r="X428" s="515"/>
      <c r="Y428" s="515"/>
      <c r="Z428" s="515"/>
      <c r="AA428" s="515"/>
      <c r="AB428" s="515"/>
      <c r="AC428" s="515"/>
      <c r="AD428" s="570"/>
      <c r="AE428" s="515"/>
      <c r="AF428" s="570"/>
      <c r="AG428" s="515"/>
      <c r="AH428" s="515"/>
      <c r="AI428" s="516"/>
      <c r="AJ428" s="517"/>
      <c r="AK428" s="518"/>
      <c r="AL428" s="519"/>
      <c r="AM428" s="520"/>
      <c r="AN428" s="521"/>
      <c r="AO428" s="520"/>
      <c r="AP428" s="515"/>
      <c r="AQ428" s="522"/>
      <c r="AR428" s="517"/>
      <c r="AS428" s="517"/>
      <c r="AT428" s="515"/>
      <c r="AU428" s="522"/>
      <c r="AV428" s="517"/>
      <c r="AW428" s="523"/>
      <c r="AX428" s="515"/>
      <c r="AY428" s="522"/>
      <c r="AZ428" s="517"/>
      <c r="BA428" s="524"/>
      <c r="BB428" s="520"/>
      <c r="BC428" s="525"/>
      <c r="BD428" s="525"/>
      <c r="BG428" s="527"/>
    </row>
    <row r="429" spans="1:59" s="422" customFormat="1" ht="18" customHeight="1" x14ac:dyDescent="0.2">
      <c r="B429" s="688" t="s">
        <v>4795</v>
      </c>
      <c r="C429" s="556"/>
      <c r="D429" s="553" t="s">
        <v>5670</v>
      </c>
      <c r="E429" s="553"/>
      <c r="F429" s="421"/>
      <c r="G429" s="611"/>
      <c r="I429" s="423"/>
      <c r="J429" s="424"/>
      <c r="K429" s="424"/>
      <c r="M429" s="680"/>
      <c r="U429" s="611"/>
      <c r="W429" s="611"/>
      <c r="Y429" s="425"/>
      <c r="Z429" s="425"/>
      <c r="AA429" s="425"/>
      <c r="AB429" s="425"/>
      <c r="AC429" s="425"/>
      <c r="AD429" s="563"/>
      <c r="AE429" s="425"/>
      <c r="AF429" s="563"/>
      <c r="AG429" s="425"/>
      <c r="AH429" s="425"/>
      <c r="AI429" s="425"/>
      <c r="AJ429" s="425"/>
      <c r="AK429" s="425"/>
      <c r="AL429" s="425"/>
      <c r="AM429" s="425"/>
      <c r="AN429" s="425"/>
      <c r="AO429" s="425"/>
      <c r="AP429" s="425"/>
      <c r="AQ429" s="425"/>
      <c r="AR429" s="425"/>
      <c r="AS429" s="425"/>
      <c r="AT429" s="425"/>
      <c r="AU429" s="425"/>
      <c r="AV429" s="425"/>
      <c r="AW429" s="425"/>
      <c r="AX429" s="425"/>
      <c r="AY429" s="425"/>
      <c r="AZ429" s="425"/>
      <c r="BA429" s="425"/>
      <c r="BB429" s="425"/>
    </row>
    <row r="430" spans="1:59" s="431" customFormat="1" ht="18" customHeight="1" x14ac:dyDescent="0.2">
      <c r="B430" s="1968" t="s">
        <v>5</v>
      </c>
      <c r="C430" s="1968" t="s">
        <v>2280</v>
      </c>
      <c r="D430" s="1968" t="s">
        <v>4157</v>
      </c>
      <c r="E430" s="1968" t="s">
        <v>4158</v>
      </c>
      <c r="F430" s="1968"/>
      <c r="G430" s="1969" t="s">
        <v>4159</v>
      </c>
      <c r="H430" s="1355" t="s">
        <v>4160</v>
      </c>
      <c r="I430" s="1355"/>
      <c r="J430" s="1968" t="s">
        <v>4161</v>
      </c>
      <c r="K430" s="1964" t="s">
        <v>4162</v>
      </c>
      <c r="L430" s="1968" t="s">
        <v>4163</v>
      </c>
      <c r="M430" s="1971" t="s">
        <v>4164</v>
      </c>
      <c r="N430" s="1962" t="s">
        <v>4165</v>
      </c>
      <c r="O430" s="1968" t="s">
        <v>4166</v>
      </c>
      <c r="P430" s="1972" t="s">
        <v>4167</v>
      </c>
      <c r="Q430" s="1973"/>
      <c r="R430" s="1029" t="s">
        <v>4168</v>
      </c>
      <c r="S430" s="1972" t="s">
        <v>4169</v>
      </c>
      <c r="T430" s="1974"/>
      <c r="U430" s="1973"/>
      <c r="V430" s="1975" t="s">
        <v>4170</v>
      </c>
      <c r="W430" s="1975"/>
      <c r="X430" s="1960" t="s">
        <v>4171</v>
      </c>
      <c r="Y430" s="1959"/>
      <c r="Z430" s="1030"/>
      <c r="AA430" s="426"/>
      <c r="AB430" s="426"/>
      <c r="AC430" s="426"/>
      <c r="AD430" s="564"/>
      <c r="AE430" s="426"/>
      <c r="AF430" s="564"/>
      <c r="AG430" s="426"/>
      <c r="AH430" s="426"/>
      <c r="AI430" s="427"/>
      <c r="AJ430" s="427"/>
      <c r="AK430" s="427"/>
      <c r="AL430" s="427"/>
      <c r="AM430" s="428"/>
      <c r="AN430" s="427"/>
      <c r="AO430" s="427"/>
      <c r="AP430" s="426"/>
      <c r="AQ430" s="427"/>
      <c r="AR430" s="427"/>
      <c r="AS430" s="427"/>
      <c r="AT430" s="426"/>
      <c r="AU430" s="427"/>
      <c r="AV430" s="427"/>
      <c r="AW430" s="427"/>
      <c r="AX430" s="426"/>
      <c r="AY430" s="427"/>
      <c r="AZ430" s="427"/>
      <c r="BA430" s="427"/>
      <c r="BB430" s="429"/>
      <c r="BC430" s="430"/>
      <c r="BD430" s="430"/>
    </row>
    <row r="431" spans="1:59" s="431" customFormat="1" ht="18" customHeight="1" x14ac:dyDescent="0.2">
      <c r="B431" s="1968"/>
      <c r="C431" s="1968"/>
      <c r="D431" s="1968"/>
      <c r="E431" s="1968"/>
      <c r="F431" s="1968"/>
      <c r="G431" s="1969"/>
      <c r="H431" s="1355"/>
      <c r="I431" s="1355"/>
      <c r="J431" s="1968"/>
      <c r="K431" s="1970"/>
      <c r="L431" s="1968"/>
      <c r="M431" s="1971"/>
      <c r="N431" s="1963"/>
      <c r="O431" s="1968"/>
      <c r="P431" s="1960" t="s">
        <v>4172</v>
      </c>
      <c r="Q431" s="1960" t="s">
        <v>4173</v>
      </c>
      <c r="R431" s="1962" t="s">
        <v>4159</v>
      </c>
      <c r="S431" s="1962" t="s">
        <v>4174</v>
      </c>
      <c r="T431" s="1964" t="s">
        <v>4175</v>
      </c>
      <c r="U431" s="1966" t="s">
        <v>4159</v>
      </c>
      <c r="V431" s="1975"/>
      <c r="W431" s="1975"/>
      <c r="X431" s="1976"/>
      <c r="Y431" s="1959"/>
      <c r="Z431" s="1030"/>
      <c r="AA431" s="426"/>
      <c r="AB431" s="426"/>
      <c r="AC431" s="426"/>
      <c r="AD431" s="564"/>
      <c r="AE431" s="426"/>
      <c r="AF431" s="564"/>
      <c r="AG431" s="426"/>
      <c r="AH431" s="426"/>
      <c r="AI431" s="427"/>
      <c r="AJ431" s="427"/>
      <c r="AK431" s="426"/>
      <c r="AL431" s="427"/>
      <c r="AM431" s="428"/>
      <c r="AN431" s="427"/>
      <c r="AO431" s="427"/>
      <c r="AP431" s="432"/>
      <c r="AQ431" s="427"/>
      <c r="AR431" s="427"/>
      <c r="AS431" s="427"/>
      <c r="AT431" s="432"/>
      <c r="AU431" s="427"/>
      <c r="AV431" s="427"/>
      <c r="AW431" s="427"/>
      <c r="AX431" s="432"/>
      <c r="AY431" s="427"/>
      <c r="AZ431" s="427"/>
      <c r="BA431" s="427"/>
      <c r="BB431" s="429"/>
      <c r="BC431" s="430"/>
      <c r="BD431" s="430"/>
    </row>
    <row r="432" spans="1:59" s="431" customFormat="1" ht="21.75" customHeight="1" x14ac:dyDescent="0.2">
      <c r="B432" s="1968"/>
      <c r="C432" s="1968"/>
      <c r="D432" s="1968"/>
      <c r="E432" s="433" t="s">
        <v>4176</v>
      </c>
      <c r="F432" s="434" t="s">
        <v>2288</v>
      </c>
      <c r="G432" s="1969"/>
      <c r="H432" s="1355" t="s">
        <v>2288</v>
      </c>
      <c r="I432" s="1355" t="s">
        <v>4177</v>
      </c>
      <c r="J432" s="1968"/>
      <c r="K432" s="1965"/>
      <c r="L432" s="435" t="s">
        <v>2288</v>
      </c>
      <c r="M432" s="681" t="s">
        <v>2288</v>
      </c>
      <c r="N432" s="1028" t="s">
        <v>2288</v>
      </c>
      <c r="O432" s="1968"/>
      <c r="P432" s="1961"/>
      <c r="Q432" s="1961"/>
      <c r="R432" s="1963"/>
      <c r="S432" s="1963"/>
      <c r="T432" s="1965"/>
      <c r="U432" s="1967"/>
      <c r="V432" s="1028" t="s">
        <v>4178</v>
      </c>
      <c r="W432" s="1031" t="s">
        <v>4159</v>
      </c>
      <c r="X432" s="1961"/>
      <c r="Y432" s="436"/>
      <c r="Z432" s="436"/>
      <c r="AA432" s="426"/>
      <c r="AB432" s="426"/>
      <c r="AC432" s="426"/>
      <c r="AD432" s="564"/>
      <c r="AE432" s="426"/>
      <c r="AF432" s="564"/>
      <c r="AG432" s="426"/>
      <c r="AH432" s="426"/>
      <c r="AI432" s="427"/>
      <c r="AJ432" s="432"/>
      <c r="AK432" s="432"/>
      <c r="AL432" s="427"/>
      <c r="AM432" s="428"/>
      <c r="AN432" s="432"/>
      <c r="AO432" s="427"/>
      <c r="AP432" s="432"/>
      <c r="AQ432" s="432"/>
      <c r="AR432" s="427"/>
      <c r="AS432" s="427"/>
      <c r="AT432" s="432"/>
      <c r="AU432" s="432"/>
      <c r="AV432" s="427"/>
      <c r="AW432" s="427"/>
      <c r="AX432" s="432"/>
      <c r="AY432" s="432"/>
      <c r="AZ432" s="427"/>
      <c r="BA432" s="427"/>
      <c r="BB432" s="429"/>
      <c r="BC432" s="430"/>
      <c r="BD432" s="430"/>
    </row>
    <row r="433" spans="1:59" s="461" customFormat="1" ht="18" customHeight="1" x14ac:dyDescent="0.2">
      <c r="A433" s="461" t="str">
        <f>$D$429&amp;S433</f>
        <v>RUMAH DINAS JABATAN KAJARI2013</v>
      </c>
      <c r="B433" s="689">
        <v>1</v>
      </c>
      <c r="C433" s="597" t="s">
        <v>4788</v>
      </c>
      <c r="D433" s="597" t="s">
        <v>1752</v>
      </c>
      <c r="E433" s="598"/>
      <c r="F433" s="599">
        <v>2013</v>
      </c>
      <c r="G433" s="626">
        <v>783393333.33333337</v>
      </c>
      <c r="H433" s="600">
        <f>VLOOKUP(LEFT(D433,8),UE,4)</f>
        <v>50</v>
      </c>
      <c r="I433" s="601"/>
      <c r="J433" s="602">
        <f t="shared" ref="J433:J439" si="368">(F433+N433)-1</f>
        <v>2062</v>
      </c>
      <c r="K433" s="603"/>
      <c r="L433" s="600"/>
      <c r="M433" s="685">
        <f>IF(H433+L433&gt;$H433,$H433-H433,L433)</f>
        <v>0</v>
      </c>
      <c r="N433" s="604">
        <f>H433+M433</f>
        <v>50</v>
      </c>
      <c r="O433" s="602">
        <f t="shared" ref="O433:O439" si="369">(F433+N433)-1</f>
        <v>2062</v>
      </c>
      <c r="P433" s="605">
        <f>G433</f>
        <v>783393333.33333337</v>
      </c>
      <c r="Q433" s="606">
        <v>0</v>
      </c>
      <c r="R433" s="606">
        <f>P433/N433</f>
        <v>15667866.666666668</v>
      </c>
      <c r="S433" s="607">
        <f t="shared" ref="S433:S438" si="370">F433</f>
        <v>2013</v>
      </c>
      <c r="T433" s="608">
        <v>1</v>
      </c>
      <c r="U433" s="615">
        <f t="shared" ref="U433:U438" si="371">R433*T433</f>
        <v>15667866.666666668</v>
      </c>
      <c r="V433" s="602">
        <f t="shared" ref="V433:V439" si="372">F433</f>
        <v>2013</v>
      </c>
      <c r="W433" s="618">
        <f>IF(OR(AND(ISBLANK(E433),ISBLANK(G433)),ISTEXT(E433),ISTEXT(G433)),"",G433-R433)</f>
        <v>767725466.66666675</v>
      </c>
      <c r="X433" s="609"/>
      <c r="Y433" s="449"/>
      <c r="Z433" s="449"/>
      <c r="AA433" s="694"/>
      <c r="AB433" s="692"/>
      <c r="AC433" s="692"/>
      <c r="AD433" s="695"/>
      <c r="AE433" s="452"/>
      <c r="AF433" s="571"/>
      <c r="AG433" s="452"/>
      <c r="AH433" s="452"/>
      <c r="AI433" s="453"/>
      <c r="AJ433" s="449"/>
      <c r="AK433" s="453"/>
      <c r="AL433" s="454"/>
      <c r="AM433" s="455"/>
      <c r="AN433" s="456"/>
      <c r="AO433" s="455"/>
      <c r="AP433" s="452"/>
      <c r="AQ433" s="457"/>
      <c r="AR433" s="449"/>
      <c r="AS433" s="449"/>
      <c r="AT433" s="452"/>
      <c r="AU433" s="457"/>
      <c r="AV433" s="449"/>
      <c r="AW433" s="458"/>
      <c r="AX433" s="452"/>
      <c r="AY433" s="457"/>
      <c r="AZ433" s="449"/>
      <c r="BA433" s="459"/>
      <c r="BB433" s="455"/>
      <c r="BC433" s="460"/>
      <c r="BD433" s="460"/>
      <c r="BG433" s="462"/>
    </row>
    <row r="434" spans="1:59" s="461" customFormat="1" ht="18" customHeight="1" x14ac:dyDescent="0.2">
      <c r="A434" s="461" t="str">
        <f t="shared" ref="A434:A439" si="373">$D$429&amp;S434</f>
        <v>RUMAH DINAS JABATAN KAJARI2014</v>
      </c>
      <c r="B434" s="708">
        <v>2</v>
      </c>
      <c r="C434" s="489" t="s">
        <v>4790</v>
      </c>
      <c r="D434" s="489"/>
      <c r="E434" s="558"/>
      <c r="F434" s="559">
        <v>2014</v>
      </c>
      <c r="G434" s="619">
        <v>178919000</v>
      </c>
      <c r="H434" s="464">
        <f t="shared" ref="H434:H439" si="374">IF(N433-(F434-F433)&lt;=0,0,(N433-(F434-F433)))</f>
        <v>49</v>
      </c>
      <c r="I434" s="560"/>
      <c r="J434" s="468">
        <f t="shared" si="368"/>
        <v>2063</v>
      </c>
      <c r="K434" s="490">
        <f t="shared" ref="K434:K439" si="375">IF(G434=0,0,IF(H434=50,100%,G434/W433))</f>
        <v>0.23305075546970694</v>
      </c>
      <c r="L434" s="469">
        <f t="shared" ref="L434:L439" si="376">IF(K434=0%,0,IF(K434&lt;=25%,5,IF(K434&lt;=50%,10,IF(K434&lt;=75%,15,50))))</f>
        <v>5</v>
      </c>
      <c r="M434" s="683">
        <f t="shared" ref="M434:M439" si="377">IF(OR(AND(ISBLANK(E434),ISBLANK(G434)),ISTEXT(E434),ISTEXT(G434)),"",IF(H434+L434&gt;$H$27,$H$27-H434,L434))</f>
        <v>1</v>
      </c>
      <c r="N434" s="470">
        <f t="shared" ref="N434:N439" si="378">IF(OR(AND(ISBLANK(F434),ISBLANK(G434)),ISTEXT(F434),ISTEXT(G434)),"",H434+M434)</f>
        <v>50</v>
      </c>
      <c r="O434" s="468">
        <f t="shared" si="369"/>
        <v>2063</v>
      </c>
      <c r="P434" s="471">
        <f t="shared" ref="P434:P439" si="379">W433</f>
        <v>767725466.66666675</v>
      </c>
      <c r="Q434" s="472">
        <f t="shared" ref="Q434:Q439" si="380">P434+G434</f>
        <v>946644466.66666675</v>
      </c>
      <c r="R434" s="472">
        <f t="shared" ref="R434:R439" si="381">IF(L434=0,R433,Q434/N434)</f>
        <v>18932889.333333336</v>
      </c>
      <c r="S434" s="1033">
        <f t="shared" si="370"/>
        <v>2014</v>
      </c>
      <c r="T434" s="470">
        <f t="shared" ref="T434:T439" si="382">S434-S433</f>
        <v>1</v>
      </c>
      <c r="U434" s="612">
        <f t="shared" si="371"/>
        <v>18932889.333333336</v>
      </c>
      <c r="V434" s="464">
        <f t="shared" si="372"/>
        <v>2014</v>
      </c>
      <c r="W434" s="612">
        <f t="shared" ref="W434:W439" si="383">IF(OR(AND(ISBLANK(E434),ISBLANK(G434)),ISTEXT(E434),ISTEXT(G434)),"",Q434-U434)</f>
        <v>927711577.33333337</v>
      </c>
      <c r="X434" s="561"/>
      <c r="Y434" s="449"/>
      <c r="Z434" s="449"/>
      <c r="AA434" s="693"/>
      <c r="AB434" s="452"/>
      <c r="AC434" s="452"/>
      <c r="AD434" s="571"/>
      <c r="AE434" s="452"/>
      <c r="AF434" s="571"/>
      <c r="AG434" s="452"/>
      <c r="AH434" s="452"/>
      <c r="AI434" s="453"/>
      <c r="AJ434" s="449"/>
      <c r="AK434" s="453"/>
      <c r="AL434" s="454"/>
      <c r="AM434" s="455"/>
      <c r="AN434" s="456"/>
      <c r="AO434" s="455"/>
      <c r="AP434" s="452"/>
      <c r="AQ434" s="457"/>
      <c r="AR434" s="449"/>
      <c r="AS434" s="449"/>
      <c r="AT434" s="452"/>
      <c r="AU434" s="457"/>
      <c r="AV434" s="449"/>
      <c r="AW434" s="458"/>
      <c r="AX434" s="452"/>
      <c r="AY434" s="457"/>
      <c r="AZ434" s="449"/>
      <c r="BA434" s="459"/>
      <c r="BB434" s="455"/>
      <c r="BC434" s="460"/>
      <c r="BD434" s="460"/>
      <c r="BG434" s="462"/>
    </row>
    <row r="435" spans="1:59" s="461" customFormat="1" ht="18" customHeight="1" x14ac:dyDescent="0.2">
      <c r="A435" s="461" t="str">
        <f t="shared" si="373"/>
        <v>RUMAH DINAS JABATAN KAJARI2015</v>
      </c>
      <c r="B435" s="708"/>
      <c r="C435" s="489"/>
      <c r="D435" s="489" t="s">
        <v>1752</v>
      </c>
      <c r="E435" s="558"/>
      <c r="F435" s="559">
        <v>2015</v>
      </c>
      <c r="G435" s="619">
        <v>0</v>
      </c>
      <c r="H435" s="464">
        <f t="shared" si="374"/>
        <v>49</v>
      </c>
      <c r="I435" s="560"/>
      <c r="J435" s="468">
        <f t="shared" si="368"/>
        <v>2063</v>
      </c>
      <c r="K435" s="490">
        <f t="shared" si="375"/>
        <v>0</v>
      </c>
      <c r="L435" s="469">
        <f t="shared" si="376"/>
        <v>0</v>
      </c>
      <c r="M435" s="683">
        <f t="shared" si="377"/>
        <v>0</v>
      </c>
      <c r="N435" s="470">
        <f t="shared" si="378"/>
        <v>49</v>
      </c>
      <c r="O435" s="468">
        <f t="shared" si="369"/>
        <v>2063</v>
      </c>
      <c r="P435" s="471">
        <f t="shared" si="379"/>
        <v>927711577.33333337</v>
      </c>
      <c r="Q435" s="472">
        <f t="shared" si="380"/>
        <v>927711577.33333337</v>
      </c>
      <c r="R435" s="472">
        <f t="shared" si="381"/>
        <v>18932889.333333336</v>
      </c>
      <c r="S435" s="1033">
        <f t="shared" si="370"/>
        <v>2015</v>
      </c>
      <c r="T435" s="470">
        <f t="shared" si="382"/>
        <v>1</v>
      </c>
      <c r="U435" s="612">
        <f t="shared" si="371"/>
        <v>18932889.333333336</v>
      </c>
      <c r="V435" s="464">
        <f t="shared" si="372"/>
        <v>2015</v>
      </c>
      <c r="W435" s="612">
        <f t="shared" si="383"/>
        <v>908778688</v>
      </c>
      <c r="X435" s="561"/>
      <c r="Y435" s="449"/>
      <c r="Z435" s="449"/>
      <c r="AA435" s="554" t="s">
        <v>4179</v>
      </c>
      <c r="AB435" s="452"/>
      <c r="AC435" s="452"/>
      <c r="AD435" s="566"/>
      <c r="AE435" s="452"/>
      <c r="AF435" s="571"/>
      <c r="AG435" s="452"/>
      <c r="AH435" s="452"/>
      <c r="AI435" s="453"/>
      <c r="AJ435" s="449"/>
      <c r="AK435" s="453"/>
      <c r="AL435" s="454"/>
      <c r="AM435" s="455"/>
      <c r="AN435" s="456"/>
      <c r="AO435" s="455"/>
      <c r="AP435" s="452"/>
      <c r="AQ435" s="457"/>
      <c r="AR435" s="449"/>
      <c r="AS435" s="449"/>
      <c r="AT435" s="452"/>
      <c r="AU435" s="457"/>
      <c r="AV435" s="449"/>
      <c r="AW435" s="458"/>
      <c r="AX435" s="452"/>
      <c r="AY435" s="457"/>
      <c r="AZ435" s="449"/>
      <c r="BA435" s="459"/>
      <c r="BB435" s="455"/>
      <c r="BC435" s="460"/>
      <c r="BD435" s="460"/>
      <c r="BG435" s="462"/>
    </row>
    <row r="436" spans="1:59" s="461" customFormat="1" ht="18" customHeight="1" x14ac:dyDescent="0.2">
      <c r="A436" s="461" t="str">
        <f t="shared" si="373"/>
        <v>RUMAH DINAS JABATAN KAJARI2016</v>
      </c>
      <c r="B436" s="708"/>
      <c r="C436" s="489"/>
      <c r="D436" s="489" t="s">
        <v>1752</v>
      </c>
      <c r="E436" s="558"/>
      <c r="F436" s="559">
        <v>2016</v>
      </c>
      <c r="G436" s="619">
        <v>0</v>
      </c>
      <c r="H436" s="464">
        <f t="shared" si="374"/>
        <v>48</v>
      </c>
      <c r="I436" s="560"/>
      <c r="J436" s="468">
        <f t="shared" si="368"/>
        <v>2063</v>
      </c>
      <c r="K436" s="490">
        <f t="shared" si="375"/>
        <v>0</v>
      </c>
      <c r="L436" s="469">
        <f t="shared" si="376"/>
        <v>0</v>
      </c>
      <c r="M436" s="683">
        <f t="shared" si="377"/>
        <v>0</v>
      </c>
      <c r="N436" s="470">
        <f t="shared" si="378"/>
        <v>48</v>
      </c>
      <c r="O436" s="468">
        <f t="shared" si="369"/>
        <v>2063</v>
      </c>
      <c r="P436" s="471">
        <f t="shared" si="379"/>
        <v>908778688</v>
      </c>
      <c r="Q436" s="472">
        <f t="shared" si="380"/>
        <v>908778688</v>
      </c>
      <c r="R436" s="472">
        <f t="shared" si="381"/>
        <v>18932889.333333336</v>
      </c>
      <c r="S436" s="1033">
        <f t="shared" si="370"/>
        <v>2016</v>
      </c>
      <c r="T436" s="470">
        <f t="shared" si="382"/>
        <v>1</v>
      </c>
      <c r="U436" s="612">
        <f t="shared" si="371"/>
        <v>18932889.333333336</v>
      </c>
      <c r="V436" s="464">
        <f t="shared" si="372"/>
        <v>2016</v>
      </c>
      <c r="W436" s="612">
        <f t="shared" si="383"/>
        <v>889845798.66666663</v>
      </c>
      <c r="X436" s="561"/>
      <c r="Y436" s="449"/>
      <c r="Z436" s="449"/>
      <c r="AA436" s="554"/>
      <c r="AB436" s="452"/>
      <c r="AC436" s="452"/>
      <c r="AD436" s="566"/>
      <c r="AE436" s="452"/>
      <c r="AF436" s="571"/>
      <c r="AG436" s="452"/>
      <c r="AH436" s="452"/>
      <c r="AI436" s="453"/>
      <c r="AJ436" s="449"/>
      <c r="AK436" s="453"/>
      <c r="AL436" s="454"/>
      <c r="AM436" s="455"/>
      <c r="AN436" s="456"/>
      <c r="AO436" s="455"/>
      <c r="AP436" s="452"/>
      <c r="AQ436" s="457"/>
      <c r="AR436" s="449"/>
      <c r="AS436" s="449"/>
      <c r="AT436" s="452"/>
      <c r="AU436" s="457"/>
      <c r="AV436" s="449"/>
      <c r="AW436" s="458"/>
      <c r="AX436" s="452"/>
      <c r="AY436" s="457"/>
      <c r="AZ436" s="449"/>
      <c r="BA436" s="459"/>
      <c r="BB436" s="455"/>
      <c r="BC436" s="460"/>
      <c r="BD436" s="460"/>
      <c r="BG436" s="462"/>
    </row>
    <row r="437" spans="1:59" s="461" customFormat="1" ht="18" customHeight="1" x14ac:dyDescent="0.2">
      <c r="A437" s="461" t="str">
        <f t="shared" si="373"/>
        <v>RUMAH DINAS JABATAN KAJARI2017</v>
      </c>
      <c r="B437" s="708"/>
      <c r="C437" s="489"/>
      <c r="D437" s="489" t="s">
        <v>1752</v>
      </c>
      <c r="E437" s="558"/>
      <c r="F437" s="559">
        <v>2017</v>
      </c>
      <c r="G437" s="619">
        <v>0</v>
      </c>
      <c r="H437" s="464">
        <f t="shared" si="374"/>
        <v>47</v>
      </c>
      <c r="I437" s="560"/>
      <c r="J437" s="468">
        <f t="shared" si="368"/>
        <v>2063</v>
      </c>
      <c r="K437" s="490">
        <f t="shared" si="375"/>
        <v>0</v>
      </c>
      <c r="L437" s="469">
        <f t="shared" si="376"/>
        <v>0</v>
      </c>
      <c r="M437" s="683">
        <f t="shared" si="377"/>
        <v>0</v>
      </c>
      <c r="N437" s="470">
        <f t="shared" si="378"/>
        <v>47</v>
      </c>
      <c r="O437" s="468">
        <f t="shared" si="369"/>
        <v>2063</v>
      </c>
      <c r="P437" s="471">
        <f t="shared" si="379"/>
        <v>889845798.66666663</v>
      </c>
      <c r="Q437" s="472">
        <f t="shared" si="380"/>
        <v>889845798.66666663</v>
      </c>
      <c r="R437" s="472">
        <f t="shared" si="381"/>
        <v>18932889.333333336</v>
      </c>
      <c r="S437" s="1033">
        <f t="shared" si="370"/>
        <v>2017</v>
      </c>
      <c r="T437" s="470">
        <f t="shared" si="382"/>
        <v>1</v>
      </c>
      <c r="U437" s="612">
        <f t="shared" si="371"/>
        <v>18932889.333333336</v>
      </c>
      <c r="V437" s="464">
        <f t="shared" si="372"/>
        <v>2017</v>
      </c>
      <c r="W437" s="612">
        <f t="shared" si="383"/>
        <v>870912909.33333325</v>
      </c>
      <c r="X437" s="561"/>
      <c r="Y437" s="449"/>
      <c r="Z437" s="449"/>
      <c r="AA437" s="475" t="s">
        <v>4180</v>
      </c>
      <c r="AB437" s="476"/>
      <c r="AC437" s="476"/>
      <c r="AD437" s="567">
        <f>G444</f>
        <v>962312333.33333337</v>
      </c>
      <c r="AE437" s="452"/>
      <c r="AF437" s="571"/>
      <c r="AG437" s="452"/>
      <c r="AH437" s="452"/>
      <c r="AI437" s="453"/>
      <c r="AJ437" s="449"/>
      <c r="AK437" s="453"/>
      <c r="AL437" s="454"/>
      <c r="AM437" s="455"/>
      <c r="AN437" s="456"/>
      <c r="AO437" s="455"/>
      <c r="AP437" s="452"/>
      <c r="AQ437" s="457"/>
      <c r="AR437" s="449"/>
      <c r="AS437" s="449"/>
      <c r="AT437" s="452"/>
      <c r="AU437" s="457"/>
      <c r="AV437" s="449"/>
      <c r="AW437" s="458"/>
      <c r="AX437" s="452"/>
      <c r="AY437" s="457"/>
      <c r="AZ437" s="449"/>
      <c r="BA437" s="459"/>
      <c r="BB437" s="455"/>
      <c r="BC437" s="460"/>
      <c r="BD437" s="460"/>
      <c r="BG437" s="462"/>
    </row>
    <row r="438" spans="1:59" s="461" customFormat="1" ht="18" customHeight="1" x14ac:dyDescent="0.2">
      <c r="A438" s="461" t="str">
        <f t="shared" si="373"/>
        <v>RUMAH DINAS JABATAN KAJARI2018</v>
      </c>
      <c r="B438" s="708"/>
      <c r="C438" s="489"/>
      <c r="D438" s="489" t="s">
        <v>1752</v>
      </c>
      <c r="E438" s="558"/>
      <c r="F438" s="559">
        <v>2018</v>
      </c>
      <c r="G438" s="619">
        <v>0</v>
      </c>
      <c r="H438" s="464">
        <f t="shared" si="374"/>
        <v>46</v>
      </c>
      <c r="I438" s="560"/>
      <c r="J438" s="468">
        <f t="shared" si="368"/>
        <v>2063</v>
      </c>
      <c r="K438" s="490">
        <f t="shared" si="375"/>
        <v>0</v>
      </c>
      <c r="L438" s="469">
        <f t="shared" si="376"/>
        <v>0</v>
      </c>
      <c r="M438" s="683">
        <f t="shared" si="377"/>
        <v>0</v>
      </c>
      <c r="N438" s="470">
        <f t="shared" si="378"/>
        <v>46</v>
      </c>
      <c r="O438" s="468">
        <f t="shared" si="369"/>
        <v>2063</v>
      </c>
      <c r="P438" s="471">
        <f t="shared" si="379"/>
        <v>870912909.33333325</v>
      </c>
      <c r="Q438" s="472">
        <f t="shared" si="380"/>
        <v>870912909.33333325</v>
      </c>
      <c r="R438" s="472">
        <f t="shared" si="381"/>
        <v>18932889.333333336</v>
      </c>
      <c r="S438" s="1033">
        <f t="shared" si="370"/>
        <v>2018</v>
      </c>
      <c r="T438" s="470">
        <f t="shared" si="382"/>
        <v>1</v>
      </c>
      <c r="U438" s="612">
        <f t="shared" si="371"/>
        <v>18932889.333333336</v>
      </c>
      <c r="V438" s="464">
        <f t="shared" si="372"/>
        <v>2018</v>
      </c>
      <c r="W438" s="612">
        <f t="shared" si="383"/>
        <v>851980019.99999988</v>
      </c>
      <c r="X438" s="561"/>
      <c r="Y438" s="449"/>
      <c r="Z438" s="449"/>
      <c r="AA438" s="475" t="s">
        <v>4181</v>
      </c>
      <c r="AB438" s="491"/>
      <c r="AC438" s="491"/>
      <c r="AD438" s="567">
        <f>U444</f>
        <v>129265202.66666669</v>
      </c>
      <c r="AE438" s="452"/>
      <c r="AF438" s="571"/>
      <c r="AG438" s="452"/>
      <c r="AH438" s="452"/>
      <c r="AI438" s="453"/>
      <c r="AJ438" s="449"/>
      <c r="AK438" s="453"/>
      <c r="AL438" s="454"/>
      <c r="AM438" s="455"/>
      <c r="AN438" s="456"/>
      <c r="AO438" s="455"/>
      <c r="AP438" s="452"/>
      <c r="AQ438" s="457"/>
      <c r="AR438" s="449"/>
      <c r="AS438" s="449"/>
      <c r="AT438" s="452"/>
      <c r="AU438" s="457"/>
      <c r="AV438" s="449"/>
      <c r="AW438" s="458"/>
      <c r="AX438" s="452"/>
      <c r="AY438" s="457"/>
      <c r="AZ438" s="449"/>
      <c r="BA438" s="459"/>
      <c r="BB438" s="455"/>
      <c r="BC438" s="460"/>
      <c r="BD438" s="460"/>
      <c r="BG438" s="462"/>
    </row>
    <row r="439" spans="1:59" s="461" customFormat="1" ht="18" customHeight="1" x14ac:dyDescent="0.2">
      <c r="A439" s="461" t="str">
        <f t="shared" si="373"/>
        <v>RUMAH DINAS JABATAN KAJARI2019</v>
      </c>
      <c r="B439" s="708"/>
      <c r="C439" s="489"/>
      <c r="D439" s="489"/>
      <c r="E439" s="558"/>
      <c r="F439" s="559">
        <v>2019</v>
      </c>
      <c r="G439" s="619">
        <v>0</v>
      </c>
      <c r="H439" s="464">
        <f t="shared" si="374"/>
        <v>45</v>
      </c>
      <c r="I439" s="560"/>
      <c r="J439" s="468">
        <f t="shared" si="368"/>
        <v>2063</v>
      </c>
      <c r="K439" s="490">
        <f t="shared" si="375"/>
        <v>0</v>
      </c>
      <c r="L439" s="469">
        <f t="shared" si="376"/>
        <v>0</v>
      </c>
      <c r="M439" s="683">
        <f t="shared" si="377"/>
        <v>0</v>
      </c>
      <c r="N439" s="470">
        <f t="shared" si="378"/>
        <v>45</v>
      </c>
      <c r="O439" s="468">
        <f t="shared" si="369"/>
        <v>2063</v>
      </c>
      <c r="P439" s="471">
        <f t="shared" si="379"/>
        <v>851980019.99999988</v>
      </c>
      <c r="Q439" s="472">
        <f t="shared" si="380"/>
        <v>851980019.99999988</v>
      </c>
      <c r="R439" s="472">
        <f t="shared" si="381"/>
        <v>18932889.333333336</v>
      </c>
      <c r="S439" s="1189">
        <f>F439</f>
        <v>2019</v>
      </c>
      <c r="T439" s="470">
        <f t="shared" si="382"/>
        <v>1</v>
      </c>
      <c r="U439" s="612">
        <f>R439*T439</f>
        <v>18932889.333333336</v>
      </c>
      <c r="V439" s="464">
        <f t="shared" si="372"/>
        <v>2019</v>
      </c>
      <c r="W439" s="612">
        <f t="shared" si="383"/>
        <v>833047130.66666651</v>
      </c>
      <c r="X439" s="561"/>
      <c r="Y439" s="449"/>
      <c r="Z439" s="449"/>
      <c r="AA439" s="492" t="s">
        <v>4182</v>
      </c>
      <c r="AB439" s="476"/>
      <c r="AC439" s="476"/>
      <c r="AD439" s="568">
        <f>AD437-AD438</f>
        <v>833047130.66666675</v>
      </c>
      <c r="AE439" s="452"/>
      <c r="AF439" s="571"/>
      <c r="AG439" s="452"/>
      <c r="AH439" s="452"/>
      <c r="AI439" s="453"/>
      <c r="AJ439" s="449"/>
      <c r="AK439" s="453"/>
      <c r="AL439" s="454"/>
      <c r="AM439" s="455"/>
      <c r="AN439" s="456"/>
      <c r="AO439" s="455"/>
      <c r="AP439" s="452"/>
      <c r="AQ439" s="457"/>
      <c r="AR439" s="449"/>
      <c r="AS439" s="449"/>
      <c r="AT439" s="452"/>
      <c r="AU439" s="457"/>
      <c r="AV439" s="449"/>
      <c r="AW439" s="458"/>
      <c r="AX439" s="452"/>
      <c r="AY439" s="457"/>
      <c r="AZ439" s="449"/>
      <c r="BA439" s="459"/>
      <c r="BB439" s="455"/>
      <c r="BC439" s="460"/>
      <c r="BD439" s="460"/>
      <c r="BG439" s="462"/>
    </row>
    <row r="440" spans="1:59" s="461" customFormat="1" ht="18" customHeight="1" x14ac:dyDescent="0.2">
      <c r="B440" s="708"/>
      <c r="C440" s="489"/>
      <c r="D440" s="489"/>
      <c r="E440" s="558"/>
      <c r="F440" s="559"/>
      <c r="G440" s="619"/>
      <c r="H440" s="464"/>
      <c r="I440" s="560"/>
      <c r="J440" s="468"/>
      <c r="K440" s="490"/>
      <c r="L440" s="469"/>
      <c r="M440" s="683"/>
      <c r="N440" s="470"/>
      <c r="O440" s="468"/>
      <c r="P440" s="471"/>
      <c r="Q440" s="472"/>
      <c r="R440" s="472"/>
      <c r="S440" s="1033"/>
      <c r="T440" s="470"/>
      <c r="U440" s="612"/>
      <c r="V440" s="464"/>
      <c r="W440" s="612"/>
      <c r="X440" s="561"/>
      <c r="Y440" s="449"/>
      <c r="Z440" s="449"/>
      <c r="AA440" s="475" t="s">
        <v>4183</v>
      </c>
      <c r="AB440" s="476"/>
      <c r="AC440" s="476"/>
      <c r="AD440" s="567">
        <f>AD439-W444</f>
        <v>0</v>
      </c>
      <c r="AE440" s="452"/>
      <c r="AF440" s="571"/>
      <c r="AG440" s="452"/>
      <c r="AH440" s="452"/>
      <c r="AI440" s="453"/>
      <c r="AJ440" s="449"/>
      <c r="AK440" s="453"/>
      <c r="AL440" s="454"/>
      <c r="AM440" s="455"/>
      <c r="AN440" s="456"/>
      <c r="AO440" s="455"/>
      <c r="AP440" s="452"/>
      <c r="AQ440" s="457"/>
      <c r="AR440" s="449"/>
      <c r="AS440" s="449"/>
      <c r="AT440" s="452"/>
      <c r="AU440" s="457"/>
      <c r="AV440" s="449"/>
      <c r="AW440" s="458"/>
      <c r="AX440" s="452"/>
      <c r="AY440" s="457"/>
      <c r="AZ440" s="449"/>
      <c r="BA440" s="459"/>
      <c r="BB440" s="455"/>
      <c r="BC440" s="460"/>
      <c r="BD440" s="460"/>
      <c r="BG440" s="462"/>
    </row>
    <row r="441" spans="1:59" s="486" customFormat="1" ht="18" customHeight="1" x14ac:dyDescent="0.2">
      <c r="B441" s="708"/>
      <c r="C441" s="463"/>
      <c r="D441" s="489"/>
      <c r="E441" s="465"/>
      <c r="F441" s="559"/>
      <c r="G441" s="619"/>
      <c r="H441" s="464"/>
      <c r="I441" s="560"/>
      <c r="J441" s="468"/>
      <c r="K441" s="490"/>
      <c r="L441" s="469"/>
      <c r="M441" s="683"/>
      <c r="N441" s="470"/>
      <c r="O441" s="468"/>
      <c r="P441" s="471"/>
      <c r="Q441" s="472"/>
      <c r="R441" s="472"/>
      <c r="S441" s="1033"/>
      <c r="T441" s="470"/>
      <c r="U441" s="612"/>
      <c r="V441" s="464"/>
      <c r="W441" s="612"/>
      <c r="X441" s="561"/>
      <c r="Y441" s="474"/>
      <c r="Z441" s="449"/>
      <c r="AA441" s="495"/>
      <c r="AB441" s="496"/>
      <c r="AC441" s="496"/>
      <c r="AD441" s="569"/>
      <c r="AE441" s="476"/>
      <c r="AF441" s="568"/>
      <c r="AG441" s="476"/>
      <c r="AH441" s="476"/>
      <c r="AI441" s="477"/>
      <c r="AJ441" s="478"/>
      <c r="AK441" s="479"/>
      <c r="AL441" s="480"/>
      <c r="AM441" s="474"/>
      <c r="AN441" s="481"/>
      <c r="AO441" s="474"/>
      <c r="AP441" s="476"/>
      <c r="AQ441" s="482"/>
      <c r="AR441" s="478"/>
      <c r="AS441" s="478"/>
      <c r="AT441" s="476"/>
      <c r="AU441" s="482"/>
      <c r="AV441" s="478"/>
      <c r="AW441" s="483"/>
      <c r="AX441" s="476"/>
      <c r="AY441" s="482"/>
      <c r="AZ441" s="478"/>
      <c r="BA441" s="484"/>
      <c r="BB441" s="474"/>
      <c r="BC441" s="485"/>
      <c r="BD441" s="485"/>
      <c r="BG441" s="487"/>
    </row>
    <row r="442" spans="1:59" s="486" customFormat="1" ht="18" customHeight="1" x14ac:dyDescent="0.2">
      <c r="B442" s="708"/>
      <c r="C442" s="488"/>
      <c r="D442" s="489"/>
      <c r="E442" s="465"/>
      <c r="F442" s="466"/>
      <c r="G442" s="620"/>
      <c r="H442" s="464"/>
      <c r="I442" s="467"/>
      <c r="J442" s="468"/>
      <c r="K442" s="490"/>
      <c r="L442" s="469"/>
      <c r="M442" s="683"/>
      <c r="N442" s="470"/>
      <c r="O442" s="468"/>
      <c r="P442" s="471"/>
      <c r="Q442" s="472"/>
      <c r="R442" s="472"/>
      <c r="S442" s="1033"/>
      <c r="T442" s="470"/>
      <c r="U442" s="612"/>
      <c r="V442" s="464"/>
      <c r="W442" s="612"/>
      <c r="X442" s="473"/>
      <c r="Y442" s="478"/>
      <c r="Z442" s="449"/>
      <c r="AA442" s="699"/>
      <c r="AB442" s="700"/>
      <c r="AC442" s="700"/>
      <c r="AD442" s="701"/>
      <c r="AE442" s="491"/>
      <c r="AF442" s="568"/>
      <c r="AG442" s="491"/>
      <c r="AH442" s="491"/>
      <c r="AI442" s="477"/>
      <c r="AJ442" s="478"/>
      <c r="AK442" s="479"/>
      <c r="AL442" s="480"/>
      <c r="AM442" s="474"/>
      <c r="AN442" s="481"/>
      <c r="AO442" s="474"/>
      <c r="AP442" s="476"/>
      <c r="AQ442" s="482"/>
      <c r="AR442" s="478"/>
      <c r="AS442" s="478"/>
      <c r="AT442" s="476"/>
      <c r="AU442" s="482"/>
      <c r="AV442" s="478"/>
      <c r="AW442" s="483"/>
      <c r="AX442" s="476"/>
      <c r="AY442" s="482"/>
      <c r="AZ442" s="478"/>
      <c r="BA442" s="484"/>
      <c r="BB442" s="474"/>
      <c r="BC442" s="485"/>
      <c r="BD442" s="485"/>
      <c r="BG442" s="487"/>
    </row>
    <row r="443" spans="1:59" s="486" customFormat="1" ht="18" customHeight="1" x14ac:dyDescent="0.2">
      <c r="B443" s="687"/>
      <c r="C443" s="494"/>
      <c r="D443" s="464"/>
      <c r="E443" s="465"/>
      <c r="F443" s="466"/>
      <c r="G443" s="620"/>
      <c r="H443" s="464"/>
      <c r="I443" s="467"/>
      <c r="J443" s="468"/>
      <c r="K443" s="490"/>
      <c r="L443" s="469"/>
      <c r="M443" s="683"/>
      <c r="N443" s="470"/>
      <c r="O443" s="468"/>
      <c r="P443" s="471"/>
      <c r="Q443" s="472"/>
      <c r="R443" s="472"/>
      <c r="S443" s="1033"/>
      <c r="T443" s="470"/>
      <c r="U443" s="612"/>
      <c r="V443" s="464"/>
      <c r="W443" s="612"/>
      <c r="X443" s="473"/>
      <c r="Y443" s="478"/>
      <c r="Z443" s="449"/>
      <c r="AA443" s="497"/>
      <c r="AB443" s="476"/>
      <c r="AC443" s="476"/>
      <c r="AD443" s="568"/>
      <c r="AE443" s="476"/>
      <c r="AF443" s="568"/>
      <c r="AG443" s="476"/>
      <c r="AH443" s="476"/>
      <c r="AI443" s="477"/>
      <c r="AJ443" s="478"/>
      <c r="AK443" s="479"/>
      <c r="AL443" s="480"/>
      <c r="AM443" s="474"/>
      <c r="AN443" s="481"/>
      <c r="AO443" s="474"/>
      <c r="AP443" s="476"/>
      <c r="AQ443" s="482"/>
      <c r="AR443" s="478"/>
      <c r="AS443" s="478"/>
      <c r="AT443" s="476"/>
      <c r="AU443" s="482"/>
      <c r="AV443" s="478"/>
      <c r="AW443" s="483"/>
      <c r="AX443" s="476"/>
      <c r="AY443" s="482"/>
      <c r="AZ443" s="478"/>
      <c r="BA443" s="484"/>
      <c r="BB443" s="474"/>
      <c r="BC443" s="485"/>
      <c r="BD443" s="485"/>
      <c r="BG443" s="487"/>
    </row>
    <row r="444" spans="1:59" s="526" customFormat="1" ht="18" customHeight="1" x14ac:dyDescent="0.2">
      <c r="B444" s="1956" t="s">
        <v>4184</v>
      </c>
      <c r="C444" s="1957"/>
      <c r="D444" s="1957"/>
      <c r="E444" s="1957"/>
      <c r="F444" s="1958"/>
      <c r="G444" s="621">
        <f>SUM(G433:G443)</f>
        <v>962312333.33333337</v>
      </c>
      <c r="H444" s="505"/>
      <c r="I444" s="506"/>
      <c r="J444" s="507"/>
      <c r="K444" s="507"/>
      <c r="L444" s="505"/>
      <c r="M444" s="684"/>
      <c r="N444" s="508"/>
      <c r="O444" s="507"/>
      <c r="P444" s="509"/>
      <c r="Q444" s="510"/>
      <c r="R444" s="511"/>
      <c r="S444" s="512"/>
      <c r="T444" s="512"/>
      <c r="U444" s="610">
        <f>SUM(U433:U443)</f>
        <v>129265202.66666669</v>
      </c>
      <c r="V444" s="513"/>
      <c r="W444" s="610">
        <f>G444-U444</f>
        <v>833047130.66666675</v>
      </c>
      <c r="X444" s="514"/>
      <c r="Y444" s="515"/>
      <c r="Z444" s="515"/>
      <c r="AA444" s="515"/>
      <c r="AB444" s="515"/>
      <c r="AC444" s="515"/>
      <c r="AD444" s="570"/>
      <c r="AE444" s="515"/>
      <c r="AF444" s="570"/>
      <c r="AG444" s="515"/>
      <c r="AH444" s="515"/>
      <c r="AI444" s="516"/>
      <c r="AJ444" s="517"/>
      <c r="AK444" s="518"/>
      <c r="AL444" s="519"/>
      <c r="AM444" s="520"/>
      <c r="AN444" s="521"/>
      <c r="AO444" s="520"/>
      <c r="AP444" s="515"/>
      <c r="AQ444" s="522"/>
      <c r="AR444" s="517"/>
      <c r="AS444" s="517"/>
      <c r="AT444" s="515"/>
      <c r="AU444" s="522"/>
      <c r="AV444" s="517"/>
      <c r="AW444" s="523"/>
      <c r="AX444" s="515"/>
      <c r="AY444" s="522"/>
      <c r="AZ444" s="517"/>
      <c r="BA444" s="524"/>
      <c r="BB444" s="520"/>
      <c r="BC444" s="525"/>
      <c r="BD444" s="525"/>
      <c r="BG444" s="527"/>
    </row>
    <row r="445" spans="1:59" s="526" customFormat="1" ht="18" customHeight="1" x14ac:dyDescent="0.2">
      <c r="B445" s="741"/>
      <c r="C445" s="1032"/>
      <c r="D445" s="1032"/>
      <c r="E445" s="1032"/>
      <c r="F445" s="585"/>
      <c r="G445" s="622"/>
      <c r="H445" s="586"/>
      <c r="I445" s="587"/>
      <c r="J445" s="588"/>
      <c r="K445" s="588"/>
      <c r="L445" s="586"/>
      <c r="M445" s="521"/>
      <c r="N445" s="589"/>
      <c r="O445" s="588"/>
      <c r="P445" s="590"/>
      <c r="Q445" s="591"/>
      <c r="R445" s="592"/>
      <c r="S445" s="593"/>
      <c r="T445" s="593"/>
      <c r="U445" s="570"/>
      <c r="V445" s="594"/>
      <c r="W445" s="570"/>
      <c r="X445" s="515"/>
      <c r="Y445" s="515"/>
      <c r="Z445" s="515"/>
      <c r="AA445" s="515"/>
      <c r="AB445" s="515"/>
      <c r="AC445" s="515"/>
      <c r="AD445" s="570"/>
      <c r="AE445" s="515"/>
      <c r="AF445" s="570"/>
      <c r="AG445" s="515"/>
      <c r="AH445" s="515"/>
      <c r="AI445" s="516"/>
      <c r="AJ445" s="517"/>
      <c r="AK445" s="518"/>
      <c r="AL445" s="519"/>
      <c r="AM445" s="520"/>
      <c r="AN445" s="521"/>
      <c r="AO445" s="520"/>
      <c r="AP445" s="515"/>
      <c r="AQ445" s="522"/>
      <c r="AR445" s="517"/>
      <c r="AS445" s="517"/>
      <c r="AT445" s="515"/>
      <c r="AU445" s="522"/>
      <c r="AV445" s="517"/>
      <c r="AW445" s="523"/>
      <c r="AX445" s="515"/>
      <c r="AY445" s="522"/>
      <c r="AZ445" s="517"/>
      <c r="BA445" s="524"/>
      <c r="BB445" s="520"/>
      <c r="BC445" s="525"/>
      <c r="BD445" s="525"/>
      <c r="BG445" s="527"/>
    </row>
    <row r="446" spans="1:59" s="526" customFormat="1" ht="18" customHeight="1" x14ac:dyDescent="0.2">
      <c r="B446" s="575"/>
      <c r="C446" s="585"/>
      <c r="D446" s="585"/>
      <c r="E446" s="585"/>
      <c r="F446" s="585"/>
      <c r="G446" s="622"/>
      <c r="H446" s="586"/>
      <c r="I446" s="587"/>
      <c r="J446" s="588"/>
      <c r="K446" s="588"/>
      <c r="L446" s="586"/>
      <c r="M446" s="521"/>
      <c r="N446" s="589"/>
      <c r="O446" s="588"/>
      <c r="P446" s="590"/>
      <c r="Q446" s="591"/>
      <c r="R446" s="592"/>
      <c r="S446" s="593"/>
      <c r="T446" s="593"/>
      <c r="U446" s="570"/>
      <c r="V446" s="594"/>
      <c r="W446" s="570"/>
      <c r="X446" s="515"/>
      <c r="Y446" s="515"/>
      <c r="Z446" s="515"/>
      <c r="AA446" s="515"/>
      <c r="AB446" s="515"/>
      <c r="AC446" s="515"/>
      <c r="AD446" s="570"/>
      <c r="AE446" s="515"/>
      <c r="AF446" s="570"/>
      <c r="AG446" s="515"/>
      <c r="AH446" s="515"/>
      <c r="AI446" s="516"/>
      <c r="AJ446" s="517"/>
      <c r="AK446" s="518"/>
      <c r="AL446" s="519"/>
      <c r="AM446" s="520"/>
      <c r="AN446" s="521"/>
      <c r="AO446" s="520"/>
      <c r="AP446" s="515"/>
      <c r="AQ446" s="522"/>
      <c r="AR446" s="517"/>
      <c r="AS446" s="517"/>
      <c r="AT446" s="515"/>
      <c r="AU446" s="522"/>
      <c r="AV446" s="517"/>
      <c r="AW446" s="523"/>
      <c r="AX446" s="515"/>
      <c r="AY446" s="522"/>
      <c r="AZ446" s="517"/>
      <c r="BA446" s="524"/>
      <c r="BB446" s="520"/>
      <c r="BC446" s="525"/>
      <c r="BD446" s="525"/>
      <c r="BG446" s="527"/>
    </row>
    <row r="447" spans="1:59" s="422" customFormat="1" ht="18" customHeight="1" x14ac:dyDescent="0.2">
      <c r="B447" s="688" t="s">
        <v>4797</v>
      </c>
      <c r="C447" s="556"/>
      <c r="D447" s="553" t="s">
        <v>2983</v>
      </c>
      <c r="E447" s="553"/>
      <c r="F447" s="421"/>
      <c r="G447" s="611"/>
      <c r="I447" s="423"/>
      <c r="J447" s="424"/>
      <c r="K447" s="424"/>
      <c r="M447" s="680"/>
      <c r="U447" s="611"/>
      <c r="W447" s="611"/>
      <c r="Y447" s="425"/>
      <c r="Z447" s="425"/>
      <c r="AA447" s="425"/>
      <c r="AB447" s="425"/>
      <c r="AC447" s="425"/>
      <c r="AD447" s="563"/>
      <c r="AE447" s="425"/>
      <c r="AF447" s="563"/>
      <c r="AG447" s="425"/>
      <c r="AH447" s="425"/>
      <c r="AI447" s="425"/>
      <c r="AJ447" s="425"/>
      <c r="AK447" s="425"/>
      <c r="AL447" s="425"/>
      <c r="AM447" s="425"/>
      <c r="AN447" s="425"/>
      <c r="AO447" s="425"/>
      <c r="AP447" s="425"/>
      <c r="AQ447" s="425"/>
      <c r="AR447" s="425"/>
      <c r="AS447" s="425"/>
      <c r="AT447" s="425"/>
      <c r="AU447" s="425"/>
      <c r="AV447" s="425"/>
      <c r="AW447" s="425"/>
      <c r="AX447" s="425"/>
      <c r="AY447" s="425"/>
      <c r="AZ447" s="425"/>
      <c r="BA447" s="425"/>
      <c r="BB447" s="425"/>
    </row>
    <row r="448" spans="1:59" s="431" customFormat="1" ht="18" customHeight="1" x14ac:dyDescent="0.2">
      <c r="B448" s="1968" t="s">
        <v>5</v>
      </c>
      <c r="C448" s="1968" t="s">
        <v>2280</v>
      </c>
      <c r="D448" s="1968" t="s">
        <v>4157</v>
      </c>
      <c r="E448" s="1968" t="s">
        <v>4158</v>
      </c>
      <c r="F448" s="1968"/>
      <c r="G448" s="1969" t="s">
        <v>4159</v>
      </c>
      <c r="H448" s="1355" t="s">
        <v>4160</v>
      </c>
      <c r="I448" s="1355"/>
      <c r="J448" s="1968" t="s">
        <v>4161</v>
      </c>
      <c r="K448" s="1964" t="s">
        <v>4162</v>
      </c>
      <c r="L448" s="1968" t="s">
        <v>4163</v>
      </c>
      <c r="M448" s="1971" t="s">
        <v>4164</v>
      </c>
      <c r="N448" s="1962" t="s">
        <v>4165</v>
      </c>
      <c r="O448" s="1968" t="s">
        <v>4166</v>
      </c>
      <c r="P448" s="1972" t="s">
        <v>4167</v>
      </c>
      <c r="Q448" s="1973"/>
      <c r="R448" s="1029" t="s">
        <v>4168</v>
      </c>
      <c r="S448" s="1972" t="s">
        <v>4169</v>
      </c>
      <c r="T448" s="1974"/>
      <c r="U448" s="1973"/>
      <c r="V448" s="1975" t="s">
        <v>4170</v>
      </c>
      <c r="W448" s="1975"/>
      <c r="X448" s="1960" t="s">
        <v>4171</v>
      </c>
      <c r="Y448" s="1959"/>
      <c r="Z448" s="1030"/>
      <c r="AA448" s="426"/>
      <c r="AB448" s="426"/>
      <c r="AC448" s="426"/>
      <c r="AD448" s="564"/>
      <c r="AE448" s="426"/>
      <c r="AF448" s="564"/>
      <c r="AG448" s="426"/>
      <c r="AH448" s="426"/>
      <c r="AI448" s="427"/>
      <c r="AJ448" s="427"/>
      <c r="AK448" s="427"/>
      <c r="AL448" s="427"/>
      <c r="AM448" s="428"/>
      <c r="AN448" s="427"/>
      <c r="AO448" s="427"/>
      <c r="AP448" s="426"/>
      <c r="AQ448" s="427"/>
      <c r="AR448" s="427"/>
      <c r="AS448" s="427"/>
      <c r="AT448" s="426"/>
      <c r="AU448" s="427"/>
      <c r="AV448" s="427"/>
      <c r="AW448" s="427"/>
      <c r="AX448" s="426"/>
      <c r="AY448" s="427"/>
      <c r="AZ448" s="427"/>
      <c r="BA448" s="427"/>
      <c r="BB448" s="429"/>
      <c r="BC448" s="430"/>
      <c r="BD448" s="430"/>
    </row>
    <row r="449" spans="1:59" s="431" customFormat="1" ht="18" customHeight="1" x14ac:dyDescent="0.2">
      <c r="B449" s="1968"/>
      <c r="C449" s="1968"/>
      <c r="D449" s="1968"/>
      <c r="E449" s="1968"/>
      <c r="F449" s="1968"/>
      <c r="G449" s="1969"/>
      <c r="H449" s="1355"/>
      <c r="I449" s="1355"/>
      <c r="J449" s="1968"/>
      <c r="K449" s="1970"/>
      <c r="L449" s="1968"/>
      <c r="M449" s="1971"/>
      <c r="N449" s="1963"/>
      <c r="O449" s="1968"/>
      <c r="P449" s="1960" t="s">
        <v>4172</v>
      </c>
      <c r="Q449" s="1960" t="s">
        <v>4173</v>
      </c>
      <c r="R449" s="1962" t="s">
        <v>4159</v>
      </c>
      <c r="S449" s="1962" t="s">
        <v>4174</v>
      </c>
      <c r="T449" s="1964" t="s">
        <v>4175</v>
      </c>
      <c r="U449" s="1966" t="s">
        <v>4159</v>
      </c>
      <c r="V449" s="1975"/>
      <c r="W449" s="1975"/>
      <c r="X449" s="1976"/>
      <c r="Y449" s="1959"/>
      <c r="Z449" s="1030"/>
      <c r="AA449" s="426"/>
      <c r="AB449" s="426"/>
      <c r="AC449" s="426"/>
      <c r="AD449" s="564"/>
      <c r="AE449" s="426"/>
      <c r="AF449" s="564"/>
      <c r="AG449" s="426"/>
      <c r="AH449" s="426"/>
      <c r="AI449" s="427"/>
      <c r="AJ449" s="427"/>
      <c r="AK449" s="426"/>
      <c r="AL449" s="427"/>
      <c r="AM449" s="428"/>
      <c r="AN449" s="427"/>
      <c r="AO449" s="427"/>
      <c r="AP449" s="432"/>
      <c r="AQ449" s="427"/>
      <c r="AR449" s="427"/>
      <c r="AS449" s="427"/>
      <c r="AT449" s="432"/>
      <c r="AU449" s="427"/>
      <c r="AV449" s="427"/>
      <c r="AW449" s="427"/>
      <c r="AX449" s="432"/>
      <c r="AY449" s="427"/>
      <c r="AZ449" s="427"/>
      <c r="BA449" s="427"/>
      <c r="BB449" s="429"/>
      <c r="BC449" s="430"/>
      <c r="BD449" s="430"/>
    </row>
    <row r="450" spans="1:59" s="431" customFormat="1" ht="21.75" customHeight="1" x14ac:dyDescent="0.2">
      <c r="B450" s="1968"/>
      <c r="C450" s="1968"/>
      <c r="D450" s="1968"/>
      <c r="E450" s="433" t="s">
        <v>4176</v>
      </c>
      <c r="F450" s="434" t="s">
        <v>2288</v>
      </c>
      <c r="G450" s="1969"/>
      <c r="H450" s="1355" t="s">
        <v>2288</v>
      </c>
      <c r="I450" s="1355" t="s">
        <v>4177</v>
      </c>
      <c r="J450" s="1968"/>
      <c r="K450" s="1965"/>
      <c r="L450" s="435" t="s">
        <v>2288</v>
      </c>
      <c r="M450" s="681" t="s">
        <v>2288</v>
      </c>
      <c r="N450" s="1028" t="s">
        <v>2288</v>
      </c>
      <c r="O450" s="1968"/>
      <c r="P450" s="1961"/>
      <c r="Q450" s="1961"/>
      <c r="R450" s="1963"/>
      <c r="S450" s="1963"/>
      <c r="T450" s="1965"/>
      <c r="U450" s="1967"/>
      <c r="V450" s="1028" t="s">
        <v>4178</v>
      </c>
      <c r="W450" s="1031" t="s">
        <v>4159</v>
      </c>
      <c r="X450" s="1961"/>
      <c r="Y450" s="436"/>
      <c r="Z450" s="436"/>
      <c r="AA450" s="426"/>
      <c r="AB450" s="426"/>
      <c r="AC450" s="426"/>
      <c r="AD450" s="564"/>
      <c r="AE450" s="426"/>
      <c r="AF450" s="564"/>
      <c r="AG450" s="426"/>
      <c r="AH450" s="426"/>
      <c r="AI450" s="427"/>
      <c r="AJ450" s="432"/>
      <c r="AK450" s="432"/>
      <c r="AL450" s="427"/>
      <c r="AM450" s="428"/>
      <c r="AN450" s="432"/>
      <c r="AO450" s="427"/>
      <c r="AP450" s="432"/>
      <c r="AQ450" s="432"/>
      <c r="AR450" s="427"/>
      <c r="AS450" s="427"/>
      <c r="AT450" s="432"/>
      <c r="AU450" s="432"/>
      <c r="AV450" s="427"/>
      <c r="AW450" s="427"/>
      <c r="AX450" s="432"/>
      <c r="AY450" s="432"/>
      <c r="AZ450" s="427"/>
      <c r="BA450" s="427"/>
      <c r="BB450" s="429"/>
      <c r="BC450" s="430"/>
      <c r="BD450" s="430"/>
    </row>
    <row r="451" spans="1:59" s="461" customFormat="1" ht="18" customHeight="1" x14ac:dyDescent="0.2">
      <c r="A451" s="461" t="str">
        <f>$D$447&amp;S451</f>
        <v>RUMAH DINAS JABATAN ESELON II/PEJABAT YANG SETINGKAT2013</v>
      </c>
      <c r="B451" s="689">
        <v>1</v>
      </c>
      <c r="C451" s="597" t="s">
        <v>4792</v>
      </c>
      <c r="D451" s="597" t="s">
        <v>1752</v>
      </c>
      <c r="E451" s="598"/>
      <c r="F451" s="599">
        <v>2013</v>
      </c>
      <c r="G451" s="626">
        <v>783393333.33333337</v>
      </c>
      <c r="H451" s="600">
        <f>VLOOKUP(LEFT(D451,8),UE,4)</f>
        <v>50</v>
      </c>
      <c r="I451" s="601"/>
      <c r="J451" s="602">
        <f t="shared" ref="J451:J457" si="384">(F451+N451)-1</f>
        <v>2062</v>
      </c>
      <c r="K451" s="603"/>
      <c r="L451" s="600"/>
      <c r="M451" s="685">
        <f>IF(H451+L451&gt;$H451,$H451-H451,L451)</f>
        <v>0</v>
      </c>
      <c r="N451" s="604">
        <f>H451+M451</f>
        <v>50</v>
      </c>
      <c r="O451" s="602">
        <f t="shared" ref="O451:O457" si="385">(F451+N451)-1</f>
        <v>2062</v>
      </c>
      <c r="P451" s="605">
        <f>G451</f>
        <v>783393333.33333337</v>
      </c>
      <c r="Q451" s="606">
        <v>0</v>
      </c>
      <c r="R451" s="606">
        <f>P451/N451</f>
        <v>15667866.666666668</v>
      </c>
      <c r="S451" s="607">
        <f t="shared" ref="S451:S456" si="386">F451</f>
        <v>2013</v>
      </c>
      <c r="T451" s="608">
        <v>1</v>
      </c>
      <c r="U451" s="615">
        <f t="shared" ref="U451:U456" si="387">R451*T451</f>
        <v>15667866.666666668</v>
      </c>
      <c r="V451" s="602">
        <f t="shared" ref="V451:V457" si="388">F451</f>
        <v>2013</v>
      </c>
      <c r="W451" s="618">
        <f>IF(OR(AND(ISBLANK(E451),ISBLANK(G451)),ISTEXT(E451),ISTEXT(G451)),"",G451-R451)</f>
        <v>767725466.66666675</v>
      </c>
      <c r="X451" s="609"/>
      <c r="Y451" s="449"/>
      <c r="Z451" s="449"/>
      <c r="AA451" s="694"/>
      <c r="AB451" s="692"/>
      <c r="AC451" s="692"/>
      <c r="AD451" s="695"/>
      <c r="AE451" s="452"/>
      <c r="AF451" s="571"/>
      <c r="AG451" s="452"/>
      <c r="AH451" s="452"/>
      <c r="AI451" s="453"/>
      <c r="AJ451" s="449"/>
      <c r="AK451" s="453"/>
      <c r="AL451" s="454"/>
      <c r="AM451" s="455"/>
      <c r="AN451" s="456"/>
      <c r="AO451" s="455"/>
      <c r="AP451" s="452"/>
      <c r="AQ451" s="457"/>
      <c r="AR451" s="449"/>
      <c r="AS451" s="449"/>
      <c r="AT451" s="452"/>
      <c r="AU451" s="457"/>
      <c r="AV451" s="449"/>
      <c r="AW451" s="458"/>
      <c r="AX451" s="452"/>
      <c r="AY451" s="457"/>
      <c r="AZ451" s="449"/>
      <c r="BA451" s="459"/>
      <c r="BB451" s="455"/>
      <c r="BC451" s="460"/>
      <c r="BD451" s="460"/>
      <c r="BG451" s="462"/>
    </row>
    <row r="452" spans="1:59" s="461" customFormat="1" ht="18" customHeight="1" x14ac:dyDescent="0.2">
      <c r="A452" s="461" t="str">
        <f t="shared" ref="A452:A457" si="389">$D$447&amp;S452</f>
        <v>RUMAH DINAS JABATAN ESELON II/PEJABAT YANG SETINGKAT2014</v>
      </c>
      <c r="B452" s="708">
        <v>2</v>
      </c>
      <c r="C452" s="489" t="s">
        <v>4791</v>
      </c>
      <c r="D452" s="489"/>
      <c r="E452" s="558"/>
      <c r="F452" s="559">
        <v>2014</v>
      </c>
      <c r="G452" s="619">
        <v>213587000</v>
      </c>
      <c r="H452" s="464">
        <f t="shared" ref="H452:H457" si="390">IF(N451-(F452-F451)&lt;=0,0,(N451-(F452-F451)))</f>
        <v>49</v>
      </c>
      <c r="I452" s="560"/>
      <c r="J452" s="468">
        <f t="shared" si="384"/>
        <v>2063</v>
      </c>
      <c r="K452" s="490">
        <f t="shared" ref="K452:K457" si="391">IF(G452=0,0,IF(H452=50,100%,G452/W451))</f>
        <v>0.27820752244595764</v>
      </c>
      <c r="L452" s="469">
        <f t="shared" ref="L452:L457" si="392">IF(K452=0%,0,IF(K452&lt;=25%,5,IF(K452&lt;=50%,10,IF(K452&lt;=75%,15,50))))</f>
        <v>10</v>
      </c>
      <c r="M452" s="683">
        <f t="shared" ref="M452:M457" si="393">IF(OR(AND(ISBLANK(E452),ISBLANK(G452)),ISTEXT(E452),ISTEXT(G452)),"",IF(H452+L452&gt;$H$27,$H$27-H452,L452))</f>
        <v>1</v>
      </c>
      <c r="N452" s="470">
        <f t="shared" ref="N452:N457" si="394">IF(OR(AND(ISBLANK(F452),ISBLANK(G452)),ISTEXT(F452),ISTEXT(G452)),"",H452+M452)</f>
        <v>50</v>
      </c>
      <c r="O452" s="468">
        <f t="shared" si="385"/>
        <v>2063</v>
      </c>
      <c r="P452" s="471">
        <f t="shared" ref="P452:P457" si="395">W451</f>
        <v>767725466.66666675</v>
      </c>
      <c r="Q452" s="472">
        <f t="shared" ref="Q452:Q457" si="396">P452+G452</f>
        <v>981312466.66666675</v>
      </c>
      <c r="R452" s="472">
        <f t="shared" ref="R452:R457" si="397">IF(L452=0,R451,Q452/N452)</f>
        <v>19626249.333333336</v>
      </c>
      <c r="S452" s="1033">
        <f t="shared" si="386"/>
        <v>2014</v>
      </c>
      <c r="T452" s="470">
        <f t="shared" ref="T452:T457" si="398">S452-S451</f>
        <v>1</v>
      </c>
      <c r="U452" s="612">
        <f t="shared" si="387"/>
        <v>19626249.333333336</v>
      </c>
      <c r="V452" s="464">
        <f t="shared" si="388"/>
        <v>2014</v>
      </c>
      <c r="W452" s="612">
        <f t="shared" ref="W452:W457" si="399">IF(OR(AND(ISBLANK(E452),ISBLANK(G452)),ISTEXT(E452),ISTEXT(G452)),"",Q452-U452)</f>
        <v>961686217.33333337</v>
      </c>
      <c r="X452" s="561"/>
      <c r="Y452" s="449"/>
      <c r="Z452" s="449"/>
      <c r="AA452" s="693"/>
      <c r="AB452" s="452"/>
      <c r="AC452" s="452"/>
      <c r="AD452" s="571"/>
      <c r="AE452" s="452"/>
      <c r="AF452" s="571"/>
      <c r="AG452" s="452"/>
      <c r="AH452" s="452"/>
      <c r="AI452" s="453"/>
      <c r="AJ452" s="449"/>
      <c r="AK452" s="453"/>
      <c r="AL452" s="454"/>
      <c r="AM452" s="455"/>
      <c r="AN452" s="456"/>
      <c r="AO452" s="455"/>
      <c r="AP452" s="452"/>
      <c r="AQ452" s="457"/>
      <c r="AR452" s="449"/>
      <c r="AS452" s="449"/>
      <c r="AT452" s="452"/>
      <c r="AU452" s="457"/>
      <c r="AV452" s="449"/>
      <c r="AW452" s="458"/>
      <c r="AX452" s="452"/>
      <c r="AY452" s="457"/>
      <c r="AZ452" s="449"/>
      <c r="BA452" s="459"/>
      <c r="BB452" s="455"/>
      <c r="BC452" s="460"/>
      <c r="BD452" s="460"/>
      <c r="BG452" s="462"/>
    </row>
    <row r="453" spans="1:59" s="461" customFormat="1" ht="18" customHeight="1" x14ac:dyDescent="0.2">
      <c r="A453" s="461" t="str">
        <f t="shared" si="389"/>
        <v>RUMAH DINAS JABATAN ESELON II/PEJABAT YANG SETINGKAT2015</v>
      </c>
      <c r="B453" s="708"/>
      <c r="C453" s="489"/>
      <c r="D453" s="489" t="s">
        <v>1752</v>
      </c>
      <c r="E453" s="558"/>
      <c r="F453" s="559">
        <v>2015</v>
      </c>
      <c r="G453" s="619">
        <v>0</v>
      </c>
      <c r="H453" s="464">
        <f t="shared" si="390"/>
        <v>49</v>
      </c>
      <c r="I453" s="560"/>
      <c r="J453" s="468">
        <f t="shared" si="384"/>
        <v>2063</v>
      </c>
      <c r="K453" s="490">
        <f t="shared" si="391"/>
        <v>0</v>
      </c>
      <c r="L453" s="469">
        <f t="shared" si="392"/>
        <v>0</v>
      </c>
      <c r="M453" s="683">
        <f t="shared" si="393"/>
        <v>0</v>
      </c>
      <c r="N453" s="470">
        <f t="shared" si="394"/>
        <v>49</v>
      </c>
      <c r="O453" s="468">
        <f t="shared" si="385"/>
        <v>2063</v>
      </c>
      <c r="P453" s="471">
        <f t="shared" si="395"/>
        <v>961686217.33333337</v>
      </c>
      <c r="Q453" s="472">
        <f t="shared" si="396"/>
        <v>961686217.33333337</v>
      </c>
      <c r="R453" s="472">
        <f t="shared" si="397"/>
        <v>19626249.333333336</v>
      </c>
      <c r="S453" s="1033">
        <f t="shared" si="386"/>
        <v>2015</v>
      </c>
      <c r="T453" s="470">
        <f t="shared" si="398"/>
        <v>1</v>
      </c>
      <c r="U453" s="612">
        <f t="shared" si="387"/>
        <v>19626249.333333336</v>
      </c>
      <c r="V453" s="464">
        <f t="shared" si="388"/>
        <v>2015</v>
      </c>
      <c r="W453" s="612">
        <f t="shared" si="399"/>
        <v>942059968</v>
      </c>
      <c r="X453" s="561"/>
      <c r="Y453" s="449"/>
      <c r="Z453" s="449"/>
      <c r="AA453" s="554" t="s">
        <v>4179</v>
      </c>
      <c r="AB453" s="452"/>
      <c r="AC453" s="452"/>
      <c r="AD453" s="566"/>
      <c r="AE453" s="452"/>
      <c r="AF453" s="571"/>
      <c r="AG453" s="452"/>
      <c r="AH453" s="452"/>
      <c r="AI453" s="453"/>
      <c r="AJ453" s="449"/>
      <c r="AK453" s="453"/>
      <c r="AL453" s="454"/>
      <c r="AM453" s="455"/>
      <c r="AN453" s="456"/>
      <c r="AO453" s="455"/>
      <c r="AP453" s="452"/>
      <c r="AQ453" s="457"/>
      <c r="AR453" s="449"/>
      <c r="AS453" s="449"/>
      <c r="AT453" s="452"/>
      <c r="AU453" s="457"/>
      <c r="AV453" s="449"/>
      <c r="AW453" s="458"/>
      <c r="AX453" s="452"/>
      <c r="AY453" s="457"/>
      <c r="AZ453" s="449"/>
      <c r="BA453" s="459"/>
      <c r="BB453" s="455"/>
      <c r="BC453" s="460"/>
      <c r="BD453" s="460"/>
      <c r="BG453" s="462"/>
    </row>
    <row r="454" spans="1:59" s="461" customFormat="1" ht="18" customHeight="1" x14ac:dyDescent="0.2">
      <c r="A454" s="461" t="str">
        <f t="shared" si="389"/>
        <v>RUMAH DINAS JABATAN ESELON II/PEJABAT YANG SETINGKAT2016</v>
      </c>
      <c r="B454" s="708"/>
      <c r="C454" s="489"/>
      <c r="D454" s="489" t="s">
        <v>1752</v>
      </c>
      <c r="E454" s="558"/>
      <c r="F454" s="559">
        <v>2016</v>
      </c>
      <c r="G454" s="619">
        <v>0</v>
      </c>
      <c r="H454" s="464">
        <f t="shared" si="390"/>
        <v>48</v>
      </c>
      <c r="I454" s="560"/>
      <c r="J454" s="468">
        <f t="shared" si="384"/>
        <v>2063</v>
      </c>
      <c r="K454" s="490">
        <f t="shared" si="391"/>
        <v>0</v>
      </c>
      <c r="L454" s="469">
        <f t="shared" si="392"/>
        <v>0</v>
      </c>
      <c r="M454" s="683">
        <f t="shared" si="393"/>
        <v>0</v>
      </c>
      <c r="N454" s="470">
        <f t="shared" si="394"/>
        <v>48</v>
      </c>
      <c r="O454" s="468">
        <f t="shared" si="385"/>
        <v>2063</v>
      </c>
      <c r="P454" s="471">
        <f t="shared" si="395"/>
        <v>942059968</v>
      </c>
      <c r="Q454" s="472">
        <f t="shared" si="396"/>
        <v>942059968</v>
      </c>
      <c r="R454" s="472">
        <f t="shared" si="397"/>
        <v>19626249.333333336</v>
      </c>
      <c r="S454" s="1033">
        <f t="shared" si="386"/>
        <v>2016</v>
      </c>
      <c r="T454" s="470">
        <f t="shared" si="398"/>
        <v>1</v>
      </c>
      <c r="U454" s="612">
        <f t="shared" si="387"/>
        <v>19626249.333333336</v>
      </c>
      <c r="V454" s="464">
        <f t="shared" si="388"/>
        <v>2016</v>
      </c>
      <c r="W454" s="612">
        <f t="shared" si="399"/>
        <v>922433718.66666663</v>
      </c>
      <c r="X454" s="561"/>
      <c r="Y454" s="449"/>
      <c r="Z454" s="449"/>
      <c r="AA454" s="554"/>
      <c r="AB454" s="452"/>
      <c r="AC454" s="452"/>
      <c r="AD454" s="566"/>
      <c r="AE454" s="452"/>
      <c r="AF454" s="571"/>
      <c r="AG454" s="452"/>
      <c r="AH454" s="452"/>
      <c r="AI454" s="453"/>
      <c r="AJ454" s="449"/>
      <c r="AK454" s="453"/>
      <c r="AL454" s="454"/>
      <c r="AM454" s="455"/>
      <c r="AN454" s="456"/>
      <c r="AO454" s="455"/>
      <c r="AP454" s="452"/>
      <c r="AQ454" s="457"/>
      <c r="AR454" s="449"/>
      <c r="AS454" s="449"/>
      <c r="AT454" s="452"/>
      <c r="AU454" s="457"/>
      <c r="AV454" s="449"/>
      <c r="AW454" s="458"/>
      <c r="AX454" s="452"/>
      <c r="AY454" s="457"/>
      <c r="AZ454" s="449"/>
      <c r="BA454" s="459"/>
      <c r="BB454" s="455"/>
      <c r="BC454" s="460"/>
      <c r="BD454" s="460"/>
      <c r="BG454" s="462"/>
    </row>
    <row r="455" spans="1:59" s="461" customFormat="1" ht="18" customHeight="1" x14ac:dyDescent="0.2">
      <c r="A455" s="461" t="str">
        <f t="shared" si="389"/>
        <v>RUMAH DINAS JABATAN ESELON II/PEJABAT YANG SETINGKAT2017</v>
      </c>
      <c r="B455" s="708"/>
      <c r="C455" s="489"/>
      <c r="D455" s="489" t="s">
        <v>1752</v>
      </c>
      <c r="E455" s="558"/>
      <c r="F455" s="559">
        <v>2017</v>
      </c>
      <c r="G455" s="619">
        <v>0</v>
      </c>
      <c r="H455" s="464">
        <f t="shared" si="390"/>
        <v>47</v>
      </c>
      <c r="I455" s="560"/>
      <c r="J455" s="468">
        <f t="shared" si="384"/>
        <v>2063</v>
      </c>
      <c r="K455" s="490">
        <f t="shared" si="391"/>
        <v>0</v>
      </c>
      <c r="L455" s="469">
        <f t="shared" si="392"/>
        <v>0</v>
      </c>
      <c r="M455" s="683">
        <f t="shared" si="393"/>
        <v>0</v>
      </c>
      <c r="N455" s="470">
        <f t="shared" si="394"/>
        <v>47</v>
      </c>
      <c r="O455" s="468">
        <f t="shared" si="385"/>
        <v>2063</v>
      </c>
      <c r="P455" s="471">
        <f t="shared" si="395"/>
        <v>922433718.66666663</v>
      </c>
      <c r="Q455" s="472">
        <f t="shared" si="396"/>
        <v>922433718.66666663</v>
      </c>
      <c r="R455" s="472">
        <f t="shared" si="397"/>
        <v>19626249.333333336</v>
      </c>
      <c r="S455" s="1033">
        <f t="shared" si="386"/>
        <v>2017</v>
      </c>
      <c r="T455" s="470">
        <f t="shared" si="398"/>
        <v>1</v>
      </c>
      <c r="U455" s="612">
        <f t="shared" si="387"/>
        <v>19626249.333333336</v>
      </c>
      <c r="V455" s="464">
        <f t="shared" si="388"/>
        <v>2017</v>
      </c>
      <c r="W455" s="612">
        <f t="shared" si="399"/>
        <v>902807469.33333325</v>
      </c>
      <c r="X455" s="561"/>
      <c r="Y455" s="449"/>
      <c r="Z455" s="449"/>
      <c r="AA455" s="475" t="s">
        <v>4180</v>
      </c>
      <c r="AB455" s="476"/>
      <c r="AC455" s="476"/>
      <c r="AD455" s="567">
        <f>G462</f>
        <v>996980333.33333337</v>
      </c>
      <c r="AE455" s="452"/>
      <c r="AF455" s="571"/>
      <c r="AG455" s="452"/>
      <c r="AH455" s="452"/>
      <c r="AI455" s="453"/>
      <c r="AJ455" s="449"/>
      <c r="AK455" s="453"/>
      <c r="AL455" s="454"/>
      <c r="AM455" s="455"/>
      <c r="AN455" s="456"/>
      <c r="AO455" s="455"/>
      <c r="AP455" s="452"/>
      <c r="AQ455" s="457"/>
      <c r="AR455" s="449"/>
      <c r="AS455" s="449"/>
      <c r="AT455" s="452"/>
      <c r="AU455" s="457"/>
      <c r="AV455" s="449"/>
      <c r="AW455" s="458"/>
      <c r="AX455" s="452"/>
      <c r="AY455" s="457"/>
      <c r="AZ455" s="449"/>
      <c r="BA455" s="459"/>
      <c r="BB455" s="455"/>
      <c r="BC455" s="460"/>
      <c r="BD455" s="460"/>
      <c r="BG455" s="462"/>
    </row>
    <row r="456" spans="1:59" s="461" customFormat="1" ht="18" customHeight="1" x14ac:dyDescent="0.2">
      <c r="A456" s="461" t="str">
        <f t="shared" si="389"/>
        <v>RUMAH DINAS JABATAN ESELON II/PEJABAT YANG SETINGKAT2018</v>
      </c>
      <c r="B456" s="708"/>
      <c r="C456" s="489"/>
      <c r="D456" s="489" t="s">
        <v>1752</v>
      </c>
      <c r="E456" s="558"/>
      <c r="F456" s="559">
        <v>2018</v>
      </c>
      <c r="G456" s="619">
        <v>0</v>
      </c>
      <c r="H456" s="464">
        <f t="shared" si="390"/>
        <v>46</v>
      </c>
      <c r="I456" s="560"/>
      <c r="J456" s="468">
        <f t="shared" si="384"/>
        <v>2063</v>
      </c>
      <c r="K456" s="490">
        <f t="shared" si="391"/>
        <v>0</v>
      </c>
      <c r="L456" s="469">
        <f t="shared" si="392"/>
        <v>0</v>
      </c>
      <c r="M456" s="683">
        <f t="shared" si="393"/>
        <v>0</v>
      </c>
      <c r="N456" s="470">
        <f t="shared" si="394"/>
        <v>46</v>
      </c>
      <c r="O456" s="468">
        <f t="shared" si="385"/>
        <v>2063</v>
      </c>
      <c r="P456" s="471">
        <f t="shared" si="395"/>
        <v>902807469.33333325</v>
      </c>
      <c r="Q456" s="472">
        <f t="shared" si="396"/>
        <v>902807469.33333325</v>
      </c>
      <c r="R456" s="472">
        <f t="shared" si="397"/>
        <v>19626249.333333336</v>
      </c>
      <c r="S456" s="1033">
        <f t="shared" si="386"/>
        <v>2018</v>
      </c>
      <c r="T456" s="470">
        <f t="shared" si="398"/>
        <v>1</v>
      </c>
      <c r="U456" s="612">
        <f t="shared" si="387"/>
        <v>19626249.333333336</v>
      </c>
      <c r="V456" s="464">
        <f t="shared" si="388"/>
        <v>2018</v>
      </c>
      <c r="W456" s="612">
        <f t="shared" si="399"/>
        <v>883181219.99999988</v>
      </c>
      <c r="X456" s="561"/>
      <c r="Y456" s="449"/>
      <c r="Z456" s="449"/>
      <c r="AA456" s="475" t="s">
        <v>4181</v>
      </c>
      <c r="AB456" s="491"/>
      <c r="AC456" s="491"/>
      <c r="AD456" s="567">
        <f>U462</f>
        <v>133425362.66666669</v>
      </c>
      <c r="AE456" s="452"/>
      <c r="AF456" s="571"/>
      <c r="AG456" s="452"/>
      <c r="AH456" s="452"/>
      <c r="AI456" s="453"/>
      <c r="AJ456" s="449"/>
      <c r="AK456" s="453"/>
      <c r="AL456" s="454"/>
      <c r="AM456" s="455"/>
      <c r="AN456" s="456"/>
      <c r="AO456" s="455"/>
      <c r="AP456" s="452"/>
      <c r="AQ456" s="457"/>
      <c r="AR456" s="449"/>
      <c r="AS456" s="449"/>
      <c r="AT456" s="452"/>
      <c r="AU456" s="457"/>
      <c r="AV456" s="449"/>
      <c r="AW456" s="458"/>
      <c r="AX456" s="452"/>
      <c r="AY456" s="457"/>
      <c r="AZ456" s="449"/>
      <c r="BA456" s="459"/>
      <c r="BB456" s="455"/>
      <c r="BC456" s="460"/>
      <c r="BD456" s="460"/>
      <c r="BG456" s="462"/>
    </row>
    <row r="457" spans="1:59" s="461" customFormat="1" ht="18" customHeight="1" x14ac:dyDescent="0.2">
      <c r="A457" s="461" t="str">
        <f t="shared" si="389"/>
        <v>RUMAH DINAS JABATAN ESELON II/PEJABAT YANG SETINGKAT2019</v>
      </c>
      <c r="B457" s="708"/>
      <c r="C457" s="489"/>
      <c r="D457" s="489"/>
      <c r="E457" s="558"/>
      <c r="F457" s="559">
        <v>2019</v>
      </c>
      <c r="G457" s="619">
        <v>0</v>
      </c>
      <c r="H457" s="464">
        <f t="shared" si="390"/>
        <v>45</v>
      </c>
      <c r="I457" s="560"/>
      <c r="J457" s="468">
        <f t="shared" si="384"/>
        <v>2063</v>
      </c>
      <c r="K457" s="490">
        <f t="shared" si="391"/>
        <v>0</v>
      </c>
      <c r="L457" s="469">
        <f t="shared" si="392"/>
        <v>0</v>
      </c>
      <c r="M457" s="683">
        <f t="shared" si="393"/>
        <v>0</v>
      </c>
      <c r="N457" s="470">
        <f t="shared" si="394"/>
        <v>45</v>
      </c>
      <c r="O457" s="468">
        <f t="shared" si="385"/>
        <v>2063</v>
      </c>
      <c r="P457" s="471">
        <f t="shared" si="395"/>
        <v>883181219.99999988</v>
      </c>
      <c r="Q457" s="472">
        <f t="shared" si="396"/>
        <v>883181219.99999988</v>
      </c>
      <c r="R457" s="472">
        <f t="shared" si="397"/>
        <v>19626249.333333336</v>
      </c>
      <c r="S457" s="1189">
        <f>F457</f>
        <v>2019</v>
      </c>
      <c r="T457" s="470">
        <f t="shared" si="398"/>
        <v>1</v>
      </c>
      <c r="U457" s="612">
        <f>R457*T457</f>
        <v>19626249.333333336</v>
      </c>
      <c r="V457" s="464">
        <f t="shared" si="388"/>
        <v>2019</v>
      </c>
      <c r="W457" s="612">
        <f t="shared" si="399"/>
        <v>863554970.66666651</v>
      </c>
      <c r="X457" s="561"/>
      <c r="Y457" s="449"/>
      <c r="Z457" s="449"/>
      <c r="AA457" s="492" t="s">
        <v>4182</v>
      </c>
      <c r="AB457" s="476"/>
      <c r="AC457" s="476"/>
      <c r="AD457" s="568">
        <f>AD455-AD456</f>
        <v>863554970.66666675</v>
      </c>
      <c r="AE457" s="452"/>
      <c r="AF457" s="571"/>
      <c r="AG457" s="452"/>
      <c r="AH457" s="452"/>
      <c r="AI457" s="453"/>
      <c r="AJ457" s="449"/>
      <c r="AK457" s="453"/>
      <c r="AL457" s="454"/>
      <c r="AM457" s="455"/>
      <c r="AN457" s="456"/>
      <c r="AO457" s="455"/>
      <c r="AP457" s="452"/>
      <c r="AQ457" s="457"/>
      <c r="AR457" s="449"/>
      <c r="AS457" s="449"/>
      <c r="AT457" s="452"/>
      <c r="AU457" s="457"/>
      <c r="AV457" s="449"/>
      <c r="AW457" s="458"/>
      <c r="AX457" s="452"/>
      <c r="AY457" s="457"/>
      <c r="AZ457" s="449"/>
      <c r="BA457" s="459"/>
      <c r="BB457" s="455"/>
      <c r="BC457" s="460"/>
      <c r="BD457" s="460"/>
      <c r="BG457" s="462"/>
    </row>
    <row r="458" spans="1:59" s="461" customFormat="1" ht="18" customHeight="1" x14ac:dyDescent="0.2">
      <c r="B458" s="708"/>
      <c r="C458" s="489"/>
      <c r="D458" s="489"/>
      <c r="E458" s="558"/>
      <c r="F458" s="559"/>
      <c r="G458" s="619"/>
      <c r="H458" s="464"/>
      <c r="I458" s="560"/>
      <c r="J458" s="468"/>
      <c r="K458" s="490"/>
      <c r="L458" s="469"/>
      <c r="M458" s="683"/>
      <c r="N458" s="470"/>
      <c r="O458" s="468"/>
      <c r="P458" s="471"/>
      <c r="Q458" s="472"/>
      <c r="R458" s="472"/>
      <c r="S458" s="1033"/>
      <c r="T458" s="470"/>
      <c r="U458" s="612"/>
      <c r="V458" s="464"/>
      <c r="W458" s="612"/>
      <c r="X458" s="561"/>
      <c r="Y458" s="449"/>
      <c r="Z458" s="449"/>
      <c r="AA458" s="475" t="s">
        <v>4183</v>
      </c>
      <c r="AB458" s="476"/>
      <c r="AC458" s="476"/>
      <c r="AD458" s="567">
        <f>AD457-W462</f>
        <v>0</v>
      </c>
      <c r="AE458" s="452"/>
      <c r="AF458" s="571"/>
      <c r="AG458" s="452"/>
      <c r="AH458" s="452"/>
      <c r="AI458" s="453"/>
      <c r="AJ458" s="449"/>
      <c r="AK458" s="453"/>
      <c r="AL458" s="454"/>
      <c r="AM458" s="455"/>
      <c r="AN458" s="456"/>
      <c r="AO458" s="455"/>
      <c r="AP458" s="452"/>
      <c r="AQ458" s="457"/>
      <c r="AR458" s="449"/>
      <c r="AS458" s="449"/>
      <c r="AT458" s="452"/>
      <c r="AU458" s="457"/>
      <c r="AV458" s="449"/>
      <c r="AW458" s="458"/>
      <c r="AX458" s="452"/>
      <c r="AY458" s="457"/>
      <c r="AZ458" s="449"/>
      <c r="BA458" s="459"/>
      <c r="BB458" s="455"/>
      <c r="BC458" s="460"/>
      <c r="BD458" s="460"/>
      <c r="BG458" s="462"/>
    </row>
    <row r="459" spans="1:59" s="486" customFormat="1" ht="18" customHeight="1" x14ac:dyDescent="0.2">
      <c r="B459" s="708"/>
      <c r="C459" s="463"/>
      <c r="D459" s="489"/>
      <c r="E459" s="465"/>
      <c r="F459" s="559"/>
      <c r="G459" s="619"/>
      <c r="H459" s="464"/>
      <c r="I459" s="560"/>
      <c r="J459" s="468"/>
      <c r="K459" s="490"/>
      <c r="L459" s="469"/>
      <c r="M459" s="683"/>
      <c r="N459" s="470"/>
      <c r="O459" s="468"/>
      <c r="P459" s="471"/>
      <c r="Q459" s="472"/>
      <c r="R459" s="472"/>
      <c r="S459" s="1033"/>
      <c r="T459" s="470"/>
      <c r="U459" s="612"/>
      <c r="V459" s="464"/>
      <c r="W459" s="612"/>
      <c r="X459" s="561"/>
      <c r="Y459" s="474"/>
      <c r="Z459" s="449"/>
      <c r="AA459" s="495"/>
      <c r="AB459" s="496"/>
      <c r="AC459" s="496"/>
      <c r="AD459" s="569"/>
      <c r="AE459" s="476"/>
      <c r="AF459" s="568"/>
      <c r="AG459" s="476"/>
      <c r="AH459" s="476"/>
      <c r="AI459" s="477"/>
      <c r="AJ459" s="478"/>
      <c r="AK459" s="479"/>
      <c r="AL459" s="480"/>
      <c r="AM459" s="474"/>
      <c r="AN459" s="481"/>
      <c r="AO459" s="474"/>
      <c r="AP459" s="476"/>
      <c r="AQ459" s="482"/>
      <c r="AR459" s="478"/>
      <c r="AS459" s="478"/>
      <c r="AT459" s="476"/>
      <c r="AU459" s="482"/>
      <c r="AV459" s="478"/>
      <c r="AW459" s="483"/>
      <c r="AX459" s="476"/>
      <c r="AY459" s="482"/>
      <c r="AZ459" s="478"/>
      <c r="BA459" s="484"/>
      <c r="BB459" s="474"/>
      <c r="BC459" s="485"/>
      <c r="BD459" s="485"/>
      <c r="BG459" s="487"/>
    </row>
    <row r="460" spans="1:59" s="486" customFormat="1" ht="18" customHeight="1" x14ac:dyDescent="0.2">
      <c r="B460" s="708"/>
      <c r="C460" s="488"/>
      <c r="D460" s="489"/>
      <c r="E460" s="465"/>
      <c r="F460" s="466"/>
      <c r="G460" s="620"/>
      <c r="H460" s="464"/>
      <c r="I460" s="467"/>
      <c r="J460" s="468"/>
      <c r="K460" s="490"/>
      <c r="L460" s="469"/>
      <c r="M460" s="683"/>
      <c r="N460" s="470"/>
      <c r="O460" s="468"/>
      <c r="P460" s="471"/>
      <c r="Q460" s="472"/>
      <c r="R460" s="472"/>
      <c r="S460" s="1033"/>
      <c r="T460" s="470"/>
      <c r="U460" s="612"/>
      <c r="V460" s="464"/>
      <c r="W460" s="612"/>
      <c r="X460" s="473"/>
      <c r="Y460" s="478"/>
      <c r="Z460" s="449"/>
      <c r="AA460" s="699"/>
      <c r="AB460" s="700"/>
      <c r="AC460" s="700"/>
      <c r="AD460" s="701"/>
      <c r="AE460" s="491"/>
      <c r="AF460" s="568"/>
      <c r="AG460" s="491"/>
      <c r="AH460" s="491"/>
      <c r="AI460" s="477"/>
      <c r="AJ460" s="478"/>
      <c r="AK460" s="479"/>
      <c r="AL460" s="480"/>
      <c r="AM460" s="474"/>
      <c r="AN460" s="481"/>
      <c r="AO460" s="474"/>
      <c r="AP460" s="476"/>
      <c r="AQ460" s="482"/>
      <c r="AR460" s="478"/>
      <c r="AS460" s="478"/>
      <c r="AT460" s="476"/>
      <c r="AU460" s="482"/>
      <c r="AV460" s="478"/>
      <c r="AW460" s="483"/>
      <c r="AX460" s="476"/>
      <c r="AY460" s="482"/>
      <c r="AZ460" s="478"/>
      <c r="BA460" s="484"/>
      <c r="BB460" s="474"/>
      <c r="BC460" s="485"/>
      <c r="BD460" s="485"/>
      <c r="BG460" s="487"/>
    </row>
    <row r="461" spans="1:59" s="486" customFormat="1" ht="18" customHeight="1" x14ac:dyDescent="0.2">
      <c r="B461" s="687"/>
      <c r="C461" s="494"/>
      <c r="D461" s="464"/>
      <c r="E461" s="465"/>
      <c r="F461" s="466"/>
      <c r="G461" s="620"/>
      <c r="H461" s="464"/>
      <c r="I461" s="467"/>
      <c r="J461" s="468"/>
      <c r="K461" s="490"/>
      <c r="L461" s="469"/>
      <c r="M461" s="683"/>
      <c r="N461" s="470"/>
      <c r="O461" s="468"/>
      <c r="P461" s="471"/>
      <c r="Q461" s="472"/>
      <c r="R461" s="472"/>
      <c r="S461" s="1033"/>
      <c r="T461" s="470"/>
      <c r="U461" s="612"/>
      <c r="V461" s="464"/>
      <c r="W461" s="612"/>
      <c r="X461" s="473"/>
      <c r="Y461" s="478"/>
      <c r="Z461" s="449"/>
      <c r="AA461" s="497"/>
      <c r="AB461" s="476"/>
      <c r="AC461" s="476"/>
      <c r="AD461" s="568"/>
      <c r="AE461" s="476"/>
      <c r="AF461" s="568"/>
      <c r="AG461" s="476"/>
      <c r="AH461" s="476"/>
      <c r="AI461" s="477"/>
      <c r="AJ461" s="478"/>
      <c r="AK461" s="479"/>
      <c r="AL461" s="480"/>
      <c r="AM461" s="474"/>
      <c r="AN461" s="481"/>
      <c r="AO461" s="474"/>
      <c r="AP461" s="476"/>
      <c r="AQ461" s="482"/>
      <c r="AR461" s="478"/>
      <c r="AS461" s="478"/>
      <c r="AT461" s="476"/>
      <c r="AU461" s="482"/>
      <c r="AV461" s="478"/>
      <c r="AW461" s="483"/>
      <c r="AX461" s="476"/>
      <c r="AY461" s="482"/>
      <c r="AZ461" s="478"/>
      <c r="BA461" s="484"/>
      <c r="BB461" s="474"/>
      <c r="BC461" s="485"/>
      <c r="BD461" s="485"/>
      <c r="BG461" s="487"/>
    </row>
    <row r="462" spans="1:59" s="526" customFormat="1" ht="18" customHeight="1" x14ac:dyDescent="0.2">
      <c r="B462" s="1956" t="s">
        <v>4184</v>
      </c>
      <c r="C462" s="1957"/>
      <c r="D462" s="1957"/>
      <c r="E462" s="1957"/>
      <c r="F462" s="1958"/>
      <c r="G462" s="621">
        <f>SUM(G451:G461)</f>
        <v>996980333.33333337</v>
      </c>
      <c r="H462" s="505"/>
      <c r="I462" s="506"/>
      <c r="J462" s="507"/>
      <c r="K462" s="507"/>
      <c r="L462" s="505"/>
      <c r="M462" s="684"/>
      <c r="N462" s="508"/>
      <c r="O462" s="507"/>
      <c r="P462" s="509"/>
      <c r="Q462" s="510"/>
      <c r="R462" s="511"/>
      <c r="S462" s="512"/>
      <c r="T462" s="512"/>
      <c r="U462" s="610">
        <f>SUM(U451:U461)</f>
        <v>133425362.66666669</v>
      </c>
      <c r="V462" s="513"/>
      <c r="W462" s="610">
        <f>G462-U462</f>
        <v>863554970.66666675</v>
      </c>
      <c r="X462" s="514"/>
      <c r="Y462" s="515"/>
      <c r="Z462" s="515"/>
      <c r="AA462" s="515"/>
      <c r="AB462" s="515"/>
      <c r="AC462" s="515"/>
      <c r="AD462" s="570"/>
      <c r="AE462" s="515"/>
      <c r="AF462" s="570"/>
      <c r="AG462" s="515"/>
      <c r="AH462" s="515"/>
      <c r="AI462" s="516"/>
      <c r="AJ462" s="517"/>
      <c r="AK462" s="518"/>
      <c r="AL462" s="519"/>
      <c r="AM462" s="520"/>
      <c r="AN462" s="521"/>
      <c r="AO462" s="520"/>
      <c r="AP462" s="515"/>
      <c r="AQ462" s="522"/>
      <c r="AR462" s="517"/>
      <c r="AS462" s="517"/>
      <c r="AT462" s="515"/>
      <c r="AU462" s="522"/>
      <c r="AV462" s="517"/>
      <c r="AW462" s="523"/>
      <c r="AX462" s="515"/>
      <c r="AY462" s="522"/>
      <c r="AZ462" s="517"/>
      <c r="BA462" s="524"/>
      <c r="BB462" s="520"/>
      <c r="BC462" s="525"/>
      <c r="BD462" s="525"/>
      <c r="BG462" s="527"/>
    </row>
    <row r="463" spans="1:59" s="526" customFormat="1" ht="18" customHeight="1" x14ac:dyDescent="0.2">
      <c r="B463" s="741"/>
      <c r="C463" s="1032"/>
      <c r="D463" s="1032"/>
      <c r="E463" s="1032"/>
      <c r="F463" s="585"/>
      <c r="G463" s="622"/>
      <c r="H463" s="586"/>
      <c r="I463" s="587"/>
      <c r="J463" s="588"/>
      <c r="K463" s="588"/>
      <c r="L463" s="586"/>
      <c r="M463" s="521"/>
      <c r="N463" s="589"/>
      <c r="O463" s="588"/>
      <c r="P463" s="590"/>
      <c r="Q463" s="591"/>
      <c r="R463" s="592"/>
      <c r="S463" s="593"/>
      <c r="T463" s="593"/>
      <c r="U463" s="570"/>
      <c r="V463" s="594"/>
      <c r="W463" s="570"/>
      <c r="X463" s="515"/>
      <c r="Y463" s="515"/>
      <c r="Z463" s="515"/>
      <c r="AA463" s="515"/>
      <c r="AB463" s="515"/>
      <c r="AC463" s="515"/>
      <c r="AD463" s="570"/>
      <c r="AE463" s="515"/>
      <c r="AF463" s="570"/>
      <c r="AG463" s="515"/>
      <c r="AH463" s="515"/>
      <c r="AI463" s="516"/>
      <c r="AJ463" s="517"/>
      <c r="AK463" s="518"/>
      <c r="AL463" s="519"/>
      <c r="AM463" s="520"/>
      <c r="AN463" s="521"/>
      <c r="AO463" s="520"/>
      <c r="AP463" s="515"/>
      <c r="AQ463" s="522"/>
      <c r="AR463" s="517"/>
      <c r="AS463" s="517"/>
      <c r="AT463" s="515"/>
      <c r="AU463" s="522"/>
      <c r="AV463" s="517"/>
      <c r="AW463" s="523"/>
      <c r="AX463" s="515"/>
      <c r="AY463" s="522"/>
      <c r="AZ463" s="517"/>
      <c r="BA463" s="524"/>
      <c r="BB463" s="520"/>
      <c r="BC463" s="525"/>
      <c r="BD463" s="525"/>
      <c r="BG463" s="527"/>
    </row>
    <row r="464" spans="1:59" s="526" customFormat="1" ht="18" customHeight="1" x14ac:dyDescent="0.2">
      <c r="B464" s="575"/>
      <c r="C464" s="585"/>
      <c r="D464" s="585"/>
      <c r="E464" s="585"/>
      <c r="F464" s="585"/>
      <c r="G464" s="622"/>
      <c r="H464" s="586"/>
      <c r="I464" s="587"/>
      <c r="J464" s="588"/>
      <c r="K464" s="588"/>
      <c r="L464" s="586"/>
      <c r="M464" s="521"/>
      <c r="N464" s="589"/>
      <c r="O464" s="588"/>
      <c r="P464" s="590"/>
      <c r="Q464" s="591"/>
      <c r="R464" s="592"/>
      <c r="S464" s="593"/>
      <c r="T464" s="593"/>
      <c r="U464" s="570"/>
      <c r="V464" s="594"/>
      <c r="W464" s="570"/>
      <c r="X464" s="515"/>
      <c r="Y464" s="515"/>
      <c r="Z464" s="515"/>
      <c r="AA464" s="515"/>
      <c r="AB464" s="515"/>
      <c r="AC464" s="515"/>
      <c r="AD464" s="570"/>
      <c r="AE464" s="515"/>
      <c r="AF464" s="570"/>
      <c r="AG464" s="515"/>
      <c r="AH464" s="515"/>
      <c r="AI464" s="516"/>
      <c r="AJ464" s="517"/>
      <c r="AK464" s="518"/>
      <c r="AL464" s="519"/>
      <c r="AM464" s="520"/>
      <c r="AN464" s="521"/>
      <c r="AO464" s="520"/>
      <c r="AP464" s="515"/>
      <c r="AQ464" s="522"/>
      <c r="AR464" s="517"/>
      <c r="AS464" s="517"/>
      <c r="AT464" s="515"/>
      <c r="AU464" s="522"/>
      <c r="AV464" s="517"/>
      <c r="AW464" s="523"/>
      <c r="AX464" s="515"/>
      <c r="AY464" s="522"/>
      <c r="AZ464" s="517"/>
      <c r="BA464" s="524"/>
      <c r="BB464" s="520"/>
      <c r="BC464" s="525"/>
      <c r="BD464" s="525"/>
      <c r="BG464" s="527"/>
    </row>
    <row r="465" spans="1:59" s="422" customFormat="1" ht="18" customHeight="1" x14ac:dyDescent="0.2">
      <c r="B465" s="688" t="s">
        <v>4223</v>
      </c>
      <c r="C465" s="556"/>
      <c r="D465" s="553" t="s">
        <v>3009</v>
      </c>
      <c r="E465" s="553"/>
      <c r="F465" s="421"/>
      <c r="G465" s="611"/>
      <c r="I465" s="423"/>
      <c r="J465" s="424"/>
      <c r="K465" s="424"/>
      <c r="M465" s="680"/>
      <c r="U465" s="611"/>
      <c r="W465" s="611"/>
      <c r="Y465" s="425"/>
      <c r="Z465" s="425"/>
      <c r="AA465" s="425"/>
      <c r="AB465" s="425"/>
      <c r="AC465" s="425"/>
      <c r="AD465" s="563"/>
      <c r="AE465" s="425"/>
      <c r="AF465" s="563"/>
      <c r="AG465" s="425"/>
      <c r="AH465" s="425"/>
      <c r="AI465" s="425"/>
      <c r="AJ465" s="425"/>
      <c r="AK465" s="425"/>
      <c r="AL465" s="425"/>
      <c r="AM465" s="425"/>
      <c r="AN465" s="425"/>
      <c r="AO465" s="425"/>
      <c r="AP465" s="425"/>
      <c r="AQ465" s="425"/>
      <c r="AR465" s="425"/>
      <c r="AS465" s="425"/>
      <c r="AT465" s="425"/>
      <c r="AU465" s="425"/>
      <c r="AV465" s="425"/>
      <c r="AW465" s="425"/>
      <c r="AX465" s="425"/>
      <c r="AY465" s="425"/>
      <c r="AZ465" s="425"/>
      <c r="BA465" s="425"/>
      <c r="BB465" s="425"/>
    </row>
    <row r="466" spans="1:59" s="431" customFormat="1" ht="18" customHeight="1" x14ac:dyDescent="0.2">
      <c r="B466" s="1968" t="s">
        <v>5</v>
      </c>
      <c r="C466" s="1968" t="s">
        <v>2280</v>
      </c>
      <c r="D466" s="1968" t="s">
        <v>4157</v>
      </c>
      <c r="E466" s="1968" t="s">
        <v>4158</v>
      </c>
      <c r="F466" s="1968"/>
      <c r="G466" s="1969" t="s">
        <v>4159</v>
      </c>
      <c r="H466" s="1355" t="s">
        <v>4160</v>
      </c>
      <c r="I466" s="1355"/>
      <c r="J466" s="1968" t="s">
        <v>4161</v>
      </c>
      <c r="K466" s="1964" t="s">
        <v>4162</v>
      </c>
      <c r="L466" s="1968" t="s">
        <v>4163</v>
      </c>
      <c r="M466" s="1971" t="s">
        <v>4164</v>
      </c>
      <c r="N466" s="1962" t="s">
        <v>4165</v>
      </c>
      <c r="O466" s="1968" t="s">
        <v>4166</v>
      </c>
      <c r="P466" s="1972" t="s">
        <v>4167</v>
      </c>
      <c r="Q466" s="1973"/>
      <c r="R466" s="636" t="s">
        <v>4168</v>
      </c>
      <c r="S466" s="1972" t="s">
        <v>4169</v>
      </c>
      <c r="T466" s="1974"/>
      <c r="U466" s="1973"/>
      <c r="V466" s="1975" t="s">
        <v>4170</v>
      </c>
      <c r="W466" s="1975"/>
      <c r="X466" s="1960" t="s">
        <v>4171</v>
      </c>
      <c r="Y466" s="1959"/>
      <c r="Z466" s="633"/>
      <c r="AA466" s="426"/>
      <c r="AB466" s="426"/>
      <c r="AC466" s="426"/>
      <c r="AD466" s="564"/>
      <c r="AE466" s="426"/>
      <c r="AF466" s="564"/>
      <c r="AG466" s="426"/>
      <c r="AH466" s="426"/>
      <c r="AI466" s="427"/>
      <c r="AJ466" s="427"/>
      <c r="AK466" s="427"/>
      <c r="AL466" s="427"/>
      <c r="AM466" s="428"/>
      <c r="AN466" s="427"/>
      <c r="AO466" s="427"/>
      <c r="AP466" s="426"/>
      <c r="AQ466" s="427"/>
      <c r="AR466" s="427"/>
      <c r="AS466" s="427"/>
      <c r="AT466" s="426"/>
      <c r="AU466" s="427"/>
      <c r="AV466" s="427"/>
      <c r="AW466" s="427"/>
      <c r="AX466" s="426"/>
      <c r="AY466" s="427"/>
      <c r="AZ466" s="427"/>
      <c r="BA466" s="427"/>
      <c r="BB466" s="429"/>
      <c r="BC466" s="430"/>
      <c r="BD466" s="430"/>
    </row>
    <row r="467" spans="1:59" s="431" customFormat="1" ht="18" customHeight="1" x14ac:dyDescent="0.2">
      <c r="B467" s="1968"/>
      <c r="C467" s="1968"/>
      <c r="D467" s="1968"/>
      <c r="E467" s="1968"/>
      <c r="F467" s="1968"/>
      <c r="G467" s="1969"/>
      <c r="H467" s="1355"/>
      <c r="I467" s="1355"/>
      <c r="J467" s="1968"/>
      <c r="K467" s="1970"/>
      <c r="L467" s="1968"/>
      <c r="M467" s="1971"/>
      <c r="N467" s="1963"/>
      <c r="O467" s="1968"/>
      <c r="P467" s="1960" t="s">
        <v>4172</v>
      </c>
      <c r="Q467" s="1960" t="s">
        <v>4173</v>
      </c>
      <c r="R467" s="1962" t="s">
        <v>4159</v>
      </c>
      <c r="S467" s="1962" t="s">
        <v>4174</v>
      </c>
      <c r="T467" s="1964" t="s">
        <v>4175</v>
      </c>
      <c r="U467" s="1966" t="s">
        <v>4159</v>
      </c>
      <c r="V467" s="1975"/>
      <c r="W467" s="1975"/>
      <c r="X467" s="1976"/>
      <c r="Y467" s="1959"/>
      <c r="Z467" s="633"/>
      <c r="AA467" s="426"/>
      <c r="AB467" s="426"/>
      <c r="AC467" s="426"/>
      <c r="AD467" s="564"/>
      <c r="AE467" s="426"/>
      <c r="AF467" s="564"/>
      <c r="AG467" s="426"/>
      <c r="AH467" s="426"/>
      <c r="AI467" s="427"/>
      <c r="AJ467" s="427"/>
      <c r="AK467" s="426"/>
      <c r="AL467" s="427"/>
      <c r="AM467" s="428"/>
      <c r="AN467" s="427"/>
      <c r="AO467" s="427"/>
      <c r="AP467" s="432"/>
      <c r="AQ467" s="427"/>
      <c r="AR467" s="427"/>
      <c r="AS467" s="427"/>
      <c r="AT467" s="432"/>
      <c r="AU467" s="427"/>
      <c r="AV467" s="427"/>
      <c r="AW467" s="427"/>
      <c r="AX467" s="432"/>
      <c r="AY467" s="427"/>
      <c r="AZ467" s="427"/>
      <c r="BA467" s="427"/>
      <c r="BB467" s="429"/>
      <c r="BC467" s="430"/>
      <c r="BD467" s="430"/>
    </row>
    <row r="468" spans="1:59" s="431" customFormat="1" ht="21.75" customHeight="1" x14ac:dyDescent="0.2">
      <c r="B468" s="1968"/>
      <c r="C468" s="1968"/>
      <c r="D468" s="1968"/>
      <c r="E468" s="433" t="s">
        <v>4176</v>
      </c>
      <c r="F468" s="434" t="s">
        <v>2288</v>
      </c>
      <c r="G468" s="1969"/>
      <c r="H468" s="1355" t="s">
        <v>2288</v>
      </c>
      <c r="I468" s="1355" t="s">
        <v>4177</v>
      </c>
      <c r="J468" s="1968"/>
      <c r="K468" s="1965"/>
      <c r="L468" s="435" t="s">
        <v>2288</v>
      </c>
      <c r="M468" s="681" t="s">
        <v>2288</v>
      </c>
      <c r="N468" s="635" t="s">
        <v>2288</v>
      </c>
      <c r="O468" s="1968"/>
      <c r="P468" s="1961"/>
      <c r="Q468" s="1961"/>
      <c r="R468" s="1963"/>
      <c r="S468" s="1963"/>
      <c r="T468" s="1965"/>
      <c r="U468" s="1967"/>
      <c r="V468" s="635" t="s">
        <v>4178</v>
      </c>
      <c r="W468" s="637" t="s">
        <v>4159</v>
      </c>
      <c r="X468" s="1961"/>
      <c r="Y468" s="436"/>
      <c r="Z468" s="436"/>
      <c r="AA468" s="426"/>
      <c r="AB468" s="426"/>
      <c r="AC468" s="426"/>
      <c r="AD468" s="564"/>
      <c r="AE468" s="426"/>
      <c r="AF468" s="564"/>
      <c r="AG468" s="426"/>
      <c r="AH468" s="426"/>
      <c r="AI468" s="427"/>
      <c r="AJ468" s="432"/>
      <c r="AK468" s="432"/>
      <c r="AL468" s="427"/>
      <c r="AM468" s="428"/>
      <c r="AN468" s="432"/>
      <c r="AO468" s="427"/>
      <c r="AP468" s="432"/>
      <c r="AQ468" s="432"/>
      <c r="AR468" s="427"/>
      <c r="AS468" s="427"/>
      <c r="AT468" s="432"/>
      <c r="AU468" s="432"/>
      <c r="AV468" s="427"/>
      <c r="AW468" s="427"/>
      <c r="AX468" s="432"/>
      <c r="AY468" s="432"/>
      <c r="AZ468" s="427"/>
      <c r="BA468" s="427"/>
      <c r="BB468" s="429"/>
      <c r="BC468" s="430"/>
      <c r="BD468" s="430"/>
    </row>
    <row r="469" spans="1:59" s="461" customFormat="1" ht="18" customHeight="1" x14ac:dyDescent="0.2">
      <c r="A469" s="461" t="str">
        <f>$D$465&amp;S469</f>
        <v>STADION MINI KENEGERIAN KARI2012</v>
      </c>
      <c r="B469" s="689">
        <v>1</v>
      </c>
      <c r="C469" s="597" t="s">
        <v>2718</v>
      </c>
      <c r="D469" s="597" t="s">
        <v>1752</v>
      </c>
      <c r="E469" s="598"/>
      <c r="F469" s="599">
        <v>2012</v>
      </c>
      <c r="G469" s="626">
        <f>49059200+48328000</f>
        <v>97387200</v>
      </c>
      <c r="H469" s="600">
        <f>VLOOKUP(LEFT(D469,8),UE,4)</f>
        <v>50</v>
      </c>
      <c r="I469" s="601"/>
      <c r="J469" s="602">
        <f>(F469+N469)-1</f>
        <v>2061</v>
      </c>
      <c r="K469" s="603"/>
      <c r="L469" s="600"/>
      <c r="M469" s="685">
        <f>IF(H469+L469&gt;$H469,$H469-H469,L469)</f>
        <v>0</v>
      </c>
      <c r="N469" s="604">
        <f>H469+M469</f>
        <v>50</v>
      </c>
      <c r="O469" s="602">
        <f>(F469+N469)-1</f>
        <v>2061</v>
      </c>
      <c r="P469" s="605">
        <f>G469</f>
        <v>97387200</v>
      </c>
      <c r="Q469" s="606">
        <v>0</v>
      </c>
      <c r="R469" s="606">
        <f>P469/N469</f>
        <v>1947744</v>
      </c>
      <c r="S469" s="607">
        <f t="shared" ref="S469:S476" si="400">F469</f>
        <v>2012</v>
      </c>
      <c r="T469" s="608">
        <v>1</v>
      </c>
      <c r="U469" s="615">
        <f t="shared" ref="U469:U476" si="401">R469*T469</f>
        <v>1947744</v>
      </c>
      <c r="V469" s="602">
        <f>F469</f>
        <v>2012</v>
      </c>
      <c r="W469" s="618">
        <f>IF(OR(AND(ISBLANK(E469),ISBLANK(G469)),ISTEXT(E469),ISTEXT(G469)),"",G469-R469)</f>
        <v>95439456</v>
      </c>
      <c r="X469" s="609"/>
      <c r="Y469" s="449"/>
      <c r="Z469" s="449"/>
      <c r="AA469" s="694"/>
      <c r="AB469" s="692"/>
      <c r="AC469" s="692"/>
      <c r="AD469" s="695"/>
      <c r="AE469" s="452"/>
      <c r="AF469" s="571"/>
      <c r="AG469" s="452"/>
      <c r="AH469" s="452"/>
      <c r="AI469" s="453"/>
      <c r="AJ469" s="449"/>
      <c r="AK469" s="453"/>
      <c r="AL469" s="454"/>
      <c r="AM469" s="455"/>
      <c r="AN469" s="456"/>
      <c r="AO469" s="455"/>
      <c r="AP469" s="452"/>
      <c r="AQ469" s="457"/>
      <c r="AR469" s="449"/>
      <c r="AS469" s="449"/>
      <c r="AT469" s="452"/>
      <c r="AU469" s="457"/>
      <c r="AV469" s="449"/>
      <c r="AW469" s="458"/>
      <c r="AX469" s="452"/>
      <c r="AY469" s="457"/>
      <c r="AZ469" s="449"/>
      <c r="BA469" s="459"/>
      <c r="BB469" s="455"/>
      <c r="BC469" s="460"/>
      <c r="BD469" s="460"/>
      <c r="BG469" s="462"/>
    </row>
    <row r="470" spans="1:59" s="461" customFormat="1" ht="18" customHeight="1" x14ac:dyDescent="0.2">
      <c r="A470" s="461" t="str">
        <f t="shared" ref="A470:A477" si="402">$D$465&amp;S470</f>
        <v>STADION MINI KENEGERIAN KARI2012</v>
      </c>
      <c r="B470" s="708">
        <v>2</v>
      </c>
      <c r="C470" s="489" t="s">
        <v>2719</v>
      </c>
      <c r="D470" s="489" t="s">
        <v>1752</v>
      </c>
      <c r="E470" s="558"/>
      <c r="F470" s="559">
        <v>2012</v>
      </c>
      <c r="G470" s="619">
        <v>0</v>
      </c>
      <c r="H470" s="464">
        <f t="shared" ref="H470:H476" si="403">IF(N469-(F470-F469)&lt;=0,0,(N469-(F470-F469)))</f>
        <v>50</v>
      </c>
      <c r="I470" s="560"/>
      <c r="J470" s="468">
        <f t="shared" ref="J470:J476" si="404">(F470+N470)-1</f>
        <v>2061</v>
      </c>
      <c r="K470" s="490">
        <f t="shared" ref="K470:K476" si="405">IF(G470=0,0,IF(H470=50,100%,G470/W469))</f>
        <v>0</v>
      </c>
      <c r="L470" s="469">
        <f>IF(K470=0%,0,IF(K470&lt;=25%,5,IF(K470&lt;=50%,10,IF(K470&lt;=75%,15,50))))</f>
        <v>0</v>
      </c>
      <c r="M470" s="683">
        <f t="shared" ref="M470:M476" si="406">IF(OR(AND(ISBLANK(E470),ISBLANK(G470)),ISTEXT(E470),ISTEXT(G470)),"",IF(H470+L470&gt;$H$27,$H$27-H470,L470))</f>
        <v>0</v>
      </c>
      <c r="N470" s="470">
        <f t="shared" ref="N470:N476" si="407">IF(OR(AND(ISBLANK(F470),ISBLANK(G470)),ISTEXT(F470),ISTEXT(G470)),"",H470+M470)</f>
        <v>50</v>
      </c>
      <c r="O470" s="468">
        <f t="shared" ref="O470:O476" si="408">(F470+N470)-1</f>
        <v>2061</v>
      </c>
      <c r="P470" s="471">
        <f>W469</f>
        <v>95439456</v>
      </c>
      <c r="Q470" s="472">
        <f t="shared" ref="Q470:Q476" si="409">P470+G470</f>
        <v>95439456</v>
      </c>
      <c r="R470" s="472">
        <f t="shared" ref="R470:R476" si="410">IF(L470=0,R469,Q470/N470)</f>
        <v>1947744</v>
      </c>
      <c r="S470" s="634">
        <f t="shared" si="400"/>
        <v>2012</v>
      </c>
      <c r="T470" s="470">
        <f>S470-S469</f>
        <v>0</v>
      </c>
      <c r="U470" s="612">
        <f t="shared" si="401"/>
        <v>0</v>
      </c>
      <c r="V470" s="464">
        <f t="shared" ref="V470:V476" si="411">F470</f>
        <v>2012</v>
      </c>
      <c r="W470" s="612">
        <f t="shared" ref="W470:W476" si="412">IF(OR(AND(ISBLANK(E470),ISBLANK(G470)),ISTEXT(E470),ISTEXT(G470)),"",Q470-U470)</f>
        <v>95439456</v>
      </c>
      <c r="X470" s="561"/>
      <c r="Y470" s="449"/>
      <c r="Z470" s="449"/>
      <c r="AA470" s="554" t="s">
        <v>4179</v>
      </c>
      <c r="AB470" s="452"/>
      <c r="AC470" s="452"/>
      <c r="AD470" s="566"/>
      <c r="AE470" s="452"/>
      <c r="AF470" s="571"/>
      <c r="AG470" s="452"/>
      <c r="AH470" s="452"/>
      <c r="AI470" s="453"/>
      <c r="AJ470" s="449"/>
      <c r="AK470" s="453"/>
      <c r="AL470" s="454"/>
      <c r="AM470" s="455"/>
      <c r="AN470" s="456"/>
      <c r="AO470" s="455"/>
      <c r="AP470" s="452"/>
      <c r="AQ470" s="457"/>
      <c r="AR470" s="449"/>
      <c r="AS470" s="449"/>
      <c r="AT470" s="452"/>
      <c r="AU470" s="457"/>
      <c r="AV470" s="449"/>
      <c r="AW470" s="458"/>
      <c r="AX470" s="452"/>
      <c r="AY470" s="457"/>
      <c r="AZ470" s="449"/>
      <c r="BA470" s="459"/>
      <c r="BB470" s="455"/>
      <c r="BC470" s="460"/>
      <c r="BD470" s="460"/>
      <c r="BG470" s="462"/>
    </row>
    <row r="471" spans="1:59" s="461" customFormat="1" ht="18" customHeight="1" x14ac:dyDescent="0.2">
      <c r="A471" s="461" t="str">
        <f t="shared" si="402"/>
        <v>STADION MINI KENEGERIAN KARI2013</v>
      </c>
      <c r="B471" s="708"/>
      <c r="C471" s="489"/>
      <c r="D471" s="489"/>
      <c r="E471" s="558"/>
      <c r="F471" s="559">
        <v>2013</v>
      </c>
      <c r="G471" s="619">
        <v>0</v>
      </c>
      <c r="H471" s="464">
        <f t="shared" si="403"/>
        <v>49</v>
      </c>
      <c r="I471" s="560"/>
      <c r="J471" s="468">
        <f t="shared" si="404"/>
        <v>2061</v>
      </c>
      <c r="K471" s="490">
        <f t="shared" si="405"/>
        <v>0</v>
      </c>
      <c r="L471" s="469">
        <f t="shared" ref="L471:L476" si="413">IF(K471=0%,0,IF(K471&lt;=25%,5,IF(K471&lt;=50%,10,IF(K471&lt;=75%,15,50))))</f>
        <v>0</v>
      </c>
      <c r="M471" s="683">
        <f t="shared" si="406"/>
        <v>0</v>
      </c>
      <c r="N471" s="470">
        <f t="shared" si="407"/>
        <v>49</v>
      </c>
      <c r="O471" s="468">
        <f t="shared" si="408"/>
        <v>2061</v>
      </c>
      <c r="P471" s="471">
        <f t="shared" ref="P471:P476" si="414">W470</f>
        <v>95439456</v>
      </c>
      <c r="Q471" s="472">
        <f t="shared" si="409"/>
        <v>95439456</v>
      </c>
      <c r="R471" s="472">
        <f t="shared" si="410"/>
        <v>1947744</v>
      </c>
      <c r="S471" s="634">
        <f t="shared" si="400"/>
        <v>2013</v>
      </c>
      <c r="T471" s="470">
        <f t="shared" ref="T471:T476" si="415">S471-S470</f>
        <v>1</v>
      </c>
      <c r="U471" s="612">
        <f t="shared" si="401"/>
        <v>1947744</v>
      </c>
      <c r="V471" s="464">
        <f t="shared" si="411"/>
        <v>2013</v>
      </c>
      <c r="W471" s="612">
        <f t="shared" si="412"/>
        <v>93491712</v>
      </c>
      <c r="X471" s="561"/>
      <c r="Y471" s="449"/>
      <c r="Z471" s="449"/>
      <c r="AA471" s="554"/>
      <c r="AB471" s="452"/>
      <c r="AC471" s="452"/>
      <c r="AD471" s="566"/>
      <c r="AE471" s="452"/>
      <c r="AF471" s="571"/>
      <c r="AG471" s="452"/>
      <c r="AH471" s="452"/>
      <c r="AI471" s="453"/>
      <c r="AJ471" s="449"/>
      <c r="AK471" s="453"/>
      <c r="AL471" s="454"/>
      <c r="AM471" s="455"/>
      <c r="AN471" s="456"/>
      <c r="AO471" s="455"/>
      <c r="AP471" s="452"/>
      <c r="AQ471" s="457"/>
      <c r="AR471" s="449"/>
      <c r="AS471" s="449"/>
      <c r="AT471" s="452"/>
      <c r="AU471" s="457"/>
      <c r="AV471" s="449"/>
      <c r="AW471" s="458"/>
      <c r="AX471" s="452"/>
      <c r="AY471" s="457"/>
      <c r="AZ471" s="449"/>
      <c r="BA471" s="459"/>
      <c r="BB471" s="455"/>
      <c r="BC471" s="460"/>
      <c r="BD471" s="460"/>
      <c r="BG471" s="462"/>
    </row>
    <row r="472" spans="1:59" s="461" customFormat="1" ht="18" customHeight="1" x14ac:dyDescent="0.2">
      <c r="A472" s="461" t="str">
        <f t="shared" si="402"/>
        <v>STADION MINI KENEGERIAN KARI2014</v>
      </c>
      <c r="B472" s="708"/>
      <c r="C472" s="489"/>
      <c r="D472" s="489"/>
      <c r="E472" s="558"/>
      <c r="F472" s="559">
        <v>2014</v>
      </c>
      <c r="G472" s="619">
        <v>0</v>
      </c>
      <c r="H472" s="464">
        <f t="shared" si="403"/>
        <v>48</v>
      </c>
      <c r="I472" s="560"/>
      <c r="J472" s="468">
        <f t="shared" si="404"/>
        <v>2061</v>
      </c>
      <c r="K472" s="490">
        <f t="shared" si="405"/>
        <v>0</v>
      </c>
      <c r="L472" s="469">
        <f t="shared" si="413"/>
        <v>0</v>
      </c>
      <c r="M472" s="683">
        <f t="shared" si="406"/>
        <v>0</v>
      </c>
      <c r="N472" s="470">
        <f t="shared" si="407"/>
        <v>48</v>
      </c>
      <c r="O472" s="468">
        <f t="shared" si="408"/>
        <v>2061</v>
      </c>
      <c r="P472" s="471">
        <f t="shared" si="414"/>
        <v>93491712</v>
      </c>
      <c r="Q472" s="472">
        <f t="shared" si="409"/>
        <v>93491712</v>
      </c>
      <c r="R472" s="472">
        <f t="shared" si="410"/>
        <v>1947744</v>
      </c>
      <c r="S472" s="634">
        <f t="shared" si="400"/>
        <v>2014</v>
      </c>
      <c r="T472" s="470">
        <f t="shared" si="415"/>
        <v>1</v>
      </c>
      <c r="U472" s="612">
        <f t="shared" si="401"/>
        <v>1947744</v>
      </c>
      <c r="V472" s="464">
        <f t="shared" si="411"/>
        <v>2014</v>
      </c>
      <c r="W472" s="612">
        <f t="shared" si="412"/>
        <v>91543968</v>
      </c>
      <c r="X472" s="561"/>
      <c r="Y472" s="449"/>
      <c r="Z472" s="449"/>
      <c r="AA472" s="475" t="s">
        <v>4180</v>
      </c>
      <c r="AB472" s="476"/>
      <c r="AC472" s="476"/>
      <c r="AD472" s="567">
        <f>G479</f>
        <v>97387200</v>
      </c>
      <c r="AE472" s="452"/>
      <c r="AF472" s="571"/>
      <c r="AG472" s="452"/>
      <c r="AH472" s="452"/>
      <c r="AI472" s="453"/>
      <c r="AJ472" s="449"/>
      <c r="AK472" s="453"/>
      <c r="AL472" s="454"/>
      <c r="AM472" s="455"/>
      <c r="AN472" s="456"/>
      <c r="AO472" s="455"/>
      <c r="AP472" s="452"/>
      <c r="AQ472" s="457"/>
      <c r="AR472" s="449"/>
      <c r="AS472" s="449"/>
      <c r="AT472" s="452"/>
      <c r="AU472" s="457"/>
      <c r="AV472" s="449"/>
      <c r="AW472" s="458"/>
      <c r="AX472" s="452"/>
      <c r="AY472" s="457"/>
      <c r="AZ472" s="449"/>
      <c r="BA472" s="459"/>
      <c r="BB472" s="455"/>
      <c r="BC472" s="460"/>
      <c r="BD472" s="460"/>
      <c r="BG472" s="462"/>
    </row>
    <row r="473" spans="1:59" s="461" customFormat="1" ht="18" customHeight="1" x14ac:dyDescent="0.2">
      <c r="A473" s="461" t="str">
        <f t="shared" si="402"/>
        <v>STADION MINI KENEGERIAN KARI2015</v>
      </c>
      <c r="B473" s="708"/>
      <c r="C473" s="489"/>
      <c r="D473" s="489"/>
      <c r="E473" s="558"/>
      <c r="F473" s="559">
        <v>2015</v>
      </c>
      <c r="G473" s="619">
        <v>0</v>
      </c>
      <c r="H473" s="464">
        <f t="shared" si="403"/>
        <v>47</v>
      </c>
      <c r="I473" s="560"/>
      <c r="J473" s="468">
        <f t="shared" si="404"/>
        <v>2061</v>
      </c>
      <c r="K473" s="490">
        <f t="shared" si="405"/>
        <v>0</v>
      </c>
      <c r="L473" s="469">
        <f t="shared" si="413"/>
        <v>0</v>
      </c>
      <c r="M473" s="683">
        <f t="shared" si="406"/>
        <v>0</v>
      </c>
      <c r="N473" s="470">
        <f t="shared" si="407"/>
        <v>47</v>
      </c>
      <c r="O473" s="468">
        <f t="shared" si="408"/>
        <v>2061</v>
      </c>
      <c r="P473" s="471">
        <f t="shared" si="414"/>
        <v>91543968</v>
      </c>
      <c r="Q473" s="472">
        <f t="shared" si="409"/>
        <v>91543968</v>
      </c>
      <c r="R473" s="472">
        <f t="shared" si="410"/>
        <v>1947744</v>
      </c>
      <c r="S473" s="634">
        <f t="shared" si="400"/>
        <v>2015</v>
      </c>
      <c r="T473" s="470">
        <f t="shared" si="415"/>
        <v>1</v>
      </c>
      <c r="U473" s="612">
        <f t="shared" si="401"/>
        <v>1947744</v>
      </c>
      <c r="V473" s="464">
        <f t="shared" si="411"/>
        <v>2015</v>
      </c>
      <c r="W473" s="612">
        <f t="shared" si="412"/>
        <v>89596224</v>
      </c>
      <c r="X473" s="561"/>
      <c r="Y473" s="449"/>
      <c r="Z473" s="449"/>
      <c r="AA473" s="475" t="s">
        <v>4181</v>
      </c>
      <c r="AB473" s="491"/>
      <c r="AC473" s="491"/>
      <c r="AD473" s="567">
        <f>U479</f>
        <v>15581952</v>
      </c>
      <c r="AE473" s="452"/>
      <c r="AF473" s="571"/>
      <c r="AG473" s="452"/>
      <c r="AH473" s="452"/>
      <c r="AI473" s="453"/>
      <c r="AJ473" s="449"/>
      <c r="AK473" s="453"/>
      <c r="AL473" s="454"/>
      <c r="AM473" s="455"/>
      <c r="AN473" s="456"/>
      <c r="AO473" s="455"/>
      <c r="AP473" s="452"/>
      <c r="AQ473" s="457"/>
      <c r="AR473" s="449"/>
      <c r="AS473" s="449"/>
      <c r="AT473" s="452"/>
      <c r="AU473" s="457"/>
      <c r="AV473" s="449"/>
      <c r="AW473" s="458"/>
      <c r="AX473" s="452"/>
      <c r="AY473" s="457"/>
      <c r="AZ473" s="449"/>
      <c r="BA473" s="459"/>
      <c r="BB473" s="455"/>
      <c r="BC473" s="460"/>
      <c r="BD473" s="460"/>
      <c r="BG473" s="462"/>
    </row>
    <row r="474" spans="1:59" s="461" customFormat="1" ht="18" customHeight="1" x14ac:dyDescent="0.2">
      <c r="A474" s="461" t="str">
        <f t="shared" si="402"/>
        <v>STADION MINI KENEGERIAN KARI2016</v>
      </c>
      <c r="B474" s="708"/>
      <c r="C474" s="489"/>
      <c r="D474" s="489"/>
      <c r="E474" s="558"/>
      <c r="F474" s="559">
        <v>2016</v>
      </c>
      <c r="G474" s="619">
        <v>0</v>
      </c>
      <c r="H474" s="464">
        <f t="shared" si="403"/>
        <v>46</v>
      </c>
      <c r="I474" s="560"/>
      <c r="J474" s="468">
        <f t="shared" si="404"/>
        <v>2061</v>
      </c>
      <c r="K474" s="490">
        <f t="shared" si="405"/>
        <v>0</v>
      </c>
      <c r="L474" s="469">
        <f t="shared" si="413"/>
        <v>0</v>
      </c>
      <c r="M474" s="683">
        <f t="shared" si="406"/>
        <v>0</v>
      </c>
      <c r="N474" s="470">
        <f t="shared" si="407"/>
        <v>46</v>
      </c>
      <c r="O474" s="468">
        <f t="shared" si="408"/>
        <v>2061</v>
      </c>
      <c r="P474" s="471">
        <f t="shared" si="414"/>
        <v>89596224</v>
      </c>
      <c r="Q474" s="472">
        <f t="shared" si="409"/>
        <v>89596224</v>
      </c>
      <c r="R474" s="472">
        <f t="shared" si="410"/>
        <v>1947744</v>
      </c>
      <c r="S474" s="634">
        <f t="shared" si="400"/>
        <v>2016</v>
      </c>
      <c r="T474" s="470">
        <f t="shared" si="415"/>
        <v>1</v>
      </c>
      <c r="U474" s="612">
        <f t="shared" si="401"/>
        <v>1947744</v>
      </c>
      <c r="V474" s="464">
        <f t="shared" si="411"/>
        <v>2016</v>
      </c>
      <c r="W474" s="612">
        <f t="shared" si="412"/>
        <v>87648480</v>
      </c>
      <c r="X474" s="561"/>
      <c r="Y474" s="449"/>
      <c r="Z474" s="449"/>
      <c r="AA474" s="492" t="s">
        <v>4182</v>
      </c>
      <c r="AB474" s="476"/>
      <c r="AC474" s="476"/>
      <c r="AD474" s="568">
        <f>AD472-AD473</f>
        <v>81805248</v>
      </c>
      <c r="AE474" s="452"/>
      <c r="AF474" s="571"/>
      <c r="AG474" s="452"/>
      <c r="AH474" s="452"/>
      <c r="AI474" s="453"/>
      <c r="AJ474" s="449"/>
      <c r="AK474" s="453"/>
      <c r="AL474" s="454"/>
      <c r="AM474" s="455"/>
      <c r="AN474" s="456"/>
      <c r="AO474" s="455"/>
      <c r="AP474" s="452"/>
      <c r="AQ474" s="457"/>
      <c r="AR474" s="449"/>
      <c r="AS474" s="449"/>
      <c r="AT474" s="452"/>
      <c r="AU474" s="457"/>
      <c r="AV474" s="449"/>
      <c r="AW474" s="458"/>
      <c r="AX474" s="452"/>
      <c r="AY474" s="457"/>
      <c r="AZ474" s="449"/>
      <c r="BA474" s="459"/>
      <c r="BB474" s="455"/>
      <c r="BC474" s="460"/>
      <c r="BD474" s="460"/>
      <c r="BG474" s="462"/>
    </row>
    <row r="475" spans="1:59" s="461" customFormat="1" ht="18" customHeight="1" x14ac:dyDescent="0.2">
      <c r="A475" s="461" t="str">
        <f t="shared" si="402"/>
        <v>STADION MINI KENEGERIAN KARI2017</v>
      </c>
      <c r="B475" s="708"/>
      <c r="C475" s="489"/>
      <c r="D475" s="489"/>
      <c r="E475" s="558"/>
      <c r="F475" s="559">
        <v>2017</v>
      </c>
      <c r="G475" s="619">
        <v>0</v>
      </c>
      <c r="H475" s="464">
        <f t="shared" si="403"/>
        <v>45</v>
      </c>
      <c r="I475" s="560"/>
      <c r="J475" s="468">
        <f t="shared" si="404"/>
        <v>2061</v>
      </c>
      <c r="K475" s="490">
        <f t="shared" si="405"/>
        <v>0</v>
      </c>
      <c r="L475" s="469">
        <f t="shared" si="413"/>
        <v>0</v>
      </c>
      <c r="M475" s="683">
        <f t="shared" si="406"/>
        <v>0</v>
      </c>
      <c r="N475" s="470">
        <f t="shared" si="407"/>
        <v>45</v>
      </c>
      <c r="O475" s="468">
        <f t="shared" si="408"/>
        <v>2061</v>
      </c>
      <c r="P475" s="471">
        <f t="shared" si="414"/>
        <v>87648480</v>
      </c>
      <c r="Q475" s="472">
        <f t="shared" si="409"/>
        <v>87648480</v>
      </c>
      <c r="R475" s="472">
        <f t="shared" si="410"/>
        <v>1947744</v>
      </c>
      <c r="S475" s="634">
        <f t="shared" si="400"/>
        <v>2017</v>
      </c>
      <c r="T475" s="470">
        <f t="shared" si="415"/>
        <v>1</v>
      </c>
      <c r="U475" s="612">
        <f t="shared" si="401"/>
        <v>1947744</v>
      </c>
      <c r="V475" s="464">
        <f t="shared" si="411"/>
        <v>2017</v>
      </c>
      <c r="W475" s="612">
        <f t="shared" si="412"/>
        <v>85700736</v>
      </c>
      <c r="X475" s="561"/>
      <c r="Y475" s="449"/>
      <c r="Z475" s="449"/>
      <c r="AA475" s="475" t="s">
        <v>4183</v>
      </c>
      <c r="AB475" s="476"/>
      <c r="AC475" s="476"/>
      <c r="AD475" s="567">
        <f>AD474-W479</f>
        <v>0</v>
      </c>
      <c r="AE475" s="452"/>
      <c r="AF475" s="571"/>
      <c r="AG475" s="452"/>
      <c r="AH475" s="452"/>
      <c r="AI475" s="453"/>
      <c r="AJ475" s="449"/>
      <c r="AK475" s="453"/>
      <c r="AL475" s="454"/>
      <c r="AM475" s="455"/>
      <c r="AN475" s="456"/>
      <c r="AO475" s="455"/>
      <c r="AP475" s="452"/>
      <c r="AQ475" s="457"/>
      <c r="AR475" s="449"/>
      <c r="AS475" s="449"/>
      <c r="AT475" s="452"/>
      <c r="AU475" s="457"/>
      <c r="AV475" s="449"/>
      <c r="AW475" s="458"/>
      <c r="AX475" s="452"/>
      <c r="AY475" s="457"/>
      <c r="AZ475" s="449"/>
      <c r="BA475" s="459"/>
      <c r="BB475" s="455"/>
      <c r="BC475" s="460"/>
      <c r="BD475" s="460"/>
      <c r="BG475" s="462"/>
    </row>
    <row r="476" spans="1:59" s="486" customFormat="1" ht="18" customHeight="1" x14ac:dyDescent="0.2">
      <c r="A476" s="461" t="str">
        <f t="shared" si="402"/>
        <v>STADION MINI KENEGERIAN KARI2018</v>
      </c>
      <c r="B476" s="708"/>
      <c r="C476" s="463"/>
      <c r="D476" s="489"/>
      <c r="E476" s="465"/>
      <c r="F476" s="559">
        <v>2018</v>
      </c>
      <c r="G476" s="619">
        <v>0</v>
      </c>
      <c r="H476" s="464">
        <f t="shared" si="403"/>
        <v>44</v>
      </c>
      <c r="I476" s="560"/>
      <c r="J476" s="468">
        <f t="shared" si="404"/>
        <v>2061</v>
      </c>
      <c r="K476" s="490">
        <f t="shared" si="405"/>
        <v>0</v>
      </c>
      <c r="L476" s="469">
        <f t="shared" si="413"/>
        <v>0</v>
      </c>
      <c r="M476" s="683">
        <f t="shared" si="406"/>
        <v>0</v>
      </c>
      <c r="N476" s="470">
        <f t="shared" si="407"/>
        <v>44</v>
      </c>
      <c r="O476" s="468">
        <f t="shared" si="408"/>
        <v>2061</v>
      </c>
      <c r="P476" s="471">
        <f t="shared" si="414"/>
        <v>85700736</v>
      </c>
      <c r="Q476" s="472">
        <f t="shared" si="409"/>
        <v>85700736</v>
      </c>
      <c r="R476" s="472">
        <f t="shared" si="410"/>
        <v>1947744</v>
      </c>
      <c r="S476" s="634">
        <f t="shared" si="400"/>
        <v>2018</v>
      </c>
      <c r="T476" s="470">
        <f t="shared" si="415"/>
        <v>1</v>
      </c>
      <c r="U476" s="612">
        <f t="shared" si="401"/>
        <v>1947744</v>
      </c>
      <c r="V476" s="464">
        <f t="shared" si="411"/>
        <v>2018</v>
      </c>
      <c r="W476" s="612">
        <f t="shared" si="412"/>
        <v>83752992</v>
      </c>
      <c r="X476" s="561"/>
      <c r="Y476" s="474"/>
      <c r="Z476" s="449"/>
      <c r="AA476" s="495"/>
      <c r="AB476" s="496"/>
      <c r="AC476" s="496"/>
      <c r="AD476" s="569"/>
      <c r="AE476" s="476"/>
      <c r="AF476" s="568"/>
      <c r="AG476" s="476"/>
      <c r="AH476" s="476"/>
      <c r="AI476" s="477"/>
      <c r="AJ476" s="478"/>
      <c r="AK476" s="479"/>
      <c r="AL476" s="480"/>
      <c r="AM476" s="474"/>
      <c r="AN476" s="481"/>
      <c r="AO476" s="474"/>
      <c r="AP476" s="476"/>
      <c r="AQ476" s="482"/>
      <c r="AR476" s="478"/>
      <c r="AS476" s="478"/>
      <c r="AT476" s="476"/>
      <c r="AU476" s="482"/>
      <c r="AV476" s="478"/>
      <c r="AW476" s="483"/>
      <c r="AX476" s="476"/>
      <c r="AY476" s="482"/>
      <c r="AZ476" s="478"/>
      <c r="BA476" s="484"/>
      <c r="BB476" s="474"/>
      <c r="BC476" s="485"/>
      <c r="BD476" s="485"/>
      <c r="BG476" s="487"/>
    </row>
    <row r="477" spans="1:59" s="486" customFormat="1" ht="18" customHeight="1" x14ac:dyDescent="0.2">
      <c r="A477" s="461" t="str">
        <f t="shared" si="402"/>
        <v>STADION MINI KENEGERIAN KARI2019</v>
      </c>
      <c r="B477" s="708"/>
      <c r="C477" s="488"/>
      <c r="D477" s="489"/>
      <c r="E477" s="465"/>
      <c r="F477" s="559">
        <v>2019</v>
      </c>
      <c r="G477" s="619">
        <v>0</v>
      </c>
      <c r="H477" s="464">
        <f>IF(N476-(F477-F476)&lt;=0,0,(N476-(F477-F476)))</f>
        <v>43</v>
      </c>
      <c r="I477" s="560"/>
      <c r="J477" s="468">
        <f>(F477+N477)-1</f>
        <v>2061</v>
      </c>
      <c r="K477" s="490">
        <f>IF(G477=0,0,IF(H477=50,100%,G477/W476))</f>
        <v>0</v>
      </c>
      <c r="L477" s="469">
        <f>IF(K477=0%,0,IF(K477&lt;=25%,5,IF(K477&lt;=50%,10,IF(K477&lt;=75%,15,50))))</f>
        <v>0</v>
      </c>
      <c r="M477" s="683">
        <f>IF(OR(AND(ISBLANK(E477),ISBLANK(G477)),ISTEXT(E477),ISTEXT(G477)),"",IF(H477+L477&gt;$H$27,$H$27-H477,L477))</f>
        <v>0</v>
      </c>
      <c r="N477" s="470">
        <f>IF(OR(AND(ISBLANK(F477),ISBLANK(G477)),ISTEXT(F477),ISTEXT(G477)),"",H477+M477)</f>
        <v>43</v>
      </c>
      <c r="O477" s="468">
        <f>(F477+N477)-1</f>
        <v>2061</v>
      </c>
      <c r="P477" s="471">
        <f>W476</f>
        <v>83752992</v>
      </c>
      <c r="Q477" s="472">
        <f>P477+G477</f>
        <v>83752992</v>
      </c>
      <c r="R477" s="472">
        <f>IF(L477=0,R476,Q477/N477)</f>
        <v>1947744</v>
      </c>
      <c r="S477" s="1189">
        <f>F477</f>
        <v>2019</v>
      </c>
      <c r="T477" s="470">
        <f>S477-S476</f>
        <v>1</v>
      </c>
      <c r="U477" s="612">
        <f>R477*T477</f>
        <v>1947744</v>
      </c>
      <c r="V477" s="464">
        <f>F477</f>
        <v>2019</v>
      </c>
      <c r="W477" s="612">
        <f>IF(OR(AND(ISBLANK(E477),ISBLANK(G477)),ISTEXT(E477),ISTEXT(G477)),"",Q477-U477)</f>
        <v>81805248</v>
      </c>
      <c r="X477" s="473"/>
      <c r="Y477" s="478"/>
      <c r="Z477" s="449"/>
      <c r="AA477" s="699"/>
      <c r="AB477" s="700"/>
      <c r="AC477" s="700"/>
      <c r="AD477" s="701"/>
      <c r="AE477" s="491"/>
      <c r="AF477" s="568"/>
      <c r="AG477" s="491"/>
      <c r="AH477" s="491"/>
      <c r="AI477" s="477"/>
      <c r="AJ477" s="478"/>
      <c r="AK477" s="479"/>
      <c r="AL477" s="480"/>
      <c r="AM477" s="474"/>
      <c r="AN477" s="481"/>
      <c r="AO477" s="474"/>
      <c r="AP477" s="476"/>
      <c r="AQ477" s="482"/>
      <c r="AR477" s="478"/>
      <c r="AS477" s="478"/>
      <c r="AT477" s="476"/>
      <c r="AU477" s="482"/>
      <c r="AV477" s="478"/>
      <c r="AW477" s="483"/>
      <c r="AX477" s="476"/>
      <c r="AY477" s="482"/>
      <c r="AZ477" s="478"/>
      <c r="BA477" s="484"/>
      <c r="BB477" s="474"/>
      <c r="BC477" s="485"/>
      <c r="BD477" s="485"/>
      <c r="BG477" s="487"/>
    </row>
    <row r="478" spans="1:59" s="486" customFormat="1" ht="18" customHeight="1" x14ac:dyDescent="0.2">
      <c r="B478" s="687"/>
      <c r="C478" s="494"/>
      <c r="D478" s="464"/>
      <c r="E478" s="465"/>
      <c r="F478" s="466"/>
      <c r="G478" s="620"/>
      <c r="H478" s="464"/>
      <c r="I478" s="467"/>
      <c r="J478" s="468"/>
      <c r="K478" s="490"/>
      <c r="L478" s="469"/>
      <c r="M478" s="683"/>
      <c r="N478" s="470"/>
      <c r="O478" s="468"/>
      <c r="P478" s="471"/>
      <c r="Q478" s="472"/>
      <c r="R478" s="472"/>
      <c r="S478" s="634"/>
      <c r="T478" s="470"/>
      <c r="U478" s="612"/>
      <c r="V478" s="464"/>
      <c r="W478" s="612"/>
      <c r="X478" s="473"/>
      <c r="Y478" s="478"/>
      <c r="Z478" s="449"/>
      <c r="AA478" s="497"/>
      <c r="AB478" s="476"/>
      <c r="AC478" s="476"/>
      <c r="AD478" s="568"/>
      <c r="AE478" s="476"/>
      <c r="AF478" s="568"/>
      <c r="AG478" s="476"/>
      <c r="AH478" s="476"/>
      <c r="AI478" s="477"/>
      <c r="AJ478" s="478"/>
      <c r="AK478" s="479"/>
      <c r="AL478" s="480"/>
      <c r="AM478" s="474"/>
      <c r="AN478" s="481"/>
      <c r="AO478" s="474"/>
      <c r="AP478" s="476"/>
      <c r="AQ478" s="482"/>
      <c r="AR478" s="478"/>
      <c r="AS478" s="478"/>
      <c r="AT478" s="476"/>
      <c r="AU478" s="482"/>
      <c r="AV478" s="478"/>
      <c r="AW478" s="483"/>
      <c r="AX478" s="476"/>
      <c r="AY478" s="482"/>
      <c r="AZ478" s="478"/>
      <c r="BA478" s="484"/>
      <c r="BB478" s="474"/>
      <c r="BC478" s="485"/>
      <c r="BD478" s="485"/>
      <c r="BG478" s="487"/>
    </row>
    <row r="479" spans="1:59" s="526" customFormat="1" ht="18" customHeight="1" x14ac:dyDescent="0.2">
      <c r="B479" s="1956" t="s">
        <v>4184</v>
      </c>
      <c r="C479" s="1957"/>
      <c r="D479" s="1957"/>
      <c r="E479" s="1957"/>
      <c r="F479" s="1958"/>
      <c r="G479" s="621">
        <f>SUM(G469:G478)</f>
        <v>97387200</v>
      </c>
      <c r="H479" s="505"/>
      <c r="I479" s="506"/>
      <c r="J479" s="507"/>
      <c r="K479" s="507"/>
      <c r="L479" s="505"/>
      <c r="M479" s="684"/>
      <c r="N479" s="508"/>
      <c r="O479" s="507"/>
      <c r="P479" s="509"/>
      <c r="Q479" s="510"/>
      <c r="R479" s="511"/>
      <c r="S479" s="512"/>
      <c r="T479" s="512"/>
      <c r="U479" s="610">
        <f>SUM(U469:U478)</f>
        <v>15581952</v>
      </c>
      <c r="V479" s="513"/>
      <c r="W479" s="610">
        <f>G479-U479</f>
        <v>81805248</v>
      </c>
      <c r="X479" s="514"/>
      <c r="Y479" s="515"/>
      <c r="Z479" s="515"/>
      <c r="AA479" s="515"/>
      <c r="AB479" s="515"/>
      <c r="AC479" s="515"/>
      <c r="AD479" s="570"/>
      <c r="AE479" s="515"/>
      <c r="AF479" s="570"/>
      <c r="AG479" s="515"/>
      <c r="AH479" s="515"/>
      <c r="AI479" s="516"/>
      <c r="AJ479" s="517"/>
      <c r="AK479" s="518"/>
      <c r="AL479" s="519"/>
      <c r="AM479" s="520"/>
      <c r="AN479" s="521"/>
      <c r="AO479" s="520"/>
      <c r="AP479" s="515"/>
      <c r="AQ479" s="522"/>
      <c r="AR479" s="517"/>
      <c r="AS479" s="517"/>
      <c r="AT479" s="515"/>
      <c r="AU479" s="522"/>
      <c r="AV479" s="517"/>
      <c r="AW479" s="523"/>
      <c r="AX479" s="515"/>
      <c r="AY479" s="522"/>
      <c r="AZ479" s="517"/>
      <c r="BA479" s="524"/>
      <c r="BB479" s="520"/>
      <c r="BC479" s="525"/>
      <c r="BD479" s="525"/>
      <c r="BG479" s="527"/>
    </row>
    <row r="480" spans="1:59" s="526" customFormat="1" ht="18" customHeight="1" x14ac:dyDescent="0.2">
      <c r="B480" s="741"/>
      <c r="C480" s="698"/>
      <c r="D480" s="698"/>
      <c r="E480" s="698"/>
      <c r="F480" s="585"/>
      <c r="G480" s="622"/>
      <c r="H480" s="586"/>
      <c r="I480" s="587"/>
      <c r="J480" s="588"/>
      <c r="K480" s="588"/>
      <c r="L480" s="586"/>
      <c r="M480" s="521"/>
      <c r="N480" s="589"/>
      <c r="O480" s="588"/>
      <c r="P480" s="590"/>
      <c r="Q480" s="591"/>
      <c r="R480" s="592"/>
      <c r="S480" s="593"/>
      <c r="T480" s="593"/>
      <c r="U480" s="570"/>
      <c r="V480" s="594"/>
      <c r="W480" s="570"/>
      <c r="X480" s="515"/>
      <c r="Y480" s="515"/>
      <c r="Z480" s="515"/>
      <c r="AA480" s="515"/>
      <c r="AB480" s="515"/>
      <c r="AC480" s="515"/>
      <c r="AD480" s="570"/>
      <c r="AE480" s="515"/>
      <c r="AF480" s="570"/>
      <c r="AG480" s="515"/>
      <c r="AH480" s="515"/>
      <c r="AI480" s="516"/>
      <c r="AJ480" s="517"/>
      <c r="AK480" s="518"/>
      <c r="AL480" s="519"/>
      <c r="AM480" s="520"/>
      <c r="AN480" s="521"/>
      <c r="AO480" s="520"/>
      <c r="AP480" s="515"/>
      <c r="AQ480" s="522"/>
      <c r="AR480" s="517"/>
      <c r="AS480" s="517"/>
      <c r="AT480" s="515"/>
      <c r="AU480" s="522"/>
      <c r="AV480" s="517"/>
      <c r="AW480" s="523"/>
      <c r="AX480" s="515"/>
      <c r="AY480" s="522"/>
      <c r="AZ480" s="517"/>
      <c r="BA480" s="524"/>
      <c r="BB480" s="520"/>
      <c r="BC480" s="525"/>
      <c r="BD480" s="525"/>
      <c r="BG480" s="527"/>
    </row>
    <row r="481" spans="1:59" s="526" customFormat="1" ht="18" customHeight="1" x14ac:dyDescent="0.2">
      <c r="B481" s="575"/>
      <c r="C481" s="585"/>
      <c r="D481" s="585"/>
      <c r="E481" s="585"/>
      <c r="F481" s="585"/>
      <c r="G481" s="622"/>
      <c r="H481" s="586"/>
      <c r="I481" s="587"/>
      <c r="J481" s="588"/>
      <c r="K481" s="588"/>
      <c r="L481" s="586"/>
      <c r="M481" s="521"/>
      <c r="N481" s="589"/>
      <c r="O481" s="588"/>
      <c r="P481" s="590"/>
      <c r="Q481" s="591"/>
      <c r="R481" s="592"/>
      <c r="S481" s="593"/>
      <c r="T481" s="593"/>
      <c r="U481" s="570"/>
      <c r="V481" s="594"/>
      <c r="W481" s="570"/>
      <c r="X481" s="515"/>
      <c r="Y481" s="515"/>
      <c r="Z481" s="515"/>
      <c r="AA481" s="515"/>
      <c r="AB481" s="515"/>
      <c r="AC481" s="515"/>
      <c r="AD481" s="570"/>
      <c r="AE481" s="515"/>
      <c r="AF481" s="570"/>
      <c r="AG481" s="515"/>
      <c r="AH481" s="515"/>
      <c r="AI481" s="516"/>
      <c r="AJ481" s="517"/>
      <c r="AK481" s="518"/>
      <c r="AL481" s="519"/>
      <c r="AM481" s="520"/>
      <c r="AN481" s="521"/>
      <c r="AO481" s="520"/>
      <c r="AP481" s="515"/>
      <c r="AQ481" s="522"/>
      <c r="AR481" s="517"/>
      <c r="AS481" s="517"/>
      <c r="AT481" s="515"/>
      <c r="AU481" s="522"/>
      <c r="AV481" s="517"/>
      <c r="AW481" s="523"/>
      <c r="AX481" s="515"/>
      <c r="AY481" s="522"/>
      <c r="AZ481" s="517"/>
      <c r="BA481" s="524"/>
      <c r="BB481" s="520"/>
      <c r="BC481" s="525"/>
      <c r="BD481" s="525"/>
      <c r="BG481" s="527"/>
    </row>
    <row r="482" spans="1:59" s="526" customFormat="1" ht="18" customHeight="1" x14ac:dyDescent="0.2">
      <c r="B482" s="575"/>
      <c r="C482" s="585"/>
      <c r="D482" s="585"/>
      <c r="E482" s="585"/>
      <c r="F482" s="585"/>
      <c r="G482" s="622"/>
      <c r="H482" s="586"/>
      <c r="I482" s="587"/>
      <c r="J482" s="588"/>
      <c r="K482" s="588"/>
      <c r="L482" s="586"/>
      <c r="M482" s="521"/>
      <c r="N482" s="589"/>
      <c r="O482" s="588"/>
      <c r="P482" s="590"/>
      <c r="Q482" s="591"/>
      <c r="R482" s="592"/>
      <c r="S482" s="593"/>
      <c r="T482" s="593"/>
      <c r="U482" s="570"/>
      <c r="V482" s="594"/>
      <c r="W482" s="570"/>
      <c r="X482" s="515"/>
      <c r="Y482" s="515"/>
      <c r="Z482" s="515"/>
      <c r="AA482" s="515"/>
      <c r="AB482" s="515"/>
      <c r="AC482" s="515"/>
      <c r="AD482" s="570"/>
      <c r="AE482" s="515"/>
      <c r="AF482" s="570"/>
      <c r="AG482" s="515"/>
      <c r="AH482" s="515"/>
      <c r="AI482" s="516"/>
      <c r="AJ482" s="517"/>
      <c r="AK482" s="518"/>
      <c r="AL482" s="519"/>
      <c r="AM482" s="520"/>
      <c r="AN482" s="521"/>
      <c r="AO482" s="520"/>
      <c r="AP482" s="515"/>
      <c r="AQ482" s="522"/>
      <c r="AR482" s="517"/>
      <c r="AS482" s="517"/>
      <c r="AT482" s="515"/>
      <c r="AU482" s="522"/>
      <c r="AV482" s="517"/>
      <c r="AW482" s="523"/>
      <c r="AX482" s="515"/>
      <c r="AY482" s="522"/>
      <c r="AZ482" s="517"/>
      <c r="BA482" s="524"/>
      <c r="BB482" s="520"/>
      <c r="BC482" s="525"/>
      <c r="BD482" s="525"/>
      <c r="BG482" s="527"/>
    </row>
    <row r="483" spans="1:59" s="422" customFormat="1" ht="18" customHeight="1" x14ac:dyDescent="0.2">
      <c r="B483" s="688" t="s">
        <v>4225</v>
      </c>
      <c r="C483" s="556"/>
      <c r="D483" s="553" t="s">
        <v>2984</v>
      </c>
      <c r="E483" s="553"/>
      <c r="F483" s="421"/>
      <c r="G483" s="611"/>
      <c r="I483" s="423"/>
      <c r="J483" s="424"/>
      <c r="K483" s="424"/>
      <c r="M483" s="680"/>
      <c r="U483" s="611"/>
      <c r="W483" s="611"/>
      <c r="Y483" s="425"/>
      <c r="Z483" s="425"/>
      <c r="AA483" s="425"/>
      <c r="AB483" s="425"/>
      <c r="AC483" s="425"/>
      <c r="AD483" s="563"/>
      <c r="AE483" s="425"/>
      <c r="AF483" s="563"/>
      <c r="AG483" s="425"/>
      <c r="AH483" s="425"/>
      <c r="AI483" s="425"/>
      <c r="AJ483" s="425"/>
      <c r="AK483" s="425"/>
      <c r="AL483" s="425"/>
      <c r="AM483" s="425"/>
      <c r="AN483" s="425"/>
      <c r="AO483" s="425"/>
      <c r="AP483" s="425"/>
      <c r="AQ483" s="425"/>
      <c r="AR483" s="425"/>
      <c r="AS483" s="425"/>
      <c r="AT483" s="425"/>
      <c r="AU483" s="425"/>
      <c r="AV483" s="425"/>
      <c r="AW483" s="425"/>
      <c r="AX483" s="425"/>
      <c r="AY483" s="425"/>
      <c r="AZ483" s="425"/>
      <c r="BA483" s="425"/>
      <c r="BB483" s="425"/>
    </row>
    <row r="484" spans="1:59" s="431" customFormat="1" ht="18" customHeight="1" x14ac:dyDescent="0.2">
      <c r="B484" s="1968" t="s">
        <v>5</v>
      </c>
      <c r="C484" s="1968" t="s">
        <v>2280</v>
      </c>
      <c r="D484" s="1968" t="s">
        <v>4157</v>
      </c>
      <c r="E484" s="1968" t="s">
        <v>4158</v>
      </c>
      <c r="F484" s="1968"/>
      <c r="G484" s="1969" t="s">
        <v>4159</v>
      </c>
      <c r="H484" s="1355" t="s">
        <v>4160</v>
      </c>
      <c r="I484" s="1355"/>
      <c r="J484" s="1968" t="s">
        <v>4161</v>
      </c>
      <c r="K484" s="1964" t="s">
        <v>4162</v>
      </c>
      <c r="L484" s="1968" t="s">
        <v>4163</v>
      </c>
      <c r="M484" s="1971" t="s">
        <v>4164</v>
      </c>
      <c r="N484" s="1962" t="s">
        <v>4165</v>
      </c>
      <c r="O484" s="1968" t="s">
        <v>4166</v>
      </c>
      <c r="P484" s="1972" t="s">
        <v>4167</v>
      </c>
      <c r="Q484" s="1973"/>
      <c r="R484" s="636" t="s">
        <v>4168</v>
      </c>
      <c r="S484" s="1972" t="s">
        <v>4169</v>
      </c>
      <c r="T484" s="1974"/>
      <c r="U484" s="1973"/>
      <c r="V484" s="1975" t="s">
        <v>4170</v>
      </c>
      <c r="W484" s="1975"/>
      <c r="X484" s="1960" t="s">
        <v>4171</v>
      </c>
      <c r="Y484" s="1959"/>
      <c r="Z484" s="633"/>
      <c r="AA484" s="426"/>
      <c r="AB484" s="426"/>
      <c r="AC484" s="426"/>
      <c r="AD484" s="564"/>
      <c r="AE484" s="426"/>
      <c r="AF484" s="564"/>
      <c r="AG484" s="426"/>
      <c r="AH484" s="426"/>
      <c r="AI484" s="427"/>
      <c r="AJ484" s="427"/>
      <c r="AK484" s="427"/>
      <c r="AL484" s="427"/>
      <c r="AM484" s="428"/>
      <c r="AN484" s="427"/>
      <c r="AO484" s="427"/>
      <c r="AP484" s="426"/>
      <c r="AQ484" s="427"/>
      <c r="AR484" s="427"/>
      <c r="AS484" s="427"/>
      <c r="AT484" s="426"/>
      <c r="AU484" s="427"/>
      <c r="AV484" s="427"/>
      <c r="AW484" s="427"/>
      <c r="AX484" s="426"/>
      <c r="AY484" s="427"/>
      <c r="AZ484" s="427"/>
      <c r="BA484" s="427"/>
      <c r="BB484" s="429"/>
      <c r="BC484" s="430"/>
      <c r="BD484" s="430"/>
    </row>
    <row r="485" spans="1:59" s="431" customFormat="1" ht="18" customHeight="1" x14ac:dyDescent="0.2">
      <c r="B485" s="1968"/>
      <c r="C485" s="1968"/>
      <c r="D485" s="1968"/>
      <c r="E485" s="1968"/>
      <c r="F485" s="1968"/>
      <c r="G485" s="1969"/>
      <c r="H485" s="1355"/>
      <c r="I485" s="1355"/>
      <c r="J485" s="1968"/>
      <c r="K485" s="1970"/>
      <c r="L485" s="1968"/>
      <c r="M485" s="1971"/>
      <c r="N485" s="1963"/>
      <c r="O485" s="1968"/>
      <c r="P485" s="1960" t="s">
        <v>4172</v>
      </c>
      <c r="Q485" s="1960" t="s">
        <v>4173</v>
      </c>
      <c r="R485" s="1962" t="s">
        <v>4159</v>
      </c>
      <c r="S485" s="1962" t="s">
        <v>4174</v>
      </c>
      <c r="T485" s="1964" t="s">
        <v>4175</v>
      </c>
      <c r="U485" s="1966" t="s">
        <v>4159</v>
      </c>
      <c r="V485" s="1975"/>
      <c r="W485" s="1975"/>
      <c r="X485" s="1976"/>
      <c r="Y485" s="1959"/>
      <c r="Z485" s="633"/>
      <c r="AA485" s="426"/>
      <c r="AB485" s="426"/>
      <c r="AC485" s="426"/>
      <c r="AD485" s="564"/>
      <c r="AE485" s="426"/>
      <c r="AF485" s="564"/>
      <c r="AG485" s="426"/>
      <c r="AH485" s="426"/>
      <c r="AI485" s="427"/>
      <c r="AJ485" s="427"/>
      <c r="AK485" s="426"/>
      <c r="AL485" s="427"/>
      <c r="AM485" s="428"/>
      <c r="AN485" s="427"/>
      <c r="AO485" s="427"/>
      <c r="AP485" s="432"/>
      <c r="AQ485" s="427"/>
      <c r="AR485" s="427"/>
      <c r="AS485" s="427"/>
      <c r="AT485" s="432"/>
      <c r="AU485" s="427"/>
      <c r="AV485" s="427"/>
      <c r="AW485" s="427"/>
      <c r="AX485" s="432"/>
      <c r="AY485" s="427"/>
      <c r="AZ485" s="427"/>
      <c r="BA485" s="427"/>
      <c r="BB485" s="429"/>
      <c r="BC485" s="430"/>
      <c r="BD485" s="430"/>
    </row>
    <row r="486" spans="1:59" s="431" customFormat="1" ht="21.75" customHeight="1" x14ac:dyDescent="0.2">
      <c r="B486" s="1968"/>
      <c r="C486" s="1968"/>
      <c r="D486" s="1968"/>
      <c r="E486" s="433" t="s">
        <v>4176</v>
      </c>
      <c r="F486" s="434" t="s">
        <v>2288</v>
      </c>
      <c r="G486" s="1969"/>
      <c r="H486" s="1355" t="s">
        <v>2288</v>
      </c>
      <c r="I486" s="1355" t="s">
        <v>4177</v>
      </c>
      <c r="J486" s="1968"/>
      <c r="K486" s="1965"/>
      <c r="L486" s="435" t="s">
        <v>2288</v>
      </c>
      <c r="M486" s="681" t="s">
        <v>2288</v>
      </c>
      <c r="N486" s="635" t="s">
        <v>2288</v>
      </c>
      <c r="O486" s="1968"/>
      <c r="P486" s="1961"/>
      <c r="Q486" s="1961"/>
      <c r="R486" s="1963"/>
      <c r="S486" s="1963"/>
      <c r="T486" s="1965"/>
      <c r="U486" s="1967"/>
      <c r="V486" s="635" t="s">
        <v>4178</v>
      </c>
      <c r="W486" s="637" t="s">
        <v>4159</v>
      </c>
      <c r="X486" s="1961"/>
      <c r="Y486" s="436"/>
      <c r="Z486" s="436"/>
      <c r="AA486" s="426"/>
      <c r="AB486" s="426"/>
      <c r="AC486" s="426"/>
      <c r="AD486" s="564"/>
      <c r="AE486" s="426"/>
      <c r="AF486" s="564"/>
      <c r="AG486" s="426"/>
      <c r="AH486" s="426"/>
      <c r="AI486" s="427"/>
      <c r="AJ486" s="432"/>
      <c r="AK486" s="432"/>
      <c r="AL486" s="427"/>
      <c r="AM486" s="428"/>
      <c r="AN486" s="432"/>
      <c r="AO486" s="427"/>
      <c r="AP486" s="432"/>
      <c r="AQ486" s="432"/>
      <c r="AR486" s="427"/>
      <c r="AS486" s="427"/>
      <c r="AT486" s="432"/>
      <c r="AU486" s="432"/>
      <c r="AV486" s="427"/>
      <c r="AW486" s="427"/>
      <c r="AX486" s="432"/>
      <c r="AY486" s="432"/>
      <c r="AZ486" s="427"/>
      <c r="BA486" s="427"/>
      <c r="BB486" s="429"/>
      <c r="BC486" s="430"/>
      <c r="BD486" s="430"/>
    </row>
    <row r="487" spans="1:59" s="461" customFormat="1" ht="18" customHeight="1" x14ac:dyDescent="0.2">
      <c r="A487" s="461" t="str">
        <f>$D$483&amp;S487</f>
        <v>TANGGA PEMANDIAN DAN PELATARAN DESA SUMPU2013</v>
      </c>
      <c r="B487" s="689">
        <v>1</v>
      </c>
      <c r="C487" s="597" t="s">
        <v>4224</v>
      </c>
      <c r="D487" s="597" t="s">
        <v>1752</v>
      </c>
      <c r="E487" s="598"/>
      <c r="F487" s="599">
        <v>2013</v>
      </c>
      <c r="G487" s="626">
        <v>234739190.51406699</v>
      </c>
      <c r="H487" s="600">
        <f>VLOOKUP(LEFT(D487,8),UE,4)</f>
        <v>50</v>
      </c>
      <c r="I487" s="601"/>
      <c r="J487" s="602">
        <f>(F487+N487)-1</f>
        <v>2062</v>
      </c>
      <c r="K487" s="603"/>
      <c r="L487" s="600"/>
      <c r="M487" s="685">
        <f>IF(H487+L487&gt;$H487,$H487-H487,L487)</f>
        <v>0</v>
      </c>
      <c r="N487" s="604">
        <f>H487+M487</f>
        <v>50</v>
      </c>
      <c r="O487" s="602">
        <f>(F487+N487)-1</f>
        <v>2062</v>
      </c>
      <c r="P487" s="605">
        <f>G487</f>
        <v>234739190.51406699</v>
      </c>
      <c r="Q487" s="606">
        <v>0</v>
      </c>
      <c r="R487" s="606">
        <f>P487/N487</f>
        <v>4694783.81028134</v>
      </c>
      <c r="S487" s="607">
        <f t="shared" ref="S487:S494" si="416">F487</f>
        <v>2013</v>
      </c>
      <c r="T487" s="608">
        <v>1</v>
      </c>
      <c r="U487" s="615">
        <f t="shared" ref="U487:U494" si="417">R487*T487</f>
        <v>4694783.81028134</v>
      </c>
      <c r="V487" s="602">
        <f>F487</f>
        <v>2013</v>
      </c>
      <c r="W487" s="618">
        <f>IF(OR(AND(ISBLANK(E487),ISBLANK(G487)),ISTEXT(E487),ISTEXT(G487)),"",G487-R487)</f>
        <v>230044406.70378566</v>
      </c>
      <c r="X487" s="609"/>
      <c r="Y487" s="449"/>
      <c r="Z487" s="449"/>
      <c r="AA487" s="694"/>
      <c r="AB487" s="692"/>
      <c r="AC487" s="692"/>
      <c r="AD487" s="695"/>
      <c r="AE487" s="452"/>
      <c r="AF487" s="571"/>
      <c r="AG487" s="452"/>
      <c r="AH487" s="452"/>
      <c r="AI487" s="453"/>
      <c r="AJ487" s="449"/>
      <c r="AK487" s="453"/>
      <c r="AL487" s="454"/>
      <c r="AM487" s="455"/>
      <c r="AN487" s="456"/>
      <c r="AO487" s="455"/>
      <c r="AP487" s="452"/>
      <c r="AQ487" s="457"/>
      <c r="AR487" s="449"/>
      <c r="AS487" s="449"/>
      <c r="AT487" s="452"/>
      <c r="AU487" s="457"/>
      <c r="AV487" s="449"/>
      <c r="AW487" s="458"/>
      <c r="AX487" s="452"/>
      <c r="AY487" s="457"/>
      <c r="AZ487" s="449"/>
      <c r="BA487" s="459"/>
      <c r="BB487" s="455"/>
      <c r="BC487" s="460"/>
      <c r="BD487" s="460"/>
      <c r="BG487" s="462"/>
    </row>
    <row r="488" spans="1:59" s="461" customFormat="1" ht="18" customHeight="1" x14ac:dyDescent="0.2">
      <c r="A488" s="461" t="str">
        <f t="shared" ref="A488:A495" si="418">$D$483&amp;S488</f>
        <v>TANGGA PEMANDIAN DAN PELATARAN DESA SUMPU2013</v>
      </c>
      <c r="B488" s="708">
        <v>2</v>
      </c>
      <c r="C488" s="489" t="s">
        <v>2779</v>
      </c>
      <c r="D488" s="489" t="s">
        <v>1752</v>
      </c>
      <c r="E488" s="558"/>
      <c r="F488" s="559">
        <v>2013</v>
      </c>
      <c r="G488" s="619">
        <v>0</v>
      </c>
      <c r="H488" s="464">
        <f t="shared" ref="H488:H494" si="419">IF(N487-(F488-F487)&lt;=0,0,(N487-(F488-F487)))</f>
        <v>50</v>
      </c>
      <c r="I488" s="560"/>
      <c r="J488" s="468">
        <f t="shared" ref="J488:J494" si="420">(F488+N488)-1</f>
        <v>2062</v>
      </c>
      <c r="K488" s="490">
        <f t="shared" ref="K488:K494" si="421">IF(G488=0,0,IF(H488=50,100%,G488/W487))</f>
        <v>0</v>
      </c>
      <c r="L488" s="469">
        <f>IF(K488=0%,0,IF(K488&lt;=25%,5,IF(K488&lt;=50%,10,IF(K488&lt;=75%,15,50))))</f>
        <v>0</v>
      </c>
      <c r="M488" s="683">
        <f t="shared" ref="M488:M494" si="422">IF(OR(AND(ISBLANK(E488),ISBLANK(G488)),ISTEXT(E488),ISTEXT(G488)),"",IF(H488+L488&gt;$H$27,$H$27-H488,L488))</f>
        <v>0</v>
      </c>
      <c r="N488" s="470">
        <f t="shared" ref="N488:N494" si="423">IF(OR(AND(ISBLANK(F488),ISBLANK(G488)),ISTEXT(F488),ISTEXT(G488)),"",H488+M488)</f>
        <v>50</v>
      </c>
      <c r="O488" s="468">
        <f t="shared" ref="O488:O494" si="424">(F488+N488)-1</f>
        <v>2062</v>
      </c>
      <c r="P488" s="471">
        <f>W487</f>
        <v>230044406.70378566</v>
      </c>
      <c r="Q488" s="472">
        <f t="shared" ref="Q488:Q494" si="425">P488+G488</f>
        <v>230044406.70378566</v>
      </c>
      <c r="R488" s="472">
        <f t="shared" ref="R488:R494" si="426">IF(L488=0,R487,Q488/N488)</f>
        <v>4694783.81028134</v>
      </c>
      <c r="S488" s="634">
        <f t="shared" si="416"/>
        <v>2013</v>
      </c>
      <c r="T488" s="470">
        <f>S488-S487</f>
        <v>0</v>
      </c>
      <c r="U488" s="612">
        <f t="shared" si="417"/>
        <v>0</v>
      </c>
      <c r="V488" s="464">
        <f t="shared" ref="V488:V494" si="427">F488</f>
        <v>2013</v>
      </c>
      <c r="W488" s="612">
        <f t="shared" ref="W488:W494" si="428">IF(OR(AND(ISBLANK(E488),ISBLANK(G488)),ISTEXT(E488),ISTEXT(G488)),"",Q488-U488)</f>
        <v>230044406.70378566</v>
      </c>
      <c r="X488" s="561"/>
      <c r="Y488" s="449"/>
      <c r="Z488" s="449"/>
      <c r="AA488" s="554" t="s">
        <v>4179</v>
      </c>
      <c r="AB488" s="452"/>
      <c r="AC488" s="452"/>
      <c r="AD488" s="566"/>
      <c r="AE488" s="452"/>
      <c r="AF488" s="571"/>
      <c r="AG488" s="452"/>
      <c r="AH488" s="452"/>
      <c r="AI488" s="453"/>
      <c r="AJ488" s="449"/>
      <c r="AK488" s="453"/>
      <c r="AL488" s="454"/>
      <c r="AM488" s="455"/>
      <c r="AN488" s="456"/>
      <c r="AO488" s="455"/>
      <c r="AP488" s="452"/>
      <c r="AQ488" s="457"/>
      <c r="AR488" s="449"/>
      <c r="AS488" s="449"/>
      <c r="AT488" s="452"/>
      <c r="AU488" s="457"/>
      <c r="AV488" s="449"/>
      <c r="AW488" s="458"/>
      <c r="AX488" s="452"/>
      <c r="AY488" s="457"/>
      <c r="AZ488" s="449"/>
      <c r="BA488" s="459"/>
      <c r="BB488" s="455"/>
      <c r="BC488" s="460"/>
      <c r="BD488" s="460"/>
      <c r="BG488" s="462"/>
    </row>
    <row r="489" spans="1:59" s="461" customFormat="1" ht="18" customHeight="1" x14ac:dyDescent="0.2">
      <c r="A489" s="461" t="str">
        <f t="shared" si="418"/>
        <v>TANGGA PEMANDIAN DAN PELATARAN DESA SUMPU2013</v>
      </c>
      <c r="B489" s="708"/>
      <c r="C489" s="489"/>
      <c r="D489" s="489" t="s">
        <v>1752</v>
      </c>
      <c r="E489" s="558"/>
      <c r="F489" s="559">
        <v>2013</v>
      </c>
      <c r="G489" s="619">
        <v>0</v>
      </c>
      <c r="H489" s="464">
        <f t="shared" si="419"/>
        <v>50</v>
      </c>
      <c r="I489" s="560"/>
      <c r="J489" s="468">
        <f t="shared" si="420"/>
        <v>2062</v>
      </c>
      <c r="K489" s="490">
        <f t="shared" si="421"/>
        <v>0</v>
      </c>
      <c r="L489" s="469">
        <f t="shared" ref="L489:L494" si="429">IF(K489=0%,0,IF(K489&lt;=25%,5,IF(K489&lt;=50%,10,IF(K489&lt;=75%,15,50))))</f>
        <v>0</v>
      </c>
      <c r="M489" s="683">
        <f t="shared" si="422"/>
        <v>0</v>
      </c>
      <c r="N489" s="470">
        <f t="shared" si="423"/>
        <v>50</v>
      </c>
      <c r="O489" s="468">
        <f t="shared" si="424"/>
        <v>2062</v>
      </c>
      <c r="P489" s="471">
        <f t="shared" ref="P489:P494" si="430">W488</f>
        <v>230044406.70378566</v>
      </c>
      <c r="Q489" s="472">
        <f t="shared" si="425"/>
        <v>230044406.70378566</v>
      </c>
      <c r="R489" s="472">
        <f t="shared" si="426"/>
        <v>4694783.81028134</v>
      </c>
      <c r="S489" s="634">
        <f t="shared" si="416"/>
        <v>2013</v>
      </c>
      <c r="T489" s="470">
        <f t="shared" ref="T489:T494" si="431">S489-S488</f>
        <v>0</v>
      </c>
      <c r="U489" s="612">
        <f t="shared" si="417"/>
        <v>0</v>
      </c>
      <c r="V489" s="464">
        <f t="shared" si="427"/>
        <v>2013</v>
      </c>
      <c r="W489" s="612">
        <f t="shared" si="428"/>
        <v>230044406.70378566</v>
      </c>
      <c r="X489" s="561"/>
      <c r="Y489" s="449"/>
      <c r="Z489" s="449"/>
      <c r="AA489" s="554"/>
      <c r="AB489" s="452"/>
      <c r="AC489" s="452"/>
      <c r="AD489" s="566"/>
      <c r="AE489" s="452"/>
      <c r="AF489" s="571"/>
      <c r="AG489" s="452"/>
      <c r="AH489" s="452"/>
      <c r="AI489" s="453"/>
      <c r="AJ489" s="449"/>
      <c r="AK489" s="453"/>
      <c r="AL489" s="454"/>
      <c r="AM489" s="455"/>
      <c r="AN489" s="456"/>
      <c r="AO489" s="455"/>
      <c r="AP489" s="452"/>
      <c r="AQ489" s="457"/>
      <c r="AR489" s="449"/>
      <c r="AS489" s="449"/>
      <c r="AT489" s="452"/>
      <c r="AU489" s="457"/>
      <c r="AV489" s="449"/>
      <c r="AW489" s="458"/>
      <c r="AX489" s="452"/>
      <c r="AY489" s="457"/>
      <c r="AZ489" s="449"/>
      <c r="BA489" s="459"/>
      <c r="BB489" s="455"/>
      <c r="BC489" s="460"/>
      <c r="BD489" s="460"/>
      <c r="BG489" s="462"/>
    </row>
    <row r="490" spans="1:59" s="461" customFormat="1" ht="18" customHeight="1" x14ac:dyDescent="0.2">
      <c r="A490" s="461" t="str">
        <f t="shared" si="418"/>
        <v>TANGGA PEMANDIAN DAN PELATARAN DESA SUMPU2014</v>
      </c>
      <c r="B490" s="708"/>
      <c r="C490" s="489"/>
      <c r="D490" s="489" t="s">
        <v>1752</v>
      </c>
      <c r="E490" s="558"/>
      <c r="F490" s="559">
        <v>2014</v>
      </c>
      <c r="G490" s="619">
        <v>0</v>
      </c>
      <c r="H490" s="464">
        <f t="shared" si="419"/>
        <v>49</v>
      </c>
      <c r="I490" s="560"/>
      <c r="J490" s="468">
        <f t="shared" si="420"/>
        <v>2062</v>
      </c>
      <c r="K490" s="490">
        <f t="shared" si="421"/>
        <v>0</v>
      </c>
      <c r="L490" s="469">
        <f t="shared" si="429"/>
        <v>0</v>
      </c>
      <c r="M490" s="683">
        <f t="shared" si="422"/>
        <v>0</v>
      </c>
      <c r="N490" s="470">
        <f t="shared" si="423"/>
        <v>49</v>
      </c>
      <c r="O490" s="468">
        <f t="shared" si="424"/>
        <v>2062</v>
      </c>
      <c r="P490" s="471">
        <f t="shared" si="430"/>
        <v>230044406.70378566</v>
      </c>
      <c r="Q490" s="472">
        <f t="shared" si="425"/>
        <v>230044406.70378566</v>
      </c>
      <c r="R490" s="472">
        <f t="shared" si="426"/>
        <v>4694783.81028134</v>
      </c>
      <c r="S490" s="634">
        <f t="shared" si="416"/>
        <v>2014</v>
      </c>
      <c r="T490" s="470">
        <f t="shared" si="431"/>
        <v>1</v>
      </c>
      <c r="U490" s="612">
        <f t="shared" si="417"/>
        <v>4694783.81028134</v>
      </c>
      <c r="V490" s="464">
        <f t="shared" si="427"/>
        <v>2014</v>
      </c>
      <c r="W490" s="612">
        <f t="shared" si="428"/>
        <v>225349622.89350432</v>
      </c>
      <c r="X490" s="561"/>
      <c r="Y490" s="449"/>
      <c r="Z490" s="449"/>
      <c r="AA490" s="475" t="s">
        <v>4180</v>
      </c>
      <c r="AB490" s="476"/>
      <c r="AC490" s="476"/>
      <c r="AD490" s="567">
        <f>G498</f>
        <v>234739190.51406699</v>
      </c>
      <c r="AE490" s="452"/>
      <c r="AF490" s="571"/>
      <c r="AG490" s="452"/>
      <c r="AH490" s="452"/>
      <c r="AI490" s="453"/>
      <c r="AJ490" s="449"/>
      <c r="AK490" s="453"/>
      <c r="AL490" s="454"/>
      <c r="AM490" s="455"/>
      <c r="AN490" s="456"/>
      <c r="AO490" s="455"/>
      <c r="AP490" s="452"/>
      <c r="AQ490" s="457"/>
      <c r="AR490" s="449"/>
      <c r="AS490" s="449"/>
      <c r="AT490" s="452"/>
      <c r="AU490" s="457"/>
      <c r="AV490" s="449"/>
      <c r="AW490" s="458"/>
      <c r="AX490" s="452"/>
      <c r="AY490" s="457"/>
      <c r="AZ490" s="449"/>
      <c r="BA490" s="459"/>
      <c r="BB490" s="455"/>
      <c r="BC490" s="460"/>
      <c r="BD490" s="460"/>
      <c r="BG490" s="462"/>
    </row>
    <row r="491" spans="1:59" s="461" customFormat="1" ht="18" customHeight="1" x14ac:dyDescent="0.2">
      <c r="A491" s="461" t="str">
        <f t="shared" si="418"/>
        <v>TANGGA PEMANDIAN DAN PELATARAN DESA SUMPU2015</v>
      </c>
      <c r="B491" s="708"/>
      <c r="C491" s="489"/>
      <c r="D491" s="489" t="s">
        <v>1752</v>
      </c>
      <c r="E491" s="558"/>
      <c r="F491" s="559">
        <v>2015</v>
      </c>
      <c r="G491" s="619">
        <v>0</v>
      </c>
      <c r="H491" s="464">
        <f t="shared" si="419"/>
        <v>48</v>
      </c>
      <c r="I491" s="560"/>
      <c r="J491" s="468">
        <f t="shared" si="420"/>
        <v>2062</v>
      </c>
      <c r="K491" s="490">
        <f t="shared" si="421"/>
        <v>0</v>
      </c>
      <c r="L491" s="469">
        <f t="shared" si="429"/>
        <v>0</v>
      </c>
      <c r="M491" s="683">
        <f t="shared" si="422"/>
        <v>0</v>
      </c>
      <c r="N491" s="470">
        <f t="shared" si="423"/>
        <v>48</v>
      </c>
      <c r="O491" s="468">
        <f t="shared" si="424"/>
        <v>2062</v>
      </c>
      <c r="P491" s="471">
        <f t="shared" si="430"/>
        <v>225349622.89350432</v>
      </c>
      <c r="Q491" s="472">
        <f t="shared" si="425"/>
        <v>225349622.89350432</v>
      </c>
      <c r="R491" s="472">
        <f t="shared" si="426"/>
        <v>4694783.81028134</v>
      </c>
      <c r="S491" s="634">
        <f t="shared" si="416"/>
        <v>2015</v>
      </c>
      <c r="T491" s="470">
        <f t="shared" si="431"/>
        <v>1</v>
      </c>
      <c r="U491" s="612">
        <f t="shared" si="417"/>
        <v>4694783.81028134</v>
      </c>
      <c r="V491" s="464">
        <f t="shared" si="427"/>
        <v>2015</v>
      </c>
      <c r="W491" s="612">
        <f t="shared" si="428"/>
        <v>220654839.08322299</v>
      </c>
      <c r="X491" s="561"/>
      <c r="Y491" s="449"/>
      <c r="Z491" s="449"/>
      <c r="AA491" s="475" t="s">
        <v>4181</v>
      </c>
      <c r="AB491" s="491"/>
      <c r="AC491" s="491"/>
      <c r="AD491" s="567">
        <f>U498</f>
        <v>32863486.67196938</v>
      </c>
      <c r="AE491" s="452"/>
      <c r="AF491" s="571"/>
      <c r="AG491" s="452"/>
      <c r="AH491" s="452"/>
      <c r="AI491" s="453"/>
      <c r="AJ491" s="449"/>
      <c r="AK491" s="453"/>
      <c r="AL491" s="454"/>
      <c r="AM491" s="455"/>
      <c r="AN491" s="456"/>
      <c r="AO491" s="455"/>
      <c r="AP491" s="452"/>
      <c r="AQ491" s="457"/>
      <c r="AR491" s="449"/>
      <c r="AS491" s="449"/>
      <c r="AT491" s="452"/>
      <c r="AU491" s="457"/>
      <c r="AV491" s="449"/>
      <c r="AW491" s="458"/>
      <c r="AX491" s="452"/>
      <c r="AY491" s="457"/>
      <c r="AZ491" s="449"/>
      <c r="BA491" s="459"/>
      <c r="BB491" s="455"/>
      <c r="BC491" s="460"/>
      <c r="BD491" s="460"/>
      <c r="BG491" s="462"/>
    </row>
    <row r="492" spans="1:59" s="461" customFormat="1" ht="18" customHeight="1" x14ac:dyDescent="0.2">
      <c r="A492" s="461" t="str">
        <f t="shared" si="418"/>
        <v>TANGGA PEMANDIAN DAN PELATARAN DESA SUMPU2016</v>
      </c>
      <c r="B492" s="708"/>
      <c r="C492" s="489"/>
      <c r="D492" s="489" t="s">
        <v>1752</v>
      </c>
      <c r="E492" s="558"/>
      <c r="F492" s="559">
        <v>2016</v>
      </c>
      <c r="G492" s="619">
        <v>0</v>
      </c>
      <c r="H492" s="464">
        <f t="shared" si="419"/>
        <v>47</v>
      </c>
      <c r="I492" s="560"/>
      <c r="J492" s="468">
        <f t="shared" si="420"/>
        <v>2062</v>
      </c>
      <c r="K492" s="490">
        <f t="shared" si="421"/>
        <v>0</v>
      </c>
      <c r="L492" s="469">
        <f t="shared" si="429"/>
        <v>0</v>
      </c>
      <c r="M492" s="683">
        <f t="shared" si="422"/>
        <v>0</v>
      </c>
      <c r="N492" s="470">
        <f t="shared" si="423"/>
        <v>47</v>
      </c>
      <c r="O492" s="468">
        <f t="shared" si="424"/>
        <v>2062</v>
      </c>
      <c r="P492" s="471">
        <f t="shared" si="430"/>
        <v>220654839.08322299</v>
      </c>
      <c r="Q492" s="472">
        <f t="shared" si="425"/>
        <v>220654839.08322299</v>
      </c>
      <c r="R492" s="472">
        <f t="shared" si="426"/>
        <v>4694783.81028134</v>
      </c>
      <c r="S492" s="634">
        <f t="shared" si="416"/>
        <v>2016</v>
      </c>
      <c r="T492" s="470">
        <f t="shared" si="431"/>
        <v>1</v>
      </c>
      <c r="U492" s="612">
        <f t="shared" si="417"/>
        <v>4694783.81028134</v>
      </c>
      <c r="V492" s="464">
        <f t="shared" si="427"/>
        <v>2016</v>
      </c>
      <c r="W492" s="612">
        <f t="shared" si="428"/>
        <v>215960055.27294165</v>
      </c>
      <c r="X492" s="561"/>
      <c r="Y492" s="449"/>
      <c r="Z492" s="449"/>
      <c r="AA492" s="492" t="s">
        <v>4182</v>
      </c>
      <c r="AB492" s="476"/>
      <c r="AC492" s="476"/>
      <c r="AD492" s="568">
        <f>AD490-AD491</f>
        <v>201875703.84209761</v>
      </c>
      <c r="AE492" s="452"/>
      <c r="AF492" s="571"/>
      <c r="AG492" s="452"/>
      <c r="AH492" s="452"/>
      <c r="AI492" s="453"/>
      <c r="AJ492" s="449"/>
      <c r="AK492" s="453"/>
      <c r="AL492" s="454"/>
      <c r="AM492" s="455"/>
      <c r="AN492" s="456"/>
      <c r="AO492" s="455"/>
      <c r="AP492" s="452"/>
      <c r="AQ492" s="457"/>
      <c r="AR492" s="449"/>
      <c r="AS492" s="449"/>
      <c r="AT492" s="452"/>
      <c r="AU492" s="457"/>
      <c r="AV492" s="449"/>
      <c r="AW492" s="458"/>
      <c r="AX492" s="452"/>
      <c r="AY492" s="457"/>
      <c r="AZ492" s="449"/>
      <c r="BA492" s="459"/>
      <c r="BB492" s="455"/>
      <c r="BC492" s="460"/>
      <c r="BD492" s="460"/>
      <c r="BG492" s="462"/>
    </row>
    <row r="493" spans="1:59" s="461" customFormat="1" ht="18" customHeight="1" x14ac:dyDescent="0.2">
      <c r="A493" s="461" t="str">
        <f t="shared" si="418"/>
        <v>TANGGA PEMANDIAN DAN PELATARAN DESA SUMPU2017</v>
      </c>
      <c r="B493" s="708"/>
      <c r="C493" s="489"/>
      <c r="D493" s="489" t="s">
        <v>1752</v>
      </c>
      <c r="E493" s="558"/>
      <c r="F493" s="559">
        <v>2017</v>
      </c>
      <c r="G493" s="619">
        <v>0</v>
      </c>
      <c r="H493" s="464">
        <f t="shared" si="419"/>
        <v>46</v>
      </c>
      <c r="I493" s="560"/>
      <c r="J493" s="468">
        <f t="shared" si="420"/>
        <v>2062</v>
      </c>
      <c r="K493" s="490">
        <f t="shared" si="421"/>
        <v>0</v>
      </c>
      <c r="L493" s="469">
        <f t="shared" si="429"/>
        <v>0</v>
      </c>
      <c r="M493" s="683">
        <f t="shared" si="422"/>
        <v>0</v>
      </c>
      <c r="N493" s="470">
        <f t="shared" si="423"/>
        <v>46</v>
      </c>
      <c r="O493" s="468">
        <f t="shared" si="424"/>
        <v>2062</v>
      </c>
      <c r="P493" s="471">
        <f t="shared" si="430"/>
        <v>215960055.27294165</v>
      </c>
      <c r="Q493" s="472">
        <f t="shared" si="425"/>
        <v>215960055.27294165</v>
      </c>
      <c r="R493" s="472">
        <f t="shared" si="426"/>
        <v>4694783.81028134</v>
      </c>
      <c r="S493" s="634">
        <f t="shared" si="416"/>
        <v>2017</v>
      </c>
      <c r="T493" s="470">
        <f t="shared" si="431"/>
        <v>1</v>
      </c>
      <c r="U493" s="612">
        <f t="shared" si="417"/>
        <v>4694783.81028134</v>
      </c>
      <c r="V493" s="464">
        <f t="shared" si="427"/>
        <v>2017</v>
      </c>
      <c r="W493" s="612">
        <f t="shared" si="428"/>
        <v>211265271.46266031</v>
      </c>
      <c r="X493" s="561"/>
      <c r="Y493" s="449"/>
      <c r="Z493" s="449"/>
      <c r="AA493" s="475" t="s">
        <v>4183</v>
      </c>
      <c r="AB493" s="476"/>
      <c r="AC493" s="476"/>
      <c r="AD493" s="567">
        <f>AD492-W498</f>
        <v>0</v>
      </c>
      <c r="AE493" s="452"/>
      <c r="AF493" s="571"/>
      <c r="AG493" s="452"/>
      <c r="AH493" s="452"/>
      <c r="AI493" s="453"/>
      <c r="AJ493" s="449"/>
      <c r="AK493" s="453"/>
      <c r="AL493" s="454"/>
      <c r="AM493" s="455"/>
      <c r="AN493" s="456"/>
      <c r="AO493" s="455"/>
      <c r="AP493" s="452"/>
      <c r="AQ493" s="457"/>
      <c r="AR493" s="449"/>
      <c r="AS493" s="449"/>
      <c r="AT493" s="452"/>
      <c r="AU493" s="457"/>
      <c r="AV493" s="449"/>
      <c r="AW493" s="458"/>
      <c r="AX493" s="452"/>
      <c r="AY493" s="457"/>
      <c r="AZ493" s="449"/>
      <c r="BA493" s="459"/>
      <c r="BB493" s="455"/>
      <c r="BC493" s="460"/>
      <c r="BD493" s="460"/>
      <c r="BG493" s="462"/>
    </row>
    <row r="494" spans="1:59" s="486" customFormat="1" ht="18" customHeight="1" x14ac:dyDescent="0.2">
      <c r="A494" s="461" t="str">
        <f t="shared" si="418"/>
        <v>TANGGA PEMANDIAN DAN PELATARAN DESA SUMPU2018</v>
      </c>
      <c r="B494" s="708"/>
      <c r="C494" s="463"/>
      <c r="D494" s="489"/>
      <c r="E494" s="465"/>
      <c r="F494" s="559">
        <v>2018</v>
      </c>
      <c r="G494" s="619">
        <v>0</v>
      </c>
      <c r="H494" s="464">
        <f t="shared" si="419"/>
        <v>45</v>
      </c>
      <c r="I494" s="560"/>
      <c r="J494" s="468">
        <f t="shared" si="420"/>
        <v>2062</v>
      </c>
      <c r="K494" s="490">
        <f t="shared" si="421"/>
        <v>0</v>
      </c>
      <c r="L494" s="469">
        <f t="shared" si="429"/>
        <v>0</v>
      </c>
      <c r="M494" s="683">
        <f t="shared" si="422"/>
        <v>0</v>
      </c>
      <c r="N494" s="470">
        <f t="shared" si="423"/>
        <v>45</v>
      </c>
      <c r="O494" s="468">
        <f t="shared" si="424"/>
        <v>2062</v>
      </c>
      <c r="P494" s="471">
        <f t="shared" si="430"/>
        <v>211265271.46266031</v>
      </c>
      <c r="Q494" s="472">
        <f t="shared" si="425"/>
        <v>211265271.46266031</v>
      </c>
      <c r="R494" s="472">
        <f t="shared" si="426"/>
        <v>4694783.81028134</v>
      </c>
      <c r="S494" s="634">
        <f t="shared" si="416"/>
        <v>2018</v>
      </c>
      <c r="T494" s="470">
        <f t="shared" si="431"/>
        <v>1</v>
      </c>
      <c r="U494" s="612">
        <f t="shared" si="417"/>
        <v>4694783.81028134</v>
      </c>
      <c r="V494" s="464">
        <f t="shared" si="427"/>
        <v>2018</v>
      </c>
      <c r="W494" s="612">
        <f t="shared" si="428"/>
        <v>206570487.65237898</v>
      </c>
      <c r="X494" s="561"/>
      <c r="Y494" s="474"/>
      <c r="Z494" s="449"/>
      <c r="AA494" s="495"/>
      <c r="AB494" s="496"/>
      <c r="AC494" s="496"/>
      <c r="AD494" s="569"/>
      <c r="AE494" s="476"/>
      <c r="AF494" s="568"/>
      <c r="AG494" s="476"/>
      <c r="AH494" s="476"/>
      <c r="AI494" s="477"/>
      <c r="AJ494" s="478"/>
      <c r="AK494" s="479"/>
      <c r="AL494" s="480"/>
      <c r="AM494" s="474"/>
      <c r="AN494" s="481"/>
      <c r="AO494" s="474"/>
      <c r="AP494" s="476"/>
      <c r="AQ494" s="482"/>
      <c r="AR494" s="478"/>
      <c r="AS494" s="478"/>
      <c r="AT494" s="476"/>
      <c r="AU494" s="482"/>
      <c r="AV494" s="478"/>
      <c r="AW494" s="483"/>
      <c r="AX494" s="476"/>
      <c r="AY494" s="482"/>
      <c r="AZ494" s="478"/>
      <c r="BA494" s="484"/>
      <c r="BB494" s="474"/>
      <c r="BC494" s="485"/>
      <c r="BD494" s="485"/>
      <c r="BG494" s="487"/>
    </row>
    <row r="495" spans="1:59" s="486" customFormat="1" ht="18" customHeight="1" x14ac:dyDescent="0.2">
      <c r="A495" s="461" t="str">
        <f t="shared" si="418"/>
        <v>TANGGA PEMANDIAN DAN PELATARAN DESA SUMPU2019</v>
      </c>
      <c r="B495" s="708"/>
      <c r="C495" s="488"/>
      <c r="D495" s="489"/>
      <c r="E495" s="465"/>
      <c r="F495" s="559">
        <v>2019</v>
      </c>
      <c r="G495" s="619">
        <v>0</v>
      </c>
      <c r="H495" s="464">
        <f>IF(N494-(F495-F494)&lt;=0,0,(N494-(F495-F494)))</f>
        <v>44</v>
      </c>
      <c r="I495" s="560"/>
      <c r="J495" s="468">
        <f>(F495+N495)-1</f>
        <v>2062</v>
      </c>
      <c r="K495" s="490">
        <f>IF(G495=0,0,IF(H495=50,100%,G495/W494))</f>
        <v>0</v>
      </c>
      <c r="L495" s="469">
        <f>IF(K495=0%,0,IF(K495&lt;=25%,5,IF(K495&lt;=50%,10,IF(K495&lt;=75%,15,50))))</f>
        <v>0</v>
      </c>
      <c r="M495" s="683">
        <f>IF(OR(AND(ISBLANK(E495),ISBLANK(G495)),ISTEXT(E495),ISTEXT(G495)),"",IF(H495+L495&gt;$H$27,$H$27-H495,L495))</f>
        <v>0</v>
      </c>
      <c r="N495" s="470">
        <f>IF(OR(AND(ISBLANK(F495),ISBLANK(G495)),ISTEXT(F495),ISTEXT(G495)),"",H495+M495)</f>
        <v>44</v>
      </c>
      <c r="O495" s="468">
        <f>(F495+N495)-1</f>
        <v>2062</v>
      </c>
      <c r="P495" s="471">
        <f>W494</f>
        <v>206570487.65237898</v>
      </c>
      <c r="Q495" s="472">
        <f>P495+G495</f>
        <v>206570487.65237898</v>
      </c>
      <c r="R495" s="472">
        <f>IF(L495=0,R494,Q495/N495)</f>
        <v>4694783.81028134</v>
      </c>
      <c r="S495" s="1189">
        <f>F495</f>
        <v>2019</v>
      </c>
      <c r="T495" s="470">
        <f>S495-S494</f>
        <v>1</v>
      </c>
      <c r="U495" s="612">
        <f>R495*T495</f>
        <v>4694783.81028134</v>
      </c>
      <c r="V495" s="464">
        <f>F495</f>
        <v>2019</v>
      </c>
      <c r="W495" s="612">
        <f>IF(OR(AND(ISBLANK(E495),ISBLANK(G495)),ISTEXT(E495),ISTEXT(G495)),"",Q495-U495)</f>
        <v>201875703.84209764</v>
      </c>
      <c r="X495" s="473"/>
      <c r="Y495" s="478"/>
      <c r="Z495" s="449"/>
      <c r="AA495" s="699"/>
      <c r="AB495" s="700"/>
      <c r="AC495" s="700"/>
      <c r="AD495" s="701"/>
      <c r="AE495" s="491"/>
      <c r="AF495" s="568"/>
      <c r="AG495" s="491"/>
      <c r="AH495" s="491"/>
      <c r="AI495" s="477"/>
      <c r="AJ495" s="478"/>
      <c r="AK495" s="479"/>
      <c r="AL495" s="480"/>
      <c r="AM495" s="474"/>
      <c r="AN495" s="481"/>
      <c r="AO495" s="474"/>
      <c r="AP495" s="476"/>
      <c r="AQ495" s="482"/>
      <c r="AR495" s="478"/>
      <c r="AS495" s="478"/>
      <c r="AT495" s="476"/>
      <c r="AU495" s="482"/>
      <c r="AV495" s="478"/>
      <c r="AW495" s="483"/>
      <c r="AX495" s="476"/>
      <c r="AY495" s="482"/>
      <c r="AZ495" s="478"/>
      <c r="BA495" s="484"/>
      <c r="BB495" s="474"/>
      <c r="BC495" s="485"/>
      <c r="BD495" s="485"/>
      <c r="BG495" s="487"/>
    </row>
    <row r="496" spans="1:59" s="486" customFormat="1" ht="18" customHeight="1" x14ac:dyDescent="0.2">
      <c r="A496" s="461"/>
      <c r="B496" s="1357"/>
      <c r="C496" s="488"/>
      <c r="D496" s="489"/>
      <c r="E496" s="465"/>
      <c r="F496" s="466"/>
      <c r="G496" s="620"/>
      <c r="H496" s="464"/>
      <c r="I496" s="467"/>
      <c r="J496" s="468"/>
      <c r="K496" s="490"/>
      <c r="L496" s="469"/>
      <c r="M496" s="683"/>
      <c r="N496" s="470"/>
      <c r="O496" s="468"/>
      <c r="P496" s="471"/>
      <c r="Q496" s="472"/>
      <c r="R496" s="472"/>
      <c r="S496" s="1189"/>
      <c r="T496" s="470"/>
      <c r="U496" s="612"/>
      <c r="V496" s="464"/>
      <c r="W496" s="612"/>
      <c r="X496" s="473"/>
      <c r="Y496" s="478"/>
      <c r="Z496" s="449"/>
      <c r="AA496" s="573"/>
      <c r="AB496" s="491"/>
      <c r="AC496" s="491"/>
      <c r="AD496" s="568"/>
      <c r="AE496" s="491"/>
      <c r="AF496" s="568"/>
      <c r="AG496" s="491"/>
      <c r="AH496" s="491"/>
      <c r="AI496" s="477"/>
      <c r="AJ496" s="478"/>
      <c r="AK496" s="479"/>
      <c r="AL496" s="480"/>
      <c r="AM496" s="474"/>
      <c r="AN496" s="481"/>
      <c r="AO496" s="474"/>
      <c r="AP496" s="476"/>
      <c r="AQ496" s="482"/>
      <c r="AR496" s="478"/>
      <c r="AS496" s="478"/>
      <c r="AT496" s="476"/>
      <c r="AU496" s="482"/>
      <c r="AV496" s="478"/>
      <c r="AW496" s="483"/>
      <c r="AX496" s="476"/>
      <c r="AY496" s="482"/>
      <c r="AZ496" s="478"/>
      <c r="BA496" s="484"/>
      <c r="BB496" s="474"/>
      <c r="BC496" s="485"/>
      <c r="BD496" s="485"/>
      <c r="BG496" s="487"/>
    </row>
    <row r="497" spans="1:59" s="486" customFormat="1" ht="18" customHeight="1" x14ac:dyDescent="0.2">
      <c r="B497" s="687"/>
      <c r="C497" s="494"/>
      <c r="D497" s="464"/>
      <c r="E497" s="465"/>
      <c r="F497" s="466"/>
      <c r="G497" s="620"/>
      <c r="H497" s="464"/>
      <c r="I497" s="467"/>
      <c r="J497" s="468"/>
      <c r="K497" s="490"/>
      <c r="L497" s="469"/>
      <c r="M497" s="683"/>
      <c r="N497" s="470"/>
      <c r="O497" s="468"/>
      <c r="P497" s="471"/>
      <c r="Q497" s="472"/>
      <c r="R497" s="472"/>
      <c r="S497" s="634"/>
      <c r="T497" s="470"/>
      <c r="U497" s="612"/>
      <c r="V497" s="464"/>
      <c r="W497" s="612"/>
      <c r="X497" s="473"/>
      <c r="Y497" s="478"/>
      <c r="Z497" s="449"/>
      <c r="AA497" s="497"/>
      <c r="AB497" s="476"/>
      <c r="AC497" s="476"/>
      <c r="AD497" s="568"/>
      <c r="AE497" s="476"/>
      <c r="AF497" s="568"/>
      <c r="AG497" s="476"/>
      <c r="AH497" s="476"/>
      <c r="AI497" s="477"/>
      <c r="AJ497" s="478"/>
      <c r="AK497" s="479"/>
      <c r="AL497" s="480"/>
      <c r="AM497" s="474"/>
      <c r="AN497" s="481"/>
      <c r="AO497" s="474"/>
      <c r="AP497" s="476"/>
      <c r="AQ497" s="482"/>
      <c r="AR497" s="478"/>
      <c r="AS497" s="478"/>
      <c r="AT497" s="476"/>
      <c r="AU497" s="482"/>
      <c r="AV497" s="478"/>
      <c r="AW497" s="483"/>
      <c r="AX497" s="476"/>
      <c r="AY497" s="482"/>
      <c r="AZ497" s="478"/>
      <c r="BA497" s="484"/>
      <c r="BB497" s="474"/>
      <c r="BC497" s="485"/>
      <c r="BD497" s="485"/>
      <c r="BG497" s="487"/>
    </row>
    <row r="498" spans="1:59" s="526" customFormat="1" ht="18" customHeight="1" x14ac:dyDescent="0.2">
      <c r="B498" s="1956" t="s">
        <v>4184</v>
      </c>
      <c r="C498" s="1957"/>
      <c r="D498" s="1957"/>
      <c r="E498" s="1957"/>
      <c r="F498" s="1958"/>
      <c r="G498" s="621">
        <f>SUM(G487:G497)</f>
        <v>234739190.51406699</v>
      </c>
      <c r="H498" s="505"/>
      <c r="I498" s="506"/>
      <c r="J498" s="507"/>
      <c r="K498" s="507"/>
      <c r="L498" s="505"/>
      <c r="M498" s="684"/>
      <c r="N498" s="508"/>
      <c r="O498" s="507"/>
      <c r="P498" s="509"/>
      <c r="Q498" s="510"/>
      <c r="R498" s="511"/>
      <c r="S498" s="512"/>
      <c r="T498" s="512"/>
      <c r="U498" s="610">
        <f>SUM(U487:U497)</f>
        <v>32863486.67196938</v>
      </c>
      <c r="V498" s="513"/>
      <c r="W498" s="610">
        <f>G498-U498</f>
        <v>201875703.84209761</v>
      </c>
      <c r="X498" s="514"/>
      <c r="Y498" s="515"/>
      <c r="Z498" s="515"/>
      <c r="AA498" s="515"/>
      <c r="AB498" s="515"/>
      <c r="AC498" s="515"/>
      <c r="AD498" s="570"/>
      <c r="AE498" s="515"/>
      <c r="AF498" s="570"/>
      <c r="AG498" s="515"/>
      <c r="AH498" s="515"/>
      <c r="AI498" s="516"/>
      <c r="AJ498" s="517"/>
      <c r="AK498" s="518"/>
      <c r="AL498" s="519"/>
      <c r="AM498" s="520"/>
      <c r="AN498" s="521"/>
      <c r="AO498" s="520"/>
      <c r="AP498" s="515"/>
      <c r="AQ498" s="522"/>
      <c r="AR498" s="517"/>
      <c r="AS498" s="517"/>
      <c r="AT498" s="515"/>
      <c r="AU498" s="522"/>
      <c r="AV498" s="517"/>
      <c r="AW498" s="523"/>
      <c r="AX498" s="515"/>
      <c r="AY498" s="522"/>
      <c r="AZ498" s="517"/>
      <c r="BA498" s="524"/>
      <c r="BB498" s="520"/>
      <c r="BC498" s="525"/>
      <c r="BD498" s="525"/>
      <c r="BG498" s="527"/>
    </row>
    <row r="499" spans="1:59" s="526" customFormat="1" ht="18" customHeight="1" x14ac:dyDescent="0.2">
      <c r="B499" s="741"/>
      <c r="C499" s="698"/>
      <c r="D499" s="698"/>
      <c r="E499" s="698"/>
      <c r="F499" s="585"/>
      <c r="G499" s="622"/>
      <c r="H499" s="586"/>
      <c r="I499" s="587"/>
      <c r="J499" s="588"/>
      <c r="K499" s="588"/>
      <c r="L499" s="586"/>
      <c r="M499" s="521"/>
      <c r="N499" s="589"/>
      <c r="O499" s="588"/>
      <c r="P499" s="590"/>
      <c r="Q499" s="591"/>
      <c r="R499" s="592"/>
      <c r="S499" s="593"/>
      <c r="T499" s="593"/>
      <c r="U499" s="570"/>
      <c r="V499" s="594"/>
      <c r="W499" s="570"/>
      <c r="X499" s="515"/>
      <c r="Y499" s="515"/>
      <c r="Z499" s="515"/>
      <c r="AA499" s="515"/>
      <c r="AB499" s="515"/>
      <c r="AC499" s="515"/>
      <c r="AD499" s="570"/>
      <c r="AE499" s="515"/>
      <c r="AF499" s="570"/>
      <c r="AG499" s="515"/>
      <c r="AH499" s="515"/>
      <c r="AI499" s="516"/>
      <c r="AJ499" s="517"/>
      <c r="AK499" s="518"/>
      <c r="AL499" s="519"/>
      <c r="AM499" s="520"/>
      <c r="AN499" s="521"/>
      <c r="AO499" s="520"/>
      <c r="AP499" s="515"/>
      <c r="AQ499" s="522"/>
      <c r="AR499" s="517"/>
      <c r="AS499" s="517"/>
      <c r="AT499" s="515"/>
      <c r="AU499" s="522"/>
      <c r="AV499" s="517"/>
      <c r="AW499" s="523"/>
      <c r="AX499" s="515"/>
      <c r="AY499" s="522"/>
      <c r="AZ499" s="517"/>
      <c r="BA499" s="524"/>
      <c r="BB499" s="520"/>
      <c r="BC499" s="525"/>
      <c r="BD499" s="525"/>
      <c r="BG499" s="527"/>
    </row>
    <row r="500" spans="1:59" s="526" customFormat="1" ht="18" customHeight="1" x14ac:dyDescent="0.2">
      <c r="B500" s="575"/>
      <c r="C500" s="585"/>
      <c r="D500" s="585"/>
      <c r="E500" s="585"/>
      <c r="F500" s="585"/>
      <c r="G500" s="622"/>
      <c r="H500" s="586"/>
      <c r="I500" s="587"/>
      <c r="J500" s="588"/>
      <c r="K500" s="588"/>
      <c r="L500" s="586"/>
      <c r="M500" s="521"/>
      <c r="N500" s="589"/>
      <c r="O500" s="588"/>
      <c r="P500" s="590"/>
      <c r="Q500" s="591"/>
      <c r="R500" s="592"/>
      <c r="S500" s="593"/>
      <c r="T500" s="593"/>
      <c r="U500" s="570"/>
      <c r="V500" s="594"/>
      <c r="W500" s="570"/>
      <c r="X500" s="515"/>
      <c r="Y500" s="515"/>
      <c r="Z500" s="515"/>
      <c r="AA500" s="515"/>
      <c r="AB500" s="515"/>
      <c r="AC500" s="515"/>
      <c r="AD500" s="570"/>
      <c r="AE500" s="515"/>
      <c r="AF500" s="570"/>
      <c r="AG500" s="515"/>
      <c r="AH500" s="515"/>
      <c r="AI500" s="516"/>
      <c r="AJ500" s="517"/>
      <c r="AK500" s="518"/>
      <c r="AL500" s="519"/>
      <c r="AM500" s="520"/>
      <c r="AN500" s="521"/>
      <c r="AO500" s="520"/>
      <c r="AP500" s="515"/>
      <c r="AQ500" s="522"/>
      <c r="AR500" s="517"/>
      <c r="AS500" s="517"/>
      <c r="AT500" s="515"/>
      <c r="AU500" s="522"/>
      <c r="AV500" s="517"/>
      <c r="AW500" s="523"/>
      <c r="AX500" s="515"/>
      <c r="AY500" s="522"/>
      <c r="AZ500" s="517"/>
      <c r="BA500" s="524"/>
      <c r="BB500" s="520"/>
      <c r="BC500" s="525"/>
      <c r="BD500" s="525"/>
      <c r="BG500" s="527"/>
    </row>
    <row r="501" spans="1:59" s="526" customFormat="1" ht="18" customHeight="1" x14ac:dyDescent="0.2">
      <c r="B501" s="742"/>
      <c r="C501" s="696"/>
      <c r="D501" s="696"/>
      <c r="E501" s="696"/>
      <c r="F501" s="585"/>
      <c r="G501" s="622"/>
      <c r="H501" s="586"/>
      <c r="I501" s="587"/>
      <c r="J501" s="588"/>
      <c r="K501" s="588"/>
      <c r="L501" s="586"/>
      <c r="M501" s="521"/>
      <c r="N501" s="589"/>
      <c r="O501" s="588"/>
      <c r="P501" s="590"/>
      <c r="Q501" s="591"/>
      <c r="R501" s="592"/>
      <c r="S501" s="593"/>
      <c r="T501" s="593"/>
      <c r="U501" s="570"/>
      <c r="V501" s="594"/>
      <c r="W501" s="570"/>
      <c r="X501" s="515"/>
      <c r="Y501" s="515"/>
      <c r="Z501" s="515"/>
      <c r="AA501" s="515"/>
      <c r="AB501" s="515"/>
      <c r="AC501" s="515"/>
      <c r="AD501" s="570"/>
      <c r="AE501" s="515"/>
      <c r="AF501" s="570"/>
      <c r="AG501" s="515"/>
      <c r="AH501" s="515"/>
      <c r="AI501" s="516"/>
      <c r="AJ501" s="517"/>
      <c r="AK501" s="518"/>
      <c r="AL501" s="519"/>
      <c r="AM501" s="520"/>
      <c r="AN501" s="521"/>
      <c r="AO501" s="520"/>
      <c r="AP501" s="515"/>
      <c r="AQ501" s="522"/>
      <c r="AR501" s="517"/>
      <c r="AS501" s="517"/>
      <c r="AT501" s="515"/>
      <c r="AU501" s="522"/>
      <c r="AV501" s="517"/>
      <c r="AW501" s="523"/>
      <c r="AX501" s="515"/>
      <c r="AY501" s="522"/>
      <c r="AZ501" s="517"/>
      <c r="BA501" s="524"/>
      <c r="BB501" s="520"/>
      <c r="BC501" s="525"/>
      <c r="BD501" s="525"/>
      <c r="BG501" s="527"/>
    </row>
    <row r="502" spans="1:59" s="526" customFormat="1" ht="18" customHeight="1" x14ac:dyDescent="0.2">
      <c r="B502" s="575"/>
      <c r="C502" s="585"/>
      <c r="D502" s="585"/>
      <c r="E502" s="585"/>
      <c r="F502" s="585"/>
      <c r="G502" s="622"/>
      <c r="H502" s="586"/>
      <c r="I502" s="587"/>
      <c r="J502" s="588"/>
      <c r="K502" s="588"/>
      <c r="L502" s="586"/>
      <c r="M502" s="521"/>
      <c r="N502" s="589"/>
      <c r="O502" s="588"/>
      <c r="P502" s="590"/>
      <c r="Q502" s="591"/>
      <c r="R502" s="592"/>
      <c r="S502" s="593"/>
      <c r="T502" s="593"/>
      <c r="U502" s="570"/>
      <c r="V502" s="594"/>
      <c r="W502" s="570"/>
      <c r="X502" s="515"/>
      <c r="Y502" s="515"/>
      <c r="Z502" s="515"/>
      <c r="AA502" s="515"/>
      <c r="AB502" s="515"/>
      <c r="AC502" s="515"/>
      <c r="AD502" s="570"/>
      <c r="AE502" s="515"/>
      <c r="AF502" s="570"/>
      <c r="AG502" s="515"/>
      <c r="AH502" s="515"/>
      <c r="AI502" s="516"/>
      <c r="AJ502" s="517"/>
      <c r="AK502" s="518"/>
      <c r="AL502" s="519"/>
      <c r="AM502" s="520"/>
      <c r="AN502" s="521"/>
      <c r="AO502" s="520"/>
      <c r="AP502" s="515"/>
      <c r="AQ502" s="522"/>
      <c r="AR502" s="517"/>
      <c r="AS502" s="517"/>
      <c r="AT502" s="515"/>
      <c r="AU502" s="522"/>
      <c r="AV502" s="517"/>
      <c r="AW502" s="523"/>
      <c r="AX502" s="515"/>
      <c r="AY502" s="522"/>
      <c r="AZ502" s="517"/>
      <c r="BA502" s="524"/>
      <c r="BB502" s="520"/>
      <c r="BC502" s="525"/>
      <c r="BD502" s="525"/>
      <c r="BG502" s="527"/>
    </row>
    <row r="503" spans="1:59" s="526" customFormat="1" ht="18" customHeight="1" x14ac:dyDescent="0.2">
      <c r="B503" s="575"/>
      <c r="C503" s="585"/>
      <c r="D503" s="585"/>
      <c r="E503" s="585"/>
      <c r="F503" s="585"/>
      <c r="G503" s="622"/>
      <c r="H503" s="586"/>
      <c r="I503" s="587"/>
      <c r="J503" s="588"/>
      <c r="K503" s="588"/>
      <c r="L503" s="586"/>
      <c r="M503" s="521"/>
      <c r="N503" s="589"/>
      <c r="O503" s="588"/>
      <c r="P503" s="590"/>
      <c r="Q503" s="591"/>
      <c r="R503" s="592"/>
      <c r="S503" s="593"/>
      <c r="T503" s="593"/>
      <c r="U503" s="570"/>
      <c r="V503" s="594"/>
      <c r="W503" s="570"/>
      <c r="X503" s="515"/>
      <c r="Y503" s="515"/>
      <c r="Z503" s="515"/>
      <c r="AA503" s="515"/>
      <c r="AB503" s="515"/>
      <c r="AC503" s="515"/>
      <c r="AD503" s="570"/>
      <c r="AE503" s="515"/>
      <c r="AF503" s="570"/>
      <c r="AG503" s="515"/>
      <c r="AH503" s="515"/>
      <c r="AI503" s="516"/>
      <c r="AJ503" s="517"/>
      <c r="AK503" s="518"/>
      <c r="AL503" s="519"/>
      <c r="AM503" s="520"/>
      <c r="AN503" s="521"/>
      <c r="AO503" s="520"/>
      <c r="AP503" s="515"/>
      <c r="AQ503" s="522"/>
      <c r="AR503" s="517"/>
      <c r="AS503" s="517"/>
      <c r="AT503" s="515"/>
      <c r="AU503" s="522"/>
      <c r="AV503" s="517"/>
      <c r="AW503" s="523"/>
      <c r="AX503" s="515"/>
      <c r="AY503" s="522"/>
      <c r="AZ503" s="517"/>
      <c r="BA503" s="524"/>
      <c r="BB503" s="520"/>
      <c r="BC503" s="525"/>
      <c r="BD503" s="525"/>
      <c r="BG503" s="527"/>
    </row>
    <row r="504" spans="1:59" s="526" customFormat="1" ht="18" customHeight="1" x14ac:dyDescent="0.2">
      <c r="B504" s="575"/>
      <c r="C504" s="585"/>
      <c r="D504" s="585"/>
      <c r="E504" s="585"/>
      <c r="F504" s="585"/>
      <c r="G504" s="622"/>
      <c r="H504" s="586"/>
      <c r="I504" s="587"/>
      <c r="J504" s="588"/>
      <c r="K504" s="588"/>
      <c r="L504" s="586"/>
      <c r="M504" s="521"/>
      <c r="N504" s="589"/>
      <c r="O504" s="588"/>
      <c r="P504" s="590"/>
      <c r="Q504" s="591"/>
      <c r="R504" s="592"/>
      <c r="S504" s="593"/>
      <c r="T504" s="593"/>
      <c r="U504" s="570"/>
      <c r="V504" s="594"/>
      <c r="W504" s="570"/>
      <c r="X504" s="515"/>
      <c r="Y504" s="515"/>
      <c r="Z504" s="515"/>
      <c r="AA504" s="515"/>
      <c r="AB504" s="515"/>
      <c r="AC504" s="515"/>
      <c r="AD504" s="570"/>
      <c r="AE504" s="515"/>
      <c r="AF504" s="570"/>
      <c r="AG504" s="515"/>
      <c r="AH504" s="515"/>
      <c r="AI504" s="516"/>
      <c r="AJ504" s="517"/>
      <c r="AK504" s="518"/>
      <c r="AL504" s="519"/>
      <c r="AM504" s="520"/>
      <c r="AN504" s="521"/>
      <c r="AO504" s="520"/>
      <c r="AP504" s="515"/>
      <c r="AQ504" s="522"/>
      <c r="AR504" s="517"/>
      <c r="AS504" s="517"/>
      <c r="AT504" s="515"/>
      <c r="AU504" s="522"/>
      <c r="AV504" s="517"/>
      <c r="AW504" s="523"/>
      <c r="AX504" s="515"/>
      <c r="AY504" s="522"/>
      <c r="AZ504" s="517"/>
      <c r="BA504" s="524"/>
      <c r="BB504" s="520"/>
      <c r="BC504" s="525"/>
      <c r="BD504" s="525"/>
      <c r="BG504" s="527"/>
    </row>
    <row r="505" spans="1:59" s="422" customFormat="1" ht="18" customHeight="1" x14ac:dyDescent="0.2">
      <c r="B505" s="688" t="s">
        <v>4226</v>
      </c>
      <c r="C505" s="556"/>
      <c r="D505" s="553" t="s">
        <v>3013</v>
      </c>
      <c r="E505" s="553"/>
      <c r="F505" s="421"/>
      <c r="G505" s="611"/>
      <c r="I505" s="423"/>
      <c r="J505" s="424"/>
      <c r="K505" s="424"/>
      <c r="M505" s="680"/>
      <c r="U505" s="611"/>
      <c r="W505" s="611"/>
      <c r="Y505" s="425"/>
      <c r="Z505" s="425"/>
      <c r="AA505" s="425"/>
      <c r="AB505" s="425"/>
      <c r="AC505" s="425"/>
      <c r="AD505" s="563"/>
      <c r="AE505" s="425"/>
      <c r="AF505" s="563"/>
      <c r="AG505" s="425"/>
      <c r="AH505" s="425"/>
      <c r="AI505" s="425"/>
      <c r="AJ505" s="425"/>
      <c r="AK505" s="425"/>
      <c r="AL505" s="425"/>
      <c r="AM505" s="425"/>
      <c r="AN505" s="425"/>
      <c r="AO505" s="425"/>
      <c r="AP505" s="425"/>
      <c r="AQ505" s="425"/>
      <c r="AR505" s="425"/>
      <c r="AS505" s="425"/>
      <c r="AT505" s="425"/>
      <c r="AU505" s="425"/>
      <c r="AV505" s="425"/>
      <c r="AW505" s="425"/>
      <c r="AX505" s="425"/>
      <c r="AY505" s="425"/>
      <c r="AZ505" s="425"/>
      <c r="BA505" s="425"/>
      <c r="BB505" s="425"/>
    </row>
    <row r="506" spans="1:59" s="431" customFormat="1" ht="18" customHeight="1" x14ac:dyDescent="0.2">
      <c r="B506" s="1968" t="s">
        <v>5</v>
      </c>
      <c r="C506" s="1968" t="s">
        <v>2280</v>
      </c>
      <c r="D506" s="1968" t="s">
        <v>4157</v>
      </c>
      <c r="E506" s="1968" t="s">
        <v>4158</v>
      </c>
      <c r="F506" s="1968"/>
      <c r="G506" s="1969" t="s">
        <v>4159</v>
      </c>
      <c r="H506" s="1355" t="s">
        <v>4160</v>
      </c>
      <c r="I506" s="1355"/>
      <c r="J506" s="1968" t="s">
        <v>4161</v>
      </c>
      <c r="K506" s="1964" t="s">
        <v>4162</v>
      </c>
      <c r="L506" s="1968" t="s">
        <v>4163</v>
      </c>
      <c r="M506" s="1971" t="s">
        <v>4164</v>
      </c>
      <c r="N506" s="1962" t="s">
        <v>4165</v>
      </c>
      <c r="O506" s="1968" t="s">
        <v>4166</v>
      </c>
      <c r="P506" s="1972" t="s">
        <v>4167</v>
      </c>
      <c r="Q506" s="1973"/>
      <c r="R506" s="636" t="s">
        <v>4168</v>
      </c>
      <c r="S506" s="1972" t="s">
        <v>4169</v>
      </c>
      <c r="T506" s="1974"/>
      <c r="U506" s="1973"/>
      <c r="V506" s="1975" t="s">
        <v>4170</v>
      </c>
      <c r="W506" s="1975"/>
      <c r="X506" s="1960" t="s">
        <v>4171</v>
      </c>
      <c r="Y506" s="1959"/>
      <c r="Z506" s="633"/>
      <c r="AA506" s="426"/>
      <c r="AB506" s="426"/>
      <c r="AC506" s="426"/>
      <c r="AD506" s="564"/>
      <c r="AE506" s="426"/>
      <c r="AF506" s="564"/>
      <c r="AG506" s="426"/>
      <c r="AH506" s="426"/>
      <c r="AI506" s="427"/>
      <c r="AJ506" s="427"/>
      <c r="AK506" s="427"/>
      <c r="AL506" s="427"/>
      <c r="AM506" s="428"/>
      <c r="AN506" s="427"/>
      <c r="AO506" s="427"/>
      <c r="AP506" s="426"/>
      <c r="AQ506" s="427"/>
      <c r="AR506" s="427"/>
      <c r="AS506" s="427"/>
      <c r="AT506" s="426"/>
      <c r="AU506" s="427"/>
      <c r="AV506" s="427"/>
      <c r="AW506" s="427"/>
      <c r="AX506" s="426"/>
      <c r="AY506" s="427"/>
      <c r="AZ506" s="427"/>
      <c r="BA506" s="427"/>
      <c r="BB506" s="429"/>
      <c r="BC506" s="430"/>
      <c r="BD506" s="430"/>
    </row>
    <row r="507" spans="1:59" s="431" customFormat="1" ht="18" customHeight="1" x14ac:dyDescent="0.2">
      <c r="B507" s="1968"/>
      <c r="C507" s="1968"/>
      <c r="D507" s="1968"/>
      <c r="E507" s="1968"/>
      <c r="F507" s="1968"/>
      <c r="G507" s="1969"/>
      <c r="H507" s="1355"/>
      <c r="I507" s="1355"/>
      <c r="J507" s="1968"/>
      <c r="K507" s="1970"/>
      <c r="L507" s="1968"/>
      <c r="M507" s="1971"/>
      <c r="N507" s="1963"/>
      <c r="O507" s="1968"/>
      <c r="P507" s="1960" t="s">
        <v>4172</v>
      </c>
      <c r="Q507" s="1960" t="s">
        <v>4173</v>
      </c>
      <c r="R507" s="1962" t="s">
        <v>4159</v>
      </c>
      <c r="S507" s="1962" t="s">
        <v>4174</v>
      </c>
      <c r="T507" s="1964" t="s">
        <v>4175</v>
      </c>
      <c r="U507" s="1966" t="s">
        <v>4159</v>
      </c>
      <c r="V507" s="1975"/>
      <c r="W507" s="1975"/>
      <c r="X507" s="1976"/>
      <c r="Y507" s="1959"/>
      <c r="Z507" s="633"/>
      <c r="AA507" s="426"/>
      <c r="AB507" s="426"/>
      <c r="AC507" s="426"/>
      <c r="AD507" s="564"/>
      <c r="AE507" s="426"/>
      <c r="AF507" s="564"/>
      <c r="AG507" s="426"/>
      <c r="AH507" s="426"/>
      <c r="AI507" s="427"/>
      <c r="AJ507" s="427"/>
      <c r="AK507" s="426"/>
      <c r="AL507" s="427"/>
      <c r="AM507" s="428"/>
      <c r="AN507" s="427"/>
      <c r="AO507" s="427"/>
      <c r="AP507" s="432"/>
      <c r="AQ507" s="427"/>
      <c r="AR507" s="427"/>
      <c r="AS507" s="427"/>
      <c r="AT507" s="432"/>
      <c r="AU507" s="427"/>
      <c r="AV507" s="427"/>
      <c r="AW507" s="427"/>
      <c r="AX507" s="432"/>
      <c r="AY507" s="427"/>
      <c r="AZ507" s="427"/>
      <c r="BA507" s="427"/>
      <c r="BB507" s="429"/>
      <c r="BC507" s="430"/>
      <c r="BD507" s="430"/>
    </row>
    <row r="508" spans="1:59" s="431" customFormat="1" ht="21.75" customHeight="1" x14ac:dyDescent="0.2">
      <c r="B508" s="1968"/>
      <c r="C508" s="1968"/>
      <c r="D508" s="1968"/>
      <c r="E508" s="433" t="s">
        <v>4176</v>
      </c>
      <c r="F508" s="434" t="s">
        <v>2288</v>
      </c>
      <c r="G508" s="1969"/>
      <c r="H508" s="1355" t="s">
        <v>2288</v>
      </c>
      <c r="I508" s="1355" t="s">
        <v>4177</v>
      </c>
      <c r="J508" s="1968"/>
      <c r="K508" s="1965"/>
      <c r="L508" s="435" t="s">
        <v>2288</v>
      </c>
      <c r="M508" s="681" t="s">
        <v>2288</v>
      </c>
      <c r="N508" s="635" t="s">
        <v>2288</v>
      </c>
      <c r="O508" s="1968"/>
      <c r="P508" s="1961"/>
      <c r="Q508" s="1961"/>
      <c r="R508" s="1963"/>
      <c r="S508" s="1963"/>
      <c r="T508" s="1965"/>
      <c r="U508" s="1967"/>
      <c r="V508" s="635" t="s">
        <v>4178</v>
      </c>
      <c r="W508" s="637" t="s">
        <v>4159</v>
      </c>
      <c r="X508" s="1961"/>
      <c r="Y508" s="436"/>
      <c r="Z508" s="436"/>
      <c r="AA508" s="426"/>
      <c r="AB508" s="426"/>
      <c r="AC508" s="426"/>
      <c r="AD508" s="564"/>
      <c r="AE508" s="426"/>
      <c r="AF508" s="564"/>
      <c r="AG508" s="426"/>
      <c r="AH508" s="426"/>
      <c r="AI508" s="427"/>
      <c r="AJ508" s="432"/>
      <c r="AK508" s="432"/>
      <c r="AL508" s="427"/>
      <c r="AM508" s="428"/>
      <c r="AN508" s="432"/>
      <c r="AO508" s="427"/>
      <c r="AP508" s="432"/>
      <c r="AQ508" s="432"/>
      <c r="AR508" s="427"/>
      <c r="AS508" s="427"/>
      <c r="AT508" s="432"/>
      <c r="AU508" s="432"/>
      <c r="AV508" s="427"/>
      <c r="AW508" s="427"/>
      <c r="AX508" s="432"/>
      <c r="AY508" s="432"/>
      <c r="AZ508" s="427"/>
      <c r="BA508" s="427"/>
      <c r="BB508" s="429"/>
      <c r="BC508" s="430"/>
      <c r="BD508" s="430"/>
    </row>
    <row r="509" spans="1:59" s="461" customFormat="1" ht="18" customHeight="1" x14ac:dyDescent="0.2">
      <c r="A509" s="461" t="str">
        <f>$D$505&amp;S509</f>
        <v>PUSKESMAS CERENTI2013</v>
      </c>
      <c r="B509" s="689">
        <v>1</v>
      </c>
      <c r="C509" s="597" t="s">
        <v>2747</v>
      </c>
      <c r="D509" s="597" t="s">
        <v>1752</v>
      </c>
      <c r="E509" s="598"/>
      <c r="F509" s="599">
        <v>2013</v>
      </c>
      <c r="G509" s="626">
        <v>1104682200</v>
      </c>
      <c r="H509" s="600">
        <f>VLOOKUP(LEFT(D509,8),UE,4)</f>
        <v>50</v>
      </c>
      <c r="I509" s="601"/>
      <c r="J509" s="602">
        <f t="shared" ref="J509:J515" si="432">(F509+N509)-1</f>
        <v>2062</v>
      </c>
      <c r="K509" s="603"/>
      <c r="L509" s="600"/>
      <c r="M509" s="685">
        <f>IF(H509+L509&gt;$H509,$H509-H509,L509)</f>
        <v>0</v>
      </c>
      <c r="N509" s="604">
        <f>H509+M509</f>
        <v>50</v>
      </c>
      <c r="O509" s="602">
        <f t="shared" ref="O509:O515" si="433">(F509+N509)-1</f>
        <v>2062</v>
      </c>
      <c r="P509" s="605">
        <f>G509</f>
        <v>1104682200</v>
      </c>
      <c r="Q509" s="606">
        <v>0</v>
      </c>
      <c r="R509" s="606">
        <f>P509/N509</f>
        <v>22093644</v>
      </c>
      <c r="S509" s="607">
        <f t="shared" ref="S509:S514" si="434">F509</f>
        <v>2013</v>
      </c>
      <c r="T509" s="608">
        <v>1</v>
      </c>
      <c r="U509" s="615">
        <f t="shared" ref="U509:U514" si="435">R509*T509</f>
        <v>22093644</v>
      </c>
      <c r="V509" s="602">
        <f t="shared" ref="V509:V515" si="436">F509</f>
        <v>2013</v>
      </c>
      <c r="W509" s="618">
        <f>IF(OR(AND(ISBLANK(E509),ISBLANK(G509)),ISTEXT(E509),ISTEXT(G509)),"",G509-R509)</f>
        <v>1082588556</v>
      </c>
      <c r="X509" s="609"/>
      <c r="Y509" s="449"/>
      <c r="Z509" s="449"/>
      <c r="AA509" s="694"/>
      <c r="AB509" s="692"/>
      <c r="AC509" s="692"/>
      <c r="AD509" s="695"/>
      <c r="AE509" s="452"/>
      <c r="AF509" s="571"/>
      <c r="AG509" s="452"/>
      <c r="AH509" s="452"/>
      <c r="AI509" s="453"/>
      <c r="AJ509" s="449"/>
      <c r="AK509" s="453"/>
      <c r="AL509" s="454"/>
      <c r="AM509" s="455"/>
      <c r="AN509" s="456"/>
      <c r="AO509" s="455"/>
      <c r="AP509" s="452"/>
      <c r="AQ509" s="457"/>
      <c r="AR509" s="449"/>
      <c r="AS509" s="449"/>
      <c r="AT509" s="452"/>
      <c r="AU509" s="457"/>
      <c r="AV509" s="449"/>
      <c r="AW509" s="458"/>
      <c r="AX509" s="452"/>
      <c r="AY509" s="457"/>
      <c r="AZ509" s="449"/>
      <c r="BA509" s="459"/>
      <c r="BB509" s="455"/>
      <c r="BC509" s="460"/>
      <c r="BD509" s="460"/>
      <c r="BG509" s="462"/>
    </row>
    <row r="510" spans="1:59" s="461" customFormat="1" ht="18" customHeight="1" x14ac:dyDescent="0.2">
      <c r="A510" s="461" t="str">
        <f t="shared" ref="A510:A515" si="437">$D$505&amp;S510</f>
        <v>PUSKESMAS CERENTI2014</v>
      </c>
      <c r="B510" s="708">
        <v>2</v>
      </c>
      <c r="C510" s="489" t="s">
        <v>3012</v>
      </c>
      <c r="D510" s="489" t="s">
        <v>1752</v>
      </c>
      <c r="E510" s="558"/>
      <c r="F510" s="559">
        <v>2014</v>
      </c>
      <c r="G510" s="619">
        <v>170698800</v>
      </c>
      <c r="H510" s="464">
        <f t="shared" ref="H510:H515" si="438">IF(N509-(F510-F509)&lt;=0,0,(N509-(F510-F509)))</f>
        <v>49</v>
      </c>
      <c r="I510" s="560"/>
      <c r="J510" s="468">
        <f t="shared" si="432"/>
        <v>2063</v>
      </c>
      <c r="K510" s="490">
        <f t="shared" ref="K510:K515" si="439">IF(G510=0,0,IF(H510=50,100%,G510/W509))</f>
        <v>0.15767652360071688</v>
      </c>
      <c r="L510" s="469">
        <f t="shared" ref="L510:L515" si="440">IF(K510=0%,0,IF(K510&lt;=25%,5,IF(K510&lt;=50%,10,IF(K510&lt;=75%,15,50))))</f>
        <v>5</v>
      </c>
      <c r="M510" s="683">
        <f t="shared" ref="M510:M515" si="441">IF(OR(AND(ISBLANK(E510),ISBLANK(G510)),ISTEXT(E510),ISTEXT(G510)),"",IF(H510+L510&gt;$H$27,$H$27-H510,L510))</f>
        <v>1</v>
      </c>
      <c r="N510" s="470">
        <f t="shared" ref="N510:N515" si="442">IF(OR(AND(ISBLANK(F510),ISBLANK(G510)),ISTEXT(F510),ISTEXT(G510)),"",H510+M510)</f>
        <v>50</v>
      </c>
      <c r="O510" s="468">
        <f t="shared" si="433"/>
        <v>2063</v>
      </c>
      <c r="P510" s="471">
        <f t="shared" ref="P510:P515" si="443">W509</f>
        <v>1082588556</v>
      </c>
      <c r="Q510" s="472">
        <f t="shared" ref="Q510:Q515" si="444">P510+G510</f>
        <v>1253287356</v>
      </c>
      <c r="R510" s="472">
        <f t="shared" ref="R510:R515" si="445">IF(L510=0,R509,Q510/N510)</f>
        <v>25065747.120000001</v>
      </c>
      <c r="S510" s="634">
        <f t="shared" si="434"/>
        <v>2014</v>
      </c>
      <c r="T510" s="470">
        <f t="shared" ref="T510:T515" si="446">S510-S509</f>
        <v>1</v>
      </c>
      <c r="U510" s="612">
        <f t="shared" si="435"/>
        <v>25065747.120000001</v>
      </c>
      <c r="V510" s="464">
        <f t="shared" si="436"/>
        <v>2014</v>
      </c>
      <c r="W510" s="612">
        <f t="shared" ref="W510:W515" si="447">IF(OR(AND(ISBLANK(E510),ISBLANK(G510)),ISTEXT(E510),ISTEXT(G510)),"",Q510-U510)</f>
        <v>1228221608.8800001</v>
      </c>
      <c r="X510" s="561"/>
      <c r="Y510" s="449"/>
      <c r="Z510" s="449"/>
      <c r="AA510" s="554" t="s">
        <v>4179</v>
      </c>
      <c r="AB510" s="452"/>
      <c r="AC510" s="452"/>
      <c r="AD510" s="566"/>
      <c r="AE510" s="452"/>
      <c r="AF510" s="571"/>
      <c r="AG510" s="452"/>
      <c r="AH510" s="452"/>
      <c r="AI510" s="453"/>
      <c r="AJ510" s="449"/>
      <c r="AK510" s="453"/>
      <c r="AL510" s="454"/>
      <c r="AM510" s="455"/>
      <c r="AN510" s="456"/>
      <c r="AO510" s="455"/>
      <c r="AP510" s="452"/>
      <c r="AQ510" s="457"/>
      <c r="AR510" s="449"/>
      <c r="AS510" s="449"/>
      <c r="AT510" s="452"/>
      <c r="AU510" s="457"/>
      <c r="AV510" s="449"/>
      <c r="AW510" s="458"/>
      <c r="AX510" s="452"/>
      <c r="AY510" s="457"/>
      <c r="AZ510" s="449"/>
      <c r="BA510" s="459"/>
      <c r="BB510" s="455"/>
      <c r="BC510" s="460"/>
      <c r="BD510" s="460"/>
      <c r="BG510" s="462"/>
    </row>
    <row r="511" spans="1:59" s="461" customFormat="1" ht="18" customHeight="1" x14ac:dyDescent="0.2">
      <c r="A511" s="461" t="str">
        <f t="shared" si="437"/>
        <v>PUSKESMAS CERENTI2015</v>
      </c>
      <c r="B511" s="708"/>
      <c r="C511" s="489"/>
      <c r="D511" s="489" t="s">
        <v>1752</v>
      </c>
      <c r="E511" s="558"/>
      <c r="F511" s="559">
        <v>2015</v>
      </c>
      <c r="G511" s="619">
        <v>0</v>
      </c>
      <c r="H511" s="464">
        <f t="shared" si="438"/>
        <v>49</v>
      </c>
      <c r="I511" s="560"/>
      <c r="J511" s="468">
        <f t="shared" si="432"/>
        <v>2063</v>
      </c>
      <c r="K511" s="490">
        <f t="shared" si="439"/>
        <v>0</v>
      </c>
      <c r="L511" s="469">
        <f t="shared" si="440"/>
        <v>0</v>
      </c>
      <c r="M511" s="683">
        <f t="shared" si="441"/>
        <v>0</v>
      </c>
      <c r="N511" s="470">
        <f t="shared" si="442"/>
        <v>49</v>
      </c>
      <c r="O511" s="468">
        <f t="shared" si="433"/>
        <v>2063</v>
      </c>
      <c r="P511" s="471">
        <f t="shared" si="443"/>
        <v>1228221608.8800001</v>
      </c>
      <c r="Q511" s="472">
        <f t="shared" si="444"/>
        <v>1228221608.8800001</v>
      </c>
      <c r="R511" s="472">
        <f t="shared" si="445"/>
        <v>25065747.120000001</v>
      </c>
      <c r="S511" s="634">
        <f t="shared" si="434"/>
        <v>2015</v>
      </c>
      <c r="T511" s="470">
        <f t="shared" si="446"/>
        <v>1</v>
      </c>
      <c r="U511" s="612">
        <f t="shared" si="435"/>
        <v>25065747.120000001</v>
      </c>
      <c r="V511" s="464">
        <f t="shared" si="436"/>
        <v>2015</v>
      </c>
      <c r="W511" s="612">
        <f t="shared" si="447"/>
        <v>1203155861.7600002</v>
      </c>
      <c r="X511" s="561"/>
      <c r="Y511" s="449"/>
      <c r="Z511" s="449"/>
      <c r="AA511" s="554"/>
      <c r="AB511" s="452"/>
      <c r="AC511" s="452"/>
      <c r="AD511" s="566"/>
      <c r="AE511" s="452"/>
      <c r="AF511" s="571"/>
      <c r="AG511" s="452"/>
      <c r="AH511" s="452"/>
      <c r="AI511" s="453"/>
      <c r="AJ511" s="449"/>
      <c r="AK511" s="453"/>
      <c r="AL511" s="454"/>
      <c r="AM511" s="455"/>
      <c r="AN511" s="456"/>
      <c r="AO511" s="455"/>
      <c r="AP511" s="452"/>
      <c r="AQ511" s="457"/>
      <c r="AR511" s="449"/>
      <c r="AS511" s="449"/>
      <c r="AT511" s="452"/>
      <c r="AU511" s="457"/>
      <c r="AV511" s="449"/>
      <c r="AW511" s="458"/>
      <c r="AX511" s="452"/>
      <c r="AY511" s="457"/>
      <c r="AZ511" s="449"/>
      <c r="BA511" s="459"/>
      <c r="BB511" s="455"/>
      <c r="BC511" s="460"/>
      <c r="BD511" s="460"/>
      <c r="BG511" s="462"/>
    </row>
    <row r="512" spans="1:59" s="461" customFormat="1" ht="18" customHeight="1" x14ac:dyDescent="0.2">
      <c r="A512" s="461" t="str">
        <f t="shared" si="437"/>
        <v>PUSKESMAS CERENTI2016</v>
      </c>
      <c r="B512" s="708"/>
      <c r="C512" s="489"/>
      <c r="D512" s="489" t="s">
        <v>1752</v>
      </c>
      <c r="E512" s="558"/>
      <c r="F512" s="559">
        <v>2016</v>
      </c>
      <c r="G512" s="619">
        <v>0</v>
      </c>
      <c r="H512" s="464">
        <f t="shared" si="438"/>
        <v>48</v>
      </c>
      <c r="I512" s="560"/>
      <c r="J512" s="468">
        <f t="shared" si="432"/>
        <v>2063</v>
      </c>
      <c r="K512" s="490">
        <f t="shared" si="439"/>
        <v>0</v>
      </c>
      <c r="L512" s="469">
        <f t="shared" si="440"/>
        <v>0</v>
      </c>
      <c r="M512" s="683">
        <f t="shared" si="441"/>
        <v>0</v>
      </c>
      <c r="N512" s="470">
        <f t="shared" si="442"/>
        <v>48</v>
      </c>
      <c r="O512" s="468">
        <f t="shared" si="433"/>
        <v>2063</v>
      </c>
      <c r="P512" s="471">
        <f t="shared" si="443"/>
        <v>1203155861.7600002</v>
      </c>
      <c r="Q512" s="472">
        <f t="shared" si="444"/>
        <v>1203155861.7600002</v>
      </c>
      <c r="R512" s="472">
        <f t="shared" si="445"/>
        <v>25065747.120000001</v>
      </c>
      <c r="S512" s="634">
        <f t="shared" si="434"/>
        <v>2016</v>
      </c>
      <c r="T512" s="470">
        <f t="shared" si="446"/>
        <v>1</v>
      </c>
      <c r="U512" s="612">
        <f t="shared" si="435"/>
        <v>25065747.120000001</v>
      </c>
      <c r="V512" s="464">
        <f t="shared" si="436"/>
        <v>2016</v>
      </c>
      <c r="W512" s="612">
        <f t="shared" si="447"/>
        <v>1178090114.6400003</v>
      </c>
      <c r="X512" s="561"/>
      <c r="Y512" s="449"/>
      <c r="Z512" s="449"/>
      <c r="AA512" s="475" t="s">
        <v>4180</v>
      </c>
      <c r="AB512" s="476"/>
      <c r="AC512" s="476"/>
      <c r="AD512" s="567">
        <f>G519</f>
        <v>1275381000</v>
      </c>
      <c r="AE512" s="452"/>
      <c r="AF512" s="571"/>
      <c r="AG512" s="452"/>
      <c r="AH512" s="452"/>
      <c r="AI512" s="453"/>
      <c r="AJ512" s="449"/>
      <c r="AK512" s="453"/>
      <c r="AL512" s="454"/>
      <c r="AM512" s="455"/>
      <c r="AN512" s="456"/>
      <c r="AO512" s="455"/>
      <c r="AP512" s="452"/>
      <c r="AQ512" s="457"/>
      <c r="AR512" s="449"/>
      <c r="AS512" s="449"/>
      <c r="AT512" s="452"/>
      <c r="AU512" s="457"/>
      <c r="AV512" s="449"/>
      <c r="AW512" s="458"/>
      <c r="AX512" s="452"/>
      <c r="AY512" s="457"/>
      <c r="AZ512" s="449"/>
      <c r="BA512" s="459"/>
      <c r="BB512" s="455"/>
      <c r="BC512" s="460"/>
      <c r="BD512" s="460"/>
      <c r="BG512" s="462"/>
    </row>
    <row r="513" spans="1:59" s="461" customFormat="1" ht="18" customHeight="1" x14ac:dyDescent="0.2">
      <c r="A513" s="461" t="str">
        <f t="shared" si="437"/>
        <v>PUSKESMAS CERENTI2017</v>
      </c>
      <c r="B513" s="708"/>
      <c r="C513" s="489"/>
      <c r="D513" s="489" t="s">
        <v>1752</v>
      </c>
      <c r="E513" s="558"/>
      <c r="F513" s="559">
        <v>2017</v>
      </c>
      <c r="G513" s="619">
        <v>0</v>
      </c>
      <c r="H513" s="464">
        <f t="shared" si="438"/>
        <v>47</v>
      </c>
      <c r="I513" s="560"/>
      <c r="J513" s="468">
        <f t="shared" si="432"/>
        <v>2063</v>
      </c>
      <c r="K513" s="490">
        <f t="shared" si="439"/>
        <v>0</v>
      </c>
      <c r="L513" s="469">
        <f t="shared" si="440"/>
        <v>0</v>
      </c>
      <c r="M513" s="683">
        <f t="shared" si="441"/>
        <v>0</v>
      </c>
      <c r="N513" s="470">
        <f t="shared" si="442"/>
        <v>47</v>
      </c>
      <c r="O513" s="468">
        <f t="shared" si="433"/>
        <v>2063</v>
      </c>
      <c r="P513" s="471">
        <f t="shared" si="443"/>
        <v>1178090114.6400003</v>
      </c>
      <c r="Q513" s="472">
        <f t="shared" si="444"/>
        <v>1178090114.6400003</v>
      </c>
      <c r="R513" s="472">
        <f t="shared" si="445"/>
        <v>25065747.120000001</v>
      </c>
      <c r="S513" s="634">
        <f t="shared" si="434"/>
        <v>2017</v>
      </c>
      <c r="T513" s="470">
        <f t="shared" si="446"/>
        <v>1</v>
      </c>
      <c r="U513" s="612">
        <f t="shared" si="435"/>
        <v>25065747.120000001</v>
      </c>
      <c r="V513" s="464">
        <f t="shared" si="436"/>
        <v>2017</v>
      </c>
      <c r="W513" s="612">
        <f t="shared" si="447"/>
        <v>1153024367.5200005</v>
      </c>
      <c r="X513" s="561"/>
      <c r="Y513" s="449"/>
      <c r="Z513" s="449"/>
      <c r="AA513" s="475" t="s">
        <v>4181</v>
      </c>
      <c r="AB513" s="491"/>
      <c r="AC513" s="491"/>
      <c r="AD513" s="567">
        <f>U519</f>
        <v>172488126.72000003</v>
      </c>
      <c r="AE513" s="452"/>
      <c r="AF513" s="571"/>
      <c r="AG513" s="452"/>
      <c r="AH513" s="452"/>
      <c r="AI513" s="453"/>
      <c r="AJ513" s="449"/>
      <c r="AK513" s="453"/>
      <c r="AL513" s="454"/>
      <c r="AM513" s="455"/>
      <c r="AN513" s="456"/>
      <c r="AO513" s="455"/>
      <c r="AP513" s="452"/>
      <c r="AQ513" s="457"/>
      <c r="AR513" s="449"/>
      <c r="AS513" s="449"/>
      <c r="AT513" s="452"/>
      <c r="AU513" s="457"/>
      <c r="AV513" s="449"/>
      <c r="AW513" s="458"/>
      <c r="AX513" s="452"/>
      <c r="AY513" s="457"/>
      <c r="AZ513" s="449"/>
      <c r="BA513" s="459"/>
      <c r="BB513" s="455"/>
      <c r="BC513" s="460"/>
      <c r="BD513" s="460"/>
      <c r="BG513" s="462"/>
    </row>
    <row r="514" spans="1:59" s="461" customFormat="1" ht="18" customHeight="1" x14ac:dyDescent="0.2">
      <c r="A514" s="461" t="str">
        <f t="shared" si="437"/>
        <v>PUSKESMAS CERENTI2018</v>
      </c>
      <c r="B514" s="708"/>
      <c r="C514" s="489"/>
      <c r="D514" s="489" t="s">
        <v>1752</v>
      </c>
      <c r="E514" s="558"/>
      <c r="F514" s="559">
        <v>2018</v>
      </c>
      <c r="G514" s="619">
        <v>0</v>
      </c>
      <c r="H514" s="464">
        <f t="shared" si="438"/>
        <v>46</v>
      </c>
      <c r="I514" s="560"/>
      <c r="J514" s="468">
        <f t="shared" si="432"/>
        <v>2063</v>
      </c>
      <c r="K514" s="490">
        <f t="shared" si="439"/>
        <v>0</v>
      </c>
      <c r="L514" s="469">
        <f t="shared" si="440"/>
        <v>0</v>
      </c>
      <c r="M514" s="683">
        <f t="shared" si="441"/>
        <v>0</v>
      </c>
      <c r="N514" s="470">
        <f t="shared" si="442"/>
        <v>46</v>
      </c>
      <c r="O514" s="468">
        <f t="shared" si="433"/>
        <v>2063</v>
      </c>
      <c r="P514" s="471">
        <f t="shared" si="443"/>
        <v>1153024367.5200005</v>
      </c>
      <c r="Q514" s="472">
        <f t="shared" si="444"/>
        <v>1153024367.5200005</v>
      </c>
      <c r="R514" s="472">
        <f t="shared" si="445"/>
        <v>25065747.120000001</v>
      </c>
      <c r="S514" s="634">
        <f t="shared" si="434"/>
        <v>2018</v>
      </c>
      <c r="T514" s="470">
        <f t="shared" si="446"/>
        <v>1</v>
      </c>
      <c r="U514" s="612">
        <f t="shared" si="435"/>
        <v>25065747.120000001</v>
      </c>
      <c r="V514" s="464">
        <f t="shared" si="436"/>
        <v>2018</v>
      </c>
      <c r="W514" s="612">
        <f t="shared" si="447"/>
        <v>1127958620.4000006</v>
      </c>
      <c r="X514" s="561"/>
      <c r="Y514" s="449"/>
      <c r="Z514" s="449"/>
      <c r="AA514" s="492" t="s">
        <v>4182</v>
      </c>
      <c r="AB514" s="476"/>
      <c r="AC514" s="476"/>
      <c r="AD514" s="568">
        <f>AD512-AD513</f>
        <v>1102892873.28</v>
      </c>
      <c r="AE514" s="452"/>
      <c r="AF514" s="571"/>
      <c r="AG514" s="452"/>
      <c r="AH514" s="452"/>
      <c r="AI514" s="453"/>
      <c r="AJ514" s="449"/>
      <c r="AK514" s="453"/>
      <c r="AL514" s="454"/>
      <c r="AM514" s="455"/>
      <c r="AN514" s="456"/>
      <c r="AO514" s="455"/>
      <c r="AP514" s="452"/>
      <c r="AQ514" s="457"/>
      <c r="AR514" s="449"/>
      <c r="AS514" s="449"/>
      <c r="AT514" s="452"/>
      <c r="AU514" s="457"/>
      <c r="AV514" s="449"/>
      <c r="AW514" s="458"/>
      <c r="AX514" s="452"/>
      <c r="AY514" s="457"/>
      <c r="AZ514" s="449"/>
      <c r="BA514" s="459"/>
      <c r="BB514" s="455"/>
      <c r="BC514" s="460"/>
      <c r="BD514" s="460"/>
      <c r="BG514" s="462"/>
    </row>
    <row r="515" spans="1:59" s="461" customFormat="1" ht="18" customHeight="1" x14ac:dyDescent="0.2">
      <c r="A515" s="461" t="str">
        <f t="shared" si="437"/>
        <v>PUSKESMAS CERENTI2019</v>
      </c>
      <c r="B515" s="708"/>
      <c r="C515" s="489"/>
      <c r="D515" s="489"/>
      <c r="E515" s="558"/>
      <c r="F515" s="559">
        <v>2019</v>
      </c>
      <c r="G515" s="619">
        <v>0</v>
      </c>
      <c r="H515" s="464">
        <f t="shared" si="438"/>
        <v>45</v>
      </c>
      <c r="I515" s="560"/>
      <c r="J515" s="468">
        <f t="shared" si="432"/>
        <v>2063</v>
      </c>
      <c r="K515" s="490">
        <f t="shared" si="439"/>
        <v>0</v>
      </c>
      <c r="L515" s="469">
        <f t="shared" si="440"/>
        <v>0</v>
      </c>
      <c r="M515" s="683">
        <f t="shared" si="441"/>
        <v>0</v>
      </c>
      <c r="N515" s="470">
        <f t="shared" si="442"/>
        <v>45</v>
      </c>
      <c r="O515" s="468">
        <f t="shared" si="433"/>
        <v>2063</v>
      </c>
      <c r="P515" s="471">
        <f t="shared" si="443"/>
        <v>1127958620.4000006</v>
      </c>
      <c r="Q515" s="472">
        <f t="shared" si="444"/>
        <v>1127958620.4000006</v>
      </c>
      <c r="R515" s="472">
        <f t="shared" si="445"/>
        <v>25065747.120000001</v>
      </c>
      <c r="S515" s="1189">
        <f>F515</f>
        <v>2019</v>
      </c>
      <c r="T515" s="470">
        <f t="shared" si="446"/>
        <v>1</v>
      </c>
      <c r="U515" s="612">
        <f>R515*T515</f>
        <v>25065747.120000001</v>
      </c>
      <c r="V515" s="464">
        <f t="shared" si="436"/>
        <v>2019</v>
      </c>
      <c r="W515" s="612">
        <f t="shared" si="447"/>
        <v>1102892873.2800007</v>
      </c>
      <c r="X515" s="561"/>
      <c r="Y515" s="449"/>
      <c r="Z515" s="449"/>
      <c r="AA515" s="475" t="s">
        <v>4183</v>
      </c>
      <c r="AB515" s="476"/>
      <c r="AC515" s="476"/>
      <c r="AD515" s="567">
        <f>AD514-W519</f>
        <v>0</v>
      </c>
      <c r="AE515" s="452"/>
      <c r="AF515" s="571"/>
      <c r="AG515" s="452"/>
      <c r="AH515" s="452"/>
      <c r="AI515" s="453"/>
      <c r="AJ515" s="449"/>
      <c r="AK515" s="453"/>
      <c r="AL515" s="454"/>
      <c r="AM515" s="455"/>
      <c r="AN515" s="456"/>
      <c r="AO515" s="455"/>
      <c r="AP515" s="452"/>
      <c r="AQ515" s="457"/>
      <c r="AR515" s="449"/>
      <c r="AS515" s="449"/>
      <c r="AT515" s="452"/>
      <c r="AU515" s="457"/>
      <c r="AV515" s="449"/>
      <c r="AW515" s="458"/>
      <c r="AX515" s="452"/>
      <c r="AY515" s="457"/>
      <c r="AZ515" s="449"/>
      <c r="BA515" s="459"/>
      <c r="BB515" s="455"/>
      <c r="BC515" s="460"/>
      <c r="BD515" s="460"/>
      <c r="BG515" s="462"/>
    </row>
    <row r="516" spans="1:59" s="486" customFormat="1" ht="18" customHeight="1" x14ac:dyDescent="0.2">
      <c r="B516" s="708"/>
      <c r="C516" s="463"/>
      <c r="D516" s="489"/>
      <c r="E516" s="465"/>
      <c r="F516" s="559"/>
      <c r="G516" s="619"/>
      <c r="H516" s="464"/>
      <c r="I516" s="560"/>
      <c r="J516" s="468"/>
      <c r="K516" s="490"/>
      <c r="L516" s="469"/>
      <c r="M516" s="683"/>
      <c r="N516" s="470"/>
      <c r="O516" s="468"/>
      <c r="P516" s="471"/>
      <c r="Q516" s="472"/>
      <c r="R516" s="472"/>
      <c r="S516" s="634"/>
      <c r="T516" s="470"/>
      <c r="U516" s="612"/>
      <c r="V516" s="464"/>
      <c r="W516" s="612"/>
      <c r="X516" s="561"/>
      <c r="Y516" s="474"/>
      <c r="Z516" s="449"/>
      <c r="AA516" s="495"/>
      <c r="AB516" s="496"/>
      <c r="AC516" s="496"/>
      <c r="AD516" s="569"/>
      <c r="AE516" s="476"/>
      <c r="AF516" s="568"/>
      <c r="AG516" s="476"/>
      <c r="AH516" s="476"/>
      <c r="AI516" s="477"/>
      <c r="AJ516" s="478"/>
      <c r="AK516" s="479"/>
      <c r="AL516" s="480"/>
      <c r="AM516" s="474"/>
      <c r="AN516" s="481"/>
      <c r="AO516" s="474"/>
      <c r="AP516" s="476"/>
      <c r="AQ516" s="482"/>
      <c r="AR516" s="478"/>
      <c r="AS516" s="478"/>
      <c r="AT516" s="476"/>
      <c r="AU516" s="482"/>
      <c r="AV516" s="478"/>
      <c r="AW516" s="483"/>
      <c r="AX516" s="476"/>
      <c r="AY516" s="482"/>
      <c r="AZ516" s="478"/>
      <c r="BA516" s="484"/>
      <c r="BB516" s="474"/>
      <c r="BC516" s="485"/>
      <c r="BD516" s="485"/>
      <c r="BG516" s="487"/>
    </row>
    <row r="517" spans="1:59" s="486" customFormat="1" ht="18" customHeight="1" x14ac:dyDescent="0.2">
      <c r="B517" s="708"/>
      <c r="C517" s="488"/>
      <c r="D517" s="489"/>
      <c r="E517" s="465"/>
      <c r="F517" s="466"/>
      <c r="G517" s="620"/>
      <c r="H517" s="464"/>
      <c r="I517" s="467"/>
      <c r="J517" s="468"/>
      <c r="K517" s="490"/>
      <c r="L517" s="469"/>
      <c r="M517" s="683"/>
      <c r="N517" s="470"/>
      <c r="O517" s="468"/>
      <c r="P517" s="471"/>
      <c r="Q517" s="472"/>
      <c r="R517" s="472"/>
      <c r="S517" s="634"/>
      <c r="T517" s="470"/>
      <c r="U517" s="612"/>
      <c r="V517" s="464"/>
      <c r="W517" s="612"/>
      <c r="X517" s="473"/>
      <c r="Y517" s="478"/>
      <c r="Z517" s="449"/>
      <c r="AA517" s="699"/>
      <c r="AB517" s="700"/>
      <c r="AC517" s="700"/>
      <c r="AD517" s="701"/>
      <c r="AE517" s="491"/>
      <c r="AF517" s="568"/>
      <c r="AG517" s="491"/>
      <c r="AH517" s="491"/>
      <c r="AI517" s="477"/>
      <c r="AJ517" s="478"/>
      <c r="AK517" s="479"/>
      <c r="AL517" s="480"/>
      <c r="AM517" s="474"/>
      <c r="AN517" s="481"/>
      <c r="AO517" s="474"/>
      <c r="AP517" s="476"/>
      <c r="AQ517" s="482"/>
      <c r="AR517" s="478"/>
      <c r="AS517" s="478"/>
      <c r="AT517" s="476"/>
      <c r="AU517" s="482"/>
      <c r="AV517" s="478"/>
      <c r="AW517" s="483"/>
      <c r="AX517" s="476"/>
      <c r="AY517" s="482"/>
      <c r="AZ517" s="478"/>
      <c r="BA517" s="484"/>
      <c r="BB517" s="474"/>
      <c r="BC517" s="485"/>
      <c r="BD517" s="485"/>
      <c r="BG517" s="487"/>
    </row>
    <row r="518" spans="1:59" s="486" customFormat="1" ht="18" customHeight="1" x14ac:dyDescent="0.2">
      <c r="B518" s="687"/>
      <c r="C518" s="494"/>
      <c r="D518" s="464"/>
      <c r="E518" s="465"/>
      <c r="F518" s="466"/>
      <c r="G518" s="620"/>
      <c r="H518" s="464"/>
      <c r="I518" s="467"/>
      <c r="J518" s="468"/>
      <c r="K518" s="490"/>
      <c r="L518" s="469"/>
      <c r="M518" s="683"/>
      <c r="N518" s="470"/>
      <c r="O518" s="468"/>
      <c r="P518" s="471"/>
      <c r="Q518" s="472"/>
      <c r="R518" s="472"/>
      <c r="S518" s="634"/>
      <c r="T518" s="470"/>
      <c r="U518" s="612"/>
      <c r="V518" s="464"/>
      <c r="W518" s="612"/>
      <c r="X518" s="473"/>
      <c r="Y518" s="478"/>
      <c r="Z518" s="449"/>
      <c r="AA518" s="497"/>
      <c r="AB518" s="476"/>
      <c r="AC518" s="476"/>
      <c r="AD518" s="568"/>
      <c r="AE518" s="476"/>
      <c r="AF518" s="568"/>
      <c r="AG518" s="476"/>
      <c r="AH518" s="476"/>
      <c r="AI518" s="477"/>
      <c r="AJ518" s="478"/>
      <c r="AK518" s="479"/>
      <c r="AL518" s="480"/>
      <c r="AM518" s="474"/>
      <c r="AN518" s="481"/>
      <c r="AO518" s="474"/>
      <c r="AP518" s="476"/>
      <c r="AQ518" s="482"/>
      <c r="AR518" s="478"/>
      <c r="AS518" s="478"/>
      <c r="AT518" s="476"/>
      <c r="AU518" s="482"/>
      <c r="AV518" s="478"/>
      <c r="AW518" s="483"/>
      <c r="AX518" s="476"/>
      <c r="AY518" s="482"/>
      <c r="AZ518" s="478"/>
      <c r="BA518" s="484"/>
      <c r="BB518" s="474"/>
      <c r="BC518" s="485"/>
      <c r="BD518" s="485"/>
      <c r="BG518" s="487"/>
    </row>
    <row r="519" spans="1:59" s="526" customFormat="1" ht="18" customHeight="1" x14ac:dyDescent="0.2">
      <c r="B519" s="1956" t="s">
        <v>4184</v>
      </c>
      <c r="C519" s="1957"/>
      <c r="D519" s="1957"/>
      <c r="E519" s="1957"/>
      <c r="F519" s="1958"/>
      <c r="G519" s="621">
        <f>SUM(G509:G518)</f>
        <v>1275381000</v>
      </c>
      <c r="H519" s="505"/>
      <c r="I519" s="506"/>
      <c r="J519" s="507"/>
      <c r="K519" s="507"/>
      <c r="L519" s="505"/>
      <c r="M519" s="684"/>
      <c r="N519" s="508"/>
      <c r="O519" s="507"/>
      <c r="P519" s="509"/>
      <c r="Q519" s="510"/>
      <c r="R519" s="511"/>
      <c r="S519" s="512"/>
      <c r="T519" s="512"/>
      <c r="U519" s="610">
        <f>SUM(U509:U518)</f>
        <v>172488126.72000003</v>
      </c>
      <c r="V519" s="513"/>
      <c r="W519" s="610">
        <f>G519-U519</f>
        <v>1102892873.28</v>
      </c>
      <c r="X519" s="514"/>
      <c r="Y519" s="515"/>
      <c r="Z519" s="515"/>
      <c r="AA519" s="515"/>
      <c r="AB519" s="515"/>
      <c r="AC519" s="515"/>
      <c r="AD519" s="570"/>
      <c r="AE519" s="515"/>
      <c r="AF519" s="570"/>
      <c r="AG519" s="515"/>
      <c r="AH519" s="515"/>
      <c r="AI519" s="516"/>
      <c r="AJ519" s="517"/>
      <c r="AK519" s="518"/>
      <c r="AL519" s="519"/>
      <c r="AM519" s="520"/>
      <c r="AN519" s="521"/>
      <c r="AO519" s="520"/>
      <c r="AP519" s="515"/>
      <c r="AQ519" s="522"/>
      <c r="AR519" s="517"/>
      <c r="AS519" s="517"/>
      <c r="AT519" s="515"/>
      <c r="AU519" s="522"/>
      <c r="AV519" s="517"/>
      <c r="AW519" s="523"/>
      <c r="AX519" s="515"/>
      <c r="AY519" s="522"/>
      <c r="AZ519" s="517"/>
      <c r="BA519" s="524"/>
      <c r="BB519" s="520"/>
      <c r="BC519" s="525"/>
      <c r="BD519" s="525"/>
      <c r="BG519" s="527"/>
    </row>
    <row r="520" spans="1:59" s="526" customFormat="1" ht="18" customHeight="1" x14ac:dyDescent="0.2">
      <c r="B520" s="741"/>
      <c r="C520" s="698"/>
      <c r="D520" s="698"/>
      <c r="E520" s="698"/>
      <c r="F520" s="585"/>
      <c r="G520" s="622"/>
      <c r="H520" s="586"/>
      <c r="I520" s="587"/>
      <c r="J520" s="588"/>
      <c r="K520" s="588"/>
      <c r="L520" s="586"/>
      <c r="M520" s="521"/>
      <c r="N520" s="589"/>
      <c r="O520" s="588"/>
      <c r="P520" s="590"/>
      <c r="Q520" s="591"/>
      <c r="R520" s="592"/>
      <c r="S520" s="593"/>
      <c r="T520" s="593"/>
      <c r="U520" s="570"/>
      <c r="V520" s="594"/>
      <c r="W520" s="570"/>
      <c r="X520" s="515"/>
      <c r="Y520" s="515"/>
      <c r="Z520" s="515"/>
      <c r="AA520" s="515"/>
      <c r="AB520" s="515"/>
      <c r="AC520" s="515"/>
      <c r="AD520" s="570"/>
      <c r="AE520" s="515"/>
      <c r="AF520" s="570"/>
      <c r="AG520" s="515"/>
      <c r="AH520" s="515"/>
      <c r="AI520" s="516"/>
      <c r="AJ520" s="517"/>
      <c r="AK520" s="518"/>
      <c r="AL520" s="519"/>
      <c r="AM520" s="520"/>
      <c r="AN520" s="521"/>
      <c r="AO520" s="520"/>
      <c r="AP520" s="515"/>
      <c r="AQ520" s="522"/>
      <c r="AR520" s="517"/>
      <c r="AS520" s="517"/>
      <c r="AT520" s="515"/>
      <c r="AU520" s="522"/>
      <c r="AV520" s="517"/>
      <c r="AW520" s="523"/>
      <c r="AX520" s="515"/>
      <c r="AY520" s="522"/>
      <c r="AZ520" s="517"/>
      <c r="BA520" s="524"/>
      <c r="BB520" s="520"/>
      <c r="BC520" s="525"/>
      <c r="BD520" s="525"/>
      <c r="BG520" s="527"/>
    </row>
    <row r="521" spans="1:59" s="526" customFormat="1" ht="18" customHeight="1" x14ac:dyDescent="0.2">
      <c r="B521" s="575"/>
      <c r="C521" s="585"/>
      <c r="D521" s="585"/>
      <c r="E521" s="585"/>
      <c r="F521" s="585"/>
      <c r="G521" s="622"/>
      <c r="H521" s="586"/>
      <c r="I521" s="587"/>
      <c r="J521" s="588"/>
      <c r="K521" s="588"/>
      <c r="L521" s="586"/>
      <c r="M521" s="521"/>
      <c r="N521" s="589"/>
      <c r="O521" s="588"/>
      <c r="P521" s="590"/>
      <c r="Q521" s="591"/>
      <c r="R521" s="592"/>
      <c r="S521" s="593"/>
      <c r="T521" s="593"/>
      <c r="U521" s="570"/>
      <c r="V521" s="594"/>
      <c r="W521" s="570"/>
      <c r="X521" s="515"/>
      <c r="Y521" s="515"/>
      <c r="Z521" s="515"/>
      <c r="AA521" s="515"/>
      <c r="AB521" s="515"/>
      <c r="AC521" s="515"/>
      <c r="AD521" s="570"/>
      <c r="AE521" s="515"/>
      <c r="AF521" s="570"/>
      <c r="AG521" s="515"/>
      <c r="AH521" s="515"/>
      <c r="AI521" s="516"/>
      <c r="AJ521" s="517"/>
      <c r="AK521" s="518"/>
      <c r="AL521" s="519"/>
      <c r="AM521" s="520"/>
      <c r="AN521" s="521"/>
      <c r="AO521" s="520"/>
      <c r="AP521" s="515"/>
      <c r="AQ521" s="522"/>
      <c r="AR521" s="517"/>
      <c r="AS521" s="517"/>
      <c r="AT521" s="515"/>
      <c r="AU521" s="522"/>
      <c r="AV521" s="517"/>
      <c r="AW521" s="523"/>
      <c r="AX521" s="515"/>
      <c r="AY521" s="522"/>
      <c r="AZ521" s="517"/>
      <c r="BA521" s="524"/>
      <c r="BB521" s="520"/>
      <c r="BC521" s="525"/>
      <c r="BD521" s="525"/>
      <c r="BG521" s="527"/>
    </row>
    <row r="522" spans="1:59" s="422" customFormat="1" ht="18" customHeight="1" x14ac:dyDescent="0.2">
      <c r="B522" s="688" t="s">
        <v>4227</v>
      </c>
      <c r="C522" s="556"/>
      <c r="D522" s="553" t="s">
        <v>2982</v>
      </c>
      <c r="E522" s="553"/>
      <c r="F522" s="421"/>
      <c r="G522" s="611"/>
      <c r="I522" s="423"/>
      <c r="J522" s="424"/>
      <c r="K522" s="424"/>
      <c r="M522" s="680"/>
      <c r="U522" s="611"/>
      <c r="W522" s="611"/>
      <c r="Y522" s="425"/>
      <c r="Z522" s="425"/>
      <c r="AA522" s="425"/>
      <c r="AB522" s="425"/>
      <c r="AC522" s="425"/>
      <c r="AD522" s="563"/>
      <c r="AE522" s="425"/>
      <c r="AF522" s="563"/>
      <c r="AG522" s="425"/>
      <c r="AH522" s="425"/>
      <c r="AI522" s="425"/>
      <c r="AJ522" s="425"/>
      <c r="AK522" s="425"/>
      <c r="AL522" s="425"/>
      <c r="AM522" s="425"/>
      <c r="AN522" s="425"/>
      <c r="AO522" s="425"/>
      <c r="AP522" s="425"/>
      <c r="AQ522" s="425"/>
      <c r="AR522" s="425"/>
      <c r="AS522" s="425"/>
      <c r="AT522" s="425"/>
      <c r="AU522" s="425"/>
      <c r="AV522" s="425"/>
      <c r="AW522" s="425"/>
      <c r="AX522" s="425"/>
      <c r="AY522" s="425"/>
      <c r="AZ522" s="425"/>
      <c r="BA522" s="425"/>
      <c r="BB522" s="425"/>
    </row>
    <row r="523" spans="1:59" s="431" customFormat="1" ht="18" customHeight="1" x14ac:dyDescent="0.2">
      <c r="B523" s="1968" t="s">
        <v>5</v>
      </c>
      <c r="C523" s="1968" t="s">
        <v>2280</v>
      </c>
      <c r="D523" s="1968" t="s">
        <v>4157</v>
      </c>
      <c r="E523" s="1968" t="s">
        <v>4158</v>
      </c>
      <c r="F523" s="1968"/>
      <c r="G523" s="1969" t="s">
        <v>4159</v>
      </c>
      <c r="H523" s="1355" t="s">
        <v>4160</v>
      </c>
      <c r="I523" s="1355"/>
      <c r="J523" s="1968" t="s">
        <v>4161</v>
      </c>
      <c r="K523" s="1964" t="s">
        <v>4162</v>
      </c>
      <c r="L523" s="1968" t="s">
        <v>4163</v>
      </c>
      <c r="M523" s="1971" t="s">
        <v>4164</v>
      </c>
      <c r="N523" s="1962" t="s">
        <v>4165</v>
      </c>
      <c r="O523" s="1968" t="s">
        <v>4166</v>
      </c>
      <c r="P523" s="1972" t="s">
        <v>4167</v>
      </c>
      <c r="Q523" s="1973"/>
      <c r="R523" s="636" t="s">
        <v>4168</v>
      </c>
      <c r="S523" s="1972" t="s">
        <v>4169</v>
      </c>
      <c r="T523" s="1974"/>
      <c r="U523" s="1973"/>
      <c r="V523" s="1975" t="s">
        <v>4170</v>
      </c>
      <c r="W523" s="1975"/>
      <c r="X523" s="1960" t="s">
        <v>4171</v>
      </c>
      <c r="Y523" s="1959"/>
      <c r="Z523" s="633"/>
      <c r="AA523" s="426"/>
      <c r="AB523" s="426"/>
      <c r="AC523" s="426"/>
      <c r="AD523" s="564"/>
      <c r="AE523" s="426"/>
      <c r="AF523" s="564"/>
      <c r="AG523" s="426"/>
      <c r="AH523" s="426"/>
      <c r="AI523" s="427"/>
      <c r="AJ523" s="427"/>
      <c r="AK523" s="427"/>
      <c r="AL523" s="427"/>
      <c r="AM523" s="428"/>
      <c r="AN523" s="427"/>
      <c r="AO523" s="427"/>
      <c r="AP523" s="426"/>
      <c r="AQ523" s="427"/>
      <c r="AR523" s="427"/>
      <c r="AS523" s="427"/>
      <c r="AT523" s="426"/>
      <c r="AU523" s="427"/>
      <c r="AV523" s="427"/>
      <c r="AW523" s="427"/>
      <c r="AX523" s="426"/>
      <c r="AY523" s="427"/>
      <c r="AZ523" s="427"/>
      <c r="BA523" s="427"/>
      <c r="BB523" s="429"/>
      <c r="BC523" s="430"/>
      <c r="BD523" s="430"/>
    </row>
    <row r="524" spans="1:59" s="431" customFormat="1" ht="18" customHeight="1" x14ac:dyDescent="0.2">
      <c r="B524" s="1968"/>
      <c r="C524" s="1968"/>
      <c r="D524" s="1968"/>
      <c r="E524" s="1968"/>
      <c r="F524" s="1968"/>
      <c r="G524" s="1969"/>
      <c r="H524" s="1355"/>
      <c r="I524" s="1355"/>
      <c r="J524" s="1968"/>
      <c r="K524" s="1970"/>
      <c r="L524" s="1968"/>
      <c r="M524" s="1971"/>
      <c r="N524" s="1963"/>
      <c r="O524" s="1968"/>
      <c r="P524" s="1960" t="s">
        <v>4172</v>
      </c>
      <c r="Q524" s="1960" t="s">
        <v>4173</v>
      </c>
      <c r="R524" s="1962" t="s">
        <v>4159</v>
      </c>
      <c r="S524" s="1962" t="s">
        <v>4174</v>
      </c>
      <c r="T524" s="1964" t="s">
        <v>4175</v>
      </c>
      <c r="U524" s="1966" t="s">
        <v>4159</v>
      </c>
      <c r="V524" s="1975"/>
      <c r="W524" s="1975"/>
      <c r="X524" s="1976"/>
      <c r="Y524" s="1959"/>
      <c r="Z524" s="633"/>
      <c r="AA524" s="426"/>
      <c r="AB524" s="426"/>
      <c r="AC524" s="426"/>
      <c r="AD524" s="564"/>
      <c r="AE524" s="426"/>
      <c r="AF524" s="564"/>
      <c r="AG524" s="426"/>
      <c r="AH524" s="426"/>
      <c r="AI524" s="427"/>
      <c r="AJ524" s="427"/>
      <c r="AK524" s="426"/>
      <c r="AL524" s="427"/>
      <c r="AM524" s="428"/>
      <c r="AN524" s="427"/>
      <c r="AO524" s="427"/>
      <c r="AP524" s="432"/>
      <c r="AQ524" s="427"/>
      <c r="AR524" s="427"/>
      <c r="AS524" s="427"/>
      <c r="AT524" s="432"/>
      <c r="AU524" s="427"/>
      <c r="AV524" s="427"/>
      <c r="AW524" s="427"/>
      <c r="AX524" s="432"/>
      <c r="AY524" s="427"/>
      <c r="AZ524" s="427"/>
      <c r="BA524" s="427"/>
      <c r="BB524" s="429"/>
      <c r="BC524" s="430"/>
      <c r="BD524" s="430"/>
    </row>
    <row r="525" spans="1:59" s="431" customFormat="1" ht="21.75" customHeight="1" x14ac:dyDescent="0.2">
      <c r="B525" s="1968"/>
      <c r="C525" s="1968"/>
      <c r="D525" s="1968"/>
      <c r="E525" s="433" t="s">
        <v>4176</v>
      </c>
      <c r="F525" s="434" t="s">
        <v>2288</v>
      </c>
      <c r="G525" s="1969"/>
      <c r="H525" s="1355" t="s">
        <v>2288</v>
      </c>
      <c r="I525" s="1355" t="s">
        <v>4177</v>
      </c>
      <c r="J525" s="1968"/>
      <c r="K525" s="1965"/>
      <c r="L525" s="435" t="s">
        <v>2288</v>
      </c>
      <c r="M525" s="681" t="s">
        <v>2288</v>
      </c>
      <c r="N525" s="635" t="s">
        <v>2288</v>
      </c>
      <c r="O525" s="1968"/>
      <c r="P525" s="1961"/>
      <c r="Q525" s="1961"/>
      <c r="R525" s="1963"/>
      <c r="S525" s="1963"/>
      <c r="T525" s="1965"/>
      <c r="U525" s="1967"/>
      <c r="V525" s="635" t="s">
        <v>4178</v>
      </c>
      <c r="W525" s="637" t="s">
        <v>4159</v>
      </c>
      <c r="X525" s="1961"/>
      <c r="Y525" s="436"/>
      <c r="Z525" s="436"/>
      <c r="AA525" s="426"/>
      <c r="AB525" s="426"/>
      <c r="AC525" s="426"/>
      <c r="AD525" s="564"/>
      <c r="AE525" s="426"/>
      <c r="AF525" s="564"/>
      <c r="AG525" s="426"/>
      <c r="AH525" s="426"/>
      <c r="AI525" s="427"/>
      <c r="AJ525" s="432"/>
      <c r="AK525" s="432"/>
      <c r="AL525" s="427"/>
      <c r="AM525" s="428"/>
      <c r="AN525" s="432"/>
      <c r="AO525" s="427"/>
      <c r="AP525" s="432"/>
      <c r="AQ525" s="432"/>
      <c r="AR525" s="427"/>
      <c r="AS525" s="427"/>
      <c r="AT525" s="432"/>
      <c r="AU525" s="432"/>
      <c r="AV525" s="427"/>
      <c r="AW525" s="427"/>
      <c r="AX525" s="432"/>
      <c r="AY525" s="432"/>
      <c r="AZ525" s="427"/>
      <c r="BA525" s="427"/>
      <c r="BB525" s="429"/>
      <c r="BC525" s="430"/>
      <c r="BD525" s="430"/>
    </row>
    <row r="526" spans="1:59" s="461" customFormat="1" ht="18" customHeight="1" x14ac:dyDescent="0.2">
      <c r="A526" s="461" t="str">
        <f>$D$522&amp;S526</f>
        <v>GEDUNG RAWAT INAP PUSKESMAS SEI. BULUH2013</v>
      </c>
      <c r="B526" s="689">
        <v>1</v>
      </c>
      <c r="C526" s="597" t="s">
        <v>2750</v>
      </c>
      <c r="D526" s="597" t="s">
        <v>1752</v>
      </c>
      <c r="E526" s="598"/>
      <c r="F526" s="599">
        <v>2013</v>
      </c>
      <c r="G526" s="626">
        <v>994218140</v>
      </c>
      <c r="H526" s="600">
        <f>VLOOKUP(LEFT(D526,8),UE,4)</f>
        <v>50</v>
      </c>
      <c r="I526" s="601"/>
      <c r="J526" s="602">
        <f t="shared" ref="J526:J532" si="448">(F526+N526)-1</f>
        <v>2062</v>
      </c>
      <c r="K526" s="603"/>
      <c r="L526" s="600"/>
      <c r="M526" s="685">
        <f>IF(H526+L526&gt;$H526,$H526-H526,L526)</f>
        <v>0</v>
      </c>
      <c r="N526" s="604">
        <f>H526+M526</f>
        <v>50</v>
      </c>
      <c r="O526" s="602">
        <f t="shared" ref="O526:O532" si="449">(F526+N526)-1</f>
        <v>2062</v>
      </c>
      <c r="P526" s="605">
        <f>G526</f>
        <v>994218140</v>
      </c>
      <c r="Q526" s="606">
        <v>0</v>
      </c>
      <c r="R526" s="606">
        <f>P526/N526</f>
        <v>19884362.800000001</v>
      </c>
      <c r="S526" s="607">
        <f t="shared" ref="S526:S531" si="450">F526</f>
        <v>2013</v>
      </c>
      <c r="T526" s="608">
        <v>1</v>
      </c>
      <c r="U526" s="615">
        <f t="shared" ref="U526:U531" si="451">R526*T526</f>
        <v>19884362.800000001</v>
      </c>
      <c r="V526" s="602">
        <f t="shared" ref="V526:V532" si="452">F526</f>
        <v>2013</v>
      </c>
      <c r="W526" s="618">
        <f>IF(OR(AND(ISBLANK(E526),ISBLANK(G526)),ISTEXT(E526),ISTEXT(G526)),"",G526-R526)</f>
        <v>974333777.20000005</v>
      </c>
      <c r="X526" s="609"/>
      <c r="Y526" s="449"/>
      <c r="Z526" s="449"/>
      <c r="AA526" s="694"/>
      <c r="AB526" s="692"/>
      <c r="AC526" s="692"/>
      <c r="AD526" s="695"/>
      <c r="AE526" s="452"/>
      <c r="AF526" s="571"/>
      <c r="AG526" s="452"/>
      <c r="AH526" s="452"/>
      <c r="AI526" s="453"/>
      <c r="AJ526" s="449"/>
      <c r="AK526" s="453"/>
      <c r="AL526" s="454"/>
      <c r="AM526" s="455"/>
      <c r="AN526" s="456"/>
      <c r="AO526" s="455"/>
      <c r="AP526" s="452"/>
      <c r="AQ526" s="457"/>
      <c r="AR526" s="449"/>
      <c r="AS526" s="449"/>
      <c r="AT526" s="452"/>
      <c r="AU526" s="457"/>
      <c r="AV526" s="449"/>
      <c r="AW526" s="458"/>
      <c r="AX526" s="452"/>
      <c r="AY526" s="457"/>
      <c r="AZ526" s="449"/>
      <c r="BA526" s="459"/>
      <c r="BB526" s="455"/>
      <c r="BC526" s="460"/>
      <c r="BD526" s="460"/>
      <c r="BG526" s="462"/>
    </row>
    <row r="527" spans="1:59" s="461" customFormat="1" ht="18" customHeight="1" x14ac:dyDescent="0.2">
      <c r="A527" s="461" t="str">
        <f t="shared" ref="A527:A532" si="453">$D$522&amp;S527</f>
        <v>GEDUNG RAWAT INAP PUSKESMAS SEI. BULUH2014</v>
      </c>
      <c r="B527" s="708">
        <v>2</v>
      </c>
      <c r="C527" s="489" t="s">
        <v>2981</v>
      </c>
      <c r="D527" s="489" t="s">
        <v>1752</v>
      </c>
      <c r="E527" s="558"/>
      <c r="F527" s="559">
        <v>2014</v>
      </c>
      <c r="G527" s="619">
        <v>150796700</v>
      </c>
      <c r="H527" s="464">
        <f t="shared" ref="H527:H532" si="454">IF(N526-(F527-F526)&lt;=0,0,(N526-(F527-F526)))</f>
        <v>49</v>
      </c>
      <c r="I527" s="560"/>
      <c r="J527" s="468">
        <f t="shared" si="448"/>
        <v>2063</v>
      </c>
      <c r="K527" s="490">
        <f t="shared" ref="K527:K532" si="455">IF(G527=0,0,IF(H527=50,100%,G527/W526))</f>
        <v>0.15476903657528254</v>
      </c>
      <c r="L527" s="469">
        <f t="shared" ref="L527:L532" si="456">IF(K527=0%,0,IF(K527&lt;=25%,5,IF(K527&lt;=50%,10,IF(K527&lt;=75%,15,50))))</f>
        <v>5</v>
      </c>
      <c r="M527" s="683">
        <f t="shared" ref="M527:M532" si="457">IF(OR(AND(ISBLANK(E527),ISBLANK(G527)),ISTEXT(E527),ISTEXT(G527)),"",IF(H527+L527&gt;$H$27,$H$27-H527,L527))</f>
        <v>1</v>
      </c>
      <c r="N527" s="470">
        <f t="shared" ref="N527:N532" si="458">IF(OR(AND(ISBLANK(F527),ISBLANK(G527)),ISTEXT(F527),ISTEXT(G527)),"",H527+M527)</f>
        <v>50</v>
      </c>
      <c r="O527" s="468">
        <f t="shared" si="449"/>
        <v>2063</v>
      </c>
      <c r="P527" s="471">
        <f t="shared" ref="P527:P532" si="459">W526</f>
        <v>974333777.20000005</v>
      </c>
      <c r="Q527" s="472">
        <f t="shared" ref="Q527:Q532" si="460">P527+G527</f>
        <v>1125130477.2</v>
      </c>
      <c r="R527" s="472">
        <f t="shared" ref="R527:R532" si="461">IF(L527=0,R526,Q527/N527)</f>
        <v>22502609.544</v>
      </c>
      <c r="S527" s="634">
        <f t="shared" si="450"/>
        <v>2014</v>
      </c>
      <c r="T527" s="470">
        <f t="shared" ref="T527:T532" si="462">S527-S526</f>
        <v>1</v>
      </c>
      <c r="U527" s="612">
        <f t="shared" si="451"/>
        <v>22502609.544</v>
      </c>
      <c r="V527" s="464">
        <f t="shared" si="452"/>
        <v>2014</v>
      </c>
      <c r="W527" s="612">
        <f t="shared" ref="W527:W532" si="463">IF(OR(AND(ISBLANK(E527),ISBLANK(G527)),ISTEXT(E527),ISTEXT(G527)),"",Q527-U527)</f>
        <v>1102627867.6560001</v>
      </c>
      <c r="X527" s="561"/>
      <c r="Y527" s="449"/>
      <c r="Z527" s="449"/>
      <c r="AA527" s="554" t="s">
        <v>4179</v>
      </c>
      <c r="AB527" s="452"/>
      <c r="AC527" s="452"/>
      <c r="AD527" s="566"/>
      <c r="AE527" s="452"/>
      <c r="AF527" s="571"/>
      <c r="AG527" s="452"/>
      <c r="AH527" s="452"/>
      <c r="AI527" s="453"/>
      <c r="AJ527" s="449"/>
      <c r="AK527" s="453"/>
      <c r="AL527" s="454"/>
      <c r="AM527" s="455"/>
      <c r="AN527" s="456"/>
      <c r="AO527" s="455"/>
      <c r="AP527" s="452"/>
      <c r="AQ527" s="457"/>
      <c r="AR527" s="449"/>
      <c r="AS527" s="449"/>
      <c r="AT527" s="452"/>
      <c r="AU527" s="457"/>
      <c r="AV527" s="449"/>
      <c r="AW527" s="458"/>
      <c r="AX527" s="452"/>
      <c r="AY527" s="457"/>
      <c r="AZ527" s="449"/>
      <c r="BA527" s="459"/>
      <c r="BB527" s="455"/>
      <c r="BC527" s="460"/>
      <c r="BD527" s="460"/>
      <c r="BG527" s="462"/>
    </row>
    <row r="528" spans="1:59" s="461" customFormat="1" ht="18" customHeight="1" x14ac:dyDescent="0.2">
      <c r="A528" s="461" t="str">
        <f t="shared" si="453"/>
        <v>GEDUNG RAWAT INAP PUSKESMAS SEI. BULUH2015</v>
      </c>
      <c r="B528" s="708"/>
      <c r="C528" s="489"/>
      <c r="D528" s="489" t="s">
        <v>1752</v>
      </c>
      <c r="E528" s="558"/>
      <c r="F528" s="559">
        <v>2015</v>
      </c>
      <c r="G528" s="619">
        <v>0</v>
      </c>
      <c r="H528" s="464">
        <f t="shared" si="454"/>
        <v>49</v>
      </c>
      <c r="I528" s="560"/>
      <c r="J528" s="468">
        <f t="shared" si="448"/>
        <v>2063</v>
      </c>
      <c r="K528" s="490">
        <f t="shared" si="455"/>
        <v>0</v>
      </c>
      <c r="L528" s="469">
        <f t="shared" si="456"/>
        <v>0</v>
      </c>
      <c r="M528" s="683">
        <f t="shared" si="457"/>
        <v>0</v>
      </c>
      <c r="N528" s="470">
        <f t="shared" si="458"/>
        <v>49</v>
      </c>
      <c r="O528" s="468">
        <f t="shared" si="449"/>
        <v>2063</v>
      </c>
      <c r="P528" s="471">
        <f t="shared" si="459"/>
        <v>1102627867.6560001</v>
      </c>
      <c r="Q528" s="472">
        <f t="shared" si="460"/>
        <v>1102627867.6560001</v>
      </c>
      <c r="R528" s="472">
        <f t="shared" si="461"/>
        <v>22502609.544</v>
      </c>
      <c r="S528" s="634">
        <f t="shared" si="450"/>
        <v>2015</v>
      </c>
      <c r="T528" s="470">
        <f t="shared" si="462"/>
        <v>1</v>
      </c>
      <c r="U528" s="612">
        <f t="shared" si="451"/>
        <v>22502609.544</v>
      </c>
      <c r="V528" s="464">
        <f t="shared" si="452"/>
        <v>2015</v>
      </c>
      <c r="W528" s="612">
        <f t="shared" si="463"/>
        <v>1080125258.1120002</v>
      </c>
      <c r="X528" s="561"/>
      <c r="Y528" s="449"/>
      <c r="Z528" s="449"/>
      <c r="AA528" s="554"/>
      <c r="AB528" s="452"/>
      <c r="AC528" s="452"/>
      <c r="AD528" s="566"/>
      <c r="AE528" s="452"/>
      <c r="AF528" s="571"/>
      <c r="AG528" s="452"/>
      <c r="AH528" s="452"/>
      <c r="AI528" s="453"/>
      <c r="AJ528" s="449"/>
      <c r="AK528" s="453"/>
      <c r="AL528" s="454"/>
      <c r="AM528" s="455"/>
      <c r="AN528" s="456"/>
      <c r="AO528" s="455"/>
      <c r="AP528" s="452"/>
      <c r="AQ528" s="457"/>
      <c r="AR528" s="449"/>
      <c r="AS528" s="449"/>
      <c r="AT528" s="452"/>
      <c r="AU528" s="457"/>
      <c r="AV528" s="449"/>
      <c r="AW528" s="458"/>
      <c r="AX528" s="452"/>
      <c r="AY528" s="457"/>
      <c r="AZ528" s="449"/>
      <c r="BA528" s="459"/>
      <c r="BB528" s="455"/>
      <c r="BC528" s="460"/>
      <c r="BD528" s="460"/>
      <c r="BG528" s="462"/>
    </row>
    <row r="529" spans="1:59" s="461" customFormat="1" ht="18" customHeight="1" x14ac:dyDescent="0.2">
      <c r="A529" s="461" t="str">
        <f t="shared" si="453"/>
        <v>GEDUNG RAWAT INAP PUSKESMAS SEI. BULUH2016</v>
      </c>
      <c r="B529" s="708"/>
      <c r="C529" s="489"/>
      <c r="D529" s="489" t="s">
        <v>1752</v>
      </c>
      <c r="E529" s="558"/>
      <c r="F529" s="559">
        <v>2016</v>
      </c>
      <c r="G529" s="619">
        <v>0</v>
      </c>
      <c r="H529" s="464">
        <f t="shared" si="454"/>
        <v>48</v>
      </c>
      <c r="I529" s="560"/>
      <c r="J529" s="468">
        <f t="shared" si="448"/>
        <v>2063</v>
      </c>
      <c r="K529" s="490">
        <f t="shared" si="455"/>
        <v>0</v>
      </c>
      <c r="L529" s="469">
        <f t="shared" si="456"/>
        <v>0</v>
      </c>
      <c r="M529" s="683">
        <f t="shared" si="457"/>
        <v>0</v>
      </c>
      <c r="N529" s="470">
        <f t="shared" si="458"/>
        <v>48</v>
      </c>
      <c r="O529" s="468">
        <f t="shared" si="449"/>
        <v>2063</v>
      </c>
      <c r="P529" s="471">
        <f t="shared" si="459"/>
        <v>1080125258.1120002</v>
      </c>
      <c r="Q529" s="472">
        <f t="shared" si="460"/>
        <v>1080125258.1120002</v>
      </c>
      <c r="R529" s="472">
        <f t="shared" si="461"/>
        <v>22502609.544</v>
      </c>
      <c r="S529" s="634">
        <f t="shared" si="450"/>
        <v>2016</v>
      </c>
      <c r="T529" s="470">
        <f t="shared" si="462"/>
        <v>1</v>
      </c>
      <c r="U529" s="612">
        <f t="shared" si="451"/>
        <v>22502609.544</v>
      </c>
      <c r="V529" s="464">
        <f t="shared" si="452"/>
        <v>2016</v>
      </c>
      <c r="W529" s="612">
        <f t="shared" si="463"/>
        <v>1057622648.5680002</v>
      </c>
      <c r="X529" s="561"/>
      <c r="Y529" s="449"/>
      <c r="Z529" s="449"/>
      <c r="AA529" s="475" t="s">
        <v>4180</v>
      </c>
      <c r="AB529" s="476"/>
      <c r="AC529" s="476"/>
      <c r="AD529" s="567">
        <f>G536</f>
        <v>1145014840</v>
      </c>
      <c r="AE529" s="452"/>
      <c r="AF529" s="571"/>
      <c r="AG529" s="452"/>
      <c r="AH529" s="452"/>
      <c r="AI529" s="453"/>
      <c r="AJ529" s="449"/>
      <c r="AK529" s="453"/>
      <c r="AL529" s="454"/>
      <c r="AM529" s="455"/>
      <c r="AN529" s="456"/>
      <c r="AO529" s="455"/>
      <c r="AP529" s="452"/>
      <c r="AQ529" s="457"/>
      <c r="AR529" s="449"/>
      <c r="AS529" s="449"/>
      <c r="AT529" s="452"/>
      <c r="AU529" s="457"/>
      <c r="AV529" s="449"/>
      <c r="AW529" s="458"/>
      <c r="AX529" s="452"/>
      <c r="AY529" s="457"/>
      <c r="AZ529" s="449"/>
      <c r="BA529" s="459"/>
      <c r="BB529" s="455"/>
      <c r="BC529" s="460"/>
      <c r="BD529" s="460"/>
      <c r="BG529" s="462"/>
    </row>
    <row r="530" spans="1:59" s="461" customFormat="1" ht="18" customHeight="1" x14ac:dyDescent="0.2">
      <c r="A530" s="461" t="str">
        <f t="shared" si="453"/>
        <v>GEDUNG RAWAT INAP PUSKESMAS SEI. BULUH2017</v>
      </c>
      <c r="B530" s="708"/>
      <c r="C530" s="489"/>
      <c r="D530" s="489" t="s">
        <v>1752</v>
      </c>
      <c r="E530" s="558"/>
      <c r="F530" s="559">
        <v>2017</v>
      </c>
      <c r="G530" s="619">
        <v>0</v>
      </c>
      <c r="H530" s="464">
        <f t="shared" si="454"/>
        <v>47</v>
      </c>
      <c r="I530" s="560"/>
      <c r="J530" s="468">
        <f t="shared" si="448"/>
        <v>2063</v>
      </c>
      <c r="K530" s="490">
        <f t="shared" si="455"/>
        <v>0</v>
      </c>
      <c r="L530" s="469">
        <f t="shared" si="456"/>
        <v>0</v>
      </c>
      <c r="M530" s="683">
        <f t="shared" si="457"/>
        <v>0</v>
      </c>
      <c r="N530" s="470">
        <f t="shared" si="458"/>
        <v>47</v>
      </c>
      <c r="O530" s="468">
        <f t="shared" si="449"/>
        <v>2063</v>
      </c>
      <c r="P530" s="471">
        <f t="shared" si="459"/>
        <v>1057622648.5680002</v>
      </c>
      <c r="Q530" s="472">
        <f t="shared" si="460"/>
        <v>1057622648.5680002</v>
      </c>
      <c r="R530" s="472">
        <f t="shared" si="461"/>
        <v>22502609.544</v>
      </c>
      <c r="S530" s="634">
        <f t="shared" si="450"/>
        <v>2017</v>
      </c>
      <c r="T530" s="470">
        <f t="shared" si="462"/>
        <v>1</v>
      </c>
      <c r="U530" s="612">
        <f t="shared" si="451"/>
        <v>22502609.544</v>
      </c>
      <c r="V530" s="464">
        <f t="shared" si="452"/>
        <v>2017</v>
      </c>
      <c r="W530" s="612">
        <f t="shared" si="463"/>
        <v>1035120039.0240002</v>
      </c>
      <c r="X530" s="561"/>
      <c r="Y530" s="449"/>
      <c r="Z530" s="449"/>
      <c r="AA530" s="475" t="s">
        <v>4181</v>
      </c>
      <c r="AB530" s="491"/>
      <c r="AC530" s="491"/>
      <c r="AD530" s="567">
        <f>U536</f>
        <v>154900020.06400001</v>
      </c>
      <c r="AE530" s="452"/>
      <c r="AF530" s="571"/>
      <c r="AG530" s="452"/>
      <c r="AH530" s="452"/>
      <c r="AI530" s="453"/>
      <c r="AJ530" s="449"/>
      <c r="AK530" s="453"/>
      <c r="AL530" s="454"/>
      <c r="AM530" s="455"/>
      <c r="AN530" s="456"/>
      <c r="AO530" s="455"/>
      <c r="AP530" s="452"/>
      <c r="AQ530" s="457"/>
      <c r="AR530" s="449"/>
      <c r="AS530" s="449"/>
      <c r="AT530" s="452"/>
      <c r="AU530" s="457"/>
      <c r="AV530" s="449"/>
      <c r="AW530" s="458"/>
      <c r="AX530" s="452"/>
      <c r="AY530" s="457"/>
      <c r="AZ530" s="449"/>
      <c r="BA530" s="459"/>
      <c r="BB530" s="455"/>
      <c r="BC530" s="460"/>
      <c r="BD530" s="460"/>
      <c r="BG530" s="462"/>
    </row>
    <row r="531" spans="1:59" s="461" customFormat="1" ht="18" customHeight="1" x14ac:dyDescent="0.2">
      <c r="A531" s="461" t="str">
        <f t="shared" si="453"/>
        <v>GEDUNG RAWAT INAP PUSKESMAS SEI. BULUH2018</v>
      </c>
      <c r="B531" s="708"/>
      <c r="C531" s="489"/>
      <c r="D531" s="489" t="s">
        <v>1752</v>
      </c>
      <c r="E531" s="558"/>
      <c r="F531" s="559">
        <v>2018</v>
      </c>
      <c r="G531" s="619">
        <v>0</v>
      </c>
      <c r="H531" s="464">
        <f t="shared" si="454"/>
        <v>46</v>
      </c>
      <c r="I531" s="560"/>
      <c r="J531" s="468">
        <f t="shared" si="448"/>
        <v>2063</v>
      </c>
      <c r="K531" s="490">
        <f t="shared" si="455"/>
        <v>0</v>
      </c>
      <c r="L531" s="469">
        <f t="shared" si="456"/>
        <v>0</v>
      </c>
      <c r="M531" s="683">
        <f t="shared" si="457"/>
        <v>0</v>
      </c>
      <c r="N531" s="470">
        <f t="shared" si="458"/>
        <v>46</v>
      </c>
      <c r="O531" s="468">
        <f t="shared" si="449"/>
        <v>2063</v>
      </c>
      <c r="P531" s="471">
        <f t="shared" si="459"/>
        <v>1035120039.0240002</v>
      </c>
      <c r="Q531" s="472">
        <f t="shared" si="460"/>
        <v>1035120039.0240002</v>
      </c>
      <c r="R531" s="472">
        <f t="shared" si="461"/>
        <v>22502609.544</v>
      </c>
      <c r="S531" s="634">
        <f t="shared" si="450"/>
        <v>2018</v>
      </c>
      <c r="T531" s="470">
        <f t="shared" si="462"/>
        <v>1</v>
      </c>
      <c r="U531" s="612">
        <f t="shared" si="451"/>
        <v>22502609.544</v>
      </c>
      <c r="V531" s="464">
        <f t="shared" si="452"/>
        <v>2018</v>
      </c>
      <c r="W531" s="612">
        <f t="shared" si="463"/>
        <v>1012617429.4800001</v>
      </c>
      <c r="X531" s="561"/>
      <c r="Y531" s="449"/>
      <c r="Z531" s="449"/>
      <c r="AA531" s="492" t="s">
        <v>4182</v>
      </c>
      <c r="AB531" s="476"/>
      <c r="AC531" s="476"/>
      <c r="AD531" s="568">
        <f>AD529-AD530</f>
        <v>990114819.93599999</v>
      </c>
      <c r="AE531" s="452"/>
      <c r="AF531" s="571"/>
      <c r="AG531" s="452"/>
      <c r="AH531" s="452"/>
      <c r="AI531" s="453"/>
      <c r="AJ531" s="449"/>
      <c r="AK531" s="453"/>
      <c r="AL531" s="454"/>
      <c r="AM531" s="455"/>
      <c r="AN531" s="456"/>
      <c r="AO531" s="455"/>
      <c r="AP531" s="452"/>
      <c r="AQ531" s="457"/>
      <c r="AR531" s="449"/>
      <c r="AS531" s="449"/>
      <c r="AT531" s="452"/>
      <c r="AU531" s="457"/>
      <c r="AV531" s="449"/>
      <c r="AW531" s="458"/>
      <c r="AX531" s="452"/>
      <c r="AY531" s="457"/>
      <c r="AZ531" s="449"/>
      <c r="BA531" s="459"/>
      <c r="BB531" s="455"/>
      <c r="BC531" s="460"/>
      <c r="BD531" s="460"/>
      <c r="BG531" s="462"/>
    </row>
    <row r="532" spans="1:59" s="461" customFormat="1" ht="18" customHeight="1" x14ac:dyDescent="0.2">
      <c r="A532" s="461" t="str">
        <f t="shared" si="453"/>
        <v>GEDUNG RAWAT INAP PUSKESMAS SEI. BULUH2019</v>
      </c>
      <c r="B532" s="708"/>
      <c r="C532" s="489"/>
      <c r="D532" s="489"/>
      <c r="E532" s="558"/>
      <c r="F532" s="559">
        <v>2019</v>
      </c>
      <c r="G532" s="619">
        <v>0</v>
      </c>
      <c r="H532" s="464">
        <f t="shared" si="454"/>
        <v>45</v>
      </c>
      <c r="I532" s="560"/>
      <c r="J532" s="468">
        <f t="shared" si="448"/>
        <v>2063</v>
      </c>
      <c r="K532" s="490">
        <f t="shared" si="455"/>
        <v>0</v>
      </c>
      <c r="L532" s="469">
        <f t="shared" si="456"/>
        <v>0</v>
      </c>
      <c r="M532" s="683">
        <f t="shared" si="457"/>
        <v>0</v>
      </c>
      <c r="N532" s="470">
        <f t="shared" si="458"/>
        <v>45</v>
      </c>
      <c r="O532" s="468">
        <f t="shared" si="449"/>
        <v>2063</v>
      </c>
      <c r="P532" s="471">
        <f t="shared" si="459"/>
        <v>1012617429.4800001</v>
      </c>
      <c r="Q532" s="472">
        <f t="shared" si="460"/>
        <v>1012617429.4800001</v>
      </c>
      <c r="R532" s="472">
        <f t="shared" si="461"/>
        <v>22502609.544</v>
      </c>
      <c r="S532" s="1189">
        <f>F532</f>
        <v>2019</v>
      </c>
      <c r="T532" s="470">
        <f t="shared" si="462"/>
        <v>1</v>
      </c>
      <c r="U532" s="612">
        <f>R532*T532</f>
        <v>22502609.544</v>
      </c>
      <c r="V532" s="464">
        <f t="shared" si="452"/>
        <v>2019</v>
      </c>
      <c r="W532" s="612">
        <f t="shared" si="463"/>
        <v>990114819.93600011</v>
      </c>
      <c r="X532" s="561"/>
      <c r="Y532" s="449"/>
      <c r="Z532" s="449"/>
      <c r="AA532" s="475" t="s">
        <v>4183</v>
      </c>
      <c r="AB532" s="476"/>
      <c r="AC532" s="476"/>
      <c r="AD532" s="567">
        <f>AD531-W536</f>
        <v>0</v>
      </c>
      <c r="AE532" s="452"/>
      <c r="AF532" s="571"/>
      <c r="AG532" s="452"/>
      <c r="AH532" s="452"/>
      <c r="AI532" s="453"/>
      <c r="AJ532" s="449"/>
      <c r="AK532" s="453"/>
      <c r="AL532" s="454"/>
      <c r="AM532" s="455"/>
      <c r="AN532" s="456"/>
      <c r="AO532" s="455"/>
      <c r="AP532" s="452"/>
      <c r="AQ532" s="457"/>
      <c r="AR532" s="449"/>
      <c r="AS532" s="449"/>
      <c r="AT532" s="452"/>
      <c r="AU532" s="457"/>
      <c r="AV532" s="449"/>
      <c r="AW532" s="458"/>
      <c r="AX532" s="452"/>
      <c r="AY532" s="457"/>
      <c r="AZ532" s="449"/>
      <c r="BA532" s="459"/>
      <c r="BB532" s="455"/>
      <c r="BC532" s="460"/>
      <c r="BD532" s="460"/>
      <c r="BG532" s="462"/>
    </row>
    <row r="533" spans="1:59" s="486" customFormat="1" ht="18" customHeight="1" x14ac:dyDescent="0.2">
      <c r="B533" s="708"/>
      <c r="C533" s="463"/>
      <c r="D533" s="489"/>
      <c r="E533" s="465"/>
      <c r="F533" s="559"/>
      <c r="G533" s="619"/>
      <c r="H533" s="464"/>
      <c r="I533" s="560"/>
      <c r="J533" s="468"/>
      <c r="K533" s="490"/>
      <c r="L533" s="469"/>
      <c r="M533" s="683"/>
      <c r="N533" s="470"/>
      <c r="O533" s="468"/>
      <c r="P533" s="471"/>
      <c r="Q533" s="472"/>
      <c r="R533" s="472"/>
      <c r="S533" s="634"/>
      <c r="T533" s="470"/>
      <c r="U533" s="612"/>
      <c r="V533" s="464"/>
      <c r="W533" s="612"/>
      <c r="X533" s="561"/>
      <c r="Y533" s="474"/>
      <c r="Z533" s="449"/>
      <c r="AA533" s="495"/>
      <c r="AB533" s="496"/>
      <c r="AC533" s="496"/>
      <c r="AD533" s="569"/>
      <c r="AE533" s="476"/>
      <c r="AF533" s="568"/>
      <c r="AG533" s="476"/>
      <c r="AH533" s="476"/>
      <c r="AI533" s="477"/>
      <c r="AJ533" s="478"/>
      <c r="AK533" s="479"/>
      <c r="AL533" s="480"/>
      <c r="AM533" s="474"/>
      <c r="AN533" s="481"/>
      <c r="AO533" s="474"/>
      <c r="AP533" s="476"/>
      <c r="AQ533" s="482"/>
      <c r="AR533" s="478"/>
      <c r="AS533" s="478"/>
      <c r="AT533" s="476"/>
      <c r="AU533" s="482"/>
      <c r="AV533" s="478"/>
      <c r="AW533" s="483"/>
      <c r="AX533" s="476"/>
      <c r="AY533" s="482"/>
      <c r="AZ533" s="478"/>
      <c r="BA533" s="484"/>
      <c r="BB533" s="474"/>
      <c r="BC533" s="485"/>
      <c r="BD533" s="485"/>
      <c r="BG533" s="487"/>
    </row>
    <row r="534" spans="1:59" s="486" customFormat="1" ht="18" customHeight="1" x14ac:dyDescent="0.2">
      <c r="B534" s="708"/>
      <c r="C534" s="488"/>
      <c r="D534" s="489"/>
      <c r="E534" s="465"/>
      <c r="F534" s="466"/>
      <c r="G534" s="620"/>
      <c r="H534" s="464"/>
      <c r="I534" s="467"/>
      <c r="J534" s="468"/>
      <c r="K534" s="490"/>
      <c r="L534" s="469"/>
      <c r="M534" s="683"/>
      <c r="N534" s="470"/>
      <c r="O534" s="468"/>
      <c r="P534" s="471"/>
      <c r="Q534" s="472"/>
      <c r="R534" s="472"/>
      <c r="S534" s="634"/>
      <c r="T534" s="470"/>
      <c r="U534" s="612"/>
      <c r="V534" s="464"/>
      <c r="W534" s="612"/>
      <c r="X534" s="473"/>
      <c r="Y534" s="478"/>
      <c r="Z534" s="449"/>
      <c r="AA534" s="699"/>
      <c r="AB534" s="700"/>
      <c r="AC534" s="700"/>
      <c r="AD534" s="701"/>
      <c r="AE534" s="491"/>
      <c r="AF534" s="568"/>
      <c r="AG534" s="491"/>
      <c r="AH534" s="491"/>
      <c r="AI534" s="477"/>
      <c r="AJ534" s="478"/>
      <c r="AK534" s="479"/>
      <c r="AL534" s="480"/>
      <c r="AM534" s="474"/>
      <c r="AN534" s="481"/>
      <c r="AO534" s="474"/>
      <c r="AP534" s="476"/>
      <c r="AQ534" s="482"/>
      <c r="AR534" s="478"/>
      <c r="AS534" s="478"/>
      <c r="AT534" s="476"/>
      <c r="AU534" s="482"/>
      <c r="AV534" s="478"/>
      <c r="AW534" s="483"/>
      <c r="AX534" s="476"/>
      <c r="AY534" s="482"/>
      <c r="AZ534" s="478"/>
      <c r="BA534" s="484"/>
      <c r="BB534" s="474"/>
      <c r="BC534" s="485"/>
      <c r="BD534" s="485"/>
      <c r="BG534" s="487"/>
    </row>
    <row r="535" spans="1:59" s="486" customFormat="1" ht="18" customHeight="1" x14ac:dyDescent="0.2">
      <c r="B535" s="687"/>
      <c r="C535" s="494"/>
      <c r="D535" s="464"/>
      <c r="E535" s="465"/>
      <c r="F535" s="466"/>
      <c r="G535" s="620"/>
      <c r="H535" s="464"/>
      <c r="I535" s="467"/>
      <c r="J535" s="468"/>
      <c r="K535" s="490"/>
      <c r="L535" s="469"/>
      <c r="M535" s="683"/>
      <c r="N535" s="470"/>
      <c r="O535" s="468"/>
      <c r="P535" s="471"/>
      <c r="Q535" s="472"/>
      <c r="R535" s="472"/>
      <c r="S535" s="634"/>
      <c r="T535" s="470"/>
      <c r="U535" s="612"/>
      <c r="V535" s="464"/>
      <c r="W535" s="612"/>
      <c r="X535" s="473"/>
      <c r="Y535" s="478"/>
      <c r="Z535" s="449"/>
      <c r="AA535" s="497"/>
      <c r="AB535" s="476"/>
      <c r="AC535" s="476"/>
      <c r="AD535" s="568"/>
      <c r="AE535" s="476"/>
      <c r="AF535" s="568"/>
      <c r="AG535" s="476"/>
      <c r="AH535" s="476"/>
      <c r="AI535" s="477"/>
      <c r="AJ535" s="478"/>
      <c r="AK535" s="479"/>
      <c r="AL535" s="480"/>
      <c r="AM535" s="474"/>
      <c r="AN535" s="481"/>
      <c r="AO535" s="474"/>
      <c r="AP535" s="476"/>
      <c r="AQ535" s="482"/>
      <c r="AR535" s="478"/>
      <c r="AS535" s="478"/>
      <c r="AT535" s="476"/>
      <c r="AU535" s="482"/>
      <c r="AV535" s="478"/>
      <c r="AW535" s="483"/>
      <c r="AX535" s="476"/>
      <c r="AY535" s="482"/>
      <c r="AZ535" s="478"/>
      <c r="BA535" s="484"/>
      <c r="BB535" s="474"/>
      <c r="BC535" s="485"/>
      <c r="BD535" s="485"/>
      <c r="BG535" s="487"/>
    </row>
    <row r="536" spans="1:59" s="526" customFormat="1" ht="18" customHeight="1" x14ac:dyDescent="0.2">
      <c r="B536" s="1956" t="s">
        <v>4184</v>
      </c>
      <c r="C536" s="1957"/>
      <c r="D536" s="1957"/>
      <c r="E536" s="1957"/>
      <c r="F536" s="1958"/>
      <c r="G536" s="621">
        <f>SUM(G526:G535)</f>
        <v>1145014840</v>
      </c>
      <c r="H536" s="505"/>
      <c r="I536" s="506"/>
      <c r="J536" s="507"/>
      <c r="K536" s="507"/>
      <c r="L536" s="505"/>
      <c r="M536" s="684"/>
      <c r="N536" s="508"/>
      <c r="O536" s="507"/>
      <c r="P536" s="509"/>
      <c r="Q536" s="510"/>
      <c r="R536" s="511"/>
      <c r="S536" s="512"/>
      <c r="T536" s="512"/>
      <c r="U536" s="610">
        <f>SUM(U526:U535)</f>
        <v>154900020.06400001</v>
      </c>
      <c r="V536" s="513"/>
      <c r="W536" s="610">
        <f>G536-U536</f>
        <v>990114819.93599999</v>
      </c>
      <c r="X536" s="514"/>
      <c r="Y536" s="515"/>
      <c r="Z536" s="515"/>
      <c r="AA536" s="515"/>
      <c r="AB536" s="515"/>
      <c r="AC536" s="515"/>
      <c r="AD536" s="570"/>
      <c r="AE536" s="515"/>
      <c r="AF536" s="570"/>
      <c r="AG536" s="515"/>
      <c r="AH536" s="515"/>
      <c r="AI536" s="516"/>
      <c r="AJ536" s="517"/>
      <c r="AK536" s="518"/>
      <c r="AL536" s="519"/>
      <c r="AM536" s="520"/>
      <c r="AN536" s="521"/>
      <c r="AO536" s="520"/>
      <c r="AP536" s="515"/>
      <c r="AQ536" s="522"/>
      <c r="AR536" s="517"/>
      <c r="AS536" s="517"/>
      <c r="AT536" s="515"/>
      <c r="AU536" s="522"/>
      <c r="AV536" s="517"/>
      <c r="AW536" s="523"/>
      <c r="AX536" s="515"/>
      <c r="AY536" s="522"/>
      <c r="AZ536" s="517"/>
      <c r="BA536" s="524"/>
      <c r="BB536" s="520"/>
      <c r="BC536" s="525"/>
      <c r="BD536" s="525"/>
      <c r="BG536" s="527"/>
    </row>
    <row r="537" spans="1:59" s="526" customFormat="1" ht="18" customHeight="1" x14ac:dyDescent="0.2">
      <c r="B537" s="741"/>
      <c r="C537" s="698"/>
      <c r="D537" s="698"/>
      <c r="E537" s="698"/>
      <c r="F537" s="585"/>
      <c r="G537" s="622"/>
      <c r="H537" s="586"/>
      <c r="I537" s="587"/>
      <c r="J537" s="588"/>
      <c r="K537" s="588"/>
      <c r="L537" s="586"/>
      <c r="M537" s="521"/>
      <c r="N537" s="589"/>
      <c r="O537" s="588"/>
      <c r="P537" s="590"/>
      <c r="Q537" s="591"/>
      <c r="R537" s="592"/>
      <c r="S537" s="593"/>
      <c r="T537" s="593"/>
      <c r="U537" s="570"/>
      <c r="V537" s="594"/>
      <c r="W537" s="570"/>
      <c r="X537" s="515"/>
      <c r="Y537" s="515"/>
      <c r="Z537" s="515"/>
      <c r="AA537" s="515"/>
      <c r="AB537" s="515"/>
      <c r="AC537" s="515"/>
      <c r="AD537" s="570"/>
      <c r="AE537" s="515"/>
      <c r="AF537" s="570"/>
      <c r="AG537" s="515"/>
      <c r="AH537" s="515"/>
      <c r="AI537" s="516"/>
      <c r="AJ537" s="517"/>
      <c r="AK537" s="518"/>
      <c r="AL537" s="519"/>
      <c r="AM537" s="520"/>
      <c r="AN537" s="521"/>
      <c r="AO537" s="520"/>
      <c r="AP537" s="515"/>
      <c r="AQ537" s="522"/>
      <c r="AR537" s="517"/>
      <c r="AS537" s="517"/>
      <c r="AT537" s="515"/>
      <c r="AU537" s="522"/>
      <c r="AV537" s="517"/>
      <c r="AW537" s="523"/>
      <c r="AX537" s="515"/>
      <c r="AY537" s="522"/>
      <c r="AZ537" s="517"/>
      <c r="BA537" s="524"/>
      <c r="BB537" s="520"/>
      <c r="BC537" s="525"/>
      <c r="BD537" s="525"/>
      <c r="BG537" s="527"/>
    </row>
    <row r="538" spans="1:59" s="526" customFormat="1" ht="18" customHeight="1" x14ac:dyDescent="0.2">
      <c r="B538" s="575"/>
      <c r="C538" s="585"/>
      <c r="D538" s="585"/>
      <c r="E538" s="585"/>
      <c r="F538" s="585"/>
      <c r="G538" s="622"/>
      <c r="H538" s="586"/>
      <c r="I538" s="587"/>
      <c r="J538" s="588"/>
      <c r="K538" s="588"/>
      <c r="L538" s="586"/>
      <c r="M538" s="521"/>
      <c r="N538" s="589"/>
      <c r="O538" s="588"/>
      <c r="P538" s="590"/>
      <c r="Q538" s="591"/>
      <c r="R538" s="592"/>
      <c r="S538" s="593"/>
      <c r="T538" s="593"/>
      <c r="U538" s="570"/>
      <c r="V538" s="594"/>
      <c r="W538" s="570"/>
      <c r="X538" s="515"/>
      <c r="Y538" s="515"/>
      <c r="Z538" s="515"/>
      <c r="AA538" s="515"/>
      <c r="AB538" s="515"/>
      <c r="AC538" s="515"/>
      <c r="AD538" s="570"/>
      <c r="AE538" s="515"/>
      <c r="AF538" s="570"/>
      <c r="AG538" s="515"/>
      <c r="AH538" s="515"/>
      <c r="AI538" s="516"/>
      <c r="AJ538" s="517"/>
      <c r="AK538" s="518"/>
      <c r="AL538" s="519"/>
      <c r="AM538" s="520"/>
      <c r="AN538" s="521"/>
      <c r="AO538" s="520"/>
      <c r="AP538" s="515"/>
      <c r="AQ538" s="522"/>
      <c r="AR538" s="517"/>
      <c r="AS538" s="517"/>
      <c r="AT538" s="515"/>
      <c r="AU538" s="522"/>
      <c r="AV538" s="517"/>
      <c r="AW538" s="523"/>
      <c r="AX538" s="515"/>
      <c r="AY538" s="522"/>
      <c r="AZ538" s="517"/>
      <c r="BA538" s="524"/>
      <c r="BB538" s="520"/>
      <c r="BC538" s="525"/>
      <c r="BD538" s="525"/>
      <c r="BG538" s="527"/>
    </row>
    <row r="539" spans="1:59" s="422" customFormat="1" ht="18" customHeight="1" x14ac:dyDescent="0.2">
      <c r="B539" s="688" t="s">
        <v>4228</v>
      </c>
      <c r="C539" s="556"/>
      <c r="D539" s="553" t="s">
        <v>2852</v>
      </c>
      <c r="E539" s="553"/>
      <c r="F539" s="421"/>
      <c r="G539" s="611"/>
      <c r="I539" s="423"/>
      <c r="J539" s="424"/>
      <c r="K539" s="424"/>
      <c r="M539" s="680"/>
      <c r="U539" s="611"/>
      <c r="W539" s="611"/>
      <c r="Y539" s="425"/>
      <c r="Z539" s="425"/>
      <c r="AA539" s="425"/>
      <c r="AB539" s="425"/>
      <c r="AC539" s="425"/>
      <c r="AD539" s="563"/>
      <c r="AE539" s="425"/>
      <c r="AF539" s="563"/>
      <c r="AG539" s="425"/>
      <c r="AH539" s="425"/>
      <c r="AI539" s="425"/>
      <c r="AJ539" s="425"/>
      <c r="AK539" s="425"/>
      <c r="AL539" s="425"/>
      <c r="AM539" s="425"/>
      <c r="AN539" s="425"/>
      <c r="AO539" s="425"/>
      <c r="AP539" s="425"/>
      <c r="AQ539" s="425"/>
      <c r="AR539" s="425"/>
      <c r="AS539" s="425"/>
      <c r="AT539" s="425"/>
      <c r="AU539" s="425"/>
      <c r="AV539" s="425"/>
      <c r="AW539" s="425"/>
      <c r="AX539" s="425"/>
      <c r="AY539" s="425"/>
      <c r="AZ539" s="425"/>
      <c r="BA539" s="425"/>
      <c r="BB539" s="425"/>
    </row>
    <row r="540" spans="1:59" s="431" customFormat="1" ht="18" customHeight="1" x14ac:dyDescent="0.2">
      <c r="B540" s="1968" t="s">
        <v>5</v>
      </c>
      <c r="C540" s="1968" t="s">
        <v>2280</v>
      </c>
      <c r="D540" s="1968" t="s">
        <v>4157</v>
      </c>
      <c r="E540" s="1968" t="s">
        <v>4158</v>
      </c>
      <c r="F540" s="1968"/>
      <c r="G540" s="1969" t="s">
        <v>4159</v>
      </c>
      <c r="H540" s="1355" t="s">
        <v>4160</v>
      </c>
      <c r="I540" s="1355"/>
      <c r="J540" s="1968" t="s">
        <v>4161</v>
      </c>
      <c r="K540" s="1964" t="s">
        <v>4162</v>
      </c>
      <c r="L540" s="1968" t="s">
        <v>4163</v>
      </c>
      <c r="M540" s="1971" t="s">
        <v>4164</v>
      </c>
      <c r="N540" s="1962" t="s">
        <v>4165</v>
      </c>
      <c r="O540" s="1968" t="s">
        <v>4166</v>
      </c>
      <c r="P540" s="1972" t="s">
        <v>4167</v>
      </c>
      <c r="Q540" s="1973"/>
      <c r="R540" s="636" t="s">
        <v>4168</v>
      </c>
      <c r="S540" s="1972" t="s">
        <v>4169</v>
      </c>
      <c r="T540" s="1974"/>
      <c r="U540" s="1973"/>
      <c r="V540" s="1975" t="s">
        <v>4170</v>
      </c>
      <c r="W540" s="1975"/>
      <c r="X540" s="1960" t="s">
        <v>4171</v>
      </c>
      <c r="Y540" s="1959"/>
      <c r="Z540" s="633"/>
      <c r="AA540" s="426"/>
      <c r="AB540" s="426"/>
      <c r="AC540" s="426"/>
      <c r="AD540" s="564"/>
      <c r="AE540" s="426"/>
      <c r="AF540" s="564"/>
      <c r="AG540" s="426"/>
      <c r="AH540" s="426"/>
      <c r="AI540" s="427"/>
      <c r="AJ540" s="427"/>
      <c r="AK540" s="427"/>
      <c r="AL540" s="427"/>
      <c r="AM540" s="428"/>
      <c r="AN540" s="427"/>
      <c r="AO540" s="427"/>
      <c r="AP540" s="426"/>
      <c r="AQ540" s="427"/>
      <c r="AR540" s="427"/>
      <c r="AS540" s="427"/>
      <c r="AT540" s="426"/>
      <c r="AU540" s="427"/>
      <c r="AV540" s="427"/>
      <c r="AW540" s="427"/>
      <c r="AX540" s="426"/>
      <c r="AY540" s="427"/>
      <c r="AZ540" s="427"/>
      <c r="BA540" s="427"/>
      <c r="BB540" s="429"/>
      <c r="BC540" s="430"/>
      <c r="BD540" s="430"/>
    </row>
    <row r="541" spans="1:59" s="431" customFormat="1" ht="18" customHeight="1" x14ac:dyDescent="0.2">
      <c r="B541" s="1968"/>
      <c r="C541" s="1968"/>
      <c r="D541" s="1968"/>
      <c r="E541" s="1968"/>
      <c r="F541" s="1968"/>
      <c r="G541" s="1969"/>
      <c r="H541" s="1355"/>
      <c r="I541" s="1355"/>
      <c r="J541" s="1968"/>
      <c r="K541" s="1970"/>
      <c r="L541" s="1968"/>
      <c r="M541" s="1971"/>
      <c r="N541" s="1963"/>
      <c r="O541" s="1968"/>
      <c r="P541" s="1960" t="s">
        <v>4172</v>
      </c>
      <c r="Q541" s="1960" t="s">
        <v>4173</v>
      </c>
      <c r="R541" s="1962" t="s">
        <v>4159</v>
      </c>
      <c r="S541" s="1962" t="s">
        <v>4174</v>
      </c>
      <c r="T541" s="1964" t="s">
        <v>4175</v>
      </c>
      <c r="U541" s="1966" t="s">
        <v>4159</v>
      </c>
      <c r="V541" s="1975"/>
      <c r="W541" s="1975"/>
      <c r="X541" s="1976"/>
      <c r="Y541" s="1959"/>
      <c r="Z541" s="633"/>
      <c r="AA541" s="426"/>
      <c r="AB541" s="426"/>
      <c r="AC541" s="426"/>
      <c r="AD541" s="564"/>
      <c r="AE541" s="426"/>
      <c r="AF541" s="564"/>
      <c r="AG541" s="426"/>
      <c r="AH541" s="426"/>
      <c r="AI541" s="427"/>
      <c r="AJ541" s="427"/>
      <c r="AK541" s="426"/>
      <c r="AL541" s="427"/>
      <c r="AM541" s="428"/>
      <c r="AN541" s="427"/>
      <c r="AO541" s="427"/>
      <c r="AP541" s="432"/>
      <c r="AQ541" s="427"/>
      <c r="AR541" s="427"/>
      <c r="AS541" s="427"/>
      <c r="AT541" s="432"/>
      <c r="AU541" s="427"/>
      <c r="AV541" s="427"/>
      <c r="AW541" s="427"/>
      <c r="AX541" s="432"/>
      <c r="AY541" s="427"/>
      <c r="AZ541" s="427"/>
      <c r="BA541" s="427"/>
      <c r="BB541" s="429"/>
      <c r="BC541" s="430"/>
      <c r="BD541" s="430"/>
    </row>
    <row r="542" spans="1:59" s="431" customFormat="1" ht="21.75" customHeight="1" x14ac:dyDescent="0.2">
      <c r="B542" s="1968"/>
      <c r="C542" s="1968"/>
      <c r="D542" s="1968"/>
      <c r="E542" s="433" t="s">
        <v>4176</v>
      </c>
      <c r="F542" s="434" t="s">
        <v>2288</v>
      </c>
      <c r="G542" s="1969"/>
      <c r="H542" s="1355" t="s">
        <v>2288</v>
      </c>
      <c r="I542" s="1355" t="s">
        <v>4177</v>
      </c>
      <c r="J542" s="1968"/>
      <c r="K542" s="1965"/>
      <c r="L542" s="435" t="s">
        <v>2288</v>
      </c>
      <c r="M542" s="681" t="s">
        <v>2288</v>
      </c>
      <c r="N542" s="635" t="s">
        <v>2288</v>
      </c>
      <c r="O542" s="1968"/>
      <c r="P542" s="1961"/>
      <c r="Q542" s="1961"/>
      <c r="R542" s="1963"/>
      <c r="S542" s="1963"/>
      <c r="T542" s="1965"/>
      <c r="U542" s="1967"/>
      <c r="V542" s="635" t="s">
        <v>4178</v>
      </c>
      <c r="W542" s="637" t="s">
        <v>4159</v>
      </c>
      <c r="X542" s="1961"/>
      <c r="Y542" s="436"/>
      <c r="Z542" s="436"/>
      <c r="AA542" s="426"/>
      <c r="AB542" s="426"/>
      <c r="AC542" s="426"/>
      <c r="AD542" s="564"/>
      <c r="AE542" s="426"/>
      <c r="AF542" s="564"/>
      <c r="AG542" s="426"/>
      <c r="AH542" s="426"/>
      <c r="AI542" s="427"/>
      <c r="AJ542" s="432"/>
      <c r="AK542" s="432"/>
      <c r="AL542" s="427"/>
      <c r="AM542" s="428"/>
      <c r="AN542" s="432"/>
      <c r="AO542" s="427"/>
      <c r="AP542" s="432"/>
      <c r="AQ542" s="432"/>
      <c r="AR542" s="427"/>
      <c r="AS542" s="427"/>
      <c r="AT542" s="432"/>
      <c r="AU542" s="432"/>
      <c r="AV542" s="427"/>
      <c r="AW542" s="427"/>
      <c r="AX542" s="432"/>
      <c r="AY542" s="432"/>
      <c r="AZ542" s="427"/>
      <c r="BA542" s="427"/>
      <c r="BB542" s="429"/>
      <c r="BC542" s="430"/>
      <c r="BD542" s="430"/>
    </row>
    <row r="543" spans="1:59" s="461" customFormat="1" ht="18" customHeight="1" x14ac:dyDescent="0.2">
      <c r="A543" s="461" t="str">
        <f>$D$539&amp;S543</f>
        <v>GEDUNG SERBAGUNA KECAMATAN INUMAN2013</v>
      </c>
      <c r="B543" s="689">
        <v>1</v>
      </c>
      <c r="C543" s="597" t="s">
        <v>2762</v>
      </c>
      <c r="D543" s="597" t="s">
        <v>1752</v>
      </c>
      <c r="E543" s="598"/>
      <c r="F543" s="599">
        <v>2013</v>
      </c>
      <c r="G543" s="626">
        <v>2030934900</v>
      </c>
      <c r="H543" s="600">
        <f>VLOOKUP(LEFT(D543,8),UE,4)</f>
        <v>50</v>
      </c>
      <c r="I543" s="601"/>
      <c r="J543" s="602">
        <f t="shared" ref="J543:J549" si="464">(F543+N543)-1</f>
        <v>2062</v>
      </c>
      <c r="K543" s="603"/>
      <c r="L543" s="600"/>
      <c r="M543" s="685">
        <f>IF(H543+L543&gt;$H543,$H543-H543,L543)</f>
        <v>0</v>
      </c>
      <c r="N543" s="604">
        <f>H543+M543</f>
        <v>50</v>
      </c>
      <c r="O543" s="602">
        <f t="shared" ref="O543:O549" si="465">(F543+N543)-1</f>
        <v>2062</v>
      </c>
      <c r="P543" s="605">
        <f>G543</f>
        <v>2030934900</v>
      </c>
      <c r="Q543" s="606">
        <v>0</v>
      </c>
      <c r="R543" s="606">
        <f>P543/N543</f>
        <v>40618698</v>
      </c>
      <c r="S543" s="607">
        <f t="shared" ref="S543:S548" si="466">F543</f>
        <v>2013</v>
      </c>
      <c r="T543" s="608">
        <v>1</v>
      </c>
      <c r="U543" s="615">
        <f t="shared" ref="U543:U548" si="467">R543*T543</f>
        <v>40618698</v>
      </c>
      <c r="V543" s="602">
        <f t="shared" ref="V543:V549" si="468">F543</f>
        <v>2013</v>
      </c>
      <c r="W543" s="618">
        <f>IF(OR(AND(ISBLANK(E543),ISBLANK(G543)),ISTEXT(E543),ISTEXT(G543)),"",G543-R543)</f>
        <v>1990316202</v>
      </c>
      <c r="X543" s="609"/>
      <c r="Y543" s="449"/>
      <c r="Z543" s="449"/>
      <c r="AA543" s="694"/>
      <c r="AB543" s="692"/>
      <c r="AC543" s="692"/>
      <c r="AD543" s="695"/>
      <c r="AE543" s="452"/>
      <c r="AF543" s="571"/>
      <c r="AG543" s="452"/>
      <c r="AH543" s="452"/>
      <c r="AI543" s="453"/>
      <c r="AJ543" s="449"/>
      <c r="AK543" s="453"/>
      <c r="AL543" s="454"/>
      <c r="AM543" s="455"/>
      <c r="AN543" s="456"/>
      <c r="AO543" s="455"/>
      <c r="AP543" s="452"/>
      <c r="AQ543" s="457"/>
      <c r="AR543" s="449"/>
      <c r="AS543" s="449"/>
      <c r="AT543" s="452"/>
      <c r="AU543" s="457"/>
      <c r="AV543" s="449"/>
      <c r="AW543" s="458"/>
      <c r="AX543" s="452"/>
      <c r="AY543" s="457"/>
      <c r="AZ543" s="449"/>
      <c r="BA543" s="459"/>
      <c r="BB543" s="455"/>
      <c r="BC543" s="460"/>
      <c r="BD543" s="460"/>
      <c r="BG543" s="462"/>
    </row>
    <row r="544" spans="1:59" s="461" customFormat="1" ht="18" customHeight="1" x14ac:dyDescent="0.2">
      <c r="A544" s="461" t="str">
        <f t="shared" ref="A544:A549" si="469">$D$539&amp;S544</f>
        <v>GEDUNG SERBAGUNA KECAMATAN INUMAN2014</v>
      </c>
      <c r="B544" s="708">
        <v>2</v>
      </c>
      <c r="C544" s="489" t="s">
        <v>2851</v>
      </c>
      <c r="D544" s="489" t="s">
        <v>1752</v>
      </c>
      <c r="E544" s="558"/>
      <c r="F544" s="559">
        <v>2014</v>
      </c>
      <c r="G544" s="619">
        <v>506599100</v>
      </c>
      <c r="H544" s="464">
        <f t="shared" ref="H544:H549" si="470">IF(N543-(F544-F543)&lt;=0,0,(N543-(F544-F543)))</f>
        <v>49</v>
      </c>
      <c r="I544" s="560"/>
      <c r="J544" s="468">
        <f t="shared" si="464"/>
        <v>2063</v>
      </c>
      <c r="K544" s="490">
        <f t="shared" ref="K544:K549" si="471">IF(G544=0,0,IF(H544=50,100%,G544/W543))</f>
        <v>0.2545319680817229</v>
      </c>
      <c r="L544" s="469">
        <f t="shared" ref="L544:L549" si="472">IF(K544=0%,0,IF(K544&lt;=25%,5,IF(K544&lt;=50%,10,IF(K544&lt;=75%,15,50))))</f>
        <v>10</v>
      </c>
      <c r="M544" s="683">
        <f t="shared" ref="M544:M549" si="473">IF(OR(AND(ISBLANK(E544),ISBLANK(G544)),ISTEXT(E544),ISTEXT(G544)),"",IF(H544+L544&gt;$H$27,$H$27-H544,L544))</f>
        <v>1</v>
      </c>
      <c r="N544" s="470">
        <f t="shared" ref="N544:N549" si="474">IF(OR(AND(ISBLANK(F544),ISBLANK(G544)),ISTEXT(F544),ISTEXT(G544)),"",H544+M544)</f>
        <v>50</v>
      </c>
      <c r="O544" s="468">
        <f t="shared" si="465"/>
        <v>2063</v>
      </c>
      <c r="P544" s="471">
        <f t="shared" ref="P544:P549" si="475">W543</f>
        <v>1990316202</v>
      </c>
      <c r="Q544" s="472">
        <f t="shared" ref="Q544:Q549" si="476">P544+G544</f>
        <v>2496915302</v>
      </c>
      <c r="R544" s="472">
        <f t="shared" ref="R544:R549" si="477">IF(L544=0,R543,Q544/N544)</f>
        <v>49938306.039999999</v>
      </c>
      <c r="S544" s="634">
        <f t="shared" si="466"/>
        <v>2014</v>
      </c>
      <c r="T544" s="470">
        <f t="shared" ref="T544:T549" si="478">S544-S543</f>
        <v>1</v>
      </c>
      <c r="U544" s="612">
        <f t="shared" si="467"/>
        <v>49938306.039999999</v>
      </c>
      <c r="V544" s="464">
        <f t="shared" si="468"/>
        <v>2014</v>
      </c>
      <c r="W544" s="612">
        <f t="shared" ref="W544:W549" si="479">IF(OR(AND(ISBLANK(E544),ISBLANK(G544)),ISTEXT(E544),ISTEXT(G544)),"",Q544-U544)</f>
        <v>2446976995.96</v>
      </c>
      <c r="X544" s="561"/>
      <c r="Y544" s="449"/>
      <c r="Z544" s="449"/>
      <c r="AA544" s="554" t="s">
        <v>4179</v>
      </c>
      <c r="AB544" s="452"/>
      <c r="AC544" s="452"/>
      <c r="AD544" s="566"/>
      <c r="AE544" s="452"/>
      <c r="AF544" s="571"/>
      <c r="AG544" s="452"/>
      <c r="AH544" s="452"/>
      <c r="AI544" s="453"/>
      <c r="AJ544" s="449"/>
      <c r="AK544" s="453"/>
      <c r="AL544" s="454"/>
      <c r="AM544" s="455"/>
      <c r="AN544" s="456"/>
      <c r="AO544" s="455"/>
      <c r="AP544" s="452"/>
      <c r="AQ544" s="457"/>
      <c r="AR544" s="449"/>
      <c r="AS544" s="449"/>
      <c r="AT544" s="452"/>
      <c r="AU544" s="457"/>
      <c r="AV544" s="449"/>
      <c r="AW544" s="458"/>
      <c r="AX544" s="452"/>
      <c r="AY544" s="457"/>
      <c r="AZ544" s="449"/>
      <c r="BA544" s="459"/>
      <c r="BB544" s="455"/>
      <c r="BC544" s="460"/>
      <c r="BD544" s="460"/>
      <c r="BG544" s="462"/>
    </row>
    <row r="545" spans="1:59" s="461" customFormat="1" ht="18" customHeight="1" x14ac:dyDescent="0.2">
      <c r="A545" s="461" t="str">
        <f t="shared" si="469"/>
        <v>GEDUNG SERBAGUNA KECAMATAN INUMAN2015</v>
      </c>
      <c r="B545" s="708"/>
      <c r="C545" s="489"/>
      <c r="D545" s="489" t="s">
        <v>1752</v>
      </c>
      <c r="E545" s="558"/>
      <c r="F545" s="559">
        <v>2015</v>
      </c>
      <c r="G545" s="619">
        <v>0</v>
      </c>
      <c r="H545" s="464">
        <f t="shared" si="470"/>
        <v>49</v>
      </c>
      <c r="I545" s="560"/>
      <c r="J545" s="468">
        <f t="shared" si="464"/>
        <v>2063</v>
      </c>
      <c r="K545" s="490">
        <f t="shared" si="471"/>
        <v>0</v>
      </c>
      <c r="L545" s="469">
        <f t="shared" si="472"/>
        <v>0</v>
      </c>
      <c r="M545" s="683">
        <f t="shared" si="473"/>
        <v>0</v>
      </c>
      <c r="N545" s="470">
        <f t="shared" si="474"/>
        <v>49</v>
      </c>
      <c r="O545" s="468">
        <f t="shared" si="465"/>
        <v>2063</v>
      </c>
      <c r="P545" s="471">
        <f t="shared" si="475"/>
        <v>2446976995.96</v>
      </c>
      <c r="Q545" s="472">
        <f t="shared" si="476"/>
        <v>2446976995.96</v>
      </c>
      <c r="R545" s="472">
        <f t="shared" si="477"/>
        <v>49938306.039999999</v>
      </c>
      <c r="S545" s="634">
        <f t="shared" si="466"/>
        <v>2015</v>
      </c>
      <c r="T545" s="470">
        <f t="shared" si="478"/>
        <v>1</v>
      </c>
      <c r="U545" s="612">
        <f t="shared" si="467"/>
        <v>49938306.039999999</v>
      </c>
      <c r="V545" s="464">
        <f t="shared" si="468"/>
        <v>2015</v>
      </c>
      <c r="W545" s="612">
        <f t="shared" si="479"/>
        <v>2397038689.9200001</v>
      </c>
      <c r="X545" s="561"/>
      <c r="Y545" s="449"/>
      <c r="Z545" s="449"/>
      <c r="AA545" s="554"/>
      <c r="AB545" s="452"/>
      <c r="AC545" s="452"/>
      <c r="AD545" s="566"/>
      <c r="AE545" s="452"/>
      <c r="AF545" s="571"/>
      <c r="AG545" s="452"/>
      <c r="AH545" s="452"/>
      <c r="AI545" s="453"/>
      <c r="AJ545" s="449"/>
      <c r="AK545" s="453"/>
      <c r="AL545" s="454"/>
      <c r="AM545" s="455"/>
      <c r="AN545" s="456"/>
      <c r="AO545" s="455"/>
      <c r="AP545" s="452"/>
      <c r="AQ545" s="457"/>
      <c r="AR545" s="449"/>
      <c r="AS545" s="449"/>
      <c r="AT545" s="452"/>
      <c r="AU545" s="457"/>
      <c r="AV545" s="449"/>
      <c r="AW545" s="458"/>
      <c r="AX545" s="452"/>
      <c r="AY545" s="457"/>
      <c r="AZ545" s="449"/>
      <c r="BA545" s="459"/>
      <c r="BB545" s="455"/>
      <c r="BC545" s="460"/>
      <c r="BD545" s="460"/>
      <c r="BG545" s="462"/>
    </row>
    <row r="546" spans="1:59" s="461" customFormat="1" ht="18" customHeight="1" x14ac:dyDescent="0.2">
      <c r="A546" s="461" t="str">
        <f t="shared" si="469"/>
        <v>GEDUNG SERBAGUNA KECAMATAN INUMAN2016</v>
      </c>
      <c r="B546" s="708"/>
      <c r="C546" s="489"/>
      <c r="D546" s="489" t="s">
        <v>1752</v>
      </c>
      <c r="E546" s="558"/>
      <c r="F546" s="559">
        <v>2016</v>
      </c>
      <c r="G546" s="619">
        <v>0</v>
      </c>
      <c r="H546" s="464">
        <f t="shared" si="470"/>
        <v>48</v>
      </c>
      <c r="I546" s="560"/>
      <c r="J546" s="468">
        <f t="shared" si="464"/>
        <v>2063</v>
      </c>
      <c r="K546" s="490">
        <f t="shared" si="471"/>
        <v>0</v>
      </c>
      <c r="L546" s="469">
        <f t="shared" si="472"/>
        <v>0</v>
      </c>
      <c r="M546" s="683">
        <f t="shared" si="473"/>
        <v>0</v>
      </c>
      <c r="N546" s="470">
        <f t="shared" si="474"/>
        <v>48</v>
      </c>
      <c r="O546" s="468">
        <f t="shared" si="465"/>
        <v>2063</v>
      </c>
      <c r="P546" s="471">
        <f t="shared" si="475"/>
        <v>2397038689.9200001</v>
      </c>
      <c r="Q546" s="472">
        <f t="shared" si="476"/>
        <v>2397038689.9200001</v>
      </c>
      <c r="R546" s="472">
        <f t="shared" si="477"/>
        <v>49938306.039999999</v>
      </c>
      <c r="S546" s="634">
        <f t="shared" si="466"/>
        <v>2016</v>
      </c>
      <c r="T546" s="470">
        <f t="shared" si="478"/>
        <v>1</v>
      </c>
      <c r="U546" s="612">
        <f t="shared" si="467"/>
        <v>49938306.039999999</v>
      </c>
      <c r="V546" s="464">
        <f t="shared" si="468"/>
        <v>2016</v>
      </c>
      <c r="W546" s="612">
        <f t="shared" si="479"/>
        <v>2347100383.8800001</v>
      </c>
      <c r="X546" s="561"/>
      <c r="Y546" s="449"/>
      <c r="Z546" s="449"/>
      <c r="AA546" s="475" t="s">
        <v>4180</v>
      </c>
      <c r="AB546" s="476"/>
      <c r="AC546" s="476"/>
      <c r="AD546" s="567">
        <f>G553</f>
        <v>2537534000</v>
      </c>
      <c r="AE546" s="452"/>
      <c r="AF546" s="571"/>
      <c r="AG546" s="452"/>
      <c r="AH546" s="452"/>
      <c r="AI546" s="453"/>
      <c r="AJ546" s="449"/>
      <c r="AK546" s="453"/>
      <c r="AL546" s="454"/>
      <c r="AM546" s="455"/>
      <c r="AN546" s="456"/>
      <c r="AO546" s="455"/>
      <c r="AP546" s="452"/>
      <c r="AQ546" s="457"/>
      <c r="AR546" s="449"/>
      <c r="AS546" s="449"/>
      <c r="AT546" s="452"/>
      <c r="AU546" s="457"/>
      <c r="AV546" s="449"/>
      <c r="AW546" s="458"/>
      <c r="AX546" s="452"/>
      <c r="AY546" s="457"/>
      <c r="AZ546" s="449"/>
      <c r="BA546" s="459"/>
      <c r="BB546" s="455"/>
      <c r="BC546" s="460"/>
      <c r="BD546" s="460"/>
      <c r="BG546" s="462"/>
    </row>
    <row r="547" spans="1:59" s="461" customFormat="1" ht="18" customHeight="1" x14ac:dyDescent="0.2">
      <c r="A547" s="461" t="str">
        <f t="shared" si="469"/>
        <v>GEDUNG SERBAGUNA KECAMATAN INUMAN2017</v>
      </c>
      <c r="B547" s="708"/>
      <c r="C547" s="489"/>
      <c r="D547" s="489" t="s">
        <v>1752</v>
      </c>
      <c r="E547" s="558"/>
      <c r="F547" s="559">
        <v>2017</v>
      </c>
      <c r="G547" s="619">
        <v>0</v>
      </c>
      <c r="H547" s="464">
        <f t="shared" si="470"/>
        <v>47</v>
      </c>
      <c r="I547" s="560"/>
      <c r="J547" s="468">
        <f t="shared" si="464"/>
        <v>2063</v>
      </c>
      <c r="K547" s="490">
        <f t="shared" si="471"/>
        <v>0</v>
      </c>
      <c r="L547" s="469">
        <f t="shared" si="472"/>
        <v>0</v>
      </c>
      <c r="M547" s="683">
        <f t="shared" si="473"/>
        <v>0</v>
      </c>
      <c r="N547" s="470">
        <f t="shared" si="474"/>
        <v>47</v>
      </c>
      <c r="O547" s="468">
        <f t="shared" si="465"/>
        <v>2063</v>
      </c>
      <c r="P547" s="471">
        <f t="shared" si="475"/>
        <v>2347100383.8800001</v>
      </c>
      <c r="Q547" s="472">
        <f t="shared" si="476"/>
        <v>2347100383.8800001</v>
      </c>
      <c r="R547" s="472">
        <f t="shared" si="477"/>
        <v>49938306.039999999</v>
      </c>
      <c r="S547" s="634">
        <f t="shared" si="466"/>
        <v>2017</v>
      </c>
      <c r="T547" s="470">
        <f t="shared" si="478"/>
        <v>1</v>
      </c>
      <c r="U547" s="612">
        <f t="shared" si="467"/>
        <v>49938306.039999999</v>
      </c>
      <c r="V547" s="464">
        <f t="shared" si="468"/>
        <v>2017</v>
      </c>
      <c r="W547" s="612">
        <f t="shared" si="479"/>
        <v>2297162077.8400002</v>
      </c>
      <c r="X547" s="561"/>
      <c r="Y547" s="449"/>
      <c r="Z547" s="449"/>
      <c r="AA547" s="475" t="s">
        <v>4181</v>
      </c>
      <c r="AB547" s="491"/>
      <c r="AC547" s="491"/>
      <c r="AD547" s="567">
        <f>U553</f>
        <v>340248534.24000001</v>
      </c>
      <c r="AE547" s="452"/>
      <c r="AF547" s="571"/>
      <c r="AG547" s="452"/>
      <c r="AH547" s="452"/>
      <c r="AI547" s="453"/>
      <c r="AJ547" s="449"/>
      <c r="AK547" s="453"/>
      <c r="AL547" s="454"/>
      <c r="AM547" s="455"/>
      <c r="AN547" s="456"/>
      <c r="AO547" s="455"/>
      <c r="AP547" s="452"/>
      <c r="AQ547" s="457"/>
      <c r="AR547" s="449"/>
      <c r="AS547" s="449"/>
      <c r="AT547" s="452"/>
      <c r="AU547" s="457"/>
      <c r="AV547" s="449"/>
      <c r="AW547" s="458"/>
      <c r="AX547" s="452"/>
      <c r="AY547" s="457"/>
      <c r="AZ547" s="449"/>
      <c r="BA547" s="459"/>
      <c r="BB547" s="455"/>
      <c r="BC547" s="460"/>
      <c r="BD547" s="460"/>
      <c r="BG547" s="462"/>
    </row>
    <row r="548" spans="1:59" s="461" customFormat="1" ht="18" customHeight="1" x14ac:dyDescent="0.2">
      <c r="A548" s="461" t="str">
        <f t="shared" si="469"/>
        <v>GEDUNG SERBAGUNA KECAMATAN INUMAN2018</v>
      </c>
      <c r="B548" s="708"/>
      <c r="C548" s="489"/>
      <c r="D548" s="489" t="s">
        <v>1752</v>
      </c>
      <c r="E548" s="558"/>
      <c r="F548" s="559">
        <v>2018</v>
      </c>
      <c r="G548" s="619">
        <v>0</v>
      </c>
      <c r="H548" s="464">
        <f t="shared" si="470"/>
        <v>46</v>
      </c>
      <c r="I548" s="560"/>
      <c r="J548" s="468">
        <f t="shared" si="464"/>
        <v>2063</v>
      </c>
      <c r="K548" s="490">
        <f t="shared" si="471"/>
        <v>0</v>
      </c>
      <c r="L548" s="469">
        <f t="shared" si="472"/>
        <v>0</v>
      </c>
      <c r="M548" s="683">
        <f t="shared" si="473"/>
        <v>0</v>
      </c>
      <c r="N548" s="470">
        <f t="shared" si="474"/>
        <v>46</v>
      </c>
      <c r="O548" s="468">
        <f t="shared" si="465"/>
        <v>2063</v>
      </c>
      <c r="P548" s="471">
        <f t="shared" si="475"/>
        <v>2297162077.8400002</v>
      </c>
      <c r="Q548" s="472">
        <f t="shared" si="476"/>
        <v>2297162077.8400002</v>
      </c>
      <c r="R548" s="472">
        <f t="shared" si="477"/>
        <v>49938306.039999999</v>
      </c>
      <c r="S548" s="634">
        <f t="shared" si="466"/>
        <v>2018</v>
      </c>
      <c r="T548" s="470">
        <f t="shared" si="478"/>
        <v>1</v>
      </c>
      <c r="U548" s="612">
        <f t="shared" si="467"/>
        <v>49938306.039999999</v>
      </c>
      <c r="V548" s="464">
        <f t="shared" si="468"/>
        <v>2018</v>
      </c>
      <c r="W548" s="612">
        <f t="shared" si="479"/>
        <v>2247223771.8000002</v>
      </c>
      <c r="X548" s="561"/>
      <c r="Y548" s="449"/>
      <c r="Z548" s="449"/>
      <c r="AA548" s="492" t="s">
        <v>4182</v>
      </c>
      <c r="AB548" s="476"/>
      <c r="AC548" s="476"/>
      <c r="AD548" s="568">
        <f>AD546-AD547</f>
        <v>2197285465.7600002</v>
      </c>
      <c r="AE548" s="452"/>
      <c r="AF548" s="571"/>
      <c r="AG548" s="452"/>
      <c r="AH548" s="452"/>
      <c r="AI548" s="453"/>
      <c r="AJ548" s="449"/>
      <c r="AK548" s="453"/>
      <c r="AL548" s="454"/>
      <c r="AM548" s="455"/>
      <c r="AN548" s="456"/>
      <c r="AO548" s="455"/>
      <c r="AP548" s="452"/>
      <c r="AQ548" s="457"/>
      <c r="AR548" s="449"/>
      <c r="AS548" s="449"/>
      <c r="AT548" s="452"/>
      <c r="AU548" s="457"/>
      <c r="AV548" s="449"/>
      <c r="AW548" s="458"/>
      <c r="AX548" s="452"/>
      <c r="AY548" s="457"/>
      <c r="AZ548" s="449"/>
      <c r="BA548" s="459"/>
      <c r="BB548" s="455"/>
      <c r="BC548" s="460"/>
      <c r="BD548" s="460"/>
      <c r="BG548" s="462"/>
    </row>
    <row r="549" spans="1:59" s="461" customFormat="1" ht="18" customHeight="1" x14ac:dyDescent="0.2">
      <c r="A549" s="461" t="str">
        <f t="shared" si="469"/>
        <v>GEDUNG SERBAGUNA KECAMATAN INUMAN2019</v>
      </c>
      <c r="B549" s="708"/>
      <c r="C549" s="489"/>
      <c r="D549" s="489"/>
      <c r="E549" s="558"/>
      <c r="F549" s="559">
        <v>2019</v>
      </c>
      <c r="G549" s="619">
        <v>0</v>
      </c>
      <c r="H549" s="464">
        <f t="shared" si="470"/>
        <v>45</v>
      </c>
      <c r="I549" s="560"/>
      <c r="J549" s="468">
        <f t="shared" si="464"/>
        <v>2063</v>
      </c>
      <c r="K549" s="490">
        <f t="shared" si="471"/>
        <v>0</v>
      </c>
      <c r="L549" s="469">
        <f t="shared" si="472"/>
        <v>0</v>
      </c>
      <c r="M549" s="683">
        <f t="shared" si="473"/>
        <v>0</v>
      </c>
      <c r="N549" s="470">
        <f t="shared" si="474"/>
        <v>45</v>
      </c>
      <c r="O549" s="468">
        <f t="shared" si="465"/>
        <v>2063</v>
      </c>
      <c r="P549" s="471">
        <f t="shared" si="475"/>
        <v>2247223771.8000002</v>
      </c>
      <c r="Q549" s="472">
        <f t="shared" si="476"/>
        <v>2247223771.8000002</v>
      </c>
      <c r="R549" s="472">
        <f t="shared" si="477"/>
        <v>49938306.039999999</v>
      </c>
      <c r="S549" s="1189">
        <f>F549</f>
        <v>2019</v>
      </c>
      <c r="T549" s="470">
        <f t="shared" si="478"/>
        <v>1</v>
      </c>
      <c r="U549" s="612">
        <f>R549*T549</f>
        <v>49938306.039999999</v>
      </c>
      <c r="V549" s="464">
        <f t="shared" si="468"/>
        <v>2019</v>
      </c>
      <c r="W549" s="612">
        <f t="shared" si="479"/>
        <v>2197285465.7600002</v>
      </c>
      <c r="X549" s="561"/>
      <c r="Y549" s="449"/>
      <c r="Z549" s="449"/>
      <c r="AA549" s="475" t="s">
        <v>4183</v>
      </c>
      <c r="AB549" s="476"/>
      <c r="AC549" s="476"/>
      <c r="AD549" s="567">
        <f>AD548-W553</f>
        <v>0</v>
      </c>
      <c r="AE549" s="452"/>
      <c r="AF549" s="571"/>
      <c r="AG549" s="452"/>
      <c r="AH549" s="452"/>
      <c r="AI549" s="453"/>
      <c r="AJ549" s="449"/>
      <c r="AK549" s="453"/>
      <c r="AL549" s="454"/>
      <c r="AM549" s="455"/>
      <c r="AN549" s="456"/>
      <c r="AO549" s="455"/>
      <c r="AP549" s="452"/>
      <c r="AQ549" s="457"/>
      <c r="AR549" s="449"/>
      <c r="AS549" s="449"/>
      <c r="AT549" s="452"/>
      <c r="AU549" s="457"/>
      <c r="AV549" s="449"/>
      <c r="AW549" s="458"/>
      <c r="AX549" s="452"/>
      <c r="AY549" s="457"/>
      <c r="AZ549" s="449"/>
      <c r="BA549" s="459"/>
      <c r="BB549" s="455"/>
      <c r="BC549" s="460"/>
      <c r="BD549" s="460"/>
      <c r="BG549" s="462"/>
    </row>
    <row r="550" spans="1:59" s="486" customFormat="1" ht="18" customHeight="1" x14ac:dyDescent="0.2">
      <c r="B550" s="708"/>
      <c r="C550" s="463"/>
      <c r="D550" s="489"/>
      <c r="E550" s="465"/>
      <c r="F550" s="559"/>
      <c r="G550" s="619"/>
      <c r="H550" s="464"/>
      <c r="I550" s="560"/>
      <c r="J550" s="468"/>
      <c r="K550" s="490"/>
      <c r="L550" s="469"/>
      <c r="M550" s="683"/>
      <c r="N550" s="470"/>
      <c r="O550" s="468"/>
      <c r="P550" s="471"/>
      <c r="Q550" s="472"/>
      <c r="R550" s="472"/>
      <c r="S550" s="634"/>
      <c r="T550" s="470"/>
      <c r="U550" s="612"/>
      <c r="V550" s="464"/>
      <c r="W550" s="612"/>
      <c r="X550" s="561"/>
      <c r="Y550" s="474"/>
      <c r="Z550" s="449"/>
      <c r="AA550" s="495"/>
      <c r="AB550" s="496"/>
      <c r="AC550" s="496"/>
      <c r="AD550" s="569"/>
      <c r="AE550" s="476"/>
      <c r="AF550" s="568"/>
      <c r="AG550" s="476"/>
      <c r="AH550" s="476"/>
      <c r="AI550" s="477"/>
      <c r="AJ550" s="478"/>
      <c r="AK550" s="479"/>
      <c r="AL550" s="480"/>
      <c r="AM550" s="474"/>
      <c r="AN550" s="481"/>
      <c r="AO550" s="474"/>
      <c r="AP550" s="476"/>
      <c r="AQ550" s="482"/>
      <c r="AR550" s="478"/>
      <c r="AS550" s="478"/>
      <c r="AT550" s="476"/>
      <c r="AU550" s="482"/>
      <c r="AV550" s="478"/>
      <c r="AW550" s="483"/>
      <c r="AX550" s="476"/>
      <c r="AY550" s="482"/>
      <c r="AZ550" s="478"/>
      <c r="BA550" s="484"/>
      <c r="BB550" s="474"/>
      <c r="BC550" s="485"/>
      <c r="BD550" s="485"/>
      <c r="BG550" s="487"/>
    </row>
    <row r="551" spans="1:59" s="486" customFormat="1" ht="18" customHeight="1" x14ac:dyDescent="0.2">
      <c r="B551" s="708"/>
      <c r="C551" s="488"/>
      <c r="D551" s="489"/>
      <c r="E551" s="465"/>
      <c r="F551" s="466"/>
      <c r="G551" s="620"/>
      <c r="H551" s="464"/>
      <c r="I551" s="467"/>
      <c r="J551" s="468"/>
      <c r="K551" s="490"/>
      <c r="L551" s="469"/>
      <c r="M551" s="683"/>
      <c r="N551" s="470"/>
      <c r="O551" s="468"/>
      <c r="P551" s="471"/>
      <c r="Q551" s="472"/>
      <c r="R551" s="472"/>
      <c r="S551" s="634"/>
      <c r="T551" s="470"/>
      <c r="U551" s="612"/>
      <c r="V551" s="464"/>
      <c r="W551" s="612"/>
      <c r="X551" s="473"/>
      <c r="Y551" s="478"/>
      <c r="Z551" s="449"/>
      <c r="AA551" s="699"/>
      <c r="AB551" s="700"/>
      <c r="AC551" s="700"/>
      <c r="AD551" s="701"/>
      <c r="AE551" s="491"/>
      <c r="AF551" s="568"/>
      <c r="AG551" s="491"/>
      <c r="AH551" s="491"/>
      <c r="AI551" s="477"/>
      <c r="AJ551" s="478"/>
      <c r="AK551" s="479"/>
      <c r="AL551" s="480"/>
      <c r="AM551" s="474"/>
      <c r="AN551" s="481"/>
      <c r="AO551" s="474"/>
      <c r="AP551" s="476"/>
      <c r="AQ551" s="482"/>
      <c r="AR551" s="478"/>
      <c r="AS551" s="478"/>
      <c r="AT551" s="476"/>
      <c r="AU551" s="482"/>
      <c r="AV551" s="478"/>
      <c r="AW551" s="483"/>
      <c r="AX551" s="476"/>
      <c r="AY551" s="482"/>
      <c r="AZ551" s="478"/>
      <c r="BA551" s="484"/>
      <c r="BB551" s="474"/>
      <c r="BC551" s="485"/>
      <c r="BD551" s="485"/>
      <c r="BG551" s="487"/>
    </row>
    <row r="552" spans="1:59" s="486" customFormat="1" ht="18" customHeight="1" x14ac:dyDescent="0.2">
      <c r="B552" s="687"/>
      <c r="C552" s="494"/>
      <c r="D552" s="464"/>
      <c r="E552" s="465"/>
      <c r="F552" s="466"/>
      <c r="G552" s="620"/>
      <c r="H552" s="464"/>
      <c r="I552" s="467"/>
      <c r="J552" s="468"/>
      <c r="K552" s="490"/>
      <c r="L552" s="469"/>
      <c r="M552" s="683"/>
      <c r="N552" s="470"/>
      <c r="O552" s="468"/>
      <c r="P552" s="471"/>
      <c r="Q552" s="472"/>
      <c r="R552" s="472"/>
      <c r="S552" s="634"/>
      <c r="T552" s="470"/>
      <c r="U552" s="612"/>
      <c r="V552" s="464"/>
      <c r="W552" s="612"/>
      <c r="X552" s="473"/>
      <c r="Y552" s="478"/>
      <c r="Z552" s="449"/>
      <c r="AA552" s="497"/>
      <c r="AB552" s="476"/>
      <c r="AC552" s="476"/>
      <c r="AD552" s="568"/>
      <c r="AE552" s="476"/>
      <c r="AF552" s="568"/>
      <c r="AG552" s="476"/>
      <c r="AH552" s="476"/>
      <c r="AI552" s="477"/>
      <c r="AJ552" s="478"/>
      <c r="AK552" s="479"/>
      <c r="AL552" s="480"/>
      <c r="AM552" s="474"/>
      <c r="AN552" s="481"/>
      <c r="AO552" s="474"/>
      <c r="AP552" s="476"/>
      <c r="AQ552" s="482"/>
      <c r="AR552" s="478"/>
      <c r="AS552" s="478"/>
      <c r="AT552" s="476"/>
      <c r="AU552" s="482"/>
      <c r="AV552" s="478"/>
      <c r="AW552" s="483"/>
      <c r="AX552" s="476"/>
      <c r="AY552" s="482"/>
      <c r="AZ552" s="478"/>
      <c r="BA552" s="484"/>
      <c r="BB552" s="474"/>
      <c r="BC552" s="485"/>
      <c r="BD552" s="485"/>
      <c r="BG552" s="487"/>
    </row>
    <row r="553" spans="1:59" s="526" customFormat="1" ht="18" customHeight="1" x14ac:dyDescent="0.2">
      <c r="B553" s="1956" t="s">
        <v>4184</v>
      </c>
      <c r="C553" s="1957"/>
      <c r="D553" s="1957"/>
      <c r="E553" s="1957"/>
      <c r="F553" s="1958"/>
      <c r="G553" s="621">
        <f>SUM(G543:G552)</f>
        <v>2537534000</v>
      </c>
      <c r="H553" s="505"/>
      <c r="I553" s="506"/>
      <c r="J553" s="507"/>
      <c r="K553" s="507"/>
      <c r="L553" s="505"/>
      <c r="M553" s="684"/>
      <c r="N553" s="508"/>
      <c r="O553" s="507"/>
      <c r="P553" s="509"/>
      <c r="Q553" s="510"/>
      <c r="R553" s="511"/>
      <c r="S553" s="512"/>
      <c r="T553" s="512"/>
      <c r="U553" s="610">
        <f>SUM(U543:U552)</f>
        <v>340248534.24000001</v>
      </c>
      <c r="V553" s="513"/>
      <c r="W553" s="610">
        <f>G553-U553</f>
        <v>2197285465.7600002</v>
      </c>
      <c r="X553" s="514"/>
      <c r="Y553" s="515"/>
      <c r="Z553" s="515"/>
      <c r="AA553" s="515"/>
      <c r="AB553" s="515"/>
      <c r="AC553" s="515"/>
      <c r="AD553" s="570"/>
      <c r="AE553" s="515"/>
      <c r="AF553" s="570"/>
      <c r="AG553" s="515"/>
      <c r="AH553" s="515"/>
      <c r="AI553" s="516"/>
      <c r="AJ553" s="517"/>
      <c r="AK553" s="518"/>
      <c r="AL553" s="519"/>
      <c r="AM553" s="520"/>
      <c r="AN553" s="521"/>
      <c r="AO553" s="520"/>
      <c r="AP553" s="515"/>
      <c r="AQ553" s="522"/>
      <c r="AR553" s="517"/>
      <c r="AS553" s="517"/>
      <c r="AT553" s="515"/>
      <c r="AU553" s="522"/>
      <c r="AV553" s="517"/>
      <c r="AW553" s="523"/>
      <c r="AX553" s="515"/>
      <c r="AY553" s="522"/>
      <c r="AZ553" s="517"/>
      <c r="BA553" s="524"/>
      <c r="BB553" s="520"/>
      <c r="BC553" s="525"/>
      <c r="BD553" s="525"/>
      <c r="BG553" s="527"/>
    </row>
    <row r="554" spans="1:59" s="526" customFormat="1" ht="18" customHeight="1" x14ac:dyDescent="0.2">
      <c r="B554" s="741"/>
      <c r="C554" s="698"/>
      <c r="D554" s="698"/>
      <c r="E554" s="698"/>
      <c r="F554" s="585"/>
      <c r="G554" s="622"/>
      <c r="H554" s="586"/>
      <c r="I554" s="587"/>
      <c r="J554" s="588"/>
      <c r="K554" s="588"/>
      <c r="L554" s="586"/>
      <c r="M554" s="521"/>
      <c r="N554" s="589"/>
      <c r="O554" s="588"/>
      <c r="P554" s="590"/>
      <c r="Q554" s="591"/>
      <c r="R554" s="592"/>
      <c r="S554" s="593"/>
      <c r="T554" s="593"/>
      <c r="U554" s="570"/>
      <c r="V554" s="594"/>
      <c r="W554" s="570"/>
      <c r="X554" s="515"/>
      <c r="Y554" s="515"/>
      <c r="Z554" s="515"/>
      <c r="AA554" s="515"/>
      <c r="AB554" s="515"/>
      <c r="AC554" s="515"/>
      <c r="AD554" s="570"/>
      <c r="AE554" s="515"/>
      <c r="AF554" s="570"/>
      <c r="AG554" s="515"/>
      <c r="AH554" s="515"/>
      <c r="AI554" s="516"/>
      <c r="AJ554" s="517"/>
      <c r="AK554" s="518"/>
      <c r="AL554" s="519"/>
      <c r="AM554" s="520"/>
      <c r="AN554" s="521"/>
      <c r="AO554" s="520"/>
      <c r="AP554" s="515"/>
      <c r="AQ554" s="522"/>
      <c r="AR554" s="517"/>
      <c r="AS554" s="517"/>
      <c r="AT554" s="515"/>
      <c r="AU554" s="522"/>
      <c r="AV554" s="517"/>
      <c r="AW554" s="523"/>
      <c r="AX554" s="515"/>
      <c r="AY554" s="522"/>
      <c r="AZ554" s="517"/>
      <c r="BA554" s="524"/>
      <c r="BB554" s="520"/>
      <c r="BC554" s="525"/>
      <c r="BD554" s="525"/>
      <c r="BG554" s="527"/>
    </row>
    <row r="555" spans="1:59" s="526" customFormat="1" ht="18" customHeight="1" x14ac:dyDescent="0.2">
      <c r="B555" s="575"/>
      <c r="C555" s="585"/>
      <c r="D555" s="585"/>
      <c r="E555" s="585"/>
      <c r="F555" s="585"/>
      <c r="G555" s="622"/>
      <c r="H555" s="586"/>
      <c r="I555" s="587"/>
      <c r="J555" s="588"/>
      <c r="K555" s="588"/>
      <c r="L555" s="586"/>
      <c r="M555" s="521"/>
      <c r="N555" s="589"/>
      <c r="O555" s="588"/>
      <c r="P555" s="590"/>
      <c r="Q555" s="591"/>
      <c r="R555" s="592"/>
      <c r="S555" s="593"/>
      <c r="T555" s="593"/>
      <c r="U555" s="570"/>
      <c r="V555" s="594"/>
      <c r="W555" s="570"/>
      <c r="X555" s="515"/>
      <c r="Y555" s="515"/>
      <c r="Z555" s="515"/>
      <c r="AA555" s="515"/>
      <c r="AB555" s="515"/>
      <c r="AC555" s="515"/>
      <c r="AD555" s="570"/>
      <c r="AE555" s="515"/>
      <c r="AF555" s="570"/>
      <c r="AG555" s="515"/>
      <c r="AH555" s="515"/>
      <c r="AI555" s="516"/>
      <c r="AJ555" s="517"/>
      <c r="AK555" s="518"/>
      <c r="AL555" s="519"/>
      <c r="AM555" s="520"/>
      <c r="AN555" s="521"/>
      <c r="AO555" s="520"/>
      <c r="AP555" s="515"/>
      <c r="AQ555" s="522"/>
      <c r="AR555" s="517"/>
      <c r="AS555" s="517"/>
      <c r="AT555" s="515"/>
      <c r="AU555" s="522"/>
      <c r="AV555" s="517"/>
      <c r="AW555" s="523"/>
      <c r="AX555" s="515"/>
      <c r="AY555" s="522"/>
      <c r="AZ555" s="517"/>
      <c r="BA555" s="524"/>
      <c r="BB555" s="520"/>
      <c r="BC555" s="525"/>
      <c r="BD555" s="525"/>
      <c r="BG555" s="527"/>
    </row>
    <row r="556" spans="1:59" s="422" customFormat="1" ht="18" customHeight="1" x14ac:dyDescent="0.2">
      <c r="B556" s="688" t="s">
        <v>4231</v>
      </c>
      <c r="C556" s="556"/>
      <c r="D556" s="553" t="s">
        <v>2994</v>
      </c>
      <c r="E556" s="553"/>
      <c r="F556" s="421"/>
      <c r="G556" s="611"/>
      <c r="I556" s="423"/>
      <c r="J556" s="424"/>
      <c r="K556" s="424"/>
      <c r="M556" s="680"/>
      <c r="U556" s="611"/>
      <c r="W556" s="611"/>
      <c r="Y556" s="425"/>
      <c r="Z556" s="425"/>
      <c r="AA556" s="425"/>
      <c r="AB556" s="425"/>
      <c r="AC556" s="425"/>
      <c r="AD556" s="563"/>
      <c r="AE556" s="425"/>
      <c r="AF556" s="563"/>
      <c r="AG556" s="425"/>
      <c r="AH556" s="425"/>
      <c r="AI556" s="425"/>
      <c r="AJ556" s="425"/>
      <c r="AK556" s="425"/>
      <c r="AL556" s="425"/>
      <c r="AM556" s="425"/>
      <c r="AN556" s="425"/>
      <c r="AO556" s="425"/>
      <c r="AP556" s="425"/>
      <c r="AQ556" s="425"/>
      <c r="AR556" s="425"/>
      <c r="AS556" s="425"/>
      <c r="AT556" s="425"/>
      <c r="AU556" s="425"/>
      <c r="AV556" s="425"/>
      <c r="AW556" s="425"/>
      <c r="AX556" s="425"/>
      <c r="AY556" s="425"/>
      <c r="AZ556" s="425"/>
      <c r="BA556" s="425"/>
      <c r="BB556" s="425"/>
    </row>
    <row r="557" spans="1:59" s="431" customFormat="1" ht="18" customHeight="1" x14ac:dyDescent="0.2">
      <c r="B557" s="1968" t="s">
        <v>5</v>
      </c>
      <c r="C557" s="1968" t="s">
        <v>2280</v>
      </c>
      <c r="D557" s="1968" t="s">
        <v>4157</v>
      </c>
      <c r="E557" s="1968" t="s">
        <v>4158</v>
      </c>
      <c r="F557" s="1968"/>
      <c r="G557" s="1969" t="s">
        <v>4159</v>
      </c>
      <c r="H557" s="1355" t="s">
        <v>4160</v>
      </c>
      <c r="I557" s="1355"/>
      <c r="J557" s="1968" t="s">
        <v>4161</v>
      </c>
      <c r="K557" s="1964" t="s">
        <v>4162</v>
      </c>
      <c r="L557" s="1968" t="s">
        <v>4163</v>
      </c>
      <c r="M557" s="1971" t="s">
        <v>4164</v>
      </c>
      <c r="N557" s="1962" t="s">
        <v>4165</v>
      </c>
      <c r="O557" s="1968" t="s">
        <v>4166</v>
      </c>
      <c r="P557" s="1972" t="s">
        <v>4167</v>
      </c>
      <c r="Q557" s="1973"/>
      <c r="R557" s="636" t="s">
        <v>4168</v>
      </c>
      <c r="S557" s="1972" t="s">
        <v>4169</v>
      </c>
      <c r="T557" s="1974"/>
      <c r="U557" s="1973"/>
      <c r="V557" s="1975" t="s">
        <v>4170</v>
      </c>
      <c r="W557" s="1975"/>
      <c r="X557" s="1960" t="s">
        <v>4171</v>
      </c>
      <c r="Y557" s="1959"/>
      <c r="Z557" s="633"/>
      <c r="AA557" s="426"/>
      <c r="AB557" s="426"/>
      <c r="AC557" s="426"/>
      <c r="AD557" s="564"/>
      <c r="AE557" s="426"/>
      <c r="AF557" s="564"/>
      <c r="AG557" s="426"/>
      <c r="AH557" s="426"/>
      <c r="AI557" s="427"/>
      <c r="AJ557" s="427"/>
      <c r="AK557" s="427"/>
      <c r="AL557" s="427"/>
      <c r="AM557" s="428"/>
      <c r="AN557" s="427"/>
      <c r="AO557" s="427"/>
      <c r="AP557" s="426"/>
      <c r="AQ557" s="427"/>
      <c r="AR557" s="427"/>
      <c r="AS557" s="427"/>
      <c r="AT557" s="426"/>
      <c r="AU557" s="427"/>
      <c r="AV557" s="427"/>
      <c r="AW557" s="427"/>
      <c r="AX557" s="426"/>
      <c r="AY557" s="427"/>
      <c r="AZ557" s="427"/>
      <c r="BA557" s="427"/>
      <c r="BB557" s="429"/>
      <c r="BC557" s="430"/>
      <c r="BD557" s="430"/>
    </row>
    <row r="558" spans="1:59" s="431" customFormat="1" ht="18" customHeight="1" x14ac:dyDescent="0.2">
      <c r="B558" s="1968"/>
      <c r="C558" s="1968"/>
      <c r="D558" s="1968"/>
      <c r="E558" s="1968"/>
      <c r="F558" s="1968"/>
      <c r="G558" s="1969"/>
      <c r="H558" s="1355"/>
      <c r="I558" s="1355"/>
      <c r="J558" s="1968"/>
      <c r="K558" s="1970"/>
      <c r="L558" s="1968"/>
      <c r="M558" s="1971"/>
      <c r="N558" s="1963"/>
      <c r="O558" s="1968"/>
      <c r="P558" s="1960" t="s">
        <v>4172</v>
      </c>
      <c r="Q558" s="1960" t="s">
        <v>4173</v>
      </c>
      <c r="R558" s="1962" t="s">
        <v>4159</v>
      </c>
      <c r="S558" s="1962" t="s">
        <v>4174</v>
      </c>
      <c r="T558" s="1964" t="s">
        <v>4175</v>
      </c>
      <c r="U558" s="1966" t="s">
        <v>4159</v>
      </c>
      <c r="V558" s="1975"/>
      <c r="W558" s="1975"/>
      <c r="X558" s="1976"/>
      <c r="Y558" s="1959"/>
      <c r="Z558" s="633"/>
      <c r="AA558" s="426"/>
      <c r="AB558" s="426"/>
      <c r="AC558" s="426"/>
      <c r="AD558" s="564"/>
      <c r="AE558" s="426"/>
      <c r="AF558" s="564"/>
      <c r="AG558" s="426"/>
      <c r="AH558" s="426"/>
      <c r="AI558" s="427"/>
      <c r="AJ558" s="427"/>
      <c r="AK558" s="426"/>
      <c r="AL558" s="427"/>
      <c r="AM558" s="428"/>
      <c r="AN558" s="427"/>
      <c r="AO558" s="427"/>
      <c r="AP558" s="432"/>
      <c r="AQ558" s="427"/>
      <c r="AR558" s="427"/>
      <c r="AS558" s="427"/>
      <c r="AT558" s="432"/>
      <c r="AU558" s="427"/>
      <c r="AV558" s="427"/>
      <c r="AW558" s="427"/>
      <c r="AX558" s="432"/>
      <c r="AY558" s="427"/>
      <c r="AZ558" s="427"/>
      <c r="BA558" s="427"/>
      <c r="BB558" s="429"/>
      <c r="BC558" s="430"/>
      <c r="BD558" s="430"/>
    </row>
    <row r="559" spans="1:59" s="431" customFormat="1" ht="21.75" customHeight="1" x14ac:dyDescent="0.2">
      <c r="B559" s="1968"/>
      <c r="C559" s="1968"/>
      <c r="D559" s="1968"/>
      <c r="E559" s="433" t="s">
        <v>4176</v>
      </c>
      <c r="F559" s="434" t="s">
        <v>2288</v>
      </c>
      <c r="G559" s="1969"/>
      <c r="H559" s="1355" t="s">
        <v>2288</v>
      </c>
      <c r="I559" s="1355" t="s">
        <v>4177</v>
      </c>
      <c r="J559" s="1968"/>
      <c r="K559" s="1965"/>
      <c r="L559" s="435" t="s">
        <v>2288</v>
      </c>
      <c r="M559" s="681" t="s">
        <v>2288</v>
      </c>
      <c r="N559" s="635" t="s">
        <v>2288</v>
      </c>
      <c r="O559" s="1968"/>
      <c r="P559" s="1961"/>
      <c r="Q559" s="1961"/>
      <c r="R559" s="1963"/>
      <c r="S559" s="1963"/>
      <c r="T559" s="1965"/>
      <c r="U559" s="1967"/>
      <c r="V559" s="635" t="s">
        <v>4178</v>
      </c>
      <c r="W559" s="637" t="s">
        <v>4159</v>
      </c>
      <c r="X559" s="1961"/>
      <c r="Y559" s="436"/>
      <c r="Z559" s="436"/>
      <c r="AA559" s="426"/>
      <c r="AB559" s="426"/>
      <c r="AC559" s="426"/>
      <c r="AD559" s="564"/>
      <c r="AE559" s="426"/>
      <c r="AF559" s="564"/>
      <c r="AG559" s="426"/>
      <c r="AH559" s="426"/>
      <c r="AI559" s="427"/>
      <c r="AJ559" s="432"/>
      <c r="AK559" s="432"/>
      <c r="AL559" s="427"/>
      <c r="AM559" s="428"/>
      <c r="AN559" s="432"/>
      <c r="AO559" s="427"/>
      <c r="AP559" s="432"/>
      <c r="AQ559" s="432"/>
      <c r="AR559" s="427"/>
      <c r="AS559" s="427"/>
      <c r="AT559" s="432"/>
      <c r="AU559" s="432"/>
      <c r="AV559" s="427"/>
      <c r="AW559" s="427"/>
      <c r="AX559" s="432"/>
      <c r="AY559" s="432"/>
      <c r="AZ559" s="427"/>
      <c r="BA559" s="427"/>
      <c r="BB559" s="429"/>
      <c r="BC559" s="430"/>
      <c r="BD559" s="430"/>
    </row>
    <row r="560" spans="1:59" s="461" customFormat="1" ht="18" customHeight="1" x14ac:dyDescent="0.2">
      <c r="A560" s="461" t="str">
        <f>$D$556&amp;S560</f>
        <v>GEDUNG KANTOR BUPATI KUANTAN SINGINGI2013</v>
      </c>
      <c r="B560" s="689">
        <v>1</v>
      </c>
      <c r="C560" s="597" t="s">
        <v>2778</v>
      </c>
      <c r="D560" s="597" t="s">
        <v>1752</v>
      </c>
      <c r="E560" s="598"/>
      <c r="F560" s="599">
        <v>2013</v>
      </c>
      <c r="G560" s="626">
        <f>6245218080.46009+2002583850</f>
        <v>8247801930.4600897</v>
      </c>
      <c r="H560" s="600">
        <f>VLOOKUP(LEFT(D560,8),UE,4)</f>
        <v>50</v>
      </c>
      <c r="I560" s="601"/>
      <c r="J560" s="602">
        <f t="shared" ref="J560:J566" si="480">(F560+N560)-1</f>
        <v>2062</v>
      </c>
      <c r="K560" s="603"/>
      <c r="L560" s="600"/>
      <c r="M560" s="685">
        <f>IF(H560+L560&gt;$H560,$H560-H560,L560)</f>
        <v>0</v>
      </c>
      <c r="N560" s="604">
        <f>H560+M560</f>
        <v>50</v>
      </c>
      <c r="O560" s="602">
        <f t="shared" ref="O560:O566" si="481">(F560+N560)-1</f>
        <v>2062</v>
      </c>
      <c r="P560" s="605">
        <f>G560</f>
        <v>8247801930.4600897</v>
      </c>
      <c r="Q560" s="606">
        <v>0</v>
      </c>
      <c r="R560" s="606">
        <f>P560/N560</f>
        <v>164956038.60920179</v>
      </c>
      <c r="S560" s="607">
        <f t="shared" ref="S560:S565" si="482">F560</f>
        <v>2013</v>
      </c>
      <c r="T560" s="608">
        <v>1</v>
      </c>
      <c r="U560" s="615">
        <f t="shared" ref="U560:U565" si="483">R560*T560</f>
        <v>164956038.60920179</v>
      </c>
      <c r="V560" s="602">
        <f t="shared" ref="V560:V566" si="484">F560</f>
        <v>2013</v>
      </c>
      <c r="W560" s="618">
        <f>IF(OR(AND(ISBLANK(E560),ISBLANK(G560)),ISTEXT(E560),ISTEXT(G560)),"",G560-R560)</f>
        <v>8082845891.8508883</v>
      </c>
      <c r="X560" s="609"/>
      <c r="Y560" s="449"/>
      <c r="Z560" s="449"/>
      <c r="AA560" s="694"/>
      <c r="AB560" s="692"/>
      <c r="AC560" s="692"/>
      <c r="AD560" s="695"/>
      <c r="AE560" s="452"/>
      <c r="AF560" s="571"/>
      <c r="AG560" s="452"/>
      <c r="AH560" s="452"/>
      <c r="AI560" s="453"/>
      <c r="AJ560" s="449"/>
      <c r="AK560" s="453"/>
      <c r="AL560" s="454"/>
      <c r="AM560" s="455"/>
      <c r="AN560" s="456"/>
      <c r="AO560" s="455"/>
      <c r="AP560" s="452"/>
      <c r="AQ560" s="457"/>
      <c r="AR560" s="449"/>
      <c r="AS560" s="449"/>
      <c r="AT560" s="452"/>
      <c r="AU560" s="457"/>
      <c r="AV560" s="449"/>
      <c r="AW560" s="458"/>
      <c r="AX560" s="452"/>
      <c r="AY560" s="457"/>
      <c r="AZ560" s="449"/>
      <c r="BA560" s="459"/>
      <c r="BB560" s="455"/>
      <c r="BC560" s="460"/>
      <c r="BD560" s="460"/>
      <c r="BG560" s="462"/>
    </row>
    <row r="561" spans="1:59" s="461" customFormat="1" ht="18" customHeight="1" x14ac:dyDescent="0.2">
      <c r="A561" s="461" t="str">
        <f t="shared" ref="A561:A566" si="485">$D$556&amp;S561</f>
        <v>GEDUNG KANTOR BUPATI KUANTAN SINGINGI2013</v>
      </c>
      <c r="B561" s="708">
        <v>2</v>
      </c>
      <c r="C561" s="489" t="s">
        <v>4230</v>
      </c>
      <c r="D561" s="489" t="s">
        <v>1752</v>
      </c>
      <c r="E561" s="558"/>
      <c r="F561" s="559">
        <v>2013</v>
      </c>
      <c r="G561" s="619">
        <v>0</v>
      </c>
      <c r="H561" s="464">
        <f t="shared" ref="H561:H566" si="486">IF(N560-(F561-F560)&lt;=0,0,(N560-(F561-F560)))</f>
        <v>50</v>
      </c>
      <c r="I561" s="560"/>
      <c r="J561" s="468">
        <f t="shared" si="480"/>
        <v>2062</v>
      </c>
      <c r="K561" s="490">
        <f t="shared" ref="K561:K566" si="487">IF(G561=0,0,IF(H561=50,100%,G561/W560))</f>
        <v>0</v>
      </c>
      <c r="L561" s="469">
        <f t="shared" ref="L561:L566" si="488">IF(K561=0%,0,IF(K561&lt;=25%,5,IF(K561&lt;=50%,10,IF(K561&lt;=75%,15,50))))</f>
        <v>0</v>
      </c>
      <c r="M561" s="683">
        <f t="shared" ref="M561:M566" si="489">IF(OR(AND(ISBLANK(E561),ISBLANK(G561)),ISTEXT(E561),ISTEXT(G561)),"",IF(H561+L561&gt;$H$27,$H$27-H561,L561))</f>
        <v>0</v>
      </c>
      <c r="N561" s="470">
        <f t="shared" ref="N561:N566" si="490">IF(OR(AND(ISBLANK(F561),ISBLANK(G561)),ISTEXT(F561),ISTEXT(G561)),"",H561+M561)</f>
        <v>50</v>
      </c>
      <c r="O561" s="468">
        <f t="shared" si="481"/>
        <v>2062</v>
      </c>
      <c r="P561" s="471">
        <f t="shared" ref="P561:P566" si="491">W560</f>
        <v>8082845891.8508883</v>
      </c>
      <c r="Q561" s="472">
        <f t="shared" ref="Q561:Q566" si="492">P561+G561</f>
        <v>8082845891.8508883</v>
      </c>
      <c r="R561" s="472">
        <f t="shared" ref="R561:R566" si="493">IF(L561=0,R560,Q561/N561)</f>
        <v>164956038.60920179</v>
      </c>
      <c r="S561" s="634">
        <f t="shared" si="482"/>
        <v>2013</v>
      </c>
      <c r="T561" s="470">
        <f t="shared" ref="T561:T566" si="494">S561-S560</f>
        <v>0</v>
      </c>
      <c r="U561" s="612">
        <f t="shared" si="483"/>
        <v>0</v>
      </c>
      <c r="V561" s="464">
        <f t="shared" si="484"/>
        <v>2013</v>
      </c>
      <c r="W561" s="612">
        <f t="shared" ref="W561:W566" si="495">IF(OR(AND(ISBLANK(E561),ISBLANK(G561)),ISTEXT(E561),ISTEXT(G561)),"",Q561-U561)</f>
        <v>8082845891.8508883</v>
      </c>
      <c r="X561" s="561"/>
      <c r="Y561" s="449"/>
      <c r="Z561" s="449"/>
      <c r="AA561" s="554" t="s">
        <v>4179</v>
      </c>
      <c r="AB561" s="452"/>
      <c r="AC561" s="452"/>
      <c r="AD561" s="566"/>
      <c r="AE561" s="452"/>
      <c r="AF561" s="571"/>
      <c r="AG561" s="452"/>
      <c r="AH561" s="452"/>
      <c r="AI561" s="453"/>
      <c r="AJ561" s="449"/>
      <c r="AK561" s="453"/>
      <c r="AL561" s="454"/>
      <c r="AM561" s="455"/>
      <c r="AN561" s="456"/>
      <c r="AO561" s="455"/>
      <c r="AP561" s="452"/>
      <c r="AQ561" s="457"/>
      <c r="AR561" s="449"/>
      <c r="AS561" s="449"/>
      <c r="AT561" s="452"/>
      <c r="AU561" s="457"/>
      <c r="AV561" s="449"/>
      <c r="AW561" s="458"/>
      <c r="AX561" s="452"/>
      <c r="AY561" s="457"/>
      <c r="AZ561" s="449"/>
      <c r="BA561" s="459"/>
      <c r="BB561" s="455"/>
      <c r="BC561" s="460"/>
      <c r="BD561" s="460"/>
      <c r="BG561" s="462"/>
    </row>
    <row r="562" spans="1:59" s="461" customFormat="1" ht="18" customHeight="1" x14ac:dyDescent="0.2">
      <c r="A562" s="461" t="str">
        <f t="shared" si="485"/>
        <v>GEDUNG KANTOR BUPATI KUANTAN SINGINGI2015</v>
      </c>
      <c r="B562" s="708"/>
      <c r="C562" s="489"/>
      <c r="D562" s="489" t="s">
        <v>1752</v>
      </c>
      <c r="E562" s="558"/>
      <c r="F562" s="559">
        <v>2015</v>
      </c>
      <c r="G562" s="619">
        <v>0</v>
      </c>
      <c r="H562" s="464">
        <f t="shared" si="486"/>
        <v>48</v>
      </c>
      <c r="I562" s="560"/>
      <c r="J562" s="468">
        <f t="shared" si="480"/>
        <v>2062</v>
      </c>
      <c r="K562" s="490">
        <f t="shared" si="487"/>
        <v>0</v>
      </c>
      <c r="L562" s="469">
        <f t="shared" si="488"/>
        <v>0</v>
      </c>
      <c r="M562" s="683">
        <f t="shared" si="489"/>
        <v>0</v>
      </c>
      <c r="N562" s="470">
        <f t="shared" si="490"/>
        <v>48</v>
      </c>
      <c r="O562" s="468">
        <f t="shared" si="481"/>
        <v>2062</v>
      </c>
      <c r="P562" s="471">
        <f t="shared" si="491"/>
        <v>8082845891.8508883</v>
      </c>
      <c r="Q562" s="472">
        <f t="shared" si="492"/>
        <v>8082845891.8508883</v>
      </c>
      <c r="R562" s="472">
        <f t="shared" si="493"/>
        <v>164956038.60920179</v>
      </c>
      <c r="S562" s="634">
        <f t="shared" si="482"/>
        <v>2015</v>
      </c>
      <c r="T562" s="470">
        <f t="shared" si="494"/>
        <v>2</v>
      </c>
      <c r="U562" s="612">
        <f t="shared" si="483"/>
        <v>329912077.21840358</v>
      </c>
      <c r="V562" s="464">
        <f t="shared" si="484"/>
        <v>2015</v>
      </c>
      <c r="W562" s="612">
        <f t="shared" si="495"/>
        <v>7752933814.6324844</v>
      </c>
      <c r="X562" s="561"/>
      <c r="Y562" s="449"/>
      <c r="Z562" s="449"/>
      <c r="AA562" s="554"/>
      <c r="AB562" s="452"/>
      <c r="AC562" s="452"/>
      <c r="AD562" s="566"/>
      <c r="AE562" s="452"/>
      <c r="AF562" s="571"/>
      <c r="AG562" s="452"/>
      <c r="AH562" s="452"/>
      <c r="AI562" s="453"/>
      <c r="AJ562" s="449"/>
      <c r="AK562" s="453"/>
      <c r="AL562" s="454"/>
      <c r="AM562" s="455"/>
      <c r="AN562" s="456"/>
      <c r="AO562" s="455"/>
      <c r="AP562" s="452"/>
      <c r="AQ562" s="457"/>
      <c r="AR562" s="449"/>
      <c r="AS562" s="449"/>
      <c r="AT562" s="452"/>
      <c r="AU562" s="457"/>
      <c r="AV562" s="449"/>
      <c r="AW562" s="458"/>
      <c r="AX562" s="452"/>
      <c r="AY562" s="457"/>
      <c r="AZ562" s="449"/>
      <c r="BA562" s="459"/>
      <c r="BB562" s="455"/>
      <c r="BC562" s="460"/>
      <c r="BD562" s="460"/>
      <c r="BG562" s="462"/>
    </row>
    <row r="563" spans="1:59" s="461" customFormat="1" ht="18" customHeight="1" x14ac:dyDescent="0.2">
      <c r="A563" s="461" t="str">
        <f t="shared" si="485"/>
        <v>GEDUNG KANTOR BUPATI KUANTAN SINGINGI2016</v>
      </c>
      <c r="B563" s="708"/>
      <c r="C563" s="489"/>
      <c r="D563" s="489" t="s">
        <v>1752</v>
      </c>
      <c r="E563" s="558"/>
      <c r="F563" s="559">
        <v>2016</v>
      </c>
      <c r="G563" s="619">
        <v>0</v>
      </c>
      <c r="H563" s="464">
        <f t="shared" si="486"/>
        <v>47</v>
      </c>
      <c r="I563" s="560"/>
      <c r="J563" s="468">
        <f t="shared" si="480"/>
        <v>2062</v>
      </c>
      <c r="K563" s="490">
        <f t="shared" si="487"/>
        <v>0</v>
      </c>
      <c r="L563" s="469">
        <f t="shared" si="488"/>
        <v>0</v>
      </c>
      <c r="M563" s="683">
        <f t="shared" si="489"/>
        <v>0</v>
      </c>
      <c r="N563" s="470">
        <f t="shared" si="490"/>
        <v>47</v>
      </c>
      <c r="O563" s="468">
        <f t="shared" si="481"/>
        <v>2062</v>
      </c>
      <c r="P563" s="471">
        <f t="shared" si="491"/>
        <v>7752933814.6324844</v>
      </c>
      <c r="Q563" s="472">
        <f t="shared" si="492"/>
        <v>7752933814.6324844</v>
      </c>
      <c r="R563" s="472">
        <f t="shared" si="493"/>
        <v>164956038.60920179</v>
      </c>
      <c r="S563" s="634">
        <f t="shared" si="482"/>
        <v>2016</v>
      </c>
      <c r="T563" s="470">
        <f t="shared" si="494"/>
        <v>1</v>
      </c>
      <c r="U563" s="612">
        <f t="shared" si="483"/>
        <v>164956038.60920179</v>
      </c>
      <c r="V563" s="464">
        <f t="shared" si="484"/>
        <v>2016</v>
      </c>
      <c r="W563" s="612">
        <f t="shared" si="495"/>
        <v>7587977776.023283</v>
      </c>
      <c r="X563" s="561"/>
      <c r="Y563" s="449"/>
      <c r="Z563" s="449"/>
      <c r="AA563" s="475" t="s">
        <v>4180</v>
      </c>
      <c r="AB563" s="476"/>
      <c r="AC563" s="476"/>
      <c r="AD563" s="567">
        <f>G570</f>
        <v>8247801930.4600897</v>
      </c>
      <c r="AE563" s="452"/>
      <c r="AF563" s="571"/>
      <c r="AG563" s="452"/>
      <c r="AH563" s="452"/>
      <c r="AI563" s="453"/>
      <c r="AJ563" s="449"/>
      <c r="AK563" s="453"/>
      <c r="AL563" s="454"/>
      <c r="AM563" s="455"/>
      <c r="AN563" s="456"/>
      <c r="AO563" s="455"/>
      <c r="AP563" s="452"/>
      <c r="AQ563" s="457"/>
      <c r="AR563" s="449"/>
      <c r="AS563" s="449"/>
      <c r="AT563" s="452"/>
      <c r="AU563" s="457"/>
      <c r="AV563" s="449"/>
      <c r="AW563" s="458"/>
      <c r="AX563" s="452"/>
      <c r="AY563" s="457"/>
      <c r="AZ563" s="449"/>
      <c r="BA563" s="459"/>
      <c r="BB563" s="455"/>
      <c r="BC563" s="460"/>
      <c r="BD563" s="460"/>
      <c r="BG563" s="462"/>
    </row>
    <row r="564" spans="1:59" s="461" customFormat="1" ht="18" customHeight="1" x14ac:dyDescent="0.2">
      <c r="A564" s="461" t="str">
        <f t="shared" si="485"/>
        <v>GEDUNG KANTOR BUPATI KUANTAN SINGINGI2017</v>
      </c>
      <c r="B564" s="708"/>
      <c r="C564" s="489"/>
      <c r="D564" s="489" t="s">
        <v>1752</v>
      </c>
      <c r="E564" s="558"/>
      <c r="F564" s="559">
        <v>2017</v>
      </c>
      <c r="G564" s="619">
        <v>0</v>
      </c>
      <c r="H564" s="464">
        <f t="shared" si="486"/>
        <v>46</v>
      </c>
      <c r="I564" s="560"/>
      <c r="J564" s="468">
        <f t="shared" si="480"/>
        <v>2062</v>
      </c>
      <c r="K564" s="490">
        <f t="shared" si="487"/>
        <v>0</v>
      </c>
      <c r="L564" s="469">
        <f t="shared" si="488"/>
        <v>0</v>
      </c>
      <c r="M564" s="683">
        <f t="shared" si="489"/>
        <v>0</v>
      </c>
      <c r="N564" s="470">
        <f t="shared" si="490"/>
        <v>46</v>
      </c>
      <c r="O564" s="468">
        <f t="shared" si="481"/>
        <v>2062</v>
      </c>
      <c r="P564" s="471">
        <f t="shared" si="491"/>
        <v>7587977776.023283</v>
      </c>
      <c r="Q564" s="472">
        <f t="shared" si="492"/>
        <v>7587977776.023283</v>
      </c>
      <c r="R564" s="472">
        <f t="shared" si="493"/>
        <v>164956038.60920179</v>
      </c>
      <c r="S564" s="634">
        <f t="shared" si="482"/>
        <v>2017</v>
      </c>
      <c r="T564" s="470">
        <f t="shared" si="494"/>
        <v>1</v>
      </c>
      <c r="U564" s="612">
        <f t="shared" si="483"/>
        <v>164956038.60920179</v>
      </c>
      <c r="V564" s="464">
        <f t="shared" si="484"/>
        <v>2017</v>
      </c>
      <c r="W564" s="612">
        <f t="shared" si="495"/>
        <v>7423021737.4140816</v>
      </c>
      <c r="X564" s="561"/>
      <c r="Y564" s="449"/>
      <c r="Z564" s="449"/>
      <c r="AA564" s="475" t="s">
        <v>4181</v>
      </c>
      <c r="AB564" s="491"/>
      <c r="AC564" s="491"/>
      <c r="AD564" s="567">
        <f>U570</f>
        <v>1154692270.2644124</v>
      </c>
      <c r="AE564" s="452"/>
      <c r="AF564" s="571"/>
      <c r="AG564" s="452"/>
      <c r="AH564" s="452"/>
      <c r="AI564" s="453"/>
      <c r="AJ564" s="449"/>
      <c r="AK564" s="453"/>
      <c r="AL564" s="454"/>
      <c r="AM564" s="455"/>
      <c r="AN564" s="456"/>
      <c r="AO564" s="455"/>
      <c r="AP564" s="452"/>
      <c r="AQ564" s="457"/>
      <c r="AR564" s="449"/>
      <c r="AS564" s="449"/>
      <c r="AT564" s="452"/>
      <c r="AU564" s="457"/>
      <c r="AV564" s="449"/>
      <c r="AW564" s="458"/>
      <c r="AX564" s="452"/>
      <c r="AY564" s="457"/>
      <c r="AZ564" s="449"/>
      <c r="BA564" s="459"/>
      <c r="BB564" s="455"/>
      <c r="BC564" s="460"/>
      <c r="BD564" s="460"/>
      <c r="BG564" s="462"/>
    </row>
    <row r="565" spans="1:59" s="461" customFormat="1" ht="18" customHeight="1" x14ac:dyDescent="0.2">
      <c r="A565" s="461" t="str">
        <f t="shared" si="485"/>
        <v>GEDUNG KANTOR BUPATI KUANTAN SINGINGI2018</v>
      </c>
      <c r="B565" s="708"/>
      <c r="C565" s="489"/>
      <c r="D565" s="489" t="s">
        <v>1752</v>
      </c>
      <c r="E565" s="558"/>
      <c r="F565" s="559">
        <v>2018</v>
      </c>
      <c r="G565" s="619">
        <v>0</v>
      </c>
      <c r="H565" s="464">
        <f t="shared" si="486"/>
        <v>45</v>
      </c>
      <c r="I565" s="560"/>
      <c r="J565" s="468">
        <f t="shared" si="480"/>
        <v>2062</v>
      </c>
      <c r="K565" s="490">
        <f t="shared" si="487"/>
        <v>0</v>
      </c>
      <c r="L565" s="469">
        <f t="shared" si="488"/>
        <v>0</v>
      </c>
      <c r="M565" s="683">
        <f t="shared" si="489"/>
        <v>0</v>
      </c>
      <c r="N565" s="470">
        <f t="shared" si="490"/>
        <v>45</v>
      </c>
      <c r="O565" s="468">
        <f t="shared" si="481"/>
        <v>2062</v>
      </c>
      <c r="P565" s="471">
        <f t="shared" si="491"/>
        <v>7423021737.4140816</v>
      </c>
      <c r="Q565" s="472">
        <f t="shared" si="492"/>
        <v>7423021737.4140816</v>
      </c>
      <c r="R565" s="472">
        <f t="shared" si="493"/>
        <v>164956038.60920179</v>
      </c>
      <c r="S565" s="634">
        <f t="shared" si="482"/>
        <v>2018</v>
      </c>
      <c r="T565" s="470">
        <f t="shared" si="494"/>
        <v>1</v>
      </c>
      <c r="U565" s="612">
        <f t="shared" si="483"/>
        <v>164956038.60920179</v>
      </c>
      <c r="V565" s="464">
        <f t="shared" si="484"/>
        <v>2018</v>
      </c>
      <c r="W565" s="612">
        <f t="shared" si="495"/>
        <v>7258065698.8048801</v>
      </c>
      <c r="X565" s="561"/>
      <c r="Y565" s="449"/>
      <c r="Z565" s="449"/>
      <c r="AA565" s="492" t="s">
        <v>4182</v>
      </c>
      <c r="AB565" s="476"/>
      <c r="AC565" s="476"/>
      <c r="AD565" s="568">
        <f>AD563-AD564</f>
        <v>7093109660.1956768</v>
      </c>
      <c r="AE565" s="452"/>
      <c r="AF565" s="571"/>
      <c r="AG565" s="452"/>
      <c r="AH565" s="452"/>
      <c r="AI565" s="453"/>
      <c r="AJ565" s="449"/>
      <c r="AK565" s="453"/>
      <c r="AL565" s="454"/>
      <c r="AM565" s="455"/>
      <c r="AN565" s="456"/>
      <c r="AO565" s="455"/>
      <c r="AP565" s="452"/>
      <c r="AQ565" s="457"/>
      <c r="AR565" s="449"/>
      <c r="AS565" s="449"/>
      <c r="AT565" s="452"/>
      <c r="AU565" s="457"/>
      <c r="AV565" s="449"/>
      <c r="AW565" s="458"/>
      <c r="AX565" s="452"/>
      <c r="AY565" s="457"/>
      <c r="AZ565" s="449"/>
      <c r="BA565" s="459"/>
      <c r="BB565" s="455"/>
      <c r="BC565" s="460"/>
      <c r="BD565" s="460"/>
      <c r="BG565" s="462"/>
    </row>
    <row r="566" spans="1:59" s="461" customFormat="1" ht="18" customHeight="1" x14ac:dyDescent="0.2">
      <c r="A566" s="461" t="str">
        <f t="shared" si="485"/>
        <v>GEDUNG KANTOR BUPATI KUANTAN SINGINGI2019</v>
      </c>
      <c r="B566" s="708"/>
      <c r="C566" s="489"/>
      <c r="D566" s="489"/>
      <c r="E566" s="558"/>
      <c r="F566" s="559">
        <v>2019</v>
      </c>
      <c r="G566" s="619">
        <v>0</v>
      </c>
      <c r="H566" s="464">
        <f t="shared" si="486"/>
        <v>44</v>
      </c>
      <c r="I566" s="560"/>
      <c r="J566" s="468">
        <f t="shared" si="480"/>
        <v>2062</v>
      </c>
      <c r="K566" s="490">
        <f t="shared" si="487"/>
        <v>0</v>
      </c>
      <c r="L566" s="469">
        <f t="shared" si="488"/>
        <v>0</v>
      </c>
      <c r="M566" s="683">
        <f t="shared" si="489"/>
        <v>0</v>
      </c>
      <c r="N566" s="470">
        <f t="shared" si="490"/>
        <v>44</v>
      </c>
      <c r="O566" s="468">
        <f t="shared" si="481"/>
        <v>2062</v>
      </c>
      <c r="P566" s="471">
        <f t="shared" si="491"/>
        <v>7258065698.8048801</v>
      </c>
      <c r="Q566" s="472">
        <f t="shared" si="492"/>
        <v>7258065698.8048801</v>
      </c>
      <c r="R566" s="472">
        <f t="shared" si="493"/>
        <v>164956038.60920179</v>
      </c>
      <c r="S566" s="1189">
        <f>F566</f>
        <v>2019</v>
      </c>
      <c r="T566" s="470">
        <f t="shared" si="494"/>
        <v>1</v>
      </c>
      <c r="U566" s="612">
        <f>R566*T566</f>
        <v>164956038.60920179</v>
      </c>
      <c r="V566" s="464">
        <f t="shared" si="484"/>
        <v>2019</v>
      </c>
      <c r="W566" s="612">
        <f t="shared" si="495"/>
        <v>7093109660.1956787</v>
      </c>
      <c r="X566" s="561"/>
      <c r="Y566" s="449"/>
      <c r="Z566" s="449"/>
      <c r="AA566" s="475" t="s">
        <v>4183</v>
      </c>
      <c r="AB566" s="476"/>
      <c r="AC566" s="476"/>
      <c r="AD566" s="567">
        <f>AD565-W570</f>
        <v>0</v>
      </c>
      <c r="AE566" s="452"/>
      <c r="AF566" s="571"/>
      <c r="AG566" s="452"/>
      <c r="AH566" s="452"/>
      <c r="AI566" s="453"/>
      <c r="AJ566" s="449"/>
      <c r="AK566" s="453"/>
      <c r="AL566" s="454"/>
      <c r="AM566" s="455"/>
      <c r="AN566" s="456"/>
      <c r="AO566" s="455"/>
      <c r="AP566" s="452"/>
      <c r="AQ566" s="457"/>
      <c r="AR566" s="449"/>
      <c r="AS566" s="449"/>
      <c r="AT566" s="452"/>
      <c r="AU566" s="457"/>
      <c r="AV566" s="449"/>
      <c r="AW566" s="458"/>
      <c r="AX566" s="452"/>
      <c r="AY566" s="457"/>
      <c r="AZ566" s="449"/>
      <c r="BA566" s="459"/>
      <c r="BB566" s="455"/>
      <c r="BC566" s="460"/>
      <c r="BD566" s="460"/>
      <c r="BG566" s="462"/>
    </row>
    <row r="567" spans="1:59" s="486" customFormat="1" ht="18" customHeight="1" x14ac:dyDescent="0.2">
      <c r="B567" s="708"/>
      <c r="C567" s="463"/>
      <c r="D567" s="489"/>
      <c r="E567" s="465"/>
      <c r="F567" s="559"/>
      <c r="G567" s="619"/>
      <c r="H567" s="464"/>
      <c r="I567" s="560"/>
      <c r="J567" s="468"/>
      <c r="K567" s="490"/>
      <c r="L567" s="469"/>
      <c r="M567" s="683"/>
      <c r="N567" s="470"/>
      <c r="O567" s="468"/>
      <c r="P567" s="471"/>
      <c r="Q567" s="472"/>
      <c r="R567" s="472"/>
      <c r="S567" s="634"/>
      <c r="T567" s="470"/>
      <c r="U567" s="612"/>
      <c r="V567" s="464"/>
      <c r="W567" s="612"/>
      <c r="X567" s="561"/>
      <c r="Y567" s="474"/>
      <c r="Z567" s="449"/>
      <c r="AA567" s="495"/>
      <c r="AB567" s="496"/>
      <c r="AC567" s="496"/>
      <c r="AD567" s="569"/>
      <c r="AE567" s="476"/>
      <c r="AF567" s="568"/>
      <c r="AG567" s="476"/>
      <c r="AH567" s="476"/>
      <c r="AI567" s="477"/>
      <c r="AJ567" s="478"/>
      <c r="AK567" s="479"/>
      <c r="AL567" s="480"/>
      <c r="AM567" s="474"/>
      <c r="AN567" s="481"/>
      <c r="AO567" s="474"/>
      <c r="AP567" s="476"/>
      <c r="AQ567" s="482"/>
      <c r="AR567" s="478"/>
      <c r="AS567" s="478"/>
      <c r="AT567" s="476"/>
      <c r="AU567" s="482"/>
      <c r="AV567" s="478"/>
      <c r="AW567" s="483"/>
      <c r="AX567" s="476"/>
      <c r="AY567" s="482"/>
      <c r="AZ567" s="478"/>
      <c r="BA567" s="484"/>
      <c r="BB567" s="474"/>
      <c r="BC567" s="485"/>
      <c r="BD567" s="485"/>
      <c r="BG567" s="487"/>
    </row>
    <row r="568" spans="1:59" s="486" customFormat="1" ht="18" customHeight="1" x14ac:dyDescent="0.2">
      <c r="B568" s="708"/>
      <c r="C568" s="488"/>
      <c r="D568" s="489"/>
      <c r="E568" s="465"/>
      <c r="F568" s="466"/>
      <c r="G568" s="620"/>
      <c r="H568" s="464"/>
      <c r="I568" s="467"/>
      <c r="J568" s="468"/>
      <c r="K568" s="490"/>
      <c r="L568" s="469"/>
      <c r="M568" s="683"/>
      <c r="N568" s="470"/>
      <c r="O568" s="468"/>
      <c r="P568" s="471"/>
      <c r="Q568" s="472"/>
      <c r="R568" s="472"/>
      <c r="S568" s="634"/>
      <c r="T568" s="470"/>
      <c r="U568" s="612"/>
      <c r="V568" s="464"/>
      <c r="W568" s="612"/>
      <c r="X568" s="473"/>
      <c r="Y568" s="478"/>
      <c r="Z568" s="449"/>
      <c r="AA568" s="699"/>
      <c r="AB568" s="700"/>
      <c r="AC568" s="700"/>
      <c r="AD568" s="701"/>
      <c r="AE568" s="491"/>
      <c r="AF568" s="568"/>
      <c r="AG568" s="491"/>
      <c r="AH568" s="491"/>
      <c r="AI568" s="477"/>
      <c r="AJ568" s="478"/>
      <c r="AK568" s="479"/>
      <c r="AL568" s="480"/>
      <c r="AM568" s="474"/>
      <c r="AN568" s="481"/>
      <c r="AO568" s="474"/>
      <c r="AP568" s="476"/>
      <c r="AQ568" s="482"/>
      <c r="AR568" s="478"/>
      <c r="AS568" s="478"/>
      <c r="AT568" s="476"/>
      <c r="AU568" s="482"/>
      <c r="AV568" s="478"/>
      <c r="AW568" s="483"/>
      <c r="AX568" s="476"/>
      <c r="AY568" s="482"/>
      <c r="AZ568" s="478"/>
      <c r="BA568" s="484"/>
      <c r="BB568" s="474"/>
      <c r="BC568" s="485"/>
      <c r="BD568" s="485"/>
      <c r="BG568" s="487"/>
    </row>
    <row r="569" spans="1:59" s="486" customFormat="1" ht="18" customHeight="1" x14ac:dyDescent="0.2">
      <c r="B569" s="687"/>
      <c r="C569" s="494"/>
      <c r="D569" s="464"/>
      <c r="E569" s="465"/>
      <c r="F569" s="466"/>
      <c r="G569" s="620"/>
      <c r="H569" s="464"/>
      <c r="I569" s="467"/>
      <c r="J569" s="468"/>
      <c r="K569" s="490"/>
      <c r="L569" s="469"/>
      <c r="M569" s="683"/>
      <c r="N569" s="470"/>
      <c r="O569" s="468"/>
      <c r="P569" s="471"/>
      <c r="Q569" s="472"/>
      <c r="R569" s="472"/>
      <c r="S569" s="634"/>
      <c r="T569" s="470"/>
      <c r="U569" s="612"/>
      <c r="V569" s="464"/>
      <c r="W569" s="612"/>
      <c r="X569" s="473"/>
      <c r="Y569" s="478"/>
      <c r="Z569" s="449"/>
      <c r="AA569" s="497"/>
      <c r="AB569" s="476"/>
      <c r="AC569" s="476"/>
      <c r="AD569" s="568"/>
      <c r="AE569" s="476"/>
      <c r="AF569" s="568"/>
      <c r="AG569" s="476"/>
      <c r="AH569" s="476"/>
      <c r="AI569" s="477"/>
      <c r="AJ569" s="478"/>
      <c r="AK569" s="479"/>
      <c r="AL569" s="480"/>
      <c r="AM569" s="474"/>
      <c r="AN569" s="481"/>
      <c r="AO569" s="474"/>
      <c r="AP569" s="476"/>
      <c r="AQ569" s="482"/>
      <c r="AR569" s="478"/>
      <c r="AS569" s="478"/>
      <c r="AT569" s="476"/>
      <c r="AU569" s="482"/>
      <c r="AV569" s="478"/>
      <c r="AW569" s="483"/>
      <c r="AX569" s="476"/>
      <c r="AY569" s="482"/>
      <c r="AZ569" s="478"/>
      <c r="BA569" s="484"/>
      <c r="BB569" s="474"/>
      <c r="BC569" s="485"/>
      <c r="BD569" s="485"/>
      <c r="BG569" s="487"/>
    </row>
    <row r="570" spans="1:59" s="526" customFormat="1" ht="18" customHeight="1" x14ac:dyDescent="0.2">
      <c r="B570" s="1956" t="s">
        <v>4184</v>
      </c>
      <c r="C570" s="1957"/>
      <c r="D570" s="1957"/>
      <c r="E570" s="1957"/>
      <c r="F570" s="1958"/>
      <c r="G570" s="621">
        <f>SUM(G560:G569)</f>
        <v>8247801930.4600897</v>
      </c>
      <c r="H570" s="505"/>
      <c r="I570" s="506"/>
      <c r="J570" s="507"/>
      <c r="K570" s="507"/>
      <c r="L570" s="505"/>
      <c r="M570" s="684"/>
      <c r="N570" s="508"/>
      <c r="O570" s="507"/>
      <c r="P570" s="509"/>
      <c r="Q570" s="510"/>
      <c r="R570" s="511"/>
      <c r="S570" s="512"/>
      <c r="T570" s="512"/>
      <c r="U570" s="610">
        <f>SUM(U560:U569)</f>
        <v>1154692270.2644124</v>
      </c>
      <c r="V570" s="513"/>
      <c r="W570" s="610">
        <f>G570-U570</f>
        <v>7093109660.1956768</v>
      </c>
      <c r="X570" s="514"/>
      <c r="Y570" s="515"/>
      <c r="Z570" s="515"/>
      <c r="AA570" s="515"/>
      <c r="AB570" s="515"/>
      <c r="AC570" s="515"/>
      <c r="AD570" s="570"/>
      <c r="AE570" s="515"/>
      <c r="AF570" s="570"/>
      <c r="AG570" s="515"/>
      <c r="AH570" s="515"/>
      <c r="AI570" s="516"/>
      <c r="AJ570" s="517"/>
      <c r="AK570" s="518"/>
      <c r="AL570" s="519"/>
      <c r="AM570" s="520"/>
      <c r="AN570" s="521"/>
      <c r="AO570" s="520"/>
      <c r="AP570" s="515"/>
      <c r="AQ570" s="522"/>
      <c r="AR570" s="517"/>
      <c r="AS570" s="517"/>
      <c r="AT570" s="515"/>
      <c r="AU570" s="522"/>
      <c r="AV570" s="517"/>
      <c r="AW570" s="523"/>
      <c r="AX570" s="515"/>
      <c r="AY570" s="522"/>
      <c r="AZ570" s="517"/>
      <c r="BA570" s="524"/>
      <c r="BB570" s="520"/>
      <c r="BC570" s="525"/>
      <c r="BD570" s="525"/>
      <c r="BG570" s="527"/>
    </row>
    <row r="571" spans="1:59" s="526" customFormat="1" ht="18" customHeight="1" x14ac:dyDescent="0.2">
      <c r="B571" s="741"/>
      <c r="C571" s="698"/>
      <c r="D571" s="698"/>
      <c r="E571" s="698"/>
      <c r="F571" s="585"/>
      <c r="G571" s="622"/>
      <c r="H571" s="586"/>
      <c r="I571" s="587"/>
      <c r="J571" s="588"/>
      <c r="K571" s="588"/>
      <c r="L571" s="586"/>
      <c r="M571" s="521"/>
      <c r="N571" s="589"/>
      <c r="O571" s="588"/>
      <c r="P571" s="590"/>
      <c r="Q571" s="591"/>
      <c r="R571" s="592"/>
      <c r="S571" s="593"/>
      <c r="T571" s="593"/>
      <c r="U571" s="570"/>
      <c r="V571" s="594"/>
      <c r="W571" s="570"/>
      <c r="X571" s="515"/>
      <c r="Y571" s="515"/>
      <c r="Z571" s="515"/>
      <c r="AA571" s="515"/>
      <c r="AB571" s="515"/>
      <c r="AC571" s="515"/>
      <c r="AD571" s="570"/>
      <c r="AE571" s="515"/>
      <c r="AF571" s="570"/>
      <c r="AG571" s="515"/>
      <c r="AH571" s="515"/>
      <c r="AI571" s="516"/>
      <c r="AJ571" s="517"/>
      <c r="AK571" s="518"/>
      <c r="AL571" s="519"/>
      <c r="AM571" s="520"/>
      <c r="AN571" s="521"/>
      <c r="AO571" s="520"/>
      <c r="AP571" s="515"/>
      <c r="AQ571" s="522"/>
      <c r="AR571" s="517"/>
      <c r="AS571" s="517"/>
      <c r="AT571" s="515"/>
      <c r="AU571" s="522"/>
      <c r="AV571" s="517"/>
      <c r="AW571" s="523"/>
      <c r="AX571" s="515"/>
      <c r="AY571" s="522"/>
      <c r="AZ571" s="517"/>
      <c r="BA571" s="524"/>
      <c r="BB571" s="520"/>
      <c r="BC571" s="525"/>
      <c r="BD571" s="525"/>
      <c r="BG571" s="527"/>
    </row>
    <row r="572" spans="1:59" s="526" customFormat="1" ht="18" customHeight="1" x14ac:dyDescent="0.2">
      <c r="B572" s="575"/>
      <c r="C572" s="585"/>
      <c r="D572" s="585"/>
      <c r="E572" s="585"/>
      <c r="F572" s="585"/>
      <c r="G572" s="622"/>
      <c r="H572" s="586"/>
      <c r="I572" s="587"/>
      <c r="J572" s="588"/>
      <c r="K572" s="588"/>
      <c r="L572" s="586"/>
      <c r="M572" s="521"/>
      <c r="N572" s="589"/>
      <c r="O572" s="588"/>
      <c r="P572" s="590"/>
      <c r="Q572" s="591"/>
      <c r="R572" s="592"/>
      <c r="S572" s="593"/>
      <c r="T572" s="593"/>
      <c r="U572" s="570"/>
      <c r="V572" s="594"/>
      <c r="W572" s="570"/>
      <c r="X572" s="515"/>
      <c r="Y572" s="515"/>
      <c r="Z572" s="515"/>
      <c r="AA572" s="515"/>
      <c r="AB572" s="515"/>
      <c r="AC572" s="515"/>
      <c r="AD572" s="570"/>
      <c r="AE572" s="515"/>
      <c r="AF572" s="570"/>
      <c r="AG572" s="515"/>
      <c r="AH572" s="515"/>
      <c r="AI572" s="516"/>
      <c r="AJ572" s="517"/>
      <c r="AK572" s="518"/>
      <c r="AL572" s="519"/>
      <c r="AM572" s="520"/>
      <c r="AN572" s="521"/>
      <c r="AO572" s="520"/>
      <c r="AP572" s="515"/>
      <c r="AQ572" s="522"/>
      <c r="AR572" s="517"/>
      <c r="AS572" s="517"/>
      <c r="AT572" s="515"/>
      <c r="AU572" s="522"/>
      <c r="AV572" s="517"/>
      <c r="AW572" s="523"/>
      <c r="AX572" s="515"/>
      <c r="AY572" s="522"/>
      <c r="AZ572" s="517"/>
      <c r="BA572" s="524"/>
      <c r="BB572" s="520"/>
      <c r="BC572" s="525"/>
      <c r="BD572" s="525"/>
      <c r="BG572" s="527"/>
    </row>
    <row r="573" spans="1:59" s="526" customFormat="1" ht="18" customHeight="1" x14ac:dyDescent="0.2">
      <c r="B573" s="575"/>
      <c r="C573" s="585"/>
      <c r="D573" s="585"/>
      <c r="E573" s="585"/>
      <c r="F573" s="585"/>
      <c r="G573" s="622"/>
      <c r="H573" s="586"/>
      <c r="I573" s="587"/>
      <c r="J573" s="588"/>
      <c r="K573" s="588"/>
      <c r="L573" s="586"/>
      <c r="M573" s="521"/>
      <c r="N573" s="589"/>
      <c r="O573" s="588"/>
      <c r="P573" s="590"/>
      <c r="Q573" s="591"/>
      <c r="R573" s="592"/>
      <c r="S573" s="593"/>
      <c r="T573" s="593"/>
      <c r="U573" s="570"/>
      <c r="V573" s="594"/>
      <c r="W573" s="570"/>
      <c r="X573" s="515"/>
      <c r="Y573" s="515"/>
      <c r="Z573" s="515"/>
      <c r="AA573" s="515"/>
      <c r="AB573" s="515"/>
      <c r="AC573" s="515"/>
      <c r="AD573" s="570"/>
      <c r="AE573" s="515"/>
      <c r="AF573" s="570"/>
      <c r="AG573" s="515"/>
      <c r="AH573" s="515"/>
      <c r="AI573" s="516"/>
      <c r="AJ573" s="517"/>
      <c r="AK573" s="518"/>
      <c r="AL573" s="519"/>
      <c r="AM573" s="520"/>
      <c r="AN573" s="521"/>
      <c r="AO573" s="520"/>
      <c r="AP573" s="515"/>
      <c r="AQ573" s="522"/>
      <c r="AR573" s="517"/>
      <c r="AS573" s="517"/>
      <c r="AT573" s="515"/>
      <c r="AU573" s="522"/>
      <c r="AV573" s="517"/>
      <c r="AW573" s="523"/>
      <c r="AX573" s="515"/>
      <c r="AY573" s="522"/>
      <c r="AZ573" s="517"/>
      <c r="BA573" s="524"/>
      <c r="BB573" s="520"/>
      <c r="BC573" s="525"/>
      <c r="BD573" s="525"/>
      <c r="BG573" s="527"/>
    </row>
    <row r="574" spans="1:59" s="422" customFormat="1" ht="18" customHeight="1" x14ac:dyDescent="0.2">
      <c r="B574" s="688" t="s">
        <v>4759</v>
      </c>
      <c r="C574" s="556"/>
      <c r="D574" s="553" t="s">
        <v>4267</v>
      </c>
      <c r="E574" s="553"/>
      <c r="F574" s="421"/>
      <c r="G574" s="611"/>
      <c r="I574" s="423"/>
      <c r="J574" s="424"/>
      <c r="K574" s="424"/>
      <c r="M574" s="680"/>
      <c r="U574" s="611"/>
      <c r="W574" s="611"/>
      <c r="Y574" s="425"/>
      <c r="Z574" s="425"/>
      <c r="AA574" s="425"/>
      <c r="AB574" s="425"/>
      <c r="AC574" s="425"/>
      <c r="AD574" s="563"/>
      <c r="AE574" s="425"/>
      <c r="AF574" s="563"/>
      <c r="AG574" s="425"/>
      <c r="AH574" s="425"/>
      <c r="AI574" s="425"/>
      <c r="AJ574" s="425"/>
      <c r="AK574" s="425"/>
      <c r="AL574" s="425"/>
      <c r="AM574" s="425"/>
      <c r="AN574" s="425"/>
      <c r="AO574" s="425"/>
      <c r="AP574" s="425"/>
      <c r="AQ574" s="425"/>
      <c r="AR574" s="425"/>
      <c r="AS574" s="425"/>
      <c r="AT574" s="425"/>
      <c r="AU574" s="425"/>
      <c r="AV574" s="425"/>
      <c r="AW574" s="425"/>
      <c r="AX574" s="425"/>
      <c r="AY574" s="425"/>
      <c r="AZ574" s="425"/>
      <c r="BA574" s="425"/>
      <c r="BB574" s="425"/>
    </row>
    <row r="575" spans="1:59" s="431" customFormat="1" ht="18" customHeight="1" x14ac:dyDescent="0.2">
      <c r="B575" s="1968" t="s">
        <v>5</v>
      </c>
      <c r="C575" s="1968" t="s">
        <v>2280</v>
      </c>
      <c r="D575" s="1968" t="s">
        <v>4157</v>
      </c>
      <c r="E575" s="1968" t="s">
        <v>4158</v>
      </c>
      <c r="F575" s="1968"/>
      <c r="G575" s="1969" t="s">
        <v>4159</v>
      </c>
      <c r="H575" s="1355" t="s">
        <v>4160</v>
      </c>
      <c r="I575" s="1355"/>
      <c r="J575" s="1968" t="s">
        <v>4161</v>
      </c>
      <c r="K575" s="1964" t="s">
        <v>4162</v>
      </c>
      <c r="L575" s="1968" t="s">
        <v>4163</v>
      </c>
      <c r="M575" s="1971" t="s">
        <v>4164</v>
      </c>
      <c r="N575" s="1962" t="s">
        <v>4165</v>
      </c>
      <c r="O575" s="1968" t="s">
        <v>4166</v>
      </c>
      <c r="P575" s="1972" t="s">
        <v>4167</v>
      </c>
      <c r="Q575" s="1973"/>
      <c r="R575" s="776" t="s">
        <v>4168</v>
      </c>
      <c r="S575" s="1972" t="s">
        <v>4169</v>
      </c>
      <c r="T575" s="1974"/>
      <c r="U575" s="1973"/>
      <c r="V575" s="1975" t="s">
        <v>4170</v>
      </c>
      <c r="W575" s="1975"/>
      <c r="X575" s="1960" t="s">
        <v>4171</v>
      </c>
      <c r="Y575" s="1959"/>
      <c r="Z575" s="777"/>
      <c r="AA575" s="426"/>
      <c r="AB575" s="426"/>
      <c r="AC575" s="426"/>
      <c r="AD575" s="564"/>
      <c r="AE575" s="426"/>
      <c r="AF575" s="564"/>
      <c r="AG575" s="426"/>
      <c r="AH575" s="426"/>
      <c r="AI575" s="427"/>
      <c r="AJ575" s="427"/>
      <c r="AK575" s="427"/>
      <c r="AL575" s="427"/>
      <c r="AM575" s="428"/>
      <c r="AN575" s="427"/>
      <c r="AO575" s="427"/>
      <c r="AP575" s="426"/>
      <c r="AQ575" s="427"/>
      <c r="AR575" s="427"/>
      <c r="AS575" s="427"/>
      <c r="AT575" s="426"/>
      <c r="AU575" s="427"/>
      <c r="AV575" s="427"/>
      <c r="AW575" s="427"/>
      <c r="AX575" s="426"/>
      <c r="AY575" s="427"/>
      <c r="AZ575" s="427"/>
      <c r="BA575" s="427"/>
      <c r="BB575" s="429"/>
      <c r="BC575" s="430"/>
      <c r="BD575" s="430"/>
    </row>
    <row r="576" spans="1:59" s="431" customFormat="1" ht="18" customHeight="1" x14ac:dyDescent="0.2">
      <c r="B576" s="1968"/>
      <c r="C576" s="1968"/>
      <c r="D576" s="1968"/>
      <c r="E576" s="1968"/>
      <c r="F576" s="1968"/>
      <c r="G576" s="1969"/>
      <c r="H576" s="1355"/>
      <c r="I576" s="1355"/>
      <c r="J576" s="1968"/>
      <c r="K576" s="1970"/>
      <c r="L576" s="1968"/>
      <c r="M576" s="1971"/>
      <c r="N576" s="1963"/>
      <c r="O576" s="1968"/>
      <c r="P576" s="1960" t="s">
        <v>4172</v>
      </c>
      <c r="Q576" s="1960" t="s">
        <v>4173</v>
      </c>
      <c r="R576" s="1962" t="s">
        <v>4159</v>
      </c>
      <c r="S576" s="1962" t="s">
        <v>4174</v>
      </c>
      <c r="T576" s="1964" t="s">
        <v>4175</v>
      </c>
      <c r="U576" s="1966" t="s">
        <v>4159</v>
      </c>
      <c r="V576" s="1975"/>
      <c r="W576" s="1975"/>
      <c r="X576" s="1976"/>
      <c r="Y576" s="1959"/>
      <c r="Z576" s="777"/>
      <c r="AA576" s="426"/>
      <c r="AB576" s="426"/>
      <c r="AC576" s="426"/>
      <c r="AD576" s="564"/>
      <c r="AE576" s="426"/>
      <c r="AF576" s="564"/>
      <c r="AG576" s="426"/>
      <c r="AH576" s="426"/>
      <c r="AI576" s="427"/>
      <c r="AJ576" s="427"/>
      <c r="AK576" s="426"/>
      <c r="AL576" s="427"/>
      <c r="AM576" s="428"/>
      <c r="AN576" s="427"/>
      <c r="AO576" s="427"/>
      <c r="AP576" s="432"/>
      <c r="AQ576" s="427"/>
      <c r="AR576" s="427"/>
      <c r="AS576" s="427"/>
      <c r="AT576" s="432"/>
      <c r="AU576" s="427"/>
      <c r="AV576" s="427"/>
      <c r="AW576" s="427"/>
      <c r="AX576" s="432"/>
      <c r="AY576" s="427"/>
      <c r="AZ576" s="427"/>
      <c r="BA576" s="427"/>
      <c r="BB576" s="429"/>
      <c r="BC576" s="430"/>
      <c r="BD576" s="430"/>
    </row>
    <row r="577" spans="1:59" s="431" customFormat="1" ht="21.75" customHeight="1" x14ac:dyDescent="0.2">
      <c r="B577" s="1968"/>
      <c r="C577" s="1968"/>
      <c r="D577" s="1968"/>
      <c r="E577" s="433" t="s">
        <v>4176</v>
      </c>
      <c r="F577" s="434" t="s">
        <v>2288</v>
      </c>
      <c r="G577" s="1969"/>
      <c r="H577" s="1355" t="s">
        <v>2288</v>
      </c>
      <c r="I577" s="1355" t="s">
        <v>4177</v>
      </c>
      <c r="J577" s="1968"/>
      <c r="K577" s="1965"/>
      <c r="L577" s="435" t="s">
        <v>2288</v>
      </c>
      <c r="M577" s="681" t="s">
        <v>2288</v>
      </c>
      <c r="N577" s="775" t="s">
        <v>2288</v>
      </c>
      <c r="O577" s="1968"/>
      <c r="P577" s="1961"/>
      <c r="Q577" s="1961"/>
      <c r="R577" s="1963"/>
      <c r="S577" s="1963"/>
      <c r="T577" s="1965"/>
      <c r="U577" s="1967"/>
      <c r="V577" s="775" t="s">
        <v>4178</v>
      </c>
      <c r="W577" s="778" t="s">
        <v>4159</v>
      </c>
      <c r="X577" s="1961"/>
      <c r="Y577" s="436"/>
      <c r="Z577" s="436"/>
      <c r="AA577" s="426"/>
      <c r="AB577" s="426"/>
      <c r="AC577" s="426"/>
      <c r="AD577" s="564"/>
      <c r="AE577" s="426"/>
      <c r="AF577" s="564"/>
      <c r="AG577" s="426"/>
      <c r="AH577" s="426"/>
      <c r="AI577" s="427"/>
      <c r="AJ577" s="432"/>
      <c r="AK577" s="432"/>
      <c r="AL577" s="427"/>
      <c r="AM577" s="428"/>
      <c r="AN577" s="432"/>
      <c r="AO577" s="427"/>
      <c r="AP577" s="432"/>
      <c r="AQ577" s="432"/>
      <c r="AR577" s="427"/>
      <c r="AS577" s="427"/>
      <c r="AT577" s="432"/>
      <c r="AU577" s="432"/>
      <c r="AV577" s="427"/>
      <c r="AW577" s="427"/>
      <c r="AX577" s="432"/>
      <c r="AY577" s="432"/>
      <c r="AZ577" s="427"/>
      <c r="BA577" s="427"/>
      <c r="BB577" s="429"/>
      <c r="BC577" s="430"/>
      <c r="BD577" s="430"/>
    </row>
    <row r="578" spans="1:59" s="461" customFormat="1" ht="18" customHeight="1" x14ac:dyDescent="0.2">
      <c r="A578" s="461" t="str">
        <f>$D$574&amp;S578</f>
        <v>KANTOR LURAH SIMPANG TIGA2012</v>
      </c>
      <c r="B578" s="689">
        <v>1</v>
      </c>
      <c r="C578" s="597" t="s">
        <v>2703</v>
      </c>
      <c r="D578" s="597" t="s">
        <v>1752</v>
      </c>
      <c r="E578" s="598"/>
      <c r="F578" s="599">
        <v>2012</v>
      </c>
      <c r="G578" s="626">
        <f>22181000+525749159.543418</f>
        <v>547930159.54341793</v>
      </c>
      <c r="H578" s="600">
        <f>VLOOKUP(LEFT(D578,8),UE,4)</f>
        <v>50</v>
      </c>
      <c r="I578" s="601"/>
      <c r="J578" s="602">
        <f t="shared" ref="J578:J586" si="496">(F578+N578)-1</f>
        <v>2061</v>
      </c>
      <c r="K578" s="603"/>
      <c r="L578" s="600"/>
      <c r="M578" s="685">
        <f>IF(H578+L578&gt;$H578,$H578-H578,L578)</f>
        <v>0</v>
      </c>
      <c r="N578" s="604">
        <f>H578+M578</f>
        <v>50</v>
      </c>
      <c r="O578" s="602">
        <f t="shared" ref="O578:O586" si="497">(F578+N578)-1</f>
        <v>2061</v>
      </c>
      <c r="P578" s="605">
        <f>G578</f>
        <v>547930159.54341793</v>
      </c>
      <c r="Q578" s="606">
        <v>0</v>
      </c>
      <c r="R578" s="606">
        <f>P578/N578</f>
        <v>10958603.190868359</v>
      </c>
      <c r="S578" s="607">
        <f t="shared" ref="S578:S586" si="498">F578</f>
        <v>2012</v>
      </c>
      <c r="T578" s="608">
        <v>1</v>
      </c>
      <c r="U578" s="615">
        <f t="shared" ref="U578:U586" si="499">R578*T578</f>
        <v>10958603.190868359</v>
      </c>
      <c r="V578" s="602">
        <f t="shared" ref="V578:V586" si="500">F578</f>
        <v>2012</v>
      </c>
      <c r="W578" s="618">
        <f>IF(OR(AND(ISBLANK(E578),ISBLANK(G578)),ISTEXT(E578),ISTEXT(G578)),"",G578-R578)</f>
        <v>536971556.35254955</v>
      </c>
      <c r="X578" s="609"/>
      <c r="Y578" s="449"/>
      <c r="Z578" s="449"/>
      <c r="AA578" s="694"/>
      <c r="AB578" s="692"/>
      <c r="AC578" s="692"/>
      <c r="AD578" s="695"/>
      <c r="AE578" s="452"/>
      <c r="AF578" s="571"/>
      <c r="AG578" s="452"/>
      <c r="AH578" s="452"/>
      <c r="AI578" s="453"/>
      <c r="AJ578" s="449"/>
      <c r="AK578" s="453"/>
      <c r="AL578" s="454"/>
      <c r="AM578" s="455"/>
      <c r="AN578" s="456"/>
      <c r="AO578" s="455"/>
      <c r="AP578" s="452"/>
      <c r="AQ578" s="457"/>
      <c r="AR578" s="449"/>
      <c r="AS578" s="449"/>
      <c r="AT578" s="452"/>
      <c r="AU578" s="457"/>
      <c r="AV578" s="449"/>
      <c r="AW578" s="458"/>
      <c r="AX578" s="452"/>
      <c r="AY578" s="457"/>
      <c r="AZ578" s="449"/>
      <c r="BA578" s="459"/>
      <c r="BB578" s="455"/>
      <c r="BC578" s="460"/>
      <c r="BD578" s="460"/>
      <c r="BG578" s="462"/>
    </row>
    <row r="579" spans="1:59" s="461" customFormat="1" ht="18" customHeight="1" x14ac:dyDescent="0.2">
      <c r="A579" s="461" t="str">
        <f t="shared" ref="A579:A586" si="501">$D$574&amp;S579</f>
        <v>KANTOR LURAH SIMPANG TIGA2012</v>
      </c>
      <c r="B579" s="708">
        <v>2</v>
      </c>
      <c r="C579" s="489" t="s">
        <v>2703</v>
      </c>
      <c r="D579" s="489" t="s">
        <v>1752</v>
      </c>
      <c r="E579" s="558"/>
      <c r="F579" s="559">
        <v>2012</v>
      </c>
      <c r="G579" s="619">
        <v>0</v>
      </c>
      <c r="H579" s="464">
        <f t="shared" ref="H579:H586" si="502">IF(N578-(F579-F578)&lt;=0,0,(N578-(F579-F578)))</f>
        <v>50</v>
      </c>
      <c r="I579" s="560"/>
      <c r="J579" s="468">
        <f t="shared" si="496"/>
        <v>2061</v>
      </c>
      <c r="K579" s="490">
        <f t="shared" ref="K579:K586" si="503">IF(G579=0,0,IF(H579=50,100%,G579/W578))</f>
        <v>0</v>
      </c>
      <c r="L579" s="469">
        <f t="shared" ref="L579:L586" si="504">IF(K579=0%,0,IF(K579&lt;=25%,5,IF(K579&lt;=50%,10,IF(K579&lt;=75%,15,50))))</f>
        <v>0</v>
      </c>
      <c r="M579" s="683">
        <f t="shared" ref="M579:M586" si="505">IF(OR(AND(ISBLANK(E579),ISBLANK(G579)),ISTEXT(E579),ISTEXT(G579)),"",IF(H579+L579&gt;$H$27,$H$27-H579,L579))</f>
        <v>0</v>
      </c>
      <c r="N579" s="470">
        <f t="shared" ref="N579:N586" si="506">IF(OR(AND(ISBLANK(F579),ISBLANK(G579)),ISTEXT(F579),ISTEXT(G579)),"",H579+M579)</f>
        <v>50</v>
      </c>
      <c r="O579" s="468">
        <f t="shared" si="497"/>
        <v>2061</v>
      </c>
      <c r="P579" s="471">
        <f t="shared" ref="P579:P586" si="507">W578</f>
        <v>536971556.35254955</v>
      </c>
      <c r="Q579" s="472">
        <f t="shared" ref="Q579:Q586" si="508">P579+G579</f>
        <v>536971556.35254955</v>
      </c>
      <c r="R579" s="472">
        <f t="shared" ref="R579:R586" si="509">IF(L579=0,R578,Q579/N579)</f>
        <v>10958603.190868359</v>
      </c>
      <c r="S579" s="780">
        <f t="shared" si="498"/>
        <v>2012</v>
      </c>
      <c r="T579" s="470">
        <f t="shared" ref="T579:T586" si="510">S579-S578</f>
        <v>0</v>
      </c>
      <c r="U579" s="612">
        <f t="shared" si="499"/>
        <v>0</v>
      </c>
      <c r="V579" s="464">
        <f t="shared" si="500"/>
        <v>2012</v>
      </c>
      <c r="W579" s="612">
        <f t="shared" ref="W579:W586" si="511">IF(OR(AND(ISBLANK(E579),ISBLANK(G579)),ISTEXT(E579),ISTEXT(G579)),"",Q579-U579)</f>
        <v>536971556.35254955</v>
      </c>
      <c r="X579" s="561"/>
      <c r="Y579" s="449"/>
      <c r="Z579" s="449"/>
      <c r="AA579" s="554" t="s">
        <v>4179</v>
      </c>
      <c r="AB579" s="452"/>
      <c r="AC579" s="452"/>
      <c r="AD579" s="566"/>
      <c r="AE579" s="452"/>
      <c r="AF579" s="571"/>
      <c r="AG579" s="452"/>
      <c r="AH579" s="452"/>
      <c r="AI579" s="453"/>
      <c r="AJ579" s="449"/>
      <c r="AK579" s="453"/>
      <c r="AL579" s="454"/>
      <c r="AM579" s="455"/>
      <c r="AN579" s="456"/>
      <c r="AO579" s="455"/>
      <c r="AP579" s="452"/>
      <c r="AQ579" s="457"/>
      <c r="AR579" s="449"/>
      <c r="AS579" s="449"/>
      <c r="AT579" s="452"/>
      <c r="AU579" s="457"/>
      <c r="AV579" s="449"/>
      <c r="AW579" s="458"/>
      <c r="AX579" s="452"/>
      <c r="AY579" s="457"/>
      <c r="AZ579" s="449"/>
      <c r="BA579" s="459"/>
      <c r="BB579" s="455"/>
      <c r="BC579" s="460"/>
      <c r="BD579" s="460"/>
      <c r="BG579" s="462"/>
    </row>
    <row r="580" spans="1:59" s="461" customFormat="1" ht="18" customHeight="1" x14ac:dyDescent="0.2">
      <c r="A580" s="461" t="str">
        <f t="shared" si="501"/>
        <v>KANTOR LURAH SIMPANG TIGA2013</v>
      </c>
      <c r="B580" s="708">
        <v>3</v>
      </c>
      <c r="C580" s="489" t="s">
        <v>2775</v>
      </c>
      <c r="D580" s="489" t="s">
        <v>1752</v>
      </c>
      <c r="E580" s="558"/>
      <c r="F580" s="559">
        <v>2013</v>
      </c>
      <c r="G580" s="619">
        <v>150029000</v>
      </c>
      <c r="H580" s="464">
        <f t="shared" si="502"/>
        <v>49</v>
      </c>
      <c r="I580" s="560"/>
      <c r="J580" s="468">
        <f t="shared" si="496"/>
        <v>2062</v>
      </c>
      <c r="K580" s="490">
        <f t="shared" si="503"/>
        <v>0.27939841175032037</v>
      </c>
      <c r="L580" s="469">
        <f t="shared" si="504"/>
        <v>10</v>
      </c>
      <c r="M580" s="683">
        <f t="shared" si="505"/>
        <v>1</v>
      </c>
      <c r="N580" s="470">
        <f t="shared" si="506"/>
        <v>50</v>
      </c>
      <c r="O580" s="468">
        <f t="shared" si="497"/>
        <v>2062</v>
      </c>
      <c r="P580" s="471">
        <f t="shared" si="507"/>
        <v>536971556.35254955</v>
      </c>
      <c r="Q580" s="472">
        <f t="shared" si="508"/>
        <v>687000556.35254955</v>
      </c>
      <c r="R580" s="472">
        <f t="shared" si="509"/>
        <v>13740011.12705099</v>
      </c>
      <c r="S580" s="780">
        <f t="shared" si="498"/>
        <v>2013</v>
      </c>
      <c r="T580" s="470">
        <f t="shared" si="510"/>
        <v>1</v>
      </c>
      <c r="U580" s="612">
        <f t="shared" si="499"/>
        <v>13740011.12705099</v>
      </c>
      <c r="V580" s="464">
        <f t="shared" si="500"/>
        <v>2013</v>
      </c>
      <c r="W580" s="612">
        <f t="shared" si="511"/>
        <v>673260545.22549856</v>
      </c>
      <c r="X580" s="561"/>
      <c r="Y580" s="449"/>
      <c r="Z580" s="449"/>
      <c r="AA580" s="554"/>
      <c r="AB580" s="452"/>
      <c r="AC580" s="452"/>
      <c r="AD580" s="566"/>
      <c r="AE580" s="452"/>
      <c r="AF580" s="571"/>
      <c r="AG580" s="452"/>
      <c r="AH580" s="452"/>
      <c r="AI580" s="453"/>
      <c r="AJ580" s="449"/>
      <c r="AK580" s="453"/>
      <c r="AL580" s="454"/>
      <c r="AM580" s="455"/>
      <c r="AN580" s="456"/>
      <c r="AO580" s="455"/>
      <c r="AP580" s="452"/>
      <c r="AQ580" s="457"/>
      <c r="AR580" s="449"/>
      <c r="AS580" s="449"/>
      <c r="AT580" s="452"/>
      <c r="AU580" s="457"/>
      <c r="AV580" s="449"/>
      <c r="AW580" s="458"/>
      <c r="AX580" s="452"/>
      <c r="AY580" s="457"/>
      <c r="AZ580" s="449"/>
      <c r="BA580" s="459"/>
      <c r="BB580" s="455"/>
      <c r="BC580" s="460"/>
      <c r="BD580" s="460"/>
      <c r="BG580" s="462"/>
    </row>
    <row r="581" spans="1:59" s="461" customFormat="1" ht="18" customHeight="1" x14ac:dyDescent="0.2">
      <c r="A581" s="461" t="str">
        <f t="shared" si="501"/>
        <v>KANTOR LURAH SIMPANG TIGA2014</v>
      </c>
      <c r="B581" s="708"/>
      <c r="C581" s="489"/>
      <c r="D581" s="489" t="s">
        <v>1752</v>
      </c>
      <c r="E581" s="558"/>
      <c r="F581" s="559">
        <v>2014</v>
      </c>
      <c r="G581" s="619">
        <v>0</v>
      </c>
      <c r="H581" s="464">
        <f t="shared" si="502"/>
        <v>49</v>
      </c>
      <c r="I581" s="560"/>
      <c r="J581" s="468">
        <f t="shared" si="496"/>
        <v>2062</v>
      </c>
      <c r="K581" s="490">
        <f t="shared" si="503"/>
        <v>0</v>
      </c>
      <c r="L581" s="469">
        <f t="shared" si="504"/>
        <v>0</v>
      </c>
      <c r="M581" s="683">
        <f t="shared" si="505"/>
        <v>0</v>
      </c>
      <c r="N581" s="470">
        <f t="shared" si="506"/>
        <v>49</v>
      </c>
      <c r="O581" s="468">
        <f t="shared" si="497"/>
        <v>2062</v>
      </c>
      <c r="P581" s="471">
        <f t="shared" si="507"/>
        <v>673260545.22549856</v>
      </c>
      <c r="Q581" s="472">
        <f t="shared" si="508"/>
        <v>673260545.22549856</v>
      </c>
      <c r="R581" s="472">
        <f t="shared" si="509"/>
        <v>13740011.12705099</v>
      </c>
      <c r="S581" s="780">
        <f t="shared" si="498"/>
        <v>2014</v>
      </c>
      <c r="T581" s="470">
        <f t="shared" si="510"/>
        <v>1</v>
      </c>
      <c r="U581" s="612">
        <f t="shared" si="499"/>
        <v>13740011.12705099</v>
      </c>
      <c r="V581" s="464">
        <f t="shared" si="500"/>
        <v>2014</v>
      </c>
      <c r="W581" s="612">
        <f t="shared" si="511"/>
        <v>659520534.09844756</v>
      </c>
      <c r="X581" s="561"/>
      <c r="Y581" s="449"/>
      <c r="Z581" s="449"/>
      <c r="AA581" s="475" t="s">
        <v>4180</v>
      </c>
      <c r="AB581" s="476"/>
      <c r="AC581" s="476"/>
      <c r="AD581" s="567">
        <f>G589</f>
        <v>697959159.54341793</v>
      </c>
      <c r="AE581" s="452"/>
      <c r="AF581" s="571"/>
      <c r="AG581" s="452"/>
      <c r="AH581" s="452"/>
      <c r="AI581" s="453"/>
      <c r="AJ581" s="449"/>
      <c r="AK581" s="453"/>
      <c r="AL581" s="454"/>
      <c r="AM581" s="455"/>
      <c r="AN581" s="456"/>
      <c r="AO581" s="455"/>
      <c r="AP581" s="452"/>
      <c r="AQ581" s="457"/>
      <c r="AR581" s="449"/>
      <c r="AS581" s="449"/>
      <c r="AT581" s="452"/>
      <c r="AU581" s="457"/>
      <c r="AV581" s="449"/>
      <c r="AW581" s="458"/>
      <c r="AX581" s="452"/>
      <c r="AY581" s="457"/>
      <c r="AZ581" s="449"/>
      <c r="BA581" s="459"/>
      <c r="BB581" s="455"/>
      <c r="BC581" s="460"/>
      <c r="BD581" s="460"/>
      <c r="BG581" s="462"/>
    </row>
    <row r="582" spans="1:59" s="461" customFormat="1" ht="18" customHeight="1" x14ac:dyDescent="0.2">
      <c r="A582" s="461" t="str">
        <f t="shared" si="501"/>
        <v>KANTOR LURAH SIMPANG TIGA2015</v>
      </c>
      <c r="B582" s="708"/>
      <c r="C582" s="489"/>
      <c r="D582" s="489" t="s">
        <v>1752</v>
      </c>
      <c r="E582" s="558"/>
      <c r="F582" s="559">
        <v>2015</v>
      </c>
      <c r="G582" s="619">
        <v>0</v>
      </c>
      <c r="H582" s="464">
        <f t="shared" si="502"/>
        <v>48</v>
      </c>
      <c r="I582" s="560"/>
      <c r="J582" s="468">
        <f t="shared" si="496"/>
        <v>2062</v>
      </c>
      <c r="K582" s="490">
        <f t="shared" si="503"/>
        <v>0</v>
      </c>
      <c r="L582" s="469">
        <f t="shared" si="504"/>
        <v>0</v>
      </c>
      <c r="M582" s="683">
        <f t="shared" si="505"/>
        <v>0</v>
      </c>
      <c r="N582" s="470">
        <f t="shared" si="506"/>
        <v>48</v>
      </c>
      <c r="O582" s="468">
        <f t="shared" si="497"/>
        <v>2062</v>
      </c>
      <c r="P582" s="471">
        <f t="shared" si="507"/>
        <v>659520534.09844756</v>
      </c>
      <c r="Q582" s="472">
        <f t="shared" si="508"/>
        <v>659520534.09844756</v>
      </c>
      <c r="R582" s="472">
        <f t="shared" si="509"/>
        <v>13740011.12705099</v>
      </c>
      <c r="S582" s="780">
        <f t="shared" si="498"/>
        <v>2015</v>
      </c>
      <c r="T582" s="470">
        <f t="shared" si="510"/>
        <v>1</v>
      </c>
      <c r="U582" s="612">
        <f t="shared" si="499"/>
        <v>13740011.12705099</v>
      </c>
      <c r="V582" s="464">
        <f t="shared" si="500"/>
        <v>2015</v>
      </c>
      <c r="W582" s="612">
        <f t="shared" si="511"/>
        <v>645780522.97139657</v>
      </c>
      <c r="X582" s="561"/>
      <c r="Y582" s="449"/>
      <c r="Z582" s="449"/>
      <c r="AA582" s="475" t="s">
        <v>4181</v>
      </c>
      <c r="AB582" s="491"/>
      <c r="AC582" s="491"/>
      <c r="AD582" s="567">
        <f>U589</f>
        <v>107138681.0802253</v>
      </c>
      <c r="AE582" s="452"/>
      <c r="AF582" s="571"/>
      <c r="AG582" s="452"/>
      <c r="AH582" s="452"/>
      <c r="AI582" s="453"/>
      <c r="AJ582" s="449"/>
      <c r="AK582" s="453"/>
      <c r="AL582" s="454"/>
      <c r="AM582" s="455"/>
      <c r="AN582" s="456"/>
      <c r="AO582" s="455"/>
      <c r="AP582" s="452"/>
      <c r="AQ582" s="457"/>
      <c r="AR582" s="449"/>
      <c r="AS582" s="449"/>
      <c r="AT582" s="452"/>
      <c r="AU582" s="457"/>
      <c r="AV582" s="449"/>
      <c r="AW582" s="458"/>
      <c r="AX582" s="452"/>
      <c r="AY582" s="457"/>
      <c r="AZ582" s="449"/>
      <c r="BA582" s="459"/>
      <c r="BB582" s="455"/>
      <c r="BC582" s="460"/>
      <c r="BD582" s="460"/>
      <c r="BG582" s="462"/>
    </row>
    <row r="583" spans="1:59" s="461" customFormat="1" ht="18" customHeight="1" x14ac:dyDescent="0.2">
      <c r="A583" s="461" t="str">
        <f t="shared" si="501"/>
        <v>KANTOR LURAH SIMPANG TIGA2016</v>
      </c>
      <c r="B583" s="708"/>
      <c r="C583" s="489"/>
      <c r="D583" s="489" t="s">
        <v>1752</v>
      </c>
      <c r="E583" s="558"/>
      <c r="F583" s="559">
        <v>2016</v>
      </c>
      <c r="G583" s="619">
        <v>0</v>
      </c>
      <c r="H583" s="464">
        <f t="shared" si="502"/>
        <v>47</v>
      </c>
      <c r="I583" s="560"/>
      <c r="J583" s="468">
        <f t="shared" si="496"/>
        <v>2062</v>
      </c>
      <c r="K583" s="490">
        <f t="shared" si="503"/>
        <v>0</v>
      </c>
      <c r="L583" s="469">
        <f t="shared" si="504"/>
        <v>0</v>
      </c>
      <c r="M583" s="683">
        <f t="shared" si="505"/>
        <v>0</v>
      </c>
      <c r="N583" s="470">
        <f t="shared" si="506"/>
        <v>47</v>
      </c>
      <c r="O583" s="468">
        <f t="shared" si="497"/>
        <v>2062</v>
      </c>
      <c r="P583" s="471">
        <f t="shared" si="507"/>
        <v>645780522.97139657</v>
      </c>
      <c r="Q583" s="472">
        <f t="shared" si="508"/>
        <v>645780522.97139657</v>
      </c>
      <c r="R583" s="472">
        <f t="shared" si="509"/>
        <v>13740011.12705099</v>
      </c>
      <c r="S583" s="780">
        <f t="shared" si="498"/>
        <v>2016</v>
      </c>
      <c r="T583" s="470">
        <f t="shared" si="510"/>
        <v>1</v>
      </c>
      <c r="U583" s="612">
        <f t="shared" si="499"/>
        <v>13740011.12705099</v>
      </c>
      <c r="V583" s="464">
        <f t="shared" si="500"/>
        <v>2016</v>
      </c>
      <c r="W583" s="612">
        <f t="shared" si="511"/>
        <v>632040511.84434557</v>
      </c>
      <c r="X583" s="561"/>
      <c r="Y583" s="449"/>
      <c r="Z583" s="449"/>
      <c r="AA583" s="492" t="s">
        <v>4182</v>
      </c>
      <c r="AB583" s="476"/>
      <c r="AC583" s="476"/>
      <c r="AD583" s="568">
        <f>AD581-AD582</f>
        <v>590820478.46319258</v>
      </c>
      <c r="AE583" s="452"/>
      <c r="AF583" s="571"/>
      <c r="AG583" s="452"/>
      <c r="AH583" s="452"/>
      <c r="AI583" s="453"/>
      <c r="AJ583" s="449"/>
      <c r="AK583" s="453"/>
      <c r="AL583" s="454"/>
      <c r="AM583" s="455"/>
      <c r="AN583" s="456"/>
      <c r="AO583" s="455"/>
      <c r="AP583" s="452"/>
      <c r="AQ583" s="457"/>
      <c r="AR583" s="449"/>
      <c r="AS583" s="449"/>
      <c r="AT583" s="452"/>
      <c r="AU583" s="457"/>
      <c r="AV583" s="449"/>
      <c r="AW583" s="458"/>
      <c r="AX583" s="452"/>
      <c r="AY583" s="457"/>
      <c r="AZ583" s="449"/>
      <c r="BA583" s="459"/>
      <c r="BB583" s="455"/>
      <c r="BC583" s="460"/>
      <c r="BD583" s="460"/>
      <c r="BG583" s="462"/>
    </row>
    <row r="584" spans="1:59" s="461" customFormat="1" ht="18" customHeight="1" x14ac:dyDescent="0.2">
      <c r="A584" s="461" t="str">
        <f t="shared" si="501"/>
        <v>KANTOR LURAH SIMPANG TIGA2017</v>
      </c>
      <c r="B584" s="708"/>
      <c r="C584" s="489"/>
      <c r="D584" s="489"/>
      <c r="E584" s="558"/>
      <c r="F584" s="559">
        <v>2017</v>
      </c>
      <c r="G584" s="619">
        <v>0</v>
      </c>
      <c r="H584" s="464">
        <f t="shared" si="502"/>
        <v>46</v>
      </c>
      <c r="I584" s="560"/>
      <c r="J584" s="468">
        <f t="shared" si="496"/>
        <v>2062</v>
      </c>
      <c r="K584" s="490">
        <f t="shared" si="503"/>
        <v>0</v>
      </c>
      <c r="L584" s="469">
        <f t="shared" si="504"/>
        <v>0</v>
      </c>
      <c r="M584" s="683">
        <f t="shared" si="505"/>
        <v>0</v>
      </c>
      <c r="N584" s="470">
        <f t="shared" si="506"/>
        <v>46</v>
      </c>
      <c r="O584" s="468">
        <f t="shared" si="497"/>
        <v>2062</v>
      </c>
      <c r="P584" s="471">
        <f t="shared" si="507"/>
        <v>632040511.84434557</v>
      </c>
      <c r="Q584" s="472">
        <f t="shared" si="508"/>
        <v>632040511.84434557</v>
      </c>
      <c r="R584" s="472">
        <f t="shared" si="509"/>
        <v>13740011.12705099</v>
      </c>
      <c r="S584" s="780">
        <f t="shared" si="498"/>
        <v>2017</v>
      </c>
      <c r="T584" s="470">
        <f t="shared" si="510"/>
        <v>1</v>
      </c>
      <c r="U584" s="612">
        <f t="shared" si="499"/>
        <v>13740011.12705099</v>
      </c>
      <c r="V584" s="464">
        <f t="shared" si="500"/>
        <v>2017</v>
      </c>
      <c r="W584" s="612">
        <f t="shared" si="511"/>
        <v>618300500.71729457</v>
      </c>
      <c r="X584" s="561"/>
      <c r="Y584" s="449"/>
      <c r="Z584" s="449"/>
      <c r="AA584" s="475" t="s">
        <v>4183</v>
      </c>
      <c r="AB584" s="476"/>
      <c r="AC584" s="476"/>
      <c r="AD584" s="567">
        <f>AD583-W589</f>
        <v>0</v>
      </c>
      <c r="AE584" s="452"/>
      <c r="AF584" s="571"/>
      <c r="AG584" s="452"/>
      <c r="AH584" s="452"/>
      <c r="AI584" s="453"/>
      <c r="AJ584" s="449"/>
      <c r="AK584" s="453"/>
      <c r="AL584" s="454"/>
      <c r="AM584" s="455"/>
      <c r="AN584" s="456"/>
      <c r="AO584" s="455"/>
      <c r="AP584" s="452"/>
      <c r="AQ584" s="457"/>
      <c r="AR584" s="449"/>
      <c r="AS584" s="449"/>
      <c r="AT584" s="452"/>
      <c r="AU584" s="457"/>
      <c r="AV584" s="449"/>
      <c r="AW584" s="458"/>
      <c r="AX584" s="452"/>
      <c r="AY584" s="457"/>
      <c r="AZ584" s="449"/>
      <c r="BA584" s="459"/>
      <c r="BB584" s="455"/>
      <c r="BC584" s="460"/>
      <c r="BD584" s="460"/>
      <c r="BG584" s="462"/>
    </row>
    <row r="585" spans="1:59" s="486" customFormat="1" ht="18" customHeight="1" x14ac:dyDescent="0.2">
      <c r="A585" s="461" t="str">
        <f t="shared" si="501"/>
        <v>KANTOR LURAH SIMPANG TIGA2018</v>
      </c>
      <c r="B585" s="708"/>
      <c r="C585" s="463"/>
      <c r="D585" s="489"/>
      <c r="E585" s="465"/>
      <c r="F585" s="559">
        <v>2018</v>
      </c>
      <c r="G585" s="619">
        <v>0</v>
      </c>
      <c r="H585" s="464">
        <f t="shared" si="502"/>
        <v>45</v>
      </c>
      <c r="I585" s="560"/>
      <c r="J585" s="468">
        <f t="shared" si="496"/>
        <v>2062</v>
      </c>
      <c r="K585" s="490">
        <f t="shared" si="503"/>
        <v>0</v>
      </c>
      <c r="L585" s="469">
        <f t="shared" si="504"/>
        <v>0</v>
      </c>
      <c r="M585" s="683">
        <f t="shared" si="505"/>
        <v>0</v>
      </c>
      <c r="N585" s="470">
        <f t="shared" si="506"/>
        <v>45</v>
      </c>
      <c r="O585" s="468">
        <f t="shared" si="497"/>
        <v>2062</v>
      </c>
      <c r="P585" s="471">
        <f t="shared" si="507"/>
        <v>618300500.71729457</v>
      </c>
      <c r="Q585" s="472">
        <f t="shared" si="508"/>
        <v>618300500.71729457</v>
      </c>
      <c r="R585" s="472">
        <f t="shared" si="509"/>
        <v>13740011.12705099</v>
      </c>
      <c r="S585" s="780">
        <f t="shared" si="498"/>
        <v>2018</v>
      </c>
      <c r="T585" s="470">
        <f t="shared" si="510"/>
        <v>1</v>
      </c>
      <c r="U585" s="612">
        <f t="shared" si="499"/>
        <v>13740011.12705099</v>
      </c>
      <c r="V585" s="464">
        <f t="shared" si="500"/>
        <v>2018</v>
      </c>
      <c r="W585" s="612">
        <f t="shared" si="511"/>
        <v>604560489.59024358</v>
      </c>
      <c r="X585" s="561"/>
      <c r="Y585" s="474"/>
      <c r="Z585" s="449"/>
      <c r="AA585" s="495"/>
      <c r="AB585" s="496"/>
      <c r="AC585" s="496"/>
      <c r="AD585" s="569"/>
      <c r="AE585" s="476"/>
      <c r="AF585" s="568"/>
      <c r="AG585" s="476"/>
      <c r="AH585" s="476"/>
      <c r="AI585" s="477"/>
      <c r="AJ585" s="478"/>
      <c r="AK585" s="479"/>
      <c r="AL585" s="480"/>
      <c r="AM585" s="474"/>
      <c r="AN585" s="481"/>
      <c r="AO585" s="474"/>
      <c r="AP585" s="476"/>
      <c r="AQ585" s="482"/>
      <c r="AR585" s="478"/>
      <c r="AS585" s="478"/>
      <c r="AT585" s="476"/>
      <c r="AU585" s="482"/>
      <c r="AV585" s="478"/>
      <c r="AW585" s="483"/>
      <c r="AX585" s="476"/>
      <c r="AY585" s="482"/>
      <c r="AZ585" s="478"/>
      <c r="BA585" s="484"/>
      <c r="BB585" s="474"/>
      <c r="BC585" s="485"/>
      <c r="BD585" s="485"/>
      <c r="BG585" s="487"/>
    </row>
    <row r="586" spans="1:59" s="486" customFormat="1" ht="18" customHeight="1" x14ac:dyDescent="0.2">
      <c r="A586" s="461" t="str">
        <f t="shared" si="501"/>
        <v>KANTOR LURAH SIMPANG TIGA2019</v>
      </c>
      <c r="B586" s="708"/>
      <c r="C586" s="488"/>
      <c r="D586" s="489"/>
      <c r="E586" s="465"/>
      <c r="F586" s="559">
        <v>2019</v>
      </c>
      <c r="G586" s="619">
        <v>0</v>
      </c>
      <c r="H586" s="464">
        <f t="shared" si="502"/>
        <v>44</v>
      </c>
      <c r="I586" s="560"/>
      <c r="J586" s="468">
        <f t="shared" si="496"/>
        <v>2062</v>
      </c>
      <c r="K586" s="490">
        <f t="shared" si="503"/>
        <v>0</v>
      </c>
      <c r="L586" s="469">
        <f t="shared" si="504"/>
        <v>0</v>
      </c>
      <c r="M586" s="683">
        <f t="shared" si="505"/>
        <v>0</v>
      </c>
      <c r="N586" s="470">
        <f t="shared" si="506"/>
        <v>44</v>
      </c>
      <c r="O586" s="468">
        <f t="shared" si="497"/>
        <v>2062</v>
      </c>
      <c r="P586" s="471">
        <f t="shared" si="507"/>
        <v>604560489.59024358</v>
      </c>
      <c r="Q586" s="472">
        <f t="shared" si="508"/>
        <v>604560489.59024358</v>
      </c>
      <c r="R586" s="472">
        <f t="shared" si="509"/>
        <v>13740011.12705099</v>
      </c>
      <c r="S586" s="1189">
        <f t="shared" si="498"/>
        <v>2019</v>
      </c>
      <c r="T586" s="470">
        <f t="shared" si="510"/>
        <v>1</v>
      </c>
      <c r="U586" s="612">
        <f t="shared" si="499"/>
        <v>13740011.12705099</v>
      </c>
      <c r="V586" s="464">
        <f t="shared" si="500"/>
        <v>2019</v>
      </c>
      <c r="W586" s="612">
        <f t="shared" si="511"/>
        <v>590820478.46319258</v>
      </c>
      <c r="X586" s="473"/>
      <c r="Y586" s="478"/>
      <c r="Z586" s="449"/>
      <c r="AA586" s="699"/>
      <c r="AB586" s="700"/>
      <c r="AC586" s="700"/>
      <c r="AD586" s="701"/>
      <c r="AE586" s="491"/>
      <c r="AF586" s="568"/>
      <c r="AG586" s="491"/>
      <c r="AH586" s="491"/>
      <c r="AI586" s="477"/>
      <c r="AJ586" s="478"/>
      <c r="AK586" s="479"/>
      <c r="AL586" s="480"/>
      <c r="AM586" s="474"/>
      <c r="AN586" s="481"/>
      <c r="AO586" s="474"/>
      <c r="AP586" s="476"/>
      <c r="AQ586" s="482"/>
      <c r="AR586" s="478"/>
      <c r="AS586" s="478"/>
      <c r="AT586" s="476"/>
      <c r="AU586" s="482"/>
      <c r="AV586" s="478"/>
      <c r="AW586" s="483"/>
      <c r="AX586" s="476"/>
      <c r="AY586" s="482"/>
      <c r="AZ586" s="478"/>
      <c r="BA586" s="484"/>
      <c r="BB586" s="474"/>
      <c r="BC586" s="485"/>
      <c r="BD586" s="485"/>
      <c r="BG586" s="487"/>
    </row>
    <row r="587" spans="1:59" s="486" customFormat="1" ht="18" customHeight="1" x14ac:dyDescent="0.2">
      <c r="A587" s="461"/>
      <c r="B587" s="1357"/>
      <c r="C587" s="488"/>
      <c r="D587" s="489"/>
      <c r="E587" s="465"/>
      <c r="F587" s="466"/>
      <c r="G587" s="620"/>
      <c r="H587" s="464"/>
      <c r="I587" s="467"/>
      <c r="J587" s="468"/>
      <c r="K587" s="490"/>
      <c r="L587" s="469"/>
      <c r="M587" s="683"/>
      <c r="N587" s="470"/>
      <c r="O587" s="468"/>
      <c r="P587" s="471"/>
      <c r="Q587" s="472"/>
      <c r="R587" s="472"/>
      <c r="S587" s="1189"/>
      <c r="T587" s="470"/>
      <c r="U587" s="612"/>
      <c r="V587" s="464"/>
      <c r="W587" s="612"/>
      <c r="X587" s="473"/>
      <c r="Y587" s="478"/>
      <c r="Z587" s="449"/>
      <c r="AA587" s="573"/>
      <c r="AB587" s="491"/>
      <c r="AC587" s="491"/>
      <c r="AD587" s="568"/>
      <c r="AE587" s="491"/>
      <c r="AF587" s="568"/>
      <c r="AG587" s="491"/>
      <c r="AH587" s="491"/>
      <c r="AI587" s="477"/>
      <c r="AJ587" s="478"/>
      <c r="AK587" s="479"/>
      <c r="AL587" s="480"/>
      <c r="AM587" s="474"/>
      <c r="AN587" s="481"/>
      <c r="AO587" s="474"/>
      <c r="AP587" s="476"/>
      <c r="AQ587" s="482"/>
      <c r="AR587" s="478"/>
      <c r="AS587" s="478"/>
      <c r="AT587" s="476"/>
      <c r="AU587" s="482"/>
      <c r="AV587" s="478"/>
      <c r="AW587" s="483"/>
      <c r="AX587" s="476"/>
      <c r="AY587" s="482"/>
      <c r="AZ587" s="478"/>
      <c r="BA587" s="484"/>
      <c r="BB587" s="474"/>
      <c r="BC587" s="485"/>
      <c r="BD587" s="485"/>
      <c r="BG587" s="487"/>
    </row>
    <row r="588" spans="1:59" s="486" customFormat="1" ht="18" customHeight="1" x14ac:dyDescent="0.2">
      <c r="B588" s="687"/>
      <c r="C588" s="494"/>
      <c r="D588" s="464"/>
      <c r="E588" s="465"/>
      <c r="F588" s="466"/>
      <c r="G588" s="620"/>
      <c r="H588" s="464"/>
      <c r="I588" s="467"/>
      <c r="J588" s="468"/>
      <c r="K588" s="490"/>
      <c r="L588" s="469"/>
      <c r="M588" s="683"/>
      <c r="N588" s="470"/>
      <c r="O588" s="468"/>
      <c r="P588" s="471"/>
      <c r="Q588" s="472"/>
      <c r="R588" s="472"/>
      <c r="S588" s="780"/>
      <c r="T588" s="470"/>
      <c r="U588" s="612"/>
      <c r="V588" s="464"/>
      <c r="W588" s="612"/>
      <c r="X588" s="473"/>
      <c r="Y588" s="478"/>
      <c r="Z588" s="449"/>
      <c r="AA588" s="497"/>
      <c r="AB588" s="476"/>
      <c r="AC588" s="476"/>
      <c r="AD588" s="568"/>
      <c r="AE588" s="476"/>
      <c r="AF588" s="568"/>
      <c r="AG588" s="476"/>
      <c r="AH588" s="476"/>
      <c r="AI588" s="477"/>
      <c r="AJ588" s="478"/>
      <c r="AK588" s="479"/>
      <c r="AL588" s="480"/>
      <c r="AM588" s="474"/>
      <c r="AN588" s="481"/>
      <c r="AO588" s="474"/>
      <c r="AP588" s="476"/>
      <c r="AQ588" s="482"/>
      <c r="AR588" s="478"/>
      <c r="AS588" s="478"/>
      <c r="AT588" s="476"/>
      <c r="AU588" s="482"/>
      <c r="AV588" s="478"/>
      <c r="AW588" s="483"/>
      <c r="AX588" s="476"/>
      <c r="AY588" s="482"/>
      <c r="AZ588" s="478"/>
      <c r="BA588" s="484"/>
      <c r="BB588" s="474"/>
      <c r="BC588" s="485"/>
      <c r="BD588" s="485"/>
      <c r="BG588" s="487"/>
    </row>
    <row r="589" spans="1:59" s="526" customFormat="1" ht="18" customHeight="1" x14ac:dyDescent="0.2">
      <c r="B589" s="1956" t="s">
        <v>4184</v>
      </c>
      <c r="C589" s="1957"/>
      <c r="D589" s="1957"/>
      <c r="E589" s="1957"/>
      <c r="F589" s="1958"/>
      <c r="G589" s="621">
        <f>SUM(G578:G588)</f>
        <v>697959159.54341793</v>
      </c>
      <c r="H589" s="505"/>
      <c r="I589" s="506"/>
      <c r="J589" s="507"/>
      <c r="K589" s="507"/>
      <c r="L589" s="505"/>
      <c r="M589" s="684"/>
      <c r="N589" s="508"/>
      <c r="O589" s="507"/>
      <c r="P589" s="509"/>
      <c r="Q589" s="510"/>
      <c r="R589" s="511"/>
      <c r="S589" s="512"/>
      <c r="T589" s="512"/>
      <c r="U589" s="610">
        <f>SUM(U578:U588)</f>
        <v>107138681.0802253</v>
      </c>
      <c r="V589" s="513"/>
      <c r="W589" s="610">
        <f>G589-U589</f>
        <v>590820478.46319258</v>
      </c>
      <c r="X589" s="514"/>
      <c r="Y589" s="515"/>
      <c r="Z589" s="515"/>
      <c r="AA589" s="515"/>
      <c r="AB589" s="515"/>
      <c r="AC589" s="515"/>
      <c r="AD589" s="570"/>
      <c r="AE589" s="515"/>
      <c r="AF589" s="570"/>
      <c r="AG589" s="515"/>
      <c r="AH589" s="515"/>
      <c r="AI589" s="516"/>
      <c r="AJ589" s="517"/>
      <c r="AK589" s="518"/>
      <c r="AL589" s="519"/>
      <c r="AM589" s="520"/>
      <c r="AN589" s="521"/>
      <c r="AO589" s="520"/>
      <c r="AP589" s="515"/>
      <c r="AQ589" s="522"/>
      <c r="AR589" s="517"/>
      <c r="AS589" s="517"/>
      <c r="AT589" s="515"/>
      <c r="AU589" s="522"/>
      <c r="AV589" s="517"/>
      <c r="AW589" s="523"/>
      <c r="AX589" s="515"/>
      <c r="AY589" s="522"/>
      <c r="AZ589" s="517"/>
      <c r="BA589" s="524"/>
      <c r="BB589" s="520"/>
      <c r="BC589" s="525"/>
      <c r="BD589" s="525"/>
      <c r="BG589" s="527"/>
    </row>
    <row r="590" spans="1:59" s="526" customFormat="1" ht="18" customHeight="1" x14ac:dyDescent="0.2">
      <c r="B590" s="741"/>
      <c r="C590" s="779"/>
      <c r="D590" s="779"/>
      <c r="E590" s="779"/>
      <c r="F590" s="585"/>
      <c r="G590" s="622"/>
      <c r="H590" s="586"/>
      <c r="I590" s="587"/>
      <c r="J590" s="588"/>
      <c r="K590" s="588"/>
      <c r="L590" s="586"/>
      <c r="M590" s="521"/>
      <c r="N590" s="589"/>
      <c r="O590" s="588"/>
      <c r="P590" s="590"/>
      <c r="Q590" s="591"/>
      <c r="R590" s="592"/>
      <c r="S590" s="593"/>
      <c r="T590" s="593"/>
      <c r="U590" s="570"/>
      <c r="V590" s="594"/>
      <c r="W590" s="570"/>
      <c r="X590" s="515"/>
      <c r="Y590" s="515"/>
      <c r="Z590" s="515"/>
      <c r="AA590" s="515"/>
      <c r="AB590" s="515"/>
      <c r="AC590" s="515"/>
      <c r="AD590" s="570"/>
      <c r="AE590" s="515"/>
      <c r="AF590" s="570"/>
      <c r="AG590" s="515"/>
      <c r="AH590" s="515"/>
      <c r="AI590" s="516"/>
      <c r="AJ590" s="517"/>
      <c r="AK590" s="518"/>
      <c r="AL590" s="519"/>
      <c r="AM590" s="520"/>
      <c r="AN590" s="521"/>
      <c r="AO590" s="520"/>
      <c r="AP590" s="515"/>
      <c r="AQ590" s="522"/>
      <c r="AR590" s="517"/>
      <c r="AS590" s="517"/>
      <c r="AT590" s="515"/>
      <c r="AU590" s="522"/>
      <c r="AV590" s="517"/>
      <c r="AW590" s="523"/>
      <c r="AX590" s="515"/>
      <c r="AY590" s="522"/>
      <c r="AZ590" s="517"/>
      <c r="BA590" s="524"/>
      <c r="BB590" s="520"/>
      <c r="BC590" s="525"/>
      <c r="BD590" s="525"/>
      <c r="BG590" s="527"/>
    </row>
    <row r="591" spans="1:59" s="526" customFormat="1" ht="18" customHeight="1" x14ac:dyDescent="0.2">
      <c r="B591" s="575"/>
      <c r="C591" s="585"/>
      <c r="D591" s="585"/>
      <c r="E591" s="585"/>
      <c r="F591" s="585"/>
      <c r="G591" s="622"/>
      <c r="H591" s="586"/>
      <c r="I591" s="587"/>
      <c r="J591" s="588"/>
      <c r="K591" s="588"/>
      <c r="L591" s="586"/>
      <c r="M591" s="521"/>
      <c r="N591" s="589"/>
      <c r="O591" s="588"/>
      <c r="P591" s="590"/>
      <c r="Q591" s="591"/>
      <c r="R591" s="592"/>
      <c r="S591" s="593"/>
      <c r="T591" s="593"/>
      <c r="U591" s="570"/>
      <c r="V591" s="594"/>
      <c r="W591" s="570"/>
      <c r="X591" s="515"/>
      <c r="Y591" s="515"/>
      <c r="Z591" s="515"/>
      <c r="AA591" s="515"/>
      <c r="AB591" s="515"/>
      <c r="AC591" s="515"/>
      <c r="AD591" s="570"/>
      <c r="AE591" s="515"/>
      <c r="AF591" s="570"/>
      <c r="AG591" s="515"/>
      <c r="AH591" s="515"/>
      <c r="AI591" s="516"/>
      <c r="AJ591" s="517"/>
      <c r="AK591" s="518"/>
      <c r="AL591" s="519"/>
      <c r="AM591" s="520"/>
      <c r="AN591" s="521"/>
      <c r="AO591" s="520"/>
      <c r="AP591" s="515"/>
      <c r="AQ591" s="522"/>
      <c r="AR591" s="517"/>
      <c r="AS591" s="517"/>
      <c r="AT591" s="515"/>
      <c r="AU591" s="522"/>
      <c r="AV591" s="517"/>
      <c r="AW591" s="523"/>
      <c r="AX591" s="515"/>
      <c r="AY591" s="522"/>
      <c r="AZ591" s="517"/>
      <c r="BA591" s="524"/>
      <c r="BB591" s="520"/>
      <c r="BC591" s="525"/>
      <c r="BD591" s="525"/>
      <c r="BG591" s="527"/>
    </row>
    <row r="592" spans="1:59" s="422" customFormat="1" ht="18" customHeight="1" x14ac:dyDescent="0.2">
      <c r="B592" s="688" t="s">
        <v>4232</v>
      </c>
      <c r="C592" s="556"/>
      <c r="D592" s="553" t="s">
        <v>2977</v>
      </c>
      <c r="E592" s="553"/>
      <c r="F592" s="421"/>
      <c r="G592" s="611"/>
      <c r="I592" s="423"/>
      <c r="J592" s="424"/>
      <c r="K592" s="424"/>
      <c r="M592" s="680"/>
      <c r="U592" s="611"/>
      <c r="W592" s="611"/>
      <c r="Y592" s="425"/>
      <c r="Z592" s="425"/>
      <c r="AA592" s="425"/>
      <c r="AB592" s="425"/>
      <c r="AC592" s="425"/>
      <c r="AD592" s="563"/>
      <c r="AE592" s="425"/>
      <c r="AF592" s="563"/>
      <c r="AG592" s="425"/>
      <c r="AH592" s="425"/>
      <c r="AI592" s="425"/>
      <c r="AJ592" s="425"/>
      <c r="AK592" s="425"/>
      <c r="AL592" s="425"/>
      <c r="AM592" s="425"/>
      <c r="AN592" s="425"/>
      <c r="AO592" s="425"/>
      <c r="AP592" s="425"/>
      <c r="AQ592" s="425"/>
      <c r="AR592" s="425"/>
      <c r="AS592" s="425"/>
      <c r="AT592" s="425"/>
      <c r="AU592" s="425"/>
      <c r="AV592" s="425"/>
      <c r="AW592" s="425"/>
      <c r="AX592" s="425"/>
      <c r="AY592" s="425"/>
      <c r="AZ592" s="425"/>
      <c r="BA592" s="425"/>
      <c r="BB592" s="425"/>
    </row>
    <row r="593" spans="1:59" s="431" customFormat="1" ht="18" customHeight="1" x14ac:dyDescent="0.2">
      <c r="B593" s="1968" t="s">
        <v>5</v>
      </c>
      <c r="C593" s="1968" t="s">
        <v>2280</v>
      </c>
      <c r="D593" s="1968" t="s">
        <v>4157</v>
      </c>
      <c r="E593" s="1968" t="s">
        <v>4158</v>
      </c>
      <c r="F593" s="1968"/>
      <c r="G593" s="1969" t="s">
        <v>4159</v>
      </c>
      <c r="H593" s="1355" t="s">
        <v>4160</v>
      </c>
      <c r="I593" s="1355"/>
      <c r="J593" s="1968" t="s">
        <v>4161</v>
      </c>
      <c r="K593" s="1964" t="s">
        <v>4162</v>
      </c>
      <c r="L593" s="1968" t="s">
        <v>4163</v>
      </c>
      <c r="M593" s="1971" t="s">
        <v>4164</v>
      </c>
      <c r="N593" s="1962" t="s">
        <v>4165</v>
      </c>
      <c r="O593" s="1968" t="s">
        <v>4166</v>
      </c>
      <c r="P593" s="1972" t="s">
        <v>4167</v>
      </c>
      <c r="Q593" s="1973"/>
      <c r="R593" s="636" t="s">
        <v>4168</v>
      </c>
      <c r="S593" s="1972" t="s">
        <v>4169</v>
      </c>
      <c r="T593" s="1974"/>
      <c r="U593" s="1973"/>
      <c r="V593" s="1975" t="s">
        <v>4170</v>
      </c>
      <c r="W593" s="1975"/>
      <c r="X593" s="1960" t="s">
        <v>4171</v>
      </c>
      <c r="Y593" s="1959"/>
      <c r="Z593" s="633"/>
      <c r="AA593" s="426"/>
      <c r="AB593" s="426"/>
      <c r="AC593" s="426"/>
      <c r="AD593" s="564"/>
      <c r="AE593" s="426"/>
      <c r="AF593" s="564"/>
      <c r="AG593" s="426"/>
      <c r="AH593" s="426"/>
      <c r="AI593" s="427"/>
      <c r="AJ593" s="427"/>
      <c r="AK593" s="427"/>
      <c r="AL593" s="427"/>
      <c r="AM593" s="428"/>
      <c r="AN593" s="427"/>
      <c r="AO593" s="427"/>
      <c r="AP593" s="426"/>
      <c r="AQ593" s="427"/>
      <c r="AR593" s="427"/>
      <c r="AS593" s="427"/>
      <c r="AT593" s="426"/>
      <c r="AU593" s="427"/>
      <c r="AV593" s="427"/>
      <c r="AW593" s="427"/>
      <c r="AX593" s="426"/>
      <c r="AY593" s="427"/>
      <c r="AZ593" s="427"/>
      <c r="BA593" s="427"/>
      <c r="BB593" s="429"/>
      <c r="BC593" s="430"/>
      <c r="BD593" s="430"/>
    </row>
    <row r="594" spans="1:59" s="431" customFormat="1" ht="18" customHeight="1" x14ac:dyDescent="0.2">
      <c r="B594" s="1968"/>
      <c r="C594" s="1968"/>
      <c r="D594" s="1968"/>
      <c r="E594" s="1968"/>
      <c r="F594" s="1968"/>
      <c r="G594" s="1969"/>
      <c r="H594" s="1355"/>
      <c r="I594" s="1355"/>
      <c r="J594" s="1968"/>
      <c r="K594" s="1970"/>
      <c r="L594" s="1968"/>
      <c r="M594" s="1971"/>
      <c r="N594" s="1963"/>
      <c r="O594" s="1968"/>
      <c r="P594" s="1960" t="s">
        <v>4172</v>
      </c>
      <c r="Q594" s="1960" t="s">
        <v>4173</v>
      </c>
      <c r="R594" s="1962" t="s">
        <v>4159</v>
      </c>
      <c r="S594" s="1962" t="s">
        <v>4174</v>
      </c>
      <c r="T594" s="1964" t="s">
        <v>4175</v>
      </c>
      <c r="U594" s="1966" t="s">
        <v>4159</v>
      </c>
      <c r="V594" s="1975"/>
      <c r="W594" s="1975"/>
      <c r="X594" s="1976"/>
      <c r="Y594" s="1959"/>
      <c r="Z594" s="633"/>
      <c r="AA594" s="426"/>
      <c r="AB594" s="426"/>
      <c r="AC594" s="426"/>
      <c r="AD594" s="564"/>
      <c r="AE594" s="426"/>
      <c r="AF594" s="564"/>
      <c r="AG594" s="426"/>
      <c r="AH594" s="426"/>
      <c r="AI594" s="427"/>
      <c r="AJ594" s="427"/>
      <c r="AK594" s="426"/>
      <c r="AL594" s="427"/>
      <c r="AM594" s="428"/>
      <c r="AN594" s="427"/>
      <c r="AO594" s="427"/>
      <c r="AP594" s="432"/>
      <c r="AQ594" s="427"/>
      <c r="AR594" s="427"/>
      <c r="AS594" s="427"/>
      <c r="AT594" s="432"/>
      <c r="AU594" s="427"/>
      <c r="AV594" s="427"/>
      <c r="AW594" s="427"/>
      <c r="AX594" s="432"/>
      <c r="AY594" s="427"/>
      <c r="AZ594" s="427"/>
      <c r="BA594" s="427"/>
      <c r="BB594" s="429"/>
      <c r="BC594" s="430"/>
      <c r="BD594" s="430"/>
    </row>
    <row r="595" spans="1:59" s="431" customFormat="1" ht="21.75" customHeight="1" x14ac:dyDescent="0.2">
      <c r="B595" s="1968"/>
      <c r="C595" s="1968"/>
      <c r="D595" s="1968"/>
      <c r="E595" s="433" t="s">
        <v>4176</v>
      </c>
      <c r="F595" s="434" t="s">
        <v>2288</v>
      </c>
      <c r="G595" s="1969"/>
      <c r="H595" s="1355" t="s">
        <v>2288</v>
      </c>
      <c r="I595" s="1355" t="s">
        <v>4177</v>
      </c>
      <c r="J595" s="1968"/>
      <c r="K595" s="1965"/>
      <c r="L595" s="435" t="s">
        <v>2288</v>
      </c>
      <c r="M595" s="681" t="s">
        <v>2288</v>
      </c>
      <c r="N595" s="635" t="s">
        <v>2288</v>
      </c>
      <c r="O595" s="1968"/>
      <c r="P595" s="1961"/>
      <c r="Q595" s="1961"/>
      <c r="R595" s="1963"/>
      <c r="S595" s="1963"/>
      <c r="T595" s="1965"/>
      <c r="U595" s="1967"/>
      <c r="V595" s="635" t="s">
        <v>4178</v>
      </c>
      <c r="W595" s="637" t="s">
        <v>4159</v>
      </c>
      <c r="X595" s="1961"/>
      <c r="Y595" s="436"/>
      <c r="Z595" s="436"/>
      <c r="AA595" s="426"/>
      <c r="AB595" s="426"/>
      <c r="AC595" s="426"/>
      <c r="AD595" s="564"/>
      <c r="AE595" s="426"/>
      <c r="AF595" s="564"/>
      <c r="AG595" s="426"/>
      <c r="AH595" s="426"/>
      <c r="AI595" s="427"/>
      <c r="AJ595" s="432"/>
      <c r="AK595" s="432"/>
      <c r="AL595" s="427"/>
      <c r="AM595" s="428"/>
      <c r="AN595" s="432"/>
      <c r="AO595" s="427"/>
      <c r="AP595" s="432"/>
      <c r="AQ595" s="432"/>
      <c r="AR595" s="427"/>
      <c r="AS595" s="427"/>
      <c r="AT595" s="432"/>
      <c r="AU595" s="432"/>
      <c r="AV595" s="427"/>
      <c r="AW595" s="427"/>
      <c r="AX595" s="432"/>
      <c r="AY595" s="432"/>
      <c r="AZ595" s="427"/>
      <c r="BA595" s="427"/>
      <c r="BB595" s="429"/>
      <c r="BC595" s="430"/>
      <c r="BD595" s="430"/>
    </row>
    <row r="596" spans="1:59" s="461" customFormat="1" ht="18" customHeight="1" x14ac:dyDescent="0.2">
      <c r="A596" s="461" t="str">
        <f>$D$592&amp;S596</f>
        <v>PUSKESMAS SENTAJO RAYA2013</v>
      </c>
      <c r="B596" s="689">
        <v>1</v>
      </c>
      <c r="C596" s="597" t="s">
        <v>2748</v>
      </c>
      <c r="D596" s="597" t="s">
        <v>1752</v>
      </c>
      <c r="E596" s="598"/>
      <c r="F596" s="599">
        <v>2013</v>
      </c>
      <c r="G596" s="626">
        <v>1345290000</v>
      </c>
      <c r="H596" s="600">
        <f>VLOOKUP(LEFT(D596,8),UE,4)</f>
        <v>50</v>
      </c>
      <c r="I596" s="601"/>
      <c r="J596" s="602">
        <f t="shared" ref="J596:J602" si="512">(F596+N596)-1</f>
        <v>2062</v>
      </c>
      <c r="K596" s="603"/>
      <c r="L596" s="600"/>
      <c r="M596" s="685">
        <f>IF(H596+L596&gt;$H596,$H596-H596,L596)</f>
        <v>0</v>
      </c>
      <c r="N596" s="604">
        <f>H596+M596</f>
        <v>50</v>
      </c>
      <c r="O596" s="602">
        <f t="shared" ref="O596:O602" si="513">(F596+N596)-1</f>
        <v>2062</v>
      </c>
      <c r="P596" s="605">
        <f>G596</f>
        <v>1345290000</v>
      </c>
      <c r="Q596" s="606">
        <v>0</v>
      </c>
      <c r="R596" s="606">
        <f>P596/N596</f>
        <v>26905800</v>
      </c>
      <c r="S596" s="607">
        <f t="shared" ref="S596:S601" si="514">F596</f>
        <v>2013</v>
      </c>
      <c r="T596" s="608">
        <v>1</v>
      </c>
      <c r="U596" s="615">
        <f t="shared" ref="U596:U601" si="515">R596*T596</f>
        <v>26905800</v>
      </c>
      <c r="V596" s="602">
        <f t="shared" ref="V596:V602" si="516">F596</f>
        <v>2013</v>
      </c>
      <c r="W596" s="618">
        <f>IF(OR(AND(ISBLANK(E596),ISBLANK(G596)),ISTEXT(E596),ISTEXT(G596)),"",G596-R596)</f>
        <v>1318384200</v>
      </c>
      <c r="X596" s="609"/>
      <c r="Y596" s="449"/>
      <c r="Z596" s="449"/>
      <c r="AA596" s="694"/>
      <c r="AB596" s="692"/>
      <c r="AC596" s="692"/>
      <c r="AD596" s="695"/>
      <c r="AE596" s="452"/>
      <c r="AF596" s="571"/>
      <c r="AG596" s="452"/>
      <c r="AH596" s="452"/>
      <c r="AI596" s="453"/>
      <c r="AJ596" s="449"/>
      <c r="AK596" s="453"/>
      <c r="AL596" s="454"/>
      <c r="AM596" s="455"/>
      <c r="AN596" s="456"/>
      <c r="AO596" s="455"/>
      <c r="AP596" s="452"/>
      <c r="AQ596" s="457"/>
      <c r="AR596" s="449"/>
      <c r="AS596" s="449"/>
      <c r="AT596" s="452"/>
      <c r="AU596" s="457"/>
      <c r="AV596" s="449"/>
      <c r="AW596" s="458"/>
      <c r="AX596" s="452"/>
      <c r="AY596" s="457"/>
      <c r="AZ596" s="449"/>
      <c r="BA596" s="459"/>
      <c r="BB596" s="455"/>
      <c r="BC596" s="460"/>
      <c r="BD596" s="460"/>
      <c r="BG596" s="462"/>
    </row>
    <row r="597" spans="1:59" s="461" customFormat="1" ht="18" customHeight="1" x14ac:dyDescent="0.2">
      <c r="A597" s="461" t="str">
        <f t="shared" ref="A597:A602" si="517">$D$592&amp;S597</f>
        <v>PUSKESMAS SENTAJO RAYA2014</v>
      </c>
      <c r="B597" s="708">
        <v>2</v>
      </c>
      <c r="C597" s="489" t="s">
        <v>2979</v>
      </c>
      <c r="D597" s="489" t="s">
        <v>1752</v>
      </c>
      <c r="E597" s="558"/>
      <c r="F597" s="559">
        <v>2014</v>
      </c>
      <c r="G597" s="619">
        <v>1326532000</v>
      </c>
      <c r="H597" s="464">
        <f t="shared" ref="H597:H602" si="518">IF(N596-(F597-F596)&lt;=0,0,(N596-(F597-F596)))</f>
        <v>49</v>
      </c>
      <c r="I597" s="560"/>
      <c r="J597" s="468">
        <f t="shared" si="512"/>
        <v>2063</v>
      </c>
      <c r="K597" s="490">
        <f t="shared" ref="K597:K602" si="519">IF(G597=0,0,IF(H597=50,100%,G597/W596))</f>
        <v>1.0061801408117603</v>
      </c>
      <c r="L597" s="469">
        <f t="shared" ref="L597:L602" si="520">IF(K597=0%,0,IF(K597&lt;=25%,5,IF(K597&lt;=50%,10,IF(K597&lt;=75%,15,50))))</f>
        <v>50</v>
      </c>
      <c r="M597" s="683">
        <f t="shared" ref="M597:M602" si="521">IF(OR(AND(ISBLANK(E597),ISBLANK(G597)),ISTEXT(E597),ISTEXT(G597)),"",IF(H597+L597&gt;$H$27,$H$27-H597,L597))</f>
        <v>1</v>
      </c>
      <c r="N597" s="470">
        <f t="shared" ref="N597:N602" si="522">IF(OR(AND(ISBLANK(F597),ISBLANK(G597)),ISTEXT(F597),ISTEXT(G597)),"",H597+M597)</f>
        <v>50</v>
      </c>
      <c r="O597" s="468">
        <f t="shared" si="513"/>
        <v>2063</v>
      </c>
      <c r="P597" s="471">
        <f t="shared" ref="P597:P602" si="523">W596</f>
        <v>1318384200</v>
      </c>
      <c r="Q597" s="472">
        <f t="shared" ref="Q597:Q602" si="524">P597+G597</f>
        <v>2644916200</v>
      </c>
      <c r="R597" s="472">
        <f t="shared" ref="R597:R602" si="525">IF(L597=0,R596,Q597/N597)</f>
        <v>52898324</v>
      </c>
      <c r="S597" s="634">
        <f t="shared" si="514"/>
        <v>2014</v>
      </c>
      <c r="T597" s="470">
        <f t="shared" ref="T597:T602" si="526">S597-S596</f>
        <v>1</v>
      </c>
      <c r="U597" s="612">
        <f t="shared" si="515"/>
        <v>52898324</v>
      </c>
      <c r="V597" s="464">
        <f t="shared" si="516"/>
        <v>2014</v>
      </c>
      <c r="W597" s="612">
        <f t="shared" ref="W597:W602" si="527">IF(OR(AND(ISBLANK(E597),ISBLANK(G597)),ISTEXT(E597),ISTEXT(G597)),"",Q597-U597)</f>
        <v>2592017876</v>
      </c>
      <c r="X597" s="561"/>
      <c r="Y597" s="449"/>
      <c r="Z597" s="449"/>
      <c r="AA597" s="554" t="s">
        <v>4179</v>
      </c>
      <c r="AB597" s="452"/>
      <c r="AC597" s="452"/>
      <c r="AD597" s="566"/>
      <c r="AE597" s="452"/>
      <c r="AF597" s="571"/>
      <c r="AG597" s="452"/>
      <c r="AH597" s="452"/>
      <c r="AI597" s="453"/>
      <c r="AJ597" s="449"/>
      <c r="AK597" s="453"/>
      <c r="AL597" s="454"/>
      <c r="AM597" s="455"/>
      <c r="AN597" s="456"/>
      <c r="AO597" s="455"/>
      <c r="AP597" s="452"/>
      <c r="AQ597" s="457"/>
      <c r="AR597" s="449"/>
      <c r="AS597" s="449"/>
      <c r="AT597" s="452"/>
      <c r="AU597" s="457"/>
      <c r="AV597" s="449"/>
      <c r="AW597" s="458"/>
      <c r="AX597" s="452"/>
      <c r="AY597" s="457"/>
      <c r="AZ597" s="449"/>
      <c r="BA597" s="459"/>
      <c r="BB597" s="455"/>
      <c r="BC597" s="460"/>
      <c r="BD597" s="460"/>
      <c r="BG597" s="462"/>
    </row>
    <row r="598" spans="1:59" s="461" customFormat="1" ht="18" customHeight="1" x14ac:dyDescent="0.2">
      <c r="A598" s="461" t="str">
        <f t="shared" si="517"/>
        <v>PUSKESMAS SENTAJO RAYA2015</v>
      </c>
      <c r="B598" s="708"/>
      <c r="C598" s="489"/>
      <c r="D598" s="489" t="s">
        <v>1752</v>
      </c>
      <c r="E598" s="558"/>
      <c r="F598" s="559">
        <v>2015</v>
      </c>
      <c r="G598" s="619">
        <v>0</v>
      </c>
      <c r="H598" s="464">
        <f t="shared" si="518"/>
        <v>49</v>
      </c>
      <c r="I598" s="560"/>
      <c r="J598" s="468">
        <f t="shared" si="512"/>
        <v>2063</v>
      </c>
      <c r="K598" s="490">
        <f t="shared" si="519"/>
        <v>0</v>
      </c>
      <c r="L598" s="469">
        <f t="shared" si="520"/>
        <v>0</v>
      </c>
      <c r="M598" s="683">
        <f t="shared" si="521"/>
        <v>0</v>
      </c>
      <c r="N598" s="470">
        <f t="shared" si="522"/>
        <v>49</v>
      </c>
      <c r="O598" s="468">
        <f t="shared" si="513"/>
        <v>2063</v>
      </c>
      <c r="P598" s="471">
        <f t="shared" si="523"/>
        <v>2592017876</v>
      </c>
      <c r="Q598" s="472">
        <f t="shared" si="524"/>
        <v>2592017876</v>
      </c>
      <c r="R598" s="472">
        <f t="shared" si="525"/>
        <v>52898324</v>
      </c>
      <c r="S598" s="634">
        <f t="shared" si="514"/>
        <v>2015</v>
      </c>
      <c r="T598" s="470">
        <f t="shared" si="526"/>
        <v>1</v>
      </c>
      <c r="U598" s="612">
        <f t="shared" si="515"/>
        <v>52898324</v>
      </c>
      <c r="V598" s="464">
        <f t="shared" si="516"/>
        <v>2015</v>
      </c>
      <c r="W598" s="612">
        <f t="shared" si="527"/>
        <v>2539119552</v>
      </c>
      <c r="X598" s="561"/>
      <c r="Y598" s="449"/>
      <c r="Z598" s="449"/>
      <c r="AA598" s="554"/>
      <c r="AB598" s="452"/>
      <c r="AC598" s="452"/>
      <c r="AD598" s="566"/>
      <c r="AE598" s="452"/>
      <c r="AF598" s="571"/>
      <c r="AG598" s="452"/>
      <c r="AH598" s="452"/>
      <c r="AI598" s="453"/>
      <c r="AJ598" s="449"/>
      <c r="AK598" s="453"/>
      <c r="AL598" s="454"/>
      <c r="AM598" s="455"/>
      <c r="AN598" s="456"/>
      <c r="AO598" s="455"/>
      <c r="AP598" s="452"/>
      <c r="AQ598" s="457"/>
      <c r="AR598" s="449"/>
      <c r="AS598" s="449"/>
      <c r="AT598" s="452"/>
      <c r="AU598" s="457"/>
      <c r="AV598" s="449"/>
      <c r="AW598" s="458"/>
      <c r="AX598" s="452"/>
      <c r="AY598" s="457"/>
      <c r="AZ598" s="449"/>
      <c r="BA598" s="459"/>
      <c r="BB598" s="455"/>
      <c r="BC598" s="460"/>
      <c r="BD598" s="460"/>
      <c r="BG598" s="462"/>
    </row>
    <row r="599" spans="1:59" s="461" customFormat="1" ht="18" customHeight="1" x14ac:dyDescent="0.2">
      <c r="A599" s="461" t="str">
        <f t="shared" si="517"/>
        <v>PUSKESMAS SENTAJO RAYA2016</v>
      </c>
      <c r="B599" s="708"/>
      <c r="C599" s="489"/>
      <c r="D599" s="489" t="s">
        <v>1752</v>
      </c>
      <c r="E599" s="558"/>
      <c r="F599" s="559">
        <v>2016</v>
      </c>
      <c r="G599" s="619">
        <v>0</v>
      </c>
      <c r="H599" s="464">
        <f t="shared" si="518"/>
        <v>48</v>
      </c>
      <c r="I599" s="560"/>
      <c r="J599" s="468">
        <f t="shared" si="512"/>
        <v>2063</v>
      </c>
      <c r="K599" s="490">
        <f t="shared" si="519"/>
        <v>0</v>
      </c>
      <c r="L599" s="469">
        <f t="shared" si="520"/>
        <v>0</v>
      </c>
      <c r="M599" s="683">
        <f t="shared" si="521"/>
        <v>0</v>
      </c>
      <c r="N599" s="470">
        <f t="shared" si="522"/>
        <v>48</v>
      </c>
      <c r="O599" s="468">
        <f t="shared" si="513"/>
        <v>2063</v>
      </c>
      <c r="P599" s="471">
        <f t="shared" si="523"/>
        <v>2539119552</v>
      </c>
      <c r="Q599" s="472">
        <f t="shared" si="524"/>
        <v>2539119552</v>
      </c>
      <c r="R599" s="472">
        <f t="shared" si="525"/>
        <v>52898324</v>
      </c>
      <c r="S599" s="634">
        <f t="shared" si="514"/>
        <v>2016</v>
      </c>
      <c r="T599" s="470">
        <f t="shared" si="526"/>
        <v>1</v>
      </c>
      <c r="U599" s="612">
        <f t="shared" si="515"/>
        <v>52898324</v>
      </c>
      <c r="V599" s="464">
        <f t="shared" si="516"/>
        <v>2016</v>
      </c>
      <c r="W599" s="612">
        <f t="shared" si="527"/>
        <v>2486221228</v>
      </c>
      <c r="X599" s="561"/>
      <c r="Y599" s="449"/>
      <c r="Z599" s="449"/>
      <c r="AA599" s="475" t="s">
        <v>4180</v>
      </c>
      <c r="AB599" s="476"/>
      <c r="AC599" s="476"/>
      <c r="AD599" s="567">
        <f>G606</f>
        <v>2671822000</v>
      </c>
      <c r="AE599" s="452"/>
      <c r="AF599" s="571"/>
      <c r="AG599" s="452"/>
      <c r="AH599" s="452"/>
      <c r="AI599" s="453"/>
      <c r="AJ599" s="449"/>
      <c r="AK599" s="453"/>
      <c r="AL599" s="454"/>
      <c r="AM599" s="455"/>
      <c r="AN599" s="456"/>
      <c r="AO599" s="455"/>
      <c r="AP599" s="452"/>
      <c r="AQ599" s="457"/>
      <c r="AR599" s="449"/>
      <c r="AS599" s="449"/>
      <c r="AT599" s="452"/>
      <c r="AU599" s="457"/>
      <c r="AV599" s="449"/>
      <c r="AW599" s="458"/>
      <c r="AX599" s="452"/>
      <c r="AY599" s="457"/>
      <c r="AZ599" s="449"/>
      <c r="BA599" s="459"/>
      <c r="BB599" s="455"/>
      <c r="BC599" s="460"/>
      <c r="BD599" s="460"/>
      <c r="BG599" s="462"/>
    </row>
    <row r="600" spans="1:59" s="461" customFormat="1" ht="18" customHeight="1" x14ac:dyDescent="0.2">
      <c r="A600" s="461" t="str">
        <f t="shared" si="517"/>
        <v>PUSKESMAS SENTAJO RAYA2017</v>
      </c>
      <c r="B600" s="708"/>
      <c r="C600" s="489"/>
      <c r="D600" s="489" t="s">
        <v>1752</v>
      </c>
      <c r="E600" s="558"/>
      <c r="F600" s="559">
        <v>2017</v>
      </c>
      <c r="G600" s="619">
        <v>0</v>
      </c>
      <c r="H600" s="464">
        <f t="shared" si="518"/>
        <v>47</v>
      </c>
      <c r="I600" s="560"/>
      <c r="J600" s="468">
        <f t="shared" si="512"/>
        <v>2063</v>
      </c>
      <c r="K600" s="490">
        <f t="shared" si="519"/>
        <v>0</v>
      </c>
      <c r="L600" s="469">
        <f t="shared" si="520"/>
        <v>0</v>
      </c>
      <c r="M600" s="683">
        <f t="shared" si="521"/>
        <v>0</v>
      </c>
      <c r="N600" s="470">
        <f t="shared" si="522"/>
        <v>47</v>
      </c>
      <c r="O600" s="468">
        <f t="shared" si="513"/>
        <v>2063</v>
      </c>
      <c r="P600" s="471">
        <f t="shared" si="523"/>
        <v>2486221228</v>
      </c>
      <c r="Q600" s="472">
        <f t="shared" si="524"/>
        <v>2486221228</v>
      </c>
      <c r="R600" s="472">
        <f t="shared" si="525"/>
        <v>52898324</v>
      </c>
      <c r="S600" s="634">
        <f t="shared" si="514"/>
        <v>2017</v>
      </c>
      <c r="T600" s="470">
        <f t="shared" si="526"/>
        <v>1</v>
      </c>
      <c r="U600" s="612">
        <f t="shared" si="515"/>
        <v>52898324</v>
      </c>
      <c r="V600" s="464">
        <f t="shared" si="516"/>
        <v>2017</v>
      </c>
      <c r="W600" s="612">
        <f t="shared" si="527"/>
        <v>2433322904</v>
      </c>
      <c r="X600" s="561"/>
      <c r="Y600" s="449"/>
      <c r="Z600" s="449"/>
      <c r="AA600" s="475" t="s">
        <v>4181</v>
      </c>
      <c r="AB600" s="491"/>
      <c r="AC600" s="491"/>
      <c r="AD600" s="567">
        <f>U606</f>
        <v>344295744</v>
      </c>
      <c r="AE600" s="452"/>
      <c r="AF600" s="571"/>
      <c r="AG600" s="452"/>
      <c r="AH600" s="452"/>
      <c r="AI600" s="453"/>
      <c r="AJ600" s="449"/>
      <c r="AK600" s="453"/>
      <c r="AL600" s="454"/>
      <c r="AM600" s="455"/>
      <c r="AN600" s="456"/>
      <c r="AO600" s="455"/>
      <c r="AP600" s="452"/>
      <c r="AQ600" s="457"/>
      <c r="AR600" s="449"/>
      <c r="AS600" s="449"/>
      <c r="AT600" s="452"/>
      <c r="AU600" s="457"/>
      <c r="AV600" s="449"/>
      <c r="AW600" s="458"/>
      <c r="AX600" s="452"/>
      <c r="AY600" s="457"/>
      <c r="AZ600" s="449"/>
      <c r="BA600" s="459"/>
      <c r="BB600" s="455"/>
      <c r="BC600" s="460"/>
      <c r="BD600" s="460"/>
      <c r="BG600" s="462"/>
    </row>
    <row r="601" spans="1:59" s="461" customFormat="1" ht="18" customHeight="1" x14ac:dyDescent="0.2">
      <c r="A601" s="461" t="str">
        <f t="shared" si="517"/>
        <v>PUSKESMAS SENTAJO RAYA2018</v>
      </c>
      <c r="B601" s="708"/>
      <c r="C601" s="489"/>
      <c r="D601" s="489" t="s">
        <v>1752</v>
      </c>
      <c r="E601" s="558"/>
      <c r="F601" s="559">
        <v>2018</v>
      </c>
      <c r="G601" s="619">
        <v>0</v>
      </c>
      <c r="H601" s="464">
        <f t="shared" si="518"/>
        <v>46</v>
      </c>
      <c r="I601" s="560"/>
      <c r="J601" s="468">
        <f t="shared" si="512"/>
        <v>2063</v>
      </c>
      <c r="K601" s="490">
        <f t="shared" si="519"/>
        <v>0</v>
      </c>
      <c r="L601" s="469">
        <f t="shared" si="520"/>
        <v>0</v>
      </c>
      <c r="M601" s="683">
        <f t="shared" si="521"/>
        <v>0</v>
      </c>
      <c r="N601" s="470">
        <f t="shared" si="522"/>
        <v>46</v>
      </c>
      <c r="O601" s="468">
        <f t="shared" si="513"/>
        <v>2063</v>
      </c>
      <c r="P601" s="471">
        <f t="shared" si="523"/>
        <v>2433322904</v>
      </c>
      <c r="Q601" s="472">
        <f t="shared" si="524"/>
        <v>2433322904</v>
      </c>
      <c r="R601" s="472">
        <f t="shared" si="525"/>
        <v>52898324</v>
      </c>
      <c r="S601" s="634">
        <f t="shared" si="514"/>
        <v>2018</v>
      </c>
      <c r="T601" s="470">
        <f t="shared" si="526"/>
        <v>1</v>
      </c>
      <c r="U601" s="612">
        <f t="shared" si="515"/>
        <v>52898324</v>
      </c>
      <c r="V601" s="464">
        <f t="shared" si="516"/>
        <v>2018</v>
      </c>
      <c r="W601" s="612">
        <f t="shared" si="527"/>
        <v>2380424580</v>
      </c>
      <c r="X601" s="561"/>
      <c r="Y601" s="449"/>
      <c r="Z601" s="449"/>
      <c r="AA601" s="492" t="s">
        <v>4182</v>
      </c>
      <c r="AB601" s="476"/>
      <c r="AC601" s="476"/>
      <c r="AD601" s="568">
        <f>AD599-AD600</f>
        <v>2327526256</v>
      </c>
      <c r="AE601" s="452"/>
      <c r="AF601" s="571"/>
      <c r="AG601" s="452"/>
      <c r="AH601" s="452"/>
      <c r="AI601" s="453"/>
      <c r="AJ601" s="449"/>
      <c r="AK601" s="453"/>
      <c r="AL601" s="454"/>
      <c r="AM601" s="455"/>
      <c r="AN601" s="456"/>
      <c r="AO601" s="455"/>
      <c r="AP601" s="452"/>
      <c r="AQ601" s="457"/>
      <c r="AR601" s="449"/>
      <c r="AS601" s="449"/>
      <c r="AT601" s="452"/>
      <c r="AU601" s="457"/>
      <c r="AV601" s="449"/>
      <c r="AW601" s="458"/>
      <c r="AX601" s="452"/>
      <c r="AY601" s="457"/>
      <c r="AZ601" s="449"/>
      <c r="BA601" s="459"/>
      <c r="BB601" s="455"/>
      <c r="BC601" s="460"/>
      <c r="BD601" s="460"/>
      <c r="BG601" s="462"/>
    </row>
    <row r="602" spans="1:59" s="461" customFormat="1" ht="18" customHeight="1" x14ac:dyDescent="0.2">
      <c r="A602" s="461" t="str">
        <f t="shared" si="517"/>
        <v>PUSKESMAS SENTAJO RAYA2019</v>
      </c>
      <c r="B602" s="708"/>
      <c r="C602" s="489"/>
      <c r="D602" s="489"/>
      <c r="E602" s="558"/>
      <c r="F602" s="559">
        <v>2019</v>
      </c>
      <c r="G602" s="619">
        <v>0</v>
      </c>
      <c r="H602" s="464">
        <f t="shared" si="518"/>
        <v>45</v>
      </c>
      <c r="I602" s="560"/>
      <c r="J602" s="468">
        <f t="shared" si="512"/>
        <v>2063</v>
      </c>
      <c r="K602" s="490">
        <f t="shared" si="519"/>
        <v>0</v>
      </c>
      <c r="L602" s="469">
        <f t="shared" si="520"/>
        <v>0</v>
      </c>
      <c r="M602" s="683">
        <f t="shared" si="521"/>
        <v>0</v>
      </c>
      <c r="N602" s="470">
        <f t="shared" si="522"/>
        <v>45</v>
      </c>
      <c r="O602" s="468">
        <f t="shared" si="513"/>
        <v>2063</v>
      </c>
      <c r="P602" s="471">
        <f t="shared" si="523"/>
        <v>2380424580</v>
      </c>
      <c r="Q602" s="472">
        <f t="shared" si="524"/>
        <v>2380424580</v>
      </c>
      <c r="R602" s="472">
        <f t="shared" si="525"/>
        <v>52898324</v>
      </c>
      <c r="S602" s="1189">
        <f>F602</f>
        <v>2019</v>
      </c>
      <c r="T602" s="470">
        <f t="shared" si="526"/>
        <v>1</v>
      </c>
      <c r="U602" s="612">
        <f>R602*T602</f>
        <v>52898324</v>
      </c>
      <c r="V602" s="464">
        <f t="shared" si="516"/>
        <v>2019</v>
      </c>
      <c r="W602" s="612">
        <f t="shared" si="527"/>
        <v>2327526256</v>
      </c>
      <c r="X602" s="561"/>
      <c r="Y602" s="449"/>
      <c r="Z602" s="449"/>
      <c r="AA602" s="475" t="s">
        <v>4183</v>
      </c>
      <c r="AB602" s="476"/>
      <c r="AC602" s="476"/>
      <c r="AD602" s="567">
        <f>AD601-W606</f>
        <v>0</v>
      </c>
      <c r="AE602" s="452"/>
      <c r="AF602" s="571"/>
      <c r="AG602" s="452"/>
      <c r="AH602" s="452"/>
      <c r="AI602" s="453"/>
      <c r="AJ602" s="449"/>
      <c r="AK602" s="453"/>
      <c r="AL602" s="454"/>
      <c r="AM602" s="455"/>
      <c r="AN602" s="456"/>
      <c r="AO602" s="455"/>
      <c r="AP602" s="452"/>
      <c r="AQ602" s="457"/>
      <c r="AR602" s="449"/>
      <c r="AS602" s="449"/>
      <c r="AT602" s="452"/>
      <c r="AU602" s="457"/>
      <c r="AV602" s="449"/>
      <c r="AW602" s="458"/>
      <c r="AX602" s="452"/>
      <c r="AY602" s="457"/>
      <c r="AZ602" s="449"/>
      <c r="BA602" s="459"/>
      <c r="BB602" s="455"/>
      <c r="BC602" s="460"/>
      <c r="BD602" s="460"/>
      <c r="BG602" s="462"/>
    </row>
    <row r="603" spans="1:59" s="486" customFormat="1" ht="18" customHeight="1" x14ac:dyDescent="0.2">
      <c r="B603" s="708"/>
      <c r="C603" s="463"/>
      <c r="D603" s="489"/>
      <c r="E603" s="465"/>
      <c r="F603" s="559"/>
      <c r="G603" s="619"/>
      <c r="H603" s="464"/>
      <c r="I603" s="560"/>
      <c r="J603" s="468"/>
      <c r="K603" s="490"/>
      <c r="L603" s="469"/>
      <c r="M603" s="683"/>
      <c r="N603" s="470"/>
      <c r="O603" s="468"/>
      <c r="P603" s="471"/>
      <c r="Q603" s="472"/>
      <c r="R603" s="472"/>
      <c r="S603" s="634"/>
      <c r="T603" s="470"/>
      <c r="U603" s="612"/>
      <c r="V603" s="464"/>
      <c r="W603" s="612"/>
      <c r="X603" s="561"/>
      <c r="Y603" s="474"/>
      <c r="Z603" s="449"/>
      <c r="AA603" s="495"/>
      <c r="AB603" s="496"/>
      <c r="AC603" s="496"/>
      <c r="AD603" s="569"/>
      <c r="AE603" s="476"/>
      <c r="AF603" s="568"/>
      <c r="AG603" s="476"/>
      <c r="AH603" s="476"/>
      <c r="AI603" s="477"/>
      <c r="AJ603" s="478"/>
      <c r="AK603" s="479"/>
      <c r="AL603" s="480"/>
      <c r="AM603" s="474"/>
      <c r="AN603" s="481"/>
      <c r="AO603" s="474"/>
      <c r="AP603" s="476"/>
      <c r="AQ603" s="482"/>
      <c r="AR603" s="478"/>
      <c r="AS603" s="478"/>
      <c r="AT603" s="476"/>
      <c r="AU603" s="482"/>
      <c r="AV603" s="478"/>
      <c r="AW603" s="483"/>
      <c r="AX603" s="476"/>
      <c r="AY603" s="482"/>
      <c r="AZ603" s="478"/>
      <c r="BA603" s="484"/>
      <c r="BB603" s="474"/>
      <c r="BC603" s="485"/>
      <c r="BD603" s="485"/>
      <c r="BG603" s="487"/>
    </row>
    <row r="604" spans="1:59" s="486" customFormat="1" ht="18" customHeight="1" x14ac:dyDescent="0.2">
      <c r="B604" s="708"/>
      <c r="C604" s="488"/>
      <c r="D604" s="489"/>
      <c r="E604" s="465"/>
      <c r="F604" s="466"/>
      <c r="G604" s="620"/>
      <c r="H604" s="464"/>
      <c r="I604" s="467"/>
      <c r="J604" s="468"/>
      <c r="K604" s="490"/>
      <c r="L604" s="469"/>
      <c r="M604" s="683"/>
      <c r="N604" s="470"/>
      <c r="O604" s="468"/>
      <c r="P604" s="471"/>
      <c r="Q604" s="472"/>
      <c r="R604" s="472"/>
      <c r="S604" s="634"/>
      <c r="T604" s="470"/>
      <c r="U604" s="612"/>
      <c r="V604" s="464"/>
      <c r="W604" s="612"/>
      <c r="X604" s="473"/>
      <c r="Y604" s="478"/>
      <c r="Z604" s="449"/>
      <c r="AA604" s="699"/>
      <c r="AB604" s="700"/>
      <c r="AC604" s="700"/>
      <c r="AD604" s="701"/>
      <c r="AE604" s="491"/>
      <c r="AF604" s="568"/>
      <c r="AG604" s="491"/>
      <c r="AH604" s="491"/>
      <c r="AI604" s="477"/>
      <c r="AJ604" s="478"/>
      <c r="AK604" s="479"/>
      <c r="AL604" s="480"/>
      <c r="AM604" s="474"/>
      <c r="AN604" s="481"/>
      <c r="AO604" s="474"/>
      <c r="AP604" s="476"/>
      <c r="AQ604" s="482"/>
      <c r="AR604" s="478"/>
      <c r="AS604" s="478"/>
      <c r="AT604" s="476"/>
      <c r="AU604" s="482"/>
      <c r="AV604" s="478"/>
      <c r="AW604" s="483"/>
      <c r="AX604" s="476"/>
      <c r="AY604" s="482"/>
      <c r="AZ604" s="478"/>
      <c r="BA604" s="484"/>
      <c r="BB604" s="474"/>
      <c r="BC604" s="485"/>
      <c r="BD604" s="485"/>
      <c r="BG604" s="487"/>
    </row>
    <row r="605" spans="1:59" s="486" customFormat="1" ht="18" customHeight="1" x14ac:dyDescent="0.2">
      <c r="B605" s="687"/>
      <c r="C605" s="494"/>
      <c r="D605" s="464"/>
      <c r="E605" s="465"/>
      <c r="F605" s="466"/>
      <c r="G605" s="620"/>
      <c r="H605" s="464"/>
      <c r="I605" s="467"/>
      <c r="J605" s="468"/>
      <c r="K605" s="490"/>
      <c r="L605" s="469"/>
      <c r="M605" s="683"/>
      <c r="N605" s="470"/>
      <c r="O605" s="468"/>
      <c r="P605" s="471"/>
      <c r="Q605" s="472"/>
      <c r="R605" s="472"/>
      <c r="S605" s="634"/>
      <c r="T605" s="470"/>
      <c r="U605" s="612"/>
      <c r="V605" s="464"/>
      <c r="W605" s="612"/>
      <c r="X605" s="473"/>
      <c r="Y605" s="478"/>
      <c r="Z605" s="449"/>
      <c r="AA605" s="497"/>
      <c r="AB605" s="476"/>
      <c r="AC605" s="476"/>
      <c r="AD605" s="568"/>
      <c r="AE605" s="476"/>
      <c r="AF605" s="568"/>
      <c r="AG605" s="476"/>
      <c r="AH605" s="476"/>
      <c r="AI605" s="477"/>
      <c r="AJ605" s="478"/>
      <c r="AK605" s="479"/>
      <c r="AL605" s="480"/>
      <c r="AM605" s="474"/>
      <c r="AN605" s="481"/>
      <c r="AO605" s="474"/>
      <c r="AP605" s="476"/>
      <c r="AQ605" s="482"/>
      <c r="AR605" s="478"/>
      <c r="AS605" s="478"/>
      <c r="AT605" s="476"/>
      <c r="AU605" s="482"/>
      <c r="AV605" s="478"/>
      <c r="AW605" s="483"/>
      <c r="AX605" s="476"/>
      <c r="AY605" s="482"/>
      <c r="AZ605" s="478"/>
      <c r="BA605" s="484"/>
      <c r="BB605" s="474"/>
      <c r="BC605" s="485"/>
      <c r="BD605" s="485"/>
      <c r="BG605" s="487"/>
    </row>
    <row r="606" spans="1:59" s="526" customFormat="1" ht="18" customHeight="1" x14ac:dyDescent="0.2">
      <c r="B606" s="1956" t="s">
        <v>4184</v>
      </c>
      <c r="C606" s="1957"/>
      <c r="D606" s="1957"/>
      <c r="E606" s="1957"/>
      <c r="F606" s="1958"/>
      <c r="G606" s="621">
        <f>SUM(G596:G605)</f>
        <v>2671822000</v>
      </c>
      <c r="H606" s="505"/>
      <c r="I606" s="506"/>
      <c r="J606" s="507"/>
      <c r="K606" s="507"/>
      <c r="L606" s="505"/>
      <c r="M606" s="684"/>
      <c r="N606" s="508"/>
      <c r="O606" s="507"/>
      <c r="P606" s="509"/>
      <c r="Q606" s="510"/>
      <c r="R606" s="511"/>
      <c r="S606" s="512"/>
      <c r="T606" s="512"/>
      <c r="U606" s="610">
        <f>SUM(U596:U605)</f>
        <v>344295744</v>
      </c>
      <c r="V606" s="513"/>
      <c r="W606" s="610">
        <f>G606-U606</f>
        <v>2327526256</v>
      </c>
      <c r="X606" s="514"/>
      <c r="Y606" s="515"/>
      <c r="Z606" s="515"/>
      <c r="AA606" s="515"/>
      <c r="AB606" s="515"/>
      <c r="AC606" s="515"/>
      <c r="AD606" s="570"/>
      <c r="AE606" s="515"/>
      <c r="AF606" s="570"/>
      <c r="AG606" s="515"/>
      <c r="AH606" s="515"/>
      <c r="AI606" s="516"/>
      <c r="AJ606" s="517"/>
      <c r="AK606" s="518"/>
      <c r="AL606" s="519"/>
      <c r="AM606" s="520"/>
      <c r="AN606" s="521"/>
      <c r="AO606" s="520"/>
      <c r="AP606" s="515"/>
      <c r="AQ606" s="522"/>
      <c r="AR606" s="517"/>
      <c r="AS606" s="517"/>
      <c r="AT606" s="515"/>
      <c r="AU606" s="522"/>
      <c r="AV606" s="517"/>
      <c r="AW606" s="523"/>
      <c r="AX606" s="515"/>
      <c r="AY606" s="522"/>
      <c r="AZ606" s="517"/>
      <c r="BA606" s="524"/>
      <c r="BB606" s="520"/>
      <c r="BC606" s="525"/>
      <c r="BD606" s="525"/>
      <c r="BG606" s="527"/>
    </row>
    <row r="607" spans="1:59" s="526" customFormat="1" ht="18" customHeight="1" x14ac:dyDescent="0.2">
      <c r="B607" s="741"/>
      <c r="C607" s="698"/>
      <c r="D607" s="698"/>
      <c r="E607" s="698"/>
      <c r="F607" s="585"/>
      <c r="G607" s="622"/>
      <c r="H607" s="586"/>
      <c r="I607" s="587"/>
      <c r="J607" s="588"/>
      <c r="K607" s="588"/>
      <c r="L607" s="586"/>
      <c r="M607" s="521"/>
      <c r="N607" s="589"/>
      <c r="O607" s="588"/>
      <c r="P607" s="590"/>
      <c r="Q607" s="591"/>
      <c r="R607" s="592"/>
      <c r="S607" s="593"/>
      <c r="T607" s="593"/>
      <c r="U607" s="570"/>
      <c r="V607" s="594"/>
      <c r="W607" s="570"/>
      <c r="X607" s="515"/>
      <c r="Y607" s="515"/>
      <c r="Z607" s="515"/>
      <c r="AA607" s="515"/>
      <c r="AB607" s="515"/>
      <c r="AC607" s="515"/>
      <c r="AD607" s="570"/>
      <c r="AE607" s="515"/>
      <c r="AF607" s="570"/>
      <c r="AG607" s="515"/>
      <c r="AH607" s="515"/>
      <c r="AI607" s="516"/>
      <c r="AJ607" s="517"/>
      <c r="AK607" s="518"/>
      <c r="AL607" s="519"/>
      <c r="AM607" s="520"/>
      <c r="AN607" s="521"/>
      <c r="AO607" s="520"/>
      <c r="AP607" s="515"/>
      <c r="AQ607" s="522"/>
      <c r="AR607" s="517"/>
      <c r="AS607" s="517"/>
      <c r="AT607" s="515"/>
      <c r="AU607" s="522"/>
      <c r="AV607" s="517"/>
      <c r="AW607" s="523"/>
      <c r="AX607" s="515"/>
      <c r="AY607" s="522"/>
      <c r="AZ607" s="517"/>
      <c r="BA607" s="524"/>
      <c r="BB607" s="520"/>
      <c r="BC607" s="525"/>
      <c r="BD607" s="525"/>
      <c r="BG607" s="527"/>
    </row>
    <row r="608" spans="1:59" s="526" customFormat="1" ht="18" customHeight="1" x14ac:dyDescent="0.2">
      <c r="B608" s="575"/>
      <c r="C608" s="585"/>
      <c r="D608" s="585"/>
      <c r="E608" s="585"/>
      <c r="F608" s="585"/>
      <c r="G608" s="622"/>
      <c r="H608" s="586"/>
      <c r="I608" s="587"/>
      <c r="J608" s="588"/>
      <c r="K608" s="588"/>
      <c r="L608" s="586"/>
      <c r="M608" s="521"/>
      <c r="N608" s="589"/>
      <c r="O608" s="588"/>
      <c r="P608" s="590"/>
      <c r="Q608" s="591"/>
      <c r="R608" s="592"/>
      <c r="S608" s="593"/>
      <c r="T608" s="593"/>
      <c r="U608" s="570"/>
      <c r="V608" s="594"/>
      <c r="W608" s="570"/>
      <c r="X608" s="515"/>
      <c r="Y608" s="515"/>
      <c r="Z608" s="515"/>
      <c r="AA608" s="515"/>
      <c r="AB608" s="515"/>
      <c r="AC608" s="515"/>
      <c r="AD608" s="570"/>
      <c r="AE608" s="515"/>
      <c r="AF608" s="570"/>
      <c r="AG608" s="515"/>
      <c r="AH608" s="515"/>
      <c r="AI608" s="516"/>
      <c r="AJ608" s="517"/>
      <c r="AK608" s="518"/>
      <c r="AL608" s="519"/>
      <c r="AM608" s="520"/>
      <c r="AN608" s="521"/>
      <c r="AO608" s="520"/>
      <c r="AP608" s="515"/>
      <c r="AQ608" s="522"/>
      <c r="AR608" s="517"/>
      <c r="AS608" s="517"/>
      <c r="AT608" s="515"/>
      <c r="AU608" s="522"/>
      <c r="AV608" s="517"/>
      <c r="AW608" s="523"/>
      <c r="AX608" s="515"/>
      <c r="AY608" s="522"/>
      <c r="AZ608" s="517"/>
      <c r="BA608" s="524"/>
      <c r="BB608" s="520"/>
      <c r="BC608" s="525"/>
      <c r="BD608" s="525"/>
      <c r="BG608" s="527"/>
    </row>
    <row r="609" spans="1:59" s="526" customFormat="1" ht="18" customHeight="1" x14ac:dyDescent="0.2">
      <c r="B609" s="575"/>
      <c r="C609" s="585"/>
      <c r="D609" s="585"/>
      <c r="E609" s="585"/>
      <c r="F609" s="585"/>
      <c r="G609" s="622"/>
      <c r="H609" s="586"/>
      <c r="I609" s="587"/>
      <c r="J609" s="588"/>
      <c r="K609" s="588"/>
      <c r="L609" s="586"/>
      <c r="M609" s="521"/>
      <c r="N609" s="589"/>
      <c r="O609" s="588"/>
      <c r="P609" s="590"/>
      <c r="Q609" s="591"/>
      <c r="R609" s="592"/>
      <c r="S609" s="593"/>
      <c r="T609" s="593"/>
      <c r="U609" s="570"/>
      <c r="V609" s="594"/>
      <c r="W609" s="570"/>
      <c r="X609" s="515"/>
      <c r="Y609" s="515"/>
      <c r="Z609" s="515"/>
      <c r="AA609" s="515"/>
      <c r="AB609" s="515"/>
      <c r="AC609" s="515"/>
      <c r="AD609" s="570"/>
      <c r="AE609" s="515"/>
      <c r="AF609" s="570"/>
      <c r="AG609" s="515"/>
      <c r="AH609" s="515"/>
      <c r="AI609" s="516"/>
      <c r="AJ609" s="517"/>
      <c r="AK609" s="518"/>
      <c r="AL609" s="519"/>
      <c r="AM609" s="520"/>
      <c r="AN609" s="521"/>
      <c r="AO609" s="520"/>
      <c r="AP609" s="515"/>
      <c r="AQ609" s="522"/>
      <c r="AR609" s="517"/>
      <c r="AS609" s="517"/>
      <c r="AT609" s="515"/>
      <c r="AU609" s="522"/>
      <c r="AV609" s="517"/>
      <c r="AW609" s="523"/>
      <c r="AX609" s="515"/>
      <c r="AY609" s="522"/>
      <c r="AZ609" s="517"/>
      <c r="BA609" s="524"/>
      <c r="BB609" s="520"/>
      <c r="BC609" s="525"/>
      <c r="BD609" s="525"/>
      <c r="BG609" s="527"/>
    </row>
    <row r="610" spans="1:59" s="422" customFormat="1" ht="18" customHeight="1" x14ac:dyDescent="0.2">
      <c r="B610" s="688" t="s">
        <v>4760</v>
      </c>
      <c r="C610" s="556"/>
      <c r="D610" s="553" t="s">
        <v>4233</v>
      </c>
      <c r="E610" s="553"/>
      <c r="F610" s="421"/>
      <c r="G610" s="611"/>
      <c r="I610" s="423"/>
      <c r="J610" s="424"/>
      <c r="K610" s="424"/>
      <c r="M610" s="680"/>
      <c r="U610" s="611"/>
      <c r="W610" s="611"/>
      <c r="Y610" s="425"/>
      <c r="Z610" s="425"/>
      <c r="AA610" s="425"/>
      <c r="AB610" s="425"/>
      <c r="AC610" s="425"/>
      <c r="AD610" s="563"/>
      <c r="AE610" s="425"/>
      <c r="AF610" s="563"/>
      <c r="AG610" s="425"/>
      <c r="AH610" s="425"/>
      <c r="AI610" s="425"/>
      <c r="AJ610" s="425"/>
      <c r="AK610" s="425"/>
      <c r="AL610" s="425"/>
      <c r="AM610" s="425"/>
      <c r="AN610" s="425"/>
      <c r="AO610" s="425"/>
      <c r="AP610" s="425"/>
      <c r="AQ610" s="425"/>
      <c r="AR610" s="425"/>
      <c r="AS610" s="425"/>
      <c r="AT610" s="425"/>
      <c r="AU610" s="425"/>
      <c r="AV610" s="425"/>
      <c r="AW610" s="425"/>
      <c r="AX610" s="425"/>
      <c r="AY610" s="425"/>
      <c r="AZ610" s="425"/>
      <c r="BA610" s="425"/>
      <c r="BB610" s="425"/>
    </row>
    <row r="611" spans="1:59" s="431" customFormat="1" ht="18" customHeight="1" x14ac:dyDescent="0.2">
      <c r="B611" s="1968" t="s">
        <v>5</v>
      </c>
      <c r="C611" s="1968" t="s">
        <v>2280</v>
      </c>
      <c r="D611" s="1968" t="s">
        <v>4157</v>
      </c>
      <c r="E611" s="1968" t="s">
        <v>4158</v>
      </c>
      <c r="F611" s="1968"/>
      <c r="G611" s="1969" t="s">
        <v>4159</v>
      </c>
      <c r="H611" s="1355" t="s">
        <v>4160</v>
      </c>
      <c r="I611" s="1355"/>
      <c r="J611" s="1968" t="s">
        <v>4161</v>
      </c>
      <c r="K611" s="1964" t="s">
        <v>4162</v>
      </c>
      <c r="L611" s="1968" t="s">
        <v>4163</v>
      </c>
      <c r="M611" s="1971" t="s">
        <v>4164</v>
      </c>
      <c r="N611" s="1962" t="s">
        <v>4165</v>
      </c>
      <c r="O611" s="1968" t="s">
        <v>4166</v>
      </c>
      <c r="P611" s="1972" t="s">
        <v>4167</v>
      </c>
      <c r="Q611" s="1973"/>
      <c r="R611" s="776" t="s">
        <v>4168</v>
      </c>
      <c r="S611" s="1972" t="s">
        <v>4169</v>
      </c>
      <c r="T611" s="1974"/>
      <c r="U611" s="1973"/>
      <c r="V611" s="1975" t="s">
        <v>4170</v>
      </c>
      <c r="W611" s="1975"/>
      <c r="X611" s="1960" t="s">
        <v>4171</v>
      </c>
      <c r="Y611" s="1959"/>
      <c r="Z611" s="777"/>
      <c r="AA611" s="426"/>
      <c r="AB611" s="426"/>
      <c r="AC611" s="426"/>
      <c r="AD611" s="564"/>
      <c r="AE611" s="426"/>
      <c r="AF611" s="564"/>
      <c r="AG611" s="426"/>
      <c r="AH611" s="426"/>
      <c r="AI611" s="427"/>
      <c r="AJ611" s="427"/>
      <c r="AK611" s="427"/>
      <c r="AL611" s="427"/>
      <c r="AM611" s="428"/>
      <c r="AN611" s="427"/>
      <c r="AO611" s="427"/>
      <c r="AP611" s="426"/>
      <c r="AQ611" s="427"/>
      <c r="AR611" s="427"/>
      <c r="AS611" s="427"/>
      <c r="AT611" s="426"/>
      <c r="AU611" s="427"/>
      <c r="AV611" s="427"/>
      <c r="AW611" s="427"/>
      <c r="AX611" s="426"/>
      <c r="AY611" s="427"/>
      <c r="AZ611" s="427"/>
      <c r="BA611" s="427"/>
      <c r="BB611" s="429"/>
      <c r="BC611" s="430"/>
      <c r="BD611" s="430"/>
    </row>
    <row r="612" spans="1:59" s="431" customFormat="1" ht="18" customHeight="1" x14ac:dyDescent="0.2">
      <c r="B612" s="1968"/>
      <c r="C612" s="1968"/>
      <c r="D612" s="1968"/>
      <c r="E612" s="1968"/>
      <c r="F612" s="1968"/>
      <c r="G612" s="1969"/>
      <c r="H612" s="1355"/>
      <c r="I612" s="1355"/>
      <c r="J612" s="1968"/>
      <c r="K612" s="1970"/>
      <c r="L612" s="1968"/>
      <c r="M612" s="1971"/>
      <c r="N612" s="1963"/>
      <c r="O612" s="1968"/>
      <c r="P612" s="1960" t="s">
        <v>4172</v>
      </c>
      <c r="Q612" s="1960" t="s">
        <v>4173</v>
      </c>
      <c r="R612" s="1962" t="s">
        <v>4159</v>
      </c>
      <c r="S612" s="1962" t="s">
        <v>4174</v>
      </c>
      <c r="T612" s="1964" t="s">
        <v>4175</v>
      </c>
      <c r="U612" s="1966" t="s">
        <v>4159</v>
      </c>
      <c r="V612" s="1975"/>
      <c r="W612" s="1975"/>
      <c r="X612" s="1976"/>
      <c r="Y612" s="1959"/>
      <c r="Z612" s="777"/>
      <c r="AA612" s="426"/>
      <c r="AB612" s="426"/>
      <c r="AC612" s="426"/>
      <c r="AD612" s="564"/>
      <c r="AE612" s="426"/>
      <c r="AF612" s="564"/>
      <c r="AG612" s="426"/>
      <c r="AH612" s="426"/>
      <c r="AI612" s="427"/>
      <c r="AJ612" s="427"/>
      <c r="AK612" s="426"/>
      <c r="AL612" s="427"/>
      <c r="AM612" s="428"/>
      <c r="AN612" s="427"/>
      <c r="AO612" s="427"/>
      <c r="AP612" s="432"/>
      <c r="AQ612" s="427"/>
      <c r="AR612" s="427"/>
      <c r="AS612" s="427"/>
      <c r="AT612" s="432"/>
      <c r="AU612" s="427"/>
      <c r="AV612" s="427"/>
      <c r="AW612" s="427"/>
      <c r="AX612" s="432"/>
      <c r="AY612" s="427"/>
      <c r="AZ612" s="427"/>
      <c r="BA612" s="427"/>
      <c r="BB612" s="429"/>
      <c r="BC612" s="430"/>
      <c r="BD612" s="430"/>
    </row>
    <row r="613" spans="1:59" s="431" customFormat="1" ht="21.75" customHeight="1" x14ac:dyDescent="0.2">
      <c r="B613" s="1968"/>
      <c r="C613" s="1968"/>
      <c r="D613" s="1968"/>
      <c r="E613" s="433" t="s">
        <v>4176</v>
      </c>
      <c r="F613" s="434" t="s">
        <v>2288</v>
      </c>
      <c r="G613" s="1969"/>
      <c r="H613" s="1355" t="s">
        <v>2288</v>
      </c>
      <c r="I613" s="1355" t="s">
        <v>4177</v>
      </c>
      <c r="J613" s="1968"/>
      <c r="K613" s="1965"/>
      <c r="L613" s="435" t="s">
        <v>2288</v>
      </c>
      <c r="M613" s="681" t="s">
        <v>2288</v>
      </c>
      <c r="N613" s="775" t="s">
        <v>2288</v>
      </c>
      <c r="O613" s="1968"/>
      <c r="P613" s="1961"/>
      <c r="Q613" s="1961"/>
      <c r="R613" s="1963"/>
      <c r="S613" s="1963"/>
      <c r="T613" s="1965"/>
      <c r="U613" s="1967"/>
      <c r="V613" s="775" t="s">
        <v>4178</v>
      </c>
      <c r="W613" s="778" t="s">
        <v>4159</v>
      </c>
      <c r="X613" s="1961"/>
      <c r="Y613" s="436"/>
      <c r="Z613" s="436"/>
      <c r="AA613" s="426"/>
      <c r="AB613" s="426"/>
      <c r="AC613" s="426"/>
      <c r="AD613" s="564"/>
      <c r="AE613" s="426"/>
      <c r="AF613" s="564"/>
      <c r="AG613" s="426"/>
      <c r="AH613" s="426"/>
      <c r="AI613" s="427"/>
      <c r="AJ613" s="432"/>
      <c r="AK613" s="432"/>
      <c r="AL613" s="427"/>
      <c r="AM613" s="428"/>
      <c r="AN613" s="432"/>
      <c r="AO613" s="427"/>
      <c r="AP613" s="432"/>
      <c r="AQ613" s="432"/>
      <c r="AR613" s="427"/>
      <c r="AS613" s="427"/>
      <c r="AT613" s="432"/>
      <c r="AU613" s="432"/>
      <c r="AV613" s="427"/>
      <c r="AW613" s="427"/>
      <c r="AX613" s="432"/>
      <c r="AY613" s="432"/>
      <c r="AZ613" s="427"/>
      <c r="BA613" s="427"/>
      <c r="BB613" s="429"/>
      <c r="BC613" s="430"/>
      <c r="BD613" s="430"/>
    </row>
    <row r="614" spans="1:59" s="461" customFormat="1" ht="18" customHeight="1" x14ac:dyDescent="0.2">
      <c r="A614" s="461" t="str">
        <f t="shared" ref="A614:A619" si="528">$D$610&amp;S614</f>
        <v>MESJID AGUNG KUANTAN SINGINGI 2014</v>
      </c>
      <c r="B614" s="689">
        <v>1</v>
      </c>
      <c r="C614" s="597" t="s">
        <v>2612</v>
      </c>
      <c r="D614" s="597" t="s">
        <v>1752</v>
      </c>
      <c r="E614" s="598"/>
      <c r="F614" s="599">
        <v>2014</v>
      </c>
      <c r="G614" s="626">
        <v>3023660100</v>
      </c>
      <c r="H614" s="600">
        <f>VLOOKUP(LEFT(D614,8),UE,4)</f>
        <v>50</v>
      </c>
      <c r="I614" s="601"/>
      <c r="J614" s="602">
        <f t="shared" ref="J614:J619" si="529">(F614+N614)-1</f>
        <v>2063</v>
      </c>
      <c r="K614" s="603"/>
      <c r="L614" s="600"/>
      <c r="M614" s="685">
        <f>IF(H614+L614&gt;$H614,$H614-H614,L614)</f>
        <v>0</v>
      </c>
      <c r="N614" s="604">
        <f>H614+M614</f>
        <v>50</v>
      </c>
      <c r="O614" s="602">
        <f t="shared" ref="O614:O619" si="530">(F614+N614)-1</f>
        <v>2063</v>
      </c>
      <c r="P614" s="605">
        <f>G614</f>
        <v>3023660100</v>
      </c>
      <c r="Q614" s="606">
        <v>0</v>
      </c>
      <c r="R614" s="606">
        <f>P614/N614</f>
        <v>60473202</v>
      </c>
      <c r="S614" s="607">
        <f t="shared" ref="S614:S619" si="531">F614</f>
        <v>2014</v>
      </c>
      <c r="T614" s="608">
        <v>1</v>
      </c>
      <c r="U614" s="615">
        <f t="shared" ref="U614:U619" si="532">R614*T614</f>
        <v>60473202</v>
      </c>
      <c r="V614" s="602">
        <f t="shared" ref="V614:V619" si="533">F614</f>
        <v>2014</v>
      </c>
      <c r="W614" s="618">
        <f>IF(OR(AND(ISBLANK(E614),ISBLANK(G614)),ISTEXT(E614),ISTEXT(G614)),"",G614-R614)</f>
        <v>2963186898</v>
      </c>
      <c r="X614" s="609"/>
      <c r="Y614" s="449"/>
      <c r="Z614" s="449"/>
      <c r="AA614" s="694"/>
      <c r="AB614" s="692"/>
      <c r="AC614" s="692"/>
      <c r="AD614" s="695"/>
      <c r="AE614" s="452"/>
      <c r="AF614" s="571"/>
      <c r="AG614" s="452"/>
      <c r="AH614" s="452"/>
      <c r="AI614" s="453"/>
      <c r="AJ614" s="449"/>
      <c r="AK614" s="453"/>
      <c r="AL614" s="454"/>
      <c r="AM614" s="455"/>
      <c r="AN614" s="456"/>
      <c r="AO614" s="455"/>
      <c r="AP614" s="452"/>
      <c r="AQ614" s="457"/>
      <c r="AR614" s="449"/>
      <c r="AS614" s="449"/>
      <c r="AT614" s="452"/>
      <c r="AU614" s="457"/>
      <c r="AV614" s="449"/>
      <c r="AW614" s="458"/>
      <c r="AX614" s="452"/>
      <c r="AY614" s="457"/>
      <c r="AZ614" s="449"/>
      <c r="BA614" s="459"/>
      <c r="BB614" s="455"/>
      <c r="BC614" s="460"/>
      <c r="BD614" s="460"/>
      <c r="BG614" s="462"/>
    </row>
    <row r="615" spans="1:59" s="461" customFormat="1" ht="18" customHeight="1" x14ac:dyDescent="0.2">
      <c r="A615" s="461" t="str">
        <f t="shared" si="528"/>
        <v>MESJID AGUNG KUANTAN SINGINGI 2015</v>
      </c>
      <c r="B615" s="708"/>
      <c r="C615" s="489"/>
      <c r="D615" s="489"/>
      <c r="E615" s="558"/>
      <c r="F615" s="559">
        <v>2015</v>
      </c>
      <c r="G615" s="619">
        <v>0</v>
      </c>
      <c r="H615" s="464">
        <f>IF(N614-(F615-F614)&lt;=0,0,(N614-(F615-F614)))</f>
        <v>49</v>
      </c>
      <c r="I615" s="560"/>
      <c r="J615" s="468">
        <f t="shared" si="529"/>
        <v>2063</v>
      </c>
      <c r="K615" s="490">
        <f>IF(G615=0,0,IF(H615=50,100%,G615/W614))</f>
        <v>0</v>
      </c>
      <c r="L615" s="469">
        <f>IF(K615=0%,0,IF(K615&lt;=25%,5,IF(K615&lt;=50%,10,IF(K615&lt;=75%,15,50))))</f>
        <v>0</v>
      </c>
      <c r="M615" s="683">
        <f>IF(OR(AND(ISBLANK(E615),ISBLANK(G615)),ISTEXT(E615),ISTEXT(G615)),"",IF(H615+L615&gt;$H$27,$H$27-H615,L615))</f>
        <v>0</v>
      </c>
      <c r="N615" s="470">
        <f>IF(OR(AND(ISBLANK(F615),ISBLANK(G615)),ISTEXT(F615),ISTEXT(G615)),"",H615+M615)</f>
        <v>49</v>
      </c>
      <c r="O615" s="468">
        <f t="shared" si="530"/>
        <v>2063</v>
      </c>
      <c r="P615" s="471">
        <f>W614</f>
        <v>2963186898</v>
      </c>
      <c r="Q615" s="472">
        <f>P615+G615</f>
        <v>2963186898</v>
      </c>
      <c r="R615" s="472">
        <f>IF(L615=0,R614,Q615/N615)</f>
        <v>60473202</v>
      </c>
      <c r="S615" s="780">
        <f t="shared" si="531"/>
        <v>2015</v>
      </c>
      <c r="T615" s="470">
        <f>S615-S614</f>
        <v>1</v>
      </c>
      <c r="U615" s="612">
        <f t="shared" si="532"/>
        <v>60473202</v>
      </c>
      <c r="V615" s="464">
        <f t="shared" si="533"/>
        <v>2015</v>
      </c>
      <c r="W615" s="612">
        <f>IF(OR(AND(ISBLANK(E615),ISBLANK(G615)),ISTEXT(E615),ISTEXT(G615)),"",Q615-U615)</f>
        <v>2902713696</v>
      </c>
      <c r="X615" s="561"/>
      <c r="Y615" s="449"/>
      <c r="Z615" s="449"/>
      <c r="AA615" s="554" t="s">
        <v>4179</v>
      </c>
      <c r="AB615" s="452"/>
      <c r="AC615" s="452"/>
      <c r="AD615" s="566"/>
      <c r="AE615" s="452"/>
      <c r="AF615" s="571"/>
      <c r="AG615" s="452"/>
      <c r="AH615" s="452"/>
      <c r="AI615" s="453"/>
      <c r="AJ615" s="449"/>
      <c r="AK615" s="453"/>
      <c r="AL615" s="454"/>
      <c r="AM615" s="455"/>
      <c r="AN615" s="456"/>
      <c r="AO615" s="455"/>
      <c r="AP615" s="452"/>
      <c r="AQ615" s="457"/>
      <c r="AR615" s="449"/>
      <c r="AS615" s="449"/>
      <c r="AT615" s="452"/>
      <c r="AU615" s="457"/>
      <c r="AV615" s="449"/>
      <c r="AW615" s="458"/>
      <c r="AX615" s="452"/>
      <c r="AY615" s="457"/>
      <c r="AZ615" s="449"/>
      <c r="BA615" s="459"/>
      <c r="BB615" s="455"/>
      <c r="BC615" s="460"/>
      <c r="BD615" s="460"/>
      <c r="BG615" s="462"/>
    </row>
    <row r="616" spans="1:59" s="461" customFormat="1" ht="18" customHeight="1" x14ac:dyDescent="0.2">
      <c r="A616" s="461" t="str">
        <f t="shared" si="528"/>
        <v>MESJID AGUNG KUANTAN SINGINGI 2016</v>
      </c>
      <c r="B616" s="708"/>
      <c r="C616" s="489"/>
      <c r="D616" s="489"/>
      <c r="E616" s="558"/>
      <c r="F616" s="559">
        <v>2016</v>
      </c>
      <c r="G616" s="619">
        <v>0</v>
      </c>
      <c r="H616" s="464">
        <f>IF(N615-(F616-F615)&lt;=0,0,(N615-(F616-F615)))</f>
        <v>48</v>
      </c>
      <c r="I616" s="560"/>
      <c r="J616" s="468">
        <f t="shared" si="529"/>
        <v>2063</v>
      </c>
      <c r="K616" s="490">
        <f>IF(G616=0,0,IF(H616=50,100%,G616/W615))</f>
        <v>0</v>
      </c>
      <c r="L616" s="469">
        <f>IF(K616=0%,0,IF(K616&lt;=25%,5,IF(K616&lt;=50%,10,IF(K616&lt;=75%,15,50))))</f>
        <v>0</v>
      </c>
      <c r="M616" s="683">
        <f>IF(OR(AND(ISBLANK(E616),ISBLANK(G616)),ISTEXT(E616),ISTEXT(G616)),"",IF(H616+L616&gt;$H$27,$H$27-H616,L616))</f>
        <v>0</v>
      </c>
      <c r="N616" s="470">
        <f>IF(OR(AND(ISBLANK(F616),ISBLANK(G616)),ISTEXT(F616),ISTEXT(G616)),"",H616+M616)</f>
        <v>48</v>
      </c>
      <c r="O616" s="468">
        <f t="shared" si="530"/>
        <v>2063</v>
      </c>
      <c r="P616" s="471">
        <f>W615</f>
        <v>2902713696</v>
      </c>
      <c r="Q616" s="472">
        <f>P616+G616</f>
        <v>2902713696</v>
      </c>
      <c r="R616" s="472">
        <f>IF(L616=0,R615,Q616/N616)</f>
        <v>60473202</v>
      </c>
      <c r="S616" s="780">
        <f t="shared" si="531"/>
        <v>2016</v>
      </c>
      <c r="T616" s="470">
        <f>S616-S615</f>
        <v>1</v>
      </c>
      <c r="U616" s="612">
        <f t="shared" si="532"/>
        <v>60473202</v>
      </c>
      <c r="V616" s="464">
        <f t="shared" si="533"/>
        <v>2016</v>
      </c>
      <c r="W616" s="612">
        <f>IF(OR(AND(ISBLANK(E616),ISBLANK(G616)),ISTEXT(E616),ISTEXT(G616)),"",Q616-U616)</f>
        <v>2842240494</v>
      </c>
      <c r="X616" s="561"/>
      <c r="Y616" s="449"/>
      <c r="Z616" s="449"/>
      <c r="AA616" s="554"/>
      <c r="AB616" s="452"/>
      <c r="AC616" s="452"/>
      <c r="AD616" s="566"/>
      <c r="AE616" s="452"/>
      <c r="AF616" s="571"/>
      <c r="AG616" s="452"/>
      <c r="AH616" s="452"/>
      <c r="AI616" s="453"/>
      <c r="AJ616" s="449"/>
      <c r="AK616" s="453"/>
      <c r="AL616" s="454"/>
      <c r="AM616" s="455"/>
      <c r="AN616" s="456"/>
      <c r="AO616" s="455"/>
      <c r="AP616" s="452"/>
      <c r="AQ616" s="457"/>
      <c r="AR616" s="449"/>
      <c r="AS616" s="449"/>
      <c r="AT616" s="452"/>
      <c r="AU616" s="457"/>
      <c r="AV616" s="449"/>
      <c r="AW616" s="458"/>
      <c r="AX616" s="452"/>
      <c r="AY616" s="457"/>
      <c r="AZ616" s="449"/>
      <c r="BA616" s="459"/>
      <c r="BB616" s="455"/>
      <c r="BC616" s="460"/>
      <c r="BD616" s="460"/>
      <c r="BG616" s="462"/>
    </row>
    <row r="617" spans="1:59" s="461" customFormat="1" ht="18" customHeight="1" x14ac:dyDescent="0.2">
      <c r="A617" s="461" t="str">
        <f t="shared" si="528"/>
        <v>MESJID AGUNG KUANTAN SINGINGI 2017</v>
      </c>
      <c r="B617" s="708"/>
      <c r="C617" s="489"/>
      <c r="D617" s="489"/>
      <c r="E617" s="558"/>
      <c r="F617" s="559">
        <v>2017</v>
      </c>
      <c r="G617" s="619">
        <v>0</v>
      </c>
      <c r="H617" s="464">
        <f>IF(N616-(F617-F616)&lt;=0,0,(N616-(F617-F616)))</f>
        <v>47</v>
      </c>
      <c r="I617" s="560"/>
      <c r="J617" s="468">
        <f t="shared" si="529"/>
        <v>2063</v>
      </c>
      <c r="K617" s="490">
        <f>IF(G617=0,0,IF(H617=50,100%,G617/W616))</f>
        <v>0</v>
      </c>
      <c r="L617" s="469">
        <f>IF(K617=0%,0,IF(K617&lt;=25%,5,IF(K617&lt;=50%,10,IF(K617&lt;=75%,15,50))))</f>
        <v>0</v>
      </c>
      <c r="M617" s="683">
        <f>IF(OR(AND(ISBLANK(E617),ISBLANK(G617)),ISTEXT(E617),ISTEXT(G617)),"",IF(H617+L617&gt;$H$27,$H$27-H617,L617))</f>
        <v>0</v>
      </c>
      <c r="N617" s="470">
        <f>IF(OR(AND(ISBLANK(F617),ISBLANK(G617)),ISTEXT(F617),ISTEXT(G617)),"",H617+M617)</f>
        <v>47</v>
      </c>
      <c r="O617" s="468">
        <f t="shared" si="530"/>
        <v>2063</v>
      </c>
      <c r="P617" s="471">
        <f>W616</f>
        <v>2842240494</v>
      </c>
      <c r="Q617" s="472">
        <f>P617+G617</f>
        <v>2842240494</v>
      </c>
      <c r="R617" s="472">
        <f>IF(L617=0,R616,Q617/N617)</f>
        <v>60473202</v>
      </c>
      <c r="S617" s="780">
        <f t="shared" si="531"/>
        <v>2017</v>
      </c>
      <c r="T617" s="470">
        <f>S617-S616</f>
        <v>1</v>
      </c>
      <c r="U617" s="612">
        <f t="shared" si="532"/>
        <v>60473202</v>
      </c>
      <c r="V617" s="464">
        <f t="shared" si="533"/>
        <v>2017</v>
      </c>
      <c r="W617" s="612">
        <f>IF(OR(AND(ISBLANK(E617),ISBLANK(G617)),ISTEXT(E617),ISTEXT(G617)),"",Q617-U617)</f>
        <v>2781767292</v>
      </c>
      <c r="X617" s="561"/>
      <c r="Y617" s="449"/>
      <c r="Z617" s="449"/>
      <c r="AA617" s="475" t="s">
        <v>4180</v>
      </c>
      <c r="AB617" s="476"/>
      <c r="AC617" s="476"/>
      <c r="AD617" s="567">
        <f>G624</f>
        <v>6779278500</v>
      </c>
      <c r="AE617" s="452"/>
      <c r="AF617" s="571"/>
      <c r="AG617" s="452"/>
      <c r="AH617" s="452"/>
      <c r="AI617" s="453"/>
      <c r="AJ617" s="449"/>
      <c r="AK617" s="453"/>
      <c r="AL617" s="454"/>
      <c r="AM617" s="455"/>
      <c r="AN617" s="456"/>
      <c r="AO617" s="455"/>
      <c r="AP617" s="452"/>
      <c r="AQ617" s="457"/>
      <c r="AR617" s="449"/>
      <c r="AS617" s="449"/>
      <c r="AT617" s="452"/>
      <c r="AU617" s="457"/>
      <c r="AV617" s="449"/>
      <c r="AW617" s="458"/>
      <c r="AX617" s="452"/>
      <c r="AY617" s="457"/>
      <c r="AZ617" s="449"/>
      <c r="BA617" s="459"/>
      <c r="BB617" s="455"/>
      <c r="BC617" s="460"/>
      <c r="BD617" s="460"/>
      <c r="BG617" s="462"/>
    </row>
    <row r="618" spans="1:59" s="461" customFormat="1" ht="18" customHeight="1" x14ac:dyDescent="0.2">
      <c r="A618" s="461" t="str">
        <f t="shared" si="528"/>
        <v>MESJID AGUNG KUANTAN SINGINGI 2018</v>
      </c>
      <c r="B618" s="708">
        <v>2</v>
      </c>
      <c r="C618" s="489" t="s">
        <v>2612</v>
      </c>
      <c r="D618" s="489" t="s">
        <v>1752</v>
      </c>
      <c r="E618" s="558"/>
      <c r="F618" s="559">
        <v>2018</v>
      </c>
      <c r="G618" s="619">
        <v>3755618400</v>
      </c>
      <c r="H618" s="464">
        <f>IF(N617-(F618-F617)&lt;=0,0,(N617-(F618-F617)))</f>
        <v>46</v>
      </c>
      <c r="I618" s="560"/>
      <c r="J618" s="468">
        <f t="shared" si="529"/>
        <v>2067</v>
      </c>
      <c r="K618" s="490">
        <f>IF(G618=0,0,IF(H618=50,100%,G618/W617))</f>
        <v>1.350083600019552</v>
      </c>
      <c r="L618" s="469">
        <f>IF(K618=0%,0,IF(K618&lt;=25%,5,IF(K618&lt;=50%,10,IF(K618&lt;=75%,15,50))))</f>
        <v>50</v>
      </c>
      <c r="M618" s="683">
        <f>IF(OR(AND(ISBLANK(E618),ISBLANK(G618)),ISTEXT(E618),ISTEXT(G618)),"",IF(H618+L618&gt;$H$27,$H$27-H618,L618))</f>
        <v>4</v>
      </c>
      <c r="N618" s="470">
        <f>IF(OR(AND(ISBLANK(F618),ISBLANK(G618)),ISTEXT(F618),ISTEXT(G618)),"",H618+M618)</f>
        <v>50</v>
      </c>
      <c r="O618" s="468">
        <f t="shared" si="530"/>
        <v>2067</v>
      </c>
      <c r="P618" s="471">
        <f>W617</f>
        <v>2781767292</v>
      </c>
      <c r="Q618" s="472">
        <f>P618+G618</f>
        <v>6537385692</v>
      </c>
      <c r="R618" s="472">
        <f>IF(L618=0,R617,Q618/N618)</f>
        <v>130747713.84</v>
      </c>
      <c r="S618" s="780">
        <f t="shared" si="531"/>
        <v>2018</v>
      </c>
      <c r="T618" s="470">
        <f>S618-S617</f>
        <v>1</v>
      </c>
      <c r="U618" s="612">
        <f t="shared" si="532"/>
        <v>130747713.84</v>
      </c>
      <c r="V618" s="464">
        <f t="shared" si="533"/>
        <v>2018</v>
      </c>
      <c r="W618" s="612">
        <f>IF(OR(AND(ISBLANK(E618),ISBLANK(G618)),ISTEXT(E618),ISTEXT(G618)),"",Q618-U618)</f>
        <v>6406637978.1599998</v>
      </c>
      <c r="X618" s="561"/>
      <c r="Y618" s="449"/>
      <c r="Z618" s="449"/>
      <c r="AA618" s="475" t="s">
        <v>4181</v>
      </c>
      <c r="AB618" s="491"/>
      <c r="AC618" s="491"/>
      <c r="AD618" s="567">
        <f>U624</f>
        <v>503388235.68000007</v>
      </c>
      <c r="AE618" s="452"/>
      <c r="AF618" s="571"/>
      <c r="AG618" s="452"/>
      <c r="AH618" s="452"/>
      <c r="AI618" s="453"/>
      <c r="AJ618" s="449"/>
      <c r="AK618" s="453"/>
      <c r="AL618" s="454"/>
      <c r="AM618" s="455"/>
      <c r="AN618" s="456"/>
      <c r="AO618" s="455"/>
      <c r="AP618" s="452"/>
      <c r="AQ618" s="457"/>
      <c r="AR618" s="449"/>
      <c r="AS618" s="449"/>
      <c r="AT618" s="452"/>
      <c r="AU618" s="457"/>
      <c r="AV618" s="449"/>
      <c r="AW618" s="458"/>
      <c r="AX618" s="452"/>
      <c r="AY618" s="457"/>
      <c r="AZ618" s="449"/>
      <c r="BA618" s="459"/>
      <c r="BB618" s="455"/>
      <c r="BC618" s="460"/>
      <c r="BD618" s="460"/>
      <c r="BG618" s="462"/>
    </row>
    <row r="619" spans="1:59" s="461" customFormat="1" ht="18" customHeight="1" x14ac:dyDescent="0.2">
      <c r="A619" s="461" t="str">
        <f t="shared" si="528"/>
        <v>MESJID AGUNG KUANTAN SINGINGI 2019</v>
      </c>
      <c r="B619" s="708"/>
      <c r="C619" s="489"/>
      <c r="D619" s="489"/>
      <c r="E619" s="558"/>
      <c r="F619" s="559">
        <v>2019</v>
      </c>
      <c r="G619" s="619">
        <v>0</v>
      </c>
      <c r="H619" s="464">
        <f>IF(N618-(F619-F618)&lt;=0,0,(N618-(F619-F618)))</f>
        <v>49</v>
      </c>
      <c r="I619" s="560"/>
      <c r="J619" s="468">
        <f t="shared" si="529"/>
        <v>2067</v>
      </c>
      <c r="K619" s="490">
        <f>IF(G619=0,0,IF(H619=50,100%,G619/W618))</f>
        <v>0</v>
      </c>
      <c r="L619" s="469">
        <f>IF(K619=0%,0,IF(K619&lt;=25%,5,IF(K619&lt;=50%,10,IF(K619&lt;=75%,15,50))))</f>
        <v>0</v>
      </c>
      <c r="M619" s="683">
        <f>IF(OR(AND(ISBLANK(E619),ISBLANK(G619)),ISTEXT(E619),ISTEXT(G619)),"",IF(H619+L619&gt;$H$27,$H$27-H619,L619))</f>
        <v>0</v>
      </c>
      <c r="N619" s="470">
        <f>IF(OR(AND(ISBLANK(F619),ISBLANK(G619)),ISTEXT(F619),ISTEXT(G619)),"",H619+M619)</f>
        <v>49</v>
      </c>
      <c r="O619" s="468">
        <f t="shared" si="530"/>
        <v>2067</v>
      </c>
      <c r="P619" s="471">
        <f>W618</f>
        <v>6406637978.1599998</v>
      </c>
      <c r="Q619" s="472">
        <f>P619+G619</f>
        <v>6406637978.1599998</v>
      </c>
      <c r="R619" s="472">
        <f>IF(L619=0,R618,Q619/N619)</f>
        <v>130747713.84</v>
      </c>
      <c r="S619" s="1189">
        <f t="shared" si="531"/>
        <v>2019</v>
      </c>
      <c r="T619" s="470">
        <f>S619-S618</f>
        <v>1</v>
      </c>
      <c r="U619" s="612">
        <f t="shared" si="532"/>
        <v>130747713.84</v>
      </c>
      <c r="V619" s="464">
        <f t="shared" si="533"/>
        <v>2019</v>
      </c>
      <c r="W619" s="612">
        <f>IF(OR(AND(ISBLANK(E619),ISBLANK(G619)),ISTEXT(E619),ISTEXT(G619)),"",Q619-U619)</f>
        <v>6275890264.3199997</v>
      </c>
      <c r="X619" s="561"/>
      <c r="Y619" s="449"/>
      <c r="Z619" s="449"/>
      <c r="AA619" s="492" t="s">
        <v>4182</v>
      </c>
      <c r="AB619" s="476"/>
      <c r="AC619" s="476"/>
      <c r="AD619" s="568">
        <f>AD617-AD618</f>
        <v>6275890264.3199997</v>
      </c>
      <c r="AE619" s="452"/>
      <c r="AF619" s="571"/>
      <c r="AG619" s="452"/>
      <c r="AH619" s="452"/>
      <c r="AI619" s="453"/>
      <c r="AJ619" s="449"/>
      <c r="AK619" s="453"/>
      <c r="AL619" s="454"/>
      <c r="AM619" s="455"/>
      <c r="AN619" s="456"/>
      <c r="AO619" s="455"/>
      <c r="AP619" s="452"/>
      <c r="AQ619" s="457"/>
      <c r="AR619" s="449"/>
      <c r="AS619" s="449"/>
      <c r="AT619" s="452"/>
      <c r="AU619" s="457"/>
      <c r="AV619" s="449"/>
      <c r="AW619" s="458"/>
      <c r="AX619" s="452"/>
      <c r="AY619" s="457"/>
      <c r="AZ619" s="449"/>
      <c r="BA619" s="459"/>
      <c r="BB619" s="455"/>
      <c r="BC619" s="460"/>
      <c r="BD619" s="460"/>
      <c r="BG619" s="462"/>
    </row>
    <row r="620" spans="1:59" s="461" customFormat="1" ht="18" customHeight="1" x14ac:dyDescent="0.2">
      <c r="B620" s="708"/>
      <c r="C620" s="489"/>
      <c r="D620" s="489"/>
      <c r="E620" s="558"/>
      <c r="F620" s="559"/>
      <c r="G620" s="619"/>
      <c r="H620" s="464"/>
      <c r="I620" s="560"/>
      <c r="J620" s="468"/>
      <c r="K620" s="490"/>
      <c r="L620" s="469"/>
      <c r="M620" s="683"/>
      <c r="N620" s="470"/>
      <c r="O620" s="468"/>
      <c r="P620" s="471"/>
      <c r="Q620" s="472"/>
      <c r="R620" s="472"/>
      <c r="S620" s="780"/>
      <c r="T620" s="470"/>
      <c r="U620" s="612"/>
      <c r="V620" s="464"/>
      <c r="W620" s="612"/>
      <c r="X620" s="561"/>
      <c r="Y620" s="449"/>
      <c r="Z620" s="449"/>
      <c r="AA620" s="475" t="s">
        <v>4183</v>
      </c>
      <c r="AB620" s="476"/>
      <c r="AC620" s="476"/>
      <c r="AD620" s="567">
        <f>AD619-W624</f>
        <v>0</v>
      </c>
      <c r="AE620" s="452"/>
      <c r="AF620" s="571"/>
      <c r="AG620" s="452"/>
      <c r="AH620" s="452"/>
      <c r="AI620" s="453"/>
      <c r="AJ620" s="449"/>
      <c r="AK620" s="453"/>
      <c r="AL620" s="454"/>
      <c r="AM620" s="455"/>
      <c r="AN620" s="456"/>
      <c r="AO620" s="455"/>
      <c r="AP620" s="452"/>
      <c r="AQ620" s="457"/>
      <c r="AR620" s="449"/>
      <c r="AS620" s="449"/>
      <c r="AT620" s="452"/>
      <c r="AU620" s="457"/>
      <c r="AV620" s="449"/>
      <c r="AW620" s="458"/>
      <c r="AX620" s="452"/>
      <c r="AY620" s="457"/>
      <c r="AZ620" s="449"/>
      <c r="BA620" s="459"/>
      <c r="BB620" s="455"/>
      <c r="BC620" s="460"/>
      <c r="BD620" s="460"/>
      <c r="BG620" s="462"/>
    </row>
    <row r="621" spans="1:59" s="486" customFormat="1" ht="18" customHeight="1" x14ac:dyDescent="0.2">
      <c r="B621" s="708"/>
      <c r="C621" s="463"/>
      <c r="D621" s="489"/>
      <c r="E621" s="465"/>
      <c r="F621" s="559"/>
      <c r="G621" s="619"/>
      <c r="H621" s="464"/>
      <c r="I621" s="560"/>
      <c r="J621" s="468"/>
      <c r="K621" s="490"/>
      <c r="L621" s="469"/>
      <c r="M621" s="683"/>
      <c r="N621" s="470"/>
      <c r="O621" s="468"/>
      <c r="P621" s="471"/>
      <c r="Q621" s="472"/>
      <c r="R621" s="472"/>
      <c r="S621" s="780"/>
      <c r="T621" s="470"/>
      <c r="U621" s="612"/>
      <c r="V621" s="464"/>
      <c r="W621" s="612"/>
      <c r="X621" s="561"/>
      <c r="Y621" s="474"/>
      <c r="Z621" s="449"/>
      <c r="AA621" s="495"/>
      <c r="AB621" s="496"/>
      <c r="AC621" s="496"/>
      <c r="AD621" s="569"/>
      <c r="AE621" s="476"/>
      <c r="AF621" s="568"/>
      <c r="AG621" s="476"/>
      <c r="AH621" s="476"/>
      <c r="AI621" s="477"/>
      <c r="AJ621" s="478"/>
      <c r="AK621" s="479"/>
      <c r="AL621" s="480"/>
      <c r="AM621" s="474"/>
      <c r="AN621" s="481"/>
      <c r="AO621" s="474"/>
      <c r="AP621" s="476"/>
      <c r="AQ621" s="482"/>
      <c r="AR621" s="478"/>
      <c r="AS621" s="478"/>
      <c r="AT621" s="476"/>
      <c r="AU621" s="482"/>
      <c r="AV621" s="478"/>
      <c r="AW621" s="483"/>
      <c r="AX621" s="476"/>
      <c r="AY621" s="482"/>
      <c r="AZ621" s="478"/>
      <c r="BA621" s="484"/>
      <c r="BB621" s="474"/>
      <c r="BC621" s="485"/>
      <c r="BD621" s="485"/>
      <c r="BG621" s="487"/>
    </row>
    <row r="622" spans="1:59" s="486" customFormat="1" ht="18" customHeight="1" x14ac:dyDescent="0.2">
      <c r="B622" s="708"/>
      <c r="C622" s="488"/>
      <c r="D622" s="489"/>
      <c r="E622" s="465"/>
      <c r="F622" s="466"/>
      <c r="G622" s="620"/>
      <c r="H622" s="464"/>
      <c r="I622" s="467"/>
      <c r="J622" s="468"/>
      <c r="K622" s="490"/>
      <c r="L622" s="469"/>
      <c r="M622" s="683"/>
      <c r="N622" s="470"/>
      <c r="O622" s="468"/>
      <c r="P622" s="471"/>
      <c r="Q622" s="472"/>
      <c r="R622" s="472"/>
      <c r="S622" s="780"/>
      <c r="T622" s="470"/>
      <c r="U622" s="612"/>
      <c r="V622" s="464"/>
      <c r="W622" s="612"/>
      <c r="X622" s="473"/>
      <c r="Y622" s="478"/>
      <c r="Z622" s="449"/>
      <c r="AA622" s="699"/>
      <c r="AB622" s="700"/>
      <c r="AC622" s="700"/>
      <c r="AD622" s="701"/>
      <c r="AE622" s="491"/>
      <c r="AF622" s="568"/>
      <c r="AG622" s="491"/>
      <c r="AH622" s="491"/>
      <c r="AI622" s="477"/>
      <c r="AJ622" s="478"/>
      <c r="AK622" s="479"/>
      <c r="AL622" s="480"/>
      <c r="AM622" s="474"/>
      <c r="AN622" s="481"/>
      <c r="AO622" s="474"/>
      <c r="AP622" s="476"/>
      <c r="AQ622" s="482"/>
      <c r="AR622" s="478"/>
      <c r="AS622" s="478"/>
      <c r="AT622" s="476"/>
      <c r="AU622" s="482"/>
      <c r="AV622" s="478"/>
      <c r="AW622" s="483"/>
      <c r="AX622" s="476"/>
      <c r="AY622" s="482"/>
      <c r="AZ622" s="478"/>
      <c r="BA622" s="484"/>
      <c r="BB622" s="474"/>
      <c r="BC622" s="485"/>
      <c r="BD622" s="485"/>
      <c r="BG622" s="487"/>
    </row>
    <row r="623" spans="1:59" s="486" customFormat="1" ht="18" customHeight="1" x14ac:dyDescent="0.2">
      <c r="B623" s="687"/>
      <c r="C623" s="494"/>
      <c r="D623" s="464"/>
      <c r="E623" s="465"/>
      <c r="F623" s="466"/>
      <c r="G623" s="620"/>
      <c r="H623" s="464"/>
      <c r="I623" s="467"/>
      <c r="J623" s="468"/>
      <c r="K623" s="490"/>
      <c r="L623" s="469"/>
      <c r="M623" s="683"/>
      <c r="N623" s="470"/>
      <c r="O623" s="468"/>
      <c r="P623" s="471"/>
      <c r="Q623" s="472"/>
      <c r="R623" s="472"/>
      <c r="S623" s="780"/>
      <c r="T623" s="470"/>
      <c r="U623" s="612"/>
      <c r="V623" s="464"/>
      <c r="W623" s="612"/>
      <c r="X623" s="473"/>
      <c r="Y623" s="478"/>
      <c r="Z623" s="449"/>
      <c r="AA623" s="497"/>
      <c r="AB623" s="476"/>
      <c r="AC623" s="476"/>
      <c r="AD623" s="568"/>
      <c r="AE623" s="476"/>
      <c r="AF623" s="568"/>
      <c r="AG623" s="476"/>
      <c r="AH623" s="476"/>
      <c r="AI623" s="477"/>
      <c r="AJ623" s="478"/>
      <c r="AK623" s="479"/>
      <c r="AL623" s="480"/>
      <c r="AM623" s="474"/>
      <c r="AN623" s="481"/>
      <c r="AO623" s="474"/>
      <c r="AP623" s="476"/>
      <c r="AQ623" s="482"/>
      <c r="AR623" s="478"/>
      <c r="AS623" s="478"/>
      <c r="AT623" s="476"/>
      <c r="AU623" s="482"/>
      <c r="AV623" s="478"/>
      <c r="AW623" s="483"/>
      <c r="AX623" s="476"/>
      <c r="AY623" s="482"/>
      <c r="AZ623" s="478"/>
      <c r="BA623" s="484"/>
      <c r="BB623" s="474"/>
      <c r="BC623" s="485"/>
      <c r="BD623" s="485"/>
      <c r="BG623" s="487"/>
    </row>
    <row r="624" spans="1:59" s="526" customFormat="1" ht="18" customHeight="1" x14ac:dyDescent="0.2">
      <c r="B624" s="1956" t="s">
        <v>4184</v>
      </c>
      <c r="C624" s="1957"/>
      <c r="D624" s="1957"/>
      <c r="E624" s="1957"/>
      <c r="F624" s="1958"/>
      <c r="G624" s="621">
        <f>SUM(G614:G623)</f>
        <v>6779278500</v>
      </c>
      <c r="H624" s="505"/>
      <c r="I624" s="506"/>
      <c r="J624" s="507"/>
      <c r="K624" s="507"/>
      <c r="L624" s="505"/>
      <c r="M624" s="684"/>
      <c r="N624" s="508"/>
      <c r="O624" s="507"/>
      <c r="P624" s="509"/>
      <c r="Q624" s="510"/>
      <c r="R624" s="511"/>
      <c r="S624" s="512"/>
      <c r="T624" s="512"/>
      <c r="U624" s="610">
        <f>SUM(U614:U623)</f>
        <v>503388235.68000007</v>
      </c>
      <c r="V624" s="513"/>
      <c r="W624" s="610">
        <f>G624-U624</f>
        <v>6275890264.3199997</v>
      </c>
      <c r="X624" s="514"/>
      <c r="Y624" s="515"/>
      <c r="Z624" s="515"/>
      <c r="AA624" s="515"/>
      <c r="AB624" s="515"/>
      <c r="AC624" s="515"/>
      <c r="AD624" s="570"/>
      <c r="AE624" s="515"/>
      <c r="AF624" s="570"/>
      <c r="AG624" s="515"/>
      <c r="AH624" s="515"/>
      <c r="AI624" s="516"/>
      <c r="AJ624" s="517"/>
      <c r="AK624" s="518"/>
      <c r="AL624" s="519"/>
      <c r="AM624" s="520"/>
      <c r="AN624" s="521"/>
      <c r="AO624" s="520"/>
      <c r="AP624" s="515"/>
      <c r="AQ624" s="522"/>
      <c r="AR624" s="517"/>
      <c r="AS624" s="517"/>
      <c r="AT624" s="515"/>
      <c r="AU624" s="522"/>
      <c r="AV624" s="517"/>
      <c r="AW624" s="523"/>
      <c r="AX624" s="515"/>
      <c r="AY624" s="522"/>
      <c r="AZ624" s="517"/>
      <c r="BA624" s="524"/>
      <c r="BB624" s="520"/>
      <c r="BC624" s="525"/>
      <c r="BD624" s="525"/>
      <c r="BG624" s="527"/>
    </row>
    <row r="625" spans="1:59" s="526" customFormat="1" ht="18" customHeight="1" x14ac:dyDescent="0.2">
      <c r="B625" s="741"/>
      <c r="C625" s="779"/>
      <c r="D625" s="779"/>
      <c r="E625" s="779"/>
      <c r="F625" s="585"/>
      <c r="G625" s="622"/>
      <c r="H625" s="586"/>
      <c r="I625" s="587"/>
      <c r="J625" s="588"/>
      <c r="K625" s="588"/>
      <c r="L625" s="586"/>
      <c r="M625" s="521"/>
      <c r="N625" s="589"/>
      <c r="O625" s="588"/>
      <c r="P625" s="590"/>
      <c r="Q625" s="591"/>
      <c r="R625" s="592"/>
      <c r="S625" s="593"/>
      <c r="T625" s="593"/>
      <c r="U625" s="570"/>
      <c r="V625" s="594"/>
      <c r="W625" s="570"/>
      <c r="X625" s="515"/>
      <c r="Y625" s="515"/>
      <c r="Z625" s="515"/>
      <c r="AA625" s="515"/>
      <c r="AB625" s="515"/>
      <c r="AC625" s="515"/>
      <c r="AD625" s="570"/>
      <c r="AE625" s="515"/>
      <c r="AF625" s="570"/>
      <c r="AG625" s="515"/>
      <c r="AH625" s="515"/>
      <c r="AI625" s="516"/>
      <c r="AJ625" s="517"/>
      <c r="AK625" s="518"/>
      <c r="AL625" s="519"/>
      <c r="AM625" s="520"/>
      <c r="AN625" s="521"/>
      <c r="AO625" s="520"/>
      <c r="AP625" s="515"/>
      <c r="AQ625" s="522"/>
      <c r="AR625" s="517"/>
      <c r="AS625" s="517"/>
      <c r="AT625" s="515"/>
      <c r="AU625" s="522"/>
      <c r="AV625" s="517"/>
      <c r="AW625" s="523"/>
      <c r="AX625" s="515"/>
      <c r="AY625" s="522"/>
      <c r="AZ625" s="517"/>
      <c r="BA625" s="524"/>
      <c r="BB625" s="520"/>
      <c r="BC625" s="525"/>
      <c r="BD625" s="525"/>
      <c r="BG625" s="527"/>
    </row>
    <row r="626" spans="1:59" s="526" customFormat="1" ht="18" customHeight="1" x14ac:dyDescent="0.2">
      <c r="B626" s="575"/>
      <c r="C626" s="585"/>
      <c r="D626" s="585"/>
      <c r="E626" s="585"/>
      <c r="F626" s="585"/>
      <c r="G626" s="622"/>
      <c r="H626" s="586"/>
      <c r="I626" s="587"/>
      <c r="J626" s="588"/>
      <c r="K626" s="588"/>
      <c r="L626" s="586"/>
      <c r="M626" s="521"/>
      <c r="N626" s="589"/>
      <c r="O626" s="588"/>
      <c r="P626" s="590"/>
      <c r="Q626" s="591"/>
      <c r="R626" s="592"/>
      <c r="S626" s="593"/>
      <c r="T626" s="593"/>
      <c r="U626" s="570"/>
      <c r="V626" s="594"/>
      <c r="W626" s="570"/>
      <c r="X626" s="515"/>
      <c r="Y626" s="515"/>
      <c r="Z626" s="515"/>
      <c r="AA626" s="515"/>
      <c r="AB626" s="515"/>
      <c r="AC626" s="515"/>
      <c r="AD626" s="570"/>
      <c r="AE626" s="515"/>
      <c r="AF626" s="570"/>
      <c r="AG626" s="515"/>
      <c r="AH626" s="515"/>
      <c r="AI626" s="516"/>
      <c r="AJ626" s="517"/>
      <c r="AK626" s="518"/>
      <c r="AL626" s="519"/>
      <c r="AM626" s="520"/>
      <c r="AN626" s="521"/>
      <c r="AO626" s="520"/>
      <c r="AP626" s="515"/>
      <c r="AQ626" s="522"/>
      <c r="AR626" s="517"/>
      <c r="AS626" s="517"/>
      <c r="AT626" s="515"/>
      <c r="AU626" s="522"/>
      <c r="AV626" s="517"/>
      <c r="AW626" s="523"/>
      <c r="AX626" s="515"/>
      <c r="AY626" s="522"/>
      <c r="AZ626" s="517"/>
      <c r="BA626" s="524"/>
      <c r="BB626" s="520"/>
      <c r="BC626" s="525"/>
      <c r="BD626" s="525"/>
      <c r="BG626" s="527"/>
    </row>
    <row r="627" spans="1:59" s="526" customFormat="1" ht="18" customHeight="1" x14ac:dyDescent="0.2">
      <c r="B627" s="575"/>
      <c r="C627" s="585"/>
      <c r="D627" s="585"/>
      <c r="E627" s="585"/>
      <c r="F627" s="585"/>
      <c r="G627" s="622"/>
      <c r="H627" s="586"/>
      <c r="I627" s="587"/>
      <c r="J627" s="588"/>
      <c r="K627" s="588"/>
      <c r="L627" s="586"/>
      <c r="M627" s="521"/>
      <c r="N627" s="589"/>
      <c r="O627" s="588"/>
      <c r="P627" s="590"/>
      <c r="Q627" s="591"/>
      <c r="R627" s="592"/>
      <c r="S627" s="593"/>
      <c r="T627" s="593"/>
      <c r="U627" s="570"/>
      <c r="V627" s="594"/>
      <c r="W627" s="570"/>
      <c r="X627" s="515"/>
      <c r="Y627" s="515"/>
      <c r="Z627" s="515"/>
      <c r="AA627" s="515"/>
      <c r="AB627" s="515"/>
      <c r="AC627" s="515"/>
      <c r="AD627" s="570"/>
      <c r="AE627" s="515"/>
      <c r="AF627" s="570"/>
      <c r="AG627" s="515"/>
      <c r="AH627" s="515"/>
      <c r="AI627" s="516"/>
      <c r="AJ627" s="517"/>
      <c r="AK627" s="518"/>
      <c r="AL627" s="519"/>
      <c r="AM627" s="520"/>
      <c r="AN627" s="521"/>
      <c r="AO627" s="520"/>
      <c r="AP627" s="515"/>
      <c r="AQ627" s="522"/>
      <c r="AR627" s="517"/>
      <c r="AS627" s="517"/>
      <c r="AT627" s="515"/>
      <c r="AU627" s="522"/>
      <c r="AV627" s="517"/>
      <c r="AW627" s="523"/>
      <c r="AX627" s="515"/>
      <c r="AY627" s="522"/>
      <c r="AZ627" s="517"/>
      <c r="BA627" s="524"/>
      <c r="BB627" s="520"/>
      <c r="BC627" s="525"/>
      <c r="BD627" s="525"/>
      <c r="BG627" s="527"/>
    </row>
    <row r="628" spans="1:59" s="422" customFormat="1" ht="18" customHeight="1" x14ac:dyDescent="0.2">
      <c r="B628" s="688" t="s">
        <v>4758</v>
      </c>
      <c r="C628" s="556"/>
      <c r="D628" s="553" t="s">
        <v>4292</v>
      </c>
      <c r="E628" s="553"/>
      <c r="F628" s="421"/>
      <c r="G628" s="611"/>
      <c r="I628" s="423"/>
      <c r="J628" s="424"/>
      <c r="K628" s="424"/>
      <c r="M628" s="680"/>
      <c r="U628" s="611"/>
      <c r="W628" s="611"/>
      <c r="Y628" s="425"/>
      <c r="Z628" s="425"/>
      <c r="AA628" s="425"/>
      <c r="AB628" s="425"/>
      <c r="AC628" s="425"/>
      <c r="AD628" s="563"/>
      <c r="AE628" s="425"/>
      <c r="AF628" s="563"/>
      <c r="AG628" s="425"/>
      <c r="AH628" s="425"/>
      <c r="AI628" s="425"/>
      <c r="AJ628" s="425"/>
      <c r="AK628" s="425"/>
      <c r="AL628" s="425"/>
      <c r="AM628" s="425"/>
      <c r="AN628" s="425"/>
      <c r="AO628" s="425"/>
      <c r="AP628" s="425"/>
      <c r="AQ628" s="425"/>
      <c r="AR628" s="425"/>
      <c r="AS628" s="425"/>
      <c r="AT628" s="425"/>
      <c r="AU628" s="425"/>
      <c r="AV628" s="425"/>
      <c r="AW628" s="425"/>
      <c r="AX628" s="425"/>
      <c r="AY628" s="425"/>
      <c r="AZ628" s="425"/>
      <c r="BA628" s="425"/>
      <c r="BB628" s="425"/>
    </row>
    <row r="629" spans="1:59" s="431" customFormat="1" ht="18" customHeight="1" x14ac:dyDescent="0.2">
      <c r="B629" s="1968" t="s">
        <v>5</v>
      </c>
      <c r="C629" s="1968" t="s">
        <v>2280</v>
      </c>
      <c r="D629" s="1968" t="s">
        <v>4157</v>
      </c>
      <c r="E629" s="1968" t="s">
        <v>4158</v>
      </c>
      <c r="F629" s="1968"/>
      <c r="G629" s="1969" t="s">
        <v>4159</v>
      </c>
      <c r="H629" s="1355" t="s">
        <v>4160</v>
      </c>
      <c r="I629" s="1355"/>
      <c r="J629" s="1968" t="s">
        <v>4161</v>
      </c>
      <c r="K629" s="1964" t="s">
        <v>4162</v>
      </c>
      <c r="L629" s="1968" t="s">
        <v>4163</v>
      </c>
      <c r="M629" s="1971" t="s">
        <v>4164</v>
      </c>
      <c r="N629" s="1962" t="s">
        <v>4165</v>
      </c>
      <c r="O629" s="1968" t="s">
        <v>4166</v>
      </c>
      <c r="P629" s="1972" t="s">
        <v>4167</v>
      </c>
      <c r="Q629" s="1973"/>
      <c r="R629" s="776" t="s">
        <v>4168</v>
      </c>
      <c r="S629" s="1972" t="s">
        <v>4169</v>
      </c>
      <c r="T629" s="1974"/>
      <c r="U629" s="1973"/>
      <c r="V629" s="1975" t="s">
        <v>4170</v>
      </c>
      <c r="W629" s="1975"/>
      <c r="X629" s="1960" t="s">
        <v>4171</v>
      </c>
      <c r="Y629" s="1959"/>
      <c r="Z629" s="777"/>
      <c r="AA629" s="426"/>
      <c r="AB629" s="426"/>
      <c r="AC629" s="426"/>
      <c r="AD629" s="564"/>
      <c r="AE629" s="426"/>
      <c r="AF629" s="564"/>
      <c r="AG629" s="426"/>
      <c r="AH629" s="426"/>
      <c r="AI629" s="427"/>
      <c r="AJ629" s="427"/>
      <c r="AK629" s="427"/>
      <c r="AL629" s="427"/>
      <c r="AM629" s="428"/>
      <c r="AN629" s="427"/>
      <c r="AO629" s="427"/>
      <c r="AP629" s="426"/>
      <c r="AQ629" s="427"/>
      <c r="AR629" s="427"/>
      <c r="AS629" s="427"/>
      <c r="AT629" s="426"/>
      <c r="AU629" s="427"/>
      <c r="AV629" s="427"/>
      <c r="AW629" s="427"/>
      <c r="AX629" s="426"/>
      <c r="AY629" s="427"/>
      <c r="AZ629" s="427"/>
      <c r="BA629" s="427"/>
      <c r="BB629" s="429"/>
      <c r="BC629" s="430"/>
      <c r="BD629" s="430"/>
    </row>
    <row r="630" spans="1:59" s="431" customFormat="1" ht="18" customHeight="1" x14ac:dyDescent="0.2">
      <c r="B630" s="1968"/>
      <c r="C630" s="1968"/>
      <c r="D630" s="1968"/>
      <c r="E630" s="1968"/>
      <c r="F630" s="1968"/>
      <c r="G630" s="1969"/>
      <c r="H630" s="1355"/>
      <c r="I630" s="1355"/>
      <c r="J630" s="1968"/>
      <c r="K630" s="1970"/>
      <c r="L630" s="1968"/>
      <c r="M630" s="1971"/>
      <c r="N630" s="1963"/>
      <c r="O630" s="1968"/>
      <c r="P630" s="1960" t="s">
        <v>4172</v>
      </c>
      <c r="Q630" s="1960" t="s">
        <v>4173</v>
      </c>
      <c r="R630" s="1962" t="s">
        <v>4159</v>
      </c>
      <c r="S630" s="1962" t="s">
        <v>4174</v>
      </c>
      <c r="T630" s="1964" t="s">
        <v>4175</v>
      </c>
      <c r="U630" s="1966" t="s">
        <v>4159</v>
      </c>
      <c r="V630" s="1975"/>
      <c r="W630" s="1975"/>
      <c r="X630" s="1976"/>
      <c r="Y630" s="1959"/>
      <c r="Z630" s="777"/>
      <c r="AA630" s="426"/>
      <c r="AB630" s="426"/>
      <c r="AC630" s="426"/>
      <c r="AD630" s="564"/>
      <c r="AE630" s="426"/>
      <c r="AF630" s="564"/>
      <c r="AG630" s="426"/>
      <c r="AH630" s="426"/>
      <c r="AI630" s="427"/>
      <c r="AJ630" s="427"/>
      <c r="AK630" s="426"/>
      <c r="AL630" s="427"/>
      <c r="AM630" s="428"/>
      <c r="AN630" s="427"/>
      <c r="AO630" s="427"/>
      <c r="AP630" s="432"/>
      <c r="AQ630" s="427"/>
      <c r="AR630" s="427"/>
      <c r="AS630" s="427"/>
      <c r="AT630" s="432"/>
      <c r="AU630" s="427"/>
      <c r="AV630" s="427"/>
      <c r="AW630" s="427"/>
      <c r="AX630" s="432"/>
      <c r="AY630" s="427"/>
      <c r="AZ630" s="427"/>
      <c r="BA630" s="427"/>
      <c r="BB630" s="429"/>
      <c r="BC630" s="430"/>
      <c r="BD630" s="430"/>
    </row>
    <row r="631" spans="1:59" s="431" customFormat="1" ht="21.75" customHeight="1" x14ac:dyDescent="0.2">
      <c r="B631" s="1968"/>
      <c r="C631" s="1968"/>
      <c r="D631" s="1968"/>
      <c r="E631" s="433" t="s">
        <v>4176</v>
      </c>
      <c r="F631" s="434" t="s">
        <v>2288</v>
      </c>
      <c r="G631" s="1969"/>
      <c r="H631" s="1355" t="s">
        <v>2288</v>
      </c>
      <c r="I631" s="1355" t="s">
        <v>4177</v>
      </c>
      <c r="J631" s="1968"/>
      <c r="K631" s="1965"/>
      <c r="L631" s="435" t="s">
        <v>2288</v>
      </c>
      <c r="M631" s="681" t="s">
        <v>2288</v>
      </c>
      <c r="N631" s="775" t="s">
        <v>2288</v>
      </c>
      <c r="O631" s="1968"/>
      <c r="P631" s="1961"/>
      <c r="Q631" s="1961"/>
      <c r="R631" s="1963"/>
      <c r="S631" s="1963"/>
      <c r="T631" s="1965"/>
      <c r="U631" s="1967"/>
      <c r="V631" s="775" t="s">
        <v>4178</v>
      </c>
      <c r="W631" s="778" t="s">
        <v>4159</v>
      </c>
      <c r="X631" s="1961"/>
      <c r="Y631" s="436"/>
      <c r="Z631" s="436"/>
      <c r="AA631" s="426"/>
      <c r="AB631" s="426"/>
      <c r="AC631" s="426"/>
      <c r="AD631" s="564"/>
      <c r="AE631" s="426"/>
      <c r="AF631" s="564"/>
      <c r="AG631" s="426"/>
      <c r="AH631" s="426"/>
      <c r="AI631" s="427"/>
      <c r="AJ631" s="432"/>
      <c r="AK631" s="432"/>
      <c r="AL631" s="427"/>
      <c r="AM631" s="428"/>
      <c r="AN631" s="432"/>
      <c r="AO631" s="427"/>
      <c r="AP631" s="432"/>
      <c r="AQ631" s="432"/>
      <c r="AR631" s="427"/>
      <c r="AS631" s="427"/>
      <c r="AT631" s="432"/>
      <c r="AU631" s="432"/>
      <c r="AV631" s="427"/>
      <c r="AW631" s="427"/>
      <c r="AX631" s="432"/>
      <c r="AY631" s="432"/>
      <c r="AZ631" s="427"/>
      <c r="BA631" s="427"/>
      <c r="BB631" s="429"/>
      <c r="BC631" s="430"/>
      <c r="BD631" s="430"/>
    </row>
    <row r="632" spans="1:59" s="461" customFormat="1" ht="18" customHeight="1" x14ac:dyDescent="0.2">
      <c r="A632" s="461" t="str">
        <f>$D$628&amp;S632</f>
        <v>GEDUNG SERBAGUNA KECAMATAN HULU KUANTAN2012</v>
      </c>
      <c r="B632" s="689">
        <v>1</v>
      </c>
      <c r="C632" s="597" t="s">
        <v>2709</v>
      </c>
      <c r="D632" s="597" t="s">
        <v>1752</v>
      </c>
      <c r="E632" s="598"/>
      <c r="F632" s="599">
        <v>2012</v>
      </c>
      <c r="G632" s="626">
        <f>1966923816.22651+49368000</f>
        <v>2016291816.22651</v>
      </c>
      <c r="H632" s="600">
        <f>VLOOKUP(LEFT(D632,8),UE,4)</f>
        <v>50</v>
      </c>
      <c r="I632" s="601"/>
      <c r="J632" s="602">
        <f>(F632+N632)-1</f>
        <v>2061</v>
      </c>
      <c r="K632" s="603"/>
      <c r="L632" s="600"/>
      <c r="M632" s="685">
        <f>IF(H632+L632&gt;$H632,$H632-H632,L632)</f>
        <v>0</v>
      </c>
      <c r="N632" s="604">
        <f>H632+M632</f>
        <v>50</v>
      </c>
      <c r="O632" s="602">
        <f>(F632+N632)-1</f>
        <v>2061</v>
      </c>
      <c r="P632" s="605">
        <f>G632</f>
        <v>2016291816.22651</v>
      </c>
      <c r="Q632" s="606">
        <v>0</v>
      </c>
      <c r="R632" s="606">
        <f>P632/N632</f>
        <v>40325836.324530199</v>
      </c>
      <c r="S632" s="607">
        <f>F632</f>
        <v>2012</v>
      </c>
      <c r="T632" s="608">
        <v>1</v>
      </c>
      <c r="U632" s="615">
        <f>R632*T632</f>
        <v>40325836.324530199</v>
      </c>
      <c r="V632" s="602">
        <f>F632</f>
        <v>2012</v>
      </c>
      <c r="W632" s="618">
        <f>IF(OR(AND(ISBLANK(E632),ISBLANK(G632)),ISTEXT(E632),ISTEXT(G632)),"",G632-R632)</f>
        <v>1975965979.9019799</v>
      </c>
      <c r="X632" s="609"/>
      <c r="Y632" s="449"/>
      <c r="Z632" s="449"/>
      <c r="AA632" s="694"/>
      <c r="AB632" s="692"/>
      <c r="AC632" s="692"/>
      <c r="AD632" s="695"/>
      <c r="AE632" s="452"/>
      <c r="AF632" s="571"/>
      <c r="AG632" s="452"/>
      <c r="AH632" s="452"/>
      <c r="AI632" s="453"/>
      <c r="AJ632" s="449"/>
      <c r="AK632" s="453"/>
      <c r="AL632" s="454"/>
      <c r="AM632" s="455"/>
      <c r="AN632" s="456"/>
      <c r="AO632" s="455"/>
      <c r="AP632" s="452"/>
      <c r="AQ632" s="457"/>
      <c r="AR632" s="449"/>
      <c r="AS632" s="449"/>
      <c r="AT632" s="452"/>
      <c r="AU632" s="457"/>
      <c r="AV632" s="449"/>
      <c r="AW632" s="458"/>
      <c r="AX632" s="452"/>
      <c r="AY632" s="457"/>
      <c r="AZ632" s="449"/>
      <c r="BA632" s="459"/>
      <c r="BB632" s="455"/>
      <c r="BC632" s="460"/>
      <c r="BD632" s="460"/>
      <c r="BG632" s="462"/>
    </row>
    <row r="633" spans="1:59" s="461" customFormat="1" ht="18" customHeight="1" x14ac:dyDescent="0.2">
      <c r="A633" s="461" t="str">
        <f t="shared" ref="A633:A640" si="534">$D$628&amp;S633</f>
        <v>GEDUNG SERBAGUNA KECAMATAN HULU KUANTAN2012</v>
      </c>
      <c r="B633" s="708">
        <v>2</v>
      </c>
      <c r="C633" s="489" t="s">
        <v>2709</v>
      </c>
      <c r="D633" s="489" t="s">
        <v>1752</v>
      </c>
      <c r="E633" s="558"/>
      <c r="F633" s="559">
        <v>2012</v>
      </c>
      <c r="G633" s="619">
        <v>0</v>
      </c>
      <c r="H633" s="464">
        <f>IF(N632-(F633-F632)&lt;=0,0,(N632-(F633-F632)))</f>
        <v>50</v>
      </c>
      <c r="I633" s="560"/>
      <c r="J633" s="468">
        <f>(F633+N633)-1</f>
        <v>2061</v>
      </c>
      <c r="K633" s="490">
        <f>IF(G633=0,0,IF(H633=50,100%,G633/W632))</f>
        <v>0</v>
      </c>
      <c r="L633" s="469">
        <f>IF(K633=0%,0,IF(K633&lt;=25%,5,IF(K633&lt;=50%,10,IF(K633&lt;=75%,15,50))))</f>
        <v>0</v>
      </c>
      <c r="M633" s="683">
        <f>IF(OR(AND(ISBLANK(E633),ISBLANK(G633)),ISTEXT(E633),ISTEXT(G633)),"",IF(H633+L633&gt;$H$27,$H$27-H633,L633))</f>
        <v>0</v>
      </c>
      <c r="N633" s="470">
        <f>IF(OR(AND(ISBLANK(F633),ISBLANK(G633)),ISTEXT(F633),ISTEXT(G633)),"",H633+M633)</f>
        <v>50</v>
      </c>
      <c r="O633" s="468">
        <f>(F633+N633)-1</f>
        <v>2061</v>
      </c>
      <c r="P633" s="471">
        <f>W632</f>
        <v>1975965979.9019799</v>
      </c>
      <c r="Q633" s="472">
        <f>P633+G633</f>
        <v>1975965979.9019799</v>
      </c>
      <c r="R633" s="472">
        <f>IF(L633=0,R632,Q633/N633)</f>
        <v>40325836.324530199</v>
      </c>
      <c r="S633" s="780">
        <f>F633</f>
        <v>2012</v>
      </c>
      <c r="T633" s="470">
        <f>S633-S632</f>
        <v>0</v>
      </c>
      <c r="U633" s="612">
        <f>R633*T633</f>
        <v>0</v>
      </c>
      <c r="V633" s="464">
        <f>F633</f>
        <v>2012</v>
      </c>
      <c r="W633" s="612">
        <f>IF(OR(AND(ISBLANK(E633),ISBLANK(G633)),ISTEXT(E633),ISTEXT(G633)),"",Q633-U633)</f>
        <v>1975965979.9019799</v>
      </c>
      <c r="X633" s="561"/>
      <c r="Y633" s="449"/>
      <c r="Z633" s="449"/>
      <c r="AA633" s="554" t="s">
        <v>4179</v>
      </c>
      <c r="AB633" s="452"/>
      <c r="AC633" s="452"/>
      <c r="AD633" s="566"/>
      <c r="AE633" s="452"/>
      <c r="AF633" s="571"/>
      <c r="AG633" s="452"/>
      <c r="AH633" s="452"/>
      <c r="AI633" s="453"/>
      <c r="AJ633" s="449"/>
      <c r="AK633" s="453"/>
      <c r="AL633" s="454"/>
      <c r="AM633" s="455"/>
      <c r="AN633" s="456"/>
      <c r="AO633" s="455"/>
      <c r="AP633" s="452"/>
      <c r="AQ633" s="457"/>
      <c r="AR633" s="449"/>
      <c r="AS633" s="449"/>
      <c r="AT633" s="452"/>
      <c r="AU633" s="457"/>
      <c r="AV633" s="449"/>
      <c r="AW633" s="458"/>
      <c r="AX633" s="452"/>
      <c r="AY633" s="457"/>
      <c r="AZ633" s="449"/>
      <c r="BA633" s="459"/>
      <c r="BB633" s="455"/>
      <c r="BC633" s="460"/>
      <c r="BD633" s="460"/>
      <c r="BG633" s="462"/>
    </row>
    <row r="634" spans="1:59" s="461" customFormat="1" ht="18" customHeight="1" x14ac:dyDescent="0.2">
      <c r="A634" s="461" t="str">
        <f t="shared" si="534"/>
        <v>GEDUNG SERBAGUNA KECAMATAN HULU KUANTAN2013</v>
      </c>
      <c r="B634" s="708"/>
      <c r="C634" s="489"/>
      <c r="D634" s="489"/>
      <c r="E634" s="558"/>
      <c r="F634" s="559">
        <v>2013</v>
      </c>
      <c r="G634" s="619">
        <v>0</v>
      </c>
      <c r="H634" s="464">
        <f t="shared" ref="H634:H639" si="535">IF(N633-(F634-F633)&lt;=0,0,(N633-(F634-F633)))</f>
        <v>49</v>
      </c>
      <c r="I634" s="560"/>
      <c r="J634" s="468">
        <f t="shared" ref="J634:J639" si="536">(F634+N634)-1</f>
        <v>2061</v>
      </c>
      <c r="K634" s="490">
        <f t="shared" ref="K634:K639" si="537">IF(G634=0,0,IF(H634=50,100%,G634/W633))</f>
        <v>0</v>
      </c>
      <c r="L634" s="469">
        <f t="shared" ref="L634:L639" si="538">IF(K634=0%,0,IF(K634&lt;=25%,5,IF(K634&lt;=50%,10,IF(K634&lt;=75%,15,50))))</f>
        <v>0</v>
      </c>
      <c r="M634" s="683">
        <f t="shared" ref="M634:M639" si="539">IF(OR(AND(ISBLANK(E634),ISBLANK(G634)),ISTEXT(E634),ISTEXT(G634)),"",IF(H634+L634&gt;$H$27,$H$27-H634,L634))</f>
        <v>0</v>
      </c>
      <c r="N634" s="470">
        <f t="shared" ref="N634:N639" si="540">IF(OR(AND(ISBLANK(F634),ISBLANK(G634)),ISTEXT(F634),ISTEXT(G634)),"",H634+M634)</f>
        <v>49</v>
      </c>
      <c r="O634" s="468">
        <f t="shared" ref="O634:O639" si="541">(F634+N634)-1</f>
        <v>2061</v>
      </c>
      <c r="P634" s="471">
        <f t="shared" ref="P634:P639" si="542">W633</f>
        <v>1975965979.9019799</v>
      </c>
      <c r="Q634" s="472">
        <f t="shared" ref="Q634:Q639" si="543">P634+G634</f>
        <v>1975965979.9019799</v>
      </c>
      <c r="R634" s="472">
        <f t="shared" ref="R634:R639" si="544">IF(L634=0,R633,Q634/N634)</f>
        <v>40325836.324530199</v>
      </c>
      <c r="S634" s="780">
        <f t="shared" ref="S634:S639" si="545">F634</f>
        <v>2013</v>
      </c>
      <c r="T634" s="470">
        <f t="shared" ref="T634:T639" si="546">S634-S633</f>
        <v>1</v>
      </c>
      <c r="U634" s="612">
        <f t="shared" ref="U634:U639" si="547">R634*T634</f>
        <v>40325836.324530199</v>
      </c>
      <c r="V634" s="464">
        <f t="shared" ref="V634:V639" si="548">F634</f>
        <v>2013</v>
      </c>
      <c r="W634" s="612">
        <f t="shared" ref="W634:W639" si="549">IF(OR(AND(ISBLANK(E634),ISBLANK(G634)),ISTEXT(E634),ISTEXT(G634)),"",Q634-U634)</f>
        <v>1935640143.5774498</v>
      </c>
      <c r="X634" s="561"/>
      <c r="Y634" s="449"/>
      <c r="Z634" s="449"/>
      <c r="AA634" s="475" t="s">
        <v>4180</v>
      </c>
      <c r="AB634" s="476"/>
      <c r="AC634" s="476"/>
      <c r="AD634" s="567">
        <f>G642</f>
        <v>2016291816.22651</v>
      </c>
      <c r="AE634" s="452"/>
      <c r="AF634" s="571"/>
      <c r="AG634" s="452"/>
      <c r="AH634" s="452"/>
      <c r="AI634" s="453"/>
      <c r="AJ634" s="449"/>
      <c r="AK634" s="453"/>
      <c r="AL634" s="454"/>
      <c r="AM634" s="455"/>
      <c r="AN634" s="456"/>
      <c r="AO634" s="455"/>
      <c r="AP634" s="452"/>
      <c r="AQ634" s="457"/>
      <c r="AR634" s="449"/>
      <c r="AS634" s="449"/>
      <c r="AT634" s="452"/>
      <c r="AU634" s="457"/>
      <c r="AV634" s="449"/>
      <c r="AW634" s="458"/>
      <c r="AX634" s="452"/>
      <c r="AY634" s="457"/>
      <c r="AZ634" s="449"/>
      <c r="BA634" s="459"/>
      <c r="BB634" s="455"/>
      <c r="BC634" s="460"/>
      <c r="BD634" s="460"/>
      <c r="BG634" s="462"/>
    </row>
    <row r="635" spans="1:59" s="461" customFormat="1" ht="18" customHeight="1" x14ac:dyDescent="0.2">
      <c r="A635" s="461" t="str">
        <f t="shared" si="534"/>
        <v>GEDUNG SERBAGUNA KECAMATAN HULU KUANTAN2014</v>
      </c>
      <c r="B635" s="708"/>
      <c r="C635" s="489"/>
      <c r="D635" s="489"/>
      <c r="E635" s="558"/>
      <c r="F635" s="559">
        <v>2014</v>
      </c>
      <c r="G635" s="619">
        <v>0</v>
      </c>
      <c r="H635" s="464">
        <f t="shared" si="535"/>
        <v>48</v>
      </c>
      <c r="I635" s="560"/>
      <c r="J635" s="468">
        <f t="shared" si="536"/>
        <v>2061</v>
      </c>
      <c r="K635" s="490">
        <f t="shared" si="537"/>
        <v>0</v>
      </c>
      <c r="L635" s="469">
        <f t="shared" si="538"/>
        <v>0</v>
      </c>
      <c r="M635" s="683">
        <f t="shared" si="539"/>
        <v>0</v>
      </c>
      <c r="N635" s="470">
        <f t="shared" si="540"/>
        <v>48</v>
      </c>
      <c r="O635" s="468">
        <f t="shared" si="541"/>
        <v>2061</v>
      </c>
      <c r="P635" s="471">
        <f t="shared" si="542"/>
        <v>1935640143.5774498</v>
      </c>
      <c r="Q635" s="472">
        <f t="shared" si="543"/>
        <v>1935640143.5774498</v>
      </c>
      <c r="R635" s="472">
        <f t="shared" si="544"/>
        <v>40325836.324530199</v>
      </c>
      <c r="S635" s="780">
        <f t="shared" si="545"/>
        <v>2014</v>
      </c>
      <c r="T635" s="470">
        <f t="shared" si="546"/>
        <v>1</v>
      </c>
      <c r="U635" s="612">
        <f t="shared" si="547"/>
        <v>40325836.324530199</v>
      </c>
      <c r="V635" s="464">
        <f t="shared" si="548"/>
        <v>2014</v>
      </c>
      <c r="W635" s="612">
        <f t="shared" si="549"/>
        <v>1895314307.2529197</v>
      </c>
      <c r="X635" s="561"/>
      <c r="Y635" s="449"/>
      <c r="Z635" s="449"/>
      <c r="AA635" s="475" t="s">
        <v>4181</v>
      </c>
      <c r="AB635" s="491"/>
      <c r="AC635" s="491"/>
      <c r="AD635" s="567">
        <f>U642</f>
        <v>322606690.59624153</v>
      </c>
      <c r="AE635" s="452"/>
      <c r="AF635" s="571"/>
      <c r="AG635" s="452"/>
      <c r="AH635" s="452"/>
      <c r="AI635" s="453"/>
      <c r="AJ635" s="449"/>
      <c r="AK635" s="453"/>
      <c r="AL635" s="454"/>
      <c r="AM635" s="455"/>
      <c r="AN635" s="456"/>
      <c r="AO635" s="455"/>
      <c r="AP635" s="452"/>
      <c r="AQ635" s="457"/>
      <c r="AR635" s="449"/>
      <c r="AS635" s="449"/>
      <c r="AT635" s="452"/>
      <c r="AU635" s="457"/>
      <c r="AV635" s="449"/>
      <c r="AW635" s="458"/>
      <c r="AX635" s="452"/>
      <c r="AY635" s="457"/>
      <c r="AZ635" s="449"/>
      <c r="BA635" s="459"/>
      <c r="BB635" s="455"/>
      <c r="BC635" s="460"/>
      <c r="BD635" s="460"/>
      <c r="BG635" s="462"/>
    </row>
    <row r="636" spans="1:59" s="461" customFormat="1" ht="18" customHeight="1" x14ac:dyDescent="0.2">
      <c r="A636" s="461" t="str">
        <f t="shared" si="534"/>
        <v>GEDUNG SERBAGUNA KECAMATAN HULU KUANTAN2015</v>
      </c>
      <c r="B636" s="708"/>
      <c r="C636" s="489"/>
      <c r="D636" s="489"/>
      <c r="E636" s="558"/>
      <c r="F636" s="559">
        <v>2015</v>
      </c>
      <c r="G636" s="619">
        <v>0</v>
      </c>
      <c r="H636" s="464">
        <f t="shared" si="535"/>
        <v>47</v>
      </c>
      <c r="I636" s="560"/>
      <c r="J636" s="468">
        <f t="shared" si="536"/>
        <v>2061</v>
      </c>
      <c r="K636" s="490">
        <f t="shared" si="537"/>
        <v>0</v>
      </c>
      <c r="L636" s="469">
        <f t="shared" si="538"/>
        <v>0</v>
      </c>
      <c r="M636" s="683">
        <f t="shared" si="539"/>
        <v>0</v>
      </c>
      <c r="N636" s="470">
        <f t="shared" si="540"/>
        <v>47</v>
      </c>
      <c r="O636" s="468">
        <f t="shared" si="541"/>
        <v>2061</v>
      </c>
      <c r="P636" s="471">
        <f t="shared" si="542"/>
        <v>1895314307.2529197</v>
      </c>
      <c r="Q636" s="472">
        <f t="shared" si="543"/>
        <v>1895314307.2529197</v>
      </c>
      <c r="R636" s="472">
        <f t="shared" si="544"/>
        <v>40325836.324530199</v>
      </c>
      <c r="S636" s="780">
        <f t="shared" si="545"/>
        <v>2015</v>
      </c>
      <c r="T636" s="470">
        <f t="shared" si="546"/>
        <v>1</v>
      </c>
      <c r="U636" s="612">
        <f t="shared" si="547"/>
        <v>40325836.324530199</v>
      </c>
      <c r="V636" s="464">
        <f t="shared" si="548"/>
        <v>2015</v>
      </c>
      <c r="W636" s="612">
        <f t="shared" si="549"/>
        <v>1854988470.9283895</v>
      </c>
      <c r="X636" s="561"/>
      <c r="Y636" s="449"/>
      <c r="Z636" s="449"/>
      <c r="AA636" s="492" t="s">
        <v>4182</v>
      </c>
      <c r="AB636" s="476"/>
      <c r="AC636" s="476"/>
      <c r="AD636" s="568">
        <f>AD634-AD635</f>
        <v>1693685125.6302686</v>
      </c>
      <c r="AE636" s="452"/>
      <c r="AF636" s="571"/>
      <c r="AG636" s="452"/>
      <c r="AH636" s="452"/>
      <c r="AI636" s="453"/>
      <c r="AJ636" s="449"/>
      <c r="AK636" s="453"/>
      <c r="AL636" s="454"/>
      <c r="AM636" s="455"/>
      <c r="AN636" s="456"/>
      <c r="AO636" s="455"/>
      <c r="AP636" s="452"/>
      <c r="AQ636" s="457"/>
      <c r="AR636" s="449"/>
      <c r="AS636" s="449"/>
      <c r="AT636" s="452"/>
      <c r="AU636" s="457"/>
      <c r="AV636" s="449"/>
      <c r="AW636" s="458"/>
      <c r="AX636" s="452"/>
      <c r="AY636" s="457"/>
      <c r="AZ636" s="449"/>
      <c r="BA636" s="459"/>
      <c r="BB636" s="455"/>
      <c r="BC636" s="460"/>
      <c r="BD636" s="460"/>
      <c r="BG636" s="462"/>
    </row>
    <row r="637" spans="1:59" s="461" customFormat="1" ht="18" customHeight="1" x14ac:dyDescent="0.2">
      <c r="A637" s="461" t="str">
        <f t="shared" si="534"/>
        <v>GEDUNG SERBAGUNA KECAMATAN HULU KUANTAN2016</v>
      </c>
      <c r="B637" s="708"/>
      <c r="C637" s="489"/>
      <c r="D637" s="489"/>
      <c r="E637" s="558"/>
      <c r="F637" s="559">
        <v>2016</v>
      </c>
      <c r="G637" s="619">
        <v>0</v>
      </c>
      <c r="H637" s="464">
        <f t="shared" si="535"/>
        <v>46</v>
      </c>
      <c r="I637" s="560"/>
      <c r="J637" s="468">
        <f t="shared" si="536"/>
        <v>2061</v>
      </c>
      <c r="K637" s="490">
        <f t="shared" si="537"/>
        <v>0</v>
      </c>
      <c r="L637" s="469">
        <f t="shared" si="538"/>
        <v>0</v>
      </c>
      <c r="M637" s="683">
        <f t="shared" si="539"/>
        <v>0</v>
      </c>
      <c r="N637" s="470">
        <f t="shared" si="540"/>
        <v>46</v>
      </c>
      <c r="O637" s="468">
        <f t="shared" si="541"/>
        <v>2061</v>
      </c>
      <c r="P637" s="471">
        <f t="shared" si="542"/>
        <v>1854988470.9283895</v>
      </c>
      <c r="Q637" s="472">
        <f t="shared" si="543"/>
        <v>1854988470.9283895</v>
      </c>
      <c r="R637" s="472">
        <f t="shared" si="544"/>
        <v>40325836.324530199</v>
      </c>
      <c r="S637" s="780">
        <f t="shared" si="545"/>
        <v>2016</v>
      </c>
      <c r="T637" s="470">
        <f t="shared" si="546"/>
        <v>1</v>
      </c>
      <c r="U637" s="612">
        <f t="shared" si="547"/>
        <v>40325836.324530199</v>
      </c>
      <c r="V637" s="464">
        <f t="shared" si="548"/>
        <v>2016</v>
      </c>
      <c r="W637" s="612">
        <f t="shared" si="549"/>
        <v>1814662634.6038594</v>
      </c>
      <c r="X637" s="561"/>
      <c r="Y637" s="449"/>
      <c r="Z637" s="449"/>
      <c r="AA637" s="475" t="s">
        <v>4183</v>
      </c>
      <c r="AB637" s="476"/>
      <c r="AC637" s="476"/>
      <c r="AD637" s="567">
        <f>AD636-W642</f>
        <v>0</v>
      </c>
      <c r="AE637" s="452"/>
      <c r="AF637" s="571"/>
      <c r="AG637" s="452"/>
      <c r="AH637" s="452"/>
      <c r="AI637" s="453"/>
      <c r="AJ637" s="449"/>
      <c r="AK637" s="453"/>
      <c r="AL637" s="454"/>
      <c r="AM637" s="455"/>
      <c r="AN637" s="456"/>
      <c r="AO637" s="455"/>
      <c r="AP637" s="452"/>
      <c r="AQ637" s="457"/>
      <c r="AR637" s="449"/>
      <c r="AS637" s="449"/>
      <c r="AT637" s="452"/>
      <c r="AU637" s="457"/>
      <c r="AV637" s="449"/>
      <c r="AW637" s="458"/>
      <c r="AX637" s="452"/>
      <c r="AY637" s="457"/>
      <c r="AZ637" s="449"/>
      <c r="BA637" s="459"/>
      <c r="BB637" s="455"/>
      <c r="BC637" s="460"/>
      <c r="BD637" s="460"/>
      <c r="BG637" s="462"/>
    </row>
    <row r="638" spans="1:59" s="486" customFormat="1" ht="18" customHeight="1" x14ac:dyDescent="0.2">
      <c r="A638" s="461" t="str">
        <f t="shared" si="534"/>
        <v>GEDUNG SERBAGUNA KECAMATAN HULU KUANTAN2017</v>
      </c>
      <c r="B638" s="708"/>
      <c r="C638" s="463"/>
      <c r="D638" s="489"/>
      <c r="E638" s="465"/>
      <c r="F638" s="559">
        <v>2017</v>
      </c>
      <c r="G638" s="619">
        <v>0</v>
      </c>
      <c r="H638" s="464">
        <f t="shared" si="535"/>
        <v>45</v>
      </c>
      <c r="I638" s="560"/>
      <c r="J638" s="468">
        <f t="shared" si="536"/>
        <v>2061</v>
      </c>
      <c r="K638" s="490">
        <f t="shared" si="537"/>
        <v>0</v>
      </c>
      <c r="L638" s="469">
        <f t="shared" si="538"/>
        <v>0</v>
      </c>
      <c r="M638" s="683">
        <f t="shared" si="539"/>
        <v>0</v>
      </c>
      <c r="N638" s="470">
        <f t="shared" si="540"/>
        <v>45</v>
      </c>
      <c r="O638" s="468">
        <f t="shared" si="541"/>
        <v>2061</v>
      </c>
      <c r="P638" s="471">
        <f t="shared" si="542"/>
        <v>1814662634.6038594</v>
      </c>
      <c r="Q638" s="472">
        <f t="shared" si="543"/>
        <v>1814662634.6038594</v>
      </c>
      <c r="R638" s="472">
        <f t="shared" si="544"/>
        <v>40325836.324530199</v>
      </c>
      <c r="S638" s="780">
        <f t="shared" si="545"/>
        <v>2017</v>
      </c>
      <c r="T638" s="470">
        <f t="shared" si="546"/>
        <v>1</v>
      </c>
      <c r="U638" s="612">
        <f t="shared" si="547"/>
        <v>40325836.324530199</v>
      </c>
      <c r="V638" s="464">
        <f t="shared" si="548"/>
        <v>2017</v>
      </c>
      <c r="W638" s="612">
        <f t="shared" si="549"/>
        <v>1774336798.2793293</v>
      </c>
      <c r="X638" s="561"/>
      <c r="Y638" s="474"/>
      <c r="Z638" s="449"/>
      <c r="AA638" s="495"/>
      <c r="AB638" s="496"/>
      <c r="AC638" s="496"/>
      <c r="AD638" s="569"/>
      <c r="AE638" s="476"/>
      <c r="AF638" s="568"/>
      <c r="AG638" s="476"/>
      <c r="AH638" s="476"/>
      <c r="AI638" s="477"/>
      <c r="AJ638" s="478"/>
      <c r="AK638" s="479"/>
      <c r="AL638" s="480"/>
      <c r="AM638" s="474"/>
      <c r="AN638" s="481"/>
      <c r="AO638" s="474"/>
      <c r="AP638" s="476"/>
      <c r="AQ638" s="482"/>
      <c r="AR638" s="478"/>
      <c r="AS638" s="478"/>
      <c r="AT638" s="476"/>
      <c r="AU638" s="482"/>
      <c r="AV638" s="478"/>
      <c r="AW638" s="483"/>
      <c r="AX638" s="476"/>
      <c r="AY638" s="482"/>
      <c r="AZ638" s="478"/>
      <c r="BA638" s="484"/>
      <c r="BB638" s="474"/>
      <c r="BC638" s="485"/>
      <c r="BD638" s="485"/>
      <c r="BG638" s="487"/>
    </row>
    <row r="639" spans="1:59" s="486" customFormat="1" ht="18" customHeight="1" x14ac:dyDescent="0.2">
      <c r="A639" s="461" t="str">
        <f t="shared" si="534"/>
        <v>GEDUNG SERBAGUNA KECAMATAN HULU KUANTAN2018</v>
      </c>
      <c r="B639" s="708"/>
      <c r="C639" s="488"/>
      <c r="D639" s="489"/>
      <c r="E639" s="465"/>
      <c r="F639" s="559">
        <v>2018</v>
      </c>
      <c r="G639" s="619">
        <v>0</v>
      </c>
      <c r="H639" s="464">
        <f t="shared" si="535"/>
        <v>44</v>
      </c>
      <c r="I639" s="560"/>
      <c r="J639" s="468">
        <f t="shared" si="536"/>
        <v>2061</v>
      </c>
      <c r="K639" s="490">
        <f t="shared" si="537"/>
        <v>0</v>
      </c>
      <c r="L639" s="469">
        <f t="shared" si="538"/>
        <v>0</v>
      </c>
      <c r="M639" s="683">
        <f t="shared" si="539"/>
        <v>0</v>
      </c>
      <c r="N639" s="470">
        <f t="shared" si="540"/>
        <v>44</v>
      </c>
      <c r="O639" s="468">
        <f t="shared" si="541"/>
        <v>2061</v>
      </c>
      <c r="P639" s="471">
        <f t="shared" si="542"/>
        <v>1774336798.2793293</v>
      </c>
      <c r="Q639" s="472">
        <f t="shared" si="543"/>
        <v>1774336798.2793293</v>
      </c>
      <c r="R639" s="472">
        <f t="shared" si="544"/>
        <v>40325836.324530199</v>
      </c>
      <c r="S639" s="780">
        <f t="shared" si="545"/>
        <v>2018</v>
      </c>
      <c r="T639" s="470">
        <f t="shared" si="546"/>
        <v>1</v>
      </c>
      <c r="U639" s="612">
        <f t="shared" si="547"/>
        <v>40325836.324530199</v>
      </c>
      <c r="V639" s="464">
        <f t="shared" si="548"/>
        <v>2018</v>
      </c>
      <c r="W639" s="612">
        <f t="shared" si="549"/>
        <v>1734010961.9547992</v>
      </c>
      <c r="X639" s="473"/>
      <c r="Y639" s="478"/>
      <c r="Z639" s="449"/>
      <c r="AA639" s="699"/>
      <c r="AB639" s="700"/>
      <c r="AC639" s="700"/>
      <c r="AD639" s="701"/>
      <c r="AE639" s="491"/>
      <c r="AF639" s="568"/>
      <c r="AG639" s="491"/>
      <c r="AH639" s="491"/>
      <c r="AI639" s="477"/>
      <c r="AJ639" s="478"/>
      <c r="AK639" s="479"/>
      <c r="AL639" s="480"/>
      <c r="AM639" s="474"/>
      <c r="AN639" s="481"/>
      <c r="AO639" s="474"/>
      <c r="AP639" s="476"/>
      <c r="AQ639" s="482"/>
      <c r="AR639" s="478"/>
      <c r="AS639" s="478"/>
      <c r="AT639" s="476"/>
      <c r="AU639" s="482"/>
      <c r="AV639" s="478"/>
      <c r="AW639" s="483"/>
      <c r="AX639" s="476"/>
      <c r="AY639" s="482"/>
      <c r="AZ639" s="478"/>
      <c r="BA639" s="484"/>
      <c r="BB639" s="474"/>
      <c r="BC639" s="485"/>
      <c r="BD639" s="485"/>
      <c r="BG639" s="487"/>
    </row>
    <row r="640" spans="1:59" s="486" customFormat="1" ht="18" customHeight="1" x14ac:dyDescent="0.2">
      <c r="A640" s="461" t="str">
        <f t="shared" si="534"/>
        <v>GEDUNG SERBAGUNA KECAMATAN HULU KUANTAN2019</v>
      </c>
      <c r="B640" s="1357"/>
      <c r="C640" s="488"/>
      <c r="D640" s="489"/>
      <c r="E640" s="465"/>
      <c r="F640" s="559">
        <v>2019</v>
      </c>
      <c r="G640" s="619">
        <v>0</v>
      </c>
      <c r="H640" s="464">
        <f>IF(N639-(F640-F639)&lt;=0,0,(N639-(F640-F639)))</f>
        <v>43</v>
      </c>
      <c r="I640" s="560"/>
      <c r="J640" s="468">
        <f>(F640+N640)-1</f>
        <v>2061</v>
      </c>
      <c r="K640" s="490">
        <f>IF(G640=0,0,IF(H640=50,100%,G640/W639))</f>
        <v>0</v>
      </c>
      <c r="L640" s="469">
        <f>IF(K640=0%,0,IF(K640&lt;=25%,5,IF(K640&lt;=50%,10,IF(K640&lt;=75%,15,50))))</f>
        <v>0</v>
      </c>
      <c r="M640" s="683">
        <f>IF(OR(AND(ISBLANK(E640),ISBLANK(G640)),ISTEXT(E640),ISTEXT(G640)),"",IF(H640+L640&gt;$H$27,$H$27-H640,L640))</f>
        <v>0</v>
      </c>
      <c r="N640" s="470">
        <f>IF(OR(AND(ISBLANK(F640),ISBLANK(G640)),ISTEXT(F640),ISTEXT(G640)),"",H640+M640)</f>
        <v>43</v>
      </c>
      <c r="O640" s="468">
        <f>(F640+N640)-1</f>
        <v>2061</v>
      </c>
      <c r="P640" s="471">
        <f>W639</f>
        <v>1734010961.9547992</v>
      </c>
      <c r="Q640" s="472">
        <f>P640+G640</f>
        <v>1734010961.9547992</v>
      </c>
      <c r="R640" s="472">
        <f>IF(L640=0,R639,Q640/N640)</f>
        <v>40325836.324530199</v>
      </c>
      <c r="S640" s="1189">
        <f>F640</f>
        <v>2019</v>
      </c>
      <c r="T640" s="470">
        <f>S640-S639</f>
        <v>1</v>
      </c>
      <c r="U640" s="612">
        <f>R640*T640</f>
        <v>40325836.324530199</v>
      </c>
      <c r="V640" s="464">
        <f>F640</f>
        <v>2019</v>
      </c>
      <c r="W640" s="612">
        <f>IF(OR(AND(ISBLANK(E640),ISBLANK(G640)),ISTEXT(E640),ISTEXT(G640)),"",Q640-U640)</f>
        <v>1693685125.6302691</v>
      </c>
      <c r="X640" s="473"/>
      <c r="Y640" s="478"/>
      <c r="Z640" s="449"/>
      <c r="AA640" s="573"/>
      <c r="AB640" s="491"/>
      <c r="AC640" s="491"/>
      <c r="AD640" s="568"/>
      <c r="AE640" s="491"/>
      <c r="AF640" s="568"/>
      <c r="AG640" s="491"/>
      <c r="AH640" s="491"/>
      <c r="AI640" s="477"/>
      <c r="AJ640" s="478"/>
      <c r="AK640" s="479"/>
      <c r="AL640" s="480"/>
      <c r="AM640" s="474"/>
      <c r="AN640" s="481"/>
      <c r="AO640" s="474"/>
      <c r="AP640" s="476"/>
      <c r="AQ640" s="482"/>
      <c r="AR640" s="478"/>
      <c r="AS640" s="478"/>
      <c r="AT640" s="476"/>
      <c r="AU640" s="482"/>
      <c r="AV640" s="478"/>
      <c r="AW640" s="483"/>
      <c r="AX640" s="476"/>
      <c r="AY640" s="482"/>
      <c r="AZ640" s="478"/>
      <c r="BA640" s="484"/>
      <c r="BB640" s="474"/>
      <c r="BC640" s="485"/>
      <c r="BD640" s="485"/>
      <c r="BG640" s="487"/>
    </row>
    <row r="641" spans="1:59" s="486" customFormat="1" ht="18" customHeight="1" x14ac:dyDescent="0.2">
      <c r="A641" s="461"/>
      <c r="B641" s="687"/>
      <c r="C641" s="494"/>
      <c r="D641" s="464"/>
      <c r="E641" s="465"/>
      <c r="F641" s="466"/>
      <c r="G641" s="620"/>
      <c r="H641" s="464"/>
      <c r="I641" s="467"/>
      <c r="J641" s="468"/>
      <c r="K641" s="490"/>
      <c r="L641" s="469"/>
      <c r="M641" s="683"/>
      <c r="N641" s="470"/>
      <c r="O641" s="468"/>
      <c r="P641" s="471"/>
      <c r="Q641" s="472"/>
      <c r="R641" s="472"/>
      <c r="S641" s="780"/>
      <c r="T641" s="470"/>
      <c r="U641" s="612"/>
      <c r="V641" s="464"/>
      <c r="W641" s="612"/>
      <c r="X641" s="473"/>
      <c r="Y641" s="478"/>
      <c r="Z641" s="449"/>
      <c r="AA641" s="497"/>
      <c r="AB641" s="476"/>
      <c r="AC641" s="476"/>
      <c r="AD641" s="568"/>
      <c r="AE641" s="476"/>
      <c r="AF641" s="568"/>
      <c r="AG641" s="476"/>
      <c r="AH641" s="476"/>
      <c r="AI641" s="477"/>
      <c r="AJ641" s="478"/>
      <c r="AK641" s="479"/>
      <c r="AL641" s="480"/>
      <c r="AM641" s="474"/>
      <c r="AN641" s="481"/>
      <c r="AO641" s="474"/>
      <c r="AP641" s="476"/>
      <c r="AQ641" s="482"/>
      <c r="AR641" s="478"/>
      <c r="AS641" s="478"/>
      <c r="AT641" s="476"/>
      <c r="AU641" s="482"/>
      <c r="AV641" s="478"/>
      <c r="AW641" s="483"/>
      <c r="AX641" s="476"/>
      <c r="AY641" s="482"/>
      <c r="AZ641" s="478"/>
      <c r="BA641" s="484"/>
      <c r="BB641" s="474"/>
      <c r="BC641" s="485"/>
      <c r="BD641" s="485"/>
      <c r="BG641" s="487"/>
    </row>
    <row r="642" spans="1:59" s="526" customFormat="1" ht="18" customHeight="1" x14ac:dyDescent="0.2">
      <c r="B642" s="1956" t="s">
        <v>4184</v>
      </c>
      <c r="C642" s="1957"/>
      <c r="D642" s="1957"/>
      <c r="E642" s="1957"/>
      <c r="F642" s="1958"/>
      <c r="G642" s="621">
        <f>SUM(G632:G641)</f>
        <v>2016291816.22651</v>
      </c>
      <c r="H642" s="505"/>
      <c r="I642" s="506"/>
      <c r="J642" s="507"/>
      <c r="K642" s="507"/>
      <c r="L642" s="505"/>
      <c r="M642" s="684"/>
      <c r="N642" s="508"/>
      <c r="O642" s="507"/>
      <c r="P642" s="509"/>
      <c r="Q642" s="510"/>
      <c r="R642" s="511"/>
      <c r="S642" s="512"/>
      <c r="T642" s="512"/>
      <c r="U642" s="610">
        <f>SUM(U632:U641)</f>
        <v>322606690.59624153</v>
      </c>
      <c r="V642" s="513"/>
      <c r="W642" s="610">
        <f>G642-U642</f>
        <v>1693685125.6302686</v>
      </c>
      <c r="X642" s="514"/>
      <c r="Y642" s="515"/>
      <c r="Z642" s="515"/>
      <c r="AA642" s="515"/>
      <c r="AB642" s="515"/>
      <c r="AC642" s="515"/>
      <c r="AD642" s="570"/>
      <c r="AE642" s="515"/>
      <c r="AF642" s="570"/>
      <c r="AG642" s="515"/>
      <c r="AH642" s="515"/>
      <c r="AI642" s="516"/>
      <c r="AJ642" s="517"/>
      <c r="AK642" s="518"/>
      <c r="AL642" s="519"/>
      <c r="AM642" s="520"/>
      <c r="AN642" s="521"/>
      <c r="AO642" s="520"/>
      <c r="AP642" s="515"/>
      <c r="AQ642" s="522"/>
      <c r="AR642" s="517"/>
      <c r="AS642" s="517"/>
      <c r="AT642" s="515"/>
      <c r="AU642" s="522"/>
      <c r="AV642" s="517"/>
      <c r="AW642" s="523"/>
      <c r="AX642" s="515"/>
      <c r="AY642" s="522"/>
      <c r="AZ642" s="517"/>
      <c r="BA642" s="524"/>
      <c r="BB642" s="520"/>
      <c r="BC642" s="525"/>
      <c r="BD642" s="525"/>
      <c r="BG642" s="527"/>
    </row>
    <row r="643" spans="1:59" ht="15" customHeight="1" x14ac:dyDescent="0.2">
      <c r="U643" s="562">
        <f>SUBTOTAL(9,U20:U642)</f>
        <v>22667945858.572796</v>
      </c>
      <c r="W643" s="562">
        <f>SUBTOTAL(9,W20:W642)</f>
        <v>492687174784.16046</v>
      </c>
    </row>
    <row r="644" spans="1:59" ht="15" customHeight="1" x14ac:dyDescent="0.2"/>
    <row r="645" spans="1:59" ht="15" customHeight="1" x14ac:dyDescent="0.2"/>
    <row r="646" spans="1:59" ht="15" customHeight="1" x14ac:dyDescent="0.2"/>
    <row r="647" spans="1:59" x14ac:dyDescent="0.2">
      <c r="U647" s="562">
        <f>SUBTOTAL(9,U17:U640)</f>
        <v>22366214739.175911</v>
      </c>
    </row>
  </sheetData>
  <autoFilter ref="B3:X646" xr:uid="{00000000-0009-0000-0000-00000A000000}"/>
  <mergeCells count="805">
    <mergeCell ref="V377:W378"/>
    <mergeCell ref="X377:X379"/>
    <mergeCell ref="Y377:Y378"/>
    <mergeCell ref="P378:P379"/>
    <mergeCell ref="Q378:Q379"/>
    <mergeCell ref="R378:R379"/>
    <mergeCell ref="S378:S379"/>
    <mergeCell ref="T378:T379"/>
    <mergeCell ref="U378:U379"/>
    <mergeCell ref="C360:C362"/>
    <mergeCell ref="D360:D362"/>
    <mergeCell ref="E360:F361"/>
    <mergeCell ref="G360:G362"/>
    <mergeCell ref="J360:J362"/>
    <mergeCell ref="K360:K362"/>
    <mergeCell ref="B390:F390"/>
    <mergeCell ref="L377:L378"/>
    <mergeCell ref="M377:M378"/>
    <mergeCell ref="B373:F373"/>
    <mergeCell ref="B377:B379"/>
    <mergeCell ref="C377:C379"/>
    <mergeCell ref="D377:D379"/>
    <mergeCell ref="E377:F378"/>
    <mergeCell ref="G377:G379"/>
    <mergeCell ref="J377:J379"/>
    <mergeCell ref="K377:K379"/>
    <mergeCell ref="V360:W361"/>
    <mergeCell ref="X360:X362"/>
    <mergeCell ref="Y360:Y361"/>
    <mergeCell ref="P361:P362"/>
    <mergeCell ref="Q361:Q362"/>
    <mergeCell ref="R361:R362"/>
    <mergeCell ref="S361:S362"/>
    <mergeCell ref="T361:T362"/>
    <mergeCell ref="U361:U362"/>
    <mergeCell ref="V343:W344"/>
    <mergeCell ref="X343:X345"/>
    <mergeCell ref="Y343:Y344"/>
    <mergeCell ref="P344:P345"/>
    <mergeCell ref="Q344:Q345"/>
    <mergeCell ref="R344:R345"/>
    <mergeCell ref="S344:S345"/>
    <mergeCell ref="T344:T345"/>
    <mergeCell ref="U344:U345"/>
    <mergeCell ref="M575:M576"/>
    <mergeCell ref="L575:L576"/>
    <mergeCell ref="N575:N576"/>
    <mergeCell ref="O575:O577"/>
    <mergeCell ref="U576:U577"/>
    <mergeCell ref="S309:U309"/>
    <mergeCell ref="V309:W310"/>
    <mergeCell ref="X309:X311"/>
    <mergeCell ref="Y309:Y310"/>
    <mergeCell ref="P310:P311"/>
    <mergeCell ref="Q310:Q311"/>
    <mergeCell ref="R310:R311"/>
    <mergeCell ref="S310:S311"/>
    <mergeCell ref="T310:T311"/>
    <mergeCell ref="U310:U311"/>
    <mergeCell ref="L326:L327"/>
    <mergeCell ref="M326:M327"/>
    <mergeCell ref="N326:N327"/>
    <mergeCell ref="O326:O328"/>
    <mergeCell ref="P326:Q326"/>
    <mergeCell ref="S326:U326"/>
    <mergeCell ref="V326:W327"/>
    <mergeCell ref="X326:X328"/>
    <mergeCell ref="Y326:Y327"/>
    <mergeCell ref="P593:Q593"/>
    <mergeCell ref="S593:U593"/>
    <mergeCell ref="V593:W594"/>
    <mergeCell ref="X593:X595"/>
    <mergeCell ref="Y593:Y594"/>
    <mergeCell ref="P594:P595"/>
    <mergeCell ref="Q594:Q595"/>
    <mergeCell ref="R594:R595"/>
    <mergeCell ref="S594:S595"/>
    <mergeCell ref="T594:T595"/>
    <mergeCell ref="U594:U595"/>
    <mergeCell ref="B570:F570"/>
    <mergeCell ref="B593:B595"/>
    <mergeCell ref="C593:C595"/>
    <mergeCell ref="D593:D595"/>
    <mergeCell ref="E593:F594"/>
    <mergeCell ref="G593:G595"/>
    <mergeCell ref="J593:J595"/>
    <mergeCell ref="K593:K595"/>
    <mergeCell ref="L593:L594"/>
    <mergeCell ref="M557:M558"/>
    <mergeCell ref="N557:N558"/>
    <mergeCell ref="O557:O559"/>
    <mergeCell ref="P557:Q557"/>
    <mergeCell ref="S557:U557"/>
    <mergeCell ref="V557:W558"/>
    <mergeCell ref="X557:X559"/>
    <mergeCell ref="Y557:Y558"/>
    <mergeCell ref="P558:P559"/>
    <mergeCell ref="Q558:Q559"/>
    <mergeCell ref="R558:R559"/>
    <mergeCell ref="S558:S559"/>
    <mergeCell ref="T558:T559"/>
    <mergeCell ref="U558:U559"/>
    <mergeCell ref="B553:F553"/>
    <mergeCell ref="B557:B559"/>
    <mergeCell ref="C557:C559"/>
    <mergeCell ref="D557:D559"/>
    <mergeCell ref="E557:F558"/>
    <mergeCell ref="G557:G559"/>
    <mergeCell ref="J557:J559"/>
    <mergeCell ref="K557:K559"/>
    <mergeCell ref="L557:L558"/>
    <mergeCell ref="M540:M541"/>
    <mergeCell ref="N540:N541"/>
    <mergeCell ref="O540:O542"/>
    <mergeCell ref="P540:Q540"/>
    <mergeCell ref="S540:U540"/>
    <mergeCell ref="V540:W541"/>
    <mergeCell ref="X540:X542"/>
    <mergeCell ref="Y540:Y541"/>
    <mergeCell ref="P541:P542"/>
    <mergeCell ref="Q541:Q542"/>
    <mergeCell ref="R541:R542"/>
    <mergeCell ref="S541:S542"/>
    <mergeCell ref="T541:T542"/>
    <mergeCell ref="U541:U542"/>
    <mergeCell ref="B536:F536"/>
    <mergeCell ref="B540:B542"/>
    <mergeCell ref="C540:C542"/>
    <mergeCell ref="D540:D542"/>
    <mergeCell ref="E540:F541"/>
    <mergeCell ref="G540:G542"/>
    <mergeCell ref="J540:J542"/>
    <mergeCell ref="K540:K542"/>
    <mergeCell ref="L540:L541"/>
    <mergeCell ref="M523:M524"/>
    <mergeCell ref="N523:N524"/>
    <mergeCell ref="O523:O525"/>
    <mergeCell ref="P523:Q523"/>
    <mergeCell ref="S523:U523"/>
    <mergeCell ref="V523:W524"/>
    <mergeCell ref="X523:X525"/>
    <mergeCell ref="Y523:Y524"/>
    <mergeCell ref="P524:P525"/>
    <mergeCell ref="Q524:Q525"/>
    <mergeCell ref="R524:R525"/>
    <mergeCell ref="S524:S525"/>
    <mergeCell ref="T524:T525"/>
    <mergeCell ref="U524:U525"/>
    <mergeCell ref="B519:F519"/>
    <mergeCell ref="B523:B525"/>
    <mergeCell ref="C523:C525"/>
    <mergeCell ref="D523:D525"/>
    <mergeCell ref="E523:F524"/>
    <mergeCell ref="G523:G525"/>
    <mergeCell ref="J523:J525"/>
    <mergeCell ref="K523:K525"/>
    <mergeCell ref="L523:L524"/>
    <mergeCell ref="M506:M507"/>
    <mergeCell ref="N506:N507"/>
    <mergeCell ref="O506:O508"/>
    <mergeCell ref="P506:Q506"/>
    <mergeCell ref="S506:U506"/>
    <mergeCell ref="V506:W507"/>
    <mergeCell ref="X506:X508"/>
    <mergeCell ref="Y506:Y507"/>
    <mergeCell ref="P507:P508"/>
    <mergeCell ref="Q507:Q508"/>
    <mergeCell ref="R507:R508"/>
    <mergeCell ref="S507:S508"/>
    <mergeCell ref="T507:T508"/>
    <mergeCell ref="U507:U508"/>
    <mergeCell ref="B498:F498"/>
    <mergeCell ref="B506:B508"/>
    <mergeCell ref="C506:C508"/>
    <mergeCell ref="D506:D508"/>
    <mergeCell ref="E506:F507"/>
    <mergeCell ref="G506:G508"/>
    <mergeCell ref="J506:J508"/>
    <mergeCell ref="K506:K508"/>
    <mergeCell ref="L506:L507"/>
    <mergeCell ref="M484:M485"/>
    <mergeCell ref="N484:N485"/>
    <mergeCell ref="O484:O486"/>
    <mergeCell ref="P484:Q484"/>
    <mergeCell ref="S484:U484"/>
    <mergeCell ref="V484:W485"/>
    <mergeCell ref="X484:X486"/>
    <mergeCell ref="Y484:Y485"/>
    <mergeCell ref="P485:P486"/>
    <mergeCell ref="Q485:Q486"/>
    <mergeCell ref="R485:R486"/>
    <mergeCell ref="S485:S486"/>
    <mergeCell ref="T485:T486"/>
    <mergeCell ref="U485:U486"/>
    <mergeCell ref="B479:F479"/>
    <mergeCell ref="B484:B486"/>
    <mergeCell ref="C484:C486"/>
    <mergeCell ref="D484:D486"/>
    <mergeCell ref="E484:F485"/>
    <mergeCell ref="G484:G486"/>
    <mergeCell ref="J484:J486"/>
    <mergeCell ref="K484:K486"/>
    <mergeCell ref="L484:L485"/>
    <mergeCell ref="N466:N467"/>
    <mergeCell ref="O466:O468"/>
    <mergeCell ref="P466:Q466"/>
    <mergeCell ref="S466:U466"/>
    <mergeCell ref="V466:W467"/>
    <mergeCell ref="X466:X468"/>
    <mergeCell ref="Y466:Y467"/>
    <mergeCell ref="P467:P468"/>
    <mergeCell ref="Q467:Q468"/>
    <mergeCell ref="R467:R468"/>
    <mergeCell ref="S467:S468"/>
    <mergeCell ref="T467:T468"/>
    <mergeCell ref="U467:U468"/>
    <mergeCell ref="B466:B468"/>
    <mergeCell ref="C466:C468"/>
    <mergeCell ref="D466:D468"/>
    <mergeCell ref="E466:F467"/>
    <mergeCell ref="G466:G468"/>
    <mergeCell ref="J466:J468"/>
    <mergeCell ref="K466:K468"/>
    <mergeCell ref="L466:L467"/>
    <mergeCell ref="M466:M467"/>
    <mergeCell ref="G47:G49"/>
    <mergeCell ref="B42:F42"/>
    <mergeCell ref="K47:K49"/>
    <mergeCell ref="L47:L48"/>
    <mergeCell ref="U25:U26"/>
    <mergeCell ref="P24:Q24"/>
    <mergeCell ref="S24:U24"/>
    <mergeCell ref="B24:B26"/>
    <mergeCell ref="C24:C26"/>
    <mergeCell ref="D24:D26"/>
    <mergeCell ref="E24:F25"/>
    <mergeCell ref="G24:G26"/>
    <mergeCell ref="D47:D49"/>
    <mergeCell ref="E47:F48"/>
    <mergeCell ref="B47:B49"/>
    <mergeCell ref="J47:J49"/>
    <mergeCell ref="Y24:Y25"/>
    <mergeCell ref="P25:P26"/>
    <mergeCell ref="Q25:Q26"/>
    <mergeCell ref="R25:R26"/>
    <mergeCell ref="S25:S26"/>
    <mergeCell ref="T25:T26"/>
    <mergeCell ref="J24:J26"/>
    <mergeCell ref="K24:K26"/>
    <mergeCell ref="L24:L25"/>
    <mergeCell ref="M24:M25"/>
    <mergeCell ref="N24:N25"/>
    <mergeCell ref="O24:O26"/>
    <mergeCell ref="V24:W25"/>
    <mergeCell ref="X24:X26"/>
    <mergeCell ref="V47:W48"/>
    <mergeCell ref="X47:X49"/>
    <mergeCell ref="Y47:Y48"/>
    <mergeCell ref="P48:P49"/>
    <mergeCell ref="Q48:Q49"/>
    <mergeCell ref="R48:R49"/>
    <mergeCell ref="S48:S49"/>
    <mergeCell ref="T48:T49"/>
    <mergeCell ref="U48:U49"/>
    <mergeCell ref="P47:Q47"/>
    <mergeCell ref="S47:U47"/>
    <mergeCell ref="B82:F82"/>
    <mergeCell ref="B67:B69"/>
    <mergeCell ref="C67:C69"/>
    <mergeCell ref="D67:D69"/>
    <mergeCell ref="E67:F68"/>
    <mergeCell ref="G67:G69"/>
    <mergeCell ref="P67:Q67"/>
    <mergeCell ref="S67:U67"/>
    <mergeCell ref="P68:P69"/>
    <mergeCell ref="Q68:Q69"/>
    <mergeCell ref="R68:R69"/>
    <mergeCell ref="S68:S69"/>
    <mergeCell ref="T68:T69"/>
    <mergeCell ref="J67:J69"/>
    <mergeCell ref="K67:K69"/>
    <mergeCell ref="O67:O69"/>
    <mergeCell ref="B63:F63"/>
    <mergeCell ref="N47:N48"/>
    <mergeCell ref="O47:O49"/>
    <mergeCell ref="M47:M48"/>
    <mergeCell ref="L67:L68"/>
    <mergeCell ref="C47:C49"/>
    <mergeCell ref="G124:G126"/>
    <mergeCell ref="J124:J126"/>
    <mergeCell ref="O105:O107"/>
    <mergeCell ref="K86:K88"/>
    <mergeCell ref="O86:O88"/>
    <mergeCell ref="B86:B88"/>
    <mergeCell ref="C86:C88"/>
    <mergeCell ref="D86:D88"/>
    <mergeCell ref="E86:F87"/>
    <mergeCell ref="G86:G88"/>
    <mergeCell ref="J86:J88"/>
    <mergeCell ref="B101:F101"/>
    <mergeCell ref="B105:B107"/>
    <mergeCell ref="C105:C107"/>
    <mergeCell ref="D105:D107"/>
    <mergeCell ref="E105:F106"/>
    <mergeCell ref="G105:G107"/>
    <mergeCell ref="L86:L87"/>
    <mergeCell ref="M86:M87"/>
    <mergeCell ref="N86:N87"/>
    <mergeCell ref="M67:M68"/>
    <mergeCell ref="N67:N68"/>
    <mergeCell ref="U68:U69"/>
    <mergeCell ref="Y67:Y68"/>
    <mergeCell ref="S86:U86"/>
    <mergeCell ref="V86:W87"/>
    <mergeCell ref="X86:X88"/>
    <mergeCell ref="Y86:Y87"/>
    <mergeCell ref="P87:P88"/>
    <mergeCell ref="Q87:Q88"/>
    <mergeCell ref="R87:R88"/>
    <mergeCell ref="S87:S88"/>
    <mergeCell ref="T87:T88"/>
    <mergeCell ref="U87:U88"/>
    <mergeCell ref="P86:Q86"/>
    <mergeCell ref="V67:W68"/>
    <mergeCell ref="X67:X69"/>
    <mergeCell ref="V105:W106"/>
    <mergeCell ref="X105:X107"/>
    <mergeCell ref="Y105:Y106"/>
    <mergeCell ref="P106:P107"/>
    <mergeCell ref="Q106:Q107"/>
    <mergeCell ref="R106:R107"/>
    <mergeCell ref="S106:S107"/>
    <mergeCell ref="J105:J107"/>
    <mergeCell ref="K105:K107"/>
    <mergeCell ref="L105:L106"/>
    <mergeCell ref="M105:M106"/>
    <mergeCell ref="N105:N106"/>
    <mergeCell ref="T106:T107"/>
    <mergeCell ref="U106:U107"/>
    <mergeCell ref="P105:Q105"/>
    <mergeCell ref="S105:U105"/>
    <mergeCell ref="K124:K126"/>
    <mergeCell ref="L124:L125"/>
    <mergeCell ref="M124:M125"/>
    <mergeCell ref="N124:N125"/>
    <mergeCell ref="O124:O126"/>
    <mergeCell ref="P124:Q124"/>
    <mergeCell ref="O143:O145"/>
    <mergeCell ref="Y143:Y144"/>
    <mergeCell ref="P144:P145"/>
    <mergeCell ref="Q144:Q145"/>
    <mergeCell ref="R144:R145"/>
    <mergeCell ref="S144:S145"/>
    <mergeCell ref="S124:U124"/>
    <mergeCell ref="L143:L144"/>
    <mergeCell ref="M143:M144"/>
    <mergeCell ref="N143:N144"/>
    <mergeCell ref="V124:W125"/>
    <mergeCell ref="X124:X126"/>
    <mergeCell ref="T144:T145"/>
    <mergeCell ref="U144:U145"/>
    <mergeCell ref="P143:Q143"/>
    <mergeCell ref="S143:U143"/>
    <mergeCell ref="V143:W144"/>
    <mergeCell ref="X143:X145"/>
    <mergeCell ref="Y124:Y125"/>
    <mergeCell ref="P125:P126"/>
    <mergeCell ref="Q125:Q126"/>
    <mergeCell ref="R125:R126"/>
    <mergeCell ref="S125:S126"/>
    <mergeCell ref="T125:T126"/>
    <mergeCell ref="U125:U126"/>
    <mergeCell ref="J183:J185"/>
    <mergeCell ref="Y165:Y166"/>
    <mergeCell ref="P166:P167"/>
    <mergeCell ref="Q166:Q167"/>
    <mergeCell ref="R166:R167"/>
    <mergeCell ref="S166:S167"/>
    <mergeCell ref="T166:T167"/>
    <mergeCell ref="U166:U167"/>
    <mergeCell ref="K165:K167"/>
    <mergeCell ref="L165:L166"/>
    <mergeCell ref="M165:M166"/>
    <mergeCell ref="N165:N166"/>
    <mergeCell ref="O165:O167"/>
    <mergeCell ref="P165:Q165"/>
    <mergeCell ref="O183:O185"/>
    <mergeCell ref="S165:U165"/>
    <mergeCell ref="V165:W166"/>
    <mergeCell ref="X165:X167"/>
    <mergeCell ref="T184:T185"/>
    <mergeCell ref="U184:U185"/>
    <mergeCell ref="P183:Q183"/>
    <mergeCell ref="S183:U183"/>
    <mergeCell ref="V183:W184"/>
    <mergeCell ref="X183:X185"/>
    <mergeCell ref="Y202:Y203"/>
    <mergeCell ref="P203:P204"/>
    <mergeCell ref="Q203:Q204"/>
    <mergeCell ref="R203:R204"/>
    <mergeCell ref="S203:S204"/>
    <mergeCell ref="T203:T204"/>
    <mergeCell ref="U203:U204"/>
    <mergeCell ref="S202:U202"/>
    <mergeCell ref="V202:W203"/>
    <mergeCell ref="X202:X204"/>
    <mergeCell ref="P202:Q202"/>
    <mergeCell ref="Y183:Y184"/>
    <mergeCell ref="P184:P185"/>
    <mergeCell ref="Q184:Q185"/>
    <mergeCell ref="R184:R185"/>
    <mergeCell ref="S184:S185"/>
    <mergeCell ref="K183:K185"/>
    <mergeCell ref="L183:L184"/>
    <mergeCell ref="M183:M184"/>
    <mergeCell ref="N183:N184"/>
    <mergeCell ref="S240:U240"/>
    <mergeCell ref="V240:W241"/>
    <mergeCell ref="X240:X242"/>
    <mergeCell ref="Y240:Y241"/>
    <mergeCell ref="P241:P242"/>
    <mergeCell ref="Q241:Q242"/>
    <mergeCell ref="R241:R242"/>
    <mergeCell ref="S241:S242"/>
    <mergeCell ref="T241:T242"/>
    <mergeCell ref="U241:U242"/>
    <mergeCell ref="P240:Q240"/>
    <mergeCell ref="S222:U222"/>
    <mergeCell ref="V222:W223"/>
    <mergeCell ref="X222:X224"/>
    <mergeCell ref="Y222:Y223"/>
    <mergeCell ref="P223:P224"/>
    <mergeCell ref="Q223:Q224"/>
    <mergeCell ref="R223:R224"/>
    <mergeCell ref="S223:S224"/>
    <mergeCell ref="T223:T224"/>
    <mergeCell ref="U223:U224"/>
    <mergeCell ref="P222:Q222"/>
    <mergeCell ref="L240:L241"/>
    <mergeCell ref="M240:M241"/>
    <mergeCell ref="N240:N241"/>
    <mergeCell ref="O240:O242"/>
    <mergeCell ref="J222:J224"/>
    <mergeCell ref="E202:F203"/>
    <mergeCell ref="G202:G204"/>
    <mergeCell ref="J202:J204"/>
    <mergeCell ref="O222:O224"/>
    <mergeCell ref="M222:M223"/>
    <mergeCell ref="N222:N223"/>
    <mergeCell ref="K202:K204"/>
    <mergeCell ref="L202:L203"/>
    <mergeCell ref="M202:M203"/>
    <mergeCell ref="N202:N203"/>
    <mergeCell ref="O202:O204"/>
    <mergeCell ref="J240:J242"/>
    <mergeCell ref="K240:K242"/>
    <mergeCell ref="K222:K224"/>
    <mergeCell ref="L222:L223"/>
    <mergeCell ref="G222:G224"/>
    <mergeCell ref="B20:F20"/>
    <mergeCell ref="B179:F179"/>
    <mergeCell ref="B183:B185"/>
    <mergeCell ref="C183:C185"/>
    <mergeCell ref="D183:D185"/>
    <mergeCell ref="E183:F184"/>
    <mergeCell ref="G183:G185"/>
    <mergeCell ref="B161:F161"/>
    <mergeCell ref="B165:B167"/>
    <mergeCell ref="C165:C167"/>
    <mergeCell ref="D165:D167"/>
    <mergeCell ref="E165:F166"/>
    <mergeCell ref="G165:G167"/>
    <mergeCell ref="B139:F139"/>
    <mergeCell ref="B143:B145"/>
    <mergeCell ref="C143:C145"/>
    <mergeCell ref="D143:D145"/>
    <mergeCell ref="E143:F144"/>
    <mergeCell ref="G143:G145"/>
    <mergeCell ref="B120:F120"/>
    <mergeCell ref="B124:B126"/>
    <mergeCell ref="C124:C126"/>
    <mergeCell ref="D124:D126"/>
    <mergeCell ref="E124:F125"/>
    <mergeCell ref="J165:J167"/>
    <mergeCell ref="J143:J145"/>
    <mergeCell ref="K143:K145"/>
    <mergeCell ref="B198:F198"/>
    <mergeCell ref="B202:B204"/>
    <mergeCell ref="C202:C204"/>
    <mergeCell ref="D202:D204"/>
    <mergeCell ref="B254:F254"/>
    <mergeCell ref="B5:B7"/>
    <mergeCell ref="C5:C7"/>
    <mergeCell ref="D5:D7"/>
    <mergeCell ref="E5:F6"/>
    <mergeCell ref="G5:G7"/>
    <mergeCell ref="B236:F236"/>
    <mergeCell ref="B240:B242"/>
    <mergeCell ref="C240:C242"/>
    <mergeCell ref="D240:D242"/>
    <mergeCell ref="E240:F241"/>
    <mergeCell ref="G240:G242"/>
    <mergeCell ref="B218:F218"/>
    <mergeCell ref="B222:B224"/>
    <mergeCell ref="C222:C224"/>
    <mergeCell ref="D222:D224"/>
    <mergeCell ref="E222:F223"/>
    <mergeCell ref="V5:W6"/>
    <mergeCell ref="X5:X7"/>
    <mergeCell ref="Y5:Y6"/>
    <mergeCell ref="P6:P7"/>
    <mergeCell ref="Q6:Q7"/>
    <mergeCell ref="R6:R7"/>
    <mergeCell ref="S6:S7"/>
    <mergeCell ref="J5:J7"/>
    <mergeCell ref="K5:K7"/>
    <mergeCell ref="L5:L6"/>
    <mergeCell ref="M5:M6"/>
    <mergeCell ref="N5:N6"/>
    <mergeCell ref="T6:T7"/>
    <mergeCell ref="U6:U7"/>
    <mergeCell ref="P5:Q5"/>
    <mergeCell ref="S5:U5"/>
    <mergeCell ref="O5:O7"/>
    <mergeCell ref="Y258:Y259"/>
    <mergeCell ref="P259:P260"/>
    <mergeCell ref="Q259:Q260"/>
    <mergeCell ref="R259:R260"/>
    <mergeCell ref="S259:S260"/>
    <mergeCell ref="T259:T260"/>
    <mergeCell ref="U259:U260"/>
    <mergeCell ref="K258:K260"/>
    <mergeCell ref="L258:L259"/>
    <mergeCell ref="M258:M259"/>
    <mergeCell ref="N258:N259"/>
    <mergeCell ref="O258:O260"/>
    <mergeCell ref="P258:Q258"/>
    <mergeCell ref="V292:W293"/>
    <mergeCell ref="X292:X294"/>
    <mergeCell ref="B271:F271"/>
    <mergeCell ref="B275:B277"/>
    <mergeCell ref="C275:C277"/>
    <mergeCell ref="D275:D277"/>
    <mergeCell ref="E275:F276"/>
    <mergeCell ref="G275:G277"/>
    <mergeCell ref="S258:U258"/>
    <mergeCell ref="V258:W259"/>
    <mergeCell ref="X258:X260"/>
    <mergeCell ref="T276:T277"/>
    <mergeCell ref="U276:U277"/>
    <mergeCell ref="P275:Q275"/>
    <mergeCell ref="S275:U275"/>
    <mergeCell ref="V275:W276"/>
    <mergeCell ref="X275:X277"/>
    <mergeCell ref="B258:B260"/>
    <mergeCell ref="C258:C260"/>
    <mergeCell ref="D258:D260"/>
    <mergeCell ref="E258:F259"/>
    <mergeCell ref="G258:G260"/>
    <mergeCell ref="J258:J260"/>
    <mergeCell ref="B288:F288"/>
    <mergeCell ref="B292:B294"/>
    <mergeCell ref="C292:C294"/>
    <mergeCell ref="D292:D294"/>
    <mergeCell ref="E292:F293"/>
    <mergeCell ref="G292:G294"/>
    <mergeCell ref="J292:J294"/>
    <mergeCell ref="O275:O277"/>
    <mergeCell ref="Y275:Y276"/>
    <mergeCell ref="P276:P277"/>
    <mergeCell ref="Q276:Q277"/>
    <mergeCell ref="R276:R277"/>
    <mergeCell ref="S276:S277"/>
    <mergeCell ref="J275:J277"/>
    <mergeCell ref="K275:K277"/>
    <mergeCell ref="L275:L276"/>
    <mergeCell ref="M275:M276"/>
    <mergeCell ref="N275:N276"/>
    <mergeCell ref="Y292:Y293"/>
    <mergeCell ref="M292:M293"/>
    <mergeCell ref="N292:N293"/>
    <mergeCell ref="O292:O294"/>
    <mergeCell ref="P292:Q292"/>
    <mergeCell ref="S292:U292"/>
    <mergeCell ref="S293:S294"/>
    <mergeCell ref="T293:T294"/>
    <mergeCell ref="U293:U294"/>
    <mergeCell ref="K292:K294"/>
    <mergeCell ref="L292:L293"/>
    <mergeCell ref="S327:S328"/>
    <mergeCell ref="T327:T328"/>
    <mergeCell ref="U327:U328"/>
    <mergeCell ref="B322:F322"/>
    <mergeCell ref="B326:B328"/>
    <mergeCell ref="C326:C328"/>
    <mergeCell ref="D326:D328"/>
    <mergeCell ref="P327:P328"/>
    <mergeCell ref="Q327:Q328"/>
    <mergeCell ref="R327:R328"/>
    <mergeCell ref="K309:K311"/>
    <mergeCell ref="L309:L310"/>
    <mergeCell ref="M309:M310"/>
    <mergeCell ref="N309:N310"/>
    <mergeCell ref="O309:O311"/>
    <mergeCell ref="P309:Q309"/>
    <mergeCell ref="P293:P294"/>
    <mergeCell ref="Q293:Q294"/>
    <mergeCell ref="R293:R294"/>
    <mergeCell ref="K326:K328"/>
    <mergeCell ref="L343:L344"/>
    <mergeCell ref="M343:M344"/>
    <mergeCell ref="N343:N344"/>
    <mergeCell ref="O343:O345"/>
    <mergeCell ref="P343:Q343"/>
    <mergeCell ref="S343:U343"/>
    <mergeCell ref="T395:T396"/>
    <mergeCell ref="U395:U396"/>
    <mergeCell ref="K343:K345"/>
    <mergeCell ref="L360:L361"/>
    <mergeCell ref="M360:M361"/>
    <mergeCell ref="N360:N361"/>
    <mergeCell ref="O360:O362"/>
    <mergeCell ref="P360:Q360"/>
    <mergeCell ref="S360:U360"/>
    <mergeCell ref="N377:N378"/>
    <mergeCell ref="O377:O379"/>
    <mergeCell ref="P377:Q377"/>
    <mergeCell ref="S377:U377"/>
    <mergeCell ref="B305:F305"/>
    <mergeCell ref="B394:B396"/>
    <mergeCell ref="C394:C396"/>
    <mergeCell ref="D394:D396"/>
    <mergeCell ref="E394:F395"/>
    <mergeCell ref="G394:G396"/>
    <mergeCell ref="E326:F327"/>
    <mergeCell ref="G326:G328"/>
    <mergeCell ref="J326:J328"/>
    <mergeCell ref="B309:B311"/>
    <mergeCell ref="C309:C311"/>
    <mergeCell ref="D309:D311"/>
    <mergeCell ref="E309:F310"/>
    <mergeCell ref="G309:G311"/>
    <mergeCell ref="J309:J311"/>
    <mergeCell ref="B339:F339"/>
    <mergeCell ref="B343:B345"/>
    <mergeCell ref="C343:C345"/>
    <mergeCell ref="D343:D345"/>
    <mergeCell ref="E343:F344"/>
    <mergeCell ref="G343:G345"/>
    <mergeCell ref="J343:J345"/>
    <mergeCell ref="B356:F356"/>
    <mergeCell ref="B360:B362"/>
    <mergeCell ref="B408:F408"/>
    <mergeCell ref="O394:O396"/>
    <mergeCell ref="P394:Q394"/>
    <mergeCell ref="S394:U394"/>
    <mergeCell ref="V394:W395"/>
    <mergeCell ref="X394:X396"/>
    <mergeCell ref="Y394:Y395"/>
    <mergeCell ref="P395:P396"/>
    <mergeCell ref="Q395:Q396"/>
    <mergeCell ref="R395:R396"/>
    <mergeCell ref="S395:S396"/>
    <mergeCell ref="J394:J396"/>
    <mergeCell ref="K394:K396"/>
    <mergeCell ref="L394:L395"/>
    <mergeCell ref="M394:M395"/>
    <mergeCell ref="N394:N395"/>
    <mergeCell ref="K629:K631"/>
    <mergeCell ref="L629:L630"/>
    <mergeCell ref="M629:M630"/>
    <mergeCell ref="N629:N630"/>
    <mergeCell ref="O629:O631"/>
    <mergeCell ref="P629:Q629"/>
    <mergeCell ref="S629:U629"/>
    <mergeCell ref="V629:W630"/>
    <mergeCell ref="X629:X631"/>
    <mergeCell ref="B642:F642"/>
    <mergeCell ref="B575:B577"/>
    <mergeCell ref="C575:C577"/>
    <mergeCell ref="D575:D577"/>
    <mergeCell ref="E575:F576"/>
    <mergeCell ref="G575:G577"/>
    <mergeCell ref="J575:J577"/>
    <mergeCell ref="K575:K577"/>
    <mergeCell ref="B589:F589"/>
    <mergeCell ref="B611:B613"/>
    <mergeCell ref="C611:C613"/>
    <mergeCell ref="D611:D613"/>
    <mergeCell ref="E611:F612"/>
    <mergeCell ref="G611:G613"/>
    <mergeCell ref="J611:J613"/>
    <mergeCell ref="K611:K613"/>
    <mergeCell ref="B624:F624"/>
    <mergeCell ref="B629:B631"/>
    <mergeCell ref="C629:C631"/>
    <mergeCell ref="D629:D631"/>
    <mergeCell ref="E629:F630"/>
    <mergeCell ref="B606:F606"/>
    <mergeCell ref="G629:G631"/>
    <mergeCell ref="J629:J631"/>
    <mergeCell ref="Y575:Y576"/>
    <mergeCell ref="P576:P577"/>
    <mergeCell ref="Q576:Q577"/>
    <mergeCell ref="R576:R577"/>
    <mergeCell ref="S576:S577"/>
    <mergeCell ref="T576:T577"/>
    <mergeCell ref="L611:L612"/>
    <mergeCell ref="M611:M612"/>
    <mergeCell ref="N611:N612"/>
    <mergeCell ref="O611:O613"/>
    <mergeCell ref="P611:Q611"/>
    <mergeCell ref="S611:U611"/>
    <mergeCell ref="V611:W612"/>
    <mergeCell ref="X611:X613"/>
    <mergeCell ref="Y611:Y612"/>
    <mergeCell ref="P612:P613"/>
    <mergeCell ref="Q612:Q613"/>
    <mergeCell ref="R612:R613"/>
    <mergeCell ref="S612:S613"/>
    <mergeCell ref="T612:T613"/>
    <mergeCell ref="U612:U613"/>
    <mergeCell ref="M593:M594"/>
    <mergeCell ref="N593:N594"/>
    <mergeCell ref="O593:O595"/>
    <mergeCell ref="N412:N413"/>
    <mergeCell ref="O412:O414"/>
    <mergeCell ref="P412:Q412"/>
    <mergeCell ref="S412:U412"/>
    <mergeCell ref="V412:W413"/>
    <mergeCell ref="X412:X414"/>
    <mergeCell ref="Y629:Y630"/>
    <mergeCell ref="P630:P631"/>
    <mergeCell ref="Q630:Q631"/>
    <mergeCell ref="R630:R631"/>
    <mergeCell ref="S630:S631"/>
    <mergeCell ref="T630:T631"/>
    <mergeCell ref="U630:U631"/>
    <mergeCell ref="Y412:Y413"/>
    <mergeCell ref="P413:P414"/>
    <mergeCell ref="Q413:Q414"/>
    <mergeCell ref="R413:R414"/>
    <mergeCell ref="S413:S414"/>
    <mergeCell ref="T413:T414"/>
    <mergeCell ref="U413:U414"/>
    <mergeCell ref="P575:Q575"/>
    <mergeCell ref="S575:U575"/>
    <mergeCell ref="V575:W576"/>
    <mergeCell ref="X575:X577"/>
    <mergeCell ref="B412:B414"/>
    <mergeCell ref="C412:C414"/>
    <mergeCell ref="D412:D414"/>
    <mergeCell ref="E412:F413"/>
    <mergeCell ref="G412:G414"/>
    <mergeCell ref="J412:J414"/>
    <mergeCell ref="K412:K414"/>
    <mergeCell ref="L412:L413"/>
    <mergeCell ref="M412:M413"/>
    <mergeCell ref="Y448:Y449"/>
    <mergeCell ref="P449:P450"/>
    <mergeCell ref="Q449:Q450"/>
    <mergeCell ref="R449:R450"/>
    <mergeCell ref="S449:S450"/>
    <mergeCell ref="T449:T450"/>
    <mergeCell ref="U449:U450"/>
    <mergeCell ref="B426:F426"/>
    <mergeCell ref="B430:B432"/>
    <mergeCell ref="C430:C432"/>
    <mergeCell ref="D430:D432"/>
    <mergeCell ref="E430:F431"/>
    <mergeCell ref="G430:G432"/>
    <mergeCell ref="J430:J432"/>
    <mergeCell ref="K430:K432"/>
    <mergeCell ref="L430:L431"/>
    <mergeCell ref="M430:M431"/>
    <mergeCell ref="N430:N431"/>
    <mergeCell ref="O430:O432"/>
    <mergeCell ref="P430:Q430"/>
    <mergeCell ref="S430:U430"/>
    <mergeCell ref="V430:W431"/>
    <mergeCell ref="X430:X432"/>
    <mergeCell ref="B462:F462"/>
    <mergeCell ref="Y430:Y431"/>
    <mergeCell ref="P431:P432"/>
    <mergeCell ref="Q431:Q432"/>
    <mergeCell ref="R431:R432"/>
    <mergeCell ref="S431:S432"/>
    <mergeCell ref="T431:T432"/>
    <mergeCell ref="U431:U432"/>
    <mergeCell ref="B444:F444"/>
    <mergeCell ref="B448:B450"/>
    <mergeCell ref="C448:C450"/>
    <mergeCell ref="D448:D450"/>
    <mergeCell ref="E448:F449"/>
    <mergeCell ref="G448:G450"/>
    <mergeCell ref="J448:J450"/>
    <mergeCell ref="K448:K450"/>
    <mergeCell ref="L448:L449"/>
    <mergeCell ref="M448:M449"/>
    <mergeCell ref="N448:N449"/>
    <mergeCell ref="O448:O450"/>
    <mergeCell ref="P448:Q448"/>
    <mergeCell ref="S448:U448"/>
    <mergeCell ref="V448:W449"/>
    <mergeCell ref="X448:X450"/>
  </mergeCells>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2:AM1063"/>
  <sheetViews>
    <sheetView topLeftCell="A4" zoomScale="70" zoomScaleNormal="70" workbookViewId="0">
      <pane xSplit="8" ySplit="6" topLeftCell="AE116" activePane="bottomRight" state="frozen"/>
      <selection activeCell="A4" sqref="A4"/>
      <selection pane="topRight" activeCell="I4" sqref="I4"/>
      <selection pane="bottomLeft" activeCell="A10" sqref="A10"/>
      <selection pane="bottomRight" activeCell="H662" sqref="H662"/>
    </sheetView>
  </sheetViews>
  <sheetFormatPr baseColWidth="10" defaultColWidth="9.1640625" defaultRowHeight="15" x14ac:dyDescent="0.2"/>
  <cols>
    <col min="1" max="6" width="9.1640625" style="1"/>
    <col min="7" max="7" width="7.6640625" style="1" customWidth="1"/>
    <col min="8" max="8" width="50.5" style="1" customWidth="1"/>
    <col min="9" max="9" width="18.83203125" style="327" bestFit="1" customWidth="1"/>
    <col min="10" max="10" width="9.1640625" style="1" customWidth="1"/>
    <col min="11" max="11" width="23.5" style="328" customWidth="1"/>
    <col min="12" max="12" width="9.1640625" style="366" customWidth="1"/>
    <col min="13" max="13" width="10.1640625" style="315" customWidth="1"/>
    <col min="14" max="14" width="16.33203125" style="377" customWidth="1"/>
    <col min="15" max="15" width="32" style="306" customWidth="1"/>
    <col min="16" max="16" width="14" style="327" customWidth="1"/>
    <col min="17" max="17" width="19.6640625" style="1" customWidth="1"/>
    <col min="18" max="18" width="11.1640625" style="1" customWidth="1"/>
    <col min="19" max="19" width="17.33203125" style="1" customWidth="1"/>
    <col min="20" max="20" width="12.1640625" style="1" customWidth="1"/>
    <col min="21" max="21" width="32" style="258" bestFit="1" customWidth="1"/>
    <col min="22" max="22" width="11.5" style="327" customWidth="1"/>
    <col min="23" max="23" width="18.5" style="1" customWidth="1"/>
    <col min="24" max="26" width="22.1640625" style="1" customWidth="1"/>
    <col min="27" max="27" width="22.1640625" style="258" customWidth="1"/>
    <col min="28" max="28" width="22.1640625" style="1" customWidth="1"/>
    <col min="29" max="35" width="22.1640625" style="258" customWidth="1"/>
    <col min="36" max="36" width="22.1640625" style="258" hidden="1" customWidth="1"/>
    <col min="37" max="37" width="22.1640625" style="258" customWidth="1"/>
    <col min="38" max="38" width="34.83203125" style="1" customWidth="1"/>
    <col min="39" max="39" width="15.33203125" style="1" customWidth="1"/>
    <col min="40" max="16384" width="9.1640625" style="1"/>
  </cols>
  <sheetData>
    <row r="2" spans="1:38" ht="26" x14ac:dyDescent="0.3">
      <c r="G2" s="1828" t="s">
        <v>0</v>
      </c>
      <c r="H2" s="1828"/>
      <c r="I2" s="1828"/>
      <c r="J2" s="1979"/>
      <c r="K2" s="1828"/>
      <c r="L2" s="1828"/>
      <c r="M2" s="1828"/>
      <c r="N2" s="1828"/>
      <c r="O2" s="1828"/>
      <c r="P2" s="1828"/>
      <c r="Q2" s="1828"/>
      <c r="R2" s="1828"/>
      <c r="S2" s="1828"/>
      <c r="T2" s="1828"/>
      <c r="U2" s="1828"/>
      <c r="V2" s="1828"/>
      <c r="W2" s="1828"/>
    </row>
    <row r="3" spans="1:38" ht="26" x14ac:dyDescent="0.3">
      <c r="G3" s="1828" t="s">
        <v>474</v>
      </c>
      <c r="H3" s="1828"/>
      <c r="I3" s="1828"/>
      <c r="J3" s="1979"/>
      <c r="K3" s="1828"/>
      <c r="L3" s="1828"/>
      <c r="M3" s="1828"/>
      <c r="N3" s="1828"/>
      <c r="O3" s="1828"/>
      <c r="P3" s="1828"/>
      <c r="Q3" s="1828"/>
      <c r="R3" s="1828"/>
      <c r="S3" s="1828"/>
      <c r="T3" s="1828"/>
      <c r="U3" s="1828"/>
      <c r="V3" s="1828"/>
      <c r="W3" s="1828"/>
      <c r="AF3" s="258">
        <f>AC12:AF12</f>
        <v>71719941747.19722</v>
      </c>
    </row>
    <row r="4" spans="1:38" ht="12" customHeight="1" x14ac:dyDescent="0.3">
      <c r="G4" s="326"/>
      <c r="H4" s="326"/>
      <c r="I4" s="326"/>
      <c r="J4" s="326"/>
      <c r="K4" s="149"/>
      <c r="L4" s="357"/>
      <c r="M4" s="149"/>
      <c r="N4" s="370"/>
      <c r="O4" s="24"/>
      <c r="P4" s="326"/>
      <c r="Q4" s="326"/>
      <c r="R4" s="326"/>
      <c r="S4" s="326"/>
      <c r="T4" s="326"/>
      <c r="U4" s="249"/>
      <c r="V4" s="326"/>
      <c r="W4" s="326"/>
      <c r="AL4" s="307" t="e">
        <f>SUM(AC12:AF12)</f>
        <v>#N/A</v>
      </c>
    </row>
    <row r="5" spans="1:38" ht="27" thickBot="1" x14ac:dyDescent="0.35">
      <c r="G5" s="1980" t="s">
        <v>32</v>
      </c>
      <c r="H5" s="1980"/>
      <c r="I5" s="13" t="s">
        <v>475</v>
      </c>
      <c r="J5" s="122"/>
      <c r="K5" s="150"/>
      <c r="L5" s="358"/>
      <c r="M5" s="151"/>
      <c r="N5" s="371"/>
      <c r="O5" s="124"/>
      <c r="P5" s="123"/>
      <c r="Q5" s="122"/>
      <c r="R5" s="122"/>
      <c r="S5" s="122"/>
      <c r="T5" s="122"/>
      <c r="U5" s="316">
        <v>86023466537.022736</v>
      </c>
      <c r="V5" s="317"/>
      <c r="W5" s="318">
        <f>U689-U5</f>
        <v>-7.965087890625E-3</v>
      </c>
    </row>
    <row r="6" spans="1:38" s="12" customFormat="1" ht="28.5" customHeight="1" thickTop="1" x14ac:dyDescent="0.2">
      <c r="A6" s="1904" t="s">
        <v>3573</v>
      </c>
      <c r="B6" s="1904" t="s">
        <v>3572</v>
      </c>
      <c r="C6" s="1904" t="s">
        <v>3574</v>
      </c>
      <c r="D6" s="389"/>
      <c r="E6" s="389"/>
      <c r="G6" s="1895" t="s">
        <v>869</v>
      </c>
      <c r="H6" s="1889" t="s">
        <v>870</v>
      </c>
      <c r="I6" s="1997" t="s">
        <v>883</v>
      </c>
      <c r="J6" s="1998"/>
      <c r="K6" s="1999" t="s">
        <v>3831</v>
      </c>
      <c r="L6" s="1889" t="s">
        <v>1110</v>
      </c>
      <c r="M6" s="1889" t="s">
        <v>1111</v>
      </c>
      <c r="N6" s="1889" t="s">
        <v>872</v>
      </c>
      <c r="O6" s="1889" t="s">
        <v>1112</v>
      </c>
      <c r="P6" s="1889" t="s">
        <v>3832</v>
      </c>
      <c r="Q6" s="1889"/>
      <c r="R6" s="1889" t="s">
        <v>875</v>
      </c>
      <c r="S6" s="1889" t="s">
        <v>1104</v>
      </c>
      <c r="T6" s="1889" t="s">
        <v>909</v>
      </c>
      <c r="U6" s="1901" t="s">
        <v>1105</v>
      </c>
      <c r="V6" s="1889" t="s">
        <v>1113</v>
      </c>
      <c r="W6" s="1892" t="s">
        <v>911</v>
      </c>
      <c r="X6" s="1986" t="s">
        <v>2279</v>
      </c>
      <c r="Y6" s="1989" t="s">
        <v>2280</v>
      </c>
      <c r="Z6" s="1989" t="s">
        <v>2281</v>
      </c>
      <c r="AA6" s="1992" t="s">
        <v>2282</v>
      </c>
      <c r="AB6" s="1986" t="s">
        <v>2283</v>
      </c>
      <c r="AC6" s="1983" t="s">
        <v>2284</v>
      </c>
      <c r="AD6" s="1983" t="s">
        <v>2285</v>
      </c>
      <c r="AE6" s="1983" t="s">
        <v>2286</v>
      </c>
      <c r="AF6" s="1983" t="s">
        <v>2287</v>
      </c>
      <c r="AG6" s="1983" t="s">
        <v>2294</v>
      </c>
      <c r="AH6" s="1983" t="s">
        <v>2487</v>
      </c>
      <c r="AI6" s="1983" t="s">
        <v>2489</v>
      </c>
      <c r="AJ6" s="1983" t="s">
        <v>2288</v>
      </c>
      <c r="AK6" s="1983" t="s">
        <v>2289</v>
      </c>
      <c r="AL6" s="308" t="e">
        <f>AL12-AL4</f>
        <v>#N/A</v>
      </c>
    </row>
    <row r="7" spans="1:38" s="12" customFormat="1" ht="14.25" customHeight="1" x14ac:dyDescent="0.2">
      <c r="A7" s="1904"/>
      <c r="B7" s="1904"/>
      <c r="C7" s="1904"/>
      <c r="D7" s="389"/>
      <c r="E7" s="389"/>
      <c r="G7" s="1896"/>
      <c r="H7" s="1890"/>
      <c r="I7" s="1981" t="s">
        <v>877</v>
      </c>
      <c r="J7" s="1981" t="s">
        <v>3833</v>
      </c>
      <c r="K7" s="1981"/>
      <c r="L7" s="1890"/>
      <c r="M7" s="1890"/>
      <c r="N7" s="1890"/>
      <c r="O7" s="1890"/>
      <c r="P7" s="1995" t="s">
        <v>882</v>
      </c>
      <c r="Q7" s="1899" t="s">
        <v>883</v>
      </c>
      <c r="R7" s="1890"/>
      <c r="S7" s="1890"/>
      <c r="T7" s="1890"/>
      <c r="U7" s="1902"/>
      <c r="V7" s="1890"/>
      <c r="W7" s="1893"/>
      <c r="X7" s="1987"/>
      <c r="Y7" s="1990"/>
      <c r="Z7" s="1990"/>
      <c r="AA7" s="1993"/>
      <c r="AB7" s="1987"/>
      <c r="AC7" s="1984"/>
      <c r="AD7" s="1984"/>
      <c r="AE7" s="1984"/>
      <c r="AF7" s="1984"/>
      <c r="AG7" s="1984"/>
      <c r="AH7" s="1984"/>
      <c r="AI7" s="1984"/>
      <c r="AJ7" s="1984"/>
      <c r="AK7" s="1984"/>
    </row>
    <row r="8" spans="1:38" s="12" customFormat="1" ht="12" customHeight="1" thickBot="1" x14ac:dyDescent="0.25">
      <c r="A8" s="1904"/>
      <c r="B8" s="1904"/>
      <c r="C8" s="1904"/>
      <c r="D8" s="389"/>
      <c r="E8" s="389"/>
      <c r="G8" s="1897"/>
      <c r="H8" s="1891"/>
      <c r="I8" s="1982"/>
      <c r="J8" s="1982"/>
      <c r="K8" s="1982"/>
      <c r="L8" s="1891"/>
      <c r="M8" s="1891"/>
      <c r="N8" s="1891"/>
      <c r="O8" s="1891"/>
      <c r="P8" s="1996"/>
      <c r="Q8" s="1900"/>
      <c r="R8" s="1891"/>
      <c r="S8" s="1891"/>
      <c r="T8" s="1891"/>
      <c r="U8" s="1903"/>
      <c r="V8" s="1891"/>
      <c r="W8" s="1894"/>
      <c r="X8" s="1988"/>
      <c r="Y8" s="1991"/>
      <c r="Z8" s="1991"/>
      <c r="AA8" s="1994"/>
      <c r="AB8" s="1988"/>
      <c r="AC8" s="1985"/>
      <c r="AD8" s="1985"/>
      <c r="AE8" s="1985"/>
      <c r="AF8" s="1985"/>
      <c r="AG8" s="1985"/>
      <c r="AH8" s="1985"/>
      <c r="AI8" s="1985"/>
      <c r="AJ8" s="1985"/>
      <c r="AK8" s="1985"/>
    </row>
    <row r="9" spans="1:38" s="18" customFormat="1" thickTop="1" x14ac:dyDescent="0.2">
      <c r="G9" s="145">
        <v>1</v>
      </c>
      <c r="H9" s="146">
        <v>2</v>
      </c>
      <c r="I9" s="146">
        <v>3</v>
      </c>
      <c r="J9" s="31">
        <v>4</v>
      </c>
      <c r="K9" s="31">
        <v>6</v>
      </c>
      <c r="L9" s="359">
        <v>7</v>
      </c>
      <c r="M9" s="368">
        <v>8</v>
      </c>
      <c r="N9" s="378">
        <v>9</v>
      </c>
      <c r="O9" s="147">
        <v>10</v>
      </c>
      <c r="P9" s="146">
        <v>11</v>
      </c>
      <c r="Q9" s="146">
        <v>12</v>
      </c>
      <c r="R9" s="146">
        <v>13</v>
      </c>
      <c r="S9" s="31">
        <v>14</v>
      </c>
      <c r="T9" s="31">
        <v>15</v>
      </c>
      <c r="U9" s="329">
        <v>16</v>
      </c>
      <c r="V9" s="31">
        <v>17</v>
      </c>
      <c r="W9" s="148">
        <v>18</v>
      </c>
      <c r="X9" s="309">
        <v>19</v>
      </c>
      <c r="Y9" s="309">
        <v>20</v>
      </c>
      <c r="Z9" s="309">
        <v>21</v>
      </c>
      <c r="AA9" s="310">
        <v>22</v>
      </c>
      <c r="AB9" s="309">
        <v>23</v>
      </c>
      <c r="AC9" s="319">
        <v>24</v>
      </c>
      <c r="AD9" s="319">
        <v>25</v>
      </c>
      <c r="AE9" s="310"/>
      <c r="AF9" s="310"/>
      <c r="AG9" s="310"/>
      <c r="AH9" s="310"/>
      <c r="AI9" s="310"/>
      <c r="AJ9" s="310">
        <v>26</v>
      </c>
      <c r="AK9" s="310">
        <v>27</v>
      </c>
      <c r="AL9" s="311" t="e">
        <f>SUM(AC12:AG12)</f>
        <v>#N/A</v>
      </c>
    </row>
    <row r="10" spans="1:38" s="18" customFormat="1" ht="12.75" hidden="1" customHeight="1" x14ac:dyDescent="0.2">
      <c r="G10" s="53"/>
      <c r="H10" s="16"/>
      <c r="I10" s="55"/>
      <c r="J10" s="16"/>
      <c r="K10" s="55"/>
      <c r="L10" s="360"/>
      <c r="M10" s="16"/>
      <c r="N10" s="372"/>
      <c r="O10" s="125"/>
      <c r="P10" s="55"/>
      <c r="Q10" s="16"/>
      <c r="R10" s="16"/>
      <c r="S10" s="16"/>
      <c r="T10" s="16"/>
      <c r="U10" s="250"/>
      <c r="V10" s="55"/>
      <c r="W10" s="126"/>
      <c r="AA10" s="259"/>
      <c r="AC10" s="259"/>
      <c r="AD10" s="259"/>
      <c r="AE10" s="259"/>
      <c r="AF10" s="259"/>
      <c r="AG10" s="259"/>
      <c r="AH10" s="259"/>
      <c r="AI10" s="259"/>
      <c r="AJ10" s="259"/>
      <c r="AK10" s="259"/>
    </row>
    <row r="11" spans="1:38" s="116" customFormat="1" ht="35.25" hidden="1" customHeight="1" x14ac:dyDescent="0.2">
      <c r="G11" s="58" t="s">
        <v>476</v>
      </c>
      <c r="H11" s="96" t="s">
        <v>1130</v>
      </c>
      <c r="I11" s="33"/>
      <c r="J11" s="40"/>
      <c r="K11" s="33"/>
      <c r="L11" s="360"/>
      <c r="M11" s="40"/>
      <c r="N11" s="360"/>
      <c r="O11" s="72"/>
      <c r="P11" s="33"/>
      <c r="Q11" s="40"/>
      <c r="R11" s="40"/>
      <c r="S11" s="40"/>
      <c r="T11" s="40"/>
      <c r="U11" s="232">
        <f>U12+U689+U924+U934</f>
        <v>208830105679.19095</v>
      </c>
      <c r="V11" s="33"/>
      <c r="W11" s="127"/>
      <c r="X11" s="115"/>
      <c r="Y11" s="196"/>
      <c r="AA11" s="233"/>
      <c r="AC11" s="233"/>
      <c r="AD11" s="233"/>
      <c r="AE11" s="233"/>
      <c r="AF11" s="233"/>
      <c r="AG11" s="233"/>
      <c r="AH11" s="233" t="e">
        <f>AH12+AH689+AH924+AH934</f>
        <v>#N/A</v>
      </c>
      <c r="AI11" s="233" t="e">
        <f>AI12+AI689+AI924+AI934</f>
        <v>#N/A</v>
      </c>
      <c r="AJ11" s="233">
        <f>AJ12+AJ689+AJ924+AJ934</f>
        <v>2023659</v>
      </c>
      <c r="AK11" s="233" t="e">
        <f>AK12+AK689+AK924+AK934</f>
        <v>#N/A</v>
      </c>
    </row>
    <row r="12" spans="1:38" s="119" customFormat="1" ht="35.25" hidden="1" customHeight="1" x14ac:dyDescent="0.2">
      <c r="G12" s="58" t="s">
        <v>477</v>
      </c>
      <c r="H12" s="96" t="s">
        <v>1131</v>
      </c>
      <c r="I12" s="331"/>
      <c r="J12" s="63"/>
      <c r="K12" s="33"/>
      <c r="L12" s="360"/>
      <c r="M12" s="40"/>
      <c r="N12" s="360"/>
      <c r="O12" s="25"/>
      <c r="P12" s="331"/>
      <c r="Q12" s="63"/>
      <c r="R12" s="63"/>
      <c r="S12" s="63"/>
      <c r="T12" s="63"/>
      <c r="U12" s="232">
        <f>SUBTOTAL(9,U13:U686)</f>
        <v>66926167535</v>
      </c>
      <c r="V12" s="331"/>
      <c r="W12" s="101"/>
      <c r="X12" s="117"/>
      <c r="Y12" s="118"/>
      <c r="Z12" s="117"/>
      <c r="AA12" s="232"/>
      <c r="AC12" s="232" t="e">
        <f t="shared" ref="AC12:AK12" si="0">SUM(AC13:AC686)</f>
        <v>#N/A</v>
      </c>
      <c r="AD12" s="232">
        <f t="shared" si="0"/>
        <v>44928255113.362335</v>
      </c>
      <c r="AE12" s="232">
        <f t="shared" si="0"/>
        <v>60845276118.066383</v>
      </c>
      <c r="AF12" s="232">
        <f t="shared" si="0"/>
        <v>71719941747.19722</v>
      </c>
      <c r="AG12" s="232">
        <f t="shared" si="0"/>
        <v>71719941747.19722</v>
      </c>
      <c r="AH12" s="232" t="e">
        <f t="shared" si="0"/>
        <v>#N/A</v>
      </c>
      <c r="AI12" s="232" t="e">
        <f t="shared" si="0"/>
        <v>#N/A</v>
      </c>
      <c r="AJ12" s="232">
        <f t="shared" si="0"/>
        <v>1353568</v>
      </c>
      <c r="AK12" s="232" t="e">
        <f t="shared" si="0"/>
        <v>#N/A</v>
      </c>
      <c r="AL12" s="221" t="e">
        <f>AI12-AH12</f>
        <v>#N/A</v>
      </c>
    </row>
    <row r="13" spans="1:38" s="116" customFormat="1" ht="35.25" hidden="1" customHeight="1" x14ac:dyDescent="0.2">
      <c r="B13" s="116" t="e">
        <f t="shared" ref="B13:B79" si="1">VLOOKUP(A13,RUAS,2,0)</f>
        <v>#N/A</v>
      </c>
      <c r="F13" s="218" t="str">
        <f>MID(I13,2,7)</f>
        <v>4.13.01</v>
      </c>
      <c r="G13" s="53"/>
      <c r="H13" s="67" t="s">
        <v>478</v>
      </c>
      <c r="I13" s="33" t="s">
        <v>3819</v>
      </c>
      <c r="J13" s="63"/>
      <c r="K13" s="33" t="s">
        <v>479</v>
      </c>
      <c r="L13" s="360" t="s">
        <v>480</v>
      </c>
      <c r="M13" s="40"/>
      <c r="N13" s="360"/>
      <c r="O13" s="72" t="s">
        <v>481</v>
      </c>
      <c r="P13" s="33">
        <v>2001</v>
      </c>
      <c r="Q13" s="40"/>
      <c r="R13" s="40"/>
      <c r="S13" s="40" t="s">
        <v>482</v>
      </c>
      <c r="T13" s="40" t="s">
        <v>12</v>
      </c>
      <c r="U13" s="251">
        <v>9520000000</v>
      </c>
      <c r="V13" s="33" t="s">
        <v>43</v>
      </c>
      <c r="W13" s="127"/>
      <c r="X13" s="206" t="str">
        <f t="shared" ref="X13:X38" si="2">F13</f>
        <v>4.13.01</v>
      </c>
      <c r="Y13" s="207" t="str">
        <f t="shared" ref="Y13:Y79" si="3">VLOOKUP(X13,kelompok,2,0)</f>
        <v>JALAN</v>
      </c>
      <c r="Z13" s="207">
        <f t="shared" ref="Z13:Z79" si="4">VLOOKUP(X13,MASAMANFAAT,4,0)</f>
        <v>10</v>
      </c>
      <c r="AA13" s="233">
        <f>(U13-10)/Z13</f>
        <v>951999999</v>
      </c>
      <c r="AB13" s="208">
        <f>2013-AJ13</f>
        <v>12</v>
      </c>
      <c r="AC13" s="233">
        <f>IF(AB13&gt;Z13,U13-10,AA13*AB13)</f>
        <v>9519999990</v>
      </c>
      <c r="AD13" s="233">
        <f>IF(U13-10=AC13,0,AA13)</f>
        <v>0</v>
      </c>
      <c r="AE13" s="233">
        <f>IF(U13-10=AC13+AD13,0,AA13)</f>
        <v>0</v>
      </c>
      <c r="AF13" s="233">
        <f>IF(U13-10=AC13+AD13+AE13,0,AA13)</f>
        <v>0</v>
      </c>
      <c r="AG13" s="238">
        <f>IF(U13-10=AD13+AE13+AF13+AC13,0,AA13)</f>
        <v>0</v>
      </c>
      <c r="AH13" s="238">
        <f>IF(U13-10=AD13+AE13+AF13+AC13+AG13,0,AA13)</f>
        <v>0</v>
      </c>
      <c r="AI13" s="238">
        <f>SUM(AC13:AH13)</f>
        <v>9519999990</v>
      </c>
      <c r="AJ13" s="261">
        <f>P13</f>
        <v>2001</v>
      </c>
      <c r="AK13" s="233">
        <f>U13-AI13</f>
        <v>10</v>
      </c>
    </row>
    <row r="14" spans="1:38" s="116" customFormat="1" ht="35.25" hidden="1" customHeight="1" x14ac:dyDescent="0.2">
      <c r="A14" s="116">
        <v>281</v>
      </c>
      <c r="B14" s="116" t="str">
        <f t="shared" si="1"/>
        <v>KOMPE BERANGIN - KP. BARU CERENTI</v>
      </c>
      <c r="D14" s="116">
        <v>1</v>
      </c>
      <c r="E14" s="116" t="str">
        <f>A14&amp;"."&amp;D14</f>
        <v>281.1</v>
      </c>
      <c r="F14" s="218" t="str">
        <f t="shared" ref="F14:F80" si="5">MID(I14,2,7)</f>
        <v>4.13.01</v>
      </c>
      <c r="G14" s="53"/>
      <c r="H14" s="67" t="s">
        <v>483</v>
      </c>
      <c r="I14" s="33" t="s">
        <v>3820</v>
      </c>
      <c r="J14" s="63"/>
      <c r="K14" s="33" t="s">
        <v>484</v>
      </c>
      <c r="L14" s="360" t="s">
        <v>485</v>
      </c>
      <c r="M14" s="40">
        <v>7</v>
      </c>
      <c r="N14" s="360">
        <v>46200</v>
      </c>
      <c r="O14" s="72" t="s">
        <v>486</v>
      </c>
      <c r="P14" s="33">
        <v>2001</v>
      </c>
      <c r="Q14" s="40"/>
      <c r="R14" s="40"/>
      <c r="S14" s="40" t="s">
        <v>482</v>
      </c>
      <c r="T14" s="40" t="s">
        <v>12</v>
      </c>
      <c r="U14" s="251">
        <v>9504000000</v>
      </c>
      <c r="V14" s="33" t="s">
        <v>43</v>
      </c>
      <c r="W14" s="127"/>
      <c r="X14" s="206" t="str">
        <f t="shared" si="2"/>
        <v>4.13.01</v>
      </c>
      <c r="Y14" s="207" t="str">
        <f t="shared" si="3"/>
        <v>JALAN</v>
      </c>
      <c r="Z14" s="207">
        <f t="shared" si="4"/>
        <v>10</v>
      </c>
      <c r="AA14" s="233">
        <f t="shared" ref="AA14:AA80" si="6">(U14-10)/Z14</f>
        <v>950399999</v>
      </c>
      <c r="AB14" s="208">
        <f t="shared" ref="AB14:AB80" si="7">2013-AJ14</f>
        <v>12</v>
      </c>
      <c r="AC14" s="233">
        <f t="shared" ref="AC14:AC80" si="8">IF(AB14&gt;Z14,U14-10,AA14*AB14)</f>
        <v>9503999990</v>
      </c>
      <c r="AD14" s="233">
        <f t="shared" ref="AD14:AD80" si="9">IF(U14-10=AC14,0,AA14)</f>
        <v>0</v>
      </c>
      <c r="AE14" s="233">
        <f t="shared" ref="AE14:AE80" si="10">IF(U14-10=AC14+AD14,0,AA14)</f>
        <v>0</v>
      </c>
      <c r="AF14" s="233">
        <f t="shared" ref="AF14:AF80" si="11">IF(U14-10=AC14+AD14+AE14,0,AA14)</f>
        <v>0</v>
      </c>
      <c r="AG14" s="233">
        <f t="shared" ref="AG14:AG80" si="12">IF(U14-10=AD14+AE14+AF14+AC14,0,AA14)</f>
        <v>0</v>
      </c>
      <c r="AH14" s="238">
        <f t="shared" ref="AH14:AH80" si="13">IF(U14-10=AD14+AE14+AF14+AC14+AG14,0,AA14)</f>
        <v>0</v>
      </c>
      <c r="AI14" s="238">
        <f t="shared" ref="AI14:AI80" si="14">SUM(AC14:AH14)</f>
        <v>9503999990</v>
      </c>
      <c r="AJ14" s="261">
        <f t="shared" ref="AJ14:AJ80" si="15">P14</f>
        <v>2001</v>
      </c>
      <c r="AK14" s="233">
        <f t="shared" ref="AK14:AK80" si="16">U14-AI14</f>
        <v>10</v>
      </c>
    </row>
    <row r="15" spans="1:38" s="116" customFormat="1" ht="35.25" hidden="1" customHeight="1" x14ac:dyDescent="0.2">
      <c r="A15" s="116">
        <v>257</v>
      </c>
      <c r="B15" s="116" t="str">
        <f t="shared" si="1"/>
        <v>BENAI - PL. LANCANG</v>
      </c>
      <c r="D15" s="116">
        <v>1</v>
      </c>
      <c r="E15" s="116" t="str">
        <f>A15&amp;"."&amp;D15</f>
        <v>257.1</v>
      </c>
      <c r="F15" s="218" t="str">
        <f t="shared" si="5"/>
        <v>4.13.01</v>
      </c>
      <c r="G15" s="53"/>
      <c r="H15" s="67" t="s">
        <v>1132</v>
      </c>
      <c r="I15" s="33" t="s">
        <v>3820</v>
      </c>
      <c r="J15" s="63"/>
      <c r="K15" s="33" t="s">
        <v>479</v>
      </c>
      <c r="L15" s="360" t="s">
        <v>487</v>
      </c>
      <c r="M15" s="40">
        <v>7</v>
      </c>
      <c r="N15" s="360">
        <v>59500</v>
      </c>
      <c r="O15" s="72" t="s">
        <v>3075</v>
      </c>
      <c r="P15" s="33">
        <v>2001</v>
      </c>
      <c r="Q15" s="40"/>
      <c r="R15" s="40"/>
      <c r="S15" s="40" t="s">
        <v>482</v>
      </c>
      <c r="T15" s="40" t="s">
        <v>12</v>
      </c>
      <c r="U15" s="251">
        <v>9883854526</v>
      </c>
      <c r="V15" s="33" t="s">
        <v>43</v>
      </c>
      <c r="W15" s="127"/>
      <c r="X15" s="206" t="str">
        <f t="shared" si="2"/>
        <v>4.13.01</v>
      </c>
      <c r="Y15" s="207" t="str">
        <f t="shared" si="3"/>
        <v>JALAN</v>
      </c>
      <c r="Z15" s="207">
        <f t="shared" si="4"/>
        <v>10</v>
      </c>
      <c r="AA15" s="233">
        <f t="shared" si="6"/>
        <v>988385451.60000002</v>
      </c>
      <c r="AB15" s="208">
        <f t="shared" si="7"/>
        <v>12</v>
      </c>
      <c r="AC15" s="233">
        <f t="shared" si="8"/>
        <v>9883854516</v>
      </c>
      <c r="AD15" s="233">
        <f t="shared" si="9"/>
        <v>0</v>
      </c>
      <c r="AE15" s="233">
        <f t="shared" si="10"/>
        <v>0</v>
      </c>
      <c r="AF15" s="233">
        <f t="shared" si="11"/>
        <v>0</v>
      </c>
      <c r="AG15" s="233">
        <f t="shared" si="12"/>
        <v>0</v>
      </c>
      <c r="AH15" s="238">
        <f t="shared" si="13"/>
        <v>0</v>
      </c>
      <c r="AI15" s="238">
        <f t="shared" si="14"/>
        <v>9883854516</v>
      </c>
      <c r="AJ15" s="261">
        <f t="shared" si="15"/>
        <v>2001</v>
      </c>
      <c r="AK15" s="233">
        <f t="shared" si="16"/>
        <v>10</v>
      </c>
      <c r="AL15" s="312" t="e">
        <f>AL12</f>
        <v>#N/A</v>
      </c>
    </row>
    <row r="16" spans="1:38" s="116" customFormat="1" ht="35.25" hidden="1" customHeight="1" x14ac:dyDescent="0.2">
      <c r="B16" s="116" t="e">
        <f t="shared" si="1"/>
        <v>#N/A</v>
      </c>
      <c r="F16" s="218" t="str">
        <f t="shared" si="5"/>
        <v>4.13.01</v>
      </c>
      <c r="G16" s="53"/>
      <c r="H16" s="67" t="s">
        <v>483</v>
      </c>
      <c r="I16" s="33" t="s">
        <v>3820</v>
      </c>
      <c r="J16" s="63"/>
      <c r="K16" s="33" t="s">
        <v>484</v>
      </c>
      <c r="L16" s="360" t="s">
        <v>488</v>
      </c>
      <c r="M16" s="40"/>
      <c r="N16" s="360"/>
      <c r="O16" s="72" t="s">
        <v>489</v>
      </c>
      <c r="P16" s="33">
        <v>2001</v>
      </c>
      <c r="Q16" s="40"/>
      <c r="R16" s="40"/>
      <c r="S16" s="40" t="s">
        <v>482</v>
      </c>
      <c r="T16" s="40" t="s">
        <v>12</v>
      </c>
      <c r="U16" s="251">
        <v>1008000000</v>
      </c>
      <c r="V16" s="33" t="s">
        <v>135</v>
      </c>
      <c r="W16" s="127"/>
      <c r="X16" s="206" t="str">
        <f t="shared" si="2"/>
        <v>4.13.01</v>
      </c>
      <c r="Y16" s="207" t="str">
        <f t="shared" si="3"/>
        <v>JALAN</v>
      </c>
      <c r="Z16" s="207">
        <f t="shared" si="4"/>
        <v>10</v>
      </c>
      <c r="AA16" s="233">
        <f t="shared" si="6"/>
        <v>100799999</v>
      </c>
      <c r="AB16" s="208">
        <f t="shared" si="7"/>
        <v>12</v>
      </c>
      <c r="AC16" s="233">
        <f t="shared" si="8"/>
        <v>1007999990</v>
      </c>
      <c r="AD16" s="233">
        <f t="shared" si="9"/>
        <v>0</v>
      </c>
      <c r="AE16" s="233">
        <f t="shared" si="10"/>
        <v>0</v>
      </c>
      <c r="AF16" s="233">
        <f t="shared" si="11"/>
        <v>0</v>
      </c>
      <c r="AG16" s="233">
        <f t="shared" si="12"/>
        <v>0</v>
      </c>
      <c r="AH16" s="238">
        <f t="shared" si="13"/>
        <v>0</v>
      </c>
      <c r="AI16" s="238">
        <f t="shared" si="14"/>
        <v>1007999990</v>
      </c>
      <c r="AJ16" s="261">
        <f t="shared" si="15"/>
        <v>2001</v>
      </c>
      <c r="AK16" s="233">
        <f t="shared" si="16"/>
        <v>10</v>
      </c>
    </row>
    <row r="17" spans="1:37" s="116" customFormat="1" ht="35.25" hidden="1" customHeight="1" x14ac:dyDescent="0.2">
      <c r="B17" s="116" t="e">
        <f t="shared" si="1"/>
        <v>#N/A</v>
      </c>
      <c r="F17" s="218" t="str">
        <f t="shared" si="5"/>
        <v>4.13.01</v>
      </c>
      <c r="G17" s="53"/>
      <c r="H17" s="67" t="s">
        <v>483</v>
      </c>
      <c r="I17" s="33" t="s">
        <v>3820</v>
      </c>
      <c r="J17" s="63"/>
      <c r="K17" s="33" t="s">
        <v>479</v>
      </c>
      <c r="L17" s="360" t="s">
        <v>491</v>
      </c>
      <c r="M17" s="40"/>
      <c r="N17" s="360"/>
      <c r="O17" s="72" t="s">
        <v>4110</v>
      </c>
      <c r="P17" s="33">
        <v>2001</v>
      </c>
      <c r="Q17" s="40"/>
      <c r="R17" s="40"/>
      <c r="S17" s="40" t="s">
        <v>482</v>
      </c>
      <c r="T17" s="40" t="s">
        <v>12</v>
      </c>
      <c r="U17" s="251">
        <v>5145000000</v>
      </c>
      <c r="V17" s="33" t="s">
        <v>43</v>
      </c>
      <c r="W17" s="127"/>
      <c r="X17" s="206" t="str">
        <f t="shared" si="2"/>
        <v>4.13.01</v>
      </c>
      <c r="Y17" s="207" t="str">
        <f t="shared" si="3"/>
        <v>JALAN</v>
      </c>
      <c r="Z17" s="207">
        <f t="shared" si="4"/>
        <v>10</v>
      </c>
      <c r="AA17" s="233">
        <f t="shared" si="6"/>
        <v>514499999</v>
      </c>
      <c r="AB17" s="208">
        <f t="shared" si="7"/>
        <v>12</v>
      </c>
      <c r="AC17" s="233">
        <f t="shared" si="8"/>
        <v>5144999990</v>
      </c>
      <c r="AD17" s="233">
        <f t="shared" si="9"/>
        <v>0</v>
      </c>
      <c r="AE17" s="233">
        <f t="shared" si="10"/>
        <v>0</v>
      </c>
      <c r="AF17" s="233">
        <f t="shared" si="11"/>
        <v>0</v>
      </c>
      <c r="AG17" s="233">
        <f t="shared" si="12"/>
        <v>0</v>
      </c>
      <c r="AH17" s="238">
        <f t="shared" si="13"/>
        <v>0</v>
      </c>
      <c r="AI17" s="238">
        <f t="shared" si="14"/>
        <v>5144999990</v>
      </c>
      <c r="AJ17" s="261">
        <f t="shared" si="15"/>
        <v>2001</v>
      </c>
      <c r="AK17" s="233">
        <f t="shared" si="16"/>
        <v>10</v>
      </c>
    </row>
    <row r="18" spans="1:37" s="116" customFormat="1" ht="35.25" hidden="1" customHeight="1" x14ac:dyDescent="0.2">
      <c r="B18" s="116" t="e">
        <f t="shared" si="1"/>
        <v>#N/A</v>
      </c>
      <c r="F18" s="218" t="str">
        <f t="shared" si="5"/>
        <v>4.13.01</v>
      </c>
      <c r="G18" s="53"/>
      <c r="H18" s="67" t="s">
        <v>483</v>
      </c>
      <c r="I18" s="33" t="s">
        <v>3820</v>
      </c>
      <c r="J18" s="63"/>
      <c r="K18" s="33" t="s">
        <v>492</v>
      </c>
      <c r="L18" s="360" t="s">
        <v>488</v>
      </c>
      <c r="M18" s="40"/>
      <c r="N18" s="360"/>
      <c r="O18" s="72" t="s">
        <v>493</v>
      </c>
      <c r="P18" s="33">
        <v>2001</v>
      </c>
      <c r="Q18" s="40"/>
      <c r="R18" s="40"/>
      <c r="S18" s="40" t="s">
        <v>482</v>
      </c>
      <c r="T18" s="40" t="s">
        <v>12</v>
      </c>
      <c r="U18" s="251">
        <v>16253400000</v>
      </c>
      <c r="V18" s="33" t="s">
        <v>135</v>
      </c>
      <c r="W18" s="127"/>
      <c r="X18" s="206" t="str">
        <f t="shared" si="2"/>
        <v>4.13.01</v>
      </c>
      <c r="Y18" s="207" t="str">
        <f t="shared" si="3"/>
        <v>JALAN</v>
      </c>
      <c r="Z18" s="207">
        <f t="shared" si="4"/>
        <v>10</v>
      </c>
      <c r="AA18" s="233">
        <f t="shared" si="6"/>
        <v>1625339999</v>
      </c>
      <c r="AB18" s="208">
        <f t="shared" si="7"/>
        <v>12</v>
      </c>
      <c r="AC18" s="233">
        <f t="shared" si="8"/>
        <v>16253399990</v>
      </c>
      <c r="AD18" s="233">
        <f t="shared" si="9"/>
        <v>0</v>
      </c>
      <c r="AE18" s="233">
        <f t="shared" si="10"/>
        <v>0</v>
      </c>
      <c r="AF18" s="233">
        <f t="shared" si="11"/>
        <v>0</v>
      </c>
      <c r="AG18" s="233">
        <f t="shared" si="12"/>
        <v>0</v>
      </c>
      <c r="AH18" s="238">
        <f t="shared" si="13"/>
        <v>0</v>
      </c>
      <c r="AI18" s="238">
        <f t="shared" si="14"/>
        <v>16253399990</v>
      </c>
      <c r="AJ18" s="261">
        <f t="shared" si="15"/>
        <v>2001</v>
      </c>
      <c r="AK18" s="233">
        <f t="shared" si="16"/>
        <v>10</v>
      </c>
    </row>
    <row r="19" spans="1:37" s="116" customFormat="1" ht="35.25" hidden="1" customHeight="1" x14ac:dyDescent="0.2">
      <c r="B19" s="116" t="e">
        <f t="shared" si="1"/>
        <v>#N/A</v>
      </c>
      <c r="F19" s="218" t="str">
        <f t="shared" si="5"/>
        <v>4.13.01</v>
      </c>
      <c r="G19" s="53"/>
      <c r="H19" s="67" t="s">
        <v>483</v>
      </c>
      <c r="I19" s="33" t="s">
        <v>3820</v>
      </c>
      <c r="J19" s="63"/>
      <c r="K19" s="33" t="s">
        <v>8</v>
      </c>
      <c r="L19" s="360" t="s">
        <v>494</v>
      </c>
      <c r="M19" s="40"/>
      <c r="N19" s="360"/>
      <c r="O19" s="72" t="s">
        <v>495</v>
      </c>
      <c r="P19" s="33">
        <v>2001</v>
      </c>
      <c r="Q19" s="40"/>
      <c r="R19" s="40"/>
      <c r="S19" s="40" t="s">
        <v>482</v>
      </c>
      <c r="T19" s="40" t="s">
        <v>12</v>
      </c>
      <c r="U19" s="251">
        <v>378000000</v>
      </c>
      <c r="V19" s="33" t="s">
        <v>43</v>
      </c>
      <c r="W19" s="127"/>
      <c r="X19" s="206" t="str">
        <f t="shared" si="2"/>
        <v>4.13.01</v>
      </c>
      <c r="Y19" s="207" t="str">
        <f t="shared" si="3"/>
        <v>JALAN</v>
      </c>
      <c r="Z19" s="207">
        <f t="shared" si="4"/>
        <v>10</v>
      </c>
      <c r="AA19" s="233">
        <f t="shared" si="6"/>
        <v>37799999</v>
      </c>
      <c r="AB19" s="208">
        <f t="shared" si="7"/>
        <v>12</v>
      </c>
      <c r="AC19" s="233">
        <f t="shared" si="8"/>
        <v>377999990</v>
      </c>
      <c r="AD19" s="233">
        <f t="shared" si="9"/>
        <v>0</v>
      </c>
      <c r="AE19" s="233">
        <f t="shared" si="10"/>
        <v>0</v>
      </c>
      <c r="AF19" s="233">
        <f t="shared" si="11"/>
        <v>0</v>
      </c>
      <c r="AG19" s="233">
        <f t="shared" si="12"/>
        <v>0</v>
      </c>
      <c r="AH19" s="238">
        <f t="shared" si="13"/>
        <v>0</v>
      </c>
      <c r="AI19" s="238">
        <f t="shared" si="14"/>
        <v>377999990</v>
      </c>
      <c r="AJ19" s="261">
        <f t="shared" si="15"/>
        <v>2001</v>
      </c>
      <c r="AK19" s="233">
        <f t="shared" si="16"/>
        <v>10</v>
      </c>
    </row>
    <row r="20" spans="1:37" s="116" customFormat="1" ht="35.25" hidden="1" customHeight="1" x14ac:dyDescent="0.2">
      <c r="B20" s="116" t="e">
        <f t="shared" si="1"/>
        <v>#N/A</v>
      </c>
      <c r="F20" s="218" t="str">
        <f t="shared" si="5"/>
        <v>4.13.01</v>
      </c>
      <c r="G20" s="53"/>
      <c r="H20" s="67" t="s">
        <v>483</v>
      </c>
      <c r="I20" s="33" t="s">
        <v>3820</v>
      </c>
      <c r="J20" s="63"/>
      <c r="K20" s="33" t="s">
        <v>479</v>
      </c>
      <c r="L20" s="360" t="s">
        <v>490</v>
      </c>
      <c r="M20" s="40"/>
      <c r="N20" s="360"/>
      <c r="O20" s="72" t="s">
        <v>496</v>
      </c>
      <c r="P20" s="33">
        <v>2001</v>
      </c>
      <c r="Q20" s="40"/>
      <c r="R20" s="40"/>
      <c r="S20" s="40" t="s">
        <v>482</v>
      </c>
      <c r="T20" s="40" t="s">
        <v>12</v>
      </c>
      <c r="U20" s="251">
        <v>2275000000</v>
      </c>
      <c r="V20" s="33" t="s">
        <v>43</v>
      </c>
      <c r="W20" s="127"/>
      <c r="X20" s="206" t="str">
        <f t="shared" si="2"/>
        <v>4.13.01</v>
      </c>
      <c r="Y20" s="207" t="str">
        <f t="shared" si="3"/>
        <v>JALAN</v>
      </c>
      <c r="Z20" s="207">
        <f t="shared" si="4"/>
        <v>10</v>
      </c>
      <c r="AA20" s="233">
        <f t="shared" si="6"/>
        <v>227499999</v>
      </c>
      <c r="AB20" s="208">
        <f t="shared" si="7"/>
        <v>12</v>
      </c>
      <c r="AC20" s="233">
        <f t="shared" si="8"/>
        <v>2274999990</v>
      </c>
      <c r="AD20" s="233">
        <f t="shared" si="9"/>
        <v>0</v>
      </c>
      <c r="AE20" s="233">
        <f t="shared" si="10"/>
        <v>0</v>
      </c>
      <c r="AF20" s="233">
        <f t="shared" si="11"/>
        <v>0</v>
      </c>
      <c r="AG20" s="233">
        <f t="shared" si="12"/>
        <v>0</v>
      </c>
      <c r="AH20" s="238">
        <f t="shared" si="13"/>
        <v>0</v>
      </c>
      <c r="AI20" s="238">
        <f t="shared" si="14"/>
        <v>2274999990</v>
      </c>
      <c r="AJ20" s="261">
        <f t="shared" si="15"/>
        <v>2001</v>
      </c>
      <c r="AK20" s="233">
        <f t="shared" si="16"/>
        <v>10</v>
      </c>
    </row>
    <row r="21" spans="1:37" s="116" customFormat="1" ht="35.25" hidden="1" customHeight="1" x14ac:dyDescent="0.2">
      <c r="A21" s="116">
        <v>278</v>
      </c>
      <c r="B21" s="116" t="str">
        <f t="shared" si="1"/>
        <v>JALUR PATAH - LANGSAT HULU</v>
      </c>
      <c r="D21" s="116">
        <v>1</v>
      </c>
      <c r="E21" s="116" t="str">
        <f>A21&amp;"."&amp;D21</f>
        <v>278.1</v>
      </c>
      <c r="F21" s="218" t="str">
        <f t="shared" si="5"/>
        <v>4.13.01</v>
      </c>
      <c r="G21" s="53"/>
      <c r="H21" s="67" t="s">
        <v>483</v>
      </c>
      <c r="I21" s="33" t="s">
        <v>3820</v>
      </c>
      <c r="J21" s="63"/>
      <c r="K21" s="33" t="s">
        <v>484</v>
      </c>
      <c r="L21" s="360" t="s">
        <v>497</v>
      </c>
      <c r="M21" s="40">
        <v>7</v>
      </c>
      <c r="N21" s="360">
        <v>56000</v>
      </c>
      <c r="O21" s="72" t="s">
        <v>498</v>
      </c>
      <c r="P21" s="33">
        <v>2001</v>
      </c>
      <c r="Q21" s="40"/>
      <c r="R21" s="40"/>
      <c r="S21" s="40" t="s">
        <v>482</v>
      </c>
      <c r="T21" s="40" t="s">
        <v>12</v>
      </c>
      <c r="U21" s="251">
        <v>3584000000</v>
      </c>
      <c r="V21" s="33" t="s">
        <v>43</v>
      </c>
      <c r="W21" s="127"/>
      <c r="X21" s="206" t="str">
        <f t="shared" si="2"/>
        <v>4.13.01</v>
      </c>
      <c r="Y21" s="207" t="str">
        <f t="shared" si="3"/>
        <v>JALAN</v>
      </c>
      <c r="Z21" s="207">
        <f t="shared" si="4"/>
        <v>10</v>
      </c>
      <c r="AA21" s="233">
        <f t="shared" si="6"/>
        <v>358399999</v>
      </c>
      <c r="AB21" s="208">
        <f t="shared" si="7"/>
        <v>12</v>
      </c>
      <c r="AC21" s="233">
        <f t="shared" si="8"/>
        <v>3583999990</v>
      </c>
      <c r="AD21" s="233">
        <f t="shared" si="9"/>
        <v>0</v>
      </c>
      <c r="AE21" s="233">
        <f t="shared" si="10"/>
        <v>0</v>
      </c>
      <c r="AF21" s="233">
        <f t="shared" si="11"/>
        <v>0</v>
      </c>
      <c r="AG21" s="233">
        <f t="shared" si="12"/>
        <v>0</v>
      </c>
      <c r="AH21" s="238">
        <f t="shared" si="13"/>
        <v>0</v>
      </c>
      <c r="AI21" s="238">
        <f t="shared" si="14"/>
        <v>3583999990</v>
      </c>
      <c r="AJ21" s="261">
        <f t="shared" si="15"/>
        <v>2001</v>
      </c>
      <c r="AK21" s="233">
        <f t="shared" si="16"/>
        <v>10</v>
      </c>
    </row>
    <row r="22" spans="1:37" s="116" customFormat="1" ht="35.25" hidden="1" customHeight="1" x14ac:dyDescent="0.2">
      <c r="A22" s="116">
        <v>279</v>
      </c>
      <c r="B22" s="116" t="str">
        <f t="shared" si="1"/>
        <v>TALONTAM - BANJAR BENAI</v>
      </c>
      <c r="D22" s="116">
        <v>1</v>
      </c>
      <c r="E22" s="116" t="str">
        <f>A22&amp;"."&amp;D22</f>
        <v>279.1</v>
      </c>
      <c r="F22" s="218" t="str">
        <f t="shared" si="5"/>
        <v>4.13.01</v>
      </c>
      <c r="G22" s="53"/>
      <c r="H22" s="67" t="s">
        <v>483</v>
      </c>
      <c r="I22" s="33" t="s">
        <v>3820</v>
      </c>
      <c r="J22" s="63"/>
      <c r="K22" s="33" t="s">
        <v>479</v>
      </c>
      <c r="L22" s="360" t="s">
        <v>488</v>
      </c>
      <c r="M22" s="40">
        <v>7</v>
      </c>
      <c r="N22" s="360">
        <v>21000</v>
      </c>
      <c r="O22" s="72" t="s">
        <v>499</v>
      </c>
      <c r="P22" s="33">
        <v>2001</v>
      </c>
      <c r="Q22" s="40"/>
      <c r="R22" s="40"/>
      <c r="S22" s="40" t="s">
        <v>482</v>
      </c>
      <c r="T22" s="40" t="s">
        <v>12</v>
      </c>
      <c r="U22" s="251">
        <v>2520000000</v>
      </c>
      <c r="V22" s="33" t="s">
        <v>43</v>
      </c>
      <c r="W22" s="127"/>
      <c r="X22" s="206" t="str">
        <f t="shared" si="2"/>
        <v>4.13.01</v>
      </c>
      <c r="Y22" s="207" t="str">
        <f t="shared" si="3"/>
        <v>JALAN</v>
      </c>
      <c r="Z22" s="207">
        <f t="shared" si="4"/>
        <v>10</v>
      </c>
      <c r="AA22" s="233">
        <f t="shared" si="6"/>
        <v>251999999</v>
      </c>
      <c r="AB22" s="208">
        <f t="shared" si="7"/>
        <v>12</v>
      </c>
      <c r="AC22" s="233">
        <f t="shared" si="8"/>
        <v>2519999990</v>
      </c>
      <c r="AD22" s="233">
        <f t="shared" si="9"/>
        <v>0</v>
      </c>
      <c r="AE22" s="233">
        <f t="shared" si="10"/>
        <v>0</v>
      </c>
      <c r="AF22" s="233">
        <f t="shared" si="11"/>
        <v>0</v>
      </c>
      <c r="AG22" s="233">
        <f t="shared" si="12"/>
        <v>0</v>
      </c>
      <c r="AH22" s="238">
        <f t="shared" si="13"/>
        <v>0</v>
      </c>
      <c r="AI22" s="238">
        <f t="shared" si="14"/>
        <v>2519999990</v>
      </c>
      <c r="AJ22" s="261">
        <f t="shared" si="15"/>
        <v>2001</v>
      </c>
      <c r="AK22" s="233">
        <f t="shared" si="16"/>
        <v>10</v>
      </c>
    </row>
    <row r="23" spans="1:37" s="116" customFormat="1" ht="35.25" hidden="1" customHeight="1" x14ac:dyDescent="0.2">
      <c r="B23" s="116" t="e">
        <f t="shared" si="1"/>
        <v>#N/A</v>
      </c>
      <c r="F23" s="218" t="str">
        <f t="shared" si="5"/>
        <v>4.13.01</v>
      </c>
      <c r="G23" s="53"/>
      <c r="H23" s="67" t="s">
        <v>483</v>
      </c>
      <c r="I23" s="33" t="s">
        <v>3820</v>
      </c>
      <c r="J23" s="63"/>
      <c r="K23" s="33" t="s">
        <v>479</v>
      </c>
      <c r="L23" s="360" t="s">
        <v>48</v>
      </c>
      <c r="M23" s="40"/>
      <c r="N23" s="360"/>
      <c r="O23" s="72" t="s">
        <v>500</v>
      </c>
      <c r="P23" s="33">
        <v>2001</v>
      </c>
      <c r="Q23" s="40"/>
      <c r="R23" s="40"/>
      <c r="S23" s="40" t="s">
        <v>482</v>
      </c>
      <c r="T23" s="40" t="s">
        <v>12</v>
      </c>
      <c r="U23" s="251">
        <v>1680000000</v>
      </c>
      <c r="V23" s="33" t="s">
        <v>43</v>
      </c>
      <c r="W23" s="127"/>
      <c r="X23" s="206" t="str">
        <f t="shared" si="2"/>
        <v>4.13.01</v>
      </c>
      <c r="Y23" s="207" t="str">
        <f t="shared" si="3"/>
        <v>JALAN</v>
      </c>
      <c r="Z23" s="207">
        <f t="shared" si="4"/>
        <v>10</v>
      </c>
      <c r="AA23" s="233">
        <f t="shared" si="6"/>
        <v>167999999</v>
      </c>
      <c r="AB23" s="208">
        <f t="shared" si="7"/>
        <v>12</v>
      </c>
      <c r="AC23" s="233">
        <f t="shared" si="8"/>
        <v>1679999990</v>
      </c>
      <c r="AD23" s="233">
        <f t="shared" si="9"/>
        <v>0</v>
      </c>
      <c r="AE23" s="233">
        <f t="shared" si="10"/>
        <v>0</v>
      </c>
      <c r="AF23" s="233">
        <f t="shared" si="11"/>
        <v>0</v>
      </c>
      <c r="AG23" s="233">
        <f t="shared" si="12"/>
        <v>0</v>
      </c>
      <c r="AH23" s="238">
        <f t="shared" si="13"/>
        <v>0</v>
      </c>
      <c r="AI23" s="238">
        <f t="shared" si="14"/>
        <v>1679999990</v>
      </c>
      <c r="AJ23" s="261">
        <f t="shared" si="15"/>
        <v>2001</v>
      </c>
      <c r="AK23" s="233">
        <f t="shared" si="16"/>
        <v>10</v>
      </c>
    </row>
    <row r="24" spans="1:37" s="116" customFormat="1" ht="35.25" hidden="1" customHeight="1" x14ac:dyDescent="0.2">
      <c r="A24" s="116">
        <v>272</v>
      </c>
      <c r="B24" s="116" t="str">
        <f t="shared" si="1"/>
        <v>JL. DESA TALONTAM - PL. KOPUNG</v>
      </c>
      <c r="D24" s="116">
        <v>1</v>
      </c>
      <c r="E24" s="116" t="str">
        <f>A24&amp;"."&amp;D24</f>
        <v>272.1</v>
      </c>
      <c r="F24" s="218" t="str">
        <f t="shared" si="5"/>
        <v>4.13.01</v>
      </c>
      <c r="G24" s="53"/>
      <c r="H24" s="67" t="s">
        <v>483</v>
      </c>
      <c r="I24" s="33" t="s">
        <v>3820</v>
      </c>
      <c r="J24" s="63"/>
      <c r="K24" s="33" t="s">
        <v>484</v>
      </c>
      <c r="L24" s="360" t="s">
        <v>501</v>
      </c>
      <c r="M24" s="40">
        <v>7</v>
      </c>
      <c r="N24" s="360">
        <v>24500</v>
      </c>
      <c r="O24" s="72" t="s">
        <v>502</v>
      </c>
      <c r="P24" s="33">
        <v>2001</v>
      </c>
      <c r="Q24" s="40"/>
      <c r="R24" s="40"/>
      <c r="S24" s="40" t="s">
        <v>482</v>
      </c>
      <c r="T24" s="40" t="s">
        <v>12</v>
      </c>
      <c r="U24" s="251">
        <v>1456000000</v>
      </c>
      <c r="V24" s="33" t="s">
        <v>43</v>
      </c>
      <c r="W24" s="127"/>
      <c r="X24" s="206" t="str">
        <f t="shared" si="2"/>
        <v>4.13.01</v>
      </c>
      <c r="Y24" s="207" t="str">
        <f t="shared" si="3"/>
        <v>JALAN</v>
      </c>
      <c r="Z24" s="207">
        <f t="shared" si="4"/>
        <v>10</v>
      </c>
      <c r="AA24" s="233">
        <f t="shared" si="6"/>
        <v>145599999</v>
      </c>
      <c r="AB24" s="208">
        <f t="shared" si="7"/>
        <v>12</v>
      </c>
      <c r="AC24" s="233">
        <f t="shared" si="8"/>
        <v>1455999990</v>
      </c>
      <c r="AD24" s="233">
        <f t="shared" si="9"/>
        <v>0</v>
      </c>
      <c r="AE24" s="233">
        <f t="shared" si="10"/>
        <v>0</v>
      </c>
      <c r="AF24" s="233">
        <f t="shared" si="11"/>
        <v>0</v>
      </c>
      <c r="AG24" s="233">
        <f t="shared" si="12"/>
        <v>0</v>
      </c>
      <c r="AH24" s="238">
        <f t="shared" si="13"/>
        <v>0</v>
      </c>
      <c r="AI24" s="238">
        <f t="shared" si="14"/>
        <v>1455999990</v>
      </c>
      <c r="AJ24" s="261">
        <f t="shared" si="15"/>
        <v>2001</v>
      </c>
      <c r="AK24" s="233">
        <f t="shared" si="16"/>
        <v>10</v>
      </c>
    </row>
    <row r="25" spans="1:37" s="116" customFormat="1" ht="35.25" hidden="1" customHeight="1" x14ac:dyDescent="0.2">
      <c r="A25" s="116">
        <v>273</v>
      </c>
      <c r="B25" s="116" t="str">
        <f t="shared" si="1"/>
        <v>SIMANDOLAK - PENYEBERANGAN TANJUNG</v>
      </c>
      <c r="D25" s="116">
        <v>1</v>
      </c>
      <c r="E25" s="116" t="str">
        <f>A25&amp;"."&amp;D25</f>
        <v>273.1</v>
      </c>
      <c r="F25" s="218" t="str">
        <f t="shared" si="5"/>
        <v>4.13.01</v>
      </c>
      <c r="G25" s="53"/>
      <c r="H25" s="67" t="s">
        <v>483</v>
      </c>
      <c r="I25" s="33" t="s">
        <v>3820</v>
      </c>
      <c r="J25" s="63"/>
      <c r="K25" s="33" t="s">
        <v>503</v>
      </c>
      <c r="L25" s="360" t="s">
        <v>48</v>
      </c>
      <c r="M25" s="40"/>
      <c r="N25" s="360"/>
      <c r="O25" s="72" t="s">
        <v>504</v>
      </c>
      <c r="P25" s="33">
        <v>2001</v>
      </c>
      <c r="Q25" s="40"/>
      <c r="R25" s="40"/>
      <c r="S25" s="40" t="s">
        <v>482</v>
      </c>
      <c r="T25" s="40" t="s">
        <v>12</v>
      </c>
      <c r="U25" s="251">
        <v>1050000000</v>
      </c>
      <c r="V25" s="33" t="s">
        <v>135</v>
      </c>
      <c r="W25" s="127"/>
      <c r="X25" s="206" t="str">
        <f t="shared" si="2"/>
        <v>4.13.01</v>
      </c>
      <c r="Y25" s="207" t="str">
        <f t="shared" si="3"/>
        <v>JALAN</v>
      </c>
      <c r="Z25" s="207">
        <f t="shared" si="4"/>
        <v>10</v>
      </c>
      <c r="AA25" s="233">
        <f t="shared" si="6"/>
        <v>104999999</v>
      </c>
      <c r="AB25" s="208">
        <f t="shared" si="7"/>
        <v>12</v>
      </c>
      <c r="AC25" s="233">
        <f t="shared" si="8"/>
        <v>1049999990</v>
      </c>
      <c r="AD25" s="233">
        <f t="shared" si="9"/>
        <v>0</v>
      </c>
      <c r="AE25" s="233">
        <f t="shared" si="10"/>
        <v>0</v>
      </c>
      <c r="AF25" s="233">
        <f t="shared" si="11"/>
        <v>0</v>
      </c>
      <c r="AG25" s="233">
        <f t="shared" si="12"/>
        <v>0</v>
      </c>
      <c r="AH25" s="238">
        <f t="shared" si="13"/>
        <v>0</v>
      </c>
      <c r="AI25" s="238">
        <f t="shared" si="14"/>
        <v>1049999990</v>
      </c>
      <c r="AJ25" s="261">
        <f t="shared" si="15"/>
        <v>2001</v>
      </c>
      <c r="AK25" s="233">
        <f t="shared" si="16"/>
        <v>10</v>
      </c>
    </row>
    <row r="26" spans="1:37" s="116" customFormat="1" ht="35.25" hidden="1" customHeight="1" x14ac:dyDescent="0.2">
      <c r="B26" s="116" t="e">
        <f t="shared" si="1"/>
        <v>#N/A</v>
      </c>
      <c r="F26" s="218" t="str">
        <f t="shared" si="5"/>
        <v>4.13.01</v>
      </c>
      <c r="G26" s="53"/>
      <c r="H26" s="67" t="s">
        <v>483</v>
      </c>
      <c r="I26" s="33" t="s">
        <v>3820</v>
      </c>
      <c r="J26" s="63"/>
      <c r="K26" s="33" t="s">
        <v>479</v>
      </c>
      <c r="L26" s="360" t="s">
        <v>48</v>
      </c>
      <c r="M26" s="40"/>
      <c r="N26" s="360"/>
      <c r="O26" s="72" t="s">
        <v>505</v>
      </c>
      <c r="P26" s="33">
        <v>2001</v>
      </c>
      <c r="Q26" s="40"/>
      <c r="R26" s="40"/>
      <c r="S26" s="40" t="s">
        <v>482</v>
      </c>
      <c r="T26" s="40" t="s">
        <v>12</v>
      </c>
      <c r="U26" s="251">
        <v>1575000000</v>
      </c>
      <c r="V26" s="33" t="s">
        <v>43</v>
      </c>
      <c r="W26" s="127"/>
      <c r="X26" s="206" t="str">
        <f t="shared" si="2"/>
        <v>4.13.01</v>
      </c>
      <c r="Y26" s="207" t="str">
        <f t="shared" si="3"/>
        <v>JALAN</v>
      </c>
      <c r="Z26" s="207">
        <f t="shared" si="4"/>
        <v>10</v>
      </c>
      <c r="AA26" s="233">
        <f t="shared" si="6"/>
        <v>157499999</v>
      </c>
      <c r="AB26" s="208">
        <f t="shared" si="7"/>
        <v>12</v>
      </c>
      <c r="AC26" s="233">
        <f t="shared" si="8"/>
        <v>1574999990</v>
      </c>
      <c r="AD26" s="233">
        <f t="shared" si="9"/>
        <v>0</v>
      </c>
      <c r="AE26" s="233">
        <f t="shared" si="10"/>
        <v>0</v>
      </c>
      <c r="AF26" s="233">
        <f t="shared" si="11"/>
        <v>0</v>
      </c>
      <c r="AG26" s="233">
        <f t="shared" si="12"/>
        <v>0</v>
      </c>
      <c r="AH26" s="238">
        <f t="shared" si="13"/>
        <v>0</v>
      </c>
      <c r="AI26" s="238">
        <f t="shared" si="14"/>
        <v>1574999990</v>
      </c>
      <c r="AJ26" s="261">
        <f t="shared" si="15"/>
        <v>2001</v>
      </c>
      <c r="AK26" s="233">
        <f t="shared" si="16"/>
        <v>10</v>
      </c>
    </row>
    <row r="27" spans="1:37" s="116" customFormat="1" ht="35.25" hidden="1" customHeight="1" x14ac:dyDescent="0.2">
      <c r="A27" s="116">
        <v>276</v>
      </c>
      <c r="B27" s="116" t="str">
        <f t="shared" si="1"/>
        <v>BENAI - TEBING TINGGI</v>
      </c>
      <c r="D27" s="116">
        <v>1</v>
      </c>
      <c r="E27" s="116" t="str">
        <f>A27&amp;"."&amp;D27</f>
        <v>276.1</v>
      </c>
      <c r="F27" s="218" t="str">
        <f t="shared" si="5"/>
        <v>4.13.01</v>
      </c>
      <c r="G27" s="53"/>
      <c r="H27" s="67" t="s">
        <v>483</v>
      </c>
      <c r="I27" s="33" t="s">
        <v>3820</v>
      </c>
      <c r="J27" s="63"/>
      <c r="K27" s="33" t="s">
        <v>479</v>
      </c>
      <c r="L27" s="360" t="s">
        <v>506</v>
      </c>
      <c r="M27" s="40"/>
      <c r="N27" s="360"/>
      <c r="O27" s="72" t="s">
        <v>507</v>
      </c>
      <c r="P27" s="33">
        <v>2001</v>
      </c>
      <c r="Q27" s="40"/>
      <c r="R27" s="40"/>
      <c r="S27" s="40" t="s">
        <v>384</v>
      </c>
      <c r="T27" s="40" t="s">
        <v>12</v>
      </c>
      <c r="U27" s="251">
        <v>2940000000</v>
      </c>
      <c r="V27" s="33" t="s">
        <v>43</v>
      </c>
      <c r="W27" s="127"/>
      <c r="X27" s="206" t="str">
        <f t="shared" si="2"/>
        <v>4.13.01</v>
      </c>
      <c r="Y27" s="207" t="str">
        <f t="shared" si="3"/>
        <v>JALAN</v>
      </c>
      <c r="Z27" s="207">
        <f t="shared" si="4"/>
        <v>10</v>
      </c>
      <c r="AA27" s="233">
        <f t="shared" si="6"/>
        <v>293999999</v>
      </c>
      <c r="AB27" s="208">
        <f t="shared" si="7"/>
        <v>12</v>
      </c>
      <c r="AC27" s="233">
        <f t="shared" si="8"/>
        <v>2939999990</v>
      </c>
      <c r="AD27" s="233">
        <f t="shared" si="9"/>
        <v>0</v>
      </c>
      <c r="AE27" s="233">
        <f t="shared" si="10"/>
        <v>0</v>
      </c>
      <c r="AF27" s="233">
        <f t="shared" si="11"/>
        <v>0</v>
      </c>
      <c r="AG27" s="233">
        <f t="shared" si="12"/>
        <v>0</v>
      </c>
      <c r="AH27" s="238">
        <f t="shared" si="13"/>
        <v>0</v>
      </c>
      <c r="AI27" s="238">
        <f t="shared" si="14"/>
        <v>2939999990</v>
      </c>
      <c r="AJ27" s="261">
        <f t="shared" si="15"/>
        <v>2001</v>
      </c>
      <c r="AK27" s="233">
        <f t="shared" si="16"/>
        <v>10</v>
      </c>
    </row>
    <row r="28" spans="1:37" s="116" customFormat="1" ht="35.25" hidden="1" customHeight="1" x14ac:dyDescent="0.2">
      <c r="B28" s="116" t="e">
        <f t="shared" si="1"/>
        <v>#N/A</v>
      </c>
      <c r="F28" s="218" t="str">
        <f t="shared" si="5"/>
        <v>4.13.01</v>
      </c>
      <c r="G28" s="53"/>
      <c r="H28" s="67" t="s">
        <v>483</v>
      </c>
      <c r="I28" s="33" t="s">
        <v>3820</v>
      </c>
      <c r="J28" s="63"/>
      <c r="K28" s="33" t="s">
        <v>8</v>
      </c>
      <c r="L28" s="360" t="s">
        <v>508</v>
      </c>
      <c r="M28" s="40"/>
      <c r="N28" s="360"/>
      <c r="O28" s="72" t="s">
        <v>509</v>
      </c>
      <c r="P28" s="33">
        <v>2001</v>
      </c>
      <c r="Q28" s="40"/>
      <c r="R28" s="40"/>
      <c r="S28" s="40" t="s">
        <v>482</v>
      </c>
      <c r="T28" s="40" t="s">
        <v>12</v>
      </c>
      <c r="U28" s="251">
        <v>190125000</v>
      </c>
      <c r="V28" s="33" t="s">
        <v>43</v>
      </c>
      <c r="W28" s="127"/>
      <c r="X28" s="206" t="str">
        <f t="shared" si="2"/>
        <v>4.13.01</v>
      </c>
      <c r="Y28" s="207" t="str">
        <f t="shared" si="3"/>
        <v>JALAN</v>
      </c>
      <c r="Z28" s="207">
        <f t="shared" si="4"/>
        <v>10</v>
      </c>
      <c r="AA28" s="233">
        <f t="shared" si="6"/>
        <v>19012499</v>
      </c>
      <c r="AB28" s="208">
        <f t="shared" si="7"/>
        <v>12</v>
      </c>
      <c r="AC28" s="233">
        <f t="shared" si="8"/>
        <v>190124990</v>
      </c>
      <c r="AD28" s="233">
        <f t="shared" si="9"/>
        <v>0</v>
      </c>
      <c r="AE28" s="233">
        <f t="shared" si="10"/>
        <v>0</v>
      </c>
      <c r="AF28" s="233">
        <f t="shared" si="11"/>
        <v>0</v>
      </c>
      <c r="AG28" s="233">
        <f t="shared" si="12"/>
        <v>0</v>
      </c>
      <c r="AH28" s="238">
        <f t="shared" si="13"/>
        <v>0</v>
      </c>
      <c r="AI28" s="238">
        <f t="shared" si="14"/>
        <v>190124990</v>
      </c>
      <c r="AJ28" s="261">
        <f t="shared" si="15"/>
        <v>2001</v>
      </c>
      <c r="AK28" s="233">
        <f t="shared" si="16"/>
        <v>10</v>
      </c>
    </row>
    <row r="29" spans="1:37" s="116" customFormat="1" ht="35.25" hidden="1" customHeight="1" x14ac:dyDescent="0.2">
      <c r="A29" s="116">
        <v>269</v>
      </c>
      <c r="B29" s="116" t="str">
        <f t="shared" si="1"/>
        <v>JL. DESA GUNUNG KESIANGAN - JL. UJUNG TANJUNG</v>
      </c>
      <c r="D29" s="116">
        <v>1</v>
      </c>
      <c r="E29" s="116" t="str">
        <f>A29&amp;"."&amp;D29</f>
        <v>269.1</v>
      </c>
      <c r="F29" s="218" t="str">
        <f t="shared" si="5"/>
        <v>4.13.01</v>
      </c>
      <c r="G29" s="53"/>
      <c r="H29" s="67" t="s">
        <v>483</v>
      </c>
      <c r="I29" s="33" t="s">
        <v>3820</v>
      </c>
      <c r="J29" s="63"/>
      <c r="K29" s="33" t="s">
        <v>8</v>
      </c>
      <c r="L29" s="360" t="s">
        <v>48</v>
      </c>
      <c r="M29" s="40">
        <v>7</v>
      </c>
      <c r="N29" s="360">
        <v>14000</v>
      </c>
      <c r="O29" s="72" t="s">
        <v>510</v>
      </c>
      <c r="P29" s="33">
        <v>2001</v>
      </c>
      <c r="Q29" s="40"/>
      <c r="R29" s="40"/>
      <c r="S29" s="40" t="s">
        <v>482</v>
      </c>
      <c r="T29" s="40" t="s">
        <v>12</v>
      </c>
      <c r="U29" s="251">
        <v>292500000</v>
      </c>
      <c r="V29" s="33" t="s">
        <v>135</v>
      </c>
      <c r="W29" s="127"/>
      <c r="X29" s="206" t="str">
        <f t="shared" si="2"/>
        <v>4.13.01</v>
      </c>
      <c r="Y29" s="207" t="str">
        <f t="shared" si="3"/>
        <v>JALAN</v>
      </c>
      <c r="Z29" s="207">
        <f t="shared" si="4"/>
        <v>10</v>
      </c>
      <c r="AA29" s="233">
        <f t="shared" si="6"/>
        <v>29249999</v>
      </c>
      <c r="AB29" s="208">
        <f t="shared" si="7"/>
        <v>12</v>
      </c>
      <c r="AC29" s="233">
        <f t="shared" si="8"/>
        <v>292499990</v>
      </c>
      <c r="AD29" s="233">
        <f t="shared" si="9"/>
        <v>0</v>
      </c>
      <c r="AE29" s="233">
        <f t="shared" si="10"/>
        <v>0</v>
      </c>
      <c r="AF29" s="233">
        <f t="shared" si="11"/>
        <v>0</v>
      </c>
      <c r="AG29" s="233">
        <f t="shared" si="12"/>
        <v>0</v>
      </c>
      <c r="AH29" s="238">
        <f t="shared" si="13"/>
        <v>0</v>
      </c>
      <c r="AI29" s="238">
        <f t="shared" si="14"/>
        <v>292499990</v>
      </c>
      <c r="AJ29" s="261">
        <f t="shared" si="15"/>
        <v>2001</v>
      </c>
      <c r="AK29" s="233">
        <f t="shared" si="16"/>
        <v>10</v>
      </c>
    </row>
    <row r="30" spans="1:37" s="116" customFormat="1" ht="35.25" hidden="1" customHeight="1" x14ac:dyDescent="0.2">
      <c r="A30" s="116">
        <v>264</v>
      </c>
      <c r="B30" s="116" t="str">
        <f t="shared" si="1"/>
        <v>SIMP. DUTA PALMA - MUARA PETAI</v>
      </c>
      <c r="D30" s="116">
        <v>1</v>
      </c>
      <c r="E30" s="116" t="str">
        <f>A30&amp;"."&amp;D30</f>
        <v>264.1</v>
      </c>
      <c r="F30" s="218" t="str">
        <f t="shared" si="5"/>
        <v>4.13.01</v>
      </c>
      <c r="G30" s="53"/>
      <c r="H30" s="67" t="s">
        <v>483</v>
      </c>
      <c r="I30" s="33" t="s">
        <v>3820</v>
      </c>
      <c r="J30" s="63"/>
      <c r="K30" s="33" t="s">
        <v>484</v>
      </c>
      <c r="L30" s="360" t="s">
        <v>501</v>
      </c>
      <c r="M30" s="40">
        <v>8</v>
      </c>
      <c r="N30" s="360">
        <v>280000</v>
      </c>
      <c r="O30" s="72" t="s">
        <v>511</v>
      </c>
      <c r="P30" s="33">
        <v>2001</v>
      </c>
      <c r="Q30" s="40"/>
      <c r="R30" s="40"/>
      <c r="S30" s="40" t="s">
        <v>482</v>
      </c>
      <c r="T30" s="40" t="s">
        <v>12</v>
      </c>
      <c r="U30" s="251">
        <v>1568000000</v>
      </c>
      <c r="V30" s="33" t="s">
        <v>43</v>
      </c>
      <c r="W30" s="127"/>
      <c r="X30" s="206" t="str">
        <f t="shared" si="2"/>
        <v>4.13.01</v>
      </c>
      <c r="Y30" s="207" t="str">
        <f t="shared" si="3"/>
        <v>JALAN</v>
      </c>
      <c r="Z30" s="207">
        <f t="shared" si="4"/>
        <v>10</v>
      </c>
      <c r="AA30" s="233">
        <f t="shared" si="6"/>
        <v>156799999</v>
      </c>
      <c r="AB30" s="208">
        <f t="shared" si="7"/>
        <v>12</v>
      </c>
      <c r="AC30" s="233">
        <f t="shared" si="8"/>
        <v>1567999990</v>
      </c>
      <c r="AD30" s="233">
        <f t="shared" si="9"/>
        <v>0</v>
      </c>
      <c r="AE30" s="233">
        <f t="shared" si="10"/>
        <v>0</v>
      </c>
      <c r="AF30" s="233">
        <f t="shared" si="11"/>
        <v>0</v>
      </c>
      <c r="AG30" s="233">
        <f t="shared" si="12"/>
        <v>0</v>
      </c>
      <c r="AH30" s="238">
        <f t="shared" si="13"/>
        <v>0</v>
      </c>
      <c r="AI30" s="238">
        <f t="shared" si="14"/>
        <v>1567999990</v>
      </c>
      <c r="AJ30" s="261">
        <f t="shared" si="15"/>
        <v>2001</v>
      </c>
      <c r="AK30" s="233">
        <f t="shared" si="16"/>
        <v>10</v>
      </c>
    </row>
    <row r="31" spans="1:37" s="116" customFormat="1" ht="35.25" hidden="1" customHeight="1" x14ac:dyDescent="0.2">
      <c r="A31" s="116">
        <v>265</v>
      </c>
      <c r="B31" s="116" t="str">
        <f t="shared" si="1"/>
        <v>SIMP. DUTA PALMA - BATAS INHU</v>
      </c>
      <c r="D31" s="116">
        <v>1</v>
      </c>
      <c r="E31" s="116" t="str">
        <f>A31&amp;"."&amp;D31</f>
        <v>265.1</v>
      </c>
      <c r="F31" s="218" t="str">
        <f t="shared" si="5"/>
        <v>4.13.01</v>
      </c>
      <c r="G31" s="53"/>
      <c r="H31" s="67" t="s">
        <v>483</v>
      </c>
      <c r="I31" s="33" t="s">
        <v>3820</v>
      </c>
      <c r="J31" s="63"/>
      <c r="K31" s="33" t="s">
        <v>484</v>
      </c>
      <c r="L31" s="360">
        <v>40000</v>
      </c>
      <c r="M31" s="40">
        <v>8</v>
      </c>
      <c r="N31" s="360">
        <v>320000</v>
      </c>
      <c r="O31" s="72" t="s">
        <v>512</v>
      </c>
      <c r="P31" s="33">
        <v>2001</v>
      </c>
      <c r="Q31" s="40"/>
      <c r="R31" s="40"/>
      <c r="S31" s="40" t="s">
        <v>482</v>
      </c>
      <c r="T31" s="40" t="s">
        <v>12</v>
      </c>
      <c r="U31" s="251">
        <v>1792000000</v>
      </c>
      <c r="V31" s="33" t="s">
        <v>43</v>
      </c>
      <c r="W31" s="127"/>
      <c r="X31" s="206" t="str">
        <f t="shared" si="2"/>
        <v>4.13.01</v>
      </c>
      <c r="Y31" s="207" t="str">
        <f t="shared" si="3"/>
        <v>JALAN</v>
      </c>
      <c r="Z31" s="207">
        <f t="shared" si="4"/>
        <v>10</v>
      </c>
      <c r="AA31" s="233">
        <f t="shared" si="6"/>
        <v>179199999</v>
      </c>
      <c r="AB31" s="208">
        <f t="shared" si="7"/>
        <v>12</v>
      </c>
      <c r="AC31" s="233">
        <f t="shared" si="8"/>
        <v>1791999990</v>
      </c>
      <c r="AD31" s="233">
        <f t="shared" si="9"/>
        <v>0</v>
      </c>
      <c r="AE31" s="233">
        <f t="shared" si="10"/>
        <v>0</v>
      </c>
      <c r="AF31" s="233">
        <f t="shared" si="11"/>
        <v>0</v>
      </c>
      <c r="AG31" s="233">
        <f t="shared" si="12"/>
        <v>0</v>
      </c>
      <c r="AH31" s="238">
        <f t="shared" si="13"/>
        <v>0</v>
      </c>
      <c r="AI31" s="238">
        <f t="shared" si="14"/>
        <v>1791999990</v>
      </c>
      <c r="AJ31" s="261">
        <f t="shared" si="15"/>
        <v>2001</v>
      </c>
      <c r="AK31" s="233">
        <f t="shared" si="16"/>
        <v>10</v>
      </c>
    </row>
    <row r="32" spans="1:37" s="116" customFormat="1" ht="35.25" hidden="1" customHeight="1" x14ac:dyDescent="0.2">
      <c r="A32" s="116">
        <v>274</v>
      </c>
      <c r="B32" s="116" t="str">
        <f t="shared" si="1"/>
        <v>BENAI - RAPP</v>
      </c>
      <c r="D32" s="116">
        <v>1</v>
      </c>
      <c r="E32" s="116" t="str">
        <f>A32&amp;"."&amp;D32</f>
        <v>274.1</v>
      </c>
      <c r="F32" s="218" t="str">
        <f t="shared" si="5"/>
        <v>4.13.01</v>
      </c>
      <c r="G32" s="53"/>
      <c r="H32" s="67" t="s">
        <v>483</v>
      </c>
      <c r="I32" s="33" t="s">
        <v>3820</v>
      </c>
      <c r="J32" s="63"/>
      <c r="K32" s="33" t="s">
        <v>484</v>
      </c>
      <c r="L32" s="360" t="s">
        <v>513</v>
      </c>
      <c r="M32" s="40"/>
      <c r="N32" s="360"/>
      <c r="O32" s="72" t="s">
        <v>514</v>
      </c>
      <c r="P32" s="33">
        <v>2001</v>
      </c>
      <c r="Q32" s="40"/>
      <c r="R32" s="40"/>
      <c r="S32" s="40" t="s">
        <v>384</v>
      </c>
      <c r="T32" s="40" t="s">
        <v>12</v>
      </c>
      <c r="U32" s="251">
        <v>15680000000</v>
      </c>
      <c r="V32" s="33" t="s">
        <v>43</v>
      </c>
      <c r="W32" s="127"/>
      <c r="X32" s="206" t="str">
        <f t="shared" si="2"/>
        <v>4.13.01</v>
      </c>
      <c r="Y32" s="207" t="str">
        <f t="shared" si="3"/>
        <v>JALAN</v>
      </c>
      <c r="Z32" s="207">
        <f t="shared" si="4"/>
        <v>10</v>
      </c>
      <c r="AA32" s="233">
        <f t="shared" si="6"/>
        <v>1567999999</v>
      </c>
      <c r="AB32" s="208">
        <f t="shared" si="7"/>
        <v>12</v>
      </c>
      <c r="AC32" s="233">
        <f t="shared" si="8"/>
        <v>15679999990</v>
      </c>
      <c r="AD32" s="233">
        <f t="shared" si="9"/>
        <v>0</v>
      </c>
      <c r="AE32" s="233">
        <f t="shared" si="10"/>
        <v>0</v>
      </c>
      <c r="AF32" s="233">
        <f t="shared" si="11"/>
        <v>0</v>
      </c>
      <c r="AG32" s="233">
        <f t="shared" si="12"/>
        <v>0</v>
      </c>
      <c r="AH32" s="238">
        <f t="shared" si="13"/>
        <v>0</v>
      </c>
      <c r="AI32" s="238">
        <f t="shared" si="14"/>
        <v>15679999990</v>
      </c>
      <c r="AJ32" s="261">
        <f t="shared" si="15"/>
        <v>2001</v>
      </c>
      <c r="AK32" s="233">
        <f t="shared" si="16"/>
        <v>10</v>
      </c>
    </row>
    <row r="33" spans="1:39" s="116" customFormat="1" ht="35.25" hidden="1" customHeight="1" x14ac:dyDescent="0.2">
      <c r="B33" s="116" t="e">
        <f t="shared" si="1"/>
        <v>#N/A</v>
      </c>
      <c r="F33" s="218" t="str">
        <f t="shared" si="5"/>
        <v>4.13.01</v>
      </c>
      <c r="G33" s="53"/>
      <c r="H33" s="67" t="s">
        <v>483</v>
      </c>
      <c r="I33" s="33" t="s">
        <v>3820</v>
      </c>
      <c r="J33" s="63"/>
      <c r="K33" s="33" t="s">
        <v>479</v>
      </c>
      <c r="L33" s="360" t="s">
        <v>506</v>
      </c>
      <c r="M33" s="40"/>
      <c r="N33" s="360"/>
      <c r="O33" s="72" t="s">
        <v>515</v>
      </c>
      <c r="P33" s="33">
        <v>2001</v>
      </c>
      <c r="Q33" s="40"/>
      <c r="R33" s="40"/>
      <c r="S33" s="40" t="s">
        <v>384</v>
      </c>
      <c r="T33" s="40" t="s">
        <v>12</v>
      </c>
      <c r="U33" s="251">
        <v>2362500000</v>
      </c>
      <c r="V33" s="33" t="s">
        <v>43</v>
      </c>
      <c r="W33" s="127"/>
      <c r="X33" s="206" t="str">
        <f t="shared" si="2"/>
        <v>4.13.01</v>
      </c>
      <c r="Y33" s="207" t="str">
        <f t="shared" si="3"/>
        <v>JALAN</v>
      </c>
      <c r="Z33" s="207">
        <f t="shared" si="4"/>
        <v>10</v>
      </c>
      <c r="AA33" s="233">
        <f t="shared" si="6"/>
        <v>236249999</v>
      </c>
      <c r="AB33" s="208">
        <f t="shared" si="7"/>
        <v>12</v>
      </c>
      <c r="AC33" s="233">
        <f t="shared" si="8"/>
        <v>2362499990</v>
      </c>
      <c r="AD33" s="233">
        <f t="shared" si="9"/>
        <v>0</v>
      </c>
      <c r="AE33" s="233">
        <f t="shared" si="10"/>
        <v>0</v>
      </c>
      <c r="AF33" s="233">
        <f t="shared" si="11"/>
        <v>0</v>
      </c>
      <c r="AG33" s="233">
        <f t="shared" si="12"/>
        <v>0</v>
      </c>
      <c r="AH33" s="238">
        <f t="shared" si="13"/>
        <v>0</v>
      </c>
      <c r="AI33" s="238">
        <f t="shared" si="14"/>
        <v>2362499990</v>
      </c>
      <c r="AJ33" s="261">
        <f t="shared" si="15"/>
        <v>2001</v>
      </c>
      <c r="AK33" s="233">
        <f t="shared" si="16"/>
        <v>10</v>
      </c>
    </row>
    <row r="34" spans="1:39" s="116" customFormat="1" ht="35.25" hidden="1" customHeight="1" x14ac:dyDescent="0.2">
      <c r="B34" s="116" t="e">
        <f t="shared" si="1"/>
        <v>#N/A</v>
      </c>
      <c r="F34" s="218" t="str">
        <f t="shared" si="5"/>
        <v>4.13.01</v>
      </c>
      <c r="G34" s="53"/>
      <c r="H34" s="67" t="s">
        <v>483</v>
      </c>
      <c r="I34" s="33" t="s">
        <v>3820</v>
      </c>
      <c r="J34" s="63"/>
      <c r="K34" s="33" t="s">
        <v>484</v>
      </c>
      <c r="L34" s="360" t="s">
        <v>476</v>
      </c>
      <c r="M34" s="40"/>
      <c r="N34" s="360"/>
      <c r="O34" s="72" t="s">
        <v>516</v>
      </c>
      <c r="P34" s="33">
        <v>2001</v>
      </c>
      <c r="Q34" s="40"/>
      <c r="R34" s="40"/>
      <c r="S34" s="40" t="s">
        <v>384</v>
      </c>
      <c r="T34" s="40" t="s">
        <v>12</v>
      </c>
      <c r="U34" s="251">
        <v>470400000</v>
      </c>
      <c r="V34" s="33" t="s">
        <v>43</v>
      </c>
      <c r="W34" s="127"/>
      <c r="X34" s="206" t="str">
        <f t="shared" si="2"/>
        <v>4.13.01</v>
      </c>
      <c r="Y34" s="207" t="str">
        <f t="shared" si="3"/>
        <v>JALAN</v>
      </c>
      <c r="Z34" s="207">
        <f t="shared" si="4"/>
        <v>10</v>
      </c>
      <c r="AA34" s="233">
        <f t="shared" si="6"/>
        <v>47039999</v>
      </c>
      <c r="AB34" s="208">
        <f t="shared" si="7"/>
        <v>12</v>
      </c>
      <c r="AC34" s="233">
        <f t="shared" si="8"/>
        <v>470399990</v>
      </c>
      <c r="AD34" s="233">
        <f t="shared" si="9"/>
        <v>0</v>
      </c>
      <c r="AE34" s="233">
        <f t="shared" si="10"/>
        <v>0</v>
      </c>
      <c r="AF34" s="233">
        <f t="shared" si="11"/>
        <v>0</v>
      </c>
      <c r="AG34" s="233">
        <f t="shared" si="12"/>
        <v>0</v>
      </c>
      <c r="AH34" s="238">
        <f t="shared" si="13"/>
        <v>0</v>
      </c>
      <c r="AI34" s="238">
        <f t="shared" si="14"/>
        <v>470399990</v>
      </c>
      <c r="AJ34" s="261">
        <f t="shared" si="15"/>
        <v>2001</v>
      </c>
      <c r="AK34" s="233">
        <f t="shared" si="16"/>
        <v>10</v>
      </c>
    </row>
    <row r="35" spans="1:39" s="116" customFormat="1" ht="35.25" hidden="1" customHeight="1" x14ac:dyDescent="0.2">
      <c r="A35" s="116">
        <v>258</v>
      </c>
      <c r="B35" s="116" t="str">
        <f t="shared" si="1"/>
        <v>LEPAU GADING - PANGEAN</v>
      </c>
      <c r="D35" s="116">
        <v>1</v>
      </c>
      <c r="E35" s="116" t="str">
        <f t="shared" ref="E35:E40" si="17">A35&amp;"."&amp;D35</f>
        <v>258.1</v>
      </c>
      <c r="F35" s="218" t="str">
        <f t="shared" si="5"/>
        <v>4.13.01</v>
      </c>
      <c r="G35" s="53"/>
      <c r="H35" s="67" t="s">
        <v>483</v>
      </c>
      <c r="I35" s="33" t="s">
        <v>3820</v>
      </c>
      <c r="J35" s="63"/>
      <c r="K35" s="33" t="s">
        <v>479</v>
      </c>
      <c r="L35" s="360" t="s">
        <v>517</v>
      </c>
      <c r="M35" s="40">
        <v>7</v>
      </c>
      <c r="N35" s="360">
        <v>81900</v>
      </c>
      <c r="O35" s="72" t="s">
        <v>518</v>
      </c>
      <c r="P35" s="33">
        <v>2001</v>
      </c>
      <c r="Q35" s="40"/>
      <c r="R35" s="40"/>
      <c r="S35" s="40" t="s">
        <v>482</v>
      </c>
      <c r="T35" s="40" t="s">
        <v>12</v>
      </c>
      <c r="U35" s="251">
        <v>22932000000</v>
      </c>
      <c r="V35" s="33" t="s">
        <v>135</v>
      </c>
      <c r="W35" s="127"/>
      <c r="X35" s="206" t="str">
        <f t="shared" si="2"/>
        <v>4.13.01</v>
      </c>
      <c r="Y35" s="207" t="str">
        <f t="shared" si="3"/>
        <v>JALAN</v>
      </c>
      <c r="Z35" s="207">
        <f t="shared" si="4"/>
        <v>10</v>
      </c>
      <c r="AA35" s="233">
        <f t="shared" si="6"/>
        <v>2293199999</v>
      </c>
      <c r="AB35" s="208">
        <f t="shared" si="7"/>
        <v>12</v>
      </c>
      <c r="AC35" s="233">
        <f t="shared" si="8"/>
        <v>22931999990</v>
      </c>
      <c r="AD35" s="233">
        <f t="shared" si="9"/>
        <v>0</v>
      </c>
      <c r="AE35" s="233">
        <f t="shared" si="10"/>
        <v>0</v>
      </c>
      <c r="AF35" s="233">
        <f t="shared" si="11"/>
        <v>0</v>
      </c>
      <c r="AG35" s="233">
        <f t="shared" si="12"/>
        <v>0</v>
      </c>
      <c r="AH35" s="238">
        <f t="shared" si="13"/>
        <v>0</v>
      </c>
      <c r="AI35" s="238">
        <f t="shared" si="14"/>
        <v>22931999990</v>
      </c>
      <c r="AJ35" s="261">
        <f t="shared" si="15"/>
        <v>2001</v>
      </c>
      <c r="AK35" s="233">
        <f t="shared" si="16"/>
        <v>10</v>
      </c>
    </row>
    <row r="36" spans="1:39" s="116" customFormat="1" ht="35.25" hidden="1" customHeight="1" x14ac:dyDescent="0.2">
      <c r="A36" s="116">
        <v>259</v>
      </c>
      <c r="B36" s="116" t="str">
        <f t="shared" si="1"/>
        <v>SENTAJO - TERATAK AIR HITAM</v>
      </c>
      <c r="D36" s="116">
        <v>1</v>
      </c>
      <c r="E36" s="116" t="str">
        <f t="shared" si="17"/>
        <v>259.1</v>
      </c>
      <c r="F36" s="218" t="s">
        <v>2304</v>
      </c>
      <c r="G36" s="53"/>
      <c r="H36" s="67" t="s">
        <v>1133</v>
      </c>
      <c r="I36" s="33" t="s">
        <v>3820</v>
      </c>
      <c r="J36" s="63"/>
      <c r="K36" s="33" t="s">
        <v>519</v>
      </c>
      <c r="L36" s="360"/>
      <c r="M36" s="40"/>
      <c r="N36" s="360">
        <v>1000</v>
      </c>
      <c r="O36" s="72" t="s">
        <v>3076</v>
      </c>
      <c r="P36" s="33">
        <v>2001</v>
      </c>
      <c r="Q36" s="40"/>
      <c r="R36" s="40"/>
      <c r="S36" s="40" t="s">
        <v>384</v>
      </c>
      <c r="T36" s="40" t="s">
        <v>12</v>
      </c>
      <c r="U36" s="251">
        <v>14883166858.823</v>
      </c>
      <c r="V36" s="33" t="s">
        <v>43</v>
      </c>
      <c r="W36" s="127"/>
      <c r="X36" s="206" t="str">
        <f t="shared" si="2"/>
        <v>4.13.01</v>
      </c>
      <c r="Y36" s="207" t="str">
        <f t="shared" si="3"/>
        <v>JALAN</v>
      </c>
      <c r="Z36" s="207">
        <f t="shared" si="4"/>
        <v>10</v>
      </c>
      <c r="AA36" s="233">
        <f t="shared" si="6"/>
        <v>1488316684.8822999</v>
      </c>
      <c r="AB36" s="208">
        <f t="shared" si="7"/>
        <v>12</v>
      </c>
      <c r="AC36" s="233">
        <f t="shared" si="8"/>
        <v>14883166848.823</v>
      </c>
      <c r="AD36" s="233">
        <f t="shared" si="9"/>
        <v>0</v>
      </c>
      <c r="AE36" s="233">
        <f t="shared" si="10"/>
        <v>0</v>
      </c>
      <c r="AF36" s="233">
        <f t="shared" si="11"/>
        <v>0</v>
      </c>
      <c r="AG36" s="233">
        <f t="shared" si="12"/>
        <v>0</v>
      </c>
      <c r="AH36" s="238">
        <f t="shared" si="13"/>
        <v>0</v>
      </c>
      <c r="AI36" s="238">
        <f t="shared" si="14"/>
        <v>14883166848.823</v>
      </c>
      <c r="AJ36" s="261">
        <f t="shared" si="15"/>
        <v>2001</v>
      </c>
      <c r="AK36" s="233">
        <f t="shared" si="16"/>
        <v>10</v>
      </c>
    </row>
    <row r="37" spans="1:39" s="116" customFormat="1" ht="35.25" hidden="1" customHeight="1" x14ac:dyDescent="0.2">
      <c r="A37" s="116">
        <v>260</v>
      </c>
      <c r="B37" s="116" t="str">
        <f t="shared" si="1"/>
        <v>BENAI - KOTO RAJO</v>
      </c>
      <c r="D37" s="116">
        <v>1</v>
      </c>
      <c r="E37" s="116" t="str">
        <f t="shared" si="17"/>
        <v>260.1</v>
      </c>
      <c r="F37" s="218" t="str">
        <f t="shared" si="5"/>
        <v>4.13.01</v>
      </c>
      <c r="G37" s="53"/>
      <c r="H37" s="67" t="s">
        <v>483</v>
      </c>
      <c r="I37" s="33" t="s">
        <v>3820</v>
      </c>
      <c r="J37" s="63"/>
      <c r="K37" s="33" t="s">
        <v>484</v>
      </c>
      <c r="L37" s="360">
        <v>11000</v>
      </c>
      <c r="M37" s="40"/>
      <c r="N37" s="360"/>
      <c r="O37" s="72" t="s">
        <v>3105</v>
      </c>
      <c r="P37" s="33">
        <v>2001</v>
      </c>
      <c r="Q37" s="40"/>
      <c r="R37" s="40"/>
      <c r="S37" s="40" t="s">
        <v>384</v>
      </c>
      <c r="T37" s="40" t="s">
        <v>12</v>
      </c>
      <c r="U37" s="251">
        <v>7982951762.6100006</v>
      </c>
      <c r="V37" s="33" t="s">
        <v>43</v>
      </c>
      <c r="W37" s="127"/>
      <c r="X37" s="206" t="str">
        <f t="shared" si="2"/>
        <v>4.13.01</v>
      </c>
      <c r="Y37" s="207" t="str">
        <f t="shared" si="3"/>
        <v>JALAN</v>
      </c>
      <c r="Z37" s="207">
        <f t="shared" si="4"/>
        <v>10</v>
      </c>
      <c r="AA37" s="233">
        <f t="shared" si="6"/>
        <v>798295175.26100004</v>
      </c>
      <c r="AB37" s="208">
        <f t="shared" si="7"/>
        <v>12</v>
      </c>
      <c r="AC37" s="233">
        <f t="shared" si="8"/>
        <v>7982951752.6100006</v>
      </c>
      <c r="AD37" s="233">
        <f t="shared" si="9"/>
        <v>0</v>
      </c>
      <c r="AE37" s="233">
        <f t="shared" si="10"/>
        <v>0</v>
      </c>
      <c r="AF37" s="233">
        <f t="shared" si="11"/>
        <v>0</v>
      </c>
      <c r="AG37" s="233">
        <f t="shared" si="12"/>
        <v>0</v>
      </c>
      <c r="AH37" s="238">
        <f t="shared" si="13"/>
        <v>0</v>
      </c>
      <c r="AI37" s="238">
        <f t="shared" si="14"/>
        <v>7982951752.6100006</v>
      </c>
      <c r="AJ37" s="261">
        <f t="shared" si="15"/>
        <v>2001</v>
      </c>
      <c r="AK37" s="233">
        <f t="shared" si="16"/>
        <v>10</v>
      </c>
    </row>
    <row r="38" spans="1:39" s="116" customFormat="1" ht="35.25" hidden="1" customHeight="1" x14ac:dyDescent="0.2">
      <c r="A38" s="120">
        <v>260</v>
      </c>
      <c r="B38" s="116" t="str">
        <f>VLOOKUP(A38,RUAS,2,0)</f>
        <v>BENAI - KOTO RAJO</v>
      </c>
      <c r="D38" s="116">
        <v>2</v>
      </c>
      <c r="E38" s="116" t="str">
        <f t="shared" si="17"/>
        <v>260.2</v>
      </c>
      <c r="F38" s="218" t="s">
        <v>2305</v>
      </c>
      <c r="G38" s="53"/>
      <c r="H38" s="67" t="s">
        <v>1171</v>
      </c>
      <c r="I38" s="33" t="s">
        <v>3822</v>
      </c>
      <c r="J38" s="63"/>
      <c r="K38" s="33" t="s">
        <v>835</v>
      </c>
      <c r="L38" s="360">
        <v>2</v>
      </c>
      <c r="M38" s="40">
        <v>2.5</v>
      </c>
      <c r="N38" s="360">
        <v>5</v>
      </c>
      <c r="O38" s="72" t="s">
        <v>3105</v>
      </c>
      <c r="P38" s="33">
        <v>2007</v>
      </c>
      <c r="Q38" s="40"/>
      <c r="R38" s="40"/>
      <c r="S38" s="40"/>
      <c r="T38" s="40" t="s">
        <v>12</v>
      </c>
      <c r="U38" s="251">
        <v>786808471.61551905</v>
      </c>
      <c r="V38" s="33" t="s">
        <v>43</v>
      </c>
      <c r="W38" s="127"/>
      <c r="X38" s="206" t="str">
        <f t="shared" si="2"/>
        <v>4.13.02</v>
      </c>
      <c r="Y38" s="207" t="str">
        <f>VLOOKUP(X38,kelompok,2,0)</f>
        <v>JEMBATAN</v>
      </c>
      <c r="Z38" s="207">
        <f>VLOOKUP(X38,MASAMANFAAT,4,0)</f>
        <v>50</v>
      </c>
      <c r="AA38" s="233">
        <f>(U38-10)/Z38</f>
        <v>15736169.232310381</v>
      </c>
      <c r="AB38" s="208">
        <f>2013-AJ38</f>
        <v>6</v>
      </c>
      <c r="AC38" s="233">
        <f>IF(AB38&gt;Z38,U38-10,AA38*AB38)</f>
        <v>94417015.393862277</v>
      </c>
      <c r="AD38" s="233">
        <f>IF(U38-10=AC38,0,AA38)</f>
        <v>15736169.232310381</v>
      </c>
      <c r="AE38" s="233">
        <f>IF(U38-10=AC38+AD38,0,AA38)</f>
        <v>15736169.232310381</v>
      </c>
      <c r="AF38" s="233">
        <f>IF(U38-10=AC38+AD38+AE38,0,AA38)</f>
        <v>15736169.232310381</v>
      </c>
      <c r="AG38" s="233">
        <f>IF(U38-10=AD38+AE38+AF38+AC38,0,AA38)</f>
        <v>15736169.232310381</v>
      </c>
      <c r="AH38" s="238">
        <f>IF(U38-10=AD38+AE38+AF38+AC38+AG38,0,AA38)</f>
        <v>15736169.232310381</v>
      </c>
      <c r="AI38" s="238">
        <f>SUM(AC38:AH38)</f>
        <v>173097861.5554142</v>
      </c>
      <c r="AJ38" s="261">
        <f>P38</f>
        <v>2007</v>
      </c>
      <c r="AK38" s="233">
        <f>U38-AI38</f>
        <v>613710610.06010485</v>
      </c>
      <c r="AM38" s="116" t="s">
        <v>4245</v>
      </c>
    </row>
    <row r="39" spans="1:39" s="120" customFormat="1" ht="35.25" hidden="1" customHeight="1" x14ac:dyDescent="0.2">
      <c r="A39" s="120">
        <v>260</v>
      </c>
      <c r="B39" s="116" t="str">
        <f>VLOOKUP(A39,RUAS,2,0)</f>
        <v>BENAI - KOTO RAJO</v>
      </c>
      <c r="D39" s="120">
        <v>3</v>
      </c>
      <c r="E39" s="116" t="str">
        <f t="shared" si="17"/>
        <v>260.3</v>
      </c>
      <c r="F39" s="218"/>
      <c r="G39" s="130"/>
      <c r="H39" s="248" t="s">
        <v>3035</v>
      </c>
      <c r="I39" s="184" t="s">
        <v>2494</v>
      </c>
      <c r="J39" s="183"/>
      <c r="K39" s="184"/>
      <c r="L39" s="361"/>
      <c r="M39" s="183"/>
      <c r="N39" s="361"/>
      <c r="O39" s="247" t="s">
        <v>3105</v>
      </c>
      <c r="P39" s="184">
        <v>2017</v>
      </c>
      <c r="Q39" s="183"/>
      <c r="R39" s="183"/>
      <c r="S39" s="183"/>
      <c r="T39" s="32" t="s">
        <v>12</v>
      </c>
      <c r="U39" s="256">
        <v>6716002158</v>
      </c>
      <c r="V39" s="68"/>
      <c r="W39" s="61"/>
      <c r="X39" s="206" t="str">
        <f>MID(I39,2,7)</f>
        <v>4.13.01</v>
      </c>
      <c r="Y39" s="207" t="str">
        <f>VLOOKUP(X39,kelompok,2,0)</f>
        <v>JALAN</v>
      </c>
      <c r="Z39" s="207">
        <f>VLOOKUP(X39,MASAMANFAAT,4,0)</f>
        <v>10</v>
      </c>
      <c r="AA39" s="233">
        <f>(U39-10)/Z39</f>
        <v>671600214.79999995</v>
      </c>
      <c r="AB39" s="208"/>
      <c r="AC39" s="233"/>
      <c r="AD39" s="233"/>
      <c r="AE39" s="233"/>
      <c r="AF39" s="233"/>
      <c r="AG39" s="233"/>
      <c r="AH39" s="238">
        <f>IF(U39-10=AD39+AE39+AF39+AC39+AG39,0,AA39)</f>
        <v>671600214.79999995</v>
      </c>
      <c r="AI39" s="238">
        <f>SUM(AC39:AH39)</f>
        <v>671600214.79999995</v>
      </c>
      <c r="AJ39" s="261">
        <f>P39</f>
        <v>2017</v>
      </c>
      <c r="AK39" s="233">
        <f>U39-AI39</f>
        <v>6044401943.1999998</v>
      </c>
      <c r="AM39" s="116" t="s">
        <v>4245</v>
      </c>
    </row>
    <row r="40" spans="1:39" s="120" customFormat="1" ht="35.25" hidden="1" customHeight="1" x14ac:dyDescent="0.2">
      <c r="A40" s="120">
        <v>260</v>
      </c>
      <c r="B40" s="116" t="str">
        <f>VLOOKUP(A40,RUAS,2,0)</f>
        <v>BENAI - KOTO RAJO</v>
      </c>
      <c r="D40" s="120">
        <v>4</v>
      </c>
      <c r="E40" s="116" t="str">
        <f t="shared" si="17"/>
        <v>260.4</v>
      </c>
      <c r="F40" s="218"/>
      <c r="G40" s="130"/>
      <c r="H40" s="248" t="s">
        <v>3040</v>
      </c>
      <c r="I40" s="184" t="s">
        <v>2494</v>
      </c>
      <c r="J40" s="183"/>
      <c r="K40" s="184"/>
      <c r="L40" s="361"/>
      <c r="M40" s="183"/>
      <c r="N40" s="361"/>
      <c r="O40" s="247" t="s">
        <v>3105</v>
      </c>
      <c r="P40" s="184">
        <v>2017</v>
      </c>
      <c r="Q40" s="183"/>
      <c r="R40" s="183"/>
      <c r="S40" s="183"/>
      <c r="T40" s="32" t="s">
        <v>12</v>
      </c>
      <c r="U40" s="256">
        <v>248765000</v>
      </c>
      <c r="V40" s="68"/>
      <c r="W40" s="61"/>
      <c r="X40" s="206" t="str">
        <f>MID(I40,2,7)</f>
        <v>4.13.01</v>
      </c>
      <c r="Y40" s="207" t="str">
        <f>VLOOKUP(X40,kelompok,2,0)</f>
        <v>JALAN</v>
      </c>
      <c r="Z40" s="207">
        <f>VLOOKUP(X40,MASAMANFAAT,4,0)</f>
        <v>10</v>
      </c>
      <c r="AA40" s="233">
        <f>(U40-10)/Z40</f>
        <v>24876499</v>
      </c>
      <c r="AB40" s="208"/>
      <c r="AC40" s="233"/>
      <c r="AD40" s="233"/>
      <c r="AE40" s="233"/>
      <c r="AF40" s="233"/>
      <c r="AG40" s="233"/>
      <c r="AH40" s="238">
        <f>IF(U40-10=AD40+AE40+AF40+AC40+AG40,0,AA40)</f>
        <v>24876499</v>
      </c>
      <c r="AI40" s="238">
        <f>SUM(AC40:AH40)</f>
        <v>24876499</v>
      </c>
      <c r="AJ40" s="261">
        <f>P40</f>
        <v>2017</v>
      </c>
      <c r="AK40" s="233">
        <f>U40-AI40</f>
        <v>223888501</v>
      </c>
      <c r="AM40" s="116" t="s">
        <v>4245</v>
      </c>
    </row>
    <row r="41" spans="1:39" s="116" customFormat="1" ht="35.25" hidden="1" customHeight="1" x14ac:dyDescent="0.2">
      <c r="A41" s="116">
        <v>83</v>
      </c>
      <c r="B41" s="116" t="str">
        <f t="shared" si="1"/>
        <v>LUBUK JAMBI - LUBUK AMBACANG</v>
      </c>
      <c r="D41" s="116">
        <v>1</v>
      </c>
      <c r="E41" s="120" t="str">
        <f>A41&amp;"."&amp;D41</f>
        <v>83.1</v>
      </c>
      <c r="F41" s="218" t="str">
        <f t="shared" si="5"/>
        <v>4.13.01</v>
      </c>
      <c r="G41" s="53"/>
      <c r="H41" s="67" t="s">
        <v>1134</v>
      </c>
      <c r="I41" s="33" t="s">
        <v>3820</v>
      </c>
      <c r="J41" s="63"/>
      <c r="K41" s="33" t="s">
        <v>8</v>
      </c>
      <c r="L41" s="360">
        <v>10500</v>
      </c>
      <c r="M41" s="40">
        <v>8</v>
      </c>
      <c r="N41" s="360">
        <v>84000</v>
      </c>
      <c r="O41" s="72" t="s">
        <v>3077</v>
      </c>
      <c r="P41" s="33">
        <v>2001</v>
      </c>
      <c r="Q41" s="40"/>
      <c r="R41" s="40"/>
      <c r="S41" s="40" t="s">
        <v>384</v>
      </c>
      <c r="T41" s="40" t="s">
        <v>12</v>
      </c>
      <c r="U41" s="251">
        <v>9141204662</v>
      </c>
      <c r="V41" s="33" t="s">
        <v>43</v>
      </c>
      <c r="W41" s="127"/>
      <c r="X41" s="206" t="str">
        <f t="shared" ref="X41:X72" si="18">F41</f>
        <v>4.13.01</v>
      </c>
      <c r="Y41" s="207" t="str">
        <f t="shared" si="3"/>
        <v>JALAN</v>
      </c>
      <c r="Z41" s="207">
        <f t="shared" si="4"/>
        <v>10</v>
      </c>
      <c r="AA41" s="233">
        <f t="shared" si="6"/>
        <v>914120465.20000005</v>
      </c>
      <c r="AB41" s="208">
        <f t="shared" si="7"/>
        <v>12</v>
      </c>
      <c r="AC41" s="233">
        <f t="shared" si="8"/>
        <v>9141204652</v>
      </c>
      <c r="AD41" s="233">
        <f t="shared" si="9"/>
        <v>0</v>
      </c>
      <c r="AE41" s="233">
        <f t="shared" si="10"/>
        <v>0</v>
      </c>
      <c r="AF41" s="233">
        <f t="shared" si="11"/>
        <v>0</v>
      </c>
      <c r="AG41" s="233">
        <f t="shared" si="12"/>
        <v>0</v>
      </c>
      <c r="AH41" s="238">
        <f t="shared" si="13"/>
        <v>0</v>
      </c>
      <c r="AI41" s="238">
        <f t="shared" si="14"/>
        <v>9141204652</v>
      </c>
      <c r="AJ41" s="261">
        <f t="shared" si="15"/>
        <v>2001</v>
      </c>
      <c r="AK41" s="233">
        <f t="shared" si="16"/>
        <v>10</v>
      </c>
    </row>
    <row r="42" spans="1:39" s="116" customFormat="1" ht="35.25" hidden="1" customHeight="1" x14ac:dyDescent="0.2">
      <c r="B42" s="116" t="e">
        <f t="shared" si="1"/>
        <v>#N/A</v>
      </c>
      <c r="F42" s="218" t="str">
        <f t="shared" si="5"/>
        <v>4.13.01</v>
      </c>
      <c r="G42" s="53"/>
      <c r="H42" s="67" t="s">
        <v>483</v>
      </c>
      <c r="I42" s="33" t="s">
        <v>3820</v>
      </c>
      <c r="J42" s="63"/>
      <c r="K42" s="33" t="s">
        <v>479</v>
      </c>
      <c r="L42" s="360" t="s">
        <v>520</v>
      </c>
      <c r="M42" s="40"/>
      <c r="N42" s="360"/>
      <c r="O42" s="72" t="s">
        <v>521</v>
      </c>
      <c r="P42" s="33">
        <v>2001</v>
      </c>
      <c r="Q42" s="40"/>
      <c r="R42" s="40"/>
      <c r="S42" s="40" t="s">
        <v>482</v>
      </c>
      <c r="T42" s="40" t="s">
        <v>12</v>
      </c>
      <c r="U42" s="251">
        <v>4900000000</v>
      </c>
      <c r="V42" s="33" t="s">
        <v>135</v>
      </c>
      <c r="W42" s="127"/>
      <c r="X42" s="206" t="str">
        <f t="shared" si="18"/>
        <v>4.13.01</v>
      </c>
      <c r="Y42" s="207" t="str">
        <f t="shared" si="3"/>
        <v>JALAN</v>
      </c>
      <c r="Z42" s="207">
        <f t="shared" si="4"/>
        <v>10</v>
      </c>
      <c r="AA42" s="233">
        <f t="shared" si="6"/>
        <v>489999999</v>
      </c>
      <c r="AB42" s="208">
        <f t="shared" si="7"/>
        <v>12</v>
      </c>
      <c r="AC42" s="233">
        <f t="shared" si="8"/>
        <v>4899999990</v>
      </c>
      <c r="AD42" s="233">
        <f t="shared" si="9"/>
        <v>0</v>
      </c>
      <c r="AE42" s="233">
        <f t="shared" si="10"/>
        <v>0</v>
      </c>
      <c r="AF42" s="233">
        <f t="shared" si="11"/>
        <v>0</v>
      </c>
      <c r="AG42" s="233">
        <f t="shared" si="12"/>
        <v>0</v>
      </c>
      <c r="AH42" s="238">
        <f t="shared" si="13"/>
        <v>0</v>
      </c>
      <c r="AI42" s="238">
        <f t="shared" si="14"/>
        <v>4899999990</v>
      </c>
      <c r="AJ42" s="261">
        <f t="shared" si="15"/>
        <v>2001</v>
      </c>
      <c r="AK42" s="233">
        <f t="shared" si="16"/>
        <v>10</v>
      </c>
    </row>
    <row r="43" spans="1:39" s="116" customFormat="1" ht="35.25" hidden="1" customHeight="1" x14ac:dyDescent="0.2">
      <c r="B43" s="116" t="e">
        <f t="shared" si="1"/>
        <v>#N/A</v>
      </c>
      <c r="F43" s="218" t="str">
        <f t="shared" si="5"/>
        <v>4.13.01</v>
      </c>
      <c r="G43" s="53"/>
      <c r="H43" s="67" t="s">
        <v>483</v>
      </c>
      <c r="I43" s="33" t="s">
        <v>3820</v>
      </c>
      <c r="J43" s="63"/>
      <c r="K43" s="33" t="s">
        <v>479</v>
      </c>
      <c r="L43" s="360" t="s">
        <v>522</v>
      </c>
      <c r="M43" s="40"/>
      <c r="N43" s="360"/>
      <c r="O43" s="72" t="s">
        <v>523</v>
      </c>
      <c r="P43" s="33">
        <v>2001</v>
      </c>
      <c r="Q43" s="40"/>
      <c r="R43" s="40"/>
      <c r="S43" s="40" t="s">
        <v>482</v>
      </c>
      <c r="T43" s="40" t="s">
        <v>12</v>
      </c>
      <c r="U43" s="251">
        <v>4410000000</v>
      </c>
      <c r="V43" s="33" t="s">
        <v>43</v>
      </c>
      <c r="W43" s="127"/>
      <c r="X43" s="206" t="str">
        <f t="shared" si="18"/>
        <v>4.13.01</v>
      </c>
      <c r="Y43" s="207" t="str">
        <f t="shared" si="3"/>
        <v>JALAN</v>
      </c>
      <c r="Z43" s="207">
        <f t="shared" si="4"/>
        <v>10</v>
      </c>
      <c r="AA43" s="233">
        <f t="shared" si="6"/>
        <v>440999999</v>
      </c>
      <c r="AB43" s="208">
        <f t="shared" si="7"/>
        <v>12</v>
      </c>
      <c r="AC43" s="233">
        <f t="shared" si="8"/>
        <v>4409999990</v>
      </c>
      <c r="AD43" s="233">
        <f t="shared" si="9"/>
        <v>0</v>
      </c>
      <c r="AE43" s="233">
        <f t="shared" si="10"/>
        <v>0</v>
      </c>
      <c r="AF43" s="233">
        <f t="shared" si="11"/>
        <v>0</v>
      </c>
      <c r="AG43" s="233">
        <f t="shared" si="12"/>
        <v>0</v>
      </c>
      <c r="AH43" s="238">
        <f t="shared" si="13"/>
        <v>0</v>
      </c>
      <c r="AI43" s="238">
        <f t="shared" si="14"/>
        <v>4409999990</v>
      </c>
      <c r="AJ43" s="261">
        <f t="shared" si="15"/>
        <v>2001</v>
      </c>
      <c r="AK43" s="233">
        <f t="shared" si="16"/>
        <v>10</v>
      </c>
    </row>
    <row r="44" spans="1:39" s="116" customFormat="1" ht="35.25" hidden="1" customHeight="1" x14ac:dyDescent="0.2">
      <c r="A44" s="116">
        <v>121</v>
      </c>
      <c r="B44" s="116" t="str">
        <f t="shared" si="1"/>
        <v>SIMP. SEI. ALA - SEI. ALA</v>
      </c>
      <c r="D44" s="116">
        <v>1</v>
      </c>
      <c r="E44" s="116" t="str">
        <f>A44&amp;"."&amp;D44</f>
        <v>121.1</v>
      </c>
      <c r="F44" s="218" t="str">
        <f t="shared" si="5"/>
        <v>4.13.01</v>
      </c>
      <c r="G44" s="53"/>
      <c r="H44" s="67" t="s">
        <v>483</v>
      </c>
      <c r="I44" s="33" t="s">
        <v>3820</v>
      </c>
      <c r="J44" s="63"/>
      <c r="K44" s="33" t="s">
        <v>484</v>
      </c>
      <c r="L44" s="360">
        <v>2750</v>
      </c>
      <c r="M44" s="40">
        <v>7</v>
      </c>
      <c r="N44" s="360">
        <v>19250</v>
      </c>
      <c r="O44" s="72" t="s">
        <v>524</v>
      </c>
      <c r="P44" s="33">
        <v>2001</v>
      </c>
      <c r="Q44" s="40"/>
      <c r="R44" s="40"/>
      <c r="S44" s="40" t="s">
        <v>384</v>
      </c>
      <c r="T44" s="40" t="s">
        <v>12</v>
      </c>
      <c r="U44" s="251">
        <v>1056000000</v>
      </c>
      <c r="V44" s="33" t="s">
        <v>43</v>
      </c>
      <c r="W44" s="127"/>
      <c r="X44" s="206" t="str">
        <f t="shared" si="18"/>
        <v>4.13.01</v>
      </c>
      <c r="Y44" s="207" t="str">
        <f t="shared" si="3"/>
        <v>JALAN</v>
      </c>
      <c r="Z44" s="207">
        <f t="shared" si="4"/>
        <v>10</v>
      </c>
      <c r="AA44" s="233">
        <f t="shared" si="6"/>
        <v>105599999</v>
      </c>
      <c r="AB44" s="208">
        <f t="shared" si="7"/>
        <v>12</v>
      </c>
      <c r="AC44" s="233">
        <f t="shared" si="8"/>
        <v>1055999990</v>
      </c>
      <c r="AD44" s="233">
        <f t="shared" si="9"/>
        <v>0</v>
      </c>
      <c r="AE44" s="233">
        <f t="shared" si="10"/>
        <v>0</v>
      </c>
      <c r="AF44" s="233">
        <f t="shared" si="11"/>
        <v>0</v>
      </c>
      <c r="AG44" s="233">
        <f t="shared" si="12"/>
        <v>0</v>
      </c>
      <c r="AH44" s="238">
        <f t="shared" si="13"/>
        <v>0</v>
      </c>
      <c r="AI44" s="238">
        <f t="shared" si="14"/>
        <v>1055999990</v>
      </c>
      <c r="AJ44" s="261">
        <f t="shared" si="15"/>
        <v>2001</v>
      </c>
      <c r="AK44" s="233">
        <f t="shared" si="16"/>
        <v>10</v>
      </c>
    </row>
    <row r="45" spans="1:39" s="116" customFormat="1" ht="35.25" hidden="1" customHeight="1" x14ac:dyDescent="0.2">
      <c r="A45" s="116">
        <v>122</v>
      </c>
      <c r="B45" s="116" t="str">
        <f t="shared" si="1"/>
        <v>SIMP. SEI. PINANG - TANJUNG</v>
      </c>
      <c r="D45" s="116">
        <v>1</v>
      </c>
      <c r="E45" s="116" t="str">
        <f>A45&amp;"."&amp;D45</f>
        <v>122.1</v>
      </c>
      <c r="F45" s="218" t="str">
        <f t="shared" si="5"/>
        <v>4.13.01</v>
      </c>
      <c r="G45" s="53"/>
      <c r="H45" s="67" t="s">
        <v>483</v>
      </c>
      <c r="I45" s="33" t="s">
        <v>3820</v>
      </c>
      <c r="J45" s="63"/>
      <c r="K45" s="33" t="s">
        <v>525</v>
      </c>
      <c r="L45" s="360">
        <v>5050</v>
      </c>
      <c r="M45" s="40">
        <v>7</v>
      </c>
      <c r="N45" s="360">
        <v>14000</v>
      </c>
      <c r="O45" s="72" t="s">
        <v>526</v>
      </c>
      <c r="P45" s="33">
        <v>2001</v>
      </c>
      <c r="Q45" s="40"/>
      <c r="R45" s="40"/>
      <c r="S45" s="40" t="s">
        <v>384</v>
      </c>
      <c r="T45" s="40" t="s">
        <v>12</v>
      </c>
      <c r="U45" s="251">
        <v>4029052001.6099997</v>
      </c>
      <c r="V45" s="33" t="s">
        <v>43</v>
      </c>
      <c r="W45" s="127"/>
      <c r="X45" s="206" t="str">
        <f t="shared" si="18"/>
        <v>4.13.01</v>
      </c>
      <c r="Y45" s="207" t="str">
        <f t="shared" si="3"/>
        <v>JALAN</v>
      </c>
      <c r="Z45" s="207">
        <f t="shared" si="4"/>
        <v>10</v>
      </c>
      <c r="AA45" s="233">
        <f t="shared" si="6"/>
        <v>402905199.16099995</v>
      </c>
      <c r="AB45" s="208">
        <f t="shared" si="7"/>
        <v>12</v>
      </c>
      <c r="AC45" s="233">
        <f t="shared" si="8"/>
        <v>4029051991.6099997</v>
      </c>
      <c r="AD45" s="233">
        <f t="shared" si="9"/>
        <v>0</v>
      </c>
      <c r="AE45" s="233">
        <f t="shared" si="10"/>
        <v>0</v>
      </c>
      <c r="AF45" s="233">
        <f t="shared" si="11"/>
        <v>0</v>
      </c>
      <c r="AG45" s="233">
        <f t="shared" si="12"/>
        <v>0</v>
      </c>
      <c r="AH45" s="238">
        <f t="shared" si="13"/>
        <v>0</v>
      </c>
      <c r="AI45" s="238">
        <f t="shared" si="14"/>
        <v>4029051991.6099997</v>
      </c>
      <c r="AJ45" s="261">
        <f t="shared" si="15"/>
        <v>2001</v>
      </c>
      <c r="AK45" s="233">
        <f t="shared" si="16"/>
        <v>10</v>
      </c>
    </row>
    <row r="46" spans="1:39" s="116" customFormat="1" ht="35.25" hidden="1" customHeight="1" x14ac:dyDescent="0.2">
      <c r="B46" s="116" t="e">
        <f t="shared" si="1"/>
        <v>#N/A</v>
      </c>
      <c r="F46" s="218" t="str">
        <f t="shared" si="5"/>
        <v>4.13.01</v>
      </c>
      <c r="G46" s="53"/>
      <c r="H46" s="67" t="s">
        <v>1135</v>
      </c>
      <c r="I46" s="33" t="s">
        <v>2494</v>
      </c>
      <c r="J46" s="63"/>
      <c r="K46" s="33" t="s">
        <v>479</v>
      </c>
      <c r="L46" s="360" t="s">
        <v>527</v>
      </c>
      <c r="M46" s="40"/>
      <c r="N46" s="360"/>
      <c r="O46" s="72" t="s">
        <v>3078</v>
      </c>
      <c r="P46" s="33">
        <v>2001</v>
      </c>
      <c r="Q46" s="40"/>
      <c r="R46" s="40"/>
      <c r="S46" s="40" t="s">
        <v>482</v>
      </c>
      <c r="T46" s="40" t="s">
        <v>12</v>
      </c>
      <c r="U46" s="251">
        <v>3741417795</v>
      </c>
      <c r="V46" s="33" t="s">
        <v>43</v>
      </c>
      <c r="W46" s="127"/>
      <c r="X46" s="206" t="str">
        <f t="shared" si="18"/>
        <v>4.13.01</v>
      </c>
      <c r="Y46" s="207" t="str">
        <f t="shared" si="3"/>
        <v>JALAN</v>
      </c>
      <c r="Z46" s="207">
        <f t="shared" si="4"/>
        <v>10</v>
      </c>
      <c r="AA46" s="233">
        <f t="shared" si="6"/>
        <v>374141778.5</v>
      </c>
      <c r="AB46" s="208">
        <f t="shared" si="7"/>
        <v>12</v>
      </c>
      <c r="AC46" s="233">
        <f t="shared" si="8"/>
        <v>3741417785</v>
      </c>
      <c r="AD46" s="233">
        <f t="shared" si="9"/>
        <v>0</v>
      </c>
      <c r="AE46" s="233">
        <f t="shared" si="10"/>
        <v>0</v>
      </c>
      <c r="AF46" s="233">
        <f t="shared" si="11"/>
        <v>0</v>
      </c>
      <c r="AG46" s="233">
        <f t="shared" si="12"/>
        <v>0</v>
      </c>
      <c r="AH46" s="238">
        <f t="shared" si="13"/>
        <v>0</v>
      </c>
      <c r="AI46" s="238">
        <f t="shared" si="14"/>
        <v>3741417785</v>
      </c>
      <c r="AJ46" s="261">
        <f t="shared" si="15"/>
        <v>2001</v>
      </c>
      <c r="AK46" s="233">
        <f t="shared" si="16"/>
        <v>10</v>
      </c>
    </row>
    <row r="47" spans="1:39" s="116" customFormat="1" ht="35.25" hidden="1" customHeight="1" x14ac:dyDescent="0.2">
      <c r="A47" s="116">
        <v>72</v>
      </c>
      <c r="B47" s="116" t="str">
        <f t="shared" si="1"/>
        <v>JL. MENUJU SMP 2</v>
      </c>
      <c r="D47" s="116">
        <v>1</v>
      </c>
      <c r="E47" s="120" t="str">
        <f t="shared" ref="E47:E67" si="19">A47&amp;"."&amp;D47</f>
        <v>72.1</v>
      </c>
      <c r="F47" s="218" t="str">
        <f t="shared" si="5"/>
        <v>4.13.01</v>
      </c>
      <c r="G47" s="53"/>
      <c r="H47" s="67" t="s">
        <v>529</v>
      </c>
      <c r="I47" s="33" t="s">
        <v>2494</v>
      </c>
      <c r="J47" s="63"/>
      <c r="K47" s="33" t="s">
        <v>479</v>
      </c>
      <c r="L47" s="360" t="s">
        <v>530</v>
      </c>
      <c r="M47" s="40">
        <v>8</v>
      </c>
      <c r="N47" s="360">
        <v>4000</v>
      </c>
      <c r="O47" s="72" t="s">
        <v>531</v>
      </c>
      <c r="P47" s="33">
        <v>2001</v>
      </c>
      <c r="Q47" s="40"/>
      <c r="R47" s="40"/>
      <c r="S47" s="40" t="s">
        <v>482</v>
      </c>
      <c r="T47" s="40" t="s">
        <v>12</v>
      </c>
      <c r="U47" s="251">
        <v>525000000</v>
      </c>
      <c r="V47" s="33" t="s">
        <v>43</v>
      </c>
      <c r="W47" s="127"/>
      <c r="X47" s="206" t="str">
        <f t="shared" si="18"/>
        <v>4.13.01</v>
      </c>
      <c r="Y47" s="207" t="str">
        <f t="shared" si="3"/>
        <v>JALAN</v>
      </c>
      <c r="Z47" s="207">
        <f t="shared" si="4"/>
        <v>10</v>
      </c>
      <c r="AA47" s="233">
        <f t="shared" si="6"/>
        <v>52499999</v>
      </c>
      <c r="AB47" s="208">
        <f t="shared" si="7"/>
        <v>12</v>
      </c>
      <c r="AC47" s="233">
        <f t="shared" si="8"/>
        <v>524999990</v>
      </c>
      <c r="AD47" s="233">
        <f t="shared" si="9"/>
        <v>0</v>
      </c>
      <c r="AE47" s="233">
        <f t="shared" si="10"/>
        <v>0</v>
      </c>
      <c r="AF47" s="233">
        <f t="shared" si="11"/>
        <v>0</v>
      </c>
      <c r="AG47" s="233">
        <f t="shared" si="12"/>
        <v>0</v>
      </c>
      <c r="AH47" s="238">
        <f t="shared" si="13"/>
        <v>0</v>
      </c>
      <c r="AI47" s="238">
        <f t="shared" si="14"/>
        <v>524999990</v>
      </c>
      <c r="AJ47" s="261">
        <f t="shared" si="15"/>
        <v>2001</v>
      </c>
      <c r="AK47" s="233">
        <f t="shared" si="16"/>
        <v>10</v>
      </c>
    </row>
    <row r="48" spans="1:39" s="116" customFormat="1" ht="35.25" hidden="1" customHeight="1" x14ac:dyDescent="0.2">
      <c r="A48" s="116">
        <v>73</v>
      </c>
      <c r="B48" s="116" t="str">
        <f t="shared" si="1"/>
        <v>JL. LIMUNO SELATAN</v>
      </c>
      <c r="D48" s="116">
        <v>1</v>
      </c>
      <c r="E48" s="120" t="str">
        <f t="shared" si="19"/>
        <v>73.1</v>
      </c>
      <c r="F48" s="218" t="str">
        <f t="shared" si="5"/>
        <v>4.13.01</v>
      </c>
      <c r="G48" s="53"/>
      <c r="H48" s="67" t="s">
        <v>529</v>
      </c>
      <c r="I48" s="33" t="s">
        <v>2494</v>
      </c>
      <c r="J48" s="63"/>
      <c r="K48" s="33" t="s">
        <v>479</v>
      </c>
      <c r="L48" s="360" t="s">
        <v>532</v>
      </c>
      <c r="M48" s="40">
        <v>8</v>
      </c>
      <c r="N48" s="360">
        <v>1104</v>
      </c>
      <c r="O48" s="72" t="s">
        <v>533</v>
      </c>
      <c r="P48" s="33">
        <v>2001</v>
      </c>
      <c r="Q48" s="40"/>
      <c r="R48" s="40"/>
      <c r="S48" s="40" t="s">
        <v>482</v>
      </c>
      <c r="T48" s="40" t="s">
        <v>12</v>
      </c>
      <c r="U48" s="251">
        <v>173880000</v>
      </c>
      <c r="V48" s="33" t="s">
        <v>43</v>
      </c>
      <c r="W48" s="127"/>
      <c r="X48" s="206" t="str">
        <f t="shared" si="18"/>
        <v>4.13.01</v>
      </c>
      <c r="Y48" s="207" t="str">
        <f t="shared" si="3"/>
        <v>JALAN</v>
      </c>
      <c r="Z48" s="207">
        <f t="shared" si="4"/>
        <v>10</v>
      </c>
      <c r="AA48" s="233">
        <f t="shared" si="6"/>
        <v>17387999</v>
      </c>
      <c r="AB48" s="208">
        <f t="shared" si="7"/>
        <v>12</v>
      </c>
      <c r="AC48" s="233">
        <f t="shared" si="8"/>
        <v>173879990</v>
      </c>
      <c r="AD48" s="233">
        <f t="shared" si="9"/>
        <v>0</v>
      </c>
      <c r="AE48" s="233">
        <f t="shared" si="10"/>
        <v>0</v>
      </c>
      <c r="AF48" s="233">
        <f t="shared" si="11"/>
        <v>0</v>
      </c>
      <c r="AG48" s="233">
        <f t="shared" si="12"/>
        <v>0</v>
      </c>
      <c r="AH48" s="238">
        <f t="shared" si="13"/>
        <v>0</v>
      </c>
      <c r="AI48" s="238">
        <f t="shared" si="14"/>
        <v>173879990</v>
      </c>
      <c r="AJ48" s="261">
        <f t="shared" si="15"/>
        <v>2001</v>
      </c>
      <c r="AK48" s="233">
        <f t="shared" si="16"/>
        <v>10</v>
      </c>
    </row>
    <row r="49" spans="1:37" s="116" customFormat="1" ht="35.25" hidden="1" customHeight="1" x14ac:dyDescent="0.2">
      <c r="A49" s="116">
        <v>75</v>
      </c>
      <c r="B49" s="116" t="str">
        <f t="shared" si="1"/>
        <v>BUNDARAN DPRD - JL. PROPINSI</v>
      </c>
      <c r="D49" s="116">
        <v>1</v>
      </c>
      <c r="E49" s="120" t="str">
        <f t="shared" si="19"/>
        <v>75.1</v>
      </c>
      <c r="F49" s="218" t="str">
        <f t="shared" si="5"/>
        <v>4.13.01</v>
      </c>
      <c r="G49" s="53"/>
      <c r="H49" s="67" t="s">
        <v>529</v>
      </c>
      <c r="I49" s="33" t="s">
        <v>2494</v>
      </c>
      <c r="J49" s="63"/>
      <c r="K49" s="33" t="s">
        <v>479</v>
      </c>
      <c r="L49" s="360" t="s">
        <v>534</v>
      </c>
      <c r="M49" s="40">
        <v>30</v>
      </c>
      <c r="N49" s="360">
        <v>45000</v>
      </c>
      <c r="O49" s="72" t="s">
        <v>535</v>
      </c>
      <c r="P49" s="33">
        <v>2001</v>
      </c>
      <c r="Q49" s="40"/>
      <c r="R49" s="40"/>
      <c r="S49" s="40" t="s">
        <v>482</v>
      </c>
      <c r="T49" s="40" t="s">
        <v>12</v>
      </c>
      <c r="U49" s="251">
        <v>5670000000</v>
      </c>
      <c r="V49" s="33" t="s">
        <v>43</v>
      </c>
      <c r="W49" s="127"/>
      <c r="X49" s="206" t="str">
        <f t="shared" si="18"/>
        <v>4.13.01</v>
      </c>
      <c r="Y49" s="207" t="str">
        <f t="shared" si="3"/>
        <v>JALAN</v>
      </c>
      <c r="Z49" s="207">
        <f t="shared" si="4"/>
        <v>10</v>
      </c>
      <c r="AA49" s="233">
        <f t="shared" si="6"/>
        <v>566999999</v>
      </c>
      <c r="AB49" s="208">
        <f t="shared" si="7"/>
        <v>12</v>
      </c>
      <c r="AC49" s="233">
        <f t="shared" si="8"/>
        <v>5669999990</v>
      </c>
      <c r="AD49" s="233">
        <f t="shared" si="9"/>
        <v>0</v>
      </c>
      <c r="AE49" s="233">
        <f t="shared" si="10"/>
        <v>0</v>
      </c>
      <c r="AF49" s="233">
        <f t="shared" si="11"/>
        <v>0</v>
      </c>
      <c r="AG49" s="233">
        <f t="shared" si="12"/>
        <v>0</v>
      </c>
      <c r="AH49" s="238">
        <f t="shared" si="13"/>
        <v>0</v>
      </c>
      <c r="AI49" s="238">
        <f t="shared" si="14"/>
        <v>5669999990</v>
      </c>
      <c r="AJ49" s="261">
        <f t="shared" si="15"/>
        <v>2001</v>
      </c>
      <c r="AK49" s="233">
        <f t="shared" si="16"/>
        <v>10</v>
      </c>
    </row>
    <row r="50" spans="1:37" s="116" customFormat="1" ht="35.25" hidden="1" customHeight="1" x14ac:dyDescent="0.2">
      <c r="A50" s="116">
        <v>69</v>
      </c>
      <c r="B50" s="116" t="str">
        <f t="shared" si="1"/>
        <v>SIMP. RSUD - RSUD</v>
      </c>
      <c r="D50" s="116">
        <v>1</v>
      </c>
      <c r="E50" s="120" t="str">
        <f t="shared" si="19"/>
        <v>69.1</v>
      </c>
      <c r="F50" s="218" t="str">
        <f t="shared" si="5"/>
        <v>4.13.01</v>
      </c>
      <c r="G50" s="53"/>
      <c r="H50" s="67" t="s">
        <v>529</v>
      </c>
      <c r="I50" s="33" t="s">
        <v>2494</v>
      </c>
      <c r="J50" s="63"/>
      <c r="K50" s="33" t="s">
        <v>479</v>
      </c>
      <c r="L50" s="360" t="s">
        <v>536</v>
      </c>
      <c r="M50" s="40">
        <v>16</v>
      </c>
      <c r="N50" s="360">
        <v>4800</v>
      </c>
      <c r="O50" s="72" t="s">
        <v>537</v>
      </c>
      <c r="P50" s="33">
        <v>2001</v>
      </c>
      <c r="Q50" s="40"/>
      <c r="R50" s="40"/>
      <c r="S50" s="40" t="s">
        <v>482</v>
      </c>
      <c r="T50" s="40" t="s">
        <v>12</v>
      </c>
      <c r="U50" s="251">
        <v>614250000</v>
      </c>
      <c r="V50" s="33" t="s">
        <v>43</v>
      </c>
      <c r="W50" s="127"/>
      <c r="X50" s="206" t="str">
        <f t="shared" si="18"/>
        <v>4.13.01</v>
      </c>
      <c r="Y50" s="207" t="str">
        <f t="shared" si="3"/>
        <v>JALAN</v>
      </c>
      <c r="Z50" s="207">
        <f t="shared" si="4"/>
        <v>10</v>
      </c>
      <c r="AA50" s="233">
        <f t="shared" si="6"/>
        <v>61424999</v>
      </c>
      <c r="AB50" s="208">
        <f t="shared" si="7"/>
        <v>12</v>
      </c>
      <c r="AC50" s="233">
        <f t="shared" si="8"/>
        <v>614249990</v>
      </c>
      <c r="AD50" s="233">
        <f t="shared" si="9"/>
        <v>0</v>
      </c>
      <c r="AE50" s="233">
        <f t="shared" si="10"/>
        <v>0</v>
      </c>
      <c r="AF50" s="233">
        <f t="shared" si="11"/>
        <v>0</v>
      </c>
      <c r="AG50" s="233">
        <f t="shared" si="12"/>
        <v>0</v>
      </c>
      <c r="AH50" s="238">
        <f t="shared" si="13"/>
        <v>0</v>
      </c>
      <c r="AI50" s="238">
        <f t="shared" si="14"/>
        <v>614249990</v>
      </c>
      <c r="AJ50" s="261">
        <f t="shared" si="15"/>
        <v>2001</v>
      </c>
      <c r="AK50" s="233">
        <f t="shared" si="16"/>
        <v>10</v>
      </c>
    </row>
    <row r="51" spans="1:37" s="116" customFormat="1" ht="35.25" hidden="1" customHeight="1" x14ac:dyDescent="0.2">
      <c r="A51" s="116">
        <v>70</v>
      </c>
      <c r="B51" s="116" t="str">
        <f t="shared" si="1"/>
        <v>SP. KTR. BUPATI  - BUNDARAN DPRD(VIA DISPORA)</v>
      </c>
      <c r="D51" s="116">
        <v>1</v>
      </c>
      <c r="E51" s="120" t="str">
        <f t="shared" si="19"/>
        <v>70.1</v>
      </c>
      <c r="F51" s="218" t="str">
        <f t="shared" si="5"/>
        <v>4.13.01</v>
      </c>
      <c r="G51" s="53"/>
      <c r="H51" s="67" t="s">
        <v>529</v>
      </c>
      <c r="I51" s="33" t="s">
        <v>2494</v>
      </c>
      <c r="J51" s="63"/>
      <c r="K51" s="33" t="s">
        <v>479</v>
      </c>
      <c r="L51" s="360" t="s">
        <v>538</v>
      </c>
      <c r="M51" s="40">
        <v>20</v>
      </c>
      <c r="N51" s="360">
        <v>13440</v>
      </c>
      <c r="O51" s="72" t="s">
        <v>603</v>
      </c>
      <c r="P51" s="33">
        <v>2001</v>
      </c>
      <c r="Q51" s="40"/>
      <c r="R51" s="40"/>
      <c r="S51" s="40" t="s">
        <v>482</v>
      </c>
      <c r="T51" s="40" t="s">
        <v>12</v>
      </c>
      <c r="U51" s="251">
        <v>1375920000</v>
      </c>
      <c r="V51" s="33" t="s">
        <v>43</v>
      </c>
      <c r="W51" s="127"/>
      <c r="X51" s="206" t="str">
        <f t="shared" si="18"/>
        <v>4.13.01</v>
      </c>
      <c r="Y51" s="207" t="str">
        <f t="shared" si="3"/>
        <v>JALAN</v>
      </c>
      <c r="Z51" s="207">
        <f t="shared" si="4"/>
        <v>10</v>
      </c>
      <c r="AA51" s="233">
        <f t="shared" si="6"/>
        <v>137591999</v>
      </c>
      <c r="AB51" s="208">
        <f t="shared" si="7"/>
        <v>12</v>
      </c>
      <c r="AC51" s="233">
        <f t="shared" si="8"/>
        <v>1375919990</v>
      </c>
      <c r="AD51" s="233">
        <f t="shared" si="9"/>
        <v>0</v>
      </c>
      <c r="AE51" s="233">
        <f t="shared" si="10"/>
        <v>0</v>
      </c>
      <c r="AF51" s="233">
        <f t="shared" si="11"/>
        <v>0</v>
      </c>
      <c r="AG51" s="233">
        <f t="shared" si="12"/>
        <v>0</v>
      </c>
      <c r="AH51" s="238">
        <f t="shared" si="13"/>
        <v>0</v>
      </c>
      <c r="AI51" s="238">
        <f t="shared" si="14"/>
        <v>1375919990</v>
      </c>
      <c r="AJ51" s="261">
        <f t="shared" si="15"/>
        <v>2001</v>
      </c>
      <c r="AK51" s="233">
        <f t="shared" si="16"/>
        <v>10</v>
      </c>
    </row>
    <row r="52" spans="1:37" s="116" customFormat="1" ht="35.25" hidden="1" customHeight="1" x14ac:dyDescent="0.2">
      <c r="A52" s="116">
        <v>71</v>
      </c>
      <c r="B52" s="116" t="str">
        <f t="shared" si="1"/>
        <v>JL. KUANTAN</v>
      </c>
      <c r="D52" s="116">
        <v>1</v>
      </c>
      <c r="E52" s="120" t="str">
        <f t="shared" si="19"/>
        <v>71.1</v>
      </c>
      <c r="F52" s="218" t="str">
        <f t="shared" si="5"/>
        <v>4.13.01</v>
      </c>
      <c r="G52" s="53"/>
      <c r="H52" s="67" t="s">
        <v>529</v>
      </c>
      <c r="I52" s="33" t="s">
        <v>2494</v>
      </c>
      <c r="J52" s="63"/>
      <c r="K52" s="33" t="s">
        <v>479</v>
      </c>
      <c r="L52" s="360" t="s">
        <v>539</v>
      </c>
      <c r="M52" s="40">
        <v>8</v>
      </c>
      <c r="N52" s="360">
        <v>2000</v>
      </c>
      <c r="O52" s="72" t="s">
        <v>540</v>
      </c>
      <c r="P52" s="33">
        <v>2001</v>
      </c>
      <c r="Q52" s="40"/>
      <c r="R52" s="40"/>
      <c r="S52" s="40" t="s">
        <v>482</v>
      </c>
      <c r="T52" s="40" t="s">
        <v>12</v>
      </c>
      <c r="U52" s="251">
        <v>262500000</v>
      </c>
      <c r="V52" s="33" t="s">
        <v>43</v>
      </c>
      <c r="W52" s="127"/>
      <c r="X52" s="206" t="str">
        <f t="shared" si="18"/>
        <v>4.13.01</v>
      </c>
      <c r="Y52" s="207" t="str">
        <f t="shared" si="3"/>
        <v>JALAN</v>
      </c>
      <c r="Z52" s="207">
        <f t="shared" si="4"/>
        <v>10</v>
      </c>
      <c r="AA52" s="233">
        <f t="shared" si="6"/>
        <v>26249999</v>
      </c>
      <c r="AB52" s="208">
        <f t="shared" si="7"/>
        <v>12</v>
      </c>
      <c r="AC52" s="233">
        <f t="shared" si="8"/>
        <v>262499990</v>
      </c>
      <c r="AD52" s="233">
        <f t="shared" si="9"/>
        <v>0</v>
      </c>
      <c r="AE52" s="233">
        <f t="shared" si="10"/>
        <v>0</v>
      </c>
      <c r="AF52" s="233">
        <f t="shared" si="11"/>
        <v>0</v>
      </c>
      <c r="AG52" s="233">
        <f t="shared" si="12"/>
        <v>0</v>
      </c>
      <c r="AH52" s="238">
        <f t="shared" si="13"/>
        <v>0</v>
      </c>
      <c r="AI52" s="238">
        <f t="shared" si="14"/>
        <v>262499990</v>
      </c>
      <c r="AJ52" s="261">
        <f t="shared" si="15"/>
        <v>2001</v>
      </c>
      <c r="AK52" s="233">
        <f t="shared" si="16"/>
        <v>10</v>
      </c>
    </row>
    <row r="53" spans="1:37" s="116" customFormat="1" ht="35.25" hidden="1" customHeight="1" x14ac:dyDescent="0.2">
      <c r="A53" s="116">
        <v>66</v>
      </c>
      <c r="B53" s="116" t="str">
        <f t="shared" si="1"/>
        <v>JL. TELKOM - JK</v>
      </c>
      <c r="D53" s="116">
        <v>1</v>
      </c>
      <c r="E53" s="120" t="str">
        <f t="shared" si="19"/>
        <v>66.1</v>
      </c>
      <c r="F53" s="218" t="str">
        <f t="shared" si="5"/>
        <v>4.13.01</v>
      </c>
      <c r="G53" s="53"/>
      <c r="H53" s="67" t="s">
        <v>529</v>
      </c>
      <c r="I53" s="33" t="s">
        <v>2494</v>
      </c>
      <c r="J53" s="63"/>
      <c r="K53" s="33" t="s">
        <v>479</v>
      </c>
      <c r="L53" s="360" t="s">
        <v>541</v>
      </c>
      <c r="M53" s="40">
        <v>7</v>
      </c>
      <c r="N53" s="360">
        <v>4200</v>
      </c>
      <c r="O53" s="72" t="s">
        <v>542</v>
      </c>
      <c r="P53" s="33">
        <v>2001</v>
      </c>
      <c r="Q53" s="40"/>
      <c r="R53" s="40"/>
      <c r="S53" s="40" t="s">
        <v>482</v>
      </c>
      <c r="T53" s="40" t="s">
        <v>12</v>
      </c>
      <c r="U53" s="251">
        <v>756000000</v>
      </c>
      <c r="V53" s="33" t="s">
        <v>43</v>
      </c>
      <c r="W53" s="127"/>
      <c r="X53" s="206" t="str">
        <f t="shared" si="18"/>
        <v>4.13.01</v>
      </c>
      <c r="Y53" s="207" t="str">
        <f t="shared" si="3"/>
        <v>JALAN</v>
      </c>
      <c r="Z53" s="207">
        <f t="shared" si="4"/>
        <v>10</v>
      </c>
      <c r="AA53" s="233">
        <f t="shared" si="6"/>
        <v>75599999</v>
      </c>
      <c r="AB53" s="208">
        <f t="shared" si="7"/>
        <v>12</v>
      </c>
      <c r="AC53" s="233">
        <f t="shared" si="8"/>
        <v>755999990</v>
      </c>
      <c r="AD53" s="233">
        <f t="shared" si="9"/>
        <v>0</v>
      </c>
      <c r="AE53" s="233">
        <f t="shared" si="10"/>
        <v>0</v>
      </c>
      <c r="AF53" s="233">
        <f t="shared" si="11"/>
        <v>0</v>
      </c>
      <c r="AG53" s="233">
        <f t="shared" si="12"/>
        <v>0</v>
      </c>
      <c r="AH53" s="238">
        <f t="shared" si="13"/>
        <v>0</v>
      </c>
      <c r="AI53" s="238">
        <f t="shared" si="14"/>
        <v>755999990</v>
      </c>
      <c r="AJ53" s="261">
        <f t="shared" si="15"/>
        <v>2001</v>
      </c>
      <c r="AK53" s="233">
        <f t="shared" si="16"/>
        <v>10</v>
      </c>
    </row>
    <row r="54" spans="1:37" s="116" customFormat="1" ht="35.25" hidden="1" customHeight="1" x14ac:dyDescent="0.2">
      <c r="A54" s="116">
        <v>67</v>
      </c>
      <c r="B54" s="116" t="str">
        <f t="shared" si="1"/>
        <v>JL. INDUSTRI - JK. RUAS 231/231</v>
      </c>
      <c r="D54" s="116">
        <v>1</v>
      </c>
      <c r="E54" s="120" t="str">
        <f t="shared" si="19"/>
        <v>67.1</v>
      </c>
      <c r="F54" s="218" t="str">
        <f t="shared" si="5"/>
        <v>4.13.01</v>
      </c>
      <c r="G54" s="53"/>
      <c r="H54" s="67" t="s">
        <v>529</v>
      </c>
      <c r="I54" s="33" t="s">
        <v>2494</v>
      </c>
      <c r="J54" s="63"/>
      <c r="K54" s="33" t="s">
        <v>8</v>
      </c>
      <c r="L54" s="360" t="s">
        <v>501</v>
      </c>
      <c r="M54" s="40">
        <v>7</v>
      </c>
      <c r="N54" s="360">
        <v>24500</v>
      </c>
      <c r="O54" s="72" t="s">
        <v>543</v>
      </c>
      <c r="P54" s="33">
        <v>2001</v>
      </c>
      <c r="Q54" s="40"/>
      <c r="R54" s="40"/>
      <c r="S54" s="40" t="s">
        <v>482</v>
      </c>
      <c r="T54" s="40" t="s">
        <v>12</v>
      </c>
      <c r="U54" s="251">
        <v>630000000</v>
      </c>
      <c r="V54" s="33" t="s">
        <v>43</v>
      </c>
      <c r="W54" s="127"/>
      <c r="X54" s="206" t="str">
        <f t="shared" si="18"/>
        <v>4.13.01</v>
      </c>
      <c r="Y54" s="207" t="str">
        <f t="shared" si="3"/>
        <v>JALAN</v>
      </c>
      <c r="Z54" s="207">
        <f t="shared" si="4"/>
        <v>10</v>
      </c>
      <c r="AA54" s="233">
        <f t="shared" si="6"/>
        <v>62999999</v>
      </c>
      <c r="AB54" s="208">
        <f t="shared" si="7"/>
        <v>12</v>
      </c>
      <c r="AC54" s="233">
        <f t="shared" si="8"/>
        <v>629999990</v>
      </c>
      <c r="AD54" s="233">
        <f t="shared" si="9"/>
        <v>0</v>
      </c>
      <c r="AE54" s="233">
        <f t="shared" si="10"/>
        <v>0</v>
      </c>
      <c r="AF54" s="233">
        <f t="shared" si="11"/>
        <v>0</v>
      </c>
      <c r="AG54" s="233">
        <f t="shared" si="12"/>
        <v>0</v>
      </c>
      <c r="AH54" s="238">
        <f t="shared" si="13"/>
        <v>0</v>
      </c>
      <c r="AI54" s="238">
        <f t="shared" si="14"/>
        <v>629999990</v>
      </c>
      <c r="AJ54" s="261">
        <f t="shared" si="15"/>
        <v>2001</v>
      </c>
      <c r="AK54" s="233">
        <f t="shared" si="16"/>
        <v>10</v>
      </c>
    </row>
    <row r="55" spans="1:37" s="116" customFormat="1" ht="35.25" hidden="1" customHeight="1" x14ac:dyDescent="0.2">
      <c r="A55" s="116">
        <v>68</v>
      </c>
      <c r="B55" s="116" t="str">
        <f t="shared" si="1"/>
        <v xml:space="preserve">BUNDARAN DPRD - KANTOR  BUPATI </v>
      </c>
      <c r="D55" s="116">
        <v>1</v>
      </c>
      <c r="E55" s="120" t="str">
        <f t="shared" si="19"/>
        <v>68.1</v>
      </c>
      <c r="F55" s="218" t="str">
        <f t="shared" si="5"/>
        <v>4.13.01</v>
      </c>
      <c r="G55" s="53"/>
      <c r="H55" s="67" t="s">
        <v>529</v>
      </c>
      <c r="I55" s="33" t="s">
        <v>2494</v>
      </c>
      <c r="J55" s="63"/>
      <c r="K55" s="33" t="s">
        <v>479</v>
      </c>
      <c r="L55" s="360">
        <v>1100</v>
      </c>
      <c r="M55" s="40">
        <v>16</v>
      </c>
      <c r="N55" s="360">
        <v>17600</v>
      </c>
      <c r="O55" s="72" t="s">
        <v>3079</v>
      </c>
      <c r="P55" s="33">
        <v>2001</v>
      </c>
      <c r="Q55" s="40"/>
      <c r="R55" s="40"/>
      <c r="S55" s="40" t="s">
        <v>482</v>
      </c>
      <c r="T55" s="40" t="s">
        <v>12</v>
      </c>
      <c r="U55" s="251">
        <v>2252250000</v>
      </c>
      <c r="V55" s="33" t="s">
        <v>43</v>
      </c>
      <c r="W55" s="127"/>
      <c r="X55" s="206" t="str">
        <f t="shared" si="18"/>
        <v>4.13.01</v>
      </c>
      <c r="Y55" s="207" t="str">
        <f t="shared" si="3"/>
        <v>JALAN</v>
      </c>
      <c r="Z55" s="207">
        <f t="shared" si="4"/>
        <v>10</v>
      </c>
      <c r="AA55" s="233">
        <f t="shared" si="6"/>
        <v>225224999</v>
      </c>
      <c r="AB55" s="208">
        <f t="shared" si="7"/>
        <v>12</v>
      </c>
      <c r="AC55" s="233">
        <f t="shared" si="8"/>
        <v>2252249990</v>
      </c>
      <c r="AD55" s="233">
        <f t="shared" si="9"/>
        <v>0</v>
      </c>
      <c r="AE55" s="233">
        <f t="shared" si="10"/>
        <v>0</v>
      </c>
      <c r="AF55" s="233">
        <f t="shared" si="11"/>
        <v>0</v>
      </c>
      <c r="AG55" s="233">
        <f t="shared" si="12"/>
        <v>0</v>
      </c>
      <c r="AH55" s="238">
        <f t="shared" si="13"/>
        <v>0</v>
      </c>
      <c r="AI55" s="238">
        <f t="shared" si="14"/>
        <v>2252249990</v>
      </c>
      <c r="AJ55" s="261">
        <f t="shared" si="15"/>
        <v>2001</v>
      </c>
      <c r="AK55" s="233">
        <f t="shared" si="16"/>
        <v>10</v>
      </c>
    </row>
    <row r="56" spans="1:37" s="116" customFormat="1" ht="35.25" hidden="1" customHeight="1" x14ac:dyDescent="0.2">
      <c r="A56" s="116">
        <v>63</v>
      </c>
      <c r="B56" s="116" t="str">
        <f t="shared" si="1"/>
        <v>JL. PLTA - JK. RUAS 33/33 KM 0 + 100</v>
      </c>
      <c r="D56" s="116">
        <v>1</v>
      </c>
      <c r="E56" s="120" t="str">
        <f t="shared" si="19"/>
        <v>63.1</v>
      </c>
      <c r="F56" s="218" t="str">
        <f t="shared" si="5"/>
        <v>4.13.01</v>
      </c>
      <c r="G56" s="53"/>
      <c r="H56" s="67" t="s">
        <v>529</v>
      </c>
      <c r="I56" s="33" t="s">
        <v>2494</v>
      </c>
      <c r="J56" s="63"/>
      <c r="K56" s="33" t="s">
        <v>8</v>
      </c>
      <c r="L56" s="360" t="s">
        <v>530</v>
      </c>
      <c r="M56" s="40">
        <v>7</v>
      </c>
      <c r="N56" s="360">
        <v>3500</v>
      </c>
      <c r="O56" s="72" t="s">
        <v>544</v>
      </c>
      <c r="P56" s="33">
        <v>2001</v>
      </c>
      <c r="Q56" s="40"/>
      <c r="R56" s="40"/>
      <c r="S56" s="40" t="s">
        <v>482</v>
      </c>
      <c r="T56" s="40" t="s">
        <v>12</v>
      </c>
      <c r="U56" s="251">
        <v>90000000</v>
      </c>
      <c r="V56" s="33" t="s">
        <v>43</v>
      </c>
      <c r="W56" s="127"/>
      <c r="X56" s="206" t="str">
        <f t="shared" si="18"/>
        <v>4.13.01</v>
      </c>
      <c r="Y56" s="207" t="str">
        <f t="shared" si="3"/>
        <v>JALAN</v>
      </c>
      <c r="Z56" s="207">
        <f t="shared" si="4"/>
        <v>10</v>
      </c>
      <c r="AA56" s="233">
        <f t="shared" si="6"/>
        <v>8999999</v>
      </c>
      <c r="AB56" s="208">
        <f t="shared" si="7"/>
        <v>12</v>
      </c>
      <c r="AC56" s="233">
        <f t="shared" si="8"/>
        <v>89999990</v>
      </c>
      <c r="AD56" s="233">
        <f t="shared" si="9"/>
        <v>0</v>
      </c>
      <c r="AE56" s="233">
        <f t="shared" si="10"/>
        <v>0</v>
      </c>
      <c r="AF56" s="233">
        <f t="shared" si="11"/>
        <v>0</v>
      </c>
      <c r="AG56" s="233">
        <f t="shared" si="12"/>
        <v>0</v>
      </c>
      <c r="AH56" s="238">
        <f t="shared" si="13"/>
        <v>0</v>
      </c>
      <c r="AI56" s="238">
        <f t="shared" si="14"/>
        <v>89999990</v>
      </c>
      <c r="AJ56" s="261">
        <f t="shared" si="15"/>
        <v>2001</v>
      </c>
      <c r="AK56" s="233">
        <f t="shared" si="16"/>
        <v>10</v>
      </c>
    </row>
    <row r="57" spans="1:37" s="116" customFormat="1" ht="35.25" hidden="1" customHeight="1" x14ac:dyDescent="0.2">
      <c r="A57" s="116">
        <v>64</v>
      </c>
      <c r="B57" s="116" t="str">
        <f t="shared" si="1"/>
        <v>JL. SMK - SMK</v>
      </c>
      <c r="D57" s="116">
        <v>1</v>
      </c>
      <c r="E57" s="120" t="str">
        <f t="shared" si="19"/>
        <v>64.1</v>
      </c>
      <c r="F57" s="218" t="str">
        <f t="shared" si="5"/>
        <v>4.13.01</v>
      </c>
      <c r="G57" s="53"/>
      <c r="H57" s="67" t="s">
        <v>529</v>
      </c>
      <c r="I57" s="33" t="s">
        <v>2494</v>
      </c>
      <c r="J57" s="63"/>
      <c r="K57" s="33" t="s">
        <v>8</v>
      </c>
      <c r="L57" s="360" t="s">
        <v>541</v>
      </c>
      <c r="M57" s="40">
        <v>7</v>
      </c>
      <c r="N57" s="360">
        <v>4200</v>
      </c>
      <c r="O57" s="72" t="s">
        <v>545</v>
      </c>
      <c r="P57" s="33">
        <v>2001</v>
      </c>
      <c r="Q57" s="40"/>
      <c r="R57" s="40"/>
      <c r="S57" s="40" t="s">
        <v>482</v>
      </c>
      <c r="T57" s="40" t="s">
        <v>12</v>
      </c>
      <c r="U57" s="251">
        <v>108000000</v>
      </c>
      <c r="V57" s="33" t="s">
        <v>43</v>
      </c>
      <c r="W57" s="127"/>
      <c r="X57" s="206" t="str">
        <f t="shared" si="18"/>
        <v>4.13.01</v>
      </c>
      <c r="Y57" s="207" t="str">
        <f t="shared" si="3"/>
        <v>JALAN</v>
      </c>
      <c r="Z57" s="207">
        <f t="shared" si="4"/>
        <v>10</v>
      </c>
      <c r="AA57" s="233">
        <f t="shared" si="6"/>
        <v>10799999</v>
      </c>
      <c r="AB57" s="208">
        <f t="shared" si="7"/>
        <v>12</v>
      </c>
      <c r="AC57" s="233">
        <f t="shared" si="8"/>
        <v>107999990</v>
      </c>
      <c r="AD57" s="233">
        <f t="shared" si="9"/>
        <v>0</v>
      </c>
      <c r="AE57" s="233">
        <f t="shared" si="10"/>
        <v>0</v>
      </c>
      <c r="AF57" s="233">
        <f t="shared" si="11"/>
        <v>0</v>
      </c>
      <c r="AG57" s="233">
        <f t="shared" si="12"/>
        <v>0</v>
      </c>
      <c r="AH57" s="238">
        <f t="shared" si="13"/>
        <v>0</v>
      </c>
      <c r="AI57" s="238">
        <f t="shared" si="14"/>
        <v>107999990</v>
      </c>
      <c r="AJ57" s="261">
        <f t="shared" si="15"/>
        <v>2001</v>
      </c>
      <c r="AK57" s="233">
        <f t="shared" si="16"/>
        <v>10</v>
      </c>
    </row>
    <row r="58" spans="1:37" s="116" customFormat="1" ht="35.25" hidden="1" customHeight="1" x14ac:dyDescent="0.2">
      <c r="A58" s="116">
        <v>65</v>
      </c>
      <c r="B58" s="116" t="str">
        <f t="shared" si="1"/>
        <v>SIMP. STM BERINGIN - SAWAH</v>
      </c>
      <c r="D58" s="116">
        <v>1</v>
      </c>
      <c r="E58" s="120" t="str">
        <f t="shared" si="19"/>
        <v>65.1</v>
      </c>
      <c r="F58" s="218" t="str">
        <f t="shared" si="5"/>
        <v>4.13.01</v>
      </c>
      <c r="G58" s="53"/>
      <c r="H58" s="67" t="s">
        <v>529</v>
      </c>
      <c r="I58" s="33" t="s">
        <v>2494</v>
      </c>
      <c r="J58" s="63"/>
      <c r="K58" s="33" t="s">
        <v>479</v>
      </c>
      <c r="L58" s="360" t="s">
        <v>490</v>
      </c>
      <c r="M58" s="40"/>
      <c r="N58" s="360">
        <v>38600</v>
      </c>
      <c r="O58" s="72" t="s">
        <v>546</v>
      </c>
      <c r="P58" s="33">
        <v>2001</v>
      </c>
      <c r="Q58" s="40"/>
      <c r="R58" s="40"/>
      <c r="S58" s="40" t="s">
        <v>482</v>
      </c>
      <c r="T58" s="40" t="s">
        <v>12</v>
      </c>
      <c r="U58" s="251">
        <v>4725000000</v>
      </c>
      <c r="V58" s="33" t="s">
        <v>43</v>
      </c>
      <c r="W58" s="127"/>
      <c r="X58" s="206" t="str">
        <f t="shared" si="18"/>
        <v>4.13.01</v>
      </c>
      <c r="Y58" s="207" t="str">
        <f t="shared" si="3"/>
        <v>JALAN</v>
      </c>
      <c r="Z58" s="207">
        <f t="shared" si="4"/>
        <v>10</v>
      </c>
      <c r="AA58" s="233">
        <f t="shared" si="6"/>
        <v>472499999</v>
      </c>
      <c r="AB58" s="208">
        <f t="shared" si="7"/>
        <v>12</v>
      </c>
      <c r="AC58" s="233">
        <f t="shared" si="8"/>
        <v>4724999990</v>
      </c>
      <c r="AD58" s="233">
        <f t="shared" si="9"/>
        <v>0</v>
      </c>
      <c r="AE58" s="233">
        <f t="shared" si="10"/>
        <v>0</v>
      </c>
      <c r="AF58" s="233">
        <f t="shared" si="11"/>
        <v>0</v>
      </c>
      <c r="AG58" s="233">
        <f t="shared" si="12"/>
        <v>0</v>
      </c>
      <c r="AH58" s="238">
        <f t="shared" si="13"/>
        <v>0</v>
      </c>
      <c r="AI58" s="238">
        <f t="shared" si="14"/>
        <v>4724999990</v>
      </c>
      <c r="AJ58" s="261">
        <f t="shared" si="15"/>
        <v>2001</v>
      </c>
      <c r="AK58" s="233">
        <f t="shared" si="16"/>
        <v>10</v>
      </c>
    </row>
    <row r="59" spans="1:37" s="116" customFormat="1" ht="35.25" hidden="1" customHeight="1" x14ac:dyDescent="0.2">
      <c r="A59" s="116">
        <v>60</v>
      </c>
      <c r="B59" s="116" t="str">
        <f t="shared" si="1"/>
        <v>JL. PADAT KARYA I - JP. KM 162 + 300</v>
      </c>
      <c r="D59" s="116">
        <v>1</v>
      </c>
      <c r="E59" s="120" t="str">
        <f t="shared" si="19"/>
        <v>60.1</v>
      </c>
      <c r="F59" s="218" t="str">
        <f t="shared" si="5"/>
        <v>4.13.01</v>
      </c>
      <c r="G59" s="53"/>
      <c r="H59" s="67" t="s">
        <v>529</v>
      </c>
      <c r="I59" s="33" t="s">
        <v>2494</v>
      </c>
      <c r="J59" s="63"/>
      <c r="K59" s="33" t="s">
        <v>492</v>
      </c>
      <c r="L59" s="360" t="s">
        <v>541</v>
      </c>
      <c r="M59" s="40">
        <v>7</v>
      </c>
      <c r="N59" s="360">
        <v>4200</v>
      </c>
      <c r="O59" s="72" t="s">
        <v>547</v>
      </c>
      <c r="P59" s="33">
        <v>2001</v>
      </c>
      <c r="Q59" s="40"/>
      <c r="R59" s="40"/>
      <c r="S59" s="40" t="s">
        <v>482</v>
      </c>
      <c r="T59" s="40" t="s">
        <v>12</v>
      </c>
      <c r="U59" s="251">
        <v>216000000</v>
      </c>
      <c r="V59" s="33" t="s">
        <v>43</v>
      </c>
      <c r="W59" s="127"/>
      <c r="X59" s="206" t="str">
        <f t="shared" si="18"/>
        <v>4.13.01</v>
      </c>
      <c r="Y59" s="207" t="str">
        <f t="shared" si="3"/>
        <v>JALAN</v>
      </c>
      <c r="Z59" s="207">
        <f t="shared" si="4"/>
        <v>10</v>
      </c>
      <c r="AA59" s="233">
        <f t="shared" si="6"/>
        <v>21599999</v>
      </c>
      <c r="AB59" s="208">
        <f t="shared" si="7"/>
        <v>12</v>
      </c>
      <c r="AC59" s="233">
        <f t="shared" si="8"/>
        <v>215999990</v>
      </c>
      <c r="AD59" s="233">
        <f t="shared" si="9"/>
        <v>0</v>
      </c>
      <c r="AE59" s="233">
        <f t="shared" si="10"/>
        <v>0</v>
      </c>
      <c r="AF59" s="233">
        <f t="shared" si="11"/>
        <v>0</v>
      </c>
      <c r="AG59" s="233">
        <f t="shared" si="12"/>
        <v>0</v>
      </c>
      <c r="AH59" s="238">
        <f t="shared" si="13"/>
        <v>0</v>
      </c>
      <c r="AI59" s="238">
        <f t="shared" si="14"/>
        <v>215999990</v>
      </c>
      <c r="AJ59" s="261">
        <f t="shared" si="15"/>
        <v>2001</v>
      </c>
      <c r="AK59" s="233">
        <f t="shared" si="16"/>
        <v>10</v>
      </c>
    </row>
    <row r="60" spans="1:37" s="116" customFormat="1" ht="35.25" hidden="1" customHeight="1" x14ac:dyDescent="0.2">
      <c r="A60" s="116">
        <v>61</v>
      </c>
      <c r="B60" s="116" t="str">
        <f t="shared" si="1"/>
        <v>JL. PADAT KARYA II - BUNTU</v>
      </c>
      <c r="D60" s="116">
        <v>1</v>
      </c>
      <c r="E60" s="120" t="str">
        <f t="shared" si="19"/>
        <v>61.1</v>
      </c>
      <c r="F60" s="218" t="str">
        <f t="shared" si="5"/>
        <v>4.13.01</v>
      </c>
      <c r="G60" s="53"/>
      <c r="H60" s="67" t="s">
        <v>529</v>
      </c>
      <c r="I60" s="33" t="s">
        <v>2494</v>
      </c>
      <c r="J60" s="63"/>
      <c r="K60" s="33" t="s">
        <v>8</v>
      </c>
      <c r="L60" s="360" t="s">
        <v>548</v>
      </c>
      <c r="M60" s="40">
        <v>7</v>
      </c>
      <c r="N60" s="360">
        <v>5250</v>
      </c>
      <c r="O60" s="72" t="s">
        <v>549</v>
      </c>
      <c r="P60" s="33">
        <v>2001</v>
      </c>
      <c r="Q60" s="40"/>
      <c r="R60" s="40"/>
      <c r="S60" s="40" t="s">
        <v>482</v>
      </c>
      <c r="T60" s="40" t="s">
        <v>12</v>
      </c>
      <c r="U60" s="251">
        <v>168750000</v>
      </c>
      <c r="V60" s="33" t="s">
        <v>43</v>
      </c>
      <c r="W60" s="127"/>
      <c r="X60" s="206" t="str">
        <f t="shared" si="18"/>
        <v>4.13.01</v>
      </c>
      <c r="Y60" s="207" t="str">
        <f t="shared" si="3"/>
        <v>JALAN</v>
      </c>
      <c r="Z60" s="207">
        <f t="shared" si="4"/>
        <v>10</v>
      </c>
      <c r="AA60" s="233">
        <f t="shared" si="6"/>
        <v>16874999</v>
      </c>
      <c r="AB60" s="208">
        <f t="shared" si="7"/>
        <v>12</v>
      </c>
      <c r="AC60" s="233">
        <f t="shared" si="8"/>
        <v>168749990</v>
      </c>
      <c r="AD60" s="233">
        <f t="shared" si="9"/>
        <v>0</v>
      </c>
      <c r="AE60" s="233">
        <f t="shared" si="10"/>
        <v>0</v>
      </c>
      <c r="AF60" s="233">
        <f t="shared" si="11"/>
        <v>0</v>
      </c>
      <c r="AG60" s="233">
        <f t="shared" si="12"/>
        <v>0</v>
      </c>
      <c r="AH60" s="238">
        <f t="shared" si="13"/>
        <v>0</v>
      </c>
      <c r="AI60" s="238">
        <f t="shared" si="14"/>
        <v>168749990</v>
      </c>
      <c r="AJ60" s="261">
        <f t="shared" si="15"/>
        <v>2001</v>
      </c>
      <c r="AK60" s="233">
        <f t="shared" si="16"/>
        <v>10</v>
      </c>
    </row>
    <row r="61" spans="1:37" s="116" customFormat="1" ht="35.25" hidden="1" customHeight="1" x14ac:dyDescent="0.2">
      <c r="A61" s="116">
        <v>62</v>
      </c>
      <c r="B61" s="116" t="str">
        <f t="shared" si="1"/>
        <v>JL. PLN - JP. KM 159 + 300</v>
      </c>
      <c r="D61" s="116">
        <v>1</v>
      </c>
      <c r="E61" s="120" t="str">
        <f t="shared" si="19"/>
        <v>62.1</v>
      </c>
      <c r="F61" s="218" t="str">
        <f t="shared" si="5"/>
        <v>4.13.01</v>
      </c>
      <c r="G61" s="53"/>
      <c r="H61" s="67" t="s">
        <v>529</v>
      </c>
      <c r="I61" s="33" t="s">
        <v>2494</v>
      </c>
      <c r="J61" s="63"/>
      <c r="K61" s="33" t="s">
        <v>492</v>
      </c>
      <c r="L61" s="360" t="s">
        <v>530</v>
      </c>
      <c r="M61" s="40">
        <v>7</v>
      </c>
      <c r="N61" s="360">
        <v>3500</v>
      </c>
      <c r="O61" s="72" t="s">
        <v>550</v>
      </c>
      <c r="P61" s="33">
        <v>2001</v>
      </c>
      <c r="Q61" s="40"/>
      <c r="R61" s="40"/>
      <c r="S61" s="40" t="s">
        <v>482</v>
      </c>
      <c r="T61" s="40" t="s">
        <v>12</v>
      </c>
      <c r="U61" s="251">
        <v>180000000</v>
      </c>
      <c r="V61" s="33" t="s">
        <v>43</v>
      </c>
      <c r="W61" s="127"/>
      <c r="X61" s="206" t="str">
        <f t="shared" si="18"/>
        <v>4.13.01</v>
      </c>
      <c r="Y61" s="207" t="str">
        <f t="shared" si="3"/>
        <v>JALAN</v>
      </c>
      <c r="Z61" s="207">
        <f t="shared" si="4"/>
        <v>10</v>
      </c>
      <c r="AA61" s="233">
        <f t="shared" si="6"/>
        <v>17999999</v>
      </c>
      <c r="AB61" s="208">
        <f t="shared" si="7"/>
        <v>12</v>
      </c>
      <c r="AC61" s="233">
        <f t="shared" si="8"/>
        <v>179999990</v>
      </c>
      <c r="AD61" s="233">
        <f t="shared" si="9"/>
        <v>0</v>
      </c>
      <c r="AE61" s="233">
        <f t="shared" si="10"/>
        <v>0</v>
      </c>
      <c r="AF61" s="233">
        <f t="shared" si="11"/>
        <v>0</v>
      </c>
      <c r="AG61" s="233">
        <f t="shared" si="12"/>
        <v>0</v>
      </c>
      <c r="AH61" s="238">
        <f t="shared" si="13"/>
        <v>0</v>
      </c>
      <c r="AI61" s="238">
        <f t="shared" si="14"/>
        <v>179999990</v>
      </c>
      <c r="AJ61" s="261">
        <f t="shared" si="15"/>
        <v>2001</v>
      </c>
      <c r="AK61" s="233">
        <f t="shared" si="16"/>
        <v>10</v>
      </c>
    </row>
    <row r="62" spans="1:37" s="116" customFormat="1" ht="35.25" hidden="1" customHeight="1" x14ac:dyDescent="0.2">
      <c r="A62" s="116">
        <v>57</v>
      </c>
      <c r="B62" s="116" t="str">
        <f t="shared" si="1"/>
        <v>JL. KERAMAT - SD BERINGIN</v>
      </c>
      <c r="D62" s="116">
        <v>1</v>
      </c>
      <c r="E62" s="120" t="str">
        <f t="shared" si="19"/>
        <v>57.1</v>
      </c>
      <c r="F62" s="218" t="str">
        <f t="shared" si="5"/>
        <v>4.13.01</v>
      </c>
      <c r="G62" s="53"/>
      <c r="H62" s="67" t="s">
        <v>529</v>
      </c>
      <c r="I62" s="33" t="s">
        <v>2494</v>
      </c>
      <c r="J62" s="63"/>
      <c r="K62" s="33" t="s">
        <v>479</v>
      </c>
      <c r="L62" s="360" t="s">
        <v>551</v>
      </c>
      <c r="M62" s="40">
        <v>7</v>
      </c>
      <c r="N62" s="360">
        <v>2800</v>
      </c>
      <c r="O62" s="72" t="s">
        <v>552</v>
      </c>
      <c r="P62" s="33">
        <v>2001</v>
      </c>
      <c r="Q62" s="40"/>
      <c r="R62" s="40"/>
      <c r="S62" s="40" t="s">
        <v>482</v>
      </c>
      <c r="T62" s="40" t="s">
        <v>12</v>
      </c>
      <c r="U62" s="251">
        <v>336000000</v>
      </c>
      <c r="V62" s="33" t="s">
        <v>135</v>
      </c>
      <c r="W62" s="127"/>
      <c r="X62" s="206" t="str">
        <f t="shared" si="18"/>
        <v>4.13.01</v>
      </c>
      <c r="Y62" s="207" t="str">
        <f t="shared" si="3"/>
        <v>JALAN</v>
      </c>
      <c r="Z62" s="207">
        <f t="shared" si="4"/>
        <v>10</v>
      </c>
      <c r="AA62" s="233">
        <f t="shared" si="6"/>
        <v>33599999</v>
      </c>
      <c r="AB62" s="208">
        <f t="shared" si="7"/>
        <v>12</v>
      </c>
      <c r="AC62" s="233">
        <f t="shared" si="8"/>
        <v>335999990</v>
      </c>
      <c r="AD62" s="233">
        <f t="shared" si="9"/>
        <v>0</v>
      </c>
      <c r="AE62" s="233">
        <f t="shared" si="10"/>
        <v>0</v>
      </c>
      <c r="AF62" s="233">
        <f t="shared" si="11"/>
        <v>0</v>
      </c>
      <c r="AG62" s="233">
        <f t="shared" si="12"/>
        <v>0</v>
      </c>
      <c r="AH62" s="238">
        <f t="shared" si="13"/>
        <v>0</v>
      </c>
      <c r="AI62" s="238">
        <f t="shared" si="14"/>
        <v>335999990</v>
      </c>
      <c r="AJ62" s="261">
        <f t="shared" si="15"/>
        <v>2001</v>
      </c>
      <c r="AK62" s="233">
        <f t="shared" si="16"/>
        <v>10</v>
      </c>
    </row>
    <row r="63" spans="1:37" s="116" customFormat="1" ht="35.25" hidden="1" customHeight="1" x14ac:dyDescent="0.2">
      <c r="A63" s="116">
        <v>58</v>
      </c>
      <c r="B63" s="116" t="str">
        <f t="shared" si="1"/>
        <v>JL. BARANGAN - RUAS 041/041</v>
      </c>
      <c r="D63" s="116">
        <v>1</v>
      </c>
      <c r="E63" s="120" t="str">
        <f t="shared" si="19"/>
        <v>58.1</v>
      </c>
      <c r="F63" s="218" t="str">
        <f t="shared" si="5"/>
        <v>4.13.01</v>
      </c>
      <c r="G63" s="53"/>
      <c r="H63" s="67" t="s">
        <v>529</v>
      </c>
      <c r="I63" s="33" t="s">
        <v>2494</v>
      </c>
      <c r="J63" s="63"/>
      <c r="K63" s="33" t="s">
        <v>492</v>
      </c>
      <c r="L63" s="360">
        <v>1850</v>
      </c>
      <c r="M63" s="40">
        <v>8</v>
      </c>
      <c r="N63" s="360">
        <v>14800</v>
      </c>
      <c r="O63" s="72" t="s">
        <v>553</v>
      </c>
      <c r="P63" s="33">
        <v>2001</v>
      </c>
      <c r="Q63" s="40"/>
      <c r="R63" s="40"/>
      <c r="S63" s="40" t="s">
        <v>482</v>
      </c>
      <c r="T63" s="40" t="s">
        <v>12</v>
      </c>
      <c r="U63" s="251">
        <v>999000000</v>
      </c>
      <c r="V63" s="33" t="s">
        <v>43</v>
      </c>
      <c r="W63" s="127"/>
      <c r="X63" s="206" t="str">
        <f t="shared" si="18"/>
        <v>4.13.01</v>
      </c>
      <c r="Y63" s="207" t="str">
        <f t="shared" si="3"/>
        <v>JALAN</v>
      </c>
      <c r="Z63" s="207">
        <f t="shared" si="4"/>
        <v>10</v>
      </c>
      <c r="AA63" s="233">
        <f t="shared" si="6"/>
        <v>99899999</v>
      </c>
      <c r="AB63" s="208">
        <f t="shared" si="7"/>
        <v>12</v>
      </c>
      <c r="AC63" s="233">
        <f t="shared" si="8"/>
        <v>998999990</v>
      </c>
      <c r="AD63" s="233">
        <f t="shared" si="9"/>
        <v>0</v>
      </c>
      <c r="AE63" s="233">
        <f t="shared" si="10"/>
        <v>0</v>
      </c>
      <c r="AF63" s="233">
        <f t="shared" si="11"/>
        <v>0</v>
      </c>
      <c r="AG63" s="233">
        <f t="shared" si="12"/>
        <v>0</v>
      </c>
      <c r="AH63" s="238">
        <f t="shared" si="13"/>
        <v>0</v>
      </c>
      <c r="AI63" s="238">
        <f t="shared" si="14"/>
        <v>998999990</v>
      </c>
      <c r="AJ63" s="261">
        <f t="shared" si="15"/>
        <v>2001</v>
      </c>
      <c r="AK63" s="233">
        <f t="shared" si="16"/>
        <v>10</v>
      </c>
    </row>
    <row r="64" spans="1:37" s="116" customFormat="1" ht="35.25" hidden="1" customHeight="1" x14ac:dyDescent="0.2">
      <c r="A64" s="116">
        <v>59</v>
      </c>
      <c r="B64" s="116" t="str">
        <f t="shared" si="1"/>
        <v>JL. BANGSAL - RUAS 041/041</v>
      </c>
      <c r="D64" s="116">
        <v>1</v>
      </c>
      <c r="E64" s="120" t="str">
        <f t="shared" si="19"/>
        <v>59.1</v>
      </c>
      <c r="F64" s="218" t="str">
        <f t="shared" si="5"/>
        <v>4.13.01</v>
      </c>
      <c r="G64" s="53"/>
      <c r="H64" s="67" t="s">
        <v>529</v>
      </c>
      <c r="I64" s="33" t="s">
        <v>2494</v>
      </c>
      <c r="J64" s="63"/>
      <c r="K64" s="33" t="s">
        <v>492</v>
      </c>
      <c r="L64" s="360">
        <v>1300</v>
      </c>
      <c r="M64" s="40">
        <v>7</v>
      </c>
      <c r="N64" s="360">
        <v>9100</v>
      </c>
      <c r="O64" s="72" t="s">
        <v>554</v>
      </c>
      <c r="P64" s="33">
        <v>2001</v>
      </c>
      <c r="Q64" s="40"/>
      <c r="R64" s="40"/>
      <c r="S64" s="40" t="s">
        <v>482</v>
      </c>
      <c r="T64" s="40" t="s">
        <v>12</v>
      </c>
      <c r="U64" s="251">
        <v>468000000</v>
      </c>
      <c r="V64" s="33" t="s">
        <v>43</v>
      </c>
      <c r="W64" s="127"/>
      <c r="X64" s="206" t="str">
        <f t="shared" si="18"/>
        <v>4.13.01</v>
      </c>
      <c r="Y64" s="207" t="str">
        <f t="shared" si="3"/>
        <v>JALAN</v>
      </c>
      <c r="Z64" s="207">
        <f t="shared" si="4"/>
        <v>10</v>
      </c>
      <c r="AA64" s="233">
        <f t="shared" si="6"/>
        <v>46799999</v>
      </c>
      <c r="AB64" s="208">
        <f t="shared" si="7"/>
        <v>12</v>
      </c>
      <c r="AC64" s="233">
        <f t="shared" si="8"/>
        <v>467999990</v>
      </c>
      <c r="AD64" s="233">
        <f t="shared" si="9"/>
        <v>0</v>
      </c>
      <c r="AE64" s="233">
        <f t="shared" si="10"/>
        <v>0</v>
      </c>
      <c r="AF64" s="233">
        <f t="shared" si="11"/>
        <v>0</v>
      </c>
      <c r="AG64" s="233">
        <f t="shared" si="12"/>
        <v>0</v>
      </c>
      <c r="AH64" s="238">
        <f t="shared" si="13"/>
        <v>0</v>
      </c>
      <c r="AI64" s="238">
        <f t="shared" si="14"/>
        <v>467999990</v>
      </c>
      <c r="AJ64" s="261">
        <f t="shared" si="15"/>
        <v>2001</v>
      </c>
      <c r="AK64" s="233">
        <f t="shared" si="16"/>
        <v>10</v>
      </c>
    </row>
    <row r="65" spans="1:37" s="116" customFormat="1" ht="35.25" hidden="1" customHeight="1" x14ac:dyDescent="0.2">
      <c r="A65" s="116">
        <v>53</v>
      </c>
      <c r="B65" s="116" t="str">
        <f t="shared" si="1"/>
        <v>JL. PL. ARO - PL. ARO</v>
      </c>
      <c r="D65" s="116">
        <v>1</v>
      </c>
      <c r="E65" s="120" t="str">
        <f t="shared" si="19"/>
        <v>53.1</v>
      </c>
      <c r="F65" s="218" t="str">
        <f t="shared" si="5"/>
        <v>4.13.01</v>
      </c>
      <c r="G65" s="53"/>
      <c r="H65" s="67" t="s">
        <v>529</v>
      </c>
      <c r="I65" s="33" t="s">
        <v>2494</v>
      </c>
      <c r="J65" s="63"/>
      <c r="K65" s="33" t="s">
        <v>479</v>
      </c>
      <c r="L65" s="360">
        <v>3400</v>
      </c>
      <c r="M65" s="40">
        <v>8</v>
      </c>
      <c r="N65" s="360">
        <v>27200</v>
      </c>
      <c r="O65" s="72" t="s">
        <v>556</v>
      </c>
      <c r="P65" s="33">
        <v>2001</v>
      </c>
      <c r="Q65" s="40"/>
      <c r="R65" s="40"/>
      <c r="S65" s="40" t="s">
        <v>482</v>
      </c>
      <c r="T65" s="40" t="s">
        <v>12</v>
      </c>
      <c r="U65" s="251">
        <v>2856000000</v>
      </c>
      <c r="V65" s="33" t="s">
        <v>43</v>
      </c>
      <c r="W65" s="127"/>
      <c r="X65" s="206" t="str">
        <f t="shared" si="18"/>
        <v>4.13.01</v>
      </c>
      <c r="Y65" s="207" t="str">
        <f t="shared" si="3"/>
        <v>JALAN</v>
      </c>
      <c r="Z65" s="207">
        <f t="shared" si="4"/>
        <v>10</v>
      </c>
      <c r="AA65" s="233">
        <f t="shared" si="6"/>
        <v>285599999</v>
      </c>
      <c r="AB65" s="208">
        <f t="shared" si="7"/>
        <v>12</v>
      </c>
      <c r="AC65" s="233">
        <f t="shared" si="8"/>
        <v>2855999990</v>
      </c>
      <c r="AD65" s="233">
        <f t="shared" si="9"/>
        <v>0</v>
      </c>
      <c r="AE65" s="233">
        <f t="shared" si="10"/>
        <v>0</v>
      </c>
      <c r="AF65" s="233">
        <f t="shared" si="11"/>
        <v>0</v>
      </c>
      <c r="AG65" s="233">
        <f t="shared" si="12"/>
        <v>0</v>
      </c>
      <c r="AH65" s="238">
        <f t="shared" si="13"/>
        <v>0</v>
      </c>
      <c r="AI65" s="238">
        <f t="shared" si="14"/>
        <v>2855999990</v>
      </c>
      <c r="AJ65" s="261">
        <f t="shared" si="15"/>
        <v>2001</v>
      </c>
      <c r="AK65" s="233">
        <f t="shared" si="16"/>
        <v>10</v>
      </c>
    </row>
    <row r="66" spans="1:37" s="116" customFormat="1" ht="35.25" hidden="1" customHeight="1" x14ac:dyDescent="0.2">
      <c r="A66" s="116">
        <v>54</v>
      </c>
      <c r="B66" s="116" t="str">
        <f t="shared" si="1"/>
        <v>JL. SAWAH - PL. KOMANG</v>
      </c>
      <c r="D66" s="116">
        <v>1</v>
      </c>
      <c r="E66" s="120" t="str">
        <f t="shared" si="19"/>
        <v>54.1</v>
      </c>
      <c r="F66" s="218" t="str">
        <f t="shared" si="5"/>
        <v>4.13.01</v>
      </c>
      <c r="G66" s="53"/>
      <c r="H66" s="67" t="s">
        <v>529</v>
      </c>
      <c r="I66" s="33" t="s">
        <v>2494</v>
      </c>
      <c r="J66" s="63"/>
      <c r="K66" s="33" t="s">
        <v>479</v>
      </c>
      <c r="L66" s="360">
        <v>3500</v>
      </c>
      <c r="M66" s="40">
        <v>8</v>
      </c>
      <c r="N66" s="360">
        <v>28000</v>
      </c>
      <c r="O66" s="72" t="s">
        <v>557</v>
      </c>
      <c r="P66" s="33">
        <v>2001</v>
      </c>
      <c r="Q66" s="40"/>
      <c r="R66" s="40"/>
      <c r="S66" s="40" t="s">
        <v>482</v>
      </c>
      <c r="T66" s="40" t="s">
        <v>12</v>
      </c>
      <c r="U66" s="251">
        <v>2940000000</v>
      </c>
      <c r="V66" s="33" t="s">
        <v>43</v>
      </c>
      <c r="W66" s="127"/>
      <c r="X66" s="206" t="str">
        <f t="shared" si="18"/>
        <v>4.13.01</v>
      </c>
      <c r="Y66" s="207" t="str">
        <f t="shared" si="3"/>
        <v>JALAN</v>
      </c>
      <c r="Z66" s="207">
        <f t="shared" si="4"/>
        <v>10</v>
      </c>
      <c r="AA66" s="233">
        <f t="shared" si="6"/>
        <v>293999999</v>
      </c>
      <c r="AB66" s="208">
        <f t="shared" si="7"/>
        <v>12</v>
      </c>
      <c r="AC66" s="233">
        <f t="shared" si="8"/>
        <v>2939999990</v>
      </c>
      <c r="AD66" s="233">
        <f t="shared" si="9"/>
        <v>0</v>
      </c>
      <c r="AE66" s="233">
        <f t="shared" si="10"/>
        <v>0</v>
      </c>
      <c r="AF66" s="233">
        <f t="shared" si="11"/>
        <v>0</v>
      </c>
      <c r="AG66" s="233">
        <f t="shared" si="12"/>
        <v>0</v>
      </c>
      <c r="AH66" s="238">
        <f t="shared" si="13"/>
        <v>0</v>
      </c>
      <c r="AI66" s="238">
        <f t="shared" si="14"/>
        <v>2939999990</v>
      </c>
      <c r="AJ66" s="261">
        <f t="shared" si="15"/>
        <v>2001</v>
      </c>
      <c r="AK66" s="233">
        <f t="shared" si="16"/>
        <v>10</v>
      </c>
    </row>
    <row r="67" spans="1:37" s="116" customFormat="1" ht="35.25" hidden="1" customHeight="1" x14ac:dyDescent="0.2">
      <c r="A67" s="116">
        <v>56</v>
      </c>
      <c r="B67" s="116" t="str">
        <f t="shared" si="1"/>
        <v>JL. PDAM - DESA BERINGIN</v>
      </c>
      <c r="D67" s="116">
        <v>1</v>
      </c>
      <c r="E67" s="120" t="str">
        <f t="shared" si="19"/>
        <v>56.1</v>
      </c>
      <c r="F67" s="218" t="str">
        <f t="shared" si="5"/>
        <v>4.13.01</v>
      </c>
      <c r="G67" s="53"/>
      <c r="H67" s="67" t="s">
        <v>529</v>
      </c>
      <c r="I67" s="33" t="s">
        <v>2494</v>
      </c>
      <c r="J67" s="63"/>
      <c r="K67" s="33" t="s">
        <v>8</v>
      </c>
      <c r="L67" s="360" t="s">
        <v>558</v>
      </c>
      <c r="M67" s="40">
        <v>7</v>
      </c>
      <c r="N67" s="360">
        <v>3850</v>
      </c>
      <c r="O67" s="72" t="s">
        <v>559</v>
      </c>
      <c r="P67" s="33">
        <v>2001</v>
      </c>
      <c r="Q67" s="40"/>
      <c r="R67" s="40"/>
      <c r="S67" s="40" t="s">
        <v>482</v>
      </c>
      <c r="T67" s="40" t="s">
        <v>12</v>
      </c>
      <c r="U67" s="251">
        <v>107250000</v>
      </c>
      <c r="V67" s="33" t="s">
        <v>43</v>
      </c>
      <c r="W67" s="127"/>
      <c r="X67" s="206" t="str">
        <f t="shared" si="18"/>
        <v>4.13.01</v>
      </c>
      <c r="Y67" s="207" t="str">
        <f t="shared" si="3"/>
        <v>JALAN</v>
      </c>
      <c r="Z67" s="207">
        <f t="shared" si="4"/>
        <v>10</v>
      </c>
      <c r="AA67" s="233">
        <f t="shared" si="6"/>
        <v>10724999</v>
      </c>
      <c r="AB67" s="208">
        <f t="shared" si="7"/>
        <v>12</v>
      </c>
      <c r="AC67" s="233">
        <f t="shared" si="8"/>
        <v>107249990</v>
      </c>
      <c r="AD67" s="233">
        <f t="shared" si="9"/>
        <v>0</v>
      </c>
      <c r="AE67" s="233">
        <f t="shared" si="10"/>
        <v>0</v>
      </c>
      <c r="AF67" s="233">
        <f t="shared" si="11"/>
        <v>0</v>
      </c>
      <c r="AG67" s="233">
        <f t="shared" si="12"/>
        <v>0</v>
      </c>
      <c r="AH67" s="238">
        <f t="shared" si="13"/>
        <v>0</v>
      </c>
      <c r="AI67" s="238">
        <f t="shared" si="14"/>
        <v>107249990</v>
      </c>
      <c r="AJ67" s="261">
        <f t="shared" si="15"/>
        <v>2001</v>
      </c>
      <c r="AK67" s="233">
        <f t="shared" si="16"/>
        <v>10</v>
      </c>
    </row>
    <row r="68" spans="1:37" s="116" customFormat="1" ht="35.25" hidden="1" customHeight="1" x14ac:dyDescent="0.2">
      <c r="A68" s="116">
        <v>51</v>
      </c>
      <c r="B68" s="116" t="str">
        <f t="shared" si="1"/>
        <v>JL. BERINGIN SAWAH - BERINGIN SAWAH</v>
      </c>
      <c r="D68" s="116">
        <v>1</v>
      </c>
      <c r="E68" s="120" t="str">
        <f t="shared" ref="E68:E74" si="20">A68&amp;"."&amp;D68</f>
        <v>51.1</v>
      </c>
      <c r="F68" s="218" t="str">
        <f t="shared" si="5"/>
        <v>4.13.01</v>
      </c>
      <c r="G68" s="53"/>
      <c r="H68" s="67" t="s">
        <v>529</v>
      </c>
      <c r="I68" s="33" t="s">
        <v>2494</v>
      </c>
      <c r="J68" s="63"/>
      <c r="K68" s="33" t="s">
        <v>479</v>
      </c>
      <c r="L68" s="360">
        <v>2500</v>
      </c>
      <c r="M68" s="40"/>
      <c r="N68" s="360">
        <v>31000</v>
      </c>
      <c r="O68" s="72" t="s">
        <v>560</v>
      </c>
      <c r="P68" s="33">
        <v>2001</v>
      </c>
      <c r="Q68" s="40"/>
      <c r="R68" s="40"/>
      <c r="S68" s="40" t="s">
        <v>482</v>
      </c>
      <c r="T68" s="40" t="s">
        <v>12</v>
      </c>
      <c r="U68" s="251">
        <v>4725000000</v>
      </c>
      <c r="V68" s="33" t="s">
        <v>43</v>
      </c>
      <c r="W68" s="127"/>
      <c r="X68" s="206" t="str">
        <f t="shared" si="18"/>
        <v>4.13.01</v>
      </c>
      <c r="Y68" s="207" t="str">
        <f t="shared" si="3"/>
        <v>JALAN</v>
      </c>
      <c r="Z68" s="207">
        <f t="shared" si="4"/>
        <v>10</v>
      </c>
      <c r="AA68" s="233">
        <f t="shared" si="6"/>
        <v>472499999</v>
      </c>
      <c r="AB68" s="208">
        <f t="shared" si="7"/>
        <v>12</v>
      </c>
      <c r="AC68" s="233">
        <f t="shared" si="8"/>
        <v>4724999990</v>
      </c>
      <c r="AD68" s="233">
        <f t="shared" si="9"/>
        <v>0</v>
      </c>
      <c r="AE68" s="233">
        <f t="shared" si="10"/>
        <v>0</v>
      </c>
      <c r="AF68" s="233">
        <f t="shared" si="11"/>
        <v>0</v>
      </c>
      <c r="AG68" s="233">
        <f t="shared" si="12"/>
        <v>0</v>
      </c>
      <c r="AH68" s="238">
        <f t="shared" si="13"/>
        <v>0</v>
      </c>
      <c r="AI68" s="238">
        <f t="shared" si="14"/>
        <v>4724999990</v>
      </c>
      <c r="AJ68" s="261">
        <f t="shared" si="15"/>
        <v>2001</v>
      </c>
      <c r="AK68" s="233">
        <f t="shared" si="16"/>
        <v>10</v>
      </c>
    </row>
    <row r="69" spans="1:37" s="116" customFormat="1" ht="35.25" hidden="1" customHeight="1" x14ac:dyDescent="0.2">
      <c r="A69" s="116">
        <v>52</v>
      </c>
      <c r="B69" s="116" t="str">
        <f t="shared" si="1"/>
        <v>TERMINAL - SENTAJO</v>
      </c>
      <c r="D69" s="116">
        <v>1</v>
      </c>
      <c r="E69" s="120" t="str">
        <f t="shared" si="20"/>
        <v>52.1</v>
      </c>
      <c r="F69" s="218" t="str">
        <f t="shared" si="5"/>
        <v>4.13.01</v>
      </c>
      <c r="G69" s="53"/>
      <c r="H69" s="67" t="s">
        <v>1136</v>
      </c>
      <c r="I69" s="33" t="s">
        <v>2494</v>
      </c>
      <c r="J69" s="63"/>
      <c r="K69" s="33" t="s">
        <v>479</v>
      </c>
      <c r="L69" s="360">
        <v>8000</v>
      </c>
      <c r="M69" s="40"/>
      <c r="N69" s="360">
        <v>108000</v>
      </c>
      <c r="O69" s="72" t="s">
        <v>561</v>
      </c>
      <c r="P69" s="33">
        <v>2001</v>
      </c>
      <c r="Q69" s="40"/>
      <c r="R69" s="40"/>
      <c r="S69" s="40" t="s">
        <v>482</v>
      </c>
      <c r="T69" s="40" t="s">
        <v>12</v>
      </c>
      <c r="U69" s="251">
        <v>31588402771.260002</v>
      </c>
      <c r="V69" s="33" t="s">
        <v>43</v>
      </c>
      <c r="W69" s="127"/>
      <c r="X69" s="206" t="str">
        <f t="shared" si="18"/>
        <v>4.13.01</v>
      </c>
      <c r="Y69" s="207" t="str">
        <f t="shared" si="3"/>
        <v>JALAN</v>
      </c>
      <c r="Z69" s="207">
        <f t="shared" si="4"/>
        <v>10</v>
      </c>
      <c r="AA69" s="233">
        <f t="shared" si="6"/>
        <v>3158840276.1260004</v>
      </c>
      <c r="AB69" s="208">
        <f t="shared" si="7"/>
        <v>12</v>
      </c>
      <c r="AC69" s="233">
        <f t="shared" si="8"/>
        <v>31588402761.260002</v>
      </c>
      <c r="AD69" s="233">
        <f t="shared" si="9"/>
        <v>0</v>
      </c>
      <c r="AE69" s="233">
        <f t="shared" si="10"/>
        <v>0</v>
      </c>
      <c r="AF69" s="233">
        <f t="shared" si="11"/>
        <v>0</v>
      </c>
      <c r="AG69" s="233">
        <f t="shared" si="12"/>
        <v>0</v>
      </c>
      <c r="AH69" s="238">
        <f t="shared" si="13"/>
        <v>0</v>
      </c>
      <c r="AI69" s="238">
        <f t="shared" si="14"/>
        <v>31588402761.260002</v>
      </c>
      <c r="AJ69" s="261">
        <f t="shared" si="15"/>
        <v>2001</v>
      </c>
      <c r="AK69" s="233">
        <f t="shared" si="16"/>
        <v>10</v>
      </c>
    </row>
    <row r="70" spans="1:37" s="116" customFormat="1" ht="35.25" hidden="1" customHeight="1" x14ac:dyDescent="0.2">
      <c r="A70" s="116">
        <v>49</v>
      </c>
      <c r="B70" s="116" t="str">
        <f t="shared" si="1"/>
        <v>JL. TOPAN - RUAS 41/41</v>
      </c>
      <c r="D70" s="116">
        <v>1</v>
      </c>
      <c r="E70" s="120" t="str">
        <f t="shared" si="20"/>
        <v>49.1</v>
      </c>
      <c r="F70" s="218" t="str">
        <f t="shared" si="5"/>
        <v>4.13.01</v>
      </c>
      <c r="G70" s="53"/>
      <c r="H70" s="67" t="s">
        <v>529</v>
      </c>
      <c r="I70" s="33" t="s">
        <v>2494</v>
      </c>
      <c r="J70" s="63"/>
      <c r="K70" s="33" t="s">
        <v>479</v>
      </c>
      <c r="L70" s="360">
        <v>1350</v>
      </c>
      <c r="M70" s="40">
        <v>7</v>
      </c>
      <c r="N70" s="360">
        <v>9450</v>
      </c>
      <c r="O70" s="72" t="s">
        <v>562</v>
      </c>
      <c r="P70" s="33">
        <v>2001</v>
      </c>
      <c r="Q70" s="40"/>
      <c r="R70" s="40"/>
      <c r="S70" s="40" t="s">
        <v>482</v>
      </c>
      <c r="T70" s="40" t="s">
        <v>12</v>
      </c>
      <c r="U70" s="251">
        <v>1134000000</v>
      </c>
      <c r="V70" s="33" t="s">
        <v>43</v>
      </c>
      <c r="W70" s="127"/>
      <c r="X70" s="206" t="str">
        <f t="shared" si="18"/>
        <v>4.13.01</v>
      </c>
      <c r="Y70" s="207" t="str">
        <f t="shared" si="3"/>
        <v>JALAN</v>
      </c>
      <c r="Z70" s="207">
        <f t="shared" si="4"/>
        <v>10</v>
      </c>
      <c r="AA70" s="233">
        <f t="shared" si="6"/>
        <v>113399999</v>
      </c>
      <c r="AB70" s="208">
        <f t="shared" si="7"/>
        <v>12</v>
      </c>
      <c r="AC70" s="233">
        <f t="shared" si="8"/>
        <v>1133999990</v>
      </c>
      <c r="AD70" s="233">
        <f t="shared" si="9"/>
        <v>0</v>
      </c>
      <c r="AE70" s="233">
        <f t="shared" si="10"/>
        <v>0</v>
      </c>
      <c r="AF70" s="233">
        <f t="shared" si="11"/>
        <v>0</v>
      </c>
      <c r="AG70" s="233">
        <f t="shared" si="12"/>
        <v>0</v>
      </c>
      <c r="AH70" s="238">
        <f t="shared" si="13"/>
        <v>0</v>
      </c>
      <c r="AI70" s="238">
        <f t="shared" si="14"/>
        <v>1133999990</v>
      </c>
      <c r="AJ70" s="261">
        <f t="shared" si="15"/>
        <v>2001</v>
      </c>
      <c r="AK70" s="233">
        <f t="shared" si="16"/>
        <v>10</v>
      </c>
    </row>
    <row r="71" spans="1:37" s="116" customFormat="1" ht="35.25" hidden="1" customHeight="1" x14ac:dyDescent="0.2">
      <c r="A71" s="116">
        <v>50</v>
      </c>
      <c r="B71" s="116" t="str">
        <f t="shared" si="1"/>
        <v>JL. JERING - RUAS 04/04</v>
      </c>
      <c r="D71" s="116">
        <v>1</v>
      </c>
      <c r="E71" s="120" t="str">
        <f t="shared" si="20"/>
        <v>50.1</v>
      </c>
      <c r="F71" s="218" t="str">
        <f t="shared" si="5"/>
        <v>4.13.01</v>
      </c>
      <c r="G71" s="53"/>
      <c r="H71" s="67" t="s">
        <v>529</v>
      </c>
      <c r="I71" s="33" t="s">
        <v>2494</v>
      </c>
      <c r="J71" s="63"/>
      <c r="K71" s="33" t="s">
        <v>479</v>
      </c>
      <c r="L71" s="360">
        <v>7500</v>
      </c>
      <c r="M71" s="40">
        <v>7</v>
      </c>
      <c r="N71" s="360">
        <v>45500</v>
      </c>
      <c r="O71" s="72" t="s">
        <v>563</v>
      </c>
      <c r="P71" s="33">
        <v>2001</v>
      </c>
      <c r="Q71" s="40"/>
      <c r="R71" s="40"/>
      <c r="S71" s="40" t="s">
        <v>482</v>
      </c>
      <c r="T71" s="40" t="s">
        <v>12</v>
      </c>
      <c r="U71" s="251">
        <v>7275000000</v>
      </c>
      <c r="V71" s="33" t="s">
        <v>43</v>
      </c>
      <c r="W71" s="127"/>
      <c r="X71" s="206" t="str">
        <f t="shared" si="18"/>
        <v>4.13.01</v>
      </c>
      <c r="Y71" s="207" t="str">
        <f t="shared" si="3"/>
        <v>JALAN</v>
      </c>
      <c r="Z71" s="207">
        <f t="shared" si="4"/>
        <v>10</v>
      </c>
      <c r="AA71" s="233">
        <f t="shared" si="6"/>
        <v>727499999</v>
      </c>
      <c r="AB71" s="208">
        <f t="shared" si="7"/>
        <v>12</v>
      </c>
      <c r="AC71" s="233">
        <f t="shared" si="8"/>
        <v>7274999990</v>
      </c>
      <c r="AD71" s="233">
        <f t="shared" si="9"/>
        <v>0</v>
      </c>
      <c r="AE71" s="233">
        <f t="shared" si="10"/>
        <v>0</v>
      </c>
      <c r="AF71" s="233">
        <f t="shared" si="11"/>
        <v>0</v>
      </c>
      <c r="AG71" s="233">
        <f t="shared" si="12"/>
        <v>0</v>
      </c>
      <c r="AH71" s="238">
        <f t="shared" si="13"/>
        <v>0</v>
      </c>
      <c r="AI71" s="238">
        <f t="shared" si="14"/>
        <v>7274999990</v>
      </c>
      <c r="AJ71" s="261">
        <f t="shared" si="15"/>
        <v>2001</v>
      </c>
      <c r="AK71" s="233">
        <f t="shared" si="16"/>
        <v>10</v>
      </c>
    </row>
    <row r="72" spans="1:37" s="116" customFormat="1" ht="35.25" hidden="1" customHeight="1" x14ac:dyDescent="0.2">
      <c r="A72" s="116">
        <v>46</v>
      </c>
      <c r="B72" s="116" t="str">
        <f t="shared" si="1"/>
        <v>JL. KARTINI - JL. DIPONEGORO</v>
      </c>
      <c r="D72" s="116">
        <v>1</v>
      </c>
      <c r="E72" s="120" t="str">
        <f t="shared" si="20"/>
        <v>46.1</v>
      </c>
      <c r="F72" s="218" t="str">
        <f t="shared" si="5"/>
        <v>4.13.01</v>
      </c>
      <c r="G72" s="53"/>
      <c r="H72" s="67" t="s">
        <v>529</v>
      </c>
      <c r="I72" s="33" t="s">
        <v>2494</v>
      </c>
      <c r="J72" s="63"/>
      <c r="K72" s="33" t="s">
        <v>479</v>
      </c>
      <c r="L72" s="360" t="s">
        <v>564</v>
      </c>
      <c r="M72" s="40">
        <v>8</v>
      </c>
      <c r="N72" s="360">
        <v>1176</v>
      </c>
      <c r="O72" s="72" t="s">
        <v>565</v>
      </c>
      <c r="P72" s="33">
        <v>2001</v>
      </c>
      <c r="Q72" s="40"/>
      <c r="R72" s="40"/>
      <c r="S72" s="40" t="s">
        <v>482</v>
      </c>
      <c r="T72" s="40" t="s">
        <v>12</v>
      </c>
      <c r="U72" s="251">
        <v>234097500</v>
      </c>
      <c r="V72" s="33" t="s">
        <v>43</v>
      </c>
      <c r="W72" s="127"/>
      <c r="X72" s="206" t="str">
        <f t="shared" si="18"/>
        <v>4.13.01</v>
      </c>
      <c r="Y72" s="207" t="str">
        <f t="shared" si="3"/>
        <v>JALAN</v>
      </c>
      <c r="Z72" s="207">
        <f t="shared" si="4"/>
        <v>10</v>
      </c>
      <c r="AA72" s="233">
        <f t="shared" si="6"/>
        <v>23409749</v>
      </c>
      <c r="AB72" s="208">
        <f t="shared" si="7"/>
        <v>12</v>
      </c>
      <c r="AC72" s="233">
        <f t="shared" si="8"/>
        <v>234097490</v>
      </c>
      <c r="AD72" s="233">
        <f t="shared" si="9"/>
        <v>0</v>
      </c>
      <c r="AE72" s="233">
        <f t="shared" si="10"/>
        <v>0</v>
      </c>
      <c r="AF72" s="233">
        <f t="shared" si="11"/>
        <v>0</v>
      </c>
      <c r="AG72" s="233">
        <f t="shared" si="12"/>
        <v>0</v>
      </c>
      <c r="AH72" s="238">
        <f t="shared" si="13"/>
        <v>0</v>
      </c>
      <c r="AI72" s="238">
        <f t="shared" si="14"/>
        <v>234097490</v>
      </c>
      <c r="AJ72" s="261">
        <f t="shared" si="15"/>
        <v>2001</v>
      </c>
      <c r="AK72" s="233">
        <f t="shared" si="16"/>
        <v>10</v>
      </c>
    </row>
    <row r="73" spans="1:37" s="116" customFormat="1" ht="35.25" hidden="1" customHeight="1" x14ac:dyDescent="0.2">
      <c r="A73" s="116">
        <v>47</v>
      </c>
      <c r="B73" s="116" t="str">
        <f t="shared" si="1"/>
        <v>JL. DIPONEGORO - JL. SUDIRMAN</v>
      </c>
      <c r="D73" s="116">
        <v>1</v>
      </c>
      <c r="E73" s="120" t="str">
        <f t="shared" si="20"/>
        <v>47.1</v>
      </c>
      <c r="F73" s="218" t="str">
        <f t="shared" si="5"/>
        <v>4.13.01</v>
      </c>
      <c r="G73" s="53"/>
      <c r="H73" s="67" t="s">
        <v>529</v>
      </c>
      <c r="I73" s="33" t="s">
        <v>2494</v>
      </c>
      <c r="J73" s="63"/>
      <c r="K73" s="33" t="s">
        <v>479</v>
      </c>
      <c r="L73" s="360" t="s">
        <v>566</v>
      </c>
      <c r="M73" s="40">
        <v>8</v>
      </c>
      <c r="N73" s="360">
        <v>4768</v>
      </c>
      <c r="O73" s="72" t="s">
        <v>567</v>
      </c>
      <c r="P73" s="33">
        <v>2001</v>
      </c>
      <c r="Q73" s="40"/>
      <c r="R73" s="40"/>
      <c r="S73" s="40" t="s">
        <v>482</v>
      </c>
      <c r="T73" s="40" t="s">
        <v>12</v>
      </c>
      <c r="U73" s="251">
        <v>949130000</v>
      </c>
      <c r="V73" s="33" t="s">
        <v>43</v>
      </c>
      <c r="W73" s="127"/>
      <c r="X73" s="206" t="str">
        <f t="shared" ref="X73:X104" si="21">F73</f>
        <v>4.13.01</v>
      </c>
      <c r="Y73" s="207" t="str">
        <f t="shared" si="3"/>
        <v>JALAN</v>
      </c>
      <c r="Z73" s="207">
        <f t="shared" si="4"/>
        <v>10</v>
      </c>
      <c r="AA73" s="233">
        <f t="shared" si="6"/>
        <v>94912999</v>
      </c>
      <c r="AB73" s="208">
        <f t="shared" si="7"/>
        <v>12</v>
      </c>
      <c r="AC73" s="233">
        <f t="shared" si="8"/>
        <v>949129990</v>
      </c>
      <c r="AD73" s="233">
        <f t="shared" si="9"/>
        <v>0</v>
      </c>
      <c r="AE73" s="233">
        <f t="shared" si="10"/>
        <v>0</v>
      </c>
      <c r="AF73" s="233">
        <f t="shared" si="11"/>
        <v>0</v>
      </c>
      <c r="AG73" s="233">
        <f t="shared" si="12"/>
        <v>0</v>
      </c>
      <c r="AH73" s="238">
        <f t="shared" si="13"/>
        <v>0</v>
      </c>
      <c r="AI73" s="238">
        <f t="shared" si="14"/>
        <v>949129990</v>
      </c>
      <c r="AJ73" s="261">
        <f t="shared" si="15"/>
        <v>2001</v>
      </c>
      <c r="AK73" s="233">
        <f t="shared" si="16"/>
        <v>10</v>
      </c>
    </row>
    <row r="74" spans="1:37" s="116" customFormat="1" ht="35.25" hidden="1" customHeight="1" x14ac:dyDescent="0.2">
      <c r="A74" s="116">
        <v>48</v>
      </c>
      <c r="B74" s="116" t="str">
        <f t="shared" si="1"/>
        <v>RUAS 43/43 - JL. PL. ARO</v>
      </c>
      <c r="D74" s="116">
        <v>1</v>
      </c>
      <c r="E74" s="120" t="str">
        <f t="shared" si="20"/>
        <v>48.1</v>
      </c>
      <c r="F74" s="218" t="str">
        <f t="shared" si="5"/>
        <v>4.13.01</v>
      </c>
      <c r="G74" s="53"/>
      <c r="H74" s="67" t="s">
        <v>529</v>
      </c>
      <c r="I74" s="33" t="s">
        <v>2494</v>
      </c>
      <c r="J74" s="63"/>
      <c r="K74" s="33" t="s">
        <v>479</v>
      </c>
      <c r="L74" s="360" t="s">
        <v>568</v>
      </c>
      <c r="M74" s="40">
        <v>7</v>
      </c>
      <c r="N74" s="360">
        <v>2975</v>
      </c>
      <c r="O74" s="72" t="s">
        <v>569</v>
      </c>
      <c r="P74" s="33">
        <v>2001</v>
      </c>
      <c r="Q74" s="40"/>
      <c r="R74" s="40"/>
      <c r="S74" s="40" t="s">
        <v>482</v>
      </c>
      <c r="T74" s="40" t="s">
        <v>12</v>
      </c>
      <c r="U74" s="251">
        <v>386750000</v>
      </c>
      <c r="V74" s="33" t="s">
        <v>43</v>
      </c>
      <c r="W74" s="127"/>
      <c r="X74" s="206" t="str">
        <f t="shared" si="21"/>
        <v>4.13.01</v>
      </c>
      <c r="Y74" s="207" t="str">
        <f t="shared" si="3"/>
        <v>JALAN</v>
      </c>
      <c r="Z74" s="207">
        <f t="shared" si="4"/>
        <v>10</v>
      </c>
      <c r="AA74" s="233">
        <f t="shared" si="6"/>
        <v>38674999</v>
      </c>
      <c r="AB74" s="208">
        <f t="shared" si="7"/>
        <v>12</v>
      </c>
      <c r="AC74" s="233">
        <f t="shared" si="8"/>
        <v>386749990</v>
      </c>
      <c r="AD74" s="233">
        <f t="shared" si="9"/>
        <v>0</v>
      </c>
      <c r="AE74" s="233">
        <f t="shared" si="10"/>
        <v>0</v>
      </c>
      <c r="AF74" s="233">
        <f t="shared" si="11"/>
        <v>0</v>
      </c>
      <c r="AG74" s="233">
        <f t="shared" si="12"/>
        <v>0</v>
      </c>
      <c r="AH74" s="238">
        <f t="shared" si="13"/>
        <v>0</v>
      </c>
      <c r="AI74" s="238">
        <f t="shared" si="14"/>
        <v>386749990</v>
      </c>
      <c r="AJ74" s="261">
        <f t="shared" si="15"/>
        <v>2001</v>
      </c>
      <c r="AK74" s="233">
        <f t="shared" si="16"/>
        <v>10</v>
      </c>
    </row>
    <row r="75" spans="1:37" s="116" customFormat="1" ht="35.25" hidden="1" customHeight="1" x14ac:dyDescent="0.2">
      <c r="A75" s="116">
        <v>43</v>
      </c>
      <c r="B75" s="116" t="str">
        <f t="shared" si="1"/>
        <v xml:space="preserve">jl. M. FADILLAH - JL. SUDIRMAN </v>
      </c>
      <c r="D75" s="116">
        <v>1</v>
      </c>
      <c r="E75" s="120" t="str">
        <f t="shared" ref="E75:E89" si="22">A75&amp;"."&amp;D75</f>
        <v>43.1</v>
      </c>
      <c r="F75" s="218" t="str">
        <f t="shared" si="5"/>
        <v>4.13.01</v>
      </c>
      <c r="G75" s="53"/>
      <c r="H75" s="67" t="s">
        <v>529</v>
      </c>
      <c r="I75" s="33" t="s">
        <v>2494</v>
      </c>
      <c r="J75" s="63"/>
      <c r="K75" s="33" t="s">
        <v>479</v>
      </c>
      <c r="L75" s="360" t="s">
        <v>570</v>
      </c>
      <c r="M75" s="40">
        <v>8</v>
      </c>
      <c r="N75" s="360">
        <v>1112</v>
      </c>
      <c r="O75" s="72" t="s">
        <v>571</v>
      </c>
      <c r="P75" s="33">
        <v>2001</v>
      </c>
      <c r="Q75" s="40"/>
      <c r="R75" s="40"/>
      <c r="S75" s="40" t="s">
        <v>482</v>
      </c>
      <c r="T75" s="40" t="s">
        <v>12</v>
      </c>
      <c r="U75" s="251">
        <v>153562500</v>
      </c>
      <c r="V75" s="33" t="s">
        <v>43</v>
      </c>
      <c r="W75" s="127"/>
      <c r="X75" s="206" t="str">
        <f t="shared" si="21"/>
        <v>4.13.01</v>
      </c>
      <c r="Y75" s="207" t="str">
        <f t="shared" si="3"/>
        <v>JALAN</v>
      </c>
      <c r="Z75" s="207">
        <f t="shared" si="4"/>
        <v>10</v>
      </c>
      <c r="AA75" s="233">
        <f t="shared" si="6"/>
        <v>15356249</v>
      </c>
      <c r="AB75" s="208">
        <f t="shared" si="7"/>
        <v>12</v>
      </c>
      <c r="AC75" s="233">
        <f t="shared" si="8"/>
        <v>153562490</v>
      </c>
      <c r="AD75" s="233">
        <f t="shared" si="9"/>
        <v>0</v>
      </c>
      <c r="AE75" s="233">
        <f t="shared" si="10"/>
        <v>0</v>
      </c>
      <c r="AF75" s="233">
        <f t="shared" si="11"/>
        <v>0</v>
      </c>
      <c r="AG75" s="233">
        <f t="shared" si="12"/>
        <v>0</v>
      </c>
      <c r="AH75" s="238">
        <f t="shared" si="13"/>
        <v>0</v>
      </c>
      <c r="AI75" s="238">
        <f t="shared" si="14"/>
        <v>153562490</v>
      </c>
      <c r="AJ75" s="261">
        <f t="shared" si="15"/>
        <v>2001</v>
      </c>
      <c r="AK75" s="233">
        <f t="shared" si="16"/>
        <v>10</v>
      </c>
    </row>
    <row r="76" spans="1:37" s="116" customFormat="1" ht="35.25" hidden="1" customHeight="1" x14ac:dyDescent="0.2">
      <c r="A76" s="116">
        <v>44</v>
      </c>
      <c r="B76" s="116" t="str">
        <f t="shared" si="1"/>
        <v>JL. LIMUNO - JL. SUDIRMAN</v>
      </c>
      <c r="D76" s="116">
        <v>1</v>
      </c>
      <c r="E76" s="120" t="str">
        <f t="shared" si="22"/>
        <v>44.1</v>
      </c>
      <c r="F76" s="218" t="str">
        <f t="shared" si="5"/>
        <v>4.13.01</v>
      </c>
      <c r="G76" s="53"/>
      <c r="H76" s="67" t="s">
        <v>529</v>
      </c>
      <c r="I76" s="33" t="s">
        <v>2494</v>
      </c>
      <c r="J76" s="63"/>
      <c r="K76" s="33" t="s">
        <v>479</v>
      </c>
      <c r="L76" s="360" t="s">
        <v>572</v>
      </c>
      <c r="M76" s="40">
        <v>8</v>
      </c>
      <c r="N76" s="360">
        <v>1888</v>
      </c>
      <c r="O76" s="72" t="s">
        <v>573</v>
      </c>
      <c r="P76" s="33">
        <v>2001</v>
      </c>
      <c r="Q76" s="40"/>
      <c r="R76" s="40"/>
      <c r="S76" s="40" t="s">
        <v>482</v>
      </c>
      <c r="T76" s="40" t="s">
        <v>12</v>
      </c>
      <c r="U76" s="251">
        <v>268450000</v>
      </c>
      <c r="V76" s="33" t="s">
        <v>43</v>
      </c>
      <c r="W76" s="127"/>
      <c r="X76" s="206" t="str">
        <f t="shared" si="21"/>
        <v>4.13.01</v>
      </c>
      <c r="Y76" s="207" t="str">
        <f t="shared" si="3"/>
        <v>JALAN</v>
      </c>
      <c r="Z76" s="207">
        <f t="shared" si="4"/>
        <v>10</v>
      </c>
      <c r="AA76" s="233">
        <f t="shared" si="6"/>
        <v>26844999</v>
      </c>
      <c r="AB76" s="208">
        <f t="shared" si="7"/>
        <v>12</v>
      </c>
      <c r="AC76" s="233">
        <f t="shared" si="8"/>
        <v>268449990</v>
      </c>
      <c r="AD76" s="233">
        <f t="shared" si="9"/>
        <v>0</v>
      </c>
      <c r="AE76" s="233">
        <f t="shared" si="10"/>
        <v>0</v>
      </c>
      <c r="AF76" s="233">
        <f t="shared" si="11"/>
        <v>0</v>
      </c>
      <c r="AG76" s="233">
        <f t="shared" si="12"/>
        <v>0</v>
      </c>
      <c r="AH76" s="238">
        <f t="shared" si="13"/>
        <v>0</v>
      </c>
      <c r="AI76" s="238">
        <f t="shared" si="14"/>
        <v>268449990</v>
      </c>
      <c r="AJ76" s="261">
        <f t="shared" si="15"/>
        <v>2001</v>
      </c>
      <c r="AK76" s="233">
        <f t="shared" si="16"/>
        <v>10</v>
      </c>
    </row>
    <row r="77" spans="1:37" s="116" customFormat="1" ht="35.25" hidden="1" customHeight="1" x14ac:dyDescent="0.2">
      <c r="A77" s="116">
        <v>45</v>
      </c>
      <c r="B77" s="116" t="str">
        <f t="shared" si="1"/>
        <v>JL. MERDEKA - JL. KARTINI</v>
      </c>
      <c r="D77" s="116">
        <v>1</v>
      </c>
      <c r="E77" s="120" t="str">
        <f t="shared" si="22"/>
        <v>45.1</v>
      </c>
      <c r="F77" s="218" t="str">
        <f t="shared" si="5"/>
        <v>4.13.01</v>
      </c>
      <c r="G77" s="53"/>
      <c r="H77" s="67" t="s">
        <v>529</v>
      </c>
      <c r="I77" s="33" t="s">
        <v>2494</v>
      </c>
      <c r="J77" s="63"/>
      <c r="K77" s="33" t="s">
        <v>479</v>
      </c>
      <c r="L77" s="360" t="s">
        <v>574</v>
      </c>
      <c r="M77" s="40">
        <v>8</v>
      </c>
      <c r="N77" s="360">
        <v>2512</v>
      </c>
      <c r="O77" s="72" t="s">
        <v>575</v>
      </c>
      <c r="P77" s="33">
        <v>2001</v>
      </c>
      <c r="Q77" s="40"/>
      <c r="R77" s="40"/>
      <c r="S77" s="40" t="s">
        <v>482</v>
      </c>
      <c r="T77" s="40" t="s">
        <v>12</v>
      </c>
      <c r="U77" s="251">
        <v>428610000</v>
      </c>
      <c r="V77" s="33" t="s">
        <v>43</v>
      </c>
      <c r="W77" s="127"/>
      <c r="X77" s="206" t="str">
        <f t="shared" si="21"/>
        <v>4.13.01</v>
      </c>
      <c r="Y77" s="207" t="str">
        <f t="shared" si="3"/>
        <v>JALAN</v>
      </c>
      <c r="Z77" s="207">
        <f t="shared" si="4"/>
        <v>10</v>
      </c>
      <c r="AA77" s="233">
        <f t="shared" si="6"/>
        <v>42860999</v>
      </c>
      <c r="AB77" s="208">
        <f t="shared" si="7"/>
        <v>12</v>
      </c>
      <c r="AC77" s="233">
        <f t="shared" si="8"/>
        <v>428609990</v>
      </c>
      <c r="AD77" s="233">
        <f t="shared" si="9"/>
        <v>0</v>
      </c>
      <c r="AE77" s="233">
        <f t="shared" si="10"/>
        <v>0</v>
      </c>
      <c r="AF77" s="233">
        <f t="shared" si="11"/>
        <v>0</v>
      </c>
      <c r="AG77" s="233">
        <f t="shared" si="12"/>
        <v>0</v>
      </c>
      <c r="AH77" s="238">
        <f t="shared" si="13"/>
        <v>0</v>
      </c>
      <c r="AI77" s="238">
        <f t="shared" si="14"/>
        <v>428609990</v>
      </c>
      <c r="AJ77" s="261">
        <f t="shared" si="15"/>
        <v>2001</v>
      </c>
      <c r="AK77" s="233">
        <f t="shared" si="16"/>
        <v>10</v>
      </c>
    </row>
    <row r="78" spans="1:37" s="116" customFormat="1" ht="35.25" hidden="1" customHeight="1" x14ac:dyDescent="0.2">
      <c r="A78" s="116">
        <v>40</v>
      </c>
      <c r="B78" s="116" t="str">
        <f t="shared" si="1"/>
        <v>JL. GUNUNG KESIANGAN - JL. SUDIRMAN</v>
      </c>
      <c r="D78" s="116">
        <v>1</v>
      </c>
      <c r="E78" s="120" t="str">
        <f t="shared" si="22"/>
        <v>40.1</v>
      </c>
      <c r="F78" s="218" t="str">
        <f t="shared" si="5"/>
        <v>4.13.01</v>
      </c>
      <c r="G78" s="53"/>
      <c r="H78" s="67" t="s">
        <v>529</v>
      </c>
      <c r="I78" s="33" t="s">
        <v>2494</v>
      </c>
      <c r="J78" s="63"/>
      <c r="K78" s="33" t="s">
        <v>479</v>
      </c>
      <c r="L78" s="360" t="s">
        <v>576</v>
      </c>
      <c r="M78" s="40">
        <v>7</v>
      </c>
      <c r="N78" s="360">
        <v>539</v>
      </c>
      <c r="O78" s="72" t="s">
        <v>577</v>
      </c>
      <c r="P78" s="33">
        <v>2001</v>
      </c>
      <c r="Q78" s="40"/>
      <c r="R78" s="40"/>
      <c r="S78" s="40" t="s">
        <v>482</v>
      </c>
      <c r="T78" s="40" t="s">
        <v>12</v>
      </c>
      <c r="U78" s="251">
        <v>87587500</v>
      </c>
      <c r="V78" s="33" t="s">
        <v>43</v>
      </c>
      <c r="W78" s="127"/>
      <c r="X78" s="206" t="str">
        <f t="shared" si="21"/>
        <v>4.13.01</v>
      </c>
      <c r="Y78" s="207" t="str">
        <f t="shared" si="3"/>
        <v>JALAN</v>
      </c>
      <c r="Z78" s="207">
        <f t="shared" si="4"/>
        <v>10</v>
      </c>
      <c r="AA78" s="233">
        <f t="shared" si="6"/>
        <v>8758749</v>
      </c>
      <c r="AB78" s="208">
        <f t="shared" si="7"/>
        <v>12</v>
      </c>
      <c r="AC78" s="233">
        <f t="shared" si="8"/>
        <v>87587490</v>
      </c>
      <c r="AD78" s="233">
        <f t="shared" si="9"/>
        <v>0</v>
      </c>
      <c r="AE78" s="233">
        <f t="shared" si="10"/>
        <v>0</v>
      </c>
      <c r="AF78" s="233">
        <f t="shared" si="11"/>
        <v>0</v>
      </c>
      <c r="AG78" s="233">
        <f t="shared" si="12"/>
        <v>0</v>
      </c>
      <c r="AH78" s="238">
        <f t="shared" si="13"/>
        <v>0</v>
      </c>
      <c r="AI78" s="238">
        <f t="shared" si="14"/>
        <v>87587490</v>
      </c>
      <c r="AJ78" s="261">
        <f t="shared" si="15"/>
        <v>2001</v>
      </c>
      <c r="AK78" s="233">
        <f t="shared" si="16"/>
        <v>10</v>
      </c>
    </row>
    <row r="79" spans="1:37" s="116" customFormat="1" ht="35.25" hidden="1" customHeight="1" x14ac:dyDescent="0.2">
      <c r="A79" s="116">
        <v>41</v>
      </c>
      <c r="B79" s="116" t="str">
        <f t="shared" si="1"/>
        <v>JL. IMAM BONJOL - JL. KUANTAN</v>
      </c>
      <c r="D79" s="116">
        <v>1</v>
      </c>
      <c r="E79" s="120" t="str">
        <f t="shared" si="22"/>
        <v>41.1</v>
      </c>
      <c r="F79" s="218" t="str">
        <f t="shared" si="5"/>
        <v>4.13.01</v>
      </c>
      <c r="G79" s="53"/>
      <c r="H79" s="67" t="s">
        <v>529</v>
      </c>
      <c r="I79" s="33" t="s">
        <v>2494</v>
      </c>
      <c r="J79" s="63"/>
      <c r="K79" s="33" t="s">
        <v>479</v>
      </c>
      <c r="L79" s="360" t="s">
        <v>578</v>
      </c>
      <c r="M79" s="40">
        <v>10</v>
      </c>
      <c r="N79" s="360">
        <v>2850</v>
      </c>
      <c r="O79" s="72" t="s">
        <v>579</v>
      </c>
      <c r="P79" s="33">
        <v>2001</v>
      </c>
      <c r="Q79" s="40"/>
      <c r="R79" s="40"/>
      <c r="S79" s="40" t="s">
        <v>482</v>
      </c>
      <c r="T79" s="40" t="s">
        <v>12</v>
      </c>
      <c r="U79" s="251">
        <v>324187500</v>
      </c>
      <c r="V79" s="33" t="s">
        <v>43</v>
      </c>
      <c r="W79" s="127"/>
      <c r="X79" s="206" t="str">
        <f t="shared" si="21"/>
        <v>4.13.01</v>
      </c>
      <c r="Y79" s="207" t="str">
        <f t="shared" si="3"/>
        <v>JALAN</v>
      </c>
      <c r="Z79" s="207">
        <f t="shared" si="4"/>
        <v>10</v>
      </c>
      <c r="AA79" s="233">
        <f t="shared" si="6"/>
        <v>32418749</v>
      </c>
      <c r="AB79" s="208">
        <f t="shared" si="7"/>
        <v>12</v>
      </c>
      <c r="AC79" s="233">
        <f t="shared" si="8"/>
        <v>324187490</v>
      </c>
      <c r="AD79" s="233">
        <f t="shared" si="9"/>
        <v>0</v>
      </c>
      <c r="AE79" s="233">
        <f t="shared" si="10"/>
        <v>0</v>
      </c>
      <c r="AF79" s="233">
        <f t="shared" si="11"/>
        <v>0</v>
      </c>
      <c r="AG79" s="233">
        <f t="shared" si="12"/>
        <v>0</v>
      </c>
      <c r="AH79" s="238">
        <f t="shared" si="13"/>
        <v>0</v>
      </c>
      <c r="AI79" s="238">
        <f t="shared" si="14"/>
        <v>324187490</v>
      </c>
      <c r="AJ79" s="261">
        <f t="shared" si="15"/>
        <v>2001</v>
      </c>
      <c r="AK79" s="233">
        <f t="shared" si="16"/>
        <v>10</v>
      </c>
    </row>
    <row r="80" spans="1:37" s="116" customFormat="1" ht="35.25" hidden="1" customHeight="1" x14ac:dyDescent="0.2">
      <c r="A80" s="116">
        <v>42</v>
      </c>
      <c r="B80" s="116" t="str">
        <f t="shared" ref="B80:B166" si="23">VLOOKUP(A80,RUAS,2,0)</f>
        <v>KAMPUNG DATAR - PL. KOMANG</v>
      </c>
      <c r="D80" s="116">
        <v>1</v>
      </c>
      <c r="E80" s="120" t="str">
        <f t="shared" si="22"/>
        <v>42.1</v>
      </c>
      <c r="F80" s="218" t="str">
        <f t="shared" si="5"/>
        <v>4.13.01</v>
      </c>
      <c r="G80" s="53"/>
      <c r="H80" s="67" t="s">
        <v>529</v>
      </c>
      <c r="I80" s="33" t="s">
        <v>2494</v>
      </c>
      <c r="J80" s="63"/>
      <c r="K80" s="33" t="s">
        <v>492</v>
      </c>
      <c r="L80" s="360">
        <v>2900</v>
      </c>
      <c r="M80" s="40">
        <v>8</v>
      </c>
      <c r="N80" s="360">
        <v>23200</v>
      </c>
      <c r="O80" s="72" t="s">
        <v>581</v>
      </c>
      <c r="P80" s="33">
        <v>2001</v>
      </c>
      <c r="Q80" s="40"/>
      <c r="R80" s="40"/>
      <c r="S80" s="40" t="s">
        <v>482</v>
      </c>
      <c r="T80" s="40" t="s">
        <v>12</v>
      </c>
      <c r="U80" s="251">
        <v>1305000000</v>
      </c>
      <c r="V80" s="33" t="s">
        <v>43</v>
      </c>
      <c r="W80" s="127"/>
      <c r="X80" s="206" t="str">
        <f t="shared" si="21"/>
        <v>4.13.01</v>
      </c>
      <c r="Y80" s="207" t="str">
        <f t="shared" ref="Y80:Y166" si="24">VLOOKUP(X80,kelompok,2,0)</f>
        <v>JALAN</v>
      </c>
      <c r="Z80" s="207">
        <f t="shared" ref="Z80:Z166" si="25">VLOOKUP(X80,MASAMANFAAT,4,0)</f>
        <v>10</v>
      </c>
      <c r="AA80" s="233">
        <f t="shared" si="6"/>
        <v>130499999</v>
      </c>
      <c r="AB80" s="208">
        <f t="shared" si="7"/>
        <v>12</v>
      </c>
      <c r="AC80" s="233">
        <f t="shared" si="8"/>
        <v>1304999990</v>
      </c>
      <c r="AD80" s="233">
        <f t="shared" si="9"/>
        <v>0</v>
      </c>
      <c r="AE80" s="233">
        <f t="shared" si="10"/>
        <v>0</v>
      </c>
      <c r="AF80" s="233">
        <f t="shared" si="11"/>
        <v>0</v>
      </c>
      <c r="AG80" s="233">
        <f t="shared" si="12"/>
        <v>0</v>
      </c>
      <c r="AH80" s="238">
        <f t="shared" si="13"/>
        <v>0</v>
      </c>
      <c r="AI80" s="238">
        <f t="shared" si="14"/>
        <v>1304999990</v>
      </c>
      <c r="AJ80" s="261">
        <f t="shared" si="15"/>
        <v>2001</v>
      </c>
      <c r="AK80" s="233">
        <f t="shared" si="16"/>
        <v>10</v>
      </c>
    </row>
    <row r="81" spans="1:39" s="116" customFormat="1" ht="35.25" hidden="1" customHeight="1" x14ac:dyDescent="0.2">
      <c r="A81" s="116">
        <v>37</v>
      </c>
      <c r="B81" s="116" t="str">
        <f t="shared" si="23"/>
        <v>JL. LINGKAR JATI 2 - JL. SUDIRMAN</v>
      </c>
      <c r="D81" s="116">
        <v>1</v>
      </c>
      <c r="E81" s="120" t="str">
        <f t="shared" si="22"/>
        <v>37.1</v>
      </c>
      <c r="F81" s="218" t="str">
        <f t="shared" ref="F81:F167" si="26">MID(I81,2,7)</f>
        <v>4.13.01</v>
      </c>
      <c r="G81" s="53"/>
      <c r="H81" s="67" t="s">
        <v>529</v>
      </c>
      <c r="I81" s="33" t="s">
        <v>2494</v>
      </c>
      <c r="J81" s="63"/>
      <c r="K81" s="33" t="s">
        <v>479</v>
      </c>
      <c r="L81" s="360" t="s">
        <v>582</v>
      </c>
      <c r="M81" s="40">
        <v>8</v>
      </c>
      <c r="N81" s="360">
        <v>696</v>
      </c>
      <c r="O81" s="72" t="s">
        <v>583</v>
      </c>
      <c r="P81" s="33">
        <v>2001</v>
      </c>
      <c r="Q81" s="40"/>
      <c r="R81" s="40"/>
      <c r="S81" s="40" t="s">
        <v>482</v>
      </c>
      <c r="T81" s="40" t="s">
        <v>12</v>
      </c>
      <c r="U81" s="251">
        <v>118755000</v>
      </c>
      <c r="V81" s="33" t="s">
        <v>43</v>
      </c>
      <c r="W81" s="127"/>
      <c r="X81" s="206" t="str">
        <f t="shared" si="21"/>
        <v>4.13.01</v>
      </c>
      <c r="Y81" s="207" t="str">
        <f t="shared" si="24"/>
        <v>JALAN</v>
      </c>
      <c r="Z81" s="207">
        <f t="shared" si="25"/>
        <v>10</v>
      </c>
      <c r="AA81" s="233">
        <f t="shared" ref="AA81:AA167" si="27">(U81-10)/Z81</f>
        <v>11875499</v>
      </c>
      <c r="AB81" s="208">
        <f t="shared" ref="AB81:AB167" si="28">2013-AJ81</f>
        <v>12</v>
      </c>
      <c r="AC81" s="233">
        <f t="shared" ref="AC81:AC167" si="29">IF(AB81&gt;Z81,U81-10,AA81*AB81)</f>
        <v>118754990</v>
      </c>
      <c r="AD81" s="233">
        <f t="shared" ref="AD81:AD167" si="30">IF(U81-10=AC81,0,AA81)</f>
        <v>0</v>
      </c>
      <c r="AE81" s="233">
        <f t="shared" ref="AE81:AE167" si="31">IF(U81-10=AC81+AD81,0,AA81)</f>
        <v>0</v>
      </c>
      <c r="AF81" s="233">
        <f t="shared" ref="AF81:AF167" si="32">IF(U81-10=AC81+AD81+AE81,0,AA81)</f>
        <v>0</v>
      </c>
      <c r="AG81" s="233">
        <f t="shared" ref="AG81:AG167" si="33">IF(U81-10=AD81+AE81+AF81+AC81,0,AA81)</f>
        <v>0</v>
      </c>
      <c r="AH81" s="238">
        <f t="shared" ref="AH81:AH167" si="34">IF(U81-10=AD81+AE81+AF81+AC81+AG81,0,AA81)</f>
        <v>0</v>
      </c>
      <c r="AI81" s="238">
        <f t="shared" ref="AI81:AI167" si="35">SUM(AC81:AH81)</f>
        <v>118754990</v>
      </c>
      <c r="AJ81" s="261">
        <f t="shared" ref="AJ81:AJ167" si="36">P81</f>
        <v>2001</v>
      </c>
      <c r="AK81" s="233">
        <f t="shared" ref="AK81:AK167" si="37">U81-AI81</f>
        <v>10</v>
      </c>
    </row>
    <row r="82" spans="1:39" s="116" customFormat="1" ht="35.25" hidden="1" customHeight="1" x14ac:dyDescent="0.2">
      <c r="A82" s="116">
        <v>38</v>
      </c>
      <c r="B82" s="116" t="str">
        <f t="shared" si="23"/>
        <v>JL. PETAPAHAN - JL. SUDIRMAN</v>
      </c>
      <c r="D82" s="116">
        <v>1</v>
      </c>
      <c r="E82" s="120" t="str">
        <f t="shared" si="22"/>
        <v>38.1</v>
      </c>
      <c r="F82" s="218" t="str">
        <f t="shared" si="26"/>
        <v>4.13.01</v>
      </c>
      <c r="G82" s="53"/>
      <c r="H82" s="67" t="s">
        <v>529</v>
      </c>
      <c r="I82" s="33" t="s">
        <v>2494</v>
      </c>
      <c r="J82" s="63"/>
      <c r="K82" s="33" t="s">
        <v>479</v>
      </c>
      <c r="L82" s="360" t="s">
        <v>584</v>
      </c>
      <c r="M82" s="40">
        <v>8</v>
      </c>
      <c r="N82" s="360">
        <v>648</v>
      </c>
      <c r="O82" s="72" t="s">
        <v>585</v>
      </c>
      <c r="P82" s="33">
        <v>2001</v>
      </c>
      <c r="Q82" s="40"/>
      <c r="R82" s="40"/>
      <c r="S82" s="40" t="s">
        <v>482</v>
      </c>
      <c r="T82" s="40" t="s">
        <v>12</v>
      </c>
      <c r="U82" s="251">
        <v>68040000</v>
      </c>
      <c r="V82" s="33" t="s">
        <v>43</v>
      </c>
      <c r="W82" s="127"/>
      <c r="X82" s="206" t="str">
        <f t="shared" si="21"/>
        <v>4.13.01</v>
      </c>
      <c r="Y82" s="207" t="str">
        <f t="shared" si="24"/>
        <v>JALAN</v>
      </c>
      <c r="Z82" s="207">
        <f t="shared" si="25"/>
        <v>10</v>
      </c>
      <c r="AA82" s="233">
        <f t="shared" si="27"/>
        <v>6803999</v>
      </c>
      <c r="AB82" s="208">
        <f t="shared" si="28"/>
        <v>12</v>
      </c>
      <c r="AC82" s="233">
        <f t="shared" si="29"/>
        <v>68039990</v>
      </c>
      <c r="AD82" s="233">
        <f t="shared" si="30"/>
        <v>0</v>
      </c>
      <c r="AE82" s="233">
        <f t="shared" si="31"/>
        <v>0</v>
      </c>
      <c r="AF82" s="233">
        <f t="shared" si="32"/>
        <v>0</v>
      </c>
      <c r="AG82" s="233">
        <f t="shared" si="33"/>
        <v>0</v>
      </c>
      <c r="AH82" s="238">
        <f t="shared" si="34"/>
        <v>0</v>
      </c>
      <c r="AI82" s="238">
        <f t="shared" si="35"/>
        <v>68039990</v>
      </c>
      <c r="AJ82" s="261">
        <f t="shared" si="36"/>
        <v>2001</v>
      </c>
      <c r="AK82" s="233">
        <f t="shared" si="37"/>
        <v>10</v>
      </c>
    </row>
    <row r="83" spans="1:39" s="116" customFormat="1" ht="35.25" hidden="1" customHeight="1" x14ac:dyDescent="0.2">
      <c r="A83" s="116">
        <v>39</v>
      </c>
      <c r="B83" s="116" t="str">
        <f t="shared" si="23"/>
        <v>JL. SAKO - JL. SUDIRMAN</v>
      </c>
      <c r="D83" s="116">
        <v>1</v>
      </c>
      <c r="E83" s="120" t="str">
        <f t="shared" si="22"/>
        <v>39.1</v>
      </c>
      <c r="F83" s="218" t="str">
        <f t="shared" si="26"/>
        <v>4.13.01</v>
      </c>
      <c r="G83" s="53"/>
      <c r="H83" s="67" t="s">
        <v>529</v>
      </c>
      <c r="I83" s="33" t="s">
        <v>2494</v>
      </c>
      <c r="J83" s="63"/>
      <c r="K83" s="33" t="s">
        <v>479</v>
      </c>
      <c r="L83" s="360" t="s">
        <v>586</v>
      </c>
      <c r="M83" s="40">
        <v>7</v>
      </c>
      <c r="N83" s="360">
        <v>532</v>
      </c>
      <c r="O83" s="72" t="s">
        <v>587</v>
      </c>
      <c r="P83" s="33">
        <v>2001</v>
      </c>
      <c r="Q83" s="40"/>
      <c r="R83" s="40"/>
      <c r="S83" s="40" t="s">
        <v>482</v>
      </c>
      <c r="T83" s="40" t="s">
        <v>12</v>
      </c>
      <c r="U83" s="251">
        <v>86450000</v>
      </c>
      <c r="V83" s="33" t="s">
        <v>43</v>
      </c>
      <c r="W83" s="127"/>
      <c r="X83" s="206" t="str">
        <f t="shared" si="21"/>
        <v>4.13.01</v>
      </c>
      <c r="Y83" s="207" t="str">
        <f t="shared" si="24"/>
        <v>JALAN</v>
      </c>
      <c r="Z83" s="207">
        <f t="shared" si="25"/>
        <v>10</v>
      </c>
      <c r="AA83" s="233">
        <f t="shared" si="27"/>
        <v>8644999</v>
      </c>
      <c r="AB83" s="208">
        <f t="shared" si="28"/>
        <v>12</v>
      </c>
      <c r="AC83" s="233">
        <f t="shared" si="29"/>
        <v>86449990</v>
      </c>
      <c r="AD83" s="233">
        <f t="shared" si="30"/>
        <v>0</v>
      </c>
      <c r="AE83" s="233">
        <f t="shared" si="31"/>
        <v>0</v>
      </c>
      <c r="AF83" s="233">
        <f t="shared" si="32"/>
        <v>0</v>
      </c>
      <c r="AG83" s="233">
        <f t="shared" si="33"/>
        <v>0</v>
      </c>
      <c r="AH83" s="238">
        <f t="shared" si="34"/>
        <v>0</v>
      </c>
      <c r="AI83" s="238">
        <f t="shared" si="35"/>
        <v>86449990</v>
      </c>
      <c r="AJ83" s="261">
        <f t="shared" si="36"/>
        <v>2001</v>
      </c>
      <c r="AK83" s="233">
        <f t="shared" si="37"/>
        <v>10</v>
      </c>
    </row>
    <row r="84" spans="1:39" s="379" customFormat="1" ht="35.25" hidden="1" customHeight="1" x14ac:dyDescent="0.2">
      <c r="A84" s="379">
        <v>35</v>
      </c>
      <c r="B84" s="379" t="str">
        <f t="shared" si="23"/>
        <v>JL. TUGU TIMUR - JL. SUDIRMAN</v>
      </c>
      <c r="D84" s="379">
        <v>1</v>
      </c>
      <c r="E84" s="120" t="str">
        <f t="shared" si="22"/>
        <v>35.1</v>
      </c>
      <c r="F84" s="380" t="str">
        <f t="shared" si="26"/>
        <v>4.13.01</v>
      </c>
      <c r="G84" s="381"/>
      <c r="H84" s="170" t="s">
        <v>529</v>
      </c>
      <c r="I84" s="332" t="s">
        <v>2494</v>
      </c>
      <c r="J84" s="63"/>
      <c r="K84" s="332" t="s">
        <v>479</v>
      </c>
      <c r="L84" s="382" t="s">
        <v>588</v>
      </c>
      <c r="M84" s="171">
        <v>8</v>
      </c>
      <c r="N84" s="382">
        <v>1024</v>
      </c>
      <c r="O84" s="172" t="s">
        <v>589</v>
      </c>
      <c r="P84" s="332">
        <v>2001</v>
      </c>
      <c r="Q84" s="171"/>
      <c r="R84" s="171"/>
      <c r="S84" s="171" t="s">
        <v>482</v>
      </c>
      <c r="T84" s="171" t="s">
        <v>12</v>
      </c>
      <c r="U84" s="383">
        <v>145600000</v>
      </c>
      <c r="V84" s="332" t="s">
        <v>43</v>
      </c>
      <c r="W84" s="384"/>
      <c r="X84" s="212" t="str">
        <f t="shared" si="21"/>
        <v>4.13.01</v>
      </c>
      <c r="Y84" s="213" t="str">
        <f t="shared" si="24"/>
        <v>JALAN</v>
      </c>
      <c r="Z84" s="213">
        <f t="shared" si="25"/>
        <v>10</v>
      </c>
      <c r="AA84" s="236">
        <f t="shared" si="27"/>
        <v>14559999</v>
      </c>
      <c r="AB84" s="214">
        <f t="shared" si="28"/>
        <v>12</v>
      </c>
      <c r="AC84" s="236">
        <f t="shared" si="29"/>
        <v>145599990</v>
      </c>
      <c r="AD84" s="236">
        <f t="shared" si="30"/>
        <v>0</v>
      </c>
      <c r="AE84" s="236">
        <f t="shared" si="31"/>
        <v>0</v>
      </c>
      <c r="AF84" s="236">
        <f t="shared" si="32"/>
        <v>0</v>
      </c>
      <c r="AG84" s="236">
        <f t="shared" si="33"/>
        <v>0</v>
      </c>
      <c r="AH84" s="241">
        <f t="shared" si="34"/>
        <v>0</v>
      </c>
      <c r="AI84" s="241">
        <f t="shared" si="35"/>
        <v>145599990</v>
      </c>
      <c r="AJ84" s="261">
        <f t="shared" si="36"/>
        <v>2001</v>
      </c>
      <c r="AK84" s="236">
        <f t="shared" si="37"/>
        <v>10</v>
      </c>
    </row>
    <row r="85" spans="1:39" s="379" customFormat="1" ht="35.25" hidden="1" customHeight="1" x14ac:dyDescent="0.2">
      <c r="A85" s="379">
        <v>35</v>
      </c>
      <c r="B85" s="379" t="str">
        <f t="shared" si="23"/>
        <v>JL. TUGU TIMUR - JL. SUDIRMAN</v>
      </c>
      <c r="D85" s="379">
        <v>2</v>
      </c>
      <c r="E85" s="120" t="str">
        <f t="shared" si="22"/>
        <v>35.2</v>
      </c>
      <c r="F85" s="380" t="str">
        <f t="shared" si="26"/>
        <v>4.13.01</v>
      </c>
      <c r="G85" s="381"/>
      <c r="H85" s="170" t="s">
        <v>529</v>
      </c>
      <c r="I85" s="332" t="s">
        <v>2494</v>
      </c>
      <c r="J85" s="63"/>
      <c r="K85" s="332" t="s">
        <v>479</v>
      </c>
      <c r="L85" s="382" t="s">
        <v>588</v>
      </c>
      <c r="M85" s="171">
        <v>8</v>
      </c>
      <c r="N85" s="382">
        <v>1024</v>
      </c>
      <c r="O85" s="172" t="s">
        <v>589</v>
      </c>
      <c r="P85" s="332">
        <v>2001</v>
      </c>
      <c r="Q85" s="171"/>
      <c r="R85" s="171"/>
      <c r="S85" s="171" t="s">
        <v>482</v>
      </c>
      <c r="T85" s="171" t="s">
        <v>12</v>
      </c>
      <c r="U85" s="383">
        <v>145600000</v>
      </c>
      <c r="V85" s="332" t="s">
        <v>43</v>
      </c>
      <c r="W85" s="384"/>
      <c r="X85" s="212" t="str">
        <f t="shared" si="21"/>
        <v>4.13.01</v>
      </c>
      <c r="Y85" s="213" t="str">
        <f t="shared" si="24"/>
        <v>JALAN</v>
      </c>
      <c r="Z85" s="213">
        <f t="shared" si="25"/>
        <v>10</v>
      </c>
      <c r="AA85" s="236">
        <f t="shared" si="27"/>
        <v>14559999</v>
      </c>
      <c r="AB85" s="214">
        <f t="shared" si="28"/>
        <v>12</v>
      </c>
      <c r="AC85" s="236">
        <f t="shared" si="29"/>
        <v>145599990</v>
      </c>
      <c r="AD85" s="236">
        <f t="shared" si="30"/>
        <v>0</v>
      </c>
      <c r="AE85" s="236">
        <f t="shared" si="31"/>
        <v>0</v>
      </c>
      <c r="AF85" s="236">
        <f t="shared" si="32"/>
        <v>0</v>
      </c>
      <c r="AG85" s="236">
        <f t="shared" si="33"/>
        <v>0</v>
      </c>
      <c r="AH85" s="241">
        <f t="shared" si="34"/>
        <v>0</v>
      </c>
      <c r="AI85" s="241">
        <f t="shared" si="35"/>
        <v>145599990</v>
      </c>
      <c r="AJ85" s="261">
        <f t="shared" si="36"/>
        <v>2001</v>
      </c>
      <c r="AK85" s="236">
        <f t="shared" si="37"/>
        <v>10</v>
      </c>
      <c r="AM85" s="116" t="s">
        <v>4245</v>
      </c>
    </row>
    <row r="86" spans="1:39" s="116" customFormat="1" ht="35.25" hidden="1" customHeight="1" x14ac:dyDescent="0.2">
      <c r="A86" s="116">
        <v>36</v>
      </c>
      <c r="B86" s="116" t="str">
        <f t="shared" si="23"/>
        <v>JL. LINGKAR JATI 1 - JL. SUDIRMAN</v>
      </c>
      <c r="D86" s="116">
        <v>1</v>
      </c>
      <c r="E86" s="120" t="str">
        <f t="shared" si="22"/>
        <v>36.1</v>
      </c>
      <c r="F86" s="218" t="str">
        <f t="shared" si="26"/>
        <v>4.13.01</v>
      </c>
      <c r="G86" s="53"/>
      <c r="H86" s="67" t="s">
        <v>529</v>
      </c>
      <c r="I86" s="33" t="s">
        <v>2494</v>
      </c>
      <c r="J86" s="63"/>
      <c r="K86" s="33" t="s">
        <v>479</v>
      </c>
      <c r="L86" s="360" t="s">
        <v>588</v>
      </c>
      <c r="M86" s="40">
        <v>8</v>
      </c>
      <c r="N86" s="360">
        <v>1024</v>
      </c>
      <c r="O86" s="72" t="s">
        <v>590</v>
      </c>
      <c r="P86" s="33">
        <v>2001</v>
      </c>
      <c r="Q86" s="40"/>
      <c r="R86" s="40"/>
      <c r="S86" s="40" t="s">
        <v>482</v>
      </c>
      <c r="T86" s="40" t="s">
        <v>12</v>
      </c>
      <c r="U86" s="251">
        <v>174720000</v>
      </c>
      <c r="V86" s="33" t="s">
        <v>43</v>
      </c>
      <c r="W86" s="127"/>
      <c r="X86" s="206" t="str">
        <f t="shared" si="21"/>
        <v>4.13.01</v>
      </c>
      <c r="Y86" s="207" t="str">
        <f t="shared" si="24"/>
        <v>JALAN</v>
      </c>
      <c r="Z86" s="207">
        <f t="shared" si="25"/>
        <v>10</v>
      </c>
      <c r="AA86" s="233">
        <f t="shared" si="27"/>
        <v>17471999</v>
      </c>
      <c r="AB86" s="208">
        <f t="shared" si="28"/>
        <v>12</v>
      </c>
      <c r="AC86" s="233">
        <f t="shared" si="29"/>
        <v>174719990</v>
      </c>
      <c r="AD86" s="233">
        <f t="shared" si="30"/>
        <v>0</v>
      </c>
      <c r="AE86" s="233">
        <f t="shared" si="31"/>
        <v>0</v>
      </c>
      <c r="AF86" s="233">
        <f t="shared" si="32"/>
        <v>0</v>
      </c>
      <c r="AG86" s="233">
        <f t="shared" si="33"/>
        <v>0</v>
      </c>
      <c r="AH86" s="238">
        <f t="shared" si="34"/>
        <v>0</v>
      </c>
      <c r="AI86" s="238">
        <f t="shared" si="35"/>
        <v>174719990</v>
      </c>
      <c r="AJ86" s="261">
        <f t="shared" si="36"/>
        <v>2001</v>
      </c>
      <c r="AK86" s="233">
        <f t="shared" si="37"/>
        <v>10</v>
      </c>
    </row>
    <row r="87" spans="1:39" s="116" customFormat="1" ht="35.25" hidden="1" customHeight="1" x14ac:dyDescent="0.2">
      <c r="A87" s="116">
        <v>33</v>
      </c>
      <c r="B87" s="116" t="str">
        <f t="shared" si="23"/>
        <v>JL. KESEHATAN - MESJID</v>
      </c>
      <c r="D87" s="116">
        <v>1</v>
      </c>
      <c r="E87" s="120" t="str">
        <f t="shared" si="22"/>
        <v>33.1</v>
      </c>
      <c r="F87" s="218" t="str">
        <f t="shared" si="26"/>
        <v>4.13.01</v>
      </c>
      <c r="G87" s="53"/>
      <c r="H87" s="67" t="s">
        <v>529</v>
      </c>
      <c r="I87" s="33" t="s">
        <v>2494</v>
      </c>
      <c r="J87" s="63"/>
      <c r="K87" s="33" t="s">
        <v>479</v>
      </c>
      <c r="L87" s="360" t="s">
        <v>591</v>
      </c>
      <c r="M87" s="40">
        <v>8</v>
      </c>
      <c r="N87" s="360">
        <v>2232</v>
      </c>
      <c r="O87" s="72" t="s">
        <v>592</v>
      </c>
      <c r="P87" s="33">
        <v>2001</v>
      </c>
      <c r="Q87" s="40"/>
      <c r="R87" s="40"/>
      <c r="S87" s="40" t="s">
        <v>482</v>
      </c>
      <c r="T87" s="40" t="s">
        <v>12</v>
      </c>
      <c r="U87" s="251">
        <v>317362500</v>
      </c>
      <c r="V87" s="33" t="s">
        <v>43</v>
      </c>
      <c r="W87" s="127"/>
      <c r="X87" s="206" t="str">
        <f t="shared" si="21"/>
        <v>4.13.01</v>
      </c>
      <c r="Y87" s="207" t="str">
        <f t="shared" si="24"/>
        <v>JALAN</v>
      </c>
      <c r="Z87" s="207">
        <f t="shared" si="25"/>
        <v>10</v>
      </c>
      <c r="AA87" s="233">
        <f t="shared" si="27"/>
        <v>31736249</v>
      </c>
      <c r="AB87" s="208">
        <f t="shared" si="28"/>
        <v>12</v>
      </c>
      <c r="AC87" s="233">
        <f t="shared" si="29"/>
        <v>317362490</v>
      </c>
      <c r="AD87" s="233">
        <f t="shared" si="30"/>
        <v>0</v>
      </c>
      <c r="AE87" s="233">
        <f t="shared" si="31"/>
        <v>0</v>
      </c>
      <c r="AF87" s="233">
        <f t="shared" si="32"/>
        <v>0</v>
      </c>
      <c r="AG87" s="233">
        <f t="shared" si="33"/>
        <v>0</v>
      </c>
      <c r="AH87" s="238">
        <f t="shared" si="34"/>
        <v>0</v>
      </c>
      <c r="AI87" s="238">
        <f t="shared" si="35"/>
        <v>317362490</v>
      </c>
      <c r="AJ87" s="261">
        <f t="shared" si="36"/>
        <v>2001</v>
      </c>
      <c r="AK87" s="233">
        <f t="shared" si="37"/>
        <v>10</v>
      </c>
    </row>
    <row r="88" spans="1:39" s="116" customFormat="1" ht="35.25" hidden="1" customHeight="1" x14ac:dyDescent="0.2">
      <c r="A88" s="417">
        <v>32</v>
      </c>
      <c r="B88" s="417" t="str">
        <f t="shared" si="23"/>
        <v>JL. SUDIRMAN - JP. KM. 164 + 500</v>
      </c>
      <c r="D88" s="116">
        <v>1</v>
      </c>
      <c r="E88" s="116" t="str">
        <f t="shared" si="22"/>
        <v>32.1</v>
      </c>
      <c r="F88" s="218" t="str">
        <f t="shared" si="26"/>
        <v>4.13.01</v>
      </c>
      <c r="G88" s="53"/>
      <c r="H88" s="67" t="s">
        <v>529</v>
      </c>
      <c r="I88" s="33" t="s">
        <v>2494</v>
      </c>
      <c r="J88" s="63"/>
      <c r="K88" s="33" t="s">
        <v>479</v>
      </c>
      <c r="L88" s="360" t="s">
        <v>593</v>
      </c>
      <c r="M88" s="40">
        <v>10</v>
      </c>
      <c r="N88" s="360">
        <v>8510</v>
      </c>
      <c r="O88" s="72" t="s">
        <v>594</v>
      </c>
      <c r="P88" s="33">
        <v>2001</v>
      </c>
      <c r="Q88" s="40"/>
      <c r="R88" s="40"/>
      <c r="S88" s="40" t="s">
        <v>482</v>
      </c>
      <c r="T88" s="40" t="s">
        <v>12</v>
      </c>
      <c r="U88" s="251">
        <v>1742422500</v>
      </c>
      <c r="V88" s="33" t="s">
        <v>43</v>
      </c>
      <c r="W88" s="127"/>
      <c r="X88" s="206" t="str">
        <f t="shared" si="21"/>
        <v>4.13.01</v>
      </c>
      <c r="Y88" s="207" t="str">
        <f t="shared" si="24"/>
        <v>JALAN</v>
      </c>
      <c r="Z88" s="207">
        <f t="shared" si="25"/>
        <v>10</v>
      </c>
      <c r="AA88" s="233">
        <f t="shared" si="27"/>
        <v>174242249</v>
      </c>
      <c r="AB88" s="208">
        <f t="shared" si="28"/>
        <v>12</v>
      </c>
      <c r="AC88" s="233">
        <f t="shared" si="29"/>
        <v>1742422490</v>
      </c>
      <c r="AD88" s="233">
        <f t="shared" si="30"/>
        <v>0</v>
      </c>
      <c r="AE88" s="233">
        <f t="shared" si="31"/>
        <v>0</v>
      </c>
      <c r="AF88" s="233">
        <f t="shared" si="32"/>
        <v>0</v>
      </c>
      <c r="AG88" s="233">
        <f t="shared" si="33"/>
        <v>0</v>
      </c>
      <c r="AH88" s="238">
        <f t="shared" si="34"/>
        <v>0</v>
      </c>
      <c r="AI88" s="238">
        <f t="shared" si="35"/>
        <v>1742422490</v>
      </c>
      <c r="AJ88" s="261">
        <f t="shared" si="36"/>
        <v>2001</v>
      </c>
      <c r="AK88" s="233">
        <f t="shared" si="37"/>
        <v>10</v>
      </c>
    </row>
    <row r="89" spans="1:39" s="116" customFormat="1" ht="35.25" hidden="1" customHeight="1" x14ac:dyDescent="0.2">
      <c r="A89" s="116">
        <v>34</v>
      </c>
      <c r="B89" s="116" t="str">
        <f t="shared" si="23"/>
        <v>JL. TUGU BARAT - JL. SUDIRMAN</v>
      </c>
      <c r="D89" s="116">
        <v>1</v>
      </c>
      <c r="E89" s="120" t="str">
        <f t="shared" si="22"/>
        <v>34.1</v>
      </c>
      <c r="F89" s="218" t="str">
        <f t="shared" si="26"/>
        <v>4.13.01</v>
      </c>
      <c r="G89" s="53"/>
      <c r="H89" s="67" t="s">
        <v>529</v>
      </c>
      <c r="I89" s="33" t="s">
        <v>2494</v>
      </c>
      <c r="J89" s="63"/>
      <c r="K89" s="33" t="s">
        <v>479</v>
      </c>
      <c r="L89" s="360" t="s">
        <v>595</v>
      </c>
      <c r="M89" s="40">
        <v>8</v>
      </c>
      <c r="N89" s="360">
        <v>1520</v>
      </c>
      <c r="O89" s="72" t="s">
        <v>596</v>
      </c>
      <c r="P89" s="33">
        <v>2001</v>
      </c>
      <c r="Q89" s="40"/>
      <c r="R89" s="40"/>
      <c r="S89" s="40" t="s">
        <v>482</v>
      </c>
      <c r="T89" s="40" t="s">
        <v>12</v>
      </c>
      <c r="U89" s="251">
        <v>216125000</v>
      </c>
      <c r="V89" s="33" t="s">
        <v>43</v>
      </c>
      <c r="W89" s="127"/>
      <c r="X89" s="206" t="str">
        <f t="shared" si="21"/>
        <v>4.13.01</v>
      </c>
      <c r="Y89" s="207" t="str">
        <f t="shared" si="24"/>
        <v>JALAN</v>
      </c>
      <c r="Z89" s="207">
        <f t="shared" si="25"/>
        <v>10</v>
      </c>
      <c r="AA89" s="233">
        <f t="shared" si="27"/>
        <v>21612499</v>
      </c>
      <c r="AB89" s="208">
        <f t="shared" si="28"/>
        <v>12</v>
      </c>
      <c r="AC89" s="233">
        <f t="shared" si="29"/>
        <v>216124990</v>
      </c>
      <c r="AD89" s="233">
        <f t="shared" si="30"/>
        <v>0</v>
      </c>
      <c r="AE89" s="233">
        <f t="shared" si="31"/>
        <v>0</v>
      </c>
      <c r="AF89" s="233">
        <f t="shared" si="32"/>
        <v>0</v>
      </c>
      <c r="AG89" s="233">
        <f t="shared" si="33"/>
        <v>0</v>
      </c>
      <c r="AH89" s="238">
        <f t="shared" si="34"/>
        <v>0</v>
      </c>
      <c r="AI89" s="238">
        <f t="shared" si="35"/>
        <v>216124990</v>
      </c>
      <c r="AJ89" s="261">
        <f t="shared" si="36"/>
        <v>2001</v>
      </c>
      <c r="AK89" s="233">
        <f t="shared" si="37"/>
        <v>10</v>
      </c>
    </row>
    <row r="90" spans="1:39" s="116" customFormat="1" ht="35.25" hidden="1" customHeight="1" x14ac:dyDescent="0.2">
      <c r="A90" s="116">
        <v>30</v>
      </c>
      <c r="B90" s="116" t="str">
        <f t="shared" si="23"/>
        <v>JL. PULAU KOMANG - PENYEBERANGAN KOPAH</v>
      </c>
      <c r="D90" s="116">
        <v>1</v>
      </c>
      <c r="E90" s="120" t="str">
        <f t="shared" ref="E90:E96" si="38">A90&amp;"."&amp;D90</f>
        <v>30.1</v>
      </c>
      <c r="F90" s="218" t="str">
        <f t="shared" si="26"/>
        <v>4.13.01</v>
      </c>
      <c r="G90" s="53"/>
      <c r="H90" s="67" t="s">
        <v>529</v>
      </c>
      <c r="I90" s="33" t="s">
        <v>2494</v>
      </c>
      <c r="J90" s="63"/>
      <c r="K90" s="33"/>
      <c r="L90" s="360">
        <v>2000</v>
      </c>
      <c r="M90" s="40">
        <v>7</v>
      </c>
      <c r="N90" s="360">
        <v>14000</v>
      </c>
      <c r="O90" s="72" t="s">
        <v>597</v>
      </c>
      <c r="P90" s="33">
        <v>2001</v>
      </c>
      <c r="Q90" s="40"/>
      <c r="R90" s="40"/>
      <c r="S90" s="40" t="s">
        <v>482</v>
      </c>
      <c r="T90" s="40" t="s">
        <v>12</v>
      </c>
      <c r="U90" s="251">
        <v>1650550765</v>
      </c>
      <c r="V90" s="33" t="s">
        <v>43</v>
      </c>
      <c r="W90" s="127"/>
      <c r="X90" s="206" t="str">
        <f t="shared" si="21"/>
        <v>4.13.01</v>
      </c>
      <c r="Y90" s="207" t="str">
        <f t="shared" si="24"/>
        <v>JALAN</v>
      </c>
      <c r="Z90" s="207">
        <f t="shared" si="25"/>
        <v>10</v>
      </c>
      <c r="AA90" s="233">
        <f t="shared" si="27"/>
        <v>165055075.5</v>
      </c>
      <c r="AB90" s="208">
        <f t="shared" si="28"/>
        <v>12</v>
      </c>
      <c r="AC90" s="233">
        <f t="shared" si="29"/>
        <v>1650550755</v>
      </c>
      <c r="AD90" s="233">
        <f t="shared" si="30"/>
        <v>0</v>
      </c>
      <c r="AE90" s="233">
        <f t="shared" si="31"/>
        <v>0</v>
      </c>
      <c r="AF90" s="233">
        <f t="shared" si="32"/>
        <v>0</v>
      </c>
      <c r="AG90" s="233">
        <f t="shared" si="33"/>
        <v>0</v>
      </c>
      <c r="AH90" s="238">
        <f t="shared" si="34"/>
        <v>0</v>
      </c>
      <c r="AI90" s="238">
        <f t="shared" si="35"/>
        <v>1650550755</v>
      </c>
      <c r="AJ90" s="261">
        <f t="shared" si="36"/>
        <v>2001</v>
      </c>
      <c r="AK90" s="233">
        <f t="shared" si="37"/>
        <v>10</v>
      </c>
    </row>
    <row r="91" spans="1:39" s="116" customFormat="1" ht="35.25" hidden="1" customHeight="1" x14ac:dyDescent="0.2">
      <c r="A91" s="116">
        <v>31</v>
      </c>
      <c r="B91" s="116" t="str">
        <f t="shared" si="23"/>
        <v>JAO - BATANG KUANTAN</v>
      </c>
      <c r="D91" s="116">
        <v>1</v>
      </c>
      <c r="E91" s="120" t="str">
        <f t="shared" si="38"/>
        <v>31.1</v>
      </c>
      <c r="F91" s="218" t="str">
        <f t="shared" si="26"/>
        <v>4.13.01</v>
      </c>
      <c r="G91" s="53"/>
      <c r="H91" s="67" t="s">
        <v>529</v>
      </c>
      <c r="I91" s="33" t="s">
        <v>2494</v>
      </c>
      <c r="J91" s="63"/>
      <c r="K91" s="33" t="s">
        <v>479</v>
      </c>
      <c r="L91" s="360">
        <v>1000</v>
      </c>
      <c r="M91" s="40">
        <v>7</v>
      </c>
      <c r="N91" s="360">
        <v>7000</v>
      </c>
      <c r="O91" s="72" t="s">
        <v>599</v>
      </c>
      <c r="P91" s="33">
        <v>2001</v>
      </c>
      <c r="Q91" s="40"/>
      <c r="R91" s="40"/>
      <c r="S91" s="40" t="s">
        <v>482</v>
      </c>
      <c r="T91" s="40" t="s">
        <v>12</v>
      </c>
      <c r="U91" s="251">
        <v>630000000</v>
      </c>
      <c r="V91" s="33" t="s">
        <v>43</v>
      </c>
      <c r="W91" s="127"/>
      <c r="X91" s="206" t="str">
        <f t="shared" si="21"/>
        <v>4.13.01</v>
      </c>
      <c r="Y91" s="207" t="str">
        <f t="shared" si="24"/>
        <v>JALAN</v>
      </c>
      <c r="Z91" s="207">
        <f t="shared" si="25"/>
        <v>10</v>
      </c>
      <c r="AA91" s="233">
        <f t="shared" si="27"/>
        <v>62999999</v>
      </c>
      <c r="AB91" s="208">
        <f t="shared" si="28"/>
        <v>12</v>
      </c>
      <c r="AC91" s="233">
        <f t="shared" si="29"/>
        <v>629999990</v>
      </c>
      <c r="AD91" s="233">
        <f t="shared" si="30"/>
        <v>0</v>
      </c>
      <c r="AE91" s="233">
        <f t="shared" si="31"/>
        <v>0</v>
      </c>
      <c r="AF91" s="233">
        <f t="shared" si="32"/>
        <v>0</v>
      </c>
      <c r="AG91" s="233">
        <f t="shared" si="33"/>
        <v>0</v>
      </c>
      <c r="AH91" s="238">
        <f t="shared" si="34"/>
        <v>0</v>
      </c>
      <c r="AI91" s="238">
        <f t="shared" si="35"/>
        <v>629999990</v>
      </c>
      <c r="AJ91" s="261">
        <f t="shared" si="36"/>
        <v>2001</v>
      </c>
      <c r="AK91" s="233">
        <f t="shared" si="37"/>
        <v>10</v>
      </c>
    </row>
    <row r="92" spans="1:39" s="116" customFormat="1" ht="35.25" hidden="1" customHeight="1" x14ac:dyDescent="0.2">
      <c r="A92" s="116">
        <v>27</v>
      </c>
      <c r="B92" s="116" t="str">
        <f t="shared" si="23"/>
        <v>JL. SEB. TELUK - SIBEROBAH</v>
      </c>
      <c r="D92" s="116">
        <v>1</v>
      </c>
      <c r="E92" s="120" t="str">
        <f t="shared" si="38"/>
        <v>27.1</v>
      </c>
      <c r="F92" s="218" t="str">
        <f t="shared" si="26"/>
        <v>4.13.01</v>
      </c>
      <c r="G92" s="53"/>
      <c r="H92" s="67" t="s">
        <v>529</v>
      </c>
      <c r="I92" s="33" t="s">
        <v>2494</v>
      </c>
      <c r="J92" s="63"/>
      <c r="K92" s="33" t="s">
        <v>492</v>
      </c>
      <c r="L92" s="360">
        <v>14000</v>
      </c>
      <c r="M92" s="40">
        <v>8</v>
      </c>
      <c r="N92" s="360">
        <v>112000</v>
      </c>
      <c r="O92" s="247" t="s">
        <v>3265</v>
      </c>
      <c r="P92" s="33">
        <v>2001</v>
      </c>
      <c r="Q92" s="40"/>
      <c r="R92" s="40"/>
      <c r="S92" s="40" t="s">
        <v>482</v>
      </c>
      <c r="T92" s="40" t="s">
        <v>12</v>
      </c>
      <c r="U92" s="251">
        <v>9359649503.9899998</v>
      </c>
      <c r="V92" s="33" t="s">
        <v>43</v>
      </c>
      <c r="W92" s="127"/>
      <c r="X92" s="206" t="str">
        <f t="shared" si="21"/>
        <v>4.13.01</v>
      </c>
      <c r="Y92" s="207" t="str">
        <f t="shared" si="24"/>
        <v>JALAN</v>
      </c>
      <c r="Z92" s="207">
        <f t="shared" si="25"/>
        <v>10</v>
      </c>
      <c r="AA92" s="233">
        <f t="shared" si="27"/>
        <v>935964949.39899993</v>
      </c>
      <c r="AB92" s="208">
        <f t="shared" si="28"/>
        <v>12</v>
      </c>
      <c r="AC92" s="233">
        <f t="shared" si="29"/>
        <v>9359649493.9899998</v>
      </c>
      <c r="AD92" s="233">
        <f t="shared" si="30"/>
        <v>0</v>
      </c>
      <c r="AE92" s="233">
        <f t="shared" si="31"/>
        <v>0</v>
      </c>
      <c r="AF92" s="233">
        <f t="shared" si="32"/>
        <v>0</v>
      </c>
      <c r="AG92" s="233">
        <f t="shared" si="33"/>
        <v>0</v>
      </c>
      <c r="AH92" s="238">
        <f t="shared" si="34"/>
        <v>0</v>
      </c>
      <c r="AI92" s="238">
        <f t="shared" si="35"/>
        <v>9359649493.9899998</v>
      </c>
      <c r="AJ92" s="261">
        <f t="shared" si="36"/>
        <v>2001</v>
      </c>
      <c r="AK92" s="233">
        <f t="shared" si="37"/>
        <v>10</v>
      </c>
    </row>
    <row r="93" spans="1:39" s="116" customFormat="1" ht="35.25" hidden="1" customHeight="1" x14ac:dyDescent="0.2">
      <c r="A93" s="116">
        <v>29</v>
      </c>
      <c r="B93" s="116" t="str">
        <f t="shared" si="23"/>
        <v>JL. STM (BELIBIS)</v>
      </c>
      <c r="D93" s="116">
        <v>1</v>
      </c>
      <c r="E93" s="120" t="str">
        <f t="shared" si="38"/>
        <v>29.1</v>
      </c>
      <c r="F93" s="218" t="str">
        <f t="shared" si="26"/>
        <v>4.13.01</v>
      </c>
      <c r="G93" s="53"/>
      <c r="H93" s="67" t="s">
        <v>529</v>
      </c>
      <c r="I93" s="33" t="s">
        <v>2494</v>
      </c>
      <c r="J93" s="63"/>
      <c r="K93" s="33" t="s">
        <v>479</v>
      </c>
      <c r="L93" s="360">
        <v>2500</v>
      </c>
      <c r="M93" s="40">
        <v>8</v>
      </c>
      <c r="N93" s="360">
        <v>20000</v>
      </c>
      <c r="O93" s="72" t="s">
        <v>601</v>
      </c>
      <c r="P93" s="33">
        <v>2001</v>
      </c>
      <c r="Q93" s="40"/>
      <c r="R93" s="40"/>
      <c r="S93" s="40" t="s">
        <v>482</v>
      </c>
      <c r="T93" s="40" t="s">
        <v>12</v>
      </c>
      <c r="U93" s="251">
        <v>2275000000</v>
      </c>
      <c r="V93" s="33" t="s">
        <v>43</v>
      </c>
      <c r="W93" s="127"/>
      <c r="X93" s="206" t="str">
        <f t="shared" si="21"/>
        <v>4.13.01</v>
      </c>
      <c r="Y93" s="207" t="str">
        <f t="shared" si="24"/>
        <v>JALAN</v>
      </c>
      <c r="Z93" s="207">
        <f t="shared" si="25"/>
        <v>10</v>
      </c>
      <c r="AA93" s="233">
        <f t="shared" si="27"/>
        <v>227499999</v>
      </c>
      <c r="AB93" s="208">
        <f t="shared" si="28"/>
        <v>12</v>
      </c>
      <c r="AC93" s="233">
        <f t="shared" si="29"/>
        <v>2274999990</v>
      </c>
      <c r="AD93" s="233">
        <f t="shared" si="30"/>
        <v>0</v>
      </c>
      <c r="AE93" s="233">
        <f t="shared" si="31"/>
        <v>0</v>
      </c>
      <c r="AF93" s="233">
        <f t="shared" si="32"/>
        <v>0</v>
      </c>
      <c r="AG93" s="233">
        <f t="shared" si="33"/>
        <v>0</v>
      </c>
      <c r="AH93" s="238">
        <f t="shared" si="34"/>
        <v>0</v>
      </c>
      <c r="AI93" s="238">
        <f t="shared" si="35"/>
        <v>2274999990</v>
      </c>
      <c r="AJ93" s="261">
        <f t="shared" si="36"/>
        <v>2001</v>
      </c>
      <c r="AK93" s="233">
        <f t="shared" si="37"/>
        <v>10</v>
      </c>
    </row>
    <row r="94" spans="1:39" s="116" customFormat="1" ht="35.25" hidden="1" customHeight="1" x14ac:dyDescent="0.2">
      <c r="A94" s="116">
        <v>21</v>
      </c>
      <c r="B94" s="116" t="str">
        <f t="shared" si="23"/>
        <v>SIMP. PERKANTORAN PEMDA - BUNDARAN DPRD</v>
      </c>
      <c r="D94" s="116">
        <v>1</v>
      </c>
      <c r="E94" s="120" t="str">
        <f t="shared" si="38"/>
        <v>21.1</v>
      </c>
      <c r="F94" s="218" t="str">
        <f t="shared" si="26"/>
        <v>4.13.01</v>
      </c>
      <c r="G94" s="53"/>
      <c r="H94" s="67" t="s">
        <v>529</v>
      </c>
      <c r="I94" s="33" t="s">
        <v>2494</v>
      </c>
      <c r="J94" s="63"/>
      <c r="K94" s="33" t="s">
        <v>479</v>
      </c>
      <c r="L94" s="360">
        <v>1900</v>
      </c>
      <c r="M94" s="40">
        <v>16</v>
      </c>
      <c r="N94" s="360">
        <v>30400</v>
      </c>
      <c r="O94" s="72" t="s">
        <v>603</v>
      </c>
      <c r="P94" s="33">
        <v>2001</v>
      </c>
      <c r="Q94" s="40"/>
      <c r="R94" s="40"/>
      <c r="S94" s="40" t="s">
        <v>482</v>
      </c>
      <c r="T94" s="40" t="s">
        <v>12</v>
      </c>
      <c r="U94" s="251">
        <v>3890250000</v>
      </c>
      <c r="V94" s="33" t="s">
        <v>43</v>
      </c>
      <c r="W94" s="127"/>
      <c r="X94" s="206" t="str">
        <f t="shared" si="21"/>
        <v>4.13.01</v>
      </c>
      <c r="Y94" s="207" t="str">
        <f t="shared" si="24"/>
        <v>JALAN</v>
      </c>
      <c r="Z94" s="207">
        <f t="shared" si="25"/>
        <v>10</v>
      </c>
      <c r="AA94" s="233">
        <f t="shared" si="27"/>
        <v>389024999</v>
      </c>
      <c r="AB94" s="208">
        <f t="shared" si="28"/>
        <v>12</v>
      </c>
      <c r="AC94" s="233">
        <f t="shared" si="29"/>
        <v>3890249990</v>
      </c>
      <c r="AD94" s="233">
        <f t="shared" si="30"/>
        <v>0</v>
      </c>
      <c r="AE94" s="233">
        <f t="shared" si="31"/>
        <v>0</v>
      </c>
      <c r="AF94" s="233">
        <f t="shared" si="32"/>
        <v>0</v>
      </c>
      <c r="AG94" s="233">
        <f t="shared" si="33"/>
        <v>0</v>
      </c>
      <c r="AH94" s="238">
        <f t="shared" si="34"/>
        <v>0</v>
      </c>
      <c r="AI94" s="238">
        <f t="shared" si="35"/>
        <v>3890249990</v>
      </c>
      <c r="AJ94" s="261">
        <f t="shared" si="36"/>
        <v>2001</v>
      </c>
      <c r="AK94" s="233">
        <f t="shared" si="37"/>
        <v>10</v>
      </c>
    </row>
    <row r="95" spans="1:39" s="116" customFormat="1" ht="35.25" hidden="1" customHeight="1" x14ac:dyDescent="0.2">
      <c r="A95" s="116">
        <v>24</v>
      </c>
      <c r="B95" s="116" t="str">
        <f t="shared" si="23"/>
        <v>PERUMNAS - SIMPANG PERKANTORAN PEMDA</v>
      </c>
      <c r="D95" s="116">
        <v>1</v>
      </c>
      <c r="E95" s="120" t="str">
        <f t="shared" si="38"/>
        <v>24.1</v>
      </c>
      <c r="F95" s="218" t="str">
        <f t="shared" si="26"/>
        <v>4.13.01</v>
      </c>
      <c r="G95" s="53"/>
      <c r="H95" s="67" t="s">
        <v>529</v>
      </c>
      <c r="I95" s="33" t="s">
        <v>2494</v>
      </c>
      <c r="J95" s="63"/>
      <c r="K95" s="33" t="s">
        <v>479</v>
      </c>
      <c r="L95" s="360">
        <v>1950</v>
      </c>
      <c r="M95" s="40">
        <v>10</v>
      </c>
      <c r="N95" s="360">
        <v>19500</v>
      </c>
      <c r="O95" s="72" t="s">
        <v>604</v>
      </c>
      <c r="P95" s="33">
        <v>2001</v>
      </c>
      <c r="Q95" s="40"/>
      <c r="R95" s="40"/>
      <c r="S95" s="40" t="s">
        <v>482</v>
      </c>
      <c r="T95" s="40" t="s">
        <v>12</v>
      </c>
      <c r="U95" s="251">
        <v>4299750000</v>
      </c>
      <c r="V95" s="33" t="s">
        <v>43</v>
      </c>
      <c r="W95" s="127"/>
      <c r="X95" s="206" t="str">
        <f t="shared" si="21"/>
        <v>4.13.01</v>
      </c>
      <c r="Y95" s="207" t="str">
        <f t="shared" si="24"/>
        <v>JALAN</v>
      </c>
      <c r="Z95" s="207">
        <f t="shared" si="25"/>
        <v>10</v>
      </c>
      <c r="AA95" s="233">
        <f t="shared" si="27"/>
        <v>429974999</v>
      </c>
      <c r="AB95" s="208">
        <f t="shared" si="28"/>
        <v>12</v>
      </c>
      <c r="AC95" s="233">
        <f t="shared" si="29"/>
        <v>4299749990</v>
      </c>
      <c r="AD95" s="233">
        <f t="shared" si="30"/>
        <v>0</v>
      </c>
      <c r="AE95" s="233">
        <f t="shared" si="31"/>
        <v>0</v>
      </c>
      <c r="AF95" s="233">
        <f t="shared" si="32"/>
        <v>0</v>
      </c>
      <c r="AG95" s="233">
        <f t="shared" si="33"/>
        <v>0</v>
      </c>
      <c r="AH95" s="238">
        <f t="shared" si="34"/>
        <v>0</v>
      </c>
      <c r="AI95" s="238">
        <f t="shared" si="35"/>
        <v>4299749990</v>
      </c>
      <c r="AJ95" s="261">
        <f t="shared" si="36"/>
        <v>2001</v>
      </c>
      <c r="AK95" s="233">
        <f t="shared" si="37"/>
        <v>10</v>
      </c>
    </row>
    <row r="96" spans="1:39" s="116" customFormat="1" ht="35.25" hidden="1" customHeight="1" x14ac:dyDescent="0.2">
      <c r="A96" s="116">
        <v>25</v>
      </c>
      <c r="B96" s="116" t="str">
        <f t="shared" si="23"/>
        <v>SEI. RIMBIO - PINTU GOBANG</v>
      </c>
      <c r="D96" s="116">
        <v>1</v>
      </c>
      <c r="E96" s="120" t="str">
        <f t="shared" si="38"/>
        <v>25.1</v>
      </c>
      <c r="F96" s="218" t="str">
        <f t="shared" si="26"/>
        <v>4.13.01</v>
      </c>
      <c r="G96" s="53"/>
      <c r="H96" s="67" t="s">
        <v>529</v>
      </c>
      <c r="I96" s="33" t="s">
        <v>2494</v>
      </c>
      <c r="J96" s="63"/>
      <c r="K96" s="33" t="s">
        <v>492</v>
      </c>
      <c r="L96" s="360">
        <v>4000</v>
      </c>
      <c r="M96" s="40">
        <v>8</v>
      </c>
      <c r="N96" s="360">
        <v>32000</v>
      </c>
      <c r="O96" s="72" t="s">
        <v>605</v>
      </c>
      <c r="P96" s="33">
        <v>2001</v>
      </c>
      <c r="Q96" s="40"/>
      <c r="R96" s="40"/>
      <c r="S96" s="40" t="s">
        <v>482</v>
      </c>
      <c r="T96" s="40" t="s">
        <v>12</v>
      </c>
      <c r="U96" s="251">
        <v>2591976598.3800001</v>
      </c>
      <c r="V96" s="33" t="s">
        <v>43</v>
      </c>
      <c r="W96" s="127"/>
      <c r="X96" s="206" t="str">
        <f t="shared" si="21"/>
        <v>4.13.01</v>
      </c>
      <c r="Y96" s="207" t="str">
        <f t="shared" si="24"/>
        <v>JALAN</v>
      </c>
      <c r="Z96" s="207">
        <f t="shared" si="25"/>
        <v>10</v>
      </c>
      <c r="AA96" s="233">
        <f t="shared" si="27"/>
        <v>259197658.838</v>
      </c>
      <c r="AB96" s="208">
        <f t="shared" si="28"/>
        <v>12</v>
      </c>
      <c r="AC96" s="233">
        <f t="shared" si="29"/>
        <v>2591976588.3800001</v>
      </c>
      <c r="AD96" s="233">
        <f t="shared" si="30"/>
        <v>0</v>
      </c>
      <c r="AE96" s="233">
        <f t="shared" si="31"/>
        <v>0</v>
      </c>
      <c r="AF96" s="233">
        <f t="shared" si="32"/>
        <v>0</v>
      </c>
      <c r="AG96" s="233">
        <f t="shared" si="33"/>
        <v>0</v>
      </c>
      <c r="AH96" s="238">
        <f t="shared" si="34"/>
        <v>0</v>
      </c>
      <c r="AI96" s="238">
        <f t="shared" si="35"/>
        <v>2591976588.3800001</v>
      </c>
      <c r="AJ96" s="261">
        <f t="shared" si="36"/>
        <v>2001</v>
      </c>
      <c r="AK96" s="233">
        <f t="shared" si="37"/>
        <v>10</v>
      </c>
    </row>
    <row r="97" spans="1:37" s="116" customFormat="1" ht="35.25" hidden="1" customHeight="1" x14ac:dyDescent="0.2">
      <c r="A97" s="116">
        <v>18</v>
      </c>
      <c r="B97" s="116" t="str">
        <f t="shared" si="23"/>
        <v>JL. DESA PL. KOPUNG - SEI. KUANTAN</v>
      </c>
      <c r="D97" s="116">
        <v>1</v>
      </c>
      <c r="E97" s="120" t="str">
        <f t="shared" ref="E97:E115" si="39">A97&amp;"."&amp;D97</f>
        <v>18.1</v>
      </c>
      <c r="F97" s="218" t="str">
        <f t="shared" si="26"/>
        <v>4.13.01</v>
      </c>
      <c r="G97" s="53"/>
      <c r="H97" s="67" t="s">
        <v>529</v>
      </c>
      <c r="I97" s="33" t="s">
        <v>2494</v>
      </c>
      <c r="J97" s="63"/>
      <c r="K97" s="33" t="s">
        <v>492</v>
      </c>
      <c r="L97" s="360">
        <v>2000</v>
      </c>
      <c r="M97" s="40">
        <v>7</v>
      </c>
      <c r="N97" s="360">
        <v>14000</v>
      </c>
      <c r="O97" s="72" t="s">
        <v>606</v>
      </c>
      <c r="P97" s="33">
        <v>2001</v>
      </c>
      <c r="Q97" s="40"/>
      <c r="R97" s="40"/>
      <c r="S97" s="40" t="s">
        <v>482</v>
      </c>
      <c r="T97" s="40" t="s">
        <v>12</v>
      </c>
      <c r="U97" s="251">
        <v>540000000</v>
      </c>
      <c r="V97" s="33" t="s">
        <v>43</v>
      </c>
      <c r="W97" s="127"/>
      <c r="X97" s="206" t="str">
        <f t="shared" si="21"/>
        <v>4.13.01</v>
      </c>
      <c r="Y97" s="207" t="str">
        <f t="shared" si="24"/>
        <v>JALAN</v>
      </c>
      <c r="Z97" s="207">
        <f t="shared" si="25"/>
        <v>10</v>
      </c>
      <c r="AA97" s="233">
        <f t="shared" si="27"/>
        <v>53999999</v>
      </c>
      <c r="AB97" s="208">
        <f t="shared" si="28"/>
        <v>12</v>
      </c>
      <c r="AC97" s="233">
        <f t="shared" si="29"/>
        <v>539999990</v>
      </c>
      <c r="AD97" s="233">
        <f t="shared" si="30"/>
        <v>0</v>
      </c>
      <c r="AE97" s="233">
        <f t="shared" si="31"/>
        <v>0</v>
      </c>
      <c r="AF97" s="233">
        <f t="shared" si="32"/>
        <v>0</v>
      </c>
      <c r="AG97" s="233">
        <f t="shared" si="33"/>
        <v>0</v>
      </c>
      <c r="AH97" s="238">
        <f t="shared" si="34"/>
        <v>0</v>
      </c>
      <c r="AI97" s="238">
        <f t="shared" si="35"/>
        <v>539999990</v>
      </c>
      <c r="AJ97" s="261">
        <f t="shared" si="36"/>
        <v>2001</v>
      </c>
      <c r="AK97" s="233">
        <f t="shared" si="37"/>
        <v>10</v>
      </c>
    </row>
    <row r="98" spans="1:37" s="116" customFormat="1" ht="35.25" hidden="1" customHeight="1" x14ac:dyDescent="0.2">
      <c r="A98" s="116">
        <v>19</v>
      </c>
      <c r="B98" s="116" t="str">
        <f t="shared" si="23"/>
        <v>KEBUN NENAS - PERKANTORAN PEMDA</v>
      </c>
      <c r="D98" s="116">
        <v>1</v>
      </c>
      <c r="E98" s="120" t="str">
        <f t="shared" si="39"/>
        <v>19.1</v>
      </c>
      <c r="F98" s="218" t="str">
        <f t="shared" si="26"/>
        <v>4.13.01</v>
      </c>
      <c r="G98" s="53"/>
      <c r="H98" s="67" t="s">
        <v>529</v>
      </c>
      <c r="I98" s="33" t="s">
        <v>2494</v>
      </c>
      <c r="J98" s="63"/>
      <c r="K98" s="33" t="s">
        <v>492</v>
      </c>
      <c r="L98" s="360" t="s">
        <v>522</v>
      </c>
      <c r="M98" s="40">
        <v>20</v>
      </c>
      <c r="N98" s="360">
        <v>120000</v>
      </c>
      <c r="O98" s="72" t="s">
        <v>607</v>
      </c>
      <c r="P98" s="33">
        <v>2001</v>
      </c>
      <c r="Q98" s="40"/>
      <c r="R98" s="40"/>
      <c r="S98" s="40" t="s">
        <v>482</v>
      </c>
      <c r="T98" s="40" t="s">
        <v>12</v>
      </c>
      <c r="U98" s="251">
        <v>1620000000</v>
      </c>
      <c r="V98" s="33" t="s">
        <v>43</v>
      </c>
      <c r="W98" s="127"/>
      <c r="X98" s="206" t="str">
        <f t="shared" si="21"/>
        <v>4.13.01</v>
      </c>
      <c r="Y98" s="207" t="str">
        <f t="shared" si="24"/>
        <v>JALAN</v>
      </c>
      <c r="Z98" s="207">
        <f t="shared" si="25"/>
        <v>10</v>
      </c>
      <c r="AA98" s="233">
        <f t="shared" si="27"/>
        <v>161999999</v>
      </c>
      <c r="AB98" s="208">
        <f t="shared" si="28"/>
        <v>12</v>
      </c>
      <c r="AC98" s="233">
        <f t="shared" si="29"/>
        <v>1619999990</v>
      </c>
      <c r="AD98" s="233">
        <f t="shared" si="30"/>
        <v>0</v>
      </c>
      <c r="AE98" s="233">
        <f t="shared" si="31"/>
        <v>0</v>
      </c>
      <c r="AF98" s="233">
        <f t="shared" si="32"/>
        <v>0</v>
      </c>
      <c r="AG98" s="233">
        <f t="shared" si="33"/>
        <v>0</v>
      </c>
      <c r="AH98" s="238">
        <f t="shared" si="34"/>
        <v>0</v>
      </c>
      <c r="AI98" s="238">
        <f t="shared" si="35"/>
        <v>1619999990</v>
      </c>
      <c r="AJ98" s="261">
        <f t="shared" si="36"/>
        <v>2001</v>
      </c>
      <c r="AK98" s="233">
        <f t="shared" si="37"/>
        <v>10</v>
      </c>
    </row>
    <row r="99" spans="1:37" s="116" customFormat="1" ht="35.25" hidden="1" customHeight="1" x14ac:dyDescent="0.2">
      <c r="A99" s="116">
        <v>20</v>
      </c>
      <c r="B99" s="116" t="str">
        <f t="shared" si="23"/>
        <v>DESA KOTO TUO - SEI. KUANTAN</v>
      </c>
      <c r="D99" s="116">
        <v>1</v>
      </c>
      <c r="E99" s="120" t="str">
        <f t="shared" si="39"/>
        <v>20.1</v>
      </c>
      <c r="F99" s="218" t="str">
        <f t="shared" si="26"/>
        <v>4.13.01</v>
      </c>
      <c r="G99" s="53"/>
      <c r="H99" s="67" t="s">
        <v>529</v>
      </c>
      <c r="I99" s="33" t="s">
        <v>2494</v>
      </c>
      <c r="J99" s="63"/>
      <c r="K99" s="33" t="s">
        <v>492</v>
      </c>
      <c r="L99" s="360">
        <v>2000</v>
      </c>
      <c r="M99" s="40">
        <v>8</v>
      </c>
      <c r="N99" s="360">
        <v>16000</v>
      </c>
      <c r="O99" s="72" t="s">
        <v>608</v>
      </c>
      <c r="P99" s="33">
        <v>2001</v>
      </c>
      <c r="Q99" s="40"/>
      <c r="R99" s="40"/>
      <c r="S99" s="40" t="s">
        <v>482</v>
      </c>
      <c r="T99" s="40" t="s">
        <v>12</v>
      </c>
      <c r="U99" s="251">
        <v>540000000</v>
      </c>
      <c r="V99" s="33" t="s">
        <v>43</v>
      </c>
      <c r="W99" s="127"/>
      <c r="X99" s="206" t="str">
        <f t="shared" si="21"/>
        <v>4.13.01</v>
      </c>
      <c r="Y99" s="207" t="str">
        <f t="shared" si="24"/>
        <v>JALAN</v>
      </c>
      <c r="Z99" s="207">
        <f t="shared" si="25"/>
        <v>10</v>
      </c>
      <c r="AA99" s="233">
        <f t="shared" si="27"/>
        <v>53999999</v>
      </c>
      <c r="AB99" s="208">
        <f t="shared" si="28"/>
        <v>12</v>
      </c>
      <c r="AC99" s="233">
        <f t="shared" si="29"/>
        <v>539999990</v>
      </c>
      <c r="AD99" s="233">
        <f t="shared" si="30"/>
        <v>0</v>
      </c>
      <c r="AE99" s="233">
        <f t="shared" si="31"/>
        <v>0</v>
      </c>
      <c r="AF99" s="233">
        <f t="shared" si="32"/>
        <v>0</v>
      </c>
      <c r="AG99" s="233">
        <f t="shared" si="33"/>
        <v>0</v>
      </c>
      <c r="AH99" s="238">
        <f t="shared" si="34"/>
        <v>0</v>
      </c>
      <c r="AI99" s="238">
        <f t="shared" si="35"/>
        <v>539999990</v>
      </c>
      <c r="AJ99" s="261">
        <f t="shared" si="36"/>
        <v>2001</v>
      </c>
      <c r="AK99" s="233">
        <f t="shared" si="37"/>
        <v>10</v>
      </c>
    </row>
    <row r="100" spans="1:37" s="116" customFormat="1" ht="35.25" hidden="1" customHeight="1" x14ac:dyDescent="0.2">
      <c r="A100" s="116">
        <v>15</v>
      </c>
      <c r="B100" s="116" t="str">
        <f t="shared" si="23"/>
        <v>SIMP. CAMBAI - MUNSALO</v>
      </c>
      <c r="D100" s="116">
        <v>1</v>
      </c>
      <c r="E100" s="120" t="str">
        <f t="shared" si="39"/>
        <v>15.1</v>
      </c>
      <c r="F100" s="218" t="str">
        <f t="shared" si="26"/>
        <v>4.13.01</v>
      </c>
      <c r="G100" s="53"/>
      <c r="H100" s="67" t="s">
        <v>529</v>
      </c>
      <c r="I100" s="33" t="s">
        <v>2494</v>
      </c>
      <c r="J100" s="63"/>
      <c r="K100" s="33" t="s">
        <v>492</v>
      </c>
      <c r="L100" s="360">
        <v>2500</v>
      </c>
      <c r="M100" s="40">
        <v>7</v>
      </c>
      <c r="N100" s="360">
        <v>17500</v>
      </c>
      <c r="O100" s="72" t="s">
        <v>610</v>
      </c>
      <c r="P100" s="33">
        <v>2001</v>
      </c>
      <c r="Q100" s="40"/>
      <c r="R100" s="40"/>
      <c r="S100" s="40" t="s">
        <v>482</v>
      </c>
      <c r="T100" s="40" t="s">
        <v>12</v>
      </c>
      <c r="U100" s="251">
        <v>900000000</v>
      </c>
      <c r="V100" s="33" t="s">
        <v>135</v>
      </c>
      <c r="W100" s="127"/>
      <c r="X100" s="206" t="str">
        <f t="shared" si="21"/>
        <v>4.13.01</v>
      </c>
      <c r="Y100" s="207" t="str">
        <f t="shared" si="24"/>
        <v>JALAN</v>
      </c>
      <c r="Z100" s="207">
        <f t="shared" si="25"/>
        <v>10</v>
      </c>
      <c r="AA100" s="233">
        <f t="shared" si="27"/>
        <v>89999999</v>
      </c>
      <c r="AB100" s="208">
        <f t="shared" si="28"/>
        <v>12</v>
      </c>
      <c r="AC100" s="233">
        <f t="shared" si="29"/>
        <v>899999990</v>
      </c>
      <c r="AD100" s="233">
        <f t="shared" si="30"/>
        <v>0</v>
      </c>
      <c r="AE100" s="233">
        <f t="shared" si="31"/>
        <v>0</v>
      </c>
      <c r="AF100" s="233">
        <f t="shared" si="32"/>
        <v>0</v>
      </c>
      <c r="AG100" s="233">
        <f t="shared" si="33"/>
        <v>0</v>
      </c>
      <c r="AH100" s="238">
        <f t="shared" si="34"/>
        <v>0</v>
      </c>
      <c r="AI100" s="238">
        <f t="shared" si="35"/>
        <v>899999990</v>
      </c>
      <c r="AJ100" s="261">
        <f t="shared" si="36"/>
        <v>2001</v>
      </c>
      <c r="AK100" s="233">
        <f t="shared" si="37"/>
        <v>10</v>
      </c>
    </row>
    <row r="101" spans="1:37" s="116" customFormat="1" ht="35.25" hidden="1" customHeight="1" x14ac:dyDescent="0.2">
      <c r="A101" s="116">
        <v>16</v>
      </c>
      <c r="B101" s="116" t="str">
        <f t="shared" si="23"/>
        <v>JL. DESA PL. BARU - SEI. KUANTAN</v>
      </c>
      <c r="D101" s="116">
        <v>1</v>
      </c>
      <c r="E101" s="120" t="str">
        <f t="shared" si="39"/>
        <v>16.1</v>
      </c>
      <c r="F101" s="218" t="str">
        <f t="shared" si="26"/>
        <v>4.13.01</v>
      </c>
      <c r="G101" s="53"/>
      <c r="H101" s="67" t="s">
        <v>529</v>
      </c>
      <c r="I101" s="33" t="s">
        <v>2494</v>
      </c>
      <c r="J101" s="63"/>
      <c r="K101" s="33" t="s">
        <v>8</v>
      </c>
      <c r="L101" s="360" t="s">
        <v>508</v>
      </c>
      <c r="M101" s="40">
        <v>7</v>
      </c>
      <c r="N101" s="360">
        <v>9100</v>
      </c>
      <c r="O101" s="72" t="s">
        <v>611</v>
      </c>
      <c r="P101" s="33">
        <v>2001</v>
      </c>
      <c r="Q101" s="40"/>
      <c r="R101" s="40"/>
      <c r="S101" s="40" t="s">
        <v>482</v>
      </c>
      <c r="T101" s="40" t="s">
        <v>12</v>
      </c>
      <c r="U101" s="251">
        <v>175500000</v>
      </c>
      <c r="V101" s="33" t="s">
        <v>43</v>
      </c>
      <c r="W101" s="127"/>
      <c r="X101" s="206" t="str">
        <f t="shared" si="21"/>
        <v>4.13.01</v>
      </c>
      <c r="Y101" s="207" t="str">
        <f t="shared" si="24"/>
        <v>JALAN</v>
      </c>
      <c r="Z101" s="207">
        <f t="shared" si="25"/>
        <v>10</v>
      </c>
      <c r="AA101" s="233">
        <f t="shared" si="27"/>
        <v>17549999</v>
      </c>
      <c r="AB101" s="208">
        <f t="shared" si="28"/>
        <v>12</v>
      </c>
      <c r="AC101" s="233">
        <f t="shared" si="29"/>
        <v>175499990</v>
      </c>
      <c r="AD101" s="233">
        <f t="shared" si="30"/>
        <v>0</v>
      </c>
      <c r="AE101" s="233">
        <f t="shared" si="31"/>
        <v>0</v>
      </c>
      <c r="AF101" s="233">
        <f t="shared" si="32"/>
        <v>0</v>
      </c>
      <c r="AG101" s="233">
        <f t="shared" si="33"/>
        <v>0</v>
      </c>
      <c r="AH101" s="238">
        <f t="shared" si="34"/>
        <v>0</v>
      </c>
      <c r="AI101" s="238">
        <f t="shared" si="35"/>
        <v>175499990</v>
      </c>
      <c r="AJ101" s="261">
        <f t="shared" si="36"/>
        <v>2001</v>
      </c>
      <c r="AK101" s="233">
        <f t="shared" si="37"/>
        <v>10</v>
      </c>
    </row>
    <row r="102" spans="1:37" s="116" customFormat="1" ht="35.25" hidden="1" customHeight="1" x14ac:dyDescent="0.2">
      <c r="A102" s="116">
        <v>17</v>
      </c>
      <c r="B102" s="116" t="str">
        <f t="shared" si="23"/>
        <v>SINAMBEK - STADION OLAHRAGA</v>
      </c>
      <c r="D102" s="116">
        <v>1</v>
      </c>
      <c r="E102" s="120" t="str">
        <f t="shared" si="39"/>
        <v>17.1</v>
      </c>
      <c r="F102" s="218" t="str">
        <f t="shared" si="26"/>
        <v>4.13.01</v>
      </c>
      <c r="G102" s="53"/>
      <c r="H102" s="67" t="s">
        <v>529</v>
      </c>
      <c r="I102" s="33" t="s">
        <v>2494</v>
      </c>
      <c r="J102" s="63"/>
      <c r="K102" s="33" t="s">
        <v>492</v>
      </c>
      <c r="L102" s="360" t="s">
        <v>490</v>
      </c>
      <c r="M102" s="40">
        <v>20</v>
      </c>
      <c r="N102" s="360">
        <v>50000</v>
      </c>
      <c r="O102" s="72" t="s">
        <v>612</v>
      </c>
      <c r="P102" s="33">
        <v>2001</v>
      </c>
      <c r="Q102" s="40"/>
      <c r="R102" s="40"/>
      <c r="S102" s="40" t="s">
        <v>482</v>
      </c>
      <c r="T102" s="40" t="s">
        <v>12</v>
      </c>
      <c r="U102" s="251">
        <v>675000000</v>
      </c>
      <c r="V102" s="33" t="s">
        <v>43</v>
      </c>
      <c r="W102" s="127"/>
      <c r="X102" s="206" t="str">
        <f t="shared" si="21"/>
        <v>4.13.01</v>
      </c>
      <c r="Y102" s="207" t="str">
        <f t="shared" si="24"/>
        <v>JALAN</v>
      </c>
      <c r="Z102" s="207">
        <f t="shared" si="25"/>
        <v>10</v>
      </c>
      <c r="AA102" s="233">
        <f t="shared" si="27"/>
        <v>67499999</v>
      </c>
      <c r="AB102" s="208">
        <f t="shared" si="28"/>
        <v>12</v>
      </c>
      <c r="AC102" s="233">
        <f t="shared" si="29"/>
        <v>674999990</v>
      </c>
      <c r="AD102" s="233">
        <f t="shared" si="30"/>
        <v>0</v>
      </c>
      <c r="AE102" s="233">
        <f t="shared" si="31"/>
        <v>0</v>
      </c>
      <c r="AF102" s="233">
        <f t="shared" si="32"/>
        <v>0</v>
      </c>
      <c r="AG102" s="233">
        <f t="shared" si="33"/>
        <v>0</v>
      </c>
      <c r="AH102" s="238">
        <f t="shared" si="34"/>
        <v>0</v>
      </c>
      <c r="AI102" s="238">
        <f t="shared" si="35"/>
        <v>674999990</v>
      </c>
      <c r="AJ102" s="261">
        <f t="shared" si="36"/>
        <v>2001</v>
      </c>
      <c r="AK102" s="233">
        <f t="shared" si="37"/>
        <v>10</v>
      </c>
    </row>
    <row r="103" spans="1:37" s="116" customFormat="1" ht="35.25" hidden="1" customHeight="1" x14ac:dyDescent="0.2">
      <c r="A103" s="116">
        <v>9</v>
      </c>
      <c r="B103" s="116" t="str">
        <f t="shared" si="23"/>
        <v>CEBERLIN - PINTU GOBANG</v>
      </c>
      <c r="D103" s="116">
        <v>1</v>
      </c>
      <c r="E103" s="120" t="str">
        <f t="shared" si="39"/>
        <v>9.1</v>
      </c>
      <c r="F103" s="218" t="str">
        <f t="shared" si="26"/>
        <v>4.13.01</v>
      </c>
      <c r="G103" s="53"/>
      <c r="H103" s="67" t="s">
        <v>529</v>
      </c>
      <c r="I103" s="33" t="s">
        <v>2494</v>
      </c>
      <c r="J103" s="63"/>
      <c r="K103" s="33" t="s">
        <v>479</v>
      </c>
      <c r="L103" s="360">
        <v>4000</v>
      </c>
      <c r="M103" s="40">
        <v>7</v>
      </c>
      <c r="N103" s="360">
        <v>28000</v>
      </c>
      <c r="O103" s="72" t="s">
        <v>613</v>
      </c>
      <c r="P103" s="33">
        <v>2001</v>
      </c>
      <c r="Q103" s="40"/>
      <c r="R103" s="40"/>
      <c r="S103" s="40" t="s">
        <v>482</v>
      </c>
      <c r="T103" s="40" t="s">
        <v>12</v>
      </c>
      <c r="U103" s="251">
        <v>3360000000</v>
      </c>
      <c r="V103" s="33" t="s">
        <v>135</v>
      </c>
      <c r="W103" s="127"/>
      <c r="X103" s="206" t="str">
        <f t="shared" si="21"/>
        <v>4.13.01</v>
      </c>
      <c r="Y103" s="207" t="str">
        <f t="shared" si="24"/>
        <v>JALAN</v>
      </c>
      <c r="Z103" s="207">
        <f t="shared" si="25"/>
        <v>10</v>
      </c>
      <c r="AA103" s="233">
        <f t="shared" si="27"/>
        <v>335999999</v>
      </c>
      <c r="AB103" s="208">
        <f t="shared" si="28"/>
        <v>12</v>
      </c>
      <c r="AC103" s="233">
        <f t="shared" si="29"/>
        <v>3359999990</v>
      </c>
      <c r="AD103" s="233">
        <f t="shared" si="30"/>
        <v>0</v>
      </c>
      <c r="AE103" s="233">
        <f t="shared" si="31"/>
        <v>0</v>
      </c>
      <c r="AF103" s="233">
        <f t="shared" si="32"/>
        <v>0</v>
      </c>
      <c r="AG103" s="233">
        <f t="shared" si="33"/>
        <v>0</v>
      </c>
      <c r="AH103" s="238">
        <f t="shared" si="34"/>
        <v>0</v>
      </c>
      <c r="AI103" s="238">
        <f t="shared" si="35"/>
        <v>3359999990</v>
      </c>
      <c r="AJ103" s="261">
        <f t="shared" si="36"/>
        <v>2001</v>
      </c>
      <c r="AK103" s="233">
        <f t="shared" si="37"/>
        <v>10</v>
      </c>
    </row>
    <row r="104" spans="1:37" s="116" customFormat="1" ht="35.25" hidden="1" customHeight="1" x14ac:dyDescent="0.2">
      <c r="A104" s="116">
        <v>10</v>
      </c>
      <c r="B104" s="116" t="str">
        <f t="shared" si="23"/>
        <v>SEB. TELUK KUANTAN - DUTA PALMA</v>
      </c>
      <c r="D104" s="116">
        <v>1</v>
      </c>
      <c r="E104" s="120" t="str">
        <f t="shared" si="39"/>
        <v>10.1</v>
      </c>
      <c r="F104" s="218" t="str">
        <f t="shared" si="26"/>
        <v>4.13.01</v>
      </c>
      <c r="G104" s="53"/>
      <c r="H104" s="67" t="s">
        <v>529</v>
      </c>
      <c r="I104" s="33" t="s">
        <v>2494</v>
      </c>
      <c r="J104" s="63"/>
      <c r="K104" s="33" t="s">
        <v>8</v>
      </c>
      <c r="L104" s="360">
        <v>12000</v>
      </c>
      <c r="M104" s="40">
        <v>7</v>
      </c>
      <c r="N104" s="360">
        <v>84000</v>
      </c>
      <c r="O104" s="72" t="s">
        <v>614</v>
      </c>
      <c r="P104" s="33">
        <v>2001</v>
      </c>
      <c r="Q104" s="40"/>
      <c r="R104" s="40"/>
      <c r="S104" s="40" t="s">
        <v>482</v>
      </c>
      <c r="T104" s="40" t="s">
        <v>12</v>
      </c>
      <c r="U104" s="251">
        <v>2700000000</v>
      </c>
      <c r="V104" s="33" t="s">
        <v>43</v>
      </c>
      <c r="W104" s="127"/>
      <c r="X104" s="206" t="str">
        <f t="shared" si="21"/>
        <v>4.13.01</v>
      </c>
      <c r="Y104" s="207" t="str">
        <f t="shared" si="24"/>
        <v>JALAN</v>
      </c>
      <c r="Z104" s="207">
        <f t="shared" si="25"/>
        <v>10</v>
      </c>
      <c r="AA104" s="233">
        <f t="shared" si="27"/>
        <v>269999999</v>
      </c>
      <c r="AB104" s="208">
        <f t="shared" si="28"/>
        <v>12</v>
      </c>
      <c r="AC104" s="233">
        <f t="shared" si="29"/>
        <v>2699999990</v>
      </c>
      <c r="AD104" s="233">
        <f t="shared" si="30"/>
        <v>0</v>
      </c>
      <c r="AE104" s="233">
        <f t="shared" si="31"/>
        <v>0</v>
      </c>
      <c r="AF104" s="233">
        <f t="shared" si="32"/>
        <v>0</v>
      </c>
      <c r="AG104" s="233">
        <f t="shared" si="33"/>
        <v>0</v>
      </c>
      <c r="AH104" s="238">
        <f t="shared" si="34"/>
        <v>0</v>
      </c>
      <c r="AI104" s="238">
        <f t="shared" si="35"/>
        <v>2699999990</v>
      </c>
      <c r="AJ104" s="261">
        <f t="shared" si="36"/>
        <v>2001</v>
      </c>
      <c r="AK104" s="233">
        <f t="shared" si="37"/>
        <v>10</v>
      </c>
    </row>
    <row r="105" spans="1:37" s="116" customFormat="1" ht="35.25" hidden="1" customHeight="1" x14ac:dyDescent="0.2">
      <c r="A105" s="116">
        <v>13</v>
      </c>
      <c r="B105" s="116" t="str">
        <f t="shared" si="23"/>
        <v>SIMP. BERINGIN - BERINGIN</v>
      </c>
      <c r="D105" s="116">
        <v>1</v>
      </c>
      <c r="E105" s="120" t="str">
        <f t="shared" si="39"/>
        <v>13.1</v>
      </c>
      <c r="F105" s="218" t="str">
        <f t="shared" si="26"/>
        <v>4.13.01</v>
      </c>
      <c r="G105" s="53"/>
      <c r="H105" s="67" t="s">
        <v>529</v>
      </c>
      <c r="I105" s="33" t="s">
        <v>2494</v>
      </c>
      <c r="J105" s="63"/>
      <c r="K105" s="33" t="s">
        <v>484</v>
      </c>
      <c r="L105" s="360">
        <v>600</v>
      </c>
      <c r="M105" s="40">
        <v>7</v>
      </c>
      <c r="N105" s="360">
        <v>4200</v>
      </c>
      <c r="O105" s="72" t="s">
        <v>615</v>
      </c>
      <c r="P105" s="33">
        <v>2001</v>
      </c>
      <c r="Q105" s="40"/>
      <c r="R105" s="40"/>
      <c r="S105" s="40" t="s">
        <v>482</v>
      </c>
      <c r="T105" s="40" t="s">
        <v>12</v>
      </c>
      <c r="U105" s="251">
        <v>288000000</v>
      </c>
      <c r="V105" s="33" t="s">
        <v>43</v>
      </c>
      <c r="W105" s="127"/>
      <c r="X105" s="206" t="str">
        <f t="shared" ref="X105:X114" si="40">F105</f>
        <v>4.13.01</v>
      </c>
      <c r="Y105" s="207" t="str">
        <f t="shared" si="24"/>
        <v>JALAN</v>
      </c>
      <c r="Z105" s="207">
        <f t="shared" si="25"/>
        <v>10</v>
      </c>
      <c r="AA105" s="233">
        <f t="shared" si="27"/>
        <v>28799999</v>
      </c>
      <c r="AB105" s="208">
        <f t="shared" si="28"/>
        <v>12</v>
      </c>
      <c r="AC105" s="233">
        <f t="shared" si="29"/>
        <v>287999990</v>
      </c>
      <c r="AD105" s="233">
        <f t="shared" si="30"/>
        <v>0</v>
      </c>
      <c r="AE105" s="233">
        <f t="shared" si="31"/>
        <v>0</v>
      </c>
      <c r="AF105" s="233">
        <f t="shared" si="32"/>
        <v>0</v>
      </c>
      <c r="AG105" s="233">
        <f t="shared" si="33"/>
        <v>0</v>
      </c>
      <c r="AH105" s="238">
        <f t="shared" si="34"/>
        <v>0</v>
      </c>
      <c r="AI105" s="238">
        <f t="shared" si="35"/>
        <v>287999990</v>
      </c>
      <c r="AJ105" s="261">
        <f t="shared" si="36"/>
        <v>2001</v>
      </c>
      <c r="AK105" s="233">
        <f t="shared" si="37"/>
        <v>10</v>
      </c>
    </row>
    <row r="106" spans="1:37" s="116" customFormat="1" ht="35.25" hidden="1" customHeight="1" x14ac:dyDescent="0.2">
      <c r="A106" s="116">
        <v>6</v>
      </c>
      <c r="B106" s="116" t="str">
        <f t="shared" si="23"/>
        <v>KOTO SENTAJO - RIMBO GAJAH MATI</v>
      </c>
      <c r="D106" s="116">
        <v>1</v>
      </c>
      <c r="E106" s="120" t="str">
        <f t="shared" si="39"/>
        <v>6.1</v>
      </c>
      <c r="F106" s="218" t="str">
        <f t="shared" si="26"/>
        <v>4.13.01</v>
      </c>
      <c r="G106" s="53"/>
      <c r="H106" s="67" t="s">
        <v>1137</v>
      </c>
      <c r="I106" s="33" t="s">
        <v>2494</v>
      </c>
      <c r="J106" s="63"/>
      <c r="K106" s="33" t="s">
        <v>484</v>
      </c>
      <c r="L106" s="360">
        <v>3000</v>
      </c>
      <c r="M106" s="40">
        <v>7</v>
      </c>
      <c r="N106" s="360">
        <v>21000</v>
      </c>
      <c r="O106" s="72" t="s">
        <v>616</v>
      </c>
      <c r="P106" s="33">
        <v>2001</v>
      </c>
      <c r="Q106" s="40"/>
      <c r="R106" s="40"/>
      <c r="S106" s="40" t="s">
        <v>482</v>
      </c>
      <c r="T106" s="40" t="s">
        <v>12</v>
      </c>
      <c r="U106" s="251">
        <v>3273925686</v>
      </c>
      <c r="V106" s="33" t="s">
        <v>43</v>
      </c>
      <c r="W106" s="127"/>
      <c r="X106" s="206" t="str">
        <f t="shared" si="40"/>
        <v>4.13.01</v>
      </c>
      <c r="Y106" s="207" t="str">
        <f t="shared" si="24"/>
        <v>JALAN</v>
      </c>
      <c r="Z106" s="207">
        <f t="shared" si="25"/>
        <v>10</v>
      </c>
      <c r="AA106" s="233">
        <f t="shared" si="27"/>
        <v>327392567.60000002</v>
      </c>
      <c r="AB106" s="208">
        <f t="shared" si="28"/>
        <v>12</v>
      </c>
      <c r="AC106" s="233">
        <f t="shared" si="29"/>
        <v>3273925676</v>
      </c>
      <c r="AD106" s="233">
        <f t="shared" si="30"/>
        <v>0</v>
      </c>
      <c r="AE106" s="233">
        <f t="shared" si="31"/>
        <v>0</v>
      </c>
      <c r="AF106" s="233">
        <f t="shared" si="32"/>
        <v>0</v>
      </c>
      <c r="AG106" s="233">
        <f t="shared" si="33"/>
        <v>0</v>
      </c>
      <c r="AH106" s="238">
        <f t="shared" si="34"/>
        <v>0</v>
      </c>
      <c r="AI106" s="238">
        <f t="shared" si="35"/>
        <v>3273925676</v>
      </c>
      <c r="AJ106" s="261">
        <f t="shared" si="36"/>
        <v>2001</v>
      </c>
      <c r="AK106" s="233">
        <f t="shared" si="37"/>
        <v>10</v>
      </c>
    </row>
    <row r="107" spans="1:37" s="116" customFormat="1" ht="35.25" hidden="1" customHeight="1" x14ac:dyDescent="0.2">
      <c r="A107" s="116">
        <v>7</v>
      </c>
      <c r="B107" s="116" t="str">
        <f t="shared" si="23"/>
        <v>KP. BARU SENTAJO - TEBING TINGGI</v>
      </c>
      <c r="D107" s="116">
        <v>1</v>
      </c>
      <c r="E107" s="120" t="str">
        <f t="shared" si="39"/>
        <v>7.1</v>
      </c>
      <c r="F107" s="218" t="str">
        <f t="shared" si="26"/>
        <v>4.13.01</v>
      </c>
      <c r="G107" s="53"/>
      <c r="H107" s="67" t="s">
        <v>529</v>
      </c>
      <c r="I107" s="33" t="s">
        <v>2494</v>
      </c>
      <c r="J107" s="63"/>
      <c r="K107" s="33" t="s">
        <v>492</v>
      </c>
      <c r="L107" s="360">
        <v>5500</v>
      </c>
      <c r="M107" s="40">
        <v>7</v>
      </c>
      <c r="N107" s="360">
        <v>38500</v>
      </c>
      <c r="O107" s="72" t="s">
        <v>617</v>
      </c>
      <c r="P107" s="33">
        <v>2001</v>
      </c>
      <c r="Q107" s="40"/>
      <c r="R107" s="40"/>
      <c r="S107" s="40" t="s">
        <v>482</v>
      </c>
      <c r="T107" s="40" t="s">
        <v>12</v>
      </c>
      <c r="U107" s="251">
        <v>2475000000</v>
      </c>
      <c r="V107" s="33" t="s">
        <v>43</v>
      </c>
      <c r="W107" s="127"/>
      <c r="X107" s="206" t="str">
        <f t="shared" si="40"/>
        <v>4.13.01</v>
      </c>
      <c r="Y107" s="207" t="str">
        <f t="shared" si="24"/>
        <v>JALAN</v>
      </c>
      <c r="Z107" s="207">
        <f t="shared" si="25"/>
        <v>10</v>
      </c>
      <c r="AA107" s="233">
        <f t="shared" si="27"/>
        <v>247499999</v>
      </c>
      <c r="AB107" s="208">
        <f t="shared" si="28"/>
        <v>12</v>
      </c>
      <c r="AC107" s="233">
        <f t="shared" si="29"/>
        <v>2474999990</v>
      </c>
      <c r="AD107" s="233">
        <f t="shared" si="30"/>
        <v>0</v>
      </c>
      <c r="AE107" s="233">
        <f t="shared" si="31"/>
        <v>0</v>
      </c>
      <c r="AF107" s="233">
        <f t="shared" si="32"/>
        <v>0</v>
      </c>
      <c r="AG107" s="233">
        <f t="shared" si="33"/>
        <v>0</v>
      </c>
      <c r="AH107" s="238">
        <f t="shared" si="34"/>
        <v>0</v>
      </c>
      <c r="AI107" s="238">
        <f t="shared" si="35"/>
        <v>2474999990</v>
      </c>
      <c r="AJ107" s="261">
        <f t="shared" si="36"/>
        <v>2001</v>
      </c>
      <c r="AK107" s="233">
        <f t="shared" si="37"/>
        <v>10</v>
      </c>
    </row>
    <row r="108" spans="1:37" s="116" customFormat="1" ht="35.25" hidden="1" customHeight="1" x14ac:dyDescent="0.2">
      <c r="A108" s="116">
        <v>8</v>
      </c>
      <c r="B108" s="116" t="str">
        <f t="shared" si="23"/>
        <v>KP. BARU SENTAJO - BENAI</v>
      </c>
      <c r="D108" s="116">
        <v>1</v>
      </c>
      <c r="E108" s="120" t="str">
        <f t="shared" si="39"/>
        <v>8.1</v>
      </c>
      <c r="F108" s="218" t="str">
        <f t="shared" si="26"/>
        <v>4.13.01</v>
      </c>
      <c r="G108" s="53"/>
      <c r="H108" s="67" t="s">
        <v>529</v>
      </c>
      <c r="I108" s="33" t="s">
        <v>2494</v>
      </c>
      <c r="J108" s="63"/>
      <c r="K108" s="33" t="s">
        <v>8</v>
      </c>
      <c r="L108" s="360">
        <v>2000</v>
      </c>
      <c r="M108" s="40">
        <v>7</v>
      </c>
      <c r="N108" s="360">
        <v>14000</v>
      </c>
      <c r="O108" s="72" t="s">
        <v>618</v>
      </c>
      <c r="P108" s="33">
        <v>2001</v>
      </c>
      <c r="Q108" s="40"/>
      <c r="R108" s="40"/>
      <c r="S108" s="40" t="s">
        <v>482</v>
      </c>
      <c r="T108" s="40" t="s">
        <v>12</v>
      </c>
      <c r="U108" s="251">
        <v>450000000</v>
      </c>
      <c r="V108" s="33" t="s">
        <v>43</v>
      </c>
      <c r="W108" s="127"/>
      <c r="X108" s="206" t="str">
        <f t="shared" si="40"/>
        <v>4.13.01</v>
      </c>
      <c r="Y108" s="207" t="str">
        <f t="shared" si="24"/>
        <v>JALAN</v>
      </c>
      <c r="Z108" s="207">
        <f t="shared" si="25"/>
        <v>10</v>
      </c>
      <c r="AA108" s="233">
        <f t="shared" si="27"/>
        <v>44999999</v>
      </c>
      <c r="AB108" s="208">
        <f t="shared" si="28"/>
        <v>12</v>
      </c>
      <c r="AC108" s="233">
        <f t="shared" si="29"/>
        <v>449999990</v>
      </c>
      <c r="AD108" s="233">
        <f t="shared" si="30"/>
        <v>0</v>
      </c>
      <c r="AE108" s="233">
        <f t="shared" si="31"/>
        <v>0</v>
      </c>
      <c r="AF108" s="233">
        <f t="shared" si="32"/>
        <v>0</v>
      </c>
      <c r="AG108" s="233">
        <f t="shared" si="33"/>
        <v>0</v>
      </c>
      <c r="AH108" s="238">
        <f t="shared" si="34"/>
        <v>0</v>
      </c>
      <c r="AI108" s="238">
        <f t="shared" si="35"/>
        <v>449999990</v>
      </c>
      <c r="AJ108" s="261">
        <f t="shared" si="36"/>
        <v>2001</v>
      </c>
      <c r="AK108" s="233">
        <f t="shared" si="37"/>
        <v>10</v>
      </c>
    </row>
    <row r="109" spans="1:37" s="116" customFormat="1" ht="35.25" hidden="1" customHeight="1" x14ac:dyDescent="0.2">
      <c r="A109" s="116">
        <v>4</v>
      </c>
      <c r="B109" s="116" t="str">
        <f t="shared" si="23"/>
        <v>SENTAJO - MUARA LANGSAT</v>
      </c>
      <c r="D109" s="116">
        <v>1</v>
      </c>
      <c r="E109" s="120" t="str">
        <f t="shared" si="39"/>
        <v>4.1</v>
      </c>
      <c r="F109" s="218" t="str">
        <f t="shared" si="26"/>
        <v>4.13.01</v>
      </c>
      <c r="G109" s="53"/>
      <c r="H109" s="67" t="s">
        <v>529</v>
      </c>
      <c r="I109" s="33" t="s">
        <v>2494</v>
      </c>
      <c r="J109" s="63"/>
      <c r="K109" s="33" t="s">
        <v>479</v>
      </c>
      <c r="L109" s="360">
        <v>34000</v>
      </c>
      <c r="M109" s="40"/>
      <c r="N109" s="360">
        <v>289500</v>
      </c>
      <c r="O109" s="72" t="s">
        <v>619</v>
      </c>
      <c r="P109" s="33">
        <v>2001</v>
      </c>
      <c r="Q109" s="40"/>
      <c r="R109" s="40"/>
      <c r="S109" s="40" t="s">
        <v>482</v>
      </c>
      <c r="T109" s="40" t="s">
        <v>12</v>
      </c>
      <c r="U109" s="251">
        <v>46812964265.480003</v>
      </c>
      <c r="V109" s="33" t="s">
        <v>135</v>
      </c>
      <c r="W109" s="127"/>
      <c r="X109" s="206" t="str">
        <f t="shared" si="40"/>
        <v>4.13.01</v>
      </c>
      <c r="Y109" s="207" t="str">
        <f t="shared" si="24"/>
        <v>JALAN</v>
      </c>
      <c r="Z109" s="207">
        <f t="shared" si="25"/>
        <v>10</v>
      </c>
      <c r="AA109" s="233">
        <f t="shared" si="27"/>
        <v>4681296425.5480003</v>
      </c>
      <c r="AB109" s="208">
        <f t="shared" si="28"/>
        <v>12</v>
      </c>
      <c r="AC109" s="233">
        <f t="shared" si="29"/>
        <v>46812964255.480003</v>
      </c>
      <c r="AD109" s="233">
        <f t="shared" si="30"/>
        <v>0</v>
      </c>
      <c r="AE109" s="233">
        <f t="shared" si="31"/>
        <v>0</v>
      </c>
      <c r="AF109" s="233">
        <f t="shared" si="32"/>
        <v>0</v>
      </c>
      <c r="AG109" s="233">
        <f t="shared" si="33"/>
        <v>0</v>
      </c>
      <c r="AH109" s="238">
        <f t="shared" si="34"/>
        <v>0</v>
      </c>
      <c r="AI109" s="238">
        <f t="shared" si="35"/>
        <v>46812964255.480003</v>
      </c>
      <c r="AJ109" s="261">
        <f t="shared" si="36"/>
        <v>2001</v>
      </c>
      <c r="AK109" s="233">
        <f t="shared" si="37"/>
        <v>10</v>
      </c>
    </row>
    <row r="110" spans="1:37" s="116" customFormat="1" ht="35.25" hidden="1" customHeight="1" x14ac:dyDescent="0.2">
      <c r="A110" s="116">
        <v>5</v>
      </c>
      <c r="B110" s="116" t="str">
        <f t="shared" si="23"/>
        <v>SIMP. JAKE - TRANS SKP II PETAI</v>
      </c>
      <c r="D110" s="116">
        <v>1</v>
      </c>
      <c r="E110" s="120" t="str">
        <f t="shared" si="39"/>
        <v>5.1</v>
      </c>
      <c r="F110" s="218" t="str">
        <f t="shared" si="26"/>
        <v>4.13.01</v>
      </c>
      <c r="G110" s="53"/>
      <c r="H110" s="67" t="s">
        <v>529</v>
      </c>
      <c r="I110" s="33" t="s">
        <v>2494</v>
      </c>
      <c r="J110" s="63"/>
      <c r="K110" s="33" t="s">
        <v>492</v>
      </c>
      <c r="L110" s="360">
        <v>15500</v>
      </c>
      <c r="M110" s="40">
        <v>8</v>
      </c>
      <c r="N110" s="360">
        <v>124000</v>
      </c>
      <c r="O110" s="72" t="s">
        <v>620</v>
      </c>
      <c r="P110" s="33">
        <v>2001</v>
      </c>
      <c r="Q110" s="40"/>
      <c r="R110" s="40"/>
      <c r="S110" s="40" t="s">
        <v>482</v>
      </c>
      <c r="T110" s="40" t="s">
        <v>12</v>
      </c>
      <c r="U110" s="251">
        <v>6975000000</v>
      </c>
      <c r="V110" s="33" t="s">
        <v>43</v>
      </c>
      <c r="W110" s="127"/>
      <c r="X110" s="206" t="str">
        <f t="shared" si="40"/>
        <v>4.13.01</v>
      </c>
      <c r="Y110" s="207" t="str">
        <f t="shared" si="24"/>
        <v>JALAN</v>
      </c>
      <c r="Z110" s="207">
        <f t="shared" si="25"/>
        <v>10</v>
      </c>
      <c r="AA110" s="233">
        <f t="shared" si="27"/>
        <v>697499999</v>
      </c>
      <c r="AB110" s="208">
        <f t="shared" si="28"/>
        <v>12</v>
      </c>
      <c r="AC110" s="233">
        <f t="shared" si="29"/>
        <v>6974999990</v>
      </c>
      <c r="AD110" s="233">
        <f t="shared" si="30"/>
        <v>0</v>
      </c>
      <c r="AE110" s="233">
        <f t="shared" si="31"/>
        <v>0</v>
      </c>
      <c r="AF110" s="233">
        <f t="shared" si="32"/>
        <v>0</v>
      </c>
      <c r="AG110" s="233">
        <f t="shared" si="33"/>
        <v>0</v>
      </c>
      <c r="AH110" s="238">
        <f t="shared" si="34"/>
        <v>0</v>
      </c>
      <c r="AI110" s="238">
        <f t="shared" si="35"/>
        <v>6974999990</v>
      </c>
      <c r="AJ110" s="261">
        <f t="shared" si="36"/>
        <v>2001</v>
      </c>
      <c r="AK110" s="233">
        <f t="shared" si="37"/>
        <v>10</v>
      </c>
    </row>
    <row r="111" spans="1:37" s="116" customFormat="1" ht="35.25" hidden="1" customHeight="1" x14ac:dyDescent="0.2">
      <c r="A111" s="116">
        <v>2</v>
      </c>
      <c r="B111" s="116" t="str">
        <f t="shared" si="23"/>
        <v>JAKE - GERINGGING BARU</v>
      </c>
      <c r="D111" s="116">
        <v>1</v>
      </c>
      <c r="E111" s="116" t="str">
        <f t="shared" si="39"/>
        <v>2.1</v>
      </c>
      <c r="F111" s="218" t="str">
        <f t="shared" si="26"/>
        <v>4.13.01</v>
      </c>
      <c r="G111" s="53"/>
      <c r="H111" s="67" t="s">
        <v>1138</v>
      </c>
      <c r="I111" s="33" t="s">
        <v>2494</v>
      </c>
      <c r="J111" s="63"/>
      <c r="K111" s="33" t="s">
        <v>492</v>
      </c>
      <c r="L111" s="360">
        <v>13300</v>
      </c>
      <c r="M111" s="40">
        <v>8</v>
      </c>
      <c r="N111" s="360">
        <v>106400</v>
      </c>
      <c r="O111" s="72" t="s">
        <v>621</v>
      </c>
      <c r="P111" s="33">
        <v>2001</v>
      </c>
      <c r="Q111" s="40"/>
      <c r="R111" s="40"/>
      <c r="S111" s="40" t="s">
        <v>482</v>
      </c>
      <c r="T111" s="40" t="s">
        <v>12</v>
      </c>
      <c r="U111" s="251">
        <v>20175343360</v>
      </c>
      <c r="V111" s="33" t="s">
        <v>43</v>
      </c>
      <c r="W111" s="127"/>
      <c r="X111" s="206" t="str">
        <f t="shared" si="40"/>
        <v>4.13.01</v>
      </c>
      <c r="Y111" s="207" t="str">
        <f t="shared" si="24"/>
        <v>JALAN</v>
      </c>
      <c r="Z111" s="207">
        <f t="shared" si="25"/>
        <v>10</v>
      </c>
      <c r="AA111" s="233">
        <f t="shared" si="27"/>
        <v>2017534335</v>
      </c>
      <c r="AB111" s="208">
        <f t="shared" si="28"/>
        <v>12</v>
      </c>
      <c r="AC111" s="233">
        <f t="shared" si="29"/>
        <v>20175343350</v>
      </c>
      <c r="AD111" s="233">
        <f t="shared" si="30"/>
        <v>0</v>
      </c>
      <c r="AE111" s="233">
        <f t="shared" si="31"/>
        <v>0</v>
      </c>
      <c r="AF111" s="233">
        <f t="shared" si="32"/>
        <v>0</v>
      </c>
      <c r="AG111" s="233">
        <f t="shared" si="33"/>
        <v>0</v>
      </c>
      <c r="AH111" s="238">
        <f t="shared" si="34"/>
        <v>0</v>
      </c>
      <c r="AI111" s="238">
        <f t="shared" si="35"/>
        <v>20175343350</v>
      </c>
      <c r="AJ111" s="261">
        <f t="shared" si="36"/>
        <v>2001</v>
      </c>
      <c r="AK111" s="233">
        <f t="shared" si="37"/>
        <v>10</v>
      </c>
    </row>
    <row r="112" spans="1:37" s="116" customFormat="1" ht="35.25" hidden="1" customHeight="1" x14ac:dyDescent="0.2">
      <c r="B112" s="116" t="e">
        <f t="shared" ref="B112:B117" si="41">VLOOKUP(A112,RUAS,2,0)</f>
        <v>#N/A</v>
      </c>
      <c r="D112" s="116">
        <v>2</v>
      </c>
      <c r="E112" s="116" t="str">
        <f t="shared" si="39"/>
        <v>.2</v>
      </c>
      <c r="F112" s="218" t="s">
        <v>2305</v>
      </c>
      <c r="G112" s="53"/>
      <c r="H112" s="67" t="s">
        <v>1266</v>
      </c>
      <c r="I112" s="33" t="s">
        <v>3824</v>
      </c>
      <c r="J112" s="63"/>
      <c r="K112" s="33" t="s">
        <v>835</v>
      </c>
      <c r="L112" s="360"/>
      <c r="M112" s="40"/>
      <c r="N112" s="360"/>
      <c r="O112" s="72" t="s">
        <v>621</v>
      </c>
      <c r="P112" s="33">
        <v>2012</v>
      </c>
      <c r="Q112" s="40"/>
      <c r="R112" s="40"/>
      <c r="S112" s="40"/>
      <c r="T112" s="40" t="s">
        <v>12</v>
      </c>
      <c r="U112" s="251">
        <v>1145248023.880646</v>
      </c>
      <c r="V112" s="33" t="s">
        <v>43</v>
      </c>
      <c r="W112" s="127"/>
      <c r="X112" s="206" t="str">
        <f t="shared" si="40"/>
        <v>4.13.02</v>
      </c>
      <c r="Y112" s="207" t="str">
        <f t="shared" ref="Y112:Y117" si="42">VLOOKUP(X112,kelompok,2,0)</f>
        <v>JEMBATAN</v>
      </c>
      <c r="Z112" s="207">
        <f t="shared" ref="Z112:Z117" si="43">VLOOKUP(X112,MASAMANFAAT,4,0)</f>
        <v>50</v>
      </c>
      <c r="AA112" s="233">
        <f t="shared" ref="AA112:AA117" si="44">(U112-10)/Z112</f>
        <v>22904960.277612921</v>
      </c>
      <c r="AB112" s="208">
        <f>2013-AJ112</f>
        <v>1</v>
      </c>
      <c r="AC112" s="233">
        <f>IF(AB112&gt;Z112,U112-10,AA112*AB112)</f>
        <v>22904960.277612921</v>
      </c>
      <c r="AD112" s="233">
        <f>IF(U112-10=AC112,0,AA112)</f>
        <v>22904960.277612921</v>
      </c>
      <c r="AE112" s="233">
        <f>IF(U112-10=AC112+AD112,0,AA112)</f>
        <v>22904960.277612921</v>
      </c>
      <c r="AF112" s="233">
        <f>IF(U112-10=AC112+AD112+AE112,0,AA112)</f>
        <v>22904960.277612921</v>
      </c>
      <c r="AG112" s="233">
        <f>IF(U112-10=AD112+AE112+AF112+AC112,0,AA112)</f>
        <v>22904960.277612921</v>
      </c>
      <c r="AH112" s="238">
        <f>IF(U112-10=AD112+AE112+AF112+AC112+AG112,0,AA112)</f>
        <v>22904960.277612921</v>
      </c>
      <c r="AI112" s="238">
        <f t="shared" ref="AI112:AI117" si="45">SUM(AC112:AH112)</f>
        <v>137429761.66567752</v>
      </c>
      <c r="AJ112" s="261">
        <f t="shared" ref="AJ112:AJ117" si="46">P112</f>
        <v>2012</v>
      </c>
      <c r="AK112" s="233">
        <f t="shared" ref="AK112:AK117" si="47">U112-AI112</f>
        <v>1007818262.2149684</v>
      </c>
    </row>
    <row r="113" spans="1:39" s="116" customFormat="1" ht="35.25" hidden="1" customHeight="1" x14ac:dyDescent="0.2">
      <c r="A113" s="116">
        <v>2</v>
      </c>
      <c r="B113" s="116" t="str">
        <f t="shared" si="41"/>
        <v>JAKE - GERINGGING BARU</v>
      </c>
      <c r="D113" s="116">
        <v>2</v>
      </c>
      <c r="E113" s="116" t="str">
        <f t="shared" si="39"/>
        <v>2.2</v>
      </c>
      <c r="F113" s="218" t="s">
        <v>2304</v>
      </c>
      <c r="G113" s="73"/>
      <c r="H113" s="40" t="s">
        <v>1411</v>
      </c>
      <c r="I113" s="65" t="s">
        <v>2494</v>
      </c>
      <c r="J113" s="32"/>
      <c r="K113" s="40"/>
      <c r="L113" s="362"/>
      <c r="M113" s="40"/>
      <c r="N113" s="367"/>
      <c r="O113" s="72" t="s">
        <v>621</v>
      </c>
      <c r="P113" s="32">
        <v>2015</v>
      </c>
      <c r="Q113" s="40"/>
      <c r="R113" s="40"/>
      <c r="S113" s="40"/>
      <c r="T113" s="32" t="s">
        <v>12</v>
      </c>
      <c r="U113" s="253">
        <v>2125785396</v>
      </c>
      <c r="V113" s="68"/>
      <c r="W113" s="61"/>
      <c r="X113" s="206" t="str">
        <f t="shared" si="40"/>
        <v>4.13.01</v>
      </c>
      <c r="Y113" s="207" t="str">
        <f t="shared" si="42"/>
        <v>JALAN</v>
      </c>
      <c r="Z113" s="207">
        <f t="shared" si="43"/>
        <v>10</v>
      </c>
      <c r="AA113" s="233">
        <f t="shared" si="44"/>
        <v>212578538.59999999</v>
      </c>
      <c r="AB113" s="208"/>
      <c r="AC113" s="233">
        <f>IF(AB113&gt;Z113,U113-10,AA113*AB113)</f>
        <v>0</v>
      </c>
      <c r="AD113" s="233"/>
      <c r="AE113" s="233">
        <f>IF(U113-10=AC113+AD113,0,AA113)</f>
        <v>212578538.59999999</v>
      </c>
      <c r="AF113" s="233">
        <f>IF(U113-10=AC113+AD113+AE113,0,AA113)</f>
        <v>212578538.59999999</v>
      </c>
      <c r="AG113" s="233">
        <f>IF(U113-10=AD113+AE113+AF113+AC113,0,AA113)</f>
        <v>212578538.59999999</v>
      </c>
      <c r="AH113" s="238">
        <f>IF(U113-10=AD113+AE113+AF113+AC113+AG113,0,AA113)</f>
        <v>212578538.59999999</v>
      </c>
      <c r="AI113" s="238">
        <f t="shared" si="45"/>
        <v>850314154.39999998</v>
      </c>
      <c r="AJ113" s="261">
        <f t="shared" si="46"/>
        <v>2015</v>
      </c>
      <c r="AK113" s="233">
        <f t="shared" si="47"/>
        <v>1275471241.5999999</v>
      </c>
      <c r="AM113" s="116" t="s">
        <v>4245</v>
      </c>
    </row>
    <row r="114" spans="1:39" s="120" customFormat="1" ht="35.25" hidden="1" customHeight="1" x14ac:dyDescent="0.2">
      <c r="A114" s="116">
        <v>2</v>
      </c>
      <c r="B114" s="116" t="str">
        <f t="shared" si="41"/>
        <v>JAKE - GERINGGING BARU</v>
      </c>
      <c r="D114" s="116">
        <v>3</v>
      </c>
      <c r="E114" s="116" t="str">
        <f t="shared" si="39"/>
        <v>2.3</v>
      </c>
      <c r="F114" s="218" t="s">
        <v>2304</v>
      </c>
      <c r="G114" s="130"/>
      <c r="H114" s="129" t="s">
        <v>1456</v>
      </c>
      <c r="I114" s="65" t="s">
        <v>2494</v>
      </c>
      <c r="J114" s="32"/>
      <c r="K114" s="40"/>
      <c r="L114" s="362"/>
      <c r="M114" s="40"/>
      <c r="N114" s="367"/>
      <c r="O114" s="72" t="s">
        <v>621</v>
      </c>
      <c r="P114" s="32">
        <v>2016</v>
      </c>
      <c r="Q114" s="40"/>
      <c r="R114" s="40"/>
      <c r="S114" s="40"/>
      <c r="T114" s="32" t="s">
        <v>12</v>
      </c>
      <c r="U114" s="253">
        <v>5335623040.4074984</v>
      </c>
      <c r="V114" s="68"/>
      <c r="W114" s="61"/>
      <c r="X114" s="206" t="str">
        <f t="shared" si="40"/>
        <v>4.13.01</v>
      </c>
      <c r="Y114" s="207" t="str">
        <f t="shared" si="42"/>
        <v>JALAN</v>
      </c>
      <c r="Z114" s="207">
        <f t="shared" si="43"/>
        <v>10</v>
      </c>
      <c r="AA114" s="233">
        <f t="shared" si="44"/>
        <v>533562303.04074985</v>
      </c>
      <c r="AB114" s="208"/>
      <c r="AC114" s="233">
        <f>IF(AB114&gt;Z114,U114-10,AA114*AB114)</f>
        <v>0</v>
      </c>
      <c r="AD114" s="233"/>
      <c r="AE114" s="233"/>
      <c r="AF114" s="233">
        <f>IF(U114-10=AC114+AD114+AE114,0,AA114)</f>
        <v>533562303.04074985</v>
      </c>
      <c r="AG114" s="233">
        <f>IF(U114-10=AD114+AE114+AF114+AC114,0,AA114)</f>
        <v>533562303.04074985</v>
      </c>
      <c r="AH114" s="238">
        <f>IF(U114-10=AD114+AE114+AF114+AC114+AG114,0,AA114)</f>
        <v>533562303.04074985</v>
      </c>
      <c r="AI114" s="238">
        <f t="shared" si="45"/>
        <v>1600686909.1222496</v>
      </c>
      <c r="AJ114" s="261">
        <f t="shared" si="46"/>
        <v>2016</v>
      </c>
      <c r="AK114" s="233">
        <f t="shared" si="47"/>
        <v>3734936131.2852488</v>
      </c>
      <c r="AM114" s="116" t="s">
        <v>4245</v>
      </c>
    </row>
    <row r="115" spans="1:39" s="120" customFormat="1" ht="35.25" hidden="1" customHeight="1" x14ac:dyDescent="0.2">
      <c r="A115" s="116">
        <v>2</v>
      </c>
      <c r="B115" s="116" t="str">
        <f t="shared" si="41"/>
        <v>JAKE - GERINGGING BARU</v>
      </c>
      <c r="D115" s="116">
        <v>4</v>
      </c>
      <c r="E115" s="116" t="str">
        <f t="shared" si="39"/>
        <v>2.4</v>
      </c>
      <c r="F115" s="218"/>
      <c r="G115" s="130"/>
      <c r="H115" s="248" t="s">
        <v>3062</v>
      </c>
      <c r="I115" s="184" t="s">
        <v>2494</v>
      </c>
      <c r="J115" s="183"/>
      <c r="K115" s="184"/>
      <c r="L115" s="361"/>
      <c r="M115" s="183"/>
      <c r="N115" s="361"/>
      <c r="O115" s="72" t="s">
        <v>621</v>
      </c>
      <c r="P115" s="184">
        <v>2017</v>
      </c>
      <c r="Q115" s="183"/>
      <c r="R115" s="183"/>
      <c r="S115" s="183"/>
      <c r="T115" s="32" t="s">
        <v>12</v>
      </c>
      <c r="U115" s="256">
        <v>2048298000</v>
      </c>
      <c r="V115" s="68"/>
      <c r="W115" s="61"/>
      <c r="X115" s="206" t="str">
        <f>MID(I115,2,7)</f>
        <v>4.13.01</v>
      </c>
      <c r="Y115" s="207" t="str">
        <f t="shared" si="42"/>
        <v>JALAN</v>
      </c>
      <c r="Z115" s="207">
        <f t="shared" si="43"/>
        <v>10</v>
      </c>
      <c r="AA115" s="233">
        <f t="shared" si="44"/>
        <v>204829799</v>
      </c>
      <c r="AB115" s="208"/>
      <c r="AC115" s="233"/>
      <c r="AD115" s="233"/>
      <c r="AE115" s="233"/>
      <c r="AF115" s="233"/>
      <c r="AG115" s="233"/>
      <c r="AH115" s="238">
        <f>IF(U115-10=AD115+AE115+AF115+AC115+AG115,0,AA115)</f>
        <v>204829799</v>
      </c>
      <c r="AI115" s="238">
        <f t="shared" si="45"/>
        <v>204829799</v>
      </c>
      <c r="AJ115" s="261">
        <f t="shared" si="46"/>
        <v>2017</v>
      </c>
      <c r="AK115" s="233">
        <f t="shared" si="47"/>
        <v>1843468201</v>
      </c>
      <c r="AM115" s="116" t="s">
        <v>4245</v>
      </c>
    </row>
    <row r="116" spans="1:39" s="120" customFormat="1" ht="35.25" customHeight="1" x14ac:dyDescent="0.2">
      <c r="A116" s="116">
        <v>2</v>
      </c>
      <c r="B116" s="116" t="str">
        <f t="shared" si="41"/>
        <v>JAKE - GERINGGING BARU</v>
      </c>
      <c r="D116" s="116">
        <v>5</v>
      </c>
      <c r="E116" s="116" t="str">
        <f t="shared" ref="E116:E127" si="48">A116&amp;"."&amp;D116</f>
        <v>2.5</v>
      </c>
      <c r="F116" s="218"/>
      <c r="G116" s="130"/>
      <c r="H116" s="248" t="s">
        <v>1456</v>
      </c>
      <c r="I116" s="184" t="s">
        <v>2494</v>
      </c>
      <c r="J116" s="183"/>
      <c r="K116" s="184"/>
      <c r="L116" s="361"/>
      <c r="M116" s="183"/>
      <c r="N116" s="361"/>
      <c r="O116" s="72" t="s">
        <v>621</v>
      </c>
      <c r="P116" s="184">
        <v>2018</v>
      </c>
      <c r="Q116" s="183"/>
      <c r="R116" s="183"/>
      <c r="S116" s="183"/>
      <c r="T116" s="32" t="s">
        <v>12</v>
      </c>
      <c r="U116" s="256">
        <v>8049268344</v>
      </c>
      <c r="V116" s="68"/>
      <c r="W116" s="61"/>
      <c r="X116" s="206" t="str">
        <f>MID(I116,2,7)</f>
        <v>4.13.01</v>
      </c>
      <c r="Y116" s="207" t="str">
        <f t="shared" si="42"/>
        <v>JALAN</v>
      </c>
      <c r="Z116" s="207">
        <f t="shared" si="43"/>
        <v>10</v>
      </c>
      <c r="AA116" s="233">
        <f t="shared" si="44"/>
        <v>804926833.39999998</v>
      </c>
      <c r="AB116" s="208"/>
      <c r="AC116" s="233"/>
      <c r="AD116" s="233"/>
      <c r="AE116" s="233"/>
      <c r="AF116" s="233"/>
      <c r="AG116" s="233"/>
      <c r="AH116" s="238"/>
      <c r="AI116" s="238">
        <f t="shared" si="45"/>
        <v>0</v>
      </c>
      <c r="AJ116" s="261">
        <f t="shared" si="46"/>
        <v>2018</v>
      </c>
      <c r="AK116" s="233">
        <f t="shared" si="47"/>
        <v>8049268344</v>
      </c>
      <c r="AM116" s="116" t="s">
        <v>4245</v>
      </c>
    </row>
    <row r="117" spans="1:39" s="120" customFormat="1" ht="35.25" customHeight="1" x14ac:dyDescent="0.2">
      <c r="A117" s="116">
        <v>2</v>
      </c>
      <c r="B117" s="116" t="str">
        <f t="shared" si="41"/>
        <v>JAKE - GERINGGING BARU</v>
      </c>
      <c r="D117" s="116">
        <v>6</v>
      </c>
      <c r="E117" s="116" t="str">
        <f t="shared" si="48"/>
        <v>2.6</v>
      </c>
      <c r="F117" s="218"/>
      <c r="G117" s="130"/>
      <c r="H117" s="248" t="s">
        <v>3341</v>
      </c>
      <c r="I117" s="184" t="s">
        <v>2494</v>
      </c>
      <c r="J117" s="183"/>
      <c r="K117" s="184"/>
      <c r="L117" s="361"/>
      <c r="M117" s="183"/>
      <c r="N117" s="361"/>
      <c r="O117" s="72" t="s">
        <v>621</v>
      </c>
      <c r="P117" s="184">
        <v>2018</v>
      </c>
      <c r="Q117" s="183"/>
      <c r="R117" s="183"/>
      <c r="S117" s="183"/>
      <c r="T117" s="32" t="s">
        <v>12</v>
      </c>
      <c r="U117" s="256">
        <v>186340500</v>
      </c>
      <c r="V117" s="68"/>
      <c r="W117" s="61"/>
      <c r="X117" s="206" t="str">
        <f>MID(I117,2,7)</f>
        <v>4.13.01</v>
      </c>
      <c r="Y117" s="207" t="str">
        <f t="shared" si="42"/>
        <v>JALAN</v>
      </c>
      <c r="Z117" s="207">
        <f t="shared" si="43"/>
        <v>10</v>
      </c>
      <c r="AA117" s="233">
        <f t="shared" si="44"/>
        <v>18634049</v>
      </c>
      <c r="AB117" s="208"/>
      <c r="AC117" s="233"/>
      <c r="AD117" s="233"/>
      <c r="AE117" s="233"/>
      <c r="AF117" s="233"/>
      <c r="AG117" s="233"/>
      <c r="AH117" s="238"/>
      <c r="AI117" s="238">
        <f t="shared" si="45"/>
        <v>0</v>
      </c>
      <c r="AJ117" s="261">
        <f t="shared" si="46"/>
        <v>2018</v>
      </c>
      <c r="AK117" s="233">
        <f t="shared" si="47"/>
        <v>186340500</v>
      </c>
      <c r="AM117" s="116" t="s">
        <v>4245</v>
      </c>
    </row>
    <row r="118" spans="1:39" s="116" customFormat="1" ht="35.25" hidden="1" customHeight="1" x14ac:dyDescent="0.2">
      <c r="A118" s="116">
        <v>3</v>
      </c>
      <c r="B118" s="116" t="str">
        <f t="shared" si="23"/>
        <v>JAKE - KOTO KOMBU</v>
      </c>
      <c r="D118" s="116">
        <v>1</v>
      </c>
      <c r="E118" s="116" t="str">
        <f t="shared" si="48"/>
        <v>3.1</v>
      </c>
      <c r="F118" s="218" t="str">
        <f t="shared" si="26"/>
        <v>4.13.01</v>
      </c>
      <c r="G118" s="53"/>
      <c r="H118" s="67" t="s">
        <v>1139</v>
      </c>
      <c r="I118" s="33" t="s">
        <v>2494</v>
      </c>
      <c r="J118" s="63"/>
      <c r="K118" s="33" t="s">
        <v>479</v>
      </c>
      <c r="L118" s="360" t="s">
        <v>622</v>
      </c>
      <c r="M118" s="40"/>
      <c r="N118" s="360"/>
      <c r="O118" s="72" t="s">
        <v>3080</v>
      </c>
      <c r="P118" s="33">
        <v>2001</v>
      </c>
      <c r="Q118" s="40"/>
      <c r="R118" s="40"/>
      <c r="S118" s="40" t="s">
        <v>482</v>
      </c>
      <c r="T118" s="40" t="s">
        <v>12</v>
      </c>
      <c r="U118" s="251">
        <v>13778074379</v>
      </c>
      <c r="V118" s="33" t="s">
        <v>43</v>
      </c>
      <c r="W118" s="127"/>
      <c r="X118" s="206" t="str">
        <f t="shared" ref="X118:X125" si="49">F118</f>
        <v>4.13.01</v>
      </c>
      <c r="Y118" s="207" t="str">
        <f t="shared" si="24"/>
        <v>JALAN</v>
      </c>
      <c r="Z118" s="207">
        <f t="shared" si="25"/>
        <v>10</v>
      </c>
      <c r="AA118" s="233">
        <f t="shared" si="27"/>
        <v>1377807436.9000001</v>
      </c>
      <c r="AB118" s="208">
        <f t="shared" si="28"/>
        <v>12</v>
      </c>
      <c r="AC118" s="233">
        <f t="shared" si="29"/>
        <v>13778074369</v>
      </c>
      <c r="AD118" s="233">
        <f t="shared" si="30"/>
        <v>0</v>
      </c>
      <c r="AE118" s="233">
        <f t="shared" si="31"/>
        <v>0</v>
      </c>
      <c r="AF118" s="233">
        <f t="shared" si="32"/>
        <v>0</v>
      </c>
      <c r="AG118" s="233">
        <f t="shared" si="33"/>
        <v>0</v>
      </c>
      <c r="AH118" s="238">
        <f t="shared" si="34"/>
        <v>0</v>
      </c>
      <c r="AI118" s="238">
        <f t="shared" si="35"/>
        <v>13778074369</v>
      </c>
      <c r="AJ118" s="261">
        <f t="shared" si="36"/>
        <v>2001</v>
      </c>
      <c r="AK118" s="233">
        <f t="shared" si="37"/>
        <v>10</v>
      </c>
    </row>
    <row r="119" spans="1:39" s="116" customFormat="1" ht="35.25" hidden="1" customHeight="1" x14ac:dyDescent="0.2">
      <c r="A119" s="417">
        <v>3</v>
      </c>
      <c r="B119" s="116" t="str">
        <f t="shared" ref="B119:B132" si="50">VLOOKUP(A119,RUAS,2,0)</f>
        <v>JAKE - KOTO KOMBU</v>
      </c>
      <c r="D119" s="116">
        <v>2</v>
      </c>
      <c r="E119" s="116" t="str">
        <f t="shared" si="48"/>
        <v>3.2</v>
      </c>
      <c r="F119" s="218" t="s">
        <v>2305</v>
      </c>
      <c r="G119" s="53"/>
      <c r="H119" s="67" t="s">
        <v>1177</v>
      </c>
      <c r="I119" s="33" t="s">
        <v>3822</v>
      </c>
      <c r="J119" s="63"/>
      <c r="K119" s="33" t="s">
        <v>835</v>
      </c>
      <c r="L119" s="360">
        <v>2</v>
      </c>
      <c r="M119" s="40">
        <v>2</v>
      </c>
      <c r="N119" s="360">
        <v>4</v>
      </c>
      <c r="O119" s="247" t="s">
        <v>3584</v>
      </c>
      <c r="P119" s="33">
        <v>2007</v>
      </c>
      <c r="Q119" s="40"/>
      <c r="R119" s="40"/>
      <c r="S119" s="40"/>
      <c r="T119" s="40" t="s">
        <v>12</v>
      </c>
      <c r="U119" s="251">
        <v>667654574.73438203</v>
      </c>
      <c r="V119" s="33" t="s">
        <v>43</v>
      </c>
      <c r="W119" s="127"/>
      <c r="X119" s="206" t="str">
        <f t="shared" si="49"/>
        <v>4.13.02</v>
      </c>
      <c r="Y119" s="207" t="str">
        <f t="shared" ref="Y119:Y125" si="51">VLOOKUP(X119,kelompok,2,0)</f>
        <v>JEMBATAN</v>
      </c>
      <c r="Z119" s="207">
        <f t="shared" ref="Z119:Z125" si="52">VLOOKUP(X119,MASAMANFAAT,4,0)</f>
        <v>50</v>
      </c>
      <c r="AA119" s="233">
        <f t="shared" ref="AA119:AA127" si="53">(U119-10)/Z119</f>
        <v>13353091.29468764</v>
      </c>
      <c r="AB119" s="208">
        <f>2013-AJ119</f>
        <v>6</v>
      </c>
      <c r="AC119" s="233">
        <f t="shared" ref="AC119:AC125" si="54">IF(AB119&gt;Z119,U119-10,AA119*AB119)</f>
        <v>80118547.768125832</v>
      </c>
      <c r="AD119" s="233">
        <f>IF(U119-10=AC119,0,AA119)</f>
        <v>13353091.29468764</v>
      </c>
      <c r="AE119" s="233">
        <f t="shared" ref="AE119:AE125" si="55">IF(U119-10=AC119+AD119,0,AA119)</f>
        <v>13353091.29468764</v>
      </c>
      <c r="AF119" s="233">
        <f t="shared" ref="AF119:AF125" si="56">IF(U119-10=AC119+AD119+AE119,0,AA119)</f>
        <v>13353091.29468764</v>
      </c>
      <c r="AG119" s="233">
        <f t="shared" ref="AG119:AG125" si="57">IF(U119-10=AD119+AE119+AF119+AC119,0,AA119)</f>
        <v>13353091.29468764</v>
      </c>
      <c r="AH119" s="238">
        <f t="shared" ref="AH119:AH127" si="58">IF(U119-10=AD119+AE119+AF119+AC119+AG119,0,AA119)</f>
        <v>13353091.29468764</v>
      </c>
      <c r="AI119" s="238">
        <f t="shared" ref="AI119:AI127" si="59">SUM(AC119:AH119)</f>
        <v>146884004.24156404</v>
      </c>
      <c r="AJ119" s="261">
        <f t="shared" ref="AJ119:AJ127" si="60">P119</f>
        <v>2007</v>
      </c>
      <c r="AK119" s="233">
        <f t="shared" ref="AK119:AK127" si="61">U119-AI119</f>
        <v>520770570.492818</v>
      </c>
      <c r="AM119" s="116" t="s">
        <v>4245</v>
      </c>
    </row>
    <row r="120" spans="1:39" s="116" customFormat="1" ht="35.25" hidden="1" customHeight="1" x14ac:dyDescent="0.2">
      <c r="A120" s="417">
        <v>3</v>
      </c>
      <c r="B120" s="116" t="str">
        <f t="shared" si="50"/>
        <v>JAKE - KOTO KOMBU</v>
      </c>
      <c r="D120" s="116">
        <v>3</v>
      </c>
      <c r="E120" s="116" t="str">
        <f t="shared" si="48"/>
        <v>3.3</v>
      </c>
      <c r="F120" s="218" t="s">
        <v>2305</v>
      </c>
      <c r="G120" s="53"/>
      <c r="H120" s="67" t="s">
        <v>1178</v>
      </c>
      <c r="I120" s="33" t="s">
        <v>2494</v>
      </c>
      <c r="J120" s="63"/>
      <c r="K120" s="33" t="s">
        <v>835</v>
      </c>
      <c r="L120" s="360">
        <v>3</v>
      </c>
      <c r="M120" s="40">
        <v>4</v>
      </c>
      <c r="N120" s="360">
        <v>12</v>
      </c>
      <c r="O120" s="247" t="s">
        <v>3584</v>
      </c>
      <c r="P120" s="33">
        <v>2007</v>
      </c>
      <c r="Q120" s="40"/>
      <c r="R120" s="40"/>
      <c r="S120" s="40"/>
      <c r="T120" s="40" t="s">
        <v>12</v>
      </c>
      <c r="U120" s="251">
        <v>705972610.72970796</v>
      </c>
      <c r="V120" s="33" t="s">
        <v>43</v>
      </c>
      <c r="W120" s="127"/>
      <c r="X120" s="206" t="str">
        <f t="shared" si="49"/>
        <v>4.13.02</v>
      </c>
      <c r="Y120" s="207" t="str">
        <f t="shared" si="51"/>
        <v>JEMBATAN</v>
      </c>
      <c r="Z120" s="207">
        <f t="shared" si="52"/>
        <v>50</v>
      </c>
      <c r="AA120" s="233">
        <f t="shared" si="53"/>
        <v>14119452.01459416</v>
      </c>
      <c r="AB120" s="208">
        <f>2013-AJ120</f>
        <v>6</v>
      </c>
      <c r="AC120" s="233">
        <f t="shared" si="54"/>
        <v>84716712.08756496</v>
      </c>
      <c r="AD120" s="233">
        <f>IF(U120-10=AC120,0,AA120)</f>
        <v>14119452.01459416</v>
      </c>
      <c r="AE120" s="233">
        <f t="shared" si="55"/>
        <v>14119452.01459416</v>
      </c>
      <c r="AF120" s="233">
        <f t="shared" si="56"/>
        <v>14119452.01459416</v>
      </c>
      <c r="AG120" s="233">
        <f t="shared" si="57"/>
        <v>14119452.01459416</v>
      </c>
      <c r="AH120" s="238">
        <f t="shared" si="58"/>
        <v>14119452.01459416</v>
      </c>
      <c r="AI120" s="238">
        <f t="shared" si="59"/>
        <v>155313972.16053578</v>
      </c>
      <c r="AJ120" s="261">
        <f t="shared" si="60"/>
        <v>2007</v>
      </c>
      <c r="AK120" s="233">
        <f t="shared" si="61"/>
        <v>550658638.56917214</v>
      </c>
      <c r="AM120" s="116" t="s">
        <v>4245</v>
      </c>
    </row>
    <row r="121" spans="1:39" s="116" customFormat="1" ht="35.25" hidden="1" customHeight="1" x14ac:dyDescent="0.2">
      <c r="A121" s="417">
        <v>3</v>
      </c>
      <c r="B121" s="116" t="str">
        <f t="shared" si="50"/>
        <v>JAKE - KOTO KOMBU</v>
      </c>
      <c r="D121" s="116">
        <v>4</v>
      </c>
      <c r="E121" s="116" t="str">
        <f t="shared" si="48"/>
        <v>3.4</v>
      </c>
      <c r="F121" s="218" t="s">
        <v>2304</v>
      </c>
      <c r="G121" s="53"/>
      <c r="H121" s="67" t="s">
        <v>1234</v>
      </c>
      <c r="I121" s="33" t="s">
        <v>2494</v>
      </c>
      <c r="J121" s="63"/>
      <c r="K121" s="33" t="s">
        <v>519</v>
      </c>
      <c r="L121" s="360"/>
      <c r="M121" s="40"/>
      <c r="N121" s="360">
        <v>1000</v>
      </c>
      <c r="O121" s="72" t="s">
        <v>3140</v>
      </c>
      <c r="P121" s="33">
        <v>2011</v>
      </c>
      <c r="Q121" s="40"/>
      <c r="R121" s="40"/>
      <c r="S121" s="40"/>
      <c r="T121" s="40" t="s">
        <v>12</v>
      </c>
      <c r="U121" s="251">
        <v>1722640846.3199999</v>
      </c>
      <c r="V121" s="33" t="s">
        <v>43</v>
      </c>
      <c r="W121" s="127"/>
      <c r="X121" s="206" t="str">
        <f t="shared" si="49"/>
        <v>4.13.01</v>
      </c>
      <c r="Y121" s="207" t="str">
        <f t="shared" si="51"/>
        <v>JALAN</v>
      </c>
      <c r="Z121" s="207">
        <f t="shared" si="52"/>
        <v>10</v>
      </c>
      <c r="AA121" s="233">
        <f t="shared" si="53"/>
        <v>172264083.632</v>
      </c>
      <c r="AB121" s="208">
        <f>2013-AJ121</f>
        <v>2</v>
      </c>
      <c r="AC121" s="233">
        <f t="shared" si="54"/>
        <v>344528167.264</v>
      </c>
      <c r="AD121" s="233">
        <f>IF(U121-10=AC121,0,AA121)</f>
        <v>172264083.632</v>
      </c>
      <c r="AE121" s="233">
        <f t="shared" si="55"/>
        <v>172264083.632</v>
      </c>
      <c r="AF121" s="233">
        <f t="shared" si="56"/>
        <v>172264083.632</v>
      </c>
      <c r="AG121" s="233">
        <f t="shared" si="57"/>
        <v>172264083.632</v>
      </c>
      <c r="AH121" s="238">
        <f t="shared" si="58"/>
        <v>172264083.632</v>
      </c>
      <c r="AI121" s="238">
        <f t="shared" si="59"/>
        <v>1205848585.424</v>
      </c>
      <c r="AJ121" s="261">
        <f t="shared" si="60"/>
        <v>2011</v>
      </c>
      <c r="AK121" s="233">
        <f t="shared" si="61"/>
        <v>516792260.89599991</v>
      </c>
      <c r="AM121" s="116" t="s">
        <v>4245</v>
      </c>
    </row>
    <row r="122" spans="1:39" s="116" customFormat="1" ht="35.25" hidden="1" customHeight="1" x14ac:dyDescent="0.2">
      <c r="A122" s="417">
        <v>3</v>
      </c>
      <c r="B122" s="116" t="str">
        <f t="shared" si="50"/>
        <v>JAKE - KOTO KOMBU</v>
      </c>
      <c r="D122" s="116">
        <v>5</v>
      </c>
      <c r="E122" s="116" t="str">
        <f t="shared" si="48"/>
        <v>3.5</v>
      </c>
      <c r="F122" s="218" t="s">
        <v>2304</v>
      </c>
      <c r="G122" s="53"/>
      <c r="H122" s="67" t="s">
        <v>1272</v>
      </c>
      <c r="I122" s="33" t="s">
        <v>2494</v>
      </c>
      <c r="J122" s="63"/>
      <c r="K122" s="33" t="s">
        <v>519</v>
      </c>
      <c r="L122" s="360"/>
      <c r="M122" s="40"/>
      <c r="N122" s="360"/>
      <c r="O122" s="72" t="s">
        <v>3165</v>
      </c>
      <c r="P122" s="33">
        <v>2012</v>
      </c>
      <c r="Q122" s="40"/>
      <c r="R122" s="40"/>
      <c r="S122" s="40"/>
      <c r="T122" s="40" t="s">
        <v>12</v>
      </c>
      <c r="U122" s="251">
        <v>3375384144</v>
      </c>
      <c r="V122" s="33" t="s">
        <v>43</v>
      </c>
      <c r="W122" s="127"/>
      <c r="X122" s="206" t="str">
        <f t="shared" si="49"/>
        <v>4.13.01</v>
      </c>
      <c r="Y122" s="207" t="str">
        <f t="shared" si="51"/>
        <v>JALAN</v>
      </c>
      <c r="Z122" s="207">
        <f t="shared" si="52"/>
        <v>10</v>
      </c>
      <c r="AA122" s="233">
        <f t="shared" si="53"/>
        <v>337538413.39999998</v>
      </c>
      <c r="AB122" s="208">
        <f>2013-AJ122</f>
        <v>1</v>
      </c>
      <c r="AC122" s="233">
        <f t="shared" si="54"/>
        <v>337538413.39999998</v>
      </c>
      <c r="AD122" s="233">
        <f>IF(U122-10=AC122,0,AA122)</f>
        <v>337538413.39999998</v>
      </c>
      <c r="AE122" s="233">
        <f t="shared" si="55"/>
        <v>337538413.39999998</v>
      </c>
      <c r="AF122" s="233">
        <f t="shared" si="56"/>
        <v>337538413.39999998</v>
      </c>
      <c r="AG122" s="233">
        <f t="shared" si="57"/>
        <v>337538413.39999998</v>
      </c>
      <c r="AH122" s="238">
        <f t="shared" si="58"/>
        <v>337538413.39999998</v>
      </c>
      <c r="AI122" s="238">
        <f t="shared" si="59"/>
        <v>2025230480.4000001</v>
      </c>
      <c r="AJ122" s="261">
        <f t="shared" si="60"/>
        <v>2012</v>
      </c>
      <c r="AK122" s="233">
        <f t="shared" si="61"/>
        <v>1350153663.5999999</v>
      </c>
      <c r="AM122" s="116" t="s">
        <v>4245</v>
      </c>
    </row>
    <row r="123" spans="1:39" s="116" customFormat="1" ht="35.25" hidden="1" customHeight="1" x14ac:dyDescent="0.2">
      <c r="A123" s="417">
        <v>3</v>
      </c>
      <c r="B123" s="116" t="str">
        <f t="shared" si="50"/>
        <v>JAKE - KOTO KOMBU</v>
      </c>
      <c r="D123" s="116">
        <v>6</v>
      </c>
      <c r="E123" s="116" t="str">
        <f t="shared" si="48"/>
        <v>3.6</v>
      </c>
      <c r="F123" s="218" t="s">
        <v>2304</v>
      </c>
      <c r="G123" s="73"/>
      <c r="H123" s="40" t="s">
        <v>1374</v>
      </c>
      <c r="I123" s="65" t="s">
        <v>2494</v>
      </c>
      <c r="J123" s="32"/>
      <c r="K123" s="40"/>
      <c r="L123" s="362">
        <v>20000</v>
      </c>
      <c r="M123" s="40">
        <v>8</v>
      </c>
      <c r="N123" s="367">
        <v>157100</v>
      </c>
      <c r="O123" s="247" t="s">
        <v>623</v>
      </c>
      <c r="P123" s="32">
        <v>2015</v>
      </c>
      <c r="Q123" s="40"/>
      <c r="R123" s="40"/>
      <c r="S123" s="40"/>
      <c r="T123" s="32" t="s">
        <v>12</v>
      </c>
      <c r="U123" s="253">
        <v>2482976673</v>
      </c>
      <c r="V123" s="68"/>
      <c r="W123" s="61"/>
      <c r="X123" s="206" t="str">
        <f t="shared" si="49"/>
        <v>4.13.01</v>
      </c>
      <c r="Y123" s="207" t="str">
        <f t="shared" si="51"/>
        <v>JALAN</v>
      </c>
      <c r="Z123" s="207">
        <f t="shared" si="52"/>
        <v>10</v>
      </c>
      <c r="AA123" s="233">
        <f t="shared" si="53"/>
        <v>248297666.30000001</v>
      </c>
      <c r="AB123" s="208"/>
      <c r="AC123" s="233">
        <f t="shared" si="54"/>
        <v>0</v>
      </c>
      <c r="AD123" s="233"/>
      <c r="AE123" s="233">
        <f t="shared" si="55"/>
        <v>248297666.30000001</v>
      </c>
      <c r="AF123" s="233">
        <f t="shared" si="56"/>
        <v>248297666.30000001</v>
      </c>
      <c r="AG123" s="233">
        <f t="shared" si="57"/>
        <v>248297666.30000001</v>
      </c>
      <c r="AH123" s="238">
        <f t="shared" si="58"/>
        <v>248297666.30000001</v>
      </c>
      <c r="AI123" s="238">
        <f t="shared" si="59"/>
        <v>993190665.20000005</v>
      </c>
      <c r="AJ123" s="261">
        <f t="shared" si="60"/>
        <v>2015</v>
      </c>
      <c r="AK123" s="233">
        <f t="shared" si="61"/>
        <v>1489786007.8</v>
      </c>
      <c r="AM123" s="116" t="s">
        <v>4245</v>
      </c>
    </row>
    <row r="124" spans="1:39" s="116" customFormat="1" ht="35.25" hidden="1" customHeight="1" x14ac:dyDescent="0.2">
      <c r="A124" s="417">
        <v>3</v>
      </c>
      <c r="B124" s="116" t="str">
        <f t="shared" si="50"/>
        <v>JAKE - KOTO KOMBU</v>
      </c>
      <c r="D124" s="116">
        <v>7</v>
      </c>
      <c r="E124" s="116" t="str">
        <f t="shared" si="48"/>
        <v>3.7</v>
      </c>
      <c r="F124" s="218" t="s">
        <v>2304</v>
      </c>
      <c r="G124" s="73"/>
      <c r="H124" s="40" t="s">
        <v>1386</v>
      </c>
      <c r="I124" s="65" t="s">
        <v>2494</v>
      </c>
      <c r="J124" s="32"/>
      <c r="K124" s="40"/>
      <c r="L124" s="362"/>
      <c r="M124" s="40"/>
      <c r="N124" s="367"/>
      <c r="O124" s="72" t="s">
        <v>3140</v>
      </c>
      <c r="P124" s="32">
        <v>2015</v>
      </c>
      <c r="Q124" s="40"/>
      <c r="R124" s="40"/>
      <c r="S124" s="40"/>
      <c r="T124" s="32" t="s">
        <v>12</v>
      </c>
      <c r="U124" s="253">
        <v>6993176545.3037949</v>
      </c>
      <c r="V124" s="68"/>
      <c r="W124" s="61"/>
      <c r="X124" s="206" t="str">
        <f t="shared" si="49"/>
        <v>4.13.01</v>
      </c>
      <c r="Y124" s="207" t="str">
        <f t="shared" si="51"/>
        <v>JALAN</v>
      </c>
      <c r="Z124" s="207">
        <f t="shared" si="52"/>
        <v>10</v>
      </c>
      <c r="AA124" s="233">
        <f t="shared" si="53"/>
        <v>699317653.53037953</v>
      </c>
      <c r="AB124" s="208"/>
      <c r="AC124" s="233">
        <f t="shared" si="54"/>
        <v>0</v>
      </c>
      <c r="AD124" s="233"/>
      <c r="AE124" s="233">
        <f t="shared" si="55"/>
        <v>699317653.53037953</v>
      </c>
      <c r="AF124" s="233">
        <f t="shared" si="56"/>
        <v>699317653.53037953</v>
      </c>
      <c r="AG124" s="233">
        <f t="shared" si="57"/>
        <v>699317653.53037953</v>
      </c>
      <c r="AH124" s="238">
        <f t="shared" si="58"/>
        <v>699317653.53037953</v>
      </c>
      <c r="AI124" s="238">
        <f t="shared" si="59"/>
        <v>2797270614.1215181</v>
      </c>
      <c r="AJ124" s="261">
        <f t="shared" si="60"/>
        <v>2015</v>
      </c>
      <c r="AK124" s="233">
        <f t="shared" si="61"/>
        <v>4195905931.1822767</v>
      </c>
      <c r="AM124" s="116" t="s">
        <v>4245</v>
      </c>
    </row>
    <row r="125" spans="1:39" s="116" customFormat="1" ht="35.25" hidden="1" customHeight="1" x14ac:dyDescent="0.2">
      <c r="A125" s="417">
        <v>3</v>
      </c>
      <c r="B125" s="116" t="str">
        <f t="shared" si="50"/>
        <v>JAKE - KOTO KOMBU</v>
      </c>
      <c r="D125" s="116">
        <v>8</v>
      </c>
      <c r="E125" s="116" t="str">
        <f t="shared" si="48"/>
        <v>3.8</v>
      </c>
      <c r="F125" s="218" t="s">
        <v>2305</v>
      </c>
      <c r="G125" s="73"/>
      <c r="H125" s="40" t="s">
        <v>1404</v>
      </c>
      <c r="I125" s="65" t="s">
        <v>2494</v>
      </c>
      <c r="J125" s="32"/>
      <c r="K125" s="40"/>
      <c r="L125" s="362"/>
      <c r="M125" s="40"/>
      <c r="N125" s="367"/>
      <c r="O125" s="247" t="s">
        <v>3584</v>
      </c>
      <c r="P125" s="32">
        <v>2015</v>
      </c>
      <c r="Q125" s="40"/>
      <c r="R125" s="40"/>
      <c r="S125" s="40"/>
      <c r="T125" s="32" t="s">
        <v>12</v>
      </c>
      <c r="U125" s="253">
        <v>190538964</v>
      </c>
      <c r="V125" s="68"/>
      <c r="W125" s="61"/>
      <c r="X125" s="206" t="str">
        <f t="shared" si="49"/>
        <v>4.13.02</v>
      </c>
      <c r="Y125" s="207" t="str">
        <f t="shared" si="51"/>
        <v>JEMBATAN</v>
      </c>
      <c r="Z125" s="207">
        <f t="shared" si="52"/>
        <v>50</v>
      </c>
      <c r="AA125" s="233">
        <f t="shared" si="53"/>
        <v>3810779.08</v>
      </c>
      <c r="AB125" s="208"/>
      <c r="AC125" s="233">
        <f t="shared" si="54"/>
        <v>0</v>
      </c>
      <c r="AD125" s="233"/>
      <c r="AE125" s="233">
        <f t="shared" si="55"/>
        <v>3810779.08</v>
      </c>
      <c r="AF125" s="233">
        <f t="shared" si="56"/>
        <v>3810779.08</v>
      </c>
      <c r="AG125" s="233">
        <f t="shared" si="57"/>
        <v>3810779.08</v>
      </c>
      <c r="AH125" s="238">
        <f t="shared" si="58"/>
        <v>3810779.08</v>
      </c>
      <c r="AI125" s="238">
        <f t="shared" si="59"/>
        <v>15243116.32</v>
      </c>
      <c r="AJ125" s="261">
        <f t="shared" si="60"/>
        <v>2015</v>
      </c>
      <c r="AK125" s="233">
        <f t="shared" si="61"/>
        <v>175295847.68000001</v>
      </c>
      <c r="AM125" s="116" t="s">
        <v>4245</v>
      </c>
    </row>
    <row r="126" spans="1:39" s="120" customFormat="1" ht="35.25" hidden="1" customHeight="1" x14ac:dyDescent="0.2">
      <c r="A126" s="417">
        <v>3</v>
      </c>
      <c r="B126" s="116" t="str">
        <f t="shared" si="50"/>
        <v>JAKE - KOTO KOMBU</v>
      </c>
      <c r="D126" s="120">
        <v>9</v>
      </c>
      <c r="E126" s="120" t="str">
        <f t="shared" si="48"/>
        <v>3.9</v>
      </c>
      <c r="F126" s="218"/>
      <c r="G126" s="130"/>
      <c r="H126" s="248" t="s">
        <v>3037</v>
      </c>
      <c r="I126" s="184" t="s">
        <v>2494</v>
      </c>
      <c r="J126" s="183"/>
      <c r="K126" s="184"/>
      <c r="L126" s="361"/>
      <c r="M126" s="183"/>
      <c r="N126" s="361"/>
      <c r="O126" s="247" t="s">
        <v>623</v>
      </c>
      <c r="P126" s="184">
        <v>2017</v>
      </c>
      <c r="Q126" s="183"/>
      <c r="R126" s="183"/>
      <c r="S126" s="183"/>
      <c r="T126" s="32" t="s">
        <v>12</v>
      </c>
      <c r="U126" s="256">
        <v>12869362300</v>
      </c>
      <c r="V126" s="68"/>
      <c r="W126" s="61"/>
      <c r="X126" s="206" t="str">
        <f>MID(I126,2,7)</f>
        <v>4.13.01</v>
      </c>
      <c r="Y126" s="207" t="e">
        <f>VLOOKUP(X126,UE,2,0)</f>
        <v>#N/A</v>
      </c>
      <c r="Z126" s="207" t="e">
        <f>VLOOKUP(X126,UE,3,0)</f>
        <v>#N/A</v>
      </c>
      <c r="AA126" s="233" t="e">
        <f t="shared" si="53"/>
        <v>#N/A</v>
      </c>
      <c r="AB126" s="208"/>
      <c r="AC126" s="233"/>
      <c r="AD126" s="233"/>
      <c r="AE126" s="233"/>
      <c r="AF126" s="233"/>
      <c r="AG126" s="233"/>
      <c r="AH126" s="238" t="e">
        <f t="shared" si="58"/>
        <v>#N/A</v>
      </c>
      <c r="AI126" s="238" t="e">
        <f t="shared" si="59"/>
        <v>#N/A</v>
      </c>
      <c r="AJ126" s="261">
        <f t="shared" si="60"/>
        <v>2017</v>
      </c>
      <c r="AK126" s="233" t="e">
        <f t="shared" si="61"/>
        <v>#N/A</v>
      </c>
      <c r="AM126" s="116" t="s">
        <v>4245</v>
      </c>
    </row>
    <row r="127" spans="1:39" s="120" customFormat="1" ht="35.25" hidden="1" customHeight="1" x14ac:dyDescent="0.2">
      <c r="A127" s="116">
        <v>3</v>
      </c>
      <c r="B127" s="116" t="str">
        <f t="shared" si="50"/>
        <v>JAKE - KOTO KOMBU</v>
      </c>
      <c r="D127" s="120">
        <v>10</v>
      </c>
      <c r="E127" s="120" t="str">
        <f t="shared" si="48"/>
        <v>3.10</v>
      </c>
      <c r="F127" s="218"/>
      <c r="G127" s="130"/>
      <c r="H127" s="248" t="s">
        <v>3038</v>
      </c>
      <c r="I127" s="184" t="s">
        <v>2494</v>
      </c>
      <c r="J127" s="183"/>
      <c r="K127" s="184"/>
      <c r="L127" s="361"/>
      <c r="M127" s="183"/>
      <c r="N127" s="361"/>
      <c r="O127" s="247" t="s">
        <v>623</v>
      </c>
      <c r="P127" s="184">
        <v>2017</v>
      </c>
      <c r="Q127" s="183"/>
      <c r="R127" s="183"/>
      <c r="S127" s="183"/>
      <c r="T127" s="32" t="s">
        <v>12</v>
      </c>
      <c r="U127" s="256">
        <v>246620000</v>
      </c>
      <c r="V127" s="68"/>
      <c r="W127" s="61"/>
      <c r="X127" s="206" t="str">
        <f>MID(I127,2,7)</f>
        <v>4.13.01</v>
      </c>
      <c r="Y127" s="207" t="e">
        <f>VLOOKUP(X127,UE,2,0)</f>
        <v>#N/A</v>
      </c>
      <c r="Z127" s="207" t="e">
        <f>VLOOKUP(X127,UE,3,0)</f>
        <v>#N/A</v>
      </c>
      <c r="AA127" s="233" t="e">
        <f t="shared" si="53"/>
        <v>#N/A</v>
      </c>
      <c r="AB127" s="208"/>
      <c r="AC127" s="233"/>
      <c r="AD127" s="233"/>
      <c r="AE127" s="233"/>
      <c r="AF127" s="233"/>
      <c r="AG127" s="233"/>
      <c r="AH127" s="238" t="e">
        <f t="shared" si="58"/>
        <v>#N/A</v>
      </c>
      <c r="AI127" s="238" t="e">
        <f t="shared" si="59"/>
        <v>#N/A</v>
      </c>
      <c r="AJ127" s="261">
        <f t="shared" si="60"/>
        <v>2017</v>
      </c>
      <c r="AK127" s="233" t="e">
        <f t="shared" si="61"/>
        <v>#N/A</v>
      </c>
      <c r="AM127" s="116" t="s">
        <v>4245</v>
      </c>
    </row>
    <row r="128" spans="1:39" s="116" customFormat="1" ht="35.25" hidden="1" customHeight="1" x14ac:dyDescent="0.2">
      <c r="A128" s="116">
        <v>1</v>
      </c>
      <c r="B128" s="116" t="str">
        <f t="shared" si="50"/>
        <v>SEB. TELUK KUANTAN - SEB. BENAI</v>
      </c>
      <c r="D128" s="116">
        <v>1</v>
      </c>
      <c r="E128" s="116" t="str">
        <f>A128&amp;"."&amp;D128</f>
        <v>1.1</v>
      </c>
      <c r="F128" s="218" t="str">
        <f t="shared" si="26"/>
        <v>4.13.01</v>
      </c>
      <c r="G128" s="53"/>
      <c r="H128" s="67" t="s">
        <v>529</v>
      </c>
      <c r="I128" s="33" t="s">
        <v>2494</v>
      </c>
      <c r="J128" s="63"/>
      <c r="K128" s="33" t="s">
        <v>484</v>
      </c>
      <c r="L128" s="360">
        <v>11700</v>
      </c>
      <c r="M128" s="40">
        <v>8</v>
      </c>
      <c r="N128" s="360">
        <v>93600</v>
      </c>
      <c r="O128" s="72" t="s">
        <v>2556</v>
      </c>
      <c r="P128" s="33">
        <v>2001</v>
      </c>
      <c r="Q128" s="40"/>
      <c r="R128" s="40"/>
      <c r="S128" s="40" t="s">
        <v>482</v>
      </c>
      <c r="T128" s="40" t="s">
        <v>12</v>
      </c>
      <c r="U128" s="251">
        <v>4420800000</v>
      </c>
      <c r="V128" s="33" t="s">
        <v>43</v>
      </c>
      <c r="W128" s="127"/>
      <c r="X128" s="206" t="str">
        <f>F128</f>
        <v>4.13.01</v>
      </c>
      <c r="Y128" s="207" t="str">
        <f t="shared" si="24"/>
        <v>JALAN</v>
      </c>
      <c r="Z128" s="207">
        <f t="shared" si="25"/>
        <v>10</v>
      </c>
      <c r="AA128" s="233">
        <f t="shared" si="27"/>
        <v>442079999</v>
      </c>
      <c r="AB128" s="208">
        <f t="shared" si="28"/>
        <v>12</v>
      </c>
      <c r="AC128" s="233">
        <f t="shared" si="29"/>
        <v>4420799990</v>
      </c>
      <c r="AD128" s="233">
        <f t="shared" si="30"/>
        <v>0</v>
      </c>
      <c r="AE128" s="233">
        <f t="shared" si="31"/>
        <v>0</v>
      </c>
      <c r="AF128" s="233">
        <f t="shared" si="32"/>
        <v>0</v>
      </c>
      <c r="AG128" s="233">
        <f t="shared" si="33"/>
        <v>0</v>
      </c>
      <c r="AH128" s="238">
        <f t="shared" si="34"/>
        <v>0</v>
      </c>
      <c r="AI128" s="238">
        <f t="shared" si="35"/>
        <v>4420799990</v>
      </c>
      <c r="AJ128" s="261">
        <f t="shared" si="36"/>
        <v>2001</v>
      </c>
      <c r="AK128" s="233">
        <f t="shared" si="37"/>
        <v>10</v>
      </c>
    </row>
    <row r="129" spans="1:39" s="116" customFormat="1" ht="35.25" hidden="1" customHeight="1" x14ac:dyDescent="0.2">
      <c r="A129" s="116">
        <v>1</v>
      </c>
      <c r="B129" s="116" t="str">
        <f t="shared" si="50"/>
        <v>SEB. TELUK KUANTAN - SEB. BENAI</v>
      </c>
      <c r="D129" s="116">
        <v>2</v>
      </c>
      <c r="E129" s="116" t="str">
        <f>A129&amp;"."&amp;D129</f>
        <v>1.2</v>
      </c>
      <c r="F129" s="218" t="s">
        <v>2304</v>
      </c>
      <c r="G129" s="53"/>
      <c r="H129" s="67" t="s">
        <v>1186</v>
      </c>
      <c r="I129" s="33" t="s">
        <v>2494</v>
      </c>
      <c r="J129" s="63"/>
      <c r="K129" s="33"/>
      <c r="L129" s="360"/>
      <c r="M129" s="40"/>
      <c r="N129" s="360"/>
      <c r="O129" s="72" t="s">
        <v>2556</v>
      </c>
      <c r="P129" s="33">
        <v>2007</v>
      </c>
      <c r="Q129" s="40"/>
      <c r="R129" s="40"/>
      <c r="S129" s="40"/>
      <c r="T129" s="40" t="s">
        <v>12</v>
      </c>
      <c r="U129" s="251">
        <v>1606819122.6242001</v>
      </c>
      <c r="V129" s="33" t="s">
        <v>43</v>
      </c>
      <c r="W129" s="127"/>
      <c r="X129" s="206" t="str">
        <f>F129</f>
        <v>4.13.01</v>
      </c>
      <c r="Y129" s="207" t="str">
        <f>VLOOKUP(X129,kelompok,2,0)</f>
        <v>JALAN</v>
      </c>
      <c r="Z129" s="207">
        <f>VLOOKUP(X129,MASAMANFAAT,4,0)</f>
        <v>10</v>
      </c>
      <c r="AA129" s="233">
        <f>(U129-10)/Z129</f>
        <v>160681911.26242</v>
      </c>
      <c r="AB129" s="208">
        <f>2013-AJ129</f>
        <v>6</v>
      </c>
      <c r="AC129" s="233">
        <f>IF(AB129&gt;Z129,U129-10,AA129*AB129)</f>
        <v>964091467.57451999</v>
      </c>
      <c r="AD129" s="233">
        <f>IF(U129-10=AC129,0,AA129)</f>
        <v>160681911.26242</v>
      </c>
      <c r="AE129" s="233">
        <f>IF(U129-10=AC129+AD129,0,AA129)</f>
        <v>160681911.26242</v>
      </c>
      <c r="AF129" s="233">
        <f>IF(U129-10=AC129+AD129+AE129,0,AA129)</f>
        <v>160681911.26242</v>
      </c>
      <c r="AG129" s="233">
        <f>IF(U129-10=AD129+AE129+AF129+AC129,0,AA129)</f>
        <v>160681911.26242</v>
      </c>
      <c r="AH129" s="238">
        <f>IF(U129-10=AD129+AE129+AF129+AC129+AG129,0,AA129)</f>
        <v>0</v>
      </c>
      <c r="AI129" s="238">
        <f>SUM(AC129:AH129)</f>
        <v>1606819112.6241999</v>
      </c>
      <c r="AJ129" s="261">
        <f>P129</f>
        <v>2007</v>
      </c>
      <c r="AK129" s="233">
        <f>U129-AI129</f>
        <v>10.000000238418579</v>
      </c>
      <c r="AM129" s="116" t="s">
        <v>4245</v>
      </c>
    </row>
    <row r="130" spans="1:39" s="116" customFormat="1" ht="35.25" hidden="1" customHeight="1" x14ac:dyDescent="0.2">
      <c r="A130" s="116">
        <v>1</v>
      </c>
      <c r="B130" s="116" t="str">
        <f t="shared" si="50"/>
        <v>SEB. TELUK KUANTAN - SEB. BENAI</v>
      </c>
      <c r="D130" s="116">
        <v>3</v>
      </c>
      <c r="E130" s="116" t="str">
        <f>A130&amp;"."&amp;D130</f>
        <v>1.3</v>
      </c>
      <c r="F130" s="218" t="s">
        <v>2304</v>
      </c>
      <c r="G130" s="73"/>
      <c r="H130" s="40" t="s">
        <v>1365</v>
      </c>
      <c r="I130" s="65" t="s">
        <v>2494</v>
      </c>
      <c r="J130" s="32"/>
      <c r="K130" s="40"/>
      <c r="L130" s="362"/>
      <c r="M130" s="40"/>
      <c r="N130" s="367"/>
      <c r="O130" s="72" t="s">
        <v>2556</v>
      </c>
      <c r="P130" s="32">
        <v>2015</v>
      </c>
      <c r="Q130" s="40"/>
      <c r="R130" s="40"/>
      <c r="S130" s="40"/>
      <c r="T130" s="32" t="s">
        <v>12</v>
      </c>
      <c r="U130" s="253">
        <v>3147563153</v>
      </c>
      <c r="V130" s="68"/>
      <c r="W130" s="61"/>
      <c r="X130" s="206" t="str">
        <f>F130</f>
        <v>4.13.01</v>
      </c>
      <c r="Y130" s="207" t="str">
        <f>VLOOKUP(X130,kelompok,2,0)</f>
        <v>JALAN</v>
      </c>
      <c r="Z130" s="207">
        <f>VLOOKUP(X130,MASAMANFAAT,4,0)</f>
        <v>10</v>
      </c>
      <c r="AA130" s="233">
        <f>(U130-10)/Z130</f>
        <v>314756314.30000001</v>
      </c>
      <c r="AB130" s="208"/>
      <c r="AC130" s="233">
        <f>IF(AB130&gt;Z130,U130-10,AA130*AB130)</f>
        <v>0</v>
      </c>
      <c r="AD130" s="233"/>
      <c r="AE130" s="233">
        <f>IF(U130-10=AC130+AD130,0,AA130)</f>
        <v>314756314.30000001</v>
      </c>
      <c r="AF130" s="233">
        <f>IF(U130-10=AC130+AD130+AE130,0,AA130)</f>
        <v>314756314.30000001</v>
      </c>
      <c r="AG130" s="233">
        <f>IF(U130-10=AD130+AE130+AF130+AC130,0,AA130)</f>
        <v>314756314.30000001</v>
      </c>
      <c r="AH130" s="238">
        <f>IF(U130-10=AD130+AE130+AF130+AC130+AG130,0,AA130)</f>
        <v>314756314.30000001</v>
      </c>
      <c r="AI130" s="238">
        <f>SUM(AC130:AH130)</f>
        <v>1259025257.2</v>
      </c>
      <c r="AJ130" s="261">
        <f>P130</f>
        <v>2015</v>
      </c>
      <c r="AK130" s="233">
        <f>U130-AI130</f>
        <v>1888537895.8</v>
      </c>
      <c r="AM130" s="116" t="s">
        <v>4245</v>
      </c>
    </row>
    <row r="131" spans="1:39" s="120" customFormat="1" ht="35.25" hidden="1" customHeight="1" x14ac:dyDescent="0.2">
      <c r="A131" s="116">
        <v>1</v>
      </c>
      <c r="B131" s="116" t="str">
        <f t="shared" si="50"/>
        <v>SEB. TELUK KUANTAN - SEB. BENAI</v>
      </c>
      <c r="D131" s="116">
        <v>5</v>
      </c>
      <c r="E131" s="116" t="str">
        <f>A131&amp;"."&amp;D131</f>
        <v>1.5</v>
      </c>
      <c r="F131" s="218"/>
      <c r="G131" s="130"/>
      <c r="H131" s="248" t="s">
        <v>3042</v>
      </c>
      <c r="I131" s="184" t="s">
        <v>2494</v>
      </c>
      <c r="J131" s="183"/>
      <c r="K131" s="184"/>
      <c r="L131" s="361"/>
      <c r="M131" s="183"/>
      <c r="N131" s="361"/>
      <c r="O131" s="72" t="s">
        <v>2556</v>
      </c>
      <c r="P131" s="184">
        <v>2017</v>
      </c>
      <c r="Q131" s="183"/>
      <c r="R131" s="183"/>
      <c r="S131" s="183"/>
      <c r="T131" s="32" t="s">
        <v>12</v>
      </c>
      <c r="U131" s="256">
        <v>2629412299</v>
      </c>
      <c r="V131" s="68"/>
      <c r="W131" s="61"/>
      <c r="X131" s="206" t="str">
        <f>MID(I131,2,7)</f>
        <v>4.13.01</v>
      </c>
      <c r="Y131" s="207" t="e">
        <f>VLOOKUP(X131,UE,2,0)</f>
        <v>#N/A</v>
      </c>
      <c r="Z131" s="207" t="e">
        <f>VLOOKUP(X131,UE,3,0)</f>
        <v>#N/A</v>
      </c>
      <c r="AA131" s="233" t="e">
        <f>(U131-10)/Z131</f>
        <v>#N/A</v>
      </c>
      <c r="AB131" s="208"/>
      <c r="AC131" s="233"/>
      <c r="AD131" s="233"/>
      <c r="AE131" s="233"/>
      <c r="AF131" s="233"/>
      <c r="AG131" s="233"/>
      <c r="AH131" s="238" t="e">
        <f>IF(U131-10=AD131+AE131+AF131+AC131+AG131,0,AA131)</f>
        <v>#N/A</v>
      </c>
      <c r="AI131" s="238" t="e">
        <f>SUM(AC131:AH131)</f>
        <v>#N/A</v>
      </c>
      <c r="AJ131" s="261">
        <f>P131</f>
        <v>2017</v>
      </c>
      <c r="AK131" s="233" t="e">
        <f>U131-AI131</f>
        <v>#N/A</v>
      </c>
      <c r="AM131" s="116" t="s">
        <v>4245</v>
      </c>
    </row>
    <row r="132" spans="1:39" s="120" customFormat="1" ht="35.25" customHeight="1" x14ac:dyDescent="0.2">
      <c r="A132" s="116">
        <v>1</v>
      </c>
      <c r="B132" s="116" t="str">
        <f t="shared" si="50"/>
        <v>SEB. TELUK KUANTAN - SEB. BENAI</v>
      </c>
      <c r="D132" s="116">
        <v>7</v>
      </c>
      <c r="E132" s="116" t="str">
        <f>A132&amp;"."&amp;D132</f>
        <v>1.7</v>
      </c>
      <c r="F132" s="218"/>
      <c r="G132" s="130"/>
      <c r="H132" s="248" t="s">
        <v>3323</v>
      </c>
      <c r="I132" s="184" t="s">
        <v>2494</v>
      </c>
      <c r="J132" s="183"/>
      <c r="K132" s="184"/>
      <c r="L132" s="361"/>
      <c r="M132" s="183"/>
      <c r="N132" s="361"/>
      <c r="O132" s="72" t="s">
        <v>2556</v>
      </c>
      <c r="P132" s="184">
        <v>2018</v>
      </c>
      <c r="Q132" s="183"/>
      <c r="R132" s="183"/>
      <c r="S132" s="183"/>
      <c r="T132" s="32" t="s">
        <v>12</v>
      </c>
      <c r="U132" s="256">
        <v>2395846651</v>
      </c>
      <c r="V132" s="68"/>
      <c r="W132" s="61"/>
      <c r="X132" s="206" t="str">
        <f>MID(I132,2,7)</f>
        <v>4.13.01</v>
      </c>
      <c r="Y132" s="207" t="e">
        <f>VLOOKUP(X132,UE,2,0)</f>
        <v>#N/A</v>
      </c>
      <c r="Z132" s="207" t="e">
        <f>VLOOKUP(X132,UE,3,0)</f>
        <v>#N/A</v>
      </c>
      <c r="AA132" s="233"/>
      <c r="AB132" s="208"/>
      <c r="AC132" s="233"/>
      <c r="AD132" s="233"/>
      <c r="AE132" s="233"/>
      <c r="AF132" s="233"/>
      <c r="AG132" s="233"/>
      <c r="AH132" s="238">
        <f>IF(U132-10=AD132+AE132+AF132+AC132+AG132,0,AA132)</f>
        <v>0</v>
      </c>
      <c r="AI132" s="238">
        <f>SUM(AC132:AH132)</f>
        <v>0</v>
      </c>
      <c r="AJ132" s="261">
        <f>P132</f>
        <v>2018</v>
      </c>
      <c r="AK132" s="233">
        <f>U132-AI132</f>
        <v>2395846651</v>
      </c>
      <c r="AM132" s="116" t="s">
        <v>4245</v>
      </c>
    </row>
    <row r="133" spans="1:39" s="116" customFormat="1" ht="35.25" hidden="1" customHeight="1" x14ac:dyDescent="0.2">
      <c r="B133" s="116" t="e">
        <f t="shared" si="23"/>
        <v>#N/A</v>
      </c>
      <c r="F133" s="218" t="str">
        <f t="shared" si="26"/>
        <v>4.13.01</v>
      </c>
      <c r="G133" s="53"/>
      <c r="H133" s="67" t="s">
        <v>529</v>
      </c>
      <c r="I133" s="33" t="s">
        <v>2494</v>
      </c>
      <c r="J133" s="63"/>
      <c r="K133" s="33" t="s">
        <v>525</v>
      </c>
      <c r="L133" s="360" t="s">
        <v>625</v>
      </c>
      <c r="M133" s="40"/>
      <c r="N133" s="360"/>
      <c r="O133" s="72" t="s">
        <v>626</v>
      </c>
      <c r="P133" s="33">
        <v>2001</v>
      </c>
      <c r="Q133" s="40"/>
      <c r="R133" s="40"/>
      <c r="S133" s="40" t="s">
        <v>482</v>
      </c>
      <c r="T133" s="40" t="s">
        <v>12</v>
      </c>
      <c r="U133" s="251">
        <v>175500000</v>
      </c>
      <c r="V133" s="33" t="s">
        <v>43</v>
      </c>
      <c r="W133" s="127"/>
      <c r="X133" s="206" t="str">
        <f t="shared" ref="X133:X196" si="62">F133</f>
        <v>4.13.01</v>
      </c>
      <c r="Y133" s="207" t="str">
        <f t="shared" si="24"/>
        <v>JALAN</v>
      </c>
      <c r="Z133" s="207">
        <f t="shared" si="25"/>
        <v>10</v>
      </c>
      <c r="AA133" s="233">
        <f t="shared" si="27"/>
        <v>17549999</v>
      </c>
      <c r="AB133" s="208">
        <f t="shared" si="28"/>
        <v>12</v>
      </c>
      <c r="AC133" s="233">
        <f t="shared" si="29"/>
        <v>175499990</v>
      </c>
      <c r="AD133" s="233">
        <f t="shared" si="30"/>
        <v>0</v>
      </c>
      <c r="AE133" s="233">
        <f t="shared" si="31"/>
        <v>0</v>
      </c>
      <c r="AF133" s="233">
        <f t="shared" si="32"/>
        <v>0</v>
      </c>
      <c r="AG133" s="233">
        <f t="shared" si="33"/>
        <v>0</v>
      </c>
      <c r="AH133" s="238">
        <f t="shared" si="34"/>
        <v>0</v>
      </c>
      <c r="AI133" s="238">
        <f t="shared" si="35"/>
        <v>175499990</v>
      </c>
      <c r="AJ133" s="261">
        <f t="shared" si="36"/>
        <v>2001</v>
      </c>
      <c r="AK133" s="233">
        <f t="shared" si="37"/>
        <v>10</v>
      </c>
    </row>
    <row r="134" spans="1:39" s="116" customFormat="1" ht="35.25" hidden="1" customHeight="1" x14ac:dyDescent="0.2">
      <c r="A134" s="116">
        <v>85</v>
      </c>
      <c r="B134" s="116" t="str">
        <f t="shared" si="23"/>
        <v>CENGAR - KOTO BENAI</v>
      </c>
      <c r="D134" s="116">
        <v>1</v>
      </c>
      <c r="E134" s="120" t="str">
        <f t="shared" ref="E134:E153" si="63">A134&amp;"."&amp;D134</f>
        <v>85.1</v>
      </c>
      <c r="F134" s="218" t="str">
        <f t="shared" si="26"/>
        <v>4.13.01</v>
      </c>
      <c r="G134" s="53"/>
      <c r="H134" s="67" t="s">
        <v>529</v>
      </c>
      <c r="I134" s="33" t="s">
        <v>2494</v>
      </c>
      <c r="J134" s="63"/>
      <c r="K134" s="33" t="s">
        <v>8</v>
      </c>
      <c r="L134" s="360">
        <v>60000</v>
      </c>
      <c r="M134" s="40">
        <v>8</v>
      </c>
      <c r="N134" s="360">
        <v>480000</v>
      </c>
      <c r="O134" s="72" t="s">
        <v>627</v>
      </c>
      <c r="P134" s="33">
        <v>2001</v>
      </c>
      <c r="Q134" s="40"/>
      <c r="R134" s="40"/>
      <c r="S134" s="40" t="s">
        <v>482</v>
      </c>
      <c r="T134" s="40" t="s">
        <v>12</v>
      </c>
      <c r="U134" s="251">
        <v>3360000000</v>
      </c>
      <c r="V134" s="33" t="s">
        <v>43</v>
      </c>
      <c r="W134" s="127"/>
      <c r="X134" s="206" t="str">
        <f t="shared" si="62"/>
        <v>4.13.01</v>
      </c>
      <c r="Y134" s="207" t="str">
        <f t="shared" si="24"/>
        <v>JALAN</v>
      </c>
      <c r="Z134" s="207">
        <f t="shared" si="25"/>
        <v>10</v>
      </c>
      <c r="AA134" s="233">
        <f t="shared" si="27"/>
        <v>335999999</v>
      </c>
      <c r="AB134" s="208">
        <f t="shared" si="28"/>
        <v>12</v>
      </c>
      <c r="AC134" s="233">
        <f t="shared" si="29"/>
        <v>3359999990</v>
      </c>
      <c r="AD134" s="233">
        <f t="shared" si="30"/>
        <v>0</v>
      </c>
      <c r="AE134" s="233">
        <f t="shared" si="31"/>
        <v>0</v>
      </c>
      <c r="AF134" s="233">
        <f t="shared" si="32"/>
        <v>0</v>
      </c>
      <c r="AG134" s="233">
        <f t="shared" si="33"/>
        <v>0</v>
      </c>
      <c r="AH134" s="238">
        <f t="shared" si="34"/>
        <v>0</v>
      </c>
      <c r="AI134" s="238">
        <f t="shared" si="35"/>
        <v>3359999990</v>
      </c>
      <c r="AJ134" s="261">
        <f t="shared" si="36"/>
        <v>2001</v>
      </c>
      <c r="AK134" s="233">
        <f t="shared" si="37"/>
        <v>10</v>
      </c>
    </row>
    <row r="135" spans="1:39" s="116" customFormat="1" ht="35.25" hidden="1" customHeight="1" x14ac:dyDescent="0.2">
      <c r="A135" s="116">
        <v>86</v>
      </c>
      <c r="B135" s="116" t="str">
        <f t="shared" si="23"/>
        <v>PANTAI - AIR BULUH</v>
      </c>
      <c r="D135" s="116">
        <v>1</v>
      </c>
      <c r="E135" s="120" t="str">
        <f t="shared" si="63"/>
        <v>86.1</v>
      </c>
      <c r="F135" s="218" t="str">
        <f t="shared" si="26"/>
        <v>4.13.01</v>
      </c>
      <c r="G135" s="53"/>
      <c r="H135" s="67" t="s">
        <v>529</v>
      </c>
      <c r="I135" s="33" t="s">
        <v>2494</v>
      </c>
      <c r="J135" s="63"/>
      <c r="K135" s="33" t="s">
        <v>484</v>
      </c>
      <c r="L135" s="360">
        <v>5000</v>
      </c>
      <c r="M135" s="40">
        <v>7</v>
      </c>
      <c r="N135" s="360">
        <v>35000</v>
      </c>
      <c r="O135" s="72" t="s">
        <v>628</v>
      </c>
      <c r="P135" s="33">
        <v>2001</v>
      </c>
      <c r="Q135" s="40"/>
      <c r="R135" s="40"/>
      <c r="S135" s="40" t="s">
        <v>482</v>
      </c>
      <c r="T135" s="40" t="s">
        <v>12</v>
      </c>
      <c r="U135" s="251">
        <v>2080000000</v>
      </c>
      <c r="V135" s="33" t="s">
        <v>43</v>
      </c>
      <c r="W135" s="127"/>
      <c r="X135" s="206" t="str">
        <f t="shared" si="62"/>
        <v>4.13.01</v>
      </c>
      <c r="Y135" s="207" t="str">
        <f t="shared" si="24"/>
        <v>JALAN</v>
      </c>
      <c r="Z135" s="207">
        <f t="shared" si="25"/>
        <v>10</v>
      </c>
      <c r="AA135" s="233">
        <f t="shared" si="27"/>
        <v>207999999</v>
      </c>
      <c r="AB135" s="208">
        <f t="shared" si="28"/>
        <v>12</v>
      </c>
      <c r="AC135" s="233">
        <f t="shared" si="29"/>
        <v>2079999990</v>
      </c>
      <c r="AD135" s="233">
        <f t="shared" si="30"/>
        <v>0</v>
      </c>
      <c r="AE135" s="233">
        <f t="shared" si="31"/>
        <v>0</v>
      </c>
      <c r="AF135" s="233">
        <f t="shared" si="32"/>
        <v>0</v>
      </c>
      <c r="AG135" s="233">
        <f t="shared" si="33"/>
        <v>0</v>
      </c>
      <c r="AH135" s="238">
        <f t="shared" si="34"/>
        <v>0</v>
      </c>
      <c r="AI135" s="238">
        <f t="shared" si="35"/>
        <v>2079999990</v>
      </c>
      <c r="AJ135" s="261">
        <f t="shared" si="36"/>
        <v>2001</v>
      </c>
      <c r="AK135" s="233">
        <f t="shared" si="37"/>
        <v>10</v>
      </c>
    </row>
    <row r="136" spans="1:39" s="116" customFormat="1" ht="35.25" hidden="1" customHeight="1" x14ac:dyDescent="0.2">
      <c r="A136" s="116">
        <v>299</v>
      </c>
      <c r="B136" s="116" t="str">
        <f t="shared" si="23"/>
        <v>BANJAR NAN TIGO - PASAR INUMAN</v>
      </c>
      <c r="D136" s="116">
        <v>1</v>
      </c>
      <c r="E136" s="116" t="str">
        <f t="shared" si="63"/>
        <v>299.1</v>
      </c>
      <c r="F136" s="218" t="str">
        <f t="shared" si="26"/>
        <v>4.13.01</v>
      </c>
      <c r="G136" s="53"/>
      <c r="H136" s="67" t="s">
        <v>529</v>
      </c>
      <c r="I136" s="33" t="s">
        <v>2494</v>
      </c>
      <c r="J136" s="63"/>
      <c r="K136" s="33" t="s">
        <v>484</v>
      </c>
      <c r="L136" s="360" t="s">
        <v>508</v>
      </c>
      <c r="M136" s="40">
        <v>7</v>
      </c>
      <c r="N136" s="360">
        <v>9100</v>
      </c>
      <c r="O136" s="72" t="s">
        <v>629</v>
      </c>
      <c r="P136" s="33">
        <v>2001</v>
      </c>
      <c r="Q136" s="40"/>
      <c r="R136" s="40"/>
      <c r="S136" s="40" t="s">
        <v>482</v>
      </c>
      <c r="T136" s="40" t="s">
        <v>12</v>
      </c>
      <c r="U136" s="251">
        <v>980850000</v>
      </c>
      <c r="V136" s="33" t="s">
        <v>43</v>
      </c>
      <c r="W136" s="127"/>
      <c r="X136" s="206" t="str">
        <f t="shared" si="62"/>
        <v>4.13.01</v>
      </c>
      <c r="Y136" s="207" t="str">
        <f t="shared" si="24"/>
        <v>JALAN</v>
      </c>
      <c r="Z136" s="207">
        <f t="shared" si="25"/>
        <v>10</v>
      </c>
      <c r="AA136" s="233">
        <f t="shared" si="27"/>
        <v>98084999</v>
      </c>
      <c r="AB136" s="208">
        <f t="shared" si="28"/>
        <v>12</v>
      </c>
      <c r="AC136" s="233">
        <f t="shared" si="29"/>
        <v>980849990</v>
      </c>
      <c r="AD136" s="233">
        <f t="shared" si="30"/>
        <v>0</v>
      </c>
      <c r="AE136" s="233">
        <f t="shared" si="31"/>
        <v>0</v>
      </c>
      <c r="AF136" s="233">
        <f t="shared" si="32"/>
        <v>0</v>
      </c>
      <c r="AG136" s="233">
        <f t="shared" si="33"/>
        <v>0</v>
      </c>
      <c r="AH136" s="238">
        <f t="shared" si="34"/>
        <v>0</v>
      </c>
      <c r="AI136" s="238">
        <f t="shared" si="35"/>
        <v>980849990</v>
      </c>
      <c r="AJ136" s="261">
        <f t="shared" si="36"/>
        <v>2001</v>
      </c>
      <c r="AK136" s="233">
        <f t="shared" si="37"/>
        <v>10</v>
      </c>
    </row>
    <row r="137" spans="1:39" s="116" customFormat="1" ht="35.25" hidden="1" customHeight="1" x14ac:dyDescent="0.2">
      <c r="A137" s="116">
        <v>301</v>
      </c>
      <c r="B137" s="116" t="str">
        <f t="shared" si="23"/>
        <v>INUMAN - BEDENG</v>
      </c>
      <c r="D137" s="116">
        <v>1</v>
      </c>
      <c r="E137" s="116" t="str">
        <f t="shared" si="63"/>
        <v>301.1</v>
      </c>
      <c r="F137" s="218" t="str">
        <f t="shared" si="26"/>
        <v>4.13.01</v>
      </c>
      <c r="G137" s="53"/>
      <c r="H137" s="67" t="s">
        <v>529</v>
      </c>
      <c r="I137" s="33" t="s">
        <v>2494</v>
      </c>
      <c r="J137" s="63"/>
      <c r="K137" s="33" t="s">
        <v>8</v>
      </c>
      <c r="L137" s="360" t="s">
        <v>488</v>
      </c>
      <c r="M137" s="40"/>
      <c r="N137" s="360"/>
      <c r="O137" s="72" t="s">
        <v>630</v>
      </c>
      <c r="P137" s="33">
        <v>2001</v>
      </c>
      <c r="Q137" s="40"/>
      <c r="R137" s="40"/>
      <c r="S137" s="40" t="s">
        <v>482</v>
      </c>
      <c r="T137" s="40" t="s">
        <v>12</v>
      </c>
      <c r="U137" s="251">
        <v>506250000</v>
      </c>
      <c r="V137" s="33" t="s">
        <v>135</v>
      </c>
      <c r="W137" s="127"/>
      <c r="X137" s="206" t="str">
        <f t="shared" si="62"/>
        <v>4.13.01</v>
      </c>
      <c r="Y137" s="207" t="str">
        <f t="shared" si="24"/>
        <v>JALAN</v>
      </c>
      <c r="Z137" s="207">
        <f t="shared" si="25"/>
        <v>10</v>
      </c>
      <c r="AA137" s="233">
        <f t="shared" si="27"/>
        <v>50624999</v>
      </c>
      <c r="AB137" s="208">
        <f t="shared" si="28"/>
        <v>12</v>
      </c>
      <c r="AC137" s="233">
        <f t="shared" si="29"/>
        <v>506249990</v>
      </c>
      <c r="AD137" s="233">
        <f t="shared" si="30"/>
        <v>0</v>
      </c>
      <c r="AE137" s="233">
        <f t="shared" si="31"/>
        <v>0</v>
      </c>
      <c r="AF137" s="233">
        <f t="shared" si="32"/>
        <v>0</v>
      </c>
      <c r="AG137" s="233">
        <f t="shared" si="33"/>
        <v>0</v>
      </c>
      <c r="AH137" s="238">
        <f t="shared" si="34"/>
        <v>0</v>
      </c>
      <c r="AI137" s="238">
        <f t="shared" si="35"/>
        <v>506249990</v>
      </c>
      <c r="AJ137" s="261">
        <f t="shared" si="36"/>
        <v>2001</v>
      </c>
      <c r="AK137" s="233">
        <f t="shared" si="37"/>
        <v>10</v>
      </c>
    </row>
    <row r="138" spans="1:39" s="116" customFormat="1" ht="35.25" hidden="1" customHeight="1" x14ac:dyDescent="0.2">
      <c r="A138" s="116">
        <v>296</v>
      </c>
      <c r="B138" s="116" t="str">
        <f t="shared" si="23"/>
        <v>INUMAN - PULAU BUSUK</v>
      </c>
      <c r="D138" s="116">
        <v>1</v>
      </c>
      <c r="E138" s="116" t="str">
        <f t="shared" si="63"/>
        <v>296.1</v>
      </c>
      <c r="F138" s="218" t="str">
        <f t="shared" si="26"/>
        <v>4.13.01</v>
      </c>
      <c r="G138" s="53"/>
      <c r="H138" s="67" t="s">
        <v>529</v>
      </c>
      <c r="I138" s="33" t="s">
        <v>2494</v>
      </c>
      <c r="J138" s="63"/>
      <c r="K138" s="33" t="s">
        <v>484</v>
      </c>
      <c r="L138" s="360">
        <v>3300</v>
      </c>
      <c r="M138" s="40"/>
      <c r="N138" s="360"/>
      <c r="O138" s="72" t="s">
        <v>3081</v>
      </c>
      <c r="P138" s="33">
        <v>2001</v>
      </c>
      <c r="Q138" s="40"/>
      <c r="R138" s="40"/>
      <c r="S138" s="40" t="s">
        <v>482</v>
      </c>
      <c r="T138" s="40" t="s">
        <v>12</v>
      </c>
      <c r="U138" s="251">
        <v>1108800000</v>
      </c>
      <c r="V138" s="33" t="s">
        <v>43</v>
      </c>
      <c r="W138" s="127"/>
      <c r="X138" s="206" t="str">
        <f t="shared" si="62"/>
        <v>4.13.01</v>
      </c>
      <c r="Y138" s="207" t="str">
        <f t="shared" si="24"/>
        <v>JALAN</v>
      </c>
      <c r="Z138" s="207">
        <f t="shared" si="25"/>
        <v>10</v>
      </c>
      <c r="AA138" s="233">
        <f t="shared" si="27"/>
        <v>110879999</v>
      </c>
      <c r="AB138" s="208">
        <f t="shared" si="28"/>
        <v>12</v>
      </c>
      <c r="AC138" s="233">
        <f t="shared" si="29"/>
        <v>1108799990</v>
      </c>
      <c r="AD138" s="233">
        <f t="shared" si="30"/>
        <v>0</v>
      </c>
      <c r="AE138" s="233">
        <f t="shared" si="31"/>
        <v>0</v>
      </c>
      <c r="AF138" s="233">
        <f t="shared" si="32"/>
        <v>0</v>
      </c>
      <c r="AG138" s="233">
        <f t="shared" si="33"/>
        <v>0</v>
      </c>
      <c r="AH138" s="238">
        <f t="shared" si="34"/>
        <v>0</v>
      </c>
      <c r="AI138" s="238">
        <f t="shared" si="35"/>
        <v>1108799990</v>
      </c>
      <c r="AJ138" s="261">
        <f t="shared" si="36"/>
        <v>2001</v>
      </c>
      <c r="AK138" s="233">
        <f t="shared" si="37"/>
        <v>10</v>
      </c>
    </row>
    <row r="139" spans="1:39" s="116" customFormat="1" ht="35.25" hidden="1" customHeight="1" x14ac:dyDescent="0.2">
      <c r="A139" s="116">
        <v>308</v>
      </c>
      <c r="B139" s="116" t="str">
        <f t="shared" si="23"/>
        <v>JL. DESA PULAU SIPAN - PL. PANJANG HULU</v>
      </c>
      <c r="D139" s="116">
        <v>1</v>
      </c>
      <c r="E139" s="116" t="str">
        <f t="shared" si="63"/>
        <v>308.1</v>
      </c>
      <c r="F139" s="218" t="str">
        <f t="shared" si="26"/>
        <v>4.13.01</v>
      </c>
      <c r="G139" s="53"/>
      <c r="H139" s="67" t="s">
        <v>529</v>
      </c>
      <c r="I139" s="33" t="s">
        <v>2494</v>
      </c>
      <c r="J139" s="63"/>
      <c r="K139" s="33" t="s">
        <v>484</v>
      </c>
      <c r="L139" s="360" t="s">
        <v>555</v>
      </c>
      <c r="M139" s="40">
        <v>7</v>
      </c>
      <c r="N139" s="360">
        <v>23800</v>
      </c>
      <c r="O139" s="72" t="s">
        <v>631</v>
      </c>
      <c r="P139" s="33">
        <v>2001</v>
      </c>
      <c r="Q139" s="40"/>
      <c r="R139" s="40"/>
      <c r="S139" s="40" t="s">
        <v>482</v>
      </c>
      <c r="T139" s="40" t="s">
        <v>12</v>
      </c>
      <c r="U139" s="251">
        <v>1142400000</v>
      </c>
      <c r="V139" s="33" t="s">
        <v>43</v>
      </c>
      <c r="W139" s="127"/>
      <c r="X139" s="206" t="str">
        <f t="shared" si="62"/>
        <v>4.13.01</v>
      </c>
      <c r="Y139" s="207" t="str">
        <f t="shared" si="24"/>
        <v>JALAN</v>
      </c>
      <c r="Z139" s="207">
        <f t="shared" si="25"/>
        <v>10</v>
      </c>
      <c r="AA139" s="233">
        <f t="shared" si="27"/>
        <v>114239999</v>
      </c>
      <c r="AB139" s="208">
        <f t="shared" si="28"/>
        <v>12</v>
      </c>
      <c r="AC139" s="233">
        <f t="shared" si="29"/>
        <v>1142399990</v>
      </c>
      <c r="AD139" s="233">
        <f t="shared" si="30"/>
        <v>0</v>
      </c>
      <c r="AE139" s="233">
        <f t="shared" si="31"/>
        <v>0</v>
      </c>
      <c r="AF139" s="233">
        <f t="shared" si="32"/>
        <v>0</v>
      </c>
      <c r="AG139" s="233">
        <f t="shared" si="33"/>
        <v>0</v>
      </c>
      <c r="AH139" s="238">
        <f t="shared" si="34"/>
        <v>0</v>
      </c>
      <c r="AI139" s="238">
        <f t="shared" si="35"/>
        <v>1142399990</v>
      </c>
      <c r="AJ139" s="261">
        <f t="shared" si="36"/>
        <v>2001</v>
      </c>
      <c r="AK139" s="233">
        <f t="shared" si="37"/>
        <v>10</v>
      </c>
    </row>
    <row r="140" spans="1:39" s="116" customFormat="1" ht="35.25" hidden="1" customHeight="1" x14ac:dyDescent="0.2">
      <c r="A140" s="116">
        <v>307</v>
      </c>
      <c r="B140" s="116" t="str">
        <f t="shared" si="23"/>
        <v>JL. DESA PL. PANJANG - PL. PANJANG HILIR</v>
      </c>
      <c r="D140" s="116">
        <v>1</v>
      </c>
      <c r="E140" s="116" t="str">
        <f t="shared" si="63"/>
        <v>307.1</v>
      </c>
      <c r="F140" s="218" t="str">
        <f t="shared" si="26"/>
        <v>4.13.01</v>
      </c>
      <c r="G140" s="53"/>
      <c r="H140" s="67" t="s">
        <v>529</v>
      </c>
      <c r="I140" s="33" t="s">
        <v>2494</v>
      </c>
      <c r="J140" s="63"/>
      <c r="K140" s="33" t="s">
        <v>8</v>
      </c>
      <c r="L140" s="360" t="s">
        <v>632</v>
      </c>
      <c r="M140" s="40">
        <v>7</v>
      </c>
      <c r="N140" s="360">
        <v>16800</v>
      </c>
      <c r="O140" s="72" t="s">
        <v>633</v>
      </c>
      <c r="P140" s="33">
        <v>2001</v>
      </c>
      <c r="Q140" s="40"/>
      <c r="R140" s="40"/>
      <c r="S140" s="40" t="s">
        <v>482</v>
      </c>
      <c r="T140" s="40" t="s">
        <v>12</v>
      </c>
      <c r="U140" s="251">
        <v>913733028</v>
      </c>
      <c r="V140" s="33" t="s">
        <v>43</v>
      </c>
      <c r="W140" s="127"/>
      <c r="X140" s="206" t="str">
        <f t="shared" si="62"/>
        <v>4.13.01</v>
      </c>
      <c r="Y140" s="207" t="str">
        <f t="shared" si="24"/>
        <v>JALAN</v>
      </c>
      <c r="Z140" s="207">
        <f t="shared" si="25"/>
        <v>10</v>
      </c>
      <c r="AA140" s="233">
        <f t="shared" si="27"/>
        <v>91373301.799999997</v>
      </c>
      <c r="AB140" s="208">
        <f t="shared" si="28"/>
        <v>12</v>
      </c>
      <c r="AC140" s="233">
        <f t="shared" si="29"/>
        <v>913733018</v>
      </c>
      <c r="AD140" s="233">
        <f t="shared" si="30"/>
        <v>0</v>
      </c>
      <c r="AE140" s="233">
        <f t="shared" si="31"/>
        <v>0</v>
      </c>
      <c r="AF140" s="233">
        <f t="shared" si="32"/>
        <v>0</v>
      </c>
      <c r="AG140" s="233">
        <f t="shared" si="33"/>
        <v>0</v>
      </c>
      <c r="AH140" s="238">
        <f t="shared" si="34"/>
        <v>0</v>
      </c>
      <c r="AI140" s="238">
        <f t="shared" si="35"/>
        <v>913733018</v>
      </c>
      <c r="AJ140" s="261">
        <f t="shared" si="36"/>
        <v>2001</v>
      </c>
      <c r="AK140" s="233">
        <f t="shared" si="37"/>
        <v>10</v>
      </c>
    </row>
    <row r="141" spans="1:39" s="116" customFormat="1" ht="35.25" hidden="1" customHeight="1" x14ac:dyDescent="0.2">
      <c r="A141" s="116">
        <v>307</v>
      </c>
      <c r="B141" s="116" t="str">
        <f>VLOOKUP(A141,RUAS,2,0)</f>
        <v>JL. DESA PL. PANJANG - PL. PANJANG HILIR</v>
      </c>
      <c r="D141" s="116">
        <v>2</v>
      </c>
      <c r="E141" s="116" t="str">
        <f t="shared" si="63"/>
        <v>307.2</v>
      </c>
      <c r="F141" s="218" t="s">
        <v>2304</v>
      </c>
      <c r="G141" s="73"/>
      <c r="H141" s="40" t="s">
        <v>1428</v>
      </c>
      <c r="I141" s="65" t="s">
        <v>2494</v>
      </c>
      <c r="J141" s="32"/>
      <c r="K141" s="40"/>
      <c r="L141" s="362"/>
      <c r="M141" s="40"/>
      <c r="N141" s="367"/>
      <c r="O141" s="33" t="s">
        <v>3251</v>
      </c>
      <c r="P141" s="32">
        <v>2015</v>
      </c>
      <c r="Q141" s="40"/>
      <c r="R141" s="40"/>
      <c r="S141" s="40"/>
      <c r="T141" s="32" t="s">
        <v>12</v>
      </c>
      <c r="U141" s="253">
        <v>191639680</v>
      </c>
      <c r="V141" s="68"/>
      <c r="W141" s="61"/>
      <c r="X141" s="206" t="str">
        <f t="shared" si="62"/>
        <v>4.13.01</v>
      </c>
      <c r="Y141" s="207" t="str">
        <f>VLOOKUP(X141,kelompok,2,0)</f>
        <v>JALAN</v>
      </c>
      <c r="Z141" s="207">
        <f>VLOOKUP(X141,MASAMANFAAT,4,0)</f>
        <v>10</v>
      </c>
      <c r="AA141" s="233">
        <f>(U141-10)/Z141</f>
        <v>19163967</v>
      </c>
      <c r="AB141" s="208"/>
      <c r="AC141" s="233">
        <f>IF(AB141&gt;Z141,U141-10,AA141*AB141)</f>
        <v>0</v>
      </c>
      <c r="AD141" s="233"/>
      <c r="AE141" s="233">
        <f>IF(U141-10=AC141+AD141,0,AA141)</f>
        <v>19163967</v>
      </c>
      <c r="AF141" s="233">
        <f>IF(U141-10=AC141+AD141+AE141,0,AA141)</f>
        <v>19163967</v>
      </c>
      <c r="AG141" s="233">
        <f>IF(U141-10=AD141+AE141+AF141+AC141,0,AA141)</f>
        <v>19163967</v>
      </c>
      <c r="AH141" s="238">
        <f>IF(U141-10=AD141+AE141+AF141+AC141+AG141,0,AA141)</f>
        <v>19163967</v>
      </c>
      <c r="AI141" s="238">
        <f>SUM(AC141:AH141)</f>
        <v>76655868</v>
      </c>
      <c r="AJ141" s="261">
        <f>P141</f>
        <v>2015</v>
      </c>
      <c r="AK141" s="233">
        <f>U141-AI141</f>
        <v>114983812</v>
      </c>
      <c r="AM141" s="116" t="s">
        <v>4245</v>
      </c>
    </row>
    <row r="142" spans="1:39" s="116" customFormat="1" ht="35.25" hidden="1" customHeight="1" x14ac:dyDescent="0.2">
      <c r="A142" s="116">
        <v>161</v>
      </c>
      <c r="B142" s="116" t="str">
        <f t="shared" si="23"/>
        <v>KOTO RAJO - PL. JAMBU</v>
      </c>
      <c r="D142" s="116">
        <v>1</v>
      </c>
      <c r="E142" s="116" t="str">
        <f t="shared" si="63"/>
        <v>161.1</v>
      </c>
      <c r="F142" s="218" t="str">
        <f t="shared" si="26"/>
        <v>4.13.01</v>
      </c>
      <c r="G142" s="53"/>
      <c r="H142" s="67" t="s">
        <v>1140</v>
      </c>
      <c r="I142" s="33" t="s">
        <v>2494</v>
      </c>
      <c r="J142" s="63"/>
      <c r="K142" s="33" t="s">
        <v>479</v>
      </c>
      <c r="L142" s="360">
        <v>2300</v>
      </c>
      <c r="M142" s="40"/>
      <c r="N142" s="360"/>
      <c r="O142" s="72" t="s">
        <v>3082</v>
      </c>
      <c r="P142" s="33">
        <v>2001</v>
      </c>
      <c r="Q142" s="40"/>
      <c r="R142" s="40"/>
      <c r="S142" s="40" t="s">
        <v>482</v>
      </c>
      <c r="T142" s="40" t="s">
        <v>12</v>
      </c>
      <c r="U142" s="251">
        <v>15371093732.342295</v>
      </c>
      <c r="V142" s="33" t="s">
        <v>43</v>
      </c>
      <c r="W142" s="127"/>
      <c r="X142" s="206" t="str">
        <f t="shared" si="62"/>
        <v>4.13.01</v>
      </c>
      <c r="Y142" s="207" t="str">
        <f t="shared" si="24"/>
        <v>JALAN</v>
      </c>
      <c r="Z142" s="207">
        <f t="shared" si="25"/>
        <v>10</v>
      </c>
      <c r="AA142" s="233">
        <f t="shared" si="27"/>
        <v>1537109372.2342296</v>
      </c>
      <c r="AB142" s="208">
        <f t="shared" si="28"/>
        <v>12</v>
      </c>
      <c r="AC142" s="233">
        <f t="shared" si="29"/>
        <v>15371093722.342295</v>
      </c>
      <c r="AD142" s="233">
        <f t="shared" si="30"/>
        <v>0</v>
      </c>
      <c r="AE142" s="233">
        <f t="shared" si="31"/>
        <v>0</v>
      </c>
      <c r="AF142" s="233">
        <f t="shared" si="32"/>
        <v>0</v>
      </c>
      <c r="AG142" s="233">
        <f t="shared" si="33"/>
        <v>0</v>
      </c>
      <c r="AH142" s="238">
        <f t="shared" si="34"/>
        <v>0</v>
      </c>
      <c r="AI142" s="238">
        <f t="shared" si="35"/>
        <v>15371093722.342295</v>
      </c>
      <c r="AJ142" s="261">
        <f t="shared" si="36"/>
        <v>2001</v>
      </c>
      <c r="AK142" s="233">
        <f t="shared" si="37"/>
        <v>10</v>
      </c>
    </row>
    <row r="143" spans="1:39" s="116" customFormat="1" ht="35.25" hidden="1" customHeight="1" x14ac:dyDescent="0.2">
      <c r="A143" s="116">
        <v>161</v>
      </c>
      <c r="B143" s="116" t="str">
        <f>VLOOKUP(A143,RUAS,2,0)</f>
        <v>KOTO RAJO - PL. JAMBU</v>
      </c>
      <c r="D143" s="116">
        <v>2</v>
      </c>
      <c r="E143" s="116" t="str">
        <f t="shared" si="63"/>
        <v>161.2</v>
      </c>
      <c r="F143" s="218" t="s">
        <v>2304</v>
      </c>
      <c r="G143" s="73"/>
      <c r="H143" s="40" t="s">
        <v>1368</v>
      </c>
      <c r="I143" s="65" t="s">
        <v>2494</v>
      </c>
      <c r="J143" s="32"/>
      <c r="K143" s="40"/>
      <c r="L143" s="362"/>
      <c r="M143" s="40"/>
      <c r="N143" s="367"/>
      <c r="O143" s="33" t="s">
        <v>3082</v>
      </c>
      <c r="P143" s="32">
        <v>2015</v>
      </c>
      <c r="Q143" s="40"/>
      <c r="R143" s="40"/>
      <c r="S143" s="40"/>
      <c r="T143" s="32" t="s">
        <v>12</v>
      </c>
      <c r="U143" s="253">
        <v>2122086666</v>
      </c>
      <c r="V143" s="68"/>
      <c r="W143" s="61"/>
      <c r="X143" s="206" t="str">
        <f t="shared" si="62"/>
        <v>4.13.01</v>
      </c>
      <c r="Y143" s="207" t="str">
        <f>VLOOKUP(X143,kelompok,2,0)</f>
        <v>JALAN</v>
      </c>
      <c r="Z143" s="207">
        <f>VLOOKUP(X143,MASAMANFAAT,4,0)</f>
        <v>10</v>
      </c>
      <c r="AA143" s="233">
        <f>(U143-10)/Z143</f>
        <v>212208665.59999999</v>
      </c>
      <c r="AB143" s="208"/>
      <c r="AC143" s="233">
        <f>IF(AB143&gt;Z143,U143-10,AA143*AB143)</f>
        <v>0</v>
      </c>
      <c r="AD143" s="233"/>
      <c r="AE143" s="233">
        <f>IF(U143-10=AC143+AD143,0,AA143)</f>
        <v>212208665.59999999</v>
      </c>
      <c r="AF143" s="233">
        <f>IF(U143-10=AC143+AD143+AE143,0,AA143)</f>
        <v>212208665.59999999</v>
      </c>
      <c r="AG143" s="233">
        <f>IF(U143-10=AD143+AE143+AF143+AC143,0,AA143)</f>
        <v>212208665.59999999</v>
      </c>
      <c r="AH143" s="238">
        <f>IF(U143-10=AD143+AE143+AF143+AC143+AG143,0,AA143)</f>
        <v>212208665.59999999</v>
      </c>
      <c r="AI143" s="238">
        <f>SUM(AC143:AH143)</f>
        <v>848834662.39999998</v>
      </c>
      <c r="AJ143" s="261">
        <f>P143</f>
        <v>2015</v>
      </c>
      <c r="AK143" s="233">
        <f>U143-AI143</f>
        <v>1273252003.5999999</v>
      </c>
      <c r="AM143" s="116" t="s">
        <v>4245</v>
      </c>
    </row>
    <row r="144" spans="1:39" s="116" customFormat="1" ht="35.25" hidden="1" customHeight="1" x14ac:dyDescent="0.2">
      <c r="A144" s="116">
        <v>161</v>
      </c>
      <c r="B144" s="116" t="str">
        <f>VLOOKUP(A144,RUAS,2,0)</f>
        <v>KOTO RAJO - PL. JAMBU</v>
      </c>
      <c r="D144" s="116">
        <v>3</v>
      </c>
      <c r="E144" s="116" t="str">
        <f t="shared" si="63"/>
        <v>161.3</v>
      </c>
      <c r="F144" s="218" t="s">
        <v>2304</v>
      </c>
      <c r="G144" s="73"/>
      <c r="H144" s="40" t="s">
        <v>1388</v>
      </c>
      <c r="I144" s="65" t="s">
        <v>2494</v>
      </c>
      <c r="J144" s="32"/>
      <c r="K144" s="40"/>
      <c r="L144" s="362"/>
      <c r="M144" s="40"/>
      <c r="N144" s="367"/>
      <c r="O144" s="33" t="s">
        <v>3082</v>
      </c>
      <c r="P144" s="32">
        <v>2015</v>
      </c>
      <c r="Q144" s="40"/>
      <c r="R144" s="40"/>
      <c r="S144" s="40"/>
      <c r="T144" s="32" t="s">
        <v>12</v>
      </c>
      <c r="U144" s="253">
        <v>6147420832.6300564</v>
      </c>
      <c r="V144" s="68"/>
      <c r="W144" s="61"/>
      <c r="X144" s="206" t="str">
        <f t="shared" si="62"/>
        <v>4.13.01</v>
      </c>
      <c r="Y144" s="207" t="str">
        <f>VLOOKUP(X144,kelompok,2,0)</f>
        <v>JALAN</v>
      </c>
      <c r="Z144" s="207">
        <f>VLOOKUP(X144,MASAMANFAAT,4,0)</f>
        <v>10</v>
      </c>
      <c r="AA144" s="233">
        <f>(U144-10)/Z144</f>
        <v>614742082.26300561</v>
      </c>
      <c r="AB144" s="208"/>
      <c r="AC144" s="233">
        <f>IF(AB144&gt;Z144,U144-10,AA144*AB144)</f>
        <v>0</v>
      </c>
      <c r="AD144" s="233"/>
      <c r="AE144" s="233">
        <f>IF(U144-10=AC144+AD144,0,AA144)</f>
        <v>614742082.26300561</v>
      </c>
      <c r="AF144" s="233">
        <f>IF(U144-10=AC144+AD144+AE144,0,AA144)</f>
        <v>614742082.26300561</v>
      </c>
      <c r="AG144" s="233">
        <f>IF(U144-10=AD144+AE144+AF144+AC144,0,AA144)</f>
        <v>614742082.26300561</v>
      </c>
      <c r="AH144" s="238">
        <f>IF(U144-10=AD144+AE144+AF144+AC144+AG144,0,AA144)</f>
        <v>614742082.26300561</v>
      </c>
      <c r="AI144" s="238">
        <f>SUM(AC144:AH144)</f>
        <v>2458968329.0520225</v>
      </c>
      <c r="AJ144" s="261">
        <f>P144</f>
        <v>2015</v>
      </c>
      <c r="AK144" s="233">
        <f>U144-AI144</f>
        <v>3688452503.5780339</v>
      </c>
      <c r="AM144" s="116" t="s">
        <v>4245</v>
      </c>
    </row>
    <row r="145" spans="1:39" s="116" customFormat="1" ht="35.25" hidden="1" customHeight="1" x14ac:dyDescent="0.2">
      <c r="A145" s="116">
        <v>161</v>
      </c>
      <c r="B145" s="116" t="str">
        <f>VLOOKUP(A145,RUAS,2,0)</f>
        <v>KOTO RAJO - PL. JAMBU</v>
      </c>
      <c r="D145" s="116">
        <v>4</v>
      </c>
      <c r="E145" s="116" t="str">
        <f t="shared" si="63"/>
        <v>161.4</v>
      </c>
      <c r="F145" s="218" t="s">
        <v>2304</v>
      </c>
      <c r="G145" s="73"/>
      <c r="H145" s="129" t="s">
        <v>1455</v>
      </c>
      <c r="I145" s="65" t="s">
        <v>2494</v>
      </c>
      <c r="J145" s="32"/>
      <c r="K145" s="40"/>
      <c r="L145" s="362"/>
      <c r="M145" s="40"/>
      <c r="N145" s="367"/>
      <c r="O145" s="33" t="s">
        <v>3082</v>
      </c>
      <c r="P145" s="32">
        <v>2016</v>
      </c>
      <c r="Q145" s="40"/>
      <c r="R145" s="40"/>
      <c r="S145" s="40"/>
      <c r="T145" s="32" t="s">
        <v>12</v>
      </c>
      <c r="U145" s="253">
        <v>4070073728.3230543</v>
      </c>
      <c r="V145" s="68"/>
      <c r="W145" s="61"/>
      <c r="X145" s="206" t="str">
        <f t="shared" si="62"/>
        <v>4.13.01</v>
      </c>
      <c r="Y145" s="207" t="str">
        <f>VLOOKUP(X145,kelompok,2,0)</f>
        <v>JALAN</v>
      </c>
      <c r="Z145" s="207">
        <f>VLOOKUP(X145,MASAMANFAAT,4,0)</f>
        <v>10</v>
      </c>
      <c r="AA145" s="233">
        <f>(U145-10)/Z145</f>
        <v>407007371.83230543</v>
      </c>
      <c r="AB145" s="208"/>
      <c r="AC145" s="233">
        <f>IF(AB145&gt;Z145,U145-10,AA145*AB145)</f>
        <v>0</v>
      </c>
      <c r="AD145" s="233"/>
      <c r="AE145" s="233"/>
      <c r="AF145" s="233">
        <f>IF(U145-10=AC145+AD145+AE145,0,AA145)</f>
        <v>407007371.83230543</v>
      </c>
      <c r="AG145" s="233">
        <f>IF(U145-10=AD145+AE145+AF145+AC145,0,AA145)</f>
        <v>407007371.83230543</v>
      </c>
      <c r="AH145" s="238">
        <f>IF(U145-10=AD145+AE145+AF145+AC145+AG145,0,AA145)</f>
        <v>407007371.83230543</v>
      </c>
      <c r="AI145" s="238">
        <f>SUM(AC145:AH145)</f>
        <v>1221022115.4969163</v>
      </c>
      <c r="AJ145" s="261">
        <f>P145</f>
        <v>2016</v>
      </c>
      <c r="AK145" s="233">
        <f>U145-AI145</f>
        <v>2849051612.826138</v>
      </c>
      <c r="AM145" s="116" t="s">
        <v>4245</v>
      </c>
    </row>
    <row r="146" spans="1:39" s="116" customFormat="1" ht="35.25" hidden="1" customHeight="1" x14ac:dyDescent="0.2">
      <c r="A146" s="116">
        <v>180</v>
      </c>
      <c r="B146" s="116" t="str">
        <f t="shared" si="23"/>
        <v>TUGU PULAI - PAUH ANGIT</v>
      </c>
      <c r="D146" s="116">
        <v>1</v>
      </c>
      <c r="E146" s="116" t="str">
        <f t="shared" si="63"/>
        <v>180.1</v>
      </c>
      <c r="F146" s="218" t="str">
        <f t="shared" si="26"/>
        <v>4.13.01</v>
      </c>
      <c r="G146" s="53"/>
      <c r="H146" s="67" t="s">
        <v>529</v>
      </c>
      <c r="I146" s="33" t="s">
        <v>2494</v>
      </c>
      <c r="J146" s="63"/>
      <c r="K146" s="33" t="s">
        <v>479</v>
      </c>
      <c r="L146" s="360">
        <v>2800</v>
      </c>
      <c r="M146" s="40">
        <v>7</v>
      </c>
      <c r="N146" s="360">
        <v>19600</v>
      </c>
      <c r="O146" s="72" t="s">
        <v>634</v>
      </c>
      <c r="P146" s="33">
        <v>2001</v>
      </c>
      <c r="Q146" s="40"/>
      <c r="R146" s="40"/>
      <c r="S146" s="40" t="s">
        <v>482</v>
      </c>
      <c r="T146" s="40" t="s">
        <v>12</v>
      </c>
      <c r="U146" s="251">
        <v>2058000000</v>
      </c>
      <c r="V146" s="33" t="s">
        <v>43</v>
      </c>
      <c r="W146" s="127"/>
      <c r="X146" s="206" t="str">
        <f t="shared" si="62"/>
        <v>4.13.01</v>
      </c>
      <c r="Y146" s="207" t="str">
        <f t="shared" si="24"/>
        <v>JALAN</v>
      </c>
      <c r="Z146" s="207">
        <f t="shared" si="25"/>
        <v>10</v>
      </c>
      <c r="AA146" s="233">
        <f t="shared" si="27"/>
        <v>205799999</v>
      </c>
      <c r="AB146" s="208">
        <f t="shared" si="28"/>
        <v>12</v>
      </c>
      <c r="AC146" s="233">
        <f t="shared" si="29"/>
        <v>2057999990</v>
      </c>
      <c r="AD146" s="233">
        <f t="shared" si="30"/>
        <v>0</v>
      </c>
      <c r="AE146" s="233">
        <f t="shared" si="31"/>
        <v>0</v>
      </c>
      <c r="AF146" s="233">
        <f t="shared" si="32"/>
        <v>0</v>
      </c>
      <c r="AG146" s="233">
        <f t="shared" si="33"/>
        <v>0</v>
      </c>
      <c r="AH146" s="238">
        <f t="shared" si="34"/>
        <v>0</v>
      </c>
      <c r="AI146" s="238">
        <f t="shared" si="35"/>
        <v>2057999990</v>
      </c>
      <c r="AJ146" s="261">
        <f t="shared" si="36"/>
        <v>2001</v>
      </c>
      <c r="AK146" s="233">
        <f t="shared" si="37"/>
        <v>10</v>
      </c>
    </row>
    <row r="147" spans="1:39" s="116" customFormat="1" ht="35.25" hidden="1" customHeight="1" x14ac:dyDescent="0.2">
      <c r="A147" s="116">
        <v>310</v>
      </c>
      <c r="B147" s="116" t="str">
        <f t="shared" si="23"/>
        <v>INUMAN (JL. RAPP) - SITUGAL</v>
      </c>
      <c r="D147" s="116">
        <v>1</v>
      </c>
      <c r="E147" s="116" t="str">
        <f t="shared" si="63"/>
        <v>310.1</v>
      </c>
      <c r="F147" s="218" t="str">
        <f t="shared" si="26"/>
        <v>4.13.01</v>
      </c>
      <c r="G147" s="53"/>
      <c r="H147" s="67" t="s">
        <v>529</v>
      </c>
      <c r="I147" s="33" t="s">
        <v>2494</v>
      </c>
      <c r="J147" s="63"/>
      <c r="K147" s="33" t="s">
        <v>484</v>
      </c>
      <c r="L147" s="360">
        <v>65000</v>
      </c>
      <c r="M147" s="40">
        <v>7</v>
      </c>
      <c r="N147" s="360">
        <v>455000</v>
      </c>
      <c r="O147" s="72" t="s">
        <v>635</v>
      </c>
      <c r="P147" s="33">
        <v>2001</v>
      </c>
      <c r="Q147" s="40"/>
      <c r="R147" s="40"/>
      <c r="S147" s="40" t="s">
        <v>482</v>
      </c>
      <c r="T147" s="40" t="s">
        <v>12</v>
      </c>
      <c r="U147" s="251">
        <v>2016000000</v>
      </c>
      <c r="V147" s="33" t="s">
        <v>135</v>
      </c>
      <c r="W147" s="127"/>
      <c r="X147" s="206" t="str">
        <f t="shared" si="62"/>
        <v>4.13.01</v>
      </c>
      <c r="Y147" s="207" t="str">
        <f t="shared" si="24"/>
        <v>JALAN</v>
      </c>
      <c r="Z147" s="207">
        <f t="shared" si="25"/>
        <v>10</v>
      </c>
      <c r="AA147" s="233">
        <f t="shared" si="27"/>
        <v>201599999</v>
      </c>
      <c r="AB147" s="208">
        <f t="shared" si="28"/>
        <v>12</v>
      </c>
      <c r="AC147" s="233">
        <f t="shared" si="29"/>
        <v>2015999990</v>
      </c>
      <c r="AD147" s="233">
        <f t="shared" si="30"/>
        <v>0</v>
      </c>
      <c r="AE147" s="233">
        <f t="shared" si="31"/>
        <v>0</v>
      </c>
      <c r="AF147" s="233">
        <f t="shared" si="32"/>
        <v>0</v>
      </c>
      <c r="AG147" s="233">
        <f t="shared" si="33"/>
        <v>0</v>
      </c>
      <c r="AH147" s="238">
        <f t="shared" si="34"/>
        <v>0</v>
      </c>
      <c r="AI147" s="238">
        <f t="shared" si="35"/>
        <v>2015999990</v>
      </c>
      <c r="AJ147" s="261">
        <f t="shared" si="36"/>
        <v>2001</v>
      </c>
      <c r="AK147" s="233">
        <f t="shared" si="37"/>
        <v>10</v>
      </c>
    </row>
    <row r="148" spans="1:39" s="116" customFormat="1" ht="35.25" hidden="1" customHeight="1" x14ac:dyDescent="0.2">
      <c r="A148" s="116">
        <v>309</v>
      </c>
      <c r="B148" s="116" t="str">
        <f t="shared" si="23"/>
        <v>JL. DESA SIGARUNTANG - JK RUAS 208/208</v>
      </c>
      <c r="D148" s="116">
        <v>1</v>
      </c>
      <c r="E148" s="116" t="str">
        <f t="shared" si="63"/>
        <v>309.1</v>
      </c>
      <c r="F148" s="218" t="str">
        <f t="shared" si="26"/>
        <v>4.13.01</v>
      </c>
      <c r="G148" s="53"/>
      <c r="H148" s="67" t="s">
        <v>529</v>
      </c>
      <c r="I148" s="33" t="s">
        <v>2494</v>
      </c>
      <c r="J148" s="63"/>
      <c r="K148" s="33" t="s">
        <v>484</v>
      </c>
      <c r="L148" s="360" t="s">
        <v>501</v>
      </c>
      <c r="M148" s="40">
        <v>7</v>
      </c>
      <c r="N148" s="360">
        <v>24500</v>
      </c>
      <c r="O148" s="72" t="s">
        <v>636</v>
      </c>
      <c r="P148" s="33">
        <v>2001</v>
      </c>
      <c r="Q148" s="40"/>
      <c r="R148" s="40"/>
      <c r="S148" s="40" t="s">
        <v>482</v>
      </c>
      <c r="T148" s="40" t="s">
        <v>12</v>
      </c>
      <c r="U148" s="251">
        <v>1176000000</v>
      </c>
      <c r="V148" s="33" t="s">
        <v>43</v>
      </c>
      <c r="W148" s="127"/>
      <c r="X148" s="206" t="str">
        <f t="shared" si="62"/>
        <v>4.13.01</v>
      </c>
      <c r="Y148" s="207" t="str">
        <f t="shared" si="24"/>
        <v>JALAN</v>
      </c>
      <c r="Z148" s="207">
        <f t="shared" si="25"/>
        <v>10</v>
      </c>
      <c r="AA148" s="233">
        <f t="shared" si="27"/>
        <v>117599999</v>
      </c>
      <c r="AB148" s="208">
        <f t="shared" si="28"/>
        <v>12</v>
      </c>
      <c r="AC148" s="233">
        <f t="shared" si="29"/>
        <v>1175999990</v>
      </c>
      <c r="AD148" s="233">
        <f t="shared" si="30"/>
        <v>0</v>
      </c>
      <c r="AE148" s="233">
        <f t="shared" si="31"/>
        <v>0</v>
      </c>
      <c r="AF148" s="233">
        <f t="shared" si="32"/>
        <v>0</v>
      </c>
      <c r="AG148" s="233">
        <f t="shared" si="33"/>
        <v>0</v>
      </c>
      <c r="AH148" s="238">
        <f t="shared" si="34"/>
        <v>0</v>
      </c>
      <c r="AI148" s="238">
        <f t="shared" si="35"/>
        <v>1175999990</v>
      </c>
      <c r="AJ148" s="261">
        <f t="shared" si="36"/>
        <v>2001</v>
      </c>
      <c r="AK148" s="233">
        <f t="shared" si="37"/>
        <v>10</v>
      </c>
    </row>
    <row r="149" spans="1:39" s="116" customFormat="1" ht="35.25" hidden="1" customHeight="1" x14ac:dyDescent="0.2">
      <c r="A149" s="417">
        <v>164</v>
      </c>
      <c r="B149" s="417" t="str">
        <f t="shared" si="23"/>
        <v>PANGEAN - BATAS PELALAWAN</v>
      </c>
      <c r="D149" s="116">
        <v>1</v>
      </c>
      <c r="E149" s="1" t="str">
        <f t="shared" si="63"/>
        <v>164.1</v>
      </c>
      <c r="F149" s="218" t="str">
        <f t="shared" si="26"/>
        <v>4.13.01</v>
      </c>
      <c r="G149" s="53"/>
      <c r="H149" s="67" t="s">
        <v>529</v>
      </c>
      <c r="I149" s="33" t="s">
        <v>2494</v>
      </c>
      <c r="J149" s="63"/>
      <c r="K149" s="33" t="s">
        <v>479</v>
      </c>
      <c r="L149" s="360" t="s">
        <v>637</v>
      </c>
      <c r="M149" s="40"/>
      <c r="N149" s="360"/>
      <c r="O149" s="72" t="s">
        <v>638</v>
      </c>
      <c r="P149" s="33">
        <v>2001</v>
      </c>
      <c r="Q149" s="40"/>
      <c r="R149" s="40"/>
      <c r="S149" s="40" t="s">
        <v>482</v>
      </c>
      <c r="T149" s="40" t="s">
        <v>12</v>
      </c>
      <c r="U149" s="251">
        <v>1848000000</v>
      </c>
      <c r="V149" s="33" t="s">
        <v>43</v>
      </c>
      <c r="W149" s="127"/>
      <c r="X149" s="206" t="str">
        <f t="shared" si="62"/>
        <v>4.13.01</v>
      </c>
      <c r="Y149" s="207" t="str">
        <f t="shared" si="24"/>
        <v>JALAN</v>
      </c>
      <c r="Z149" s="207">
        <f t="shared" si="25"/>
        <v>10</v>
      </c>
      <c r="AA149" s="233">
        <f t="shared" si="27"/>
        <v>184799999</v>
      </c>
      <c r="AB149" s="208">
        <f t="shared" si="28"/>
        <v>12</v>
      </c>
      <c r="AC149" s="233">
        <f t="shared" si="29"/>
        <v>1847999990</v>
      </c>
      <c r="AD149" s="233">
        <f t="shared" si="30"/>
        <v>0</v>
      </c>
      <c r="AE149" s="233">
        <f t="shared" si="31"/>
        <v>0</v>
      </c>
      <c r="AF149" s="233">
        <f t="shared" si="32"/>
        <v>0</v>
      </c>
      <c r="AG149" s="233">
        <f t="shared" si="33"/>
        <v>0</v>
      </c>
      <c r="AH149" s="238">
        <f t="shared" si="34"/>
        <v>0</v>
      </c>
      <c r="AI149" s="238">
        <f t="shared" si="35"/>
        <v>1847999990</v>
      </c>
      <c r="AJ149" s="261">
        <f t="shared" si="36"/>
        <v>2001</v>
      </c>
      <c r="AK149" s="233">
        <f t="shared" si="37"/>
        <v>10</v>
      </c>
    </row>
    <row r="150" spans="1:39" s="116" customFormat="1" ht="35.25" hidden="1" customHeight="1" x14ac:dyDescent="0.2">
      <c r="A150" s="116">
        <v>165</v>
      </c>
      <c r="B150" s="116" t="str">
        <f t="shared" si="23"/>
        <v>SAKO - TRANS SKP II</v>
      </c>
      <c r="D150" s="116">
        <v>1</v>
      </c>
      <c r="E150" s="116" t="str">
        <f t="shared" si="63"/>
        <v>165.1</v>
      </c>
      <c r="F150" s="218" t="str">
        <f t="shared" si="26"/>
        <v>4.13.01</v>
      </c>
      <c r="G150" s="53"/>
      <c r="H150" s="67" t="s">
        <v>529</v>
      </c>
      <c r="I150" s="33" t="s">
        <v>2494</v>
      </c>
      <c r="J150" s="63"/>
      <c r="K150" s="33" t="s">
        <v>479</v>
      </c>
      <c r="L150" s="360" t="s">
        <v>639</v>
      </c>
      <c r="M150" s="40"/>
      <c r="N150" s="360"/>
      <c r="O150" s="72" t="s">
        <v>640</v>
      </c>
      <c r="P150" s="33">
        <v>2001</v>
      </c>
      <c r="Q150" s="40"/>
      <c r="R150" s="40"/>
      <c r="S150" s="40" t="s">
        <v>482</v>
      </c>
      <c r="T150" s="40" t="s">
        <v>12</v>
      </c>
      <c r="U150" s="251">
        <v>4200000000</v>
      </c>
      <c r="V150" s="33" t="s">
        <v>135</v>
      </c>
      <c r="W150" s="127"/>
      <c r="X150" s="206" t="str">
        <f t="shared" si="62"/>
        <v>4.13.01</v>
      </c>
      <c r="Y150" s="207" t="str">
        <f t="shared" si="24"/>
        <v>JALAN</v>
      </c>
      <c r="Z150" s="207">
        <f t="shared" si="25"/>
        <v>10</v>
      </c>
      <c r="AA150" s="233">
        <f t="shared" si="27"/>
        <v>419999999</v>
      </c>
      <c r="AB150" s="208">
        <f t="shared" si="28"/>
        <v>12</v>
      </c>
      <c r="AC150" s="233">
        <f t="shared" si="29"/>
        <v>4199999990</v>
      </c>
      <c r="AD150" s="233">
        <f t="shared" si="30"/>
        <v>0</v>
      </c>
      <c r="AE150" s="233">
        <f t="shared" si="31"/>
        <v>0</v>
      </c>
      <c r="AF150" s="233">
        <f t="shared" si="32"/>
        <v>0</v>
      </c>
      <c r="AG150" s="233">
        <f t="shared" si="33"/>
        <v>0</v>
      </c>
      <c r="AH150" s="238">
        <f t="shared" si="34"/>
        <v>0</v>
      </c>
      <c r="AI150" s="238">
        <f t="shared" si="35"/>
        <v>4199999990</v>
      </c>
      <c r="AJ150" s="261">
        <f t="shared" si="36"/>
        <v>2001</v>
      </c>
      <c r="AK150" s="233">
        <f t="shared" si="37"/>
        <v>10</v>
      </c>
    </row>
    <row r="151" spans="1:39" s="116" customFormat="1" ht="35.25" hidden="1" customHeight="1" x14ac:dyDescent="0.2">
      <c r="A151" s="116">
        <v>165</v>
      </c>
      <c r="B151" s="116" t="str">
        <f t="shared" si="23"/>
        <v>SAKO - TRANS SKP II</v>
      </c>
      <c r="D151" s="116">
        <v>2</v>
      </c>
      <c r="E151" s="116" t="str">
        <f t="shared" si="63"/>
        <v>165.2</v>
      </c>
      <c r="F151" s="218" t="str">
        <f t="shared" si="26"/>
        <v>4.13.01</v>
      </c>
      <c r="G151" s="53"/>
      <c r="H151" s="67" t="s">
        <v>529</v>
      </c>
      <c r="I151" s="33" t="s">
        <v>2494</v>
      </c>
      <c r="J151" s="63"/>
      <c r="K151" s="33" t="s">
        <v>484</v>
      </c>
      <c r="L151" s="360" t="s">
        <v>639</v>
      </c>
      <c r="M151" s="40"/>
      <c r="N151" s="360"/>
      <c r="O151" s="72" t="s">
        <v>640</v>
      </c>
      <c r="P151" s="33">
        <v>2001</v>
      </c>
      <c r="Q151" s="40"/>
      <c r="R151" s="40"/>
      <c r="S151" s="40" t="s">
        <v>482</v>
      </c>
      <c r="T151" s="40" t="s">
        <v>12</v>
      </c>
      <c r="U151" s="251">
        <v>4992000000</v>
      </c>
      <c r="V151" s="33" t="s">
        <v>43</v>
      </c>
      <c r="W151" s="127"/>
      <c r="X151" s="206" t="str">
        <f t="shared" si="62"/>
        <v>4.13.01</v>
      </c>
      <c r="Y151" s="207" t="str">
        <f t="shared" si="24"/>
        <v>JALAN</v>
      </c>
      <c r="Z151" s="207">
        <f t="shared" si="25"/>
        <v>10</v>
      </c>
      <c r="AA151" s="233">
        <f t="shared" si="27"/>
        <v>499199999</v>
      </c>
      <c r="AB151" s="208">
        <f t="shared" si="28"/>
        <v>12</v>
      </c>
      <c r="AC151" s="233">
        <f t="shared" si="29"/>
        <v>4991999990</v>
      </c>
      <c r="AD151" s="233">
        <f t="shared" si="30"/>
        <v>0</v>
      </c>
      <c r="AE151" s="233">
        <f t="shared" si="31"/>
        <v>0</v>
      </c>
      <c r="AF151" s="233">
        <f t="shared" si="32"/>
        <v>0</v>
      </c>
      <c r="AG151" s="233">
        <f t="shared" si="33"/>
        <v>0</v>
      </c>
      <c r="AH151" s="238">
        <f t="shared" si="34"/>
        <v>0</v>
      </c>
      <c r="AI151" s="238">
        <f t="shared" si="35"/>
        <v>4991999990</v>
      </c>
      <c r="AJ151" s="261">
        <f t="shared" si="36"/>
        <v>2001</v>
      </c>
      <c r="AK151" s="233">
        <f t="shared" si="37"/>
        <v>10</v>
      </c>
      <c r="AM151" s="116" t="s">
        <v>4245</v>
      </c>
    </row>
    <row r="152" spans="1:39" s="116" customFormat="1" ht="35.25" hidden="1" customHeight="1" x14ac:dyDescent="0.2">
      <c r="A152" s="116">
        <v>233</v>
      </c>
      <c r="B152" s="116" t="str">
        <f t="shared" si="23"/>
        <v>SP. KEBUN LADO - SEI. SIRIH</v>
      </c>
      <c r="D152" s="116">
        <v>1</v>
      </c>
      <c r="E152" s="116" t="str">
        <f t="shared" si="63"/>
        <v>233.1</v>
      </c>
      <c r="F152" s="218" t="str">
        <f t="shared" si="26"/>
        <v>4.13.01</v>
      </c>
      <c r="G152" s="53"/>
      <c r="H152" s="67" t="s">
        <v>529</v>
      </c>
      <c r="I152" s="33" t="s">
        <v>2494</v>
      </c>
      <c r="J152" s="63"/>
      <c r="K152" s="33" t="s">
        <v>479</v>
      </c>
      <c r="L152" s="360" t="s">
        <v>641</v>
      </c>
      <c r="M152" s="40">
        <v>8</v>
      </c>
      <c r="N152" s="360">
        <v>28000</v>
      </c>
      <c r="O152" s="72" t="s">
        <v>642</v>
      </c>
      <c r="P152" s="33">
        <v>2001</v>
      </c>
      <c r="Q152" s="40"/>
      <c r="R152" s="40"/>
      <c r="S152" s="40" t="s">
        <v>482</v>
      </c>
      <c r="T152" s="40" t="s">
        <v>12</v>
      </c>
      <c r="U152" s="251">
        <v>8400000000</v>
      </c>
      <c r="V152" s="33" t="s">
        <v>43</v>
      </c>
      <c r="W152" s="127"/>
      <c r="X152" s="206" t="str">
        <f t="shared" si="62"/>
        <v>4.13.01</v>
      </c>
      <c r="Y152" s="207" t="str">
        <f t="shared" si="24"/>
        <v>JALAN</v>
      </c>
      <c r="Z152" s="207">
        <f t="shared" si="25"/>
        <v>10</v>
      </c>
      <c r="AA152" s="233">
        <f t="shared" si="27"/>
        <v>839999999</v>
      </c>
      <c r="AB152" s="208">
        <f t="shared" si="28"/>
        <v>12</v>
      </c>
      <c r="AC152" s="233">
        <f t="shared" si="29"/>
        <v>8399999990</v>
      </c>
      <c r="AD152" s="233">
        <f t="shared" si="30"/>
        <v>0</v>
      </c>
      <c r="AE152" s="233">
        <f t="shared" si="31"/>
        <v>0</v>
      </c>
      <c r="AF152" s="233">
        <f t="shared" si="32"/>
        <v>0</v>
      </c>
      <c r="AG152" s="233">
        <f t="shared" si="33"/>
        <v>0</v>
      </c>
      <c r="AH152" s="238">
        <f t="shared" si="34"/>
        <v>0</v>
      </c>
      <c r="AI152" s="238">
        <f t="shared" si="35"/>
        <v>8399999990</v>
      </c>
      <c r="AJ152" s="261">
        <f t="shared" si="36"/>
        <v>2001</v>
      </c>
      <c r="AK152" s="233">
        <f t="shared" si="37"/>
        <v>10</v>
      </c>
    </row>
    <row r="153" spans="1:39" s="116" customFormat="1" ht="35.25" hidden="1" customHeight="1" x14ac:dyDescent="0.2">
      <c r="A153" s="116">
        <v>197</v>
      </c>
      <c r="B153" s="116" t="str">
        <f t="shared" si="23"/>
        <v>LOGAS - AIR MAS</v>
      </c>
      <c r="D153" s="116">
        <v>1</v>
      </c>
      <c r="E153" s="116" t="str">
        <f t="shared" si="63"/>
        <v>197.1</v>
      </c>
      <c r="F153" s="218" t="str">
        <f t="shared" si="26"/>
        <v>4.13.01</v>
      </c>
      <c r="G153" s="53"/>
      <c r="H153" s="67" t="s">
        <v>529</v>
      </c>
      <c r="I153" s="33" t="s">
        <v>2494</v>
      </c>
      <c r="J153" s="63"/>
      <c r="K153" s="33" t="s">
        <v>479</v>
      </c>
      <c r="L153" s="360">
        <v>14000</v>
      </c>
      <c r="M153" s="40">
        <v>8</v>
      </c>
      <c r="N153" s="360">
        <v>112000</v>
      </c>
      <c r="O153" s="72" t="s">
        <v>643</v>
      </c>
      <c r="P153" s="33">
        <v>2001</v>
      </c>
      <c r="Q153" s="40"/>
      <c r="R153" s="40"/>
      <c r="S153" s="40" t="s">
        <v>482</v>
      </c>
      <c r="T153" s="40" t="s">
        <v>12</v>
      </c>
      <c r="U153" s="251">
        <v>12022715750</v>
      </c>
      <c r="V153" s="33" t="s">
        <v>135</v>
      </c>
      <c r="W153" s="127"/>
      <c r="X153" s="206" t="str">
        <f t="shared" si="62"/>
        <v>4.13.01</v>
      </c>
      <c r="Y153" s="207" t="str">
        <f t="shared" si="24"/>
        <v>JALAN</v>
      </c>
      <c r="Z153" s="207">
        <f t="shared" si="25"/>
        <v>10</v>
      </c>
      <c r="AA153" s="233">
        <f t="shared" si="27"/>
        <v>1202271574</v>
      </c>
      <c r="AB153" s="208">
        <f t="shared" si="28"/>
        <v>12</v>
      </c>
      <c r="AC153" s="233">
        <f t="shared" si="29"/>
        <v>12022715740</v>
      </c>
      <c r="AD153" s="233">
        <f t="shared" si="30"/>
        <v>0</v>
      </c>
      <c r="AE153" s="233">
        <f t="shared" si="31"/>
        <v>0</v>
      </c>
      <c r="AF153" s="233">
        <f t="shared" si="32"/>
        <v>0</v>
      </c>
      <c r="AG153" s="233">
        <f t="shared" si="33"/>
        <v>0</v>
      </c>
      <c r="AH153" s="238">
        <f t="shared" si="34"/>
        <v>0</v>
      </c>
      <c r="AI153" s="238">
        <f t="shared" si="35"/>
        <v>12022715740</v>
      </c>
      <c r="AJ153" s="261">
        <f t="shared" si="36"/>
        <v>2001</v>
      </c>
      <c r="AK153" s="233">
        <f t="shared" si="37"/>
        <v>10</v>
      </c>
    </row>
    <row r="154" spans="1:39" s="116" customFormat="1" ht="35.25" hidden="1" customHeight="1" x14ac:dyDescent="0.2">
      <c r="B154" s="116" t="e">
        <f t="shared" si="23"/>
        <v>#N/A</v>
      </c>
      <c r="F154" s="218" t="str">
        <f t="shared" si="26"/>
        <v>4.13.01</v>
      </c>
      <c r="G154" s="53"/>
      <c r="H154" s="67" t="s">
        <v>529</v>
      </c>
      <c r="I154" s="33" t="s">
        <v>2494</v>
      </c>
      <c r="J154" s="63"/>
      <c r="K154" s="33" t="s">
        <v>503</v>
      </c>
      <c r="L154" s="360" t="s">
        <v>48</v>
      </c>
      <c r="M154" s="40"/>
      <c r="N154" s="360"/>
      <c r="O154" s="72" t="s">
        <v>644</v>
      </c>
      <c r="P154" s="33">
        <v>2001</v>
      </c>
      <c r="Q154" s="40"/>
      <c r="R154" s="40"/>
      <c r="S154" s="40" t="s">
        <v>482</v>
      </c>
      <c r="T154" s="40" t="s">
        <v>12</v>
      </c>
      <c r="U154" s="251">
        <v>1300000000</v>
      </c>
      <c r="V154" s="33" t="s">
        <v>43</v>
      </c>
      <c r="W154" s="127"/>
      <c r="X154" s="206" t="str">
        <f t="shared" si="62"/>
        <v>4.13.01</v>
      </c>
      <c r="Y154" s="207" t="str">
        <f t="shared" si="24"/>
        <v>JALAN</v>
      </c>
      <c r="Z154" s="207">
        <f t="shared" si="25"/>
        <v>10</v>
      </c>
      <c r="AA154" s="233">
        <f t="shared" si="27"/>
        <v>129999999</v>
      </c>
      <c r="AB154" s="208">
        <f t="shared" si="28"/>
        <v>12</v>
      </c>
      <c r="AC154" s="233">
        <f t="shared" si="29"/>
        <v>1299999990</v>
      </c>
      <c r="AD154" s="233">
        <f t="shared" si="30"/>
        <v>0</v>
      </c>
      <c r="AE154" s="233">
        <f t="shared" si="31"/>
        <v>0</v>
      </c>
      <c r="AF154" s="233">
        <f t="shared" si="32"/>
        <v>0</v>
      </c>
      <c r="AG154" s="233">
        <f t="shared" si="33"/>
        <v>0</v>
      </c>
      <c r="AH154" s="238">
        <f t="shared" si="34"/>
        <v>0</v>
      </c>
      <c r="AI154" s="238">
        <f t="shared" si="35"/>
        <v>1299999990</v>
      </c>
      <c r="AJ154" s="261">
        <f t="shared" si="36"/>
        <v>2001</v>
      </c>
      <c r="AK154" s="233">
        <f t="shared" si="37"/>
        <v>10</v>
      </c>
    </row>
    <row r="155" spans="1:39" s="116" customFormat="1" ht="35.25" hidden="1" customHeight="1" x14ac:dyDescent="0.2">
      <c r="A155" s="116">
        <v>189</v>
      </c>
      <c r="B155" s="116" t="str">
        <f t="shared" si="23"/>
        <v>PKL. INDARUNG - SUMPU</v>
      </c>
      <c r="D155" s="116">
        <v>1</v>
      </c>
      <c r="E155" s="116" t="str">
        <f>A155&amp;"."&amp;D155</f>
        <v>189.1</v>
      </c>
      <c r="F155" s="218" t="str">
        <f t="shared" si="26"/>
        <v>4.13.01</v>
      </c>
      <c r="G155" s="53"/>
      <c r="H155" s="67" t="s">
        <v>529</v>
      </c>
      <c r="I155" s="33" t="s">
        <v>2494</v>
      </c>
      <c r="J155" s="63"/>
      <c r="K155" s="33" t="s">
        <v>484</v>
      </c>
      <c r="L155" s="360">
        <v>25000</v>
      </c>
      <c r="M155" s="40">
        <v>8</v>
      </c>
      <c r="N155" s="360">
        <v>200000</v>
      </c>
      <c r="O155" s="72" t="s">
        <v>645</v>
      </c>
      <c r="P155" s="33">
        <v>2001</v>
      </c>
      <c r="Q155" s="40"/>
      <c r="R155" s="40"/>
      <c r="S155" s="40" t="s">
        <v>482</v>
      </c>
      <c r="T155" s="40" t="s">
        <v>12</v>
      </c>
      <c r="U155" s="251">
        <v>14400000000</v>
      </c>
      <c r="V155" s="33" t="s">
        <v>43</v>
      </c>
      <c r="W155" s="127"/>
      <c r="X155" s="206" t="str">
        <f t="shared" si="62"/>
        <v>4.13.01</v>
      </c>
      <c r="Y155" s="207" t="str">
        <f t="shared" si="24"/>
        <v>JALAN</v>
      </c>
      <c r="Z155" s="207">
        <f t="shared" si="25"/>
        <v>10</v>
      </c>
      <c r="AA155" s="233">
        <f t="shared" si="27"/>
        <v>1439999999</v>
      </c>
      <c r="AB155" s="208">
        <f t="shared" si="28"/>
        <v>12</v>
      </c>
      <c r="AC155" s="233">
        <f t="shared" si="29"/>
        <v>14399999990</v>
      </c>
      <c r="AD155" s="233">
        <f t="shared" si="30"/>
        <v>0</v>
      </c>
      <c r="AE155" s="233">
        <f t="shared" si="31"/>
        <v>0</v>
      </c>
      <c r="AF155" s="233">
        <f t="shared" si="32"/>
        <v>0</v>
      </c>
      <c r="AG155" s="233">
        <f t="shared" si="33"/>
        <v>0</v>
      </c>
      <c r="AH155" s="238">
        <f t="shared" si="34"/>
        <v>0</v>
      </c>
      <c r="AI155" s="238">
        <f t="shared" si="35"/>
        <v>14399999990</v>
      </c>
      <c r="AJ155" s="261">
        <f t="shared" si="36"/>
        <v>2001</v>
      </c>
      <c r="AK155" s="233">
        <f t="shared" si="37"/>
        <v>10</v>
      </c>
    </row>
    <row r="156" spans="1:39" s="116" customFormat="1" ht="35.25" hidden="1" customHeight="1" x14ac:dyDescent="0.2">
      <c r="A156" s="116">
        <v>229</v>
      </c>
      <c r="B156" s="116" t="str">
        <f t="shared" si="23"/>
        <v>SIMP. HANDOYO - SUMBER DATAR</v>
      </c>
      <c r="D156" s="116">
        <v>1</v>
      </c>
      <c r="E156" s="1" t="str">
        <f>A156&amp;"."&amp;D156</f>
        <v>229.1</v>
      </c>
      <c r="F156" s="218" t="str">
        <f t="shared" si="26"/>
        <v>4.13.01</v>
      </c>
      <c r="G156" s="53"/>
      <c r="H156" s="67" t="s">
        <v>529</v>
      </c>
      <c r="I156" s="33" t="s">
        <v>2494</v>
      </c>
      <c r="J156" s="63"/>
      <c r="K156" s="33" t="s">
        <v>479</v>
      </c>
      <c r="L156" s="360" t="s">
        <v>646</v>
      </c>
      <c r="M156" s="40"/>
      <c r="N156" s="360"/>
      <c r="O156" s="72" t="s">
        <v>647</v>
      </c>
      <c r="P156" s="33">
        <v>2001</v>
      </c>
      <c r="Q156" s="40"/>
      <c r="R156" s="40"/>
      <c r="S156" s="40" t="s">
        <v>482</v>
      </c>
      <c r="T156" s="40" t="s">
        <v>12</v>
      </c>
      <c r="U156" s="251">
        <v>16170000000</v>
      </c>
      <c r="V156" s="33" t="s">
        <v>43</v>
      </c>
      <c r="W156" s="127"/>
      <c r="X156" s="206" t="str">
        <f t="shared" si="62"/>
        <v>4.13.01</v>
      </c>
      <c r="Y156" s="207" t="str">
        <f t="shared" si="24"/>
        <v>JALAN</v>
      </c>
      <c r="Z156" s="207">
        <f t="shared" si="25"/>
        <v>10</v>
      </c>
      <c r="AA156" s="233">
        <f t="shared" si="27"/>
        <v>1616999999</v>
      </c>
      <c r="AB156" s="208">
        <f t="shared" si="28"/>
        <v>12</v>
      </c>
      <c r="AC156" s="233">
        <f t="shared" si="29"/>
        <v>16169999990</v>
      </c>
      <c r="AD156" s="233">
        <f t="shared" si="30"/>
        <v>0</v>
      </c>
      <c r="AE156" s="233">
        <f t="shared" si="31"/>
        <v>0</v>
      </c>
      <c r="AF156" s="233">
        <f t="shared" si="32"/>
        <v>0</v>
      </c>
      <c r="AG156" s="233">
        <f t="shared" si="33"/>
        <v>0</v>
      </c>
      <c r="AH156" s="238">
        <f t="shared" si="34"/>
        <v>0</v>
      </c>
      <c r="AI156" s="238">
        <f t="shared" si="35"/>
        <v>16169999990</v>
      </c>
      <c r="AJ156" s="261">
        <f t="shared" si="36"/>
        <v>2001</v>
      </c>
      <c r="AK156" s="233">
        <f t="shared" si="37"/>
        <v>10</v>
      </c>
    </row>
    <row r="157" spans="1:39" s="116" customFormat="1" ht="35.25" hidden="1" customHeight="1" x14ac:dyDescent="0.2">
      <c r="B157" s="116" t="e">
        <f t="shared" si="23"/>
        <v>#N/A</v>
      </c>
      <c r="F157" s="218" t="str">
        <f t="shared" si="26"/>
        <v>4.13.01</v>
      </c>
      <c r="G157" s="53"/>
      <c r="H157" s="67" t="s">
        <v>529</v>
      </c>
      <c r="I157" s="33" t="s">
        <v>2494</v>
      </c>
      <c r="J157" s="63"/>
      <c r="K157" s="33" t="s">
        <v>525</v>
      </c>
      <c r="L157" s="360" t="s">
        <v>508</v>
      </c>
      <c r="M157" s="40"/>
      <c r="N157" s="360"/>
      <c r="O157" s="72" t="s">
        <v>648</v>
      </c>
      <c r="P157" s="33">
        <v>2001</v>
      </c>
      <c r="Q157" s="40"/>
      <c r="R157" s="40"/>
      <c r="S157" s="40" t="s">
        <v>482</v>
      </c>
      <c r="T157" s="40" t="s">
        <v>12</v>
      </c>
      <c r="U157" s="251">
        <v>819000000</v>
      </c>
      <c r="V157" s="33" t="s">
        <v>135</v>
      </c>
      <c r="W157" s="127"/>
      <c r="X157" s="206" t="str">
        <f t="shared" si="62"/>
        <v>4.13.01</v>
      </c>
      <c r="Y157" s="207" t="str">
        <f t="shared" si="24"/>
        <v>JALAN</v>
      </c>
      <c r="Z157" s="207">
        <f t="shared" si="25"/>
        <v>10</v>
      </c>
      <c r="AA157" s="233">
        <f t="shared" si="27"/>
        <v>81899999</v>
      </c>
      <c r="AB157" s="208">
        <f t="shared" si="28"/>
        <v>12</v>
      </c>
      <c r="AC157" s="233">
        <f t="shared" si="29"/>
        <v>818999990</v>
      </c>
      <c r="AD157" s="233">
        <f t="shared" si="30"/>
        <v>0</v>
      </c>
      <c r="AE157" s="233">
        <f t="shared" si="31"/>
        <v>0</v>
      </c>
      <c r="AF157" s="233">
        <f t="shared" si="32"/>
        <v>0</v>
      </c>
      <c r="AG157" s="233">
        <f t="shared" si="33"/>
        <v>0</v>
      </c>
      <c r="AH157" s="238">
        <f t="shared" si="34"/>
        <v>0</v>
      </c>
      <c r="AI157" s="238">
        <f t="shared" si="35"/>
        <v>818999990</v>
      </c>
      <c r="AJ157" s="261">
        <f t="shared" si="36"/>
        <v>2001</v>
      </c>
      <c r="AK157" s="233">
        <f t="shared" si="37"/>
        <v>10</v>
      </c>
    </row>
    <row r="158" spans="1:39" s="116" customFormat="1" ht="35.25" hidden="1" customHeight="1" x14ac:dyDescent="0.2">
      <c r="B158" s="116" t="e">
        <f t="shared" si="23"/>
        <v>#N/A</v>
      </c>
      <c r="F158" s="218" t="str">
        <f t="shared" si="26"/>
        <v>4.13.01</v>
      </c>
      <c r="G158" s="53"/>
      <c r="H158" s="67" t="s">
        <v>529</v>
      </c>
      <c r="I158" s="33" t="s">
        <v>2494</v>
      </c>
      <c r="J158" s="63"/>
      <c r="K158" s="33" t="s">
        <v>525</v>
      </c>
      <c r="L158" s="360" t="s">
        <v>649</v>
      </c>
      <c r="M158" s="40"/>
      <c r="N158" s="360"/>
      <c r="O158" s="72" t="s">
        <v>650</v>
      </c>
      <c r="P158" s="33">
        <v>2001</v>
      </c>
      <c r="Q158" s="40"/>
      <c r="R158" s="40"/>
      <c r="S158" s="40" t="s">
        <v>482</v>
      </c>
      <c r="T158" s="40" t="s">
        <v>12</v>
      </c>
      <c r="U158" s="251">
        <v>303750000</v>
      </c>
      <c r="V158" s="33" t="s">
        <v>43</v>
      </c>
      <c r="W158" s="127"/>
      <c r="X158" s="206" t="str">
        <f t="shared" si="62"/>
        <v>4.13.01</v>
      </c>
      <c r="Y158" s="207" t="str">
        <f t="shared" si="24"/>
        <v>JALAN</v>
      </c>
      <c r="Z158" s="207">
        <f t="shared" si="25"/>
        <v>10</v>
      </c>
      <c r="AA158" s="233">
        <f t="shared" si="27"/>
        <v>30374999</v>
      </c>
      <c r="AB158" s="208">
        <f t="shared" si="28"/>
        <v>12</v>
      </c>
      <c r="AC158" s="233">
        <f t="shared" si="29"/>
        <v>303749990</v>
      </c>
      <c r="AD158" s="233">
        <f t="shared" si="30"/>
        <v>0</v>
      </c>
      <c r="AE158" s="233">
        <f t="shared" si="31"/>
        <v>0</v>
      </c>
      <c r="AF158" s="233">
        <f t="shared" si="32"/>
        <v>0</v>
      </c>
      <c r="AG158" s="233">
        <f t="shared" si="33"/>
        <v>0</v>
      </c>
      <c r="AH158" s="238">
        <f t="shared" si="34"/>
        <v>0</v>
      </c>
      <c r="AI158" s="238">
        <f t="shared" si="35"/>
        <v>303749990</v>
      </c>
      <c r="AJ158" s="261">
        <f t="shared" si="36"/>
        <v>2001</v>
      </c>
      <c r="AK158" s="233">
        <f t="shared" si="37"/>
        <v>10</v>
      </c>
    </row>
    <row r="159" spans="1:39" s="116" customFormat="1" ht="35.25" hidden="1" customHeight="1" x14ac:dyDescent="0.2">
      <c r="B159" s="116" t="e">
        <f t="shared" si="23"/>
        <v>#N/A</v>
      </c>
      <c r="F159" s="218" t="str">
        <f t="shared" si="26"/>
        <v>4.13.01</v>
      </c>
      <c r="G159" s="53"/>
      <c r="H159" s="67" t="s">
        <v>529</v>
      </c>
      <c r="I159" s="33" t="s">
        <v>2494</v>
      </c>
      <c r="J159" s="63"/>
      <c r="K159" s="33" t="s">
        <v>484</v>
      </c>
      <c r="L159" s="360" t="s">
        <v>651</v>
      </c>
      <c r="M159" s="40"/>
      <c r="N159" s="360"/>
      <c r="O159" s="72" t="s">
        <v>652</v>
      </c>
      <c r="P159" s="33">
        <v>2001</v>
      </c>
      <c r="Q159" s="40"/>
      <c r="R159" s="40"/>
      <c r="S159" s="40" t="s">
        <v>482</v>
      </c>
      <c r="T159" s="40" t="s">
        <v>12</v>
      </c>
      <c r="U159" s="251">
        <v>17280000000</v>
      </c>
      <c r="V159" s="33" t="s">
        <v>135</v>
      </c>
      <c r="W159" s="127"/>
      <c r="X159" s="206" t="str">
        <f t="shared" si="62"/>
        <v>4.13.01</v>
      </c>
      <c r="Y159" s="207" t="str">
        <f t="shared" si="24"/>
        <v>JALAN</v>
      </c>
      <c r="Z159" s="207">
        <f t="shared" si="25"/>
        <v>10</v>
      </c>
      <c r="AA159" s="233">
        <f t="shared" si="27"/>
        <v>1727999999</v>
      </c>
      <c r="AB159" s="208">
        <f t="shared" si="28"/>
        <v>12</v>
      </c>
      <c r="AC159" s="233">
        <f t="shared" si="29"/>
        <v>17279999990</v>
      </c>
      <c r="AD159" s="233">
        <f t="shared" si="30"/>
        <v>0</v>
      </c>
      <c r="AE159" s="233">
        <f t="shared" si="31"/>
        <v>0</v>
      </c>
      <c r="AF159" s="233">
        <f t="shared" si="32"/>
        <v>0</v>
      </c>
      <c r="AG159" s="233">
        <f t="shared" si="33"/>
        <v>0</v>
      </c>
      <c r="AH159" s="238">
        <f t="shared" si="34"/>
        <v>0</v>
      </c>
      <c r="AI159" s="238">
        <f t="shared" si="35"/>
        <v>17279999990</v>
      </c>
      <c r="AJ159" s="261">
        <f t="shared" si="36"/>
        <v>2001</v>
      </c>
      <c r="AK159" s="233">
        <f t="shared" si="37"/>
        <v>10</v>
      </c>
    </row>
    <row r="160" spans="1:39" s="116" customFormat="1" ht="35.25" hidden="1" customHeight="1" x14ac:dyDescent="0.2">
      <c r="B160" s="116" t="e">
        <f t="shared" si="23"/>
        <v>#N/A</v>
      </c>
      <c r="F160" s="218" t="str">
        <f t="shared" si="26"/>
        <v>4.13.01</v>
      </c>
      <c r="G160" s="53"/>
      <c r="H160" s="67" t="s">
        <v>529</v>
      </c>
      <c r="I160" s="33" t="s">
        <v>2494</v>
      </c>
      <c r="J160" s="63"/>
      <c r="K160" s="33" t="s">
        <v>479</v>
      </c>
      <c r="L160" s="360" t="s">
        <v>653</v>
      </c>
      <c r="M160" s="40"/>
      <c r="N160" s="360"/>
      <c r="O160" s="72" t="s">
        <v>654</v>
      </c>
      <c r="P160" s="33">
        <v>2001</v>
      </c>
      <c r="Q160" s="40"/>
      <c r="R160" s="40"/>
      <c r="S160" s="40" t="s">
        <v>482</v>
      </c>
      <c r="T160" s="40" t="s">
        <v>655</v>
      </c>
      <c r="U160" s="251">
        <v>56840000000</v>
      </c>
      <c r="V160" s="33" t="s">
        <v>43</v>
      </c>
      <c r="W160" s="127"/>
      <c r="X160" s="206" t="str">
        <f t="shared" si="62"/>
        <v>4.13.01</v>
      </c>
      <c r="Y160" s="207" t="str">
        <f t="shared" si="24"/>
        <v>JALAN</v>
      </c>
      <c r="Z160" s="207">
        <f t="shared" si="25"/>
        <v>10</v>
      </c>
      <c r="AA160" s="233">
        <f t="shared" si="27"/>
        <v>5683999999</v>
      </c>
      <c r="AB160" s="208">
        <f t="shared" si="28"/>
        <v>12</v>
      </c>
      <c r="AC160" s="233">
        <f t="shared" si="29"/>
        <v>56839999990</v>
      </c>
      <c r="AD160" s="233">
        <f t="shared" si="30"/>
        <v>0</v>
      </c>
      <c r="AE160" s="233">
        <f t="shared" si="31"/>
        <v>0</v>
      </c>
      <c r="AF160" s="233">
        <f t="shared" si="32"/>
        <v>0</v>
      </c>
      <c r="AG160" s="233">
        <f t="shared" si="33"/>
        <v>0</v>
      </c>
      <c r="AH160" s="238">
        <f t="shared" si="34"/>
        <v>0</v>
      </c>
      <c r="AI160" s="238">
        <f t="shared" si="35"/>
        <v>56839999990</v>
      </c>
      <c r="AJ160" s="261">
        <f t="shared" si="36"/>
        <v>2001</v>
      </c>
      <c r="AK160" s="233">
        <f t="shared" si="37"/>
        <v>10</v>
      </c>
    </row>
    <row r="161" spans="1:37" s="116" customFormat="1" ht="35.25" hidden="1" customHeight="1" x14ac:dyDescent="0.2">
      <c r="A161" s="116">
        <v>244</v>
      </c>
      <c r="B161" s="116" t="str">
        <f t="shared" si="23"/>
        <v>KOTO BARU - SUKA MAJU</v>
      </c>
      <c r="D161" s="116">
        <v>1</v>
      </c>
      <c r="E161" s="116" t="str">
        <f>A161&amp;"."&amp;D161</f>
        <v>244.1</v>
      </c>
      <c r="F161" s="218" t="str">
        <f t="shared" si="26"/>
        <v>4.13.01</v>
      </c>
      <c r="G161" s="53"/>
      <c r="H161" s="67" t="s">
        <v>529</v>
      </c>
      <c r="I161" s="33" t="s">
        <v>2494</v>
      </c>
      <c r="J161" s="63"/>
      <c r="K161" s="33" t="s">
        <v>479</v>
      </c>
      <c r="L161" s="360">
        <v>25000</v>
      </c>
      <c r="M161" s="40"/>
      <c r="N161" s="360">
        <v>178300</v>
      </c>
      <c r="O161" s="72" t="s">
        <v>656</v>
      </c>
      <c r="P161" s="33">
        <v>2001</v>
      </c>
      <c r="Q161" s="40"/>
      <c r="R161" s="40"/>
      <c r="S161" s="40" t="s">
        <v>482</v>
      </c>
      <c r="T161" s="40" t="s">
        <v>12</v>
      </c>
      <c r="U161" s="251">
        <v>15288000000</v>
      </c>
      <c r="V161" s="33" t="s">
        <v>43</v>
      </c>
      <c r="W161" s="127"/>
      <c r="X161" s="206" t="str">
        <f t="shared" si="62"/>
        <v>4.13.01</v>
      </c>
      <c r="Y161" s="207" t="str">
        <f t="shared" si="24"/>
        <v>JALAN</v>
      </c>
      <c r="Z161" s="207">
        <f t="shared" si="25"/>
        <v>10</v>
      </c>
      <c r="AA161" s="233">
        <f t="shared" si="27"/>
        <v>1528799999</v>
      </c>
      <c r="AB161" s="208">
        <f t="shared" si="28"/>
        <v>12</v>
      </c>
      <c r="AC161" s="233">
        <f t="shared" si="29"/>
        <v>15287999990</v>
      </c>
      <c r="AD161" s="233">
        <f t="shared" si="30"/>
        <v>0</v>
      </c>
      <c r="AE161" s="233">
        <f t="shared" si="31"/>
        <v>0</v>
      </c>
      <c r="AF161" s="233">
        <f t="shared" si="32"/>
        <v>0</v>
      </c>
      <c r="AG161" s="233">
        <f t="shared" si="33"/>
        <v>0</v>
      </c>
      <c r="AH161" s="238">
        <f t="shared" si="34"/>
        <v>0</v>
      </c>
      <c r="AI161" s="238">
        <f t="shared" si="35"/>
        <v>15287999990</v>
      </c>
      <c r="AJ161" s="261">
        <f t="shared" si="36"/>
        <v>2001</v>
      </c>
      <c r="AK161" s="233">
        <f t="shared" si="37"/>
        <v>10</v>
      </c>
    </row>
    <row r="162" spans="1:37" s="116" customFormat="1" ht="35.25" hidden="1" customHeight="1" x14ac:dyDescent="0.2">
      <c r="A162" s="116">
        <v>237</v>
      </c>
      <c r="B162" s="116" t="str">
        <f t="shared" si="23"/>
        <v>JL. SIMPANG KORAN - SUKAMAJU</v>
      </c>
      <c r="D162" s="116">
        <v>1</v>
      </c>
      <c r="E162" s="116" t="str">
        <f>A162&amp;"."&amp;D162</f>
        <v>237.1</v>
      </c>
      <c r="F162" s="218" t="str">
        <f t="shared" si="26"/>
        <v>4.13.01</v>
      </c>
      <c r="G162" s="53"/>
      <c r="H162" s="67" t="s">
        <v>529</v>
      </c>
      <c r="I162" s="33" t="s">
        <v>2494</v>
      </c>
      <c r="J162" s="63"/>
      <c r="K162" s="33" t="s">
        <v>484</v>
      </c>
      <c r="L162" s="360">
        <v>17000</v>
      </c>
      <c r="M162" s="40">
        <v>8</v>
      </c>
      <c r="N162" s="360">
        <v>136000</v>
      </c>
      <c r="O162" s="72" t="s">
        <v>657</v>
      </c>
      <c r="P162" s="33">
        <v>2001</v>
      </c>
      <c r="Q162" s="40"/>
      <c r="R162" s="40"/>
      <c r="S162" s="40" t="s">
        <v>482</v>
      </c>
      <c r="T162" s="40" t="s">
        <v>12</v>
      </c>
      <c r="U162" s="251">
        <v>11424000000</v>
      </c>
      <c r="V162" s="33" t="s">
        <v>43</v>
      </c>
      <c r="W162" s="127"/>
      <c r="X162" s="206" t="str">
        <f t="shared" si="62"/>
        <v>4.13.01</v>
      </c>
      <c r="Y162" s="207" t="str">
        <f t="shared" si="24"/>
        <v>JALAN</v>
      </c>
      <c r="Z162" s="207">
        <f t="shared" si="25"/>
        <v>10</v>
      </c>
      <c r="AA162" s="233">
        <f t="shared" si="27"/>
        <v>1142399999</v>
      </c>
      <c r="AB162" s="208">
        <f t="shared" si="28"/>
        <v>12</v>
      </c>
      <c r="AC162" s="233">
        <f t="shared" si="29"/>
        <v>11423999990</v>
      </c>
      <c r="AD162" s="233">
        <f t="shared" si="30"/>
        <v>0</v>
      </c>
      <c r="AE162" s="233">
        <f t="shared" si="31"/>
        <v>0</v>
      </c>
      <c r="AF162" s="233">
        <f t="shared" si="32"/>
        <v>0</v>
      </c>
      <c r="AG162" s="233">
        <f t="shared" si="33"/>
        <v>0</v>
      </c>
      <c r="AH162" s="238">
        <f t="shared" si="34"/>
        <v>0</v>
      </c>
      <c r="AI162" s="238">
        <f t="shared" si="35"/>
        <v>11423999990</v>
      </c>
      <c r="AJ162" s="261">
        <f t="shared" si="36"/>
        <v>2001</v>
      </c>
      <c r="AK162" s="233">
        <f t="shared" si="37"/>
        <v>10</v>
      </c>
    </row>
    <row r="163" spans="1:37" s="116" customFormat="1" ht="35.25" hidden="1" customHeight="1" x14ac:dyDescent="0.2">
      <c r="A163" s="116">
        <v>236</v>
      </c>
      <c r="B163" s="116" t="str">
        <f t="shared" si="23"/>
        <v>SIMP. PETAI - PABRIK PT. WANASARI</v>
      </c>
      <c r="D163" s="116">
        <v>1</v>
      </c>
      <c r="E163" s="116" t="str">
        <f>A163&amp;"."&amp;D163</f>
        <v>236.1</v>
      </c>
      <c r="F163" s="218" t="str">
        <f t="shared" si="26"/>
        <v>4.13.01</v>
      </c>
      <c r="G163" s="53"/>
      <c r="H163" s="67" t="s">
        <v>529</v>
      </c>
      <c r="I163" s="33" t="s">
        <v>2494</v>
      </c>
      <c r="J163" s="63"/>
      <c r="K163" s="33" t="s">
        <v>479</v>
      </c>
      <c r="L163" s="360">
        <v>16000</v>
      </c>
      <c r="M163" s="40">
        <v>8</v>
      </c>
      <c r="N163" s="360">
        <v>128000</v>
      </c>
      <c r="O163" s="72" t="s">
        <v>658</v>
      </c>
      <c r="P163" s="33">
        <v>2001</v>
      </c>
      <c r="Q163" s="40"/>
      <c r="R163" s="40"/>
      <c r="S163" s="40" t="s">
        <v>482</v>
      </c>
      <c r="T163" s="40" t="s">
        <v>12</v>
      </c>
      <c r="U163" s="251">
        <v>15680000000</v>
      </c>
      <c r="V163" s="33" t="s">
        <v>43</v>
      </c>
      <c r="W163" s="127"/>
      <c r="X163" s="206" t="str">
        <f t="shared" si="62"/>
        <v>4.13.01</v>
      </c>
      <c r="Y163" s="207" t="str">
        <f t="shared" si="24"/>
        <v>JALAN</v>
      </c>
      <c r="Z163" s="207">
        <f t="shared" si="25"/>
        <v>10</v>
      </c>
      <c r="AA163" s="233">
        <f t="shared" si="27"/>
        <v>1567999999</v>
      </c>
      <c r="AB163" s="208">
        <f t="shared" si="28"/>
        <v>12</v>
      </c>
      <c r="AC163" s="233">
        <f t="shared" si="29"/>
        <v>15679999990</v>
      </c>
      <c r="AD163" s="233">
        <f t="shared" si="30"/>
        <v>0</v>
      </c>
      <c r="AE163" s="233">
        <f t="shared" si="31"/>
        <v>0</v>
      </c>
      <c r="AF163" s="233">
        <f t="shared" si="32"/>
        <v>0</v>
      </c>
      <c r="AG163" s="233">
        <f t="shared" si="33"/>
        <v>0</v>
      </c>
      <c r="AH163" s="238">
        <f t="shared" si="34"/>
        <v>0</v>
      </c>
      <c r="AI163" s="238">
        <f t="shared" si="35"/>
        <v>15679999990</v>
      </c>
      <c r="AJ163" s="261">
        <f t="shared" si="36"/>
        <v>2001</v>
      </c>
      <c r="AK163" s="233">
        <f t="shared" si="37"/>
        <v>10</v>
      </c>
    </row>
    <row r="164" spans="1:37" s="116" customFormat="1" ht="35.25" hidden="1" customHeight="1" x14ac:dyDescent="0.2">
      <c r="A164" s="116">
        <v>238</v>
      </c>
      <c r="B164" s="116" t="str">
        <f t="shared" si="23"/>
        <v>SIMP. RAYA - SEI. BULUH</v>
      </c>
      <c r="D164" s="116">
        <v>1</v>
      </c>
      <c r="E164" s="116" t="str">
        <f>A164&amp;"."&amp;D164</f>
        <v>238.1</v>
      </c>
      <c r="F164" s="218" t="str">
        <f t="shared" si="26"/>
        <v>4.13.01</v>
      </c>
      <c r="G164" s="53"/>
      <c r="H164" s="67" t="s">
        <v>1141</v>
      </c>
      <c r="I164" s="33" t="s">
        <v>2494</v>
      </c>
      <c r="J164" s="63"/>
      <c r="K164" s="33" t="s">
        <v>519</v>
      </c>
      <c r="L164" s="360">
        <v>2000</v>
      </c>
      <c r="M164" s="40">
        <v>8</v>
      </c>
      <c r="N164" s="360">
        <v>16000</v>
      </c>
      <c r="O164" s="72" t="s">
        <v>3104</v>
      </c>
      <c r="P164" s="33">
        <v>2001</v>
      </c>
      <c r="Q164" s="40"/>
      <c r="R164" s="40"/>
      <c r="S164" s="40" t="s">
        <v>482</v>
      </c>
      <c r="T164" s="40" t="s">
        <v>12</v>
      </c>
      <c r="U164" s="251">
        <v>3060956544</v>
      </c>
      <c r="V164" s="33" t="s">
        <v>43</v>
      </c>
      <c r="W164" s="127"/>
      <c r="X164" s="206" t="str">
        <f t="shared" si="62"/>
        <v>4.13.01</v>
      </c>
      <c r="Y164" s="207" t="str">
        <f t="shared" si="24"/>
        <v>JALAN</v>
      </c>
      <c r="Z164" s="207">
        <f t="shared" si="25"/>
        <v>10</v>
      </c>
      <c r="AA164" s="233">
        <f t="shared" si="27"/>
        <v>306095653.39999998</v>
      </c>
      <c r="AB164" s="208">
        <f t="shared" si="28"/>
        <v>12</v>
      </c>
      <c r="AC164" s="233">
        <f t="shared" si="29"/>
        <v>3060956534</v>
      </c>
      <c r="AD164" s="233">
        <f t="shared" si="30"/>
        <v>0</v>
      </c>
      <c r="AE164" s="233">
        <f t="shared" si="31"/>
        <v>0</v>
      </c>
      <c r="AF164" s="233">
        <f t="shared" si="32"/>
        <v>0</v>
      </c>
      <c r="AG164" s="233">
        <f t="shared" si="33"/>
        <v>0</v>
      </c>
      <c r="AH164" s="238">
        <f t="shared" si="34"/>
        <v>0</v>
      </c>
      <c r="AI164" s="238">
        <f t="shared" si="35"/>
        <v>3060956534</v>
      </c>
      <c r="AJ164" s="261">
        <f t="shared" si="36"/>
        <v>2001</v>
      </c>
      <c r="AK164" s="233">
        <f t="shared" si="37"/>
        <v>10</v>
      </c>
    </row>
    <row r="165" spans="1:37" s="116" customFormat="1" ht="35.25" hidden="1" customHeight="1" x14ac:dyDescent="0.2">
      <c r="B165" s="116" t="e">
        <f t="shared" si="23"/>
        <v>#N/A</v>
      </c>
      <c r="F165" s="218" t="str">
        <f t="shared" si="26"/>
        <v>4.13.01</v>
      </c>
      <c r="G165" s="53"/>
      <c r="H165" s="67" t="s">
        <v>529</v>
      </c>
      <c r="I165" s="33" t="s">
        <v>2494</v>
      </c>
      <c r="J165" s="63"/>
      <c r="K165" s="33" t="s">
        <v>484</v>
      </c>
      <c r="L165" s="360" t="s">
        <v>497</v>
      </c>
      <c r="M165" s="40"/>
      <c r="N165" s="360"/>
      <c r="O165" s="72" t="s">
        <v>659</v>
      </c>
      <c r="P165" s="33">
        <v>2001</v>
      </c>
      <c r="Q165" s="40"/>
      <c r="R165" s="40"/>
      <c r="S165" s="40" t="s">
        <v>482</v>
      </c>
      <c r="T165" s="40" t="s">
        <v>12</v>
      </c>
      <c r="U165" s="251">
        <v>4992000000</v>
      </c>
      <c r="V165" s="33" t="s">
        <v>43</v>
      </c>
      <c r="W165" s="127"/>
      <c r="X165" s="206" t="str">
        <f t="shared" si="62"/>
        <v>4.13.01</v>
      </c>
      <c r="Y165" s="207" t="str">
        <f t="shared" si="24"/>
        <v>JALAN</v>
      </c>
      <c r="Z165" s="207">
        <f t="shared" si="25"/>
        <v>10</v>
      </c>
      <c r="AA165" s="233">
        <f t="shared" si="27"/>
        <v>499199999</v>
      </c>
      <c r="AB165" s="208">
        <f t="shared" si="28"/>
        <v>12</v>
      </c>
      <c r="AC165" s="233">
        <f t="shared" si="29"/>
        <v>4991999990</v>
      </c>
      <c r="AD165" s="233">
        <f t="shared" si="30"/>
        <v>0</v>
      </c>
      <c r="AE165" s="233">
        <f t="shared" si="31"/>
        <v>0</v>
      </c>
      <c r="AF165" s="233">
        <f t="shared" si="32"/>
        <v>0</v>
      </c>
      <c r="AG165" s="233">
        <f t="shared" si="33"/>
        <v>0</v>
      </c>
      <c r="AH165" s="238">
        <f t="shared" si="34"/>
        <v>0</v>
      </c>
      <c r="AI165" s="238">
        <f t="shared" si="35"/>
        <v>4991999990</v>
      </c>
      <c r="AJ165" s="261">
        <f t="shared" si="36"/>
        <v>2001</v>
      </c>
      <c r="AK165" s="233">
        <f t="shared" si="37"/>
        <v>10</v>
      </c>
    </row>
    <row r="166" spans="1:37" s="116" customFormat="1" ht="35.25" hidden="1" customHeight="1" x14ac:dyDescent="0.2">
      <c r="A166" s="116">
        <v>118</v>
      </c>
      <c r="B166" s="116" t="str">
        <f t="shared" si="23"/>
        <v>LUBUK TERENTANG - PISANG BEREBUS</v>
      </c>
      <c r="D166" s="116">
        <v>1</v>
      </c>
      <c r="E166" s="116" t="str">
        <f>A166&amp;"."&amp;D166</f>
        <v>118.1</v>
      </c>
      <c r="F166" s="218" t="str">
        <f t="shared" si="26"/>
        <v>4.13.01</v>
      </c>
      <c r="G166" s="53"/>
      <c r="H166" s="67" t="s">
        <v>1142</v>
      </c>
      <c r="I166" s="33" t="s">
        <v>2494</v>
      </c>
      <c r="J166" s="63"/>
      <c r="K166" s="33" t="s">
        <v>519</v>
      </c>
      <c r="L166" s="360">
        <v>4000</v>
      </c>
      <c r="M166" s="40">
        <v>7</v>
      </c>
      <c r="N166" s="360">
        <v>28000</v>
      </c>
      <c r="O166" s="72" t="s">
        <v>660</v>
      </c>
      <c r="P166" s="33">
        <v>2001</v>
      </c>
      <c r="Q166" s="40"/>
      <c r="R166" s="40"/>
      <c r="S166" s="40" t="s">
        <v>384</v>
      </c>
      <c r="T166" s="40" t="s">
        <v>12</v>
      </c>
      <c r="U166" s="251">
        <v>4302632417</v>
      </c>
      <c r="V166" s="33" t="s">
        <v>43</v>
      </c>
      <c r="W166" s="127"/>
      <c r="X166" s="206" t="str">
        <f t="shared" si="62"/>
        <v>4.13.01</v>
      </c>
      <c r="Y166" s="207" t="str">
        <f t="shared" si="24"/>
        <v>JALAN</v>
      </c>
      <c r="Z166" s="207">
        <f t="shared" si="25"/>
        <v>10</v>
      </c>
      <c r="AA166" s="233">
        <f t="shared" si="27"/>
        <v>430263240.69999999</v>
      </c>
      <c r="AB166" s="208">
        <f t="shared" si="28"/>
        <v>12</v>
      </c>
      <c r="AC166" s="233">
        <f t="shared" si="29"/>
        <v>4302632407</v>
      </c>
      <c r="AD166" s="233">
        <f t="shared" si="30"/>
        <v>0</v>
      </c>
      <c r="AE166" s="233">
        <f t="shared" si="31"/>
        <v>0</v>
      </c>
      <c r="AF166" s="233">
        <f t="shared" si="32"/>
        <v>0</v>
      </c>
      <c r="AG166" s="233">
        <f t="shared" si="33"/>
        <v>0</v>
      </c>
      <c r="AH166" s="238">
        <f t="shared" si="34"/>
        <v>0</v>
      </c>
      <c r="AI166" s="238">
        <f t="shared" si="35"/>
        <v>4302632407</v>
      </c>
      <c r="AJ166" s="261">
        <f t="shared" si="36"/>
        <v>2001</v>
      </c>
      <c r="AK166" s="233">
        <f t="shared" si="37"/>
        <v>10</v>
      </c>
    </row>
    <row r="167" spans="1:37" s="116" customFormat="1" ht="35.25" hidden="1" customHeight="1" x14ac:dyDescent="0.2">
      <c r="B167" s="116" t="e">
        <f t="shared" ref="B167:B230" si="64">VLOOKUP(A167,RUAS,2,0)</f>
        <v>#N/A</v>
      </c>
      <c r="F167" s="218" t="str">
        <f t="shared" si="26"/>
        <v>4.13.01</v>
      </c>
      <c r="G167" s="53"/>
      <c r="H167" s="67" t="s">
        <v>529</v>
      </c>
      <c r="I167" s="33" t="s">
        <v>2494</v>
      </c>
      <c r="J167" s="63"/>
      <c r="K167" s="33" t="s">
        <v>525</v>
      </c>
      <c r="L167" s="360" t="s">
        <v>488</v>
      </c>
      <c r="M167" s="40"/>
      <c r="N167" s="360"/>
      <c r="O167" s="72" t="s">
        <v>661</v>
      </c>
      <c r="P167" s="33">
        <v>2001</v>
      </c>
      <c r="Q167" s="40"/>
      <c r="R167" s="40"/>
      <c r="S167" s="40" t="s">
        <v>384</v>
      </c>
      <c r="T167" s="40" t="s">
        <v>12</v>
      </c>
      <c r="U167" s="251">
        <v>1755000000</v>
      </c>
      <c r="V167" s="33" t="s">
        <v>43</v>
      </c>
      <c r="W167" s="127"/>
      <c r="X167" s="206" t="str">
        <f t="shared" si="62"/>
        <v>4.13.01</v>
      </c>
      <c r="Y167" s="207" t="str">
        <f t="shared" ref="Y167:Y230" si="65">VLOOKUP(X167,kelompok,2,0)</f>
        <v>JALAN</v>
      </c>
      <c r="Z167" s="207">
        <f t="shared" ref="Z167:Z230" si="66">VLOOKUP(X167,MASAMANFAAT,4,0)</f>
        <v>10</v>
      </c>
      <c r="AA167" s="233">
        <f t="shared" si="27"/>
        <v>175499999</v>
      </c>
      <c r="AB167" s="208">
        <f t="shared" si="28"/>
        <v>12</v>
      </c>
      <c r="AC167" s="233">
        <f t="shared" si="29"/>
        <v>1754999990</v>
      </c>
      <c r="AD167" s="233">
        <f t="shared" si="30"/>
        <v>0</v>
      </c>
      <c r="AE167" s="233">
        <f t="shared" si="31"/>
        <v>0</v>
      </c>
      <c r="AF167" s="233">
        <f t="shared" si="32"/>
        <v>0</v>
      </c>
      <c r="AG167" s="233">
        <f t="shared" si="33"/>
        <v>0</v>
      </c>
      <c r="AH167" s="238">
        <f t="shared" si="34"/>
        <v>0</v>
      </c>
      <c r="AI167" s="238">
        <f t="shared" si="35"/>
        <v>1754999990</v>
      </c>
      <c r="AJ167" s="261">
        <f t="shared" si="36"/>
        <v>2001</v>
      </c>
      <c r="AK167" s="233">
        <f t="shared" si="37"/>
        <v>10</v>
      </c>
    </row>
    <row r="168" spans="1:37" s="116" customFormat="1" ht="35.25" hidden="1" customHeight="1" x14ac:dyDescent="0.2">
      <c r="A168" s="116">
        <v>251</v>
      </c>
      <c r="B168" s="116" t="str">
        <f t="shared" si="64"/>
        <v>BERINGIN JAYA - SUKA MAJU</v>
      </c>
      <c r="D168" s="116">
        <v>1</v>
      </c>
      <c r="E168" s="116" t="str">
        <f>A168&amp;"."&amp;D168</f>
        <v>251.1</v>
      </c>
      <c r="F168" s="218" t="str">
        <f t="shared" ref="F168:F231" si="67">MID(I168,2,7)</f>
        <v>4.13.01</v>
      </c>
      <c r="G168" s="53"/>
      <c r="H168" s="67" t="s">
        <v>529</v>
      </c>
      <c r="I168" s="33" t="s">
        <v>2494</v>
      </c>
      <c r="J168" s="63"/>
      <c r="K168" s="33" t="s">
        <v>484</v>
      </c>
      <c r="L168" s="360" t="s">
        <v>497</v>
      </c>
      <c r="M168" s="40">
        <v>8</v>
      </c>
      <c r="N168" s="360">
        <v>64000</v>
      </c>
      <c r="O168" s="72" t="s">
        <v>662</v>
      </c>
      <c r="P168" s="33">
        <v>2001</v>
      </c>
      <c r="Q168" s="40"/>
      <c r="R168" s="40"/>
      <c r="S168" s="40" t="s">
        <v>482</v>
      </c>
      <c r="T168" s="40" t="s">
        <v>12</v>
      </c>
      <c r="U168" s="251">
        <v>5376000000</v>
      </c>
      <c r="V168" s="33" t="s">
        <v>43</v>
      </c>
      <c r="W168" s="127"/>
      <c r="X168" s="206" t="str">
        <f t="shared" si="62"/>
        <v>4.13.01</v>
      </c>
      <c r="Y168" s="207" t="str">
        <f t="shared" si="65"/>
        <v>JALAN</v>
      </c>
      <c r="Z168" s="207">
        <f t="shared" si="66"/>
        <v>10</v>
      </c>
      <c r="AA168" s="233">
        <f t="shared" ref="AA168:AA231" si="68">(U168-10)/Z168</f>
        <v>537599999</v>
      </c>
      <c r="AB168" s="208">
        <f t="shared" ref="AB168:AB231" si="69">2013-AJ168</f>
        <v>12</v>
      </c>
      <c r="AC168" s="233">
        <f t="shared" ref="AC168:AC231" si="70">IF(AB168&gt;Z168,U168-10,AA168*AB168)</f>
        <v>5375999990</v>
      </c>
      <c r="AD168" s="233">
        <f t="shared" ref="AD168:AD231" si="71">IF(U168-10=AC168,0,AA168)</f>
        <v>0</v>
      </c>
      <c r="AE168" s="233">
        <f t="shared" ref="AE168:AE231" si="72">IF(U168-10=AC168+AD168,0,AA168)</f>
        <v>0</v>
      </c>
      <c r="AF168" s="233">
        <f t="shared" ref="AF168:AF231" si="73">IF(U168-10=AC168+AD168+AE168,0,AA168)</f>
        <v>0</v>
      </c>
      <c r="AG168" s="233">
        <f t="shared" ref="AG168:AG231" si="74">IF(U168-10=AD168+AE168+AF168+AC168,0,AA168)</f>
        <v>0</v>
      </c>
      <c r="AH168" s="238">
        <f t="shared" ref="AH168:AH231" si="75">IF(U168-10=AD168+AE168+AF168+AC168+AG168,0,AA168)</f>
        <v>0</v>
      </c>
      <c r="AI168" s="238">
        <f t="shared" ref="AI168:AI231" si="76">SUM(AC168:AH168)</f>
        <v>5375999990</v>
      </c>
      <c r="AJ168" s="261">
        <f t="shared" ref="AJ168:AJ231" si="77">P168</f>
        <v>2001</v>
      </c>
      <c r="AK168" s="233">
        <f t="shared" ref="AK168:AK231" si="78">U168-AI168</f>
        <v>10</v>
      </c>
    </row>
    <row r="169" spans="1:37" s="116" customFormat="1" ht="35.25" hidden="1" customHeight="1" x14ac:dyDescent="0.2">
      <c r="A169" s="116">
        <v>114</v>
      </c>
      <c r="B169" s="116" t="str">
        <f t="shared" si="64"/>
        <v>KP. BARU TOAR - PENYEBERANGAN KERESEK</v>
      </c>
      <c r="D169" s="116">
        <v>1</v>
      </c>
      <c r="E169" s="116" t="str">
        <f>A169&amp;"."&amp;D169</f>
        <v>114.1</v>
      </c>
      <c r="F169" s="218" t="str">
        <f t="shared" si="67"/>
        <v>4.13.01</v>
      </c>
      <c r="G169" s="53"/>
      <c r="H169" s="67" t="s">
        <v>529</v>
      </c>
      <c r="I169" s="33" t="s">
        <v>2494</v>
      </c>
      <c r="J169" s="63"/>
      <c r="K169" s="33" t="s">
        <v>484</v>
      </c>
      <c r="L169" s="360">
        <v>2400</v>
      </c>
      <c r="M169" s="40">
        <v>7</v>
      </c>
      <c r="N169" s="360">
        <v>16800</v>
      </c>
      <c r="O169" s="72" t="s">
        <v>663</v>
      </c>
      <c r="P169" s="33">
        <v>2001</v>
      </c>
      <c r="Q169" s="40"/>
      <c r="R169" s="40"/>
      <c r="S169" s="40" t="s">
        <v>384</v>
      </c>
      <c r="T169" s="40" t="s">
        <v>12</v>
      </c>
      <c r="U169" s="251">
        <v>998400000</v>
      </c>
      <c r="V169" s="33" t="s">
        <v>135</v>
      </c>
      <c r="W169" s="127"/>
      <c r="X169" s="206" t="str">
        <f t="shared" si="62"/>
        <v>4.13.01</v>
      </c>
      <c r="Y169" s="207" t="str">
        <f t="shared" si="65"/>
        <v>JALAN</v>
      </c>
      <c r="Z169" s="207">
        <f t="shared" si="66"/>
        <v>10</v>
      </c>
      <c r="AA169" s="233">
        <f t="shared" si="68"/>
        <v>99839999</v>
      </c>
      <c r="AB169" s="208">
        <f t="shared" si="69"/>
        <v>12</v>
      </c>
      <c r="AC169" s="233">
        <f t="shared" si="70"/>
        <v>998399990</v>
      </c>
      <c r="AD169" s="233">
        <f t="shared" si="71"/>
        <v>0</v>
      </c>
      <c r="AE169" s="233">
        <f t="shared" si="72"/>
        <v>0</v>
      </c>
      <c r="AF169" s="233">
        <f t="shared" si="73"/>
        <v>0</v>
      </c>
      <c r="AG169" s="233">
        <f t="shared" si="74"/>
        <v>0</v>
      </c>
      <c r="AH169" s="238">
        <f t="shared" si="75"/>
        <v>0</v>
      </c>
      <c r="AI169" s="238">
        <f t="shared" si="76"/>
        <v>998399990</v>
      </c>
      <c r="AJ169" s="261">
        <f t="shared" si="77"/>
        <v>2001</v>
      </c>
      <c r="AK169" s="233">
        <f t="shared" si="78"/>
        <v>10</v>
      </c>
    </row>
    <row r="170" spans="1:37" s="116" customFormat="1" ht="35.25" hidden="1" customHeight="1" x14ac:dyDescent="0.2">
      <c r="B170" s="116" t="e">
        <f t="shared" si="64"/>
        <v>#N/A</v>
      </c>
      <c r="F170" s="218" t="str">
        <f t="shared" si="67"/>
        <v>4.13.01</v>
      </c>
      <c r="G170" s="53"/>
      <c r="H170" s="67" t="s">
        <v>529</v>
      </c>
      <c r="I170" s="33" t="s">
        <v>2494</v>
      </c>
      <c r="J170" s="63"/>
      <c r="K170" s="33" t="s">
        <v>484</v>
      </c>
      <c r="L170" s="360" t="s">
        <v>488</v>
      </c>
      <c r="M170" s="40"/>
      <c r="N170" s="360"/>
      <c r="O170" s="72" t="s">
        <v>664</v>
      </c>
      <c r="P170" s="33">
        <v>2001</v>
      </c>
      <c r="Q170" s="40"/>
      <c r="R170" s="40"/>
      <c r="S170" s="40" t="s">
        <v>384</v>
      </c>
      <c r="T170" s="40" t="s">
        <v>12</v>
      </c>
      <c r="U170" s="251">
        <v>1248000000</v>
      </c>
      <c r="V170" s="33" t="s">
        <v>43</v>
      </c>
      <c r="W170" s="127"/>
      <c r="X170" s="206" t="str">
        <f t="shared" si="62"/>
        <v>4.13.01</v>
      </c>
      <c r="Y170" s="207" t="str">
        <f t="shared" si="65"/>
        <v>JALAN</v>
      </c>
      <c r="Z170" s="207">
        <f t="shared" si="66"/>
        <v>10</v>
      </c>
      <c r="AA170" s="233">
        <f t="shared" si="68"/>
        <v>124799999</v>
      </c>
      <c r="AB170" s="208">
        <f t="shared" si="69"/>
        <v>12</v>
      </c>
      <c r="AC170" s="233">
        <f t="shared" si="70"/>
        <v>1247999990</v>
      </c>
      <c r="AD170" s="233">
        <f t="shared" si="71"/>
        <v>0</v>
      </c>
      <c r="AE170" s="233">
        <f t="shared" si="72"/>
        <v>0</v>
      </c>
      <c r="AF170" s="233">
        <f t="shared" si="73"/>
        <v>0</v>
      </c>
      <c r="AG170" s="233">
        <f t="shared" si="74"/>
        <v>0</v>
      </c>
      <c r="AH170" s="238">
        <f t="shared" si="75"/>
        <v>0</v>
      </c>
      <c r="AI170" s="238">
        <f t="shared" si="76"/>
        <v>1247999990</v>
      </c>
      <c r="AJ170" s="261">
        <f t="shared" si="77"/>
        <v>2001</v>
      </c>
      <c r="AK170" s="233">
        <f t="shared" si="78"/>
        <v>10</v>
      </c>
    </row>
    <row r="171" spans="1:37" s="116" customFormat="1" ht="35.25" hidden="1" customHeight="1" x14ac:dyDescent="0.2">
      <c r="A171" s="116">
        <v>116</v>
      </c>
      <c r="B171" s="116" t="str">
        <f t="shared" si="64"/>
        <v>JL. DESA TEBERAU PANJANG - SEI. KUANTAN</v>
      </c>
      <c r="D171" s="116">
        <v>1</v>
      </c>
      <c r="E171" s="116" t="str">
        <f>A171&amp;"."&amp;D171</f>
        <v>116.1</v>
      </c>
      <c r="F171" s="218" t="str">
        <f t="shared" si="67"/>
        <v>4.13.01</v>
      </c>
      <c r="G171" s="53"/>
      <c r="H171" s="67" t="s">
        <v>529</v>
      </c>
      <c r="I171" s="33" t="s">
        <v>2494</v>
      </c>
      <c r="J171" s="63"/>
      <c r="K171" s="33" t="s">
        <v>484</v>
      </c>
      <c r="L171" s="360">
        <v>3100</v>
      </c>
      <c r="M171" s="40">
        <v>7</v>
      </c>
      <c r="N171" s="360">
        <v>21700</v>
      </c>
      <c r="O171" s="72" t="s">
        <v>666</v>
      </c>
      <c r="P171" s="33">
        <v>2001</v>
      </c>
      <c r="Q171" s="40"/>
      <c r="R171" s="40"/>
      <c r="S171" s="40" t="s">
        <v>384</v>
      </c>
      <c r="T171" s="40" t="s">
        <v>12</v>
      </c>
      <c r="U171" s="251">
        <v>1190400000</v>
      </c>
      <c r="V171" s="33" t="s">
        <v>43</v>
      </c>
      <c r="W171" s="127"/>
      <c r="X171" s="206" t="str">
        <f t="shared" si="62"/>
        <v>4.13.01</v>
      </c>
      <c r="Y171" s="207" t="str">
        <f t="shared" si="65"/>
        <v>JALAN</v>
      </c>
      <c r="Z171" s="207">
        <f t="shared" si="66"/>
        <v>10</v>
      </c>
      <c r="AA171" s="233">
        <f t="shared" si="68"/>
        <v>119039999</v>
      </c>
      <c r="AB171" s="208">
        <f t="shared" si="69"/>
        <v>12</v>
      </c>
      <c r="AC171" s="233">
        <f t="shared" si="70"/>
        <v>1190399990</v>
      </c>
      <c r="AD171" s="233">
        <f t="shared" si="71"/>
        <v>0</v>
      </c>
      <c r="AE171" s="233">
        <f t="shared" si="72"/>
        <v>0</v>
      </c>
      <c r="AF171" s="233">
        <f t="shared" si="73"/>
        <v>0</v>
      </c>
      <c r="AG171" s="233">
        <f t="shared" si="74"/>
        <v>0</v>
      </c>
      <c r="AH171" s="238">
        <f t="shared" si="75"/>
        <v>0</v>
      </c>
      <c r="AI171" s="238">
        <f t="shared" si="76"/>
        <v>1190399990</v>
      </c>
      <c r="AJ171" s="261">
        <f t="shared" si="77"/>
        <v>2001</v>
      </c>
      <c r="AK171" s="233">
        <f t="shared" si="78"/>
        <v>10</v>
      </c>
    </row>
    <row r="172" spans="1:37" s="116" customFormat="1" ht="35.25" hidden="1" customHeight="1" x14ac:dyDescent="0.2">
      <c r="A172" s="116">
        <v>182</v>
      </c>
      <c r="B172" s="116" t="str">
        <f t="shared" si="64"/>
        <v>LOGAS TANAH DARAT - SEI. RAMBAI</v>
      </c>
      <c r="D172" s="116">
        <v>1</v>
      </c>
      <c r="E172" s="116" t="str">
        <f>A172&amp;"."&amp;D172</f>
        <v>182.1</v>
      </c>
      <c r="F172" s="218" t="str">
        <f t="shared" si="67"/>
        <v>4.13.01</v>
      </c>
      <c r="G172" s="53"/>
      <c r="H172" s="67" t="s">
        <v>529</v>
      </c>
      <c r="I172" s="33" t="s">
        <v>2494</v>
      </c>
      <c r="J172" s="63"/>
      <c r="K172" s="33" t="s">
        <v>525</v>
      </c>
      <c r="L172" s="360" t="s">
        <v>667</v>
      </c>
      <c r="M172" s="40">
        <v>7</v>
      </c>
      <c r="N172" s="360">
        <v>7525</v>
      </c>
      <c r="O172" s="72" t="s">
        <v>668</v>
      </c>
      <c r="P172" s="33">
        <v>2001</v>
      </c>
      <c r="Q172" s="40"/>
      <c r="R172" s="40"/>
      <c r="S172" s="40" t="s">
        <v>384</v>
      </c>
      <c r="T172" s="40" t="s">
        <v>12</v>
      </c>
      <c r="U172" s="251">
        <v>580500000</v>
      </c>
      <c r="V172" s="33" t="s">
        <v>43</v>
      </c>
      <c r="W172" s="127"/>
      <c r="X172" s="206" t="str">
        <f t="shared" si="62"/>
        <v>4.13.01</v>
      </c>
      <c r="Y172" s="207" t="str">
        <f t="shared" si="65"/>
        <v>JALAN</v>
      </c>
      <c r="Z172" s="207">
        <f t="shared" si="66"/>
        <v>10</v>
      </c>
      <c r="AA172" s="233">
        <f t="shared" si="68"/>
        <v>58049999</v>
      </c>
      <c r="AB172" s="208">
        <f t="shared" si="69"/>
        <v>12</v>
      </c>
      <c r="AC172" s="233">
        <f t="shared" si="70"/>
        <v>580499990</v>
      </c>
      <c r="AD172" s="233">
        <f t="shared" si="71"/>
        <v>0</v>
      </c>
      <c r="AE172" s="233">
        <f t="shared" si="72"/>
        <v>0</v>
      </c>
      <c r="AF172" s="233">
        <f t="shared" si="73"/>
        <v>0</v>
      </c>
      <c r="AG172" s="233">
        <f t="shared" si="74"/>
        <v>0</v>
      </c>
      <c r="AH172" s="238">
        <f t="shared" si="75"/>
        <v>0</v>
      </c>
      <c r="AI172" s="238">
        <f t="shared" si="76"/>
        <v>580499990</v>
      </c>
      <c r="AJ172" s="261">
        <f t="shared" si="77"/>
        <v>2001</v>
      </c>
      <c r="AK172" s="233">
        <f t="shared" si="78"/>
        <v>10</v>
      </c>
    </row>
    <row r="173" spans="1:37" s="116" customFormat="1" ht="35.25" hidden="1" customHeight="1" x14ac:dyDescent="0.2">
      <c r="B173" s="116" t="e">
        <f t="shared" si="64"/>
        <v>#N/A</v>
      </c>
      <c r="F173" s="218" t="str">
        <f t="shared" si="67"/>
        <v>4.13.01</v>
      </c>
      <c r="G173" s="53"/>
      <c r="H173" s="67" t="s">
        <v>529</v>
      </c>
      <c r="I173" s="33" t="s">
        <v>2494</v>
      </c>
      <c r="J173" s="63"/>
      <c r="K173" s="33" t="s">
        <v>8</v>
      </c>
      <c r="L173" s="360" t="s">
        <v>580</v>
      </c>
      <c r="M173" s="40"/>
      <c r="N173" s="360"/>
      <c r="O173" s="72" t="s">
        <v>669</v>
      </c>
      <c r="P173" s="33">
        <v>2001</v>
      </c>
      <c r="Q173" s="40"/>
      <c r="R173" s="40"/>
      <c r="S173" s="40" t="s">
        <v>384</v>
      </c>
      <c r="T173" s="40" t="s">
        <v>12</v>
      </c>
      <c r="U173" s="251">
        <v>261000000</v>
      </c>
      <c r="V173" s="33" t="s">
        <v>43</v>
      </c>
      <c r="W173" s="127"/>
      <c r="X173" s="206" t="str">
        <f t="shared" si="62"/>
        <v>4.13.01</v>
      </c>
      <c r="Y173" s="207" t="str">
        <f t="shared" si="65"/>
        <v>JALAN</v>
      </c>
      <c r="Z173" s="207">
        <f t="shared" si="66"/>
        <v>10</v>
      </c>
      <c r="AA173" s="233">
        <f t="shared" si="68"/>
        <v>26099999</v>
      </c>
      <c r="AB173" s="208">
        <f t="shared" si="69"/>
        <v>12</v>
      </c>
      <c r="AC173" s="233">
        <f t="shared" si="70"/>
        <v>260999990</v>
      </c>
      <c r="AD173" s="233">
        <f t="shared" si="71"/>
        <v>0</v>
      </c>
      <c r="AE173" s="233">
        <f t="shared" si="72"/>
        <v>0</v>
      </c>
      <c r="AF173" s="233">
        <f t="shared" si="73"/>
        <v>0</v>
      </c>
      <c r="AG173" s="233">
        <f t="shared" si="74"/>
        <v>0</v>
      </c>
      <c r="AH173" s="238">
        <f t="shared" si="75"/>
        <v>0</v>
      </c>
      <c r="AI173" s="238">
        <f t="shared" si="76"/>
        <v>260999990</v>
      </c>
      <c r="AJ173" s="261">
        <f t="shared" si="77"/>
        <v>2001</v>
      </c>
      <c r="AK173" s="233">
        <f t="shared" si="78"/>
        <v>10</v>
      </c>
    </row>
    <row r="174" spans="1:37" s="116" customFormat="1" ht="35.25" hidden="1" customHeight="1" x14ac:dyDescent="0.2">
      <c r="B174" s="116" t="e">
        <f t="shared" si="64"/>
        <v>#N/A</v>
      </c>
      <c r="F174" s="218" t="str">
        <f t="shared" si="67"/>
        <v>4.13.01</v>
      </c>
      <c r="G174" s="53"/>
      <c r="H174" s="67" t="s">
        <v>529</v>
      </c>
      <c r="I174" s="33" t="s">
        <v>2494</v>
      </c>
      <c r="J174" s="63"/>
      <c r="K174" s="33" t="s">
        <v>525</v>
      </c>
      <c r="L174" s="360" t="s">
        <v>670</v>
      </c>
      <c r="M174" s="40"/>
      <c r="N174" s="360"/>
      <c r="O174" s="72" t="s">
        <v>671</v>
      </c>
      <c r="P174" s="33">
        <v>2001</v>
      </c>
      <c r="Q174" s="40"/>
      <c r="R174" s="40"/>
      <c r="S174" s="40" t="s">
        <v>384</v>
      </c>
      <c r="T174" s="40" t="s">
        <v>12</v>
      </c>
      <c r="U174" s="251">
        <v>3159000000</v>
      </c>
      <c r="V174" s="33" t="s">
        <v>43</v>
      </c>
      <c r="W174" s="127"/>
      <c r="X174" s="206" t="str">
        <f t="shared" si="62"/>
        <v>4.13.01</v>
      </c>
      <c r="Y174" s="207" t="str">
        <f t="shared" si="65"/>
        <v>JALAN</v>
      </c>
      <c r="Z174" s="207">
        <f t="shared" si="66"/>
        <v>10</v>
      </c>
      <c r="AA174" s="233">
        <f t="shared" si="68"/>
        <v>315899999</v>
      </c>
      <c r="AB174" s="208">
        <f t="shared" si="69"/>
        <v>12</v>
      </c>
      <c r="AC174" s="233">
        <f t="shared" si="70"/>
        <v>3158999990</v>
      </c>
      <c r="AD174" s="233">
        <f t="shared" si="71"/>
        <v>0</v>
      </c>
      <c r="AE174" s="233">
        <f t="shared" si="72"/>
        <v>0</v>
      </c>
      <c r="AF174" s="233">
        <f t="shared" si="73"/>
        <v>0</v>
      </c>
      <c r="AG174" s="233">
        <f t="shared" si="74"/>
        <v>0</v>
      </c>
      <c r="AH174" s="238">
        <f t="shared" si="75"/>
        <v>0</v>
      </c>
      <c r="AI174" s="238">
        <f t="shared" si="76"/>
        <v>3158999990</v>
      </c>
      <c r="AJ174" s="261">
        <f t="shared" si="77"/>
        <v>2001</v>
      </c>
      <c r="AK174" s="233">
        <f t="shared" si="78"/>
        <v>10</v>
      </c>
    </row>
    <row r="175" spans="1:37" s="116" customFormat="1" ht="35.25" hidden="1" customHeight="1" x14ac:dyDescent="0.2">
      <c r="A175" s="116">
        <v>184</v>
      </c>
      <c r="B175" s="116" t="str">
        <f t="shared" si="64"/>
        <v>LOGAS TANAH DARAT - HULU TESO</v>
      </c>
      <c r="D175" s="116">
        <v>1</v>
      </c>
      <c r="E175" s="116" t="str">
        <f>A175&amp;"."&amp;D175</f>
        <v>184.1</v>
      </c>
      <c r="F175" s="218" t="str">
        <f t="shared" si="67"/>
        <v>4.13.01</v>
      </c>
      <c r="G175" s="53"/>
      <c r="H175" s="67" t="s">
        <v>529</v>
      </c>
      <c r="I175" s="33" t="s">
        <v>2494</v>
      </c>
      <c r="J175" s="63"/>
      <c r="K175" s="33" t="s">
        <v>525</v>
      </c>
      <c r="L175" s="360">
        <v>17300</v>
      </c>
      <c r="M175" s="40">
        <v>8</v>
      </c>
      <c r="N175" s="360">
        <v>138400</v>
      </c>
      <c r="O175" s="72" t="s">
        <v>672</v>
      </c>
      <c r="P175" s="33">
        <v>2001</v>
      </c>
      <c r="Q175" s="40"/>
      <c r="R175" s="40"/>
      <c r="S175" s="40" t="s">
        <v>384</v>
      </c>
      <c r="T175" s="40" t="s">
        <v>12</v>
      </c>
      <c r="U175" s="251">
        <v>6552000000</v>
      </c>
      <c r="V175" s="33" t="s">
        <v>43</v>
      </c>
      <c r="W175" s="127"/>
      <c r="X175" s="206" t="str">
        <f t="shared" si="62"/>
        <v>4.13.01</v>
      </c>
      <c r="Y175" s="207" t="str">
        <f t="shared" si="65"/>
        <v>JALAN</v>
      </c>
      <c r="Z175" s="207">
        <f t="shared" si="66"/>
        <v>10</v>
      </c>
      <c r="AA175" s="233">
        <f t="shared" si="68"/>
        <v>655199999</v>
      </c>
      <c r="AB175" s="208">
        <f t="shared" si="69"/>
        <v>12</v>
      </c>
      <c r="AC175" s="233">
        <f t="shared" si="70"/>
        <v>6551999990</v>
      </c>
      <c r="AD175" s="233">
        <f t="shared" si="71"/>
        <v>0</v>
      </c>
      <c r="AE175" s="233">
        <f t="shared" si="72"/>
        <v>0</v>
      </c>
      <c r="AF175" s="233">
        <f t="shared" si="73"/>
        <v>0</v>
      </c>
      <c r="AG175" s="233">
        <f t="shared" si="74"/>
        <v>0</v>
      </c>
      <c r="AH175" s="238">
        <f t="shared" si="75"/>
        <v>0</v>
      </c>
      <c r="AI175" s="238">
        <f t="shared" si="76"/>
        <v>6551999990</v>
      </c>
      <c r="AJ175" s="261">
        <f t="shared" si="77"/>
        <v>2001</v>
      </c>
      <c r="AK175" s="233">
        <f t="shared" si="78"/>
        <v>10</v>
      </c>
    </row>
    <row r="176" spans="1:37" s="116" customFormat="1" ht="35.25" hidden="1" customHeight="1" x14ac:dyDescent="0.2">
      <c r="A176" s="116">
        <v>181</v>
      </c>
      <c r="B176" s="116" t="str">
        <f t="shared" si="64"/>
        <v>SIMP. RAMBAHAN - RAMBAHAN</v>
      </c>
      <c r="D176" s="116">
        <v>1</v>
      </c>
      <c r="E176" s="116" t="str">
        <f>A176&amp;"."&amp;D176</f>
        <v>181.1</v>
      </c>
      <c r="F176" s="218" t="str">
        <f t="shared" si="67"/>
        <v>4.13.01</v>
      </c>
      <c r="G176" s="53"/>
      <c r="H176" s="67" t="s">
        <v>529</v>
      </c>
      <c r="I176" s="33" t="s">
        <v>2494</v>
      </c>
      <c r="J176" s="63"/>
      <c r="K176" s="33" t="s">
        <v>8</v>
      </c>
      <c r="L176" s="360">
        <v>4000</v>
      </c>
      <c r="M176" s="40">
        <v>7</v>
      </c>
      <c r="N176" s="360">
        <v>28000</v>
      </c>
      <c r="O176" s="72" t="s">
        <v>674</v>
      </c>
      <c r="P176" s="33">
        <v>2001</v>
      </c>
      <c r="Q176" s="40"/>
      <c r="R176" s="40"/>
      <c r="S176" s="40" t="s">
        <v>384</v>
      </c>
      <c r="T176" s="40" t="s">
        <v>12</v>
      </c>
      <c r="U176" s="251">
        <v>765000000</v>
      </c>
      <c r="V176" s="33" t="s">
        <v>43</v>
      </c>
      <c r="W176" s="127"/>
      <c r="X176" s="206" t="str">
        <f t="shared" si="62"/>
        <v>4.13.01</v>
      </c>
      <c r="Y176" s="207" t="str">
        <f t="shared" si="65"/>
        <v>JALAN</v>
      </c>
      <c r="Z176" s="207">
        <f t="shared" si="66"/>
        <v>10</v>
      </c>
      <c r="AA176" s="233">
        <f t="shared" si="68"/>
        <v>76499999</v>
      </c>
      <c r="AB176" s="208">
        <f t="shared" si="69"/>
        <v>12</v>
      </c>
      <c r="AC176" s="233">
        <f t="shared" si="70"/>
        <v>764999990</v>
      </c>
      <c r="AD176" s="233">
        <f t="shared" si="71"/>
        <v>0</v>
      </c>
      <c r="AE176" s="233">
        <f t="shared" si="72"/>
        <v>0</v>
      </c>
      <c r="AF176" s="233">
        <f t="shared" si="73"/>
        <v>0</v>
      </c>
      <c r="AG176" s="233">
        <f t="shared" si="74"/>
        <v>0</v>
      </c>
      <c r="AH176" s="238">
        <f t="shared" si="75"/>
        <v>0</v>
      </c>
      <c r="AI176" s="238">
        <f t="shared" si="76"/>
        <v>764999990</v>
      </c>
      <c r="AJ176" s="261">
        <f t="shared" si="77"/>
        <v>2001</v>
      </c>
      <c r="AK176" s="233">
        <f t="shared" si="78"/>
        <v>10</v>
      </c>
    </row>
    <row r="177" spans="1:37" s="116" customFormat="1" ht="35.25" hidden="1" customHeight="1" x14ac:dyDescent="0.2">
      <c r="B177" s="116" t="e">
        <f t="shared" si="64"/>
        <v>#N/A</v>
      </c>
      <c r="F177" s="218" t="str">
        <f t="shared" si="67"/>
        <v>4.13.01</v>
      </c>
      <c r="G177" s="53"/>
      <c r="H177" s="67" t="s">
        <v>529</v>
      </c>
      <c r="I177" s="33" t="s">
        <v>2494</v>
      </c>
      <c r="J177" s="63"/>
      <c r="K177" s="33" t="s">
        <v>525</v>
      </c>
      <c r="L177" s="360" t="s">
        <v>675</v>
      </c>
      <c r="M177" s="40"/>
      <c r="N177" s="360"/>
      <c r="O177" s="72" t="s">
        <v>3083</v>
      </c>
      <c r="P177" s="33">
        <v>2001</v>
      </c>
      <c r="Q177" s="40"/>
      <c r="R177" s="40"/>
      <c r="S177" s="40" t="s">
        <v>482</v>
      </c>
      <c r="T177" s="40" t="s">
        <v>12</v>
      </c>
      <c r="U177" s="251">
        <v>6048000000</v>
      </c>
      <c r="V177" s="33" t="s">
        <v>43</v>
      </c>
      <c r="W177" s="127"/>
      <c r="X177" s="206" t="str">
        <f t="shared" si="62"/>
        <v>4.13.01</v>
      </c>
      <c r="Y177" s="207" t="str">
        <f t="shared" si="65"/>
        <v>JALAN</v>
      </c>
      <c r="Z177" s="207">
        <f t="shared" si="66"/>
        <v>10</v>
      </c>
      <c r="AA177" s="233">
        <f t="shared" si="68"/>
        <v>604799999</v>
      </c>
      <c r="AB177" s="208">
        <f t="shared" si="69"/>
        <v>12</v>
      </c>
      <c r="AC177" s="233">
        <f t="shared" si="70"/>
        <v>6047999990</v>
      </c>
      <c r="AD177" s="233">
        <f t="shared" si="71"/>
        <v>0</v>
      </c>
      <c r="AE177" s="233">
        <f t="shared" si="72"/>
        <v>0</v>
      </c>
      <c r="AF177" s="233">
        <f t="shared" si="73"/>
        <v>0</v>
      </c>
      <c r="AG177" s="233">
        <f t="shared" si="74"/>
        <v>0</v>
      </c>
      <c r="AH177" s="238">
        <f t="shared" si="75"/>
        <v>0</v>
      </c>
      <c r="AI177" s="238">
        <f t="shared" si="76"/>
        <v>6047999990</v>
      </c>
      <c r="AJ177" s="261">
        <f t="shared" si="77"/>
        <v>2001</v>
      </c>
      <c r="AK177" s="233">
        <f t="shared" si="78"/>
        <v>10</v>
      </c>
    </row>
    <row r="178" spans="1:37" s="116" customFormat="1" ht="35.25" hidden="1" customHeight="1" x14ac:dyDescent="0.2">
      <c r="A178" s="116">
        <v>186</v>
      </c>
      <c r="B178" s="116" t="str">
        <f t="shared" si="64"/>
        <v>SAKO MARGA SARI - KUANTAN SAKO</v>
      </c>
      <c r="D178" s="116">
        <v>1</v>
      </c>
      <c r="E178" s="116" t="str">
        <f>A178&amp;"."&amp;D178</f>
        <v>186.1</v>
      </c>
      <c r="F178" s="218" t="str">
        <f t="shared" si="67"/>
        <v>4.13.01</v>
      </c>
      <c r="G178" s="53"/>
      <c r="H178" s="67" t="s">
        <v>529</v>
      </c>
      <c r="I178" s="33" t="s">
        <v>2494</v>
      </c>
      <c r="J178" s="63"/>
      <c r="K178" s="33" t="s">
        <v>484</v>
      </c>
      <c r="L178" s="360" t="s">
        <v>673</v>
      </c>
      <c r="M178" s="40">
        <v>8</v>
      </c>
      <c r="N178" s="360">
        <v>40800</v>
      </c>
      <c r="O178" s="72" t="s">
        <v>676</v>
      </c>
      <c r="P178" s="33">
        <v>2001</v>
      </c>
      <c r="Q178" s="40"/>
      <c r="R178" s="40"/>
      <c r="S178" s="40" t="s">
        <v>482</v>
      </c>
      <c r="T178" s="40" t="s">
        <v>12</v>
      </c>
      <c r="U178" s="251">
        <v>2937600000</v>
      </c>
      <c r="V178" s="33" t="s">
        <v>43</v>
      </c>
      <c r="W178" s="127"/>
      <c r="X178" s="206" t="str">
        <f t="shared" si="62"/>
        <v>4.13.01</v>
      </c>
      <c r="Y178" s="207" t="str">
        <f t="shared" si="65"/>
        <v>JALAN</v>
      </c>
      <c r="Z178" s="207">
        <f t="shared" si="66"/>
        <v>10</v>
      </c>
      <c r="AA178" s="233">
        <f t="shared" si="68"/>
        <v>293759999</v>
      </c>
      <c r="AB178" s="208">
        <f t="shared" si="69"/>
        <v>12</v>
      </c>
      <c r="AC178" s="233">
        <f t="shared" si="70"/>
        <v>2937599990</v>
      </c>
      <c r="AD178" s="233">
        <f t="shared" si="71"/>
        <v>0</v>
      </c>
      <c r="AE178" s="233">
        <f t="shared" si="72"/>
        <v>0</v>
      </c>
      <c r="AF178" s="233">
        <f t="shared" si="73"/>
        <v>0</v>
      </c>
      <c r="AG178" s="233">
        <f t="shared" si="74"/>
        <v>0</v>
      </c>
      <c r="AH178" s="238">
        <f t="shared" si="75"/>
        <v>0</v>
      </c>
      <c r="AI178" s="238">
        <f t="shared" si="76"/>
        <v>2937599990</v>
      </c>
      <c r="AJ178" s="261">
        <f t="shared" si="77"/>
        <v>2001</v>
      </c>
      <c r="AK178" s="233">
        <f t="shared" si="78"/>
        <v>10</v>
      </c>
    </row>
    <row r="179" spans="1:37" s="116" customFormat="1" ht="35.25" hidden="1" customHeight="1" x14ac:dyDescent="0.2">
      <c r="A179" s="116">
        <v>95</v>
      </c>
      <c r="B179" s="116" t="str">
        <f t="shared" si="64"/>
        <v>KASANG - BUKIT KAUMAN</v>
      </c>
      <c r="D179" s="116">
        <v>1</v>
      </c>
      <c r="E179" s="116" t="str">
        <f>A179&amp;"."&amp;D179</f>
        <v>95.1</v>
      </c>
      <c r="F179" s="218" t="str">
        <f t="shared" si="67"/>
        <v>4.13.01</v>
      </c>
      <c r="G179" s="53"/>
      <c r="H179" s="67" t="s">
        <v>529</v>
      </c>
      <c r="I179" s="33" t="s">
        <v>2494</v>
      </c>
      <c r="J179" s="63"/>
      <c r="K179" s="33" t="s">
        <v>8</v>
      </c>
      <c r="L179" s="360">
        <v>4000</v>
      </c>
      <c r="M179" s="40">
        <v>7</v>
      </c>
      <c r="N179" s="360">
        <v>28000</v>
      </c>
      <c r="O179" s="72" t="s">
        <v>677</v>
      </c>
      <c r="P179" s="33">
        <v>2001</v>
      </c>
      <c r="Q179" s="40"/>
      <c r="R179" s="40"/>
      <c r="S179" s="40" t="s">
        <v>384</v>
      </c>
      <c r="T179" s="40" t="s">
        <v>12</v>
      </c>
      <c r="U179" s="251">
        <v>720000000</v>
      </c>
      <c r="V179" s="33" t="s">
        <v>43</v>
      </c>
      <c r="W179" s="127"/>
      <c r="X179" s="206" t="str">
        <f t="shared" si="62"/>
        <v>4.13.01</v>
      </c>
      <c r="Y179" s="207" t="str">
        <f t="shared" si="65"/>
        <v>JALAN</v>
      </c>
      <c r="Z179" s="207">
        <f t="shared" si="66"/>
        <v>10</v>
      </c>
      <c r="AA179" s="233">
        <f t="shared" si="68"/>
        <v>71999999</v>
      </c>
      <c r="AB179" s="208">
        <f t="shared" si="69"/>
        <v>12</v>
      </c>
      <c r="AC179" s="233">
        <f t="shared" si="70"/>
        <v>719999990</v>
      </c>
      <c r="AD179" s="233">
        <f t="shared" si="71"/>
        <v>0</v>
      </c>
      <c r="AE179" s="233">
        <f t="shared" si="72"/>
        <v>0</v>
      </c>
      <c r="AF179" s="233">
        <f t="shared" si="73"/>
        <v>0</v>
      </c>
      <c r="AG179" s="233">
        <f t="shared" si="74"/>
        <v>0</v>
      </c>
      <c r="AH179" s="238">
        <f t="shared" si="75"/>
        <v>0</v>
      </c>
      <c r="AI179" s="238">
        <f t="shared" si="76"/>
        <v>719999990</v>
      </c>
      <c r="AJ179" s="261">
        <f t="shared" si="77"/>
        <v>2001</v>
      </c>
      <c r="AK179" s="233">
        <f t="shared" si="78"/>
        <v>10</v>
      </c>
    </row>
    <row r="180" spans="1:37" s="116" customFormat="1" ht="35.25" hidden="1" customHeight="1" x14ac:dyDescent="0.2">
      <c r="A180" s="116">
        <v>96</v>
      </c>
      <c r="B180" s="116" t="str">
        <f t="shared" si="64"/>
        <v>KASANG - SIMP. 4 CENGAR</v>
      </c>
      <c r="D180" s="116">
        <v>1</v>
      </c>
      <c r="E180" s="116" t="str">
        <f>A180&amp;"."&amp;D180</f>
        <v>96.1</v>
      </c>
      <c r="F180" s="218" t="str">
        <f t="shared" si="67"/>
        <v>4.13.01</v>
      </c>
      <c r="G180" s="53"/>
      <c r="H180" s="67" t="s">
        <v>529</v>
      </c>
      <c r="I180" s="33" t="s">
        <v>2494</v>
      </c>
      <c r="J180" s="63"/>
      <c r="K180" s="33" t="s">
        <v>8</v>
      </c>
      <c r="L180" s="360">
        <v>4000</v>
      </c>
      <c r="M180" s="40">
        <v>10</v>
      </c>
      <c r="N180" s="360">
        <v>40000</v>
      </c>
      <c r="O180" s="72" t="s">
        <v>678</v>
      </c>
      <c r="P180" s="33">
        <v>2001</v>
      </c>
      <c r="Q180" s="40"/>
      <c r="R180" s="40"/>
      <c r="S180" s="40" t="s">
        <v>384</v>
      </c>
      <c r="T180" s="40" t="s">
        <v>12</v>
      </c>
      <c r="U180" s="251">
        <v>1080000000</v>
      </c>
      <c r="V180" s="33" t="s">
        <v>43</v>
      </c>
      <c r="W180" s="127"/>
      <c r="X180" s="206" t="str">
        <f t="shared" si="62"/>
        <v>4.13.01</v>
      </c>
      <c r="Y180" s="207" t="str">
        <f t="shared" si="65"/>
        <v>JALAN</v>
      </c>
      <c r="Z180" s="207">
        <f t="shared" si="66"/>
        <v>10</v>
      </c>
      <c r="AA180" s="233">
        <f t="shared" si="68"/>
        <v>107999999</v>
      </c>
      <c r="AB180" s="208">
        <f t="shared" si="69"/>
        <v>12</v>
      </c>
      <c r="AC180" s="233">
        <f t="shared" si="70"/>
        <v>1079999990</v>
      </c>
      <c r="AD180" s="233">
        <f t="shared" si="71"/>
        <v>0</v>
      </c>
      <c r="AE180" s="233">
        <f t="shared" si="72"/>
        <v>0</v>
      </c>
      <c r="AF180" s="233">
        <f t="shared" si="73"/>
        <v>0</v>
      </c>
      <c r="AG180" s="233">
        <f t="shared" si="74"/>
        <v>0</v>
      </c>
      <c r="AH180" s="238">
        <f t="shared" si="75"/>
        <v>0</v>
      </c>
      <c r="AI180" s="238">
        <f t="shared" si="76"/>
        <v>1079999990</v>
      </c>
      <c r="AJ180" s="261">
        <f t="shared" si="77"/>
        <v>2001</v>
      </c>
      <c r="AK180" s="233">
        <f t="shared" si="78"/>
        <v>10</v>
      </c>
    </row>
    <row r="181" spans="1:37" s="116" customFormat="1" ht="35.25" hidden="1" customHeight="1" x14ac:dyDescent="0.2">
      <c r="B181" s="116" t="e">
        <f t="shared" si="64"/>
        <v>#N/A</v>
      </c>
      <c r="F181" s="218" t="str">
        <f t="shared" si="67"/>
        <v>4.13.01</v>
      </c>
      <c r="G181" s="53"/>
      <c r="H181" s="67" t="s">
        <v>529</v>
      </c>
      <c r="I181" s="33" t="s">
        <v>2494</v>
      </c>
      <c r="J181" s="63"/>
      <c r="K181" s="33" t="s">
        <v>484</v>
      </c>
      <c r="L181" s="360" t="s">
        <v>679</v>
      </c>
      <c r="M181" s="40"/>
      <c r="N181" s="360"/>
      <c r="O181" s="72" t="s">
        <v>680</v>
      </c>
      <c r="P181" s="33">
        <v>2001</v>
      </c>
      <c r="Q181" s="40"/>
      <c r="R181" s="40"/>
      <c r="S181" s="40" t="s">
        <v>482</v>
      </c>
      <c r="T181" s="40" t="s">
        <v>12</v>
      </c>
      <c r="U181" s="251">
        <v>1011456000</v>
      </c>
      <c r="V181" s="33" t="s">
        <v>43</v>
      </c>
      <c r="W181" s="127"/>
      <c r="X181" s="206" t="str">
        <f t="shared" si="62"/>
        <v>4.13.01</v>
      </c>
      <c r="Y181" s="207" t="str">
        <f t="shared" si="65"/>
        <v>JALAN</v>
      </c>
      <c r="Z181" s="207">
        <f t="shared" si="66"/>
        <v>10</v>
      </c>
      <c r="AA181" s="233">
        <f t="shared" si="68"/>
        <v>101145599</v>
      </c>
      <c r="AB181" s="208">
        <f t="shared" si="69"/>
        <v>12</v>
      </c>
      <c r="AC181" s="233">
        <f t="shared" si="70"/>
        <v>1011455990</v>
      </c>
      <c r="AD181" s="233">
        <f t="shared" si="71"/>
        <v>0</v>
      </c>
      <c r="AE181" s="233">
        <f t="shared" si="72"/>
        <v>0</v>
      </c>
      <c r="AF181" s="233">
        <f t="shared" si="73"/>
        <v>0</v>
      </c>
      <c r="AG181" s="233">
        <f t="shared" si="74"/>
        <v>0</v>
      </c>
      <c r="AH181" s="238">
        <f t="shared" si="75"/>
        <v>0</v>
      </c>
      <c r="AI181" s="238">
        <f t="shared" si="76"/>
        <v>1011455990</v>
      </c>
      <c r="AJ181" s="261">
        <f t="shared" si="77"/>
        <v>2001</v>
      </c>
      <c r="AK181" s="233">
        <f t="shared" si="78"/>
        <v>10</v>
      </c>
    </row>
    <row r="182" spans="1:37" s="116" customFormat="1" ht="35.25" hidden="1" customHeight="1" x14ac:dyDescent="0.2">
      <c r="A182" s="116">
        <v>93</v>
      </c>
      <c r="B182" s="116" t="str">
        <f t="shared" si="64"/>
        <v>SIMP. KINALI - BUKIT KAUMAN</v>
      </c>
      <c r="D182" s="116">
        <v>1</v>
      </c>
      <c r="E182" s="116" t="str">
        <f>A182&amp;"."&amp;D182</f>
        <v>93.1</v>
      </c>
      <c r="F182" s="218" t="str">
        <f t="shared" si="67"/>
        <v>4.13.01</v>
      </c>
      <c r="G182" s="53"/>
      <c r="H182" s="67" t="s">
        <v>529</v>
      </c>
      <c r="I182" s="33" t="s">
        <v>2494</v>
      </c>
      <c r="J182" s="63"/>
      <c r="K182" s="33" t="s">
        <v>479</v>
      </c>
      <c r="L182" s="360" t="s">
        <v>480</v>
      </c>
      <c r="M182" s="40">
        <v>7</v>
      </c>
      <c r="N182" s="360">
        <v>28000</v>
      </c>
      <c r="O182" s="72" t="s">
        <v>681</v>
      </c>
      <c r="P182" s="33">
        <v>2001</v>
      </c>
      <c r="Q182" s="40"/>
      <c r="R182" s="40"/>
      <c r="S182" s="40" t="s">
        <v>482</v>
      </c>
      <c r="T182" s="40" t="s">
        <v>12</v>
      </c>
      <c r="U182" s="251">
        <v>3640000000</v>
      </c>
      <c r="V182" s="33" t="s">
        <v>43</v>
      </c>
      <c r="W182" s="127"/>
      <c r="X182" s="206" t="str">
        <f t="shared" si="62"/>
        <v>4.13.01</v>
      </c>
      <c r="Y182" s="207" t="str">
        <f t="shared" si="65"/>
        <v>JALAN</v>
      </c>
      <c r="Z182" s="207">
        <f t="shared" si="66"/>
        <v>10</v>
      </c>
      <c r="AA182" s="233">
        <f t="shared" si="68"/>
        <v>363999999</v>
      </c>
      <c r="AB182" s="208">
        <f t="shared" si="69"/>
        <v>12</v>
      </c>
      <c r="AC182" s="233">
        <f t="shared" si="70"/>
        <v>3639999990</v>
      </c>
      <c r="AD182" s="233">
        <f t="shared" si="71"/>
        <v>0</v>
      </c>
      <c r="AE182" s="233">
        <f t="shared" si="72"/>
        <v>0</v>
      </c>
      <c r="AF182" s="233">
        <f t="shared" si="73"/>
        <v>0</v>
      </c>
      <c r="AG182" s="233">
        <f t="shared" si="74"/>
        <v>0</v>
      </c>
      <c r="AH182" s="238">
        <f t="shared" si="75"/>
        <v>0</v>
      </c>
      <c r="AI182" s="238">
        <f t="shared" si="76"/>
        <v>3639999990</v>
      </c>
      <c r="AJ182" s="261">
        <f t="shared" si="77"/>
        <v>2001</v>
      </c>
      <c r="AK182" s="233">
        <f t="shared" si="78"/>
        <v>10</v>
      </c>
    </row>
    <row r="183" spans="1:37" s="116" customFormat="1" ht="35.25" hidden="1" customHeight="1" x14ac:dyDescent="0.2">
      <c r="A183" s="116">
        <v>112</v>
      </c>
      <c r="B183" s="116" t="str">
        <f t="shared" si="64"/>
        <v>KASANG - Ps LBK. JAMBI</v>
      </c>
      <c r="D183" s="116">
        <v>1</v>
      </c>
      <c r="E183" s="116" t="str">
        <f>A183&amp;"."&amp;D183</f>
        <v>112.1</v>
      </c>
      <c r="F183" s="218" t="str">
        <f t="shared" si="67"/>
        <v>4.13.01</v>
      </c>
      <c r="G183" s="53"/>
      <c r="H183" s="67" t="s">
        <v>529</v>
      </c>
      <c r="I183" s="33" t="s">
        <v>2494</v>
      </c>
      <c r="J183" s="63"/>
      <c r="K183" s="33" t="s">
        <v>525</v>
      </c>
      <c r="L183" s="360">
        <v>3500</v>
      </c>
      <c r="M183" s="40">
        <v>7</v>
      </c>
      <c r="N183" s="360">
        <v>24500</v>
      </c>
      <c r="O183" s="72" t="s">
        <v>682</v>
      </c>
      <c r="P183" s="33">
        <v>2001</v>
      </c>
      <c r="Q183" s="40"/>
      <c r="R183" s="40"/>
      <c r="S183" s="40" t="s">
        <v>384</v>
      </c>
      <c r="T183" s="40" t="s">
        <v>12</v>
      </c>
      <c r="U183" s="251">
        <v>3071250000</v>
      </c>
      <c r="V183" s="33" t="s">
        <v>43</v>
      </c>
      <c r="W183" s="127"/>
      <c r="X183" s="206" t="str">
        <f t="shared" si="62"/>
        <v>4.13.01</v>
      </c>
      <c r="Y183" s="207" t="str">
        <f t="shared" si="65"/>
        <v>JALAN</v>
      </c>
      <c r="Z183" s="207">
        <f t="shared" si="66"/>
        <v>10</v>
      </c>
      <c r="AA183" s="233">
        <f t="shared" si="68"/>
        <v>307124999</v>
      </c>
      <c r="AB183" s="208">
        <f t="shared" si="69"/>
        <v>12</v>
      </c>
      <c r="AC183" s="233">
        <f t="shared" si="70"/>
        <v>3071249990</v>
      </c>
      <c r="AD183" s="233">
        <f t="shared" si="71"/>
        <v>0</v>
      </c>
      <c r="AE183" s="233">
        <f t="shared" si="72"/>
        <v>0</v>
      </c>
      <c r="AF183" s="233">
        <f t="shared" si="73"/>
        <v>0</v>
      </c>
      <c r="AG183" s="233">
        <f t="shared" si="74"/>
        <v>0</v>
      </c>
      <c r="AH183" s="238">
        <f t="shared" si="75"/>
        <v>0</v>
      </c>
      <c r="AI183" s="238">
        <f t="shared" si="76"/>
        <v>3071249990</v>
      </c>
      <c r="AJ183" s="261">
        <f t="shared" si="77"/>
        <v>2001</v>
      </c>
      <c r="AK183" s="233">
        <f t="shared" si="78"/>
        <v>10</v>
      </c>
    </row>
    <row r="184" spans="1:37" s="116" customFormat="1" ht="35.25" hidden="1" customHeight="1" x14ac:dyDescent="0.2">
      <c r="A184" s="116">
        <v>293</v>
      </c>
      <c r="B184" s="116" t="str">
        <f t="shared" si="64"/>
        <v>TELUK PAUH - BATAS INHU</v>
      </c>
      <c r="D184" s="116">
        <v>1</v>
      </c>
      <c r="E184" s="116" t="str">
        <f>A184&amp;"."&amp;D184</f>
        <v>293.1</v>
      </c>
      <c r="F184" s="218" t="str">
        <f t="shared" si="67"/>
        <v>4.13.01</v>
      </c>
      <c r="G184" s="53"/>
      <c r="H184" s="67" t="s">
        <v>529</v>
      </c>
      <c r="I184" s="33" t="s">
        <v>2494</v>
      </c>
      <c r="J184" s="63"/>
      <c r="K184" s="33" t="s">
        <v>525</v>
      </c>
      <c r="L184" s="360" t="s">
        <v>522</v>
      </c>
      <c r="M184" s="40">
        <v>7</v>
      </c>
      <c r="N184" s="360">
        <v>42000</v>
      </c>
      <c r="O184" s="72" t="s">
        <v>683</v>
      </c>
      <c r="P184" s="33">
        <v>2001</v>
      </c>
      <c r="Q184" s="40"/>
      <c r="R184" s="40"/>
      <c r="S184" s="40" t="s">
        <v>384</v>
      </c>
      <c r="T184" s="40" t="s">
        <v>12</v>
      </c>
      <c r="U184" s="251">
        <v>3240000000</v>
      </c>
      <c r="V184" s="33" t="s">
        <v>43</v>
      </c>
      <c r="W184" s="127"/>
      <c r="X184" s="206" t="str">
        <f t="shared" si="62"/>
        <v>4.13.01</v>
      </c>
      <c r="Y184" s="207" t="str">
        <f t="shared" si="65"/>
        <v>JALAN</v>
      </c>
      <c r="Z184" s="207">
        <f t="shared" si="66"/>
        <v>10</v>
      </c>
      <c r="AA184" s="233">
        <f t="shared" si="68"/>
        <v>323999999</v>
      </c>
      <c r="AB184" s="208">
        <f t="shared" si="69"/>
        <v>12</v>
      </c>
      <c r="AC184" s="233">
        <f t="shared" si="70"/>
        <v>3239999990</v>
      </c>
      <c r="AD184" s="233">
        <f t="shared" si="71"/>
        <v>0</v>
      </c>
      <c r="AE184" s="233">
        <f t="shared" si="72"/>
        <v>0</v>
      </c>
      <c r="AF184" s="233">
        <f t="shared" si="73"/>
        <v>0</v>
      </c>
      <c r="AG184" s="233">
        <f t="shared" si="74"/>
        <v>0</v>
      </c>
      <c r="AH184" s="238">
        <f t="shared" si="75"/>
        <v>0</v>
      </c>
      <c r="AI184" s="238">
        <f t="shared" si="76"/>
        <v>3239999990</v>
      </c>
      <c r="AJ184" s="261">
        <f t="shared" si="77"/>
        <v>2001</v>
      </c>
      <c r="AK184" s="233">
        <f t="shared" si="78"/>
        <v>10</v>
      </c>
    </row>
    <row r="185" spans="1:37" s="116" customFormat="1" ht="35.25" hidden="1" customHeight="1" x14ac:dyDescent="0.2">
      <c r="B185" s="116" t="e">
        <f t="shared" si="64"/>
        <v>#N/A</v>
      </c>
      <c r="F185" s="218" t="str">
        <f t="shared" si="67"/>
        <v>4.13.01</v>
      </c>
      <c r="G185" s="53"/>
      <c r="H185" s="67" t="s">
        <v>529</v>
      </c>
      <c r="I185" s="33" t="s">
        <v>2494</v>
      </c>
      <c r="J185" s="63"/>
      <c r="K185" s="33" t="s">
        <v>525</v>
      </c>
      <c r="L185" s="360" t="s">
        <v>501</v>
      </c>
      <c r="M185" s="40"/>
      <c r="N185" s="360"/>
      <c r="O185" s="72" t="s">
        <v>684</v>
      </c>
      <c r="P185" s="33">
        <v>2001</v>
      </c>
      <c r="Q185" s="40"/>
      <c r="R185" s="40"/>
      <c r="S185" s="40" t="s">
        <v>482</v>
      </c>
      <c r="T185" s="40" t="s">
        <v>12</v>
      </c>
      <c r="U185" s="251">
        <v>2835000000</v>
      </c>
      <c r="V185" s="33" t="s">
        <v>43</v>
      </c>
      <c r="W185" s="127"/>
      <c r="X185" s="206" t="str">
        <f t="shared" si="62"/>
        <v>4.13.01</v>
      </c>
      <c r="Y185" s="207" t="str">
        <f t="shared" si="65"/>
        <v>JALAN</v>
      </c>
      <c r="Z185" s="207">
        <f t="shared" si="66"/>
        <v>10</v>
      </c>
      <c r="AA185" s="233">
        <f t="shared" si="68"/>
        <v>283499999</v>
      </c>
      <c r="AB185" s="208">
        <f t="shared" si="69"/>
        <v>12</v>
      </c>
      <c r="AC185" s="233">
        <f t="shared" si="70"/>
        <v>2834999990</v>
      </c>
      <c r="AD185" s="233">
        <f t="shared" si="71"/>
        <v>0</v>
      </c>
      <c r="AE185" s="233">
        <f t="shared" si="72"/>
        <v>0</v>
      </c>
      <c r="AF185" s="233">
        <f t="shared" si="73"/>
        <v>0</v>
      </c>
      <c r="AG185" s="233">
        <f t="shared" si="74"/>
        <v>0</v>
      </c>
      <c r="AH185" s="238">
        <f t="shared" si="75"/>
        <v>0</v>
      </c>
      <c r="AI185" s="238">
        <f t="shared" si="76"/>
        <v>2834999990</v>
      </c>
      <c r="AJ185" s="261">
        <f t="shared" si="77"/>
        <v>2001</v>
      </c>
      <c r="AK185" s="233">
        <f t="shared" si="78"/>
        <v>10</v>
      </c>
    </row>
    <row r="186" spans="1:37" s="116" customFormat="1" ht="35.25" hidden="1" customHeight="1" x14ac:dyDescent="0.2">
      <c r="A186" s="116">
        <v>295</v>
      </c>
      <c r="B186" s="116" t="str">
        <f t="shared" si="64"/>
        <v>SEI. PERUPUK - PULAU BAYUR</v>
      </c>
      <c r="D186" s="116">
        <v>1</v>
      </c>
      <c r="E186" s="116" t="str">
        <f>A186&amp;"."&amp;D186</f>
        <v>295.1</v>
      </c>
      <c r="F186" s="218" t="str">
        <f t="shared" si="67"/>
        <v>4.13.01</v>
      </c>
      <c r="G186" s="53"/>
      <c r="H186" s="67" t="s">
        <v>529</v>
      </c>
      <c r="I186" s="33" t="s">
        <v>2494</v>
      </c>
      <c r="J186" s="63"/>
      <c r="K186" s="33" t="s">
        <v>8</v>
      </c>
      <c r="L186" s="360" t="s">
        <v>685</v>
      </c>
      <c r="M186" s="40">
        <v>7</v>
      </c>
      <c r="N186" s="360">
        <v>31500</v>
      </c>
      <c r="O186" s="72" t="s">
        <v>686</v>
      </c>
      <c r="P186" s="33">
        <v>2001</v>
      </c>
      <c r="Q186" s="40"/>
      <c r="R186" s="40"/>
      <c r="S186" s="40" t="s">
        <v>482</v>
      </c>
      <c r="T186" s="40" t="s">
        <v>12</v>
      </c>
      <c r="U186" s="251">
        <v>1215000000</v>
      </c>
      <c r="V186" s="33" t="s">
        <v>43</v>
      </c>
      <c r="W186" s="127"/>
      <c r="X186" s="206" t="str">
        <f t="shared" si="62"/>
        <v>4.13.01</v>
      </c>
      <c r="Y186" s="207" t="str">
        <f t="shared" si="65"/>
        <v>JALAN</v>
      </c>
      <c r="Z186" s="207">
        <f t="shared" si="66"/>
        <v>10</v>
      </c>
      <c r="AA186" s="233">
        <f t="shared" si="68"/>
        <v>121499999</v>
      </c>
      <c r="AB186" s="208">
        <f t="shared" si="69"/>
        <v>12</v>
      </c>
      <c r="AC186" s="233">
        <f t="shared" si="70"/>
        <v>1214999990</v>
      </c>
      <c r="AD186" s="233">
        <f t="shared" si="71"/>
        <v>0</v>
      </c>
      <c r="AE186" s="233">
        <f t="shared" si="72"/>
        <v>0</v>
      </c>
      <c r="AF186" s="233">
        <f t="shared" si="73"/>
        <v>0</v>
      </c>
      <c r="AG186" s="233">
        <f t="shared" si="74"/>
        <v>0</v>
      </c>
      <c r="AH186" s="238">
        <f t="shared" si="75"/>
        <v>0</v>
      </c>
      <c r="AI186" s="238">
        <f t="shared" si="76"/>
        <v>1214999990</v>
      </c>
      <c r="AJ186" s="261">
        <f t="shared" si="77"/>
        <v>2001</v>
      </c>
      <c r="AK186" s="233">
        <f t="shared" si="78"/>
        <v>10</v>
      </c>
    </row>
    <row r="187" spans="1:37" s="116" customFormat="1" ht="35.25" hidden="1" customHeight="1" x14ac:dyDescent="0.2">
      <c r="A187" s="116">
        <v>285</v>
      </c>
      <c r="B187" s="116" t="str">
        <f t="shared" si="64"/>
        <v>SEI. PERUPUK - TELUK PAUH</v>
      </c>
      <c r="D187" s="116">
        <v>1</v>
      </c>
      <c r="E187" s="116" t="str">
        <f>A187&amp;"."&amp;D187</f>
        <v>285.1</v>
      </c>
      <c r="F187" s="218" t="str">
        <f t="shared" si="67"/>
        <v>4.13.01</v>
      </c>
      <c r="G187" s="53"/>
      <c r="H187" s="67" t="s">
        <v>529</v>
      </c>
      <c r="I187" s="33" t="s">
        <v>2494</v>
      </c>
      <c r="J187" s="63"/>
      <c r="K187" s="33" t="s">
        <v>525</v>
      </c>
      <c r="L187" s="360" t="s">
        <v>501</v>
      </c>
      <c r="M187" s="40">
        <v>7</v>
      </c>
      <c r="N187" s="360">
        <v>24500</v>
      </c>
      <c r="O187" s="72" t="s">
        <v>687</v>
      </c>
      <c r="P187" s="33">
        <v>2001</v>
      </c>
      <c r="Q187" s="40"/>
      <c r="R187" s="40"/>
      <c r="S187" s="40" t="s">
        <v>482</v>
      </c>
      <c r="T187" s="40" t="s">
        <v>12</v>
      </c>
      <c r="U187" s="251">
        <v>2835000000</v>
      </c>
      <c r="V187" s="33" t="s">
        <v>43</v>
      </c>
      <c r="W187" s="127"/>
      <c r="X187" s="206" t="str">
        <f t="shared" si="62"/>
        <v>4.13.01</v>
      </c>
      <c r="Y187" s="207" t="str">
        <f t="shared" si="65"/>
        <v>JALAN</v>
      </c>
      <c r="Z187" s="207">
        <f t="shared" si="66"/>
        <v>10</v>
      </c>
      <c r="AA187" s="233">
        <f t="shared" si="68"/>
        <v>283499999</v>
      </c>
      <c r="AB187" s="208">
        <f t="shared" si="69"/>
        <v>12</v>
      </c>
      <c r="AC187" s="233">
        <f t="shared" si="70"/>
        <v>2834999990</v>
      </c>
      <c r="AD187" s="233">
        <f t="shared" si="71"/>
        <v>0</v>
      </c>
      <c r="AE187" s="233">
        <f t="shared" si="72"/>
        <v>0</v>
      </c>
      <c r="AF187" s="233">
        <f t="shared" si="73"/>
        <v>0</v>
      </c>
      <c r="AG187" s="233">
        <f t="shared" si="74"/>
        <v>0</v>
      </c>
      <c r="AH187" s="238">
        <f t="shared" si="75"/>
        <v>0</v>
      </c>
      <c r="AI187" s="238">
        <f t="shared" si="76"/>
        <v>2834999990</v>
      </c>
      <c r="AJ187" s="261">
        <f t="shared" si="77"/>
        <v>2001</v>
      </c>
      <c r="AK187" s="233">
        <f t="shared" si="78"/>
        <v>10</v>
      </c>
    </row>
    <row r="188" spans="1:37" s="116" customFormat="1" ht="35.25" hidden="1" customHeight="1" x14ac:dyDescent="0.2">
      <c r="A188" s="116">
        <v>286</v>
      </c>
      <c r="B188" s="116" t="str">
        <f t="shared" si="64"/>
        <v>PULAU JAMBU TELUK PAUH</v>
      </c>
      <c r="D188" s="116">
        <v>1</v>
      </c>
      <c r="E188" s="116" t="str">
        <f>A188&amp;"."&amp;D188</f>
        <v>286.1</v>
      </c>
      <c r="F188" s="218" t="str">
        <f t="shared" si="67"/>
        <v>4.13.01</v>
      </c>
      <c r="G188" s="53"/>
      <c r="H188" s="67" t="s">
        <v>529</v>
      </c>
      <c r="I188" s="33" t="s">
        <v>2494</v>
      </c>
      <c r="J188" s="63"/>
      <c r="K188" s="33" t="s">
        <v>503</v>
      </c>
      <c r="L188" s="360" t="s">
        <v>641</v>
      </c>
      <c r="M188" s="40">
        <v>7</v>
      </c>
      <c r="N188" s="360">
        <v>70000</v>
      </c>
      <c r="O188" s="72" t="s">
        <v>688</v>
      </c>
      <c r="P188" s="33">
        <v>2001</v>
      </c>
      <c r="Q188" s="40"/>
      <c r="R188" s="40"/>
      <c r="S188" s="40" t="s">
        <v>482</v>
      </c>
      <c r="T188" s="40" t="s">
        <v>12</v>
      </c>
      <c r="U188" s="251">
        <v>3000000000</v>
      </c>
      <c r="V188" s="33" t="s">
        <v>43</v>
      </c>
      <c r="W188" s="127"/>
      <c r="X188" s="206" t="str">
        <f t="shared" si="62"/>
        <v>4.13.01</v>
      </c>
      <c r="Y188" s="207" t="str">
        <f t="shared" si="65"/>
        <v>JALAN</v>
      </c>
      <c r="Z188" s="207">
        <f t="shared" si="66"/>
        <v>10</v>
      </c>
      <c r="AA188" s="233">
        <f t="shared" si="68"/>
        <v>299999999</v>
      </c>
      <c r="AB188" s="208">
        <f t="shared" si="69"/>
        <v>12</v>
      </c>
      <c r="AC188" s="233">
        <f t="shared" si="70"/>
        <v>2999999990</v>
      </c>
      <c r="AD188" s="233">
        <f t="shared" si="71"/>
        <v>0</v>
      </c>
      <c r="AE188" s="233">
        <f t="shared" si="72"/>
        <v>0</v>
      </c>
      <c r="AF188" s="233">
        <f t="shared" si="73"/>
        <v>0</v>
      </c>
      <c r="AG188" s="233">
        <f t="shared" si="74"/>
        <v>0</v>
      </c>
      <c r="AH188" s="238">
        <f t="shared" si="75"/>
        <v>0</v>
      </c>
      <c r="AI188" s="238">
        <f t="shared" si="76"/>
        <v>2999999990</v>
      </c>
      <c r="AJ188" s="261">
        <f t="shared" si="77"/>
        <v>2001</v>
      </c>
      <c r="AK188" s="233">
        <f t="shared" si="78"/>
        <v>10</v>
      </c>
    </row>
    <row r="189" spans="1:37" s="116" customFormat="1" ht="35.25" hidden="1" customHeight="1" x14ac:dyDescent="0.2">
      <c r="B189" s="116" t="e">
        <f t="shared" si="64"/>
        <v>#N/A</v>
      </c>
      <c r="F189" s="218" t="str">
        <f t="shared" si="67"/>
        <v>4.13.01</v>
      </c>
      <c r="G189" s="53"/>
      <c r="H189" s="67" t="s">
        <v>529</v>
      </c>
      <c r="I189" s="33" t="s">
        <v>2494</v>
      </c>
      <c r="J189" s="63"/>
      <c r="K189" s="33" t="s">
        <v>525</v>
      </c>
      <c r="L189" s="360" t="s">
        <v>536</v>
      </c>
      <c r="M189" s="40"/>
      <c r="N189" s="360"/>
      <c r="O189" s="72" t="s">
        <v>689</v>
      </c>
      <c r="P189" s="33">
        <v>2001</v>
      </c>
      <c r="Q189" s="40"/>
      <c r="R189" s="40"/>
      <c r="S189" s="40" t="s">
        <v>482</v>
      </c>
      <c r="T189" s="40" t="s">
        <v>12</v>
      </c>
      <c r="U189" s="251">
        <v>263250000</v>
      </c>
      <c r="V189" s="33" t="s">
        <v>43</v>
      </c>
      <c r="W189" s="127"/>
      <c r="X189" s="206" t="str">
        <f t="shared" si="62"/>
        <v>4.13.01</v>
      </c>
      <c r="Y189" s="207" t="str">
        <f t="shared" si="65"/>
        <v>JALAN</v>
      </c>
      <c r="Z189" s="207">
        <f t="shared" si="66"/>
        <v>10</v>
      </c>
      <c r="AA189" s="233">
        <f t="shared" si="68"/>
        <v>26324999</v>
      </c>
      <c r="AB189" s="208">
        <f t="shared" si="69"/>
        <v>12</v>
      </c>
      <c r="AC189" s="233">
        <f t="shared" si="70"/>
        <v>263249990</v>
      </c>
      <c r="AD189" s="233">
        <f t="shared" si="71"/>
        <v>0</v>
      </c>
      <c r="AE189" s="233">
        <f t="shared" si="72"/>
        <v>0</v>
      </c>
      <c r="AF189" s="233">
        <f t="shared" si="73"/>
        <v>0</v>
      </c>
      <c r="AG189" s="233">
        <f t="shared" si="74"/>
        <v>0</v>
      </c>
      <c r="AH189" s="238">
        <f t="shared" si="75"/>
        <v>0</v>
      </c>
      <c r="AI189" s="238">
        <f t="shared" si="76"/>
        <v>263249990</v>
      </c>
      <c r="AJ189" s="261">
        <f t="shared" si="77"/>
        <v>2001</v>
      </c>
      <c r="AK189" s="233">
        <f t="shared" si="78"/>
        <v>10</v>
      </c>
    </row>
    <row r="190" spans="1:37" s="116" customFormat="1" ht="35.25" hidden="1" customHeight="1" x14ac:dyDescent="0.2">
      <c r="A190" s="116">
        <v>282</v>
      </c>
      <c r="B190" s="116" t="str">
        <f t="shared" si="64"/>
        <v>NEES II CERENTI - KOMPE BERANGIN</v>
      </c>
      <c r="D190" s="116">
        <v>1</v>
      </c>
      <c r="E190" s="116" t="str">
        <f>A190&amp;"."&amp;D190</f>
        <v>282.1</v>
      </c>
      <c r="F190" s="218" t="str">
        <f t="shared" si="67"/>
        <v>4.13.01</v>
      </c>
      <c r="G190" s="53"/>
      <c r="H190" s="67" t="s">
        <v>529</v>
      </c>
      <c r="I190" s="33" t="s">
        <v>2494</v>
      </c>
      <c r="J190" s="63"/>
      <c r="K190" s="33" t="s">
        <v>484</v>
      </c>
      <c r="L190" s="360" t="s">
        <v>690</v>
      </c>
      <c r="M190" s="40">
        <v>7</v>
      </c>
      <c r="N190" s="360">
        <v>55300</v>
      </c>
      <c r="O190" s="72" t="s">
        <v>691</v>
      </c>
      <c r="P190" s="33">
        <v>2001</v>
      </c>
      <c r="Q190" s="40"/>
      <c r="R190" s="40"/>
      <c r="S190" s="40" t="s">
        <v>482</v>
      </c>
      <c r="T190" s="40" t="s">
        <v>12</v>
      </c>
      <c r="U190" s="251">
        <v>5119353361.6199999</v>
      </c>
      <c r="V190" s="33" t="s">
        <v>43</v>
      </c>
      <c r="W190" s="127"/>
      <c r="X190" s="206" t="str">
        <f t="shared" si="62"/>
        <v>4.13.01</v>
      </c>
      <c r="Y190" s="207" t="str">
        <f t="shared" si="65"/>
        <v>JALAN</v>
      </c>
      <c r="Z190" s="207">
        <f t="shared" si="66"/>
        <v>10</v>
      </c>
      <c r="AA190" s="233">
        <f t="shared" si="68"/>
        <v>511935335.162</v>
      </c>
      <c r="AB190" s="208">
        <f t="shared" si="69"/>
        <v>12</v>
      </c>
      <c r="AC190" s="233">
        <f t="shared" si="70"/>
        <v>5119353351.6199999</v>
      </c>
      <c r="AD190" s="233">
        <f t="shared" si="71"/>
        <v>0</v>
      </c>
      <c r="AE190" s="233">
        <f t="shared" si="72"/>
        <v>0</v>
      </c>
      <c r="AF190" s="233">
        <f t="shared" si="73"/>
        <v>0</v>
      </c>
      <c r="AG190" s="233">
        <f t="shared" si="74"/>
        <v>0</v>
      </c>
      <c r="AH190" s="238">
        <f t="shared" si="75"/>
        <v>0</v>
      </c>
      <c r="AI190" s="238">
        <f t="shared" si="76"/>
        <v>5119353351.6199999</v>
      </c>
      <c r="AJ190" s="261">
        <f t="shared" si="77"/>
        <v>2001</v>
      </c>
      <c r="AK190" s="233">
        <f t="shared" si="78"/>
        <v>10</v>
      </c>
    </row>
    <row r="191" spans="1:37" s="116" customFormat="1" ht="35.25" hidden="1" customHeight="1" x14ac:dyDescent="0.2">
      <c r="A191" s="116">
        <v>283</v>
      </c>
      <c r="B191" s="116" t="str">
        <f t="shared" si="64"/>
        <v>KOTO CERENTI - PULAU BAYUR</v>
      </c>
      <c r="D191" s="116">
        <v>1</v>
      </c>
      <c r="E191" s="116" t="str">
        <f>A191&amp;"."&amp;D191</f>
        <v>283.1</v>
      </c>
      <c r="F191" s="218" t="str">
        <f t="shared" si="67"/>
        <v>4.13.01</v>
      </c>
      <c r="G191" s="53"/>
      <c r="H191" s="67" t="s">
        <v>529</v>
      </c>
      <c r="I191" s="33" t="s">
        <v>2494</v>
      </c>
      <c r="J191" s="63"/>
      <c r="K191" s="33" t="s">
        <v>484</v>
      </c>
      <c r="L191" s="360" t="s">
        <v>488</v>
      </c>
      <c r="M191" s="40">
        <v>7</v>
      </c>
      <c r="N191" s="360">
        <v>21000</v>
      </c>
      <c r="O191" s="72" t="s">
        <v>692</v>
      </c>
      <c r="P191" s="33">
        <v>2001</v>
      </c>
      <c r="Q191" s="40"/>
      <c r="R191" s="40"/>
      <c r="S191" s="40" t="s">
        <v>482</v>
      </c>
      <c r="T191" s="40" t="s">
        <v>12</v>
      </c>
      <c r="U191" s="251">
        <v>2304000000</v>
      </c>
      <c r="V191" s="33" t="s">
        <v>43</v>
      </c>
      <c r="W191" s="127"/>
      <c r="X191" s="206" t="str">
        <f t="shared" si="62"/>
        <v>4.13.01</v>
      </c>
      <c r="Y191" s="207" t="str">
        <f t="shared" si="65"/>
        <v>JALAN</v>
      </c>
      <c r="Z191" s="207">
        <f t="shared" si="66"/>
        <v>10</v>
      </c>
      <c r="AA191" s="233">
        <f t="shared" si="68"/>
        <v>230399999</v>
      </c>
      <c r="AB191" s="208">
        <f t="shared" si="69"/>
        <v>12</v>
      </c>
      <c r="AC191" s="233">
        <f t="shared" si="70"/>
        <v>2303999990</v>
      </c>
      <c r="AD191" s="233">
        <f t="shared" si="71"/>
        <v>0</v>
      </c>
      <c r="AE191" s="233">
        <f t="shared" si="72"/>
        <v>0</v>
      </c>
      <c r="AF191" s="233">
        <f t="shared" si="73"/>
        <v>0</v>
      </c>
      <c r="AG191" s="233">
        <f t="shared" si="74"/>
        <v>0</v>
      </c>
      <c r="AH191" s="238">
        <f t="shared" si="75"/>
        <v>0</v>
      </c>
      <c r="AI191" s="238">
        <f t="shared" si="76"/>
        <v>2303999990</v>
      </c>
      <c r="AJ191" s="261">
        <f t="shared" si="77"/>
        <v>2001</v>
      </c>
      <c r="AK191" s="233">
        <f t="shared" si="78"/>
        <v>10</v>
      </c>
    </row>
    <row r="192" spans="1:37" s="116" customFormat="1" ht="35.25" hidden="1" customHeight="1" x14ac:dyDescent="0.2">
      <c r="A192" s="417">
        <v>126</v>
      </c>
      <c r="B192" s="417" t="str">
        <f t="shared" si="64"/>
        <v>MUDIK ULO - TANJUNG MEDANG</v>
      </c>
      <c r="D192" s="116">
        <v>1</v>
      </c>
      <c r="E192" s="1" t="str">
        <f>A192&amp;"."&amp;D192</f>
        <v>126.1</v>
      </c>
      <c r="F192" s="218" t="str">
        <f t="shared" si="67"/>
        <v>4.13.01</v>
      </c>
      <c r="G192" s="53"/>
      <c r="H192" s="67" t="s">
        <v>529</v>
      </c>
      <c r="I192" s="33" t="s">
        <v>2494</v>
      </c>
      <c r="J192" s="63"/>
      <c r="K192" s="33" t="s">
        <v>484</v>
      </c>
      <c r="L192" s="360" t="s">
        <v>490</v>
      </c>
      <c r="M192" s="40"/>
      <c r="N192" s="360"/>
      <c r="O192" s="72" t="s">
        <v>693</v>
      </c>
      <c r="P192" s="33">
        <v>2001</v>
      </c>
      <c r="Q192" s="40"/>
      <c r="R192" s="40"/>
      <c r="S192" s="40" t="s">
        <v>384</v>
      </c>
      <c r="T192" s="40" t="s">
        <v>12</v>
      </c>
      <c r="U192" s="251">
        <v>643500000</v>
      </c>
      <c r="V192" s="33" t="s">
        <v>43</v>
      </c>
      <c r="W192" s="127"/>
      <c r="X192" s="206" t="str">
        <f t="shared" si="62"/>
        <v>4.13.01</v>
      </c>
      <c r="Y192" s="207" t="str">
        <f t="shared" si="65"/>
        <v>JALAN</v>
      </c>
      <c r="Z192" s="207">
        <f t="shared" si="66"/>
        <v>10</v>
      </c>
      <c r="AA192" s="233">
        <f t="shared" si="68"/>
        <v>64349999</v>
      </c>
      <c r="AB192" s="208">
        <f t="shared" si="69"/>
        <v>12</v>
      </c>
      <c r="AC192" s="233">
        <f t="shared" si="70"/>
        <v>643499990</v>
      </c>
      <c r="AD192" s="233">
        <f t="shared" si="71"/>
        <v>0</v>
      </c>
      <c r="AE192" s="233">
        <f t="shared" si="72"/>
        <v>0</v>
      </c>
      <c r="AF192" s="233">
        <f t="shared" si="73"/>
        <v>0</v>
      </c>
      <c r="AG192" s="233">
        <f t="shared" si="74"/>
        <v>0</v>
      </c>
      <c r="AH192" s="238">
        <f t="shared" si="75"/>
        <v>0</v>
      </c>
      <c r="AI192" s="238">
        <f t="shared" si="76"/>
        <v>643499990</v>
      </c>
      <c r="AJ192" s="261">
        <f t="shared" si="77"/>
        <v>2001</v>
      </c>
      <c r="AK192" s="233">
        <f t="shared" si="78"/>
        <v>10</v>
      </c>
    </row>
    <row r="193" spans="1:39" s="116" customFormat="1" ht="35.25" hidden="1" customHeight="1" x14ac:dyDescent="0.2">
      <c r="A193" s="116">
        <v>120</v>
      </c>
      <c r="B193" s="116" t="str">
        <f t="shared" si="64"/>
        <v>SEI. MANAU - SEI. KELELAWAR</v>
      </c>
      <c r="D193" s="116">
        <v>1</v>
      </c>
      <c r="E193" s="116" t="str">
        <f>A193&amp;"."&amp;D193</f>
        <v>120.1</v>
      </c>
      <c r="F193" s="218" t="str">
        <f t="shared" si="67"/>
        <v>4.13.01</v>
      </c>
      <c r="G193" s="53"/>
      <c r="H193" s="67" t="s">
        <v>529</v>
      </c>
      <c r="I193" s="33" t="s">
        <v>2494</v>
      </c>
      <c r="J193" s="63"/>
      <c r="K193" s="33" t="s">
        <v>484</v>
      </c>
      <c r="L193" s="360">
        <v>3500</v>
      </c>
      <c r="M193" s="40">
        <v>7</v>
      </c>
      <c r="N193" s="360">
        <v>24500</v>
      </c>
      <c r="O193" s="72" t="s">
        <v>694</v>
      </c>
      <c r="P193" s="33">
        <v>2001</v>
      </c>
      <c r="Q193" s="40"/>
      <c r="R193" s="40"/>
      <c r="S193" s="40" t="s">
        <v>384</v>
      </c>
      <c r="T193" s="40" t="s">
        <v>12</v>
      </c>
      <c r="U193" s="251">
        <v>1008000000</v>
      </c>
      <c r="V193" s="33" t="s">
        <v>43</v>
      </c>
      <c r="W193" s="127"/>
      <c r="X193" s="206" t="str">
        <f t="shared" si="62"/>
        <v>4.13.01</v>
      </c>
      <c r="Y193" s="207" t="str">
        <f t="shared" si="65"/>
        <v>JALAN</v>
      </c>
      <c r="Z193" s="207">
        <f t="shared" si="66"/>
        <v>10</v>
      </c>
      <c r="AA193" s="233">
        <f t="shared" si="68"/>
        <v>100799999</v>
      </c>
      <c r="AB193" s="208">
        <f t="shared" si="69"/>
        <v>12</v>
      </c>
      <c r="AC193" s="233">
        <f t="shared" si="70"/>
        <v>1007999990</v>
      </c>
      <c r="AD193" s="233">
        <f t="shared" si="71"/>
        <v>0</v>
      </c>
      <c r="AE193" s="233">
        <f t="shared" si="72"/>
        <v>0</v>
      </c>
      <c r="AF193" s="233">
        <f t="shared" si="73"/>
        <v>0</v>
      </c>
      <c r="AG193" s="233">
        <f t="shared" si="74"/>
        <v>0</v>
      </c>
      <c r="AH193" s="238">
        <f t="shared" si="75"/>
        <v>0</v>
      </c>
      <c r="AI193" s="238">
        <f t="shared" si="76"/>
        <v>1007999990</v>
      </c>
      <c r="AJ193" s="261">
        <f t="shared" si="77"/>
        <v>2001</v>
      </c>
      <c r="AK193" s="233">
        <f t="shared" si="78"/>
        <v>10</v>
      </c>
    </row>
    <row r="194" spans="1:39" s="116" customFormat="1" ht="35.25" hidden="1" customHeight="1" x14ac:dyDescent="0.2">
      <c r="B194" s="116" t="e">
        <f t="shared" si="64"/>
        <v>#N/A</v>
      </c>
      <c r="F194" s="218" t="str">
        <f t="shared" si="67"/>
        <v>4.13.01</v>
      </c>
      <c r="G194" s="53"/>
      <c r="H194" s="67" t="s">
        <v>529</v>
      </c>
      <c r="I194" s="33" t="s">
        <v>2494</v>
      </c>
      <c r="J194" s="63"/>
      <c r="K194" s="33" t="s">
        <v>484</v>
      </c>
      <c r="L194" s="360" t="s">
        <v>520</v>
      </c>
      <c r="M194" s="40"/>
      <c r="N194" s="360"/>
      <c r="O194" s="72" t="s">
        <v>695</v>
      </c>
      <c r="P194" s="33">
        <v>2001</v>
      </c>
      <c r="Q194" s="40"/>
      <c r="R194" s="40"/>
      <c r="S194" s="40" t="s">
        <v>482</v>
      </c>
      <c r="T194" s="40" t="s">
        <v>12</v>
      </c>
      <c r="U194" s="251">
        <v>1440000000</v>
      </c>
      <c r="V194" s="33" t="s">
        <v>43</v>
      </c>
      <c r="W194" s="127"/>
      <c r="X194" s="206" t="str">
        <f t="shared" si="62"/>
        <v>4.13.01</v>
      </c>
      <c r="Y194" s="207" t="str">
        <f t="shared" si="65"/>
        <v>JALAN</v>
      </c>
      <c r="Z194" s="207">
        <f t="shared" si="66"/>
        <v>10</v>
      </c>
      <c r="AA194" s="233">
        <f t="shared" si="68"/>
        <v>143999999</v>
      </c>
      <c r="AB194" s="208">
        <f t="shared" si="69"/>
        <v>12</v>
      </c>
      <c r="AC194" s="233">
        <f t="shared" si="70"/>
        <v>1439999990</v>
      </c>
      <c r="AD194" s="233">
        <f t="shared" si="71"/>
        <v>0</v>
      </c>
      <c r="AE194" s="233">
        <f t="shared" si="72"/>
        <v>0</v>
      </c>
      <c r="AF194" s="233">
        <f t="shared" si="73"/>
        <v>0</v>
      </c>
      <c r="AG194" s="233">
        <f t="shared" si="74"/>
        <v>0</v>
      </c>
      <c r="AH194" s="238">
        <f t="shared" si="75"/>
        <v>0</v>
      </c>
      <c r="AI194" s="238">
        <f t="shared" si="76"/>
        <v>1439999990</v>
      </c>
      <c r="AJ194" s="261">
        <f t="shared" si="77"/>
        <v>2001</v>
      </c>
      <c r="AK194" s="233">
        <f t="shared" si="78"/>
        <v>10</v>
      </c>
    </row>
    <row r="195" spans="1:39" s="116" customFormat="1" ht="35.25" hidden="1" customHeight="1" x14ac:dyDescent="0.2">
      <c r="A195" s="116">
        <v>124</v>
      </c>
      <c r="B195" s="116" t="str">
        <f t="shared" si="64"/>
        <v>MUDIK ULO - SUMPU</v>
      </c>
      <c r="D195" s="116">
        <v>1</v>
      </c>
      <c r="E195" s="116" t="str">
        <f t="shared" ref="E195:E202" si="79">A195&amp;"."&amp;D195</f>
        <v>124.1</v>
      </c>
      <c r="F195" s="218" t="str">
        <f t="shared" si="67"/>
        <v>4.13.01</v>
      </c>
      <c r="G195" s="53"/>
      <c r="H195" s="67" t="s">
        <v>529</v>
      </c>
      <c r="I195" s="33" t="s">
        <v>2494</v>
      </c>
      <c r="J195" s="63"/>
      <c r="K195" s="33" t="s">
        <v>484</v>
      </c>
      <c r="L195" s="360" t="s">
        <v>491</v>
      </c>
      <c r="M195" s="40">
        <v>7</v>
      </c>
      <c r="N195" s="360">
        <v>49000</v>
      </c>
      <c r="O195" s="72" t="s">
        <v>3829</v>
      </c>
      <c r="P195" s="33">
        <v>2001</v>
      </c>
      <c r="Q195" s="40"/>
      <c r="R195" s="40"/>
      <c r="S195" s="40" t="s">
        <v>384</v>
      </c>
      <c r="T195" s="40" t="s">
        <v>12</v>
      </c>
      <c r="U195" s="251">
        <v>864000000</v>
      </c>
      <c r="V195" s="33" t="s">
        <v>43</v>
      </c>
      <c r="W195" s="127"/>
      <c r="X195" s="206" t="str">
        <f t="shared" si="62"/>
        <v>4.13.01</v>
      </c>
      <c r="Y195" s="207" t="str">
        <f t="shared" si="65"/>
        <v>JALAN</v>
      </c>
      <c r="Z195" s="207">
        <f t="shared" si="66"/>
        <v>10</v>
      </c>
      <c r="AA195" s="233">
        <f t="shared" si="68"/>
        <v>86399999</v>
      </c>
      <c r="AB195" s="208">
        <f t="shared" si="69"/>
        <v>12</v>
      </c>
      <c r="AC195" s="233">
        <f t="shared" si="70"/>
        <v>863999990</v>
      </c>
      <c r="AD195" s="233">
        <f t="shared" si="71"/>
        <v>0</v>
      </c>
      <c r="AE195" s="233">
        <f t="shared" si="72"/>
        <v>0</v>
      </c>
      <c r="AF195" s="233">
        <f t="shared" si="73"/>
        <v>0</v>
      </c>
      <c r="AG195" s="233">
        <f t="shared" si="74"/>
        <v>0</v>
      </c>
      <c r="AH195" s="238">
        <f t="shared" si="75"/>
        <v>0</v>
      </c>
      <c r="AI195" s="238">
        <f t="shared" si="76"/>
        <v>863999990</v>
      </c>
      <c r="AJ195" s="261">
        <f t="shared" si="77"/>
        <v>2001</v>
      </c>
      <c r="AK195" s="233">
        <f t="shared" si="78"/>
        <v>10</v>
      </c>
    </row>
    <row r="196" spans="1:39" s="116" customFormat="1" ht="35.25" hidden="1" customHeight="1" x14ac:dyDescent="0.2">
      <c r="A196" s="116">
        <v>124</v>
      </c>
      <c r="B196" s="116" t="str">
        <f t="shared" si="64"/>
        <v>MUDIK ULO - SUMPU</v>
      </c>
      <c r="D196" s="116">
        <v>2</v>
      </c>
      <c r="E196" s="116" t="str">
        <f t="shared" si="79"/>
        <v>124.2</v>
      </c>
      <c r="F196" s="218" t="str">
        <f t="shared" si="67"/>
        <v>4.13.01</v>
      </c>
      <c r="G196" s="53"/>
      <c r="H196" s="67" t="s">
        <v>529</v>
      </c>
      <c r="I196" s="33" t="s">
        <v>2494</v>
      </c>
      <c r="J196" s="63"/>
      <c r="K196" s="33" t="s">
        <v>8</v>
      </c>
      <c r="L196" s="360" t="s">
        <v>491</v>
      </c>
      <c r="M196" s="40"/>
      <c r="N196" s="360"/>
      <c r="O196" s="72" t="s">
        <v>3829</v>
      </c>
      <c r="P196" s="33">
        <v>2001</v>
      </c>
      <c r="Q196" s="40"/>
      <c r="R196" s="40"/>
      <c r="S196" s="40" t="s">
        <v>384</v>
      </c>
      <c r="T196" s="40" t="s">
        <v>12</v>
      </c>
      <c r="U196" s="251">
        <v>540000000</v>
      </c>
      <c r="V196" s="33" t="s">
        <v>43</v>
      </c>
      <c r="W196" s="127"/>
      <c r="X196" s="206" t="str">
        <f t="shared" si="62"/>
        <v>4.13.01</v>
      </c>
      <c r="Y196" s="207" t="str">
        <f t="shared" si="65"/>
        <v>JALAN</v>
      </c>
      <c r="Z196" s="207">
        <f t="shared" si="66"/>
        <v>10</v>
      </c>
      <c r="AA196" s="233">
        <f t="shared" si="68"/>
        <v>53999999</v>
      </c>
      <c r="AB196" s="208">
        <f t="shared" si="69"/>
        <v>12</v>
      </c>
      <c r="AC196" s="233">
        <f t="shared" si="70"/>
        <v>539999990</v>
      </c>
      <c r="AD196" s="233">
        <f t="shared" si="71"/>
        <v>0</v>
      </c>
      <c r="AE196" s="233">
        <f t="shared" si="72"/>
        <v>0</v>
      </c>
      <c r="AF196" s="233">
        <f t="shared" si="73"/>
        <v>0</v>
      </c>
      <c r="AG196" s="233">
        <f t="shared" si="74"/>
        <v>0</v>
      </c>
      <c r="AH196" s="238">
        <f t="shared" si="75"/>
        <v>0</v>
      </c>
      <c r="AI196" s="238">
        <f t="shared" si="76"/>
        <v>539999990</v>
      </c>
      <c r="AJ196" s="261">
        <f t="shared" si="77"/>
        <v>2001</v>
      </c>
      <c r="AK196" s="233">
        <f t="shared" si="78"/>
        <v>10</v>
      </c>
      <c r="AM196" s="116" t="s">
        <v>4245</v>
      </c>
    </row>
    <row r="197" spans="1:39" s="116" customFormat="1" ht="35.25" hidden="1" customHeight="1" x14ac:dyDescent="0.2">
      <c r="A197" s="116">
        <v>284</v>
      </c>
      <c r="B197" s="116" t="str">
        <f t="shared" si="64"/>
        <v>SIKURAN - BANJAR NAN TIGO</v>
      </c>
      <c r="D197" s="116">
        <v>1</v>
      </c>
      <c r="E197" s="116" t="str">
        <f t="shared" si="79"/>
        <v>284.1</v>
      </c>
      <c r="F197" s="218" t="str">
        <f t="shared" si="67"/>
        <v>4.13.01</v>
      </c>
      <c r="G197" s="53"/>
      <c r="H197" s="67" t="s">
        <v>696</v>
      </c>
      <c r="I197" s="33" t="s">
        <v>3821</v>
      </c>
      <c r="J197" s="63"/>
      <c r="K197" s="33" t="s">
        <v>479</v>
      </c>
      <c r="L197" s="360" t="s">
        <v>697</v>
      </c>
      <c r="M197" s="40">
        <v>7</v>
      </c>
      <c r="N197" s="360">
        <v>30100</v>
      </c>
      <c r="O197" s="72" t="s">
        <v>698</v>
      </c>
      <c r="P197" s="33">
        <v>2001</v>
      </c>
      <c r="Q197" s="40"/>
      <c r="R197" s="40"/>
      <c r="S197" s="40" t="s">
        <v>482</v>
      </c>
      <c r="T197" s="40" t="s">
        <v>12</v>
      </c>
      <c r="U197" s="251">
        <v>3160500000</v>
      </c>
      <c r="V197" s="33" t="s">
        <v>135</v>
      </c>
      <c r="W197" s="127"/>
      <c r="X197" s="206" t="str">
        <f t="shared" ref="X197:X260" si="80">F197</f>
        <v>4.13.01</v>
      </c>
      <c r="Y197" s="207" t="str">
        <f t="shared" si="65"/>
        <v>JALAN</v>
      </c>
      <c r="Z197" s="207">
        <f t="shared" si="66"/>
        <v>10</v>
      </c>
      <c r="AA197" s="233">
        <f t="shared" si="68"/>
        <v>316049999</v>
      </c>
      <c r="AB197" s="208">
        <f t="shared" si="69"/>
        <v>12</v>
      </c>
      <c r="AC197" s="233">
        <f t="shared" si="70"/>
        <v>3160499990</v>
      </c>
      <c r="AD197" s="233">
        <f t="shared" si="71"/>
        <v>0</v>
      </c>
      <c r="AE197" s="233">
        <f t="shared" si="72"/>
        <v>0</v>
      </c>
      <c r="AF197" s="233">
        <f t="shared" si="73"/>
        <v>0</v>
      </c>
      <c r="AG197" s="233">
        <f t="shared" si="74"/>
        <v>0</v>
      </c>
      <c r="AH197" s="238">
        <f t="shared" si="75"/>
        <v>0</v>
      </c>
      <c r="AI197" s="238">
        <f t="shared" si="76"/>
        <v>3160499990</v>
      </c>
      <c r="AJ197" s="261">
        <f t="shared" si="77"/>
        <v>2001</v>
      </c>
      <c r="AK197" s="233">
        <f t="shared" si="78"/>
        <v>10</v>
      </c>
    </row>
    <row r="198" spans="1:39" s="116" customFormat="1" ht="35.25" hidden="1" customHeight="1" x14ac:dyDescent="0.2">
      <c r="A198" s="116">
        <v>298</v>
      </c>
      <c r="B198" s="116" t="str">
        <f t="shared" si="64"/>
        <v>INUMAN - PULAU KIJANG</v>
      </c>
      <c r="D198" s="116">
        <v>1</v>
      </c>
      <c r="E198" s="116" t="str">
        <f t="shared" si="79"/>
        <v>298.1</v>
      </c>
      <c r="F198" s="218" t="str">
        <f t="shared" si="67"/>
        <v>4.13.01</v>
      </c>
      <c r="G198" s="53"/>
      <c r="H198" s="67" t="s">
        <v>696</v>
      </c>
      <c r="I198" s="33" t="s">
        <v>3821</v>
      </c>
      <c r="J198" s="63"/>
      <c r="K198" s="33" t="s">
        <v>484</v>
      </c>
      <c r="L198" s="360" t="s">
        <v>699</v>
      </c>
      <c r="M198" s="40">
        <v>7</v>
      </c>
      <c r="N198" s="360">
        <v>12600</v>
      </c>
      <c r="O198" s="72" t="s">
        <v>700</v>
      </c>
      <c r="P198" s="33">
        <v>2001</v>
      </c>
      <c r="Q198" s="40"/>
      <c r="R198" s="40"/>
      <c r="S198" s="40" t="s">
        <v>482</v>
      </c>
      <c r="T198" s="40" t="s">
        <v>12</v>
      </c>
      <c r="U198" s="251">
        <v>1323000000</v>
      </c>
      <c r="V198" s="33" t="s">
        <v>43</v>
      </c>
      <c r="W198" s="127"/>
      <c r="X198" s="206" t="str">
        <f t="shared" si="80"/>
        <v>4.13.01</v>
      </c>
      <c r="Y198" s="207" t="str">
        <f t="shared" si="65"/>
        <v>JALAN</v>
      </c>
      <c r="Z198" s="207">
        <f t="shared" si="66"/>
        <v>10</v>
      </c>
      <c r="AA198" s="233">
        <f t="shared" si="68"/>
        <v>132299999</v>
      </c>
      <c r="AB198" s="208">
        <f t="shared" si="69"/>
        <v>12</v>
      </c>
      <c r="AC198" s="233">
        <f t="shared" si="70"/>
        <v>1322999990</v>
      </c>
      <c r="AD198" s="233">
        <f t="shared" si="71"/>
        <v>0</v>
      </c>
      <c r="AE198" s="233">
        <f t="shared" si="72"/>
        <v>0</v>
      </c>
      <c r="AF198" s="233">
        <f t="shared" si="73"/>
        <v>0</v>
      </c>
      <c r="AG198" s="233">
        <f t="shared" si="74"/>
        <v>0</v>
      </c>
      <c r="AH198" s="238">
        <f t="shared" si="75"/>
        <v>0</v>
      </c>
      <c r="AI198" s="238">
        <f t="shared" si="76"/>
        <v>1322999990</v>
      </c>
      <c r="AJ198" s="261">
        <f t="shared" si="77"/>
        <v>2001</v>
      </c>
      <c r="AK198" s="233">
        <f t="shared" si="78"/>
        <v>10</v>
      </c>
    </row>
    <row r="199" spans="1:39" s="116" customFormat="1" ht="35.25" hidden="1" customHeight="1" x14ac:dyDescent="0.2">
      <c r="A199" s="116">
        <v>305</v>
      </c>
      <c r="B199" s="116" t="str">
        <f t="shared" si="64"/>
        <v>INUMAN - PULAU PANJANG</v>
      </c>
      <c r="D199" s="116">
        <v>1</v>
      </c>
      <c r="E199" s="116" t="str">
        <f t="shared" si="79"/>
        <v>305.1</v>
      </c>
      <c r="F199" s="218" t="str">
        <f t="shared" si="67"/>
        <v>4.13.01</v>
      </c>
      <c r="G199" s="53"/>
      <c r="H199" s="67" t="s">
        <v>696</v>
      </c>
      <c r="I199" s="33" t="s">
        <v>3821</v>
      </c>
      <c r="J199" s="63"/>
      <c r="K199" s="33" t="s">
        <v>484</v>
      </c>
      <c r="L199" s="360" t="s">
        <v>699</v>
      </c>
      <c r="M199" s="40"/>
      <c r="N199" s="360"/>
      <c r="O199" s="72" t="s">
        <v>701</v>
      </c>
      <c r="P199" s="33">
        <v>2001</v>
      </c>
      <c r="Q199" s="40"/>
      <c r="R199" s="40"/>
      <c r="S199" s="40" t="s">
        <v>482</v>
      </c>
      <c r="T199" s="40" t="s">
        <v>12</v>
      </c>
      <c r="U199" s="251">
        <v>648000000</v>
      </c>
      <c r="V199" s="33" t="s">
        <v>43</v>
      </c>
      <c r="W199" s="127"/>
      <c r="X199" s="206" t="str">
        <f t="shared" si="80"/>
        <v>4.13.01</v>
      </c>
      <c r="Y199" s="207" t="str">
        <f t="shared" si="65"/>
        <v>JALAN</v>
      </c>
      <c r="Z199" s="207">
        <f t="shared" si="66"/>
        <v>10</v>
      </c>
      <c r="AA199" s="233">
        <f t="shared" si="68"/>
        <v>64799999</v>
      </c>
      <c r="AB199" s="208">
        <f t="shared" si="69"/>
        <v>12</v>
      </c>
      <c r="AC199" s="233">
        <f t="shared" si="70"/>
        <v>647999990</v>
      </c>
      <c r="AD199" s="233">
        <f t="shared" si="71"/>
        <v>0</v>
      </c>
      <c r="AE199" s="233">
        <f t="shared" si="72"/>
        <v>0</v>
      </c>
      <c r="AF199" s="233">
        <f t="shared" si="73"/>
        <v>0</v>
      </c>
      <c r="AG199" s="233">
        <f t="shared" si="74"/>
        <v>0</v>
      </c>
      <c r="AH199" s="238">
        <f t="shared" si="75"/>
        <v>0</v>
      </c>
      <c r="AI199" s="238">
        <f t="shared" si="76"/>
        <v>647999990</v>
      </c>
      <c r="AJ199" s="261">
        <f t="shared" si="77"/>
        <v>2001</v>
      </c>
      <c r="AK199" s="233">
        <f t="shared" si="78"/>
        <v>10</v>
      </c>
    </row>
    <row r="200" spans="1:39" s="116" customFormat="1" ht="35.25" hidden="1" customHeight="1" x14ac:dyDescent="0.2">
      <c r="A200" s="116">
        <v>302</v>
      </c>
      <c r="B200" s="116" t="str">
        <f t="shared" si="64"/>
        <v>PULAU BUSUK - KOTO INUMAN</v>
      </c>
      <c r="D200" s="116">
        <v>1</v>
      </c>
      <c r="E200" s="116" t="str">
        <f t="shared" si="79"/>
        <v>302.1</v>
      </c>
      <c r="F200" s="218" t="str">
        <f t="shared" si="67"/>
        <v>4.13.01</v>
      </c>
      <c r="G200" s="53"/>
      <c r="H200" s="67" t="s">
        <v>696</v>
      </c>
      <c r="I200" s="33" t="s">
        <v>3821</v>
      </c>
      <c r="J200" s="63"/>
      <c r="K200" s="33" t="s">
        <v>484</v>
      </c>
      <c r="L200" s="360">
        <v>4000</v>
      </c>
      <c r="M200" s="40">
        <v>7</v>
      </c>
      <c r="N200" s="360">
        <v>28000</v>
      </c>
      <c r="O200" s="72" t="s">
        <v>702</v>
      </c>
      <c r="P200" s="33">
        <v>2001</v>
      </c>
      <c r="Q200" s="40"/>
      <c r="R200" s="40"/>
      <c r="S200" s="40" t="s">
        <v>482</v>
      </c>
      <c r="T200" s="40" t="s">
        <v>12</v>
      </c>
      <c r="U200" s="251">
        <v>1440000000</v>
      </c>
      <c r="V200" s="33" t="s">
        <v>43</v>
      </c>
      <c r="W200" s="127"/>
      <c r="X200" s="206" t="str">
        <f t="shared" si="80"/>
        <v>4.13.01</v>
      </c>
      <c r="Y200" s="207" t="str">
        <f t="shared" si="65"/>
        <v>JALAN</v>
      </c>
      <c r="Z200" s="207">
        <f t="shared" si="66"/>
        <v>10</v>
      </c>
      <c r="AA200" s="233">
        <f t="shared" si="68"/>
        <v>143999999</v>
      </c>
      <c r="AB200" s="208">
        <f t="shared" si="69"/>
        <v>12</v>
      </c>
      <c r="AC200" s="233">
        <f t="shared" si="70"/>
        <v>1439999990</v>
      </c>
      <c r="AD200" s="233">
        <f t="shared" si="71"/>
        <v>0</v>
      </c>
      <c r="AE200" s="233">
        <f t="shared" si="72"/>
        <v>0</v>
      </c>
      <c r="AF200" s="233">
        <f t="shared" si="73"/>
        <v>0</v>
      </c>
      <c r="AG200" s="233">
        <f t="shared" si="74"/>
        <v>0</v>
      </c>
      <c r="AH200" s="238">
        <f t="shared" si="75"/>
        <v>0</v>
      </c>
      <c r="AI200" s="238">
        <f t="shared" si="76"/>
        <v>1439999990</v>
      </c>
      <c r="AJ200" s="261">
        <f t="shared" si="77"/>
        <v>2001</v>
      </c>
      <c r="AK200" s="233">
        <f t="shared" si="78"/>
        <v>10</v>
      </c>
    </row>
    <row r="201" spans="1:39" s="116" customFormat="1" ht="35.25" hidden="1" customHeight="1" x14ac:dyDescent="0.2">
      <c r="A201" s="116">
        <v>174</v>
      </c>
      <c r="B201" s="116" t="str">
        <f t="shared" si="64"/>
        <v>JL. DESA SIKAPING - PL. INGU</v>
      </c>
      <c r="D201" s="116">
        <v>1</v>
      </c>
      <c r="E201" s="116" t="str">
        <f t="shared" si="79"/>
        <v>174.1</v>
      </c>
      <c r="F201" s="218" t="str">
        <f t="shared" si="67"/>
        <v>4.13.01</v>
      </c>
      <c r="G201" s="53"/>
      <c r="H201" s="67" t="s">
        <v>696</v>
      </c>
      <c r="I201" s="33" t="s">
        <v>3821</v>
      </c>
      <c r="J201" s="63"/>
      <c r="K201" s="33" t="s">
        <v>503</v>
      </c>
      <c r="L201" s="360">
        <v>3000</v>
      </c>
      <c r="M201" s="40">
        <v>7</v>
      </c>
      <c r="N201" s="360">
        <v>21000</v>
      </c>
      <c r="O201" s="72" t="s">
        <v>703</v>
      </c>
      <c r="P201" s="33">
        <v>2001</v>
      </c>
      <c r="Q201" s="40"/>
      <c r="R201" s="40"/>
      <c r="S201" s="40" t="s">
        <v>482</v>
      </c>
      <c r="T201" s="40" t="s">
        <v>12</v>
      </c>
      <c r="U201" s="251">
        <v>787500000</v>
      </c>
      <c r="V201" s="33" t="s">
        <v>135</v>
      </c>
      <c r="W201" s="127"/>
      <c r="X201" s="206" t="str">
        <f t="shared" si="80"/>
        <v>4.13.01</v>
      </c>
      <c r="Y201" s="207" t="str">
        <f t="shared" si="65"/>
        <v>JALAN</v>
      </c>
      <c r="Z201" s="207">
        <f t="shared" si="66"/>
        <v>10</v>
      </c>
      <c r="AA201" s="233">
        <f t="shared" si="68"/>
        <v>78749999</v>
      </c>
      <c r="AB201" s="208">
        <f t="shared" si="69"/>
        <v>12</v>
      </c>
      <c r="AC201" s="233">
        <f t="shared" si="70"/>
        <v>787499990</v>
      </c>
      <c r="AD201" s="233">
        <f t="shared" si="71"/>
        <v>0</v>
      </c>
      <c r="AE201" s="233">
        <f t="shared" si="72"/>
        <v>0</v>
      </c>
      <c r="AF201" s="233">
        <f t="shared" si="73"/>
        <v>0</v>
      </c>
      <c r="AG201" s="233">
        <f t="shared" si="74"/>
        <v>0</v>
      </c>
      <c r="AH201" s="238">
        <f t="shared" si="75"/>
        <v>0</v>
      </c>
      <c r="AI201" s="238">
        <f t="shared" si="76"/>
        <v>787499990</v>
      </c>
      <c r="AJ201" s="261">
        <f t="shared" si="77"/>
        <v>2001</v>
      </c>
      <c r="AK201" s="233">
        <f t="shared" si="78"/>
        <v>10</v>
      </c>
    </row>
    <row r="202" spans="1:39" s="116" customFormat="1" ht="35.25" hidden="1" customHeight="1" x14ac:dyDescent="0.2">
      <c r="A202" s="116">
        <v>304</v>
      </c>
      <c r="B202" s="116" t="str">
        <f t="shared" si="64"/>
        <v>BEDENG SIKURAN - PENYEB. PULAU PANJANG</v>
      </c>
      <c r="D202" s="116">
        <v>1</v>
      </c>
      <c r="E202" s="116" t="str">
        <f t="shared" si="79"/>
        <v>304.1</v>
      </c>
      <c r="F202" s="218" t="str">
        <f t="shared" si="67"/>
        <v>4.13.01</v>
      </c>
      <c r="G202" s="53"/>
      <c r="H202" s="67" t="s">
        <v>696</v>
      </c>
      <c r="I202" s="33" t="s">
        <v>3821</v>
      </c>
      <c r="J202" s="63"/>
      <c r="K202" s="33" t="s">
        <v>503</v>
      </c>
      <c r="L202" s="360" t="s">
        <v>48</v>
      </c>
      <c r="M202" s="40">
        <v>7</v>
      </c>
      <c r="N202" s="360">
        <v>14000</v>
      </c>
      <c r="O202" s="72" t="s">
        <v>704</v>
      </c>
      <c r="P202" s="33">
        <v>2001</v>
      </c>
      <c r="Q202" s="40"/>
      <c r="R202" s="40"/>
      <c r="S202" s="40" t="s">
        <v>482</v>
      </c>
      <c r="T202" s="40" t="s">
        <v>12</v>
      </c>
      <c r="U202" s="251">
        <v>700000000</v>
      </c>
      <c r="V202" s="33" t="s">
        <v>43</v>
      </c>
      <c r="W202" s="127"/>
      <c r="X202" s="206" t="str">
        <f t="shared" si="80"/>
        <v>4.13.01</v>
      </c>
      <c r="Y202" s="207" t="str">
        <f t="shared" si="65"/>
        <v>JALAN</v>
      </c>
      <c r="Z202" s="207">
        <f t="shared" si="66"/>
        <v>10</v>
      </c>
      <c r="AA202" s="233">
        <f t="shared" si="68"/>
        <v>69999999</v>
      </c>
      <c r="AB202" s="208">
        <f t="shared" si="69"/>
        <v>12</v>
      </c>
      <c r="AC202" s="233">
        <f t="shared" si="70"/>
        <v>699999990</v>
      </c>
      <c r="AD202" s="233">
        <f t="shared" si="71"/>
        <v>0</v>
      </c>
      <c r="AE202" s="233">
        <f t="shared" si="72"/>
        <v>0</v>
      </c>
      <c r="AF202" s="233">
        <f t="shared" si="73"/>
        <v>0</v>
      </c>
      <c r="AG202" s="233">
        <f t="shared" si="74"/>
        <v>0</v>
      </c>
      <c r="AH202" s="238">
        <f t="shared" si="75"/>
        <v>0</v>
      </c>
      <c r="AI202" s="238">
        <f t="shared" si="76"/>
        <v>699999990</v>
      </c>
      <c r="AJ202" s="261">
        <f t="shared" si="77"/>
        <v>2001</v>
      </c>
      <c r="AK202" s="233">
        <f t="shared" si="78"/>
        <v>10</v>
      </c>
    </row>
    <row r="203" spans="1:39" s="116" customFormat="1" ht="35.25" hidden="1" customHeight="1" x14ac:dyDescent="0.2">
      <c r="B203" s="116" t="e">
        <f t="shared" si="64"/>
        <v>#N/A</v>
      </c>
      <c r="F203" s="218" t="str">
        <f t="shared" si="67"/>
        <v>4.13.01</v>
      </c>
      <c r="G203" s="53"/>
      <c r="H203" s="67" t="s">
        <v>1143</v>
      </c>
      <c r="I203" s="33" t="s">
        <v>3821</v>
      </c>
      <c r="J203" s="63"/>
      <c r="K203" s="33" t="s">
        <v>8</v>
      </c>
      <c r="L203" s="360" t="s">
        <v>602</v>
      </c>
      <c r="M203" s="40"/>
      <c r="N203" s="360"/>
      <c r="O203" s="72" t="s">
        <v>705</v>
      </c>
      <c r="P203" s="33">
        <v>2001</v>
      </c>
      <c r="Q203" s="40"/>
      <c r="R203" s="40"/>
      <c r="S203" s="40" t="s">
        <v>482</v>
      </c>
      <c r="T203" s="40" t="s">
        <v>12</v>
      </c>
      <c r="U203" s="251">
        <v>536747180</v>
      </c>
      <c r="V203" s="33" t="s">
        <v>43</v>
      </c>
      <c r="W203" s="127"/>
      <c r="X203" s="206" t="str">
        <f t="shared" si="80"/>
        <v>4.13.01</v>
      </c>
      <c r="Y203" s="207" t="str">
        <f t="shared" si="65"/>
        <v>JALAN</v>
      </c>
      <c r="Z203" s="207">
        <f t="shared" si="66"/>
        <v>10</v>
      </c>
      <c r="AA203" s="233">
        <f t="shared" si="68"/>
        <v>53674717</v>
      </c>
      <c r="AB203" s="208">
        <f t="shared" si="69"/>
        <v>12</v>
      </c>
      <c r="AC203" s="233">
        <f t="shared" si="70"/>
        <v>536747170</v>
      </c>
      <c r="AD203" s="233">
        <f t="shared" si="71"/>
        <v>0</v>
      </c>
      <c r="AE203" s="233">
        <f t="shared" si="72"/>
        <v>0</v>
      </c>
      <c r="AF203" s="233">
        <f t="shared" si="73"/>
        <v>0</v>
      </c>
      <c r="AG203" s="233">
        <f t="shared" si="74"/>
        <v>0</v>
      </c>
      <c r="AH203" s="238">
        <f t="shared" si="75"/>
        <v>0</v>
      </c>
      <c r="AI203" s="238">
        <f t="shared" si="76"/>
        <v>536747170</v>
      </c>
      <c r="AJ203" s="261">
        <f t="shared" si="77"/>
        <v>2001</v>
      </c>
      <c r="AK203" s="233">
        <f t="shared" si="78"/>
        <v>10</v>
      </c>
    </row>
    <row r="204" spans="1:39" s="116" customFormat="1" ht="35.25" hidden="1" customHeight="1" x14ac:dyDescent="0.2">
      <c r="A204" s="116">
        <v>171</v>
      </c>
      <c r="B204" s="116" t="str">
        <f t="shared" si="64"/>
        <v>JL. DESA TANAH BEKALI - PL. DERAS</v>
      </c>
      <c r="D204" s="116">
        <v>1</v>
      </c>
      <c r="E204" s="116" t="str">
        <f t="shared" ref="E204:E211" si="81">A204&amp;"."&amp;D204</f>
        <v>171.1</v>
      </c>
      <c r="F204" s="218" t="str">
        <f t="shared" si="67"/>
        <v>4.13.01</v>
      </c>
      <c r="G204" s="53"/>
      <c r="H204" s="67" t="s">
        <v>696</v>
      </c>
      <c r="I204" s="33" t="s">
        <v>3821</v>
      </c>
      <c r="J204" s="63"/>
      <c r="K204" s="33" t="s">
        <v>503</v>
      </c>
      <c r="L204" s="360" t="s">
        <v>48</v>
      </c>
      <c r="M204" s="40">
        <v>7</v>
      </c>
      <c r="N204" s="360">
        <v>14000</v>
      </c>
      <c r="O204" s="72" t="s">
        <v>706</v>
      </c>
      <c r="P204" s="33">
        <v>2001</v>
      </c>
      <c r="Q204" s="40"/>
      <c r="R204" s="40"/>
      <c r="S204" s="40" t="s">
        <v>482</v>
      </c>
      <c r="T204" s="40" t="s">
        <v>12</v>
      </c>
      <c r="U204" s="251">
        <v>600000000</v>
      </c>
      <c r="V204" s="33" t="s">
        <v>43</v>
      </c>
      <c r="W204" s="127"/>
      <c r="X204" s="206" t="str">
        <f t="shared" si="80"/>
        <v>4.13.01</v>
      </c>
      <c r="Y204" s="207" t="str">
        <f t="shared" si="65"/>
        <v>JALAN</v>
      </c>
      <c r="Z204" s="207">
        <f t="shared" si="66"/>
        <v>10</v>
      </c>
      <c r="AA204" s="233">
        <f t="shared" si="68"/>
        <v>59999999</v>
      </c>
      <c r="AB204" s="208">
        <f t="shared" si="69"/>
        <v>12</v>
      </c>
      <c r="AC204" s="233">
        <f t="shared" si="70"/>
        <v>599999990</v>
      </c>
      <c r="AD204" s="233">
        <f t="shared" si="71"/>
        <v>0</v>
      </c>
      <c r="AE204" s="233">
        <f t="shared" si="72"/>
        <v>0</v>
      </c>
      <c r="AF204" s="233">
        <f t="shared" si="73"/>
        <v>0</v>
      </c>
      <c r="AG204" s="233">
        <f t="shared" si="74"/>
        <v>0</v>
      </c>
      <c r="AH204" s="238">
        <f t="shared" si="75"/>
        <v>0</v>
      </c>
      <c r="AI204" s="238">
        <f t="shared" si="76"/>
        <v>599999990</v>
      </c>
      <c r="AJ204" s="261">
        <f t="shared" si="77"/>
        <v>2001</v>
      </c>
      <c r="AK204" s="233">
        <f t="shared" si="78"/>
        <v>10</v>
      </c>
    </row>
    <row r="205" spans="1:39" s="116" customFormat="1" ht="35.25" hidden="1" customHeight="1" x14ac:dyDescent="0.2">
      <c r="A205" s="116">
        <v>172</v>
      </c>
      <c r="B205" s="116" t="str">
        <f t="shared" si="64"/>
        <v>JL. DESA PL. TENGAH - SIKAPING</v>
      </c>
      <c r="D205" s="116">
        <v>1</v>
      </c>
      <c r="E205" s="116" t="str">
        <f t="shared" si="81"/>
        <v>172.1</v>
      </c>
      <c r="F205" s="218" t="str">
        <f t="shared" si="67"/>
        <v>4.13.01</v>
      </c>
      <c r="G205" s="53"/>
      <c r="H205" s="67" t="s">
        <v>696</v>
      </c>
      <c r="I205" s="33" t="s">
        <v>3821</v>
      </c>
      <c r="J205" s="63"/>
      <c r="K205" s="33" t="s">
        <v>503</v>
      </c>
      <c r="L205" s="360" t="s">
        <v>598</v>
      </c>
      <c r="M205" s="40">
        <v>7</v>
      </c>
      <c r="N205" s="360">
        <v>7000</v>
      </c>
      <c r="O205" s="72" t="s">
        <v>707</v>
      </c>
      <c r="P205" s="33">
        <v>2001</v>
      </c>
      <c r="Q205" s="40"/>
      <c r="R205" s="40"/>
      <c r="S205" s="40" t="s">
        <v>482</v>
      </c>
      <c r="T205" s="40" t="s">
        <v>12</v>
      </c>
      <c r="U205" s="251">
        <v>243750000</v>
      </c>
      <c r="V205" s="33" t="s">
        <v>43</v>
      </c>
      <c r="W205" s="127"/>
      <c r="X205" s="206" t="str">
        <f t="shared" si="80"/>
        <v>4.13.01</v>
      </c>
      <c r="Y205" s="207" t="str">
        <f t="shared" si="65"/>
        <v>JALAN</v>
      </c>
      <c r="Z205" s="207">
        <f t="shared" si="66"/>
        <v>10</v>
      </c>
      <c r="AA205" s="233">
        <f t="shared" si="68"/>
        <v>24374999</v>
      </c>
      <c r="AB205" s="208">
        <f t="shared" si="69"/>
        <v>12</v>
      </c>
      <c r="AC205" s="233">
        <f t="shared" si="70"/>
        <v>243749990</v>
      </c>
      <c r="AD205" s="233">
        <f t="shared" si="71"/>
        <v>0</v>
      </c>
      <c r="AE205" s="233">
        <f t="shared" si="72"/>
        <v>0</v>
      </c>
      <c r="AF205" s="233">
        <f t="shared" si="73"/>
        <v>0</v>
      </c>
      <c r="AG205" s="233">
        <f t="shared" si="74"/>
        <v>0</v>
      </c>
      <c r="AH205" s="238">
        <f t="shared" si="75"/>
        <v>0</v>
      </c>
      <c r="AI205" s="238">
        <f t="shared" si="76"/>
        <v>243749990</v>
      </c>
      <c r="AJ205" s="261">
        <f t="shared" si="77"/>
        <v>2001</v>
      </c>
      <c r="AK205" s="233">
        <f t="shared" si="78"/>
        <v>10</v>
      </c>
    </row>
    <row r="206" spans="1:39" s="116" customFormat="1" ht="35.25" hidden="1" customHeight="1" x14ac:dyDescent="0.2">
      <c r="A206" s="116">
        <v>173</v>
      </c>
      <c r="B206" s="116" t="str">
        <f t="shared" si="64"/>
        <v>JL. DESA PL. RENGAS - PEMATANG</v>
      </c>
      <c r="D206" s="116">
        <v>1</v>
      </c>
      <c r="E206" s="116" t="str">
        <f t="shared" si="81"/>
        <v>173.1</v>
      </c>
      <c r="F206" s="218" t="str">
        <f t="shared" si="67"/>
        <v>4.13.01</v>
      </c>
      <c r="G206" s="53"/>
      <c r="H206" s="67" t="s">
        <v>696</v>
      </c>
      <c r="I206" s="33" t="s">
        <v>3821</v>
      </c>
      <c r="J206" s="63"/>
      <c r="K206" s="33" t="s">
        <v>503</v>
      </c>
      <c r="L206" s="360">
        <v>3000</v>
      </c>
      <c r="M206" s="40">
        <v>7</v>
      </c>
      <c r="N206" s="360">
        <v>21000</v>
      </c>
      <c r="O206" s="72" t="s">
        <v>708</v>
      </c>
      <c r="P206" s="33">
        <v>2001</v>
      </c>
      <c r="Q206" s="40"/>
      <c r="R206" s="40"/>
      <c r="S206" s="40" t="s">
        <v>482</v>
      </c>
      <c r="T206" s="40" t="s">
        <v>12</v>
      </c>
      <c r="U206" s="251">
        <v>787500000</v>
      </c>
      <c r="V206" s="33" t="s">
        <v>43</v>
      </c>
      <c r="W206" s="127"/>
      <c r="X206" s="206" t="str">
        <f t="shared" si="80"/>
        <v>4.13.01</v>
      </c>
      <c r="Y206" s="207" t="str">
        <f t="shared" si="65"/>
        <v>JALAN</v>
      </c>
      <c r="Z206" s="207">
        <f t="shared" si="66"/>
        <v>10</v>
      </c>
      <c r="AA206" s="233">
        <f t="shared" si="68"/>
        <v>78749999</v>
      </c>
      <c r="AB206" s="208">
        <f t="shared" si="69"/>
        <v>12</v>
      </c>
      <c r="AC206" s="233">
        <f t="shared" si="70"/>
        <v>787499990</v>
      </c>
      <c r="AD206" s="233">
        <f t="shared" si="71"/>
        <v>0</v>
      </c>
      <c r="AE206" s="233">
        <f t="shared" si="72"/>
        <v>0</v>
      </c>
      <c r="AF206" s="233">
        <f t="shared" si="73"/>
        <v>0</v>
      </c>
      <c r="AG206" s="233">
        <f t="shared" si="74"/>
        <v>0</v>
      </c>
      <c r="AH206" s="238">
        <f t="shared" si="75"/>
        <v>0</v>
      </c>
      <c r="AI206" s="238">
        <f t="shared" si="76"/>
        <v>787499990</v>
      </c>
      <c r="AJ206" s="261">
        <f t="shared" si="77"/>
        <v>2001</v>
      </c>
      <c r="AK206" s="233">
        <f t="shared" si="78"/>
        <v>10</v>
      </c>
    </row>
    <row r="207" spans="1:39" s="116" customFormat="1" ht="35.25" hidden="1" customHeight="1" x14ac:dyDescent="0.2">
      <c r="A207" s="116">
        <v>163</v>
      </c>
      <c r="B207" s="116" t="str">
        <f t="shared" si="64"/>
        <v>PANGEAN - PL. KUMPAI</v>
      </c>
      <c r="D207" s="116">
        <v>1</v>
      </c>
      <c r="E207" s="116" t="str">
        <f t="shared" si="81"/>
        <v>163.1</v>
      </c>
      <c r="F207" s="218" t="str">
        <f t="shared" si="67"/>
        <v>4.13.01</v>
      </c>
      <c r="G207" s="53"/>
      <c r="H207" s="67" t="s">
        <v>1144</v>
      </c>
      <c r="I207" s="33" t="s">
        <v>3821</v>
      </c>
      <c r="J207" s="63"/>
      <c r="K207" s="33" t="s">
        <v>479</v>
      </c>
      <c r="L207" s="360">
        <v>8000</v>
      </c>
      <c r="M207" s="40">
        <v>7</v>
      </c>
      <c r="N207" s="360">
        <v>56000</v>
      </c>
      <c r="O207" s="72" t="s">
        <v>709</v>
      </c>
      <c r="P207" s="33">
        <v>2001</v>
      </c>
      <c r="Q207" s="40"/>
      <c r="R207" s="40"/>
      <c r="S207" s="40" t="s">
        <v>482</v>
      </c>
      <c r="T207" s="40" t="s">
        <v>12</v>
      </c>
      <c r="U207" s="251">
        <v>4613760526</v>
      </c>
      <c r="V207" s="33" t="s">
        <v>43</v>
      </c>
      <c r="W207" s="127"/>
      <c r="X207" s="206" t="str">
        <f t="shared" si="80"/>
        <v>4.13.01</v>
      </c>
      <c r="Y207" s="207" t="str">
        <f t="shared" si="65"/>
        <v>JALAN</v>
      </c>
      <c r="Z207" s="207">
        <f t="shared" si="66"/>
        <v>10</v>
      </c>
      <c r="AA207" s="233">
        <f t="shared" si="68"/>
        <v>461376051.60000002</v>
      </c>
      <c r="AB207" s="208">
        <f t="shared" si="69"/>
        <v>12</v>
      </c>
      <c r="AC207" s="233">
        <f t="shared" si="70"/>
        <v>4613760516</v>
      </c>
      <c r="AD207" s="233">
        <f t="shared" si="71"/>
        <v>0</v>
      </c>
      <c r="AE207" s="233">
        <f t="shared" si="72"/>
        <v>0</v>
      </c>
      <c r="AF207" s="233">
        <f t="shared" si="73"/>
        <v>0</v>
      </c>
      <c r="AG207" s="233">
        <f t="shared" si="74"/>
        <v>0</v>
      </c>
      <c r="AH207" s="238">
        <f t="shared" si="75"/>
        <v>0</v>
      </c>
      <c r="AI207" s="238">
        <f t="shared" si="76"/>
        <v>4613760516</v>
      </c>
      <c r="AJ207" s="261">
        <f t="shared" si="77"/>
        <v>2001</v>
      </c>
      <c r="AK207" s="233">
        <f t="shared" si="78"/>
        <v>10</v>
      </c>
    </row>
    <row r="208" spans="1:39" s="116" customFormat="1" ht="35.25" hidden="1" customHeight="1" x14ac:dyDescent="0.2">
      <c r="A208" s="116">
        <v>275</v>
      </c>
      <c r="B208" s="116" t="str">
        <f t="shared" si="64"/>
        <v>BERINGIN JAYA - BINJAI</v>
      </c>
      <c r="D208" s="116">
        <v>1</v>
      </c>
      <c r="E208" s="116" t="str">
        <f t="shared" si="81"/>
        <v>275.1</v>
      </c>
      <c r="F208" s="218" t="str">
        <f t="shared" si="67"/>
        <v>4.13.01</v>
      </c>
      <c r="G208" s="53"/>
      <c r="H208" s="67" t="s">
        <v>696</v>
      </c>
      <c r="I208" s="33" t="s">
        <v>3821</v>
      </c>
      <c r="J208" s="63"/>
      <c r="K208" s="33" t="s">
        <v>484</v>
      </c>
      <c r="L208" s="360" t="s">
        <v>480</v>
      </c>
      <c r="M208" s="40">
        <v>7</v>
      </c>
      <c r="N208" s="360">
        <v>28000</v>
      </c>
      <c r="O208" s="72" t="s">
        <v>710</v>
      </c>
      <c r="P208" s="33">
        <v>2001</v>
      </c>
      <c r="Q208" s="40"/>
      <c r="R208" s="40"/>
      <c r="S208" s="40" t="s">
        <v>482</v>
      </c>
      <c r="T208" s="40" t="s">
        <v>12</v>
      </c>
      <c r="U208" s="251">
        <v>832000000</v>
      </c>
      <c r="V208" s="33" t="s">
        <v>43</v>
      </c>
      <c r="W208" s="127"/>
      <c r="X208" s="206" t="str">
        <f t="shared" si="80"/>
        <v>4.13.01</v>
      </c>
      <c r="Y208" s="207" t="str">
        <f t="shared" si="65"/>
        <v>JALAN</v>
      </c>
      <c r="Z208" s="207">
        <f t="shared" si="66"/>
        <v>10</v>
      </c>
      <c r="AA208" s="233">
        <f t="shared" si="68"/>
        <v>83199999</v>
      </c>
      <c r="AB208" s="208">
        <f t="shared" si="69"/>
        <v>12</v>
      </c>
      <c r="AC208" s="233">
        <f t="shared" si="70"/>
        <v>831999990</v>
      </c>
      <c r="AD208" s="233">
        <f t="shared" si="71"/>
        <v>0</v>
      </c>
      <c r="AE208" s="233">
        <f t="shared" si="72"/>
        <v>0</v>
      </c>
      <c r="AF208" s="233">
        <f t="shared" si="73"/>
        <v>0</v>
      </c>
      <c r="AG208" s="233">
        <f t="shared" si="74"/>
        <v>0</v>
      </c>
      <c r="AH208" s="238">
        <f t="shared" si="75"/>
        <v>0</v>
      </c>
      <c r="AI208" s="238">
        <f t="shared" si="76"/>
        <v>831999990</v>
      </c>
      <c r="AJ208" s="261">
        <f t="shared" si="77"/>
        <v>2001</v>
      </c>
      <c r="AK208" s="233">
        <f t="shared" si="78"/>
        <v>10</v>
      </c>
    </row>
    <row r="209" spans="1:37" s="116" customFormat="1" ht="35.25" hidden="1" customHeight="1" x14ac:dyDescent="0.2">
      <c r="A209" s="116">
        <v>166</v>
      </c>
      <c r="B209" s="116" t="str">
        <f t="shared" si="64"/>
        <v>PAUH ANGIT - PS. USANG PANGEAN</v>
      </c>
      <c r="D209" s="116">
        <v>1</v>
      </c>
      <c r="E209" s="116" t="str">
        <f t="shared" si="81"/>
        <v>166.1</v>
      </c>
      <c r="F209" s="218" t="str">
        <f t="shared" si="67"/>
        <v>4.13.01</v>
      </c>
      <c r="G209" s="53"/>
      <c r="H209" s="67" t="s">
        <v>696</v>
      </c>
      <c r="I209" s="33" t="s">
        <v>3821</v>
      </c>
      <c r="J209" s="63"/>
      <c r="K209" s="33" t="s">
        <v>484</v>
      </c>
      <c r="L209" s="360" t="s">
        <v>541</v>
      </c>
      <c r="M209" s="40">
        <v>7</v>
      </c>
      <c r="N209" s="360">
        <v>4200</v>
      </c>
      <c r="O209" s="72" t="s">
        <v>3084</v>
      </c>
      <c r="P209" s="33">
        <v>2001</v>
      </c>
      <c r="Q209" s="40"/>
      <c r="R209" s="40"/>
      <c r="S209" s="40" t="s">
        <v>482</v>
      </c>
      <c r="T209" s="40" t="s">
        <v>12</v>
      </c>
      <c r="U209" s="251">
        <v>187200000</v>
      </c>
      <c r="V209" s="33" t="s">
        <v>43</v>
      </c>
      <c r="W209" s="127"/>
      <c r="X209" s="206" t="str">
        <f t="shared" si="80"/>
        <v>4.13.01</v>
      </c>
      <c r="Y209" s="207" t="str">
        <f t="shared" si="65"/>
        <v>JALAN</v>
      </c>
      <c r="Z209" s="207">
        <f t="shared" si="66"/>
        <v>10</v>
      </c>
      <c r="AA209" s="233">
        <f t="shared" si="68"/>
        <v>18719999</v>
      </c>
      <c r="AB209" s="208">
        <f t="shared" si="69"/>
        <v>12</v>
      </c>
      <c r="AC209" s="233">
        <f t="shared" si="70"/>
        <v>187199990</v>
      </c>
      <c r="AD209" s="233">
        <f t="shared" si="71"/>
        <v>0</v>
      </c>
      <c r="AE209" s="233">
        <f t="shared" si="72"/>
        <v>0</v>
      </c>
      <c r="AF209" s="233">
        <f t="shared" si="73"/>
        <v>0</v>
      </c>
      <c r="AG209" s="233">
        <f t="shared" si="74"/>
        <v>0</v>
      </c>
      <c r="AH209" s="238">
        <f t="shared" si="75"/>
        <v>0</v>
      </c>
      <c r="AI209" s="238">
        <f t="shared" si="76"/>
        <v>187199990</v>
      </c>
      <c r="AJ209" s="261">
        <f t="shared" si="77"/>
        <v>2001</v>
      </c>
      <c r="AK209" s="233">
        <f t="shared" si="78"/>
        <v>10</v>
      </c>
    </row>
    <row r="210" spans="1:37" s="116" customFormat="1" ht="35.25" hidden="1" customHeight="1" x14ac:dyDescent="0.2">
      <c r="A210" s="116">
        <v>176</v>
      </c>
      <c r="B210" s="116" t="str">
        <f t="shared" si="64"/>
        <v>JL. DESA PEMATANG - PL. TENGAH</v>
      </c>
      <c r="D210" s="116">
        <v>1</v>
      </c>
      <c r="E210" s="116" t="str">
        <f t="shared" si="81"/>
        <v>176.1</v>
      </c>
      <c r="F210" s="218" t="str">
        <f t="shared" si="67"/>
        <v>4.13.01</v>
      </c>
      <c r="G210" s="53"/>
      <c r="H210" s="67" t="s">
        <v>696</v>
      </c>
      <c r="I210" s="33" t="s">
        <v>3821</v>
      </c>
      <c r="J210" s="63"/>
      <c r="K210" s="33" t="s">
        <v>503</v>
      </c>
      <c r="L210" s="360">
        <v>2000</v>
      </c>
      <c r="M210" s="40">
        <v>7</v>
      </c>
      <c r="N210" s="360">
        <v>14000</v>
      </c>
      <c r="O210" s="72" t="s">
        <v>711</v>
      </c>
      <c r="P210" s="33">
        <v>2001</v>
      </c>
      <c r="Q210" s="40"/>
      <c r="R210" s="40"/>
      <c r="S210" s="40" t="s">
        <v>482</v>
      </c>
      <c r="T210" s="40" t="s">
        <v>12</v>
      </c>
      <c r="U210" s="251">
        <v>525000000</v>
      </c>
      <c r="V210" s="33" t="s">
        <v>43</v>
      </c>
      <c r="W210" s="127"/>
      <c r="X210" s="206" t="str">
        <f t="shared" si="80"/>
        <v>4.13.01</v>
      </c>
      <c r="Y210" s="207" t="str">
        <f t="shared" si="65"/>
        <v>JALAN</v>
      </c>
      <c r="Z210" s="207">
        <f t="shared" si="66"/>
        <v>10</v>
      </c>
      <c r="AA210" s="233">
        <f t="shared" si="68"/>
        <v>52499999</v>
      </c>
      <c r="AB210" s="208">
        <f t="shared" si="69"/>
        <v>12</v>
      </c>
      <c r="AC210" s="233">
        <f t="shared" si="70"/>
        <v>524999990</v>
      </c>
      <c r="AD210" s="233">
        <f t="shared" si="71"/>
        <v>0</v>
      </c>
      <c r="AE210" s="233">
        <f t="shared" si="72"/>
        <v>0</v>
      </c>
      <c r="AF210" s="233">
        <f t="shared" si="73"/>
        <v>0</v>
      </c>
      <c r="AG210" s="233">
        <f t="shared" si="74"/>
        <v>0</v>
      </c>
      <c r="AH210" s="238">
        <f t="shared" si="75"/>
        <v>0</v>
      </c>
      <c r="AI210" s="238">
        <f t="shared" si="76"/>
        <v>524999990</v>
      </c>
      <c r="AJ210" s="261">
        <f t="shared" si="77"/>
        <v>2001</v>
      </c>
      <c r="AK210" s="233">
        <f t="shared" si="78"/>
        <v>10</v>
      </c>
    </row>
    <row r="211" spans="1:37" s="116" customFormat="1" ht="35.25" hidden="1" customHeight="1" x14ac:dyDescent="0.2">
      <c r="A211" s="116">
        <v>178</v>
      </c>
      <c r="B211" s="116" t="str">
        <f t="shared" si="64"/>
        <v>PAUH ANGIT - RAWANG BINJAI</v>
      </c>
      <c r="D211" s="116">
        <v>1</v>
      </c>
      <c r="E211" s="116" t="str">
        <f t="shared" si="81"/>
        <v>178.1</v>
      </c>
      <c r="F211" s="218" t="str">
        <f t="shared" si="67"/>
        <v>4.13.01</v>
      </c>
      <c r="G211" s="53"/>
      <c r="H211" s="67" t="s">
        <v>1145</v>
      </c>
      <c r="I211" s="33" t="s">
        <v>3821</v>
      </c>
      <c r="J211" s="63"/>
      <c r="K211" s="33" t="s">
        <v>8</v>
      </c>
      <c r="L211" s="360" t="s">
        <v>501</v>
      </c>
      <c r="M211" s="40">
        <v>7</v>
      </c>
      <c r="N211" s="360">
        <v>24500</v>
      </c>
      <c r="O211" s="72" t="s">
        <v>712</v>
      </c>
      <c r="P211" s="33">
        <v>2001</v>
      </c>
      <c r="Q211" s="40"/>
      <c r="R211" s="40"/>
      <c r="S211" s="40" t="s">
        <v>482</v>
      </c>
      <c r="T211" s="40" t="s">
        <v>12</v>
      </c>
      <c r="U211" s="251">
        <v>1115572260</v>
      </c>
      <c r="V211" s="33" t="s">
        <v>43</v>
      </c>
      <c r="W211" s="127"/>
      <c r="X211" s="206" t="str">
        <f t="shared" si="80"/>
        <v>4.13.01</v>
      </c>
      <c r="Y211" s="207" t="str">
        <f t="shared" si="65"/>
        <v>JALAN</v>
      </c>
      <c r="Z211" s="207">
        <f t="shared" si="66"/>
        <v>10</v>
      </c>
      <c r="AA211" s="233">
        <f t="shared" si="68"/>
        <v>111557225</v>
      </c>
      <c r="AB211" s="208">
        <f t="shared" si="69"/>
        <v>12</v>
      </c>
      <c r="AC211" s="233">
        <f t="shared" si="70"/>
        <v>1115572250</v>
      </c>
      <c r="AD211" s="233">
        <f t="shared" si="71"/>
        <v>0</v>
      </c>
      <c r="AE211" s="233">
        <f t="shared" si="72"/>
        <v>0</v>
      </c>
      <c r="AF211" s="233">
        <f t="shared" si="73"/>
        <v>0</v>
      </c>
      <c r="AG211" s="233">
        <f t="shared" si="74"/>
        <v>0</v>
      </c>
      <c r="AH211" s="238">
        <f t="shared" si="75"/>
        <v>0</v>
      </c>
      <c r="AI211" s="238">
        <f t="shared" si="76"/>
        <v>1115572250</v>
      </c>
      <c r="AJ211" s="261">
        <f t="shared" si="77"/>
        <v>2001</v>
      </c>
      <c r="AK211" s="233">
        <f t="shared" si="78"/>
        <v>10</v>
      </c>
    </row>
    <row r="212" spans="1:37" s="116" customFormat="1" ht="35.25" hidden="1" customHeight="1" x14ac:dyDescent="0.2">
      <c r="B212" s="116" t="e">
        <f t="shared" si="64"/>
        <v>#N/A</v>
      </c>
      <c r="F212" s="218" t="str">
        <f t="shared" si="67"/>
        <v>4.13.01</v>
      </c>
      <c r="G212" s="53"/>
      <c r="H212" s="67" t="s">
        <v>696</v>
      </c>
      <c r="I212" s="33" t="s">
        <v>3821</v>
      </c>
      <c r="J212" s="63"/>
      <c r="K212" s="33" t="s">
        <v>484</v>
      </c>
      <c r="L212" s="360" t="s">
        <v>713</v>
      </c>
      <c r="M212" s="40"/>
      <c r="N212" s="360"/>
      <c r="O212" s="72" t="s">
        <v>714</v>
      </c>
      <c r="P212" s="33">
        <v>2001</v>
      </c>
      <c r="Q212" s="40"/>
      <c r="R212" s="40"/>
      <c r="S212" s="40" t="s">
        <v>482</v>
      </c>
      <c r="T212" s="40" t="s">
        <v>12</v>
      </c>
      <c r="U212" s="251">
        <v>537600000</v>
      </c>
      <c r="V212" s="33" t="s">
        <v>43</v>
      </c>
      <c r="W212" s="127"/>
      <c r="X212" s="206" t="str">
        <f t="shared" si="80"/>
        <v>4.13.01</v>
      </c>
      <c r="Y212" s="207" t="str">
        <f t="shared" si="65"/>
        <v>JALAN</v>
      </c>
      <c r="Z212" s="207">
        <f t="shared" si="66"/>
        <v>10</v>
      </c>
      <c r="AA212" s="233">
        <f t="shared" si="68"/>
        <v>53759999</v>
      </c>
      <c r="AB212" s="208">
        <f t="shared" si="69"/>
        <v>12</v>
      </c>
      <c r="AC212" s="233">
        <f t="shared" si="70"/>
        <v>537599990</v>
      </c>
      <c r="AD212" s="233">
        <f t="shared" si="71"/>
        <v>0</v>
      </c>
      <c r="AE212" s="233">
        <f t="shared" si="72"/>
        <v>0</v>
      </c>
      <c r="AF212" s="233">
        <f t="shared" si="73"/>
        <v>0</v>
      </c>
      <c r="AG212" s="233">
        <f t="shared" si="74"/>
        <v>0</v>
      </c>
      <c r="AH212" s="238">
        <f t="shared" si="75"/>
        <v>0</v>
      </c>
      <c r="AI212" s="238">
        <f t="shared" si="76"/>
        <v>537599990</v>
      </c>
      <c r="AJ212" s="261">
        <f t="shared" si="77"/>
        <v>2001</v>
      </c>
      <c r="AK212" s="233">
        <f t="shared" si="78"/>
        <v>10</v>
      </c>
    </row>
    <row r="213" spans="1:37" s="116" customFormat="1" ht="35.25" hidden="1" customHeight="1" x14ac:dyDescent="0.2">
      <c r="B213" s="116" t="e">
        <f t="shared" si="64"/>
        <v>#N/A</v>
      </c>
      <c r="F213" s="218" t="str">
        <f t="shared" si="67"/>
        <v>4.13.01</v>
      </c>
      <c r="G213" s="53"/>
      <c r="H213" s="67" t="s">
        <v>696</v>
      </c>
      <c r="I213" s="33" t="s">
        <v>3821</v>
      </c>
      <c r="J213" s="63"/>
      <c r="K213" s="33" t="s">
        <v>484</v>
      </c>
      <c r="L213" s="360" t="s">
        <v>715</v>
      </c>
      <c r="M213" s="40"/>
      <c r="N213" s="360"/>
      <c r="O213" s="72" t="s">
        <v>716</v>
      </c>
      <c r="P213" s="33">
        <v>2001</v>
      </c>
      <c r="Q213" s="40"/>
      <c r="R213" s="40"/>
      <c r="S213" s="40" t="s">
        <v>482</v>
      </c>
      <c r="T213" s="40" t="s">
        <v>12</v>
      </c>
      <c r="U213" s="251">
        <v>1229280000</v>
      </c>
      <c r="V213" s="33" t="s">
        <v>43</v>
      </c>
      <c r="W213" s="127"/>
      <c r="X213" s="206" t="str">
        <f t="shared" si="80"/>
        <v>4.13.01</v>
      </c>
      <c r="Y213" s="207" t="str">
        <f t="shared" si="65"/>
        <v>JALAN</v>
      </c>
      <c r="Z213" s="207">
        <f t="shared" si="66"/>
        <v>10</v>
      </c>
      <c r="AA213" s="233">
        <f t="shared" si="68"/>
        <v>122927999</v>
      </c>
      <c r="AB213" s="208">
        <f t="shared" si="69"/>
        <v>12</v>
      </c>
      <c r="AC213" s="233">
        <f t="shared" si="70"/>
        <v>1229279990</v>
      </c>
      <c r="AD213" s="233">
        <f t="shared" si="71"/>
        <v>0</v>
      </c>
      <c r="AE213" s="233">
        <f t="shared" si="72"/>
        <v>0</v>
      </c>
      <c r="AF213" s="233">
        <f t="shared" si="73"/>
        <v>0</v>
      </c>
      <c r="AG213" s="233">
        <f t="shared" si="74"/>
        <v>0</v>
      </c>
      <c r="AH213" s="238">
        <f t="shared" si="75"/>
        <v>0</v>
      </c>
      <c r="AI213" s="238">
        <f t="shared" si="76"/>
        <v>1229279990</v>
      </c>
      <c r="AJ213" s="261">
        <f t="shared" si="77"/>
        <v>2001</v>
      </c>
      <c r="AK213" s="233">
        <f t="shared" si="78"/>
        <v>10</v>
      </c>
    </row>
    <row r="214" spans="1:37" s="116" customFormat="1" ht="35.25" hidden="1" customHeight="1" x14ac:dyDescent="0.2">
      <c r="B214" s="116" t="e">
        <f t="shared" si="64"/>
        <v>#N/A</v>
      </c>
      <c r="F214" s="218" t="str">
        <f t="shared" si="67"/>
        <v>4.13.01</v>
      </c>
      <c r="G214" s="53"/>
      <c r="H214" s="67" t="s">
        <v>696</v>
      </c>
      <c r="I214" s="33" t="s">
        <v>3821</v>
      </c>
      <c r="J214" s="63"/>
      <c r="K214" s="33" t="s">
        <v>8</v>
      </c>
      <c r="L214" s="360" t="s">
        <v>598</v>
      </c>
      <c r="M214" s="40"/>
      <c r="N214" s="360"/>
      <c r="O214" s="72" t="s">
        <v>717</v>
      </c>
      <c r="P214" s="33">
        <v>2001</v>
      </c>
      <c r="Q214" s="40"/>
      <c r="R214" s="40"/>
      <c r="S214" s="40" t="s">
        <v>482</v>
      </c>
      <c r="T214" s="40" t="s">
        <v>12</v>
      </c>
      <c r="U214" s="251">
        <v>180000000</v>
      </c>
      <c r="V214" s="33" t="s">
        <v>43</v>
      </c>
      <c r="W214" s="127"/>
      <c r="X214" s="206" t="str">
        <f t="shared" si="80"/>
        <v>4.13.01</v>
      </c>
      <c r="Y214" s="207" t="str">
        <f t="shared" si="65"/>
        <v>JALAN</v>
      </c>
      <c r="Z214" s="207">
        <f t="shared" si="66"/>
        <v>10</v>
      </c>
      <c r="AA214" s="233">
        <f t="shared" si="68"/>
        <v>17999999</v>
      </c>
      <c r="AB214" s="208">
        <f t="shared" si="69"/>
        <v>12</v>
      </c>
      <c r="AC214" s="233">
        <f t="shared" si="70"/>
        <v>179999990</v>
      </c>
      <c r="AD214" s="233">
        <f t="shared" si="71"/>
        <v>0</v>
      </c>
      <c r="AE214" s="233">
        <f t="shared" si="72"/>
        <v>0</v>
      </c>
      <c r="AF214" s="233">
        <f t="shared" si="73"/>
        <v>0</v>
      </c>
      <c r="AG214" s="233">
        <f t="shared" si="74"/>
        <v>0</v>
      </c>
      <c r="AH214" s="238">
        <f t="shared" si="75"/>
        <v>0</v>
      </c>
      <c r="AI214" s="238">
        <f t="shared" si="76"/>
        <v>179999990</v>
      </c>
      <c r="AJ214" s="261">
        <f t="shared" si="77"/>
        <v>2001</v>
      </c>
      <c r="AK214" s="233">
        <f t="shared" si="78"/>
        <v>10</v>
      </c>
    </row>
    <row r="215" spans="1:37" s="116" customFormat="1" ht="35.25" hidden="1" customHeight="1" x14ac:dyDescent="0.2">
      <c r="A215" s="116">
        <v>175</v>
      </c>
      <c r="B215" s="116" t="str">
        <f t="shared" si="64"/>
        <v>JL. DESA PAUH ANGIT - TANJUNG SIMANDOLAK</v>
      </c>
      <c r="D215" s="116">
        <v>1</v>
      </c>
      <c r="E215" s="116" t="str">
        <f>A215&amp;"."&amp;D215</f>
        <v>175.1</v>
      </c>
      <c r="F215" s="218" t="str">
        <f t="shared" si="67"/>
        <v>4.13.01</v>
      </c>
      <c r="G215" s="53"/>
      <c r="H215" s="67" t="s">
        <v>696</v>
      </c>
      <c r="I215" s="33" t="s">
        <v>3821</v>
      </c>
      <c r="J215" s="63"/>
      <c r="K215" s="33" t="s">
        <v>503</v>
      </c>
      <c r="L215" s="360">
        <v>2000</v>
      </c>
      <c r="M215" s="40">
        <v>7</v>
      </c>
      <c r="N215" s="360">
        <v>14000</v>
      </c>
      <c r="O215" s="72" t="s">
        <v>718</v>
      </c>
      <c r="P215" s="33">
        <v>2001</v>
      </c>
      <c r="Q215" s="40"/>
      <c r="R215" s="40"/>
      <c r="S215" s="40" t="s">
        <v>482</v>
      </c>
      <c r="T215" s="40" t="s">
        <v>12</v>
      </c>
      <c r="U215" s="251">
        <v>975000000</v>
      </c>
      <c r="V215" s="33" t="s">
        <v>43</v>
      </c>
      <c r="W215" s="127"/>
      <c r="X215" s="206" t="str">
        <f t="shared" si="80"/>
        <v>4.13.01</v>
      </c>
      <c r="Y215" s="207" t="str">
        <f t="shared" si="65"/>
        <v>JALAN</v>
      </c>
      <c r="Z215" s="207">
        <f t="shared" si="66"/>
        <v>10</v>
      </c>
      <c r="AA215" s="233">
        <f t="shared" si="68"/>
        <v>97499999</v>
      </c>
      <c r="AB215" s="208">
        <f t="shared" si="69"/>
        <v>12</v>
      </c>
      <c r="AC215" s="233">
        <f t="shared" si="70"/>
        <v>974999990</v>
      </c>
      <c r="AD215" s="233">
        <f t="shared" si="71"/>
        <v>0</v>
      </c>
      <c r="AE215" s="233">
        <f t="shared" si="72"/>
        <v>0</v>
      </c>
      <c r="AF215" s="233">
        <f t="shared" si="73"/>
        <v>0</v>
      </c>
      <c r="AG215" s="233">
        <f t="shared" si="74"/>
        <v>0</v>
      </c>
      <c r="AH215" s="238">
        <f t="shared" si="75"/>
        <v>0</v>
      </c>
      <c r="AI215" s="238">
        <f t="shared" si="76"/>
        <v>974999990</v>
      </c>
      <c r="AJ215" s="261">
        <f t="shared" si="77"/>
        <v>2001</v>
      </c>
      <c r="AK215" s="233">
        <f t="shared" si="78"/>
        <v>10</v>
      </c>
    </row>
    <row r="216" spans="1:37" s="116" customFormat="1" ht="35.25" hidden="1" customHeight="1" x14ac:dyDescent="0.2">
      <c r="B216" s="116" t="e">
        <f t="shared" si="64"/>
        <v>#N/A</v>
      </c>
      <c r="F216" s="218" t="str">
        <f t="shared" si="67"/>
        <v>4.13.01</v>
      </c>
      <c r="G216" s="53"/>
      <c r="H216" s="67" t="s">
        <v>696</v>
      </c>
      <c r="I216" s="33" t="s">
        <v>3821</v>
      </c>
      <c r="J216" s="63"/>
      <c r="K216" s="33" t="s">
        <v>525</v>
      </c>
      <c r="L216" s="360" t="s">
        <v>719</v>
      </c>
      <c r="M216" s="40"/>
      <c r="N216" s="360"/>
      <c r="O216" s="72" t="s">
        <v>720</v>
      </c>
      <c r="P216" s="33">
        <v>2001</v>
      </c>
      <c r="Q216" s="40"/>
      <c r="R216" s="40"/>
      <c r="S216" s="40" t="s">
        <v>482</v>
      </c>
      <c r="T216" s="40" t="s">
        <v>12</v>
      </c>
      <c r="U216" s="251">
        <v>472500000</v>
      </c>
      <c r="V216" s="33" t="s">
        <v>43</v>
      </c>
      <c r="W216" s="127"/>
      <c r="X216" s="206" t="str">
        <f t="shared" si="80"/>
        <v>4.13.01</v>
      </c>
      <c r="Y216" s="207" t="str">
        <f t="shared" si="65"/>
        <v>JALAN</v>
      </c>
      <c r="Z216" s="207">
        <f t="shared" si="66"/>
        <v>10</v>
      </c>
      <c r="AA216" s="233">
        <f t="shared" si="68"/>
        <v>47249999</v>
      </c>
      <c r="AB216" s="208">
        <f t="shared" si="69"/>
        <v>12</v>
      </c>
      <c r="AC216" s="233">
        <f t="shared" si="70"/>
        <v>472499990</v>
      </c>
      <c r="AD216" s="233">
        <f t="shared" si="71"/>
        <v>0</v>
      </c>
      <c r="AE216" s="233">
        <f t="shared" si="72"/>
        <v>0</v>
      </c>
      <c r="AF216" s="233">
        <f t="shared" si="73"/>
        <v>0</v>
      </c>
      <c r="AG216" s="233">
        <f t="shared" si="74"/>
        <v>0</v>
      </c>
      <c r="AH216" s="238">
        <f t="shared" si="75"/>
        <v>0</v>
      </c>
      <c r="AI216" s="238">
        <f t="shared" si="76"/>
        <v>472499990</v>
      </c>
      <c r="AJ216" s="261">
        <f t="shared" si="77"/>
        <v>2001</v>
      </c>
      <c r="AK216" s="233">
        <f t="shared" si="78"/>
        <v>10</v>
      </c>
    </row>
    <row r="217" spans="1:37" s="116" customFormat="1" ht="35.25" hidden="1" customHeight="1" x14ac:dyDescent="0.2">
      <c r="B217" s="116" t="e">
        <f t="shared" si="64"/>
        <v>#N/A</v>
      </c>
      <c r="F217" s="218" t="str">
        <f t="shared" si="67"/>
        <v>4.13.01</v>
      </c>
      <c r="G217" s="53"/>
      <c r="H217" s="67" t="s">
        <v>696</v>
      </c>
      <c r="I217" s="33" t="s">
        <v>3821</v>
      </c>
      <c r="J217" s="63"/>
      <c r="K217" s="33" t="s">
        <v>525</v>
      </c>
      <c r="L217" s="360" t="s">
        <v>530</v>
      </c>
      <c r="M217" s="40"/>
      <c r="N217" s="360"/>
      <c r="O217" s="72" t="s">
        <v>721</v>
      </c>
      <c r="P217" s="33">
        <v>2001</v>
      </c>
      <c r="Q217" s="40"/>
      <c r="R217" s="40"/>
      <c r="S217" s="40" t="s">
        <v>482</v>
      </c>
      <c r="T217" s="40" t="s">
        <v>12</v>
      </c>
      <c r="U217" s="251">
        <v>337500000</v>
      </c>
      <c r="V217" s="33" t="s">
        <v>43</v>
      </c>
      <c r="W217" s="127"/>
      <c r="X217" s="206" t="str">
        <f t="shared" si="80"/>
        <v>4.13.01</v>
      </c>
      <c r="Y217" s="207" t="str">
        <f t="shared" si="65"/>
        <v>JALAN</v>
      </c>
      <c r="Z217" s="207">
        <f t="shared" si="66"/>
        <v>10</v>
      </c>
      <c r="AA217" s="233">
        <f t="shared" si="68"/>
        <v>33749999</v>
      </c>
      <c r="AB217" s="208">
        <f t="shared" si="69"/>
        <v>12</v>
      </c>
      <c r="AC217" s="233">
        <f t="shared" si="70"/>
        <v>337499990</v>
      </c>
      <c r="AD217" s="233">
        <f t="shared" si="71"/>
        <v>0</v>
      </c>
      <c r="AE217" s="233">
        <f t="shared" si="72"/>
        <v>0</v>
      </c>
      <c r="AF217" s="233">
        <f t="shared" si="73"/>
        <v>0</v>
      </c>
      <c r="AG217" s="233">
        <f t="shared" si="74"/>
        <v>0</v>
      </c>
      <c r="AH217" s="238">
        <f t="shared" si="75"/>
        <v>0</v>
      </c>
      <c r="AI217" s="238">
        <f t="shared" si="76"/>
        <v>337499990</v>
      </c>
      <c r="AJ217" s="261">
        <f t="shared" si="77"/>
        <v>2001</v>
      </c>
      <c r="AK217" s="233">
        <f t="shared" si="78"/>
        <v>10</v>
      </c>
    </row>
    <row r="218" spans="1:37" s="116" customFormat="1" ht="35.25" hidden="1" customHeight="1" x14ac:dyDescent="0.2">
      <c r="B218" s="116" t="e">
        <f t="shared" si="64"/>
        <v>#N/A</v>
      </c>
      <c r="F218" s="218" t="str">
        <f t="shared" si="67"/>
        <v>4.13.01</v>
      </c>
      <c r="G218" s="53"/>
      <c r="H218" s="67" t="s">
        <v>696</v>
      </c>
      <c r="I218" s="33" t="s">
        <v>3821</v>
      </c>
      <c r="J218" s="63"/>
      <c r="K218" s="33" t="s">
        <v>525</v>
      </c>
      <c r="L218" s="360" t="s">
        <v>719</v>
      </c>
      <c r="M218" s="40"/>
      <c r="N218" s="360"/>
      <c r="O218" s="72" t="s">
        <v>722</v>
      </c>
      <c r="P218" s="33">
        <v>2001</v>
      </c>
      <c r="Q218" s="40"/>
      <c r="R218" s="40"/>
      <c r="S218" s="40" t="s">
        <v>482</v>
      </c>
      <c r="T218" s="40" t="s">
        <v>12</v>
      </c>
      <c r="U218" s="251">
        <v>441000000</v>
      </c>
      <c r="V218" s="33" t="s">
        <v>43</v>
      </c>
      <c r="W218" s="127"/>
      <c r="X218" s="206" t="str">
        <f t="shared" si="80"/>
        <v>4.13.01</v>
      </c>
      <c r="Y218" s="207" t="str">
        <f t="shared" si="65"/>
        <v>JALAN</v>
      </c>
      <c r="Z218" s="207">
        <f t="shared" si="66"/>
        <v>10</v>
      </c>
      <c r="AA218" s="233">
        <f t="shared" si="68"/>
        <v>44099999</v>
      </c>
      <c r="AB218" s="208">
        <f t="shared" si="69"/>
        <v>12</v>
      </c>
      <c r="AC218" s="233">
        <f t="shared" si="70"/>
        <v>440999990</v>
      </c>
      <c r="AD218" s="233">
        <f t="shared" si="71"/>
        <v>0</v>
      </c>
      <c r="AE218" s="233">
        <f t="shared" si="72"/>
        <v>0</v>
      </c>
      <c r="AF218" s="233">
        <f t="shared" si="73"/>
        <v>0</v>
      </c>
      <c r="AG218" s="233">
        <f t="shared" si="74"/>
        <v>0</v>
      </c>
      <c r="AH218" s="238">
        <f t="shared" si="75"/>
        <v>0</v>
      </c>
      <c r="AI218" s="238">
        <f t="shared" si="76"/>
        <v>440999990</v>
      </c>
      <c r="AJ218" s="261">
        <f t="shared" si="77"/>
        <v>2001</v>
      </c>
      <c r="AK218" s="233">
        <f t="shared" si="78"/>
        <v>10</v>
      </c>
    </row>
    <row r="219" spans="1:37" s="116" customFormat="1" ht="35.25" hidden="1" customHeight="1" x14ac:dyDescent="0.2">
      <c r="B219" s="116" t="e">
        <f t="shared" si="64"/>
        <v>#N/A</v>
      </c>
      <c r="F219" s="218" t="str">
        <f t="shared" si="67"/>
        <v>4.13.01</v>
      </c>
      <c r="G219" s="53"/>
      <c r="H219" s="67" t="s">
        <v>696</v>
      </c>
      <c r="I219" s="33" t="s">
        <v>3821</v>
      </c>
      <c r="J219" s="63"/>
      <c r="K219" s="33" t="s">
        <v>525</v>
      </c>
      <c r="L219" s="360" t="s">
        <v>719</v>
      </c>
      <c r="M219" s="40"/>
      <c r="N219" s="360"/>
      <c r="O219" s="72" t="s">
        <v>723</v>
      </c>
      <c r="P219" s="33">
        <v>2001</v>
      </c>
      <c r="Q219" s="40"/>
      <c r="R219" s="40"/>
      <c r="S219" s="40" t="s">
        <v>482</v>
      </c>
      <c r="T219" s="40" t="s">
        <v>12</v>
      </c>
      <c r="U219" s="251">
        <v>472500000</v>
      </c>
      <c r="V219" s="33" t="s">
        <v>43</v>
      </c>
      <c r="W219" s="127"/>
      <c r="X219" s="206" t="str">
        <f t="shared" si="80"/>
        <v>4.13.01</v>
      </c>
      <c r="Y219" s="207" t="str">
        <f t="shared" si="65"/>
        <v>JALAN</v>
      </c>
      <c r="Z219" s="207">
        <f t="shared" si="66"/>
        <v>10</v>
      </c>
      <c r="AA219" s="233">
        <f t="shared" si="68"/>
        <v>47249999</v>
      </c>
      <c r="AB219" s="208">
        <f t="shared" si="69"/>
        <v>12</v>
      </c>
      <c r="AC219" s="233">
        <f t="shared" si="70"/>
        <v>472499990</v>
      </c>
      <c r="AD219" s="233">
        <f t="shared" si="71"/>
        <v>0</v>
      </c>
      <c r="AE219" s="233">
        <f t="shared" si="72"/>
        <v>0</v>
      </c>
      <c r="AF219" s="233">
        <f t="shared" si="73"/>
        <v>0</v>
      </c>
      <c r="AG219" s="233">
        <f t="shared" si="74"/>
        <v>0</v>
      </c>
      <c r="AH219" s="238">
        <f t="shared" si="75"/>
        <v>0</v>
      </c>
      <c r="AI219" s="238">
        <f t="shared" si="76"/>
        <v>472499990</v>
      </c>
      <c r="AJ219" s="261">
        <f t="shared" si="77"/>
        <v>2001</v>
      </c>
      <c r="AK219" s="233">
        <f t="shared" si="78"/>
        <v>10</v>
      </c>
    </row>
    <row r="220" spans="1:37" s="116" customFormat="1" ht="35.25" hidden="1" customHeight="1" x14ac:dyDescent="0.2">
      <c r="B220" s="116" t="e">
        <f t="shared" si="64"/>
        <v>#N/A</v>
      </c>
      <c r="F220" s="218" t="str">
        <f t="shared" si="67"/>
        <v>4.13.01</v>
      </c>
      <c r="G220" s="53"/>
      <c r="H220" s="67" t="s">
        <v>696</v>
      </c>
      <c r="I220" s="33" t="s">
        <v>3821</v>
      </c>
      <c r="J220" s="63"/>
      <c r="K220" s="33" t="s">
        <v>8</v>
      </c>
      <c r="L220" s="360" t="s">
        <v>534</v>
      </c>
      <c r="M220" s="40"/>
      <c r="N220" s="360"/>
      <c r="O220" s="72" t="s">
        <v>724</v>
      </c>
      <c r="P220" s="33">
        <v>2001</v>
      </c>
      <c r="Q220" s="40"/>
      <c r="R220" s="40"/>
      <c r="S220" s="40" t="s">
        <v>482</v>
      </c>
      <c r="T220" s="40" t="s">
        <v>12</v>
      </c>
      <c r="U220" s="251">
        <v>405000000</v>
      </c>
      <c r="V220" s="33" t="s">
        <v>43</v>
      </c>
      <c r="W220" s="127"/>
      <c r="X220" s="206" t="str">
        <f t="shared" si="80"/>
        <v>4.13.01</v>
      </c>
      <c r="Y220" s="207" t="str">
        <f t="shared" si="65"/>
        <v>JALAN</v>
      </c>
      <c r="Z220" s="207">
        <f t="shared" si="66"/>
        <v>10</v>
      </c>
      <c r="AA220" s="233">
        <f t="shared" si="68"/>
        <v>40499999</v>
      </c>
      <c r="AB220" s="208">
        <f t="shared" si="69"/>
        <v>12</v>
      </c>
      <c r="AC220" s="233">
        <f t="shared" si="70"/>
        <v>404999990</v>
      </c>
      <c r="AD220" s="233">
        <f t="shared" si="71"/>
        <v>0</v>
      </c>
      <c r="AE220" s="233">
        <f t="shared" si="72"/>
        <v>0</v>
      </c>
      <c r="AF220" s="233">
        <f t="shared" si="73"/>
        <v>0</v>
      </c>
      <c r="AG220" s="233">
        <f t="shared" si="74"/>
        <v>0</v>
      </c>
      <c r="AH220" s="238">
        <f t="shared" si="75"/>
        <v>0</v>
      </c>
      <c r="AI220" s="238">
        <f t="shared" si="76"/>
        <v>404999990</v>
      </c>
      <c r="AJ220" s="261">
        <f t="shared" si="77"/>
        <v>2001</v>
      </c>
      <c r="AK220" s="233">
        <f t="shared" si="78"/>
        <v>10</v>
      </c>
    </row>
    <row r="221" spans="1:37" s="116" customFormat="1" ht="35.25" hidden="1" customHeight="1" x14ac:dyDescent="0.2">
      <c r="B221" s="116" t="e">
        <f t="shared" si="64"/>
        <v>#N/A</v>
      </c>
      <c r="F221" s="218" t="str">
        <f t="shared" si="67"/>
        <v>4.13.01</v>
      </c>
      <c r="G221" s="53"/>
      <c r="H221" s="67" t="s">
        <v>696</v>
      </c>
      <c r="I221" s="33" t="s">
        <v>3821</v>
      </c>
      <c r="J221" s="63"/>
      <c r="K221" s="33" t="s">
        <v>525</v>
      </c>
      <c r="L221" s="360" t="s">
        <v>609</v>
      </c>
      <c r="M221" s="40"/>
      <c r="N221" s="360"/>
      <c r="O221" s="72" t="s">
        <v>725</v>
      </c>
      <c r="P221" s="33">
        <v>2001</v>
      </c>
      <c r="Q221" s="40"/>
      <c r="R221" s="40"/>
      <c r="S221" s="40" t="s">
        <v>482</v>
      </c>
      <c r="T221" s="40" t="s">
        <v>12</v>
      </c>
      <c r="U221" s="251">
        <v>810000000</v>
      </c>
      <c r="V221" s="33" t="s">
        <v>43</v>
      </c>
      <c r="W221" s="127"/>
      <c r="X221" s="206" t="str">
        <f t="shared" si="80"/>
        <v>4.13.01</v>
      </c>
      <c r="Y221" s="207" t="str">
        <f t="shared" si="65"/>
        <v>JALAN</v>
      </c>
      <c r="Z221" s="207">
        <f t="shared" si="66"/>
        <v>10</v>
      </c>
      <c r="AA221" s="233">
        <f t="shared" si="68"/>
        <v>80999999</v>
      </c>
      <c r="AB221" s="208">
        <f t="shared" si="69"/>
        <v>12</v>
      </c>
      <c r="AC221" s="233">
        <f t="shared" si="70"/>
        <v>809999990</v>
      </c>
      <c r="AD221" s="233">
        <f t="shared" si="71"/>
        <v>0</v>
      </c>
      <c r="AE221" s="233">
        <f t="shared" si="72"/>
        <v>0</v>
      </c>
      <c r="AF221" s="233">
        <f t="shared" si="73"/>
        <v>0</v>
      </c>
      <c r="AG221" s="233">
        <f t="shared" si="74"/>
        <v>0</v>
      </c>
      <c r="AH221" s="238">
        <f t="shared" si="75"/>
        <v>0</v>
      </c>
      <c r="AI221" s="238">
        <f t="shared" si="76"/>
        <v>809999990</v>
      </c>
      <c r="AJ221" s="261">
        <f t="shared" si="77"/>
        <v>2001</v>
      </c>
      <c r="AK221" s="233">
        <f t="shared" si="78"/>
        <v>10</v>
      </c>
    </row>
    <row r="222" spans="1:37" s="116" customFormat="1" ht="35.25" hidden="1" customHeight="1" x14ac:dyDescent="0.2">
      <c r="B222" s="116" t="e">
        <f t="shared" si="64"/>
        <v>#N/A</v>
      </c>
      <c r="F222" s="218" t="str">
        <f t="shared" si="67"/>
        <v>4.13.01</v>
      </c>
      <c r="G222" s="53"/>
      <c r="H222" s="67" t="s">
        <v>696</v>
      </c>
      <c r="I222" s="33" t="s">
        <v>3821</v>
      </c>
      <c r="J222" s="63"/>
      <c r="K222" s="33" t="s">
        <v>525</v>
      </c>
      <c r="L222" s="360" t="s">
        <v>726</v>
      </c>
      <c r="M222" s="40"/>
      <c r="N222" s="360"/>
      <c r="O222" s="72" t="s">
        <v>727</v>
      </c>
      <c r="P222" s="33">
        <v>2001</v>
      </c>
      <c r="Q222" s="40"/>
      <c r="R222" s="40"/>
      <c r="S222" s="40" t="s">
        <v>482</v>
      </c>
      <c r="T222" s="40" t="s">
        <v>12</v>
      </c>
      <c r="U222" s="251">
        <v>47250000</v>
      </c>
      <c r="V222" s="33" t="s">
        <v>43</v>
      </c>
      <c r="W222" s="127"/>
      <c r="X222" s="206" t="str">
        <f t="shared" si="80"/>
        <v>4.13.01</v>
      </c>
      <c r="Y222" s="207" t="str">
        <f t="shared" si="65"/>
        <v>JALAN</v>
      </c>
      <c r="Z222" s="207">
        <f t="shared" si="66"/>
        <v>10</v>
      </c>
      <c r="AA222" s="233">
        <f t="shared" si="68"/>
        <v>4724999</v>
      </c>
      <c r="AB222" s="208">
        <f t="shared" si="69"/>
        <v>12</v>
      </c>
      <c r="AC222" s="233">
        <f t="shared" si="70"/>
        <v>47249990</v>
      </c>
      <c r="AD222" s="233">
        <f t="shared" si="71"/>
        <v>0</v>
      </c>
      <c r="AE222" s="233">
        <f t="shared" si="72"/>
        <v>0</v>
      </c>
      <c r="AF222" s="233">
        <f t="shared" si="73"/>
        <v>0</v>
      </c>
      <c r="AG222" s="233">
        <f t="shared" si="74"/>
        <v>0</v>
      </c>
      <c r="AH222" s="238">
        <f t="shared" si="75"/>
        <v>0</v>
      </c>
      <c r="AI222" s="238">
        <f t="shared" si="76"/>
        <v>47249990</v>
      </c>
      <c r="AJ222" s="261">
        <f t="shared" si="77"/>
        <v>2001</v>
      </c>
      <c r="AK222" s="233">
        <f t="shared" si="78"/>
        <v>10</v>
      </c>
    </row>
    <row r="223" spans="1:37" s="116" customFormat="1" ht="35.25" hidden="1" customHeight="1" x14ac:dyDescent="0.2">
      <c r="B223" s="116" t="e">
        <f t="shared" si="64"/>
        <v>#N/A</v>
      </c>
      <c r="F223" s="218" t="str">
        <f t="shared" si="67"/>
        <v>4.13.01</v>
      </c>
      <c r="G223" s="53"/>
      <c r="H223" s="67" t="s">
        <v>696</v>
      </c>
      <c r="I223" s="33" t="s">
        <v>3821</v>
      </c>
      <c r="J223" s="63"/>
      <c r="K223" s="33" t="s">
        <v>525</v>
      </c>
      <c r="L223" s="360" t="s">
        <v>541</v>
      </c>
      <c r="M223" s="40"/>
      <c r="N223" s="360"/>
      <c r="O223" s="72" t="s">
        <v>728</v>
      </c>
      <c r="P223" s="33">
        <v>2001</v>
      </c>
      <c r="Q223" s="40"/>
      <c r="R223" s="40"/>
      <c r="S223" s="40" t="s">
        <v>482</v>
      </c>
      <c r="T223" s="40" t="s">
        <v>12</v>
      </c>
      <c r="U223" s="251">
        <v>378000000</v>
      </c>
      <c r="V223" s="33" t="s">
        <v>43</v>
      </c>
      <c r="W223" s="127"/>
      <c r="X223" s="206" t="str">
        <f t="shared" si="80"/>
        <v>4.13.01</v>
      </c>
      <c r="Y223" s="207" t="str">
        <f t="shared" si="65"/>
        <v>JALAN</v>
      </c>
      <c r="Z223" s="207">
        <f t="shared" si="66"/>
        <v>10</v>
      </c>
      <c r="AA223" s="233">
        <f t="shared" si="68"/>
        <v>37799999</v>
      </c>
      <c r="AB223" s="208">
        <f t="shared" si="69"/>
        <v>12</v>
      </c>
      <c r="AC223" s="233">
        <f t="shared" si="70"/>
        <v>377999990</v>
      </c>
      <c r="AD223" s="233">
        <f t="shared" si="71"/>
        <v>0</v>
      </c>
      <c r="AE223" s="233">
        <f t="shared" si="72"/>
        <v>0</v>
      </c>
      <c r="AF223" s="233">
        <f t="shared" si="73"/>
        <v>0</v>
      </c>
      <c r="AG223" s="233">
        <f t="shared" si="74"/>
        <v>0</v>
      </c>
      <c r="AH223" s="238">
        <f t="shared" si="75"/>
        <v>0</v>
      </c>
      <c r="AI223" s="238">
        <f t="shared" si="76"/>
        <v>377999990</v>
      </c>
      <c r="AJ223" s="261">
        <f t="shared" si="77"/>
        <v>2001</v>
      </c>
      <c r="AK223" s="233">
        <f t="shared" si="78"/>
        <v>10</v>
      </c>
    </row>
    <row r="224" spans="1:37" s="116" customFormat="1" ht="35.25" hidden="1" customHeight="1" x14ac:dyDescent="0.2">
      <c r="B224" s="116" t="e">
        <f t="shared" si="64"/>
        <v>#N/A</v>
      </c>
      <c r="F224" s="218" t="str">
        <f t="shared" si="67"/>
        <v>4.13.01</v>
      </c>
      <c r="G224" s="53"/>
      <c r="H224" s="67" t="s">
        <v>696</v>
      </c>
      <c r="I224" s="33" t="s">
        <v>3821</v>
      </c>
      <c r="J224" s="63"/>
      <c r="K224" s="33" t="s">
        <v>525</v>
      </c>
      <c r="L224" s="360" t="s">
        <v>551</v>
      </c>
      <c r="M224" s="40"/>
      <c r="N224" s="360"/>
      <c r="O224" s="72" t="s">
        <v>729</v>
      </c>
      <c r="P224" s="33">
        <v>2001</v>
      </c>
      <c r="Q224" s="40"/>
      <c r="R224" s="40"/>
      <c r="S224" s="40" t="s">
        <v>482</v>
      </c>
      <c r="T224" s="40" t="s">
        <v>12</v>
      </c>
      <c r="U224" s="251">
        <v>270000000</v>
      </c>
      <c r="V224" s="33" t="s">
        <v>43</v>
      </c>
      <c r="W224" s="127"/>
      <c r="X224" s="206" t="str">
        <f t="shared" si="80"/>
        <v>4.13.01</v>
      </c>
      <c r="Y224" s="207" t="str">
        <f t="shared" si="65"/>
        <v>JALAN</v>
      </c>
      <c r="Z224" s="207">
        <f t="shared" si="66"/>
        <v>10</v>
      </c>
      <c r="AA224" s="233">
        <f t="shared" si="68"/>
        <v>26999999</v>
      </c>
      <c r="AB224" s="208">
        <f t="shared" si="69"/>
        <v>12</v>
      </c>
      <c r="AC224" s="233">
        <f t="shared" si="70"/>
        <v>269999990</v>
      </c>
      <c r="AD224" s="233">
        <f t="shared" si="71"/>
        <v>0</v>
      </c>
      <c r="AE224" s="233">
        <f t="shared" si="72"/>
        <v>0</v>
      </c>
      <c r="AF224" s="233">
        <f t="shared" si="73"/>
        <v>0</v>
      </c>
      <c r="AG224" s="233">
        <f t="shared" si="74"/>
        <v>0</v>
      </c>
      <c r="AH224" s="238">
        <f t="shared" si="75"/>
        <v>0</v>
      </c>
      <c r="AI224" s="238">
        <f t="shared" si="76"/>
        <v>269999990</v>
      </c>
      <c r="AJ224" s="261">
        <f t="shared" si="77"/>
        <v>2001</v>
      </c>
      <c r="AK224" s="233">
        <f t="shared" si="78"/>
        <v>10</v>
      </c>
    </row>
    <row r="225" spans="1:37" s="116" customFormat="1" ht="35.25" hidden="1" customHeight="1" x14ac:dyDescent="0.2">
      <c r="B225" s="116" t="e">
        <f t="shared" si="64"/>
        <v>#N/A</v>
      </c>
      <c r="F225" s="218" t="str">
        <f t="shared" si="67"/>
        <v>4.13.01</v>
      </c>
      <c r="G225" s="53"/>
      <c r="H225" s="67" t="s">
        <v>696</v>
      </c>
      <c r="I225" s="33" t="s">
        <v>3821</v>
      </c>
      <c r="J225" s="63"/>
      <c r="K225" s="33" t="s">
        <v>8</v>
      </c>
      <c r="L225" s="360" t="s">
        <v>665</v>
      </c>
      <c r="M225" s="40"/>
      <c r="N225" s="360"/>
      <c r="O225" s="72" t="s">
        <v>730</v>
      </c>
      <c r="P225" s="33">
        <v>2001</v>
      </c>
      <c r="Q225" s="40"/>
      <c r="R225" s="40"/>
      <c r="S225" s="40" t="s">
        <v>482</v>
      </c>
      <c r="T225" s="40" t="s">
        <v>12</v>
      </c>
      <c r="U225" s="251">
        <v>453375000</v>
      </c>
      <c r="V225" s="33" t="s">
        <v>43</v>
      </c>
      <c r="W225" s="127"/>
      <c r="X225" s="206" t="str">
        <f t="shared" si="80"/>
        <v>4.13.01</v>
      </c>
      <c r="Y225" s="207" t="str">
        <f t="shared" si="65"/>
        <v>JALAN</v>
      </c>
      <c r="Z225" s="207">
        <f t="shared" si="66"/>
        <v>10</v>
      </c>
      <c r="AA225" s="233">
        <f t="shared" si="68"/>
        <v>45337499</v>
      </c>
      <c r="AB225" s="208">
        <f t="shared" si="69"/>
        <v>12</v>
      </c>
      <c r="AC225" s="233">
        <f t="shared" si="70"/>
        <v>453374990</v>
      </c>
      <c r="AD225" s="233">
        <f t="shared" si="71"/>
        <v>0</v>
      </c>
      <c r="AE225" s="233">
        <f t="shared" si="72"/>
        <v>0</v>
      </c>
      <c r="AF225" s="233">
        <f t="shared" si="73"/>
        <v>0</v>
      </c>
      <c r="AG225" s="233">
        <f t="shared" si="74"/>
        <v>0</v>
      </c>
      <c r="AH225" s="238">
        <f t="shared" si="75"/>
        <v>0</v>
      </c>
      <c r="AI225" s="238">
        <f t="shared" si="76"/>
        <v>453374990</v>
      </c>
      <c r="AJ225" s="261">
        <f t="shared" si="77"/>
        <v>2001</v>
      </c>
      <c r="AK225" s="233">
        <f t="shared" si="78"/>
        <v>10</v>
      </c>
    </row>
    <row r="226" spans="1:37" s="116" customFormat="1" ht="35.25" hidden="1" customHeight="1" x14ac:dyDescent="0.2">
      <c r="A226" s="116">
        <v>113</v>
      </c>
      <c r="B226" s="116" t="str">
        <f t="shared" si="64"/>
        <v>JL. DALAM KOTA KP. BARU TOAR - JP. KM 178 + 000</v>
      </c>
      <c r="D226" s="116">
        <v>1</v>
      </c>
      <c r="E226" s="116" t="str">
        <f>A226&amp;"."&amp;D226</f>
        <v>113.1</v>
      </c>
      <c r="F226" s="218" t="str">
        <f t="shared" si="67"/>
        <v>4.13.01</v>
      </c>
      <c r="G226" s="53"/>
      <c r="H226" s="67" t="s">
        <v>696</v>
      </c>
      <c r="I226" s="33" t="s">
        <v>3821</v>
      </c>
      <c r="J226" s="63"/>
      <c r="K226" s="33" t="s">
        <v>525</v>
      </c>
      <c r="L226" s="360">
        <v>3000</v>
      </c>
      <c r="M226" s="40">
        <v>7</v>
      </c>
      <c r="N226" s="360">
        <v>21000</v>
      </c>
      <c r="O226" s="72" t="s">
        <v>731</v>
      </c>
      <c r="P226" s="33">
        <v>2001</v>
      </c>
      <c r="Q226" s="40"/>
      <c r="R226" s="40"/>
      <c r="S226" s="40" t="s">
        <v>384</v>
      </c>
      <c r="T226" s="40" t="s">
        <v>12</v>
      </c>
      <c r="U226" s="251">
        <v>1215000000</v>
      </c>
      <c r="V226" s="33" t="s">
        <v>43</v>
      </c>
      <c r="W226" s="127"/>
      <c r="X226" s="206" t="str">
        <f t="shared" si="80"/>
        <v>4.13.01</v>
      </c>
      <c r="Y226" s="207" t="str">
        <f t="shared" si="65"/>
        <v>JALAN</v>
      </c>
      <c r="Z226" s="207">
        <f t="shared" si="66"/>
        <v>10</v>
      </c>
      <c r="AA226" s="233">
        <f t="shared" si="68"/>
        <v>121499999</v>
      </c>
      <c r="AB226" s="208">
        <f t="shared" si="69"/>
        <v>12</v>
      </c>
      <c r="AC226" s="233">
        <f t="shared" si="70"/>
        <v>1214999990</v>
      </c>
      <c r="AD226" s="233">
        <f t="shared" si="71"/>
        <v>0</v>
      </c>
      <c r="AE226" s="233">
        <f t="shared" si="72"/>
        <v>0</v>
      </c>
      <c r="AF226" s="233">
        <f t="shared" si="73"/>
        <v>0</v>
      </c>
      <c r="AG226" s="233">
        <f t="shared" si="74"/>
        <v>0</v>
      </c>
      <c r="AH226" s="238">
        <f t="shared" si="75"/>
        <v>0</v>
      </c>
      <c r="AI226" s="238">
        <f t="shared" si="76"/>
        <v>1214999990</v>
      </c>
      <c r="AJ226" s="261">
        <f t="shared" si="77"/>
        <v>2001</v>
      </c>
      <c r="AK226" s="233">
        <f t="shared" si="78"/>
        <v>10</v>
      </c>
    </row>
    <row r="227" spans="1:37" s="116" customFormat="1" ht="35.25" hidden="1" customHeight="1" x14ac:dyDescent="0.2">
      <c r="B227" s="116" t="e">
        <f t="shared" si="64"/>
        <v>#N/A</v>
      </c>
      <c r="F227" s="218" t="str">
        <f t="shared" si="67"/>
        <v>4.13.01</v>
      </c>
      <c r="G227" s="53"/>
      <c r="H227" s="67" t="s">
        <v>696</v>
      </c>
      <c r="I227" s="33" t="s">
        <v>3821</v>
      </c>
      <c r="J227" s="63"/>
      <c r="K227" s="33" t="s">
        <v>525</v>
      </c>
      <c r="L227" s="360" t="s">
        <v>732</v>
      </c>
      <c r="M227" s="40"/>
      <c r="N227" s="360"/>
      <c r="O227" s="72" t="s">
        <v>733</v>
      </c>
      <c r="P227" s="33">
        <v>2001</v>
      </c>
      <c r="Q227" s="40"/>
      <c r="R227" s="40"/>
      <c r="S227" s="40" t="s">
        <v>482</v>
      </c>
      <c r="T227" s="40" t="s">
        <v>12</v>
      </c>
      <c r="U227" s="251">
        <v>239400000</v>
      </c>
      <c r="V227" s="33" t="s">
        <v>43</v>
      </c>
      <c r="W227" s="127"/>
      <c r="X227" s="206" t="str">
        <f t="shared" si="80"/>
        <v>4.13.01</v>
      </c>
      <c r="Y227" s="207" t="str">
        <f t="shared" si="65"/>
        <v>JALAN</v>
      </c>
      <c r="Z227" s="207">
        <f t="shared" si="66"/>
        <v>10</v>
      </c>
      <c r="AA227" s="233">
        <f t="shared" si="68"/>
        <v>23939999</v>
      </c>
      <c r="AB227" s="208">
        <f t="shared" si="69"/>
        <v>12</v>
      </c>
      <c r="AC227" s="233">
        <f t="shared" si="70"/>
        <v>239399990</v>
      </c>
      <c r="AD227" s="233">
        <f t="shared" si="71"/>
        <v>0</v>
      </c>
      <c r="AE227" s="233">
        <f t="shared" si="72"/>
        <v>0</v>
      </c>
      <c r="AF227" s="233">
        <f t="shared" si="73"/>
        <v>0</v>
      </c>
      <c r="AG227" s="233">
        <f t="shared" si="74"/>
        <v>0</v>
      </c>
      <c r="AH227" s="238">
        <f t="shared" si="75"/>
        <v>0</v>
      </c>
      <c r="AI227" s="238">
        <f t="shared" si="76"/>
        <v>239399990</v>
      </c>
      <c r="AJ227" s="261">
        <f t="shared" si="77"/>
        <v>2001</v>
      </c>
      <c r="AK227" s="233">
        <f t="shared" si="78"/>
        <v>10</v>
      </c>
    </row>
    <row r="228" spans="1:37" s="116" customFormat="1" ht="35.25" hidden="1" customHeight="1" x14ac:dyDescent="0.2">
      <c r="A228" s="116">
        <v>115</v>
      </c>
      <c r="B228" s="116" t="str">
        <f t="shared" si="64"/>
        <v>GUNUNG - PL. MUNGKUR</v>
      </c>
      <c r="D228" s="116">
        <v>1</v>
      </c>
      <c r="E228" s="116" t="str">
        <f>A228&amp;"."&amp;D228</f>
        <v>115.1</v>
      </c>
      <c r="F228" s="218" t="str">
        <f t="shared" si="67"/>
        <v>4.13.01</v>
      </c>
      <c r="G228" s="53"/>
      <c r="H228" s="67" t="s">
        <v>696</v>
      </c>
      <c r="I228" s="33" t="s">
        <v>3821</v>
      </c>
      <c r="J228" s="63"/>
      <c r="K228" s="33" t="s">
        <v>525</v>
      </c>
      <c r="L228" s="360">
        <v>4000</v>
      </c>
      <c r="M228" s="40">
        <v>7</v>
      </c>
      <c r="N228" s="360">
        <v>28000</v>
      </c>
      <c r="O228" s="72" t="s">
        <v>734</v>
      </c>
      <c r="P228" s="33">
        <v>2001</v>
      </c>
      <c r="Q228" s="40"/>
      <c r="R228" s="40"/>
      <c r="S228" s="40" t="s">
        <v>482</v>
      </c>
      <c r="T228" s="40" t="s">
        <v>12</v>
      </c>
      <c r="U228" s="251">
        <v>1770000000</v>
      </c>
      <c r="V228" s="33" t="s">
        <v>43</v>
      </c>
      <c r="W228" s="127"/>
      <c r="X228" s="206" t="str">
        <f t="shared" si="80"/>
        <v>4.13.01</v>
      </c>
      <c r="Y228" s="207" t="str">
        <f t="shared" si="65"/>
        <v>JALAN</v>
      </c>
      <c r="Z228" s="207">
        <f t="shared" si="66"/>
        <v>10</v>
      </c>
      <c r="AA228" s="233">
        <f t="shared" si="68"/>
        <v>176999999</v>
      </c>
      <c r="AB228" s="208">
        <f t="shared" si="69"/>
        <v>12</v>
      </c>
      <c r="AC228" s="233">
        <f t="shared" si="70"/>
        <v>1769999990</v>
      </c>
      <c r="AD228" s="233">
        <f t="shared" si="71"/>
        <v>0</v>
      </c>
      <c r="AE228" s="233">
        <f t="shared" si="72"/>
        <v>0</v>
      </c>
      <c r="AF228" s="233">
        <f t="shared" si="73"/>
        <v>0</v>
      </c>
      <c r="AG228" s="233">
        <f t="shared" si="74"/>
        <v>0</v>
      </c>
      <c r="AH228" s="238">
        <f t="shared" si="75"/>
        <v>0</v>
      </c>
      <c r="AI228" s="238">
        <f t="shared" si="76"/>
        <v>1769999990</v>
      </c>
      <c r="AJ228" s="261">
        <f t="shared" si="77"/>
        <v>2001</v>
      </c>
      <c r="AK228" s="233">
        <f t="shared" si="78"/>
        <v>10</v>
      </c>
    </row>
    <row r="229" spans="1:37" s="116" customFormat="1" ht="35.25" hidden="1" customHeight="1" x14ac:dyDescent="0.2">
      <c r="A229" s="116">
        <v>117</v>
      </c>
      <c r="B229" s="116" t="str">
        <f t="shared" si="64"/>
        <v>KAMPUNG BARU TOAR - GUNUNG</v>
      </c>
      <c r="D229" s="116">
        <v>1</v>
      </c>
      <c r="E229" s="116" t="str">
        <f>A229&amp;"."&amp;D229</f>
        <v>117.1</v>
      </c>
      <c r="F229" s="218" t="str">
        <f t="shared" si="67"/>
        <v>4.13.01</v>
      </c>
      <c r="G229" s="53"/>
      <c r="H229" s="67" t="s">
        <v>696</v>
      </c>
      <c r="I229" s="33" t="s">
        <v>3821</v>
      </c>
      <c r="J229" s="63"/>
      <c r="K229" s="33" t="s">
        <v>484</v>
      </c>
      <c r="L229" s="360">
        <v>3000</v>
      </c>
      <c r="M229" s="40">
        <v>7</v>
      </c>
      <c r="N229" s="360">
        <v>21000</v>
      </c>
      <c r="O229" s="72" t="s">
        <v>3177</v>
      </c>
      <c r="P229" s="33">
        <v>2001</v>
      </c>
      <c r="Q229" s="40"/>
      <c r="R229" s="40"/>
      <c r="S229" s="40" t="s">
        <v>384</v>
      </c>
      <c r="T229" s="40" t="s">
        <v>12</v>
      </c>
      <c r="U229" s="251">
        <v>1248000000</v>
      </c>
      <c r="V229" s="33" t="s">
        <v>43</v>
      </c>
      <c r="W229" s="127"/>
      <c r="X229" s="206" t="str">
        <f t="shared" si="80"/>
        <v>4.13.01</v>
      </c>
      <c r="Y229" s="207" t="str">
        <f t="shared" si="65"/>
        <v>JALAN</v>
      </c>
      <c r="Z229" s="207">
        <f t="shared" si="66"/>
        <v>10</v>
      </c>
      <c r="AA229" s="233">
        <f t="shared" si="68"/>
        <v>124799999</v>
      </c>
      <c r="AB229" s="208">
        <f t="shared" si="69"/>
        <v>12</v>
      </c>
      <c r="AC229" s="233">
        <f t="shared" si="70"/>
        <v>1247999990</v>
      </c>
      <c r="AD229" s="233">
        <f t="shared" si="71"/>
        <v>0</v>
      </c>
      <c r="AE229" s="233">
        <f t="shared" si="72"/>
        <v>0</v>
      </c>
      <c r="AF229" s="233">
        <f t="shared" si="73"/>
        <v>0</v>
      </c>
      <c r="AG229" s="233">
        <f t="shared" si="74"/>
        <v>0</v>
      </c>
      <c r="AH229" s="238">
        <f t="shared" si="75"/>
        <v>0</v>
      </c>
      <c r="AI229" s="238">
        <f t="shared" si="76"/>
        <v>1247999990</v>
      </c>
      <c r="AJ229" s="261">
        <f t="shared" si="77"/>
        <v>2001</v>
      </c>
      <c r="AK229" s="233">
        <f t="shared" si="78"/>
        <v>10</v>
      </c>
    </row>
    <row r="230" spans="1:37" s="116" customFormat="1" ht="35.25" hidden="1" customHeight="1" x14ac:dyDescent="0.2">
      <c r="B230" s="116" t="e">
        <f t="shared" si="64"/>
        <v>#N/A</v>
      </c>
      <c r="F230" s="218" t="str">
        <f t="shared" si="67"/>
        <v>4.13.02</v>
      </c>
      <c r="G230" s="53"/>
      <c r="H230" s="67" t="s">
        <v>735</v>
      </c>
      <c r="I230" s="33" t="s">
        <v>3822</v>
      </c>
      <c r="J230" s="63"/>
      <c r="K230" s="33" t="s">
        <v>736</v>
      </c>
      <c r="L230" s="360" t="s">
        <v>625</v>
      </c>
      <c r="M230" s="40">
        <v>6</v>
      </c>
      <c r="N230" s="360">
        <v>1200</v>
      </c>
      <c r="O230" s="72" t="s">
        <v>737</v>
      </c>
      <c r="P230" s="33">
        <v>2004</v>
      </c>
      <c r="Q230" s="40"/>
      <c r="R230" s="40"/>
      <c r="S230" s="40" t="s">
        <v>738</v>
      </c>
      <c r="T230" s="40" t="s">
        <v>12</v>
      </c>
      <c r="U230" s="251">
        <v>6600000000</v>
      </c>
      <c r="V230" s="33" t="s">
        <v>43</v>
      </c>
      <c r="W230" s="127"/>
      <c r="X230" s="206" t="str">
        <f t="shared" si="80"/>
        <v>4.13.02</v>
      </c>
      <c r="Y230" s="207" t="str">
        <f t="shared" si="65"/>
        <v>JEMBATAN</v>
      </c>
      <c r="Z230" s="207">
        <f t="shared" si="66"/>
        <v>50</v>
      </c>
      <c r="AA230" s="233">
        <f t="shared" si="68"/>
        <v>131999999.8</v>
      </c>
      <c r="AB230" s="208">
        <f t="shared" si="69"/>
        <v>9</v>
      </c>
      <c r="AC230" s="233">
        <f t="shared" si="70"/>
        <v>1187999998.2</v>
      </c>
      <c r="AD230" s="233">
        <f t="shared" si="71"/>
        <v>131999999.8</v>
      </c>
      <c r="AE230" s="233">
        <f t="shared" si="72"/>
        <v>131999999.8</v>
      </c>
      <c r="AF230" s="233">
        <f t="shared" si="73"/>
        <v>131999999.8</v>
      </c>
      <c r="AG230" s="233">
        <f t="shared" si="74"/>
        <v>131999999.8</v>
      </c>
      <c r="AH230" s="238">
        <f t="shared" si="75"/>
        <v>131999999.8</v>
      </c>
      <c r="AI230" s="238">
        <f t="shared" si="76"/>
        <v>1847999997.1999998</v>
      </c>
      <c r="AJ230" s="261">
        <f t="shared" si="77"/>
        <v>2004</v>
      </c>
      <c r="AK230" s="233">
        <f t="shared" si="78"/>
        <v>4752000002.8000002</v>
      </c>
    </row>
    <row r="231" spans="1:37" s="116" customFormat="1" ht="35.25" hidden="1" customHeight="1" x14ac:dyDescent="0.2">
      <c r="B231" s="116" t="e">
        <f t="shared" ref="B231:B294" si="82">VLOOKUP(A231,RUAS,2,0)</f>
        <v>#N/A</v>
      </c>
      <c r="F231" s="218" t="str">
        <f t="shared" si="67"/>
        <v>4.13.02</v>
      </c>
      <c r="G231" s="53"/>
      <c r="H231" s="67" t="s">
        <v>735</v>
      </c>
      <c r="I231" s="33" t="s">
        <v>3822</v>
      </c>
      <c r="J231" s="63"/>
      <c r="K231" s="33" t="s">
        <v>736</v>
      </c>
      <c r="L231" s="360" t="s">
        <v>739</v>
      </c>
      <c r="M231" s="40">
        <v>6</v>
      </c>
      <c r="N231" s="360">
        <v>102</v>
      </c>
      <c r="O231" s="72" t="s">
        <v>740</v>
      </c>
      <c r="P231" s="33">
        <v>2006</v>
      </c>
      <c r="Q231" s="40"/>
      <c r="R231" s="40"/>
      <c r="S231" s="40" t="s">
        <v>741</v>
      </c>
      <c r="T231" s="40" t="s">
        <v>12</v>
      </c>
      <c r="U231" s="251">
        <v>841500000</v>
      </c>
      <c r="V231" s="33" t="s">
        <v>43</v>
      </c>
      <c r="W231" s="127"/>
      <c r="X231" s="206" t="str">
        <f t="shared" si="80"/>
        <v>4.13.02</v>
      </c>
      <c r="Y231" s="207" t="str">
        <f t="shared" ref="Y231:Y294" si="83">VLOOKUP(X231,kelompok,2,0)</f>
        <v>JEMBATAN</v>
      </c>
      <c r="Z231" s="207">
        <f t="shared" ref="Z231:Z294" si="84">VLOOKUP(X231,MASAMANFAAT,4,0)</f>
        <v>50</v>
      </c>
      <c r="AA231" s="233">
        <f t="shared" si="68"/>
        <v>16829999.800000001</v>
      </c>
      <c r="AB231" s="208">
        <f t="shared" si="69"/>
        <v>7</v>
      </c>
      <c r="AC231" s="233">
        <f t="shared" si="70"/>
        <v>117809998.60000001</v>
      </c>
      <c r="AD231" s="233">
        <f t="shared" si="71"/>
        <v>16829999.800000001</v>
      </c>
      <c r="AE231" s="233">
        <f t="shared" si="72"/>
        <v>16829999.800000001</v>
      </c>
      <c r="AF231" s="233">
        <f t="shared" si="73"/>
        <v>16829999.800000001</v>
      </c>
      <c r="AG231" s="233">
        <f t="shared" si="74"/>
        <v>16829999.800000001</v>
      </c>
      <c r="AH231" s="238">
        <f t="shared" si="75"/>
        <v>16829999.800000001</v>
      </c>
      <c r="AI231" s="238">
        <f t="shared" si="76"/>
        <v>201959997.60000005</v>
      </c>
      <c r="AJ231" s="261">
        <f t="shared" si="77"/>
        <v>2006</v>
      </c>
      <c r="AK231" s="233">
        <f t="shared" si="78"/>
        <v>639540002.39999998</v>
      </c>
    </row>
    <row r="232" spans="1:37" s="116" customFormat="1" ht="35.25" hidden="1" customHeight="1" x14ac:dyDescent="0.2">
      <c r="B232" s="116" t="e">
        <f t="shared" si="82"/>
        <v>#N/A</v>
      </c>
      <c r="F232" s="218" t="str">
        <f t="shared" ref="F232:F285" si="85">MID(I232,2,7)</f>
        <v>4.13.02</v>
      </c>
      <c r="G232" s="53"/>
      <c r="H232" s="67" t="s">
        <v>742</v>
      </c>
      <c r="I232" s="33" t="s">
        <v>3823</v>
      </c>
      <c r="J232" s="63"/>
      <c r="K232" s="33" t="s">
        <v>736</v>
      </c>
      <c r="L232" s="360" t="s">
        <v>625</v>
      </c>
      <c r="M232" s="40">
        <v>6</v>
      </c>
      <c r="N232" s="360">
        <v>1200</v>
      </c>
      <c r="O232" s="72" t="s">
        <v>743</v>
      </c>
      <c r="P232" s="33">
        <v>1993</v>
      </c>
      <c r="Q232" s="40"/>
      <c r="R232" s="40"/>
      <c r="S232" s="40" t="s">
        <v>744</v>
      </c>
      <c r="T232" s="40" t="s">
        <v>12</v>
      </c>
      <c r="U232" s="251">
        <v>7560000000</v>
      </c>
      <c r="V232" s="33" t="s">
        <v>43</v>
      </c>
      <c r="W232" s="127"/>
      <c r="X232" s="206" t="str">
        <f t="shared" si="80"/>
        <v>4.13.02</v>
      </c>
      <c r="Y232" s="207" t="str">
        <f t="shared" si="83"/>
        <v>JEMBATAN</v>
      </c>
      <c r="Z232" s="207">
        <f t="shared" si="84"/>
        <v>50</v>
      </c>
      <c r="AA232" s="233">
        <f t="shared" ref="AA232:AA295" si="86">(U232-10)/Z232</f>
        <v>151199999.80000001</v>
      </c>
      <c r="AB232" s="208">
        <f t="shared" ref="AB232:AB295" si="87">2013-AJ232</f>
        <v>20</v>
      </c>
      <c r="AC232" s="233">
        <f t="shared" ref="AC232:AC295" si="88">IF(AB232&gt;Z232,U232-10,AA232*AB232)</f>
        <v>3023999996</v>
      </c>
      <c r="AD232" s="233">
        <f t="shared" ref="AD232:AD295" si="89">IF(U232-10=AC232,0,AA232)</f>
        <v>151199999.80000001</v>
      </c>
      <c r="AE232" s="233">
        <f t="shared" ref="AE232:AE295" si="90">IF(U232-10=AC232+AD232,0,AA232)</f>
        <v>151199999.80000001</v>
      </c>
      <c r="AF232" s="233">
        <f t="shared" ref="AF232:AF295" si="91">IF(U232-10=AC232+AD232+AE232,0,AA232)</f>
        <v>151199999.80000001</v>
      </c>
      <c r="AG232" s="233">
        <f t="shared" ref="AG232:AG295" si="92">IF(U232-10=AD232+AE232+AF232+AC232,0,AA232)</f>
        <v>151199999.80000001</v>
      </c>
      <c r="AH232" s="238">
        <f t="shared" ref="AH232:AH295" si="93">IF(U232-10=AD232+AE232+AF232+AC232+AG232,0,AA232)</f>
        <v>151199999.80000001</v>
      </c>
      <c r="AI232" s="238">
        <f t="shared" ref="AI232:AI295" si="94">SUM(AC232:AH232)</f>
        <v>3779999995.000001</v>
      </c>
      <c r="AJ232" s="261">
        <f t="shared" ref="AJ232:AJ295" si="95">P232</f>
        <v>1993</v>
      </c>
      <c r="AK232" s="233">
        <f t="shared" ref="AK232:AK295" si="96">U232-AI232</f>
        <v>3780000004.999999</v>
      </c>
    </row>
    <row r="233" spans="1:37" s="116" customFormat="1" ht="35.25" hidden="1" customHeight="1" x14ac:dyDescent="0.2">
      <c r="B233" s="116" t="e">
        <f t="shared" si="82"/>
        <v>#N/A</v>
      </c>
      <c r="F233" s="218" t="str">
        <f t="shared" si="85"/>
        <v>4.13.02</v>
      </c>
      <c r="G233" s="53"/>
      <c r="H233" s="67" t="s">
        <v>742</v>
      </c>
      <c r="I233" s="33" t="s">
        <v>3823</v>
      </c>
      <c r="J233" s="63"/>
      <c r="K233" s="33" t="s">
        <v>736</v>
      </c>
      <c r="L233" s="360" t="s">
        <v>745</v>
      </c>
      <c r="M233" s="40">
        <v>6</v>
      </c>
      <c r="N233" s="360">
        <v>360</v>
      </c>
      <c r="O233" s="72" t="s">
        <v>746</v>
      </c>
      <c r="P233" s="33">
        <v>1996</v>
      </c>
      <c r="Q233" s="40"/>
      <c r="R233" s="40"/>
      <c r="S233" s="40" t="s">
        <v>747</v>
      </c>
      <c r="T233" s="40" t="s">
        <v>12</v>
      </c>
      <c r="U233" s="251">
        <v>945000000</v>
      </c>
      <c r="V233" s="33" t="s">
        <v>135</v>
      </c>
      <c r="W233" s="127"/>
      <c r="X233" s="206" t="str">
        <f t="shared" si="80"/>
        <v>4.13.02</v>
      </c>
      <c r="Y233" s="207" t="str">
        <f t="shared" si="83"/>
        <v>JEMBATAN</v>
      </c>
      <c r="Z233" s="207">
        <f t="shared" si="84"/>
        <v>50</v>
      </c>
      <c r="AA233" s="233">
        <f t="shared" si="86"/>
        <v>18899999.800000001</v>
      </c>
      <c r="AB233" s="208">
        <f t="shared" si="87"/>
        <v>17</v>
      </c>
      <c r="AC233" s="233">
        <f t="shared" si="88"/>
        <v>321299996.60000002</v>
      </c>
      <c r="AD233" s="233">
        <f t="shared" si="89"/>
        <v>18899999.800000001</v>
      </c>
      <c r="AE233" s="233">
        <f t="shared" si="90"/>
        <v>18899999.800000001</v>
      </c>
      <c r="AF233" s="233">
        <f t="shared" si="91"/>
        <v>18899999.800000001</v>
      </c>
      <c r="AG233" s="233">
        <f t="shared" si="92"/>
        <v>18899999.800000001</v>
      </c>
      <c r="AH233" s="238">
        <f t="shared" si="93"/>
        <v>18899999.800000001</v>
      </c>
      <c r="AI233" s="238">
        <f t="shared" si="94"/>
        <v>415799995.60000008</v>
      </c>
      <c r="AJ233" s="261">
        <f t="shared" si="95"/>
        <v>1996</v>
      </c>
      <c r="AK233" s="233">
        <f t="shared" si="96"/>
        <v>529200004.39999992</v>
      </c>
    </row>
    <row r="234" spans="1:37" s="116" customFormat="1" ht="35.25" hidden="1" customHeight="1" x14ac:dyDescent="0.2">
      <c r="B234" s="116" t="e">
        <f t="shared" si="82"/>
        <v>#N/A</v>
      </c>
      <c r="F234" s="218" t="str">
        <f t="shared" si="85"/>
        <v>4.13.02</v>
      </c>
      <c r="G234" s="53"/>
      <c r="H234" s="67" t="s">
        <v>742</v>
      </c>
      <c r="I234" s="33" t="s">
        <v>3823</v>
      </c>
      <c r="J234" s="63"/>
      <c r="K234" s="33" t="s">
        <v>736</v>
      </c>
      <c r="L234" s="360" t="s">
        <v>748</v>
      </c>
      <c r="M234" s="40">
        <v>7</v>
      </c>
      <c r="N234" s="360">
        <v>49</v>
      </c>
      <c r="O234" s="72" t="s">
        <v>749</v>
      </c>
      <c r="P234" s="33">
        <v>1942</v>
      </c>
      <c r="Q234" s="40"/>
      <c r="R234" s="40"/>
      <c r="S234" s="40" t="s">
        <v>750</v>
      </c>
      <c r="T234" s="40" t="s">
        <v>12</v>
      </c>
      <c r="U234" s="251">
        <v>286650000</v>
      </c>
      <c r="V234" s="33" t="s">
        <v>43</v>
      </c>
      <c r="W234" s="127"/>
      <c r="X234" s="206" t="str">
        <f t="shared" si="80"/>
        <v>4.13.02</v>
      </c>
      <c r="Y234" s="207" t="str">
        <f t="shared" si="83"/>
        <v>JEMBATAN</v>
      </c>
      <c r="Z234" s="207">
        <f t="shared" si="84"/>
        <v>50</v>
      </c>
      <c r="AA234" s="233">
        <f t="shared" si="86"/>
        <v>5732999.7999999998</v>
      </c>
      <c r="AB234" s="208">
        <f t="shared" si="87"/>
        <v>71</v>
      </c>
      <c r="AC234" s="233">
        <f t="shared" si="88"/>
        <v>286649990</v>
      </c>
      <c r="AD234" s="233">
        <f t="shared" si="89"/>
        <v>0</v>
      </c>
      <c r="AE234" s="233">
        <f t="shared" si="90"/>
        <v>0</v>
      </c>
      <c r="AF234" s="233">
        <f t="shared" si="91"/>
        <v>0</v>
      </c>
      <c r="AG234" s="233">
        <f t="shared" si="92"/>
        <v>0</v>
      </c>
      <c r="AH234" s="238">
        <f t="shared" si="93"/>
        <v>0</v>
      </c>
      <c r="AI234" s="238">
        <f t="shared" si="94"/>
        <v>286649990</v>
      </c>
      <c r="AJ234" s="261">
        <f t="shared" si="95"/>
        <v>1942</v>
      </c>
      <c r="AK234" s="233">
        <f t="shared" si="96"/>
        <v>10</v>
      </c>
    </row>
    <row r="235" spans="1:37" s="116" customFormat="1" ht="35.25" hidden="1" customHeight="1" x14ac:dyDescent="0.2">
      <c r="B235" s="116" t="e">
        <f t="shared" si="82"/>
        <v>#N/A</v>
      </c>
      <c r="F235" s="218" t="str">
        <f t="shared" si="85"/>
        <v>4.13.02</v>
      </c>
      <c r="G235" s="53"/>
      <c r="H235" s="67" t="s">
        <v>742</v>
      </c>
      <c r="I235" s="33" t="s">
        <v>3823</v>
      </c>
      <c r="J235" s="63"/>
      <c r="K235" s="33" t="s">
        <v>736</v>
      </c>
      <c r="L235" s="360" t="s">
        <v>751</v>
      </c>
      <c r="M235" s="40">
        <v>6</v>
      </c>
      <c r="N235" s="360">
        <v>60</v>
      </c>
      <c r="O235" s="72" t="s">
        <v>752</v>
      </c>
      <c r="P235" s="33">
        <v>1980</v>
      </c>
      <c r="Q235" s="40"/>
      <c r="R235" s="40"/>
      <c r="S235" s="40" t="s">
        <v>753</v>
      </c>
      <c r="T235" s="40" t="s">
        <v>12</v>
      </c>
      <c r="U235" s="251">
        <v>420000000</v>
      </c>
      <c r="V235" s="33" t="s">
        <v>43</v>
      </c>
      <c r="W235" s="127"/>
      <c r="X235" s="206" t="str">
        <f t="shared" si="80"/>
        <v>4.13.02</v>
      </c>
      <c r="Y235" s="207" t="str">
        <f t="shared" si="83"/>
        <v>JEMBATAN</v>
      </c>
      <c r="Z235" s="207">
        <f t="shared" si="84"/>
        <v>50</v>
      </c>
      <c r="AA235" s="233">
        <f t="shared" si="86"/>
        <v>8399999.8000000007</v>
      </c>
      <c r="AB235" s="208">
        <f t="shared" si="87"/>
        <v>33</v>
      </c>
      <c r="AC235" s="233">
        <f t="shared" si="88"/>
        <v>277199993.40000004</v>
      </c>
      <c r="AD235" s="233">
        <f t="shared" si="89"/>
        <v>8399999.8000000007</v>
      </c>
      <c r="AE235" s="233">
        <f t="shared" si="90"/>
        <v>8399999.8000000007</v>
      </c>
      <c r="AF235" s="233">
        <f t="shared" si="91"/>
        <v>8399999.8000000007</v>
      </c>
      <c r="AG235" s="233">
        <f t="shared" si="92"/>
        <v>8399999.8000000007</v>
      </c>
      <c r="AH235" s="238">
        <f t="shared" si="93"/>
        <v>8399999.8000000007</v>
      </c>
      <c r="AI235" s="238">
        <f t="shared" si="94"/>
        <v>319199992.4000001</v>
      </c>
      <c r="AJ235" s="261">
        <f t="shared" si="95"/>
        <v>1980</v>
      </c>
      <c r="AK235" s="233">
        <f t="shared" si="96"/>
        <v>100800007.5999999</v>
      </c>
    </row>
    <row r="236" spans="1:37" s="116" customFormat="1" ht="35.25" hidden="1" customHeight="1" x14ac:dyDescent="0.2">
      <c r="B236" s="116" t="e">
        <f t="shared" si="82"/>
        <v>#N/A</v>
      </c>
      <c r="F236" s="218" t="str">
        <f t="shared" si="85"/>
        <v>4.13.02</v>
      </c>
      <c r="G236" s="53"/>
      <c r="H236" s="67" t="s">
        <v>742</v>
      </c>
      <c r="I236" s="33" t="s">
        <v>3823</v>
      </c>
      <c r="J236" s="63"/>
      <c r="K236" s="33" t="s">
        <v>736</v>
      </c>
      <c r="L236" s="360" t="s">
        <v>754</v>
      </c>
      <c r="M236" s="40">
        <v>8</v>
      </c>
      <c r="N236" s="360">
        <v>16</v>
      </c>
      <c r="O236" s="72" t="s">
        <v>755</v>
      </c>
      <c r="P236" s="33">
        <v>2006</v>
      </c>
      <c r="Q236" s="40"/>
      <c r="R236" s="40"/>
      <c r="S236" s="40" t="s">
        <v>741</v>
      </c>
      <c r="T236" s="40" t="s">
        <v>12</v>
      </c>
      <c r="U236" s="251">
        <v>128000000</v>
      </c>
      <c r="V236" s="33" t="s">
        <v>43</v>
      </c>
      <c r="W236" s="127"/>
      <c r="X236" s="206" t="str">
        <f t="shared" si="80"/>
        <v>4.13.02</v>
      </c>
      <c r="Y236" s="207" t="str">
        <f t="shared" si="83"/>
        <v>JEMBATAN</v>
      </c>
      <c r="Z236" s="207">
        <f t="shared" si="84"/>
        <v>50</v>
      </c>
      <c r="AA236" s="233">
        <f t="shared" si="86"/>
        <v>2559999.7999999998</v>
      </c>
      <c r="AB236" s="208">
        <f t="shared" si="87"/>
        <v>7</v>
      </c>
      <c r="AC236" s="233">
        <f t="shared" si="88"/>
        <v>17919998.599999998</v>
      </c>
      <c r="AD236" s="233">
        <f t="shared" si="89"/>
        <v>2559999.7999999998</v>
      </c>
      <c r="AE236" s="233">
        <f t="shared" si="90"/>
        <v>2559999.7999999998</v>
      </c>
      <c r="AF236" s="233">
        <f t="shared" si="91"/>
        <v>2559999.7999999998</v>
      </c>
      <c r="AG236" s="233">
        <f t="shared" si="92"/>
        <v>2559999.7999999998</v>
      </c>
      <c r="AH236" s="238">
        <f t="shared" si="93"/>
        <v>2559999.7999999998</v>
      </c>
      <c r="AI236" s="238">
        <f t="shared" si="94"/>
        <v>30719997.600000001</v>
      </c>
      <c r="AJ236" s="261">
        <f t="shared" si="95"/>
        <v>2006</v>
      </c>
      <c r="AK236" s="233">
        <f t="shared" si="96"/>
        <v>97280002.400000006</v>
      </c>
    </row>
    <row r="237" spans="1:37" s="116" customFormat="1" ht="35.25" hidden="1" customHeight="1" x14ac:dyDescent="0.2">
      <c r="B237" s="116" t="e">
        <f t="shared" si="82"/>
        <v>#N/A</v>
      </c>
      <c r="F237" s="218" t="str">
        <f t="shared" si="85"/>
        <v>4.13.02</v>
      </c>
      <c r="G237" s="53"/>
      <c r="H237" s="67" t="s">
        <v>742</v>
      </c>
      <c r="I237" s="33" t="s">
        <v>3823</v>
      </c>
      <c r="J237" s="63"/>
      <c r="K237" s="33" t="s">
        <v>736</v>
      </c>
      <c r="L237" s="360" t="s">
        <v>756</v>
      </c>
      <c r="M237" s="40">
        <v>6</v>
      </c>
      <c r="N237" s="360">
        <v>870</v>
      </c>
      <c r="O237" s="72" t="s">
        <v>757</v>
      </c>
      <c r="P237" s="33">
        <v>2005</v>
      </c>
      <c r="Q237" s="40"/>
      <c r="R237" s="40"/>
      <c r="S237" s="40" t="s">
        <v>758</v>
      </c>
      <c r="T237" s="40" t="s">
        <v>12</v>
      </c>
      <c r="U237" s="251">
        <v>7177500000</v>
      </c>
      <c r="V237" s="33" t="s">
        <v>43</v>
      </c>
      <c r="W237" s="127"/>
      <c r="X237" s="206" t="str">
        <f t="shared" si="80"/>
        <v>4.13.02</v>
      </c>
      <c r="Y237" s="207" t="str">
        <f t="shared" si="83"/>
        <v>JEMBATAN</v>
      </c>
      <c r="Z237" s="207">
        <f t="shared" si="84"/>
        <v>50</v>
      </c>
      <c r="AA237" s="233">
        <f t="shared" si="86"/>
        <v>143549999.80000001</v>
      </c>
      <c r="AB237" s="208">
        <f t="shared" si="87"/>
        <v>8</v>
      </c>
      <c r="AC237" s="233">
        <f t="shared" si="88"/>
        <v>1148399998.4000001</v>
      </c>
      <c r="AD237" s="233">
        <f t="shared" si="89"/>
        <v>143549999.80000001</v>
      </c>
      <c r="AE237" s="233">
        <f t="shared" si="90"/>
        <v>143549999.80000001</v>
      </c>
      <c r="AF237" s="233">
        <f t="shared" si="91"/>
        <v>143549999.80000001</v>
      </c>
      <c r="AG237" s="233">
        <f t="shared" si="92"/>
        <v>143549999.80000001</v>
      </c>
      <c r="AH237" s="238">
        <f t="shared" si="93"/>
        <v>143549999.80000001</v>
      </c>
      <c r="AI237" s="238">
        <f t="shared" si="94"/>
        <v>1866149997.3999999</v>
      </c>
      <c r="AJ237" s="261">
        <f t="shared" si="95"/>
        <v>2005</v>
      </c>
      <c r="AK237" s="233">
        <f t="shared" si="96"/>
        <v>5311350002.6000004</v>
      </c>
    </row>
    <row r="238" spans="1:37" s="116" customFormat="1" ht="35.25" hidden="1" customHeight="1" x14ac:dyDescent="0.2">
      <c r="B238" s="116" t="e">
        <f t="shared" si="82"/>
        <v>#N/A</v>
      </c>
      <c r="F238" s="218" t="str">
        <f t="shared" si="85"/>
        <v>4.13.02</v>
      </c>
      <c r="G238" s="53"/>
      <c r="H238" s="67" t="s">
        <v>742</v>
      </c>
      <c r="I238" s="33" t="s">
        <v>3823</v>
      </c>
      <c r="J238" s="63"/>
      <c r="K238" s="33" t="s">
        <v>736</v>
      </c>
      <c r="L238" s="360" t="s">
        <v>759</v>
      </c>
      <c r="M238" s="40">
        <v>7</v>
      </c>
      <c r="N238" s="360">
        <v>42</v>
      </c>
      <c r="O238" s="72" t="s">
        <v>760</v>
      </c>
      <c r="P238" s="33">
        <v>2006</v>
      </c>
      <c r="Q238" s="40"/>
      <c r="R238" s="40"/>
      <c r="S238" s="40" t="s">
        <v>741</v>
      </c>
      <c r="T238" s="40" t="s">
        <v>12</v>
      </c>
      <c r="U238" s="251">
        <v>336000000</v>
      </c>
      <c r="V238" s="33" t="s">
        <v>43</v>
      </c>
      <c r="W238" s="127"/>
      <c r="X238" s="206" t="str">
        <f t="shared" si="80"/>
        <v>4.13.02</v>
      </c>
      <c r="Y238" s="207" t="str">
        <f t="shared" si="83"/>
        <v>JEMBATAN</v>
      </c>
      <c r="Z238" s="207">
        <f t="shared" si="84"/>
        <v>50</v>
      </c>
      <c r="AA238" s="233">
        <f t="shared" si="86"/>
        <v>6719999.7999999998</v>
      </c>
      <c r="AB238" s="208">
        <f t="shared" si="87"/>
        <v>7</v>
      </c>
      <c r="AC238" s="233">
        <f t="shared" si="88"/>
        <v>47039998.600000001</v>
      </c>
      <c r="AD238" s="233">
        <f t="shared" si="89"/>
        <v>6719999.7999999998</v>
      </c>
      <c r="AE238" s="233">
        <f t="shared" si="90"/>
        <v>6719999.7999999998</v>
      </c>
      <c r="AF238" s="233">
        <f t="shared" si="91"/>
        <v>6719999.7999999998</v>
      </c>
      <c r="AG238" s="233">
        <f t="shared" si="92"/>
        <v>6719999.7999999998</v>
      </c>
      <c r="AH238" s="238">
        <f t="shared" si="93"/>
        <v>6719999.7999999998</v>
      </c>
      <c r="AI238" s="238">
        <f t="shared" si="94"/>
        <v>80639997.599999994</v>
      </c>
      <c r="AJ238" s="261">
        <f t="shared" si="95"/>
        <v>2006</v>
      </c>
      <c r="AK238" s="233">
        <f t="shared" si="96"/>
        <v>255360002.40000001</v>
      </c>
    </row>
    <row r="239" spans="1:37" s="116" customFormat="1" ht="35.25" hidden="1" customHeight="1" x14ac:dyDescent="0.2">
      <c r="B239" s="116" t="e">
        <f t="shared" si="82"/>
        <v>#N/A</v>
      </c>
      <c r="F239" s="218" t="str">
        <f t="shared" si="85"/>
        <v>4.13.02</v>
      </c>
      <c r="G239" s="53"/>
      <c r="H239" s="67" t="s">
        <v>742</v>
      </c>
      <c r="I239" s="33" t="s">
        <v>3823</v>
      </c>
      <c r="J239" s="63"/>
      <c r="K239" s="33" t="s">
        <v>736</v>
      </c>
      <c r="L239" s="360" t="s">
        <v>759</v>
      </c>
      <c r="M239" s="40">
        <v>7</v>
      </c>
      <c r="N239" s="360">
        <v>42</v>
      </c>
      <c r="O239" s="72" t="s">
        <v>761</v>
      </c>
      <c r="P239" s="33">
        <v>1942</v>
      </c>
      <c r="Q239" s="40"/>
      <c r="R239" s="40"/>
      <c r="S239" s="40" t="s">
        <v>750</v>
      </c>
      <c r="T239" s="40" t="s">
        <v>12</v>
      </c>
      <c r="U239" s="251">
        <v>294000000</v>
      </c>
      <c r="V239" s="33" t="s">
        <v>43</v>
      </c>
      <c r="W239" s="127"/>
      <c r="X239" s="206" t="str">
        <f t="shared" si="80"/>
        <v>4.13.02</v>
      </c>
      <c r="Y239" s="207" t="str">
        <f t="shared" si="83"/>
        <v>JEMBATAN</v>
      </c>
      <c r="Z239" s="207">
        <f t="shared" si="84"/>
        <v>50</v>
      </c>
      <c r="AA239" s="233">
        <f t="shared" si="86"/>
        <v>5879999.7999999998</v>
      </c>
      <c r="AB239" s="208">
        <f t="shared" si="87"/>
        <v>71</v>
      </c>
      <c r="AC239" s="233">
        <f t="shared" si="88"/>
        <v>293999990</v>
      </c>
      <c r="AD239" s="233">
        <f t="shared" si="89"/>
        <v>0</v>
      </c>
      <c r="AE239" s="233">
        <f t="shared" si="90"/>
        <v>0</v>
      </c>
      <c r="AF239" s="233">
        <f t="shared" si="91"/>
        <v>0</v>
      </c>
      <c r="AG239" s="233">
        <f t="shared" si="92"/>
        <v>0</v>
      </c>
      <c r="AH239" s="238">
        <f t="shared" si="93"/>
        <v>0</v>
      </c>
      <c r="AI239" s="238">
        <f t="shared" si="94"/>
        <v>293999990</v>
      </c>
      <c r="AJ239" s="261">
        <f t="shared" si="95"/>
        <v>1942</v>
      </c>
      <c r="AK239" s="233">
        <f t="shared" si="96"/>
        <v>10</v>
      </c>
    </row>
    <row r="240" spans="1:37" s="116" customFormat="1" ht="35.25" hidden="1" customHeight="1" x14ac:dyDescent="0.2">
      <c r="B240" s="116" t="e">
        <f t="shared" si="82"/>
        <v>#N/A</v>
      </c>
      <c r="F240" s="218" t="str">
        <f t="shared" si="85"/>
        <v>4.13.02</v>
      </c>
      <c r="G240" s="53"/>
      <c r="H240" s="67" t="s">
        <v>742</v>
      </c>
      <c r="I240" s="33" t="s">
        <v>3823</v>
      </c>
      <c r="J240" s="63"/>
      <c r="K240" s="33" t="s">
        <v>736</v>
      </c>
      <c r="L240" s="360" t="s">
        <v>762</v>
      </c>
      <c r="M240" s="40">
        <v>6</v>
      </c>
      <c r="N240" s="360">
        <v>72</v>
      </c>
      <c r="O240" s="72" t="s">
        <v>763</v>
      </c>
      <c r="P240" s="33">
        <v>1980</v>
      </c>
      <c r="Q240" s="40"/>
      <c r="R240" s="40"/>
      <c r="S240" s="40" t="s">
        <v>753</v>
      </c>
      <c r="T240" s="40" t="s">
        <v>12</v>
      </c>
      <c r="U240" s="251">
        <v>504000000</v>
      </c>
      <c r="V240" s="33" t="s">
        <v>43</v>
      </c>
      <c r="W240" s="127"/>
      <c r="X240" s="206" t="str">
        <f t="shared" si="80"/>
        <v>4.13.02</v>
      </c>
      <c r="Y240" s="207" t="str">
        <f t="shared" si="83"/>
        <v>JEMBATAN</v>
      </c>
      <c r="Z240" s="207">
        <f t="shared" si="84"/>
        <v>50</v>
      </c>
      <c r="AA240" s="233">
        <f t="shared" si="86"/>
        <v>10079999.800000001</v>
      </c>
      <c r="AB240" s="208">
        <f t="shared" si="87"/>
        <v>33</v>
      </c>
      <c r="AC240" s="233">
        <f t="shared" si="88"/>
        <v>332639993.40000004</v>
      </c>
      <c r="AD240" s="233">
        <f t="shared" si="89"/>
        <v>10079999.800000001</v>
      </c>
      <c r="AE240" s="233">
        <f t="shared" si="90"/>
        <v>10079999.800000001</v>
      </c>
      <c r="AF240" s="233">
        <f t="shared" si="91"/>
        <v>10079999.800000001</v>
      </c>
      <c r="AG240" s="233">
        <f t="shared" si="92"/>
        <v>10079999.800000001</v>
      </c>
      <c r="AH240" s="238">
        <f t="shared" si="93"/>
        <v>10079999.800000001</v>
      </c>
      <c r="AI240" s="238">
        <f t="shared" si="94"/>
        <v>383039992.4000001</v>
      </c>
      <c r="AJ240" s="261">
        <f t="shared" si="95"/>
        <v>1980</v>
      </c>
      <c r="AK240" s="233">
        <f t="shared" si="96"/>
        <v>120960007.5999999</v>
      </c>
    </row>
    <row r="241" spans="1:37" s="116" customFormat="1" ht="35.25" hidden="1" customHeight="1" x14ac:dyDescent="0.2">
      <c r="A241" s="116" t="s">
        <v>4137</v>
      </c>
      <c r="B241" s="116" t="e">
        <f t="shared" si="82"/>
        <v>#N/A</v>
      </c>
      <c r="D241" s="116">
        <v>1</v>
      </c>
      <c r="E241" s="1" t="str">
        <f>A241&amp;"."&amp;D241</f>
        <v>J4.1</v>
      </c>
      <c r="F241" s="218" t="str">
        <f t="shared" si="85"/>
        <v>4.13.02</v>
      </c>
      <c r="G241" s="53"/>
      <c r="H241" s="67" t="s">
        <v>764</v>
      </c>
      <c r="I241" s="33" t="s">
        <v>3824</v>
      </c>
      <c r="J241" s="63"/>
      <c r="K241" s="33" t="s">
        <v>238</v>
      </c>
      <c r="L241" s="360" t="s">
        <v>751</v>
      </c>
      <c r="M241" s="40">
        <v>5</v>
      </c>
      <c r="N241" s="360">
        <v>50</v>
      </c>
      <c r="O241" s="72" t="s">
        <v>765</v>
      </c>
      <c r="P241" s="33">
        <v>2006</v>
      </c>
      <c r="Q241" s="40"/>
      <c r="R241" s="40"/>
      <c r="S241" s="40" t="s">
        <v>741</v>
      </c>
      <c r="T241" s="40" t="s">
        <v>12</v>
      </c>
      <c r="U241" s="251">
        <v>150000000</v>
      </c>
      <c r="V241" s="33" t="s">
        <v>43</v>
      </c>
      <c r="W241" s="127"/>
      <c r="X241" s="206" t="str">
        <f t="shared" si="80"/>
        <v>4.13.02</v>
      </c>
      <c r="Y241" s="207" t="str">
        <f t="shared" si="83"/>
        <v>JEMBATAN</v>
      </c>
      <c r="Z241" s="207">
        <f t="shared" si="84"/>
        <v>50</v>
      </c>
      <c r="AA241" s="233">
        <f t="shared" si="86"/>
        <v>2999999.8</v>
      </c>
      <c r="AB241" s="208">
        <f t="shared" si="87"/>
        <v>7</v>
      </c>
      <c r="AC241" s="233">
        <f t="shared" si="88"/>
        <v>20999998.599999998</v>
      </c>
      <c r="AD241" s="233">
        <f t="shared" si="89"/>
        <v>2999999.8</v>
      </c>
      <c r="AE241" s="233">
        <f t="shared" si="90"/>
        <v>2999999.8</v>
      </c>
      <c r="AF241" s="233">
        <f t="shared" si="91"/>
        <v>2999999.8</v>
      </c>
      <c r="AG241" s="233">
        <f t="shared" si="92"/>
        <v>2999999.8</v>
      </c>
      <c r="AH241" s="238">
        <f t="shared" si="93"/>
        <v>2999999.8</v>
      </c>
      <c r="AI241" s="238">
        <f t="shared" si="94"/>
        <v>35999997.600000001</v>
      </c>
      <c r="AJ241" s="261">
        <f t="shared" si="95"/>
        <v>2006</v>
      </c>
      <c r="AK241" s="233">
        <f t="shared" si="96"/>
        <v>114000002.40000001</v>
      </c>
    </row>
    <row r="242" spans="1:37" s="116" customFormat="1" ht="35.25" hidden="1" customHeight="1" x14ac:dyDescent="0.2">
      <c r="B242" s="116" t="e">
        <f t="shared" si="82"/>
        <v>#N/A</v>
      </c>
      <c r="F242" s="218" t="str">
        <f t="shared" si="85"/>
        <v>4.13.02</v>
      </c>
      <c r="G242" s="53"/>
      <c r="H242" s="67" t="s">
        <v>764</v>
      </c>
      <c r="I242" s="33" t="s">
        <v>3824</v>
      </c>
      <c r="J242" s="63"/>
      <c r="K242" s="33" t="s">
        <v>238</v>
      </c>
      <c r="L242" s="360" t="s">
        <v>766</v>
      </c>
      <c r="M242" s="40">
        <v>4.5</v>
      </c>
      <c r="N242" s="360">
        <v>67.5</v>
      </c>
      <c r="O242" s="72" t="s">
        <v>767</v>
      </c>
      <c r="P242" s="33">
        <v>1999</v>
      </c>
      <c r="Q242" s="40"/>
      <c r="R242" s="40"/>
      <c r="S242" s="40" t="s">
        <v>768</v>
      </c>
      <c r="T242" s="40" t="s">
        <v>12</v>
      </c>
      <c r="U242" s="251">
        <v>162000000</v>
      </c>
      <c r="V242" s="33" t="s">
        <v>43</v>
      </c>
      <c r="W242" s="127"/>
      <c r="X242" s="206" t="str">
        <f t="shared" si="80"/>
        <v>4.13.02</v>
      </c>
      <c r="Y242" s="207" t="str">
        <f t="shared" si="83"/>
        <v>JEMBATAN</v>
      </c>
      <c r="Z242" s="207">
        <f t="shared" si="84"/>
        <v>50</v>
      </c>
      <c r="AA242" s="233">
        <f t="shared" si="86"/>
        <v>3239999.8</v>
      </c>
      <c r="AB242" s="208">
        <f t="shared" si="87"/>
        <v>14</v>
      </c>
      <c r="AC242" s="233">
        <f t="shared" si="88"/>
        <v>45359997.199999996</v>
      </c>
      <c r="AD242" s="233">
        <f t="shared" si="89"/>
        <v>3239999.8</v>
      </c>
      <c r="AE242" s="233">
        <f t="shared" si="90"/>
        <v>3239999.8</v>
      </c>
      <c r="AF242" s="233">
        <f t="shared" si="91"/>
        <v>3239999.8</v>
      </c>
      <c r="AG242" s="233">
        <f t="shared" si="92"/>
        <v>3239999.8</v>
      </c>
      <c r="AH242" s="238">
        <f t="shared" si="93"/>
        <v>3239999.8</v>
      </c>
      <c r="AI242" s="238">
        <f t="shared" si="94"/>
        <v>61559996.199999981</v>
      </c>
      <c r="AJ242" s="261">
        <f t="shared" si="95"/>
        <v>1999</v>
      </c>
      <c r="AK242" s="233">
        <f t="shared" si="96"/>
        <v>100440003.80000001</v>
      </c>
    </row>
    <row r="243" spans="1:37" s="116" customFormat="1" ht="35.25" hidden="1" customHeight="1" x14ac:dyDescent="0.2">
      <c r="B243" s="116" t="e">
        <f t="shared" si="82"/>
        <v>#N/A</v>
      </c>
      <c r="F243" s="218" t="str">
        <f t="shared" si="85"/>
        <v>4.13.02</v>
      </c>
      <c r="G243" s="53"/>
      <c r="H243" s="67" t="s">
        <v>764</v>
      </c>
      <c r="I243" s="33" t="s">
        <v>3824</v>
      </c>
      <c r="J243" s="63"/>
      <c r="K243" s="33" t="s">
        <v>736</v>
      </c>
      <c r="L243" s="360" t="s">
        <v>739</v>
      </c>
      <c r="M243" s="40">
        <v>6</v>
      </c>
      <c r="N243" s="360">
        <v>102</v>
      </c>
      <c r="O243" s="72" t="s">
        <v>664</v>
      </c>
      <c r="P243" s="33">
        <v>2006</v>
      </c>
      <c r="Q243" s="40"/>
      <c r="R243" s="40"/>
      <c r="S243" s="40" t="s">
        <v>741</v>
      </c>
      <c r="T243" s="40" t="s">
        <v>12</v>
      </c>
      <c r="U243" s="251">
        <v>841500000</v>
      </c>
      <c r="V243" s="33" t="s">
        <v>43</v>
      </c>
      <c r="W243" s="127"/>
      <c r="X243" s="206" t="str">
        <f t="shared" si="80"/>
        <v>4.13.02</v>
      </c>
      <c r="Y243" s="207" t="str">
        <f t="shared" si="83"/>
        <v>JEMBATAN</v>
      </c>
      <c r="Z243" s="207">
        <f t="shared" si="84"/>
        <v>50</v>
      </c>
      <c r="AA243" s="233">
        <f t="shared" si="86"/>
        <v>16829999.800000001</v>
      </c>
      <c r="AB243" s="208">
        <f t="shared" si="87"/>
        <v>7</v>
      </c>
      <c r="AC243" s="233">
        <f t="shared" si="88"/>
        <v>117809998.60000001</v>
      </c>
      <c r="AD243" s="233">
        <f t="shared" si="89"/>
        <v>16829999.800000001</v>
      </c>
      <c r="AE243" s="233">
        <f t="shared" si="90"/>
        <v>16829999.800000001</v>
      </c>
      <c r="AF243" s="233">
        <f t="shared" si="91"/>
        <v>16829999.800000001</v>
      </c>
      <c r="AG243" s="233">
        <f t="shared" si="92"/>
        <v>16829999.800000001</v>
      </c>
      <c r="AH243" s="238">
        <f t="shared" si="93"/>
        <v>16829999.800000001</v>
      </c>
      <c r="AI243" s="238">
        <f t="shared" si="94"/>
        <v>201959997.60000005</v>
      </c>
      <c r="AJ243" s="261">
        <f t="shared" si="95"/>
        <v>2006</v>
      </c>
      <c r="AK243" s="233">
        <f t="shared" si="96"/>
        <v>639540002.39999998</v>
      </c>
    </row>
    <row r="244" spans="1:37" s="116" customFormat="1" ht="35.25" hidden="1" customHeight="1" x14ac:dyDescent="0.2">
      <c r="B244" s="116" t="e">
        <f t="shared" si="82"/>
        <v>#N/A</v>
      </c>
      <c r="F244" s="218" t="str">
        <f t="shared" si="85"/>
        <v>4.13.02</v>
      </c>
      <c r="G244" s="53"/>
      <c r="H244" s="67" t="s">
        <v>764</v>
      </c>
      <c r="I244" s="33" t="s">
        <v>3824</v>
      </c>
      <c r="J244" s="63"/>
      <c r="K244" s="33" t="s">
        <v>736</v>
      </c>
      <c r="L244" s="360" t="s">
        <v>745</v>
      </c>
      <c r="M244" s="40">
        <v>6</v>
      </c>
      <c r="N244" s="360">
        <v>360</v>
      </c>
      <c r="O244" s="72" t="s">
        <v>769</v>
      </c>
      <c r="P244" s="33">
        <v>1987</v>
      </c>
      <c r="Q244" s="40"/>
      <c r="R244" s="40"/>
      <c r="S244" s="40" t="s">
        <v>770</v>
      </c>
      <c r="T244" s="40" t="s">
        <v>12</v>
      </c>
      <c r="U244" s="251">
        <v>2772000000</v>
      </c>
      <c r="V244" s="33" t="s">
        <v>135</v>
      </c>
      <c r="W244" s="127"/>
      <c r="X244" s="206" t="str">
        <f t="shared" si="80"/>
        <v>4.13.02</v>
      </c>
      <c r="Y244" s="207" t="str">
        <f t="shared" si="83"/>
        <v>JEMBATAN</v>
      </c>
      <c r="Z244" s="207">
        <f t="shared" si="84"/>
        <v>50</v>
      </c>
      <c r="AA244" s="233">
        <f t="shared" si="86"/>
        <v>55439999.799999997</v>
      </c>
      <c r="AB244" s="208">
        <f t="shared" si="87"/>
        <v>26</v>
      </c>
      <c r="AC244" s="233">
        <f t="shared" si="88"/>
        <v>1441439994.8</v>
      </c>
      <c r="AD244" s="233">
        <f t="shared" si="89"/>
        <v>55439999.799999997</v>
      </c>
      <c r="AE244" s="233">
        <f t="shared" si="90"/>
        <v>55439999.799999997</v>
      </c>
      <c r="AF244" s="233">
        <f t="shared" si="91"/>
        <v>55439999.799999997</v>
      </c>
      <c r="AG244" s="233">
        <f t="shared" si="92"/>
        <v>55439999.799999997</v>
      </c>
      <c r="AH244" s="238">
        <f t="shared" si="93"/>
        <v>55439999.799999997</v>
      </c>
      <c r="AI244" s="238">
        <f t="shared" si="94"/>
        <v>1718639993.7999997</v>
      </c>
      <c r="AJ244" s="261">
        <f t="shared" si="95"/>
        <v>1987</v>
      </c>
      <c r="AK244" s="233">
        <f t="shared" si="96"/>
        <v>1053360006.2000003</v>
      </c>
    </row>
    <row r="245" spans="1:37" s="116" customFormat="1" ht="35.25" hidden="1" customHeight="1" x14ac:dyDescent="0.2">
      <c r="B245" s="116" t="e">
        <f t="shared" si="82"/>
        <v>#N/A</v>
      </c>
      <c r="F245" s="218" t="str">
        <f t="shared" si="85"/>
        <v>4.13.02</v>
      </c>
      <c r="G245" s="53"/>
      <c r="H245" s="67" t="s">
        <v>764</v>
      </c>
      <c r="I245" s="33" t="s">
        <v>3824</v>
      </c>
      <c r="J245" s="63"/>
      <c r="K245" s="33" t="s">
        <v>736</v>
      </c>
      <c r="L245" s="360" t="s">
        <v>751</v>
      </c>
      <c r="M245" s="40">
        <v>4</v>
      </c>
      <c r="N245" s="360">
        <v>40</v>
      </c>
      <c r="O245" s="72" t="s">
        <v>771</v>
      </c>
      <c r="P245" s="33">
        <v>1999</v>
      </c>
      <c r="Q245" s="40"/>
      <c r="R245" s="40"/>
      <c r="S245" s="40" t="s">
        <v>768</v>
      </c>
      <c r="T245" s="40" t="s">
        <v>12</v>
      </c>
      <c r="U245" s="251">
        <v>308000000</v>
      </c>
      <c r="V245" s="33" t="s">
        <v>43</v>
      </c>
      <c r="W245" s="127"/>
      <c r="X245" s="206" t="str">
        <f t="shared" si="80"/>
        <v>4.13.02</v>
      </c>
      <c r="Y245" s="207" t="str">
        <f t="shared" si="83"/>
        <v>JEMBATAN</v>
      </c>
      <c r="Z245" s="207">
        <f t="shared" si="84"/>
        <v>50</v>
      </c>
      <c r="AA245" s="233">
        <f t="shared" si="86"/>
        <v>6159999.7999999998</v>
      </c>
      <c r="AB245" s="208">
        <f t="shared" si="87"/>
        <v>14</v>
      </c>
      <c r="AC245" s="233">
        <f t="shared" si="88"/>
        <v>86239997.200000003</v>
      </c>
      <c r="AD245" s="233">
        <f t="shared" si="89"/>
        <v>6159999.7999999998</v>
      </c>
      <c r="AE245" s="233">
        <f t="shared" si="90"/>
        <v>6159999.7999999998</v>
      </c>
      <c r="AF245" s="233">
        <f t="shared" si="91"/>
        <v>6159999.7999999998</v>
      </c>
      <c r="AG245" s="233">
        <f t="shared" si="92"/>
        <v>6159999.7999999998</v>
      </c>
      <c r="AH245" s="238">
        <f t="shared" si="93"/>
        <v>6159999.7999999998</v>
      </c>
      <c r="AI245" s="238">
        <f t="shared" si="94"/>
        <v>117039996.19999999</v>
      </c>
      <c r="AJ245" s="261">
        <f t="shared" si="95"/>
        <v>1999</v>
      </c>
      <c r="AK245" s="233">
        <f t="shared" si="96"/>
        <v>190960003.80000001</v>
      </c>
    </row>
    <row r="246" spans="1:37" s="116" customFormat="1" ht="35.25" hidden="1" customHeight="1" x14ac:dyDescent="0.2">
      <c r="B246" s="116" t="e">
        <f t="shared" si="82"/>
        <v>#N/A</v>
      </c>
      <c r="F246" s="218" t="str">
        <f t="shared" si="85"/>
        <v>4.13.02</v>
      </c>
      <c r="G246" s="53"/>
      <c r="H246" s="67" t="s">
        <v>764</v>
      </c>
      <c r="I246" s="33" t="s">
        <v>3824</v>
      </c>
      <c r="J246" s="63"/>
      <c r="K246" s="33" t="s">
        <v>736</v>
      </c>
      <c r="L246" s="360" t="s">
        <v>772</v>
      </c>
      <c r="M246" s="40">
        <v>6</v>
      </c>
      <c r="N246" s="360">
        <v>150</v>
      </c>
      <c r="O246" s="72" t="s">
        <v>773</v>
      </c>
      <c r="P246" s="33">
        <v>2003</v>
      </c>
      <c r="Q246" s="40"/>
      <c r="R246" s="40"/>
      <c r="S246" s="40" t="s">
        <v>774</v>
      </c>
      <c r="T246" s="40" t="s">
        <v>12</v>
      </c>
      <c r="U246" s="251">
        <v>1155000000</v>
      </c>
      <c r="V246" s="33" t="s">
        <v>43</v>
      </c>
      <c r="W246" s="127"/>
      <c r="X246" s="206" t="str">
        <f t="shared" si="80"/>
        <v>4.13.02</v>
      </c>
      <c r="Y246" s="207" t="str">
        <f t="shared" si="83"/>
        <v>JEMBATAN</v>
      </c>
      <c r="Z246" s="207">
        <f t="shared" si="84"/>
        <v>50</v>
      </c>
      <c r="AA246" s="233">
        <f t="shared" si="86"/>
        <v>23099999.800000001</v>
      </c>
      <c r="AB246" s="208">
        <f t="shared" si="87"/>
        <v>10</v>
      </c>
      <c r="AC246" s="233">
        <f t="shared" si="88"/>
        <v>230999998</v>
      </c>
      <c r="AD246" s="233">
        <f t="shared" si="89"/>
        <v>23099999.800000001</v>
      </c>
      <c r="AE246" s="233">
        <f t="shared" si="90"/>
        <v>23099999.800000001</v>
      </c>
      <c r="AF246" s="233">
        <f t="shared" si="91"/>
        <v>23099999.800000001</v>
      </c>
      <c r="AG246" s="233">
        <f t="shared" si="92"/>
        <v>23099999.800000001</v>
      </c>
      <c r="AH246" s="238">
        <f t="shared" si="93"/>
        <v>23099999.800000001</v>
      </c>
      <c r="AI246" s="238">
        <f t="shared" si="94"/>
        <v>346499997.00000006</v>
      </c>
      <c r="AJ246" s="261">
        <f t="shared" si="95"/>
        <v>2003</v>
      </c>
      <c r="AK246" s="233">
        <f t="shared" si="96"/>
        <v>808500003</v>
      </c>
    </row>
    <row r="247" spans="1:37" s="116" customFormat="1" ht="35.25" hidden="1" customHeight="1" x14ac:dyDescent="0.2">
      <c r="B247" s="116" t="e">
        <f t="shared" si="82"/>
        <v>#N/A</v>
      </c>
      <c r="F247" s="218" t="str">
        <f t="shared" si="85"/>
        <v>4.13.02</v>
      </c>
      <c r="G247" s="53"/>
      <c r="H247" s="67" t="s">
        <v>764</v>
      </c>
      <c r="I247" s="33" t="s">
        <v>3824</v>
      </c>
      <c r="J247" s="63"/>
      <c r="K247" s="33" t="s">
        <v>736</v>
      </c>
      <c r="L247" s="360" t="s">
        <v>775</v>
      </c>
      <c r="M247" s="40">
        <v>8</v>
      </c>
      <c r="N247" s="360">
        <v>64</v>
      </c>
      <c r="O247" s="72" t="s">
        <v>776</v>
      </c>
      <c r="P247" s="33">
        <v>2000</v>
      </c>
      <c r="Q247" s="40"/>
      <c r="R247" s="40"/>
      <c r="S247" s="40" t="s">
        <v>777</v>
      </c>
      <c r="T247" s="40" t="s">
        <v>12</v>
      </c>
      <c r="U247" s="251">
        <v>374400000</v>
      </c>
      <c r="V247" s="33" t="s">
        <v>43</v>
      </c>
      <c r="W247" s="127"/>
      <c r="X247" s="206" t="str">
        <f t="shared" si="80"/>
        <v>4.13.02</v>
      </c>
      <c r="Y247" s="207" t="str">
        <f t="shared" si="83"/>
        <v>JEMBATAN</v>
      </c>
      <c r="Z247" s="207">
        <f t="shared" si="84"/>
        <v>50</v>
      </c>
      <c r="AA247" s="233">
        <f t="shared" si="86"/>
        <v>7487999.7999999998</v>
      </c>
      <c r="AB247" s="208">
        <f t="shared" si="87"/>
        <v>13</v>
      </c>
      <c r="AC247" s="233">
        <f t="shared" si="88"/>
        <v>97343997.399999991</v>
      </c>
      <c r="AD247" s="233">
        <f t="shared" si="89"/>
        <v>7487999.7999999998</v>
      </c>
      <c r="AE247" s="233">
        <f t="shared" si="90"/>
        <v>7487999.7999999998</v>
      </c>
      <c r="AF247" s="233">
        <f t="shared" si="91"/>
        <v>7487999.7999999998</v>
      </c>
      <c r="AG247" s="233">
        <f t="shared" si="92"/>
        <v>7487999.7999999998</v>
      </c>
      <c r="AH247" s="238">
        <f t="shared" si="93"/>
        <v>7487999.7999999998</v>
      </c>
      <c r="AI247" s="238">
        <f t="shared" si="94"/>
        <v>134783996.39999998</v>
      </c>
      <c r="AJ247" s="261">
        <f t="shared" si="95"/>
        <v>2000</v>
      </c>
      <c r="AK247" s="233">
        <f t="shared" si="96"/>
        <v>239616003.60000002</v>
      </c>
    </row>
    <row r="248" spans="1:37" s="116" customFormat="1" ht="35.25" hidden="1" customHeight="1" x14ac:dyDescent="0.2">
      <c r="B248" s="116" t="e">
        <f t="shared" si="82"/>
        <v>#N/A</v>
      </c>
      <c r="F248" s="218" t="str">
        <f t="shared" si="85"/>
        <v>4.13.02</v>
      </c>
      <c r="G248" s="53"/>
      <c r="H248" s="67" t="s">
        <v>764</v>
      </c>
      <c r="I248" s="33" t="s">
        <v>3824</v>
      </c>
      <c r="J248" s="63"/>
      <c r="K248" s="33" t="s">
        <v>736</v>
      </c>
      <c r="L248" s="360" t="s">
        <v>775</v>
      </c>
      <c r="M248" s="40">
        <v>8</v>
      </c>
      <c r="N248" s="360">
        <v>64</v>
      </c>
      <c r="O248" s="72" t="s">
        <v>778</v>
      </c>
      <c r="P248" s="33">
        <v>1981</v>
      </c>
      <c r="Q248" s="40"/>
      <c r="R248" s="40"/>
      <c r="S248" s="40" t="s">
        <v>779</v>
      </c>
      <c r="T248" s="40" t="s">
        <v>12</v>
      </c>
      <c r="U248" s="251">
        <v>345600000</v>
      </c>
      <c r="V248" s="33" t="s">
        <v>43</v>
      </c>
      <c r="W248" s="127"/>
      <c r="X248" s="206" t="str">
        <f t="shared" si="80"/>
        <v>4.13.02</v>
      </c>
      <c r="Y248" s="207" t="str">
        <f t="shared" si="83"/>
        <v>JEMBATAN</v>
      </c>
      <c r="Z248" s="207">
        <f t="shared" si="84"/>
        <v>50</v>
      </c>
      <c r="AA248" s="233">
        <f t="shared" si="86"/>
        <v>6911999.7999999998</v>
      </c>
      <c r="AB248" s="208">
        <f t="shared" si="87"/>
        <v>32</v>
      </c>
      <c r="AC248" s="233">
        <f t="shared" si="88"/>
        <v>221183993.59999999</v>
      </c>
      <c r="AD248" s="233">
        <f t="shared" si="89"/>
        <v>6911999.7999999998</v>
      </c>
      <c r="AE248" s="233">
        <f t="shared" si="90"/>
        <v>6911999.7999999998</v>
      </c>
      <c r="AF248" s="233">
        <f t="shared" si="91"/>
        <v>6911999.7999999998</v>
      </c>
      <c r="AG248" s="233">
        <f t="shared" si="92"/>
        <v>6911999.7999999998</v>
      </c>
      <c r="AH248" s="238">
        <f t="shared" si="93"/>
        <v>6911999.7999999998</v>
      </c>
      <c r="AI248" s="238">
        <f t="shared" si="94"/>
        <v>255743992.60000005</v>
      </c>
      <c r="AJ248" s="261">
        <f t="shared" si="95"/>
        <v>1981</v>
      </c>
      <c r="AK248" s="233">
        <f t="shared" si="96"/>
        <v>89856007.399999946</v>
      </c>
    </row>
    <row r="249" spans="1:37" s="116" customFormat="1" ht="35.25" hidden="1" customHeight="1" x14ac:dyDescent="0.2">
      <c r="B249" s="116" t="e">
        <f t="shared" si="82"/>
        <v>#N/A</v>
      </c>
      <c r="F249" s="218" t="str">
        <f t="shared" si="85"/>
        <v>4.13.02</v>
      </c>
      <c r="G249" s="53"/>
      <c r="H249" s="67" t="s">
        <v>764</v>
      </c>
      <c r="I249" s="33" t="s">
        <v>3824</v>
      </c>
      <c r="J249" s="63"/>
      <c r="K249" s="33" t="s">
        <v>736</v>
      </c>
      <c r="L249" s="360" t="s">
        <v>745</v>
      </c>
      <c r="M249" s="40">
        <v>8</v>
      </c>
      <c r="N249" s="360">
        <v>480</v>
      </c>
      <c r="O249" s="72" t="s">
        <v>780</v>
      </c>
      <c r="P249" s="33">
        <v>1999</v>
      </c>
      <c r="Q249" s="40"/>
      <c r="R249" s="40"/>
      <c r="S249" s="40" t="s">
        <v>768</v>
      </c>
      <c r="T249" s="40" t="s">
        <v>12</v>
      </c>
      <c r="U249" s="251">
        <v>3168000000</v>
      </c>
      <c r="V249" s="33" t="s">
        <v>43</v>
      </c>
      <c r="W249" s="127"/>
      <c r="X249" s="206" t="str">
        <f t="shared" si="80"/>
        <v>4.13.02</v>
      </c>
      <c r="Y249" s="207" t="str">
        <f t="shared" si="83"/>
        <v>JEMBATAN</v>
      </c>
      <c r="Z249" s="207">
        <f t="shared" si="84"/>
        <v>50</v>
      </c>
      <c r="AA249" s="233">
        <f t="shared" si="86"/>
        <v>63359999.799999997</v>
      </c>
      <c r="AB249" s="208">
        <f t="shared" si="87"/>
        <v>14</v>
      </c>
      <c r="AC249" s="233">
        <f t="shared" si="88"/>
        <v>887039997.19999993</v>
      </c>
      <c r="AD249" s="233">
        <f t="shared" si="89"/>
        <v>63359999.799999997</v>
      </c>
      <c r="AE249" s="233">
        <f t="shared" si="90"/>
        <v>63359999.799999997</v>
      </c>
      <c r="AF249" s="233">
        <f t="shared" si="91"/>
        <v>63359999.799999997</v>
      </c>
      <c r="AG249" s="233">
        <f t="shared" si="92"/>
        <v>63359999.799999997</v>
      </c>
      <c r="AH249" s="238">
        <f t="shared" si="93"/>
        <v>63359999.799999997</v>
      </c>
      <c r="AI249" s="238">
        <f t="shared" si="94"/>
        <v>1203839996.1999998</v>
      </c>
      <c r="AJ249" s="261">
        <f t="shared" si="95"/>
        <v>1999</v>
      </c>
      <c r="AK249" s="233">
        <f t="shared" si="96"/>
        <v>1964160003.8000002</v>
      </c>
    </row>
    <row r="250" spans="1:37" s="116" customFormat="1" ht="35.25" hidden="1" customHeight="1" x14ac:dyDescent="0.2">
      <c r="B250" s="116" t="e">
        <f t="shared" si="82"/>
        <v>#N/A</v>
      </c>
      <c r="F250" s="218" t="str">
        <f t="shared" si="85"/>
        <v>4.13.02</v>
      </c>
      <c r="G250" s="53"/>
      <c r="H250" s="67" t="s">
        <v>764</v>
      </c>
      <c r="I250" s="33" t="s">
        <v>3824</v>
      </c>
      <c r="J250" s="63"/>
      <c r="K250" s="33" t="s">
        <v>736</v>
      </c>
      <c r="L250" s="360" t="s">
        <v>762</v>
      </c>
      <c r="M250" s="40">
        <v>6</v>
      </c>
      <c r="N250" s="360">
        <v>72</v>
      </c>
      <c r="O250" s="72" t="s">
        <v>781</v>
      </c>
      <c r="P250" s="33">
        <v>1990</v>
      </c>
      <c r="Q250" s="40"/>
      <c r="R250" s="40"/>
      <c r="S250" s="40" t="s">
        <v>782</v>
      </c>
      <c r="T250" s="40" t="s">
        <v>12</v>
      </c>
      <c r="U250" s="251">
        <v>388800000</v>
      </c>
      <c r="V250" s="33" t="s">
        <v>43</v>
      </c>
      <c r="W250" s="127"/>
      <c r="X250" s="206" t="str">
        <f t="shared" si="80"/>
        <v>4.13.02</v>
      </c>
      <c r="Y250" s="207" t="str">
        <f t="shared" si="83"/>
        <v>JEMBATAN</v>
      </c>
      <c r="Z250" s="207">
        <f t="shared" si="84"/>
        <v>50</v>
      </c>
      <c r="AA250" s="233">
        <f t="shared" si="86"/>
        <v>7775999.7999999998</v>
      </c>
      <c r="AB250" s="208">
        <f t="shared" si="87"/>
        <v>23</v>
      </c>
      <c r="AC250" s="233">
        <f t="shared" si="88"/>
        <v>178847995.40000001</v>
      </c>
      <c r="AD250" s="233">
        <f t="shared" si="89"/>
        <v>7775999.7999999998</v>
      </c>
      <c r="AE250" s="233">
        <f t="shared" si="90"/>
        <v>7775999.7999999998</v>
      </c>
      <c r="AF250" s="233">
        <f t="shared" si="91"/>
        <v>7775999.7999999998</v>
      </c>
      <c r="AG250" s="233">
        <f t="shared" si="92"/>
        <v>7775999.7999999998</v>
      </c>
      <c r="AH250" s="238">
        <f t="shared" si="93"/>
        <v>7775999.7999999998</v>
      </c>
      <c r="AI250" s="238">
        <f t="shared" si="94"/>
        <v>217727994.40000007</v>
      </c>
      <c r="AJ250" s="261">
        <f t="shared" si="95"/>
        <v>1990</v>
      </c>
      <c r="AK250" s="233">
        <f t="shared" si="96"/>
        <v>171072005.59999993</v>
      </c>
    </row>
    <row r="251" spans="1:37" s="116" customFormat="1" ht="35.25" hidden="1" customHeight="1" x14ac:dyDescent="0.2">
      <c r="B251" s="116" t="e">
        <f t="shared" si="82"/>
        <v>#N/A</v>
      </c>
      <c r="F251" s="218" t="str">
        <f t="shared" si="85"/>
        <v>4.13.02</v>
      </c>
      <c r="G251" s="53"/>
      <c r="H251" s="67" t="s">
        <v>764</v>
      </c>
      <c r="I251" s="33" t="s">
        <v>3824</v>
      </c>
      <c r="J251" s="63"/>
      <c r="K251" s="33" t="s">
        <v>736</v>
      </c>
      <c r="L251" s="360" t="s">
        <v>766</v>
      </c>
      <c r="M251" s="40">
        <v>8</v>
      </c>
      <c r="N251" s="360">
        <v>120</v>
      </c>
      <c r="O251" s="72" t="s">
        <v>783</v>
      </c>
      <c r="P251" s="33">
        <v>1990</v>
      </c>
      <c r="Q251" s="40"/>
      <c r="R251" s="40"/>
      <c r="S251" s="40" t="s">
        <v>782</v>
      </c>
      <c r="T251" s="40" t="s">
        <v>12</v>
      </c>
      <c r="U251" s="251">
        <v>648000000</v>
      </c>
      <c r="V251" s="33" t="s">
        <v>43</v>
      </c>
      <c r="W251" s="127"/>
      <c r="X251" s="206" t="str">
        <f t="shared" si="80"/>
        <v>4.13.02</v>
      </c>
      <c r="Y251" s="207" t="str">
        <f t="shared" si="83"/>
        <v>JEMBATAN</v>
      </c>
      <c r="Z251" s="207">
        <f t="shared" si="84"/>
        <v>50</v>
      </c>
      <c r="AA251" s="233">
        <f t="shared" si="86"/>
        <v>12959999.800000001</v>
      </c>
      <c r="AB251" s="208">
        <f t="shared" si="87"/>
        <v>23</v>
      </c>
      <c r="AC251" s="233">
        <f t="shared" si="88"/>
        <v>298079995.40000004</v>
      </c>
      <c r="AD251" s="233">
        <f t="shared" si="89"/>
        <v>12959999.800000001</v>
      </c>
      <c r="AE251" s="233">
        <f t="shared" si="90"/>
        <v>12959999.800000001</v>
      </c>
      <c r="AF251" s="233">
        <f t="shared" si="91"/>
        <v>12959999.800000001</v>
      </c>
      <c r="AG251" s="233">
        <f t="shared" si="92"/>
        <v>12959999.800000001</v>
      </c>
      <c r="AH251" s="238">
        <f t="shared" si="93"/>
        <v>12959999.800000001</v>
      </c>
      <c r="AI251" s="238">
        <f t="shared" si="94"/>
        <v>362879994.4000001</v>
      </c>
      <c r="AJ251" s="261">
        <f t="shared" si="95"/>
        <v>1990</v>
      </c>
      <c r="AK251" s="233">
        <f t="shared" si="96"/>
        <v>285120005.5999999</v>
      </c>
    </row>
    <row r="252" spans="1:37" s="116" customFormat="1" ht="35.25" hidden="1" customHeight="1" x14ac:dyDescent="0.2">
      <c r="B252" s="116" t="e">
        <f t="shared" si="82"/>
        <v>#N/A</v>
      </c>
      <c r="F252" s="218" t="str">
        <f t="shared" si="85"/>
        <v>4.13.02</v>
      </c>
      <c r="G252" s="53"/>
      <c r="H252" s="67" t="s">
        <v>764</v>
      </c>
      <c r="I252" s="33" t="s">
        <v>3824</v>
      </c>
      <c r="J252" s="63"/>
      <c r="K252" s="33" t="s">
        <v>736</v>
      </c>
      <c r="L252" s="360" t="s">
        <v>775</v>
      </c>
      <c r="M252" s="40">
        <v>8</v>
      </c>
      <c r="N252" s="360">
        <v>64</v>
      </c>
      <c r="O252" s="72" t="s">
        <v>784</v>
      </c>
      <c r="P252" s="33">
        <v>2000</v>
      </c>
      <c r="Q252" s="40"/>
      <c r="R252" s="40"/>
      <c r="S252" s="40" t="s">
        <v>777</v>
      </c>
      <c r="T252" s="40" t="s">
        <v>12</v>
      </c>
      <c r="U252" s="251">
        <v>374400000</v>
      </c>
      <c r="V252" s="33" t="s">
        <v>43</v>
      </c>
      <c r="W252" s="127"/>
      <c r="X252" s="206" t="str">
        <f t="shared" si="80"/>
        <v>4.13.02</v>
      </c>
      <c r="Y252" s="207" t="str">
        <f t="shared" si="83"/>
        <v>JEMBATAN</v>
      </c>
      <c r="Z252" s="207">
        <f t="shared" si="84"/>
        <v>50</v>
      </c>
      <c r="AA252" s="233">
        <f t="shared" si="86"/>
        <v>7487999.7999999998</v>
      </c>
      <c r="AB252" s="208">
        <f t="shared" si="87"/>
        <v>13</v>
      </c>
      <c r="AC252" s="233">
        <f t="shared" si="88"/>
        <v>97343997.399999991</v>
      </c>
      <c r="AD252" s="233">
        <f t="shared" si="89"/>
        <v>7487999.7999999998</v>
      </c>
      <c r="AE252" s="233">
        <f t="shared" si="90"/>
        <v>7487999.7999999998</v>
      </c>
      <c r="AF252" s="233">
        <f t="shared" si="91"/>
        <v>7487999.7999999998</v>
      </c>
      <c r="AG252" s="233">
        <f t="shared" si="92"/>
        <v>7487999.7999999998</v>
      </c>
      <c r="AH252" s="238">
        <f t="shared" si="93"/>
        <v>7487999.7999999998</v>
      </c>
      <c r="AI252" s="238">
        <f t="shared" si="94"/>
        <v>134783996.39999998</v>
      </c>
      <c r="AJ252" s="261">
        <f t="shared" si="95"/>
        <v>2000</v>
      </c>
      <c r="AK252" s="233">
        <f t="shared" si="96"/>
        <v>239616003.60000002</v>
      </c>
    </row>
    <row r="253" spans="1:37" s="116" customFormat="1" ht="35.25" hidden="1" customHeight="1" x14ac:dyDescent="0.2">
      <c r="B253" s="116" t="e">
        <f t="shared" si="82"/>
        <v>#N/A</v>
      </c>
      <c r="F253" s="218" t="str">
        <f t="shared" si="85"/>
        <v>4.13.02</v>
      </c>
      <c r="G253" s="53"/>
      <c r="H253" s="67" t="s">
        <v>764</v>
      </c>
      <c r="I253" s="33" t="s">
        <v>3824</v>
      </c>
      <c r="J253" s="63"/>
      <c r="K253" s="33" t="s">
        <v>736</v>
      </c>
      <c r="L253" s="360" t="s">
        <v>762</v>
      </c>
      <c r="M253" s="40">
        <v>6</v>
      </c>
      <c r="N253" s="360">
        <v>72</v>
      </c>
      <c r="O253" s="72" t="s">
        <v>785</v>
      </c>
      <c r="P253" s="33">
        <v>1990</v>
      </c>
      <c r="Q253" s="40"/>
      <c r="R253" s="40"/>
      <c r="S253" s="40" t="s">
        <v>782</v>
      </c>
      <c r="T253" s="40" t="s">
        <v>12</v>
      </c>
      <c r="U253" s="251">
        <v>388800000</v>
      </c>
      <c r="V253" s="33" t="s">
        <v>43</v>
      </c>
      <c r="W253" s="127"/>
      <c r="X253" s="206" t="str">
        <f t="shared" si="80"/>
        <v>4.13.02</v>
      </c>
      <c r="Y253" s="207" t="str">
        <f t="shared" si="83"/>
        <v>JEMBATAN</v>
      </c>
      <c r="Z253" s="207">
        <f t="shared" si="84"/>
        <v>50</v>
      </c>
      <c r="AA253" s="233">
        <f t="shared" si="86"/>
        <v>7775999.7999999998</v>
      </c>
      <c r="AB253" s="208">
        <f t="shared" si="87"/>
        <v>23</v>
      </c>
      <c r="AC253" s="233">
        <f t="shared" si="88"/>
        <v>178847995.40000001</v>
      </c>
      <c r="AD253" s="233">
        <f t="shared" si="89"/>
        <v>7775999.7999999998</v>
      </c>
      <c r="AE253" s="233">
        <f t="shared" si="90"/>
        <v>7775999.7999999998</v>
      </c>
      <c r="AF253" s="233">
        <f t="shared" si="91"/>
        <v>7775999.7999999998</v>
      </c>
      <c r="AG253" s="233">
        <f t="shared" si="92"/>
        <v>7775999.7999999998</v>
      </c>
      <c r="AH253" s="238">
        <f t="shared" si="93"/>
        <v>7775999.7999999998</v>
      </c>
      <c r="AI253" s="238">
        <f t="shared" si="94"/>
        <v>217727994.40000007</v>
      </c>
      <c r="AJ253" s="261">
        <f t="shared" si="95"/>
        <v>1990</v>
      </c>
      <c r="AK253" s="233">
        <f t="shared" si="96"/>
        <v>171072005.59999993</v>
      </c>
    </row>
    <row r="254" spans="1:37" s="116" customFormat="1" ht="35.25" hidden="1" customHeight="1" x14ac:dyDescent="0.2">
      <c r="B254" s="116" t="e">
        <f t="shared" si="82"/>
        <v>#N/A</v>
      </c>
      <c r="F254" s="218" t="str">
        <f t="shared" si="85"/>
        <v>4.13.02</v>
      </c>
      <c r="G254" s="53"/>
      <c r="H254" s="67" t="s">
        <v>764</v>
      </c>
      <c r="I254" s="33" t="s">
        <v>3824</v>
      </c>
      <c r="J254" s="63"/>
      <c r="K254" s="33" t="s">
        <v>736</v>
      </c>
      <c r="L254" s="360" t="s">
        <v>775</v>
      </c>
      <c r="M254" s="40">
        <v>8</v>
      </c>
      <c r="N254" s="360">
        <v>64</v>
      </c>
      <c r="O254" s="72" t="s">
        <v>786</v>
      </c>
      <c r="P254" s="33">
        <v>1987</v>
      </c>
      <c r="Q254" s="40"/>
      <c r="R254" s="40"/>
      <c r="S254" s="40" t="s">
        <v>770</v>
      </c>
      <c r="T254" s="40" t="s">
        <v>12</v>
      </c>
      <c r="U254" s="251">
        <v>345600000</v>
      </c>
      <c r="V254" s="33" t="s">
        <v>43</v>
      </c>
      <c r="W254" s="127"/>
      <c r="X254" s="206" t="str">
        <f t="shared" si="80"/>
        <v>4.13.02</v>
      </c>
      <c r="Y254" s="207" t="str">
        <f t="shared" si="83"/>
        <v>JEMBATAN</v>
      </c>
      <c r="Z254" s="207">
        <f t="shared" si="84"/>
        <v>50</v>
      </c>
      <c r="AA254" s="233">
        <f t="shared" si="86"/>
        <v>6911999.7999999998</v>
      </c>
      <c r="AB254" s="208">
        <f t="shared" si="87"/>
        <v>26</v>
      </c>
      <c r="AC254" s="233">
        <f t="shared" si="88"/>
        <v>179711994.79999998</v>
      </c>
      <c r="AD254" s="233">
        <f t="shared" si="89"/>
        <v>6911999.7999999998</v>
      </c>
      <c r="AE254" s="233">
        <f t="shared" si="90"/>
        <v>6911999.7999999998</v>
      </c>
      <c r="AF254" s="233">
        <f t="shared" si="91"/>
        <v>6911999.7999999998</v>
      </c>
      <c r="AG254" s="233">
        <f t="shared" si="92"/>
        <v>6911999.7999999998</v>
      </c>
      <c r="AH254" s="238">
        <f t="shared" si="93"/>
        <v>6911999.7999999998</v>
      </c>
      <c r="AI254" s="238">
        <f t="shared" si="94"/>
        <v>214271993.80000004</v>
      </c>
      <c r="AJ254" s="261">
        <f t="shared" si="95"/>
        <v>1987</v>
      </c>
      <c r="AK254" s="233">
        <f t="shared" si="96"/>
        <v>131328006.19999996</v>
      </c>
    </row>
    <row r="255" spans="1:37" s="116" customFormat="1" ht="35.25" hidden="1" customHeight="1" x14ac:dyDescent="0.2">
      <c r="B255" s="116" t="e">
        <f t="shared" si="82"/>
        <v>#N/A</v>
      </c>
      <c r="F255" s="218" t="str">
        <f t="shared" si="85"/>
        <v>4.13.02</v>
      </c>
      <c r="G255" s="53"/>
      <c r="H255" s="67" t="s">
        <v>764</v>
      </c>
      <c r="I255" s="33" t="s">
        <v>3824</v>
      </c>
      <c r="J255" s="63"/>
      <c r="K255" s="33" t="s">
        <v>736</v>
      </c>
      <c r="L255" s="360" t="s">
        <v>766</v>
      </c>
      <c r="M255" s="40">
        <v>6</v>
      </c>
      <c r="N255" s="360">
        <v>90</v>
      </c>
      <c r="O255" s="72" t="s">
        <v>787</v>
      </c>
      <c r="P255" s="33">
        <v>1991</v>
      </c>
      <c r="Q255" s="40"/>
      <c r="R255" s="40"/>
      <c r="S255" s="40" t="s">
        <v>788</v>
      </c>
      <c r="T255" s="40" t="s">
        <v>12</v>
      </c>
      <c r="U255" s="251">
        <v>486000000</v>
      </c>
      <c r="V255" s="33" t="s">
        <v>43</v>
      </c>
      <c r="W255" s="127"/>
      <c r="X255" s="206" t="str">
        <f t="shared" si="80"/>
        <v>4.13.02</v>
      </c>
      <c r="Y255" s="207" t="str">
        <f t="shared" si="83"/>
        <v>JEMBATAN</v>
      </c>
      <c r="Z255" s="207">
        <f t="shared" si="84"/>
        <v>50</v>
      </c>
      <c r="AA255" s="233">
        <f t="shared" si="86"/>
        <v>9719999.8000000007</v>
      </c>
      <c r="AB255" s="208">
        <f t="shared" si="87"/>
        <v>22</v>
      </c>
      <c r="AC255" s="233">
        <f t="shared" si="88"/>
        <v>213839995.60000002</v>
      </c>
      <c r="AD255" s="233">
        <f t="shared" si="89"/>
        <v>9719999.8000000007</v>
      </c>
      <c r="AE255" s="233">
        <f t="shared" si="90"/>
        <v>9719999.8000000007</v>
      </c>
      <c r="AF255" s="233">
        <f t="shared" si="91"/>
        <v>9719999.8000000007</v>
      </c>
      <c r="AG255" s="233">
        <f t="shared" si="92"/>
        <v>9719999.8000000007</v>
      </c>
      <c r="AH255" s="238">
        <f t="shared" si="93"/>
        <v>9719999.8000000007</v>
      </c>
      <c r="AI255" s="238">
        <f t="shared" si="94"/>
        <v>262439994.60000008</v>
      </c>
      <c r="AJ255" s="261">
        <f t="shared" si="95"/>
        <v>1991</v>
      </c>
      <c r="AK255" s="233">
        <f t="shared" si="96"/>
        <v>223560005.39999992</v>
      </c>
    </row>
    <row r="256" spans="1:37" s="116" customFormat="1" ht="35.25" hidden="1" customHeight="1" x14ac:dyDescent="0.2">
      <c r="B256" s="116" t="e">
        <f t="shared" si="82"/>
        <v>#N/A</v>
      </c>
      <c r="F256" s="218" t="str">
        <f t="shared" si="85"/>
        <v>4.13.02</v>
      </c>
      <c r="G256" s="53"/>
      <c r="H256" s="67" t="s">
        <v>764</v>
      </c>
      <c r="I256" s="33" t="s">
        <v>3824</v>
      </c>
      <c r="J256" s="63"/>
      <c r="K256" s="33" t="s">
        <v>736</v>
      </c>
      <c r="L256" s="360" t="s">
        <v>775</v>
      </c>
      <c r="M256" s="40">
        <v>4</v>
      </c>
      <c r="N256" s="360">
        <v>32</v>
      </c>
      <c r="O256" s="72" t="s">
        <v>789</v>
      </c>
      <c r="P256" s="33">
        <v>2006</v>
      </c>
      <c r="Q256" s="40"/>
      <c r="R256" s="40"/>
      <c r="S256" s="40" t="s">
        <v>741</v>
      </c>
      <c r="T256" s="40" t="s">
        <v>12</v>
      </c>
      <c r="U256" s="251">
        <v>230400000</v>
      </c>
      <c r="V256" s="33" t="s">
        <v>43</v>
      </c>
      <c r="W256" s="127"/>
      <c r="X256" s="206" t="str">
        <f t="shared" si="80"/>
        <v>4.13.02</v>
      </c>
      <c r="Y256" s="207" t="str">
        <f t="shared" si="83"/>
        <v>JEMBATAN</v>
      </c>
      <c r="Z256" s="207">
        <f t="shared" si="84"/>
        <v>50</v>
      </c>
      <c r="AA256" s="233">
        <f t="shared" si="86"/>
        <v>4607999.8</v>
      </c>
      <c r="AB256" s="208">
        <f t="shared" si="87"/>
        <v>7</v>
      </c>
      <c r="AC256" s="233">
        <f t="shared" si="88"/>
        <v>32255998.599999998</v>
      </c>
      <c r="AD256" s="233">
        <f t="shared" si="89"/>
        <v>4607999.8</v>
      </c>
      <c r="AE256" s="233">
        <f t="shared" si="90"/>
        <v>4607999.8</v>
      </c>
      <c r="AF256" s="233">
        <f t="shared" si="91"/>
        <v>4607999.8</v>
      </c>
      <c r="AG256" s="233">
        <f t="shared" si="92"/>
        <v>4607999.8</v>
      </c>
      <c r="AH256" s="238">
        <f t="shared" si="93"/>
        <v>4607999.8</v>
      </c>
      <c r="AI256" s="238">
        <f t="shared" si="94"/>
        <v>55295997.599999987</v>
      </c>
      <c r="AJ256" s="261">
        <f t="shared" si="95"/>
        <v>2006</v>
      </c>
      <c r="AK256" s="233">
        <f t="shared" si="96"/>
        <v>175104002.40000001</v>
      </c>
    </row>
    <row r="257" spans="1:37" s="116" customFormat="1" ht="35.25" hidden="1" customHeight="1" x14ac:dyDescent="0.2">
      <c r="B257" s="116" t="e">
        <f t="shared" si="82"/>
        <v>#N/A</v>
      </c>
      <c r="F257" s="218" t="str">
        <f t="shared" si="85"/>
        <v>4.13.02</v>
      </c>
      <c r="G257" s="53"/>
      <c r="H257" s="67" t="s">
        <v>764</v>
      </c>
      <c r="I257" s="33" t="s">
        <v>3824</v>
      </c>
      <c r="J257" s="63"/>
      <c r="K257" s="33" t="s">
        <v>736</v>
      </c>
      <c r="L257" s="360" t="s">
        <v>751</v>
      </c>
      <c r="M257" s="40">
        <v>6</v>
      </c>
      <c r="N257" s="360">
        <v>60</v>
      </c>
      <c r="O257" s="72" t="s">
        <v>790</v>
      </c>
      <c r="P257" s="33">
        <v>1990</v>
      </c>
      <c r="Q257" s="40"/>
      <c r="R257" s="40"/>
      <c r="S257" s="40" t="s">
        <v>782</v>
      </c>
      <c r="T257" s="40" t="s">
        <v>12</v>
      </c>
      <c r="U257" s="251">
        <v>378000000</v>
      </c>
      <c r="V257" s="33" t="s">
        <v>43</v>
      </c>
      <c r="W257" s="127"/>
      <c r="X257" s="206" t="str">
        <f t="shared" si="80"/>
        <v>4.13.02</v>
      </c>
      <c r="Y257" s="207" t="str">
        <f t="shared" si="83"/>
        <v>JEMBATAN</v>
      </c>
      <c r="Z257" s="207">
        <f t="shared" si="84"/>
        <v>50</v>
      </c>
      <c r="AA257" s="233">
        <f t="shared" si="86"/>
        <v>7559999.7999999998</v>
      </c>
      <c r="AB257" s="208">
        <f t="shared" si="87"/>
        <v>23</v>
      </c>
      <c r="AC257" s="233">
        <f t="shared" si="88"/>
        <v>173879995.40000001</v>
      </c>
      <c r="AD257" s="233">
        <f t="shared" si="89"/>
        <v>7559999.7999999998</v>
      </c>
      <c r="AE257" s="233">
        <f t="shared" si="90"/>
        <v>7559999.7999999998</v>
      </c>
      <c r="AF257" s="233">
        <f t="shared" si="91"/>
        <v>7559999.7999999998</v>
      </c>
      <c r="AG257" s="233">
        <f t="shared" si="92"/>
        <v>7559999.7999999998</v>
      </c>
      <c r="AH257" s="238">
        <f t="shared" si="93"/>
        <v>7559999.7999999998</v>
      </c>
      <c r="AI257" s="238">
        <f t="shared" si="94"/>
        <v>211679994.40000007</v>
      </c>
      <c r="AJ257" s="261">
        <f t="shared" si="95"/>
        <v>1990</v>
      </c>
      <c r="AK257" s="233">
        <f t="shared" si="96"/>
        <v>166320005.59999993</v>
      </c>
    </row>
    <row r="258" spans="1:37" s="116" customFormat="1" ht="35.25" hidden="1" customHeight="1" x14ac:dyDescent="0.2">
      <c r="B258" s="116" t="e">
        <f t="shared" si="82"/>
        <v>#N/A</v>
      </c>
      <c r="F258" s="218" t="str">
        <f t="shared" si="85"/>
        <v>4.13.02</v>
      </c>
      <c r="G258" s="53"/>
      <c r="H258" s="67" t="s">
        <v>764</v>
      </c>
      <c r="I258" s="33" t="s">
        <v>3824</v>
      </c>
      <c r="J258" s="63"/>
      <c r="K258" s="33" t="s">
        <v>736</v>
      </c>
      <c r="L258" s="360" t="s">
        <v>751</v>
      </c>
      <c r="M258" s="40">
        <v>8</v>
      </c>
      <c r="N258" s="360">
        <v>80</v>
      </c>
      <c r="O258" s="72" t="s">
        <v>791</v>
      </c>
      <c r="P258" s="33">
        <v>1987</v>
      </c>
      <c r="Q258" s="40"/>
      <c r="R258" s="40"/>
      <c r="S258" s="40" t="s">
        <v>770</v>
      </c>
      <c r="T258" s="40" t="s">
        <v>12</v>
      </c>
      <c r="U258" s="251">
        <v>576000000</v>
      </c>
      <c r="V258" s="33" t="s">
        <v>43</v>
      </c>
      <c r="W258" s="127"/>
      <c r="X258" s="206" t="str">
        <f t="shared" si="80"/>
        <v>4.13.02</v>
      </c>
      <c r="Y258" s="207" t="str">
        <f t="shared" si="83"/>
        <v>JEMBATAN</v>
      </c>
      <c r="Z258" s="207">
        <f t="shared" si="84"/>
        <v>50</v>
      </c>
      <c r="AA258" s="233">
        <f t="shared" si="86"/>
        <v>11519999.800000001</v>
      </c>
      <c r="AB258" s="208">
        <f t="shared" si="87"/>
        <v>26</v>
      </c>
      <c r="AC258" s="233">
        <f t="shared" si="88"/>
        <v>299519994.80000001</v>
      </c>
      <c r="AD258" s="233">
        <f t="shared" si="89"/>
        <v>11519999.800000001</v>
      </c>
      <c r="AE258" s="233">
        <f t="shared" si="90"/>
        <v>11519999.800000001</v>
      </c>
      <c r="AF258" s="233">
        <f t="shared" si="91"/>
        <v>11519999.800000001</v>
      </c>
      <c r="AG258" s="233">
        <f t="shared" si="92"/>
        <v>11519999.800000001</v>
      </c>
      <c r="AH258" s="238">
        <f t="shared" si="93"/>
        <v>11519999.800000001</v>
      </c>
      <c r="AI258" s="238">
        <f t="shared" si="94"/>
        <v>357119993.80000007</v>
      </c>
      <c r="AJ258" s="261">
        <f t="shared" si="95"/>
        <v>1987</v>
      </c>
      <c r="AK258" s="233">
        <f t="shared" si="96"/>
        <v>218880006.19999993</v>
      </c>
    </row>
    <row r="259" spans="1:37" s="116" customFormat="1" ht="35.25" hidden="1" customHeight="1" x14ac:dyDescent="0.2">
      <c r="A259" s="400"/>
      <c r="B259" s="417" t="e">
        <f t="shared" si="82"/>
        <v>#N/A</v>
      </c>
      <c r="F259" s="218" t="str">
        <f t="shared" si="85"/>
        <v>4.13.02</v>
      </c>
      <c r="G259" s="53"/>
      <c r="H259" s="67" t="s">
        <v>764</v>
      </c>
      <c r="I259" s="33" t="s">
        <v>3824</v>
      </c>
      <c r="J259" s="63"/>
      <c r="K259" s="33" t="s">
        <v>736</v>
      </c>
      <c r="L259" s="360" t="s">
        <v>759</v>
      </c>
      <c r="M259" s="40">
        <v>10</v>
      </c>
      <c r="N259" s="360">
        <v>60</v>
      </c>
      <c r="O259" s="72" t="s">
        <v>792</v>
      </c>
      <c r="P259" s="33">
        <v>2006</v>
      </c>
      <c r="Q259" s="40"/>
      <c r="R259" s="40"/>
      <c r="S259" s="40" t="s">
        <v>741</v>
      </c>
      <c r="T259" s="40" t="s">
        <v>655</v>
      </c>
      <c r="U259" s="251">
        <v>432000000</v>
      </c>
      <c r="V259" s="33" t="s">
        <v>43</v>
      </c>
      <c r="W259" s="127"/>
      <c r="X259" s="206" t="str">
        <f t="shared" si="80"/>
        <v>4.13.02</v>
      </c>
      <c r="Y259" s="207" t="str">
        <f t="shared" si="83"/>
        <v>JEMBATAN</v>
      </c>
      <c r="Z259" s="207">
        <f t="shared" si="84"/>
        <v>50</v>
      </c>
      <c r="AA259" s="233">
        <f t="shared" si="86"/>
        <v>8639999.8000000007</v>
      </c>
      <c r="AB259" s="208">
        <f t="shared" si="87"/>
        <v>7</v>
      </c>
      <c r="AC259" s="233">
        <f t="shared" si="88"/>
        <v>60479998.600000009</v>
      </c>
      <c r="AD259" s="233">
        <f t="shared" si="89"/>
        <v>8639999.8000000007</v>
      </c>
      <c r="AE259" s="233">
        <f t="shared" si="90"/>
        <v>8639999.8000000007</v>
      </c>
      <c r="AF259" s="233">
        <f t="shared" si="91"/>
        <v>8639999.8000000007</v>
      </c>
      <c r="AG259" s="233">
        <f t="shared" si="92"/>
        <v>8639999.8000000007</v>
      </c>
      <c r="AH259" s="238">
        <f t="shared" si="93"/>
        <v>8639999.8000000007</v>
      </c>
      <c r="AI259" s="238">
        <f t="shared" si="94"/>
        <v>103679997.59999999</v>
      </c>
      <c r="AJ259" s="261">
        <f t="shared" si="95"/>
        <v>2006</v>
      </c>
      <c r="AK259" s="233">
        <f t="shared" si="96"/>
        <v>328320002.39999998</v>
      </c>
    </row>
    <row r="260" spans="1:37" s="116" customFormat="1" ht="35.25" hidden="1" customHeight="1" x14ac:dyDescent="0.2">
      <c r="B260" s="116" t="e">
        <f t="shared" si="82"/>
        <v>#N/A</v>
      </c>
      <c r="F260" s="218" t="str">
        <f t="shared" si="85"/>
        <v>4.13.02</v>
      </c>
      <c r="G260" s="53"/>
      <c r="H260" s="67" t="s">
        <v>764</v>
      </c>
      <c r="I260" s="33" t="s">
        <v>3824</v>
      </c>
      <c r="J260" s="63"/>
      <c r="K260" s="33" t="s">
        <v>736</v>
      </c>
      <c r="L260" s="360" t="s">
        <v>759</v>
      </c>
      <c r="M260" s="40">
        <v>6</v>
      </c>
      <c r="N260" s="360">
        <v>36</v>
      </c>
      <c r="O260" s="72" t="s">
        <v>793</v>
      </c>
      <c r="P260" s="33">
        <v>1992</v>
      </c>
      <c r="Q260" s="40"/>
      <c r="R260" s="40"/>
      <c r="S260" s="40" t="s">
        <v>794</v>
      </c>
      <c r="T260" s="40" t="s">
        <v>655</v>
      </c>
      <c r="U260" s="251">
        <v>226800000</v>
      </c>
      <c r="V260" s="33" t="s">
        <v>43</v>
      </c>
      <c r="W260" s="127"/>
      <c r="X260" s="206" t="str">
        <f t="shared" si="80"/>
        <v>4.13.02</v>
      </c>
      <c r="Y260" s="207" t="str">
        <f t="shared" si="83"/>
        <v>JEMBATAN</v>
      </c>
      <c r="Z260" s="207">
        <f t="shared" si="84"/>
        <v>50</v>
      </c>
      <c r="AA260" s="233">
        <f t="shared" si="86"/>
        <v>4535999.8</v>
      </c>
      <c r="AB260" s="208">
        <f t="shared" si="87"/>
        <v>21</v>
      </c>
      <c r="AC260" s="233">
        <f t="shared" si="88"/>
        <v>95255995.799999997</v>
      </c>
      <c r="AD260" s="233">
        <f t="shared" si="89"/>
        <v>4535999.8</v>
      </c>
      <c r="AE260" s="233">
        <f t="shared" si="90"/>
        <v>4535999.8</v>
      </c>
      <c r="AF260" s="233">
        <f t="shared" si="91"/>
        <v>4535999.8</v>
      </c>
      <c r="AG260" s="233">
        <f t="shared" si="92"/>
        <v>4535999.8</v>
      </c>
      <c r="AH260" s="238">
        <f t="shared" si="93"/>
        <v>4535999.8</v>
      </c>
      <c r="AI260" s="238">
        <f t="shared" si="94"/>
        <v>117935994.79999998</v>
      </c>
      <c r="AJ260" s="261">
        <f t="shared" si="95"/>
        <v>1992</v>
      </c>
      <c r="AK260" s="233">
        <f t="shared" si="96"/>
        <v>108864005.20000002</v>
      </c>
    </row>
    <row r="261" spans="1:37" s="116" customFormat="1" ht="35.25" hidden="1" customHeight="1" x14ac:dyDescent="0.2">
      <c r="B261" s="116" t="e">
        <f t="shared" si="82"/>
        <v>#N/A</v>
      </c>
      <c r="F261" s="218" t="str">
        <f t="shared" si="85"/>
        <v>4.13.02</v>
      </c>
      <c r="G261" s="53"/>
      <c r="H261" s="67" t="s">
        <v>764</v>
      </c>
      <c r="I261" s="33" t="s">
        <v>3824</v>
      </c>
      <c r="J261" s="63"/>
      <c r="K261" s="33" t="s">
        <v>736</v>
      </c>
      <c r="L261" s="360" t="s">
        <v>775</v>
      </c>
      <c r="M261" s="40">
        <v>6</v>
      </c>
      <c r="N261" s="360">
        <v>48</v>
      </c>
      <c r="O261" s="72" t="s">
        <v>795</v>
      </c>
      <c r="P261" s="33">
        <v>2006</v>
      </c>
      <c r="Q261" s="40"/>
      <c r="R261" s="40"/>
      <c r="S261" s="40" t="s">
        <v>741</v>
      </c>
      <c r="T261" s="40" t="s">
        <v>12</v>
      </c>
      <c r="U261" s="251">
        <v>324000000</v>
      </c>
      <c r="V261" s="33" t="s">
        <v>43</v>
      </c>
      <c r="W261" s="127"/>
      <c r="X261" s="206" t="str">
        <f t="shared" ref="X261:X324" si="97">F261</f>
        <v>4.13.02</v>
      </c>
      <c r="Y261" s="207" t="str">
        <f t="shared" si="83"/>
        <v>JEMBATAN</v>
      </c>
      <c r="Z261" s="207">
        <f t="shared" si="84"/>
        <v>50</v>
      </c>
      <c r="AA261" s="233">
        <f t="shared" si="86"/>
        <v>6479999.7999999998</v>
      </c>
      <c r="AB261" s="208">
        <f t="shared" si="87"/>
        <v>7</v>
      </c>
      <c r="AC261" s="233">
        <f t="shared" si="88"/>
        <v>45359998.600000001</v>
      </c>
      <c r="AD261" s="233">
        <f t="shared" si="89"/>
        <v>6479999.7999999998</v>
      </c>
      <c r="AE261" s="233">
        <f t="shared" si="90"/>
        <v>6479999.7999999998</v>
      </c>
      <c r="AF261" s="233">
        <f t="shared" si="91"/>
        <v>6479999.7999999998</v>
      </c>
      <c r="AG261" s="233">
        <f t="shared" si="92"/>
        <v>6479999.7999999998</v>
      </c>
      <c r="AH261" s="238">
        <f t="shared" si="93"/>
        <v>6479999.7999999998</v>
      </c>
      <c r="AI261" s="238">
        <f t="shared" si="94"/>
        <v>77759997.599999994</v>
      </c>
      <c r="AJ261" s="261">
        <f t="shared" si="95"/>
        <v>2006</v>
      </c>
      <c r="AK261" s="233">
        <f t="shared" si="96"/>
        <v>246240002.40000001</v>
      </c>
    </row>
    <row r="262" spans="1:37" s="116" customFormat="1" ht="35.25" hidden="1" customHeight="1" x14ac:dyDescent="0.2">
      <c r="B262" s="116" t="e">
        <f t="shared" si="82"/>
        <v>#N/A</v>
      </c>
      <c r="F262" s="218" t="str">
        <f t="shared" si="85"/>
        <v>4.13.02</v>
      </c>
      <c r="G262" s="53"/>
      <c r="H262" s="67" t="s">
        <v>764</v>
      </c>
      <c r="I262" s="33" t="s">
        <v>3824</v>
      </c>
      <c r="J262" s="63"/>
      <c r="K262" s="33" t="s">
        <v>736</v>
      </c>
      <c r="L262" s="360" t="s">
        <v>796</v>
      </c>
      <c r="M262" s="40">
        <v>6</v>
      </c>
      <c r="N262" s="360">
        <v>24</v>
      </c>
      <c r="O262" s="72" t="s">
        <v>797</v>
      </c>
      <c r="P262" s="33">
        <v>2004</v>
      </c>
      <c r="Q262" s="40"/>
      <c r="R262" s="40"/>
      <c r="S262" s="40" t="s">
        <v>738</v>
      </c>
      <c r="T262" s="40" t="s">
        <v>12</v>
      </c>
      <c r="U262" s="251">
        <v>140400000</v>
      </c>
      <c r="V262" s="33" t="s">
        <v>43</v>
      </c>
      <c r="W262" s="127"/>
      <c r="X262" s="206" t="str">
        <f t="shared" si="97"/>
        <v>4.13.02</v>
      </c>
      <c r="Y262" s="207" t="str">
        <f t="shared" si="83"/>
        <v>JEMBATAN</v>
      </c>
      <c r="Z262" s="207">
        <f t="shared" si="84"/>
        <v>50</v>
      </c>
      <c r="AA262" s="233">
        <f t="shared" si="86"/>
        <v>2807999.8</v>
      </c>
      <c r="AB262" s="208">
        <f t="shared" si="87"/>
        <v>9</v>
      </c>
      <c r="AC262" s="233">
        <f t="shared" si="88"/>
        <v>25271998.199999999</v>
      </c>
      <c r="AD262" s="233">
        <f t="shared" si="89"/>
        <v>2807999.8</v>
      </c>
      <c r="AE262" s="233">
        <f t="shared" si="90"/>
        <v>2807999.8</v>
      </c>
      <c r="AF262" s="233">
        <f t="shared" si="91"/>
        <v>2807999.8</v>
      </c>
      <c r="AG262" s="233">
        <f t="shared" si="92"/>
        <v>2807999.8</v>
      </c>
      <c r="AH262" s="238">
        <f t="shared" si="93"/>
        <v>2807999.8</v>
      </c>
      <c r="AI262" s="238">
        <f t="shared" si="94"/>
        <v>39311997.199999996</v>
      </c>
      <c r="AJ262" s="261">
        <f t="shared" si="95"/>
        <v>2004</v>
      </c>
      <c r="AK262" s="233">
        <f t="shared" si="96"/>
        <v>101088002.80000001</v>
      </c>
    </row>
    <row r="263" spans="1:37" s="116" customFormat="1" ht="35.25" hidden="1" customHeight="1" x14ac:dyDescent="0.2">
      <c r="B263" s="116" t="e">
        <f t="shared" si="82"/>
        <v>#N/A</v>
      </c>
      <c r="F263" s="218" t="str">
        <f t="shared" si="85"/>
        <v>4.13.02</v>
      </c>
      <c r="G263" s="53"/>
      <c r="H263" s="67" t="s">
        <v>764</v>
      </c>
      <c r="I263" s="33" t="s">
        <v>3824</v>
      </c>
      <c r="J263" s="63"/>
      <c r="K263" s="33" t="s">
        <v>119</v>
      </c>
      <c r="L263" s="360" t="s">
        <v>762</v>
      </c>
      <c r="M263" s="40">
        <v>5</v>
      </c>
      <c r="N263" s="360">
        <v>60</v>
      </c>
      <c r="O263" s="72" t="s">
        <v>798</v>
      </c>
      <c r="P263" s="33">
        <v>1982</v>
      </c>
      <c r="Q263" s="40"/>
      <c r="R263" s="40"/>
      <c r="S263" s="40" t="s">
        <v>799</v>
      </c>
      <c r="T263" s="40" t="s">
        <v>12</v>
      </c>
      <c r="U263" s="251">
        <v>396000000</v>
      </c>
      <c r="V263" s="33" t="s">
        <v>43</v>
      </c>
      <c r="W263" s="127"/>
      <c r="X263" s="206" t="str">
        <f t="shared" si="97"/>
        <v>4.13.02</v>
      </c>
      <c r="Y263" s="207" t="str">
        <f t="shared" si="83"/>
        <v>JEMBATAN</v>
      </c>
      <c r="Z263" s="207">
        <f t="shared" si="84"/>
        <v>50</v>
      </c>
      <c r="AA263" s="233">
        <f t="shared" si="86"/>
        <v>7919999.7999999998</v>
      </c>
      <c r="AB263" s="208">
        <f t="shared" si="87"/>
        <v>31</v>
      </c>
      <c r="AC263" s="233">
        <f t="shared" si="88"/>
        <v>245519993.79999998</v>
      </c>
      <c r="AD263" s="233">
        <f t="shared" si="89"/>
        <v>7919999.7999999998</v>
      </c>
      <c r="AE263" s="233">
        <f t="shared" si="90"/>
        <v>7919999.7999999998</v>
      </c>
      <c r="AF263" s="233">
        <f t="shared" si="91"/>
        <v>7919999.7999999998</v>
      </c>
      <c r="AG263" s="233">
        <f t="shared" si="92"/>
        <v>7919999.7999999998</v>
      </c>
      <c r="AH263" s="238">
        <f t="shared" si="93"/>
        <v>7919999.7999999998</v>
      </c>
      <c r="AI263" s="238">
        <f t="shared" si="94"/>
        <v>285119992.80000001</v>
      </c>
      <c r="AJ263" s="261">
        <f t="shared" si="95"/>
        <v>1982</v>
      </c>
      <c r="AK263" s="233">
        <f t="shared" si="96"/>
        <v>110880007.19999999</v>
      </c>
    </row>
    <row r="264" spans="1:37" s="116" customFormat="1" ht="35.25" hidden="1" customHeight="1" x14ac:dyDescent="0.2">
      <c r="B264" s="116" t="e">
        <f t="shared" si="82"/>
        <v>#N/A</v>
      </c>
      <c r="F264" s="218" t="str">
        <f t="shared" si="85"/>
        <v>4.13.02</v>
      </c>
      <c r="G264" s="53"/>
      <c r="H264" s="67" t="s">
        <v>764</v>
      </c>
      <c r="I264" s="33" t="s">
        <v>3824</v>
      </c>
      <c r="J264" s="63"/>
      <c r="K264" s="33" t="s">
        <v>736</v>
      </c>
      <c r="L264" s="360" t="s">
        <v>796</v>
      </c>
      <c r="M264" s="40">
        <v>6</v>
      </c>
      <c r="N264" s="360">
        <v>24</v>
      </c>
      <c r="O264" s="72" t="s">
        <v>800</v>
      </c>
      <c r="P264" s="33">
        <v>2004</v>
      </c>
      <c r="Q264" s="40"/>
      <c r="R264" s="40"/>
      <c r="S264" s="40" t="s">
        <v>738</v>
      </c>
      <c r="T264" s="40" t="s">
        <v>12</v>
      </c>
      <c r="U264" s="251">
        <v>140400000</v>
      </c>
      <c r="V264" s="33" t="s">
        <v>43</v>
      </c>
      <c r="W264" s="127"/>
      <c r="X264" s="206" t="str">
        <f t="shared" si="97"/>
        <v>4.13.02</v>
      </c>
      <c r="Y264" s="207" t="str">
        <f t="shared" si="83"/>
        <v>JEMBATAN</v>
      </c>
      <c r="Z264" s="207">
        <f t="shared" si="84"/>
        <v>50</v>
      </c>
      <c r="AA264" s="233">
        <f t="shared" si="86"/>
        <v>2807999.8</v>
      </c>
      <c r="AB264" s="208">
        <f t="shared" si="87"/>
        <v>9</v>
      </c>
      <c r="AC264" s="233">
        <f t="shared" si="88"/>
        <v>25271998.199999999</v>
      </c>
      <c r="AD264" s="233">
        <f t="shared" si="89"/>
        <v>2807999.8</v>
      </c>
      <c r="AE264" s="233">
        <f t="shared" si="90"/>
        <v>2807999.8</v>
      </c>
      <c r="AF264" s="233">
        <f t="shared" si="91"/>
        <v>2807999.8</v>
      </c>
      <c r="AG264" s="233">
        <f t="shared" si="92"/>
        <v>2807999.8</v>
      </c>
      <c r="AH264" s="238">
        <f t="shared" si="93"/>
        <v>2807999.8</v>
      </c>
      <c r="AI264" s="238">
        <f t="shared" si="94"/>
        <v>39311997.199999996</v>
      </c>
      <c r="AJ264" s="261">
        <f t="shared" si="95"/>
        <v>2004</v>
      </c>
      <c r="AK264" s="233">
        <f t="shared" si="96"/>
        <v>101088002.80000001</v>
      </c>
    </row>
    <row r="265" spans="1:37" s="116" customFormat="1" ht="35.25" hidden="1" customHeight="1" x14ac:dyDescent="0.2">
      <c r="B265" s="116" t="e">
        <f t="shared" si="82"/>
        <v>#N/A</v>
      </c>
      <c r="F265" s="218" t="str">
        <f t="shared" si="85"/>
        <v>4.13.02</v>
      </c>
      <c r="G265" s="53"/>
      <c r="H265" s="67" t="s">
        <v>764</v>
      </c>
      <c r="I265" s="33" t="s">
        <v>3824</v>
      </c>
      <c r="J265" s="63"/>
      <c r="K265" s="33" t="s">
        <v>736</v>
      </c>
      <c r="L265" s="360" t="s">
        <v>513</v>
      </c>
      <c r="M265" s="40">
        <v>6</v>
      </c>
      <c r="N265" s="360">
        <v>96</v>
      </c>
      <c r="O265" s="72" t="s">
        <v>801</v>
      </c>
      <c r="P265" s="33">
        <v>2006</v>
      </c>
      <c r="Q265" s="40"/>
      <c r="R265" s="40"/>
      <c r="S265" s="40" t="s">
        <v>741</v>
      </c>
      <c r="T265" s="40" t="s">
        <v>12</v>
      </c>
      <c r="U265" s="251">
        <v>720000000</v>
      </c>
      <c r="V265" s="33" t="s">
        <v>43</v>
      </c>
      <c r="W265" s="127"/>
      <c r="X265" s="206" t="str">
        <f t="shared" si="97"/>
        <v>4.13.02</v>
      </c>
      <c r="Y265" s="207" t="str">
        <f t="shared" si="83"/>
        <v>JEMBATAN</v>
      </c>
      <c r="Z265" s="207">
        <f t="shared" si="84"/>
        <v>50</v>
      </c>
      <c r="AA265" s="233">
        <f t="shared" si="86"/>
        <v>14399999.800000001</v>
      </c>
      <c r="AB265" s="208">
        <f t="shared" si="87"/>
        <v>7</v>
      </c>
      <c r="AC265" s="233">
        <f t="shared" si="88"/>
        <v>100799998.60000001</v>
      </c>
      <c r="AD265" s="233">
        <f t="shared" si="89"/>
        <v>14399999.800000001</v>
      </c>
      <c r="AE265" s="233">
        <f t="shared" si="90"/>
        <v>14399999.800000001</v>
      </c>
      <c r="AF265" s="233">
        <f t="shared" si="91"/>
        <v>14399999.800000001</v>
      </c>
      <c r="AG265" s="233">
        <f t="shared" si="92"/>
        <v>14399999.800000001</v>
      </c>
      <c r="AH265" s="238">
        <f t="shared" si="93"/>
        <v>14399999.800000001</v>
      </c>
      <c r="AI265" s="238">
        <f t="shared" si="94"/>
        <v>172799997.60000002</v>
      </c>
      <c r="AJ265" s="261">
        <f t="shared" si="95"/>
        <v>2006</v>
      </c>
      <c r="AK265" s="233">
        <f t="shared" si="96"/>
        <v>547200002.39999998</v>
      </c>
    </row>
    <row r="266" spans="1:37" s="116" customFormat="1" ht="35.25" hidden="1" customHeight="1" x14ac:dyDescent="0.2">
      <c r="B266" s="116" t="e">
        <f t="shared" si="82"/>
        <v>#N/A</v>
      </c>
      <c r="F266" s="218" t="str">
        <f t="shared" si="85"/>
        <v>4.13.02</v>
      </c>
      <c r="G266" s="53"/>
      <c r="H266" s="67" t="s">
        <v>764</v>
      </c>
      <c r="I266" s="33" t="s">
        <v>3824</v>
      </c>
      <c r="J266" s="63"/>
      <c r="K266" s="33" t="s">
        <v>736</v>
      </c>
      <c r="L266" s="360" t="s">
        <v>775</v>
      </c>
      <c r="M266" s="40">
        <v>6</v>
      </c>
      <c r="N266" s="360">
        <v>48</v>
      </c>
      <c r="O266" s="72" t="s">
        <v>802</v>
      </c>
      <c r="P266" s="33">
        <v>2005</v>
      </c>
      <c r="Q266" s="40"/>
      <c r="R266" s="40"/>
      <c r="S266" s="40" t="s">
        <v>758</v>
      </c>
      <c r="T266" s="40" t="s">
        <v>12</v>
      </c>
      <c r="U266" s="251">
        <v>384000000</v>
      </c>
      <c r="V266" s="33" t="s">
        <v>43</v>
      </c>
      <c r="W266" s="127"/>
      <c r="X266" s="206" t="str">
        <f t="shared" si="97"/>
        <v>4.13.02</v>
      </c>
      <c r="Y266" s="207" t="str">
        <f t="shared" si="83"/>
        <v>JEMBATAN</v>
      </c>
      <c r="Z266" s="207">
        <f t="shared" si="84"/>
        <v>50</v>
      </c>
      <c r="AA266" s="233">
        <f t="shared" si="86"/>
        <v>7679999.7999999998</v>
      </c>
      <c r="AB266" s="208">
        <f t="shared" si="87"/>
        <v>8</v>
      </c>
      <c r="AC266" s="233">
        <f t="shared" si="88"/>
        <v>61439998.399999999</v>
      </c>
      <c r="AD266" s="233">
        <f t="shared" si="89"/>
        <v>7679999.7999999998</v>
      </c>
      <c r="AE266" s="233">
        <f t="shared" si="90"/>
        <v>7679999.7999999998</v>
      </c>
      <c r="AF266" s="233">
        <f t="shared" si="91"/>
        <v>7679999.7999999998</v>
      </c>
      <c r="AG266" s="233">
        <f t="shared" si="92"/>
        <v>7679999.7999999998</v>
      </c>
      <c r="AH266" s="238">
        <f t="shared" si="93"/>
        <v>7679999.7999999998</v>
      </c>
      <c r="AI266" s="238">
        <f t="shared" si="94"/>
        <v>99839997.399999991</v>
      </c>
      <c r="AJ266" s="261">
        <f t="shared" si="95"/>
        <v>2005</v>
      </c>
      <c r="AK266" s="233">
        <f t="shared" si="96"/>
        <v>284160002.60000002</v>
      </c>
    </row>
    <row r="267" spans="1:37" s="116" customFormat="1" ht="35.25" hidden="1" customHeight="1" x14ac:dyDescent="0.2">
      <c r="B267" s="116" t="e">
        <f t="shared" si="82"/>
        <v>#N/A</v>
      </c>
      <c r="F267" s="218" t="str">
        <f t="shared" si="85"/>
        <v>4.13.02</v>
      </c>
      <c r="G267" s="53"/>
      <c r="H267" s="67" t="s">
        <v>764</v>
      </c>
      <c r="I267" s="33" t="s">
        <v>3824</v>
      </c>
      <c r="J267" s="63"/>
      <c r="K267" s="33" t="s">
        <v>736</v>
      </c>
      <c r="L267" s="360" t="s">
        <v>796</v>
      </c>
      <c r="M267" s="40">
        <v>6</v>
      </c>
      <c r="N267" s="360">
        <v>24</v>
      </c>
      <c r="O267" s="72" t="s">
        <v>803</v>
      </c>
      <c r="P267" s="33">
        <v>2004</v>
      </c>
      <c r="Q267" s="40"/>
      <c r="R267" s="40"/>
      <c r="S267" s="40" t="s">
        <v>738</v>
      </c>
      <c r="T267" s="40" t="s">
        <v>12</v>
      </c>
      <c r="U267" s="251">
        <v>140400000</v>
      </c>
      <c r="V267" s="33" t="s">
        <v>43</v>
      </c>
      <c r="W267" s="127"/>
      <c r="X267" s="206" t="str">
        <f t="shared" si="97"/>
        <v>4.13.02</v>
      </c>
      <c r="Y267" s="207" t="str">
        <f t="shared" si="83"/>
        <v>JEMBATAN</v>
      </c>
      <c r="Z267" s="207">
        <f t="shared" si="84"/>
        <v>50</v>
      </c>
      <c r="AA267" s="233">
        <f t="shared" si="86"/>
        <v>2807999.8</v>
      </c>
      <c r="AB267" s="208">
        <f t="shared" si="87"/>
        <v>9</v>
      </c>
      <c r="AC267" s="233">
        <f t="shared" si="88"/>
        <v>25271998.199999999</v>
      </c>
      <c r="AD267" s="233">
        <f t="shared" si="89"/>
        <v>2807999.8</v>
      </c>
      <c r="AE267" s="233">
        <f t="shared" si="90"/>
        <v>2807999.8</v>
      </c>
      <c r="AF267" s="233">
        <f t="shared" si="91"/>
        <v>2807999.8</v>
      </c>
      <c r="AG267" s="233">
        <f t="shared" si="92"/>
        <v>2807999.8</v>
      </c>
      <c r="AH267" s="238">
        <f t="shared" si="93"/>
        <v>2807999.8</v>
      </c>
      <c r="AI267" s="238">
        <f t="shared" si="94"/>
        <v>39311997.199999996</v>
      </c>
      <c r="AJ267" s="261">
        <f t="shared" si="95"/>
        <v>2004</v>
      </c>
      <c r="AK267" s="233">
        <f t="shared" si="96"/>
        <v>101088002.80000001</v>
      </c>
    </row>
    <row r="268" spans="1:37" s="116" customFormat="1" ht="35.25" hidden="1" customHeight="1" x14ac:dyDescent="0.2">
      <c r="B268" s="116" t="e">
        <f t="shared" si="82"/>
        <v>#N/A</v>
      </c>
      <c r="F268" s="218" t="str">
        <f t="shared" si="85"/>
        <v>4.13.02</v>
      </c>
      <c r="G268" s="53"/>
      <c r="H268" s="67" t="s">
        <v>764</v>
      </c>
      <c r="I268" s="33" t="s">
        <v>3824</v>
      </c>
      <c r="J268" s="63"/>
      <c r="K268" s="33" t="s">
        <v>736</v>
      </c>
      <c r="L268" s="360" t="s">
        <v>759</v>
      </c>
      <c r="M268" s="40">
        <v>6</v>
      </c>
      <c r="N268" s="360">
        <v>36</v>
      </c>
      <c r="O268" s="72" t="s">
        <v>804</v>
      </c>
      <c r="P268" s="33">
        <v>1996</v>
      </c>
      <c r="Q268" s="40"/>
      <c r="R268" s="40"/>
      <c r="S268" s="40" t="s">
        <v>747</v>
      </c>
      <c r="T268" s="40" t="s">
        <v>655</v>
      </c>
      <c r="U268" s="251">
        <v>135000000</v>
      </c>
      <c r="V268" s="33" t="s">
        <v>43</v>
      </c>
      <c r="W268" s="127"/>
      <c r="X268" s="206" t="str">
        <f t="shared" si="97"/>
        <v>4.13.02</v>
      </c>
      <c r="Y268" s="207" t="str">
        <f t="shared" si="83"/>
        <v>JEMBATAN</v>
      </c>
      <c r="Z268" s="207">
        <f t="shared" si="84"/>
        <v>50</v>
      </c>
      <c r="AA268" s="233">
        <f t="shared" si="86"/>
        <v>2699999.8</v>
      </c>
      <c r="AB268" s="208">
        <f t="shared" si="87"/>
        <v>17</v>
      </c>
      <c r="AC268" s="233">
        <f t="shared" si="88"/>
        <v>45899996.599999994</v>
      </c>
      <c r="AD268" s="233">
        <f t="shared" si="89"/>
        <v>2699999.8</v>
      </c>
      <c r="AE268" s="233">
        <f t="shared" si="90"/>
        <v>2699999.8</v>
      </c>
      <c r="AF268" s="233">
        <f t="shared" si="91"/>
        <v>2699999.8</v>
      </c>
      <c r="AG268" s="233">
        <f t="shared" si="92"/>
        <v>2699999.8</v>
      </c>
      <c r="AH268" s="238">
        <f t="shared" si="93"/>
        <v>2699999.8</v>
      </c>
      <c r="AI268" s="238">
        <f t="shared" si="94"/>
        <v>59399995.599999979</v>
      </c>
      <c r="AJ268" s="261">
        <f t="shared" si="95"/>
        <v>1996</v>
      </c>
      <c r="AK268" s="233">
        <f t="shared" si="96"/>
        <v>75600004.400000021</v>
      </c>
    </row>
    <row r="269" spans="1:37" s="116" customFormat="1" ht="35.25" hidden="1" customHeight="1" x14ac:dyDescent="0.2">
      <c r="B269" s="116" t="e">
        <f t="shared" si="82"/>
        <v>#N/A</v>
      </c>
      <c r="F269" s="218" t="str">
        <f t="shared" si="85"/>
        <v>4.13.02</v>
      </c>
      <c r="G269" s="53"/>
      <c r="H269" s="67" t="s">
        <v>764</v>
      </c>
      <c r="I269" s="33" t="s">
        <v>3824</v>
      </c>
      <c r="J269" s="63"/>
      <c r="K269" s="33" t="s">
        <v>736</v>
      </c>
      <c r="L269" s="360" t="s">
        <v>759</v>
      </c>
      <c r="M269" s="40">
        <v>6</v>
      </c>
      <c r="N269" s="360">
        <v>36</v>
      </c>
      <c r="O269" s="72" t="s">
        <v>805</v>
      </c>
      <c r="P269" s="33">
        <v>1995</v>
      </c>
      <c r="Q269" s="40"/>
      <c r="R269" s="40"/>
      <c r="S269" s="40" t="s">
        <v>806</v>
      </c>
      <c r="T269" s="40" t="s">
        <v>655</v>
      </c>
      <c r="U269" s="251">
        <v>252000000</v>
      </c>
      <c r="V269" s="33" t="s">
        <v>43</v>
      </c>
      <c r="W269" s="127"/>
      <c r="X269" s="206" t="str">
        <f t="shared" si="97"/>
        <v>4.13.02</v>
      </c>
      <c r="Y269" s="207" t="str">
        <f t="shared" si="83"/>
        <v>JEMBATAN</v>
      </c>
      <c r="Z269" s="207">
        <f t="shared" si="84"/>
        <v>50</v>
      </c>
      <c r="AA269" s="233">
        <f t="shared" si="86"/>
        <v>5039999.8</v>
      </c>
      <c r="AB269" s="208">
        <f t="shared" si="87"/>
        <v>18</v>
      </c>
      <c r="AC269" s="233">
        <f t="shared" si="88"/>
        <v>90719996.399999991</v>
      </c>
      <c r="AD269" s="233">
        <f t="shared" si="89"/>
        <v>5039999.8</v>
      </c>
      <c r="AE269" s="233">
        <f t="shared" si="90"/>
        <v>5039999.8</v>
      </c>
      <c r="AF269" s="233">
        <f t="shared" si="91"/>
        <v>5039999.8</v>
      </c>
      <c r="AG269" s="233">
        <f t="shared" si="92"/>
        <v>5039999.8</v>
      </c>
      <c r="AH269" s="238">
        <f t="shared" si="93"/>
        <v>5039999.8</v>
      </c>
      <c r="AI269" s="238">
        <f t="shared" si="94"/>
        <v>115919995.39999998</v>
      </c>
      <c r="AJ269" s="261">
        <f t="shared" si="95"/>
        <v>1995</v>
      </c>
      <c r="AK269" s="233">
        <f t="shared" si="96"/>
        <v>136080004.60000002</v>
      </c>
    </row>
    <row r="270" spans="1:37" s="116" customFormat="1" ht="35.25" hidden="1" customHeight="1" x14ac:dyDescent="0.2">
      <c r="B270" s="116" t="e">
        <f t="shared" si="82"/>
        <v>#N/A</v>
      </c>
      <c r="F270" s="218" t="str">
        <f t="shared" si="85"/>
        <v>4.13.02</v>
      </c>
      <c r="G270" s="53"/>
      <c r="H270" s="67" t="s">
        <v>764</v>
      </c>
      <c r="I270" s="33" t="s">
        <v>3824</v>
      </c>
      <c r="J270" s="63"/>
      <c r="K270" s="33" t="s">
        <v>736</v>
      </c>
      <c r="L270" s="360" t="s">
        <v>775</v>
      </c>
      <c r="M270" s="40">
        <v>6</v>
      </c>
      <c r="N270" s="360">
        <v>48</v>
      </c>
      <c r="O270" s="72" t="s">
        <v>807</v>
      </c>
      <c r="P270" s="33">
        <v>1978</v>
      </c>
      <c r="Q270" s="40"/>
      <c r="R270" s="40"/>
      <c r="S270" s="40" t="s">
        <v>808</v>
      </c>
      <c r="T270" s="40" t="s">
        <v>655</v>
      </c>
      <c r="U270" s="251">
        <v>336000000</v>
      </c>
      <c r="V270" s="33" t="s">
        <v>43</v>
      </c>
      <c r="W270" s="127"/>
      <c r="X270" s="206" t="str">
        <f t="shared" si="97"/>
        <v>4.13.02</v>
      </c>
      <c r="Y270" s="207" t="str">
        <f t="shared" si="83"/>
        <v>JEMBATAN</v>
      </c>
      <c r="Z270" s="207">
        <f t="shared" si="84"/>
        <v>50</v>
      </c>
      <c r="AA270" s="233">
        <f t="shared" si="86"/>
        <v>6719999.7999999998</v>
      </c>
      <c r="AB270" s="208">
        <f t="shared" si="87"/>
        <v>35</v>
      </c>
      <c r="AC270" s="233">
        <f t="shared" si="88"/>
        <v>235199993</v>
      </c>
      <c r="AD270" s="233">
        <f t="shared" si="89"/>
        <v>6719999.7999999998</v>
      </c>
      <c r="AE270" s="233">
        <f t="shared" si="90"/>
        <v>6719999.7999999998</v>
      </c>
      <c r="AF270" s="233">
        <f t="shared" si="91"/>
        <v>6719999.7999999998</v>
      </c>
      <c r="AG270" s="233">
        <f t="shared" si="92"/>
        <v>6719999.7999999998</v>
      </c>
      <c r="AH270" s="238">
        <f t="shared" si="93"/>
        <v>6719999.7999999998</v>
      </c>
      <c r="AI270" s="238">
        <f t="shared" si="94"/>
        <v>268799992.00000006</v>
      </c>
      <c r="AJ270" s="261">
        <f t="shared" si="95"/>
        <v>1978</v>
      </c>
      <c r="AK270" s="233">
        <f t="shared" si="96"/>
        <v>67200007.99999994</v>
      </c>
    </row>
    <row r="271" spans="1:37" s="116" customFormat="1" ht="35.25" hidden="1" customHeight="1" x14ac:dyDescent="0.2">
      <c r="B271" s="116" t="e">
        <f t="shared" si="82"/>
        <v>#N/A</v>
      </c>
      <c r="F271" s="218" t="str">
        <f t="shared" si="85"/>
        <v>4.13.02</v>
      </c>
      <c r="G271" s="53"/>
      <c r="H271" s="67" t="s">
        <v>764</v>
      </c>
      <c r="I271" s="33" t="s">
        <v>3824</v>
      </c>
      <c r="J271" s="63"/>
      <c r="K271" s="33" t="s">
        <v>119</v>
      </c>
      <c r="L271" s="360" t="s">
        <v>751</v>
      </c>
      <c r="M271" s="40">
        <v>8</v>
      </c>
      <c r="N271" s="360">
        <v>80</v>
      </c>
      <c r="O271" s="72" t="s">
        <v>809</v>
      </c>
      <c r="P271" s="33">
        <v>1990</v>
      </c>
      <c r="Q271" s="40"/>
      <c r="R271" s="40"/>
      <c r="S271" s="40" t="s">
        <v>782</v>
      </c>
      <c r="T271" s="40" t="s">
        <v>12</v>
      </c>
      <c r="U271" s="251">
        <v>528000000</v>
      </c>
      <c r="V271" s="33" t="s">
        <v>43</v>
      </c>
      <c r="W271" s="127"/>
      <c r="X271" s="206" t="str">
        <f t="shared" si="97"/>
        <v>4.13.02</v>
      </c>
      <c r="Y271" s="207" t="str">
        <f t="shared" si="83"/>
        <v>JEMBATAN</v>
      </c>
      <c r="Z271" s="207">
        <f t="shared" si="84"/>
        <v>50</v>
      </c>
      <c r="AA271" s="233">
        <f t="shared" si="86"/>
        <v>10559999.800000001</v>
      </c>
      <c r="AB271" s="208">
        <f t="shared" si="87"/>
        <v>23</v>
      </c>
      <c r="AC271" s="233">
        <f t="shared" si="88"/>
        <v>242879995.40000001</v>
      </c>
      <c r="AD271" s="233">
        <f t="shared" si="89"/>
        <v>10559999.800000001</v>
      </c>
      <c r="AE271" s="233">
        <f t="shared" si="90"/>
        <v>10559999.800000001</v>
      </c>
      <c r="AF271" s="233">
        <f t="shared" si="91"/>
        <v>10559999.800000001</v>
      </c>
      <c r="AG271" s="233">
        <f t="shared" si="92"/>
        <v>10559999.800000001</v>
      </c>
      <c r="AH271" s="238">
        <f t="shared" si="93"/>
        <v>10559999.800000001</v>
      </c>
      <c r="AI271" s="238">
        <f t="shared" si="94"/>
        <v>295679994.40000004</v>
      </c>
      <c r="AJ271" s="261">
        <f t="shared" si="95"/>
        <v>1990</v>
      </c>
      <c r="AK271" s="233">
        <f t="shared" si="96"/>
        <v>232320005.59999996</v>
      </c>
    </row>
    <row r="272" spans="1:37" s="116" customFormat="1" ht="35.25" hidden="1" customHeight="1" x14ac:dyDescent="0.2">
      <c r="B272" s="116" t="e">
        <f t="shared" si="82"/>
        <v>#N/A</v>
      </c>
      <c r="F272" s="218" t="str">
        <f t="shared" si="85"/>
        <v>4.13.02</v>
      </c>
      <c r="G272" s="53"/>
      <c r="H272" s="67" t="s">
        <v>764</v>
      </c>
      <c r="I272" s="33" t="s">
        <v>3824</v>
      </c>
      <c r="J272" s="63"/>
      <c r="K272" s="33" t="s">
        <v>119</v>
      </c>
      <c r="L272" s="360" t="s">
        <v>775</v>
      </c>
      <c r="M272" s="40">
        <v>5</v>
      </c>
      <c r="N272" s="360">
        <v>40</v>
      </c>
      <c r="O272" s="72" t="s">
        <v>810</v>
      </c>
      <c r="P272" s="33">
        <v>1990</v>
      </c>
      <c r="Q272" s="40"/>
      <c r="R272" s="40"/>
      <c r="S272" s="40" t="s">
        <v>782</v>
      </c>
      <c r="T272" s="40" t="s">
        <v>12</v>
      </c>
      <c r="U272" s="251">
        <v>180000000</v>
      </c>
      <c r="V272" s="33" t="s">
        <v>135</v>
      </c>
      <c r="W272" s="127"/>
      <c r="X272" s="206" t="str">
        <f t="shared" si="97"/>
        <v>4.13.02</v>
      </c>
      <c r="Y272" s="207" t="str">
        <f t="shared" si="83"/>
        <v>JEMBATAN</v>
      </c>
      <c r="Z272" s="207">
        <f t="shared" si="84"/>
        <v>50</v>
      </c>
      <c r="AA272" s="233">
        <f t="shared" si="86"/>
        <v>3599999.8</v>
      </c>
      <c r="AB272" s="208">
        <f t="shared" si="87"/>
        <v>23</v>
      </c>
      <c r="AC272" s="233">
        <f t="shared" si="88"/>
        <v>82799995.399999991</v>
      </c>
      <c r="AD272" s="233">
        <f t="shared" si="89"/>
        <v>3599999.8</v>
      </c>
      <c r="AE272" s="233">
        <f t="shared" si="90"/>
        <v>3599999.8</v>
      </c>
      <c r="AF272" s="233">
        <f t="shared" si="91"/>
        <v>3599999.8</v>
      </c>
      <c r="AG272" s="233">
        <f t="shared" si="92"/>
        <v>3599999.8</v>
      </c>
      <c r="AH272" s="238">
        <f t="shared" si="93"/>
        <v>3599999.8</v>
      </c>
      <c r="AI272" s="238">
        <f t="shared" si="94"/>
        <v>100799994.39999998</v>
      </c>
      <c r="AJ272" s="261">
        <f t="shared" si="95"/>
        <v>1990</v>
      </c>
      <c r="AK272" s="233">
        <f t="shared" si="96"/>
        <v>79200005.600000024</v>
      </c>
    </row>
    <row r="273" spans="1:39" s="116" customFormat="1" ht="35.25" hidden="1" customHeight="1" x14ac:dyDescent="0.2">
      <c r="B273" s="116" t="e">
        <f t="shared" si="82"/>
        <v>#N/A</v>
      </c>
      <c r="F273" s="218" t="str">
        <f t="shared" si="85"/>
        <v>4.13.02</v>
      </c>
      <c r="G273" s="53"/>
      <c r="H273" s="67" t="s">
        <v>764</v>
      </c>
      <c r="I273" s="33" t="s">
        <v>3824</v>
      </c>
      <c r="J273" s="63"/>
      <c r="K273" s="33" t="s">
        <v>736</v>
      </c>
      <c r="L273" s="360" t="s">
        <v>759</v>
      </c>
      <c r="M273" s="40">
        <v>6</v>
      </c>
      <c r="N273" s="360">
        <v>36</v>
      </c>
      <c r="O273" s="72" t="s">
        <v>804</v>
      </c>
      <c r="P273" s="33">
        <v>1984</v>
      </c>
      <c r="Q273" s="40"/>
      <c r="R273" s="40"/>
      <c r="S273" s="40" t="s">
        <v>811</v>
      </c>
      <c r="T273" s="40" t="s">
        <v>655</v>
      </c>
      <c r="U273" s="251">
        <v>252000000</v>
      </c>
      <c r="V273" s="33" t="s">
        <v>43</v>
      </c>
      <c r="W273" s="127"/>
      <c r="X273" s="206" t="str">
        <f t="shared" si="97"/>
        <v>4.13.02</v>
      </c>
      <c r="Y273" s="207" t="str">
        <f t="shared" si="83"/>
        <v>JEMBATAN</v>
      </c>
      <c r="Z273" s="207">
        <f t="shared" si="84"/>
        <v>50</v>
      </c>
      <c r="AA273" s="233">
        <f t="shared" si="86"/>
        <v>5039999.8</v>
      </c>
      <c r="AB273" s="208">
        <f t="shared" si="87"/>
        <v>29</v>
      </c>
      <c r="AC273" s="233">
        <f t="shared" si="88"/>
        <v>146159994.19999999</v>
      </c>
      <c r="AD273" s="233">
        <f t="shared" si="89"/>
        <v>5039999.8</v>
      </c>
      <c r="AE273" s="233">
        <f t="shared" si="90"/>
        <v>5039999.8</v>
      </c>
      <c r="AF273" s="233">
        <f t="shared" si="91"/>
        <v>5039999.8</v>
      </c>
      <c r="AG273" s="233">
        <f t="shared" si="92"/>
        <v>5039999.8</v>
      </c>
      <c r="AH273" s="238">
        <f t="shared" si="93"/>
        <v>5039999.8</v>
      </c>
      <c r="AI273" s="238">
        <f t="shared" si="94"/>
        <v>171359993.20000005</v>
      </c>
      <c r="AJ273" s="261">
        <f t="shared" si="95"/>
        <v>1984</v>
      </c>
      <c r="AK273" s="233">
        <f t="shared" si="96"/>
        <v>80640006.799999952</v>
      </c>
    </row>
    <row r="274" spans="1:39" s="116" customFormat="1" ht="35.25" hidden="1" customHeight="1" x14ac:dyDescent="0.2">
      <c r="B274" s="116" t="e">
        <f t="shared" si="82"/>
        <v>#N/A</v>
      </c>
      <c r="F274" s="218" t="str">
        <f t="shared" si="85"/>
        <v>4.13.02</v>
      </c>
      <c r="G274" s="53"/>
      <c r="H274" s="67" t="s">
        <v>764</v>
      </c>
      <c r="I274" s="33" t="s">
        <v>3824</v>
      </c>
      <c r="J274" s="63"/>
      <c r="K274" s="33" t="s">
        <v>119</v>
      </c>
      <c r="L274" s="360" t="s">
        <v>766</v>
      </c>
      <c r="M274" s="40">
        <v>6</v>
      </c>
      <c r="N274" s="360">
        <v>90</v>
      </c>
      <c r="O274" s="72" t="s">
        <v>812</v>
      </c>
      <c r="P274" s="33">
        <v>1986</v>
      </c>
      <c r="Q274" s="40"/>
      <c r="R274" s="40"/>
      <c r="S274" s="40" t="s">
        <v>813</v>
      </c>
      <c r="T274" s="40" t="s">
        <v>12</v>
      </c>
      <c r="U274" s="251">
        <v>486000000</v>
      </c>
      <c r="V274" s="33" t="s">
        <v>43</v>
      </c>
      <c r="W274" s="127"/>
      <c r="X274" s="206" t="str">
        <f t="shared" si="97"/>
        <v>4.13.02</v>
      </c>
      <c r="Y274" s="207" t="str">
        <f t="shared" si="83"/>
        <v>JEMBATAN</v>
      </c>
      <c r="Z274" s="207">
        <f t="shared" si="84"/>
        <v>50</v>
      </c>
      <c r="AA274" s="233">
        <f t="shared" si="86"/>
        <v>9719999.8000000007</v>
      </c>
      <c r="AB274" s="208">
        <f t="shared" si="87"/>
        <v>27</v>
      </c>
      <c r="AC274" s="233">
        <f t="shared" si="88"/>
        <v>262439994.60000002</v>
      </c>
      <c r="AD274" s="233">
        <f t="shared" si="89"/>
        <v>9719999.8000000007</v>
      </c>
      <c r="AE274" s="233">
        <f t="shared" si="90"/>
        <v>9719999.8000000007</v>
      </c>
      <c r="AF274" s="233">
        <f t="shared" si="91"/>
        <v>9719999.8000000007</v>
      </c>
      <c r="AG274" s="233">
        <f t="shared" si="92"/>
        <v>9719999.8000000007</v>
      </c>
      <c r="AH274" s="238">
        <f t="shared" si="93"/>
        <v>9719999.8000000007</v>
      </c>
      <c r="AI274" s="238">
        <f t="shared" si="94"/>
        <v>311039993.60000008</v>
      </c>
      <c r="AJ274" s="261">
        <f t="shared" si="95"/>
        <v>1986</v>
      </c>
      <c r="AK274" s="233">
        <f t="shared" si="96"/>
        <v>174960006.39999992</v>
      </c>
    </row>
    <row r="275" spans="1:39" s="116" customFormat="1" ht="35.25" hidden="1" customHeight="1" x14ac:dyDescent="0.2">
      <c r="B275" s="116" t="e">
        <f t="shared" si="82"/>
        <v>#N/A</v>
      </c>
      <c r="F275" s="218" t="str">
        <f t="shared" si="85"/>
        <v>4.13.02</v>
      </c>
      <c r="G275" s="53"/>
      <c r="H275" s="67" t="s">
        <v>764</v>
      </c>
      <c r="I275" s="33" t="s">
        <v>3824</v>
      </c>
      <c r="J275" s="63"/>
      <c r="K275" s="33" t="s">
        <v>736</v>
      </c>
      <c r="L275" s="360" t="s">
        <v>814</v>
      </c>
      <c r="M275" s="40">
        <v>6</v>
      </c>
      <c r="N275" s="360">
        <v>240</v>
      </c>
      <c r="O275" s="72" t="s">
        <v>815</v>
      </c>
      <c r="P275" s="33">
        <v>1988</v>
      </c>
      <c r="Q275" s="40"/>
      <c r="R275" s="40"/>
      <c r="S275" s="40" t="s">
        <v>816</v>
      </c>
      <c r="T275" s="40" t="s">
        <v>655</v>
      </c>
      <c r="U275" s="251">
        <v>1848000000</v>
      </c>
      <c r="V275" s="33" t="s">
        <v>43</v>
      </c>
      <c r="W275" s="127"/>
      <c r="X275" s="206" t="str">
        <f t="shared" si="97"/>
        <v>4.13.02</v>
      </c>
      <c r="Y275" s="207" t="str">
        <f t="shared" si="83"/>
        <v>JEMBATAN</v>
      </c>
      <c r="Z275" s="207">
        <f t="shared" si="84"/>
        <v>50</v>
      </c>
      <c r="AA275" s="233">
        <f t="shared" si="86"/>
        <v>36959999.799999997</v>
      </c>
      <c r="AB275" s="208">
        <f t="shared" si="87"/>
        <v>25</v>
      </c>
      <c r="AC275" s="233">
        <f t="shared" si="88"/>
        <v>923999994.99999988</v>
      </c>
      <c r="AD275" s="233">
        <f t="shared" si="89"/>
        <v>36959999.799999997</v>
      </c>
      <c r="AE275" s="233">
        <f t="shared" si="90"/>
        <v>36959999.799999997</v>
      </c>
      <c r="AF275" s="233">
        <f t="shared" si="91"/>
        <v>36959999.799999997</v>
      </c>
      <c r="AG275" s="233">
        <f t="shared" si="92"/>
        <v>36959999.799999997</v>
      </c>
      <c r="AH275" s="238">
        <f t="shared" si="93"/>
        <v>36959999.799999997</v>
      </c>
      <c r="AI275" s="238">
        <f t="shared" si="94"/>
        <v>1108799993.9999998</v>
      </c>
      <c r="AJ275" s="261">
        <f t="shared" si="95"/>
        <v>1988</v>
      </c>
      <c r="AK275" s="233">
        <f t="shared" si="96"/>
        <v>739200006.00000024</v>
      </c>
    </row>
    <row r="276" spans="1:39" s="116" customFormat="1" ht="35.25" hidden="1" customHeight="1" x14ac:dyDescent="0.2">
      <c r="B276" s="116" t="e">
        <f t="shared" si="82"/>
        <v>#N/A</v>
      </c>
      <c r="F276" s="218" t="str">
        <f t="shared" si="85"/>
        <v>4.13.02</v>
      </c>
      <c r="G276" s="53"/>
      <c r="H276" s="67" t="s">
        <v>764</v>
      </c>
      <c r="I276" s="33" t="s">
        <v>3824</v>
      </c>
      <c r="J276" s="63"/>
      <c r="K276" s="33" t="s">
        <v>119</v>
      </c>
      <c r="L276" s="360" t="s">
        <v>775</v>
      </c>
      <c r="M276" s="40">
        <v>8</v>
      </c>
      <c r="N276" s="360">
        <v>64</v>
      </c>
      <c r="O276" s="72" t="s">
        <v>817</v>
      </c>
      <c r="P276" s="33">
        <v>1981</v>
      </c>
      <c r="Q276" s="40"/>
      <c r="R276" s="40"/>
      <c r="S276" s="40" t="s">
        <v>779</v>
      </c>
      <c r="T276" s="40" t="s">
        <v>12</v>
      </c>
      <c r="U276" s="251">
        <v>422400000</v>
      </c>
      <c r="V276" s="33" t="s">
        <v>43</v>
      </c>
      <c r="W276" s="127"/>
      <c r="X276" s="206" t="str">
        <f t="shared" si="97"/>
        <v>4.13.02</v>
      </c>
      <c r="Y276" s="207" t="str">
        <f t="shared" si="83"/>
        <v>JEMBATAN</v>
      </c>
      <c r="Z276" s="207">
        <f t="shared" si="84"/>
        <v>50</v>
      </c>
      <c r="AA276" s="233">
        <f t="shared" si="86"/>
        <v>8447999.8000000007</v>
      </c>
      <c r="AB276" s="208">
        <f t="shared" si="87"/>
        <v>32</v>
      </c>
      <c r="AC276" s="233">
        <f t="shared" si="88"/>
        <v>270335993.60000002</v>
      </c>
      <c r="AD276" s="233">
        <f t="shared" si="89"/>
        <v>8447999.8000000007</v>
      </c>
      <c r="AE276" s="233">
        <f t="shared" si="90"/>
        <v>8447999.8000000007</v>
      </c>
      <c r="AF276" s="233">
        <f t="shared" si="91"/>
        <v>8447999.8000000007</v>
      </c>
      <c r="AG276" s="233">
        <f t="shared" si="92"/>
        <v>8447999.8000000007</v>
      </c>
      <c r="AH276" s="238">
        <f t="shared" si="93"/>
        <v>8447999.8000000007</v>
      </c>
      <c r="AI276" s="238">
        <f t="shared" si="94"/>
        <v>312575992.60000008</v>
      </c>
      <c r="AJ276" s="261">
        <f t="shared" si="95"/>
        <v>1981</v>
      </c>
      <c r="AK276" s="233">
        <f t="shared" si="96"/>
        <v>109824007.39999992</v>
      </c>
    </row>
    <row r="277" spans="1:39" s="116" customFormat="1" ht="35.25" hidden="1" customHeight="1" x14ac:dyDescent="0.2">
      <c r="B277" s="116" t="e">
        <f t="shared" si="82"/>
        <v>#N/A</v>
      </c>
      <c r="F277" s="218" t="str">
        <f t="shared" si="85"/>
        <v>4.13.02</v>
      </c>
      <c r="G277" s="53"/>
      <c r="H277" s="67" t="s">
        <v>764</v>
      </c>
      <c r="I277" s="33" t="s">
        <v>3824</v>
      </c>
      <c r="J277" s="63"/>
      <c r="K277" s="33" t="s">
        <v>736</v>
      </c>
      <c r="L277" s="360" t="s">
        <v>772</v>
      </c>
      <c r="M277" s="40">
        <v>6</v>
      </c>
      <c r="N277" s="360">
        <v>150</v>
      </c>
      <c r="O277" s="72" t="s">
        <v>818</v>
      </c>
      <c r="P277" s="33">
        <v>2006</v>
      </c>
      <c r="Q277" s="40"/>
      <c r="R277" s="40"/>
      <c r="S277" s="40" t="s">
        <v>741</v>
      </c>
      <c r="T277" s="40" t="s">
        <v>12</v>
      </c>
      <c r="U277" s="251">
        <v>1320000000</v>
      </c>
      <c r="V277" s="33" t="s">
        <v>43</v>
      </c>
      <c r="W277" s="127"/>
      <c r="X277" s="206" t="str">
        <f t="shared" si="97"/>
        <v>4.13.02</v>
      </c>
      <c r="Y277" s="207" t="str">
        <f t="shared" si="83"/>
        <v>JEMBATAN</v>
      </c>
      <c r="Z277" s="207">
        <f t="shared" si="84"/>
        <v>50</v>
      </c>
      <c r="AA277" s="233">
        <f t="shared" si="86"/>
        <v>26399999.800000001</v>
      </c>
      <c r="AB277" s="208">
        <f t="shared" si="87"/>
        <v>7</v>
      </c>
      <c r="AC277" s="233">
        <f t="shared" si="88"/>
        <v>184799998.59999999</v>
      </c>
      <c r="AD277" s="233">
        <f t="shared" si="89"/>
        <v>26399999.800000001</v>
      </c>
      <c r="AE277" s="233">
        <f t="shared" si="90"/>
        <v>26399999.800000001</v>
      </c>
      <c r="AF277" s="233">
        <f t="shared" si="91"/>
        <v>26399999.800000001</v>
      </c>
      <c r="AG277" s="233">
        <f t="shared" si="92"/>
        <v>26399999.800000001</v>
      </c>
      <c r="AH277" s="238">
        <f t="shared" si="93"/>
        <v>26399999.800000001</v>
      </c>
      <c r="AI277" s="238">
        <f t="shared" si="94"/>
        <v>316799997.60000002</v>
      </c>
      <c r="AJ277" s="261">
        <f t="shared" si="95"/>
        <v>2006</v>
      </c>
      <c r="AK277" s="233">
        <f t="shared" si="96"/>
        <v>1003200002.4</v>
      </c>
    </row>
    <row r="278" spans="1:39" s="116" customFormat="1" ht="35.25" hidden="1" customHeight="1" x14ac:dyDescent="0.2">
      <c r="B278" s="116" t="e">
        <f t="shared" si="82"/>
        <v>#N/A</v>
      </c>
      <c r="F278" s="218" t="str">
        <f t="shared" si="85"/>
        <v>4.13.02</v>
      </c>
      <c r="G278" s="53"/>
      <c r="H278" s="67" t="s">
        <v>764</v>
      </c>
      <c r="I278" s="33" t="s">
        <v>3824</v>
      </c>
      <c r="J278" s="63"/>
      <c r="K278" s="33" t="s">
        <v>736</v>
      </c>
      <c r="L278" s="360" t="s">
        <v>775</v>
      </c>
      <c r="M278" s="40">
        <v>8</v>
      </c>
      <c r="N278" s="360">
        <v>64</v>
      </c>
      <c r="O278" s="72" t="s">
        <v>819</v>
      </c>
      <c r="P278" s="33">
        <v>2006</v>
      </c>
      <c r="Q278" s="40"/>
      <c r="R278" s="40"/>
      <c r="S278" s="40" t="s">
        <v>741</v>
      </c>
      <c r="T278" s="40" t="s">
        <v>12</v>
      </c>
      <c r="U278" s="251">
        <v>528000000</v>
      </c>
      <c r="V278" s="33" t="s">
        <v>43</v>
      </c>
      <c r="W278" s="127"/>
      <c r="X278" s="206" t="str">
        <f t="shared" si="97"/>
        <v>4.13.02</v>
      </c>
      <c r="Y278" s="207" t="str">
        <f t="shared" si="83"/>
        <v>JEMBATAN</v>
      </c>
      <c r="Z278" s="207">
        <f t="shared" si="84"/>
        <v>50</v>
      </c>
      <c r="AA278" s="233">
        <f t="shared" si="86"/>
        <v>10559999.800000001</v>
      </c>
      <c r="AB278" s="208">
        <f t="shared" si="87"/>
        <v>7</v>
      </c>
      <c r="AC278" s="233">
        <f t="shared" si="88"/>
        <v>73919998.600000009</v>
      </c>
      <c r="AD278" s="233">
        <f t="shared" si="89"/>
        <v>10559999.800000001</v>
      </c>
      <c r="AE278" s="233">
        <f t="shared" si="90"/>
        <v>10559999.800000001</v>
      </c>
      <c r="AF278" s="233">
        <f t="shared" si="91"/>
        <v>10559999.800000001</v>
      </c>
      <c r="AG278" s="233">
        <f t="shared" si="92"/>
        <v>10559999.800000001</v>
      </c>
      <c r="AH278" s="238">
        <f t="shared" si="93"/>
        <v>10559999.800000001</v>
      </c>
      <c r="AI278" s="238">
        <f t="shared" si="94"/>
        <v>126719997.59999999</v>
      </c>
      <c r="AJ278" s="261">
        <f t="shared" si="95"/>
        <v>2006</v>
      </c>
      <c r="AK278" s="233">
        <f t="shared" si="96"/>
        <v>401280002.39999998</v>
      </c>
    </row>
    <row r="279" spans="1:39" s="116" customFormat="1" ht="35.25" hidden="1" customHeight="1" x14ac:dyDescent="0.2">
      <c r="B279" s="116" t="e">
        <f t="shared" si="82"/>
        <v>#N/A</v>
      </c>
      <c r="F279" s="218" t="str">
        <f t="shared" si="85"/>
        <v>4.13.02</v>
      </c>
      <c r="G279" s="53"/>
      <c r="H279" s="67" t="s">
        <v>764</v>
      </c>
      <c r="I279" s="33" t="s">
        <v>3824</v>
      </c>
      <c r="J279" s="63"/>
      <c r="K279" s="33" t="s">
        <v>736</v>
      </c>
      <c r="L279" s="360" t="s">
        <v>820</v>
      </c>
      <c r="M279" s="40">
        <v>6</v>
      </c>
      <c r="N279" s="360">
        <v>276</v>
      </c>
      <c r="O279" s="72" t="s">
        <v>821</v>
      </c>
      <c r="P279" s="33">
        <v>1987</v>
      </c>
      <c r="Q279" s="40"/>
      <c r="R279" s="40"/>
      <c r="S279" s="40" t="s">
        <v>770</v>
      </c>
      <c r="T279" s="40" t="s">
        <v>655</v>
      </c>
      <c r="U279" s="251">
        <v>2125200000</v>
      </c>
      <c r="V279" s="33" t="s">
        <v>43</v>
      </c>
      <c r="W279" s="127"/>
      <c r="X279" s="206" t="str">
        <f t="shared" si="97"/>
        <v>4.13.02</v>
      </c>
      <c r="Y279" s="207" t="str">
        <f t="shared" si="83"/>
        <v>JEMBATAN</v>
      </c>
      <c r="Z279" s="207">
        <f t="shared" si="84"/>
        <v>50</v>
      </c>
      <c r="AA279" s="233">
        <f t="shared" si="86"/>
        <v>42503999.799999997</v>
      </c>
      <c r="AB279" s="208">
        <f t="shared" si="87"/>
        <v>26</v>
      </c>
      <c r="AC279" s="233">
        <f t="shared" si="88"/>
        <v>1105103994.8</v>
      </c>
      <c r="AD279" s="233">
        <f t="shared" si="89"/>
        <v>42503999.799999997</v>
      </c>
      <c r="AE279" s="233">
        <f t="shared" si="90"/>
        <v>42503999.799999997</v>
      </c>
      <c r="AF279" s="233">
        <f t="shared" si="91"/>
        <v>42503999.799999997</v>
      </c>
      <c r="AG279" s="233">
        <f t="shared" si="92"/>
        <v>42503999.799999997</v>
      </c>
      <c r="AH279" s="238">
        <f t="shared" si="93"/>
        <v>42503999.799999997</v>
      </c>
      <c r="AI279" s="238">
        <f t="shared" si="94"/>
        <v>1317623993.7999997</v>
      </c>
      <c r="AJ279" s="261">
        <f t="shared" si="95"/>
        <v>1987</v>
      </c>
      <c r="AK279" s="233">
        <f t="shared" si="96"/>
        <v>807576006.20000029</v>
      </c>
    </row>
    <row r="280" spans="1:39" s="116" customFormat="1" ht="35.25" hidden="1" customHeight="1" x14ac:dyDescent="0.2">
      <c r="A280" s="116" t="s">
        <v>4136</v>
      </c>
      <c r="B280" s="116" t="e">
        <f t="shared" si="82"/>
        <v>#N/A</v>
      </c>
      <c r="D280" s="116">
        <v>1</v>
      </c>
      <c r="E280" s="1" t="str">
        <f>A280&amp;"."&amp;D280</f>
        <v>J3.1</v>
      </c>
      <c r="F280" s="218" t="str">
        <f t="shared" si="85"/>
        <v>4.13.02</v>
      </c>
      <c r="G280" s="53"/>
      <c r="H280" s="67" t="s">
        <v>764</v>
      </c>
      <c r="I280" s="33" t="s">
        <v>3824</v>
      </c>
      <c r="J280" s="63"/>
      <c r="K280" s="33" t="s">
        <v>736</v>
      </c>
      <c r="L280" s="360" t="s">
        <v>739</v>
      </c>
      <c r="M280" s="40">
        <v>6</v>
      </c>
      <c r="N280" s="360">
        <v>102</v>
      </c>
      <c r="O280" s="72" t="s">
        <v>822</v>
      </c>
      <c r="P280" s="33">
        <v>2004</v>
      </c>
      <c r="Q280" s="40"/>
      <c r="R280" s="40"/>
      <c r="S280" s="40" t="s">
        <v>738</v>
      </c>
      <c r="T280" s="40" t="s">
        <v>12</v>
      </c>
      <c r="U280" s="251">
        <v>841500000</v>
      </c>
      <c r="V280" s="33" t="s">
        <v>43</v>
      </c>
      <c r="W280" s="127"/>
      <c r="X280" s="206" t="str">
        <f t="shared" si="97"/>
        <v>4.13.02</v>
      </c>
      <c r="Y280" s="207" t="str">
        <f t="shared" si="83"/>
        <v>JEMBATAN</v>
      </c>
      <c r="Z280" s="207">
        <f t="shared" si="84"/>
        <v>50</v>
      </c>
      <c r="AA280" s="233">
        <f t="shared" si="86"/>
        <v>16829999.800000001</v>
      </c>
      <c r="AB280" s="208">
        <f t="shared" si="87"/>
        <v>9</v>
      </c>
      <c r="AC280" s="233">
        <f t="shared" si="88"/>
        <v>151469998.20000002</v>
      </c>
      <c r="AD280" s="233">
        <f t="shared" si="89"/>
        <v>16829999.800000001</v>
      </c>
      <c r="AE280" s="233">
        <f t="shared" si="90"/>
        <v>16829999.800000001</v>
      </c>
      <c r="AF280" s="233">
        <f t="shared" si="91"/>
        <v>16829999.800000001</v>
      </c>
      <c r="AG280" s="233">
        <f t="shared" si="92"/>
        <v>16829999.800000001</v>
      </c>
      <c r="AH280" s="238">
        <f t="shared" si="93"/>
        <v>16829999.800000001</v>
      </c>
      <c r="AI280" s="238">
        <f t="shared" si="94"/>
        <v>235619997.20000008</v>
      </c>
      <c r="AJ280" s="261">
        <f t="shared" si="95"/>
        <v>2004</v>
      </c>
      <c r="AK280" s="233">
        <f t="shared" si="96"/>
        <v>605880002.79999995</v>
      </c>
    </row>
    <row r="281" spans="1:39" s="116" customFormat="1" ht="35.25" hidden="1" customHeight="1" x14ac:dyDescent="0.2">
      <c r="B281" s="116" t="e">
        <f t="shared" si="82"/>
        <v>#N/A</v>
      </c>
      <c r="F281" s="218" t="str">
        <f t="shared" si="85"/>
        <v>4.13.02</v>
      </c>
      <c r="G281" s="53"/>
      <c r="H281" s="67" t="s">
        <v>764</v>
      </c>
      <c r="I281" s="33" t="s">
        <v>3824</v>
      </c>
      <c r="J281" s="63"/>
      <c r="K281" s="33" t="s">
        <v>736</v>
      </c>
      <c r="L281" s="360" t="s">
        <v>766</v>
      </c>
      <c r="M281" s="40">
        <v>6</v>
      </c>
      <c r="N281" s="360">
        <v>90</v>
      </c>
      <c r="O281" s="72" t="s">
        <v>823</v>
      </c>
      <c r="P281" s="33">
        <v>2001</v>
      </c>
      <c r="Q281" s="40"/>
      <c r="R281" s="40"/>
      <c r="S281" s="40" t="s">
        <v>824</v>
      </c>
      <c r="T281" s="40" t="s">
        <v>12</v>
      </c>
      <c r="U281" s="251">
        <v>495000000</v>
      </c>
      <c r="V281" s="33" t="s">
        <v>43</v>
      </c>
      <c r="W281" s="127"/>
      <c r="X281" s="206" t="str">
        <f t="shared" si="97"/>
        <v>4.13.02</v>
      </c>
      <c r="Y281" s="207" t="str">
        <f t="shared" si="83"/>
        <v>JEMBATAN</v>
      </c>
      <c r="Z281" s="207">
        <f t="shared" si="84"/>
        <v>50</v>
      </c>
      <c r="AA281" s="233">
        <f t="shared" si="86"/>
        <v>9899999.8000000007</v>
      </c>
      <c r="AB281" s="208">
        <f t="shared" si="87"/>
        <v>12</v>
      </c>
      <c r="AC281" s="233">
        <f t="shared" si="88"/>
        <v>118799997.60000001</v>
      </c>
      <c r="AD281" s="233">
        <f t="shared" si="89"/>
        <v>9899999.8000000007</v>
      </c>
      <c r="AE281" s="233">
        <f t="shared" si="90"/>
        <v>9899999.8000000007</v>
      </c>
      <c r="AF281" s="233">
        <f t="shared" si="91"/>
        <v>9899999.8000000007</v>
      </c>
      <c r="AG281" s="233">
        <f t="shared" si="92"/>
        <v>9899999.8000000007</v>
      </c>
      <c r="AH281" s="238">
        <f t="shared" si="93"/>
        <v>9899999.8000000007</v>
      </c>
      <c r="AI281" s="238">
        <f t="shared" si="94"/>
        <v>168299996.60000005</v>
      </c>
      <c r="AJ281" s="261">
        <f t="shared" si="95"/>
        <v>2001</v>
      </c>
      <c r="AK281" s="233">
        <f t="shared" si="96"/>
        <v>326700003.39999998</v>
      </c>
    </row>
    <row r="282" spans="1:39" s="116" customFormat="1" ht="35.25" hidden="1" customHeight="1" x14ac:dyDescent="0.2">
      <c r="B282" s="116" t="e">
        <f t="shared" si="82"/>
        <v>#N/A</v>
      </c>
      <c r="F282" s="218" t="str">
        <f t="shared" si="85"/>
        <v>4.13.02</v>
      </c>
      <c r="G282" s="53"/>
      <c r="H282" s="67" t="s">
        <v>764</v>
      </c>
      <c r="I282" s="33" t="s">
        <v>3824</v>
      </c>
      <c r="J282" s="63"/>
      <c r="K282" s="33" t="s">
        <v>736</v>
      </c>
      <c r="L282" s="360" t="s">
        <v>825</v>
      </c>
      <c r="M282" s="40">
        <v>8</v>
      </c>
      <c r="N282" s="360">
        <v>288</v>
      </c>
      <c r="O282" s="72" t="s">
        <v>826</v>
      </c>
      <c r="P282" s="33">
        <v>2004</v>
      </c>
      <c r="Q282" s="40"/>
      <c r="R282" s="40"/>
      <c r="S282" s="40" t="s">
        <v>738</v>
      </c>
      <c r="T282" s="40" t="s">
        <v>12</v>
      </c>
      <c r="U282" s="251">
        <v>2059200000</v>
      </c>
      <c r="V282" s="33" t="s">
        <v>43</v>
      </c>
      <c r="W282" s="127"/>
      <c r="X282" s="206" t="str">
        <f t="shared" si="97"/>
        <v>4.13.02</v>
      </c>
      <c r="Y282" s="207" t="str">
        <f t="shared" si="83"/>
        <v>JEMBATAN</v>
      </c>
      <c r="Z282" s="207">
        <f t="shared" si="84"/>
        <v>50</v>
      </c>
      <c r="AA282" s="233">
        <f t="shared" si="86"/>
        <v>41183999.799999997</v>
      </c>
      <c r="AB282" s="208">
        <f t="shared" si="87"/>
        <v>9</v>
      </c>
      <c r="AC282" s="233">
        <f t="shared" si="88"/>
        <v>370655998.19999999</v>
      </c>
      <c r="AD282" s="233">
        <f t="shared" si="89"/>
        <v>41183999.799999997</v>
      </c>
      <c r="AE282" s="233">
        <f t="shared" si="90"/>
        <v>41183999.799999997</v>
      </c>
      <c r="AF282" s="233">
        <f t="shared" si="91"/>
        <v>41183999.799999997</v>
      </c>
      <c r="AG282" s="233">
        <f t="shared" si="92"/>
        <v>41183999.799999997</v>
      </c>
      <c r="AH282" s="238">
        <f t="shared" si="93"/>
        <v>41183999.799999997</v>
      </c>
      <c r="AI282" s="238">
        <f t="shared" si="94"/>
        <v>576575997.20000005</v>
      </c>
      <c r="AJ282" s="261">
        <f t="shared" si="95"/>
        <v>2004</v>
      </c>
      <c r="AK282" s="233">
        <f t="shared" si="96"/>
        <v>1482624002.8</v>
      </c>
    </row>
    <row r="283" spans="1:39" s="116" customFormat="1" ht="35.25" hidden="1" customHeight="1" x14ac:dyDescent="0.2">
      <c r="B283" s="116" t="e">
        <f t="shared" si="82"/>
        <v>#N/A</v>
      </c>
      <c r="F283" s="218" t="str">
        <f t="shared" si="85"/>
        <v>4.13.02</v>
      </c>
      <c r="G283" s="53"/>
      <c r="H283" s="67" t="s">
        <v>735</v>
      </c>
      <c r="I283" s="33" t="s">
        <v>3825</v>
      </c>
      <c r="J283" s="63"/>
      <c r="K283" s="33" t="s">
        <v>736</v>
      </c>
      <c r="L283" s="360" t="s">
        <v>766</v>
      </c>
      <c r="M283" s="40">
        <v>6</v>
      </c>
      <c r="N283" s="360">
        <v>90</v>
      </c>
      <c r="O283" s="72" t="s">
        <v>827</v>
      </c>
      <c r="P283" s="33">
        <v>2001</v>
      </c>
      <c r="Q283" s="40"/>
      <c r="R283" s="40"/>
      <c r="S283" s="40" t="s">
        <v>824</v>
      </c>
      <c r="T283" s="40" t="s">
        <v>12</v>
      </c>
      <c r="U283" s="251">
        <v>495000000</v>
      </c>
      <c r="V283" s="33" t="s">
        <v>43</v>
      </c>
      <c r="W283" s="127"/>
      <c r="X283" s="206" t="str">
        <f t="shared" si="97"/>
        <v>4.13.02</v>
      </c>
      <c r="Y283" s="207" t="str">
        <f t="shared" si="83"/>
        <v>JEMBATAN</v>
      </c>
      <c r="Z283" s="207">
        <f t="shared" si="84"/>
        <v>50</v>
      </c>
      <c r="AA283" s="233">
        <f t="shared" si="86"/>
        <v>9899999.8000000007</v>
      </c>
      <c r="AB283" s="208">
        <f t="shared" si="87"/>
        <v>12</v>
      </c>
      <c r="AC283" s="233">
        <f t="shared" si="88"/>
        <v>118799997.60000001</v>
      </c>
      <c r="AD283" s="233">
        <f t="shared" si="89"/>
        <v>9899999.8000000007</v>
      </c>
      <c r="AE283" s="233">
        <f t="shared" si="90"/>
        <v>9899999.8000000007</v>
      </c>
      <c r="AF283" s="233">
        <f t="shared" si="91"/>
        <v>9899999.8000000007</v>
      </c>
      <c r="AG283" s="233">
        <f t="shared" si="92"/>
        <v>9899999.8000000007</v>
      </c>
      <c r="AH283" s="238">
        <f t="shared" si="93"/>
        <v>9899999.8000000007</v>
      </c>
      <c r="AI283" s="238">
        <f t="shared" si="94"/>
        <v>168299996.60000005</v>
      </c>
      <c r="AJ283" s="261">
        <f t="shared" si="95"/>
        <v>2001</v>
      </c>
      <c r="AK283" s="233">
        <f t="shared" si="96"/>
        <v>326700003.39999998</v>
      </c>
    </row>
    <row r="284" spans="1:39" s="116" customFormat="1" ht="35.25" hidden="1" customHeight="1" x14ac:dyDescent="0.2">
      <c r="A284" s="116" t="s">
        <v>4136</v>
      </c>
      <c r="B284" s="116" t="e">
        <f t="shared" si="82"/>
        <v>#N/A</v>
      </c>
      <c r="D284" s="116">
        <v>2</v>
      </c>
      <c r="E284" s="1" t="str">
        <f>A284&amp;"."&amp;D284</f>
        <v>J3.2</v>
      </c>
      <c r="F284" s="218" t="str">
        <f t="shared" si="85"/>
        <v>4.13.02</v>
      </c>
      <c r="G284" s="53"/>
      <c r="H284" s="67" t="s">
        <v>735</v>
      </c>
      <c r="I284" s="33" t="s">
        <v>3825</v>
      </c>
      <c r="J284" s="63"/>
      <c r="K284" s="33" t="s">
        <v>736</v>
      </c>
      <c r="L284" s="360" t="s">
        <v>739</v>
      </c>
      <c r="M284" s="40">
        <v>6</v>
      </c>
      <c r="N284" s="360">
        <v>102</v>
      </c>
      <c r="O284" s="72" t="s">
        <v>822</v>
      </c>
      <c r="P284" s="33">
        <v>2004</v>
      </c>
      <c r="Q284" s="40"/>
      <c r="R284" s="40"/>
      <c r="S284" s="40" t="s">
        <v>738</v>
      </c>
      <c r="T284" s="40" t="s">
        <v>12</v>
      </c>
      <c r="U284" s="251">
        <v>841500000</v>
      </c>
      <c r="V284" s="33" t="s">
        <v>43</v>
      </c>
      <c r="W284" s="127"/>
      <c r="X284" s="206" t="str">
        <f t="shared" si="97"/>
        <v>4.13.02</v>
      </c>
      <c r="Y284" s="207" t="str">
        <f t="shared" si="83"/>
        <v>JEMBATAN</v>
      </c>
      <c r="Z284" s="207">
        <f t="shared" si="84"/>
        <v>50</v>
      </c>
      <c r="AA284" s="233">
        <f t="shared" si="86"/>
        <v>16829999.800000001</v>
      </c>
      <c r="AB284" s="208">
        <f t="shared" si="87"/>
        <v>9</v>
      </c>
      <c r="AC284" s="233">
        <f t="shared" si="88"/>
        <v>151469998.20000002</v>
      </c>
      <c r="AD284" s="233">
        <f t="shared" si="89"/>
        <v>16829999.800000001</v>
      </c>
      <c r="AE284" s="233">
        <f t="shared" si="90"/>
        <v>16829999.800000001</v>
      </c>
      <c r="AF284" s="233">
        <f t="shared" si="91"/>
        <v>16829999.800000001</v>
      </c>
      <c r="AG284" s="233">
        <f t="shared" si="92"/>
        <v>16829999.800000001</v>
      </c>
      <c r="AH284" s="238">
        <f t="shared" si="93"/>
        <v>16829999.800000001</v>
      </c>
      <c r="AI284" s="238">
        <f t="shared" si="94"/>
        <v>235619997.20000008</v>
      </c>
      <c r="AJ284" s="261">
        <f t="shared" si="95"/>
        <v>2004</v>
      </c>
      <c r="AK284" s="233">
        <f t="shared" si="96"/>
        <v>605880002.79999995</v>
      </c>
      <c r="AM284" s="116" t="s">
        <v>4245</v>
      </c>
    </row>
    <row r="285" spans="1:39" s="116" customFormat="1" ht="35.25" hidden="1" customHeight="1" x14ac:dyDescent="0.2">
      <c r="A285" s="116" t="s">
        <v>4137</v>
      </c>
      <c r="B285" s="116" t="e">
        <f t="shared" si="82"/>
        <v>#N/A</v>
      </c>
      <c r="D285" s="116">
        <v>2</v>
      </c>
      <c r="E285" s="1" t="str">
        <f>A285&amp;"."&amp;D285</f>
        <v>J4.2</v>
      </c>
      <c r="F285" s="218" t="str">
        <f t="shared" si="85"/>
        <v>4.13.02</v>
      </c>
      <c r="G285" s="53"/>
      <c r="H285" s="67" t="s">
        <v>828</v>
      </c>
      <c r="I285" s="33" t="s">
        <v>3826</v>
      </c>
      <c r="J285" s="63"/>
      <c r="K285" s="33" t="s">
        <v>238</v>
      </c>
      <c r="L285" s="360" t="s">
        <v>751</v>
      </c>
      <c r="M285" s="40">
        <v>5</v>
      </c>
      <c r="N285" s="360">
        <v>50</v>
      </c>
      <c r="O285" s="72" t="s">
        <v>829</v>
      </c>
      <c r="P285" s="33">
        <v>2006</v>
      </c>
      <c r="Q285" s="40"/>
      <c r="R285" s="40"/>
      <c r="S285" s="40" t="s">
        <v>741</v>
      </c>
      <c r="T285" s="40" t="s">
        <v>12</v>
      </c>
      <c r="U285" s="251">
        <v>150000000</v>
      </c>
      <c r="V285" s="33" t="s">
        <v>43</v>
      </c>
      <c r="W285" s="127"/>
      <c r="X285" s="206" t="str">
        <f t="shared" si="97"/>
        <v>4.13.02</v>
      </c>
      <c r="Y285" s="207" t="str">
        <f t="shared" si="83"/>
        <v>JEMBATAN</v>
      </c>
      <c r="Z285" s="207">
        <f t="shared" si="84"/>
        <v>50</v>
      </c>
      <c r="AA285" s="233">
        <f t="shared" si="86"/>
        <v>2999999.8</v>
      </c>
      <c r="AB285" s="208">
        <f t="shared" si="87"/>
        <v>7</v>
      </c>
      <c r="AC285" s="233">
        <f t="shared" si="88"/>
        <v>20999998.599999998</v>
      </c>
      <c r="AD285" s="233">
        <f t="shared" si="89"/>
        <v>2999999.8</v>
      </c>
      <c r="AE285" s="233">
        <f t="shared" si="90"/>
        <v>2999999.8</v>
      </c>
      <c r="AF285" s="233">
        <f t="shared" si="91"/>
        <v>2999999.8</v>
      </c>
      <c r="AG285" s="233">
        <f t="shared" si="92"/>
        <v>2999999.8</v>
      </c>
      <c r="AH285" s="238">
        <f t="shared" si="93"/>
        <v>2999999.8</v>
      </c>
      <c r="AI285" s="238">
        <f t="shared" si="94"/>
        <v>35999997.600000001</v>
      </c>
      <c r="AJ285" s="261">
        <f t="shared" si="95"/>
        <v>2006</v>
      </c>
      <c r="AK285" s="233">
        <f t="shared" si="96"/>
        <v>114000002.40000001</v>
      </c>
      <c r="AM285" s="116" t="s">
        <v>4245</v>
      </c>
    </row>
    <row r="286" spans="1:39" s="116" customFormat="1" ht="35.25" hidden="1" customHeight="1" x14ac:dyDescent="0.2">
      <c r="B286" s="116" t="e">
        <f t="shared" si="82"/>
        <v>#N/A</v>
      </c>
      <c r="F286" s="218" t="s">
        <v>2304</v>
      </c>
      <c r="G286" s="53"/>
      <c r="H286" s="67" t="s">
        <v>1146</v>
      </c>
      <c r="I286" s="33" t="s">
        <v>2494</v>
      </c>
      <c r="J286" s="63"/>
      <c r="K286" s="33" t="s">
        <v>519</v>
      </c>
      <c r="L286" s="360">
        <v>1.19</v>
      </c>
      <c r="M286" s="40"/>
      <c r="N286" s="360">
        <v>1.19</v>
      </c>
      <c r="O286" s="72" t="s">
        <v>3085</v>
      </c>
      <c r="P286" s="33">
        <v>2007</v>
      </c>
      <c r="Q286" s="40"/>
      <c r="R286" s="40"/>
      <c r="S286" s="40"/>
      <c r="T286" s="40" t="s">
        <v>12</v>
      </c>
      <c r="U286" s="251">
        <v>1750542695.4095719</v>
      </c>
      <c r="V286" s="33" t="s">
        <v>43</v>
      </c>
      <c r="W286" s="127"/>
      <c r="X286" s="206" t="str">
        <f t="shared" si="97"/>
        <v>4.13.01</v>
      </c>
      <c r="Y286" s="207" t="str">
        <f t="shared" si="83"/>
        <v>JALAN</v>
      </c>
      <c r="Z286" s="207">
        <f t="shared" si="84"/>
        <v>10</v>
      </c>
      <c r="AA286" s="233">
        <f t="shared" si="86"/>
        <v>175054268.54095718</v>
      </c>
      <c r="AB286" s="208">
        <f t="shared" si="87"/>
        <v>6</v>
      </c>
      <c r="AC286" s="233">
        <f t="shared" si="88"/>
        <v>1050325611.245743</v>
      </c>
      <c r="AD286" s="233">
        <f t="shared" si="89"/>
        <v>175054268.54095718</v>
      </c>
      <c r="AE286" s="233">
        <f t="shared" si="90"/>
        <v>175054268.54095718</v>
      </c>
      <c r="AF286" s="233">
        <f t="shared" si="91"/>
        <v>175054268.54095718</v>
      </c>
      <c r="AG286" s="233">
        <f t="shared" si="92"/>
        <v>175054268.54095718</v>
      </c>
      <c r="AH286" s="238">
        <f t="shared" si="93"/>
        <v>0</v>
      </c>
      <c r="AI286" s="238">
        <f t="shared" si="94"/>
        <v>1750542685.4095719</v>
      </c>
      <c r="AJ286" s="261">
        <f t="shared" si="95"/>
        <v>2007</v>
      </c>
      <c r="AK286" s="233">
        <f t="shared" si="96"/>
        <v>10</v>
      </c>
    </row>
    <row r="287" spans="1:39" s="116" customFormat="1" ht="35.25" hidden="1" customHeight="1" x14ac:dyDescent="0.2">
      <c r="A287" s="116">
        <v>75</v>
      </c>
      <c r="B287" s="116" t="str">
        <f t="shared" si="82"/>
        <v>BUNDARAN DPRD - JL. PROPINSI</v>
      </c>
      <c r="D287" s="116">
        <v>2</v>
      </c>
      <c r="E287" s="120" t="str">
        <f>A287&amp;"."&amp;D287</f>
        <v>75.2</v>
      </c>
      <c r="F287" s="218" t="s">
        <v>2304</v>
      </c>
      <c r="G287" s="53"/>
      <c r="H287" s="67" t="s">
        <v>1147</v>
      </c>
      <c r="I287" s="33" t="s">
        <v>2494</v>
      </c>
      <c r="J287" s="63"/>
      <c r="K287" s="33" t="s">
        <v>519</v>
      </c>
      <c r="L287" s="360"/>
      <c r="M287" s="40"/>
      <c r="N287" s="360">
        <v>1194</v>
      </c>
      <c r="O287" s="72" t="s">
        <v>3086</v>
      </c>
      <c r="P287" s="33">
        <v>2007</v>
      </c>
      <c r="Q287" s="40"/>
      <c r="R287" s="40"/>
      <c r="S287" s="40"/>
      <c r="T287" s="40" t="s">
        <v>12</v>
      </c>
      <c r="U287" s="251">
        <v>1797674273.4540961</v>
      </c>
      <c r="V287" s="33" t="s">
        <v>43</v>
      </c>
      <c r="W287" s="127"/>
      <c r="X287" s="206" t="str">
        <f t="shared" si="97"/>
        <v>4.13.01</v>
      </c>
      <c r="Y287" s="207" t="str">
        <f t="shared" si="83"/>
        <v>JALAN</v>
      </c>
      <c r="Z287" s="207">
        <f t="shared" si="84"/>
        <v>10</v>
      </c>
      <c r="AA287" s="233">
        <f t="shared" si="86"/>
        <v>179767426.3454096</v>
      </c>
      <c r="AB287" s="208">
        <f t="shared" si="87"/>
        <v>6</v>
      </c>
      <c r="AC287" s="233">
        <f t="shared" si="88"/>
        <v>1078604558.0724576</v>
      </c>
      <c r="AD287" s="233">
        <f t="shared" si="89"/>
        <v>179767426.3454096</v>
      </c>
      <c r="AE287" s="233">
        <f t="shared" si="90"/>
        <v>179767426.3454096</v>
      </c>
      <c r="AF287" s="233">
        <f t="shared" si="91"/>
        <v>179767426.3454096</v>
      </c>
      <c r="AG287" s="233">
        <f t="shared" si="92"/>
        <v>179767426.3454096</v>
      </c>
      <c r="AH287" s="238">
        <f t="shared" si="93"/>
        <v>0</v>
      </c>
      <c r="AI287" s="238">
        <f t="shared" si="94"/>
        <v>1797674263.4540961</v>
      </c>
      <c r="AJ287" s="261">
        <f t="shared" si="95"/>
        <v>2007</v>
      </c>
      <c r="AK287" s="233">
        <f t="shared" si="96"/>
        <v>10</v>
      </c>
      <c r="AM287" s="116" t="s">
        <v>4245</v>
      </c>
    </row>
    <row r="288" spans="1:39" s="116" customFormat="1" ht="35.25" hidden="1" customHeight="1" x14ac:dyDescent="0.2">
      <c r="B288" s="116" t="e">
        <f t="shared" si="82"/>
        <v>#N/A</v>
      </c>
      <c r="F288" s="218" t="s">
        <v>2304</v>
      </c>
      <c r="G288" s="53"/>
      <c r="H288" s="67" t="s">
        <v>1148</v>
      </c>
      <c r="I288" s="33" t="s">
        <v>2494</v>
      </c>
      <c r="J288" s="63"/>
      <c r="K288" s="33" t="s">
        <v>519</v>
      </c>
      <c r="L288" s="360"/>
      <c r="M288" s="40"/>
      <c r="N288" s="360">
        <v>3000</v>
      </c>
      <c r="O288" s="72" t="s">
        <v>3087</v>
      </c>
      <c r="P288" s="33">
        <v>2007</v>
      </c>
      <c r="Q288" s="40"/>
      <c r="R288" s="40"/>
      <c r="S288" s="40"/>
      <c r="T288" s="40" t="s">
        <v>12</v>
      </c>
      <c r="U288" s="251">
        <v>2826398290.872139</v>
      </c>
      <c r="V288" s="33" t="s">
        <v>43</v>
      </c>
      <c r="W288" s="127"/>
      <c r="X288" s="206" t="str">
        <f t="shared" si="97"/>
        <v>4.13.01</v>
      </c>
      <c r="Y288" s="207" t="str">
        <f t="shared" si="83"/>
        <v>JALAN</v>
      </c>
      <c r="Z288" s="207">
        <f t="shared" si="84"/>
        <v>10</v>
      </c>
      <c r="AA288" s="233">
        <f t="shared" si="86"/>
        <v>282639828.08721387</v>
      </c>
      <c r="AB288" s="208">
        <f t="shared" si="87"/>
        <v>6</v>
      </c>
      <c r="AC288" s="233">
        <f t="shared" si="88"/>
        <v>1695838968.5232832</v>
      </c>
      <c r="AD288" s="233">
        <f t="shared" si="89"/>
        <v>282639828.08721387</v>
      </c>
      <c r="AE288" s="233">
        <f t="shared" si="90"/>
        <v>282639828.08721387</v>
      </c>
      <c r="AF288" s="233">
        <f t="shared" si="91"/>
        <v>282639828.08721387</v>
      </c>
      <c r="AG288" s="233">
        <f t="shared" si="92"/>
        <v>282639828.08721387</v>
      </c>
      <c r="AH288" s="238">
        <f t="shared" si="93"/>
        <v>0</v>
      </c>
      <c r="AI288" s="238">
        <f t="shared" si="94"/>
        <v>2826398280.872139</v>
      </c>
      <c r="AJ288" s="261">
        <f t="shared" si="95"/>
        <v>2007</v>
      </c>
      <c r="AK288" s="233">
        <f t="shared" si="96"/>
        <v>10</v>
      </c>
    </row>
    <row r="289" spans="1:39" s="116" customFormat="1" ht="35.25" hidden="1" customHeight="1" x14ac:dyDescent="0.2">
      <c r="A289" s="116">
        <v>65</v>
      </c>
      <c r="B289" s="116" t="str">
        <f t="shared" si="82"/>
        <v>SIMP. STM BERINGIN - SAWAH</v>
      </c>
      <c r="D289" s="116">
        <v>2</v>
      </c>
      <c r="E289" s="120" t="str">
        <f>A289&amp;"."&amp;D289</f>
        <v>65.2</v>
      </c>
      <c r="F289" s="218" t="s">
        <v>2304</v>
      </c>
      <c r="G289" s="53"/>
      <c r="H289" s="67" t="s">
        <v>1149</v>
      </c>
      <c r="I289" s="33" t="s">
        <v>2494</v>
      </c>
      <c r="J289" s="63"/>
      <c r="K289" s="33" t="s">
        <v>519</v>
      </c>
      <c r="L289" s="360"/>
      <c r="M289" s="40"/>
      <c r="N289" s="360">
        <v>1500</v>
      </c>
      <c r="O289" s="72" t="s">
        <v>3088</v>
      </c>
      <c r="P289" s="33">
        <v>2007</v>
      </c>
      <c r="Q289" s="40"/>
      <c r="R289" s="40"/>
      <c r="S289" s="40"/>
      <c r="T289" s="40" t="s">
        <v>12</v>
      </c>
      <c r="U289" s="251">
        <v>1990033077.2583308</v>
      </c>
      <c r="V289" s="33" t="s">
        <v>43</v>
      </c>
      <c r="W289" s="127"/>
      <c r="X289" s="206" t="str">
        <f t="shared" si="97"/>
        <v>4.13.01</v>
      </c>
      <c r="Y289" s="207" t="str">
        <f t="shared" si="83"/>
        <v>JALAN</v>
      </c>
      <c r="Z289" s="207">
        <f t="shared" si="84"/>
        <v>10</v>
      </c>
      <c r="AA289" s="233">
        <f t="shared" si="86"/>
        <v>199003306.72583309</v>
      </c>
      <c r="AB289" s="208">
        <f t="shared" si="87"/>
        <v>6</v>
      </c>
      <c r="AC289" s="233">
        <f t="shared" si="88"/>
        <v>1194019840.3549986</v>
      </c>
      <c r="AD289" s="233">
        <f t="shared" si="89"/>
        <v>199003306.72583309</v>
      </c>
      <c r="AE289" s="233">
        <f t="shared" si="90"/>
        <v>199003306.72583309</v>
      </c>
      <c r="AF289" s="233">
        <f t="shared" si="91"/>
        <v>199003306.72583309</v>
      </c>
      <c r="AG289" s="233">
        <f t="shared" si="92"/>
        <v>199003306.72583309</v>
      </c>
      <c r="AH289" s="238">
        <f t="shared" si="93"/>
        <v>0</v>
      </c>
      <c r="AI289" s="238">
        <f t="shared" si="94"/>
        <v>1990033067.2583313</v>
      </c>
      <c r="AJ289" s="261">
        <f t="shared" si="95"/>
        <v>2007</v>
      </c>
      <c r="AK289" s="233">
        <f t="shared" si="96"/>
        <v>9.9999995231628418</v>
      </c>
      <c r="AM289" s="116" t="s">
        <v>4245</v>
      </c>
    </row>
    <row r="290" spans="1:39" s="116" customFormat="1" ht="35.25" hidden="1" customHeight="1" x14ac:dyDescent="0.2">
      <c r="B290" s="116" t="e">
        <f t="shared" si="82"/>
        <v>#N/A</v>
      </c>
      <c r="F290" s="218" t="s">
        <v>2304</v>
      </c>
      <c r="G290" s="53"/>
      <c r="H290" s="67" t="s">
        <v>1150</v>
      </c>
      <c r="I290" s="33" t="s">
        <v>2494</v>
      </c>
      <c r="J290" s="63"/>
      <c r="K290" s="33" t="s">
        <v>519</v>
      </c>
      <c r="L290" s="360"/>
      <c r="M290" s="40"/>
      <c r="N290" s="360">
        <v>2275</v>
      </c>
      <c r="O290" s="72" t="s">
        <v>3087</v>
      </c>
      <c r="P290" s="33">
        <v>2007</v>
      </c>
      <c r="Q290" s="40"/>
      <c r="R290" s="40"/>
      <c r="S290" s="40"/>
      <c r="T290" s="40" t="s">
        <v>12</v>
      </c>
      <c r="U290" s="251">
        <v>2194386304.3273997</v>
      </c>
      <c r="V290" s="33" t="s">
        <v>43</v>
      </c>
      <c r="W290" s="127"/>
      <c r="X290" s="206" t="str">
        <f t="shared" si="97"/>
        <v>4.13.01</v>
      </c>
      <c r="Y290" s="207" t="str">
        <f t="shared" si="83"/>
        <v>JALAN</v>
      </c>
      <c r="Z290" s="207">
        <f t="shared" si="84"/>
        <v>10</v>
      </c>
      <c r="AA290" s="233">
        <f t="shared" si="86"/>
        <v>219438629.43273997</v>
      </c>
      <c r="AB290" s="208">
        <f t="shared" si="87"/>
        <v>6</v>
      </c>
      <c r="AC290" s="233">
        <f t="shared" si="88"/>
        <v>1316631776.5964398</v>
      </c>
      <c r="AD290" s="233">
        <f t="shared" si="89"/>
        <v>219438629.43273997</v>
      </c>
      <c r="AE290" s="233">
        <f t="shared" si="90"/>
        <v>219438629.43273997</v>
      </c>
      <c r="AF290" s="233">
        <f t="shared" si="91"/>
        <v>219438629.43273997</v>
      </c>
      <c r="AG290" s="233">
        <f t="shared" si="92"/>
        <v>219438629.43273997</v>
      </c>
      <c r="AH290" s="238">
        <f t="shared" si="93"/>
        <v>0</v>
      </c>
      <c r="AI290" s="238">
        <f t="shared" si="94"/>
        <v>2194386294.3273997</v>
      </c>
      <c r="AJ290" s="261">
        <f t="shared" si="95"/>
        <v>2007</v>
      </c>
      <c r="AK290" s="233">
        <f t="shared" si="96"/>
        <v>10</v>
      </c>
    </row>
    <row r="291" spans="1:39" s="116" customFormat="1" ht="35.25" hidden="1" customHeight="1" x14ac:dyDescent="0.2">
      <c r="B291" s="116" t="e">
        <f t="shared" si="82"/>
        <v>#N/A</v>
      </c>
      <c r="F291" s="218" t="s">
        <v>2304</v>
      </c>
      <c r="G291" s="53"/>
      <c r="H291" s="67" t="s">
        <v>1151</v>
      </c>
      <c r="I291" s="33" t="s">
        <v>2494</v>
      </c>
      <c r="J291" s="63"/>
      <c r="K291" s="33" t="s">
        <v>519</v>
      </c>
      <c r="L291" s="360"/>
      <c r="M291" s="40"/>
      <c r="N291" s="360"/>
      <c r="O291" s="72" t="s">
        <v>3089</v>
      </c>
      <c r="P291" s="33">
        <v>2007</v>
      </c>
      <c r="Q291" s="40"/>
      <c r="R291" s="40"/>
      <c r="S291" s="40"/>
      <c r="T291" s="40" t="s">
        <v>12</v>
      </c>
      <c r="U291" s="251">
        <v>5037798091.3787003</v>
      </c>
      <c r="V291" s="33" t="s">
        <v>43</v>
      </c>
      <c r="W291" s="127"/>
      <c r="X291" s="206" t="str">
        <f t="shared" si="97"/>
        <v>4.13.01</v>
      </c>
      <c r="Y291" s="207" t="str">
        <f t="shared" si="83"/>
        <v>JALAN</v>
      </c>
      <c r="Z291" s="207">
        <f t="shared" si="84"/>
        <v>10</v>
      </c>
      <c r="AA291" s="233">
        <f t="shared" si="86"/>
        <v>503779808.13787001</v>
      </c>
      <c r="AB291" s="208">
        <f t="shared" si="87"/>
        <v>6</v>
      </c>
      <c r="AC291" s="233">
        <f t="shared" si="88"/>
        <v>3022678848.82722</v>
      </c>
      <c r="AD291" s="233">
        <f t="shared" si="89"/>
        <v>503779808.13787001</v>
      </c>
      <c r="AE291" s="233">
        <f t="shared" si="90"/>
        <v>503779808.13787001</v>
      </c>
      <c r="AF291" s="233">
        <f t="shared" si="91"/>
        <v>503779808.13787001</v>
      </c>
      <c r="AG291" s="233">
        <f t="shared" si="92"/>
        <v>503779808.13787001</v>
      </c>
      <c r="AH291" s="238">
        <f t="shared" si="93"/>
        <v>0</v>
      </c>
      <c r="AI291" s="238">
        <f t="shared" si="94"/>
        <v>5037798081.3786993</v>
      </c>
      <c r="AJ291" s="261">
        <f t="shared" si="95"/>
        <v>2007</v>
      </c>
      <c r="AK291" s="233">
        <f t="shared" si="96"/>
        <v>10.000000953674316</v>
      </c>
    </row>
    <row r="292" spans="1:39" s="116" customFormat="1" ht="35.25" hidden="1" customHeight="1" x14ac:dyDescent="0.2">
      <c r="B292" s="116" t="e">
        <f t="shared" si="82"/>
        <v>#N/A</v>
      </c>
      <c r="F292" s="218" t="s">
        <v>2304</v>
      </c>
      <c r="G292" s="53"/>
      <c r="H292" s="67" t="s">
        <v>1152</v>
      </c>
      <c r="I292" s="33" t="s">
        <v>2494</v>
      </c>
      <c r="J292" s="63"/>
      <c r="K292" s="33" t="s">
        <v>519</v>
      </c>
      <c r="L292" s="360"/>
      <c r="M292" s="40"/>
      <c r="N292" s="360">
        <v>1000</v>
      </c>
      <c r="O292" s="72" t="s">
        <v>3090</v>
      </c>
      <c r="P292" s="33">
        <v>2007</v>
      </c>
      <c r="Q292" s="40"/>
      <c r="R292" s="40"/>
      <c r="S292" s="40"/>
      <c r="T292" s="40" t="s">
        <v>12</v>
      </c>
      <c r="U292" s="251">
        <v>1259881574.9739072</v>
      </c>
      <c r="V292" s="33" t="s">
        <v>43</v>
      </c>
      <c r="W292" s="127"/>
      <c r="X292" s="206" t="str">
        <f t="shared" si="97"/>
        <v>4.13.01</v>
      </c>
      <c r="Y292" s="207" t="str">
        <f t="shared" si="83"/>
        <v>JALAN</v>
      </c>
      <c r="Z292" s="207">
        <f t="shared" si="84"/>
        <v>10</v>
      </c>
      <c r="AA292" s="233">
        <f t="shared" si="86"/>
        <v>125988156.49739072</v>
      </c>
      <c r="AB292" s="208">
        <f t="shared" si="87"/>
        <v>6</v>
      </c>
      <c r="AC292" s="233">
        <f t="shared" si="88"/>
        <v>755928938.98434424</v>
      </c>
      <c r="AD292" s="233">
        <f t="shared" si="89"/>
        <v>125988156.49739072</v>
      </c>
      <c r="AE292" s="233">
        <f t="shared" si="90"/>
        <v>125988156.49739072</v>
      </c>
      <c r="AF292" s="233">
        <f t="shared" si="91"/>
        <v>125988156.49739072</v>
      </c>
      <c r="AG292" s="233">
        <f t="shared" si="92"/>
        <v>125988156.49739072</v>
      </c>
      <c r="AH292" s="238">
        <f t="shared" si="93"/>
        <v>0</v>
      </c>
      <c r="AI292" s="238">
        <f t="shared" si="94"/>
        <v>1259881564.9739072</v>
      </c>
      <c r="AJ292" s="261">
        <f t="shared" si="95"/>
        <v>2007</v>
      </c>
      <c r="AK292" s="233">
        <f t="shared" si="96"/>
        <v>10</v>
      </c>
    </row>
    <row r="293" spans="1:39" s="116" customFormat="1" ht="35.25" hidden="1" customHeight="1" x14ac:dyDescent="0.2">
      <c r="B293" s="116" t="e">
        <f t="shared" si="82"/>
        <v>#N/A</v>
      </c>
      <c r="F293" s="218" t="s">
        <v>2304</v>
      </c>
      <c r="G293" s="53"/>
      <c r="H293" s="67" t="s">
        <v>1153</v>
      </c>
      <c r="I293" s="33" t="s">
        <v>2494</v>
      </c>
      <c r="J293" s="63"/>
      <c r="K293" s="33" t="s">
        <v>519</v>
      </c>
      <c r="L293" s="360"/>
      <c r="M293" s="40"/>
      <c r="N293" s="360">
        <v>1158</v>
      </c>
      <c r="O293" s="72" t="s">
        <v>830</v>
      </c>
      <c r="P293" s="33">
        <v>2007</v>
      </c>
      <c r="Q293" s="40"/>
      <c r="R293" s="40"/>
      <c r="S293" s="40"/>
      <c r="T293" s="40" t="s">
        <v>12</v>
      </c>
      <c r="U293" s="251">
        <v>1445197841.9462903</v>
      </c>
      <c r="V293" s="33" t="s">
        <v>43</v>
      </c>
      <c r="W293" s="127"/>
      <c r="X293" s="206" t="str">
        <f t="shared" si="97"/>
        <v>4.13.01</v>
      </c>
      <c r="Y293" s="207" t="str">
        <f t="shared" si="83"/>
        <v>JALAN</v>
      </c>
      <c r="Z293" s="207">
        <f t="shared" si="84"/>
        <v>10</v>
      </c>
      <c r="AA293" s="233">
        <f t="shared" si="86"/>
        <v>144519783.19462901</v>
      </c>
      <c r="AB293" s="208">
        <f t="shared" si="87"/>
        <v>6</v>
      </c>
      <c r="AC293" s="233">
        <f t="shared" si="88"/>
        <v>867118699.16777408</v>
      </c>
      <c r="AD293" s="233">
        <f t="shared" si="89"/>
        <v>144519783.19462901</v>
      </c>
      <c r="AE293" s="233">
        <f t="shared" si="90"/>
        <v>144519783.19462901</v>
      </c>
      <c r="AF293" s="233">
        <f t="shared" si="91"/>
        <v>144519783.19462901</v>
      </c>
      <c r="AG293" s="233">
        <f t="shared" si="92"/>
        <v>144519783.19462901</v>
      </c>
      <c r="AH293" s="238">
        <f t="shared" si="93"/>
        <v>0</v>
      </c>
      <c r="AI293" s="238">
        <f t="shared" si="94"/>
        <v>1445197831.94629</v>
      </c>
      <c r="AJ293" s="261">
        <f t="shared" si="95"/>
        <v>2007</v>
      </c>
      <c r="AK293" s="233">
        <f t="shared" si="96"/>
        <v>10.000000238418579</v>
      </c>
    </row>
    <row r="294" spans="1:39" s="116" customFormat="1" ht="35.25" hidden="1" customHeight="1" x14ac:dyDescent="0.2">
      <c r="A294" s="116">
        <v>28</v>
      </c>
      <c r="B294" s="116" t="str">
        <f t="shared" si="82"/>
        <v>PL. KOMANG SENTAJO - KOTO SENTAJO</v>
      </c>
      <c r="D294" s="116">
        <v>1</v>
      </c>
      <c r="E294" s="120" t="str">
        <f>A294&amp;"."&amp;D294</f>
        <v>28.1</v>
      </c>
      <c r="F294" s="218" t="s">
        <v>2304</v>
      </c>
      <c r="G294" s="53"/>
      <c r="H294" s="67" t="s">
        <v>1154</v>
      </c>
      <c r="I294" s="33" t="s">
        <v>2494</v>
      </c>
      <c r="J294" s="63"/>
      <c r="K294" s="33" t="s">
        <v>519</v>
      </c>
      <c r="L294" s="360">
        <v>6500</v>
      </c>
      <c r="M294" s="40">
        <v>8</v>
      </c>
      <c r="N294" s="360">
        <v>52000</v>
      </c>
      <c r="O294" s="72" t="s">
        <v>3091</v>
      </c>
      <c r="P294" s="33">
        <v>2007</v>
      </c>
      <c r="Q294" s="40"/>
      <c r="R294" s="40"/>
      <c r="S294" s="40"/>
      <c r="T294" s="40" t="s">
        <v>12</v>
      </c>
      <c r="U294" s="251">
        <v>3995337645.1723862</v>
      </c>
      <c r="V294" s="33" t="s">
        <v>43</v>
      </c>
      <c r="W294" s="127"/>
      <c r="X294" s="206" t="str">
        <f t="shared" si="97"/>
        <v>4.13.01</v>
      </c>
      <c r="Y294" s="207" t="str">
        <f t="shared" si="83"/>
        <v>JALAN</v>
      </c>
      <c r="Z294" s="207">
        <f t="shared" si="84"/>
        <v>10</v>
      </c>
      <c r="AA294" s="233">
        <f t="shared" si="86"/>
        <v>399533763.51723862</v>
      </c>
      <c r="AB294" s="208">
        <f t="shared" si="87"/>
        <v>6</v>
      </c>
      <c r="AC294" s="233">
        <f t="shared" si="88"/>
        <v>2397202581.1034317</v>
      </c>
      <c r="AD294" s="233">
        <f t="shared" si="89"/>
        <v>399533763.51723862</v>
      </c>
      <c r="AE294" s="233">
        <f t="shared" si="90"/>
        <v>399533763.51723862</v>
      </c>
      <c r="AF294" s="233">
        <f t="shared" si="91"/>
        <v>399533763.51723862</v>
      </c>
      <c r="AG294" s="233">
        <f t="shared" si="92"/>
        <v>399533763.51723862</v>
      </c>
      <c r="AH294" s="238">
        <f t="shared" si="93"/>
        <v>0</v>
      </c>
      <c r="AI294" s="238">
        <f t="shared" si="94"/>
        <v>3995337635.1723862</v>
      </c>
      <c r="AJ294" s="261">
        <f t="shared" si="95"/>
        <v>2007</v>
      </c>
      <c r="AK294" s="233">
        <f t="shared" si="96"/>
        <v>10</v>
      </c>
    </row>
    <row r="295" spans="1:39" s="116" customFormat="1" ht="35.25" hidden="1" customHeight="1" x14ac:dyDescent="0.2">
      <c r="B295" s="116" t="e">
        <f t="shared" ref="B295:B354" si="98">VLOOKUP(A295,RUAS,2,0)</f>
        <v>#N/A</v>
      </c>
      <c r="F295" s="218" t="s">
        <v>2304</v>
      </c>
      <c r="G295" s="53"/>
      <c r="H295" s="67" t="s">
        <v>1155</v>
      </c>
      <c r="I295" s="33" t="s">
        <v>2494</v>
      </c>
      <c r="J295" s="63"/>
      <c r="K295" s="33" t="s">
        <v>519</v>
      </c>
      <c r="L295" s="360"/>
      <c r="M295" s="40"/>
      <c r="N295" s="360"/>
      <c r="O295" s="72" t="s">
        <v>3092</v>
      </c>
      <c r="P295" s="33">
        <v>2007</v>
      </c>
      <c r="Q295" s="40"/>
      <c r="R295" s="40"/>
      <c r="S295" s="40"/>
      <c r="T295" s="40" t="s">
        <v>12</v>
      </c>
      <c r="U295" s="251">
        <v>92623120.774719015</v>
      </c>
      <c r="V295" s="33"/>
      <c r="W295" s="127"/>
      <c r="X295" s="206" t="str">
        <f t="shared" si="97"/>
        <v>4.13.01</v>
      </c>
      <c r="Y295" s="207" t="str">
        <f t="shared" ref="Y295:Y354" si="99">VLOOKUP(X295,kelompok,2,0)</f>
        <v>JALAN</v>
      </c>
      <c r="Z295" s="207">
        <f t="shared" ref="Z295:Z354" si="100">VLOOKUP(X295,MASAMANFAAT,4,0)</f>
        <v>10</v>
      </c>
      <c r="AA295" s="233">
        <f t="shared" si="86"/>
        <v>9262311.0774719007</v>
      </c>
      <c r="AB295" s="208">
        <f t="shared" si="87"/>
        <v>6</v>
      </c>
      <c r="AC295" s="233">
        <f t="shared" si="88"/>
        <v>55573866.464831404</v>
      </c>
      <c r="AD295" s="233">
        <f t="shared" si="89"/>
        <v>9262311.0774719007</v>
      </c>
      <c r="AE295" s="233">
        <f t="shared" si="90"/>
        <v>9262311.0774719007</v>
      </c>
      <c r="AF295" s="233">
        <f t="shared" si="91"/>
        <v>9262311.0774719007</v>
      </c>
      <c r="AG295" s="233">
        <f t="shared" si="92"/>
        <v>9262311.0774719007</v>
      </c>
      <c r="AH295" s="238">
        <f t="shared" si="93"/>
        <v>0</v>
      </c>
      <c r="AI295" s="238">
        <f t="shared" si="94"/>
        <v>92623110.774719</v>
      </c>
      <c r="AJ295" s="261">
        <f t="shared" si="95"/>
        <v>2007</v>
      </c>
      <c r="AK295" s="233">
        <f t="shared" si="96"/>
        <v>10.000000014901161</v>
      </c>
    </row>
    <row r="296" spans="1:39" s="116" customFormat="1" ht="35.25" hidden="1" customHeight="1" x14ac:dyDescent="0.2">
      <c r="A296" s="116">
        <v>245</v>
      </c>
      <c r="B296" s="116" t="str">
        <f t="shared" si="98"/>
        <v>SIMP. 4 PT. WANASARI - SUKAMAJU</v>
      </c>
      <c r="D296" s="116">
        <v>1</v>
      </c>
      <c r="E296" s="116" t="str">
        <f>A296&amp;"."&amp;D296</f>
        <v>245.1</v>
      </c>
      <c r="F296" s="218" t="s">
        <v>2304</v>
      </c>
      <c r="G296" s="53"/>
      <c r="H296" s="67" t="s">
        <v>1156</v>
      </c>
      <c r="I296" s="33" t="s">
        <v>2494</v>
      </c>
      <c r="J296" s="63"/>
      <c r="K296" s="33" t="s">
        <v>519</v>
      </c>
      <c r="L296" s="360"/>
      <c r="M296" s="40"/>
      <c r="N296" s="360"/>
      <c r="O296" s="72" t="s">
        <v>3093</v>
      </c>
      <c r="P296" s="33">
        <v>2007</v>
      </c>
      <c r="Q296" s="40"/>
      <c r="R296" s="40"/>
      <c r="S296" s="40"/>
      <c r="T296" s="40" t="s">
        <v>12</v>
      </c>
      <c r="U296" s="251">
        <v>9470100204.3266697</v>
      </c>
      <c r="V296" s="33" t="s">
        <v>43</v>
      </c>
      <c r="W296" s="127">
        <v>1858553044</v>
      </c>
      <c r="X296" s="206" t="str">
        <f t="shared" si="97"/>
        <v>4.13.01</v>
      </c>
      <c r="Y296" s="207" t="str">
        <f t="shared" si="99"/>
        <v>JALAN</v>
      </c>
      <c r="Z296" s="207">
        <f t="shared" si="100"/>
        <v>10</v>
      </c>
      <c r="AA296" s="233">
        <f t="shared" ref="AA296:AA355" si="101">(U296-10)/Z296</f>
        <v>947010019.43266702</v>
      </c>
      <c r="AB296" s="208">
        <f t="shared" ref="AB296:AB355" si="102">2013-AJ296</f>
        <v>6</v>
      </c>
      <c r="AC296" s="233">
        <f t="shared" ref="AC296:AC355" si="103">IF(AB296&gt;Z296,U296-10,AA296*AB296)</f>
        <v>5682060116.5960026</v>
      </c>
      <c r="AD296" s="233">
        <f t="shared" ref="AD296:AD355" si="104">IF(U296-10=AC296,0,AA296)</f>
        <v>947010019.43266702</v>
      </c>
      <c r="AE296" s="233">
        <f t="shared" ref="AE296:AE355" si="105">IF(U296-10=AC296+AD296,0,AA296)</f>
        <v>947010019.43266702</v>
      </c>
      <c r="AF296" s="233">
        <f t="shared" ref="AF296:AF355" si="106">IF(U296-10=AC296+AD296+AE296,0,AA296)</f>
        <v>947010019.43266702</v>
      </c>
      <c r="AG296" s="233">
        <f t="shared" ref="AG296:AG355" si="107">IF(U296-10=AD296+AE296+AF296+AC296,0,AA296)</f>
        <v>947010019.43266702</v>
      </c>
      <c r="AH296" s="238">
        <f t="shared" ref="AH296:AH355" si="108">IF(U296-10=AD296+AE296+AF296+AC296+AG296,0,AA296)</f>
        <v>0</v>
      </c>
      <c r="AI296" s="238">
        <f t="shared" ref="AI296:AI355" si="109">SUM(AC296:AH296)</f>
        <v>9470100194.3266697</v>
      </c>
      <c r="AJ296" s="261">
        <f t="shared" ref="AJ296:AJ355" si="110">P296</f>
        <v>2007</v>
      </c>
      <c r="AK296" s="233">
        <f t="shared" ref="AK296:AK355" si="111">U296-AI296</f>
        <v>10</v>
      </c>
    </row>
    <row r="297" spans="1:39" s="116" customFormat="1" ht="35.25" hidden="1" customHeight="1" x14ac:dyDescent="0.2">
      <c r="B297" s="116" t="e">
        <f t="shared" si="98"/>
        <v>#N/A</v>
      </c>
      <c r="F297" s="218" t="s">
        <v>2304</v>
      </c>
      <c r="G297" s="53"/>
      <c r="H297" s="67" t="s">
        <v>1157</v>
      </c>
      <c r="I297" s="33" t="s">
        <v>2494</v>
      </c>
      <c r="J297" s="63"/>
      <c r="K297" s="33" t="s">
        <v>519</v>
      </c>
      <c r="L297" s="360"/>
      <c r="M297" s="40"/>
      <c r="N297" s="360">
        <v>1000</v>
      </c>
      <c r="O297" s="72" t="s">
        <v>3094</v>
      </c>
      <c r="P297" s="33">
        <v>2007</v>
      </c>
      <c r="Q297" s="40"/>
      <c r="R297" s="40"/>
      <c r="S297" s="40"/>
      <c r="T297" s="40" t="s">
        <v>12</v>
      </c>
      <c r="U297" s="251">
        <v>1495355556.08446</v>
      </c>
      <c r="V297" s="33" t="s">
        <v>43</v>
      </c>
      <c r="W297" s="127"/>
      <c r="X297" s="206" t="str">
        <f t="shared" si="97"/>
        <v>4.13.01</v>
      </c>
      <c r="Y297" s="207" t="str">
        <f t="shared" si="99"/>
        <v>JALAN</v>
      </c>
      <c r="Z297" s="207">
        <f t="shared" si="100"/>
        <v>10</v>
      </c>
      <c r="AA297" s="233">
        <f t="shared" si="101"/>
        <v>149535554.608446</v>
      </c>
      <c r="AB297" s="208">
        <f t="shared" si="102"/>
        <v>6</v>
      </c>
      <c r="AC297" s="233">
        <f t="shared" si="103"/>
        <v>897213327.65067601</v>
      </c>
      <c r="AD297" s="233">
        <f t="shared" si="104"/>
        <v>149535554.608446</v>
      </c>
      <c r="AE297" s="233">
        <f t="shared" si="105"/>
        <v>149535554.608446</v>
      </c>
      <c r="AF297" s="233">
        <f t="shared" si="106"/>
        <v>149535554.608446</v>
      </c>
      <c r="AG297" s="233">
        <f t="shared" si="107"/>
        <v>149535554.608446</v>
      </c>
      <c r="AH297" s="238">
        <f t="shared" si="108"/>
        <v>0</v>
      </c>
      <c r="AI297" s="238">
        <f t="shared" si="109"/>
        <v>1495355546.0844603</v>
      </c>
      <c r="AJ297" s="261">
        <f t="shared" si="110"/>
        <v>2007</v>
      </c>
      <c r="AK297" s="233">
        <f t="shared" si="111"/>
        <v>9.9999997615814209</v>
      </c>
    </row>
    <row r="298" spans="1:39" s="116" customFormat="1" ht="35.25" hidden="1" customHeight="1" x14ac:dyDescent="0.2">
      <c r="B298" s="116" t="e">
        <f t="shared" si="98"/>
        <v>#N/A</v>
      </c>
      <c r="F298" s="218" t="s">
        <v>2304</v>
      </c>
      <c r="G298" s="53"/>
      <c r="H298" s="67" t="s">
        <v>1158</v>
      </c>
      <c r="I298" s="33" t="s">
        <v>2494</v>
      </c>
      <c r="J298" s="63"/>
      <c r="K298" s="33" t="s">
        <v>519</v>
      </c>
      <c r="L298" s="360"/>
      <c r="M298" s="40"/>
      <c r="N298" s="360">
        <v>210</v>
      </c>
      <c r="O298" s="72" t="s">
        <v>3095</v>
      </c>
      <c r="P298" s="33">
        <v>2007</v>
      </c>
      <c r="Q298" s="40"/>
      <c r="R298" s="40"/>
      <c r="S298" s="40"/>
      <c r="T298" s="40" t="s">
        <v>12</v>
      </c>
      <c r="U298" s="251">
        <v>1601590326.3398361</v>
      </c>
      <c r="V298" s="33" t="s">
        <v>43</v>
      </c>
      <c r="W298" s="127"/>
      <c r="X298" s="206" t="str">
        <f t="shared" si="97"/>
        <v>4.13.01</v>
      </c>
      <c r="Y298" s="207" t="str">
        <f t="shared" si="99"/>
        <v>JALAN</v>
      </c>
      <c r="Z298" s="207">
        <f t="shared" si="100"/>
        <v>10</v>
      </c>
      <c r="AA298" s="233">
        <f t="shared" si="101"/>
        <v>160159031.63398361</v>
      </c>
      <c r="AB298" s="208">
        <f t="shared" si="102"/>
        <v>6</v>
      </c>
      <c r="AC298" s="233">
        <f t="shared" si="103"/>
        <v>960954189.80390167</v>
      </c>
      <c r="AD298" s="233">
        <f t="shared" si="104"/>
        <v>160159031.63398361</v>
      </c>
      <c r="AE298" s="233">
        <f t="shared" si="105"/>
        <v>160159031.63398361</v>
      </c>
      <c r="AF298" s="233">
        <f t="shared" si="106"/>
        <v>160159031.63398361</v>
      </c>
      <c r="AG298" s="233">
        <f t="shared" si="107"/>
        <v>160159031.63398361</v>
      </c>
      <c r="AH298" s="238">
        <f t="shared" si="108"/>
        <v>0</v>
      </c>
      <c r="AI298" s="238">
        <f t="shared" si="109"/>
        <v>1601590316.3398361</v>
      </c>
      <c r="AJ298" s="261">
        <f t="shared" si="110"/>
        <v>2007</v>
      </c>
      <c r="AK298" s="233">
        <f t="shared" si="111"/>
        <v>10</v>
      </c>
    </row>
    <row r="299" spans="1:39" s="116" customFormat="1" ht="35.25" hidden="1" customHeight="1" x14ac:dyDescent="0.2">
      <c r="A299" s="116">
        <v>90</v>
      </c>
      <c r="B299" s="116" t="str">
        <f t="shared" si="98"/>
        <v>SANGAU - SIBEROBAH</v>
      </c>
      <c r="D299" s="116">
        <v>1</v>
      </c>
      <c r="E299" s="120" t="str">
        <f>A299&amp;"."&amp;D299</f>
        <v>90.1</v>
      </c>
      <c r="F299" s="218" t="s">
        <v>2304</v>
      </c>
      <c r="G299" s="53"/>
      <c r="H299" s="67" t="s">
        <v>1159</v>
      </c>
      <c r="I299" s="33" t="s">
        <v>2494</v>
      </c>
      <c r="J299" s="63"/>
      <c r="K299" s="33" t="s">
        <v>519</v>
      </c>
      <c r="L299" s="360"/>
      <c r="M299" s="40"/>
      <c r="N299" s="360">
        <v>1000</v>
      </c>
      <c r="O299" s="72" t="s">
        <v>3096</v>
      </c>
      <c r="P299" s="33">
        <v>2007</v>
      </c>
      <c r="Q299" s="40"/>
      <c r="R299" s="40"/>
      <c r="S299" s="40"/>
      <c r="T299" s="40" t="s">
        <v>12</v>
      </c>
      <c r="U299" s="251">
        <v>1236351311.7744997</v>
      </c>
      <c r="V299" s="33" t="s">
        <v>43</v>
      </c>
      <c r="W299" s="127"/>
      <c r="X299" s="206" t="str">
        <f t="shared" si="97"/>
        <v>4.13.01</v>
      </c>
      <c r="Y299" s="207" t="str">
        <f t="shared" si="99"/>
        <v>JALAN</v>
      </c>
      <c r="Z299" s="207">
        <f t="shared" si="100"/>
        <v>10</v>
      </c>
      <c r="AA299" s="233">
        <f t="shared" si="101"/>
        <v>123635130.17744997</v>
      </c>
      <c r="AB299" s="208">
        <f t="shared" si="102"/>
        <v>6</v>
      </c>
      <c r="AC299" s="233">
        <f t="shared" si="103"/>
        <v>741810781.06469989</v>
      </c>
      <c r="AD299" s="233">
        <f t="shared" si="104"/>
        <v>123635130.17744997</v>
      </c>
      <c r="AE299" s="233">
        <f t="shared" si="105"/>
        <v>123635130.17744997</v>
      </c>
      <c r="AF299" s="233">
        <f t="shared" si="106"/>
        <v>123635130.17744997</v>
      </c>
      <c r="AG299" s="233">
        <f t="shared" si="107"/>
        <v>123635130.17744997</v>
      </c>
      <c r="AH299" s="238">
        <f t="shared" si="108"/>
        <v>0</v>
      </c>
      <c r="AI299" s="238">
        <f t="shared" si="109"/>
        <v>1236351301.7744997</v>
      </c>
      <c r="AJ299" s="261">
        <f t="shared" si="110"/>
        <v>2007</v>
      </c>
      <c r="AK299" s="233">
        <f t="shared" si="111"/>
        <v>10</v>
      </c>
    </row>
    <row r="300" spans="1:39" s="116" customFormat="1" ht="35.25" hidden="1" customHeight="1" x14ac:dyDescent="0.2">
      <c r="B300" s="116" t="e">
        <f t="shared" si="98"/>
        <v>#N/A</v>
      </c>
      <c r="F300" s="218" t="s">
        <v>2304</v>
      </c>
      <c r="G300" s="53"/>
      <c r="H300" s="67" t="s">
        <v>1160</v>
      </c>
      <c r="I300" s="33" t="s">
        <v>2494</v>
      </c>
      <c r="J300" s="63"/>
      <c r="K300" s="33" t="s">
        <v>519</v>
      </c>
      <c r="L300" s="360"/>
      <c r="M300" s="40"/>
      <c r="N300" s="360">
        <v>1000</v>
      </c>
      <c r="O300" s="72" t="s">
        <v>3083</v>
      </c>
      <c r="P300" s="33">
        <v>2007</v>
      </c>
      <c r="Q300" s="40"/>
      <c r="R300" s="40"/>
      <c r="S300" s="40"/>
      <c r="T300" s="40" t="s">
        <v>12</v>
      </c>
      <c r="U300" s="251">
        <v>1286184534.3929939</v>
      </c>
      <c r="V300" s="33" t="s">
        <v>43</v>
      </c>
      <c r="W300" s="127"/>
      <c r="X300" s="206" t="str">
        <f t="shared" si="97"/>
        <v>4.13.01</v>
      </c>
      <c r="Y300" s="207" t="str">
        <f t="shared" si="99"/>
        <v>JALAN</v>
      </c>
      <c r="Z300" s="207">
        <f t="shared" si="100"/>
        <v>10</v>
      </c>
      <c r="AA300" s="233">
        <f t="shared" si="101"/>
        <v>128618452.43929939</v>
      </c>
      <c r="AB300" s="208">
        <f t="shared" si="102"/>
        <v>6</v>
      </c>
      <c r="AC300" s="233">
        <f t="shared" si="103"/>
        <v>771710714.63579631</v>
      </c>
      <c r="AD300" s="233">
        <f t="shared" si="104"/>
        <v>128618452.43929939</v>
      </c>
      <c r="AE300" s="233">
        <f t="shared" si="105"/>
        <v>128618452.43929939</v>
      </c>
      <c r="AF300" s="233">
        <f t="shared" si="106"/>
        <v>128618452.43929939</v>
      </c>
      <c r="AG300" s="233">
        <f t="shared" si="107"/>
        <v>128618452.43929939</v>
      </c>
      <c r="AH300" s="238">
        <f t="shared" si="108"/>
        <v>0</v>
      </c>
      <c r="AI300" s="238">
        <f t="shared" si="109"/>
        <v>1286184524.3929937</v>
      </c>
      <c r="AJ300" s="261">
        <f t="shared" si="110"/>
        <v>2007</v>
      </c>
      <c r="AK300" s="233">
        <f t="shared" si="111"/>
        <v>10.000000238418579</v>
      </c>
    </row>
    <row r="301" spans="1:39" s="116" customFormat="1" ht="35.25" hidden="1" customHeight="1" x14ac:dyDescent="0.2">
      <c r="B301" s="116" t="e">
        <f t="shared" si="98"/>
        <v>#N/A</v>
      </c>
      <c r="F301" s="218" t="s">
        <v>2304</v>
      </c>
      <c r="G301" s="53"/>
      <c r="H301" s="67" t="s">
        <v>1161</v>
      </c>
      <c r="I301" s="33" t="s">
        <v>2494</v>
      </c>
      <c r="J301" s="63"/>
      <c r="K301" s="33" t="s">
        <v>519</v>
      </c>
      <c r="L301" s="360"/>
      <c r="M301" s="40"/>
      <c r="N301" s="360">
        <v>2000</v>
      </c>
      <c r="O301" s="72" t="s">
        <v>3097</v>
      </c>
      <c r="P301" s="33">
        <v>2007</v>
      </c>
      <c r="Q301" s="40"/>
      <c r="R301" s="40"/>
      <c r="S301" s="40"/>
      <c r="T301" s="40" t="s">
        <v>12</v>
      </c>
      <c r="U301" s="251">
        <v>3309782443.4143963</v>
      </c>
      <c r="V301" s="33" t="s">
        <v>43</v>
      </c>
      <c r="W301" s="127"/>
      <c r="X301" s="206" t="str">
        <f t="shared" si="97"/>
        <v>4.13.01</v>
      </c>
      <c r="Y301" s="207" t="str">
        <f t="shared" si="99"/>
        <v>JALAN</v>
      </c>
      <c r="Z301" s="207">
        <f t="shared" si="100"/>
        <v>10</v>
      </c>
      <c r="AA301" s="233">
        <f t="shared" si="101"/>
        <v>330978243.3414396</v>
      </c>
      <c r="AB301" s="208">
        <f t="shared" si="102"/>
        <v>6</v>
      </c>
      <c r="AC301" s="233">
        <f t="shared" si="103"/>
        <v>1985869460.0486376</v>
      </c>
      <c r="AD301" s="233">
        <f t="shared" si="104"/>
        <v>330978243.3414396</v>
      </c>
      <c r="AE301" s="233">
        <f t="shared" si="105"/>
        <v>330978243.3414396</v>
      </c>
      <c r="AF301" s="233">
        <f t="shared" si="106"/>
        <v>330978243.3414396</v>
      </c>
      <c r="AG301" s="233">
        <f t="shared" si="107"/>
        <v>330978243.3414396</v>
      </c>
      <c r="AH301" s="238">
        <f t="shared" si="108"/>
        <v>0</v>
      </c>
      <c r="AI301" s="238">
        <f t="shared" si="109"/>
        <v>3309782433.4143963</v>
      </c>
      <c r="AJ301" s="261">
        <f t="shared" si="110"/>
        <v>2007</v>
      </c>
      <c r="AK301" s="233">
        <f t="shared" si="111"/>
        <v>10</v>
      </c>
    </row>
    <row r="302" spans="1:39" s="116" customFormat="1" ht="35.25" hidden="1" customHeight="1" x14ac:dyDescent="0.2">
      <c r="B302" s="116" t="e">
        <f t="shared" si="98"/>
        <v>#N/A</v>
      </c>
      <c r="F302" s="218" t="s">
        <v>2304</v>
      </c>
      <c r="G302" s="53"/>
      <c r="H302" s="67" t="s">
        <v>1162</v>
      </c>
      <c r="I302" s="33" t="s">
        <v>2494</v>
      </c>
      <c r="J302" s="63"/>
      <c r="K302" s="33" t="s">
        <v>519</v>
      </c>
      <c r="L302" s="360"/>
      <c r="M302" s="40"/>
      <c r="N302" s="360">
        <v>1000</v>
      </c>
      <c r="O302" s="72" t="s">
        <v>3098</v>
      </c>
      <c r="P302" s="33">
        <v>2007</v>
      </c>
      <c r="Q302" s="40"/>
      <c r="R302" s="40"/>
      <c r="S302" s="40"/>
      <c r="T302" s="40" t="s">
        <v>12</v>
      </c>
      <c r="U302" s="251">
        <v>2746245475.7522197</v>
      </c>
      <c r="V302" s="33" t="s">
        <v>43</v>
      </c>
      <c r="W302" s="127"/>
      <c r="X302" s="206" t="str">
        <f t="shared" si="97"/>
        <v>4.13.01</v>
      </c>
      <c r="Y302" s="207" t="str">
        <f t="shared" si="99"/>
        <v>JALAN</v>
      </c>
      <c r="Z302" s="207">
        <f t="shared" si="100"/>
        <v>10</v>
      </c>
      <c r="AA302" s="233">
        <f t="shared" si="101"/>
        <v>274624546.57522196</v>
      </c>
      <c r="AB302" s="208">
        <f t="shared" si="102"/>
        <v>6</v>
      </c>
      <c r="AC302" s="233">
        <f t="shared" si="103"/>
        <v>1647747279.4513316</v>
      </c>
      <c r="AD302" s="233">
        <f t="shared" si="104"/>
        <v>274624546.57522196</v>
      </c>
      <c r="AE302" s="233">
        <f t="shared" si="105"/>
        <v>274624546.57522196</v>
      </c>
      <c r="AF302" s="233">
        <f t="shared" si="106"/>
        <v>274624546.57522196</v>
      </c>
      <c r="AG302" s="233">
        <f t="shared" si="107"/>
        <v>274624546.57522196</v>
      </c>
      <c r="AH302" s="238">
        <f t="shared" si="108"/>
        <v>0</v>
      </c>
      <c r="AI302" s="238">
        <f t="shared" si="109"/>
        <v>2746245465.7522197</v>
      </c>
      <c r="AJ302" s="261">
        <f t="shared" si="110"/>
        <v>2007</v>
      </c>
      <c r="AK302" s="233">
        <f t="shared" si="111"/>
        <v>10</v>
      </c>
    </row>
    <row r="303" spans="1:39" s="116" customFormat="1" ht="35.25" hidden="1" customHeight="1" x14ac:dyDescent="0.2">
      <c r="A303" s="116">
        <v>302</v>
      </c>
      <c r="B303" s="116" t="str">
        <f t="shared" si="98"/>
        <v>PULAU BUSUK - KOTO INUMAN</v>
      </c>
      <c r="D303" s="116">
        <v>2</v>
      </c>
      <c r="E303" s="116" t="str">
        <f>A303&amp;"."&amp;D303</f>
        <v>302.2</v>
      </c>
      <c r="F303" s="218" t="s">
        <v>2304</v>
      </c>
      <c r="G303" s="53"/>
      <c r="H303" s="67" t="s">
        <v>1163</v>
      </c>
      <c r="I303" s="33" t="s">
        <v>2494</v>
      </c>
      <c r="J303" s="63"/>
      <c r="K303" s="33" t="s">
        <v>519</v>
      </c>
      <c r="L303" s="360"/>
      <c r="M303" s="40"/>
      <c r="N303" s="360">
        <v>1000</v>
      </c>
      <c r="O303" s="72" t="s">
        <v>3099</v>
      </c>
      <c r="P303" s="33">
        <v>2007</v>
      </c>
      <c r="Q303" s="40"/>
      <c r="R303" s="40"/>
      <c r="S303" s="40"/>
      <c r="T303" s="40" t="s">
        <v>12</v>
      </c>
      <c r="U303" s="251">
        <v>2013774833.48155</v>
      </c>
      <c r="V303" s="33" t="s">
        <v>43</v>
      </c>
      <c r="W303" s="127"/>
      <c r="X303" s="206" t="str">
        <f t="shared" si="97"/>
        <v>4.13.01</v>
      </c>
      <c r="Y303" s="207" t="str">
        <f t="shared" si="99"/>
        <v>JALAN</v>
      </c>
      <c r="Z303" s="207">
        <f t="shared" si="100"/>
        <v>10</v>
      </c>
      <c r="AA303" s="233">
        <f t="shared" si="101"/>
        <v>201377482.34815499</v>
      </c>
      <c r="AB303" s="208">
        <f t="shared" si="102"/>
        <v>6</v>
      </c>
      <c r="AC303" s="233">
        <f t="shared" si="103"/>
        <v>1208264894.0889299</v>
      </c>
      <c r="AD303" s="233">
        <f t="shared" si="104"/>
        <v>201377482.34815499</v>
      </c>
      <c r="AE303" s="233">
        <f t="shared" si="105"/>
        <v>201377482.34815499</v>
      </c>
      <c r="AF303" s="233">
        <f t="shared" si="106"/>
        <v>201377482.34815499</v>
      </c>
      <c r="AG303" s="233">
        <f t="shared" si="107"/>
        <v>201377482.34815499</v>
      </c>
      <c r="AH303" s="238">
        <f t="shared" si="108"/>
        <v>0</v>
      </c>
      <c r="AI303" s="238">
        <f t="shared" si="109"/>
        <v>2013774823.48155</v>
      </c>
      <c r="AJ303" s="261">
        <f t="shared" si="110"/>
        <v>2007</v>
      </c>
      <c r="AK303" s="233">
        <f t="shared" si="111"/>
        <v>10</v>
      </c>
      <c r="AM303" s="116" t="s">
        <v>4245</v>
      </c>
    </row>
    <row r="304" spans="1:39" s="116" customFormat="1" ht="35.25" hidden="1" customHeight="1" x14ac:dyDescent="0.2">
      <c r="A304" s="417">
        <v>164</v>
      </c>
      <c r="B304" s="417" t="str">
        <f t="shared" si="98"/>
        <v>PANGEAN - BATAS PELALAWAN</v>
      </c>
      <c r="D304" s="116">
        <v>2</v>
      </c>
      <c r="E304" s="1" t="str">
        <f>A304&amp;"."&amp;D304</f>
        <v>164.2</v>
      </c>
      <c r="F304" s="218" t="s">
        <v>2304</v>
      </c>
      <c r="G304" s="53"/>
      <c r="H304" s="67" t="s">
        <v>1164</v>
      </c>
      <c r="I304" s="33" t="s">
        <v>2494</v>
      </c>
      <c r="J304" s="63"/>
      <c r="K304" s="33" t="s">
        <v>519</v>
      </c>
      <c r="L304" s="360"/>
      <c r="M304" s="40"/>
      <c r="N304" s="360"/>
      <c r="O304" s="72" t="s">
        <v>3100</v>
      </c>
      <c r="P304" s="33">
        <v>2007</v>
      </c>
      <c r="Q304" s="40"/>
      <c r="R304" s="40"/>
      <c r="S304" s="40"/>
      <c r="T304" s="40" t="s">
        <v>12</v>
      </c>
      <c r="U304" s="251">
        <v>5825831760.3196297</v>
      </c>
      <c r="V304" s="33" t="s">
        <v>43</v>
      </c>
      <c r="W304" s="127"/>
      <c r="X304" s="206" t="str">
        <f t="shared" si="97"/>
        <v>4.13.01</v>
      </c>
      <c r="Y304" s="207" t="str">
        <f t="shared" si="99"/>
        <v>JALAN</v>
      </c>
      <c r="Z304" s="207">
        <f t="shared" si="100"/>
        <v>10</v>
      </c>
      <c r="AA304" s="233">
        <f t="shared" si="101"/>
        <v>582583175.03196299</v>
      </c>
      <c r="AB304" s="208">
        <f t="shared" si="102"/>
        <v>6</v>
      </c>
      <c r="AC304" s="233">
        <f t="shared" si="103"/>
        <v>3495499050.1917782</v>
      </c>
      <c r="AD304" s="233">
        <f t="shared" si="104"/>
        <v>582583175.03196299</v>
      </c>
      <c r="AE304" s="233">
        <f t="shared" si="105"/>
        <v>582583175.03196299</v>
      </c>
      <c r="AF304" s="233">
        <f t="shared" si="106"/>
        <v>582583175.03196299</v>
      </c>
      <c r="AG304" s="233">
        <f t="shared" si="107"/>
        <v>582583175.03196299</v>
      </c>
      <c r="AH304" s="238">
        <f t="shared" si="108"/>
        <v>0</v>
      </c>
      <c r="AI304" s="238">
        <f t="shared" si="109"/>
        <v>5825831750.3196306</v>
      </c>
      <c r="AJ304" s="261">
        <f t="shared" si="110"/>
        <v>2007</v>
      </c>
      <c r="AK304" s="233">
        <f t="shared" si="111"/>
        <v>9.9999990463256836</v>
      </c>
      <c r="AM304" s="116" t="s">
        <v>4245</v>
      </c>
    </row>
    <row r="305" spans="1:39" s="116" customFormat="1" ht="35.25" hidden="1" customHeight="1" x14ac:dyDescent="0.2">
      <c r="B305" s="116" t="e">
        <f t="shared" si="98"/>
        <v>#N/A</v>
      </c>
      <c r="F305" s="218" t="s">
        <v>2304</v>
      </c>
      <c r="G305" s="53"/>
      <c r="H305" s="67" t="s">
        <v>1165</v>
      </c>
      <c r="I305" s="33" t="s">
        <v>2494</v>
      </c>
      <c r="J305" s="63"/>
      <c r="K305" s="33" t="s">
        <v>519</v>
      </c>
      <c r="L305" s="360"/>
      <c r="M305" s="40"/>
      <c r="N305" s="360">
        <v>1000</v>
      </c>
      <c r="O305" s="72" t="s">
        <v>3101</v>
      </c>
      <c r="P305" s="33">
        <v>2007</v>
      </c>
      <c r="Q305" s="40"/>
      <c r="R305" s="40"/>
      <c r="S305" s="40"/>
      <c r="T305" s="40" t="s">
        <v>12</v>
      </c>
      <c r="U305" s="251">
        <v>1143090531.604764</v>
      </c>
      <c r="V305" s="33" t="s">
        <v>43</v>
      </c>
      <c r="W305" s="127"/>
      <c r="X305" s="206" t="str">
        <f t="shared" si="97"/>
        <v>4.13.01</v>
      </c>
      <c r="Y305" s="207" t="str">
        <f t="shared" si="99"/>
        <v>JALAN</v>
      </c>
      <c r="Z305" s="207">
        <f t="shared" si="100"/>
        <v>10</v>
      </c>
      <c r="AA305" s="233">
        <f t="shared" si="101"/>
        <v>114309052.1604764</v>
      </c>
      <c r="AB305" s="208">
        <f t="shared" si="102"/>
        <v>6</v>
      </c>
      <c r="AC305" s="233">
        <f t="shared" si="103"/>
        <v>685854312.96285844</v>
      </c>
      <c r="AD305" s="233">
        <f t="shared" si="104"/>
        <v>114309052.1604764</v>
      </c>
      <c r="AE305" s="233">
        <f t="shared" si="105"/>
        <v>114309052.1604764</v>
      </c>
      <c r="AF305" s="233">
        <f t="shared" si="106"/>
        <v>114309052.1604764</v>
      </c>
      <c r="AG305" s="233">
        <f t="shared" si="107"/>
        <v>114309052.1604764</v>
      </c>
      <c r="AH305" s="238">
        <f t="shared" si="108"/>
        <v>0</v>
      </c>
      <c r="AI305" s="238">
        <f t="shared" si="109"/>
        <v>1143090521.6047642</v>
      </c>
      <c r="AJ305" s="261">
        <f t="shared" si="110"/>
        <v>2007</v>
      </c>
      <c r="AK305" s="233">
        <f t="shared" si="111"/>
        <v>9.9999997615814209</v>
      </c>
    </row>
    <row r="306" spans="1:39" s="116" customFormat="1" ht="35.25" hidden="1" customHeight="1" x14ac:dyDescent="0.2">
      <c r="B306" s="116" t="e">
        <f t="shared" si="98"/>
        <v>#N/A</v>
      </c>
      <c r="F306" s="218" t="s">
        <v>2304</v>
      </c>
      <c r="G306" s="53"/>
      <c r="H306" s="67" t="s">
        <v>1166</v>
      </c>
      <c r="I306" s="33" t="s">
        <v>2494</v>
      </c>
      <c r="J306" s="63"/>
      <c r="K306" s="33" t="s">
        <v>519</v>
      </c>
      <c r="L306" s="360"/>
      <c r="M306" s="40"/>
      <c r="N306" s="360">
        <v>1700</v>
      </c>
      <c r="O306" s="72" t="s">
        <v>680</v>
      </c>
      <c r="P306" s="33">
        <v>2007</v>
      </c>
      <c r="Q306" s="40"/>
      <c r="R306" s="40"/>
      <c r="S306" s="40"/>
      <c r="T306" s="40" t="s">
        <v>12</v>
      </c>
      <c r="U306" s="251">
        <v>364880737.00996</v>
      </c>
      <c r="V306" s="33" t="s">
        <v>43</v>
      </c>
      <c r="W306" s="127"/>
      <c r="X306" s="206" t="str">
        <f t="shared" si="97"/>
        <v>4.13.01</v>
      </c>
      <c r="Y306" s="207" t="str">
        <f t="shared" si="99"/>
        <v>JALAN</v>
      </c>
      <c r="Z306" s="207">
        <f t="shared" si="100"/>
        <v>10</v>
      </c>
      <c r="AA306" s="233">
        <f t="shared" si="101"/>
        <v>36488072.700995997</v>
      </c>
      <c r="AB306" s="208">
        <f t="shared" si="102"/>
        <v>6</v>
      </c>
      <c r="AC306" s="233">
        <f t="shared" si="103"/>
        <v>218928436.20597598</v>
      </c>
      <c r="AD306" s="233">
        <f t="shared" si="104"/>
        <v>36488072.700995997</v>
      </c>
      <c r="AE306" s="233">
        <f t="shared" si="105"/>
        <v>36488072.700995997</v>
      </c>
      <c r="AF306" s="233">
        <f t="shared" si="106"/>
        <v>36488072.700995997</v>
      </c>
      <c r="AG306" s="233">
        <f t="shared" si="107"/>
        <v>36488072.700995997</v>
      </c>
      <c r="AH306" s="238">
        <f t="shared" si="108"/>
        <v>0</v>
      </c>
      <c r="AI306" s="238">
        <f t="shared" si="109"/>
        <v>364880727.00995994</v>
      </c>
      <c r="AJ306" s="261">
        <f t="shared" si="110"/>
        <v>2007</v>
      </c>
      <c r="AK306" s="233">
        <f t="shared" si="111"/>
        <v>10.000000059604645</v>
      </c>
    </row>
    <row r="307" spans="1:39" s="116" customFormat="1" ht="35.25" hidden="1" customHeight="1" x14ac:dyDescent="0.2">
      <c r="B307" s="116" t="e">
        <f t="shared" si="98"/>
        <v>#N/A</v>
      </c>
      <c r="F307" s="218" t="s">
        <v>2304</v>
      </c>
      <c r="G307" s="53"/>
      <c r="H307" s="67" t="s">
        <v>1167</v>
      </c>
      <c r="I307" s="33" t="s">
        <v>2494</v>
      </c>
      <c r="J307" s="63"/>
      <c r="K307" s="33" t="s">
        <v>519</v>
      </c>
      <c r="L307" s="360"/>
      <c r="M307" s="40"/>
      <c r="N307" s="360">
        <v>1000</v>
      </c>
      <c r="O307" s="72" t="s">
        <v>3102</v>
      </c>
      <c r="P307" s="33">
        <v>2007</v>
      </c>
      <c r="Q307" s="40"/>
      <c r="R307" s="40"/>
      <c r="S307" s="40"/>
      <c r="T307" s="40" t="s">
        <v>12</v>
      </c>
      <c r="U307" s="251">
        <v>2746245475.7522197</v>
      </c>
      <c r="V307" s="33" t="s">
        <v>43</v>
      </c>
      <c r="W307" s="127"/>
      <c r="X307" s="206" t="str">
        <f t="shared" si="97"/>
        <v>4.13.01</v>
      </c>
      <c r="Y307" s="207" t="str">
        <f t="shared" si="99"/>
        <v>JALAN</v>
      </c>
      <c r="Z307" s="207">
        <f t="shared" si="100"/>
        <v>10</v>
      </c>
      <c r="AA307" s="233">
        <f t="shared" si="101"/>
        <v>274624546.57522196</v>
      </c>
      <c r="AB307" s="208">
        <f t="shared" si="102"/>
        <v>6</v>
      </c>
      <c r="AC307" s="233">
        <f t="shared" si="103"/>
        <v>1647747279.4513316</v>
      </c>
      <c r="AD307" s="233">
        <f t="shared" si="104"/>
        <v>274624546.57522196</v>
      </c>
      <c r="AE307" s="233">
        <f t="shared" si="105"/>
        <v>274624546.57522196</v>
      </c>
      <c r="AF307" s="233">
        <f t="shared" si="106"/>
        <v>274624546.57522196</v>
      </c>
      <c r="AG307" s="233">
        <f t="shared" si="107"/>
        <v>274624546.57522196</v>
      </c>
      <c r="AH307" s="238">
        <f t="shared" si="108"/>
        <v>0</v>
      </c>
      <c r="AI307" s="238">
        <f t="shared" si="109"/>
        <v>2746245465.7522197</v>
      </c>
      <c r="AJ307" s="261">
        <f t="shared" si="110"/>
        <v>2007</v>
      </c>
      <c r="AK307" s="233">
        <f t="shared" si="111"/>
        <v>10</v>
      </c>
    </row>
    <row r="308" spans="1:39" s="116" customFormat="1" ht="35.25" hidden="1" customHeight="1" x14ac:dyDescent="0.2">
      <c r="A308" s="116">
        <v>183</v>
      </c>
      <c r="B308" s="116" t="str">
        <f t="shared" si="98"/>
        <v>SUKARAJA - GIRI SAKO</v>
      </c>
      <c r="D308" s="116">
        <v>1</v>
      </c>
      <c r="E308" s="116" t="str">
        <f>A308&amp;"."&amp;D308</f>
        <v>183.1</v>
      </c>
      <c r="F308" s="218" t="s">
        <v>2305</v>
      </c>
      <c r="G308" s="53"/>
      <c r="H308" s="67" t="s">
        <v>1168</v>
      </c>
      <c r="I308" s="33" t="s">
        <v>3822</v>
      </c>
      <c r="J308" s="63"/>
      <c r="K308" s="33" t="s">
        <v>835</v>
      </c>
      <c r="L308" s="360">
        <v>3</v>
      </c>
      <c r="M308" s="40">
        <v>35</v>
      </c>
      <c r="N308" s="360">
        <v>105</v>
      </c>
      <c r="O308" s="72" t="s">
        <v>3103</v>
      </c>
      <c r="P308" s="33">
        <v>2007</v>
      </c>
      <c r="Q308" s="40"/>
      <c r="R308" s="40"/>
      <c r="S308" s="40"/>
      <c r="T308" s="40" t="s">
        <v>12</v>
      </c>
      <c r="U308" s="251">
        <v>789287288.45564878</v>
      </c>
      <c r="V308" s="33" t="s">
        <v>43</v>
      </c>
      <c r="W308" s="127"/>
      <c r="X308" s="206" t="str">
        <f t="shared" si="97"/>
        <v>4.13.02</v>
      </c>
      <c r="Y308" s="207" t="str">
        <f t="shared" si="99"/>
        <v>JEMBATAN</v>
      </c>
      <c r="Z308" s="207">
        <f t="shared" si="100"/>
        <v>50</v>
      </c>
      <c r="AA308" s="233">
        <f t="shared" si="101"/>
        <v>15785745.569112975</v>
      </c>
      <c r="AB308" s="208">
        <f t="shared" si="102"/>
        <v>6</v>
      </c>
      <c r="AC308" s="233">
        <f t="shared" si="103"/>
        <v>94714473.414677858</v>
      </c>
      <c r="AD308" s="233">
        <f t="shared" si="104"/>
        <v>15785745.569112975</v>
      </c>
      <c r="AE308" s="233">
        <f t="shared" si="105"/>
        <v>15785745.569112975</v>
      </c>
      <c r="AF308" s="233">
        <f t="shared" si="106"/>
        <v>15785745.569112975</v>
      </c>
      <c r="AG308" s="233">
        <f t="shared" si="107"/>
        <v>15785745.569112975</v>
      </c>
      <c r="AH308" s="238">
        <f t="shared" si="108"/>
        <v>15785745.569112975</v>
      </c>
      <c r="AI308" s="238">
        <f t="shared" si="109"/>
        <v>173643201.26024276</v>
      </c>
      <c r="AJ308" s="261">
        <f t="shared" si="110"/>
        <v>2007</v>
      </c>
      <c r="AK308" s="233">
        <f t="shared" si="111"/>
        <v>615644087.19540596</v>
      </c>
    </row>
    <row r="309" spans="1:39" s="116" customFormat="1" ht="35.25" hidden="1" customHeight="1" x14ac:dyDescent="0.2">
      <c r="A309" s="116">
        <v>238</v>
      </c>
      <c r="B309" s="116" t="str">
        <f t="shared" si="98"/>
        <v>SIMP. RAYA - SEI. BULUH</v>
      </c>
      <c r="D309" s="116">
        <v>2</v>
      </c>
      <c r="E309" s="116" t="str">
        <f>A309&amp;"."&amp;D309</f>
        <v>238.2</v>
      </c>
      <c r="F309" s="218" t="s">
        <v>2305</v>
      </c>
      <c r="G309" s="53"/>
      <c r="H309" s="67" t="s">
        <v>1169</v>
      </c>
      <c r="I309" s="33" t="s">
        <v>3822</v>
      </c>
      <c r="J309" s="63"/>
      <c r="K309" s="33" t="s">
        <v>835</v>
      </c>
      <c r="L309" s="360">
        <v>3</v>
      </c>
      <c r="M309" s="40">
        <v>3</v>
      </c>
      <c r="N309" s="360">
        <v>9</v>
      </c>
      <c r="O309" s="72" t="s">
        <v>3104</v>
      </c>
      <c r="P309" s="33">
        <v>2007</v>
      </c>
      <c r="Q309" s="40"/>
      <c r="R309" s="40"/>
      <c r="S309" s="40"/>
      <c r="T309" s="40" t="s">
        <v>12</v>
      </c>
      <c r="U309" s="251">
        <v>677119699.41373801</v>
      </c>
      <c r="V309" s="33" t="s">
        <v>43</v>
      </c>
      <c r="W309" s="127"/>
      <c r="X309" s="206" t="str">
        <f t="shared" si="97"/>
        <v>4.13.02</v>
      </c>
      <c r="Y309" s="207" t="str">
        <f t="shared" si="99"/>
        <v>JEMBATAN</v>
      </c>
      <c r="Z309" s="207">
        <f t="shared" si="100"/>
        <v>50</v>
      </c>
      <c r="AA309" s="233">
        <f t="shared" si="101"/>
        <v>13542393.788274759</v>
      </c>
      <c r="AB309" s="208">
        <f t="shared" si="102"/>
        <v>6</v>
      </c>
      <c r="AC309" s="233">
        <f t="shared" si="103"/>
        <v>81254362.72964856</v>
      </c>
      <c r="AD309" s="233">
        <f t="shared" si="104"/>
        <v>13542393.788274759</v>
      </c>
      <c r="AE309" s="233">
        <f t="shared" si="105"/>
        <v>13542393.788274759</v>
      </c>
      <c r="AF309" s="233">
        <f t="shared" si="106"/>
        <v>13542393.788274759</v>
      </c>
      <c r="AG309" s="233">
        <f t="shared" si="107"/>
        <v>13542393.788274759</v>
      </c>
      <c r="AH309" s="238">
        <f t="shared" si="108"/>
        <v>13542393.788274759</v>
      </c>
      <c r="AI309" s="238">
        <f t="shared" si="109"/>
        <v>148966331.67102239</v>
      </c>
      <c r="AJ309" s="261">
        <f t="shared" si="110"/>
        <v>2007</v>
      </c>
      <c r="AK309" s="233">
        <f t="shared" si="111"/>
        <v>528153367.7427156</v>
      </c>
      <c r="AM309" s="116" t="s">
        <v>4245</v>
      </c>
    </row>
    <row r="310" spans="1:39" s="116" customFormat="1" ht="35.25" hidden="1" customHeight="1" x14ac:dyDescent="0.2">
      <c r="B310" s="116" t="e">
        <f t="shared" si="98"/>
        <v>#N/A</v>
      </c>
      <c r="F310" s="218" t="s">
        <v>2305</v>
      </c>
      <c r="G310" s="53"/>
      <c r="H310" s="67" t="s">
        <v>1170</v>
      </c>
      <c r="I310" s="33" t="s">
        <v>3822</v>
      </c>
      <c r="J310" s="63"/>
      <c r="K310" s="33" t="s">
        <v>835</v>
      </c>
      <c r="L310" s="360">
        <v>2</v>
      </c>
      <c r="M310" s="40">
        <v>2.5</v>
      </c>
      <c r="N310" s="360">
        <v>5</v>
      </c>
      <c r="O310" s="72" t="s">
        <v>3094</v>
      </c>
      <c r="P310" s="33">
        <v>2007</v>
      </c>
      <c r="Q310" s="40"/>
      <c r="R310" s="40"/>
      <c r="S310" s="40"/>
      <c r="T310" s="40" t="s">
        <v>12</v>
      </c>
      <c r="U310" s="251">
        <v>789287288.44000006</v>
      </c>
      <c r="V310" s="33" t="s">
        <v>43</v>
      </c>
      <c r="W310" s="127"/>
      <c r="X310" s="206" t="str">
        <f t="shared" si="97"/>
        <v>4.13.02</v>
      </c>
      <c r="Y310" s="207" t="str">
        <f t="shared" si="99"/>
        <v>JEMBATAN</v>
      </c>
      <c r="Z310" s="207">
        <f t="shared" si="100"/>
        <v>50</v>
      </c>
      <c r="AA310" s="233">
        <f t="shared" si="101"/>
        <v>15785745.5688</v>
      </c>
      <c r="AB310" s="208">
        <f t="shared" si="102"/>
        <v>6</v>
      </c>
      <c r="AC310" s="233">
        <f t="shared" si="103"/>
        <v>94714473.412799999</v>
      </c>
      <c r="AD310" s="233">
        <f t="shared" si="104"/>
        <v>15785745.5688</v>
      </c>
      <c r="AE310" s="233">
        <f t="shared" si="105"/>
        <v>15785745.5688</v>
      </c>
      <c r="AF310" s="233">
        <f t="shared" si="106"/>
        <v>15785745.5688</v>
      </c>
      <c r="AG310" s="233">
        <f t="shared" si="107"/>
        <v>15785745.5688</v>
      </c>
      <c r="AH310" s="238">
        <f t="shared" si="108"/>
        <v>15785745.5688</v>
      </c>
      <c r="AI310" s="238">
        <f t="shared" si="109"/>
        <v>173643201.2568</v>
      </c>
      <c r="AJ310" s="261">
        <f t="shared" si="110"/>
        <v>2007</v>
      </c>
      <c r="AK310" s="233">
        <f t="shared" si="111"/>
        <v>615644087.18320012</v>
      </c>
    </row>
    <row r="311" spans="1:39" s="116" customFormat="1" ht="35.25" hidden="1" customHeight="1" x14ac:dyDescent="0.2">
      <c r="A311" s="116">
        <v>165</v>
      </c>
      <c r="B311" s="116" t="str">
        <f t="shared" si="98"/>
        <v>SAKO - TRANS SKP II</v>
      </c>
      <c r="D311" s="116">
        <v>3</v>
      </c>
      <c r="E311" s="116" t="str">
        <f>A311&amp;"."&amp;D311</f>
        <v>165.3</v>
      </c>
      <c r="F311" s="218" t="s">
        <v>2305</v>
      </c>
      <c r="G311" s="53"/>
      <c r="H311" s="67" t="s">
        <v>1172</v>
      </c>
      <c r="I311" s="33" t="s">
        <v>3822</v>
      </c>
      <c r="J311" s="63"/>
      <c r="K311" s="33" t="s">
        <v>835</v>
      </c>
      <c r="L311" s="360">
        <v>3</v>
      </c>
      <c r="M311" s="40">
        <v>3</v>
      </c>
      <c r="N311" s="360">
        <v>9</v>
      </c>
      <c r="O311" s="72" t="s">
        <v>3106</v>
      </c>
      <c r="P311" s="33">
        <v>2007</v>
      </c>
      <c r="Q311" s="40"/>
      <c r="R311" s="40"/>
      <c r="S311" s="40"/>
      <c r="T311" s="40" t="s">
        <v>12</v>
      </c>
      <c r="U311" s="251">
        <v>732909624.99453104</v>
      </c>
      <c r="V311" s="33" t="s">
        <v>43</v>
      </c>
      <c r="W311" s="127"/>
      <c r="X311" s="206" t="str">
        <f t="shared" si="97"/>
        <v>4.13.02</v>
      </c>
      <c r="Y311" s="207" t="str">
        <f t="shared" si="99"/>
        <v>JEMBATAN</v>
      </c>
      <c r="Z311" s="207">
        <f t="shared" si="100"/>
        <v>50</v>
      </c>
      <c r="AA311" s="233">
        <f t="shared" si="101"/>
        <v>14658192.299890621</v>
      </c>
      <c r="AB311" s="208">
        <f t="shared" si="102"/>
        <v>6</v>
      </c>
      <c r="AC311" s="233">
        <f t="shared" si="103"/>
        <v>87949153.79934372</v>
      </c>
      <c r="AD311" s="233">
        <f t="shared" si="104"/>
        <v>14658192.299890621</v>
      </c>
      <c r="AE311" s="233">
        <f t="shared" si="105"/>
        <v>14658192.299890621</v>
      </c>
      <c r="AF311" s="233">
        <f t="shared" si="106"/>
        <v>14658192.299890621</v>
      </c>
      <c r="AG311" s="233">
        <f t="shared" si="107"/>
        <v>14658192.299890621</v>
      </c>
      <c r="AH311" s="238">
        <f t="shared" si="108"/>
        <v>14658192.299890621</v>
      </c>
      <c r="AI311" s="238">
        <f t="shared" si="109"/>
        <v>161240115.2987968</v>
      </c>
      <c r="AJ311" s="261">
        <f t="shared" si="110"/>
        <v>2007</v>
      </c>
      <c r="AK311" s="233">
        <f t="shared" si="111"/>
        <v>571669509.69573426</v>
      </c>
      <c r="AM311" s="116" t="s">
        <v>4245</v>
      </c>
    </row>
    <row r="312" spans="1:39" s="116" customFormat="1" ht="35.25" hidden="1" customHeight="1" x14ac:dyDescent="0.2">
      <c r="A312" s="116">
        <v>197</v>
      </c>
      <c r="B312" s="116" t="str">
        <f t="shared" si="98"/>
        <v>LOGAS - AIR MAS</v>
      </c>
      <c r="D312" s="116">
        <v>2</v>
      </c>
      <c r="E312" s="116" t="str">
        <f>A312&amp;"."&amp;D312</f>
        <v>197.2</v>
      </c>
      <c r="F312" s="218" t="s">
        <v>2305</v>
      </c>
      <c r="G312" s="53"/>
      <c r="H312" s="67" t="s">
        <v>1173</v>
      </c>
      <c r="I312" s="33" t="s">
        <v>3822</v>
      </c>
      <c r="J312" s="63"/>
      <c r="K312" s="33" t="s">
        <v>835</v>
      </c>
      <c r="L312" s="360">
        <v>2.5</v>
      </c>
      <c r="M312" s="40">
        <v>2.5</v>
      </c>
      <c r="N312" s="360">
        <v>6.25</v>
      </c>
      <c r="O312" s="72" t="s">
        <v>643</v>
      </c>
      <c r="P312" s="33">
        <v>2007</v>
      </c>
      <c r="Q312" s="40"/>
      <c r="R312" s="40"/>
      <c r="S312" s="40"/>
      <c r="T312" s="40" t="s">
        <v>12</v>
      </c>
      <c r="U312" s="251">
        <v>646450700.572227</v>
      </c>
      <c r="V312" s="33" t="s">
        <v>43</v>
      </c>
      <c r="W312" s="127"/>
      <c r="X312" s="206" t="str">
        <f t="shared" si="97"/>
        <v>4.13.02</v>
      </c>
      <c r="Y312" s="207" t="str">
        <f t="shared" si="99"/>
        <v>JEMBATAN</v>
      </c>
      <c r="Z312" s="207">
        <f t="shared" si="100"/>
        <v>50</v>
      </c>
      <c r="AA312" s="233">
        <f t="shared" si="101"/>
        <v>12929013.81144454</v>
      </c>
      <c r="AB312" s="208">
        <f t="shared" si="102"/>
        <v>6</v>
      </c>
      <c r="AC312" s="233">
        <f t="shared" si="103"/>
        <v>77574082.868667245</v>
      </c>
      <c r="AD312" s="233">
        <f t="shared" si="104"/>
        <v>12929013.81144454</v>
      </c>
      <c r="AE312" s="233">
        <f t="shared" si="105"/>
        <v>12929013.81144454</v>
      </c>
      <c r="AF312" s="233">
        <f t="shared" si="106"/>
        <v>12929013.81144454</v>
      </c>
      <c r="AG312" s="233">
        <f t="shared" si="107"/>
        <v>12929013.81144454</v>
      </c>
      <c r="AH312" s="238">
        <f t="shared" si="108"/>
        <v>12929013.81144454</v>
      </c>
      <c r="AI312" s="238">
        <f t="shared" si="109"/>
        <v>142219151.92588994</v>
      </c>
      <c r="AJ312" s="261">
        <f t="shared" si="110"/>
        <v>2007</v>
      </c>
      <c r="AK312" s="233">
        <f t="shared" si="111"/>
        <v>504231548.64633703</v>
      </c>
      <c r="AM312" s="116" t="s">
        <v>4245</v>
      </c>
    </row>
    <row r="313" spans="1:39" s="116" customFormat="1" ht="35.25" hidden="1" customHeight="1" x14ac:dyDescent="0.2">
      <c r="A313" s="116">
        <v>190</v>
      </c>
      <c r="B313" s="116" t="str">
        <f t="shared" si="98"/>
        <v>SAMBUNG - KEBUN LADO</v>
      </c>
      <c r="D313" s="116">
        <v>1</v>
      </c>
      <c r="E313" s="116" t="str">
        <f>A313&amp;"."&amp;D313</f>
        <v>190.1</v>
      </c>
      <c r="F313" s="218" t="s">
        <v>2305</v>
      </c>
      <c r="G313" s="53"/>
      <c r="H313" s="67" t="s">
        <v>1174</v>
      </c>
      <c r="I313" s="33" t="s">
        <v>3822</v>
      </c>
      <c r="J313" s="63"/>
      <c r="K313" s="33" t="s">
        <v>835</v>
      </c>
      <c r="L313" s="360">
        <v>4</v>
      </c>
      <c r="M313" s="40">
        <v>3.5</v>
      </c>
      <c r="N313" s="360">
        <v>14</v>
      </c>
      <c r="O313" s="72" t="s">
        <v>3107</v>
      </c>
      <c r="P313" s="33">
        <v>2007</v>
      </c>
      <c r="Q313" s="40"/>
      <c r="R313" s="40"/>
      <c r="S313" s="40"/>
      <c r="T313" s="40" t="s">
        <v>12</v>
      </c>
      <c r="U313" s="251">
        <v>680558937.49492168</v>
      </c>
      <c r="V313" s="33" t="s">
        <v>43</v>
      </c>
      <c r="W313" s="127"/>
      <c r="X313" s="206" t="str">
        <f t="shared" si="97"/>
        <v>4.13.02</v>
      </c>
      <c r="Y313" s="207" t="str">
        <f t="shared" si="99"/>
        <v>JEMBATAN</v>
      </c>
      <c r="Z313" s="207">
        <f t="shared" si="100"/>
        <v>50</v>
      </c>
      <c r="AA313" s="233">
        <f t="shared" si="101"/>
        <v>13611178.549898434</v>
      </c>
      <c r="AB313" s="208">
        <f t="shared" si="102"/>
        <v>6</v>
      </c>
      <c r="AC313" s="233">
        <f t="shared" si="103"/>
        <v>81667071.299390614</v>
      </c>
      <c r="AD313" s="233">
        <f t="shared" si="104"/>
        <v>13611178.549898434</v>
      </c>
      <c r="AE313" s="233">
        <f t="shared" si="105"/>
        <v>13611178.549898434</v>
      </c>
      <c r="AF313" s="233">
        <f t="shared" si="106"/>
        <v>13611178.549898434</v>
      </c>
      <c r="AG313" s="233">
        <f t="shared" si="107"/>
        <v>13611178.549898434</v>
      </c>
      <c r="AH313" s="238">
        <f t="shared" si="108"/>
        <v>13611178.549898434</v>
      </c>
      <c r="AI313" s="238">
        <f t="shared" si="109"/>
        <v>149722964.04888278</v>
      </c>
      <c r="AJ313" s="261">
        <f t="shared" si="110"/>
        <v>2007</v>
      </c>
      <c r="AK313" s="233">
        <f t="shared" si="111"/>
        <v>530835973.4460389</v>
      </c>
    </row>
    <row r="314" spans="1:39" s="116" customFormat="1" ht="35.25" hidden="1" customHeight="1" x14ac:dyDescent="0.2">
      <c r="B314" s="116" t="e">
        <f t="shared" si="98"/>
        <v>#N/A</v>
      </c>
      <c r="F314" s="218" t="s">
        <v>2305</v>
      </c>
      <c r="G314" s="53"/>
      <c r="H314" s="67" t="s">
        <v>1175</v>
      </c>
      <c r="I314" s="33" t="s">
        <v>3822</v>
      </c>
      <c r="J314" s="63"/>
      <c r="K314" s="33" t="s">
        <v>835</v>
      </c>
      <c r="L314" s="360">
        <v>3</v>
      </c>
      <c r="M314" s="40">
        <v>3</v>
      </c>
      <c r="N314" s="360">
        <v>9</v>
      </c>
      <c r="O314" s="72" t="s">
        <v>3108</v>
      </c>
      <c r="P314" s="33">
        <v>2007</v>
      </c>
      <c r="Q314" s="40"/>
      <c r="R314" s="40"/>
      <c r="S314" s="40"/>
      <c r="T314" s="40" t="s">
        <v>12</v>
      </c>
      <c r="U314" s="251">
        <v>631947584.81671309</v>
      </c>
      <c r="V314" s="33" t="s">
        <v>43</v>
      </c>
      <c r="W314" s="127"/>
      <c r="X314" s="206" t="str">
        <f t="shared" si="97"/>
        <v>4.13.02</v>
      </c>
      <c r="Y314" s="207" t="str">
        <f t="shared" si="99"/>
        <v>JEMBATAN</v>
      </c>
      <c r="Z314" s="207">
        <f t="shared" si="100"/>
        <v>50</v>
      </c>
      <c r="AA314" s="233">
        <f t="shared" si="101"/>
        <v>12638951.496334262</v>
      </c>
      <c r="AB314" s="208">
        <f t="shared" si="102"/>
        <v>6</v>
      </c>
      <c r="AC314" s="233">
        <f t="shared" si="103"/>
        <v>75833708.978005573</v>
      </c>
      <c r="AD314" s="233">
        <f t="shared" si="104"/>
        <v>12638951.496334262</v>
      </c>
      <c r="AE314" s="233">
        <f t="shared" si="105"/>
        <v>12638951.496334262</v>
      </c>
      <c r="AF314" s="233">
        <f t="shared" si="106"/>
        <v>12638951.496334262</v>
      </c>
      <c r="AG314" s="233">
        <f t="shared" si="107"/>
        <v>12638951.496334262</v>
      </c>
      <c r="AH314" s="238">
        <f t="shared" si="108"/>
        <v>12638951.496334262</v>
      </c>
      <c r="AI314" s="238">
        <f t="shared" si="109"/>
        <v>139028466.45967686</v>
      </c>
      <c r="AJ314" s="261">
        <f t="shared" si="110"/>
        <v>2007</v>
      </c>
      <c r="AK314" s="233">
        <f t="shared" si="111"/>
        <v>492919118.35703623</v>
      </c>
    </row>
    <row r="315" spans="1:39" s="116" customFormat="1" ht="35.25" hidden="1" customHeight="1" x14ac:dyDescent="0.2">
      <c r="A315" s="116">
        <v>129</v>
      </c>
      <c r="B315" s="116" t="str">
        <f t="shared" si="98"/>
        <v>BASERAH - PERHENTIAN LUAS</v>
      </c>
      <c r="D315" s="116">
        <v>1</v>
      </c>
      <c r="E315" s="116" t="str">
        <f>A315&amp;"."&amp;D315</f>
        <v>129.1</v>
      </c>
      <c r="F315" s="218" t="s">
        <v>2305</v>
      </c>
      <c r="G315" s="53"/>
      <c r="H315" s="67" t="s">
        <v>1176</v>
      </c>
      <c r="I315" s="33" t="s">
        <v>3822</v>
      </c>
      <c r="J315" s="63"/>
      <c r="K315" s="33" t="s">
        <v>835</v>
      </c>
      <c r="L315" s="360">
        <v>2</v>
      </c>
      <c r="M315" s="40">
        <v>2.5</v>
      </c>
      <c r="N315" s="360">
        <v>5</v>
      </c>
      <c r="O315" s="72" t="s">
        <v>3109</v>
      </c>
      <c r="P315" s="33">
        <v>2007</v>
      </c>
      <c r="Q315" s="40"/>
      <c r="R315" s="40"/>
      <c r="S315" s="40"/>
      <c r="T315" s="40" t="s">
        <v>12</v>
      </c>
      <c r="U315" s="251">
        <v>659658905.78583896</v>
      </c>
      <c r="V315" s="33" t="s">
        <v>43</v>
      </c>
      <c r="W315" s="127"/>
      <c r="X315" s="206" t="str">
        <f t="shared" si="97"/>
        <v>4.13.02</v>
      </c>
      <c r="Y315" s="207" t="str">
        <f t="shared" si="99"/>
        <v>JEMBATAN</v>
      </c>
      <c r="Z315" s="207">
        <f t="shared" si="100"/>
        <v>50</v>
      </c>
      <c r="AA315" s="233">
        <f t="shared" si="101"/>
        <v>13193177.915716778</v>
      </c>
      <c r="AB315" s="208">
        <f t="shared" si="102"/>
        <v>6</v>
      </c>
      <c r="AC315" s="233">
        <f t="shared" si="103"/>
        <v>79159067.494300663</v>
      </c>
      <c r="AD315" s="233">
        <f t="shared" si="104"/>
        <v>13193177.915716778</v>
      </c>
      <c r="AE315" s="233">
        <f t="shared" si="105"/>
        <v>13193177.915716778</v>
      </c>
      <c r="AF315" s="233">
        <f t="shared" si="106"/>
        <v>13193177.915716778</v>
      </c>
      <c r="AG315" s="233">
        <f t="shared" si="107"/>
        <v>13193177.915716778</v>
      </c>
      <c r="AH315" s="238">
        <f t="shared" si="108"/>
        <v>13193177.915716778</v>
      </c>
      <c r="AI315" s="238">
        <f t="shared" si="109"/>
        <v>145124957.07288456</v>
      </c>
      <c r="AJ315" s="261">
        <f t="shared" si="110"/>
        <v>2007</v>
      </c>
      <c r="AK315" s="233">
        <f t="shared" si="111"/>
        <v>514533948.7129544</v>
      </c>
    </row>
    <row r="316" spans="1:39" s="116" customFormat="1" ht="35.25" hidden="1" customHeight="1" x14ac:dyDescent="0.2">
      <c r="B316" s="116" t="e">
        <f t="shared" si="98"/>
        <v>#N/A</v>
      </c>
      <c r="F316" s="218" t="s">
        <v>2305</v>
      </c>
      <c r="G316" s="53"/>
      <c r="H316" s="67" t="s">
        <v>1179</v>
      </c>
      <c r="I316" s="33" t="s">
        <v>3822</v>
      </c>
      <c r="J316" s="63"/>
      <c r="K316" s="33" t="s">
        <v>835</v>
      </c>
      <c r="L316" s="360"/>
      <c r="M316" s="40"/>
      <c r="N316" s="360"/>
      <c r="O316" s="72" t="s">
        <v>2986</v>
      </c>
      <c r="P316" s="33">
        <v>2007</v>
      </c>
      <c r="Q316" s="40"/>
      <c r="R316" s="40"/>
      <c r="S316" s="40"/>
      <c r="T316" s="40" t="s">
        <v>12</v>
      </c>
      <c r="U316" s="251">
        <v>779831709.96329999</v>
      </c>
      <c r="V316" s="33" t="s">
        <v>43</v>
      </c>
      <c r="W316" s="127"/>
      <c r="X316" s="206" t="str">
        <f t="shared" si="97"/>
        <v>4.13.02</v>
      </c>
      <c r="Y316" s="207" t="str">
        <f t="shared" si="99"/>
        <v>JEMBATAN</v>
      </c>
      <c r="Z316" s="207">
        <f t="shared" si="100"/>
        <v>50</v>
      </c>
      <c r="AA316" s="233">
        <f t="shared" si="101"/>
        <v>15596633.999266</v>
      </c>
      <c r="AB316" s="208">
        <f t="shared" si="102"/>
        <v>6</v>
      </c>
      <c r="AC316" s="233">
        <f t="shared" si="103"/>
        <v>93579803.995596007</v>
      </c>
      <c r="AD316" s="233">
        <f t="shared" si="104"/>
        <v>15596633.999266</v>
      </c>
      <c r="AE316" s="233">
        <f t="shared" si="105"/>
        <v>15596633.999266</v>
      </c>
      <c r="AF316" s="233">
        <f t="shared" si="106"/>
        <v>15596633.999266</v>
      </c>
      <c r="AG316" s="233">
        <f t="shared" si="107"/>
        <v>15596633.999266</v>
      </c>
      <c r="AH316" s="238">
        <f t="shared" si="108"/>
        <v>15596633.999266</v>
      </c>
      <c r="AI316" s="238">
        <f t="shared" si="109"/>
        <v>171562973.99192601</v>
      </c>
      <c r="AJ316" s="261">
        <f t="shared" si="110"/>
        <v>2007</v>
      </c>
      <c r="AK316" s="233">
        <f t="shared" si="111"/>
        <v>608268735.97137403</v>
      </c>
    </row>
    <row r="317" spans="1:39" s="116" customFormat="1" ht="35.25" hidden="1" customHeight="1" x14ac:dyDescent="0.2">
      <c r="B317" s="116" t="e">
        <f t="shared" si="98"/>
        <v>#N/A</v>
      </c>
      <c r="F317" s="218" t="s">
        <v>2305</v>
      </c>
      <c r="G317" s="53"/>
      <c r="H317" s="67" t="s">
        <v>1180</v>
      </c>
      <c r="I317" s="33" t="s">
        <v>3822</v>
      </c>
      <c r="J317" s="63"/>
      <c r="K317" s="33" t="s">
        <v>835</v>
      </c>
      <c r="L317" s="360"/>
      <c r="M317" s="40"/>
      <c r="N317" s="360">
        <v>40</v>
      </c>
      <c r="O317" s="72" t="s">
        <v>3110</v>
      </c>
      <c r="P317" s="33">
        <v>2007</v>
      </c>
      <c r="Q317" s="40"/>
      <c r="R317" s="40"/>
      <c r="S317" s="40"/>
      <c r="T317" s="40" t="s">
        <v>12</v>
      </c>
      <c r="U317" s="251">
        <v>890878662.61464095</v>
      </c>
      <c r="V317" s="33" t="s">
        <v>43</v>
      </c>
      <c r="W317" s="127"/>
      <c r="X317" s="206" t="str">
        <f t="shared" si="97"/>
        <v>4.13.02</v>
      </c>
      <c r="Y317" s="207" t="str">
        <f t="shared" si="99"/>
        <v>JEMBATAN</v>
      </c>
      <c r="Z317" s="207">
        <f t="shared" si="100"/>
        <v>50</v>
      </c>
      <c r="AA317" s="233">
        <f t="shared" si="101"/>
        <v>17817573.05229282</v>
      </c>
      <c r="AB317" s="208">
        <f t="shared" si="102"/>
        <v>6</v>
      </c>
      <c r="AC317" s="233">
        <f t="shared" si="103"/>
        <v>106905438.31375691</v>
      </c>
      <c r="AD317" s="233">
        <f t="shared" si="104"/>
        <v>17817573.05229282</v>
      </c>
      <c r="AE317" s="233">
        <f t="shared" si="105"/>
        <v>17817573.05229282</v>
      </c>
      <c r="AF317" s="233">
        <f t="shared" si="106"/>
        <v>17817573.05229282</v>
      </c>
      <c r="AG317" s="233">
        <f t="shared" si="107"/>
        <v>17817573.05229282</v>
      </c>
      <c r="AH317" s="238">
        <f t="shared" si="108"/>
        <v>17817573.05229282</v>
      </c>
      <c r="AI317" s="238">
        <f t="shared" si="109"/>
        <v>195993303.57522103</v>
      </c>
      <c r="AJ317" s="261">
        <f t="shared" si="110"/>
        <v>2007</v>
      </c>
      <c r="AK317" s="233">
        <f t="shared" si="111"/>
        <v>694885359.03941989</v>
      </c>
    </row>
    <row r="318" spans="1:39" s="116" customFormat="1" ht="35.25" hidden="1" customHeight="1" x14ac:dyDescent="0.2">
      <c r="A318" s="116">
        <v>28</v>
      </c>
      <c r="B318" s="116" t="str">
        <f t="shared" si="98"/>
        <v>PL. KOMANG SENTAJO - KOTO SENTAJO</v>
      </c>
      <c r="D318" s="116">
        <v>2</v>
      </c>
      <c r="E318" s="120" t="str">
        <f>A318&amp;"."&amp;D318</f>
        <v>28.2</v>
      </c>
      <c r="F318" s="218" t="s">
        <v>2305</v>
      </c>
      <c r="G318" s="53"/>
      <c r="H318" s="67" t="s">
        <v>1181</v>
      </c>
      <c r="I318" s="33" t="s">
        <v>2494</v>
      </c>
      <c r="J318" s="63"/>
      <c r="K318" s="33" t="s">
        <v>835</v>
      </c>
      <c r="L318" s="360">
        <v>3</v>
      </c>
      <c r="M318" s="40">
        <v>4</v>
      </c>
      <c r="N318" s="360">
        <v>12</v>
      </c>
      <c r="O318" s="72" t="s">
        <v>3091</v>
      </c>
      <c r="P318" s="33">
        <v>2007</v>
      </c>
      <c r="Q318" s="40"/>
      <c r="R318" s="40"/>
      <c r="S318" s="40"/>
      <c r="T318" s="40" t="s">
        <v>12</v>
      </c>
      <c r="U318" s="251">
        <v>786272302.10877895</v>
      </c>
      <c r="V318" s="33" t="s">
        <v>43</v>
      </c>
      <c r="W318" s="127"/>
      <c r="X318" s="206" t="str">
        <f t="shared" si="97"/>
        <v>4.13.02</v>
      </c>
      <c r="Y318" s="207" t="str">
        <f t="shared" si="99"/>
        <v>JEMBATAN</v>
      </c>
      <c r="Z318" s="207">
        <f t="shared" si="100"/>
        <v>50</v>
      </c>
      <c r="AA318" s="233">
        <f t="shared" si="101"/>
        <v>15725445.842175579</v>
      </c>
      <c r="AB318" s="208">
        <f t="shared" si="102"/>
        <v>6</v>
      </c>
      <c r="AC318" s="233">
        <f t="shared" si="103"/>
        <v>94352675.053053468</v>
      </c>
      <c r="AD318" s="233">
        <f t="shared" si="104"/>
        <v>15725445.842175579</v>
      </c>
      <c r="AE318" s="233">
        <f t="shared" si="105"/>
        <v>15725445.842175579</v>
      </c>
      <c r="AF318" s="233">
        <f t="shared" si="106"/>
        <v>15725445.842175579</v>
      </c>
      <c r="AG318" s="233">
        <f t="shared" si="107"/>
        <v>15725445.842175579</v>
      </c>
      <c r="AH318" s="238">
        <f t="shared" si="108"/>
        <v>15725445.842175579</v>
      </c>
      <c r="AI318" s="238">
        <f t="shared" si="109"/>
        <v>172979904.26393133</v>
      </c>
      <c r="AJ318" s="261">
        <f t="shared" si="110"/>
        <v>2007</v>
      </c>
      <c r="AK318" s="233">
        <f t="shared" si="111"/>
        <v>613292397.84484768</v>
      </c>
      <c r="AM318" s="116" t="s">
        <v>4245</v>
      </c>
    </row>
    <row r="319" spans="1:39" s="116" customFormat="1" ht="35.25" hidden="1" customHeight="1" x14ac:dyDescent="0.2">
      <c r="A319" s="116">
        <v>86</v>
      </c>
      <c r="B319" s="116" t="str">
        <f t="shared" si="98"/>
        <v>PANTAI - AIR BULUH</v>
      </c>
      <c r="D319" s="116">
        <v>2</v>
      </c>
      <c r="E319" s="120" t="str">
        <f>A319&amp;"."&amp;D319</f>
        <v>86.2</v>
      </c>
      <c r="F319" s="218" t="s">
        <v>2305</v>
      </c>
      <c r="G319" s="53"/>
      <c r="H319" s="67" t="s">
        <v>1182</v>
      </c>
      <c r="I319" s="33" t="s">
        <v>2494</v>
      </c>
      <c r="J319" s="63"/>
      <c r="K319" s="33" t="s">
        <v>835</v>
      </c>
      <c r="L319" s="360">
        <v>3.5</v>
      </c>
      <c r="M319" s="40">
        <v>3</v>
      </c>
      <c r="N319" s="360">
        <v>10.5</v>
      </c>
      <c r="O319" s="72" t="s">
        <v>628</v>
      </c>
      <c r="P319" s="33">
        <v>2007</v>
      </c>
      <c r="Q319" s="40"/>
      <c r="R319" s="40"/>
      <c r="S319" s="40"/>
      <c r="T319" s="40" t="s">
        <v>12</v>
      </c>
      <c r="U319" s="251">
        <v>695109994.81529498</v>
      </c>
      <c r="V319" s="33" t="s">
        <v>43</v>
      </c>
      <c r="W319" s="127"/>
      <c r="X319" s="206" t="str">
        <f t="shared" si="97"/>
        <v>4.13.02</v>
      </c>
      <c r="Y319" s="207" t="str">
        <f t="shared" si="99"/>
        <v>JEMBATAN</v>
      </c>
      <c r="Z319" s="207">
        <f t="shared" si="100"/>
        <v>50</v>
      </c>
      <c r="AA319" s="233">
        <f t="shared" si="101"/>
        <v>13902199.696305899</v>
      </c>
      <c r="AB319" s="208">
        <f t="shared" si="102"/>
        <v>6</v>
      </c>
      <c r="AC319" s="233">
        <f t="shared" si="103"/>
        <v>83413198.17783539</v>
      </c>
      <c r="AD319" s="233">
        <f t="shared" si="104"/>
        <v>13902199.696305899</v>
      </c>
      <c r="AE319" s="233">
        <f t="shared" si="105"/>
        <v>13902199.696305899</v>
      </c>
      <c r="AF319" s="233">
        <f t="shared" si="106"/>
        <v>13902199.696305899</v>
      </c>
      <c r="AG319" s="233">
        <f t="shared" si="107"/>
        <v>13902199.696305899</v>
      </c>
      <c r="AH319" s="238">
        <f t="shared" si="108"/>
        <v>13902199.696305899</v>
      </c>
      <c r="AI319" s="238">
        <f t="shared" si="109"/>
        <v>152924196.65936488</v>
      </c>
      <c r="AJ319" s="261">
        <f t="shared" si="110"/>
        <v>2007</v>
      </c>
      <c r="AK319" s="233">
        <f t="shared" si="111"/>
        <v>542185798.15593004</v>
      </c>
      <c r="AM319" s="116" t="s">
        <v>4245</v>
      </c>
    </row>
    <row r="320" spans="1:39" s="116" customFormat="1" ht="35.25" hidden="1" customHeight="1" x14ac:dyDescent="0.2">
      <c r="A320" s="116">
        <v>87</v>
      </c>
      <c r="B320" s="116" t="str">
        <f t="shared" si="98"/>
        <v>SEI. BESAR - BTS. SUMBAR</v>
      </c>
      <c r="D320" s="116">
        <v>1</v>
      </c>
      <c r="E320" s="120" t="str">
        <f>A320&amp;"."&amp;D320</f>
        <v>87.1</v>
      </c>
      <c r="F320" s="218" t="s">
        <v>2305</v>
      </c>
      <c r="G320" s="53"/>
      <c r="H320" s="67" t="s">
        <v>1183</v>
      </c>
      <c r="I320" s="33" t="s">
        <v>2494</v>
      </c>
      <c r="J320" s="63"/>
      <c r="K320" s="33" t="s">
        <v>835</v>
      </c>
      <c r="L320" s="360">
        <v>4</v>
      </c>
      <c r="M320" s="40">
        <v>3.5</v>
      </c>
      <c r="N320" s="360">
        <v>14</v>
      </c>
      <c r="O320" s="72" t="s">
        <v>3083</v>
      </c>
      <c r="P320" s="33">
        <v>2007</v>
      </c>
      <c r="Q320" s="40"/>
      <c r="R320" s="40"/>
      <c r="S320" s="40"/>
      <c r="T320" s="40" t="s">
        <v>12</v>
      </c>
      <c r="U320" s="251">
        <v>929480817.58420205</v>
      </c>
      <c r="V320" s="33" t="s">
        <v>43</v>
      </c>
      <c r="W320" s="127"/>
      <c r="X320" s="206" t="str">
        <f t="shared" si="97"/>
        <v>4.13.02</v>
      </c>
      <c r="Y320" s="207" t="str">
        <f t="shared" si="99"/>
        <v>JEMBATAN</v>
      </c>
      <c r="Z320" s="207">
        <f t="shared" si="100"/>
        <v>50</v>
      </c>
      <c r="AA320" s="233">
        <f t="shared" si="101"/>
        <v>18589616.151684042</v>
      </c>
      <c r="AB320" s="208">
        <f t="shared" si="102"/>
        <v>6</v>
      </c>
      <c r="AC320" s="233">
        <f t="shared" si="103"/>
        <v>111537696.91010424</v>
      </c>
      <c r="AD320" s="233">
        <f t="shared" si="104"/>
        <v>18589616.151684042</v>
      </c>
      <c r="AE320" s="233">
        <f t="shared" si="105"/>
        <v>18589616.151684042</v>
      </c>
      <c r="AF320" s="233">
        <f t="shared" si="106"/>
        <v>18589616.151684042</v>
      </c>
      <c r="AG320" s="233">
        <f t="shared" si="107"/>
        <v>18589616.151684042</v>
      </c>
      <c r="AH320" s="238">
        <f t="shared" si="108"/>
        <v>18589616.151684042</v>
      </c>
      <c r="AI320" s="238">
        <f t="shared" si="109"/>
        <v>204485777.66852447</v>
      </c>
      <c r="AJ320" s="261">
        <f t="shared" si="110"/>
        <v>2007</v>
      </c>
      <c r="AK320" s="233">
        <f t="shared" si="111"/>
        <v>724995039.91567755</v>
      </c>
    </row>
    <row r="321" spans="1:39" s="116" customFormat="1" ht="35.25" hidden="1" customHeight="1" x14ac:dyDescent="0.2">
      <c r="B321" s="116" t="e">
        <f t="shared" si="98"/>
        <v>#N/A</v>
      </c>
      <c r="F321" s="218" t="s">
        <v>2305</v>
      </c>
      <c r="G321" s="53"/>
      <c r="H321" s="67" t="s">
        <v>1184</v>
      </c>
      <c r="I321" s="33" t="s">
        <v>3822</v>
      </c>
      <c r="J321" s="63"/>
      <c r="K321" s="33" t="s">
        <v>835</v>
      </c>
      <c r="L321" s="360"/>
      <c r="M321" s="40"/>
      <c r="N321" s="360">
        <v>15</v>
      </c>
      <c r="O321" s="72" t="s">
        <v>3111</v>
      </c>
      <c r="P321" s="33">
        <v>2007</v>
      </c>
      <c r="Q321" s="40"/>
      <c r="R321" s="40"/>
      <c r="S321" s="40"/>
      <c r="T321" s="40" t="s">
        <v>12</v>
      </c>
      <c r="U321" s="251">
        <v>738816590.76175904</v>
      </c>
      <c r="V321" s="33" t="s">
        <v>43</v>
      </c>
      <c r="W321" s="127"/>
      <c r="X321" s="206" t="str">
        <f t="shared" si="97"/>
        <v>4.13.02</v>
      </c>
      <c r="Y321" s="207" t="str">
        <f t="shared" si="99"/>
        <v>JEMBATAN</v>
      </c>
      <c r="Z321" s="207">
        <f t="shared" si="100"/>
        <v>50</v>
      </c>
      <c r="AA321" s="233">
        <f t="shared" si="101"/>
        <v>14776331.615235182</v>
      </c>
      <c r="AB321" s="208">
        <f t="shared" si="102"/>
        <v>6</v>
      </c>
      <c r="AC321" s="233">
        <f t="shared" si="103"/>
        <v>88657989.691411093</v>
      </c>
      <c r="AD321" s="233">
        <f t="shared" si="104"/>
        <v>14776331.615235182</v>
      </c>
      <c r="AE321" s="233">
        <f t="shared" si="105"/>
        <v>14776331.615235182</v>
      </c>
      <c r="AF321" s="233">
        <f t="shared" si="106"/>
        <v>14776331.615235182</v>
      </c>
      <c r="AG321" s="233">
        <f t="shared" si="107"/>
        <v>14776331.615235182</v>
      </c>
      <c r="AH321" s="238">
        <f t="shared" si="108"/>
        <v>14776331.615235182</v>
      </c>
      <c r="AI321" s="238">
        <f t="shared" si="109"/>
        <v>162539647.76758701</v>
      </c>
      <c r="AJ321" s="261">
        <f t="shared" si="110"/>
        <v>2007</v>
      </c>
      <c r="AK321" s="233">
        <f t="shared" si="111"/>
        <v>576276942.9941721</v>
      </c>
    </row>
    <row r="322" spans="1:39" s="116" customFormat="1" ht="35.25" hidden="1" customHeight="1" x14ac:dyDescent="0.2">
      <c r="B322" s="116" t="e">
        <f t="shared" si="98"/>
        <v>#N/A</v>
      </c>
      <c r="F322" s="218" t="s">
        <v>2304</v>
      </c>
      <c r="G322" s="53"/>
      <c r="H322" s="67" t="s">
        <v>1185</v>
      </c>
      <c r="I322" s="33" t="s">
        <v>2494</v>
      </c>
      <c r="J322" s="63"/>
      <c r="K322" s="33"/>
      <c r="L322" s="360"/>
      <c r="M322" s="40"/>
      <c r="N322" s="360"/>
      <c r="O322" s="72" t="s">
        <v>3112</v>
      </c>
      <c r="P322" s="33">
        <v>2015</v>
      </c>
      <c r="Q322" s="40"/>
      <c r="R322" s="40"/>
      <c r="S322" s="40"/>
      <c r="T322" s="40" t="s">
        <v>12</v>
      </c>
      <c r="U322" s="251">
        <v>1400963703.44068</v>
      </c>
      <c r="V322" s="33" t="s">
        <v>43</v>
      </c>
      <c r="W322" s="127">
        <v>1</v>
      </c>
      <c r="X322" s="206" t="str">
        <f t="shared" si="97"/>
        <v>4.13.01</v>
      </c>
      <c r="Y322" s="207" t="str">
        <f t="shared" si="99"/>
        <v>JALAN</v>
      </c>
      <c r="Z322" s="207">
        <f t="shared" si="100"/>
        <v>10</v>
      </c>
      <c r="AA322" s="233">
        <f t="shared" si="101"/>
        <v>140096369.34406799</v>
      </c>
      <c r="AB322" s="208"/>
      <c r="AC322" s="233">
        <f t="shared" si="103"/>
        <v>0</v>
      </c>
      <c r="AD322" s="233">
        <f t="shared" si="104"/>
        <v>140096369.34406799</v>
      </c>
      <c r="AE322" s="233">
        <f t="shared" si="105"/>
        <v>140096369.34406799</v>
      </c>
      <c r="AF322" s="233">
        <f t="shared" si="106"/>
        <v>140096369.34406799</v>
      </c>
      <c r="AG322" s="233">
        <f t="shared" si="107"/>
        <v>140096369.34406799</v>
      </c>
      <c r="AH322" s="238">
        <f t="shared" si="108"/>
        <v>140096369.34406799</v>
      </c>
      <c r="AI322" s="238">
        <f t="shared" si="109"/>
        <v>700481846.72034001</v>
      </c>
      <c r="AJ322" s="261">
        <f t="shared" si="110"/>
        <v>2015</v>
      </c>
      <c r="AK322" s="233">
        <f t="shared" si="111"/>
        <v>700481856.72034001</v>
      </c>
    </row>
    <row r="323" spans="1:39" s="116" customFormat="1" ht="35.25" hidden="1" customHeight="1" x14ac:dyDescent="0.2">
      <c r="B323" s="116" t="e">
        <f t="shared" si="98"/>
        <v>#N/A</v>
      </c>
      <c r="F323" s="218" t="s">
        <v>2304</v>
      </c>
      <c r="G323" s="53"/>
      <c r="H323" s="67" t="s">
        <v>1187</v>
      </c>
      <c r="I323" s="33" t="s">
        <v>2494</v>
      </c>
      <c r="J323" s="63"/>
      <c r="K323" s="33"/>
      <c r="L323" s="360"/>
      <c r="M323" s="40"/>
      <c r="N323" s="360"/>
      <c r="O323" s="72" t="s">
        <v>3113</v>
      </c>
      <c r="P323" s="33">
        <v>2007</v>
      </c>
      <c r="Q323" s="40"/>
      <c r="R323" s="40"/>
      <c r="S323" s="40"/>
      <c r="T323" s="40" t="s">
        <v>12</v>
      </c>
      <c r="U323" s="251">
        <v>966122240.69814003</v>
      </c>
      <c r="V323" s="33" t="s">
        <v>43</v>
      </c>
      <c r="W323" s="127"/>
      <c r="X323" s="206" t="str">
        <f t="shared" si="97"/>
        <v>4.13.01</v>
      </c>
      <c r="Y323" s="207" t="str">
        <f t="shared" si="99"/>
        <v>JALAN</v>
      </c>
      <c r="Z323" s="207">
        <f t="shared" si="100"/>
        <v>10</v>
      </c>
      <c r="AA323" s="233">
        <f t="shared" si="101"/>
        <v>96612223.069813997</v>
      </c>
      <c r="AB323" s="208">
        <f t="shared" si="102"/>
        <v>6</v>
      </c>
      <c r="AC323" s="233">
        <f t="shared" si="103"/>
        <v>579673338.41888404</v>
      </c>
      <c r="AD323" s="233">
        <f t="shared" si="104"/>
        <v>96612223.069813997</v>
      </c>
      <c r="AE323" s="233">
        <f t="shared" si="105"/>
        <v>96612223.069813997</v>
      </c>
      <c r="AF323" s="233">
        <f t="shared" si="106"/>
        <v>96612223.069813997</v>
      </c>
      <c r="AG323" s="233">
        <f t="shared" si="107"/>
        <v>96612223.069813997</v>
      </c>
      <c r="AH323" s="238">
        <f t="shared" si="108"/>
        <v>0</v>
      </c>
      <c r="AI323" s="238">
        <f t="shared" si="109"/>
        <v>966122230.69813991</v>
      </c>
      <c r="AJ323" s="261">
        <f t="shared" si="110"/>
        <v>2007</v>
      </c>
      <c r="AK323" s="233">
        <f t="shared" si="111"/>
        <v>10.00000011920929</v>
      </c>
    </row>
    <row r="324" spans="1:39" s="401" customFormat="1" ht="35.25" hidden="1" customHeight="1" x14ac:dyDescent="0.2">
      <c r="B324" s="401" t="e">
        <f t="shared" si="98"/>
        <v>#N/A</v>
      </c>
      <c r="F324" s="402" t="s">
        <v>2304</v>
      </c>
      <c r="G324" s="403"/>
      <c r="H324" s="404" t="s">
        <v>1188</v>
      </c>
      <c r="I324" s="405" t="s">
        <v>2494</v>
      </c>
      <c r="J324" s="406"/>
      <c r="K324" s="405"/>
      <c r="L324" s="407"/>
      <c r="M324" s="408"/>
      <c r="N324" s="407"/>
      <c r="O324" s="409" t="s">
        <v>3114</v>
      </c>
      <c r="P324" s="405">
        <v>2007</v>
      </c>
      <c r="Q324" s="408"/>
      <c r="R324" s="408"/>
      <c r="S324" s="408"/>
      <c r="T324" s="408" t="s">
        <v>12</v>
      </c>
      <c r="U324" s="410">
        <v>1327353361.6165369</v>
      </c>
      <c r="V324" s="405" t="s">
        <v>43</v>
      </c>
      <c r="W324" s="411"/>
      <c r="X324" s="412" t="str">
        <f t="shared" si="97"/>
        <v>4.13.01</v>
      </c>
      <c r="Y324" s="413" t="str">
        <f t="shared" si="99"/>
        <v>JALAN</v>
      </c>
      <c r="Z324" s="413">
        <f t="shared" si="100"/>
        <v>10</v>
      </c>
      <c r="AA324" s="414">
        <f t="shared" si="101"/>
        <v>132735335.16165368</v>
      </c>
      <c r="AB324" s="415">
        <f t="shared" si="102"/>
        <v>6</v>
      </c>
      <c r="AC324" s="414">
        <f t="shared" si="103"/>
        <v>796412010.96992207</v>
      </c>
      <c r="AD324" s="414">
        <f t="shared" si="104"/>
        <v>132735335.16165368</v>
      </c>
      <c r="AE324" s="414">
        <f t="shared" si="105"/>
        <v>132735335.16165368</v>
      </c>
      <c r="AF324" s="414">
        <f t="shared" si="106"/>
        <v>132735335.16165368</v>
      </c>
      <c r="AG324" s="414">
        <f t="shared" si="107"/>
        <v>132735335.16165368</v>
      </c>
      <c r="AH324" s="416">
        <f t="shared" si="108"/>
        <v>0</v>
      </c>
      <c r="AI324" s="416">
        <f t="shared" si="109"/>
        <v>1327353351.6165369</v>
      </c>
      <c r="AJ324" s="261">
        <f t="shared" si="110"/>
        <v>2007</v>
      </c>
      <c r="AK324" s="414">
        <f t="shared" si="111"/>
        <v>10</v>
      </c>
    </row>
    <row r="325" spans="1:39" s="116" customFormat="1" ht="35.25" hidden="1" customHeight="1" x14ac:dyDescent="0.2">
      <c r="A325" s="116">
        <v>190</v>
      </c>
      <c r="B325" s="116" t="str">
        <f t="shared" si="98"/>
        <v>SAMBUNG - KEBUN LADO</v>
      </c>
      <c r="D325" s="116">
        <v>2</v>
      </c>
      <c r="E325" s="116" t="str">
        <f>A325&amp;"."&amp;D325</f>
        <v>190.2</v>
      </c>
      <c r="F325" s="218" t="s">
        <v>2304</v>
      </c>
      <c r="G325" s="53"/>
      <c r="H325" s="67" t="s">
        <v>1189</v>
      </c>
      <c r="I325" s="33" t="s">
        <v>2494</v>
      </c>
      <c r="J325" s="63"/>
      <c r="K325" s="33"/>
      <c r="L325" s="360"/>
      <c r="M325" s="40"/>
      <c r="N325" s="360"/>
      <c r="O325" s="72" t="s">
        <v>3107</v>
      </c>
      <c r="P325" s="33">
        <v>2007</v>
      </c>
      <c r="Q325" s="40"/>
      <c r="R325" s="40"/>
      <c r="S325" s="40"/>
      <c r="T325" s="40" t="s">
        <v>12</v>
      </c>
      <c r="U325" s="251">
        <v>6847118208.5808697</v>
      </c>
      <c r="V325" s="33" t="s">
        <v>43</v>
      </c>
      <c r="W325" s="127">
        <v>2</v>
      </c>
      <c r="X325" s="206" t="str">
        <f t="shared" ref="X325:X388" si="112">F325</f>
        <v>4.13.01</v>
      </c>
      <c r="Y325" s="207" t="str">
        <f t="shared" si="99"/>
        <v>JALAN</v>
      </c>
      <c r="Z325" s="207">
        <f t="shared" si="100"/>
        <v>10</v>
      </c>
      <c r="AA325" s="233">
        <f t="shared" si="101"/>
        <v>684711819.85808694</v>
      </c>
      <c r="AB325" s="208">
        <f t="shared" si="102"/>
        <v>6</v>
      </c>
      <c r="AC325" s="233">
        <f t="shared" si="103"/>
        <v>4108270919.1485214</v>
      </c>
      <c r="AD325" s="233">
        <f t="shared" si="104"/>
        <v>684711819.85808694</v>
      </c>
      <c r="AE325" s="233">
        <f t="shared" si="105"/>
        <v>684711819.85808694</v>
      </c>
      <c r="AF325" s="233">
        <f t="shared" si="106"/>
        <v>684711819.85808694</v>
      </c>
      <c r="AG325" s="233">
        <f t="shared" si="107"/>
        <v>684711819.85808694</v>
      </c>
      <c r="AH325" s="238">
        <f t="shared" si="108"/>
        <v>0</v>
      </c>
      <c r="AI325" s="238">
        <f t="shared" si="109"/>
        <v>6847118198.5808678</v>
      </c>
      <c r="AJ325" s="261">
        <f t="shared" si="110"/>
        <v>2007</v>
      </c>
      <c r="AK325" s="233">
        <f t="shared" si="111"/>
        <v>10.000001907348633</v>
      </c>
      <c r="AM325" s="116" t="s">
        <v>4245</v>
      </c>
    </row>
    <row r="326" spans="1:39" s="116" customFormat="1" ht="35.25" hidden="1" customHeight="1" x14ac:dyDescent="0.2">
      <c r="A326" s="116">
        <v>236</v>
      </c>
      <c r="B326" s="116" t="str">
        <f t="shared" si="98"/>
        <v>SIMP. PETAI - PABRIK PT. WANASARI</v>
      </c>
      <c r="D326" s="116">
        <v>2</v>
      </c>
      <c r="E326" s="116" t="str">
        <f>A326&amp;"."&amp;D326</f>
        <v>236.2</v>
      </c>
      <c r="F326" s="218" t="s">
        <v>2304</v>
      </c>
      <c r="G326" s="53"/>
      <c r="H326" s="67" t="s">
        <v>1190</v>
      </c>
      <c r="I326" s="33" t="s">
        <v>2494</v>
      </c>
      <c r="J326" s="63"/>
      <c r="K326" s="33"/>
      <c r="L326" s="360"/>
      <c r="M326" s="40"/>
      <c r="N326" s="360"/>
      <c r="O326" s="72" t="s">
        <v>658</v>
      </c>
      <c r="P326" s="33">
        <v>2007</v>
      </c>
      <c r="Q326" s="40"/>
      <c r="R326" s="40"/>
      <c r="S326" s="40"/>
      <c r="T326" s="40" t="s">
        <v>12</v>
      </c>
      <c r="U326" s="251">
        <v>2864585047.9665399</v>
      </c>
      <c r="V326" s="33" t="s">
        <v>43</v>
      </c>
      <c r="W326" s="127"/>
      <c r="X326" s="206" t="str">
        <f t="shared" si="112"/>
        <v>4.13.01</v>
      </c>
      <c r="Y326" s="207" t="str">
        <f t="shared" si="99"/>
        <v>JALAN</v>
      </c>
      <c r="Z326" s="207">
        <f t="shared" si="100"/>
        <v>10</v>
      </c>
      <c r="AA326" s="233">
        <f t="shared" si="101"/>
        <v>286458503.79665399</v>
      </c>
      <c r="AB326" s="208">
        <f t="shared" si="102"/>
        <v>6</v>
      </c>
      <c r="AC326" s="233">
        <f t="shared" si="103"/>
        <v>1718751022.7799239</v>
      </c>
      <c r="AD326" s="233">
        <f t="shared" si="104"/>
        <v>286458503.79665399</v>
      </c>
      <c r="AE326" s="233">
        <f t="shared" si="105"/>
        <v>286458503.79665399</v>
      </c>
      <c r="AF326" s="233">
        <f t="shared" si="106"/>
        <v>286458503.79665399</v>
      </c>
      <c r="AG326" s="233">
        <f t="shared" si="107"/>
        <v>286458503.79665399</v>
      </c>
      <c r="AH326" s="238">
        <f t="shared" si="108"/>
        <v>0</v>
      </c>
      <c r="AI326" s="238">
        <f t="shared" si="109"/>
        <v>2864585037.9665394</v>
      </c>
      <c r="AJ326" s="261">
        <f t="shared" si="110"/>
        <v>2007</v>
      </c>
      <c r="AK326" s="233">
        <f t="shared" si="111"/>
        <v>10.000000476837158</v>
      </c>
      <c r="AM326" s="116" t="s">
        <v>4245</v>
      </c>
    </row>
    <row r="327" spans="1:39" s="401" customFormat="1" ht="35.25" hidden="1" customHeight="1" x14ac:dyDescent="0.2">
      <c r="B327" s="401" t="e">
        <f t="shared" si="98"/>
        <v>#N/A</v>
      </c>
      <c r="F327" s="402" t="s">
        <v>2304</v>
      </c>
      <c r="G327" s="403"/>
      <c r="H327" s="404" t="s">
        <v>1191</v>
      </c>
      <c r="I327" s="405" t="s">
        <v>2494</v>
      </c>
      <c r="J327" s="406"/>
      <c r="K327" s="405"/>
      <c r="L327" s="407"/>
      <c r="M327" s="408"/>
      <c r="N327" s="407"/>
      <c r="O327" s="409" t="s">
        <v>3115</v>
      </c>
      <c r="P327" s="405">
        <v>2007</v>
      </c>
      <c r="Q327" s="408"/>
      <c r="R327" s="408"/>
      <c r="S327" s="408"/>
      <c r="T327" s="408" t="s">
        <v>12</v>
      </c>
      <c r="U327" s="410">
        <v>1327353361.6165369</v>
      </c>
      <c r="V327" s="405" t="s">
        <v>43</v>
      </c>
      <c r="W327" s="411"/>
      <c r="X327" s="412" t="str">
        <f t="shared" si="112"/>
        <v>4.13.01</v>
      </c>
      <c r="Y327" s="413" t="str">
        <f t="shared" si="99"/>
        <v>JALAN</v>
      </c>
      <c r="Z327" s="413">
        <f t="shared" si="100"/>
        <v>10</v>
      </c>
      <c r="AA327" s="414">
        <f t="shared" si="101"/>
        <v>132735335.16165368</v>
      </c>
      <c r="AB327" s="415">
        <f t="shared" si="102"/>
        <v>6</v>
      </c>
      <c r="AC327" s="414">
        <f t="shared" si="103"/>
        <v>796412010.96992207</v>
      </c>
      <c r="AD327" s="414">
        <f t="shared" si="104"/>
        <v>132735335.16165368</v>
      </c>
      <c r="AE327" s="414">
        <f t="shared" si="105"/>
        <v>132735335.16165368</v>
      </c>
      <c r="AF327" s="414">
        <f t="shared" si="106"/>
        <v>132735335.16165368</v>
      </c>
      <c r="AG327" s="414">
        <f t="shared" si="107"/>
        <v>132735335.16165368</v>
      </c>
      <c r="AH327" s="416">
        <f t="shared" si="108"/>
        <v>0</v>
      </c>
      <c r="AI327" s="416">
        <f t="shared" si="109"/>
        <v>1327353351.6165369</v>
      </c>
      <c r="AJ327" s="261">
        <f t="shared" si="110"/>
        <v>2007</v>
      </c>
      <c r="AK327" s="414">
        <f t="shared" si="111"/>
        <v>10</v>
      </c>
    </row>
    <row r="328" spans="1:39" s="116" customFormat="1" ht="35.25" hidden="1" customHeight="1" x14ac:dyDescent="0.2">
      <c r="A328" s="116">
        <v>258</v>
      </c>
      <c r="B328" s="116" t="str">
        <f t="shared" si="98"/>
        <v>LEPAU GADING - PANGEAN</v>
      </c>
      <c r="D328" s="116">
        <v>2</v>
      </c>
      <c r="E328" s="116" t="str">
        <f>A328&amp;"."&amp;D328</f>
        <v>258.2</v>
      </c>
      <c r="F328" s="218" t="s">
        <v>2304</v>
      </c>
      <c r="G328" s="53"/>
      <c r="H328" s="67" t="s">
        <v>1192</v>
      </c>
      <c r="I328" s="33" t="s">
        <v>2494</v>
      </c>
      <c r="J328" s="63"/>
      <c r="K328" s="33"/>
      <c r="L328" s="360"/>
      <c r="M328" s="40"/>
      <c r="N328" s="360"/>
      <c r="O328" s="72" t="s">
        <v>518</v>
      </c>
      <c r="P328" s="33">
        <v>2007</v>
      </c>
      <c r="Q328" s="40"/>
      <c r="R328" s="40"/>
      <c r="S328" s="40"/>
      <c r="T328" s="40" t="s">
        <v>12</v>
      </c>
      <c r="U328" s="251">
        <v>1327353361.6165369</v>
      </c>
      <c r="V328" s="33" t="s">
        <v>43</v>
      </c>
      <c r="W328" s="127"/>
      <c r="X328" s="206" t="str">
        <f t="shared" si="112"/>
        <v>4.13.01</v>
      </c>
      <c r="Y328" s="207" t="str">
        <f t="shared" si="99"/>
        <v>JALAN</v>
      </c>
      <c r="Z328" s="207">
        <f t="shared" si="100"/>
        <v>10</v>
      </c>
      <c r="AA328" s="233">
        <f t="shared" si="101"/>
        <v>132735335.16165368</v>
      </c>
      <c r="AB328" s="208">
        <f t="shared" si="102"/>
        <v>6</v>
      </c>
      <c r="AC328" s="233">
        <f t="shared" si="103"/>
        <v>796412010.96992207</v>
      </c>
      <c r="AD328" s="233">
        <f t="shared" si="104"/>
        <v>132735335.16165368</v>
      </c>
      <c r="AE328" s="233">
        <f t="shared" si="105"/>
        <v>132735335.16165368</v>
      </c>
      <c r="AF328" s="233">
        <f t="shared" si="106"/>
        <v>132735335.16165368</v>
      </c>
      <c r="AG328" s="233">
        <f t="shared" si="107"/>
        <v>132735335.16165368</v>
      </c>
      <c r="AH328" s="238">
        <f t="shared" si="108"/>
        <v>0</v>
      </c>
      <c r="AI328" s="238">
        <f t="shared" si="109"/>
        <v>1327353351.6165369</v>
      </c>
      <c r="AJ328" s="261">
        <f t="shared" si="110"/>
        <v>2007</v>
      </c>
      <c r="AK328" s="233">
        <f t="shared" si="111"/>
        <v>10</v>
      </c>
      <c r="AM328" s="116" t="s">
        <v>4245</v>
      </c>
    </row>
    <row r="329" spans="1:39" s="116" customFormat="1" ht="35.25" hidden="1" customHeight="1" x14ac:dyDescent="0.2">
      <c r="B329" s="116" t="e">
        <f t="shared" si="98"/>
        <v>#N/A</v>
      </c>
      <c r="F329" s="218" t="s">
        <v>2304</v>
      </c>
      <c r="G329" s="53"/>
      <c r="H329" s="67" t="s">
        <v>1193</v>
      </c>
      <c r="I329" s="33" t="s">
        <v>2494</v>
      </c>
      <c r="J329" s="63"/>
      <c r="K329" s="33"/>
      <c r="L329" s="360"/>
      <c r="M329" s="40"/>
      <c r="N329" s="360"/>
      <c r="O329" s="72" t="s">
        <v>3116</v>
      </c>
      <c r="P329" s="33">
        <v>2007</v>
      </c>
      <c r="Q329" s="40"/>
      <c r="R329" s="40"/>
      <c r="S329" s="40"/>
      <c r="T329" s="40" t="s">
        <v>12</v>
      </c>
      <c r="U329" s="251">
        <v>1327353361.6165369</v>
      </c>
      <c r="V329" s="33" t="s">
        <v>43</v>
      </c>
      <c r="W329" s="127"/>
      <c r="X329" s="206" t="str">
        <f t="shared" si="112"/>
        <v>4.13.01</v>
      </c>
      <c r="Y329" s="207" t="str">
        <f t="shared" si="99"/>
        <v>JALAN</v>
      </c>
      <c r="Z329" s="207">
        <f t="shared" si="100"/>
        <v>10</v>
      </c>
      <c r="AA329" s="233">
        <f t="shared" si="101"/>
        <v>132735335.16165368</v>
      </c>
      <c r="AB329" s="208">
        <f t="shared" si="102"/>
        <v>6</v>
      </c>
      <c r="AC329" s="233">
        <f t="shared" si="103"/>
        <v>796412010.96992207</v>
      </c>
      <c r="AD329" s="233">
        <f t="shared" si="104"/>
        <v>132735335.16165368</v>
      </c>
      <c r="AE329" s="233">
        <f t="shared" si="105"/>
        <v>132735335.16165368</v>
      </c>
      <c r="AF329" s="233">
        <f t="shared" si="106"/>
        <v>132735335.16165368</v>
      </c>
      <c r="AG329" s="233">
        <f t="shared" si="107"/>
        <v>132735335.16165368</v>
      </c>
      <c r="AH329" s="238">
        <f t="shared" si="108"/>
        <v>0</v>
      </c>
      <c r="AI329" s="238">
        <f t="shared" si="109"/>
        <v>1327353351.6165369</v>
      </c>
      <c r="AJ329" s="261">
        <f t="shared" si="110"/>
        <v>2007</v>
      </c>
      <c r="AK329" s="233">
        <f t="shared" si="111"/>
        <v>10</v>
      </c>
    </row>
    <row r="330" spans="1:39" s="116" customFormat="1" ht="35.25" hidden="1" customHeight="1" x14ac:dyDescent="0.2">
      <c r="A330" s="417">
        <v>164</v>
      </c>
      <c r="B330" s="417" t="str">
        <f t="shared" si="98"/>
        <v>PANGEAN - BATAS PELALAWAN</v>
      </c>
      <c r="D330" s="116">
        <v>3</v>
      </c>
      <c r="E330" s="1" t="str">
        <f>A330&amp;"."&amp;D330</f>
        <v>164.3</v>
      </c>
      <c r="F330" s="218" t="s">
        <v>2304</v>
      </c>
      <c r="G330" s="53"/>
      <c r="H330" s="67" t="s">
        <v>1194</v>
      </c>
      <c r="I330" s="33" t="s">
        <v>2494</v>
      </c>
      <c r="J330" s="63"/>
      <c r="K330" s="33"/>
      <c r="L330" s="360"/>
      <c r="M330" s="40"/>
      <c r="N330" s="360"/>
      <c r="O330" s="72" t="s">
        <v>3100</v>
      </c>
      <c r="P330" s="33">
        <v>2007</v>
      </c>
      <c r="Q330" s="40"/>
      <c r="R330" s="40"/>
      <c r="S330" s="40"/>
      <c r="T330" s="40" t="s">
        <v>12</v>
      </c>
      <c r="U330" s="251">
        <v>1327353361.6165369</v>
      </c>
      <c r="V330" s="33" t="s">
        <v>43</v>
      </c>
      <c r="W330" s="127"/>
      <c r="X330" s="206" t="str">
        <f t="shared" si="112"/>
        <v>4.13.01</v>
      </c>
      <c r="Y330" s="207" t="str">
        <f t="shared" si="99"/>
        <v>JALAN</v>
      </c>
      <c r="Z330" s="207">
        <f t="shared" si="100"/>
        <v>10</v>
      </c>
      <c r="AA330" s="233">
        <f t="shared" si="101"/>
        <v>132735335.16165368</v>
      </c>
      <c r="AB330" s="208">
        <f t="shared" si="102"/>
        <v>6</v>
      </c>
      <c r="AC330" s="233">
        <f t="shared" si="103"/>
        <v>796412010.96992207</v>
      </c>
      <c r="AD330" s="233">
        <f t="shared" si="104"/>
        <v>132735335.16165368</v>
      </c>
      <c r="AE330" s="233">
        <f t="shared" si="105"/>
        <v>132735335.16165368</v>
      </c>
      <c r="AF330" s="233">
        <f t="shared" si="106"/>
        <v>132735335.16165368</v>
      </c>
      <c r="AG330" s="233">
        <f t="shared" si="107"/>
        <v>132735335.16165368</v>
      </c>
      <c r="AH330" s="238">
        <f t="shared" si="108"/>
        <v>0</v>
      </c>
      <c r="AI330" s="238">
        <f t="shared" si="109"/>
        <v>1327353351.6165369</v>
      </c>
      <c r="AJ330" s="261">
        <f t="shared" si="110"/>
        <v>2007</v>
      </c>
      <c r="AK330" s="233">
        <f t="shared" si="111"/>
        <v>10</v>
      </c>
      <c r="AM330" s="116" t="s">
        <v>4245</v>
      </c>
    </row>
    <row r="331" spans="1:39" s="116" customFormat="1" ht="35.25" hidden="1" customHeight="1" x14ac:dyDescent="0.2">
      <c r="B331" s="116" t="e">
        <f t="shared" si="98"/>
        <v>#N/A</v>
      </c>
      <c r="F331" s="218" t="s">
        <v>2304</v>
      </c>
      <c r="G331" s="53"/>
      <c r="H331" s="67" t="s">
        <v>1195</v>
      </c>
      <c r="I331" s="33" t="s">
        <v>2494</v>
      </c>
      <c r="J331" s="63"/>
      <c r="K331" s="33"/>
      <c r="L331" s="360"/>
      <c r="M331" s="40"/>
      <c r="N331" s="360"/>
      <c r="O331" s="72" t="s">
        <v>3117</v>
      </c>
      <c r="P331" s="33">
        <v>2007</v>
      </c>
      <c r="Q331" s="40"/>
      <c r="R331" s="40"/>
      <c r="S331" s="40"/>
      <c r="T331" s="40" t="s">
        <v>12</v>
      </c>
      <c r="U331" s="251">
        <v>1110059695.6493311</v>
      </c>
      <c r="V331" s="33" t="s">
        <v>43</v>
      </c>
      <c r="W331" s="127"/>
      <c r="X331" s="206" t="str">
        <f t="shared" si="112"/>
        <v>4.13.01</v>
      </c>
      <c r="Y331" s="207" t="str">
        <f t="shared" si="99"/>
        <v>JALAN</v>
      </c>
      <c r="Z331" s="207">
        <f t="shared" si="100"/>
        <v>10</v>
      </c>
      <c r="AA331" s="233">
        <f t="shared" si="101"/>
        <v>111005968.56493311</v>
      </c>
      <c r="AB331" s="208">
        <f t="shared" si="102"/>
        <v>6</v>
      </c>
      <c r="AC331" s="233">
        <f t="shared" si="103"/>
        <v>666035811.38959861</v>
      </c>
      <c r="AD331" s="233">
        <f t="shared" si="104"/>
        <v>111005968.56493311</v>
      </c>
      <c r="AE331" s="233">
        <f t="shared" si="105"/>
        <v>111005968.56493311</v>
      </c>
      <c r="AF331" s="233">
        <f t="shared" si="106"/>
        <v>111005968.56493311</v>
      </c>
      <c r="AG331" s="233">
        <f t="shared" si="107"/>
        <v>111005968.56493311</v>
      </c>
      <c r="AH331" s="238">
        <f t="shared" si="108"/>
        <v>0</v>
      </c>
      <c r="AI331" s="238">
        <f t="shared" si="109"/>
        <v>1110059685.6493309</v>
      </c>
      <c r="AJ331" s="261">
        <f t="shared" si="110"/>
        <v>2007</v>
      </c>
      <c r="AK331" s="233">
        <f t="shared" si="111"/>
        <v>10.000000238418579</v>
      </c>
    </row>
    <row r="332" spans="1:39" s="401" customFormat="1" ht="35.25" hidden="1" customHeight="1" x14ac:dyDescent="0.2">
      <c r="B332" s="401" t="e">
        <f t="shared" si="98"/>
        <v>#N/A</v>
      </c>
      <c r="F332" s="402" t="s">
        <v>2304</v>
      </c>
      <c r="G332" s="403"/>
      <c r="H332" s="404" t="s">
        <v>1196</v>
      </c>
      <c r="I332" s="405" t="s">
        <v>2494</v>
      </c>
      <c r="J332" s="406"/>
      <c r="K332" s="405"/>
      <c r="L332" s="407"/>
      <c r="M332" s="408"/>
      <c r="N332" s="407"/>
      <c r="O332" s="409" t="s">
        <v>3118</v>
      </c>
      <c r="P332" s="405">
        <v>2007</v>
      </c>
      <c r="Q332" s="408"/>
      <c r="R332" s="408"/>
      <c r="S332" s="408"/>
      <c r="T332" s="408" t="s">
        <v>12</v>
      </c>
      <c r="U332" s="410">
        <v>1327353361.6165369</v>
      </c>
      <c r="V332" s="405" t="s">
        <v>43</v>
      </c>
      <c r="W332" s="411"/>
      <c r="X332" s="412" t="str">
        <f t="shared" si="112"/>
        <v>4.13.01</v>
      </c>
      <c r="Y332" s="413" t="str">
        <f t="shared" si="99"/>
        <v>JALAN</v>
      </c>
      <c r="Z332" s="413">
        <f t="shared" si="100"/>
        <v>10</v>
      </c>
      <c r="AA332" s="414">
        <f t="shared" si="101"/>
        <v>132735335.16165368</v>
      </c>
      <c r="AB332" s="415">
        <f t="shared" si="102"/>
        <v>6</v>
      </c>
      <c r="AC332" s="414">
        <f t="shared" si="103"/>
        <v>796412010.96992207</v>
      </c>
      <c r="AD332" s="414">
        <f t="shared" si="104"/>
        <v>132735335.16165368</v>
      </c>
      <c r="AE332" s="414">
        <f t="shared" si="105"/>
        <v>132735335.16165368</v>
      </c>
      <c r="AF332" s="414">
        <f t="shared" si="106"/>
        <v>132735335.16165368</v>
      </c>
      <c r="AG332" s="414">
        <f t="shared" si="107"/>
        <v>132735335.16165368</v>
      </c>
      <c r="AH332" s="416">
        <f t="shared" si="108"/>
        <v>0</v>
      </c>
      <c r="AI332" s="416">
        <f t="shared" si="109"/>
        <v>1327353351.6165369</v>
      </c>
      <c r="AJ332" s="261">
        <f t="shared" si="110"/>
        <v>2007</v>
      </c>
      <c r="AK332" s="414">
        <f t="shared" si="111"/>
        <v>10</v>
      </c>
    </row>
    <row r="333" spans="1:39" s="116" customFormat="1" ht="35.25" hidden="1" customHeight="1" x14ac:dyDescent="0.2">
      <c r="A333" s="116">
        <v>87</v>
      </c>
      <c r="B333" s="116" t="str">
        <f t="shared" si="98"/>
        <v>SEI. BESAR - BTS. SUMBAR</v>
      </c>
      <c r="D333" s="116">
        <v>2</v>
      </c>
      <c r="E333" s="120" t="str">
        <f>A333&amp;"."&amp;D333</f>
        <v>87.2</v>
      </c>
      <c r="F333" s="218" t="s">
        <v>2304</v>
      </c>
      <c r="G333" s="53"/>
      <c r="H333" s="67" t="s">
        <v>1197</v>
      </c>
      <c r="I333" s="33" t="s">
        <v>2494</v>
      </c>
      <c r="J333" s="63"/>
      <c r="K333" s="33"/>
      <c r="L333" s="360"/>
      <c r="M333" s="40"/>
      <c r="N333" s="360"/>
      <c r="O333" s="72" t="s">
        <v>3119</v>
      </c>
      <c r="P333" s="33">
        <v>2007</v>
      </c>
      <c r="Q333" s="40"/>
      <c r="R333" s="40"/>
      <c r="S333" s="40"/>
      <c r="T333" s="40" t="s">
        <v>12</v>
      </c>
      <c r="U333" s="251">
        <v>636337766.08424675</v>
      </c>
      <c r="V333" s="33" t="s">
        <v>43</v>
      </c>
      <c r="W333" s="127"/>
      <c r="X333" s="206" t="str">
        <f t="shared" si="112"/>
        <v>4.13.01</v>
      </c>
      <c r="Y333" s="207" t="str">
        <f t="shared" si="99"/>
        <v>JALAN</v>
      </c>
      <c r="Z333" s="207">
        <f t="shared" si="100"/>
        <v>10</v>
      </c>
      <c r="AA333" s="233">
        <f t="shared" si="101"/>
        <v>63633775.608424678</v>
      </c>
      <c r="AB333" s="208">
        <f t="shared" si="102"/>
        <v>6</v>
      </c>
      <c r="AC333" s="233">
        <f t="shared" si="103"/>
        <v>381802653.6505481</v>
      </c>
      <c r="AD333" s="233">
        <f t="shared" si="104"/>
        <v>63633775.608424678</v>
      </c>
      <c r="AE333" s="233">
        <f t="shared" si="105"/>
        <v>63633775.608424678</v>
      </c>
      <c r="AF333" s="233">
        <f t="shared" si="106"/>
        <v>63633775.608424678</v>
      </c>
      <c r="AG333" s="233">
        <f t="shared" si="107"/>
        <v>63633775.608424678</v>
      </c>
      <c r="AH333" s="238">
        <f t="shared" si="108"/>
        <v>0</v>
      </c>
      <c r="AI333" s="238">
        <f t="shared" si="109"/>
        <v>636337756.08424675</v>
      </c>
      <c r="AJ333" s="261">
        <f t="shared" si="110"/>
        <v>2007</v>
      </c>
      <c r="AK333" s="233">
        <f t="shared" si="111"/>
        <v>10</v>
      </c>
      <c r="AM333" s="116" t="s">
        <v>4245</v>
      </c>
    </row>
    <row r="334" spans="1:39" s="116" customFormat="1" ht="35.25" hidden="1" customHeight="1" x14ac:dyDescent="0.2">
      <c r="B334" s="116" t="e">
        <f t="shared" si="98"/>
        <v>#N/A</v>
      </c>
      <c r="F334" s="218" t="s">
        <v>2304</v>
      </c>
      <c r="G334" s="53"/>
      <c r="H334" s="67" t="s">
        <v>1198</v>
      </c>
      <c r="I334" s="33" t="s">
        <v>2494</v>
      </c>
      <c r="J334" s="63"/>
      <c r="K334" s="33"/>
      <c r="L334" s="360"/>
      <c r="M334" s="40"/>
      <c r="N334" s="360"/>
      <c r="O334" s="72" t="s">
        <v>3120</v>
      </c>
      <c r="P334" s="33">
        <v>2007</v>
      </c>
      <c r="Q334" s="40"/>
      <c r="R334" s="40"/>
      <c r="S334" s="40"/>
      <c r="T334" s="40" t="s">
        <v>12</v>
      </c>
      <c r="U334" s="251">
        <v>837379143.13253343</v>
      </c>
      <c r="V334" s="33" t="s">
        <v>43</v>
      </c>
      <c r="W334" s="127"/>
      <c r="X334" s="206" t="str">
        <f t="shared" si="112"/>
        <v>4.13.01</v>
      </c>
      <c r="Y334" s="207" t="str">
        <f t="shared" si="99"/>
        <v>JALAN</v>
      </c>
      <c r="Z334" s="207">
        <f t="shared" si="100"/>
        <v>10</v>
      </c>
      <c r="AA334" s="233">
        <f t="shared" si="101"/>
        <v>83737913.313253343</v>
      </c>
      <c r="AB334" s="208">
        <f t="shared" si="102"/>
        <v>6</v>
      </c>
      <c r="AC334" s="233">
        <f t="shared" si="103"/>
        <v>502427479.87952006</v>
      </c>
      <c r="AD334" s="233">
        <f t="shared" si="104"/>
        <v>83737913.313253343</v>
      </c>
      <c r="AE334" s="233">
        <f t="shared" si="105"/>
        <v>83737913.313253343</v>
      </c>
      <c r="AF334" s="233">
        <f t="shared" si="106"/>
        <v>83737913.313253343</v>
      </c>
      <c r="AG334" s="233">
        <f t="shared" si="107"/>
        <v>83737913.313253343</v>
      </c>
      <c r="AH334" s="238">
        <f t="shared" si="108"/>
        <v>83737913.313253343</v>
      </c>
      <c r="AI334" s="238">
        <f t="shared" si="109"/>
        <v>921117046.44578695</v>
      </c>
      <c r="AJ334" s="261">
        <f t="shared" si="110"/>
        <v>2007</v>
      </c>
      <c r="AK334" s="233">
        <f t="shared" si="111"/>
        <v>-83737903.313253522</v>
      </c>
    </row>
    <row r="335" spans="1:39" s="401" customFormat="1" ht="35.25" hidden="1" customHeight="1" x14ac:dyDescent="0.2">
      <c r="B335" s="401" t="e">
        <f t="shared" si="98"/>
        <v>#N/A</v>
      </c>
      <c r="F335" s="402" t="s">
        <v>2304</v>
      </c>
      <c r="G335" s="403"/>
      <c r="H335" s="404" t="s">
        <v>1199</v>
      </c>
      <c r="I335" s="405" t="s">
        <v>2494</v>
      </c>
      <c r="J335" s="406"/>
      <c r="K335" s="405"/>
      <c r="L335" s="407"/>
      <c r="M335" s="408"/>
      <c r="N335" s="407"/>
      <c r="O335" s="409" t="s">
        <v>3121</v>
      </c>
      <c r="P335" s="405">
        <v>2007</v>
      </c>
      <c r="Q335" s="408"/>
      <c r="R335" s="408"/>
      <c r="S335" s="408"/>
      <c r="T335" s="408" t="s">
        <v>12</v>
      </c>
      <c r="U335" s="410">
        <v>4984557066.1999998</v>
      </c>
      <c r="V335" s="405" t="s">
        <v>43</v>
      </c>
      <c r="W335" s="411"/>
      <c r="X335" s="412" t="str">
        <f t="shared" si="112"/>
        <v>4.13.01</v>
      </c>
      <c r="Y335" s="413" t="str">
        <f t="shared" si="99"/>
        <v>JALAN</v>
      </c>
      <c r="Z335" s="413">
        <f t="shared" si="100"/>
        <v>10</v>
      </c>
      <c r="AA335" s="414">
        <f t="shared" si="101"/>
        <v>498455705.62</v>
      </c>
      <c r="AB335" s="415">
        <f t="shared" si="102"/>
        <v>6</v>
      </c>
      <c r="AC335" s="414">
        <f t="shared" si="103"/>
        <v>2990734233.7200003</v>
      </c>
      <c r="AD335" s="414">
        <f t="shared" si="104"/>
        <v>498455705.62</v>
      </c>
      <c r="AE335" s="414">
        <f t="shared" si="105"/>
        <v>498455705.62</v>
      </c>
      <c r="AF335" s="414">
        <f t="shared" si="106"/>
        <v>498455705.62</v>
      </c>
      <c r="AG335" s="414">
        <f t="shared" si="107"/>
        <v>498455705.62</v>
      </c>
      <c r="AH335" s="416">
        <f t="shared" si="108"/>
        <v>0</v>
      </c>
      <c r="AI335" s="416">
        <f t="shared" si="109"/>
        <v>4984557056.1999998</v>
      </c>
      <c r="AJ335" s="261">
        <f t="shared" si="110"/>
        <v>2007</v>
      </c>
      <c r="AK335" s="414">
        <f t="shared" si="111"/>
        <v>10</v>
      </c>
    </row>
    <row r="336" spans="1:39" s="116" customFormat="1" ht="35.25" hidden="1" customHeight="1" x14ac:dyDescent="0.2">
      <c r="B336" s="116" t="e">
        <f t="shared" si="98"/>
        <v>#N/A</v>
      </c>
      <c r="F336" s="218" t="s">
        <v>2304</v>
      </c>
      <c r="G336" s="53"/>
      <c r="H336" s="67" t="s">
        <v>1200</v>
      </c>
      <c r="I336" s="33" t="s">
        <v>2494</v>
      </c>
      <c r="J336" s="63"/>
      <c r="K336" s="33"/>
      <c r="L336" s="360"/>
      <c r="M336" s="40"/>
      <c r="N336" s="360"/>
      <c r="O336" s="72" t="s">
        <v>3122</v>
      </c>
      <c r="P336" s="33">
        <v>2007</v>
      </c>
      <c r="Q336" s="40"/>
      <c r="R336" s="40"/>
      <c r="S336" s="40"/>
      <c r="T336" s="40" t="s">
        <v>12</v>
      </c>
      <c r="U336" s="251">
        <v>3783819547.1500001</v>
      </c>
      <c r="V336" s="33" t="s">
        <v>43</v>
      </c>
      <c r="W336" s="127"/>
      <c r="X336" s="206" t="str">
        <f t="shared" si="112"/>
        <v>4.13.01</v>
      </c>
      <c r="Y336" s="207" t="str">
        <f t="shared" si="99"/>
        <v>JALAN</v>
      </c>
      <c r="Z336" s="207">
        <f t="shared" si="100"/>
        <v>10</v>
      </c>
      <c r="AA336" s="233">
        <f t="shared" si="101"/>
        <v>378381953.71500003</v>
      </c>
      <c r="AB336" s="208">
        <f t="shared" si="102"/>
        <v>6</v>
      </c>
      <c r="AC336" s="233">
        <f t="shared" si="103"/>
        <v>2270291722.29</v>
      </c>
      <c r="AD336" s="233">
        <f t="shared" si="104"/>
        <v>378381953.71500003</v>
      </c>
      <c r="AE336" s="233">
        <f t="shared" si="105"/>
        <v>378381953.71500003</v>
      </c>
      <c r="AF336" s="233">
        <f t="shared" si="106"/>
        <v>378381953.71500003</v>
      </c>
      <c r="AG336" s="233">
        <f t="shared" si="107"/>
        <v>378381953.71500003</v>
      </c>
      <c r="AH336" s="238">
        <f t="shared" si="108"/>
        <v>0</v>
      </c>
      <c r="AI336" s="238">
        <f t="shared" si="109"/>
        <v>3783819537.1500006</v>
      </c>
      <c r="AJ336" s="261">
        <f t="shared" si="110"/>
        <v>2007</v>
      </c>
      <c r="AK336" s="233">
        <f t="shared" si="111"/>
        <v>9.9999995231628418</v>
      </c>
    </row>
    <row r="337" spans="1:37" s="116" customFormat="1" ht="35.25" hidden="1" customHeight="1" x14ac:dyDescent="0.2">
      <c r="B337" s="116" t="e">
        <f t="shared" si="98"/>
        <v>#N/A</v>
      </c>
      <c r="F337" s="218" t="s">
        <v>2304</v>
      </c>
      <c r="G337" s="53"/>
      <c r="H337" s="67" t="s">
        <v>1201</v>
      </c>
      <c r="I337" s="33" t="s">
        <v>3822</v>
      </c>
      <c r="J337" s="63"/>
      <c r="K337" s="33"/>
      <c r="L337" s="360"/>
      <c r="M337" s="40"/>
      <c r="N337" s="360"/>
      <c r="O337" s="72" t="s">
        <v>3122</v>
      </c>
      <c r="P337" s="33">
        <v>2007</v>
      </c>
      <c r="Q337" s="40"/>
      <c r="R337" s="40"/>
      <c r="S337" s="40"/>
      <c r="T337" s="40" t="s">
        <v>12</v>
      </c>
      <c r="U337" s="251">
        <v>749497417.32000005</v>
      </c>
      <c r="V337" s="33" t="s">
        <v>43</v>
      </c>
      <c r="W337" s="127"/>
      <c r="X337" s="206" t="str">
        <f t="shared" si="112"/>
        <v>4.13.01</v>
      </c>
      <c r="Y337" s="207" t="str">
        <f t="shared" si="99"/>
        <v>JALAN</v>
      </c>
      <c r="Z337" s="207">
        <f t="shared" si="100"/>
        <v>10</v>
      </c>
      <c r="AA337" s="233">
        <f t="shared" si="101"/>
        <v>74949740.732000008</v>
      </c>
      <c r="AB337" s="208">
        <f t="shared" si="102"/>
        <v>6</v>
      </c>
      <c r="AC337" s="233">
        <f t="shared" si="103"/>
        <v>449698444.39200008</v>
      </c>
      <c r="AD337" s="233">
        <f t="shared" si="104"/>
        <v>74949740.732000008</v>
      </c>
      <c r="AE337" s="233">
        <f t="shared" si="105"/>
        <v>74949740.732000008</v>
      </c>
      <c r="AF337" s="233">
        <f t="shared" si="106"/>
        <v>74949740.732000008</v>
      </c>
      <c r="AG337" s="233">
        <f t="shared" si="107"/>
        <v>74949740.732000008</v>
      </c>
      <c r="AH337" s="238">
        <f t="shared" si="108"/>
        <v>0</v>
      </c>
      <c r="AI337" s="238">
        <f t="shared" si="109"/>
        <v>749497407.32000005</v>
      </c>
      <c r="AJ337" s="261">
        <f t="shared" si="110"/>
        <v>2007</v>
      </c>
      <c r="AK337" s="233">
        <f t="shared" si="111"/>
        <v>10</v>
      </c>
    </row>
    <row r="338" spans="1:37" s="116" customFormat="1" ht="35.25" hidden="1" customHeight="1" x14ac:dyDescent="0.2">
      <c r="B338" s="116" t="e">
        <f t="shared" si="98"/>
        <v>#N/A</v>
      </c>
      <c r="F338" s="218" t="s">
        <v>2304</v>
      </c>
      <c r="G338" s="53"/>
      <c r="H338" s="67" t="s">
        <v>1202</v>
      </c>
      <c r="I338" s="33" t="s">
        <v>2494</v>
      </c>
      <c r="J338" s="63"/>
      <c r="K338" s="33"/>
      <c r="L338" s="360"/>
      <c r="M338" s="40"/>
      <c r="N338" s="360"/>
      <c r="O338" s="72" t="s">
        <v>3122</v>
      </c>
      <c r="P338" s="33">
        <v>2007</v>
      </c>
      <c r="Q338" s="40"/>
      <c r="R338" s="40"/>
      <c r="S338" s="40"/>
      <c r="T338" s="40" t="s">
        <v>12</v>
      </c>
      <c r="U338" s="251">
        <v>1012401500</v>
      </c>
      <c r="V338" s="33" t="s">
        <v>43</v>
      </c>
      <c r="W338" s="127"/>
      <c r="X338" s="206" t="str">
        <f t="shared" si="112"/>
        <v>4.13.01</v>
      </c>
      <c r="Y338" s="207" t="str">
        <f t="shared" si="99"/>
        <v>JALAN</v>
      </c>
      <c r="Z338" s="207">
        <f t="shared" si="100"/>
        <v>10</v>
      </c>
      <c r="AA338" s="233">
        <f t="shared" si="101"/>
        <v>101240149</v>
      </c>
      <c r="AB338" s="208">
        <f t="shared" si="102"/>
        <v>6</v>
      </c>
      <c r="AC338" s="233">
        <f t="shared" si="103"/>
        <v>607440894</v>
      </c>
      <c r="AD338" s="233">
        <f t="shared" si="104"/>
        <v>101240149</v>
      </c>
      <c r="AE338" s="233">
        <f t="shared" si="105"/>
        <v>101240149</v>
      </c>
      <c r="AF338" s="233">
        <f t="shared" si="106"/>
        <v>101240149</v>
      </c>
      <c r="AG338" s="233">
        <f t="shared" si="107"/>
        <v>101240149</v>
      </c>
      <c r="AH338" s="238">
        <f t="shared" si="108"/>
        <v>0</v>
      </c>
      <c r="AI338" s="238">
        <f t="shared" si="109"/>
        <v>1012401490</v>
      </c>
      <c r="AJ338" s="261">
        <f t="shared" si="110"/>
        <v>2007</v>
      </c>
      <c r="AK338" s="233">
        <f t="shared" si="111"/>
        <v>10</v>
      </c>
    </row>
    <row r="339" spans="1:37" s="116" customFormat="1" ht="35.25" hidden="1" customHeight="1" x14ac:dyDescent="0.2">
      <c r="B339" s="116" t="e">
        <f t="shared" si="98"/>
        <v>#N/A</v>
      </c>
      <c r="F339" s="218" t="s">
        <v>2304</v>
      </c>
      <c r="G339" s="53"/>
      <c r="H339" s="67" t="s">
        <v>1203</v>
      </c>
      <c r="I339" s="33" t="s">
        <v>2494</v>
      </c>
      <c r="J339" s="63"/>
      <c r="K339" s="33"/>
      <c r="L339" s="360"/>
      <c r="M339" s="40"/>
      <c r="N339" s="360"/>
      <c r="O339" s="72" t="s">
        <v>3122</v>
      </c>
      <c r="P339" s="33">
        <v>2007</v>
      </c>
      <c r="Q339" s="40"/>
      <c r="R339" s="40"/>
      <c r="S339" s="40"/>
      <c r="T339" s="40" t="s">
        <v>12</v>
      </c>
      <c r="U339" s="251">
        <v>14991856876.784245</v>
      </c>
      <c r="V339" s="33" t="s">
        <v>43</v>
      </c>
      <c r="W339" s="127"/>
      <c r="X339" s="206" t="str">
        <f t="shared" si="112"/>
        <v>4.13.01</v>
      </c>
      <c r="Y339" s="207" t="str">
        <f t="shared" si="99"/>
        <v>JALAN</v>
      </c>
      <c r="Z339" s="207">
        <f t="shared" si="100"/>
        <v>10</v>
      </c>
      <c r="AA339" s="233">
        <f t="shared" si="101"/>
        <v>1499185686.6784244</v>
      </c>
      <c r="AB339" s="208">
        <f t="shared" si="102"/>
        <v>6</v>
      </c>
      <c r="AC339" s="233">
        <f t="shared" si="103"/>
        <v>8995114120.0705452</v>
      </c>
      <c r="AD339" s="233">
        <f t="shared" si="104"/>
        <v>1499185686.6784244</v>
      </c>
      <c r="AE339" s="233">
        <f t="shared" si="105"/>
        <v>1499185686.6784244</v>
      </c>
      <c r="AF339" s="233">
        <f t="shared" si="106"/>
        <v>1499185686.6784244</v>
      </c>
      <c r="AG339" s="233">
        <f t="shared" si="107"/>
        <v>1499185686.6784244</v>
      </c>
      <c r="AH339" s="238">
        <f t="shared" si="108"/>
        <v>0</v>
      </c>
      <c r="AI339" s="238">
        <f t="shared" si="109"/>
        <v>14991856866.784245</v>
      </c>
      <c r="AJ339" s="261">
        <f t="shared" si="110"/>
        <v>2007</v>
      </c>
      <c r="AK339" s="233">
        <f t="shared" si="111"/>
        <v>10</v>
      </c>
    </row>
    <row r="340" spans="1:37" s="116" customFormat="1" ht="35.25" hidden="1" customHeight="1" x14ac:dyDescent="0.2">
      <c r="B340" s="116" t="e">
        <f t="shared" si="98"/>
        <v>#N/A</v>
      </c>
      <c r="F340" s="218" t="s">
        <v>2304</v>
      </c>
      <c r="G340" s="53"/>
      <c r="H340" s="67" t="s">
        <v>1204</v>
      </c>
      <c r="I340" s="33" t="s">
        <v>3827</v>
      </c>
      <c r="J340" s="63"/>
      <c r="K340" s="33"/>
      <c r="L340" s="360"/>
      <c r="M340" s="40"/>
      <c r="N340" s="360"/>
      <c r="O340" s="72" t="s">
        <v>3122</v>
      </c>
      <c r="P340" s="33">
        <v>2007</v>
      </c>
      <c r="Q340" s="40"/>
      <c r="R340" s="40"/>
      <c r="S340" s="40"/>
      <c r="T340" s="40" t="s">
        <v>12</v>
      </c>
      <c r="U340" s="251">
        <v>1004635245.0665743</v>
      </c>
      <c r="V340" s="33" t="s">
        <v>43</v>
      </c>
      <c r="W340" s="127"/>
      <c r="X340" s="206" t="str">
        <f t="shared" si="112"/>
        <v>4.13.01</v>
      </c>
      <c r="Y340" s="207" t="str">
        <f t="shared" si="99"/>
        <v>JALAN</v>
      </c>
      <c r="Z340" s="207">
        <f t="shared" si="100"/>
        <v>10</v>
      </c>
      <c r="AA340" s="233">
        <f t="shared" si="101"/>
        <v>100463523.50665744</v>
      </c>
      <c r="AB340" s="208">
        <f t="shared" si="102"/>
        <v>6</v>
      </c>
      <c r="AC340" s="233">
        <f t="shared" si="103"/>
        <v>602781141.03994465</v>
      </c>
      <c r="AD340" s="233">
        <f t="shared" si="104"/>
        <v>100463523.50665744</v>
      </c>
      <c r="AE340" s="233">
        <f t="shared" si="105"/>
        <v>100463523.50665744</v>
      </c>
      <c r="AF340" s="233">
        <f t="shared" si="106"/>
        <v>100463523.50665744</v>
      </c>
      <c r="AG340" s="233">
        <f t="shared" si="107"/>
        <v>100463523.50665744</v>
      </c>
      <c r="AH340" s="238">
        <f t="shared" si="108"/>
        <v>0</v>
      </c>
      <c r="AI340" s="238">
        <f t="shared" si="109"/>
        <v>1004635235.0665746</v>
      </c>
      <c r="AJ340" s="261">
        <f t="shared" si="110"/>
        <v>2007</v>
      </c>
      <c r="AK340" s="233">
        <f t="shared" si="111"/>
        <v>9.9999997615814209</v>
      </c>
    </row>
    <row r="341" spans="1:37" s="116" customFormat="1" ht="35.25" hidden="1" customHeight="1" x14ac:dyDescent="0.2">
      <c r="B341" s="116" t="e">
        <f t="shared" si="98"/>
        <v>#N/A</v>
      </c>
      <c r="F341" s="218" t="s">
        <v>2305</v>
      </c>
      <c r="G341" s="53"/>
      <c r="H341" s="67" t="s">
        <v>1205</v>
      </c>
      <c r="I341" s="33" t="s">
        <v>3822</v>
      </c>
      <c r="J341" s="63"/>
      <c r="K341" s="33"/>
      <c r="L341" s="360"/>
      <c r="M341" s="40"/>
      <c r="N341" s="360"/>
      <c r="O341" s="72" t="s">
        <v>3122</v>
      </c>
      <c r="P341" s="33">
        <v>2007</v>
      </c>
      <c r="Q341" s="40"/>
      <c r="R341" s="40"/>
      <c r="S341" s="40"/>
      <c r="T341" s="40" t="s">
        <v>12</v>
      </c>
      <c r="U341" s="251">
        <v>3087425688.1593609</v>
      </c>
      <c r="V341" s="33" t="s">
        <v>43</v>
      </c>
      <c r="W341" s="127"/>
      <c r="X341" s="206" t="str">
        <f t="shared" si="112"/>
        <v>4.13.02</v>
      </c>
      <c r="Y341" s="207" t="str">
        <f t="shared" si="99"/>
        <v>JEMBATAN</v>
      </c>
      <c r="Z341" s="207">
        <f t="shared" si="100"/>
        <v>50</v>
      </c>
      <c r="AA341" s="233">
        <f t="shared" si="101"/>
        <v>61748513.563187219</v>
      </c>
      <c r="AB341" s="208">
        <f t="shared" si="102"/>
        <v>6</v>
      </c>
      <c r="AC341" s="233">
        <f t="shared" si="103"/>
        <v>370491081.37912333</v>
      </c>
      <c r="AD341" s="233">
        <f t="shared" si="104"/>
        <v>61748513.563187219</v>
      </c>
      <c r="AE341" s="233">
        <f t="shared" si="105"/>
        <v>61748513.563187219</v>
      </c>
      <c r="AF341" s="233">
        <f t="shared" si="106"/>
        <v>61748513.563187219</v>
      </c>
      <c r="AG341" s="233">
        <f t="shared" si="107"/>
        <v>61748513.563187219</v>
      </c>
      <c r="AH341" s="238">
        <f t="shared" si="108"/>
        <v>61748513.563187219</v>
      </c>
      <c r="AI341" s="238">
        <f t="shared" si="109"/>
        <v>679233649.19505954</v>
      </c>
      <c r="AJ341" s="261">
        <f t="shared" si="110"/>
        <v>2007</v>
      </c>
      <c r="AK341" s="233">
        <f t="shared" si="111"/>
        <v>2408192038.9643011</v>
      </c>
    </row>
    <row r="342" spans="1:37" s="116" customFormat="1" ht="35.25" hidden="1" customHeight="1" x14ac:dyDescent="0.2">
      <c r="B342" s="116" t="e">
        <f t="shared" si="98"/>
        <v>#N/A</v>
      </c>
      <c r="F342" s="218" t="s">
        <v>2304</v>
      </c>
      <c r="G342" s="53"/>
      <c r="H342" s="67" t="s">
        <v>1206</v>
      </c>
      <c r="I342" s="33" t="s">
        <v>2494</v>
      </c>
      <c r="J342" s="63"/>
      <c r="K342" s="33"/>
      <c r="L342" s="360"/>
      <c r="M342" s="40"/>
      <c r="N342" s="360"/>
      <c r="O342" s="72" t="s">
        <v>3122</v>
      </c>
      <c r="P342" s="33">
        <v>2007</v>
      </c>
      <c r="Q342" s="40"/>
      <c r="R342" s="40"/>
      <c r="S342" s="40"/>
      <c r="T342" s="40" t="s">
        <v>12</v>
      </c>
      <c r="U342" s="251">
        <v>2113731899.5999999</v>
      </c>
      <c r="V342" s="33" t="s">
        <v>43</v>
      </c>
      <c r="W342" s="127"/>
      <c r="X342" s="206" t="str">
        <f t="shared" si="112"/>
        <v>4.13.01</v>
      </c>
      <c r="Y342" s="207" t="str">
        <f t="shared" si="99"/>
        <v>JALAN</v>
      </c>
      <c r="Z342" s="207">
        <f t="shared" si="100"/>
        <v>10</v>
      </c>
      <c r="AA342" s="233">
        <f t="shared" si="101"/>
        <v>211373188.95999998</v>
      </c>
      <c r="AB342" s="208">
        <f t="shared" si="102"/>
        <v>6</v>
      </c>
      <c r="AC342" s="233">
        <f t="shared" si="103"/>
        <v>1268239133.7599998</v>
      </c>
      <c r="AD342" s="233">
        <f t="shared" si="104"/>
        <v>211373188.95999998</v>
      </c>
      <c r="AE342" s="233">
        <f t="shared" si="105"/>
        <v>211373188.95999998</v>
      </c>
      <c r="AF342" s="233">
        <f t="shared" si="106"/>
        <v>211373188.95999998</v>
      </c>
      <c r="AG342" s="233">
        <f t="shared" si="107"/>
        <v>211373188.95999998</v>
      </c>
      <c r="AH342" s="238">
        <f t="shared" si="108"/>
        <v>0</v>
      </c>
      <c r="AI342" s="238">
        <f t="shared" si="109"/>
        <v>2113731889.5999999</v>
      </c>
      <c r="AJ342" s="261">
        <f t="shared" si="110"/>
        <v>2007</v>
      </c>
      <c r="AK342" s="233">
        <f t="shared" si="111"/>
        <v>10</v>
      </c>
    </row>
    <row r="343" spans="1:37" s="116" customFormat="1" ht="35.25" hidden="1" customHeight="1" x14ac:dyDescent="0.2">
      <c r="B343" s="116" t="e">
        <f t="shared" si="98"/>
        <v>#N/A</v>
      </c>
      <c r="F343" s="218" t="s">
        <v>2304</v>
      </c>
      <c r="G343" s="53"/>
      <c r="H343" s="67" t="s">
        <v>1203</v>
      </c>
      <c r="I343" s="33" t="s">
        <v>2494</v>
      </c>
      <c r="J343" s="63"/>
      <c r="K343" s="33"/>
      <c r="L343" s="360"/>
      <c r="M343" s="40"/>
      <c r="N343" s="360"/>
      <c r="O343" s="72" t="s">
        <v>3122</v>
      </c>
      <c r="P343" s="33">
        <v>2008</v>
      </c>
      <c r="Q343" s="40"/>
      <c r="R343" s="40"/>
      <c r="S343" s="40"/>
      <c r="T343" s="40" t="s">
        <v>12</v>
      </c>
      <c r="U343" s="251">
        <v>29986611460</v>
      </c>
      <c r="V343" s="33" t="s">
        <v>43</v>
      </c>
      <c r="W343" s="127"/>
      <c r="X343" s="206" t="str">
        <f t="shared" si="112"/>
        <v>4.13.01</v>
      </c>
      <c r="Y343" s="207" t="str">
        <f t="shared" si="99"/>
        <v>JALAN</v>
      </c>
      <c r="Z343" s="207">
        <f t="shared" si="100"/>
        <v>10</v>
      </c>
      <c r="AA343" s="233">
        <f t="shared" si="101"/>
        <v>2998661145</v>
      </c>
      <c r="AB343" s="208">
        <f t="shared" si="102"/>
        <v>5</v>
      </c>
      <c r="AC343" s="233">
        <f t="shared" si="103"/>
        <v>14993305725</v>
      </c>
      <c r="AD343" s="233">
        <f t="shared" si="104"/>
        <v>2998661145</v>
      </c>
      <c r="AE343" s="233">
        <f t="shared" si="105"/>
        <v>2998661145</v>
      </c>
      <c r="AF343" s="233">
        <f t="shared" si="106"/>
        <v>2998661145</v>
      </c>
      <c r="AG343" s="233">
        <f t="shared" si="107"/>
        <v>2998661145</v>
      </c>
      <c r="AH343" s="238">
        <f t="shared" si="108"/>
        <v>2998661145</v>
      </c>
      <c r="AI343" s="238">
        <f t="shared" si="109"/>
        <v>29986611450</v>
      </c>
      <c r="AJ343" s="261">
        <f t="shared" si="110"/>
        <v>2008</v>
      </c>
      <c r="AK343" s="233">
        <f t="shared" si="111"/>
        <v>10</v>
      </c>
    </row>
    <row r="344" spans="1:37" s="116" customFormat="1" ht="35.25" hidden="1" customHeight="1" x14ac:dyDescent="0.2">
      <c r="B344" s="116" t="e">
        <f t="shared" si="98"/>
        <v>#N/A</v>
      </c>
      <c r="F344" s="218" t="s">
        <v>2305</v>
      </c>
      <c r="G344" s="53"/>
      <c r="H344" s="67" t="s">
        <v>1207</v>
      </c>
      <c r="I344" s="33" t="s">
        <v>3822</v>
      </c>
      <c r="J344" s="63"/>
      <c r="K344" s="33"/>
      <c r="L344" s="360"/>
      <c r="M344" s="40"/>
      <c r="N344" s="360"/>
      <c r="O344" s="72" t="s">
        <v>3122</v>
      </c>
      <c r="P344" s="33">
        <v>2008</v>
      </c>
      <c r="Q344" s="40"/>
      <c r="R344" s="40"/>
      <c r="S344" s="40"/>
      <c r="T344" s="40" t="s">
        <v>12</v>
      </c>
      <c r="U344" s="251">
        <v>8726284111.1459866</v>
      </c>
      <c r="V344" s="33" t="s">
        <v>43</v>
      </c>
      <c r="W344" s="127"/>
      <c r="X344" s="206" t="str">
        <f t="shared" si="112"/>
        <v>4.13.02</v>
      </c>
      <c r="Y344" s="207" t="str">
        <f t="shared" si="99"/>
        <v>JEMBATAN</v>
      </c>
      <c r="Z344" s="207">
        <f t="shared" si="100"/>
        <v>50</v>
      </c>
      <c r="AA344" s="233">
        <f t="shared" si="101"/>
        <v>174525682.02291974</v>
      </c>
      <c r="AB344" s="208">
        <f t="shared" si="102"/>
        <v>5</v>
      </c>
      <c r="AC344" s="233">
        <f t="shared" si="103"/>
        <v>872628410.11459875</v>
      </c>
      <c r="AD344" s="233">
        <f t="shared" si="104"/>
        <v>174525682.02291974</v>
      </c>
      <c r="AE344" s="233">
        <f t="shared" si="105"/>
        <v>174525682.02291974</v>
      </c>
      <c r="AF344" s="233">
        <f t="shared" si="106"/>
        <v>174525682.02291974</v>
      </c>
      <c r="AG344" s="233">
        <f t="shared" si="107"/>
        <v>174525682.02291974</v>
      </c>
      <c r="AH344" s="238">
        <f t="shared" si="108"/>
        <v>174525682.02291974</v>
      </c>
      <c r="AI344" s="238">
        <f t="shared" si="109"/>
        <v>1745256820.2291973</v>
      </c>
      <c r="AJ344" s="261">
        <f t="shared" si="110"/>
        <v>2008</v>
      </c>
      <c r="AK344" s="233">
        <f t="shared" si="111"/>
        <v>6981027290.9167891</v>
      </c>
    </row>
    <row r="345" spans="1:37" s="401" customFormat="1" ht="35.25" hidden="1" customHeight="1" x14ac:dyDescent="0.2">
      <c r="B345" s="401" t="e">
        <f t="shared" si="98"/>
        <v>#N/A</v>
      </c>
      <c r="F345" s="402" t="s">
        <v>2304</v>
      </c>
      <c r="G345" s="403"/>
      <c r="H345" s="404" t="s">
        <v>1208</v>
      </c>
      <c r="I345" s="405" t="s">
        <v>2494</v>
      </c>
      <c r="J345" s="406"/>
      <c r="K345" s="405"/>
      <c r="L345" s="407"/>
      <c r="M345" s="408"/>
      <c r="N345" s="407"/>
      <c r="O345" s="409" t="s">
        <v>3123</v>
      </c>
      <c r="P345" s="405">
        <v>2008</v>
      </c>
      <c r="Q345" s="408"/>
      <c r="R345" s="408"/>
      <c r="S345" s="408"/>
      <c r="T345" s="408" t="s">
        <v>12</v>
      </c>
      <c r="U345" s="410">
        <v>5674612893</v>
      </c>
      <c r="V345" s="405" t="s">
        <v>43</v>
      </c>
      <c r="W345" s="411"/>
      <c r="X345" s="412" t="str">
        <f t="shared" si="112"/>
        <v>4.13.01</v>
      </c>
      <c r="Y345" s="413" t="str">
        <f t="shared" si="99"/>
        <v>JALAN</v>
      </c>
      <c r="Z345" s="413">
        <f t="shared" si="100"/>
        <v>10</v>
      </c>
      <c r="AA345" s="414">
        <f t="shared" si="101"/>
        <v>567461288.29999995</v>
      </c>
      <c r="AB345" s="415">
        <f t="shared" si="102"/>
        <v>5</v>
      </c>
      <c r="AC345" s="414">
        <f t="shared" si="103"/>
        <v>2837306441.5</v>
      </c>
      <c r="AD345" s="414">
        <f t="shared" si="104"/>
        <v>567461288.29999995</v>
      </c>
      <c r="AE345" s="414">
        <f t="shared" si="105"/>
        <v>567461288.29999995</v>
      </c>
      <c r="AF345" s="414">
        <f t="shared" si="106"/>
        <v>567461288.29999995</v>
      </c>
      <c r="AG345" s="414">
        <f t="shared" si="107"/>
        <v>567461288.29999995</v>
      </c>
      <c r="AH345" s="416">
        <f t="shared" si="108"/>
        <v>567461288.29999995</v>
      </c>
      <c r="AI345" s="416">
        <f t="shared" si="109"/>
        <v>5674612883.000001</v>
      </c>
      <c r="AJ345" s="261">
        <f t="shared" si="110"/>
        <v>2008</v>
      </c>
      <c r="AK345" s="414">
        <f t="shared" si="111"/>
        <v>9.9999990463256836</v>
      </c>
    </row>
    <row r="346" spans="1:37" s="116" customFormat="1" ht="35.25" hidden="1" customHeight="1" x14ac:dyDescent="0.2">
      <c r="A346" s="116" t="s">
        <v>4135</v>
      </c>
      <c r="B346" s="116" t="e">
        <f t="shared" si="98"/>
        <v>#N/A</v>
      </c>
      <c r="D346" s="116">
        <v>1</v>
      </c>
      <c r="E346" s="1" t="str">
        <f>A346&amp;"."&amp;D346</f>
        <v>J2.1</v>
      </c>
      <c r="F346" s="218" t="s">
        <v>2305</v>
      </c>
      <c r="G346" s="53"/>
      <c r="H346" s="67" t="s">
        <v>1209</v>
      </c>
      <c r="I346" s="33" t="s">
        <v>3827</v>
      </c>
      <c r="J346" s="63"/>
      <c r="K346" s="33"/>
      <c r="L346" s="360"/>
      <c r="M346" s="40"/>
      <c r="N346" s="360"/>
      <c r="O346" s="72" t="s">
        <v>3124</v>
      </c>
      <c r="P346" s="33">
        <v>2008</v>
      </c>
      <c r="Q346" s="40"/>
      <c r="R346" s="40"/>
      <c r="S346" s="40"/>
      <c r="T346" s="40" t="s">
        <v>12</v>
      </c>
      <c r="U346" s="251">
        <v>1685204437</v>
      </c>
      <c r="V346" s="33" t="s">
        <v>43</v>
      </c>
      <c r="W346" s="127"/>
      <c r="X346" s="206" t="str">
        <f t="shared" si="112"/>
        <v>4.13.02</v>
      </c>
      <c r="Y346" s="207" t="str">
        <f t="shared" si="99"/>
        <v>JEMBATAN</v>
      </c>
      <c r="Z346" s="207">
        <f t="shared" si="100"/>
        <v>50</v>
      </c>
      <c r="AA346" s="233">
        <f t="shared" si="101"/>
        <v>33704088.539999999</v>
      </c>
      <c r="AB346" s="208">
        <f t="shared" si="102"/>
        <v>5</v>
      </c>
      <c r="AC346" s="233">
        <f t="shared" si="103"/>
        <v>168520442.69999999</v>
      </c>
      <c r="AD346" s="233">
        <f t="shared" si="104"/>
        <v>33704088.539999999</v>
      </c>
      <c r="AE346" s="233">
        <f t="shared" si="105"/>
        <v>33704088.539999999</v>
      </c>
      <c r="AF346" s="233">
        <f t="shared" si="106"/>
        <v>33704088.539999999</v>
      </c>
      <c r="AG346" s="233">
        <f t="shared" si="107"/>
        <v>33704088.539999999</v>
      </c>
      <c r="AH346" s="238">
        <f t="shared" si="108"/>
        <v>33704088.539999999</v>
      </c>
      <c r="AI346" s="238">
        <f t="shared" si="109"/>
        <v>337040885.40000004</v>
      </c>
      <c r="AJ346" s="261">
        <f t="shared" si="110"/>
        <v>2008</v>
      </c>
      <c r="AK346" s="233">
        <f t="shared" si="111"/>
        <v>1348163551.5999999</v>
      </c>
    </row>
    <row r="347" spans="1:37" s="116" customFormat="1" ht="35.25" hidden="1" customHeight="1" x14ac:dyDescent="0.2">
      <c r="B347" s="116" t="e">
        <f t="shared" si="98"/>
        <v>#N/A</v>
      </c>
      <c r="F347" s="218" t="s">
        <v>2305</v>
      </c>
      <c r="G347" s="53"/>
      <c r="H347" s="67" t="s">
        <v>1179</v>
      </c>
      <c r="I347" s="33" t="s">
        <v>3822</v>
      </c>
      <c r="J347" s="63"/>
      <c r="K347" s="33"/>
      <c r="L347" s="360"/>
      <c r="M347" s="40"/>
      <c r="N347" s="360"/>
      <c r="O347" s="72" t="s">
        <v>2986</v>
      </c>
      <c r="P347" s="33">
        <v>2008</v>
      </c>
      <c r="Q347" s="40"/>
      <c r="R347" s="40"/>
      <c r="S347" s="40"/>
      <c r="T347" s="40" t="s">
        <v>12</v>
      </c>
      <c r="U347" s="251">
        <v>1969256837</v>
      </c>
      <c r="V347" s="33" t="s">
        <v>43</v>
      </c>
      <c r="W347" s="127"/>
      <c r="X347" s="206" t="str">
        <f t="shared" si="112"/>
        <v>4.13.02</v>
      </c>
      <c r="Y347" s="207" t="str">
        <f t="shared" si="99"/>
        <v>JEMBATAN</v>
      </c>
      <c r="Z347" s="207">
        <f t="shared" si="100"/>
        <v>50</v>
      </c>
      <c r="AA347" s="233">
        <f t="shared" si="101"/>
        <v>39385136.539999999</v>
      </c>
      <c r="AB347" s="208">
        <f t="shared" si="102"/>
        <v>5</v>
      </c>
      <c r="AC347" s="233">
        <f t="shared" si="103"/>
        <v>196925682.69999999</v>
      </c>
      <c r="AD347" s="233">
        <f t="shared" si="104"/>
        <v>39385136.539999999</v>
      </c>
      <c r="AE347" s="233">
        <f t="shared" si="105"/>
        <v>39385136.539999999</v>
      </c>
      <c r="AF347" s="233">
        <f t="shared" si="106"/>
        <v>39385136.539999999</v>
      </c>
      <c r="AG347" s="233">
        <f t="shared" si="107"/>
        <v>39385136.539999999</v>
      </c>
      <c r="AH347" s="238">
        <f t="shared" si="108"/>
        <v>39385136.539999999</v>
      </c>
      <c r="AI347" s="238">
        <f t="shared" si="109"/>
        <v>393851365.40000004</v>
      </c>
      <c r="AJ347" s="261">
        <f t="shared" si="110"/>
        <v>2008</v>
      </c>
      <c r="AK347" s="233">
        <f t="shared" si="111"/>
        <v>1575405471.5999999</v>
      </c>
    </row>
    <row r="348" spans="1:37" s="116" customFormat="1" ht="35.25" hidden="1" customHeight="1" x14ac:dyDescent="0.2">
      <c r="B348" s="116" t="e">
        <f t="shared" si="98"/>
        <v>#N/A</v>
      </c>
      <c r="F348" s="218" t="s">
        <v>2304</v>
      </c>
      <c r="G348" s="53"/>
      <c r="H348" s="67" t="s">
        <v>1203</v>
      </c>
      <c r="I348" s="33" t="s">
        <v>2494</v>
      </c>
      <c r="J348" s="63"/>
      <c r="K348" s="33"/>
      <c r="L348" s="360"/>
      <c r="M348" s="40"/>
      <c r="N348" s="360"/>
      <c r="O348" s="72"/>
      <c r="P348" s="33">
        <v>2008</v>
      </c>
      <c r="Q348" s="40"/>
      <c r="R348" s="40"/>
      <c r="S348" s="40"/>
      <c r="T348" s="40" t="s">
        <v>12</v>
      </c>
      <c r="U348" s="251">
        <v>10544570566</v>
      </c>
      <c r="V348" s="33"/>
      <c r="W348" s="127"/>
      <c r="X348" s="206" t="str">
        <f t="shared" si="112"/>
        <v>4.13.01</v>
      </c>
      <c r="Y348" s="207" t="str">
        <f t="shared" si="99"/>
        <v>JALAN</v>
      </c>
      <c r="Z348" s="207">
        <f t="shared" si="100"/>
        <v>10</v>
      </c>
      <c r="AA348" s="233">
        <f t="shared" si="101"/>
        <v>1054457055.6</v>
      </c>
      <c r="AB348" s="208">
        <f t="shared" si="102"/>
        <v>5</v>
      </c>
      <c r="AC348" s="233">
        <f t="shared" si="103"/>
        <v>5272285278</v>
      </c>
      <c r="AD348" s="233">
        <f t="shared" si="104"/>
        <v>1054457055.6</v>
      </c>
      <c r="AE348" s="233">
        <f t="shared" si="105"/>
        <v>1054457055.6</v>
      </c>
      <c r="AF348" s="233">
        <f t="shared" si="106"/>
        <v>1054457055.6</v>
      </c>
      <c r="AG348" s="233">
        <f t="shared" si="107"/>
        <v>1054457055.6</v>
      </c>
      <c r="AH348" s="238">
        <f t="shared" si="108"/>
        <v>1054457055.6</v>
      </c>
      <c r="AI348" s="238">
        <f t="shared" si="109"/>
        <v>10544570556.000002</v>
      </c>
      <c r="AJ348" s="261">
        <f t="shared" si="110"/>
        <v>2008</v>
      </c>
      <c r="AK348" s="233">
        <f t="shared" si="111"/>
        <v>9.9999980926513672</v>
      </c>
    </row>
    <row r="349" spans="1:37" s="401" customFormat="1" ht="35.25" hidden="1" customHeight="1" x14ac:dyDescent="0.2">
      <c r="B349" s="401" t="e">
        <f t="shared" si="98"/>
        <v>#N/A</v>
      </c>
      <c r="F349" s="402" t="s">
        <v>2304</v>
      </c>
      <c r="G349" s="403"/>
      <c r="H349" s="404" t="s">
        <v>1210</v>
      </c>
      <c r="I349" s="405" t="s">
        <v>2494</v>
      </c>
      <c r="J349" s="406"/>
      <c r="K349" s="405"/>
      <c r="L349" s="407"/>
      <c r="M349" s="408"/>
      <c r="N349" s="407"/>
      <c r="O349" s="409" t="s">
        <v>3123</v>
      </c>
      <c r="P349" s="405">
        <v>2008</v>
      </c>
      <c r="Q349" s="408"/>
      <c r="R349" s="408"/>
      <c r="S349" s="408"/>
      <c r="T349" s="408" t="s">
        <v>12</v>
      </c>
      <c r="U349" s="410">
        <v>5288983329</v>
      </c>
      <c r="V349" s="405" t="s">
        <v>43</v>
      </c>
      <c r="W349" s="411"/>
      <c r="X349" s="412" t="str">
        <f t="shared" si="112"/>
        <v>4.13.01</v>
      </c>
      <c r="Y349" s="413" t="str">
        <f t="shared" si="99"/>
        <v>JALAN</v>
      </c>
      <c r="Z349" s="413">
        <f t="shared" si="100"/>
        <v>10</v>
      </c>
      <c r="AA349" s="414">
        <f t="shared" si="101"/>
        <v>528898331.89999998</v>
      </c>
      <c r="AB349" s="415">
        <f t="shared" si="102"/>
        <v>5</v>
      </c>
      <c r="AC349" s="414">
        <f t="shared" si="103"/>
        <v>2644491659.5</v>
      </c>
      <c r="AD349" s="414">
        <f t="shared" si="104"/>
        <v>528898331.89999998</v>
      </c>
      <c r="AE349" s="414">
        <f t="shared" si="105"/>
        <v>528898331.89999998</v>
      </c>
      <c r="AF349" s="414">
        <f t="shared" si="106"/>
        <v>528898331.89999998</v>
      </c>
      <c r="AG349" s="414">
        <f t="shared" si="107"/>
        <v>528898331.89999998</v>
      </c>
      <c r="AH349" s="416">
        <f t="shared" si="108"/>
        <v>528898331.89999998</v>
      </c>
      <c r="AI349" s="416">
        <f t="shared" si="109"/>
        <v>5288983319</v>
      </c>
      <c r="AJ349" s="261">
        <f t="shared" si="110"/>
        <v>2008</v>
      </c>
      <c r="AK349" s="414">
        <f t="shared" si="111"/>
        <v>10</v>
      </c>
    </row>
    <row r="350" spans="1:37" s="116" customFormat="1" ht="35.25" hidden="1" customHeight="1" x14ac:dyDescent="0.2">
      <c r="B350" s="116" t="e">
        <f t="shared" si="98"/>
        <v>#N/A</v>
      </c>
      <c r="F350" s="218" t="s">
        <v>2304</v>
      </c>
      <c r="G350" s="53"/>
      <c r="H350" s="67" t="s">
        <v>1211</v>
      </c>
      <c r="I350" s="33" t="s">
        <v>2494</v>
      </c>
      <c r="J350" s="63"/>
      <c r="K350" s="33"/>
      <c r="L350" s="360"/>
      <c r="M350" s="40"/>
      <c r="N350" s="360"/>
      <c r="O350" s="72" t="s">
        <v>3125</v>
      </c>
      <c r="P350" s="33">
        <v>2008</v>
      </c>
      <c r="Q350" s="40"/>
      <c r="R350" s="40"/>
      <c r="S350" s="40"/>
      <c r="T350" s="40" t="s">
        <v>12</v>
      </c>
      <c r="U350" s="251">
        <v>711641781</v>
      </c>
      <c r="V350" s="33" t="s">
        <v>43</v>
      </c>
      <c r="W350" s="127"/>
      <c r="X350" s="206" t="str">
        <f t="shared" si="112"/>
        <v>4.13.01</v>
      </c>
      <c r="Y350" s="207" t="str">
        <f t="shared" si="99"/>
        <v>JALAN</v>
      </c>
      <c r="Z350" s="207">
        <f t="shared" si="100"/>
        <v>10</v>
      </c>
      <c r="AA350" s="233">
        <f t="shared" si="101"/>
        <v>71164177.099999994</v>
      </c>
      <c r="AB350" s="208">
        <f t="shared" si="102"/>
        <v>5</v>
      </c>
      <c r="AC350" s="233">
        <f t="shared" si="103"/>
        <v>355820885.5</v>
      </c>
      <c r="AD350" s="233">
        <f t="shared" si="104"/>
        <v>71164177.099999994</v>
      </c>
      <c r="AE350" s="233">
        <f t="shared" si="105"/>
        <v>71164177.099999994</v>
      </c>
      <c r="AF350" s="233">
        <f t="shared" si="106"/>
        <v>71164177.099999994</v>
      </c>
      <c r="AG350" s="233">
        <f t="shared" si="107"/>
        <v>71164177.099999994</v>
      </c>
      <c r="AH350" s="238">
        <f t="shared" si="108"/>
        <v>71164177.099999994</v>
      </c>
      <c r="AI350" s="238">
        <f t="shared" si="109"/>
        <v>711641771.00000012</v>
      </c>
      <c r="AJ350" s="261">
        <f t="shared" si="110"/>
        <v>2008</v>
      </c>
      <c r="AK350" s="233">
        <f t="shared" si="111"/>
        <v>9.9999998807907104</v>
      </c>
    </row>
    <row r="351" spans="1:37" s="116" customFormat="1" ht="35.25" hidden="1" customHeight="1" x14ac:dyDescent="0.2">
      <c r="B351" s="116" t="e">
        <f t="shared" si="98"/>
        <v>#N/A</v>
      </c>
      <c r="F351" s="218" t="s">
        <v>2304</v>
      </c>
      <c r="G351" s="53"/>
      <c r="H351" s="67" t="s">
        <v>1200</v>
      </c>
      <c r="I351" s="33" t="s">
        <v>2494</v>
      </c>
      <c r="J351" s="63"/>
      <c r="K351" s="33"/>
      <c r="L351" s="360"/>
      <c r="M351" s="40"/>
      <c r="N351" s="360"/>
      <c r="O351" s="72" t="s">
        <v>3122</v>
      </c>
      <c r="P351" s="33">
        <v>2008</v>
      </c>
      <c r="Q351" s="40"/>
      <c r="R351" s="40"/>
      <c r="S351" s="40"/>
      <c r="T351" s="40" t="s">
        <v>12</v>
      </c>
      <c r="U351" s="251">
        <v>4998589477</v>
      </c>
      <c r="V351" s="33" t="s">
        <v>43</v>
      </c>
      <c r="W351" s="127"/>
      <c r="X351" s="206" t="str">
        <f t="shared" si="112"/>
        <v>4.13.01</v>
      </c>
      <c r="Y351" s="207" t="str">
        <f t="shared" si="99"/>
        <v>JALAN</v>
      </c>
      <c r="Z351" s="207">
        <f t="shared" si="100"/>
        <v>10</v>
      </c>
      <c r="AA351" s="233">
        <f t="shared" si="101"/>
        <v>499858946.69999999</v>
      </c>
      <c r="AB351" s="208">
        <f t="shared" si="102"/>
        <v>5</v>
      </c>
      <c r="AC351" s="233">
        <f t="shared" si="103"/>
        <v>2499294733.5</v>
      </c>
      <c r="AD351" s="233">
        <f t="shared" si="104"/>
        <v>499858946.69999999</v>
      </c>
      <c r="AE351" s="233">
        <f t="shared" si="105"/>
        <v>499858946.69999999</v>
      </c>
      <c r="AF351" s="233">
        <f t="shared" si="106"/>
        <v>499858946.69999999</v>
      </c>
      <c r="AG351" s="233">
        <f t="shared" si="107"/>
        <v>499858946.69999999</v>
      </c>
      <c r="AH351" s="238">
        <f t="shared" si="108"/>
        <v>499858946.69999999</v>
      </c>
      <c r="AI351" s="238">
        <f t="shared" si="109"/>
        <v>4998589466.999999</v>
      </c>
      <c r="AJ351" s="261">
        <f t="shared" si="110"/>
        <v>2008</v>
      </c>
      <c r="AK351" s="233">
        <f t="shared" si="111"/>
        <v>10.000000953674316</v>
      </c>
    </row>
    <row r="352" spans="1:37" s="116" customFormat="1" ht="35.25" hidden="1" customHeight="1" x14ac:dyDescent="0.2">
      <c r="B352" s="116" t="e">
        <f t="shared" si="98"/>
        <v>#N/A</v>
      </c>
      <c r="F352" s="218" t="s">
        <v>2305</v>
      </c>
      <c r="G352" s="53"/>
      <c r="H352" s="67" t="s">
        <v>1201</v>
      </c>
      <c r="I352" s="33" t="s">
        <v>3822</v>
      </c>
      <c r="J352" s="63"/>
      <c r="K352" s="33"/>
      <c r="L352" s="360"/>
      <c r="M352" s="40"/>
      <c r="N352" s="360"/>
      <c r="O352" s="72" t="s">
        <v>3122</v>
      </c>
      <c r="P352" s="33">
        <v>2008</v>
      </c>
      <c r="Q352" s="40"/>
      <c r="R352" s="40"/>
      <c r="S352" s="40"/>
      <c r="T352" s="40" t="s">
        <v>12</v>
      </c>
      <c r="U352" s="251">
        <v>829088158</v>
      </c>
      <c r="V352" s="33" t="s">
        <v>43</v>
      </c>
      <c r="W352" s="127"/>
      <c r="X352" s="206" t="str">
        <f t="shared" si="112"/>
        <v>4.13.02</v>
      </c>
      <c r="Y352" s="207" t="str">
        <f t="shared" si="99"/>
        <v>JEMBATAN</v>
      </c>
      <c r="Z352" s="207">
        <f t="shared" si="100"/>
        <v>50</v>
      </c>
      <c r="AA352" s="233">
        <f t="shared" si="101"/>
        <v>16581762.960000001</v>
      </c>
      <c r="AB352" s="208">
        <f t="shared" si="102"/>
        <v>5</v>
      </c>
      <c r="AC352" s="233">
        <f t="shared" si="103"/>
        <v>82908814.800000012</v>
      </c>
      <c r="AD352" s="233">
        <f t="shared" si="104"/>
        <v>16581762.960000001</v>
      </c>
      <c r="AE352" s="233">
        <f t="shared" si="105"/>
        <v>16581762.960000001</v>
      </c>
      <c r="AF352" s="233">
        <f t="shared" si="106"/>
        <v>16581762.960000001</v>
      </c>
      <c r="AG352" s="233">
        <f t="shared" si="107"/>
        <v>16581762.960000001</v>
      </c>
      <c r="AH352" s="238">
        <f t="shared" si="108"/>
        <v>16581762.960000001</v>
      </c>
      <c r="AI352" s="238">
        <f t="shared" si="109"/>
        <v>165817629.60000005</v>
      </c>
      <c r="AJ352" s="261">
        <f t="shared" si="110"/>
        <v>2008</v>
      </c>
      <c r="AK352" s="233">
        <f t="shared" si="111"/>
        <v>663270528.39999998</v>
      </c>
    </row>
    <row r="353" spans="2:37" s="116" customFormat="1" ht="35.25" hidden="1" customHeight="1" x14ac:dyDescent="0.2">
      <c r="B353" s="116" t="e">
        <f t="shared" si="98"/>
        <v>#N/A</v>
      </c>
      <c r="F353" s="218" t="s">
        <v>2304</v>
      </c>
      <c r="G353" s="53"/>
      <c r="H353" s="67" t="s">
        <v>1203</v>
      </c>
      <c r="I353" s="33" t="s">
        <v>2494</v>
      </c>
      <c r="J353" s="63"/>
      <c r="K353" s="33"/>
      <c r="L353" s="360"/>
      <c r="M353" s="40"/>
      <c r="N353" s="360"/>
      <c r="O353" s="72" t="s">
        <v>3122</v>
      </c>
      <c r="P353" s="33">
        <v>2008</v>
      </c>
      <c r="Q353" s="40"/>
      <c r="R353" s="40"/>
      <c r="S353" s="40"/>
      <c r="T353" s="40" t="s">
        <v>12</v>
      </c>
      <c r="U353" s="251">
        <v>250000000</v>
      </c>
      <c r="V353" s="33" t="s">
        <v>43</v>
      </c>
      <c r="W353" s="127"/>
      <c r="X353" s="206" t="str">
        <f t="shared" si="112"/>
        <v>4.13.01</v>
      </c>
      <c r="Y353" s="207" t="str">
        <f t="shared" si="99"/>
        <v>JALAN</v>
      </c>
      <c r="Z353" s="207">
        <f t="shared" si="100"/>
        <v>10</v>
      </c>
      <c r="AA353" s="233">
        <f t="shared" si="101"/>
        <v>24999999</v>
      </c>
      <c r="AB353" s="208">
        <f t="shared" si="102"/>
        <v>5</v>
      </c>
      <c r="AC353" s="233">
        <f t="shared" si="103"/>
        <v>124999995</v>
      </c>
      <c r="AD353" s="233">
        <f t="shared" si="104"/>
        <v>24999999</v>
      </c>
      <c r="AE353" s="233">
        <f t="shared" si="105"/>
        <v>24999999</v>
      </c>
      <c r="AF353" s="233">
        <f t="shared" si="106"/>
        <v>24999999</v>
      </c>
      <c r="AG353" s="233">
        <f t="shared" si="107"/>
        <v>24999999</v>
      </c>
      <c r="AH353" s="238">
        <f t="shared" si="108"/>
        <v>24999999</v>
      </c>
      <c r="AI353" s="238">
        <f t="shared" si="109"/>
        <v>249999990</v>
      </c>
      <c r="AJ353" s="261">
        <f t="shared" si="110"/>
        <v>2008</v>
      </c>
      <c r="AK353" s="233">
        <f t="shared" si="111"/>
        <v>10</v>
      </c>
    </row>
    <row r="354" spans="2:37" s="116" customFormat="1" ht="35.25" hidden="1" customHeight="1" x14ac:dyDescent="0.2">
      <c r="B354" s="116" t="e">
        <f t="shared" si="98"/>
        <v>#N/A</v>
      </c>
      <c r="F354" s="218" t="s">
        <v>2304</v>
      </c>
      <c r="G354" s="53"/>
      <c r="H354" s="67" t="s">
        <v>1203</v>
      </c>
      <c r="I354" s="33" t="s">
        <v>2494</v>
      </c>
      <c r="J354" s="63"/>
      <c r="K354" s="33"/>
      <c r="L354" s="360"/>
      <c r="M354" s="40"/>
      <c r="N354" s="360"/>
      <c r="O354" s="72" t="s">
        <v>3122</v>
      </c>
      <c r="P354" s="33">
        <v>2008</v>
      </c>
      <c r="Q354" s="40"/>
      <c r="R354" s="40"/>
      <c r="S354" s="40"/>
      <c r="T354" s="40" t="s">
        <v>12</v>
      </c>
      <c r="U354" s="251">
        <v>5108967559.5763826</v>
      </c>
      <c r="V354" s="33" t="s">
        <v>43</v>
      </c>
      <c r="W354" s="127"/>
      <c r="X354" s="206" t="str">
        <f t="shared" si="112"/>
        <v>4.13.01</v>
      </c>
      <c r="Y354" s="207" t="str">
        <f t="shared" si="99"/>
        <v>JALAN</v>
      </c>
      <c r="Z354" s="207">
        <f t="shared" si="100"/>
        <v>10</v>
      </c>
      <c r="AA354" s="233">
        <f t="shared" si="101"/>
        <v>510896754.95763826</v>
      </c>
      <c r="AB354" s="208">
        <f t="shared" si="102"/>
        <v>5</v>
      </c>
      <c r="AC354" s="233">
        <f t="shared" si="103"/>
        <v>2554483774.7881913</v>
      </c>
      <c r="AD354" s="233">
        <f t="shared" si="104"/>
        <v>510896754.95763826</v>
      </c>
      <c r="AE354" s="233">
        <f t="shared" si="105"/>
        <v>510896754.95763826</v>
      </c>
      <c r="AF354" s="233">
        <f t="shared" si="106"/>
        <v>510896754.95763826</v>
      </c>
      <c r="AG354" s="233">
        <f t="shared" si="107"/>
        <v>510896754.95763826</v>
      </c>
      <c r="AH354" s="238">
        <f t="shared" si="108"/>
        <v>510896754.95763826</v>
      </c>
      <c r="AI354" s="238">
        <f t="shared" si="109"/>
        <v>5108967549.5763817</v>
      </c>
      <c r="AJ354" s="261">
        <f t="shared" si="110"/>
        <v>2008</v>
      </c>
      <c r="AK354" s="233">
        <f t="shared" si="111"/>
        <v>10.000000953674316</v>
      </c>
    </row>
    <row r="355" spans="2:37" s="116" customFormat="1" ht="35.25" hidden="1" customHeight="1" x14ac:dyDescent="0.2">
      <c r="B355" s="116" t="e">
        <f t="shared" ref="B355:B422" si="113">VLOOKUP(A355,RUAS,2,0)</f>
        <v>#N/A</v>
      </c>
      <c r="F355" s="218" t="s">
        <v>2305</v>
      </c>
      <c r="G355" s="53"/>
      <c r="H355" s="67" t="s">
        <v>1207</v>
      </c>
      <c r="I355" s="33" t="s">
        <v>3822</v>
      </c>
      <c r="J355" s="63"/>
      <c r="K355" s="33"/>
      <c r="L355" s="360"/>
      <c r="M355" s="40"/>
      <c r="N355" s="360"/>
      <c r="O355" s="72" t="s">
        <v>3122</v>
      </c>
      <c r="P355" s="33">
        <v>2008</v>
      </c>
      <c r="Q355" s="40"/>
      <c r="R355" s="40"/>
      <c r="S355" s="40"/>
      <c r="T355" s="40" t="s">
        <v>12</v>
      </c>
      <c r="U355" s="251">
        <v>2130596812.9205101</v>
      </c>
      <c r="V355" s="33" t="s">
        <v>43</v>
      </c>
      <c r="W355" s="127"/>
      <c r="X355" s="206" t="str">
        <f t="shared" si="112"/>
        <v>4.13.02</v>
      </c>
      <c r="Y355" s="207" t="str">
        <f t="shared" ref="Y355:Y422" si="114">VLOOKUP(X355,kelompok,2,0)</f>
        <v>JEMBATAN</v>
      </c>
      <c r="Z355" s="207">
        <f t="shared" ref="Z355:Z422" si="115">VLOOKUP(X355,MASAMANFAAT,4,0)</f>
        <v>50</v>
      </c>
      <c r="AA355" s="233">
        <f t="shared" si="101"/>
        <v>42611936.058410197</v>
      </c>
      <c r="AB355" s="208">
        <f t="shared" si="102"/>
        <v>5</v>
      </c>
      <c r="AC355" s="233">
        <f t="shared" si="103"/>
        <v>213059680.29205099</v>
      </c>
      <c r="AD355" s="233">
        <f t="shared" si="104"/>
        <v>42611936.058410197</v>
      </c>
      <c r="AE355" s="233">
        <f t="shared" si="105"/>
        <v>42611936.058410197</v>
      </c>
      <c r="AF355" s="233">
        <f t="shared" si="106"/>
        <v>42611936.058410197</v>
      </c>
      <c r="AG355" s="233">
        <f t="shared" si="107"/>
        <v>42611936.058410197</v>
      </c>
      <c r="AH355" s="238">
        <f t="shared" si="108"/>
        <v>42611936.058410197</v>
      </c>
      <c r="AI355" s="238">
        <f t="shared" si="109"/>
        <v>426119360.58410192</v>
      </c>
      <c r="AJ355" s="261">
        <f t="shared" si="110"/>
        <v>2008</v>
      </c>
      <c r="AK355" s="233">
        <f t="shared" si="111"/>
        <v>1704477452.3364081</v>
      </c>
    </row>
    <row r="356" spans="2:37" s="116" customFormat="1" ht="35.25" hidden="1" customHeight="1" x14ac:dyDescent="0.2">
      <c r="B356" s="116" t="e">
        <f t="shared" si="113"/>
        <v>#N/A</v>
      </c>
      <c r="F356" s="218" t="s">
        <v>2304</v>
      </c>
      <c r="G356" s="53"/>
      <c r="H356" s="67" t="s">
        <v>1203</v>
      </c>
      <c r="I356" s="33" t="s">
        <v>2494</v>
      </c>
      <c r="J356" s="63"/>
      <c r="K356" s="33"/>
      <c r="L356" s="360"/>
      <c r="M356" s="40"/>
      <c r="N356" s="360"/>
      <c r="O356" s="72" t="s">
        <v>3122</v>
      </c>
      <c r="P356" s="33">
        <v>2008</v>
      </c>
      <c r="Q356" s="40"/>
      <c r="R356" s="40"/>
      <c r="S356" s="40"/>
      <c r="T356" s="40" t="s">
        <v>12</v>
      </c>
      <c r="U356" s="251">
        <v>837796595</v>
      </c>
      <c r="V356" s="33" t="s">
        <v>43</v>
      </c>
      <c r="W356" s="127"/>
      <c r="X356" s="206" t="str">
        <f t="shared" si="112"/>
        <v>4.13.01</v>
      </c>
      <c r="Y356" s="207" t="str">
        <f t="shared" si="114"/>
        <v>JALAN</v>
      </c>
      <c r="Z356" s="207">
        <f t="shared" si="115"/>
        <v>10</v>
      </c>
      <c r="AA356" s="233">
        <f t="shared" ref="AA356:AA422" si="116">(U356-10)/Z356</f>
        <v>83779658.5</v>
      </c>
      <c r="AB356" s="208">
        <f t="shared" ref="AB356:AB422" si="117">2013-AJ356</f>
        <v>5</v>
      </c>
      <c r="AC356" s="233">
        <f t="shared" ref="AC356:AC422" si="118">IF(AB356&gt;Z356,U356-10,AA356*AB356)</f>
        <v>418898292.5</v>
      </c>
      <c r="AD356" s="233">
        <f t="shared" ref="AD356:AD422" si="119">IF(U356-10=AC356,0,AA356)</f>
        <v>83779658.5</v>
      </c>
      <c r="AE356" s="233">
        <f t="shared" ref="AE356:AE422" si="120">IF(U356-10=AC356+AD356,0,AA356)</f>
        <v>83779658.5</v>
      </c>
      <c r="AF356" s="233">
        <f t="shared" ref="AF356:AF422" si="121">IF(U356-10=AC356+AD356+AE356,0,AA356)</f>
        <v>83779658.5</v>
      </c>
      <c r="AG356" s="233">
        <f t="shared" ref="AG356:AG422" si="122">IF(U356-10=AD356+AE356+AF356+AC356,0,AA356)</f>
        <v>83779658.5</v>
      </c>
      <c r="AH356" s="238">
        <f t="shared" ref="AH356:AH422" si="123">IF(U356-10=AD356+AE356+AF356+AC356+AG356,0,AA356)</f>
        <v>83779658.5</v>
      </c>
      <c r="AI356" s="238">
        <f t="shared" ref="AI356:AI422" si="124">SUM(AC356:AH356)</f>
        <v>837796585</v>
      </c>
      <c r="AJ356" s="261">
        <f t="shared" ref="AJ356:AJ422" si="125">P356</f>
        <v>2008</v>
      </c>
      <c r="AK356" s="233">
        <f t="shared" ref="AK356:AK422" si="126">U356-AI356</f>
        <v>10</v>
      </c>
    </row>
    <row r="357" spans="2:37" s="116" customFormat="1" ht="35.25" hidden="1" customHeight="1" x14ac:dyDescent="0.2">
      <c r="B357" s="116" t="e">
        <f t="shared" si="113"/>
        <v>#N/A</v>
      </c>
      <c r="F357" s="218" t="s">
        <v>2304</v>
      </c>
      <c r="G357" s="53"/>
      <c r="H357" s="67" t="s">
        <v>1203</v>
      </c>
      <c r="I357" s="33" t="s">
        <v>2494</v>
      </c>
      <c r="J357" s="63"/>
      <c r="K357" s="33"/>
      <c r="L357" s="360"/>
      <c r="M357" s="40"/>
      <c r="N357" s="360"/>
      <c r="O357" s="72" t="s">
        <v>3122</v>
      </c>
      <c r="P357" s="33">
        <v>2008</v>
      </c>
      <c r="Q357" s="40"/>
      <c r="R357" s="40"/>
      <c r="S357" s="40"/>
      <c r="T357" s="40" t="s">
        <v>12</v>
      </c>
      <c r="U357" s="251">
        <v>523294499</v>
      </c>
      <c r="V357" s="33" t="s">
        <v>43</v>
      </c>
      <c r="W357" s="127"/>
      <c r="X357" s="206" t="str">
        <f t="shared" si="112"/>
        <v>4.13.01</v>
      </c>
      <c r="Y357" s="207" t="str">
        <f t="shared" si="114"/>
        <v>JALAN</v>
      </c>
      <c r="Z357" s="207">
        <f t="shared" si="115"/>
        <v>10</v>
      </c>
      <c r="AA357" s="233">
        <f t="shared" si="116"/>
        <v>52329448.899999999</v>
      </c>
      <c r="AB357" s="208">
        <f t="shared" si="117"/>
        <v>5</v>
      </c>
      <c r="AC357" s="233">
        <f t="shared" si="118"/>
        <v>261647244.5</v>
      </c>
      <c r="AD357" s="233">
        <f t="shared" si="119"/>
        <v>52329448.899999999</v>
      </c>
      <c r="AE357" s="233">
        <f t="shared" si="120"/>
        <v>52329448.899999999</v>
      </c>
      <c r="AF357" s="233">
        <f t="shared" si="121"/>
        <v>52329448.899999999</v>
      </c>
      <c r="AG357" s="233">
        <f t="shared" si="122"/>
        <v>52329448.899999999</v>
      </c>
      <c r="AH357" s="238">
        <f t="shared" si="123"/>
        <v>52329448.899999999</v>
      </c>
      <c r="AI357" s="238">
        <f t="shared" si="124"/>
        <v>523294488.99999988</v>
      </c>
      <c r="AJ357" s="261">
        <f t="shared" si="125"/>
        <v>2008</v>
      </c>
      <c r="AK357" s="233">
        <f t="shared" si="126"/>
        <v>10.00000011920929</v>
      </c>
    </row>
    <row r="358" spans="2:37" s="116" customFormat="1" ht="35.25" hidden="1" customHeight="1" x14ac:dyDescent="0.2">
      <c r="B358" s="116" t="e">
        <f t="shared" si="113"/>
        <v>#N/A</v>
      </c>
      <c r="F358" s="218" t="s">
        <v>2305</v>
      </c>
      <c r="G358" s="53"/>
      <c r="H358" s="67" t="s">
        <v>1212</v>
      </c>
      <c r="I358" s="33" t="s">
        <v>3827</v>
      </c>
      <c r="J358" s="63"/>
      <c r="K358" s="33"/>
      <c r="L358" s="360"/>
      <c r="M358" s="40"/>
      <c r="N358" s="360"/>
      <c r="O358" s="72" t="s">
        <v>3122</v>
      </c>
      <c r="P358" s="33">
        <v>2008</v>
      </c>
      <c r="Q358" s="40"/>
      <c r="R358" s="40"/>
      <c r="S358" s="40"/>
      <c r="T358" s="40" t="s">
        <v>12</v>
      </c>
      <c r="U358" s="251">
        <v>498235979.05180186</v>
      </c>
      <c r="V358" s="33" t="s">
        <v>43</v>
      </c>
      <c r="W358" s="127"/>
      <c r="X358" s="206" t="str">
        <f t="shared" si="112"/>
        <v>4.13.02</v>
      </c>
      <c r="Y358" s="207" t="str">
        <f t="shared" si="114"/>
        <v>JEMBATAN</v>
      </c>
      <c r="Z358" s="207">
        <f t="shared" si="115"/>
        <v>50</v>
      </c>
      <c r="AA358" s="233">
        <f t="shared" si="116"/>
        <v>9964719.3810360376</v>
      </c>
      <c r="AB358" s="208">
        <f t="shared" si="117"/>
        <v>5</v>
      </c>
      <c r="AC358" s="233">
        <f t="shared" si="118"/>
        <v>49823596.905180186</v>
      </c>
      <c r="AD358" s="233">
        <f t="shared" si="119"/>
        <v>9964719.3810360376</v>
      </c>
      <c r="AE358" s="233">
        <f t="shared" si="120"/>
        <v>9964719.3810360376</v>
      </c>
      <c r="AF358" s="233">
        <f t="shared" si="121"/>
        <v>9964719.3810360376</v>
      </c>
      <c r="AG358" s="233">
        <f t="shared" si="122"/>
        <v>9964719.3810360376</v>
      </c>
      <c r="AH358" s="238">
        <f t="shared" si="123"/>
        <v>9964719.3810360376</v>
      </c>
      <c r="AI358" s="238">
        <f t="shared" si="124"/>
        <v>99647193.810360387</v>
      </c>
      <c r="AJ358" s="261">
        <f t="shared" si="125"/>
        <v>2008</v>
      </c>
      <c r="AK358" s="233">
        <f t="shared" si="126"/>
        <v>398588785.24144149</v>
      </c>
    </row>
    <row r="359" spans="2:37" s="116" customFormat="1" ht="35.25" hidden="1" customHeight="1" x14ac:dyDescent="0.2">
      <c r="B359" s="116" t="e">
        <f t="shared" si="113"/>
        <v>#N/A</v>
      </c>
      <c r="F359" s="218" t="s">
        <v>2305</v>
      </c>
      <c r="G359" s="53"/>
      <c r="H359" s="67" t="s">
        <v>1207</v>
      </c>
      <c r="I359" s="33" t="s">
        <v>3822</v>
      </c>
      <c r="J359" s="63"/>
      <c r="K359" s="33"/>
      <c r="L359" s="360"/>
      <c r="M359" s="40"/>
      <c r="N359" s="360"/>
      <c r="O359" s="72" t="s">
        <v>3122</v>
      </c>
      <c r="P359" s="33">
        <v>2008</v>
      </c>
      <c r="Q359" s="40"/>
      <c r="R359" s="40"/>
      <c r="S359" s="40"/>
      <c r="T359" s="40" t="s">
        <v>12</v>
      </c>
      <c r="U359" s="251">
        <v>400080843</v>
      </c>
      <c r="V359" s="33" t="s">
        <v>43</v>
      </c>
      <c r="W359" s="127"/>
      <c r="X359" s="206" t="str">
        <f t="shared" si="112"/>
        <v>4.13.02</v>
      </c>
      <c r="Y359" s="207" t="str">
        <f t="shared" si="114"/>
        <v>JEMBATAN</v>
      </c>
      <c r="Z359" s="207">
        <f t="shared" si="115"/>
        <v>50</v>
      </c>
      <c r="AA359" s="233">
        <f t="shared" si="116"/>
        <v>8001616.6600000001</v>
      </c>
      <c r="AB359" s="208">
        <f t="shared" si="117"/>
        <v>5</v>
      </c>
      <c r="AC359" s="233">
        <f t="shared" si="118"/>
        <v>40008083.299999997</v>
      </c>
      <c r="AD359" s="233">
        <f t="shared" si="119"/>
        <v>8001616.6600000001</v>
      </c>
      <c r="AE359" s="233">
        <f t="shared" si="120"/>
        <v>8001616.6600000001</v>
      </c>
      <c r="AF359" s="233">
        <f t="shared" si="121"/>
        <v>8001616.6600000001</v>
      </c>
      <c r="AG359" s="233">
        <f t="shared" si="122"/>
        <v>8001616.6600000001</v>
      </c>
      <c r="AH359" s="238">
        <f t="shared" si="123"/>
        <v>8001616.6600000001</v>
      </c>
      <c r="AI359" s="238">
        <f t="shared" si="124"/>
        <v>80016166.599999979</v>
      </c>
      <c r="AJ359" s="261">
        <f t="shared" si="125"/>
        <v>2008</v>
      </c>
      <c r="AK359" s="233">
        <f t="shared" si="126"/>
        <v>320064676.40000004</v>
      </c>
    </row>
    <row r="360" spans="2:37" s="116" customFormat="1" ht="35.25" hidden="1" customHeight="1" x14ac:dyDescent="0.2">
      <c r="B360" s="116" t="e">
        <f t="shared" si="113"/>
        <v>#N/A</v>
      </c>
      <c r="F360" s="218" t="s">
        <v>2304</v>
      </c>
      <c r="G360" s="53"/>
      <c r="H360" s="67" t="s">
        <v>1203</v>
      </c>
      <c r="I360" s="33" t="s">
        <v>2494</v>
      </c>
      <c r="J360" s="63"/>
      <c r="K360" s="33"/>
      <c r="L360" s="360"/>
      <c r="M360" s="40"/>
      <c r="N360" s="360"/>
      <c r="O360" s="72" t="s">
        <v>3122</v>
      </c>
      <c r="P360" s="33">
        <v>2008</v>
      </c>
      <c r="Q360" s="40"/>
      <c r="R360" s="40"/>
      <c r="S360" s="40"/>
      <c r="T360" s="40" t="s">
        <v>12</v>
      </c>
      <c r="U360" s="251">
        <v>326364200</v>
      </c>
      <c r="V360" s="33" t="s">
        <v>43</v>
      </c>
      <c r="W360" s="127"/>
      <c r="X360" s="206" t="str">
        <f t="shared" si="112"/>
        <v>4.13.01</v>
      </c>
      <c r="Y360" s="207" t="str">
        <f t="shared" si="114"/>
        <v>JALAN</v>
      </c>
      <c r="Z360" s="207">
        <f t="shared" si="115"/>
        <v>10</v>
      </c>
      <c r="AA360" s="233">
        <f t="shared" si="116"/>
        <v>32636419</v>
      </c>
      <c r="AB360" s="208">
        <f t="shared" si="117"/>
        <v>5</v>
      </c>
      <c r="AC360" s="233">
        <f t="shared" si="118"/>
        <v>163182095</v>
      </c>
      <c r="AD360" s="233">
        <f t="shared" si="119"/>
        <v>32636419</v>
      </c>
      <c r="AE360" s="233">
        <f t="shared" si="120"/>
        <v>32636419</v>
      </c>
      <c r="AF360" s="233">
        <f t="shared" si="121"/>
        <v>32636419</v>
      </c>
      <c r="AG360" s="233">
        <f t="shared" si="122"/>
        <v>32636419</v>
      </c>
      <c r="AH360" s="238">
        <f t="shared" si="123"/>
        <v>32636419</v>
      </c>
      <c r="AI360" s="238">
        <f t="shared" si="124"/>
        <v>326364190</v>
      </c>
      <c r="AJ360" s="261">
        <f t="shared" si="125"/>
        <v>2008</v>
      </c>
      <c r="AK360" s="233">
        <f t="shared" si="126"/>
        <v>10</v>
      </c>
    </row>
    <row r="361" spans="2:37" s="116" customFormat="1" ht="35.25" hidden="1" customHeight="1" x14ac:dyDescent="0.2">
      <c r="B361" s="116" t="e">
        <f t="shared" si="113"/>
        <v>#N/A</v>
      </c>
      <c r="F361" s="218" t="s">
        <v>2304</v>
      </c>
      <c r="G361" s="53"/>
      <c r="H361" s="67" t="s">
        <v>1203</v>
      </c>
      <c r="I361" s="33" t="s">
        <v>2494</v>
      </c>
      <c r="J361" s="63"/>
      <c r="K361" s="33"/>
      <c r="L361" s="360"/>
      <c r="M361" s="40"/>
      <c r="N361" s="360"/>
      <c r="O361" s="72" t="s">
        <v>3122</v>
      </c>
      <c r="P361" s="33">
        <v>2009</v>
      </c>
      <c r="Q361" s="40"/>
      <c r="R361" s="40"/>
      <c r="S361" s="40"/>
      <c r="T361" s="40" t="s">
        <v>12</v>
      </c>
      <c r="U361" s="251">
        <v>22133964474</v>
      </c>
      <c r="V361" s="33" t="s">
        <v>43</v>
      </c>
      <c r="W361" s="127"/>
      <c r="X361" s="206" t="str">
        <f t="shared" si="112"/>
        <v>4.13.01</v>
      </c>
      <c r="Y361" s="207" t="str">
        <f t="shared" si="114"/>
        <v>JALAN</v>
      </c>
      <c r="Z361" s="207">
        <f t="shared" si="115"/>
        <v>10</v>
      </c>
      <c r="AA361" s="233">
        <f t="shared" si="116"/>
        <v>2213396446.4000001</v>
      </c>
      <c r="AB361" s="208">
        <f t="shared" si="117"/>
        <v>4</v>
      </c>
      <c r="AC361" s="233">
        <f t="shared" si="118"/>
        <v>8853585785.6000004</v>
      </c>
      <c r="AD361" s="233">
        <f t="shared" si="119"/>
        <v>2213396446.4000001</v>
      </c>
      <c r="AE361" s="233">
        <f t="shared" si="120"/>
        <v>2213396446.4000001</v>
      </c>
      <c r="AF361" s="233">
        <f t="shared" si="121"/>
        <v>2213396446.4000001</v>
      </c>
      <c r="AG361" s="233">
        <f t="shared" si="122"/>
        <v>2213396446.4000001</v>
      </c>
      <c r="AH361" s="238">
        <f t="shared" si="123"/>
        <v>2213396446.4000001</v>
      </c>
      <c r="AI361" s="238">
        <f t="shared" si="124"/>
        <v>19920568017.600002</v>
      </c>
      <c r="AJ361" s="261">
        <f t="shared" si="125"/>
        <v>2009</v>
      </c>
      <c r="AK361" s="233">
        <f t="shared" si="126"/>
        <v>2213396456.3999977</v>
      </c>
    </row>
    <row r="362" spans="2:37" s="116" customFormat="1" ht="35.25" hidden="1" customHeight="1" x14ac:dyDescent="0.2">
      <c r="B362" s="116" t="e">
        <f t="shared" si="113"/>
        <v>#N/A</v>
      </c>
      <c r="F362" s="218" t="s">
        <v>2305</v>
      </c>
      <c r="G362" s="53"/>
      <c r="H362" s="67" t="s">
        <v>1213</v>
      </c>
      <c r="I362" s="33" t="s">
        <v>3822</v>
      </c>
      <c r="J362" s="63"/>
      <c r="K362" s="33"/>
      <c r="L362" s="360"/>
      <c r="M362" s="40"/>
      <c r="N362" s="360"/>
      <c r="O362" s="72" t="s">
        <v>3122</v>
      </c>
      <c r="P362" s="33">
        <v>2009</v>
      </c>
      <c r="Q362" s="40"/>
      <c r="R362" s="40"/>
      <c r="S362" s="40"/>
      <c r="T362" s="40" t="s">
        <v>12</v>
      </c>
      <c r="U362" s="251">
        <v>22007615819</v>
      </c>
      <c r="V362" s="33" t="s">
        <v>43</v>
      </c>
      <c r="W362" s="127"/>
      <c r="X362" s="206" t="str">
        <f t="shared" si="112"/>
        <v>4.13.02</v>
      </c>
      <c r="Y362" s="207" t="str">
        <f t="shared" si="114"/>
        <v>JEMBATAN</v>
      </c>
      <c r="Z362" s="207">
        <f t="shared" si="115"/>
        <v>50</v>
      </c>
      <c r="AA362" s="233">
        <f t="shared" si="116"/>
        <v>440152316.18000001</v>
      </c>
      <c r="AB362" s="208">
        <f t="shared" si="117"/>
        <v>4</v>
      </c>
      <c r="AC362" s="233">
        <f t="shared" si="118"/>
        <v>1760609264.72</v>
      </c>
      <c r="AD362" s="233">
        <f t="shared" si="119"/>
        <v>440152316.18000001</v>
      </c>
      <c r="AE362" s="233">
        <f t="shared" si="120"/>
        <v>440152316.18000001</v>
      </c>
      <c r="AF362" s="233">
        <f t="shared" si="121"/>
        <v>440152316.18000001</v>
      </c>
      <c r="AG362" s="233">
        <f t="shared" si="122"/>
        <v>440152316.18000001</v>
      </c>
      <c r="AH362" s="238">
        <f t="shared" si="123"/>
        <v>440152316.18000001</v>
      </c>
      <c r="AI362" s="238">
        <f t="shared" si="124"/>
        <v>3961370845.6199994</v>
      </c>
      <c r="AJ362" s="261">
        <f t="shared" si="125"/>
        <v>2009</v>
      </c>
      <c r="AK362" s="233">
        <f t="shared" si="126"/>
        <v>18046244973.380001</v>
      </c>
    </row>
    <row r="363" spans="2:37" s="116" customFormat="1" ht="35.25" hidden="1" customHeight="1" x14ac:dyDescent="0.2">
      <c r="B363" s="116" t="e">
        <f t="shared" si="113"/>
        <v>#N/A</v>
      </c>
      <c r="F363" s="218" t="s">
        <v>2304</v>
      </c>
      <c r="G363" s="53"/>
      <c r="H363" s="67" t="s">
        <v>1203</v>
      </c>
      <c r="I363" s="33" t="s">
        <v>2494</v>
      </c>
      <c r="J363" s="63"/>
      <c r="K363" s="33"/>
      <c r="L363" s="360"/>
      <c r="M363" s="40"/>
      <c r="N363" s="360"/>
      <c r="O363" s="72" t="s">
        <v>3122</v>
      </c>
      <c r="P363" s="33">
        <v>2009</v>
      </c>
      <c r="Q363" s="40"/>
      <c r="R363" s="40"/>
      <c r="S363" s="40"/>
      <c r="T363" s="40" t="s">
        <v>12</v>
      </c>
      <c r="U363" s="251">
        <v>530573293</v>
      </c>
      <c r="V363" s="33" t="s">
        <v>43</v>
      </c>
      <c r="W363" s="127"/>
      <c r="X363" s="206" t="str">
        <f t="shared" si="112"/>
        <v>4.13.01</v>
      </c>
      <c r="Y363" s="207" t="str">
        <f t="shared" si="114"/>
        <v>JALAN</v>
      </c>
      <c r="Z363" s="207">
        <f t="shared" si="115"/>
        <v>10</v>
      </c>
      <c r="AA363" s="233">
        <f t="shared" si="116"/>
        <v>53057328.299999997</v>
      </c>
      <c r="AB363" s="208">
        <f t="shared" si="117"/>
        <v>4</v>
      </c>
      <c r="AC363" s="233">
        <f t="shared" si="118"/>
        <v>212229313.19999999</v>
      </c>
      <c r="AD363" s="233">
        <f t="shared" si="119"/>
        <v>53057328.299999997</v>
      </c>
      <c r="AE363" s="233">
        <f t="shared" si="120"/>
        <v>53057328.299999997</v>
      </c>
      <c r="AF363" s="233">
        <f t="shared" si="121"/>
        <v>53057328.299999997</v>
      </c>
      <c r="AG363" s="233">
        <f t="shared" si="122"/>
        <v>53057328.299999997</v>
      </c>
      <c r="AH363" s="238">
        <f t="shared" si="123"/>
        <v>53057328.299999997</v>
      </c>
      <c r="AI363" s="238">
        <f t="shared" si="124"/>
        <v>477515954.70000005</v>
      </c>
      <c r="AJ363" s="261">
        <f t="shared" si="125"/>
        <v>2009</v>
      </c>
      <c r="AK363" s="233">
        <f t="shared" si="126"/>
        <v>53057338.299999952</v>
      </c>
    </row>
    <row r="364" spans="2:37" s="401" customFormat="1" ht="35.25" hidden="1" customHeight="1" x14ac:dyDescent="0.2">
      <c r="B364" s="401" t="e">
        <f t="shared" si="113"/>
        <v>#N/A</v>
      </c>
      <c r="F364" s="402" t="s">
        <v>2304</v>
      </c>
      <c r="G364" s="403"/>
      <c r="H364" s="404" t="s">
        <v>1214</v>
      </c>
      <c r="I364" s="405" t="s">
        <v>2494</v>
      </c>
      <c r="J364" s="406"/>
      <c r="K364" s="405"/>
      <c r="L364" s="407"/>
      <c r="M364" s="408"/>
      <c r="N364" s="407"/>
      <c r="O364" s="409" t="s">
        <v>3126</v>
      </c>
      <c r="P364" s="405">
        <v>2009</v>
      </c>
      <c r="Q364" s="408"/>
      <c r="R364" s="408"/>
      <c r="S364" s="408"/>
      <c r="T364" s="408" t="s">
        <v>12</v>
      </c>
      <c r="U364" s="410">
        <v>3574205433</v>
      </c>
      <c r="V364" s="405" t="s">
        <v>43</v>
      </c>
      <c r="W364" s="411"/>
      <c r="X364" s="412" t="str">
        <f t="shared" si="112"/>
        <v>4.13.01</v>
      </c>
      <c r="Y364" s="413" t="str">
        <f t="shared" si="114"/>
        <v>JALAN</v>
      </c>
      <c r="Z364" s="413">
        <f t="shared" si="115"/>
        <v>10</v>
      </c>
      <c r="AA364" s="414">
        <f t="shared" si="116"/>
        <v>357420542.30000001</v>
      </c>
      <c r="AB364" s="415">
        <f t="shared" si="117"/>
        <v>4</v>
      </c>
      <c r="AC364" s="414">
        <f t="shared" si="118"/>
        <v>1429682169.2</v>
      </c>
      <c r="AD364" s="414">
        <f t="shared" si="119"/>
        <v>357420542.30000001</v>
      </c>
      <c r="AE364" s="414">
        <f t="shared" si="120"/>
        <v>357420542.30000001</v>
      </c>
      <c r="AF364" s="414">
        <f t="shared" si="121"/>
        <v>357420542.30000001</v>
      </c>
      <c r="AG364" s="414">
        <f t="shared" si="122"/>
        <v>357420542.30000001</v>
      </c>
      <c r="AH364" s="416">
        <f t="shared" si="123"/>
        <v>357420542.30000001</v>
      </c>
      <c r="AI364" s="416">
        <f t="shared" si="124"/>
        <v>3216784880.7000003</v>
      </c>
      <c r="AJ364" s="261">
        <f t="shared" si="125"/>
        <v>2009</v>
      </c>
      <c r="AK364" s="414">
        <f t="shared" si="126"/>
        <v>357420552.29999971</v>
      </c>
    </row>
    <row r="365" spans="2:37" s="116" customFormat="1" ht="35.25" hidden="1" customHeight="1" x14ac:dyDescent="0.2">
      <c r="B365" s="116" t="e">
        <f t="shared" si="113"/>
        <v>#N/A</v>
      </c>
      <c r="F365" s="218" t="s">
        <v>2305</v>
      </c>
      <c r="G365" s="53"/>
      <c r="H365" s="67" t="s">
        <v>1215</v>
      </c>
      <c r="I365" s="33" t="s">
        <v>3822</v>
      </c>
      <c r="J365" s="63"/>
      <c r="K365" s="33"/>
      <c r="L365" s="360"/>
      <c r="M365" s="40"/>
      <c r="N365" s="360"/>
      <c r="O365" s="72" t="s">
        <v>3122</v>
      </c>
      <c r="P365" s="33">
        <v>2009</v>
      </c>
      <c r="Q365" s="40"/>
      <c r="R365" s="40"/>
      <c r="S365" s="40"/>
      <c r="T365" s="40" t="s">
        <v>12</v>
      </c>
      <c r="U365" s="251">
        <v>1200224056</v>
      </c>
      <c r="V365" s="33" t="s">
        <v>43</v>
      </c>
      <c r="W365" s="127"/>
      <c r="X365" s="206" t="str">
        <f t="shared" si="112"/>
        <v>4.13.02</v>
      </c>
      <c r="Y365" s="207" t="str">
        <f t="shared" si="114"/>
        <v>JEMBATAN</v>
      </c>
      <c r="Z365" s="207">
        <f t="shared" si="115"/>
        <v>50</v>
      </c>
      <c r="AA365" s="233">
        <f t="shared" si="116"/>
        <v>24004480.920000002</v>
      </c>
      <c r="AB365" s="208">
        <f t="shared" si="117"/>
        <v>4</v>
      </c>
      <c r="AC365" s="233">
        <f t="shared" si="118"/>
        <v>96017923.680000007</v>
      </c>
      <c r="AD365" s="233">
        <f t="shared" si="119"/>
        <v>24004480.920000002</v>
      </c>
      <c r="AE365" s="233">
        <f t="shared" si="120"/>
        <v>24004480.920000002</v>
      </c>
      <c r="AF365" s="233">
        <f t="shared" si="121"/>
        <v>24004480.920000002</v>
      </c>
      <c r="AG365" s="233">
        <f t="shared" si="122"/>
        <v>24004480.920000002</v>
      </c>
      <c r="AH365" s="238">
        <f t="shared" si="123"/>
        <v>24004480.920000002</v>
      </c>
      <c r="AI365" s="238">
        <f t="shared" si="124"/>
        <v>216040328.28000003</v>
      </c>
      <c r="AJ365" s="261">
        <f t="shared" si="125"/>
        <v>2009</v>
      </c>
      <c r="AK365" s="233">
        <f t="shared" si="126"/>
        <v>984183727.72000003</v>
      </c>
    </row>
    <row r="366" spans="2:37" s="116" customFormat="1" ht="35.25" hidden="1" customHeight="1" x14ac:dyDescent="0.2">
      <c r="B366" s="116" t="e">
        <f t="shared" si="113"/>
        <v>#N/A</v>
      </c>
      <c r="F366" s="218" t="s">
        <v>2304</v>
      </c>
      <c r="G366" s="53"/>
      <c r="H366" s="67" t="s">
        <v>1203</v>
      </c>
      <c r="I366" s="33" t="s">
        <v>2494</v>
      </c>
      <c r="J366" s="63"/>
      <c r="K366" s="33"/>
      <c r="L366" s="360"/>
      <c r="M366" s="40"/>
      <c r="N366" s="360"/>
      <c r="O366" s="72" t="s">
        <v>3122</v>
      </c>
      <c r="P366" s="33">
        <v>2010</v>
      </c>
      <c r="Q366" s="40"/>
      <c r="R366" s="40"/>
      <c r="S366" s="40"/>
      <c r="T366" s="40" t="s">
        <v>12</v>
      </c>
      <c r="U366" s="251">
        <v>20917123303</v>
      </c>
      <c r="V366" s="33" t="s">
        <v>43</v>
      </c>
      <c r="W366" s="127"/>
      <c r="X366" s="206" t="str">
        <f t="shared" si="112"/>
        <v>4.13.01</v>
      </c>
      <c r="Y366" s="207" t="str">
        <f t="shared" si="114"/>
        <v>JALAN</v>
      </c>
      <c r="Z366" s="207">
        <f t="shared" si="115"/>
        <v>10</v>
      </c>
      <c r="AA366" s="233">
        <f t="shared" si="116"/>
        <v>2091712329.3</v>
      </c>
      <c r="AB366" s="208">
        <f t="shared" si="117"/>
        <v>3</v>
      </c>
      <c r="AC366" s="233">
        <f t="shared" si="118"/>
        <v>6275136987.8999996</v>
      </c>
      <c r="AD366" s="233">
        <f t="shared" si="119"/>
        <v>2091712329.3</v>
      </c>
      <c r="AE366" s="233">
        <f t="shared" si="120"/>
        <v>2091712329.3</v>
      </c>
      <c r="AF366" s="233">
        <f t="shared" si="121"/>
        <v>2091712329.3</v>
      </c>
      <c r="AG366" s="233">
        <f t="shared" si="122"/>
        <v>2091712329.3</v>
      </c>
      <c r="AH366" s="238">
        <f t="shared" si="123"/>
        <v>2091712329.3</v>
      </c>
      <c r="AI366" s="238">
        <f t="shared" si="124"/>
        <v>16733698634.399998</v>
      </c>
      <c r="AJ366" s="261">
        <f t="shared" si="125"/>
        <v>2010</v>
      </c>
      <c r="AK366" s="233">
        <f t="shared" si="126"/>
        <v>4183424668.6000023</v>
      </c>
    </row>
    <row r="367" spans="2:37" s="116" customFormat="1" ht="35.25" hidden="1" customHeight="1" x14ac:dyDescent="0.2">
      <c r="B367" s="116" t="e">
        <f t="shared" si="113"/>
        <v>#N/A</v>
      </c>
      <c r="F367" s="218" t="s">
        <v>2304</v>
      </c>
      <c r="G367" s="53"/>
      <c r="H367" s="67" t="s">
        <v>1203</v>
      </c>
      <c r="I367" s="33" t="s">
        <v>2494</v>
      </c>
      <c r="J367" s="63"/>
      <c r="K367" s="33"/>
      <c r="L367" s="360"/>
      <c r="M367" s="40"/>
      <c r="N367" s="360"/>
      <c r="O367" s="72" t="s">
        <v>3122</v>
      </c>
      <c r="P367" s="33">
        <v>2010</v>
      </c>
      <c r="Q367" s="40"/>
      <c r="R367" s="40"/>
      <c r="S367" s="40"/>
      <c r="T367" s="40" t="s">
        <v>12</v>
      </c>
      <c r="U367" s="251">
        <v>1977632629</v>
      </c>
      <c r="V367" s="33" t="s">
        <v>43</v>
      </c>
      <c r="W367" s="127"/>
      <c r="X367" s="206" t="str">
        <f t="shared" si="112"/>
        <v>4.13.01</v>
      </c>
      <c r="Y367" s="207" t="str">
        <f t="shared" si="114"/>
        <v>JALAN</v>
      </c>
      <c r="Z367" s="207">
        <f t="shared" si="115"/>
        <v>10</v>
      </c>
      <c r="AA367" s="233">
        <f t="shared" si="116"/>
        <v>197763261.90000001</v>
      </c>
      <c r="AB367" s="208">
        <f t="shared" si="117"/>
        <v>3</v>
      </c>
      <c r="AC367" s="233">
        <f t="shared" si="118"/>
        <v>593289785.70000005</v>
      </c>
      <c r="AD367" s="233">
        <f t="shared" si="119"/>
        <v>197763261.90000001</v>
      </c>
      <c r="AE367" s="233">
        <f t="shared" si="120"/>
        <v>197763261.90000001</v>
      </c>
      <c r="AF367" s="233">
        <f t="shared" si="121"/>
        <v>197763261.90000001</v>
      </c>
      <c r="AG367" s="233">
        <f t="shared" si="122"/>
        <v>197763261.90000001</v>
      </c>
      <c r="AH367" s="238">
        <f t="shared" si="123"/>
        <v>197763261.90000001</v>
      </c>
      <c r="AI367" s="238">
        <f t="shared" si="124"/>
        <v>1582106095.2000003</v>
      </c>
      <c r="AJ367" s="261">
        <f t="shared" si="125"/>
        <v>2010</v>
      </c>
      <c r="AK367" s="233">
        <f t="shared" si="126"/>
        <v>395526533.79999971</v>
      </c>
    </row>
    <row r="368" spans="2:37" s="116" customFormat="1" ht="35.25" hidden="1" customHeight="1" x14ac:dyDescent="0.2">
      <c r="B368" s="116" t="e">
        <f t="shared" si="113"/>
        <v>#N/A</v>
      </c>
      <c r="F368" s="218" t="s">
        <v>2305</v>
      </c>
      <c r="G368" s="53"/>
      <c r="H368" s="67" t="s">
        <v>1213</v>
      </c>
      <c r="I368" s="33" t="s">
        <v>3822</v>
      </c>
      <c r="J368" s="63"/>
      <c r="K368" s="33"/>
      <c r="L368" s="360"/>
      <c r="M368" s="40"/>
      <c r="N368" s="360"/>
      <c r="O368" s="72" t="s">
        <v>3122</v>
      </c>
      <c r="P368" s="33">
        <v>2010</v>
      </c>
      <c r="Q368" s="40"/>
      <c r="R368" s="40"/>
      <c r="S368" s="40"/>
      <c r="T368" s="40" t="s">
        <v>12</v>
      </c>
      <c r="U368" s="251">
        <v>1192070199</v>
      </c>
      <c r="V368" s="33" t="s">
        <v>43</v>
      </c>
      <c r="W368" s="127"/>
      <c r="X368" s="206" t="str">
        <f t="shared" si="112"/>
        <v>4.13.02</v>
      </c>
      <c r="Y368" s="207" t="str">
        <f t="shared" si="114"/>
        <v>JEMBATAN</v>
      </c>
      <c r="Z368" s="207">
        <f t="shared" si="115"/>
        <v>50</v>
      </c>
      <c r="AA368" s="233">
        <f t="shared" si="116"/>
        <v>23841403.780000001</v>
      </c>
      <c r="AB368" s="208">
        <f t="shared" si="117"/>
        <v>3</v>
      </c>
      <c r="AC368" s="233">
        <f t="shared" si="118"/>
        <v>71524211.340000004</v>
      </c>
      <c r="AD368" s="233">
        <f t="shared" si="119"/>
        <v>23841403.780000001</v>
      </c>
      <c r="AE368" s="233">
        <f t="shared" si="120"/>
        <v>23841403.780000001</v>
      </c>
      <c r="AF368" s="233">
        <f t="shared" si="121"/>
        <v>23841403.780000001</v>
      </c>
      <c r="AG368" s="233">
        <f t="shared" si="122"/>
        <v>23841403.780000001</v>
      </c>
      <c r="AH368" s="238">
        <f t="shared" si="123"/>
        <v>23841403.780000001</v>
      </c>
      <c r="AI368" s="238">
        <f t="shared" si="124"/>
        <v>190731230.24000001</v>
      </c>
      <c r="AJ368" s="261">
        <f t="shared" si="125"/>
        <v>2010</v>
      </c>
      <c r="AK368" s="233">
        <f t="shared" si="126"/>
        <v>1001338968.76</v>
      </c>
    </row>
    <row r="369" spans="1:39" s="116" customFormat="1" ht="35.25" hidden="1" customHeight="1" x14ac:dyDescent="0.2">
      <c r="A369" s="116">
        <v>285</v>
      </c>
      <c r="B369" s="116" t="str">
        <f t="shared" si="113"/>
        <v>SEI. PERUPUK - TELUK PAUH</v>
      </c>
      <c r="D369" s="116">
        <v>2</v>
      </c>
      <c r="E369" s="116" t="str">
        <f>A369&amp;"."&amp;D369</f>
        <v>285.2</v>
      </c>
      <c r="F369" s="218" t="s">
        <v>2304</v>
      </c>
      <c r="G369" s="53"/>
      <c r="H369" s="67" t="s">
        <v>1216</v>
      </c>
      <c r="I369" s="33" t="s">
        <v>2494</v>
      </c>
      <c r="J369" s="63"/>
      <c r="K369" s="33" t="s">
        <v>519</v>
      </c>
      <c r="L369" s="360"/>
      <c r="M369" s="40"/>
      <c r="N369" s="360">
        <v>1000</v>
      </c>
      <c r="O369" s="72" t="s">
        <v>687</v>
      </c>
      <c r="P369" s="33">
        <v>2011</v>
      </c>
      <c r="Q369" s="40"/>
      <c r="R369" s="40"/>
      <c r="S369" s="40"/>
      <c r="T369" s="40" t="s">
        <v>12</v>
      </c>
      <c r="U369" s="251">
        <v>2978274268.4109097</v>
      </c>
      <c r="V369" s="33" t="s">
        <v>43</v>
      </c>
      <c r="W369" s="127"/>
      <c r="X369" s="206" t="str">
        <f t="shared" si="112"/>
        <v>4.13.01</v>
      </c>
      <c r="Y369" s="207" t="str">
        <f t="shared" si="114"/>
        <v>JALAN</v>
      </c>
      <c r="Z369" s="207">
        <f t="shared" si="115"/>
        <v>10</v>
      </c>
      <c r="AA369" s="233">
        <f t="shared" si="116"/>
        <v>297827425.84109098</v>
      </c>
      <c r="AB369" s="208">
        <f t="shared" si="117"/>
        <v>2</v>
      </c>
      <c r="AC369" s="233">
        <f t="shared" si="118"/>
        <v>595654851.68218195</v>
      </c>
      <c r="AD369" s="233">
        <f t="shared" si="119"/>
        <v>297827425.84109098</v>
      </c>
      <c r="AE369" s="233">
        <f t="shared" si="120"/>
        <v>297827425.84109098</v>
      </c>
      <c r="AF369" s="233">
        <f t="shared" si="121"/>
        <v>297827425.84109098</v>
      </c>
      <c r="AG369" s="233">
        <f t="shared" si="122"/>
        <v>297827425.84109098</v>
      </c>
      <c r="AH369" s="238">
        <f t="shared" si="123"/>
        <v>297827425.84109098</v>
      </c>
      <c r="AI369" s="238">
        <f t="shared" si="124"/>
        <v>2084791980.8876367</v>
      </c>
      <c r="AJ369" s="261">
        <f t="shared" si="125"/>
        <v>2011</v>
      </c>
      <c r="AK369" s="233">
        <f t="shared" si="126"/>
        <v>893482287.52327299</v>
      </c>
      <c r="AM369" s="116" t="s">
        <v>4245</v>
      </c>
    </row>
    <row r="370" spans="1:39" s="116" customFormat="1" ht="35.25" hidden="1" customHeight="1" x14ac:dyDescent="0.2">
      <c r="B370" s="116" t="e">
        <f t="shared" si="113"/>
        <v>#N/A</v>
      </c>
      <c r="F370" s="218" t="s">
        <v>2304</v>
      </c>
      <c r="G370" s="53"/>
      <c r="H370" s="67" t="s">
        <v>1217</v>
      </c>
      <c r="I370" s="33" t="s">
        <v>2494</v>
      </c>
      <c r="J370" s="63"/>
      <c r="K370" s="33" t="s">
        <v>519</v>
      </c>
      <c r="L370" s="360"/>
      <c r="M370" s="40"/>
      <c r="N370" s="360">
        <v>1000</v>
      </c>
      <c r="O370" s="72" t="s">
        <v>3127</v>
      </c>
      <c r="P370" s="33">
        <v>2011</v>
      </c>
      <c r="Q370" s="40"/>
      <c r="R370" s="40"/>
      <c r="S370" s="40"/>
      <c r="T370" s="40" t="s">
        <v>12</v>
      </c>
      <c r="U370" s="251">
        <v>1759387701.9008303</v>
      </c>
      <c r="V370" s="33" t="s">
        <v>43</v>
      </c>
      <c r="W370" s="127"/>
      <c r="X370" s="206" t="str">
        <f t="shared" si="112"/>
        <v>4.13.01</v>
      </c>
      <c r="Y370" s="207" t="str">
        <f t="shared" si="114"/>
        <v>JALAN</v>
      </c>
      <c r="Z370" s="207">
        <f t="shared" si="115"/>
        <v>10</v>
      </c>
      <c r="AA370" s="233">
        <f t="shared" si="116"/>
        <v>175938769.19008303</v>
      </c>
      <c r="AB370" s="208">
        <f t="shared" si="117"/>
        <v>2</v>
      </c>
      <c r="AC370" s="233">
        <f t="shared" si="118"/>
        <v>351877538.38016605</v>
      </c>
      <c r="AD370" s="233">
        <f t="shared" si="119"/>
        <v>175938769.19008303</v>
      </c>
      <c r="AE370" s="233">
        <f t="shared" si="120"/>
        <v>175938769.19008303</v>
      </c>
      <c r="AF370" s="233">
        <f t="shared" si="121"/>
        <v>175938769.19008303</v>
      </c>
      <c r="AG370" s="233">
        <f t="shared" si="122"/>
        <v>175938769.19008303</v>
      </c>
      <c r="AH370" s="238">
        <f t="shared" si="123"/>
        <v>175938769.19008303</v>
      </c>
      <c r="AI370" s="238">
        <f t="shared" si="124"/>
        <v>1231571384.3305812</v>
      </c>
      <c r="AJ370" s="261">
        <f t="shared" si="125"/>
        <v>2011</v>
      </c>
      <c r="AK370" s="233">
        <f t="shared" si="126"/>
        <v>527816317.57024908</v>
      </c>
    </row>
    <row r="371" spans="1:39" s="116" customFormat="1" ht="35.25" hidden="1" customHeight="1" x14ac:dyDescent="0.2">
      <c r="A371" s="116">
        <v>302</v>
      </c>
      <c r="B371" s="116" t="str">
        <f t="shared" si="113"/>
        <v>PULAU BUSUK - KOTO INUMAN</v>
      </c>
      <c r="D371" s="116">
        <v>3</v>
      </c>
      <c r="E371" s="116" t="str">
        <f>A371&amp;"."&amp;D371</f>
        <v>302.3</v>
      </c>
      <c r="F371" s="218" t="s">
        <v>2304</v>
      </c>
      <c r="G371" s="53"/>
      <c r="H371" s="67" t="s">
        <v>1218</v>
      </c>
      <c r="I371" s="33" t="s">
        <v>2494</v>
      </c>
      <c r="J371" s="63"/>
      <c r="K371" s="33" t="s">
        <v>519</v>
      </c>
      <c r="L371" s="360"/>
      <c r="M371" s="40"/>
      <c r="N371" s="360">
        <v>1150</v>
      </c>
      <c r="O371" s="72" t="s">
        <v>3099</v>
      </c>
      <c r="P371" s="33">
        <v>2011</v>
      </c>
      <c r="Q371" s="40"/>
      <c r="R371" s="40"/>
      <c r="S371" s="40"/>
      <c r="T371" s="40" t="s">
        <v>12</v>
      </c>
      <c r="U371" s="251">
        <v>1487022334.5887914</v>
      </c>
      <c r="V371" s="33" t="s">
        <v>43</v>
      </c>
      <c r="W371" s="127"/>
      <c r="X371" s="206" t="str">
        <f t="shared" si="112"/>
        <v>4.13.01</v>
      </c>
      <c r="Y371" s="207" t="str">
        <f t="shared" si="114"/>
        <v>JALAN</v>
      </c>
      <c r="Z371" s="207">
        <f t="shared" si="115"/>
        <v>10</v>
      </c>
      <c r="AA371" s="233">
        <f t="shared" si="116"/>
        <v>148702232.45887914</v>
      </c>
      <c r="AB371" s="208">
        <f t="shared" si="117"/>
        <v>2</v>
      </c>
      <c r="AC371" s="233">
        <f t="shared" si="118"/>
        <v>297404464.91775829</v>
      </c>
      <c r="AD371" s="233">
        <f t="shared" si="119"/>
        <v>148702232.45887914</v>
      </c>
      <c r="AE371" s="233">
        <f t="shared" si="120"/>
        <v>148702232.45887914</v>
      </c>
      <c r="AF371" s="233">
        <f t="shared" si="121"/>
        <v>148702232.45887914</v>
      </c>
      <c r="AG371" s="233">
        <f t="shared" si="122"/>
        <v>148702232.45887914</v>
      </c>
      <c r="AH371" s="238">
        <f t="shared" si="123"/>
        <v>148702232.45887914</v>
      </c>
      <c r="AI371" s="238">
        <f t="shared" si="124"/>
        <v>1040915627.2121539</v>
      </c>
      <c r="AJ371" s="261">
        <f t="shared" si="125"/>
        <v>2011</v>
      </c>
      <c r="AK371" s="233">
        <f t="shared" si="126"/>
        <v>446106707.37663746</v>
      </c>
      <c r="AM371" s="116" t="s">
        <v>4245</v>
      </c>
    </row>
    <row r="372" spans="1:39" s="116" customFormat="1" ht="35.25" hidden="1" customHeight="1" x14ac:dyDescent="0.2">
      <c r="B372" s="116" t="e">
        <f t="shared" si="113"/>
        <v>#N/A</v>
      </c>
      <c r="F372" s="218" t="s">
        <v>2304</v>
      </c>
      <c r="G372" s="53"/>
      <c r="H372" s="67" t="s">
        <v>1219</v>
      </c>
      <c r="I372" s="33" t="s">
        <v>2494</v>
      </c>
      <c r="J372" s="63"/>
      <c r="K372" s="33" t="s">
        <v>519</v>
      </c>
      <c r="L372" s="360"/>
      <c r="M372" s="40"/>
      <c r="N372" s="360">
        <v>1000</v>
      </c>
      <c r="O372" s="72" t="s">
        <v>3128</v>
      </c>
      <c r="P372" s="33">
        <v>2011</v>
      </c>
      <c r="Q372" s="40"/>
      <c r="R372" s="40"/>
      <c r="S372" s="40"/>
      <c r="T372" s="40" t="s">
        <v>12</v>
      </c>
      <c r="U372" s="251">
        <v>3557254334.12431</v>
      </c>
      <c r="V372" s="33" t="s">
        <v>43</v>
      </c>
      <c r="W372" s="127"/>
      <c r="X372" s="206" t="str">
        <f t="shared" si="112"/>
        <v>4.13.01</v>
      </c>
      <c r="Y372" s="207" t="str">
        <f t="shared" si="114"/>
        <v>JALAN</v>
      </c>
      <c r="Z372" s="207">
        <f t="shared" si="115"/>
        <v>10</v>
      </c>
      <c r="AA372" s="233">
        <f t="shared" si="116"/>
        <v>355725432.412431</v>
      </c>
      <c r="AB372" s="208">
        <f t="shared" si="117"/>
        <v>2</v>
      </c>
      <c r="AC372" s="233">
        <f t="shared" si="118"/>
        <v>711450864.824862</v>
      </c>
      <c r="AD372" s="233">
        <f t="shared" si="119"/>
        <v>355725432.412431</v>
      </c>
      <c r="AE372" s="233">
        <f t="shared" si="120"/>
        <v>355725432.412431</v>
      </c>
      <c r="AF372" s="233">
        <f t="shared" si="121"/>
        <v>355725432.412431</v>
      </c>
      <c r="AG372" s="233">
        <f t="shared" si="122"/>
        <v>355725432.412431</v>
      </c>
      <c r="AH372" s="238">
        <f t="shared" si="123"/>
        <v>355725432.412431</v>
      </c>
      <c r="AI372" s="238">
        <f t="shared" si="124"/>
        <v>2490078026.8870173</v>
      </c>
      <c r="AJ372" s="261">
        <f t="shared" si="125"/>
        <v>2011</v>
      </c>
      <c r="AK372" s="233">
        <f t="shared" si="126"/>
        <v>1067176307.2372928</v>
      </c>
    </row>
    <row r="373" spans="1:39" s="116" customFormat="1" ht="35.25" hidden="1" customHeight="1" x14ac:dyDescent="0.2">
      <c r="A373" s="116">
        <v>129</v>
      </c>
      <c r="B373" s="116" t="str">
        <f t="shared" si="113"/>
        <v>BASERAH - PERHENTIAN LUAS</v>
      </c>
      <c r="D373" s="116">
        <v>2</v>
      </c>
      <c r="E373" s="116" t="str">
        <f t="shared" ref="E373:E379" si="127">A373&amp;"."&amp;D373</f>
        <v>129.2</v>
      </c>
      <c r="F373" s="218" t="s">
        <v>2304</v>
      </c>
      <c r="G373" s="53"/>
      <c r="H373" s="67" t="s">
        <v>1220</v>
      </c>
      <c r="I373" s="33" t="s">
        <v>2494</v>
      </c>
      <c r="J373" s="63"/>
      <c r="K373" s="33" t="s">
        <v>519</v>
      </c>
      <c r="L373" s="360"/>
      <c r="M373" s="40"/>
      <c r="N373" s="360">
        <v>1000</v>
      </c>
      <c r="O373" s="72" t="s">
        <v>3129</v>
      </c>
      <c r="P373" s="33">
        <v>2011</v>
      </c>
      <c r="Q373" s="40"/>
      <c r="R373" s="40"/>
      <c r="S373" s="40"/>
      <c r="T373" s="40" t="s">
        <v>12</v>
      </c>
      <c r="U373" s="251">
        <v>3257404911.7153997</v>
      </c>
      <c r="V373" s="33" t="s">
        <v>43</v>
      </c>
      <c r="W373" s="127"/>
      <c r="X373" s="206" t="str">
        <f t="shared" si="112"/>
        <v>4.13.01</v>
      </c>
      <c r="Y373" s="207" t="str">
        <f t="shared" si="114"/>
        <v>JALAN</v>
      </c>
      <c r="Z373" s="207">
        <f t="shared" si="115"/>
        <v>10</v>
      </c>
      <c r="AA373" s="233">
        <f t="shared" si="116"/>
        <v>325740490.17153996</v>
      </c>
      <c r="AB373" s="208">
        <f t="shared" si="117"/>
        <v>2</v>
      </c>
      <c r="AC373" s="233">
        <f t="shared" si="118"/>
        <v>651480980.34307992</v>
      </c>
      <c r="AD373" s="233">
        <f t="shared" si="119"/>
        <v>325740490.17153996</v>
      </c>
      <c r="AE373" s="233">
        <f t="shared" si="120"/>
        <v>325740490.17153996</v>
      </c>
      <c r="AF373" s="233">
        <f t="shared" si="121"/>
        <v>325740490.17153996</v>
      </c>
      <c r="AG373" s="233">
        <f t="shared" si="122"/>
        <v>325740490.17153996</v>
      </c>
      <c r="AH373" s="238">
        <f t="shared" si="123"/>
        <v>325740490.17153996</v>
      </c>
      <c r="AI373" s="238">
        <f t="shared" si="124"/>
        <v>2280183431.2007799</v>
      </c>
      <c r="AJ373" s="261">
        <f t="shared" si="125"/>
        <v>2011</v>
      </c>
      <c r="AK373" s="233">
        <f t="shared" si="126"/>
        <v>977221480.51461983</v>
      </c>
      <c r="AM373" s="116" t="s">
        <v>4245</v>
      </c>
    </row>
    <row r="374" spans="1:39" s="116" customFormat="1" ht="35.25" hidden="1" customHeight="1" x14ac:dyDescent="0.2">
      <c r="A374" s="116" t="s">
        <v>4134</v>
      </c>
      <c r="B374" s="116" t="e">
        <f t="shared" si="113"/>
        <v>#N/A</v>
      </c>
      <c r="C374" s="116" t="s">
        <v>2432</v>
      </c>
      <c r="D374" s="116">
        <v>1</v>
      </c>
      <c r="E374" s="116" t="str">
        <f t="shared" si="127"/>
        <v>J1.1</v>
      </c>
      <c r="F374" s="218" t="s">
        <v>2305</v>
      </c>
      <c r="G374" s="53"/>
      <c r="H374" s="67" t="s">
        <v>1221</v>
      </c>
      <c r="I374" s="33" t="s">
        <v>3824</v>
      </c>
      <c r="J374" s="63"/>
      <c r="K374" s="33" t="s">
        <v>835</v>
      </c>
      <c r="L374" s="360"/>
      <c r="M374" s="40"/>
      <c r="N374" s="360">
        <v>40</v>
      </c>
      <c r="O374" s="72" t="s">
        <v>3130</v>
      </c>
      <c r="P374" s="33">
        <v>2011</v>
      </c>
      <c r="Q374" s="40"/>
      <c r="R374" s="40"/>
      <c r="S374" s="40"/>
      <c r="T374" s="40" t="s">
        <v>12</v>
      </c>
      <c r="U374" s="251">
        <v>3841002466.5544596</v>
      </c>
      <c r="V374" s="33" t="s">
        <v>43</v>
      </c>
      <c r="W374" s="127"/>
      <c r="X374" s="206" t="str">
        <f t="shared" si="112"/>
        <v>4.13.02</v>
      </c>
      <c r="Y374" s="207" t="str">
        <f t="shared" si="114"/>
        <v>JEMBATAN</v>
      </c>
      <c r="Z374" s="207">
        <f t="shared" si="115"/>
        <v>50</v>
      </c>
      <c r="AA374" s="233">
        <f t="shared" si="116"/>
        <v>76820049.131089196</v>
      </c>
      <c r="AB374" s="208">
        <f t="shared" si="117"/>
        <v>2</v>
      </c>
      <c r="AC374" s="233">
        <f t="shared" si="118"/>
        <v>153640098.26217839</v>
      </c>
      <c r="AD374" s="233">
        <f t="shared" si="119"/>
        <v>76820049.131089196</v>
      </c>
      <c r="AE374" s="233">
        <f t="shared" si="120"/>
        <v>76820049.131089196</v>
      </c>
      <c r="AF374" s="233">
        <f t="shared" si="121"/>
        <v>76820049.131089196</v>
      </c>
      <c r="AG374" s="233">
        <f t="shared" si="122"/>
        <v>76820049.131089196</v>
      </c>
      <c r="AH374" s="238">
        <f t="shared" si="123"/>
        <v>76820049.131089196</v>
      </c>
      <c r="AI374" s="238">
        <f t="shared" si="124"/>
        <v>537740343.91762435</v>
      </c>
      <c r="AJ374" s="261">
        <f t="shared" si="125"/>
        <v>2011</v>
      </c>
      <c r="AK374" s="233">
        <f t="shared" si="126"/>
        <v>3303262122.6368351</v>
      </c>
    </row>
    <row r="375" spans="1:39" s="120" customFormat="1" ht="35.25" hidden="1" customHeight="1" x14ac:dyDescent="0.2">
      <c r="A375" s="116" t="s">
        <v>4134</v>
      </c>
      <c r="B375" s="116" t="e">
        <f>VLOOKUP(A375,RUAS,2,0)</f>
        <v>#N/A</v>
      </c>
      <c r="C375" s="116" t="s">
        <v>2432</v>
      </c>
      <c r="D375" s="120">
        <v>2</v>
      </c>
      <c r="E375" s="116" t="str">
        <f t="shared" si="127"/>
        <v>J1.2</v>
      </c>
      <c r="F375" s="218" t="s">
        <v>2305</v>
      </c>
      <c r="G375" s="130"/>
      <c r="H375" s="27" t="s">
        <v>1648</v>
      </c>
      <c r="I375" s="30" t="s">
        <v>3824</v>
      </c>
      <c r="J375" s="152"/>
      <c r="K375" s="30"/>
      <c r="L375" s="363"/>
      <c r="M375" s="152"/>
      <c r="N375" s="363"/>
      <c r="O375" s="72" t="s">
        <v>3130</v>
      </c>
      <c r="P375" s="33">
        <v>2013</v>
      </c>
      <c r="Q375" s="152"/>
      <c r="R375" s="152"/>
      <c r="S375" s="152"/>
      <c r="T375" s="32" t="s">
        <v>12</v>
      </c>
      <c r="U375" s="254">
        <v>49212500</v>
      </c>
      <c r="V375" s="68"/>
      <c r="W375" s="61"/>
      <c r="X375" s="206" t="str">
        <f t="shared" si="112"/>
        <v>4.13.02</v>
      </c>
      <c r="Y375" s="207" t="str">
        <f>VLOOKUP(X375,kelompok,2,0)</f>
        <v>JEMBATAN</v>
      </c>
      <c r="Z375" s="207">
        <f>VLOOKUP(X375,MASAMANFAAT,4,0)</f>
        <v>50</v>
      </c>
      <c r="AA375" s="233">
        <f>(U375-10)/Z375</f>
        <v>984249.8</v>
      </c>
      <c r="AB375" s="208"/>
      <c r="AC375" s="233">
        <f>IF(AB375&gt;Z375,U375-10,AA375*AB375)</f>
        <v>0</v>
      </c>
      <c r="AD375" s="233">
        <f>IF(U375-10=AC375,0,AA375)</f>
        <v>984249.8</v>
      </c>
      <c r="AE375" s="233">
        <f>IF(U375-10=AC375+AD375,0,AA375)</f>
        <v>984249.8</v>
      </c>
      <c r="AF375" s="233">
        <f>IF(U375-10=AC375+AD375+AE375,0,AA375)</f>
        <v>984249.8</v>
      </c>
      <c r="AG375" s="233">
        <f>IF(U375-10=AD375+AE375+AF375+AC375,0,AA375)</f>
        <v>984249.8</v>
      </c>
      <c r="AH375" s="238">
        <f>IF(U375-10=AD375+AE375+AF375+AC375+AG375,0,AA375)</f>
        <v>984249.8</v>
      </c>
      <c r="AI375" s="238">
        <f>SUM(AC375:AH375)</f>
        <v>4921249</v>
      </c>
      <c r="AJ375" s="261">
        <f>P375</f>
        <v>2013</v>
      </c>
      <c r="AK375" s="233">
        <f>U375-AI375</f>
        <v>44291251</v>
      </c>
      <c r="AM375" s="116" t="s">
        <v>4245</v>
      </c>
    </row>
    <row r="376" spans="1:39" s="120" customFormat="1" ht="35.25" hidden="1" customHeight="1" x14ac:dyDescent="0.2">
      <c r="A376" s="116" t="s">
        <v>4134</v>
      </c>
      <c r="B376" s="116" t="e">
        <f>VLOOKUP(A376,RUAS,2,0)</f>
        <v>#N/A</v>
      </c>
      <c r="C376" s="116" t="s">
        <v>2432</v>
      </c>
      <c r="D376" s="120">
        <v>3</v>
      </c>
      <c r="E376" s="116" t="str">
        <f t="shared" si="127"/>
        <v>J1.3</v>
      </c>
      <c r="F376" s="218" t="s">
        <v>2305</v>
      </c>
      <c r="G376" s="130"/>
      <c r="H376" s="27" t="s">
        <v>1649</v>
      </c>
      <c r="I376" s="30" t="s">
        <v>3824</v>
      </c>
      <c r="J376" s="152"/>
      <c r="K376" s="30"/>
      <c r="L376" s="363"/>
      <c r="M376" s="152"/>
      <c r="N376" s="363"/>
      <c r="O376" s="72" t="s">
        <v>3130</v>
      </c>
      <c r="P376" s="30">
        <v>2014</v>
      </c>
      <c r="Q376" s="152"/>
      <c r="R376" s="152"/>
      <c r="S376" s="152"/>
      <c r="T376" s="32" t="s">
        <v>12</v>
      </c>
      <c r="U376" s="254">
        <v>1578446994</v>
      </c>
      <c r="V376" s="68"/>
      <c r="W376" s="61"/>
      <c r="X376" s="206" t="str">
        <f t="shared" si="112"/>
        <v>4.13.02</v>
      </c>
      <c r="Y376" s="207" t="str">
        <f>VLOOKUP(X376,kelompok,2,0)</f>
        <v>JEMBATAN</v>
      </c>
      <c r="Z376" s="207">
        <f>VLOOKUP(X376,MASAMANFAAT,4,0)</f>
        <v>50</v>
      </c>
      <c r="AA376" s="233">
        <f>(U376-10)/Z376</f>
        <v>31568939.68</v>
      </c>
      <c r="AB376" s="208"/>
      <c r="AC376" s="233">
        <f>IF(AB376&gt;Z376,U376-10,AA376*AB376)</f>
        <v>0</v>
      </c>
      <c r="AD376" s="233">
        <f>IF(U376-10=AC376,0,AA376)</f>
        <v>31568939.68</v>
      </c>
      <c r="AE376" s="233">
        <f>IF(U376-10=AC376+AD376,0,AA376)</f>
        <v>31568939.68</v>
      </c>
      <c r="AF376" s="233">
        <f>IF(U376-10=AC376+AD376+AE376,0,AA376)</f>
        <v>31568939.68</v>
      </c>
      <c r="AG376" s="233">
        <f>IF(U376-10=AD376+AE376+AF376+AC376,0,AA376)</f>
        <v>31568939.68</v>
      </c>
      <c r="AH376" s="238">
        <f>IF(U376-10=AD376+AE376+AF376+AC376+AG376,0,AA376)</f>
        <v>31568939.68</v>
      </c>
      <c r="AI376" s="238">
        <f>SUM(AC376:AH376)</f>
        <v>157844698.40000001</v>
      </c>
      <c r="AJ376" s="261">
        <f>P376</f>
        <v>2014</v>
      </c>
      <c r="AK376" s="233">
        <f>U376-AI376</f>
        <v>1420602295.5999999</v>
      </c>
      <c r="AM376" s="116" t="s">
        <v>4245</v>
      </c>
    </row>
    <row r="377" spans="1:39" s="116" customFormat="1" ht="35.25" hidden="1" customHeight="1" x14ac:dyDescent="0.2">
      <c r="A377" s="116" t="s">
        <v>4134</v>
      </c>
      <c r="B377" s="116" t="e">
        <f>VLOOKUP(A377,RUAS,2,0)</f>
        <v>#N/A</v>
      </c>
      <c r="C377" s="116" t="s">
        <v>2432</v>
      </c>
      <c r="D377" s="116">
        <v>4</v>
      </c>
      <c r="E377" s="116" t="str">
        <f t="shared" si="127"/>
        <v>J1.4</v>
      </c>
      <c r="F377" s="218" t="s">
        <v>2305</v>
      </c>
      <c r="G377" s="73"/>
      <c r="H377" s="40" t="s">
        <v>1425</v>
      </c>
      <c r="I377" s="65" t="s">
        <v>3824</v>
      </c>
      <c r="J377" s="32"/>
      <c r="K377" s="40"/>
      <c r="L377" s="362"/>
      <c r="M377" s="40"/>
      <c r="N377" s="367"/>
      <c r="O377" s="72" t="s">
        <v>3130</v>
      </c>
      <c r="P377" s="32">
        <v>2015</v>
      </c>
      <c r="Q377" s="40"/>
      <c r="R377" s="40"/>
      <c r="S377" s="40"/>
      <c r="T377" s="32" t="s">
        <v>12</v>
      </c>
      <c r="U377" s="253">
        <v>246942569</v>
      </c>
      <c r="V377" s="68"/>
      <c r="W377" s="61"/>
      <c r="X377" s="206" t="str">
        <f t="shared" si="112"/>
        <v>4.13.02</v>
      </c>
      <c r="Y377" s="207" t="str">
        <f>VLOOKUP(X377,kelompok,2,0)</f>
        <v>JEMBATAN</v>
      </c>
      <c r="Z377" s="207">
        <f>VLOOKUP(X377,MASAMANFAAT,4,0)</f>
        <v>50</v>
      </c>
      <c r="AA377" s="233">
        <f>(U377-10)/Z377</f>
        <v>4938851.18</v>
      </c>
      <c r="AB377" s="208"/>
      <c r="AC377" s="233">
        <f>IF(AB377&gt;Z377,U377-10,AA377*AB377)</f>
        <v>0</v>
      </c>
      <c r="AD377" s="233"/>
      <c r="AE377" s="233">
        <f>IF(U377-10=AC377+AD377,0,AA377)</f>
        <v>4938851.18</v>
      </c>
      <c r="AF377" s="233">
        <f>IF(U377-10=AC377+AD377+AE377,0,AA377)</f>
        <v>4938851.18</v>
      </c>
      <c r="AG377" s="233">
        <f>IF(U377-10=AD377+AE377+AF377+AC377,0,AA377)</f>
        <v>4938851.18</v>
      </c>
      <c r="AH377" s="238">
        <f>IF(U377-10=AD377+AE377+AF377+AC377+AG377,0,AA377)</f>
        <v>4938851.18</v>
      </c>
      <c r="AI377" s="238">
        <f>SUM(AC377:AH377)</f>
        <v>19755404.719999999</v>
      </c>
      <c r="AJ377" s="261">
        <f>P377</f>
        <v>2015</v>
      </c>
      <c r="AK377" s="233">
        <f>U377-AI377</f>
        <v>227187164.28</v>
      </c>
      <c r="AM377" s="116" t="s">
        <v>4245</v>
      </c>
    </row>
    <row r="378" spans="1:39" s="120" customFormat="1" ht="35.25" hidden="1" customHeight="1" thickBot="1" x14ac:dyDescent="0.25">
      <c r="A378" s="116" t="s">
        <v>4134</v>
      </c>
      <c r="B378" s="116" t="e">
        <f>VLOOKUP(A378,RUAS,2,0)</f>
        <v>#N/A</v>
      </c>
      <c r="C378" s="116" t="s">
        <v>2432</v>
      </c>
      <c r="D378" s="120">
        <v>5</v>
      </c>
      <c r="E378" s="116" t="str">
        <f t="shared" si="127"/>
        <v>J1.5</v>
      </c>
      <c r="F378" s="218" t="s">
        <v>2305</v>
      </c>
      <c r="G378" s="130"/>
      <c r="H378" s="27" t="s">
        <v>1650</v>
      </c>
      <c r="I378" s="142" t="s">
        <v>3824</v>
      </c>
      <c r="J378" s="141"/>
      <c r="K378" s="142"/>
      <c r="L378" s="364"/>
      <c r="M378" s="141"/>
      <c r="N378" s="364"/>
      <c r="O378" s="72" t="s">
        <v>3130</v>
      </c>
      <c r="P378" s="142">
        <v>2015</v>
      </c>
      <c r="Q378" s="141"/>
      <c r="R378" s="141"/>
      <c r="S378" s="141"/>
      <c r="T378" s="32" t="s">
        <v>12</v>
      </c>
      <c r="U378" s="255">
        <v>246942569</v>
      </c>
      <c r="V378" s="68"/>
      <c r="W378" s="61"/>
      <c r="X378" s="206" t="str">
        <f t="shared" si="112"/>
        <v>4.13.02</v>
      </c>
      <c r="Y378" s="207" t="str">
        <f>VLOOKUP(X378,kelompok,2,0)</f>
        <v>JEMBATAN</v>
      </c>
      <c r="Z378" s="207">
        <f>VLOOKUP(X378,MASAMANFAAT,4,0)</f>
        <v>50</v>
      </c>
      <c r="AA378" s="233">
        <f>(U378-10)/Z378</f>
        <v>4938851.18</v>
      </c>
      <c r="AB378" s="208"/>
      <c r="AC378" s="233">
        <f>IF(AB378&gt;Z378,U378-10,AA378*AB378)</f>
        <v>0</v>
      </c>
      <c r="AD378" s="233"/>
      <c r="AE378" s="233">
        <f>IF(U378-10=AC378+AD378,0,AA378)</f>
        <v>4938851.18</v>
      </c>
      <c r="AF378" s="233">
        <f>IF(U378-10=AC378+AD378+AE378,0,AA378)</f>
        <v>4938851.18</v>
      </c>
      <c r="AG378" s="233">
        <f>IF(U378-10=AD378+AE378+AF378+AC378,0,AA378)</f>
        <v>4938851.18</v>
      </c>
      <c r="AH378" s="238">
        <f>IF(U378-10=AD378+AE378+AF378+AC378+AG378,0,AA378)</f>
        <v>4938851.18</v>
      </c>
      <c r="AI378" s="238">
        <f>SUM(AC378:AH378)</f>
        <v>19755404.719999999</v>
      </c>
      <c r="AJ378" s="261">
        <f>P378</f>
        <v>2015</v>
      </c>
      <c r="AK378" s="233">
        <f>U378-AI378</f>
        <v>227187164.28</v>
      </c>
      <c r="AM378" s="116" t="s">
        <v>4245</v>
      </c>
    </row>
    <row r="379" spans="1:39" s="120" customFormat="1" ht="35.25" hidden="1" customHeight="1" x14ac:dyDescent="0.2">
      <c r="A379" s="116" t="s">
        <v>4134</v>
      </c>
      <c r="B379" s="116" t="e">
        <f>VLOOKUP(A379,RUAS,2,0)</f>
        <v>#N/A</v>
      </c>
      <c r="C379" s="116" t="s">
        <v>2432</v>
      </c>
      <c r="D379" s="120">
        <v>6</v>
      </c>
      <c r="E379" s="116" t="str">
        <f t="shared" si="127"/>
        <v>J1.6</v>
      </c>
      <c r="F379" s="218" t="s">
        <v>2305</v>
      </c>
      <c r="G379" s="130"/>
      <c r="H379" s="129" t="s">
        <v>1458</v>
      </c>
      <c r="I379" s="65" t="s">
        <v>3824</v>
      </c>
      <c r="J379" s="32"/>
      <c r="K379" s="40"/>
      <c r="L379" s="362"/>
      <c r="M379" s="40"/>
      <c r="N379" s="367"/>
      <c r="O379" s="72" t="s">
        <v>3130</v>
      </c>
      <c r="P379" s="32">
        <v>2016</v>
      </c>
      <c r="Q379" s="40"/>
      <c r="R379" s="40"/>
      <c r="S379" s="40"/>
      <c r="T379" s="32" t="s">
        <v>12</v>
      </c>
      <c r="U379" s="253">
        <v>6046396941.1700001</v>
      </c>
      <c r="V379" s="68"/>
      <c r="W379" s="61"/>
      <c r="X379" s="206" t="str">
        <f t="shared" si="112"/>
        <v>4.13.02</v>
      </c>
      <c r="Y379" s="207" t="str">
        <f>VLOOKUP(X379,kelompok,2,0)</f>
        <v>JEMBATAN</v>
      </c>
      <c r="Z379" s="207">
        <f>VLOOKUP(X379,MASAMANFAAT,4,0)</f>
        <v>50</v>
      </c>
      <c r="AA379" s="233">
        <f>(U379-10)/Z379</f>
        <v>120927938.6234</v>
      </c>
      <c r="AB379" s="208"/>
      <c r="AC379" s="233">
        <f>IF(AB379&gt;Z379,U379-10,AA379*AB379)</f>
        <v>0</v>
      </c>
      <c r="AD379" s="233"/>
      <c r="AE379" s="233"/>
      <c r="AF379" s="233">
        <f>IF(U379-10=AC379+AD379+AE379,0,AA379)</f>
        <v>120927938.6234</v>
      </c>
      <c r="AG379" s="233">
        <f>IF(U379-10=AD379+AE379+AF379+AC379,0,AA379)</f>
        <v>120927938.6234</v>
      </c>
      <c r="AH379" s="238">
        <f>IF(U379-10=AD379+AE379+AF379+AC379+AG379,0,AA379)</f>
        <v>120927938.6234</v>
      </c>
      <c r="AI379" s="238">
        <f>SUM(AC379:AH379)</f>
        <v>362783815.87020004</v>
      </c>
      <c r="AJ379" s="261">
        <f>P379</f>
        <v>2016</v>
      </c>
      <c r="AK379" s="233">
        <f>U379-AI379</f>
        <v>5683613125.2997999</v>
      </c>
      <c r="AM379" s="116" t="s">
        <v>4245</v>
      </c>
    </row>
    <row r="380" spans="1:39" s="116" customFormat="1" ht="35.25" hidden="1" customHeight="1" x14ac:dyDescent="0.2">
      <c r="B380" s="116" t="e">
        <f t="shared" si="113"/>
        <v>#N/A</v>
      </c>
      <c r="F380" s="218" t="s">
        <v>2305</v>
      </c>
      <c r="G380" s="53"/>
      <c r="H380" s="67" t="s">
        <v>1222</v>
      </c>
      <c r="I380" s="33" t="s">
        <v>2494</v>
      </c>
      <c r="J380" s="63"/>
      <c r="K380" s="33" t="s">
        <v>835</v>
      </c>
      <c r="L380" s="360"/>
      <c r="M380" s="40"/>
      <c r="N380" s="360">
        <v>3.3</v>
      </c>
      <c r="O380" s="72" t="s">
        <v>3131</v>
      </c>
      <c r="P380" s="33">
        <v>2011</v>
      </c>
      <c r="Q380" s="40"/>
      <c r="R380" s="40"/>
      <c r="S380" s="40"/>
      <c r="T380" s="40" t="s">
        <v>12</v>
      </c>
      <c r="U380" s="251">
        <v>672970829.95844185</v>
      </c>
      <c r="V380" s="33" t="s">
        <v>43</v>
      </c>
      <c r="W380" s="127"/>
      <c r="X380" s="206" t="str">
        <f t="shared" si="112"/>
        <v>4.13.02</v>
      </c>
      <c r="Y380" s="207" t="str">
        <f t="shared" si="114"/>
        <v>JEMBATAN</v>
      </c>
      <c r="Z380" s="207">
        <f t="shared" si="115"/>
        <v>50</v>
      </c>
      <c r="AA380" s="233">
        <f t="shared" si="116"/>
        <v>13459416.399168838</v>
      </c>
      <c r="AB380" s="208">
        <f t="shared" si="117"/>
        <v>2</v>
      </c>
      <c r="AC380" s="233">
        <f t="shared" si="118"/>
        <v>26918832.798337676</v>
      </c>
      <c r="AD380" s="233">
        <f t="shared" si="119"/>
        <v>13459416.399168838</v>
      </c>
      <c r="AE380" s="233">
        <f t="shared" si="120"/>
        <v>13459416.399168838</v>
      </c>
      <c r="AF380" s="233">
        <f t="shared" si="121"/>
        <v>13459416.399168838</v>
      </c>
      <c r="AG380" s="233">
        <f t="shared" si="122"/>
        <v>13459416.399168838</v>
      </c>
      <c r="AH380" s="238">
        <f t="shared" si="123"/>
        <v>13459416.399168838</v>
      </c>
      <c r="AI380" s="238">
        <f t="shared" si="124"/>
        <v>94215914.794181854</v>
      </c>
      <c r="AJ380" s="261">
        <f t="shared" si="125"/>
        <v>2011</v>
      </c>
      <c r="AK380" s="233">
        <f t="shared" si="126"/>
        <v>578754915.16426003</v>
      </c>
    </row>
    <row r="381" spans="1:39" s="116" customFormat="1" ht="35.25" hidden="1" customHeight="1" x14ac:dyDescent="0.2">
      <c r="B381" s="116" t="e">
        <f t="shared" si="113"/>
        <v>#N/A</v>
      </c>
      <c r="F381" s="218" t="s">
        <v>2305</v>
      </c>
      <c r="G381" s="53"/>
      <c r="H381" s="67" t="s">
        <v>1223</v>
      </c>
      <c r="I381" s="33" t="s">
        <v>3824</v>
      </c>
      <c r="J381" s="63"/>
      <c r="K381" s="33" t="s">
        <v>835</v>
      </c>
      <c r="L381" s="360"/>
      <c r="M381" s="40"/>
      <c r="N381" s="360">
        <v>50</v>
      </c>
      <c r="O381" s="72" t="s">
        <v>3132</v>
      </c>
      <c r="P381" s="33">
        <v>2011</v>
      </c>
      <c r="Q381" s="40"/>
      <c r="R381" s="40"/>
      <c r="S381" s="40"/>
      <c r="T381" s="40" t="s">
        <v>12</v>
      </c>
      <c r="U381" s="251">
        <v>720415026.35516441</v>
      </c>
      <c r="V381" s="33" t="s">
        <v>43</v>
      </c>
      <c r="W381" s="127"/>
      <c r="X381" s="206" t="str">
        <f t="shared" si="112"/>
        <v>4.13.02</v>
      </c>
      <c r="Y381" s="207" t="str">
        <f t="shared" si="114"/>
        <v>JEMBATAN</v>
      </c>
      <c r="Z381" s="207">
        <f t="shared" si="115"/>
        <v>50</v>
      </c>
      <c r="AA381" s="233">
        <f t="shared" si="116"/>
        <v>14408300.327103289</v>
      </c>
      <c r="AB381" s="208">
        <f t="shared" si="117"/>
        <v>2</v>
      </c>
      <c r="AC381" s="233">
        <f t="shared" si="118"/>
        <v>28816600.654206578</v>
      </c>
      <c r="AD381" s="233">
        <f t="shared" si="119"/>
        <v>14408300.327103289</v>
      </c>
      <c r="AE381" s="233">
        <f t="shared" si="120"/>
        <v>14408300.327103289</v>
      </c>
      <c r="AF381" s="233">
        <f t="shared" si="121"/>
        <v>14408300.327103289</v>
      </c>
      <c r="AG381" s="233">
        <f t="shared" si="122"/>
        <v>14408300.327103289</v>
      </c>
      <c r="AH381" s="238">
        <f t="shared" si="123"/>
        <v>14408300.327103289</v>
      </c>
      <c r="AI381" s="238">
        <f t="shared" si="124"/>
        <v>100858102.28972302</v>
      </c>
      <c r="AJ381" s="261">
        <f t="shared" si="125"/>
        <v>2011</v>
      </c>
      <c r="AK381" s="233">
        <f t="shared" si="126"/>
        <v>619556924.06544137</v>
      </c>
    </row>
    <row r="382" spans="1:39" s="116" customFormat="1" ht="35.25" hidden="1" customHeight="1" x14ac:dyDescent="0.2">
      <c r="B382" s="116" t="e">
        <f t="shared" si="113"/>
        <v>#N/A</v>
      </c>
      <c r="F382" s="218" t="s">
        <v>2305</v>
      </c>
      <c r="G382" s="53"/>
      <c r="H382" s="67" t="s">
        <v>1224</v>
      </c>
      <c r="I382" s="33" t="s">
        <v>2494</v>
      </c>
      <c r="J382" s="63"/>
      <c r="K382" s="33" t="s">
        <v>835</v>
      </c>
      <c r="L382" s="360"/>
      <c r="M382" s="40"/>
      <c r="N382" s="360">
        <v>40</v>
      </c>
      <c r="O382" s="72" t="s">
        <v>3133</v>
      </c>
      <c r="P382" s="33">
        <v>2011</v>
      </c>
      <c r="Q382" s="40"/>
      <c r="R382" s="40"/>
      <c r="S382" s="40"/>
      <c r="T382" s="40" t="s">
        <v>12</v>
      </c>
      <c r="U382" s="251">
        <v>4609392818.7695818</v>
      </c>
      <c r="V382" s="33" t="s">
        <v>43</v>
      </c>
      <c r="W382" s="127"/>
      <c r="X382" s="206" t="str">
        <f t="shared" si="112"/>
        <v>4.13.02</v>
      </c>
      <c r="Y382" s="207" t="str">
        <f t="shared" si="114"/>
        <v>JEMBATAN</v>
      </c>
      <c r="Z382" s="207">
        <f t="shared" si="115"/>
        <v>50</v>
      </c>
      <c r="AA382" s="233">
        <f t="shared" si="116"/>
        <v>92187856.175391629</v>
      </c>
      <c r="AB382" s="208">
        <f t="shared" si="117"/>
        <v>2</v>
      </c>
      <c r="AC382" s="233">
        <f t="shared" si="118"/>
        <v>184375712.35078326</v>
      </c>
      <c r="AD382" s="233">
        <f t="shared" si="119"/>
        <v>92187856.175391629</v>
      </c>
      <c r="AE382" s="233">
        <f t="shared" si="120"/>
        <v>92187856.175391629</v>
      </c>
      <c r="AF382" s="233">
        <f t="shared" si="121"/>
        <v>92187856.175391629</v>
      </c>
      <c r="AG382" s="233">
        <f t="shared" si="122"/>
        <v>92187856.175391629</v>
      </c>
      <c r="AH382" s="238">
        <f t="shared" si="123"/>
        <v>92187856.175391629</v>
      </c>
      <c r="AI382" s="238">
        <f t="shared" si="124"/>
        <v>645314993.22774148</v>
      </c>
      <c r="AJ382" s="261">
        <f t="shared" si="125"/>
        <v>2011</v>
      </c>
      <c r="AK382" s="233">
        <f t="shared" si="126"/>
        <v>3964077825.5418406</v>
      </c>
    </row>
    <row r="383" spans="1:39" s="116" customFormat="1" ht="35.25" hidden="1" customHeight="1" x14ac:dyDescent="0.2">
      <c r="B383" s="116" t="e">
        <f t="shared" si="113"/>
        <v>#N/A</v>
      </c>
      <c r="F383" s="218" t="s">
        <v>2305</v>
      </c>
      <c r="G383" s="53"/>
      <c r="H383" s="67" t="s">
        <v>1225</v>
      </c>
      <c r="I383" s="33" t="s">
        <v>3822</v>
      </c>
      <c r="J383" s="63"/>
      <c r="K383" s="33"/>
      <c r="L383" s="360"/>
      <c r="M383" s="40"/>
      <c r="N383" s="360"/>
      <c r="O383" s="72" t="s">
        <v>420</v>
      </c>
      <c r="P383" s="33">
        <v>2011</v>
      </c>
      <c r="Q383" s="40"/>
      <c r="R383" s="40"/>
      <c r="S383" s="40"/>
      <c r="T383" s="40" t="s">
        <v>12</v>
      </c>
      <c r="U383" s="251">
        <v>666142171.96289265</v>
      </c>
      <c r="V383" s="33" t="s">
        <v>43</v>
      </c>
      <c r="W383" s="127"/>
      <c r="X383" s="206" t="str">
        <f t="shared" si="112"/>
        <v>4.13.02</v>
      </c>
      <c r="Y383" s="207" t="str">
        <f t="shared" si="114"/>
        <v>JEMBATAN</v>
      </c>
      <c r="Z383" s="207">
        <f t="shared" si="115"/>
        <v>50</v>
      </c>
      <c r="AA383" s="233">
        <f t="shared" si="116"/>
        <v>13322843.239257853</v>
      </c>
      <c r="AB383" s="208">
        <f t="shared" si="117"/>
        <v>2</v>
      </c>
      <c r="AC383" s="233">
        <f t="shared" si="118"/>
        <v>26645686.478515707</v>
      </c>
      <c r="AD383" s="233">
        <f t="shared" si="119"/>
        <v>13322843.239257853</v>
      </c>
      <c r="AE383" s="233">
        <f t="shared" si="120"/>
        <v>13322843.239257853</v>
      </c>
      <c r="AF383" s="233">
        <f t="shared" si="121"/>
        <v>13322843.239257853</v>
      </c>
      <c r="AG383" s="233">
        <f t="shared" si="122"/>
        <v>13322843.239257853</v>
      </c>
      <c r="AH383" s="238">
        <f t="shared" si="123"/>
        <v>13322843.239257853</v>
      </c>
      <c r="AI383" s="238">
        <f t="shared" si="124"/>
        <v>93259902.674804986</v>
      </c>
      <c r="AJ383" s="261">
        <f t="shared" si="125"/>
        <v>2011</v>
      </c>
      <c r="AK383" s="233">
        <f t="shared" si="126"/>
        <v>572882269.28808761</v>
      </c>
    </row>
    <row r="384" spans="1:39" s="116" customFormat="1" ht="35.25" hidden="1" customHeight="1" x14ac:dyDescent="0.2">
      <c r="B384" s="116" t="e">
        <f t="shared" si="113"/>
        <v>#N/A</v>
      </c>
      <c r="F384" s="218" t="s">
        <v>2304</v>
      </c>
      <c r="G384" s="53"/>
      <c r="H384" s="67" t="s">
        <v>1226</v>
      </c>
      <c r="I384" s="33" t="s">
        <v>2494</v>
      </c>
      <c r="J384" s="63"/>
      <c r="K384" s="33" t="s">
        <v>519</v>
      </c>
      <c r="L384" s="360"/>
      <c r="M384" s="40"/>
      <c r="N384" s="360">
        <v>1000</v>
      </c>
      <c r="O384" s="72" t="s">
        <v>3134</v>
      </c>
      <c r="P384" s="33">
        <v>2011</v>
      </c>
      <c r="Q384" s="40"/>
      <c r="R384" s="40"/>
      <c r="S384" s="40"/>
      <c r="T384" s="40" t="s">
        <v>12</v>
      </c>
      <c r="U384" s="251">
        <v>1650335467.45</v>
      </c>
      <c r="V384" s="33" t="s">
        <v>43</v>
      </c>
      <c r="W384" s="127"/>
      <c r="X384" s="206" t="str">
        <f t="shared" si="112"/>
        <v>4.13.01</v>
      </c>
      <c r="Y384" s="207" t="str">
        <f t="shared" si="114"/>
        <v>JALAN</v>
      </c>
      <c r="Z384" s="207">
        <f t="shared" si="115"/>
        <v>10</v>
      </c>
      <c r="AA384" s="233">
        <f t="shared" si="116"/>
        <v>165033545.745</v>
      </c>
      <c r="AB384" s="208">
        <f t="shared" si="117"/>
        <v>2</v>
      </c>
      <c r="AC384" s="233">
        <f t="shared" si="118"/>
        <v>330067091.49000001</v>
      </c>
      <c r="AD384" s="233">
        <f t="shared" si="119"/>
        <v>165033545.745</v>
      </c>
      <c r="AE384" s="233">
        <f t="shared" si="120"/>
        <v>165033545.745</v>
      </c>
      <c r="AF384" s="233">
        <f t="shared" si="121"/>
        <v>165033545.745</v>
      </c>
      <c r="AG384" s="233">
        <f t="shared" si="122"/>
        <v>165033545.745</v>
      </c>
      <c r="AH384" s="238">
        <f t="shared" si="123"/>
        <v>165033545.745</v>
      </c>
      <c r="AI384" s="238">
        <f t="shared" si="124"/>
        <v>1155234820.2150002</v>
      </c>
      <c r="AJ384" s="261">
        <f t="shared" si="125"/>
        <v>2011</v>
      </c>
      <c r="AK384" s="233">
        <f t="shared" si="126"/>
        <v>495100647.2349999</v>
      </c>
    </row>
    <row r="385" spans="1:39" s="116" customFormat="1" ht="35.25" hidden="1" customHeight="1" x14ac:dyDescent="0.2">
      <c r="A385" s="116">
        <v>17</v>
      </c>
      <c r="B385" s="116" t="str">
        <f t="shared" si="113"/>
        <v>SINAMBEK - STADION OLAHRAGA</v>
      </c>
      <c r="D385" s="116">
        <v>2</v>
      </c>
      <c r="E385" s="120" t="str">
        <f>A385&amp;"."&amp;D385</f>
        <v>17.2</v>
      </c>
      <c r="F385" s="218" t="s">
        <v>2304</v>
      </c>
      <c r="G385" s="53"/>
      <c r="H385" s="67" t="s">
        <v>1227</v>
      </c>
      <c r="I385" s="33" t="s">
        <v>2494</v>
      </c>
      <c r="J385" s="63"/>
      <c r="K385" s="33" t="s">
        <v>519</v>
      </c>
      <c r="L385" s="360"/>
      <c r="M385" s="40"/>
      <c r="N385" s="360">
        <v>1447</v>
      </c>
      <c r="O385" s="72" t="s">
        <v>3135</v>
      </c>
      <c r="P385" s="33">
        <v>2011</v>
      </c>
      <c r="Q385" s="40"/>
      <c r="R385" s="40"/>
      <c r="S385" s="40"/>
      <c r="T385" s="40" t="s">
        <v>12</v>
      </c>
      <c r="U385" s="251">
        <v>562181911.29999995</v>
      </c>
      <c r="V385" s="33" t="s">
        <v>43</v>
      </c>
      <c r="W385" s="127"/>
      <c r="X385" s="206" t="str">
        <f t="shared" si="112"/>
        <v>4.13.01</v>
      </c>
      <c r="Y385" s="207" t="str">
        <f t="shared" si="114"/>
        <v>JALAN</v>
      </c>
      <c r="Z385" s="207">
        <f t="shared" si="115"/>
        <v>10</v>
      </c>
      <c r="AA385" s="233">
        <f t="shared" si="116"/>
        <v>56218190.129999995</v>
      </c>
      <c r="AB385" s="208">
        <f t="shared" si="117"/>
        <v>2</v>
      </c>
      <c r="AC385" s="233">
        <f t="shared" si="118"/>
        <v>112436380.25999999</v>
      </c>
      <c r="AD385" s="233">
        <f t="shared" si="119"/>
        <v>56218190.129999995</v>
      </c>
      <c r="AE385" s="233">
        <f t="shared" si="120"/>
        <v>56218190.129999995</v>
      </c>
      <c r="AF385" s="233">
        <f t="shared" si="121"/>
        <v>56218190.129999995</v>
      </c>
      <c r="AG385" s="233">
        <f t="shared" si="122"/>
        <v>56218190.129999995</v>
      </c>
      <c r="AH385" s="238">
        <f t="shared" si="123"/>
        <v>56218190.129999995</v>
      </c>
      <c r="AI385" s="238">
        <f t="shared" si="124"/>
        <v>393527330.90999997</v>
      </c>
      <c r="AJ385" s="261">
        <f t="shared" si="125"/>
        <v>2011</v>
      </c>
      <c r="AK385" s="233">
        <f t="shared" si="126"/>
        <v>168654580.38999999</v>
      </c>
      <c r="AM385" s="116" t="s">
        <v>4245</v>
      </c>
    </row>
    <row r="386" spans="1:39" s="116" customFormat="1" ht="35.25" hidden="1" customHeight="1" x14ac:dyDescent="0.2">
      <c r="B386" s="116" t="e">
        <f t="shared" si="113"/>
        <v>#N/A</v>
      </c>
      <c r="F386" s="218" t="s">
        <v>2304</v>
      </c>
      <c r="G386" s="53"/>
      <c r="H386" s="67" t="s">
        <v>1228</v>
      </c>
      <c r="I386" s="33" t="s">
        <v>2494</v>
      </c>
      <c r="J386" s="63"/>
      <c r="K386" s="33" t="s">
        <v>519</v>
      </c>
      <c r="L386" s="360"/>
      <c r="M386" s="40"/>
      <c r="N386" s="360"/>
      <c r="O386" s="72" t="s">
        <v>3136</v>
      </c>
      <c r="P386" s="33">
        <v>2011</v>
      </c>
      <c r="Q386" s="40"/>
      <c r="R386" s="40"/>
      <c r="S386" s="40"/>
      <c r="T386" s="40" t="s">
        <v>12</v>
      </c>
      <c r="U386" s="251">
        <v>16031900</v>
      </c>
      <c r="V386" s="33" t="s">
        <v>43</v>
      </c>
      <c r="W386" s="127"/>
      <c r="X386" s="206" t="str">
        <f t="shared" si="112"/>
        <v>4.13.01</v>
      </c>
      <c r="Y386" s="207" t="str">
        <f t="shared" si="114"/>
        <v>JALAN</v>
      </c>
      <c r="Z386" s="207">
        <f t="shared" si="115"/>
        <v>10</v>
      </c>
      <c r="AA386" s="233">
        <f t="shared" si="116"/>
        <v>1603189</v>
      </c>
      <c r="AB386" s="208">
        <f t="shared" si="117"/>
        <v>2</v>
      </c>
      <c r="AC386" s="233">
        <f t="shared" si="118"/>
        <v>3206378</v>
      </c>
      <c r="AD386" s="233">
        <f t="shared" si="119"/>
        <v>1603189</v>
      </c>
      <c r="AE386" s="233">
        <f t="shared" si="120"/>
        <v>1603189</v>
      </c>
      <c r="AF386" s="233">
        <f t="shared" si="121"/>
        <v>1603189</v>
      </c>
      <c r="AG386" s="233">
        <f t="shared" si="122"/>
        <v>1603189</v>
      </c>
      <c r="AH386" s="238">
        <f t="shared" si="123"/>
        <v>1603189</v>
      </c>
      <c r="AI386" s="238">
        <f t="shared" si="124"/>
        <v>11222323</v>
      </c>
      <c r="AJ386" s="261">
        <f t="shared" si="125"/>
        <v>2011</v>
      </c>
      <c r="AK386" s="233">
        <f t="shared" si="126"/>
        <v>4809577</v>
      </c>
    </row>
    <row r="387" spans="1:39" s="116" customFormat="1" ht="35.25" hidden="1" customHeight="1" x14ac:dyDescent="0.2">
      <c r="B387" s="116" t="e">
        <f t="shared" si="113"/>
        <v>#N/A</v>
      </c>
      <c r="F387" s="218" t="s">
        <v>2304</v>
      </c>
      <c r="G387" s="53"/>
      <c r="H387" s="67" t="s">
        <v>1229</v>
      </c>
      <c r="I387" s="33" t="s">
        <v>2494</v>
      </c>
      <c r="J387" s="63"/>
      <c r="K387" s="33" t="s">
        <v>519</v>
      </c>
      <c r="L387" s="360"/>
      <c r="M387" s="40"/>
      <c r="N387" s="360"/>
      <c r="O387" s="72" t="s">
        <v>3137</v>
      </c>
      <c r="P387" s="33">
        <v>2011</v>
      </c>
      <c r="Q387" s="40"/>
      <c r="R387" s="40"/>
      <c r="S387" s="40"/>
      <c r="T387" s="40" t="s">
        <v>12</v>
      </c>
      <c r="U387" s="251">
        <v>56100500</v>
      </c>
      <c r="V387" s="33" t="s">
        <v>43</v>
      </c>
      <c r="W387" s="127"/>
      <c r="X387" s="206" t="str">
        <f t="shared" si="112"/>
        <v>4.13.01</v>
      </c>
      <c r="Y387" s="207" t="str">
        <f t="shared" si="114"/>
        <v>JALAN</v>
      </c>
      <c r="Z387" s="207">
        <f t="shared" si="115"/>
        <v>10</v>
      </c>
      <c r="AA387" s="233">
        <f t="shared" si="116"/>
        <v>5610049</v>
      </c>
      <c r="AB387" s="208">
        <f t="shared" si="117"/>
        <v>2</v>
      </c>
      <c r="AC387" s="233">
        <f t="shared" si="118"/>
        <v>11220098</v>
      </c>
      <c r="AD387" s="233">
        <f t="shared" si="119"/>
        <v>5610049</v>
      </c>
      <c r="AE387" s="233">
        <f t="shared" si="120"/>
        <v>5610049</v>
      </c>
      <c r="AF387" s="233">
        <f t="shared" si="121"/>
        <v>5610049</v>
      </c>
      <c r="AG387" s="233">
        <f t="shared" si="122"/>
        <v>5610049</v>
      </c>
      <c r="AH387" s="238">
        <f t="shared" si="123"/>
        <v>5610049</v>
      </c>
      <c r="AI387" s="238">
        <f t="shared" si="124"/>
        <v>39270343</v>
      </c>
      <c r="AJ387" s="261">
        <f t="shared" si="125"/>
        <v>2011</v>
      </c>
      <c r="AK387" s="233">
        <f t="shared" si="126"/>
        <v>16830157</v>
      </c>
    </row>
    <row r="388" spans="1:39" s="116" customFormat="1" ht="35.25" hidden="1" customHeight="1" x14ac:dyDescent="0.2">
      <c r="A388" s="116">
        <v>165</v>
      </c>
      <c r="B388" s="116" t="str">
        <f t="shared" si="113"/>
        <v>SAKO - TRANS SKP II</v>
      </c>
      <c r="D388" s="116">
        <v>4</v>
      </c>
      <c r="E388" s="116" t="str">
        <f>A388&amp;"."&amp;D388</f>
        <v>165.4</v>
      </c>
      <c r="F388" s="218" t="s">
        <v>2304</v>
      </c>
      <c r="G388" s="53"/>
      <c r="H388" s="67" t="s">
        <v>1230</v>
      </c>
      <c r="I388" s="33" t="s">
        <v>2494</v>
      </c>
      <c r="J388" s="63"/>
      <c r="K388" s="33" t="s">
        <v>519</v>
      </c>
      <c r="L388" s="360"/>
      <c r="M388" s="40"/>
      <c r="N388" s="360">
        <v>2000</v>
      </c>
      <c r="O388" s="72" t="s">
        <v>3138</v>
      </c>
      <c r="P388" s="33">
        <v>2011</v>
      </c>
      <c r="Q388" s="40"/>
      <c r="R388" s="40"/>
      <c r="S388" s="40"/>
      <c r="T388" s="40" t="s">
        <v>12</v>
      </c>
      <c r="U388" s="251">
        <v>56964700</v>
      </c>
      <c r="V388" s="33" t="s">
        <v>43</v>
      </c>
      <c r="W388" s="127"/>
      <c r="X388" s="206" t="str">
        <f t="shared" si="112"/>
        <v>4.13.01</v>
      </c>
      <c r="Y388" s="207" t="str">
        <f t="shared" si="114"/>
        <v>JALAN</v>
      </c>
      <c r="Z388" s="207">
        <f t="shared" si="115"/>
        <v>10</v>
      </c>
      <c r="AA388" s="233">
        <f t="shared" si="116"/>
        <v>5696469</v>
      </c>
      <c r="AB388" s="208">
        <f t="shared" si="117"/>
        <v>2</v>
      </c>
      <c r="AC388" s="233">
        <f t="shared" si="118"/>
        <v>11392938</v>
      </c>
      <c r="AD388" s="233">
        <f t="shared" si="119"/>
        <v>5696469</v>
      </c>
      <c r="AE388" s="233">
        <f t="shared" si="120"/>
        <v>5696469</v>
      </c>
      <c r="AF388" s="233">
        <f t="shared" si="121"/>
        <v>5696469</v>
      </c>
      <c r="AG388" s="233">
        <f t="shared" si="122"/>
        <v>5696469</v>
      </c>
      <c r="AH388" s="238">
        <f t="shared" si="123"/>
        <v>5696469</v>
      </c>
      <c r="AI388" s="238">
        <f t="shared" si="124"/>
        <v>39875283</v>
      </c>
      <c r="AJ388" s="261">
        <f t="shared" si="125"/>
        <v>2011</v>
      </c>
      <c r="AK388" s="233">
        <f t="shared" si="126"/>
        <v>17089417</v>
      </c>
      <c r="AM388" s="116" t="s">
        <v>4245</v>
      </c>
    </row>
    <row r="389" spans="1:39" s="116" customFormat="1" ht="35.25" hidden="1" customHeight="1" x14ac:dyDescent="0.2">
      <c r="A389" s="116">
        <v>165</v>
      </c>
      <c r="B389" s="116" t="str">
        <f t="shared" si="113"/>
        <v>SAKO - TRANS SKP II</v>
      </c>
      <c r="D389" s="116">
        <v>5</v>
      </c>
      <c r="E389" s="116" t="str">
        <f>A389&amp;"."&amp;D389</f>
        <v>165.5</v>
      </c>
      <c r="F389" s="218" t="s">
        <v>2304</v>
      </c>
      <c r="G389" s="53"/>
      <c r="H389" s="67" t="s">
        <v>1231</v>
      </c>
      <c r="I389" s="33" t="s">
        <v>2494</v>
      </c>
      <c r="J389" s="63"/>
      <c r="K389" s="33" t="s">
        <v>519</v>
      </c>
      <c r="L389" s="360"/>
      <c r="M389" s="40"/>
      <c r="N389" s="360">
        <v>670</v>
      </c>
      <c r="O389" s="72" t="s">
        <v>3139</v>
      </c>
      <c r="P389" s="33">
        <v>2011</v>
      </c>
      <c r="Q389" s="40"/>
      <c r="R389" s="40"/>
      <c r="S389" s="40"/>
      <c r="T389" s="40" t="s">
        <v>12</v>
      </c>
      <c r="U389" s="251">
        <v>1798246935</v>
      </c>
      <c r="V389" s="33" t="s">
        <v>43</v>
      </c>
      <c r="W389" s="127"/>
      <c r="X389" s="206" t="str">
        <f t="shared" ref="X389:X452" si="128">F389</f>
        <v>4.13.01</v>
      </c>
      <c r="Y389" s="207" t="str">
        <f t="shared" si="114"/>
        <v>JALAN</v>
      </c>
      <c r="Z389" s="207">
        <f t="shared" si="115"/>
        <v>10</v>
      </c>
      <c r="AA389" s="233">
        <f t="shared" si="116"/>
        <v>179824692.5</v>
      </c>
      <c r="AB389" s="208">
        <f t="shared" si="117"/>
        <v>2</v>
      </c>
      <c r="AC389" s="233">
        <f t="shared" si="118"/>
        <v>359649385</v>
      </c>
      <c r="AD389" s="233">
        <f t="shared" si="119"/>
        <v>179824692.5</v>
      </c>
      <c r="AE389" s="233">
        <f t="shared" si="120"/>
        <v>179824692.5</v>
      </c>
      <c r="AF389" s="233">
        <f t="shared" si="121"/>
        <v>179824692.5</v>
      </c>
      <c r="AG389" s="233">
        <f t="shared" si="122"/>
        <v>179824692.5</v>
      </c>
      <c r="AH389" s="238">
        <f t="shared" si="123"/>
        <v>179824692.5</v>
      </c>
      <c r="AI389" s="238">
        <f t="shared" si="124"/>
        <v>1258772847.5</v>
      </c>
      <c r="AJ389" s="261">
        <f t="shared" si="125"/>
        <v>2011</v>
      </c>
      <c r="AK389" s="233">
        <f t="shared" si="126"/>
        <v>539474087.5</v>
      </c>
      <c r="AM389" s="116" t="s">
        <v>4245</v>
      </c>
    </row>
    <row r="390" spans="1:39" s="116" customFormat="1" ht="35.25" hidden="1" customHeight="1" x14ac:dyDescent="0.2">
      <c r="A390" s="116">
        <v>246</v>
      </c>
      <c r="B390" s="116" t="str">
        <f t="shared" si="113"/>
        <v>SEI. SIRIH - SIMP. 4 PT. WANASARI</v>
      </c>
      <c r="D390" s="116">
        <v>1</v>
      </c>
      <c r="E390" s="116" t="str">
        <f>A390&amp;"."&amp;D390</f>
        <v>246.1</v>
      </c>
      <c r="F390" s="218" t="s">
        <v>2304</v>
      </c>
      <c r="G390" s="53"/>
      <c r="H390" s="67" t="s">
        <v>1232</v>
      </c>
      <c r="I390" s="33" t="s">
        <v>2494</v>
      </c>
      <c r="J390" s="63"/>
      <c r="K390" s="33" t="s">
        <v>519</v>
      </c>
      <c r="L390" s="360"/>
      <c r="M390" s="40"/>
      <c r="N390" s="360">
        <v>1000</v>
      </c>
      <c r="O390" s="72" t="s">
        <v>3830</v>
      </c>
      <c r="P390" s="33">
        <v>2011</v>
      </c>
      <c r="Q390" s="40"/>
      <c r="R390" s="40"/>
      <c r="S390" s="40"/>
      <c r="T390" s="40" t="s">
        <v>12</v>
      </c>
      <c r="U390" s="251">
        <v>84556900</v>
      </c>
      <c r="V390" s="33" t="s">
        <v>43</v>
      </c>
      <c r="W390" s="127"/>
      <c r="X390" s="206" t="str">
        <f t="shared" si="128"/>
        <v>4.13.01</v>
      </c>
      <c r="Y390" s="207" t="str">
        <f t="shared" si="114"/>
        <v>JALAN</v>
      </c>
      <c r="Z390" s="207">
        <f t="shared" si="115"/>
        <v>10</v>
      </c>
      <c r="AA390" s="233">
        <f t="shared" si="116"/>
        <v>8455689</v>
      </c>
      <c r="AB390" s="208">
        <f t="shared" si="117"/>
        <v>2</v>
      </c>
      <c r="AC390" s="233">
        <f t="shared" si="118"/>
        <v>16911378</v>
      </c>
      <c r="AD390" s="233">
        <f t="shared" si="119"/>
        <v>8455689</v>
      </c>
      <c r="AE390" s="233">
        <f t="shared" si="120"/>
        <v>8455689</v>
      </c>
      <c r="AF390" s="233">
        <f t="shared" si="121"/>
        <v>8455689</v>
      </c>
      <c r="AG390" s="233">
        <f t="shared" si="122"/>
        <v>8455689</v>
      </c>
      <c r="AH390" s="238">
        <f t="shared" si="123"/>
        <v>8455689</v>
      </c>
      <c r="AI390" s="238">
        <f t="shared" si="124"/>
        <v>59189823</v>
      </c>
      <c r="AJ390" s="261">
        <f t="shared" si="125"/>
        <v>2011</v>
      </c>
      <c r="AK390" s="233">
        <f t="shared" si="126"/>
        <v>25367077</v>
      </c>
    </row>
    <row r="391" spans="1:39" s="116" customFormat="1" ht="35.25" hidden="1" customHeight="1" x14ac:dyDescent="0.2">
      <c r="A391" s="116">
        <v>86</v>
      </c>
      <c r="B391" s="116" t="str">
        <f t="shared" si="113"/>
        <v>PANTAI - AIR BULUH</v>
      </c>
      <c r="D391" s="116">
        <v>3</v>
      </c>
      <c r="E391" s="120" t="str">
        <f>A391&amp;"."&amp;D391</f>
        <v>86.3</v>
      </c>
      <c r="F391" s="218" t="s">
        <v>2304</v>
      </c>
      <c r="G391" s="53"/>
      <c r="H391" s="67" t="s">
        <v>1233</v>
      </c>
      <c r="I391" s="33" t="s">
        <v>2494</v>
      </c>
      <c r="J391" s="63"/>
      <c r="K391" s="33" t="s">
        <v>519</v>
      </c>
      <c r="L391" s="360"/>
      <c r="M391" s="40"/>
      <c r="N391" s="360">
        <v>1000</v>
      </c>
      <c r="O391" s="72" t="s">
        <v>628</v>
      </c>
      <c r="P391" s="33">
        <v>2011</v>
      </c>
      <c r="Q391" s="40"/>
      <c r="R391" s="40"/>
      <c r="S391" s="40"/>
      <c r="T391" s="40" t="s">
        <v>12</v>
      </c>
      <c r="U391" s="251">
        <v>3830922576</v>
      </c>
      <c r="V391" s="33" t="s">
        <v>43</v>
      </c>
      <c r="W391" s="127"/>
      <c r="X391" s="206" t="str">
        <f t="shared" si="128"/>
        <v>4.13.01</v>
      </c>
      <c r="Y391" s="207" t="str">
        <f t="shared" si="114"/>
        <v>JALAN</v>
      </c>
      <c r="Z391" s="207">
        <f t="shared" si="115"/>
        <v>10</v>
      </c>
      <c r="AA391" s="233">
        <f t="shared" si="116"/>
        <v>383092256.60000002</v>
      </c>
      <c r="AB391" s="208">
        <f t="shared" si="117"/>
        <v>2</v>
      </c>
      <c r="AC391" s="233">
        <f t="shared" si="118"/>
        <v>766184513.20000005</v>
      </c>
      <c r="AD391" s="233">
        <f t="shared" si="119"/>
        <v>383092256.60000002</v>
      </c>
      <c r="AE391" s="233">
        <f t="shared" si="120"/>
        <v>383092256.60000002</v>
      </c>
      <c r="AF391" s="233">
        <f t="shared" si="121"/>
        <v>383092256.60000002</v>
      </c>
      <c r="AG391" s="233">
        <f t="shared" si="122"/>
        <v>383092256.60000002</v>
      </c>
      <c r="AH391" s="238">
        <f t="shared" si="123"/>
        <v>383092256.60000002</v>
      </c>
      <c r="AI391" s="238">
        <f t="shared" si="124"/>
        <v>2681645796.1999998</v>
      </c>
      <c r="AJ391" s="261">
        <f t="shared" si="125"/>
        <v>2011</v>
      </c>
      <c r="AK391" s="233">
        <f t="shared" si="126"/>
        <v>1149276779.8000002</v>
      </c>
      <c r="AM391" s="116" t="s">
        <v>4245</v>
      </c>
    </row>
    <row r="392" spans="1:39" s="116" customFormat="1" ht="35.25" hidden="1" customHeight="1" x14ac:dyDescent="0.2">
      <c r="B392" s="116" t="e">
        <f t="shared" si="113"/>
        <v>#N/A</v>
      </c>
      <c r="F392" s="218" t="s">
        <v>2304</v>
      </c>
      <c r="G392" s="53"/>
      <c r="H392" s="67" t="s">
        <v>1235</v>
      </c>
      <c r="I392" s="33" t="s">
        <v>2494</v>
      </c>
      <c r="J392" s="63"/>
      <c r="K392" s="33" t="s">
        <v>519</v>
      </c>
      <c r="L392" s="360"/>
      <c r="M392" s="40"/>
      <c r="N392" s="360"/>
      <c r="O392" s="72" t="s">
        <v>3112</v>
      </c>
      <c r="P392" s="33">
        <v>2011</v>
      </c>
      <c r="Q392" s="40"/>
      <c r="R392" s="40"/>
      <c r="S392" s="40"/>
      <c r="T392" s="40" t="s">
        <v>12</v>
      </c>
      <c r="U392" s="251">
        <v>6948665692.3699999</v>
      </c>
      <c r="V392" s="33" t="s">
        <v>43</v>
      </c>
      <c r="W392" s="127">
        <v>1</v>
      </c>
      <c r="X392" s="206" t="str">
        <f t="shared" si="128"/>
        <v>4.13.01</v>
      </c>
      <c r="Y392" s="207" t="str">
        <f t="shared" si="114"/>
        <v>JALAN</v>
      </c>
      <c r="Z392" s="207">
        <f t="shared" si="115"/>
        <v>10</v>
      </c>
      <c r="AA392" s="233">
        <f t="shared" si="116"/>
        <v>694866568.23699999</v>
      </c>
      <c r="AB392" s="208">
        <f t="shared" si="117"/>
        <v>2</v>
      </c>
      <c r="AC392" s="233">
        <f t="shared" si="118"/>
        <v>1389733136.474</v>
      </c>
      <c r="AD392" s="233">
        <f t="shared" si="119"/>
        <v>694866568.23699999</v>
      </c>
      <c r="AE392" s="233">
        <f t="shared" si="120"/>
        <v>694866568.23699999</v>
      </c>
      <c r="AF392" s="233">
        <f t="shared" si="121"/>
        <v>694866568.23699999</v>
      </c>
      <c r="AG392" s="233">
        <f t="shared" si="122"/>
        <v>694866568.23699999</v>
      </c>
      <c r="AH392" s="238">
        <f t="shared" si="123"/>
        <v>694866568.23699999</v>
      </c>
      <c r="AI392" s="238">
        <f t="shared" si="124"/>
        <v>4864065977.6590004</v>
      </c>
      <c r="AJ392" s="261">
        <f t="shared" si="125"/>
        <v>2011</v>
      </c>
      <c r="AK392" s="233">
        <f t="shared" si="126"/>
        <v>2084599714.7109995</v>
      </c>
    </row>
    <row r="393" spans="1:39" s="116" customFormat="1" ht="35.25" hidden="1" customHeight="1" x14ac:dyDescent="0.2">
      <c r="A393" s="116">
        <v>87</v>
      </c>
      <c r="B393" s="116" t="str">
        <f t="shared" si="113"/>
        <v>SEI. BESAR - BTS. SUMBAR</v>
      </c>
      <c r="D393" s="116">
        <v>3</v>
      </c>
      <c r="E393" s="120" t="str">
        <f>A393&amp;"."&amp;D393</f>
        <v>87.3</v>
      </c>
      <c r="F393" s="218" t="s">
        <v>2304</v>
      </c>
      <c r="G393" s="53"/>
      <c r="H393" s="67" t="s">
        <v>1236</v>
      </c>
      <c r="I393" s="33" t="s">
        <v>2494</v>
      </c>
      <c r="J393" s="63"/>
      <c r="K393" s="33" t="s">
        <v>519</v>
      </c>
      <c r="L393" s="360"/>
      <c r="M393" s="40"/>
      <c r="N393" s="360"/>
      <c r="O393" s="72" t="s">
        <v>3141</v>
      </c>
      <c r="P393" s="33">
        <v>2011</v>
      </c>
      <c r="Q393" s="40"/>
      <c r="R393" s="40"/>
      <c r="S393" s="40"/>
      <c r="T393" s="40" t="s">
        <v>12</v>
      </c>
      <c r="U393" s="251">
        <v>7667608917.5499992</v>
      </c>
      <c r="V393" s="33" t="s">
        <v>43</v>
      </c>
      <c r="W393" s="127"/>
      <c r="X393" s="206" t="str">
        <f t="shared" si="128"/>
        <v>4.13.01</v>
      </c>
      <c r="Y393" s="207" t="str">
        <f t="shared" si="114"/>
        <v>JALAN</v>
      </c>
      <c r="Z393" s="207">
        <f t="shared" si="115"/>
        <v>10</v>
      </c>
      <c r="AA393" s="233">
        <f t="shared" si="116"/>
        <v>766760890.75499988</v>
      </c>
      <c r="AB393" s="208">
        <f t="shared" si="117"/>
        <v>2</v>
      </c>
      <c r="AC393" s="233">
        <f t="shared" si="118"/>
        <v>1533521781.5099998</v>
      </c>
      <c r="AD393" s="233">
        <f t="shared" si="119"/>
        <v>766760890.75499988</v>
      </c>
      <c r="AE393" s="233">
        <f t="shared" si="120"/>
        <v>766760890.75499988</v>
      </c>
      <c r="AF393" s="233">
        <f t="shared" si="121"/>
        <v>766760890.75499988</v>
      </c>
      <c r="AG393" s="233">
        <f t="shared" si="122"/>
        <v>766760890.75499988</v>
      </c>
      <c r="AH393" s="238">
        <f t="shared" si="123"/>
        <v>766760890.75499988</v>
      </c>
      <c r="AI393" s="238">
        <f t="shared" si="124"/>
        <v>5367326235.2849998</v>
      </c>
      <c r="AJ393" s="261">
        <f t="shared" si="125"/>
        <v>2011</v>
      </c>
      <c r="AK393" s="233">
        <f t="shared" si="126"/>
        <v>2300282682.2649994</v>
      </c>
      <c r="AM393" s="116" t="s">
        <v>4245</v>
      </c>
    </row>
    <row r="394" spans="1:39" s="116" customFormat="1" ht="35.25" hidden="1" customHeight="1" x14ac:dyDescent="0.2">
      <c r="B394" s="116" t="e">
        <f t="shared" si="113"/>
        <v>#N/A</v>
      </c>
      <c r="F394" s="218" t="s">
        <v>2305</v>
      </c>
      <c r="G394" s="53"/>
      <c r="H394" s="67" t="s">
        <v>1237</v>
      </c>
      <c r="I394" s="33" t="s">
        <v>3824</v>
      </c>
      <c r="J394" s="63"/>
      <c r="K394" s="33" t="s">
        <v>835</v>
      </c>
      <c r="L394" s="360"/>
      <c r="M394" s="40"/>
      <c r="N394" s="360"/>
      <c r="O394" s="72" t="s">
        <v>3142</v>
      </c>
      <c r="P394" s="33">
        <v>2012</v>
      </c>
      <c r="Q394" s="40"/>
      <c r="R394" s="40"/>
      <c r="S394" s="40"/>
      <c r="T394" s="40" t="s">
        <v>12</v>
      </c>
      <c r="U394" s="251">
        <v>8087400</v>
      </c>
      <c r="V394" s="33" t="s">
        <v>43</v>
      </c>
      <c r="W394" s="127"/>
      <c r="X394" s="206" t="str">
        <f t="shared" si="128"/>
        <v>4.13.02</v>
      </c>
      <c r="Y394" s="207" t="str">
        <f t="shared" si="114"/>
        <v>JEMBATAN</v>
      </c>
      <c r="Z394" s="207">
        <f t="shared" si="115"/>
        <v>50</v>
      </c>
      <c r="AA394" s="233">
        <f t="shared" si="116"/>
        <v>161747.79999999999</v>
      </c>
      <c r="AB394" s="208">
        <f t="shared" si="117"/>
        <v>1</v>
      </c>
      <c r="AC394" s="233">
        <f t="shared" si="118"/>
        <v>161747.79999999999</v>
      </c>
      <c r="AD394" s="233">
        <f t="shared" si="119"/>
        <v>161747.79999999999</v>
      </c>
      <c r="AE394" s="233">
        <f t="shared" si="120"/>
        <v>161747.79999999999</v>
      </c>
      <c r="AF394" s="233">
        <f t="shared" si="121"/>
        <v>161747.79999999999</v>
      </c>
      <c r="AG394" s="233">
        <f t="shared" si="122"/>
        <v>161747.79999999999</v>
      </c>
      <c r="AH394" s="238">
        <f t="shared" si="123"/>
        <v>161747.79999999999</v>
      </c>
      <c r="AI394" s="238">
        <f t="shared" si="124"/>
        <v>970486.8</v>
      </c>
      <c r="AJ394" s="261">
        <f t="shared" si="125"/>
        <v>2012</v>
      </c>
      <c r="AK394" s="233">
        <f t="shared" si="126"/>
        <v>7116913.2000000002</v>
      </c>
    </row>
    <row r="395" spans="1:39" s="116" customFormat="1" ht="35.25" hidden="1" customHeight="1" x14ac:dyDescent="0.2">
      <c r="B395" s="116" t="e">
        <f t="shared" si="113"/>
        <v>#N/A</v>
      </c>
      <c r="F395" s="218" t="s">
        <v>2305</v>
      </c>
      <c r="G395" s="53"/>
      <c r="H395" s="67" t="s">
        <v>1238</v>
      </c>
      <c r="I395" s="33" t="s">
        <v>3824</v>
      </c>
      <c r="J395" s="63"/>
      <c r="K395" s="33" t="s">
        <v>835</v>
      </c>
      <c r="L395" s="360"/>
      <c r="M395" s="40"/>
      <c r="N395" s="360"/>
      <c r="O395" s="72" t="s">
        <v>2565</v>
      </c>
      <c r="P395" s="33">
        <v>2012</v>
      </c>
      <c r="Q395" s="40"/>
      <c r="R395" s="40"/>
      <c r="S395" s="40"/>
      <c r="T395" s="40" t="s">
        <v>12</v>
      </c>
      <c r="U395" s="251">
        <v>1131370695.543797</v>
      </c>
      <c r="V395" s="33" t="s">
        <v>43</v>
      </c>
      <c r="W395" s="127"/>
      <c r="X395" s="206" t="str">
        <f t="shared" si="128"/>
        <v>4.13.02</v>
      </c>
      <c r="Y395" s="207" t="str">
        <f t="shared" si="114"/>
        <v>JEMBATAN</v>
      </c>
      <c r="Z395" s="207">
        <f t="shared" si="115"/>
        <v>50</v>
      </c>
      <c r="AA395" s="233">
        <f t="shared" si="116"/>
        <v>22627413.71087594</v>
      </c>
      <c r="AB395" s="208">
        <f t="shared" si="117"/>
        <v>1</v>
      </c>
      <c r="AC395" s="233">
        <f t="shared" si="118"/>
        <v>22627413.71087594</v>
      </c>
      <c r="AD395" s="233">
        <f t="shared" si="119"/>
        <v>22627413.71087594</v>
      </c>
      <c r="AE395" s="233">
        <f t="shared" si="120"/>
        <v>22627413.71087594</v>
      </c>
      <c r="AF395" s="233">
        <f t="shared" si="121"/>
        <v>22627413.71087594</v>
      </c>
      <c r="AG395" s="233">
        <f t="shared" si="122"/>
        <v>22627413.71087594</v>
      </c>
      <c r="AH395" s="238">
        <f t="shared" si="123"/>
        <v>22627413.71087594</v>
      </c>
      <c r="AI395" s="238">
        <f t="shared" si="124"/>
        <v>135764482.26525563</v>
      </c>
      <c r="AJ395" s="261">
        <f t="shared" si="125"/>
        <v>2012</v>
      </c>
      <c r="AK395" s="233">
        <f t="shared" si="126"/>
        <v>995606213.27854133</v>
      </c>
    </row>
    <row r="396" spans="1:39" s="116" customFormat="1" ht="35.25" hidden="1" customHeight="1" x14ac:dyDescent="0.2">
      <c r="B396" s="116" t="e">
        <f t="shared" si="113"/>
        <v>#N/A</v>
      </c>
      <c r="F396" s="218" t="s">
        <v>2304</v>
      </c>
      <c r="G396" s="53"/>
      <c r="H396" s="67" t="s">
        <v>1239</v>
      </c>
      <c r="I396" s="33" t="s">
        <v>2494</v>
      </c>
      <c r="J396" s="63"/>
      <c r="K396" s="33" t="s">
        <v>519</v>
      </c>
      <c r="L396" s="360"/>
      <c r="M396" s="40"/>
      <c r="N396" s="360"/>
      <c r="O396" s="72" t="s">
        <v>3143</v>
      </c>
      <c r="P396" s="33">
        <v>2012</v>
      </c>
      <c r="Q396" s="40"/>
      <c r="R396" s="40"/>
      <c r="S396" s="40"/>
      <c r="T396" s="40" t="s">
        <v>12</v>
      </c>
      <c r="U396" s="251">
        <v>1636229063.0043535</v>
      </c>
      <c r="V396" s="33" t="s">
        <v>43</v>
      </c>
      <c r="W396" s="127"/>
      <c r="X396" s="206" t="str">
        <f t="shared" si="128"/>
        <v>4.13.01</v>
      </c>
      <c r="Y396" s="207" t="str">
        <f t="shared" si="114"/>
        <v>JALAN</v>
      </c>
      <c r="Z396" s="207">
        <f t="shared" si="115"/>
        <v>10</v>
      </c>
      <c r="AA396" s="233">
        <f t="shared" si="116"/>
        <v>163622905.30043536</v>
      </c>
      <c r="AB396" s="208">
        <f t="shared" si="117"/>
        <v>1</v>
      </c>
      <c r="AC396" s="233">
        <f t="shared" si="118"/>
        <v>163622905.30043536</v>
      </c>
      <c r="AD396" s="233">
        <f t="shared" si="119"/>
        <v>163622905.30043536</v>
      </c>
      <c r="AE396" s="233">
        <f t="shared" si="120"/>
        <v>163622905.30043536</v>
      </c>
      <c r="AF396" s="233">
        <f t="shared" si="121"/>
        <v>163622905.30043536</v>
      </c>
      <c r="AG396" s="233">
        <f t="shared" si="122"/>
        <v>163622905.30043536</v>
      </c>
      <c r="AH396" s="238">
        <f t="shared" si="123"/>
        <v>163622905.30043536</v>
      </c>
      <c r="AI396" s="238">
        <f t="shared" si="124"/>
        <v>981737431.80261207</v>
      </c>
      <c r="AJ396" s="261">
        <f t="shared" si="125"/>
        <v>2012</v>
      </c>
      <c r="AK396" s="233">
        <f t="shared" si="126"/>
        <v>654491631.20174146</v>
      </c>
    </row>
    <row r="397" spans="1:39" s="116" customFormat="1" ht="35.25" hidden="1" customHeight="1" x14ac:dyDescent="0.2">
      <c r="A397" s="116">
        <v>190</v>
      </c>
      <c r="B397" s="116" t="str">
        <f t="shared" si="113"/>
        <v>SAMBUNG - KEBUN LADO</v>
      </c>
      <c r="D397" s="116">
        <v>3</v>
      </c>
      <c r="E397" s="116" t="str">
        <f>A397&amp;"."&amp;D397</f>
        <v>190.3</v>
      </c>
      <c r="F397" s="218" t="s">
        <v>2304</v>
      </c>
      <c r="G397" s="53"/>
      <c r="H397" s="67" t="s">
        <v>1240</v>
      </c>
      <c r="I397" s="33" t="s">
        <v>2494</v>
      </c>
      <c r="J397" s="63"/>
      <c r="K397" s="33" t="s">
        <v>519</v>
      </c>
      <c r="L397" s="360"/>
      <c r="M397" s="40"/>
      <c r="N397" s="360"/>
      <c r="O397" s="72" t="s">
        <v>3107</v>
      </c>
      <c r="P397" s="33">
        <v>2012</v>
      </c>
      <c r="Q397" s="40"/>
      <c r="R397" s="40"/>
      <c r="S397" s="40"/>
      <c r="T397" s="40" t="s">
        <v>12</v>
      </c>
      <c r="U397" s="251">
        <v>1136545521.504935</v>
      </c>
      <c r="V397" s="33" t="s">
        <v>43</v>
      </c>
      <c r="W397" s="127">
        <v>2</v>
      </c>
      <c r="X397" s="206" t="str">
        <f t="shared" si="128"/>
        <v>4.13.01</v>
      </c>
      <c r="Y397" s="207" t="str">
        <f t="shared" si="114"/>
        <v>JALAN</v>
      </c>
      <c r="Z397" s="207">
        <f t="shared" si="115"/>
        <v>10</v>
      </c>
      <c r="AA397" s="233">
        <f t="shared" si="116"/>
        <v>113654551.1504935</v>
      </c>
      <c r="AB397" s="208">
        <f t="shared" si="117"/>
        <v>1</v>
      </c>
      <c r="AC397" s="233">
        <f t="shared" si="118"/>
        <v>113654551.1504935</v>
      </c>
      <c r="AD397" s="233">
        <f t="shared" si="119"/>
        <v>113654551.1504935</v>
      </c>
      <c r="AE397" s="233">
        <f t="shared" si="120"/>
        <v>113654551.1504935</v>
      </c>
      <c r="AF397" s="233">
        <f t="shared" si="121"/>
        <v>113654551.1504935</v>
      </c>
      <c r="AG397" s="233">
        <f t="shared" si="122"/>
        <v>113654551.1504935</v>
      </c>
      <c r="AH397" s="238">
        <f t="shared" si="123"/>
        <v>113654551.1504935</v>
      </c>
      <c r="AI397" s="238">
        <f t="shared" si="124"/>
        <v>681927306.90296102</v>
      </c>
      <c r="AJ397" s="261">
        <f t="shared" si="125"/>
        <v>2012</v>
      </c>
      <c r="AK397" s="233">
        <f t="shared" si="126"/>
        <v>454618214.60197401</v>
      </c>
      <c r="AM397" s="116" t="s">
        <v>4245</v>
      </c>
    </row>
    <row r="398" spans="1:39" s="116" customFormat="1" ht="35.25" hidden="1" customHeight="1" x14ac:dyDescent="0.2">
      <c r="B398" s="116" t="e">
        <f t="shared" si="113"/>
        <v>#N/A</v>
      </c>
      <c r="F398" s="218" t="s">
        <v>2304</v>
      </c>
      <c r="G398" s="53"/>
      <c r="H398" s="67" t="s">
        <v>1241</v>
      </c>
      <c r="I398" s="33" t="s">
        <v>2494</v>
      </c>
      <c r="J398" s="63"/>
      <c r="K398" s="33" t="s">
        <v>519</v>
      </c>
      <c r="L398" s="360"/>
      <c r="M398" s="40"/>
      <c r="N398" s="360"/>
      <c r="O398" s="72" t="s">
        <v>3144</v>
      </c>
      <c r="P398" s="33">
        <v>2012</v>
      </c>
      <c r="Q398" s="40"/>
      <c r="R398" s="40"/>
      <c r="S398" s="40"/>
      <c r="T398" s="40" t="s">
        <v>12</v>
      </c>
      <c r="U398" s="251">
        <v>1244781279.9893248</v>
      </c>
      <c r="V398" s="33" t="s">
        <v>43</v>
      </c>
      <c r="W398" s="127"/>
      <c r="X398" s="206" t="str">
        <f t="shared" si="128"/>
        <v>4.13.01</v>
      </c>
      <c r="Y398" s="207" t="str">
        <f t="shared" si="114"/>
        <v>JALAN</v>
      </c>
      <c r="Z398" s="207">
        <f t="shared" si="115"/>
        <v>10</v>
      </c>
      <c r="AA398" s="233">
        <f t="shared" si="116"/>
        <v>124478126.99893248</v>
      </c>
      <c r="AB398" s="208">
        <f t="shared" si="117"/>
        <v>1</v>
      </c>
      <c r="AC398" s="233">
        <f t="shared" si="118"/>
        <v>124478126.99893248</v>
      </c>
      <c r="AD398" s="233">
        <f t="shared" si="119"/>
        <v>124478126.99893248</v>
      </c>
      <c r="AE398" s="233">
        <f t="shared" si="120"/>
        <v>124478126.99893248</v>
      </c>
      <c r="AF398" s="233">
        <f t="shared" si="121"/>
        <v>124478126.99893248</v>
      </c>
      <c r="AG398" s="233">
        <f t="shared" si="122"/>
        <v>124478126.99893248</v>
      </c>
      <c r="AH398" s="238">
        <f t="shared" si="123"/>
        <v>124478126.99893248</v>
      </c>
      <c r="AI398" s="238">
        <f t="shared" si="124"/>
        <v>746868761.99359488</v>
      </c>
      <c r="AJ398" s="261">
        <f t="shared" si="125"/>
        <v>2012</v>
      </c>
      <c r="AK398" s="233">
        <f t="shared" si="126"/>
        <v>497912517.99572992</v>
      </c>
    </row>
    <row r="399" spans="1:39" s="116" customFormat="1" ht="35.25" hidden="1" customHeight="1" x14ac:dyDescent="0.2">
      <c r="B399" s="116" t="e">
        <f t="shared" si="113"/>
        <v>#N/A</v>
      </c>
      <c r="F399" s="218" t="s">
        <v>2304</v>
      </c>
      <c r="G399" s="53"/>
      <c r="H399" s="67" t="s">
        <v>1242</v>
      </c>
      <c r="I399" s="33" t="s">
        <v>2494</v>
      </c>
      <c r="J399" s="63"/>
      <c r="K399" s="33" t="s">
        <v>519</v>
      </c>
      <c r="L399" s="360"/>
      <c r="M399" s="40"/>
      <c r="N399" s="360"/>
      <c r="O399" s="72" t="s">
        <v>680</v>
      </c>
      <c r="P399" s="33">
        <v>2012</v>
      </c>
      <c r="Q399" s="40"/>
      <c r="R399" s="40"/>
      <c r="S399" s="40"/>
      <c r="T399" s="40" t="s">
        <v>12</v>
      </c>
      <c r="U399" s="251">
        <v>2776676476.1366801</v>
      </c>
      <c r="V399" s="33" t="s">
        <v>43</v>
      </c>
      <c r="W399" s="127"/>
      <c r="X399" s="206" t="str">
        <f t="shared" si="128"/>
        <v>4.13.01</v>
      </c>
      <c r="Y399" s="207" t="str">
        <f t="shared" si="114"/>
        <v>JALAN</v>
      </c>
      <c r="Z399" s="207">
        <f t="shared" si="115"/>
        <v>10</v>
      </c>
      <c r="AA399" s="233">
        <f t="shared" si="116"/>
        <v>277667646.61366802</v>
      </c>
      <c r="AB399" s="208">
        <f t="shared" si="117"/>
        <v>1</v>
      </c>
      <c r="AC399" s="233">
        <f t="shared" si="118"/>
        <v>277667646.61366802</v>
      </c>
      <c r="AD399" s="233">
        <f t="shared" si="119"/>
        <v>277667646.61366802</v>
      </c>
      <c r="AE399" s="233">
        <f t="shared" si="120"/>
        <v>277667646.61366802</v>
      </c>
      <c r="AF399" s="233">
        <f t="shared" si="121"/>
        <v>277667646.61366802</v>
      </c>
      <c r="AG399" s="233">
        <f t="shared" si="122"/>
        <v>277667646.61366802</v>
      </c>
      <c r="AH399" s="238">
        <f t="shared" si="123"/>
        <v>277667646.61366802</v>
      </c>
      <c r="AI399" s="238">
        <f t="shared" si="124"/>
        <v>1666005879.682008</v>
      </c>
      <c r="AJ399" s="261">
        <f t="shared" si="125"/>
        <v>2012</v>
      </c>
      <c r="AK399" s="233">
        <f t="shared" si="126"/>
        <v>1110670596.4546721</v>
      </c>
    </row>
    <row r="400" spans="1:39" s="116" customFormat="1" ht="35.25" hidden="1" customHeight="1" x14ac:dyDescent="0.2">
      <c r="B400" s="116" t="e">
        <f t="shared" si="113"/>
        <v>#N/A</v>
      </c>
      <c r="F400" s="218" t="s">
        <v>2304</v>
      </c>
      <c r="G400" s="53"/>
      <c r="H400" s="67" t="s">
        <v>1243</v>
      </c>
      <c r="I400" s="33" t="s">
        <v>2494</v>
      </c>
      <c r="J400" s="63"/>
      <c r="K400" s="33" t="s">
        <v>519</v>
      </c>
      <c r="L400" s="360"/>
      <c r="M400" s="40"/>
      <c r="N400" s="360"/>
      <c r="O400" s="72" t="s">
        <v>2573</v>
      </c>
      <c r="P400" s="33">
        <v>2012</v>
      </c>
      <c r="Q400" s="40"/>
      <c r="R400" s="40"/>
      <c r="S400" s="40"/>
      <c r="T400" s="40" t="s">
        <v>12</v>
      </c>
      <c r="U400" s="251">
        <v>1560463250.3707366</v>
      </c>
      <c r="V400" s="33" t="s">
        <v>43</v>
      </c>
      <c r="W400" s="127"/>
      <c r="X400" s="206" t="str">
        <f t="shared" si="128"/>
        <v>4.13.01</v>
      </c>
      <c r="Y400" s="207" t="str">
        <f t="shared" si="114"/>
        <v>JALAN</v>
      </c>
      <c r="Z400" s="207">
        <f t="shared" si="115"/>
        <v>10</v>
      </c>
      <c r="AA400" s="233">
        <f t="shared" si="116"/>
        <v>156046324.03707367</v>
      </c>
      <c r="AB400" s="208">
        <f t="shared" si="117"/>
        <v>1</v>
      </c>
      <c r="AC400" s="233">
        <f t="shared" si="118"/>
        <v>156046324.03707367</v>
      </c>
      <c r="AD400" s="233">
        <f t="shared" si="119"/>
        <v>156046324.03707367</v>
      </c>
      <c r="AE400" s="233">
        <f t="shared" si="120"/>
        <v>156046324.03707367</v>
      </c>
      <c r="AF400" s="233">
        <f t="shared" si="121"/>
        <v>156046324.03707367</v>
      </c>
      <c r="AG400" s="233">
        <f t="shared" si="122"/>
        <v>156046324.03707367</v>
      </c>
      <c r="AH400" s="238">
        <f t="shared" si="123"/>
        <v>156046324.03707367</v>
      </c>
      <c r="AI400" s="238">
        <f t="shared" si="124"/>
        <v>936277944.22244191</v>
      </c>
      <c r="AJ400" s="261">
        <f t="shared" si="125"/>
        <v>2012</v>
      </c>
      <c r="AK400" s="233">
        <f t="shared" si="126"/>
        <v>624185306.14829469</v>
      </c>
    </row>
    <row r="401" spans="1:39" s="116" customFormat="1" ht="35.25" hidden="1" customHeight="1" x14ac:dyDescent="0.2">
      <c r="B401" s="116" t="e">
        <f t="shared" si="113"/>
        <v>#N/A</v>
      </c>
      <c r="F401" s="218" t="s">
        <v>2304</v>
      </c>
      <c r="G401" s="53"/>
      <c r="H401" s="67" t="s">
        <v>1244</v>
      </c>
      <c r="I401" s="33" t="s">
        <v>2494</v>
      </c>
      <c r="J401" s="63"/>
      <c r="K401" s="33" t="s">
        <v>519</v>
      </c>
      <c r="L401" s="360"/>
      <c r="M401" s="40"/>
      <c r="N401" s="360"/>
      <c r="O401" s="72" t="s">
        <v>3145</v>
      </c>
      <c r="P401" s="33">
        <v>2012</v>
      </c>
      <c r="Q401" s="40"/>
      <c r="R401" s="40"/>
      <c r="S401" s="40"/>
      <c r="T401" s="40" t="s">
        <v>12</v>
      </c>
      <c r="U401" s="251">
        <v>410267652.64856702</v>
      </c>
      <c r="V401" s="33" t="s">
        <v>43</v>
      </c>
      <c r="W401" s="127"/>
      <c r="X401" s="206" t="str">
        <f t="shared" si="128"/>
        <v>4.13.01</v>
      </c>
      <c r="Y401" s="207" t="str">
        <f t="shared" si="114"/>
        <v>JALAN</v>
      </c>
      <c r="Z401" s="207">
        <f t="shared" si="115"/>
        <v>10</v>
      </c>
      <c r="AA401" s="233">
        <f t="shared" si="116"/>
        <v>41026764.264856704</v>
      </c>
      <c r="AB401" s="208">
        <f t="shared" si="117"/>
        <v>1</v>
      </c>
      <c r="AC401" s="233">
        <f t="shared" si="118"/>
        <v>41026764.264856704</v>
      </c>
      <c r="AD401" s="233">
        <f t="shared" si="119"/>
        <v>41026764.264856704</v>
      </c>
      <c r="AE401" s="233">
        <f t="shared" si="120"/>
        <v>41026764.264856704</v>
      </c>
      <c r="AF401" s="233">
        <f t="shared" si="121"/>
        <v>41026764.264856704</v>
      </c>
      <c r="AG401" s="233">
        <f t="shared" si="122"/>
        <v>41026764.264856704</v>
      </c>
      <c r="AH401" s="238">
        <f t="shared" si="123"/>
        <v>41026764.264856704</v>
      </c>
      <c r="AI401" s="238">
        <f t="shared" si="124"/>
        <v>246160585.58914021</v>
      </c>
      <c r="AJ401" s="261">
        <f t="shared" si="125"/>
        <v>2012</v>
      </c>
      <c r="AK401" s="233">
        <f t="shared" si="126"/>
        <v>164107067.05942681</v>
      </c>
    </row>
    <row r="402" spans="1:39" s="116" customFormat="1" ht="35.25" hidden="1" customHeight="1" x14ac:dyDescent="0.2">
      <c r="A402" s="417">
        <v>235</v>
      </c>
      <c r="B402" s="417" t="str">
        <f t="shared" si="113"/>
        <v>AIR MAS - SEI. KERANJI</v>
      </c>
      <c r="D402" s="116">
        <v>1</v>
      </c>
      <c r="E402" s="1" t="str">
        <f>A402&amp;"."&amp;D402</f>
        <v>235.1</v>
      </c>
      <c r="F402" s="218" t="s">
        <v>2304</v>
      </c>
      <c r="G402" s="53"/>
      <c r="H402" s="67" t="s">
        <v>1245</v>
      </c>
      <c r="I402" s="33" t="s">
        <v>2494</v>
      </c>
      <c r="J402" s="63"/>
      <c r="K402" s="33" t="s">
        <v>519</v>
      </c>
      <c r="L402" s="360"/>
      <c r="M402" s="40"/>
      <c r="N402" s="360"/>
      <c r="O402" s="72" t="s">
        <v>3146</v>
      </c>
      <c r="P402" s="33">
        <v>2012</v>
      </c>
      <c r="Q402" s="40"/>
      <c r="R402" s="40"/>
      <c r="S402" s="40"/>
      <c r="T402" s="40" t="s">
        <v>12</v>
      </c>
      <c r="U402" s="251">
        <v>3314762916.41675</v>
      </c>
      <c r="V402" s="33" t="s">
        <v>43</v>
      </c>
      <c r="W402" s="127"/>
      <c r="X402" s="206" t="str">
        <f t="shared" si="128"/>
        <v>4.13.01</v>
      </c>
      <c r="Y402" s="207" t="str">
        <f t="shared" si="114"/>
        <v>JALAN</v>
      </c>
      <c r="Z402" s="207">
        <f t="shared" si="115"/>
        <v>10</v>
      </c>
      <c r="AA402" s="233">
        <f t="shared" si="116"/>
        <v>331476290.641675</v>
      </c>
      <c r="AB402" s="208">
        <f t="shared" si="117"/>
        <v>1</v>
      </c>
      <c r="AC402" s="233">
        <f t="shared" si="118"/>
        <v>331476290.641675</v>
      </c>
      <c r="AD402" s="233">
        <f t="shared" si="119"/>
        <v>331476290.641675</v>
      </c>
      <c r="AE402" s="233">
        <f t="shared" si="120"/>
        <v>331476290.641675</v>
      </c>
      <c r="AF402" s="233">
        <f t="shared" si="121"/>
        <v>331476290.641675</v>
      </c>
      <c r="AG402" s="233">
        <f t="shared" si="122"/>
        <v>331476290.641675</v>
      </c>
      <c r="AH402" s="238">
        <f t="shared" si="123"/>
        <v>331476290.641675</v>
      </c>
      <c r="AI402" s="238">
        <f t="shared" si="124"/>
        <v>1988857743.85005</v>
      </c>
      <c r="AJ402" s="261">
        <f t="shared" si="125"/>
        <v>2012</v>
      </c>
      <c r="AK402" s="233">
        <f t="shared" si="126"/>
        <v>1325905172.5667</v>
      </c>
    </row>
    <row r="403" spans="1:39" s="116" customFormat="1" ht="35.25" hidden="1" customHeight="1" x14ac:dyDescent="0.2">
      <c r="B403" s="116" t="e">
        <f t="shared" si="113"/>
        <v>#N/A</v>
      </c>
      <c r="F403" s="218" t="s">
        <v>2304</v>
      </c>
      <c r="G403" s="53"/>
      <c r="H403" s="67" t="s">
        <v>1246</v>
      </c>
      <c r="I403" s="33" t="s">
        <v>2494</v>
      </c>
      <c r="J403" s="63"/>
      <c r="K403" s="33" t="s">
        <v>519</v>
      </c>
      <c r="L403" s="360"/>
      <c r="M403" s="40"/>
      <c r="N403" s="360"/>
      <c r="O403" s="72" t="s">
        <v>3147</v>
      </c>
      <c r="P403" s="33">
        <v>2012</v>
      </c>
      <c r="Q403" s="40"/>
      <c r="R403" s="40"/>
      <c r="S403" s="40"/>
      <c r="T403" s="40" t="s">
        <v>12</v>
      </c>
      <c r="U403" s="251">
        <v>3138518318.2668023</v>
      </c>
      <c r="V403" s="33" t="s">
        <v>43</v>
      </c>
      <c r="W403" s="127"/>
      <c r="X403" s="206" t="str">
        <f t="shared" si="128"/>
        <v>4.13.01</v>
      </c>
      <c r="Y403" s="207" t="str">
        <f t="shared" si="114"/>
        <v>JALAN</v>
      </c>
      <c r="Z403" s="207">
        <f t="shared" si="115"/>
        <v>10</v>
      </c>
      <c r="AA403" s="233">
        <f t="shared" si="116"/>
        <v>313851830.82668024</v>
      </c>
      <c r="AB403" s="208">
        <f t="shared" si="117"/>
        <v>1</v>
      </c>
      <c r="AC403" s="233">
        <f t="shared" si="118"/>
        <v>313851830.82668024</v>
      </c>
      <c r="AD403" s="233">
        <f t="shared" si="119"/>
        <v>313851830.82668024</v>
      </c>
      <c r="AE403" s="233">
        <f t="shared" si="120"/>
        <v>313851830.82668024</v>
      </c>
      <c r="AF403" s="233">
        <f t="shared" si="121"/>
        <v>313851830.82668024</v>
      </c>
      <c r="AG403" s="233">
        <f t="shared" si="122"/>
        <v>313851830.82668024</v>
      </c>
      <c r="AH403" s="238">
        <f t="shared" si="123"/>
        <v>313851830.82668024</v>
      </c>
      <c r="AI403" s="238">
        <f t="shared" si="124"/>
        <v>1883110984.9600813</v>
      </c>
      <c r="AJ403" s="261">
        <f t="shared" si="125"/>
        <v>2012</v>
      </c>
      <c r="AK403" s="233">
        <f t="shared" si="126"/>
        <v>1255407333.306721</v>
      </c>
    </row>
    <row r="404" spans="1:39" s="116" customFormat="1" ht="35.25" hidden="1" customHeight="1" x14ac:dyDescent="0.2">
      <c r="B404" s="116" t="e">
        <f t="shared" si="113"/>
        <v>#N/A</v>
      </c>
      <c r="F404" s="218" t="s">
        <v>2304</v>
      </c>
      <c r="G404" s="53"/>
      <c r="H404" s="67" t="s">
        <v>1247</v>
      </c>
      <c r="I404" s="33" t="s">
        <v>2494</v>
      </c>
      <c r="J404" s="63"/>
      <c r="K404" s="33" t="s">
        <v>519</v>
      </c>
      <c r="L404" s="360"/>
      <c r="M404" s="40"/>
      <c r="N404" s="360"/>
      <c r="O404" s="72" t="s">
        <v>3148</v>
      </c>
      <c r="P404" s="33">
        <v>2012</v>
      </c>
      <c r="Q404" s="40"/>
      <c r="R404" s="40"/>
      <c r="S404" s="40"/>
      <c r="T404" s="40" t="s">
        <v>12</v>
      </c>
      <c r="U404" s="251">
        <v>3248767238.5415602</v>
      </c>
      <c r="V404" s="33" t="s">
        <v>43</v>
      </c>
      <c r="W404" s="127"/>
      <c r="X404" s="206" t="str">
        <f t="shared" si="128"/>
        <v>4.13.01</v>
      </c>
      <c r="Y404" s="207" t="str">
        <f t="shared" si="114"/>
        <v>JALAN</v>
      </c>
      <c r="Z404" s="207">
        <f t="shared" si="115"/>
        <v>10</v>
      </c>
      <c r="AA404" s="233">
        <f t="shared" si="116"/>
        <v>324876722.85415602</v>
      </c>
      <c r="AB404" s="208">
        <f t="shared" si="117"/>
        <v>1</v>
      </c>
      <c r="AC404" s="233">
        <f t="shared" si="118"/>
        <v>324876722.85415602</v>
      </c>
      <c r="AD404" s="233">
        <f t="shared" si="119"/>
        <v>324876722.85415602</v>
      </c>
      <c r="AE404" s="233">
        <f t="shared" si="120"/>
        <v>324876722.85415602</v>
      </c>
      <c r="AF404" s="233">
        <f t="shared" si="121"/>
        <v>324876722.85415602</v>
      </c>
      <c r="AG404" s="233">
        <f t="shared" si="122"/>
        <v>324876722.85415602</v>
      </c>
      <c r="AH404" s="238">
        <f t="shared" si="123"/>
        <v>324876722.85415602</v>
      </c>
      <c r="AI404" s="238">
        <f t="shared" si="124"/>
        <v>1949260337.1249361</v>
      </c>
      <c r="AJ404" s="261">
        <f t="shared" si="125"/>
        <v>2012</v>
      </c>
      <c r="AK404" s="233">
        <f t="shared" si="126"/>
        <v>1299506901.4166241</v>
      </c>
    </row>
    <row r="405" spans="1:39" s="116" customFormat="1" ht="35.25" hidden="1" customHeight="1" x14ac:dyDescent="0.2">
      <c r="B405" s="116" t="e">
        <f t="shared" si="113"/>
        <v>#N/A</v>
      </c>
      <c r="F405" s="218" t="s">
        <v>2304</v>
      </c>
      <c r="G405" s="53"/>
      <c r="H405" s="67" t="s">
        <v>1248</v>
      </c>
      <c r="I405" s="33" t="s">
        <v>2494</v>
      </c>
      <c r="J405" s="63"/>
      <c r="K405" s="33" t="s">
        <v>519</v>
      </c>
      <c r="L405" s="360"/>
      <c r="M405" s="40"/>
      <c r="N405" s="360"/>
      <c r="O405" s="72" t="s">
        <v>3149</v>
      </c>
      <c r="P405" s="33">
        <v>2012</v>
      </c>
      <c r="Q405" s="40"/>
      <c r="R405" s="40"/>
      <c r="S405" s="40"/>
      <c r="T405" s="40" t="s">
        <v>12</v>
      </c>
      <c r="U405" s="251">
        <v>1467969946.0446103</v>
      </c>
      <c r="V405" s="33" t="s">
        <v>43</v>
      </c>
      <c r="W405" s="127"/>
      <c r="X405" s="206" t="str">
        <f t="shared" si="128"/>
        <v>4.13.01</v>
      </c>
      <c r="Y405" s="207" t="str">
        <f t="shared" si="114"/>
        <v>JALAN</v>
      </c>
      <c r="Z405" s="207">
        <f t="shared" si="115"/>
        <v>10</v>
      </c>
      <c r="AA405" s="233">
        <f t="shared" si="116"/>
        <v>146796993.60446101</v>
      </c>
      <c r="AB405" s="208">
        <f t="shared" si="117"/>
        <v>1</v>
      </c>
      <c r="AC405" s="233">
        <f t="shared" si="118"/>
        <v>146796993.60446101</v>
      </c>
      <c r="AD405" s="233">
        <f t="shared" si="119"/>
        <v>146796993.60446101</v>
      </c>
      <c r="AE405" s="233">
        <f t="shared" si="120"/>
        <v>146796993.60446101</v>
      </c>
      <c r="AF405" s="233">
        <f t="shared" si="121"/>
        <v>146796993.60446101</v>
      </c>
      <c r="AG405" s="233">
        <f t="shared" si="122"/>
        <v>146796993.60446101</v>
      </c>
      <c r="AH405" s="238">
        <f t="shared" si="123"/>
        <v>146796993.60446101</v>
      </c>
      <c r="AI405" s="238">
        <f t="shared" si="124"/>
        <v>880781961.62676597</v>
      </c>
      <c r="AJ405" s="261">
        <f t="shared" si="125"/>
        <v>2012</v>
      </c>
      <c r="AK405" s="233">
        <f t="shared" si="126"/>
        <v>587187984.4178443</v>
      </c>
    </row>
    <row r="406" spans="1:39" s="116" customFormat="1" ht="35.25" hidden="1" customHeight="1" x14ac:dyDescent="0.2">
      <c r="B406" s="116" t="e">
        <f t="shared" si="113"/>
        <v>#N/A</v>
      </c>
      <c r="F406" s="218" t="s">
        <v>2304</v>
      </c>
      <c r="G406" s="53"/>
      <c r="H406" s="67" t="s">
        <v>1249</v>
      </c>
      <c r="I406" s="33" t="s">
        <v>2494</v>
      </c>
      <c r="J406" s="63"/>
      <c r="K406" s="33" t="s">
        <v>519</v>
      </c>
      <c r="L406" s="360"/>
      <c r="M406" s="40"/>
      <c r="N406" s="360"/>
      <c r="O406" s="72" t="s">
        <v>3087</v>
      </c>
      <c r="P406" s="33">
        <v>2012</v>
      </c>
      <c r="Q406" s="40"/>
      <c r="R406" s="40"/>
      <c r="S406" s="40"/>
      <c r="T406" s="40" t="s">
        <v>12</v>
      </c>
      <c r="U406" s="251">
        <v>3429496091.4810162</v>
      </c>
      <c r="V406" s="33" t="s">
        <v>43</v>
      </c>
      <c r="W406" s="127"/>
      <c r="X406" s="206" t="str">
        <f t="shared" si="128"/>
        <v>4.13.01</v>
      </c>
      <c r="Y406" s="207" t="str">
        <f t="shared" si="114"/>
        <v>JALAN</v>
      </c>
      <c r="Z406" s="207">
        <f t="shared" si="115"/>
        <v>10</v>
      </c>
      <c r="AA406" s="233">
        <f t="shared" si="116"/>
        <v>342949608.14810163</v>
      </c>
      <c r="AB406" s="208">
        <f t="shared" si="117"/>
        <v>1</v>
      </c>
      <c r="AC406" s="233">
        <f t="shared" si="118"/>
        <v>342949608.14810163</v>
      </c>
      <c r="AD406" s="233">
        <f t="shared" si="119"/>
        <v>342949608.14810163</v>
      </c>
      <c r="AE406" s="233">
        <f t="shared" si="120"/>
        <v>342949608.14810163</v>
      </c>
      <c r="AF406" s="233">
        <f t="shared" si="121"/>
        <v>342949608.14810163</v>
      </c>
      <c r="AG406" s="233">
        <f t="shared" si="122"/>
        <v>342949608.14810163</v>
      </c>
      <c r="AH406" s="238">
        <f t="shared" si="123"/>
        <v>342949608.14810163</v>
      </c>
      <c r="AI406" s="238">
        <f t="shared" si="124"/>
        <v>2057697648.8886096</v>
      </c>
      <c r="AJ406" s="261">
        <f t="shared" si="125"/>
        <v>2012</v>
      </c>
      <c r="AK406" s="233">
        <f t="shared" si="126"/>
        <v>1371798442.5924065</v>
      </c>
    </row>
    <row r="407" spans="1:39" s="116" customFormat="1" ht="35.25" hidden="1" customHeight="1" x14ac:dyDescent="0.2">
      <c r="B407" s="116" t="e">
        <f t="shared" si="113"/>
        <v>#N/A</v>
      </c>
      <c r="F407" s="218" t="s">
        <v>2304</v>
      </c>
      <c r="G407" s="53"/>
      <c r="H407" s="67" t="s">
        <v>1250</v>
      </c>
      <c r="I407" s="33" t="s">
        <v>2494</v>
      </c>
      <c r="J407" s="63"/>
      <c r="K407" s="33" t="s">
        <v>519</v>
      </c>
      <c r="L407" s="360"/>
      <c r="M407" s="40"/>
      <c r="N407" s="360"/>
      <c r="O407" s="72" t="s">
        <v>3150</v>
      </c>
      <c r="P407" s="33">
        <v>2012</v>
      </c>
      <c r="Q407" s="40"/>
      <c r="R407" s="40"/>
      <c r="S407" s="40"/>
      <c r="T407" s="40" t="s">
        <v>12</v>
      </c>
      <c r="U407" s="251">
        <v>2671864502.9721117</v>
      </c>
      <c r="V407" s="33" t="s">
        <v>43</v>
      </c>
      <c r="W407" s="127"/>
      <c r="X407" s="206" t="str">
        <f t="shared" si="128"/>
        <v>4.13.01</v>
      </c>
      <c r="Y407" s="207" t="str">
        <f t="shared" si="114"/>
        <v>JALAN</v>
      </c>
      <c r="Z407" s="207">
        <f t="shared" si="115"/>
        <v>10</v>
      </c>
      <c r="AA407" s="233">
        <f t="shared" si="116"/>
        <v>267186449.29721117</v>
      </c>
      <c r="AB407" s="208">
        <f t="shared" si="117"/>
        <v>1</v>
      </c>
      <c r="AC407" s="233">
        <f t="shared" si="118"/>
        <v>267186449.29721117</v>
      </c>
      <c r="AD407" s="233">
        <f t="shared" si="119"/>
        <v>267186449.29721117</v>
      </c>
      <c r="AE407" s="233">
        <f t="shared" si="120"/>
        <v>267186449.29721117</v>
      </c>
      <c r="AF407" s="233">
        <f t="shared" si="121"/>
        <v>267186449.29721117</v>
      </c>
      <c r="AG407" s="233">
        <f t="shared" si="122"/>
        <v>267186449.29721117</v>
      </c>
      <c r="AH407" s="238">
        <f t="shared" si="123"/>
        <v>267186449.29721117</v>
      </c>
      <c r="AI407" s="238">
        <f t="shared" si="124"/>
        <v>1603118695.783267</v>
      </c>
      <c r="AJ407" s="261">
        <f t="shared" si="125"/>
        <v>2012</v>
      </c>
      <c r="AK407" s="233">
        <f t="shared" si="126"/>
        <v>1068745807.1888447</v>
      </c>
    </row>
    <row r="408" spans="1:39" s="116" customFormat="1" ht="35.25" hidden="1" customHeight="1" x14ac:dyDescent="0.2">
      <c r="B408" s="116" t="e">
        <f t="shared" si="113"/>
        <v>#N/A</v>
      </c>
      <c r="F408" s="218" t="s">
        <v>2304</v>
      </c>
      <c r="G408" s="53"/>
      <c r="H408" s="67" t="s">
        <v>1251</v>
      </c>
      <c r="I408" s="33" t="s">
        <v>2494</v>
      </c>
      <c r="J408" s="63"/>
      <c r="K408" s="33" t="s">
        <v>519</v>
      </c>
      <c r="L408" s="360"/>
      <c r="M408" s="40"/>
      <c r="N408" s="360"/>
      <c r="O408" s="72" t="s">
        <v>3151</v>
      </c>
      <c r="P408" s="33">
        <v>2012</v>
      </c>
      <c r="Q408" s="40"/>
      <c r="R408" s="40"/>
      <c r="S408" s="40"/>
      <c r="T408" s="40" t="s">
        <v>12</v>
      </c>
      <c r="U408" s="251">
        <v>4766925638.6591597</v>
      </c>
      <c r="V408" s="33" t="s">
        <v>43</v>
      </c>
      <c r="W408" s="127"/>
      <c r="X408" s="206" t="str">
        <f t="shared" si="128"/>
        <v>4.13.01</v>
      </c>
      <c r="Y408" s="207" t="str">
        <f t="shared" si="114"/>
        <v>JALAN</v>
      </c>
      <c r="Z408" s="207">
        <f t="shared" si="115"/>
        <v>10</v>
      </c>
      <c r="AA408" s="233">
        <f t="shared" si="116"/>
        <v>476692562.86591595</v>
      </c>
      <c r="AB408" s="208">
        <f t="shared" si="117"/>
        <v>1</v>
      </c>
      <c r="AC408" s="233">
        <f t="shared" si="118"/>
        <v>476692562.86591595</v>
      </c>
      <c r="AD408" s="233">
        <f t="shared" si="119"/>
        <v>476692562.86591595</v>
      </c>
      <c r="AE408" s="233">
        <f t="shared" si="120"/>
        <v>476692562.86591595</v>
      </c>
      <c r="AF408" s="233">
        <f t="shared" si="121"/>
        <v>476692562.86591595</v>
      </c>
      <c r="AG408" s="233">
        <f t="shared" si="122"/>
        <v>476692562.86591595</v>
      </c>
      <c r="AH408" s="238">
        <f t="shared" si="123"/>
        <v>476692562.86591595</v>
      </c>
      <c r="AI408" s="238">
        <f t="shared" si="124"/>
        <v>2860155377.1954956</v>
      </c>
      <c r="AJ408" s="261">
        <f t="shared" si="125"/>
        <v>2012</v>
      </c>
      <c r="AK408" s="233">
        <f t="shared" si="126"/>
        <v>1906770261.4636641</v>
      </c>
    </row>
    <row r="409" spans="1:39" s="116" customFormat="1" ht="35.25" hidden="1" customHeight="1" x14ac:dyDescent="0.2">
      <c r="A409" s="116">
        <v>86</v>
      </c>
      <c r="B409" s="116" t="str">
        <f t="shared" si="113"/>
        <v>PANTAI - AIR BULUH</v>
      </c>
      <c r="D409" s="116">
        <v>4</v>
      </c>
      <c r="E409" s="120" t="str">
        <f>A409&amp;"."&amp;D409</f>
        <v>86.4</v>
      </c>
      <c r="F409" s="218" t="s">
        <v>2304</v>
      </c>
      <c r="G409" s="53"/>
      <c r="H409" s="67" t="s">
        <v>1252</v>
      </c>
      <c r="I409" s="33" t="s">
        <v>2494</v>
      </c>
      <c r="J409" s="63"/>
      <c r="K409" s="33" t="s">
        <v>519</v>
      </c>
      <c r="L409" s="360"/>
      <c r="M409" s="40"/>
      <c r="N409" s="360"/>
      <c r="O409" s="72" t="s">
        <v>628</v>
      </c>
      <c r="P409" s="33">
        <v>2012</v>
      </c>
      <c r="Q409" s="40"/>
      <c r="R409" s="40"/>
      <c r="S409" s="40"/>
      <c r="T409" s="40" t="s">
        <v>12</v>
      </c>
      <c r="U409" s="251">
        <v>1598810500.7151661</v>
      </c>
      <c r="V409" s="33" t="s">
        <v>43</v>
      </c>
      <c r="W409" s="127"/>
      <c r="X409" s="206" t="str">
        <f t="shared" si="128"/>
        <v>4.13.01</v>
      </c>
      <c r="Y409" s="207" t="str">
        <f t="shared" si="114"/>
        <v>JALAN</v>
      </c>
      <c r="Z409" s="207">
        <f t="shared" si="115"/>
        <v>10</v>
      </c>
      <c r="AA409" s="233">
        <f t="shared" si="116"/>
        <v>159881049.0715166</v>
      </c>
      <c r="AB409" s="208">
        <f t="shared" si="117"/>
        <v>1</v>
      </c>
      <c r="AC409" s="233">
        <f t="shared" si="118"/>
        <v>159881049.0715166</v>
      </c>
      <c r="AD409" s="233">
        <f t="shared" si="119"/>
        <v>159881049.0715166</v>
      </c>
      <c r="AE409" s="233">
        <f t="shared" si="120"/>
        <v>159881049.0715166</v>
      </c>
      <c r="AF409" s="233">
        <f t="shared" si="121"/>
        <v>159881049.0715166</v>
      </c>
      <c r="AG409" s="233">
        <f t="shared" si="122"/>
        <v>159881049.0715166</v>
      </c>
      <c r="AH409" s="238">
        <f t="shared" si="123"/>
        <v>159881049.0715166</v>
      </c>
      <c r="AI409" s="238">
        <f t="shared" si="124"/>
        <v>959286294.42909968</v>
      </c>
      <c r="AJ409" s="261">
        <f t="shared" si="125"/>
        <v>2012</v>
      </c>
      <c r="AK409" s="233">
        <f t="shared" si="126"/>
        <v>639524206.28606641</v>
      </c>
      <c r="AM409" s="116" t="s">
        <v>4245</v>
      </c>
    </row>
    <row r="410" spans="1:39" s="116" customFormat="1" ht="35.25" hidden="1" customHeight="1" x14ac:dyDescent="0.2">
      <c r="B410" s="116" t="e">
        <f t="shared" si="113"/>
        <v>#N/A</v>
      </c>
      <c r="F410" s="218" t="s">
        <v>2304</v>
      </c>
      <c r="G410" s="53"/>
      <c r="H410" s="67" t="s">
        <v>1253</v>
      </c>
      <c r="I410" s="33" t="s">
        <v>2494</v>
      </c>
      <c r="J410" s="63"/>
      <c r="K410" s="33" t="s">
        <v>519</v>
      </c>
      <c r="L410" s="360"/>
      <c r="M410" s="40"/>
      <c r="N410" s="360"/>
      <c r="O410" s="72" t="s">
        <v>3152</v>
      </c>
      <c r="P410" s="33">
        <v>2012</v>
      </c>
      <c r="Q410" s="40"/>
      <c r="R410" s="40"/>
      <c r="S410" s="40"/>
      <c r="T410" s="40" t="s">
        <v>12</v>
      </c>
      <c r="U410" s="251">
        <v>1899132200.4191258</v>
      </c>
      <c r="V410" s="33" t="s">
        <v>43</v>
      </c>
      <c r="W410" s="127"/>
      <c r="X410" s="206" t="str">
        <f t="shared" si="128"/>
        <v>4.13.01</v>
      </c>
      <c r="Y410" s="207" t="str">
        <f t="shared" si="114"/>
        <v>JALAN</v>
      </c>
      <c r="Z410" s="207">
        <f t="shared" si="115"/>
        <v>10</v>
      </c>
      <c r="AA410" s="233">
        <f t="shared" si="116"/>
        <v>189913219.04191259</v>
      </c>
      <c r="AB410" s="208">
        <f t="shared" si="117"/>
        <v>1</v>
      </c>
      <c r="AC410" s="233">
        <f t="shared" si="118"/>
        <v>189913219.04191259</v>
      </c>
      <c r="AD410" s="233">
        <f t="shared" si="119"/>
        <v>189913219.04191259</v>
      </c>
      <c r="AE410" s="233">
        <f t="shared" si="120"/>
        <v>189913219.04191259</v>
      </c>
      <c r="AF410" s="233">
        <f t="shared" si="121"/>
        <v>189913219.04191259</v>
      </c>
      <c r="AG410" s="233">
        <f t="shared" si="122"/>
        <v>189913219.04191259</v>
      </c>
      <c r="AH410" s="238">
        <f t="shared" si="123"/>
        <v>189913219.04191259</v>
      </c>
      <c r="AI410" s="238">
        <f t="shared" si="124"/>
        <v>1139479314.2514756</v>
      </c>
      <c r="AJ410" s="261">
        <f t="shared" si="125"/>
        <v>2012</v>
      </c>
      <c r="AK410" s="233">
        <f t="shared" si="126"/>
        <v>759652886.16765022</v>
      </c>
    </row>
    <row r="411" spans="1:39" s="116" customFormat="1" ht="35.25" hidden="1" customHeight="1" x14ac:dyDescent="0.2">
      <c r="A411" s="116">
        <v>165</v>
      </c>
      <c r="B411" s="116" t="str">
        <f t="shared" si="113"/>
        <v>SAKO - TRANS SKP II</v>
      </c>
      <c r="D411" s="116">
        <v>6</v>
      </c>
      <c r="E411" s="116" t="str">
        <f>A411&amp;"."&amp;D411</f>
        <v>165.6</v>
      </c>
      <c r="F411" s="218" t="s">
        <v>2304</v>
      </c>
      <c r="G411" s="53"/>
      <c r="H411" s="67" t="s">
        <v>1254</v>
      </c>
      <c r="I411" s="33" t="s">
        <v>2494</v>
      </c>
      <c r="J411" s="63"/>
      <c r="K411" s="33" t="s">
        <v>519</v>
      </c>
      <c r="L411" s="360"/>
      <c r="M411" s="40"/>
      <c r="N411" s="360"/>
      <c r="O411" s="72" t="s">
        <v>3153</v>
      </c>
      <c r="P411" s="33">
        <v>2012</v>
      </c>
      <c r="Q411" s="40"/>
      <c r="R411" s="40"/>
      <c r="S411" s="40"/>
      <c r="T411" s="40" t="s">
        <v>12</v>
      </c>
      <c r="U411" s="251">
        <v>1571078911.2345409</v>
      </c>
      <c r="V411" s="33" t="s">
        <v>43</v>
      </c>
      <c r="W411" s="127"/>
      <c r="X411" s="206" t="str">
        <f t="shared" si="128"/>
        <v>4.13.01</v>
      </c>
      <c r="Y411" s="207" t="str">
        <f t="shared" si="114"/>
        <v>JALAN</v>
      </c>
      <c r="Z411" s="207">
        <f t="shared" si="115"/>
        <v>10</v>
      </c>
      <c r="AA411" s="233">
        <f t="shared" si="116"/>
        <v>157107890.12345409</v>
      </c>
      <c r="AB411" s="208">
        <f t="shared" si="117"/>
        <v>1</v>
      </c>
      <c r="AC411" s="233">
        <f t="shared" si="118"/>
        <v>157107890.12345409</v>
      </c>
      <c r="AD411" s="233">
        <f t="shared" si="119"/>
        <v>157107890.12345409</v>
      </c>
      <c r="AE411" s="233">
        <f t="shared" si="120"/>
        <v>157107890.12345409</v>
      </c>
      <c r="AF411" s="233">
        <f t="shared" si="121"/>
        <v>157107890.12345409</v>
      </c>
      <c r="AG411" s="233">
        <f t="shared" si="122"/>
        <v>157107890.12345409</v>
      </c>
      <c r="AH411" s="238">
        <f t="shared" si="123"/>
        <v>157107890.12345409</v>
      </c>
      <c r="AI411" s="238">
        <f t="shared" si="124"/>
        <v>942647340.74072456</v>
      </c>
      <c r="AJ411" s="261">
        <f t="shared" si="125"/>
        <v>2012</v>
      </c>
      <c r="AK411" s="233">
        <f t="shared" si="126"/>
        <v>628431570.49381638</v>
      </c>
      <c r="AM411" s="116" t="s">
        <v>4245</v>
      </c>
    </row>
    <row r="412" spans="1:39" s="116" customFormat="1" ht="35.25" hidden="1" customHeight="1" x14ac:dyDescent="0.2">
      <c r="A412" s="116">
        <v>183</v>
      </c>
      <c r="B412" s="116" t="str">
        <f t="shared" si="113"/>
        <v>SUKARAJA - GIRI SAKO</v>
      </c>
      <c r="D412" s="116">
        <v>2</v>
      </c>
      <c r="E412" s="116" t="str">
        <f>A412&amp;"."&amp;D412</f>
        <v>183.2</v>
      </c>
      <c r="F412" s="218" t="s">
        <v>2304</v>
      </c>
      <c r="G412" s="53"/>
      <c r="H412" s="67" t="s">
        <v>1255</v>
      </c>
      <c r="I412" s="33" t="s">
        <v>2494</v>
      </c>
      <c r="J412" s="63"/>
      <c r="K412" s="33" t="s">
        <v>519</v>
      </c>
      <c r="L412" s="360"/>
      <c r="M412" s="40"/>
      <c r="N412" s="360"/>
      <c r="O412" s="72" t="s">
        <v>3103</v>
      </c>
      <c r="P412" s="33">
        <v>2012</v>
      </c>
      <c r="Q412" s="40"/>
      <c r="R412" s="40"/>
      <c r="S412" s="40"/>
      <c r="T412" s="40" t="s">
        <v>12</v>
      </c>
      <c r="U412" s="251">
        <v>8033301761.4229603</v>
      </c>
      <c r="V412" s="33" t="s">
        <v>43</v>
      </c>
      <c r="W412" s="127"/>
      <c r="X412" s="206" t="str">
        <f t="shared" si="128"/>
        <v>4.13.01</v>
      </c>
      <c r="Y412" s="207" t="str">
        <f t="shared" si="114"/>
        <v>JALAN</v>
      </c>
      <c r="Z412" s="207">
        <f t="shared" si="115"/>
        <v>10</v>
      </c>
      <c r="AA412" s="233">
        <f t="shared" si="116"/>
        <v>803330175.14229608</v>
      </c>
      <c r="AB412" s="208">
        <f t="shared" si="117"/>
        <v>1</v>
      </c>
      <c r="AC412" s="233">
        <f t="shared" si="118"/>
        <v>803330175.14229608</v>
      </c>
      <c r="AD412" s="233">
        <f t="shared" si="119"/>
        <v>803330175.14229608</v>
      </c>
      <c r="AE412" s="233">
        <f t="shared" si="120"/>
        <v>803330175.14229608</v>
      </c>
      <c r="AF412" s="233">
        <f t="shared" si="121"/>
        <v>803330175.14229608</v>
      </c>
      <c r="AG412" s="233">
        <f t="shared" si="122"/>
        <v>803330175.14229608</v>
      </c>
      <c r="AH412" s="238">
        <f t="shared" si="123"/>
        <v>803330175.14229608</v>
      </c>
      <c r="AI412" s="238">
        <f t="shared" si="124"/>
        <v>4819981050.853776</v>
      </c>
      <c r="AJ412" s="261">
        <f t="shared" si="125"/>
        <v>2012</v>
      </c>
      <c r="AK412" s="233">
        <f t="shared" si="126"/>
        <v>3213320710.5691843</v>
      </c>
      <c r="AM412" s="116" t="s">
        <v>4245</v>
      </c>
    </row>
    <row r="413" spans="1:39" s="116" customFormat="1" ht="35.25" hidden="1" customHeight="1" x14ac:dyDescent="0.2">
      <c r="A413" s="116">
        <v>247</v>
      </c>
      <c r="B413" s="116" t="str">
        <f t="shared" si="113"/>
        <v>SIMP. MUARA BAHAN - MUARA BAHAN</v>
      </c>
      <c r="D413" s="116">
        <v>1</v>
      </c>
      <c r="E413" s="116" t="str">
        <f>A413&amp;"."&amp;D413</f>
        <v>247.1</v>
      </c>
      <c r="F413" s="218" t="s">
        <v>2304</v>
      </c>
      <c r="G413" s="53"/>
      <c r="H413" s="67" t="s">
        <v>1256</v>
      </c>
      <c r="I413" s="33" t="s">
        <v>2494</v>
      </c>
      <c r="J413" s="63"/>
      <c r="K413" s="33" t="s">
        <v>519</v>
      </c>
      <c r="L413" s="360"/>
      <c r="M413" s="40"/>
      <c r="N413" s="360"/>
      <c r="O413" s="72" t="s">
        <v>3154</v>
      </c>
      <c r="P413" s="33">
        <v>2012</v>
      </c>
      <c r="Q413" s="40"/>
      <c r="R413" s="40"/>
      <c r="S413" s="40"/>
      <c r="T413" s="40" t="s">
        <v>12</v>
      </c>
      <c r="U413" s="251">
        <v>1597174170.3423619</v>
      </c>
      <c r="V413" s="33" t="s">
        <v>43</v>
      </c>
      <c r="W413" s="127"/>
      <c r="X413" s="206" t="str">
        <f t="shared" si="128"/>
        <v>4.13.01</v>
      </c>
      <c r="Y413" s="207" t="str">
        <f t="shared" si="114"/>
        <v>JALAN</v>
      </c>
      <c r="Z413" s="207">
        <f t="shared" si="115"/>
        <v>10</v>
      </c>
      <c r="AA413" s="233">
        <f t="shared" si="116"/>
        <v>159717416.03423619</v>
      </c>
      <c r="AB413" s="208">
        <f t="shared" si="117"/>
        <v>1</v>
      </c>
      <c r="AC413" s="233">
        <f t="shared" si="118"/>
        <v>159717416.03423619</v>
      </c>
      <c r="AD413" s="233">
        <f t="shared" si="119"/>
        <v>159717416.03423619</v>
      </c>
      <c r="AE413" s="233">
        <f t="shared" si="120"/>
        <v>159717416.03423619</v>
      </c>
      <c r="AF413" s="233">
        <f t="shared" si="121"/>
        <v>159717416.03423619</v>
      </c>
      <c r="AG413" s="233">
        <f t="shared" si="122"/>
        <v>159717416.03423619</v>
      </c>
      <c r="AH413" s="238">
        <f t="shared" si="123"/>
        <v>159717416.03423619</v>
      </c>
      <c r="AI413" s="238">
        <f t="shared" si="124"/>
        <v>958304496.20541716</v>
      </c>
      <c r="AJ413" s="261">
        <f t="shared" si="125"/>
        <v>2012</v>
      </c>
      <c r="AK413" s="233">
        <f t="shared" si="126"/>
        <v>638869674.13694477</v>
      </c>
    </row>
    <row r="414" spans="1:39" s="116" customFormat="1" ht="35.25" hidden="1" customHeight="1" x14ac:dyDescent="0.2">
      <c r="A414" s="116">
        <v>131</v>
      </c>
      <c r="B414" s="116" t="str">
        <f t="shared" si="113"/>
        <v>SIMP. TERATAK BARU - TERATAK BARU</v>
      </c>
      <c r="D414" s="116">
        <v>1</v>
      </c>
      <c r="E414" s="116" t="str">
        <f>A414&amp;"."&amp;D414</f>
        <v>131.1</v>
      </c>
      <c r="F414" s="218" t="s">
        <v>2304</v>
      </c>
      <c r="G414" s="53"/>
      <c r="H414" s="67" t="s">
        <v>1257</v>
      </c>
      <c r="I414" s="33" t="s">
        <v>2494</v>
      </c>
      <c r="J414" s="63"/>
      <c r="K414" s="33" t="s">
        <v>519</v>
      </c>
      <c r="L414" s="360"/>
      <c r="M414" s="40"/>
      <c r="N414" s="360"/>
      <c r="O414" s="72" t="s">
        <v>3155</v>
      </c>
      <c r="P414" s="33">
        <v>2012</v>
      </c>
      <c r="Q414" s="40"/>
      <c r="R414" s="40"/>
      <c r="S414" s="40"/>
      <c r="T414" s="40" t="s">
        <v>12</v>
      </c>
      <c r="U414" s="251">
        <v>1462268233.7791154</v>
      </c>
      <c r="V414" s="33" t="s">
        <v>43</v>
      </c>
      <c r="W414" s="127"/>
      <c r="X414" s="206" t="str">
        <f t="shared" si="128"/>
        <v>4.13.01</v>
      </c>
      <c r="Y414" s="207" t="str">
        <f t="shared" si="114"/>
        <v>JALAN</v>
      </c>
      <c r="Z414" s="207">
        <f t="shared" si="115"/>
        <v>10</v>
      </c>
      <c r="AA414" s="233">
        <f t="shared" si="116"/>
        <v>146226822.37791154</v>
      </c>
      <c r="AB414" s="208">
        <f t="shared" si="117"/>
        <v>1</v>
      </c>
      <c r="AC414" s="233">
        <f t="shared" si="118"/>
        <v>146226822.37791154</v>
      </c>
      <c r="AD414" s="233">
        <f t="shared" si="119"/>
        <v>146226822.37791154</v>
      </c>
      <c r="AE414" s="233">
        <f t="shared" si="120"/>
        <v>146226822.37791154</v>
      </c>
      <c r="AF414" s="233">
        <f t="shared" si="121"/>
        <v>146226822.37791154</v>
      </c>
      <c r="AG414" s="233">
        <f t="shared" si="122"/>
        <v>146226822.37791154</v>
      </c>
      <c r="AH414" s="238">
        <f t="shared" si="123"/>
        <v>146226822.37791154</v>
      </c>
      <c r="AI414" s="238">
        <f t="shared" si="124"/>
        <v>877360934.26746929</v>
      </c>
      <c r="AJ414" s="261">
        <f t="shared" si="125"/>
        <v>2012</v>
      </c>
      <c r="AK414" s="233">
        <f t="shared" si="126"/>
        <v>584907299.51164615</v>
      </c>
    </row>
    <row r="415" spans="1:39" s="116" customFormat="1" ht="35.25" hidden="1" customHeight="1" x14ac:dyDescent="0.2">
      <c r="B415" s="116" t="e">
        <f t="shared" si="113"/>
        <v>#N/A</v>
      </c>
      <c r="F415" s="218" t="s">
        <v>2304</v>
      </c>
      <c r="G415" s="53"/>
      <c r="H415" s="67" t="s">
        <v>1258</v>
      </c>
      <c r="I415" s="33" t="s">
        <v>2494</v>
      </c>
      <c r="J415" s="63"/>
      <c r="K415" s="33" t="s">
        <v>519</v>
      </c>
      <c r="L415" s="360"/>
      <c r="M415" s="40"/>
      <c r="N415" s="360"/>
      <c r="O415" s="72" t="s">
        <v>3156</v>
      </c>
      <c r="P415" s="33">
        <v>2012</v>
      </c>
      <c r="Q415" s="40"/>
      <c r="R415" s="40"/>
      <c r="S415" s="40"/>
      <c r="T415" s="40" t="s">
        <v>12</v>
      </c>
      <c r="U415" s="251">
        <v>1593664584.2917645</v>
      </c>
      <c r="V415" s="33" t="s">
        <v>43</v>
      </c>
      <c r="W415" s="127"/>
      <c r="X415" s="206" t="str">
        <f t="shared" si="128"/>
        <v>4.13.01</v>
      </c>
      <c r="Y415" s="207" t="str">
        <f t="shared" si="114"/>
        <v>JALAN</v>
      </c>
      <c r="Z415" s="207">
        <f t="shared" si="115"/>
        <v>10</v>
      </c>
      <c r="AA415" s="233">
        <f t="shared" si="116"/>
        <v>159366457.42917645</v>
      </c>
      <c r="AB415" s="208">
        <f t="shared" si="117"/>
        <v>1</v>
      </c>
      <c r="AC415" s="233">
        <f t="shared" si="118"/>
        <v>159366457.42917645</v>
      </c>
      <c r="AD415" s="233">
        <f t="shared" si="119"/>
        <v>159366457.42917645</v>
      </c>
      <c r="AE415" s="233">
        <f t="shared" si="120"/>
        <v>159366457.42917645</v>
      </c>
      <c r="AF415" s="233">
        <f t="shared" si="121"/>
        <v>159366457.42917645</v>
      </c>
      <c r="AG415" s="233">
        <f t="shared" si="122"/>
        <v>159366457.42917645</v>
      </c>
      <c r="AH415" s="238">
        <f t="shared" si="123"/>
        <v>159366457.42917645</v>
      </c>
      <c r="AI415" s="238">
        <f t="shared" si="124"/>
        <v>956198744.5750587</v>
      </c>
      <c r="AJ415" s="261">
        <f t="shared" si="125"/>
        <v>2012</v>
      </c>
      <c r="AK415" s="233">
        <f t="shared" si="126"/>
        <v>637465839.7167058</v>
      </c>
    </row>
    <row r="416" spans="1:39" s="116" customFormat="1" ht="35.25" hidden="1" customHeight="1" x14ac:dyDescent="0.2">
      <c r="A416" s="116">
        <v>163</v>
      </c>
      <c r="B416" s="116" t="str">
        <f t="shared" si="113"/>
        <v>PANGEAN - PL. KUMPAI</v>
      </c>
      <c r="D416" s="116">
        <v>2</v>
      </c>
      <c r="E416" s="116" t="str">
        <f>A416&amp;"."&amp;D416</f>
        <v>163.2</v>
      </c>
      <c r="F416" s="218" t="s">
        <v>2304</v>
      </c>
      <c r="G416" s="53"/>
      <c r="H416" s="67" t="s">
        <v>1259</v>
      </c>
      <c r="I416" s="33" t="s">
        <v>2494</v>
      </c>
      <c r="J416" s="63"/>
      <c r="K416" s="33" t="s">
        <v>519</v>
      </c>
      <c r="L416" s="360"/>
      <c r="M416" s="40"/>
      <c r="N416" s="360"/>
      <c r="O416" s="72" t="s">
        <v>709</v>
      </c>
      <c r="P416" s="33">
        <v>2012</v>
      </c>
      <c r="Q416" s="40"/>
      <c r="R416" s="40"/>
      <c r="S416" s="40"/>
      <c r="T416" s="40" t="s">
        <v>12</v>
      </c>
      <c r="U416" s="251">
        <v>1600078073.018373</v>
      </c>
      <c r="V416" s="33" t="s">
        <v>43</v>
      </c>
      <c r="W416" s="127"/>
      <c r="X416" s="206" t="str">
        <f t="shared" si="128"/>
        <v>4.13.01</v>
      </c>
      <c r="Y416" s="207" t="str">
        <f t="shared" si="114"/>
        <v>JALAN</v>
      </c>
      <c r="Z416" s="207">
        <f t="shared" si="115"/>
        <v>10</v>
      </c>
      <c r="AA416" s="233">
        <f t="shared" si="116"/>
        <v>160007806.3018373</v>
      </c>
      <c r="AB416" s="208">
        <f t="shared" si="117"/>
        <v>1</v>
      </c>
      <c r="AC416" s="233">
        <f t="shared" si="118"/>
        <v>160007806.3018373</v>
      </c>
      <c r="AD416" s="233">
        <f t="shared" si="119"/>
        <v>160007806.3018373</v>
      </c>
      <c r="AE416" s="233">
        <f t="shared" si="120"/>
        <v>160007806.3018373</v>
      </c>
      <c r="AF416" s="233">
        <f t="shared" si="121"/>
        <v>160007806.3018373</v>
      </c>
      <c r="AG416" s="233">
        <f t="shared" si="122"/>
        <v>160007806.3018373</v>
      </c>
      <c r="AH416" s="238">
        <f t="shared" si="123"/>
        <v>160007806.3018373</v>
      </c>
      <c r="AI416" s="238">
        <f t="shared" si="124"/>
        <v>960046837.81102383</v>
      </c>
      <c r="AJ416" s="261">
        <f t="shared" si="125"/>
        <v>2012</v>
      </c>
      <c r="AK416" s="233">
        <f t="shared" si="126"/>
        <v>640031235.20734918</v>
      </c>
      <c r="AM416" s="116" t="s">
        <v>4245</v>
      </c>
    </row>
    <row r="417" spans="1:39" s="116" customFormat="1" ht="35.25" hidden="1" customHeight="1" x14ac:dyDescent="0.2">
      <c r="A417" s="116">
        <v>129</v>
      </c>
      <c r="B417" s="116" t="str">
        <f t="shared" si="113"/>
        <v>BASERAH - PERHENTIAN LUAS</v>
      </c>
      <c r="D417" s="116">
        <v>3</v>
      </c>
      <c r="E417" s="116" t="str">
        <f>A417&amp;"."&amp;D417</f>
        <v>129.3</v>
      </c>
      <c r="F417" s="218" t="s">
        <v>2304</v>
      </c>
      <c r="G417" s="53"/>
      <c r="H417" s="67" t="s">
        <v>1260</v>
      </c>
      <c r="I417" s="33" t="s">
        <v>2494</v>
      </c>
      <c r="J417" s="63"/>
      <c r="K417" s="33" t="s">
        <v>519</v>
      </c>
      <c r="L417" s="360"/>
      <c r="M417" s="40"/>
      <c r="N417" s="360"/>
      <c r="O417" s="72" t="s">
        <v>3157</v>
      </c>
      <c r="P417" s="33">
        <v>2012</v>
      </c>
      <c r="Q417" s="40"/>
      <c r="R417" s="40"/>
      <c r="S417" s="40"/>
      <c r="T417" s="40" t="s">
        <v>12</v>
      </c>
      <c r="U417" s="251">
        <v>1536783053.2370956</v>
      </c>
      <c r="V417" s="33" t="s">
        <v>43</v>
      </c>
      <c r="W417" s="127"/>
      <c r="X417" s="206" t="str">
        <f t="shared" si="128"/>
        <v>4.13.01</v>
      </c>
      <c r="Y417" s="207" t="str">
        <f t="shared" si="114"/>
        <v>JALAN</v>
      </c>
      <c r="Z417" s="207">
        <f t="shared" si="115"/>
        <v>10</v>
      </c>
      <c r="AA417" s="233">
        <f t="shared" si="116"/>
        <v>153678304.32370955</v>
      </c>
      <c r="AB417" s="208">
        <f t="shared" si="117"/>
        <v>1</v>
      </c>
      <c r="AC417" s="233">
        <f t="shared" si="118"/>
        <v>153678304.32370955</v>
      </c>
      <c r="AD417" s="233">
        <f t="shared" si="119"/>
        <v>153678304.32370955</v>
      </c>
      <c r="AE417" s="233">
        <f t="shared" si="120"/>
        <v>153678304.32370955</v>
      </c>
      <c r="AF417" s="233">
        <f t="shared" si="121"/>
        <v>153678304.32370955</v>
      </c>
      <c r="AG417" s="233">
        <f t="shared" si="122"/>
        <v>153678304.32370955</v>
      </c>
      <c r="AH417" s="238">
        <f t="shared" si="123"/>
        <v>153678304.32370955</v>
      </c>
      <c r="AI417" s="238">
        <f t="shared" si="124"/>
        <v>922069825.94225717</v>
      </c>
      <c r="AJ417" s="261">
        <f t="shared" si="125"/>
        <v>2012</v>
      </c>
      <c r="AK417" s="233">
        <f t="shared" si="126"/>
        <v>614713227.29483843</v>
      </c>
      <c r="AM417" s="116" t="s">
        <v>4245</v>
      </c>
    </row>
    <row r="418" spans="1:39" s="116" customFormat="1" ht="35.25" hidden="1" customHeight="1" x14ac:dyDescent="0.2">
      <c r="B418" s="116" t="e">
        <f t="shared" si="113"/>
        <v>#N/A</v>
      </c>
      <c r="F418" s="218" t="s">
        <v>2304</v>
      </c>
      <c r="G418" s="53"/>
      <c r="H418" s="67" t="s">
        <v>1261</v>
      </c>
      <c r="I418" s="33" t="s">
        <v>2494</v>
      </c>
      <c r="J418" s="63"/>
      <c r="K418" s="33" t="s">
        <v>519</v>
      </c>
      <c r="L418" s="360"/>
      <c r="M418" s="40"/>
      <c r="N418" s="360"/>
      <c r="O418" s="72" t="s">
        <v>836</v>
      </c>
      <c r="P418" s="33">
        <v>2012</v>
      </c>
      <c r="Q418" s="40"/>
      <c r="R418" s="40"/>
      <c r="S418" s="40"/>
      <c r="T418" s="40" t="s">
        <v>12</v>
      </c>
      <c r="U418" s="251">
        <v>3289380516.7796202</v>
      </c>
      <c r="V418" s="33" t="s">
        <v>43</v>
      </c>
      <c r="W418" s="127"/>
      <c r="X418" s="206" t="str">
        <f t="shared" si="128"/>
        <v>4.13.01</v>
      </c>
      <c r="Y418" s="207" t="str">
        <f t="shared" si="114"/>
        <v>JALAN</v>
      </c>
      <c r="Z418" s="207">
        <f t="shared" si="115"/>
        <v>10</v>
      </c>
      <c r="AA418" s="233">
        <f t="shared" si="116"/>
        <v>328938050.67796201</v>
      </c>
      <c r="AB418" s="208">
        <f t="shared" si="117"/>
        <v>1</v>
      </c>
      <c r="AC418" s="233">
        <f t="shared" si="118"/>
        <v>328938050.67796201</v>
      </c>
      <c r="AD418" s="233">
        <f t="shared" si="119"/>
        <v>328938050.67796201</v>
      </c>
      <c r="AE418" s="233">
        <f t="shared" si="120"/>
        <v>328938050.67796201</v>
      </c>
      <c r="AF418" s="233">
        <f t="shared" si="121"/>
        <v>328938050.67796201</v>
      </c>
      <c r="AG418" s="233">
        <f t="shared" si="122"/>
        <v>328938050.67796201</v>
      </c>
      <c r="AH418" s="238">
        <f t="shared" si="123"/>
        <v>328938050.67796201</v>
      </c>
      <c r="AI418" s="238">
        <f t="shared" si="124"/>
        <v>1973628304.0677722</v>
      </c>
      <c r="AJ418" s="261">
        <f t="shared" si="125"/>
        <v>2012</v>
      </c>
      <c r="AK418" s="233">
        <f t="shared" si="126"/>
        <v>1315752212.711848</v>
      </c>
    </row>
    <row r="419" spans="1:39" s="116" customFormat="1" ht="35.25" hidden="1" customHeight="1" x14ac:dyDescent="0.2">
      <c r="A419" s="116">
        <v>91</v>
      </c>
      <c r="B419" s="116" t="str">
        <f t="shared" si="113"/>
        <v>LUBUK JAMBI - SAIK</v>
      </c>
      <c r="D419" s="116">
        <v>1</v>
      </c>
      <c r="E419" s="116" t="str">
        <f>A419&amp;"."&amp;D419</f>
        <v>91.1</v>
      </c>
      <c r="F419" s="218" t="s">
        <v>2304</v>
      </c>
      <c r="G419" s="53"/>
      <c r="H419" s="67" t="s">
        <v>1262</v>
      </c>
      <c r="I419" s="33" t="s">
        <v>2494</v>
      </c>
      <c r="J419" s="63"/>
      <c r="K419" s="33" t="s">
        <v>519</v>
      </c>
      <c r="L419" s="360"/>
      <c r="M419" s="40"/>
      <c r="N419" s="360"/>
      <c r="O419" s="72" t="s">
        <v>3158</v>
      </c>
      <c r="P419" s="33">
        <v>2012</v>
      </c>
      <c r="Q419" s="40"/>
      <c r="R419" s="40"/>
      <c r="S419" s="40"/>
      <c r="T419" s="40" t="s">
        <v>12</v>
      </c>
      <c r="U419" s="251">
        <v>11987663158.4603</v>
      </c>
      <c r="V419" s="33" t="s">
        <v>43</v>
      </c>
      <c r="W419" s="127"/>
      <c r="X419" s="206" t="str">
        <f t="shared" si="128"/>
        <v>4.13.01</v>
      </c>
      <c r="Y419" s="207" t="str">
        <f t="shared" si="114"/>
        <v>JALAN</v>
      </c>
      <c r="Z419" s="207">
        <f t="shared" si="115"/>
        <v>10</v>
      </c>
      <c r="AA419" s="233">
        <f t="shared" si="116"/>
        <v>1198766314.84603</v>
      </c>
      <c r="AB419" s="208">
        <f t="shared" si="117"/>
        <v>1</v>
      </c>
      <c r="AC419" s="233">
        <f t="shared" si="118"/>
        <v>1198766314.84603</v>
      </c>
      <c r="AD419" s="233">
        <f t="shared" si="119"/>
        <v>1198766314.84603</v>
      </c>
      <c r="AE419" s="233">
        <f t="shared" si="120"/>
        <v>1198766314.84603</v>
      </c>
      <c r="AF419" s="233">
        <f t="shared" si="121"/>
        <v>1198766314.84603</v>
      </c>
      <c r="AG419" s="233">
        <f t="shared" si="122"/>
        <v>1198766314.84603</v>
      </c>
      <c r="AH419" s="238">
        <f t="shared" si="123"/>
        <v>1198766314.84603</v>
      </c>
      <c r="AI419" s="238">
        <f t="shared" si="124"/>
        <v>7192597889.0761805</v>
      </c>
      <c r="AJ419" s="261">
        <f t="shared" si="125"/>
        <v>2012</v>
      </c>
      <c r="AK419" s="233">
        <f t="shared" si="126"/>
        <v>4795065269.38412</v>
      </c>
    </row>
    <row r="420" spans="1:39" s="116" customFormat="1" ht="35.25" hidden="1" customHeight="1" x14ac:dyDescent="0.2">
      <c r="B420" s="116" t="e">
        <f t="shared" si="113"/>
        <v>#N/A</v>
      </c>
      <c r="F420" s="218" t="s">
        <v>2304</v>
      </c>
      <c r="G420" s="53"/>
      <c r="H420" s="67" t="s">
        <v>1263</v>
      </c>
      <c r="I420" s="33" t="s">
        <v>2494</v>
      </c>
      <c r="J420" s="63"/>
      <c r="K420" s="33" t="s">
        <v>519</v>
      </c>
      <c r="L420" s="360"/>
      <c r="M420" s="40"/>
      <c r="N420" s="360"/>
      <c r="O420" s="72" t="s">
        <v>2574</v>
      </c>
      <c r="P420" s="33">
        <v>2012</v>
      </c>
      <c r="Q420" s="40"/>
      <c r="R420" s="40"/>
      <c r="S420" s="40"/>
      <c r="T420" s="40" t="s">
        <v>12</v>
      </c>
      <c r="U420" s="251">
        <v>3331381781.9313898</v>
      </c>
      <c r="V420" s="33" t="s">
        <v>43</v>
      </c>
      <c r="W420" s="127"/>
      <c r="X420" s="206" t="str">
        <f t="shared" si="128"/>
        <v>4.13.01</v>
      </c>
      <c r="Y420" s="207" t="str">
        <f t="shared" si="114"/>
        <v>JALAN</v>
      </c>
      <c r="Z420" s="207">
        <f t="shared" si="115"/>
        <v>10</v>
      </c>
      <c r="AA420" s="233">
        <f t="shared" si="116"/>
        <v>333138177.19313896</v>
      </c>
      <c r="AB420" s="208">
        <f t="shared" si="117"/>
        <v>1</v>
      </c>
      <c r="AC420" s="233">
        <f t="shared" si="118"/>
        <v>333138177.19313896</v>
      </c>
      <c r="AD420" s="233">
        <f t="shared" si="119"/>
        <v>333138177.19313896</v>
      </c>
      <c r="AE420" s="233">
        <f t="shared" si="120"/>
        <v>333138177.19313896</v>
      </c>
      <c r="AF420" s="233">
        <f t="shared" si="121"/>
        <v>333138177.19313896</v>
      </c>
      <c r="AG420" s="233">
        <f t="shared" si="122"/>
        <v>333138177.19313896</v>
      </c>
      <c r="AH420" s="238">
        <f t="shared" si="123"/>
        <v>333138177.19313896</v>
      </c>
      <c r="AI420" s="238">
        <f t="shared" si="124"/>
        <v>1998829063.158834</v>
      </c>
      <c r="AJ420" s="261">
        <f t="shared" si="125"/>
        <v>2012</v>
      </c>
      <c r="AK420" s="233">
        <f t="shared" si="126"/>
        <v>1332552718.7725558</v>
      </c>
    </row>
    <row r="421" spans="1:39" s="116" customFormat="1" ht="35.25" hidden="1" customHeight="1" x14ac:dyDescent="0.2">
      <c r="A421" s="116" t="s">
        <v>4135</v>
      </c>
      <c r="B421" s="116" t="e">
        <f t="shared" si="113"/>
        <v>#N/A</v>
      </c>
      <c r="D421" s="116">
        <v>2</v>
      </c>
      <c r="E421" s="1" t="str">
        <f>A421&amp;"."&amp;D421</f>
        <v>J2.2</v>
      </c>
      <c r="F421" s="218" t="s">
        <v>2305</v>
      </c>
      <c r="G421" s="53"/>
      <c r="H421" s="67" t="s">
        <v>1264</v>
      </c>
      <c r="I421" s="33" t="s">
        <v>3827</v>
      </c>
      <c r="J421" s="63"/>
      <c r="K421" s="33" t="s">
        <v>835</v>
      </c>
      <c r="L421" s="360"/>
      <c r="M421" s="40"/>
      <c r="N421" s="360"/>
      <c r="O421" s="72" t="s">
        <v>3124</v>
      </c>
      <c r="P421" s="33">
        <v>2012</v>
      </c>
      <c r="Q421" s="40"/>
      <c r="R421" s="40"/>
      <c r="S421" s="40"/>
      <c r="T421" s="40" t="s">
        <v>12</v>
      </c>
      <c r="U421" s="251">
        <v>7204662185.0902042</v>
      </c>
      <c r="V421" s="33" t="s">
        <v>43</v>
      </c>
      <c r="W421" s="127"/>
      <c r="X421" s="206" t="str">
        <f t="shared" si="128"/>
        <v>4.13.02</v>
      </c>
      <c r="Y421" s="207" t="str">
        <f t="shared" si="114"/>
        <v>JEMBATAN</v>
      </c>
      <c r="Z421" s="207">
        <f t="shared" si="115"/>
        <v>50</v>
      </c>
      <c r="AA421" s="233">
        <f t="shared" si="116"/>
        <v>144093243.50180408</v>
      </c>
      <c r="AB421" s="208">
        <f t="shared" si="117"/>
        <v>1</v>
      </c>
      <c r="AC421" s="233">
        <f t="shared" si="118"/>
        <v>144093243.50180408</v>
      </c>
      <c r="AD421" s="233">
        <f t="shared" si="119"/>
        <v>144093243.50180408</v>
      </c>
      <c r="AE421" s="233">
        <f t="shared" si="120"/>
        <v>144093243.50180408</v>
      </c>
      <c r="AF421" s="233">
        <f t="shared" si="121"/>
        <v>144093243.50180408</v>
      </c>
      <c r="AG421" s="233">
        <f t="shared" si="122"/>
        <v>144093243.50180408</v>
      </c>
      <c r="AH421" s="238">
        <f t="shared" si="123"/>
        <v>144093243.50180408</v>
      </c>
      <c r="AI421" s="238">
        <f t="shared" si="124"/>
        <v>864559461.01082456</v>
      </c>
      <c r="AJ421" s="261">
        <f t="shared" si="125"/>
        <v>2012</v>
      </c>
      <c r="AK421" s="233">
        <f t="shared" si="126"/>
        <v>6340102724.07938</v>
      </c>
      <c r="AM421" s="116" t="s">
        <v>4245</v>
      </c>
    </row>
    <row r="422" spans="1:39" s="116" customFormat="1" ht="35.25" hidden="1" customHeight="1" x14ac:dyDescent="0.2">
      <c r="B422" s="116" t="e">
        <f t="shared" si="113"/>
        <v>#N/A</v>
      </c>
      <c r="F422" s="218" t="s">
        <v>2305</v>
      </c>
      <c r="G422" s="53"/>
      <c r="H422" s="67" t="s">
        <v>1265</v>
      </c>
      <c r="I422" s="33" t="s">
        <v>3824</v>
      </c>
      <c r="J422" s="63"/>
      <c r="K422" s="33" t="s">
        <v>835</v>
      </c>
      <c r="L422" s="360"/>
      <c r="M422" s="40"/>
      <c r="N422" s="360"/>
      <c r="O422" s="72" t="s">
        <v>3159</v>
      </c>
      <c r="P422" s="33">
        <v>2012</v>
      </c>
      <c r="Q422" s="40"/>
      <c r="R422" s="40"/>
      <c r="S422" s="40"/>
      <c r="T422" s="40" t="s">
        <v>12</v>
      </c>
      <c r="U422" s="251">
        <v>1032348746.5314332</v>
      </c>
      <c r="V422" s="33" t="s">
        <v>43</v>
      </c>
      <c r="W422" s="127"/>
      <c r="X422" s="206" t="str">
        <f t="shared" si="128"/>
        <v>4.13.02</v>
      </c>
      <c r="Y422" s="207" t="str">
        <f t="shared" si="114"/>
        <v>JEMBATAN</v>
      </c>
      <c r="Z422" s="207">
        <f t="shared" si="115"/>
        <v>50</v>
      </c>
      <c r="AA422" s="233">
        <f t="shared" si="116"/>
        <v>20646974.730628666</v>
      </c>
      <c r="AB422" s="208">
        <f t="shared" si="117"/>
        <v>1</v>
      </c>
      <c r="AC422" s="233">
        <f t="shared" si="118"/>
        <v>20646974.730628666</v>
      </c>
      <c r="AD422" s="233">
        <f t="shared" si="119"/>
        <v>20646974.730628666</v>
      </c>
      <c r="AE422" s="233">
        <f t="shared" si="120"/>
        <v>20646974.730628666</v>
      </c>
      <c r="AF422" s="233">
        <f t="shared" si="121"/>
        <v>20646974.730628666</v>
      </c>
      <c r="AG422" s="233">
        <f t="shared" si="122"/>
        <v>20646974.730628666</v>
      </c>
      <c r="AH422" s="238">
        <f t="shared" si="123"/>
        <v>20646974.730628666</v>
      </c>
      <c r="AI422" s="238">
        <f t="shared" si="124"/>
        <v>123881848.383772</v>
      </c>
      <c r="AJ422" s="261">
        <f t="shared" si="125"/>
        <v>2012</v>
      </c>
      <c r="AK422" s="233">
        <f t="shared" si="126"/>
        <v>908466898.14766121</v>
      </c>
    </row>
    <row r="423" spans="1:39" s="116" customFormat="1" ht="35.25" hidden="1" customHeight="1" x14ac:dyDescent="0.2">
      <c r="A423" s="116" t="s">
        <v>4139</v>
      </c>
      <c r="B423" s="116" t="e">
        <f t="shared" ref="B423:B484" si="129">VLOOKUP(A423,RUAS,2,0)</f>
        <v>#N/A</v>
      </c>
      <c r="D423" s="116">
        <v>1</v>
      </c>
      <c r="E423" s="1" t="str">
        <f>A423&amp;"."&amp;D423</f>
        <v>J6.1</v>
      </c>
      <c r="F423" s="218" t="s">
        <v>2305</v>
      </c>
      <c r="G423" s="53"/>
      <c r="H423" s="67" t="s">
        <v>1267</v>
      </c>
      <c r="I423" s="33" t="s">
        <v>3826</v>
      </c>
      <c r="J423" s="63"/>
      <c r="K423" s="33" t="s">
        <v>272</v>
      </c>
      <c r="L423" s="360"/>
      <c r="M423" s="40"/>
      <c r="N423" s="360"/>
      <c r="O423" s="72" t="s">
        <v>3160</v>
      </c>
      <c r="P423" s="33">
        <v>2012</v>
      </c>
      <c r="Q423" s="40"/>
      <c r="R423" s="40"/>
      <c r="S423" s="40"/>
      <c r="T423" s="40" t="s">
        <v>12</v>
      </c>
      <c r="U423" s="251">
        <v>76019206.029997841</v>
      </c>
      <c r="V423" s="33" t="s">
        <v>43</v>
      </c>
      <c r="W423" s="127"/>
      <c r="X423" s="206" t="str">
        <f t="shared" si="128"/>
        <v>4.13.02</v>
      </c>
      <c r="Y423" s="207" t="str">
        <f t="shared" ref="Y423:Y484" si="130">VLOOKUP(X423,kelompok,2,0)</f>
        <v>JEMBATAN</v>
      </c>
      <c r="Z423" s="207">
        <f t="shared" ref="Z423:Z484" si="131">VLOOKUP(X423,MASAMANFAAT,4,0)</f>
        <v>50</v>
      </c>
      <c r="AA423" s="233">
        <f t="shared" ref="AA423:AA485" si="132">(U423-10)/Z423</f>
        <v>1520383.9205999568</v>
      </c>
      <c r="AB423" s="208">
        <f t="shared" ref="AB423:AB451" si="133">2013-AJ423</f>
        <v>1</v>
      </c>
      <c r="AC423" s="233">
        <f t="shared" ref="AC423:AC485" si="134">IF(AB423&gt;Z423,U423-10,AA423*AB423)</f>
        <v>1520383.9205999568</v>
      </c>
      <c r="AD423" s="233">
        <f t="shared" ref="AD423:AD485" si="135">IF(U423-10=AC423,0,AA423)</f>
        <v>1520383.9205999568</v>
      </c>
      <c r="AE423" s="233">
        <f t="shared" ref="AE423:AE485" si="136">IF(U423-10=AC423+AD423,0,AA423)</f>
        <v>1520383.9205999568</v>
      </c>
      <c r="AF423" s="233">
        <f t="shared" ref="AF423:AF485" si="137">IF(U423-10=AC423+AD423+AE423,0,AA423)</f>
        <v>1520383.9205999568</v>
      </c>
      <c r="AG423" s="233">
        <f t="shared" ref="AG423:AG485" si="138">IF(U423-10=AD423+AE423+AF423+AC423,0,AA423)</f>
        <v>1520383.9205999568</v>
      </c>
      <c r="AH423" s="238">
        <f t="shared" ref="AH423:AH485" si="139">IF(U423-10=AD423+AE423+AF423+AC423+AG423,0,AA423)</f>
        <v>1520383.9205999568</v>
      </c>
      <c r="AI423" s="238">
        <f t="shared" ref="AI423:AI485" si="140">SUM(AC423:AH423)</f>
        <v>9122303.5235997401</v>
      </c>
      <c r="AJ423" s="261">
        <f t="shared" ref="AJ423:AJ485" si="141">P423</f>
        <v>2012</v>
      </c>
      <c r="AK423" s="233">
        <f t="shared" ref="AK423:AK485" si="142">U423-AI423</f>
        <v>66896902.506398097</v>
      </c>
    </row>
    <row r="424" spans="1:39" s="116" customFormat="1" ht="35.25" hidden="1" customHeight="1" x14ac:dyDescent="0.2">
      <c r="B424" s="116" t="e">
        <f t="shared" si="129"/>
        <v>#N/A</v>
      </c>
      <c r="F424" s="218" t="s">
        <v>2305</v>
      </c>
      <c r="G424" s="53"/>
      <c r="H424" s="67" t="s">
        <v>1268</v>
      </c>
      <c r="I424" s="33" t="s">
        <v>3826</v>
      </c>
      <c r="J424" s="63"/>
      <c r="K424" s="33" t="s">
        <v>272</v>
      </c>
      <c r="L424" s="360"/>
      <c r="M424" s="40"/>
      <c r="N424" s="360"/>
      <c r="O424" s="72" t="s">
        <v>3161</v>
      </c>
      <c r="P424" s="33">
        <v>2012</v>
      </c>
      <c r="Q424" s="40"/>
      <c r="R424" s="40"/>
      <c r="S424" s="40"/>
      <c r="T424" s="40" t="s">
        <v>12</v>
      </c>
      <c r="U424" s="251">
        <v>76115535.321222559</v>
      </c>
      <c r="V424" s="33" t="s">
        <v>43</v>
      </c>
      <c r="W424" s="127"/>
      <c r="X424" s="206" t="str">
        <f t="shared" si="128"/>
        <v>4.13.02</v>
      </c>
      <c r="Y424" s="207" t="str">
        <f t="shared" si="130"/>
        <v>JEMBATAN</v>
      </c>
      <c r="Z424" s="207">
        <f t="shared" si="131"/>
        <v>50</v>
      </c>
      <c r="AA424" s="233">
        <f t="shared" si="132"/>
        <v>1522310.5064244512</v>
      </c>
      <c r="AB424" s="208">
        <f t="shared" si="133"/>
        <v>1</v>
      </c>
      <c r="AC424" s="233">
        <f t="shared" si="134"/>
        <v>1522310.5064244512</v>
      </c>
      <c r="AD424" s="233">
        <f t="shared" si="135"/>
        <v>1522310.5064244512</v>
      </c>
      <c r="AE424" s="233">
        <f t="shared" si="136"/>
        <v>1522310.5064244512</v>
      </c>
      <c r="AF424" s="233">
        <f t="shared" si="137"/>
        <v>1522310.5064244512</v>
      </c>
      <c r="AG424" s="233">
        <f t="shared" si="138"/>
        <v>1522310.5064244512</v>
      </c>
      <c r="AH424" s="238">
        <f t="shared" si="139"/>
        <v>1522310.5064244512</v>
      </c>
      <c r="AI424" s="238">
        <f t="shared" si="140"/>
        <v>9133863.0385467075</v>
      </c>
      <c r="AJ424" s="261">
        <f t="shared" si="141"/>
        <v>2012</v>
      </c>
      <c r="AK424" s="233">
        <f t="shared" si="142"/>
        <v>66981672.282675847</v>
      </c>
    </row>
    <row r="425" spans="1:39" s="116" customFormat="1" ht="35.25" hidden="1" customHeight="1" x14ac:dyDescent="0.2">
      <c r="B425" s="116" t="e">
        <f t="shared" si="129"/>
        <v>#N/A</v>
      </c>
      <c r="F425" s="218" t="s">
        <v>2305</v>
      </c>
      <c r="G425" s="53"/>
      <c r="H425" s="67" t="s">
        <v>1269</v>
      </c>
      <c r="I425" s="33" t="s">
        <v>3826</v>
      </c>
      <c r="J425" s="63"/>
      <c r="K425" s="33" t="s">
        <v>272</v>
      </c>
      <c r="L425" s="360"/>
      <c r="M425" s="40"/>
      <c r="N425" s="360"/>
      <c r="O425" s="72" t="s">
        <v>3162</v>
      </c>
      <c r="P425" s="33">
        <v>2012</v>
      </c>
      <c r="Q425" s="40"/>
      <c r="R425" s="40"/>
      <c r="S425" s="40"/>
      <c r="T425" s="40" t="s">
        <v>12</v>
      </c>
      <c r="U425" s="251">
        <v>102755972.83967289</v>
      </c>
      <c r="V425" s="33" t="s">
        <v>43</v>
      </c>
      <c r="W425" s="127"/>
      <c r="X425" s="206" t="str">
        <f t="shared" si="128"/>
        <v>4.13.02</v>
      </c>
      <c r="Y425" s="207" t="str">
        <f t="shared" si="130"/>
        <v>JEMBATAN</v>
      </c>
      <c r="Z425" s="207">
        <f t="shared" si="131"/>
        <v>50</v>
      </c>
      <c r="AA425" s="233">
        <f t="shared" si="132"/>
        <v>2055119.2567934578</v>
      </c>
      <c r="AB425" s="208">
        <f t="shared" si="133"/>
        <v>1</v>
      </c>
      <c r="AC425" s="233">
        <f t="shared" si="134"/>
        <v>2055119.2567934578</v>
      </c>
      <c r="AD425" s="233">
        <f t="shared" si="135"/>
        <v>2055119.2567934578</v>
      </c>
      <c r="AE425" s="233">
        <f t="shared" si="136"/>
        <v>2055119.2567934578</v>
      </c>
      <c r="AF425" s="233">
        <f t="shared" si="137"/>
        <v>2055119.2567934578</v>
      </c>
      <c r="AG425" s="233">
        <f t="shared" si="138"/>
        <v>2055119.2567934578</v>
      </c>
      <c r="AH425" s="238">
        <f t="shared" si="139"/>
        <v>2055119.2567934578</v>
      </c>
      <c r="AI425" s="238">
        <f t="shared" si="140"/>
        <v>12330715.540760746</v>
      </c>
      <c r="AJ425" s="261">
        <f t="shared" si="141"/>
        <v>2012</v>
      </c>
      <c r="AK425" s="233">
        <f t="shared" si="142"/>
        <v>90425257.298912153</v>
      </c>
    </row>
    <row r="426" spans="1:39" s="116" customFormat="1" ht="35.25" hidden="1" customHeight="1" x14ac:dyDescent="0.2">
      <c r="B426" s="116" t="e">
        <f t="shared" si="129"/>
        <v>#N/A</v>
      </c>
      <c r="F426" s="218" t="s">
        <v>2305</v>
      </c>
      <c r="G426" s="53"/>
      <c r="H426" s="67" t="s">
        <v>1270</v>
      </c>
      <c r="I426" s="33" t="s">
        <v>3826</v>
      </c>
      <c r="J426" s="63"/>
      <c r="K426" s="33" t="s">
        <v>272</v>
      </c>
      <c r="L426" s="360"/>
      <c r="M426" s="40"/>
      <c r="N426" s="360"/>
      <c r="O426" s="72" t="s">
        <v>3163</v>
      </c>
      <c r="P426" s="33">
        <v>2012</v>
      </c>
      <c r="Q426" s="40"/>
      <c r="R426" s="40"/>
      <c r="S426" s="40"/>
      <c r="T426" s="40" t="s">
        <v>12</v>
      </c>
      <c r="U426" s="251">
        <v>83626402.271583661</v>
      </c>
      <c r="V426" s="33" t="s">
        <v>43</v>
      </c>
      <c r="W426" s="127"/>
      <c r="X426" s="206" t="str">
        <f t="shared" si="128"/>
        <v>4.13.02</v>
      </c>
      <c r="Y426" s="207" t="str">
        <f t="shared" si="130"/>
        <v>JEMBATAN</v>
      </c>
      <c r="Z426" s="207">
        <f t="shared" si="131"/>
        <v>50</v>
      </c>
      <c r="AA426" s="233">
        <f t="shared" si="132"/>
        <v>1672527.8454316733</v>
      </c>
      <c r="AB426" s="208">
        <f t="shared" si="133"/>
        <v>1</v>
      </c>
      <c r="AC426" s="233">
        <f t="shared" si="134"/>
        <v>1672527.8454316733</v>
      </c>
      <c r="AD426" s="233">
        <f t="shared" si="135"/>
        <v>1672527.8454316733</v>
      </c>
      <c r="AE426" s="233">
        <f t="shared" si="136"/>
        <v>1672527.8454316733</v>
      </c>
      <c r="AF426" s="233">
        <f t="shared" si="137"/>
        <v>1672527.8454316733</v>
      </c>
      <c r="AG426" s="233">
        <f t="shared" si="138"/>
        <v>1672527.8454316733</v>
      </c>
      <c r="AH426" s="238">
        <f t="shared" si="139"/>
        <v>1672527.8454316733</v>
      </c>
      <c r="AI426" s="238">
        <f t="shared" si="140"/>
        <v>10035167.07259004</v>
      </c>
      <c r="AJ426" s="261">
        <f t="shared" si="141"/>
        <v>2012</v>
      </c>
      <c r="AK426" s="233">
        <f t="shared" si="142"/>
        <v>73591235.198993623</v>
      </c>
    </row>
    <row r="427" spans="1:39" s="116" customFormat="1" ht="35.25" hidden="1" customHeight="1" x14ac:dyDescent="0.2">
      <c r="B427" s="116" t="e">
        <f t="shared" si="129"/>
        <v>#N/A</v>
      </c>
      <c r="F427" s="218" t="s">
        <v>2305</v>
      </c>
      <c r="G427" s="53"/>
      <c r="H427" s="67" t="s">
        <v>1271</v>
      </c>
      <c r="I427" s="33" t="s">
        <v>3824</v>
      </c>
      <c r="J427" s="63"/>
      <c r="K427" s="33" t="s">
        <v>835</v>
      </c>
      <c r="L427" s="360"/>
      <c r="M427" s="40"/>
      <c r="N427" s="360"/>
      <c r="O427" s="72" t="s">
        <v>3164</v>
      </c>
      <c r="P427" s="33">
        <v>2012</v>
      </c>
      <c r="Q427" s="40"/>
      <c r="R427" s="40"/>
      <c r="S427" s="40"/>
      <c r="T427" s="40" t="s">
        <v>12</v>
      </c>
      <c r="U427" s="251">
        <v>61843579.711400554</v>
      </c>
      <c r="V427" s="33" t="s">
        <v>43</v>
      </c>
      <c r="W427" s="127"/>
      <c r="X427" s="206" t="str">
        <f t="shared" si="128"/>
        <v>4.13.02</v>
      </c>
      <c r="Y427" s="207" t="str">
        <f t="shared" si="130"/>
        <v>JEMBATAN</v>
      </c>
      <c r="Z427" s="207">
        <f t="shared" si="131"/>
        <v>50</v>
      </c>
      <c r="AA427" s="233">
        <f t="shared" si="132"/>
        <v>1236871.3942280111</v>
      </c>
      <c r="AB427" s="208">
        <f t="shared" si="133"/>
        <v>1</v>
      </c>
      <c r="AC427" s="233">
        <f t="shared" si="134"/>
        <v>1236871.3942280111</v>
      </c>
      <c r="AD427" s="233">
        <f t="shared" si="135"/>
        <v>1236871.3942280111</v>
      </c>
      <c r="AE427" s="233">
        <f t="shared" si="136"/>
        <v>1236871.3942280111</v>
      </c>
      <c r="AF427" s="233">
        <f t="shared" si="137"/>
        <v>1236871.3942280111</v>
      </c>
      <c r="AG427" s="233">
        <f t="shared" si="138"/>
        <v>1236871.3942280111</v>
      </c>
      <c r="AH427" s="238">
        <f t="shared" si="139"/>
        <v>1236871.3942280111</v>
      </c>
      <c r="AI427" s="238">
        <f t="shared" si="140"/>
        <v>7421228.3653680673</v>
      </c>
      <c r="AJ427" s="261">
        <f t="shared" si="141"/>
        <v>2012</v>
      </c>
      <c r="AK427" s="233">
        <f t="shared" si="142"/>
        <v>54422351.346032485</v>
      </c>
    </row>
    <row r="428" spans="1:39" s="401" customFormat="1" ht="35.25" hidden="1" customHeight="1" x14ac:dyDescent="0.2">
      <c r="B428" s="401" t="e">
        <f t="shared" si="129"/>
        <v>#N/A</v>
      </c>
      <c r="F428" s="402" t="s">
        <v>2304</v>
      </c>
      <c r="G428" s="403"/>
      <c r="H428" s="404" t="s">
        <v>1273</v>
      </c>
      <c r="I428" s="405" t="s">
        <v>2494</v>
      </c>
      <c r="J428" s="406"/>
      <c r="K428" s="405" t="s">
        <v>519</v>
      </c>
      <c r="L428" s="407"/>
      <c r="M428" s="408"/>
      <c r="N428" s="407"/>
      <c r="O428" s="409" t="s">
        <v>3166</v>
      </c>
      <c r="P428" s="405">
        <v>2012</v>
      </c>
      <c r="Q428" s="408"/>
      <c r="R428" s="408"/>
      <c r="S428" s="408"/>
      <c r="T428" s="408" t="s">
        <v>12</v>
      </c>
      <c r="U428" s="410">
        <v>3935487059</v>
      </c>
      <c r="V428" s="405" t="s">
        <v>43</v>
      </c>
      <c r="W428" s="411"/>
      <c r="X428" s="412" t="str">
        <f t="shared" si="128"/>
        <v>4.13.01</v>
      </c>
      <c r="Y428" s="413" t="str">
        <f t="shared" si="130"/>
        <v>JALAN</v>
      </c>
      <c r="Z428" s="413">
        <f t="shared" si="131"/>
        <v>10</v>
      </c>
      <c r="AA428" s="414">
        <f t="shared" si="132"/>
        <v>393548704.89999998</v>
      </c>
      <c r="AB428" s="415">
        <f t="shared" si="133"/>
        <v>1</v>
      </c>
      <c r="AC428" s="414">
        <f t="shared" si="134"/>
        <v>393548704.89999998</v>
      </c>
      <c r="AD428" s="414">
        <f t="shared" si="135"/>
        <v>393548704.89999998</v>
      </c>
      <c r="AE428" s="414">
        <f t="shared" si="136"/>
        <v>393548704.89999998</v>
      </c>
      <c r="AF428" s="414">
        <f t="shared" si="137"/>
        <v>393548704.89999998</v>
      </c>
      <c r="AG428" s="414">
        <f t="shared" si="138"/>
        <v>393548704.89999998</v>
      </c>
      <c r="AH428" s="416">
        <f t="shared" si="139"/>
        <v>393548704.89999998</v>
      </c>
      <c r="AI428" s="416">
        <f t="shared" si="140"/>
        <v>2361292229.4000001</v>
      </c>
      <c r="AJ428" s="261">
        <f t="shared" si="141"/>
        <v>2012</v>
      </c>
      <c r="AK428" s="414">
        <f t="shared" si="142"/>
        <v>1574194829.5999999</v>
      </c>
    </row>
    <row r="429" spans="1:39" s="116" customFormat="1" ht="35.25" hidden="1" customHeight="1" x14ac:dyDescent="0.2">
      <c r="B429" s="116" t="e">
        <f t="shared" si="129"/>
        <v>#N/A</v>
      </c>
      <c r="F429" s="218" t="s">
        <v>2304</v>
      </c>
      <c r="G429" s="53"/>
      <c r="H429" s="67" t="s">
        <v>1274</v>
      </c>
      <c r="I429" s="33" t="s">
        <v>2494</v>
      </c>
      <c r="J429" s="63"/>
      <c r="K429" s="33" t="s">
        <v>519</v>
      </c>
      <c r="L429" s="360"/>
      <c r="M429" s="40"/>
      <c r="N429" s="360"/>
      <c r="O429" s="72" t="s">
        <v>3167</v>
      </c>
      <c r="P429" s="33">
        <v>2013</v>
      </c>
      <c r="Q429" s="40"/>
      <c r="R429" s="40"/>
      <c r="S429" s="40"/>
      <c r="T429" s="40" t="s">
        <v>12</v>
      </c>
      <c r="U429" s="251">
        <v>2219297579</v>
      </c>
      <c r="V429" s="33" t="s">
        <v>43</v>
      </c>
      <c r="W429" s="127"/>
      <c r="X429" s="206" t="str">
        <f t="shared" si="128"/>
        <v>4.13.01</v>
      </c>
      <c r="Y429" s="207" t="str">
        <f t="shared" si="130"/>
        <v>JALAN</v>
      </c>
      <c r="Z429" s="207">
        <f t="shared" si="131"/>
        <v>10</v>
      </c>
      <c r="AA429" s="233">
        <f t="shared" si="132"/>
        <v>221929756.90000001</v>
      </c>
      <c r="AB429" s="208">
        <f t="shared" si="133"/>
        <v>0</v>
      </c>
      <c r="AC429" s="233">
        <f t="shared" si="134"/>
        <v>0</v>
      </c>
      <c r="AD429" s="233">
        <f t="shared" si="135"/>
        <v>221929756.90000001</v>
      </c>
      <c r="AE429" s="233">
        <f t="shared" si="136"/>
        <v>221929756.90000001</v>
      </c>
      <c r="AF429" s="233">
        <f t="shared" si="137"/>
        <v>221929756.90000001</v>
      </c>
      <c r="AG429" s="233">
        <f t="shared" si="138"/>
        <v>221929756.90000001</v>
      </c>
      <c r="AH429" s="238">
        <f t="shared" si="139"/>
        <v>221929756.90000001</v>
      </c>
      <c r="AI429" s="238">
        <f t="shared" si="140"/>
        <v>1109648784.5</v>
      </c>
      <c r="AJ429" s="261">
        <f t="shared" si="141"/>
        <v>2013</v>
      </c>
      <c r="AK429" s="233">
        <f t="shared" si="142"/>
        <v>1109648794.5</v>
      </c>
    </row>
    <row r="430" spans="1:39" s="116" customFormat="1" ht="35.25" hidden="1" customHeight="1" x14ac:dyDescent="0.2">
      <c r="B430" s="116" t="e">
        <f t="shared" si="129"/>
        <v>#N/A</v>
      </c>
      <c r="F430" s="218" t="s">
        <v>2304</v>
      </c>
      <c r="G430" s="53"/>
      <c r="H430" s="67" t="s">
        <v>1275</v>
      </c>
      <c r="I430" s="33" t="s">
        <v>2494</v>
      </c>
      <c r="J430" s="63"/>
      <c r="K430" s="33" t="s">
        <v>519</v>
      </c>
      <c r="L430" s="360"/>
      <c r="M430" s="40"/>
      <c r="N430" s="360"/>
      <c r="O430" s="72" t="s">
        <v>3168</v>
      </c>
      <c r="P430" s="33">
        <v>2013</v>
      </c>
      <c r="Q430" s="40"/>
      <c r="R430" s="40"/>
      <c r="S430" s="40"/>
      <c r="T430" s="40" t="s">
        <v>12</v>
      </c>
      <c r="U430" s="251">
        <v>1284742209</v>
      </c>
      <c r="V430" s="33"/>
      <c r="W430" s="127"/>
      <c r="X430" s="206" t="str">
        <f t="shared" si="128"/>
        <v>4.13.01</v>
      </c>
      <c r="Y430" s="207" t="str">
        <f t="shared" si="130"/>
        <v>JALAN</v>
      </c>
      <c r="Z430" s="207">
        <f t="shared" si="131"/>
        <v>10</v>
      </c>
      <c r="AA430" s="233">
        <f t="shared" si="132"/>
        <v>128474219.90000001</v>
      </c>
      <c r="AB430" s="208">
        <f t="shared" si="133"/>
        <v>0</v>
      </c>
      <c r="AC430" s="233">
        <f t="shared" si="134"/>
        <v>0</v>
      </c>
      <c r="AD430" s="233">
        <f t="shared" si="135"/>
        <v>128474219.90000001</v>
      </c>
      <c r="AE430" s="233">
        <f t="shared" si="136"/>
        <v>128474219.90000001</v>
      </c>
      <c r="AF430" s="233">
        <f t="shared" si="137"/>
        <v>128474219.90000001</v>
      </c>
      <c r="AG430" s="233">
        <f t="shared" si="138"/>
        <v>128474219.90000001</v>
      </c>
      <c r="AH430" s="238">
        <f t="shared" si="139"/>
        <v>128474219.90000001</v>
      </c>
      <c r="AI430" s="238">
        <f t="shared" si="140"/>
        <v>642371099.5</v>
      </c>
      <c r="AJ430" s="261">
        <f t="shared" si="141"/>
        <v>2013</v>
      </c>
      <c r="AK430" s="233">
        <f t="shared" si="142"/>
        <v>642371109.5</v>
      </c>
    </row>
    <row r="431" spans="1:39" s="116" customFormat="1" ht="35.25" hidden="1" customHeight="1" x14ac:dyDescent="0.2">
      <c r="B431" s="116" t="e">
        <f t="shared" si="129"/>
        <v>#N/A</v>
      </c>
      <c r="F431" s="218" t="s">
        <v>2304</v>
      </c>
      <c r="G431" s="53"/>
      <c r="H431" s="67" t="s">
        <v>1276</v>
      </c>
      <c r="I431" s="33" t="s">
        <v>2494</v>
      </c>
      <c r="J431" s="63"/>
      <c r="K431" s="33" t="s">
        <v>519</v>
      </c>
      <c r="L431" s="360"/>
      <c r="M431" s="40"/>
      <c r="N431" s="360"/>
      <c r="O431" s="72" t="s">
        <v>3169</v>
      </c>
      <c r="P431" s="33">
        <v>2013</v>
      </c>
      <c r="Q431" s="40"/>
      <c r="R431" s="40"/>
      <c r="S431" s="40"/>
      <c r="T431" s="40" t="s">
        <v>12</v>
      </c>
      <c r="U431" s="251">
        <v>1749736768</v>
      </c>
      <c r="V431" s="33"/>
      <c r="W431" s="127"/>
      <c r="X431" s="206" t="str">
        <f t="shared" si="128"/>
        <v>4.13.01</v>
      </c>
      <c r="Y431" s="207" t="str">
        <f t="shared" si="130"/>
        <v>JALAN</v>
      </c>
      <c r="Z431" s="207">
        <f t="shared" si="131"/>
        <v>10</v>
      </c>
      <c r="AA431" s="233">
        <f t="shared" si="132"/>
        <v>174973675.80000001</v>
      </c>
      <c r="AB431" s="208">
        <f t="shared" si="133"/>
        <v>0</v>
      </c>
      <c r="AC431" s="233">
        <f t="shared" si="134"/>
        <v>0</v>
      </c>
      <c r="AD431" s="233">
        <f t="shared" si="135"/>
        <v>174973675.80000001</v>
      </c>
      <c r="AE431" s="233">
        <f t="shared" si="136"/>
        <v>174973675.80000001</v>
      </c>
      <c r="AF431" s="233">
        <f t="shared" si="137"/>
        <v>174973675.80000001</v>
      </c>
      <c r="AG431" s="233">
        <f t="shared" si="138"/>
        <v>174973675.80000001</v>
      </c>
      <c r="AH431" s="238">
        <f t="shared" si="139"/>
        <v>174973675.80000001</v>
      </c>
      <c r="AI431" s="238">
        <f t="shared" si="140"/>
        <v>874868379</v>
      </c>
      <c r="AJ431" s="261">
        <f t="shared" si="141"/>
        <v>2013</v>
      </c>
      <c r="AK431" s="233">
        <f t="shared" si="142"/>
        <v>874868389</v>
      </c>
    </row>
    <row r="432" spans="1:39" s="116" customFormat="1" ht="35.25" hidden="1" customHeight="1" x14ac:dyDescent="0.2">
      <c r="A432" s="116">
        <v>167</v>
      </c>
      <c r="B432" s="116" t="str">
        <f t="shared" si="129"/>
        <v>JK. RUAS 190/190 KM 7 + 000 - TANAH BEKALI</v>
      </c>
      <c r="D432" s="116">
        <v>1</v>
      </c>
      <c r="E432" s="116" t="str">
        <f>A432&amp;"."&amp;D432</f>
        <v>167.1</v>
      </c>
      <c r="F432" s="218" t="s">
        <v>2304</v>
      </c>
      <c r="G432" s="53"/>
      <c r="H432" s="67" t="s">
        <v>1277</v>
      </c>
      <c r="I432" s="33" t="s">
        <v>2494</v>
      </c>
      <c r="J432" s="63"/>
      <c r="K432" s="33" t="s">
        <v>519</v>
      </c>
      <c r="L432" s="360"/>
      <c r="M432" s="40"/>
      <c r="N432" s="360"/>
      <c r="O432" s="72" t="s">
        <v>3170</v>
      </c>
      <c r="P432" s="33">
        <v>2013</v>
      </c>
      <c r="Q432" s="40"/>
      <c r="R432" s="40"/>
      <c r="S432" s="40"/>
      <c r="T432" s="40" t="s">
        <v>12</v>
      </c>
      <c r="U432" s="251">
        <v>1663779645</v>
      </c>
      <c r="V432" s="33"/>
      <c r="W432" s="127"/>
      <c r="X432" s="206" t="str">
        <f t="shared" si="128"/>
        <v>4.13.01</v>
      </c>
      <c r="Y432" s="207" t="str">
        <f t="shared" si="130"/>
        <v>JALAN</v>
      </c>
      <c r="Z432" s="207">
        <f t="shared" si="131"/>
        <v>10</v>
      </c>
      <c r="AA432" s="233">
        <f t="shared" si="132"/>
        <v>166377963.5</v>
      </c>
      <c r="AB432" s="208">
        <f t="shared" si="133"/>
        <v>0</v>
      </c>
      <c r="AC432" s="233">
        <f t="shared" si="134"/>
        <v>0</v>
      </c>
      <c r="AD432" s="233">
        <f t="shared" si="135"/>
        <v>166377963.5</v>
      </c>
      <c r="AE432" s="233">
        <f t="shared" si="136"/>
        <v>166377963.5</v>
      </c>
      <c r="AF432" s="233">
        <f t="shared" si="137"/>
        <v>166377963.5</v>
      </c>
      <c r="AG432" s="233">
        <f t="shared" si="138"/>
        <v>166377963.5</v>
      </c>
      <c r="AH432" s="238">
        <f t="shared" si="139"/>
        <v>166377963.5</v>
      </c>
      <c r="AI432" s="238">
        <f t="shared" si="140"/>
        <v>831889817.5</v>
      </c>
      <c r="AJ432" s="261">
        <f t="shared" si="141"/>
        <v>2013</v>
      </c>
      <c r="AK432" s="233">
        <f t="shared" si="142"/>
        <v>831889827.5</v>
      </c>
    </row>
    <row r="433" spans="1:39" s="116" customFormat="1" ht="35.25" hidden="1" customHeight="1" x14ac:dyDescent="0.2">
      <c r="B433" s="116" t="e">
        <f t="shared" si="129"/>
        <v>#N/A</v>
      </c>
      <c r="F433" s="218" t="s">
        <v>2304</v>
      </c>
      <c r="G433" s="53"/>
      <c r="H433" s="67" t="s">
        <v>1278</v>
      </c>
      <c r="I433" s="33" t="s">
        <v>2494</v>
      </c>
      <c r="J433" s="63"/>
      <c r="K433" s="33" t="s">
        <v>519</v>
      </c>
      <c r="L433" s="360"/>
      <c r="M433" s="40"/>
      <c r="N433" s="360"/>
      <c r="O433" s="72" t="s">
        <v>3171</v>
      </c>
      <c r="P433" s="33">
        <v>2013</v>
      </c>
      <c r="Q433" s="40"/>
      <c r="R433" s="40"/>
      <c r="S433" s="40"/>
      <c r="T433" s="40" t="s">
        <v>12</v>
      </c>
      <c r="U433" s="251">
        <v>5337508027</v>
      </c>
      <c r="V433" s="33"/>
      <c r="W433" s="127"/>
      <c r="X433" s="206" t="str">
        <f t="shared" si="128"/>
        <v>4.13.01</v>
      </c>
      <c r="Y433" s="207" t="str">
        <f t="shared" si="130"/>
        <v>JALAN</v>
      </c>
      <c r="Z433" s="207">
        <f t="shared" si="131"/>
        <v>10</v>
      </c>
      <c r="AA433" s="233">
        <f t="shared" si="132"/>
        <v>533750801.69999999</v>
      </c>
      <c r="AB433" s="208">
        <f t="shared" si="133"/>
        <v>0</v>
      </c>
      <c r="AC433" s="233">
        <f t="shared" si="134"/>
        <v>0</v>
      </c>
      <c r="AD433" s="233">
        <f t="shared" si="135"/>
        <v>533750801.69999999</v>
      </c>
      <c r="AE433" s="233">
        <f t="shared" si="136"/>
        <v>533750801.69999999</v>
      </c>
      <c r="AF433" s="233">
        <f t="shared" si="137"/>
        <v>533750801.69999999</v>
      </c>
      <c r="AG433" s="233">
        <f t="shared" si="138"/>
        <v>533750801.69999999</v>
      </c>
      <c r="AH433" s="238">
        <f t="shared" si="139"/>
        <v>533750801.69999999</v>
      </c>
      <c r="AI433" s="238">
        <f t="shared" si="140"/>
        <v>2668754008.5</v>
      </c>
      <c r="AJ433" s="261">
        <f t="shared" si="141"/>
        <v>2013</v>
      </c>
      <c r="AK433" s="233">
        <f t="shared" si="142"/>
        <v>2668754018.5</v>
      </c>
    </row>
    <row r="434" spans="1:39" s="656" customFormat="1" ht="35.25" hidden="1" customHeight="1" x14ac:dyDescent="0.2">
      <c r="B434" s="656" t="e">
        <f t="shared" si="129"/>
        <v>#N/A</v>
      </c>
      <c r="F434" s="657" t="s">
        <v>2304</v>
      </c>
      <c r="G434" s="658"/>
      <c r="H434" s="659" t="s">
        <v>1279</v>
      </c>
      <c r="I434" s="724" t="s">
        <v>2494</v>
      </c>
      <c r="J434" s="725"/>
      <c r="K434" s="724" t="s">
        <v>519</v>
      </c>
      <c r="L434" s="726"/>
      <c r="M434" s="727"/>
      <c r="N434" s="726"/>
      <c r="O434" s="728" t="s">
        <v>3172</v>
      </c>
      <c r="P434" s="724">
        <v>2013</v>
      </c>
      <c r="Q434" s="727"/>
      <c r="R434" s="727"/>
      <c r="S434" s="727"/>
      <c r="T434" s="727" t="s">
        <v>12</v>
      </c>
      <c r="U434" s="729">
        <v>3623464863</v>
      </c>
      <c r="V434" s="724"/>
      <c r="W434" s="730"/>
      <c r="X434" s="660" t="str">
        <f t="shared" si="128"/>
        <v>4.13.01</v>
      </c>
      <c r="Y434" s="661" t="str">
        <f t="shared" si="130"/>
        <v>JALAN</v>
      </c>
      <c r="Z434" s="661">
        <f t="shared" si="131"/>
        <v>10</v>
      </c>
      <c r="AA434" s="662">
        <f t="shared" si="132"/>
        <v>362346485.30000001</v>
      </c>
      <c r="AB434" s="663">
        <f t="shared" si="133"/>
        <v>0</v>
      </c>
      <c r="AC434" s="662">
        <f t="shared" si="134"/>
        <v>0</v>
      </c>
      <c r="AD434" s="662">
        <f t="shared" si="135"/>
        <v>362346485.30000001</v>
      </c>
      <c r="AE434" s="662">
        <f t="shared" si="136"/>
        <v>362346485.30000001</v>
      </c>
      <c r="AF434" s="662">
        <f t="shared" si="137"/>
        <v>362346485.30000001</v>
      </c>
      <c r="AG434" s="662">
        <f t="shared" si="138"/>
        <v>362346485.30000001</v>
      </c>
      <c r="AH434" s="664">
        <f t="shared" si="139"/>
        <v>362346485.30000001</v>
      </c>
      <c r="AI434" s="664">
        <f t="shared" si="140"/>
        <v>1811732426.5</v>
      </c>
      <c r="AJ434" s="261">
        <f t="shared" si="141"/>
        <v>2013</v>
      </c>
      <c r="AK434" s="662">
        <f t="shared" si="142"/>
        <v>1811732436.5</v>
      </c>
    </row>
    <row r="435" spans="1:39" s="116" customFormat="1" ht="35.25" hidden="1" customHeight="1" x14ac:dyDescent="0.2">
      <c r="A435" s="417">
        <v>164</v>
      </c>
      <c r="B435" s="417" t="str">
        <f t="shared" si="129"/>
        <v>PANGEAN - BATAS PELALAWAN</v>
      </c>
      <c r="D435" s="116">
        <v>4</v>
      </c>
      <c r="E435" s="1" t="str">
        <f>A435&amp;"."&amp;D435</f>
        <v>164.4</v>
      </c>
      <c r="F435" s="218" t="s">
        <v>2304</v>
      </c>
      <c r="G435" s="53"/>
      <c r="H435" s="67" t="s">
        <v>1280</v>
      </c>
      <c r="I435" s="33" t="s">
        <v>2494</v>
      </c>
      <c r="J435" s="63"/>
      <c r="K435" s="33" t="s">
        <v>519</v>
      </c>
      <c r="L435" s="360"/>
      <c r="M435" s="40"/>
      <c r="N435" s="360"/>
      <c r="O435" s="72" t="s">
        <v>3100</v>
      </c>
      <c r="P435" s="33">
        <v>2013</v>
      </c>
      <c r="Q435" s="40"/>
      <c r="R435" s="40"/>
      <c r="S435" s="40"/>
      <c r="T435" s="40" t="s">
        <v>12</v>
      </c>
      <c r="U435" s="251">
        <v>1768063472</v>
      </c>
      <c r="V435" s="33"/>
      <c r="W435" s="127"/>
      <c r="X435" s="206" t="str">
        <f t="shared" si="128"/>
        <v>4.13.01</v>
      </c>
      <c r="Y435" s="207" t="str">
        <f t="shared" si="130"/>
        <v>JALAN</v>
      </c>
      <c r="Z435" s="207">
        <f t="shared" si="131"/>
        <v>10</v>
      </c>
      <c r="AA435" s="233">
        <f t="shared" si="132"/>
        <v>176806346.19999999</v>
      </c>
      <c r="AB435" s="208">
        <f t="shared" si="133"/>
        <v>0</v>
      </c>
      <c r="AC435" s="233">
        <f t="shared" si="134"/>
        <v>0</v>
      </c>
      <c r="AD435" s="233">
        <f t="shared" si="135"/>
        <v>176806346.19999999</v>
      </c>
      <c r="AE435" s="233">
        <f t="shared" si="136"/>
        <v>176806346.19999999</v>
      </c>
      <c r="AF435" s="233">
        <f t="shared" si="137"/>
        <v>176806346.19999999</v>
      </c>
      <c r="AG435" s="233">
        <f t="shared" si="138"/>
        <v>176806346.19999999</v>
      </c>
      <c r="AH435" s="238">
        <f t="shared" si="139"/>
        <v>176806346.19999999</v>
      </c>
      <c r="AI435" s="238">
        <f t="shared" si="140"/>
        <v>884031731</v>
      </c>
      <c r="AJ435" s="261">
        <f t="shared" si="141"/>
        <v>2013</v>
      </c>
      <c r="AK435" s="233">
        <f t="shared" si="142"/>
        <v>884031741</v>
      </c>
      <c r="AM435" s="116" t="s">
        <v>4245</v>
      </c>
    </row>
    <row r="436" spans="1:39" s="116" customFormat="1" ht="35.25" hidden="1" customHeight="1" x14ac:dyDescent="0.2">
      <c r="B436" s="116" t="e">
        <f t="shared" si="129"/>
        <v>#N/A</v>
      </c>
      <c r="F436" s="218" t="s">
        <v>2304</v>
      </c>
      <c r="G436" s="53"/>
      <c r="H436" s="67" t="s">
        <v>1281</v>
      </c>
      <c r="I436" s="33" t="s">
        <v>3822</v>
      </c>
      <c r="J436" s="63"/>
      <c r="K436" s="33" t="s">
        <v>519</v>
      </c>
      <c r="L436" s="360"/>
      <c r="M436" s="40"/>
      <c r="N436" s="360"/>
      <c r="O436" s="72" t="s">
        <v>2986</v>
      </c>
      <c r="P436" s="33">
        <v>2013</v>
      </c>
      <c r="Q436" s="40"/>
      <c r="R436" s="40"/>
      <c r="S436" s="40"/>
      <c r="T436" s="40" t="s">
        <v>12</v>
      </c>
      <c r="U436" s="251">
        <v>1780990624</v>
      </c>
      <c r="V436" s="33"/>
      <c r="W436" s="127"/>
      <c r="X436" s="206" t="str">
        <f t="shared" si="128"/>
        <v>4.13.01</v>
      </c>
      <c r="Y436" s="207" t="str">
        <f t="shared" si="130"/>
        <v>JALAN</v>
      </c>
      <c r="Z436" s="207">
        <f t="shared" si="131"/>
        <v>10</v>
      </c>
      <c r="AA436" s="233">
        <f t="shared" si="132"/>
        <v>178099061.40000001</v>
      </c>
      <c r="AB436" s="208">
        <f t="shared" si="133"/>
        <v>0</v>
      </c>
      <c r="AC436" s="233">
        <f t="shared" si="134"/>
        <v>0</v>
      </c>
      <c r="AD436" s="233">
        <f t="shared" si="135"/>
        <v>178099061.40000001</v>
      </c>
      <c r="AE436" s="233">
        <f t="shared" si="136"/>
        <v>178099061.40000001</v>
      </c>
      <c r="AF436" s="233">
        <f t="shared" si="137"/>
        <v>178099061.40000001</v>
      </c>
      <c r="AG436" s="233">
        <f t="shared" si="138"/>
        <v>178099061.40000001</v>
      </c>
      <c r="AH436" s="238">
        <f t="shared" si="139"/>
        <v>178099061.40000001</v>
      </c>
      <c r="AI436" s="238">
        <f t="shared" si="140"/>
        <v>890495307</v>
      </c>
      <c r="AJ436" s="261">
        <f t="shared" si="141"/>
        <v>2013</v>
      </c>
      <c r="AK436" s="233">
        <f t="shared" si="142"/>
        <v>890495317</v>
      </c>
    </row>
    <row r="437" spans="1:39" s="116" customFormat="1" ht="35.25" hidden="1" customHeight="1" x14ac:dyDescent="0.2">
      <c r="B437" s="116" t="e">
        <f t="shared" si="129"/>
        <v>#N/A</v>
      </c>
      <c r="F437" s="218" t="s">
        <v>2304</v>
      </c>
      <c r="G437" s="53"/>
      <c r="H437" s="67" t="s">
        <v>1282</v>
      </c>
      <c r="I437" s="33" t="s">
        <v>3822</v>
      </c>
      <c r="J437" s="63"/>
      <c r="K437" s="33" t="s">
        <v>519</v>
      </c>
      <c r="L437" s="360"/>
      <c r="M437" s="40"/>
      <c r="N437" s="360"/>
      <c r="O437" s="72" t="s">
        <v>2973</v>
      </c>
      <c r="P437" s="33">
        <v>2013</v>
      </c>
      <c r="Q437" s="40"/>
      <c r="R437" s="40"/>
      <c r="S437" s="40"/>
      <c r="T437" s="40" t="s">
        <v>12</v>
      </c>
      <c r="U437" s="251">
        <v>1721445175</v>
      </c>
      <c r="V437" s="33"/>
      <c r="W437" s="127"/>
      <c r="X437" s="206" t="str">
        <f t="shared" si="128"/>
        <v>4.13.01</v>
      </c>
      <c r="Y437" s="207" t="str">
        <f t="shared" si="130"/>
        <v>JALAN</v>
      </c>
      <c r="Z437" s="207">
        <f t="shared" si="131"/>
        <v>10</v>
      </c>
      <c r="AA437" s="233">
        <f t="shared" si="132"/>
        <v>172144516.5</v>
      </c>
      <c r="AB437" s="208">
        <f t="shared" si="133"/>
        <v>0</v>
      </c>
      <c r="AC437" s="233">
        <f t="shared" si="134"/>
        <v>0</v>
      </c>
      <c r="AD437" s="233">
        <f t="shared" si="135"/>
        <v>172144516.5</v>
      </c>
      <c r="AE437" s="233">
        <f t="shared" si="136"/>
        <v>172144516.5</v>
      </c>
      <c r="AF437" s="233">
        <f t="shared" si="137"/>
        <v>172144516.5</v>
      </c>
      <c r="AG437" s="233">
        <f t="shared" si="138"/>
        <v>172144516.5</v>
      </c>
      <c r="AH437" s="238">
        <f t="shared" si="139"/>
        <v>172144516.5</v>
      </c>
      <c r="AI437" s="238">
        <f t="shared" si="140"/>
        <v>860722582.5</v>
      </c>
      <c r="AJ437" s="261">
        <f t="shared" si="141"/>
        <v>2013</v>
      </c>
      <c r="AK437" s="233">
        <f t="shared" si="142"/>
        <v>860722592.5</v>
      </c>
    </row>
    <row r="438" spans="1:39" s="116" customFormat="1" ht="35.25" hidden="1" customHeight="1" x14ac:dyDescent="0.2">
      <c r="A438" s="116">
        <v>92</v>
      </c>
      <c r="B438" s="116" t="str">
        <f t="shared" si="129"/>
        <v>SIMP. 4 PANGKALAN - MUARA PETAI</v>
      </c>
      <c r="D438" s="116">
        <v>1</v>
      </c>
      <c r="E438" s="116" t="str">
        <f>A438&amp;"."&amp;D438</f>
        <v>92.1</v>
      </c>
      <c r="F438" s="218" t="s">
        <v>2304</v>
      </c>
      <c r="G438" s="53"/>
      <c r="H438" s="67" t="s">
        <v>1283</v>
      </c>
      <c r="I438" s="33" t="s">
        <v>2494</v>
      </c>
      <c r="J438" s="63"/>
      <c r="K438" s="33" t="s">
        <v>519</v>
      </c>
      <c r="L438" s="360"/>
      <c r="M438" s="40"/>
      <c r="N438" s="360"/>
      <c r="O438" s="72" t="s">
        <v>3173</v>
      </c>
      <c r="P438" s="33">
        <v>2013</v>
      </c>
      <c r="Q438" s="40"/>
      <c r="R438" s="40"/>
      <c r="S438" s="40"/>
      <c r="T438" s="40" t="s">
        <v>12</v>
      </c>
      <c r="U438" s="251">
        <v>3025459495</v>
      </c>
      <c r="V438" s="33"/>
      <c r="W438" s="127"/>
      <c r="X438" s="206" t="str">
        <f t="shared" si="128"/>
        <v>4.13.01</v>
      </c>
      <c r="Y438" s="207" t="str">
        <f t="shared" si="130"/>
        <v>JALAN</v>
      </c>
      <c r="Z438" s="207">
        <f t="shared" si="131"/>
        <v>10</v>
      </c>
      <c r="AA438" s="233">
        <f t="shared" si="132"/>
        <v>302545948.5</v>
      </c>
      <c r="AB438" s="208">
        <f t="shared" si="133"/>
        <v>0</v>
      </c>
      <c r="AC438" s="233">
        <f t="shared" si="134"/>
        <v>0</v>
      </c>
      <c r="AD438" s="233">
        <f t="shared" si="135"/>
        <v>302545948.5</v>
      </c>
      <c r="AE438" s="233">
        <f t="shared" si="136"/>
        <v>302545948.5</v>
      </c>
      <c r="AF438" s="233">
        <f t="shared" si="137"/>
        <v>302545948.5</v>
      </c>
      <c r="AG438" s="233">
        <f t="shared" si="138"/>
        <v>302545948.5</v>
      </c>
      <c r="AH438" s="238">
        <f t="shared" si="139"/>
        <v>302545948.5</v>
      </c>
      <c r="AI438" s="238">
        <f t="shared" si="140"/>
        <v>1512729742.5</v>
      </c>
      <c r="AJ438" s="261">
        <f t="shared" si="141"/>
        <v>2013</v>
      </c>
      <c r="AK438" s="233">
        <f t="shared" si="142"/>
        <v>1512729752.5</v>
      </c>
    </row>
    <row r="439" spans="1:39" s="116" customFormat="1" ht="35.25" hidden="1" customHeight="1" x14ac:dyDescent="0.2">
      <c r="B439" s="116" t="e">
        <f t="shared" si="129"/>
        <v>#N/A</v>
      </c>
      <c r="F439" s="218" t="s">
        <v>2304</v>
      </c>
      <c r="G439" s="53"/>
      <c r="H439" s="67" t="s">
        <v>1284</v>
      </c>
      <c r="I439" s="33" t="s">
        <v>2494</v>
      </c>
      <c r="J439" s="63"/>
      <c r="K439" s="33"/>
      <c r="L439" s="360"/>
      <c r="M439" s="40"/>
      <c r="N439" s="360"/>
      <c r="O439" s="72" t="s">
        <v>3174</v>
      </c>
      <c r="P439" s="33">
        <v>2013</v>
      </c>
      <c r="Q439" s="40"/>
      <c r="R439" s="40"/>
      <c r="S439" s="40"/>
      <c r="T439" s="40" t="s">
        <v>12</v>
      </c>
      <c r="U439" s="251">
        <v>5749727762</v>
      </c>
      <c r="V439" s="33"/>
      <c r="W439" s="127"/>
      <c r="X439" s="206" t="str">
        <f t="shared" si="128"/>
        <v>4.13.01</v>
      </c>
      <c r="Y439" s="207" t="str">
        <f t="shared" si="130"/>
        <v>JALAN</v>
      </c>
      <c r="Z439" s="207">
        <f t="shared" si="131"/>
        <v>10</v>
      </c>
      <c r="AA439" s="233">
        <f t="shared" si="132"/>
        <v>574972775.20000005</v>
      </c>
      <c r="AB439" s="208">
        <f t="shared" si="133"/>
        <v>0</v>
      </c>
      <c r="AC439" s="233">
        <f t="shared" si="134"/>
        <v>0</v>
      </c>
      <c r="AD439" s="233">
        <f t="shared" si="135"/>
        <v>574972775.20000005</v>
      </c>
      <c r="AE439" s="233">
        <f t="shared" si="136"/>
        <v>574972775.20000005</v>
      </c>
      <c r="AF439" s="233">
        <f t="shared" si="137"/>
        <v>574972775.20000005</v>
      </c>
      <c r="AG439" s="233">
        <f t="shared" si="138"/>
        <v>574972775.20000005</v>
      </c>
      <c r="AH439" s="238">
        <f t="shared" si="139"/>
        <v>574972775.20000005</v>
      </c>
      <c r="AI439" s="238">
        <f t="shared" si="140"/>
        <v>2874863876</v>
      </c>
      <c r="AJ439" s="261">
        <f t="shared" si="141"/>
        <v>2013</v>
      </c>
      <c r="AK439" s="233">
        <f t="shared" si="142"/>
        <v>2874863886</v>
      </c>
    </row>
    <row r="440" spans="1:39" s="116" customFormat="1" ht="35.25" hidden="1" customHeight="1" x14ac:dyDescent="0.2">
      <c r="A440" s="116">
        <v>230</v>
      </c>
      <c r="B440" s="116" t="str">
        <f t="shared" si="129"/>
        <v>LOGAS - SUMBER DATAR</v>
      </c>
      <c r="D440" s="116">
        <v>1</v>
      </c>
      <c r="E440" s="116" t="str">
        <f>A440&amp;"."&amp;D440</f>
        <v>230.1</v>
      </c>
      <c r="F440" s="218" t="s">
        <v>2304</v>
      </c>
      <c r="G440" s="53"/>
      <c r="H440" s="67" t="s">
        <v>1285</v>
      </c>
      <c r="I440" s="33" t="s">
        <v>2494</v>
      </c>
      <c r="J440" s="63"/>
      <c r="K440" s="33" t="s">
        <v>839</v>
      </c>
      <c r="L440" s="360"/>
      <c r="M440" s="40"/>
      <c r="N440" s="360"/>
      <c r="O440" s="72" t="s">
        <v>3175</v>
      </c>
      <c r="P440" s="33">
        <v>2013</v>
      </c>
      <c r="Q440" s="40"/>
      <c r="R440" s="40"/>
      <c r="S440" s="40"/>
      <c r="T440" s="40" t="s">
        <v>12</v>
      </c>
      <c r="U440" s="251">
        <v>716925612</v>
      </c>
      <c r="V440" s="33"/>
      <c r="W440" s="127"/>
      <c r="X440" s="206" t="str">
        <f t="shared" si="128"/>
        <v>4.13.01</v>
      </c>
      <c r="Y440" s="207" t="str">
        <f t="shared" si="130"/>
        <v>JALAN</v>
      </c>
      <c r="Z440" s="207">
        <f t="shared" si="131"/>
        <v>10</v>
      </c>
      <c r="AA440" s="233">
        <f t="shared" si="132"/>
        <v>71692560.200000003</v>
      </c>
      <c r="AB440" s="208">
        <f t="shared" si="133"/>
        <v>0</v>
      </c>
      <c r="AC440" s="233">
        <f t="shared" si="134"/>
        <v>0</v>
      </c>
      <c r="AD440" s="233">
        <f t="shared" si="135"/>
        <v>71692560.200000003</v>
      </c>
      <c r="AE440" s="233">
        <f t="shared" si="136"/>
        <v>71692560.200000003</v>
      </c>
      <c r="AF440" s="233">
        <f t="shared" si="137"/>
        <v>71692560.200000003</v>
      </c>
      <c r="AG440" s="233">
        <f t="shared" si="138"/>
        <v>71692560.200000003</v>
      </c>
      <c r="AH440" s="238">
        <f t="shared" si="139"/>
        <v>71692560.200000003</v>
      </c>
      <c r="AI440" s="238">
        <f t="shared" si="140"/>
        <v>358462801</v>
      </c>
      <c r="AJ440" s="261">
        <f t="shared" si="141"/>
        <v>2013</v>
      </c>
      <c r="AK440" s="233">
        <f t="shared" si="142"/>
        <v>358462811</v>
      </c>
    </row>
    <row r="441" spans="1:39" s="116" customFormat="1" ht="35.25" hidden="1" customHeight="1" x14ac:dyDescent="0.2">
      <c r="B441" s="116" t="e">
        <f t="shared" si="129"/>
        <v>#N/A</v>
      </c>
      <c r="E441" s="116" t="str">
        <f>A441&amp;"."&amp;D441</f>
        <v>.</v>
      </c>
      <c r="F441" s="218" t="s">
        <v>2305</v>
      </c>
      <c r="G441" s="53"/>
      <c r="H441" s="67" t="s">
        <v>1286</v>
      </c>
      <c r="I441" s="33" t="s">
        <v>2494</v>
      </c>
      <c r="J441" s="63"/>
      <c r="K441" s="33"/>
      <c r="L441" s="360"/>
      <c r="M441" s="40"/>
      <c r="N441" s="360"/>
      <c r="O441" s="72" t="s">
        <v>3103</v>
      </c>
      <c r="P441" s="33">
        <v>2013</v>
      </c>
      <c r="Q441" s="40"/>
      <c r="R441" s="40"/>
      <c r="S441" s="40"/>
      <c r="T441" s="40" t="s">
        <v>12</v>
      </c>
      <c r="U441" s="251">
        <v>1027221016</v>
      </c>
      <c r="V441" s="33"/>
      <c r="W441" s="127"/>
      <c r="X441" s="206" t="str">
        <f t="shared" si="128"/>
        <v>4.13.02</v>
      </c>
      <c r="Y441" s="207" t="str">
        <f t="shared" si="130"/>
        <v>JEMBATAN</v>
      </c>
      <c r="Z441" s="207">
        <f t="shared" si="131"/>
        <v>50</v>
      </c>
      <c r="AA441" s="233">
        <f t="shared" si="132"/>
        <v>20544420.120000001</v>
      </c>
      <c r="AB441" s="208">
        <f t="shared" si="133"/>
        <v>0</v>
      </c>
      <c r="AC441" s="233">
        <f t="shared" si="134"/>
        <v>0</v>
      </c>
      <c r="AD441" s="233">
        <f t="shared" si="135"/>
        <v>20544420.120000001</v>
      </c>
      <c r="AE441" s="233">
        <f t="shared" si="136"/>
        <v>20544420.120000001</v>
      </c>
      <c r="AF441" s="233">
        <f t="shared" si="137"/>
        <v>20544420.120000001</v>
      </c>
      <c r="AG441" s="233">
        <f t="shared" si="138"/>
        <v>20544420.120000001</v>
      </c>
      <c r="AH441" s="238">
        <f t="shared" si="139"/>
        <v>20544420.120000001</v>
      </c>
      <c r="AI441" s="238">
        <f t="shared" si="140"/>
        <v>102722100.60000001</v>
      </c>
      <c r="AJ441" s="261">
        <f t="shared" si="141"/>
        <v>2013</v>
      </c>
      <c r="AK441" s="233">
        <f t="shared" si="142"/>
        <v>924498915.39999998</v>
      </c>
    </row>
    <row r="442" spans="1:39" s="116" customFormat="1" ht="35.25" hidden="1" customHeight="1" x14ac:dyDescent="0.2">
      <c r="B442" s="116" t="e">
        <f t="shared" si="129"/>
        <v>#N/A</v>
      </c>
      <c r="F442" s="218" t="s">
        <v>2305</v>
      </c>
      <c r="G442" s="53"/>
      <c r="H442" s="67" t="s">
        <v>1287</v>
      </c>
      <c r="I442" s="33" t="s">
        <v>3824</v>
      </c>
      <c r="J442" s="63"/>
      <c r="K442" s="33" t="s">
        <v>840</v>
      </c>
      <c r="L442" s="360"/>
      <c r="M442" s="40"/>
      <c r="N442" s="360"/>
      <c r="O442" s="72" t="s">
        <v>746</v>
      </c>
      <c r="P442" s="33">
        <v>2013</v>
      </c>
      <c r="Q442" s="40"/>
      <c r="R442" s="40"/>
      <c r="S442" s="40"/>
      <c r="T442" s="40" t="s">
        <v>12</v>
      </c>
      <c r="U442" s="251">
        <v>8623468047</v>
      </c>
      <c r="V442" s="33"/>
      <c r="W442" s="127"/>
      <c r="X442" s="206" t="str">
        <f t="shared" si="128"/>
        <v>4.13.02</v>
      </c>
      <c r="Y442" s="207" t="str">
        <f t="shared" si="130"/>
        <v>JEMBATAN</v>
      </c>
      <c r="Z442" s="207">
        <f t="shared" si="131"/>
        <v>50</v>
      </c>
      <c r="AA442" s="233">
        <f t="shared" si="132"/>
        <v>172469360.74000001</v>
      </c>
      <c r="AB442" s="208">
        <f t="shared" si="133"/>
        <v>0</v>
      </c>
      <c r="AC442" s="233">
        <f t="shared" si="134"/>
        <v>0</v>
      </c>
      <c r="AD442" s="233">
        <f t="shared" si="135"/>
        <v>172469360.74000001</v>
      </c>
      <c r="AE442" s="233">
        <f t="shared" si="136"/>
        <v>172469360.74000001</v>
      </c>
      <c r="AF442" s="233">
        <f t="shared" si="137"/>
        <v>172469360.74000001</v>
      </c>
      <c r="AG442" s="233">
        <f t="shared" si="138"/>
        <v>172469360.74000001</v>
      </c>
      <c r="AH442" s="238">
        <f t="shared" si="139"/>
        <v>172469360.74000001</v>
      </c>
      <c r="AI442" s="238">
        <f t="shared" si="140"/>
        <v>862346803.70000005</v>
      </c>
      <c r="AJ442" s="261">
        <f t="shared" si="141"/>
        <v>2013</v>
      </c>
      <c r="AK442" s="233">
        <f t="shared" si="142"/>
        <v>7761121243.3000002</v>
      </c>
    </row>
    <row r="443" spans="1:39" s="116" customFormat="1" ht="35.25" hidden="1" customHeight="1" x14ac:dyDescent="0.2">
      <c r="B443" s="116" t="e">
        <f t="shared" si="129"/>
        <v>#N/A</v>
      </c>
      <c r="F443" s="218" t="s">
        <v>2305</v>
      </c>
      <c r="G443" s="53"/>
      <c r="H443" s="67" t="s">
        <v>1288</v>
      </c>
      <c r="I443" s="33" t="s">
        <v>3824</v>
      </c>
      <c r="J443" s="63"/>
      <c r="K443" s="33" t="s">
        <v>840</v>
      </c>
      <c r="L443" s="360"/>
      <c r="M443" s="40"/>
      <c r="N443" s="360"/>
      <c r="O443" s="72" t="s">
        <v>3176</v>
      </c>
      <c r="P443" s="33">
        <v>2013</v>
      </c>
      <c r="Q443" s="40"/>
      <c r="R443" s="40"/>
      <c r="S443" s="40"/>
      <c r="T443" s="40" t="s">
        <v>12</v>
      </c>
      <c r="U443" s="251">
        <v>2280941691</v>
      </c>
      <c r="V443" s="33"/>
      <c r="W443" s="127"/>
      <c r="X443" s="206" t="str">
        <f t="shared" si="128"/>
        <v>4.13.02</v>
      </c>
      <c r="Y443" s="207" t="str">
        <f t="shared" si="130"/>
        <v>JEMBATAN</v>
      </c>
      <c r="Z443" s="207">
        <f t="shared" si="131"/>
        <v>50</v>
      </c>
      <c r="AA443" s="233">
        <f t="shared" si="132"/>
        <v>45618833.619999997</v>
      </c>
      <c r="AB443" s="208">
        <f t="shared" si="133"/>
        <v>0</v>
      </c>
      <c r="AC443" s="233">
        <f t="shared" si="134"/>
        <v>0</v>
      </c>
      <c r="AD443" s="233">
        <f t="shared" si="135"/>
        <v>45618833.619999997</v>
      </c>
      <c r="AE443" s="233">
        <f t="shared" si="136"/>
        <v>45618833.619999997</v>
      </c>
      <c r="AF443" s="233">
        <f t="shared" si="137"/>
        <v>45618833.619999997</v>
      </c>
      <c r="AG443" s="233">
        <f t="shared" si="138"/>
        <v>45618833.619999997</v>
      </c>
      <c r="AH443" s="238">
        <f t="shared" si="139"/>
        <v>45618833.619999997</v>
      </c>
      <c r="AI443" s="238">
        <f t="shared" si="140"/>
        <v>228094168.09999999</v>
      </c>
      <c r="AJ443" s="261">
        <f t="shared" si="141"/>
        <v>2013</v>
      </c>
      <c r="AK443" s="233">
        <f t="shared" si="142"/>
        <v>2052847522.9000001</v>
      </c>
    </row>
    <row r="444" spans="1:39" s="116" customFormat="1" ht="35.25" hidden="1" customHeight="1" x14ac:dyDescent="0.2">
      <c r="B444" s="116" t="e">
        <f t="shared" si="129"/>
        <v>#N/A</v>
      </c>
      <c r="F444" s="218" t="s">
        <v>2305</v>
      </c>
      <c r="G444" s="53"/>
      <c r="H444" s="67" t="s">
        <v>1289</v>
      </c>
      <c r="I444" s="33" t="s">
        <v>3824</v>
      </c>
      <c r="J444" s="63"/>
      <c r="K444" s="33" t="s">
        <v>840</v>
      </c>
      <c r="L444" s="360"/>
      <c r="M444" s="40"/>
      <c r="N444" s="360"/>
      <c r="O444" s="72" t="s">
        <v>3014</v>
      </c>
      <c r="P444" s="33">
        <v>2013</v>
      </c>
      <c r="Q444" s="40"/>
      <c r="R444" s="40"/>
      <c r="S444" s="40"/>
      <c r="T444" s="40" t="s">
        <v>12</v>
      </c>
      <c r="U444" s="251">
        <v>2104052688</v>
      </c>
      <c r="V444" s="33"/>
      <c r="W444" s="127"/>
      <c r="X444" s="206" t="str">
        <f t="shared" si="128"/>
        <v>4.13.02</v>
      </c>
      <c r="Y444" s="207" t="str">
        <f t="shared" si="130"/>
        <v>JEMBATAN</v>
      </c>
      <c r="Z444" s="207">
        <f t="shared" si="131"/>
        <v>50</v>
      </c>
      <c r="AA444" s="233">
        <f t="shared" si="132"/>
        <v>42081053.560000002</v>
      </c>
      <c r="AB444" s="208">
        <f t="shared" si="133"/>
        <v>0</v>
      </c>
      <c r="AC444" s="233">
        <f t="shared" si="134"/>
        <v>0</v>
      </c>
      <c r="AD444" s="233">
        <f t="shared" si="135"/>
        <v>42081053.560000002</v>
      </c>
      <c r="AE444" s="233">
        <f t="shared" si="136"/>
        <v>42081053.560000002</v>
      </c>
      <c r="AF444" s="233">
        <f t="shared" si="137"/>
        <v>42081053.560000002</v>
      </c>
      <c r="AG444" s="233">
        <f t="shared" si="138"/>
        <v>42081053.560000002</v>
      </c>
      <c r="AH444" s="238">
        <f t="shared" si="139"/>
        <v>42081053.560000002</v>
      </c>
      <c r="AI444" s="238">
        <f t="shared" si="140"/>
        <v>210405267.80000001</v>
      </c>
      <c r="AJ444" s="261">
        <f t="shared" si="141"/>
        <v>2013</v>
      </c>
      <c r="AK444" s="233">
        <f t="shared" si="142"/>
        <v>1893647420.2</v>
      </c>
    </row>
    <row r="445" spans="1:39" s="116" customFormat="1" ht="35.25" hidden="1" customHeight="1" x14ac:dyDescent="0.2">
      <c r="B445" s="116" t="e">
        <f t="shared" si="129"/>
        <v>#N/A</v>
      </c>
      <c r="F445" s="218" t="s">
        <v>2305</v>
      </c>
      <c r="G445" s="53"/>
      <c r="H445" s="67" t="s">
        <v>1290</v>
      </c>
      <c r="I445" s="33" t="s">
        <v>3828</v>
      </c>
      <c r="J445" s="63"/>
      <c r="K445" s="33" t="s">
        <v>835</v>
      </c>
      <c r="L445" s="360"/>
      <c r="M445" s="40"/>
      <c r="N445" s="360"/>
      <c r="O445" s="72" t="s">
        <v>417</v>
      </c>
      <c r="P445" s="33">
        <v>2013</v>
      </c>
      <c r="Q445" s="40"/>
      <c r="R445" s="40"/>
      <c r="S445" s="40"/>
      <c r="T445" s="40" t="s">
        <v>12</v>
      </c>
      <c r="U445" s="251">
        <v>1827236217</v>
      </c>
      <c r="V445" s="33"/>
      <c r="W445" s="127"/>
      <c r="X445" s="206" t="str">
        <f t="shared" si="128"/>
        <v>4.13.02</v>
      </c>
      <c r="Y445" s="207" t="str">
        <f t="shared" si="130"/>
        <v>JEMBATAN</v>
      </c>
      <c r="Z445" s="207">
        <f t="shared" si="131"/>
        <v>50</v>
      </c>
      <c r="AA445" s="233">
        <f t="shared" si="132"/>
        <v>36544724.140000001</v>
      </c>
      <c r="AB445" s="208">
        <f t="shared" si="133"/>
        <v>0</v>
      </c>
      <c r="AC445" s="233">
        <f t="shared" si="134"/>
        <v>0</v>
      </c>
      <c r="AD445" s="233">
        <f t="shared" si="135"/>
        <v>36544724.140000001</v>
      </c>
      <c r="AE445" s="233">
        <f t="shared" si="136"/>
        <v>36544724.140000001</v>
      </c>
      <c r="AF445" s="233">
        <f t="shared" si="137"/>
        <v>36544724.140000001</v>
      </c>
      <c r="AG445" s="233">
        <f t="shared" si="138"/>
        <v>36544724.140000001</v>
      </c>
      <c r="AH445" s="238">
        <f t="shared" si="139"/>
        <v>36544724.140000001</v>
      </c>
      <c r="AI445" s="238">
        <f t="shared" si="140"/>
        <v>182723620.69999999</v>
      </c>
      <c r="AJ445" s="261">
        <f t="shared" si="141"/>
        <v>2013</v>
      </c>
      <c r="AK445" s="233">
        <f t="shared" si="142"/>
        <v>1644512596.3</v>
      </c>
    </row>
    <row r="446" spans="1:39" s="116" customFormat="1" ht="35.25" hidden="1" customHeight="1" x14ac:dyDescent="0.2">
      <c r="A446" s="116">
        <v>117</v>
      </c>
      <c r="B446" s="116" t="str">
        <f t="shared" si="129"/>
        <v>KAMPUNG BARU TOAR - GUNUNG</v>
      </c>
      <c r="D446" s="116">
        <v>2</v>
      </c>
      <c r="E446" s="116" t="str">
        <f>A446&amp;"."&amp;D446</f>
        <v>117.2</v>
      </c>
      <c r="F446" s="218" t="s">
        <v>2304</v>
      </c>
      <c r="G446" s="53"/>
      <c r="H446" s="67" t="s">
        <v>1291</v>
      </c>
      <c r="I446" s="33" t="s">
        <v>2494</v>
      </c>
      <c r="J446" s="63"/>
      <c r="K446" s="33" t="s">
        <v>519</v>
      </c>
      <c r="L446" s="360"/>
      <c r="M446" s="40"/>
      <c r="N446" s="360"/>
      <c r="O446" s="72" t="s">
        <v>3177</v>
      </c>
      <c r="P446" s="33">
        <v>2013</v>
      </c>
      <c r="Q446" s="40"/>
      <c r="R446" s="40"/>
      <c r="S446" s="40"/>
      <c r="T446" s="40" t="s">
        <v>12</v>
      </c>
      <c r="U446" s="251">
        <v>1701051417</v>
      </c>
      <c r="V446" s="33"/>
      <c r="W446" s="127"/>
      <c r="X446" s="206" t="str">
        <f t="shared" si="128"/>
        <v>4.13.01</v>
      </c>
      <c r="Y446" s="207" t="str">
        <f t="shared" si="130"/>
        <v>JALAN</v>
      </c>
      <c r="Z446" s="207">
        <f t="shared" si="131"/>
        <v>10</v>
      </c>
      <c r="AA446" s="233">
        <f t="shared" si="132"/>
        <v>170105140.69999999</v>
      </c>
      <c r="AB446" s="208">
        <f t="shared" si="133"/>
        <v>0</v>
      </c>
      <c r="AC446" s="233">
        <f t="shared" si="134"/>
        <v>0</v>
      </c>
      <c r="AD446" s="233">
        <f t="shared" si="135"/>
        <v>170105140.69999999</v>
      </c>
      <c r="AE446" s="233">
        <f t="shared" si="136"/>
        <v>170105140.69999999</v>
      </c>
      <c r="AF446" s="233">
        <f t="shared" si="137"/>
        <v>170105140.69999999</v>
      </c>
      <c r="AG446" s="233">
        <f t="shared" si="138"/>
        <v>170105140.69999999</v>
      </c>
      <c r="AH446" s="238">
        <f t="shared" si="139"/>
        <v>170105140.69999999</v>
      </c>
      <c r="AI446" s="238">
        <f t="shared" si="140"/>
        <v>850525703.5</v>
      </c>
      <c r="AJ446" s="261">
        <f t="shared" si="141"/>
        <v>2013</v>
      </c>
      <c r="AK446" s="233">
        <f t="shared" si="142"/>
        <v>850525713.5</v>
      </c>
      <c r="AM446" s="116" t="s">
        <v>4245</v>
      </c>
    </row>
    <row r="447" spans="1:39" s="116" customFormat="1" ht="35.25" hidden="1" customHeight="1" x14ac:dyDescent="0.2">
      <c r="B447" s="116" t="e">
        <f t="shared" si="129"/>
        <v>#N/A</v>
      </c>
      <c r="F447" s="218" t="s">
        <v>2304</v>
      </c>
      <c r="G447" s="53"/>
      <c r="H447" s="67" t="s">
        <v>1292</v>
      </c>
      <c r="I447" s="33" t="s">
        <v>2494</v>
      </c>
      <c r="J447" s="63"/>
      <c r="K447" s="33" t="s">
        <v>519</v>
      </c>
      <c r="L447" s="360"/>
      <c r="M447" s="40"/>
      <c r="N447" s="360"/>
      <c r="O447" s="72" t="s">
        <v>900</v>
      </c>
      <c r="P447" s="33">
        <v>2013</v>
      </c>
      <c r="Q447" s="40"/>
      <c r="R447" s="40"/>
      <c r="S447" s="40"/>
      <c r="T447" s="40" t="s">
        <v>12</v>
      </c>
      <c r="U447" s="251">
        <v>1684357399</v>
      </c>
      <c r="V447" s="33"/>
      <c r="W447" s="127"/>
      <c r="X447" s="206" t="str">
        <f t="shared" si="128"/>
        <v>4.13.01</v>
      </c>
      <c r="Y447" s="207" t="str">
        <f t="shared" si="130"/>
        <v>JALAN</v>
      </c>
      <c r="Z447" s="207">
        <f t="shared" si="131"/>
        <v>10</v>
      </c>
      <c r="AA447" s="233">
        <f t="shared" si="132"/>
        <v>168435738.90000001</v>
      </c>
      <c r="AB447" s="208">
        <f t="shared" si="133"/>
        <v>0</v>
      </c>
      <c r="AC447" s="233">
        <f t="shared" si="134"/>
        <v>0</v>
      </c>
      <c r="AD447" s="233">
        <f t="shared" si="135"/>
        <v>168435738.90000001</v>
      </c>
      <c r="AE447" s="233">
        <f t="shared" si="136"/>
        <v>168435738.90000001</v>
      </c>
      <c r="AF447" s="233">
        <f t="shared" si="137"/>
        <v>168435738.90000001</v>
      </c>
      <c r="AG447" s="233">
        <f t="shared" si="138"/>
        <v>168435738.90000001</v>
      </c>
      <c r="AH447" s="238">
        <f t="shared" si="139"/>
        <v>168435738.90000001</v>
      </c>
      <c r="AI447" s="238">
        <f t="shared" si="140"/>
        <v>842178694.5</v>
      </c>
      <c r="AJ447" s="261">
        <f t="shared" si="141"/>
        <v>2013</v>
      </c>
      <c r="AK447" s="233">
        <f t="shared" si="142"/>
        <v>842178704.5</v>
      </c>
    </row>
    <row r="448" spans="1:39" s="116" customFormat="1" ht="35.25" hidden="1" customHeight="1" x14ac:dyDescent="0.2">
      <c r="B448" s="116" t="e">
        <f t="shared" si="129"/>
        <v>#N/A</v>
      </c>
      <c r="F448" s="218" t="s">
        <v>2304</v>
      </c>
      <c r="G448" s="53"/>
      <c r="H448" s="67" t="s">
        <v>1293</v>
      </c>
      <c r="I448" s="33" t="s">
        <v>3822</v>
      </c>
      <c r="J448" s="63"/>
      <c r="K448" s="33"/>
      <c r="L448" s="360"/>
      <c r="M448" s="40"/>
      <c r="N448" s="360"/>
      <c r="O448" s="72" t="s">
        <v>3178</v>
      </c>
      <c r="P448" s="33">
        <v>2013</v>
      </c>
      <c r="Q448" s="40"/>
      <c r="R448" s="40"/>
      <c r="S448" s="40"/>
      <c r="T448" s="40" t="s">
        <v>12</v>
      </c>
      <c r="U448" s="251">
        <v>783907728</v>
      </c>
      <c r="V448" s="33"/>
      <c r="W448" s="127"/>
      <c r="X448" s="206" t="str">
        <f t="shared" si="128"/>
        <v>4.13.01</v>
      </c>
      <c r="Y448" s="207" t="str">
        <f t="shared" si="130"/>
        <v>JALAN</v>
      </c>
      <c r="Z448" s="207">
        <f t="shared" si="131"/>
        <v>10</v>
      </c>
      <c r="AA448" s="233">
        <f t="shared" si="132"/>
        <v>78390771.799999997</v>
      </c>
      <c r="AB448" s="208">
        <f t="shared" si="133"/>
        <v>0</v>
      </c>
      <c r="AC448" s="233">
        <f t="shared" si="134"/>
        <v>0</v>
      </c>
      <c r="AD448" s="233">
        <f t="shared" si="135"/>
        <v>78390771.799999997</v>
      </c>
      <c r="AE448" s="233">
        <f t="shared" si="136"/>
        <v>78390771.799999997</v>
      </c>
      <c r="AF448" s="233">
        <f t="shared" si="137"/>
        <v>78390771.799999997</v>
      </c>
      <c r="AG448" s="233">
        <f t="shared" si="138"/>
        <v>78390771.799999997</v>
      </c>
      <c r="AH448" s="238">
        <f t="shared" si="139"/>
        <v>78390771.799999997</v>
      </c>
      <c r="AI448" s="238">
        <f t="shared" si="140"/>
        <v>391953859</v>
      </c>
      <c r="AJ448" s="261">
        <f t="shared" si="141"/>
        <v>2013</v>
      </c>
      <c r="AK448" s="233">
        <f t="shared" si="142"/>
        <v>391953869</v>
      </c>
    </row>
    <row r="449" spans="1:39" s="116" customFormat="1" ht="35.25" hidden="1" customHeight="1" x14ac:dyDescent="0.2">
      <c r="A449" s="116">
        <v>4</v>
      </c>
      <c r="B449" s="116" t="str">
        <f t="shared" si="129"/>
        <v>SENTAJO - MUARA LANGSAT</v>
      </c>
      <c r="D449" s="116">
        <v>2</v>
      </c>
      <c r="E449" s="120" t="str">
        <f t="shared" ref="E449:E457" si="143">A449&amp;"."&amp;D449</f>
        <v>4.2</v>
      </c>
      <c r="F449" s="218" t="s">
        <v>2305</v>
      </c>
      <c r="G449" s="53"/>
      <c r="H449" s="67" t="s">
        <v>1294</v>
      </c>
      <c r="I449" s="33" t="s">
        <v>2494</v>
      </c>
      <c r="J449" s="63"/>
      <c r="K449" s="33" t="s">
        <v>835</v>
      </c>
      <c r="L449" s="360"/>
      <c r="M449" s="40"/>
      <c r="N449" s="360"/>
      <c r="O449" s="72" t="s">
        <v>619</v>
      </c>
      <c r="P449" s="33">
        <v>2013</v>
      </c>
      <c r="Q449" s="40"/>
      <c r="R449" s="40"/>
      <c r="S449" s="40"/>
      <c r="T449" s="40" t="s">
        <v>12</v>
      </c>
      <c r="U449" s="251">
        <v>198785526</v>
      </c>
      <c r="V449" s="33"/>
      <c r="W449" s="127"/>
      <c r="X449" s="206" t="str">
        <f t="shared" si="128"/>
        <v>4.13.02</v>
      </c>
      <c r="Y449" s="207" t="str">
        <f t="shared" si="130"/>
        <v>JEMBATAN</v>
      </c>
      <c r="Z449" s="207">
        <f t="shared" si="131"/>
        <v>50</v>
      </c>
      <c r="AA449" s="233">
        <f t="shared" si="132"/>
        <v>3975710.32</v>
      </c>
      <c r="AB449" s="208">
        <f t="shared" si="133"/>
        <v>0</v>
      </c>
      <c r="AC449" s="233">
        <f t="shared" si="134"/>
        <v>0</v>
      </c>
      <c r="AD449" s="233">
        <f t="shared" si="135"/>
        <v>3975710.32</v>
      </c>
      <c r="AE449" s="233">
        <f t="shared" si="136"/>
        <v>3975710.32</v>
      </c>
      <c r="AF449" s="233">
        <f t="shared" si="137"/>
        <v>3975710.32</v>
      </c>
      <c r="AG449" s="233">
        <f t="shared" si="138"/>
        <v>3975710.32</v>
      </c>
      <c r="AH449" s="238">
        <f t="shared" si="139"/>
        <v>3975710.32</v>
      </c>
      <c r="AI449" s="238">
        <f t="shared" si="140"/>
        <v>19878551.599999998</v>
      </c>
      <c r="AJ449" s="261">
        <f t="shared" si="141"/>
        <v>2013</v>
      </c>
      <c r="AK449" s="233">
        <f t="shared" si="142"/>
        <v>178906974.40000001</v>
      </c>
      <c r="AM449" s="116" t="s">
        <v>4245</v>
      </c>
    </row>
    <row r="450" spans="1:39" s="116" customFormat="1" ht="35.25" hidden="1" customHeight="1" x14ac:dyDescent="0.2">
      <c r="A450" s="116" t="s">
        <v>4138</v>
      </c>
      <c r="B450" s="116" t="e">
        <f t="shared" si="129"/>
        <v>#N/A</v>
      </c>
      <c r="D450" s="116">
        <v>1</v>
      </c>
      <c r="E450" s="1" t="str">
        <f t="shared" si="143"/>
        <v>J5.1</v>
      </c>
      <c r="F450" s="218" t="s">
        <v>2305</v>
      </c>
      <c r="G450" s="53"/>
      <c r="H450" s="67" t="s">
        <v>1295</v>
      </c>
      <c r="I450" s="33" t="s">
        <v>3824</v>
      </c>
      <c r="J450" s="63"/>
      <c r="K450" s="33" t="s">
        <v>840</v>
      </c>
      <c r="L450" s="360"/>
      <c r="M450" s="40"/>
      <c r="N450" s="360"/>
      <c r="O450" s="72" t="s">
        <v>3179</v>
      </c>
      <c r="P450" s="33">
        <v>2013</v>
      </c>
      <c r="Q450" s="40"/>
      <c r="R450" s="40"/>
      <c r="S450" s="40"/>
      <c r="T450" s="40" t="s">
        <v>12</v>
      </c>
      <c r="U450" s="251">
        <v>2229465896</v>
      </c>
      <c r="V450" s="33"/>
      <c r="W450" s="127"/>
      <c r="X450" s="206" t="str">
        <f t="shared" si="128"/>
        <v>4.13.02</v>
      </c>
      <c r="Y450" s="207" t="str">
        <f t="shared" si="130"/>
        <v>JEMBATAN</v>
      </c>
      <c r="Z450" s="207">
        <f t="shared" si="131"/>
        <v>50</v>
      </c>
      <c r="AA450" s="233">
        <f t="shared" si="132"/>
        <v>44589317.719999999</v>
      </c>
      <c r="AB450" s="208">
        <f t="shared" si="133"/>
        <v>0</v>
      </c>
      <c r="AC450" s="233">
        <f t="shared" si="134"/>
        <v>0</v>
      </c>
      <c r="AD450" s="233">
        <f t="shared" si="135"/>
        <v>44589317.719999999</v>
      </c>
      <c r="AE450" s="233">
        <f t="shared" si="136"/>
        <v>44589317.719999999</v>
      </c>
      <c r="AF450" s="233">
        <f t="shared" si="137"/>
        <v>44589317.719999999</v>
      </c>
      <c r="AG450" s="233">
        <f t="shared" si="138"/>
        <v>44589317.719999999</v>
      </c>
      <c r="AH450" s="238">
        <f t="shared" si="139"/>
        <v>44589317.719999999</v>
      </c>
      <c r="AI450" s="238">
        <f t="shared" si="140"/>
        <v>222946588.59999999</v>
      </c>
      <c r="AJ450" s="261">
        <f t="shared" si="141"/>
        <v>2013</v>
      </c>
      <c r="AK450" s="233">
        <f t="shared" si="142"/>
        <v>2006519307.4000001</v>
      </c>
    </row>
    <row r="451" spans="1:39" s="116" customFormat="1" ht="35.25" hidden="1" customHeight="1" x14ac:dyDescent="0.2">
      <c r="B451" s="116" t="e">
        <f t="shared" si="129"/>
        <v>#N/A</v>
      </c>
      <c r="D451" s="116">
        <v>2</v>
      </c>
      <c r="E451" s="120" t="str">
        <f t="shared" si="143"/>
        <v>.2</v>
      </c>
      <c r="F451" s="218" t="s">
        <v>2305</v>
      </c>
      <c r="G451" s="53"/>
      <c r="H451" s="67" t="s">
        <v>1296</v>
      </c>
      <c r="I451" s="33" t="s">
        <v>3828</v>
      </c>
      <c r="J451" s="63"/>
      <c r="K451" s="33" t="s">
        <v>835</v>
      </c>
      <c r="L451" s="360"/>
      <c r="M451" s="40"/>
      <c r="N451" s="360"/>
      <c r="O451" s="72" t="s">
        <v>619</v>
      </c>
      <c r="P451" s="33">
        <v>2013</v>
      </c>
      <c r="Q451" s="40"/>
      <c r="R451" s="40"/>
      <c r="S451" s="40"/>
      <c r="T451" s="40" t="s">
        <v>12</v>
      </c>
      <c r="U451" s="251">
        <v>195230504</v>
      </c>
      <c r="V451" s="33"/>
      <c r="W451" s="127"/>
      <c r="X451" s="206" t="str">
        <f t="shared" si="128"/>
        <v>4.13.02</v>
      </c>
      <c r="Y451" s="207" t="str">
        <f t="shared" si="130"/>
        <v>JEMBATAN</v>
      </c>
      <c r="Z451" s="207">
        <f t="shared" si="131"/>
        <v>50</v>
      </c>
      <c r="AA451" s="233">
        <f t="shared" si="132"/>
        <v>3904609.88</v>
      </c>
      <c r="AB451" s="208">
        <f t="shared" si="133"/>
        <v>0</v>
      </c>
      <c r="AC451" s="233">
        <f t="shared" si="134"/>
        <v>0</v>
      </c>
      <c r="AD451" s="233">
        <f t="shared" si="135"/>
        <v>3904609.88</v>
      </c>
      <c r="AE451" s="233">
        <f t="shared" si="136"/>
        <v>3904609.88</v>
      </c>
      <c r="AF451" s="233">
        <f t="shared" si="137"/>
        <v>3904609.88</v>
      </c>
      <c r="AG451" s="233">
        <f t="shared" si="138"/>
        <v>3904609.88</v>
      </c>
      <c r="AH451" s="238">
        <f t="shared" si="139"/>
        <v>3904609.88</v>
      </c>
      <c r="AI451" s="238">
        <f t="shared" si="140"/>
        <v>19523049.399999999</v>
      </c>
      <c r="AJ451" s="261">
        <f t="shared" si="141"/>
        <v>2013</v>
      </c>
      <c r="AK451" s="233">
        <f t="shared" si="142"/>
        <v>175707454.59999999</v>
      </c>
    </row>
    <row r="452" spans="1:39" s="116" customFormat="1" ht="35.25" hidden="1" customHeight="1" x14ac:dyDescent="0.2">
      <c r="A452" s="116">
        <v>186</v>
      </c>
      <c r="B452" s="116" t="str">
        <f t="shared" si="129"/>
        <v>SAKO MARGA SARI - KUANTAN SAKO</v>
      </c>
      <c r="D452" s="116">
        <v>2</v>
      </c>
      <c r="E452" s="116" t="str">
        <f t="shared" si="143"/>
        <v>186.2</v>
      </c>
      <c r="F452" s="218" t="s">
        <v>2305</v>
      </c>
      <c r="G452" s="53"/>
      <c r="H452" s="67" t="s">
        <v>1297</v>
      </c>
      <c r="I452" s="33" t="s">
        <v>2494</v>
      </c>
      <c r="J452" s="63"/>
      <c r="K452" s="33"/>
      <c r="L452" s="360"/>
      <c r="M452" s="40"/>
      <c r="N452" s="360"/>
      <c r="O452" s="72" t="s">
        <v>3180</v>
      </c>
      <c r="P452" s="33">
        <v>2014</v>
      </c>
      <c r="Q452" s="40"/>
      <c r="R452" s="40"/>
      <c r="S452" s="40"/>
      <c r="T452" s="40"/>
      <c r="U452" s="251">
        <v>272429048</v>
      </c>
      <c r="V452" s="33"/>
      <c r="W452" s="127"/>
      <c r="X452" s="206" t="str">
        <f t="shared" si="128"/>
        <v>4.13.02</v>
      </c>
      <c r="Y452" s="207" t="str">
        <f t="shared" si="130"/>
        <v>JEMBATAN</v>
      </c>
      <c r="Z452" s="207">
        <f t="shared" si="131"/>
        <v>50</v>
      </c>
      <c r="AA452" s="233">
        <f t="shared" si="132"/>
        <v>5448580.7599999998</v>
      </c>
      <c r="AB452" s="208"/>
      <c r="AC452" s="233">
        <f t="shared" si="134"/>
        <v>0</v>
      </c>
      <c r="AD452" s="233">
        <f t="shared" si="135"/>
        <v>5448580.7599999998</v>
      </c>
      <c r="AE452" s="233">
        <f t="shared" si="136"/>
        <v>5448580.7599999998</v>
      </c>
      <c r="AF452" s="233">
        <f t="shared" si="137"/>
        <v>5448580.7599999998</v>
      </c>
      <c r="AG452" s="233">
        <f t="shared" si="138"/>
        <v>5448580.7599999998</v>
      </c>
      <c r="AH452" s="238">
        <f t="shared" si="139"/>
        <v>5448580.7599999998</v>
      </c>
      <c r="AI452" s="238">
        <f t="shared" si="140"/>
        <v>27242903.799999997</v>
      </c>
      <c r="AJ452" s="261">
        <f t="shared" si="141"/>
        <v>2014</v>
      </c>
      <c r="AK452" s="233">
        <f t="shared" si="142"/>
        <v>245186144.19999999</v>
      </c>
      <c r="AM452" s="116" t="s">
        <v>4245</v>
      </c>
    </row>
    <row r="453" spans="1:39" s="116" customFormat="1" ht="35.25" hidden="1" customHeight="1" x14ac:dyDescent="0.2">
      <c r="A453" s="116" t="s">
        <v>4139</v>
      </c>
      <c r="B453" s="116" t="e">
        <f t="shared" si="129"/>
        <v>#N/A</v>
      </c>
      <c r="D453" s="116">
        <v>2</v>
      </c>
      <c r="E453" s="1" t="str">
        <f t="shared" si="143"/>
        <v>J6.2</v>
      </c>
      <c r="F453" s="218" t="s">
        <v>2305</v>
      </c>
      <c r="G453" s="53"/>
      <c r="H453" s="67" t="s">
        <v>1298</v>
      </c>
      <c r="I453" s="33" t="s">
        <v>3824</v>
      </c>
      <c r="J453" s="63"/>
      <c r="K453" s="33"/>
      <c r="L453" s="360"/>
      <c r="M453" s="40"/>
      <c r="N453" s="360"/>
      <c r="O453" s="72" t="s">
        <v>3160</v>
      </c>
      <c r="P453" s="33">
        <v>2014</v>
      </c>
      <c r="Q453" s="40"/>
      <c r="R453" s="40"/>
      <c r="S453" s="40"/>
      <c r="T453" s="40"/>
      <c r="U453" s="251">
        <v>2236254252</v>
      </c>
      <c r="V453" s="33"/>
      <c r="W453" s="127"/>
      <c r="X453" s="206" t="str">
        <f t="shared" ref="X453:X516" si="144">F453</f>
        <v>4.13.02</v>
      </c>
      <c r="Y453" s="207" t="str">
        <f t="shared" si="130"/>
        <v>JEMBATAN</v>
      </c>
      <c r="Z453" s="207">
        <f t="shared" si="131"/>
        <v>50</v>
      </c>
      <c r="AA453" s="233">
        <f t="shared" si="132"/>
        <v>44725084.840000004</v>
      </c>
      <c r="AB453" s="208"/>
      <c r="AC453" s="233">
        <f t="shared" si="134"/>
        <v>0</v>
      </c>
      <c r="AD453" s="233">
        <f t="shared" si="135"/>
        <v>44725084.840000004</v>
      </c>
      <c r="AE453" s="233">
        <f t="shared" si="136"/>
        <v>44725084.840000004</v>
      </c>
      <c r="AF453" s="233">
        <f t="shared" si="137"/>
        <v>44725084.840000004</v>
      </c>
      <c r="AG453" s="233">
        <f t="shared" si="138"/>
        <v>44725084.840000004</v>
      </c>
      <c r="AH453" s="238">
        <f t="shared" si="139"/>
        <v>44725084.840000004</v>
      </c>
      <c r="AI453" s="238">
        <f t="shared" si="140"/>
        <v>223625424.20000002</v>
      </c>
      <c r="AJ453" s="261">
        <f t="shared" si="141"/>
        <v>2014</v>
      </c>
      <c r="AK453" s="233">
        <f t="shared" si="142"/>
        <v>2012628827.8</v>
      </c>
      <c r="AM453" s="116" t="s">
        <v>4245</v>
      </c>
    </row>
    <row r="454" spans="1:39" s="116" customFormat="1" ht="35.25" hidden="1" customHeight="1" x14ac:dyDescent="0.2">
      <c r="A454" s="116">
        <v>245</v>
      </c>
      <c r="B454" s="116" t="str">
        <f t="shared" si="129"/>
        <v>SIMP. 4 PT. WANASARI - SUKAMAJU</v>
      </c>
      <c r="D454" s="116">
        <v>2</v>
      </c>
      <c r="E454" s="116" t="str">
        <f t="shared" si="143"/>
        <v>245.2</v>
      </c>
      <c r="F454" s="218" t="s">
        <v>2304</v>
      </c>
      <c r="G454" s="53"/>
      <c r="H454" s="67" t="s">
        <v>1299</v>
      </c>
      <c r="I454" s="33" t="s">
        <v>2494</v>
      </c>
      <c r="J454" s="63"/>
      <c r="K454" s="33"/>
      <c r="L454" s="360"/>
      <c r="M454" s="40"/>
      <c r="N454" s="360"/>
      <c r="O454" s="72" t="s">
        <v>3093</v>
      </c>
      <c r="P454" s="33">
        <v>2014</v>
      </c>
      <c r="Q454" s="40"/>
      <c r="R454" s="40"/>
      <c r="S454" s="40"/>
      <c r="T454" s="40"/>
      <c r="U454" s="251">
        <v>1858553044</v>
      </c>
      <c r="V454" s="33"/>
      <c r="W454" s="127"/>
      <c r="X454" s="206" t="str">
        <f t="shared" si="144"/>
        <v>4.13.01</v>
      </c>
      <c r="Y454" s="207" t="str">
        <f t="shared" si="130"/>
        <v>JALAN</v>
      </c>
      <c r="Z454" s="207">
        <f t="shared" si="131"/>
        <v>10</v>
      </c>
      <c r="AA454" s="233">
        <f t="shared" si="132"/>
        <v>185855303.40000001</v>
      </c>
      <c r="AB454" s="208"/>
      <c r="AC454" s="233">
        <f t="shared" si="134"/>
        <v>0</v>
      </c>
      <c r="AD454" s="233">
        <f t="shared" si="135"/>
        <v>185855303.40000001</v>
      </c>
      <c r="AE454" s="233">
        <f t="shared" si="136"/>
        <v>185855303.40000001</v>
      </c>
      <c r="AF454" s="233">
        <f t="shared" si="137"/>
        <v>185855303.40000001</v>
      </c>
      <c r="AG454" s="233">
        <f t="shared" si="138"/>
        <v>185855303.40000001</v>
      </c>
      <c r="AH454" s="238">
        <f t="shared" si="139"/>
        <v>185855303.40000001</v>
      </c>
      <c r="AI454" s="238">
        <f t="shared" si="140"/>
        <v>929276517</v>
      </c>
      <c r="AJ454" s="261">
        <f t="shared" si="141"/>
        <v>2014</v>
      </c>
      <c r="AK454" s="233">
        <f t="shared" si="142"/>
        <v>929276527</v>
      </c>
      <c r="AM454" s="116" t="s">
        <v>4245</v>
      </c>
    </row>
    <row r="455" spans="1:39" s="116" customFormat="1" ht="35.25" hidden="1" customHeight="1" x14ac:dyDescent="0.2">
      <c r="A455" s="116">
        <v>244</v>
      </c>
      <c r="B455" s="116" t="str">
        <f t="shared" si="129"/>
        <v>KOTO BARU - SUKA MAJU</v>
      </c>
      <c r="D455" s="116">
        <v>2</v>
      </c>
      <c r="E455" s="116" t="str">
        <f t="shared" si="143"/>
        <v>244.2</v>
      </c>
      <c r="F455" s="218" t="s">
        <v>2304</v>
      </c>
      <c r="G455" s="53"/>
      <c r="H455" s="67" t="s">
        <v>1300</v>
      </c>
      <c r="I455" s="33" t="s">
        <v>2494</v>
      </c>
      <c r="J455" s="63"/>
      <c r="K455" s="33"/>
      <c r="L455" s="360"/>
      <c r="M455" s="40"/>
      <c r="N455" s="360"/>
      <c r="O455" s="72" t="s">
        <v>656</v>
      </c>
      <c r="P455" s="33">
        <v>2014</v>
      </c>
      <c r="Q455" s="40"/>
      <c r="R455" s="40"/>
      <c r="S455" s="40"/>
      <c r="T455" s="40"/>
      <c r="U455" s="251">
        <v>1872278823</v>
      </c>
      <c r="V455" s="33"/>
      <c r="W455" s="127"/>
      <c r="X455" s="206" t="str">
        <f t="shared" si="144"/>
        <v>4.13.01</v>
      </c>
      <c r="Y455" s="207" t="str">
        <f t="shared" si="130"/>
        <v>JALAN</v>
      </c>
      <c r="Z455" s="207">
        <f t="shared" si="131"/>
        <v>10</v>
      </c>
      <c r="AA455" s="233">
        <f t="shared" si="132"/>
        <v>187227881.30000001</v>
      </c>
      <c r="AB455" s="208"/>
      <c r="AC455" s="233">
        <f t="shared" si="134"/>
        <v>0</v>
      </c>
      <c r="AD455" s="233">
        <f t="shared" si="135"/>
        <v>187227881.30000001</v>
      </c>
      <c r="AE455" s="233">
        <f t="shared" si="136"/>
        <v>187227881.30000001</v>
      </c>
      <c r="AF455" s="233">
        <f t="shared" si="137"/>
        <v>187227881.30000001</v>
      </c>
      <c r="AG455" s="233">
        <f t="shared" si="138"/>
        <v>187227881.30000001</v>
      </c>
      <c r="AH455" s="238">
        <f t="shared" si="139"/>
        <v>187227881.30000001</v>
      </c>
      <c r="AI455" s="238">
        <f t="shared" si="140"/>
        <v>936139406.5</v>
      </c>
      <c r="AJ455" s="261">
        <f t="shared" si="141"/>
        <v>2014</v>
      </c>
      <c r="AK455" s="233">
        <f t="shared" si="142"/>
        <v>936139416.5</v>
      </c>
      <c r="AM455" s="116" t="s">
        <v>4245</v>
      </c>
    </row>
    <row r="456" spans="1:39" s="116" customFormat="1" ht="35.25" hidden="1" customHeight="1" x14ac:dyDescent="0.2">
      <c r="A456" s="116">
        <v>285</v>
      </c>
      <c r="B456" s="116" t="str">
        <f t="shared" si="129"/>
        <v>SEI. PERUPUK - TELUK PAUH</v>
      </c>
      <c r="D456" s="116">
        <v>3</v>
      </c>
      <c r="E456" s="116" t="str">
        <f t="shared" si="143"/>
        <v>285.3</v>
      </c>
      <c r="F456" s="218" t="s">
        <v>2304</v>
      </c>
      <c r="G456" s="53"/>
      <c r="H456" s="67" t="s">
        <v>1301</v>
      </c>
      <c r="I456" s="33" t="s">
        <v>2494</v>
      </c>
      <c r="J456" s="63"/>
      <c r="K456" s="33"/>
      <c r="L456" s="360"/>
      <c r="M456" s="40"/>
      <c r="N456" s="360"/>
      <c r="O456" s="72" t="s">
        <v>687</v>
      </c>
      <c r="P456" s="33">
        <v>2014</v>
      </c>
      <c r="Q456" s="40"/>
      <c r="R456" s="40"/>
      <c r="S456" s="40"/>
      <c r="T456" s="40"/>
      <c r="U456" s="251">
        <v>1212803223</v>
      </c>
      <c r="V456" s="33"/>
      <c r="W456" s="127"/>
      <c r="X456" s="206" t="str">
        <f t="shared" si="144"/>
        <v>4.13.01</v>
      </c>
      <c r="Y456" s="207" t="str">
        <f t="shared" si="130"/>
        <v>JALAN</v>
      </c>
      <c r="Z456" s="207">
        <f t="shared" si="131"/>
        <v>10</v>
      </c>
      <c r="AA456" s="233">
        <f t="shared" si="132"/>
        <v>121280321.3</v>
      </c>
      <c r="AB456" s="208"/>
      <c r="AC456" s="233">
        <f t="shared" si="134"/>
        <v>0</v>
      </c>
      <c r="AD456" s="233">
        <f t="shared" si="135"/>
        <v>121280321.3</v>
      </c>
      <c r="AE456" s="233">
        <f t="shared" si="136"/>
        <v>121280321.3</v>
      </c>
      <c r="AF456" s="233">
        <f t="shared" si="137"/>
        <v>121280321.3</v>
      </c>
      <c r="AG456" s="233">
        <f t="shared" si="138"/>
        <v>121280321.3</v>
      </c>
      <c r="AH456" s="238">
        <f t="shared" si="139"/>
        <v>121280321.3</v>
      </c>
      <c r="AI456" s="238">
        <f t="shared" si="140"/>
        <v>606401606.5</v>
      </c>
      <c r="AJ456" s="261">
        <f t="shared" si="141"/>
        <v>2014</v>
      </c>
      <c r="AK456" s="233">
        <f t="shared" si="142"/>
        <v>606401616.5</v>
      </c>
      <c r="AM456" s="116" t="s">
        <v>4245</v>
      </c>
    </row>
    <row r="457" spans="1:39" s="116" customFormat="1" ht="35.25" hidden="1" customHeight="1" x14ac:dyDescent="0.2">
      <c r="A457" s="116">
        <v>17</v>
      </c>
      <c r="B457" s="116" t="str">
        <f t="shared" si="129"/>
        <v>SINAMBEK - STADION OLAHRAGA</v>
      </c>
      <c r="D457" s="116">
        <v>3</v>
      </c>
      <c r="E457" s="120" t="str">
        <f t="shared" si="143"/>
        <v>17.3</v>
      </c>
      <c r="F457" s="218" t="s">
        <v>2305</v>
      </c>
      <c r="G457" s="53"/>
      <c r="H457" s="67" t="s">
        <v>1302</v>
      </c>
      <c r="I457" s="33" t="s">
        <v>2494</v>
      </c>
      <c r="J457" s="63"/>
      <c r="K457" s="33"/>
      <c r="L457" s="360"/>
      <c r="M457" s="40"/>
      <c r="N457" s="360"/>
      <c r="O457" s="72" t="s">
        <v>3181</v>
      </c>
      <c r="P457" s="33">
        <v>2014</v>
      </c>
      <c r="Q457" s="40"/>
      <c r="R457" s="40"/>
      <c r="S457" s="40"/>
      <c r="T457" s="40"/>
      <c r="U457" s="251">
        <v>197719954</v>
      </c>
      <c r="V457" s="33"/>
      <c r="W457" s="127"/>
      <c r="X457" s="206" t="str">
        <f t="shared" si="144"/>
        <v>4.13.02</v>
      </c>
      <c r="Y457" s="207" t="str">
        <f t="shared" si="130"/>
        <v>JEMBATAN</v>
      </c>
      <c r="Z457" s="207">
        <f t="shared" si="131"/>
        <v>50</v>
      </c>
      <c r="AA457" s="233">
        <f t="shared" si="132"/>
        <v>3954398.88</v>
      </c>
      <c r="AB457" s="208"/>
      <c r="AC457" s="233">
        <f t="shared" si="134"/>
        <v>0</v>
      </c>
      <c r="AD457" s="233">
        <f t="shared" si="135"/>
        <v>3954398.88</v>
      </c>
      <c r="AE457" s="233">
        <f t="shared" si="136"/>
        <v>3954398.88</v>
      </c>
      <c r="AF457" s="233">
        <f t="shared" si="137"/>
        <v>3954398.88</v>
      </c>
      <c r="AG457" s="233">
        <f t="shared" si="138"/>
        <v>3954398.88</v>
      </c>
      <c r="AH457" s="238">
        <f t="shared" si="139"/>
        <v>3954398.88</v>
      </c>
      <c r="AI457" s="238">
        <f t="shared" si="140"/>
        <v>19771994.399999999</v>
      </c>
      <c r="AJ457" s="261">
        <f t="shared" si="141"/>
        <v>2014</v>
      </c>
      <c r="AK457" s="233">
        <f t="shared" si="142"/>
        <v>177947959.59999999</v>
      </c>
      <c r="AM457" s="116" t="s">
        <v>4245</v>
      </c>
    </row>
    <row r="458" spans="1:39" s="116" customFormat="1" ht="35.25" hidden="1" customHeight="1" x14ac:dyDescent="0.2">
      <c r="B458" s="116" t="e">
        <f t="shared" si="129"/>
        <v>#N/A</v>
      </c>
      <c r="F458" s="218" t="s">
        <v>2305</v>
      </c>
      <c r="G458" s="53"/>
      <c r="H458" s="67" t="s">
        <v>1303</v>
      </c>
      <c r="I458" s="33" t="s">
        <v>2494</v>
      </c>
      <c r="J458" s="63"/>
      <c r="K458" s="33"/>
      <c r="L458" s="360"/>
      <c r="M458" s="40"/>
      <c r="N458" s="360"/>
      <c r="O458" s="72" t="s">
        <v>3151</v>
      </c>
      <c r="P458" s="33">
        <v>2014</v>
      </c>
      <c r="Q458" s="40"/>
      <c r="R458" s="40"/>
      <c r="S458" s="40"/>
      <c r="T458" s="40"/>
      <c r="U458" s="251">
        <v>197994103</v>
      </c>
      <c r="V458" s="33"/>
      <c r="W458" s="127"/>
      <c r="X458" s="206" t="str">
        <f t="shared" si="144"/>
        <v>4.13.02</v>
      </c>
      <c r="Y458" s="207" t="str">
        <f t="shared" si="130"/>
        <v>JEMBATAN</v>
      </c>
      <c r="Z458" s="207">
        <f t="shared" si="131"/>
        <v>50</v>
      </c>
      <c r="AA458" s="233">
        <f t="shared" si="132"/>
        <v>3959881.86</v>
      </c>
      <c r="AB458" s="208"/>
      <c r="AC458" s="233">
        <f t="shared" si="134"/>
        <v>0</v>
      </c>
      <c r="AD458" s="233">
        <f t="shared" si="135"/>
        <v>3959881.86</v>
      </c>
      <c r="AE458" s="233">
        <f t="shared" si="136"/>
        <v>3959881.86</v>
      </c>
      <c r="AF458" s="233">
        <f t="shared" si="137"/>
        <v>3959881.86</v>
      </c>
      <c r="AG458" s="233">
        <f t="shared" si="138"/>
        <v>3959881.86</v>
      </c>
      <c r="AH458" s="238">
        <f t="shared" si="139"/>
        <v>3959881.86</v>
      </c>
      <c r="AI458" s="238">
        <f t="shared" si="140"/>
        <v>19799409.300000001</v>
      </c>
      <c r="AJ458" s="261">
        <f t="shared" si="141"/>
        <v>2014</v>
      </c>
      <c r="AK458" s="233">
        <f t="shared" si="142"/>
        <v>178194693.69999999</v>
      </c>
    </row>
    <row r="459" spans="1:39" s="116" customFormat="1" ht="35.25" hidden="1" customHeight="1" x14ac:dyDescent="0.2">
      <c r="B459" s="116" t="e">
        <f t="shared" si="129"/>
        <v>#N/A</v>
      </c>
      <c r="F459" s="218" t="s">
        <v>2305</v>
      </c>
      <c r="G459" s="53"/>
      <c r="H459" s="67" t="s">
        <v>1304</v>
      </c>
      <c r="I459" s="33" t="s">
        <v>3827</v>
      </c>
      <c r="J459" s="63"/>
      <c r="K459" s="33"/>
      <c r="L459" s="360"/>
      <c r="M459" s="40"/>
      <c r="N459" s="360"/>
      <c r="O459" s="72" t="s">
        <v>3182</v>
      </c>
      <c r="P459" s="33">
        <v>2014</v>
      </c>
      <c r="Q459" s="40"/>
      <c r="R459" s="40"/>
      <c r="S459" s="40"/>
      <c r="T459" s="40"/>
      <c r="U459" s="251">
        <v>187443170</v>
      </c>
      <c r="V459" s="33"/>
      <c r="W459" s="127"/>
      <c r="X459" s="206" t="str">
        <f t="shared" si="144"/>
        <v>4.13.02</v>
      </c>
      <c r="Y459" s="207" t="str">
        <f t="shared" si="130"/>
        <v>JEMBATAN</v>
      </c>
      <c r="Z459" s="207">
        <f t="shared" si="131"/>
        <v>50</v>
      </c>
      <c r="AA459" s="233">
        <f t="shared" si="132"/>
        <v>3748863.2</v>
      </c>
      <c r="AB459" s="208"/>
      <c r="AC459" s="233">
        <f t="shared" si="134"/>
        <v>0</v>
      </c>
      <c r="AD459" s="233">
        <f t="shared" si="135"/>
        <v>3748863.2</v>
      </c>
      <c r="AE459" s="233">
        <f t="shared" si="136"/>
        <v>3748863.2</v>
      </c>
      <c r="AF459" s="233">
        <f t="shared" si="137"/>
        <v>3748863.2</v>
      </c>
      <c r="AG459" s="233">
        <f t="shared" si="138"/>
        <v>3748863.2</v>
      </c>
      <c r="AH459" s="238">
        <f t="shared" si="139"/>
        <v>3748863.2</v>
      </c>
      <c r="AI459" s="238">
        <f t="shared" si="140"/>
        <v>18744316</v>
      </c>
      <c r="AJ459" s="261">
        <f t="shared" si="141"/>
        <v>2014</v>
      </c>
      <c r="AK459" s="233">
        <f t="shared" si="142"/>
        <v>168698854</v>
      </c>
    </row>
    <row r="460" spans="1:39" s="116" customFormat="1" ht="35.25" hidden="1" customHeight="1" x14ac:dyDescent="0.2">
      <c r="B460" s="116" t="e">
        <f t="shared" si="129"/>
        <v>#N/A</v>
      </c>
      <c r="F460" s="218" t="s">
        <v>2304</v>
      </c>
      <c r="G460" s="53"/>
      <c r="H460" s="67" t="s">
        <v>1305</v>
      </c>
      <c r="I460" s="33" t="s">
        <v>3822</v>
      </c>
      <c r="J460" s="63"/>
      <c r="K460" s="33"/>
      <c r="L460" s="360"/>
      <c r="M460" s="40"/>
      <c r="N460" s="360"/>
      <c r="O460" s="72" t="s">
        <v>3183</v>
      </c>
      <c r="P460" s="33">
        <v>2014</v>
      </c>
      <c r="Q460" s="40"/>
      <c r="R460" s="40"/>
      <c r="S460" s="40"/>
      <c r="T460" s="40"/>
      <c r="U460" s="251">
        <v>1834435855</v>
      </c>
      <c r="V460" s="33"/>
      <c r="W460" s="127"/>
      <c r="X460" s="206" t="str">
        <f t="shared" si="144"/>
        <v>4.13.01</v>
      </c>
      <c r="Y460" s="207" t="str">
        <f t="shared" si="130"/>
        <v>JALAN</v>
      </c>
      <c r="Z460" s="207">
        <f t="shared" si="131"/>
        <v>10</v>
      </c>
      <c r="AA460" s="233">
        <f t="shared" si="132"/>
        <v>183443584.5</v>
      </c>
      <c r="AB460" s="208"/>
      <c r="AC460" s="233">
        <f t="shared" si="134"/>
        <v>0</v>
      </c>
      <c r="AD460" s="233">
        <f t="shared" si="135"/>
        <v>183443584.5</v>
      </c>
      <c r="AE460" s="233">
        <f t="shared" si="136"/>
        <v>183443584.5</v>
      </c>
      <c r="AF460" s="233">
        <f t="shared" si="137"/>
        <v>183443584.5</v>
      </c>
      <c r="AG460" s="233">
        <f t="shared" si="138"/>
        <v>183443584.5</v>
      </c>
      <c r="AH460" s="238">
        <f t="shared" si="139"/>
        <v>183443584.5</v>
      </c>
      <c r="AI460" s="238">
        <f t="shared" si="140"/>
        <v>917217922.5</v>
      </c>
      <c r="AJ460" s="261">
        <f t="shared" si="141"/>
        <v>2014</v>
      </c>
      <c r="AK460" s="233">
        <f t="shared" si="142"/>
        <v>917217932.5</v>
      </c>
    </row>
    <row r="461" spans="1:39" s="116" customFormat="1" ht="35.25" hidden="1" customHeight="1" x14ac:dyDescent="0.2">
      <c r="A461" s="116" t="s">
        <v>4138</v>
      </c>
      <c r="B461" s="116" t="e">
        <f t="shared" si="129"/>
        <v>#N/A</v>
      </c>
      <c r="D461" s="116">
        <v>2</v>
      </c>
      <c r="E461" s="1" t="str">
        <f>A461&amp;"."&amp;D461</f>
        <v>J5.2</v>
      </c>
      <c r="F461" s="218" t="s">
        <v>2305</v>
      </c>
      <c r="G461" s="53"/>
      <c r="H461" s="67" t="s">
        <v>1306</v>
      </c>
      <c r="I461" s="33" t="s">
        <v>2494</v>
      </c>
      <c r="J461" s="63"/>
      <c r="K461" s="33"/>
      <c r="L461" s="360"/>
      <c r="M461" s="40"/>
      <c r="N461" s="360"/>
      <c r="O461" s="72" t="s">
        <v>3179</v>
      </c>
      <c r="P461" s="33">
        <v>2014</v>
      </c>
      <c r="Q461" s="40"/>
      <c r="R461" s="40"/>
      <c r="S461" s="40"/>
      <c r="T461" s="40"/>
      <c r="U461" s="251">
        <v>692444812</v>
      </c>
      <c r="V461" s="33"/>
      <c r="W461" s="127"/>
      <c r="X461" s="206" t="str">
        <f t="shared" si="144"/>
        <v>4.13.02</v>
      </c>
      <c r="Y461" s="207" t="str">
        <f t="shared" si="130"/>
        <v>JEMBATAN</v>
      </c>
      <c r="Z461" s="207">
        <f t="shared" si="131"/>
        <v>50</v>
      </c>
      <c r="AA461" s="233">
        <f t="shared" si="132"/>
        <v>13848896.039999999</v>
      </c>
      <c r="AB461" s="208"/>
      <c r="AC461" s="233">
        <f t="shared" si="134"/>
        <v>0</v>
      </c>
      <c r="AD461" s="233">
        <f t="shared" si="135"/>
        <v>13848896.039999999</v>
      </c>
      <c r="AE461" s="233">
        <f t="shared" si="136"/>
        <v>13848896.039999999</v>
      </c>
      <c r="AF461" s="233">
        <f t="shared" si="137"/>
        <v>13848896.039999999</v>
      </c>
      <c r="AG461" s="233">
        <f t="shared" si="138"/>
        <v>13848896.039999999</v>
      </c>
      <c r="AH461" s="238">
        <f t="shared" si="139"/>
        <v>13848896.039999999</v>
      </c>
      <c r="AI461" s="238">
        <f t="shared" si="140"/>
        <v>69244480.199999988</v>
      </c>
      <c r="AJ461" s="261">
        <f t="shared" si="141"/>
        <v>2014</v>
      </c>
      <c r="AK461" s="233">
        <f t="shared" si="142"/>
        <v>623200331.79999995</v>
      </c>
      <c r="AM461" s="116" t="s">
        <v>4245</v>
      </c>
    </row>
    <row r="462" spans="1:39" s="116" customFormat="1" ht="35.25" hidden="1" customHeight="1" x14ac:dyDescent="0.2">
      <c r="B462" s="116" t="e">
        <f t="shared" si="129"/>
        <v>#N/A</v>
      </c>
      <c r="F462" s="218" t="s">
        <v>2304</v>
      </c>
      <c r="G462" s="53"/>
      <c r="H462" s="67" t="s">
        <v>1307</v>
      </c>
      <c r="I462" s="33" t="s">
        <v>2494</v>
      </c>
      <c r="J462" s="63"/>
      <c r="K462" s="33"/>
      <c r="L462" s="360"/>
      <c r="M462" s="40"/>
      <c r="N462" s="360"/>
      <c r="O462" s="72" t="s">
        <v>3184</v>
      </c>
      <c r="P462" s="33">
        <v>2014</v>
      </c>
      <c r="Q462" s="40"/>
      <c r="R462" s="40"/>
      <c r="S462" s="40"/>
      <c r="T462" s="40"/>
      <c r="U462" s="251">
        <v>1894172066</v>
      </c>
      <c r="V462" s="33"/>
      <c r="W462" s="127"/>
      <c r="X462" s="206" t="str">
        <f t="shared" si="144"/>
        <v>4.13.01</v>
      </c>
      <c r="Y462" s="207" t="str">
        <f t="shared" si="130"/>
        <v>JALAN</v>
      </c>
      <c r="Z462" s="207">
        <f t="shared" si="131"/>
        <v>10</v>
      </c>
      <c r="AA462" s="233">
        <f t="shared" si="132"/>
        <v>189417205.59999999</v>
      </c>
      <c r="AB462" s="208"/>
      <c r="AC462" s="233">
        <f t="shared" si="134"/>
        <v>0</v>
      </c>
      <c r="AD462" s="233">
        <f t="shared" si="135"/>
        <v>189417205.59999999</v>
      </c>
      <c r="AE462" s="233">
        <f t="shared" si="136"/>
        <v>189417205.59999999</v>
      </c>
      <c r="AF462" s="233">
        <f t="shared" si="137"/>
        <v>189417205.59999999</v>
      </c>
      <c r="AG462" s="233">
        <f t="shared" si="138"/>
        <v>189417205.59999999</v>
      </c>
      <c r="AH462" s="238">
        <f t="shared" si="139"/>
        <v>189417205.59999999</v>
      </c>
      <c r="AI462" s="238">
        <f t="shared" si="140"/>
        <v>947086028</v>
      </c>
      <c r="AJ462" s="261">
        <f t="shared" si="141"/>
        <v>2014</v>
      </c>
      <c r="AK462" s="233">
        <f t="shared" si="142"/>
        <v>947086038</v>
      </c>
    </row>
    <row r="463" spans="1:39" s="116" customFormat="1" ht="35.25" hidden="1" customHeight="1" x14ac:dyDescent="0.2">
      <c r="A463" s="116">
        <v>4</v>
      </c>
      <c r="B463" s="116" t="str">
        <f t="shared" si="129"/>
        <v>SENTAJO - MUARA LANGSAT</v>
      </c>
      <c r="D463" s="116">
        <v>3</v>
      </c>
      <c r="E463" s="120" t="str">
        <f>A463&amp;"."&amp;D463</f>
        <v>4.3</v>
      </c>
      <c r="F463" s="218" t="s">
        <v>2304</v>
      </c>
      <c r="G463" s="53"/>
      <c r="H463" s="67" t="s">
        <v>1308</v>
      </c>
      <c r="I463" s="33" t="s">
        <v>2494</v>
      </c>
      <c r="J463" s="63"/>
      <c r="K463" s="33"/>
      <c r="L463" s="360"/>
      <c r="M463" s="40"/>
      <c r="N463" s="360"/>
      <c r="O463" s="72" t="s">
        <v>619</v>
      </c>
      <c r="P463" s="33">
        <v>2014</v>
      </c>
      <c r="Q463" s="40"/>
      <c r="R463" s="40"/>
      <c r="S463" s="40"/>
      <c r="T463" s="40"/>
      <c r="U463" s="251">
        <v>5255870053</v>
      </c>
      <c r="V463" s="33"/>
      <c r="W463" s="127"/>
      <c r="X463" s="206" t="str">
        <f t="shared" si="144"/>
        <v>4.13.01</v>
      </c>
      <c r="Y463" s="207" t="str">
        <f t="shared" si="130"/>
        <v>JALAN</v>
      </c>
      <c r="Z463" s="207">
        <f t="shared" si="131"/>
        <v>10</v>
      </c>
      <c r="AA463" s="233">
        <f t="shared" si="132"/>
        <v>525587004.30000001</v>
      </c>
      <c r="AB463" s="208"/>
      <c r="AC463" s="233">
        <f t="shared" si="134"/>
        <v>0</v>
      </c>
      <c r="AD463" s="233">
        <f t="shared" si="135"/>
        <v>525587004.30000001</v>
      </c>
      <c r="AE463" s="233">
        <f t="shared" si="136"/>
        <v>525587004.30000001</v>
      </c>
      <c r="AF463" s="233">
        <f t="shared" si="137"/>
        <v>525587004.30000001</v>
      </c>
      <c r="AG463" s="233">
        <f t="shared" si="138"/>
        <v>525587004.30000001</v>
      </c>
      <c r="AH463" s="238">
        <f t="shared" si="139"/>
        <v>525587004.30000001</v>
      </c>
      <c r="AI463" s="238">
        <f t="shared" si="140"/>
        <v>2627935021.5</v>
      </c>
      <c r="AJ463" s="261">
        <f t="shared" si="141"/>
        <v>2014</v>
      </c>
      <c r="AK463" s="233">
        <f t="shared" si="142"/>
        <v>2627935031.5</v>
      </c>
      <c r="AM463" s="116" t="s">
        <v>4245</v>
      </c>
    </row>
    <row r="464" spans="1:39" s="116" customFormat="1" ht="35.25" hidden="1" customHeight="1" x14ac:dyDescent="0.2">
      <c r="A464" s="116">
        <v>4</v>
      </c>
      <c r="B464" s="116" t="str">
        <f t="shared" si="129"/>
        <v>SENTAJO - MUARA LANGSAT</v>
      </c>
      <c r="D464" s="116">
        <v>4</v>
      </c>
      <c r="E464" s="120" t="str">
        <f>A464&amp;"."&amp;D464</f>
        <v>4.4</v>
      </c>
      <c r="F464" s="218" t="s">
        <v>2304</v>
      </c>
      <c r="G464" s="53"/>
      <c r="H464" s="67" t="s">
        <v>1309</v>
      </c>
      <c r="I464" s="33" t="s">
        <v>2494</v>
      </c>
      <c r="J464" s="63"/>
      <c r="K464" s="33"/>
      <c r="L464" s="360"/>
      <c r="M464" s="40"/>
      <c r="N464" s="360"/>
      <c r="O464" s="72" t="s">
        <v>619</v>
      </c>
      <c r="P464" s="33">
        <v>2014</v>
      </c>
      <c r="Q464" s="40"/>
      <c r="R464" s="40"/>
      <c r="S464" s="40"/>
      <c r="T464" s="40"/>
      <c r="U464" s="251">
        <v>3769961879</v>
      </c>
      <c r="V464" s="33"/>
      <c r="W464" s="127"/>
      <c r="X464" s="206" t="str">
        <f t="shared" si="144"/>
        <v>4.13.01</v>
      </c>
      <c r="Y464" s="207" t="str">
        <f t="shared" si="130"/>
        <v>JALAN</v>
      </c>
      <c r="Z464" s="207">
        <f t="shared" si="131"/>
        <v>10</v>
      </c>
      <c r="AA464" s="233">
        <f t="shared" si="132"/>
        <v>376996186.89999998</v>
      </c>
      <c r="AB464" s="208"/>
      <c r="AC464" s="233">
        <f t="shared" si="134"/>
        <v>0</v>
      </c>
      <c r="AD464" s="233">
        <f t="shared" si="135"/>
        <v>376996186.89999998</v>
      </c>
      <c r="AE464" s="233">
        <f t="shared" si="136"/>
        <v>376996186.89999998</v>
      </c>
      <c r="AF464" s="233">
        <f t="shared" si="137"/>
        <v>376996186.89999998</v>
      </c>
      <c r="AG464" s="233">
        <f t="shared" si="138"/>
        <v>376996186.89999998</v>
      </c>
      <c r="AH464" s="238">
        <f t="shared" si="139"/>
        <v>376996186.89999998</v>
      </c>
      <c r="AI464" s="238">
        <f t="shared" si="140"/>
        <v>1884980934.5</v>
      </c>
      <c r="AJ464" s="261">
        <f t="shared" si="141"/>
        <v>2014</v>
      </c>
      <c r="AK464" s="233">
        <f t="shared" si="142"/>
        <v>1884980944.5</v>
      </c>
      <c r="AM464" s="116" t="s">
        <v>4245</v>
      </c>
    </row>
    <row r="465" spans="1:39" s="116" customFormat="1" ht="35.25" hidden="1" customHeight="1" x14ac:dyDescent="0.2">
      <c r="A465" s="116">
        <v>74</v>
      </c>
      <c r="B465" s="116" t="str">
        <f t="shared" si="129"/>
        <v>SIMP. PL. KEDUNDUNG  - PL. KEDUNDUNG</v>
      </c>
      <c r="D465" s="116">
        <v>1</v>
      </c>
      <c r="E465" s="120" t="str">
        <f>A465&amp;"."&amp;D465</f>
        <v>74.1</v>
      </c>
      <c r="F465" s="218" t="s">
        <v>2304</v>
      </c>
      <c r="G465" s="53"/>
      <c r="H465" s="67" t="s">
        <v>1310</v>
      </c>
      <c r="I465" s="33" t="s">
        <v>2494</v>
      </c>
      <c r="J465" s="63"/>
      <c r="K465" s="33"/>
      <c r="L465" s="360">
        <v>1500</v>
      </c>
      <c r="M465" s="40">
        <v>7</v>
      </c>
      <c r="N465" s="360">
        <v>10500</v>
      </c>
      <c r="O465" s="72" t="s">
        <v>3185</v>
      </c>
      <c r="P465" s="33">
        <v>2014</v>
      </c>
      <c r="Q465" s="40"/>
      <c r="R465" s="40"/>
      <c r="S465" s="40"/>
      <c r="T465" s="40"/>
      <c r="U465" s="251">
        <v>1172323688</v>
      </c>
      <c r="V465" s="33"/>
      <c r="W465" s="127"/>
      <c r="X465" s="206" t="str">
        <f t="shared" si="144"/>
        <v>4.13.01</v>
      </c>
      <c r="Y465" s="207" t="str">
        <f t="shared" si="130"/>
        <v>JALAN</v>
      </c>
      <c r="Z465" s="207">
        <f t="shared" si="131"/>
        <v>10</v>
      </c>
      <c r="AA465" s="233">
        <f t="shared" si="132"/>
        <v>117232367.8</v>
      </c>
      <c r="AB465" s="208"/>
      <c r="AC465" s="233">
        <f t="shared" si="134"/>
        <v>0</v>
      </c>
      <c r="AD465" s="233">
        <f t="shared" si="135"/>
        <v>117232367.8</v>
      </c>
      <c r="AE465" s="233">
        <f t="shared" si="136"/>
        <v>117232367.8</v>
      </c>
      <c r="AF465" s="233">
        <f t="shared" si="137"/>
        <v>117232367.8</v>
      </c>
      <c r="AG465" s="233">
        <f t="shared" si="138"/>
        <v>117232367.8</v>
      </c>
      <c r="AH465" s="238">
        <f t="shared" si="139"/>
        <v>117232367.8</v>
      </c>
      <c r="AI465" s="238">
        <f t="shared" si="140"/>
        <v>586161839</v>
      </c>
      <c r="AJ465" s="261">
        <f t="shared" si="141"/>
        <v>2014</v>
      </c>
      <c r="AK465" s="233">
        <f t="shared" si="142"/>
        <v>586161849</v>
      </c>
    </row>
    <row r="466" spans="1:39" s="116" customFormat="1" ht="35.25" hidden="1" customHeight="1" x14ac:dyDescent="0.2">
      <c r="A466" s="116">
        <v>181</v>
      </c>
      <c r="B466" s="116" t="str">
        <f t="shared" si="129"/>
        <v>SIMP. RAMBAHAN - RAMBAHAN</v>
      </c>
      <c r="D466" s="116">
        <v>2</v>
      </c>
      <c r="E466" s="116" t="str">
        <f>A466&amp;"."&amp;D466</f>
        <v>181.2</v>
      </c>
      <c r="F466" s="218" t="s">
        <v>2305</v>
      </c>
      <c r="G466" s="53"/>
      <c r="H466" s="67" t="s">
        <v>1311</v>
      </c>
      <c r="I466" s="33" t="s">
        <v>2494</v>
      </c>
      <c r="J466" s="63"/>
      <c r="K466" s="33"/>
      <c r="L466" s="360"/>
      <c r="M466" s="40"/>
      <c r="N466" s="360"/>
      <c r="O466" s="72" t="s">
        <v>3186</v>
      </c>
      <c r="P466" s="33">
        <v>2014</v>
      </c>
      <c r="Q466" s="40"/>
      <c r="R466" s="40"/>
      <c r="S466" s="40"/>
      <c r="T466" s="40"/>
      <c r="U466" s="251">
        <v>254080364</v>
      </c>
      <c r="V466" s="33"/>
      <c r="W466" s="127"/>
      <c r="X466" s="206" t="str">
        <f t="shared" si="144"/>
        <v>4.13.02</v>
      </c>
      <c r="Y466" s="207" t="str">
        <f t="shared" si="130"/>
        <v>JEMBATAN</v>
      </c>
      <c r="Z466" s="207">
        <f t="shared" si="131"/>
        <v>50</v>
      </c>
      <c r="AA466" s="233">
        <f t="shared" si="132"/>
        <v>5081607.08</v>
      </c>
      <c r="AB466" s="208"/>
      <c r="AC466" s="233">
        <f t="shared" si="134"/>
        <v>0</v>
      </c>
      <c r="AD466" s="233">
        <f t="shared" si="135"/>
        <v>5081607.08</v>
      </c>
      <c r="AE466" s="233">
        <f t="shared" si="136"/>
        <v>5081607.08</v>
      </c>
      <c r="AF466" s="233">
        <f t="shared" si="137"/>
        <v>5081607.08</v>
      </c>
      <c r="AG466" s="233">
        <f t="shared" si="138"/>
        <v>5081607.08</v>
      </c>
      <c r="AH466" s="238">
        <f t="shared" si="139"/>
        <v>5081607.08</v>
      </c>
      <c r="AI466" s="238">
        <f t="shared" si="140"/>
        <v>25408035.399999999</v>
      </c>
      <c r="AJ466" s="261">
        <f t="shared" si="141"/>
        <v>2014</v>
      </c>
      <c r="AK466" s="233">
        <f t="shared" si="142"/>
        <v>228672328.59999999</v>
      </c>
      <c r="AM466" s="116" t="s">
        <v>4245</v>
      </c>
    </row>
    <row r="467" spans="1:39" s="116" customFormat="1" ht="35.25" hidden="1" customHeight="1" x14ac:dyDescent="0.2">
      <c r="A467" s="116">
        <v>132</v>
      </c>
      <c r="B467" s="116" t="str">
        <f t="shared" si="129"/>
        <v>DUSUN TUO - GUNUNG MELINTANG</v>
      </c>
      <c r="D467" s="116">
        <v>1</v>
      </c>
      <c r="E467" s="116" t="str">
        <f>A467&amp;"."&amp;D467</f>
        <v>132.1</v>
      </c>
      <c r="F467" s="218" t="s">
        <v>2304</v>
      </c>
      <c r="G467" s="53"/>
      <c r="H467" s="67" t="s">
        <v>1312</v>
      </c>
      <c r="I467" s="33" t="s">
        <v>2494</v>
      </c>
      <c r="J467" s="63"/>
      <c r="K467" s="33"/>
      <c r="L467" s="360"/>
      <c r="M467" s="40"/>
      <c r="N467" s="360"/>
      <c r="O467" s="72" t="s">
        <v>3187</v>
      </c>
      <c r="P467" s="33">
        <v>2014</v>
      </c>
      <c r="Q467" s="40"/>
      <c r="R467" s="40"/>
      <c r="S467" s="40"/>
      <c r="T467" s="40"/>
      <c r="U467" s="251">
        <v>2410554234</v>
      </c>
      <c r="V467" s="33"/>
      <c r="W467" s="127"/>
      <c r="X467" s="206" t="str">
        <f t="shared" si="144"/>
        <v>4.13.01</v>
      </c>
      <c r="Y467" s="207" t="str">
        <f t="shared" si="130"/>
        <v>JALAN</v>
      </c>
      <c r="Z467" s="207">
        <f t="shared" si="131"/>
        <v>10</v>
      </c>
      <c r="AA467" s="233">
        <f t="shared" si="132"/>
        <v>241055422.40000001</v>
      </c>
      <c r="AB467" s="208"/>
      <c r="AC467" s="233">
        <f t="shared" si="134"/>
        <v>0</v>
      </c>
      <c r="AD467" s="233">
        <f t="shared" si="135"/>
        <v>241055422.40000001</v>
      </c>
      <c r="AE467" s="233">
        <f t="shared" si="136"/>
        <v>241055422.40000001</v>
      </c>
      <c r="AF467" s="233">
        <f t="shared" si="137"/>
        <v>241055422.40000001</v>
      </c>
      <c r="AG467" s="233">
        <f t="shared" si="138"/>
        <v>241055422.40000001</v>
      </c>
      <c r="AH467" s="238">
        <f t="shared" si="139"/>
        <v>241055422.40000001</v>
      </c>
      <c r="AI467" s="238">
        <f t="shared" si="140"/>
        <v>1205277112</v>
      </c>
      <c r="AJ467" s="261">
        <f t="shared" si="141"/>
        <v>2014</v>
      </c>
      <c r="AK467" s="233">
        <f t="shared" si="142"/>
        <v>1205277122</v>
      </c>
    </row>
    <row r="468" spans="1:39" s="116" customFormat="1" ht="35.25" hidden="1" customHeight="1" x14ac:dyDescent="0.2">
      <c r="B468" s="116" t="e">
        <f t="shared" si="129"/>
        <v>#N/A</v>
      </c>
      <c r="F468" s="218" t="s">
        <v>2304</v>
      </c>
      <c r="G468" s="53"/>
      <c r="H468" s="67" t="s">
        <v>1313</v>
      </c>
      <c r="I468" s="33" t="s">
        <v>2494</v>
      </c>
      <c r="J468" s="63"/>
      <c r="K468" s="33"/>
      <c r="L468" s="360"/>
      <c r="M468" s="40"/>
      <c r="N468" s="360"/>
      <c r="O468" s="72" t="s">
        <v>3188</v>
      </c>
      <c r="P468" s="33">
        <v>2014</v>
      </c>
      <c r="Q468" s="40"/>
      <c r="R468" s="40"/>
      <c r="S468" s="40"/>
      <c r="T468" s="40"/>
      <c r="U468" s="251">
        <v>1930134008</v>
      </c>
      <c r="V468" s="33"/>
      <c r="W468" s="127"/>
      <c r="X468" s="206" t="str">
        <f t="shared" si="144"/>
        <v>4.13.01</v>
      </c>
      <c r="Y468" s="207" t="str">
        <f t="shared" si="130"/>
        <v>JALAN</v>
      </c>
      <c r="Z468" s="207">
        <f t="shared" si="131"/>
        <v>10</v>
      </c>
      <c r="AA468" s="233">
        <f t="shared" si="132"/>
        <v>193013399.80000001</v>
      </c>
      <c r="AB468" s="208"/>
      <c r="AC468" s="233">
        <f t="shared" si="134"/>
        <v>0</v>
      </c>
      <c r="AD468" s="233">
        <f t="shared" si="135"/>
        <v>193013399.80000001</v>
      </c>
      <c r="AE468" s="233">
        <f t="shared" si="136"/>
        <v>193013399.80000001</v>
      </c>
      <c r="AF468" s="233">
        <f t="shared" si="137"/>
        <v>193013399.80000001</v>
      </c>
      <c r="AG468" s="233">
        <f t="shared" si="138"/>
        <v>193013399.80000001</v>
      </c>
      <c r="AH468" s="238">
        <f t="shared" si="139"/>
        <v>193013399.80000001</v>
      </c>
      <c r="AI468" s="238">
        <f t="shared" si="140"/>
        <v>965066999</v>
      </c>
      <c r="AJ468" s="261">
        <f t="shared" si="141"/>
        <v>2014</v>
      </c>
      <c r="AK468" s="233">
        <f t="shared" si="142"/>
        <v>965067009</v>
      </c>
    </row>
    <row r="469" spans="1:39" s="116" customFormat="1" ht="35.25" hidden="1" customHeight="1" x14ac:dyDescent="0.2">
      <c r="A469" s="116">
        <v>4</v>
      </c>
      <c r="B469" s="116" t="str">
        <f t="shared" si="129"/>
        <v>SENTAJO - MUARA LANGSAT</v>
      </c>
      <c r="D469" s="116">
        <v>5</v>
      </c>
      <c r="E469" s="120" t="str">
        <f>A469&amp;"."&amp;D469</f>
        <v>4.5</v>
      </c>
      <c r="F469" s="218" t="s">
        <v>2305</v>
      </c>
      <c r="G469" s="53"/>
      <c r="H469" s="67" t="s">
        <v>1314</v>
      </c>
      <c r="I469" s="33" t="s">
        <v>2494</v>
      </c>
      <c r="J469" s="63"/>
      <c r="K469" s="33"/>
      <c r="L469" s="360"/>
      <c r="M469" s="40"/>
      <c r="N469" s="360"/>
      <c r="O469" s="72" t="s">
        <v>619</v>
      </c>
      <c r="P469" s="33">
        <v>2014</v>
      </c>
      <c r="Q469" s="40"/>
      <c r="R469" s="40"/>
      <c r="S469" s="40"/>
      <c r="T469" s="40"/>
      <c r="U469" s="251">
        <v>197942320</v>
      </c>
      <c r="V469" s="33"/>
      <c r="W469" s="127"/>
      <c r="X469" s="206" t="str">
        <f t="shared" si="144"/>
        <v>4.13.02</v>
      </c>
      <c r="Y469" s="207" t="str">
        <f t="shared" si="130"/>
        <v>JEMBATAN</v>
      </c>
      <c r="Z469" s="207">
        <f t="shared" si="131"/>
        <v>50</v>
      </c>
      <c r="AA469" s="233">
        <f t="shared" si="132"/>
        <v>3958846.2</v>
      </c>
      <c r="AB469" s="208"/>
      <c r="AC469" s="233">
        <f t="shared" si="134"/>
        <v>0</v>
      </c>
      <c r="AD469" s="233">
        <f t="shared" si="135"/>
        <v>3958846.2</v>
      </c>
      <c r="AE469" s="233">
        <f t="shared" si="136"/>
        <v>3958846.2</v>
      </c>
      <c r="AF469" s="233">
        <f t="shared" si="137"/>
        <v>3958846.2</v>
      </c>
      <c r="AG469" s="233">
        <f t="shared" si="138"/>
        <v>3958846.2</v>
      </c>
      <c r="AH469" s="238">
        <f t="shared" si="139"/>
        <v>3958846.2</v>
      </c>
      <c r="AI469" s="238">
        <f t="shared" si="140"/>
        <v>19794231</v>
      </c>
      <c r="AJ469" s="261">
        <f t="shared" si="141"/>
        <v>2014</v>
      </c>
      <c r="AK469" s="233">
        <f t="shared" si="142"/>
        <v>178148089</v>
      </c>
      <c r="AM469" s="116" t="s">
        <v>4245</v>
      </c>
    </row>
    <row r="470" spans="1:39" s="116" customFormat="1" ht="35.25" hidden="1" customHeight="1" x14ac:dyDescent="0.2">
      <c r="A470" s="116">
        <v>229</v>
      </c>
      <c r="B470" s="116" t="str">
        <f t="shared" si="129"/>
        <v>SIMP. HANDOYO - SUMBER DATAR</v>
      </c>
      <c r="D470" s="116">
        <v>2</v>
      </c>
      <c r="E470" s="116" t="str">
        <f>A470&amp;"."&amp;D470</f>
        <v>229.2</v>
      </c>
      <c r="F470" s="218" t="s">
        <v>2304</v>
      </c>
      <c r="G470" s="53"/>
      <c r="H470" s="67" t="s">
        <v>1315</v>
      </c>
      <c r="I470" s="33" t="s">
        <v>2494</v>
      </c>
      <c r="J470" s="63"/>
      <c r="K470" s="33"/>
      <c r="L470" s="360"/>
      <c r="M470" s="40"/>
      <c r="N470" s="360"/>
      <c r="O470" s="72" t="s">
        <v>3189</v>
      </c>
      <c r="P470" s="33">
        <v>2014</v>
      </c>
      <c r="Q470" s="40"/>
      <c r="R470" s="40"/>
      <c r="S470" s="40"/>
      <c r="T470" s="40"/>
      <c r="U470" s="251">
        <v>1927376842</v>
      </c>
      <c r="V470" s="33"/>
      <c r="W470" s="127"/>
      <c r="X470" s="206" t="str">
        <f t="shared" si="144"/>
        <v>4.13.01</v>
      </c>
      <c r="Y470" s="207" t="str">
        <f t="shared" si="130"/>
        <v>JALAN</v>
      </c>
      <c r="Z470" s="207">
        <f t="shared" si="131"/>
        <v>10</v>
      </c>
      <c r="AA470" s="233">
        <f t="shared" si="132"/>
        <v>192737683.19999999</v>
      </c>
      <c r="AB470" s="208"/>
      <c r="AC470" s="233">
        <f t="shared" si="134"/>
        <v>0</v>
      </c>
      <c r="AD470" s="233">
        <f t="shared" si="135"/>
        <v>192737683.19999999</v>
      </c>
      <c r="AE470" s="233">
        <f t="shared" si="136"/>
        <v>192737683.19999999</v>
      </c>
      <c r="AF470" s="233">
        <f t="shared" si="137"/>
        <v>192737683.19999999</v>
      </c>
      <c r="AG470" s="233">
        <f t="shared" si="138"/>
        <v>192737683.19999999</v>
      </c>
      <c r="AH470" s="238">
        <f t="shared" si="139"/>
        <v>192737683.19999999</v>
      </c>
      <c r="AI470" s="238">
        <f t="shared" si="140"/>
        <v>963688416</v>
      </c>
      <c r="AJ470" s="261">
        <f t="shared" si="141"/>
        <v>2014</v>
      </c>
      <c r="AK470" s="233">
        <f t="shared" si="142"/>
        <v>963688426</v>
      </c>
      <c r="AM470" s="116" t="s">
        <v>4245</v>
      </c>
    </row>
    <row r="471" spans="1:39" s="116" customFormat="1" ht="35.25" hidden="1" customHeight="1" x14ac:dyDescent="0.2">
      <c r="A471" s="116">
        <v>235</v>
      </c>
      <c r="B471" s="116" t="str">
        <f t="shared" si="129"/>
        <v>AIR MAS - SEI. KERANJI</v>
      </c>
      <c r="D471" s="116">
        <v>2</v>
      </c>
      <c r="E471" s="1" t="str">
        <f>A471&amp;"."&amp;D471</f>
        <v>235.2</v>
      </c>
      <c r="F471" s="218" t="s">
        <v>2305</v>
      </c>
      <c r="G471" s="53"/>
      <c r="H471" s="67" t="s">
        <v>1316</v>
      </c>
      <c r="I471" s="33" t="s">
        <v>2494</v>
      </c>
      <c r="J471" s="63"/>
      <c r="K471" s="33"/>
      <c r="L471" s="360"/>
      <c r="M471" s="40"/>
      <c r="N471" s="360"/>
      <c r="O471" s="72" t="s">
        <v>3146</v>
      </c>
      <c r="P471" s="33">
        <v>2014</v>
      </c>
      <c r="Q471" s="40"/>
      <c r="R471" s="40"/>
      <c r="S471" s="40"/>
      <c r="T471" s="40"/>
      <c r="U471" s="251">
        <v>321413975</v>
      </c>
      <c r="V471" s="33"/>
      <c r="W471" s="127"/>
      <c r="X471" s="206" t="str">
        <f t="shared" si="144"/>
        <v>4.13.02</v>
      </c>
      <c r="Y471" s="207" t="str">
        <f t="shared" si="130"/>
        <v>JEMBATAN</v>
      </c>
      <c r="Z471" s="207">
        <f t="shared" si="131"/>
        <v>50</v>
      </c>
      <c r="AA471" s="233">
        <f t="shared" si="132"/>
        <v>6428279.2999999998</v>
      </c>
      <c r="AB471" s="208"/>
      <c r="AC471" s="233">
        <f t="shared" si="134"/>
        <v>0</v>
      </c>
      <c r="AD471" s="233">
        <f t="shared" si="135"/>
        <v>6428279.2999999998</v>
      </c>
      <c r="AE471" s="233">
        <f t="shared" si="136"/>
        <v>6428279.2999999998</v>
      </c>
      <c r="AF471" s="233">
        <f t="shared" si="137"/>
        <v>6428279.2999999998</v>
      </c>
      <c r="AG471" s="233">
        <f t="shared" si="138"/>
        <v>6428279.2999999998</v>
      </c>
      <c r="AH471" s="238">
        <f t="shared" si="139"/>
        <v>6428279.2999999998</v>
      </c>
      <c r="AI471" s="238">
        <f t="shared" si="140"/>
        <v>32141396.5</v>
      </c>
      <c r="AJ471" s="261">
        <f t="shared" si="141"/>
        <v>2014</v>
      </c>
      <c r="AK471" s="233">
        <f t="shared" si="142"/>
        <v>289272578.5</v>
      </c>
      <c r="AM471" s="116" t="s">
        <v>4245</v>
      </c>
    </row>
    <row r="472" spans="1:39" s="116" customFormat="1" ht="35.25" hidden="1" customHeight="1" x14ac:dyDescent="0.2">
      <c r="B472" s="116" t="e">
        <f t="shared" si="129"/>
        <v>#N/A</v>
      </c>
      <c r="F472" s="218" t="s">
        <v>2304</v>
      </c>
      <c r="G472" s="53"/>
      <c r="H472" s="67" t="s">
        <v>1317</v>
      </c>
      <c r="I472" s="33" t="s">
        <v>2494</v>
      </c>
      <c r="J472" s="63"/>
      <c r="K472" s="33"/>
      <c r="L472" s="360"/>
      <c r="M472" s="40"/>
      <c r="N472" s="360"/>
      <c r="O472" s="72" t="s">
        <v>3190</v>
      </c>
      <c r="P472" s="33">
        <v>2014</v>
      </c>
      <c r="Q472" s="40"/>
      <c r="R472" s="40"/>
      <c r="S472" s="40"/>
      <c r="T472" s="40"/>
      <c r="U472" s="251">
        <v>1913817758</v>
      </c>
      <c r="V472" s="33"/>
      <c r="W472" s="127"/>
      <c r="X472" s="206" t="str">
        <f t="shared" si="144"/>
        <v>4.13.01</v>
      </c>
      <c r="Y472" s="207" t="str">
        <f t="shared" si="130"/>
        <v>JALAN</v>
      </c>
      <c r="Z472" s="207">
        <f t="shared" si="131"/>
        <v>10</v>
      </c>
      <c r="AA472" s="233">
        <f t="shared" si="132"/>
        <v>191381774.80000001</v>
      </c>
      <c r="AB472" s="208"/>
      <c r="AC472" s="233">
        <f t="shared" si="134"/>
        <v>0</v>
      </c>
      <c r="AD472" s="233">
        <f t="shared" si="135"/>
        <v>191381774.80000001</v>
      </c>
      <c r="AE472" s="233">
        <f t="shared" si="136"/>
        <v>191381774.80000001</v>
      </c>
      <c r="AF472" s="233">
        <f t="shared" si="137"/>
        <v>191381774.80000001</v>
      </c>
      <c r="AG472" s="233">
        <f t="shared" si="138"/>
        <v>191381774.80000001</v>
      </c>
      <c r="AH472" s="238">
        <f t="shared" si="139"/>
        <v>191381774.80000001</v>
      </c>
      <c r="AI472" s="238">
        <f t="shared" si="140"/>
        <v>956908874</v>
      </c>
      <c r="AJ472" s="261">
        <f t="shared" si="141"/>
        <v>2014</v>
      </c>
      <c r="AK472" s="233">
        <f t="shared" si="142"/>
        <v>956908884</v>
      </c>
    </row>
    <row r="473" spans="1:39" s="116" customFormat="1" ht="35.25" hidden="1" customHeight="1" x14ac:dyDescent="0.2">
      <c r="B473" s="116" t="e">
        <f t="shared" si="129"/>
        <v>#N/A</v>
      </c>
      <c r="F473" s="218" t="s">
        <v>2304</v>
      </c>
      <c r="G473" s="53"/>
      <c r="H473" s="67" t="s">
        <v>1318</v>
      </c>
      <c r="I473" s="33" t="s">
        <v>2494</v>
      </c>
      <c r="J473" s="63"/>
      <c r="K473" s="33"/>
      <c r="L473" s="360"/>
      <c r="M473" s="40"/>
      <c r="N473" s="360"/>
      <c r="O473" s="72" t="s">
        <v>3191</v>
      </c>
      <c r="P473" s="33">
        <v>2014</v>
      </c>
      <c r="Q473" s="40"/>
      <c r="R473" s="40"/>
      <c r="S473" s="40"/>
      <c r="T473" s="40"/>
      <c r="U473" s="251">
        <v>9827462391.6313477</v>
      </c>
      <c r="V473" s="33"/>
      <c r="W473" s="127"/>
      <c r="X473" s="206" t="str">
        <f t="shared" si="144"/>
        <v>4.13.01</v>
      </c>
      <c r="Y473" s="207" t="str">
        <f t="shared" si="130"/>
        <v>JALAN</v>
      </c>
      <c r="Z473" s="207">
        <f t="shared" si="131"/>
        <v>10</v>
      </c>
      <c r="AA473" s="233">
        <f t="shared" si="132"/>
        <v>982746238.16313481</v>
      </c>
      <c r="AB473" s="208"/>
      <c r="AC473" s="233">
        <f t="shared" si="134"/>
        <v>0</v>
      </c>
      <c r="AD473" s="233">
        <f t="shared" si="135"/>
        <v>982746238.16313481</v>
      </c>
      <c r="AE473" s="233">
        <f t="shared" si="136"/>
        <v>982746238.16313481</v>
      </c>
      <c r="AF473" s="233">
        <f t="shared" si="137"/>
        <v>982746238.16313481</v>
      </c>
      <c r="AG473" s="233">
        <f t="shared" si="138"/>
        <v>982746238.16313481</v>
      </c>
      <c r="AH473" s="238">
        <f t="shared" si="139"/>
        <v>982746238.16313481</v>
      </c>
      <c r="AI473" s="238">
        <f t="shared" si="140"/>
        <v>4913731190.8156738</v>
      </c>
      <c r="AJ473" s="261">
        <f t="shared" si="141"/>
        <v>2014</v>
      </c>
      <c r="AK473" s="233">
        <f t="shared" si="142"/>
        <v>4913731200.8156738</v>
      </c>
    </row>
    <row r="474" spans="1:39" s="116" customFormat="1" ht="35.25" hidden="1" customHeight="1" x14ac:dyDescent="0.2">
      <c r="B474" s="116" t="e">
        <f t="shared" si="129"/>
        <v>#N/A</v>
      </c>
      <c r="F474" s="218" t="s">
        <v>2304</v>
      </c>
      <c r="G474" s="53"/>
      <c r="H474" s="67" t="s">
        <v>1319</v>
      </c>
      <c r="I474" s="33" t="s">
        <v>2494</v>
      </c>
      <c r="J474" s="63"/>
      <c r="K474" s="33"/>
      <c r="L474" s="360"/>
      <c r="M474" s="40"/>
      <c r="N474" s="360"/>
      <c r="O474" s="72" t="s">
        <v>3192</v>
      </c>
      <c r="P474" s="33">
        <v>2014</v>
      </c>
      <c r="Q474" s="40"/>
      <c r="R474" s="40"/>
      <c r="S474" s="40"/>
      <c r="T474" s="40"/>
      <c r="U474" s="251">
        <v>1947872840</v>
      </c>
      <c r="V474" s="33"/>
      <c r="W474" s="127"/>
      <c r="X474" s="206" t="str">
        <f t="shared" si="144"/>
        <v>4.13.01</v>
      </c>
      <c r="Y474" s="207" t="str">
        <f t="shared" si="130"/>
        <v>JALAN</v>
      </c>
      <c r="Z474" s="207">
        <f t="shared" si="131"/>
        <v>10</v>
      </c>
      <c r="AA474" s="233">
        <f t="shared" si="132"/>
        <v>194787283</v>
      </c>
      <c r="AB474" s="208"/>
      <c r="AC474" s="233">
        <f t="shared" si="134"/>
        <v>0</v>
      </c>
      <c r="AD474" s="233">
        <f t="shared" si="135"/>
        <v>194787283</v>
      </c>
      <c r="AE474" s="233">
        <f t="shared" si="136"/>
        <v>194787283</v>
      </c>
      <c r="AF474" s="233">
        <f t="shared" si="137"/>
        <v>194787283</v>
      </c>
      <c r="AG474" s="233">
        <f t="shared" si="138"/>
        <v>194787283</v>
      </c>
      <c r="AH474" s="238">
        <f t="shared" si="139"/>
        <v>194787283</v>
      </c>
      <c r="AI474" s="238">
        <f t="shared" si="140"/>
        <v>973936415</v>
      </c>
      <c r="AJ474" s="261">
        <f t="shared" si="141"/>
        <v>2014</v>
      </c>
      <c r="AK474" s="233">
        <f t="shared" si="142"/>
        <v>973936425</v>
      </c>
    </row>
    <row r="475" spans="1:39" s="116" customFormat="1" ht="35.25" hidden="1" customHeight="1" x14ac:dyDescent="0.2">
      <c r="A475" s="116">
        <v>123</v>
      </c>
      <c r="B475" s="116" t="str">
        <f t="shared" si="129"/>
        <v>SAIK - KOTO KOMBU</v>
      </c>
      <c r="D475" s="116">
        <v>1</v>
      </c>
      <c r="E475" s="116" t="str">
        <f>A475&amp;"."&amp;D475</f>
        <v>123.1</v>
      </c>
      <c r="F475" s="218" t="s">
        <v>2304</v>
      </c>
      <c r="G475" s="53"/>
      <c r="H475" s="67" t="s">
        <v>1320</v>
      </c>
      <c r="I475" s="33" t="s">
        <v>2494</v>
      </c>
      <c r="J475" s="63"/>
      <c r="K475" s="33"/>
      <c r="L475" s="360"/>
      <c r="M475" s="40"/>
      <c r="N475" s="360"/>
      <c r="O475" s="72" t="s">
        <v>3193</v>
      </c>
      <c r="P475" s="33">
        <v>2014</v>
      </c>
      <c r="Q475" s="40"/>
      <c r="R475" s="40"/>
      <c r="S475" s="40"/>
      <c r="T475" s="40"/>
      <c r="U475" s="251">
        <v>197462951</v>
      </c>
      <c r="V475" s="33"/>
      <c r="W475" s="127"/>
      <c r="X475" s="206" t="str">
        <f t="shared" si="144"/>
        <v>4.13.01</v>
      </c>
      <c r="Y475" s="207" t="str">
        <f t="shared" si="130"/>
        <v>JALAN</v>
      </c>
      <c r="Z475" s="207">
        <f t="shared" si="131"/>
        <v>10</v>
      </c>
      <c r="AA475" s="233">
        <f t="shared" si="132"/>
        <v>19746294.100000001</v>
      </c>
      <c r="AB475" s="208"/>
      <c r="AC475" s="233">
        <f t="shared" si="134"/>
        <v>0</v>
      </c>
      <c r="AD475" s="233">
        <f t="shared" si="135"/>
        <v>19746294.100000001</v>
      </c>
      <c r="AE475" s="233">
        <f t="shared" si="136"/>
        <v>19746294.100000001</v>
      </c>
      <c r="AF475" s="233">
        <f t="shared" si="137"/>
        <v>19746294.100000001</v>
      </c>
      <c r="AG475" s="233">
        <f t="shared" si="138"/>
        <v>19746294.100000001</v>
      </c>
      <c r="AH475" s="238">
        <f t="shared" si="139"/>
        <v>19746294.100000001</v>
      </c>
      <c r="AI475" s="238">
        <f t="shared" si="140"/>
        <v>98731470.5</v>
      </c>
      <c r="AJ475" s="261">
        <f t="shared" si="141"/>
        <v>2014</v>
      </c>
      <c r="AK475" s="233">
        <f t="shared" si="142"/>
        <v>98731480.5</v>
      </c>
    </row>
    <row r="476" spans="1:39" s="116" customFormat="1" ht="35.25" hidden="1" customHeight="1" x14ac:dyDescent="0.2">
      <c r="B476" s="116" t="e">
        <f t="shared" si="129"/>
        <v>#N/A</v>
      </c>
      <c r="F476" s="218" t="s">
        <v>2304</v>
      </c>
      <c r="G476" s="53"/>
      <c r="H476" s="67" t="s">
        <v>1321</v>
      </c>
      <c r="I476" s="33" t="s">
        <v>2494</v>
      </c>
      <c r="J476" s="63"/>
      <c r="K476" s="33"/>
      <c r="L476" s="360"/>
      <c r="M476" s="40"/>
      <c r="N476" s="360"/>
      <c r="O476" s="72" t="s">
        <v>2562</v>
      </c>
      <c r="P476" s="33">
        <v>2014</v>
      </c>
      <c r="Q476" s="40"/>
      <c r="R476" s="40"/>
      <c r="S476" s="40"/>
      <c r="T476" s="40"/>
      <c r="U476" s="251">
        <v>198146512</v>
      </c>
      <c r="V476" s="33"/>
      <c r="W476" s="127"/>
      <c r="X476" s="206" t="str">
        <f t="shared" si="144"/>
        <v>4.13.01</v>
      </c>
      <c r="Y476" s="207" t="str">
        <f t="shared" si="130"/>
        <v>JALAN</v>
      </c>
      <c r="Z476" s="207">
        <f t="shared" si="131"/>
        <v>10</v>
      </c>
      <c r="AA476" s="233">
        <f t="shared" si="132"/>
        <v>19814650.199999999</v>
      </c>
      <c r="AB476" s="208"/>
      <c r="AC476" s="233">
        <f t="shared" si="134"/>
        <v>0</v>
      </c>
      <c r="AD476" s="233">
        <f t="shared" si="135"/>
        <v>19814650.199999999</v>
      </c>
      <c r="AE476" s="233">
        <f t="shared" si="136"/>
        <v>19814650.199999999</v>
      </c>
      <c r="AF476" s="233">
        <f t="shared" si="137"/>
        <v>19814650.199999999</v>
      </c>
      <c r="AG476" s="233">
        <f t="shared" si="138"/>
        <v>19814650.199999999</v>
      </c>
      <c r="AH476" s="238">
        <f t="shared" si="139"/>
        <v>19814650.199999999</v>
      </c>
      <c r="AI476" s="238">
        <f t="shared" si="140"/>
        <v>99073251</v>
      </c>
      <c r="AJ476" s="261">
        <f t="shared" si="141"/>
        <v>2014</v>
      </c>
      <c r="AK476" s="233">
        <f t="shared" si="142"/>
        <v>99073261</v>
      </c>
    </row>
    <row r="477" spans="1:39" s="116" customFormat="1" ht="35.25" hidden="1" customHeight="1" x14ac:dyDescent="0.2">
      <c r="B477" s="116" t="e">
        <f t="shared" si="129"/>
        <v>#N/A</v>
      </c>
      <c r="F477" s="218" t="s">
        <v>2304</v>
      </c>
      <c r="G477" s="53"/>
      <c r="H477" s="67" t="s">
        <v>1322</v>
      </c>
      <c r="I477" s="33" t="s">
        <v>2494</v>
      </c>
      <c r="J477" s="63"/>
      <c r="K477" s="33"/>
      <c r="L477" s="360"/>
      <c r="M477" s="40"/>
      <c r="N477" s="360"/>
      <c r="O477" s="72" t="s">
        <v>3194</v>
      </c>
      <c r="P477" s="33">
        <v>2014</v>
      </c>
      <c r="Q477" s="40"/>
      <c r="R477" s="40"/>
      <c r="S477" s="40"/>
      <c r="T477" s="40"/>
      <c r="U477" s="251">
        <v>197600820</v>
      </c>
      <c r="V477" s="33"/>
      <c r="W477" s="127"/>
      <c r="X477" s="206" t="str">
        <f t="shared" si="144"/>
        <v>4.13.01</v>
      </c>
      <c r="Y477" s="207" t="str">
        <f t="shared" si="130"/>
        <v>JALAN</v>
      </c>
      <c r="Z477" s="207">
        <f t="shared" si="131"/>
        <v>10</v>
      </c>
      <c r="AA477" s="233">
        <f t="shared" si="132"/>
        <v>19760081</v>
      </c>
      <c r="AB477" s="208"/>
      <c r="AC477" s="233">
        <f t="shared" si="134"/>
        <v>0</v>
      </c>
      <c r="AD477" s="233">
        <f t="shared" si="135"/>
        <v>19760081</v>
      </c>
      <c r="AE477" s="233">
        <f t="shared" si="136"/>
        <v>19760081</v>
      </c>
      <c r="AF477" s="233">
        <f t="shared" si="137"/>
        <v>19760081</v>
      </c>
      <c r="AG477" s="233">
        <f t="shared" si="138"/>
        <v>19760081</v>
      </c>
      <c r="AH477" s="238">
        <f t="shared" si="139"/>
        <v>19760081</v>
      </c>
      <c r="AI477" s="238">
        <f t="shared" si="140"/>
        <v>98800405</v>
      </c>
      <c r="AJ477" s="261">
        <f t="shared" si="141"/>
        <v>2014</v>
      </c>
      <c r="AK477" s="233">
        <f t="shared" si="142"/>
        <v>98800415</v>
      </c>
    </row>
    <row r="478" spans="1:39" s="116" customFormat="1" ht="35.25" hidden="1" customHeight="1" x14ac:dyDescent="0.2">
      <c r="B478" s="116" t="e">
        <f t="shared" si="129"/>
        <v>#N/A</v>
      </c>
      <c r="F478" s="218" t="s">
        <v>2305</v>
      </c>
      <c r="G478" s="53"/>
      <c r="H478" s="67" t="s">
        <v>1323</v>
      </c>
      <c r="I478" s="33" t="s">
        <v>2514</v>
      </c>
      <c r="J478" s="63"/>
      <c r="K478" s="33"/>
      <c r="L478" s="360"/>
      <c r="M478" s="40"/>
      <c r="N478" s="360"/>
      <c r="O478" s="72" t="s">
        <v>2574</v>
      </c>
      <c r="P478" s="33">
        <v>2014</v>
      </c>
      <c r="Q478" s="40"/>
      <c r="R478" s="40"/>
      <c r="S478" s="40"/>
      <c r="T478" s="40"/>
      <c r="U478" s="251">
        <v>198334296</v>
      </c>
      <c r="V478" s="33"/>
      <c r="W478" s="127"/>
      <c r="X478" s="206" t="str">
        <f t="shared" si="144"/>
        <v>4.13.02</v>
      </c>
      <c r="Y478" s="207" t="str">
        <f t="shared" si="130"/>
        <v>JEMBATAN</v>
      </c>
      <c r="Z478" s="207">
        <f t="shared" si="131"/>
        <v>50</v>
      </c>
      <c r="AA478" s="233">
        <f t="shared" si="132"/>
        <v>3966685.72</v>
      </c>
      <c r="AB478" s="208"/>
      <c r="AC478" s="233">
        <f t="shared" si="134"/>
        <v>0</v>
      </c>
      <c r="AD478" s="233">
        <f t="shared" si="135"/>
        <v>3966685.72</v>
      </c>
      <c r="AE478" s="233">
        <f t="shared" si="136"/>
        <v>3966685.72</v>
      </c>
      <c r="AF478" s="233">
        <f t="shared" si="137"/>
        <v>3966685.72</v>
      </c>
      <c r="AG478" s="233">
        <f t="shared" si="138"/>
        <v>3966685.72</v>
      </c>
      <c r="AH478" s="238">
        <f t="shared" si="139"/>
        <v>3966685.72</v>
      </c>
      <c r="AI478" s="238">
        <f t="shared" si="140"/>
        <v>19833428.600000001</v>
      </c>
      <c r="AJ478" s="261">
        <f t="shared" si="141"/>
        <v>2014</v>
      </c>
      <c r="AK478" s="233">
        <f t="shared" si="142"/>
        <v>178500867.40000001</v>
      </c>
    </row>
    <row r="479" spans="1:39" s="379" customFormat="1" ht="35.25" hidden="1" customHeight="1" x14ac:dyDescent="0.2">
      <c r="A479" s="116"/>
      <c r="B479" s="379" t="e">
        <f t="shared" si="129"/>
        <v>#N/A</v>
      </c>
      <c r="E479" s="120" t="str">
        <f>A479&amp;"."&amp;D479</f>
        <v>.</v>
      </c>
      <c r="F479" s="380" t="s">
        <v>2305</v>
      </c>
      <c r="G479" s="381"/>
      <c r="H479" s="170" t="s">
        <v>1324</v>
      </c>
      <c r="I479" s="332" t="s">
        <v>2514</v>
      </c>
      <c r="J479" s="63"/>
      <c r="K479" s="332"/>
      <c r="L479" s="382"/>
      <c r="M479" s="171"/>
      <c r="N479" s="382"/>
      <c r="O479" s="172" t="s">
        <v>3195</v>
      </c>
      <c r="P479" s="332">
        <v>2014</v>
      </c>
      <c r="Q479" s="171"/>
      <c r="R479" s="171"/>
      <c r="S479" s="171"/>
      <c r="T479" s="171"/>
      <c r="U479" s="383">
        <v>197935199</v>
      </c>
      <c r="V479" s="332"/>
      <c r="W479" s="384"/>
      <c r="X479" s="212" t="str">
        <f t="shared" si="144"/>
        <v>4.13.02</v>
      </c>
      <c r="Y479" s="213" t="str">
        <f t="shared" si="130"/>
        <v>JEMBATAN</v>
      </c>
      <c r="Z479" s="213">
        <f t="shared" si="131"/>
        <v>50</v>
      </c>
      <c r="AA479" s="236">
        <f t="shared" si="132"/>
        <v>3958703.78</v>
      </c>
      <c r="AB479" s="214"/>
      <c r="AC479" s="236">
        <f t="shared" si="134"/>
        <v>0</v>
      </c>
      <c r="AD479" s="236">
        <f t="shared" si="135"/>
        <v>3958703.78</v>
      </c>
      <c r="AE479" s="236">
        <f t="shared" si="136"/>
        <v>3958703.78</v>
      </c>
      <c r="AF479" s="236">
        <f t="shared" si="137"/>
        <v>3958703.78</v>
      </c>
      <c r="AG479" s="236">
        <f t="shared" si="138"/>
        <v>3958703.78</v>
      </c>
      <c r="AH479" s="241">
        <f t="shared" si="139"/>
        <v>3958703.78</v>
      </c>
      <c r="AI479" s="241">
        <f t="shared" si="140"/>
        <v>19793518.899999999</v>
      </c>
      <c r="AJ479" s="261">
        <f t="shared" si="141"/>
        <v>2014</v>
      </c>
      <c r="AK479" s="236">
        <f t="shared" si="142"/>
        <v>178141680.09999999</v>
      </c>
    </row>
    <row r="480" spans="1:39" s="116" customFormat="1" ht="35.25" hidden="1" customHeight="1" x14ac:dyDescent="0.2">
      <c r="B480" s="116" t="e">
        <f t="shared" si="129"/>
        <v>#N/A</v>
      </c>
      <c r="F480" s="218" t="s">
        <v>2305</v>
      </c>
      <c r="G480" s="53"/>
      <c r="H480" s="67" t="s">
        <v>1325</v>
      </c>
      <c r="I480" s="33" t="s">
        <v>2494</v>
      </c>
      <c r="J480" s="63"/>
      <c r="K480" s="33"/>
      <c r="L480" s="360"/>
      <c r="M480" s="40"/>
      <c r="N480" s="360"/>
      <c r="O480" s="72" t="s">
        <v>3196</v>
      </c>
      <c r="P480" s="33">
        <v>2014</v>
      </c>
      <c r="Q480" s="40"/>
      <c r="R480" s="40"/>
      <c r="S480" s="40"/>
      <c r="T480" s="40"/>
      <c r="U480" s="251">
        <v>197798349</v>
      </c>
      <c r="V480" s="33"/>
      <c r="W480" s="127"/>
      <c r="X480" s="206" t="str">
        <f t="shared" si="144"/>
        <v>4.13.02</v>
      </c>
      <c r="Y480" s="207" t="str">
        <f t="shared" si="130"/>
        <v>JEMBATAN</v>
      </c>
      <c r="Z480" s="207">
        <f t="shared" si="131"/>
        <v>50</v>
      </c>
      <c r="AA480" s="233">
        <f t="shared" si="132"/>
        <v>3955966.78</v>
      </c>
      <c r="AB480" s="208"/>
      <c r="AC480" s="233">
        <f t="shared" si="134"/>
        <v>0</v>
      </c>
      <c r="AD480" s="233">
        <f t="shared" si="135"/>
        <v>3955966.78</v>
      </c>
      <c r="AE480" s="233">
        <f t="shared" si="136"/>
        <v>3955966.78</v>
      </c>
      <c r="AF480" s="233">
        <f t="shared" si="137"/>
        <v>3955966.78</v>
      </c>
      <c r="AG480" s="233">
        <f t="shared" si="138"/>
        <v>3955966.78</v>
      </c>
      <c r="AH480" s="238">
        <f t="shared" si="139"/>
        <v>3955966.78</v>
      </c>
      <c r="AI480" s="238">
        <f t="shared" si="140"/>
        <v>19779833.899999999</v>
      </c>
      <c r="AJ480" s="261">
        <f t="shared" si="141"/>
        <v>2014</v>
      </c>
      <c r="AK480" s="233">
        <f t="shared" si="142"/>
        <v>178018515.09999999</v>
      </c>
    </row>
    <row r="481" spans="1:39" s="116" customFormat="1" ht="35.25" hidden="1" customHeight="1" x14ac:dyDescent="0.2">
      <c r="B481" s="116" t="e">
        <f t="shared" si="129"/>
        <v>#N/A</v>
      </c>
      <c r="F481" s="218" t="s">
        <v>2304</v>
      </c>
      <c r="G481" s="53"/>
      <c r="H481" s="67" t="s">
        <v>1326</v>
      </c>
      <c r="I481" s="33" t="s">
        <v>2494</v>
      </c>
      <c r="J481" s="63"/>
      <c r="K481" s="33"/>
      <c r="L481" s="360"/>
      <c r="M481" s="40"/>
      <c r="N481" s="360"/>
      <c r="O481" s="72" t="s">
        <v>3197</v>
      </c>
      <c r="P481" s="33">
        <v>2014</v>
      </c>
      <c r="Q481" s="40"/>
      <c r="R481" s="40"/>
      <c r="S481" s="40"/>
      <c r="T481" s="40"/>
      <c r="U481" s="251">
        <v>197815874</v>
      </c>
      <c r="V481" s="33"/>
      <c r="W481" s="127"/>
      <c r="X481" s="206" t="str">
        <f t="shared" si="144"/>
        <v>4.13.01</v>
      </c>
      <c r="Y481" s="207" t="str">
        <f t="shared" si="130"/>
        <v>JALAN</v>
      </c>
      <c r="Z481" s="207">
        <f t="shared" si="131"/>
        <v>10</v>
      </c>
      <c r="AA481" s="233">
        <f t="shared" si="132"/>
        <v>19781586.399999999</v>
      </c>
      <c r="AB481" s="208"/>
      <c r="AC481" s="233">
        <f t="shared" si="134"/>
        <v>0</v>
      </c>
      <c r="AD481" s="233">
        <f t="shared" si="135"/>
        <v>19781586.399999999</v>
      </c>
      <c r="AE481" s="233">
        <f t="shared" si="136"/>
        <v>19781586.399999999</v>
      </c>
      <c r="AF481" s="233">
        <f t="shared" si="137"/>
        <v>19781586.399999999</v>
      </c>
      <c r="AG481" s="233">
        <f t="shared" si="138"/>
        <v>19781586.399999999</v>
      </c>
      <c r="AH481" s="238">
        <f t="shared" si="139"/>
        <v>19781586.399999999</v>
      </c>
      <c r="AI481" s="238">
        <f t="shared" si="140"/>
        <v>98907932</v>
      </c>
      <c r="AJ481" s="261">
        <f t="shared" si="141"/>
        <v>2014</v>
      </c>
      <c r="AK481" s="233">
        <f t="shared" si="142"/>
        <v>98907942</v>
      </c>
    </row>
    <row r="482" spans="1:39" s="116" customFormat="1" ht="35.25" hidden="1" customHeight="1" x14ac:dyDescent="0.2">
      <c r="A482" s="116">
        <v>28</v>
      </c>
      <c r="B482" s="116" t="str">
        <f t="shared" si="129"/>
        <v>PL. KOMANG SENTAJO - KOTO SENTAJO</v>
      </c>
      <c r="D482" s="116">
        <v>3</v>
      </c>
      <c r="E482" s="120" t="str">
        <f>A482&amp;"."&amp;D482</f>
        <v>28.3</v>
      </c>
      <c r="F482" s="218" t="s">
        <v>2304</v>
      </c>
      <c r="G482" s="53"/>
      <c r="H482" s="67" t="s">
        <v>1327</v>
      </c>
      <c r="I482" s="33" t="s">
        <v>2494</v>
      </c>
      <c r="J482" s="63"/>
      <c r="K482" s="33"/>
      <c r="L482" s="360"/>
      <c r="M482" s="40"/>
      <c r="N482" s="360"/>
      <c r="O482" s="72" t="s">
        <v>3091</v>
      </c>
      <c r="P482" s="33">
        <v>2014</v>
      </c>
      <c r="Q482" s="40"/>
      <c r="R482" s="40"/>
      <c r="S482" s="40"/>
      <c r="T482" s="40"/>
      <c r="U482" s="251">
        <v>1914115810</v>
      </c>
      <c r="V482" s="33"/>
      <c r="W482" s="127"/>
      <c r="X482" s="206" t="str">
        <f t="shared" si="144"/>
        <v>4.13.01</v>
      </c>
      <c r="Y482" s="207" t="str">
        <f t="shared" si="130"/>
        <v>JALAN</v>
      </c>
      <c r="Z482" s="207">
        <f t="shared" si="131"/>
        <v>10</v>
      </c>
      <c r="AA482" s="233">
        <f t="shared" si="132"/>
        <v>191411580</v>
      </c>
      <c r="AB482" s="208"/>
      <c r="AC482" s="233">
        <f t="shared" si="134"/>
        <v>0</v>
      </c>
      <c r="AD482" s="233">
        <f t="shared" si="135"/>
        <v>191411580</v>
      </c>
      <c r="AE482" s="233">
        <f t="shared" si="136"/>
        <v>191411580</v>
      </c>
      <c r="AF482" s="233">
        <f t="shared" si="137"/>
        <v>191411580</v>
      </c>
      <c r="AG482" s="233">
        <f t="shared" si="138"/>
        <v>191411580</v>
      </c>
      <c r="AH482" s="238">
        <f t="shared" si="139"/>
        <v>191411580</v>
      </c>
      <c r="AI482" s="238">
        <f t="shared" si="140"/>
        <v>957057900</v>
      </c>
      <c r="AJ482" s="261">
        <f t="shared" si="141"/>
        <v>2014</v>
      </c>
      <c r="AK482" s="233">
        <f t="shared" si="142"/>
        <v>957057910</v>
      </c>
      <c r="AM482" s="116" t="s">
        <v>4245</v>
      </c>
    </row>
    <row r="483" spans="1:39" s="116" customFormat="1" ht="35.25" hidden="1" customHeight="1" x14ac:dyDescent="0.2">
      <c r="B483" s="116" t="e">
        <f t="shared" si="129"/>
        <v>#N/A</v>
      </c>
      <c r="F483" s="218" t="s">
        <v>2304</v>
      </c>
      <c r="G483" s="53"/>
      <c r="H483" s="67" t="s">
        <v>1328</v>
      </c>
      <c r="I483" s="33" t="s">
        <v>2494</v>
      </c>
      <c r="J483" s="63"/>
      <c r="K483" s="33"/>
      <c r="L483" s="360"/>
      <c r="M483" s="40"/>
      <c r="N483" s="360"/>
      <c r="O483" s="72" t="s">
        <v>3198</v>
      </c>
      <c r="P483" s="33">
        <v>2014</v>
      </c>
      <c r="Q483" s="40"/>
      <c r="R483" s="40"/>
      <c r="S483" s="40"/>
      <c r="T483" s="40"/>
      <c r="U483" s="251">
        <v>446302277</v>
      </c>
      <c r="V483" s="33"/>
      <c r="W483" s="127"/>
      <c r="X483" s="206" t="str">
        <f t="shared" si="144"/>
        <v>4.13.01</v>
      </c>
      <c r="Y483" s="207" t="str">
        <f t="shared" si="130"/>
        <v>JALAN</v>
      </c>
      <c r="Z483" s="207">
        <f t="shared" si="131"/>
        <v>10</v>
      </c>
      <c r="AA483" s="233">
        <f t="shared" si="132"/>
        <v>44630226.700000003</v>
      </c>
      <c r="AB483" s="208"/>
      <c r="AC483" s="233">
        <f t="shared" si="134"/>
        <v>0</v>
      </c>
      <c r="AD483" s="233">
        <f t="shared" si="135"/>
        <v>44630226.700000003</v>
      </c>
      <c r="AE483" s="233">
        <f t="shared" si="136"/>
        <v>44630226.700000003</v>
      </c>
      <c r="AF483" s="233">
        <f t="shared" si="137"/>
        <v>44630226.700000003</v>
      </c>
      <c r="AG483" s="233">
        <f t="shared" si="138"/>
        <v>44630226.700000003</v>
      </c>
      <c r="AH483" s="238">
        <f t="shared" si="139"/>
        <v>44630226.700000003</v>
      </c>
      <c r="AI483" s="238">
        <f t="shared" si="140"/>
        <v>223151133.5</v>
      </c>
      <c r="AJ483" s="261">
        <f t="shared" si="141"/>
        <v>2014</v>
      </c>
      <c r="AK483" s="233">
        <f t="shared" si="142"/>
        <v>223151143.5</v>
      </c>
    </row>
    <row r="484" spans="1:39" s="116" customFormat="1" ht="35.25" hidden="1" customHeight="1" x14ac:dyDescent="0.2">
      <c r="B484" s="116" t="e">
        <f t="shared" si="129"/>
        <v>#N/A</v>
      </c>
      <c r="F484" s="218" t="s">
        <v>2304</v>
      </c>
      <c r="G484" s="53"/>
      <c r="H484" s="67" t="s">
        <v>1329</v>
      </c>
      <c r="I484" s="33" t="s">
        <v>2494</v>
      </c>
      <c r="J484" s="63"/>
      <c r="K484" s="33"/>
      <c r="L484" s="360"/>
      <c r="M484" s="40"/>
      <c r="N484" s="360"/>
      <c r="O484" s="72" t="s">
        <v>3199</v>
      </c>
      <c r="P484" s="33">
        <v>2014</v>
      </c>
      <c r="Q484" s="40"/>
      <c r="R484" s="40"/>
      <c r="S484" s="40"/>
      <c r="T484" s="40"/>
      <c r="U484" s="251">
        <v>371814177</v>
      </c>
      <c r="V484" s="33"/>
      <c r="W484" s="127"/>
      <c r="X484" s="206" t="str">
        <f t="shared" si="144"/>
        <v>4.13.01</v>
      </c>
      <c r="Y484" s="207" t="str">
        <f t="shared" si="130"/>
        <v>JALAN</v>
      </c>
      <c r="Z484" s="207">
        <f t="shared" si="131"/>
        <v>10</v>
      </c>
      <c r="AA484" s="233">
        <f t="shared" si="132"/>
        <v>37181416.700000003</v>
      </c>
      <c r="AB484" s="208"/>
      <c r="AC484" s="233">
        <f t="shared" si="134"/>
        <v>0</v>
      </c>
      <c r="AD484" s="233">
        <f t="shared" si="135"/>
        <v>37181416.700000003</v>
      </c>
      <c r="AE484" s="233">
        <f t="shared" si="136"/>
        <v>37181416.700000003</v>
      </c>
      <c r="AF484" s="233">
        <f t="shared" si="137"/>
        <v>37181416.700000003</v>
      </c>
      <c r="AG484" s="233">
        <f t="shared" si="138"/>
        <v>37181416.700000003</v>
      </c>
      <c r="AH484" s="238">
        <f t="shared" si="139"/>
        <v>37181416.700000003</v>
      </c>
      <c r="AI484" s="238">
        <f t="shared" si="140"/>
        <v>185907083.5</v>
      </c>
      <c r="AJ484" s="261">
        <f t="shared" si="141"/>
        <v>2014</v>
      </c>
      <c r="AK484" s="233">
        <f t="shared" si="142"/>
        <v>185907093.5</v>
      </c>
    </row>
    <row r="485" spans="1:39" s="116" customFormat="1" ht="35.25" hidden="1" customHeight="1" x14ac:dyDescent="0.2">
      <c r="B485" s="116" t="e">
        <f t="shared" ref="B485:B543" si="145">VLOOKUP(A485,RUAS,2,0)</f>
        <v>#N/A</v>
      </c>
      <c r="F485" s="218" t="s">
        <v>2305</v>
      </c>
      <c r="G485" s="53"/>
      <c r="H485" s="67" t="s">
        <v>1330</v>
      </c>
      <c r="I485" s="33" t="s">
        <v>2494</v>
      </c>
      <c r="J485" s="63"/>
      <c r="K485" s="33"/>
      <c r="L485" s="360"/>
      <c r="M485" s="40"/>
      <c r="N485" s="360"/>
      <c r="O485" s="72" t="s">
        <v>3200</v>
      </c>
      <c r="P485" s="33">
        <v>2014</v>
      </c>
      <c r="Q485" s="40"/>
      <c r="R485" s="40"/>
      <c r="S485" s="40"/>
      <c r="T485" s="40"/>
      <c r="U485" s="251">
        <v>197910872</v>
      </c>
      <c r="V485" s="33"/>
      <c r="W485" s="127"/>
      <c r="X485" s="206" t="str">
        <f t="shared" si="144"/>
        <v>4.13.02</v>
      </c>
      <c r="Y485" s="207" t="str">
        <f t="shared" ref="Y485:Y543" si="146">VLOOKUP(X485,kelompok,2,0)</f>
        <v>JEMBATAN</v>
      </c>
      <c r="Z485" s="207">
        <f t="shared" ref="Z485:Z543" si="147">VLOOKUP(X485,MASAMANFAAT,4,0)</f>
        <v>50</v>
      </c>
      <c r="AA485" s="233">
        <f t="shared" si="132"/>
        <v>3958217.24</v>
      </c>
      <c r="AB485" s="208"/>
      <c r="AC485" s="233">
        <f t="shared" si="134"/>
        <v>0</v>
      </c>
      <c r="AD485" s="233">
        <f t="shared" si="135"/>
        <v>3958217.24</v>
      </c>
      <c r="AE485" s="233">
        <f t="shared" si="136"/>
        <v>3958217.24</v>
      </c>
      <c r="AF485" s="233">
        <f t="shared" si="137"/>
        <v>3958217.24</v>
      </c>
      <c r="AG485" s="233">
        <f t="shared" si="138"/>
        <v>3958217.24</v>
      </c>
      <c r="AH485" s="238">
        <f t="shared" si="139"/>
        <v>3958217.24</v>
      </c>
      <c r="AI485" s="238">
        <f t="shared" si="140"/>
        <v>19791086.200000003</v>
      </c>
      <c r="AJ485" s="261">
        <f t="shared" si="141"/>
        <v>2014</v>
      </c>
      <c r="AK485" s="233">
        <f t="shared" si="142"/>
        <v>178119785.80000001</v>
      </c>
    </row>
    <row r="486" spans="1:39" s="116" customFormat="1" ht="35.25" hidden="1" customHeight="1" x14ac:dyDescent="0.2">
      <c r="B486" s="116" t="e">
        <f t="shared" si="145"/>
        <v>#N/A</v>
      </c>
      <c r="F486" s="218" t="s">
        <v>2305</v>
      </c>
      <c r="G486" s="53"/>
      <c r="H486" s="67" t="s">
        <v>1331</v>
      </c>
      <c r="I486" s="33" t="s">
        <v>2494</v>
      </c>
      <c r="J486" s="63"/>
      <c r="K486" s="33"/>
      <c r="L486" s="360"/>
      <c r="M486" s="40"/>
      <c r="N486" s="360"/>
      <c r="O486" s="72" t="s">
        <v>3201</v>
      </c>
      <c r="P486" s="33">
        <v>2014</v>
      </c>
      <c r="Q486" s="40"/>
      <c r="R486" s="40"/>
      <c r="S486" s="40"/>
      <c r="T486" s="40"/>
      <c r="U486" s="251">
        <v>197392348</v>
      </c>
      <c r="V486" s="33"/>
      <c r="W486" s="127"/>
      <c r="X486" s="206" t="str">
        <f t="shared" si="144"/>
        <v>4.13.02</v>
      </c>
      <c r="Y486" s="207" t="str">
        <f t="shared" si="146"/>
        <v>JEMBATAN</v>
      </c>
      <c r="Z486" s="207">
        <f t="shared" si="147"/>
        <v>50</v>
      </c>
      <c r="AA486" s="233">
        <f t="shared" ref="AA486:AA544" si="148">(U486-10)/Z486</f>
        <v>3947846.76</v>
      </c>
      <c r="AB486" s="208"/>
      <c r="AC486" s="233">
        <f t="shared" ref="AC486:AC544" si="149">IF(AB486&gt;Z486,U486-10,AA486*AB486)</f>
        <v>0</v>
      </c>
      <c r="AD486" s="233">
        <f t="shared" ref="AD486:AD506" si="150">IF(U486-10=AC486,0,AA486)</f>
        <v>3947846.76</v>
      </c>
      <c r="AE486" s="233">
        <f t="shared" ref="AE486:AE544" si="151">IF(U486-10=AC486+AD486,0,AA486)</f>
        <v>3947846.76</v>
      </c>
      <c r="AF486" s="233">
        <f t="shared" ref="AF486:AF544" si="152">IF(U486-10=AC486+AD486+AE486,0,AA486)</f>
        <v>3947846.76</v>
      </c>
      <c r="AG486" s="233">
        <f t="shared" ref="AG486:AG544" si="153">IF(U486-10=AD486+AE486+AF486+AC486,0,AA486)</f>
        <v>3947846.76</v>
      </c>
      <c r="AH486" s="238">
        <f t="shared" ref="AH486:AH544" si="154">IF(U486-10=AD486+AE486+AF486+AC486+AG486,0,AA486)</f>
        <v>3947846.76</v>
      </c>
      <c r="AI486" s="238">
        <f t="shared" ref="AI486:AI544" si="155">SUM(AC486:AH486)</f>
        <v>19739233.799999997</v>
      </c>
      <c r="AJ486" s="261">
        <f t="shared" ref="AJ486:AJ544" si="156">P486</f>
        <v>2014</v>
      </c>
      <c r="AK486" s="233">
        <f t="shared" ref="AK486:AK544" si="157">U486-AI486</f>
        <v>177653114.19999999</v>
      </c>
    </row>
    <row r="487" spans="1:39" s="116" customFormat="1" ht="35.25" hidden="1" customHeight="1" x14ac:dyDescent="0.2">
      <c r="A487" s="116">
        <v>4</v>
      </c>
      <c r="B487" s="116" t="str">
        <f t="shared" si="145"/>
        <v>SENTAJO - MUARA LANGSAT</v>
      </c>
      <c r="D487" s="116">
        <v>6</v>
      </c>
      <c r="E487" s="120" t="str">
        <f>A487&amp;"."&amp;D487</f>
        <v>4.6</v>
      </c>
      <c r="F487" s="218" t="s">
        <v>2305</v>
      </c>
      <c r="G487" s="53"/>
      <c r="H487" s="67" t="s">
        <v>1332</v>
      </c>
      <c r="I487" s="33" t="s">
        <v>2494</v>
      </c>
      <c r="J487" s="63"/>
      <c r="K487" s="33"/>
      <c r="L487" s="360"/>
      <c r="M487" s="40"/>
      <c r="N487" s="360"/>
      <c r="O487" s="72" t="s">
        <v>619</v>
      </c>
      <c r="P487" s="33">
        <v>2014</v>
      </c>
      <c r="Q487" s="40"/>
      <c r="R487" s="40"/>
      <c r="S487" s="40"/>
      <c r="T487" s="40"/>
      <c r="U487" s="251">
        <v>197742059</v>
      </c>
      <c r="V487" s="33"/>
      <c r="W487" s="127"/>
      <c r="X487" s="206" t="str">
        <f t="shared" si="144"/>
        <v>4.13.02</v>
      </c>
      <c r="Y487" s="207" t="str">
        <f t="shared" si="146"/>
        <v>JEMBATAN</v>
      </c>
      <c r="Z487" s="207">
        <f t="shared" si="147"/>
        <v>50</v>
      </c>
      <c r="AA487" s="233">
        <f t="shared" si="148"/>
        <v>3954840.98</v>
      </c>
      <c r="AB487" s="208"/>
      <c r="AC487" s="233">
        <f t="shared" si="149"/>
        <v>0</v>
      </c>
      <c r="AD487" s="233">
        <f t="shared" si="150"/>
        <v>3954840.98</v>
      </c>
      <c r="AE487" s="233">
        <f t="shared" si="151"/>
        <v>3954840.98</v>
      </c>
      <c r="AF487" s="233">
        <f t="shared" si="152"/>
        <v>3954840.98</v>
      </c>
      <c r="AG487" s="233">
        <f t="shared" si="153"/>
        <v>3954840.98</v>
      </c>
      <c r="AH487" s="238">
        <f t="shared" si="154"/>
        <v>3954840.98</v>
      </c>
      <c r="AI487" s="238">
        <f t="shared" si="155"/>
        <v>19774204.899999999</v>
      </c>
      <c r="AJ487" s="261">
        <f t="shared" si="156"/>
        <v>2014</v>
      </c>
      <c r="AK487" s="233">
        <f t="shared" si="157"/>
        <v>177967854.09999999</v>
      </c>
      <c r="AM487" s="116" t="s">
        <v>4245</v>
      </c>
    </row>
    <row r="488" spans="1:39" s="116" customFormat="1" ht="35.25" hidden="1" customHeight="1" x14ac:dyDescent="0.2">
      <c r="A488" s="417">
        <v>273</v>
      </c>
      <c r="B488" s="116" t="str">
        <f t="shared" si="145"/>
        <v>SIMANDOLAK - PENYEBERANGAN TANJUNG</v>
      </c>
      <c r="D488" s="116">
        <v>2</v>
      </c>
      <c r="E488" s="116" t="str">
        <f>A488&amp;"."&amp;D488</f>
        <v>273.2</v>
      </c>
      <c r="F488" s="218" t="s">
        <v>2305</v>
      </c>
      <c r="G488" s="53"/>
      <c r="H488" s="67" t="s">
        <v>1333</v>
      </c>
      <c r="I488" s="33" t="s">
        <v>2494</v>
      </c>
      <c r="J488" s="63"/>
      <c r="K488" s="33"/>
      <c r="L488" s="360"/>
      <c r="M488" s="40"/>
      <c r="N488" s="360"/>
      <c r="O488" s="72" t="s">
        <v>2575</v>
      </c>
      <c r="P488" s="33">
        <v>2014</v>
      </c>
      <c r="Q488" s="40"/>
      <c r="R488" s="40"/>
      <c r="S488" s="40"/>
      <c r="T488" s="40"/>
      <c r="U488" s="251">
        <v>197566438</v>
      </c>
      <c r="V488" s="33"/>
      <c r="W488" s="127"/>
      <c r="X488" s="206" t="str">
        <f t="shared" si="144"/>
        <v>4.13.02</v>
      </c>
      <c r="Y488" s="207" t="str">
        <f t="shared" si="146"/>
        <v>JEMBATAN</v>
      </c>
      <c r="Z488" s="207">
        <f t="shared" si="147"/>
        <v>50</v>
      </c>
      <c r="AA488" s="233">
        <f t="shared" si="148"/>
        <v>3951328.56</v>
      </c>
      <c r="AB488" s="208"/>
      <c r="AC488" s="233">
        <f t="shared" si="149"/>
        <v>0</v>
      </c>
      <c r="AD488" s="233">
        <f t="shared" si="150"/>
        <v>3951328.56</v>
      </c>
      <c r="AE488" s="233">
        <f t="shared" si="151"/>
        <v>3951328.56</v>
      </c>
      <c r="AF488" s="233">
        <f t="shared" si="152"/>
        <v>3951328.56</v>
      </c>
      <c r="AG488" s="233">
        <f t="shared" si="153"/>
        <v>3951328.56</v>
      </c>
      <c r="AH488" s="238">
        <f t="shared" si="154"/>
        <v>3951328.56</v>
      </c>
      <c r="AI488" s="238">
        <f t="shared" si="155"/>
        <v>19756642.800000001</v>
      </c>
      <c r="AJ488" s="261">
        <f t="shared" si="156"/>
        <v>2014</v>
      </c>
      <c r="AK488" s="233">
        <f t="shared" si="157"/>
        <v>177809795.19999999</v>
      </c>
      <c r="AM488" s="116" t="s">
        <v>4245</v>
      </c>
    </row>
    <row r="489" spans="1:39" s="379" customFormat="1" ht="35.25" hidden="1" customHeight="1" x14ac:dyDescent="0.2">
      <c r="A489" s="116"/>
      <c r="B489" s="379" t="e">
        <f t="shared" si="145"/>
        <v>#N/A</v>
      </c>
      <c r="F489" s="380" t="s">
        <v>2305</v>
      </c>
      <c r="G489" s="381"/>
      <c r="H489" s="170" t="s">
        <v>1334</v>
      </c>
      <c r="I489" s="332" t="s">
        <v>3828</v>
      </c>
      <c r="J489" s="63"/>
      <c r="K489" s="332"/>
      <c r="L489" s="382"/>
      <c r="M489" s="171"/>
      <c r="N489" s="382"/>
      <c r="O489" s="172" t="s">
        <v>709</v>
      </c>
      <c r="P489" s="332">
        <v>2014</v>
      </c>
      <c r="Q489" s="171"/>
      <c r="R489" s="171"/>
      <c r="S489" s="171"/>
      <c r="T489" s="171"/>
      <c r="U489" s="383">
        <v>197650648</v>
      </c>
      <c r="V489" s="332"/>
      <c r="W489" s="384"/>
      <c r="X489" s="212" t="str">
        <f t="shared" si="144"/>
        <v>4.13.02</v>
      </c>
      <c r="Y489" s="213" t="str">
        <f t="shared" si="146"/>
        <v>JEMBATAN</v>
      </c>
      <c r="Z489" s="213">
        <f t="shared" si="147"/>
        <v>50</v>
      </c>
      <c r="AA489" s="236">
        <f t="shared" si="148"/>
        <v>3953012.76</v>
      </c>
      <c r="AB489" s="214"/>
      <c r="AC489" s="236">
        <f t="shared" si="149"/>
        <v>0</v>
      </c>
      <c r="AD489" s="236">
        <f t="shared" si="150"/>
        <v>3953012.76</v>
      </c>
      <c r="AE489" s="236">
        <f t="shared" si="151"/>
        <v>3953012.76</v>
      </c>
      <c r="AF489" s="236">
        <f t="shared" si="152"/>
        <v>3953012.76</v>
      </c>
      <c r="AG489" s="236">
        <f t="shared" si="153"/>
        <v>3953012.76</v>
      </c>
      <c r="AH489" s="241">
        <f t="shared" si="154"/>
        <v>3953012.76</v>
      </c>
      <c r="AI489" s="241">
        <f t="shared" si="155"/>
        <v>19765063.799999997</v>
      </c>
      <c r="AJ489" s="261">
        <f t="shared" si="156"/>
        <v>2014</v>
      </c>
      <c r="AK489" s="236">
        <f t="shared" si="157"/>
        <v>177885584.19999999</v>
      </c>
    </row>
    <row r="490" spans="1:39" s="379" customFormat="1" ht="35.25" hidden="1" customHeight="1" x14ac:dyDescent="0.2">
      <c r="B490" s="379" t="e">
        <f t="shared" si="145"/>
        <v>#N/A</v>
      </c>
      <c r="E490" s="116" t="str">
        <f>A490&amp;"."&amp;D490</f>
        <v>.</v>
      </c>
      <c r="F490" s="380" t="s">
        <v>2305</v>
      </c>
      <c r="G490" s="381"/>
      <c r="H490" s="170" t="s">
        <v>1335</v>
      </c>
      <c r="I490" s="332" t="s">
        <v>3828</v>
      </c>
      <c r="J490" s="63"/>
      <c r="K490" s="332"/>
      <c r="L490" s="382"/>
      <c r="M490" s="171"/>
      <c r="N490" s="382"/>
      <c r="O490" s="172" t="s">
        <v>518</v>
      </c>
      <c r="P490" s="332">
        <v>2014</v>
      </c>
      <c r="Q490" s="171"/>
      <c r="R490" s="171"/>
      <c r="S490" s="171"/>
      <c r="T490" s="171"/>
      <c r="U490" s="383">
        <v>197626838</v>
      </c>
      <c r="V490" s="332"/>
      <c r="W490" s="384"/>
      <c r="X490" s="212" t="str">
        <f t="shared" si="144"/>
        <v>4.13.02</v>
      </c>
      <c r="Y490" s="213" t="str">
        <f t="shared" si="146"/>
        <v>JEMBATAN</v>
      </c>
      <c r="Z490" s="213">
        <f t="shared" si="147"/>
        <v>50</v>
      </c>
      <c r="AA490" s="236">
        <f t="shared" si="148"/>
        <v>3952536.56</v>
      </c>
      <c r="AB490" s="214"/>
      <c r="AC490" s="236">
        <f t="shared" si="149"/>
        <v>0</v>
      </c>
      <c r="AD490" s="236">
        <f t="shared" si="150"/>
        <v>3952536.56</v>
      </c>
      <c r="AE490" s="236">
        <f t="shared" si="151"/>
        <v>3952536.56</v>
      </c>
      <c r="AF490" s="236">
        <f t="shared" si="152"/>
        <v>3952536.56</v>
      </c>
      <c r="AG490" s="236">
        <f t="shared" si="153"/>
        <v>3952536.56</v>
      </c>
      <c r="AH490" s="241">
        <f t="shared" si="154"/>
        <v>3952536.56</v>
      </c>
      <c r="AI490" s="241">
        <f t="shared" si="155"/>
        <v>19762682.800000001</v>
      </c>
      <c r="AJ490" s="261">
        <f t="shared" si="156"/>
        <v>2014</v>
      </c>
      <c r="AK490" s="236">
        <f t="shared" si="157"/>
        <v>177864155.19999999</v>
      </c>
    </row>
    <row r="491" spans="1:39" s="379" customFormat="1" ht="35.25" hidden="1" customHeight="1" x14ac:dyDescent="0.2">
      <c r="B491" s="379" t="e">
        <f t="shared" si="145"/>
        <v>#N/A</v>
      </c>
      <c r="F491" s="380" t="s">
        <v>2305</v>
      </c>
      <c r="G491" s="381"/>
      <c r="H491" s="170" t="s">
        <v>1336</v>
      </c>
      <c r="I491" s="332" t="s">
        <v>3828</v>
      </c>
      <c r="J491" s="63"/>
      <c r="K491" s="332"/>
      <c r="L491" s="382"/>
      <c r="M491" s="171"/>
      <c r="N491" s="382"/>
      <c r="O491" s="172" t="s">
        <v>3203</v>
      </c>
      <c r="P491" s="332">
        <v>2014</v>
      </c>
      <c r="Q491" s="171"/>
      <c r="R491" s="171"/>
      <c r="S491" s="171"/>
      <c r="T491" s="171"/>
      <c r="U491" s="383">
        <v>196879677</v>
      </c>
      <c r="V491" s="332"/>
      <c r="W491" s="384"/>
      <c r="X491" s="212" t="str">
        <f t="shared" si="144"/>
        <v>4.13.02</v>
      </c>
      <c r="Y491" s="213" t="str">
        <f t="shared" si="146"/>
        <v>JEMBATAN</v>
      </c>
      <c r="Z491" s="213">
        <f t="shared" si="147"/>
        <v>50</v>
      </c>
      <c r="AA491" s="236">
        <f t="shared" si="148"/>
        <v>3937593.34</v>
      </c>
      <c r="AB491" s="214"/>
      <c r="AC491" s="236">
        <f t="shared" si="149"/>
        <v>0</v>
      </c>
      <c r="AD491" s="236">
        <f t="shared" si="150"/>
        <v>3937593.34</v>
      </c>
      <c r="AE491" s="236">
        <f t="shared" si="151"/>
        <v>3937593.34</v>
      </c>
      <c r="AF491" s="236">
        <f t="shared" si="152"/>
        <v>3937593.34</v>
      </c>
      <c r="AG491" s="236">
        <f t="shared" si="153"/>
        <v>3937593.34</v>
      </c>
      <c r="AH491" s="241">
        <f t="shared" si="154"/>
        <v>3937593.34</v>
      </c>
      <c r="AI491" s="241">
        <f t="shared" si="155"/>
        <v>19687966.699999999</v>
      </c>
      <c r="AJ491" s="261">
        <f t="shared" si="156"/>
        <v>2014</v>
      </c>
      <c r="AK491" s="236">
        <f t="shared" si="157"/>
        <v>177191710.30000001</v>
      </c>
    </row>
    <row r="492" spans="1:39" s="116" customFormat="1" ht="35.25" hidden="1" customHeight="1" x14ac:dyDescent="0.2">
      <c r="B492" s="116" t="e">
        <f t="shared" si="145"/>
        <v>#N/A</v>
      </c>
      <c r="F492" s="218" t="s">
        <v>2305</v>
      </c>
      <c r="G492" s="53"/>
      <c r="H492" s="67" t="s">
        <v>1337</v>
      </c>
      <c r="I492" s="33" t="s">
        <v>3828</v>
      </c>
      <c r="J492" s="63"/>
      <c r="K492" s="33"/>
      <c r="L492" s="360"/>
      <c r="M492" s="40"/>
      <c r="N492" s="360"/>
      <c r="O492" s="72" t="s">
        <v>3204</v>
      </c>
      <c r="P492" s="33">
        <v>2014</v>
      </c>
      <c r="Q492" s="40"/>
      <c r="R492" s="40"/>
      <c r="S492" s="40"/>
      <c r="T492" s="40"/>
      <c r="U492" s="251">
        <v>197078483</v>
      </c>
      <c r="V492" s="33"/>
      <c r="W492" s="127"/>
      <c r="X492" s="206" t="str">
        <f t="shared" si="144"/>
        <v>4.13.02</v>
      </c>
      <c r="Y492" s="207" t="str">
        <f t="shared" si="146"/>
        <v>JEMBATAN</v>
      </c>
      <c r="Z492" s="207">
        <f t="shared" si="147"/>
        <v>50</v>
      </c>
      <c r="AA492" s="233">
        <f t="shared" si="148"/>
        <v>3941569.46</v>
      </c>
      <c r="AB492" s="208"/>
      <c r="AC492" s="233">
        <f t="shared" si="149"/>
        <v>0</v>
      </c>
      <c r="AD492" s="233">
        <f t="shared" si="150"/>
        <v>3941569.46</v>
      </c>
      <c r="AE492" s="233">
        <f t="shared" si="151"/>
        <v>3941569.46</v>
      </c>
      <c r="AF492" s="233">
        <f t="shared" si="152"/>
        <v>3941569.46</v>
      </c>
      <c r="AG492" s="233">
        <f t="shared" si="153"/>
        <v>3941569.46</v>
      </c>
      <c r="AH492" s="238">
        <f t="shared" si="154"/>
        <v>3941569.46</v>
      </c>
      <c r="AI492" s="238">
        <f t="shared" si="155"/>
        <v>19707847.300000001</v>
      </c>
      <c r="AJ492" s="261">
        <f t="shared" si="156"/>
        <v>2014</v>
      </c>
      <c r="AK492" s="233">
        <f t="shared" si="157"/>
        <v>177370635.69999999</v>
      </c>
    </row>
    <row r="493" spans="1:39" s="116" customFormat="1" ht="35.25" hidden="1" customHeight="1" x14ac:dyDescent="0.2">
      <c r="B493" s="116" t="e">
        <f t="shared" si="145"/>
        <v>#N/A</v>
      </c>
      <c r="F493" s="218" t="s">
        <v>2304</v>
      </c>
      <c r="G493" s="53"/>
      <c r="H493" s="67" t="s">
        <v>1338</v>
      </c>
      <c r="I493" s="33" t="s">
        <v>2494</v>
      </c>
      <c r="J493" s="63"/>
      <c r="K493" s="33"/>
      <c r="L493" s="360"/>
      <c r="M493" s="40"/>
      <c r="N493" s="360"/>
      <c r="O493" s="72" t="s">
        <v>3205</v>
      </c>
      <c r="P493" s="33">
        <v>2014</v>
      </c>
      <c r="Q493" s="40"/>
      <c r="R493" s="40"/>
      <c r="S493" s="40"/>
      <c r="T493" s="40"/>
      <c r="U493" s="251">
        <v>197436525</v>
      </c>
      <c r="V493" s="33"/>
      <c r="W493" s="127"/>
      <c r="X493" s="206" t="str">
        <f t="shared" si="144"/>
        <v>4.13.01</v>
      </c>
      <c r="Y493" s="207" t="str">
        <f t="shared" si="146"/>
        <v>JALAN</v>
      </c>
      <c r="Z493" s="207">
        <f t="shared" si="147"/>
        <v>10</v>
      </c>
      <c r="AA493" s="233">
        <f t="shared" si="148"/>
        <v>19743651.5</v>
      </c>
      <c r="AB493" s="208"/>
      <c r="AC493" s="233">
        <f t="shared" si="149"/>
        <v>0</v>
      </c>
      <c r="AD493" s="233">
        <f t="shared" si="150"/>
        <v>19743651.5</v>
      </c>
      <c r="AE493" s="233">
        <f t="shared" si="151"/>
        <v>19743651.5</v>
      </c>
      <c r="AF493" s="233">
        <f t="shared" si="152"/>
        <v>19743651.5</v>
      </c>
      <c r="AG493" s="233">
        <f t="shared" si="153"/>
        <v>19743651.5</v>
      </c>
      <c r="AH493" s="238">
        <f t="shared" si="154"/>
        <v>19743651.5</v>
      </c>
      <c r="AI493" s="238">
        <f t="shared" si="155"/>
        <v>98718257.5</v>
      </c>
      <c r="AJ493" s="261">
        <f t="shared" si="156"/>
        <v>2014</v>
      </c>
      <c r="AK493" s="233">
        <f t="shared" si="157"/>
        <v>98718267.5</v>
      </c>
    </row>
    <row r="494" spans="1:39" s="116" customFormat="1" ht="35.25" hidden="1" customHeight="1" x14ac:dyDescent="0.2">
      <c r="B494" s="116" t="e">
        <f t="shared" si="145"/>
        <v>#N/A</v>
      </c>
      <c r="F494" s="218" t="s">
        <v>2304</v>
      </c>
      <c r="G494" s="53"/>
      <c r="H494" s="67" t="s">
        <v>1339</v>
      </c>
      <c r="I494" s="33" t="s">
        <v>2494</v>
      </c>
      <c r="J494" s="63"/>
      <c r="K494" s="33"/>
      <c r="L494" s="360"/>
      <c r="M494" s="40"/>
      <c r="N494" s="360"/>
      <c r="O494" s="72" t="s">
        <v>2572</v>
      </c>
      <c r="P494" s="33">
        <v>2014</v>
      </c>
      <c r="Q494" s="40"/>
      <c r="R494" s="40"/>
      <c r="S494" s="40"/>
      <c r="T494" s="40"/>
      <c r="U494" s="251">
        <v>197544440</v>
      </c>
      <c r="V494" s="33"/>
      <c r="W494" s="127"/>
      <c r="X494" s="206" t="str">
        <f t="shared" si="144"/>
        <v>4.13.01</v>
      </c>
      <c r="Y494" s="207" t="str">
        <f t="shared" si="146"/>
        <v>JALAN</v>
      </c>
      <c r="Z494" s="207">
        <f t="shared" si="147"/>
        <v>10</v>
      </c>
      <c r="AA494" s="233">
        <f t="shared" si="148"/>
        <v>19754443</v>
      </c>
      <c r="AB494" s="208"/>
      <c r="AC494" s="233">
        <f t="shared" si="149"/>
        <v>0</v>
      </c>
      <c r="AD494" s="233">
        <f t="shared" si="150"/>
        <v>19754443</v>
      </c>
      <c r="AE494" s="233">
        <f t="shared" si="151"/>
        <v>19754443</v>
      </c>
      <c r="AF494" s="233">
        <f t="shared" si="152"/>
        <v>19754443</v>
      </c>
      <c r="AG494" s="233">
        <f t="shared" si="153"/>
        <v>19754443</v>
      </c>
      <c r="AH494" s="238">
        <f t="shared" si="154"/>
        <v>19754443</v>
      </c>
      <c r="AI494" s="238">
        <f t="shared" si="155"/>
        <v>98772215</v>
      </c>
      <c r="AJ494" s="261">
        <f t="shared" si="156"/>
        <v>2014</v>
      </c>
      <c r="AK494" s="233">
        <f t="shared" si="157"/>
        <v>98772225</v>
      </c>
    </row>
    <row r="495" spans="1:39" s="116" customFormat="1" ht="35.25" hidden="1" customHeight="1" x14ac:dyDescent="0.2">
      <c r="B495" s="116" t="e">
        <f t="shared" si="145"/>
        <v>#N/A</v>
      </c>
      <c r="F495" s="218" t="s">
        <v>2304</v>
      </c>
      <c r="G495" s="53"/>
      <c r="H495" s="67" t="s">
        <v>1340</v>
      </c>
      <c r="I495" s="33" t="s">
        <v>2494</v>
      </c>
      <c r="J495" s="63"/>
      <c r="K495" s="33"/>
      <c r="L495" s="360"/>
      <c r="M495" s="40"/>
      <c r="N495" s="360"/>
      <c r="O495" s="72" t="s">
        <v>3206</v>
      </c>
      <c r="P495" s="33">
        <v>2014</v>
      </c>
      <c r="Q495" s="40"/>
      <c r="R495" s="40"/>
      <c r="S495" s="40"/>
      <c r="T495" s="40"/>
      <c r="U495" s="251">
        <v>192182044</v>
      </c>
      <c r="V495" s="33"/>
      <c r="W495" s="127"/>
      <c r="X495" s="206" t="str">
        <f t="shared" si="144"/>
        <v>4.13.01</v>
      </c>
      <c r="Y495" s="207" t="str">
        <f t="shared" si="146"/>
        <v>JALAN</v>
      </c>
      <c r="Z495" s="207">
        <f t="shared" si="147"/>
        <v>10</v>
      </c>
      <c r="AA495" s="233">
        <f t="shared" si="148"/>
        <v>19218203.399999999</v>
      </c>
      <c r="AB495" s="208"/>
      <c r="AC495" s="233">
        <f t="shared" si="149"/>
        <v>0</v>
      </c>
      <c r="AD495" s="233">
        <f t="shared" si="150"/>
        <v>19218203.399999999</v>
      </c>
      <c r="AE495" s="233">
        <f t="shared" si="151"/>
        <v>19218203.399999999</v>
      </c>
      <c r="AF495" s="233">
        <f t="shared" si="152"/>
        <v>19218203.399999999</v>
      </c>
      <c r="AG495" s="233">
        <f t="shared" si="153"/>
        <v>19218203.399999999</v>
      </c>
      <c r="AH495" s="238">
        <f t="shared" si="154"/>
        <v>19218203.399999999</v>
      </c>
      <c r="AI495" s="238">
        <f t="shared" si="155"/>
        <v>96091017</v>
      </c>
      <c r="AJ495" s="261">
        <f t="shared" si="156"/>
        <v>2014</v>
      </c>
      <c r="AK495" s="233">
        <f t="shared" si="157"/>
        <v>96091027</v>
      </c>
    </row>
    <row r="496" spans="1:39" s="116" customFormat="1" ht="35.25" hidden="1" customHeight="1" x14ac:dyDescent="0.2">
      <c r="B496" s="116" t="e">
        <f t="shared" si="145"/>
        <v>#N/A</v>
      </c>
      <c r="F496" s="218" t="s">
        <v>2304</v>
      </c>
      <c r="G496" s="53"/>
      <c r="H496" s="67" t="s">
        <v>1341</v>
      </c>
      <c r="I496" s="33" t="s">
        <v>2494</v>
      </c>
      <c r="J496" s="63"/>
      <c r="K496" s="33"/>
      <c r="L496" s="360"/>
      <c r="M496" s="40"/>
      <c r="N496" s="360"/>
      <c r="O496" s="72" t="s">
        <v>3207</v>
      </c>
      <c r="P496" s="33">
        <v>2014</v>
      </c>
      <c r="Q496" s="40"/>
      <c r="R496" s="40"/>
      <c r="S496" s="40"/>
      <c r="T496" s="40"/>
      <c r="U496" s="251">
        <v>187069610</v>
      </c>
      <c r="V496" s="33"/>
      <c r="W496" s="127"/>
      <c r="X496" s="206" t="str">
        <f t="shared" si="144"/>
        <v>4.13.01</v>
      </c>
      <c r="Y496" s="207" t="str">
        <f t="shared" si="146"/>
        <v>JALAN</v>
      </c>
      <c r="Z496" s="207">
        <f t="shared" si="147"/>
        <v>10</v>
      </c>
      <c r="AA496" s="233">
        <f t="shared" si="148"/>
        <v>18706960</v>
      </c>
      <c r="AB496" s="208"/>
      <c r="AC496" s="233">
        <f t="shared" si="149"/>
        <v>0</v>
      </c>
      <c r="AD496" s="233">
        <f t="shared" si="150"/>
        <v>18706960</v>
      </c>
      <c r="AE496" s="233">
        <f t="shared" si="151"/>
        <v>18706960</v>
      </c>
      <c r="AF496" s="233">
        <f t="shared" si="152"/>
        <v>18706960</v>
      </c>
      <c r="AG496" s="233">
        <f t="shared" si="153"/>
        <v>18706960</v>
      </c>
      <c r="AH496" s="238">
        <f t="shared" si="154"/>
        <v>18706960</v>
      </c>
      <c r="AI496" s="238">
        <f t="shared" si="155"/>
        <v>93534800</v>
      </c>
      <c r="AJ496" s="261">
        <f t="shared" si="156"/>
        <v>2014</v>
      </c>
      <c r="AK496" s="233">
        <f t="shared" si="157"/>
        <v>93534810</v>
      </c>
    </row>
    <row r="497" spans="1:39" s="116" customFormat="1" ht="35.25" hidden="1" customHeight="1" x14ac:dyDescent="0.2">
      <c r="B497" s="116" t="e">
        <f t="shared" si="145"/>
        <v>#N/A</v>
      </c>
      <c r="F497" s="218" t="s">
        <v>2304</v>
      </c>
      <c r="G497" s="53"/>
      <c r="H497" s="67" t="s">
        <v>1342</v>
      </c>
      <c r="I497" s="33" t="s">
        <v>2494</v>
      </c>
      <c r="J497" s="63"/>
      <c r="K497" s="33"/>
      <c r="L497" s="360"/>
      <c r="M497" s="40"/>
      <c r="N497" s="360"/>
      <c r="O497" s="72" t="s">
        <v>3208</v>
      </c>
      <c r="P497" s="33">
        <v>2014</v>
      </c>
      <c r="Q497" s="40"/>
      <c r="R497" s="40"/>
      <c r="S497" s="40"/>
      <c r="T497" s="40"/>
      <c r="U497" s="251">
        <v>197659444</v>
      </c>
      <c r="V497" s="33"/>
      <c r="W497" s="127"/>
      <c r="X497" s="206" t="str">
        <f t="shared" si="144"/>
        <v>4.13.01</v>
      </c>
      <c r="Y497" s="207" t="str">
        <f t="shared" si="146"/>
        <v>JALAN</v>
      </c>
      <c r="Z497" s="207">
        <f t="shared" si="147"/>
        <v>10</v>
      </c>
      <c r="AA497" s="233">
        <f t="shared" si="148"/>
        <v>19765943.399999999</v>
      </c>
      <c r="AB497" s="208"/>
      <c r="AC497" s="233">
        <f t="shared" si="149"/>
        <v>0</v>
      </c>
      <c r="AD497" s="233">
        <f t="shared" si="150"/>
        <v>19765943.399999999</v>
      </c>
      <c r="AE497" s="233">
        <f t="shared" si="151"/>
        <v>19765943.399999999</v>
      </c>
      <c r="AF497" s="233">
        <f t="shared" si="152"/>
        <v>19765943.399999999</v>
      </c>
      <c r="AG497" s="233">
        <f t="shared" si="153"/>
        <v>19765943.399999999</v>
      </c>
      <c r="AH497" s="238">
        <f t="shared" si="154"/>
        <v>19765943.399999999</v>
      </c>
      <c r="AI497" s="238">
        <f t="shared" si="155"/>
        <v>98829717</v>
      </c>
      <c r="AJ497" s="261">
        <f t="shared" si="156"/>
        <v>2014</v>
      </c>
      <c r="AK497" s="233">
        <f t="shared" si="157"/>
        <v>98829727</v>
      </c>
    </row>
    <row r="498" spans="1:39" s="116" customFormat="1" ht="35.25" hidden="1" customHeight="1" x14ac:dyDescent="0.2">
      <c r="B498" s="116" t="e">
        <f t="shared" si="145"/>
        <v>#N/A</v>
      </c>
      <c r="F498" s="218" t="s">
        <v>2304</v>
      </c>
      <c r="G498" s="53"/>
      <c r="H498" s="67" t="s">
        <v>1343</v>
      </c>
      <c r="I498" s="33" t="s">
        <v>2494</v>
      </c>
      <c r="J498" s="63"/>
      <c r="K498" s="33"/>
      <c r="L498" s="360"/>
      <c r="M498" s="40"/>
      <c r="N498" s="360"/>
      <c r="O498" s="72" t="s">
        <v>3209</v>
      </c>
      <c r="P498" s="33">
        <v>2014</v>
      </c>
      <c r="Q498" s="40"/>
      <c r="R498" s="40"/>
      <c r="S498" s="40"/>
      <c r="T498" s="40"/>
      <c r="U498" s="251">
        <v>196939048</v>
      </c>
      <c r="V498" s="33"/>
      <c r="W498" s="127"/>
      <c r="X498" s="206" t="str">
        <f t="shared" si="144"/>
        <v>4.13.01</v>
      </c>
      <c r="Y498" s="207" t="str">
        <f t="shared" si="146"/>
        <v>JALAN</v>
      </c>
      <c r="Z498" s="207">
        <f t="shared" si="147"/>
        <v>10</v>
      </c>
      <c r="AA498" s="233">
        <f t="shared" si="148"/>
        <v>19693903.800000001</v>
      </c>
      <c r="AB498" s="208"/>
      <c r="AC498" s="233">
        <f t="shared" si="149"/>
        <v>0</v>
      </c>
      <c r="AD498" s="233">
        <f t="shared" si="150"/>
        <v>19693903.800000001</v>
      </c>
      <c r="AE498" s="233">
        <f t="shared" si="151"/>
        <v>19693903.800000001</v>
      </c>
      <c r="AF498" s="233">
        <f t="shared" si="152"/>
        <v>19693903.800000001</v>
      </c>
      <c r="AG498" s="233">
        <f t="shared" si="153"/>
        <v>19693903.800000001</v>
      </c>
      <c r="AH498" s="238">
        <f t="shared" si="154"/>
        <v>19693903.800000001</v>
      </c>
      <c r="AI498" s="238">
        <f t="shared" si="155"/>
        <v>98469519</v>
      </c>
      <c r="AJ498" s="261">
        <f t="shared" si="156"/>
        <v>2014</v>
      </c>
      <c r="AK498" s="233">
        <f t="shared" si="157"/>
        <v>98469529</v>
      </c>
    </row>
    <row r="499" spans="1:39" s="116" customFormat="1" ht="35.25" hidden="1" customHeight="1" x14ac:dyDescent="0.2">
      <c r="B499" s="116" t="e">
        <f t="shared" si="145"/>
        <v>#N/A</v>
      </c>
      <c r="F499" s="218" t="s">
        <v>2305</v>
      </c>
      <c r="G499" s="53"/>
      <c r="H499" s="67" t="s">
        <v>1344</v>
      </c>
      <c r="I499" s="33" t="s">
        <v>3828</v>
      </c>
      <c r="J499" s="63"/>
      <c r="K499" s="33"/>
      <c r="L499" s="360"/>
      <c r="M499" s="40"/>
      <c r="N499" s="360"/>
      <c r="O499" s="72" t="s">
        <v>3210</v>
      </c>
      <c r="P499" s="33">
        <v>2014</v>
      </c>
      <c r="Q499" s="40"/>
      <c r="R499" s="40"/>
      <c r="S499" s="40"/>
      <c r="T499" s="40"/>
      <c r="U499" s="251">
        <v>198230943</v>
      </c>
      <c r="V499" s="33"/>
      <c r="W499" s="127"/>
      <c r="X499" s="206" t="str">
        <f t="shared" si="144"/>
        <v>4.13.02</v>
      </c>
      <c r="Y499" s="207" t="str">
        <f t="shared" si="146"/>
        <v>JEMBATAN</v>
      </c>
      <c r="Z499" s="207">
        <f t="shared" si="147"/>
        <v>50</v>
      </c>
      <c r="AA499" s="233">
        <f t="shared" si="148"/>
        <v>3964618.66</v>
      </c>
      <c r="AB499" s="208"/>
      <c r="AC499" s="233">
        <f t="shared" si="149"/>
        <v>0</v>
      </c>
      <c r="AD499" s="233">
        <f t="shared" si="150"/>
        <v>3964618.66</v>
      </c>
      <c r="AE499" s="233">
        <f t="shared" si="151"/>
        <v>3964618.66</v>
      </c>
      <c r="AF499" s="233">
        <f t="shared" si="152"/>
        <v>3964618.66</v>
      </c>
      <c r="AG499" s="233">
        <f t="shared" si="153"/>
        <v>3964618.66</v>
      </c>
      <c r="AH499" s="238">
        <f t="shared" si="154"/>
        <v>3964618.66</v>
      </c>
      <c r="AI499" s="238">
        <f t="shared" si="155"/>
        <v>19823093.300000001</v>
      </c>
      <c r="AJ499" s="261">
        <f t="shared" si="156"/>
        <v>2014</v>
      </c>
      <c r="AK499" s="233">
        <f t="shared" si="157"/>
        <v>178407849.69999999</v>
      </c>
    </row>
    <row r="500" spans="1:39" s="116" customFormat="1" ht="35.25" hidden="1" customHeight="1" x14ac:dyDescent="0.2">
      <c r="B500" s="116" t="e">
        <f t="shared" si="145"/>
        <v>#N/A</v>
      </c>
      <c r="F500" s="218" t="s">
        <v>2305</v>
      </c>
      <c r="G500" s="53"/>
      <c r="H500" s="67" t="s">
        <v>1345</v>
      </c>
      <c r="I500" s="33" t="s">
        <v>3828</v>
      </c>
      <c r="J500" s="63"/>
      <c r="K500" s="33"/>
      <c r="L500" s="360"/>
      <c r="M500" s="40"/>
      <c r="N500" s="360"/>
      <c r="O500" s="72" t="s">
        <v>3211</v>
      </c>
      <c r="P500" s="33">
        <v>2014</v>
      </c>
      <c r="Q500" s="40"/>
      <c r="R500" s="40"/>
      <c r="S500" s="40"/>
      <c r="T500" s="40"/>
      <c r="U500" s="251">
        <v>197782386</v>
      </c>
      <c r="V500" s="33"/>
      <c r="W500" s="127"/>
      <c r="X500" s="206" t="str">
        <f t="shared" si="144"/>
        <v>4.13.02</v>
      </c>
      <c r="Y500" s="207" t="str">
        <f t="shared" si="146"/>
        <v>JEMBATAN</v>
      </c>
      <c r="Z500" s="207">
        <f t="shared" si="147"/>
        <v>50</v>
      </c>
      <c r="AA500" s="233">
        <f t="shared" si="148"/>
        <v>3955647.52</v>
      </c>
      <c r="AB500" s="208"/>
      <c r="AC500" s="233">
        <f t="shared" si="149"/>
        <v>0</v>
      </c>
      <c r="AD500" s="233">
        <f t="shared" si="150"/>
        <v>3955647.52</v>
      </c>
      <c r="AE500" s="233">
        <f t="shared" si="151"/>
        <v>3955647.52</v>
      </c>
      <c r="AF500" s="233">
        <f t="shared" si="152"/>
        <v>3955647.52</v>
      </c>
      <c r="AG500" s="233">
        <f t="shared" si="153"/>
        <v>3955647.52</v>
      </c>
      <c r="AH500" s="238">
        <f t="shared" si="154"/>
        <v>3955647.52</v>
      </c>
      <c r="AI500" s="238">
        <f t="shared" si="155"/>
        <v>19778237.600000001</v>
      </c>
      <c r="AJ500" s="261">
        <f t="shared" si="156"/>
        <v>2014</v>
      </c>
      <c r="AK500" s="233">
        <f t="shared" si="157"/>
        <v>178004148.40000001</v>
      </c>
    </row>
    <row r="501" spans="1:39" s="116" customFormat="1" ht="35.25" hidden="1" customHeight="1" x14ac:dyDescent="0.2">
      <c r="A501" s="400"/>
      <c r="B501" s="417" t="e">
        <f t="shared" si="145"/>
        <v>#N/A</v>
      </c>
      <c r="F501" s="218" t="s">
        <v>2305</v>
      </c>
      <c r="G501" s="53"/>
      <c r="H501" s="67" t="s">
        <v>1346</v>
      </c>
      <c r="I501" s="33" t="s">
        <v>3828</v>
      </c>
      <c r="J501" s="63"/>
      <c r="K501" s="33"/>
      <c r="L501" s="360"/>
      <c r="M501" s="40"/>
      <c r="N501" s="360"/>
      <c r="O501" s="72" t="s">
        <v>3212</v>
      </c>
      <c r="P501" s="33">
        <v>2014</v>
      </c>
      <c r="Q501" s="40"/>
      <c r="R501" s="40"/>
      <c r="S501" s="40"/>
      <c r="T501" s="40"/>
      <c r="U501" s="251">
        <v>197436838</v>
      </c>
      <c r="V501" s="33"/>
      <c r="W501" s="127"/>
      <c r="X501" s="206" t="str">
        <f t="shared" si="144"/>
        <v>4.13.02</v>
      </c>
      <c r="Y501" s="207" t="str">
        <f t="shared" si="146"/>
        <v>JEMBATAN</v>
      </c>
      <c r="Z501" s="207">
        <f t="shared" si="147"/>
        <v>50</v>
      </c>
      <c r="AA501" s="233">
        <f t="shared" si="148"/>
        <v>3948736.56</v>
      </c>
      <c r="AB501" s="208"/>
      <c r="AC501" s="233">
        <f t="shared" si="149"/>
        <v>0</v>
      </c>
      <c r="AD501" s="233">
        <f t="shared" si="150"/>
        <v>3948736.56</v>
      </c>
      <c r="AE501" s="233">
        <f t="shared" si="151"/>
        <v>3948736.56</v>
      </c>
      <c r="AF501" s="233">
        <f t="shared" si="152"/>
        <v>3948736.56</v>
      </c>
      <c r="AG501" s="233">
        <f t="shared" si="153"/>
        <v>3948736.56</v>
      </c>
      <c r="AH501" s="238">
        <f t="shared" si="154"/>
        <v>3948736.56</v>
      </c>
      <c r="AI501" s="238">
        <f t="shared" si="155"/>
        <v>19743682.800000001</v>
      </c>
      <c r="AJ501" s="261">
        <f t="shared" si="156"/>
        <v>2014</v>
      </c>
      <c r="AK501" s="233">
        <f t="shared" si="157"/>
        <v>177693155.19999999</v>
      </c>
    </row>
    <row r="502" spans="1:39" s="116" customFormat="1" ht="35.25" hidden="1" customHeight="1" x14ac:dyDescent="0.2">
      <c r="A502" s="116">
        <v>186</v>
      </c>
      <c r="B502" s="116" t="str">
        <f t="shared" si="145"/>
        <v>SAKO MARGA SARI - KUANTAN SAKO</v>
      </c>
      <c r="D502" s="116">
        <v>3</v>
      </c>
      <c r="E502" s="116" t="str">
        <f>A502&amp;"."&amp;D502</f>
        <v>186.3</v>
      </c>
      <c r="F502" s="218" t="s">
        <v>2304</v>
      </c>
      <c r="G502" s="53"/>
      <c r="H502" s="67" t="s">
        <v>1347</v>
      </c>
      <c r="I502" s="33" t="s">
        <v>2494</v>
      </c>
      <c r="J502" s="63"/>
      <c r="K502" s="33"/>
      <c r="L502" s="360"/>
      <c r="M502" s="40"/>
      <c r="N502" s="360"/>
      <c r="O502" s="72" t="s">
        <v>3213</v>
      </c>
      <c r="P502" s="33">
        <v>2014</v>
      </c>
      <c r="Q502" s="40"/>
      <c r="R502" s="40"/>
      <c r="S502" s="40"/>
      <c r="T502" s="40"/>
      <c r="U502" s="251">
        <v>1892921442</v>
      </c>
      <c r="V502" s="33"/>
      <c r="W502" s="127"/>
      <c r="X502" s="206" t="str">
        <f t="shared" si="144"/>
        <v>4.13.01</v>
      </c>
      <c r="Y502" s="207" t="str">
        <f t="shared" si="146"/>
        <v>JALAN</v>
      </c>
      <c r="Z502" s="207">
        <f t="shared" si="147"/>
        <v>10</v>
      </c>
      <c r="AA502" s="233">
        <f t="shared" si="148"/>
        <v>189292143.19999999</v>
      </c>
      <c r="AB502" s="208"/>
      <c r="AC502" s="233">
        <f t="shared" si="149"/>
        <v>0</v>
      </c>
      <c r="AD502" s="233">
        <f t="shared" si="150"/>
        <v>189292143.19999999</v>
      </c>
      <c r="AE502" s="233">
        <f t="shared" si="151"/>
        <v>189292143.19999999</v>
      </c>
      <c r="AF502" s="233">
        <f t="shared" si="152"/>
        <v>189292143.19999999</v>
      </c>
      <c r="AG502" s="233">
        <f t="shared" si="153"/>
        <v>189292143.19999999</v>
      </c>
      <c r="AH502" s="238">
        <f t="shared" si="154"/>
        <v>189292143.19999999</v>
      </c>
      <c r="AI502" s="238">
        <f t="shared" si="155"/>
        <v>946460716</v>
      </c>
      <c r="AJ502" s="261">
        <f t="shared" si="156"/>
        <v>2014</v>
      </c>
      <c r="AK502" s="233">
        <f t="shared" si="157"/>
        <v>946460726</v>
      </c>
      <c r="AM502" s="116" t="s">
        <v>4245</v>
      </c>
    </row>
    <row r="503" spans="1:39" s="116" customFormat="1" ht="35.25" hidden="1" customHeight="1" x14ac:dyDescent="0.2">
      <c r="B503" s="116" t="e">
        <f t="shared" si="145"/>
        <v>#N/A</v>
      </c>
      <c r="F503" s="218" t="s">
        <v>2305</v>
      </c>
      <c r="G503" s="53"/>
      <c r="H503" s="67" t="s">
        <v>1348</v>
      </c>
      <c r="I503" s="33" t="s">
        <v>2494</v>
      </c>
      <c r="J503" s="63"/>
      <c r="K503" s="33"/>
      <c r="L503" s="360"/>
      <c r="M503" s="40"/>
      <c r="N503" s="360"/>
      <c r="O503" s="72" t="s">
        <v>2573</v>
      </c>
      <c r="P503" s="33">
        <v>2014</v>
      </c>
      <c r="Q503" s="40"/>
      <c r="R503" s="40"/>
      <c r="S503" s="40"/>
      <c r="T503" s="40"/>
      <c r="U503" s="251">
        <v>189452159</v>
      </c>
      <c r="V503" s="33"/>
      <c r="W503" s="127"/>
      <c r="X503" s="206" t="str">
        <f t="shared" si="144"/>
        <v>4.13.02</v>
      </c>
      <c r="Y503" s="207" t="str">
        <f t="shared" si="146"/>
        <v>JEMBATAN</v>
      </c>
      <c r="Z503" s="207">
        <f t="shared" si="147"/>
        <v>50</v>
      </c>
      <c r="AA503" s="233">
        <f t="shared" si="148"/>
        <v>3789042.98</v>
      </c>
      <c r="AB503" s="208"/>
      <c r="AC503" s="233">
        <f t="shared" si="149"/>
        <v>0</v>
      </c>
      <c r="AD503" s="233">
        <f t="shared" si="150"/>
        <v>3789042.98</v>
      </c>
      <c r="AE503" s="233">
        <f t="shared" si="151"/>
        <v>3789042.98</v>
      </c>
      <c r="AF503" s="233">
        <f t="shared" si="152"/>
        <v>3789042.98</v>
      </c>
      <c r="AG503" s="233">
        <f t="shared" si="153"/>
        <v>3789042.98</v>
      </c>
      <c r="AH503" s="238">
        <f t="shared" si="154"/>
        <v>3789042.98</v>
      </c>
      <c r="AI503" s="238">
        <f t="shared" si="155"/>
        <v>18945214.899999999</v>
      </c>
      <c r="AJ503" s="261">
        <f t="shared" si="156"/>
        <v>2014</v>
      </c>
      <c r="AK503" s="233">
        <f t="shared" si="157"/>
        <v>170506944.09999999</v>
      </c>
    </row>
    <row r="504" spans="1:39" s="116" customFormat="1" ht="35.25" hidden="1" customHeight="1" x14ac:dyDescent="0.2">
      <c r="A504" s="116">
        <v>10</v>
      </c>
      <c r="B504" s="116" t="str">
        <f t="shared" si="145"/>
        <v>SEB. TELUK KUANTAN - DUTA PALMA</v>
      </c>
      <c r="D504" s="116">
        <v>2</v>
      </c>
      <c r="E504" s="120" t="str">
        <f>A504&amp;"."&amp;D504</f>
        <v>10.2</v>
      </c>
      <c r="F504" s="218" t="s">
        <v>2305</v>
      </c>
      <c r="G504" s="53"/>
      <c r="H504" s="67" t="s">
        <v>1349</v>
      </c>
      <c r="I504" s="33" t="s">
        <v>2494</v>
      </c>
      <c r="J504" s="63"/>
      <c r="K504" s="33"/>
      <c r="L504" s="360"/>
      <c r="M504" s="40"/>
      <c r="N504" s="360"/>
      <c r="O504" s="72" t="s">
        <v>3214</v>
      </c>
      <c r="P504" s="33">
        <v>2014</v>
      </c>
      <c r="Q504" s="40"/>
      <c r="R504" s="40"/>
      <c r="S504" s="40"/>
      <c r="T504" s="40"/>
      <c r="U504" s="251">
        <v>197613420</v>
      </c>
      <c r="V504" s="33"/>
      <c r="W504" s="127"/>
      <c r="X504" s="206" t="str">
        <f t="shared" si="144"/>
        <v>4.13.02</v>
      </c>
      <c r="Y504" s="207" t="str">
        <f t="shared" si="146"/>
        <v>JEMBATAN</v>
      </c>
      <c r="Z504" s="207">
        <f t="shared" si="147"/>
        <v>50</v>
      </c>
      <c r="AA504" s="233">
        <f t="shared" si="148"/>
        <v>3952268.2</v>
      </c>
      <c r="AB504" s="208"/>
      <c r="AC504" s="233">
        <f t="shared" si="149"/>
        <v>0</v>
      </c>
      <c r="AD504" s="233">
        <f t="shared" si="150"/>
        <v>3952268.2</v>
      </c>
      <c r="AE504" s="233">
        <f t="shared" si="151"/>
        <v>3952268.2</v>
      </c>
      <c r="AF504" s="233">
        <f t="shared" si="152"/>
        <v>3952268.2</v>
      </c>
      <c r="AG504" s="233">
        <f t="shared" si="153"/>
        <v>3952268.2</v>
      </c>
      <c r="AH504" s="238">
        <f t="shared" si="154"/>
        <v>3952268.2</v>
      </c>
      <c r="AI504" s="238">
        <f t="shared" si="155"/>
        <v>19761341</v>
      </c>
      <c r="AJ504" s="261">
        <f t="shared" si="156"/>
        <v>2014</v>
      </c>
      <c r="AK504" s="233">
        <f t="shared" si="157"/>
        <v>177852079</v>
      </c>
      <c r="AM504" s="116" t="s">
        <v>4245</v>
      </c>
    </row>
    <row r="505" spans="1:39" s="116" customFormat="1" ht="35.25" hidden="1" customHeight="1" x14ac:dyDescent="0.2">
      <c r="B505" s="116" t="e">
        <f t="shared" si="145"/>
        <v>#N/A</v>
      </c>
      <c r="F505" s="218" t="s">
        <v>2304</v>
      </c>
      <c r="G505" s="53"/>
      <c r="H505" s="67" t="s">
        <v>1350</v>
      </c>
      <c r="I505" s="33" t="s">
        <v>2494</v>
      </c>
      <c r="J505" s="63"/>
      <c r="K505" s="33"/>
      <c r="L505" s="360"/>
      <c r="M505" s="40"/>
      <c r="N505" s="360"/>
      <c r="O505" s="72" t="s">
        <v>3215</v>
      </c>
      <c r="P505" s="33">
        <v>2014</v>
      </c>
      <c r="Q505" s="40"/>
      <c r="R505" s="40"/>
      <c r="S505" s="40"/>
      <c r="T505" s="40"/>
      <c r="U505" s="251">
        <v>197861466</v>
      </c>
      <c r="V505" s="33"/>
      <c r="W505" s="127"/>
      <c r="X505" s="206" t="str">
        <f t="shared" si="144"/>
        <v>4.13.01</v>
      </c>
      <c r="Y505" s="207" t="str">
        <f t="shared" si="146"/>
        <v>JALAN</v>
      </c>
      <c r="Z505" s="207">
        <f t="shared" si="147"/>
        <v>10</v>
      </c>
      <c r="AA505" s="233">
        <f t="shared" si="148"/>
        <v>19786145.600000001</v>
      </c>
      <c r="AB505" s="208"/>
      <c r="AC505" s="233">
        <f t="shared" si="149"/>
        <v>0</v>
      </c>
      <c r="AD505" s="233">
        <f t="shared" si="150"/>
        <v>19786145.600000001</v>
      </c>
      <c r="AE505" s="233">
        <f t="shared" si="151"/>
        <v>19786145.600000001</v>
      </c>
      <c r="AF505" s="233">
        <f t="shared" si="152"/>
        <v>19786145.600000001</v>
      </c>
      <c r="AG505" s="233">
        <f t="shared" si="153"/>
        <v>19786145.600000001</v>
      </c>
      <c r="AH505" s="238">
        <f t="shared" si="154"/>
        <v>19786145.600000001</v>
      </c>
      <c r="AI505" s="238">
        <f t="shared" si="155"/>
        <v>98930728</v>
      </c>
      <c r="AJ505" s="261">
        <f t="shared" si="156"/>
        <v>2014</v>
      </c>
      <c r="AK505" s="233">
        <f t="shared" si="157"/>
        <v>98930738</v>
      </c>
    </row>
    <row r="506" spans="1:39" s="116" customFormat="1" ht="35.25" hidden="1" customHeight="1" x14ac:dyDescent="0.2">
      <c r="A506" s="116">
        <v>52</v>
      </c>
      <c r="B506" s="116" t="str">
        <f t="shared" si="145"/>
        <v>TERMINAL - SENTAJO</v>
      </c>
      <c r="D506" s="116">
        <v>2</v>
      </c>
      <c r="E506" s="120" t="str">
        <f>A506&amp;"."&amp;D506</f>
        <v>52.2</v>
      </c>
      <c r="F506" s="218" t="s">
        <v>2304</v>
      </c>
      <c r="G506" s="73"/>
      <c r="H506" s="128" t="s">
        <v>1351</v>
      </c>
      <c r="I506" s="32" t="s">
        <v>2494</v>
      </c>
      <c r="J506" s="40"/>
      <c r="K506" s="32"/>
      <c r="L506" s="362"/>
      <c r="M506" s="40"/>
      <c r="N506" s="362"/>
      <c r="O506" s="72" t="s">
        <v>561</v>
      </c>
      <c r="P506" s="33">
        <v>2014</v>
      </c>
      <c r="Q506" s="40"/>
      <c r="R506" s="40"/>
      <c r="S506" s="65"/>
      <c r="T506" s="32"/>
      <c r="U506" s="252">
        <v>49779000</v>
      </c>
      <c r="V506" s="33"/>
      <c r="W506" s="127"/>
      <c r="X506" s="206" t="str">
        <f t="shared" si="144"/>
        <v>4.13.01</v>
      </c>
      <c r="Y506" s="207" t="str">
        <f t="shared" si="146"/>
        <v>JALAN</v>
      </c>
      <c r="Z506" s="207">
        <f t="shared" si="147"/>
        <v>10</v>
      </c>
      <c r="AA506" s="233">
        <f t="shared" si="148"/>
        <v>4977899</v>
      </c>
      <c r="AB506" s="208"/>
      <c r="AC506" s="233">
        <f t="shared" si="149"/>
        <v>0</v>
      </c>
      <c r="AD506" s="233">
        <f t="shared" si="150"/>
        <v>4977899</v>
      </c>
      <c r="AE506" s="233">
        <f t="shared" si="151"/>
        <v>4977899</v>
      </c>
      <c r="AF506" s="233">
        <f t="shared" si="152"/>
        <v>4977899</v>
      </c>
      <c r="AG506" s="233">
        <f t="shared" si="153"/>
        <v>4977899</v>
      </c>
      <c r="AH506" s="238">
        <f t="shared" si="154"/>
        <v>4977899</v>
      </c>
      <c r="AI506" s="238">
        <f t="shared" si="155"/>
        <v>24889495</v>
      </c>
      <c r="AJ506" s="261">
        <f t="shared" si="156"/>
        <v>2014</v>
      </c>
      <c r="AK506" s="233">
        <f t="shared" si="157"/>
        <v>24889505</v>
      </c>
      <c r="AM506" s="116" t="s">
        <v>4245</v>
      </c>
    </row>
    <row r="507" spans="1:39" s="116" customFormat="1" ht="35.25" hidden="1" customHeight="1" x14ac:dyDescent="0.2">
      <c r="A507" s="116">
        <v>65</v>
      </c>
      <c r="B507" s="116" t="str">
        <f t="shared" si="145"/>
        <v>SIMP. STM BERINGIN - SAWAH</v>
      </c>
      <c r="D507" s="116">
        <v>3</v>
      </c>
      <c r="E507" s="120" t="str">
        <f>A507&amp;"."&amp;D507</f>
        <v>65.3</v>
      </c>
      <c r="F507" s="218" t="s">
        <v>2304</v>
      </c>
      <c r="G507" s="73"/>
      <c r="H507" s="40" t="s">
        <v>1352</v>
      </c>
      <c r="I507" s="65" t="s">
        <v>2494</v>
      </c>
      <c r="J507" s="32"/>
      <c r="K507" s="40"/>
      <c r="L507" s="362"/>
      <c r="M507" s="40"/>
      <c r="N507" s="367"/>
      <c r="O507" s="33" t="s">
        <v>3216</v>
      </c>
      <c r="P507" s="32">
        <v>2015</v>
      </c>
      <c r="Q507" s="40"/>
      <c r="R507" s="40"/>
      <c r="S507" s="40"/>
      <c r="T507" s="32" t="s">
        <v>12</v>
      </c>
      <c r="U507" s="253">
        <v>5771596592</v>
      </c>
      <c r="V507" s="68"/>
      <c r="W507" s="61"/>
      <c r="X507" s="206" t="str">
        <f t="shared" si="144"/>
        <v>4.13.01</v>
      </c>
      <c r="Y507" s="207" t="str">
        <f t="shared" si="146"/>
        <v>JALAN</v>
      </c>
      <c r="Z507" s="207">
        <f t="shared" si="147"/>
        <v>10</v>
      </c>
      <c r="AA507" s="233">
        <f t="shared" si="148"/>
        <v>577159658.20000005</v>
      </c>
      <c r="AB507" s="208"/>
      <c r="AC507" s="233">
        <f t="shared" si="149"/>
        <v>0</v>
      </c>
      <c r="AD507" s="233"/>
      <c r="AE507" s="233">
        <f t="shared" si="151"/>
        <v>577159658.20000005</v>
      </c>
      <c r="AF507" s="233">
        <f t="shared" si="152"/>
        <v>577159658.20000005</v>
      </c>
      <c r="AG507" s="233">
        <f t="shared" si="153"/>
        <v>577159658.20000005</v>
      </c>
      <c r="AH507" s="238">
        <f t="shared" si="154"/>
        <v>577159658.20000005</v>
      </c>
      <c r="AI507" s="238">
        <f t="shared" si="155"/>
        <v>2308638632.8000002</v>
      </c>
      <c r="AJ507" s="261">
        <f t="shared" si="156"/>
        <v>2015</v>
      </c>
      <c r="AK507" s="233">
        <f t="shared" si="157"/>
        <v>3462957959.1999998</v>
      </c>
      <c r="AM507" s="116" t="s">
        <v>4245</v>
      </c>
    </row>
    <row r="508" spans="1:39" s="116" customFormat="1" ht="35.25" hidden="1" customHeight="1" x14ac:dyDescent="0.2">
      <c r="B508" s="116" t="e">
        <f t="shared" si="145"/>
        <v>#N/A</v>
      </c>
      <c r="F508" s="218" t="s">
        <v>2304</v>
      </c>
      <c r="G508" s="73"/>
      <c r="H508" s="40" t="s">
        <v>1353</v>
      </c>
      <c r="I508" s="65" t="s">
        <v>2494</v>
      </c>
      <c r="J508" s="32"/>
      <c r="K508" s="40"/>
      <c r="L508" s="362"/>
      <c r="M508" s="40"/>
      <c r="N508" s="367"/>
      <c r="O508" s="33" t="s">
        <v>3217</v>
      </c>
      <c r="P508" s="32">
        <v>2015</v>
      </c>
      <c r="Q508" s="40"/>
      <c r="R508" s="40"/>
      <c r="S508" s="40"/>
      <c r="T508" s="32" t="s">
        <v>12</v>
      </c>
      <c r="U508" s="253">
        <v>3199037978</v>
      </c>
      <c r="V508" s="68"/>
      <c r="W508" s="61"/>
      <c r="X508" s="206" t="str">
        <f t="shared" si="144"/>
        <v>4.13.01</v>
      </c>
      <c r="Y508" s="207" t="str">
        <f t="shared" si="146"/>
        <v>JALAN</v>
      </c>
      <c r="Z508" s="207">
        <f t="shared" si="147"/>
        <v>10</v>
      </c>
      <c r="AA508" s="233">
        <f t="shared" si="148"/>
        <v>319903796.80000001</v>
      </c>
      <c r="AB508" s="208"/>
      <c r="AC508" s="233">
        <f t="shared" si="149"/>
        <v>0</v>
      </c>
      <c r="AD508" s="233"/>
      <c r="AE508" s="233">
        <f t="shared" si="151"/>
        <v>319903796.80000001</v>
      </c>
      <c r="AF508" s="233">
        <f t="shared" si="152"/>
        <v>319903796.80000001</v>
      </c>
      <c r="AG508" s="233">
        <f t="shared" si="153"/>
        <v>319903796.80000001</v>
      </c>
      <c r="AH508" s="238">
        <f t="shared" si="154"/>
        <v>319903796.80000001</v>
      </c>
      <c r="AI508" s="238">
        <f t="shared" si="155"/>
        <v>1279615187.2</v>
      </c>
      <c r="AJ508" s="261">
        <f t="shared" si="156"/>
        <v>2015</v>
      </c>
      <c r="AK508" s="233">
        <f t="shared" si="157"/>
        <v>1919422790.8</v>
      </c>
    </row>
    <row r="509" spans="1:39" s="116" customFormat="1" ht="35.25" hidden="1" customHeight="1" x14ac:dyDescent="0.2">
      <c r="A509" s="116">
        <v>183</v>
      </c>
      <c r="B509" s="116" t="str">
        <f t="shared" si="145"/>
        <v>SUKARAJA - GIRI SAKO</v>
      </c>
      <c r="D509" s="116">
        <v>3</v>
      </c>
      <c r="E509" s="116" t="str">
        <f>A509&amp;"."&amp;D509</f>
        <v>183.3</v>
      </c>
      <c r="F509" s="218" t="s">
        <v>2304</v>
      </c>
      <c r="G509" s="73"/>
      <c r="H509" s="40" t="s">
        <v>1354</v>
      </c>
      <c r="I509" s="65" t="s">
        <v>2494</v>
      </c>
      <c r="J509" s="32"/>
      <c r="K509" s="40"/>
      <c r="L509" s="362"/>
      <c r="M509" s="40"/>
      <c r="N509" s="367"/>
      <c r="O509" s="72" t="s">
        <v>3103</v>
      </c>
      <c r="P509" s="32">
        <v>2015</v>
      </c>
      <c r="Q509" s="40"/>
      <c r="R509" s="40"/>
      <c r="S509" s="40"/>
      <c r="T509" s="32" t="s">
        <v>12</v>
      </c>
      <c r="U509" s="253">
        <v>2127760813</v>
      </c>
      <c r="V509" s="68"/>
      <c r="W509" s="61"/>
      <c r="X509" s="206" t="str">
        <f t="shared" si="144"/>
        <v>4.13.01</v>
      </c>
      <c r="Y509" s="207" t="str">
        <f t="shared" si="146"/>
        <v>JALAN</v>
      </c>
      <c r="Z509" s="207">
        <f t="shared" si="147"/>
        <v>10</v>
      </c>
      <c r="AA509" s="233">
        <f t="shared" si="148"/>
        <v>212776080.30000001</v>
      </c>
      <c r="AB509" s="208"/>
      <c r="AC509" s="233">
        <f t="shared" si="149"/>
        <v>0</v>
      </c>
      <c r="AD509" s="233"/>
      <c r="AE509" s="233">
        <f t="shared" si="151"/>
        <v>212776080.30000001</v>
      </c>
      <c r="AF509" s="233">
        <f t="shared" si="152"/>
        <v>212776080.30000001</v>
      </c>
      <c r="AG509" s="233">
        <f t="shared" si="153"/>
        <v>212776080.30000001</v>
      </c>
      <c r="AH509" s="238">
        <f t="shared" si="154"/>
        <v>212776080.30000001</v>
      </c>
      <c r="AI509" s="238">
        <f t="shared" si="155"/>
        <v>851104321.20000005</v>
      </c>
      <c r="AJ509" s="261">
        <f t="shared" si="156"/>
        <v>2015</v>
      </c>
      <c r="AK509" s="233">
        <f t="shared" si="157"/>
        <v>1276656491.8</v>
      </c>
      <c r="AM509" s="116" t="s">
        <v>4245</v>
      </c>
    </row>
    <row r="510" spans="1:39" s="116" customFormat="1" ht="35.25" hidden="1" customHeight="1" x14ac:dyDescent="0.2">
      <c r="B510" s="116" t="e">
        <f t="shared" si="145"/>
        <v>#N/A</v>
      </c>
      <c r="F510" s="218" t="s">
        <v>2304</v>
      </c>
      <c r="G510" s="73"/>
      <c r="H510" s="40" t="s">
        <v>1355</v>
      </c>
      <c r="I510" s="65" t="s">
        <v>2494</v>
      </c>
      <c r="J510" s="32"/>
      <c r="K510" s="40"/>
      <c r="L510" s="362"/>
      <c r="M510" s="40"/>
      <c r="N510" s="367"/>
      <c r="O510" s="33" t="s">
        <v>3218</v>
      </c>
      <c r="P510" s="32">
        <v>2015</v>
      </c>
      <c r="Q510" s="40"/>
      <c r="R510" s="40"/>
      <c r="S510" s="40"/>
      <c r="T510" s="32" t="s">
        <v>12</v>
      </c>
      <c r="U510" s="253">
        <v>1931170394</v>
      </c>
      <c r="V510" s="68"/>
      <c r="W510" s="61"/>
      <c r="X510" s="206" t="str">
        <f t="shared" si="144"/>
        <v>4.13.01</v>
      </c>
      <c r="Y510" s="207" t="str">
        <f t="shared" si="146"/>
        <v>JALAN</v>
      </c>
      <c r="Z510" s="207">
        <f t="shared" si="147"/>
        <v>10</v>
      </c>
      <c r="AA510" s="233">
        <f t="shared" si="148"/>
        <v>193117038.40000001</v>
      </c>
      <c r="AB510" s="208"/>
      <c r="AC510" s="233">
        <f t="shared" si="149"/>
        <v>0</v>
      </c>
      <c r="AD510" s="233"/>
      <c r="AE510" s="233">
        <f t="shared" si="151"/>
        <v>193117038.40000001</v>
      </c>
      <c r="AF510" s="233">
        <f t="shared" si="152"/>
        <v>193117038.40000001</v>
      </c>
      <c r="AG510" s="233">
        <f t="shared" si="153"/>
        <v>193117038.40000001</v>
      </c>
      <c r="AH510" s="238">
        <f t="shared" si="154"/>
        <v>193117038.40000001</v>
      </c>
      <c r="AI510" s="238">
        <f t="shared" si="155"/>
        <v>772468153.60000002</v>
      </c>
      <c r="AJ510" s="261">
        <f t="shared" si="156"/>
        <v>2015</v>
      </c>
      <c r="AK510" s="233">
        <f t="shared" si="157"/>
        <v>1158702240.4000001</v>
      </c>
    </row>
    <row r="511" spans="1:39" s="116" customFormat="1" ht="35.25" hidden="1" customHeight="1" x14ac:dyDescent="0.2">
      <c r="A511" s="116">
        <v>4</v>
      </c>
      <c r="B511" s="116" t="str">
        <f t="shared" si="145"/>
        <v>SENTAJO - MUARA LANGSAT</v>
      </c>
      <c r="D511" s="116">
        <v>7</v>
      </c>
      <c r="E511" s="120" t="str">
        <f>A511&amp;"."&amp;D511</f>
        <v>4.7</v>
      </c>
      <c r="F511" s="218" t="s">
        <v>2304</v>
      </c>
      <c r="G511" s="73"/>
      <c r="H511" s="40" t="s">
        <v>1356</v>
      </c>
      <c r="I511" s="65" t="s">
        <v>2494</v>
      </c>
      <c r="J511" s="32"/>
      <c r="K511" s="40"/>
      <c r="L511" s="362"/>
      <c r="M511" s="40"/>
      <c r="N511" s="367"/>
      <c r="O511" s="72" t="s">
        <v>619</v>
      </c>
      <c r="P511" s="32">
        <v>2015</v>
      </c>
      <c r="Q511" s="40"/>
      <c r="R511" s="40"/>
      <c r="S511" s="40"/>
      <c r="T511" s="32" t="s">
        <v>12</v>
      </c>
      <c r="U511" s="253">
        <f>4147937082-5355233.8</f>
        <v>4142581848.1999998</v>
      </c>
      <c r="V511" s="68"/>
      <c r="W511" s="61"/>
      <c r="X511" s="206" t="str">
        <f t="shared" si="144"/>
        <v>4.13.01</v>
      </c>
      <c r="Y511" s="207" t="str">
        <f t="shared" si="146"/>
        <v>JALAN</v>
      </c>
      <c r="Z511" s="207">
        <f t="shared" si="147"/>
        <v>10</v>
      </c>
      <c r="AA511" s="233">
        <f t="shared" si="148"/>
        <v>414258183.81999999</v>
      </c>
      <c r="AB511" s="208"/>
      <c r="AC511" s="233">
        <f t="shared" si="149"/>
        <v>0</v>
      </c>
      <c r="AD511" s="233"/>
      <c r="AE511" s="233">
        <f t="shared" si="151"/>
        <v>414258183.81999999</v>
      </c>
      <c r="AF511" s="233">
        <f t="shared" si="152"/>
        <v>414258183.81999999</v>
      </c>
      <c r="AG511" s="233">
        <f t="shared" si="153"/>
        <v>414258183.81999999</v>
      </c>
      <c r="AH511" s="238">
        <f t="shared" si="154"/>
        <v>414258183.81999999</v>
      </c>
      <c r="AI511" s="238">
        <f t="shared" si="155"/>
        <v>1657032735.28</v>
      </c>
      <c r="AJ511" s="261">
        <f t="shared" si="156"/>
        <v>2015</v>
      </c>
      <c r="AK511" s="233">
        <f t="shared" si="157"/>
        <v>2485549112.9200001</v>
      </c>
      <c r="AM511" s="116" t="s">
        <v>4245</v>
      </c>
    </row>
    <row r="512" spans="1:39" s="116" customFormat="1" ht="35.25" hidden="1" customHeight="1" x14ac:dyDescent="0.2">
      <c r="A512" s="116">
        <v>259</v>
      </c>
      <c r="B512" s="116" t="str">
        <f t="shared" si="145"/>
        <v>SENTAJO - TERATAK AIR HITAM</v>
      </c>
      <c r="D512" s="116">
        <v>2</v>
      </c>
      <c r="E512" s="116" t="str">
        <f>A512&amp;"."&amp;D512</f>
        <v>259.2</v>
      </c>
      <c r="F512" s="218" t="s">
        <v>2304</v>
      </c>
      <c r="G512" s="73"/>
      <c r="H512" s="40" t="s">
        <v>1357</v>
      </c>
      <c r="I512" s="65" t="s">
        <v>2494</v>
      </c>
      <c r="J512" s="32"/>
      <c r="K512" s="40"/>
      <c r="L512" s="362"/>
      <c r="M512" s="40"/>
      <c r="N512" s="367"/>
      <c r="O512" s="72" t="s">
        <v>3076</v>
      </c>
      <c r="P512" s="32">
        <v>2015</v>
      </c>
      <c r="Q512" s="40"/>
      <c r="R512" s="40"/>
      <c r="S512" s="40"/>
      <c r="T512" s="32" t="s">
        <v>12</v>
      </c>
      <c r="U512" s="253">
        <v>2691692465</v>
      </c>
      <c r="V512" s="68"/>
      <c r="W512" s="61"/>
      <c r="X512" s="206" t="str">
        <f t="shared" si="144"/>
        <v>4.13.01</v>
      </c>
      <c r="Y512" s="207" t="str">
        <f t="shared" si="146"/>
        <v>JALAN</v>
      </c>
      <c r="Z512" s="207">
        <f t="shared" si="147"/>
        <v>10</v>
      </c>
      <c r="AA512" s="233">
        <f t="shared" si="148"/>
        <v>269169245.5</v>
      </c>
      <c r="AB512" s="208"/>
      <c r="AC512" s="233">
        <f t="shared" si="149"/>
        <v>0</v>
      </c>
      <c r="AD512" s="233"/>
      <c r="AE512" s="233">
        <f t="shared" si="151"/>
        <v>269169245.5</v>
      </c>
      <c r="AF512" s="233">
        <f t="shared" si="152"/>
        <v>269169245.5</v>
      </c>
      <c r="AG512" s="233">
        <f t="shared" si="153"/>
        <v>269169245.5</v>
      </c>
      <c r="AH512" s="238">
        <f t="shared" si="154"/>
        <v>269169245.5</v>
      </c>
      <c r="AI512" s="238">
        <f t="shared" si="155"/>
        <v>1076676982</v>
      </c>
      <c r="AJ512" s="261">
        <f t="shared" si="156"/>
        <v>2015</v>
      </c>
      <c r="AK512" s="233">
        <f t="shared" si="157"/>
        <v>1615015483</v>
      </c>
      <c r="AM512" s="116" t="s">
        <v>4245</v>
      </c>
    </row>
    <row r="513" spans="1:39" s="116" customFormat="1" ht="35.25" hidden="1" customHeight="1" x14ac:dyDescent="0.2">
      <c r="A513" s="417">
        <v>164</v>
      </c>
      <c r="B513" s="417" t="str">
        <f t="shared" si="145"/>
        <v>PANGEAN - BATAS PELALAWAN</v>
      </c>
      <c r="D513" s="116">
        <v>5</v>
      </c>
      <c r="E513" s="1" t="str">
        <f>A513&amp;"."&amp;D513</f>
        <v>164.5</v>
      </c>
      <c r="F513" s="218" t="s">
        <v>2304</v>
      </c>
      <c r="G513" s="73"/>
      <c r="H513" s="40" t="s">
        <v>1358</v>
      </c>
      <c r="I513" s="65" t="s">
        <v>2494</v>
      </c>
      <c r="J513" s="32"/>
      <c r="K513" s="40"/>
      <c r="L513" s="362"/>
      <c r="M513" s="40"/>
      <c r="N513" s="367"/>
      <c r="O513" s="72" t="s">
        <v>3100</v>
      </c>
      <c r="P513" s="32">
        <v>2015</v>
      </c>
      <c r="Q513" s="40"/>
      <c r="R513" s="40"/>
      <c r="S513" s="40"/>
      <c r="T513" s="32" t="s">
        <v>12</v>
      </c>
      <c r="U513" s="253">
        <f>8661897677-5355233.8</f>
        <v>8656542443.2000008</v>
      </c>
      <c r="V513" s="68"/>
      <c r="W513" s="61"/>
      <c r="X513" s="206" t="str">
        <f t="shared" si="144"/>
        <v>4.13.01</v>
      </c>
      <c r="Y513" s="207" t="str">
        <f t="shared" si="146"/>
        <v>JALAN</v>
      </c>
      <c r="Z513" s="207">
        <f t="shared" si="147"/>
        <v>10</v>
      </c>
      <c r="AA513" s="233">
        <f t="shared" si="148"/>
        <v>865654243.32000005</v>
      </c>
      <c r="AB513" s="208"/>
      <c r="AC513" s="233">
        <f t="shared" si="149"/>
        <v>0</v>
      </c>
      <c r="AD513" s="233"/>
      <c r="AE513" s="233">
        <f t="shared" si="151"/>
        <v>865654243.32000005</v>
      </c>
      <c r="AF513" s="233">
        <f t="shared" si="152"/>
        <v>865654243.32000005</v>
      </c>
      <c r="AG513" s="233">
        <f t="shared" si="153"/>
        <v>865654243.32000005</v>
      </c>
      <c r="AH513" s="238">
        <f t="shared" si="154"/>
        <v>865654243.32000005</v>
      </c>
      <c r="AI513" s="238">
        <f t="shared" si="155"/>
        <v>3462616973.2800002</v>
      </c>
      <c r="AJ513" s="261">
        <f t="shared" si="156"/>
        <v>2015</v>
      </c>
      <c r="AK513" s="233">
        <f t="shared" si="157"/>
        <v>5193925469.9200001</v>
      </c>
      <c r="AM513" s="116" t="s">
        <v>4245</v>
      </c>
    </row>
    <row r="514" spans="1:39" s="116" customFormat="1" ht="35.25" hidden="1" customHeight="1" x14ac:dyDescent="0.2">
      <c r="A514" s="116">
        <v>52</v>
      </c>
      <c r="B514" s="116" t="str">
        <f t="shared" si="145"/>
        <v>TERMINAL - SENTAJO</v>
      </c>
      <c r="D514" s="116">
        <v>3</v>
      </c>
      <c r="E514" s="120" t="str">
        <f>A514&amp;"."&amp;D514</f>
        <v>52.3</v>
      </c>
      <c r="F514" s="218" t="s">
        <v>2304</v>
      </c>
      <c r="G514" s="73"/>
      <c r="H514" s="40" t="s">
        <v>1359</v>
      </c>
      <c r="I514" s="65" t="s">
        <v>2494</v>
      </c>
      <c r="J514" s="32"/>
      <c r="K514" s="40"/>
      <c r="L514" s="362"/>
      <c r="M514" s="40"/>
      <c r="N514" s="367"/>
      <c r="O514" s="72" t="s">
        <v>561</v>
      </c>
      <c r="P514" s="32">
        <v>2015</v>
      </c>
      <c r="Q514" s="40"/>
      <c r="R514" s="40"/>
      <c r="S514" s="40"/>
      <c r="T514" s="32" t="s">
        <v>12</v>
      </c>
      <c r="U514" s="253">
        <v>1038080204</v>
      </c>
      <c r="V514" s="68"/>
      <c r="W514" s="61"/>
      <c r="X514" s="206" t="str">
        <f t="shared" si="144"/>
        <v>4.13.01</v>
      </c>
      <c r="Y514" s="207" t="str">
        <f t="shared" si="146"/>
        <v>JALAN</v>
      </c>
      <c r="Z514" s="207">
        <f t="shared" si="147"/>
        <v>10</v>
      </c>
      <c r="AA514" s="233">
        <f t="shared" si="148"/>
        <v>103808019.40000001</v>
      </c>
      <c r="AB514" s="208"/>
      <c r="AC514" s="233">
        <f t="shared" si="149"/>
        <v>0</v>
      </c>
      <c r="AD514" s="233"/>
      <c r="AE514" s="233">
        <f t="shared" si="151"/>
        <v>103808019.40000001</v>
      </c>
      <c r="AF514" s="233">
        <f t="shared" si="152"/>
        <v>103808019.40000001</v>
      </c>
      <c r="AG514" s="233">
        <f t="shared" si="153"/>
        <v>103808019.40000001</v>
      </c>
      <c r="AH514" s="238">
        <f t="shared" si="154"/>
        <v>103808019.40000001</v>
      </c>
      <c r="AI514" s="238">
        <f t="shared" si="155"/>
        <v>415232077.60000002</v>
      </c>
      <c r="AJ514" s="261">
        <f t="shared" si="156"/>
        <v>2015</v>
      </c>
      <c r="AK514" s="233">
        <f t="shared" si="157"/>
        <v>622848126.39999998</v>
      </c>
      <c r="AM514" s="116" t="s">
        <v>4245</v>
      </c>
    </row>
    <row r="515" spans="1:39" s="116" customFormat="1" ht="35.25" hidden="1" customHeight="1" x14ac:dyDescent="0.2">
      <c r="B515" s="116" t="e">
        <f t="shared" si="145"/>
        <v>#N/A</v>
      </c>
      <c r="F515" s="218" t="s">
        <v>2304</v>
      </c>
      <c r="G515" s="73"/>
      <c r="H515" s="40" t="s">
        <v>1360</v>
      </c>
      <c r="I515" s="65" t="s">
        <v>2494</v>
      </c>
      <c r="J515" s="32"/>
      <c r="K515" s="40"/>
      <c r="L515" s="362"/>
      <c r="M515" s="40"/>
      <c r="N515" s="367"/>
      <c r="O515" s="33" t="s">
        <v>3169</v>
      </c>
      <c r="P515" s="32">
        <v>2015</v>
      </c>
      <c r="Q515" s="40"/>
      <c r="R515" s="40"/>
      <c r="S515" s="40"/>
      <c r="T515" s="32" t="s">
        <v>12</v>
      </c>
      <c r="U515" s="253">
        <v>3131158428</v>
      </c>
      <c r="V515" s="68"/>
      <c r="W515" s="61"/>
      <c r="X515" s="206" t="str">
        <f t="shared" si="144"/>
        <v>4.13.01</v>
      </c>
      <c r="Y515" s="207" t="str">
        <f t="shared" si="146"/>
        <v>JALAN</v>
      </c>
      <c r="Z515" s="207">
        <f t="shared" si="147"/>
        <v>10</v>
      </c>
      <c r="AA515" s="233">
        <f t="shared" si="148"/>
        <v>313115841.80000001</v>
      </c>
      <c r="AB515" s="208"/>
      <c r="AC515" s="233">
        <f t="shared" si="149"/>
        <v>0</v>
      </c>
      <c r="AD515" s="233"/>
      <c r="AE515" s="233">
        <f t="shared" si="151"/>
        <v>313115841.80000001</v>
      </c>
      <c r="AF515" s="233">
        <f t="shared" si="152"/>
        <v>313115841.80000001</v>
      </c>
      <c r="AG515" s="233">
        <f t="shared" si="153"/>
        <v>313115841.80000001</v>
      </c>
      <c r="AH515" s="238">
        <f t="shared" si="154"/>
        <v>313115841.80000001</v>
      </c>
      <c r="AI515" s="238">
        <f t="shared" si="155"/>
        <v>1252463367.2</v>
      </c>
      <c r="AJ515" s="261">
        <f t="shared" si="156"/>
        <v>2015</v>
      </c>
      <c r="AK515" s="233">
        <f t="shared" si="157"/>
        <v>1878695060.8</v>
      </c>
    </row>
    <row r="516" spans="1:39" s="656" customFormat="1" ht="35.25" hidden="1" customHeight="1" x14ac:dyDescent="0.2">
      <c r="B516" s="656" t="e">
        <f t="shared" si="145"/>
        <v>#N/A</v>
      </c>
      <c r="F516" s="657" t="s">
        <v>2304</v>
      </c>
      <c r="G516" s="731"/>
      <c r="H516" s="727" t="s">
        <v>1361</v>
      </c>
      <c r="I516" s="732" t="s">
        <v>2494</v>
      </c>
      <c r="J516" s="665"/>
      <c r="K516" s="727"/>
      <c r="L516" s="733"/>
      <c r="M516" s="727"/>
      <c r="N516" s="734"/>
      <c r="O516" s="728" t="s">
        <v>3172</v>
      </c>
      <c r="P516" s="665">
        <v>2015</v>
      </c>
      <c r="Q516" s="727"/>
      <c r="R516" s="727"/>
      <c r="S516" s="727"/>
      <c r="T516" s="665" t="s">
        <v>12</v>
      </c>
      <c r="U516" s="735">
        <v>2128040770</v>
      </c>
      <c r="V516" s="736"/>
      <c r="W516" s="737"/>
      <c r="X516" s="660" t="str">
        <f t="shared" si="144"/>
        <v>4.13.01</v>
      </c>
      <c r="Y516" s="661" t="str">
        <f t="shared" si="146"/>
        <v>JALAN</v>
      </c>
      <c r="Z516" s="661">
        <f t="shared" si="147"/>
        <v>10</v>
      </c>
      <c r="AA516" s="662">
        <f t="shared" si="148"/>
        <v>212804076</v>
      </c>
      <c r="AB516" s="663"/>
      <c r="AC516" s="662">
        <f t="shared" si="149"/>
        <v>0</v>
      </c>
      <c r="AD516" s="662"/>
      <c r="AE516" s="662">
        <f t="shared" si="151"/>
        <v>212804076</v>
      </c>
      <c r="AF516" s="662">
        <f t="shared" si="152"/>
        <v>212804076</v>
      </c>
      <c r="AG516" s="662">
        <f t="shared" si="153"/>
        <v>212804076</v>
      </c>
      <c r="AH516" s="664">
        <f t="shared" si="154"/>
        <v>212804076</v>
      </c>
      <c r="AI516" s="664">
        <f t="shared" si="155"/>
        <v>851216304</v>
      </c>
      <c r="AJ516" s="261">
        <f t="shared" si="156"/>
        <v>2015</v>
      </c>
      <c r="AK516" s="662">
        <f t="shared" si="157"/>
        <v>1276824466</v>
      </c>
    </row>
    <row r="517" spans="1:39" s="116" customFormat="1" ht="35.25" hidden="1" customHeight="1" x14ac:dyDescent="0.2">
      <c r="B517" s="116" t="e">
        <f t="shared" si="145"/>
        <v>#N/A</v>
      </c>
      <c r="F517" s="218" t="s">
        <v>2304</v>
      </c>
      <c r="G517" s="73"/>
      <c r="H517" s="40" t="s">
        <v>1362</v>
      </c>
      <c r="I517" s="65" t="s">
        <v>2494</v>
      </c>
      <c r="J517" s="32"/>
      <c r="K517" s="40"/>
      <c r="L517" s="362"/>
      <c r="M517" s="40"/>
      <c r="N517" s="367"/>
      <c r="O517" s="33" t="s">
        <v>3219</v>
      </c>
      <c r="P517" s="32">
        <v>2015</v>
      </c>
      <c r="Q517" s="40"/>
      <c r="R517" s="40"/>
      <c r="S517" s="40"/>
      <c r="T517" s="32" t="s">
        <v>12</v>
      </c>
      <c r="U517" s="253">
        <v>1990157144</v>
      </c>
      <c r="V517" s="68"/>
      <c r="W517" s="61"/>
      <c r="X517" s="206" t="str">
        <f t="shared" ref="X517:X580" si="158">F517</f>
        <v>4.13.01</v>
      </c>
      <c r="Y517" s="207" t="str">
        <f t="shared" si="146"/>
        <v>JALAN</v>
      </c>
      <c r="Z517" s="207">
        <f t="shared" si="147"/>
        <v>10</v>
      </c>
      <c r="AA517" s="233">
        <f t="shared" si="148"/>
        <v>199015713.40000001</v>
      </c>
      <c r="AB517" s="208"/>
      <c r="AC517" s="233">
        <f t="shared" si="149"/>
        <v>0</v>
      </c>
      <c r="AD517" s="233"/>
      <c r="AE517" s="233">
        <f t="shared" si="151"/>
        <v>199015713.40000001</v>
      </c>
      <c r="AF517" s="233">
        <f t="shared" si="152"/>
        <v>199015713.40000001</v>
      </c>
      <c r="AG517" s="233">
        <f t="shared" si="153"/>
        <v>199015713.40000001</v>
      </c>
      <c r="AH517" s="238">
        <f t="shared" si="154"/>
        <v>199015713.40000001</v>
      </c>
      <c r="AI517" s="238">
        <f t="shared" si="155"/>
        <v>796062853.60000002</v>
      </c>
      <c r="AJ517" s="261">
        <f t="shared" si="156"/>
        <v>2015</v>
      </c>
      <c r="AK517" s="233">
        <f t="shared" si="157"/>
        <v>1194094290.4000001</v>
      </c>
    </row>
    <row r="518" spans="1:39" s="116" customFormat="1" ht="35.25" hidden="1" customHeight="1" x14ac:dyDescent="0.2">
      <c r="A518" s="116">
        <v>167</v>
      </c>
      <c r="B518" s="116" t="str">
        <f t="shared" si="145"/>
        <v>JK. RUAS 190/190 KM 7 + 000 - TANAH BEKALI</v>
      </c>
      <c r="D518" s="116">
        <v>2</v>
      </c>
      <c r="E518" s="116" t="str">
        <f>A518&amp;"."&amp;D518</f>
        <v>167.2</v>
      </c>
      <c r="F518" s="218" t="s">
        <v>2304</v>
      </c>
      <c r="G518" s="73"/>
      <c r="H518" s="40" t="s">
        <v>1363</v>
      </c>
      <c r="I518" s="65" t="s">
        <v>2494</v>
      </c>
      <c r="J518" s="32"/>
      <c r="K518" s="40"/>
      <c r="L518" s="362"/>
      <c r="M518" s="40"/>
      <c r="N518" s="367"/>
      <c r="O518" s="72" t="s">
        <v>3170</v>
      </c>
      <c r="P518" s="32">
        <v>2015</v>
      </c>
      <c r="Q518" s="40"/>
      <c r="R518" s="40"/>
      <c r="S518" s="40"/>
      <c r="T518" s="32" t="s">
        <v>12</v>
      </c>
      <c r="U518" s="253">
        <v>2091776958</v>
      </c>
      <c r="V518" s="68"/>
      <c r="W518" s="61"/>
      <c r="X518" s="206" t="str">
        <f t="shared" si="158"/>
        <v>4.13.01</v>
      </c>
      <c r="Y518" s="207" t="str">
        <f t="shared" si="146"/>
        <v>JALAN</v>
      </c>
      <c r="Z518" s="207">
        <f t="shared" si="147"/>
        <v>10</v>
      </c>
      <c r="AA518" s="233">
        <f t="shared" si="148"/>
        <v>209177694.80000001</v>
      </c>
      <c r="AB518" s="208"/>
      <c r="AC518" s="233">
        <f t="shared" si="149"/>
        <v>0</v>
      </c>
      <c r="AD518" s="233"/>
      <c r="AE518" s="233">
        <f t="shared" si="151"/>
        <v>209177694.80000001</v>
      </c>
      <c r="AF518" s="233">
        <f t="shared" si="152"/>
        <v>209177694.80000001</v>
      </c>
      <c r="AG518" s="233">
        <f t="shared" si="153"/>
        <v>209177694.80000001</v>
      </c>
      <c r="AH518" s="238">
        <f t="shared" si="154"/>
        <v>209177694.80000001</v>
      </c>
      <c r="AI518" s="238">
        <f t="shared" si="155"/>
        <v>836710779.20000005</v>
      </c>
      <c r="AJ518" s="261">
        <f t="shared" si="156"/>
        <v>2015</v>
      </c>
      <c r="AK518" s="233">
        <f t="shared" si="157"/>
        <v>1255066178.8</v>
      </c>
      <c r="AM518" s="116" t="s">
        <v>4245</v>
      </c>
    </row>
    <row r="519" spans="1:39" s="116" customFormat="1" ht="35.25" hidden="1" customHeight="1" x14ac:dyDescent="0.2">
      <c r="A519" s="116">
        <v>165</v>
      </c>
      <c r="B519" s="116" t="str">
        <f t="shared" si="145"/>
        <v>SAKO - TRANS SKP II</v>
      </c>
      <c r="D519" s="116">
        <v>7</v>
      </c>
      <c r="E519" s="116" t="str">
        <f>A519&amp;"."&amp;D519</f>
        <v>165.7</v>
      </c>
      <c r="F519" s="218" t="s">
        <v>2304</v>
      </c>
      <c r="G519" s="73"/>
      <c r="H519" s="40" t="s">
        <v>1364</v>
      </c>
      <c r="I519" s="65" t="s">
        <v>2494</v>
      </c>
      <c r="J519" s="32"/>
      <c r="K519" s="40"/>
      <c r="L519" s="362"/>
      <c r="M519" s="40"/>
      <c r="N519" s="367"/>
      <c r="O519" s="72" t="s">
        <v>3106</v>
      </c>
      <c r="P519" s="32">
        <v>2015</v>
      </c>
      <c r="Q519" s="40"/>
      <c r="R519" s="40"/>
      <c r="S519" s="40"/>
      <c r="T519" s="32" t="s">
        <v>12</v>
      </c>
      <c r="U519" s="253">
        <f>2132008338-5355233.8</f>
        <v>2126653104.2</v>
      </c>
      <c r="V519" s="68"/>
      <c r="W519" s="61"/>
      <c r="X519" s="206" t="str">
        <f t="shared" si="158"/>
        <v>4.13.01</v>
      </c>
      <c r="Y519" s="207" t="str">
        <f t="shared" si="146"/>
        <v>JALAN</v>
      </c>
      <c r="Z519" s="207">
        <f t="shared" si="147"/>
        <v>10</v>
      </c>
      <c r="AA519" s="233">
        <f t="shared" si="148"/>
        <v>212665309.42000002</v>
      </c>
      <c r="AB519" s="208"/>
      <c r="AC519" s="233">
        <f t="shared" si="149"/>
        <v>0</v>
      </c>
      <c r="AD519" s="233"/>
      <c r="AE519" s="233">
        <f t="shared" si="151"/>
        <v>212665309.42000002</v>
      </c>
      <c r="AF519" s="233">
        <f t="shared" si="152"/>
        <v>212665309.42000002</v>
      </c>
      <c r="AG519" s="233">
        <f t="shared" si="153"/>
        <v>212665309.42000002</v>
      </c>
      <c r="AH519" s="238">
        <f t="shared" si="154"/>
        <v>212665309.42000002</v>
      </c>
      <c r="AI519" s="238">
        <f t="shared" si="155"/>
        <v>850661237.68000007</v>
      </c>
      <c r="AJ519" s="261">
        <f t="shared" si="156"/>
        <v>2015</v>
      </c>
      <c r="AK519" s="233">
        <f t="shared" si="157"/>
        <v>1275991866.52</v>
      </c>
      <c r="AM519" s="116" t="s">
        <v>4245</v>
      </c>
    </row>
    <row r="520" spans="1:39" s="116" customFormat="1" ht="35.25" hidden="1" customHeight="1" x14ac:dyDescent="0.2">
      <c r="B520" s="116" t="e">
        <f t="shared" si="145"/>
        <v>#N/A</v>
      </c>
      <c r="F520" s="218" t="s">
        <v>2304</v>
      </c>
      <c r="G520" s="73"/>
      <c r="H520" s="40" t="s">
        <v>1366</v>
      </c>
      <c r="I520" s="65" t="s">
        <v>2494</v>
      </c>
      <c r="J520" s="32"/>
      <c r="K520" s="40"/>
      <c r="L520" s="362"/>
      <c r="M520" s="40"/>
      <c r="N520" s="367"/>
      <c r="O520" s="33" t="s">
        <v>3220</v>
      </c>
      <c r="P520" s="32">
        <v>2015</v>
      </c>
      <c r="Q520" s="40"/>
      <c r="R520" s="40"/>
      <c r="S520" s="40"/>
      <c r="T520" s="32" t="s">
        <v>12</v>
      </c>
      <c r="U520" s="253">
        <v>3073451038</v>
      </c>
      <c r="V520" s="68"/>
      <c r="W520" s="61"/>
      <c r="X520" s="206" t="str">
        <f t="shared" si="158"/>
        <v>4.13.01</v>
      </c>
      <c r="Y520" s="207" t="str">
        <f t="shared" si="146"/>
        <v>JALAN</v>
      </c>
      <c r="Z520" s="207">
        <f t="shared" si="147"/>
        <v>10</v>
      </c>
      <c r="AA520" s="233">
        <f t="shared" si="148"/>
        <v>307345102.80000001</v>
      </c>
      <c r="AB520" s="208"/>
      <c r="AC520" s="233">
        <f t="shared" si="149"/>
        <v>0</v>
      </c>
      <c r="AD520" s="233"/>
      <c r="AE520" s="233">
        <f t="shared" si="151"/>
        <v>307345102.80000001</v>
      </c>
      <c r="AF520" s="233">
        <f t="shared" si="152"/>
        <v>307345102.80000001</v>
      </c>
      <c r="AG520" s="233">
        <f t="shared" si="153"/>
        <v>307345102.80000001</v>
      </c>
      <c r="AH520" s="238">
        <f t="shared" si="154"/>
        <v>307345102.80000001</v>
      </c>
      <c r="AI520" s="238">
        <f t="shared" si="155"/>
        <v>1229380411.2</v>
      </c>
      <c r="AJ520" s="261">
        <f t="shared" si="156"/>
        <v>2015</v>
      </c>
      <c r="AK520" s="233">
        <f t="shared" si="157"/>
        <v>1844070626.8</v>
      </c>
    </row>
    <row r="521" spans="1:39" s="116" customFormat="1" ht="35.25" hidden="1" customHeight="1" x14ac:dyDescent="0.2">
      <c r="A521" s="116">
        <v>257</v>
      </c>
      <c r="B521" s="116" t="str">
        <f t="shared" si="145"/>
        <v>BENAI - PL. LANCANG</v>
      </c>
      <c r="D521" s="116">
        <v>2</v>
      </c>
      <c r="E521" s="116" t="str">
        <f>A521&amp;"."&amp;D521</f>
        <v>257.2</v>
      </c>
      <c r="F521" s="218" t="s">
        <v>2304</v>
      </c>
      <c r="G521" s="73"/>
      <c r="H521" s="40" t="s">
        <v>1367</v>
      </c>
      <c r="I521" s="65" t="s">
        <v>2494</v>
      </c>
      <c r="J521" s="32"/>
      <c r="K521" s="40"/>
      <c r="L521" s="362"/>
      <c r="M521" s="40"/>
      <c r="N521" s="367"/>
      <c r="O521" s="72" t="s">
        <v>3075</v>
      </c>
      <c r="P521" s="32">
        <v>2015</v>
      </c>
      <c r="Q521" s="40"/>
      <c r="R521" s="40"/>
      <c r="S521" s="40"/>
      <c r="T521" s="32" t="s">
        <v>12</v>
      </c>
      <c r="U521" s="253">
        <v>3166464963</v>
      </c>
      <c r="V521" s="68"/>
      <c r="W521" s="61"/>
      <c r="X521" s="206" t="str">
        <f t="shared" si="158"/>
        <v>4.13.01</v>
      </c>
      <c r="Y521" s="207" t="str">
        <f t="shared" si="146"/>
        <v>JALAN</v>
      </c>
      <c r="Z521" s="207">
        <f t="shared" si="147"/>
        <v>10</v>
      </c>
      <c r="AA521" s="233">
        <f t="shared" si="148"/>
        <v>316646495.30000001</v>
      </c>
      <c r="AB521" s="208"/>
      <c r="AC521" s="233">
        <f t="shared" si="149"/>
        <v>0</v>
      </c>
      <c r="AD521" s="233"/>
      <c r="AE521" s="233">
        <f t="shared" si="151"/>
        <v>316646495.30000001</v>
      </c>
      <c r="AF521" s="233">
        <f t="shared" si="152"/>
        <v>316646495.30000001</v>
      </c>
      <c r="AG521" s="233">
        <f t="shared" si="153"/>
        <v>316646495.30000001</v>
      </c>
      <c r="AH521" s="238">
        <f t="shared" si="154"/>
        <v>316646495.30000001</v>
      </c>
      <c r="AI521" s="238">
        <f t="shared" si="155"/>
        <v>1266585981.2</v>
      </c>
      <c r="AJ521" s="261">
        <f t="shared" si="156"/>
        <v>2015</v>
      </c>
      <c r="AK521" s="233">
        <f t="shared" si="157"/>
        <v>1899878981.8</v>
      </c>
      <c r="AM521" s="116" t="s">
        <v>4245</v>
      </c>
    </row>
    <row r="522" spans="1:39" s="116" customFormat="1" ht="35.25" hidden="1" customHeight="1" x14ac:dyDescent="0.2">
      <c r="A522" s="116">
        <v>296</v>
      </c>
      <c r="B522" s="116" t="str">
        <f t="shared" si="145"/>
        <v>INUMAN - PULAU BUSUK</v>
      </c>
      <c r="D522" s="116">
        <v>2</v>
      </c>
      <c r="E522" s="116" t="str">
        <f>A522&amp;"."&amp;D522</f>
        <v>296.2</v>
      </c>
      <c r="F522" s="218" t="s">
        <v>2304</v>
      </c>
      <c r="G522" s="73"/>
      <c r="H522" s="40" t="s">
        <v>1369</v>
      </c>
      <c r="I522" s="65" t="s">
        <v>2494</v>
      </c>
      <c r="J522" s="32"/>
      <c r="K522" s="40"/>
      <c r="L522" s="362"/>
      <c r="M522" s="40"/>
      <c r="N522" s="367"/>
      <c r="O522" s="72" t="s">
        <v>3081</v>
      </c>
      <c r="P522" s="32">
        <v>2015</v>
      </c>
      <c r="Q522" s="40"/>
      <c r="R522" s="40"/>
      <c r="S522" s="40"/>
      <c r="T522" s="32" t="s">
        <v>12</v>
      </c>
      <c r="U522" s="253">
        <v>2025740168</v>
      </c>
      <c r="V522" s="68"/>
      <c r="W522" s="61"/>
      <c r="X522" s="206" t="str">
        <f t="shared" si="158"/>
        <v>4.13.01</v>
      </c>
      <c r="Y522" s="207" t="str">
        <f t="shared" si="146"/>
        <v>JALAN</v>
      </c>
      <c r="Z522" s="207">
        <f t="shared" si="147"/>
        <v>10</v>
      </c>
      <c r="AA522" s="233">
        <f t="shared" si="148"/>
        <v>202574015.80000001</v>
      </c>
      <c r="AB522" s="208"/>
      <c r="AC522" s="233">
        <f t="shared" si="149"/>
        <v>0</v>
      </c>
      <c r="AD522" s="233"/>
      <c r="AE522" s="233">
        <f t="shared" si="151"/>
        <v>202574015.80000001</v>
      </c>
      <c r="AF522" s="233">
        <f t="shared" si="152"/>
        <v>202574015.80000001</v>
      </c>
      <c r="AG522" s="233">
        <f t="shared" si="153"/>
        <v>202574015.80000001</v>
      </c>
      <c r="AH522" s="238">
        <f t="shared" si="154"/>
        <v>202574015.80000001</v>
      </c>
      <c r="AI522" s="238">
        <f t="shared" si="155"/>
        <v>810296063.20000005</v>
      </c>
      <c r="AJ522" s="261">
        <f t="shared" si="156"/>
        <v>2015</v>
      </c>
      <c r="AK522" s="233">
        <f t="shared" si="157"/>
        <v>1215444104.8</v>
      </c>
      <c r="AM522" s="116" t="s">
        <v>4245</v>
      </c>
    </row>
    <row r="523" spans="1:39" s="116" customFormat="1" ht="35.25" hidden="1" customHeight="1" x14ac:dyDescent="0.2">
      <c r="B523" s="116" t="e">
        <f t="shared" si="145"/>
        <v>#N/A</v>
      </c>
      <c r="F523" s="218" t="s">
        <v>2304</v>
      </c>
      <c r="G523" s="73"/>
      <c r="H523" s="40" t="s">
        <v>1370</v>
      </c>
      <c r="I523" s="65" t="s">
        <v>2494</v>
      </c>
      <c r="J523" s="32"/>
      <c r="K523" s="40"/>
      <c r="L523" s="362"/>
      <c r="M523" s="40"/>
      <c r="N523" s="367"/>
      <c r="O523" s="33" t="s">
        <v>3221</v>
      </c>
      <c r="P523" s="32">
        <v>2015</v>
      </c>
      <c r="Q523" s="40"/>
      <c r="R523" s="40"/>
      <c r="S523" s="40"/>
      <c r="T523" s="32" t="s">
        <v>12</v>
      </c>
      <c r="U523" s="253">
        <v>2153193000</v>
      </c>
      <c r="V523" s="68"/>
      <c r="W523" s="61"/>
      <c r="X523" s="206" t="str">
        <f t="shared" si="158"/>
        <v>4.13.01</v>
      </c>
      <c r="Y523" s="207" t="str">
        <f t="shared" si="146"/>
        <v>JALAN</v>
      </c>
      <c r="Z523" s="207">
        <f t="shared" si="147"/>
        <v>10</v>
      </c>
      <c r="AA523" s="233">
        <f t="shared" si="148"/>
        <v>215319299</v>
      </c>
      <c r="AB523" s="208"/>
      <c r="AC523" s="233">
        <f t="shared" si="149"/>
        <v>0</v>
      </c>
      <c r="AD523" s="233"/>
      <c r="AE523" s="233">
        <f t="shared" si="151"/>
        <v>215319299</v>
      </c>
      <c r="AF523" s="233">
        <f t="shared" si="152"/>
        <v>215319299</v>
      </c>
      <c r="AG523" s="233">
        <f t="shared" si="153"/>
        <v>215319299</v>
      </c>
      <c r="AH523" s="238">
        <f t="shared" si="154"/>
        <v>215319299</v>
      </c>
      <c r="AI523" s="238">
        <f t="shared" si="155"/>
        <v>861277196</v>
      </c>
      <c r="AJ523" s="261">
        <f t="shared" si="156"/>
        <v>2015</v>
      </c>
      <c r="AK523" s="233">
        <f t="shared" si="157"/>
        <v>1291915804</v>
      </c>
    </row>
    <row r="524" spans="1:39" s="116" customFormat="1" ht="35.25" hidden="1" customHeight="1" x14ac:dyDescent="0.2">
      <c r="A524" s="116">
        <v>295</v>
      </c>
      <c r="B524" s="116" t="str">
        <f t="shared" si="145"/>
        <v>SEI. PERUPUK - PULAU BAYUR</v>
      </c>
      <c r="D524" s="116">
        <v>2</v>
      </c>
      <c r="E524" s="116" t="str">
        <f>A524&amp;"."&amp;D524</f>
        <v>295.2</v>
      </c>
      <c r="F524" s="218" t="s">
        <v>2304</v>
      </c>
      <c r="G524" s="73"/>
      <c r="H524" s="40" t="s">
        <v>1371</v>
      </c>
      <c r="I524" s="65" t="s">
        <v>2494</v>
      </c>
      <c r="J524" s="32"/>
      <c r="K524" s="40"/>
      <c r="L524" s="362"/>
      <c r="M524" s="40"/>
      <c r="N524" s="367"/>
      <c r="O524" s="65" t="s">
        <v>3449</v>
      </c>
      <c r="P524" s="32">
        <v>2015</v>
      </c>
      <c r="Q524" s="40"/>
      <c r="R524" s="40"/>
      <c r="S524" s="40"/>
      <c r="T524" s="32" t="s">
        <v>12</v>
      </c>
      <c r="U524" s="253">
        <f>2044077890-5355233.8</f>
        <v>2038722656.2</v>
      </c>
      <c r="V524" s="68"/>
      <c r="W524" s="61"/>
      <c r="X524" s="206" t="str">
        <f t="shared" si="158"/>
        <v>4.13.01</v>
      </c>
      <c r="Y524" s="207" t="str">
        <f t="shared" si="146"/>
        <v>JALAN</v>
      </c>
      <c r="Z524" s="207">
        <f t="shared" si="147"/>
        <v>10</v>
      </c>
      <c r="AA524" s="233">
        <f t="shared" si="148"/>
        <v>203872264.62</v>
      </c>
      <c r="AB524" s="208"/>
      <c r="AC524" s="233">
        <f t="shared" si="149"/>
        <v>0</v>
      </c>
      <c r="AD524" s="233"/>
      <c r="AE524" s="233">
        <f t="shared" si="151"/>
        <v>203872264.62</v>
      </c>
      <c r="AF524" s="233">
        <f t="shared" si="152"/>
        <v>203872264.62</v>
      </c>
      <c r="AG524" s="233">
        <f t="shared" si="153"/>
        <v>203872264.62</v>
      </c>
      <c r="AH524" s="238">
        <f t="shared" si="154"/>
        <v>203872264.62</v>
      </c>
      <c r="AI524" s="238">
        <f t="shared" si="155"/>
        <v>815489058.48000002</v>
      </c>
      <c r="AJ524" s="261">
        <f t="shared" si="156"/>
        <v>2015</v>
      </c>
      <c r="AK524" s="233">
        <f t="shared" si="157"/>
        <v>1223233597.72</v>
      </c>
      <c r="AM524" s="116" t="s">
        <v>4245</v>
      </c>
    </row>
    <row r="525" spans="1:39" s="116" customFormat="1" ht="35.25" hidden="1" customHeight="1" x14ac:dyDescent="0.2">
      <c r="A525" s="116">
        <v>93</v>
      </c>
      <c r="B525" s="116" t="str">
        <f t="shared" si="145"/>
        <v>SIMP. KINALI - BUKIT KAUMAN</v>
      </c>
      <c r="D525" s="116">
        <v>2</v>
      </c>
      <c r="E525" s="116" t="str">
        <f>A525&amp;"."&amp;D525</f>
        <v>93.2</v>
      </c>
      <c r="F525" s="218" t="s">
        <v>2304</v>
      </c>
      <c r="G525" s="73"/>
      <c r="H525" s="40" t="s">
        <v>1372</v>
      </c>
      <c r="I525" s="65" t="s">
        <v>2494</v>
      </c>
      <c r="J525" s="32"/>
      <c r="K525" s="40"/>
      <c r="L525" s="362"/>
      <c r="M525" s="40"/>
      <c r="N525" s="367"/>
      <c r="O525" s="72" t="s">
        <v>681</v>
      </c>
      <c r="P525" s="32">
        <v>2015</v>
      </c>
      <c r="Q525" s="40"/>
      <c r="R525" s="40"/>
      <c r="S525" s="40"/>
      <c r="T525" s="32" t="s">
        <v>12</v>
      </c>
      <c r="U525" s="253">
        <v>1656251100</v>
      </c>
      <c r="V525" s="68"/>
      <c r="W525" s="61"/>
      <c r="X525" s="206" t="str">
        <f t="shared" si="158"/>
        <v>4.13.01</v>
      </c>
      <c r="Y525" s="207" t="str">
        <f t="shared" si="146"/>
        <v>JALAN</v>
      </c>
      <c r="Z525" s="207">
        <f t="shared" si="147"/>
        <v>10</v>
      </c>
      <c r="AA525" s="233">
        <f t="shared" si="148"/>
        <v>165625109</v>
      </c>
      <c r="AB525" s="208"/>
      <c r="AC525" s="233">
        <f t="shared" si="149"/>
        <v>0</v>
      </c>
      <c r="AD525" s="233"/>
      <c r="AE525" s="233">
        <f t="shared" si="151"/>
        <v>165625109</v>
      </c>
      <c r="AF525" s="233">
        <f t="shared" si="152"/>
        <v>165625109</v>
      </c>
      <c r="AG525" s="233">
        <f t="shared" si="153"/>
        <v>165625109</v>
      </c>
      <c r="AH525" s="238">
        <f t="shared" si="154"/>
        <v>165625109</v>
      </c>
      <c r="AI525" s="238">
        <f t="shared" si="155"/>
        <v>662500436</v>
      </c>
      <c r="AJ525" s="261">
        <f t="shared" si="156"/>
        <v>2015</v>
      </c>
      <c r="AK525" s="233">
        <f t="shared" si="157"/>
        <v>993750664</v>
      </c>
      <c r="AM525" s="116" t="s">
        <v>4245</v>
      </c>
    </row>
    <row r="526" spans="1:39" s="116" customFormat="1" ht="35.25" hidden="1" customHeight="1" x14ac:dyDescent="0.2">
      <c r="A526" s="116">
        <v>87</v>
      </c>
      <c r="B526" s="116" t="str">
        <f t="shared" si="145"/>
        <v>SEI. BESAR - BTS. SUMBAR</v>
      </c>
      <c r="D526" s="116">
        <v>4</v>
      </c>
      <c r="E526" s="120" t="str">
        <f>A526&amp;"."&amp;D526</f>
        <v>87.4</v>
      </c>
      <c r="F526" s="218" t="s">
        <v>2304</v>
      </c>
      <c r="G526" s="73"/>
      <c r="H526" s="40" t="s">
        <v>1373</v>
      </c>
      <c r="I526" s="65" t="s">
        <v>2494</v>
      </c>
      <c r="J526" s="32"/>
      <c r="K526" s="40"/>
      <c r="L526" s="362"/>
      <c r="M526" s="40"/>
      <c r="N526" s="367"/>
      <c r="O526" s="72" t="s">
        <v>3141</v>
      </c>
      <c r="P526" s="32">
        <v>2015</v>
      </c>
      <c r="Q526" s="40"/>
      <c r="R526" s="40"/>
      <c r="S526" s="40"/>
      <c r="T526" s="32" t="s">
        <v>12</v>
      </c>
      <c r="U526" s="253">
        <f>3765919620-5355233.8</f>
        <v>3760564386.1999998</v>
      </c>
      <c r="V526" s="68"/>
      <c r="W526" s="61"/>
      <c r="X526" s="206" t="str">
        <f t="shared" si="158"/>
        <v>4.13.01</v>
      </c>
      <c r="Y526" s="207" t="str">
        <f t="shared" si="146"/>
        <v>JALAN</v>
      </c>
      <c r="Z526" s="207">
        <f t="shared" si="147"/>
        <v>10</v>
      </c>
      <c r="AA526" s="233">
        <f t="shared" si="148"/>
        <v>376056437.62</v>
      </c>
      <c r="AB526" s="208"/>
      <c r="AC526" s="233">
        <f t="shared" si="149"/>
        <v>0</v>
      </c>
      <c r="AD526" s="233"/>
      <c r="AE526" s="233">
        <f t="shared" si="151"/>
        <v>376056437.62</v>
      </c>
      <c r="AF526" s="233">
        <f t="shared" si="152"/>
        <v>376056437.62</v>
      </c>
      <c r="AG526" s="233">
        <f t="shared" si="153"/>
        <v>376056437.62</v>
      </c>
      <c r="AH526" s="238">
        <f t="shared" si="154"/>
        <v>376056437.62</v>
      </c>
      <c r="AI526" s="238">
        <f t="shared" si="155"/>
        <v>1504225750.48</v>
      </c>
      <c r="AJ526" s="261">
        <f t="shared" si="156"/>
        <v>2015</v>
      </c>
      <c r="AK526" s="233">
        <f t="shared" si="157"/>
        <v>2256338635.7199998</v>
      </c>
      <c r="AM526" s="116" t="s">
        <v>4245</v>
      </c>
    </row>
    <row r="527" spans="1:39" s="116" customFormat="1" ht="35.25" hidden="1" customHeight="1" x14ac:dyDescent="0.2">
      <c r="A527" s="116">
        <v>245</v>
      </c>
      <c r="B527" s="116" t="str">
        <f t="shared" si="145"/>
        <v>SIMP. 4 PT. WANASARI - SUKAMAJU</v>
      </c>
      <c r="D527" s="116">
        <v>3</v>
      </c>
      <c r="E527" s="116" t="str">
        <f>A527&amp;"."&amp;D527</f>
        <v>245.3</v>
      </c>
      <c r="F527" s="218" t="s">
        <v>2304</v>
      </c>
      <c r="G527" s="73"/>
      <c r="H527" s="40" t="s">
        <v>1375</v>
      </c>
      <c r="I527" s="65" t="s">
        <v>2494</v>
      </c>
      <c r="J527" s="32"/>
      <c r="K527" s="40"/>
      <c r="L527" s="362"/>
      <c r="M527" s="40"/>
      <c r="N527" s="367"/>
      <c r="O527" s="72" t="s">
        <v>3093</v>
      </c>
      <c r="P527" s="32">
        <v>2015</v>
      </c>
      <c r="Q527" s="40"/>
      <c r="R527" s="40"/>
      <c r="S527" s="40"/>
      <c r="T527" s="32" t="s">
        <v>12</v>
      </c>
      <c r="U527" s="253">
        <v>2128408453</v>
      </c>
      <c r="V527" s="68"/>
      <c r="W527" s="61"/>
      <c r="X527" s="206" t="str">
        <f t="shared" si="158"/>
        <v>4.13.01</v>
      </c>
      <c r="Y527" s="207" t="str">
        <f t="shared" si="146"/>
        <v>JALAN</v>
      </c>
      <c r="Z527" s="207">
        <f t="shared" si="147"/>
        <v>10</v>
      </c>
      <c r="AA527" s="233">
        <f t="shared" si="148"/>
        <v>212840844.30000001</v>
      </c>
      <c r="AB527" s="208"/>
      <c r="AC527" s="233">
        <f t="shared" si="149"/>
        <v>0</v>
      </c>
      <c r="AD527" s="233"/>
      <c r="AE527" s="233">
        <f t="shared" si="151"/>
        <v>212840844.30000001</v>
      </c>
      <c r="AF527" s="233">
        <f t="shared" si="152"/>
        <v>212840844.30000001</v>
      </c>
      <c r="AG527" s="233">
        <f t="shared" si="153"/>
        <v>212840844.30000001</v>
      </c>
      <c r="AH527" s="238">
        <f t="shared" si="154"/>
        <v>212840844.30000001</v>
      </c>
      <c r="AI527" s="238">
        <f t="shared" si="155"/>
        <v>851363377.20000005</v>
      </c>
      <c r="AJ527" s="261">
        <f t="shared" si="156"/>
        <v>2015</v>
      </c>
      <c r="AK527" s="233">
        <f t="shared" si="157"/>
        <v>1277045075.8</v>
      </c>
      <c r="AM527" s="116" t="s">
        <v>4245</v>
      </c>
    </row>
    <row r="528" spans="1:39" s="116" customFormat="1" ht="35.25" hidden="1" customHeight="1" x14ac:dyDescent="0.2">
      <c r="B528" s="116" t="e">
        <f t="shared" si="145"/>
        <v>#N/A</v>
      </c>
      <c r="F528" s="218" t="s">
        <v>2304</v>
      </c>
      <c r="G528" s="73"/>
      <c r="H528" s="40" t="s">
        <v>1376</v>
      </c>
      <c r="I528" s="65" t="s">
        <v>2494</v>
      </c>
      <c r="J528" s="32"/>
      <c r="K528" s="40"/>
      <c r="L528" s="362"/>
      <c r="M528" s="40"/>
      <c r="N528" s="367"/>
      <c r="O528" s="33" t="s">
        <v>3127</v>
      </c>
      <c r="P528" s="32">
        <v>2015</v>
      </c>
      <c r="Q528" s="40"/>
      <c r="R528" s="40"/>
      <c r="S528" s="40"/>
      <c r="T528" s="32" t="s">
        <v>12</v>
      </c>
      <c r="U528" s="253">
        <v>2132575732</v>
      </c>
      <c r="V528" s="68"/>
      <c r="W528" s="61"/>
      <c r="X528" s="206" t="str">
        <f t="shared" si="158"/>
        <v>4.13.01</v>
      </c>
      <c r="Y528" s="207" t="str">
        <f t="shared" si="146"/>
        <v>JALAN</v>
      </c>
      <c r="Z528" s="207">
        <f t="shared" si="147"/>
        <v>10</v>
      </c>
      <c r="AA528" s="233">
        <f t="shared" si="148"/>
        <v>213257572.19999999</v>
      </c>
      <c r="AB528" s="208"/>
      <c r="AC528" s="233">
        <f t="shared" si="149"/>
        <v>0</v>
      </c>
      <c r="AD528" s="233"/>
      <c r="AE528" s="233">
        <f t="shared" si="151"/>
        <v>213257572.19999999</v>
      </c>
      <c r="AF528" s="233">
        <f t="shared" si="152"/>
        <v>213257572.19999999</v>
      </c>
      <c r="AG528" s="233">
        <f t="shared" si="153"/>
        <v>213257572.19999999</v>
      </c>
      <c r="AH528" s="238">
        <f t="shared" si="154"/>
        <v>213257572.19999999</v>
      </c>
      <c r="AI528" s="238">
        <f t="shared" si="155"/>
        <v>853030288.79999995</v>
      </c>
      <c r="AJ528" s="261">
        <f t="shared" si="156"/>
        <v>2015</v>
      </c>
      <c r="AK528" s="233">
        <f t="shared" si="157"/>
        <v>1279545443.2</v>
      </c>
    </row>
    <row r="529" spans="1:39" s="116" customFormat="1" ht="35.25" hidden="1" customHeight="1" x14ac:dyDescent="0.2">
      <c r="A529" s="116">
        <v>231</v>
      </c>
      <c r="B529" s="116" t="str">
        <f t="shared" si="145"/>
        <v>PASIR MAS - SAKO MARGASARI</v>
      </c>
      <c r="D529" s="116">
        <v>1</v>
      </c>
      <c r="E529" s="116" t="str">
        <f>A529&amp;"."&amp;D529</f>
        <v>231.1</v>
      </c>
      <c r="F529" s="218" t="s">
        <v>2304</v>
      </c>
      <c r="G529" s="73"/>
      <c r="H529" s="40" t="s">
        <v>1377</v>
      </c>
      <c r="I529" s="65" t="s">
        <v>2494</v>
      </c>
      <c r="J529" s="32"/>
      <c r="K529" s="40"/>
      <c r="L529" s="362"/>
      <c r="M529" s="40"/>
      <c r="N529" s="367"/>
      <c r="O529" s="33" t="s">
        <v>3222</v>
      </c>
      <c r="P529" s="32">
        <v>2015</v>
      </c>
      <c r="Q529" s="40"/>
      <c r="R529" s="40"/>
      <c r="S529" s="40"/>
      <c r="T529" s="32" t="s">
        <v>12</v>
      </c>
      <c r="U529" s="253">
        <f>2071379100-5355233.8</f>
        <v>2066023866.2</v>
      </c>
      <c r="V529" s="68"/>
      <c r="W529" s="61"/>
      <c r="X529" s="206" t="str">
        <f t="shared" si="158"/>
        <v>4.13.01</v>
      </c>
      <c r="Y529" s="207" t="str">
        <f t="shared" si="146"/>
        <v>JALAN</v>
      </c>
      <c r="Z529" s="207">
        <f t="shared" si="147"/>
        <v>10</v>
      </c>
      <c r="AA529" s="233">
        <f t="shared" si="148"/>
        <v>206602385.62</v>
      </c>
      <c r="AB529" s="208"/>
      <c r="AC529" s="233">
        <f t="shared" si="149"/>
        <v>0</v>
      </c>
      <c r="AD529" s="233"/>
      <c r="AE529" s="233">
        <f t="shared" si="151"/>
        <v>206602385.62</v>
      </c>
      <c r="AF529" s="233">
        <f t="shared" si="152"/>
        <v>206602385.62</v>
      </c>
      <c r="AG529" s="233">
        <f t="shared" si="153"/>
        <v>206602385.62</v>
      </c>
      <c r="AH529" s="238">
        <f t="shared" si="154"/>
        <v>206602385.62</v>
      </c>
      <c r="AI529" s="238">
        <f t="shared" si="155"/>
        <v>826409542.48000002</v>
      </c>
      <c r="AJ529" s="261">
        <f t="shared" si="156"/>
        <v>2015</v>
      </c>
      <c r="AK529" s="233">
        <f t="shared" si="157"/>
        <v>1239614323.72</v>
      </c>
    </row>
    <row r="530" spans="1:39" s="116" customFormat="1" ht="35.25" hidden="1" customHeight="1" x14ac:dyDescent="0.2">
      <c r="B530" s="116" t="e">
        <f t="shared" si="145"/>
        <v>#N/A</v>
      </c>
      <c r="F530" s="218" t="s">
        <v>2304</v>
      </c>
      <c r="G530" s="73"/>
      <c r="H530" s="40" t="s">
        <v>1378</v>
      </c>
      <c r="I530" s="65" t="s">
        <v>2494</v>
      </c>
      <c r="J530" s="32"/>
      <c r="K530" s="40"/>
      <c r="L530" s="362"/>
      <c r="M530" s="40"/>
      <c r="N530" s="367"/>
      <c r="O530" s="33" t="s">
        <v>3223</v>
      </c>
      <c r="P530" s="32">
        <v>2015</v>
      </c>
      <c r="Q530" s="40"/>
      <c r="R530" s="40"/>
      <c r="S530" s="40"/>
      <c r="T530" s="32" t="s">
        <v>12</v>
      </c>
      <c r="U530" s="253">
        <v>1212664598</v>
      </c>
      <c r="V530" s="68"/>
      <c r="W530" s="61"/>
      <c r="X530" s="206" t="str">
        <f t="shared" si="158"/>
        <v>4.13.01</v>
      </c>
      <c r="Y530" s="207" t="str">
        <f t="shared" si="146"/>
        <v>JALAN</v>
      </c>
      <c r="Z530" s="207">
        <f t="shared" si="147"/>
        <v>10</v>
      </c>
      <c r="AA530" s="233">
        <f t="shared" si="148"/>
        <v>121266458.8</v>
      </c>
      <c r="AB530" s="208"/>
      <c r="AC530" s="233">
        <f t="shared" si="149"/>
        <v>0</v>
      </c>
      <c r="AD530" s="233"/>
      <c r="AE530" s="233">
        <f t="shared" si="151"/>
        <v>121266458.8</v>
      </c>
      <c r="AF530" s="233">
        <f t="shared" si="152"/>
        <v>121266458.8</v>
      </c>
      <c r="AG530" s="233">
        <f t="shared" si="153"/>
        <v>121266458.8</v>
      </c>
      <c r="AH530" s="238">
        <f t="shared" si="154"/>
        <v>121266458.8</v>
      </c>
      <c r="AI530" s="238">
        <f t="shared" si="155"/>
        <v>485065835.19999999</v>
      </c>
      <c r="AJ530" s="261">
        <f t="shared" si="156"/>
        <v>2015</v>
      </c>
      <c r="AK530" s="233">
        <f t="shared" si="157"/>
        <v>727598762.79999995</v>
      </c>
    </row>
    <row r="531" spans="1:39" s="116" customFormat="1" ht="35.25" hidden="1" customHeight="1" x14ac:dyDescent="0.2">
      <c r="B531" s="116" t="e">
        <f t="shared" si="145"/>
        <v>#N/A</v>
      </c>
      <c r="F531" s="218" t="s">
        <v>2305</v>
      </c>
      <c r="G531" s="73"/>
      <c r="H531" s="40" t="s">
        <v>1379</v>
      </c>
      <c r="I531" s="65" t="s">
        <v>3824</v>
      </c>
      <c r="J531" s="32"/>
      <c r="K531" s="40"/>
      <c r="L531" s="362"/>
      <c r="M531" s="40"/>
      <c r="N531" s="367"/>
      <c r="O531" s="33" t="s">
        <v>3224</v>
      </c>
      <c r="P531" s="32">
        <v>2015</v>
      </c>
      <c r="Q531" s="40"/>
      <c r="R531" s="40"/>
      <c r="S531" s="40"/>
      <c r="T531" s="32" t="s">
        <v>12</v>
      </c>
      <c r="U531" s="253">
        <v>2361312163</v>
      </c>
      <c r="V531" s="68"/>
      <c r="W531" s="61"/>
      <c r="X531" s="206" t="str">
        <f t="shared" si="158"/>
        <v>4.13.02</v>
      </c>
      <c r="Y531" s="207" t="str">
        <f t="shared" si="146"/>
        <v>JEMBATAN</v>
      </c>
      <c r="Z531" s="207">
        <f t="shared" si="147"/>
        <v>50</v>
      </c>
      <c r="AA531" s="233">
        <f t="shared" si="148"/>
        <v>47226243.060000002</v>
      </c>
      <c r="AB531" s="208"/>
      <c r="AC531" s="233">
        <f t="shared" si="149"/>
        <v>0</v>
      </c>
      <c r="AD531" s="233"/>
      <c r="AE531" s="233">
        <f t="shared" si="151"/>
        <v>47226243.060000002</v>
      </c>
      <c r="AF531" s="233">
        <f t="shared" si="152"/>
        <v>47226243.060000002</v>
      </c>
      <c r="AG531" s="233">
        <f t="shared" si="153"/>
        <v>47226243.060000002</v>
      </c>
      <c r="AH531" s="238">
        <f t="shared" si="154"/>
        <v>47226243.060000002</v>
      </c>
      <c r="AI531" s="238">
        <f t="shared" si="155"/>
        <v>188904972.24000001</v>
      </c>
      <c r="AJ531" s="261">
        <f t="shared" si="156"/>
        <v>2015</v>
      </c>
      <c r="AK531" s="233">
        <f t="shared" si="157"/>
        <v>2172407190.7600002</v>
      </c>
    </row>
    <row r="532" spans="1:39" s="116" customFormat="1" ht="35.25" hidden="1" customHeight="1" x14ac:dyDescent="0.2">
      <c r="B532" s="116" t="e">
        <f t="shared" si="145"/>
        <v>#N/A</v>
      </c>
      <c r="F532" s="218" t="s">
        <v>2305</v>
      </c>
      <c r="G532" s="73"/>
      <c r="H532" s="40" t="s">
        <v>1380</v>
      </c>
      <c r="I532" s="65" t="s">
        <v>3824</v>
      </c>
      <c r="J532" s="32"/>
      <c r="K532" s="40"/>
      <c r="L532" s="362"/>
      <c r="M532" s="40"/>
      <c r="N532" s="367"/>
      <c r="O532" s="33" t="s">
        <v>3225</v>
      </c>
      <c r="P532" s="32">
        <v>2015</v>
      </c>
      <c r="Q532" s="40"/>
      <c r="R532" s="40"/>
      <c r="S532" s="40"/>
      <c r="T532" s="32" t="s">
        <v>12</v>
      </c>
      <c r="U532" s="253">
        <f>1860987898-5355233.8</f>
        <v>1855632664.2</v>
      </c>
      <c r="V532" s="68"/>
      <c r="W532" s="61"/>
      <c r="X532" s="206" t="str">
        <f t="shared" si="158"/>
        <v>4.13.02</v>
      </c>
      <c r="Y532" s="207" t="str">
        <f t="shared" si="146"/>
        <v>JEMBATAN</v>
      </c>
      <c r="Z532" s="207">
        <f t="shared" si="147"/>
        <v>50</v>
      </c>
      <c r="AA532" s="233">
        <f t="shared" si="148"/>
        <v>37112653.083999999</v>
      </c>
      <c r="AB532" s="208"/>
      <c r="AC532" s="233">
        <f t="shared" si="149"/>
        <v>0</v>
      </c>
      <c r="AD532" s="233"/>
      <c r="AE532" s="233">
        <f t="shared" si="151"/>
        <v>37112653.083999999</v>
      </c>
      <c r="AF532" s="233">
        <f t="shared" si="152"/>
        <v>37112653.083999999</v>
      </c>
      <c r="AG532" s="233">
        <f t="shared" si="153"/>
        <v>37112653.083999999</v>
      </c>
      <c r="AH532" s="238">
        <f t="shared" si="154"/>
        <v>37112653.083999999</v>
      </c>
      <c r="AI532" s="238">
        <f t="shared" si="155"/>
        <v>148450612.336</v>
      </c>
      <c r="AJ532" s="261">
        <f t="shared" si="156"/>
        <v>2015</v>
      </c>
      <c r="AK532" s="233">
        <f t="shared" si="157"/>
        <v>1707182051.8640001</v>
      </c>
    </row>
    <row r="533" spans="1:39" s="116" customFormat="1" ht="35.25" hidden="1" customHeight="1" x14ac:dyDescent="0.2">
      <c r="B533" s="116" t="e">
        <f t="shared" si="145"/>
        <v>#N/A</v>
      </c>
      <c r="F533" s="218" t="s">
        <v>2304</v>
      </c>
      <c r="G533" s="73"/>
      <c r="H533" s="40" t="s">
        <v>1381</v>
      </c>
      <c r="I533" s="65" t="s">
        <v>2494</v>
      </c>
      <c r="J533" s="32"/>
      <c r="K533" s="40"/>
      <c r="L533" s="362"/>
      <c r="M533" s="40"/>
      <c r="N533" s="367"/>
      <c r="O533" s="33" t="s">
        <v>3194</v>
      </c>
      <c r="P533" s="32">
        <v>2015</v>
      </c>
      <c r="Q533" s="40"/>
      <c r="R533" s="40"/>
      <c r="S533" s="40"/>
      <c r="T533" s="32" t="s">
        <v>12</v>
      </c>
      <c r="U533" s="253">
        <f>2088761220-5355233.8</f>
        <v>2083405986.2</v>
      </c>
      <c r="V533" s="68"/>
      <c r="W533" s="61"/>
      <c r="X533" s="206" t="str">
        <f t="shared" si="158"/>
        <v>4.13.01</v>
      </c>
      <c r="Y533" s="207" t="str">
        <f t="shared" si="146"/>
        <v>JALAN</v>
      </c>
      <c r="Z533" s="207">
        <f t="shared" si="147"/>
        <v>10</v>
      </c>
      <c r="AA533" s="233">
        <f t="shared" si="148"/>
        <v>208340597.62</v>
      </c>
      <c r="AB533" s="208"/>
      <c r="AC533" s="233">
        <f t="shared" si="149"/>
        <v>0</v>
      </c>
      <c r="AD533" s="233"/>
      <c r="AE533" s="233">
        <f t="shared" si="151"/>
        <v>208340597.62</v>
      </c>
      <c r="AF533" s="233">
        <f t="shared" si="152"/>
        <v>208340597.62</v>
      </c>
      <c r="AG533" s="233">
        <f t="shared" si="153"/>
        <v>208340597.62</v>
      </c>
      <c r="AH533" s="238">
        <f t="shared" si="154"/>
        <v>208340597.62</v>
      </c>
      <c r="AI533" s="238">
        <f t="shared" si="155"/>
        <v>833362390.48000002</v>
      </c>
      <c r="AJ533" s="261">
        <f t="shared" si="156"/>
        <v>2015</v>
      </c>
      <c r="AK533" s="233">
        <f t="shared" si="157"/>
        <v>1250043595.72</v>
      </c>
    </row>
    <row r="534" spans="1:39" s="116" customFormat="1" ht="35.25" hidden="1" customHeight="1" x14ac:dyDescent="0.2">
      <c r="A534" s="116">
        <v>279</v>
      </c>
      <c r="B534" s="116" t="str">
        <f t="shared" si="145"/>
        <v>TALONTAM - BANJAR BENAI</v>
      </c>
      <c r="D534" s="116">
        <v>2</v>
      </c>
      <c r="E534" s="116" t="str">
        <f>A534&amp;"."&amp;D534</f>
        <v>279.2</v>
      </c>
      <c r="F534" s="218" t="s">
        <v>2305</v>
      </c>
      <c r="G534" s="73"/>
      <c r="H534" s="40" t="s">
        <v>1382</v>
      </c>
      <c r="I534" s="65" t="s">
        <v>2494</v>
      </c>
      <c r="J534" s="32"/>
      <c r="K534" s="40"/>
      <c r="L534" s="362"/>
      <c r="M534" s="40"/>
      <c r="N534" s="367"/>
      <c r="O534" s="72" t="s">
        <v>499</v>
      </c>
      <c r="P534" s="32">
        <v>2015</v>
      </c>
      <c r="Q534" s="40"/>
      <c r="R534" s="40"/>
      <c r="S534" s="40"/>
      <c r="T534" s="32" t="s">
        <v>12</v>
      </c>
      <c r="U534" s="253">
        <f>2276247480+73570500</f>
        <v>2349817980</v>
      </c>
      <c r="V534" s="68"/>
      <c r="W534" s="61"/>
      <c r="X534" s="206" t="str">
        <f t="shared" si="158"/>
        <v>4.13.02</v>
      </c>
      <c r="Y534" s="207" t="str">
        <f t="shared" si="146"/>
        <v>JEMBATAN</v>
      </c>
      <c r="Z534" s="207">
        <f t="shared" si="147"/>
        <v>50</v>
      </c>
      <c r="AA534" s="233">
        <f t="shared" si="148"/>
        <v>46996359.399999999</v>
      </c>
      <c r="AB534" s="208"/>
      <c r="AC534" s="233">
        <f t="shared" si="149"/>
        <v>0</v>
      </c>
      <c r="AD534" s="233"/>
      <c r="AE534" s="233">
        <f t="shared" si="151"/>
        <v>46996359.399999999</v>
      </c>
      <c r="AF534" s="233">
        <f t="shared" si="152"/>
        <v>46996359.399999999</v>
      </c>
      <c r="AG534" s="233">
        <f t="shared" si="153"/>
        <v>46996359.399999999</v>
      </c>
      <c r="AH534" s="238">
        <f t="shared" si="154"/>
        <v>46996359.399999999</v>
      </c>
      <c r="AI534" s="238">
        <f t="shared" si="155"/>
        <v>187985437.59999999</v>
      </c>
      <c r="AJ534" s="261">
        <f t="shared" si="156"/>
        <v>2015</v>
      </c>
      <c r="AK534" s="233">
        <f t="shared" si="157"/>
        <v>2161832542.4000001</v>
      </c>
      <c r="AM534" s="116" t="s">
        <v>4245</v>
      </c>
    </row>
    <row r="535" spans="1:39" s="116" customFormat="1" ht="35.25" hidden="1" customHeight="1" x14ac:dyDescent="0.2">
      <c r="A535" s="116">
        <v>191</v>
      </c>
      <c r="B535" s="116" t="str">
        <f t="shared" si="145"/>
        <v>LOGAS - MUDIK ULO</v>
      </c>
      <c r="D535" s="116">
        <v>1</v>
      </c>
      <c r="E535" s="1" t="str">
        <f>A535&amp;"."&amp;D535</f>
        <v>191.1</v>
      </c>
      <c r="F535" s="218" t="s">
        <v>2305</v>
      </c>
      <c r="G535" s="73"/>
      <c r="H535" s="40" t="s">
        <v>1383</v>
      </c>
      <c r="I535" s="65" t="s">
        <v>2494</v>
      </c>
      <c r="J535" s="32"/>
      <c r="K535" s="40"/>
      <c r="L535" s="362"/>
      <c r="M535" s="40"/>
      <c r="N535" s="367"/>
      <c r="O535" s="33" t="s">
        <v>3226</v>
      </c>
      <c r="P535" s="32">
        <v>2015</v>
      </c>
      <c r="Q535" s="40"/>
      <c r="R535" s="40"/>
      <c r="S535" s="40"/>
      <c r="T535" s="32" t="s">
        <v>12</v>
      </c>
      <c r="U535" s="253">
        <v>247494064</v>
      </c>
      <c r="V535" s="68"/>
      <c r="W535" s="61"/>
      <c r="X535" s="206" t="str">
        <f t="shared" si="158"/>
        <v>4.13.02</v>
      </c>
      <c r="Y535" s="207" t="str">
        <f t="shared" si="146"/>
        <v>JEMBATAN</v>
      </c>
      <c r="Z535" s="207">
        <f t="shared" si="147"/>
        <v>50</v>
      </c>
      <c r="AA535" s="233">
        <f t="shared" si="148"/>
        <v>4949881.08</v>
      </c>
      <c r="AB535" s="208"/>
      <c r="AC535" s="233">
        <f t="shared" si="149"/>
        <v>0</v>
      </c>
      <c r="AD535" s="233"/>
      <c r="AE535" s="233">
        <f t="shared" si="151"/>
        <v>4949881.08</v>
      </c>
      <c r="AF535" s="233">
        <f t="shared" si="152"/>
        <v>4949881.08</v>
      </c>
      <c r="AG535" s="233">
        <f t="shared" si="153"/>
        <v>4949881.08</v>
      </c>
      <c r="AH535" s="238">
        <f t="shared" si="154"/>
        <v>4949881.08</v>
      </c>
      <c r="AI535" s="238">
        <f t="shared" si="155"/>
        <v>19799524.32</v>
      </c>
      <c r="AJ535" s="261">
        <f t="shared" si="156"/>
        <v>2015</v>
      </c>
      <c r="AK535" s="233">
        <f t="shared" si="157"/>
        <v>227694539.68000001</v>
      </c>
    </row>
    <row r="536" spans="1:39" s="116" customFormat="1" ht="35.25" hidden="1" customHeight="1" x14ac:dyDescent="0.2">
      <c r="B536" s="116" t="e">
        <f t="shared" si="145"/>
        <v>#N/A</v>
      </c>
      <c r="F536" s="218" t="s">
        <v>2305</v>
      </c>
      <c r="G536" s="73"/>
      <c r="H536" s="40" t="s">
        <v>1384</v>
      </c>
      <c r="I536" s="65" t="s">
        <v>2494</v>
      </c>
      <c r="J536" s="32"/>
      <c r="K536" s="40"/>
      <c r="L536" s="362"/>
      <c r="M536" s="40"/>
      <c r="N536" s="367"/>
      <c r="O536" s="33" t="s">
        <v>3227</v>
      </c>
      <c r="P536" s="32">
        <v>2015</v>
      </c>
      <c r="Q536" s="40"/>
      <c r="R536" s="40"/>
      <c r="S536" s="40"/>
      <c r="T536" s="32" t="s">
        <v>12</v>
      </c>
      <c r="U536" s="253">
        <v>2801026132</v>
      </c>
      <c r="V536" s="68"/>
      <c r="W536" s="61"/>
      <c r="X536" s="206" t="str">
        <f t="shared" si="158"/>
        <v>4.13.02</v>
      </c>
      <c r="Y536" s="207" t="str">
        <f t="shared" si="146"/>
        <v>JEMBATAN</v>
      </c>
      <c r="Z536" s="207">
        <f t="shared" si="147"/>
        <v>50</v>
      </c>
      <c r="AA536" s="233">
        <f t="shared" si="148"/>
        <v>56020522.439999998</v>
      </c>
      <c r="AB536" s="208"/>
      <c r="AC536" s="233">
        <f t="shared" si="149"/>
        <v>0</v>
      </c>
      <c r="AD536" s="233"/>
      <c r="AE536" s="233">
        <f t="shared" si="151"/>
        <v>56020522.439999998</v>
      </c>
      <c r="AF536" s="233">
        <f t="shared" si="152"/>
        <v>56020522.439999998</v>
      </c>
      <c r="AG536" s="233">
        <f t="shared" si="153"/>
        <v>56020522.439999998</v>
      </c>
      <c r="AH536" s="238">
        <f t="shared" si="154"/>
        <v>56020522.439999998</v>
      </c>
      <c r="AI536" s="238">
        <f t="shared" si="155"/>
        <v>224082089.75999999</v>
      </c>
      <c r="AJ536" s="261">
        <f t="shared" si="156"/>
        <v>2015</v>
      </c>
      <c r="AK536" s="233">
        <f t="shared" si="157"/>
        <v>2576944042.2399998</v>
      </c>
    </row>
    <row r="537" spans="1:39" s="116" customFormat="1" ht="35.25" hidden="1" customHeight="1" x14ac:dyDescent="0.2">
      <c r="B537" s="116" t="e">
        <f t="shared" si="145"/>
        <v>#N/A</v>
      </c>
      <c r="F537" s="218" t="s">
        <v>2305</v>
      </c>
      <c r="G537" s="73"/>
      <c r="H537" s="40" t="s">
        <v>1385</v>
      </c>
      <c r="I537" s="65" t="s">
        <v>2494</v>
      </c>
      <c r="J537" s="32"/>
      <c r="K537" s="40"/>
      <c r="L537" s="362"/>
      <c r="M537" s="40"/>
      <c r="N537" s="367"/>
      <c r="O537" s="33" t="s">
        <v>3228</v>
      </c>
      <c r="P537" s="32">
        <v>2015</v>
      </c>
      <c r="Q537" s="40"/>
      <c r="R537" s="40"/>
      <c r="S537" s="40"/>
      <c r="T537" s="32" t="s">
        <v>12</v>
      </c>
      <c r="U537" s="253">
        <v>2023879506</v>
      </c>
      <c r="V537" s="68"/>
      <c r="W537" s="61"/>
      <c r="X537" s="206" t="str">
        <f t="shared" si="158"/>
        <v>4.13.02</v>
      </c>
      <c r="Y537" s="207" t="str">
        <f t="shared" si="146"/>
        <v>JEMBATAN</v>
      </c>
      <c r="Z537" s="207">
        <f t="shared" si="147"/>
        <v>50</v>
      </c>
      <c r="AA537" s="233">
        <f t="shared" si="148"/>
        <v>40477589.920000002</v>
      </c>
      <c r="AB537" s="208"/>
      <c r="AC537" s="233">
        <f t="shared" si="149"/>
        <v>0</v>
      </c>
      <c r="AD537" s="233"/>
      <c r="AE537" s="233">
        <f t="shared" si="151"/>
        <v>40477589.920000002</v>
      </c>
      <c r="AF537" s="233">
        <f t="shared" si="152"/>
        <v>40477589.920000002</v>
      </c>
      <c r="AG537" s="233">
        <f t="shared" si="153"/>
        <v>40477589.920000002</v>
      </c>
      <c r="AH537" s="238">
        <f t="shared" si="154"/>
        <v>40477589.920000002</v>
      </c>
      <c r="AI537" s="238">
        <f t="shared" si="155"/>
        <v>161910359.68000001</v>
      </c>
      <c r="AJ537" s="261">
        <f t="shared" si="156"/>
        <v>2015</v>
      </c>
      <c r="AK537" s="233">
        <f t="shared" si="157"/>
        <v>1861969146.3199999</v>
      </c>
    </row>
    <row r="538" spans="1:39" s="116" customFormat="1" ht="35.25" hidden="1" customHeight="1" x14ac:dyDescent="0.2">
      <c r="B538" s="116" t="e">
        <f t="shared" si="145"/>
        <v>#N/A</v>
      </c>
      <c r="F538" s="218" t="s">
        <v>2304</v>
      </c>
      <c r="G538" s="73"/>
      <c r="H538" s="40" t="s">
        <v>1387</v>
      </c>
      <c r="I538" s="65" t="s">
        <v>2494</v>
      </c>
      <c r="J538" s="32"/>
      <c r="K538" s="40"/>
      <c r="L538" s="362"/>
      <c r="M538" s="40"/>
      <c r="N538" s="367"/>
      <c r="O538" s="33" t="s">
        <v>3229</v>
      </c>
      <c r="P538" s="32">
        <v>2015</v>
      </c>
      <c r="Q538" s="40"/>
      <c r="R538" s="40"/>
      <c r="S538" s="40"/>
      <c r="T538" s="32" t="s">
        <v>12</v>
      </c>
      <c r="U538" s="253">
        <f>4916071236.9644+197237500</f>
        <v>5113308736.9644003</v>
      </c>
      <c r="V538" s="68"/>
      <c r="W538" s="61"/>
      <c r="X538" s="206" t="str">
        <f t="shared" si="158"/>
        <v>4.13.01</v>
      </c>
      <c r="Y538" s="207" t="str">
        <f t="shared" si="146"/>
        <v>JALAN</v>
      </c>
      <c r="Z538" s="207">
        <f t="shared" si="147"/>
        <v>10</v>
      </c>
      <c r="AA538" s="233">
        <f t="shared" si="148"/>
        <v>511330872.69644004</v>
      </c>
      <c r="AB538" s="208"/>
      <c r="AC538" s="233">
        <f t="shared" si="149"/>
        <v>0</v>
      </c>
      <c r="AD538" s="233"/>
      <c r="AE538" s="233">
        <f t="shared" si="151"/>
        <v>511330872.69644004</v>
      </c>
      <c r="AF538" s="233">
        <f t="shared" si="152"/>
        <v>511330872.69644004</v>
      </c>
      <c r="AG538" s="233">
        <f t="shared" si="153"/>
        <v>511330872.69644004</v>
      </c>
      <c r="AH538" s="238">
        <f t="shared" si="154"/>
        <v>511330872.69644004</v>
      </c>
      <c r="AI538" s="238">
        <f t="shared" si="155"/>
        <v>2045323490.7857602</v>
      </c>
      <c r="AJ538" s="261">
        <f t="shared" si="156"/>
        <v>2015</v>
      </c>
      <c r="AK538" s="233">
        <f t="shared" si="157"/>
        <v>3067985246.1786404</v>
      </c>
    </row>
    <row r="539" spans="1:39" s="116" customFormat="1" ht="35.25" hidden="1" customHeight="1" x14ac:dyDescent="0.2">
      <c r="A539" s="116">
        <v>258</v>
      </c>
      <c r="B539" s="116" t="str">
        <f t="shared" si="145"/>
        <v>LEPAU GADING - PANGEAN</v>
      </c>
      <c r="D539" s="116">
        <v>3</v>
      </c>
      <c r="E539" s="116" t="str">
        <f>A539&amp;"."&amp;D539</f>
        <v>258.3</v>
      </c>
      <c r="F539" s="218" t="s">
        <v>2304</v>
      </c>
      <c r="G539" s="73"/>
      <c r="H539" s="40" t="s">
        <v>1389</v>
      </c>
      <c r="I539" s="65" t="s">
        <v>2494</v>
      </c>
      <c r="J539" s="32"/>
      <c r="K539" s="40"/>
      <c r="L539" s="362"/>
      <c r="M539" s="40"/>
      <c r="N539" s="367"/>
      <c r="O539" s="72" t="s">
        <v>518</v>
      </c>
      <c r="P539" s="32">
        <v>2015</v>
      </c>
      <c r="Q539" s="40"/>
      <c r="R539" s="40"/>
      <c r="S539" s="40"/>
      <c r="T539" s="32" t="s">
        <v>12</v>
      </c>
      <c r="U539" s="253">
        <v>4424469137.1017532</v>
      </c>
      <c r="V539" s="68"/>
      <c r="W539" s="61"/>
      <c r="X539" s="206" t="str">
        <f t="shared" si="158"/>
        <v>4.13.01</v>
      </c>
      <c r="Y539" s="207" t="str">
        <f t="shared" si="146"/>
        <v>JALAN</v>
      </c>
      <c r="Z539" s="207">
        <f t="shared" si="147"/>
        <v>10</v>
      </c>
      <c r="AA539" s="233">
        <f t="shared" si="148"/>
        <v>442446912.71017534</v>
      </c>
      <c r="AB539" s="208"/>
      <c r="AC539" s="233">
        <f t="shared" si="149"/>
        <v>0</v>
      </c>
      <c r="AD539" s="233"/>
      <c r="AE539" s="233">
        <f t="shared" si="151"/>
        <v>442446912.71017534</v>
      </c>
      <c r="AF539" s="233">
        <f t="shared" si="152"/>
        <v>442446912.71017534</v>
      </c>
      <c r="AG539" s="233">
        <f t="shared" si="153"/>
        <v>442446912.71017534</v>
      </c>
      <c r="AH539" s="238">
        <f t="shared" si="154"/>
        <v>442446912.71017534</v>
      </c>
      <c r="AI539" s="238">
        <f t="shared" si="155"/>
        <v>1769787650.8407013</v>
      </c>
      <c r="AJ539" s="261">
        <f t="shared" si="156"/>
        <v>2015</v>
      </c>
      <c r="AK539" s="233">
        <f t="shared" si="157"/>
        <v>2654681486.2610521</v>
      </c>
      <c r="AM539" s="116" t="s">
        <v>4245</v>
      </c>
    </row>
    <row r="540" spans="1:39" s="116" customFormat="1" ht="35.25" hidden="1" customHeight="1" x14ac:dyDescent="0.2">
      <c r="B540" s="116" t="e">
        <f t="shared" si="145"/>
        <v>#N/A</v>
      </c>
      <c r="F540" s="218" t="s">
        <v>2304</v>
      </c>
      <c r="G540" s="73"/>
      <c r="H540" s="40" t="s">
        <v>1390</v>
      </c>
      <c r="I540" s="65" t="s">
        <v>2494</v>
      </c>
      <c r="J540" s="32"/>
      <c r="K540" s="40"/>
      <c r="L540" s="362"/>
      <c r="M540" s="40"/>
      <c r="N540" s="367"/>
      <c r="O540" s="33" t="s">
        <v>3230</v>
      </c>
      <c r="P540" s="32">
        <v>2015</v>
      </c>
      <c r="Q540" s="40"/>
      <c r="R540" s="40"/>
      <c r="S540" s="40"/>
      <c r="T540" s="32" t="s">
        <v>12</v>
      </c>
      <c r="U540" s="253">
        <v>194299755</v>
      </c>
      <c r="V540" s="68"/>
      <c r="W540" s="61"/>
      <c r="X540" s="206" t="str">
        <f t="shared" si="158"/>
        <v>4.13.01</v>
      </c>
      <c r="Y540" s="207" t="str">
        <f t="shared" si="146"/>
        <v>JALAN</v>
      </c>
      <c r="Z540" s="207">
        <f t="shared" si="147"/>
        <v>10</v>
      </c>
      <c r="AA540" s="233">
        <f t="shared" si="148"/>
        <v>19429974.5</v>
      </c>
      <c r="AB540" s="208"/>
      <c r="AC540" s="233">
        <f t="shared" si="149"/>
        <v>0</v>
      </c>
      <c r="AD540" s="233"/>
      <c r="AE540" s="233">
        <f t="shared" si="151"/>
        <v>19429974.5</v>
      </c>
      <c r="AF540" s="233">
        <f t="shared" si="152"/>
        <v>19429974.5</v>
      </c>
      <c r="AG540" s="233">
        <f t="shared" si="153"/>
        <v>19429974.5</v>
      </c>
      <c r="AH540" s="238">
        <f t="shared" si="154"/>
        <v>19429974.5</v>
      </c>
      <c r="AI540" s="238">
        <f t="shared" si="155"/>
        <v>77719898</v>
      </c>
      <c r="AJ540" s="261">
        <f t="shared" si="156"/>
        <v>2015</v>
      </c>
      <c r="AK540" s="233">
        <f t="shared" si="157"/>
        <v>116579857</v>
      </c>
    </row>
    <row r="541" spans="1:39" s="116" customFormat="1" ht="35.25" hidden="1" customHeight="1" x14ac:dyDescent="0.2">
      <c r="A541" s="116">
        <v>4</v>
      </c>
      <c r="B541" s="116" t="str">
        <f t="shared" si="145"/>
        <v>SENTAJO - MUARA LANGSAT</v>
      </c>
      <c r="D541" s="116">
        <v>8</v>
      </c>
      <c r="E541" s="120" t="str">
        <f>A541&amp;"."&amp;D541</f>
        <v>4.8</v>
      </c>
      <c r="F541" s="218" t="s">
        <v>2305</v>
      </c>
      <c r="G541" s="73"/>
      <c r="H541" s="40" t="s">
        <v>1391</v>
      </c>
      <c r="I541" s="65" t="s">
        <v>2494</v>
      </c>
      <c r="J541" s="32"/>
      <c r="K541" s="40"/>
      <c r="L541" s="362"/>
      <c r="M541" s="40"/>
      <c r="N541" s="367"/>
      <c r="O541" s="72" t="s">
        <v>619</v>
      </c>
      <c r="P541" s="32">
        <v>2015</v>
      </c>
      <c r="Q541" s="40"/>
      <c r="R541" s="40"/>
      <c r="S541" s="40"/>
      <c r="T541" s="32" t="s">
        <v>12</v>
      </c>
      <c r="U541" s="253">
        <v>187607827</v>
      </c>
      <c r="V541" s="68"/>
      <c r="W541" s="61"/>
      <c r="X541" s="206" t="str">
        <f t="shared" si="158"/>
        <v>4.13.02</v>
      </c>
      <c r="Y541" s="207" t="str">
        <f t="shared" si="146"/>
        <v>JEMBATAN</v>
      </c>
      <c r="Z541" s="207">
        <f t="shared" si="147"/>
        <v>50</v>
      </c>
      <c r="AA541" s="233">
        <f t="shared" si="148"/>
        <v>3752156.34</v>
      </c>
      <c r="AB541" s="208"/>
      <c r="AC541" s="233">
        <f t="shared" si="149"/>
        <v>0</v>
      </c>
      <c r="AD541" s="233"/>
      <c r="AE541" s="233">
        <f t="shared" si="151"/>
        <v>3752156.34</v>
      </c>
      <c r="AF541" s="233">
        <f t="shared" si="152"/>
        <v>3752156.34</v>
      </c>
      <c r="AG541" s="233">
        <f t="shared" si="153"/>
        <v>3752156.34</v>
      </c>
      <c r="AH541" s="238">
        <f t="shared" si="154"/>
        <v>3752156.34</v>
      </c>
      <c r="AI541" s="238">
        <f t="shared" si="155"/>
        <v>15008625.359999999</v>
      </c>
      <c r="AJ541" s="261">
        <f t="shared" si="156"/>
        <v>2015</v>
      </c>
      <c r="AK541" s="233">
        <f t="shared" si="157"/>
        <v>172599201.63999999</v>
      </c>
      <c r="AM541" s="116" t="s">
        <v>4245</v>
      </c>
    </row>
    <row r="542" spans="1:39" s="116" customFormat="1" ht="35.25" hidden="1" customHeight="1" x14ac:dyDescent="0.2">
      <c r="B542" s="116" t="e">
        <f t="shared" si="145"/>
        <v>#N/A</v>
      </c>
      <c r="F542" s="218" t="s">
        <v>2304</v>
      </c>
      <c r="G542" s="73"/>
      <c r="H542" s="40" t="s">
        <v>1392</v>
      </c>
      <c r="I542" s="65" t="s">
        <v>2494</v>
      </c>
      <c r="J542" s="32"/>
      <c r="K542" s="40"/>
      <c r="L542" s="362"/>
      <c r="M542" s="40"/>
      <c r="N542" s="367"/>
      <c r="O542" s="33" t="s">
        <v>3113</v>
      </c>
      <c r="P542" s="32">
        <v>2015</v>
      </c>
      <c r="Q542" s="40"/>
      <c r="R542" s="40"/>
      <c r="S542" s="40"/>
      <c r="T542" s="32" t="s">
        <v>12</v>
      </c>
      <c r="U542" s="253">
        <v>1976709313</v>
      </c>
      <c r="V542" s="68"/>
      <c r="W542" s="61"/>
      <c r="X542" s="206" t="str">
        <f t="shared" si="158"/>
        <v>4.13.01</v>
      </c>
      <c r="Y542" s="207" t="str">
        <f t="shared" si="146"/>
        <v>JALAN</v>
      </c>
      <c r="Z542" s="207">
        <f t="shared" si="147"/>
        <v>10</v>
      </c>
      <c r="AA542" s="233">
        <f t="shared" si="148"/>
        <v>197670930.30000001</v>
      </c>
      <c r="AB542" s="208"/>
      <c r="AC542" s="233">
        <f t="shared" si="149"/>
        <v>0</v>
      </c>
      <c r="AD542" s="233"/>
      <c r="AE542" s="233">
        <f t="shared" si="151"/>
        <v>197670930.30000001</v>
      </c>
      <c r="AF542" s="233">
        <f t="shared" si="152"/>
        <v>197670930.30000001</v>
      </c>
      <c r="AG542" s="233">
        <f t="shared" si="153"/>
        <v>197670930.30000001</v>
      </c>
      <c r="AH542" s="238">
        <f t="shared" si="154"/>
        <v>197670930.30000001</v>
      </c>
      <c r="AI542" s="238">
        <f t="shared" si="155"/>
        <v>790683721.20000005</v>
      </c>
      <c r="AJ542" s="261">
        <f t="shared" si="156"/>
        <v>2015</v>
      </c>
      <c r="AK542" s="233">
        <f t="shared" si="157"/>
        <v>1186025591.8</v>
      </c>
    </row>
    <row r="543" spans="1:39" s="116" customFormat="1" ht="35.25" hidden="1" customHeight="1" x14ac:dyDescent="0.2">
      <c r="B543" s="116" t="e">
        <f t="shared" si="145"/>
        <v>#N/A</v>
      </c>
      <c r="F543" s="218" t="s">
        <v>2304</v>
      </c>
      <c r="G543" s="73"/>
      <c r="H543" s="40" t="s">
        <v>1393</v>
      </c>
      <c r="I543" s="65" t="s">
        <v>2494</v>
      </c>
      <c r="J543" s="32"/>
      <c r="K543" s="40"/>
      <c r="L543" s="362"/>
      <c r="M543" s="40"/>
      <c r="N543" s="367"/>
      <c r="O543" s="247" t="s">
        <v>3231</v>
      </c>
      <c r="P543" s="32">
        <v>2015</v>
      </c>
      <c r="Q543" s="40"/>
      <c r="R543" s="40"/>
      <c r="S543" s="40"/>
      <c r="T543" s="32" t="s">
        <v>12</v>
      </c>
      <c r="U543" s="253">
        <v>1945562821</v>
      </c>
      <c r="V543" s="68"/>
      <c r="W543" s="61"/>
      <c r="X543" s="206" t="str">
        <f t="shared" si="158"/>
        <v>4.13.01</v>
      </c>
      <c r="Y543" s="207" t="str">
        <f t="shared" si="146"/>
        <v>JALAN</v>
      </c>
      <c r="Z543" s="207">
        <f t="shared" si="147"/>
        <v>10</v>
      </c>
      <c r="AA543" s="233">
        <f t="shared" si="148"/>
        <v>194556281.09999999</v>
      </c>
      <c r="AB543" s="208"/>
      <c r="AC543" s="233">
        <f t="shared" si="149"/>
        <v>0</v>
      </c>
      <c r="AD543" s="233"/>
      <c r="AE543" s="233">
        <f t="shared" si="151"/>
        <v>194556281.09999999</v>
      </c>
      <c r="AF543" s="233">
        <f t="shared" si="152"/>
        <v>194556281.09999999</v>
      </c>
      <c r="AG543" s="233">
        <f t="shared" si="153"/>
        <v>194556281.09999999</v>
      </c>
      <c r="AH543" s="238">
        <f t="shared" si="154"/>
        <v>194556281.09999999</v>
      </c>
      <c r="AI543" s="238">
        <f t="shared" si="155"/>
        <v>778225124.39999998</v>
      </c>
      <c r="AJ543" s="261">
        <f t="shared" si="156"/>
        <v>2015</v>
      </c>
      <c r="AK543" s="233">
        <f t="shared" si="157"/>
        <v>1167337696.5999999</v>
      </c>
    </row>
    <row r="544" spans="1:39" s="116" customFormat="1" ht="35.25" hidden="1" customHeight="1" x14ac:dyDescent="0.2">
      <c r="B544" s="116" t="e">
        <f t="shared" ref="B544:B601" si="159">VLOOKUP(A544,RUAS,2,0)</f>
        <v>#N/A</v>
      </c>
      <c r="F544" s="218" t="s">
        <v>2304</v>
      </c>
      <c r="G544" s="73"/>
      <c r="H544" s="40" t="s">
        <v>1394</v>
      </c>
      <c r="I544" s="65" t="s">
        <v>2494</v>
      </c>
      <c r="J544" s="32"/>
      <c r="K544" s="40"/>
      <c r="L544" s="362"/>
      <c r="M544" s="40"/>
      <c r="N544" s="367"/>
      <c r="O544" s="33" t="s">
        <v>3232</v>
      </c>
      <c r="P544" s="32">
        <v>2015</v>
      </c>
      <c r="Q544" s="40"/>
      <c r="R544" s="40"/>
      <c r="S544" s="40"/>
      <c r="T544" s="32" t="s">
        <v>12</v>
      </c>
      <c r="U544" s="253">
        <v>194273678</v>
      </c>
      <c r="V544" s="68"/>
      <c r="W544" s="61"/>
      <c r="X544" s="206" t="str">
        <f t="shared" si="158"/>
        <v>4.13.01</v>
      </c>
      <c r="Y544" s="207" t="str">
        <f t="shared" ref="Y544:Y601" si="160">VLOOKUP(X544,kelompok,2,0)</f>
        <v>JALAN</v>
      </c>
      <c r="Z544" s="207">
        <f t="shared" ref="Z544:Z601" si="161">VLOOKUP(X544,MASAMANFAAT,4,0)</f>
        <v>10</v>
      </c>
      <c r="AA544" s="233">
        <f t="shared" si="148"/>
        <v>19427366.800000001</v>
      </c>
      <c r="AB544" s="208"/>
      <c r="AC544" s="233">
        <f t="shared" si="149"/>
        <v>0</v>
      </c>
      <c r="AD544" s="233"/>
      <c r="AE544" s="233">
        <f t="shared" si="151"/>
        <v>19427366.800000001</v>
      </c>
      <c r="AF544" s="233">
        <f t="shared" si="152"/>
        <v>19427366.800000001</v>
      </c>
      <c r="AG544" s="233">
        <f t="shared" si="153"/>
        <v>19427366.800000001</v>
      </c>
      <c r="AH544" s="238">
        <f t="shared" si="154"/>
        <v>19427366.800000001</v>
      </c>
      <c r="AI544" s="238">
        <f t="shared" si="155"/>
        <v>77709467.200000003</v>
      </c>
      <c r="AJ544" s="261">
        <f t="shared" si="156"/>
        <v>2015</v>
      </c>
      <c r="AK544" s="233">
        <f t="shared" si="157"/>
        <v>116564210.8</v>
      </c>
    </row>
    <row r="545" spans="1:39" s="116" customFormat="1" ht="35.25" hidden="1" customHeight="1" x14ac:dyDescent="0.2">
      <c r="B545" s="116" t="e">
        <f t="shared" si="159"/>
        <v>#N/A</v>
      </c>
      <c r="F545" s="218" t="s">
        <v>2304</v>
      </c>
      <c r="G545" s="73"/>
      <c r="H545" s="40" t="s">
        <v>1395</v>
      </c>
      <c r="I545" s="65" t="s">
        <v>2494</v>
      </c>
      <c r="J545" s="32"/>
      <c r="K545" s="40"/>
      <c r="L545" s="362"/>
      <c r="M545" s="40"/>
      <c r="N545" s="367"/>
      <c r="O545" s="33" t="s">
        <v>3233</v>
      </c>
      <c r="P545" s="32">
        <v>2015</v>
      </c>
      <c r="Q545" s="40"/>
      <c r="R545" s="40"/>
      <c r="S545" s="40"/>
      <c r="T545" s="32" t="s">
        <v>12</v>
      </c>
      <c r="U545" s="253">
        <v>469897527</v>
      </c>
      <c r="V545" s="68"/>
      <c r="W545" s="61"/>
      <c r="X545" s="206" t="str">
        <f t="shared" si="158"/>
        <v>4.13.01</v>
      </c>
      <c r="Y545" s="207" t="str">
        <f t="shared" si="160"/>
        <v>JALAN</v>
      </c>
      <c r="Z545" s="207">
        <f t="shared" si="161"/>
        <v>10</v>
      </c>
      <c r="AA545" s="233">
        <f t="shared" ref="AA545:AA601" si="162">(U545-10)/Z545</f>
        <v>46989751.700000003</v>
      </c>
      <c r="AB545" s="208"/>
      <c r="AC545" s="233">
        <f t="shared" ref="AC545:AC601" si="163">IF(AB545&gt;Z545,U545-10,AA545*AB545)</f>
        <v>0</v>
      </c>
      <c r="AD545" s="233"/>
      <c r="AE545" s="233">
        <f t="shared" ref="AE545:AE581" si="164">IF(U545-10=AC545+AD545,0,AA545)</f>
        <v>46989751.700000003</v>
      </c>
      <c r="AF545" s="233">
        <f t="shared" ref="AF545:AF601" si="165">IF(U545-10=AC545+AD545+AE545,0,AA545)</f>
        <v>46989751.700000003</v>
      </c>
      <c r="AG545" s="233">
        <f t="shared" ref="AG545:AG601" si="166">IF(U545-10=AD545+AE545+AF545+AC545,0,AA545)</f>
        <v>46989751.700000003</v>
      </c>
      <c r="AH545" s="238">
        <f t="shared" ref="AH545:AH601" si="167">IF(U545-10=AD545+AE545+AF545+AC545+AG545,0,AA545)</f>
        <v>46989751.700000003</v>
      </c>
      <c r="AI545" s="238">
        <f t="shared" ref="AI545:AI601" si="168">SUM(AC545:AH545)</f>
        <v>187959006.80000001</v>
      </c>
      <c r="AJ545" s="261">
        <f t="shared" ref="AJ545:AJ601" si="169">P545</f>
        <v>2015</v>
      </c>
      <c r="AK545" s="233">
        <f t="shared" ref="AK545:AK601" si="170">U545-AI545</f>
        <v>281938520.19999999</v>
      </c>
    </row>
    <row r="546" spans="1:39" s="116" customFormat="1" ht="35.25" hidden="1" customHeight="1" x14ac:dyDescent="0.2">
      <c r="A546" s="116">
        <v>52</v>
      </c>
      <c r="B546" s="116" t="str">
        <f t="shared" si="159"/>
        <v>TERMINAL - SENTAJO</v>
      </c>
      <c r="D546" s="116">
        <v>4</v>
      </c>
      <c r="E546" s="120" t="str">
        <f>A546&amp;"."&amp;D546</f>
        <v>52.4</v>
      </c>
      <c r="F546" s="218" t="s">
        <v>2304</v>
      </c>
      <c r="G546" s="73"/>
      <c r="H546" s="40" t="s">
        <v>1396</v>
      </c>
      <c r="I546" s="65" t="s">
        <v>2494</v>
      </c>
      <c r="J546" s="32"/>
      <c r="K546" s="40"/>
      <c r="L546" s="362"/>
      <c r="M546" s="40"/>
      <c r="N546" s="367"/>
      <c r="O546" s="72" t="s">
        <v>561</v>
      </c>
      <c r="P546" s="32">
        <v>2015</v>
      </c>
      <c r="Q546" s="40"/>
      <c r="R546" s="40"/>
      <c r="S546" s="40"/>
      <c r="T546" s="32" t="s">
        <v>12</v>
      </c>
      <c r="U546" s="253">
        <v>194582579</v>
      </c>
      <c r="V546" s="68"/>
      <c r="W546" s="61"/>
      <c r="X546" s="206" t="str">
        <f t="shared" si="158"/>
        <v>4.13.01</v>
      </c>
      <c r="Y546" s="207" t="str">
        <f t="shared" si="160"/>
        <v>JALAN</v>
      </c>
      <c r="Z546" s="207">
        <f t="shared" si="161"/>
        <v>10</v>
      </c>
      <c r="AA546" s="233">
        <f t="shared" si="162"/>
        <v>19458256.899999999</v>
      </c>
      <c r="AB546" s="208"/>
      <c r="AC546" s="233">
        <f t="shared" si="163"/>
        <v>0</v>
      </c>
      <c r="AD546" s="233"/>
      <c r="AE546" s="233">
        <f t="shared" si="164"/>
        <v>19458256.899999999</v>
      </c>
      <c r="AF546" s="233">
        <f t="shared" si="165"/>
        <v>19458256.899999999</v>
      </c>
      <c r="AG546" s="233">
        <f t="shared" si="166"/>
        <v>19458256.899999999</v>
      </c>
      <c r="AH546" s="238">
        <f t="shared" si="167"/>
        <v>19458256.899999999</v>
      </c>
      <c r="AI546" s="238">
        <f t="shared" si="168"/>
        <v>77833027.599999994</v>
      </c>
      <c r="AJ546" s="261">
        <f t="shared" si="169"/>
        <v>2015</v>
      </c>
      <c r="AK546" s="233">
        <f t="shared" si="170"/>
        <v>116749551.40000001</v>
      </c>
      <c r="AM546" s="116" t="s">
        <v>4245</v>
      </c>
    </row>
    <row r="547" spans="1:39" s="116" customFormat="1" ht="35.25" hidden="1" customHeight="1" x14ac:dyDescent="0.2">
      <c r="B547" s="116" t="e">
        <f t="shared" si="159"/>
        <v>#N/A</v>
      </c>
      <c r="F547" s="218" t="s">
        <v>2304</v>
      </c>
      <c r="G547" s="73"/>
      <c r="H547" s="40" t="s">
        <v>1397</v>
      </c>
      <c r="I547" s="65" t="s">
        <v>2494</v>
      </c>
      <c r="J547" s="32"/>
      <c r="K547" s="40"/>
      <c r="L547" s="362"/>
      <c r="M547" s="40"/>
      <c r="N547" s="367"/>
      <c r="O547" s="33" t="s">
        <v>3234</v>
      </c>
      <c r="P547" s="32">
        <v>2015</v>
      </c>
      <c r="Q547" s="40"/>
      <c r="R547" s="40"/>
      <c r="S547" s="40"/>
      <c r="T547" s="32" t="s">
        <v>12</v>
      </c>
      <c r="U547" s="253">
        <v>194304755</v>
      </c>
      <c r="V547" s="68"/>
      <c r="W547" s="61"/>
      <c r="X547" s="206" t="str">
        <f t="shared" si="158"/>
        <v>4.13.01</v>
      </c>
      <c r="Y547" s="207" t="str">
        <f t="shared" si="160"/>
        <v>JALAN</v>
      </c>
      <c r="Z547" s="207">
        <f t="shared" si="161"/>
        <v>10</v>
      </c>
      <c r="AA547" s="233">
        <f t="shared" si="162"/>
        <v>19430474.5</v>
      </c>
      <c r="AB547" s="208"/>
      <c r="AC547" s="233">
        <f t="shared" si="163"/>
        <v>0</v>
      </c>
      <c r="AD547" s="233"/>
      <c r="AE547" s="233">
        <f t="shared" si="164"/>
        <v>19430474.5</v>
      </c>
      <c r="AF547" s="233">
        <f t="shared" si="165"/>
        <v>19430474.5</v>
      </c>
      <c r="AG547" s="233">
        <f t="shared" si="166"/>
        <v>19430474.5</v>
      </c>
      <c r="AH547" s="238">
        <f t="shared" si="167"/>
        <v>19430474.5</v>
      </c>
      <c r="AI547" s="238">
        <f t="shared" si="168"/>
        <v>77721898</v>
      </c>
      <c r="AJ547" s="261">
        <f t="shared" si="169"/>
        <v>2015</v>
      </c>
      <c r="AK547" s="233">
        <f t="shared" si="170"/>
        <v>116582857</v>
      </c>
    </row>
    <row r="548" spans="1:39" s="116" customFormat="1" ht="35.25" hidden="1" customHeight="1" x14ac:dyDescent="0.2">
      <c r="B548" s="116" t="e">
        <f t="shared" si="159"/>
        <v>#N/A</v>
      </c>
      <c r="F548" s="218" t="s">
        <v>2304</v>
      </c>
      <c r="G548" s="73"/>
      <c r="H548" s="40" t="s">
        <v>1398</v>
      </c>
      <c r="I548" s="65" t="s">
        <v>2494</v>
      </c>
      <c r="J548" s="32"/>
      <c r="K548" s="40"/>
      <c r="L548" s="362"/>
      <c r="M548" s="40"/>
      <c r="N548" s="367"/>
      <c r="O548" s="33" t="s">
        <v>3235</v>
      </c>
      <c r="P548" s="32">
        <v>2015</v>
      </c>
      <c r="Q548" s="40"/>
      <c r="R548" s="40"/>
      <c r="S548" s="40"/>
      <c r="T548" s="32" t="s">
        <v>12</v>
      </c>
      <c r="U548" s="253">
        <v>194194110</v>
      </c>
      <c r="V548" s="68"/>
      <c r="W548" s="61"/>
      <c r="X548" s="206" t="str">
        <f t="shared" si="158"/>
        <v>4.13.01</v>
      </c>
      <c r="Y548" s="207" t="str">
        <f t="shared" si="160"/>
        <v>JALAN</v>
      </c>
      <c r="Z548" s="207">
        <f t="shared" si="161"/>
        <v>10</v>
      </c>
      <c r="AA548" s="233">
        <f t="shared" si="162"/>
        <v>19419410</v>
      </c>
      <c r="AB548" s="208"/>
      <c r="AC548" s="233">
        <f t="shared" si="163"/>
        <v>0</v>
      </c>
      <c r="AD548" s="233"/>
      <c r="AE548" s="233">
        <f t="shared" si="164"/>
        <v>19419410</v>
      </c>
      <c r="AF548" s="233">
        <f t="shared" si="165"/>
        <v>19419410</v>
      </c>
      <c r="AG548" s="233">
        <f t="shared" si="166"/>
        <v>19419410</v>
      </c>
      <c r="AH548" s="238">
        <f t="shared" si="167"/>
        <v>19419410</v>
      </c>
      <c r="AI548" s="238">
        <f t="shared" si="168"/>
        <v>77677640</v>
      </c>
      <c r="AJ548" s="261">
        <f t="shared" si="169"/>
        <v>2015</v>
      </c>
      <c r="AK548" s="233">
        <f t="shared" si="170"/>
        <v>116516470</v>
      </c>
    </row>
    <row r="549" spans="1:39" s="116" customFormat="1" ht="35.25" hidden="1" customHeight="1" x14ac:dyDescent="0.2">
      <c r="B549" s="116" t="e">
        <f t="shared" si="159"/>
        <v>#N/A</v>
      </c>
      <c r="F549" s="218" t="s">
        <v>2305</v>
      </c>
      <c r="G549" s="73"/>
      <c r="H549" s="40" t="s">
        <v>1399</v>
      </c>
      <c r="I549" s="65" t="s">
        <v>3828</v>
      </c>
      <c r="J549" s="32"/>
      <c r="K549" s="40"/>
      <c r="L549" s="362"/>
      <c r="M549" s="40"/>
      <c r="N549" s="367"/>
      <c r="O549" s="33" t="s">
        <v>3236</v>
      </c>
      <c r="P549" s="32">
        <v>2015</v>
      </c>
      <c r="Q549" s="40"/>
      <c r="R549" s="40"/>
      <c r="S549" s="40"/>
      <c r="T549" s="32" t="s">
        <v>12</v>
      </c>
      <c r="U549" s="253">
        <v>191295534</v>
      </c>
      <c r="V549" s="68"/>
      <c r="W549" s="61"/>
      <c r="X549" s="206" t="str">
        <f t="shared" si="158"/>
        <v>4.13.02</v>
      </c>
      <c r="Y549" s="207" t="str">
        <f t="shared" si="160"/>
        <v>JEMBATAN</v>
      </c>
      <c r="Z549" s="207">
        <f t="shared" si="161"/>
        <v>50</v>
      </c>
      <c r="AA549" s="233">
        <f t="shared" si="162"/>
        <v>3825910.48</v>
      </c>
      <c r="AB549" s="208"/>
      <c r="AC549" s="233">
        <f t="shared" si="163"/>
        <v>0</v>
      </c>
      <c r="AD549" s="233"/>
      <c r="AE549" s="233">
        <f t="shared" si="164"/>
        <v>3825910.48</v>
      </c>
      <c r="AF549" s="233">
        <f t="shared" si="165"/>
        <v>3825910.48</v>
      </c>
      <c r="AG549" s="233">
        <f t="shared" si="166"/>
        <v>3825910.48</v>
      </c>
      <c r="AH549" s="238">
        <f t="shared" si="167"/>
        <v>3825910.48</v>
      </c>
      <c r="AI549" s="238">
        <f t="shared" si="168"/>
        <v>15303641.92</v>
      </c>
      <c r="AJ549" s="261">
        <f t="shared" si="169"/>
        <v>2015</v>
      </c>
      <c r="AK549" s="233">
        <f t="shared" si="170"/>
        <v>175991892.08000001</v>
      </c>
    </row>
    <row r="550" spans="1:39" s="116" customFormat="1" ht="35.25" hidden="1" customHeight="1" x14ac:dyDescent="0.2">
      <c r="A550" s="116">
        <v>80</v>
      </c>
      <c r="B550" s="116" t="str">
        <f t="shared" si="159"/>
        <v>JL. MENUJU LOKASI TPA - JK. RUAS 004/004</v>
      </c>
      <c r="D550" s="116">
        <v>1</v>
      </c>
      <c r="E550" s="120" t="str">
        <f>A550&amp;"."&amp;D550</f>
        <v>80.1</v>
      </c>
      <c r="F550" s="218" t="s">
        <v>2305</v>
      </c>
      <c r="G550" s="73"/>
      <c r="H550" s="40" t="s">
        <v>1400</v>
      </c>
      <c r="I550" s="65" t="s">
        <v>2494</v>
      </c>
      <c r="J550" s="32"/>
      <c r="K550" s="40"/>
      <c r="L550" s="362">
        <v>1700</v>
      </c>
      <c r="M550" s="40">
        <v>10</v>
      </c>
      <c r="N550" s="367">
        <v>17000</v>
      </c>
      <c r="O550" s="33" t="s">
        <v>3237</v>
      </c>
      <c r="P550" s="32">
        <v>2015</v>
      </c>
      <c r="Q550" s="40"/>
      <c r="R550" s="40"/>
      <c r="S550" s="40"/>
      <c r="T550" s="32" t="s">
        <v>12</v>
      </c>
      <c r="U550" s="253">
        <v>195476550</v>
      </c>
      <c r="V550" s="68"/>
      <c r="W550" s="61"/>
      <c r="X550" s="206" t="str">
        <f t="shared" si="158"/>
        <v>4.13.02</v>
      </c>
      <c r="Y550" s="207" t="str">
        <f t="shared" si="160"/>
        <v>JEMBATAN</v>
      </c>
      <c r="Z550" s="207">
        <f t="shared" si="161"/>
        <v>50</v>
      </c>
      <c r="AA550" s="233">
        <f t="shared" si="162"/>
        <v>3909530.8</v>
      </c>
      <c r="AB550" s="208"/>
      <c r="AC550" s="233">
        <f t="shared" si="163"/>
        <v>0</v>
      </c>
      <c r="AD550" s="233"/>
      <c r="AE550" s="233">
        <f t="shared" si="164"/>
        <v>3909530.8</v>
      </c>
      <c r="AF550" s="233">
        <f t="shared" si="165"/>
        <v>3909530.8</v>
      </c>
      <c r="AG550" s="233">
        <f t="shared" si="166"/>
        <v>3909530.8</v>
      </c>
      <c r="AH550" s="238">
        <f t="shared" si="167"/>
        <v>3909530.8</v>
      </c>
      <c r="AI550" s="238">
        <f t="shared" si="168"/>
        <v>15638123.199999999</v>
      </c>
      <c r="AJ550" s="261">
        <f t="shared" si="169"/>
        <v>2015</v>
      </c>
      <c r="AK550" s="233">
        <f t="shared" si="170"/>
        <v>179838426.80000001</v>
      </c>
    </row>
    <row r="551" spans="1:39" s="116" customFormat="1" ht="35.25" hidden="1" customHeight="1" x14ac:dyDescent="0.2">
      <c r="A551" s="116">
        <v>17</v>
      </c>
      <c r="B551" s="116" t="str">
        <f t="shared" si="159"/>
        <v>SINAMBEK - STADION OLAHRAGA</v>
      </c>
      <c r="D551" s="116">
        <v>4</v>
      </c>
      <c r="E551" s="120" t="str">
        <f>A551&amp;"."&amp;D551</f>
        <v>17.4</v>
      </c>
      <c r="F551" s="218" t="s">
        <v>2305</v>
      </c>
      <c r="G551" s="73"/>
      <c r="H551" s="40" t="s">
        <v>1401</v>
      </c>
      <c r="I551" s="65" t="s">
        <v>2494</v>
      </c>
      <c r="J551" s="32"/>
      <c r="K551" s="40"/>
      <c r="L551" s="362"/>
      <c r="M551" s="40"/>
      <c r="N551" s="367"/>
      <c r="O551" s="33" t="s">
        <v>3238</v>
      </c>
      <c r="P551" s="32">
        <v>2015</v>
      </c>
      <c r="Q551" s="40"/>
      <c r="R551" s="40"/>
      <c r="S551" s="40"/>
      <c r="T551" s="32" t="s">
        <v>12</v>
      </c>
      <c r="U551" s="253">
        <v>193212995</v>
      </c>
      <c r="V551" s="68"/>
      <c r="W551" s="61"/>
      <c r="X551" s="206" t="str">
        <f t="shared" si="158"/>
        <v>4.13.02</v>
      </c>
      <c r="Y551" s="207" t="str">
        <f t="shared" si="160"/>
        <v>JEMBATAN</v>
      </c>
      <c r="Z551" s="207">
        <f t="shared" si="161"/>
        <v>50</v>
      </c>
      <c r="AA551" s="233">
        <f t="shared" si="162"/>
        <v>3864259.7</v>
      </c>
      <c r="AB551" s="208"/>
      <c r="AC551" s="233">
        <f t="shared" si="163"/>
        <v>0</v>
      </c>
      <c r="AD551" s="233"/>
      <c r="AE551" s="233">
        <f t="shared" si="164"/>
        <v>3864259.7</v>
      </c>
      <c r="AF551" s="233">
        <f t="shared" si="165"/>
        <v>3864259.7</v>
      </c>
      <c r="AG551" s="233">
        <f t="shared" si="166"/>
        <v>3864259.7</v>
      </c>
      <c r="AH551" s="238">
        <f t="shared" si="167"/>
        <v>3864259.7</v>
      </c>
      <c r="AI551" s="238">
        <f t="shared" si="168"/>
        <v>15457038.800000001</v>
      </c>
      <c r="AJ551" s="261">
        <f t="shared" si="169"/>
        <v>2015</v>
      </c>
      <c r="AK551" s="233">
        <f t="shared" si="170"/>
        <v>177755956.19999999</v>
      </c>
      <c r="AM551" s="116" t="s">
        <v>4245</v>
      </c>
    </row>
    <row r="552" spans="1:39" s="116" customFormat="1" ht="35.25" hidden="1" customHeight="1" x14ac:dyDescent="0.2">
      <c r="A552" s="116">
        <v>235</v>
      </c>
      <c r="B552" s="116" t="str">
        <f t="shared" si="159"/>
        <v>AIR MAS - SEI. KERANJI</v>
      </c>
      <c r="D552" s="116">
        <v>3</v>
      </c>
      <c r="E552" s="116" t="str">
        <f>A552&amp;"."&amp;D552</f>
        <v>235.3</v>
      </c>
      <c r="F552" s="218" t="s">
        <v>2305</v>
      </c>
      <c r="G552" s="73"/>
      <c r="H552" s="40" t="s">
        <v>1402</v>
      </c>
      <c r="I552" s="65" t="s">
        <v>2494</v>
      </c>
      <c r="J552" s="32"/>
      <c r="K552" s="40"/>
      <c r="L552" s="362"/>
      <c r="M552" s="40"/>
      <c r="N552" s="367"/>
      <c r="O552" s="72" t="s">
        <v>3239</v>
      </c>
      <c r="P552" s="32">
        <v>2015</v>
      </c>
      <c r="Q552" s="40"/>
      <c r="R552" s="40"/>
      <c r="S552" s="40"/>
      <c r="T552" s="32" t="s">
        <v>12</v>
      </c>
      <c r="U552" s="253">
        <v>193532549</v>
      </c>
      <c r="V552" s="68"/>
      <c r="W552" s="61"/>
      <c r="X552" s="206" t="str">
        <f t="shared" si="158"/>
        <v>4.13.02</v>
      </c>
      <c r="Y552" s="207" t="str">
        <f t="shared" si="160"/>
        <v>JEMBATAN</v>
      </c>
      <c r="Z552" s="207">
        <f t="shared" si="161"/>
        <v>50</v>
      </c>
      <c r="AA552" s="233">
        <f t="shared" si="162"/>
        <v>3870650.78</v>
      </c>
      <c r="AB552" s="208"/>
      <c r="AC552" s="233">
        <f t="shared" si="163"/>
        <v>0</v>
      </c>
      <c r="AD552" s="233"/>
      <c r="AE552" s="233">
        <f t="shared" si="164"/>
        <v>3870650.78</v>
      </c>
      <c r="AF552" s="233">
        <f t="shared" si="165"/>
        <v>3870650.78</v>
      </c>
      <c r="AG552" s="233">
        <f t="shared" si="166"/>
        <v>3870650.78</v>
      </c>
      <c r="AH552" s="238">
        <f t="shared" si="167"/>
        <v>3870650.78</v>
      </c>
      <c r="AI552" s="238">
        <f t="shared" si="168"/>
        <v>15482603.119999999</v>
      </c>
      <c r="AJ552" s="261">
        <f t="shared" si="169"/>
        <v>2015</v>
      </c>
      <c r="AK552" s="233">
        <f t="shared" si="170"/>
        <v>178049945.88</v>
      </c>
      <c r="AM552" s="116" t="s">
        <v>4245</v>
      </c>
    </row>
    <row r="553" spans="1:39" s="116" customFormat="1" ht="35.25" hidden="1" customHeight="1" x14ac:dyDescent="0.2">
      <c r="B553" s="116" t="e">
        <f t="shared" si="159"/>
        <v>#N/A</v>
      </c>
      <c r="F553" s="218" t="s">
        <v>2305</v>
      </c>
      <c r="G553" s="73"/>
      <c r="H553" s="40" t="s">
        <v>1403</v>
      </c>
      <c r="I553" s="65" t="s">
        <v>2494</v>
      </c>
      <c r="J553" s="32"/>
      <c r="K553" s="40"/>
      <c r="L553" s="362"/>
      <c r="M553" s="40"/>
      <c r="N553" s="367"/>
      <c r="O553" s="72" t="s">
        <v>3201</v>
      </c>
      <c r="P553" s="32">
        <v>2015</v>
      </c>
      <c r="Q553" s="40"/>
      <c r="R553" s="40"/>
      <c r="S553" s="40"/>
      <c r="T553" s="32" t="s">
        <v>12</v>
      </c>
      <c r="U553" s="253">
        <v>192293177</v>
      </c>
      <c r="V553" s="68"/>
      <c r="W553" s="61"/>
      <c r="X553" s="206" t="str">
        <f t="shared" si="158"/>
        <v>4.13.02</v>
      </c>
      <c r="Y553" s="207" t="str">
        <f t="shared" si="160"/>
        <v>JEMBATAN</v>
      </c>
      <c r="Z553" s="207">
        <f t="shared" si="161"/>
        <v>50</v>
      </c>
      <c r="AA553" s="233">
        <f t="shared" si="162"/>
        <v>3845863.34</v>
      </c>
      <c r="AB553" s="208"/>
      <c r="AC553" s="233">
        <f t="shared" si="163"/>
        <v>0</v>
      </c>
      <c r="AD553" s="233"/>
      <c r="AE553" s="233">
        <f t="shared" si="164"/>
        <v>3845863.34</v>
      </c>
      <c r="AF553" s="233">
        <f t="shared" si="165"/>
        <v>3845863.34</v>
      </c>
      <c r="AG553" s="233">
        <f t="shared" si="166"/>
        <v>3845863.34</v>
      </c>
      <c r="AH553" s="238">
        <f t="shared" si="167"/>
        <v>3845863.34</v>
      </c>
      <c r="AI553" s="238">
        <f t="shared" si="168"/>
        <v>15383453.359999999</v>
      </c>
      <c r="AJ553" s="261">
        <f t="shared" si="169"/>
        <v>2015</v>
      </c>
      <c r="AK553" s="233">
        <f t="shared" si="170"/>
        <v>176909723.63999999</v>
      </c>
    </row>
    <row r="554" spans="1:39" s="116" customFormat="1" ht="35.25" hidden="1" customHeight="1" x14ac:dyDescent="0.2">
      <c r="B554" s="116" t="e">
        <f t="shared" si="159"/>
        <v>#N/A</v>
      </c>
      <c r="F554" s="218" t="s">
        <v>2305</v>
      </c>
      <c r="G554" s="73"/>
      <c r="H554" s="40" t="s">
        <v>1405</v>
      </c>
      <c r="I554" s="65" t="s">
        <v>2494</v>
      </c>
      <c r="J554" s="32"/>
      <c r="K554" s="40"/>
      <c r="L554" s="362"/>
      <c r="M554" s="40"/>
      <c r="N554" s="367"/>
      <c r="O554" s="33" t="s">
        <v>3101</v>
      </c>
      <c r="P554" s="32">
        <v>2015</v>
      </c>
      <c r="Q554" s="40"/>
      <c r="R554" s="40"/>
      <c r="S554" s="40"/>
      <c r="T554" s="32" t="s">
        <v>12</v>
      </c>
      <c r="U554" s="253">
        <v>121648894</v>
      </c>
      <c r="V554" s="68"/>
      <c r="W554" s="61"/>
      <c r="X554" s="206" t="str">
        <f t="shared" si="158"/>
        <v>4.13.02</v>
      </c>
      <c r="Y554" s="207" t="str">
        <f t="shared" si="160"/>
        <v>JEMBATAN</v>
      </c>
      <c r="Z554" s="207">
        <f t="shared" si="161"/>
        <v>50</v>
      </c>
      <c r="AA554" s="233">
        <f t="shared" si="162"/>
        <v>2432977.6800000002</v>
      </c>
      <c r="AB554" s="208"/>
      <c r="AC554" s="233">
        <f t="shared" si="163"/>
        <v>0</v>
      </c>
      <c r="AD554" s="233"/>
      <c r="AE554" s="233">
        <f t="shared" si="164"/>
        <v>2432977.6800000002</v>
      </c>
      <c r="AF554" s="233">
        <f t="shared" si="165"/>
        <v>2432977.6800000002</v>
      </c>
      <c r="AG554" s="233">
        <f t="shared" si="166"/>
        <v>2432977.6800000002</v>
      </c>
      <c r="AH554" s="238">
        <f t="shared" si="167"/>
        <v>2432977.6800000002</v>
      </c>
      <c r="AI554" s="238">
        <f t="shared" si="168"/>
        <v>9731910.7200000007</v>
      </c>
      <c r="AJ554" s="261">
        <f t="shared" si="169"/>
        <v>2015</v>
      </c>
      <c r="AK554" s="233">
        <f t="shared" si="170"/>
        <v>111916983.28</v>
      </c>
    </row>
    <row r="555" spans="1:39" s="116" customFormat="1" ht="35.25" hidden="1" customHeight="1" x14ac:dyDescent="0.2">
      <c r="B555" s="116" t="e">
        <f t="shared" si="159"/>
        <v>#N/A</v>
      </c>
      <c r="F555" s="218" t="s">
        <v>2304</v>
      </c>
      <c r="G555" s="73"/>
      <c r="H555" s="40" t="s">
        <v>1406</v>
      </c>
      <c r="I555" s="65" t="s">
        <v>2494</v>
      </c>
      <c r="J555" s="32"/>
      <c r="K555" s="40"/>
      <c r="L555" s="362"/>
      <c r="M555" s="40"/>
      <c r="N555" s="367"/>
      <c r="O555" s="72" t="s">
        <v>3240</v>
      </c>
      <c r="P555" s="32">
        <v>2015</v>
      </c>
      <c r="Q555" s="40"/>
      <c r="R555" s="40"/>
      <c r="S555" s="40"/>
      <c r="T555" s="32" t="s">
        <v>12</v>
      </c>
      <c r="U555" s="253">
        <v>1945177628</v>
      </c>
      <c r="V555" s="68"/>
      <c r="W555" s="61"/>
      <c r="X555" s="206" t="str">
        <f t="shared" si="158"/>
        <v>4.13.01</v>
      </c>
      <c r="Y555" s="207" t="str">
        <f t="shared" si="160"/>
        <v>JALAN</v>
      </c>
      <c r="Z555" s="207">
        <f t="shared" si="161"/>
        <v>10</v>
      </c>
      <c r="AA555" s="233">
        <f t="shared" si="162"/>
        <v>194517761.80000001</v>
      </c>
      <c r="AB555" s="208"/>
      <c r="AC555" s="233">
        <f t="shared" si="163"/>
        <v>0</v>
      </c>
      <c r="AD555" s="233"/>
      <c r="AE555" s="233">
        <f t="shared" si="164"/>
        <v>194517761.80000001</v>
      </c>
      <c r="AF555" s="233">
        <f t="shared" si="165"/>
        <v>194517761.80000001</v>
      </c>
      <c r="AG555" s="233">
        <f t="shared" si="166"/>
        <v>194517761.80000001</v>
      </c>
      <c r="AH555" s="238">
        <f t="shared" si="167"/>
        <v>194517761.80000001</v>
      </c>
      <c r="AI555" s="238">
        <f t="shared" si="168"/>
        <v>778071047.20000005</v>
      </c>
      <c r="AJ555" s="261">
        <f t="shared" si="169"/>
        <v>2015</v>
      </c>
      <c r="AK555" s="233">
        <f t="shared" si="170"/>
        <v>1167106580.8</v>
      </c>
    </row>
    <row r="556" spans="1:39" s="116" customFormat="1" ht="35.25" hidden="1" customHeight="1" x14ac:dyDescent="0.2">
      <c r="B556" s="116" t="e">
        <f t="shared" si="159"/>
        <v>#N/A</v>
      </c>
      <c r="F556" s="218" t="s">
        <v>2304</v>
      </c>
      <c r="G556" s="73"/>
      <c r="H556" s="40" t="s">
        <v>1407</v>
      </c>
      <c r="I556" s="65" t="s">
        <v>2494</v>
      </c>
      <c r="J556" s="32"/>
      <c r="K556" s="40"/>
      <c r="L556" s="362"/>
      <c r="M556" s="40"/>
      <c r="N556" s="367"/>
      <c r="O556" s="33" t="s">
        <v>3241</v>
      </c>
      <c r="P556" s="32">
        <v>2015</v>
      </c>
      <c r="Q556" s="40"/>
      <c r="R556" s="40"/>
      <c r="S556" s="40"/>
      <c r="T556" s="32" t="s">
        <v>12</v>
      </c>
      <c r="U556" s="253">
        <v>2197200060</v>
      </c>
      <c r="V556" s="68"/>
      <c r="W556" s="61"/>
      <c r="X556" s="206" t="str">
        <f t="shared" si="158"/>
        <v>4.13.01</v>
      </c>
      <c r="Y556" s="207" t="str">
        <f t="shared" si="160"/>
        <v>JALAN</v>
      </c>
      <c r="Z556" s="207">
        <f t="shared" si="161"/>
        <v>10</v>
      </c>
      <c r="AA556" s="233">
        <f t="shared" si="162"/>
        <v>219720005</v>
      </c>
      <c r="AB556" s="208"/>
      <c r="AC556" s="233">
        <f t="shared" si="163"/>
        <v>0</v>
      </c>
      <c r="AD556" s="233"/>
      <c r="AE556" s="233">
        <f t="shared" si="164"/>
        <v>219720005</v>
      </c>
      <c r="AF556" s="233">
        <f t="shared" si="165"/>
        <v>219720005</v>
      </c>
      <c r="AG556" s="233">
        <f t="shared" si="166"/>
        <v>219720005</v>
      </c>
      <c r="AH556" s="238">
        <f t="shared" si="167"/>
        <v>219720005</v>
      </c>
      <c r="AI556" s="238">
        <f t="shared" si="168"/>
        <v>878880020</v>
      </c>
      <c r="AJ556" s="261">
        <f t="shared" si="169"/>
        <v>2015</v>
      </c>
      <c r="AK556" s="233">
        <f t="shared" si="170"/>
        <v>1318320040</v>
      </c>
    </row>
    <row r="557" spans="1:39" s="116" customFormat="1" ht="35.25" hidden="1" customHeight="1" x14ac:dyDescent="0.2">
      <c r="A557" s="116">
        <v>183</v>
      </c>
      <c r="B557" s="116" t="str">
        <f t="shared" si="159"/>
        <v>SUKARAJA - GIRI SAKO</v>
      </c>
      <c r="D557" s="116">
        <v>4</v>
      </c>
      <c r="E557" s="116" t="str">
        <f>A557&amp;"."&amp;D557</f>
        <v>183.4</v>
      </c>
      <c r="F557" s="218" t="s">
        <v>2304</v>
      </c>
      <c r="G557" s="73"/>
      <c r="H557" s="40" t="s">
        <v>1408</v>
      </c>
      <c r="I557" s="65" t="s">
        <v>2494</v>
      </c>
      <c r="J557" s="32"/>
      <c r="K557" s="40"/>
      <c r="L557" s="362"/>
      <c r="M557" s="40"/>
      <c r="N557" s="367"/>
      <c r="O557" s="72" t="s">
        <v>3103</v>
      </c>
      <c r="P557" s="32">
        <v>2015</v>
      </c>
      <c r="Q557" s="40"/>
      <c r="R557" s="40"/>
      <c r="S557" s="40"/>
      <c r="T557" s="32" t="s">
        <v>12</v>
      </c>
      <c r="U557" s="253">
        <v>2122831297</v>
      </c>
      <c r="V557" s="68"/>
      <c r="W557" s="61"/>
      <c r="X557" s="206" t="str">
        <f t="shared" si="158"/>
        <v>4.13.01</v>
      </c>
      <c r="Y557" s="207" t="str">
        <f t="shared" si="160"/>
        <v>JALAN</v>
      </c>
      <c r="Z557" s="207">
        <f t="shared" si="161"/>
        <v>10</v>
      </c>
      <c r="AA557" s="233">
        <f t="shared" si="162"/>
        <v>212283128.69999999</v>
      </c>
      <c r="AB557" s="208"/>
      <c r="AC557" s="233">
        <f t="shared" si="163"/>
        <v>0</v>
      </c>
      <c r="AD557" s="233"/>
      <c r="AE557" s="233">
        <f t="shared" si="164"/>
        <v>212283128.69999999</v>
      </c>
      <c r="AF557" s="233">
        <f t="shared" si="165"/>
        <v>212283128.69999999</v>
      </c>
      <c r="AG557" s="233">
        <f t="shared" si="166"/>
        <v>212283128.69999999</v>
      </c>
      <c r="AH557" s="238">
        <f t="shared" si="167"/>
        <v>212283128.69999999</v>
      </c>
      <c r="AI557" s="238">
        <f t="shared" si="168"/>
        <v>849132514.79999995</v>
      </c>
      <c r="AJ557" s="261">
        <f t="shared" si="169"/>
        <v>2015</v>
      </c>
      <c r="AK557" s="233">
        <f t="shared" si="170"/>
        <v>1273698782.2</v>
      </c>
      <c r="AM557" s="116" t="s">
        <v>4245</v>
      </c>
    </row>
    <row r="558" spans="1:39" s="116" customFormat="1" ht="35.25" hidden="1" customHeight="1" x14ac:dyDescent="0.2">
      <c r="A558" s="116">
        <v>4</v>
      </c>
      <c r="B558" s="116" t="str">
        <f t="shared" si="159"/>
        <v>SENTAJO - MUARA LANGSAT</v>
      </c>
      <c r="D558" s="116">
        <v>9</v>
      </c>
      <c r="E558" s="120" t="str">
        <f>A558&amp;"."&amp;D558</f>
        <v>4.9</v>
      </c>
      <c r="F558" s="218" t="s">
        <v>2304</v>
      </c>
      <c r="G558" s="73"/>
      <c r="H558" s="40" t="s">
        <v>1409</v>
      </c>
      <c r="I558" s="65" t="s">
        <v>2494</v>
      </c>
      <c r="J558" s="32"/>
      <c r="K558" s="40"/>
      <c r="L558" s="362"/>
      <c r="M558" s="40"/>
      <c r="N558" s="367"/>
      <c r="O558" s="72" t="s">
        <v>619</v>
      </c>
      <c r="P558" s="32">
        <v>2015</v>
      </c>
      <c r="Q558" s="40"/>
      <c r="R558" s="40"/>
      <c r="S558" s="40"/>
      <c r="T558" s="32" t="s">
        <v>12</v>
      </c>
      <c r="U558" s="253">
        <f>8384321024-5355233.8</f>
        <v>8378965790.1999998</v>
      </c>
      <c r="V558" s="68"/>
      <c r="W558" s="61"/>
      <c r="X558" s="206" t="str">
        <f t="shared" si="158"/>
        <v>4.13.01</v>
      </c>
      <c r="Y558" s="207" t="str">
        <f t="shared" si="160"/>
        <v>JALAN</v>
      </c>
      <c r="Z558" s="207">
        <f t="shared" si="161"/>
        <v>10</v>
      </c>
      <c r="AA558" s="233">
        <f t="shared" si="162"/>
        <v>837896578.01999998</v>
      </c>
      <c r="AB558" s="208"/>
      <c r="AC558" s="233">
        <f t="shared" si="163"/>
        <v>0</v>
      </c>
      <c r="AD558" s="233"/>
      <c r="AE558" s="233">
        <f t="shared" si="164"/>
        <v>837896578.01999998</v>
      </c>
      <c r="AF558" s="233">
        <f t="shared" si="165"/>
        <v>837896578.01999998</v>
      </c>
      <c r="AG558" s="233">
        <f t="shared" si="166"/>
        <v>837896578.01999998</v>
      </c>
      <c r="AH558" s="238">
        <f t="shared" si="167"/>
        <v>837896578.01999998</v>
      </c>
      <c r="AI558" s="238">
        <f t="shared" si="168"/>
        <v>3351586312.0799999</v>
      </c>
      <c r="AJ558" s="261">
        <f t="shared" si="169"/>
        <v>2015</v>
      </c>
      <c r="AK558" s="233">
        <f t="shared" si="170"/>
        <v>5027379478.1199999</v>
      </c>
      <c r="AM558" s="116" t="s">
        <v>4245</v>
      </c>
    </row>
    <row r="559" spans="1:39" s="116" customFormat="1" ht="35.25" hidden="1" customHeight="1" x14ac:dyDescent="0.2">
      <c r="A559" s="116">
        <v>166</v>
      </c>
      <c r="B559" s="116" t="str">
        <f t="shared" si="159"/>
        <v>PAUH ANGIT - PS. USANG PANGEAN</v>
      </c>
      <c r="D559" s="116">
        <v>2</v>
      </c>
      <c r="E559" s="116" t="str">
        <f>A559&amp;"."&amp;D559</f>
        <v>166.2</v>
      </c>
      <c r="F559" s="218" t="s">
        <v>2304</v>
      </c>
      <c r="G559" s="73"/>
      <c r="H559" s="40" t="s">
        <v>1410</v>
      </c>
      <c r="I559" s="65" t="s">
        <v>2494</v>
      </c>
      <c r="J559" s="32"/>
      <c r="K559" s="40"/>
      <c r="L559" s="362"/>
      <c r="M559" s="40"/>
      <c r="N559" s="367"/>
      <c r="O559" s="72" t="s">
        <v>3084</v>
      </c>
      <c r="P559" s="32">
        <v>2015</v>
      </c>
      <c r="Q559" s="40"/>
      <c r="R559" s="40"/>
      <c r="S559" s="40"/>
      <c r="T559" s="32" t="s">
        <v>12</v>
      </c>
      <c r="U559" s="253">
        <v>2059213886</v>
      </c>
      <c r="V559" s="68"/>
      <c r="W559" s="61"/>
      <c r="X559" s="206" t="str">
        <f t="shared" si="158"/>
        <v>4.13.01</v>
      </c>
      <c r="Y559" s="207" t="str">
        <f t="shared" si="160"/>
        <v>JALAN</v>
      </c>
      <c r="Z559" s="207">
        <f t="shared" si="161"/>
        <v>10</v>
      </c>
      <c r="AA559" s="233">
        <f t="shared" si="162"/>
        <v>205921387.59999999</v>
      </c>
      <c r="AB559" s="208"/>
      <c r="AC559" s="233">
        <f t="shared" si="163"/>
        <v>0</v>
      </c>
      <c r="AD559" s="233"/>
      <c r="AE559" s="233">
        <f t="shared" si="164"/>
        <v>205921387.59999999</v>
      </c>
      <c r="AF559" s="233">
        <f t="shared" si="165"/>
        <v>205921387.59999999</v>
      </c>
      <c r="AG559" s="233">
        <f t="shared" si="166"/>
        <v>205921387.59999999</v>
      </c>
      <c r="AH559" s="238">
        <f t="shared" si="167"/>
        <v>205921387.59999999</v>
      </c>
      <c r="AI559" s="238">
        <f t="shared" si="168"/>
        <v>823685550.39999998</v>
      </c>
      <c r="AJ559" s="261">
        <f t="shared" si="169"/>
        <v>2015</v>
      </c>
      <c r="AK559" s="233">
        <f t="shared" si="170"/>
        <v>1235528335.5999999</v>
      </c>
      <c r="AM559" s="116" t="s">
        <v>4245</v>
      </c>
    </row>
    <row r="560" spans="1:39" s="116" customFormat="1" ht="35.25" hidden="1" customHeight="1" x14ac:dyDescent="0.2">
      <c r="B560" s="116" t="e">
        <f t="shared" si="159"/>
        <v>#N/A</v>
      </c>
      <c r="F560" s="218" t="s">
        <v>2305</v>
      </c>
      <c r="G560" s="73"/>
      <c r="H560" s="40" t="s">
        <v>1412</v>
      </c>
      <c r="I560" s="65" t="s">
        <v>3828</v>
      </c>
      <c r="J560" s="32"/>
      <c r="K560" s="40"/>
      <c r="L560" s="362"/>
      <c r="M560" s="40"/>
      <c r="N560" s="367"/>
      <c r="O560" s="33" t="s">
        <v>3242</v>
      </c>
      <c r="P560" s="32">
        <v>2015</v>
      </c>
      <c r="Q560" s="40"/>
      <c r="R560" s="40"/>
      <c r="S560" s="40"/>
      <c r="T560" s="32" t="s">
        <v>12</v>
      </c>
      <c r="U560" s="253">
        <v>191142383</v>
      </c>
      <c r="V560" s="68"/>
      <c r="W560" s="61"/>
      <c r="X560" s="206" t="str">
        <f t="shared" si="158"/>
        <v>4.13.02</v>
      </c>
      <c r="Y560" s="207" t="str">
        <f t="shared" si="160"/>
        <v>JEMBATAN</v>
      </c>
      <c r="Z560" s="207">
        <f t="shared" si="161"/>
        <v>50</v>
      </c>
      <c r="AA560" s="233">
        <f t="shared" si="162"/>
        <v>3822847.46</v>
      </c>
      <c r="AB560" s="208"/>
      <c r="AC560" s="233">
        <f t="shared" si="163"/>
        <v>0</v>
      </c>
      <c r="AD560" s="233"/>
      <c r="AE560" s="233">
        <f t="shared" si="164"/>
        <v>3822847.46</v>
      </c>
      <c r="AF560" s="233">
        <f t="shared" si="165"/>
        <v>3822847.46</v>
      </c>
      <c r="AG560" s="233">
        <f t="shared" si="166"/>
        <v>3822847.46</v>
      </c>
      <c r="AH560" s="238">
        <f t="shared" si="167"/>
        <v>3822847.46</v>
      </c>
      <c r="AI560" s="238">
        <f t="shared" si="168"/>
        <v>15291389.84</v>
      </c>
      <c r="AJ560" s="261">
        <f t="shared" si="169"/>
        <v>2015</v>
      </c>
      <c r="AK560" s="233">
        <f t="shared" si="170"/>
        <v>175850993.16</v>
      </c>
    </row>
    <row r="561" spans="1:39" s="116" customFormat="1" ht="35.25" hidden="1" customHeight="1" x14ac:dyDescent="0.2">
      <c r="B561" s="116" t="e">
        <f t="shared" si="159"/>
        <v>#N/A</v>
      </c>
      <c r="F561" s="218" t="s">
        <v>2305</v>
      </c>
      <c r="G561" s="73"/>
      <c r="H561" s="40" t="s">
        <v>1413</v>
      </c>
      <c r="I561" s="65" t="s">
        <v>2494</v>
      </c>
      <c r="J561" s="32"/>
      <c r="K561" s="40"/>
      <c r="L561" s="362"/>
      <c r="M561" s="40"/>
      <c r="N561" s="367"/>
      <c r="O561" s="33" t="s">
        <v>3243</v>
      </c>
      <c r="P561" s="32">
        <v>2015</v>
      </c>
      <c r="Q561" s="40"/>
      <c r="R561" s="40"/>
      <c r="S561" s="40"/>
      <c r="T561" s="32" t="s">
        <v>12</v>
      </c>
      <c r="U561" s="253">
        <v>190265603</v>
      </c>
      <c r="V561" s="68"/>
      <c r="W561" s="61"/>
      <c r="X561" s="206" t="str">
        <f t="shared" si="158"/>
        <v>4.13.02</v>
      </c>
      <c r="Y561" s="207" t="str">
        <f t="shared" si="160"/>
        <v>JEMBATAN</v>
      </c>
      <c r="Z561" s="207">
        <f t="shared" si="161"/>
        <v>50</v>
      </c>
      <c r="AA561" s="233">
        <f t="shared" si="162"/>
        <v>3805311.86</v>
      </c>
      <c r="AB561" s="208"/>
      <c r="AC561" s="233">
        <f t="shared" si="163"/>
        <v>0</v>
      </c>
      <c r="AD561" s="233"/>
      <c r="AE561" s="233">
        <f t="shared" si="164"/>
        <v>3805311.86</v>
      </c>
      <c r="AF561" s="233">
        <f t="shared" si="165"/>
        <v>3805311.86</v>
      </c>
      <c r="AG561" s="233">
        <f t="shared" si="166"/>
        <v>3805311.86</v>
      </c>
      <c r="AH561" s="238">
        <f t="shared" si="167"/>
        <v>3805311.86</v>
      </c>
      <c r="AI561" s="238">
        <f t="shared" si="168"/>
        <v>15221247.439999999</v>
      </c>
      <c r="AJ561" s="261">
        <f t="shared" si="169"/>
        <v>2015</v>
      </c>
      <c r="AK561" s="233">
        <f t="shared" si="170"/>
        <v>175044355.56</v>
      </c>
    </row>
    <row r="562" spans="1:39" s="116" customFormat="1" ht="35.25" hidden="1" customHeight="1" x14ac:dyDescent="0.2">
      <c r="B562" s="116" t="e">
        <f t="shared" si="159"/>
        <v>#N/A</v>
      </c>
      <c r="F562" s="218" t="s">
        <v>2304</v>
      </c>
      <c r="G562" s="73"/>
      <c r="H562" s="40" t="s">
        <v>1414</v>
      </c>
      <c r="I562" s="65" t="s">
        <v>2494</v>
      </c>
      <c r="J562" s="32"/>
      <c r="K562" s="40"/>
      <c r="L562" s="362"/>
      <c r="M562" s="40"/>
      <c r="N562" s="367"/>
      <c r="O562" s="33" t="s">
        <v>3244</v>
      </c>
      <c r="P562" s="32">
        <v>2015</v>
      </c>
      <c r="Q562" s="40"/>
      <c r="R562" s="40"/>
      <c r="S562" s="40"/>
      <c r="T562" s="32" t="s">
        <v>12</v>
      </c>
      <c r="U562" s="253">
        <v>741801931</v>
      </c>
      <c r="V562" s="68"/>
      <c r="W562" s="61"/>
      <c r="X562" s="206" t="str">
        <f t="shared" si="158"/>
        <v>4.13.01</v>
      </c>
      <c r="Y562" s="207" t="str">
        <f t="shared" si="160"/>
        <v>JALAN</v>
      </c>
      <c r="Z562" s="207">
        <f t="shared" si="161"/>
        <v>10</v>
      </c>
      <c r="AA562" s="233">
        <f t="shared" si="162"/>
        <v>74180192.099999994</v>
      </c>
      <c r="AB562" s="208"/>
      <c r="AC562" s="233">
        <f t="shared" si="163"/>
        <v>0</v>
      </c>
      <c r="AD562" s="233"/>
      <c r="AE562" s="233">
        <f t="shared" si="164"/>
        <v>74180192.099999994</v>
      </c>
      <c r="AF562" s="233">
        <f t="shared" si="165"/>
        <v>74180192.099999994</v>
      </c>
      <c r="AG562" s="233">
        <f t="shared" si="166"/>
        <v>74180192.099999994</v>
      </c>
      <c r="AH562" s="238">
        <f t="shared" si="167"/>
        <v>74180192.099999994</v>
      </c>
      <c r="AI562" s="238">
        <f t="shared" si="168"/>
        <v>296720768.39999998</v>
      </c>
      <c r="AJ562" s="261">
        <f t="shared" si="169"/>
        <v>2015</v>
      </c>
      <c r="AK562" s="233">
        <f t="shared" si="170"/>
        <v>445081162.60000002</v>
      </c>
    </row>
    <row r="563" spans="1:39" s="116" customFormat="1" ht="35.25" hidden="1" customHeight="1" x14ac:dyDescent="0.2">
      <c r="B563" s="116" t="e">
        <f t="shared" si="159"/>
        <v>#N/A</v>
      </c>
      <c r="F563" s="218" t="s">
        <v>2304</v>
      </c>
      <c r="G563" s="73"/>
      <c r="H563" s="40" t="s">
        <v>1415</v>
      </c>
      <c r="I563" s="65" t="s">
        <v>2494</v>
      </c>
      <c r="J563" s="32"/>
      <c r="K563" s="40"/>
      <c r="L563" s="362"/>
      <c r="M563" s="40"/>
      <c r="N563" s="367"/>
      <c r="O563" s="33" t="s">
        <v>3245</v>
      </c>
      <c r="P563" s="32">
        <v>2015</v>
      </c>
      <c r="Q563" s="40"/>
      <c r="R563" s="40"/>
      <c r="S563" s="40"/>
      <c r="T563" s="32" t="s">
        <v>12</v>
      </c>
      <c r="U563" s="253">
        <v>194535396</v>
      </c>
      <c r="V563" s="68"/>
      <c r="W563" s="61"/>
      <c r="X563" s="206" t="str">
        <f t="shared" si="158"/>
        <v>4.13.01</v>
      </c>
      <c r="Y563" s="207" t="str">
        <f t="shared" si="160"/>
        <v>JALAN</v>
      </c>
      <c r="Z563" s="207">
        <f t="shared" si="161"/>
        <v>10</v>
      </c>
      <c r="AA563" s="233">
        <f t="shared" si="162"/>
        <v>19453538.600000001</v>
      </c>
      <c r="AB563" s="208"/>
      <c r="AC563" s="233">
        <f t="shared" si="163"/>
        <v>0</v>
      </c>
      <c r="AD563" s="233"/>
      <c r="AE563" s="233">
        <f t="shared" si="164"/>
        <v>19453538.600000001</v>
      </c>
      <c r="AF563" s="233">
        <f t="shared" si="165"/>
        <v>19453538.600000001</v>
      </c>
      <c r="AG563" s="233">
        <f t="shared" si="166"/>
        <v>19453538.600000001</v>
      </c>
      <c r="AH563" s="238">
        <f t="shared" si="167"/>
        <v>19453538.600000001</v>
      </c>
      <c r="AI563" s="238">
        <f t="shared" si="168"/>
        <v>77814154.400000006</v>
      </c>
      <c r="AJ563" s="261">
        <f t="shared" si="169"/>
        <v>2015</v>
      </c>
      <c r="AK563" s="233">
        <f t="shared" si="170"/>
        <v>116721241.59999999</v>
      </c>
    </row>
    <row r="564" spans="1:39" s="116" customFormat="1" ht="35.25" hidden="1" customHeight="1" x14ac:dyDescent="0.2">
      <c r="B564" s="116" t="e">
        <f t="shared" si="159"/>
        <v>#N/A</v>
      </c>
      <c r="F564" s="218" t="s">
        <v>2304</v>
      </c>
      <c r="G564" s="73"/>
      <c r="H564" s="40" t="s">
        <v>1416</v>
      </c>
      <c r="I564" s="65" t="s">
        <v>2494</v>
      </c>
      <c r="J564" s="32"/>
      <c r="K564" s="40"/>
      <c r="L564" s="362"/>
      <c r="M564" s="40"/>
      <c r="N564" s="367"/>
      <c r="O564" s="33" t="s">
        <v>2562</v>
      </c>
      <c r="P564" s="32">
        <v>2015</v>
      </c>
      <c r="Q564" s="40"/>
      <c r="R564" s="40"/>
      <c r="S564" s="40"/>
      <c r="T564" s="32" t="s">
        <v>12</v>
      </c>
      <c r="U564" s="253">
        <v>194109943</v>
      </c>
      <c r="V564" s="68"/>
      <c r="W564" s="61"/>
      <c r="X564" s="206" t="str">
        <f t="shared" si="158"/>
        <v>4.13.01</v>
      </c>
      <c r="Y564" s="207" t="str">
        <f t="shared" si="160"/>
        <v>JALAN</v>
      </c>
      <c r="Z564" s="207">
        <f t="shared" si="161"/>
        <v>10</v>
      </c>
      <c r="AA564" s="233">
        <f t="shared" si="162"/>
        <v>19410993.300000001</v>
      </c>
      <c r="AB564" s="208"/>
      <c r="AC564" s="233">
        <f t="shared" si="163"/>
        <v>0</v>
      </c>
      <c r="AD564" s="233"/>
      <c r="AE564" s="233">
        <f t="shared" si="164"/>
        <v>19410993.300000001</v>
      </c>
      <c r="AF564" s="233">
        <f t="shared" si="165"/>
        <v>19410993.300000001</v>
      </c>
      <c r="AG564" s="233">
        <f t="shared" si="166"/>
        <v>19410993.300000001</v>
      </c>
      <c r="AH564" s="238">
        <f t="shared" si="167"/>
        <v>19410993.300000001</v>
      </c>
      <c r="AI564" s="238">
        <f t="shared" si="168"/>
        <v>77643973.200000003</v>
      </c>
      <c r="AJ564" s="261">
        <f t="shared" si="169"/>
        <v>2015</v>
      </c>
      <c r="AK564" s="233">
        <f t="shared" si="170"/>
        <v>116465969.8</v>
      </c>
    </row>
    <row r="565" spans="1:39" s="116" customFormat="1" ht="35.25" hidden="1" customHeight="1" x14ac:dyDescent="0.2">
      <c r="B565" s="116" t="e">
        <f t="shared" si="159"/>
        <v>#N/A</v>
      </c>
      <c r="F565" s="218" t="s">
        <v>2304</v>
      </c>
      <c r="G565" s="73"/>
      <c r="H565" s="40" t="s">
        <v>1417</v>
      </c>
      <c r="I565" s="65" t="s">
        <v>2494</v>
      </c>
      <c r="J565" s="32"/>
      <c r="K565" s="40"/>
      <c r="L565" s="362"/>
      <c r="M565" s="40"/>
      <c r="N565" s="367"/>
      <c r="O565" s="33" t="s">
        <v>3246</v>
      </c>
      <c r="P565" s="32">
        <v>2015</v>
      </c>
      <c r="Q565" s="40"/>
      <c r="R565" s="40"/>
      <c r="S565" s="40"/>
      <c r="T565" s="32" t="s">
        <v>12</v>
      </c>
      <c r="U565" s="253">
        <v>194305774</v>
      </c>
      <c r="V565" s="68"/>
      <c r="W565" s="61"/>
      <c r="X565" s="206" t="str">
        <f t="shared" si="158"/>
        <v>4.13.01</v>
      </c>
      <c r="Y565" s="207" t="str">
        <f t="shared" si="160"/>
        <v>JALAN</v>
      </c>
      <c r="Z565" s="207">
        <f t="shared" si="161"/>
        <v>10</v>
      </c>
      <c r="AA565" s="233">
        <f t="shared" si="162"/>
        <v>19430576.399999999</v>
      </c>
      <c r="AB565" s="208"/>
      <c r="AC565" s="233">
        <f t="shared" si="163"/>
        <v>0</v>
      </c>
      <c r="AD565" s="233"/>
      <c r="AE565" s="233">
        <f t="shared" si="164"/>
        <v>19430576.399999999</v>
      </c>
      <c r="AF565" s="233">
        <f t="shared" si="165"/>
        <v>19430576.399999999</v>
      </c>
      <c r="AG565" s="233">
        <f t="shared" si="166"/>
        <v>19430576.399999999</v>
      </c>
      <c r="AH565" s="238">
        <f t="shared" si="167"/>
        <v>19430576.399999999</v>
      </c>
      <c r="AI565" s="238">
        <f t="shared" si="168"/>
        <v>77722305.599999994</v>
      </c>
      <c r="AJ565" s="261">
        <f t="shared" si="169"/>
        <v>2015</v>
      </c>
      <c r="AK565" s="233">
        <f t="shared" si="170"/>
        <v>116583468.40000001</v>
      </c>
    </row>
    <row r="566" spans="1:39" s="116" customFormat="1" ht="35.25" hidden="1" customHeight="1" x14ac:dyDescent="0.2">
      <c r="B566" s="116" t="e">
        <f t="shared" si="159"/>
        <v>#N/A</v>
      </c>
      <c r="F566" s="218" t="s">
        <v>2304</v>
      </c>
      <c r="G566" s="73"/>
      <c r="H566" s="40" t="s">
        <v>1418</v>
      </c>
      <c r="I566" s="65" t="s">
        <v>2494</v>
      </c>
      <c r="J566" s="32"/>
      <c r="K566" s="40"/>
      <c r="L566" s="362"/>
      <c r="M566" s="40"/>
      <c r="N566" s="367"/>
      <c r="O566" s="33" t="s">
        <v>3247</v>
      </c>
      <c r="P566" s="32">
        <v>2015</v>
      </c>
      <c r="Q566" s="40"/>
      <c r="R566" s="40"/>
      <c r="S566" s="40"/>
      <c r="T566" s="32" t="s">
        <v>12</v>
      </c>
      <c r="U566" s="253">
        <v>192442791</v>
      </c>
      <c r="V566" s="68"/>
      <c r="W566" s="61"/>
      <c r="X566" s="206" t="str">
        <f t="shared" si="158"/>
        <v>4.13.01</v>
      </c>
      <c r="Y566" s="207" t="str">
        <f t="shared" si="160"/>
        <v>JALAN</v>
      </c>
      <c r="Z566" s="207">
        <f t="shared" si="161"/>
        <v>10</v>
      </c>
      <c r="AA566" s="233">
        <f t="shared" si="162"/>
        <v>19244278.100000001</v>
      </c>
      <c r="AB566" s="208"/>
      <c r="AC566" s="233">
        <f t="shared" si="163"/>
        <v>0</v>
      </c>
      <c r="AD566" s="233"/>
      <c r="AE566" s="233">
        <f t="shared" si="164"/>
        <v>19244278.100000001</v>
      </c>
      <c r="AF566" s="233">
        <f t="shared" si="165"/>
        <v>19244278.100000001</v>
      </c>
      <c r="AG566" s="233">
        <f t="shared" si="166"/>
        <v>19244278.100000001</v>
      </c>
      <c r="AH566" s="238">
        <f t="shared" si="167"/>
        <v>19244278.100000001</v>
      </c>
      <c r="AI566" s="238">
        <f t="shared" si="168"/>
        <v>76977112.400000006</v>
      </c>
      <c r="AJ566" s="261">
        <f t="shared" si="169"/>
        <v>2015</v>
      </c>
      <c r="AK566" s="233">
        <f t="shared" si="170"/>
        <v>115465678.59999999</v>
      </c>
    </row>
    <row r="567" spans="1:39" s="116" customFormat="1" ht="35.25" hidden="1" customHeight="1" x14ac:dyDescent="0.2">
      <c r="B567" s="116" t="e">
        <f t="shared" si="159"/>
        <v>#N/A</v>
      </c>
      <c r="F567" s="218" t="s">
        <v>2305</v>
      </c>
      <c r="G567" s="73"/>
      <c r="H567" s="40" t="s">
        <v>1419</v>
      </c>
      <c r="I567" s="65" t="s">
        <v>2494</v>
      </c>
      <c r="J567" s="32"/>
      <c r="K567" s="40"/>
      <c r="L567" s="362"/>
      <c r="M567" s="40"/>
      <c r="N567" s="367"/>
      <c r="O567" s="33" t="s">
        <v>3248</v>
      </c>
      <c r="P567" s="32">
        <v>2015</v>
      </c>
      <c r="Q567" s="40"/>
      <c r="R567" s="40"/>
      <c r="S567" s="40"/>
      <c r="T567" s="32" t="s">
        <v>12</v>
      </c>
      <c r="U567" s="253">
        <v>195564131</v>
      </c>
      <c r="V567" s="68"/>
      <c r="W567" s="61"/>
      <c r="X567" s="206" t="str">
        <f t="shared" si="158"/>
        <v>4.13.02</v>
      </c>
      <c r="Y567" s="207" t="str">
        <f t="shared" si="160"/>
        <v>JEMBATAN</v>
      </c>
      <c r="Z567" s="207">
        <f t="shared" si="161"/>
        <v>50</v>
      </c>
      <c r="AA567" s="233">
        <f t="shared" si="162"/>
        <v>3911282.42</v>
      </c>
      <c r="AB567" s="208"/>
      <c r="AC567" s="233">
        <f t="shared" si="163"/>
        <v>0</v>
      </c>
      <c r="AD567" s="233"/>
      <c r="AE567" s="233">
        <f t="shared" si="164"/>
        <v>3911282.42</v>
      </c>
      <c r="AF567" s="233">
        <f t="shared" si="165"/>
        <v>3911282.42</v>
      </c>
      <c r="AG567" s="233">
        <f t="shared" si="166"/>
        <v>3911282.42</v>
      </c>
      <c r="AH567" s="238">
        <f t="shared" si="167"/>
        <v>3911282.42</v>
      </c>
      <c r="AI567" s="238">
        <f t="shared" si="168"/>
        <v>15645129.68</v>
      </c>
      <c r="AJ567" s="261">
        <f t="shared" si="169"/>
        <v>2015</v>
      </c>
      <c r="AK567" s="233">
        <f t="shared" si="170"/>
        <v>179919001.31999999</v>
      </c>
    </row>
    <row r="568" spans="1:39" s="116" customFormat="1" ht="35.25" hidden="1" customHeight="1" x14ac:dyDescent="0.2">
      <c r="A568" s="116">
        <v>1</v>
      </c>
      <c r="B568" s="116" t="str">
        <f t="shared" si="159"/>
        <v>SEB. TELUK KUANTAN - SEB. BENAI</v>
      </c>
      <c r="D568" s="116">
        <v>4</v>
      </c>
      <c r="E568" s="116" t="str">
        <f>A568&amp;"."&amp;D568</f>
        <v>1.4</v>
      </c>
      <c r="F568" s="218" t="s">
        <v>2305</v>
      </c>
      <c r="G568" s="73"/>
      <c r="H568" s="40" t="s">
        <v>1420</v>
      </c>
      <c r="I568" s="65" t="s">
        <v>2494</v>
      </c>
      <c r="J568" s="32"/>
      <c r="K568" s="40"/>
      <c r="L568" s="362"/>
      <c r="M568" s="40"/>
      <c r="N568" s="367"/>
      <c r="O568" s="247" t="s">
        <v>2562</v>
      </c>
      <c r="P568" s="32">
        <v>2015</v>
      </c>
      <c r="Q568" s="40"/>
      <c r="R568" s="40"/>
      <c r="S568" s="40"/>
      <c r="T568" s="32" t="s">
        <v>12</v>
      </c>
      <c r="U568" s="253">
        <v>194585175</v>
      </c>
      <c r="V568" s="68"/>
      <c r="W568" s="61"/>
      <c r="X568" s="206" t="str">
        <f t="shared" si="158"/>
        <v>4.13.02</v>
      </c>
      <c r="Y568" s="207" t="str">
        <f t="shared" si="160"/>
        <v>JEMBATAN</v>
      </c>
      <c r="Z568" s="207">
        <f t="shared" si="161"/>
        <v>50</v>
      </c>
      <c r="AA568" s="233">
        <f t="shared" si="162"/>
        <v>3891703.3</v>
      </c>
      <c r="AB568" s="208"/>
      <c r="AC568" s="233">
        <f t="shared" si="163"/>
        <v>0</v>
      </c>
      <c r="AD568" s="233"/>
      <c r="AE568" s="233">
        <f t="shared" si="164"/>
        <v>3891703.3</v>
      </c>
      <c r="AF568" s="233">
        <f t="shared" si="165"/>
        <v>3891703.3</v>
      </c>
      <c r="AG568" s="233">
        <f t="shared" si="166"/>
        <v>3891703.3</v>
      </c>
      <c r="AH568" s="238">
        <f t="shared" si="167"/>
        <v>3891703.3</v>
      </c>
      <c r="AI568" s="238">
        <f t="shared" si="168"/>
        <v>15566813.199999999</v>
      </c>
      <c r="AJ568" s="261">
        <f t="shared" si="169"/>
        <v>2015</v>
      </c>
      <c r="AK568" s="233">
        <f t="shared" si="170"/>
        <v>179018361.80000001</v>
      </c>
      <c r="AM568" s="116" t="s">
        <v>4245</v>
      </c>
    </row>
    <row r="569" spans="1:39" s="116" customFormat="1" ht="35.25" hidden="1" customHeight="1" x14ac:dyDescent="0.2">
      <c r="A569" s="116">
        <v>186</v>
      </c>
      <c r="B569" s="116" t="str">
        <f t="shared" si="159"/>
        <v>SAKO MARGA SARI - KUANTAN SAKO</v>
      </c>
      <c r="D569" s="116">
        <v>4</v>
      </c>
      <c r="E569" s="116" t="str">
        <f>A569&amp;"."&amp;D569</f>
        <v>186.4</v>
      </c>
      <c r="F569" s="218" t="s">
        <v>2305</v>
      </c>
      <c r="G569" s="73"/>
      <c r="H569" s="40" t="s">
        <v>1421</v>
      </c>
      <c r="I569" s="65" t="s">
        <v>2494</v>
      </c>
      <c r="J569" s="32"/>
      <c r="K569" s="40"/>
      <c r="L569" s="362"/>
      <c r="M569" s="40"/>
      <c r="N569" s="367"/>
      <c r="O569" s="72" t="s">
        <v>676</v>
      </c>
      <c r="P569" s="32">
        <v>2015</v>
      </c>
      <c r="Q569" s="40"/>
      <c r="R569" s="40"/>
      <c r="S569" s="40"/>
      <c r="T569" s="32" t="s">
        <v>12</v>
      </c>
      <c r="U569" s="253">
        <v>194014396</v>
      </c>
      <c r="V569" s="68"/>
      <c r="W569" s="61"/>
      <c r="X569" s="206" t="str">
        <f t="shared" si="158"/>
        <v>4.13.02</v>
      </c>
      <c r="Y569" s="207" t="str">
        <f t="shared" si="160"/>
        <v>JEMBATAN</v>
      </c>
      <c r="Z569" s="207">
        <f t="shared" si="161"/>
        <v>50</v>
      </c>
      <c r="AA569" s="233">
        <f t="shared" si="162"/>
        <v>3880287.72</v>
      </c>
      <c r="AB569" s="208"/>
      <c r="AC569" s="233">
        <f t="shared" si="163"/>
        <v>0</v>
      </c>
      <c r="AD569" s="233"/>
      <c r="AE569" s="233">
        <f t="shared" si="164"/>
        <v>3880287.72</v>
      </c>
      <c r="AF569" s="233">
        <f t="shared" si="165"/>
        <v>3880287.72</v>
      </c>
      <c r="AG569" s="233">
        <f t="shared" si="166"/>
        <v>3880287.72</v>
      </c>
      <c r="AH569" s="238">
        <f t="shared" si="167"/>
        <v>3880287.72</v>
      </c>
      <c r="AI569" s="238">
        <f t="shared" si="168"/>
        <v>15521150.880000001</v>
      </c>
      <c r="AJ569" s="261">
        <f t="shared" si="169"/>
        <v>2015</v>
      </c>
      <c r="AK569" s="233">
        <f t="shared" si="170"/>
        <v>178493245.12</v>
      </c>
      <c r="AM569" s="116" t="s">
        <v>4245</v>
      </c>
    </row>
    <row r="570" spans="1:39" s="116" customFormat="1" ht="35.25" hidden="1" customHeight="1" x14ac:dyDescent="0.2">
      <c r="B570" s="116" t="e">
        <f t="shared" si="159"/>
        <v>#N/A</v>
      </c>
      <c r="F570" s="218" t="s">
        <v>2304</v>
      </c>
      <c r="G570" s="73"/>
      <c r="H570" s="40" t="s">
        <v>1422</v>
      </c>
      <c r="I570" s="65" t="s">
        <v>2494</v>
      </c>
      <c r="J570" s="32"/>
      <c r="K570" s="40"/>
      <c r="L570" s="362"/>
      <c r="M570" s="40"/>
      <c r="N570" s="367"/>
      <c r="O570" s="33" t="s">
        <v>3087</v>
      </c>
      <c r="P570" s="32">
        <v>2015</v>
      </c>
      <c r="Q570" s="40"/>
      <c r="R570" s="40"/>
      <c r="S570" s="40"/>
      <c r="T570" s="32" t="s">
        <v>12</v>
      </c>
      <c r="U570" s="253">
        <f>15486069125+12789340559-5355233.8</f>
        <v>28270054450.200001</v>
      </c>
      <c r="V570" s="68"/>
      <c r="W570" s="61"/>
      <c r="X570" s="206" t="str">
        <f t="shared" si="158"/>
        <v>4.13.01</v>
      </c>
      <c r="Y570" s="207" t="str">
        <f t="shared" si="160"/>
        <v>JALAN</v>
      </c>
      <c r="Z570" s="207">
        <f t="shared" si="161"/>
        <v>10</v>
      </c>
      <c r="AA570" s="233">
        <f t="shared" si="162"/>
        <v>2827005444.02</v>
      </c>
      <c r="AB570" s="208"/>
      <c r="AC570" s="233">
        <f t="shared" si="163"/>
        <v>0</v>
      </c>
      <c r="AD570" s="233"/>
      <c r="AE570" s="233">
        <f t="shared" si="164"/>
        <v>2827005444.02</v>
      </c>
      <c r="AF570" s="233">
        <f t="shared" si="165"/>
        <v>2827005444.02</v>
      </c>
      <c r="AG570" s="233">
        <f t="shared" si="166"/>
        <v>2827005444.02</v>
      </c>
      <c r="AH570" s="238">
        <f t="shared" si="167"/>
        <v>2827005444.02</v>
      </c>
      <c r="AI570" s="238">
        <f t="shared" si="168"/>
        <v>11308021776.08</v>
      </c>
      <c r="AJ570" s="261">
        <f t="shared" si="169"/>
        <v>2015</v>
      </c>
      <c r="AK570" s="233">
        <f t="shared" si="170"/>
        <v>16962032674.120001</v>
      </c>
    </row>
    <row r="571" spans="1:39" s="116" customFormat="1" ht="35.25" hidden="1" customHeight="1" x14ac:dyDescent="0.2">
      <c r="A571" s="116">
        <v>181</v>
      </c>
      <c r="B571" s="116" t="str">
        <f t="shared" si="159"/>
        <v>SIMP. RAMBAHAN - RAMBAHAN</v>
      </c>
      <c r="D571" s="116">
        <v>3</v>
      </c>
      <c r="E571" s="116" t="str">
        <f>A571&amp;"."&amp;D571</f>
        <v>181.3</v>
      </c>
      <c r="F571" s="218" t="s">
        <v>2304</v>
      </c>
      <c r="G571" s="73"/>
      <c r="H571" s="40" t="s">
        <v>1423</v>
      </c>
      <c r="I571" s="65" t="s">
        <v>2494</v>
      </c>
      <c r="J571" s="32"/>
      <c r="K571" s="40"/>
      <c r="L571" s="362"/>
      <c r="M571" s="40"/>
      <c r="N571" s="367"/>
      <c r="O571" s="72" t="s">
        <v>674</v>
      </c>
      <c r="P571" s="32">
        <v>2015</v>
      </c>
      <c r="Q571" s="40"/>
      <c r="R571" s="40"/>
      <c r="S571" s="40"/>
      <c r="T571" s="32" t="s">
        <v>12</v>
      </c>
      <c r="U571" s="253">
        <f>613398108+1164120387</f>
        <v>1777518495</v>
      </c>
      <c r="V571" s="68"/>
      <c r="W571" s="61"/>
      <c r="X571" s="206" t="str">
        <f t="shared" si="158"/>
        <v>4.13.01</v>
      </c>
      <c r="Y571" s="207" t="str">
        <f t="shared" si="160"/>
        <v>JALAN</v>
      </c>
      <c r="Z571" s="207">
        <f t="shared" si="161"/>
        <v>10</v>
      </c>
      <c r="AA571" s="233">
        <f t="shared" si="162"/>
        <v>177751848.5</v>
      </c>
      <c r="AB571" s="208"/>
      <c r="AC571" s="233">
        <f t="shared" si="163"/>
        <v>0</v>
      </c>
      <c r="AD571" s="233"/>
      <c r="AE571" s="233">
        <f t="shared" si="164"/>
        <v>177751848.5</v>
      </c>
      <c r="AF571" s="233">
        <f t="shared" si="165"/>
        <v>177751848.5</v>
      </c>
      <c r="AG571" s="233">
        <f t="shared" si="166"/>
        <v>177751848.5</v>
      </c>
      <c r="AH571" s="238">
        <f t="shared" si="167"/>
        <v>177751848.5</v>
      </c>
      <c r="AI571" s="238">
        <f t="shared" si="168"/>
        <v>711007394</v>
      </c>
      <c r="AJ571" s="261">
        <f t="shared" si="169"/>
        <v>2015</v>
      </c>
      <c r="AK571" s="233">
        <f t="shared" si="170"/>
        <v>1066511101</v>
      </c>
      <c r="AM571" s="116" t="s">
        <v>4245</v>
      </c>
    </row>
    <row r="572" spans="1:39" s="116" customFormat="1" ht="35.25" hidden="1" customHeight="1" x14ac:dyDescent="0.2">
      <c r="B572" s="116" t="e">
        <f t="shared" si="159"/>
        <v>#N/A</v>
      </c>
      <c r="F572" s="218" t="s">
        <v>2305</v>
      </c>
      <c r="G572" s="73"/>
      <c r="H572" s="40" t="s">
        <v>1424</v>
      </c>
      <c r="I572" s="65" t="s">
        <v>2494</v>
      </c>
      <c r="J572" s="32"/>
      <c r="K572" s="40"/>
      <c r="L572" s="362"/>
      <c r="M572" s="40"/>
      <c r="N572" s="367"/>
      <c r="O572" s="33" t="s">
        <v>3249</v>
      </c>
      <c r="P572" s="32">
        <v>2015</v>
      </c>
      <c r="Q572" s="40"/>
      <c r="R572" s="40"/>
      <c r="S572" s="40"/>
      <c r="T572" s="32" t="s">
        <v>12</v>
      </c>
      <c r="U572" s="253">
        <f>349707950+2190062731</f>
        <v>2539770681</v>
      </c>
      <c r="V572" s="68"/>
      <c r="W572" s="61"/>
      <c r="X572" s="206" t="str">
        <f t="shared" si="158"/>
        <v>4.13.02</v>
      </c>
      <c r="Y572" s="207" t="str">
        <f t="shared" si="160"/>
        <v>JEMBATAN</v>
      </c>
      <c r="Z572" s="207">
        <f t="shared" si="161"/>
        <v>50</v>
      </c>
      <c r="AA572" s="233">
        <f t="shared" si="162"/>
        <v>50795413.420000002</v>
      </c>
      <c r="AB572" s="208"/>
      <c r="AC572" s="233">
        <f t="shared" si="163"/>
        <v>0</v>
      </c>
      <c r="AD572" s="233"/>
      <c r="AE572" s="233">
        <f t="shared" si="164"/>
        <v>50795413.420000002</v>
      </c>
      <c r="AF572" s="233">
        <f t="shared" si="165"/>
        <v>50795413.420000002</v>
      </c>
      <c r="AG572" s="233">
        <f t="shared" si="166"/>
        <v>50795413.420000002</v>
      </c>
      <c r="AH572" s="238">
        <f t="shared" si="167"/>
        <v>50795413.420000002</v>
      </c>
      <c r="AI572" s="238">
        <f t="shared" si="168"/>
        <v>203181653.68000001</v>
      </c>
      <c r="AJ572" s="261">
        <f t="shared" si="169"/>
        <v>2015</v>
      </c>
      <c r="AK572" s="233">
        <f t="shared" si="170"/>
        <v>2336589027.3200002</v>
      </c>
    </row>
    <row r="573" spans="1:39" s="116" customFormat="1" ht="35.25" hidden="1" customHeight="1" x14ac:dyDescent="0.2">
      <c r="B573" s="116" t="e">
        <f t="shared" si="159"/>
        <v>#N/A</v>
      </c>
      <c r="F573" s="218" t="s">
        <v>2304</v>
      </c>
      <c r="G573" s="73"/>
      <c r="H573" s="40" t="s">
        <v>1426</v>
      </c>
      <c r="I573" s="65" t="s">
        <v>2494</v>
      </c>
      <c r="J573" s="32"/>
      <c r="K573" s="40"/>
      <c r="L573" s="362"/>
      <c r="M573" s="40"/>
      <c r="N573" s="367"/>
      <c r="O573" s="33" t="s">
        <v>3250</v>
      </c>
      <c r="P573" s="32">
        <v>2015</v>
      </c>
      <c r="Q573" s="40"/>
      <c r="R573" s="40"/>
      <c r="S573" s="40"/>
      <c r="T573" s="32" t="s">
        <v>12</v>
      </c>
      <c r="U573" s="253">
        <v>191714919</v>
      </c>
      <c r="V573" s="68"/>
      <c r="W573" s="61"/>
      <c r="X573" s="206" t="str">
        <f t="shared" si="158"/>
        <v>4.13.01</v>
      </c>
      <c r="Y573" s="207" t="str">
        <f t="shared" si="160"/>
        <v>JALAN</v>
      </c>
      <c r="Z573" s="207">
        <f t="shared" si="161"/>
        <v>10</v>
      </c>
      <c r="AA573" s="233">
        <f t="shared" si="162"/>
        <v>19171490.899999999</v>
      </c>
      <c r="AB573" s="208"/>
      <c r="AC573" s="233">
        <f t="shared" si="163"/>
        <v>0</v>
      </c>
      <c r="AD573" s="233"/>
      <c r="AE573" s="233">
        <f t="shared" si="164"/>
        <v>19171490.899999999</v>
      </c>
      <c r="AF573" s="233">
        <f t="shared" si="165"/>
        <v>19171490.899999999</v>
      </c>
      <c r="AG573" s="233">
        <f t="shared" si="166"/>
        <v>19171490.899999999</v>
      </c>
      <c r="AH573" s="238">
        <f t="shared" si="167"/>
        <v>19171490.899999999</v>
      </c>
      <c r="AI573" s="238">
        <f t="shared" si="168"/>
        <v>76685963.599999994</v>
      </c>
      <c r="AJ573" s="261">
        <f t="shared" si="169"/>
        <v>2015</v>
      </c>
      <c r="AK573" s="233">
        <f t="shared" si="170"/>
        <v>115028955.40000001</v>
      </c>
    </row>
    <row r="574" spans="1:39" s="116" customFormat="1" ht="35.25" hidden="1" customHeight="1" x14ac:dyDescent="0.2">
      <c r="B574" s="116" t="e">
        <f t="shared" si="159"/>
        <v>#N/A</v>
      </c>
      <c r="F574" s="218" t="s">
        <v>2304</v>
      </c>
      <c r="G574" s="73"/>
      <c r="H574" s="40" t="s">
        <v>1427</v>
      </c>
      <c r="I574" s="65" t="s">
        <v>2494</v>
      </c>
      <c r="J574" s="32"/>
      <c r="K574" s="40"/>
      <c r="L574" s="362"/>
      <c r="M574" s="40"/>
      <c r="N574" s="367"/>
      <c r="O574" s="33" t="s">
        <v>3247</v>
      </c>
      <c r="P574" s="32">
        <v>2015</v>
      </c>
      <c r="Q574" s="40"/>
      <c r="R574" s="40"/>
      <c r="S574" s="40"/>
      <c r="T574" s="32" t="s">
        <v>12</v>
      </c>
      <c r="U574" s="253">
        <v>133925703</v>
      </c>
      <c r="V574" s="68"/>
      <c r="W574" s="61"/>
      <c r="X574" s="206" t="str">
        <f t="shared" si="158"/>
        <v>4.13.01</v>
      </c>
      <c r="Y574" s="207" t="str">
        <f t="shared" si="160"/>
        <v>JALAN</v>
      </c>
      <c r="Z574" s="207">
        <f t="shared" si="161"/>
        <v>10</v>
      </c>
      <c r="AA574" s="233">
        <f t="shared" si="162"/>
        <v>13392569.300000001</v>
      </c>
      <c r="AB574" s="208"/>
      <c r="AC574" s="233">
        <f t="shared" si="163"/>
        <v>0</v>
      </c>
      <c r="AD574" s="233"/>
      <c r="AE574" s="233">
        <f t="shared" si="164"/>
        <v>13392569.300000001</v>
      </c>
      <c r="AF574" s="233">
        <f t="shared" si="165"/>
        <v>13392569.300000001</v>
      </c>
      <c r="AG574" s="233">
        <f t="shared" si="166"/>
        <v>13392569.300000001</v>
      </c>
      <c r="AH574" s="238">
        <f t="shared" si="167"/>
        <v>13392569.300000001</v>
      </c>
      <c r="AI574" s="238">
        <f t="shared" si="168"/>
        <v>53570277.200000003</v>
      </c>
      <c r="AJ574" s="261">
        <f t="shared" si="169"/>
        <v>2015</v>
      </c>
      <c r="AK574" s="233">
        <f t="shared" si="170"/>
        <v>80355425.799999997</v>
      </c>
    </row>
    <row r="575" spans="1:39" s="116" customFormat="1" ht="35.25" hidden="1" customHeight="1" x14ac:dyDescent="0.2">
      <c r="A575" s="116">
        <v>13</v>
      </c>
      <c r="B575" s="116" t="str">
        <f t="shared" si="159"/>
        <v>SIMP. BERINGIN - BERINGIN</v>
      </c>
      <c r="D575" s="116">
        <v>2</v>
      </c>
      <c r="E575" s="120" t="str">
        <f>A575&amp;"."&amp;D575</f>
        <v>13.2</v>
      </c>
      <c r="F575" s="218" t="s">
        <v>2305</v>
      </c>
      <c r="G575" s="73"/>
      <c r="H575" s="40" t="s">
        <v>1429</v>
      </c>
      <c r="I575" s="65" t="s">
        <v>2494</v>
      </c>
      <c r="J575" s="32"/>
      <c r="K575" s="40"/>
      <c r="L575" s="362"/>
      <c r="M575" s="40"/>
      <c r="N575" s="367"/>
      <c r="O575" s="33" t="s">
        <v>3245</v>
      </c>
      <c r="P575" s="32">
        <v>2015</v>
      </c>
      <c r="Q575" s="40"/>
      <c r="R575" s="40"/>
      <c r="S575" s="40"/>
      <c r="T575" s="32" t="s">
        <v>12</v>
      </c>
      <c r="U575" s="253">
        <v>192010205</v>
      </c>
      <c r="V575" s="68"/>
      <c r="W575" s="61"/>
      <c r="X575" s="206" t="str">
        <f t="shared" si="158"/>
        <v>4.13.02</v>
      </c>
      <c r="Y575" s="207" t="str">
        <f t="shared" si="160"/>
        <v>JEMBATAN</v>
      </c>
      <c r="Z575" s="207">
        <f t="shared" si="161"/>
        <v>50</v>
      </c>
      <c r="AA575" s="233">
        <f t="shared" si="162"/>
        <v>3840203.9</v>
      </c>
      <c r="AB575" s="208"/>
      <c r="AC575" s="233">
        <f t="shared" si="163"/>
        <v>0</v>
      </c>
      <c r="AD575" s="233"/>
      <c r="AE575" s="233">
        <f t="shared" si="164"/>
        <v>3840203.9</v>
      </c>
      <c r="AF575" s="233">
        <f t="shared" si="165"/>
        <v>3840203.9</v>
      </c>
      <c r="AG575" s="233">
        <f t="shared" si="166"/>
        <v>3840203.9</v>
      </c>
      <c r="AH575" s="238">
        <f t="shared" si="167"/>
        <v>3840203.9</v>
      </c>
      <c r="AI575" s="238">
        <f t="shared" si="168"/>
        <v>15360815.6</v>
      </c>
      <c r="AJ575" s="261">
        <f t="shared" si="169"/>
        <v>2015</v>
      </c>
      <c r="AK575" s="233">
        <f t="shared" si="170"/>
        <v>176649389.40000001</v>
      </c>
      <c r="AM575" s="116" t="s">
        <v>4245</v>
      </c>
    </row>
    <row r="576" spans="1:39" s="116" customFormat="1" ht="35.25" hidden="1" customHeight="1" x14ac:dyDescent="0.2">
      <c r="B576" s="116" t="e">
        <f t="shared" si="159"/>
        <v>#N/A</v>
      </c>
      <c r="F576" s="218" t="s">
        <v>2304</v>
      </c>
      <c r="G576" s="73"/>
      <c r="H576" s="40" t="s">
        <v>1430</v>
      </c>
      <c r="I576" s="65" t="s">
        <v>2494</v>
      </c>
      <c r="J576" s="32"/>
      <c r="K576" s="40"/>
      <c r="L576" s="362"/>
      <c r="M576" s="40"/>
      <c r="N576" s="367"/>
      <c r="O576" s="33" t="s">
        <v>2571</v>
      </c>
      <c r="P576" s="32">
        <v>2015</v>
      </c>
      <c r="Q576" s="40"/>
      <c r="R576" s="40"/>
      <c r="S576" s="40"/>
      <c r="T576" s="32" t="s">
        <v>12</v>
      </c>
      <c r="U576" s="253">
        <v>190930494</v>
      </c>
      <c r="V576" s="68"/>
      <c r="W576" s="61"/>
      <c r="X576" s="206" t="str">
        <f t="shared" si="158"/>
        <v>4.13.01</v>
      </c>
      <c r="Y576" s="207" t="str">
        <f t="shared" si="160"/>
        <v>JALAN</v>
      </c>
      <c r="Z576" s="207">
        <f t="shared" si="161"/>
        <v>10</v>
      </c>
      <c r="AA576" s="233">
        <f t="shared" si="162"/>
        <v>19093048.399999999</v>
      </c>
      <c r="AB576" s="208"/>
      <c r="AC576" s="233">
        <f t="shared" si="163"/>
        <v>0</v>
      </c>
      <c r="AD576" s="233"/>
      <c r="AE576" s="233">
        <f t="shared" si="164"/>
        <v>19093048.399999999</v>
      </c>
      <c r="AF576" s="233">
        <f t="shared" si="165"/>
        <v>19093048.399999999</v>
      </c>
      <c r="AG576" s="233">
        <f t="shared" si="166"/>
        <v>19093048.399999999</v>
      </c>
      <c r="AH576" s="238">
        <f t="shared" si="167"/>
        <v>19093048.399999999</v>
      </c>
      <c r="AI576" s="238">
        <f t="shared" si="168"/>
        <v>76372193.599999994</v>
      </c>
      <c r="AJ576" s="261">
        <f t="shared" si="169"/>
        <v>2015</v>
      </c>
      <c r="AK576" s="233">
        <f t="shared" si="170"/>
        <v>114558300.40000001</v>
      </c>
    </row>
    <row r="577" spans="1:39" s="116" customFormat="1" ht="35.25" hidden="1" customHeight="1" x14ac:dyDescent="0.2">
      <c r="B577" s="116" t="e">
        <f t="shared" si="159"/>
        <v>#N/A</v>
      </c>
      <c r="F577" s="218" t="s">
        <v>2305</v>
      </c>
      <c r="G577" s="73"/>
      <c r="H577" s="40" t="s">
        <v>1431</v>
      </c>
      <c r="I577" s="65" t="s">
        <v>3824</v>
      </c>
      <c r="J577" s="32"/>
      <c r="K577" s="40"/>
      <c r="L577" s="362"/>
      <c r="M577" s="40"/>
      <c r="N577" s="367"/>
      <c r="O577" s="33" t="s">
        <v>3252</v>
      </c>
      <c r="P577" s="32">
        <v>2015</v>
      </c>
      <c r="Q577" s="40"/>
      <c r="R577" s="40"/>
      <c r="S577" s="40"/>
      <c r="T577" s="32" t="s">
        <v>12</v>
      </c>
      <c r="U577" s="253">
        <v>674055175</v>
      </c>
      <c r="V577" s="68"/>
      <c r="W577" s="61"/>
      <c r="X577" s="206" t="str">
        <f t="shared" si="158"/>
        <v>4.13.02</v>
      </c>
      <c r="Y577" s="207" t="str">
        <f t="shared" si="160"/>
        <v>JEMBATAN</v>
      </c>
      <c r="Z577" s="207">
        <f t="shared" si="161"/>
        <v>50</v>
      </c>
      <c r="AA577" s="233">
        <f t="shared" si="162"/>
        <v>13481103.300000001</v>
      </c>
      <c r="AB577" s="208"/>
      <c r="AC577" s="233">
        <f t="shared" si="163"/>
        <v>0</v>
      </c>
      <c r="AD577" s="233"/>
      <c r="AE577" s="233">
        <f t="shared" si="164"/>
        <v>13481103.300000001</v>
      </c>
      <c r="AF577" s="233">
        <f t="shared" si="165"/>
        <v>13481103.300000001</v>
      </c>
      <c r="AG577" s="233">
        <f t="shared" si="166"/>
        <v>13481103.300000001</v>
      </c>
      <c r="AH577" s="238">
        <f t="shared" si="167"/>
        <v>13481103.300000001</v>
      </c>
      <c r="AI577" s="238">
        <f t="shared" si="168"/>
        <v>53924413.200000003</v>
      </c>
      <c r="AJ577" s="261">
        <f t="shared" si="169"/>
        <v>2015</v>
      </c>
      <c r="AK577" s="233">
        <f t="shared" si="170"/>
        <v>620130761.79999995</v>
      </c>
    </row>
    <row r="578" spans="1:39" s="379" customFormat="1" ht="35.25" hidden="1" customHeight="1" x14ac:dyDescent="0.2">
      <c r="B578" s="379" t="e">
        <f t="shared" si="159"/>
        <v>#N/A</v>
      </c>
      <c r="F578" s="380" t="s">
        <v>2305</v>
      </c>
      <c r="G578" s="168"/>
      <c r="H578" s="171" t="s">
        <v>1432</v>
      </c>
      <c r="I578" s="169" t="s">
        <v>3828</v>
      </c>
      <c r="J578" s="32"/>
      <c r="K578" s="171"/>
      <c r="L578" s="385"/>
      <c r="M578" s="171"/>
      <c r="N578" s="386"/>
      <c r="O578" s="332" t="s">
        <v>3203</v>
      </c>
      <c r="P578" s="173">
        <v>2015</v>
      </c>
      <c r="Q578" s="171"/>
      <c r="R578" s="171"/>
      <c r="S578" s="171"/>
      <c r="T578" s="173" t="s">
        <v>12</v>
      </c>
      <c r="U578" s="387">
        <v>194413644</v>
      </c>
      <c r="V578" s="388"/>
      <c r="W578" s="195"/>
      <c r="X578" s="212" t="str">
        <f t="shared" si="158"/>
        <v>4.13.02</v>
      </c>
      <c r="Y578" s="213" t="str">
        <f t="shared" si="160"/>
        <v>JEMBATAN</v>
      </c>
      <c r="Z578" s="213">
        <f t="shared" si="161"/>
        <v>50</v>
      </c>
      <c r="AA578" s="236">
        <f t="shared" si="162"/>
        <v>3888272.68</v>
      </c>
      <c r="AB578" s="214"/>
      <c r="AC578" s="236">
        <f t="shared" si="163"/>
        <v>0</v>
      </c>
      <c r="AD578" s="236"/>
      <c r="AE578" s="236">
        <f t="shared" si="164"/>
        <v>3888272.68</v>
      </c>
      <c r="AF578" s="236">
        <f t="shared" si="165"/>
        <v>3888272.68</v>
      </c>
      <c r="AG578" s="236">
        <f t="shared" si="166"/>
        <v>3888272.68</v>
      </c>
      <c r="AH578" s="241">
        <f t="shared" si="167"/>
        <v>3888272.68</v>
      </c>
      <c r="AI578" s="241">
        <f t="shared" si="168"/>
        <v>15553090.720000001</v>
      </c>
      <c r="AJ578" s="261">
        <f t="shared" si="169"/>
        <v>2015</v>
      </c>
      <c r="AK578" s="236">
        <f t="shared" si="170"/>
        <v>178860553.28</v>
      </c>
    </row>
    <row r="579" spans="1:39" s="116" customFormat="1" ht="35.25" hidden="1" customHeight="1" x14ac:dyDescent="0.2">
      <c r="B579" s="116" t="e">
        <f t="shared" si="159"/>
        <v>#N/A</v>
      </c>
      <c r="F579" s="218" t="s">
        <v>2305</v>
      </c>
      <c r="G579" s="73"/>
      <c r="H579" s="40" t="s">
        <v>1433</v>
      </c>
      <c r="I579" s="65" t="s">
        <v>3828</v>
      </c>
      <c r="J579" s="32"/>
      <c r="K579" s="40"/>
      <c r="L579" s="362"/>
      <c r="M579" s="40"/>
      <c r="N579" s="367"/>
      <c r="O579" s="33" t="s">
        <v>3253</v>
      </c>
      <c r="P579" s="32">
        <v>2015</v>
      </c>
      <c r="Q579" s="40"/>
      <c r="R579" s="40"/>
      <c r="S579" s="40"/>
      <c r="T579" s="32" t="s">
        <v>12</v>
      </c>
      <c r="U579" s="253">
        <v>194508025</v>
      </c>
      <c r="V579" s="68"/>
      <c r="W579" s="61"/>
      <c r="X579" s="206" t="str">
        <f t="shared" si="158"/>
        <v>4.13.02</v>
      </c>
      <c r="Y579" s="207" t="str">
        <f t="shared" si="160"/>
        <v>JEMBATAN</v>
      </c>
      <c r="Z579" s="207">
        <f t="shared" si="161"/>
        <v>50</v>
      </c>
      <c r="AA579" s="233">
        <f t="shared" si="162"/>
        <v>3890160.3</v>
      </c>
      <c r="AB579" s="208"/>
      <c r="AC579" s="233">
        <f t="shared" si="163"/>
        <v>0</v>
      </c>
      <c r="AD579" s="233"/>
      <c r="AE579" s="233">
        <f t="shared" si="164"/>
        <v>3890160.3</v>
      </c>
      <c r="AF579" s="233">
        <f t="shared" si="165"/>
        <v>3890160.3</v>
      </c>
      <c r="AG579" s="233">
        <f t="shared" si="166"/>
        <v>3890160.3</v>
      </c>
      <c r="AH579" s="238">
        <f t="shared" si="167"/>
        <v>3890160.3</v>
      </c>
      <c r="AI579" s="238">
        <f t="shared" si="168"/>
        <v>15560641.199999999</v>
      </c>
      <c r="AJ579" s="261">
        <f t="shared" si="169"/>
        <v>2015</v>
      </c>
      <c r="AK579" s="233">
        <f t="shared" si="170"/>
        <v>178947383.80000001</v>
      </c>
    </row>
    <row r="580" spans="1:39" s="379" customFormat="1" ht="35.25" hidden="1" customHeight="1" x14ac:dyDescent="0.2">
      <c r="A580" s="116"/>
      <c r="B580" s="379" t="e">
        <f t="shared" si="159"/>
        <v>#N/A</v>
      </c>
      <c r="F580" s="380" t="s">
        <v>2305</v>
      </c>
      <c r="G580" s="168"/>
      <c r="H580" s="171" t="s">
        <v>1434</v>
      </c>
      <c r="I580" s="169" t="s">
        <v>3828</v>
      </c>
      <c r="J580" s="32"/>
      <c r="K580" s="171"/>
      <c r="L580" s="385"/>
      <c r="M580" s="171"/>
      <c r="N580" s="386"/>
      <c r="O580" s="172" t="s">
        <v>709</v>
      </c>
      <c r="P580" s="173">
        <v>2015</v>
      </c>
      <c r="Q580" s="171"/>
      <c r="R580" s="171"/>
      <c r="S580" s="171"/>
      <c r="T580" s="173" t="s">
        <v>12</v>
      </c>
      <c r="U580" s="387">
        <v>194125619</v>
      </c>
      <c r="V580" s="388"/>
      <c r="W580" s="195"/>
      <c r="X580" s="212" t="str">
        <f t="shared" si="158"/>
        <v>4.13.02</v>
      </c>
      <c r="Y580" s="213" t="str">
        <f t="shared" si="160"/>
        <v>JEMBATAN</v>
      </c>
      <c r="Z580" s="213">
        <f t="shared" si="161"/>
        <v>50</v>
      </c>
      <c r="AA580" s="236">
        <f t="shared" si="162"/>
        <v>3882512.18</v>
      </c>
      <c r="AB580" s="214"/>
      <c r="AC580" s="236">
        <f t="shared" si="163"/>
        <v>0</v>
      </c>
      <c r="AD580" s="236"/>
      <c r="AE580" s="236">
        <f t="shared" si="164"/>
        <v>3882512.18</v>
      </c>
      <c r="AF580" s="236">
        <f t="shared" si="165"/>
        <v>3882512.18</v>
      </c>
      <c r="AG580" s="236">
        <f t="shared" si="166"/>
        <v>3882512.18</v>
      </c>
      <c r="AH580" s="241">
        <f t="shared" si="167"/>
        <v>3882512.18</v>
      </c>
      <c r="AI580" s="241">
        <f t="shared" si="168"/>
        <v>15530048.720000001</v>
      </c>
      <c r="AJ580" s="261">
        <f t="shared" si="169"/>
        <v>2015</v>
      </c>
      <c r="AK580" s="236">
        <f t="shared" si="170"/>
        <v>178595570.28</v>
      </c>
    </row>
    <row r="581" spans="1:39" s="116" customFormat="1" ht="35.25" hidden="1" customHeight="1" x14ac:dyDescent="0.2">
      <c r="B581" s="116" t="e">
        <f t="shared" si="159"/>
        <v>#N/A</v>
      </c>
      <c r="F581" s="218" t="s">
        <v>2305</v>
      </c>
      <c r="G581" s="73"/>
      <c r="H581" s="40" t="s">
        <v>1435</v>
      </c>
      <c r="I581" s="65" t="s">
        <v>2494</v>
      </c>
      <c r="J581" s="32"/>
      <c r="K581" s="40"/>
      <c r="L581" s="362"/>
      <c r="M581" s="40"/>
      <c r="N581" s="367"/>
      <c r="O581" s="33" t="s">
        <v>3254</v>
      </c>
      <c r="P581" s="32">
        <v>2015</v>
      </c>
      <c r="Q581" s="40"/>
      <c r="R581" s="40"/>
      <c r="S581" s="40"/>
      <c r="T581" s="32" t="s">
        <v>12</v>
      </c>
      <c r="U581" s="253">
        <v>194469172</v>
      </c>
      <c r="V581" s="68"/>
      <c r="W581" s="61"/>
      <c r="X581" s="206" t="str">
        <f t="shared" ref="X581:X608" si="171">F581</f>
        <v>4.13.02</v>
      </c>
      <c r="Y581" s="207" t="str">
        <f t="shared" si="160"/>
        <v>JEMBATAN</v>
      </c>
      <c r="Z581" s="207">
        <f t="shared" si="161"/>
        <v>50</v>
      </c>
      <c r="AA581" s="233">
        <f t="shared" si="162"/>
        <v>3889383.24</v>
      </c>
      <c r="AB581" s="208"/>
      <c r="AC581" s="233">
        <f t="shared" si="163"/>
        <v>0</v>
      </c>
      <c r="AD581" s="233"/>
      <c r="AE581" s="233">
        <f t="shared" si="164"/>
        <v>3889383.24</v>
      </c>
      <c r="AF581" s="233">
        <f t="shared" si="165"/>
        <v>3889383.24</v>
      </c>
      <c r="AG581" s="233">
        <f t="shared" si="166"/>
        <v>3889383.24</v>
      </c>
      <c r="AH581" s="238">
        <f t="shared" si="167"/>
        <v>3889383.24</v>
      </c>
      <c r="AI581" s="238">
        <f t="shared" si="168"/>
        <v>15557532.960000001</v>
      </c>
      <c r="AJ581" s="261">
        <f t="shared" si="169"/>
        <v>2015</v>
      </c>
      <c r="AK581" s="233">
        <f t="shared" si="170"/>
        <v>178911639.03999999</v>
      </c>
    </row>
    <row r="582" spans="1:39" s="116" customFormat="1" ht="35.25" hidden="1" customHeight="1" x14ac:dyDescent="0.2">
      <c r="A582" s="116">
        <v>91</v>
      </c>
      <c r="B582" s="116" t="str">
        <f t="shared" si="159"/>
        <v>LUBUK JAMBI - SAIK</v>
      </c>
      <c r="D582" s="116">
        <v>2</v>
      </c>
      <c r="E582" s="116" t="str">
        <f>A582&amp;"."&amp;D582</f>
        <v>91.2</v>
      </c>
      <c r="F582" s="218" t="s">
        <v>2304</v>
      </c>
      <c r="G582" s="73"/>
      <c r="H582" s="129" t="s">
        <v>1436</v>
      </c>
      <c r="I582" s="65" t="s">
        <v>2494</v>
      </c>
      <c r="J582" s="32"/>
      <c r="K582" s="40"/>
      <c r="L582" s="362"/>
      <c r="M582" s="40"/>
      <c r="N582" s="367"/>
      <c r="O582" s="33" t="s">
        <v>3255</v>
      </c>
      <c r="P582" s="32">
        <v>2016</v>
      </c>
      <c r="Q582" s="40"/>
      <c r="R582" s="40"/>
      <c r="S582" s="40"/>
      <c r="T582" s="32" t="s">
        <v>12</v>
      </c>
      <c r="U582" s="253">
        <v>8141572842.6999998</v>
      </c>
      <c r="V582" s="68"/>
      <c r="W582" s="61"/>
      <c r="X582" s="206" t="str">
        <f t="shared" si="171"/>
        <v>4.13.01</v>
      </c>
      <c r="Y582" s="207" t="str">
        <f t="shared" si="160"/>
        <v>JALAN</v>
      </c>
      <c r="Z582" s="207">
        <f t="shared" si="161"/>
        <v>10</v>
      </c>
      <c r="AA582" s="233">
        <f t="shared" si="162"/>
        <v>814157283.26999998</v>
      </c>
      <c r="AB582" s="208"/>
      <c r="AC582" s="233">
        <f t="shared" si="163"/>
        <v>0</v>
      </c>
      <c r="AD582" s="233"/>
      <c r="AE582" s="233"/>
      <c r="AF582" s="233">
        <f t="shared" si="165"/>
        <v>814157283.26999998</v>
      </c>
      <c r="AG582" s="233">
        <f t="shared" si="166"/>
        <v>814157283.26999998</v>
      </c>
      <c r="AH582" s="238">
        <f t="shared" si="167"/>
        <v>814157283.26999998</v>
      </c>
      <c r="AI582" s="238">
        <f t="shared" si="168"/>
        <v>2442471849.8099999</v>
      </c>
      <c r="AJ582" s="261">
        <f t="shared" si="169"/>
        <v>2016</v>
      </c>
      <c r="AK582" s="233">
        <f t="shared" si="170"/>
        <v>5699100992.8899994</v>
      </c>
      <c r="AM582" s="116" t="s">
        <v>4245</v>
      </c>
    </row>
    <row r="583" spans="1:39" s="119" customFormat="1" ht="35.25" hidden="1" customHeight="1" x14ac:dyDescent="0.2">
      <c r="B583" s="116" t="e">
        <f t="shared" si="159"/>
        <v>#N/A</v>
      </c>
      <c r="F583" s="218" t="s">
        <v>2304</v>
      </c>
      <c r="G583" s="58"/>
      <c r="H583" s="129" t="s">
        <v>1437</v>
      </c>
      <c r="I583" s="65" t="s">
        <v>2494</v>
      </c>
      <c r="J583" s="32"/>
      <c r="K583" s="40"/>
      <c r="L583" s="362"/>
      <c r="M583" s="40"/>
      <c r="N583" s="367"/>
      <c r="O583" s="33" t="s">
        <v>3191</v>
      </c>
      <c r="P583" s="32">
        <v>2016</v>
      </c>
      <c r="Q583" s="40"/>
      <c r="R583" s="40"/>
      <c r="S583" s="40"/>
      <c r="T583" s="32" t="s">
        <v>12</v>
      </c>
      <c r="U583" s="253">
        <v>8147247049.011054</v>
      </c>
      <c r="V583" s="68"/>
      <c r="W583" s="61"/>
      <c r="X583" s="206" t="str">
        <f t="shared" si="171"/>
        <v>4.13.01</v>
      </c>
      <c r="Y583" s="207" t="str">
        <f t="shared" si="160"/>
        <v>JALAN</v>
      </c>
      <c r="Z583" s="207">
        <f t="shared" si="161"/>
        <v>10</v>
      </c>
      <c r="AA583" s="233">
        <f t="shared" si="162"/>
        <v>814724703.9011054</v>
      </c>
      <c r="AB583" s="208"/>
      <c r="AC583" s="233">
        <f t="shared" si="163"/>
        <v>0</v>
      </c>
      <c r="AD583" s="233"/>
      <c r="AE583" s="233"/>
      <c r="AF583" s="233">
        <f t="shared" si="165"/>
        <v>814724703.9011054</v>
      </c>
      <c r="AG583" s="233">
        <f t="shared" si="166"/>
        <v>814724703.9011054</v>
      </c>
      <c r="AH583" s="238">
        <f t="shared" si="167"/>
        <v>814724703.9011054</v>
      </c>
      <c r="AI583" s="238">
        <f t="shared" si="168"/>
        <v>2444174111.7033162</v>
      </c>
      <c r="AJ583" s="261">
        <f t="shared" si="169"/>
        <v>2016</v>
      </c>
      <c r="AK583" s="233">
        <f t="shared" si="170"/>
        <v>5703072937.3077374</v>
      </c>
    </row>
    <row r="584" spans="1:39" s="116" customFormat="1" ht="35.25" hidden="1" customHeight="1" x14ac:dyDescent="0.2">
      <c r="B584" s="116" t="e">
        <f t="shared" si="159"/>
        <v>#N/A</v>
      </c>
      <c r="F584" s="218" t="s">
        <v>2304</v>
      </c>
      <c r="G584" s="73"/>
      <c r="H584" s="129" t="s">
        <v>1438</v>
      </c>
      <c r="I584" s="65" t="s">
        <v>2494</v>
      </c>
      <c r="J584" s="32"/>
      <c r="K584" s="40"/>
      <c r="L584" s="362"/>
      <c r="M584" s="40"/>
      <c r="N584" s="367"/>
      <c r="O584" s="33" t="s">
        <v>3215</v>
      </c>
      <c r="P584" s="32">
        <v>2016</v>
      </c>
      <c r="Q584" s="40"/>
      <c r="R584" s="40"/>
      <c r="S584" s="40"/>
      <c r="T584" s="32" t="s">
        <v>12</v>
      </c>
      <c r="U584" s="253">
        <v>2960652854.1300001</v>
      </c>
      <c r="V584" s="68"/>
      <c r="W584" s="61"/>
      <c r="X584" s="206" t="str">
        <f t="shared" si="171"/>
        <v>4.13.01</v>
      </c>
      <c r="Y584" s="207" t="str">
        <f t="shared" si="160"/>
        <v>JALAN</v>
      </c>
      <c r="Z584" s="207">
        <f t="shared" si="161"/>
        <v>10</v>
      </c>
      <c r="AA584" s="233">
        <f t="shared" si="162"/>
        <v>296065284.41299999</v>
      </c>
      <c r="AB584" s="208"/>
      <c r="AC584" s="233">
        <f t="shared" si="163"/>
        <v>0</v>
      </c>
      <c r="AD584" s="233"/>
      <c r="AE584" s="233"/>
      <c r="AF584" s="233">
        <f t="shared" si="165"/>
        <v>296065284.41299999</v>
      </c>
      <c r="AG584" s="233">
        <f t="shared" si="166"/>
        <v>296065284.41299999</v>
      </c>
      <c r="AH584" s="238">
        <f t="shared" si="167"/>
        <v>296065284.41299999</v>
      </c>
      <c r="AI584" s="238">
        <f t="shared" si="168"/>
        <v>888195853.23899996</v>
      </c>
      <c r="AJ584" s="261">
        <f t="shared" si="169"/>
        <v>2016</v>
      </c>
      <c r="AK584" s="233">
        <f t="shared" si="170"/>
        <v>2072457000.8910003</v>
      </c>
    </row>
    <row r="585" spans="1:39" s="116" customFormat="1" ht="35.25" hidden="1" customHeight="1" x14ac:dyDescent="0.2">
      <c r="A585" s="116">
        <v>124</v>
      </c>
      <c r="B585" s="116" t="str">
        <f t="shared" si="159"/>
        <v>MUDIK ULO - SUMPU</v>
      </c>
      <c r="D585" s="116">
        <v>3</v>
      </c>
      <c r="E585" s="116" t="str">
        <f>A585&amp;"."&amp;D585</f>
        <v>124.3</v>
      </c>
      <c r="F585" s="218" t="s">
        <v>2304</v>
      </c>
      <c r="G585" s="73"/>
      <c r="H585" s="129" t="s">
        <v>1439</v>
      </c>
      <c r="I585" s="65" t="s">
        <v>2494</v>
      </c>
      <c r="J585" s="32"/>
      <c r="K585" s="40"/>
      <c r="L585" s="362"/>
      <c r="M585" s="40"/>
      <c r="N585" s="367"/>
      <c r="O585" s="33" t="s">
        <v>3256</v>
      </c>
      <c r="P585" s="32">
        <v>2016</v>
      </c>
      <c r="Q585" s="40"/>
      <c r="R585" s="40"/>
      <c r="S585" s="40"/>
      <c r="T585" s="32" t="s">
        <v>12</v>
      </c>
      <c r="U585" s="253">
        <v>1997824226.8399999</v>
      </c>
      <c r="V585" s="68"/>
      <c r="W585" s="61"/>
      <c r="X585" s="206" t="str">
        <f t="shared" si="171"/>
        <v>4.13.01</v>
      </c>
      <c r="Y585" s="207" t="str">
        <f t="shared" si="160"/>
        <v>JALAN</v>
      </c>
      <c r="Z585" s="207">
        <f t="shared" si="161"/>
        <v>10</v>
      </c>
      <c r="AA585" s="233">
        <f t="shared" si="162"/>
        <v>199782421.68399999</v>
      </c>
      <c r="AB585" s="208"/>
      <c r="AC585" s="233">
        <f t="shared" si="163"/>
        <v>0</v>
      </c>
      <c r="AD585" s="233"/>
      <c r="AE585" s="233"/>
      <c r="AF585" s="233">
        <f t="shared" si="165"/>
        <v>199782421.68399999</v>
      </c>
      <c r="AG585" s="233">
        <f t="shared" si="166"/>
        <v>199782421.68399999</v>
      </c>
      <c r="AH585" s="238">
        <f t="shared" si="167"/>
        <v>199782421.68399999</v>
      </c>
      <c r="AI585" s="238">
        <f t="shared" si="168"/>
        <v>599347265.05199993</v>
      </c>
      <c r="AJ585" s="261">
        <f t="shared" si="169"/>
        <v>2016</v>
      </c>
      <c r="AK585" s="233">
        <f t="shared" si="170"/>
        <v>1398476961.7880001</v>
      </c>
      <c r="AM585" s="116" t="s">
        <v>4245</v>
      </c>
    </row>
    <row r="586" spans="1:39" s="116" customFormat="1" ht="35.25" hidden="1" customHeight="1" x14ac:dyDescent="0.2">
      <c r="A586" s="116">
        <v>190</v>
      </c>
      <c r="B586" s="116" t="str">
        <f t="shared" si="159"/>
        <v>SAMBUNG - KEBUN LADO</v>
      </c>
      <c r="D586" s="116">
        <v>4</v>
      </c>
      <c r="E586" s="116" t="str">
        <f>A586&amp;"."&amp;D586</f>
        <v>190.4</v>
      </c>
      <c r="F586" s="218" t="s">
        <v>2304</v>
      </c>
      <c r="G586" s="73"/>
      <c r="H586" s="129" t="s">
        <v>1440</v>
      </c>
      <c r="I586" s="65" t="s">
        <v>2494</v>
      </c>
      <c r="J586" s="32"/>
      <c r="K586" s="40"/>
      <c r="L586" s="362"/>
      <c r="M586" s="40"/>
      <c r="N586" s="367"/>
      <c r="O586" s="72" t="s">
        <v>3107</v>
      </c>
      <c r="P586" s="32">
        <v>2016</v>
      </c>
      <c r="Q586" s="40"/>
      <c r="R586" s="40"/>
      <c r="S586" s="40"/>
      <c r="T586" s="32" t="s">
        <v>12</v>
      </c>
      <c r="U586" s="253">
        <v>4868290282.0367718</v>
      </c>
      <c r="V586" s="68"/>
      <c r="W586" s="61"/>
      <c r="X586" s="206" t="str">
        <f t="shared" si="171"/>
        <v>4.13.01</v>
      </c>
      <c r="Y586" s="207" t="str">
        <f t="shared" si="160"/>
        <v>JALAN</v>
      </c>
      <c r="Z586" s="207">
        <f t="shared" si="161"/>
        <v>10</v>
      </c>
      <c r="AA586" s="233">
        <f t="shared" si="162"/>
        <v>486829027.20367718</v>
      </c>
      <c r="AB586" s="208"/>
      <c r="AC586" s="233">
        <f t="shared" si="163"/>
        <v>0</v>
      </c>
      <c r="AD586" s="233"/>
      <c r="AE586" s="233"/>
      <c r="AF586" s="233">
        <f t="shared" si="165"/>
        <v>486829027.20367718</v>
      </c>
      <c r="AG586" s="233">
        <f t="shared" si="166"/>
        <v>486829027.20367718</v>
      </c>
      <c r="AH586" s="238">
        <f t="shared" si="167"/>
        <v>486829027.20367718</v>
      </c>
      <c r="AI586" s="238">
        <f t="shared" si="168"/>
        <v>1460487081.6110315</v>
      </c>
      <c r="AJ586" s="261">
        <f t="shared" si="169"/>
        <v>2016</v>
      </c>
      <c r="AK586" s="233">
        <f t="shared" si="170"/>
        <v>3407803200.4257402</v>
      </c>
      <c r="AM586" s="116" t="s">
        <v>4245</v>
      </c>
    </row>
    <row r="587" spans="1:39" s="116" customFormat="1" ht="35.25" hidden="1" customHeight="1" x14ac:dyDescent="0.2">
      <c r="A587" s="116">
        <v>163</v>
      </c>
      <c r="B587" s="116" t="str">
        <f t="shared" si="159"/>
        <v>PANGEAN - PL. KUMPAI</v>
      </c>
      <c r="D587" s="116">
        <v>3</v>
      </c>
      <c r="E587" s="116" t="str">
        <f>A587&amp;"."&amp;D587</f>
        <v>163.3</v>
      </c>
      <c r="F587" s="218" t="s">
        <v>2304</v>
      </c>
      <c r="G587" s="73"/>
      <c r="H587" s="129" t="s">
        <v>1441</v>
      </c>
      <c r="I587" s="65" t="s">
        <v>2494</v>
      </c>
      <c r="J587" s="32"/>
      <c r="K587" s="40"/>
      <c r="L587" s="362"/>
      <c r="M587" s="40"/>
      <c r="N587" s="367"/>
      <c r="O587" s="72" t="s">
        <v>709</v>
      </c>
      <c r="P587" s="32">
        <v>2016</v>
      </c>
      <c r="Q587" s="40"/>
      <c r="R587" s="40"/>
      <c r="S587" s="40"/>
      <c r="T587" s="32" t="s">
        <v>12</v>
      </c>
      <c r="U587" s="253">
        <v>1945903540.0999999</v>
      </c>
      <c r="V587" s="68"/>
      <c r="W587" s="61"/>
      <c r="X587" s="206" t="str">
        <f t="shared" si="171"/>
        <v>4.13.01</v>
      </c>
      <c r="Y587" s="207" t="str">
        <f t="shared" si="160"/>
        <v>JALAN</v>
      </c>
      <c r="Z587" s="207">
        <f t="shared" si="161"/>
        <v>10</v>
      </c>
      <c r="AA587" s="233">
        <f t="shared" si="162"/>
        <v>194590353.00999999</v>
      </c>
      <c r="AB587" s="208"/>
      <c r="AC587" s="233">
        <f t="shared" si="163"/>
        <v>0</v>
      </c>
      <c r="AD587" s="233"/>
      <c r="AE587" s="233"/>
      <c r="AF587" s="233">
        <f t="shared" si="165"/>
        <v>194590353.00999999</v>
      </c>
      <c r="AG587" s="233">
        <f t="shared" si="166"/>
        <v>194590353.00999999</v>
      </c>
      <c r="AH587" s="238">
        <f t="shared" si="167"/>
        <v>194590353.00999999</v>
      </c>
      <c r="AI587" s="238">
        <f t="shared" si="168"/>
        <v>583771059.02999997</v>
      </c>
      <c r="AJ587" s="261">
        <f t="shared" si="169"/>
        <v>2016</v>
      </c>
      <c r="AK587" s="233">
        <f t="shared" si="170"/>
        <v>1362132481.0699999</v>
      </c>
      <c r="AM587" s="116" t="s">
        <v>4245</v>
      </c>
    </row>
    <row r="588" spans="1:39" s="116" customFormat="1" ht="35.25" hidden="1" customHeight="1" x14ac:dyDescent="0.2">
      <c r="A588" s="116">
        <v>230</v>
      </c>
      <c r="B588" s="116" t="str">
        <f t="shared" si="159"/>
        <v>LOGAS - SUMBER DATAR</v>
      </c>
      <c r="D588" s="116">
        <v>2</v>
      </c>
      <c r="E588" s="116" t="str">
        <f>A588&amp;"."&amp;D588</f>
        <v>230.2</v>
      </c>
      <c r="F588" s="218" t="s">
        <v>2304</v>
      </c>
      <c r="G588" s="73"/>
      <c r="H588" s="129" t="s">
        <v>1442</v>
      </c>
      <c r="I588" s="65" t="s">
        <v>2494</v>
      </c>
      <c r="J588" s="32"/>
      <c r="K588" s="40"/>
      <c r="L588" s="362"/>
      <c r="M588" s="40"/>
      <c r="N588" s="367"/>
      <c r="O588" s="33" t="s">
        <v>3257</v>
      </c>
      <c r="P588" s="32">
        <v>2016</v>
      </c>
      <c r="Q588" s="40"/>
      <c r="R588" s="40"/>
      <c r="S588" s="40"/>
      <c r="T588" s="32" t="s">
        <v>12</v>
      </c>
      <c r="U588" s="253">
        <v>2819328226.6399999</v>
      </c>
      <c r="V588" s="68"/>
      <c r="W588" s="61"/>
      <c r="X588" s="206" t="str">
        <f t="shared" si="171"/>
        <v>4.13.01</v>
      </c>
      <c r="Y588" s="207" t="str">
        <f t="shared" si="160"/>
        <v>JALAN</v>
      </c>
      <c r="Z588" s="207">
        <f t="shared" si="161"/>
        <v>10</v>
      </c>
      <c r="AA588" s="233">
        <f t="shared" si="162"/>
        <v>281932821.66399997</v>
      </c>
      <c r="AB588" s="208"/>
      <c r="AC588" s="233">
        <f t="shared" si="163"/>
        <v>0</v>
      </c>
      <c r="AD588" s="233"/>
      <c r="AE588" s="233"/>
      <c r="AF588" s="233">
        <f t="shared" si="165"/>
        <v>281932821.66399997</v>
      </c>
      <c r="AG588" s="233">
        <f t="shared" si="166"/>
        <v>281932821.66399997</v>
      </c>
      <c r="AH588" s="238">
        <f t="shared" si="167"/>
        <v>281932821.66399997</v>
      </c>
      <c r="AI588" s="238">
        <f t="shared" si="168"/>
        <v>845798464.99199986</v>
      </c>
      <c r="AJ588" s="261">
        <f t="shared" si="169"/>
        <v>2016</v>
      </c>
      <c r="AK588" s="233">
        <f t="shared" si="170"/>
        <v>1973529761.648</v>
      </c>
      <c r="AM588" s="116" t="s">
        <v>4245</v>
      </c>
    </row>
    <row r="589" spans="1:39" s="116" customFormat="1" ht="35.25" hidden="1" customHeight="1" x14ac:dyDescent="0.2">
      <c r="A589" s="116">
        <v>65</v>
      </c>
      <c r="B589" s="116" t="str">
        <f t="shared" si="159"/>
        <v>SIMP. STM BERINGIN - SAWAH</v>
      </c>
      <c r="D589" s="116">
        <v>4</v>
      </c>
      <c r="E589" s="120" t="str">
        <f>A589&amp;"."&amp;D589</f>
        <v>65.4</v>
      </c>
      <c r="F589" s="218" t="s">
        <v>2304</v>
      </c>
      <c r="G589" s="73"/>
      <c r="H589" s="129" t="s">
        <v>1443</v>
      </c>
      <c r="I589" s="65" t="s">
        <v>2494</v>
      </c>
      <c r="J589" s="32"/>
      <c r="K589" s="40"/>
      <c r="L589" s="362"/>
      <c r="M589" s="40"/>
      <c r="N589" s="367"/>
      <c r="O589" s="33" t="s">
        <v>3216</v>
      </c>
      <c r="P589" s="32">
        <v>2016</v>
      </c>
      <c r="Q589" s="40"/>
      <c r="R589" s="40"/>
      <c r="S589" s="40"/>
      <c r="T589" s="32" t="s">
        <v>12</v>
      </c>
      <c r="U589" s="253">
        <v>9785377200</v>
      </c>
      <c r="V589" s="68"/>
      <c r="W589" s="61"/>
      <c r="X589" s="206" t="str">
        <f t="shared" si="171"/>
        <v>4.13.01</v>
      </c>
      <c r="Y589" s="207" t="str">
        <f t="shared" si="160"/>
        <v>JALAN</v>
      </c>
      <c r="Z589" s="207">
        <f t="shared" si="161"/>
        <v>10</v>
      </c>
      <c r="AA589" s="233">
        <f t="shared" si="162"/>
        <v>978537719</v>
      </c>
      <c r="AB589" s="208"/>
      <c r="AC589" s="233">
        <f t="shared" si="163"/>
        <v>0</v>
      </c>
      <c r="AD589" s="233"/>
      <c r="AE589" s="233"/>
      <c r="AF589" s="233">
        <f t="shared" si="165"/>
        <v>978537719</v>
      </c>
      <c r="AG589" s="233">
        <f t="shared" si="166"/>
        <v>978537719</v>
      </c>
      <c r="AH589" s="238">
        <f t="shared" si="167"/>
        <v>978537719</v>
      </c>
      <c r="AI589" s="238">
        <f t="shared" si="168"/>
        <v>2935613157</v>
      </c>
      <c r="AJ589" s="261">
        <f t="shared" si="169"/>
        <v>2016</v>
      </c>
      <c r="AK589" s="233">
        <f t="shared" si="170"/>
        <v>6849764043</v>
      </c>
      <c r="AM589" s="116" t="s">
        <v>4245</v>
      </c>
    </row>
    <row r="590" spans="1:39" s="116" customFormat="1" ht="35.25" hidden="1" customHeight="1" x14ac:dyDescent="0.2">
      <c r="B590" s="116" t="e">
        <f t="shared" si="159"/>
        <v>#N/A</v>
      </c>
      <c r="F590" s="218" t="s">
        <v>2304</v>
      </c>
      <c r="G590" s="73"/>
      <c r="H590" s="129" t="s">
        <v>1444</v>
      </c>
      <c r="I590" s="65" t="s">
        <v>2494</v>
      </c>
      <c r="J590" s="32"/>
      <c r="K590" s="40"/>
      <c r="L590" s="362"/>
      <c r="M590" s="40"/>
      <c r="N590" s="367"/>
      <c r="O590" s="33" t="s">
        <v>3258</v>
      </c>
      <c r="P590" s="32">
        <v>2016</v>
      </c>
      <c r="Q590" s="40"/>
      <c r="R590" s="40"/>
      <c r="S590" s="40"/>
      <c r="T590" s="32" t="s">
        <v>12</v>
      </c>
      <c r="U590" s="253">
        <v>2400192423</v>
      </c>
      <c r="V590" s="68"/>
      <c r="W590" s="61"/>
      <c r="X590" s="206" t="str">
        <f t="shared" si="171"/>
        <v>4.13.01</v>
      </c>
      <c r="Y590" s="207" t="str">
        <f t="shared" si="160"/>
        <v>JALAN</v>
      </c>
      <c r="Z590" s="207">
        <f t="shared" si="161"/>
        <v>10</v>
      </c>
      <c r="AA590" s="233">
        <f t="shared" si="162"/>
        <v>240019241.30000001</v>
      </c>
      <c r="AB590" s="208"/>
      <c r="AC590" s="233">
        <f t="shared" si="163"/>
        <v>0</v>
      </c>
      <c r="AD590" s="233"/>
      <c r="AE590" s="233"/>
      <c r="AF590" s="233">
        <f t="shared" si="165"/>
        <v>240019241.30000001</v>
      </c>
      <c r="AG590" s="233">
        <f t="shared" si="166"/>
        <v>240019241.30000001</v>
      </c>
      <c r="AH590" s="238">
        <f t="shared" si="167"/>
        <v>240019241.30000001</v>
      </c>
      <c r="AI590" s="238">
        <f t="shared" si="168"/>
        <v>720057723.9000001</v>
      </c>
      <c r="AJ590" s="261">
        <f t="shared" si="169"/>
        <v>2016</v>
      </c>
      <c r="AK590" s="233">
        <f t="shared" si="170"/>
        <v>1680134699.0999999</v>
      </c>
    </row>
    <row r="591" spans="1:39" s="116" customFormat="1" ht="35.25" hidden="1" customHeight="1" x14ac:dyDescent="0.2">
      <c r="A591" s="116">
        <v>4</v>
      </c>
      <c r="B591" s="116" t="str">
        <f t="shared" si="159"/>
        <v>SENTAJO - MUARA LANGSAT</v>
      </c>
      <c r="D591" s="116">
        <v>10</v>
      </c>
      <c r="E591" s="120" t="str">
        <f>A591&amp;"."&amp;D591</f>
        <v>4.10</v>
      </c>
      <c r="F591" s="218" t="s">
        <v>2304</v>
      </c>
      <c r="G591" s="73"/>
      <c r="H591" s="129" t="s">
        <v>1445</v>
      </c>
      <c r="I591" s="65" t="s">
        <v>2494</v>
      </c>
      <c r="J591" s="32"/>
      <c r="K591" s="40"/>
      <c r="L591" s="362"/>
      <c r="M591" s="40"/>
      <c r="N591" s="367"/>
      <c r="O591" s="72" t="s">
        <v>619</v>
      </c>
      <c r="P591" s="32">
        <v>2016</v>
      </c>
      <c r="Q591" s="40"/>
      <c r="R591" s="40"/>
      <c r="S591" s="40"/>
      <c r="T591" s="32" t="s">
        <v>12</v>
      </c>
      <c r="U591" s="253">
        <v>8482176848.3360138</v>
      </c>
      <c r="V591" s="68"/>
      <c r="W591" s="61"/>
      <c r="X591" s="206" t="str">
        <f t="shared" si="171"/>
        <v>4.13.01</v>
      </c>
      <c r="Y591" s="207" t="str">
        <f t="shared" si="160"/>
        <v>JALAN</v>
      </c>
      <c r="Z591" s="207">
        <f t="shared" si="161"/>
        <v>10</v>
      </c>
      <c r="AA591" s="233">
        <f t="shared" si="162"/>
        <v>848217683.83360136</v>
      </c>
      <c r="AB591" s="208"/>
      <c r="AC591" s="233">
        <f t="shared" si="163"/>
        <v>0</v>
      </c>
      <c r="AD591" s="233"/>
      <c r="AE591" s="233"/>
      <c r="AF591" s="233">
        <f t="shared" si="165"/>
        <v>848217683.83360136</v>
      </c>
      <c r="AG591" s="233">
        <f t="shared" si="166"/>
        <v>848217683.83360136</v>
      </c>
      <c r="AH591" s="238">
        <f t="shared" si="167"/>
        <v>848217683.83360136</v>
      </c>
      <c r="AI591" s="238">
        <f t="shared" si="168"/>
        <v>2544653051.5008039</v>
      </c>
      <c r="AJ591" s="261">
        <f t="shared" si="169"/>
        <v>2016</v>
      </c>
      <c r="AK591" s="233">
        <f t="shared" si="170"/>
        <v>5937523796.8352098</v>
      </c>
      <c r="AM591" s="116" t="s">
        <v>4245</v>
      </c>
    </row>
    <row r="592" spans="1:39" s="116" customFormat="1" ht="35.25" hidden="1" customHeight="1" x14ac:dyDescent="0.2">
      <c r="A592" s="417">
        <v>164</v>
      </c>
      <c r="B592" s="417" t="str">
        <f t="shared" si="159"/>
        <v>PANGEAN - BATAS PELALAWAN</v>
      </c>
      <c r="D592" s="116">
        <v>6</v>
      </c>
      <c r="E592" s="1" t="str">
        <f>A592&amp;"."&amp;D592</f>
        <v>164.6</v>
      </c>
      <c r="F592" s="218" t="s">
        <v>2304</v>
      </c>
      <c r="G592" s="73"/>
      <c r="H592" s="129" t="s">
        <v>1446</v>
      </c>
      <c r="I592" s="65" t="s">
        <v>2494</v>
      </c>
      <c r="J592" s="32"/>
      <c r="K592" s="40"/>
      <c r="L592" s="362"/>
      <c r="M592" s="40"/>
      <c r="N592" s="367"/>
      <c r="O592" s="72" t="s">
        <v>3100</v>
      </c>
      <c r="P592" s="32">
        <v>2016</v>
      </c>
      <c r="Q592" s="40"/>
      <c r="R592" s="40"/>
      <c r="S592" s="40"/>
      <c r="T592" s="32" t="s">
        <v>12</v>
      </c>
      <c r="U592" s="253">
        <v>5591436679.1599998</v>
      </c>
      <c r="V592" s="68"/>
      <c r="W592" s="61"/>
      <c r="X592" s="206" t="str">
        <f t="shared" si="171"/>
        <v>4.13.01</v>
      </c>
      <c r="Y592" s="207" t="str">
        <f t="shared" si="160"/>
        <v>JALAN</v>
      </c>
      <c r="Z592" s="207">
        <f t="shared" si="161"/>
        <v>10</v>
      </c>
      <c r="AA592" s="233">
        <f t="shared" si="162"/>
        <v>559143666.91600001</v>
      </c>
      <c r="AB592" s="208"/>
      <c r="AC592" s="233">
        <f t="shared" si="163"/>
        <v>0</v>
      </c>
      <c r="AD592" s="233"/>
      <c r="AE592" s="233"/>
      <c r="AF592" s="233">
        <f t="shared" si="165"/>
        <v>559143666.91600001</v>
      </c>
      <c r="AG592" s="233">
        <f t="shared" si="166"/>
        <v>559143666.91600001</v>
      </c>
      <c r="AH592" s="238">
        <f t="shared" si="167"/>
        <v>559143666.91600001</v>
      </c>
      <c r="AI592" s="238">
        <f t="shared" si="168"/>
        <v>1677431000.7480001</v>
      </c>
      <c r="AJ592" s="261">
        <f t="shared" si="169"/>
        <v>2016</v>
      </c>
      <c r="AK592" s="233">
        <f t="shared" si="170"/>
        <v>3914005678.4119997</v>
      </c>
      <c r="AM592" s="116" t="s">
        <v>4245</v>
      </c>
    </row>
    <row r="593" spans="1:39" s="116" customFormat="1" ht="35.25" hidden="1" customHeight="1" x14ac:dyDescent="0.2">
      <c r="A593" s="417">
        <v>164</v>
      </c>
      <c r="B593" s="417" t="str">
        <f t="shared" si="159"/>
        <v>PANGEAN - BATAS PELALAWAN</v>
      </c>
      <c r="D593" s="116">
        <v>7</v>
      </c>
      <c r="E593" s="1" t="str">
        <f>A593&amp;"."&amp;D593</f>
        <v>164.7</v>
      </c>
      <c r="F593" s="218" t="s">
        <v>2304</v>
      </c>
      <c r="G593" s="73"/>
      <c r="H593" s="129" t="s">
        <v>1447</v>
      </c>
      <c r="I593" s="65" t="s">
        <v>2494</v>
      </c>
      <c r="J593" s="32"/>
      <c r="K593" s="40"/>
      <c r="L593" s="362"/>
      <c r="M593" s="40"/>
      <c r="N593" s="367"/>
      <c r="O593" s="72" t="s">
        <v>3100</v>
      </c>
      <c r="P593" s="32">
        <v>2016</v>
      </c>
      <c r="Q593" s="40"/>
      <c r="R593" s="40"/>
      <c r="S593" s="40"/>
      <c r="T593" s="32" t="s">
        <v>12</v>
      </c>
      <c r="U593" s="253">
        <v>5487724779.8400002</v>
      </c>
      <c r="V593" s="68"/>
      <c r="W593" s="61"/>
      <c r="X593" s="206" t="str">
        <f t="shared" si="171"/>
        <v>4.13.01</v>
      </c>
      <c r="Y593" s="207" t="str">
        <f t="shared" si="160"/>
        <v>JALAN</v>
      </c>
      <c r="Z593" s="207">
        <f t="shared" si="161"/>
        <v>10</v>
      </c>
      <c r="AA593" s="233">
        <f t="shared" si="162"/>
        <v>548772476.98399997</v>
      </c>
      <c r="AB593" s="208"/>
      <c r="AC593" s="233">
        <f t="shared" si="163"/>
        <v>0</v>
      </c>
      <c r="AD593" s="233"/>
      <c r="AE593" s="233"/>
      <c r="AF593" s="233">
        <f t="shared" si="165"/>
        <v>548772476.98399997</v>
      </c>
      <c r="AG593" s="233">
        <f t="shared" si="166"/>
        <v>548772476.98399997</v>
      </c>
      <c r="AH593" s="238">
        <f t="shared" si="167"/>
        <v>548772476.98399997</v>
      </c>
      <c r="AI593" s="238">
        <f t="shared" si="168"/>
        <v>1646317430.9519999</v>
      </c>
      <c r="AJ593" s="261">
        <f t="shared" si="169"/>
        <v>2016</v>
      </c>
      <c r="AK593" s="233">
        <f t="shared" si="170"/>
        <v>3841407348.8880005</v>
      </c>
      <c r="AM593" s="116" t="s">
        <v>4245</v>
      </c>
    </row>
    <row r="594" spans="1:39" s="116" customFormat="1" ht="35.25" hidden="1" customHeight="1" x14ac:dyDescent="0.2">
      <c r="A594" s="116">
        <v>167</v>
      </c>
      <c r="B594" s="116" t="str">
        <f t="shared" si="159"/>
        <v>JK. RUAS 190/190 KM 7 + 000 - TANAH BEKALI</v>
      </c>
      <c r="D594" s="116">
        <v>3</v>
      </c>
      <c r="E594" s="116" t="str">
        <f>A594&amp;"."&amp;D594</f>
        <v>167.3</v>
      </c>
      <c r="F594" s="218" t="s">
        <v>2304</v>
      </c>
      <c r="G594" s="73"/>
      <c r="H594" s="129" t="s">
        <v>1448</v>
      </c>
      <c r="I594" s="65" t="s">
        <v>2494</v>
      </c>
      <c r="J594" s="32"/>
      <c r="K594" s="40"/>
      <c r="L594" s="362"/>
      <c r="M594" s="40"/>
      <c r="N594" s="367"/>
      <c r="O594" s="72" t="s">
        <v>3170</v>
      </c>
      <c r="P594" s="32">
        <v>2016</v>
      </c>
      <c r="Q594" s="40"/>
      <c r="R594" s="40"/>
      <c r="S594" s="40"/>
      <c r="T594" s="32" t="s">
        <v>12</v>
      </c>
      <c r="U594" s="253">
        <v>1890595464.96</v>
      </c>
      <c r="V594" s="68"/>
      <c r="W594" s="61"/>
      <c r="X594" s="206" t="str">
        <f t="shared" si="171"/>
        <v>4.13.01</v>
      </c>
      <c r="Y594" s="207" t="str">
        <f t="shared" si="160"/>
        <v>JALAN</v>
      </c>
      <c r="Z594" s="207">
        <f t="shared" si="161"/>
        <v>10</v>
      </c>
      <c r="AA594" s="233">
        <f t="shared" si="162"/>
        <v>189059545.49599999</v>
      </c>
      <c r="AB594" s="208"/>
      <c r="AC594" s="233">
        <f t="shared" si="163"/>
        <v>0</v>
      </c>
      <c r="AD594" s="233"/>
      <c r="AE594" s="233"/>
      <c r="AF594" s="233">
        <f t="shared" si="165"/>
        <v>189059545.49599999</v>
      </c>
      <c r="AG594" s="233">
        <f t="shared" si="166"/>
        <v>189059545.49599999</v>
      </c>
      <c r="AH594" s="238">
        <f t="shared" si="167"/>
        <v>189059545.49599999</v>
      </c>
      <c r="AI594" s="238">
        <f t="shared" si="168"/>
        <v>567178636.48799992</v>
      </c>
      <c r="AJ594" s="261">
        <f t="shared" si="169"/>
        <v>2016</v>
      </c>
      <c r="AK594" s="233">
        <f t="shared" si="170"/>
        <v>1323416828.4720001</v>
      </c>
      <c r="AM594" s="116" t="s">
        <v>4245</v>
      </c>
    </row>
    <row r="595" spans="1:39" s="116" customFormat="1" ht="35.25" hidden="1" customHeight="1" x14ac:dyDescent="0.2">
      <c r="B595" s="116" t="e">
        <f t="shared" si="159"/>
        <v>#N/A</v>
      </c>
      <c r="F595" s="218" t="s">
        <v>2304</v>
      </c>
      <c r="G595" s="73"/>
      <c r="H595" s="129" t="s">
        <v>1449</v>
      </c>
      <c r="I595" s="65" t="s">
        <v>2494</v>
      </c>
      <c r="J595" s="32"/>
      <c r="K595" s="40"/>
      <c r="L595" s="362"/>
      <c r="M595" s="40"/>
      <c r="N595" s="367"/>
      <c r="O595" s="33" t="s">
        <v>3259</v>
      </c>
      <c r="P595" s="32">
        <v>2016</v>
      </c>
      <c r="Q595" s="40"/>
      <c r="R595" s="40"/>
      <c r="S595" s="40"/>
      <c r="T595" s="32" t="s">
        <v>12</v>
      </c>
      <c r="U595" s="253">
        <v>2933446349.48</v>
      </c>
      <c r="V595" s="68"/>
      <c r="W595" s="61"/>
      <c r="X595" s="206" t="str">
        <f t="shared" si="171"/>
        <v>4.13.01</v>
      </c>
      <c r="Y595" s="207" t="str">
        <f t="shared" si="160"/>
        <v>JALAN</v>
      </c>
      <c r="Z595" s="207">
        <f t="shared" si="161"/>
        <v>10</v>
      </c>
      <c r="AA595" s="233">
        <f t="shared" si="162"/>
        <v>293344633.94800001</v>
      </c>
      <c r="AB595" s="208"/>
      <c r="AC595" s="233">
        <f t="shared" si="163"/>
        <v>0</v>
      </c>
      <c r="AD595" s="233"/>
      <c r="AE595" s="233"/>
      <c r="AF595" s="233">
        <f t="shared" si="165"/>
        <v>293344633.94800001</v>
      </c>
      <c r="AG595" s="233">
        <f t="shared" si="166"/>
        <v>293344633.94800001</v>
      </c>
      <c r="AH595" s="238">
        <f t="shared" si="167"/>
        <v>293344633.94800001</v>
      </c>
      <c r="AI595" s="238">
        <f t="shared" si="168"/>
        <v>880033901.8440001</v>
      </c>
      <c r="AJ595" s="261">
        <f t="shared" si="169"/>
        <v>2016</v>
      </c>
      <c r="AK595" s="233">
        <f t="shared" si="170"/>
        <v>2053412447.6359999</v>
      </c>
    </row>
    <row r="596" spans="1:39" s="116" customFormat="1" ht="35.25" hidden="1" customHeight="1" x14ac:dyDescent="0.2">
      <c r="A596" s="116">
        <v>258</v>
      </c>
      <c r="B596" s="116" t="str">
        <f t="shared" si="159"/>
        <v>LEPAU GADING - PANGEAN</v>
      </c>
      <c r="D596" s="116">
        <v>4</v>
      </c>
      <c r="E596" s="116" t="str">
        <f>A596&amp;"."&amp;D596</f>
        <v>258.4</v>
      </c>
      <c r="F596" s="218" t="s">
        <v>2304</v>
      </c>
      <c r="G596" s="73"/>
      <c r="H596" s="129" t="s">
        <v>1450</v>
      </c>
      <c r="I596" s="65" t="s">
        <v>2494</v>
      </c>
      <c r="J596" s="32"/>
      <c r="K596" s="40"/>
      <c r="L596" s="362"/>
      <c r="M596" s="40"/>
      <c r="N596" s="367"/>
      <c r="O596" s="72" t="s">
        <v>518</v>
      </c>
      <c r="P596" s="32">
        <v>2016</v>
      </c>
      <c r="Q596" s="40"/>
      <c r="R596" s="40"/>
      <c r="S596" s="40"/>
      <c r="T596" s="32" t="s">
        <v>12</v>
      </c>
      <c r="U596" s="253">
        <v>4250968123.3900442</v>
      </c>
      <c r="V596" s="68"/>
      <c r="W596" s="61"/>
      <c r="X596" s="206" t="str">
        <f t="shared" si="171"/>
        <v>4.13.01</v>
      </c>
      <c r="Y596" s="207" t="str">
        <f t="shared" si="160"/>
        <v>JALAN</v>
      </c>
      <c r="Z596" s="207">
        <f t="shared" si="161"/>
        <v>10</v>
      </c>
      <c r="AA596" s="233">
        <f t="shared" si="162"/>
        <v>425096811.3390044</v>
      </c>
      <c r="AB596" s="208"/>
      <c r="AC596" s="233">
        <f t="shared" si="163"/>
        <v>0</v>
      </c>
      <c r="AD596" s="233"/>
      <c r="AE596" s="233"/>
      <c r="AF596" s="233">
        <f t="shared" si="165"/>
        <v>425096811.3390044</v>
      </c>
      <c r="AG596" s="233">
        <f t="shared" si="166"/>
        <v>425096811.3390044</v>
      </c>
      <c r="AH596" s="238">
        <f t="shared" si="167"/>
        <v>425096811.3390044</v>
      </c>
      <c r="AI596" s="238">
        <f t="shared" si="168"/>
        <v>1275290434.0170131</v>
      </c>
      <c r="AJ596" s="261">
        <f t="shared" si="169"/>
        <v>2016</v>
      </c>
      <c r="AK596" s="233">
        <f t="shared" si="170"/>
        <v>2975677689.3730311</v>
      </c>
      <c r="AM596" s="116" t="s">
        <v>4245</v>
      </c>
    </row>
    <row r="597" spans="1:39" s="116" customFormat="1" ht="35.25" hidden="1" customHeight="1" x14ac:dyDescent="0.2">
      <c r="B597" s="116" t="e">
        <f t="shared" si="159"/>
        <v>#N/A</v>
      </c>
      <c r="F597" s="218" t="s">
        <v>2304</v>
      </c>
      <c r="G597" s="73"/>
      <c r="H597" s="129" t="s">
        <v>1451</v>
      </c>
      <c r="I597" s="65" t="s">
        <v>2494</v>
      </c>
      <c r="J597" s="32"/>
      <c r="K597" s="40"/>
      <c r="L597" s="362"/>
      <c r="M597" s="40"/>
      <c r="N597" s="367"/>
      <c r="O597" s="33" t="s">
        <v>3260</v>
      </c>
      <c r="P597" s="32">
        <v>2016</v>
      </c>
      <c r="Q597" s="40"/>
      <c r="R597" s="40"/>
      <c r="S597" s="40"/>
      <c r="T597" s="32" t="s">
        <v>12</v>
      </c>
      <c r="U597" s="253">
        <v>2398001772.73</v>
      </c>
      <c r="V597" s="68"/>
      <c r="W597" s="61"/>
      <c r="X597" s="206" t="str">
        <f t="shared" si="171"/>
        <v>4.13.01</v>
      </c>
      <c r="Y597" s="207" t="str">
        <f t="shared" si="160"/>
        <v>JALAN</v>
      </c>
      <c r="Z597" s="207">
        <f t="shared" si="161"/>
        <v>10</v>
      </c>
      <c r="AA597" s="233">
        <f t="shared" si="162"/>
        <v>239800176.273</v>
      </c>
      <c r="AB597" s="208"/>
      <c r="AC597" s="233">
        <f t="shared" si="163"/>
        <v>0</v>
      </c>
      <c r="AD597" s="233"/>
      <c r="AE597" s="233"/>
      <c r="AF597" s="233">
        <f t="shared" si="165"/>
        <v>239800176.273</v>
      </c>
      <c r="AG597" s="233">
        <f t="shared" si="166"/>
        <v>239800176.273</v>
      </c>
      <c r="AH597" s="238">
        <f t="shared" si="167"/>
        <v>239800176.273</v>
      </c>
      <c r="AI597" s="238">
        <f t="shared" si="168"/>
        <v>719400528.81900001</v>
      </c>
      <c r="AJ597" s="261">
        <f t="shared" si="169"/>
        <v>2016</v>
      </c>
      <c r="AK597" s="233">
        <f t="shared" si="170"/>
        <v>1678601243.911</v>
      </c>
    </row>
    <row r="598" spans="1:39" s="116" customFormat="1" ht="35.25" hidden="1" customHeight="1" x14ac:dyDescent="0.2">
      <c r="A598" s="116">
        <v>92</v>
      </c>
      <c r="B598" s="116" t="str">
        <f t="shared" si="159"/>
        <v>SIMP. 4 PANGKALAN - MUARA PETAI</v>
      </c>
      <c r="D598" s="116">
        <v>2</v>
      </c>
      <c r="E598" s="116" t="str">
        <f>A598&amp;"."&amp;D598</f>
        <v>92.2</v>
      </c>
      <c r="F598" s="218" t="s">
        <v>2304</v>
      </c>
      <c r="G598" s="73"/>
      <c r="H598" s="129" t="s">
        <v>1452</v>
      </c>
      <c r="I598" s="65" t="s">
        <v>2494</v>
      </c>
      <c r="J598" s="32"/>
      <c r="K598" s="40"/>
      <c r="L598" s="362"/>
      <c r="M598" s="40"/>
      <c r="N598" s="367"/>
      <c r="O598" s="33" t="s">
        <v>3173</v>
      </c>
      <c r="P598" s="32">
        <v>2016</v>
      </c>
      <c r="Q598" s="40"/>
      <c r="R598" s="40"/>
      <c r="S598" s="40"/>
      <c r="T598" s="32" t="s">
        <v>12</v>
      </c>
      <c r="U598" s="253">
        <v>4682270294.1660614</v>
      </c>
      <c r="V598" s="68"/>
      <c r="W598" s="61"/>
      <c r="X598" s="206" t="str">
        <f t="shared" si="171"/>
        <v>4.13.01</v>
      </c>
      <c r="Y598" s="207" t="str">
        <f t="shared" si="160"/>
        <v>JALAN</v>
      </c>
      <c r="Z598" s="207">
        <f t="shared" si="161"/>
        <v>10</v>
      </c>
      <c r="AA598" s="233">
        <f t="shared" si="162"/>
        <v>468227028.41660613</v>
      </c>
      <c r="AB598" s="208"/>
      <c r="AC598" s="233">
        <f t="shared" si="163"/>
        <v>0</v>
      </c>
      <c r="AD598" s="233"/>
      <c r="AE598" s="233"/>
      <c r="AF598" s="233">
        <f t="shared" si="165"/>
        <v>468227028.41660613</v>
      </c>
      <c r="AG598" s="233">
        <f t="shared" si="166"/>
        <v>468227028.41660613</v>
      </c>
      <c r="AH598" s="238">
        <f t="shared" si="167"/>
        <v>468227028.41660613</v>
      </c>
      <c r="AI598" s="238">
        <f t="shared" si="168"/>
        <v>1404681085.2498183</v>
      </c>
      <c r="AJ598" s="261">
        <f t="shared" si="169"/>
        <v>2016</v>
      </c>
      <c r="AK598" s="233">
        <f t="shared" si="170"/>
        <v>3277589208.9162431</v>
      </c>
      <c r="AM598" s="116" t="s">
        <v>4245</v>
      </c>
    </row>
    <row r="599" spans="1:39" s="116" customFormat="1" ht="35.25" hidden="1" customHeight="1" x14ac:dyDescent="0.2">
      <c r="A599" s="116">
        <v>302</v>
      </c>
      <c r="B599" s="116" t="str">
        <f t="shared" si="159"/>
        <v>PULAU BUSUK - KOTO INUMAN</v>
      </c>
      <c r="D599" s="116">
        <v>4</v>
      </c>
      <c r="E599" s="116" t="str">
        <f>A599&amp;"."&amp;D599</f>
        <v>302.4</v>
      </c>
      <c r="F599" s="218" t="s">
        <v>2304</v>
      </c>
      <c r="G599" s="73"/>
      <c r="H599" s="129" t="s">
        <v>1453</v>
      </c>
      <c r="I599" s="65" t="s">
        <v>2494</v>
      </c>
      <c r="J599" s="32"/>
      <c r="K599" s="40"/>
      <c r="L599" s="362"/>
      <c r="M599" s="40"/>
      <c r="N599" s="367"/>
      <c r="O599" s="33" t="s">
        <v>3099</v>
      </c>
      <c r="P599" s="32">
        <v>2016</v>
      </c>
      <c r="Q599" s="40"/>
      <c r="R599" s="40"/>
      <c r="S599" s="40"/>
      <c r="T599" s="32" t="s">
        <v>12</v>
      </c>
      <c r="U599" s="253">
        <v>3797259567.7199998</v>
      </c>
      <c r="V599" s="68"/>
      <c r="W599" s="61"/>
      <c r="X599" s="206" t="str">
        <f t="shared" si="171"/>
        <v>4.13.01</v>
      </c>
      <c r="Y599" s="207" t="str">
        <f t="shared" si="160"/>
        <v>JALAN</v>
      </c>
      <c r="Z599" s="207">
        <f t="shared" si="161"/>
        <v>10</v>
      </c>
      <c r="AA599" s="233">
        <f t="shared" si="162"/>
        <v>379725955.77199996</v>
      </c>
      <c r="AB599" s="208"/>
      <c r="AC599" s="233">
        <f t="shared" si="163"/>
        <v>0</v>
      </c>
      <c r="AD599" s="233"/>
      <c r="AE599" s="233"/>
      <c r="AF599" s="233">
        <f t="shared" si="165"/>
        <v>379725955.77199996</v>
      </c>
      <c r="AG599" s="233">
        <f t="shared" si="166"/>
        <v>379725955.77199996</v>
      </c>
      <c r="AH599" s="238">
        <f t="shared" si="167"/>
        <v>379725955.77199996</v>
      </c>
      <c r="AI599" s="238">
        <f t="shared" si="168"/>
        <v>1139177867.316</v>
      </c>
      <c r="AJ599" s="261">
        <f t="shared" si="169"/>
        <v>2016</v>
      </c>
      <c r="AK599" s="233">
        <f t="shared" si="170"/>
        <v>2658081700.4039998</v>
      </c>
      <c r="AM599" s="116" t="s">
        <v>4245</v>
      </c>
    </row>
    <row r="600" spans="1:39" s="116" customFormat="1" ht="35.25" hidden="1" customHeight="1" x14ac:dyDescent="0.2">
      <c r="B600" s="116" t="e">
        <f t="shared" si="159"/>
        <v>#N/A</v>
      </c>
      <c r="F600" s="218" t="s">
        <v>2304</v>
      </c>
      <c r="G600" s="73"/>
      <c r="H600" s="129" t="s">
        <v>1454</v>
      </c>
      <c r="I600" s="65" t="s">
        <v>2494</v>
      </c>
      <c r="J600" s="32"/>
      <c r="K600" s="40"/>
      <c r="L600" s="362"/>
      <c r="M600" s="40"/>
      <c r="N600" s="367"/>
      <c r="O600" s="33" t="s">
        <v>3112</v>
      </c>
      <c r="P600" s="32">
        <v>2016</v>
      </c>
      <c r="Q600" s="40"/>
      <c r="R600" s="40"/>
      <c r="S600" s="40"/>
      <c r="T600" s="32" t="s">
        <v>12</v>
      </c>
      <c r="U600" s="253">
        <v>5854757832.3698645</v>
      </c>
      <c r="V600" s="68"/>
      <c r="W600" s="61"/>
      <c r="X600" s="206" t="str">
        <f t="shared" si="171"/>
        <v>4.13.01</v>
      </c>
      <c r="Y600" s="207" t="str">
        <f t="shared" si="160"/>
        <v>JALAN</v>
      </c>
      <c r="Z600" s="207">
        <f t="shared" si="161"/>
        <v>10</v>
      </c>
      <c r="AA600" s="233">
        <f t="shared" si="162"/>
        <v>585475782.2369864</v>
      </c>
      <c r="AB600" s="208"/>
      <c r="AC600" s="233">
        <f t="shared" si="163"/>
        <v>0</v>
      </c>
      <c r="AD600" s="233"/>
      <c r="AE600" s="233"/>
      <c r="AF600" s="233">
        <f t="shared" si="165"/>
        <v>585475782.2369864</v>
      </c>
      <c r="AG600" s="233">
        <f t="shared" si="166"/>
        <v>585475782.2369864</v>
      </c>
      <c r="AH600" s="238">
        <f t="shared" si="167"/>
        <v>585475782.2369864</v>
      </c>
      <c r="AI600" s="238">
        <f t="shared" si="168"/>
        <v>1756427346.7109592</v>
      </c>
      <c r="AJ600" s="261">
        <f t="shared" si="169"/>
        <v>2016</v>
      </c>
      <c r="AK600" s="233">
        <f t="shared" si="170"/>
        <v>4098330485.658905</v>
      </c>
    </row>
    <row r="601" spans="1:39" s="120" customFormat="1" ht="35.25" hidden="1" customHeight="1" x14ac:dyDescent="0.2">
      <c r="B601" s="116" t="e">
        <f t="shared" si="159"/>
        <v>#N/A</v>
      </c>
      <c r="F601" s="218" t="s">
        <v>2305</v>
      </c>
      <c r="G601" s="130"/>
      <c r="H601" s="129" t="s">
        <v>1457</v>
      </c>
      <c r="I601" s="65" t="s">
        <v>3824</v>
      </c>
      <c r="J601" s="32"/>
      <c r="K601" s="40"/>
      <c r="L601" s="362"/>
      <c r="M601" s="40"/>
      <c r="N601" s="367"/>
      <c r="O601" s="33" t="s">
        <v>3261</v>
      </c>
      <c r="P601" s="32">
        <v>2016</v>
      </c>
      <c r="Q601" s="40"/>
      <c r="R601" s="40"/>
      <c r="S601" s="40"/>
      <c r="T601" s="32" t="s">
        <v>12</v>
      </c>
      <c r="U601" s="253">
        <v>2201551942.5196371</v>
      </c>
      <c r="V601" s="68"/>
      <c r="W601" s="61"/>
      <c r="X601" s="206" t="str">
        <f t="shared" si="171"/>
        <v>4.13.02</v>
      </c>
      <c r="Y601" s="207" t="str">
        <f t="shared" si="160"/>
        <v>JEMBATAN</v>
      </c>
      <c r="Z601" s="207">
        <f t="shared" si="161"/>
        <v>50</v>
      </c>
      <c r="AA601" s="233">
        <f t="shared" si="162"/>
        <v>44031038.650392741</v>
      </c>
      <c r="AB601" s="208"/>
      <c r="AC601" s="233">
        <f t="shared" si="163"/>
        <v>0</v>
      </c>
      <c r="AD601" s="233"/>
      <c r="AE601" s="233"/>
      <c r="AF601" s="233">
        <f t="shared" si="165"/>
        <v>44031038.650392741</v>
      </c>
      <c r="AG601" s="233">
        <f t="shared" si="166"/>
        <v>44031038.650392741</v>
      </c>
      <c r="AH601" s="238">
        <f t="shared" si="167"/>
        <v>44031038.650392741</v>
      </c>
      <c r="AI601" s="238">
        <f t="shared" si="168"/>
        <v>132093115.95117822</v>
      </c>
      <c r="AJ601" s="261">
        <f t="shared" si="169"/>
        <v>2016</v>
      </c>
      <c r="AK601" s="233">
        <f t="shared" si="170"/>
        <v>2069458826.5684588</v>
      </c>
    </row>
    <row r="602" spans="1:39" s="120" customFormat="1" ht="35.25" hidden="1" customHeight="1" x14ac:dyDescent="0.2">
      <c r="A602" s="116">
        <v>178</v>
      </c>
      <c r="B602" s="116" t="str">
        <f t="shared" ref="B602:B655" si="172">VLOOKUP(A602,RUAS,2,0)</f>
        <v>PAUH ANGIT - RAWANG BINJAI</v>
      </c>
      <c r="D602" s="120">
        <v>2</v>
      </c>
      <c r="E602" s="116" t="str">
        <f>A602&amp;"."&amp;D602</f>
        <v>178.2</v>
      </c>
      <c r="F602" s="218" t="s">
        <v>2304</v>
      </c>
      <c r="G602" s="130"/>
      <c r="H602" s="129" t="s">
        <v>1459</v>
      </c>
      <c r="I602" s="65" t="s">
        <v>2494</v>
      </c>
      <c r="J602" s="32"/>
      <c r="K602" s="40"/>
      <c r="L602" s="362"/>
      <c r="M602" s="40"/>
      <c r="N602" s="367"/>
      <c r="O602" s="72" t="s">
        <v>712</v>
      </c>
      <c r="P602" s="32">
        <v>2016</v>
      </c>
      <c r="Q602" s="40"/>
      <c r="R602" s="40"/>
      <c r="S602" s="40"/>
      <c r="T602" s="32" t="s">
        <v>12</v>
      </c>
      <c r="U602" s="253">
        <v>1766998059.23</v>
      </c>
      <c r="V602" s="68"/>
      <c r="W602" s="61"/>
      <c r="X602" s="206" t="str">
        <f t="shared" si="171"/>
        <v>4.13.01</v>
      </c>
      <c r="Y602" s="207" t="str">
        <f t="shared" ref="Y602:Y608" si="173">VLOOKUP(X602,kelompok,2,0)</f>
        <v>JALAN</v>
      </c>
      <c r="Z602" s="207">
        <f t="shared" ref="Z602:Z608" si="174">VLOOKUP(X602,MASAMANFAAT,4,0)</f>
        <v>10</v>
      </c>
      <c r="AA602" s="233">
        <f t="shared" ref="AA602:AA656" si="175">(U602-10)/Z602</f>
        <v>176699804.92300001</v>
      </c>
      <c r="AB602" s="208"/>
      <c r="AC602" s="233">
        <f t="shared" ref="AC602:AC609" si="176">IF(AB602&gt;Z602,U602-10,AA602*AB602)</f>
        <v>0</v>
      </c>
      <c r="AD602" s="233"/>
      <c r="AE602" s="233"/>
      <c r="AF602" s="233">
        <f t="shared" ref="AF602:AF608" si="177">IF(U602-10=AC602+AD602+AE602,0,AA602)</f>
        <v>176699804.92300001</v>
      </c>
      <c r="AG602" s="233">
        <f t="shared" ref="AG602:AG608" si="178">IF(U602-10=AD602+AE602+AF602+AC602,0,AA602)</f>
        <v>176699804.92300001</v>
      </c>
      <c r="AH602" s="238">
        <f t="shared" ref="AH602:AH656" si="179">IF(U602-10=AD602+AE602+AF602+AC602+AG602,0,AA602)</f>
        <v>176699804.92300001</v>
      </c>
      <c r="AI602" s="238">
        <f t="shared" ref="AI602:AI656" si="180">SUM(AC602:AH602)</f>
        <v>530099414.76900005</v>
      </c>
      <c r="AJ602" s="261">
        <f t="shared" ref="AJ602:AJ656" si="181">P602</f>
        <v>2016</v>
      </c>
      <c r="AK602" s="233">
        <f t="shared" ref="AK602:AK656" si="182">U602-AI602</f>
        <v>1236898644.461</v>
      </c>
      <c r="AM602" s="116" t="s">
        <v>4245</v>
      </c>
    </row>
    <row r="603" spans="1:39" s="120" customFormat="1" ht="35.25" hidden="1" customHeight="1" x14ac:dyDescent="0.2">
      <c r="A603" s="116">
        <v>295</v>
      </c>
      <c r="B603" s="116" t="str">
        <f t="shared" si="172"/>
        <v>SEI. PERUPUK - PULAU BAYUR</v>
      </c>
      <c r="D603" s="120">
        <v>3</v>
      </c>
      <c r="E603" s="116" t="str">
        <f>A603&amp;"."&amp;D603</f>
        <v>295.3</v>
      </c>
      <c r="F603" s="218" t="s">
        <v>2304</v>
      </c>
      <c r="G603" s="130"/>
      <c r="H603" s="129" t="s">
        <v>1460</v>
      </c>
      <c r="I603" s="65" t="s">
        <v>2494</v>
      </c>
      <c r="J603" s="32"/>
      <c r="K603" s="40"/>
      <c r="L603" s="362"/>
      <c r="M603" s="40"/>
      <c r="N603" s="367"/>
      <c r="O603" s="65" t="s">
        <v>3449</v>
      </c>
      <c r="P603" s="32">
        <v>2016</v>
      </c>
      <c r="Q603" s="40"/>
      <c r="R603" s="40"/>
      <c r="S603" s="40"/>
      <c r="T603" s="32" t="s">
        <v>12</v>
      </c>
      <c r="U603" s="253">
        <v>1944916077.3699999</v>
      </c>
      <c r="V603" s="68"/>
      <c r="W603" s="61"/>
      <c r="X603" s="206" t="str">
        <f t="shared" si="171"/>
        <v>4.13.01</v>
      </c>
      <c r="Y603" s="207" t="str">
        <f t="shared" si="173"/>
        <v>JALAN</v>
      </c>
      <c r="Z603" s="207">
        <f t="shared" si="174"/>
        <v>10</v>
      </c>
      <c r="AA603" s="233">
        <f t="shared" si="175"/>
        <v>194491606.73699999</v>
      </c>
      <c r="AB603" s="208"/>
      <c r="AC603" s="233">
        <f t="shared" si="176"/>
        <v>0</v>
      </c>
      <c r="AD603" s="233"/>
      <c r="AE603" s="233"/>
      <c r="AF603" s="233">
        <f t="shared" si="177"/>
        <v>194491606.73699999</v>
      </c>
      <c r="AG603" s="233">
        <f t="shared" si="178"/>
        <v>194491606.73699999</v>
      </c>
      <c r="AH603" s="238">
        <f t="shared" si="179"/>
        <v>194491606.73699999</v>
      </c>
      <c r="AI603" s="238">
        <f t="shared" si="180"/>
        <v>583474820.21099997</v>
      </c>
      <c r="AJ603" s="261">
        <f t="shared" si="181"/>
        <v>2016</v>
      </c>
      <c r="AK603" s="233">
        <f t="shared" si="182"/>
        <v>1361441257.1589999</v>
      </c>
      <c r="AM603" s="116" t="s">
        <v>4245</v>
      </c>
    </row>
    <row r="604" spans="1:39" s="120" customFormat="1" ht="35.25" hidden="1" customHeight="1" x14ac:dyDescent="0.2">
      <c r="B604" s="116" t="e">
        <f t="shared" si="172"/>
        <v>#N/A</v>
      </c>
      <c r="F604" s="218" t="s">
        <v>2304</v>
      </c>
      <c r="G604" s="130"/>
      <c r="H604" s="129" t="s">
        <v>1461</v>
      </c>
      <c r="I604" s="65" t="s">
        <v>2494</v>
      </c>
      <c r="J604" s="32"/>
      <c r="K604" s="40"/>
      <c r="L604" s="362"/>
      <c r="M604" s="40"/>
      <c r="N604" s="367"/>
      <c r="O604" s="33" t="s">
        <v>3262</v>
      </c>
      <c r="P604" s="32">
        <v>2016</v>
      </c>
      <c r="Q604" s="40"/>
      <c r="R604" s="40"/>
      <c r="S604" s="40"/>
      <c r="T604" s="32" t="s">
        <v>12</v>
      </c>
      <c r="U604" s="253">
        <v>1944689998.1099999</v>
      </c>
      <c r="V604" s="68"/>
      <c r="W604" s="61"/>
      <c r="X604" s="206" t="str">
        <f t="shared" si="171"/>
        <v>4.13.01</v>
      </c>
      <c r="Y604" s="207" t="str">
        <f t="shared" si="173"/>
        <v>JALAN</v>
      </c>
      <c r="Z604" s="207">
        <f t="shared" si="174"/>
        <v>10</v>
      </c>
      <c r="AA604" s="233">
        <f t="shared" si="175"/>
        <v>194468998.81099999</v>
      </c>
      <c r="AB604" s="208"/>
      <c r="AC604" s="233">
        <f t="shared" si="176"/>
        <v>0</v>
      </c>
      <c r="AD604" s="233"/>
      <c r="AE604" s="233"/>
      <c r="AF604" s="233">
        <f t="shared" si="177"/>
        <v>194468998.81099999</v>
      </c>
      <c r="AG604" s="233">
        <f t="shared" si="178"/>
        <v>194468998.81099999</v>
      </c>
      <c r="AH604" s="238">
        <f t="shared" si="179"/>
        <v>194468998.81099999</v>
      </c>
      <c r="AI604" s="238">
        <f t="shared" si="180"/>
        <v>583406996.43299997</v>
      </c>
      <c r="AJ604" s="261">
        <f t="shared" si="181"/>
        <v>2016</v>
      </c>
      <c r="AK604" s="233">
        <f t="shared" si="182"/>
        <v>1361283001.677</v>
      </c>
    </row>
    <row r="605" spans="1:39" s="120" customFormat="1" ht="35.25" hidden="1" customHeight="1" x14ac:dyDescent="0.2">
      <c r="A605" s="116">
        <v>245</v>
      </c>
      <c r="B605" s="116" t="str">
        <f t="shared" si="172"/>
        <v>SIMP. 4 PT. WANASARI - SUKAMAJU</v>
      </c>
      <c r="D605" s="120">
        <v>4</v>
      </c>
      <c r="E605" s="116" t="str">
        <f>A605&amp;"."&amp;D605</f>
        <v>245.4</v>
      </c>
      <c r="F605" s="218" t="s">
        <v>2304</v>
      </c>
      <c r="G605" s="130"/>
      <c r="H605" s="129" t="s">
        <v>1462</v>
      </c>
      <c r="I605" s="65" t="s">
        <v>2494</v>
      </c>
      <c r="J605" s="32"/>
      <c r="K605" s="40"/>
      <c r="L605" s="362"/>
      <c r="M605" s="40"/>
      <c r="N605" s="367"/>
      <c r="O605" s="72" t="s">
        <v>3093</v>
      </c>
      <c r="P605" s="32">
        <v>2016</v>
      </c>
      <c r="Q605" s="40"/>
      <c r="R605" s="40"/>
      <c r="S605" s="40"/>
      <c r="T605" s="32" t="s">
        <v>12</v>
      </c>
      <c r="U605" s="253">
        <v>2522478651.5700002</v>
      </c>
      <c r="V605" s="68"/>
      <c r="W605" s="61"/>
      <c r="X605" s="206" t="str">
        <f t="shared" si="171"/>
        <v>4.13.01</v>
      </c>
      <c r="Y605" s="207" t="str">
        <f t="shared" si="173"/>
        <v>JALAN</v>
      </c>
      <c r="Z605" s="207">
        <f t="shared" si="174"/>
        <v>10</v>
      </c>
      <c r="AA605" s="233">
        <f t="shared" si="175"/>
        <v>252247864.15700001</v>
      </c>
      <c r="AB605" s="208"/>
      <c r="AC605" s="233">
        <f t="shared" si="176"/>
        <v>0</v>
      </c>
      <c r="AD605" s="233"/>
      <c r="AE605" s="233"/>
      <c r="AF605" s="233">
        <f t="shared" si="177"/>
        <v>252247864.15700001</v>
      </c>
      <c r="AG605" s="233">
        <f t="shared" si="178"/>
        <v>252247864.15700001</v>
      </c>
      <c r="AH605" s="238">
        <f t="shared" si="179"/>
        <v>252247864.15700001</v>
      </c>
      <c r="AI605" s="238">
        <f t="shared" si="180"/>
        <v>756743592.47099996</v>
      </c>
      <c r="AJ605" s="261">
        <f t="shared" si="181"/>
        <v>2016</v>
      </c>
      <c r="AK605" s="233">
        <f t="shared" si="182"/>
        <v>1765735059.0990002</v>
      </c>
      <c r="AM605" s="116" t="s">
        <v>4245</v>
      </c>
    </row>
    <row r="606" spans="1:39" s="120" customFormat="1" ht="35.25" hidden="1" customHeight="1" x14ac:dyDescent="0.2">
      <c r="A606" s="116">
        <v>28</v>
      </c>
      <c r="B606" s="116" t="str">
        <f t="shared" si="172"/>
        <v>PL. KOMANG SENTAJO - KOTO SENTAJO</v>
      </c>
      <c r="D606" s="120">
        <v>4</v>
      </c>
      <c r="E606" s="120" t="str">
        <f>A606&amp;"."&amp;D606</f>
        <v>28.4</v>
      </c>
      <c r="F606" s="218" t="s">
        <v>2304</v>
      </c>
      <c r="G606" s="130"/>
      <c r="H606" s="129" t="s">
        <v>1463</v>
      </c>
      <c r="I606" s="65" t="s">
        <v>2494</v>
      </c>
      <c r="J606" s="32"/>
      <c r="K606" s="40"/>
      <c r="L606" s="362"/>
      <c r="M606" s="40"/>
      <c r="N606" s="367"/>
      <c r="O606" s="72" t="s">
        <v>3091</v>
      </c>
      <c r="P606" s="32">
        <v>2016</v>
      </c>
      <c r="Q606" s="40"/>
      <c r="R606" s="40"/>
      <c r="S606" s="40"/>
      <c r="T606" s="32" t="s">
        <v>12</v>
      </c>
      <c r="U606" s="253">
        <v>998055696.14999998</v>
      </c>
      <c r="V606" s="68"/>
      <c r="W606" s="61"/>
      <c r="X606" s="206" t="str">
        <f t="shared" si="171"/>
        <v>4.13.01</v>
      </c>
      <c r="Y606" s="207" t="str">
        <f t="shared" si="173"/>
        <v>JALAN</v>
      </c>
      <c r="Z606" s="207">
        <f t="shared" si="174"/>
        <v>10</v>
      </c>
      <c r="AA606" s="233">
        <f t="shared" si="175"/>
        <v>99805568.614999995</v>
      </c>
      <c r="AB606" s="208"/>
      <c r="AC606" s="233">
        <f t="shared" si="176"/>
        <v>0</v>
      </c>
      <c r="AD606" s="233"/>
      <c r="AE606" s="233"/>
      <c r="AF606" s="233">
        <f t="shared" si="177"/>
        <v>99805568.614999995</v>
      </c>
      <c r="AG606" s="233">
        <f t="shared" si="178"/>
        <v>99805568.614999995</v>
      </c>
      <c r="AH606" s="238">
        <f t="shared" si="179"/>
        <v>99805568.614999995</v>
      </c>
      <c r="AI606" s="238">
        <f t="shared" si="180"/>
        <v>299416705.84499997</v>
      </c>
      <c r="AJ606" s="261">
        <f t="shared" si="181"/>
        <v>2016</v>
      </c>
      <c r="AK606" s="233">
        <f t="shared" si="182"/>
        <v>698638990.30500007</v>
      </c>
      <c r="AM606" s="116" t="s">
        <v>4245</v>
      </c>
    </row>
    <row r="607" spans="1:39" s="120" customFormat="1" ht="35.25" hidden="1" customHeight="1" x14ac:dyDescent="0.2">
      <c r="B607" s="116" t="e">
        <f t="shared" si="172"/>
        <v>#N/A</v>
      </c>
      <c r="F607" s="218" t="s">
        <v>2305</v>
      </c>
      <c r="G607" s="130"/>
      <c r="H607" s="129" t="s">
        <v>1464</v>
      </c>
      <c r="I607" s="65" t="s">
        <v>2494</v>
      </c>
      <c r="J607" s="32"/>
      <c r="K607" s="40"/>
      <c r="L607" s="362"/>
      <c r="M607" s="40"/>
      <c r="N607" s="367"/>
      <c r="O607" s="33" t="s">
        <v>3263</v>
      </c>
      <c r="P607" s="32">
        <v>2016</v>
      </c>
      <c r="Q607" s="40"/>
      <c r="R607" s="40"/>
      <c r="S607" s="40"/>
      <c r="T607" s="32" t="s">
        <v>12</v>
      </c>
      <c r="U607" s="253">
        <v>198356308</v>
      </c>
      <c r="V607" s="68"/>
      <c r="W607" s="61"/>
      <c r="X607" s="206" t="str">
        <f t="shared" si="171"/>
        <v>4.13.02</v>
      </c>
      <c r="Y607" s="207" t="str">
        <f t="shared" si="173"/>
        <v>JEMBATAN</v>
      </c>
      <c r="Z607" s="207">
        <f t="shared" si="174"/>
        <v>50</v>
      </c>
      <c r="AA607" s="233">
        <f t="shared" si="175"/>
        <v>3967125.96</v>
      </c>
      <c r="AB607" s="208"/>
      <c r="AC607" s="233">
        <f t="shared" si="176"/>
        <v>0</v>
      </c>
      <c r="AD607" s="233"/>
      <c r="AE607" s="233"/>
      <c r="AF607" s="233">
        <f t="shared" si="177"/>
        <v>3967125.96</v>
      </c>
      <c r="AG607" s="233">
        <f t="shared" si="178"/>
        <v>3967125.96</v>
      </c>
      <c r="AH607" s="238">
        <f t="shared" si="179"/>
        <v>3967125.96</v>
      </c>
      <c r="AI607" s="238">
        <f t="shared" si="180"/>
        <v>11901377.879999999</v>
      </c>
      <c r="AJ607" s="261">
        <f t="shared" si="181"/>
        <v>2016</v>
      </c>
      <c r="AK607" s="233">
        <f t="shared" si="182"/>
        <v>186454930.12</v>
      </c>
    </row>
    <row r="608" spans="1:39" s="120" customFormat="1" ht="35.25" hidden="1" customHeight="1" x14ac:dyDescent="0.2">
      <c r="B608" s="116" t="e">
        <f t="shared" si="172"/>
        <v>#N/A</v>
      </c>
      <c r="F608" s="218" t="s">
        <v>2305</v>
      </c>
      <c r="G608" s="130"/>
      <c r="H608" s="129" t="s">
        <v>1465</v>
      </c>
      <c r="I608" s="65" t="s">
        <v>2494</v>
      </c>
      <c r="J608" s="32"/>
      <c r="K608" s="40"/>
      <c r="L608" s="362"/>
      <c r="M608" s="40"/>
      <c r="N608" s="367"/>
      <c r="O608" s="33" t="s">
        <v>3264</v>
      </c>
      <c r="P608" s="32">
        <v>2016</v>
      </c>
      <c r="Q608" s="40"/>
      <c r="R608" s="40"/>
      <c r="S608" s="40"/>
      <c r="T608" s="32" t="s">
        <v>12</v>
      </c>
      <c r="U608" s="253">
        <v>197669566</v>
      </c>
      <c r="V608" s="68"/>
      <c r="W608" s="61"/>
      <c r="X608" s="206" t="str">
        <f t="shared" si="171"/>
        <v>4.13.02</v>
      </c>
      <c r="Y608" s="207" t="str">
        <f t="shared" si="173"/>
        <v>JEMBATAN</v>
      </c>
      <c r="Z608" s="207">
        <f t="shared" si="174"/>
        <v>50</v>
      </c>
      <c r="AA608" s="233">
        <f t="shared" si="175"/>
        <v>3953391.12</v>
      </c>
      <c r="AB608" s="208"/>
      <c r="AC608" s="233">
        <f t="shared" si="176"/>
        <v>0</v>
      </c>
      <c r="AD608" s="233"/>
      <c r="AE608" s="233"/>
      <c r="AF608" s="233">
        <f t="shared" si="177"/>
        <v>3953391.12</v>
      </c>
      <c r="AG608" s="233">
        <f t="shared" si="178"/>
        <v>3953391.12</v>
      </c>
      <c r="AH608" s="238">
        <f t="shared" si="179"/>
        <v>3953391.12</v>
      </c>
      <c r="AI608" s="238">
        <f t="shared" si="180"/>
        <v>11860173.359999999</v>
      </c>
      <c r="AJ608" s="261">
        <f t="shared" si="181"/>
        <v>2016</v>
      </c>
      <c r="AK608" s="233">
        <f t="shared" si="182"/>
        <v>185809392.63999999</v>
      </c>
    </row>
    <row r="609" spans="1:39" s="120" customFormat="1" ht="35.25" hidden="1" customHeight="1" x14ac:dyDescent="0.2">
      <c r="A609" s="116">
        <v>27</v>
      </c>
      <c r="B609" s="116" t="str">
        <f t="shared" si="172"/>
        <v>JL. SEB. TELUK - SIBEROBAH</v>
      </c>
      <c r="D609" s="120">
        <v>2</v>
      </c>
      <c r="E609" s="120" t="str">
        <f>A609&amp;"."&amp;D609</f>
        <v>27.2</v>
      </c>
      <c r="F609" s="218"/>
      <c r="G609" s="130"/>
      <c r="H609" s="248" t="s">
        <v>3034</v>
      </c>
      <c r="I609" s="184" t="s">
        <v>2494</v>
      </c>
      <c r="J609" s="183"/>
      <c r="K609" s="184"/>
      <c r="L609" s="361"/>
      <c r="M609" s="183"/>
      <c r="N609" s="361"/>
      <c r="O609" s="247" t="s">
        <v>3265</v>
      </c>
      <c r="P609" s="184">
        <v>2017</v>
      </c>
      <c r="Q609" s="183"/>
      <c r="R609" s="183"/>
      <c r="S609" s="183"/>
      <c r="T609" s="32" t="s">
        <v>12</v>
      </c>
      <c r="U609" s="256">
        <v>6777598368</v>
      </c>
      <c r="V609" s="68"/>
      <c r="W609" s="61"/>
      <c r="X609" s="206" t="str">
        <f t="shared" ref="X609:X640" si="183">MID(I609,2,7)</f>
        <v>4.13.01</v>
      </c>
      <c r="Y609" s="207" t="e">
        <f t="shared" ref="Y609:Y666" si="184">VLOOKUP(X609,UE,2,0)</f>
        <v>#N/A</v>
      </c>
      <c r="Z609" s="207" t="e">
        <f t="shared" ref="Z609:Z666" si="185">VLOOKUP(X609,UE,3,0)</f>
        <v>#N/A</v>
      </c>
      <c r="AA609" s="233" t="e">
        <f t="shared" si="175"/>
        <v>#N/A</v>
      </c>
      <c r="AB609" s="208"/>
      <c r="AC609" s="233" t="e">
        <f t="shared" si="176"/>
        <v>#N/A</v>
      </c>
      <c r="AD609" s="233"/>
      <c r="AE609" s="233"/>
      <c r="AF609" s="233"/>
      <c r="AG609" s="233"/>
      <c r="AH609" s="238" t="e">
        <f t="shared" si="179"/>
        <v>#N/A</v>
      </c>
      <c r="AI609" s="238" t="e">
        <f t="shared" si="180"/>
        <v>#N/A</v>
      </c>
      <c r="AJ609" s="261">
        <f t="shared" si="181"/>
        <v>2017</v>
      </c>
      <c r="AK609" s="233" t="e">
        <f t="shared" si="182"/>
        <v>#N/A</v>
      </c>
      <c r="AM609" s="116" t="s">
        <v>4245</v>
      </c>
    </row>
    <row r="610" spans="1:39" s="120" customFormat="1" ht="35.25" hidden="1" customHeight="1" x14ac:dyDescent="0.2">
      <c r="A610" s="116">
        <v>258</v>
      </c>
      <c r="B610" s="116" t="str">
        <f t="shared" si="172"/>
        <v>LEPAU GADING - PANGEAN</v>
      </c>
      <c r="D610" s="120">
        <v>5</v>
      </c>
      <c r="E610" s="116" t="str">
        <f>A610&amp;"."&amp;D610</f>
        <v>258.5</v>
      </c>
      <c r="F610" s="218"/>
      <c r="G610" s="130"/>
      <c r="H610" s="248" t="s">
        <v>3036</v>
      </c>
      <c r="I610" s="184" t="s">
        <v>2494</v>
      </c>
      <c r="J610" s="183"/>
      <c r="K610" s="184"/>
      <c r="L610" s="361"/>
      <c r="M610" s="183"/>
      <c r="N610" s="361"/>
      <c r="O610" s="72" t="s">
        <v>518</v>
      </c>
      <c r="P610" s="184">
        <v>2017</v>
      </c>
      <c r="Q610" s="183"/>
      <c r="R610" s="183"/>
      <c r="S610" s="183"/>
      <c r="T610" s="32" t="s">
        <v>12</v>
      </c>
      <c r="U610" s="256">
        <v>3776832000</v>
      </c>
      <c r="V610" s="68"/>
      <c r="W610" s="61"/>
      <c r="X610" s="206" t="str">
        <f t="shared" si="183"/>
        <v>4.13.01</v>
      </c>
      <c r="Y610" s="207" t="e">
        <f t="shared" si="184"/>
        <v>#N/A</v>
      </c>
      <c r="Z610" s="207" t="e">
        <f t="shared" si="185"/>
        <v>#N/A</v>
      </c>
      <c r="AA610" s="233" t="e">
        <f t="shared" si="175"/>
        <v>#N/A</v>
      </c>
      <c r="AB610" s="208"/>
      <c r="AC610" s="233"/>
      <c r="AD610" s="233"/>
      <c r="AE610" s="233"/>
      <c r="AF610" s="233"/>
      <c r="AG610" s="233"/>
      <c r="AH610" s="238" t="e">
        <f t="shared" si="179"/>
        <v>#N/A</v>
      </c>
      <c r="AI610" s="238" t="e">
        <f t="shared" si="180"/>
        <v>#N/A</v>
      </c>
      <c r="AJ610" s="261">
        <f t="shared" si="181"/>
        <v>2017</v>
      </c>
      <c r="AK610" s="233" t="e">
        <f t="shared" si="182"/>
        <v>#N/A</v>
      </c>
      <c r="AM610" s="116" t="s">
        <v>4245</v>
      </c>
    </row>
    <row r="611" spans="1:39" s="120" customFormat="1" ht="35.25" hidden="1" customHeight="1" x14ac:dyDescent="0.2">
      <c r="A611" s="116">
        <v>27</v>
      </c>
      <c r="B611" s="116" t="str">
        <f t="shared" si="172"/>
        <v>JL. SEB. TELUK - SIBEROBAH</v>
      </c>
      <c r="D611" s="120">
        <v>3</v>
      </c>
      <c r="E611" s="120" t="str">
        <f>A611&amp;"."&amp;D611</f>
        <v>27.3</v>
      </c>
      <c r="F611" s="218"/>
      <c r="G611" s="130"/>
      <c r="H611" s="248" t="s">
        <v>3039</v>
      </c>
      <c r="I611" s="184" t="s">
        <v>2494</v>
      </c>
      <c r="J611" s="183"/>
      <c r="K611" s="184"/>
      <c r="L611" s="361"/>
      <c r="M611" s="183"/>
      <c r="N611" s="361"/>
      <c r="O611" s="247" t="s">
        <v>3265</v>
      </c>
      <c r="P611" s="184">
        <v>2017</v>
      </c>
      <c r="Q611" s="183"/>
      <c r="R611" s="183"/>
      <c r="S611" s="183"/>
      <c r="T611" s="32" t="s">
        <v>12</v>
      </c>
      <c r="U611" s="256">
        <v>246620000</v>
      </c>
      <c r="V611" s="68"/>
      <c r="W611" s="61"/>
      <c r="X611" s="206" t="str">
        <f t="shared" si="183"/>
        <v>4.13.01</v>
      </c>
      <c r="Y611" s="207" t="e">
        <f t="shared" si="184"/>
        <v>#N/A</v>
      </c>
      <c r="Z611" s="207" t="e">
        <f t="shared" si="185"/>
        <v>#N/A</v>
      </c>
      <c r="AA611" s="233" t="e">
        <f t="shared" si="175"/>
        <v>#N/A</v>
      </c>
      <c r="AB611" s="208"/>
      <c r="AC611" s="233"/>
      <c r="AD611" s="233"/>
      <c r="AE611" s="233"/>
      <c r="AF611" s="233"/>
      <c r="AG611" s="233"/>
      <c r="AH611" s="238" t="e">
        <f t="shared" si="179"/>
        <v>#N/A</v>
      </c>
      <c r="AI611" s="238" t="e">
        <f t="shared" si="180"/>
        <v>#N/A</v>
      </c>
      <c r="AJ611" s="261">
        <f t="shared" si="181"/>
        <v>2017</v>
      </c>
      <c r="AK611" s="233" t="e">
        <f t="shared" si="182"/>
        <v>#N/A</v>
      </c>
      <c r="AM611" s="116" t="s">
        <v>4245</v>
      </c>
    </row>
    <row r="612" spans="1:39" s="120" customFormat="1" ht="35.25" hidden="1" customHeight="1" x14ac:dyDescent="0.2">
      <c r="A612" s="116">
        <v>258</v>
      </c>
      <c r="B612" s="116" t="str">
        <f t="shared" si="172"/>
        <v>LEPAU GADING - PANGEAN</v>
      </c>
      <c r="D612" s="120">
        <v>6</v>
      </c>
      <c r="E612" s="116" t="str">
        <f>A612&amp;"."&amp;D612</f>
        <v>258.6</v>
      </c>
      <c r="F612" s="218"/>
      <c r="G612" s="130"/>
      <c r="H612" s="248" t="s">
        <v>3041</v>
      </c>
      <c r="I612" s="184" t="s">
        <v>2494</v>
      </c>
      <c r="J612" s="183"/>
      <c r="K612" s="184"/>
      <c r="L612" s="361"/>
      <c r="M612" s="183"/>
      <c r="N612" s="361"/>
      <c r="O612" s="72" t="s">
        <v>518</v>
      </c>
      <c r="P612" s="184">
        <v>2017</v>
      </c>
      <c r="Q612" s="183"/>
      <c r="R612" s="183"/>
      <c r="S612" s="183"/>
      <c r="T612" s="32" t="s">
        <v>12</v>
      </c>
      <c r="U612" s="256">
        <v>248600000</v>
      </c>
      <c r="V612" s="68"/>
      <c r="W612" s="61"/>
      <c r="X612" s="206" t="str">
        <f t="shared" si="183"/>
        <v>4.13.01</v>
      </c>
      <c r="Y612" s="207" t="e">
        <f t="shared" si="184"/>
        <v>#N/A</v>
      </c>
      <c r="Z612" s="207" t="e">
        <f t="shared" si="185"/>
        <v>#N/A</v>
      </c>
      <c r="AA612" s="233" t="e">
        <f t="shared" si="175"/>
        <v>#N/A</v>
      </c>
      <c r="AB612" s="208"/>
      <c r="AC612" s="233"/>
      <c r="AD612" s="233"/>
      <c r="AE612" s="233"/>
      <c r="AF612" s="233"/>
      <c r="AG612" s="233"/>
      <c r="AH612" s="238" t="e">
        <f t="shared" si="179"/>
        <v>#N/A</v>
      </c>
      <c r="AI612" s="238" t="e">
        <f t="shared" si="180"/>
        <v>#N/A</v>
      </c>
      <c r="AJ612" s="261">
        <f t="shared" si="181"/>
        <v>2017</v>
      </c>
      <c r="AK612" s="233" t="e">
        <f t="shared" si="182"/>
        <v>#N/A</v>
      </c>
      <c r="AM612" s="116" t="s">
        <v>4245</v>
      </c>
    </row>
    <row r="613" spans="1:39" s="120" customFormat="1" ht="35.25" hidden="1" customHeight="1" x14ac:dyDescent="0.2">
      <c r="B613" s="116" t="e">
        <f t="shared" si="172"/>
        <v>#N/A</v>
      </c>
      <c r="F613" s="218"/>
      <c r="G613" s="130"/>
      <c r="H613" s="248" t="s">
        <v>3043</v>
      </c>
      <c r="I613" s="184" t="s">
        <v>2494</v>
      </c>
      <c r="J613" s="183"/>
      <c r="K613" s="184"/>
      <c r="L613" s="361"/>
      <c r="M613" s="183"/>
      <c r="N613" s="361"/>
      <c r="O613" s="247" t="s">
        <v>3266</v>
      </c>
      <c r="P613" s="184">
        <v>2017</v>
      </c>
      <c r="Q613" s="183"/>
      <c r="R613" s="183"/>
      <c r="S613" s="183"/>
      <c r="T613" s="32" t="s">
        <v>12</v>
      </c>
      <c r="U613" s="256">
        <v>1877489539</v>
      </c>
      <c r="V613" s="68"/>
      <c r="W613" s="61"/>
      <c r="X613" s="206" t="str">
        <f t="shared" si="183"/>
        <v>4.13.01</v>
      </c>
      <c r="Y613" s="207" t="e">
        <f t="shared" si="184"/>
        <v>#N/A</v>
      </c>
      <c r="Z613" s="207" t="e">
        <f t="shared" si="185"/>
        <v>#N/A</v>
      </c>
      <c r="AA613" s="233" t="e">
        <f t="shared" si="175"/>
        <v>#N/A</v>
      </c>
      <c r="AB613" s="208"/>
      <c r="AC613" s="233"/>
      <c r="AD613" s="233"/>
      <c r="AE613" s="233"/>
      <c r="AF613" s="233"/>
      <c r="AG613" s="233"/>
      <c r="AH613" s="238" t="e">
        <f t="shared" si="179"/>
        <v>#N/A</v>
      </c>
      <c r="AI613" s="238" t="e">
        <f t="shared" si="180"/>
        <v>#N/A</v>
      </c>
      <c r="AJ613" s="261">
        <f t="shared" si="181"/>
        <v>2017</v>
      </c>
      <c r="AK613" s="233" t="e">
        <f t="shared" si="182"/>
        <v>#N/A</v>
      </c>
    </row>
    <row r="614" spans="1:39" s="120" customFormat="1" ht="35.25" hidden="1" customHeight="1" x14ac:dyDescent="0.2">
      <c r="B614" s="116" t="e">
        <f t="shared" si="172"/>
        <v>#N/A</v>
      </c>
      <c r="F614" s="218"/>
      <c r="G614" s="130"/>
      <c r="H614" s="248" t="s">
        <v>3044</v>
      </c>
      <c r="I614" s="184" t="s">
        <v>2494</v>
      </c>
      <c r="J614" s="183"/>
      <c r="K614" s="184"/>
      <c r="L614" s="361"/>
      <c r="M614" s="183"/>
      <c r="N614" s="361"/>
      <c r="O614" s="247" t="s">
        <v>3267</v>
      </c>
      <c r="P614" s="184">
        <v>2017</v>
      </c>
      <c r="Q614" s="183"/>
      <c r="R614" s="183"/>
      <c r="S614" s="183"/>
      <c r="T614" s="32" t="s">
        <v>12</v>
      </c>
      <c r="U614" s="256">
        <v>2279380200</v>
      </c>
      <c r="V614" s="68"/>
      <c r="W614" s="61"/>
      <c r="X614" s="206" t="str">
        <f t="shared" si="183"/>
        <v>4.13.01</v>
      </c>
      <c r="Y614" s="207" t="e">
        <f t="shared" si="184"/>
        <v>#N/A</v>
      </c>
      <c r="Z614" s="207" t="e">
        <f t="shared" si="185"/>
        <v>#N/A</v>
      </c>
      <c r="AA614" s="233" t="e">
        <f t="shared" si="175"/>
        <v>#N/A</v>
      </c>
      <c r="AB614" s="208"/>
      <c r="AC614" s="233"/>
      <c r="AD614" s="233"/>
      <c r="AE614" s="233"/>
      <c r="AF614" s="233"/>
      <c r="AG614" s="233"/>
      <c r="AH614" s="238" t="e">
        <f t="shared" si="179"/>
        <v>#N/A</v>
      </c>
      <c r="AI614" s="238" t="e">
        <f t="shared" si="180"/>
        <v>#N/A</v>
      </c>
      <c r="AJ614" s="261">
        <f t="shared" si="181"/>
        <v>2017</v>
      </c>
      <c r="AK614" s="233" t="e">
        <f t="shared" si="182"/>
        <v>#N/A</v>
      </c>
    </row>
    <row r="615" spans="1:39" s="120" customFormat="1" ht="35.25" hidden="1" customHeight="1" x14ac:dyDescent="0.2">
      <c r="B615" s="116" t="e">
        <f t="shared" si="172"/>
        <v>#N/A</v>
      </c>
      <c r="F615" s="218"/>
      <c r="G615" s="130"/>
      <c r="H615" s="248" t="s">
        <v>3045</v>
      </c>
      <c r="I615" s="184" t="s">
        <v>2494</v>
      </c>
      <c r="J615" s="183"/>
      <c r="K615" s="184"/>
      <c r="L615" s="361"/>
      <c r="M615" s="183"/>
      <c r="N615" s="361"/>
      <c r="O615" s="247" t="s">
        <v>3268</v>
      </c>
      <c r="P615" s="184">
        <v>2017</v>
      </c>
      <c r="Q615" s="183"/>
      <c r="R615" s="183"/>
      <c r="S615" s="183"/>
      <c r="T615" s="32" t="s">
        <v>12</v>
      </c>
      <c r="U615" s="256">
        <v>240781700</v>
      </c>
      <c r="V615" s="68"/>
      <c r="W615" s="61"/>
      <c r="X615" s="206" t="str">
        <f t="shared" si="183"/>
        <v>4.13.01</v>
      </c>
      <c r="Y615" s="207" t="e">
        <f t="shared" si="184"/>
        <v>#N/A</v>
      </c>
      <c r="Z615" s="207" t="e">
        <f t="shared" si="185"/>
        <v>#N/A</v>
      </c>
      <c r="AA615" s="233" t="e">
        <f t="shared" si="175"/>
        <v>#N/A</v>
      </c>
      <c r="AB615" s="208"/>
      <c r="AC615" s="233"/>
      <c r="AD615" s="233"/>
      <c r="AE615" s="233"/>
      <c r="AF615" s="233"/>
      <c r="AG615" s="233"/>
      <c r="AH615" s="238" t="e">
        <f t="shared" si="179"/>
        <v>#N/A</v>
      </c>
      <c r="AI615" s="238" t="e">
        <f t="shared" si="180"/>
        <v>#N/A</v>
      </c>
      <c r="AJ615" s="261">
        <f t="shared" si="181"/>
        <v>2017</v>
      </c>
      <c r="AK615" s="233" t="e">
        <f t="shared" si="182"/>
        <v>#N/A</v>
      </c>
    </row>
    <row r="616" spans="1:39" s="120" customFormat="1" ht="35.25" hidden="1" customHeight="1" x14ac:dyDescent="0.2">
      <c r="A616" s="120">
        <v>296</v>
      </c>
      <c r="B616" s="116" t="str">
        <f t="shared" si="172"/>
        <v>INUMAN - PULAU BUSUK</v>
      </c>
      <c r="D616" s="120">
        <v>3</v>
      </c>
      <c r="E616" s="116" t="str">
        <f>A616&amp;"."&amp;D616</f>
        <v>296.3</v>
      </c>
      <c r="F616" s="218"/>
      <c r="G616" s="130"/>
      <c r="H616" s="248" t="s">
        <v>2495</v>
      </c>
      <c r="I616" s="184" t="s">
        <v>2494</v>
      </c>
      <c r="J616" s="183"/>
      <c r="K616" s="184"/>
      <c r="L616" s="361"/>
      <c r="M616" s="183"/>
      <c r="N616" s="361"/>
      <c r="O616" s="247" t="s">
        <v>2557</v>
      </c>
      <c r="P616" s="184">
        <v>2017</v>
      </c>
      <c r="Q616" s="183"/>
      <c r="R616" s="183"/>
      <c r="S616" s="183"/>
      <c r="T616" s="32" t="s">
        <v>12</v>
      </c>
      <c r="U616" s="256">
        <v>185659000</v>
      </c>
      <c r="V616" s="68"/>
      <c r="W616" s="61"/>
      <c r="X616" s="206" t="str">
        <f t="shared" si="183"/>
        <v>4.13.01</v>
      </c>
      <c r="Y616" s="207" t="e">
        <f t="shared" si="184"/>
        <v>#N/A</v>
      </c>
      <c r="Z616" s="207" t="e">
        <f t="shared" si="185"/>
        <v>#N/A</v>
      </c>
      <c r="AA616" s="233" t="e">
        <f t="shared" si="175"/>
        <v>#N/A</v>
      </c>
      <c r="AB616" s="208"/>
      <c r="AC616" s="233"/>
      <c r="AD616" s="233"/>
      <c r="AE616" s="233"/>
      <c r="AF616" s="233"/>
      <c r="AG616" s="233"/>
      <c r="AH616" s="238" t="e">
        <f t="shared" si="179"/>
        <v>#N/A</v>
      </c>
      <c r="AI616" s="238" t="e">
        <f t="shared" si="180"/>
        <v>#N/A</v>
      </c>
      <c r="AJ616" s="261">
        <f t="shared" si="181"/>
        <v>2017</v>
      </c>
      <c r="AK616" s="233" t="e">
        <f t="shared" si="182"/>
        <v>#N/A</v>
      </c>
      <c r="AM616" s="116" t="s">
        <v>4245</v>
      </c>
    </row>
    <row r="617" spans="1:39" s="120" customFormat="1" ht="35.25" hidden="1" customHeight="1" x14ac:dyDescent="0.2">
      <c r="B617" s="116" t="e">
        <f t="shared" si="172"/>
        <v>#N/A</v>
      </c>
      <c r="F617" s="218"/>
      <c r="G617" s="130"/>
      <c r="H617" s="248" t="s">
        <v>3046</v>
      </c>
      <c r="I617" s="184" t="s">
        <v>2494</v>
      </c>
      <c r="J617" s="183"/>
      <c r="K617" s="184"/>
      <c r="L617" s="361"/>
      <c r="M617" s="183"/>
      <c r="N617" s="361"/>
      <c r="O617" s="247" t="s">
        <v>3269</v>
      </c>
      <c r="P617" s="184">
        <v>2017</v>
      </c>
      <c r="Q617" s="183"/>
      <c r="R617" s="183"/>
      <c r="S617" s="183"/>
      <c r="T617" s="32" t="s">
        <v>12</v>
      </c>
      <c r="U617" s="256">
        <v>191062300</v>
      </c>
      <c r="V617" s="68"/>
      <c r="W617" s="61"/>
      <c r="X617" s="206" t="str">
        <f t="shared" si="183"/>
        <v>4.13.01</v>
      </c>
      <c r="Y617" s="207" t="e">
        <f t="shared" si="184"/>
        <v>#N/A</v>
      </c>
      <c r="Z617" s="207" t="e">
        <f t="shared" si="185"/>
        <v>#N/A</v>
      </c>
      <c r="AA617" s="233" t="e">
        <f t="shared" si="175"/>
        <v>#N/A</v>
      </c>
      <c r="AB617" s="208"/>
      <c r="AC617" s="233"/>
      <c r="AD617" s="233"/>
      <c r="AE617" s="233"/>
      <c r="AF617" s="233"/>
      <c r="AG617" s="233"/>
      <c r="AH617" s="238" t="e">
        <f t="shared" si="179"/>
        <v>#N/A</v>
      </c>
      <c r="AI617" s="238" t="e">
        <f t="shared" si="180"/>
        <v>#N/A</v>
      </c>
      <c r="AJ617" s="261">
        <f t="shared" si="181"/>
        <v>2017</v>
      </c>
      <c r="AK617" s="233" t="e">
        <f t="shared" si="182"/>
        <v>#N/A</v>
      </c>
    </row>
    <row r="618" spans="1:39" s="120" customFormat="1" ht="35.25" hidden="1" customHeight="1" x14ac:dyDescent="0.2">
      <c r="B618" s="116" t="e">
        <f t="shared" si="172"/>
        <v>#N/A</v>
      </c>
      <c r="F618" s="218"/>
      <c r="G618" s="130"/>
      <c r="H618" s="248" t="s">
        <v>3047</v>
      </c>
      <c r="I618" s="184" t="s">
        <v>2494</v>
      </c>
      <c r="J618" s="183"/>
      <c r="K618" s="184"/>
      <c r="L618" s="361"/>
      <c r="M618" s="183"/>
      <c r="N618" s="361"/>
      <c r="O618" s="247" t="s">
        <v>3270</v>
      </c>
      <c r="P618" s="184">
        <v>2017</v>
      </c>
      <c r="Q618" s="183"/>
      <c r="R618" s="183"/>
      <c r="S618" s="183"/>
      <c r="T618" s="32" t="s">
        <v>12</v>
      </c>
      <c r="U618" s="256">
        <v>191876653</v>
      </c>
      <c r="V618" s="68"/>
      <c r="W618" s="61"/>
      <c r="X618" s="206" t="str">
        <f t="shared" si="183"/>
        <v>4.13.01</v>
      </c>
      <c r="Y618" s="207" t="e">
        <f t="shared" si="184"/>
        <v>#N/A</v>
      </c>
      <c r="Z618" s="207" t="e">
        <f t="shared" si="185"/>
        <v>#N/A</v>
      </c>
      <c r="AA618" s="233" t="e">
        <f t="shared" si="175"/>
        <v>#N/A</v>
      </c>
      <c r="AB618" s="208"/>
      <c r="AC618" s="233"/>
      <c r="AD618" s="233"/>
      <c r="AE618" s="233"/>
      <c r="AF618" s="233"/>
      <c r="AG618" s="233"/>
      <c r="AH618" s="238" t="e">
        <f t="shared" si="179"/>
        <v>#N/A</v>
      </c>
      <c r="AI618" s="238" t="e">
        <f t="shared" si="180"/>
        <v>#N/A</v>
      </c>
      <c r="AJ618" s="261">
        <f t="shared" si="181"/>
        <v>2017</v>
      </c>
      <c r="AK618" s="233" t="e">
        <f t="shared" si="182"/>
        <v>#N/A</v>
      </c>
    </row>
    <row r="619" spans="1:39" s="120" customFormat="1" ht="35.25" hidden="1" customHeight="1" x14ac:dyDescent="0.2">
      <c r="A619" s="116">
        <v>235</v>
      </c>
      <c r="B619" s="116" t="str">
        <f t="shared" si="172"/>
        <v>AIR MAS - SEI. KERANJI</v>
      </c>
      <c r="D619" s="120">
        <v>4</v>
      </c>
      <c r="E619" s="116" t="str">
        <f>A619&amp;"."&amp;D619</f>
        <v>235.4</v>
      </c>
      <c r="F619" s="218"/>
      <c r="G619" s="130"/>
      <c r="H619" s="248" t="s">
        <v>2496</v>
      </c>
      <c r="I619" s="184" t="s">
        <v>2494</v>
      </c>
      <c r="J619" s="183"/>
      <c r="K619" s="184"/>
      <c r="L619" s="361"/>
      <c r="M619" s="183"/>
      <c r="N619" s="361"/>
      <c r="O619" s="247" t="s">
        <v>2558</v>
      </c>
      <c r="P619" s="184">
        <v>2017</v>
      </c>
      <c r="Q619" s="183"/>
      <c r="R619" s="183"/>
      <c r="S619" s="183"/>
      <c r="T619" s="32" t="s">
        <v>12</v>
      </c>
      <c r="U619" s="256">
        <v>188980000</v>
      </c>
      <c r="V619" s="68"/>
      <c r="W619" s="61"/>
      <c r="X619" s="206" t="str">
        <f t="shared" si="183"/>
        <v>4.13.01</v>
      </c>
      <c r="Y619" s="207" t="e">
        <f t="shared" si="184"/>
        <v>#N/A</v>
      </c>
      <c r="Z619" s="207" t="e">
        <f t="shared" si="185"/>
        <v>#N/A</v>
      </c>
      <c r="AA619" s="233" t="e">
        <f t="shared" si="175"/>
        <v>#N/A</v>
      </c>
      <c r="AB619" s="208"/>
      <c r="AC619" s="233"/>
      <c r="AD619" s="233"/>
      <c r="AE619" s="233"/>
      <c r="AF619" s="233"/>
      <c r="AG619" s="233"/>
      <c r="AH619" s="238" t="e">
        <f t="shared" si="179"/>
        <v>#N/A</v>
      </c>
      <c r="AI619" s="238" t="e">
        <f t="shared" si="180"/>
        <v>#N/A</v>
      </c>
      <c r="AJ619" s="261">
        <f t="shared" si="181"/>
        <v>2017</v>
      </c>
      <c r="AK619" s="233" t="e">
        <f t="shared" si="182"/>
        <v>#N/A</v>
      </c>
      <c r="AM619" s="116" t="s">
        <v>4245</v>
      </c>
    </row>
    <row r="620" spans="1:39" s="120" customFormat="1" ht="35.25" hidden="1" customHeight="1" x14ac:dyDescent="0.2">
      <c r="B620" s="116" t="e">
        <f t="shared" si="172"/>
        <v>#N/A</v>
      </c>
      <c r="F620" s="218"/>
      <c r="G620" s="130"/>
      <c r="H620" s="248" t="s">
        <v>2497</v>
      </c>
      <c r="I620" s="184" t="s">
        <v>2494</v>
      </c>
      <c r="J620" s="183"/>
      <c r="K620" s="184"/>
      <c r="L620" s="361"/>
      <c r="M620" s="183"/>
      <c r="N620" s="361"/>
      <c r="O620" s="247" t="s">
        <v>2559</v>
      </c>
      <c r="P620" s="184">
        <v>2017</v>
      </c>
      <c r="Q620" s="183"/>
      <c r="R620" s="183"/>
      <c r="S620" s="183"/>
      <c r="T620" s="32" t="s">
        <v>12</v>
      </c>
      <c r="U620" s="256">
        <v>190632000</v>
      </c>
      <c r="V620" s="68"/>
      <c r="W620" s="61"/>
      <c r="X620" s="206" t="str">
        <f t="shared" si="183"/>
        <v>4.13.01</v>
      </c>
      <c r="Y620" s="207" t="e">
        <f t="shared" si="184"/>
        <v>#N/A</v>
      </c>
      <c r="Z620" s="207" t="e">
        <f t="shared" si="185"/>
        <v>#N/A</v>
      </c>
      <c r="AA620" s="233" t="e">
        <f t="shared" si="175"/>
        <v>#N/A</v>
      </c>
      <c r="AB620" s="208"/>
      <c r="AC620" s="233"/>
      <c r="AD620" s="233"/>
      <c r="AE620" s="233"/>
      <c r="AF620" s="233"/>
      <c r="AG620" s="233"/>
      <c r="AH620" s="238" t="e">
        <f t="shared" si="179"/>
        <v>#N/A</v>
      </c>
      <c r="AI620" s="238" t="e">
        <f t="shared" si="180"/>
        <v>#N/A</v>
      </c>
      <c r="AJ620" s="261">
        <f t="shared" si="181"/>
        <v>2017</v>
      </c>
      <c r="AK620" s="233" t="e">
        <f t="shared" si="182"/>
        <v>#N/A</v>
      </c>
    </row>
    <row r="621" spans="1:39" s="120" customFormat="1" ht="35.25" hidden="1" customHeight="1" x14ac:dyDescent="0.2">
      <c r="B621" s="116" t="e">
        <f t="shared" si="172"/>
        <v>#N/A</v>
      </c>
      <c r="F621" s="218"/>
      <c r="G621" s="130"/>
      <c r="H621" s="248" t="s">
        <v>2498</v>
      </c>
      <c r="I621" s="184" t="s">
        <v>2494</v>
      </c>
      <c r="J621" s="183"/>
      <c r="K621" s="184"/>
      <c r="L621" s="361"/>
      <c r="M621" s="183"/>
      <c r="N621" s="361"/>
      <c r="O621" s="247" t="s">
        <v>2560</v>
      </c>
      <c r="P621" s="184">
        <v>2017</v>
      </c>
      <c r="Q621" s="183"/>
      <c r="R621" s="183"/>
      <c r="S621" s="183"/>
      <c r="T621" s="32" t="s">
        <v>12</v>
      </c>
      <c r="U621" s="256">
        <v>190458000</v>
      </c>
      <c r="V621" s="68"/>
      <c r="W621" s="61"/>
      <c r="X621" s="206" t="str">
        <f t="shared" si="183"/>
        <v>4.13.01</v>
      </c>
      <c r="Y621" s="207" t="e">
        <f t="shared" si="184"/>
        <v>#N/A</v>
      </c>
      <c r="Z621" s="207" t="e">
        <f t="shared" si="185"/>
        <v>#N/A</v>
      </c>
      <c r="AA621" s="233" t="e">
        <f t="shared" si="175"/>
        <v>#N/A</v>
      </c>
      <c r="AB621" s="208"/>
      <c r="AC621" s="233"/>
      <c r="AD621" s="233"/>
      <c r="AE621" s="233"/>
      <c r="AF621" s="233"/>
      <c r="AG621" s="233"/>
      <c r="AH621" s="238" t="e">
        <f t="shared" si="179"/>
        <v>#N/A</v>
      </c>
      <c r="AI621" s="238" t="e">
        <f t="shared" si="180"/>
        <v>#N/A</v>
      </c>
      <c r="AJ621" s="261">
        <f t="shared" si="181"/>
        <v>2017</v>
      </c>
      <c r="AK621" s="233" t="e">
        <f t="shared" si="182"/>
        <v>#N/A</v>
      </c>
    </row>
    <row r="622" spans="1:39" s="120" customFormat="1" ht="35.25" hidden="1" customHeight="1" x14ac:dyDescent="0.2">
      <c r="B622" s="116" t="e">
        <f t="shared" si="172"/>
        <v>#N/A</v>
      </c>
      <c r="F622" s="218"/>
      <c r="G622" s="130"/>
      <c r="H622" s="248" t="s">
        <v>2499</v>
      </c>
      <c r="I622" s="184" t="s">
        <v>2494</v>
      </c>
      <c r="J622" s="183"/>
      <c r="K622" s="184"/>
      <c r="L622" s="361"/>
      <c r="M622" s="183"/>
      <c r="N622" s="361"/>
      <c r="O622" s="247" t="s">
        <v>2561</v>
      </c>
      <c r="P622" s="184">
        <v>2017</v>
      </c>
      <c r="Q622" s="183"/>
      <c r="R622" s="183"/>
      <c r="S622" s="183"/>
      <c r="T622" s="32" t="s">
        <v>12</v>
      </c>
      <c r="U622" s="256">
        <v>190288000</v>
      </c>
      <c r="V622" s="68"/>
      <c r="W622" s="61"/>
      <c r="X622" s="206" t="str">
        <f t="shared" si="183"/>
        <v>4.13.01</v>
      </c>
      <c r="Y622" s="207" t="e">
        <f t="shared" si="184"/>
        <v>#N/A</v>
      </c>
      <c r="Z622" s="207" t="e">
        <f t="shared" si="185"/>
        <v>#N/A</v>
      </c>
      <c r="AA622" s="233" t="e">
        <f t="shared" si="175"/>
        <v>#N/A</v>
      </c>
      <c r="AB622" s="208"/>
      <c r="AC622" s="233"/>
      <c r="AD622" s="233"/>
      <c r="AE622" s="233"/>
      <c r="AF622" s="233"/>
      <c r="AG622" s="233"/>
      <c r="AH622" s="238" t="e">
        <f t="shared" si="179"/>
        <v>#N/A</v>
      </c>
      <c r="AI622" s="238" t="e">
        <f t="shared" si="180"/>
        <v>#N/A</v>
      </c>
      <c r="AJ622" s="261">
        <f t="shared" si="181"/>
        <v>2017</v>
      </c>
      <c r="AK622" s="233" t="e">
        <f t="shared" si="182"/>
        <v>#N/A</v>
      </c>
    </row>
    <row r="623" spans="1:39" s="120" customFormat="1" ht="35.25" hidden="1" customHeight="1" x14ac:dyDescent="0.2">
      <c r="B623" s="116" t="e">
        <f t="shared" si="172"/>
        <v>#N/A</v>
      </c>
      <c r="F623" s="218"/>
      <c r="G623" s="130"/>
      <c r="H623" s="248" t="s">
        <v>3048</v>
      </c>
      <c r="I623" s="184" t="s">
        <v>2494</v>
      </c>
      <c r="J623" s="183"/>
      <c r="K623" s="184"/>
      <c r="L623" s="361"/>
      <c r="M623" s="183"/>
      <c r="N623" s="361"/>
      <c r="O623" s="247" t="s">
        <v>2561</v>
      </c>
      <c r="P623" s="184">
        <v>2017</v>
      </c>
      <c r="Q623" s="183"/>
      <c r="R623" s="183"/>
      <c r="S623" s="183"/>
      <c r="T623" s="32" t="s">
        <v>12</v>
      </c>
      <c r="U623" s="256">
        <v>189361000</v>
      </c>
      <c r="V623" s="68"/>
      <c r="W623" s="61"/>
      <c r="X623" s="206" t="str">
        <f t="shared" si="183"/>
        <v>4.13.01</v>
      </c>
      <c r="Y623" s="207" t="e">
        <f t="shared" si="184"/>
        <v>#N/A</v>
      </c>
      <c r="Z623" s="207" t="e">
        <f t="shared" si="185"/>
        <v>#N/A</v>
      </c>
      <c r="AA623" s="233" t="e">
        <f t="shared" si="175"/>
        <v>#N/A</v>
      </c>
      <c r="AB623" s="208"/>
      <c r="AC623" s="233"/>
      <c r="AD623" s="233"/>
      <c r="AE623" s="233"/>
      <c r="AF623" s="233"/>
      <c r="AG623" s="233"/>
      <c r="AH623" s="238" t="e">
        <f t="shared" si="179"/>
        <v>#N/A</v>
      </c>
      <c r="AI623" s="238" t="e">
        <f t="shared" si="180"/>
        <v>#N/A</v>
      </c>
      <c r="AJ623" s="261">
        <f t="shared" si="181"/>
        <v>2017</v>
      </c>
      <c r="AK623" s="233" t="e">
        <f t="shared" si="182"/>
        <v>#N/A</v>
      </c>
    </row>
    <row r="624" spans="1:39" s="120" customFormat="1" ht="35.25" hidden="1" customHeight="1" x14ac:dyDescent="0.2">
      <c r="A624" s="120">
        <v>1</v>
      </c>
      <c r="B624" s="116" t="str">
        <f t="shared" si="172"/>
        <v>SEB. TELUK KUANTAN - SEB. BENAI</v>
      </c>
      <c r="D624" s="120">
        <v>6</v>
      </c>
      <c r="E624" s="116" t="str">
        <f>A624&amp;"."&amp;D624</f>
        <v>1.6</v>
      </c>
      <c r="F624" s="218"/>
      <c r="G624" s="130"/>
      <c r="H624" s="248" t="s">
        <v>2500</v>
      </c>
      <c r="I624" s="184" t="s">
        <v>2494</v>
      </c>
      <c r="J624" s="183"/>
      <c r="K624" s="184"/>
      <c r="L624" s="361"/>
      <c r="M624" s="183"/>
      <c r="N624" s="361"/>
      <c r="O624" s="247" t="s">
        <v>2562</v>
      </c>
      <c r="P624" s="184">
        <v>2017</v>
      </c>
      <c r="Q624" s="183"/>
      <c r="R624" s="183"/>
      <c r="S624" s="183"/>
      <c r="T624" s="32" t="s">
        <v>12</v>
      </c>
      <c r="U624" s="256">
        <v>191202000</v>
      </c>
      <c r="V624" s="68"/>
      <c r="W624" s="61"/>
      <c r="X624" s="206" t="str">
        <f t="shared" si="183"/>
        <v>4.13.01</v>
      </c>
      <c r="Y624" s="207" t="e">
        <f t="shared" si="184"/>
        <v>#N/A</v>
      </c>
      <c r="Z624" s="207" t="e">
        <f t="shared" si="185"/>
        <v>#N/A</v>
      </c>
      <c r="AA624" s="233" t="e">
        <f t="shared" si="175"/>
        <v>#N/A</v>
      </c>
      <c r="AB624" s="208"/>
      <c r="AC624" s="233"/>
      <c r="AD624" s="233"/>
      <c r="AE624" s="233"/>
      <c r="AF624" s="233"/>
      <c r="AG624" s="233"/>
      <c r="AH624" s="238" t="e">
        <f t="shared" si="179"/>
        <v>#N/A</v>
      </c>
      <c r="AI624" s="238" t="e">
        <f t="shared" si="180"/>
        <v>#N/A</v>
      </c>
      <c r="AJ624" s="261">
        <f t="shared" si="181"/>
        <v>2017</v>
      </c>
      <c r="AK624" s="233" t="e">
        <f t="shared" si="182"/>
        <v>#N/A</v>
      </c>
      <c r="AM624" s="116" t="s">
        <v>4245</v>
      </c>
    </row>
    <row r="625" spans="1:39" s="120" customFormat="1" ht="35.25" hidden="1" customHeight="1" x14ac:dyDescent="0.2">
      <c r="B625" s="116" t="e">
        <f t="shared" si="172"/>
        <v>#N/A</v>
      </c>
      <c r="F625" s="218"/>
      <c r="G625" s="130"/>
      <c r="H625" s="248" t="s">
        <v>2501</v>
      </c>
      <c r="I625" s="184" t="s">
        <v>2494</v>
      </c>
      <c r="J625" s="183"/>
      <c r="K625" s="184"/>
      <c r="L625" s="361"/>
      <c r="M625" s="183"/>
      <c r="N625" s="361"/>
      <c r="O625" s="247" t="s">
        <v>2563</v>
      </c>
      <c r="P625" s="184">
        <v>2017</v>
      </c>
      <c r="Q625" s="183"/>
      <c r="R625" s="183"/>
      <c r="S625" s="183"/>
      <c r="T625" s="32" t="s">
        <v>12</v>
      </c>
      <c r="U625" s="256">
        <v>189549000</v>
      </c>
      <c r="V625" s="68"/>
      <c r="W625" s="61"/>
      <c r="X625" s="206" t="str">
        <f t="shared" si="183"/>
        <v>4.13.01</v>
      </c>
      <c r="Y625" s="207" t="e">
        <f t="shared" si="184"/>
        <v>#N/A</v>
      </c>
      <c r="Z625" s="207" t="e">
        <f t="shared" si="185"/>
        <v>#N/A</v>
      </c>
      <c r="AA625" s="233" t="e">
        <f t="shared" si="175"/>
        <v>#N/A</v>
      </c>
      <c r="AB625" s="208"/>
      <c r="AC625" s="233"/>
      <c r="AD625" s="233"/>
      <c r="AE625" s="233"/>
      <c r="AF625" s="233"/>
      <c r="AG625" s="233"/>
      <c r="AH625" s="238" t="e">
        <f t="shared" si="179"/>
        <v>#N/A</v>
      </c>
      <c r="AI625" s="238" t="e">
        <f t="shared" si="180"/>
        <v>#N/A</v>
      </c>
      <c r="AJ625" s="261">
        <f t="shared" si="181"/>
        <v>2017</v>
      </c>
      <c r="AK625" s="233" t="e">
        <f t="shared" si="182"/>
        <v>#N/A</v>
      </c>
    </row>
    <row r="626" spans="1:39" s="120" customFormat="1" ht="35.25" hidden="1" customHeight="1" x14ac:dyDescent="0.2">
      <c r="B626" s="116" t="e">
        <f t="shared" si="172"/>
        <v>#N/A</v>
      </c>
      <c r="F626" s="218"/>
      <c r="G626" s="130"/>
      <c r="H626" s="248" t="s">
        <v>3049</v>
      </c>
      <c r="I626" s="184" t="s">
        <v>2494</v>
      </c>
      <c r="J626" s="183"/>
      <c r="K626" s="184"/>
      <c r="L626" s="361"/>
      <c r="M626" s="183"/>
      <c r="N626" s="361"/>
      <c r="O626" s="247" t="s">
        <v>3271</v>
      </c>
      <c r="P626" s="184">
        <v>2017</v>
      </c>
      <c r="Q626" s="183"/>
      <c r="R626" s="183"/>
      <c r="S626" s="183"/>
      <c r="T626" s="32" t="s">
        <v>12</v>
      </c>
      <c r="U626" s="256">
        <v>190848000</v>
      </c>
      <c r="V626" s="68"/>
      <c r="W626" s="61"/>
      <c r="X626" s="206" t="str">
        <f t="shared" si="183"/>
        <v>4.13.01</v>
      </c>
      <c r="Y626" s="207" t="e">
        <f t="shared" si="184"/>
        <v>#N/A</v>
      </c>
      <c r="Z626" s="207" t="e">
        <f t="shared" si="185"/>
        <v>#N/A</v>
      </c>
      <c r="AA626" s="233" t="e">
        <f t="shared" si="175"/>
        <v>#N/A</v>
      </c>
      <c r="AB626" s="208"/>
      <c r="AC626" s="233"/>
      <c r="AD626" s="233"/>
      <c r="AE626" s="233"/>
      <c r="AF626" s="233"/>
      <c r="AG626" s="233"/>
      <c r="AH626" s="238" t="e">
        <f t="shared" si="179"/>
        <v>#N/A</v>
      </c>
      <c r="AI626" s="238" t="e">
        <f t="shared" si="180"/>
        <v>#N/A</v>
      </c>
      <c r="AJ626" s="261">
        <f t="shared" si="181"/>
        <v>2017</v>
      </c>
      <c r="AK626" s="233" t="e">
        <f t="shared" si="182"/>
        <v>#N/A</v>
      </c>
    </row>
    <row r="627" spans="1:39" s="120" customFormat="1" ht="35.25" hidden="1" customHeight="1" x14ac:dyDescent="0.2">
      <c r="B627" s="116" t="e">
        <f t="shared" si="172"/>
        <v>#N/A</v>
      </c>
      <c r="F627" s="218"/>
      <c r="G627" s="130"/>
      <c r="H627" s="248" t="s">
        <v>3050</v>
      </c>
      <c r="I627" s="184" t="s">
        <v>2494</v>
      </c>
      <c r="J627" s="183"/>
      <c r="K627" s="184"/>
      <c r="L627" s="361"/>
      <c r="M627" s="183"/>
      <c r="N627" s="361"/>
      <c r="O627" s="247" t="s">
        <v>3272</v>
      </c>
      <c r="P627" s="184">
        <v>2017</v>
      </c>
      <c r="Q627" s="183"/>
      <c r="R627" s="183"/>
      <c r="S627" s="183"/>
      <c r="T627" s="32" t="s">
        <v>12</v>
      </c>
      <c r="U627" s="256">
        <v>190661000</v>
      </c>
      <c r="V627" s="68"/>
      <c r="W627" s="61"/>
      <c r="X627" s="206" t="str">
        <f t="shared" si="183"/>
        <v>4.13.01</v>
      </c>
      <c r="Y627" s="207" t="e">
        <f t="shared" si="184"/>
        <v>#N/A</v>
      </c>
      <c r="Z627" s="207" t="e">
        <f t="shared" si="185"/>
        <v>#N/A</v>
      </c>
      <c r="AA627" s="233" t="e">
        <f t="shared" si="175"/>
        <v>#N/A</v>
      </c>
      <c r="AB627" s="208"/>
      <c r="AC627" s="233"/>
      <c r="AD627" s="233"/>
      <c r="AE627" s="233"/>
      <c r="AF627" s="233"/>
      <c r="AG627" s="233"/>
      <c r="AH627" s="238" t="e">
        <f t="shared" si="179"/>
        <v>#N/A</v>
      </c>
      <c r="AI627" s="238" t="e">
        <f t="shared" si="180"/>
        <v>#N/A</v>
      </c>
      <c r="AJ627" s="261">
        <f t="shared" si="181"/>
        <v>2017</v>
      </c>
      <c r="AK627" s="233" t="e">
        <f t="shared" si="182"/>
        <v>#N/A</v>
      </c>
    </row>
    <row r="628" spans="1:39" s="120" customFormat="1" ht="35.25" hidden="1" customHeight="1" x14ac:dyDescent="0.2">
      <c r="B628" s="116" t="e">
        <f t="shared" si="172"/>
        <v>#N/A</v>
      </c>
      <c r="F628" s="218"/>
      <c r="G628" s="130"/>
      <c r="H628" s="248" t="s">
        <v>3051</v>
      </c>
      <c r="I628" s="184" t="s">
        <v>2494</v>
      </c>
      <c r="J628" s="183"/>
      <c r="K628" s="184"/>
      <c r="L628" s="361"/>
      <c r="M628" s="183"/>
      <c r="N628" s="361"/>
      <c r="O628" s="247" t="s">
        <v>3273</v>
      </c>
      <c r="P628" s="184">
        <v>2017</v>
      </c>
      <c r="Q628" s="183"/>
      <c r="R628" s="183"/>
      <c r="S628" s="183"/>
      <c r="T628" s="32" t="s">
        <v>12</v>
      </c>
      <c r="U628" s="256">
        <v>130352000</v>
      </c>
      <c r="V628" s="68"/>
      <c r="W628" s="61"/>
      <c r="X628" s="206" t="str">
        <f t="shared" si="183"/>
        <v>4.13.01</v>
      </c>
      <c r="Y628" s="207" t="e">
        <f t="shared" si="184"/>
        <v>#N/A</v>
      </c>
      <c r="Z628" s="207" t="e">
        <f t="shared" si="185"/>
        <v>#N/A</v>
      </c>
      <c r="AA628" s="233" t="e">
        <f t="shared" si="175"/>
        <v>#N/A</v>
      </c>
      <c r="AB628" s="208"/>
      <c r="AC628" s="233"/>
      <c r="AD628" s="233"/>
      <c r="AE628" s="233"/>
      <c r="AF628" s="233"/>
      <c r="AG628" s="233"/>
      <c r="AH628" s="238" t="e">
        <f t="shared" si="179"/>
        <v>#N/A</v>
      </c>
      <c r="AI628" s="238" t="e">
        <f t="shared" si="180"/>
        <v>#N/A</v>
      </c>
      <c r="AJ628" s="261">
        <f t="shared" si="181"/>
        <v>2017</v>
      </c>
      <c r="AK628" s="233" t="e">
        <f t="shared" si="182"/>
        <v>#N/A</v>
      </c>
    </row>
    <row r="629" spans="1:39" s="120" customFormat="1" ht="35.25" hidden="1" customHeight="1" x14ac:dyDescent="0.2">
      <c r="B629" s="116" t="e">
        <f t="shared" si="172"/>
        <v>#N/A</v>
      </c>
      <c r="F629" s="218"/>
      <c r="G629" s="130"/>
      <c r="H629" s="248" t="s">
        <v>3052</v>
      </c>
      <c r="I629" s="184" t="s">
        <v>2494</v>
      </c>
      <c r="J629" s="183"/>
      <c r="K629" s="184"/>
      <c r="L629" s="361"/>
      <c r="M629" s="183"/>
      <c r="N629" s="361"/>
      <c r="O629" s="247" t="s">
        <v>3274</v>
      </c>
      <c r="P629" s="184">
        <v>2017</v>
      </c>
      <c r="Q629" s="183"/>
      <c r="R629" s="183"/>
      <c r="S629" s="183"/>
      <c r="T629" s="32" t="s">
        <v>12</v>
      </c>
      <c r="U629" s="256">
        <v>190002000</v>
      </c>
      <c r="V629" s="68"/>
      <c r="W629" s="61"/>
      <c r="X629" s="206" t="str">
        <f t="shared" si="183"/>
        <v>4.13.01</v>
      </c>
      <c r="Y629" s="207" t="e">
        <f t="shared" si="184"/>
        <v>#N/A</v>
      </c>
      <c r="Z629" s="207" t="e">
        <f t="shared" si="185"/>
        <v>#N/A</v>
      </c>
      <c r="AA629" s="233" t="e">
        <f t="shared" si="175"/>
        <v>#N/A</v>
      </c>
      <c r="AB629" s="208"/>
      <c r="AC629" s="233"/>
      <c r="AD629" s="233"/>
      <c r="AE629" s="233"/>
      <c r="AF629" s="233"/>
      <c r="AG629" s="233"/>
      <c r="AH629" s="238" t="e">
        <f t="shared" si="179"/>
        <v>#N/A</v>
      </c>
      <c r="AI629" s="238" t="e">
        <f t="shared" si="180"/>
        <v>#N/A</v>
      </c>
      <c r="AJ629" s="261">
        <f t="shared" si="181"/>
        <v>2017</v>
      </c>
      <c r="AK629" s="233" t="e">
        <f t="shared" si="182"/>
        <v>#N/A</v>
      </c>
    </row>
    <row r="630" spans="1:39" s="120" customFormat="1" ht="35.25" hidden="1" customHeight="1" x14ac:dyDescent="0.2">
      <c r="B630" s="116" t="e">
        <f t="shared" si="172"/>
        <v>#N/A</v>
      </c>
      <c r="F630" s="218"/>
      <c r="G630" s="130"/>
      <c r="H630" s="248" t="s">
        <v>2502</v>
      </c>
      <c r="I630" s="184" t="s">
        <v>2494</v>
      </c>
      <c r="J630" s="183"/>
      <c r="K630" s="184"/>
      <c r="L630" s="361"/>
      <c r="M630" s="183"/>
      <c r="N630" s="361"/>
      <c r="O630" s="247" t="s">
        <v>2564</v>
      </c>
      <c r="P630" s="184">
        <v>2017</v>
      </c>
      <c r="Q630" s="183"/>
      <c r="R630" s="183"/>
      <c r="S630" s="183"/>
      <c r="T630" s="32" t="s">
        <v>12</v>
      </c>
      <c r="U630" s="256">
        <v>180541000</v>
      </c>
      <c r="V630" s="68"/>
      <c r="W630" s="61"/>
      <c r="X630" s="206" t="str">
        <f t="shared" si="183"/>
        <v>4.13.01</v>
      </c>
      <c r="Y630" s="207" t="e">
        <f t="shared" si="184"/>
        <v>#N/A</v>
      </c>
      <c r="Z630" s="207" t="e">
        <f t="shared" si="185"/>
        <v>#N/A</v>
      </c>
      <c r="AA630" s="233" t="e">
        <f t="shared" si="175"/>
        <v>#N/A</v>
      </c>
      <c r="AB630" s="208"/>
      <c r="AC630" s="233"/>
      <c r="AD630" s="233"/>
      <c r="AE630" s="233"/>
      <c r="AF630" s="233"/>
      <c r="AG630" s="233"/>
      <c r="AH630" s="238" t="e">
        <f t="shared" si="179"/>
        <v>#N/A</v>
      </c>
      <c r="AI630" s="238" t="e">
        <f t="shared" si="180"/>
        <v>#N/A</v>
      </c>
      <c r="AJ630" s="261">
        <f t="shared" si="181"/>
        <v>2017</v>
      </c>
      <c r="AK630" s="233" t="e">
        <f t="shared" si="182"/>
        <v>#N/A</v>
      </c>
    </row>
    <row r="631" spans="1:39" s="120" customFormat="1" ht="35.25" hidden="1" customHeight="1" x14ac:dyDescent="0.2">
      <c r="A631" s="120">
        <v>160</v>
      </c>
      <c r="B631" s="116" t="str">
        <f t="shared" si="172"/>
        <v>PULAU KUMPAI - PS. USANG BASERAH</v>
      </c>
      <c r="D631" s="120">
        <v>1</v>
      </c>
      <c r="E631" s="1" t="str">
        <f>A631&amp;"."&amp;D631</f>
        <v>160.1</v>
      </c>
      <c r="F631" s="218"/>
      <c r="G631" s="130"/>
      <c r="H631" s="248" t="s">
        <v>2503</v>
      </c>
      <c r="I631" s="184" t="s">
        <v>2494</v>
      </c>
      <c r="J631" s="183"/>
      <c r="K631" s="184"/>
      <c r="L631" s="361"/>
      <c r="M631" s="183"/>
      <c r="N631" s="361"/>
      <c r="O631" s="247" t="s">
        <v>2565</v>
      </c>
      <c r="P631" s="184">
        <v>2017</v>
      </c>
      <c r="Q631" s="183"/>
      <c r="R631" s="183"/>
      <c r="S631" s="183"/>
      <c r="T631" s="32" t="s">
        <v>12</v>
      </c>
      <c r="U631" s="256">
        <v>182111000</v>
      </c>
      <c r="V631" s="68"/>
      <c r="W631" s="61"/>
      <c r="X631" s="206" t="str">
        <f t="shared" si="183"/>
        <v>4.13.01</v>
      </c>
      <c r="Y631" s="207" t="e">
        <f t="shared" si="184"/>
        <v>#N/A</v>
      </c>
      <c r="Z631" s="207" t="e">
        <f t="shared" si="185"/>
        <v>#N/A</v>
      </c>
      <c r="AA631" s="233" t="e">
        <f t="shared" si="175"/>
        <v>#N/A</v>
      </c>
      <c r="AB631" s="208"/>
      <c r="AC631" s="233"/>
      <c r="AD631" s="233"/>
      <c r="AE631" s="233"/>
      <c r="AF631" s="233"/>
      <c r="AG631" s="233"/>
      <c r="AH631" s="238" t="e">
        <f t="shared" si="179"/>
        <v>#N/A</v>
      </c>
      <c r="AI631" s="238" t="e">
        <f t="shared" si="180"/>
        <v>#N/A</v>
      </c>
      <c r="AJ631" s="261">
        <f t="shared" si="181"/>
        <v>2017</v>
      </c>
      <c r="AK631" s="233" t="e">
        <f t="shared" si="182"/>
        <v>#N/A</v>
      </c>
    </row>
    <row r="632" spans="1:39" s="120" customFormat="1" ht="35.25" hidden="1" customHeight="1" x14ac:dyDescent="0.2">
      <c r="B632" s="116" t="e">
        <f t="shared" si="172"/>
        <v>#N/A</v>
      </c>
      <c r="F632" s="218"/>
      <c r="G632" s="130"/>
      <c r="H632" s="248" t="s">
        <v>2504</v>
      </c>
      <c r="I632" s="184" t="s">
        <v>2494</v>
      </c>
      <c r="J632" s="183"/>
      <c r="K632" s="184"/>
      <c r="L632" s="361"/>
      <c r="M632" s="183"/>
      <c r="N632" s="361"/>
      <c r="O632" s="247" t="s">
        <v>2566</v>
      </c>
      <c r="P632" s="184">
        <v>2017</v>
      </c>
      <c r="Q632" s="183"/>
      <c r="R632" s="183"/>
      <c r="S632" s="183"/>
      <c r="T632" s="32" t="s">
        <v>12</v>
      </c>
      <c r="U632" s="256">
        <v>174287000</v>
      </c>
      <c r="V632" s="68"/>
      <c r="W632" s="61"/>
      <c r="X632" s="206" t="str">
        <f t="shared" si="183"/>
        <v>4.13.01</v>
      </c>
      <c r="Y632" s="207" t="e">
        <f t="shared" si="184"/>
        <v>#N/A</v>
      </c>
      <c r="Z632" s="207" t="e">
        <f t="shared" si="185"/>
        <v>#N/A</v>
      </c>
      <c r="AA632" s="233" t="e">
        <f t="shared" si="175"/>
        <v>#N/A</v>
      </c>
      <c r="AB632" s="208"/>
      <c r="AC632" s="233"/>
      <c r="AD632" s="233"/>
      <c r="AE632" s="233"/>
      <c r="AF632" s="233"/>
      <c r="AG632" s="233"/>
      <c r="AH632" s="238" t="e">
        <f t="shared" si="179"/>
        <v>#N/A</v>
      </c>
      <c r="AI632" s="238" t="e">
        <f t="shared" si="180"/>
        <v>#N/A</v>
      </c>
      <c r="AJ632" s="261">
        <f t="shared" si="181"/>
        <v>2017</v>
      </c>
      <c r="AK632" s="233" t="e">
        <f t="shared" si="182"/>
        <v>#N/A</v>
      </c>
    </row>
    <row r="633" spans="1:39" s="120" customFormat="1" ht="35.25" hidden="1" customHeight="1" x14ac:dyDescent="0.2">
      <c r="A633" s="120">
        <v>245</v>
      </c>
      <c r="B633" s="116" t="str">
        <f t="shared" si="172"/>
        <v>SIMP. 4 PT. WANASARI - SUKAMAJU</v>
      </c>
      <c r="D633" s="120">
        <v>5</v>
      </c>
      <c r="E633" s="116" t="str">
        <f>A633&amp;"."&amp;D633</f>
        <v>245.5</v>
      </c>
      <c r="F633" s="218"/>
      <c r="G633" s="130"/>
      <c r="H633" s="248" t="s">
        <v>2505</v>
      </c>
      <c r="I633" s="184" t="s">
        <v>2494</v>
      </c>
      <c r="J633" s="183"/>
      <c r="K633" s="184"/>
      <c r="L633" s="361"/>
      <c r="M633" s="183"/>
      <c r="N633" s="361"/>
      <c r="O633" s="247" t="s">
        <v>2567</v>
      </c>
      <c r="P633" s="184">
        <v>2017</v>
      </c>
      <c r="Q633" s="183"/>
      <c r="R633" s="183"/>
      <c r="S633" s="183"/>
      <c r="T633" s="32" t="s">
        <v>12</v>
      </c>
      <c r="U633" s="256">
        <v>188864000</v>
      </c>
      <c r="V633" s="68"/>
      <c r="W633" s="61"/>
      <c r="X633" s="206" t="str">
        <f t="shared" si="183"/>
        <v>4.13.01</v>
      </c>
      <c r="Y633" s="207" t="e">
        <f t="shared" si="184"/>
        <v>#N/A</v>
      </c>
      <c r="Z633" s="207" t="e">
        <f t="shared" si="185"/>
        <v>#N/A</v>
      </c>
      <c r="AA633" s="233" t="e">
        <f t="shared" si="175"/>
        <v>#N/A</v>
      </c>
      <c r="AB633" s="208"/>
      <c r="AC633" s="233"/>
      <c r="AD633" s="233"/>
      <c r="AE633" s="233"/>
      <c r="AF633" s="233"/>
      <c r="AG633" s="233"/>
      <c r="AH633" s="238" t="e">
        <f t="shared" si="179"/>
        <v>#N/A</v>
      </c>
      <c r="AI633" s="238" t="e">
        <f t="shared" si="180"/>
        <v>#N/A</v>
      </c>
      <c r="AJ633" s="261">
        <f t="shared" si="181"/>
        <v>2017</v>
      </c>
      <c r="AK633" s="233" t="e">
        <f t="shared" si="182"/>
        <v>#N/A</v>
      </c>
      <c r="AM633" s="116" t="s">
        <v>4245</v>
      </c>
    </row>
    <row r="634" spans="1:39" s="120" customFormat="1" ht="35.25" hidden="1" customHeight="1" x14ac:dyDescent="0.2">
      <c r="B634" s="116" t="e">
        <f t="shared" si="172"/>
        <v>#N/A</v>
      </c>
      <c r="F634" s="218"/>
      <c r="G634" s="130"/>
      <c r="H634" s="248" t="s">
        <v>3053</v>
      </c>
      <c r="I634" s="184" t="s">
        <v>2494</v>
      </c>
      <c r="J634" s="183"/>
      <c r="K634" s="184"/>
      <c r="L634" s="361"/>
      <c r="M634" s="183"/>
      <c r="N634" s="361"/>
      <c r="O634" s="247" t="s">
        <v>3275</v>
      </c>
      <c r="P634" s="184">
        <v>2017</v>
      </c>
      <c r="Q634" s="183"/>
      <c r="R634" s="183"/>
      <c r="S634" s="183"/>
      <c r="T634" s="32" t="s">
        <v>12</v>
      </c>
      <c r="U634" s="256">
        <v>190547391</v>
      </c>
      <c r="V634" s="68"/>
      <c r="W634" s="61"/>
      <c r="X634" s="206" t="str">
        <f t="shared" si="183"/>
        <v>4.13.01</v>
      </c>
      <c r="Y634" s="207" t="e">
        <f t="shared" si="184"/>
        <v>#N/A</v>
      </c>
      <c r="Z634" s="207" t="e">
        <f t="shared" si="185"/>
        <v>#N/A</v>
      </c>
      <c r="AA634" s="233" t="e">
        <f t="shared" si="175"/>
        <v>#N/A</v>
      </c>
      <c r="AB634" s="208"/>
      <c r="AC634" s="233"/>
      <c r="AD634" s="233"/>
      <c r="AE634" s="233"/>
      <c r="AF634" s="233"/>
      <c r="AG634" s="233"/>
      <c r="AH634" s="238" t="e">
        <f t="shared" si="179"/>
        <v>#N/A</v>
      </c>
      <c r="AI634" s="238" t="e">
        <f t="shared" si="180"/>
        <v>#N/A</v>
      </c>
      <c r="AJ634" s="261">
        <f t="shared" si="181"/>
        <v>2017</v>
      </c>
      <c r="AK634" s="233" t="e">
        <f t="shared" si="182"/>
        <v>#N/A</v>
      </c>
    </row>
    <row r="635" spans="1:39" s="120" customFormat="1" ht="35.25" hidden="1" customHeight="1" x14ac:dyDescent="0.2">
      <c r="A635" s="116">
        <v>4</v>
      </c>
      <c r="B635" s="116" t="str">
        <f t="shared" si="172"/>
        <v>SENTAJO - MUARA LANGSAT</v>
      </c>
      <c r="D635" s="120">
        <v>11</v>
      </c>
      <c r="E635" s="120" t="str">
        <f>A635&amp;"."&amp;D635</f>
        <v>4.11</v>
      </c>
      <c r="F635" s="218"/>
      <c r="G635" s="130"/>
      <c r="H635" s="248" t="s">
        <v>3054</v>
      </c>
      <c r="I635" s="184" t="s">
        <v>2494</v>
      </c>
      <c r="J635" s="183"/>
      <c r="K635" s="184"/>
      <c r="L635" s="361"/>
      <c r="M635" s="183"/>
      <c r="N635" s="361"/>
      <c r="O635" s="72" t="s">
        <v>619</v>
      </c>
      <c r="P635" s="184">
        <v>2017</v>
      </c>
      <c r="Q635" s="183"/>
      <c r="R635" s="183"/>
      <c r="S635" s="183"/>
      <c r="T635" s="32" t="s">
        <v>12</v>
      </c>
      <c r="U635" s="256">
        <v>1033114691</v>
      </c>
      <c r="V635" s="68"/>
      <c r="W635" s="61"/>
      <c r="X635" s="206" t="str">
        <f t="shared" si="183"/>
        <v>4.13.01</v>
      </c>
      <c r="Y635" s="207" t="e">
        <f t="shared" si="184"/>
        <v>#N/A</v>
      </c>
      <c r="Z635" s="207" t="e">
        <f t="shared" si="185"/>
        <v>#N/A</v>
      </c>
      <c r="AA635" s="233" t="e">
        <f t="shared" si="175"/>
        <v>#N/A</v>
      </c>
      <c r="AB635" s="208"/>
      <c r="AC635" s="233"/>
      <c r="AD635" s="233"/>
      <c r="AE635" s="233"/>
      <c r="AF635" s="233"/>
      <c r="AG635" s="233"/>
      <c r="AH635" s="238" t="e">
        <f t="shared" si="179"/>
        <v>#N/A</v>
      </c>
      <c r="AI635" s="238" t="e">
        <f t="shared" si="180"/>
        <v>#N/A</v>
      </c>
      <c r="AJ635" s="261">
        <f t="shared" si="181"/>
        <v>2017</v>
      </c>
      <c r="AK635" s="233" t="e">
        <f t="shared" si="182"/>
        <v>#N/A</v>
      </c>
      <c r="AM635" s="116" t="s">
        <v>4245</v>
      </c>
    </row>
    <row r="636" spans="1:39" s="120" customFormat="1" ht="35.25" hidden="1" customHeight="1" x14ac:dyDescent="0.2">
      <c r="B636" s="116" t="e">
        <f t="shared" si="172"/>
        <v>#N/A</v>
      </c>
      <c r="F636" s="218"/>
      <c r="G636" s="130"/>
      <c r="H636" s="248" t="s">
        <v>3055</v>
      </c>
      <c r="I636" s="184" t="s">
        <v>2494</v>
      </c>
      <c r="J636" s="183"/>
      <c r="K636" s="184"/>
      <c r="L636" s="361"/>
      <c r="M636" s="183"/>
      <c r="N636" s="361"/>
      <c r="O636" s="247" t="s">
        <v>3276</v>
      </c>
      <c r="P636" s="184">
        <v>2017</v>
      </c>
      <c r="Q636" s="183"/>
      <c r="R636" s="183"/>
      <c r="S636" s="183"/>
      <c r="T636" s="32" t="s">
        <v>12</v>
      </c>
      <c r="U636" s="256">
        <v>1826207613.623291</v>
      </c>
      <c r="V636" s="68"/>
      <c r="W636" s="61"/>
      <c r="X636" s="206" t="str">
        <f t="shared" si="183"/>
        <v>4.13.01</v>
      </c>
      <c r="Y636" s="207" t="e">
        <f t="shared" si="184"/>
        <v>#N/A</v>
      </c>
      <c r="Z636" s="207" t="e">
        <f t="shared" si="185"/>
        <v>#N/A</v>
      </c>
      <c r="AA636" s="233" t="e">
        <f t="shared" si="175"/>
        <v>#N/A</v>
      </c>
      <c r="AB636" s="208"/>
      <c r="AC636" s="233"/>
      <c r="AD636" s="233"/>
      <c r="AE636" s="233"/>
      <c r="AF636" s="233"/>
      <c r="AG636" s="233"/>
      <c r="AH636" s="238" t="e">
        <f t="shared" si="179"/>
        <v>#N/A</v>
      </c>
      <c r="AI636" s="238" t="e">
        <f t="shared" si="180"/>
        <v>#N/A</v>
      </c>
      <c r="AJ636" s="261">
        <f t="shared" si="181"/>
        <v>2017</v>
      </c>
      <c r="AK636" s="233" t="e">
        <f t="shared" si="182"/>
        <v>#N/A</v>
      </c>
    </row>
    <row r="637" spans="1:39" s="120" customFormat="1" ht="35.25" hidden="1" customHeight="1" x14ac:dyDescent="0.2">
      <c r="B637" s="116" t="e">
        <f t="shared" si="172"/>
        <v>#N/A</v>
      </c>
      <c r="F637" s="218"/>
      <c r="G637" s="130"/>
      <c r="H637" s="248" t="s">
        <v>3056</v>
      </c>
      <c r="I637" s="184" t="s">
        <v>2494</v>
      </c>
      <c r="J637" s="183"/>
      <c r="K637" s="184"/>
      <c r="L637" s="361"/>
      <c r="M637" s="183"/>
      <c r="N637" s="361"/>
      <c r="O637" s="247" t="s">
        <v>3277</v>
      </c>
      <c r="P637" s="184">
        <v>2017</v>
      </c>
      <c r="Q637" s="183"/>
      <c r="R637" s="183"/>
      <c r="S637" s="183"/>
      <c r="T637" s="32" t="s">
        <v>12</v>
      </c>
      <c r="U637" s="256">
        <v>190204148</v>
      </c>
      <c r="V637" s="68"/>
      <c r="W637" s="61"/>
      <c r="X637" s="206" t="str">
        <f t="shared" si="183"/>
        <v>4.13.01</v>
      </c>
      <c r="Y637" s="207" t="e">
        <f t="shared" si="184"/>
        <v>#N/A</v>
      </c>
      <c r="Z637" s="207" t="e">
        <f t="shared" si="185"/>
        <v>#N/A</v>
      </c>
      <c r="AA637" s="233" t="e">
        <f t="shared" si="175"/>
        <v>#N/A</v>
      </c>
      <c r="AB637" s="208"/>
      <c r="AC637" s="233"/>
      <c r="AD637" s="233"/>
      <c r="AE637" s="233"/>
      <c r="AF637" s="233"/>
      <c r="AG637" s="233"/>
      <c r="AH637" s="238" t="e">
        <f t="shared" si="179"/>
        <v>#N/A</v>
      </c>
      <c r="AI637" s="238" t="e">
        <f t="shared" si="180"/>
        <v>#N/A</v>
      </c>
      <c r="AJ637" s="261">
        <f t="shared" si="181"/>
        <v>2017</v>
      </c>
      <c r="AK637" s="233" t="e">
        <f t="shared" si="182"/>
        <v>#N/A</v>
      </c>
    </row>
    <row r="638" spans="1:39" s="120" customFormat="1" ht="35.25" hidden="1" customHeight="1" x14ac:dyDescent="0.2">
      <c r="A638" s="120">
        <v>285</v>
      </c>
      <c r="B638" s="116" t="str">
        <f t="shared" si="172"/>
        <v>SEI. PERUPUK - TELUK PAUH</v>
      </c>
      <c r="D638" s="120">
        <v>4</v>
      </c>
      <c r="E638" s="116" t="str">
        <f>A638&amp;"."&amp;D638</f>
        <v>285.4</v>
      </c>
      <c r="F638" s="218"/>
      <c r="G638" s="130"/>
      <c r="H638" s="248" t="s">
        <v>2506</v>
      </c>
      <c r="I638" s="184" t="s">
        <v>2494</v>
      </c>
      <c r="J638" s="183"/>
      <c r="K638" s="184"/>
      <c r="L638" s="361"/>
      <c r="M638" s="183"/>
      <c r="N638" s="361"/>
      <c r="O638" s="247" t="s">
        <v>2568</v>
      </c>
      <c r="P638" s="184">
        <v>2017</v>
      </c>
      <c r="Q638" s="183"/>
      <c r="R638" s="183"/>
      <c r="S638" s="183"/>
      <c r="T638" s="32" t="s">
        <v>12</v>
      </c>
      <c r="U638" s="256">
        <v>190284000</v>
      </c>
      <c r="V638" s="68"/>
      <c r="W638" s="61"/>
      <c r="X638" s="206" t="str">
        <f t="shared" si="183"/>
        <v>4.13.01</v>
      </c>
      <c r="Y638" s="207" t="e">
        <f t="shared" si="184"/>
        <v>#N/A</v>
      </c>
      <c r="Z638" s="207" t="e">
        <f t="shared" si="185"/>
        <v>#N/A</v>
      </c>
      <c r="AA638" s="233" t="e">
        <f t="shared" si="175"/>
        <v>#N/A</v>
      </c>
      <c r="AB638" s="208"/>
      <c r="AC638" s="233"/>
      <c r="AD638" s="233"/>
      <c r="AE638" s="233"/>
      <c r="AF638" s="233"/>
      <c r="AG638" s="233"/>
      <c r="AH638" s="238" t="e">
        <f t="shared" si="179"/>
        <v>#N/A</v>
      </c>
      <c r="AI638" s="238" t="e">
        <f t="shared" si="180"/>
        <v>#N/A</v>
      </c>
      <c r="AJ638" s="261">
        <f t="shared" si="181"/>
        <v>2017</v>
      </c>
      <c r="AK638" s="233" t="e">
        <f t="shared" si="182"/>
        <v>#N/A</v>
      </c>
      <c r="AM638" s="116" t="s">
        <v>4245</v>
      </c>
    </row>
    <row r="639" spans="1:39" s="120" customFormat="1" ht="35.25" hidden="1" customHeight="1" x14ac:dyDescent="0.2">
      <c r="B639" s="116" t="e">
        <f t="shared" si="172"/>
        <v>#N/A</v>
      </c>
      <c r="F639" s="218"/>
      <c r="G639" s="130"/>
      <c r="H639" s="248" t="s">
        <v>3057</v>
      </c>
      <c r="I639" s="184" t="s">
        <v>2494</v>
      </c>
      <c r="J639" s="183"/>
      <c r="K639" s="184"/>
      <c r="L639" s="361"/>
      <c r="M639" s="183"/>
      <c r="N639" s="361"/>
      <c r="O639" s="247" t="s">
        <v>3278</v>
      </c>
      <c r="P639" s="184">
        <v>2017</v>
      </c>
      <c r="Q639" s="183"/>
      <c r="R639" s="183"/>
      <c r="S639" s="183"/>
      <c r="T639" s="32" t="s">
        <v>12</v>
      </c>
      <c r="U639" s="256">
        <v>190111000</v>
      </c>
      <c r="V639" s="68"/>
      <c r="W639" s="61"/>
      <c r="X639" s="206" t="str">
        <f t="shared" si="183"/>
        <v>4.13.01</v>
      </c>
      <c r="Y639" s="207" t="e">
        <f t="shared" si="184"/>
        <v>#N/A</v>
      </c>
      <c r="Z639" s="207" t="e">
        <f t="shared" si="185"/>
        <v>#N/A</v>
      </c>
      <c r="AA639" s="233" t="e">
        <f t="shared" si="175"/>
        <v>#N/A</v>
      </c>
      <c r="AB639" s="208"/>
      <c r="AC639" s="233"/>
      <c r="AD639" s="233"/>
      <c r="AE639" s="233"/>
      <c r="AF639" s="233"/>
      <c r="AG639" s="233"/>
      <c r="AH639" s="238" t="e">
        <f t="shared" si="179"/>
        <v>#N/A</v>
      </c>
      <c r="AI639" s="238" t="e">
        <f t="shared" si="180"/>
        <v>#N/A</v>
      </c>
      <c r="AJ639" s="261">
        <f t="shared" si="181"/>
        <v>2017</v>
      </c>
      <c r="AK639" s="233" t="e">
        <f t="shared" si="182"/>
        <v>#N/A</v>
      </c>
    </row>
    <row r="640" spans="1:39" s="120" customFormat="1" ht="35.25" hidden="1" customHeight="1" x14ac:dyDescent="0.2">
      <c r="A640" s="116">
        <v>13</v>
      </c>
      <c r="B640" s="116" t="str">
        <f t="shared" si="172"/>
        <v>SIMP. BERINGIN - BERINGIN</v>
      </c>
      <c r="D640" s="120">
        <v>3</v>
      </c>
      <c r="E640" s="120" t="str">
        <f>A640&amp;"."&amp;D640</f>
        <v>13.3</v>
      </c>
      <c r="F640" s="218"/>
      <c r="G640" s="130"/>
      <c r="H640" s="248" t="s">
        <v>3058</v>
      </c>
      <c r="I640" s="184" t="s">
        <v>2494</v>
      </c>
      <c r="J640" s="183"/>
      <c r="K640" s="184"/>
      <c r="L640" s="361"/>
      <c r="M640" s="183"/>
      <c r="N640" s="361"/>
      <c r="O640" s="72" t="s">
        <v>615</v>
      </c>
      <c r="P640" s="184">
        <v>2017</v>
      </c>
      <c r="Q640" s="183"/>
      <c r="R640" s="183"/>
      <c r="S640" s="183"/>
      <c r="T640" s="32" t="s">
        <v>12</v>
      </c>
      <c r="U640" s="256">
        <v>907988800</v>
      </c>
      <c r="V640" s="68"/>
      <c r="W640" s="61"/>
      <c r="X640" s="206" t="str">
        <f t="shared" si="183"/>
        <v>4.13.01</v>
      </c>
      <c r="Y640" s="207" t="e">
        <f t="shared" si="184"/>
        <v>#N/A</v>
      </c>
      <c r="Z640" s="207" t="e">
        <f t="shared" si="185"/>
        <v>#N/A</v>
      </c>
      <c r="AA640" s="233" t="e">
        <f t="shared" si="175"/>
        <v>#N/A</v>
      </c>
      <c r="AB640" s="208"/>
      <c r="AC640" s="233"/>
      <c r="AD640" s="233"/>
      <c r="AE640" s="233"/>
      <c r="AF640" s="233"/>
      <c r="AG640" s="233"/>
      <c r="AH640" s="238" t="e">
        <f t="shared" si="179"/>
        <v>#N/A</v>
      </c>
      <c r="AI640" s="238" t="e">
        <f t="shared" si="180"/>
        <v>#N/A</v>
      </c>
      <c r="AJ640" s="261">
        <f t="shared" si="181"/>
        <v>2017</v>
      </c>
      <c r="AK640" s="233" t="e">
        <f t="shared" si="182"/>
        <v>#N/A</v>
      </c>
      <c r="AM640" s="116" t="s">
        <v>4245</v>
      </c>
    </row>
    <row r="641" spans="1:39" s="120" customFormat="1" ht="35.25" hidden="1" customHeight="1" x14ac:dyDescent="0.2">
      <c r="B641" s="116" t="e">
        <f t="shared" si="172"/>
        <v>#N/A</v>
      </c>
      <c r="F641" s="218"/>
      <c r="G641" s="130"/>
      <c r="H641" s="248" t="s">
        <v>3059</v>
      </c>
      <c r="I641" s="184" t="s">
        <v>2494</v>
      </c>
      <c r="J641" s="183"/>
      <c r="K641" s="184"/>
      <c r="L641" s="361"/>
      <c r="M641" s="183"/>
      <c r="N641" s="361"/>
      <c r="O641" s="247" t="s">
        <v>3279</v>
      </c>
      <c r="P641" s="184">
        <v>2017</v>
      </c>
      <c r="Q641" s="183"/>
      <c r="R641" s="183"/>
      <c r="S641" s="183"/>
      <c r="T641" s="32" t="s">
        <v>12</v>
      </c>
      <c r="U641" s="256">
        <v>191284600</v>
      </c>
      <c r="V641" s="68"/>
      <c r="W641" s="61"/>
      <c r="X641" s="206" t="str">
        <f t="shared" ref="X641:X672" si="186">MID(I641,2,7)</f>
        <v>4.13.01</v>
      </c>
      <c r="Y641" s="207" t="e">
        <f t="shared" si="184"/>
        <v>#N/A</v>
      </c>
      <c r="Z641" s="207" t="e">
        <f t="shared" si="185"/>
        <v>#N/A</v>
      </c>
      <c r="AA641" s="233" t="e">
        <f t="shared" si="175"/>
        <v>#N/A</v>
      </c>
      <c r="AB641" s="208"/>
      <c r="AC641" s="233"/>
      <c r="AD641" s="233"/>
      <c r="AE641" s="233"/>
      <c r="AF641" s="233"/>
      <c r="AG641" s="233"/>
      <c r="AH641" s="238" t="e">
        <f t="shared" si="179"/>
        <v>#N/A</v>
      </c>
      <c r="AI641" s="238" t="e">
        <f t="shared" si="180"/>
        <v>#N/A</v>
      </c>
      <c r="AJ641" s="261">
        <f t="shared" si="181"/>
        <v>2017</v>
      </c>
      <c r="AK641" s="233" t="e">
        <f t="shared" si="182"/>
        <v>#N/A</v>
      </c>
    </row>
    <row r="642" spans="1:39" s="120" customFormat="1" ht="35.25" hidden="1" customHeight="1" x14ac:dyDescent="0.2">
      <c r="B642" s="116" t="e">
        <f t="shared" si="172"/>
        <v>#N/A</v>
      </c>
      <c r="F642" s="218"/>
      <c r="G642" s="130"/>
      <c r="H642" s="248" t="s">
        <v>2507</v>
      </c>
      <c r="I642" s="184" t="s">
        <v>2494</v>
      </c>
      <c r="J642" s="183"/>
      <c r="K642" s="184"/>
      <c r="L642" s="361"/>
      <c r="M642" s="183"/>
      <c r="N642" s="361"/>
      <c r="O642" s="247" t="s">
        <v>2569</v>
      </c>
      <c r="P642" s="184">
        <v>2017</v>
      </c>
      <c r="Q642" s="183"/>
      <c r="R642" s="183"/>
      <c r="S642" s="183"/>
      <c r="T642" s="32" t="s">
        <v>12</v>
      </c>
      <c r="U642" s="256">
        <v>190132000</v>
      </c>
      <c r="V642" s="68"/>
      <c r="W642" s="61"/>
      <c r="X642" s="206" t="str">
        <f t="shared" si="186"/>
        <v>4.13.01</v>
      </c>
      <c r="Y642" s="207" t="e">
        <f t="shared" si="184"/>
        <v>#N/A</v>
      </c>
      <c r="Z642" s="207" t="e">
        <f t="shared" si="185"/>
        <v>#N/A</v>
      </c>
      <c r="AA642" s="233" t="e">
        <f t="shared" si="175"/>
        <v>#N/A</v>
      </c>
      <c r="AB642" s="208"/>
      <c r="AC642" s="233"/>
      <c r="AD642" s="233"/>
      <c r="AE642" s="233"/>
      <c r="AF642" s="233"/>
      <c r="AG642" s="233"/>
      <c r="AH642" s="238" t="e">
        <f t="shared" si="179"/>
        <v>#N/A</v>
      </c>
      <c r="AI642" s="238" t="e">
        <f t="shared" si="180"/>
        <v>#N/A</v>
      </c>
      <c r="AJ642" s="261">
        <f t="shared" si="181"/>
        <v>2017</v>
      </c>
      <c r="AK642" s="233" t="e">
        <f t="shared" si="182"/>
        <v>#N/A</v>
      </c>
    </row>
    <row r="643" spans="1:39" s="120" customFormat="1" ht="35.25" hidden="1" customHeight="1" x14ac:dyDescent="0.2">
      <c r="A643" s="116">
        <v>165</v>
      </c>
      <c r="B643" s="116" t="str">
        <f t="shared" si="172"/>
        <v>SAKO - TRANS SKP II</v>
      </c>
      <c r="D643" s="120">
        <v>8</v>
      </c>
      <c r="E643" s="116" t="str">
        <f>A643&amp;"."&amp;D643</f>
        <v>165.8</v>
      </c>
      <c r="F643" s="218"/>
      <c r="G643" s="130"/>
      <c r="H643" s="248" t="s">
        <v>3060</v>
      </c>
      <c r="I643" s="184" t="s">
        <v>2494</v>
      </c>
      <c r="J643" s="183"/>
      <c r="K643" s="184"/>
      <c r="L643" s="361"/>
      <c r="M643" s="183"/>
      <c r="N643" s="361"/>
      <c r="O643" s="247" t="s">
        <v>3280</v>
      </c>
      <c r="P643" s="184">
        <v>2017</v>
      </c>
      <c r="Q643" s="183"/>
      <c r="R643" s="183"/>
      <c r="S643" s="183"/>
      <c r="T643" s="32" t="s">
        <v>12</v>
      </c>
      <c r="U643" s="256">
        <v>1808380700</v>
      </c>
      <c r="V643" s="68"/>
      <c r="W643" s="61"/>
      <c r="X643" s="206" t="str">
        <f t="shared" si="186"/>
        <v>4.13.01</v>
      </c>
      <c r="Y643" s="207" t="e">
        <f t="shared" si="184"/>
        <v>#N/A</v>
      </c>
      <c r="Z643" s="207" t="e">
        <f t="shared" si="185"/>
        <v>#N/A</v>
      </c>
      <c r="AA643" s="233" t="e">
        <f t="shared" si="175"/>
        <v>#N/A</v>
      </c>
      <c r="AB643" s="208"/>
      <c r="AC643" s="233"/>
      <c r="AD643" s="233"/>
      <c r="AE643" s="233"/>
      <c r="AF643" s="233"/>
      <c r="AG643" s="233"/>
      <c r="AH643" s="238" t="e">
        <f t="shared" si="179"/>
        <v>#N/A</v>
      </c>
      <c r="AI643" s="238" t="e">
        <f t="shared" si="180"/>
        <v>#N/A</v>
      </c>
      <c r="AJ643" s="261">
        <f t="shared" si="181"/>
        <v>2017</v>
      </c>
      <c r="AK643" s="233" t="e">
        <f t="shared" si="182"/>
        <v>#N/A</v>
      </c>
      <c r="AM643" s="116" t="s">
        <v>4245</v>
      </c>
    </row>
    <row r="644" spans="1:39" s="120" customFormat="1" ht="35.25" hidden="1" customHeight="1" x14ac:dyDescent="0.2">
      <c r="A644" s="120">
        <v>259</v>
      </c>
      <c r="B644" s="116" t="str">
        <f t="shared" si="172"/>
        <v>SENTAJO - TERATAK AIR HITAM</v>
      </c>
      <c r="D644" s="120">
        <v>3</v>
      </c>
      <c r="E644" s="116" t="str">
        <f>A644&amp;"."&amp;D644</f>
        <v>259.3</v>
      </c>
      <c r="F644" s="218"/>
      <c r="G644" s="130"/>
      <c r="H644" s="248" t="s">
        <v>2508</v>
      </c>
      <c r="I644" s="184" t="s">
        <v>2494</v>
      </c>
      <c r="J644" s="183"/>
      <c r="K644" s="184"/>
      <c r="L644" s="361"/>
      <c r="M644" s="183"/>
      <c r="N644" s="361"/>
      <c r="O644" s="247" t="s">
        <v>2570</v>
      </c>
      <c r="P644" s="184">
        <v>2017</v>
      </c>
      <c r="Q644" s="183"/>
      <c r="R644" s="183"/>
      <c r="S644" s="183"/>
      <c r="T644" s="32" t="s">
        <v>12</v>
      </c>
      <c r="U644" s="256">
        <v>189804600</v>
      </c>
      <c r="V644" s="68"/>
      <c r="W644" s="61"/>
      <c r="X644" s="206" t="str">
        <f t="shared" si="186"/>
        <v>4.13.01</v>
      </c>
      <c r="Y644" s="207" t="e">
        <f t="shared" si="184"/>
        <v>#N/A</v>
      </c>
      <c r="Z644" s="207" t="e">
        <f t="shared" si="185"/>
        <v>#N/A</v>
      </c>
      <c r="AA644" s="233" t="e">
        <f t="shared" si="175"/>
        <v>#N/A</v>
      </c>
      <c r="AB644" s="208"/>
      <c r="AC644" s="233"/>
      <c r="AD644" s="233"/>
      <c r="AE644" s="233"/>
      <c r="AF644" s="233"/>
      <c r="AG644" s="233"/>
      <c r="AH644" s="238" t="e">
        <f t="shared" si="179"/>
        <v>#N/A</v>
      </c>
      <c r="AI644" s="238" t="e">
        <f t="shared" si="180"/>
        <v>#N/A</v>
      </c>
      <c r="AJ644" s="261">
        <f t="shared" si="181"/>
        <v>2017</v>
      </c>
      <c r="AK644" s="233" t="e">
        <f t="shared" si="182"/>
        <v>#N/A</v>
      </c>
      <c r="AM644" s="116" t="s">
        <v>4245</v>
      </c>
    </row>
    <row r="645" spans="1:39" s="120" customFormat="1" ht="35.25" hidden="1" customHeight="1" x14ac:dyDescent="0.2">
      <c r="B645" s="116" t="e">
        <f t="shared" si="172"/>
        <v>#N/A</v>
      </c>
      <c r="F645" s="218"/>
      <c r="G645" s="130"/>
      <c r="H645" s="248" t="s">
        <v>3061</v>
      </c>
      <c r="I645" s="184" t="s">
        <v>2494</v>
      </c>
      <c r="J645" s="183"/>
      <c r="K645" s="184"/>
      <c r="L645" s="361"/>
      <c r="M645" s="183"/>
      <c r="N645" s="361"/>
      <c r="O645" s="247" t="s">
        <v>2571</v>
      </c>
      <c r="P645" s="184">
        <v>2017</v>
      </c>
      <c r="Q645" s="183"/>
      <c r="R645" s="183"/>
      <c r="S645" s="183"/>
      <c r="T645" s="32" t="s">
        <v>12</v>
      </c>
      <c r="U645" s="256">
        <v>629019200</v>
      </c>
      <c r="V645" s="68"/>
      <c r="W645" s="61"/>
      <c r="X645" s="206" t="str">
        <f t="shared" si="186"/>
        <v>4.13.01</v>
      </c>
      <c r="Y645" s="207" t="e">
        <f t="shared" si="184"/>
        <v>#N/A</v>
      </c>
      <c r="Z645" s="207" t="e">
        <f t="shared" si="185"/>
        <v>#N/A</v>
      </c>
      <c r="AA645" s="233" t="e">
        <f t="shared" si="175"/>
        <v>#N/A</v>
      </c>
      <c r="AB645" s="208"/>
      <c r="AC645" s="233"/>
      <c r="AD645" s="233"/>
      <c r="AE645" s="233"/>
      <c r="AF645" s="233"/>
      <c r="AG645" s="233"/>
      <c r="AH645" s="238" t="e">
        <f t="shared" si="179"/>
        <v>#N/A</v>
      </c>
      <c r="AI645" s="238" t="e">
        <f t="shared" si="180"/>
        <v>#N/A</v>
      </c>
      <c r="AJ645" s="261">
        <f t="shared" si="181"/>
        <v>2017</v>
      </c>
      <c r="AK645" s="233" t="e">
        <f t="shared" si="182"/>
        <v>#N/A</v>
      </c>
    </row>
    <row r="646" spans="1:39" s="120" customFormat="1" ht="35.25" hidden="1" customHeight="1" x14ac:dyDescent="0.2">
      <c r="B646" s="116" t="e">
        <f t="shared" si="172"/>
        <v>#N/A</v>
      </c>
      <c r="F646" s="218"/>
      <c r="G646" s="130"/>
      <c r="H646" s="248" t="s">
        <v>3063</v>
      </c>
      <c r="I646" s="184" t="s">
        <v>2494</v>
      </c>
      <c r="J646" s="183"/>
      <c r="K646" s="184"/>
      <c r="L646" s="361"/>
      <c r="M646" s="183"/>
      <c r="N646" s="361"/>
      <c r="O646" s="247" t="s">
        <v>3281</v>
      </c>
      <c r="P646" s="184">
        <v>2017</v>
      </c>
      <c r="Q646" s="183"/>
      <c r="R646" s="183"/>
      <c r="S646" s="183"/>
      <c r="T646" s="32" t="s">
        <v>12</v>
      </c>
      <c r="U646" s="256">
        <v>190356302</v>
      </c>
      <c r="V646" s="68"/>
      <c r="W646" s="61"/>
      <c r="X646" s="206" t="str">
        <f t="shared" si="186"/>
        <v>4.13.01</v>
      </c>
      <c r="Y646" s="207" t="e">
        <f t="shared" si="184"/>
        <v>#N/A</v>
      </c>
      <c r="Z646" s="207" t="e">
        <f t="shared" si="185"/>
        <v>#N/A</v>
      </c>
      <c r="AA646" s="233" t="e">
        <f t="shared" si="175"/>
        <v>#N/A</v>
      </c>
      <c r="AB646" s="208"/>
      <c r="AC646" s="233"/>
      <c r="AD646" s="233"/>
      <c r="AE646" s="233"/>
      <c r="AF646" s="233"/>
      <c r="AG646" s="233"/>
      <c r="AH646" s="238" t="e">
        <f t="shared" si="179"/>
        <v>#N/A</v>
      </c>
      <c r="AI646" s="238" t="e">
        <f t="shared" si="180"/>
        <v>#N/A</v>
      </c>
      <c r="AJ646" s="261">
        <f t="shared" si="181"/>
        <v>2017</v>
      </c>
      <c r="AK646" s="233" t="e">
        <f t="shared" si="182"/>
        <v>#N/A</v>
      </c>
    </row>
    <row r="647" spans="1:39" s="120" customFormat="1" ht="35.25" hidden="1" customHeight="1" x14ac:dyDescent="0.2">
      <c r="B647" s="116" t="e">
        <f t="shared" si="172"/>
        <v>#N/A</v>
      </c>
      <c r="F647" s="218"/>
      <c r="G647" s="130"/>
      <c r="H647" s="248" t="s">
        <v>3064</v>
      </c>
      <c r="I647" s="184" t="s">
        <v>2494</v>
      </c>
      <c r="J647" s="183"/>
      <c r="K647" s="184"/>
      <c r="L647" s="361"/>
      <c r="M647" s="183"/>
      <c r="N647" s="361"/>
      <c r="O647" s="247" t="s">
        <v>3282</v>
      </c>
      <c r="P647" s="184">
        <v>2017</v>
      </c>
      <c r="Q647" s="183"/>
      <c r="R647" s="183"/>
      <c r="S647" s="183"/>
      <c r="T647" s="32" t="s">
        <v>12</v>
      </c>
      <c r="U647" s="256">
        <v>147108400.29000002</v>
      </c>
      <c r="V647" s="68"/>
      <c r="W647" s="61"/>
      <c r="X647" s="206" t="str">
        <f t="shared" si="186"/>
        <v>4.13.01</v>
      </c>
      <c r="Y647" s="207" t="e">
        <f t="shared" si="184"/>
        <v>#N/A</v>
      </c>
      <c r="Z647" s="207" t="e">
        <f t="shared" si="185"/>
        <v>#N/A</v>
      </c>
      <c r="AA647" s="233" t="e">
        <f t="shared" si="175"/>
        <v>#N/A</v>
      </c>
      <c r="AB647" s="208"/>
      <c r="AC647" s="233"/>
      <c r="AD647" s="233"/>
      <c r="AE647" s="233"/>
      <c r="AF647" s="233"/>
      <c r="AG647" s="233"/>
      <c r="AH647" s="238" t="e">
        <f t="shared" si="179"/>
        <v>#N/A</v>
      </c>
      <c r="AI647" s="238" t="e">
        <f t="shared" si="180"/>
        <v>#N/A</v>
      </c>
      <c r="AJ647" s="261">
        <f t="shared" si="181"/>
        <v>2017</v>
      </c>
      <c r="AK647" s="233" t="e">
        <f t="shared" si="182"/>
        <v>#N/A</v>
      </c>
    </row>
    <row r="648" spans="1:39" s="120" customFormat="1" ht="35.25" hidden="1" customHeight="1" x14ac:dyDescent="0.2">
      <c r="B648" s="116" t="e">
        <f t="shared" si="172"/>
        <v>#N/A</v>
      </c>
      <c r="F648" s="218"/>
      <c r="G648" s="130"/>
      <c r="H648" s="248" t="s">
        <v>3065</v>
      </c>
      <c r="I648" s="184" t="s">
        <v>2494</v>
      </c>
      <c r="J648" s="183"/>
      <c r="K648" s="184"/>
      <c r="L648" s="361"/>
      <c r="M648" s="183"/>
      <c r="N648" s="361"/>
      <c r="O648" s="247" t="s">
        <v>3283</v>
      </c>
      <c r="P648" s="184">
        <v>2017</v>
      </c>
      <c r="Q648" s="183"/>
      <c r="R648" s="183"/>
      <c r="S648" s="183"/>
      <c r="T648" s="32" t="s">
        <v>12</v>
      </c>
      <c r="U648" s="256">
        <v>196256600</v>
      </c>
      <c r="V648" s="68"/>
      <c r="W648" s="61"/>
      <c r="X648" s="206" t="str">
        <f t="shared" si="186"/>
        <v>4.13.01</v>
      </c>
      <c r="Y648" s="207" t="e">
        <f t="shared" si="184"/>
        <v>#N/A</v>
      </c>
      <c r="Z648" s="207" t="e">
        <f t="shared" si="185"/>
        <v>#N/A</v>
      </c>
      <c r="AA648" s="233" t="e">
        <f t="shared" si="175"/>
        <v>#N/A</v>
      </c>
      <c r="AB648" s="208"/>
      <c r="AC648" s="233"/>
      <c r="AD648" s="233"/>
      <c r="AE648" s="233"/>
      <c r="AF648" s="233"/>
      <c r="AG648" s="233"/>
      <c r="AH648" s="238" t="e">
        <f t="shared" si="179"/>
        <v>#N/A</v>
      </c>
      <c r="AI648" s="238" t="e">
        <f t="shared" si="180"/>
        <v>#N/A</v>
      </c>
      <c r="AJ648" s="261">
        <f t="shared" si="181"/>
        <v>2017</v>
      </c>
      <c r="AK648" s="233" t="e">
        <f t="shared" si="182"/>
        <v>#N/A</v>
      </c>
    </row>
    <row r="649" spans="1:39" s="120" customFormat="1" ht="35.25" hidden="1" customHeight="1" x14ac:dyDescent="0.2">
      <c r="B649" s="116" t="e">
        <f t="shared" si="172"/>
        <v>#N/A</v>
      </c>
      <c r="F649" s="218"/>
      <c r="G649" s="130"/>
      <c r="H649" s="248" t="s">
        <v>3066</v>
      </c>
      <c r="I649" s="184" t="s">
        <v>2494</v>
      </c>
      <c r="J649" s="183"/>
      <c r="K649" s="184"/>
      <c r="L649" s="361"/>
      <c r="M649" s="183"/>
      <c r="N649" s="361"/>
      <c r="O649" s="247" t="s">
        <v>2572</v>
      </c>
      <c r="P649" s="184">
        <v>2017</v>
      </c>
      <c r="Q649" s="183"/>
      <c r="R649" s="183"/>
      <c r="S649" s="183"/>
      <c r="T649" s="32" t="s">
        <v>12</v>
      </c>
      <c r="U649" s="256">
        <v>196507244</v>
      </c>
      <c r="V649" s="68"/>
      <c r="W649" s="61"/>
      <c r="X649" s="206" t="str">
        <f t="shared" si="186"/>
        <v>4.13.01</v>
      </c>
      <c r="Y649" s="207" t="e">
        <f t="shared" si="184"/>
        <v>#N/A</v>
      </c>
      <c r="Z649" s="207" t="e">
        <f t="shared" si="185"/>
        <v>#N/A</v>
      </c>
      <c r="AA649" s="233" t="e">
        <f t="shared" si="175"/>
        <v>#N/A</v>
      </c>
      <c r="AB649" s="208"/>
      <c r="AC649" s="233"/>
      <c r="AD649" s="233"/>
      <c r="AE649" s="233"/>
      <c r="AF649" s="233"/>
      <c r="AG649" s="233"/>
      <c r="AH649" s="238" t="e">
        <f t="shared" si="179"/>
        <v>#N/A</v>
      </c>
      <c r="AI649" s="238" t="e">
        <f t="shared" si="180"/>
        <v>#N/A</v>
      </c>
      <c r="AJ649" s="261">
        <f t="shared" si="181"/>
        <v>2017</v>
      </c>
      <c r="AK649" s="233" t="e">
        <f t="shared" si="182"/>
        <v>#N/A</v>
      </c>
    </row>
    <row r="650" spans="1:39" s="120" customFormat="1" ht="35.25" hidden="1" customHeight="1" x14ac:dyDescent="0.2">
      <c r="B650" s="116" t="e">
        <f t="shared" si="172"/>
        <v>#N/A</v>
      </c>
      <c r="F650" s="218"/>
      <c r="G650" s="130"/>
      <c r="H650" s="248" t="s">
        <v>3067</v>
      </c>
      <c r="I650" s="184" t="s">
        <v>2494</v>
      </c>
      <c r="J650" s="183"/>
      <c r="K650" s="184"/>
      <c r="L650" s="361"/>
      <c r="M650" s="183"/>
      <c r="N650" s="361"/>
      <c r="O650" s="247" t="s">
        <v>3284</v>
      </c>
      <c r="P650" s="184">
        <v>2017</v>
      </c>
      <c r="Q650" s="183"/>
      <c r="R650" s="183"/>
      <c r="S650" s="183"/>
      <c r="T650" s="32" t="s">
        <v>12</v>
      </c>
      <c r="U650" s="256">
        <v>196517180</v>
      </c>
      <c r="V650" s="68"/>
      <c r="W650" s="61"/>
      <c r="X650" s="206" t="str">
        <f t="shared" si="186"/>
        <v>4.13.01</v>
      </c>
      <c r="Y650" s="207" t="e">
        <f t="shared" si="184"/>
        <v>#N/A</v>
      </c>
      <c r="Z650" s="207" t="e">
        <f t="shared" si="185"/>
        <v>#N/A</v>
      </c>
      <c r="AA650" s="233" t="e">
        <f t="shared" si="175"/>
        <v>#N/A</v>
      </c>
      <c r="AB650" s="208"/>
      <c r="AC650" s="233"/>
      <c r="AD650" s="233"/>
      <c r="AE650" s="233"/>
      <c r="AF650" s="233"/>
      <c r="AG650" s="233"/>
      <c r="AH650" s="238" t="e">
        <f t="shared" si="179"/>
        <v>#N/A</v>
      </c>
      <c r="AI650" s="238" t="e">
        <f t="shared" si="180"/>
        <v>#N/A</v>
      </c>
      <c r="AJ650" s="261">
        <f t="shared" si="181"/>
        <v>2017</v>
      </c>
      <c r="AK650" s="233" t="e">
        <f t="shared" si="182"/>
        <v>#N/A</v>
      </c>
    </row>
    <row r="651" spans="1:39" s="120" customFormat="1" ht="35.25" hidden="1" customHeight="1" x14ac:dyDescent="0.2">
      <c r="B651" s="116" t="e">
        <f t="shared" si="172"/>
        <v>#N/A</v>
      </c>
      <c r="F651" s="218"/>
      <c r="G651" s="130"/>
      <c r="H651" s="248" t="s">
        <v>3068</v>
      </c>
      <c r="I651" s="184" t="s">
        <v>2494</v>
      </c>
      <c r="J651" s="183"/>
      <c r="K651" s="184"/>
      <c r="L651" s="361"/>
      <c r="M651" s="183"/>
      <c r="N651" s="361"/>
      <c r="O651" s="247" t="s">
        <v>3285</v>
      </c>
      <c r="P651" s="184">
        <v>2017</v>
      </c>
      <c r="Q651" s="183"/>
      <c r="R651" s="183"/>
      <c r="S651" s="183"/>
      <c r="T651" s="32" t="s">
        <v>12</v>
      </c>
      <c r="U651" s="256">
        <v>196729600</v>
      </c>
      <c r="V651" s="68"/>
      <c r="W651" s="61"/>
      <c r="X651" s="206" t="str">
        <f t="shared" si="186"/>
        <v>4.13.01</v>
      </c>
      <c r="Y651" s="207" t="e">
        <f t="shared" si="184"/>
        <v>#N/A</v>
      </c>
      <c r="Z651" s="207" t="e">
        <f t="shared" si="185"/>
        <v>#N/A</v>
      </c>
      <c r="AA651" s="233" t="e">
        <f t="shared" si="175"/>
        <v>#N/A</v>
      </c>
      <c r="AB651" s="208"/>
      <c r="AC651" s="233"/>
      <c r="AD651" s="233"/>
      <c r="AE651" s="233"/>
      <c r="AF651" s="233"/>
      <c r="AG651" s="233"/>
      <c r="AH651" s="238" t="e">
        <f t="shared" si="179"/>
        <v>#N/A</v>
      </c>
      <c r="AI651" s="238" t="e">
        <f t="shared" si="180"/>
        <v>#N/A</v>
      </c>
      <c r="AJ651" s="261">
        <f t="shared" si="181"/>
        <v>2017</v>
      </c>
      <c r="AK651" s="233" t="e">
        <f t="shared" si="182"/>
        <v>#N/A</v>
      </c>
    </row>
    <row r="652" spans="1:39" s="120" customFormat="1" ht="35.25" hidden="1" customHeight="1" x14ac:dyDescent="0.2">
      <c r="B652" s="116" t="e">
        <f t="shared" si="172"/>
        <v>#N/A</v>
      </c>
      <c r="F652" s="218"/>
      <c r="G652" s="130"/>
      <c r="H652" s="248" t="s">
        <v>3069</v>
      </c>
      <c r="I652" s="184" t="s">
        <v>2494</v>
      </c>
      <c r="J652" s="183"/>
      <c r="K652" s="184"/>
      <c r="L652" s="361"/>
      <c r="M652" s="183"/>
      <c r="N652" s="361"/>
      <c r="O652" s="247" t="s">
        <v>2573</v>
      </c>
      <c r="P652" s="184">
        <v>2017</v>
      </c>
      <c r="Q652" s="183"/>
      <c r="R652" s="183"/>
      <c r="S652" s="183"/>
      <c r="T652" s="32" t="s">
        <v>12</v>
      </c>
      <c r="U652" s="256">
        <v>181275065</v>
      </c>
      <c r="V652" s="68"/>
      <c r="W652" s="61"/>
      <c r="X652" s="206" t="str">
        <f t="shared" si="186"/>
        <v>4.13.01</v>
      </c>
      <c r="Y652" s="207" t="e">
        <f t="shared" si="184"/>
        <v>#N/A</v>
      </c>
      <c r="Z652" s="207" t="e">
        <f t="shared" si="185"/>
        <v>#N/A</v>
      </c>
      <c r="AA652" s="233" t="e">
        <f t="shared" si="175"/>
        <v>#N/A</v>
      </c>
      <c r="AB652" s="208"/>
      <c r="AC652" s="233"/>
      <c r="AD652" s="233"/>
      <c r="AE652" s="233"/>
      <c r="AF652" s="233"/>
      <c r="AG652" s="233"/>
      <c r="AH652" s="238" t="e">
        <f t="shared" si="179"/>
        <v>#N/A</v>
      </c>
      <c r="AI652" s="238" t="e">
        <f t="shared" si="180"/>
        <v>#N/A</v>
      </c>
      <c r="AJ652" s="261">
        <f t="shared" si="181"/>
        <v>2017</v>
      </c>
      <c r="AK652" s="233" t="e">
        <f t="shared" si="182"/>
        <v>#N/A</v>
      </c>
    </row>
    <row r="653" spans="1:39" s="120" customFormat="1" ht="35.25" hidden="1" customHeight="1" x14ac:dyDescent="0.2">
      <c r="B653" s="116" t="e">
        <f t="shared" si="172"/>
        <v>#N/A</v>
      </c>
      <c r="F653" s="218"/>
      <c r="G653" s="130"/>
      <c r="H653" s="248" t="s">
        <v>3070</v>
      </c>
      <c r="I653" s="184" t="s">
        <v>2494</v>
      </c>
      <c r="J653" s="183"/>
      <c r="K653" s="184"/>
      <c r="L653" s="361"/>
      <c r="M653" s="183"/>
      <c r="N653" s="361"/>
      <c r="O653" s="247" t="s">
        <v>3286</v>
      </c>
      <c r="P653" s="184">
        <v>2017</v>
      </c>
      <c r="Q653" s="183"/>
      <c r="R653" s="183"/>
      <c r="S653" s="183"/>
      <c r="T653" s="32" t="s">
        <v>12</v>
      </c>
      <c r="U653" s="256">
        <v>180048469</v>
      </c>
      <c r="V653" s="68"/>
      <c r="W653" s="61"/>
      <c r="X653" s="206" t="str">
        <f t="shared" si="186"/>
        <v>4.13.01</v>
      </c>
      <c r="Y653" s="207" t="e">
        <f t="shared" si="184"/>
        <v>#N/A</v>
      </c>
      <c r="Z653" s="207" t="e">
        <f t="shared" si="185"/>
        <v>#N/A</v>
      </c>
      <c r="AA653" s="233" t="e">
        <f t="shared" si="175"/>
        <v>#N/A</v>
      </c>
      <c r="AB653" s="208"/>
      <c r="AC653" s="233"/>
      <c r="AD653" s="233"/>
      <c r="AE653" s="233"/>
      <c r="AF653" s="233"/>
      <c r="AG653" s="233"/>
      <c r="AH653" s="238" t="e">
        <f t="shared" si="179"/>
        <v>#N/A</v>
      </c>
      <c r="AI653" s="238" t="e">
        <f t="shared" si="180"/>
        <v>#N/A</v>
      </c>
      <c r="AJ653" s="261">
        <f t="shared" si="181"/>
        <v>2017</v>
      </c>
      <c r="AK653" s="233" t="e">
        <f t="shared" si="182"/>
        <v>#N/A</v>
      </c>
    </row>
    <row r="654" spans="1:39" s="120" customFormat="1" ht="35.25" hidden="1" customHeight="1" x14ac:dyDescent="0.2">
      <c r="B654" s="116" t="e">
        <f t="shared" si="172"/>
        <v>#N/A</v>
      </c>
      <c r="F654" s="218"/>
      <c r="G654" s="130"/>
      <c r="H654" s="248" t="s">
        <v>3070</v>
      </c>
      <c r="I654" s="184" t="s">
        <v>2494</v>
      </c>
      <c r="J654" s="183"/>
      <c r="K654" s="184"/>
      <c r="L654" s="361"/>
      <c r="M654" s="183"/>
      <c r="N654" s="361"/>
      <c r="O654" s="247" t="s">
        <v>3286</v>
      </c>
      <c r="P654" s="184">
        <v>2017</v>
      </c>
      <c r="Q654" s="183"/>
      <c r="R654" s="183"/>
      <c r="S654" s="183"/>
      <c r="T654" s="32" t="s">
        <v>12</v>
      </c>
      <c r="U654" s="256">
        <v>180968000</v>
      </c>
      <c r="V654" s="68"/>
      <c r="W654" s="61"/>
      <c r="X654" s="206" t="str">
        <f t="shared" si="186"/>
        <v>4.13.01</v>
      </c>
      <c r="Y654" s="207" t="e">
        <f t="shared" si="184"/>
        <v>#N/A</v>
      </c>
      <c r="Z654" s="207" t="e">
        <f t="shared" si="185"/>
        <v>#N/A</v>
      </c>
      <c r="AA654" s="233" t="e">
        <f t="shared" si="175"/>
        <v>#N/A</v>
      </c>
      <c r="AB654" s="208"/>
      <c r="AC654" s="233"/>
      <c r="AD654" s="233"/>
      <c r="AE654" s="233"/>
      <c r="AF654" s="233"/>
      <c r="AG654" s="233"/>
      <c r="AH654" s="238" t="e">
        <f t="shared" si="179"/>
        <v>#N/A</v>
      </c>
      <c r="AI654" s="238" t="e">
        <f t="shared" si="180"/>
        <v>#N/A</v>
      </c>
      <c r="AJ654" s="261">
        <f t="shared" si="181"/>
        <v>2017</v>
      </c>
      <c r="AK654" s="233" t="e">
        <f t="shared" si="182"/>
        <v>#N/A</v>
      </c>
    </row>
    <row r="655" spans="1:39" s="120" customFormat="1" ht="35.25" hidden="1" customHeight="1" x14ac:dyDescent="0.2">
      <c r="A655" s="116">
        <v>280</v>
      </c>
      <c r="B655" s="116" t="str">
        <f t="shared" si="172"/>
        <v>GUNUNG KESIANGAN - RESETLEMEN PENDUDUK</v>
      </c>
      <c r="D655" s="120">
        <v>1</v>
      </c>
      <c r="E655" s="116" t="str">
        <f>A655&amp;"."&amp;D655</f>
        <v>280.1</v>
      </c>
      <c r="F655" s="218"/>
      <c r="G655" s="130"/>
      <c r="H655" s="248" t="s">
        <v>3071</v>
      </c>
      <c r="I655" s="184" t="s">
        <v>2494</v>
      </c>
      <c r="J655" s="183"/>
      <c r="K655" s="184"/>
      <c r="L655" s="361"/>
      <c r="M655" s="183"/>
      <c r="N655" s="361"/>
      <c r="O655" s="247" t="s">
        <v>2575</v>
      </c>
      <c r="P655" s="184">
        <v>2017</v>
      </c>
      <c r="Q655" s="183"/>
      <c r="R655" s="183"/>
      <c r="S655" s="183"/>
      <c r="T655" s="32" t="s">
        <v>12</v>
      </c>
      <c r="U655" s="256">
        <v>181501000</v>
      </c>
      <c r="V655" s="68"/>
      <c r="W655" s="61"/>
      <c r="X655" s="206" t="str">
        <f t="shared" si="186"/>
        <v>4.13.01</v>
      </c>
      <c r="Y655" s="207" t="e">
        <f t="shared" si="184"/>
        <v>#N/A</v>
      </c>
      <c r="Z655" s="207" t="e">
        <f t="shared" si="185"/>
        <v>#N/A</v>
      </c>
      <c r="AA655" s="233" t="e">
        <f t="shared" si="175"/>
        <v>#N/A</v>
      </c>
      <c r="AB655" s="208"/>
      <c r="AC655" s="233"/>
      <c r="AD655" s="233"/>
      <c r="AE655" s="233"/>
      <c r="AF655" s="233"/>
      <c r="AG655" s="233"/>
      <c r="AH655" s="238" t="e">
        <f t="shared" si="179"/>
        <v>#N/A</v>
      </c>
      <c r="AI655" s="238" t="e">
        <f t="shared" si="180"/>
        <v>#N/A</v>
      </c>
      <c r="AJ655" s="261">
        <f t="shared" si="181"/>
        <v>2017</v>
      </c>
      <c r="AK655" s="233" t="e">
        <f t="shared" si="182"/>
        <v>#N/A</v>
      </c>
    </row>
    <row r="656" spans="1:39" s="120" customFormat="1" ht="35.25" hidden="1" customHeight="1" x14ac:dyDescent="0.2">
      <c r="A656" s="120">
        <v>277</v>
      </c>
      <c r="B656" s="116" t="str">
        <f t="shared" ref="B656:B686" si="187">VLOOKUP(A656,RUAS,2,0)</f>
        <v>GUNUNG KESIANGAN - PL. KALIMANTING</v>
      </c>
      <c r="D656" s="120">
        <v>1</v>
      </c>
      <c r="E656" s="116" t="str">
        <f>A656&amp;"."&amp;D656</f>
        <v>277.1</v>
      </c>
      <c r="F656" s="218"/>
      <c r="G656" s="130"/>
      <c r="H656" s="248" t="s">
        <v>3072</v>
      </c>
      <c r="I656" s="184" t="s">
        <v>2494</v>
      </c>
      <c r="J656" s="183"/>
      <c r="K656" s="184"/>
      <c r="L656" s="361"/>
      <c r="M656" s="183"/>
      <c r="N656" s="361"/>
      <c r="O656" s="247" t="s">
        <v>3287</v>
      </c>
      <c r="P656" s="184">
        <v>2017</v>
      </c>
      <c r="Q656" s="183"/>
      <c r="R656" s="183"/>
      <c r="S656" s="183"/>
      <c r="T656" s="32" t="s">
        <v>12</v>
      </c>
      <c r="U656" s="256">
        <v>192368982</v>
      </c>
      <c r="V656" s="68"/>
      <c r="W656" s="61"/>
      <c r="X656" s="206" t="str">
        <f t="shared" si="186"/>
        <v>4.13.01</v>
      </c>
      <c r="Y656" s="207" t="e">
        <f t="shared" si="184"/>
        <v>#N/A</v>
      </c>
      <c r="Z656" s="207" t="e">
        <f t="shared" si="185"/>
        <v>#N/A</v>
      </c>
      <c r="AA656" s="233" t="e">
        <f t="shared" si="175"/>
        <v>#N/A</v>
      </c>
      <c r="AB656" s="208"/>
      <c r="AC656" s="233"/>
      <c r="AD656" s="233"/>
      <c r="AE656" s="233"/>
      <c r="AF656" s="233"/>
      <c r="AG656" s="233"/>
      <c r="AH656" s="238" t="e">
        <f t="shared" si="179"/>
        <v>#N/A</v>
      </c>
      <c r="AI656" s="238" t="e">
        <f t="shared" si="180"/>
        <v>#N/A</v>
      </c>
      <c r="AJ656" s="261">
        <f t="shared" si="181"/>
        <v>2017</v>
      </c>
      <c r="AK656" s="233" t="e">
        <f t="shared" si="182"/>
        <v>#N/A</v>
      </c>
    </row>
    <row r="657" spans="1:39" s="120" customFormat="1" ht="35.25" hidden="1" customHeight="1" x14ac:dyDescent="0.2">
      <c r="B657" s="116" t="e">
        <f t="shared" si="187"/>
        <v>#N/A</v>
      </c>
      <c r="F657" s="218"/>
      <c r="G657" s="130"/>
      <c r="H657" s="248" t="s">
        <v>3073</v>
      </c>
      <c r="I657" s="184" t="s">
        <v>2494</v>
      </c>
      <c r="J657" s="183"/>
      <c r="K657" s="184"/>
      <c r="L657" s="361"/>
      <c r="M657" s="183"/>
      <c r="N657" s="361"/>
      <c r="O657" s="247" t="s">
        <v>3288</v>
      </c>
      <c r="P657" s="184">
        <v>2017</v>
      </c>
      <c r="Q657" s="183"/>
      <c r="R657" s="183"/>
      <c r="S657" s="183"/>
      <c r="T657" s="32" t="s">
        <v>12</v>
      </c>
      <c r="U657" s="256">
        <v>1819666181</v>
      </c>
      <c r="V657" s="68"/>
      <c r="W657" s="61"/>
      <c r="X657" s="206" t="str">
        <f t="shared" si="186"/>
        <v>4.13.01</v>
      </c>
      <c r="Y657" s="207" t="e">
        <f t="shared" si="184"/>
        <v>#N/A</v>
      </c>
      <c r="Z657" s="207" t="e">
        <f t="shared" si="185"/>
        <v>#N/A</v>
      </c>
      <c r="AA657" s="233" t="e">
        <f>(U657-10)/Z657</f>
        <v>#N/A</v>
      </c>
      <c r="AB657" s="208"/>
      <c r="AC657" s="233"/>
      <c r="AD657" s="233"/>
      <c r="AE657" s="233"/>
      <c r="AF657" s="233"/>
      <c r="AG657" s="233"/>
      <c r="AH657" s="238" t="e">
        <f t="shared" ref="AH657:AH686" si="188">IF(U657-10=AD657+AE657+AF657+AC657+AG657,0,AA657)</f>
        <v>#N/A</v>
      </c>
      <c r="AI657" s="238" t="e">
        <f t="shared" ref="AI657:AI686" si="189">SUM(AC657:AH657)</f>
        <v>#N/A</v>
      </c>
      <c r="AJ657" s="261">
        <f t="shared" ref="AJ657:AJ686" si="190">P657</f>
        <v>2017</v>
      </c>
      <c r="AK657" s="233" t="e">
        <f t="shared" ref="AK657:AK686" si="191">U657-AI657</f>
        <v>#N/A</v>
      </c>
    </row>
    <row r="658" spans="1:39" s="120" customFormat="1" ht="35.25" hidden="1" customHeight="1" x14ac:dyDescent="0.2">
      <c r="B658" s="116" t="e">
        <f t="shared" si="187"/>
        <v>#N/A</v>
      </c>
      <c r="F658" s="218"/>
      <c r="G658" s="130"/>
      <c r="H658" s="248" t="s">
        <v>3074</v>
      </c>
      <c r="I658" s="184" t="s">
        <v>2494</v>
      </c>
      <c r="J658" s="183"/>
      <c r="K658" s="184"/>
      <c r="L658" s="361"/>
      <c r="M658" s="183"/>
      <c r="N658" s="361"/>
      <c r="O658" s="247" t="s">
        <v>3289</v>
      </c>
      <c r="P658" s="184">
        <v>2017</v>
      </c>
      <c r="Q658" s="183"/>
      <c r="R658" s="183"/>
      <c r="S658" s="183"/>
      <c r="T658" s="32" t="s">
        <v>12</v>
      </c>
      <c r="U658" s="256">
        <v>197613000</v>
      </c>
      <c r="V658" s="68"/>
      <c r="W658" s="61"/>
      <c r="X658" s="206" t="str">
        <f t="shared" si="186"/>
        <v>4.13.01</v>
      </c>
      <c r="Y658" s="207" t="e">
        <f t="shared" si="184"/>
        <v>#N/A</v>
      </c>
      <c r="Z658" s="207" t="e">
        <f t="shared" si="185"/>
        <v>#N/A</v>
      </c>
      <c r="AA658" s="233" t="e">
        <f>(U658-10)/Z658</f>
        <v>#N/A</v>
      </c>
      <c r="AB658" s="208"/>
      <c r="AC658" s="233"/>
      <c r="AD658" s="233"/>
      <c r="AE658" s="233"/>
      <c r="AF658" s="233"/>
      <c r="AG658" s="233"/>
      <c r="AH658" s="238" t="e">
        <f t="shared" si="188"/>
        <v>#N/A</v>
      </c>
      <c r="AI658" s="238" t="e">
        <f t="shared" si="189"/>
        <v>#N/A</v>
      </c>
      <c r="AJ658" s="261">
        <f t="shared" si="190"/>
        <v>2017</v>
      </c>
      <c r="AK658" s="233" t="e">
        <f t="shared" si="191"/>
        <v>#N/A</v>
      </c>
    </row>
    <row r="659" spans="1:39" s="120" customFormat="1" ht="35.25" customHeight="1" x14ac:dyDescent="0.2">
      <c r="B659" s="116" t="e">
        <f t="shared" si="187"/>
        <v>#N/A</v>
      </c>
      <c r="F659" s="218"/>
      <c r="G659" s="130"/>
      <c r="H659" s="248" t="s">
        <v>3312</v>
      </c>
      <c r="I659" s="184" t="s">
        <v>2494</v>
      </c>
      <c r="J659" s="183"/>
      <c r="K659" s="184"/>
      <c r="L659" s="361"/>
      <c r="M659" s="183"/>
      <c r="N659" s="361"/>
      <c r="O659" s="247" t="s">
        <v>3290</v>
      </c>
      <c r="P659" s="184">
        <v>2018</v>
      </c>
      <c r="Q659" s="183"/>
      <c r="R659" s="183"/>
      <c r="S659" s="183"/>
      <c r="T659" s="32" t="s">
        <v>12</v>
      </c>
      <c r="U659" s="256">
        <v>2159049576</v>
      </c>
      <c r="V659" s="68"/>
      <c r="W659" s="61"/>
      <c r="X659" s="206" t="str">
        <f t="shared" si="186"/>
        <v>4.13.01</v>
      </c>
      <c r="Y659" s="207" t="e">
        <f t="shared" si="184"/>
        <v>#N/A</v>
      </c>
      <c r="Z659" s="207" t="e">
        <f t="shared" si="185"/>
        <v>#N/A</v>
      </c>
      <c r="AA659" s="233"/>
      <c r="AB659" s="208"/>
      <c r="AC659" s="233"/>
      <c r="AD659" s="233"/>
      <c r="AE659" s="233"/>
      <c r="AF659" s="233"/>
      <c r="AG659" s="233"/>
      <c r="AH659" s="238">
        <f t="shared" si="188"/>
        <v>0</v>
      </c>
      <c r="AI659" s="238">
        <f t="shared" si="189"/>
        <v>0</v>
      </c>
      <c r="AJ659" s="261">
        <f t="shared" si="190"/>
        <v>2018</v>
      </c>
      <c r="AK659" s="233">
        <f t="shared" si="191"/>
        <v>2159049576</v>
      </c>
    </row>
    <row r="660" spans="1:39" s="120" customFormat="1" ht="35.25" customHeight="1" x14ac:dyDescent="0.2">
      <c r="B660" s="116" t="e">
        <f t="shared" si="187"/>
        <v>#N/A</v>
      </c>
      <c r="F660" s="218"/>
      <c r="G660" s="130"/>
      <c r="H660" s="248" t="s">
        <v>3313</v>
      </c>
      <c r="I660" s="184" t="s">
        <v>2494</v>
      </c>
      <c r="J660" s="183"/>
      <c r="K660" s="184"/>
      <c r="L660" s="361"/>
      <c r="M660" s="183"/>
      <c r="N660" s="361"/>
      <c r="O660" s="247" t="s">
        <v>3291</v>
      </c>
      <c r="P660" s="184">
        <v>2018</v>
      </c>
      <c r="Q660" s="183"/>
      <c r="R660" s="183"/>
      <c r="S660" s="183"/>
      <c r="T660" s="32" t="s">
        <v>12</v>
      </c>
      <c r="U660" s="256">
        <v>2282412952</v>
      </c>
      <c r="V660" s="68"/>
      <c r="W660" s="61"/>
      <c r="X660" s="206" t="str">
        <f t="shared" si="186"/>
        <v>4.13.01</v>
      </c>
      <c r="Y660" s="207" t="e">
        <f t="shared" si="184"/>
        <v>#N/A</v>
      </c>
      <c r="Z660" s="207" t="e">
        <f t="shared" si="185"/>
        <v>#N/A</v>
      </c>
      <c r="AA660" s="233"/>
      <c r="AB660" s="208"/>
      <c r="AC660" s="233"/>
      <c r="AD660" s="233"/>
      <c r="AE660" s="233"/>
      <c r="AF660" s="233"/>
      <c r="AG660" s="233"/>
      <c r="AH660" s="238">
        <f t="shared" si="188"/>
        <v>0</v>
      </c>
      <c r="AI660" s="238">
        <f t="shared" si="189"/>
        <v>0</v>
      </c>
      <c r="AJ660" s="261">
        <f t="shared" si="190"/>
        <v>2018</v>
      </c>
      <c r="AK660" s="233">
        <f t="shared" si="191"/>
        <v>2282412952</v>
      </c>
    </row>
    <row r="661" spans="1:39" s="120" customFormat="1" ht="35.25" customHeight="1" x14ac:dyDescent="0.2">
      <c r="B661" s="116" t="e">
        <f t="shared" si="187"/>
        <v>#N/A</v>
      </c>
      <c r="F661" s="218"/>
      <c r="G661" s="130"/>
      <c r="H661" s="248" t="s">
        <v>3314</v>
      </c>
      <c r="I661" s="184" t="s">
        <v>2494</v>
      </c>
      <c r="J661" s="183"/>
      <c r="K661" s="184"/>
      <c r="L661" s="361"/>
      <c r="M661" s="183"/>
      <c r="N661" s="361"/>
      <c r="O661" s="247" t="s">
        <v>3292</v>
      </c>
      <c r="P661" s="184">
        <v>2018</v>
      </c>
      <c r="Q661" s="183"/>
      <c r="R661" s="183"/>
      <c r="S661" s="183"/>
      <c r="T661" s="32" t="s">
        <v>12</v>
      </c>
      <c r="U661" s="256">
        <v>2896710698</v>
      </c>
      <c r="V661" s="68"/>
      <c r="W661" s="61"/>
      <c r="X661" s="206" t="str">
        <f t="shared" si="186"/>
        <v>4.13.01</v>
      </c>
      <c r="Y661" s="207" t="e">
        <f t="shared" si="184"/>
        <v>#N/A</v>
      </c>
      <c r="Z661" s="207" t="e">
        <f t="shared" si="185"/>
        <v>#N/A</v>
      </c>
      <c r="AA661" s="233"/>
      <c r="AB661" s="208"/>
      <c r="AC661" s="233"/>
      <c r="AD661" s="233"/>
      <c r="AE661" s="233"/>
      <c r="AF661" s="233"/>
      <c r="AG661" s="233"/>
      <c r="AH661" s="238">
        <f t="shared" si="188"/>
        <v>0</v>
      </c>
      <c r="AI661" s="238">
        <f t="shared" si="189"/>
        <v>0</v>
      </c>
      <c r="AJ661" s="261">
        <f t="shared" si="190"/>
        <v>2018</v>
      </c>
      <c r="AK661" s="233">
        <f t="shared" si="191"/>
        <v>2896710698</v>
      </c>
    </row>
    <row r="662" spans="1:39" s="120" customFormat="1" ht="35.25" customHeight="1" x14ac:dyDescent="0.2">
      <c r="A662" s="417">
        <v>235</v>
      </c>
      <c r="B662" s="417" t="str">
        <f t="shared" si="187"/>
        <v>AIR MAS - SEI. KERANJI</v>
      </c>
      <c r="D662" s="120">
        <v>5</v>
      </c>
      <c r="E662" s="1" t="str">
        <f>A662&amp;"."&amp;D662</f>
        <v>235.5</v>
      </c>
      <c r="F662" s="218"/>
      <c r="G662" s="130"/>
      <c r="H662" s="248" t="s">
        <v>3315</v>
      </c>
      <c r="I662" s="184" t="s">
        <v>2494</v>
      </c>
      <c r="J662" s="183"/>
      <c r="K662" s="184"/>
      <c r="L662" s="361"/>
      <c r="M662" s="183"/>
      <c r="N662" s="361"/>
      <c r="O662" s="247" t="s">
        <v>3293</v>
      </c>
      <c r="P662" s="184">
        <v>2018</v>
      </c>
      <c r="Q662" s="183"/>
      <c r="R662" s="183"/>
      <c r="S662" s="183"/>
      <c r="T662" s="32" t="s">
        <v>12</v>
      </c>
      <c r="U662" s="256">
        <v>2270479483</v>
      </c>
      <c r="V662" s="68"/>
      <c r="W662" s="61"/>
      <c r="X662" s="206" t="str">
        <f t="shared" si="186"/>
        <v>4.13.01</v>
      </c>
      <c r="Y662" s="207" t="e">
        <f t="shared" si="184"/>
        <v>#N/A</v>
      </c>
      <c r="Z662" s="207" t="e">
        <f t="shared" si="185"/>
        <v>#N/A</v>
      </c>
      <c r="AA662" s="233"/>
      <c r="AB662" s="208"/>
      <c r="AC662" s="233"/>
      <c r="AD662" s="233"/>
      <c r="AE662" s="233"/>
      <c r="AF662" s="233"/>
      <c r="AG662" s="233"/>
      <c r="AH662" s="238">
        <f t="shared" si="188"/>
        <v>0</v>
      </c>
      <c r="AI662" s="238">
        <f t="shared" si="189"/>
        <v>0</v>
      </c>
      <c r="AJ662" s="261">
        <f t="shared" si="190"/>
        <v>2018</v>
      </c>
      <c r="AK662" s="233">
        <f t="shared" si="191"/>
        <v>2270479483</v>
      </c>
      <c r="AM662" s="116" t="s">
        <v>4245</v>
      </c>
    </row>
    <row r="663" spans="1:39" s="120" customFormat="1" ht="35.25" customHeight="1" x14ac:dyDescent="0.2">
      <c r="B663" s="116" t="e">
        <f t="shared" si="187"/>
        <v>#N/A</v>
      </c>
      <c r="F663" s="218"/>
      <c r="G663" s="130"/>
      <c r="H663" s="248" t="s">
        <v>3316</v>
      </c>
      <c r="I663" s="184" t="s">
        <v>2494</v>
      </c>
      <c r="J663" s="183"/>
      <c r="K663" s="184"/>
      <c r="L663" s="361"/>
      <c r="M663" s="183"/>
      <c r="N663" s="361"/>
      <c r="O663" s="247" t="s">
        <v>3294</v>
      </c>
      <c r="P663" s="184">
        <v>2018</v>
      </c>
      <c r="Q663" s="183"/>
      <c r="R663" s="183"/>
      <c r="S663" s="183"/>
      <c r="T663" s="32" t="s">
        <v>12</v>
      </c>
      <c r="U663" s="256">
        <v>2159457861</v>
      </c>
      <c r="V663" s="68"/>
      <c r="W663" s="61"/>
      <c r="X663" s="206" t="str">
        <f t="shared" si="186"/>
        <v>4.13.01</v>
      </c>
      <c r="Y663" s="207" t="e">
        <f t="shared" si="184"/>
        <v>#N/A</v>
      </c>
      <c r="Z663" s="207" t="e">
        <f t="shared" si="185"/>
        <v>#N/A</v>
      </c>
      <c r="AA663" s="233"/>
      <c r="AB663" s="208"/>
      <c r="AC663" s="233"/>
      <c r="AD663" s="233"/>
      <c r="AE663" s="233"/>
      <c r="AF663" s="233"/>
      <c r="AG663" s="233"/>
      <c r="AH663" s="238">
        <f t="shared" si="188"/>
        <v>0</v>
      </c>
      <c r="AI663" s="238">
        <f t="shared" si="189"/>
        <v>0</v>
      </c>
      <c r="AJ663" s="261">
        <f t="shared" si="190"/>
        <v>2018</v>
      </c>
      <c r="AK663" s="233">
        <f t="shared" si="191"/>
        <v>2159457861</v>
      </c>
    </row>
    <row r="664" spans="1:39" s="120" customFormat="1" ht="35.25" customHeight="1" x14ac:dyDescent="0.2">
      <c r="A664" s="116">
        <v>165</v>
      </c>
      <c r="B664" s="116" t="str">
        <f t="shared" si="187"/>
        <v>SAKO - TRANS SKP II</v>
      </c>
      <c r="D664" s="120">
        <v>9</v>
      </c>
      <c r="E664" s="116" t="str">
        <f>A664&amp;"."&amp;D664</f>
        <v>165.9</v>
      </c>
      <c r="F664" s="218"/>
      <c r="G664" s="130"/>
      <c r="H664" s="248" t="s">
        <v>3317</v>
      </c>
      <c r="I664" s="184" t="s">
        <v>2494</v>
      </c>
      <c r="J664" s="183"/>
      <c r="K664" s="184"/>
      <c r="L664" s="361"/>
      <c r="M664" s="183"/>
      <c r="N664" s="361"/>
      <c r="O664" s="247" t="s">
        <v>3295</v>
      </c>
      <c r="P664" s="184">
        <v>2018</v>
      </c>
      <c r="Q664" s="183"/>
      <c r="R664" s="183"/>
      <c r="S664" s="183"/>
      <c r="T664" s="32" t="s">
        <v>12</v>
      </c>
      <c r="U664" s="256">
        <v>2269492372</v>
      </c>
      <c r="V664" s="68"/>
      <c r="W664" s="61"/>
      <c r="X664" s="206" t="str">
        <f t="shared" si="186"/>
        <v>4.13.01</v>
      </c>
      <c r="Y664" s="207" t="e">
        <f t="shared" si="184"/>
        <v>#N/A</v>
      </c>
      <c r="Z664" s="207" t="e">
        <f t="shared" si="185"/>
        <v>#N/A</v>
      </c>
      <c r="AA664" s="233"/>
      <c r="AB664" s="208"/>
      <c r="AC664" s="233"/>
      <c r="AD664" s="233"/>
      <c r="AE664" s="233"/>
      <c r="AF664" s="233"/>
      <c r="AG664" s="233"/>
      <c r="AH664" s="238">
        <f t="shared" si="188"/>
        <v>0</v>
      </c>
      <c r="AI664" s="238">
        <f t="shared" si="189"/>
        <v>0</v>
      </c>
      <c r="AJ664" s="261">
        <f t="shared" si="190"/>
        <v>2018</v>
      </c>
      <c r="AK664" s="233">
        <f t="shared" si="191"/>
        <v>2269492372</v>
      </c>
      <c r="AM664" s="116" t="s">
        <v>4245</v>
      </c>
    </row>
    <row r="665" spans="1:39" s="120" customFormat="1" ht="35.25" customHeight="1" x14ac:dyDescent="0.2">
      <c r="B665" s="116" t="e">
        <f t="shared" si="187"/>
        <v>#N/A</v>
      </c>
      <c r="F665" s="218"/>
      <c r="G665" s="130"/>
      <c r="H665" s="248" t="s">
        <v>3318</v>
      </c>
      <c r="I665" s="184" t="s">
        <v>2494</v>
      </c>
      <c r="J665" s="183"/>
      <c r="K665" s="184"/>
      <c r="L665" s="361"/>
      <c r="M665" s="183"/>
      <c r="N665" s="361"/>
      <c r="O665" s="247" t="s">
        <v>3296</v>
      </c>
      <c r="P665" s="184">
        <v>2018</v>
      </c>
      <c r="Q665" s="183"/>
      <c r="R665" s="183"/>
      <c r="S665" s="183"/>
      <c r="T665" s="32" t="s">
        <v>12</v>
      </c>
      <c r="U665" s="256">
        <v>2257584511</v>
      </c>
      <c r="V665" s="68"/>
      <c r="W665" s="61"/>
      <c r="X665" s="206" t="str">
        <f t="shared" si="186"/>
        <v>4.13.01</v>
      </c>
      <c r="Y665" s="207" t="e">
        <f t="shared" si="184"/>
        <v>#N/A</v>
      </c>
      <c r="Z665" s="207" t="e">
        <f t="shared" si="185"/>
        <v>#N/A</v>
      </c>
      <c r="AA665" s="233"/>
      <c r="AB665" s="208"/>
      <c r="AC665" s="233"/>
      <c r="AD665" s="233"/>
      <c r="AE665" s="233"/>
      <c r="AF665" s="233"/>
      <c r="AG665" s="233"/>
      <c r="AH665" s="238">
        <f t="shared" si="188"/>
        <v>0</v>
      </c>
      <c r="AI665" s="238">
        <f t="shared" si="189"/>
        <v>0</v>
      </c>
      <c r="AJ665" s="261">
        <f t="shared" si="190"/>
        <v>2018</v>
      </c>
      <c r="AK665" s="233">
        <f t="shared" si="191"/>
        <v>2257584511</v>
      </c>
    </row>
    <row r="666" spans="1:39" s="120" customFormat="1" ht="35.25" customHeight="1" x14ac:dyDescent="0.2">
      <c r="A666" s="418">
        <v>134</v>
      </c>
      <c r="B666" s="417" t="str">
        <f t="shared" si="187"/>
        <v>KEPALA PULAU - PULAU MADINAH</v>
      </c>
      <c r="D666" s="120">
        <v>1</v>
      </c>
      <c r="E666" s="1" t="str">
        <f>A666&amp;"."&amp;D666</f>
        <v>134.1</v>
      </c>
      <c r="F666" s="218"/>
      <c r="G666" s="130"/>
      <c r="H666" s="248" t="s">
        <v>3319</v>
      </c>
      <c r="I666" s="184" t="s">
        <v>2494</v>
      </c>
      <c r="J666" s="183"/>
      <c r="K666" s="184"/>
      <c r="L666" s="361"/>
      <c r="M666" s="183"/>
      <c r="N666" s="361"/>
      <c r="O666" s="247" t="s">
        <v>3297</v>
      </c>
      <c r="P666" s="184">
        <v>2018</v>
      </c>
      <c r="Q666" s="183"/>
      <c r="R666" s="183"/>
      <c r="S666" s="183"/>
      <c r="T666" s="32" t="s">
        <v>12</v>
      </c>
      <c r="U666" s="256">
        <v>2217599426</v>
      </c>
      <c r="V666" s="68"/>
      <c r="W666" s="61"/>
      <c r="X666" s="206" t="str">
        <f t="shared" si="186"/>
        <v>4.13.01</v>
      </c>
      <c r="Y666" s="207" t="e">
        <f t="shared" si="184"/>
        <v>#N/A</v>
      </c>
      <c r="Z666" s="207" t="e">
        <f t="shared" si="185"/>
        <v>#N/A</v>
      </c>
      <c r="AA666" s="233"/>
      <c r="AB666" s="208"/>
      <c r="AC666" s="233"/>
      <c r="AD666" s="233"/>
      <c r="AE666" s="233"/>
      <c r="AF666" s="233"/>
      <c r="AG666" s="233"/>
      <c r="AH666" s="238">
        <f t="shared" si="188"/>
        <v>0</v>
      </c>
      <c r="AI666" s="238">
        <f t="shared" si="189"/>
        <v>0</v>
      </c>
      <c r="AJ666" s="261">
        <f t="shared" si="190"/>
        <v>2018</v>
      </c>
      <c r="AK666" s="233">
        <f t="shared" si="191"/>
        <v>2217599426</v>
      </c>
    </row>
    <row r="667" spans="1:39" s="120" customFormat="1" ht="35.25" customHeight="1" x14ac:dyDescent="0.2">
      <c r="A667" s="116">
        <v>296</v>
      </c>
      <c r="B667" s="116" t="str">
        <f t="shared" si="187"/>
        <v>INUMAN - PULAU BUSUK</v>
      </c>
      <c r="D667" s="120">
        <v>4</v>
      </c>
      <c r="E667" s="116" t="str">
        <f>A667&amp;"."&amp;D667</f>
        <v>296.4</v>
      </c>
      <c r="F667" s="218"/>
      <c r="G667" s="130"/>
      <c r="H667" s="248" t="s">
        <v>3320</v>
      </c>
      <c r="I667" s="184" t="s">
        <v>2494</v>
      </c>
      <c r="J667" s="183"/>
      <c r="K667" s="184"/>
      <c r="L667" s="361"/>
      <c r="M667" s="183"/>
      <c r="N667" s="361"/>
      <c r="O667" s="72" t="s">
        <v>3081</v>
      </c>
      <c r="P667" s="184">
        <v>2018</v>
      </c>
      <c r="Q667" s="183"/>
      <c r="R667" s="183"/>
      <c r="S667" s="183"/>
      <c r="T667" s="32" t="s">
        <v>12</v>
      </c>
      <c r="U667" s="256">
        <v>2164060514</v>
      </c>
      <c r="V667" s="68"/>
      <c r="W667" s="61"/>
      <c r="X667" s="206" t="str">
        <f t="shared" si="186"/>
        <v>4.13.01</v>
      </c>
      <c r="Y667" s="207" t="e">
        <f t="shared" ref="Y667:Y686" si="192">VLOOKUP(X667,UE,2,0)</f>
        <v>#N/A</v>
      </c>
      <c r="Z667" s="207" t="e">
        <f t="shared" ref="Z667:Z686" si="193">VLOOKUP(X667,UE,3,0)</f>
        <v>#N/A</v>
      </c>
      <c r="AA667" s="233"/>
      <c r="AB667" s="208"/>
      <c r="AC667" s="233"/>
      <c r="AD667" s="233"/>
      <c r="AE667" s="233"/>
      <c r="AF667" s="233"/>
      <c r="AG667" s="233"/>
      <c r="AH667" s="238">
        <f t="shared" si="188"/>
        <v>0</v>
      </c>
      <c r="AI667" s="238">
        <f t="shared" si="189"/>
        <v>0</v>
      </c>
      <c r="AJ667" s="261">
        <f t="shared" si="190"/>
        <v>2018</v>
      </c>
      <c r="AK667" s="233">
        <f t="shared" si="191"/>
        <v>2164060514</v>
      </c>
      <c r="AM667" s="116" t="s">
        <v>4245</v>
      </c>
    </row>
    <row r="668" spans="1:39" s="120" customFormat="1" ht="35.25" customHeight="1" x14ac:dyDescent="0.2">
      <c r="B668" s="116" t="e">
        <f t="shared" si="187"/>
        <v>#N/A</v>
      </c>
      <c r="F668" s="218"/>
      <c r="G668" s="130"/>
      <c r="H668" s="248" t="s">
        <v>3321</v>
      </c>
      <c r="I668" s="184" t="s">
        <v>2494</v>
      </c>
      <c r="J668" s="183"/>
      <c r="K668" s="184"/>
      <c r="L668" s="361"/>
      <c r="M668" s="183"/>
      <c r="N668" s="361"/>
      <c r="O668" s="247" t="s">
        <v>3299</v>
      </c>
      <c r="P668" s="184">
        <v>2018</v>
      </c>
      <c r="Q668" s="183"/>
      <c r="R668" s="183"/>
      <c r="S668" s="183"/>
      <c r="T668" s="32" t="s">
        <v>12</v>
      </c>
      <c r="U668" s="256">
        <v>2153501620</v>
      </c>
      <c r="V668" s="68"/>
      <c r="W668" s="61"/>
      <c r="X668" s="206" t="str">
        <f t="shared" si="186"/>
        <v>4.13.01</v>
      </c>
      <c r="Y668" s="207" t="e">
        <f t="shared" si="192"/>
        <v>#N/A</v>
      </c>
      <c r="Z668" s="207" t="e">
        <f t="shared" si="193"/>
        <v>#N/A</v>
      </c>
      <c r="AA668" s="233"/>
      <c r="AB668" s="208"/>
      <c r="AC668" s="233"/>
      <c r="AD668" s="233"/>
      <c r="AE668" s="233"/>
      <c r="AF668" s="233"/>
      <c r="AG668" s="233"/>
      <c r="AH668" s="238">
        <f t="shared" si="188"/>
        <v>0</v>
      </c>
      <c r="AI668" s="238">
        <f t="shared" si="189"/>
        <v>0</v>
      </c>
      <c r="AJ668" s="261">
        <f t="shared" si="190"/>
        <v>2018</v>
      </c>
      <c r="AK668" s="233">
        <f t="shared" si="191"/>
        <v>2153501620</v>
      </c>
    </row>
    <row r="669" spans="1:39" s="120" customFormat="1" ht="35.25" customHeight="1" x14ac:dyDescent="0.2">
      <c r="A669" s="116">
        <v>229</v>
      </c>
      <c r="B669" s="116" t="str">
        <f t="shared" si="187"/>
        <v>SIMP. HANDOYO - SUMBER DATAR</v>
      </c>
      <c r="D669" s="120">
        <v>3</v>
      </c>
      <c r="E669" s="116" t="str">
        <f>A669&amp;"."&amp;D669</f>
        <v>229.3</v>
      </c>
      <c r="F669" s="218"/>
      <c r="G669" s="130"/>
      <c r="H669" s="248" t="s">
        <v>3322</v>
      </c>
      <c r="I669" s="184" t="s">
        <v>2494</v>
      </c>
      <c r="J669" s="183"/>
      <c r="K669" s="184"/>
      <c r="L669" s="361"/>
      <c r="M669" s="183"/>
      <c r="N669" s="361"/>
      <c r="O669" s="247" t="s">
        <v>3189</v>
      </c>
      <c r="P669" s="184">
        <v>2018</v>
      </c>
      <c r="Q669" s="183"/>
      <c r="R669" s="183"/>
      <c r="S669" s="183"/>
      <c r="T669" s="32" t="s">
        <v>12</v>
      </c>
      <c r="U669" s="256">
        <v>2268022666</v>
      </c>
      <c r="V669" s="68"/>
      <c r="W669" s="61"/>
      <c r="X669" s="206" t="str">
        <f t="shared" si="186"/>
        <v>4.13.01</v>
      </c>
      <c r="Y669" s="207" t="e">
        <f t="shared" si="192"/>
        <v>#N/A</v>
      </c>
      <c r="Z669" s="207" t="e">
        <f t="shared" si="193"/>
        <v>#N/A</v>
      </c>
      <c r="AA669" s="233"/>
      <c r="AB669" s="208"/>
      <c r="AC669" s="233"/>
      <c r="AD669" s="233"/>
      <c r="AE669" s="233"/>
      <c r="AF669" s="233"/>
      <c r="AG669" s="233"/>
      <c r="AH669" s="238">
        <f t="shared" si="188"/>
        <v>0</v>
      </c>
      <c r="AI669" s="238">
        <f t="shared" si="189"/>
        <v>0</v>
      </c>
      <c r="AJ669" s="261">
        <f t="shared" si="190"/>
        <v>2018</v>
      </c>
      <c r="AK669" s="233">
        <f t="shared" si="191"/>
        <v>2268022666</v>
      </c>
      <c r="AM669" s="116" t="s">
        <v>4245</v>
      </c>
    </row>
    <row r="670" spans="1:39" s="120" customFormat="1" ht="35.25" customHeight="1" x14ac:dyDescent="0.2">
      <c r="B670" s="116" t="e">
        <f t="shared" si="187"/>
        <v>#N/A</v>
      </c>
      <c r="F670" s="218"/>
      <c r="G670" s="130"/>
      <c r="H670" s="248" t="s">
        <v>3324</v>
      </c>
      <c r="I670" s="184" t="s">
        <v>2494</v>
      </c>
      <c r="J670" s="183"/>
      <c r="K670" s="184"/>
      <c r="L670" s="361"/>
      <c r="M670" s="183"/>
      <c r="N670" s="361"/>
      <c r="O670" s="247" t="s">
        <v>3300</v>
      </c>
      <c r="P670" s="184">
        <v>2018</v>
      </c>
      <c r="Q670" s="183"/>
      <c r="R670" s="183"/>
      <c r="S670" s="183"/>
      <c r="T670" s="32" t="s">
        <v>12</v>
      </c>
      <c r="U670" s="256">
        <v>2298079202</v>
      </c>
      <c r="V670" s="68"/>
      <c r="W670" s="61"/>
      <c r="X670" s="206" t="str">
        <f t="shared" si="186"/>
        <v>4.13.01</v>
      </c>
      <c r="Y670" s="207" t="e">
        <f t="shared" si="192"/>
        <v>#N/A</v>
      </c>
      <c r="Z670" s="207" t="e">
        <f t="shared" si="193"/>
        <v>#N/A</v>
      </c>
      <c r="AA670" s="233"/>
      <c r="AB670" s="208"/>
      <c r="AC670" s="233"/>
      <c r="AD670" s="233"/>
      <c r="AE670" s="233"/>
      <c r="AF670" s="233"/>
      <c r="AG670" s="233"/>
      <c r="AH670" s="238">
        <f t="shared" si="188"/>
        <v>0</v>
      </c>
      <c r="AI670" s="238">
        <f t="shared" si="189"/>
        <v>0</v>
      </c>
      <c r="AJ670" s="261">
        <f t="shared" si="190"/>
        <v>2018</v>
      </c>
      <c r="AK670" s="233">
        <f t="shared" si="191"/>
        <v>2298079202</v>
      </c>
    </row>
    <row r="671" spans="1:39" s="120" customFormat="1" ht="35.25" customHeight="1" x14ac:dyDescent="0.2">
      <c r="B671" s="116" t="e">
        <f t="shared" si="187"/>
        <v>#N/A</v>
      </c>
      <c r="F671" s="218"/>
      <c r="G671" s="130"/>
      <c r="H671" s="248" t="s">
        <v>3325</v>
      </c>
      <c r="I671" s="184" t="s">
        <v>2494</v>
      </c>
      <c r="J671" s="183"/>
      <c r="K671" s="184"/>
      <c r="L671" s="361"/>
      <c r="M671" s="183"/>
      <c r="N671" s="361"/>
      <c r="O671" s="247" t="s">
        <v>3231</v>
      </c>
      <c r="P671" s="184">
        <v>2018</v>
      </c>
      <c r="Q671" s="183"/>
      <c r="R671" s="183"/>
      <c r="S671" s="183"/>
      <c r="T671" s="32" t="s">
        <v>12</v>
      </c>
      <c r="U671" s="256">
        <v>2256762096</v>
      </c>
      <c r="V671" s="68"/>
      <c r="W671" s="61"/>
      <c r="X671" s="206" t="str">
        <f t="shared" si="186"/>
        <v>4.13.01</v>
      </c>
      <c r="Y671" s="207" t="e">
        <f t="shared" si="192"/>
        <v>#N/A</v>
      </c>
      <c r="Z671" s="207" t="e">
        <f t="shared" si="193"/>
        <v>#N/A</v>
      </c>
      <c r="AA671" s="233"/>
      <c r="AB671" s="208"/>
      <c r="AC671" s="233"/>
      <c r="AD671" s="233"/>
      <c r="AE671" s="233"/>
      <c r="AF671" s="233"/>
      <c r="AG671" s="233"/>
      <c r="AH671" s="238">
        <f t="shared" si="188"/>
        <v>0</v>
      </c>
      <c r="AI671" s="238">
        <f t="shared" si="189"/>
        <v>0</v>
      </c>
      <c r="AJ671" s="261">
        <f t="shared" si="190"/>
        <v>2018</v>
      </c>
      <c r="AK671" s="233">
        <f t="shared" si="191"/>
        <v>2256762096</v>
      </c>
    </row>
    <row r="672" spans="1:39" s="120" customFormat="1" ht="35.25" customHeight="1" x14ac:dyDescent="0.2">
      <c r="B672" s="116" t="e">
        <f t="shared" si="187"/>
        <v>#N/A</v>
      </c>
      <c r="F672" s="218"/>
      <c r="G672" s="130"/>
      <c r="H672" s="248" t="s">
        <v>3326</v>
      </c>
      <c r="I672" s="184" t="s">
        <v>2494</v>
      </c>
      <c r="J672" s="183"/>
      <c r="K672" s="184"/>
      <c r="L672" s="361"/>
      <c r="M672" s="183"/>
      <c r="N672" s="361"/>
      <c r="O672" s="247" t="s">
        <v>3301</v>
      </c>
      <c r="P672" s="184">
        <v>2018</v>
      </c>
      <c r="Q672" s="183"/>
      <c r="R672" s="183"/>
      <c r="S672" s="183"/>
      <c r="T672" s="32" t="s">
        <v>12</v>
      </c>
      <c r="U672" s="256">
        <v>2232074718</v>
      </c>
      <c r="V672" s="68"/>
      <c r="W672" s="61"/>
      <c r="X672" s="206" t="str">
        <f t="shared" si="186"/>
        <v>4.13.01</v>
      </c>
      <c r="Y672" s="207" t="e">
        <f t="shared" si="192"/>
        <v>#N/A</v>
      </c>
      <c r="Z672" s="207" t="e">
        <f t="shared" si="193"/>
        <v>#N/A</v>
      </c>
      <c r="AA672" s="233"/>
      <c r="AB672" s="208"/>
      <c r="AC672" s="233"/>
      <c r="AD672" s="233"/>
      <c r="AE672" s="233"/>
      <c r="AF672" s="233"/>
      <c r="AG672" s="233"/>
      <c r="AH672" s="238">
        <f t="shared" si="188"/>
        <v>0</v>
      </c>
      <c r="AI672" s="238">
        <f t="shared" si="189"/>
        <v>0</v>
      </c>
      <c r="AJ672" s="261">
        <f t="shared" si="190"/>
        <v>2018</v>
      </c>
      <c r="AK672" s="233">
        <f t="shared" si="191"/>
        <v>2232074718</v>
      </c>
    </row>
    <row r="673" spans="1:39" s="120" customFormat="1" ht="35.25" customHeight="1" x14ac:dyDescent="0.2">
      <c r="B673" s="116" t="e">
        <f t="shared" si="187"/>
        <v>#N/A</v>
      </c>
      <c r="F673" s="218"/>
      <c r="G673" s="130"/>
      <c r="H673" s="248" t="s">
        <v>3327</v>
      </c>
      <c r="I673" s="184" t="s">
        <v>2494</v>
      </c>
      <c r="J673" s="183"/>
      <c r="K673" s="184"/>
      <c r="L673" s="361"/>
      <c r="M673" s="183"/>
      <c r="N673" s="361"/>
      <c r="O673" s="247" t="s">
        <v>3302</v>
      </c>
      <c r="P673" s="184">
        <v>2018</v>
      </c>
      <c r="Q673" s="183"/>
      <c r="R673" s="183"/>
      <c r="S673" s="183"/>
      <c r="T673" s="32" t="s">
        <v>12</v>
      </c>
      <c r="U673" s="256">
        <v>647774900</v>
      </c>
      <c r="V673" s="68"/>
      <c r="W673" s="61"/>
      <c r="X673" s="206" t="str">
        <f t="shared" ref="X673:X686" si="194">MID(I673,2,7)</f>
        <v>4.13.01</v>
      </c>
      <c r="Y673" s="207" t="e">
        <f t="shared" si="192"/>
        <v>#N/A</v>
      </c>
      <c r="Z673" s="207" t="e">
        <f t="shared" si="193"/>
        <v>#N/A</v>
      </c>
      <c r="AA673" s="233"/>
      <c r="AB673" s="208"/>
      <c r="AC673" s="233"/>
      <c r="AD673" s="233"/>
      <c r="AE673" s="233"/>
      <c r="AF673" s="233"/>
      <c r="AG673" s="233"/>
      <c r="AH673" s="238">
        <f t="shared" si="188"/>
        <v>0</v>
      </c>
      <c r="AI673" s="238">
        <f t="shared" si="189"/>
        <v>0</v>
      </c>
      <c r="AJ673" s="261">
        <f t="shared" si="190"/>
        <v>2018</v>
      </c>
      <c r="AK673" s="233">
        <f t="shared" si="191"/>
        <v>647774900</v>
      </c>
    </row>
    <row r="674" spans="1:39" s="120" customFormat="1" ht="35.25" customHeight="1" x14ac:dyDescent="0.2">
      <c r="B674" s="116" t="e">
        <f t="shared" si="187"/>
        <v>#N/A</v>
      </c>
      <c r="F674" s="218"/>
      <c r="G674" s="130"/>
      <c r="H674" s="248" t="s">
        <v>3328</v>
      </c>
      <c r="I674" s="184" t="s">
        <v>2494</v>
      </c>
      <c r="J674" s="183"/>
      <c r="K674" s="184"/>
      <c r="L674" s="361"/>
      <c r="M674" s="183"/>
      <c r="N674" s="361"/>
      <c r="O674" s="247" t="s">
        <v>3303</v>
      </c>
      <c r="P674" s="184">
        <v>2018</v>
      </c>
      <c r="Q674" s="183"/>
      <c r="R674" s="183"/>
      <c r="S674" s="183"/>
      <c r="T674" s="32" t="s">
        <v>12</v>
      </c>
      <c r="U674" s="256">
        <v>478118536</v>
      </c>
      <c r="V674" s="68"/>
      <c r="W674" s="61"/>
      <c r="X674" s="206" t="str">
        <f t="shared" si="194"/>
        <v>4.13.01</v>
      </c>
      <c r="Y674" s="207" t="e">
        <f t="shared" si="192"/>
        <v>#N/A</v>
      </c>
      <c r="Z674" s="207" t="e">
        <f t="shared" si="193"/>
        <v>#N/A</v>
      </c>
      <c r="AA674" s="233"/>
      <c r="AB674" s="208"/>
      <c r="AC674" s="233"/>
      <c r="AD674" s="233"/>
      <c r="AE674" s="233"/>
      <c r="AF674" s="233"/>
      <c r="AG674" s="233"/>
      <c r="AH674" s="238">
        <f t="shared" si="188"/>
        <v>0</v>
      </c>
      <c r="AI674" s="238">
        <f t="shared" si="189"/>
        <v>0</v>
      </c>
      <c r="AJ674" s="261">
        <f t="shared" si="190"/>
        <v>2018</v>
      </c>
      <c r="AK674" s="233">
        <f t="shared" si="191"/>
        <v>478118536</v>
      </c>
    </row>
    <row r="675" spans="1:39" s="120" customFormat="1" ht="35.25" customHeight="1" x14ac:dyDescent="0.2">
      <c r="A675" s="120">
        <v>294</v>
      </c>
      <c r="B675" s="116" t="str">
        <f t="shared" si="187"/>
        <v>TELUK PAUH - PESIKAIAN</v>
      </c>
      <c r="D675" s="120">
        <v>1</v>
      </c>
      <c r="E675" s="116" t="str">
        <f>A675&amp;"."&amp;D675</f>
        <v>294.1</v>
      </c>
      <c r="F675" s="218"/>
      <c r="G675" s="130"/>
      <c r="H675" s="248" t="s">
        <v>3329</v>
      </c>
      <c r="I675" s="184" t="s">
        <v>2494</v>
      </c>
      <c r="J675" s="183"/>
      <c r="K675" s="184"/>
      <c r="L675" s="361"/>
      <c r="M675" s="183"/>
      <c r="N675" s="361"/>
      <c r="O675" s="247" t="s">
        <v>3304</v>
      </c>
      <c r="P675" s="184">
        <v>2018</v>
      </c>
      <c r="Q675" s="183"/>
      <c r="R675" s="183"/>
      <c r="S675" s="183"/>
      <c r="T675" s="32" t="s">
        <v>12</v>
      </c>
      <c r="U675" s="256">
        <v>189466188</v>
      </c>
      <c r="V675" s="68"/>
      <c r="W675" s="61"/>
      <c r="X675" s="206" t="str">
        <f t="shared" si="194"/>
        <v>4.13.01</v>
      </c>
      <c r="Y675" s="207" t="e">
        <f t="shared" si="192"/>
        <v>#N/A</v>
      </c>
      <c r="Z675" s="207" t="e">
        <f t="shared" si="193"/>
        <v>#N/A</v>
      </c>
      <c r="AA675" s="233"/>
      <c r="AB675" s="208"/>
      <c r="AC675" s="233"/>
      <c r="AD675" s="233"/>
      <c r="AE675" s="233"/>
      <c r="AF675" s="233"/>
      <c r="AG675" s="233"/>
      <c r="AH675" s="238">
        <f t="shared" si="188"/>
        <v>0</v>
      </c>
      <c r="AI675" s="238">
        <f t="shared" si="189"/>
        <v>0</v>
      </c>
      <c r="AJ675" s="261">
        <f t="shared" si="190"/>
        <v>2018</v>
      </c>
      <c r="AK675" s="233">
        <f t="shared" si="191"/>
        <v>189466188</v>
      </c>
    </row>
    <row r="676" spans="1:39" s="120" customFormat="1" ht="35.25" customHeight="1" x14ac:dyDescent="0.2">
      <c r="B676" s="116" t="e">
        <f t="shared" si="187"/>
        <v>#N/A</v>
      </c>
      <c r="F676" s="218"/>
      <c r="G676" s="130"/>
      <c r="H676" s="248" t="s">
        <v>3330</v>
      </c>
      <c r="I676" s="184" t="s">
        <v>2494</v>
      </c>
      <c r="J676" s="183"/>
      <c r="K676" s="184"/>
      <c r="L676" s="361"/>
      <c r="M676" s="183"/>
      <c r="N676" s="361"/>
      <c r="O676" s="247" t="s">
        <v>3305</v>
      </c>
      <c r="P676" s="184">
        <v>2018</v>
      </c>
      <c r="Q676" s="183"/>
      <c r="R676" s="183"/>
      <c r="S676" s="183"/>
      <c r="T676" s="32" t="s">
        <v>12</v>
      </c>
      <c r="U676" s="256">
        <v>189359000</v>
      </c>
      <c r="V676" s="68"/>
      <c r="W676" s="61"/>
      <c r="X676" s="206" t="str">
        <f t="shared" si="194"/>
        <v>4.13.01</v>
      </c>
      <c r="Y676" s="207" t="e">
        <f t="shared" si="192"/>
        <v>#N/A</v>
      </c>
      <c r="Z676" s="207" t="e">
        <f t="shared" si="193"/>
        <v>#N/A</v>
      </c>
      <c r="AA676" s="233"/>
      <c r="AB676" s="208"/>
      <c r="AC676" s="233"/>
      <c r="AD676" s="233"/>
      <c r="AE676" s="233"/>
      <c r="AF676" s="233"/>
      <c r="AG676" s="233"/>
      <c r="AH676" s="238">
        <f t="shared" si="188"/>
        <v>0</v>
      </c>
      <c r="AI676" s="238">
        <f t="shared" si="189"/>
        <v>0</v>
      </c>
      <c r="AJ676" s="261">
        <f t="shared" si="190"/>
        <v>2018</v>
      </c>
      <c r="AK676" s="233">
        <f t="shared" si="191"/>
        <v>189359000</v>
      </c>
    </row>
    <row r="677" spans="1:39" s="120" customFormat="1" ht="35.25" customHeight="1" x14ac:dyDescent="0.2">
      <c r="A677" s="120">
        <v>1</v>
      </c>
      <c r="B677" s="116" t="str">
        <f t="shared" si="187"/>
        <v>SEB. TELUK KUANTAN - SEB. BENAI</v>
      </c>
      <c r="D677" s="120">
        <v>8</v>
      </c>
      <c r="E677" s="116" t="str">
        <f>A677&amp;"."&amp;D677</f>
        <v>1.8</v>
      </c>
      <c r="F677" s="218"/>
      <c r="G677" s="130"/>
      <c r="H677" s="248" t="s">
        <v>3331</v>
      </c>
      <c r="I677" s="184" t="s">
        <v>2494</v>
      </c>
      <c r="J677" s="183"/>
      <c r="K677" s="184"/>
      <c r="L677" s="361"/>
      <c r="M677" s="183"/>
      <c r="N677" s="361"/>
      <c r="O677" s="247" t="s">
        <v>3306</v>
      </c>
      <c r="P677" s="184">
        <v>2018</v>
      </c>
      <c r="Q677" s="183"/>
      <c r="R677" s="183"/>
      <c r="S677" s="183"/>
      <c r="T677" s="32" t="s">
        <v>12</v>
      </c>
      <c r="U677" s="256">
        <v>188212566</v>
      </c>
      <c r="V677" s="68"/>
      <c r="W677" s="61"/>
      <c r="X677" s="206" t="str">
        <f t="shared" si="194"/>
        <v>4.13.01</v>
      </c>
      <c r="Y677" s="207" t="e">
        <f t="shared" si="192"/>
        <v>#N/A</v>
      </c>
      <c r="Z677" s="207" t="e">
        <f t="shared" si="193"/>
        <v>#N/A</v>
      </c>
      <c r="AA677" s="233"/>
      <c r="AB677" s="208"/>
      <c r="AC677" s="233"/>
      <c r="AD677" s="233"/>
      <c r="AE677" s="233"/>
      <c r="AF677" s="233"/>
      <c r="AG677" s="233"/>
      <c r="AH677" s="238">
        <f t="shared" si="188"/>
        <v>0</v>
      </c>
      <c r="AI677" s="238">
        <f t="shared" si="189"/>
        <v>0</v>
      </c>
      <c r="AJ677" s="261">
        <f t="shared" si="190"/>
        <v>2018</v>
      </c>
      <c r="AK677" s="233">
        <f t="shared" si="191"/>
        <v>188212566</v>
      </c>
      <c r="AM677" s="116" t="s">
        <v>4245</v>
      </c>
    </row>
    <row r="678" spans="1:39" s="120" customFormat="1" ht="35.25" customHeight="1" x14ac:dyDescent="0.2">
      <c r="B678" s="116" t="e">
        <f t="shared" si="187"/>
        <v>#N/A</v>
      </c>
      <c r="F678" s="218"/>
      <c r="G678" s="130"/>
      <c r="H678" s="248" t="s">
        <v>3332</v>
      </c>
      <c r="I678" s="184" t="s">
        <v>2494</v>
      </c>
      <c r="J678" s="183"/>
      <c r="K678" s="184"/>
      <c r="L678" s="361"/>
      <c r="M678" s="183"/>
      <c r="N678" s="361"/>
      <c r="O678" s="247" t="s">
        <v>3307</v>
      </c>
      <c r="P678" s="184">
        <v>2018</v>
      </c>
      <c r="Q678" s="183"/>
      <c r="R678" s="183"/>
      <c r="S678" s="183"/>
      <c r="T678" s="32" t="s">
        <v>12</v>
      </c>
      <c r="U678" s="256">
        <v>2267510824</v>
      </c>
      <c r="V678" s="68"/>
      <c r="W678" s="61"/>
      <c r="X678" s="206" t="str">
        <f t="shared" si="194"/>
        <v>4.13.01</v>
      </c>
      <c r="Y678" s="207" t="e">
        <f t="shared" si="192"/>
        <v>#N/A</v>
      </c>
      <c r="Z678" s="207" t="e">
        <f t="shared" si="193"/>
        <v>#N/A</v>
      </c>
      <c r="AA678" s="233"/>
      <c r="AB678" s="208"/>
      <c r="AC678" s="233"/>
      <c r="AD678" s="233"/>
      <c r="AE678" s="233"/>
      <c r="AF678" s="233"/>
      <c r="AG678" s="233"/>
      <c r="AH678" s="238">
        <f t="shared" si="188"/>
        <v>0</v>
      </c>
      <c r="AI678" s="238">
        <f t="shared" si="189"/>
        <v>0</v>
      </c>
      <c r="AJ678" s="261">
        <f t="shared" si="190"/>
        <v>2018</v>
      </c>
      <c r="AK678" s="233">
        <f t="shared" si="191"/>
        <v>2267510824</v>
      </c>
    </row>
    <row r="679" spans="1:39" s="120" customFormat="1" ht="35.25" customHeight="1" x14ac:dyDescent="0.2">
      <c r="B679" s="116" t="e">
        <f t="shared" si="187"/>
        <v>#N/A</v>
      </c>
      <c r="F679" s="218"/>
      <c r="G679" s="130"/>
      <c r="H679" s="248" t="s">
        <v>3333</v>
      </c>
      <c r="I679" s="184" t="s">
        <v>2494</v>
      </c>
      <c r="J679" s="183"/>
      <c r="K679" s="184"/>
      <c r="L679" s="361"/>
      <c r="M679" s="183"/>
      <c r="N679" s="361"/>
      <c r="O679" s="247" t="s">
        <v>3308</v>
      </c>
      <c r="P679" s="184">
        <v>2018</v>
      </c>
      <c r="Q679" s="183"/>
      <c r="R679" s="183"/>
      <c r="S679" s="183"/>
      <c r="T679" s="32" t="s">
        <v>12</v>
      </c>
      <c r="U679" s="256">
        <v>2252307486</v>
      </c>
      <c r="V679" s="68"/>
      <c r="W679" s="61"/>
      <c r="X679" s="206" t="str">
        <f t="shared" si="194"/>
        <v>4.13.01</v>
      </c>
      <c r="Y679" s="207" t="e">
        <f t="shared" si="192"/>
        <v>#N/A</v>
      </c>
      <c r="Z679" s="207" t="e">
        <f t="shared" si="193"/>
        <v>#N/A</v>
      </c>
      <c r="AA679" s="233"/>
      <c r="AB679" s="208"/>
      <c r="AC679" s="233"/>
      <c r="AD679" s="233"/>
      <c r="AE679" s="233"/>
      <c r="AF679" s="233"/>
      <c r="AG679" s="233"/>
      <c r="AH679" s="238">
        <f t="shared" si="188"/>
        <v>0</v>
      </c>
      <c r="AI679" s="238">
        <f t="shared" si="189"/>
        <v>0</v>
      </c>
      <c r="AJ679" s="261">
        <f t="shared" si="190"/>
        <v>2018</v>
      </c>
      <c r="AK679" s="233">
        <f t="shared" si="191"/>
        <v>2252307486</v>
      </c>
    </row>
    <row r="680" spans="1:39" s="120" customFormat="1" ht="35.25" customHeight="1" x14ac:dyDescent="0.2">
      <c r="B680" s="116" t="e">
        <f t="shared" si="187"/>
        <v>#N/A</v>
      </c>
      <c r="F680" s="218"/>
      <c r="G680" s="130"/>
      <c r="H680" s="248" t="s">
        <v>3334</v>
      </c>
      <c r="I680" s="184" t="s">
        <v>2494</v>
      </c>
      <c r="J680" s="183"/>
      <c r="K680" s="184"/>
      <c r="L680" s="361"/>
      <c r="M680" s="183"/>
      <c r="N680" s="361"/>
      <c r="O680" s="247" t="s">
        <v>3309</v>
      </c>
      <c r="P680" s="184">
        <v>2018</v>
      </c>
      <c r="Q680" s="183"/>
      <c r="R680" s="183"/>
      <c r="S680" s="183"/>
      <c r="T680" s="32" t="s">
        <v>12</v>
      </c>
      <c r="U680" s="256">
        <v>2242017862</v>
      </c>
      <c r="V680" s="68"/>
      <c r="W680" s="61"/>
      <c r="X680" s="206" t="str">
        <f t="shared" si="194"/>
        <v>4.13.01</v>
      </c>
      <c r="Y680" s="207" t="e">
        <f t="shared" si="192"/>
        <v>#N/A</v>
      </c>
      <c r="Z680" s="207" t="e">
        <f t="shared" si="193"/>
        <v>#N/A</v>
      </c>
      <c r="AA680" s="233"/>
      <c r="AB680" s="208"/>
      <c r="AC680" s="233"/>
      <c r="AD680" s="233"/>
      <c r="AE680" s="233"/>
      <c r="AF680" s="233"/>
      <c r="AG680" s="233"/>
      <c r="AH680" s="238">
        <f t="shared" si="188"/>
        <v>0</v>
      </c>
      <c r="AI680" s="238">
        <f t="shared" si="189"/>
        <v>0</v>
      </c>
      <c r="AJ680" s="261">
        <f t="shared" si="190"/>
        <v>2018</v>
      </c>
      <c r="AK680" s="233">
        <f t="shared" si="191"/>
        <v>2242017862</v>
      </c>
    </row>
    <row r="681" spans="1:39" s="120" customFormat="1" ht="35.25" customHeight="1" x14ac:dyDescent="0.2">
      <c r="B681" s="116" t="e">
        <f t="shared" si="187"/>
        <v>#N/A</v>
      </c>
      <c r="F681" s="218"/>
      <c r="G681" s="130"/>
      <c r="H681" s="248" t="s">
        <v>3335</v>
      </c>
      <c r="I681" s="184" t="s">
        <v>2494</v>
      </c>
      <c r="J681" s="183"/>
      <c r="K681" s="184"/>
      <c r="L681" s="361"/>
      <c r="M681" s="183"/>
      <c r="N681" s="361"/>
      <c r="O681" s="247" t="s">
        <v>3310</v>
      </c>
      <c r="P681" s="184">
        <v>2018</v>
      </c>
      <c r="Q681" s="183"/>
      <c r="R681" s="183"/>
      <c r="S681" s="183"/>
      <c r="T681" s="32" t="s">
        <v>12</v>
      </c>
      <c r="U681" s="256">
        <v>1822666292</v>
      </c>
      <c r="V681" s="68"/>
      <c r="W681" s="61"/>
      <c r="X681" s="206" t="str">
        <f t="shared" si="194"/>
        <v>4.13.01</v>
      </c>
      <c r="Y681" s="207" t="e">
        <f t="shared" si="192"/>
        <v>#N/A</v>
      </c>
      <c r="Z681" s="207" t="e">
        <f t="shared" si="193"/>
        <v>#N/A</v>
      </c>
      <c r="AA681" s="233"/>
      <c r="AB681" s="208"/>
      <c r="AC681" s="233"/>
      <c r="AD681" s="233"/>
      <c r="AE681" s="233"/>
      <c r="AF681" s="233"/>
      <c r="AG681" s="233"/>
      <c r="AH681" s="238">
        <f t="shared" si="188"/>
        <v>0</v>
      </c>
      <c r="AI681" s="238">
        <f t="shared" si="189"/>
        <v>0</v>
      </c>
      <c r="AJ681" s="261">
        <f t="shared" si="190"/>
        <v>2018</v>
      </c>
      <c r="AK681" s="233">
        <f t="shared" si="191"/>
        <v>1822666292</v>
      </c>
    </row>
    <row r="682" spans="1:39" s="120" customFormat="1" ht="35.25" customHeight="1" x14ac:dyDescent="0.2">
      <c r="A682" s="116">
        <v>27</v>
      </c>
      <c r="B682" s="116" t="str">
        <f t="shared" si="187"/>
        <v>JL. SEB. TELUK - SIBEROBAH</v>
      </c>
      <c r="D682" s="120">
        <v>4</v>
      </c>
      <c r="E682" s="120" t="str">
        <f>A682&amp;"."&amp;D682</f>
        <v>27.4</v>
      </c>
      <c r="F682" s="218"/>
      <c r="G682" s="130"/>
      <c r="H682" s="248" t="s">
        <v>3336</v>
      </c>
      <c r="I682" s="184" t="s">
        <v>2494</v>
      </c>
      <c r="J682" s="183"/>
      <c r="K682" s="184"/>
      <c r="L682" s="361"/>
      <c r="M682" s="183"/>
      <c r="N682" s="361"/>
      <c r="O682" s="247" t="s">
        <v>3265</v>
      </c>
      <c r="P682" s="184">
        <v>2018</v>
      </c>
      <c r="Q682" s="183"/>
      <c r="R682" s="183"/>
      <c r="S682" s="183"/>
      <c r="T682" s="32" t="s">
        <v>12</v>
      </c>
      <c r="U682" s="256">
        <v>6869993050</v>
      </c>
      <c r="V682" s="68"/>
      <c r="W682" s="61"/>
      <c r="X682" s="206" t="str">
        <f t="shared" si="194"/>
        <v>4.13.01</v>
      </c>
      <c r="Y682" s="207" t="e">
        <f t="shared" si="192"/>
        <v>#N/A</v>
      </c>
      <c r="Z682" s="207" t="e">
        <f t="shared" si="193"/>
        <v>#N/A</v>
      </c>
      <c r="AA682" s="233"/>
      <c r="AB682" s="208"/>
      <c r="AC682" s="233"/>
      <c r="AD682" s="233"/>
      <c r="AE682" s="233"/>
      <c r="AF682" s="233"/>
      <c r="AG682" s="233"/>
      <c r="AH682" s="238">
        <f t="shared" si="188"/>
        <v>0</v>
      </c>
      <c r="AI682" s="238">
        <f t="shared" si="189"/>
        <v>0</v>
      </c>
      <c r="AJ682" s="261">
        <f t="shared" si="190"/>
        <v>2018</v>
      </c>
      <c r="AK682" s="233">
        <f t="shared" si="191"/>
        <v>6869993050</v>
      </c>
      <c r="AM682" s="116" t="s">
        <v>4245</v>
      </c>
    </row>
    <row r="683" spans="1:39" s="120" customFormat="1" ht="35.25" customHeight="1" x14ac:dyDescent="0.2">
      <c r="A683" s="116">
        <v>91</v>
      </c>
      <c r="B683" s="116" t="str">
        <f t="shared" si="187"/>
        <v>LUBUK JAMBI - SAIK</v>
      </c>
      <c r="D683" s="120">
        <v>3</v>
      </c>
      <c r="E683" s="116" t="str">
        <f>A683&amp;"."&amp;D683</f>
        <v>91.3</v>
      </c>
      <c r="F683" s="218"/>
      <c r="G683" s="130"/>
      <c r="H683" s="248" t="s">
        <v>3337</v>
      </c>
      <c r="I683" s="184" t="s">
        <v>2494</v>
      </c>
      <c r="J683" s="183"/>
      <c r="K683" s="184"/>
      <c r="L683" s="361"/>
      <c r="M683" s="183"/>
      <c r="N683" s="361"/>
      <c r="O683" s="247" t="s">
        <v>3158</v>
      </c>
      <c r="P683" s="184">
        <v>2018</v>
      </c>
      <c r="Q683" s="183"/>
      <c r="R683" s="183"/>
      <c r="S683" s="183"/>
      <c r="T683" s="32" t="s">
        <v>12</v>
      </c>
      <c r="U683" s="256">
        <v>5963828226</v>
      </c>
      <c r="V683" s="68"/>
      <c r="W683" s="61"/>
      <c r="X683" s="206" t="str">
        <f t="shared" si="194"/>
        <v>4.13.01</v>
      </c>
      <c r="Y683" s="207" t="e">
        <f t="shared" si="192"/>
        <v>#N/A</v>
      </c>
      <c r="Z683" s="207" t="e">
        <f t="shared" si="193"/>
        <v>#N/A</v>
      </c>
      <c r="AA683" s="233"/>
      <c r="AB683" s="208"/>
      <c r="AC683" s="233"/>
      <c r="AD683" s="233"/>
      <c r="AE683" s="233"/>
      <c r="AF683" s="233"/>
      <c r="AG683" s="233"/>
      <c r="AH683" s="238">
        <f t="shared" si="188"/>
        <v>0</v>
      </c>
      <c r="AI683" s="238">
        <f t="shared" si="189"/>
        <v>0</v>
      </c>
      <c r="AJ683" s="261">
        <f t="shared" si="190"/>
        <v>2018</v>
      </c>
      <c r="AK683" s="233">
        <f t="shared" si="191"/>
        <v>5963828226</v>
      </c>
      <c r="AM683" s="116" t="s">
        <v>4245</v>
      </c>
    </row>
    <row r="684" spans="1:39" s="120" customFormat="1" ht="35.25" customHeight="1" x14ac:dyDescent="0.2">
      <c r="A684" s="116">
        <v>244</v>
      </c>
      <c r="B684" s="116" t="str">
        <f t="shared" si="187"/>
        <v>KOTO BARU - SUKA MAJU</v>
      </c>
      <c r="D684" s="120">
        <v>3</v>
      </c>
      <c r="E684" s="116" t="str">
        <f>A684&amp;"."&amp;D684</f>
        <v>244.3</v>
      </c>
      <c r="F684" s="218"/>
      <c r="G684" s="130"/>
      <c r="H684" s="248" t="s">
        <v>3338</v>
      </c>
      <c r="I684" s="184" t="s">
        <v>2494</v>
      </c>
      <c r="J684" s="183"/>
      <c r="K684" s="184"/>
      <c r="L684" s="361"/>
      <c r="M684" s="183"/>
      <c r="N684" s="361"/>
      <c r="O684" s="247" t="s">
        <v>656</v>
      </c>
      <c r="P684" s="184">
        <v>2018</v>
      </c>
      <c r="Q684" s="183"/>
      <c r="R684" s="183"/>
      <c r="S684" s="183"/>
      <c r="T684" s="32" t="s">
        <v>12</v>
      </c>
      <c r="U684" s="256">
        <v>453937660</v>
      </c>
      <c r="V684" s="68"/>
      <c r="W684" s="61"/>
      <c r="X684" s="206" t="str">
        <f t="shared" si="194"/>
        <v>4.13.01</v>
      </c>
      <c r="Y684" s="207" t="e">
        <f t="shared" si="192"/>
        <v>#N/A</v>
      </c>
      <c r="Z684" s="207" t="e">
        <f t="shared" si="193"/>
        <v>#N/A</v>
      </c>
      <c r="AA684" s="233"/>
      <c r="AB684" s="208"/>
      <c r="AC684" s="233"/>
      <c r="AD684" s="233"/>
      <c r="AE684" s="233"/>
      <c r="AF684" s="233"/>
      <c r="AG684" s="233"/>
      <c r="AH684" s="238">
        <f t="shared" si="188"/>
        <v>0</v>
      </c>
      <c r="AI684" s="238">
        <f t="shared" si="189"/>
        <v>0</v>
      </c>
      <c r="AJ684" s="261">
        <f t="shared" si="190"/>
        <v>2018</v>
      </c>
      <c r="AK684" s="233">
        <f t="shared" si="191"/>
        <v>453937660</v>
      </c>
      <c r="AM684" s="116" t="s">
        <v>4245</v>
      </c>
    </row>
    <row r="685" spans="1:39" s="120" customFormat="1" ht="35.25" customHeight="1" x14ac:dyDescent="0.2">
      <c r="A685" s="116">
        <v>245</v>
      </c>
      <c r="B685" s="116" t="str">
        <f t="shared" si="187"/>
        <v>SIMP. 4 PT. WANASARI - SUKAMAJU</v>
      </c>
      <c r="D685" s="120">
        <v>6</v>
      </c>
      <c r="E685" s="116" t="str">
        <f>A685&amp;"."&amp;D685</f>
        <v>245.6</v>
      </c>
      <c r="F685" s="218"/>
      <c r="G685" s="130"/>
      <c r="H685" s="248" t="s">
        <v>3339</v>
      </c>
      <c r="I685" s="184" t="s">
        <v>2494</v>
      </c>
      <c r="J685" s="183"/>
      <c r="K685" s="184"/>
      <c r="L685" s="361"/>
      <c r="M685" s="183"/>
      <c r="N685" s="361"/>
      <c r="O685" s="72" t="s">
        <v>3093</v>
      </c>
      <c r="P685" s="184">
        <v>2018</v>
      </c>
      <c r="Q685" s="183"/>
      <c r="R685" s="183"/>
      <c r="S685" s="183"/>
      <c r="T685" s="32" t="s">
        <v>12</v>
      </c>
      <c r="U685" s="256">
        <v>452524755</v>
      </c>
      <c r="V685" s="68"/>
      <c r="W685" s="61"/>
      <c r="X685" s="206" t="str">
        <f t="shared" si="194"/>
        <v>4.13.01</v>
      </c>
      <c r="Y685" s="207" t="e">
        <f t="shared" si="192"/>
        <v>#N/A</v>
      </c>
      <c r="Z685" s="207" t="e">
        <f t="shared" si="193"/>
        <v>#N/A</v>
      </c>
      <c r="AA685" s="233"/>
      <c r="AB685" s="208"/>
      <c r="AC685" s="233"/>
      <c r="AD685" s="233"/>
      <c r="AE685" s="233"/>
      <c r="AF685" s="233"/>
      <c r="AG685" s="233"/>
      <c r="AH685" s="238">
        <f t="shared" si="188"/>
        <v>0</v>
      </c>
      <c r="AI685" s="238">
        <f t="shared" si="189"/>
        <v>0</v>
      </c>
      <c r="AJ685" s="261">
        <f t="shared" si="190"/>
        <v>2018</v>
      </c>
      <c r="AK685" s="233">
        <f t="shared" si="191"/>
        <v>452524755</v>
      </c>
      <c r="AM685" s="116" t="s">
        <v>4245</v>
      </c>
    </row>
    <row r="686" spans="1:39" s="120" customFormat="1" ht="35.25" customHeight="1" x14ac:dyDescent="0.2">
      <c r="A686" s="116">
        <v>124</v>
      </c>
      <c r="B686" s="116" t="str">
        <f t="shared" si="187"/>
        <v>MUDIK ULO - SUMPU</v>
      </c>
      <c r="D686" s="120">
        <v>4</v>
      </c>
      <c r="E686" s="116" t="str">
        <f>A686&amp;"."&amp;D686</f>
        <v>124.4</v>
      </c>
      <c r="F686" s="218"/>
      <c r="G686" s="130"/>
      <c r="H686" s="248" t="s">
        <v>3340</v>
      </c>
      <c r="I686" s="184" t="s">
        <v>2494</v>
      </c>
      <c r="J686" s="183"/>
      <c r="K686" s="184"/>
      <c r="L686" s="361"/>
      <c r="M686" s="183"/>
      <c r="N686" s="361"/>
      <c r="O686" s="247" t="s">
        <v>3311</v>
      </c>
      <c r="P686" s="184">
        <v>2018</v>
      </c>
      <c r="Q686" s="183"/>
      <c r="R686" s="183"/>
      <c r="S686" s="183"/>
      <c r="T686" s="32" t="s">
        <v>12</v>
      </c>
      <c r="U686" s="256">
        <v>391707000</v>
      </c>
      <c r="V686" s="68"/>
      <c r="W686" s="61"/>
      <c r="X686" s="206" t="str">
        <f t="shared" si="194"/>
        <v>4.13.01</v>
      </c>
      <c r="Y686" s="207" t="e">
        <f t="shared" si="192"/>
        <v>#N/A</v>
      </c>
      <c r="Z686" s="207" t="e">
        <f t="shared" si="193"/>
        <v>#N/A</v>
      </c>
      <c r="AA686" s="233"/>
      <c r="AB686" s="208"/>
      <c r="AC686" s="233"/>
      <c r="AD686" s="233"/>
      <c r="AE686" s="233"/>
      <c r="AF686" s="233"/>
      <c r="AG686" s="233"/>
      <c r="AH686" s="238">
        <f t="shared" si="188"/>
        <v>0</v>
      </c>
      <c r="AI686" s="238">
        <f t="shared" si="189"/>
        <v>0</v>
      </c>
      <c r="AJ686" s="261">
        <f t="shared" si="190"/>
        <v>2018</v>
      </c>
      <c r="AK686" s="233">
        <f t="shared" si="191"/>
        <v>391707000</v>
      </c>
      <c r="AM686" s="116" t="s">
        <v>4245</v>
      </c>
    </row>
    <row r="687" spans="1:39" s="120" customFormat="1" ht="35.25" hidden="1" customHeight="1" x14ac:dyDescent="0.2">
      <c r="F687" s="218"/>
      <c r="G687" s="130"/>
      <c r="H687" s="27"/>
      <c r="I687" s="184"/>
      <c r="J687" s="183"/>
      <c r="K687" s="184"/>
      <c r="L687" s="361"/>
      <c r="M687" s="183"/>
      <c r="N687" s="361"/>
      <c r="O687" s="247"/>
      <c r="P687" s="184"/>
      <c r="Q687" s="183"/>
      <c r="R687" s="183"/>
      <c r="S687" s="183"/>
      <c r="T687" s="32"/>
      <c r="U687" s="256"/>
      <c r="V687" s="68"/>
      <c r="W687" s="61"/>
      <c r="X687" s="206"/>
      <c r="Y687" s="207"/>
      <c r="Z687" s="207"/>
      <c r="AA687" s="233"/>
      <c r="AB687" s="208"/>
      <c r="AC687" s="233"/>
      <c r="AD687" s="233"/>
      <c r="AE687" s="233"/>
      <c r="AF687" s="233"/>
      <c r="AG687" s="233"/>
      <c r="AH687" s="233"/>
      <c r="AI687" s="233"/>
      <c r="AJ687" s="261"/>
      <c r="AK687" s="233"/>
    </row>
    <row r="688" spans="1:39" s="120" customFormat="1" ht="35.25" hidden="1" customHeight="1" x14ac:dyDescent="0.2">
      <c r="G688" s="130"/>
      <c r="H688" s="40" t="s">
        <v>52</v>
      </c>
      <c r="I688" s="65"/>
      <c r="J688" s="32"/>
      <c r="K688" s="40"/>
      <c r="L688" s="362"/>
      <c r="M688" s="40"/>
      <c r="N688" s="367"/>
      <c r="O688" s="33"/>
      <c r="P688" s="32"/>
      <c r="Q688" s="40"/>
      <c r="R688" s="40"/>
      <c r="S688" s="40"/>
      <c r="T688" s="40"/>
      <c r="U688" s="253"/>
      <c r="V688" s="68"/>
      <c r="W688" s="61"/>
      <c r="AA688" s="313"/>
      <c r="AC688" s="313"/>
      <c r="AD688" s="313"/>
      <c r="AE688" s="313"/>
      <c r="AF688" s="313"/>
      <c r="AG688" s="313"/>
      <c r="AH688" s="313"/>
      <c r="AI688" s="313"/>
      <c r="AJ688" s="313"/>
      <c r="AK688" s="313"/>
    </row>
    <row r="689" spans="6:38" s="120" customFormat="1" ht="35.25" hidden="1" customHeight="1" x14ac:dyDescent="0.2">
      <c r="G689" s="153" t="s">
        <v>842</v>
      </c>
      <c r="H689" s="96" t="s">
        <v>1466</v>
      </c>
      <c r="I689" s="331"/>
      <c r="J689" s="63"/>
      <c r="K689" s="33"/>
      <c r="L689" s="360"/>
      <c r="M689" s="40"/>
      <c r="N689" s="360"/>
      <c r="O689" s="25"/>
      <c r="P689" s="331"/>
      <c r="Q689" s="63"/>
      <c r="R689" s="63"/>
      <c r="S689" s="63"/>
      <c r="T689" s="63"/>
      <c r="U689" s="232">
        <f>SUM(U690:U922)</f>
        <v>86023466537.014771</v>
      </c>
      <c r="V689" s="331"/>
      <c r="W689" s="101"/>
      <c r="AA689" s="313"/>
      <c r="AC689" s="262">
        <f t="shared" ref="AC689:AH689" si="195">SUM(AC690:AC922)</f>
        <v>1845675553.0908334</v>
      </c>
      <c r="AD689" s="262">
        <f t="shared" si="195"/>
        <v>679948272.5012449</v>
      </c>
      <c r="AE689" s="262">
        <f t="shared" si="195"/>
        <v>991814586.86124313</v>
      </c>
      <c r="AF689" s="262">
        <f t="shared" si="195"/>
        <v>1204226728.5602925</v>
      </c>
      <c r="AG689" s="262">
        <f t="shared" si="195"/>
        <v>1204226728.5602925</v>
      </c>
      <c r="AH689" s="262" t="e">
        <f t="shared" si="195"/>
        <v>#N/A</v>
      </c>
      <c r="AI689" s="262" t="e">
        <f>SUM(AI690:AI922)</f>
        <v>#N/A</v>
      </c>
      <c r="AJ689" s="262">
        <f>SUM(AJ690:AJ922)</f>
        <v>469060</v>
      </c>
      <c r="AK689" s="262" t="e">
        <f>SUM(AK690:AK922)</f>
        <v>#N/A</v>
      </c>
      <c r="AL689" s="314" t="e">
        <f>AI689-AH689</f>
        <v>#N/A</v>
      </c>
    </row>
    <row r="690" spans="6:38" s="120" customFormat="1" ht="35.25" hidden="1" customHeight="1" x14ac:dyDescent="0.2">
      <c r="F690" s="218" t="s">
        <v>2306</v>
      </c>
      <c r="G690" s="130"/>
      <c r="H690" s="131" t="s">
        <v>843</v>
      </c>
      <c r="I690" s="32" t="s">
        <v>844</v>
      </c>
      <c r="J690" s="40"/>
      <c r="K690" s="32" t="s">
        <v>736</v>
      </c>
      <c r="L690" s="360"/>
      <c r="M690" s="40"/>
      <c r="N690" s="360"/>
      <c r="O690" s="72"/>
      <c r="P690" s="33">
        <v>1980</v>
      </c>
      <c r="Q690" s="40"/>
      <c r="R690" s="40"/>
      <c r="S690" s="40"/>
      <c r="T690" s="32" t="s">
        <v>12</v>
      </c>
      <c r="U690" s="252">
        <v>10200000</v>
      </c>
      <c r="V690" s="33"/>
      <c r="W690" s="127"/>
      <c r="X690" s="206" t="str">
        <f t="shared" ref="X690:X721" si="196">F690</f>
        <v>4.14.01</v>
      </c>
      <c r="Y690" s="207" t="str">
        <f t="shared" ref="Y690:Y753" si="197">VLOOKUP(X690,kelompok,2,0)</f>
        <v>Bangunan Air Irigasi</v>
      </c>
      <c r="Z690" s="207">
        <f t="shared" ref="Z690:Z753" si="198">VLOOKUP(X690,MASAMANFAAT,4,0)</f>
        <v>50</v>
      </c>
      <c r="AA690" s="233">
        <f t="shared" ref="AA690:AA753" si="199">(U690-10)/Z690</f>
        <v>203999.8</v>
      </c>
      <c r="AB690" s="208">
        <f>2013-P690</f>
        <v>33</v>
      </c>
      <c r="AC690" s="233">
        <f t="shared" ref="AC690:AC753" si="200">IF(AB690&gt;Z690,U690-10,AA690*AB690)</f>
        <v>6731993.3999999994</v>
      </c>
      <c r="AD690" s="233">
        <f t="shared" ref="AD690:AD753" si="201">IF(U690-10=AC690,0,AA690)</f>
        <v>203999.8</v>
      </c>
      <c r="AE690" s="233">
        <f t="shared" ref="AE690:AE753" si="202">IF(U690-10=AC690+AD690,0,AA690)</f>
        <v>203999.8</v>
      </c>
      <c r="AF690" s="233">
        <f t="shared" ref="AF690:AF753" si="203">IF(U690-10=AC690+AD690+AE690,0,AA690)</f>
        <v>203999.8</v>
      </c>
      <c r="AG690" s="233">
        <f t="shared" ref="AG690:AG753" si="204">IF(U690-10=AD690+AE690+AF690+AC690,0,AA690)</f>
        <v>203999.8</v>
      </c>
      <c r="AH690" s="238">
        <f t="shared" ref="AH690:AH753" si="205">IF(U690-10=AD690+AE690+AF690+AC690+AG690,0,AA690)</f>
        <v>203999.8</v>
      </c>
      <c r="AI690" s="238">
        <f t="shared" ref="AI690:AI753" si="206">SUM(AC690:AH690)</f>
        <v>7751992.3999999985</v>
      </c>
      <c r="AJ690" s="261">
        <f t="shared" ref="AJ690:AJ753" si="207">P690</f>
        <v>1980</v>
      </c>
      <c r="AK690" s="233">
        <f t="shared" ref="AK690:AK753" si="208">U690-AI690</f>
        <v>2448007.6000000015</v>
      </c>
    </row>
    <row r="691" spans="6:38" s="120" customFormat="1" ht="35.25" hidden="1" customHeight="1" x14ac:dyDescent="0.2">
      <c r="F691" s="218" t="s">
        <v>2306</v>
      </c>
      <c r="G691" s="130"/>
      <c r="H691" s="131" t="s">
        <v>843</v>
      </c>
      <c r="I691" s="32" t="s">
        <v>844</v>
      </c>
      <c r="J691" s="40"/>
      <c r="K691" s="32" t="s">
        <v>736</v>
      </c>
      <c r="L691" s="360"/>
      <c r="M691" s="40"/>
      <c r="N691" s="360"/>
      <c r="O691" s="72"/>
      <c r="P691" s="33">
        <v>2004</v>
      </c>
      <c r="Q691" s="40"/>
      <c r="R691" s="40"/>
      <c r="S691" s="40"/>
      <c r="T691" s="32" t="s">
        <v>12</v>
      </c>
      <c r="U691" s="252">
        <v>33150000</v>
      </c>
      <c r="V691" s="33"/>
      <c r="W691" s="127"/>
      <c r="X691" s="206" t="str">
        <f t="shared" si="196"/>
        <v>4.14.01</v>
      </c>
      <c r="Y691" s="207" t="str">
        <f t="shared" si="197"/>
        <v>Bangunan Air Irigasi</v>
      </c>
      <c r="Z691" s="207">
        <f t="shared" si="198"/>
        <v>50</v>
      </c>
      <c r="AA691" s="233">
        <f t="shared" si="199"/>
        <v>662999.80000000005</v>
      </c>
      <c r="AB691" s="208">
        <f t="shared" ref="AB691:AB743" si="209">2013-P691</f>
        <v>9</v>
      </c>
      <c r="AC691" s="233">
        <f t="shared" si="200"/>
        <v>5966998.2000000002</v>
      </c>
      <c r="AD691" s="233">
        <f t="shared" si="201"/>
        <v>662999.80000000005</v>
      </c>
      <c r="AE691" s="233">
        <f t="shared" si="202"/>
        <v>662999.80000000005</v>
      </c>
      <c r="AF691" s="233">
        <f t="shared" si="203"/>
        <v>662999.80000000005</v>
      </c>
      <c r="AG691" s="233">
        <f t="shared" si="204"/>
        <v>662999.80000000005</v>
      </c>
      <c r="AH691" s="238">
        <f t="shared" si="205"/>
        <v>662999.80000000005</v>
      </c>
      <c r="AI691" s="238">
        <f t="shared" si="206"/>
        <v>9281997.2000000011</v>
      </c>
      <c r="AJ691" s="261">
        <f t="shared" si="207"/>
        <v>2004</v>
      </c>
      <c r="AK691" s="233">
        <f t="shared" si="208"/>
        <v>23868002.799999997</v>
      </c>
    </row>
    <row r="692" spans="6:38" s="120" customFormat="1" ht="35.25" hidden="1" customHeight="1" x14ac:dyDescent="0.2">
      <c r="F692" s="218" t="s">
        <v>2306</v>
      </c>
      <c r="G692" s="130"/>
      <c r="H692" s="131" t="s">
        <v>843</v>
      </c>
      <c r="I692" s="32" t="s">
        <v>844</v>
      </c>
      <c r="J692" s="40"/>
      <c r="K692" s="32" t="s">
        <v>736</v>
      </c>
      <c r="L692" s="360"/>
      <c r="M692" s="40"/>
      <c r="N692" s="360"/>
      <c r="O692" s="72"/>
      <c r="P692" s="33">
        <v>1975</v>
      </c>
      <c r="Q692" s="40"/>
      <c r="R692" s="40"/>
      <c r="S692" s="40"/>
      <c r="T692" s="32" t="s">
        <v>12</v>
      </c>
      <c r="U692" s="252">
        <v>19337500</v>
      </c>
      <c r="V692" s="33"/>
      <c r="W692" s="127"/>
      <c r="X692" s="206" t="str">
        <f t="shared" si="196"/>
        <v>4.14.01</v>
      </c>
      <c r="Y692" s="207" t="str">
        <f t="shared" si="197"/>
        <v>Bangunan Air Irigasi</v>
      </c>
      <c r="Z692" s="207">
        <f t="shared" si="198"/>
        <v>50</v>
      </c>
      <c r="AA692" s="233">
        <f t="shared" si="199"/>
        <v>386749.8</v>
      </c>
      <c r="AB692" s="208">
        <f t="shared" si="209"/>
        <v>38</v>
      </c>
      <c r="AC692" s="233">
        <f t="shared" si="200"/>
        <v>14696492.4</v>
      </c>
      <c r="AD692" s="233">
        <f t="shared" si="201"/>
        <v>386749.8</v>
      </c>
      <c r="AE692" s="233">
        <f t="shared" si="202"/>
        <v>386749.8</v>
      </c>
      <c r="AF692" s="233">
        <f t="shared" si="203"/>
        <v>386749.8</v>
      </c>
      <c r="AG692" s="233">
        <f t="shared" si="204"/>
        <v>386749.8</v>
      </c>
      <c r="AH692" s="238">
        <f t="shared" si="205"/>
        <v>386749.8</v>
      </c>
      <c r="AI692" s="238">
        <f t="shared" si="206"/>
        <v>16630241.400000004</v>
      </c>
      <c r="AJ692" s="261">
        <f t="shared" si="207"/>
        <v>1975</v>
      </c>
      <c r="AK692" s="233">
        <f t="shared" si="208"/>
        <v>2707258.5999999959</v>
      </c>
    </row>
    <row r="693" spans="6:38" s="120" customFormat="1" ht="35.25" hidden="1" customHeight="1" x14ac:dyDescent="0.2">
      <c r="F693" s="218" t="s">
        <v>2306</v>
      </c>
      <c r="G693" s="130"/>
      <c r="H693" s="131" t="s">
        <v>845</v>
      </c>
      <c r="I693" s="32" t="s">
        <v>844</v>
      </c>
      <c r="J693" s="40"/>
      <c r="K693" s="32" t="s">
        <v>736</v>
      </c>
      <c r="L693" s="360"/>
      <c r="M693" s="40"/>
      <c r="N693" s="360"/>
      <c r="O693" s="72"/>
      <c r="P693" s="33">
        <v>1975</v>
      </c>
      <c r="Q693" s="40"/>
      <c r="R693" s="40"/>
      <c r="S693" s="40"/>
      <c r="T693" s="32" t="s">
        <v>12</v>
      </c>
      <c r="U693" s="252">
        <v>19337500</v>
      </c>
      <c r="V693" s="33"/>
      <c r="W693" s="127"/>
      <c r="X693" s="206" t="str">
        <f t="shared" si="196"/>
        <v>4.14.01</v>
      </c>
      <c r="Y693" s="207" t="str">
        <f t="shared" si="197"/>
        <v>Bangunan Air Irigasi</v>
      </c>
      <c r="Z693" s="207">
        <f t="shared" si="198"/>
        <v>50</v>
      </c>
      <c r="AA693" s="233">
        <f t="shared" si="199"/>
        <v>386749.8</v>
      </c>
      <c r="AB693" s="208">
        <f t="shared" si="209"/>
        <v>38</v>
      </c>
      <c r="AC693" s="233">
        <f t="shared" si="200"/>
        <v>14696492.4</v>
      </c>
      <c r="AD693" s="233">
        <f t="shared" si="201"/>
        <v>386749.8</v>
      </c>
      <c r="AE693" s="233">
        <f t="shared" si="202"/>
        <v>386749.8</v>
      </c>
      <c r="AF693" s="233">
        <f t="shared" si="203"/>
        <v>386749.8</v>
      </c>
      <c r="AG693" s="233">
        <f t="shared" si="204"/>
        <v>386749.8</v>
      </c>
      <c r="AH693" s="238">
        <f t="shared" si="205"/>
        <v>386749.8</v>
      </c>
      <c r="AI693" s="238">
        <f t="shared" si="206"/>
        <v>16630241.400000004</v>
      </c>
      <c r="AJ693" s="261">
        <f t="shared" si="207"/>
        <v>1975</v>
      </c>
      <c r="AK693" s="233">
        <f t="shared" si="208"/>
        <v>2707258.5999999959</v>
      </c>
    </row>
    <row r="694" spans="6:38" s="120" customFormat="1" ht="35.25" hidden="1" customHeight="1" x14ac:dyDescent="0.2">
      <c r="F694" s="218" t="s">
        <v>2306</v>
      </c>
      <c r="G694" s="130"/>
      <c r="H694" s="131" t="s">
        <v>843</v>
      </c>
      <c r="I694" s="32" t="s">
        <v>844</v>
      </c>
      <c r="J694" s="40"/>
      <c r="K694" s="32" t="s">
        <v>736</v>
      </c>
      <c r="L694" s="360"/>
      <c r="M694" s="40"/>
      <c r="N694" s="360"/>
      <c r="O694" s="72"/>
      <c r="P694" s="33">
        <v>1999</v>
      </c>
      <c r="Q694" s="40"/>
      <c r="R694" s="40"/>
      <c r="S694" s="40"/>
      <c r="T694" s="32" t="s">
        <v>12</v>
      </c>
      <c r="U694" s="252">
        <v>382500000</v>
      </c>
      <c r="V694" s="33"/>
      <c r="W694" s="127"/>
      <c r="X694" s="206" t="str">
        <f t="shared" si="196"/>
        <v>4.14.01</v>
      </c>
      <c r="Y694" s="207" t="str">
        <f t="shared" si="197"/>
        <v>Bangunan Air Irigasi</v>
      </c>
      <c r="Z694" s="207">
        <f t="shared" si="198"/>
        <v>50</v>
      </c>
      <c r="AA694" s="233">
        <f t="shared" si="199"/>
        <v>7649999.7999999998</v>
      </c>
      <c r="AB694" s="208">
        <f t="shared" si="209"/>
        <v>14</v>
      </c>
      <c r="AC694" s="233">
        <f t="shared" si="200"/>
        <v>107099997.2</v>
      </c>
      <c r="AD694" s="233">
        <f t="shared" si="201"/>
        <v>7649999.7999999998</v>
      </c>
      <c r="AE694" s="233">
        <f t="shared" si="202"/>
        <v>7649999.7999999998</v>
      </c>
      <c r="AF694" s="233">
        <f t="shared" si="203"/>
        <v>7649999.7999999998</v>
      </c>
      <c r="AG694" s="233">
        <f t="shared" si="204"/>
        <v>7649999.7999999998</v>
      </c>
      <c r="AH694" s="238">
        <f t="shared" si="205"/>
        <v>7649999.7999999998</v>
      </c>
      <c r="AI694" s="238">
        <f t="shared" si="206"/>
        <v>145349996.20000002</v>
      </c>
      <c r="AJ694" s="261">
        <f t="shared" si="207"/>
        <v>1999</v>
      </c>
      <c r="AK694" s="233">
        <f t="shared" si="208"/>
        <v>237150003.79999998</v>
      </c>
    </row>
    <row r="695" spans="6:38" s="120" customFormat="1" ht="35.25" hidden="1" customHeight="1" x14ac:dyDescent="0.2">
      <c r="F695" s="218" t="s">
        <v>2306</v>
      </c>
      <c r="G695" s="130"/>
      <c r="H695" s="131" t="s">
        <v>843</v>
      </c>
      <c r="I695" s="32" t="s">
        <v>844</v>
      </c>
      <c r="J695" s="40"/>
      <c r="K695" s="32" t="s">
        <v>736</v>
      </c>
      <c r="L695" s="360"/>
      <c r="M695" s="40"/>
      <c r="N695" s="360"/>
      <c r="O695" s="72"/>
      <c r="P695" s="33">
        <v>1986</v>
      </c>
      <c r="Q695" s="40"/>
      <c r="R695" s="40"/>
      <c r="S695" s="40"/>
      <c r="T695" s="32" t="s">
        <v>12</v>
      </c>
      <c r="U695" s="252">
        <v>17680000</v>
      </c>
      <c r="V695" s="33"/>
      <c r="W695" s="127"/>
      <c r="X695" s="206" t="str">
        <f t="shared" si="196"/>
        <v>4.14.01</v>
      </c>
      <c r="Y695" s="207" t="str">
        <f t="shared" si="197"/>
        <v>Bangunan Air Irigasi</v>
      </c>
      <c r="Z695" s="207">
        <f t="shared" si="198"/>
        <v>50</v>
      </c>
      <c r="AA695" s="233">
        <f t="shared" si="199"/>
        <v>353599.8</v>
      </c>
      <c r="AB695" s="208">
        <f t="shared" si="209"/>
        <v>27</v>
      </c>
      <c r="AC695" s="233">
        <f t="shared" si="200"/>
        <v>9547194.5999999996</v>
      </c>
      <c r="AD695" s="233">
        <f t="shared" si="201"/>
        <v>353599.8</v>
      </c>
      <c r="AE695" s="233">
        <f t="shared" si="202"/>
        <v>353599.8</v>
      </c>
      <c r="AF695" s="233">
        <f t="shared" si="203"/>
        <v>353599.8</v>
      </c>
      <c r="AG695" s="233">
        <f t="shared" si="204"/>
        <v>353599.8</v>
      </c>
      <c r="AH695" s="238">
        <f t="shared" si="205"/>
        <v>353599.8</v>
      </c>
      <c r="AI695" s="238">
        <f t="shared" si="206"/>
        <v>11315193.600000003</v>
      </c>
      <c r="AJ695" s="261">
        <f t="shared" si="207"/>
        <v>1986</v>
      </c>
      <c r="AK695" s="233">
        <f t="shared" si="208"/>
        <v>6364806.3999999966</v>
      </c>
    </row>
    <row r="696" spans="6:38" s="120" customFormat="1" ht="35.25" hidden="1" customHeight="1" x14ac:dyDescent="0.2">
      <c r="F696" s="218" t="s">
        <v>2306</v>
      </c>
      <c r="G696" s="130"/>
      <c r="H696" s="131" t="s">
        <v>846</v>
      </c>
      <c r="I696" s="32" t="s">
        <v>844</v>
      </c>
      <c r="J696" s="40"/>
      <c r="K696" s="32" t="s">
        <v>736</v>
      </c>
      <c r="L696" s="360"/>
      <c r="M696" s="40"/>
      <c r="N696" s="360"/>
      <c r="O696" s="72" t="s">
        <v>3379</v>
      </c>
      <c r="P696" s="33">
        <v>1981</v>
      </c>
      <c r="Q696" s="40"/>
      <c r="R696" s="40"/>
      <c r="S696" s="40"/>
      <c r="T696" s="32" t="s">
        <v>12</v>
      </c>
      <c r="U696" s="252">
        <v>20825000</v>
      </c>
      <c r="V696" s="33" t="s">
        <v>43</v>
      </c>
      <c r="W696" s="127"/>
      <c r="X696" s="206" t="str">
        <f t="shared" si="196"/>
        <v>4.14.01</v>
      </c>
      <c r="Y696" s="207" t="str">
        <f t="shared" si="197"/>
        <v>Bangunan Air Irigasi</v>
      </c>
      <c r="Z696" s="207">
        <f t="shared" si="198"/>
        <v>50</v>
      </c>
      <c r="AA696" s="233">
        <f t="shared" si="199"/>
        <v>416499.8</v>
      </c>
      <c r="AB696" s="208">
        <f t="shared" si="209"/>
        <v>32</v>
      </c>
      <c r="AC696" s="233">
        <f t="shared" si="200"/>
        <v>13327993.6</v>
      </c>
      <c r="AD696" s="233">
        <f t="shared" si="201"/>
        <v>416499.8</v>
      </c>
      <c r="AE696" s="233">
        <f t="shared" si="202"/>
        <v>416499.8</v>
      </c>
      <c r="AF696" s="233">
        <f t="shared" si="203"/>
        <v>416499.8</v>
      </c>
      <c r="AG696" s="233">
        <f t="shared" si="204"/>
        <v>416499.8</v>
      </c>
      <c r="AH696" s="238">
        <f t="shared" si="205"/>
        <v>416499.8</v>
      </c>
      <c r="AI696" s="238">
        <f t="shared" si="206"/>
        <v>15410492.600000003</v>
      </c>
      <c r="AJ696" s="261">
        <f t="shared" si="207"/>
        <v>1981</v>
      </c>
      <c r="AK696" s="233">
        <f t="shared" si="208"/>
        <v>5414507.3999999966</v>
      </c>
    </row>
    <row r="697" spans="6:38" s="120" customFormat="1" ht="35.25" hidden="1" customHeight="1" x14ac:dyDescent="0.2">
      <c r="F697" s="218" t="s">
        <v>2306</v>
      </c>
      <c r="G697" s="130"/>
      <c r="H697" s="131" t="s">
        <v>847</v>
      </c>
      <c r="I697" s="32" t="s">
        <v>844</v>
      </c>
      <c r="J697" s="40"/>
      <c r="K697" s="32" t="s">
        <v>736</v>
      </c>
      <c r="L697" s="360"/>
      <c r="M697" s="40"/>
      <c r="N697" s="360"/>
      <c r="O697" s="72" t="s">
        <v>847</v>
      </c>
      <c r="P697" s="33">
        <v>1978</v>
      </c>
      <c r="Q697" s="40"/>
      <c r="R697" s="40"/>
      <c r="S697" s="40"/>
      <c r="T697" s="32" t="s">
        <v>12</v>
      </c>
      <c r="U697" s="252">
        <v>20825000</v>
      </c>
      <c r="V697" s="33" t="s">
        <v>43</v>
      </c>
      <c r="W697" s="127"/>
      <c r="X697" s="206" t="str">
        <f t="shared" si="196"/>
        <v>4.14.01</v>
      </c>
      <c r="Y697" s="207" t="str">
        <f t="shared" si="197"/>
        <v>Bangunan Air Irigasi</v>
      </c>
      <c r="Z697" s="207">
        <f t="shared" si="198"/>
        <v>50</v>
      </c>
      <c r="AA697" s="233">
        <f t="shared" si="199"/>
        <v>416499.8</v>
      </c>
      <c r="AB697" s="208">
        <f t="shared" si="209"/>
        <v>35</v>
      </c>
      <c r="AC697" s="233">
        <f t="shared" si="200"/>
        <v>14577493</v>
      </c>
      <c r="AD697" s="233">
        <f t="shared" si="201"/>
        <v>416499.8</v>
      </c>
      <c r="AE697" s="233">
        <f t="shared" si="202"/>
        <v>416499.8</v>
      </c>
      <c r="AF697" s="233">
        <f t="shared" si="203"/>
        <v>416499.8</v>
      </c>
      <c r="AG697" s="233">
        <f t="shared" si="204"/>
        <v>416499.8</v>
      </c>
      <c r="AH697" s="238">
        <f t="shared" si="205"/>
        <v>416499.8</v>
      </c>
      <c r="AI697" s="238">
        <f t="shared" si="206"/>
        <v>16659992.000000004</v>
      </c>
      <c r="AJ697" s="261">
        <f t="shared" si="207"/>
        <v>1978</v>
      </c>
      <c r="AK697" s="233">
        <f t="shared" si="208"/>
        <v>4165007.9999999963</v>
      </c>
    </row>
    <row r="698" spans="6:38" s="120" customFormat="1" ht="35.25" hidden="1" customHeight="1" x14ac:dyDescent="0.2">
      <c r="F698" s="218" t="s">
        <v>2306</v>
      </c>
      <c r="G698" s="130"/>
      <c r="H698" s="131" t="s">
        <v>848</v>
      </c>
      <c r="I698" s="32" t="s">
        <v>844</v>
      </c>
      <c r="J698" s="40"/>
      <c r="K698" s="32" t="s">
        <v>736</v>
      </c>
      <c r="L698" s="360"/>
      <c r="M698" s="40"/>
      <c r="N698" s="360"/>
      <c r="O698" s="72" t="s">
        <v>848</v>
      </c>
      <c r="P698" s="33">
        <v>1985</v>
      </c>
      <c r="Q698" s="40"/>
      <c r="R698" s="40"/>
      <c r="S698" s="40"/>
      <c r="T698" s="32" t="s">
        <v>12</v>
      </c>
      <c r="U698" s="252">
        <v>9520000</v>
      </c>
      <c r="V698" s="33" t="s">
        <v>43</v>
      </c>
      <c r="W698" s="127"/>
      <c r="X698" s="206" t="str">
        <f t="shared" si="196"/>
        <v>4.14.01</v>
      </c>
      <c r="Y698" s="207" t="str">
        <f t="shared" si="197"/>
        <v>Bangunan Air Irigasi</v>
      </c>
      <c r="Z698" s="207">
        <f t="shared" si="198"/>
        <v>50</v>
      </c>
      <c r="AA698" s="233">
        <f t="shared" si="199"/>
        <v>190399.8</v>
      </c>
      <c r="AB698" s="208">
        <f t="shared" si="209"/>
        <v>28</v>
      </c>
      <c r="AC698" s="233">
        <f t="shared" si="200"/>
        <v>5331194.3999999994</v>
      </c>
      <c r="AD698" s="233">
        <f t="shared" si="201"/>
        <v>190399.8</v>
      </c>
      <c r="AE698" s="233">
        <f t="shared" si="202"/>
        <v>190399.8</v>
      </c>
      <c r="AF698" s="233">
        <f t="shared" si="203"/>
        <v>190399.8</v>
      </c>
      <c r="AG698" s="233">
        <f t="shared" si="204"/>
        <v>190399.8</v>
      </c>
      <c r="AH698" s="238">
        <f t="shared" si="205"/>
        <v>190399.8</v>
      </c>
      <c r="AI698" s="238">
        <f t="shared" si="206"/>
        <v>6283193.3999999985</v>
      </c>
      <c r="AJ698" s="261">
        <f t="shared" si="207"/>
        <v>1985</v>
      </c>
      <c r="AK698" s="233">
        <f t="shared" si="208"/>
        <v>3236806.6000000015</v>
      </c>
    </row>
    <row r="699" spans="6:38" s="120" customFormat="1" ht="35.25" hidden="1" customHeight="1" x14ac:dyDescent="0.2">
      <c r="F699" s="218" t="s">
        <v>2306</v>
      </c>
      <c r="G699" s="130"/>
      <c r="H699" s="131" t="s">
        <v>849</v>
      </c>
      <c r="I699" s="32" t="s">
        <v>844</v>
      </c>
      <c r="J699" s="40"/>
      <c r="K699" s="32" t="s">
        <v>736</v>
      </c>
      <c r="L699" s="360"/>
      <c r="M699" s="40"/>
      <c r="N699" s="360"/>
      <c r="O699" s="72" t="s">
        <v>849</v>
      </c>
      <c r="P699" s="33">
        <v>1970</v>
      </c>
      <c r="Q699" s="40"/>
      <c r="R699" s="40"/>
      <c r="S699" s="40"/>
      <c r="T699" s="32" t="s">
        <v>12</v>
      </c>
      <c r="U699" s="252">
        <v>74850000</v>
      </c>
      <c r="V699" s="33" t="s">
        <v>43</v>
      </c>
      <c r="W699" s="127"/>
      <c r="X699" s="206" t="str">
        <f t="shared" si="196"/>
        <v>4.14.01</v>
      </c>
      <c r="Y699" s="207" t="str">
        <f t="shared" si="197"/>
        <v>Bangunan Air Irigasi</v>
      </c>
      <c r="Z699" s="207">
        <f t="shared" si="198"/>
        <v>50</v>
      </c>
      <c r="AA699" s="233">
        <f t="shared" si="199"/>
        <v>1496999.8</v>
      </c>
      <c r="AB699" s="208">
        <f t="shared" si="209"/>
        <v>43</v>
      </c>
      <c r="AC699" s="233">
        <f t="shared" si="200"/>
        <v>64370991.399999999</v>
      </c>
      <c r="AD699" s="233">
        <f t="shared" si="201"/>
        <v>1496999.8</v>
      </c>
      <c r="AE699" s="233">
        <f t="shared" si="202"/>
        <v>1496999.8</v>
      </c>
      <c r="AF699" s="233">
        <f t="shared" si="203"/>
        <v>1496999.8</v>
      </c>
      <c r="AG699" s="233">
        <f t="shared" si="204"/>
        <v>1496999.8</v>
      </c>
      <c r="AH699" s="238">
        <f t="shared" si="205"/>
        <v>1496999.8</v>
      </c>
      <c r="AI699" s="238">
        <f t="shared" si="206"/>
        <v>71855990.399999991</v>
      </c>
      <c r="AJ699" s="261">
        <f t="shared" si="207"/>
        <v>1970</v>
      </c>
      <c r="AK699" s="233">
        <f t="shared" si="208"/>
        <v>2994009.6000000089</v>
      </c>
    </row>
    <row r="700" spans="6:38" s="120" customFormat="1" ht="35.25" hidden="1" customHeight="1" x14ac:dyDescent="0.2">
      <c r="F700" s="218" t="s">
        <v>2306</v>
      </c>
      <c r="G700" s="130"/>
      <c r="H700" s="131" t="s">
        <v>850</v>
      </c>
      <c r="I700" s="32" t="s">
        <v>844</v>
      </c>
      <c r="J700" s="40"/>
      <c r="K700" s="32" t="s">
        <v>736</v>
      </c>
      <c r="L700" s="360"/>
      <c r="M700" s="40"/>
      <c r="N700" s="360"/>
      <c r="O700" s="72" t="s">
        <v>3380</v>
      </c>
      <c r="P700" s="33">
        <v>1992</v>
      </c>
      <c r="Q700" s="40"/>
      <c r="R700" s="40"/>
      <c r="S700" s="40"/>
      <c r="T700" s="32" t="s">
        <v>12</v>
      </c>
      <c r="U700" s="252">
        <v>408000000</v>
      </c>
      <c r="V700" s="33" t="s">
        <v>43</v>
      </c>
      <c r="W700" s="127"/>
      <c r="X700" s="206" t="str">
        <f t="shared" si="196"/>
        <v>4.14.01</v>
      </c>
      <c r="Y700" s="207" t="str">
        <f t="shared" si="197"/>
        <v>Bangunan Air Irigasi</v>
      </c>
      <c r="Z700" s="207">
        <f t="shared" si="198"/>
        <v>50</v>
      </c>
      <c r="AA700" s="233">
        <f t="shared" si="199"/>
        <v>8159999.7999999998</v>
      </c>
      <c r="AB700" s="208">
        <f t="shared" si="209"/>
        <v>21</v>
      </c>
      <c r="AC700" s="233">
        <f t="shared" si="200"/>
        <v>171359995.79999998</v>
      </c>
      <c r="AD700" s="233">
        <f t="shared" si="201"/>
        <v>8159999.7999999998</v>
      </c>
      <c r="AE700" s="233">
        <f t="shared" si="202"/>
        <v>8159999.7999999998</v>
      </c>
      <c r="AF700" s="233">
        <f t="shared" si="203"/>
        <v>8159999.7999999998</v>
      </c>
      <c r="AG700" s="233">
        <f t="shared" si="204"/>
        <v>8159999.7999999998</v>
      </c>
      <c r="AH700" s="238">
        <f t="shared" si="205"/>
        <v>8159999.7999999998</v>
      </c>
      <c r="AI700" s="238">
        <f t="shared" si="206"/>
        <v>212159994.80000004</v>
      </c>
      <c r="AJ700" s="261">
        <f t="shared" si="207"/>
        <v>1992</v>
      </c>
      <c r="AK700" s="233">
        <f t="shared" si="208"/>
        <v>195840005.19999996</v>
      </c>
    </row>
    <row r="701" spans="6:38" s="120" customFormat="1" ht="35.25" hidden="1" customHeight="1" x14ac:dyDescent="0.2">
      <c r="F701" s="218" t="s">
        <v>2306</v>
      </c>
      <c r="G701" s="130"/>
      <c r="H701" s="131" t="s">
        <v>851</v>
      </c>
      <c r="I701" s="32" t="s">
        <v>852</v>
      </c>
      <c r="J701" s="40"/>
      <c r="K701" s="32" t="s">
        <v>853</v>
      </c>
      <c r="L701" s="360"/>
      <c r="M701" s="40"/>
      <c r="N701" s="360"/>
      <c r="O701" s="72"/>
      <c r="P701" s="33">
        <v>1986</v>
      </c>
      <c r="Q701" s="40"/>
      <c r="R701" s="40"/>
      <c r="S701" s="40"/>
      <c r="T701" s="32" t="s">
        <v>12</v>
      </c>
      <c r="U701" s="252">
        <v>28000000</v>
      </c>
      <c r="V701" s="33"/>
      <c r="W701" s="127"/>
      <c r="X701" s="206" t="str">
        <f t="shared" si="196"/>
        <v>4.14.01</v>
      </c>
      <c r="Y701" s="207" t="str">
        <f t="shared" si="197"/>
        <v>Bangunan Air Irigasi</v>
      </c>
      <c r="Z701" s="207">
        <f t="shared" si="198"/>
        <v>50</v>
      </c>
      <c r="AA701" s="233">
        <f t="shared" si="199"/>
        <v>559999.80000000005</v>
      </c>
      <c r="AB701" s="208">
        <f t="shared" si="209"/>
        <v>27</v>
      </c>
      <c r="AC701" s="233">
        <f t="shared" si="200"/>
        <v>15119994.600000001</v>
      </c>
      <c r="AD701" s="233">
        <f t="shared" si="201"/>
        <v>559999.80000000005</v>
      </c>
      <c r="AE701" s="233">
        <f t="shared" si="202"/>
        <v>559999.80000000005</v>
      </c>
      <c r="AF701" s="233">
        <f t="shared" si="203"/>
        <v>559999.80000000005</v>
      </c>
      <c r="AG701" s="233">
        <f t="shared" si="204"/>
        <v>559999.80000000005</v>
      </c>
      <c r="AH701" s="238">
        <f t="shared" si="205"/>
        <v>559999.80000000005</v>
      </c>
      <c r="AI701" s="238">
        <f t="shared" si="206"/>
        <v>17919993.600000005</v>
      </c>
      <c r="AJ701" s="261">
        <f t="shared" si="207"/>
        <v>1986</v>
      </c>
      <c r="AK701" s="233">
        <f t="shared" si="208"/>
        <v>10080006.399999995</v>
      </c>
    </row>
    <row r="702" spans="6:38" s="120" customFormat="1" ht="35.25" hidden="1" customHeight="1" x14ac:dyDescent="0.2">
      <c r="F702" s="218" t="s">
        <v>2306</v>
      </c>
      <c r="G702" s="130"/>
      <c r="H702" s="131" t="s">
        <v>851</v>
      </c>
      <c r="I702" s="32" t="s">
        <v>852</v>
      </c>
      <c r="J702" s="40"/>
      <c r="K702" s="32" t="s">
        <v>853</v>
      </c>
      <c r="L702" s="360"/>
      <c r="M702" s="40"/>
      <c r="N702" s="360"/>
      <c r="O702" s="72"/>
      <c r="P702" s="33">
        <v>2000</v>
      </c>
      <c r="Q702" s="40"/>
      <c r="R702" s="40"/>
      <c r="S702" s="40"/>
      <c r="T702" s="32" t="s">
        <v>12</v>
      </c>
      <c r="U702" s="252">
        <v>16800000</v>
      </c>
      <c r="V702" s="33" t="s">
        <v>43</v>
      </c>
      <c r="W702" s="127"/>
      <c r="X702" s="206" t="str">
        <f t="shared" si="196"/>
        <v>4.14.01</v>
      </c>
      <c r="Y702" s="207" t="str">
        <f t="shared" si="197"/>
        <v>Bangunan Air Irigasi</v>
      </c>
      <c r="Z702" s="207">
        <f t="shared" si="198"/>
        <v>50</v>
      </c>
      <c r="AA702" s="233">
        <f t="shared" si="199"/>
        <v>335999.8</v>
      </c>
      <c r="AB702" s="208">
        <f t="shared" si="209"/>
        <v>13</v>
      </c>
      <c r="AC702" s="233">
        <f t="shared" si="200"/>
        <v>4367997.3999999994</v>
      </c>
      <c r="AD702" s="233">
        <f t="shared" si="201"/>
        <v>335999.8</v>
      </c>
      <c r="AE702" s="233">
        <f t="shared" si="202"/>
        <v>335999.8</v>
      </c>
      <c r="AF702" s="233">
        <f t="shared" si="203"/>
        <v>335999.8</v>
      </c>
      <c r="AG702" s="233">
        <f t="shared" si="204"/>
        <v>335999.8</v>
      </c>
      <c r="AH702" s="238">
        <f t="shared" si="205"/>
        <v>335999.8</v>
      </c>
      <c r="AI702" s="238">
        <f t="shared" si="206"/>
        <v>6047996.3999999985</v>
      </c>
      <c r="AJ702" s="261">
        <f t="shared" si="207"/>
        <v>2000</v>
      </c>
      <c r="AK702" s="233">
        <f t="shared" si="208"/>
        <v>10752003.600000001</v>
      </c>
    </row>
    <row r="703" spans="6:38" s="120" customFormat="1" ht="35.25" hidden="1" customHeight="1" x14ac:dyDescent="0.2">
      <c r="F703" s="218" t="s">
        <v>2306</v>
      </c>
      <c r="G703" s="130"/>
      <c r="H703" s="131" t="s">
        <v>851</v>
      </c>
      <c r="I703" s="32" t="s">
        <v>852</v>
      </c>
      <c r="J703" s="40"/>
      <c r="K703" s="32" t="s">
        <v>736</v>
      </c>
      <c r="L703" s="360"/>
      <c r="M703" s="40"/>
      <c r="N703" s="360"/>
      <c r="O703" s="72"/>
      <c r="P703" s="33">
        <v>2000</v>
      </c>
      <c r="Q703" s="40"/>
      <c r="R703" s="40"/>
      <c r="S703" s="40"/>
      <c r="T703" s="32" t="s">
        <v>12</v>
      </c>
      <c r="U703" s="252">
        <v>88200000</v>
      </c>
      <c r="V703" s="33" t="s">
        <v>43</v>
      </c>
      <c r="W703" s="127"/>
      <c r="X703" s="206" t="str">
        <f t="shared" si="196"/>
        <v>4.14.01</v>
      </c>
      <c r="Y703" s="207" t="str">
        <f t="shared" si="197"/>
        <v>Bangunan Air Irigasi</v>
      </c>
      <c r="Z703" s="207">
        <f t="shared" si="198"/>
        <v>50</v>
      </c>
      <c r="AA703" s="233">
        <f t="shared" si="199"/>
        <v>1763999.8</v>
      </c>
      <c r="AB703" s="208">
        <f t="shared" si="209"/>
        <v>13</v>
      </c>
      <c r="AC703" s="233">
        <f t="shared" si="200"/>
        <v>22931997.400000002</v>
      </c>
      <c r="AD703" s="233">
        <f t="shared" si="201"/>
        <v>1763999.8</v>
      </c>
      <c r="AE703" s="233">
        <f t="shared" si="202"/>
        <v>1763999.8</v>
      </c>
      <c r="AF703" s="233">
        <f t="shared" si="203"/>
        <v>1763999.8</v>
      </c>
      <c r="AG703" s="233">
        <f t="shared" si="204"/>
        <v>1763999.8</v>
      </c>
      <c r="AH703" s="238">
        <f t="shared" si="205"/>
        <v>1763999.8</v>
      </c>
      <c r="AI703" s="238">
        <f t="shared" si="206"/>
        <v>31751996.400000006</v>
      </c>
      <c r="AJ703" s="261">
        <f t="shared" si="207"/>
        <v>2000</v>
      </c>
      <c r="AK703" s="233">
        <f t="shared" si="208"/>
        <v>56448003.599999994</v>
      </c>
    </row>
    <row r="704" spans="6:38" s="120" customFormat="1" ht="35.25" hidden="1" customHeight="1" x14ac:dyDescent="0.2">
      <c r="F704" s="218" t="s">
        <v>2306</v>
      </c>
      <c r="G704" s="130"/>
      <c r="H704" s="131" t="s">
        <v>854</v>
      </c>
      <c r="I704" s="32" t="s">
        <v>855</v>
      </c>
      <c r="J704" s="40"/>
      <c r="K704" s="32" t="s">
        <v>736</v>
      </c>
      <c r="L704" s="360"/>
      <c r="M704" s="40"/>
      <c r="N704" s="360"/>
      <c r="O704" s="72"/>
      <c r="P704" s="33">
        <v>2000</v>
      </c>
      <c r="Q704" s="40"/>
      <c r="R704" s="40"/>
      <c r="S704" s="40"/>
      <c r="T704" s="32" t="s">
        <v>12</v>
      </c>
      <c r="U704" s="252">
        <v>72800000</v>
      </c>
      <c r="V704" s="33" t="s">
        <v>43</v>
      </c>
      <c r="W704" s="127"/>
      <c r="X704" s="206" t="str">
        <f t="shared" si="196"/>
        <v>4.14.01</v>
      </c>
      <c r="Y704" s="207" t="str">
        <f t="shared" si="197"/>
        <v>Bangunan Air Irigasi</v>
      </c>
      <c r="Z704" s="207">
        <f t="shared" si="198"/>
        <v>50</v>
      </c>
      <c r="AA704" s="233">
        <f t="shared" si="199"/>
        <v>1455999.8</v>
      </c>
      <c r="AB704" s="208">
        <f t="shared" si="209"/>
        <v>13</v>
      </c>
      <c r="AC704" s="233">
        <f t="shared" si="200"/>
        <v>18927997.400000002</v>
      </c>
      <c r="AD704" s="233">
        <f t="shared" si="201"/>
        <v>1455999.8</v>
      </c>
      <c r="AE704" s="233">
        <f t="shared" si="202"/>
        <v>1455999.8</v>
      </c>
      <c r="AF704" s="233">
        <f t="shared" si="203"/>
        <v>1455999.8</v>
      </c>
      <c r="AG704" s="233">
        <f t="shared" si="204"/>
        <v>1455999.8</v>
      </c>
      <c r="AH704" s="238">
        <f t="shared" si="205"/>
        <v>1455999.8</v>
      </c>
      <c r="AI704" s="238">
        <f t="shared" si="206"/>
        <v>26207996.400000006</v>
      </c>
      <c r="AJ704" s="261">
        <f t="shared" si="207"/>
        <v>2000</v>
      </c>
      <c r="AK704" s="233">
        <f t="shared" si="208"/>
        <v>46592003.599999994</v>
      </c>
    </row>
    <row r="705" spans="6:37" s="120" customFormat="1" ht="35.25" hidden="1" customHeight="1" x14ac:dyDescent="0.2">
      <c r="F705" s="218" t="s">
        <v>2306</v>
      </c>
      <c r="G705" s="130"/>
      <c r="H705" s="131" t="s">
        <v>856</v>
      </c>
      <c r="I705" s="32" t="s">
        <v>855</v>
      </c>
      <c r="J705" s="40"/>
      <c r="K705" s="32" t="s">
        <v>736</v>
      </c>
      <c r="L705" s="360"/>
      <c r="M705" s="40"/>
      <c r="N705" s="360"/>
      <c r="O705" s="72"/>
      <c r="P705" s="33">
        <v>2000</v>
      </c>
      <c r="Q705" s="40"/>
      <c r="R705" s="40"/>
      <c r="S705" s="40"/>
      <c r="T705" s="32" t="s">
        <v>12</v>
      </c>
      <c r="U705" s="252">
        <v>72800000</v>
      </c>
      <c r="V705" s="33" t="s">
        <v>43</v>
      </c>
      <c r="W705" s="127"/>
      <c r="X705" s="206" t="str">
        <f t="shared" si="196"/>
        <v>4.14.01</v>
      </c>
      <c r="Y705" s="207" t="str">
        <f t="shared" si="197"/>
        <v>Bangunan Air Irigasi</v>
      </c>
      <c r="Z705" s="207">
        <f t="shared" si="198"/>
        <v>50</v>
      </c>
      <c r="AA705" s="233">
        <f t="shared" si="199"/>
        <v>1455999.8</v>
      </c>
      <c r="AB705" s="208">
        <f t="shared" si="209"/>
        <v>13</v>
      </c>
      <c r="AC705" s="233">
        <f t="shared" si="200"/>
        <v>18927997.400000002</v>
      </c>
      <c r="AD705" s="233">
        <f t="shared" si="201"/>
        <v>1455999.8</v>
      </c>
      <c r="AE705" s="233">
        <f t="shared" si="202"/>
        <v>1455999.8</v>
      </c>
      <c r="AF705" s="233">
        <f t="shared" si="203"/>
        <v>1455999.8</v>
      </c>
      <c r="AG705" s="233">
        <f t="shared" si="204"/>
        <v>1455999.8</v>
      </c>
      <c r="AH705" s="238">
        <f t="shared" si="205"/>
        <v>1455999.8</v>
      </c>
      <c r="AI705" s="238">
        <f t="shared" si="206"/>
        <v>26207996.400000006</v>
      </c>
      <c r="AJ705" s="261">
        <f t="shared" si="207"/>
        <v>2000</v>
      </c>
      <c r="AK705" s="233">
        <f t="shared" si="208"/>
        <v>46592003.599999994</v>
      </c>
    </row>
    <row r="706" spans="6:37" s="120" customFormat="1" ht="35.25" hidden="1" customHeight="1" x14ac:dyDescent="0.2">
      <c r="F706" s="218" t="s">
        <v>2306</v>
      </c>
      <c r="G706" s="130"/>
      <c r="H706" s="131" t="s">
        <v>857</v>
      </c>
      <c r="I706" s="32" t="s">
        <v>855</v>
      </c>
      <c r="J706" s="40"/>
      <c r="K706" s="32" t="s">
        <v>736</v>
      </c>
      <c r="L706" s="360"/>
      <c r="M706" s="40"/>
      <c r="N706" s="360"/>
      <c r="O706" s="72"/>
      <c r="P706" s="33">
        <v>2000</v>
      </c>
      <c r="Q706" s="40"/>
      <c r="R706" s="40"/>
      <c r="S706" s="40"/>
      <c r="T706" s="32" t="s">
        <v>12</v>
      </c>
      <c r="U706" s="252">
        <v>72800000</v>
      </c>
      <c r="V706" s="33" t="s">
        <v>43</v>
      </c>
      <c r="W706" s="127"/>
      <c r="X706" s="206" t="str">
        <f t="shared" si="196"/>
        <v>4.14.01</v>
      </c>
      <c r="Y706" s="207" t="str">
        <f t="shared" si="197"/>
        <v>Bangunan Air Irigasi</v>
      </c>
      <c r="Z706" s="207">
        <f t="shared" si="198"/>
        <v>50</v>
      </c>
      <c r="AA706" s="233">
        <f t="shared" si="199"/>
        <v>1455999.8</v>
      </c>
      <c r="AB706" s="208">
        <f t="shared" si="209"/>
        <v>13</v>
      </c>
      <c r="AC706" s="233">
        <f t="shared" si="200"/>
        <v>18927997.400000002</v>
      </c>
      <c r="AD706" s="233">
        <f t="shared" si="201"/>
        <v>1455999.8</v>
      </c>
      <c r="AE706" s="233">
        <f t="shared" si="202"/>
        <v>1455999.8</v>
      </c>
      <c r="AF706" s="233">
        <f t="shared" si="203"/>
        <v>1455999.8</v>
      </c>
      <c r="AG706" s="233">
        <f t="shared" si="204"/>
        <v>1455999.8</v>
      </c>
      <c r="AH706" s="238">
        <f t="shared" si="205"/>
        <v>1455999.8</v>
      </c>
      <c r="AI706" s="238">
        <f t="shared" si="206"/>
        <v>26207996.400000006</v>
      </c>
      <c r="AJ706" s="261">
        <f t="shared" si="207"/>
        <v>2000</v>
      </c>
      <c r="AK706" s="233">
        <f t="shared" si="208"/>
        <v>46592003.599999994</v>
      </c>
    </row>
    <row r="707" spans="6:37" s="120" customFormat="1" ht="35.25" hidden="1" customHeight="1" x14ac:dyDescent="0.2">
      <c r="F707" s="218" t="s">
        <v>2306</v>
      </c>
      <c r="G707" s="130"/>
      <c r="H707" s="131" t="s">
        <v>858</v>
      </c>
      <c r="I707" s="32" t="s">
        <v>855</v>
      </c>
      <c r="J707" s="40"/>
      <c r="K707" s="32" t="s">
        <v>736</v>
      </c>
      <c r="L707" s="360"/>
      <c r="M707" s="40"/>
      <c r="N707" s="360"/>
      <c r="O707" s="72"/>
      <c r="P707" s="33">
        <v>2000</v>
      </c>
      <c r="Q707" s="40"/>
      <c r="R707" s="40"/>
      <c r="S707" s="40"/>
      <c r="T707" s="32" t="s">
        <v>12</v>
      </c>
      <c r="U707" s="252">
        <v>210000000</v>
      </c>
      <c r="V707" s="33" t="s">
        <v>43</v>
      </c>
      <c r="W707" s="127"/>
      <c r="X707" s="206" t="str">
        <f t="shared" si="196"/>
        <v>4.14.01</v>
      </c>
      <c r="Y707" s="207" t="str">
        <f t="shared" si="197"/>
        <v>Bangunan Air Irigasi</v>
      </c>
      <c r="Z707" s="207">
        <f t="shared" si="198"/>
        <v>50</v>
      </c>
      <c r="AA707" s="233">
        <f t="shared" si="199"/>
        <v>4199999.8</v>
      </c>
      <c r="AB707" s="208">
        <f t="shared" si="209"/>
        <v>13</v>
      </c>
      <c r="AC707" s="233">
        <f t="shared" si="200"/>
        <v>54599997.399999999</v>
      </c>
      <c r="AD707" s="233">
        <f t="shared" si="201"/>
        <v>4199999.8</v>
      </c>
      <c r="AE707" s="233">
        <f t="shared" si="202"/>
        <v>4199999.8</v>
      </c>
      <c r="AF707" s="233">
        <f t="shared" si="203"/>
        <v>4199999.8</v>
      </c>
      <c r="AG707" s="233">
        <f t="shared" si="204"/>
        <v>4199999.8</v>
      </c>
      <c r="AH707" s="238">
        <f t="shared" si="205"/>
        <v>4199999.8</v>
      </c>
      <c r="AI707" s="238">
        <f t="shared" si="206"/>
        <v>75599996.399999991</v>
      </c>
      <c r="AJ707" s="261">
        <f t="shared" si="207"/>
        <v>2000</v>
      </c>
      <c r="AK707" s="233">
        <f t="shared" si="208"/>
        <v>134400003.60000002</v>
      </c>
    </row>
    <row r="708" spans="6:37" s="120" customFormat="1" ht="35.25" hidden="1" customHeight="1" x14ac:dyDescent="0.2">
      <c r="F708" s="218" t="s">
        <v>2306</v>
      </c>
      <c r="G708" s="130"/>
      <c r="H708" s="65" t="s">
        <v>1467</v>
      </c>
      <c r="I708" s="32"/>
      <c r="J708" s="67"/>
      <c r="K708" s="32"/>
      <c r="L708" s="362"/>
      <c r="M708" s="67"/>
      <c r="N708" s="362"/>
      <c r="O708" s="65" t="s">
        <v>3381</v>
      </c>
      <c r="P708" s="32">
        <v>2007</v>
      </c>
      <c r="Q708" s="67"/>
      <c r="R708" s="67"/>
      <c r="S708" s="67"/>
      <c r="T708" s="32" t="s">
        <v>12</v>
      </c>
      <c r="U708" s="252">
        <v>2779648000</v>
      </c>
      <c r="V708" s="32" t="s">
        <v>43</v>
      </c>
      <c r="W708" s="132"/>
      <c r="X708" s="206" t="str">
        <f t="shared" si="196"/>
        <v>4.14.01</v>
      </c>
      <c r="Y708" s="207" t="str">
        <f t="shared" si="197"/>
        <v>Bangunan Air Irigasi</v>
      </c>
      <c r="Z708" s="207">
        <f t="shared" si="198"/>
        <v>50</v>
      </c>
      <c r="AA708" s="233">
        <f t="shared" si="199"/>
        <v>55592959.799999997</v>
      </c>
      <c r="AB708" s="208">
        <f t="shared" si="209"/>
        <v>6</v>
      </c>
      <c r="AC708" s="233">
        <f t="shared" si="200"/>
        <v>333557758.79999995</v>
      </c>
      <c r="AD708" s="233">
        <f t="shared" si="201"/>
        <v>55592959.799999997</v>
      </c>
      <c r="AE708" s="233">
        <f t="shared" si="202"/>
        <v>55592959.799999997</v>
      </c>
      <c r="AF708" s="233">
        <f t="shared" si="203"/>
        <v>55592959.799999997</v>
      </c>
      <c r="AG708" s="233">
        <f t="shared" si="204"/>
        <v>55592959.799999997</v>
      </c>
      <c r="AH708" s="238">
        <f t="shared" si="205"/>
        <v>55592959.799999997</v>
      </c>
      <c r="AI708" s="238">
        <f t="shared" si="206"/>
        <v>611522557.79999995</v>
      </c>
      <c r="AJ708" s="261">
        <f t="shared" si="207"/>
        <v>2007</v>
      </c>
      <c r="AK708" s="233">
        <f t="shared" si="208"/>
        <v>2168125442.1999998</v>
      </c>
    </row>
    <row r="709" spans="6:37" s="120" customFormat="1" ht="35.25" hidden="1" customHeight="1" x14ac:dyDescent="0.2">
      <c r="F709" s="218" t="s">
        <v>2306</v>
      </c>
      <c r="G709" s="130"/>
      <c r="H709" s="65" t="s">
        <v>1467</v>
      </c>
      <c r="I709" s="32"/>
      <c r="J709" s="67"/>
      <c r="K709" s="32"/>
      <c r="L709" s="362"/>
      <c r="M709" s="67"/>
      <c r="N709" s="362"/>
      <c r="O709" s="65" t="s">
        <v>3381</v>
      </c>
      <c r="P709" s="32">
        <v>2007</v>
      </c>
      <c r="Q709" s="67"/>
      <c r="R709" s="67"/>
      <c r="S709" s="67"/>
      <c r="T709" s="32" t="s">
        <v>12</v>
      </c>
      <c r="U709" s="252">
        <v>282200000</v>
      </c>
      <c r="V709" s="32" t="s">
        <v>43</v>
      </c>
      <c r="W709" s="132"/>
      <c r="X709" s="206" t="str">
        <f t="shared" si="196"/>
        <v>4.14.01</v>
      </c>
      <c r="Y709" s="207" t="str">
        <f t="shared" si="197"/>
        <v>Bangunan Air Irigasi</v>
      </c>
      <c r="Z709" s="207">
        <f t="shared" si="198"/>
        <v>50</v>
      </c>
      <c r="AA709" s="233">
        <f t="shared" si="199"/>
        <v>5643999.7999999998</v>
      </c>
      <c r="AB709" s="208">
        <f t="shared" si="209"/>
        <v>6</v>
      </c>
      <c r="AC709" s="233">
        <f t="shared" si="200"/>
        <v>33863998.799999997</v>
      </c>
      <c r="AD709" s="233">
        <f t="shared" si="201"/>
        <v>5643999.7999999998</v>
      </c>
      <c r="AE709" s="233">
        <f t="shared" si="202"/>
        <v>5643999.7999999998</v>
      </c>
      <c r="AF709" s="233">
        <f t="shared" si="203"/>
        <v>5643999.7999999998</v>
      </c>
      <c r="AG709" s="233">
        <f t="shared" si="204"/>
        <v>5643999.7999999998</v>
      </c>
      <c r="AH709" s="238">
        <f t="shared" si="205"/>
        <v>5643999.7999999998</v>
      </c>
      <c r="AI709" s="238">
        <f t="shared" si="206"/>
        <v>62083997.799999982</v>
      </c>
      <c r="AJ709" s="261">
        <f t="shared" si="207"/>
        <v>2007</v>
      </c>
      <c r="AK709" s="233">
        <f t="shared" si="208"/>
        <v>220116002.20000002</v>
      </c>
    </row>
    <row r="710" spans="6:37" s="120" customFormat="1" ht="35.25" hidden="1" customHeight="1" x14ac:dyDescent="0.2">
      <c r="F710" s="218" t="s">
        <v>2306</v>
      </c>
      <c r="G710" s="130"/>
      <c r="H710" s="65" t="s">
        <v>1468</v>
      </c>
      <c r="I710" s="32"/>
      <c r="J710" s="67"/>
      <c r="K710" s="32"/>
      <c r="L710" s="362"/>
      <c r="M710" s="67"/>
      <c r="N710" s="362"/>
      <c r="O710" s="65"/>
      <c r="P710" s="32">
        <v>2008</v>
      </c>
      <c r="Q710" s="67"/>
      <c r="R710" s="67"/>
      <c r="S710" s="67"/>
      <c r="T710" s="32" t="s">
        <v>12</v>
      </c>
      <c r="U710" s="252">
        <v>220000000</v>
      </c>
      <c r="V710" s="32" t="s">
        <v>43</v>
      </c>
      <c r="W710" s="132"/>
      <c r="X710" s="206" t="str">
        <f t="shared" si="196"/>
        <v>4.14.01</v>
      </c>
      <c r="Y710" s="207" t="str">
        <f t="shared" si="197"/>
        <v>Bangunan Air Irigasi</v>
      </c>
      <c r="Z710" s="207">
        <f t="shared" si="198"/>
        <v>50</v>
      </c>
      <c r="AA710" s="233">
        <f t="shared" si="199"/>
        <v>4399999.8</v>
      </c>
      <c r="AB710" s="208">
        <f t="shared" si="209"/>
        <v>5</v>
      </c>
      <c r="AC710" s="233">
        <f t="shared" si="200"/>
        <v>21999999</v>
      </c>
      <c r="AD710" s="233">
        <f t="shared" si="201"/>
        <v>4399999.8</v>
      </c>
      <c r="AE710" s="233">
        <f t="shared" si="202"/>
        <v>4399999.8</v>
      </c>
      <c r="AF710" s="233">
        <f t="shared" si="203"/>
        <v>4399999.8</v>
      </c>
      <c r="AG710" s="233">
        <f t="shared" si="204"/>
        <v>4399999.8</v>
      </c>
      <c r="AH710" s="238">
        <f t="shared" si="205"/>
        <v>4399999.8</v>
      </c>
      <c r="AI710" s="238">
        <f t="shared" si="206"/>
        <v>43999997.999999993</v>
      </c>
      <c r="AJ710" s="261">
        <f t="shared" si="207"/>
        <v>2008</v>
      </c>
      <c r="AK710" s="233">
        <f t="shared" si="208"/>
        <v>176000002</v>
      </c>
    </row>
    <row r="711" spans="6:37" s="120" customFormat="1" ht="35.25" hidden="1" customHeight="1" x14ac:dyDescent="0.2">
      <c r="F711" s="218" t="s">
        <v>2306</v>
      </c>
      <c r="G711" s="130"/>
      <c r="H711" s="65" t="s">
        <v>1469</v>
      </c>
      <c r="I711" s="32"/>
      <c r="J711" s="67"/>
      <c r="K711" s="32"/>
      <c r="L711" s="362"/>
      <c r="M711" s="67"/>
      <c r="N711" s="362"/>
      <c r="O711" s="65"/>
      <c r="P711" s="32">
        <v>2009</v>
      </c>
      <c r="Q711" s="67"/>
      <c r="R711" s="67"/>
      <c r="S711" s="67"/>
      <c r="T711" s="32" t="s">
        <v>12</v>
      </c>
      <c r="U711" s="252">
        <v>6440797062</v>
      </c>
      <c r="V711" s="32" t="s">
        <v>43</v>
      </c>
      <c r="W711" s="132"/>
      <c r="X711" s="206" t="str">
        <f t="shared" si="196"/>
        <v>4.14.01</v>
      </c>
      <c r="Y711" s="207" t="str">
        <f t="shared" si="197"/>
        <v>Bangunan Air Irigasi</v>
      </c>
      <c r="Z711" s="207">
        <f t="shared" si="198"/>
        <v>50</v>
      </c>
      <c r="AA711" s="233">
        <f t="shared" si="199"/>
        <v>128815941.04000001</v>
      </c>
      <c r="AB711" s="208">
        <f t="shared" si="209"/>
        <v>4</v>
      </c>
      <c r="AC711" s="233">
        <f t="shared" si="200"/>
        <v>515263764.16000003</v>
      </c>
      <c r="AD711" s="233">
        <f t="shared" si="201"/>
        <v>128815941.04000001</v>
      </c>
      <c r="AE711" s="233">
        <f t="shared" si="202"/>
        <v>128815941.04000001</v>
      </c>
      <c r="AF711" s="233">
        <f t="shared" si="203"/>
        <v>128815941.04000001</v>
      </c>
      <c r="AG711" s="233">
        <f t="shared" si="204"/>
        <v>128815941.04000001</v>
      </c>
      <c r="AH711" s="238">
        <f t="shared" si="205"/>
        <v>128815941.04000001</v>
      </c>
      <c r="AI711" s="238">
        <f t="shared" si="206"/>
        <v>1159343469.3599999</v>
      </c>
      <c r="AJ711" s="261">
        <f t="shared" si="207"/>
        <v>2009</v>
      </c>
      <c r="AK711" s="233">
        <f t="shared" si="208"/>
        <v>5281453592.6400003</v>
      </c>
    </row>
    <row r="712" spans="6:37" s="120" customFormat="1" ht="35.25" hidden="1" customHeight="1" x14ac:dyDescent="0.2">
      <c r="F712" s="218" t="s">
        <v>2306</v>
      </c>
      <c r="G712" s="130"/>
      <c r="H712" s="65" t="s">
        <v>1470</v>
      </c>
      <c r="I712" s="32"/>
      <c r="J712" s="67"/>
      <c r="K712" s="32"/>
      <c r="L712" s="362"/>
      <c r="M712" s="67"/>
      <c r="N712" s="362"/>
      <c r="O712" s="65"/>
      <c r="P712" s="32">
        <v>2010</v>
      </c>
      <c r="Q712" s="67"/>
      <c r="R712" s="67"/>
      <c r="S712" s="67"/>
      <c r="T712" s="32" t="s">
        <v>12</v>
      </c>
      <c r="U712" s="252">
        <v>49222000</v>
      </c>
      <c r="V712" s="32" t="s">
        <v>43</v>
      </c>
      <c r="W712" s="132"/>
      <c r="X712" s="206" t="str">
        <f t="shared" si="196"/>
        <v>4.14.01</v>
      </c>
      <c r="Y712" s="207" t="str">
        <f t="shared" si="197"/>
        <v>Bangunan Air Irigasi</v>
      </c>
      <c r="Z712" s="207">
        <f t="shared" si="198"/>
        <v>50</v>
      </c>
      <c r="AA712" s="233">
        <f t="shared" si="199"/>
        <v>984439.8</v>
      </c>
      <c r="AB712" s="208">
        <f t="shared" si="209"/>
        <v>3</v>
      </c>
      <c r="AC712" s="233">
        <f t="shared" si="200"/>
        <v>2953319.4000000004</v>
      </c>
      <c r="AD712" s="233">
        <f t="shared" si="201"/>
        <v>984439.8</v>
      </c>
      <c r="AE712" s="233">
        <f t="shared" si="202"/>
        <v>984439.8</v>
      </c>
      <c r="AF712" s="233">
        <f t="shared" si="203"/>
        <v>984439.8</v>
      </c>
      <c r="AG712" s="233">
        <f t="shared" si="204"/>
        <v>984439.8</v>
      </c>
      <c r="AH712" s="238">
        <f t="shared" si="205"/>
        <v>984439.8</v>
      </c>
      <c r="AI712" s="238">
        <f t="shared" si="206"/>
        <v>7875518.3999999994</v>
      </c>
      <c r="AJ712" s="261">
        <f t="shared" si="207"/>
        <v>2010</v>
      </c>
      <c r="AK712" s="233">
        <f t="shared" si="208"/>
        <v>41346481.600000001</v>
      </c>
    </row>
    <row r="713" spans="6:37" s="120" customFormat="1" ht="35.25" hidden="1" customHeight="1" x14ac:dyDescent="0.2">
      <c r="F713" s="218" t="s">
        <v>2306</v>
      </c>
      <c r="G713" s="130"/>
      <c r="H713" s="65" t="s">
        <v>1470</v>
      </c>
      <c r="I713" s="32"/>
      <c r="J713" s="67"/>
      <c r="K713" s="32"/>
      <c r="L713" s="362"/>
      <c r="M713" s="67"/>
      <c r="N713" s="362"/>
      <c r="O713" s="65"/>
      <c r="P713" s="32">
        <v>2010</v>
      </c>
      <c r="Q713" s="67"/>
      <c r="R713" s="67"/>
      <c r="S713" s="67"/>
      <c r="T713" s="32" t="s">
        <v>12</v>
      </c>
      <c r="U713" s="252">
        <v>2566886647</v>
      </c>
      <c r="V713" s="32" t="s">
        <v>43</v>
      </c>
      <c r="W713" s="132"/>
      <c r="X713" s="206" t="str">
        <f t="shared" si="196"/>
        <v>4.14.01</v>
      </c>
      <c r="Y713" s="207" t="str">
        <f t="shared" si="197"/>
        <v>Bangunan Air Irigasi</v>
      </c>
      <c r="Z713" s="207">
        <f t="shared" si="198"/>
        <v>50</v>
      </c>
      <c r="AA713" s="233">
        <f t="shared" si="199"/>
        <v>51337732.740000002</v>
      </c>
      <c r="AB713" s="208">
        <f t="shared" si="209"/>
        <v>3</v>
      </c>
      <c r="AC713" s="233">
        <f t="shared" si="200"/>
        <v>154013198.22</v>
      </c>
      <c r="AD713" s="233">
        <f t="shared" si="201"/>
        <v>51337732.740000002</v>
      </c>
      <c r="AE713" s="233">
        <f t="shared" si="202"/>
        <v>51337732.740000002</v>
      </c>
      <c r="AF713" s="233">
        <f t="shared" si="203"/>
        <v>51337732.740000002</v>
      </c>
      <c r="AG713" s="233">
        <f t="shared" si="204"/>
        <v>51337732.740000002</v>
      </c>
      <c r="AH713" s="238">
        <f t="shared" si="205"/>
        <v>51337732.740000002</v>
      </c>
      <c r="AI713" s="238">
        <f t="shared" si="206"/>
        <v>410701861.92000002</v>
      </c>
      <c r="AJ713" s="261">
        <f t="shared" si="207"/>
        <v>2010</v>
      </c>
      <c r="AK713" s="233">
        <f t="shared" si="208"/>
        <v>2156184785.0799999</v>
      </c>
    </row>
    <row r="714" spans="6:37" s="120" customFormat="1" ht="35.25" hidden="1" customHeight="1" x14ac:dyDescent="0.2">
      <c r="F714" s="218" t="s">
        <v>2306</v>
      </c>
      <c r="G714" s="130"/>
      <c r="H714" s="65" t="s">
        <v>1470</v>
      </c>
      <c r="I714" s="32"/>
      <c r="J714" s="67"/>
      <c r="K714" s="32"/>
      <c r="L714" s="362"/>
      <c r="M714" s="67"/>
      <c r="N714" s="362"/>
      <c r="O714" s="65"/>
      <c r="P714" s="32">
        <v>2010</v>
      </c>
      <c r="Q714" s="67"/>
      <c r="R714" s="67"/>
      <c r="S714" s="67"/>
      <c r="T714" s="32" t="s">
        <v>12</v>
      </c>
      <c r="U714" s="252">
        <v>1283493564</v>
      </c>
      <c r="V714" s="32" t="s">
        <v>43</v>
      </c>
      <c r="W714" s="132"/>
      <c r="X714" s="206" t="str">
        <f t="shared" si="196"/>
        <v>4.14.01</v>
      </c>
      <c r="Y714" s="207" t="str">
        <f t="shared" si="197"/>
        <v>Bangunan Air Irigasi</v>
      </c>
      <c r="Z714" s="207">
        <f t="shared" si="198"/>
        <v>50</v>
      </c>
      <c r="AA714" s="233">
        <f t="shared" si="199"/>
        <v>25669871.079999998</v>
      </c>
      <c r="AB714" s="208">
        <f t="shared" si="209"/>
        <v>3</v>
      </c>
      <c r="AC714" s="233">
        <f t="shared" si="200"/>
        <v>77009613.239999995</v>
      </c>
      <c r="AD714" s="233">
        <f t="shared" si="201"/>
        <v>25669871.079999998</v>
      </c>
      <c r="AE714" s="233">
        <f t="shared" si="202"/>
        <v>25669871.079999998</v>
      </c>
      <c r="AF714" s="233">
        <f t="shared" si="203"/>
        <v>25669871.079999998</v>
      </c>
      <c r="AG714" s="233">
        <f t="shared" si="204"/>
        <v>25669871.079999998</v>
      </c>
      <c r="AH714" s="238">
        <f t="shared" si="205"/>
        <v>25669871.079999998</v>
      </c>
      <c r="AI714" s="238">
        <f t="shared" si="206"/>
        <v>205358968.63999999</v>
      </c>
      <c r="AJ714" s="261">
        <f t="shared" si="207"/>
        <v>2010</v>
      </c>
      <c r="AK714" s="233">
        <f t="shared" si="208"/>
        <v>1078134595.3600001</v>
      </c>
    </row>
    <row r="715" spans="6:37" s="120" customFormat="1" ht="35.25" hidden="1" customHeight="1" x14ac:dyDescent="0.2">
      <c r="F715" s="218" t="s">
        <v>2306</v>
      </c>
      <c r="G715" s="130"/>
      <c r="H715" s="65" t="s">
        <v>1471</v>
      </c>
      <c r="I715" s="32"/>
      <c r="J715" s="67"/>
      <c r="K715" s="32" t="s">
        <v>835</v>
      </c>
      <c r="L715" s="362"/>
      <c r="M715" s="67"/>
      <c r="N715" s="362"/>
      <c r="O715" s="65" t="s">
        <v>3382</v>
      </c>
      <c r="P715" s="32">
        <v>2011</v>
      </c>
      <c r="Q715" s="67"/>
      <c r="R715" s="67"/>
      <c r="S715" s="67"/>
      <c r="T715" s="32" t="s">
        <v>12</v>
      </c>
      <c r="U715" s="252">
        <v>563256690.27361846</v>
      </c>
      <c r="V715" s="32" t="s">
        <v>43</v>
      </c>
      <c r="W715" s="132"/>
      <c r="X715" s="206" t="str">
        <f t="shared" si="196"/>
        <v>4.14.01</v>
      </c>
      <c r="Y715" s="207" t="str">
        <f t="shared" si="197"/>
        <v>Bangunan Air Irigasi</v>
      </c>
      <c r="Z715" s="207">
        <f t="shared" si="198"/>
        <v>50</v>
      </c>
      <c r="AA715" s="233">
        <f t="shared" si="199"/>
        <v>11265133.605472369</v>
      </c>
      <c r="AB715" s="208">
        <f t="shared" si="209"/>
        <v>2</v>
      </c>
      <c r="AC715" s="233">
        <f t="shared" si="200"/>
        <v>22530267.210944738</v>
      </c>
      <c r="AD715" s="233">
        <f t="shared" si="201"/>
        <v>11265133.605472369</v>
      </c>
      <c r="AE715" s="233">
        <f t="shared" si="202"/>
        <v>11265133.605472369</v>
      </c>
      <c r="AF715" s="233">
        <f t="shared" si="203"/>
        <v>11265133.605472369</v>
      </c>
      <c r="AG715" s="233">
        <f t="shared" si="204"/>
        <v>11265133.605472369</v>
      </c>
      <c r="AH715" s="238">
        <f t="shared" si="205"/>
        <v>11265133.605472369</v>
      </c>
      <c r="AI715" s="238">
        <f t="shared" si="206"/>
        <v>78855935.238306582</v>
      </c>
      <c r="AJ715" s="261">
        <f t="shared" si="207"/>
        <v>2011</v>
      </c>
      <c r="AK715" s="233">
        <f t="shared" si="208"/>
        <v>484400755.03531188</v>
      </c>
    </row>
    <row r="716" spans="6:37" s="120" customFormat="1" ht="35.25" hidden="1" customHeight="1" x14ac:dyDescent="0.2">
      <c r="F716" s="218" t="s">
        <v>2306</v>
      </c>
      <c r="G716" s="130"/>
      <c r="H716" s="65" t="s">
        <v>1472</v>
      </c>
      <c r="I716" s="32"/>
      <c r="J716" s="67"/>
      <c r="K716" s="32" t="s">
        <v>835</v>
      </c>
      <c r="L716" s="362"/>
      <c r="M716" s="67"/>
      <c r="N716" s="362"/>
      <c r="O716" s="65" t="s">
        <v>3383</v>
      </c>
      <c r="P716" s="32">
        <v>2011</v>
      </c>
      <c r="Q716" s="67"/>
      <c r="R716" s="67"/>
      <c r="S716" s="67"/>
      <c r="T716" s="32" t="s">
        <v>12</v>
      </c>
      <c r="U716" s="252">
        <v>364211928.3288675</v>
      </c>
      <c r="V716" s="32" t="s">
        <v>43</v>
      </c>
      <c r="W716" s="132"/>
      <c r="X716" s="206" t="str">
        <f t="shared" si="196"/>
        <v>4.14.01</v>
      </c>
      <c r="Y716" s="207" t="str">
        <f t="shared" si="197"/>
        <v>Bangunan Air Irigasi</v>
      </c>
      <c r="Z716" s="207">
        <f t="shared" si="198"/>
        <v>50</v>
      </c>
      <c r="AA716" s="233">
        <f t="shared" si="199"/>
        <v>7284238.3665773496</v>
      </c>
      <c r="AB716" s="208">
        <f t="shared" si="209"/>
        <v>2</v>
      </c>
      <c r="AC716" s="233">
        <f t="shared" si="200"/>
        <v>14568476.733154699</v>
      </c>
      <c r="AD716" s="233">
        <f t="shared" si="201"/>
        <v>7284238.3665773496</v>
      </c>
      <c r="AE716" s="233">
        <f t="shared" si="202"/>
        <v>7284238.3665773496</v>
      </c>
      <c r="AF716" s="233">
        <f t="shared" si="203"/>
        <v>7284238.3665773496</v>
      </c>
      <c r="AG716" s="233">
        <f t="shared" si="204"/>
        <v>7284238.3665773496</v>
      </c>
      <c r="AH716" s="238">
        <f t="shared" si="205"/>
        <v>7284238.3665773496</v>
      </c>
      <c r="AI716" s="238">
        <f t="shared" si="206"/>
        <v>50989668.566041447</v>
      </c>
      <c r="AJ716" s="261">
        <f t="shared" si="207"/>
        <v>2011</v>
      </c>
      <c r="AK716" s="233">
        <f t="shared" si="208"/>
        <v>313222259.76282603</v>
      </c>
    </row>
    <row r="717" spans="6:37" s="120" customFormat="1" ht="35.25" hidden="1" customHeight="1" x14ac:dyDescent="0.2">
      <c r="F717" s="218" t="s">
        <v>2306</v>
      </c>
      <c r="G717" s="130"/>
      <c r="H717" s="65" t="s">
        <v>1473</v>
      </c>
      <c r="I717" s="32"/>
      <c r="J717" s="67"/>
      <c r="K717" s="32" t="s">
        <v>835</v>
      </c>
      <c r="L717" s="362"/>
      <c r="M717" s="67"/>
      <c r="N717" s="362"/>
      <c r="O717" s="65" t="s">
        <v>3384</v>
      </c>
      <c r="P717" s="32">
        <v>2011</v>
      </c>
      <c r="Q717" s="67"/>
      <c r="R717" s="67"/>
      <c r="S717" s="67"/>
      <c r="T717" s="32" t="s">
        <v>12</v>
      </c>
      <c r="U717" s="252">
        <v>365047601.72667986</v>
      </c>
      <c r="V717" s="32" t="s">
        <v>43</v>
      </c>
      <c r="W717" s="132"/>
      <c r="X717" s="206" t="str">
        <f t="shared" si="196"/>
        <v>4.14.01</v>
      </c>
      <c r="Y717" s="207" t="str">
        <f t="shared" si="197"/>
        <v>Bangunan Air Irigasi</v>
      </c>
      <c r="Z717" s="207">
        <f t="shared" si="198"/>
        <v>50</v>
      </c>
      <c r="AA717" s="233">
        <f t="shared" si="199"/>
        <v>7300951.8345335973</v>
      </c>
      <c r="AB717" s="208">
        <f t="shared" si="209"/>
        <v>2</v>
      </c>
      <c r="AC717" s="233">
        <f t="shared" si="200"/>
        <v>14601903.669067195</v>
      </c>
      <c r="AD717" s="233">
        <f t="shared" si="201"/>
        <v>7300951.8345335973</v>
      </c>
      <c r="AE717" s="233">
        <f t="shared" si="202"/>
        <v>7300951.8345335973</v>
      </c>
      <c r="AF717" s="233">
        <f t="shared" si="203"/>
        <v>7300951.8345335973</v>
      </c>
      <c r="AG717" s="233">
        <f t="shared" si="204"/>
        <v>7300951.8345335973</v>
      </c>
      <c r="AH717" s="238">
        <f t="shared" si="205"/>
        <v>7300951.8345335973</v>
      </c>
      <c r="AI717" s="238">
        <f t="shared" si="206"/>
        <v>51106662.841735177</v>
      </c>
      <c r="AJ717" s="261">
        <f t="shared" si="207"/>
        <v>2011</v>
      </c>
      <c r="AK717" s="233">
        <f t="shared" si="208"/>
        <v>313940938.88494468</v>
      </c>
    </row>
    <row r="718" spans="6:37" s="120" customFormat="1" ht="35.25" hidden="1" customHeight="1" x14ac:dyDescent="0.2">
      <c r="F718" s="218" t="s">
        <v>2306</v>
      </c>
      <c r="G718" s="130"/>
      <c r="H718" s="65" t="s">
        <v>1474</v>
      </c>
      <c r="I718" s="32"/>
      <c r="J718" s="67"/>
      <c r="K718" s="32" t="s">
        <v>835</v>
      </c>
      <c r="L718" s="362"/>
      <c r="M718" s="67"/>
      <c r="N718" s="362"/>
      <c r="O718" s="65" t="s">
        <v>3385</v>
      </c>
      <c r="P718" s="32">
        <v>2011</v>
      </c>
      <c r="Q718" s="67"/>
      <c r="R718" s="67"/>
      <c r="S718" s="67"/>
      <c r="T718" s="32" t="s">
        <v>12</v>
      </c>
      <c r="U718" s="252">
        <v>620888795.27332008</v>
      </c>
      <c r="V718" s="32" t="s">
        <v>43</v>
      </c>
      <c r="W718" s="132"/>
      <c r="X718" s="206" t="str">
        <f t="shared" si="196"/>
        <v>4.14.01</v>
      </c>
      <c r="Y718" s="207" t="str">
        <f t="shared" si="197"/>
        <v>Bangunan Air Irigasi</v>
      </c>
      <c r="Z718" s="207">
        <f t="shared" si="198"/>
        <v>50</v>
      </c>
      <c r="AA718" s="233">
        <f t="shared" si="199"/>
        <v>12417775.705466401</v>
      </c>
      <c r="AB718" s="208">
        <f t="shared" si="209"/>
        <v>2</v>
      </c>
      <c r="AC718" s="233">
        <f t="shared" si="200"/>
        <v>24835551.410932802</v>
      </c>
      <c r="AD718" s="233">
        <f t="shared" si="201"/>
        <v>12417775.705466401</v>
      </c>
      <c r="AE718" s="233">
        <f t="shared" si="202"/>
        <v>12417775.705466401</v>
      </c>
      <c r="AF718" s="233">
        <f t="shared" si="203"/>
        <v>12417775.705466401</v>
      </c>
      <c r="AG718" s="233">
        <f t="shared" si="204"/>
        <v>12417775.705466401</v>
      </c>
      <c r="AH718" s="238">
        <f t="shared" si="205"/>
        <v>12417775.705466401</v>
      </c>
      <c r="AI718" s="238">
        <f t="shared" si="206"/>
        <v>86924429.938264817</v>
      </c>
      <c r="AJ718" s="261">
        <f t="shared" si="207"/>
        <v>2011</v>
      </c>
      <c r="AK718" s="233">
        <f t="shared" si="208"/>
        <v>533964365.33505523</v>
      </c>
    </row>
    <row r="719" spans="6:37" s="120" customFormat="1" ht="35.25" hidden="1" customHeight="1" x14ac:dyDescent="0.2">
      <c r="F719" s="218" t="s">
        <v>2306</v>
      </c>
      <c r="G719" s="130"/>
      <c r="H719" s="65" t="s">
        <v>1475</v>
      </c>
      <c r="I719" s="32"/>
      <c r="J719" s="67"/>
      <c r="K719" s="32" t="s">
        <v>835</v>
      </c>
      <c r="L719" s="362"/>
      <c r="M719" s="67"/>
      <c r="N719" s="362"/>
      <c r="O719" s="65" t="s">
        <v>3386</v>
      </c>
      <c r="P719" s="32">
        <v>2011</v>
      </c>
      <c r="Q719" s="67"/>
      <c r="R719" s="67"/>
      <c r="S719" s="67"/>
      <c r="T719" s="32" t="s">
        <v>12</v>
      </c>
      <c r="U719" s="252">
        <v>9859150</v>
      </c>
      <c r="V719" s="32" t="s">
        <v>43</v>
      </c>
      <c r="W719" s="132"/>
      <c r="X719" s="206" t="str">
        <f t="shared" si="196"/>
        <v>4.14.01</v>
      </c>
      <c r="Y719" s="207" t="str">
        <f t="shared" si="197"/>
        <v>Bangunan Air Irigasi</v>
      </c>
      <c r="Z719" s="207">
        <f t="shared" si="198"/>
        <v>50</v>
      </c>
      <c r="AA719" s="233">
        <f t="shared" si="199"/>
        <v>197182.8</v>
      </c>
      <c r="AB719" s="208">
        <f t="shared" si="209"/>
        <v>2</v>
      </c>
      <c r="AC719" s="233">
        <f t="shared" si="200"/>
        <v>394365.6</v>
      </c>
      <c r="AD719" s="233">
        <f t="shared" si="201"/>
        <v>197182.8</v>
      </c>
      <c r="AE719" s="233">
        <f t="shared" si="202"/>
        <v>197182.8</v>
      </c>
      <c r="AF719" s="233">
        <f t="shared" si="203"/>
        <v>197182.8</v>
      </c>
      <c r="AG719" s="233">
        <f t="shared" si="204"/>
        <v>197182.8</v>
      </c>
      <c r="AH719" s="238">
        <f t="shared" si="205"/>
        <v>197182.8</v>
      </c>
      <c r="AI719" s="238">
        <f t="shared" si="206"/>
        <v>1380279.6</v>
      </c>
      <c r="AJ719" s="261">
        <f t="shared" si="207"/>
        <v>2011</v>
      </c>
      <c r="AK719" s="233">
        <f t="shared" si="208"/>
        <v>8478870.4000000004</v>
      </c>
    </row>
    <row r="720" spans="6:37" s="120" customFormat="1" ht="35.25" hidden="1" customHeight="1" x14ac:dyDescent="0.2">
      <c r="F720" s="218" t="s">
        <v>2306</v>
      </c>
      <c r="G720" s="130"/>
      <c r="H720" s="65" t="s">
        <v>1476</v>
      </c>
      <c r="I720" s="32"/>
      <c r="J720" s="67"/>
      <c r="K720" s="32" t="s">
        <v>835</v>
      </c>
      <c r="L720" s="362"/>
      <c r="M720" s="67"/>
      <c r="N720" s="362"/>
      <c r="O720" s="65" t="s">
        <v>3387</v>
      </c>
      <c r="P720" s="32">
        <v>2011</v>
      </c>
      <c r="Q720" s="67"/>
      <c r="R720" s="67"/>
      <c r="S720" s="67"/>
      <c r="T720" s="32" t="s">
        <v>12</v>
      </c>
      <c r="U720" s="252">
        <v>16524015</v>
      </c>
      <c r="V720" s="32" t="s">
        <v>43</v>
      </c>
      <c r="W720" s="132"/>
      <c r="X720" s="206" t="str">
        <f t="shared" si="196"/>
        <v>4.14.01</v>
      </c>
      <c r="Y720" s="207" t="str">
        <f t="shared" si="197"/>
        <v>Bangunan Air Irigasi</v>
      </c>
      <c r="Z720" s="207">
        <f t="shared" si="198"/>
        <v>50</v>
      </c>
      <c r="AA720" s="233">
        <f t="shared" si="199"/>
        <v>330480.09999999998</v>
      </c>
      <c r="AB720" s="208">
        <f t="shared" si="209"/>
        <v>2</v>
      </c>
      <c r="AC720" s="233">
        <f t="shared" si="200"/>
        <v>660960.19999999995</v>
      </c>
      <c r="AD720" s="233">
        <f t="shared" si="201"/>
        <v>330480.09999999998</v>
      </c>
      <c r="AE720" s="233">
        <f t="shared" si="202"/>
        <v>330480.09999999998</v>
      </c>
      <c r="AF720" s="233">
        <f t="shared" si="203"/>
        <v>330480.09999999998</v>
      </c>
      <c r="AG720" s="233">
        <f t="shared" si="204"/>
        <v>330480.09999999998</v>
      </c>
      <c r="AH720" s="238">
        <f t="shared" si="205"/>
        <v>330480.09999999998</v>
      </c>
      <c r="AI720" s="238">
        <f t="shared" si="206"/>
        <v>2313360.7000000002</v>
      </c>
      <c r="AJ720" s="261">
        <f t="shared" si="207"/>
        <v>2011</v>
      </c>
      <c r="AK720" s="233">
        <f t="shared" si="208"/>
        <v>14210654.300000001</v>
      </c>
    </row>
    <row r="721" spans="6:37" s="120" customFormat="1" ht="35.25" hidden="1" customHeight="1" x14ac:dyDescent="0.2">
      <c r="F721" s="218" t="s">
        <v>2306</v>
      </c>
      <c r="G721" s="130"/>
      <c r="H721" s="65" t="s">
        <v>1477</v>
      </c>
      <c r="I721" s="32"/>
      <c r="J721" s="67"/>
      <c r="K721" s="32" t="s">
        <v>835</v>
      </c>
      <c r="L721" s="362"/>
      <c r="M721" s="67"/>
      <c r="N721" s="362"/>
      <c r="O721" s="65" t="s">
        <v>2588</v>
      </c>
      <c r="P721" s="32">
        <v>2011</v>
      </c>
      <c r="Q721" s="67"/>
      <c r="R721" s="67"/>
      <c r="S721" s="67"/>
      <c r="T721" s="32" t="s">
        <v>12</v>
      </c>
      <c r="U721" s="252">
        <v>39305670</v>
      </c>
      <c r="V721" s="32" t="s">
        <v>43</v>
      </c>
      <c r="W721" s="132"/>
      <c r="X721" s="206" t="str">
        <f t="shared" si="196"/>
        <v>4.14.01</v>
      </c>
      <c r="Y721" s="207" t="str">
        <f t="shared" si="197"/>
        <v>Bangunan Air Irigasi</v>
      </c>
      <c r="Z721" s="207">
        <f t="shared" si="198"/>
        <v>50</v>
      </c>
      <c r="AA721" s="233">
        <f t="shared" si="199"/>
        <v>786113.2</v>
      </c>
      <c r="AB721" s="208">
        <f t="shared" si="209"/>
        <v>2</v>
      </c>
      <c r="AC721" s="233">
        <f t="shared" si="200"/>
        <v>1572226.4</v>
      </c>
      <c r="AD721" s="233">
        <f t="shared" si="201"/>
        <v>786113.2</v>
      </c>
      <c r="AE721" s="233">
        <f t="shared" si="202"/>
        <v>786113.2</v>
      </c>
      <c r="AF721" s="233">
        <f t="shared" si="203"/>
        <v>786113.2</v>
      </c>
      <c r="AG721" s="233">
        <f t="shared" si="204"/>
        <v>786113.2</v>
      </c>
      <c r="AH721" s="238">
        <f t="shared" si="205"/>
        <v>786113.2</v>
      </c>
      <c r="AI721" s="238">
        <f t="shared" si="206"/>
        <v>5502792.4000000004</v>
      </c>
      <c r="AJ721" s="261">
        <f t="shared" si="207"/>
        <v>2011</v>
      </c>
      <c r="AK721" s="233">
        <f t="shared" si="208"/>
        <v>33802877.600000001</v>
      </c>
    </row>
    <row r="722" spans="6:37" s="120" customFormat="1" ht="35.25" hidden="1" customHeight="1" x14ac:dyDescent="0.2">
      <c r="F722" s="218" t="s">
        <v>2306</v>
      </c>
      <c r="G722" s="130"/>
      <c r="H722" s="128" t="s">
        <v>1478</v>
      </c>
      <c r="I722" s="32"/>
      <c r="J722" s="67"/>
      <c r="K722" s="32" t="s">
        <v>835</v>
      </c>
      <c r="L722" s="362"/>
      <c r="M722" s="67"/>
      <c r="N722" s="362"/>
      <c r="O722" s="65" t="s">
        <v>3388</v>
      </c>
      <c r="P722" s="32">
        <v>2011</v>
      </c>
      <c r="Q722" s="67"/>
      <c r="R722" s="67"/>
      <c r="S722" s="67"/>
      <c r="T722" s="32" t="s">
        <v>12</v>
      </c>
      <c r="U722" s="252">
        <v>132520350</v>
      </c>
      <c r="V722" s="32" t="s">
        <v>43</v>
      </c>
      <c r="W722" s="132"/>
      <c r="X722" s="206" t="str">
        <f t="shared" ref="X722:X753" si="210">F722</f>
        <v>4.14.01</v>
      </c>
      <c r="Y722" s="207" t="str">
        <f t="shared" si="197"/>
        <v>Bangunan Air Irigasi</v>
      </c>
      <c r="Z722" s="207">
        <f t="shared" si="198"/>
        <v>50</v>
      </c>
      <c r="AA722" s="233">
        <f t="shared" si="199"/>
        <v>2650406.7999999998</v>
      </c>
      <c r="AB722" s="208">
        <f t="shared" si="209"/>
        <v>2</v>
      </c>
      <c r="AC722" s="233">
        <f t="shared" si="200"/>
        <v>5300813.5999999996</v>
      </c>
      <c r="AD722" s="233">
        <f t="shared" si="201"/>
        <v>2650406.7999999998</v>
      </c>
      <c r="AE722" s="233">
        <f t="shared" si="202"/>
        <v>2650406.7999999998</v>
      </c>
      <c r="AF722" s="233">
        <f t="shared" si="203"/>
        <v>2650406.7999999998</v>
      </c>
      <c r="AG722" s="233">
        <f t="shared" si="204"/>
        <v>2650406.7999999998</v>
      </c>
      <c r="AH722" s="238">
        <f t="shared" si="205"/>
        <v>2650406.7999999998</v>
      </c>
      <c r="AI722" s="238">
        <f t="shared" si="206"/>
        <v>18552847.600000001</v>
      </c>
      <c r="AJ722" s="261">
        <f t="shared" si="207"/>
        <v>2011</v>
      </c>
      <c r="AK722" s="233">
        <f t="shared" si="208"/>
        <v>113967502.40000001</v>
      </c>
    </row>
    <row r="723" spans="6:37" s="120" customFormat="1" ht="35.25" hidden="1" customHeight="1" x14ac:dyDescent="0.2">
      <c r="F723" s="218" t="s">
        <v>2306</v>
      </c>
      <c r="G723" s="130"/>
      <c r="H723" s="128" t="s">
        <v>1479</v>
      </c>
      <c r="I723" s="32"/>
      <c r="J723" s="67"/>
      <c r="K723" s="32"/>
      <c r="L723" s="362"/>
      <c r="M723" s="67"/>
      <c r="N723" s="362"/>
      <c r="O723" s="65" t="s">
        <v>3389</v>
      </c>
      <c r="P723" s="32">
        <v>2012</v>
      </c>
      <c r="Q723" s="67"/>
      <c r="R723" s="67"/>
      <c r="S723" s="67"/>
      <c r="T723" s="32" t="s">
        <v>12</v>
      </c>
      <c r="U723" s="252">
        <v>431293227.73232901</v>
      </c>
      <c r="V723" s="32"/>
      <c r="W723" s="132"/>
      <c r="X723" s="206" t="str">
        <f t="shared" si="210"/>
        <v>4.14.01</v>
      </c>
      <c r="Y723" s="207" t="str">
        <f t="shared" si="197"/>
        <v>Bangunan Air Irigasi</v>
      </c>
      <c r="Z723" s="207">
        <f t="shared" si="198"/>
        <v>50</v>
      </c>
      <c r="AA723" s="233">
        <f t="shared" si="199"/>
        <v>8625864.3546465803</v>
      </c>
      <c r="AB723" s="208">
        <f t="shared" si="209"/>
        <v>1</v>
      </c>
      <c r="AC723" s="233">
        <f t="shared" si="200"/>
        <v>8625864.3546465803</v>
      </c>
      <c r="AD723" s="233">
        <f t="shared" si="201"/>
        <v>8625864.3546465803</v>
      </c>
      <c r="AE723" s="233">
        <f t="shared" si="202"/>
        <v>8625864.3546465803</v>
      </c>
      <c r="AF723" s="233">
        <f t="shared" si="203"/>
        <v>8625864.3546465803</v>
      </c>
      <c r="AG723" s="233">
        <f t="shared" si="204"/>
        <v>8625864.3546465803</v>
      </c>
      <c r="AH723" s="238">
        <f t="shared" si="205"/>
        <v>8625864.3546465803</v>
      </c>
      <c r="AI723" s="238">
        <f t="shared" si="206"/>
        <v>51755186.127879478</v>
      </c>
      <c r="AJ723" s="261">
        <f t="shared" si="207"/>
        <v>2012</v>
      </c>
      <c r="AK723" s="233">
        <f t="shared" si="208"/>
        <v>379538041.60444951</v>
      </c>
    </row>
    <row r="724" spans="6:37" s="120" customFormat="1" ht="35.25" hidden="1" customHeight="1" x14ac:dyDescent="0.2">
      <c r="F724" s="218" t="s">
        <v>2306</v>
      </c>
      <c r="G724" s="130"/>
      <c r="H724" s="128" t="s">
        <v>1480</v>
      </c>
      <c r="I724" s="32"/>
      <c r="J724" s="67"/>
      <c r="K724" s="32"/>
      <c r="L724" s="362"/>
      <c r="M724" s="67"/>
      <c r="N724" s="362"/>
      <c r="O724" s="65" t="s">
        <v>3390</v>
      </c>
      <c r="P724" s="32">
        <v>2012</v>
      </c>
      <c r="Q724" s="67"/>
      <c r="R724" s="67"/>
      <c r="S724" s="67"/>
      <c r="T724" s="32" t="s">
        <v>12</v>
      </c>
      <c r="U724" s="252">
        <v>274556745.46946824</v>
      </c>
      <c r="V724" s="32"/>
      <c r="W724" s="132"/>
      <c r="X724" s="206" t="str">
        <f t="shared" si="210"/>
        <v>4.14.01</v>
      </c>
      <c r="Y724" s="207" t="str">
        <f t="shared" si="197"/>
        <v>Bangunan Air Irigasi</v>
      </c>
      <c r="Z724" s="207">
        <f t="shared" si="198"/>
        <v>50</v>
      </c>
      <c r="AA724" s="233">
        <f t="shared" si="199"/>
        <v>5491134.7093893643</v>
      </c>
      <c r="AB724" s="208">
        <f t="shared" si="209"/>
        <v>1</v>
      </c>
      <c r="AC724" s="233">
        <f t="shared" si="200"/>
        <v>5491134.7093893643</v>
      </c>
      <c r="AD724" s="233">
        <f t="shared" si="201"/>
        <v>5491134.7093893643</v>
      </c>
      <c r="AE724" s="233">
        <f t="shared" si="202"/>
        <v>5491134.7093893643</v>
      </c>
      <c r="AF724" s="233">
        <f t="shared" si="203"/>
        <v>5491134.7093893643</v>
      </c>
      <c r="AG724" s="233">
        <f t="shared" si="204"/>
        <v>5491134.7093893643</v>
      </c>
      <c r="AH724" s="238">
        <f t="shared" si="205"/>
        <v>5491134.7093893643</v>
      </c>
      <c r="AI724" s="238">
        <f t="shared" si="206"/>
        <v>32946808.25633619</v>
      </c>
      <c r="AJ724" s="261">
        <f t="shared" si="207"/>
        <v>2012</v>
      </c>
      <c r="AK724" s="233">
        <f t="shared" si="208"/>
        <v>241609937.21313205</v>
      </c>
    </row>
    <row r="725" spans="6:37" s="120" customFormat="1" ht="35.25" hidden="1" customHeight="1" x14ac:dyDescent="0.2">
      <c r="F725" s="218" t="s">
        <v>2306</v>
      </c>
      <c r="G725" s="130"/>
      <c r="H725" s="128" t="s">
        <v>1481</v>
      </c>
      <c r="I725" s="32"/>
      <c r="J725" s="67"/>
      <c r="K725" s="32"/>
      <c r="L725" s="362"/>
      <c r="M725" s="67"/>
      <c r="N725" s="362"/>
      <c r="O725" s="65" t="s">
        <v>3391</v>
      </c>
      <c r="P725" s="32">
        <v>2012</v>
      </c>
      <c r="Q725" s="67"/>
      <c r="R725" s="67"/>
      <c r="S725" s="67"/>
      <c r="T725" s="32" t="s">
        <v>12</v>
      </c>
      <c r="U725" s="252">
        <v>387796432.0453642</v>
      </c>
      <c r="V725" s="32"/>
      <c r="W725" s="132"/>
      <c r="X725" s="206" t="str">
        <f t="shared" si="210"/>
        <v>4.14.01</v>
      </c>
      <c r="Y725" s="207" t="str">
        <f t="shared" si="197"/>
        <v>Bangunan Air Irigasi</v>
      </c>
      <c r="Z725" s="207">
        <f t="shared" si="198"/>
        <v>50</v>
      </c>
      <c r="AA725" s="233">
        <f t="shared" si="199"/>
        <v>7755928.4409072837</v>
      </c>
      <c r="AB725" s="208">
        <f t="shared" si="209"/>
        <v>1</v>
      </c>
      <c r="AC725" s="233">
        <f t="shared" si="200"/>
        <v>7755928.4409072837</v>
      </c>
      <c r="AD725" s="233">
        <f t="shared" si="201"/>
        <v>7755928.4409072837</v>
      </c>
      <c r="AE725" s="233">
        <f t="shared" si="202"/>
        <v>7755928.4409072837</v>
      </c>
      <c r="AF725" s="233">
        <f t="shared" si="203"/>
        <v>7755928.4409072837</v>
      </c>
      <c r="AG725" s="233">
        <f t="shared" si="204"/>
        <v>7755928.4409072837</v>
      </c>
      <c r="AH725" s="238">
        <f t="shared" si="205"/>
        <v>7755928.4409072837</v>
      </c>
      <c r="AI725" s="238">
        <f t="shared" si="206"/>
        <v>46535570.6454437</v>
      </c>
      <c r="AJ725" s="261">
        <f t="shared" si="207"/>
        <v>2012</v>
      </c>
      <c r="AK725" s="233">
        <f t="shared" si="208"/>
        <v>341260861.39992052</v>
      </c>
    </row>
    <row r="726" spans="6:37" s="120" customFormat="1" ht="35.25" hidden="1" customHeight="1" x14ac:dyDescent="0.2">
      <c r="F726" s="218" t="s">
        <v>2306</v>
      </c>
      <c r="G726" s="130"/>
      <c r="H726" s="128" t="s">
        <v>1482</v>
      </c>
      <c r="I726" s="32"/>
      <c r="J726" s="67"/>
      <c r="K726" s="32"/>
      <c r="L726" s="362"/>
      <c r="M726" s="67"/>
      <c r="N726" s="362"/>
      <c r="O726" s="65" t="s">
        <v>3392</v>
      </c>
      <c r="P726" s="32">
        <v>2012</v>
      </c>
      <c r="Q726" s="67"/>
      <c r="R726" s="67"/>
      <c r="S726" s="67"/>
      <c r="T726" s="32" t="s">
        <v>12</v>
      </c>
      <c r="U726" s="252">
        <v>90837130.90006797</v>
      </c>
      <c r="V726" s="32"/>
      <c r="W726" s="132"/>
      <c r="X726" s="206" t="str">
        <f t="shared" si="210"/>
        <v>4.14.01</v>
      </c>
      <c r="Y726" s="207" t="str">
        <f t="shared" si="197"/>
        <v>Bangunan Air Irigasi</v>
      </c>
      <c r="Z726" s="207">
        <f t="shared" si="198"/>
        <v>50</v>
      </c>
      <c r="AA726" s="233">
        <f t="shared" si="199"/>
        <v>1816742.4180013593</v>
      </c>
      <c r="AB726" s="208">
        <f t="shared" si="209"/>
        <v>1</v>
      </c>
      <c r="AC726" s="233">
        <f t="shared" si="200"/>
        <v>1816742.4180013593</v>
      </c>
      <c r="AD726" s="233">
        <f t="shared" si="201"/>
        <v>1816742.4180013593</v>
      </c>
      <c r="AE726" s="233">
        <f t="shared" si="202"/>
        <v>1816742.4180013593</v>
      </c>
      <c r="AF726" s="233">
        <f t="shared" si="203"/>
        <v>1816742.4180013593</v>
      </c>
      <c r="AG726" s="233">
        <f t="shared" si="204"/>
        <v>1816742.4180013593</v>
      </c>
      <c r="AH726" s="238">
        <f t="shared" si="205"/>
        <v>1816742.4180013593</v>
      </c>
      <c r="AI726" s="238">
        <f t="shared" si="206"/>
        <v>10900454.508008156</v>
      </c>
      <c r="AJ726" s="261">
        <f t="shared" si="207"/>
        <v>2012</v>
      </c>
      <c r="AK726" s="233">
        <f t="shared" si="208"/>
        <v>79936676.392059818</v>
      </c>
    </row>
    <row r="727" spans="6:37" s="120" customFormat="1" ht="35.25" hidden="1" customHeight="1" x14ac:dyDescent="0.2">
      <c r="F727" s="218" t="s">
        <v>2306</v>
      </c>
      <c r="G727" s="130"/>
      <c r="H727" s="128" t="s">
        <v>1483</v>
      </c>
      <c r="I727" s="32"/>
      <c r="J727" s="67"/>
      <c r="K727" s="32"/>
      <c r="L727" s="362"/>
      <c r="M727" s="67"/>
      <c r="N727" s="362"/>
      <c r="O727" s="65" t="s">
        <v>3393</v>
      </c>
      <c r="P727" s="32">
        <v>2012</v>
      </c>
      <c r="Q727" s="67"/>
      <c r="R727" s="67"/>
      <c r="S727" s="67"/>
      <c r="T727" s="32" t="s">
        <v>12</v>
      </c>
      <c r="U727" s="252">
        <v>100902046.8516902</v>
      </c>
      <c r="V727" s="32"/>
      <c r="W727" s="132"/>
      <c r="X727" s="206" t="str">
        <f t="shared" si="210"/>
        <v>4.14.01</v>
      </c>
      <c r="Y727" s="207" t="str">
        <f t="shared" si="197"/>
        <v>Bangunan Air Irigasi</v>
      </c>
      <c r="Z727" s="207">
        <f t="shared" si="198"/>
        <v>50</v>
      </c>
      <c r="AA727" s="233">
        <f t="shared" si="199"/>
        <v>2018040.7370338039</v>
      </c>
      <c r="AB727" s="208">
        <f t="shared" si="209"/>
        <v>1</v>
      </c>
      <c r="AC727" s="233">
        <f t="shared" si="200"/>
        <v>2018040.7370338039</v>
      </c>
      <c r="AD727" s="233">
        <f t="shared" si="201"/>
        <v>2018040.7370338039</v>
      </c>
      <c r="AE727" s="233">
        <f t="shared" si="202"/>
        <v>2018040.7370338039</v>
      </c>
      <c r="AF727" s="233">
        <f t="shared" si="203"/>
        <v>2018040.7370338039</v>
      </c>
      <c r="AG727" s="233">
        <f t="shared" si="204"/>
        <v>2018040.7370338039</v>
      </c>
      <c r="AH727" s="238">
        <f t="shared" si="205"/>
        <v>2018040.7370338039</v>
      </c>
      <c r="AI727" s="238">
        <f t="shared" si="206"/>
        <v>12108244.422202822</v>
      </c>
      <c r="AJ727" s="261">
        <f t="shared" si="207"/>
        <v>2012</v>
      </c>
      <c r="AK727" s="233">
        <f t="shared" si="208"/>
        <v>88793802.429487377</v>
      </c>
    </row>
    <row r="728" spans="6:37" s="120" customFormat="1" ht="35.25" hidden="1" customHeight="1" x14ac:dyDescent="0.2">
      <c r="F728" s="218" t="s">
        <v>2306</v>
      </c>
      <c r="G728" s="130"/>
      <c r="H728" s="128" t="s">
        <v>1484</v>
      </c>
      <c r="I728" s="32"/>
      <c r="J728" s="67"/>
      <c r="K728" s="32"/>
      <c r="L728" s="362"/>
      <c r="M728" s="67"/>
      <c r="N728" s="362"/>
      <c r="O728" s="65" t="s">
        <v>3385</v>
      </c>
      <c r="P728" s="32">
        <v>2012</v>
      </c>
      <c r="Q728" s="67"/>
      <c r="R728" s="67"/>
      <c r="S728" s="67"/>
      <c r="T728" s="32" t="s">
        <v>12</v>
      </c>
      <c r="U728" s="252">
        <v>462808554.4462983</v>
      </c>
      <c r="V728" s="32"/>
      <c r="W728" s="132"/>
      <c r="X728" s="206" t="str">
        <f t="shared" si="210"/>
        <v>4.14.01</v>
      </c>
      <c r="Y728" s="207" t="str">
        <f t="shared" si="197"/>
        <v>Bangunan Air Irigasi</v>
      </c>
      <c r="Z728" s="207">
        <f t="shared" si="198"/>
        <v>50</v>
      </c>
      <c r="AA728" s="233">
        <f t="shared" si="199"/>
        <v>9256170.8889259659</v>
      </c>
      <c r="AB728" s="208">
        <f t="shared" si="209"/>
        <v>1</v>
      </c>
      <c r="AC728" s="233">
        <f t="shared" si="200"/>
        <v>9256170.8889259659</v>
      </c>
      <c r="AD728" s="233">
        <f t="shared" si="201"/>
        <v>9256170.8889259659</v>
      </c>
      <c r="AE728" s="233">
        <f t="shared" si="202"/>
        <v>9256170.8889259659</v>
      </c>
      <c r="AF728" s="233">
        <f t="shared" si="203"/>
        <v>9256170.8889259659</v>
      </c>
      <c r="AG728" s="233">
        <f t="shared" si="204"/>
        <v>9256170.8889259659</v>
      </c>
      <c r="AH728" s="238">
        <f t="shared" si="205"/>
        <v>9256170.8889259659</v>
      </c>
      <c r="AI728" s="238">
        <f t="shared" si="206"/>
        <v>55537025.333555803</v>
      </c>
      <c r="AJ728" s="261">
        <f t="shared" si="207"/>
        <v>2012</v>
      </c>
      <c r="AK728" s="233">
        <f t="shared" si="208"/>
        <v>407271529.11274248</v>
      </c>
    </row>
    <row r="729" spans="6:37" s="120" customFormat="1" ht="35.25" hidden="1" customHeight="1" x14ac:dyDescent="0.2">
      <c r="F729" s="218" t="s">
        <v>2306</v>
      </c>
      <c r="G729" s="130"/>
      <c r="H729" s="128" t="s">
        <v>1485</v>
      </c>
      <c r="I729" s="32"/>
      <c r="J729" s="67"/>
      <c r="K729" s="32"/>
      <c r="L729" s="362"/>
      <c r="M729" s="67"/>
      <c r="N729" s="362"/>
      <c r="O729" s="65" t="s">
        <v>3394</v>
      </c>
      <c r="P729" s="32">
        <v>2012</v>
      </c>
      <c r="Q729" s="67"/>
      <c r="R729" s="67"/>
      <c r="S729" s="67"/>
      <c r="T729" s="32" t="s">
        <v>12</v>
      </c>
      <c r="U729" s="252">
        <v>303731994.89147037</v>
      </c>
      <c r="V729" s="32"/>
      <c r="W729" s="132"/>
      <c r="X729" s="206" t="str">
        <f t="shared" si="210"/>
        <v>4.14.01</v>
      </c>
      <c r="Y729" s="207" t="str">
        <f t="shared" si="197"/>
        <v>Bangunan Air Irigasi</v>
      </c>
      <c r="Z729" s="207">
        <f t="shared" si="198"/>
        <v>50</v>
      </c>
      <c r="AA729" s="233">
        <f t="shared" si="199"/>
        <v>6074639.6978294076</v>
      </c>
      <c r="AB729" s="208">
        <f t="shared" si="209"/>
        <v>1</v>
      </c>
      <c r="AC729" s="233">
        <f t="shared" si="200"/>
        <v>6074639.6978294076</v>
      </c>
      <c r="AD729" s="233">
        <f t="shared" si="201"/>
        <v>6074639.6978294076</v>
      </c>
      <c r="AE729" s="233">
        <f t="shared" si="202"/>
        <v>6074639.6978294076</v>
      </c>
      <c r="AF729" s="233">
        <f t="shared" si="203"/>
        <v>6074639.6978294076</v>
      </c>
      <c r="AG729" s="233">
        <f t="shared" si="204"/>
        <v>6074639.6978294076</v>
      </c>
      <c r="AH729" s="238">
        <f t="shared" si="205"/>
        <v>6074639.6978294076</v>
      </c>
      <c r="AI729" s="238">
        <f t="shared" si="206"/>
        <v>36447838.186976448</v>
      </c>
      <c r="AJ729" s="261">
        <f t="shared" si="207"/>
        <v>2012</v>
      </c>
      <c r="AK729" s="233">
        <f t="shared" si="208"/>
        <v>267284156.70449394</v>
      </c>
    </row>
    <row r="730" spans="6:37" s="120" customFormat="1" ht="35.25" hidden="1" customHeight="1" x14ac:dyDescent="0.2">
      <c r="F730" s="218" t="s">
        <v>2306</v>
      </c>
      <c r="G730" s="130"/>
      <c r="H730" s="67" t="s">
        <v>1486</v>
      </c>
      <c r="I730" s="32"/>
      <c r="J730" s="67"/>
      <c r="K730" s="32" t="s">
        <v>835</v>
      </c>
      <c r="L730" s="362"/>
      <c r="M730" s="67"/>
      <c r="N730" s="362"/>
      <c r="O730" s="65" t="s">
        <v>3395</v>
      </c>
      <c r="P730" s="32">
        <v>2013</v>
      </c>
      <c r="Q730" s="67"/>
      <c r="R730" s="67"/>
      <c r="S730" s="67"/>
      <c r="T730" s="32" t="s">
        <v>12</v>
      </c>
      <c r="U730" s="252">
        <v>311209754.13048106</v>
      </c>
      <c r="V730" s="32"/>
      <c r="W730" s="132"/>
      <c r="X730" s="206" t="str">
        <f t="shared" si="210"/>
        <v>4.14.01</v>
      </c>
      <c r="Y730" s="207" t="str">
        <f t="shared" si="197"/>
        <v>Bangunan Air Irigasi</v>
      </c>
      <c r="Z730" s="207">
        <f t="shared" si="198"/>
        <v>50</v>
      </c>
      <c r="AA730" s="233">
        <f t="shared" si="199"/>
        <v>6224194.8826096216</v>
      </c>
      <c r="AB730" s="208">
        <f t="shared" si="209"/>
        <v>0</v>
      </c>
      <c r="AC730" s="233">
        <f t="shared" si="200"/>
        <v>0</v>
      </c>
      <c r="AD730" s="233">
        <f t="shared" si="201"/>
        <v>6224194.8826096216</v>
      </c>
      <c r="AE730" s="233">
        <f t="shared" si="202"/>
        <v>6224194.8826096216</v>
      </c>
      <c r="AF730" s="233">
        <f t="shared" si="203"/>
        <v>6224194.8826096216</v>
      </c>
      <c r="AG730" s="233">
        <f t="shared" si="204"/>
        <v>6224194.8826096216</v>
      </c>
      <c r="AH730" s="238">
        <f t="shared" si="205"/>
        <v>6224194.8826096216</v>
      </c>
      <c r="AI730" s="238">
        <f t="shared" si="206"/>
        <v>31120974.413048107</v>
      </c>
      <c r="AJ730" s="261">
        <f t="shared" si="207"/>
        <v>2013</v>
      </c>
      <c r="AK730" s="233">
        <f t="shared" si="208"/>
        <v>280088779.71743298</v>
      </c>
    </row>
    <row r="731" spans="6:37" s="120" customFormat="1" ht="35.25" hidden="1" customHeight="1" x14ac:dyDescent="0.2">
      <c r="F731" s="218" t="s">
        <v>2306</v>
      </c>
      <c r="G731" s="130"/>
      <c r="H731" s="67" t="s">
        <v>1487</v>
      </c>
      <c r="I731" s="32"/>
      <c r="J731" s="67"/>
      <c r="K731" s="32" t="s">
        <v>835</v>
      </c>
      <c r="L731" s="362"/>
      <c r="M731" s="67"/>
      <c r="N731" s="362"/>
      <c r="O731" s="65" t="s">
        <v>3396</v>
      </c>
      <c r="P731" s="32">
        <v>2013</v>
      </c>
      <c r="Q731" s="67"/>
      <c r="R731" s="67"/>
      <c r="S731" s="67"/>
      <c r="T731" s="32" t="s">
        <v>12</v>
      </c>
      <c r="U731" s="252">
        <v>306191245.86951894</v>
      </c>
      <c r="V731" s="32"/>
      <c r="W731" s="132"/>
      <c r="X731" s="206" t="str">
        <f t="shared" si="210"/>
        <v>4.14.01</v>
      </c>
      <c r="Y731" s="207" t="str">
        <f t="shared" si="197"/>
        <v>Bangunan Air Irigasi</v>
      </c>
      <c r="Z731" s="207">
        <f t="shared" si="198"/>
        <v>50</v>
      </c>
      <c r="AA731" s="233">
        <f t="shared" si="199"/>
        <v>6123824.7173903789</v>
      </c>
      <c r="AB731" s="208">
        <f t="shared" si="209"/>
        <v>0</v>
      </c>
      <c r="AC731" s="233">
        <f t="shared" si="200"/>
        <v>0</v>
      </c>
      <c r="AD731" s="233">
        <f t="shared" si="201"/>
        <v>6123824.7173903789</v>
      </c>
      <c r="AE731" s="233">
        <f t="shared" si="202"/>
        <v>6123824.7173903789</v>
      </c>
      <c r="AF731" s="233">
        <f t="shared" si="203"/>
        <v>6123824.7173903789</v>
      </c>
      <c r="AG731" s="233">
        <f t="shared" si="204"/>
        <v>6123824.7173903789</v>
      </c>
      <c r="AH731" s="238">
        <f t="shared" si="205"/>
        <v>6123824.7173903789</v>
      </c>
      <c r="AI731" s="238">
        <f t="shared" si="206"/>
        <v>30619123.586951897</v>
      </c>
      <c r="AJ731" s="261">
        <f t="shared" si="207"/>
        <v>2013</v>
      </c>
      <c r="AK731" s="233">
        <f t="shared" si="208"/>
        <v>275572122.28256702</v>
      </c>
    </row>
    <row r="732" spans="6:37" s="120" customFormat="1" ht="35.25" hidden="1" customHeight="1" x14ac:dyDescent="0.2">
      <c r="F732" s="218" t="s">
        <v>2306</v>
      </c>
      <c r="G732" s="130"/>
      <c r="H732" s="67" t="s">
        <v>1488</v>
      </c>
      <c r="I732" s="32"/>
      <c r="J732" s="67"/>
      <c r="K732" s="32" t="s">
        <v>835</v>
      </c>
      <c r="L732" s="362"/>
      <c r="M732" s="67"/>
      <c r="N732" s="362"/>
      <c r="O732" s="65" t="s">
        <v>3397</v>
      </c>
      <c r="P732" s="32">
        <v>2013</v>
      </c>
      <c r="Q732" s="67"/>
      <c r="R732" s="67"/>
      <c r="S732" s="67"/>
      <c r="T732" s="32" t="s">
        <v>12</v>
      </c>
      <c r="U732" s="252">
        <f>280973000+147058998.813119</f>
        <v>428031998.81311899</v>
      </c>
      <c r="V732" s="32"/>
      <c r="W732" s="132"/>
      <c r="X732" s="206" t="str">
        <f t="shared" si="210"/>
        <v>4.14.01</v>
      </c>
      <c r="Y732" s="207" t="str">
        <f t="shared" si="197"/>
        <v>Bangunan Air Irigasi</v>
      </c>
      <c r="Z732" s="207">
        <f t="shared" si="198"/>
        <v>50</v>
      </c>
      <c r="AA732" s="233">
        <f t="shared" si="199"/>
        <v>8560639.7762623802</v>
      </c>
      <c r="AB732" s="208">
        <f t="shared" si="209"/>
        <v>0</v>
      </c>
      <c r="AC732" s="233">
        <f t="shared" si="200"/>
        <v>0</v>
      </c>
      <c r="AD732" s="233">
        <f t="shared" si="201"/>
        <v>8560639.7762623802</v>
      </c>
      <c r="AE732" s="233">
        <f t="shared" si="202"/>
        <v>8560639.7762623802</v>
      </c>
      <c r="AF732" s="233">
        <f t="shared" si="203"/>
        <v>8560639.7762623802</v>
      </c>
      <c r="AG732" s="233">
        <f t="shared" si="204"/>
        <v>8560639.7762623802</v>
      </c>
      <c r="AH732" s="238">
        <f t="shared" si="205"/>
        <v>8560639.7762623802</v>
      </c>
      <c r="AI732" s="238">
        <f t="shared" si="206"/>
        <v>42803198.881311901</v>
      </c>
      <c r="AJ732" s="261">
        <f t="shared" si="207"/>
        <v>2013</v>
      </c>
      <c r="AK732" s="233">
        <f t="shared" si="208"/>
        <v>385228799.9318071</v>
      </c>
    </row>
    <row r="733" spans="6:37" s="120" customFormat="1" ht="35.25" hidden="1" customHeight="1" x14ac:dyDescent="0.2">
      <c r="F733" s="218" t="s">
        <v>2306</v>
      </c>
      <c r="G733" s="130"/>
      <c r="H733" s="67" t="s">
        <v>1489</v>
      </c>
      <c r="I733" s="32"/>
      <c r="J733" s="67"/>
      <c r="K733" s="32" t="s">
        <v>835</v>
      </c>
      <c r="L733" s="362"/>
      <c r="M733" s="67"/>
      <c r="N733" s="362"/>
      <c r="O733" s="65" t="s">
        <v>3398</v>
      </c>
      <c r="P733" s="32">
        <v>2013</v>
      </c>
      <c r="Q733" s="67"/>
      <c r="R733" s="67"/>
      <c r="S733" s="67"/>
      <c r="T733" s="32" t="s">
        <v>12</v>
      </c>
      <c r="U733" s="252">
        <v>461923046.19</v>
      </c>
      <c r="V733" s="32"/>
      <c r="W733" s="132"/>
      <c r="X733" s="206" t="str">
        <f t="shared" si="210"/>
        <v>4.14.01</v>
      </c>
      <c r="Y733" s="207" t="str">
        <f t="shared" si="197"/>
        <v>Bangunan Air Irigasi</v>
      </c>
      <c r="Z733" s="207">
        <f t="shared" si="198"/>
        <v>50</v>
      </c>
      <c r="AA733" s="233">
        <f t="shared" si="199"/>
        <v>9238460.7237999998</v>
      </c>
      <c r="AB733" s="208">
        <f t="shared" si="209"/>
        <v>0</v>
      </c>
      <c r="AC733" s="233">
        <f t="shared" si="200"/>
        <v>0</v>
      </c>
      <c r="AD733" s="233">
        <f t="shared" si="201"/>
        <v>9238460.7237999998</v>
      </c>
      <c r="AE733" s="233">
        <f t="shared" si="202"/>
        <v>9238460.7237999998</v>
      </c>
      <c r="AF733" s="233">
        <f t="shared" si="203"/>
        <v>9238460.7237999998</v>
      </c>
      <c r="AG733" s="233">
        <f t="shared" si="204"/>
        <v>9238460.7237999998</v>
      </c>
      <c r="AH733" s="238">
        <f t="shared" si="205"/>
        <v>9238460.7237999998</v>
      </c>
      <c r="AI733" s="238">
        <f t="shared" si="206"/>
        <v>46192303.619000003</v>
      </c>
      <c r="AJ733" s="261">
        <f t="shared" si="207"/>
        <v>2013</v>
      </c>
      <c r="AK733" s="233">
        <f t="shared" si="208"/>
        <v>415730742.57099998</v>
      </c>
    </row>
    <row r="734" spans="6:37" s="120" customFormat="1" ht="35.25" hidden="1" customHeight="1" x14ac:dyDescent="0.2">
      <c r="F734" s="218" t="s">
        <v>2306</v>
      </c>
      <c r="G734" s="130"/>
      <c r="H734" s="67" t="s">
        <v>1490</v>
      </c>
      <c r="I734" s="32"/>
      <c r="J734" s="67"/>
      <c r="K734" s="32" t="s">
        <v>835</v>
      </c>
      <c r="L734" s="362"/>
      <c r="M734" s="67"/>
      <c r="N734" s="362"/>
      <c r="O734" s="65" t="s">
        <v>3399</v>
      </c>
      <c r="P734" s="32">
        <v>2013</v>
      </c>
      <c r="Q734" s="67"/>
      <c r="R734" s="67"/>
      <c r="S734" s="67"/>
      <c r="T734" s="32" t="s">
        <v>12</v>
      </c>
      <c r="U734" s="252">
        <v>364356538.12</v>
      </c>
      <c r="V734" s="32"/>
      <c r="W734" s="132"/>
      <c r="X734" s="206" t="str">
        <f t="shared" si="210"/>
        <v>4.14.01</v>
      </c>
      <c r="Y734" s="207" t="str">
        <f t="shared" si="197"/>
        <v>Bangunan Air Irigasi</v>
      </c>
      <c r="Z734" s="207">
        <f t="shared" si="198"/>
        <v>50</v>
      </c>
      <c r="AA734" s="233">
        <f t="shared" si="199"/>
        <v>7287130.5624000002</v>
      </c>
      <c r="AB734" s="208">
        <f t="shared" si="209"/>
        <v>0</v>
      </c>
      <c r="AC734" s="233">
        <f t="shared" si="200"/>
        <v>0</v>
      </c>
      <c r="AD734" s="233">
        <f t="shared" si="201"/>
        <v>7287130.5624000002</v>
      </c>
      <c r="AE734" s="233">
        <f t="shared" si="202"/>
        <v>7287130.5624000002</v>
      </c>
      <c r="AF734" s="233">
        <f t="shared" si="203"/>
        <v>7287130.5624000002</v>
      </c>
      <c r="AG734" s="233">
        <f t="shared" si="204"/>
        <v>7287130.5624000002</v>
      </c>
      <c r="AH734" s="238">
        <f t="shared" si="205"/>
        <v>7287130.5624000002</v>
      </c>
      <c r="AI734" s="238">
        <f t="shared" si="206"/>
        <v>36435652.811999999</v>
      </c>
      <c r="AJ734" s="261">
        <f t="shared" si="207"/>
        <v>2013</v>
      </c>
      <c r="AK734" s="233">
        <f t="shared" si="208"/>
        <v>327920885.30800003</v>
      </c>
    </row>
    <row r="735" spans="6:37" s="120" customFormat="1" ht="35.25" hidden="1" customHeight="1" x14ac:dyDescent="0.2">
      <c r="F735" s="218" t="s">
        <v>2306</v>
      </c>
      <c r="G735" s="130"/>
      <c r="H735" s="67" t="s">
        <v>1491</v>
      </c>
      <c r="I735" s="32"/>
      <c r="J735" s="67"/>
      <c r="K735" s="32" t="s">
        <v>835</v>
      </c>
      <c r="L735" s="362"/>
      <c r="M735" s="67"/>
      <c r="N735" s="362"/>
      <c r="O735" s="65" t="s">
        <v>3400</v>
      </c>
      <c r="P735" s="32">
        <v>2013</v>
      </c>
      <c r="Q735" s="67"/>
      <c r="R735" s="67"/>
      <c r="S735" s="67"/>
      <c r="T735" s="32" t="s">
        <v>12</v>
      </c>
      <c r="U735" s="252">
        <v>1203700390</v>
      </c>
      <c r="V735" s="32"/>
      <c r="W735" s="132"/>
      <c r="X735" s="206" t="str">
        <f t="shared" si="210"/>
        <v>4.14.01</v>
      </c>
      <c r="Y735" s="207" t="str">
        <f t="shared" si="197"/>
        <v>Bangunan Air Irigasi</v>
      </c>
      <c r="Z735" s="207">
        <f t="shared" si="198"/>
        <v>50</v>
      </c>
      <c r="AA735" s="233">
        <f t="shared" si="199"/>
        <v>24074007.600000001</v>
      </c>
      <c r="AB735" s="208">
        <f t="shared" si="209"/>
        <v>0</v>
      </c>
      <c r="AC735" s="233">
        <f t="shared" si="200"/>
        <v>0</v>
      </c>
      <c r="AD735" s="233">
        <f t="shared" si="201"/>
        <v>24074007.600000001</v>
      </c>
      <c r="AE735" s="233">
        <f t="shared" si="202"/>
        <v>24074007.600000001</v>
      </c>
      <c r="AF735" s="233">
        <f t="shared" si="203"/>
        <v>24074007.600000001</v>
      </c>
      <c r="AG735" s="233">
        <f t="shared" si="204"/>
        <v>24074007.600000001</v>
      </c>
      <c r="AH735" s="238">
        <f t="shared" si="205"/>
        <v>24074007.600000001</v>
      </c>
      <c r="AI735" s="238">
        <f t="shared" si="206"/>
        <v>120370038</v>
      </c>
      <c r="AJ735" s="261">
        <f t="shared" si="207"/>
        <v>2013</v>
      </c>
      <c r="AK735" s="233">
        <f t="shared" si="208"/>
        <v>1083330352</v>
      </c>
    </row>
    <row r="736" spans="6:37" s="120" customFormat="1" ht="35.25" hidden="1" customHeight="1" x14ac:dyDescent="0.2">
      <c r="F736" s="218" t="s">
        <v>2306</v>
      </c>
      <c r="G736" s="130"/>
      <c r="H736" s="67" t="s">
        <v>1492</v>
      </c>
      <c r="I736" s="32"/>
      <c r="J736" s="67"/>
      <c r="K736" s="32" t="s">
        <v>835</v>
      </c>
      <c r="L736" s="362"/>
      <c r="M736" s="67"/>
      <c r="N736" s="362"/>
      <c r="O736" s="65" t="s">
        <v>3401</v>
      </c>
      <c r="P736" s="32">
        <v>2013</v>
      </c>
      <c r="Q736" s="67"/>
      <c r="R736" s="67"/>
      <c r="S736" s="67"/>
      <c r="T736" s="32" t="s">
        <v>12</v>
      </c>
      <c r="U736" s="252">
        <v>199750000</v>
      </c>
      <c r="V736" s="32"/>
      <c r="W736" s="132"/>
      <c r="X736" s="206" t="str">
        <f t="shared" si="210"/>
        <v>4.14.01</v>
      </c>
      <c r="Y736" s="207" t="str">
        <f t="shared" si="197"/>
        <v>Bangunan Air Irigasi</v>
      </c>
      <c r="Z736" s="207">
        <f t="shared" si="198"/>
        <v>50</v>
      </c>
      <c r="AA736" s="233">
        <f t="shared" si="199"/>
        <v>3994999.8</v>
      </c>
      <c r="AB736" s="208">
        <f t="shared" si="209"/>
        <v>0</v>
      </c>
      <c r="AC736" s="233">
        <f t="shared" si="200"/>
        <v>0</v>
      </c>
      <c r="AD736" s="233">
        <f t="shared" si="201"/>
        <v>3994999.8</v>
      </c>
      <c r="AE736" s="233">
        <f t="shared" si="202"/>
        <v>3994999.8</v>
      </c>
      <c r="AF736" s="233">
        <f t="shared" si="203"/>
        <v>3994999.8</v>
      </c>
      <c r="AG736" s="233">
        <f t="shared" si="204"/>
        <v>3994999.8</v>
      </c>
      <c r="AH736" s="238">
        <f t="shared" si="205"/>
        <v>3994999.8</v>
      </c>
      <c r="AI736" s="238">
        <f t="shared" si="206"/>
        <v>19974999</v>
      </c>
      <c r="AJ736" s="261">
        <f t="shared" si="207"/>
        <v>2013</v>
      </c>
      <c r="AK736" s="233">
        <f t="shared" si="208"/>
        <v>179775001</v>
      </c>
    </row>
    <row r="737" spans="6:37" s="120" customFormat="1" ht="35.25" hidden="1" customHeight="1" x14ac:dyDescent="0.2">
      <c r="F737" s="218" t="s">
        <v>2306</v>
      </c>
      <c r="G737" s="130"/>
      <c r="H737" s="67" t="s">
        <v>1493</v>
      </c>
      <c r="I737" s="32"/>
      <c r="J737" s="67"/>
      <c r="K737" s="32" t="s">
        <v>835</v>
      </c>
      <c r="L737" s="362"/>
      <c r="M737" s="67"/>
      <c r="N737" s="362"/>
      <c r="O737" s="65" t="s">
        <v>3402</v>
      </c>
      <c r="P737" s="32">
        <v>2013</v>
      </c>
      <c r="Q737" s="67"/>
      <c r="R737" s="67"/>
      <c r="S737" s="67"/>
      <c r="T737" s="32" t="s">
        <v>12</v>
      </c>
      <c r="U737" s="252">
        <v>199750000</v>
      </c>
      <c r="V737" s="32"/>
      <c r="W737" s="132"/>
      <c r="X737" s="206" t="str">
        <f t="shared" si="210"/>
        <v>4.14.01</v>
      </c>
      <c r="Y737" s="207" t="str">
        <f t="shared" si="197"/>
        <v>Bangunan Air Irigasi</v>
      </c>
      <c r="Z737" s="207">
        <f t="shared" si="198"/>
        <v>50</v>
      </c>
      <c r="AA737" s="233">
        <f t="shared" si="199"/>
        <v>3994999.8</v>
      </c>
      <c r="AB737" s="208">
        <f t="shared" si="209"/>
        <v>0</v>
      </c>
      <c r="AC737" s="233">
        <f t="shared" si="200"/>
        <v>0</v>
      </c>
      <c r="AD737" s="233">
        <f t="shared" si="201"/>
        <v>3994999.8</v>
      </c>
      <c r="AE737" s="233">
        <f t="shared" si="202"/>
        <v>3994999.8</v>
      </c>
      <c r="AF737" s="233">
        <f t="shared" si="203"/>
        <v>3994999.8</v>
      </c>
      <c r="AG737" s="233">
        <f t="shared" si="204"/>
        <v>3994999.8</v>
      </c>
      <c r="AH737" s="238">
        <f t="shared" si="205"/>
        <v>3994999.8</v>
      </c>
      <c r="AI737" s="238">
        <f t="shared" si="206"/>
        <v>19974999</v>
      </c>
      <c r="AJ737" s="261">
        <f t="shared" si="207"/>
        <v>2013</v>
      </c>
      <c r="AK737" s="233">
        <f t="shared" si="208"/>
        <v>179775001</v>
      </c>
    </row>
    <row r="738" spans="6:37" s="120" customFormat="1" ht="35.25" hidden="1" customHeight="1" x14ac:dyDescent="0.2">
      <c r="F738" s="218" t="s">
        <v>2306</v>
      </c>
      <c r="G738" s="130"/>
      <c r="H738" s="67" t="s">
        <v>1494</v>
      </c>
      <c r="I738" s="32"/>
      <c r="J738" s="67"/>
      <c r="K738" s="32" t="s">
        <v>835</v>
      </c>
      <c r="L738" s="362"/>
      <c r="M738" s="67"/>
      <c r="N738" s="362"/>
      <c r="O738" s="65" t="s">
        <v>3403</v>
      </c>
      <c r="P738" s="32">
        <v>2013</v>
      </c>
      <c r="Q738" s="67"/>
      <c r="R738" s="67"/>
      <c r="S738" s="67"/>
      <c r="T738" s="32" t="s">
        <v>12</v>
      </c>
      <c r="U738" s="252">
        <v>99750000</v>
      </c>
      <c r="V738" s="32"/>
      <c r="W738" s="132"/>
      <c r="X738" s="206" t="str">
        <f t="shared" si="210"/>
        <v>4.14.01</v>
      </c>
      <c r="Y738" s="207" t="str">
        <f t="shared" si="197"/>
        <v>Bangunan Air Irigasi</v>
      </c>
      <c r="Z738" s="207">
        <f t="shared" si="198"/>
        <v>50</v>
      </c>
      <c r="AA738" s="233">
        <f t="shared" si="199"/>
        <v>1994999.8</v>
      </c>
      <c r="AB738" s="208">
        <f t="shared" si="209"/>
        <v>0</v>
      </c>
      <c r="AC738" s="233">
        <f t="shared" si="200"/>
        <v>0</v>
      </c>
      <c r="AD738" s="233">
        <f t="shared" si="201"/>
        <v>1994999.8</v>
      </c>
      <c r="AE738" s="233">
        <f t="shared" si="202"/>
        <v>1994999.8</v>
      </c>
      <c r="AF738" s="233">
        <f t="shared" si="203"/>
        <v>1994999.8</v>
      </c>
      <c r="AG738" s="233">
        <f t="shared" si="204"/>
        <v>1994999.8</v>
      </c>
      <c r="AH738" s="238">
        <f t="shared" si="205"/>
        <v>1994999.8</v>
      </c>
      <c r="AI738" s="238">
        <f t="shared" si="206"/>
        <v>9974999</v>
      </c>
      <c r="AJ738" s="261">
        <f t="shared" si="207"/>
        <v>2013</v>
      </c>
      <c r="AK738" s="233">
        <f t="shared" si="208"/>
        <v>89775001</v>
      </c>
    </row>
    <row r="739" spans="6:37" s="120" customFormat="1" ht="35.25" hidden="1" customHeight="1" x14ac:dyDescent="0.2">
      <c r="F739" s="218" t="s">
        <v>2306</v>
      </c>
      <c r="G739" s="130"/>
      <c r="H739" s="67" t="s">
        <v>1495</v>
      </c>
      <c r="I739" s="32"/>
      <c r="J739" s="67"/>
      <c r="K739" s="32" t="s">
        <v>835</v>
      </c>
      <c r="L739" s="362"/>
      <c r="M739" s="67"/>
      <c r="N739" s="362"/>
      <c r="O739" s="65" t="s">
        <v>3404</v>
      </c>
      <c r="P739" s="32">
        <v>2013</v>
      </c>
      <c r="Q739" s="67"/>
      <c r="R739" s="67"/>
      <c r="S739" s="67"/>
      <c r="T739" s="32" t="s">
        <v>12</v>
      </c>
      <c r="U739" s="252">
        <v>199870000</v>
      </c>
      <c r="V739" s="32"/>
      <c r="W739" s="132"/>
      <c r="X739" s="206" t="str">
        <f t="shared" si="210"/>
        <v>4.14.01</v>
      </c>
      <c r="Y739" s="207" t="str">
        <f t="shared" si="197"/>
        <v>Bangunan Air Irigasi</v>
      </c>
      <c r="Z739" s="207">
        <f t="shared" si="198"/>
        <v>50</v>
      </c>
      <c r="AA739" s="233">
        <f t="shared" si="199"/>
        <v>3997399.8</v>
      </c>
      <c r="AB739" s="208">
        <f t="shared" si="209"/>
        <v>0</v>
      </c>
      <c r="AC739" s="233">
        <f t="shared" si="200"/>
        <v>0</v>
      </c>
      <c r="AD739" s="233">
        <f t="shared" si="201"/>
        <v>3997399.8</v>
      </c>
      <c r="AE739" s="233">
        <f t="shared" si="202"/>
        <v>3997399.8</v>
      </c>
      <c r="AF739" s="233">
        <f t="shared" si="203"/>
        <v>3997399.8</v>
      </c>
      <c r="AG739" s="233">
        <f t="shared" si="204"/>
        <v>3997399.8</v>
      </c>
      <c r="AH739" s="238">
        <f t="shared" si="205"/>
        <v>3997399.8</v>
      </c>
      <c r="AI739" s="238">
        <f t="shared" si="206"/>
        <v>19986999</v>
      </c>
      <c r="AJ739" s="261">
        <f t="shared" si="207"/>
        <v>2013</v>
      </c>
      <c r="AK739" s="233">
        <f t="shared" si="208"/>
        <v>179883001</v>
      </c>
    </row>
    <row r="740" spans="6:37" s="120" customFormat="1" ht="35.25" hidden="1" customHeight="1" x14ac:dyDescent="0.2">
      <c r="F740" s="218" t="s">
        <v>2306</v>
      </c>
      <c r="G740" s="130"/>
      <c r="H740" s="67" t="s">
        <v>1496</v>
      </c>
      <c r="I740" s="32"/>
      <c r="J740" s="67"/>
      <c r="K740" s="32" t="s">
        <v>835</v>
      </c>
      <c r="L740" s="362"/>
      <c r="M740" s="67"/>
      <c r="N740" s="362"/>
      <c r="O740" s="65" t="s">
        <v>3190</v>
      </c>
      <c r="P740" s="32">
        <v>2013</v>
      </c>
      <c r="Q740" s="67"/>
      <c r="R740" s="67"/>
      <c r="S740" s="67"/>
      <c r="T740" s="32" t="s">
        <v>12</v>
      </c>
      <c r="U740" s="252">
        <v>199850000</v>
      </c>
      <c r="V740" s="32"/>
      <c r="W740" s="132"/>
      <c r="X740" s="206" t="str">
        <f t="shared" si="210"/>
        <v>4.14.01</v>
      </c>
      <c r="Y740" s="207" t="str">
        <f t="shared" si="197"/>
        <v>Bangunan Air Irigasi</v>
      </c>
      <c r="Z740" s="207">
        <f t="shared" si="198"/>
        <v>50</v>
      </c>
      <c r="AA740" s="233">
        <f t="shared" si="199"/>
        <v>3996999.8</v>
      </c>
      <c r="AB740" s="208">
        <f t="shared" si="209"/>
        <v>0</v>
      </c>
      <c r="AC740" s="233">
        <f t="shared" si="200"/>
        <v>0</v>
      </c>
      <c r="AD740" s="233">
        <f t="shared" si="201"/>
        <v>3996999.8</v>
      </c>
      <c r="AE740" s="233">
        <f t="shared" si="202"/>
        <v>3996999.8</v>
      </c>
      <c r="AF740" s="233">
        <f t="shared" si="203"/>
        <v>3996999.8</v>
      </c>
      <c r="AG740" s="233">
        <f t="shared" si="204"/>
        <v>3996999.8</v>
      </c>
      <c r="AH740" s="238">
        <f t="shared" si="205"/>
        <v>3996999.8</v>
      </c>
      <c r="AI740" s="238">
        <f t="shared" si="206"/>
        <v>19984999</v>
      </c>
      <c r="AJ740" s="261">
        <f t="shared" si="207"/>
        <v>2013</v>
      </c>
      <c r="AK740" s="233">
        <f t="shared" si="208"/>
        <v>179865001</v>
      </c>
    </row>
    <row r="741" spans="6:37" s="120" customFormat="1" ht="35.25" hidden="1" customHeight="1" x14ac:dyDescent="0.2">
      <c r="F741" s="218" t="s">
        <v>2306</v>
      </c>
      <c r="G741" s="130"/>
      <c r="H741" s="67" t="s">
        <v>1497</v>
      </c>
      <c r="I741" s="32"/>
      <c r="J741" s="67"/>
      <c r="K741" s="32" t="s">
        <v>835</v>
      </c>
      <c r="L741" s="362"/>
      <c r="M741" s="67"/>
      <c r="N741" s="362"/>
      <c r="O741" s="65" t="s">
        <v>3405</v>
      </c>
      <c r="P741" s="32">
        <v>2013</v>
      </c>
      <c r="Q741" s="67"/>
      <c r="R741" s="67"/>
      <c r="S741" s="67"/>
      <c r="T741" s="32" t="s">
        <v>12</v>
      </c>
      <c r="U741" s="252">
        <v>199875000</v>
      </c>
      <c r="V741" s="32"/>
      <c r="W741" s="132"/>
      <c r="X741" s="206" t="str">
        <f t="shared" si="210"/>
        <v>4.14.01</v>
      </c>
      <c r="Y741" s="207" t="str">
        <f t="shared" si="197"/>
        <v>Bangunan Air Irigasi</v>
      </c>
      <c r="Z741" s="207">
        <f t="shared" si="198"/>
        <v>50</v>
      </c>
      <c r="AA741" s="233">
        <f t="shared" si="199"/>
        <v>3997499.8</v>
      </c>
      <c r="AB741" s="208">
        <f t="shared" si="209"/>
        <v>0</v>
      </c>
      <c r="AC741" s="233">
        <f t="shared" si="200"/>
        <v>0</v>
      </c>
      <c r="AD741" s="233">
        <f t="shared" si="201"/>
        <v>3997499.8</v>
      </c>
      <c r="AE741" s="233">
        <f t="shared" si="202"/>
        <v>3997499.8</v>
      </c>
      <c r="AF741" s="233">
        <f t="shared" si="203"/>
        <v>3997499.8</v>
      </c>
      <c r="AG741" s="233">
        <f t="shared" si="204"/>
        <v>3997499.8</v>
      </c>
      <c r="AH741" s="238">
        <f t="shared" si="205"/>
        <v>3997499.8</v>
      </c>
      <c r="AI741" s="238">
        <f t="shared" si="206"/>
        <v>19987499</v>
      </c>
      <c r="AJ741" s="261">
        <f t="shared" si="207"/>
        <v>2013</v>
      </c>
      <c r="AK741" s="233">
        <f t="shared" si="208"/>
        <v>179887501</v>
      </c>
    </row>
    <row r="742" spans="6:37" s="120" customFormat="1" ht="35.25" hidden="1" customHeight="1" x14ac:dyDescent="0.2">
      <c r="F742" s="218" t="s">
        <v>2306</v>
      </c>
      <c r="G742" s="130"/>
      <c r="H742" s="67" t="s">
        <v>1498</v>
      </c>
      <c r="I742" s="32"/>
      <c r="J742" s="67"/>
      <c r="K742" s="32" t="s">
        <v>835</v>
      </c>
      <c r="L742" s="362"/>
      <c r="M742" s="67"/>
      <c r="N742" s="362"/>
      <c r="O742" s="65" t="s">
        <v>3406</v>
      </c>
      <c r="P742" s="32">
        <v>2013</v>
      </c>
      <c r="Q742" s="67"/>
      <c r="R742" s="67"/>
      <c r="S742" s="67"/>
      <c r="T742" s="32" t="s">
        <v>12</v>
      </c>
      <c r="U742" s="252">
        <v>124750000</v>
      </c>
      <c r="V742" s="32"/>
      <c r="W742" s="132"/>
      <c r="X742" s="206" t="str">
        <f t="shared" si="210"/>
        <v>4.14.01</v>
      </c>
      <c r="Y742" s="207" t="str">
        <f t="shared" si="197"/>
        <v>Bangunan Air Irigasi</v>
      </c>
      <c r="Z742" s="207">
        <f t="shared" si="198"/>
        <v>50</v>
      </c>
      <c r="AA742" s="233">
        <f t="shared" si="199"/>
        <v>2494999.7999999998</v>
      </c>
      <c r="AB742" s="208">
        <f t="shared" si="209"/>
        <v>0</v>
      </c>
      <c r="AC742" s="233">
        <f t="shared" si="200"/>
        <v>0</v>
      </c>
      <c r="AD742" s="233">
        <f t="shared" si="201"/>
        <v>2494999.7999999998</v>
      </c>
      <c r="AE742" s="233">
        <f t="shared" si="202"/>
        <v>2494999.7999999998</v>
      </c>
      <c r="AF742" s="233">
        <f t="shared" si="203"/>
        <v>2494999.7999999998</v>
      </c>
      <c r="AG742" s="233">
        <f t="shared" si="204"/>
        <v>2494999.7999999998</v>
      </c>
      <c r="AH742" s="238">
        <f t="shared" si="205"/>
        <v>2494999.7999999998</v>
      </c>
      <c r="AI742" s="238">
        <f t="shared" si="206"/>
        <v>12474999</v>
      </c>
      <c r="AJ742" s="261">
        <f t="shared" si="207"/>
        <v>2013</v>
      </c>
      <c r="AK742" s="233">
        <f t="shared" si="208"/>
        <v>112275001</v>
      </c>
    </row>
    <row r="743" spans="6:37" s="120" customFormat="1" ht="35.25" hidden="1" customHeight="1" x14ac:dyDescent="0.2">
      <c r="F743" s="218" t="s">
        <v>2306</v>
      </c>
      <c r="G743" s="130"/>
      <c r="H743" s="67" t="s">
        <v>1499</v>
      </c>
      <c r="I743" s="32"/>
      <c r="J743" s="67"/>
      <c r="K743" s="32" t="s">
        <v>835</v>
      </c>
      <c r="L743" s="362"/>
      <c r="M743" s="67"/>
      <c r="N743" s="362"/>
      <c r="O743" s="65" t="s">
        <v>3407</v>
      </c>
      <c r="P743" s="32">
        <v>2013</v>
      </c>
      <c r="Q743" s="67"/>
      <c r="R743" s="67"/>
      <c r="S743" s="67"/>
      <c r="T743" s="32" t="s">
        <v>12</v>
      </c>
      <c r="U743" s="252">
        <v>199750000</v>
      </c>
      <c r="V743" s="32"/>
      <c r="W743" s="132"/>
      <c r="X743" s="206" t="str">
        <f t="shared" si="210"/>
        <v>4.14.01</v>
      </c>
      <c r="Y743" s="207" t="str">
        <f t="shared" si="197"/>
        <v>Bangunan Air Irigasi</v>
      </c>
      <c r="Z743" s="207">
        <f t="shared" si="198"/>
        <v>50</v>
      </c>
      <c r="AA743" s="233">
        <f t="shared" si="199"/>
        <v>3994999.8</v>
      </c>
      <c r="AB743" s="208">
        <f t="shared" si="209"/>
        <v>0</v>
      </c>
      <c r="AC743" s="233">
        <f t="shared" si="200"/>
        <v>0</v>
      </c>
      <c r="AD743" s="233">
        <f t="shared" si="201"/>
        <v>3994999.8</v>
      </c>
      <c r="AE743" s="233">
        <f t="shared" si="202"/>
        <v>3994999.8</v>
      </c>
      <c r="AF743" s="233">
        <f t="shared" si="203"/>
        <v>3994999.8</v>
      </c>
      <c r="AG743" s="233">
        <f t="shared" si="204"/>
        <v>3994999.8</v>
      </c>
      <c r="AH743" s="238">
        <f t="shared" si="205"/>
        <v>3994999.8</v>
      </c>
      <c r="AI743" s="238">
        <f t="shared" si="206"/>
        <v>19974999</v>
      </c>
      <c r="AJ743" s="261">
        <f t="shared" si="207"/>
        <v>2013</v>
      </c>
      <c r="AK743" s="233">
        <f t="shared" si="208"/>
        <v>179775001</v>
      </c>
    </row>
    <row r="744" spans="6:37" s="120" customFormat="1" ht="35.25" hidden="1" customHeight="1" x14ac:dyDescent="0.2">
      <c r="F744" s="218" t="s">
        <v>2306</v>
      </c>
      <c r="G744" s="130"/>
      <c r="H744" s="67" t="s">
        <v>1500</v>
      </c>
      <c r="I744" s="32"/>
      <c r="J744" s="67"/>
      <c r="K744" s="32"/>
      <c r="L744" s="362"/>
      <c r="M744" s="67"/>
      <c r="N744" s="362"/>
      <c r="O744" s="72" t="s">
        <v>603</v>
      </c>
      <c r="P744" s="32">
        <v>2014</v>
      </c>
      <c r="Q744" s="67"/>
      <c r="R744" s="67"/>
      <c r="S744" s="67"/>
      <c r="T744" s="32" t="s">
        <v>12</v>
      </c>
      <c r="U744" s="252">
        <v>197739968</v>
      </c>
      <c r="V744" s="32"/>
      <c r="W744" s="132"/>
      <c r="X744" s="206" t="str">
        <f t="shared" si="210"/>
        <v>4.14.01</v>
      </c>
      <c r="Y744" s="207" t="str">
        <f t="shared" si="197"/>
        <v>Bangunan Air Irigasi</v>
      </c>
      <c r="Z744" s="207">
        <f t="shared" si="198"/>
        <v>50</v>
      </c>
      <c r="AA744" s="233">
        <f t="shared" si="199"/>
        <v>3954799.16</v>
      </c>
      <c r="AB744" s="208"/>
      <c r="AC744" s="233">
        <f t="shared" si="200"/>
        <v>0</v>
      </c>
      <c r="AD744" s="233">
        <f t="shared" si="201"/>
        <v>3954799.16</v>
      </c>
      <c r="AE744" s="233">
        <f t="shared" si="202"/>
        <v>3954799.16</v>
      </c>
      <c r="AF744" s="233">
        <f t="shared" si="203"/>
        <v>3954799.16</v>
      </c>
      <c r="AG744" s="233">
        <f t="shared" si="204"/>
        <v>3954799.16</v>
      </c>
      <c r="AH744" s="238">
        <f t="shared" si="205"/>
        <v>3954799.16</v>
      </c>
      <c r="AI744" s="238">
        <f t="shared" si="206"/>
        <v>19773995.800000001</v>
      </c>
      <c r="AJ744" s="261">
        <f t="shared" si="207"/>
        <v>2014</v>
      </c>
      <c r="AK744" s="233">
        <f t="shared" si="208"/>
        <v>177965972.19999999</v>
      </c>
    </row>
    <row r="745" spans="6:37" s="120" customFormat="1" ht="35.25" hidden="1" customHeight="1" x14ac:dyDescent="0.2">
      <c r="F745" s="218" t="s">
        <v>2306</v>
      </c>
      <c r="G745" s="130"/>
      <c r="H745" s="67" t="s">
        <v>1501</v>
      </c>
      <c r="I745" s="32"/>
      <c r="J745" s="67"/>
      <c r="K745" s="32"/>
      <c r="L745" s="362"/>
      <c r="M745" s="67"/>
      <c r="N745" s="362"/>
      <c r="O745" s="65" t="s">
        <v>3408</v>
      </c>
      <c r="P745" s="32">
        <v>2014</v>
      </c>
      <c r="Q745" s="67"/>
      <c r="R745" s="67"/>
      <c r="S745" s="67"/>
      <c r="T745" s="32" t="s">
        <v>12</v>
      </c>
      <c r="U745" s="252">
        <v>197918604</v>
      </c>
      <c r="V745" s="32"/>
      <c r="W745" s="132"/>
      <c r="X745" s="206" t="str">
        <f t="shared" si="210"/>
        <v>4.14.01</v>
      </c>
      <c r="Y745" s="207" t="str">
        <f t="shared" si="197"/>
        <v>Bangunan Air Irigasi</v>
      </c>
      <c r="Z745" s="207">
        <f t="shared" si="198"/>
        <v>50</v>
      </c>
      <c r="AA745" s="233">
        <f t="shared" si="199"/>
        <v>3958371.88</v>
      </c>
      <c r="AB745" s="208"/>
      <c r="AC745" s="233">
        <f t="shared" si="200"/>
        <v>0</v>
      </c>
      <c r="AD745" s="233">
        <f t="shared" si="201"/>
        <v>3958371.88</v>
      </c>
      <c r="AE745" s="233">
        <f t="shared" si="202"/>
        <v>3958371.88</v>
      </c>
      <c r="AF745" s="233">
        <f t="shared" si="203"/>
        <v>3958371.88</v>
      </c>
      <c r="AG745" s="233">
        <f t="shared" si="204"/>
        <v>3958371.88</v>
      </c>
      <c r="AH745" s="238">
        <f t="shared" si="205"/>
        <v>3958371.88</v>
      </c>
      <c r="AI745" s="238">
        <f t="shared" si="206"/>
        <v>19791859.399999999</v>
      </c>
      <c r="AJ745" s="261">
        <f t="shared" si="207"/>
        <v>2014</v>
      </c>
      <c r="AK745" s="233">
        <f t="shared" si="208"/>
        <v>178126744.59999999</v>
      </c>
    </row>
    <row r="746" spans="6:37" s="120" customFormat="1" ht="35.25" hidden="1" customHeight="1" x14ac:dyDescent="0.2">
      <c r="F746" s="218" t="s">
        <v>2306</v>
      </c>
      <c r="G746" s="130"/>
      <c r="H746" s="67" t="s">
        <v>1502</v>
      </c>
      <c r="I746" s="32"/>
      <c r="J746" s="67"/>
      <c r="K746" s="32"/>
      <c r="L746" s="362"/>
      <c r="M746" s="67"/>
      <c r="N746" s="362"/>
      <c r="O746" s="65" t="s">
        <v>3088</v>
      </c>
      <c r="P746" s="32">
        <v>2014</v>
      </c>
      <c r="Q746" s="67"/>
      <c r="R746" s="67"/>
      <c r="S746" s="67"/>
      <c r="T746" s="32" t="s">
        <v>12</v>
      </c>
      <c r="U746" s="252">
        <v>197925372</v>
      </c>
      <c r="V746" s="32"/>
      <c r="W746" s="132"/>
      <c r="X746" s="206" t="str">
        <f t="shared" si="210"/>
        <v>4.14.01</v>
      </c>
      <c r="Y746" s="207" t="str">
        <f t="shared" si="197"/>
        <v>Bangunan Air Irigasi</v>
      </c>
      <c r="Z746" s="207">
        <f t="shared" si="198"/>
        <v>50</v>
      </c>
      <c r="AA746" s="233">
        <f t="shared" si="199"/>
        <v>3958507.24</v>
      </c>
      <c r="AB746" s="208"/>
      <c r="AC746" s="233">
        <f t="shared" si="200"/>
        <v>0</v>
      </c>
      <c r="AD746" s="233">
        <f t="shared" si="201"/>
        <v>3958507.24</v>
      </c>
      <c r="AE746" s="233">
        <f t="shared" si="202"/>
        <v>3958507.24</v>
      </c>
      <c r="AF746" s="233">
        <f t="shared" si="203"/>
        <v>3958507.24</v>
      </c>
      <c r="AG746" s="233">
        <f t="shared" si="204"/>
        <v>3958507.24</v>
      </c>
      <c r="AH746" s="238">
        <f t="shared" si="205"/>
        <v>3958507.24</v>
      </c>
      <c r="AI746" s="238">
        <f t="shared" si="206"/>
        <v>19792536.200000003</v>
      </c>
      <c r="AJ746" s="261">
        <f t="shared" si="207"/>
        <v>2014</v>
      </c>
      <c r="AK746" s="233">
        <f t="shared" si="208"/>
        <v>178132835.80000001</v>
      </c>
    </row>
    <row r="747" spans="6:37" s="120" customFormat="1" ht="35.25" hidden="1" customHeight="1" x14ac:dyDescent="0.2">
      <c r="F747" s="218" t="s">
        <v>2306</v>
      </c>
      <c r="G747" s="130"/>
      <c r="H747" s="67" t="s">
        <v>1503</v>
      </c>
      <c r="I747" s="32"/>
      <c r="J747" s="67"/>
      <c r="K747" s="32"/>
      <c r="L747" s="362"/>
      <c r="M747" s="67"/>
      <c r="N747" s="362"/>
      <c r="O747" s="65" t="s">
        <v>3409</v>
      </c>
      <c r="P747" s="32">
        <v>2014</v>
      </c>
      <c r="Q747" s="67"/>
      <c r="R747" s="67"/>
      <c r="S747" s="67"/>
      <c r="T747" s="32" t="s">
        <v>12</v>
      </c>
      <c r="U747" s="252">
        <v>197626366</v>
      </c>
      <c r="V747" s="32"/>
      <c r="W747" s="132"/>
      <c r="X747" s="206" t="str">
        <f t="shared" si="210"/>
        <v>4.14.01</v>
      </c>
      <c r="Y747" s="207" t="str">
        <f t="shared" si="197"/>
        <v>Bangunan Air Irigasi</v>
      </c>
      <c r="Z747" s="207">
        <f t="shared" si="198"/>
        <v>50</v>
      </c>
      <c r="AA747" s="233">
        <f t="shared" si="199"/>
        <v>3952527.12</v>
      </c>
      <c r="AB747" s="208"/>
      <c r="AC747" s="233">
        <f t="shared" si="200"/>
        <v>0</v>
      </c>
      <c r="AD747" s="233">
        <f t="shared" si="201"/>
        <v>3952527.12</v>
      </c>
      <c r="AE747" s="233">
        <f t="shared" si="202"/>
        <v>3952527.12</v>
      </c>
      <c r="AF747" s="233">
        <f t="shared" si="203"/>
        <v>3952527.12</v>
      </c>
      <c r="AG747" s="233">
        <f t="shared" si="204"/>
        <v>3952527.12</v>
      </c>
      <c r="AH747" s="238">
        <f t="shared" si="205"/>
        <v>3952527.12</v>
      </c>
      <c r="AI747" s="238">
        <f t="shared" si="206"/>
        <v>19762635.600000001</v>
      </c>
      <c r="AJ747" s="261">
        <f t="shared" si="207"/>
        <v>2014</v>
      </c>
      <c r="AK747" s="233">
        <f t="shared" si="208"/>
        <v>177863730.40000001</v>
      </c>
    </row>
    <row r="748" spans="6:37" s="120" customFormat="1" ht="35.25" hidden="1" customHeight="1" x14ac:dyDescent="0.2">
      <c r="F748" s="218" t="s">
        <v>2306</v>
      </c>
      <c r="G748" s="130"/>
      <c r="H748" s="67" t="s">
        <v>1504</v>
      </c>
      <c r="I748" s="32"/>
      <c r="J748" s="67"/>
      <c r="K748" s="32"/>
      <c r="L748" s="362"/>
      <c r="M748" s="67"/>
      <c r="N748" s="362"/>
      <c r="O748" s="65" t="s">
        <v>3410</v>
      </c>
      <c r="P748" s="32">
        <v>2014</v>
      </c>
      <c r="Q748" s="67"/>
      <c r="R748" s="67"/>
      <c r="S748" s="67"/>
      <c r="T748" s="32" t="s">
        <v>12</v>
      </c>
      <c r="U748" s="252">
        <v>904050000</v>
      </c>
      <c r="V748" s="32"/>
      <c r="W748" s="132"/>
      <c r="X748" s="206" t="str">
        <f t="shared" si="210"/>
        <v>4.14.01</v>
      </c>
      <c r="Y748" s="207" t="str">
        <f t="shared" si="197"/>
        <v>Bangunan Air Irigasi</v>
      </c>
      <c r="Z748" s="207">
        <f t="shared" si="198"/>
        <v>50</v>
      </c>
      <c r="AA748" s="233">
        <f t="shared" si="199"/>
        <v>18080999.800000001</v>
      </c>
      <c r="AB748" s="208"/>
      <c r="AC748" s="233">
        <f t="shared" si="200"/>
        <v>0</v>
      </c>
      <c r="AD748" s="233">
        <f t="shared" si="201"/>
        <v>18080999.800000001</v>
      </c>
      <c r="AE748" s="233">
        <f t="shared" si="202"/>
        <v>18080999.800000001</v>
      </c>
      <c r="AF748" s="233">
        <f t="shared" si="203"/>
        <v>18080999.800000001</v>
      </c>
      <c r="AG748" s="233">
        <f t="shared" si="204"/>
        <v>18080999.800000001</v>
      </c>
      <c r="AH748" s="238">
        <f t="shared" si="205"/>
        <v>18080999.800000001</v>
      </c>
      <c r="AI748" s="238">
        <f t="shared" si="206"/>
        <v>90404999</v>
      </c>
      <c r="AJ748" s="261">
        <f t="shared" si="207"/>
        <v>2014</v>
      </c>
      <c r="AK748" s="233">
        <f t="shared" si="208"/>
        <v>813645001</v>
      </c>
    </row>
    <row r="749" spans="6:37" s="120" customFormat="1" ht="35.25" hidden="1" customHeight="1" x14ac:dyDescent="0.2">
      <c r="F749" s="218" t="s">
        <v>2306</v>
      </c>
      <c r="G749" s="130"/>
      <c r="H749" s="67" t="s">
        <v>1505</v>
      </c>
      <c r="I749" s="32"/>
      <c r="J749" s="67"/>
      <c r="K749" s="32"/>
      <c r="L749" s="362"/>
      <c r="M749" s="67"/>
      <c r="N749" s="362"/>
      <c r="O749" s="65" t="s">
        <v>3411</v>
      </c>
      <c r="P749" s="32">
        <v>2014</v>
      </c>
      <c r="Q749" s="67"/>
      <c r="R749" s="67"/>
      <c r="S749" s="67"/>
      <c r="T749" s="32" t="s">
        <v>12</v>
      </c>
      <c r="U749" s="252">
        <v>173287568.5703457</v>
      </c>
      <c r="V749" s="32"/>
      <c r="W749" s="132"/>
      <c r="X749" s="206" t="str">
        <f t="shared" si="210"/>
        <v>4.14.01</v>
      </c>
      <c r="Y749" s="207" t="str">
        <f t="shared" si="197"/>
        <v>Bangunan Air Irigasi</v>
      </c>
      <c r="Z749" s="207">
        <f t="shared" si="198"/>
        <v>50</v>
      </c>
      <c r="AA749" s="233">
        <f t="shared" si="199"/>
        <v>3465751.171406914</v>
      </c>
      <c r="AB749" s="208"/>
      <c r="AC749" s="233">
        <f t="shared" si="200"/>
        <v>0</v>
      </c>
      <c r="AD749" s="233">
        <f t="shared" si="201"/>
        <v>3465751.171406914</v>
      </c>
      <c r="AE749" s="233">
        <f t="shared" si="202"/>
        <v>3465751.171406914</v>
      </c>
      <c r="AF749" s="233">
        <f t="shared" si="203"/>
        <v>3465751.171406914</v>
      </c>
      <c r="AG749" s="233">
        <f t="shared" si="204"/>
        <v>3465751.171406914</v>
      </c>
      <c r="AH749" s="238">
        <f t="shared" si="205"/>
        <v>3465751.171406914</v>
      </c>
      <c r="AI749" s="238">
        <f t="shared" si="206"/>
        <v>17328755.857034571</v>
      </c>
      <c r="AJ749" s="261">
        <f t="shared" si="207"/>
        <v>2014</v>
      </c>
      <c r="AK749" s="233">
        <f t="shared" si="208"/>
        <v>155958812.71331114</v>
      </c>
    </row>
    <row r="750" spans="6:37" s="120" customFormat="1" ht="35.25" hidden="1" customHeight="1" x14ac:dyDescent="0.2">
      <c r="F750" s="218" t="s">
        <v>2306</v>
      </c>
      <c r="G750" s="130"/>
      <c r="H750" s="67" t="s">
        <v>1506</v>
      </c>
      <c r="I750" s="32"/>
      <c r="J750" s="67"/>
      <c r="K750" s="32"/>
      <c r="L750" s="362"/>
      <c r="M750" s="67"/>
      <c r="N750" s="362"/>
      <c r="O750" s="65" t="s">
        <v>3412</v>
      </c>
      <c r="P750" s="32">
        <v>2014</v>
      </c>
      <c r="Q750" s="67"/>
      <c r="R750" s="67"/>
      <c r="S750" s="67"/>
      <c r="T750" s="32" t="s">
        <v>12</v>
      </c>
      <c r="U750" s="252">
        <v>194364451.48156792</v>
      </c>
      <c r="V750" s="32"/>
      <c r="W750" s="132"/>
      <c r="X750" s="206" t="str">
        <f t="shared" si="210"/>
        <v>4.14.01</v>
      </c>
      <c r="Y750" s="207" t="str">
        <f t="shared" si="197"/>
        <v>Bangunan Air Irigasi</v>
      </c>
      <c r="Z750" s="207">
        <f t="shared" si="198"/>
        <v>50</v>
      </c>
      <c r="AA750" s="233">
        <f t="shared" si="199"/>
        <v>3887288.8296313584</v>
      </c>
      <c r="AB750" s="208"/>
      <c r="AC750" s="233">
        <f t="shared" si="200"/>
        <v>0</v>
      </c>
      <c r="AD750" s="233">
        <f t="shared" si="201"/>
        <v>3887288.8296313584</v>
      </c>
      <c r="AE750" s="233">
        <f t="shared" si="202"/>
        <v>3887288.8296313584</v>
      </c>
      <c r="AF750" s="233">
        <f t="shared" si="203"/>
        <v>3887288.8296313584</v>
      </c>
      <c r="AG750" s="233">
        <f t="shared" si="204"/>
        <v>3887288.8296313584</v>
      </c>
      <c r="AH750" s="238">
        <f t="shared" si="205"/>
        <v>3887288.8296313584</v>
      </c>
      <c r="AI750" s="238">
        <f t="shared" si="206"/>
        <v>19436444.148156792</v>
      </c>
      <c r="AJ750" s="261">
        <f t="shared" si="207"/>
        <v>2014</v>
      </c>
      <c r="AK750" s="233">
        <f t="shared" si="208"/>
        <v>174928007.33341113</v>
      </c>
    </row>
    <row r="751" spans="6:37" s="120" customFormat="1" ht="35.25" hidden="1" customHeight="1" x14ac:dyDescent="0.2">
      <c r="F751" s="218" t="s">
        <v>2306</v>
      </c>
      <c r="G751" s="130"/>
      <c r="H751" s="67" t="s">
        <v>1507</v>
      </c>
      <c r="I751" s="32"/>
      <c r="J751" s="67"/>
      <c r="K751" s="32"/>
      <c r="L751" s="362"/>
      <c r="M751" s="67"/>
      <c r="N751" s="362"/>
      <c r="O751" s="65" t="s">
        <v>3413</v>
      </c>
      <c r="P751" s="32">
        <v>2014</v>
      </c>
      <c r="Q751" s="67"/>
      <c r="R751" s="67"/>
      <c r="S751" s="67"/>
      <c r="T751" s="32" t="s">
        <v>12</v>
      </c>
      <c r="U751" s="252">
        <v>194266334.13678473</v>
      </c>
      <c r="V751" s="32"/>
      <c r="W751" s="132"/>
      <c r="X751" s="206" t="str">
        <f t="shared" si="210"/>
        <v>4.14.01</v>
      </c>
      <c r="Y751" s="207" t="str">
        <f t="shared" si="197"/>
        <v>Bangunan Air Irigasi</v>
      </c>
      <c r="Z751" s="207">
        <f t="shared" si="198"/>
        <v>50</v>
      </c>
      <c r="AA751" s="233">
        <f t="shared" si="199"/>
        <v>3885326.4827356949</v>
      </c>
      <c r="AB751" s="208"/>
      <c r="AC751" s="233">
        <f t="shared" si="200"/>
        <v>0</v>
      </c>
      <c r="AD751" s="233">
        <f t="shared" si="201"/>
        <v>3885326.4827356949</v>
      </c>
      <c r="AE751" s="233">
        <f t="shared" si="202"/>
        <v>3885326.4827356949</v>
      </c>
      <c r="AF751" s="233">
        <f t="shared" si="203"/>
        <v>3885326.4827356949</v>
      </c>
      <c r="AG751" s="233">
        <f t="shared" si="204"/>
        <v>3885326.4827356949</v>
      </c>
      <c r="AH751" s="238">
        <f t="shared" si="205"/>
        <v>3885326.4827356949</v>
      </c>
      <c r="AI751" s="238">
        <f t="shared" si="206"/>
        <v>19426632.413678475</v>
      </c>
      <c r="AJ751" s="261">
        <f t="shared" si="207"/>
        <v>2014</v>
      </c>
      <c r="AK751" s="233">
        <f t="shared" si="208"/>
        <v>174839701.72310627</v>
      </c>
    </row>
    <row r="752" spans="6:37" s="120" customFormat="1" ht="35.25" hidden="1" customHeight="1" x14ac:dyDescent="0.2">
      <c r="F752" s="218" t="s">
        <v>2306</v>
      </c>
      <c r="G752" s="130"/>
      <c r="H752" s="67" t="s">
        <v>1508</v>
      </c>
      <c r="I752" s="32"/>
      <c r="J752" s="67"/>
      <c r="K752" s="32"/>
      <c r="L752" s="362"/>
      <c r="M752" s="67"/>
      <c r="N752" s="362"/>
      <c r="O752" s="65" t="s">
        <v>3090</v>
      </c>
      <c r="P752" s="32">
        <v>2014</v>
      </c>
      <c r="Q752" s="67"/>
      <c r="R752" s="67"/>
      <c r="S752" s="67"/>
      <c r="T752" s="32" t="s">
        <v>12</v>
      </c>
      <c r="U752" s="252">
        <v>194205094.58212945</v>
      </c>
      <c r="V752" s="32"/>
      <c r="W752" s="132"/>
      <c r="X752" s="206" t="str">
        <f t="shared" si="210"/>
        <v>4.14.01</v>
      </c>
      <c r="Y752" s="207" t="str">
        <f t="shared" si="197"/>
        <v>Bangunan Air Irigasi</v>
      </c>
      <c r="Z752" s="207">
        <f t="shared" si="198"/>
        <v>50</v>
      </c>
      <c r="AA752" s="233">
        <f t="shared" si="199"/>
        <v>3884101.6916425889</v>
      </c>
      <c r="AB752" s="208"/>
      <c r="AC752" s="233">
        <f t="shared" si="200"/>
        <v>0</v>
      </c>
      <c r="AD752" s="233">
        <f t="shared" si="201"/>
        <v>3884101.6916425889</v>
      </c>
      <c r="AE752" s="233">
        <f t="shared" si="202"/>
        <v>3884101.6916425889</v>
      </c>
      <c r="AF752" s="233">
        <f t="shared" si="203"/>
        <v>3884101.6916425889</v>
      </c>
      <c r="AG752" s="233">
        <f t="shared" si="204"/>
        <v>3884101.6916425889</v>
      </c>
      <c r="AH752" s="238">
        <f t="shared" si="205"/>
        <v>3884101.6916425889</v>
      </c>
      <c r="AI752" s="238">
        <f t="shared" si="206"/>
        <v>19420508.458212946</v>
      </c>
      <c r="AJ752" s="261">
        <f t="shared" si="207"/>
        <v>2014</v>
      </c>
      <c r="AK752" s="233">
        <f t="shared" si="208"/>
        <v>174784586.12391651</v>
      </c>
    </row>
    <row r="753" spans="6:37" s="120" customFormat="1" ht="35.25" hidden="1" customHeight="1" x14ac:dyDescent="0.2">
      <c r="F753" s="218" t="s">
        <v>2306</v>
      </c>
      <c r="G753" s="130"/>
      <c r="H753" s="67" t="s">
        <v>1509</v>
      </c>
      <c r="I753" s="32"/>
      <c r="J753" s="67"/>
      <c r="K753" s="32"/>
      <c r="L753" s="362"/>
      <c r="M753" s="67"/>
      <c r="N753" s="362"/>
      <c r="O753" s="65" t="s">
        <v>3414</v>
      </c>
      <c r="P753" s="32">
        <v>2014</v>
      </c>
      <c r="Q753" s="67"/>
      <c r="R753" s="67"/>
      <c r="S753" s="67"/>
      <c r="T753" s="32" t="s">
        <v>12</v>
      </c>
      <c r="U753" s="252">
        <v>186951267.2291722</v>
      </c>
      <c r="V753" s="32"/>
      <c r="W753" s="132"/>
      <c r="X753" s="206" t="str">
        <f t="shared" si="210"/>
        <v>4.14.01</v>
      </c>
      <c r="Y753" s="207" t="str">
        <f t="shared" si="197"/>
        <v>Bangunan Air Irigasi</v>
      </c>
      <c r="Z753" s="207">
        <f t="shared" si="198"/>
        <v>50</v>
      </c>
      <c r="AA753" s="233">
        <f t="shared" si="199"/>
        <v>3739025.1445834441</v>
      </c>
      <c r="AB753" s="208"/>
      <c r="AC753" s="233">
        <f t="shared" si="200"/>
        <v>0</v>
      </c>
      <c r="AD753" s="233">
        <f t="shared" si="201"/>
        <v>3739025.1445834441</v>
      </c>
      <c r="AE753" s="233">
        <f t="shared" si="202"/>
        <v>3739025.1445834441</v>
      </c>
      <c r="AF753" s="233">
        <f t="shared" si="203"/>
        <v>3739025.1445834441</v>
      </c>
      <c r="AG753" s="233">
        <f t="shared" si="204"/>
        <v>3739025.1445834441</v>
      </c>
      <c r="AH753" s="238">
        <f t="shared" si="205"/>
        <v>3739025.1445834441</v>
      </c>
      <c r="AI753" s="238">
        <f t="shared" si="206"/>
        <v>18695125.722917221</v>
      </c>
      <c r="AJ753" s="261">
        <f t="shared" si="207"/>
        <v>2014</v>
      </c>
      <c r="AK753" s="233">
        <f t="shared" si="208"/>
        <v>168256141.50625497</v>
      </c>
    </row>
    <row r="754" spans="6:37" s="120" customFormat="1" ht="35.25" hidden="1" customHeight="1" x14ac:dyDescent="0.2">
      <c r="F754" s="218" t="s">
        <v>2306</v>
      </c>
      <c r="G754" s="130"/>
      <c r="H754" s="67" t="s">
        <v>1510</v>
      </c>
      <c r="I754" s="32"/>
      <c r="J754" s="67"/>
      <c r="K754" s="32"/>
      <c r="L754" s="362"/>
      <c r="M754" s="67"/>
      <c r="N754" s="362"/>
      <c r="O754" s="65" t="s">
        <v>3415</v>
      </c>
      <c r="P754" s="32">
        <v>2014</v>
      </c>
      <c r="Q754" s="67"/>
      <c r="R754" s="67"/>
      <c r="S754" s="67"/>
      <c r="T754" s="32" t="s">
        <v>12</v>
      </c>
      <c r="U754" s="252">
        <v>1101649000</v>
      </c>
      <c r="V754" s="32"/>
      <c r="W754" s="132"/>
      <c r="X754" s="206" t="str">
        <f t="shared" ref="X754:X785" si="211">F754</f>
        <v>4.14.01</v>
      </c>
      <c r="Y754" s="207" t="str">
        <f t="shared" ref="Y754:Y817" si="212">VLOOKUP(X754,kelompok,2,0)</f>
        <v>Bangunan Air Irigasi</v>
      </c>
      <c r="Z754" s="207">
        <f t="shared" ref="Z754:Z817" si="213">VLOOKUP(X754,MASAMANFAAT,4,0)</f>
        <v>50</v>
      </c>
      <c r="AA754" s="233">
        <f t="shared" ref="AA754:AA817" si="214">(U754-10)/Z754</f>
        <v>22032979.800000001</v>
      </c>
      <c r="AB754" s="208"/>
      <c r="AC754" s="233">
        <f t="shared" ref="AC754:AC817" si="215">IF(AB754&gt;Z754,U754-10,AA754*AB754)</f>
        <v>0</v>
      </c>
      <c r="AD754" s="233">
        <f t="shared" ref="AD754:AD787" si="216">IF(U754-10=AC754,0,AA754)</f>
        <v>22032979.800000001</v>
      </c>
      <c r="AE754" s="233">
        <f t="shared" ref="AE754:AE817" si="217">IF(U754-10=AC754+AD754,0,AA754)</f>
        <v>22032979.800000001</v>
      </c>
      <c r="AF754" s="233">
        <f t="shared" ref="AF754:AF817" si="218">IF(U754-10=AC754+AD754+AE754,0,AA754)</f>
        <v>22032979.800000001</v>
      </c>
      <c r="AG754" s="233">
        <f t="shared" ref="AG754:AG817" si="219">IF(U754-10=AD754+AE754+AF754+AC754,0,AA754)</f>
        <v>22032979.800000001</v>
      </c>
      <c r="AH754" s="238">
        <f t="shared" ref="AH754:AH817" si="220">IF(U754-10=AD754+AE754+AF754+AC754+AG754,0,AA754)</f>
        <v>22032979.800000001</v>
      </c>
      <c r="AI754" s="238">
        <f t="shared" ref="AI754:AI817" si="221">SUM(AC754:AH754)</f>
        <v>110164899</v>
      </c>
      <c r="AJ754" s="261">
        <f t="shared" ref="AJ754:AJ817" si="222">P754</f>
        <v>2014</v>
      </c>
      <c r="AK754" s="233">
        <f t="shared" ref="AK754:AK817" si="223">U754-AI754</f>
        <v>991484101</v>
      </c>
    </row>
    <row r="755" spans="6:37" s="120" customFormat="1" ht="35.25" hidden="1" customHeight="1" x14ac:dyDescent="0.2">
      <c r="F755" s="218" t="s">
        <v>2306</v>
      </c>
      <c r="G755" s="130"/>
      <c r="H755" s="67" t="s">
        <v>1511</v>
      </c>
      <c r="I755" s="32"/>
      <c r="J755" s="67"/>
      <c r="K755" s="32"/>
      <c r="L755" s="362"/>
      <c r="M755" s="67"/>
      <c r="N755" s="362"/>
      <c r="O755" s="65" t="s">
        <v>3416</v>
      </c>
      <c r="P755" s="32">
        <v>2014</v>
      </c>
      <c r="Q755" s="67"/>
      <c r="R755" s="67"/>
      <c r="S755" s="67"/>
      <c r="T755" s="32" t="s">
        <v>12</v>
      </c>
      <c r="U755" s="252">
        <v>201132000</v>
      </c>
      <c r="V755" s="32"/>
      <c r="W755" s="132"/>
      <c r="X755" s="206" t="str">
        <f t="shared" si="211"/>
        <v>4.14.01</v>
      </c>
      <c r="Y755" s="207" t="str">
        <f t="shared" si="212"/>
        <v>Bangunan Air Irigasi</v>
      </c>
      <c r="Z755" s="207">
        <f t="shared" si="213"/>
        <v>50</v>
      </c>
      <c r="AA755" s="233">
        <f t="shared" si="214"/>
        <v>4022639.8</v>
      </c>
      <c r="AB755" s="208"/>
      <c r="AC755" s="233">
        <f t="shared" si="215"/>
        <v>0</v>
      </c>
      <c r="AD755" s="233">
        <f t="shared" si="216"/>
        <v>4022639.8</v>
      </c>
      <c r="AE755" s="233">
        <f t="shared" si="217"/>
        <v>4022639.8</v>
      </c>
      <c r="AF755" s="233">
        <f t="shared" si="218"/>
        <v>4022639.8</v>
      </c>
      <c r="AG755" s="233">
        <f t="shared" si="219"/>
        <v>4022639.8</v>
      </c>
      <c r="AH755" s="238">
        <f t="shared" si="220"/>
        <v>4022639.8</v>
      </c>
      <c r="AI755" s="238">
        <f t="shared" si="221"/>
        <v>20113199</v>
      </c>
      <c r="AJ755" s="261">
        <f t="shared" si="222"/>
        <v>2014</v>
      </c>
      <c r="AK755" s="233">
        <f t="shared" si="223"/>
        <v>181018801</v>
      </c>
    </row>
    <row r="756" spans="6:37" s="120" customFormat="1" ht="35.25" hidden="1" customHeight="1" x14ac:dyDescent="0.2">
      <c r="F756" s="218" t="s">
        <v>2306</v>
      </c>
      <c r="G756" s="130"/>
      <c r="H756" s="67" t="s">
        <v>1512</v>
      </c>
      <c r="I756" s="32"/>
      <c r="J756" s="67"/>
      <c r="K756" s="32"/>
      <c r="L756" s="362"/>
      <c r="M756" s="67"/>
      <c r="N756" s="362"/>
      <c r="O756" s="65" t="s">
        <v>3417</v>
      </c>
      <c r="P756" s="32">
        <v>2014</v>
      </c>
      <c r="Q756" s="67"/>
      <c r="R756" s="67"/>
      <c r="S756" s="67"/>
      <c r="T756" s="32" t="s">
        <v>12</v>
      </c>
      <c r="U756" s="252">
        <v>150472353.22522232</v>
      </c>
      <c r="V756" s="32"/>
      <c r="W756" s="132"/>
      <c r="X756" s="206" t="str">
        <f t="shared" si="211"/>
        <v>4.14.01</v>
      </c>
      <c r="Y756" s="207" t="str">
        <f t="shared" si="212"/>
        <v>Bangunan Air Irigasi</v>
      </c>
      <c r="Z756" s="207">
        <f t="shared" si="213"/>
        <v>50</v>
      </c>
      <c r="AA756" s="233">
        <f t="shared" si="214"/>
        <v>3009446.8645044463</v>
      </c>
      <c r="AB756" s="208"/>
      <c r="AC756" s="233">
        <f t="shared" si="215"/>
        <v>0</v>
      </c>
      <c r="AD756" s="233">
        <f t="shared" si="216"/>
        <v>3009446.8645044463</v>
      </c>
      <c r="AE756" s="233">
        <f t="shared" si="217"/>
        <v>3009446.8645044463</v>
      </c>
      <c r="AF756" s="233">
        <f t="shared" si="218"/>
        <v>3009446.8645044463</v>
      </c>
      <c r="AG756" s="233">
        <f t="shared" si="219"/>
        <v>3009446.8645044463</v>
      </c>
      <c r="AH756" s="238">
        <f t="shared" si="220"/>
        <v>3009446.8645044463</v>
      </c>
      <c r="AI756" s="238">
        <f t="shared" si="221"/>
        <v>15047234.32252223</v>
      </c>
      <c r="AJ756" s="261">
        <f t="shared" si="222"/>
        <v>2014</v>
      </c>
      <c r="AK756" s="233">
        <f t="shared" si="223"/>
        <v>135425118.9027001</v>
      </c>
    </row>
    <row r="757" spans="6:37" s="120" customFormat="1" ht="35.25" hidden="1" customHeight="1" x14ac:dyDescent="0.2">
      <c r="F757" s="218" t="s">
        <v>2306</v>
      </c>
      <c r="G757" s="130"/>
      <c r="H757" s="67" t="s">
        <v>1513</v>
      </c>
      <c r="I757" s="32"/>
      <c r="J757" s="67"/>
      <c r="K757" s="32"/>
      <c r="L757" s="362"/>
      <c r="M757" s="67"/>
      <c r="N757" s="362"/>
      <c r="O757" s="65" t="s">
        <v>3418</v>
      </c>
      <c r="P757" s="32">
        <v>2014</v>
      </c>
      <c r="Q757" s="67"/>
      <c r="R757" s="67"/>
      <c r="S757" s="67"/>
      <c r="T757" s="32" t="s">
        <v>12</v>
      </c>
      <c r="U757" s="252">
        <v>150140095.77079391</v>
      </c>
      <c r="V757" s="32"/>
      <c r="W757" s="132"/>
      <c r="X757" s="206" t="str">
        <f t="shared" si="211"/>
        <v>4.14.01</v>
      </c>
      <c r="Y757" s="207" t="str">
        <f t="shared" si="212"/>
        <v>Bangunan Air Irigasi</v>
      </c>
      <c r="Z757" s="207">
        <f t="shared" si="213"/>
        <v>50</v>
      </c>
      <c r="AA757" s="233">
        <f t="shared" si="214"/>
        <v>3002801.7154158782</v>
      </c>
      <c r="AB757" s="208"/>
      <c r="AC757" s="233">
        <f t="shared" si="215"/>
        <v>0</v>
      </c>
      <c r="AD757" s="233">
        <f t="shared" si="216"/>
        <v>3002801.7154158782</v>
      </c>
      <c r="AE757" s="233">
        <f t="shared" si="217"/>
        <v>3002801.7154158782</v>
      </c>
      <c r="AF757" s="233">
        <f t="shared" si="218"/>
        <v>3002801.7154158782</v>
      </c>
      <c r="AG757" s="233">
        <f t="shared" si="219"/>
        <v>3002801.7154158782</v>
      </c>
      <c r="AH757" s="238">
        <f t="shared" si="220"/>
        <v>3002801.7154158782</v>
      </c>
      <c r="AI757" s="238">
        <f t="shared" si="221"/>
        <v>15014008.577079391</v>
      </c>
      <c r="AJ757" s="261">
        <f t="shared" si="222"/>
        <v>2014</v>
      </c>
      <c r="AK757" s="233">
        <f t="shared" si="223"/>
        <v>135126087.19371453</v>
      </c>
    </row>
    <row r="758" spans="6:37" s="120" customFormat="1" ht="35.25" hidden="1" customHeight="1" x14ac:dyDescent="0.2">
      <c r="F758" s="218" t="s">
        <v>2306</v>
      </c>
      <c r="G758" s="130"/>
      <c r="H758" s="67" t="s">
        <v>1514</v>
      </c>
      <c r="I758" s="32"/>
      <c r="J758" s="67"/>
      <c r="K758" s="32"/>
      <c r="L758" s="362"/>
      <c r="M758" s="67"/>
      <c r="N758" s="362"/>
      <c r="O758" s="65" t="s">
        <v>3419</v>
      </c>
      <c r="P758" s="32">
        <v>2014</v>
      </c>
      <c r="Q758" s="67"/>
      <c r="R758" s="67"/>
      <c r="S758" s="67"/>
      <c r="T758" s="32" t="s">
        <v>12</v>
      </c>
      <c r="U758" s="252">
        <v>199807551.00398377</v>
      </c>
      <c r="V758" s="32"/>
      <c r="W758" s="132"/>
      <c r="X758" s="206" t="str">
        <f t="shared" si="211"/>
        <v>4.14.01</v>
      </c>
      <c r="Y758" s="207" t="str">
        <f t="shared" si="212"/>
        <v>Bangunan Air Irigasi</v>
      </c>
      <c r="Z758" s="207">
        <f t="shared" si="213"/>
        <v>50</v>
      </c>
      <c r="AA758" s="233">
        <f t="shared" si="214"/>
        <v>3996150.8200796754</v>
      </c>
      <c r="AB758" s="208"/>
      <c r="AC758" s="233">
        <f t="shared" si="215"/>
        <v>0</v>
      </c>
      <c r="AD758" s="233">
        <f t="shared" si="216"/>
        <v>3996150.8200796754</v>
      </c>
      <c r="AE758" s="233">
        <f t="shared" si="217"/>
        <v>3996150.8200796754</v>
      </c>
      <c r="AF758" s="233">
        <f t="shared" si="218"/>
        <v>3996150.8200796754</v>
      </c>
      <c r="AG758" s="233">
        <f t="shared" si="219"/>
        <v>3996150.8200796754</v>
      </c>
      <c r="AH758" s="238">
        <f t="shared" si="220"/>
        <v>3996150.8200796754</v>
      </c>
      <c r="AI758" s="238">
        <f t="shared" si="221"/>
        <v>19980754.100398377</v>
      </c>
      <c r="AJ758" s="261">
        <f t="shared" si="222"/>
        <v>2014</v>
      </c>
      <c r="AK758" s="233">
        <f t="shared" si="223"/>
        <v>179826796.90358537</v>
      </c>
    </row>
    <row r="759" spans="6:37" s="120" customFormat="1" ht="35.25" hidden="1" customHeight="1" x14ac:dyDescent="0.2">
      <c r="F759" s="218" t="s">
        <v>2306</v>
      </c>
      <c r="G759" s="130"/>
      <c r="H759" s="67" t="s">
        <v>1515</v>
      </c>
      <c r="I759" s="32"/>
      <c r="J759" s="67"/>
      <c r="K759" s="32"/>
      <c r="L759" s="362"/>
      <c r="M759" s="67"/>
      <c r="N759" s="362"/>
      <c r="O759" s="65" t="s">
        <v>3420</v>
      </c>
      <c r="P759" s="32">
        <v>2014</v>
      </c>
      <c r="Q759" s="67"/>
      <c r="R759" s="67"/>
      <c r="S759" s="67"/>
      <c r="T759" s="32" t="s">
        <v>12</v>
      </c>
      <c r="U759" s="252">
        <v>199202385.13592538</v>
      </c>
      <c r="V759" s="32"/>
      <c r="W759" s="132"/>
      <c r="X759" s="206" t="str">
        <f t="shared" si="211"/>
        <v>4.14.01</v>
      </c>
      <c r="Y759" s="207" t="str">
        <f t="shared" si="212"/>
        <v>Bangunan Air Irigasi</v>
      </c>
      <c r="Z759" s="207">
        <f t="shared" si="213"/>
        <v>50</v>
      </c>
      <c r="AA759" s="233">
        <f t="shared" si="214"/>
        <v>3984047.5027185078</v>
      </c>
      <c r="AB759" s="208"/>
      <c r="AC759" s="233">
        <f t="shared" si="215"/>
        <v>0</v>
      </c>
      <c r="AD759" s="233">
        <f t="shared" si="216"/>
        <v>3984047.5027185078</v>
      </c>
      <c r="AE759" s="233">
        <f t="shared" si="217"/>
        <v>3984047.5027185078</v>
      </c>
      <c r="AF759" s="233">
        <f t="shared" si="218"/>
        <v>3984047.5027185078</v>
      </c>
      <c r="AG759" s="233">
        <f t="shared" si="219"/>
        <v>3984047.5027185078</v>
      </c>
      <c r="AH759" s="238">
        <f t="shared" si="220"/>
        <v>3984047.5027185078</v>
      </c>
      <c r="AI759" s="238">
        <f t="shared" si="221"/>
        <v>19920237.513592537</v>
      </c>
      <c r="AJ759" s="261">
        <f t="shared" si="222"/>
        <v>2014</v>
      </c>
      <c r="AK759" s="233">
        <f t="shared" si="223"/>
        <v>179282147.62233284</v>
      </c>
    </row>
    <row r="760" spans="6:37" s="120" customFormat="1" ht="35.25" hidden="1" customHeight="1" x14ac:dyDescent="0.2">
      <c r="F760" s="218" t="s">
        <v>2306</v>
      </c>
      <c r="G760" s="130"/>
      <c r="H760" s="67" t="s">
        <v>1516</v>
      </c>
      <c r="I760" s="32"/>
      <c r="J760" s="67"/>
      <c r="K760" s="32"/>
      <c r="L760" s="362"/>
      <c r="M760" s="67"/>
      <c r="N760" s="362"/>
      <c r="O760" s="65" t="s">
        <v>3421</v>
      </c>
      <c r="P760" s="32">
        <v>2014</v>
      </c>
      <c r="Q760" s="67"/>
      <c r="R760" s="67"/>
      <c r="S760" s="67"/>
      <c r="T760" s="32" t="s">
        <v>12</v>
      </c>
      <c r="U760" s="252">
        <v>199168358.08113036</v>
      </c>
      <c r="V760" s="32"/>
      <c r="W760" s="132"/>
      <c r="X760" s="206" t="str">
        <f t="shared" si="211"/>
        <v>4.14.01</v>
      </c>
      <c r="Y760" s="207" t="str">
        <f t="shared" si="212"/>
        <v>Bangunan Air Irigasi</v>
      </c>
      <c r="Z760" s="207">
        <f t="shared" si="213"/>
        <v>50</v>
      </c>
      <c r="AA760" s="233">
        <f t="shared" si="214"/>
        <v>3983366.961622607</v>
      </c>
      <c r="AB760" s="208"/>
      <c r="AC760" s="233">
        <f t="shared" si="215"/>
        <v>0</v>
      </c>
      <c r="AD760" s="233">
        <f t="shared" si="216"/>
        <v>3983366.961622607</v>
      </c>
      <c r="AE760" s="233">
        <f t="shared" si="217"/>
        <v>3983366.961622607</v>
      </c>
      <c r="AF760" s="233">
        <f t="shared" si="218"/>
        <v>3983366.961622607</v>
      </c>
      <c r="AG760" s="233">
        <f t="shared" si="219"/>
        <v>3983366.961622607</v>
      </c>
      <c r="AH760" s="238">
        <f t="shared" si="220"/>
        <v>3983366.961622607</v>
      </c>
      <c r="AI760" s="238">
        <f t="shared" si="221"/>
        <v>19916834.808113035</v>
      </c>
      <c r="AJ760" s="261">
        <f t="shared" si="222"/>
        <v>2014</v>
      </c>
      <c r="AK760" s="233">
        <f t="shared" si="223"/>
        <v>179251523.27301732</v>
      </c>
    </row>
    <row r="761" spans="6:37" s="120" customFormat="1" ht="35.25" hidden="1" customHeight="1" x14ac:dyDescent="0.2">
      <c r="F761" s="218" t="s">
        <v>2306</v>
      </c>
      <c r="G761" s="130"/>
      <c r="H761" s="67" t="s">
        <v>1517</v>
      </c>
      <c r="I761" s="32"/>
      <c r="J761" s="67"/>
      <c r="K761" s="32"/>
      <c r="L761" s="362"/>
      <c r="M761" s="67"/>
      <c r="N761" s="362"/>
      <c r="O761" s="65" t="s">
        <v>3422</v>
      </c>
      <c r="P761" s="32">
        <v>2014</v>
      </c>
      <c r="Q761" s="67"/>
      <c r="R761" s="67"/>
      <c r="S761" s="67"/>
      <c r="T761" s="32" t="s">
        <v>12</v>
      </c>
      <c r="U761" s="252">
        <v>149118563.66056189</v>
      </c>
      <c r="V761" s="32"/>
      <c r="W761" s="132"/>
      <c r="X761" s="206" t="str">
        <f t="shared" si="211"/>
        <v>4.14.01</v>
      </c>
      <c r="Y761" s="207" t="str">
        <f t="shared" si="212"/>
        <v>Bangunan Air Irigasi</v>
      </c>
      <c r="Z761" s="207">
        <f t="shared" si="213"/>
        <v>50</v>
      </c>
      <c r="AA761" s="233">
        <f t="shared" si="214"/>
        <v>2982371.0732112378</v>
      </c>
      <c r="AB761" s="208"/>
      <c r="AC761" s="233">
        <f t="shared" si="215"/>
        <v>0</v>
      </c>
      <c r="AD761" s="233">
        <f t="shared" si="216"/>
        <v>2982371.0732112378</v>
      </c>
      <c r="AE761" s="233">
        <f t="shared" si="217"/>
        <v>2982371.0732112378</v>
      </c>
      <c r="AF761" s="233">
        <f t="shared" si="218"/>
        <v>2982371.0732112378</v>
      </c>
      <c r="AG761" s="233">
        <f t="shared" si="219"/>
        <v>2982371.0732112378</v>
      </c>
      <c r="AH761" s="238">
        <f t="shared" si="220"/>
        <v>2982371.0732112378</v>
      </c>
      <c r="AI761" s="238">
        <f t="shared" si="221"/>
        <v>14911855.366056189</v>
      </c>
      <c r="AJ761" s="261">
        <f t="shared" si="222"/>
        <v>2014</v>
      </c>
      <c r="AK761" s="233">
        <f t="shared" si="223"/>
        <v>134206708.2945057</v>
      </c>
    </row>
    <row r="762" spans="6:37" s="120" customFormat="1" ht="35.25" hidden="1" customHeight="1" x14ac:dyDescent="0.2">
      <c r="F762" s="218" t="s">
        <v>2306</v>
      </c>
      <c r="G762" s="130"/>
      <c r="H762" s="67" t="s">
        <v>1518</v>
      </c>
      <c r="I762" s="32"/>
      <c r="J762" s="67"/>
      <c r="K762" s="32"/>
      <c r="L762" s="362"/>
      <c r="M762" s="67"/>
      <c r="N762" s="362"/>
      <c r="O762" s="65" t="s">
        <v>3423</v>
      </c>
      <c r="P762" s="32">
        <v>2014</v>
      </c>
      <c r="Q762" s="67"/>
      <c r="R762" s="67"/>
      <c r="S762" s="67"/>
      <c r="T762" s="32" t="s">
        <v>12</v>
      </c>
      <c r="U762" s="252">
        <v>199192377.17863271</v>
      </c>
      <c r="V762" s="32"/>
      <c r="W762" s="132"/>
      <c r="X762" s="206" t="str">
        <f t="shared" si="211"/>
        <v>4.14.01</v>
      </c>
      <c r="Y762" s="207" t="str">
        <f t="shared" si="212"/>
        <v>Bangunan Air Irigasi</v>
      </c>
      <c r="Z762" s="207">
        <f t="shared" si="213"/>
        <v>50</v>
      </c>
      <c r="AA762" s="233">
        <f t="shared" si="214"/>
        <v>3983847.3435726543</v>
      </c>
      <c r="AB762" s="208"/>
      <c r="AC762" s="233">
        <f t="shared" si="215"/>
        <v>0</v>
      </c>
      <c r="AD762" s="233">
        <f t="shared" si="216"/>
        <v>3983847.3435726543</v>
      </c>
      <c r="AE762" s="233">
        <f t="shared" si="217"/>
        <v>3983847.3435726543</v>
      </c>
      <c r="AF762" s="233">
        <f t="shared" si="218"/>
        <v>3983847.3435726543</v>
      </c>
      <c r="AG762" s="233">
        <f t="shared" si="219"/>
        <v>3983847.3435726543</v>
      </c>
      <c r="AH762" s="238">
        <f t="shared" si="220"/>
        <v>3983847.3435726543</v>
      </c>
      <c r="AI762" s="238">
        <f t="shared" si="221"/>
        <v>19919236.717863273</v>
      </c>
      <c r="AJ762" s="261">
        <f t="shared" si="222"/>
        <v>2014</v>
      </c>
      <c r="AK762" s="233">
        <f t="shared" si="223"/>
        <v>179273140.46076944</v>
      </c>
    </row>
    <row r="763" spans="6:37" s="120" customFormat="1" ht="35.25" hidden="1" customHeight="1" x14ac:dyDescent="0.2">
      <c r="F763" s="218" t="s">
        <v>2306</v>
      </c>
      <c r="G763" s="130"/>
      <c r="H763" s="67" t="s">
        <v>1519</v>
      </c>
      <c r="I763" s="32"/>
      <c r="J763" s="67"/>
      <c r="K763" s="32"/>
      <c r="L763" s="362"/>
      <c r="M763" s="67"/>
      <c r="N763" s="362"/>
      <c r="O763" s="65" t="s">
        <v>3424</v>
      </c>
      <c r="P763" s="32">
        <v>2014</v>
      </c>
      <c r="Q763" s="67"/>
      <c r="R763" s="67"/>
      <c r="S763" s="67"/>
      <c r="T763" s="32" t="s">
        <v>12</v>
      </c>
      <c r="U763" s="252">
        <v>199293457.54728854</v>
      </c>
      <c r="V763" s="32"/>
      <c r="W763" s="132"/>
      <c r="X763" s="206" t="str">
        <f t="shared" si="211"/>
        <v>4.14.01</v>
      </c>
      <c r="Y763" s="207" t="str">
        <f t="shared" si="212"/>
        <v>Bangunan Air Irigasi</v>
      </c>
      <c r="Z763" s="207">
        <f t="shared" si="213"/>
        <v>50</v>
      </c>
      <c r="AA763" s="233">
        <f t="shared" si="214"/>
        <v>3985868.9509457708</v>
      </c>
      <c r="AB763" s="208"/>
      <c r="AC763" s="233">
        <f t="shared" si="215"/>
        <v>0</v>
      </c>
      <c r="AD763" s="233">
        <f t="shared" si="216"/>
        <v>3985868.9509457708</v>
      </c>
      <c r="AE763" s="233">
        <f t="shared" si="217"/>
        <v>3985868.9509457708</v>
      </c>
      <c r="AF763" s="233">
        <f t="shared" si="218"/>
        <v>3985868.9509457708</v>
      </c>
      <c r="AG763" s="233">
        <f t="shared" si="219"/>
        <v>3985868.9509457708</v>
      </c>
      <c r="AH763" s="238">
        <f t="shared" si="220"/>
        <v>3985868.9509457708</v>
      </c>
      <c r="AI763" s="238">
        <f t="shared" si="221"/>
        <v>19929344.754728854</v>
      </c>
      <c r="AJ763" s="261">
        <f t="shared" si="222"/>
        <v>2014</v>
      </c>
      <c r="AK763" s="233">
        <f t="shared" si="223"/>
        <v>179364112.79255968</v>
      </c>
    </row>
    <row r="764" spans="6:37" s="120" customFormat="1" ht="35.25" hidden="1" customHeight="1" x14ac:dyDescent="0.2">
      <c r="F764" s="218" t="s">
        <v>2306</v>
      </c>
      <c r="G764" s="130"/>
      <c r="H764" s="67" t="s">
        <v>1520</v>
      </c>
      <c r="I764" s="32"/>
      <c r="J764" s="67"/>
      <c r="K764" s="32"/>
      <c r="L764" s="362"/>
      <c r="M764" s="67"/>
      <c r="N764" s="362"/>
      <c r="O764" s="65" t="s">
        <v>3425</v>
      </c>
      <c r="P764" s="32">
        <v>2014</v>
      </c>
      <c r="Q764" s="67"/>
      <c r="R764" s="67"/>
      <c r="S764" s="67"/>
      <c r="T764" s="32" t="s">
        <v>12</v>
      </c>
      <c r="U764" s="252">
        <v>199223401.84623992</v>
      </c>
      <c r="V764" s="32"/>
      <c r="W764" s="132"/>
      <c r="X764" s="206" t="str">
        <f t="shared" si="211"/>
        <v>4.14.01</v>
      </c>
      <c r="Y764" s="207" t="str">
        <f t="shared" si="212"/>
        <v>Bangunan Air Irigasi</v>
      </c>
      <c r="Z764" s="207">
        <f t="shared" si="213"/>
        <v>50</v>
      </c>
      <c r="AA764" s="233">
        <f t="shared" si="214"/>
        <v>3984467.8369247983</v>
      </c>
      <c r="AB764" s="208"/>
      <c r="AC764" s="233">
        <f t="shared" si="215"/>
        <v>0</v>
      </c>
      <c r="AD764" s="233">
        <f t="shared" si="216"/>
        <v>3984467.8369247983</v>
      </c>
      <c r="AE764" s="233">
        <f t="shared" si="217"/>
        <v>3984467.8369247983</v>
      </c>
      <c r="AF764" s="233">
        <f t="shared" si="218"/>
        <v>3984467.8369247983</v>
      </c>
      <c r="AG764" s="233">
        <f t="shared" si="219"/>
        <v>3984467.8369247983</v>
      </c>
      <c r="AH764" s="238">
        <f t="shared" si="220"/>
        <v>3984467.8369247983</v>
      </c>
      <c r="AI764" s="238">
        <f t="shared" si="221"/>
        <v>19922339.18462399</v>
      </c>
      <c r="AJ764" s="261">
        <f t="shared" si="222"/>
        <v>2014</v>
      </c>
      <c r="AK764" s="233">
        <f t="shared" si="223"/>
        <v>179301062.66161594</v>
      </c>
    </row>
    <row r="765" spans="6:37" s="120" customFormat="1" ht="35.25" hidden="1" customHeight="1" x14ac:dyDescent="0.2">
      <c r="F765" s="218" t="s">
        <v>2306</v>
      </c>
      <c r="G765" s="130"/>
      <c r="H765" s="67" t="s">
        <v>1521</v>
      </c>
      <c r="I765" s="32"/>
      <c r="J765" s="67"/>
      <c r="K765" s="32"/>
      <c r="L765" s="362"/>
      <c r="M765" s="67"/>
      <c r="N765" s="362"/>
      <c r="O765" s="65" t="s">
        <v>3426</v>
      </c>
      <c r="P765" s="32">
        <v>2014</v>
      </c>
      <c r="Q765" s="67"/>
      <c r="R765" s="67"/>
      <c r="S765" s="67"/>
      <c r="T765" s="32" t="s">
        <v>12</v>
      </c>
      <c r="U765" s="252">
        <v>199256428.1053057</v>
      </c>
      <c r="V765" s="32"/>
      <c r="W765" s="132"/>
      <c r="X765" s="206" t="str">
        <f t="shared" si="211"/>
        <v>4.14.01</v>
      </c>
      <c r="Y765" s="207" t="str">
        <f t="shared" si="212"/>
        <v>Bangunan Air Irigasi</v>
      </c>
      <c r="Z765" s="207">
        <f t="shared" si="213"/>
        <v>50</v>
      </c>
      <c r="AA765" s="233">
        <f t="shared" si="214"/>
        <v>3985128.3621061142</v>
      </c>
      <c r="AB765" s="208"/>
      <c r="AC765" s="233">
        <f t="shared" si="215"/>
        <v>0</v>
      </c>
      <c r="AD765" s="233">
        <f t="shared" si="216"/>
        <v>3985128.3621061142</v>
      </c>
      <c r="AE765" s="233">
        <f t="shared" si="217"/>
        <v>3985128.3621061142</v>
      </c>
      <c r="AF765" s="233">
        <f t="shared" si="218"/>
        <v>3985128.3621061142</v>
      </c>
      <c r="AG765" s="233">
        <f t="shared" si="219"/>
        <v>3985128.3621061142</v>
      </c>
      <c r="AH765" s="238">
        <f t="shared" si="220"/>
        <v>3985128.3621061142</v>
      </c>
      <c r="AI765" s="238">
        <f t="shared" si="221"/>
        <v>19925641.810530569</v>
      </c>
      <c r="AJ765" s="261">
        <f t="shared" si="222"/>
        <v>2014</v>
      </c>
      <c r="AK765" s="233">
        <f t="shared" si="223"/>
        <v>179330786.29477513</v>
      </c>
    </row>
    <row r="766" spans="6:37" s="120" customFormat="1" ht="35.25" hidden="1" customHeight="1" x14ac:dyDescent="0.2">
      <c r="F766" s="218" t="s">
        <v>2306</v>
      </c>
      <c r="G766" s="130"/>
      <c r="H766" s="67" t="s">
        <v>1522</v>
      </c>
      <c r="I766" s="32"/>
      <c r="J766" s="67"/>
      <c r="K766" s="32"/>
      <c r="L766" s="362"/>
      <c r="M766" s="67"/>
      <c r="N766" s="362"/>
      <c r="O766" s="65" t="s">
        <v>3427</v>
      </c>
      <c r="P766" s="32">
        <v>2014</v>
      </c>
      <c r="Q766" s="67"/>
      <c r="R766" s="67"/>
      <c r="S766" s="67"/>
      <c r="T766" s="32" t="s">
        <v>12</v>
      </c>
      <c r="U766" s="252">
        <v>199240415.37363744</v>
      </c>
      <c r="V766" s="32"/>
      <c r="W766" s="132"/>
      <c r="X766" s="206" t="str">
        <f t="shared" si="211"/>
        <v>4.14.01</v>
      </c>
      <c r="Y766" s="207" t="str">
        <f t="shared" si="212"/>
        <v>Bangunan Air Irigasi</v>
      </c>
      <c r="Z766" s="207">
        <f t="shared" si="213"/>
        <v>50</v>
      </c>
      <c r="AA766" s="233">
        <f t="shared" si="214"/>
        <v>3984808.107472749</v>
      </c>
      <c r="AB766" s="208"/>
      <c r="AC766" s="233">
        <f t="shared" si="215"/>
        <v>0</v>
      </c>
      <c r="AD766" s="233">
        <f t="shared" si="216"/>
        <v>3984808.107472749</v>
      </c>
      <c r="AE766" s="233">
        <f t="shared" si="217"/>
        <v>3984808.107472749</v>
      </c>
      <c r="AF766" s="233">
        <f t="shared" si="218"/>
        <v>3984808.107472749</v>
      </c>
      <c r="AG766" s="233">
        <f t="shared" si="219"/>
        <v>3984808.107472749</v>
      </c>
      <c r="AH766" s="238">
        <f t="shared" si="220"/>
        <v>3984808.107472749</v>
      </c>
      <c r="AI766" s="238">
        <f t="shared" si="221"/>
        <v>19924040.537363745</v>
      </c>
      <c r="AJ766" s="261">
        <f t="shared" si="222"/>
        <v>2014</v>
      </c>
      <c r="AK766" s="233">
        <f t="shared" si="223"/>
        <v>179316374.8362737</v>
      </c>
    </row>
    <row r="767" spans="6:37" s="120" customFormat="1" ht="35.25" hidden="1" customHeight="1" x14ac:dyDescent="0.2">
      <c r="F767" s="218" t="s">
        <v>2306</v>
      </c>
      <c r="G767" s="130"/>
      <c r="H767" s="67" t="s">
        <v>1523</v>
      </c>
      <c r="I767" s="32"/>
      <c r="J767" s="67"/>
      <c r="K767" s="32"/>
      <c r="L767" s="362"/>
      <c r="M767" s="67"/>
      <c r="N767" s="362"/>
      <c r="O767" s="65" t="s">
        <v>3428</v>
      </c>
      <c r="P767" s="32">
        <v>2014</v>
      </c>
      <c r="Q767" s="67"/>
      <c r="R767" s="67"/>
      <c r="S767" s="67"/>
      <c r="T767" s="32" t="s">
        <v>12</v>
      </c>
      <c r="U767" s="252">
        <v>199287452.77291292</v>
      </c>
      <c r="V767" s="32"/>
      <c r="W767" s="132"/>
      <c r="X767" s="206" t="str">
        <f t="shared" si="211"/>
        <v>4.14.01</v>
      </c>
      <c r="Y767" s="207" t="str">
        <f t="shared" si="212"/>
        <v>Bangunan Air Irigasi</v>
      </c>
      <c r="Z767" s="207">
        <f t="shared" si="213"/>
        <v>50</v>
      </c>
      <c r="AA767" s="233">
        <f t="shared" si="214"/>
        <v>3985748.8554582582</v>
      </c>
      <c r="AB767" s="208"/>
      <c r="AC767" s="233">
        <f t="shared" si="215"/>
        <v>0</v>
      </c>
      <c r="AD767" s="233">
        <f t="shared" si="216"/>
        <v>3985748.8554582582</v>
      </c>
      <c r="AE767" s="233">
        <f t="shared" si="217"/>
        <v>3985748.8554582582</v>
      </c>
      <c r="AF767" s="233">
        <f t="shared" si="218"/>
        <v>3985748.8554582582</v>
      </c>
      <c r="AG767" s="233">
        <f t="shared" si="219"/>
        <v>3985748.8554582582</v>
      </c>
      <c r="AH767" s="238">
        <f t="shared" si="220"/>
        <v>3985748.8554582582</v>
      </c>
      <c r="AI767" s="238">
        <f t="shared" si="221"/>
        <v>19928744.27729129</v>
      </c>
      <c r="AJ767" s="261">
        <f t="shared" si="222"/>
        <v>2014</v>
      </c>
      <c r="AK767" s="233">
        <f t="shared" si="223"/>
        <v>179358708.49562162</v>
      </c>
    </row>
    <row r="768" spans="6:37" s="120" customFormat="1" ht="35.25" hidden="1" customHeight="1" x14ac:dyDescent="0.2">
      <c r="F768" s="218" t="s">
        <v>2306</v>
      </c>
      <c r="G768" s="130"/>
      <c r="H768" s="67" t="s">
        <v>1524</v>
      </c>
      <c r="I768" s="32"/>
      <c r="J768" s="67"/>
      <c r="K768" s="32"/>
      <c r="L768" s="362"/>
      <c r="M768" s="67"/>
      <c r="N768" s="362"/>
      <c r="O768" s="65" t="s">
        <v>3429</v>
      </c>
      <c r="P768" s="32">
        <v>2014</v>
      </c>
      <c r="Q768" s="67"/>
      <c r="R768" s="67"/>
      <c r="S768" s="67"/>
      <c r="T768" s="32" t="s">
        <v>12</v>
      </c>
      <c r="U768" s="252">
        <v>199229406.62061554</v>
      </c>
      <c r="V768" s="32"/>
      <c r="W768" s="132"/>
      <c r="X768" s="206" t="str">
        <f t="shared" si="211"/>
        <v>4.14.01</v>
      </c>
      <c r="Y768" s="207" t="str">
        <f t="shared" si="212"/>
        <v>Bangunan Air Irigasi</v>
      </c>
      <c r="Z768" s="207">
        <f t="shared" si="213"/>
        <v>50</v>
      </c>
      <c r="AA768" s="233">
        <f t="shared" si="214"/>
        <v>3984587.932412311</v>
      </c>
      <c r="AB768" s="208"/>
      <c r="AC768" s="233">
        <f t="shared" si="215"/>
        <v>0</v>
      </c>
      <c r="AD768" s="233">
        <f t="shared" si="216"/>
        <v>3984587.932412311</v>
      </c>
      <c r="AE768" s="233">
        <f t="shared" si="217"/>
        <v>3984587.932412311</v>
      </c>
      <c r="AF768" s="233">
        <f t="shared" si="218"/>
        <v>3984587.932412311</v>
      </c>
      <c r="AG768" s="233">
        <f t="shared" si="219"/>
        <v>3984587.932412311</v>
      </c>
      <c r="AH768" s="238">
        <f t="shared" si="220"/>
        <v>3984587.932412311</v>
      </c>
      <c r="AI768" s="238">
        <f t="shared" si="221"/>
        <v>19922939.662061553</v>
      </c>
      <c r="AJ768" s="261">
        <f t="shared" si="222"/>
        <v>2014</v>
      </c>
      <c r="AK768" s="233">
        <f t="shared" si="223"/>
        <v>179306466.958554</v>
      </c>
    </row>
    <row r="769" spans="6:37" s="120" customFormat="1" ht="35.25" hidden="1" customHeight="1" x14ac:dyDescent="0.2">
      <c r="F769" s="218" t="s">
        <v>2306</v>
      </c>
      <c r="G769" s="130"/>
      <c r="H769" s="67" t="s">
        <v>1525</v>
      </c>
      <c r="I769" s="32"/>
      <c r="J769" s="67"/>
      <c r="K769" s="32"/>
      <c r="L769" s="362"/>
      <c r="M769" s="67"/>
      <c r="N769" s="362"/>
      <c r="O769" s="65" t="s">
        <v>3430</v>
      </c>
      <c r="P769" s="32">
        <v>2014</v>
      </c>
      <c r="Q769" s="67"/>
      <c r="R769" s="67"/>
      <c r="S769" s="67"/>
      <c r="T769" s="32" t="s">
        <v>12</v>
      </c>
      <c r="U769" s="252">
        <v>164213565.64507365</v>
      </c>
      <c r="V769" s="32"/>
      <c r="W769" s="132"/>
      <c r="X769" s="206" t="str">
        <f t="shared" si="211"/>
        <v>4.14.01</v>
      </c>
      <c r="Y769" s="207" t="str">
        <f t="shared" si="212"/>
        <v>Bangunan Air Irigasi</v>
      </c>
      <c r="Z769" s="207">
        <f t="shared" si="213"/>
        <v>50</v>
      </c>
      <c r="AA769" s="233">
        <f t="shared" si="214"/>
        <v>3284271.112901473</v>
      </c>
      <c r="AB769" s="208"/>
      <c r="AC769" s="233">
        <f t="shared" si="215"/>
        <v>0</v>
      </c>
      <c r="AD769" s="233">
        <f t="shared" si="216"/>
        <v>3284271.112901473</v>
      </c>
      <c r="AE769" s="233">
        <f t="shared" si="217"/>
        <v>3284271.112901473</v>
      </c>
      <c r="AF769" s="233">
        <f t="shared" si="218"/>
        <v>3284271.112901473</v>
      </c>
      <c r="AG769" s="233">
        <f t="shared" si="219"/>
        <v>3284271.112901473</v>
      </c>
      <c r="AH769" s="238">
        <f t="shared" si="220"/>
        <v>3284271.112901473</v>
      </c>
      <c r="AI769" s="238">
        <f t="shared" si="221"/>
        <v>16421355.564507365</v>
      </c>
      <c r="AJ769" s="261">
        <f t="shared" si="222"/>
        <v>2014</v>
      </c>
      <c r="AK769" s="233">
        <f t="shared" si="223"/>
        <v>147792210.08056629</v>
      </c>
    </row>
    <row r="770" spans="6:37" s="120" customFormat="1" ht="35.25" hidden="1" customHeight="1" x14ac:dyDescent="0.2">
      <c r="F770" s="218" t="s">
        <v>2306</v>
      </c>
      <c r="G770" s="130"/>
      <c r="H770" s="67" t="s">
        <v>1526</v>
      </c>
      <c r="I770" s="32"/>
      <c r="J770" s="67"/>
      <c r="K770" s="32"/>
      <c r="L770" s="362"/>
      <c r="M770" s="67"/>
      <c r="N770" s="362"/>
      <c r="O770" s="65" t="s">
        <v>3431</v>
      </c>
      <c r="P770" s="32">
        <v>2014</v>
      </c>
      <c r="Q770" s="67"/>
      <c r="R770" s="67"/>
      <c r="S770" s="67"/>
      <c r="T770" s="32" t="s">
        <v>12</v>
      </c>
      <c r="U770" s="252">
        <v>199158350.12383768</v>
      </c>
      <c r="V770" s="32"/>
      <c r="W770" s="132"/>
      <c r="X770" s="206" t="str">
        <f t="shared" si="211"/>
        <v>4.14.01</v>
      </c>
      <c r="Y770" s="207" t="str">
        <f t="shared" si="212"/>
        <v>Bangunan Air Irigasi</v>
      </c>
      <c r="Z770" s="207">
        <f t="shared" si="213"/>
        <v>50</v>
      </c>
      <c r="AA770" s="233">
        <f t="shared" si="214"/>
        <v>3983166.8024767535</v>
      </c>
      <c r="AB770" s="208"/>
      <c r="AC770" s="233">
        <f t="shared" si="215"/>
        <v>0</v>
      </c>
      <c r="AD770" s="233">
        <f t="shared" si="216"/>
        <v>3983166.8024767535</v>
      </c>
      <c r="AE770" s="233">
        <f t="shared" si="217"/>
        <v>3983166.8024767535</v>
      </c>
      <c r="AF770" s="233">
        <f t="shared" si="218"/>
        <v>3983166.8024767535</v>
      </c>
      <c r="AG770" s="233">
        <f t="shared" si="219"/>
        <v>3983166.8024767535</v>
      </c>
      <c r="AH770" s="238">
        <f t="shared" si="220"/>
        <v>3983166.8024767535</v>
      </c>
      <c r="AI770" s="238">
        <f t="shared" si="221"/>
        <v>19915834.012383766</v>
      </c>
      <c r="AJ770" s="261">
        <f t="shared" si="222"/>
        <v>2014</v>
      </c>
      <c r="AK770" s="233">
        <f t="shared" si="223"/>
        <v>179242516.11145392</v>
      </c>
    </row>
    <row r="771" spans="6:37" s="120" customFormat="1" ht="35.25" hidden="1" customHeight="1" x14ac:dyDescent="0.2">
      <c r="F771" s="218" t="s">
        <v>2306</v>
      </c>
      <c r="G771" s="130"/>
      <c r="H771" s="67" t="s">
        <v>1527</v>
      </c>
      <c r="I771" s="32"/>
      <c r="J771" s="67"/>
      <c r="K771" s="32"/>
      <c r="L771" s="362"/>
      <c r="M771" s="67"/>
      <c r="N771" s="362"/>
      <c r="O771" s="65" t="s">
        <v>3432</v>
      </c>
      <c r="P771" s="32">
        <v>2014</v>
      </c>
      <c r="Q771" s="67"/>
      <c r="R771" s="67"/>
      <c r="S771" s="67"/>
      <c r="T771" s="32" t="s">
        <v>12</v>
      </c>
      <c r="U771" s="252">
        <v>199310471.07468602</v>
      </c>
      <c r="V771" s="32"/>
      <c r="W771" s="132"/>
      <c r="X771" s="206" t="str">
        <f t="shared" si="211"/>
        <v>4.14.01</v>
      </c>
      <c r="Y771" s="207" t="str">
        <f t="shared" si="212"/>
        <v>Bangunan Air Irigasi</v>
      </c>
      <c r="Z771" s="207">
        <f t="shared" si="213"/>
        <v>50</v>
      </c>
      <c r="AA771" s="233">
        <f t="shared" si="214"/>
        <v>3986209.2214937205</v>
      </c>
      <c r="AB771" s="208"/>
      <c r="AC771" s="233">
        <f t="shared" si="215"/>
        <v>0</v>
      </c>
      <c r="AD771" s="233">
        <f t="shared" si="216"/>
        <v>3986209.2214937205</v>
      </c>
      <c r="AE771" s="233">
        <f t="shared" si="217"/>
        <v>3986209.2214937205</v>
      </c>
      <c r="AF771" s="233">
        <f t="shared" si="218"/>
        <v>3986209.2214937205</v>
      </c>
      <c r="AG771" s="233">
        <f t="shared" si="219"/>
        <v>3986209.2214937205</v>
      </c>
      <c r="AH771" s="238">
        <f t="shared" si="220"/>
        <v>3986209.2214937205</v>
      </c>
      <c r="AI771" s="238">
        <f t="shared" si="221"/>
        <v>19931046.107468601</v>
      </c>
      <c r="AJ771" s="261">
        <f t="shared" si="222"/>
        <v>2014</v>
      </c>
      <c r="AK771" s="233">
        <f t="shared" si="223"/>
        <v>179379424.96721742</v>
      </c>
    </row>
    <row r="772" spans="6:37" s="120" customFormat="1" ht="35.25" hidden="1" customHeight="1" x14ac:dyDescent="0.2">
      <c r="F772" s="218" t="s">
        <v>2306</v>
      </c>
      <c r="G772" s="130"/>
      <c r="H772" s="67" t="s">
        <v>1528</v>
      </c>
      <c r="I772" s="32"/>
      <c r="J772" s="67"/>
      <c r="K772" s="32"/>
      <c r="L772" s="362"/>
      <c r="M772" s="67"/>
      <c r="N772" s="362"/>
      <c r="O772" s="65" t="s">
        <v>3246</v>
      </c>
      <c r="P772" s="32">
        <v>2014</v>
      </c>
      <c r="Q772" s="67"/>
      <c r="R772" s="67"/>
      <c r="S772" s="67"/>
      <c r="T772" s="32" t="s">
        <v>12</v>
      </c>
      <c r="U772" s="252">
        <v>199179366.83415228</v>
      </c>
      <c r="V772" s="32"/>
      <c r="W772" s="132"/>
      <c r="X772" s="206" t="str">
        <f t="shared" si="211"/>
        <v>4.14.01</v>
      </c>
      <c r="Y772" s="207" t="str">
        <f t="shared" si="212"/>
        <v>Bangunan Air Irigasi</v>
      </c>
      <c r="Z772" s="207">
        <f t="shared" si="213"/>
        <v>50</v>
      </c>
      <c r="AA772" s="233">
        <f t="shared" si="214"/>
        <v>3983587.1366830454</v>
      </c>
      <c r="AB772" s="208"/>
      <c r="AC772" s="233">
        <f t="shared" si="215"/>
        <v>0</v>
      </c>
      <c r="AD772" s="233">
        <f t="shared" si="216"/>
        <v>3983587.1366830454</v>
      </c>
      <c r="AE772" s="233">
        <f t="shared" si="217"/>
        <v>3983587.1366830454</v>
      </c>
      <c r="AF772" s="233">
        <f t="shared" si="218"/>
        <v>3983587.1366830454</v>
      </c>
      <c r="AG772" s="233">
        <f t="shared" si="219"/>
        <v>3983587.1366830454</v>
      </c>
      <c r="AH772" s="238">
        <f t="shared" si="220"/>
        <v>3983587.1366830454</v>
      </c>
      <c r="AI772" s="238">
        <f t="shared" si="221"/>
        <v>19917935.683415227</v>
      </c>
      <c r="AJ772" s="261">
        <f t="shared" si="222"/>
        <v>2014</v>
      </c>
      <c r="AK772" s="233">
        <f t="shared" si="223"/>
        <v>179261431.15073705</v>
      </c>
    </row>
    <row r="773" spans="6:37" s="120" customFormat="1" ht="35.25" hidden="1" customHeight="1" x14ac:dyDescent="0.2">
      <c r="F773" s="218" t="s">
        <v>2306</v>
      </c>
      <c r="G773" s="130"/>
      <c r="H773" s="67" t="s">
        <v>1529</v>
      </c>
      <c r="I773" s="32"/>
      <c r="J773" s="67"/>
      <c r="K773" s="32"/>
      <c r="L773" s="362"/>
      <c r="M773" s="67"/>
      <c r="N773" s="362"/>
      <c r="O773" s="65" t="s">
        <v>3433</v>
      </c>
      <c r="P773" s="32">
        <v>2014</v>
      </c>
      <c r="Q773" s="67"/>
      <c r="R773" s="67"/>
      <c r="S773" s="67"/>
      <c r="T773" s="32" t="s">
        <v>12</v>
      </c>
      <c r="U773" s="252">
        <v>200305000</v>
      </c>
      <c r="V773" s="32"/>
      <c r="W773" s="132"/>
      <c r="X773" s="206" t="str">
        <f t="shared" si="211"/>
        <v>4.14.01</v>
      </c>
      <c r="Y773" s="207" t="str">
        <f t="shared" si="212"/>
        <v>Bangunan Air Irigasi</v>
      </c>
      <c r="Z773" s="207">
        <f t="shared" si="213"/>
        <v>50</v>
      </c>
      <c r="AA773" s="233">
        <f t="shared" si="214"/>
        <v>4006099.8</v>
      </c>
      <c r="AB773" s="208"/>
      <c r="AC773" s="233">
        <f t="shared" si="215"/>
        <v>0</v>
      </c>
      <c r="AD773" s="233">
        <f t="shared" si="216"/>
        <v>4006099.8</v>
      </c>
      <c r="AE773" s="233">
        <f t="shared" si="217"/>
        <v>4006099.8</v>
      </c>
      <c r="AF773" s="233">
        <f t="shared" si="218"/>
        <v>4006099.8</v>
      </c>
      <c r="AG773" s="233">
        <f t="shared" si="219"/>
        <v>4006099.8</v>
      </c>
      <c r="AH773" s="238">
        <f t="shared" si="220"/>
        <v>4006099.8</v>
      </c>
      <c r="AI773" s="238">
        <f t="shared" si="221"/>
        <v>20030499</v>
      </c>
      <c r="AJ773" s="261">
        <f t="shared" si="222"/>
        <v>2014</v>
      </c>
      <c r="AK773" s="233">
        <f t="shared" si="223"/>
        <v>180274501</v>
      </c>
    </row>
    <row r="774" spans="6:37" s="120" customFormat="1" ht="35.25" hidden="1" customHeight="1" x14ac:dyDescent="0.2">
      <c r="F774" s="218" t="s">
        <v>2306</v>
      </c>
      <c r="G774" s="130"/>
      <c r="H774" s="67" t="s">
        <v>1530</v>
      </c>
      <c r="I774" s="32"/>
      <c r="J774" s="67"/>
      <c r="K774" s="32"/>
      <c r="L774" s="362"/>
      <c r="M774" s="67"/>
      <c r="N774" s="362"/>
      <c r="O774" s="65" t="s">
        <v>3434</v>
      </c>
      <c r="P774" s="32">
        <v>2014</v>
      </c>
      <c r="Q774" s="67"/>
      <c r="R774" s="67"/>
      <c r="S774" s="67"/>
      <c r="T774" s="32" t="s">
        <v>12</v>
      </c>
      <c r="U774" s="252">
        <v>198265000</v>
      </c>
      <c r="V774" s="32"/>
      <c r="W774" s="132"/>
      <c r="X774" s="206" t="str">
        <f t="shared" si="211"/>
        <v>4.14.01</v>
      </c>
      <c r="Y774" s="207" t="str">
        <f t="shared" si="212"/>
        <v>Bangunan Air Irigasi</v>
      </c>
      <c r="Z774" s="207">
        <f t="shared" si="213"/>
        <v>50</v>
      </c>
      <c r="AA774" s="233">
        <f t="shared" si="214"/>
        <v>3965299.8</v>
      </c>
      <c r="AB774" s="208"/>
      <c r="AC774" s="233">
        <f t="shared" si="215"/>
        <v>0</v>
      </c>
      <c r="AD774" s="233">
        <f t="shared" si="216"/>
        <v>3965299.8</v>
      </c>
      <c r="AE774" s="233">
        <f t="shared" si="217"/>
        <v>3965299.8</v>
      </c>
      <c r="AF774" s="233">
        <f t="shared" si="218"/>
        <v>3965299.8</v>
      </c>
      <c r="AG774" s="233">
        <f t="shared" si="219"/>
        <v>3965299.8</v>
      </c>
      <c r="AH774" s="238">
        <f t="shared" si="220"/>
        <v>3965299.8</v>
      </c>
      <c r="AI774" s="238">
        <f t="shared" si="221"/>
        <v>19826499</v>
      </c>
      <c r="AJ774" s="261">
        <f t="shared" si="222"/>
        <v>2014</v>
      </c>
      <c r="AK774" s="233">
        <f t="shared" si="223"/>
        <v>178438501</v>
      </c>
    </row>
    <row r="775" spans="6:37" s="120" customFormat="1" ht="35.25" hidden="1" customHeight="1" x14ac:dyDescent="0.2">
      <c r="F775" s="218" t="s">
        <v>2306</v>
      </c>
      <c r="G775" s="130"/>
      <c r="H775" s="67" t="s">
        <v>1531</v>
      </c>
      <c r="I775" s="32"/>
      <c r="J775" s="67"/>
      <c r="K775" s="32"/>
      <c r="L775" s="362"/>
      <c r="M775" s="67"/>
      <c r="N775" s="362"/>
      <c r="O775" s="65" t="s">
        <v>3435</v>
      </c>
      <c r="P775" s="32">
        <v>2014</v>
      </c>
      <c r="Q775" s="67"/>
      <c r="R775" s="67"/>
      <c r="S775" s="67"/>
      <c r="T775" s="32" t="s">
        <v>12</v>
      </c>
      <c r="U775" s="252">
        <v>199600000</v>
      </c>
      <c r="V775" s="32"/>
      <c r="W775" s="132"/>
      <c r="X775" s="206" t="str">
        <f t="shared" si="211"/>
        <v>4.14.01</v>
      </c>
      <c r="Y775" s="207" t="str">
        <f t="shared" si="212"/>
        <v>Bangunan Air Irigasi</v>
      </c>
      <c r="Z775" s="207">
        <f t="shared" si="213"/>
        <v>50</v>
      </c>
      <c r="AA775" s="233">
        <f t="shared" si="214"/>
        <v>3991999.8</v>
      </c>
      <c r="AB775" s="208"/>
      <c r="AC775" s="233">
        <f t="shared" si="215"/>
        <v>0</v>
      </c>
      <c r="AD775" s="233">
        <f t="shared" si="216"/>
        <v>3991999.8</v>
      </c>
      <c r="AE775" s="233">
        <f t="shared" si="217"/>
        <v>3991999.8</v>
      </c>
      <c r="AF775" s="233">
        <f t="shared" si="218"/>
        <v>3991999.8</v>
      </c>
      <c r="AG775" s="233">
        <f t="shared" si="219"/>
        <v>3991999.8</v>
      </c>
      <c r="AH775" s="238">
        <f t="shared" si="220"/>
        <v>3991999.8</v>
      </c>
      <c r="AI775" s="238">
        <f t="shared" si="221"/>
        <v>19959999</v>
      </c>
      <c r="AJ775" s="261">
        <f t="shared" si="222"/>
        <v>2014</v>
      </c>
      <c r="AK775" s="233">
        <f t="shared" si="223"/>
        <v>179640001</v>
      </c>
    </row>
    <row r="776" spans="6:37" s="120" customFormat="1" ht="35.25" hidden="1" customHeight="1" x14ac:dyDescent="0.2">
      <c r="F776" s="218" t="s">
        <v>2306</v>
      </c>
      <c r="G776" s="130"/>
      <c r="H776" s="67" t="s">
        <v>1532</v>
      </c>
      <c r="I776" s="32"/>
      <c r="J776" s="67"/>
      <c r="K776" s="32"/>
      <c r="L776" s="362"/>
      <c r="M776" s="67"/>
      <c r="N776" s="362"/>
      <c r="O776" s="65" t="s">
        <v>3436</v>
      </c>
      <c r="P776" s="32">
        <v>2014</v>
      </c>
      <c r="Q776" s="67"/>
      <c r="R776" s="67"/>
      <c r="S776" s="67"/>
      <c r="T776" s="32" t="s">
        <v>12</v>
      </c>
      <c r="U776" s="252">
        <v>199532000</v>
      </c>
      <c r="V776" s="32"/>
      <c r="W776" s="132"/>
      <c r="X776" s="206" t="str">
        <f t="shared" si="211"/>
        <v>4.14.01</v>
      </c>
      <c r="Y776" s="207" t="str">
        <f t="shared" si="212"/>
        <v>Bangunan Air Irigasi</v>
      </c>
      <c r="Z776" s="207">
        <f t="shared" si="213"/>
        <v>50</v>
      </c>
      <c r="AA776" s="233">
        <f t="shared" si="214"/>
        <v>3990639.8</v>
      </c>
      <c r="AB776" s="208"/>
      <c r="AC776" s="233">
        <f t="shared" si="215"/>
        <v>0</v>
      </c>
      <c r="AD776" s="233">
        <f t="shared" si="216"/>
        <v>3990639.8</v>
      </c>
      <c r="AE776" s="233">
        <f t="shared" si="217"/>
        <v>3990639.8</v>
      </c>
      <c r="AF776" s="233">
        <f t="shared" si="218"/>
        <v>3990639.8</v>
      </c>
      <c r="AG776" s="233">
        <f t="shared" si="219"/>
        <v>3990639.8</v>
      </c>
      <c r="AH776" s="238">
        <f t="shared" si="220"/>
        <v>3990639.8</v>
      </c>
      <c r="AI776" s="238">
        <f t="shared" si="221"/>
        <v>19953199</v>
      </c>
      <c r="AJ776" s="261">
        <f t="shared" si="222"/>
        <v>2014</v>
      </c>
      <c r="AK776" s="233">
        <f t="shared" si="223"/>
        <v>179578801</v>
      </c>
    </row>
    <row r="777" spans="6:37" s="120" customFormat="1" ht="35.25" hidden="1" customHeight="1" x14ac:dyDescent="0.2">
      <c r="F777" s="218" t="s">
        <v>2306</v>
      </c>
      <c r="G777" s="130"/>
      <c r="H777" s="67" t="s">
        <v>1533</v>
      </c>
      <c r="I777" s="32"/>
      <c r="J777" s="67"/>
      <c r="K777" s="32"/>
      <c r="L777" s="362"/>
      <c r="M777" s="67"/>
      <c r="N777" s="362"/>
      <c r="O777" s="65" t="s">
        <v>3437</v>
      </c>
      <c r="P777" s="32">
        <v>2014</v>
      </c>
      <c r="Q777" s="67"/>
      <c r="R777" s="67"/>
      <c r="S777" s="67"/>
      <c r="T777" s="32" t="s">
        <v>12</v>
      </c>
      <c r="U777" s="252">
        <v>200050000</v>
      </c>
      <c r="V777" s="32"/>
      <c r="W777" s="132"/>
      <c r="X777" s="206" t="str">
        <f t="shared" si="211"/>
        <v>4.14.01</v>
      </c>
      <c r="Y777" s="207" t="str">
        <f t="shared" si="212"/>
        <v>Bangunan Air Irigasi</v>
      </c>
      <c r="Z777" s="207">
        <f t="shared" si="213"/>
        <v>50</v>
      </c>
      <c r="AA777" s="233">
        <f t="shared" si="214"/>
        <v>4000999.8</v>
      </c>
      <c r="AB777" s="208"/>
      <c r="AC777" s="233">
        <f t="shared" si="215"/>
        <v>0</v>
      </c>
      <c r="AD777" s="233">
        <f t="shared" si="216"/>
        <v>4000999.8</v>
      </c>
      <c r="AE777" s="233">
        <f t="shared" si="217"/>
        <v>4000999.8</v>
      </c>
      <c r="AF777" s="233">
        <f t="shared" si="218"/>
        <v>4000999.8</v>
      </c>
      <c r="AG777" s="233">
        <f t="shared" si="219"/>
        <v>4000999.8</v>
      </c>
      <c r="AH777" s="238">
        <f t="shared" si="220"/>
        <v>4000999.8</v>
      </c>
      <c r="AI777" s="238">
        <f t="shared" si="221"/>
        <v>20004999</v>
      </c>
      <c r="AJ777" s="261">
        <f t="shared" si="222"/>
        <v>2014</v>
      </c>
      <c r="AK777" s="233">
        <f t="shared" si="223"/>
        <v>180045001</v>
      </c>
    </row>
    <row r="778" spans="6:37" s="120" customFormat="1" ht="35.25" hidden="1" customHeight="1" x14ac:dyDescent="0.2">
      <c r="F778" s="218" t="s">
        <v>2306</v>
      </c>
      <c r="G778" s="130"/>
      <c r="H778" s="67" t="s">
        <v>1534</v>
      </c>
      <c r="I778" s="32"/>
      <c r="J778" s="67"/>
      <c r="K778" s="32"/>
      <c r="L778" s="362"/>
      <c r="M778" s="67"/>
      <c r="N778" s="362"/>
      <c r="O778" s="65" t="s">
        <v>3438</v>
      </c>
      <c r="P778" s="32">
        <v>2014</v>
      </c>
      <c r="Q778" s="67"/>
      <c r="R778" s="67"/>
      <c r="S778" s="67"/>
      <c r="T778" s="32" t="s">
        <v>12</v>
      </c>
      <c r="U778" s="252">
        <v>200200000</v>
      </c>
      <c r="V778" s="32"/>
      <c r="W778" s="132"/>
      <c r="X778" s="206" t="str">
        <f t="shared" si="211"/>
        <v>4.14.01</v>
      </c>
      <c r="Y778" s="207" t="str">
        <f t="shared" si="212"/>
        <v>Bangunan Air Irigasi</v>
      </c>
      <c r="Z778" s="207">
        <f t="shared" si="213"/>
        <v>50</v>
      </c>
      <c r="AA778" s="233">
        <f t="shared" si="214"/>
        <v>4003999.8</v>
      </c>
      <c r="AB778" s="208"/>
      <c r="AC778" s="233">
        <f t="shared" si="215"/>
        <v>0</v>
      </c>
      <c r="AD778" s="233">
        <f t="shared" si="216"/>
        <v>4003999.8</v>
      </c>
      <c r="AE778" s="233">
        <f t="shared" si="217"/>
        <v>4003999.8</v>
      </c>
      <c r="AF778" s="233">
        <f t="shared" si="218"/>
        <v>4003999.8</v>
      </c>
      <c r="AG778" s="233">
        <f t="shared" si="219"/>
        <v>4003999.8</v>
      </c>
      <c r="AH778" s="238">
        <f t="shared" si="220"/>
        <v>4003999.8</v>
      </c>
      <c r="AI778" s="238">
        <f t="shared" si="221"/>
        <v>20019999</v>
      </c>
      <c r="AJ778" s="261">
        <f t="shared" si="222"/>
        <v>2014</v>
      </c>
      <c r="AK778" s="233">
        <f t="shared" si="223"/>
        <v>180180001</v>
      </c>
    </row>
    <row r="779" spans="6:37" s="120" customFormat="1" ht="35.25" hidden="1" customHeight="1" x14ac:dyDescent="0.2">
      <c r="F779" s="218" t="s">
        <v>2306</v>
      </c>
      <c r="G779" s="130"/>
      <c r="H779" s="67" t="s">
        <v>1535</v>
      </c>
      <c r="I779" s="32"/>
      <c r="J779" s="67"/>
      <c r="K779" s="32"/>
      <c r="L779" s="362"/>
      <c r="M779" s="67"/>
      <c r="N779" s="362"/>
      <c r="O779" s="65" t="s">
        <v>3439</v>
      </c>
      <c r="P779" s="32">
        <v>2014</v>
      </c>
      <c r="Q779" s="67"/>
      <c r="R779" s="67"/>
      <c r="S779" s="67"/>
      <c r="T779" s="32" t="s">
        <v>12</v>
      </c>
      <c r="U779" s="252">
        <v>199710000</v>
      </c>
      <c r="V779" s="32"/>
      <c r="W779" s="132"/>
      <c r="X779" s="206" t="str">
        <f t="shared" si="211"/>
        <v>4.14.01</v>
      </c>
      <c r="Y779" s="207" t="str">
        <f t="shared" si="212"/>
        <v>Bangunan Air Irigasi</v>
      </c>
      <c r="Z779" s="207">
        <f t="shared" si="213"/>
        <v>50</v>
      </c>
      <c r="AA779" s="233">
        <f t="shared" si="214"/>
        <v>3994199.8</v>
      </c>
      <c r="AB779" s="208"/>
      <c r="AC779" s="233">
        <f t="shared" si="215"/>
        <v>0</v>
      </c>
      <c r="AD779" s="233">
        <f t="shared" si="216"/>
        <v>3994199.8</v>
      </c>
      <c r="AE779" s="233">
        <f t="shared" si="217"/>
        <v>3994199.8</v>
      </c>
      <c r="AF779" s="233">
        <f t="shared" si="218"/>
        <v>3994199.8</v>
      </c>
      <c r="AG779" s="233">
        <f t="shared" si="219"/>
        <v>3994199.8</v>
      </c>
      <c r="AH779" s="238">
        <f t="shared" si="220"/>
        <v>3994199.8</v>
      </c>
      <c r="AI779" s="238">
        <f t="shared" si="221"/>
        <v>19970999</v>
      </c>
      <c r="AJ779" s="261">
        <f t="shared" si="222"/>
        <v>2014</v>
      </c>
      <c r="AK779" s="233">
        <f t="shared" si="223"/>
        <v>179739001</v>
      </c>
    </row>
    <row r="780" spans="6:37" s="120" customFormat="1" ht="35.25" hidden="1" customHeight="1" x14ac:dyDescent="0.2">
      <c r="F780" s="218" t="s">
        <v>2306</v>
      </c>
      <c r="G780" s="130"/>
      <c r="H780" s="67" t="s">
        <v>1536</v>
      </c>
      <c r="I780" s="32"/>
      <c r="J780" s="67"/>
      <c r="K780" s="32"/>
      <c r="L780" s="362"/>
      <c r="M780" s="67"/>
      <c r="N780" s="362"/>
      <c r="O780" s="65" t="s">
        <v>3440</v>
      </c>
      <c r="P780" s="32">
        <v>2014</v>
      </c>
      <c r="Q780" s="67"/>
      <c r="R780" s="67"/>
      <c r="S780" s="67"/>
      <c r="T780" s="32" t="s">
        <v>12</v>
      </c>
      <c r="U780" s="252">
        <v>199750000</v>
      </c>
      <c r="V780" s="32"/>
      <c r="W780" s="132"/>
      <c r="X780" s="206" t="str">
        <f t="shared" si="211"/>
        <v>4.14.01</v>
      </c>
      <c r="Y780" s="207" t="str">
        <f t="shared" si="212"/>
        <v>Bangunan Air Irigasi</v>
      </c>
      <c r="Z780" s="207">
        <f t="shared" si="213"/>
        <v>50</v>
      </c>
      <c r="AA780" s="233">
        <f t="shared" si="214"/>
        <v>3994999.8</v>
      </c>
      <c r="AB780" s="208"/>
      <c r="AC780" s="233">
        <f t="shared" si="215"/>
        <v>0</v>
      </c>
      <c r="AD780" s="233">
        <f t="shared" si="216"/>
        <v>3994999.8</v>
      </c>
      <c r="AE780" s="233">
        <f t="shared" si="217"/>
        <v>3994999.8</v>
      </c>
      <c r="AF780" s="233">
        <f t="shared" si="218"/>
        <v>3994999.8</v>
      </c>
      <c r="AG780" s="233">
        <f t="shared" si="219"/>
        <v>3994999.8</v>
      </c>
      <c r="AH780" s="238">
        <f t="shared" si="220"/>
        <v>3994999.8</v>
      </c>
      <c r="AI780" s="238">
        <f t="shared" si="221"/>
        <v>19974999</v>
      </c>
      <c r="AJ780" s="261">
        <f t="shared" si="222"/>
        <v>2014</v>
      </c>
      <c r="AK780" s="233">
        <f t="shared" si="223"/>
        <v>179775001</v>
      </c>
    </row>
    <row r="781" spans="6:37" s="120" customFormat="1" ht="35.25" hidden="1" customHeight="1" x14ac:dyDescent="0.2">
      <c r="F781" s="218" t="s">
        <v>2306</v>
      </c>
      <c r="G781" s="130"/>
      <c r="H781" s="67" t="s">
        <v>1537</v>
      </c>
      <c r="I781" s="32"/>
      <c r="J781" s="67"/>
      <c r="K781" s="32"/>
      <c r="L781" s="362"/>
      <c r="M781" s="67"/>
      <c r="N781" s="362"/>
      <c r="O781" s="65" t="s">
        <v>3441</v>
      </c>
      <c r="P781" s="32">
        <v>2014</v>
      </c>
      <c r="Q781" s="67"/>
      <c r="R781" s="67"/>
      <c r="S781" s="67"/>
      <c r="T781" s="32" t="s">
        <v>12</v>
      </c>
      <c r="U781" s="252">
        <v>200025000</v>
      </c>
      <c r="V781" s="32"/>
      <c r="W781" s="132"/>
      <c r="X781" s="206" t="str">
        <f t="shared" si="211"/>
        <v>4.14.01</v>
      </c>
      <c r="Y781" s="207" t="str">
        <f t="shared" si="212"/>
        <v>Bangunan Air Irigasi</v>
      </c>
      <c r="Z781" s="207">
        <f t="shared" si="213"/>
        <v>50</v>
      </c>
      <c r="AA781" s="233">
        <f t="shared" si="214"/>
        <v>4000499.8</v>
      </c>
      <c r="AB781" s="208"/>
      <c r="AC781" s="233">
        <f t="shared" si="215"/>
        <v>0</v>
      </c>
      <c r="AD781" s="233">
        <f t="shared" si="216"/>
        <v>4000499.8</v>
      </c>
      <c r="AE781" s="233">
        <f t="shared" si="217"/>
        <v>4000499.8</v>
      </c>
      <c r="AF781" s="233">
        <f t="shared" si="218"/>
        <v>4000499.8</v>
      </c>
      <c r="AG781" s="233">
        <f t="shared" si="219"/>
        <v>4000499.8</v>
      </c>
      <c r="AH781" s="238">
        <f t="shared" si="220"/>
        <v>4000499.8</v>
      </c>
      <c r="AI781" s="238">
        <f t="shared" si="221"/>
        <v>20002499</v>
      </c>
      <c r="AJ781" s="261">
        <f t="shared" si="222"/>
        <v>2014</v>
      </c>
      <c r="AK781" s="233">
        <f t="shared" si="223"/>
        <v>180022501</v>
      </c>
    </row>
    <row r="782" spans="6:37" s="120" customFormat="1" ht="35.25" hidden="1" customHeight="1" x14ac:dyDescent="0.2">
      <c r="F782" s="218" t="s">
        <v>2306</v>
      </c>
      <c r="G782" s="130"/>
      <c r="H782" s="67" t="s">
        <v>1538</v>
      </c>
      <c r="I782" s="32"/>
      <c r="J782" s="67"/>
      <c r="K782" s="32"/>
      <c r="L782" s="362"/>
      <c r="M782" s="67"/>
      <c r="N782" s="362"/>
      <c r="O782" s="65" t="s">
        <v>3442</v>
      </c>
      <c r="P782" s="32">
        <v>2014</v>
      </c>
      <c r="Q782" s="67"/>
      <c r="R782" s="67"/>
      <c r="S782" s="67"/>
      <c r="T782" s="32" t="s">
        <v>12</v>
      </c>
      <c r="U782" s="252">
        <v>199930000</v>
      </c>
      <c r="V782" s="32"/>
      <c r="W782" s="132"/>
      <c r="X782" s="206" t="str">
        <f t="shared" si="211"/>
        <v>4.14.01</v>
      </c>
      <c r="Y782" s="207" t="str">
        <f t="shared" si="212"/>
        <v>Bangunan Air Irigasi</v>
      </c>
      <c r="Z782" s="207">
        <f t="shared" si="213"/>
        <v>50</v>
      </c>
      <c r="AA782" s="233">
        <f t="shared" si="214"/>
        <v>3998599.8</v>
      </c>
      <c r="AB782" s="208"/>
      <c r="AC782" s="233">
        <f t="shared" si="215"/>
        <v>0</v>
      </c>
      <c r="AD782" s="233">
        <f t="shared" si="216"/>
        <v>3998599.8</v>
      </c>
      <c r="AE782" s="233">
        <f t="shared" si="217"/>
        <v>3998599.8</v>
      </c>
      <c r="AF782" s="233">
        <f t="shared" si="218"/>
        <v>3998599.8</v>
      </c>
      <c r="AG782" s="233">
        <f t="shared" si="219"/>
        <v>3998599.8</v>
      </c>
      <c r="AH782" s="238">
        <f t="shared" si="220"/>
        <v>3998599.8</v>
      </c>
      <c r="AI782" s="238">
        <f t="shared" si="221"/>
        <v>19992999</v>
      </c>
      <c r="AJ782" s="261">
        <f t="shared" si="222"/>
        <v>2014</v>
      </c>
      <c r="AK782" s="233">
        <f t="shared" si="223"/>
        <v>179937001</v>
      </c>
    </row>
    <row r="783" spans="6:37" s="120" customFormat="1" ht="35.25" hidden="1" customHeight="1" x14ac:dyDescent="0.2">
      <c r="F783" s="218" t="s">
        <v>2306</v>
      </c>
      <c r="G783" s="130"/>
      <c r="H783" s="67" t="s">
        <v>1539</v>
      </c>
      <c r="I783" s="32"/>
      <c r="J783" s="67"/>
      <c r="K783" s="32"/>
      <c r="L783" s="362"/>
      <c r="M783" s="67"/>
      <c r="N783" s="362"/>
      <c r="O783" s="65" t="s">
        <v>3443</v>
      </c>
      <c r="P783" s="32">
        <v>2014</v>
      </c>
      <c r="Q783" s="67"/>
      <c r="R783" s="67"/>
      <c r="S783" s="67"/>
      <c r="T783" s="32" t="s">
        <v>12</v>
      </c>
      <c r="U783" s="252">
        <v>199000000</v>
      </c>
      <c r="V783" s="32"/>
      <c r="W783" s="132"/>
      <c r="X783" s="206" t="str">
        <f t="shared" si="211"/>
        <v>4.14.01</v>
      </c>
      <c r="Y783" s="207" t="str">
        <f t="shared" si="212"/>
        <v>Bangunan Air Irigasi</v>
      </c>
      <c r="Z783" s="207">
        <f t="shared" si="213"/>
        <v>50</v>
      </c>
      <c r="AA783" s="233">
        <f t="shared" si="214"/>
        <v>3979999.8</v>
      </c>
      <c r="AB783" s="208"/>
      <c r="AC783" s="233">
        <f t="shared" si="215"/>
        <v>0</v>
      </c>
      <c r="AD783" s="233">
        <f t="shared" si="216"/>
        <v>3979999.8</v>
      </c>
      <c r="AE783" s="233">
        <f t="shared" si="217"/>
        <v>3979999.8</v>
      </c>
      <c r="AF783" s="233">
        <f t="shared" si="218"/>
        <v>3979999.8</v>
      </c>
      <c r="AG783" s="233">
        <f t="shared" si="219"/>
        <v>3979999.8</v>
      </c>
      <c r="AH783" s="238">
        <f t="shared" si="220"/>
        <v>3979999.8</v>
      </c>
      <c r="AI783" s="238">
        <f t="shared" si="221"/>
        <v>19899999</v>
      </c>
      <c r="AJ783" s="261">
        <f t="shared" si="222"/>
        <v>2014</v>
      </c>
      <c r="AK783" s="233">
        <f t="shared" si="223"/>
        <v>179100001</v>
      </c>
    </row>
    <row r="784" spans="6:37" s="120" customFormat="1" ht="35.25" hidden="1" customHeight="1" x14ac:dyDescent="0.2">
      <c r="F784" s="218" t="s">
        <v>2306</v>
      </c>
      <c r="G784" s="130"/>
      <c r="H784" s="67" t="s">
        <v>1540</v>
      </c>
      <c r="I784" s="32"/>
      <c r="J784" s="67"/>
      <c r="K784" s="32"/>
      <c r="L784" s="362"/>
      <c r="M784" s="67"/>
      <c r="N784" s="362"/>
      <c r="O784" s="65"/>
      <c r="P784" s="32">
        <v>2014</v>
      </c>
      <c r="Q784" s="67"/>
      <c r="R784" s="67"/>
      <c r="S784" s="67"/>
      <c r="T784" s="32" t="s">
        <v>12</v>
      </c>
      <c r="U784" s="252">
        <v>199167000</v>
      </c>
      <c r="V784" s="32"/>
      <c r="W784" s="132"/>
      <c r="X784" s="206" t="str">
        <f t="shared" si="211"/>
        <v>4.14.01</v>
      </c>
      <c r="Y784" s="207" t="str">
        <f t="shared" si="212"/>
        <v>Bangunan Air Irigasi</v>
      </c>
      <c r="Z784" s="207">
        <f t="shared" si="213"/>
        <v>50</v>
      </c>
      <c r="AA784" s="233">
        <f t="shared" si="214"/>
        <v>3983339.8</v>
      </c>
      <c r="AB784" s="208"/>
      <c r="AC784" s="233">
        <f t="shared" si="215"/>
        <v>0</v>
      </c>
      <c r="AD784" s="233">
        <f t="shared" si="216"/>
        <v>3983339.8</v>
      </c>
      <c r="AE784" s="233">
        <f t="shared" si="217"/>
        <v>3983339.8</v>
      </c>
      <c r="AF784" s="233">
        <f t="shared" si="218"/>
        <v>3983339.8</v>
      </c>
      <c r="AG784" s="233">
        <f t="shared" si="219"/>
        <v>3983339.8</v>
      </c>
      <c r="AH784" s="238">
        <f t="shared" si="220"/>
        <v>3983339.8</v>
      </c>
      <c r="AI784" s="238">
        <f t="shared" si="221"/>
        <v>19916699</v>
      </c>
      <c r="AJ784" s="261">
        <f t="shared" si="222"/>
        <v>2014</v>
      </c>
      <c r="AK784" s="233">
        <f t="shared" si="223"/>
        <v>179250301</v>
      </c>
    </row>
    <row r="785" spans="1:37" s="120" customFormat="1" ht="35.25" hidden="1" customHeight="1" x14ac:dyDescent="0.2">
      <c r="F785" s="218" t="s">
        <v>2306</v>
      </c>
      <c r="G785" s="130"/>
      <c r="H785" s="67" t="s">
        <v>1541</v>
      </c>
      <c r="I785" s="32"/>
      <c r="J785" s="67"/>
      <c r="K785" s="32"/>
      <c r="L785" s="362"/>
      <c r="M785" s="67"/>
      <c r="N785" s="362"/>
      <c r="O785" s="65" t="s">
        <v>3444</v>
      </c>
      <c r="P785" s="32">
        <v>2014</v>
      </c>
      <c r="Q785" s="67"/>
      <c r="R785" s="67"/>
      <c r="S785" s="67"/>
      <c r="T785" s="32" t="s">
        <v>12</v>
      </c>
      <c r="U785" s="252">
        <v>198300000</v>
      </c>
      <c r="V785" s="32"/>
      <c r="W785" s="132"/>
      <c r="X785" s="206" t="str">
        <f t="shared" si="211"/>
        <v>4.14.01</v>
      </c>
      <c r="Y785" s="207" t="str">
        <f t="shared" si="212"/>
        <v>Bangunan Air Irigasi</v>
      </c>
      <c r="Z785" s="207">
        <f t="shared" si="213"/>
        <v>50</v>
      </c>
      <c r="AA785" s="233">
        <f t="shared" si="214"/>
        <v>3965999.8</v>
      </c>
      <c r="AB785" s="208"/>
      <c r="AC785" s="233">
        <f t="shared" si="215"/>
        <v>0</v>
      </c>
      <c r="AD785" s="233">
        <f t="shared" si="216"/>
        <v>3965999.8</v>
      </c>
      <c r="AE785" s="233">
        <f t="shared" si="217"/>
        <v>3965999.8</v>
      </c>
      <c r="AF785" s="233">
        <f t="shared" si="218"/>
        <v>3965999.8</v>
      </c>
      <c r="AG785" s="233">
        <f t="shared" si="219"/>
        <v>3965999.8</v>
      </c>
      <c r="AH785" s="238">
        <f t="shared" si="220"/>
        <v>3965999.8</v>
      </c>
      <c r="AI785" s="238">
        <f t="shared" si="221"/>
        <v>19829999</v>
      </c>
      <c r="AJ785" s="261">
        <f t="shared" si="222"/>
        <v>2014</v>
      </c>
      <c r="AK785" s="233">
        <f t="shared" si="223"/>
        <v>178470001</v>
      </c>
    </row>
    <row r="786" spans="1:37" s="120" customFormat="1" ht="35.25" hidden="1" customHeight="1" x14ac:dyDescent="0.2">
      <c r="F786" s="218" t="s">
        <v>2306</v>
      </c>
      <c r="G786" s="130"/>
      <c r="H786" s="67" t="s">
        <v>1542</v>
      </c>
      <c r="I786" s="32"/>
      <c r="J786" s="67"/>
      <c r="K786" s="32"/>
      <c r="L786" s="362"/>
      <c r="M786" s="67"/>
      <c r="N786" s="362"/>
      <c r="O786" s="65" t="s">
        <v>3445</v>
      </c>
      <c r="P786" s="32">
        <v>2014</v>
      </c>
      <c r="Q786" s="67"/>
      <c r="R786" s="67"/>
      <c r="S786" s="67"/>
      <c r="T786" s="32" t="s">
        <v>12</v>
      </c>
      <c r="U786" s="252">
        <v>197650000</v>
      </c>
      <c r="V786" s="32"/>
      <c r="W786" s="132"/>
      <c r="X786" s="206" t="str">
        <f t="shared" ref="X786:X817" si="224">F786</f>
        <v>4.14.01</v>
      </c>
      <c r="Y786" s="207" t="str">
        <f t="shared" si="212"/>
        <v>Bangunan Air Irigasi</v>
      </c>
      <c r="Z786" s="207">
        <f t="shared" si="213"/>
        <v>50</v>
      </c>
      <c r="AA786" s="233">
        <f t="shared" si="214"/>
        <v>3952999.8</v>
      </c>
      <c r="AB786" s="208"/>
      <c r="AC786" s="233">
        <f t="shared" si="215"/>
        <v>0</v>
      </c>
      <c r="AD786" s="233">
        <f t="shared" si="216"/>
        <v>3952999.8</v>
      </c>
      <c r="AE786" s="233">
        <f t="shared" si="217"/>
        <v>3952999.8</v>
      </c>
      <c r="AF786" s="233">
        <f t="shared" si="218"/>
        <v>3952999.8</v>
      </c>
      <c r="AG786" s="233">
        <f t="shared" si="219"/>
        <v>3952999.8</v>
      </c>
      <c r="AH786" s="238">
        <f t="shared" si="220"/>
        <v>3952999.8</v>
      </c>
      <c r="AI786" s="238">
        <f t="shared" si="221"/>
        <v>19764999</v>
      </c>
      <c r="AJ786" s="261">
        <f t="shared" si="222"/>
        <v>2014</v>
      </c>
      <c r="AK786" s="233">
        <f t="shared" si="223"/>
        <v>177885001</v>
      </c>
    </row>
    <row r="787" spans="1:37" s="120" customFormat="1" ht="35.25" hidden="1" customHeight="1" x14ac:dyDescent="0.2">
      <c r="F787" s="218" t="s">
        <v>2306</v>
      </c>
      <c r="G787" s="130"/>
      <c r="H787" s="67" t="s">
        <v>1543</v>
      </c>
      <c r="I787" s="32"/>
      <c r="J787" s="67"/>
      <c r="K787" s="32"/>
      <c r="L787" s="362"/>
      <c r="M787" s="67"/>
      <c r="N787" s="362"/>
      <c r="O787" s="65" t="s">
        <v>3446</v>
      </c>
      <c r="P787" s="32">
        <v>2014</v>
      </c>
      <c r="Q787" s="67"/>
      <c r="R787" s="67"/>
      <c r="S787" s="67"/>
      <c r="T787" s="32" t="s">
        <v>12</v>
      </c>
      <c r="U787" s="252">
        <v>198150000</v>
      </c>
      <c r="V787" s="32"/>
      <c r="W787" s="132"/>
      <c r="X787" s="206" t="str">
        <f t="shared" si="224"/>
        <v>4.14.01</v>
      </c>
      <c r="Y787" s="207" t="str">
        <f t="shared" si="212"/>
        <v>Bangunan Air Irigasi</v>
      </c>
      <c r="Z787" s="207">
        <f t="shared" si="213"/>
        <v>50</v>
      </c>
      <c r="AA787" s="233">
        <f t="shared" si="214"/>
        <v>3962999.8</v>
      </c>
      <c r="AB787" s="208"/>
      <c r="AC787" s="233">
        <f t="shared" si="215"/>
        <v>0</v>
      </c>
      <c r="AD787" s="233">
        <f t="shared" si="216"/>
        <v>3962999.8</v>
      </c>
      <c r="AE787" s="233">
        <f t="shared" si="217"/>
        <v>3962999.8</v>
      </c>
      <c r="AF787" s="233">
        <f t="shared" si="218"/>
        <v>3962999.8</v>
      </c>
      <c r="AG787" s="233">
        <f t="shared" si="219"/>
        <v>3962999.8</v>
      </c>
      <c r="AH787" s="238">
        <f t="shared" si="220"/>
        <v>3962999.8</v>
      </c>
      <c r="AI787" s="238">
        <f t="shared" si="221"/>
        <v>19814999</v>
      </c>
      <c r="AJ787" s="261">
        <f t="shared" si="222"/>
        <v>2014</v>
      </c>
      <c r="AK787" s="233">
        <f t="shared" si="223"/>
        <v>178335001</v>
      </c>
    </row>
    <row r="788" spans="1:37" s="120" customFormat="1" ht="35.25" hidden="1" customHeight="1" x14ac:dyDescent="0.2">
      <c r="F788" s="218" t="s">
        <v>2306</v>
      </c>
      <c r="G788" s="130"/>
      <c r="H788" s="67" t="s">
        <v>1544</v>
      </c>
      <c r="I788" s="32"/>
      <c r="J788" s="67"/>
      <c r="K788" s="32"/>
      <c r="L788" s="362"/>
      <c r="M788" s="67"/>
      <c r="N788" s="362"/>
      <c r="O788" s="65" t="s">
        <v>3447</v>
      </c>
      <c r="P788" s="32">
        <v>2015</v>
      </c>
      <c r="Q788" s="67"/>
      <c r="R788" s="67"/>
      <c r="S788" s="67"/>
      <c r="T788" s="32" t="s">
        <v>12</v>
      </c>
      <c r="U788" s="252">
        <v>195475522</v>
      </c>
      <c r="V788" s="32"/>
      <c r="W788" s="132"/>
      <c r="X788" s="206" t="str">
        <f t="shared" si="224"/>
        <v>4.14.01</v>
      </c>
      <c r="Y788" s="207" t="str">
        <f t="shared" si="212"/>
        <v>Bangunan Air Irigasi</v>
      </c>
      <c r="Z788" s="207">
        <f t="shared" si="213"/>
        <v>50</v>
      </c>
      <c r="AA788" s="233">
        <f t="shared" si="214"/>
        <v>3909510.24</v>
      </c>
      <c r="AB788" s="208"/>
      <c r="AC788" s="233">
        <f t="shared" si="215"/>
        <v>0</v>
      </c>
      <c r="AD788" s="233"/>
      <c r="AE788" s="233">
        <f t="shared" si="217"/>
        <v>3909510.24</v>
      </c>
      <c r="AF788" s="233">
        <f t="shared" si="218"/>
        <v>3909510.24</v>
      </c>
      <c r="AG788" s="233">
        <f t="shared" si="219"/>
        <v>3909510.24</v>
      </c>
      <c r="AH788" s="238">
        <f t="shared" si="220"/>
        <v>3909510.24</v>
      </c>
      <c r="AI788" s="238">
        <f t="shared" si="221"/>
        <v>15638040.960000001</v>
      </c>
      <c r="AJ788" s="261">
        <f t="shared" si="222"/>
        <v>2015</v>
      </c>
      <c r="AK788" s="233">
        <f t="shared" si="223"/>
        <v>179837481.03999999</v>
      </c>
    </row>
    <row r="789" spans="1:37" s="120" customFormat="1" ht="35.25" hidden="1" customHeight="1" x14ac:dyDescent="0.2">
      <c r="F789" s="218" t="s">
        <v>2306</v>
      </c>
      <c r="G789" s="130"/>
      <c r="H789" s="67" t="s">
        <v>1545</v>
      </c>
      <c r="I789" s="32"/>
      <c r="J789" s="67"/>
      <c r="K789" s="32"/>
      <c r="L789" s="362"/>
      <c r="M789" s="67"/>
      <c r="N789" s="362"/>
      <c r="O789" s="65" t="s">
        <v>3448</v>
      </c>
      <c r="P789" s="32">
        <v>2015</v>
      </c>
      <c r="Q789" s="67"/>
      <c r="R789" s="67"/>
      <c r="S789" s="67"/>
      <c r="T789" s="32" t="s">
        <v>12</v>
      </c>
      <c r="U789" s="252">
        <v>193579751</v>
      </c>
      <c r="V789" s="32"/>
      <c r="W789" s="132"/>
      <c r="X789" s="206" t="str">
        <f t="shared" si="224"/>
        <v>4.14.01</v>
      </c>
      <c r="Y789" s="207" t="str">
        <f t="shared" si="212"/>
        <v>Bangunan Air Irigasi</v>
      </c>
      <c r="Z789" s="207">
        <f t="shared" si="213"/>
        <v>50</v>
      </c>
      <c r="AA789" s="233">
        <f t="shared" si="214"/>
        <v>3871594.82</v>
      </c>
      <c r="AB789" s="208"/>
      <c r="AC789" s="233">
        <f t="shared" si="215"/>
        <v>0</v>
      </c>
      <c r="AD789" s="233"/>
      <c r="AE789" s="233">
        <f t="shared" si="217"/>
        <v>3871594.82</v>
      </c>
      <c r="AF789" s="233">
        <f t="shared" si="218"/>
        <v>3871594.82</v>
      </c>
      <c r="AG789" s="233">
        <f t="shared" si="219"/>
        <v>3871594.82</v>
      </c>
      <c r="AH789" s="238">
        <f t="shared" si="220"/>
        <v>3871594.82</v>
      </c>
      <c r="AI789" s="238">
        <f t="shared" si="221"/>
        <v>15486379.279999999</v>
      </c>
      <c r="AJ789" s="261">
        <f t="shared" si="222"/>
        <v>2015</v>
      </c>
      <c r="AK789" s="233">
        <f t="shared" si="223"/>
        <v>178093371.72</v>
      </c>
    </row>
    <row r="790" spans="1:37" s="120" customFormat="1" ht="35.25" hidden="1" customHeight="1" x14ac:dyDescent="0.2">
      <c r="A790" s="116"/>
      <c r="F790" s="218" t="s">
        <v>2306</v>
      </c>
      <c r="G790" s="130"/>
      <c r="H790" s="67" t="s">
        <v>1546</v>
      </c>
      <c r="I790" s="32"/>
      <c r="J790" s="67"/>
      <c r="K790" s="32"/>
      <c r="L790" s="362"/>
      <c r="M790" s="67"/>
      <c r="N790" s="362"/>
      <c r="O790" s="65" t="s">
        <v>3449</v>
      </c>
      <c r="P790" s="32">
        <v>2015</v>
      </c>
      <c r="Q790" s="67"/>
      <c r="R790" s="67"/>
      <c r="S790" s="67"/>
      <c r="T790" s="32" t="s">
        <v>12</v>
      </c>
      <c r="U790" s="252">
        <v>194854327</v>
      </c>
      <c r="V790" s="32"/>
      <c r="W790" s="132"/>
      <c r="X790" s="206" t="str">
        <f t="shared" si="224"/>
        <v>4.14.01</v>
      </c>
      <c r="Y790" s="207" t="str">
        <f t="shared" si="212"/>
        <v>Bangunan Air Irigasi</v>
      </c>
      <c r="Z790" s="207">
        <f t="shared" si="213"/>
        <v>50</v>
      </c>
      <c r="AA790" s="233">
        <f t="shared" si="214"/>
        <v>3897086.34</v>
      </c>
      <c r="AB790" s="208"/>
      <c r="AC790" s="233">
        <f t="shared" si="215"/>
        <v>0</v>
      </c>
      <c r="AD790" s="233"/>
      <c r="AE790" s="233">
        <f t="shared" si="217"/>
        <v>3897086.34</v>
      </c>
      <c r="AF790" s="233">
        <f t="shared" si="218"/>
        <v>3897086.34</v>
      </c>
      <c r="AG790" s="233">
        <f t="shared" si="219"/>
        <v>3897086.34</v>
      </c>
      <c r="AH790" s="238">
        <f t="shared" si="220"/>
        <v>3897086.34</v>
      </c>
      <c r="AI790" s="238">
        <f t="shared" si="221"/>
        <v>15588345.359999999</v>
      </c>
      <c r="AJ790" s="261">
        <f t="shared" si="222"/>
        <v>2015</v>
      </c>
      <c r="AK790" s="233">
        <f t="shared" si="223"/>
        <v>179265981.63999999</v>
      </c>
    </row>
    <row r="791" spans="1:37" s="120" customFormat="1" ht="35.25" hidden="1" customHeight="1" x14ac:dyDescent="0.2">
      <c r="F791" s="218" t="s">
        <v>2306</v>
      </c>
      <c r="G791" s="130"/>
      <c r="H791" s="67" t="s">
        <v>1547</v>
      </c>
      <c r="I791" s="32"/>
      <c r="J791" s="67"/>
      <c r="K791" s="32"/>
      <c r="L791" s="362"/>
      <c r="M791" s="67"/>
      <c r="N791" s="362"/>
      <c r="O791" s="65" t="s">
        <v>3450</v>
      </c>
      <c r="P791" s="32">
        <v>2015</v>
      </c>
      <c r="Q791" s="67"/>
      <c r="R791" s="67"/>
      <c r="S791" s="67"/>
      <c r="T791" s="32" t="s">
        <v>12</v>
      </c>
      <c r="U791" s="252">
        <v>194008286</v>
      </c>
      <c r="V791" s="32"/>
      <c r="W791" s="132"/>
      <c r="X791" s="206" t="str">
        <f t="shared" si="224"/>
        <v>4.14.01</v>
      </c>
      <c r="Y791" s="207" t="str">
        <f t="shared" si="212"/>
        <v>Bangunan Air Irigasi</v>
      </c>
      <c r="Z791" s="207">
        <f t="shared" si="213"/>
        <v>50</v>
      </c>
      <c r="AA791" s="233">
        <f t="shared" si="214"/>
        <v>3880165.52</v>
      </c>
      <c r="AB791" s="208"/>
      <c r="AC791" s="233">
        <f t="shared" si="215"/>
        <v>0</v>
      </c>
      <c r="AD791" s="233"/>
      <c r="AE791" s="233">
        <f t="shared" si="217"/>
        <v>3880165.52</v>
      </c>
      <c r="AF791" s="233">
        <f t="shared" si="218"/>
        <v>3880165.52</v>
      </c>
      <c r="AG791" s="233">
        <f t="shared" si="219"/>
        <v>3880165.52</v>
      </c>
      <c r="AH791" s="238">
        <f t="shared" si="220"/>
        <v>3880165.52</v>
      </c>
      <c r="AI791" s="238">
        <f t="shared" si="221"/>
        <v>15520662.08</v>
      </c>
      <c r="AJ791" s="261">
        <f t="shared" si="222"/>
        <v>2015</v>
      </c>
      <c r="AK791" s="233">
        <f t="shared" si="223"/>
        <v>178487623.91999999</v>
      </c>
    </row>
    <row r="792" spans="1:37" s="120" customFormat="1" ht="35.25" hidden="1" customHeight="1" x14ac:dyDescent="0.2">
      <c r="F792" s="218" t="s">
        <v>2306</v>
      </c>
      <c r="G792" s="130"/>
      <c r="H792" s="67" t="s">
        <v>1548</v>
      </c>
      <c r="I792" s="32"/>
      <c r="J792" s="67"/>
      <c r="K792" s="32"/>
      <c r="L792" s="362"/>
      <c r="M792" s="67"/>
      <c r="N792" s="362"/>
      <c r="O792" s="65" t="s">
        <v>3090</v>
      </c>
      <c r="P792" s="32">
        <v>2015</v>
      </c>
      <c r="Q792" s="67"/>
      <c r="R792" s="67"/>
      <c r="S792" s="67"/>
      <c r="T792" s="32" t="s">
        <v>12</v>
      </c>
      <c r="U792" s="252">
        <v>194273613</v>
      </c>
      <c r="V792" s="32"/>
      <c r="W792" s="132"/>
      <c r="X792" s="206" t="str">
        <f t="shared" si="224"/>
        <v>4.14.01</v>
      </c>
      <c r="Y792" s="207" t="str">
        <f t="shared" si="212"/>
        <v>Bangunan Air Irigasi</v>
      </c>
      <c r="Z792" s="207">
        <f t="shared" si="213"/>
        <v>50</v>
      </c>
      <c r="AA792" s="233">
        <f t="shared" si="214"/>
        <v>3885472.06</v>
      </c>
      <c r="AB792" s="208"/>
      <c r="AC792" s="233">
        <f t="shared" si="215"/>
        <v>0</v>
      </c>
      <c r="AD792" s="233"/>
      <c r="AE792" s="233">
        <f t="shared" si="217"/>
        <v>3885472.06</v>
      </c>
      <c r="AF792" s="233">
        <f t="shared" si="218"/>
        <v>3885472.06</v>
      </c>
      <c r="AG792" s="233">
        <f t="shared" si="219"/>
        <v>3885472.06</v>
      </c>
      <c r="AH792" s="238">
        <f t="shared" si="220"/>
        <v>3885472.06</v>
      </c>
      <c r="AI792" s="238">
        <f t="shared" si="221"/>
        <v>15541888.24</v>
      </c>
      <c r="AJ792" s="261">
        <f t="shared" si="222"/>
        <v>2015</v>
      </c>
      <c r="AK792" s="233">
        <f t="shared" si="223"/>
        <v>178731724.75999999</v>
      </c>
    </row>
    <row r="793" spans="1:37" s="120" customFormat="1" ht="35.25" hidden="1" customHeight="1" x14ac:dyDescent="0.2">
      <c r="F793" s="218" t="s">
        <v>2306</v>
      </c>
      <c r="G793" s="130"/>
      <c r="H793" s="67" t="s">
        <v>1549</v>
      </c>
      <c r="I793" s="32"/>
      <c r="J793" s="67"/>
      <c r="K793" s="32"/>
      <c r="L793" s="362"/>
      <c r="M793" s="67"/>
      <c r="N793" s="362"/>
      <c r="O793" s="65" t="s">
        <v>3445</v>
      </c>
      <c r="P793" s="32">
        <v>2015</v>
      </c>
      <c r="Q793" s="67"/>
      <c r="R793" s="67"/>
      <c r="S793" s="67"/>
      <c r="T793" s="32" t="s">
        <v>12</v>
      </c>
      <c r="U793" s="252">
        <v>193725722</v>
      </c>
      <c r="V793" s="32"/>
      <c r="W793" s="132"/>
      <c r="X793" s="206" t="str">
        <f t="shared" si="224"/>
        <v>4.14.01</v>
      </c>
      <c r="Y793" s="207" t="str">
        <f t="shared" si="212"/>
        <v>Bangunan Air Irigasi</v>
      </c>
      <c r="Z793" s="207">
        <f t="shared" si="213"/>
        <v>50</v>
      </c>
      <c r="AA793" s="233">
        <f t="shared" si="214"/>
        <v>3874514.24</v>
      </c>
      <c r="AB793" s="208"/>
      <c r="AC793" s="233">
        <f t="shared" si="215"/>
        <v>0</v>
      </c>
      <c r="AD793" s="233"/>
      <c r="AE793" s="233">
        <f t="shared" si="217"/>
        <v>3874514.24</v>
      </c>
      <c r="AF793" s="233">
        <f t="shared" si="218"/>
        <v>3874514.24</v>
      </c>
      <c r="AG793" s="233">
        <f t="shared" si="219"/>
        <v>3874514.24</v>
      </c>
      <c r="AH793" s="238">
        <f t="shared" si="220"/>
        <v>3874514.24</v>
      </c>
      <c r="AI793" s="238">
        <f t="shared" si="221"/>
        <v>15498056.960000001</v>
      </c>
      <c r="AJ793" s="261">
        <f t="shared" si="222"/>
        <v>2015</v>
      </c>
      <c r="AK793" s="233">
        <f t="shared" si="223"/>
        <v>178227665.03999999</v>
      </c>
    </row>
    <row r="794" spans="1:37" s="120" customFormat="1" ht="35.25" hidden="1" customHeight="1" x14ac:dyDescent="0.2">
      <c r="F794" s="218" t="s">
        <v>2306</v>
      </c>
      <c r="G794" s="130"/>
      <c r="H794" s="67" t="s">
        <v>1550</v>
      </c>
      <c r="I794" s="32"/>
      <c r="J794" s="67"/>
      <c r="K794" s="32"/>
      <c r="L794" s="362"/>
      <c r="M794" s="67"/>
      <c r="N794" s="362"/>
      <c r="O794" s="65" t="s">
        <v>3088</v>
      </c>
      <c r="P794" s="32">
        <v>2015</v>
      </c>
      <c r="Q794" s="67"/>
      <c r="R794" s="67"/>
      <c r="S794" s="67"/>
      <c r="T794" s="32" t="s">
        <v>12</v>
      </c>
      <c r="U794" s="252">
        <v>194683613</v>
      </c>
      <c r="V794" s="32"/>
      <c r="W794" s="132"/>
      <c r="X794" s="206" t="str">
        <f t="shared" si="224"/>
        <v>4.14.01</v>
      </c>
      <c r="Y794" s="207" t="str">
        <f t="shared" si="212"/>
        <v>Bangunan Air Irigasi</v>
      </c>
      <c r="Z794" s="207">
        <f t="shared" si="213"/>
        <v>50</v>
      </c>
      <c r="AA794" s="233">
        <f t="shared" si="214"/>
        <v>3893672.06</v>
      </c>
      <c r="AB794" s="208"/>
      <c r="AC794" s="233">
        <f t="shared" si="215"/>
        <v>0</v>
      </c>
      <c r="AD794" s="233"/>
      <c r="AE794" s="233">
        <f t="shared" si="217"/>
        <v>3893672.06</v>
      </c>
      <c r="AF794" s="233">
        <f t="shared" si="218"/>
        <v>3893672.06</v>
      </c>
      <c r="AG794" s="233">
        <f t="shared" si="219"/>
        <v>3893672.06</v>
      </c>
      <c r="AH794" s="238">
        <f t="shared" si="220"/>
        <v>3893672.06</v>
      </c>
      <c r="AI794" s="238">
        <f t="shared" si="221"/>
        <v>15574688.24</v>
      </c>
      <c r="AJ794" s="261">
        <f t="shared" si="222"/>
        <v>2015</v>
      </c>
      <c r="AK794" s="233">
        <f t="shared" si="223"/>
        <v>179108924.75999999</v>
      </c>
    </row>
    <row r="795" spans="1:37" s="120" customFormat="1" ht="35.25" hidden="1" customHeight="1" x14ac:dyDescent="0.2">
      <c r="F795" s="218" t="s">
        <v>2306</v>
      </c>
      <c r="G795" s="130"/>
      <c r="H795" s="67" t="s">
        <v>1551</v>
      </c>
      <c r="I795" s="32"/>
      <c r="J795" s="67"/>
      <c r="K795" s="32"/>
      <c r="L795" s="362"/>
      <c r="M795" s="67"/>
      <c r="N795" s="362"/>
      <c r="O795" s="65" t="s">
        <v>3408</v>
      </c>
      <c r="P795" s="32">
        <v>2015</v>
      </c>
      <c r="Q795" s="67"/>
      <c r="R795" s="67"/>
      <c r="S795" s="67"/>
      <c r="T795" s="32" t="s">
        <v>12</v>
      </c>
      <c r="U795" s="252">
        <v>193951280</v>
      </c>
      <c r="V795" s="32"/>
      <c r="W795" s="132"/>
      <c r="X795" s="206" t="str">
        <f t="shared" si="224"/>
        <v>4.14.01</v>
      </c>
      <c r="Y795" s="207" t="str">
        <f t="shared" si="212"/>
        <v>Bangunan Air Irigasi</v>
      </c>
      <c r="Z795" s="207">
        <f t="shared" si="213"/>
        <v>50</v>
      </c>
      <c r="AA795" s="233">
        <f t="shared" si="214"/>
        <v>3879025.4</v>
      </c>
      <c r="AB795" s="208"/>
      <c r="AC795" s="233">
        <f t="shared" si="215"/>
        <v>0</v>
      </c>
      <c r="AD795" s="233"/>
      <c r="AE795" s="233">
        <f t="shared" si="217"/>
        <v>3879025.4</v>
      </c>
      <c r="AF795" s="233">
        <f t="shared" si="218"/>
        <v>3879025.4</v>
      </c>
      <c r="AG795" s="233">
        <f t="shared" si="219"/>
        <v>3879025.4</v>
      </c>
      <c r="AH795" s="238">
        <f t="shared" si="220"/>
        <v>3879025.4</v>
      </c>
      <c r="AI795" s="238">
        <f t="shared" si="221"/>
        <v>15516101.6</v>
      </c>
      <c r="AJ795" s="261">
        <f t="shared" si="222"/>
        <v>2015</v>
      </c>
      <c r="AK795" s="233">
        <f t="shared" si="223"/>
        <v>178435178.40000001</v>
      </c>
    </row>
    <row r="796" spans="1:37" s="120" customFormat="1" ht="35.25" hidden="1" customHeight="1" x14ac:dyDescent="0.2">
      <c r="F796" s="218" t="s">
        <v>2306</v>
      </c>
      <c r="G796" s="130"/>
      <c r="H796" s="67" t="s">
        <v>1552</v>
      </c>
      <c r="I796" s="32"/>
      <c r="J796" s="67"/>
      <c r="K796" s="32"/>
      <c r="L796" s="362"/>
      <c r="M796" s="67"/>
      <c r="N796" s="362"/>
      <c r="O796" s="65" t="s">
        <v>3078</v>
      </c>
      <c r="P796" s="32">
        <v>2015</v>
      </c>
      <c r="Q796" s="67"/>
      <c r="R796" s="67"/>
      <c r="S796" s="67"/>
      <c r="T796" s="32" t="s">
        <v>12</v>
      </c>
      <c r="U796" s="252">
        <v>184030734</v>
      </c>
      <c r="V796" s="32"/>
      <c r="W796" s="132"/>
      <c r="X796" s="206" t="str">
        <f t="shared" si="224"/>
        <v>4.14.01</v>
      </c>
      <c r="Y796" s="207" t="str">
        <f t="shared" si="212"/>
        <v>Bangunan Air Irigasi</v>
      </c>
      <c r="Z796" s="207">
        <f t="shared" si="213"/>
        <v>50</v>
      </c>
      <c r="AA796" s="233">
        <f t="shared" si="214"/>
        <v>3680614.48</v>
      </c>
      <c r="AB796" s="208"/>
      <c r="AC796" s="233">
        <f t="shared" si="215"/>
        <v>0</v>
      </c>
      <c r="AD796" s="233"/>
      <c r="AE796" s="233">
        <f t="shared" si="217"/>
        <v>3680614.48</v>
      </c>
      <c r="AF796" s="233">
        <f t="shared" si="218"/>
        <v>3680614.48</v>
      </c>
      <c r="AG796" s="233">
        <f t="shared" si="219"/>
        <v>3680614.48</v>
      </c>
      <c r="AH796" s="238">
        <f t="shared" si="220"/>
        <v>3680614.48</v>
      </c>
      <c r="AI796" s="238">
        <f t="shared" si="221"/>
        <v>14722457.92</v>
      </c>
      <c r="AJ796" s="261">
        <f t="shared" si="222"/>
        <v>2015</v>
      </c>
      <c r="AK796" s="233">
        <f t="shared" si="223"/>
        <v>169308276.08000001</v>
      </c>
    </row>
    <row r="797" spans="1:37" s="120" customFormat="1" ht="35.25" hidden="1" customHeight="1" x14ac:dyDescent="0.2">
      <c r="F797" s="218" t="s">
        <v>2306</v>
      </c>
      <c r="G797" s="130"/>
      <c r="H797" s="67" t="s">
        <v>1553</v>
      </c>
      <c r="I797" s="32"/>
      <c r="J797" s="67"/>
      <c r="K797" s="32"/>
      <c r="L797" s="362"/>
      <c r="M797" s="67"/>
      <c r="N797" s="362"/>
      <c r="O797" s="65" t="s">
        <v>3178</v>
      </c>
      <c r="P797" s="32">
        <v>2015</v>
      </c>
      <c r="Q797" s="67"/>
      <c r="R797" s="67"/>
      <c r="S797" s="67"/>
      <c r="T797" s="32" t="s">
        <v>12</v>
      </c>
      <c r="U797" s="252">
        <v>194469852</v>
      </c>
      <c r="V797" s="32"/>
      <c r="W797" s="132"/>
      <c r="X797" s="206" t="str">
        <f t="shared" si="224"/>
        <v>4.14.01</v>
      </c>
      <c r="Y797" s="207" t="str">
        <f t="shared" si="212"/>
        <v>Bangunan Air Irigasi</v>
      </c>
      <c r="Z797" s="207">
        <f t="shared" si="213"/>
        <v>50</v>
      </c>
      <c r="AA797" s="233">
        <f t="shared" si="214"/>
        <v>3889396.84</v>
      </c>
      <c r="AB797" s="208"/>
      <c r="AC797" s="233">
        <f t="shared" si="215"/>
        <v>0</v>
      </c>
      <c r="AD797" s="233"/>
      <c r="AE797" s="233">
        <f t="shared" si="217"/>
        <v>3889396.84</v>
      </c>
      <c r="AF797" s="233">
        <f t="shared" si="218"/>
        <v>3889396.84</v>
      </c>
      <c r="AG797" s="233">
        <f t="shared" si="219"/>
        <v>3889396.84</v>
      </c>
      <c r="AH797" s="238">
        <f t="shared" si="220"/>
        <v>3889396.84</v>
      </c>
      <c r="AI797" s="238">
        <f t="shared" si="221"/>
        <v>15557587.359999999</v>
      </c>
      <c r="AJ797" s="261">
        <f t="shared" si="222"/>
        <v>2015</v>
      </c>
      <c r="AK797" s="233">
        <f t="shared" si="223"/>
        <v>178912264.63999999</v>
      </c>
    </row>
    <row r="798" spans="1:37" s="120" customFormat="1" ht="35.25" hidden="1" customHeight="1" x14ac:dyDescent="0.2">
      <c r="F798" s="218" t="s">
        <v>2306</v>
      </c>
      <c r="G798" s="130"/>
      <c r="H798" s="67" t="s">
        <v>1554</v>
      </c>
      <c r="I798" s="32"/>
      <c r="J798" s="67"/>
      <c r="K798" s="32"/>
      <c r="L798" s="362"/>
      <c r="M798" s="67"/>
      <c r="N798" s="362"/>
      <c r="O798" s="65" t="s">
        <v>3451</v>
      </c>
      <c r="P798" s="32">
        <v>2015</v>
      </c>
      <c r="Q798" s="67"/>
      <c r="R798" s="67"/>
      <c r="S798" s="67"/>
      <c r="T798" s="32" t="s">
        <v>12</v>
      </c>
      <c r="U798" s="252">
        <v>188897648</v>
      </c>
      <c r="V798" s="32"/>
      <c r="W798" s="132"/>
      <c r="X798" s="206" t="str">
        <f t="shared" si="224"/>
        <v>4.14.01</v>
      </c>
      <c r="Y798" s="207" t="str">
        <f t="shared" si="212"/>
        <v>Bangunan Air Irigasi</v>
      </c>
      <c r="Z798" s="207">
        <f t="shared" si="213"/>
        <v>50</v>
      </c>
      <c r="AA798" s="233">
        <f t="shared" si="214"/>
        <v>3777952.76</v>
      </c>
      <c r="AB798" s="208"/>
      <c r="AC798" s="233">
        <f t="shared" si="215"/>
        <v>0</v>
      </c>
      <c r="AD798" s="233"/>
      <c r="AE798" s="233">
        <f t="shared" si="217"/>
        <v>3777952.76</v>
      </c>
      <c r="AF798" s="233">
        <f t="shared" si="218"/>
        <v>3777952.76</v>
      </c>
      <c r="AG798" s="233">
        <f t="shared" si="219"/>
        <v>3777952.76</v>
      </c>
      <c r="AH798" s="238">
        <f t="shared" si="220"/>
        <v>3777952.76</v>
      </c>
      <c r="AI798" s="238">
        <f t="shared" si="221"/>
        <v>15111811.039999999</v>
      </c>
      <c r="AJ798" s="261">
        <f t="shared" si="222"/>
        <v>2015</v>
      </c>
      <c r="AK798" s="233">
        <f t="shared" si="223"/>
        <v>173785836.96000001</v>
      </c>
    </row>
    <row r="799" spans="1:37" s="120" customFormat="1" ht="35.25" hidden="1" customHeight="1" x14ac:dyDescent="0.2">
      <c r="F799" s="218" t="s">
        <v>2306</v>
      </c>
      <c r="G799" s="130"/>
      <c r="H799" s="67" t="s">
        <v>1555</v>
      </c>
      <c r="I799" s="32"/>
      <c r="J799" s="67"/>
      <c r="K799" s="32"/>
      <c r="L799" s="362"/>
      <c r="M799" s="67"/>
      <c r="N799" s="362"/>
      <c r="O799" s="65" t="s">
        <v>3415</v>
      </c>
      <c r="P799" s="32">
        <v>2015</v>
      </c>
      <c r="Q799" s="67"/>
      <c r="R799" s="67"/>
      <c r="S799" s="67"/>
      <c r="T799" s="32" t="s">
        <v>12</v>
      </c>
      <c r="U799" s="252">
        <f>1383975000-9160000</f>
        <v>1374815000</v>
      </c>
      <c r="V799" s="32"/>
      <c r="W799" s="132"/>
      <c r="X799" s="206" t="str">
        <f t="shared" si="224"/>
        <v>4.14.01</v>
      </c>
      <c r="Y799" s="207" t="str">
        <f t="shared" si="212"/>
        <v>Bangunan Air Irigasi</v>
      </c>
      <c r="Z799" s="207">
        <f t="shared" si="213"/>
        <v>50</v>
      </c>
      <c r="AA799" s="233">
        <f t="shared" si="214"/>
        <v>27496299.800000001</v>
      </c>
      <c r="AB799" s="208"/>
      <c r="AC799" s="233">
        <f t="shared" si="215"/>
        <v>0</v>
      </c>
      <c r="AD799" s="233"/>
      <c r="AE799" s="233">
        <f t="shared" si="217"/>
        <v>27496299.800000001</v>
      </c>
      <c r="AF799" s="233">
        <f t="shared" si="218"/>
        <v>27496299.800000001</v>
      </c>
      <c r="AG799" s="233">
        <f t="shared" si="219"/>
        <v>27496299.800000001</v>
      </c>
      <c r="AH799" s="238">
        <f t="shared" si="220"/>
        <v>27496299.800000001</v>
      </c>
      <c r="AI799" s="238">
        <f t="shared" si="221"/>
        <v>109985199.2</v>
      </c>
      <c r="AJ799" s="261">
        <f t="shared" si="222"/>
        <v>2015</v>
      </c>
      <c r="AK799" s="233">
        <f t="shared" si="223"/>
        <v>1264829800.8</v>
      </c>
    </row>
    <row r="800" spans="1:37" s="120" customFormat="1" ht="35.25" hidden="1" customHeight="1" x14ac:dyDescent="0.2">
      <c r="F800" s="218" t="s">
        <v>2306</v>
      </c>
      <c r="G800" s="130"/>
      <c r="H800" s="67" t="s">
        <v>1556</v>
      </c>
      <c r="I800" s="32"/>
      <c r="J800" s="67"/>
      <c r="K800" s="32"/>
      <c r="L800" s="362"/>
      <c r="M800" s="67"/>
      <c r="N800" s="362"/>
      <c r="O800" s="65" t="s">
        <v>3441</v>
      </c>
      <c r="P800" s="32">
        <v>2015</v>
      </c>
      <c r="Q800" s="67"/>
      <c r="R800" s="67"/>
      <c r="S800" s="67"/>
      <c r="T800" s="32" t="s">
        <v>12</v>
      </c>
      <c r="U800" s="252">
        <f>1022650000-9160000</f>
        <v>1013490000</v>
      </c>
      <c r="V800" s="32"/>
      <c r="W800" s="132"/>
      <c r="X800" s="206" t="str">
        <f t="shared" si="224"/>
        <v>4.14.01</v>
      </c>
      <c r="Y800" s="207" t="str">
        <f t="shared" si="212"/>
        <v>Bangunan Air Irigasi</v>
      </c>
      <c r="Z800" s="207">
        <f t="shared" si="213"/>
        <v>50</v>
      </c>
      <c r="AA800" s="233">
        <f t="shared" si="214"/>
        <v>20269799.800000001</v>
      </c>
      <c r="AB800" s="208"/>
      <c r="AC800" s="233">
        <f t="shared" si="215"/>
        <v>0</v>
      </c>
      <c r="AD800" s="233"/>
      <c r="AE800" s="233">
        <f t="shared" si="217"/>
        <v>20269799.800000001</v>
      </c>
      <c r="AF800" s="233">
        <f t="shared" si="218"/>
        <v>20269799.800000001</v>
      </c>
      <c r="AG800" s="233">
        <f t="shared" si="219"/>
        <v>20269799.800000001</v>
      </c>
      <c r="AH800" s="238">
        <f t="shared" si="220"/>
        <v>20269799.800000001</v>
      </c>
      <c r="AI800" s="238">
        <f t="shared" si="221"/>
        <v>81079199.200000003</v>
      </c>
      <c r="AJ800" s="261">
        <f t="shared" si="222"/>
        <v>2015</v>
      </c>
      <c r="AK800" s="233">
        <f t="shared" si="223"/>
        <v>932410800.79999995</v>
      </c>
    </row>
    <row r="801" spans="6:37" s="120" customFormat="1" ht="35.25" hidden="1" customHeight="1" x14ac:dyDescent="0.2">
      <c r="F801" s="218" t="s">
        <v>2306</v>
      </c>
      <c r="G801" s="130"/>
      <c r="H801" s="67" t="s">
        <v>1557</v>
      </c>
      <c r="I801" s="32"/>
      <c r="J801" s="67"/>
      <c r="K801" s="32"/>
      <c r="L801" s="362"/>
      <c r="M801" s="67"/>
      <c r="N801" s="362"/>
      <c r="O801" s="65" t="s">
        <v>3452</v>
      </c>
      <c r="P801" s="32">
        <v>2015</v>
      </c>
      <c r="Q801" s="67"/>
      <c r="R801" s="67"/>
      <c r="S801" s="67"/>
      <c r="T801" s="32" t="s">
        <v>12</v>
      </c>
      <c r="U801" s="252">
        <f>191800000-9160000</f>
        <v>182640000</v>
      </c>
      <c r="V801" s="32"/>
      <c r="W801" s="132"/>
      <c r="X801" s="206" t="str">
        <f t="shared" si="224"/>
        <v>4.14.01</v>
      </c>
      <c r="Y801" s="207" t="str">
        <f t="shared" si="212"/>
        <v>Bangunan Air Irigasi</v>
      </c>
      <c r="Z801" s="207">
        <f t="shared" si="213"/>
        <v>50</v>
      </c>
      <c r="AA801" s="233">
        <f t="shared" si="214"/>
        <v>3652799.8</v>
      </c>
      <c r="AB801" s="208"/>
      <c r="AC801" s="233">
        <f t="shared" si="215"/>
        <v>0</v>
      </c>
      <c r="AD801" s="233"/>
      <c r="AE801" s="233">
        <f t="shared" si="217"/>
        <v>3652799.8</v>
      </c>
      <c r="AF801" s="233">
        <f t="shared" si="218"/>
        <v>3652799.8</v>
      </c>
      <c r="AG801" s="233">
        <f t="shared" si="219"/>
        <v>3652799.8</v>
      </c>
      <c r="AH801" s="238">
        <f t="shared" si="220"/>
        <v>3652799.8</v>
      </c>
      <c r="AI801" s="238">
        <f t="shared" si="221"/>
        <v>14611199.199999999</v>
      </c>
      <c r="AJ801" s="261">
        <f t="shared" si="222"/>
        <v>2015</v>
      </c>
      <c r="AK801" s="233">
        <f t="shared" si="223"/>
        <v>168028800.80000001</v>
      </c>
    </row>
    <row r="802" spans="6:37" s="120" customFormat="1" ht="35.25" hidden="1" customHeight="1" x14ac:dyDescent="0.2">
      <c r="F802" s="218" t="s">
        <v>2306</v>
      </c>
      <c r="G802" s="130"/>
      <c r="H802" s="67" t="s">
        <v>1558</v>
      </c>
      <c r="I802" s="32"/>
      <c r="J802" s="67"/>
      <c r="K802" s="32"/>
      <c r="L802" s="362"/>
      <c r="M802" s="67"/>
      <c r="N802" s="362"/>
      <c r="O802" s="65" t="s">
        <v>3453</v>
      </c>
      <c r="P802" s="32">
        <v>2015</v>
      </c>
      <c r="Q802" s="67"/>
      <c r="R802" s="67"/>
      <c r="S802" s="67"/>
      <c r="T802" s="32" t="s">
        <v>12</v>
      </c>
      <c r="U802" s="252">
        <f>190950000-9160000</f>
        <v>181790000</v>
      </c>
      <c r="V802" s="32"/>
      <c r="W802" s="132"/>
      <c r="X802" s="206" t="str">
        <f t="shared" si="224"/>
        <v>4.14.01</v>
      </c>
      <c r="Y802" s="207" t="str">
        <f t="shared" si="212"/>
        <v>Bangunan Air Irigasi</v>
      </c>
      <c r="Z802" s="207">
        <f t="shared" si="213"/>
        <v>50</v>
      </c>
      <c r="AA802" s="233">
        <f t="shared" si="214"/>
        <v>3635799.8</v>
      </c>
      <c r="AB802" s="208"/>
      <c r="AC802" s="233">
        <f t="shared" si="215"/>
        <v>0</v>
      </c>
      <c r="AD802" s="233"/>
      <c r="AE802" s="233">
        <f t="shared" si="217"/>
        <v>3635799.8</v>
      </c>
      <c r="AF802" s="233">
        <f t="shared" si="218"/>
        <v>3635799.8</v>
      </c>
      <c r="AG802" s="233">
        <f t="shared" si="219"/>
        <v>3635799.8</v>
      </c>
      <c r="AH802" s="238">
        <f t="shared" si="220"/>
        <v>3635799.8</v>
      </c>
      <c r="AI802" s="238">
        <f t="shared" si="221"/>
        <v>14543199.199999999</v>
      </c>
      <c r="AJ802" s="261">
        <f t="shared" si="222"/>
        <v>2015</v>
      </c>
      <c r="AK802" s="233">
        <f t="shared" si="223"/>
        <v>167246800.80000001</v>
      </c>
    </row>
    <row r="803" spans="6:37" s="120" customFormat="1" ht="35.25" hidden="1" customHeight="1" x14ac:dyDescent="0.2">
      <c r="F803" s="218" t="s">
        <v>2306</v>
      </c>
      <c r="G803" s="130"/>
      <c r="H803" s="67" t="s">
        <v>1559</v>
      </c>
      <c r="I803" s="32"/>
      <c r="J803" s="67"/>
      <c r="K803" s="32"/>
      <c r="L803" s="362"/>
      <c r="M803" s="67"/>
      <c r="N803" s="362"/>
      <c r="O803" s="65" t="s">
        <v>3454</v>
      </c>
      <c r="P803" s="32">
        <v>2015</v>
      </c>
      <c r="Q803" s="67"/>
      <c r="R803" s="67"/>
      <c r="S803" s="67"/>
      <c r="T803" s="32" t="s">
        <v>12</v>
      </c>
      <c r="U803" s="252">
        <f>190115000-9160000</f>
        <v>180955000</v>
      </c>
      <c r="V803" s="32"/>
      <c r="W803" s="132"/>
      <c r="X803" s="206" t="str">
        <f t="shared" si="224"/>
        <v>4.14.01</v>
      </c>
      <c r="Y803" s="207" t="str">
        <f t="shared" si="212"/>
        <v>Bangunan Air Irigasi</v>
      </c>
      <c r="Z803" s="207">
        <f t="shared" si="213"/>
        <v>50</v>
      </c>
      <c r="AA803" s="233">
        <f t="shared" si="214"/>
        <v>3619099.8</v>
      </c>
      <c r="AB803" s="208"/>
      <c r="AC803" s="233">
        <f t="shared" si="215"/>
        <v>0</v>
      </c>
      <c r="AD803" s="233"/>
      <c r="AE803" s="233">
        <f t="shared" si="217"/>
        <v>3619099.8</v>
      </c>
      <c r="AF803" s="233">
        <f t="shared" si="218"/>
        <v>3619099.8</v>
      </c>
      <c r="AG803" s="233">
        <f t="shared" si="219"/>
        <v>3619099.8</v>
      </c>
      <c r="AH803" s="238">
        <f t="shared" si="220"/>
        <v>3619099.8</v>
      </c>
      <c r="AI803" s="238">
        <f t="shared" si="221"/>
        <v>14476399.199999999</v>
      </c>
      <c r="AJ803" s="261">
        <f t="shared" si="222"/>
        <v>2015</v>
      </c>
      <c r="AK803" s="233">
        <f t="shared" si="223"/>
        <v>166478600.80000001</v>
      </c>
    </row>
    <row r="804" spans="6:37" s="121" customFormat="1" ht="35.25" hidden="1" customHeight="1" x14ac:dyDescent="0.2">
      <c r="F804" s="218" t="s">
        <v>2306</v>
      </c>
      <c r="G804" s="133"/>
      <c r="H804" s="67" t="s">
        <v>1560</v>
      </c>
      <c r="I804" s="32"/>
      <c r="J804" s="67"/>
      <c r="K804" s="32"/>
      <c r="L804" s="362"/>
      <c r="M804" s="67"/>
      <c r="N804" s="362"/>
      <c r="O804" s="65" t="s">
        <v>3455</v>
      </c>
      <c r="P804" s="32">
        <v>2015</v>
      </c>
      <c r="Q804" s="67"/>
      <c r="R804" s="67"/>
      <c r="S804" s="67"/>
      <c r="T804" s="32" t="s">
        <v>12</v>
      </c>
      <c r="U804" s="252">
        <f>191500000-9160000</f>
        <v>182340000</v>
      </c>
      <c r="V804" s="32"/>
      <c r="W804" s="132"/>
      <c r="X804" s="206" t="str">
        <f t="shared" si="224"/>
        <v>4.14.01</v>
      </c>
      <c r="Y804" s="207" t="str">
        <f t="shared" si="212"/>
        <v>Bangunan Air Irigasi</v>
      </c>
      <c r="Z804" s="207">
        <f t="shared" si="213"/>
        <v>50</v>
      </c>
      <c r="AA804" s="233">
        <f t="shared" si="214"/>
        <v>3646799.8</v>
      </c>
      <c r="AB804" s="208"/>
      <c r="AC804" s="233">
        <f t="shared" si="215"/>
        <v>0</v>
      </c>
      <c r="AD804" s="233"/>
      <c r="AE804" s="233">
        <f t="shared" si="217"/>
        <v>3646799.8</v>
      </c>
      <c r="AF804" s="233">
        <f t="shared" si="218"/>
        <v>3646799.8</v>
      </c>
      <c r="AG804" s="233">
        <f t="shared" si="219"/>
        <v>3646799.8</v>
      </c>
      <c r="AH804" s="238">
        <f t="shared" si="220"/>
        <v>3646799.8</v>
      </c>
      <c r="AI804" s="238">
        <f t="shared" si="221"/>
        <v>14587199.199999999</v>
      </c>
      <c r="AJ804" s="261">
        <f t="shared" si="222"/>
        <v>2015</v>
      </c>
      <c r="AK804" s="233">
        <f t="shared" si="223"/>
        <v>167752800.80000001</v>
      </c>
    </row>
    <row r="805" spans="6:37" s="120" customFormat="1" ht="35.25" hidden="1" customHeight="1" x14ac:dyDescent="0.2">
      <c r="F805" s="218" t="s">
        <v>2306</v>
      </c>
      <c r="G805" s="130"/>
      <c r="H805" s="67" t="s">
        <v>1561</v>
      </c>
      <c r="I805" s="32"/>
      <c r="J805" s="67"/>
      <c r="K805" s="32"/>
      <c r="L805" s="362"/>
      <c r="M805" s="67"/>
      <c r="N805" s="362"/>
      <c r="O805" s="65" t="s">
        <v>3456</v>
      </c>
      <c r="P805" s="32">
        <v>2015</v>
      </c>
      <c r="Q805" s="67"/>
      <c r="R805" s="67"/>
      <c r="S805" s="67"/>
      <c r="T805" s="32" t="s">
        <v>12</v>
      </c>
      <c r="U805" s="252">
        <f>191300000-9160000</f>
        <v>182140000</v>
      </c>
      <c r="V805" s="32"/>
      <c r="W805" s="132"/>
      <c r="X805" s="206" t="str">
        <f t="shared" si="224"/>
        <v>4.14.01</v>
      </c>
      <c r="Y805" s="207" t="str">
        <f t="shared" si="212"/>
        <v>Bangunan Air Irigasi</v>
      </c>
      <c r="Z805" s="207">
        <f t="shared" si="213"/>
        <v>50</v>
      </c>
      <c r="AA805" s="233">
        <f t="shared" si="214"/>
        <v>3642799.8</v>
      </c>
      <c r="AB805" s="208"/>
      <c r="AC805" s="233">
        <f t="shared" si="215"/>
        <v>0</v>
      </c>
      <c r="AD805" s="233"/>
      <c r="AE805" s="233">
        <f t="shared" si="217"/>
        <v>3642799.8</v>
      </c>
      <c r="AF805" s="233">
        <f t="shared" si="218"/>
        <v>3642799.8</v>
      </c>
      <c r="AG805" s="233">
        <f t="shared" si="219"/>
        <v>3642799.8</v>
      </c>
      <c r="AH805" s="238">
        <f t="shared" si="220"/>
        <v>3642799.8</v>
      </c>
      <c r="AI805" s="238">
        <f t="shared" si="221"/>
        <v>14571199.199999999</v>
      </c>
      <c r="AJ805" s="261">
        <f t="shared" si="222"/>
        <v>2015</v>
      </c>
      <c r="AK805" s="233">
        <f t="shared" si="223"/>
        <v>167568800.80000001</v>
      </c>
    </row>
    <row r="806" spans="6:37" s="120" customFormat="1" ht="35.25" hidden="1" customHeight="1" x14ac:dyDescent="0.2">
      <c r="F806" s="218" t="s">
        <v>2306</v>
      </c>
      <c r="G806" s="130"/>
      <c r="H806" s="67" t="s">
        <v>1562</v>
      </c>
      <c r="I806" s="32"/>
      <c r="J806" s="67"/>
      <c r="K806" s="32"/>
      <c r="L806" s="362"/>
      <c r="M806" s="67"/>
      <c r="N806" s="362"/>
      <c r="O806" s="65" t="s">
        <v>3457</v>
      </c>
      <c r="P806" s="32">
        <v>2015</v>
      </c>
      <c r="Q806" s="67"/>
      <c r="R806" s="67"/>
      <c r="S806" s="67"/>
      <c r="T806" s="32" t="s">
        <v>12</v>
      </c>
      <c r="U806" s="252">
        <f>190464000-9160000</f>
        <v>181304000</v>
      </c>
      <c r="V806" s="32"/>
      <c r="W806" s="132"/>
      <c r="X806" s="206" t="str">
        <f t="shared" si="224"/>
        <v>4.14.01</v>
      </c>
      <c r="Y806" s="207" t="str">
        <f t="shared" si="212"/>
        <v>Bangunan Air Irigasi</v>
      </c>
      <c r="Z806" s="207">
        <f t="shared" si="213"/>
        <v>50</v>
      </c>
      <c r="AA806" s="233">
        <f t="shared" si="214"/>
        <v>3626079.8</v>
      </c>
      <c r="AB806" s="208"/>
      <c r="AC806" s="233">
        <f t="shared" si="215"/>
        <v>0</v>
      </c>
      <c r="AD806" s="233"/>
      <c r="AE806" s="233">
        <f t="shared" si="217"/>
        <v>3626079.8</v>
      </c>
      <c r="AF806" s="233">
        <f t="shared" si="218"/>
        <v>3626079.8</v>
      </c>
      <c r="AG806" s="233">
        <f t="shared" si="219"/>
        <v>3626079.8</v>
      </c>
      <c r="AH806" s="238">
        <f t="shared" si="220"/>
        <v>3626079.8</v>
      </c>
      <c r="AI806" s="238">
        <f t="shared" si="221"/>
        <v>14504319.199999999</v>
      </c>
      <c r="AJ806" s="261">
        <f t="shared" si="222"/>
        <v>2015</v>
      </c>
      <c r="AK806" s="233">
        <f t="shared" si="223"/>
        <v>166799680.80000001</v>
      </c>
    </row>
    <row r="807" spans="6:37" s="121" customFormat="1" ht="35.25" hidden="1" customHeight="1" x14ac:dyDescent="0.2">
      <c r="F807" s="218" t="s">
        <v>2306</v>
      </c>
      <c r="G807" s="133"/>
      <c r="H807" s="67" t="s">
        <v>1563</v>
      </c>
      <c r="I807" s="32"/>
      <c r="J807" s="67"/>
      <c r="K807" s="32"/>
      <c r="L807" s="362"/>
      <c r="M807" s="67"/>
      <c r="N807" s="362"/>
      <c r="O807" s="65" t="s">
        <v>3458</v>
      </c>
      <c r="P807" s="32">
        <v>2015</v>
      </c>
      <c r="Q807" s="67"/>
      <c r="R807" s="67"/>
      <c r="S807" s="67"/>
      <c r="T807" s="32" t="s">
        <v>12</v>
      </c>
      <c r="U807" s="252">
        <f>191684000-9160000</f>
        <v>182524000</v>
      </c>
      <c r="V807" s="32"/>
      <c r="W807" s="132"/>
      <c r="X807" s="206" t="str">
        <f t="shared" si="224"/>
        <v>4.14.01</v>
      </c>
      <c r="Y807" s="207" t="str">
        <f t="shared" si="212"/>
        <v>Bangunan Air Irigasi</v>
      </c>
      <c r="Z807" s="207">
        <f t="shared" si="213"/>
        <v>50</v>
      </c>
      <c r="AA807" s="233">
        <f t="shared" si="214"/>
        <v>3650479.8</v>
      </c>
      <c r="AB807" s="208"/>
      <c r="AC807" s="233">
        <f t="shared" si="215"/>
        <v>0</v>
      </c>
      <c r="AD807" s="233"/>
      <c r="AE807" s="233">
        <f t="shared" si="217"/>
        <v>3650479.8</v>
      </c>
      <c r="AF807" s="233">
        <f t="shared" si="218"/>
        <v>3650479.8</v>
      </c>
      <c r="AG807" s="233">
        <f t="shared" si="219"/>
        <v>3650479.8</v>
      </c>
      <c r="AH807" s="238">
        <f t="shared" si="220"/>
        <v>3650479.8</v>
      </c>
      <c r="AI807" s="238">
        <f t="shared" si="221"/>
        <v>14601919.199999999</v>
      </c>
      <c r="AJ807" s="261">
        <f t="shared" si="222"/>
        <v>2015</v>
      </c>
      <c r="AK807" s="233">
        <f t="shared" si="223"/>
        <v>167922080.80000001</v>
      </c>
    </row>
    <row r="808" spans="6:37" s="120" customFormat="1" ht="35.25" hidden="1" customHeight="1" x14ac:dyDescent="0.2">
      <c r="F808" s="218" t="s">
        <v>2306</v>
      </c>
      <c r="G808" s="130"/>
      <c r="H808" s="67" t="s">
        <v>1564</v>
      </c>
      <c r="I808" s="32"/>
      <c r="J808" s="67"/>
      <c r="K808" s="32"/>
      <c r="L808" s="362"/>
      <c r="M808" s="67"/>
      <c r="N808" s="362"/>
      <c r="O808" s="65" t="s">
        <v>3459</v>
      </c>
      <c r="P808" s="32">
        <v>2015</v>
      </c>
      <c r="Q808" s="67"/>
      <c r="R808" s="67"/>
      <c r="S808" s="67"/>
      <c r="T808" s="32" t="s">
        <v>12</v>
      </c>
      <c r="U808" s="252">
        <f>192092000-9160000</f>
        <v>182932000</v>
      </c>
      <c r="V808" s="32"/>
      <c r="W808" s="132"/>
      <c r="X808" s="206" t="str">
        <f t="shared" si="224"/>
        <v>4.14.01</v>
      </c>
      <c r="Y808" s="207" t="str">
        <f t="shared" si="212"/>
        <v>Bangunan Air Irigasi</v>
      </c>
      <c r="Z808" s="207">
        <f t="shared" si="213"/>
        <v>50</v>
      </c>
      <c r="AA808" s="233">
        <f t="shared" si="214"/>
        <v>3658639.8</v>
      </c>
      <c r="AB808" s="208"/>
      <c r="AC808" s="233">
        <f t="shared" si="215"/>
        <v>0</v>
      </c>
      <c r="AD808" s="233"/>
      <c r="AE808" s="233">
        <f t="shared" si="217"/>
        <v>3658639.8</v>
      </c>
      <c r="AF808" s="233">
        <f t="shared" si="218"/>
        <v>3658639.8</v>
      </c>
      <c r="AG808" s="233">
        <f t="shared" si="219"/>
        <v>3658639.8</v>
      </c>
      <c r="AH808" s="238">
        <f t="shared" si="220"/>
        <v>3658639.8</v>
      </c>
      <c r="AI808" s="238">
        <f t="shared" si="221"/>
        <v>14634559.199999999</v>
      </c>
      <c r="AJ808" s="261">
        <f t="shared" si="222"/>
        <v>2015</v>
      </c>
      <c r="AK808" s="233">
        <f t="shared" si="223"/>
        <v>168297440.80000001</v>
      </c>
    </row>
    <row r="809" spans="6:37" s="120" customFormat="1" ht="35.25" hidden="1" customHeight="1" x14ac:dyDescent="0.2">
      <c r="F809" s="218" t="s">
        <v>2306</v>
      </c>
      <c r="G809" s="130"/>
      <c r="H809" s="67" t="s">
        <v>1565</v>
      </c>
      <c r="I809" s="32"/>
      <c r="J809" s="67"/>
      <c r="K809" s="32"/>
      <c r="L809" s="362"/>
      <c r="M809" s="67"/>
      <c r="N809" s="362"/>
      <c r="O809" s="65" t="s">
        <v>3460</v>
      </c>
      <c r="P809" s="32">
        <v>2015</v>
      </c>
      <c r="Q809" s="67"/>
      <c r="R809" s="67"/>
      <c r="S809" s="67"/>
      <c r="T809" s="32" t="s">
        <v>12</v>
      </c>
      <c r="U809" s="252">
        <f>190122000-9160000</f>
        <v>180962000</v>
      </c>
      <c r="V809" s="32"/>
      <c r="W809" s="132"/>
      <c r="X809" s="206" t="str">
        <f t="shared" si="224"/>
        <v>4.14.01</v>
      </c>
      <c r="Y809" s="207" t="str">
        <f t="shared" si="212"/>
        <v>Bangunan Air Irigasi</v>
      </c>
      <c r="Z809" s="207">
        <f t="shared" si="213"/>
        <v>50</v>
      </c>
      <c r="AA809" s="233">
        <f t="shared" si="214"/>
        <v>3619239.8</v>
      </c>
      <c r="AB809" s="208"/>
      <c r="AC809" s="233">
        <f t="shared" si="215"/>
        <v>0</v>
      </c>
      <c r="AD809" s="233"/>
      <c r="AE809" s="233">
        <f t="shared" si="217"/>
        <v>3619239.8</v>
      </c>
      <c r="AF809" s="233">
        <f t="shared" si="218"/>
        <v>3619239.8</v>
      </c>
      <c r="AG809" s="233">
        <f t="shared" si="219"/>
        <v>3619239.8</v>
      </c>
      <c r="AH809" s="238">
        <f t="shared" si="220"/>
        <v>3619239.8</v>
      </c>
      <c r="AI809" s="238">
        <f t="shared" si="221"/>
        <v>14476959.199999999</v>
      </c>
      <c r="AJ809" s="261">
        <f t="shared" si="222"/>
        <v>2015</v>
      </c>
      <c r="AK809" s="233">
        <f t="shared" si="223"/>
        <v>166485040.80000001</v>
      </c>
    </row>
    <row r="810" spans="6:37" s="120" customFormat="1" ht="35.25" hidden="1" customHeight="1" x14ac:dyDescent="0.2">
      <c r="F810" s="218" t="s">
        <v>2306</v>
      </c>
      <c r="G810" s="130"/>
      <c r="H810" s="67" t="s">
        <v>1566</v>
      </c>
      <c r="I810" s="32"/>
      <c r="J810" s="67"/>
      <c r="K810" s="32"/>
      <c r="L810" s="362"/>
      <c r="M810" s="67"/>
      <c r="N810" s="362"/>
      <c r="O810" s="65" t="s">
        <v>3461</v>
      </c>
      <c r="P810" s="32">
        <v>2015</v>
      </c>
      <c r="Q810" s="67"/>
      <c r="R810" s="67"/>
      <c r="S810" s="67"/>
      <c r="T810" s="32" t="s">
        <v>12</v>
      </c>
      <c r="U810" s="252">
        <f>190121000-9160000</f>
        <v>180961000</v>
      </c>
      <c r="V810" s="32"/>
      <c r="W810" s="132"/>
      <c r="X810" s="206" t="str">
        <f t="shared" si="224"/>
        <v>4.14.01</v>
      </c>
      <c r="Y810" s="207" t="str">
        <f t="shared" si="212"/>
        <v>Bangunan Air Irigasi</v>
      </c>
      <c r="Z810" s="207">
        <f t="shared" si="213"/>
        <v>50</v>
      </c>
      <c r="AA810" s="233">
        <f t="shared" si="214"/>
        <v>3619219.8</v>
      </c>
      <c r="AB810" s="208"/>
      <c r="AC810" s="233">
        <f t="shared" si="215"/>
        <v>0</v>
      </c>
      <c r="AD810" s="233"/>
      <c r="AE810" s="233">
        <f t="shared" si="217"/>
        <v>3619219.8</v>
      </c>
      <c r="AF810" s="233">
        <f t="shared" si="218"/>
        <v>3619219.8</v>
      </c>
      <c r="AG810" s="233">
        <f t="shared" si="219"/>
        <v>3619219.8</v>
      </c>
      <c r="AH810" s="238">
        <f t="shared" si="220"/>
        <v>3619219.8</v>
      </c>
      <c r="AI810" s="238">
        <f t="shared" si="221"/>
        <v>14476879.199999999</v>
      </c>
      <c r="AJ810" s="261">
        <f t="shared" si="222"/>
        <v>2015</v>
      </c>
      <c r="AK810" s="233">
        <f t="shared" si="223"/>
        <v>166484120.80000001</v>
      </c>
    </row>
    <row r="811" spans="6:37" s="120" customFormat="1" ht="35.25" hidden="1" customHeight="1" x14ac:dyDescent="0.2">
      <c r="F811" s="218" t="s">
        <v>2306</v>
      </c>
      <c r="G811" s="130"/>
      <c r="H811" s="67" t="s">
        <v>1567</v>
      </c>
      <c r="I811" s="32"/>
      <c r="J811" s="67"/>
      <c r="K811" s="32"/>
      <c r="L811" s="362"/>
      <c r="M811" s="67"/>
      <c r="N811" s="362"/>
      <c r="O811" s="65" t="s">
        <v>3385</v>
      </c>
      <c r="P811" s="32">
        <v>2015</v>
      </c>
      <c r="Q811" s="67"/>
      <c r="R811" s="67"/>
      <c r="S811" s="67"/>
      <c r="T811" s="32" t="s">
        <v>12</v>
      </c>
      <c r="U811" s="252">
        <f>190750000-9160000</f>
        <v>181590000</v>
      </c>
      <c r="V811" s="32"/>
      <c r="W811" s="132"/>
      <c r="X811" s="206" t="str">
        <f t="shared" si="224"/>
        <v>4.14.01</v>
      </c>
      <c r="Y811" s="207" t="str">
        <f t="shared" si="212"/>
        <v>Bangunan Air Irigasi</v>
      </c>
      <c r="Z811" s="207">
        <f t="shared" si="213"/>
        <v>50</v>
      </c>
      <c r="AA811" s="233">
        <f t="shared" si="214"/>
        <v>3631799.8</v>
      </c>
      <c r="AB811" s="208"/>
      <c r="AC811" s="233">
        <f t="shared" si="215"/>
        <v>0</v>
      </c>
      <c r="AD811" s="233"/>
      <c r="AE811" s="233">
        <f t="shared" si="217"/>
        <v>3631799.8</v>
      </c>
      <c r="AF811" s="233">
        <f t="shared" si="218"/>
        <v>3631799.8</v>
      </c>
      <c r="AG811" s="233">
        <f t="shared" si="219"/>
        <v>3631799.8</v>
      </c>
      <c r="AH811" s="238">
        <f t="shared" si="220"/>
        <v>3631799.8</v>
      </c>
      <c r="AI811" s="238">
        <f t="shared" si="221"/>
        <v>14527199.199999999</v>
      </c>
      <c r="AJ811" s="261">
        <f t="shared" si="222"/>
        <v>2015</v>
      </c>
      <c r="AK811" s="233">
        <f t="shared" si="223"/>
        <v>167062800.80000001</v>
      </c>
    </row>
    <row r="812" spans="6:37" s="120" customFormat="1" ht="35.25" hidden="1" customHeight="1" x14ac:dyDescent="0.2">
      <c r="F812" s="218" t="s">
        <v>2306</v>
      </c>
      <c r="G812" s="130"/>
      <c r="H812" s="67" t="s">
        <v>1568</v>
      </c>
      <c r="I812" s="32"/>
      <c r="J812" s="67"/>
      <c r="K812" s="32"/>
      <c r="L812" s="362"/>
      <c r="M812" s="67"/>
      <c r="N812" s="362"/>
      <c r="O812" s="65" t="s">
        <v>3462</v>
      </c>
      <c r="P812" s="32">
        <v>2015</v>
      </c>
      <c r="Q812" s="67"/>
      <c r="R812" s="67"/>
      <c r="S812" s="67"/>
      <c r="T812" s="32" t="s">
        <v>12</v>
      </c>
      <c r="U812" s="252">
        <f>189305000-9160000</f>
        <v>180145000</v>
      </c>
      <c r="V812" s="32"/>
      <c r="W812" s="132"/>
      <c r="X812" s="206" t="str">
        <f t="shared" si="224"/>
        <v>4.14.01</v>
      </c>
      <c r="Y812" s="207" t="str">
        <f t="shared" si="212"/>
        <v>Bangunan Air Irigasi</v>
      </c>
      <c r="Z812" s="207">
        <f t="shared" si="213"/>
        <v>50</v>
      </c>
      <c r="AA812" s="233">
        <f t="shared" si="214"/>
        <v>3602899.8</v>
      </c>
      <c r="AB812" s="208"/>
      <c r="AC812" s="233">
        <f t="shared" si="215"/>
        <v>0</v>
      </c>
      <c r="AD812" s="233"/>
      <c r="AE812" s="233">
        <f t="shared" si="217"/>
        <v>3602899.8</v>
      </c>
      <c r="AF812" s="233">
        <f t="shared" si="218"/>
        <v>3602899.8</v>
      </c>
      <c r="AG812" s="233">
        <f t="shared" si="219"/>
        <v>3602899.8</v>
      </c>
      <c r="AH812" s="238">
        <f t="shared" si="220"/>
        <v>3602899.8</v>
      </c>
      <c r="AI812" s="238">
        <f t="shared" si="221"/>
        <v>14411599.199999999</v>
      </c>
      <c r="AJ812" s="261">
        <f t="shared" si="222"/>
        <v>2015</v>
      </c>
      <c r="AK812" s="233">
        <f t="shared" si="223"/>
        <v>165733400.80000001</v>
      </c>
    </row>
    <row r="813" spans="6:37" s="120" customFormat="1" ht="35.25" hidden="1" customHeight="1" x14ac:dyDescent="0.2">
      <c r="F813" s="218" t="s">
        <v>2306</v>
      </c>
      <c r="G813" s="130"/>
      <c r="H813" s="67" t="s">
        <v>1569</v>
      </c>
      <c r="I813" s="32"/>
      <c r="J813" s="67"/>
      <c r="K813" s="32"/>
      <c r="L813" s="362"/>
      <c r="M813" s="67"/>
      <c r="N813" s="362"/>
      <c r="O813" s="65" t="s">
        <v>3463</v>
      </c>
      <c r="P813" s="32">
        <v>2015</v>
      </c>
      <c r="Q813" s="67"/>
      <c r="R813" s="67"/>
      <c r="S813" s="67"/>
      <c r="T813" s="32" t="s">
        <v>12</v>
      </c>
      <c r="U813" s="252">
        <f>190564000-9160000</f>
        <v>181404000</v>
      </c>
      <c r="V813" s="32"/>
      <c r="W813" s="132"/>
      <c r="X813" s="206" t="str">
        <f t="shared" si="224"/>
        <v>4.14.01</v>
      </c>
      <c r="Y813" s="207" t="str">
        <f t="shared" si="212"/>
        <v>Bangunan Air Irigasi</v>
      </c>
      <c r="Z813" s="207">
        <f t="shared" si="213"/>
        <v>50</v>
      </c>
      <c r="AA813" s="233">
        <f t="shared" si="214"/>
        <v>3628079.8</v>
      </c>
      <c r="AB813" s="208"/>
      <c r="AC813" s="233">
        <f t="shared" si="215"/>
        <v>0</v>
      </c>
      <c r="AD813" s="233"/>
      <c r="AE813" s="233">
        <f t="shared" si="217"/>
        <v>3628079.8</v>
      </c>
      <c r="AF813" s="233">
        <f t="shared" si="218"/>
        <v>3628079.8</v>
      </c>
      <c r="AG813" s="233">
        <f t="shared" si="219"/>
        <v>3628079.8</v>
      </c>
      <c r="AH813" s="238">
        <f t="shared" si="220"/>
        <v>3628079.8</v>
      </c>
      <c r="AI813" s="238">
        <f t="shared" si="221"/>
        <v>14512319.199999999</v>
      </c>
      <c r="AJ813" s="261">
        <f t="shared" si="222"/>
        <v>2015</v>
      </c>
      <c r="AK813" s="233">
        <f t="shared" si="223"/>
        <v>166891680.80000001</v>
      </c>
    </row>
    <row r="814" spans="6:37" s="120" customFormat="1" ht="35.25" hidden="1" customHeight="1" x14ac:dyDescent="0.2">
      <c r="F814" s="218" t="s">
        <v>2306</v>
      </c>
      <c r="G814" s="130"/>
      <c r="H814" s="67" t="s">
        <v>1570</v>
      </c>
      <c r="I814" s="32"/>
      <c r="J814" s="67"/>
      <c r="K814" s="32"/>
      <c r="L814" s="362"/>
      <c r="M814" s="67"/>
      <c r="N814" s="362"/>
      <c r="O814" s="65" t="s">
        <v>3464</v>
      </c>
      <c r="P814" s="32">
        <v>2015</v>
      </c>
      <c r="Q814" s="67"/>
      <c r="R814" s="67"/>
      <c r="S814" s="67"/>
      <c r="T814" s="32" t="s">
        <v>12</v>
      </c>
      <c r="U814" s="252">
        <f>189931000-9160000</f>
        <v>180771000</v>
      </c>
      <c r="V814" s="32"/>
      <c r="W814" s="132"/>
      <c r="X814" s="206" t="str">
        <f t="shared" si="224"/>
        <v>4.14.01</v>
      </c>
      <c r="Y814" s="207" t="str">
        <f t="shared" si="212"/>
        <v>Bangunan Air Irigasi</v>
      </c>
      <c r="Z814" s="207">
        <f t="shared" si="213"/>
        <v>50</v>
      </c>
      <c r="AA814" s="233">
        <f t="shared" si="214"/>
        <v>3615419.8</v>
      </c>
      <c r="AB814" s="208"/>
      <c r="AC814" s="233">
        <f t="shared" si="215"/>
        <v>0</v>
      </c>
      <c r="AD814" s="233"/>
      <c r="AE814" s="233">
        <f t="shared" si="217"/>
        <v>3615419.8</v>
      </c>
      <c r="AF814" s="233">
        <f t="shared" si="218"/>
        <v>3615419.8</v>
      </c>
      <c r="AG814" s="233">
        <f t="shared" si="219"/>
        <v>3615419.8</v>
      </c>
      <c r="AH814" s="238">
        <f t="shared" si="220"/>
        <v>3615419.8</v>
      </c>
      <c r="AI814" s="238">
        <f t="shared" si="221"/>
        <v>14461679.199999999</v>
      </c>
      <c r="AJ814" s="261">
        <f t="shared" si="222"/>
        <v>2015</v>
      </c>
      <c r="AK814" s="233">
        <f t="shared" si="223"/>
        <v>166309320.80000001</v>
      </c>
    </row>
    <row r="815" spans="6:37" s="120" customFormat="1" ht="35.25" hidden="1" customHeight="1" x14ac:dyDescent="0.2">
      <c r="F815" s="218" t="s">
        <v>2306</v>
      </c>
      <c r="G815" s="130"/>
      <c r="H815" s="67" t="s">
        <v>1571</v>
      </c>
      <c r="I815" s="32"/>
      <c r="J815" s="67"/>
      <c r="K815" s="32"/>
      <c r="L815" s="362"/>
      <c r="M815" s="67"/>
      <c r="N815" s="362"/>
      <c r="O815" s="65" t="s">
        <v>2610</v>
      </c>
      <c r="P815" s="32">
        <v>2015</v>
      </c>
      <c r="Q815" s="67"/>
      <c r="R815" s="67"/>
      <c r="S815" s="67"/>
      <c r="T815" s="32" t="s">
        <v>12</v>
      </c>
      <c r="U815" s="252">
        <f>183200000-9160000</f>
        <v>174040000</v>
      </c>
      <c r="V815" s="32"/>
      <c r="W815" s="132"/>
      <c r="X815" s="206" t="str">
        <f t="shared" si="224"/>
        <v>4.14.01</v>
      </c>
      <c r="Y815" s="207" t="str">
        <f t="shared" si="212"/>
        <v>Bangunan Air Irigasi</v>
      </c>
      <c r="Z815" s="207">
        <f t="shared" si="213"/>
        <v>50</v>
      </c>
      <c r="AA815" s="233">
        <f t="shared" si="214"/>
        <v>3480799.8</v>
      </c>
      <c r="AB815" s="208"/>
      <c r="AC815" s="233">
        <f t="shared" si="215"/>
        <v>0</v>
      </c>
      <c r="AD815" s="233"/>
      <c r="AE815" s="233">
        <f t="shared" si="217"/>
        <v>3480799.8</v>
      </c>
      <c r="AF815" s="233">
        <f t="shared" si="218"/>
        <v>3480799.8</v>
      </c>
      <c r="AG815" s="233">
        <f t="shared" si="219"/>
        <v>3480799.8</v>
      </c>
      <c r="AH815" s="238">
        <f t="shared" si="220"/>
        <v>3480799.8</v>
      </c>
      <c r="AI815" s="238">
        <f t="shared" si="221"/>
        <v>13923199.199999999</v>
      </c>
      <c r="AJ815" s="261">
        <f t="shared" si="222"/>
        <v>2015</v>
      </c>
      <c r="AK815" s="233">
        <f t="shared" si="223"/>
        <v>160116800.80000001</v>
      </c>
    </row>
    <row r="816" spans="6:37" s="120" customFormat="1" ht="35.25" hidden="1" customHeight="1" x14ac:dyDescent="0.2">
      <c r="F816" s="218" t="s">
        <v>2306</v>
      </c>
      <c r="G816" s="130"/>
      <c r="H816" s="67" t="s">
        <v>1572</v>
      </c>
      <c r="I816" s="32"/>
      <c r="J816" s="67"/>
      <c r="K816" s="32"/>
      <c r="L816" s="362"/>
      <c r="M816" s="67"/>
      <c r="N816" s="362"/>
      <c r="O816" s="65" t="s">
        <v>3465</v>
      </c>
      <c r="P816" s="32">
        <v>2015</v>
      </c>
      <c r="Q816" s="67"/>
      <c r="R816" s="67"/>
      <c r="S816" s="67"/>
      <c r="T816" s="32" t="s">
        <v>12</v>
      </c>
      <c r="U816" s="252">
        <f>189000000-9160000</f>
        <v>179840000</v>
      </c>
      <c r="V816" s="32"/>
      <c r="W816" s="132"/>
      <c r="X816" s="206" t="str">
        <f t="shared" si="224"/>
        <v>4.14.01</v>
      </c>
      <c r="Y816" s="207" t="str">
        <f t="shared" si="212"/>
        <v>Bangunan Air Irigasi</v>
      </c>
      <c r="Z816" s="207">
        <f t="shared" si="213"/>
        <v>50</v>
      </c>
      <c r="AA816" s="233">
        <f t="shared" si="214"/>
        <v>3596799.8</v>
      </c>
      <c r="AB816" s="208"/>
      <c r="AC816" s="233">
        <f t="shared" si="215"/>
        <v>0</v>
      </c>
      <c r="AD816" s="233"/>
      <c r="AE816" s="233">
        <f t="shared" si="217"/>
        <v>3596799.8</v>
      </c>
      <c r="AF816" s="233">
        <f t="shared" si="218"/>
        <v>3596799.8</v>
      </c>
      <c r="AG816" s="233">
        <f t="shared" si="219"/>
        <v>3596799.8</v>
      </c>
      <c r="AH816" s="238">
        <f t="shared" si="220"/>
        <v>3596799.8</v>
      </c>
      <c r="AI816" s="238">
        <f t="shared" si="221"/>
        <v>14387199.199999999</v>
      </c>
      <c r="AJ816" s="261">
        <f t="shared" si="222"/>
        <v>2015</v>
      </c>
      <c r="AK816" s="233">
        <f t="shared" si="223"/>
        <v>165452800.80000001</v>
      </c>
    </row>
    <row r="817" spans="6:37" s="120" customFormat="1" ht="35.25" hidden="1" customHeight="1" x14ac:dyDescent="0.2">
      <c r="F817" s="218" t="s">
        <v>2306</v>
      </c>
      <c r="G817" s="130"/>
      <c r="H817" s="67" t="s">
        <v>1573</v>
      </c>
      <c r="I817" s="32"/>
      <c r="J817" s="67"/>
      <c r="K817" s="32"/>
      <c r="L817" s="362"/>
      <c r="M817" s="67"/>
      <c r="N817" s="362"/>
      <c r="O817" s="65" t="s">
        <v>3466</v>
      </c>
      <c r="P817" s="32">
        <v>2015</v>
      </c>
      <c r="Q817" s="67"/>
      <c r="R817" s="67"/>
      <c r="S817" s="67"/>
      <c r="T817" s="32" t="s">
        <v>12</v>
      </c>
      <c r="U817" s="252">
        <f>189300000-9160000</f>
        <v>180140000</v>
      </c>
      <c r="V817" s="32"/>
      <c r="W817" s="132"/>
      <c r="X817" s="206" t="str">
        <f t="shared" si="224"/>
        <v>4.14.01</v>
      </c>
      <c r="Y817" s="207" t="str">
        <f t="shared" si="212"/>
        <v>Bangunan Air Irigasi</v>
      </c>
      <c r="Z817" s="207">
        <f t="shared" si="213"/>
        <v>50</v>
      </c>
      <c r="AA817" s="233">
        <f t="shared" si="214"/>
        <v>3602799.8</v>
      </c>
      <c r="AB817" s="208"/>
      <c r="AC817" s="233">
        <f t="shared" si="215"/>
        <v>0</v>
      </c>
      <c r="AD817" s="233"/>
      <c r="AE817" s="233">
        <f t="shared" si="217"/>
        <v>3602799.8</v>
      </c>
      <c r="AF817" s="233">
        <f t="shared" si="218"/>
        <v>3602799.8</v>
      </c>
      <c r="AG817" s="233">
        <f t="shared" si="219"/>
        <v>3602799.8</v>
      </c>
      <c r="AH817" s="238">
        <f t="shared" si="220"/>
        <v>3602799.8</v>
      </c>
      <c r="AI817" s="238">
        <f t="shared" si="221"/>
        <v>14411199.199999999</v>
      </c>
      <c r="AJ817" s="261">
        <f t="shared" si="222"/>
        <v>2015</v>
      </c>
      <c r="AK817" s="233">
        <f t="shared" si="223"/>
        <v>165728800.80000001</v>
      </c>
    </row>
    <row r="818" spans="6:37" s="120" customFormat="1" ht="35.25" hidden="1" customHeight="1" x14ac:dyDescent="0.2">
      <c r="F818" s="218" t="s">
        <v>2306</v>
      </c>
      <c r="G818" s="130"/>
      <c r="H818" s="67" t="s">
        <v>1574</v>
      </c>
      <c r="I818" s="32"/>
      <c r="J818" s="67"/>
      <c r="K818" s="32"/>
      <c r="L818" s="362"/>
      <c r="M818" s="67"/>
      <c r="N818" s="362"/>
      <c r="O818" s="65" t="s">
        <v>3467</v>
      </c>
      <c r="P818" s="32">
        <v>2015</v>
      </c>
      <c r="Q818" s="67"/>
      <c r="R818" s="67"/>
      <c r="S818" s="67"/>
      <c r="T818" s="32" t="s">
        <v>12</v>
      </c>
      <c r="U818" s="252">
        <f>189200000-9160000</f>
        <v>180040000</v>
      </c>
      <c r="V818" s="32"/>
      <c r="W818" s="132"/>
      <c r="X818" s="206" t="str">
        <f t="shared" ref="X818:X852" si="225">F818</f>
        <v>4.14.01</v>
      </c>
      <c r="Y818" s="207" t="str">
        <f t="shared" ref="Y818:Y852" si="226">VLOOKUP(X818,kelompok,2,0)</f>
        <v>Bangunan Air Irigasi</v>
      </c>
      <c r="Z818" s="207">
        <f t="shared" ref="Z818:Z852" si="227">VLOOKUP(X818,MASAMANFAAT,4,0)</f>
        <v>50</v>
      </c>
      <c r="AA818" s="233">
        <f t="shared" ref="AA818:AA931" si="228">(U818-10)/Z818</f>
        <v>3600799.8</v>
      </c>
      <c r="AB818" s="208"/>
      <c r="AC818" s="233">
        <f t="shared" ref="AC818:AC852" si="229">IF(AB818&gt;Z818,U818-10,AA818*AB818)</f>
        <v>0</v>
      </c>
      <c r="AD818" s="233"/>
      <c r="AE818" s="233">
        <f t="shared" ref="AE818:AE832" si="230">IF(U818-10=AC818+AD818,0,AA818)</f>
        <v>3600799.8</v>
      </c>
      <c r="AF818" s="233">
        <f t="shared" ref="AF818:AF852" si="231">IF(U818-10=AC818+AD818+AE818,0,AA818)</f>
        <v>3600799.8</v>
      </c>
      <c r="AG818" s="233">
        <f t="shared" ref="AG818:AG852" si="232">IF(U818-10=AD818+AE818+AF818+AC818,0,AA818)</f>
        <v>3600799.8</v>
      </c>
      <c r="AH818" s="238">
        <f t="shared" ref="AH818:AH881" si="233">IF(U818-10=AD818+AE818+AF818+AC818+AG818,0,AA818)</f>
        <v>3600799.8</v>
      </c>
      <c r="AI818" s="238">
        <f t="shared" ref="AI818:AI881" si="234">SUM(AC818:AH818)</f>
        <v>14403199.199999999</v>
      </c>
      <c r="AJ818" s="261">
        <f t="shared" ref="AJ818:AJ881" si="235">P818</f>
        <v>2015</v>
      </c>
      <c r="AK818" s="233">
        <f t="shared" ref="AK818:AK881" si="236">U818-AI818</f>
        <v>165636800.80000001</v>
      </c>
    </row>
    <row r="819" spans="6:37" s="120" customFormat="1" ht="35.25" hidden="1" customHeight="1" x14ac:dyDescent="0.2">
      <c r="F819" s="218" t="s">
        <v>2306</v>
      </c>
      <c r="G819" s="130"/>
      <c r="H819" s="67" t="s">
        <v>1575</v>
      </c>
      <c r="I819" s="32"/>
      <c r="J819" s="67"/>
      <c r="K819" s="32"/>
      <c r="L819" s="362"/>
      <c r="M819" s="67"/>
      <c r="N819" s="362"/>
      <c r="O819" s="65" t="s">
        <v>737</v>
      </c>
      <c r="P819" s="32">
        <v>2015</v>
      </c>
      <c r="Q819" s="67"/>
      <c r="R819" s="67"/>
      <c r="S819" s="67"/>
      <c r="T819" s="32" t="s">
        <v>12</v>
      </c>
      <c r="U819" s="252">
        <v>189350000</v>
      </c>
      <c r="V819" s="32"/>
      <c r="W819" s="132"/>
      <c r="X819" s="206" t="str">
        <f t="shared" si="225"/>
        <v>4.14.01</v>
      </c>
      <c r="Y819" s="207" t="str">
        <f t="shared" si="226"/>
        <v>Bangunan Air Irigasi</v>
      </c>
      <c r="Z819" s="207">
        <f t="shared" si="227"/>
        <v>50</v>
      </c>
      <c r="AA819" s="233">
        <f t="shared" si="228"/>
        <v>3786999.8</v>
      </c>
      <c r="AB819" s="208"/>
      <c r="AC819" s="233">
        <f t="shared" si="229"/>
        <v>0</v>
      </c>
      <c r="AD819" s="233"/>
      <c r="AE819" s="233">
        <f t="shared" si="230"/>
        <v>3786999.8</v>
      </c>
      <c r="AF819" s="233">
        <f t="shared" si="231"/>
        <v>3786999.8</v>
      </c>
      <c r="AG819" s="233">
        <f t="shared" si="232"/>
        <v>3786999.8</v>
      </c>
      <c r="AH819" s="238">
        <f t="shared" si="233"/>
        <v>3786999.8</v>
      </c>
      <c r="AI819" s="238">
        <f t="shared" si="234"/>
        <v>15147999.199999999</v>
      </c>
      <c r="AJ819" s="261">
        <f t="shared" si="235"/>
        <v>2015</v>
      </c>
      <c r="AK819" s="233">
        <f t="shared" si="236"/>
        <v>174202000.80000001</v>
      </c>
    </row>
    <row r="820" spans="6:37" s="120" customFormat="1" ht="35.25" hidden="1" customHeight="1" x14ac:dyDescent="0.2">
      <c r="F820" s="218" t="s">
        <v>2306</v>
      </c>
      <c r="G820" s="130"/>
      <c r="H820" s="67" t="s">
        <v>1576</v>
      </c>
      <c r="I820" s="67"/>
      <c r="J820" s="32"/>
      <c r="K820" s="67"/>
      <c r="L820" s="362"/>
      <c r="M820" s="67"/>
      <c r="N820" s="373"/>
      <c r="O820" s="32" t="s">
        <v>3468</v>
      </c>
      <c r="P820" s="32">
        <v>2015</v>
      </c>
      <c r="Q820" s="67"/>
      <c r="R820" s="67"/>
      <c r="S820" s="67"/>
      <c r="T820" s="32" t="s">
        <v>12</v>
      </c>
      <c r="U820" s="253">
        <v>809566000</v>
      </c>
      <c r="V820" s="68"/>
      <c r="W820" s="134"/>
      <c r="X820" s="206" t="str">
        <f t="shared" si="225"/>
        <v>4.14.01</v>
      </c>
      <c r="Y820" s="207" t="str">
        <f t="shared" si="226"/>
        <v>Bangunan Air Irigasi</v>
      </c>
      <c r="Z820" s="207">
        <f t="shared" si="227"/>
        <v>50</v>
      </c>
      <c r="AA820" s="233">
        <f t="shared" si="228"/>
        <v>16191319.800000001</v>
      </c>
      <c r="AB820" s="208"/>
      <c r="AC820" s="233">
        <f t="shared" si="229"/>
        <v>0</v>
      </c>
      <c r="AD820" s="233"/>
      <c r="AE820" s="233">
        <f t="shared" si="230"/>
        <v>16191319.800000001</v>
      </c>
      <c r="AF820" s="233">
        <f t="shared" si="231"/>
        <v>16191319.800000001</v>
      </c>
      <c r="AG820" s="233">
        <f t="shared" si="232"/>
        <v>16191319.800000001</v>
      </c>
      <c r="AH820" s="238">
        <f t="shared" si="233"/>
        <v>16191319.800000001</v>
      </c>
      <c r="AI820" s="238">
        <f t="shared" si="234"/>
        <v>64765279.200000003</v>
      </c>
      <c r="AJ820" s="261">
        <f t="shared" si="235"/>
        <v>2015</v>
      </c>
      <c r="AK820" s="233">
        <f t="shared" si="236"/>
        <v>744800720.79999995</v>
      </c>
    </row>
    <row r="821" spans="6:37" s="120" customFormat="1" ht="35.25" hidden="1" customHeight="1" x14ac:dyDescent="0.2">
      <c r="F821" s="218" t="s">
        <v>2306</v>
      </c>
      <c r="G821" s="130"/>
      <c r="H821" s="67" t="s">
        <v>1577</v>
      </c>
      <c r="I821" s="67"/>
      <c r="J821" s="32"/>
      <c r="K821" s="67"/>
      <c r="L821" s="362"/>
      <c r="M821" s="67"/>
      <c r="N821" s="373"/>
      <c r="O821" s="32" t="s">
        <v>3469</v>
      </c>
      <c r="P821" s="32">
        <v>2015</v>
      </c>
      <c r="Q821" s="67"/>
      <c r="R821" s="67"/>
      <c r="S821" s="67"/>
      <c r="T821" s="32" t="s">
        <v>12</v>
      </c>
      <c r="U821" s="253">
        <v>391901000</v>
      </c>
      <c r="V821" s="68"/>
      <c r="W821" s="134"/>
      <c r="X821" s="206" t="str">
        <f t="shared" si="225"/>
        <v>4.14.01</v>
      </c>
      <c r="Y821" s="207" t="str">
        <f t="shared" si="226"/>
        <v>Bangunan Air Irigasi</v>
      </c>
      <c r="Z821" s="207">
        <f t="shared" si="227"/>
        <v>50</v>
      </c>
      <c r="AA821" s="233">
        <f t="shared" si="228"/>
        <v>7838019.7999999998</v>
      </c>
      <c r="AB821" s="208"/>
      <c r="AC821" s="233">
        <f t="shared" si="229"/>
        <v>0</v>
      </c>
      <c r="AD821" s="233"/>
      <c r="AE821" s="233">
        <f t="shared" si="230"/>
        <v>7838019.7999999998</v>
      </c>
      <c r="AF821" s="233">
        <f t="shared" si="231"/>
        <v>7838019.7999999998</v>
      </c>
      <c r="AG821" s="233">
        <f t="shared" si="232"/>
        <v>7838019.7999999998</v>
      </c>
      <c r="AH821" s="238">
        <f t="shared" si="233"/>
        <v>7838019.7999999998</v>
      </c>
      <c r="AI821" s="238">
        <f t="shared" si="234"/>
        <v>31352079.199999999</v>
      </c>
      <c r="AJ821" s="261">
        <f t="shared" si="235"/>
        <v>2015</v>
      </c>
      <c r="AK821" s="233">
        <f t="shared" si="236"/>
        <v>360548920.80000001</v>
      </c>
    </row>
    <row r="822" spans="6:37" s="120" customFormat="1" ht="35.25" hidden="1" customHeight="1" x14ac:dyDescent="0.2">
      <c r="F822" s="218" t="s">
        <v>2306</v>
      </c>
      <c r="G822" s="130"/>
      <c r="H822" s="67" t="s">
        <v>1578</v>
      </c>
      <c r="I822" s="67"/>
      <c r="J822" s="32"/>
      <c r="K822" s="67"/>
      <c r="L822" s="362"/>
      <c r="M822" s="67"/>
      <c r="N822" s="373"/>
      <c r="O822" s="32" t="s">
        <v>3470</v>
      </c>
      <c r="P822" s="32">
        <v>2015</v>
      </c>
      <c r="Q822" s="67"/>
      <c r="R822" s="67"/>
      <c r="S822" s="67"/>
      <c r="T822" s="32" t="s">
        <v>12</v>
      </c>
      <c r="U822" s="253">
        <v>464259700</v>
      </c>
      <c r="V822" s="68"/>
      <c r="W822" s="134"/>
      <c r="X822" s="206" t="str">
        <f t="shared" si="225"/>
        <v>4.14.01</v>
      </c>
      <c r="Y822" s="207" t="str">
        <f t="shared" si="226"/>
        <v>Bangunan Air Irigasi</v>
      </c>
      <c r="Z822" s="207">
        <f t="shared" si="227"/>
        <v>50</v>
      </c>
      <c r="AA822" s="233">
        <f t="shared" si="228"/>
        <v>9285193.8000000007</v>
      </c>
      <c r="AB822" s="208"/>
      <c r="AC822" s="233">
        <f t="shared" si="229"/>
        <v>0</v>
      </c>
      <c r="AD822" s="233"/>
      <c r="AE822" s="233">
        <f t="shared" si="230"/>
        <v>9285193.8000000007</v>
      </c>
      <c r="AF822" s="233">
        <f t="shared" si="231"/>
        <v>9285193.8000000007</v>
      </c>
      <c r="AG822" s="233">
        <f t="shared" si="232"/>
        <v>9285193.8000000007</v>
      </c>
      <c r="AH822" s="238">
        <f t="shared" si="233"/>
        <v>9285193.8000000007</v>
      </c>
      <c r="AI822" s="238">
        <f t="shared" si="234"/>
        <v>37140775.200000003</v>
      </c>
      <c r="AJ822" s="261">
        <f t="shared" si="235"/>
        <v>2015</v>
      </c>
      <c r="AK822" s="233">
        <f t="shared" si="236"/>
        <v>427118924.80000001</v>
      </c>
    </row>
    <row r="823" spans="6:37" s="120" customFormat="1" ht="35.25" hidden="1" customHeight="1" x14ac:dyDescent="0.2">
      <c r="F823" s="218" t="s">
        <v>2306</v>
      </c>
      <c r="G823" s="130"/>
      <c r="H823" s="67" t="s">
        <v>1579</v>
      </c>
      <c r="I823" s="67"/>
      <c r="J823" s="32"/>
      <c r="K823" s="67"/>
      <c r="L823" s="362"/>
      <c r="M823" s="67"/>
      <c r="N823" s="373"/>
      <c r="O823" s="32" t="s">
        <v>3471</v>
      </c>
      <c r="P823" s="32">
        <v>2015</v>
      </c>
      <c r="Q823" s="67"/>
      <c r="R823" s="67"/>
      <c r="S823" s="67"/>
      <c r="T823" s="32" t="s">
        <v>12</v>
      </c>
      <c r="U823" s="253">
        <v>191981000</v>
      </c>
      <c r="V823" s="68"/>
      <c r="W823" s="134"/>
      <c r="X823" s="206" t="str">
        <f t="shared" si="225"/>
        <v>4.14.01</v>
      </c>
      <c r="Y823" s="207" t="str">
        <f t="shared" si="226"/>
        <v>Bangunan Air Irigasi</v>
      </c>
      <c r="Z823" s="207">
        <f t="shared" si="227"/>
        <v>50</v>
      </c>
      <c r="AA823" s="233">
        <f t="shared" si="228"/>
        <v>3839619.8</v>
      </c>
      <c r="AB823" s="208"/>
      <c r="AC823" s="233">
        <f t="shared" si="229"/>
        <v>0</v>
      </c>
      <c r="AD823" s="233"/>
      <c r="AE823" s="233">
        <f t="shared" si="230"/>
        <v>3839619.8</v>
      </c>
      <c r="AF823" s="233">
        <f t="shared" si="231"/>
        <v>3839619.8</v>
      </c>
      <c r="AG823" s="233">
        <f t="shared" si="232"/>
        <v>3839619.8</v>
      </c>
      <c r="AH823" s="238">
        <f t="shared" si="233"/>
        <v>3839619.8</v>
      </c>
      <c r="AI823" s="238">
        <f t="shared" si="234"/>
        <v>15358479.199999999</v>
      </c>
      <c r="AJ823" s="261">
        <f t="shared" si="235"/>
        <v>2015</v>
      </c>
      <c r="AK823" s="233">
        <f t="shared" si="236"/>
        <v>176622520.80000001</v>
      </c>
    </row>
    <row r="824" spans="6:37" s="120" customFormat="1" ht="35.25" hidden="1" customHeight="1" x14ac:dyDescent="0.2">
      <c r="F824" s="218" t="s">
        <v>2306</v>
      </c>
      <c r="G824" s="130"/>
      <c r="H824" s="67" t="s">
        <v>1580</v>
      </c>
      <c r="I824" s="32"/>
      <c r="J824" s="67"/>
      <c r="K824" s="32"/>
      <c r="L824" s="362"/>
      <c r="M824" s="67"/>
      <c r="N824" s="362"/>
      <c r="O824" s="65" t="s">
        <v>3472</v>
      </c>
      <c r="P824" s="32">
        <v>2015</v>
      </c>
      <c r="Q824" s="67"/>
      <c r="R824" s="67"/>
      <c r="S824" s="67"/>
      <c r="T824" s="32" t="s">
        <v>12</v>
      </c>
      <c r="U824" s="252">
        <v>190936000</v>
      </c>
      <c r="V824" s="32"/>
      <c r="W824" s="132"/>
      <c r="X824" s="206" t="str">
        <f t="shared" si="225"/>
        <v>4.14.01</v>
      </c>
      <c r="Y824" s="207" t="str">
        <f t="shared" si="226"/>
        <v>Bangunan Air Irigasi</v>
      </c>
      <c r="Z824" s="207">
        <f t="shared" si="227"/>
        <v>50</v>
      </c>
      <c r="AA824" s="233">
        <f t="shared" si="228"/>
        <v>3818719.8</v>
      </c>
      <c r="AB824" s="208"/>
      <c r="AC824" s="233">
        <f t="shared" si="229"/>
        <v>0</v>
      </c>
      <c r="AD824" s="233"/>
      <c r="AE824" s="233">
        <f t="shared" si="230"/>
        <v>3818719.8</v>
      </c>
      <c r="AF824" s="233">
        <f t="shared" si="231"/>
        <v>3818719.8</v>
      </c>
      <c r="AG824" s="233">
        <f t="shared" si="232"/>
        <v>3818719.8</v>
      </c>
      <c r="AH824" s="238">
        <f t="shared" si="233"/>
        <v>3818719.8</v>
      </c>
      <c r="AI824" s="238">
        <f t="shared" si="234"/>
        <v>15274879.199999999</v>
      </c>
      <c r="AJ824" s="261">
        <f t="shared" si="235"/>
        <v>2015</v>
      </c>
      <c r="AK824" s="233">
        <f t="shared" si="236"/>
        <v>175661120.80000001</v>
      </c>
    </row>
    <row r="825" spans="6:37" s="120" customFormat="1" ht="35.25" hidden="1" customHeight="1" x14ac:dyDescent="0.2">
      <c r="F825" s="218" t="s">
        <v>2306</v>
      </c>
      <c r="G825" s="130"/>
      <c r="H825" s="67" t="s">
        <v>1581</v>
      </c>
      <c r="I825" s="32"/>
      <c r="J825" s="67"/>
      <c r="K825" s="32"/>
      <c r="L825" s="362"/>
      <c r="M825" s="67"/>
      <c r="N825" s="362"/>
      <c r="O825" s="65" t="s">
        <v>3473</v>
      </c>
      <c r="P825" s="32">
        <v>2015</v>
      </c>
      <c r="Q825" s="67"/>
      <c r="R825" s="67"/>
      <c r="S825" s="67"/>
      <c r="T825" s="32" t="s">
        <v>12</v>
      </c>
      <c r="U825" s="252">
        <v>191500000</v>
      </c>
      <c r="V825" s="32"/>
      <c r="W825" s="132"/>
      <c r="X825" s="206" t="str">
        <f t="shared" si="225"/>
        <v>4.14.01</v>
      </c>
      <c r="Y825" s="207" t="str">
        <f t="shared" si="226"/>
        <v>Bangunan Air Irigasi</v>
      </c>
      <c r="Z825" s="207">
        <f t="shared" si="227"/>
        <v>50</v>
      </c>
      <c r="AA825" s="233">
        <f t="shared" si="228"/>
        <v>3829999.8</v>
      </c>
      <c r="AB825" s="208"/>
      <c r="AC825" s="233">
        <f t="shared" si="229"/>
        <v>0</v>
      </c>
      <c r="AD825" s="233"/>
      <c r="AE825" s="233">
        <f t="shared" si="230"/>
        <v>3829999.8</v>
      </c>
      <c r="AF825" s="233">
        <f t="shared" si="231"/>
        <v>3829999.8</v>
      </c>
      <c r="AG825" s="233">
        <f t="shared" si="232"/>
        <v>3829999.8</v>
      </c>
      <c r="AH825" s="238">
        <f t="shared" si="233"/>
        <v>3829999.8</v>
      </c>
      <c r="AI825" s="238">
        <f t="shared" si="234"/>
        <v>15319999.199999999</v>
      </c>
      <c r="AJ825" s="261">
        <f t="shared" si="235"/>
        <v>2015</v>
      </c>
      <c r="AK825" s="233">
        <f t="shared" si="236"/>
        <v>176180000.80000001</v>
      </c>
    </row>
    <row r="826" spans="6:37" s="120" customFormat="1" ht="35.25" hidden="1" customHeight="1" x14ac:dyDescent="0.2">
      <c r="F826" s="218" t="s">
        <v>2306</v>
      </c>
      <c r="G826" s="130"/>
      <c r="H826" s="67" t="s">
        <v>1582</v>
      </c>
      <c r="I826" s="32"/>
      <c r="J826" s="67"/>
      <c r="K826" s="32"/>
      <c r="L826" s="362"/>
      <c r="M826" s="67"/>
      <c r="N826" s="362"/>
      <c r="O826" s="65" t="s">
        <v>3474</v>
      </c>
      <c r="P826" s="32">
        <v>2015</v>
      </c>
      <c r="Q826" s="67"/>
      <c r="R826" s="67"/>
      <c r="S826" s="67"/>
      <c r="T826" s="32" t="s">
        <v>12</v>
      </c>
      <c r="U826" s="252">
        <v>191200000</v>
      </c>
      <c r="V826" s="32"/>
      <c r="W826" s="132"/>
      <c r="X826" s="206" t="str">
        <f t="shared" si="225"/>
        <v>4.14.01</v>
      </c>
      <c r="Y826" s="207" t="str">
        <f t="shared" si="226"/>
        <v>Bangunan Air Irigasi</v>
      </c>
      <c r="Z826" s="207">
        <f t="shared" si="227"/>
        <v>50</v>
      </c>
      <c r="AA826" s="233">
        <f t="shared" si="228"/>
        <v>3823999.8</v>
      </c>
      <c r="AB826" s="208"/>
      <c r="AC826" s="233">
        <f t="shared" si="229"/>
        <v>0</v>
      </c>
      <c r="AD826" s="233"/>
      <c r="AE826" s="233">
        <f t="shared" si="230"/>
        <v>3823999.8</v>
      </c>
      <c r="AF826" s="233">
        <f t="shared" si="231"/>
        <v>3823999.8</v>
      </c>
      <c r="AG826" s="233">
        <f t="shared" si="232"/>
        <v>3823999.8</v>
      </c>
      <c r="AH826" s="238">
        <f t="shared" si="233"/>
        <v>3823999.8</v>
      </c>
      <c r="AI826" s="238">
        <f t="shared" si="234"/>
        <v>15295999.199999999</v>
      </c>
      <c r="AJ826" s="261">
        <f t="shared" si="235"/>
        <v>2015</v>
      </c>
      <c r="AK826" s="233">
        <f t="shared" si="236"/>
        <v>175904000.80000001</v>
      </c>
    </row>
    <row r="827" spans="6:37" s="120" customFormat="1" ht="35.25" hidden="1" customHeight="1" x14ac:dyDescent="0.2">
      <c r="F827" s="218" t="s">
        <v>2306</v>
      </c>
      <c r="G827" s="130"/>
      <c r="H827" s="67" t="s">
        <v>1583</v>
      </c>
      <c r="I827" s="32"/>
      <c r="J827" s="67"/>
      <c r="K827" s="32"/>
      <c r="L827" s="362"/>
      <c r="M827" s="67"/>
      <c r="N827" s="362"/>
      <c r="O827" s="65" t="s">
        <v>3475</v>
      </c>
      <c r="P827" s="32">
        <v>2015</v>
      </c>
      <c r="Q827" s="67"/>
      <c r="R827" s="67"/>
      <c r="S827" s="67"/>
      <c r="T827" s="32" t="s">
        <v>12</v>
      </c>
      <c r="U827" s="252">
        <v>190820000</v>
      </c>
      <c r="V827" s="32"/>
      <c r="W827" s="132"/>
      <c r="X827" s="206" t="str">
        <f t="shared" si="225"/>
        <v>4.14.01</v>
      </c>
      <c r="Y827" s="207" t="str">
        <f t="shared" si="226"/>
        <v>Bangunan Air Irigasi</v>
      </c>
      <c r="Z827" s="207">
        <f t="shared" si="227"/>
        <v>50</v>
      </c>
      <c r="AA827" s="233">
        <f t="shared" si="228"/>
        <v>3816399.8</v>
      </c>
      <c r="AB827" s="208"/>
      <c r="AC827" s="233">
        <f t="shared" si="229"/>
        <v>0</v>
      </c>
      <c r="AD827" s="233"/>
      <c r="AE827" s="233">
        <f t="shared" si="230"/>
        <v>3816399.8</v>
      </c>
      <c r="AF827" s="233">
        <f t="shared" si="231"/>
        <v>3816399.8</v>
      </c>
      <c r="AG827" s="233">
        <f t="shared" si="232"/>
        <v>3816399.8</v>
      </c>
      <c r="AH827" s="238">
        <f t="shared" si="233"/>
        <v>3816399.8</v>
      </c>
      <c r="AI827" s="238">
        <f t="shared" si="234"/>
        <v>15265599.199999999</v>
      </c>
      <c r="AJ827" s="261">
        <f t="shared" si="235"/>
        <v>2015</v>
      </c>
      <c r="AK827" s="233">
        <f t="shared" si="236"/>
        <v>175554400.80000001</v>
      </c>
    </row>
    <row r="828" spans="6:37" s="120" customFormat="1" ht="35.25" hidden="1" customHeight="1" x14ac:dyDescent="0.2">
      <c r="F828" s="218" t="s">
        <v>2306</v>
      </c>
      <c r="G828" s="130"/>
      <c r="H828" s="67" t="s">
        <v>1584</v>
      </c>
      <c r="I828" s="32"/>
      <c r="J828" s="67"/>
      <c r="K828" s="32"/>
      <c r="L828" s="362"/>
      <c r="M828" s="67"/>
      <c r="N828" s="362"/>
      <c r="O828" s="65" t="s">
        <v>3476</v>
      </c>
      <c r="P828" s="32">
        <v>2015</v>
      </c>
      <c r="Q828" s="67"/>
      <c r="R828" s="67"/>
      <c r="S828" s="67"/>
      <c r="T828" s="32" t="s">
        <v>12</v>
      </c>
      <c r="U828" s="252">
        <v>190360000</v>
      </c>
      <c r="V828" s="32"/>
      <c r="W828" s="132"/>
      <c r="X828" s="206" t="str">
        <f t="shared" si="225"/>
        <v>4.14.01</v>
      </c>
      <c r="Y828" s="207" t="str">
        <f t="shared" si="226"/>
        <v>Bangunan Air Irigasi</v>
      </c>
      <c r="Z828" s="207">
        <f t="shared" si="227"/>
        <v>50</v>
      </c>
      <c r="AA828" s="233">
        <f t="shared" si="228"/>
        <v>3807199.8</v>
      </c>
      <c r="AB828" s="208"/>
      <c r="AC828" s="233">
        <f t="shared" si="229"/>
        <v>0</v>
      </c>
      <c r="AD828" s="233"/>
      <c r="AE828" s="233">
        <f t="shared" si="230"/>
        <v>3807199.8</v>
      </c>
      <c r="AF828" s="233">
        <f t="shared" si="231"/>
        <v>3807199.8</v>
      </c>
      <c r="AG828" s="233">
        <f t="shared" si="232"/>
        <v>3807199.8</v>
      </c>
      <c r="AH828" s="238">
        <f t="shared" si="233"/>
        <v>3807199.8</v>
      </c>
      <c r="AI828" s="238">
        <f t="shared" si="234"/>
        <v>15228799.199999999</v>
      </c>
      <c r="AJ828" s="261">
        <f t="shared" si="235"/>
        <v>2015</v>
      </c>
      <c r="AK828" s="233">
        <f t="shared" si="236"/>
        <v>175131200.80000001</v>
      </c>
    </row>
    <row r="829" spans="6:37" s="120" customFormat="1" ht="35.25" hidden="1" customHeight="1" x14ac:dyDescent="0.2">
      <c r="F829" s="218" t="s">
        <v>2306</v>
      </c>
      <c r="G829" s="130"/>
      <c r="H829" s="67" t="s">
        <v>1585</v>
      </c>
      <c r="I829" s="32"/>
      <c r="J829" s="67"/>
      <c r="K829" s="32"/>
      <c r="L829" s="362"/>
      <c r="M829" s="67"/>
      <c r="N829" s="362"/>
      <c r="O829" s="65" t="s">
        <v>3477</v>
      </c>
      <c r="P829" s="32">
        <v>2015</v>
      </c>
      <c r="Q829" s="67"/>
      <c r="R829" s="67"/>
      <c r="S829" s="67"/>
      <c r="T829" s="32" t="s">
        <v>12</v>
      </c>
      <c r="U829" s="252">
        <v>191477000</v>
      </c>
      <c r="V829" s="32"/>
      <c r="W829" s="132"/>
      <c r="X829" s="206" t="str">
        <f t="shared" si="225"/>
        <v>4.14.01</v>
      </c>
      <c r="Y829" s="207" t="str">
        <f t="shared" si="226"/>
        <v>Bangunan Air Irigasi</v>
      </c>
      <c r="Z829" s="207">
        <f t="shared" si="227"/>
        <v>50</v>
      </c>
      <c r="AA829" s="233">
        <f t="shared" si="228"/>
        <v>3829539.8</v>
      </c>
      <c r="AB829" s="208"/>
      <c r="AC829" s="233">
        <f t="shared" si="229"/>
        <v>0</v>
      </c>
      <c r="AD829" s="233"/>
      <c r="AE829" s="233">
        <f t="shared" si="230"/>
        <v>3829539.8</v>
      </c>
      <c r="AF829" s="233">
        <f t="shared" si="231"/>
        <v>3829539.8</v>
      </c>
      <c r="AG829" s="233">
        <f t="shared" si="232"/>
        <v>3829539.8</v>
      </c>
      <c r="AH829" s="238">
        <f t="shared" si="233"/>
        <v>3829539.8</v>
      </c>
      <c r="AI829" s="238">
        <f t="shared" si="234"/>
        <v>15318159.199999999</v>
      </c>
      <c r="AJ829" s="261">
        <f t="shared" si="235"/>
        <v>2015</v>
      </c>
      <c r="AK829" s="233">
        <f t="shared" si="236"/>
        <v>176158840.80000001</v>
      </c>
    </row>
    <row r="830" spans="6:37" s="120" customFormat="1" ht="35.25" hidden="1" customHeight="1" x14ac:dyDescent="0.2">
      <c r="F830" s="218" t="s">
        <v>2306</v>
      </c>
      <c r="G830" s="130"/>
      <c r="H830" s="67" t="s">
        <v>1586</v>
      </c>
      <c r="I830" s="32"/>
      <c r="J830" s="67"/>
      <c r="K830" s="32"/>
      <c r="L830" s="362"/>
      <c r="M830" s="67"/>
      <c r="N830" s="362"/>
      <c r="O830" s="65" t="s">
        <v>3478</v>
      </c>
      <c r="P830" s="32">
        <v>2015</v>
      </c>
      <c r="Q830" s="67"/>
      <c r="R830" s="67"/>
      <c r="S830" s="67"/>
      <c r="T830" s="32" t="s">
        <v>12</v>
      </c>
      <c r="U830" s="252">
        <v>190690000</v>
      </c>
      <c r="V830" s="32"/>
      <c r="W830" s="132"/>
      <c r="X830" s="206" t="str">
        <f t="shared" si="225"/>
        <v>4.14.01</v>
      </c>
      <c r="Y830" s="207" t="str">
        <f t="shared" si="226"/>
        <v>Bangunan Air Irigasi</v>
      </c>
      <c r="Z830" s="207">
        <f t="shared" si="227"/>
        <v>50</v>
      </c>
      <c r="AA830" s="233">
        <f t="shared" si="228"/>
        <v>3813799.8</v>
      </c>
      <c r="AB830" s="208"/>
      <c r="AC830" s="233">
        <f t="shared" si="229"/>
        <v>0</v>
      </c>
      <c r="AD830" s="233"/>
      <c r="AE830" s="233">
        <f t="shared" si="230"/>
        <v>3813799.8</v>
      </c>
      <c r="AF830" s="233">
        <f t="shared" si="231"/>
        <v>3813799.8</v>
      </c>
      <c r="AG830" s="233">
        <f t="shared" si="232"/>
        <v>3813799.8</v>
      </c>
      <c r="AH830" s="238">
        <f t="shared" si="233"/>
        <v>3813799.8</v>
      </c>
      <c r="AI830" s="238">
        <f t="shared" si="234"/>
        <v>15255199.199999999</v>
      </c>
      <c r="AJ830" s="261">
        <f t="shared" si="235"/>
        <v>2015</v>
      </c>
      <c r="AK830" s="233">
        <f t="shared" si="236"/>
        <v>175434800.80000001</v>
      </c>
    </row>
    <row r="831" spans="6:37" s="120" customFormat="1" ht="35.25" hidden="1" customHeight="1" x14ac:dyDescent="0.2">
      <c r="F831" s="218" t="s">
        <v>2306</v>
      </c>
      <c r="G831" s="130"/>
      <c r="H831" s="67" t="s">
        <v>1587</v>
      </c>
      <c r="I831" s="32"/>
      <c r="J831" s="67"/>
      <c r="K831" s="32"/>
      <c r="L831" s="362"/>
      <c r="M831" s="67"/>
      <c r="N831" s="362"/>
      <c r="O831" s="65" t="s">
        <v>3450</v>
      </c>
      <c r="P831" s="32">
        <v>2015</v>
      </c>
      <c r="Q831" s="67"/>
      <c r="R831" s="67"/>
      <c r="S831" s="67"/>
      <c r="T831" s="32" t="s">
        <v>12</v>
      </c>
      <c r="U831" s="252">
        <v>191846000</v>
      </c>
      <c r="V831" s="32"/>
      <c r="W831" s="132"/>
      <c r="X831" s="206" t="str">
        <f t="shared" si="225"/>
        <v>4.14.01</v>
      </c>
      <c r="Y831" s="207" t="str">
        <f t="shared" si="226"/>
        <v>Bangunan Air Irigasi</v>
      </c>
      <c r="Z831" s="207">
        <f t="shared" si="227"/>
        <v>50</v>
      </c>
      <c r="AA831" s="233">
        <f t="shared" si="228"/>
        <v>3836919.8</v>
      </c>
      <c r="AB831" s="208"/>
      <c r="AC831" s="233">
        <f t="shared" si="229"/>
        <v>0</v>
      </c>
      <c r="AD831" s="233"/>
      <c r="AE831" s="233">
        <f t="shared" si="230"/>
        <v>3836919.8</v>
      </c>
      <c r="AF831" s="233">
        <f t="shared" si="231"/>
        <v>3836919.8</v>
      </c>
      <c r="AG831" s="233">
        <f t="shared" si="232"/>
        <v>3836919.8</v>
      </c>
      <c r="AH831" s="238">
        <f t="shared" si="233"/>
        <v>3836919.8</v>
      </c>
      <c r="AI831" s="238">
        <f t="shared" si="234"/>
        <v>15347679.199999999</v>
      </c>
      <c r="AJ831" s="261">
        <f t="shared" si="235"/>
        <v>2015</v>
      </c>
      <c r="AK831" s="233">
        <f t="shared" si="236"/>
        <v>176498320.80000001</v>
      </c>
    </row>
    <row r="832" spans="6:37" s="120" customFormat="1" ht="35.25" hidden="1" customHeight="1" x14ac:dyDescent="0.2">
      <c r="F832" s="218" t="s">
        <v>2306</v>
      </c>
      <c r="G832" s="130"/>
      <c r="H832" s="67" t="s">
        <v>1588</v>
      </c>
      <c r="I832" s="32"/>
      <c r="J832" s="67"/>
      <c r="K832" s="32"/>
      <c r="L832" s="362"/>
      <c r="M832" s="67"/>
      <c r="N832" s="362"/>
      <c r="O832" s="65" t="s">
        <v>3479</v>
      </c>
      <c r="P832" s="32">
        <v>2015</v>
      </c>
      <c r="Q832" s="67"/>
      <c r="R832" s="67"/>
      <c r="S832" s="67"/>
      <c r="T832" s="32" t="s">
        <v>12</v>
      </c>
      <c r="U832" s="252">
        <v>1241345150</v>
      </c>
      <c r="V832" s="32"/>
      <c r="W832" s="132"/>
      <c r="X832" s="206" t="str">
        <f t="shared" si="225"/>
        <v>4.14.01</v>
      </c>
      <c r="Y832" s="207" t="str">
        <f t="shared" si="226"/>
        <v>Bangunan Air Irigasi</v>
      </c>
      <c r="Z832" s="207">
        <f t="shared" si="227"/>
        <v>50</v>
      </c>
      <c r="AA832" s="233">
        <f t="shared" si="228"/>
        <v>24826902.800000001</v>
      </c>
      <c r="AB832" s="208"/>
      <c r="AC832" s="233">
        <f t="shared" si="229"/>
        <v>0</v>
      </c>
      <c r="AD832" s="233"/>
      <c r="AE832" s="233">
        <f t="shared" si="230"/>
        <v>24826902.800000001</v>
      </c>
      <c r="AF832" s="233">
        <f t="shared" si="231"/>
        <v>24826902.800000001</v>
      </c>
      <c r="AG832" s="233">
        <f t="shared" si="232"/>
        <v>24826902.800000001</v>
      </c>
      <c r="AH832" s="238">
        <f t="shared" si="233"/>
        <v>24826902.800000001</v>
      </c>
      <c r="AI832" s="238">
        <f t="shared" si="234"/>
        <v>99307611.200000003</v>
      </c>
      <c r="AJ832" s="261">
        <f t="shared" si="235"/>
        <v>2015</v>
      </c>
      <c r="AK832" s="233">
        <f t="shared" si="236"/>
        <v>1142037538.8</v>
      </c>
    </row>
    <row r="833" spans="6:37" s="120" customFormat="1" ht="35.25" hidden="1" customHeight="1" x14ac:dyDescent="0.2">
      <c r="F833" s="218" t="s">
        <v>2306</v>
      </c>
      <c r="G833" s="130"/>
      <c r="H833" s="135" t="s">
        <v>3342</v>
      </c>
      <c r="I833" s="32"/>
      <c r="J833" s="67"/>
      <c r="K833" s="32"/>
      <c r="L833" s="362"/>
      <c r="M833" s="67"/>
      <c r="N833" s="362"/>
      <c r="O833" s="65"/>
      <c r="P833" s="32">
        <v>2016</v>
      </c>
      <c r="Q833" s="67"/>
      <c r="R833" s="67"/>
      <c r="S833" s="67"/>
      <c r="T833" s="32" t="s">
        <v>12</v>
      </c>
      <c r="U833" s="252">
        <v>34650000</v>
      </c>
      <c r="V833" s="32"/>
      <c r="W833" s="132"/>
      <c r="X833" s="206" t="str">
        <f t="shared" si="225"/>
        <v>4.14.01</v>
      </c>
      <c r="Y833" s="207" t="str">
        <f t="shared" si="226"/>
        <v>Bangunan Air Irigasi</v>
      </c>
      <c r="Z833" s="207">
        <f t="shared" si="227"/>
        <v>50</v>
      </c>
      <c r="AA833" s="233">
        <f t="shared" si="228"/>
        <v>692999.8</v>
      </c>
      <c r="AB833" s="208"/>
      <c r="AC833" s="233">
        <f t="shared" si="229"/>
        <v>0</v>
      </c>
      <c r="AD833" s="233"/>
      <c r="AE833" s="233"/>
      <c r="AF833" s="233">
        <f t="shared" si="231"/>
        <v>692999.8</v>
      </c>
      <c r="AG833" s="233">
        <f t="shared" si="232"/>
        <v>692999.8</v>
      </c>
      <c r="AH833" s="238">
        <f t="shared" si="233"/>
        <v>692999.8</v>
      </c>
      <c r="AI833" s="238">
        <f t="shared" si="234"/>
        <v>2078999.4000000001</v>
      </c>
      <c r="AJ833" s="261">
        <f t="shared" si="235"/>
        <v>2016</v>
      </c>
      <c r="AK833" s="233">
        <f t="shared" si="236"/>
        <v>32571000.600000001</v>
      </c>
    </row>
    <row r="834" spans="6:37" s="120" customFormat="1" ht="35.25" hidden="1" customHeight="1" x14ac:dyDescent="0.2">
      <c r="F834" s="218" t="s">
        <v>2306</v>
      </c>
      <c r="G834" s="130"/>
      <c r="H834" s="135" t="s">
        <v>1589</v>
      </c>
      <c r="I834" s="32"/>
      <c r="J834" s="67"/>
      <c r="K834" s="32"/>
      <c r="L834" s="362"/>
      <c r="M834" s="67"/>
      <c r="N834" s="362"/>
      <c r="O834" s="65" t="s">
        <v>3480</v>
      </c>
      <c r="P834" s="32">
        <v>2016</v>
      </c>
      <c r="Q834" s="67"/>
      <c r="R834" s="67"/>
      <c r="S834" s="67"/>
      <c r="T834" s="32" t="s">
        <v>12</v>
      </c>
      <c r="U834" s="252">
        <v>1436621000</v>
      </c>
      <c r="V834" s="32"/>
      <c r="W834" s="132"/>
      <c r="X834" s="206" t="str">
        <f t="shared" si="225"/>
        <v>4.14.01</v>
      </c>
      <c r="Y834" s="207" t="str">
        <f t="shared" si="226"/>
        <v>Bangunan Air Irigasi</v>
      </c>
      <c r="Z834" s="207">
        <f t="shared" si="227"/>
        <v>50</v>
      </c>
      <c r="AA834" s="233">
        <f t="shared" si="228"/>
        <v>28732419.800000001</v>
      </c>
      <c r="AB834" s="208"/>
      <c r="AC834" s="233">
        <f t="shared" si="229"/>
        <v>0</v>
      </c>
      <c r="AD834" s="233"/>
      <c r="AE834" s="233"/>
      <c r="AF834" s="233">
        <f t="shared" si="231"/>
        <v>28732419.800000001</v>
      </c>
      <c r="AG834" s="233">
        <f t="shared" si="232"/>
        <v>28732419.800000001</v>
      </c>
      <c r="AH834" s="238">
        <f t="shared" si="233"/>
        <v>28732419.800000001</v>
      </c>
      <c r="AI834" s="238">
        <f t="shared" si="234"/>
        <v>86197259.400000006</v>
      </c>
      <c r="AJ834" s="261">
        <f t="shared" si="235"/>
        <v>2016</v>
      </c>
      <c r="AK834" s="233">
        <f t="shared" si="236"/>
        <v>1350423740.5999999</v>
      </c>
    </row>
    <row r="835" spans="6:37" s="120" customFormat="1" ht="35.25" hidden="1" customHeight="1" x14ac:dyDescent="0.2">
      <c r="F835" s="218" t="s">
        <v>2306</v>
      </c>
      <c r="G835" s="130"/>
      <c r="H835" s="135" t="s">
        <v>1590</v>
      </c>
      <c r="I835" s="32"/>
      <c r="J835" s="67"/>
      <c r="K835" s="32"/>
      <c r="L835" s="362"/>
      <c r="M835" s="67"/>
      <c r="N835" s="362"/>
      <c r="O835" s="65" t="s">
        <v>3401</v>
      </c>
      <c r="P835" s="32">
        <v>2016</v>
      </c>
      <c r="Q835" s="67"/>
      <c r="R835" s="67"/>
      <c r="S835" s="67"/>
      <c r="T835" s="32" t="s">
        <v>12</v>
      </c>
      <c r="U835" s="252">
        <v>1469936000</v>
      </c>
      <c r="V835" s="32"/>
      <c r="W835" s="132"/>
      <c r="X835" s="206" t="str">
        <f t="shared" si="225"/>
        <v>4.14.01</v>
      </c>
      <c r="Y835" s="207" t="str">
        <f t="shared" si="226"/>
        <v>Bangunan Air Irigasi</v>
      </c>
      <c r="Z835" s="207">
        <f t="shared" si="227"/>
        <v>50</v>
      </c>
      <c r="AA835" s="233">
        <f t="shared" si="228"/>
        <v>29398719.800000001</v>
      </c>
      <c r="AB835" s="208"/>
      <c r="AC835" s="233">
        <f t="shared" si="229"/>
        <v>0</v>
      </c>
      <c r="AD835" s="233"/>
      <c r="AE835" s="233"/>
      <c r="AF835" s="233">
        <f t="shared" si="231"/>
        <v>29398719.800000001</v>
      </c>
      <c r="AG835" s="233">
        <f t="shared" si="232"/>
        <v>29398719.800000001</v>
      </c>
      <c r="AH835" s="238">
        <f t="shared" si="233"/>
        <v>29398719.800000001</v>
      </c>
      <c r="AI835" s="238">
        <f t="shared" si="234"/>
        <v>88196159.400000006</v>
      </c>
      <c r="AJ835" s="261">
        <f t="shared" si="235"/>
        <v>2016</v>
      </c>
      <c r="AK835" s="233">
        <f t="shared" si="236"/>
        <v>1381739840.5999999</v>
      </c>
    </row>
    <row r="836" spans="6:37" s="120" customFormat="1" ht="35.25" hidden="1" customHeight="1" x14ac:dyDescent="0.2">
      <c r="F836" s="218" t="s">
        <v>2306</v>
      </c>
      <c r="G836" s="130"/>
      <c r="H836" s="135" t="s">
        <v>1591</v>
      </c>
      <c r="I836" s="32"/>
      <c r="J836" s="67"/>
      <c r="K836" s="32"/>
      <c r="L836" s="362"/>
      <c r="M836" s="67"/>
      <c r="N836" s="362"/>
      <c r="O836" s="65" t="s">
        <v>3481</v>
      </c>
      <c r="P836" s="32">
        <v>2016</v>
      </c>
      <c r="Q836" s="67"/>
      <c r="R836" s="67"/>
      <c r="S836" s="67"/>
      <c r="T836" s="32" t="s">
        <v>12</v>
      </c>
      <c r="U836" s="252">
        <v>343248700</v>
      </c>
      <c r="V836" s="32"/>
      <c r="W836" s="132"/>
      <c r="X836" s="206" t="str">
        <f t="shared" si="225"/>
        <v>4.14.01</v>
      </c>
      <c r="Y836" s="207" t="str">
        <f t="shared" si="226"/>
        <v>Bangunan Air Irigasi</v>
      </c>
      <c r="Z836" s="207">
        <f t="shared" si="227"/>
        <v>50</v>
      </c>
      <c r="AA836" s="233">
        <f t="shared" si="228"/>
        <v>6864973.7999999998</v>
      </c>
      <c r="AB836" s="208"/>
      <c r="AC836" s="233">
        <f t="shared" si="229"/>
        <v>0</v>
      </c>
      <c r="AD836" s="233"/>
      <c r="AE836" s="233"/>
      <c r="AF836" s="233">
        <f t="shared" si="231"/>
        <v>6864973.7999999998</v>
      </c>
      <c r="AG836" s="233">
        <f t="shared" si="232"/>
        <v>6864973.7999999998</v>
      </c>
      <c r="AH836" s="238">
        <f t="shared" si="233"/>
        <v>6864973.7999999998</v>
      </c>
      <c r="AI836" s="238">
        <f t="shared" si="234"/>
        <v>20594921.399999999</v>
      </c>
      <c r="AJ836" s="261">
        <f t="shared" si="235"/>
        <v>2016</v>
      </c>
      <c r="AK836" s="233">
        <f t="shared" si="236"/>
        <v>322653778.60000002</v>
      </c>
    </row>
    <row r="837" spans="6:37" s="120" customFormat="1" ht="35.25" hidden="1" customHeight="1" x14ac:dyDescent="0.2">
      <c r="F837" s="218" t="s">
        <v>2306</v>
      </c>
      <c r="G837" s="130"/>
      <c r="H837" s="135" t="s">
        <v>1592</v>
      </c>
      <c r="I837" s="32"/>
      <c r="J837" s="67"/>
      <c r="K837" s="32"/>
      <c r="L837" s="362"/>
      <c r="M837" s="67"/>
      <c r="N837" s="362"/>
      <c r="O837" s="65" t="s">
        <v>3482</v>
      </c>
      <c r="P837" s="32">
        <v>2016</v>
      </c>
      <c r="Q837" s="67"/>
      <c r="R837" s="67"/>
      <c r="S837" s="67"/>
      <c r="T837" s="32" t="s">
        <v>12</v>
      </c>
      <c r="U837" s="252">
        <v>671012000</v>
      </c>
      <c r="V837" s="32"/>
      <c r="W837" s="132"/>
      <c r="X837" s="206" t="str">
        <f t="shared" si="225"/>
        <v>4.14.01</v>
      </c>
      <c r="Y837" s="207" t="str">
        <f t="shared" si="226"/>
        <v>Bangunan Air Irigasi</v>
      </c>
      <c r="Z837" s="207">
        <f t="shared" si="227"/>
        <v>50</v>
      </c>
      <c r="AA837" s="233">
        <f t="shared" si="228"/>
        <v>13420239.800000001</v>
      </c>
      <c r="AB837" s="208"/>
      <c r="AC837" s="233">
        <f t="shared" si="229"/>
        <v>0</v>
      </c>
      <c r="AD837" s="233"/>
      <c r="AE837" s="233"/>
      <c r="AF837" s="233">
        <f t="shared" si="231"/>
        <v>13420239.800000001</v>
      </c>
      <c r="AG837" s="233">
        <f t="shared" si="232"/>
        <v>13420239.800000001</v>
      </c>
      <c r="AH837" s="238">
        <f t="shared" si="233"/>
        <v>13420239.800000001</v>
      </c>
      <c r="AI837" s="238">
        <f t="shared" si="234"/>
        <v>40260719.400000006</v>
      </c>
      <c r="AJ837" s="261">
        <f t="shared" si="235"/>
        <v>2016</v>
      </c>
      <c r="AK837" s="233">
        <f t="shared" si="236"/>
        <v>630751280.60000002</v>
      </c>
    </row>
    <row r="838" spans="6:37" s="120" customFormat="1" ht="35.25" hidden="1" customHeight="1" x14ac:dyDescent="0.2">
      <c r="F838" s="218" t="s">
        <v>2306</v>
      </c>
      <c r="G838" s="130"/>
      <c r="H838" s="135" t="s">
        <v>1593</v>
      </c>
      <c r="I838" s="32"/>
      <c r="J838" s="67"/>
      <c r="K838" s="32"/>
      <c r="L838" s="362"/>
      <c r="M838" s="67"/>
      <c r="N838" s="362"/>
      <c r="O838" s="65" t="s">
        <v>3483</v>
      </c>
      <c r="P838" s="32">
        <v>2016</v>
      </c>
      <c r="Q838" s="67"/>
      <c r="R838" s="67"/>
      <c r="S838" s="67"/>
      <c r="T838" s="32" t="s">
        <v>12</v>
      </c>
      <c r="U838" s="252">
        <v>604876000</v>
      </c>
      <c r="V838" s="32"/>
      <c r="W838" s="132"/>
      <c r="X838" s="206" t="str">
        <f t="shared" si="225"/>
        <v>4.14.01</v>
      </c>
      <c r="Y838" s="207" t="str">
        <f t="shared" si="226"/>
        <v>Bangunan Air Irigasi</v>
      </c>
      <c r="Z838" s="207">
        <f t="shared" si="227"/>
        <v>50</v>
      </c>
      <c r="AA838" s="233">
        <f t="shared" si="228"/>
        <v>12097519.800000001</v>
      </c>
      <c r="AB838" s="208"/>
      <c r="AC838" s="233">
        <f t="shared" si="229"/>
        <v>0</v>
      </c>
      <c r="AD838" s="233"/>
      <c r="AE838" s="233"/>
      <c r="AF838" s="233">
        <f t="shared" si="231"/>
        <v>12097519.800000001</v>
      </c>
      <c r="AG838" s="233">
        <f t="shared" si="232"/>
        <v>12097519.800000001</v>
      </c>
      <c r="AH838" s="238">
        <f t="shared" si="233"/>
        <v>12097519.800000001</v>
      </c>
      <c r="AI838" s="238">
        <f t="shared" si="234"/>
        <v>36292559.400000006</v>
      </c>
      <c r="AJ838" s="261">
        <f t="shared" si="235"/>
        <v>2016</v>
      </c>
      <c r="AK838" s="233">
        <f t="shared" si="236"/>
        <v>568583440.60000002</v>
      </c>
    </row>
    <row r="839" spans="6:37" s="120" customFormat="1" ht="35.25" hidden="1" customHeight="1" x14ac:dyDescent="0.2">
      <c r="F839" s="218" t="s">
        <v>2306</v>
      </c>
      <c r="G839" s="130"/>
      <c r="H839" s="135" t="s">
        <v>1594</v>
      </c>
      <c r="I839" s="32"/>
      <c r="J839" s="67"/>
      <c r="K839" s="32"/>
      <c r="L839" s="362"/>
      <c r="M839" s="67"/>
      <c r="N839" s="362"/>
      <c r="O839" s="65" t="s">
        <v>3405</v>
      </c>
      <c r="P839" s="32">
        <v>2016</v>
      </c>
      <c r="Q839" s="67"/>
      <c r="R839" s="67"/>
      <c r="S839" s="67"/>
      <c r="T839" s="32" t="s">
        <v>12</v>
      </c>
      <c r="U839" s="252">
        <v>198750000</v>
      </c>
      <c r="V839" s="32"/>
      <c r="W839" s="132"/>
      <c r="X839" s="206" t="str">
        <f t="shared" si="225"/>
        <v>4.14.01</v>
      </c>
      <c r="Y839" s="207" t="str">
        <f t="shared" si="226"/>
        <v>Bangunan Air Irigasi</v>
      </c>
      <c r="Z839" s="207">
        <f t="shared" si="227"/>
        <v>50</v>
      </c>
      <c r="AA839" s="233">
        <f t="shared" si="228"/>
        <v>3974999.8</v>
      </c>
      <c r="AB839" s="208"/>
      <c r="AC839" s="233">
        <f t="shared" si="229"/>
        <v>0</v>
      </c>
      <c r="AD839" s="233"/>
      <c r="AE839" s="233"/>
      <c r="AF839" s="233">
        <f t="shared" si="231"/>
        <v>3974999.8</v>
      </c>
      <c r="AG839" s="233">
        <f t="shared" si="232"/>
        <v>3974999.8</v>
      </c>
      <c r="AH839" s="238">
        <f t="shared" si="233"/>
        <v>3974999.8</v>
      </c>
      <c r="AI839" s="238">
        <f t="shared" si="234"/>
        <v>11924999.399999999</v>
      </c>
      <c r="AJ839" s="261">
        <f t="shared" si="235"/>
        <v>2016</v>
      </c>
      <c r="AK839" s="233">
        <f t="shared" si="236"/>
        <v>186825000.59999999</v>
      </c>
    </row>
    <row r="840" spans="6:37" s="120" customFormat="1" ht="35.25" hidden="1" customHeight="1" x14ac:dyDescent="0.2">
      <c r="F840" s="218" t="s">
        <v>2306</v>
      </c>
      <c r="G840" s="130"/>
      <c r="H840" s="135" t="s">
        <v>1595</v>
      </c>
      <c r="I840" s="32"/>
      <c r="J840" s="67"/>
      <c r="K840" s="32"/>
      <c r="L840" s="362"/>
      <c r="M840" s="67"/>
      <c r="N840" s="362"/>
      <c r="O840" s="65" t="s">
        <v>3484</v>
      </c>
      <c r="P840" s="32">
        <v>2016</v>
      </c>
      <c r="Q840" s="67"/>
      <c r="R840" s="67"/>
      <c r="S840" s="67"/>
      <c r="T840" s="32" t="s">
        <v>12</v>
      </c>
      <c r="U840" s="252">
        <v>956331940.60419047</v>
      </c>
      <c r="V840" s="32"/>
      <c r="W840" s="132"/>
      <c r="X840" s="206" t="str">
        <f t="shared" si="225"/>
        <v>4.14.01</v>
      </c>
      <c r="Y840" s="207" t="str">
        <f t="shared" si="226"/>
        <v>Bangunan Air Irigasi</v>
      </c>
      <c r="Z840" s="207">
        <f t="shared" si="227"/>
        <v>50</v>
      </c>
      <c r="AA840" s="233">
        <f t="shared" si="228"/>
        <v>19126638.612083808</v>
      </c>
      <c r="AB840" s="208"/>
      <c r="AC840" s="233">
        <f t="shared" si="229"/>
        <v>0</v>
      </c>
      <c r="AD840" s="233"/>
      <c r="AE840" s="233"/>
      <c r="AF840" s="233">
        <f t="shared" si="231"/>
        <v>19126638.612083808</v>
      </c>
      <c r="AG840" s="233">
        <f t="shared" si="232"/>
        <v>19126638.612083808</v>
      </c>
      <c r="AH840" s="238">
        <f t="shared" si="233"/>
        <v>19126638.612083808</v>
      </c>
      <c r="AI840" s="238">
        <f t="shared" si="234"/>
        <v>57379915.836251423</v>
      </c>
      <c r="AJ840" s="261">
        <f t="shared" si="235"/>
        <v>2016</v>
      </c>
      <c r="AK840" s="233">
        <f t="shared" si="236"/>
        <v>898952024.76793909</v>
      </c>
    </row>
    <row r="841" spans="6:37" s="120" customFormat="1" ht="35.25" hidden="1" customHeight="1" x14ac:dyDescent="0.2">
      <c r="F841" s="218" t="s">
        <v>2306</v>
      </c>
      <c r="G841" s="130"/>
      <c r="H841" s="135" t="s">
        <v>1596</v>
      </c>
      <c r="I841" s="32"/>
      <c r="J841" s="67"/>
      <c r="K841" s="32"/>
      <c r="L841" s="362"/>
      <c r="M841" s="67"/>
      <c r="N841" s="362"/>
      <c r="O841" s="65" t="s">
        <v>3409</v>
      </c>
      <c r="P841" s="32">
        <v>2016</v>
      </c>
      <c r="Q841" s="67"/>
      <c r="R841" s="67"/>
      <c r="S841" s="67"/>
      <c r="T841" s="32" t="s">
        <v>12</v>
      </c>
      <c r="U841" s="252">
        <v>336929357.28234023</v>
      </c>
      <c r="V841" s="32"/>
      <c r="W841" s="132"/>
      <c r="X841" s="206" t="str">
        <f t="shared" si="225"/>
        <v>4.14.01</v>
      </c>
      <c r="Y841" s="207" t="str">
        <f t="shared" si="226"/>
        <v>Bangunan Air Irigasi</v>
      </c>
      <c r="Z841" s="207">
        <f t="shared" si="227"/>
        <v>50</v>
      </c>
      <c r="AA841" s="233">
        <f t="shared" si="228"/>
        <v>6738586.9456468048</v>
      </c>
      <c r="AB841" s="208"/>
      <c r="AC841" s="233">
        <f t="shared" si="229"/>
        <v>0</v>
      </c>
      <c r="AD841" s="233"/>
      <c r="AE841" s="233"/>
      <c r="AF841" s="233">
        <f t="shared" si="231"/>
        <v>6738586.9456468048</v>
      </c>
      <c r="AG841" s="233">
        <f t="shared" si="232"/>
        <v>6738586.9456468048</v>
      </c>
      <c r="AH841" s="238">
        <f t="shared" si="233"/>
        <v>6738586.9456468048</v>
      </c>
      <c r="AI841" s="238">
        <f t="shared" si="234"/>
        <v>20215760.836940415</v>
      </c>
      <c r="AJ841" s="261">
        <f t="shared" si="235"/>
        <v>2016</v>
      </c>
      <c r="AK841" s="233">
        <f t="shared" si="236"/>
        <v>316713596.44539982</v>
      </c>
    </row>
    <row r="842" spans="6:37" s="120" customFormat="1" ht="35.25" hidden="1" customHeight="1" x14ac:dyDescent="0.2">
      <c r="F842" s="218" t="s">
        <v>2306</v>
      </c>
      <c r="G842" s="130"/>
      <c r="H842" s="135" t="s">
        <v>1597</v>
      </c>
      <c r="I842" s="32"/>
      <c r="J842" s="67"/>
      <c r="K842" s="32"/>
      <c r="L842" s="362"/>
      <c r="M842" s="67"/>
      <c r="N842" s="362"/>
      <c r="O842" s="65" t="s">
        <v>3440</v>
      </c>
      <c r="P842" s="32">
        <v>2016</v>
      </c>
      <c r="Q842" s="67"/>
      <c r="R842" s="67"/>
      <c r="S842" s="67"/>
      <c r="T842" s="32" t="s">
        <v>12</v>
      </c>
      <c r="U842" s="252">
        <v>1135941291.9377246</v>
      </c>
      <c r="V842" s="32"/>
      <c r="W842" s="132"/>
      <c r="X842" s="206" t="str">
        <f t="shared" si="225"/>
        <v>4.14.01</v>
      </c>
      <c r="Y842" s="207" t="str">
        <f t="shared" si="226"/>
        <v>Bangunan Air Irigasi</v>
      </c>
      <c r="Z842" s="207">
        <f t="shared" si="227"/>
        <v>50</v>
      </c>
      <c r="AA842" s="233">
        <f t="shared" si="228"/>
        <v>22718825.638754491</v>
      </c>
      <c r="AB842" s="208"/>
      <c r="AC842" s="233">
        <f t="shared" si="229"/>
        <v>0</v>
      </c>
      <c r="AD842" s="233"/>
      <c r="AE842" s="233"/>
      <c r="AF842" s="233">
        <f t="shared" si="231"/>
        <v>22718825.638754491</v>
      </c>
      <c r="AG842" s="233">
        <f t="shared" si="232"/>
        <v>22718825.638754491</v>
      </c>
      <c r="AH842" s="238">
        <f t="shared" si="233"/>
        <v>22718825.638754491</v>
      </c>
      <c r="AI842" s="238">
        <f t="shared" si="234"/>
        <v>68156476.916263476</v>
      </c>
      <c r="AJ842" s="261">
        <f t="shared" si="235"/>
        <v>2016</v>
      </c>
      <c r="AK842" s="233">
        <f t="shared" si="236"/>
        <v>1067784815.0214611</v>
      </c>
    </row>
    <row r="843" spans="6:37" s="120" customFormat="1" ht="35.25" hidden="1" customHeight="1" x14ac:dyDescent="0.2">
      <c r="F843" s="218" t="s">
        <v>2306</v>
      </c>
      <c r="G843" s="130"/>
      <c r="H843" s="135" t="s">
        <v>1598</v>
      </c>
      <c r="I843" s="32"/>
      <c r="J843" s="67"/>
      <c r="K843" s="32"/>
      <c r="L843" s="362"/>
      <c r="M843" s="67"/>
      <c r="N843" s="362"/>
      <c r="O843" s="65" t="s">
        <v>3471</v>
      </c>
      <c r="P843" s="32">
        <v>2016</v>
      </c>
      <c r="Q843" s="67"/>
      <c r="R843" s="67"/>
      <c r="S843" s="67"/>
      <c r="T843" s="32" t="s">
        <v>12</v>
      </c>
      <c r="U843" s="252">
        <v>362743119.08185184</v>
      </c>
      <c r="V843" s="32"/>
      <c r="W843" s="132"/>
      <c r="X843" s="206" t="str">
        <f t="shared" si="225"/>
        <v>4.14.01</v>
      </c>
      <c r="Y843" s="207" t="str">
        <f t="shared" si="226"/>
        <v>Bangunan Air Irigasi</v>
      </c>
      <c r="Z843" s="207">
        <f t="shared" si="227"/>
        <v>50</v>
      </c>
      <c r="AA843" s="233">
        <f t="shared" si="228"/>
        <v>7254862.1816370366</v>
      </c>
      <c r="AB843" s="208"/>
      <c r="AC843" s="233">
        <f t="shared" si="229"/>
        <v>0</v>
      </c>
      <c r="AD843" s="233"/>
      <c r="AE843" s="233"/>
      <c r="AF843" s="233">
        <f t="shared" si="231"/>
        <v>7254862.1816370366</v>
      </c>
      <c r="AG843" s="233">
        <f t="shared" si="232"/>
        <v>7254862.1816370366</v>
      </c>
      <c r="AH843" s="238">
        <f t="shared" si="233"/>
        <v>7254862.1816370366</v>
      </c>
      <c r="AI843" s="238">
        <f t="shared" si="234"/>
        <v>21764586.544911109</v>
      </c>
      <c r="AJ843" s="261">
        <f t="shared" si="235"/>
        <v>2016</v>
      </c>
      <c r="AK843" s="233">
        <f t="shared" si="236"/>
        <v>340978532.53694075</v>
      </c>
    </row>
    <row r="844" spans="6:37" s="116" customFormat="1" ht="35.25" hidden="1" customHeight="1" x14ac:dyDescent="0.2">
      <c r="F844" s="218" t="s">
        <v>2306</v>
      </c>
      <c r="G844" s="73"/>
      <c r="H844" s="135" t="s">
        <v>1599</v>
      </c>
      <c r="I844" s="32"/>
      <c r="J844" s="67"/>
      <c r="K844" s="32"/>
      <c r="L844" s="362"/>
      <c r="M844" s="67"/>
      <c r="N844" s="362"/>
      <c r="O844" s="65" t="s">
        <v>3485</v>
      </c>
      <c r="P844" s="32">
        <v>2016</v>
      </c>
      <c r="Q844" s="67"/>
      <c r="R844" s="67"/>
      <c r="S844" s="67"/>
      <c r="T844" s="32" t="s">
        <v>12</v>
      </c>
      <c r="U844" s="252">
        <v>718915413.7353797</v>
      </c>
      <c r="V844" s="32"/>
      <c r="W844" s="132"/>
      <c r="X844" s="206" t="str">
        <f t="shared" si="225"/>
        <v>4.14.01</v>
      </c>
      <c r="Y844" s="207" t="str">
        <f t="shared" si="226"/>
        <v>Bangunan Air Irigasi</v>
      </c>
      <c r="Z844" s="207">
        <f t="shared" si="227"/>
        <v>50</v>
      </c>
      <c r="AA844" s="233">
        <f t="shared" si="228"/>
        <v>14378308.074707594</v>
      </c>
      <c r="AB844" s="208"/>
      <c r="AC844" s="233">
        <f t="shared" si="229"/>
        <v>0</v>
      </c>
      <c r="AD844" s="233"/>
      <c r="AE844" s="233"/>
      <c r="AF844" s="233">
        <f t="shared" si="231"/>
        <v>14378308.074707594</v>
      </c>
      <c r="AG844" s="233">
        <f t="shared" si="232"/>
        <v>14378308.074707594</v>
      </c>
      <c r="AH844" s="238">
        <f t="shared" si="233"/>
        <v>14378308.074707594</v>
      </c>
      <c r="AI844" s="238">
        <f t="shared" si="234"/>
        <v>43134924.224122778</v>
      </c>
      <c r="AJ844" s="261">
        <f t="shared" si="235"/>
        <v>2016</v>
      </c>
      <c r="AK844" s="233">
        <f t="shared" si="236"/>
        <v>675780489.51125693</v>
      </c>
    </row>
    <row r="845" spans="6:37" s="116" customFormat="1" ht="35.25" hidden="1" customHeight="1" x14ac:dyDescent="0.2">
      <c r="F845" s="218" t="s">
        <v>2306</v>
      </c>
      <c r="G845" s="73"/>
      <c r="H845" s="135" t="s">
        <v>1600</v>
      </c>
      <c r="I845" s="32"/>
      <c r="J845" s="67"/>
      <c r="K845" s="32"/>
      <c r="L845" s="362"/>
      <c r="M845" s="67"/>
      <c r="N845" s="362"/>
      <c r="O845" s="65" t="s">
        <v>3486</v>
      </c>
      <c r="P845" s="32">
        <v>2016</v>
      </c>
      <c r="Q845" s="67"/>
      <c r="R845" s="67"/>
      <c r="S845" s="67"/>
      <c r="T845" s="32" t="s">
        <v>12</v>
      </c>
      <c r="U845" s="252">
        <v>790283293.48653066</v>
      </c>
      <c r="V845" s="32"/>
      <c r="W845" s="132"/>
      <c r="X845" s="206" t="str">
        <f t="shared" si="225"/>
        <v>4.14.01</v>
      </c>
      <c r="Y845" s="207" t="str">
        <f t="shared" si="226"/>
        <v>Bangunan Air Irigasi</v>
      </c>
      <c r="Z845" s="207">
        <f t="shared" si="227"/>
        <v>50</v>
      </c>
      <c r="AA845" s="233">
        <f t="shared" si="228"/>
        <v>15805665.669730613</v>
      </c>
      <c r="AB845" s="208"/>
      <c r="AC845" s="233">
        <f t="shared" si="229"/>
        <v>0</v>
      </c>
      <c r="AD845" s="233"/>
      <c r="AE845" s="233"/>
      <c r="AF845" s="233">
        <f t="shared" si="231"/>
        <v>15805665.669730613</v>
      </c>
      <c r="AG845" s="233">
        <f t="shared" si="232"/>
        <v>15805665.669730613</v>
      </c>
      <c r="AH845" s="238">
        <f t="shared" si="233"/>
        <v>15805665.669730613</v>
      </c>
      <c r="AI845" s="238">
        <f t="shared" si="234"/>
        <v>47416997.009191841</v>
      </c>
      <c r="AJ845" s="261">
        <f t="shared" si="235"/>
        <v>2016</v>
      </c>
      <c r="AK845" s="233">
        <f t="shared" si="236"/>
        <v>742866296.47733879</v>
      </c>
    </row>
    <row r="846" spans="6:37" s="116" customFormat="1" ht="35.25" hidden="1" customHeight="1" x14ac:dyDescent="0.2">
      <c r="F846" s="218" t="s">
        <v>2306</v>
      </c>
      <c r="G846" s="73"/>
      <c r="H846" s="135" t="s">
        <v>1601</v>
      </c>
      <c r="I846" s="32"/>
      <c r="J846" s="67"/>
      <c r="K846" s="32"/>
      <c r="L846" s="362"/>
      <c r="M846" s="67"/>
      <c r="N846" s="362"/>
      <c r="O846" s="65" t="s">
        <v>2610</v>
      </c>
      <c r="P846" s="32">
        <v>2016</v>
      </c>
      <c r="Q846" s="67"/>
      <c r="R846" s="67"/>
      <c r="S846" s="67"/>
      <c r="T846" s="32" t="s">
        <v>12</v>
      </c>
      <c r="U846" s="252">
        <v>340989191.43586475</v>
      </c>
      <c r="V846" s="32"/>
      <c r="W846" s="132"/>
      <c r="X846" s="206" t="str">
        <f t="shared" si="225"/>
        <v>4.14.01</v>
      </c>
      <c r="Y846" s="207" t="str">
        <f t="shared" si="226"/>
        <v>Bangunan Air Irigasi</v>
      </c>
      <c r="Z846" s="207">
        <f t="shared" si="227"/>
        <v>50</v>
      </c>
      <c r="AA846" s="233">
        <f t="shared" si="228"/>
        <v>6819783.6287172949</v>
      </c>
      <c r="AB846" s="208"/>
      <c r="AC846" s="233">
        <f t="shared" si="229"/>
        <v>0</v>
      </c>
      <c r="AD846" s="233"/>
      <c r="AE846" s="233"/>
      <c r="AF846" s="233">
        <f t="shared" si="231"/>
        <v>6819783.6287172949</v>
      </c>
      <c r="AG846" s="233">
        <f t="shared" si="232"/>
        <v>6819783.6287172949</v>
      </c>
      <c r="AH846" s="238">
        <f t="shared" si="233"/>
        <v>6819783.6287172949</v>
      </c>
      <c r="AI846" s="238">
        <f t="shared" si="234"/>
        <v>20459350.886151884</v>
      </c>
      <c r="AJ846" s="261">
        <f t="shared" si="235"/>
        <v>2016</v>
      </c>
      <c r="AK846" s="233">
        <f t="shared" si="236"/>
        <v>320529840.54971284</v>
      </c>
    </row>
    <row r="847" spans="6:37" s="116" customFormat="1" ht="35.25" hidden="1" customHeight="1" x14ac:dyDescent="0.2">
      <c r="F847" s="218" t="s">
        <v>2306</v>
      </c>
      <c r="G847" s="73"/>
      <c r="H847" s="135" t="s">
        <v>1602</v>
      </c>
      <c r="I847" s="32"/>
      <c r="J847" s="67"/>
      <c r="K847" s="32"/>
      <c r="L847" s="362"/>
      <c r="M847" s="67"/>
      <c r="N847" s="362"/>
      <c r="O847" s="65" t="s">
        <v>3476</v>
      </c>
      <c r="P847" s="32">
        <v>2016</v>
      </c>
      <c r="Q847" s="67"/>
      <c r="R847" s="67"/>
      <c r="S847" s="67"/>
      <c r="T847" s="32" t="s">
        <v>12</v>
      </c>
      <c r="U847" s="252">
        <v>708347994.3886112</v>
      </c>
      <c r="V847" s="32"/>
      <c r="W847" s="132"/>
      <c r="X847" s="206" t="str">
        <f t="shared" si="225"/>
        <v>4.14.01</v>
      </c>
      <c r="Y847" s="207" t="str">
        <f t="shared" si="226"/>
        <v>Bangunan Air Irigasi</v>
      </c>
      <c r="Z847" s="207">
        <f t="shared" si="227"/>
        <v>50</v>
      </c>
      <c r="AA847" s="233">
        <f t="shared" si="228"/>
        <v>14166959.687772224</v>
      </c>
      <c r="AB847" s="208"/>
      <c r="AC847" s="233">
        <f t="shared" si="229"/>
        <v>0</v>
      </c>
      <c r="AD847" s="233"/>
      <c r="AE847" s="233"/>
      <c r="AF847" s="233">
        <f t="shared" si="231"/>
        <v>14166959.687772224</v>
      </c>
      <c r="AG847" s="233">
        <f t="shared" si="232"/>
        <v>14166959.687772224</v>
      </c>
      <c r="AH847" s="238">
        <f t="shared" si="233"/>
        <v>14166959.687772224</v>
      </c>
      <c r="AI847" s="238">
        <f t="shared" si="234"/>
        <v>42500879.063316673</v>
      </c>
      <c r="AJ847" s="261">
        <f t="shared" si="235"/>
        <v>2016</v>
      </c>
      <c r="AK847" s="233">
        <f t="shared" si="236"/>
        <v>665847115.32529449</v>
      </c>
    </row>
    <row r="848" spans="6:37" s="116" customFormat="1" ht="35.25" hidden="1" customHeight="1" x14ac:dyDescent="0.2">
      <c r="F848" s="218" t="s">
        <v>2306</v>
      </c>
      <c r="G848" s="73"/>
      <c r="H848" s="135" t="s">
        <v>1549</v>
      </c>
      <c r="I848" s="32"/>
      <c r="J848" s="67"/>
      <c r="K848" s="32"/>
      <c r="L848" s="362"/>
      <c r="M848" s="67"/>
      <c r="N848" s="362"/>
      <c r="O848" s="65" t="s">
        <v>3445</v>
      </c>
      <c r="P848" s="32">
        <v>2016</v>
      </c>
      <c r="Q848" s="67"/>
      <c r="R848" s="67"/>
      <c r="S848" s="67"/>
      <c r="T848" s="32" t="s">
        <v>12</v>
      </c>
      <c r="U848" s="252">
        <v>190702953</v>
      </c>
      <c r="V848" s="32"/>
      <c r="W848" s="132"/>
      <c r="X848" s="206" t="str">
        <f t="shared" si="225"/>
        <v>4.14.01</v>
      </c>
      <c r="Y848" s="207" t="str">
        <f t="shared" si="226"/>
        <v>Bangunan Air Irigasi</v>
      </c>
      <c r="Z848" s="207">
        <f t="shared" si="227"/>
        <v>50</v>
      </c>
      <c r="AA848" s="233">
        <f t="shared" si="228"/>
        <v>3814058.86</v>
      </c>
      <c r="AB848" s="208"/>
      <c r="AC848" s="233">
        <f t="shared" si="229"/>
        <v>0</v>
      </c>
      <c r="AD848" s="233"/>
      <c r="AE848" s="233"/>
      <c r="AF848" s="233">
        <f t="shared" si="231"/>
        <v>3814058.86</v>
      </c>
      <c r="AG848" s="233">
        <f t="shared" si="232"/>
        <v>3814058.86</v>
      </c>
      <c r="AH848" s="238">
        <f t="shared" si="233"/>
        <v>3814058.86</v>
      </c>
      <c r="AI848" s="238">
        <f t="shared" si="234"/>
        <v>11442176.58</v>
      </c>
      <c r="AJ848" s="261">
        <f t="shared" si="235"/>
        <v>2016</v>
      </c>
      <c r="AK848" s="233">
        <f t="shared" si="236"/>
        <v>179260776.41999999</v>
      </c>
    </row>
    <row r="849" spans="6:37" s="116" customFormat="1" ht="35.25" hidden="1" customHeight="1" x14ac:dyDescent="0.2">
      <c r="F849" s="218" t="s">
        <v>2306</v>
      </c>
      <c r="G849" s="73"/>
      <c r="H849" s="135" t="s">
        <v>1603</v>
      </c>
      <c r="I849" s="32"/>
      <c r="J849" s="67"/>
      <c r="K849" s="32"/>
      <c r="L849" s="362"/>
      <c r="M849" s="67"/>
      <c r="N849" s="362"/>
      <c r="O849" s="65" t="s">
        <v>3450</v>
      </c>
      <c r="P849" s="32">
        <v>2016</v>
      </c>
      <c r="Q849" s="67"/>
      <c r="R849" s="67"/>
      <c r="S849" s="67"/>
      <c r="T849" s="32" t="s">
        <v>12</v>
      </c>
      <c r="U849" s="252">
        <v>320329000</v>
      </c>
      <c r="V849" s="32"/>
      <c r="W849" s="132"/>
      <c r="X849" s="206" t="str">
        <f t="shared" si="225"/>
        <v>4.14.01</v>
      </c>
      <c r="Y849" s="207" t="str">
        <f t="shared" si="226"/>
        <v>Bangunan Air Irigasi</v>
      </c>
      <c r="Z849" s="207">
        <f t="shared" si="227"/>
        <v>50</v>
      </c>
      <c r="AA849" s="233">
        <f t="shared" si="228"/>
        <v>6406579.7999999998</v>
      </c>
      <c r="AB849" s="208"/>
      <c r="AC849" s="233">
        <f t="shared" si="229"/>
        <v>0</v>
      </c>
      <c r="AD849" s="233"/>
      <c r="AE849" s="233"/>
      <c r="AF849" s="233">
        <f t="shared" si="231"/>
        <v>6406579.7999999998</v>
      </c>
      <c r="AG849" s="233">
        <f t="shared" si="232"/>
        <v>6406579.7999999998</v>
      </c>
      <c r="AH849" s="238">
        <f t="shared" si="233"/>
        <v>6406579.7999999998</v>
      </c>
      <c r="AI849" s="238">
        <f t="shared" si="234"/>
        <v>19219739.399999999</v>
      </c>
      <c r="AJ849" s="261">
        <f t="shared" si="235"/>
        <v>2016</v>
      </c>
      <c r="AK849" s="233">
        <f t="shared" si="236"/>
        <v>301109260.60000002</v>
      </c>
    </row>
    <row r="850" spans="6:37" s="116" customFormat="1" ht="35.25" hidden="1" customHeight="1" x14ac:dyDescent="0.2">
      <c r="F850" s="218" t="s">
        <v>2306</v>
      </c>
      <c r="G850" s="73"/>
      <c r="H850" s="202" t="s">
        <v>2509</v>
      </c>
      <c r="I850" s="32" t="s">
        <v>2266</v>
      </c>
      <c r="J850" s="67"/>
      <c r="K850" s="32"/>
      <c r="L850" s="362"/>
      <c r="M850" s="67"/>
      <c r="N850" s="362" t="s">
        <v>1776</v>
      </c>
      <c r="O850" s="65" t="s">
        <v>2576</v>
      </c>
      <c r="P850" s="32">
        <v>2015</v>
      </c>
      <c r="Q850" s="67"/>
      <c r="R850" s="67"/>
      <c r="S850" s="67"/>
      <c r="T850" s="32" t="s">
        <v>12</v>
      </c>
      <c r="U850" s="252">
        <v>919375000</v>
      </c>
      <c r="V850" s="32"/>
      <c r="W850" s="132"/>
      <c r="X850" s="206" t="str">
        <f t="shared" si="225"/>
        <v>4.14.01</v>
      </c>
      <c r="Y850" s="207" t="str">
        <f t="shared" si="226"/>
        <v>Bangunan Air Irigasi</v>
      </c>
      <c r="Z850" s="207">
        <f t="shared" si="227"/>
        <v>50</v>
      </c>
      <c r="AA850" s="233">
        <f t="shared" si="228"/>
        <v>18387499.800000001</v>
      </c>
      <c r="AB850" s="208"/>
      <c r="AC850" s="233">
        <f t="shared" si="229"/>
        <v>0</v>
      </c>
      <c r="AD850" s="233"/>
      <c r="AE850" s="233">
        <f>IF(U850-10=AC850+AD850,0,AA850)</f>
        <v>18387499.800000001</v>
      </c>
      <c r="AF850" s="233">
        <f t="shared" si="231"/>
        <v>18387499.800000001</v>
      </c>
      <c r="AG850" s="233">
        <f t="shared" si="232"/>
        <v>18387499.800000001</v>
      </c>
      <c r="AH850" s="238">
        <f t="shared" si="233"/>
        <v>18387499.800000001</v>
      </c>
      <c r="AI850" s="238">
        <f t="shared" si="234"/>
        <v>73549999.200000003</v>
      </c>
      <c r="AJ850" s="261">
        <f t="shared" si="235"/>
        <v>2015</v>
      </c>
      <c r="AK850" s="233">
        <f t="shared" si="236"/>
        <v>845825000.79999995</v>
      </c>
    </row>
    <row r="851" spans="6:37" s="116" customFormat="1" ht="35.25" hidden="1" customHeight="1" x14ac:dyDescent="0.2">
      <c r="F851" s="218" t="s">
        <v>2306</v>
      </c>
      <c r="G851" s="73"/>
      <c r="H851" s="135" t="s">
        <v>2511</v>
      </c>
      <c r="I851" s="32" t="s">
        <v>2266</v>
      </c>
      <c r="J851" s="67"/>
      <c r="K851" s="32"/>
      <c r="L851" s="362"/>
      <c r="M851" s="67"/>
      <c r="N851" s="362" t="s">
        <v>2267</v>
      </c>
      <c r="O851" s="65" t="s">
        <v>2577</v>
      </c>
      <c r="P851" s="32">
        <v>2015</v>
      </c>
      <c r="Q851" s="67"/>
      <c r="R851" s="67"/>
      <c r="S851" s="67"/>
      <c r="T851" s="32" t="s">
        <v>12</v>
      </c>
      <c r="U851" s="252">
        <v>1775636000</v>
      </c>
      <c r="V851" s="32"/>
      <c r="W851" s="132"/>
      <c r="X851" s="206" t="str">
        <f t="shared" si="225"/>
        <v>4.14.01</v>
      </c>
      <c r="Y851" s="207" t="str">
        <f t="shared" si="226"/>
        <v>Bangunan Air Irigasi</v>
      </c>
      <c r="Z851" s="207">
        <f t="shared" si="227"/>
        <v>50</v>
      </c>
      <c r="AA851" s="233">
        <f t="shared" si="228"/>
        <v>35512719.799999997</v>
      </c>
      <c r="AB851" s="208"/>
      <c r="AC851" s="233">
        <f t="shared" si="229"/>
        <v>0</v>
      </c>
      <c r="AD851" s="233"/>
      <c r="AE851" s="233">
        <f>IF(U851-10=AC851+AD851,0,AA851)</f>
        <v>35512719.799999997</v>
      </c>
      <c r="AF851" s="233">
        <f t="shared" si="231"/>
        <v>35512719.799999997</v>
      </c>
      <c r="AG851" s="233">
        <f t="shared" si="232"/>
        <v>35512719.799999997</v>
      </c>
      <c r="AH851" s="238">
        <f t="shared" si="233"/>
        <v>35512719.799999997</v>
      </c>
      <c r="AI851" s="238">
        <f t="shared" si="234"/>
        <v>142050879.19999999</v>
      </c>
      <c r="AJ851" s="261">
        <f t="shared" si="235"/>
        <v>2015</v>
      </c>
      <c r="AK851" s="233">
        <f t="shared" si="236"/>
        <v>1633585120.8</v>
      </c>
    </row>
    <row r="852" spans="6:37" s="116" customFormat="1" ht="35.25" hidden="1" customHeight="1" x14ac:dyDescent="0.2">
      <c r="F852" s="218" t="s">
        <v>2306</v>
      </c>
      <c r="G852" s="73"/>
      <c r="H852" s="67" t="s">
        <v>2512</v>
      </c>
      <c r="I852" s="32" t="s">
        <v>2266</v>
      </c>
      <c r="J852" s="67"/>
      <c r="K852" s="32"/>
      <c r="L852" s="362"/>
      <c r="M852" s="67"/>
      <c r="N852" s="362"/>
      <c r="O852" s="65"/>
      <c r="P852" s="32">
        <v>2015</v>
      </c>
      <c r="Q852" s="67"/>
      <c r="R852" s="67"/>
      <c r="S852" s="67"/>
      <c r="T852" s="32" t="s">
        <v>12</v>
      </c>
      <c r="U852" s="252">
        <v>314300000</v>
      </c>
      <c r="V852" s="32"/>
      <c r="W852" s="132"/>
      <c r="X852" s="206" t="str">
        <f t="shared" si="225"/>
        <v>4.14.01</v>
      </c>
      <c r="Y852" s="207" t="str">
        <f t="shared" si="226"/>
        <v>Bangunan Air Irigasi</v>
      </c>
      <c r="Z852" s="207">
        <f t="shared" si="227"/>
        <v>50</v>
      </c>
      <c r="AA852" s="233">
        <f t="shared" si="228"/>
        <v>6285999.7999999998</v>
      </c>
      <c r="AB852" s="208"/>
      <c r="AC852" s="233">
        <f t="shared" si="229"/>
        <v>0</v>
      </c>
      <c r="AD852" s="233"/>
      <c r="AE852" s="233">
        <f>IF(U852-10=AC852+AD852,0,AA852)</f>
        <v>6285999.7999999998</v>
      </c>
      <c r="AF852" s="233">
        <f t="shared" si="231"/>
        <v>6285999.7999999998</v>
      </c>
      <c r="AG852" s="233">
        <f t="shared" si="232"/>
        <v>6285999.7999999998</v>
      </c>
      <c r="AH852" s="238">
        <f t="shared" si="233"/>
        <v>6285999.7999999998</v>
      </c>
      <c r="AI852" s="238">
        <f t="shared" si="234"/>
        <v>25143999.199999999</v>
      </c>
      <c r="AJ852" s="261">
        <f t="shared" si="235"/>
        <v>2015</v>
      </c>
      <c r="AK852" s="233">
        <f t="shared" si="236"/>
        <v>289156000.80000001</v>
      </c>
    </row>
    <row r="853" spans="6:37" s="116" customFormat="1" ht="35.25" hidden="1" customHeight="1" x14ac:dyDescent="0.2">
      <c r="F853" s="218"/>
      <c r="G853" s="73"/>
      <c r="H853" s="67" t="s">
        <v>2513</v>
      </c>
      <c r="I853" s="32" t="s">
        <v>2514</v>
      </c>
      <c r="J853" s="67"/>
      <c r="K853" s="32"/>
      <c r="L853" s="362"/>
      <c r="M853" s="67"/>
      <c r="N853" s="362"/>
      <c r="O853" s="65" t="s">
        <v>2578</v>
      </c>
      <c r="P853" s="32">
        <v>2017</v>
      </c>
      <c r="Q853" s="67"/>
      <c r="R853" s="67"/>
      <c r="S853" s="67"/>
      <c r="T853" s="32" t="s">
        <v>12</v>
      </c>
      <c r="U853" s="252">
        <v>381279000</v>
      </c>
      <c r="V853" s="32"/>
      <c r="W853" s="132"/>
      <c r="X853" s="206" t="str">
        <f t="shared" ref="X853:X884" si="237">MID(I853,2,7)</f>
        <v>4.14.02</v>
      </c>
      <c r="Y853" s="207" t="e">
        <f t="shared" ref="Y853:Y916" si="238">VLOOKUP(X853,UE,2,0)</f>
        <v>#N/A</v>
      </c>
      <c r="Z853" s="207" t="e">
        <f t="shared" ref="Z853:Z916" si="239">VLOOKUP(X853,UE,3,0)</f>
        <v>#N/A</v>
      </c>
      <c r="AA853" s="233" t="e">
        <f t="shared" si="228"/>
        <v>#N/A</v>
      </c>
      <c r="AB853" s="208"/>
      <c r="AC853" s="233"/>
      <c r="AD853" s="233"/>
      <c r="AE853" s="233"/>
      <c r="AF853" s="233"/>
      <c r="AG853" s="233"/>
      <c r="AH853" s="238" t="e">
        <f t="shared" si="233"/>
        <v>#N/A</v>
      </c>
      <c r="AI853" s="238" t="e">
        <f t="shared" si="234"/>
        <v>#N/A</v>
      </c>
      <c r="AJ853" s="261">
        <f t="shared" si="235"/>
        <v>2017</v>
      </c>
      <c r="AK853" s="233" t="e">
        <f t="shared" si="236"/>
        <v>#N/A</v>
      </c>
    </row>
    <row r="854" spans="6:37" s="116" customFormat="1" ht="35.25" hidden="1" customHeight="1" x14ac:dyDescent="0.2">
      <c r="F854" s="218"/>
      <c r="G854" s="73"/>
      <c r="H854" s="67" t="s">
        <v>2515</v>
      </c>
      <c r="I854" s="32" t="s">
        <v>2514</v>
      </c>
      <c r="J854" s="67"/>
      <c r="K854" s="32"/>
      <c r="L854" s="362"/>
      <c r="M854" s="67"/>
      <c r="N854" s="362"/>
      <c r="O854" s="65" t="s">
        <v>2579</v>
      </c>
      <c r="P854" s="32">
        <v>2017</v>
      </c>
      <c r="Q854" s="67"/>
      <c r="R854" s="67"/>
      <c r="S854" s="67"/>
      <c r="T854" s="32" t="s">
        <v>12</v>
      </c>
      <c r="U854" s="252">
        <v>199532000</v>
      </c>
      <c r="V854" s="32"/>
      <c r="W854" s="132"/>
      <c r="X854" s="206" t="str">
        <f t="shared" si="237"/>
        <v>4.14.02</v>
      </c>
      <c r="Y854" s="207" t="e">
        <f t="shared" si="238"/>
        <v>#N/A</v>
      </c>
      <c r="Z854" s="207" t="e">
        <f t="shared" si="239"/>
        <v>#N/A</v>
      </c>
      <c r="AA854" s="233" t="e">
        <f t="shared" si="228"/>
        <v>#N/A</v>
      </c>
      <c r="AB854" s="208"/>
      <c r="AC854" s="233"/>
      <c r="AD854" s="233"/>
      <c r="AE854" s="233"/>
      <c r="AF854" s="233"/>
      <c r="AG854" s="233"/>
      <c r="AH854" s="238" t="e">
        <f t="shared" si="233"/>
        <v>#N/A</v>
      </c>
      <c r="AI854" s="238" t="e">
        <f t="shared" si="234"/>
        <v>#N/A</v>
      </c>
      <c r="AJ854" s="261">
        <f t="shared" si="235"/>
        <v>2017</v>
      </c>
      <c r="AK854" s="233" t="e">
        <f t="shared" si="236"/>
        <v>#N/A</v>
      </c>
    </row>
    <row r="855" spans="6:37" s="116" customFormat="1" ht="35.25" hidden="1" customHeight="1" x14ac:dyDescent="0.2">
      <c r="F855" s="218"/>
      <c r="G855" s="73"/>
      <c r="H855" s="67" t="s">
        <v>2516</v>
      </c>
      <c r="I855" s="32" t="s">
        <v>2514</v>
      </c>
      <c r="J855" s="67"/>
      <c r="K855" s="32"/>
      <c r="L855" s="362"/>
      <c r="M855" s="67"/>
      <c r="N855" s="362"/>
      <c r="O855" s="65" t="s">
        <v>2580</v>
      </c>
      <c r="P855" s="32">
        <v>2017</v>
      </c>
      <c r="Q855" s="67"/>
      <c r="R855" s="67"/>
      <c r="S855" s="67"/>
      <c r="T855" s="32" t="s">
        <v>12</v>
      </c>
      <c r="U855" s="252">
        <v>199380000</v>
      </c>
      <c r="V855" s="32"/>
      <c r="W855" s="132"/>
      <c r="X855" s="206" t="str">
        <f t="shared" si="237"/>
        <v>4.14.02</v>
      </c>
      <c r="Y855" s="207" t="e">
        <f t="shared" si="238"/>
        <v>#N/A</v>
      </c>
      <c r="Z855" s="207" t="e">
        <f t="shared" si="239"/>
        <v>#N/A</v>
      </c>
      <c r="AA855" s="233" t="e">
        <f t="shared" si="228"/>
        <v>#N/A</v>
      </c>
      <c r="AB855" s="208"/>
      <c r="AC855" s="233"/>
      <c r="AD855" s="233"/>
      <c r="AE855" s="233"/>
      <c r="AF855" s="233"/>
      <c r="AG855" s="233"/>
      <c r="AH855" s="238" t="e">
        <f t="shared" si="233"/>
        <v>#N/A</v>
      </c>
      <c r="AI855" s="238" t="e">
        <f t="shared" si="234"/>
        <v>#N/A</v>
      </c>
      <c r="AJ855" s="261">
        <f t="shared" si="235"/>
        <v>2017</v>
      </c>
      <c r="AK855" s="233" t="e">
        <f t="shared" si="236"/>
        <v>#N/A</v>
      </c>
    </row>
    <row r="856" spans="6:37" s="116" customFormat="1" ht="35.25" hidden="1" customHeight="1" x14ac:dyDescent="0.2">
      <c r="F856" s="218"/>
      <c r="G856" s="73"/>
      <c r="H856" s="67" t="s">
        <v>2517</v>
      </c>
      <c r="I856" s="32" t="s">
        <v>2514</v>
      </c>
      <c r="J856" s="67"/>
      <c r="K856" s="32"/>
      <c r="L856" s="362"/>
      <c r="M856" s="67"/>
      <c r="N856" s="362"/>
      <c r="O856" s="65" t="s">
        <v>2581</v>
      </c>
      <c r="P856" s="32">
        <v>2017</v>
      </c>
      <c r="Q856" s="67"/>
      <c r="R856" s="67"/>
      <c r="S856" s="67"/>
      <c r="T856" s="32" t="s">
        <v>12</v>
      </c>
      <c r="U856" s="252">
        <v>199258000</v>
      </c>
      <c r="V856" s="32"/>
      <c r="W856" s="132"/>
      <c r="X856" s="206" t="str">
        <f t="shared" si="237"/>
        <v>4.14.02</v>
      </c>
      <c r="Y856" s="207" t="e">
        <f t="shared" si="238"/>
        <v>#N/A</v>
      </c>
      <c r="Z856" s="207" t="e">
        <f t="shared" si="239"/>
        <v>#N/A</v>
      </c>
      <c r="AA856" s="233" t="e">
        <f t="shared" si="228"/>
        <v>#N/A</v>
      </c>
      <c r="AB856" s="208"/>
      <c r="AC856" s="233"/>
      <c r="AD856" s="233"/>
      <c r="AE856" s="233"/>
      <c r="AF856" s="233"/>
      <c r="AG856" s="233"/>
      <c r="AH856" s="238" t="e">
        <f t="shared" si="233"/>
        <v>#N/A</v>
      </c>
      <c r="AI856" s="238" t="e">
        <f t="shared" si="234"/>
        <v>#N/A</v>
      </c>
      <c r="AJ856" s="261">
        <f t="shared" si="235"/>
        <v>2017</v>
      </c>
      <c r="AK856" s="233" t="e">
        <f t="shared" si="236"/>
        <v>#N/A</v>
      </c>
    </row>
    <row r="857" spans="6:37" s="116" customFormat="1" ht="35.25" hidden="1" customHeight="1" x14ac:dyDescent="0.2">
      <c r="F857" s="218"/>
      <c r="G857" s="73"/>
      <c r="H857" s="67" t="s">
        <v>2518</v>
      </c>
      <c r="I857" s="32" t="s">
        <v>2514</v>
      </c>
      <c r="J857" s="67"/>
      <c r="K857" s="32"/>
      <c r="L857" s="362"/>
      <c r="M857" s="67"/>
      <c r="N857" s="362"/>
      <c r="O857" s="65" t="s">
        <v>2582</v>
      </c>
      <c r="P857" s="32">
        <v>2017</v>
      </c>
      <c r="Q857" s="67"/>
      <c r="R857" s="67"/>
      <c r="S857" s="67"/>
      <c r="T857" s="32" t="s">
        <v>12</v>
      </c>
      <c r="U857" s="252">
        <v>199383000</v>
      </c>
      <c r="V857" s="32"/>
      <c r="W857" s="132"/>
      <c r="X857" s="206" t="str">
        <f t="shared" si="237"/>
        <v>4.14.02</v>
      </c>
      <c r="Y857" s="207" t="e">
        <f t="shared" si="238"/>
        <v>#N/A</v>
      </c>
      <c r="Z857" s="207" t="e">
        <f t="shared" si="239"/>
        <v>#N/A</v>
      </c>
      <c r="AA857" s="233" t="e">
        <f t="shared" si="228"/>
        <v>#N/A</v>
      </c>
      <c r="AB857" s="208"/>
      <c r="AC857" s="233"/>
      <c r="AD857" s="233"/>
      <c r="AE857" s="233"/>
      <c r="AF857" s="233"/>
      <c r="AG857" s="233"/>
      <c r="AH857" s="238" t="e">
        <f t="shared" si="233"/>
        <v>#N/A</v>
      </c>
      <c r="AI857" s="238" t="e">
        <f t="shared" si="234"/>
        <v>#N/A</v>
      </c>
      <c r="AJ857" s="261">
        <f t="shared" si="235"/>
        <v>2017</v>
      </c>
      <c r="AK857" s="233" t="e">
        <f t="shared" si="236"/>
        <v>#N/A</v>
      </c>
    </row>
    <row r="858" spans="6:37" s="116" customFormat="1" ht="35.25" hidden="1" customHeight="1" x14ac:dyDescent="0.2">
      <c r="F858" s="218"/>
      <c r="G858" s="73"/>
      <c r="H858" s="67" t="s">
        <v>2519</v>
      </c>
      <c r="I858" s="32" t="s">
        <v>2514</v>
      </c>
      <c r="J858" s="67"/>
      <c r="K858" s="32"/>
      <c r="L858" s="362"/>
      <c r="M858" s="67"/>
      <c r="N858" s="362"/>
      <c r="O858" s="65" t="s">
        <v>2583</v>
      </c>
      <c r="P858" s="32">
        <v>2017</v>
      </c>
      <c r="Q858" s="67"/>
      <c r="R858" s="67"/>
      <c r="S858" s="67"/>
      <c r="T858" s="32" t="s">
        <v>12</v>
      </c>
      <c r="U858" s="252">
        <v>192786800</v>
      </c>
      <c r="V858" s="32"/>
      <c r="W858" s="132"/>
      <c r="X858" s="206" t="str">
        <f t="shared" si="237"/>
        <v>4.14.02</v>
      </c>
      <c r="Y858" s="207" t="e">
        <f t="shared" si="238"/>
        <v>#N/A</v>
      </c>
      <c r="Z858" s="207" t="e">
        <f t="shared" si="239"/>
        <v>#N/A</v>
      </c>
      <c r="AA858" s="233" t="e">
        <f t="shared" si="228"/>
        <v>#N/A</v>
      </c>
      <c r="AB858" s="208"/>
      <c r="AC858" s="233"/>
      <c r="AD858" s="233"/>
      <c r="AE858" s="233"/>
      <c r="AF858" s="233"/>
      <c r="AG858" s="233"/>
      <c r="AH858" s="238" t="e">
        <f t="shared" si="233"/>
        <v>#N/A</v>
      </c>
      <c r="AI858" s="238" t="e">
        <f t="shared" si="234"/>
        <v>#N/A</v>
      </c>
      <c r="AJ858" s="261">
        <f t="shared" si="235"/>
        <v>2017</v>
      </c>
      <c r="AK858" s="233" t="e">
        <f t="shared" si="236"/>
        <v>#N/A</v>
      </c>
    </row>
    <row r="859" spans="6:37" s="116" customFormat="1" ht="35.25" hidden="1" customHeight="1" x14ac:dyDescent="0.2">
      <c r="F859" s="218"/>
      <c r="G859" s="73"/>
      <c r="H859" s="67" t="s">
        <v>2520</v>
      </c>
      <c r="I859" s="32" t="s">
        <v>2514</v>
      </c>
      <c r="J859" s="67"/>
      <c r="K859" s="32"/>
      <c r="L859" s="362"/>
      <c r="M859" s="67"/>
      <c r="N859" s="362"/>
      <c r="O859" s="65" t="s">
        <v>2584</v>
      </c>
      <c r="P859" s="32">
        <v>2017</v>
      </c>
      <c r="Q859" s="67"/>
      <c r="R859" s="67"/>
      <c r="S859" s="67"/>
      <c r="T859" s="32" t="s">
        <v>12</v>
      </c>
      <c r="U859" s="252">
        <v>187810000</v>
      </c>
      <c r="V859" s="32"/>
      <c r="W859" s="132"/>
      <c r="X859" s="206" t="str">
        <f t="shared" si="237"/>
        <v>4.14.02</v>
      </c>
      <c r="Y859" s="207" t="e">
        <f t="shared" si="238"/>
        <v>#N/A</v>
      </c>
      <c r="Z859" s="207" t="e">
        <f t="shared" si="239"/>
        <v>#N/A</v>
      </c>
      <c r="AA859" s="233" t="e">
        <f t="shared" si="228"/>
        <v>#N/A</v>
      </c>
      <c r="AB859" s="208"/>
      <c r="AC859" s="233"/>
      <c r="AD859" s="233"/>
      <c r="AE859" s="233"/>
      <c r="AF859" s="233"/>
      <c r="AG859" s="233"/>
      <c r="AH859" s="238" t="e">
        <f t="shared" si="233"/>
        <v>#N/A</v>
      </c>
      <c r="AI859" s="238" t="e">
        <f t="shared" si="234"/>
        <v>#N/A</v>
      </c>
      <c r="AJ859" s="261">
        <f t="shared" si="235"/>
        <v>2017</v>
      </c>
      <c r="AK859" s="233" t="e">
        <f t="shared" si="236"/>
        <v>#N/A</v>
      </c>
    </row>
    <row r="860" spans="6:37" s="116" customFormat="1" ht="35.25" hidden="1" customHeight="1" x14ac:dyDescent="0.2">
      <c r="F860" s="218"/>
      <c r="G860" s="73"/>
      <c r="H860" s="67" t="s">
        <v>2521</v>
      </c>
      <c r="I860" s="32" t="s">
        <v>2514</v>
      </c>
      <c r="J860" s="67"/>
      <c r="K860" s="32"/>
      <c r="L860" s="362"/>
      <c r="M860" s="67"/>
      <c r="N860" s="362"/>
      <c r="O860" s="65" t="s">
        <v>2585</v>
      </c>
      <c r="P860" s="32">
        <v>2017</v>
      </c>
      <c r="Q860" s="67"/>
      <c r="R860" s="67"/>
      <c r="S860" s="67"/>
      <c r="T860" s="32" t="s">
        <v>12</v>
      </c>
      <c r="U860" s="252">
        <v>199345000</v>
      </c>
      <c r="V860" s="32"/>
      <c r="W860" s="132"/>
      <c r="X860" s="206" t="str">
        <f t="shared" si="237"/>
        <v>4.14.02</v>
      </c>
      <c r="Y860" s="207" t="e">
        <f t="shared" si="238"/>
        <v>#N/A</v>
      </c>
      <c r="Z860" s="207" t="e">
        <f t="shared" si="239"/>
        <v>#N/A</v>
      </c>
      <c r="AA860" s="233" t="e">
        <f t="shared" si="228"/>
        <v>#N/A</v>
      </c>
      <c r="AB860" s="208"/>
      <c r="AC860" s="233"/>
      <c r="AD860" s="233"/>
      <c r="AE860" s="233"/>
      <c r="AF860" s="233"/>
      <c r="AG860" s="233"/>
      <c r="AH860" s="238" t="e">
        <f t="shared" si="233"/>
        <v>#N/A</v>
      </c>
      <c r="AI860" s="238" t="e">
        <f t="shared" si="234"/>
        <v>#N/A</v>
      </c>
      <c r="AJ860" s="261">
        <f t="shared" si="235"/>
        <v>2017</v>
      </c>
      <c r="AK860" s="233" t="e">
        <f t="shared" si="236"/>
        <v>#N/A</v>
      </c>
    </row>
    <row r="861" spans="6:37" s="116" customFormat="1" ht="35.25" hidden="1" customHeight="1" x14ac:dyDescent="0.2">
      <c r="F861" s="218"/>
      <c r="G861" s="73"/>
      <c r="H861" s="67" t="s">
        <v>2522</v>
      </c>
      <c r="I861" s="32" t="s">
        <v>2514</v>
      </c>
      <c r="J861" s="67"/>
      <c r="K861" s="32"/>
      <c r="L861" s="362"/>
      <c r="M861" s="67"/>
      <c r="N861" s="362"/>
      <c r="O861" s="65" t="s">
        <v>2586</v>
      </c>
      <c r="P861" s="32">
        <v>2017</v>
      </c>
      <c r="Q861" s="67"/>
      <c r="R861" s="67"/>
      <c r="S861" s="67"/>
      <c r="T861" s="32" t="s">
        <v>12</v>
      </c>
      <c r="U861" s="252">
        <v>199750000</v>
      </c>
      <c r="V861" s="32"/>
      <c r="W861" s="132"/>
      <c r="X861" s="206" t="str">
        <f t="shared" si="237"/>
        <v>4.14.02</v>
      </c>
      <c r="Y861" s="207" t="e">
        <f t="shared" si="238"/>
        <v>#N/A</v>
      </c>
      <c r="Z861" s="207" t="e">
        <f t="shared" si="239"/>
        <v>#N/A</v>
      </c>
      <c r="AA861" s="233" t="e">
        <f t="shared" si="228"/>
        <v>#N/A</v>
      </c>
      <c r="AB861" s="208"/>
      <c r="AC861" s="233"/>
      <c r="AD861" s="233"/>
      <c r="AE861" s="233"/>
      <c r="AF861" s="233"/>
      <c r="AG861" s="233"/>
      <c r="AH861" s="238" t="e">
        <f t="shared" si="233"/>
        <v>#N/A</v>
      </c>
      <c r="AI861" s="238" t="e">
        <f t="shared" si="234"/>
        <v>#N/A</v>
      </c>
      <c r="AJ861" s="261">
        <f t="shared" si="235"/>
        <v>2017</v>
      </c>
      <c r="AK861" s="233" t="e">
        <f t="shared" si="236"/>
        <v>#N/A</v>
      </c>
    </row>
    <row r="862" spans="6:37" s="116" customFormat="1" ht="35.25" hidden="1" customHeight="1" x14ac:dyDescent="0.2">
      <c r="F862" s="218"/>
      <c r="G862" s="73"/>
      <c r="H862" s="67" t="s">
        <v>2523</v>
      </c>
      <c r="I862" s="32" t="s">
        <v>2514</v>
      </c>
      <c r="J862" s="67"/>
      <c r="K862" s="32"/>
      <c r="L862" s="362"/>
      <c r="M862" s="67"/>
      <c r="N862" s="362"/>
      <c r="O862" s="65" t="s">
        <v>2587</v>
      </c>
      <c r="P862" s="32">
        <v>2017</v>
      </c>
      <c r="Q862" s="67"/>
      <c r="R862" s="67"/>
      <c r="S862" s="67"/>
      <c r="T862" s="32" t="s">
        <v>12</v>
      </c>
      <c r="U862" s="252">
        <v>199353000</v>
      </c>
      <c r="V862" s="32"/>
      <c r="W862" s="132"/>
      <c r="X862" s="206" t="str">
        <f t="shared" si="237"/>
        <v>4.14.02</v>
      </c>
      <c r="Y862" s="207" t="e">
        <f t="shared" si="238"/>
        <v>#N/A</v>
      </c>
      <c r="Z862" s="207" t="e">
        <f t="shared" si="239"/>
        <v>#N/A</v>
      </c>
      <c r="AA862" s="233" t="e">
        <f t="shared" si="228"/>
        <v>#N/A</v>
      </c>
      <c r="AB862" s="208"/>
      <c r="AC862" s="233"/>
      <c r="AD862" s="233"/>
      <c r="AE862" s="233"/>
      <c r="AF862" s="233"/>
      <c r="AG862" s="233"/>
      <c r="AH862" s="238" t="e">
        <f t="shared" si="233"/>
        <v>#N/A</v>
      </c>
      <c r="AI862" s="238" t="e">
        <f t="shared" si="234"/>
        <v>#N/A</v>
      </c>
      <c r="AJ862" s="261">
        <f t="shared" si="235"/>
        <v>2017</v>
      </c>
      <c r="AK862" s="233" t="e">
        <f t="shared" si="236"/>
        <v>#N/A</v>
      </c>
    </row>
    <row r="863" spans="6:37" s="116" customFormat="1" ht="35.25" hidden="1" customHeight="1" x14ac:dyDescent="0.2">
      <c r="F863" s="218"/>
      <c r="G863" s="73"/>
      <c r="H863" s="67" t="s">
        <v>2524</v>
      </c>
      <c r="I863" s="32" t="s">
        <v>2525</v>
      </c>
      <c r="J863" s="67"/>
      <c r="K863" s="32"/>
      <c r="L863" s="362"/>
      <c r="M863" s="67"/>
      <c r="N863" s="362"/>
      <c r="O863" s="65" t="s">
        <v>2588</v>
      </c>
      <c r="P863" s="32">
        <v>2017</v>
      </c>
      <c r="Q863" s="67"/>
      <c r="R863" s="67"/>
      <c r="S863" s="67"/>
      <c r="T863" s="32" t="s">
        <v>12</v>
      </c>
      <c r="U863" s="252">
        <v>1530321000</v>
      </c>
      <c r="V863" s="32"/>
      <c r="W863" s="132"/>
      <c r="X863" s="206" t="str">
        <f t="shared" si="237"/>
        <v>4.14.04</v>
      </c>
      <c r="Y863" s="207" t="e">
        <f t="shared" si="238"/>
        <v>#N/A</v>
      </c>
      <c r="Z863" s="207" t="e">
        <f t="shared" si="239"/>
        <v>#N/A</v>
      </c>
      <c r="AA863" s="233" t="e">
        <f t="shared" si="228"/>
        <v>#N/A</v>
      </c>
      <c r="AB863" s="208"/>
      <c r="AC863" s="233"/>
      <c r="AD863" s="233"/>
      <c r="AE863" s="233"/>
      <c r="AF863" s="233"/>
      <c r="AG863" s="233"/>
      <c r="AH863" s="238" t="e">
        <f t="shared" si="233"/>
        <v>#N/A</v>
      </c>
      <c r="AI863" s="238" t="e">
        <f t="shared" si="234"/>
        <v>#N/A</v>
      </c>
      <c r="AJ863" s="261">
        <f t="shared" si="235"/>
        <v>2017</v>
      </c>
      <c r="AK863" s="233" t="e">
        <f t="shared" si="236"/>
        <v>#N/A</v>
      </c>
    </row>
    <row r="864" spans="6:37" s="116" customFormat="1" ht="35.25" hidden="1" customHeight="1" x14ac:dyDescent="0.2">
      <c r="F864" s="218"/>
      <c r="G864" s="73"/>
      <c r="H864" s="67" t="s">
        <v>2526</v>
      </c>
      <c r="I864" s="32" t="s">
        <v>2525</v>
      </c>
      <c r="J864" s="67"/>
      <c r="K864" s="32"/>
      <c r="L864" s="362"/>
      <c r="M864" s="67"/>
      <c r="N864" s="362"/>
      <c r="O864" s="65" t="s">
        <v>2589</v>
      </c>
      <c r="P864" s="32">
        <v>2017</v>
      </c>
      <c r="Q864" s="67"/>
      <c r="R864" s="67"/>
      <c r="S864" s="67"/>
      <c r="T864" s="32" t="s">
        <v>12</v>
      </c>
      <c r="U864" s="252">
        <v>549746000</v>
      </c>
      <c r="V864" s="32"/>
      <c r="W864" s="132"/>
      <c r="X864" s="206" t="str">
        <f t="shared" si="237"/>
        <v>4.14.04</v>
      </c>
      <c r="Y864" s="207" t="e">
        <f t="shared" si="238"/>
        <v>#N/A</v>
      </c>
      <c r="Z864" s="207" t="e">
        <f t="shared" si="239"/>
        <v>#N/A</v>
      </c>
      <c r="AA864" s="233" t="e">
        <f t="shared" si="228"/>
        <v>#N/A</v>
      </c>
      <c r="AB864" s="208"/>
      <c r="AC864" s="233"/>
      <c r="AD864" s="233"/>
      <c r="AE864" s="233"/>
      <c r="AF864" s="233"/>
      <c r="AG864" s="233"/>
      <c r="AH864" s="238" t="e">
        <f t="shared" si="233"/>
        <v>#N/A</v>
      </c>
      <c r="AI864" s="238" t="e">
        <f t="shared" si="234"/>
        <v>#N/A</v>
      </c>
      <c r="AJ864" s="261">
        <f t="shared" si="235"/>
        <v>2017</v>
      </c>
      <c r="AK864" s="233" t="e">
        <f t="shared" si="236"/>
        <v>#N/A</v>
      </c>
    </row>
    <row r="865" spans="6:37" s="116" customFormat="1" ht="35.25" hidden="1" customHeight="1" x14ac:dyDescent="0.2">
      <c r="F865" s="218"/>
      <c r="G865" s="73"/>
      <c r="H865" s="67" t="s">
        <v>2527</v>
      </c>
      <c r="I865" s="32" t="s">
        <v>2525</v>
      </c>
      <c r="J865" s="67"/>
      <c r="K865" s="32"/>
      <c r="L865" s="362"/>
      <c r="M865" s="67"/>
      <c r="N865" s="362"/>
      <c r="O865" s="65" t="s">
        <v>2590</v>
      </c>
      <c r="P865" s="32">
        <v>2017</v>
      </c>
      <c r="Q865" s="67"/>
      <c r="R865" s="67"/>
      <c r="S865" s="67"/>
      <c r="T865" s="32" t="s">
        <v>12</v>
      </c>
      <c r="U865" s="252">
        <v>199395000</v>
      </c>
      <c r="V865" s="32"/>
      <c r="W865" s="132"/>
      <c r="X865" s="206" t="str">
        <f t="shared" si="237"/>
        <v>4.14.04</v>
      </c>
      <c r="Y865" s="207" t="e">
        <f t="shared" si="238"/>
        <v>#N/A</v>
      </c>
      <c r="Z865" s="207" t="e">
        <f t="shared" si="239"/>
        <v>#N/A</v>
      </c>
      <c r="AA865" s="233" t="e">
        <f t="shared" si="228"/>
        <v>#N/A</v>
      </c>
      <c r="AB865" s="208"/>
      <c r="AC865" s="233"/>
      <c r="AD865" s="233"/>
      <c r="AE865" s="233"/>
      <c r="AF865" s="233"/>
      <c r="AG865" s="233"/>
      <c r="AH865" s="238" t="e">
        <f t="shared" si="233"/>
        <v>#N/A</v>
      </c>
      <c r="AI865" s="238" t="e">
        <f t="shared" si="234"/>
        <v>#N/A</v>
      </c>
      <c r="AJ865" s="261">
        <f t="shared" si="235"/>
        <v>2017</v>
      </c>
      <c r="AK865" s="233" t="e">
        <f t="shared" si="236"/>
        <v>#N/A</v>
      </c>
    </row>
    <row r="866" spans="6:37" s="116" customFormat="1" ht="35.25" hidden="1" customHeight="1" x14ac:dyDescent="0.2">
      <c r="F866" s="218"/>
      <c r="G866" s="73"/>
      <c r="H866" s="67" t="s">
        <v>2528</v>
      </c>
      <c r="I866" s="32" t="s">
        <v>2514</v>
      </c>
      <c r="J866" s="67"/>
      <c r="K866" s="32"/>
      <c r="L866" s="362"/>
      <c r="M866" s="67"/>
      <c r="N866" s="362"/>
      <c r="O866" s="65" t="s">
        <v>2591</v>
      </c>
      <c r="P866" s="32">
        <v>2017</v>
      </c>
      <c r="Q866" s="67"/>
      <c r="R866" s="67"/>
      <c r="S866" s="67"/>
      <c r="T866" s="32" t="s">
        <v>12</v>
      </c>
      <c r="U866" s="252">
        <v>149780000</v>
      </c>
      <c r="V866" s="32"/>
      <c r="W866" s="132"/>
      <c r="X866" s="206" t="str">
        <f t="shared" si="237"/>
        <v>4.14.02</v>
      </c>
      <c r="Y866" s="207" t="e">
        <f t="shared" si="238"/>
        <v>#N/A</v>
      </c>
      <c r="Z866" s="207" t="e">
        <f t="shared" si="239"/>
        <v>#N/A</v>
      </c>
      <c r="AA866" s="233" t="e">
        <f t="shared" si="228"/>
        <v>#N/A</v>
      </c>
      <c r="AB866" s="208"/>
      <c r="AC866" s="233"/>
      <c r="AD866" s="233"/>
      <c r="AE866" s="233"/>
      <c r="AF866" s="233"/>
      <c r="AG866" s="233"/>
      <c r="AH866" s="238" t="e">
        <f t="shared" si="233"/>
        <v>#N/A</v>
      </c>
      <c r="AI866" s="238" t="e">
        <f t="shared" si="234"/>
        <v>#N/A</v>
      </c>
      <c r="AJ866" s="261">
        <f t="shared" si="235"/>
        <v>2017</v>
      </c>
      <c r="AK866" s="233" t="e">
        <f t="shared" si="236"/>
        <v>#N/A</v>
      </c>
    </row>
    <row r="867" spans="6:37" s="116" customFormat="1" ht="35.25" hidden="1" customHeight="1" x14ac:dyDescent="0.2">
      <c r="F867" s="218"/>
      <c r="G867" s="73"/>
      <c r="H867" s="67" t="s">
        <v>2529</v>
      </c>
      <c r="I867" s="32" t="s">
        <v>2525</v>
      </c>
      <c r="J867" s="67"/>
      <c r="K867" s="32"/>
      <c r="L867" s="362"/>
      <c r="M867" s="67"/>
      <c r="N867" s="362"/>
      <c r="O867" s="65" t="s">
        <v>2592</v>
      </c>
      <c r="P867" s="32">
        <v>2017</v>
      </c>
      <c r="Q867" s="67"/>
      <c r="R867" s="67"/>
      <c r="S867" s="67"/>
      <c r="T867" s="32" t="s">
        <v>12</v>
      </c>
      <c r="U867" s="252">
        <v>199003000</v>
      </c>
      <c r="V867" s="32"/>
      <c r="W867" s="132"/>
      <c r="X867" s="206" t="str">
        <f t="shared" si="237"/>
        <v>4.14.04</v>
      </c>
      <c r="Y867" s="207" t="e">
        <f t="shared" si="238"/>
        <v>#N/A</v>
      </c>
      <c r="Z867" s="207" t="e">
        <f t="shared" si="239"/>
        <v>#N/A</v>
      </c>
      <c r="AA867" s="233" t="e">
        <f t="shared" si="228"/>
        <v>#N/A</v>
      </c>
      <c r="AB867" s="208"/>
      <c r="AC867" s="233"/>
      <c r="AD867" s="233"/>
      <c r="AE867" s="233"/>
      <c r="AF867" s="233"/>
      <c r="AG867" s="233"/>
      <c r="AH867" s="238" t="e">
        <f t="shared" si="233"/>
        <v>#N/A</v>
      </c>
      <c r="AI867" s="238" t="e">
        <f t="shared" si="234"/>
        <v>#N/A</v>
      </c>
      <c r="AJ867" s="261">
        <f t="shared" si="235"/>
        <v>2017</v>
      </c>
      <c r="AK867" s="233" t="e">
        <f t="shared" si="236"/>
        <v>#N/A</v>
      </c>
    </row>
    <row r="868" spans="6:37" s="116" customFormat="1" ht="35.25" hidden="1" customHeight="1" x14ac:dyDescent="0.2">
      <c r="F868" s="218"/>
      <c r="G868" s="73"/>
      <c r="H868" s="67" t="s">
        <v>2530</v>
      </c>
      <c r="I868" s="32" t="s">
        <v>2525</v>
      </c>
      <c r="J868" s="67"/>
      <c r="K868" s="32"/>
      <c r="L868" s="362"/>
      <c r="M868" s="67"/>
      <c r="N868" s="362"/>
      <c r="O868" s="65" t="s">
        <v>2593</v>
      </c>
      <c r="P868" s="32">
        <v>2017</v>
      </c>
      <c r="Q868" s="67"/>
      <c r="R868" s="67"/>
      <c r="S868" s="67"/>
      <c r="T868" s="32" t="s">
        <v>12</v>
      </c>
      <c r="U868" s="252">
        <v>199491000</v>
      </c>
      <c r="V868" s="32"/>
      <c r="W868" s="132"/>
      <c r="X868" s="206" t="str">
        <f t="shared" si="237"/>
        <v>4.14.04</v>
      </c>
      <c r="Y868" s="207" t="e">
        <f t="shared" si="238"/>
        <v>#N/A</v>
      </c>
      <c r="Z868" s="207" t="e">
        <f t="shared" si="239"/>
        <v>#N/A</v>
      </c>
      <c r="AA868" s="233" t="e">
        <f t="shared" si="228"/>
        <v>#N/A</v>
      </c>
      <c r="AB868" s="208"/>
      <c r="AC868" s="233"/>
      <c r="AD868" s="233"/>
      <c r="AE868" s="233"/>
      <c r="AF868" s="233"/>
      <c r="AG868" s="233"/>
      <c r="AH868" s="238" t="e">
        <f t="shared" si="233"/>
        <v>#N/A</v>
      </c>
      <c r="AI868" s="238" t="e">
        <f t="shared" si="234"/>
        <v>#N/A</v>
      </c>
      <c r="AJ868" s="261">
        <f t="shared" si="235"/>
        <v>2017</v>
      </c>
      <c r="AK868" s="233" t="e">
        <f t="shared" si="236"/>
        <v>#N/A</v>
      </c>
    </row>
    <row r="869" spans="6:37" s="116" customFormat="1" ht="35.25" hidden="1" customHeight="1" x14ac:dyDescent="0.2">
      <c r="F869" s="218"/>
      <c r="G869" s="73"/>
      <c r="H869" s="67" t="s">
        <v>2531</v>
      </c>
      <c r="I869" s="32" t="s">
        <v>2525</v>
      </c>
      <c r="J869" s="67"/>
      <c r="K869" s="32"/>
      <c r="L869" s="362"/>
      <c r="M869" s="67"/>
      <c r="N869" s="362"/>
      <c r="O869" s="65" t="s">
        <v>2594</v>
      </c>
      <c r="P869" s="32">
        <v>2017</v>
      </c>
      <c r="Q869" s="67"/>
      <c r="R869" s="67"/>
      <c r="S869" s="67"/>
      <c r="T869" s="32" t="s">
        <v>12</v>
      </c>
      <c r="U869" s="252">
        <v>199433000</v>
      </c>
      <c r="V869" s="32"/>
      <c r="W869" s="132"/>
      <c r="X869" s="206" t="str">
        <f t="shared" si="237"/>
        <v>4.14.04</v>
      </c>
      <c r="Y869" s="207" t="e">
        <f t="shared" si="238"/>
        <v>#N/A</v>
      </c>
      <c r="Z869" s="207" t="e">
        <f t="shared" si="239"/>
        <v>#N/A</v>
      </c>
      <c r="AA869" s="233" t="e">
        <f t="shared" si="228"/>
        <v>#N/A</v>
      </c>
      <c r="AB869" s="208"/>
      <c r="AC869" s="233"/>
      <c r="AD869" s="233"/>
      <c r="AE869" s="233"/>
      <c r="AF869" s="233"/>
      <c r="AG869" s="233"/>
      <c r="AH869" s="238" t="e">
        <f t="shared" si="233"/>
        <v>#N/A</v>
      </c>
      <c r="AI869" s="238" t="e">
        <f t="shared" si="234"/>
        <v>#N/A</v>
      </c>
      <c r="AJ869" s="261">
        <f t="shared" si="235"/>
        <v>2017</v>
      </c>
      <c r="AK869" s="233" t="e">
        <f t="shared" si="236"/>
        <v>#N/A</v>
      </c>
    </row>
    <row r="870" spans="6:37" s="116" customFormat="1" ht="35.25" hidden="1" customHeight="1" x14ac:dyDescent="0.2">
      <c r="F870" s="218"/>
      <c r="G870" s="73"/>
      <c r="H870" s="67" t="s">
        <v>2532</v>
      </c>
      <c r="I870" s="32" t="s">
        <v>2525</v>
      </c>
      <c r="J870" s="67"/>
      <c r="K870" s="32"/>
      <c r="L870" s="362"/>
      <c r="M870" s="67"/>
      <c r="N870" s="362"/>
      <c r="O870" s="65" t="s">
        <v>2595</v>
      </c>
      <c r="P870" s="32">
        <v>2017</v>
      </c>
      <c r="Q870" s="67"/>
      <c r="R870" s="67"/>
      <c r="S870" s="67"/>
      <c r="T870" s="32" t="s">
        <v>12</v>
      </c>
      <c r="U870" s="252">
        <v>199382000</v>
      </c>
      <c r="V870" s="32"/>
      <c r="W870" s="132"/>
      <c r="X870" s="206" t="str">
        <f t="shared" si="237"/>
        <v>4.14.04</v>
      </c>
      <c r="Y870" s="207" t="e">
        <f t="shared" si="238"/>
        <v>#N/A</v>
      </c>
      <c r="Z870" s="207" t="e">
        <f t="shared" si="239"/>
        <v>#N/A</v>
      </c>
      <c r="AA870" s="233" t="e">
        <f t="shared" si="228"/>
        <v>#N/A</v>
      </c>
      <c r="AB870" s="208"/>
      <c r="AC870" s="233"/>
      <c r="AD870" s="233"/>
      <c r="AE870" s="233"/>
      <c r="AF870" s="233"/>
      <c r="AG870" s="233"/>
      <c r="AH870" s="238" t="e">
        <f t="shared" si="233"/>
        <v>#N/A</v>
      </c>
      <c r="AI870" s="238" t="e">
        <f t="shared" si="234"/>
        <v>#N/A</v>
      </c>
      <c r="AJ870" s="261">
        <f t="shared" si="235"/>
        <v>2017</v>
      </c>
      <c r="AK870" s="233" t="e">
        <f t="shared" si="236"/>
        <v>#N/A</v>
      </c>
    </row>
    <row r="871" spans="6:37" s="116" customFormat="1" ht="35.25" hidden="1" customHeight="1" x14ac:dyDescent="0.2">
      <c r="F871" s="218"/>
      <c r="G871" s="73"/>
      <c r="H871" s="67" t="s">
        <v>2533</v>
      </c>
      <c r="I871" s="32" t="s">
        <v>2525</v>
      </c>
      <c r="J871" s="67"/>
      <c r="K871" s="32"/>
      <c r="L871" s="362"/>
      <c r="M871" s="67"/>
      <c r="N871" s="362"/>
      <c r="O871" s="65" t="s">
        <v>2596</v>
      </c>
      <c r="P871" s="32">
        <v>2017</v>
      </c>
      <c r="Q871" s="67"/>
      <c r="R871" s="67"/>
      <c r="S871" s="67"/>
      <c r="T871" s="32" t="s">
        <v>12</v>
      </c>
      <c r="U871" s="252">
        <v>199359000</v>
      </c>
      <c r="V871" s="32"/>
      <c r="W871" s="132"/>
      <c r="X871" s="206" t="str">
        <f t="shared" si="237"/>
        <v>4.14.04</v>
      </c>
      <c r="Y871" s="207" t="e">
        <f t="shared" si="238"/>
        <v>#N/A</v>
      </c>
      <c r="Z871" s="207" t="e">
        <f t="shared" si="239"/>
        <v>#N/A</v>
      </c>
      <c r="AA871" s="233" t="e">
        <f t="shared" si="228"/>
        <v>#N/A</v>
      </c>
      <c r="AB871" s="208"/>
      <c r="AC871" s="233"/>
      <c r="AD871" s="233"/>
      <c r="AE871" s="233"/>
      <c r="AF871" s="233"/>
      <c r="AG871" s="233"/>
      <c r="AH871" s="238" t="e">
        <f t="shared" si="233"/>
        <v>#N/A</v>
      </c>
      <c r="AI871" s="238" t="e">
        <f t="shared" si="234"/>
        <v>#N/A</v>
      </c>
      <c r="AJ871" s="261">
        <f t="shared" si="235"/>
        <v>2017</v>
      </c>
      <c r="AK871" s="233" t="e">
        <f t="shared" si="236"/>
        <v>#N/A</v>
      </c>
    </row>
    <row r="872" spans="6:37" s="116" customFormat="1" ht="35.25" hidden="1" customHeight="1" x14ac:dyDescent="0.2">
      <c r="F872" s="218"/>
      <c r="G872" s="73"/>
      <c r="H872" s="67" t="s">
        <v>2534</v>
      </c>
      <c r="I872" s="32" t="s">
        <v>2525</v>
      </c>
      <c r="J872" s="67"/>
      <c r="K872" s="32"/>
      <c r="L872" s="362"/>
      <c r="M872" s="67"/>
      <c r="N872" s="362"/>
      <c r="O872" s="65" t="s">
        <v>2597</v>
      </c>
      <c r="P872" s="32">
        <v>2017</v>
      </c>
      <c r="Q872" s="67"/>
      <c r="R872" s="67"/>
      <c r="S872" s="67"/>
      <c r="T872" s="32" t="s">
        <v>12</v>
      </c>
      <c r="U872" s="252">
        <v>199385000</v>
      </c>
      <c r="V872" s="32"/>
      <c r="W872" s="132"/>
      <c r="X872" s="206" t="str">
        <f t="shared" si="237"/>
        <v>4.14.04</v>
      </c>
      <c r="Y872" s="207" t="e">
        <f t="shared" si="238"/>
        <v>#N/A</v>
      </c>
      <c r="Z872" s="207" t="e">
        <f t="shared" si="239"/>
        <v>#N/A</v>
      </c>
      <c r="AA872" s="233" t="e">
        <f t="shared" si="228"/>
        <v>#N/A</v>
      </c>
      <c r="AB872" s="208"/>
      <c r="AC872" s="233"/>
      <c r="AD872" s="233"/>
      <c r="AE872" s="233"/>
      <c r="AF872" s="233"/>
      <c r="AG872" s="233"/>
      <c r="AH872" s="238" t="e">
        <f t="shared" si="233"/>
        <v>#N/A</v>
      </c>
      <c r="AI872" s="238" t="e">
        <f t="shared" si="234"/>
        <v>#N/A</v>
      </c>
      <c r="AJ872" s="261">
        <f t="shared" si="235"/>
        <v>2017</v>
      </c>
      <c r="AK872" s="233" t="e">
        <f t="shared" si="236"/>
        <v>#N/A</v>
      </c>
    </row>
    <row r="873" spans="6:37" s="116" customFormat="1" ht="35.25" hidden="1" customHeight="1" x14ac:dyDescent="0.2">
      <c r="F873" s="218"/>
      <c r="G873" s="73"/>
      <c r="H873" s="67" t="s">
        <v>2535</v>
      </c>
      <c r="I873" s="32" t="s">
        <v>2514</v>
      </c>
      <c r="J873" s="67"/>
      <c r="K873" s="32"/>
      <c r="L873" s="362"/>
      <c r="M873" s="67"/>
      <c r="N873" s="362"/>
      <c r="O873" s="65" t="s">
        <v>2598</v>
      </c>
      <c r="P873" s="32">
        <v>2017</v>
      </c>
      <c r="Q873" s="67"/>
      <c r="R873" s="67"/>
      <c r="S873" s="67"/>
      <c r="T873" s="32" t="s">
        <v>12</v>
      </c>
      <c r="U873" s="252">
        <v>199296000</v>
      </c>
      <c r="V873" s="32"/>
      <c r="W873" s="132"/>
      <c r="X873" s="206" t="str">
        <f t="shared" si="237"/>
        <v>4.14.02</v>
      </c>
      <c r="Y873" s="207" t="e">
        <f t="shared" si="238"/>
        <v>#N/A</v>
      </c>
      <c r="Z873" s="207" t="e">
        <f t="shared" si="239"/>
        <v>#N/A</v>
      </c>
      <c r="AA873" s="233" t="e">
        <f t="shared" si="228"/>
        <v>#N/A</v>
      </c>
      <c r="AB873" s="208"/>
      <c r="AC873" s="233"/>
      <c r="AD873" s="233"/>
      <c r="AE873" s="233"/>
      <c r="AF873" s="233"/>
      <c r="AG873" s="233"/>
      <c r="AH873" s="238" t="e">
        <f t="shared" si="233"/>
        <v>#N/A</v>
      </c>
      <c r="AI873" s="238" t="e">
        <f t="shared" si="234"/>
        <v>#N/A</v>
      </c>
      <c r="AJ873" s="261">
        <f t="shared" si="235"/>
        <v>2017</v>
      </c>
      <c r="AK873" s="233" t="e">
        <f t="shared" si="236"/>
        <v>#N/A</v>
      </c>
    </row>
    <row r="874" spans="6:37" s="116" customFormat="1" ht="35.25" hidden="1" customHeight="1" x14ac:dyDescent="0.2">
      <c r="F874" s="218"/>
      <c r="G874" s="73"/>
      <c r="H874" s="67" t="s">
        <v>2536</v>
      </c>
      <c r="I874" s="32" t="s">
        <v>2514</v>
      </c>
      <c r="J874" s="67"/>
      <c r="K874" s="32"/>
      <c r="L874" s="362"/>
      <c r="M874" s="67"/>
      <c r="N874" s="362"/>
      <c r="O874" s="65" t="s">
        <v>2599</v>
      </c>
      <c r="P874" s="32">
        <v>2017</v>
      </c>
      <c r="Q874" s="67"/>
      <c r="R874" s="67"/>
      <c r="S874" s="67"/>
      <c r="T874" s="32" t="s">
        <v>12</v>
      </c>
      <c r="U874" s="252">
        <v>199770000</v>
      </c>
      <c r="V874" s="32"/>
      <c r="W874" s="132"/>
      <c r="X874" s="206" t="str">
        <f t="shared" si="237"/>
        <v>4.14.02</v>
      </c>
      <c r="Y874" s="207" t="e">
        <f t="shared" si="238"/>
        <v>#N/A</v>
      </c>
      <c r="Z874" s="207" t="e">
        <f t="shared" si="239"/>
        <v>#N/A</v>
      </c>
      <c r="AA874" s="233" t="e">
        <f t="shared" si="228"/>
        <v>#N/A</v>
      </c>
      <c r="AB874" s="208"/>
      <c r="AC874" s="233"/>
      <c r="AD874" s="233"/>
      <c r="AE874" s="233"/>
      <c r="AF874" s="233"/>
      <c r="AG874" s="233"/>
      <c r="AH874" s="238" t="e">
        <f t="shared" si="233"/>
        <v>#N/A</v>
      </c>
      <c r="AI874" s="238" t="e">
        <f t="shared" si="234"/>
        <v>#N/A</v>
      </c>
      <c r="AJ874" s="261">
        <f t="shared" si="235"/>
        <v>2017</v>
      </c>
      <c r="AK874" s="233" t="e">
        <f t="shared" si="236"/>
        <v>#N/A</v>
      </c>
    </row>
    <row r="875" spans="6:37" s="116" customFormat="1" ht="35.25" hidden="1" customHeight="1" x14ac:dyDescent="0.2">
      <c r="F875" s="218"/>
      <c r="G875" s="73"/>
      <c r="H875" s="67" t="s">
        <v>2537</v>
      </c>
      <c r="I875" s="32" t="s">
        <v>2525</v>
      </c>
      <c r="J875" s="67"/>
      <c r="K875" s="32"/>
      <c r="L875" s="362"/>
      <c r="M875" s="67"/>
      <c r="N875" s="362"/>
      <c r="O875" s="65" t="s">
        <v>2600</v>
      </c>
      <c r="P875" s="32">
        <v>2017</v>
      </c>
      <c r="Q875" s="67"/>
      <c r="R875" s="67"/>
      <c r="S875" s="67"/>
      <c r="T875" s="32" t="s">
        <v>12</v>
      </c>
      <c r="U875" s="252">
        <v>186862000</v>
      </c>
      <c r="V875" s="32"/>
      <c r="W875" s="132"/>
      <c r="X875" s="206" t="str">
        <f t="shared" si="237"/>
        <v>4.14.04</v>
      </c>
      <c r="Y875" s="207" t="e">
        <f t="shared" si="238"/>
        <v>#N/A</v>
      </c>
      <c r="Z875" s="207" t="e">
        <f t="shared" si="239"/>
        <v>#N/A</v>
      </c>
      <c r="AA875" s="233" t="e">
        <f t="shared" si="228"/>
        <v>#N/A</v>
      </c>
      <c r="AB875" s="208"/>
      <c r="AC875" s="233"/>
      <c r="AD875" s="233"/>
      <c r="AE875" s="233"/>
      <c r="AF875" s="233"/>
      <c r="AG875" s="233"/>
      <c r="AH875" s="238" t="e">
        <f t="shared" si="233"/>
        <v>#N/A</v>
      </c>
      <c r="AI875" s="238" t="e">
        <f t="shared" si="234"/>
        <v>#N/A</v>
      </c>
      <c r="AJ875" s="261">
        <f t="shared" si="235"/>
        <v>2017</v>
      </c>
      <c r="AK875" s="233" t="e">
        <f t="shared" si="236"/>
        <v>#N/A</v>
      </c>
    </row>
    <row r="876" spans="6:37" s="116" customFormat="1" ht="35.25" hidden="1" customHeight="1" x14ac:dyDescent="0.2">
      <c r="F876" s="218"/>
      <c r="G876" s="73"/>
      <c r="H876" s="67" t="s">
        <v>2538</v>
      </c>
      <c r="I876" s="32" t="s">
        <v>2525</v>
      </c>
      <c r="J876" s="67"/>
      <c r="K876" s="32"/>
      <c r="L876" s="362"/>
      <c r="M876" s="67"/>
      <c r="N876" s="362"/>
      <c r="O876" s="65" t="s">
        <v>2601</v>
      </c>
      <c r="P876" s="32">
        <v>2017</v>
      </c>
      <c r="Q876" s="67"/>
      <c r="R876" s="67"/>
      <c r="S876" s="67"/>
      <c r="T876" s="32" t="s">
        <v>12</v>
      </c>
      <c r="U876" s="252">
        <v>199700000</v>
      </c>
      <c r="V876" s="32"/>
      <c r="W876" s="132"/>
      <c r="X876" s="206" t="str">
        <f t="shared" si="237"/>
        <v>4.14.04</v>
      </c>
      <c r="Y876" s="207" t="e">
        <f t="shared" si="238"/>
        <v>#N/A</v>
      </c>
      <c r="Z876" s="207" t="e">
        <f t="shared" si="239"/>
        <v>#N/A</v>
      </c>
      <c r="AA876" s="233" t="e">
        <f t="shared" si="228"/>
        <v>#N/A</v>
      </c>
      <c r="AB876" s="208"/>
      <c r="AC876" s="233"/>
      <c r="AD876" s="233"/>
      <c r="AE876" s="233"/>
      <c r="AF876" s="233"/>
      <c r="AG876" s="233"/>
      <c r="AH876" s="238" t="e">
        <f t="shared" si="233"/>
        <v>#N/A</v>
      </c>
      <c r="AI876" s="238" t="e">
        <f t="shared" si="234"/>
        <v>#N/A</v>
      </c>
      <c r="AJ876" s="261">
        <f t="shared" si="235"/>
        <v>2017</v>
      </c>
      <c r="AK876" s="233" t="e">
        <f t="shared" si="236"/>
        <v>#N/A</v>
      </c>
    </row>
    <row r="877" spans="6:37" s="116" customFormat="1" ht="35.25" hidden="1" customHeight="1" x14ac:dyDescent="0.2">
      <c r="F877" s="218"/>
      <c r="G877" s="73"/>
      <c r="H877" s="67" t="s">
        <v>2539</v>
      </c>
      <c r="I877" s="32" t="s">
        <v>2525</v>
      </c>
      <c r="J877" s="67"/>
      <c r="K877" s="32"/>
      <c r="L877" s="362"/>
      <c r="M877" s="67"/>
      <c r="N877" s="362"/>
      <c r="O877" s="65" t="s">
        <v>2602</v>
      </c>
      <c r="P877" s="32">
        <v>2017</v>
      </c>
      <c r="Q877" s="67"/>
      <c r="R877" s="67"/>
      <c r="S877" s="67"/>
      <c r="T877" s="32" t="s">
        <v>12</v>
      </c>
      <c r="U877" s="252">
        <v>199750000</v>
      </c>
      <c r="V877" s="32"/>
      <c r="W877" s="132"/>
      <c r="X877" s="206" t="str">
        <f t="shared" si="237"/>
        <v>4.14.04</v>
      </c>
      <c r="Y877" s="207" t="e">
        <f t="shared" si="238"/>
        <v>#N/A</v>
      </c>
      <c r="Z877" s="207" t="e">
        <f t="shared" si="239"/>
        <v>#N/A</v>
      </c>
      <c r="AA877" s="233" t="e">
        <f t="shared" si="228"/>
        <v>#N/A</v>
      </c>
      <c r="AB877" s="208"/>
      <c r="AC877" s="233"/>
      <c r="AD877" s="233"/>
      <c r="AE877" s="233"/>
      <c r="AF877" s="233"/>
      <c r="AG877" s="233"/>
      <c r="AH877" s="238" t="e">
        <f t="shared" si="233"/>
        <v>#N/A</v>
      </c>
      <c r="AI877" s="238" t="e">
        <f t="shared" si="234"/>
        <v>#N/A</v>
      </c>
      <c r="AJ877" s="261">
        <f t="shared" si="235"/>
        <v>2017</v>
      </c>
      <c r="AK877" s="233" t="e">
        <f t="shared" si="236"/>
        <v>#N/A</v>
      </c>
    </row>
    <row r="878" spans="6:37" s="116" customFormat="1" ht="35.25" hidden="1" customHeight="1" x14ac:dyDescent="0.2">
      <c r="F878" s="218"/>
      <c r="G878" s="73"/>
      <c r="H878" s="67" t="s">
        <v>2540</v>
      </c>
      <c r="I878" s="32" t="s">
        <v>2525</v>
      </c>
      <c r="J878" s="67"/>
      <c r="K878" s="32"/>
      <c r="L878" s="362"/>
      <c r="M878" s="67"/>
      <c r="N878" s="362"/>
      <c r="O878" s="65" t="s">
        <v>2603</v>
      </c>
      <c r="P878" s="32">
        <v>2017</v>
      </c>
      <c r="Q878" s="67"/>
      <c r="R878" s="67"/>
      <c r="S878" s="67"/>
      <c r="T878" s="32" t="s">
        <v>12</v>
      </c>
      <c r="U878" s="252">
        <v>49539000</v>
      </c>
      <c r="V878" s="32"/>
      <c r="W878" s="132"/>
      <c r="X878" s="206" t="str">
        <f t="shared" si="237"/>
        <v>4.14.04</v>
      </c>
      <c r="Y878" s="207" t="e">
        <f t="shared" si="238"/>
        <v>#N/A</v>
      </c>
      <c r="Z878" s="207" t="e">
        <f t="shared" si="239"/>
        <v>#N/A</v>
      </c>
      <c r="AA878" s="233" t="e">
        <f t="shared" si="228"/>
        <v>#N/A</v>
      </c>
      <c r="AB878" s="208"/>
      <c r="AC878" s="233"/>
      <c r="AD878" s="233"/>
      <c r="AE878" s="233"/>
      <c r="AF878" s="233"/>
      <c r="AG878" s="233"/>
      <c r="AH878" s="238" t="e">
        <f t="shared" si="233"/>
        <v>#N/A</v>
      </c>
      <c r="AI878" s="238" t="e">
        <f t="shared" si="234"/>
        <v>#N/A</v>
      </c>
      <c r="AJ878" s="261">
        <f t="shared" si="235"/>
        <v>2017</v>
      </c>
      <c r="AK878" s="233" t="e">
        <f t="shared" si="236"/>
        <v>#N/A</v>
      </c>
    </row>
    <row r="879" spans="6:37" s="116" customFormat="1" ht="35.25" hidden="1" customHeight="1" x14ac:dyDescent="0.2">
      <c r="F879" s="218"/>
      <c r="G879" s="73"/>
      <c r="H879" s="67" t="s">
        <v>2541</v>
      </c>
      <c r="I879" s="32" t="s">
        <v>2525</v>
      </c>
      <c r="J879" s="67"/>
      <c r="K879" s="32"/>
      <c r="L879" s="362"/>
      <c r="M879" s="67"/>
      <c r="N879" s="362"/>
      <c r="O879" s="65" t="s">
        <v>2604</v>
      </c>
      <c r="P879" s="32">
        <v>2017</v>
      </c>
      <c r="Q879" s="67"/>
      <c r="R879" s="67"/>
      <c r="S879" s="67"/>
      <c r="T879" s="32" t="s">
        <v>12</v>
      </c>
      <c r="U879" s="252">
        <v>199650000</v>
      </c>
      <c r="V879" s="32"/>
      <c r="W879" s="132"/>
      <c r="X879" s="206" t="str">
        <f t="shared" si="237"/>
        <v>4.14.04</v>
      </c>
      <c r="Y879" s="207" t="e">
        <f t="shared" si="238"/>
        <v>#N/A</v>
      </c>
      <c r="Z879" s="207" t="e">
        <f t="shared" si="239"/>
        <v>#N/A</v>
      </c>
      <c r="AA879" s="233" t="e">
        <f t="shared" si="228"/>
        <v>#N/A</v>
      </c>
      <c r="AB879" s="208"/>
      <c r="AC879" s="233"/>
      <c r="AD879" s="233"/>
      <c r="AE879" s="233"/>
      <c r="AF879" s="233"/>
      <c r="AG879" s="233"/>
      <c r="AH879" s="238" t="e">
        <f t="shared" si="233"/>
        <v>#N/A</v>
      </c>
      <c r="AI879" s="238" t="e">
        <f t="shared" si="234"/>
        <v>#N/A</v>
      </c>
      <c r="AJ879" s="261">
        <f t="shared" si="235"/>
        <v>2017</v>
      </c>
      <c r="AK879" s="233" t="e">
        <f t="shared" si="236"/>
        <v>#N/A</v>
      </c>
    </row>
    <row r="880" spans="6:37" s="116" customFormat="1" ht="35.25" hidden="1" customHeight="1" x14ac:dyDescent="0.2">
      <c r="F880" s="218"/>
      <c r="G880" s="73"/>
      <c r="H880" s="67" t="s">
        <v>2542</v>
      </c>
      <c r="I880" s="32" t="s">
        <v>2525</v>
      </c>
      <c r="J880" s="67"/>
      <c r="K880" s="32"/>
      <c r="L880" s="362"/>
      <c r="M880" s="67"/>
      <c r="N880" s="362"/>
      <c r="O880" s="65" t="s">
        <v>2605</v>
      </c>
      <c r="P880" s="32">
        <v>2017</v>
      </c>
      <c r="Q880" s="67"/>
      <c r="R880" s="67"/>
      <c r="S880" s="67"/>
      <c r="T880" s="32" t="s">
        <v>12</v>
      </c>
      <c r="U880" s="252">
        <v>199650000</v>
      </c>
      <c r="V880" s="32"/>
      <c r="W880" s="132"/>
      <c r="X880" s="206" t="str">
        <f t="shared" si="237"/>
        <v>4.14.04</v>
      </c>
      <c r="Y880" s="207" t="e">
        <f t="shared" si="238"/>
        <v>#N/A</v>
      </c>
      <c r="Z880" s="207" t="e">
        <f t="shared" si="239"/>
        <v>#N/A</v>
      </c>
      <c r="AA880" s="233" t="e">
        <f t="shared" si="228"/>
        <v>#N/A</v>
      </c>
      <c r="AB880" s="208"/>
      <c r="AC880" s="233"/>
      <c r="AD880" s="233"/>
      <c r="AE880" s="233"/>
      <c r="AF880" s="233"/>
      <c r="AG880" s="233"/>
      <c r="AH880" s="238" t="e">
        <f t="shared" si="233"/>
        <v>#N/A</v>
      </c>
      <c r="AI880" s="238" t="e">
        <f t="shared" si="234"/>
        <v>#N/A</v>
      </c>
      <c r="AJ880" s="261">
        <f t="shared" si="235"/>
        <v>2017</v>
      </c>
      <c r="AK880" s="233" t="e">
        <f t="shared" si="236"/>
        <v>#N/A</v>
      </c>
    </row>
    <row r="881" spans="6:37" s="116" customFormat="1" ht="35.25" hidden="1" customHeight="1" x14ac:dyDescent="0.2">
      <c r="F881" s="218"/>
      <c r="G881" s="73"/>
      <c r="H881" s="67" t="s">
        <v>2543</v>
      </c>
      <c r="I881" s="32" t="s">
        <v>2544</v>
      </c>
      <c r="J881" s="67"/>
      <c r="K881" s="32"/>
      <c r="L881" s="362"/>
      <c r="M881" s="67"/>
      <c r="N881" s="362"/>
      <c r="O881" s="65" t="s">
        <v>2606</v>
      </c>
      <c r="P881" s="32">
        <v>2017</v>
      </c>
      <c r="Q881" s="67"/>
      <c r="R881" s="67"/>
      <c r="S881" s="67"/>
      <c r="T881" s="32" t="s">
        <v>12</v>
      </c>
      <c r="U881" s="252">
        <v>194627000</v>
      </c>
      <c r="V881" s="32"/>
      <c r="W881" s="132"/>
      <c r="X881" s="206" t="str">
        <f t="shared" si="237"/>
        <v>4.14.01</v>
      </c>
      <c r="Y881" s="207" t="e">
        <f t="shared" si="238"/>
        <v>#N/A</v>
      </c>
      <c r="Z881" s="207" t="e">
        <f t="shared" si="239"/>
        <v>#N/A</v>
      </c>
      <c r="AA881" s="233" t="e">
        <f t="shared" si="228"/>
        <v>#N/A</v>
      </c>
      <c r="AB881" s="208"/>
      <c r="AC881" s="233"/>
      <c r="AD881" s="233"/>
      <c r="AE881" s="233"/>
      <c r="AF881" s="233"/>
      <c r="AG881" s="233"/>
      <c r="AH881" s="238" t="e">
        <f t="shared" si="233"/>
        <v>#N/A</v>
      </c>
      <c r="AI881" s="238" t="e">
        <f t="shared" si="234"/>
        <v>#N/A</v>
      </c>
      <c r="AJ881" s="261">
        <f t="shared" si="235"/>
        <v>2017</v>
      </c>
      <c r="AK881" s="233" t="e">
        <f t="shared" si="236"/>
        <v>#N/A</v>
      </c>
    </row>
    <row r="882" spans="6:37" s="116" customFormat="1" ht="35.25" hidden="1" customHeight="1" x14ac:dyDescent="0.2">
      <c r="F882" s="218"/>
      <c r="G882" s="73"/>
      <c r="H882" s="67" t="s">
        <v>2545</v>
      </c>
      <c r="I882" s="32" t="s">
        <v>2544</v>
      </c>
      <c r="J882" s="67"/>
      <c r="K882" s="32"/>
      <c r="L882" s="362"/>
      <c r="M882" s="67"/>
      <c r="N882" s="362"/>
      <c r="O882" s="65" t="s">
        <v>2607</v>
      </c>
      <c r="P882" s="32">
        <v>2017</v>
      </c>
      <c r="Q882" s="67"/>
      <c r="R882" s="67"/>
      <c r="S882" s="67"/>
      <c r="T882" s="32" t="s">
        <v>12</v>
      </c>
      <c r="U882" s="252">
        <v>197270000</v>
      </c>
      <c r="V882" s="32"/>
      <c r="W882" s="132"/>
      <c r="X882" s="206" t="str">
        <f t="shared" si="237"/>
        <v>4.14.01</v>
      </c>
      <c r="Y882" s="207" t="e">
        <f t="shared" si="238"/>
        <v>#N/A</v>
      </c>
      <c r="Z882" s="207" t="e">
        <f t="shared" si="239"/>
        <v>#N/A</v>
      </c>
      <c r="AA882" s="233" t="e">
        <f t="shared" si="228"/>
        <v>#N/A</v>
      </c>
      <c r="AB882" s="208"/>
      <c r="AC882" s="233"/>
      <c r="AD882" s="233"/>
      <c r="AE882" s="233"/>
      <c r="AF882" s="233"/>
      <c r="AG882" s="233"/>
      <c r="AH882" s="238" t="e">
        <f t="shared" ref="AH882:AH922" si="240">IF(U882-10=AD882+AE882+AF882+AC882+AG882,0,AA882)</f>
        <v>#N/A</v>
      </c>
      <c r="AI882" s="238" t="e">
        <f t="shared" ref="AI882:AI922" si="241">SUM(AC882:AH882)</f>
        <v>#N/A</v>
      </c>
      <c r="AJ882" s="261">
        <f t="shared" ref="AJ882:AJ922" si="242">P882</f>
        <v>2017</v>
      </c>
      <c r="AK882" s="233" t="e">
        <f t="shared" ref="AK882:AK922" si="243">U882-AI882</f>
        <v>#N/A</v>
      </c>
    </row>
    <row r="883" spans="6:37" s="116" customFormat="1" ht="35.25" hidden="1" customHeight="1" x14ac:dyDescent="0.2">
      <c r="F883" s="218"/>
      <c r="G883" s="73"/>
      <c r="H883" s="67" t="s">
        <v>2546</v>
      </c>
      <c r="I883" s="32" t="s">
        <v>2544</v>
      </c>
      <c r="J883" s="67"/>
      <c r="K883" s="32"/>
      <c r="L883" s="362"/>
      <c r="M883" s="67"/>
      <c r="N883" s="362"/>
      <c r="O883" s="65" t="s">
        <v>2608</v>
      </c>
      <c r="P883" s="32">
        <v>2017</v>
      </c>
      <c r="Q883" s="67"/>
      <c r="R883" s="67"/>
      <c r="S883" s="67"/>
      <c r="T883" s="32" t="s">
        <v>12</v>
      </c>
      <c r="U883" s="252">
        <v>197290000</v>
      </c>
      <c r="V883" s="32"/>
      <c r="W883" s="132"/>
      <c r="X883" s="206" t="str">
        <f t="shared" si="237"/>
        <v>4.14.01</v>
      </c>
      <c r="Y883" s="207" t="e">
        <f t="shared" si="238"/>
        <v>#N/A</v>
      </c>
      <c r="Z883" s="207" t="e">
        <f t="shared" si="239"/>
        <v>#N/A</v>
      </c>
      <c r="AA883" s="233" t="e">
        <f t="shared" si="228"/>
        <v>#N/A</v>
      </c>
      <c r="AB883" s="208"/>
      <c r="AC883" s="233"/>
      <c r="AD883" s="233"/>
      <c r="AE883" s="233"/>
      <c r="AF883" s="233"/>
      <c r="AG883" s="233"/>
      <c r="AH883" s="238" t="e">
        <f t="shared" si="240"/>
        <v>#N/A</v>
      </c>
      <c r="AI883" s="238" t="e">
        <f t="shared" si="241"/>
        <v>#N/A</v>
      </c>
      <c r="AJ883" s="261">
        <f t="shared" si="242"/>
        <v>2017</v>
      </c>
      <c r="AK883" s="233" t="e">
        <f t="shared" si="243"/>
        <v>#N/A</v>
      </c>
    </row>
    <row r="884" spans="6:37" s="116" customFormat="1" ht="35.25" hidden="1" customHeight="1" x14ac:dyDescent="0.2">
      <c r="F884" s="218"/>
      <c r="G884" s="73"/>
      <c r="H884" s="67" t="s">
        <v>2547</v>
      </c>
      <c r="I884" s="32" t="s">
        <v>2544</v>
      </c>
      <c r="J884" s="67"/>
      <c r="K884" s="32"/>
      <c r="L884" s="362"/>
      <c r="M884" s="67"/>
      <c r="N884" s="362"/>
      <c r="O884" s="65" t="s">
        <v>2609</v>
      </c>
      <c r="P884" s="32">
        <v>2017</v>
      </c>
      <c r="Q884" s="67"/>
      <c r="R884" s="67"/>
      <c r="S884" s="67"/>
      <c r="T884" s="32" t="s">
        <v>12</v>
      </c>
      <c r="U884" s="252">
        <v>192452000</v>
      </c>
      <c r="V884" s="32"/>
      <c r="W884" s="132"/>
      <c r="X884" s="206" t="str">
        <f t="shared" si="237"/>
        <v>4.14.01</v>
      </c>
      <c r="Y884" s="207" t="e">
        <f t="shared" si="238"/>
        <v>#N/A</v>
      </c>
      <c r="Z884" s="207" t="e">
        <f t="shared" si="239"/>
        <v>#N/A</v>
      </c>
      <c r="AA884" s="233" t="e">
        <f t="shared" si="228"/>
        <v>#N/A</v>
      </c>
      <c r="AB884" s="208"/>
      <c r="AC884" s="233"/>
      <c r="AD884" s="233"/>
      <c r="AE884" s="233"/>
      <c r="AF884" s="233"/>
      <c r="AG884" s="233"/>
      <c r="AH884" s="238" t="e">
        <f t="shared" si="240"/>
        <v>#N/A</v>
      </c>
      <c r="AI884" s="238" t="e">
        <f t="shared" si="241"/>
        <v>#N/A</v>
      </c>
      <c r="AJ884" s="261">
        <f t="shared" si="242"/>
        <v>2017</v>
      </c>
      <c r="AK884" s="233" t="e">
        <f t="shared" si="243"/>
        <v>#N/A</v>
      </c>
    </row>
    <row r="885" spans="6:37" s="116" customFormat="1" ht="35.25" hidden="1" customHeight="1" x14ac:dyDescent="0.2">
      <c r="F885" s="218"/>
      <c r="G885" s="73"/>
      <c r="H885" s="67" t="s">
        <v>2548</v>
      </c>
      <c r="I885" s="32" t="s">
        <v>2514</v>
      </c>
      <c r="J885" s="67"/>
      <c r="K885" s="32"/>
      <c r="L885" s="362"/>
      <c r="M885" s="67"/>
      <c r="N885" s="362"/>
      <c r="O885" s="65" t="s">
        <v>2610</v>
      </c>
      <c r="P885" s="32">
        <v>2017</v>
      </c>
      <c r="Q885" s="67"/>
      <c r="R885" s="67"/>
      <c r="S885" s="67"/>
      <c r="T885" s="32" t="s">
        <v>12</v>
      </c>
      <c r="U885" s="252">
        <v>199341000</v>
      </c>
      <c r="V885" s="32"/>
      <c r="W885" s="132"/>
      <c r="X885" s="206" t="str">
        <f t="shared" ref="X885:X916" si="244">MID(I885,2,7)</f>
        <v>4.14.02</v>
      </c>
      <c r="Y885" s="207" t="e">
        <f t="shared" si="238"/>
        <v>#N/A</v>
      </c>
      <c r="Z885" s="207" t="e">
        <f t="shared" si="239"/>
        <v>#N/A</v>
      </c>
      <c r="AA885" s="233" t="e">
        <f t="shared" si="228"/>
        <v>#N/A</v>
      </c>
      <c r="AB885" s="208"/>
      <c r="AC885" s="233"/>
      <c r="AD885" s="233"/>
      <c r="AE885" s="233"/>
      <c r="AF885" s="233"/>
      <c r="AG885" s="233"/>
      <c r="AH885" s="238" t="e">
        <f t="shared" si="240"/>
        <v>#N/A</v>
      </c>
      <c r="AI885" s="238" t="e">
        <f t="shared" si="241"/>
        <v>#N/A</v>
      </c>
      <c r="AJ885" s="261">
        <f t="shared" si="242"/>
        <v>2017</v>
      </c>
      <c r="AK885" s="233" t="e">
        <f t="shared" si="243"/>
        <v>#N/A</v>
      </c>
    </row>
    <row r="886" spans="6:37" s="116" customFormat="1" ht="35.25" hidden="1" customHeight="1" x14ac:dyDescent="0.2">
      <c r="F886" s="218"/>
      <c r="G886" s="73"/>
      <c r="H886" s="67" t="s">
        <v>2549</v>
      </c>
      <c r="I886" s="32" t="s">
        <v>2550</v>
      </c>
      <c r="J886" s="67"/>
      <c r="K886" s="32"/>
      <c r="L886" s="362"/>
      <c r="M886" s="67"/>
      <c r="N886" s="362"/>
      <c r="O886" s="65" t="s">
        <v>2611</v>
      </c>
      <c r="P886" s="32">
        <v>2017</v>
      </c>
      <c r="Q886" s="67"/>
      <c r="R886" s="67"/>
      <c r="S886" s="67"/>
      <c r="T886" s="32" t="s">
        <v>12</v>
      </c>
      <c r="U886" s="252">
        <v>199372000</v>
      </c>
      <c r="V886" s="32"/>
      <c r="W886" s="132"/>
      <c r="X886" s="206" t="str">
        <f t="shared" si="244"/>
        <v>4.14.04</v>
      </c>
      <c r="Y886" s="207" t="e">
        <f t="shared" si="238"/>
        <v>#N/A</v>
      </c>
      <c r="Z886" s="207" t="e">
        <f t="shared" si="239"/>
        <v>#N/A</v>
      </c>
      <c r="AA886" s="233" t="e">
        <f t="shared" si="228"/>
        <v>#N/A</v>
      </c>
      <c r="AB886" s="208"/>
      <c r="AC886" s="233"/>
      <c r="AD886" s="233"/>
      <c r="AE886" s="233"/>
      <c r="AF886" s="233"/>
      <c r="AG886" s="233"/>
      <c r="AH886" s="238" t="e">
        <f t="shared" si="240"/>
        <v>#N/A</v>
      </c>
      <c r="AI886" s="238" t="e">
        <f t="shared" si="241"/>
        <v>#N/A</v>
      </c>
      <c r="AJ886" s="261">
        <f t="shared" si="242"/>
        <v>2017</v>
      </c>
      <c r="AK886" s="233" t="e">
        <f t="shared" si="243"/>
        <v>#N/A</v>
      </c>
    </row>
    <row r="887" spans="6:37" s="116" customFormat="1" ht="35.25" customHeight="1" x14ac:dyDescent="0.2">
      <c r="F887" s="218"/>
      <c r="G887" s="73"/>
      <c r="H887" s="67" t="s">
        <v>3343</v>
      </c>
      <c r="I887" s="32" t="s">
        <v>2514</v>
      </c>
      <c r="J887" s="67"/>
      <c r="K887" s="32"/>
      <c r="L887" s="362"/>
      <c r="M887" s="67"/>
      <c r="N887" s="362"/>
      <c r="O887" s="65" t="s">
        <v>2610</v>
      </c>
      <c r="P887" s="32">
        <v>2018</v>
      </c>
      <c r="Q887" s="67"/>
      <c r="R887" s="67"/>
      <c r="S887" s="67"/>
      <c r="T887" s="32" t="s">
        <v>12</v>
      </c>
      <c r="U887" s="252">
        <v>306438000</v>
      </c>
      <c r="V887" s="32"/>
      <c r="W887" s="132"/>
      <c r="X887" s="206" t="str">
        <f t="shared" si="244"/>
        <v>4.14.02</v>
      </c>
      <c r="Y887" s="207" t="e">
        <f t="shared" si="238"/>
        <v>#N/A</v>
      </c>
      <c r="Z887" s="207" t="e">
        <f t="shared" si="239"/>
        <v>#N/A</v>
      </c>
      <c r="AA887" s="233"/>
      <c r="AB887" s="208"/>
      <c r="AC887" s="233"/>
      <c r="AD887" s="233"/>
      <c r="AE887" s="233"/>
      <c r="AF887" s="233"/>
      <c r="AG887" s="233"/>
      <c r="AH887" s="238">
        <f t="shared" si="240"/>
        <v>0</v>
      </c>
      <c r="AI887" s="238">
        <f t="shared" si="241"/>
        <v>0</v>
      </c>
      <c r="AJ887" s="261">
        <f t="shared" si="242"/>
        <v>2018</v>
      </c>
      <c r="AK887" s="233">
        <f t="shared" si="243"/>
        <v>306438000</v>
      </c>
    </row>
    <row r="888" spans="6:37" s="116" customFormat="1" ht="35.25" customHeight="1" x14ac:dyDescent="0.2">
      <c r="F888" s="218"/>
      <c r="G888" s="73"/>
      <c r="H888" s="67" t="s">
        <v>3344</v>
      </c>
      <c r="I888" s="32" t="s">
        <v>2514</v>
      </c>
      <c r="J888" s="67"/>
      <c r="K888" s="32"/>
      <c r="L888" s="362"/>
      <c r="M888" s="67"/>
      <c r="N888" s="362"/>
      <c r="O888" s="65" t="s">
        <v>2864</v>
      </c>
      <c r="P888" s="32">
        <v>2018</v>
      </c>
      <c r="Q888" s="67"/>
      <c r="R888" s="67"/>
      <c r="S888" s="67"/>
      <c r="T888" s="32" t="s">
        <v>12</v>
      </c>
      <c r="U888" s="252">
        <v>195017900</v>
      </c>
      <c r="V888" s="32"/>
      <c r="W888" s="132"/>
      <c r="X888" s="206" t="str">
        <f t="shared" si="244"/>
        <v>4.14.02</v>
      </c>
      <c r="Y888" s="207" t="e">
        <f t="shared" si="238"/>
        <v>#N/A</v>
      </c>
      <c r="Z888" s="207" t="e">
        <f t="shared" si="239"/>
        <v>#N/A</v>
      </c>
      <c r="AA888" s="233"/>
      <c r="AB888" s="208"/>
      <c r="AC888" s="233"/>
      <c r="AD888" s="233"/>
      <c r="AE888" s="233"/>
      <c r="AF888" s="233"/>
      <c r="AG888" s="233"/>
      <c r="AH888" s="238">
        <f t="shared" si="240"/>
        <v>0</v>
      </c>
      <c r="AI888" s="238">
        <f t="shared" si="241"/>
        <v>0</v>
      </c>
      <c r="AJ888" s="261">
        <f t="shared" si="242"/>
        <v>2018</v>
      </c>
      <c r="AK888" s="233">
        <f t="shared" si="243"/>
        <v>195017900</v>
      </c>
    </row>
    <row r="889" spans="6:37" s="116" customFormat="1" ht="35.25" customHeight="1" x14ac:dyDescent="0.2">
      <c r="F889" s="218"/>
      <c r="G889" s="73"/>
      <c r="H889" s="67" t="s">
        <v>3345</v>
      </c>
      <c r="I889" s="32" t="s">
        <v>2514</v>
      </c>
      <c r="J889" s="67"/>
      <c r="K889" s="32"/>
      <c r="L889" s="362"/>
      <c r="M889" s="67"/>
      <c r="N889" s="362"/>
      <c r="O889" s="65" t="s">
        <v>3487</v>
      </c>
      <c r="P889" s="32">
        <v>2018</v>
      </c>
      <c r="Q889" s="67"/>
      <c r="R889" s="67"/>
      <c r="S889" s="67"/>
      <c r="T889" s="32" t="s">
        <v>12</v>
      </c>
      <c r="U889" s="252">
        <v>194877555</v>
      </c>
      <c r="V889" s="32"/>
      <c r="W889" s="132"/>
      <c r="X889" s="206" t="str">
        <f t="shared" si="244"/>
        <v>4.14.02</v>
      </c>
      <c r="Y889" s="207" t="e">
        <f t="shared" si="238"/>
        <v>#N/A</v>
      </c>
      <c r="Z889" s="207" t="e">
        <f t="shared" si="239"/>
        <v>#N/A</v>
      </c>
      <c r="AA889" s="233"/>
      <c r="AB889" s="208"/>
      <c r="AC889" s="233"/>
      <c r="AD889" s="233"/>
      <c r="AE889" s="233"/>
      <c r="AF889" s="233"/>
      <c r="AG889" s="233"/>
      <c r="AH889" s="238">
        <f t="shared" si="240"/>
        <v>0</v>
      </c>
      <c r="AI889" s="238">
        <f t="shared" si="241"/>
        <v>0</v>
      </c>
      <c r="AJ889" s="261">
        <f t="shared" si="242"/>
        <v>2018</v>
      </c>
      <c r="AK889" s="233">
        <f t="shared" si="243"/>
        <v>194877555</v>
      </c>
    </row>
    <row r="890" spans="6:37" s="116" customFormat="1" ht="35.25" customHeight="1" x14ac:dyDescent="0.2">
      <c r="F890" s="218"/>
      <c r="G890" s="73"/>
      <c r="H890" s="67" t="s">
        <v>3346</v>
      </c>
      <c r="I890" s="32" t="s">
        <v>2514</v>
      </c>
      <c r="J890" s="67"/>
      <c r="K890" s="32"/>
      <c r="L890" s="362"/>
      <c r="M890" s="67"/>
      <c r="N890" s="362"/>
      <c r="O890" s="65" t="s">
        <v>3488</v>
      </c>
      <c r="P890" s="32">
        <v>2018</v>
      </c>
      <c r="Q890" s="67"/>
      <c r="R890" s="67"/>
      <c r="S890" s="67"/>
      <c r="T890" s="32" t="s">
        <v>12</v>
      </c>
      <c r="U890" s="252">
        <v>196750000</v>
      </c>
      <c r="V890" s="32"/>
      <c r="W890" s="132"/>
      <c r="X890" s="206" t="str">
        <f t="shared" si="244"/>
        <v>4.14.02</v>
      </c>
      <c r="Y890" s="207" t="e">
        <f t="shared" si="238"/>
        <v>#N/A</v>
      </c>
      <c r="Z890" s="207" t="e">
        <f t="shared" si="239"/>
        <v>#N/A</v>
      </c>
      <c r="AA890" s="233"/>
      <c r="AB890" s="208"/>
      <c r="AC890" s="233"/>
      <c r="AD890" s="233"/>
      <c r="AE890" s="233"/>
      <c r="AF890" s="233"/>
      <c r="AG890" s="233"/>
      <c r="AH890" s="238">
        <f t="shared" si="240"/>
        <v>0</v>
      </c>
      <c r="AI890" s="238">
        <f t="shared" si="241"/>
        <v>0</v>
      </c>
      <c r="AJ890" s="261">
        <f t="shared" si="242"/>
        <v>2018</v>
      </c>
      <c r="AK890" s="233">
        <f t="shared" si="243"/>
        <v>196750000</v>
      </c>
    </row>
    <row r="891" spans="6:37" s="116" customFormat="1" ht="35.25" customHeight="1" x14ac:dyDescent="0.2">
      <c r="F891" s="218"/>
      <c r="G891" s="73"/>
      <c r="H891" s="67" t="s">
        <v>3347</v>
      </c>
      <c r="I891" s="32" t="s">
        <v>2514</v>
      </c>
      <c r="J891" s="67"/>
      <c r="K891" s="32"/>
      <c r="L891" s="362"/>
      <c r="M891" s="67"/>
      <c r="N891" s="362"/>
      <c r="O891" s="65" t="s">
        <v>3489</v>
      </c>
      <c r="P891" s="32">
        <v>2018</v>
      </c>
      <c r="Q891" s="67"/>
      <c r="R891" s="67"/>
      <c r="S891" s="67"/>
      <c r="T891" s="32" t="s">
        <v>12</v>
      </c>
      <c r="U891" s="252">
        <v>197460000</v>
      </c>
      <c r="V891" s="32"/>
      <c r="W891" s="132"/>
      <c r="X891" s="206" t="str">
        <f t="shared" si="244"/>
        <v>4.14.02</v>
      </c>
      <c r="Y891" s="207" t="e">
        <f t="shared" si="238"/>
        <v>#N/A</v>
      </c>
      <c r="Z891" s="207" t="e">
        <f t="shared" si="239"/>
        <v>#N/A</v>
      </c>
      <c r="AA891" s="233"/>
      <c r="AB891" s="208"/>
      <c r="AC891" s="233"/>
      <c r="AD891" s="233"/>
      <c r="AE891" s="233"/>
      <c r="AF891" s="233"/>
      <c r="AG891" s="233"/>
      <c r="AH891" s="238">
        <f t="shared" si="240"/>
        <v>0</v>
      </c>
      <c r="AI891" s="238">
        <f t="shared" si="241"/>
        <v>0</v>
      </c>
      <c r="AJ891" s="261">
        <f t="shared" si="242"/>
        <v>2018</v>
      </c>
      <c r="AK891" s="233">
        <f t="shared" si="243"/>
        <v>197460000</v>
      </c>
    </row>
    <row r="892" spans="6:37" s="116" customFormat="1" ht="35.25" customHeight="1" x14ac:dyDescent="0.2">
      <c r="F892" s="218"/>
      <c r="G892" s="73"/>
      <c r="H892" s="67" t="s">
        <v>3348</v>
      </c>
      <c r="I892" s="32" t="s">
        <v>2551</v>
      </c>
      <c r="J892" s="67"/>
      <c r="K892" s="32"/>
      <c r="L892" s="362"/>
      <c r="M892" s="67"/>
      <c r="N892" s="362"/>
      <c r="O892" s="65" t="s">
        <v>3490</v>
      </c>
      <c r="P892" s="32">
        <v>2018</v>
      </c>
      <c r="Q892" s="67"/>
      <c r="R892" s="67"/>
      <c r="S892" s="67"/>
      <c r="T892" s="32" t="s">
        <v>12</v>
      </c>
      <c r="U892" s="252">
        <v>197590000</v>
      </c>
      <c r="V892" s="32"/>
      <c r="W892" s="132"/>
      <c r="X892" s="206" t="str">
        <f t="shared" si="244"/>
        <v>4.14.04</v>
      </c>
      <c r="Y892" s="207" t="e">
        <f t="shared" si="238"/>
        <v>#N/A</v>
      </c>
      <c r="Z892" s="207" t="e">
        <f t="shared" si="239"/>
        <v>#N/A</v>
      </c>
      <c r="AA892" s="233"/>
      <c r="AB892" s="208"/>
      <c r="AC892" s="233"/>
      <c r="AD892" s="233"/>
      <c r="AE892" s="233"/>
      <c r="AF892" s="233"/>
      <c r="AG892" s="233"/>
      <c r="AH892" s="238">
        <f t="shared" si="240"/>
        <v>0</v>
      </c>
      <c r="AI892" s="238">
        <f t="shared" si="241"/>
        <v>0</v>
      </c>
      <c r="AJ892" s="261">
        <f t="shared" si="242"/>
        <v>2018</v>
      </c>
      <c r="AK892" s="233">
        <f t="shared" si="243"/>
        <v>197590000</v>
      </c>
    </row>
    <row r="893" spans="6:37" s="116" customFormat="1" ht="35.25" customHeight="1" x14ac:dyDescent="0.2">
      <c r="F893" s="218"/>
      <c r="G893" s="73"/>
      <c r="H893" s="67" t="s">
        <v>3349</v>
      </c>
      <c r="I893" s="32" t="s">
        <v>2551</v>
      </c>
      <c r="J893" s="67"/>
      <c r="K893" s="32"/>
      <c r="L893" s="362"/>
      <c r="M893" s="67"/>
      <c r="N893" s="362"/>
      <c r="O893" s="65" t="s">
        <v>3491</v>
      </c>
      <c r="P893" s="32">
        <v>2018</v>
      </c>
      <c r="Q893" s="67"/>
      <c r="R893" s="67"/>
      <c r="S893" s="67"/>
      <c r="T893" s="32" t="s">
        <v>12</v>
      </c>
      <c r="U893" s="252">
        <v>197585000</v>
      </c>
      <c r="V893" s="32"/>
      <c r="W893" s="132"/>
      <c r="X893" s="206" t="str">
        <f t="shared" si="244"/>
        <v>4.14.04</v>
      </c>
      <c r="Y893" s="207" t="e">
        <f t="shared" si="238"/>
        <v>#N/A</v>
      </c>
      <c r="Z893" s="207" t="e">
        <f t="shared" si="239"/>
        <v>#N/A</v>
      </c>
      <c r="AA893" s="233"/>
      <c r="AB893" s="208"/>
      <c r="AC893" s="233"/>
      <c r="AD893" s="233"/>
      <c r="AE893" s="233"/>
      <c r="AF893" s="233"/>
      <c r="AG893" s="233"/>
      <c r="AH893" s="238">
        <f t="shared" si="240"/>
        <v>0</v>
      </c>
      <c r="AI893" s="238">
        <f t="shared" si="241"/>
        <v>0</v>
      </c>
      <c r="AJ893" s="261">
        <f t="shared" si="242"/>
        <v>2018</v>
      </c>
      <c r="AK893" s="233">
        <f t="shared" si="243"/>
        <v>197585000</v>
      </c>
    </row>
    <row r="894" spans="6:37" s="116" customFormat="1" ht="35.25" customHeight="1" x14ac:dyDescent="0.2">
      <c r="F894" s="218"/>
      <c r="G894" s="73"/>
      <c r="H894" s="67" t="s">
        <v>3350</v>
      </c>
      <c r="I894" s="32" t="s">
        <v>2551</v>
      </c>
      <c r="J894" s="67"/>
      <c r="K894" s="32"/>
      <c r="L894" s="362"/>
      <c r="M894" s="67"/>
      <c r="N894" s="362"/>
      <c r="O894" s="65" t="s">
        <v>3492</v>
      </c>
      <c r="P894" s="32">
        <v>2018</v>
      </c>
      <c r="Q894" s="67"/>
      <c r="R894" s="67"/>
      <c r="S894" s="67"/>
      <c r="T894" s="32" t="s">
        <v>12</v>
      </c>
      <c r="U894" s="252">
        <v>197620000</v>
      </c>
      <c r="V894" s="32"/>
      <c r="W894" s="132"/>
      <c r="X894" s="206" t="str">
        <f t="shared" si="244"/>
        <v>4.14.04</v>
      </c>
      <c r="Y894" s="207" t="e">
        <f t="shared" si="238"/>
        <v>#N/A</v>
      </c>
      <c r="Z894" s="207" t="e">
        <f t="shared" si="239"/>
        <v>#N/A</v>
      </c>
      <c r="AA894" s="233"/>
      <c r="AB894" s="208"/>
      <c r="AC894" s="233"/>
      <c r="AD894" s="233"/>
      <c r="AE894" s="233"/>
      <c r="AF894" s="233"/>
      <c r="AG894" s="233"/>
      <c r="AH894" s="238">
        <f t="shared" si="240"/>
        <v>0</v>
      </c>
      <c r="AI894" s="238">
        <f t="shared" si="241"/>
        <v>0</v>
      </c>
      <c r="AJ894" s="261">
        <f t="shared" si="242"/>
        <v>2018</v>
      </c>
      <c r="AK894" s="233">
        <f t="shared" si="243"/>
        <v>197620000</v>
      </c>
    </row>
    <row r="895" spans="6:37" s="116" customFormat="1" ht="35.25" customHeight="1" x14ac:dyDescent="0.2">
      <c r="F895" s="218"/>
      <c r="G895" s="73"/>
      <c r="H895" s="67" t="s">
        <v>3351</v>
      </c>
      <c r="I895" s="32" t="s">
        <v>2551</v>
      </c>
      <c r="J895" s="67"/>
      <c r="K895" s="32"/>
      <c r="L895" s="362"/>
      <c r="M895" s="67"/>
      <c r="N895" s="362"/>
      <c r="O895" s="65" t="s">
        <v>3454</v>
      </c>
      <c r="P895" s="32">
        <v>2018</v>
      </c>
      <c r="Q895" s="67"/>
      <c r="R895" s="67"/>
      <c r="S895" s="67"/>
      <c r="T895" s="32" t="s">
        <v>12</v>
      </c>
      <c r="U895" s="252">
        <v>197600000</v>
      </c>
      <c r="V895" s="32"/>
      <c r="W895" s="132"/>
      <c r="X895" s="206" t="str">
        <f t="shared" si="244"/>
        <v>4.14.04</v>
      </c>
      <c r="Y895" s="207" t="e">
        <f t="shared" si="238"/>
        <v>#N/A</v>
      </c>
      <c r="Z895" s="207" t="e">
        <f t="shared" si="239"/>
        <v>#N/A</v>
      </c>
      <c r="AA895" s="233"/>
      <c r="AB895" s="208"/>
      <c r="AC895" s="233"/>
      <c r="AD895" s="233"/>
      <c r="AE895" s="233"/>
      <c r="AF895" s="233"/>
      <c r="AG895" s="233"/>
      <c r="AH895" s="238">
        <f t="shared" si="240"/>
        <v>0</v>
      </c>
      <c r="AI895" s="238">
        <f t="shared" si="241"/>
        <v>0</v>
      </c>
      <c r="AJ895" s="261">
        <f t="shared" si="242"/>
        <v>2018</v>
      </c>
      <c r="AK895" s="233">
        <f t="shared" si="243"/>
        <v>197600000</v>
      </c>
    </row>
    <row r="896" spans="6:37" s="116" customFormat="1" ht="35.25" customHeight="1" x14ac:dyDescent="0.2">
      <c r="F896" s="218"/>
      <c r="G896" s="73"/>
      <c r="H896" s="67" t="s">
        <v>3352</v>
      </c>
      <c r="I896" s="32" t="s">
        <v>2551</v>
      </c>
      <c r="J896" s="67"/>
      <c r="K896" s="32"/>
      <c r="L896" s="362"/>
      <c r="M896" s="67"/>
      <c r="N896" s="362"/>
      <c r="O896" s="65" t="s">
        <v>3493</v>
      </c>
      <c r="P896" s="32">
        <v>2018</v>
      </c>
      <c r="Q896" s="67"/>
      <c r="R896" s="67"/>
      <c r="S896" s="67"/>
      <c r="T896" s="32" t="s">
        <v>12</v>
      </c>
      <c r="U896" s="252">
        <v>197150000</v>
      </c>
      <c r="V896" s="32"/>
      <c r="W896" s="132"/>
      <c r="X896" s="206" t="str">
        <f t="shared" si="244"/>
        <v>4.14.04</v>
      </c>
      <c r="Y896" s="207" t="e">
        <f t="shared" si="238"/>
        <v>#N/A</v>
      </c>
      <c r="Z896" s="207" t="e">
        <f t="shared" si="239"/>
        <v>#N/A</v>
      </c>
      <c r="AA896" s="233"/>
      <c r="AB896" s="208"/>
      <c r="AC896" s="233"/>
      <c r="AD896" s="233"/>
      <c r="AE896" s="233"/>
      <c r="AF896" s="233"/>
      <c r="AG896" s="233"/>
      <c r="AH896" s="238">
        <f t="shared" si="240"/>
        <v>0</v>
      </c>
      <c r="AI896" s="238">
        <f t="shared" si="241"/>
        <v>0</v>
      </c>
      <c r="AJ896" s="261">
        <f t="shared" si="242"/>
        <v>2018</v>
      </c>
      <c r="AK896" s="233">
        <f t="shared" si="243"/>
        <v>197150000</v>
      </c>
    </row>
    <row r="897" spans="6:37" s="116" customFormat="1" ht="35.25" customHeight="1" x14ac:dyDescent="0.2">
      <c r="F897" s="218"/>
      <c r="G897" s="73"/>
      <c r="H897" s="67" t="s">
        <v>3353</v>
      </c>
      <c r="I897" s="32" t="s">
        <v>2525</v>
      </c>
      <c r="J897" s="67"/>
      <c r="K897" s="32"/>
      <c r="L897" s="362"/>
      <c r="M897" s="67"/>
      <c r="N897" s="362"/>
      <c r="O897" s="65" t="s">
        <v>3494</v>
      </c>
      <c r="P897" s="32">
        <v>2018</v>
      </c>
      <c r="Q897" s="67"/>
      <c r="R897" s="67"/>
      <c r="S897" s="67"/>
      <c r="T897" s="32" t="s">
        <v>12</v>
      </c>
      <c r="U897" s="252">
        <v>1765249000</v>
      </c>
      <c r="V897" s="32"/>
      <c r="W897" s="132"/>
      <c r="X897" s="206" t="str">
        <f t="shared" si="244"/>
        <v>4.14.04</v>
      </c>
      <c r="Y897" s="207" t="e">
        <f t="shared" si="238"/>
        <v>#N/A</v>
      </c>
      <c r="Z897" s="207" t="e">
        <f t="shared" si="239"/>
        <v>#N/A</v>
      </c>
      <c r="AA897" s="233"/>
      <c r="AB897" s="208"/>
      <c r="AC897" s="233"/>
      <c r="AD897" s="233"/>
      <c r="AE897" s="233"/>
      <c r="AF897" s="233"/>
      <c r="AG897" s="233"/>
      <c r="AH897" s="238">
        <f t="shared" si="240"/>
        <v>0</v>
      </c>
      <c r="AI897" s="238">
        <f t="shared" si="241"/>
        <v>0</v>
      </c>
      <c r="AJ897" s="261">
        <f t="shared" si="242"/>
        <v>2018</v>
      </c>
      <c r="AK897" s="233">
        <f t="shared" si="243"/>
        <v>1765249000</v>
      </c>
    </row>
    <row r="898" spans="6:37" s="116" customFormat="1" ht="35.25" customHeight="1" x14ac:dyDescent="0.2">
      <c r="F898" s="218"/>
      <c r="G898" s="73"/>
      <c r="H898" s="67" t="s">
        <v>3354</v>
      </c>
      <c r="I898" s="32" t="s">
        <v>2525</v>
      </c>
      <c r="J898" s="67"/>
      <c r="K898" s="32"/>
      <c r="L898" s="362"/>
      <c r="M898" s="67"/>
      <c r="N898" s="362"/>
      <c r="O898" s="65" t="s">
        <v>3495</v>
      </c>
      <c r="P898" s="32">
        <v>2018</v>
      </c>
      <c r="Q898" s="67"/>
      <c r="R898" s="67"/>
      <c r="S898" s="67"/>
      <c r="T898" s="32" t="s">
        <v>12</v>
      </c>
      <c r="U898" s="252">
        <v>1906019000</v>
      </c>
      <c r="V898" s="32"/>
      <c r="W898" s="132"/>
      <c r="X898" s="206" t="str">
        <f t="shared" si="244"/>
        <v>4.14.04</v>
      </c>
      <c r="Y898" s="207" t="e">
        <f t="shared" si="238"/>
        <v>#N/A</v>
      </c>
      <c r="Z898" s="207" t="e">
        <f t="shared" si="239"/>
        <v>#N/A</v>
      </c>
      <c r="AA898" s="233"/>
      <c r="AB898" s="208"/>
      <c r="AC898" s="233"/>
      <c r="AD898" s="233"/>
      <c r="AE898" s="233"/>
      <c r="AF898" s="233"/>
      <c r="AG898" s="233"/>
      <c r="AH898" s="238">
        <f t="shared" si="240"/>
        <v>0</v>
      </c>
      <c r="AI898" s="238">
        <f t="shared" si="241"/>
        <v>0</v>
      </c>
      <c r="AJ898" s="261">
        <f t="shared" si="242"/>
        <v>2018</v>
      </c>
      <c r="AK898" s="233">
        <f t="shared" si="243"/>
        <v>1906019000</v>
      </c>
    </row>
    <row r="899" spans="6:37" s="116" customFormat="1" ht="35.25" customHeight="1" x14ac:dyDescent="0.2">
      <c r="F899" s="218"/>
      <c r="G899" s="73"/>
      <c r="H899" s="67" t="s">
        <v>3355</v>
      </c>
      <c r="I899" s="32" t="s">
        <v>2525</v>
      </c>
      <c r="J899" s="67"/>
      <c r="K899" s="32"/>
      <c r="L899" s="362"/>
      <c r="M899" s="67"/>
      <c r="N899" s="362"/>
      <c r="O899" s="65" t="s">
        <v>3496</v>
      </c>
      <c r="P899" s="32">
        <v>2018</v>
      </c>
      <c r="Q899" s="67"/>
      <c r="R899" s="67"/>
      <c r="S899" s="67"/>
      <c r="T899" s="32" t="s">
        <v>12</v>
      </c>
      <c r="U899" s="252">
        <v>1667398225</v>
      </c>
      <c r="V899" s="32"/>
      <c r="W899" s="132"/>
      <c r="X899" s="206" t="str">
        <f t="shared" si="244"/>
        <v>4.14.04</v>
      </c>
      <c r="Y899" s="207" t="e">
        <f t="shared" si="238"/>
        <v>#N/A</v>
      </c>
      <c r="Z899" s="207" t="e">
        <f t="shared" si="239"/>
        <v>#N/A</v>
      </c>
      <c r="AA899" s="233"/>
      <c r="AB899" s="208"/>
      <c r="AC899" s="233"/>
      <c r="AD899" s="233"/>
      <c r="AE899" s="233"/>
      <c r="AF899" s="233"/>
      <c r="AG899" s="233"/>
      <c r="AH899" s="238">
        <f t="shared" si="240"/>
        <v>0</v>
      </c>
      <c r="AI899" s="238">
        <f t="shared" si="241"/>
        <v>0</v>
      </c>
      <c r="AJ899" s="261">
        <f t="shared" si="242"/>
        <v>2018</v>
      </c>
      <c r="AK899" s="233">
        <f t="shared" si="243"/>
        <v>1667398225</v>
      </c>
    </row>
    <row r="900" spans="6:37" s="116" customFormat="1" ht="35.25" customHeight="1" x14ac:dyDescent="0.2">
      <c r="F900" s="218"/>
      <c r="G900" s="73"/>
      <c r="H900" s="67" t="s">
        <v>3356</v>
      </c>
      <c r="I900" s="32" t="s">
        <v>2525</v>
      </c>
      <c r="J900" s="67"/>
      <c r="K900" s="32"/>
      <c r="L900" s="362"/>
      <c r="M900" s="67"/>
      <c r="N900" s="362"/>
      <c r="O900" s="65" t="s">
        <v>2566</v>
      </c>
      <c r="P900" s="32">
        <v>2018</v>
      </c>
      <c r="Q900" s="67"/>
      <c r="R900" s="67"/>
      <c r="S900" s="67"/>
      <c r="T900" s="32" t="s">
        <v>12</v>
      </c>
      <c r="U900" s="252">
        <v>197475000</v>
      </c>
      <c r="V900" s="32"/>
      <c r="W900" s="132"/>
      <c r="X900" s="206" t="str">
        <f t="shared" si="244"/>
        <v>4.14.04</v>
      </c>
      <c r="Y900" s="207" t="e">
        <f t="shared" si="238"/>
        <v>#N/A</v>
      </c>
      <c r="Z900" s="207" t="e">
        <f t="shared" si="239"/>
        <v>#N/A</v>
      </c>
      <c r="AA900" s="233"/>
      <c r="AB900" s="208"/>
      <c r="AC900" s="233"/>
      <c r="AD900" s="233"/>
      <c r="AE900" s="233"/>
      <c r="AF900" s="233"/>
      <c r="AG900" s="233"/>
      <c r="AH900" s="238">
        <f t="shared" si="240"/>
        <v>0</v>
      </c>
      <c r="AI900" s="238">
        <f t="shared" si="241"/>
        <v>0</v>
      </c>
      <c r="AJ900" s="261">
        <f t="shared" si="242"/>
        <v>2018</v>
      </c>
      <c r="AK900" s="233">
        <f t="shared" si="243"/>
        <v>197475000</v>
      </c>
    </row>
    <row r="901" spans="6:37" s="116" customFormat="1" ht="35.25" customHeight="1" x14ac:dyDescent="0.2">
      <c r="F901" s="218"/>
      <c r="G901" s="73"/>
      <c r="H901" s="67" t="s">
        <v>3357</v>
      </c>
      <c r="I901" s="32" t="s">
        <v>2525</v>
      </c>
      <c r="J901" s="67"/>
      <c r="K901" s="32"/>
      <c r="L901" s="362"/>
      <c r="M901" s="67"/>
      <c r="N901" s="362"/>
      <c r="O901" s="65" t="s">
        <v>3497</v>
      </c>
      <c r="P901" s="32">
        <v>2018</v>
      </c>
      <c r="Q901" s="67"/>
      <c r="R901" s="67"/>
      <c r="S901" s="67"/>
      <c r="T901" s="32" t="s">
        <v>12</v>
      </c>
      <c r="U901" s="252">
        <v>197500000</v>
      </c>
      <c r="V901" s="32"/>
      <c r="W901" s="132"/>
      <c r="X901" s="206" t="str">
        <f t="shared" si="244"/>
        <v>4.14.04</v>
      </c>
      <c r="Y901" s="207" t="e">
        <f t="shared" si="238"/>
        <v>#N/A</v>
      </c>
      <c r="Z901" s="207" t="e">
        <f t="shared" si="239"/>
        <v>#N/A</v>
      </c>
      <c r="AA901" s="233"/>
      <c r="AB901" s="208"/>
      <c r="AC901" s="233"/>
      <c r="AD901" s="233"/>
      <c r="AE901" s="233"/>
      <c r="AF901" s="233"/>
      <c r="AG901" s="233"/>
      <c r="AH901" s="238">
        <f t="shared" si="240"/>
        <v>0</v>
      </c>
      <c r="AI901" s="238">
        <f t="shared" si="241"/>
        <v>0</v>
      </c>
      <c r="AJ901" s="261">
        <f t="shared" si="242"/>
        <v>2018</v>
      </c>
      <c r="AK901" s="233">
        <f t="shared" si="243"/>
        <v>197500000</v>
      </c>
    </row>
    <row r="902" spans="6:37" s="116" customFormat="1" ht="35.25" customHeight="1" x14ac:dyDescent="0.2">
      <c r="F902" s="218"/>
      <c r="G902" s="73"/>
      <c r="H902" s="67" t="s">
        <v>3358</v>
      </c>
      <c r="I902" s="32" t="s">
        <v>2525</v>
      </c>
      <c r="J902" s="67"/>
      <c r="K902" s="32"/>
      <c r="L902" s="362"/>
      <c r="M902" s="67"/>
      <c r="N902" s="362"/>
      <c r="O902" s="65" t="s">
        <v>3498</v>
      </c>
      <c r="P902" s="32">
        <v>2018</v>
      </c>
      <c r="Q902" s="67"/>
      <c r="R902" s="67"/>
      <c r="S902" s="67"/>
      <c r="T902" s="32" t="s">
        <v>12</v>
      </c>
      <c r="U902" s="252">
        <v>197525000</v>
      </c>
      <c r="V902" s="32"/>
      <c r="W902" s="132"/>
      <c r="X902" s="206" t="str">
        <f t="shared" si="244"/>
        <v>4.14.04</v>
      </c>
      <c r="Y902" s="207" t="e">
        <f t="shared" si="238"/>
        <v>#N/A</v>
      </c>
      <c r="Z902" s="207" t="e">
        <f t="shared" si="239"/>
        <v>#N/A</v>
      </c>
      <c r="AA902" s="233"/>
      <c r="AB902" s="208"/>
      <c r="AC902" s="233"/>
      <c r="AD902" s="233"/>
      <c r="AE902" s="233"/>
      <c r="AF902" s="233"/>
      <c r="AG902" s="233"/>
      <c r="AH902" s="238">
        <f t="shared" si="240"/>
        <v>0</v>
      </c>
      <c r="AI902" s="238">
        <f t="shared" si="241"/>
        <v>0</v>
      </c>
      <c r="AJ902" s="261">
        <f t="shared" si="242"/>
        <v>2018</v>
      </c>
      <c r="AK902" s="233">
        <f t="shared" si="243"/>
        <v>197525000</v>
      </c>
    </row>
    <row r="903" spans="6:37" s="116" customFormat="1" ht="35.25" customHeight="1" x14ac:dyDescent="0.2">
      <c r="F903" s="218"/>
      <c r="G903" s="73"/>
      <c r="H903" s="67" t="s">
        <v>3359</v>
      </c>
      <c r="I903" s="32" t="s">
        <v>2525</v>
      </c>
      <c r="J903" s="67"/>
      <c r="K903" s="32"/>
      <c r="L903" s="362"/>
      <c r="M903" s="67"/>
      <c r="N903" s="362"/>
      <c r="O903" s="65" t="s">
        <v>3499</v>
      </c>
      <c r="P903" s="32">
        <v>2018</v>
      </c>
      <c r="Q903" s="67"/>
      <c r="R903" s="67"/>
      <c r="S903" s="67"/>
      <c r="T903" s="32" t="s">
        <v>12</v>
      </c>
      <c r="U903" s="252">
        <v>197450000</v>
      </c>
      <c r="V903" s="32"/>
      <c r="W903" s="132"/>
      <c r="X903" s="206" t="str">
        <f t="shared" si="244"/>
        <v>4.14.04</v>
      </c>
      <c r="Y903" s="207" t="e">
        <f t="shared" si="238"/>
        <v>#N/A</v>
      </c>
      <c r="Z903" s="207" t="e">
        <f t="shared" si="239"/>
        <v>#N/A</v>
      </c>
      <c r="AA903" s="233"/>
      <c r="AB903" s="208"/>
      <c r="AC903" s="233"/>
      <c r="AD903" s="233"/>
      <c r="AE903" s="233"/>
      <c r="AF903" s="233"/>
      <c r="AG903" s="233"/>
      <c r="AH903" s="238">
        <f t="shared" si="240"/>
        <v>0</v>
      </c>
      <c r="AI903" s="238">
        <f t="shared" si="241"/>
        <v>0</v>
      </c>
      <c r="AJ903" s="261">
        <f t="shared" si="242"/>
        <v>2018</v>
      </c>
      <c r="AK903" s="233">
        <f t="shared" si="243"/>
        <v>197450000</v>
      </c>
    </row>
    <row r="904" spans="6:37" s="116" customFormat="1" ht="35.25" customHeight="1" x14ac:dyDescent="0.2">
      <c r="F904" s="218"/>
      <c r="G904" s="73"/>
      <c r="H904" s="67" t="s">
        <v>3360</v>
      </c>
      <c r="I904" s="32" t="s">
        <v>2525</v>
      </c>
      <c r="J904" s="67"/>
      <c r="K904" s="32"/>
      <c r="L904" s="362"/>
      <c r="M904" s="67"/>
      <c r="N904" s="362"/>
      <c r="O904" s="65" t="s">
        <v>3500</v>
      </c>
      <c r="P904" s="32">
        <v>2018</v>
      </c>
      <c r="Q904" s="67"/>
      <c r="R904" s="67"/>
      <c r="S904" s="67"/>
      <c r="T904" s="32" t="s">
        <v>12</v>
      </c>
      <c r="U904" s="252">
        <v>197620000</v>
      </c>
      <c r="V904" s="32"/>
      <c r="W904" s="132"/>
      <c r="X904" s="206" t="str">
        <f t="shared" si="244"/>
        <v>4.14.04</v>
      </c>
      <c r="Y904" s="207" t="e">
        <f t="shared" si="238"/>
        <v>#N/A</v>
      </c>
      <c r="Z904" s="207" t="e">
        <f t="shared" si="239"/>
        <v>#N/A</v>
      </c>
      <c r="AA904" s="233"/>
      <c r="AB904" s="208"/>
      <c r="AC904" s="233"/>
      <c r="AD904" s="233"/>
      <c r="AE904" s="233"/>
      <c r="AF904" s="233"/>
      <c r="AG904" s="233"/>
      <c r="AH904" s="238">
        <f t="shared" si="240"/>
        <v>0</v>
      </c>
      <c r="AI904" s="238">
        <f t="shared" si="241"/>
        <v>0</v>
      </c>
      <c r="AJ904" s="261">
        <f t="shared" si="242"/>
        <v>2018</v>
      </c>
      <c r="AK904" s="233">
        <f t="shared" si="243"/>
        <v>197620000</v>
      </c>
    </row>
    <row r="905" spans="6:37" s="116" customFormat="1" ht="35.25" customHeight="1" x14ac:dyDescent="0.2">
      <c r="F905" s="218"/>
      <c r="G905" s="73"/>
      <c r="H905" s="67" t="s">
        <v>3361</v>
      </c>
      <c r="I905" s="32" t="s">
        <v>2525</v>
      </c>
      <c r="J905" s="67"/>
      <c r="K905" s="32"/>
      <c r="L905" s="362"/>
      <c r="M905" s="67"/>
      <c r="N905" s="362"/>
      <c r="O905" s="65" t="s">
        <v>3501</v>
      </c>
      <c r="P905" s="32">
        <v>2018</v>
      </c>
      <c r="Q905" s="67"/>
      <c r="R905" s="67"/>
      <c r="S905" s="67"/>
      <c r="T905" s="32" t="s">
        <v>12</v>
      </c>
      <c r="U905" s="252">
        <v>197450000</v>
      </c>
      <c r="V905" s="32"/>
      <c r="W905" s="132"/>
      <c r="X905" s="206" t="str">
        <f t="shared" si="244"/>
        <v>4.14.04</v>
      </c>
      <c r="Y905" s="207" t="e">
        <f t="shared" si="238"/>
        <v>#N/A</v>
      </c>
      <c r="Z905" s="207" t="e">
        <f t="shared" si="239"/>
        <v>#N/A</v>
      </c>
      <c r="AA905" s="233"/>
      <c r="AB905" s="208"/>
      <c r="AC905" s="233"/>
      <c r="AD905" s="233"/>
      <c r="AE905" s="233"/>
      <c r="AF905" s="233"/>
      <c r="AG905" s="233"/>
      <c r="AH905" s="238">
        <f t="shared" si="240"/>
        <v>0</v>
      </c>
      <c r="AI905" s="238">
        <f t="shared" si="241"/>
        <v>0</v>
      </c>
      <c r="AJ905" s="261">
        <f t="shared" si="242"/>
        <v>2018</v>
      </c>
      <c r="AK905" s="233">
        <f t="shared" si="243"/>
        <v>197450000</v>
      </c>
    </row>
    <row r="906" spans="6:37" s="116" customFormat="1" ht="35.25" customHeight="1" x14ac:dyDescent="0.2">
      <c r="F906" s="218"/>
      <c r="G906" s="73"/>
      <c r="H906" s="67" t="s">
        <v>3362</v>
      </c>
      <c r="I906" s="32" t="s">
        <v>2525</v>
      </c>
      <c r="J906" s="67"/>
      <c r="K906" s="32"/>
      <c r="L906" s="362"/>
      <c r="M906" s="67"/>
      <c r="N906" s="362"/>
      <c r="O906" s="65" t="s">
        <v>3502</v>
      </c>
      <c r="P906" s="32">
        <v>2018</v>
      </c>
      <c r="Q906" s="67"/>
      <c r="R906" s="67"/>
      <c r="S906" s="67"/>
      <c r="T906" s="32" t="s">
        <v>12</v>
      </c>
      <c r="U906" s="252">
        <v>1904605999</v>
      </c>
      <c r="V906" s="32"/>
      <c r="W906" s="132"/>
      <c r="X906" s="206" t="str">
        <f t="shared" si="244"/>
        <v>4.14.04</v>
      </c>
      <c r="Y906" s="207" t="e">
        <f t="shared" si="238"/>
        <v>#N/A</v>
      </c>
      <c r="Z906" s="207" t="e">
        <f t="shared" si="239"/>
        <v>#N/A</v>
      </c>
      <c r="AA906" s="233"/>
      <c r="AB906" s="208"/>
      <c r="AC906" s="233"/>
      <c r="AD906" s="233"/>
      <c r="AE906" s="233"/>
      <c r="AF906" s="233"/>
      <c r="AG906" s="233"/>
      <c r="AH906" s="238">
        <f t="shared" si="240"/>
        <v>0</v>
      </c>
      <c r="AI906" s="238">
        <f t="shared" si="241"/>
        <v>0</v>
      </c>
      <c r="AJ906" s="261">
        <f t="shared" si="242"/>
        <v>2018</v>
      </c>
      <c r="AK906" s="233">
        <f t="shared" si="243"/>
        <v>1904605999</v>
      </c>
    </row>
    <row r="907" spans="6:37" s="116" customFormat="1" ht="35.25" customHeight="1" x14ac:dyDescent="0.2">
      <c r="F907" s="218"/>
      <c r="G907" s="73"/>
      <c r="H907" s="67" t="s">
        <v>3363</v>
      </c>
      <c r="I907" s="32" t="s">
        <v>2525</v>
      </c>
      <c r="J907" s="67"/>
      <c r="K907" s="32"/>
      <c r="L907" s="362"/>
      <c r="M907" s="67"/>
      <c r="N907" s="362"/>
      <c r="O907" s="65" t="s">
        <v>3503</v>
      </c>
      <c r="P907" s="32">
        <v>2018</v>
      </c>
      <c r="Q907" s="67"/>
      <c r="R907" s="67"/>
      <c r="S907" s="67"/>
      <c r="T907" s="32" t="s">
        <v>12</v>
      </c>
      <c r="U907" s="252">
        <v>197400000</v>
      </c>
      <c r="V907" s="32"/>
      <c r="W907" s="132"/>
      <c r="X907" s="206" t="str">
        <f t="shared" si="244"/>
        <v>4.14.04</v>
      </c>
      <c r="Y907" s="207" t="e">
        <f t="shared" si="238"/>
        <v>#N/A</v>
      </c>
      <c r="Z907" s="207" t="e">
        <f t="shared" si="239"/>
        <v>#N/A</v>
      </c>
      <c r="AA907" s="233"/>
      <c r="AB907" s="208"/>
      <c r="AC907" s="233"/>
      <c r="AD907" s="233"/>
      <c r="AE907" s="233"/>
      <c r="AF907" s="233"/>
      <c r="AG907" s="233"/>
      <c r="AH907" s="238">
        <f t="shared" si="240"/>
        <v>0</v>
      </c>
      <c r="AI907" s="238">
        <f t="shared" si="241"/>
        <v>0</v>
      </c>
      <c r="AJ907" s="261">
        <f t="shared" si="242"/>
        <v>2018</v>
      </c>
      <c r="AK907" s="233">
        <f t="shared" si="243"/>
        <v>197400000</v>
      </c>
    </row>
    <row r="908" spans="6:37" s="116" customFormat="1" ht="35.25" customHeight="1" x14ac:dyDescent="0.2">
      <c r="F908" s="218"/>
      <c r="G908" s="73"/>
      <c r="H908" s="67" t="s">
        <v>3364</v>
      </c>
      <c r="I908" s="32" t="s">
        <v>2525</v>
      </c>
      <c r="J908" s="67"/>
      <c r="K908" s="32"/>
      <c r="L908" s="362"/>
      <c r="M908" s="67"/>
      <c r="N908" s="362"/>
      <c r="O908" s="65" t="s">
        <v>3504</v>
      </c>
      <c r="P908" s="32">
        <v>2018</v>
      </c>
      <c r="Q908" s="67"/>
      <c r="R908" s="67"/>
      <c r="S908" s="67"/>
      <c r="T908" s="32" t="s">
        <v>12</v>
      </c>
      <c r="U908" s="252">
        <v>197050000</v>
      </c>
      <c r="V908" s="32"/>
      <c r="W908" s="132"/>
      <c r="X908" s="206" t="str">
        <f t="shared" si="244"/>
        <v>4.14.04</v>
      </c>
      <c r="Y908" s="207" t="e">
        <f t="shared" si="238"/>
        <v>#N/A</v>
      </c>
      <c r="Z908" s="207" t="e">
        <f t="shared" si="239"/>
        <v>#N/A</v>
      </c>
      <c r="AA908" s="233"/>
      <c r="AB908" s="208"/>
      <c r="AC908" s="233"/>
      <c r="AD908" s="233"/>
      <c r="AE908" s="233"/>
      <c r="AF908" s="233"/>
      <c r="AG908" s="233"/>
      <c r="AH908" s="238">
        <f t="shared" si="240"/>
        <v>0</v>
      </c>
      <c r="AI908" s="238">
        <f t="shared" si="241"/>
        <v>0</v>
      </c>
      <c r="AJ908" s="261">
        <f t="shared" si="242"/>
        <v>2018</v>
      </c>
      <c r="AK908" s="233">
        <f t="shared" si="243"/>
        <v>197050000</v>
      </c>
    </row>
    <row r="909" spans="6:37" s="116" customFormat="1" ht="35.25" customHeight="1" x14ac:dyDescent="0.2">
      <c r="F909" s="218"/>
      <c r="G909" s="73"/>
      <c r="H909" s="67" t="s">
        <v>3365</v>
      </c>
      <c r="I909" s="32" t="s">
        <v>2552</v>
      </c>
      <c r="J909" s="67"/>
      <c r="K909" s="32"/>
      <c r="L909" s="362"/>
      <c r="M909" s="67"/>
      <c r="N909" s="362"/>
      <c r="O909" s="65" t="s">
        <v>847</v>
      </c>
      <c r="P909" s="32">
        <v>2018</v>
      </c>
      <c r="Q909" s="67"/>
      <c r="R909" s="67"/>
      <c r="S909" s="67"/>
      <c r="T909" s="32" t="s">
        <v>12</v>
      </c>
      <c r="U909" s="252">
        <v>394503000</v>
      </c>
      <c r="V909" s="32"/>
      <c r="W909" s="132"/>
      <c r="X909" s="206" t="str">
        <f t="shared" si="244"/>
        <v>4.14.01</v>
      </c>
      <c r="Y909" s="207" t="e">
        <f t="shared" si="238"/>
        <v>#N/A</v>
      </c>
      <c r="Z909" s="207" t="e">
        <f t="shared" si="239"/>
        <v>#N/A</v>
      </c>
      <c r="AA909" s="233"/>
      <c r="AB909" s="208"/>
      <c r="AC909" s="233"/>
      <c r="AD909" s="233"/>
      <c r="AE909" s="233"/>
      <c r="AF909" s="233"/>
      <c r="AG909" s="233"/>
      <c r="AH909" s="238">
        <f t="shared" si="240"/>
        <v>0</v>
      </c>
      <c r="AI909" s="238">
        <f t="shared" si="241"/>
        <v>0</v>
      </c>
      <c r="AJ909" s="261">
        <f t="shared" si="242"/>
        <v>2018</v>
      </c>
      <c r="AK909" s="233">
        <f t="shared" si="243"/>
        <v>394503000</v>
      </c>
    </row>
    <row r="910" spans="6:37" s="116" customFormat="1" ht="35.25" customHeight="1" x14ac:dyDescent="0.2">
      <c r="F910" s="218"/>
      <c r="G910" s="73"/>
      <c r="H910" s="67" t="s">
        <v>3366</v>
      </c>
      <c r="I910" s="32" t="s">
        <v>2552</v>
      </c>
      <c r="J910" s="67"/>
      <c r="K910" s="32"/>
      <c r="L910" s="362"/>
      <c r="M910" s="67"/>
      <c r="N910" s="362"/>
      <c r="O910" s="65" t="s">
        <v>3438</v>
      </c>
      <c r="P910" s="32">
        <v>2018</v>
      </c>
      <c r="Q910" s="67"/>
      <c r="R910" s="67"/>
      <c r="S910" s="67"/>
      <c r="T910" s="32" t="s">
        <v>12</v>
      </c>
      <c r="U910" s="252">
        <v>395751000</v>
      </c>
      <c r="V910" s="32"/>
      <c r="W910" s="132"/>
      <c r="X910" s="206" t="str">
        <f t="shared" si="244"/>
        <v>4.14.01</v>
      </c>
      <c r="Y910" s="207" t="e">
        <f t="shared" si="238"/>
        <v>#N/A</v>
      </c>
      <c r="Z910" s="207" t="e">
        <f t="shared" si="239"/>
        <v>#N/A</v>
      </c>
      <c r="AA910" s="233"/>
      <c r="AB910" s="208"/>
      <c r="AC910" s="233"/>
      <c r="AD910" s="233"/>
      <c r="AE910" s="233"/>
      <c r="AF910" s="233"/>
      <c r="AG910" s="233"/>
      <c r="AH910" s="238">
        <f t="shared" si="240"/>
        <v>0</v>
      </c>
      <c r="AI910" s="238">
        <f t="shared" si="241"/>
        <v>0</v>
      </c>
      <c r="AJ910" s="261">
        <f t="shared" si="242"/>
        <v>2018</v>
      </c>
      <c r="AK910" s="233">
        <f t="shared" si="243"/>
        <v>395751000</v>
      </c>
    </row>
    <row r="911" spans="6:37" s="116" customFormat="1" ht="35.25" customHeight="1" x14ac:dyDescent="0.2">
      <c r="F911" s="218"/>
      <c r="G911" s="73"/>
      <c r="H911" s="67" t="s">
        <v>3367</v>
      </c>
      <c r="I911" s="32" t="s">
        <v>2553</v>
      </c>
      <c r="J911" s="67"/>
      <c r="K911" s="32"/>
      <c r="L911" s="362"/>
      <c r="M911" s="67"/>
      <c r="N911" s="362"/>
      <c r="O911" s="65" t="s">
        <v>2579</v>
      </c>
      <c r="P911" s="32">
        <v>2018</v>
      </c>
      <c r="Q911" s="67"/>
      <c r="R911" s="67"/>
      <c r="S911" s="67"/>
      <c r="T911" s="32" t="s">
        <v>12</v>
      </c>
      <c r="U911" s="252">
        <v>477488000</v>
      </c>
      <c r="V911" s="32"/>
      <c r="W911" s="132"/>
      <c r="X911" s="206" t="str">
        <f t="shared" si="244"/>
        <v>4.14.01</v>
      </c>
      <c r="Y911" s="207" t="e">
        <f t="shared" si="238"/>
        <v>#N/A</v>
      </c>
      <c r="Z911" s="207" t="e">
        <f t="shared" si="239"/>
        <v>#N/A</v>
      </c>
      <c r="AA911" s="233"/>
      <c r="AB911" s="208"/>
      <c r="AC911" s="233"/>
      <c r="AD911" s="233"/>
      <c r="AE911" s="233"/>
      <c r="AF911" s="233"/>
      <c r="AG911" s="233"/>
      <c r="AH911" s="238">
        <f t="shared" si="240"/>
        <v>0</v>
      </c>
      <c r="AI911" s="238">
        <f t="shared" si="241"/>
        <v>0</v>
      </c>
      <c r="AJ911" s="261">
        <f t="shared" si="242"/>
        <v>2018</v>
      </c>
      <c r="AK911" s="233">
        <f t="shared" si="243"/>
        <v>477488000</v>
      </c>
    </row>
    <row r="912" spans="6:37" s="116" customFormat="1" ht="35.25" customHeight="1" x14ac:dyDescent="0.2">
      <c r="F912" s="218"/>
      <c r="G912" s="73"/>
      <c r="H912" s="67" t="s">
        <v>3368</v>
      </c>
      <c r="I912" s="32" t="s">
        <v>2553</v>
      </c>
      <c r="J912" s="67"/>
      <c r="K912" s="32"/>
      <c r="L912" s="362"/>
      <c r="M912" s="67"/>
      <c r="N912" s="362"/>
      <c r="O912" s="65" t="s">
        <v>3505</v>
      </c>
      <c r="P912" s="32">
        <v>2018</v>
      </c>
      <c r="Q912" s="67"/>
      <c r="R912" s="67"/>
      <c r="S912" s="67"/>
      <c r="T912" s="32" t="s">
        <v>12</v>
      </c>
      <c r="U912" s="252">
        <v>197625000</v>
      </c>
      <c r="V912" s="32"/>
      <c r="W912" s="132"/>
      <c r="X912" s="206" t="str">
        <f t="shared" si="244"/>
        <v>4.14.01</v>
      </c>
      <c r="Y912" s="207" t="e">
        <f t="shared" si="238"/>
        <v>#N/A</v>
      </c>
      <c r="Z912" s="207" t="e">
        <f t="shared" si="239"/>
        <v>#N/A</v>
      </c>
      <c r="AA912" s="233"/>
      <c r="AB912" s="208"/>
      <c r="AC912" s="233"/>
      <c r="AD912" s="233"/>
      <c r="AE912" s="233"/>
      <c r="AF912" s="233"/>
      <c r="AG912" s="233"/>
      <c r="AH912" s="238">
        <f t="shared" si="240"/>
        <v>0</v>
      </c>
      <c r="AI912" s="238">
        <f t="shared" si="241"/>
        <v>0</v>
      </c>
      <c r="AJ912" s="261">
        <f t="shared" si="242"/>
        <v>2018</v>
      </c>
      <c r="AK912" s="233">
        <f t="shared" si="243"/>
        <v>197625000</v>
      </c>
    </row>
    <row r="913" spans="6:39" s="116" customFormat="1" ht="35.25" customHeight="1" x14ac:dyDescent="0.2">
      <c r="F913" s="218"/>
      <c r="G913" s="73"/>
      <c r="H913" s="67" t="s">
        <v>3369</v>
      </c>
      <c r="I913" s="32" t="s">
        <v>2553</v>
      </c>
      <c r="J913" s="67"/>
      <c r="K913" s="32"/>
      <c r="L913" s="362"/>
      <c r="M913" s="67"/>
      <c r="N913" s="362"/>
      <c r="O913" s="65" t="s">
        <v>765</v>
      </c>
      <c r="P913" s="32">
        <v>2018</v>
      </c>
      <c r="Q913" s="67"/>
      <c r="R913" s="67"/>
      <c r="S913" s="67"/>
      <c r="T913" s="32" t="s">
        <v>12</v>
      </c>
      <c r="U913" s="252">
        <v>197580000</v>
      </c>
      <c r="V913" s="32"/>
      <c r="W913" s="132"/>
      <c r="X913" s="206" t="str">
        <f t="shared" si="244"/>
        <v>4.14.01</v>
      </c>
      <c r="Y913" s="207" t="e">
        <f t="shared" si="238"/>
        <v>#N/A</v>
      </c>
      <c r="Z913" s="207" t="e">
        <f t="shared" si="239"/>
        <v>#N/A</v>
      </c>
      <c r="AA913" s="233"/>
      <c r="AB913" s="208"/>
      <c r="AC913" s="233"/>
      <c r="AD913" s="233"/>
      <c r="AE913" s="233"/>
      <c r="AF913" s="233"/>
      <c r="AG913" s="233"/>
      <c r="AH913" s="238">
        <f t="shared" si="240"/>
        <v>0</v>
      </c>
      <c r="AI913" s="238">
        <f t="shared" si="241"/>
        <v>0</v>
      </c>
      <c r="AJ913" s="261">
        <f t="shared" si="242"/>
        <v>2018</v>
      </c>
      <c r="AK913" s="233">
        <f t="shared" si="243"/>
        <v>197580000</v>
      </c>
    </row>
    <row r="914" spans="6:39" s="116" customFormat="1" ht="35.25" customHeight="1" x14ac:dyDescent="0.2">
      <c r="F914" s="218"/>
      <c r="G914" s="73"/>
      <c r="H914" s="67" t="s">
        <v>3370</v>
      </c>
      <c r="I914" s="32" t="s">
        <v>2552</v>
      </c>
      <c r="J914" s="67"/>
      <c r="K914" s="32"/>
      <c r="L914" s="362"/>
      <c r="M914" s="67"/>
      <c r="N914" s="362"/>
      <c r="O914" s="65" t="s">
        <v>3506</v>
      </c>
      <c r="P914" s="32">
        <v>2018</v>
      </c>
      <c r="Q914" s="67"/>
      <c r="R914" s="67"/>
      <c r="S914" s="67"/>
      <c r="T914" s="32" t="s">
        <v>12</v>
      </c>
      <c r="U914" s="252">
        <v>197550000</v>
      </c>
      <c r="V914" s="32"/>
      <c r="W914" s="132"/>
      <c r="X914" s="206" t="str">
        <f t="shared" si="244"/>
        <v>4.14.01</v>
      </c>
      <c r="Y914" s="207" t="e">
        <f t="shared" si="238"/>
        <v>#N/A</v>
      </c>
      <c r="Z914" s="207" t="e">
        <f t="shared" si="239"/>
        <v>#N/A</v>
      </c>
      <c r="AA914" s="233"/>
      <c r="AB914" s="208"/>
      <c r="AC914" s="233"/>
      <c r="AD914" s="233"/>
      <c r="AE914" s="233"/>
      <c r="AF914" s="233"/>
      <c r="AG914" s="233"/>
      <c r="AH914" s="238">
        <f t="shared" si="240"/>
        <v>0</v>
      </c>
      <c r="AI914" s="238">
        <f t="shared" si="241"/>
        <v>0</v>
      </c>
      <c r="AJ914" s="261">
        <f t="shared" si="242"/>
        <v>2018</v>
      </c>
      <c r="AK914" s="233">
        <f t="shared" si="243"/>
        <v>197550000</v>
      </c>
    </row>
    <row r="915" spans="6:39" s="116" customFormat="1" ht="35.25" customHeight="1" x14ac:dyDescent="0.2">
      <c r="F915" s="218"/>
      <c r="G915" s="73"/>
      <c r="H915" s="67" t="s">
        <v>3371</v>
      </c>
      <c r="I915" s="32" t="s">
        <v>2552</v>
      </c>
      <c r="J915" s="67"/>
      <c r="K915" s="32"/>
      <c r="L915" s="362"/>
      <c r="M915" s="67"/>
      <c r="N915" s="362"/>
      <c r="O915" s="65" t="s">
        <v>3471</v>
      </c>
      <c r="P915" s="32">
        <v>2018</v>
      </c>
      <c r="Q915" s="67"/>
      <c r="R915" s="67"/>
      <c r="S915" s="67"/>
      <c r="T915" s="32" t="s">
        <v>12</v>
      </c>
      <c r="U915" s="252">
        <v>197050000</v>
      </c>
      <c r="V915" s="32"/>
      <c r="W915" s="132"/>
      <c r="X915" s="206" t="str">
        <f t="shared" si="244"/>
        <v>4.14.01</v>
      </c>
      <c r="Y915" s="207" t="e">
        <f t="shared" si="238"/>
        <v>#N/A</v>
      </c>
      <c r="Z915" s="207" t="e">
        <f t="shared" si="239"/>
        <v>#N/A</v>
      </c>
      <c r="AA915" s="233"/>
      <c r="AB915" s="208"/>
      <c r="AC915" s="233"/>
      <c r="AD915" s="233"/>
      <c r="AE915" s="233"/>
      <c r="AF915" s="233"/>
      <c r="AG915" s="233"/>
      <c r="AH915" s="238">
        <f t="shared" si="240"/>
        <v>0</v>
      </c>
      <c r="AI915" s="238">
        <f t="shared" si="241"/>
        <v>0</v>
      </c>
      <c r="AJ915" s="261">
        <f t="shared" si="242"/>
        <v>2018</v>
      </c>
      <c r="AK915" s="233">
        <f t="shared" si="243"/>
        <v>197050000</v>
      </c>
    </row>
    <row r="916" spans="6:39" s="116" customFormat="1" ht="35.25" customHeight="1" x14ac:dyDescent="0.2">
      <c r="F916" s="218"/>
      <c r="G916" s="73"/>
      <c r="H916" s="67" t="s">
        <v>3372</v>
      </c>
      <c r="I916" s="32" t="s">
        <v>2552</v>
      </c>
      <c r="J916" s="67"/>
      <c r="K916" s="32"/>
      <c r="L916" s="362"/>
      <c r="M916" s="67"/>
      <c r="N916" s="362"/>
      <c r="O916" s="65" t="s">
        <v>2608</v>
      </c>
      <c r="P916" s="32">
        <v>2018</v>
      </c>
      <c r="Q916" s="67"/>
      <c r="R916" s="67"/>
      <c r="S916" s="67"/>
      <c r="T916" s="32" t="s">
        <v>12</v>
      </c>
      <c r="U916" s="252">
        <v>196450000</v>
      </c>
      <c r="V916" s="32"/>
      <c r="W916" s="132"/>
      <c r="X916" s="206" t="str">
        <f t="shared" si="244"/>
        <v>4.14.01</v>
      </c>
      <c r="Y916" s="207" t="e">
        <f t="shared" si="238"/>
        <v>#N/A</v>
      </c>
      <c r="Z916" s="207" t="e">
        <f t="shared" si="239"/>
        <v>#N/A</v>
      </c>
      <c r="AA916" s="233"/>
      <c r="AB916" s="208"/>
      <c r="AC916" s="233"/>
      <c r="AD916" s="233"/>
      <c r="AE916" s="233"/>
      <c r="AF916" s="233"/>
      <c r="AG916" s="233"/>
      <c r="AH916" s="238">
        <f t="shared" si="240"/>
        <v>0</v>
      </c>
      <c r="AI916" s="238">
        <f t="shared" si="241"/>
        <v>0</v>
      </c>
      <c r="AJ916" s="261">
        <f t="shared" si="242"/>
        <v>2018</v>
      </c>
      <c r="AK916" s="233">
        <f t="shared" si="243"/>
        <v>196450000</v>
      </c>
    </row>
    <row r="917" spans="6:39" s="116" customFormat="1" ht="35.25" customHeight="1" x14ac:dyDescent="0.2">
      <c r="F917" s="218"/>
      <c r="G917" s="73"/>
      <c r="H917" s="67" t="s">
        <v>3373</v>
      </c>
      <c r="I917" s="32" t="s">
        <v>2552</v>
      </c>
      <c r="J917" s="67"/>
      <c r="K917" s="32"/>
      <c r="L917" s="362"/>
      <c r="M917" s="67"/>
      <c r="N917" s="362"/>
      <c r="O917" s="65" t="s">
        <v>3476</v>
      </c>
      <c r="P917" s="32">
        <v>2018</v>
      </c>
      <c r="Q917" s="67"/>
      <c r="R917" s="67"/>
      <c r="S917" s="67"/>
      <c r="T917" s="32" t="s">
        <v>12</v>
      </c>
      <c r="U917" s="252">
        <v>197550000</v>
      </c>
      <c r="V917" s="32"/>
      <c r="W917" s="132"/>
      <c r="X917" s="206" t="str">
        <f t="shared" ref="X917:X922" si="245">MID(I917,2,7)</f>
        <v>4.14.01</v>
      </c>
      <c r="Y917" s="207" t="e">
        <f t="shared" ref="Y917:Y922" si="246">VLOOKUP(X917,UE,2,0)</f>
        <v>#N/A</v>
      </c>
      <c r="Z917" s="207" t="e">
        <f t="shared" ref="Z917:Z922" si="247">VLOOKUP(X917,UE,3,0)</f>
        <v>#N/A</v>
      </c>
      <c r="AA917" s="233"/>
      <c r="AB917" s="208"/>
      <c r="AC917" s="233"/>
      <c r="AD917" s="233"/>
      <c r="AE917" s="233"/>
      <c r="AF917" s="233"/>
      <c r="AG917" s="233"/>
      <c r="AH917" s="238">
        <f t="shared" si="240"/>
        <v>0</v>
      </c>
      <c r="AI917" s="238">
        <f t="shared" si="241"/>
        <v>0</v>
      </c>
      <c r="AJ917" s="261">
        <f t="shared" si="242"/>
        <v>2018</v>
      </c>
      <c r="AK917" s="233">
        <f t="shared" si="243"/>
        <v>197550000</v>
      </c>
    </row>
    <row r="918" spans="6:39" s="116" customFormat="1" ht="35.25" customHeight="1" x14ac:dyDescent="0.2">
      <c r="F918" s="218"/>
      <c r="G918" s="73"/>
      <c r="H918" s="67" t="s">
        <v>3374</v>
      </c>
      <c r="I918" s="32" t="s">
        <v>2552</v>
      </c>
      <c r="J918" s="67"/>
      <c r="K918" s="32"/>
      <c r="L918" s="362"/>
      <c r="M918" s="67"/>
      <c r="N918" s="362"/>
      <c r="O918" s="65" t="s">
        <v>3507</v>
      </c>
      <c r="P918" s="32">
        <v>2018</v>
      </c>
      <c r="Q918" s="67"/>
      <c r="R918" s="67"/>
      <c r="S918" s="67"/>
      <c r="T918" s="32" t="s">
        <v>12</v>
      </c>
      <c r="U918" s="252">
        <v>197625000</v>
      </c>
      <c r="V918" s="32"/>
      <c r="W918" s="132"/>
      <c r="X918" s="206" t="str">
        <f t="shared" si="245"/>
        <v>4.14.01</v>
      </c>
      <c r="Y918" s="207" t="e">
        <f t="shared" si="246"/>
        <v>#N/A</v>
      </c>
      <c r="Z918" s="207" t="e">
        <f t="shared" si="247"/>
        <v>#N/A</v>
      </c>
      <c r="AA918" s="233"/>
      <c r="AB918" s="208"/>
      <c r="AC918" s="233"/>
      <c r="AD918" s="233"/>
      <c r="AE918" s="233"/>
      <c r="AF918" s="233"/>
      <c r="AG918" s="233"/>
      <c r="AH918" s="238">
        <f t="shared" si="240"/>
        <v>0</v>
      </c>
      <c r="AI918" s="238">
        <f t="shared" si="241"/>
        <v>0</v>
      </c>
      <c r="AJ918" s="261">
        <f t="shared" si="242"/>
        <v>2018</v>
      </c>
      <c r="AK918" s="233">
        <f t="shared" si="243"/>
        <v>197625000</v>
      </c>
    </row>
    <row r="919" spans="6:39" s="116" customFormat="1" ht="35.25" customHeight="1" x14ac:dyDescent="0.2">
      <c r="F919" s="218"/>
      <c r="G919" s="73"/>
      <c r="H919" s="67" t="s">
        <v>3375</v>
      </c>
      <c r="I919" s="32" t="s">
        <v>2552</v>
      </c>
      <c r="J919" s="67"/>
      <c r="K919" s="32"/>
      <c r="L919" s="362"/>
      <c r="M919" s="67"/>
      <c r="N919" s="362"/>
      <c r="O919" s="65" t="s">
        <v>3508</v>
      </c>
      <c r="P919" s="32">
        <v>2018</v>
      </c>
      <c r="Q919" s="67"/>
      <c r="R919" s="67"/>
      <c r="S919" s="67"/>
      <c r="T919" s="32" t="s">
        <v>12</v>
      </c>
      <c r="U919" s="252">
        <v>3272375000</v>
      </c>
      <c r="V919" s="32"/>
      <c r="W919" s="132"/>
      <c r="X919" s="206" t="str">
        <f t="shared" si="245"/>
        <v>4.14.01</v>
      </c>
      <c r="Y919" s="207" t="e">
        <f t="shared" si="246"/>
        <v>#N/A</v>
      </c>
      <c r="Z919" s="207" t="e">
        <f t="shared" si="247"/>
        <v>#N/A</v>
      </c>
      <c r="AA919" s="233"/>
      <c r="AB919" s="208"/>
      <c r="AC919" s="233"/>
      <c r="AD919" s="233"/>
      <c r="AE919" s="233"/>
      <c r="AF919" s="233"/>
      <c r="AG919" s="233"/>
      <c r="AH919" s="238">
        <f t="shared" si="240"/>
        <v>0</v>
      </c>
      <c r="AI919" s="238">
        <f t="shared" si="241"/>
        <v>0</v>
      </c>
      <c r="AJ919" s="261">
        <f t="shared" si="242"/>
        <v>2018</v>
      </c>
      <c r="AK919" s="233">
        <f t="shared" si="243"/>
        <v>3272375000</v>
      </c>
    </row>
    <row r="920" spans="6:39" s="116" customFormat="1" ht="35.25" customHeight="1" x14ac:dyDescent="0.2">
      <c r="F920" s="218"/>
      <c r="G920" s="73"/>
      <c r="H920" s="67" t="s">
        <v>3376</v>
      </c>
      <c r="I920" s="32" t="s">
        <v>2550</v>
      </c>
      <c r="J920" s="67"/>
      <c r="K920" s="32"/>
      <c r="L920" s="362"/>
      <c r="M920" s="67"/>
      <c r="N920" s="362"/>
      <c r="O920" s="65" t="s">
        <v>3509</v>
      </c>
      <c r="P920" s="32">
        <v>2018</v>
      </c>
      <c r="Q920" s="67"/>
      <c r="R920" s="67"/>
      <c r="S920" s="67"/>
      <c r="T920" s="32" t="s">
        <v>12</v>
      </c>
      <c r="U920" s="252">
        <v>197590000</v>
      </c>
      <c r="V920" s="32"/>
      <c r="W920" s="132"/>
      <c r="X920" s="206" t="str">
        <f t="shared" si="245"/>
        <v>4.14.04</v>
      </c>
      <c r="Y920" s="207" t="e">
        <f t="shared" si="246"/>
        <v>#N/A</v>
      </c>
      <c r="Z920" s="207" t="e">
        <f t="shared" si="247"/>
        <v>#N/A</v>
      </c>
      <c r="AA920" s="233"/>
      <c r="AB920" s="208"/>
      <c r="AC920" s="233"/>
      <c r="AD920" s="233"/>
      <c r="AE920" s="233"/>
      <c r="AF920" s="233"/>
      <c r="AG920" s="233"/>
      <c r="AH920" s="238">
        <f t="shared" si="240"/>
        <v>0</v>
      </c>
      <c r="AI920" s="238">
        <f t="shared" si="241"/>
        <v>0</v>
      </c>
      <c r="AJ920" s="261">
        <f t="shared" si="242"/>
        <v>2018</v>
      </c>
      <c r="AK920" s="233">
        <f t="shared" si="243"/>
        <v>197590000</v>
      </c>
    </row>
    <row r="921" spans="6:39" s="116" customFormat="1" ht="35.25" customHeight="1" x14ac:dyDescent="0.2">
      <c r="F921" s="218"/>
      <c r="G921" s="73"/>
      <c r="H921" s="67" t="s">
        <v>3377</v>
      </c>
      <c r="I921" s="32" t="s">
        <v>2525</v>
      </c>
      <c r="J921" s="67"/>
      <c r="K921" s="32"/>
      <c r="L921" s="362"/>
      <c r="M921" s="67"/>
      <c r="N921" s="362"/>
      <c r="O921" s="65" t="s">
        <v>3510</v>
      </c>
      <c r="P921" s="32">
        <v>2018</v>
      </c>
      <c r="Q921" s="67"/>
      <c r="R921" s="67"/>
      <c r="S921" s="67"/>
      <c r="T921" s="32" t="s">
        <v>12</v>
      </c>
      <c r="U921" s="252">
        <v>197570000</v>
      </c>
      <c r="V921" s="32"/>
      <c r="W921" s="132"/>
      <c r="X921" s="206" t="str">
        <f t="shared" si="245"/>
        <v>4.14.04</v>
      </c>
      <c r="Y921" s="207" t="e">
        <f t="shared" si="246"/>
        <v>#N/A</v>
      </c>
      <c r="Z921" s="207" t="e">
        <f t="shared" si="247"/>
        <v>#N/A</v>
      </c>
      <c r="AA921" s="233"/>
      <c r="AB921" s="208"/>
      <c r="AC921" s="233"/>
      <c r="AD921" s="233"/>
      <c r="AE921" s="233"/>
      <c r="AF921" s="233"/>
      <c r="AG921" s="233"/>
      <c r="AH921" s="238">
        <f t="shared" si="240"/>
        <v>0</v>
      </c>
      <c r="AI921" s="238">
        <f t="shared" si="241"/>
        <v>0</v>
      </c>
      <c r="AJ921" s="261">
        <f t="shared" si="242"/>
        <v>2018</v>
      </c>
      <c r="AK921" s="233">
        <f t="shared" si="243"/>
        <v>197570000</v>
      </c>
    </row>
    <row r="922" spans="6:39" s="116" customFormat="1" ht="35.25" customHeight="1" x14ac:dyDescent="0.2">
      <c r="F922" s="218"/>
      <c r="G922" s="73"/>
      <c r="H922" s="67" t="s">
        <v>3378</v>
      </c>
      <c r="I922" s="32" t="s">
        <v>2554</v>
      </c>
      <c r="J922" s="67"/>
      <c r="K922" s="32"/>
      <c r="L922" s="362"/>
      <c r="M922" s="67"/>
      <c r="N922" s="362"/>
      <c r="O922" s="65" t="s">
        <v>3511</v>
      </c>
      <c r="P922" s="32">
        <v>2018</v>
      </c>
      <c r="Q922" s="67"/>
      <c r="R922" s="67"/>
      <c r="S922" s="67"/>
      <c r="T922" s="32" t="s">
        <v>12</v>
      </c>
      <c r="U922" s="252">
        <v>196850000</v>
      </c>
      <c r="V922" s="32"/>
      <c r="W922" s="132"/>
      <c r="X922" s="206" t="str">
        <f t="shared" si="245"/>
        <v>4.14.04</v>
      </c>
      <c r="Y922" s="207" t="e">
        <f t="shared" si="246"/>
        <v>#N/A</v>
      </c>
      <c r="Z922" s="207" t="e">
        <f t="shared" si="247"/>
        <v>#N/A</v>
      </c>
      <c r="AA922" s="233"/>
      <c r="AB922" s="208"/>
      <c r="AC922" s="233"/>
      <c r="AD922" s="233"/>
      <c r="AE922" s="233"/>
      <c r="AF922" s="233"/>
      <c r="AG922" s="233"/>
      <c r="AH922" s="238">
        <f t="shared" si="240"/>
        <v>0</v>
      </c>
      <c r="AI922" s="238">
        <f t="shared" si="241"/>
        <v>0</v>
      </c>
      <c r="AJ922" s="261">
        <f t="shared" si="242"/>
        <v>2018</v>
      </c>
      <c r="AK922" s="233">
        <f t="shared" si="243"/>
        <v>196850000</v>
      </c>
    </row>
    <row r="923" spans="6:39" s="116" customFormat="1" ht="35.25" hidden="1" customHeight="1" x14ac:dyDescent="0.2">
      <c r="G923" s="73"/>
      <c r="H923" s="67" t="s">
        <v>52</v>
      </c>
      <c r="I923" s="32"/>
      <c r="J923" s="67"/>
      <c r="K923" s="32"/>
      <c r="L923" s="362"/>
      <c r="M923" s="67"/>
      <c r="N923" s="362"/>
      <c r="O923" s="65"/>
      <c r="P923" s="32"/>
      <c r="Q923" s="67"/>
      <c r="R923" s="67"/>
      <c r="S923" s="67"/>
      <c r="T923" s="32"/>
      <c r="U923" s="252"/>
      <c r="V923" s="32"/>
      <c r="W923" s="132"/>
      <c r="X923" s="206"/>
      <c r="Y923" s="207"/>
      <c r="Z923" s="207"/>
      <c r="AA923" s="233"/>
      <c r="AB923" s="208"/>
      <c r="AC923" s="233"/>
      <c r="AD923" s="233"/>
      <c r="AE923" s="233"/>
      <c r="AF923" s="233"/>
      <c r="AG923" s="233"/>
      <c r="AH923" s="233"/>
      <c r="AI923" s="233"/>
      <c r="AJ923" s="261"/>
      <c r="AK923" s="233"/>
    </row>
    <row r="924" spans="6:39" s="116" customFormat="1" ht="35.25" hidden="1" customHeight="1" x14ac:dyDescent="0.2">
      <c r="G924" s="153" t="s">
        <v>859</v>
      </c>
      <c r="H924" s="59" t="s">
        <v>1604</v>
      </c>
      <c r="I924" s="330"/>
      <c r="J924" s="96"/>
      <c r="K924" s="32"/>
      <c r="L924" s="362"/>
      <c r="M924" s="67"/>
      <c r="N924" s="362"/>
      <c r="O924" s="59"/>
      <c r="P924" s="330"/>
      <c r="Q924" s="96"/>
      <c r="R924" s="96"/>
      <c r="S924" s="96"/>
      <c r="T924" s="96"/>
      <c r="U924" s="237">
        <f>SUM(U925:U931)</f>
        <v>889466700.18037653</v>
      </c>
      <c r="V924" s="330"/>
      <c r="W924" s="136"/>
      <c r="X924" s="206"/>
      <c r="Y924" s="207"/>
      <c r="Z924" s="207"/>
      <c r="AA924" s="233"/>
      <c r="AB924" s="208"/>
      <c r="AC924" s="237">
        <f t="shared" ref="AC924:AK924" si="248">SUM(AC925:AC931)</f>
        <v>10605573.5</v>
      </c>
      <c r="AD924" s="237">
        <f t="shared" si="248"/>
        <v>12364466.004509414</v>
      </c>
      <c r="AE924" s="237">
        <f t="shared" si="248"/>
        <v>22236665.754509412</v>
      </c>
      <c r="AF924" s="237">
        <f t="shared" si="248"/>
        <v>22236665.754509412</v>
      </c>
      <c r="AG924" s="237">
        <f t="shared" si="248"/>
        <v>22236665.754509412</v>
      </c>
      <c r="AH924" s="237">
        <f t="shared" si="248"/>
        <v>22236665.754509412</v>
      </c>
      <c r="AI924" s="237">
        <f t="shared" si="248"/>
        <v>111916702.52254707</v>
      </c>
      <c r="AJ924" s="237">
        <f t="shared" si="248"/>
        <v>14087</v>
      </c>
      <c r="AK924" s="237">
        <f t="shared" si="248"/>
        <v>777549997.65782952</v>
      </c>
      <c r="AL924" s="261">
        <f>AI924-AH924</f>
        <v>89680036.768037647</v>
      </c>
      <c r="AM924" s="312">
        <f>SUM(AC924:AF924)</f>
        <v>67443371.013528228</v>
      </c>
    </row>
    <row r="925" spans="6:39" s="116" customFormat="1" ht="35.25" hidden="1" customHeight="1" x14ac:dyDescent="0.2">
      <c r="F925" s="218" t="s">
        <v>2308</v>
      </c>
      <c r="G925" s="153"/>
      <c r="H925" s="65" t="s">
        <v>3512</v>
      </c>
      <c r="I925" s="330"/>
      <c r="J925" s="96"/>
      <c r="K925" s="32"/>
      <c r="L925" s="362"/>
      <c r="M925" s="67"/>
      <c r="N925" s="362"/>
      <c r="O925" s="59"/>
      <c r="P925" s="330">
        <v>2011</v>
      </c>
      <c r="Q925" s="96"/>
      <c r="R925" s="96"/>
      <c r="S925" s="96"/>
      <c r="T925" s="96" t="s">
        <v>12</v>
      </c>
      <c r="U925" s="237">
        <v>14872500</v>
      </c>
      <c r="V925" s="330"/>
      <c r="W925" s="136"/>
      <c r="X925" s="206" t="str">
        <f t="shared" ref="X925:X931" si="249">F925</f>
        <v>4.15.06</v>
      </c>
      <c r="Y925" s="207" t="str">
        <f t="shared" ref="Y925:Y931" si="250">VLOOKUP(X925,kelompok,2,0)</f>
        <v>INSTALASI GARDU LISTRIK</v>
      </c>
      <c r="Z925" s="207">
        <f t="shared" ref="Z925:Z931" si="251">VLOOKUP(X925,MASAMANFAAT,4,0)</f>
        <v>40</v>
      </c>
      <c r="AA925" s="233">
        <f t="shared" si="228"/>
        <v>371812.25</v>
      </c>
      <c r="AB925" s="208">
        <f t="shared" ref="AB925:AB930" si="252">2013-AJ925</f>
        <v>2</v>
      </c>
      <c r="AC925" s="233">
        <f t="shared" ref="AC925:AC931" si="253">IF(AB925&gt;Z925,U925-10,AA925*AB925)</f>
        <v>743624.5</v>
      </c>
      <c r="AD925" s="233">
        <f t="shared" ref="AD925:AD930" si="254">IF(U925-10=AC925,0,AA925)</f>
        <v>371812.25</v>
      </c>
      <c r="AE925" s="233">
        <f t="shared" ref="AE925:AE931" si="255">IF(U925-10=AC925+AD925,0,AA925)</f>
        <v>371812.25</v>
      </c>
      <c r="AF925" s="233">
        <f t="shared" ref="AF925:AF931" si="256">IF(U925-10=AC925+AD925+AE925,0,AA925)</f>
        <v>371812.25</v>
      </c>
      <c r="AG925" s="233">
        <f t="shared" ref="AG925:AG931" si="257">IF(U925-10=AD925+AE925+AF925+AC925,0,AA925)</f>
        <v>371812.25</v>
      </c>
      <c r="AH925" s="238">
        <f t="shared" ref="AH925:AH931" si="258">IF(U925-10=AD925+AE925+AF925+AC925+AG925,0,AA925)</f>
        <v>371812.25</v>
      </c>
      <c r="AI925" s="238">
        <f t="shared" ref="AI925:AI931" si="259">SUM(AC925:AH925)</f>
        <v>2602685.75</v>
      </c>
      <c r="AJ925" s="261">
        <f t="shared" ref="AJ925:AJ931" si="260">P925</f>
        <v>2011</v>
      </c>
      <c r="AK925" s="233">
        <f t="shared" ref="AK925:AK931" si="261">U925-AI925</f>
        <v>12269814.25</v>
      </c>
    </row>
    <row r="926" spans="6:39" s="116" customFormat="1" ht="35.25" hidden="1" customHeight="1" x14ac:dyDescent="0.2">
      <c r="F926" s="218" t="s">
        <v>2308</v>
      </c>
      <c r="G926" s="153"/>
      <c r="H926" s="65" t="s">
        <v>3512</v>
      </c>
      <c r="I926" s="330"/>
      <c r="J926" s="96"/>
      <c r="K926" s="32"/>
      <c r="L926" s="362"/>
      <c r="M926" s="67"/>
      <c r="N926" s="362"/>
      <c r="O926" s="59"/>
      <c r="P926" s="330">
        <v>2012</v>
      </c>
      <c r="Q926" s="96"/>
      <c r="R926" s="96"/>
      <c r="S926" s="96"/>
      <c r="T926" s="96" t="s">
        <v>12</v>
      </c>
      <c r="U926" s="237">
        <v>97700000</v>
      </c>
      <c r="V926" s="330"/>
      <c r="W926" s="136"/>
      <c r="X926" s="206" t="str">
        <f t="shared" si="249"/>
        <v>4.15.06</v>
      </c>
      <c r="Y926" s="207" t="str">
        <f t="shared" si="250"/>
        <v>INSTALASI GARDU LISTRIK</v>
      </c>
      <c r="Z926" s="207">
        <f t="shared" si="251"/>
        <v>40</v>
      </c>
      <c r="AA926" s="233">
        <f t="shared" si="228"/>
        <v>2442499.75</v>
      </c>
      <c r="AB926" s="208">
        <f t="shared" si="252"/>
        <v>1</v>
      </c>
      <c r="AC926" s="233">
        <f t="shared" si="253"/>
        <v>2442499.75</v>
      </c>
      <c r="AD926" s="233">
        <f t="shared" si="254"/>
        <v>2442499.75</v>
      </c>
      <c r="AE926" s="233">
        <f t="shared" si="255"/>
        <v>2442499.75</v>
      </c>
      <c r="AF926" s="233">
        <f t="shared" si="256"/>
        <v>2442499.75</v>
      </c>
      <c r="AG926" s="233">
        <f t="shared" si="257"/>
        <v>2442499.75</v>
      </c>
      <c r="AH926" s="238">
        <f t="shared" si="258"/>
        <v>2442499.75</v>
      </c>
      <c r="AI926" s="238">
        <f t="shared" si="259"/>
        <v>14654998.5</v>
      </c>
      <c r="AJ926" s="261">
        <f t="shared" si="260"/>
        <v>2012</v>
      </c>
      <c r="AK926" s="233">
        <f t="shared" si="261"/>
        <v>83045001.5</v>
      </c>
    </row>
    <row r="927" spans="6:39" s="116" customFormat="1" ht="35.25" hidden="1" customHeight="1" x14ac:dyDescent="0.2">
      <c r="F927" s="218" t="s">
        <v>2308</v>
      </c>
      <c r="G927" s="153"/>
      <c r="H927" s="65" t="s">
        <v>3512</v>
      </c>
      <c r="I927" s="330"/>
      <c r="J927" s="96"/>
      <c r="K927" s="32"/>
      <c r="L927" s="362"/>
      <c r="M927" s="67"/>
      <c r="N927" s="362"/>
      <c r="O927" s="59"/>
      <c r="P927" s="330">
        <v>2012</v>
      </c>
      <c r="Q927" s="96"/>
      <c r="R927" s="96"/>
      <c r="S927" s="96"/>
      <c r="T927" s="96" t="s">
        <v>12</v>
      </c>
      <c r="U927" s="237">
        <v>98837000</v>
      </c>
      <c r="V927" s="330"/>
      <c r="W927" s="136"/>
      <c r="X927" s="206" t="str">
        <f t="shared" si="249"/>
        <v>4.15.06</v>
      </c>
      <c r="Y927" s="207" t="str">
        <f t="shared" si="250"/>
        <v>INSTALASI GARDU LISTRIK</v>
      </c>
      <c r="Z927" s="207">
        <f t="shared" si="251"/>
        <v>40</v>
      </c>
      <c r="AA927" s="233">
        <f t="shared" si="228"/>
        <v>2470924.75</v>
      </c>
      <c r="AB927" s="208">
        <f t="shared" si="252"/>
        <v>1</v>
      </c>
      <c r="AC927" s="233">
        <f t="shared" si="253"/>
        <v>2470924.75</v>
      </c>
      <c r="AD927" s="233">
        <f t="shared" si="254"/>
        <v>2470924.75</v>
      </c>
      <c r="AE927" s="233">
        <f t="shared" si="255"/>
        <v>2470924.75</v>
      </c>
      <c r="AF927" s="233">
        <f t="shared" si="256"/>
        <v>2470924.75</v>
      </c>
      <c r="AG927" s="233">
        <f t="shared" si="257"/>
        <v>2470924.75</v>
      </c>
      <c r="AH927" s="238">
        <f t="shared" si="258"/>
        <v>2470924.75</v>
      </c>
      <c r="AI927" s="238">
        <f t="shared" si="259"/>
        <v>14825548.5</v>
      </c>
      <c r="AJ927" s="261">
        <f t="shared" si="260"/>
        <v>2012</v>
      </c>
      <c r="AK927" s="233">
        <f t="shared" si="261"/>
        <v>84011451.5</v>
      </c>
    </row>
    <row r="928" spans="6:39" s="116" customFormat="1" ht="35.25" hidden="1" customHeight="1" x14ac:dyDescent="0.2">
      <c r="F928" s="218" t="s">
        <v>2308</v>
      </c>
      <c r="G928" s="153"/>
      <c r="H928" s="65" t="s">
        <v>3512</v>
      </c>
      <c r="I928" s="330"/>
      <c r="J928" s="96"/>
      <c r="K928" s="32"/>
      <c r="L928" s="362"/>
      <c r="M928" s="67"/>
      <c r="N928" s="362"/>
      <c r="O928" s="59"/>
      <c r="P928" s="330">
        <v>2012</v>
      </c>
      <c r="Q928" s="96"/>
      <c r="R928" s="96"/>
      <c r="S928" s="96"/>
      <c r="T928" s="96" t="s">
        <v>12</v>
      </c>
      <c r="U928" s="237">
        <v>98808000</v>
      </c>
      <c r="V928" s="330"/>
      <c r="W928" s="136"/>
      <c r="X928" s="206" t="str">
        <f t="shared" si="249"/>
        <v>4.15.06</v>
      </c>
      <c r="Y928" s="207" t="str">
        <f t="shared" si="250"/>
        <v>INSTALASI GARDU LISTRIK</v>
      </c>
      <c r="Z928" s="207">
        <f t="shared" si="251"/>
        <v>40</v>
      </c>
      <c r="AA928" s="233">
        <f t="shared" si="228"/>
        <v>2470199.75</v>
      </c>
      <c r="AB928" s="208">
        <f t="shared" si="252"/>
        <v>1</v>
      </c>
      <c r="AC928" s="233">
        <f t="shared" si="253"/>
        <v>2470199.75</v>
      </c>
      <c r="AD928" s="233">
        <f t="shared" si="254"/>
        <v>2470199.75</v>
      </c>
      <c r="AE928" s="233">
        <f t="shared" si="255"/>
        <v>2470199.75</v>
      </c>
      <c r="AF928" s="233">
        <f t="shared" si="256"/>
        <v>2470199.75</v>
      </c>
      <c r="AG928" s="233">
        <f t="shared" si="257"/>
        <v>2470199.75</v>
      </c>
      <c r="AH928" s="238">
        <f t="shared" si="258"/>
        <v>2470199.75</v>
      </c>
      <c r="AI928" s="238">
        <f t="shared" si="259"/>
        <v>14821198.5</v>
      </c>
      <c r="AJ928" s="261">
        <f t="shared" si="260"/>
        <v>2012</v>
      </c>
      <c r="AK928" s="233">
        <f t="shared" si="261"/>
        <v>83986801.5</v>
      </c>
    </row>
    <row r="929" spans="6:39" s="116" customFormat="1" ht="35.25" hidden="1" customHeight="1" x14ac:dyDescent="0.2">
      <c r="F929" s="218" t="s">
        <v>2308</v>
      </c>
      <c r="G929" s="153"/>
      <c r="H929" s="65" t="s">
        <v>3512</v>
      </c>
      <c r="I929" s="330"/>
      <c r="J929" s="96"/>
      <c r="K929" s="32"/>
      <c r="L929" s="362"/>
      <c r="M929" s="67"/>
      <c r="N929" s="362"/>
      <c r="O929" s="59"/>
      <c r="P929" s="330">
        <v>2012</v>
      </c>
      <c r="Q929" s="96"/>
      <c r="R929" s="96"/>
      <c r="S929" s="96"/>
      <c r="T929" s="96" t="s">
        <v>12</v>
      </c>
      <c r="U929" s="237">
        <v>99133000</v>
      </c>
      <c r="V929" s="330"/>
      <c r="W929" s="136"/>
      <c r="X929" s="206" t="str">
        <f t="shared" si="249"/>
        <v>4.15.06</v>
      </c>
      <c r="Y929" s="207" t="str">
        <f t="shared" si="250"/>
        <v>INSTALASI GARDU LISTRIK</v>
      </c>
      <c r="Z929" s="207">
        <f t="shared" si="251"/>
        <v>40</v>
      </c>
      <c r="AA929" s="233">
        <f t="shared" si="228"/>
        <v>2478324.75</v>
      </c>
      <c r="AB929" s="208">
        <f t="shared" si="252"/>
        <v>1</v>
      </c>
      <c r="AC929" s="233">
        <f t="shared" si="253"/>
        <v>2478324.75</v>
      </c>
      <c r="AD929" s="233">
        <f t="shared" si="254"/>
        <v>2478324.75</v>
      </c>
      <c r="AE929" s="233">
        <f t="shared" si="255"/>
        <v>2478324.75</v>
      </c>
      <c r="AF929" s="233">
        <f t="shared" si="256"/>
        <v>2478324.75</v>
      </c>
      <c r="AG929" s="233">
        <f t="shared" si="257"/>
        <v>2478324.75</v>
      </c>
      <c r="AH929" s="238">
        <f t="shared" si="258"/>
        <v>2478324.75</v>
      </c>
      <c r="AI929" s="238">
        <f t="shared" si="259"/>
        <v>14869948.5</v>
      </c>
      <c r="AJ929" s="261">
        <f t="shared" si="260"/>
        <v>2012</v>
      </c>
      <c r="AK929" s="233">
        <f t="shared" si="261"/>
        <v>84263051.5</v>
      </c>
    </row>
    <row r="930" spans="6:39" s="116" customFormat="1" ht="35.25" hidden="1" customHeight="1" x14ac:dyDescent="0.2">
      <c r="F930" s="218" t="s">
        <v>2308</v>
      </c>
      <c r="G930" s="153"/>
      <c r="H930" s="65" t="s">
        <v>3512</v>
      </c>
      <c r="I930" s="330"/>
      <c r="J930" s="96"/>
      <c r="K930" s="32"/>
      <c r="L930" s="362"/>
      <c r="M930" s="67"/>
      <c r="N930" s="362"/>
      <c r="O930" s="59"/>
      <c r="P930" s="330">
        <v>2013</v>
      </c>
      <c r="Q930" s="96"/>
      <c r="R930" s="96"/>
      <c r="S930" s="96"/>
      <c r="T930" s="96" t="s">
        <v>12</v>
      </c>
      <c r="U930" s="237">
        <v>85228200.18037653</v>
      </c>
      <c r="V930" s="330"/>
      <c r="W930" s="136"/>
      <c r="X930" s="206" t="str">
        <f t="shared" si="249"/>
        <v>4.15.06</v>
      </c>
      <c r="Y930" s="207" t="str">
        <f t="shared" si="250"/>
        <v>INSTALASI GARDU LISTRIK</v>
      </c>
      <c r="Z930" s="207">
        <f t="shared" si="251"/>
        <v>40</v>
      </c>
      <c r="AA930" s="233">
        <f t="shared" si="228"/>
        <v>2130704.7545094131</v>
      </c>
      <c r="AB930" s="208">
        <f t="shared" si="252"/>
        <v>0</v>
      </c>
      <c r="AC930" s="233">
        <f t="shared" si="253"/>
        <v>0</v>
      </c>
      <c r="AD930" s="233">
        <f t="shared" si="254"/>
        <v>2130704.7545094131</v>
      </c>
      <c r="AE930" s="233">
        <f t="shared" si="255"/>
        <v>2130704.7545094131</v>
      </c>
      <c r="AF930" s="233">
        <f t="shared" si="256"/>
        <v>2130704.7545094131</v>
      </c>
      <c r="AG930" s="233">
        <f t="shared" si="257"/>
        <v>2130704.7545094131</v>
      </c>
      <c r="AH930" s="238">
        <f t="shared" si="258"/>
        <v>2130704.7545094131</v>
      </c>
      <c r="AI930" s="238">
        <f t="shared" si="259"/>
        <v>10653523.772547066</v>
      </c>
      <c r="AJ930" s="261">
        <f t="shared" si="260"/>
        <v>2013</v>
      </c>
      <c r="AK930" s="233">
        <f t="shared" si="261"/>
        <v>74574676.407829463</v>
      </c>
    </row>
    <row r="931" spans="6:39" s="116" customFormat="1" ht="35.25" hidden="1" customHeight="1" x14ac:dyDescent="0.2">
      <c r="F931" s="218" t="s">
        <v>2308</v>
      </c>
      <c r="G931" s="153"/>
      <c r="H931" s="65" t="s">
        <v>3513</v>
      </c>
      <c r="I931" s="330"/>
      <c r="J931" s="96"/>
      <c r="K931" s="32"/>
      <c r="L931" s="362"/>
      <c r="M931" s="67"/>
      <c r="N931" s="362"/>
      <c r="O931" s="59"/>
      <c r="P931" s="330">
        <v>2015</v>
      </c>
      <c r="Q931" s="96"/>
      <c r="R931" s="96"/>
      <c r="S931" s="96"/>
      <c r="T931" s="96" t="s">
        <v>12</v>
      </c>
      <c r="U931" s="237">
        <v>394888000</v>
      </c>
      <c r="V931" s="330"/>
      <c r="W931" s="136"/>
      <c r="X931" s="206" t="str">
        <f t="shared" si="249"/>
        <v>4.15.06</v>
      </c>
      <c r="Y931" s="207" t="str">
        <f t="shared" si="250"/>
        <v>INSTALASI GARDU LISTRIK</v>
      </c>
      <c r="Z931" s="207">
        <f t="shared" si="251"/>
        <v>40</v>
      </c>
      <c r="AA931" s="233">
        <f t="shared" si="228"/>
        <v>9872199.75</v>
      </c>
      <c r="AB931" s="208"/>
      <c r="AC931" s="233">
        <f t="shared" si="253"/>
        <v>0</v>
      </c>
      <c r="AD931" s="233"/>
      <c r="AE931" s="233">
        <f t="shared" si="255"/>
        <v>9872199.75</v>
      </c>
      <c r="AF931" s="233">
        <f t="shared" si="256"/>
        <v>9872199.75</v>
      </c>
      <c r="AG931" s="233">
        <f t="shared" si="257"/>
        <v>9872199.75</v>
      </c>
      <c r="AH931" s="238">
        <f t="shared" si="258"/>
        <v>9872199.75</v>
      </c>
      <c r="AI931" s="238">
        <f t="shared" si="259"/>
        <v>39488799</v>
      </c>
      <c r="AJ931" s="261">
        <f t="shared" si="260"/>
        <v>2015</v>
      </c>
      <c r="AK931" s="233">
        <f t="shared" si="261"/>
        <v>355399201</v>
      </c>
    </row>
    <row r="932" spans="6:39" s="116" customFormat="1" ht="35.25" hidden="1" customHeight="1" x14ac:dyDescent="0.2">
      <c r="G932" s="73"/>
      <c r="H932" s="330"/>
      <c r="I932" s="186"/>
      <c r="J932" s="186"/>
      <c r="K932" s="186"/>
      <c r="L932" s="365"/>
      <c r="M932" s="369"/>
      <c r="N932" s="374"/>
      <c r="O932" s="65"/>
      <c r="P932" s="32"/>
      <c r="Q932" s="67"/>
      <c r="R932" s="67"/>
      <c r="S932" s="67"/>
      <c r="T932" s="67"/>
      <c r="U932" s="252"/>
      <c r="V932" s="32"/>
      <c r="W932" s="132"/>
      <c r="AA932" s="233"/>
      <c r="AC932" s="233"/>
      <c r="AD932" s="233"/>
      <c r="AE932" s="233"/>
      <c r="AF932" s="233"/>
      <c r="AG932" s="233"/>
      <c r="AH932" s="233"/>
      <c r="AI932" s="233"/>
      <c r="AJ932" s="233"/>
      <c r="AK932" s="233"/>
    </row>
    <row r="933" spans="6:39" s="116" customFormat="1" ht="35.25" hidden="1" customHeight="1" x14ac:dyDescent="0.2">
      <c r="G933" s="73"/>
      <c r="H933" s="330"/>
      <c r="I933" s="32"/>
      <c r="J933" s="67"/>
      <c r="K933" s="32"/>
      <c r="L933" s="362"/>
      <c r="M933" s="67"/>
      <c r="N933" s="362"/>
      <c r="O933" s="65"/>
      <c r="P933" s="32"/>
      <c r="Q933" s="67"/>
      <c r="R933" s="67"/>
      <c r="S933" s="67"/>
      <c r="T933" s="67"/>
      <c r="U933" s="252"/>
      <c r="V933" s="32"/>
      <c r="W933" s="132"/>
      <c r="AA933" s="233"/>
      <c r="AC933" s="233"/>
      <c r="AD933" s="233"/>
      <c r="AE933" s="233"/>
      <c r="AF933" s="233"/>
      <c r="AG933" s="233"/>
      <c r="AH933" s="233"/>
      <c r="AI933" s="233"/>
      <c r="AJ933" s="233"/>
      <c r="AK933" s="233"/>
    </row>
    <row r="934" spans="6:39" s="116" customFormat="1" ht="35.25" hidden="1" customHeight="1" x14ac:dyDescent="0.2">
      <c r="G934" s="153" t="s">
        <v>861</v>
      </c>
      <c r="H934" s="96" t="s">
        <v>1605</v>
      </c>
      <c r="I934" s="330"/>
      <c r="J934" s="96"/>
      <c r="K934" s="32"/>
      <c r="L934" s="362"/>
      <c r="M934" s="67"/>
      <c r="N934" s="362"/>
      <c r="O934" s="59"/>
      <c r="P934" s="330"/>
      <c r="Q934" s="96"/>
      <c r="R934" s="96"/>
      <c r="S934" s="96"/>
      <c r="T934" s="96"/>
      <c r="U934" s="237">
        <f>SUM(U935:U1027)</f>
        <v>54991004906.995781</v>
      </c>
      <c r="V934" s="330"/>
      <c r="W934" s="136"/>
      <c r="AA934" s="233"/>
      <c r="AC934" s="237">
        <f>SUM(AC935:AC1024)</f>
        <v>8538753045.2184095</v>
      </c>
      <c r="AD934" s="237">
        <f>SUM(AD935:AD1024)</f>
        <v>1741809201.5665264</v>
      </c>
      <c r="AE934" s="237">
        <f>SUM(AE935:AE1024)</f>
        <v>1746403634.5665264</v>
      </c>
      <c r="AF934" s="237">
        <f>SUM(AF935:AF1024)</f>
        <v>1796329533.5665264</v>
      </c>
      <c r="AG934" s="237">
        <f>SUM(AG935:AG1024)</f>
        <v>1796329533.5665264</v>
      </c>
      <c r="AH934" s="237" t="e">
        <f>SUM(AH935:AH1027)</f>
        <v>#N/A</v>
      </c>
      <c r="AI934" s="237" t="e">
        <f>SUM(AI935:AI1027)</f>
        <v>#N/A</v>
      </c>
      <c r="AJ934" s="237">
        <f>SUM(AJ935:AJ1027)</f>
        <v>186944</v>
      </c>
      <c r="AK934" s="237" t="e">
        <f>SUM(AK935:AK1027)</f>
        <v>#N/A</v>
      </c>
      <c r="AL934" s="219" t="e">
        <f>AI934-AH934</f>
        <v>#N/A</v>
      </c>
      <c r="AM934" s="312">
        <f>SUM(AC934:AF934)</f>
        <v>13823295414.917988</v>
      </c>
    </row>
    <row r="935" spans="6:39" s="116" customFormat="1" ht="35.25" hidden="1" customHeight="1" x14ac:dyDescent="0.2">
      <c r="F935" s="218" t="s">
        <v>2307</v>
      </c>
      <c r="G935" s="73"/>
      <c r="H935" s="65" t="s">
        <v>1470</v>
      </c>
      <c r="I935" s="32"/>
      <c r="J935" s="67"/>
      <c r="K935" s="32"/>
      <c r="L935" s="362"/>
      <c r="M935" s="67"/>
      <c r="N935" s="362"/>
      <c r="O935" s="65" t="s">
        <v>3549</v>
      </c>
      <c r="P935" s="32">
        <v>2007</v>
      </c>
      <c r="Q935" s="67"/>
      <c r="R935" s="67"/>
      <c r="S935" s="67"/>
      <c r="T935" s="32" t="s">
        <v>12</v>
      </c>
      <c r="U935" s="252">
        <v>10790891754</v>
      </c>
      <c r="V935" s="32" t="s">
        <v>43</v>
      </c>
      <c r="W935" s="132"/>
      <c r="X935" s="206" t="str">
        <f t="shared" ref="X935:X966" si="262">F935</f>
        <v>4.16.01</v>
      </c>
      <c r="Y935" s="207" t="str">
        <f t="shared" ref="Y935:Y998" si="263">VLOOKUP(X935,kelompok,2,0)</f>
        <v>JARINGAN AIR MINUM</v>
      </c>
      <c r="Z935" s="207">
        <f t="shared" ref="Z935:Z998" si="264">VLOOKUP(X935,MASAMANFAAT,4,0)</f>
        <v>30</v>
      </c>
      <c r="AA935" s="233">
        <f t="shared" ref="AA935:AA998" si="265">(U935-10)/Z935</f>
        <v>359696391.46666664</v>
      </c>
      <c r="AB935" s="208">
        <f t="shared" ref="AB935:AB998" si="266">2013-AJ935</f>
        <v>6</v>
      </c>
      <c r="AC935" s="233">
        <f t="shared" ref="AC935:AC998" si="267">IF(AB935&gt;Z935,U935-10,AA935*AB935)</f>
        <v>2158178348.7999997</v>
      </c>
      <c r="AD935" s="233">
        <f t="shared" ref="AD935:AD998" si="268">IF(U935-10=AC935,0,AA935)</f>
        <v>359696391.46666664</v>
      </c>
      <c r="AE935" s="233">
        <f t="shared" ref="AE935:AE998" si="269">IF(U935-10=AC935+AD935,0,AA935)</f>
        <v>359696391.46666664</v>
      </c>
      <c r="AF935" s="233">
        <f t="shared" ref="AF935:AF998" si="270">IF(U935-10=AC935+AD935+AE935,0,AA935)</f>
        <v>359696391.46666664</v>
      </c>
      <c r="AG935" s="233">
        <f t="shared" ref="AG935:AG998" si="271">IF(U935-10=AD935+AE935+AF935+AC935,0,AA935)</f>
        <v>359696391.46666664</v>
      </c>
      <c r="AH935" s="238">
        <f t="shared" ref="AH935:AH998" si="272">IF(U935-10=AD935+AE935+AF935+AC935+AG935,0,AA935)</f>
        <v>359696391.46666664</v>
      </c>
      <c r="AI935" s="238">
        <f t="shared" ref="AI935:AI998" si="273">SUM(AC935:AH935)</f>
        <v>3956660306.1333332</v>
      </c>
      <c r="AJ935" s="261">
        <f t="shared" ref="AJ935:AJ998" si="274">P935</f>
        <v>2007</v>
      </c>
      <c r="AK935" s="233">
        <f t="shared" ref="AK935:AK998" si="275">U935-AI935</f>
        <v>6834231447.8666668</v>
      </c>
    </row>
    <row r="936" spans="6:39" s="116" customFormat="1" ht="35.25" hidden="1" customHeight="1" x14ac:dyDescent="0.2">
      <c r="F936" s="218" t="s">
        <v>2307</v>
      </c>
      <c r="G936" s="73"/>
      <c r="H936" s="65" t="s">
        <v>1606</v>
      </c>
      <c r="I936" s="32" t="s">
        <v>3565</v>
      </c>
      <c r="J936" s="67"/>
      <c r="K936" s="32"/>
      <c r="L936" s="362"/>
      <c r="M936" s="67"/>
      <c r="N936" s="362"/>
      <c r="O936" s="65" t="s">
        <v>3549</v>
      </c>
      <c r="P936" s="32">
        <v>2007</v>
      </c>
      <c r="Q936" s="67"/>
      <c r="R936" s="67"/>
      <c r="S936" s="67"/>
      <c r="T936" s="32" t="s">
        <v>12</v>
      </c>
      <c r="U936" s="252">
        <v>1519697850</v>
      </c>
      <c r="V936" s="32" t="s">
        <v>43</v>
      </c>
      <c r="W936" s="132"/>
      <c r="X936" s="206" t="str">
        <f t="shared" si="262"/>
        <v>4.16.01</v>
      </c>
      <c r="Y936" s="207" t="str">
        <f t="shared" si="263"/>
        <v>JARINGAN AIR MINUM</v>
      </c>
      <c r="Z936" s="207">
        <f t="shared" si="264"/>
        <v>30</v>
      </c>
      <c r="AA936" s="233">
        <f t="shared" si="265"/>
        <v>50656594.666666664</v>
      </c>
      <c r="AB936" s="208">
        <f t="shared" si="266"/>
        <v>6</v>
      </c>
      <c r="AC936" s="233">
        <f t="shared" si="267"/>
        <v>303939568</v>
      </c>
      <c r="AD936" s="233">
        <f t="shared" si="268"/>
        <v>50656594.666666664</v>
      </c>
      <c r="AE936" s="233">
        <f t="shared" si="269"/>
        <v>50656594.666666664</v>
      </c>
      <c r="AF936" s="233">
        <f t="shared" si="270"/>
        <v>50656594.666666664</v>
      </c>
      <c r="AG936" s="233">
        <f t="shared" si="271"/>
        <v>50656594.666666664</v>
      </c>
      <c r="AH936" s="238">
        <f t="shared" si="272"/>
        <v>50656594.666666664</v>
      </c>
      <c r="AI936" s="238">
        <f t="shared" si="273"/>
        <v>557222541.33333337</v>
      </c>
      <c r="AJ936" s="261">
        <f t="shared" si="274"/>
        <v>2007</v>
      </c>
      <c r="AK936" s="233">
        <f t="shared" si="275"/>
        <v>962475308.66666663</v>
      </c>
    </row>
    <row r="937" spans="6:39" s="116" customFormat="1" ht="35.25" hidden="1" customHeight="1" x14ac:dyDescent="0.2">
      <c r="F937" s="218" t="s">
        <v>2307</v>
      </c>
      <c r="G937" s="73"/>
      <c r="H937" s="65" t="s">
        <v>1607</v>
      </c>
      <c r="I937" s="32" t="s">
        <v>3565</v>
      </c>
      <c r="J937" s="67"/>
      <c r="K937" s="32"/>
      <c r="L937" s="362"/>
      <c r="M937" s="67"/>
      <c r="N937" s="362"/>
      <c r="O937" s="65" t="s">
        <v>3549</v>
      </c>
      <c r="P937" s="32">
        <v>2007</v>
      </c>
      <c r="Q937" s="67"/>
      <c r="R937" s="67"/>
      <c r="S937" s="67"/>
      <c r="T937" s="32" t="s">
        <v>12</v>
      </c>
      <c r="U937" s="252">
        <v>9817024325</v>
      </c>
      <c r="V937" s="32" t="s">
        <v>43</v>
      </c>
      <c r="W937" s="132"/>
      <c r="X937" s="206" t="str">
        <f t="shared" si="262"/>
        <v>4.16.01</v>
      </c>
      <c r="Y937" s="207" t="str">
        <f t="shared" si="263"/>
        <v>JARINGAN AIR MINUM</v>
      </c>
      <c r="Z937" s="207">
        <f t="shared" si="264"/>
        <v>30</v>
      </c>
      <c r="AA937" s="233">
        <f t="shared" si="265"/>
        <v>327234143.83333331</v>
      </c>
      <c r="AB937" s="208">
        <f t="shared" si="266"/>
        <v>6</v>
      </c>
      <c r="AC937" s="233">
        <f t="shared" si="267"/>
        <v>1963404863</v>
      </c>
      <c r="AD937" s="233">
        <f t="shared" si="268"/>
        <v>327234143.83333331</v>
      </c>
      <c r="AE937" s="233">
        <f t="shared" si="269"/>
        <v>327234143.83333331</v>
      </c>
      <c r="AF937" s="233">
        <f t="shared" si="270"/>
        <v>327234143.83333331</v>
      </c>
      <c r="AG937" s="233">
        <f t="shared" si="271"/>
        <v>327234143.83333331</v>
      </c>
      <c r="AH937" s="238">
        <f t="shared" si="272"/>
        <v>327234143.83333331</v>
      </c>
      <c r="AI937" s="238">
        <f t="shared" si="273"/>
        <v>3599575582.1666675</v>
      </c>
      <c r="AJ937" s="261">
        <f t="shared" si="274"/>
        <v>2007</v>
      </c>
      <c r="AK937" s="233">
        <f t="shared" si="275"/>
        <v>6217448742.8333321</v>
      </c>
    </row>
    <row r="938" spans="6:39" s="116" customFormat="1" ht="62.25" hidden="1" customHeight="1" x14ac:dyDescent="0.2">
      <c r="F938" s="218" t="s">
        <v>2307</v>
      </c>
      <c r="G938" s="73"/>
      <c r="H938" s="65" t="s">
        <v>1608</v>
      </c>
      <c r="I938" s="32" t="s">
        <v>3565</v>
      </c>
      <c r="J938" s="67"/>
      <c r="K938" s="32"/>
      <c r="L938" s="362"/>
      <c r="M938" s="67"/>
      <c r="N938" s="362"/>
      <c r="O938" s="65" t="s">
        <v>3549</v>
      </c>
      <c r="P938" s="32">
        <v>2007</v>
      </c>
      <c r="Q938" s="67"/>
      <c r="R938" s="67"/>
      <c r="S938" s="67"/>
      <c r="T938" s="32" t="s">
        <v>12</v>
      </c>
      <c r="U938" s="252">
        <v>2336767000</v>
      </c>
      <c r="V938" s="32" t="s">
        <v>43</v>
      </c>
      <c r="W938" s="132"/>
      <c r="X938" s="206" t="str">
        <f t="shared" si="262"/>
        <v>4.16.01</v>
      </c>
      <c r="Y938" s="207" t="str">
        <f t="shared" si="263"/>
        <v>JARINGAN AIR MINUM</v>
      </c>
      <c r="Z938" s="207">
        <f t="shared" si="264"/>
        <v>30</v>
      </c>
      <c r="AA938" s="233">
        <f t="shared" si="265"/>
        <v>77892233</v>
      </c>
      <c r="AB938" s="208">
        <f t="shared" si="266"/>
        <v>6</v>
      </c>
      <c r="AC938" s="233">
        <f t="shared" si="267"/>
        <v>467353398</v>
      </c>
      <c r="AD938" s="233">
        <f t="shared" si="268"/>
        <v>77892233</v>
      </c>
      <c r="AE938" s="233">
        <f t="shared" si="269"/>
        <v>77892233</v>
      </c>
      <c r="AF938" s="233">
        <f t="shared" si="270"/>
        <v>77892233</v>
      </c>
      <c r="AG938" s="233">
        <f t="shared" si="271"/>
        <v>77892233</v>
      </c>
      <c r="AH938" s="238">
        <f t="shared" si="272"/>
        <v>77892233</v>
      </c>
      <c r="AI938" s="238">
        <f t="shared" si="273"/>
        <v>856814563</v>
      </c>
      <c r="AJ938" s="261">
        <f t="shared" si="274"/>
        <v>2007</v>
      </c>
      <c r="AK938" s="233">
        <f t="shared" si="275"/>
        <v>1479952437</v>
      </c>
    </row>
    <row r="939" spans="6:39" s="116" customFormat="1" ht="62.25" hidden="1" customHeight="1" x14ac:dyDescent="0.2">
      <c r="F939" s="218" t="s">
        <v>2307</v>
      </c>
      <c r="G939" s="73"/>
      <c r="H939" s="65" t="s">
        <v>1609</v>
      </c>
      <c r="I939" s="32" t="s">
        <v>3565</v>
      </c>
      <c r="J939" s="67"/>
      <c r="K939" s="32"/>
      <c r="L939" s="362"/>
      <c r="M939" s="67"/>
      <c r="N939" s="362"/>
      <c r="O939" s="65" t="s">
        <v>3549</v>
      </c>
      <c r="P939" s="32">
        <v>2007</v>
      </c>
      <c r="Q939" s="67"/>
      <c r="R939" s="67"/>
      <c r="S939" s="67"/>
      <c r="T939" s="32" t="s">
        <v>12</v>
      </c>
      <c r="U939" s="252">
        <v>1300003636.4000001</v>
      </c>
      <c r="V939" s="32" t="s">
        <v>43</v>
      </c>
      <c r="W939" s="132"/>
      <c r="X939" s="206" t="str">
        <f t="shared" si="262"/>
        <v>4.16.01</v>
      </c>
      <c r="Y939" s="207" t="str">
        <f t="shared" si="263"/>
        <v>JARINGAN AIR MINUM</v>
      </c>
      <c r="Z939" s="207">
        <f t="shared" si="264"/>
        <v>30</v>
      </c>
      <c r="AA939" s="233">
        <f t="shared" si="265"/>
        <v>43333454.213333338</v>
      </c>
      <c r="AB939" s="208">
        <f t="shared" si="266"/>
        <v>6</v>
      </c>
      <c r="AC939" s="233">
        <f t="shared" si="267"/>
        <v>260000725.28000003</v>
      </c>
      <c r="AD939" s="233">
        <f t="shared" si="268"/>
        <v>43333454.213333338</v>
      </c>
      <c r="AE939" s="233">
        <f t="shared" si="269"/>
        <v>43333454.213333338</v>
      </c>
      <c r="AF939" s="233">
        <f t="shared" si="270"/>
        <v>43333454.213333338</v>
      </c>
      <c r="AG939" s="233">
        <f t="shared" si="271"/>
        <v>43333454.213333338</v>
      </c>
      <c r="AH939" s="238">
        <f t="shared" si="272"/>
        <v>43333454.213333338</v>
      </c>
      <c r="AI939" s="238">
        <f t="shared" si="273"/>
        <v>476667996.34666681</v>
      </c>
      <c r="AJ939" s="261">
        <f t="shared" si="274"/>
        <v>2007</v>
      </c>
      <c r="AK939" s="233">
        <f t="shared" si="275"/>
        <v>823335640.05333328</v>
      </c>
    </row>
    <row r="940" spans="6:39" s="116" customFormat="1" ht="62.25" hidden="1" customHeight="1" x14ac:dyDescent="0.2">
      <c r="F940" s="218" t="s">
        <v>2307</v>
      </c>
      <c r="G940" s="73"/>
      <c r="H940" s="65" t="s">
        <v>1609</v>
      </c>
      <c r="I940" s="32" t="s">
        <v>3565</v>
      </c>
      <c r="J940" s="67"/>
      <c r="K940" s="32"/>
      <c r="L940" s="362"/>
      <c r="M940" s="67"/>
      <c r="N940" s="362"/>
      <c r="O940" s="65" t="s">
        <v>3549</v>
      </c>
      <c r="P940" s="32">
        <v>2007</v>
      </c>
      <c r="Q940" s="67"/>
      <c r="R940" s="67"/>
      <c r="S940" s="67"/>
      <c r="T940" s="32" t="s">
        <v>12</v>
      </c>
      <c r="U940" s="252">
        <v>130000363.59999999</v>
      </c>
      <c r="V940" s="32" t="s">
        <v>43</v>
      </c>
      <c r="W940" s="132"/>
      <c r="X940" s="206" t="str">
        <f t="shared" si="262"/>
        <v>4.16.01</v>
      </c>
      <c r="Y940" s="207" t="str">
        <f t="shared" si="263"/>
        <v>JARINGAN AIR MINUM</v>
      </c>
      <c r="Z940" s="207">
        <f t="shared" si="264"/>
        <v>30</v>
      </c>
      <c r="AA940" s="233">
        <f t="shared" si="265"/>
        <v>4333345.12</v>
      </c>
      <c r="AB940" s="208">
        <f t="shared" si="266"/>
        <v>6</v>
      </c>
      <c r="AC940" s="233">
        <f t="shared" si="267"/>
        <v>26000070.719999999</v>
      </c>
      <c r="AD940" s="233">
        <f t="shared" si="268"/>
        <v>4333345.12</v>
      </c>
      <c r="AE940" s="233">
        <f t="shared" si="269"/>
        <v>4333345.12</v>
      </c>
      <c r="AF940" s="233">
        <f t="shared" si="270"/>
        <v>4333345.12</v>
      </c>
      <c r="AG940" s="233">
        <f t="shared" si="271"/>
        <v>4333345.12</v>
      </c>
      <c r="AH940" s="238">
        <f t="shared" si="272"/>
        <v>4333345.12</v>
      </c>
      <c r="AI940" s="238">
        <f t="shared" si="273"/>
        <v>47666796.319999993</v>
      </c>
      <c r="AJ940" s="261">
        <f t="shared" si="274"/>
        <v>2007</v>
      </c>
      <c r="AK940" s="233">
        <f t="shared" si="275"/>
        <v>82333567.280000001</v>
      </c>
    </row>
    <row r="941" spans="6:39" s="116" customFormat="1" ht="62.25" hidden="1" customHeight="1" x14ac:dyDescent="0.2">
      <c r="F941" s="218" t="s">
        <v>2307</v>
      </c>
      <c r="G941" s="73"/>
      <c r="H941" s="65" t="s">
        <v>1610</v>
      </c>
      <c r="I941" s="32" t="s">
        <v>3565</v>
      </c>
      <c r="J941" s="67"/>
      <c r="K941" s="32"/>
      <c r="L941" s="362"/>
      <c r="M941" s="67"/>
      <c r="N941" s="362"/>
      <c r="O941" s="65" t="s">
        <v>3549</v>
      </c>
      <c r="P941" s="32">
        <v>2007</v>
      </c>
      <c r="Q941" s="67"/>
      <c r="R941" s="67"/>
      <c r="S941" s="67"/>
      <c r="T941" s="32" t="s">
        <v>12</v>
      </c>
      <c r="U941" s="252">
        <v>993901000</v>
      </c>
      <c r="V941" s="32" t="s">
        <v>43</v>
      </c>
      <c r="W941" s="132"/>
      <c r="X941" s="206" t="str">
        <f t="shared" si="262"/>
        <v>4.16.01</v>
      </c>
      <c r="Y941" s="207" t="str">
        <f t="shared" si="263"/>
        <v>JARINGAN AIR MINUM</v>
      </c>
      <c r="Z941" s="207">
        <f t="shared" si="264"/>
        <v>30</v>
      </c>
      <c r="AA941" s="233">
        <f t="shared" si="265"/>
        <v>33130033</v>
      </c>
      <c r="AB941" s="208">
        <f t="shared" si="266"/>
        <v>6</v>
      </c>
      <c r="AC941" s="233">
        <f t="shared" si="267"/>
        <v>198780198</v>
      </c>
      <c r="AD941" s="233">
        <f t="shared" si="268"/>
        <v>33130033</v>
      </c>
      <c r="AE941" s="233">
        <f t="shared" si="269"/>
        <v>33130033</v>
      </c>
      <c r="AF941" s="233">
        <f t="shared" si="270"/>
        <v>33130033</v>
      </c>
      <c r="AG941" s="233">
        <f t="shared" si="271"/>
        <v>33130033</v>
      </c>
      <c r="AH941" s="238">
        <f t="shared" si="272"/>
        <v>33130033</v>
      </c>
      <c r="AI941" s="238">
        <f t="shared" si="273"/>
        <v>364430363</v>
      </c>
      <c r="AJ941" s="261">
        <f t="shared" si="274"/>
        <v>2007</v>
      </c>
      <c r="AK941" s="233">
        <f t="shared" si="275"/>
        <v>629470637</v>
      </c>
    </row>
    <row r="942" spans="6:39" s="116" customFormat="1" ht="62.25" hidden="1" customHeight="1" x14ac:dyDescent="0.2">
      <c r="F942" s="218" t="s">
        <v>2307</v>
      </c>
      <c r="G942" s="73"/>
      <c r="H942" s="65" t="s">
        <v>1611</v>
      </c>
      <c r="I942" s="32" t="s">
        <v>3566</v>
      </c>
      <c r="J942" s="67"/>
      <c r="K942" s="32"/>
      <c r="L942" s="362"/>
      <c r="M942" s="67"/>
      <c r="N942" s="362"/>
      <c r="O942" s="65" t="s">
        <v>3549</v>
      </c>
      <c r="P942" s="32">
        <v>2007</v>
      </c>
      <c r="Q942" s="67"/>
      <c r="R942" s="67"/>
      <c r="S942" s="67"/>
      <c r="T942" s="32" t="s">
        <v>12</v>
      </c>
      <c r="U942" s="252">
        <v>474381180</v>
      </c>
      <c r="V942" s="32" t="s">
        <v>43</v>
      </c>
      <c r="W942" s="132"/>
      <c r="X942" s="206" t="str">
        <f t="shared" si="262"/>
        <v>4.16.01</v>
      </c>
      <c r="Y942" s="207" t="str">
        <f t="shared" si="263"/>
        <v>JARINGAN AIR MINUM</v>
      </c>
      <c r="Z942" s="207">
        <f t="shared" si="264"/>
        <v>30</v>
      </c>
      <c r="AA942" s="233">
        <f t="shared" si="265"/>
        <v>15812705.666666666</v>
      </c>
      <c r="AB942" s="208">
        <f t="shared" si="266"/>
        <v>6</v>
      </c>
      <c r="AC942" s="233">
        <f t="shared" si="267"/>
        <v>94876234</v>
      </c>
      <c r="AD942" s="233">
        <f t="shared" si="268"/>
        <v>15812705.666666666</v>
      </c>
      <c r="AE942" s="233">
        <f t="shared" si="269"/>
        <v>15812705.666666666</v>
      </c>
      <c r="AF942" s="233">
        <f t="shared" si="270"/>
        <v>15812705.666666666</v>
      </c>
      <c r="AG942" s="233">
        <f t="shared" si="271"/>
        <v>15812705.666666666</v>
      </c>
      <c r="AH942" s="238">
        <f t="shared" si="272"/>
        <v>15812705.666666666</v>
      </c>
      <c r="AI942" s="238">
        <f t="shared" si="273"/>
        <v>173939762.33333331</v>
      </c>
      <c r="AJ942" s="261">
        <f t="shared" si="274"/>
        <v>2007</v>
      </c>
      <c r="AK942" s="233">
        <f t="shared" si="275"/>
        <v>300441417.66666669</v>
      </c>
    </row>
    <row r="943" spans="6:39" s="116" customFormat="1" ht="62.25" hidden="1" customHeight="1" x14ac:dyDescent="0.2">
      <c r="F943" s="218" t="s">
        <v>2307</v>
      </c>
      <c r="G943" s="73"/>
      <c r="H943" s="65" t="s">
        <v>1612</v>
      </c>
      <c r="I943" s="32" t="s">
        <v>3566</v>
      </c>
      <c r="J943" s="67"/>
      <c r="K943" s="32"/>
      <c r="L943" s="362"/>
      <c r="M943" s="67"/>
      <c r="N943" s="362"/>
      <c r="O943" s="65" t="s">
        <v>3549</v>
      </c>
      <c r="P943" s="32">
        <v>2007</v>
      </c>
      <c r="Q943" s="67"/>
      <c r="R943" s="67"/>
      <c r="S943" s="67"/>
      <c r="T943" s="32" t="s">
        <v>12</v>
      </c>
      <c r="U943" s="252">
        <v>2703573800</v>
      </c>
      <c r="V943" s="32" t="s">
        <v>43</v>
      </c>
      <c r="W943" s="132"/>
      <c r="X943" s="206" t="str">
        <f t="shared" si="262"/>
        <v>4.16.01</v>
      </c>
      <c r="Y943" s="207" t="str">
        <f t="shared" si="263"/>
        <v>JARINGAN AIR MINUM</v>
      </c>
      <c r="Z943" s="207">
        <f t="shared" si="264"/>
        <v>30</v>
      </c>
      <c r="AA943" s="233">
        <f t="shared" si="265"/>
        <v>90119126.333333328</v>
      </c>
      <c r="AB943" s="208">
        <f t="shared" si="266"/>
        <v>6</v>
      </c>
      <c r="AC943" s="233">
        <f t="shared" si="267"/>
        <v>540714758</v>
      </c>
      <c r="AD943" s="233">
        <f t="shared" si="268"/>
        <v>90119126.333333328</v>
      </c>
      <c r="AE943" s="233">
        <f t="shared" si="269"/>
        <v>90119126.333333328</v>
      </c>
      <c r="AF943" s="233">
        <f t="shared" si="270"/>
        <v>90119126.333333328</v>
      </c>
      <c r="AG943" s="233">
        <f t="shared" si="271"/>
        <v>90119126.333333328</v>
      </c>
      <c r="AH943" s="238">
        <f t="shared" si="272"/>
        <v>90119126.333333328</v>
      </c>
      <c r="AI943" s="238">
        <f t="shared" si="273"/>
        <v>991310389.66666687</v>
      </c>
      <c r="AJ943" s="261">
        <f t="shared" si="274"/>
        <v>2007</v>
      </c>
      <c r="AK943" s="233">
        <f t="shared" si="275"/>
        <v>1712263410.333333</v>
      </c>
    </row>
    <row r="944" spans="6:39" s="48" customFormat="1" ht="62.25" hidden="1" customHeight="1" x14ac:dyDescent="0.2">
      <c r="F944" s="218" t="s">
        <v>2307</v>
      </c>
      <c r="G944" s="137"/>
      <c r="H944" s="65" t="s">
        <v>1613</v>
      </c>
      <c r="I944" s="32" t="s">
        <v>3565</v>
      </c>
      <c r="J944" s="67"/>
      <c r="K944" s="32"/>
      <c r="L944" s="362"/>
      <c r="M944" s="67"/>
      <c r="N944" s="362"/>
      <c r="O944" s="65" t="s">
        <v>3549</v>
      </c>
      <c r="P944" s="32">
        <v>2007</v>
      </c>
      <c r="Q944" s="67"/>
      <c r="R944" s="67"/>
      <c r="S944" s="67"/>
      <c r="T944" s="32" t="s">
        <v>12</v>
      </c>
      <c r="U944" s="252">
        <v>44799000</v>
      </c>
      <c r="V944" s="32" t="s">
        <v>43</v>
      </c>
      <c r="W944" s="132"/>
      <c r="X944" s="206" t="str">
        <f t="shared" si="262"/>
        <v>4.16.01</v>
      </c>
      <c r="Y944" s="207" t="str">
        <f t="shared" si="263"/>
        <v>JARINGAN AIR MINUM</v>
      </c>
      <c r="Z944" s="207">
        <f t="shared" si="264"/>
        <v>30</v>
      </c>
      <c r="AA944" s="233">
        <f t="shared" si="265"/>
        <v>1493299.6666666667</v>
      </c>
      <c r="AB944" s="208">
        <f t="shared" si="266"/>
        <v>6</v>
      </c>
      <c r="AC944" s="233">
        <f t="shared" si="267"/>
        <v>8959798</v>
      </c>
      <c r="AD944" s="233">
        <f t="shared" si="268"/>
        <v>1493299.6666666667</v>
      </c>
      <c r="AE944" s="233">
        <f t="shared" si="269"/>
        <v>1493299.6666666667</v>
      </c>
      <c r="AF944" s="233">
        <f t="shared" si="270"/>
        <v>1493299.6666666667</v>
      </c>
      <c r="AG944" s="233">
        <f t="shared" si="271"/>
        <v>1493299.6666666667</v>
      </c>
      <c r="AH944" s="238">
        <f t="shared" si="272"/>
        <v>1493299.6666666667</v>
      </c>
      <c r="AI944" s="238">
        <f t="shared" si="273"/>
        <v>16426296.33333333</v>
      </c>
      <c r="AJ944" s="261">
        <f t="shared" si="274"/>
        <v>2007</v>
      </c>
      <c r="AK944" s="233">
        <f t="shared" si="275"/>
        <v>28372703.666666672</v>
      </c>
    </row>
    <row r="945" spans="6:37" s="48" customFormat="1" ht="35.25" hidden="1" customHeight="1" x14ac:dyDescent="0.2">
      <c r="F945" s="218" t="s">
        <v>2307</v>
      </c>
      <c r="G945" s="137"/>
      <c r="H945" s="65" t="s">
        <v>1614</v>
      </c>
      <c r="I945" s="32" t="s">
        <v>3566</v>
      </c>
      <c r="J945" s="67"/>
      <c r="K945" s="32"/>
      <c r="L945" s="362"/>
      <c r="M945" s="67"/>
      <c r="N945" s="362"/>
      <c r="O945" s="65" t="s">
        <v>3549</v>
      </c>
      <c r="P945" s="32">
        <v>2008</v>
      </c>
      <c r="Q945" s="67"/>
      <c r="R945" s="67"/>
      <c r="S945" s="67"/>
      <c r="T945" s="32" t="s">
        <v>12</v>
      </c>
      <c r="U945" s="252">
        <v>387073802.91121233</v>
      </c>
      <c r="V945" s="32" t="s">
        <v>43</v>
      </c>
      <c r="W945" s="132"/>
      <c r="X945" s="206" t="str">
        <f t="shared" si="262"/>
        <v>4.16.01</v>
      </c>
      <c r="Y945" s="207" t="str">
        <f t="shared" si="263"/>
        <v>JARINGAN AIR MINUM</v>
      </c>
      <c r="Z945" s="207">
        <f t="shared" si="264"/>
        <v>30</v>
      </c>
      <c r="AA945" s="233">
        <f t="shared" si="265"/>
        <v>12902459.763707077</v>
      </c>
      <c r="AB945" s="208">
        <f t="shared" si="266"/>
        <v>5</v>
      </c>
      <c r="AC945" s="233">
        <f t="shared" si="267"/>
        <v>64512298.818535388</v>
      </c>
      <c r="AD945" s="233">
        <f t="shared" si="268"/>
        <v>12902459.763707077</v>
      </c>
      <c r="AE945" s="233">
        <f t="shared" si="269"/>
        <v>12902459.763707077</v>
      </c>
      <c r="AF945" s="233">
        <f t="shared" si="270"/>
        <v>12902459.763707077</v>
      </c>
      <c r="AG945" s="233">
        <f t="shared" si="271"/>
        <v>12902459.763707077</v>
      </c>
      <c r="AH945" s="238">
        <f t="shared" si="272"/>
        <v>12902459.763707077</v>
      </c>
      <c r="AI945" s="238">
        <f t="shared" si="273"/>
        <v>129024597.63707075</v>
      </c>
      <c r="AJ945" s="261">
        <f t="shared" si="274"/>
        <v>2008</v>
      </c>
      <c r="AK945" s="233">
        <f t="shared" si="275"/>
        <v>258049205.27414158</v>
      </c>
    </row>
    <row r="946" spans="6:37" s="48" customFormat="1" ht="35.25" hidden="1" customHeight="1" x14ac:dyDescent="0.2">
      <c r="F946" s="218" t="s">
        <v>2307</v>
      </c>
      <c r="G946" s="138"/>
      <c r="H946" s="65" t="s">
        <v>1615</v>
      </c>
      <c r="I946" s="32" t="s">
        <v>3566</v>
      </c>
      <c r="J946" s="67"/>
      <c r="K946" s="32"/>
      <c r="L946" s="362"/>
      <c r="M946" s="67"/>
      <c r="N946" s="362"/>
      <c r="O946" s="65" t="s">
        <v>3549</v>
      </c>
      <c r="P946" s="32">
        <v>2008</v>
      </c>
      <c r="Q946" s="67"/>
      <c r="R946" s="67"/>
      <c r="S946" s="67"/>
      <c r="T946" s="32" t="s">
        <v>12</v>
      </c>
      <c r="U946" s="252">
        <v>993199090.17379224</v>
      </c>
      <c r="V946" s="32" t="s">
        <v>43</v>
      </c>
      <c r="W946" s="132"/>
      <c r="X946" s="206" t="str">
        <f t="shared" si="262"/>
        <v>4.16.01</v>
      </c>
      <c r="Y946" s="207" t="str">
        <f t="shared" si="263"/>
        <v>JARINGAN AIR MINUM</v>
      </c>
      <c r="Z946" s="207">
        <f t="shared" si="264"/>
        <v>30</v>
      </c>
      <c r="AA946" s="233">
        <f t="shared" si="265"/>
        <v>33106636.005793076</v>
      </c>
      <c r="AB946" s="208">
        <f t="shared" si="266"/>
        <v>5</v>
      </c>
      <c r="AC946" s="233">
        <f t="shared" si="267"/>
        <v>165533180.02896538</v>
      </c>
      <c r="AD946" s="233">
        <f t="shared" si="268"/>
        <v>33106636.005793076</v>
      </c>
      <c r="AE946" s="233">
        <f t="shared" si="269"/>
        <v>33106636.005793076</v>
      </c>
      <c r="AF946" s="233">
        <f t="shared" si="270"/>
        <v>33106636.005793076</v>
      </c>
      <c r="AG946" s="233">
        <f t="shared" si="271"/>
        <v>33106636.005793076</v>
      </c>
      <c r="AH946" s="238">
        <f t="shared" si="272"/>
        <v>33106636.005793076</v>
      </c>
      <c r="AI946" s="238">
        <f t="shared" si="273"/>
        <v>331066360.05793077</v>
      </c>
      <c r="AJ946" s="261">
        <f t="shared" si="274"/>
        <v>2008</v>
      </c>
      <c r="AK946" s="233">
        <f t="shared" si="275"/>
        <v>662132730.11586142</v>
      </c>
    </row>
    <row r="947" spans="6:37" s="48" customFormat="1" ht="35.25" hidden="1" customHeight="1" x14ac:dyDescent="0.2">
      <c r="F947" s="218" t="s">
        <v>2307</v>
      </c>
      <c r="G947" s="138"/>
      <c r="H947" s="65" t="s">
        <v>1616</v>
      </c>
      <c r="I947" s="32" t="s">
        <v>3566</v>
      </c>
      <c r="J947" s="67"/>
      <c r="K947" s="32"/>
      <c r="L947" s="362"/>
      <c r="M947" s="67"/>
      <c r="N947" s="362"/>
      <c r="O947" s="65" t="s">
        <v>3549</v>
      </c>
      <c r="P947" s="32">
        <v>2008</v>
      </c>
      <c r="Q947" s="67"/>
      <c r="R947" s="67"/>
      <c r="S947" s="67"/>
      <c r="T947" s="32" t="s">
        <v>12</v>
      </c>
      <c r="U947" s="252">
        <v>254393659.82620782</v>
      </c>
      <c r="V947" s="32" t="s">
        <v>43</v>
      </c>
      <c r="W947" s="132"/>
      <c r="X947" s="206" t="str">
        <f t="shared" si="262"/>
        <v>4.16.01</v>
      </c>
      <c r="Y947" s="207" t="str">
        <f t="shared" si="263"/>
        <v>JARINGAN AIR MINUM</v>
      </c>
      <c r="Z947" s="207">
        <f t="shared" si="264"/>
        <v>30</v>
      </c>
      <c r="AA947" s="233">
        <f t="shared" si="265"/>
        <v>8479788.3275402598</v>
      </c>
      <c r="AB947" s="208">
        <f t="shared" si="266"/>
        <v>5</v>
      </c>
      <c r="AC947" s="233">
        <f t="shared" si="267"/>
        <v>42398941.637701303</v>
      </c>
      <c r="AD947" s="233">
        <f t="shared" si="268"/>
        <v>8479788.3275402598</v>
      </c>
      <c r="AE947" s="233">
        <f t="shared" si="269"/>
        <v>8479788.3275402598</v>
      </c>
      <c r="AF947" s="233">
        <f t="shared" si="270"/>
        <v>8479788.3275402598</v>
      </c>
      <c r="AG947" s="233">
        <f t="shared" si="271"/>
        <v>8479788.3275402598</v>
      </c>
      <c r="AH947" s="238">
        <f t="shared" si="272"/>
        <v>8479788.3275402598</v>
      </c>
      <c r="AI947" s="238">
        <f t="shared" si="273"/>
        <v>84797883.27540262</v>
      </c>
      <c r="AJ947" s="261">
        <f t="shared" si="274"/>
        <v>2008</v>
      </c>
      <c r="AK947" s="233">
        <f t="shared" si="275"/>
        <v>169595776.55080521</v>
      </c>
    </row>
    <row r="948" spans="6:37" s="48" customFormat="1" ht="35.25" hidden="1" customHeight="1" x14ac:dyDescent="0.2">
      <c r="F948" s="218" t="s">
        <v>2307</v>
      </c>
      <c r="G948" s="73"/>
      <c r="H948" s="65" t="s">
        <v>1617</v>
      </c>
      <c r="I948" s="32" t="s">
        <v>3566</v>
      </c>
      <c r="J948" s="67"/>
      <c r="K948" s="32"/>
      <c r="L948" s="362"/>
      <c r="M948" s="67"/>
      <c r="N948" s="362"/>
      <c r="O948" s="65" t="s">
        <v>3549</v>
      </c>
      <c r="P948" s="32">
        <v>2008</v>
      </c>
      <c r="Q948" s="67"/>
      <c r="R948" s="67"/>
      <c r="S948" s="67"/>
      <c r="T948" s="32" t="s">
        <v>12</v>
      </c>
      <c r="U948" s="252">
        <v>240015540</v>
      </c>
      <c r="V948" s="32" t="s">
        <v>43</v>
      </c>
      <c r="W948" s="132"/>
      <c r="X948" s="206" t="str">
        <f t="shared" si="262"/>
        <v>4.16.01</v>
      </c>
      <c r="Y948" s="207" t="str">
        <f t="shared" si="263"/>
        <v>JARINGAN AIR MINUM</v>
      </c>
      <c r="Z948" s="207">
        <f t="shared" si="264"/>
        <v>30</v>
      </c>
      <c r="AA948" s="233">
        <f t="shared" si="265"/>
        <v>8000517.666666667</v>
      </c>
      <c r="AB948" s="208">
        <f t="shared" si="266"/>
        <v>5</v>
      </c>
      <c r="AC948" s="233">
        <f t="shared" si="267"/>
        <v>40002588.333333336</v>
      </c>
      <c r="AD948" s="233">
        <f t="shared" si="268"/>
        <v>8000517.666666667</v>
      </c>
      <c r="AE948" s="233">
        <f t="shared" si="269"/>
        <v>8000517.666666667</v>
      </c>
      <c r="AF948" s="233">
        <f t="shared" si="270"/>
        <v>8000517.666666667</v>
      </c>
      <c r="AG948" s="233">
        <f t="shared" si="271"/>
        <v>8000517.666666667</v>
      </c>
      <c r="AH948" s="238">
        <f t="shared" si="272"/>
        <v>8000517.666666667</v>
      </c>
      <c r="AI948" s="238">
        <f t="shared" si="273"/>
        <v>80005176.666666672</v>
      </c>
      <c r="AJ948" s="261">
        <f t="shared" si="274"/>
        <v>2008</v>
      </c>
      <c r="AK948" s="233">
        <f t="shared" si="275"/>
        <v>160010363.33333331</v>
      </c>
    </row>
    <row r="949" spans="6:37" s="48" customFormat="1" ht="35.25" hidden="1" customHeight="1" x14ac:dyDescent="0.2">
      <c r="F949" s="218" t="s">
        <v>2307</v>
      </c>
      <c r="G949" s="73"/>
      <c r="H949" s="65" t="s">
        <v>1618</v>
      </c>
      <c r="I949" s="32" t="s">
        <v>3566</v>
      </c>
      <c r="J949" s="67"/>
      <c r="K949" s="32"/>
      <c r="L949" s="362"/>
      <c r="M949" s="67"/>
      <c r="N949" s="362"/>
      <c r="O949" s="65" t="s">
        <v>3549</v>
      </c>
      <c r="P949" s="32">
        <v>2008</v>
      </c>
      <c r="Q949" s="67"/>
      <c r="R949" s="67"/>
      <c r="S949" s="67"/>
      <c r="T949" s="32" t="s">
        <v>12</v>
      </c>
      <c r="U949" s="252">
        <v>162000000</v>
      </c>
      <c r="V949" s="32" t="s">
        <v>43</v>
      </c>
      <c r="W949" s="132"/>
      <c r="X949" s="206" t="str">
        <f t="shared" si="262"/>
        <v>4.16.01</v>
      </c>
      <c r="Y949" s="207" t="str">
        <f t="shared" si="263"/>
        <v>JARINGAN AIR MINUM</v>
      </c>
      <c r="Z949" s="207">
        <f t="shared" si="264"/>
        <v>30</v>
      </c>
      <c r="AA949" s="233">
        <f t="shared" si="265"/>
        <v>5399999.666666667</v>
      </c>
      <c r="AB949" s="208">
        <f t="shared" si="266"/>
        <v>5</v>
      </c>
      <c r="AC949" s="233">
        <f t="shared" si="267"/>
        <v>26999998.333333336</v>
      </c>
      <c r="AD949" s="233">
        <f t="shared" si="268"/>
        <v>5399999.666666667</v>
      </c>
      <c r="AE949" s="233">
        <f t="shared" si="269"/>
        <v>5399999.666666667</v>
      </c>
      <c r="AF949" s="233">
        <f t="shared" si="270"/>
        <v>5399999.666666667</v>
      </c>
      <c r="AG949" s="233">
        <f t="shared" si="271"/>
        <v>5399999.666666667</v>
      </c>
      <c r="AH949" s="238">
        <f t="shared" si="272"/>
        <v>5399999.666666667</v>
      </c>
      <c r="AI949" s="238">
        <f t="shared" si="273"/>
        <v>53999996.666666664</v>
      </c>
      <c r="AJ949" s="261">
        <f t="shared" si="274"/>
        <v>2008</v>
      </c>
      <c r="AK949" s="233">
        <f t="shared" si="275"/>
        <v>108000003.33333334</v>
      </c>
    </row>
    <row r="950" spans="6:37" s="48" customFormat="1" ht="35.25" hidden="1" customHeight="1" x14ac:dyDescent="0.2">
      <c r="F950" s="218" t="s">
        <v>2307</v>
      </c>
      <c r="G950" s="73"/>
      <c r="H950" s="65" t="s">
        <v>1619</v>
      </c>
      <c r="I950" s="32" t="s">
        <v>3565</v>
      </c>
      <c r="J950" s="67"/>
      <c r="K950" s="32"/>
      <c r="L950" s="362"/>
      <c r="M950" s="67"/>
      <c r="N950" s="362"/>
      <c r="O950" s="65" t="s">
        <v>1081</v>
      </c>
      <c r="P950" s="32">
        <v>2008</v>
      </c>
      <c r="Q950" s="67"/>
      <c r="R950" s="67"/>
      <c r="S950" s="67"/>
      <c r="T950" s="32" t="s">
        <v>12</v>
      </c>
      <c r="U950" s="252">
        <v>133560660.74659312</v>
      </c>
      <c r="V950" s="32" t="s">
        <v>43</v>
      </c>
      <c r="W950" s="132"/>
      <c r="X950" s="206" t="str">
        <f t="shared" si="262"/>
        <v>4.16.01</v>
      </c>
      <c r="Y950" s="207" t="str">
        <f t="shared" si="263"/>
        <v>JARINGAN AIR MINUM</v>
      </c>
      <c r="Z950" s="207">
        <f t="shared" si="264"/>
        <v>30</v>
      </c>
      <c r="AA950" s="233">
        <f t="shared" si="265"/>
        <v>4452021.6915531037</v>
      </c>
      <c r="AB950" s="208">
        <f t="shared" si="266"/>
        <v>5</v>
      </c>
      <c r="AC950" s="233">
        <f t="shared" si="267"/>
        <v>22260108.45776552</v>
      </c>
      <c r="AD950" s="233">
        <f t="shared" si="268"/>
        <v>4452021.6915531037</v>
      </c>
      <c r="AE950" s="233">
        <f t="shared" si="269"/>
        <v>4452021.6915531037</v>
      </c>
      <c r="AF950" s="233">
        <f t="shared" si="270"/>
        <v>4452021.6915531037</v>
      </c>
      <c r="AG950" s="233">
        <f t="shared" si="271"/>
        <v>4452021.6915531037</v>
      </c>
      <c r="AH950" s="238">
        <f t="shared" si="272"/>
        <v>4452021.6915531037</v>
      </c>
      <c r="AI950" s="238">
        <f t="shared" si="273"/>
        <v>44520216.915531032</v>
      </c>
      <c r="AJ950" s="261">
        <f t="shared" si="274"/>
        <v>2008</v>
      </c>
      <c r="AK950" s="233">
        <f t="shared" si="275"/>
        <v>89040443.831062078</v>
      </c>
    </row>
    <row r="951" spans="6:37" s="48" customFormat="1" ht="35.25" hidden="1" customHeight="1" x14ac:dyDescent="0.2">
      <c r="F951" s="218" t="s">
        <v>2307</v>
      </c>
      <c r="G951" s="73"/>
      <c r="H951" s="65" t="s">
        <v>1620</v>
      </c>
      <c r="I951" s="32" t="s">
        <v>3565</v>
      </c>
      <c r="J951" s="67"/>
      <c r="K951" s="32"/>
      <c r="L951" s="362"/>
      <c r="M951" s="67"/>
      <c r="N951" s="362"/>
      <c r="O951" s="65" t="s">
        <v>2856</v>
      </c>
      <c r="P951" s="32">
        <v>2008</v>
      </c>
      <c r="Q951" s="67"/>
      <c r="R951" s="67"/>
      <c r="S951" s="67"/>
      <c r="T951" s="32" t="s">
        <v>12</v>
      </c>
      <c r="U951" s="252">
        <v>133367239.25340688</v>
      </c>
      <c r="V951" s="32" t="s">
        <v>43</v>
      </c>
      <c r="W951" s="132"/>
      <c r="X951" s="206" t="str">
        <f t="shared" si="262"/>
        <v>4.16.01</v>
      </c>
      <c r="Y951" s="207" t="str">
        <f t="shared" si="263"/>
        <v>JARINGAN AIR MINUM</v>
      </c>
      <c r="Z951" s="207">
        <f t="shared" si="264"/>
        <v>30</v>
      </c>
      <c r="AA951" s="233">
        <f t="shared" si="265"/>
        <v>4445574.3084468963</v>
      </c>
      <c r="AB951" s="208">
        <f t="shared" si="266"/>
        <v>5</v>
      </c>
      <c r="AC951" s="233">
        <f t="shared" si="267"/>
        <v>22227871.54223448</v>
      </c>
      <c r="AD951" s="233">
        <f t="shared" si="268"/>
        <v>4445574.3084468963</v>
      </c>
      <c r="AE951" s="233">
        <f t="shared" si="269"/>
        <v>4445574.3084468963</v>
      </c>
      <c r="AF951" s="233">
        <f t="shared" si="270"/>
        <v>4445574.3084468963</v>
      </c>
      <c r="AG951" s="233">
        <f t="shared" si="271"/>
        <v>4445574.3084468963</v>
      </c>
      <c r="AH951" s="238">
        <f t="shared" si="272"/>
        <v>4445574.3084468963</v>
      </c>
      <c r="AI951" s="238">
        <f t="shared" si="273"/>
        <v>44455743.084468968</v>
      </c>
      <c r="AJ951" s="261">
        <f t="shared" si="274"/>
        <v>2008</v>
      </c>
      <c r="AK951" s="233">
        <f t="shared" si="275"/>
        <v>88911496.168937922</v>
      </c>
    </row>
    <row r="952" spans="6:37" s="48" customFormat="1" ht="35.25" hidden="1" customHeight="1" x14ac:dyDescent="0.2">
      <c r="F952" s="218" t="s">
        <v>2307</v>
      </c>
      <c r="G952" s="73"/>
      <c r="H952" s="65" t="s">
        <v>1621</v>
      </c>
      <c r="I952" s="32" t="s">
        <v>3565</v>
      </c>
      <c r="J952" s="67"/>
      <c r="K952" s="32"/>
      <c r="L952" s="362"/>
      <c r="M952" s="67"/>
      <c r="N952" s="362"/>
      <c r="O952" s="65" t="s">
        <v>1095</v>
      </c>
      <c r="P952" s="32">
        <v>2008</v>
      </c>
      <c r="Q952" s="67"/>
      <c r="R952" s="67"/>
      <c r="S952" s="67"/>
      <c r="T952" s="32" t="s">
        <v>12</v>
      </c>
      <c r="U952" s="252">
        <v>266240349.76335436</v>
      </c>
      <c r="V952" s="32" t="s">
        <v>43</v>
      </c>
      <c r="W952" s="132"/>
      <c r="X952" s="206" t="str">
        <f t="shared" si="262"/>
        <v>4.16.01</v>
      </c>
      <c r="Y952" s="207" t="str">
        <f t="shared" si="263"/>
        <v>JARINGAN AIR MINUM</v>
      </c>
      <c r="Z952" s="207">
        <f t="shared" si="264"/>
        <v>30</v>
      </c>
      <c r="AA952" s="233">
        <f t="shared" si="265"/>
        <v>8874677.9921118114</v>
      </c>
      <c r="AB952" s="208">
        <f t="shared" si="266"/>
        <v>5</v>
      </c>
      <c r="AC952" s="233">
        <f t="shared" si="267"/>
        <v>44373389.960559055</v>
      </c>
      <c r="AD952" s="233">
        <f t="shared" si="268"/>
        <v>8874677.9921118114</v>
      </c>
      <c r="AE952" s="233">
        <f t="shared" si="269"/>
        <v>8874677.9921118114</v>
      </c>
      <c r="AF952" s="233">
        <f t="shared" si="270"/>
        <v>8874677.9921118114</v>
      </c>
      <c r="AG952" s="233">
        <f t="shared" si="271"/>
        <v>8874677.9921118114</v>
      </c>
      <c r="AH952" s="238">
        <f t="shared" si="272"/>
        <v>8874677.9921118114</v>
      </c>
      <c r="AI952" s="238">
        <f t="shared" si="273"/>
        <v>88746779.921118125</v>
      </c>
      <c r="AJ952" s="261">
        <f t="shared" si="274"/>
        <v>2008</v>
      </c>
      <c r="AK952" s="233">
        <f t="shared" si="275"/>
        <v>177493569.84223622</v>
      </c>
    </row>
    <row r="953" spans="6:37" s="48" customFormat="1" ht="35.25" hidden="1" customHeight="1" x14ac:dyDescent="0.2">
      <c r="F953" s="218" t="s">
        <v>2307</v>
      </c>
      <c r="G953" s="139"/>
      <c r="H953" s="65" t="s">
        <v>1622</v>
      </c>
      <c r="I953" s="32" t="s">
        <v>3565</v>
      </c>
      <c r="J953" s="67"/>
      <c r="K953" s="32"/>
      <c r="L953" s="362"/>
      <c r="M953" s="67"/>
      <c r="N953" s="362"/>
      <c r="O953" s="65" t="s">
        <v>1081</v>
      </c>
      <c r="P953" s="32">
        <v>2008</v>
      </c>
      <c r="Q953" s="67"/>
      <c r="R953" s="67"/>
      <c r="S953" s="67"/>
      <c r="T953" s="32" t="s">
        <v>12</v>
      </c>
      <c r="U953" s="252">
        <v>391678610.4209711</v>
      </c>
      <c r="V953" s="32" t="s">
        <v>43</v>
      </c>
      <c r="W953" s="132"/>
      <c r="X953" s="206" t="str">
        <f t="shared" si="262"/>
        <v>4.16.01</v>
      </c>
      <c r="Y953" s="207" t="str">
        <f t="shared" si="263"/>
        <v>JARINGAN AIR MINUM</v>
      </c>
      <c r="Z953" s="207">
        <f t="shared" si="264"/>
        <v>30</v>
      </c>
      <c r="AA953" s="233">
        <f t="shared" si="265"/>
        <v>13055953.347365703</v>
      </c>
      <c r="AB953" s="208">
        <f t="shared" si="266"/>
        <v>5</v>
      </c>
      <c r="AC953" s="233">
        <f t="shared" si="267"/>
        <v>65279766.736828521</v>
      </c>
      <c r="AD953" s="233">
        <f t="shared" si="268"/>
        <v>13055953.347365703</v>
      </c>
      <c r="AE953" s="233">
        <f t="shared" si="269"/>
        <v>13055953.347365703</v>
      </c>
      <c r="AF953" s="233">
        <f t="shared" si="270"/>
        <v>13055953.347365703</v>
      </c>
      <c r="AG953" s="233">
        <f t="shared" si="271"/>
        <v>13055953.347365703</v>
      </c>
      <c r="AH953" s="238">
        <f t="shared" si="272"/>
        <v>13055953.347365703</v>
      </c>
      <c r="AI953" s="238">
        <f t="shared" si="273"/>
        <v>130559533.47365706</v>
      </c>
      <c r="AJ953" s="261">
        <f t="shared" si="274"/>
        <v>2008</v>
      </c>
      <c r="AK953" s="233">
        <f t="shared" si="275"/>
        <v>261119076.94731402</v>
      </c>
    </row>
    <row r="954" spans="6:37" s="48" customFormat="1" ht="35.25" hidden="1" customHeight="1" x14ac:dyDescent="0.2">
      <c r="F954" s="218" t="s">
        <v>2307</v>
      </c>
      <c r="G954" s="138"/>
      <c r="H954" s="65" t="s">
        <v>1623</v>
      </c>
      <c r="I954" s="32" t="s">
        <v>3565</v>
      </c>
      <c r="J954" s="67"/>
      <c r="K954" s="32"/>
      <c r="L954" s="362"/>
      <c r="M954" s="67"/>
      <c r="N954" s="362"/>
      <c r="O954" s="65" t="s">
        <v>1082</v>
      </c>
      <c r="P954" s="32">
        <v>2008</v>
      </c>
      <c r="Q954" s="67"/>
      <c r="R954" s="67"/>
      <c r="S954" s="67"/>
      <c r="T954" s="32" t="s">
        <v>12</v>
      </c>
      <c r="U954" s="252">
        <v>78630016.685688838</v>
      </c>
      <c r="V954" s="32" t="s">
        <v>43</v>
      </c>
      <c r="W954" s="132"/>
      <c r="X954" s="206" t="str">
        <f t="shared" si="262"/>
        <v>4.16.01</v>
      </c>
      <c r="Y954" s="207" t="str">
        <f t="shared" si="263"/>
        <v>JARINGAN AIR MINUM</v>
      </c>
      <c r="Z954" s="207">
        <f t="shared" si="264"/>
        <v>30</v>
      </c>
      <c r="AA954" s="233">
        <f t="shared" si="265"/>
        <v>2621000.2228562948</v>
      </c>
      <c r="AB954" s="208">
        <f t="shared" si="266"/>
        <v>5</v>
      </c>
      <c r="AC954" s="233">
        <f t="shared" si="267"/>
        <v>13105001.114281474</v>
      </c>
      <c r="AD954" s="233">
        <f t="shared" si="268"/>
        <v>2621000.2228562948</v>
      </c>
      <c r="AE954" s="233">
        <f t="shared" si="269"/>
        <v>2621000.2228562948</v>
      </c>
      <c r="AF954" s="233">
        <f t="shared" si="270"/>
        <v>2621000.2228562948</v>
      </c>
      <c r="AG954" s="233">
        <f t="shared" si="271"/>
        <v>2621000.2228562948</v>
      </c>
      <c r="AH954" s="238">
        <f t="shared" si="272"/>
        <v>2621000.2228562948</v>
      </c>
      <c r="AI954" s="238">
        <f t="shared" si="273"/>
        <v>26210002.228562947</v>
      </c>
      <c r="AJ954" s="261">
        <f t="shared" si="274"/>
        <v>2008</v>
      </c>
      <c r="AK954" s="233">
        <f t="shared" si="275"/>
        <v>52420014.457125887</v>
      </c>
    </row>
    <row r="955" spans="6:37" s="48" customFormat="1" ht="35.25" hidden="1" customHeight="1" x14ac:dyDescent="0.2">
      <c r="F955" s="218" t="s">
        <v>2307</v>
      </c>
      <c r="G955" s="137"/>
      <c r="H955" s="65" t="s">
        <v>1624</v>
      </c>
      <c r="I955" s="32" t="s">
        <v>3565</v>
      </c>
      <c r="J955" s="67"/>
      <c r="K955" s="32"/>
      <c r="L955" s="362"/>
      <c r="M955" s="67"/>
      <c r="N955" s="362"/>
      <c r="O955" s="65" t="s">
        <v>3550</v>
      </c>
      <c r="P955" s="32">
        <v>2008</v>
      </c>
      <c r="Q955" s="67"/>
      <c r="R955" s="67"/>
      <c r="S955" s="67"/>
      <c r="T955" s="32" t="s">
        <v>12</v>
      </c>
      <c r="U955" s="252">
        <v>162801023.12998566</v>
      </c>
      <c r="V955" s="32" t="s">
        <v>43</v>
      </c>
      <c r="W955" s="132"/>
      <c r="X955" s="206" t="str">
        <f t="shared" si="262"/>
        <v>4.16.01</v>
      </c>
      <c r="Y955" s="207" t="str">
        <f t="shared" si="263"/>
        <v>JARINGAN AIR MINUM</v>
      </c>
      <c r="Z955" s="207">
        <f t="shared" si="264"/>
        <v>30</v>
      </c>
      <c r="AA955" s="233">
        <f t="shared" si="265"/>
        <v>5426700.4376661889</v>
      </c>
      <c r="AB955" s="208">
        <f t="shared" si="266"/>
        <v>5</v>
      </c>
      <c r="AC955" s="233">
        <f t="shared" si="267"/>
        <v>27133502.188330945</v>
      </c>
      <c r="AD955" s="233">
        <f t="shared" si="268"/>
        <v>5426700.4376661889</v>
      </c>
      <c r="AE955" s="233">
        <f t="shared" si="269"/>
        <v>5426700.4376661889</v>
      </c>
      <c r="AF955" s="233">
        <f t="shared" si="270"/>
        <v>5426700.4376661889</v>
      </c>
      <c r="AG955" s="233">
        <f t="shared" si="271"/>
        <v>5426700.4376661889</v>
      </c>
      <c r="AH955" s="238">
        <f t="shared" si="272"/>
        <v>5426700.4376661889</v>
      </c>
      <c r="AI955" s="238">
        <f t="shared" si="273"/>
        <v>54267004.376661897</v>
      </c>
      <c r="AJ955" s="261">
        <f t="shared" si="274"/>
        <v>2008</v>
      </c>
      <c r="AK955" s="233">
        <f t="shared" si="275"/>
        <v>108534018.75332376</v>
      </c>
    </row>
    <row r="956" spans="6:37" s="48" customFormat="1" ht="35.25" hidden="1" customHeight="1" x14ac:dyDescent="0.2">
      <c r="F956" s="218" t="s">
        <v>2307</v>
      </c>
      <c r="G956" s="137"/>
      <c r="H956" s="65" t="s">
        <v>1607</v>
      </c>
      <c r="I956" s="32" t="s">
        <v>3565</v>
      </c>
      <c r="J956" s="67"/>
      <c r="K956" s="32"/>
      <c r="L956" s="362"/>
      <c r="M956" s="67"/>
      <c r="N956" s="362"/>
      <c r="O956" s="65" t="s">
        <v>52</v>
      </c>
      <c r="P956" s="32">
        <v>2008</v>
      </c>
      <c r="Q956" s="67"/>
      <c r="R956" s="67"/>
      <c r="S956" s="67"/>
      <c r="T956" s="32" t="s">
        <v>12</v>
      </c>
      <c r="U956" s="252">
        <v>1346900000</v>
      </c>
      <c r="V956" s="32"/>
      <c r="W956" s="132"/>
      <c r="X956" s="206" t="str">
        <f t="shared" si="262"/>
        <v>4.16.01</v>
      </c>
      <c r="Y956" s="207" t="str">
        <f t="shared" si="263"/>
        <v>JARINGAN AIR MINUM</v>
      </c>
      <c r="Z956" s="207">
        <f t="shared" si="264"/>
        <v>30</v>
      </c>
      <c r="AA956" s="233">
        <f t="shared" si="265"/>
        <v>44896666.333333336</v>
      </c>
      <c r="AB956" s="208">
        <f t="shared" si="266"/>
        <v>5</v>
      </c>
      <c r="AC956" s="233">
        <f t="shared" si="267"/>
        <v>224483331.66666669</v>
      </c>
      <c r="AD956" s="233">
        <f t="shared" si="268"/>
        <v>44896666.333333336</v>
      </c>
      <c r="AE956" s="233">
        <f t="shared" si="269"/>
        <v>44896666.333333336</v>
      </c>
      <c r="AF956" s="233">
        <f t="shared" si="270"/>
        <v>44896666.333333336</v>
      </c>
      <c r="AG956" s="233">
        <f t="shared" si="271"/>
        <v>44896666.333333336</v>
      </c>
      <c r="AH956" s="238">
        <f t="shared" si="272"/>
        <v>44896666.333333336</v>
      </c>
      <c r="AI956" s="238">
        <f t="shared" si="273"/>
        <v>448966663.33333325</v>
      </c>
      <c r="AJ956" s="261">
        <f t="shared" si="274"/>
        <v>2008</v>
      </c>
      <c r="AK956" s="233">
        <f t="shared" si="275"/>
        <v>897933336.66666675</v>
      </c>
    </row>
    <row r="957" spans="6:37" s="48" customFormat="1" ht="35.25" hidden="1" customHeight="1" x14ac:dyDescent="0.2">
      <c r="F957" s="218" t="s">
        <v>2307</v>
      </c>
      <c r="G957" s="137"/>
      <c r="H957" s="65" t="s">
        <v>1625</v>
      </c>
      <c r="I957" s="32" t="s">
        <v>3565</v>
      </c>
      <c r="J957" s="67"/>
      <c r="K957" s="32"/>
      <c r="L957" s="362"/>
      <c r="M957" s="67"/>
      <c r="N957" s="362"/>
      <c r="O957" s="65" t="s">
        <v>2942</v>
      </c>
      <c r="P957" s="32">
        <v>2008</v>
      </c>
      <c r="Q957" s="67"/>
      <c r="R957" s="67"/>
      <c r="S957" s="67"/>
      <c r="T957" s="32" t="s">
        <v>12</v>
      </c>
      <c r="U957" s="252">
        <v>103501800</v>
      </c>
      <c r="V957" s="32" t="s">
        <v>43</v>
      </c>
      <c r="W957" s="132"/>
      <c r="X957" s="206" t="str">
        <f t="shared" si="262"/>
        <v>4.16.01</v>
      </c>
      <c r="Y957" s="207" t="str">
        <f t="shared" si="263"/>
        <v>JARINGAN AIR MINUM</v>
      </c>
      <c r="Z957" s="207">
        <f t="shared" si="264"/>
        <v>30</v>
      </c>
      <c r="AA957" s="233">
        <f t="shared" si="265"/>
        <v>3450059.6666666665</v>
      </c>
      <c r="AB957" s="208">
        <f t="shared" si="266"/>
        <v>5</v>
      </c>
      <c r="AC957" s="233">
        <f t="shared" si="267"/>
        <v>17250298.333333332</v>
      </c>
      <c r="AD957" s="233">
        <f t="shared" si="268"/>
        <v>3450059.6666666665</v>
      </c>
      <c r="AE957" s="233">
        <f t="shared" si="269"/>
        <v>3450059.6666666665</v>
      </c>
      <c r="AF957" s="233">
        <f t="shared" si="270"/>
        <v>3450059.6666666665</v>
      </c>
      <c r="AG957" s="233">
        <f t="shared" si="271"/>
        <v>3450059.6666666665</v>
      </c>
      <c r="AH957" s="238">
        <f t="shared" si="272"/>
        <v>3450059.6666666665</v>
      </c>
      <c r="AI957" s="238">
        <f t="shared" si="273"/>
        <v>34500596.666666672</v>
      </c>
      <c r="AJ957" s="261">
        <f t="shared" si="274"/>
        <v>2008</v>
      </c>
      <c r="AK957" s="233">
        <f t="shared" si="275"/>
        <v>69001203.333333328</v>
      </c>
    </row>
    <row r="958" spans="6:37" s="48" customFormat="1" ht="35.25" hidden="1" customHeight="1" x14ac:dyDescent="0.2">
      <c r="F958" s="218" t="s">
        <v>2307</v>
      </c>
      <c r="G958" s="137"/>
      <c r="H958" s="65" t="s">
        <v>1626</v>
      </c>
      <c r="I958" s="32" t="s">
        <v>3565</v>
      </c>
      <c r="J958" s="67"/>
      <c r="K958" s="32"/>
      <c r="L958" s="362"/>
      <c r="M958" s="67"/>
      <c r="N958" s="362"/>
      <c r="O958" s="65" t="s">
        <v>2883</v>
      </c>
      <c r="P958" s="32">
        <v>2008</v>
      </c>
      <c r="Q958" s="67"/>
      <c r="R958" s="67"/>
      <c r="S958" s="67"/>
      <c r="T958" s="32" t="s">
        <v>12</v>
      </c>
      <c r="U958" s="252">
        <v>126169200</v>
      </c>
      <c r="V958" s="32" t="s">
        <v>43</v>
      </c>
      <c r="W958" s="132"/>
      <c r="X958" s="206" t="str">
        <f t="shared" si="262"/>
        <v>4.16.01</v>
      </c>
      <c r="Y958" s="207" t="str">
        <f t="shared" si="263"/>
        <v>JARINGAN AIR MINUM</v>
      </c>
      <c r="Z958" s="207">
        <f t="shared" si="264"/>
        <v>30</v>
      </c>
      <c r="AA958" s="233">
        <f t="shared" si="265"/>
        <v>4205639.666666667</v>
      </c>
      <c r="AB958" s="208">
        <f t="shared" si="266"/>
        <v>5</v>
      </c>
      <c r="AC958" s="233">
        <f t="shared" si="267"/>
        <v>21028198.333333336</v>
      </c>
      <c r="AD958" s="233">
        <f t="shared" si="268"/>
        <v>4205639.666666667</v>
      </c>
      <c r="AE958" s="233">
        <f t="shared" si="269"/>
        <v>4205639.666666667</v>
      </c>
      <c r="AF958" s="233">
        <f t="shared" si="270"/>
        <v>4205639.666666667</v>
      </c>
      <c r="AG958" s="233">
        <f t="shared" si="271"/>
        <v>4205639.666666667</v>
      </c>
      <c r="AH958" s="238">
        <f t="shared" si="272"/>
        <v>4205639.666666667</v>
      </c>
      <c r="AI958" s="238">
        <f t="shared" si="273"/>
        <v>42056396.666666664</v>
      </c>
      <c r="AJ958" s="261">
        <f t="shared" si="274"/>
        <v>2008</v>
      </c>
      <c r="AK958" s="233">
        <f t="shared" si="275"/>
        <v>84112803.333333343</v>
      </c>
    </row>
    <row r="959" spans="6:37" s="48" customFormat="1" ht="35.25" hidden="1" customHeight="1" x14ac:dyDescent="0.2">
      <c r="F959" s="218" t="s">
        <v>2307</v>
      </c>
      <c r="G959" s="137"/>
      <c r="H959" s="65" t="s">
        <v>1627</v>
      </c>
      <c r="I959" s="32" t="s">
        <v>3565</v>
      </c>
      <c r="J959" s="67"/>
      <c r="K959" s="32"/>
      <c r="L959" s="362"/>
      <c r="M959" s="67"/>
      <c r="N959" s="362"/>
      <c r="O959" s="65" t="s">
        <v>1082</v>
      </c>
      <c r="P959" s="32">
        <v>2008</v>
      </c>
      <c r="Q959" s="67"/>
      <c r="R959" s="67"/>
      <c r="S959" s="67"/>
      <c r="T959" s="32" t="s">
        <v>12</v>
      </c>
      <c r="U959" s="252">
        <v>166466700</v>
      </c>
      <c r="V959" s="32" t="s">
        <v>43</v>
      </c>
      <c r="W959" s="132"/>
      <c r="X959" s="206" t="str">
        <f t="shared" si="262"/>
        <v>4.16.01</v>
      </c>
      <c r="Y959" s="207" t="str">
        <f t="shared" si="263"/>
        <v>JARINGAN AIR MINUM</v>
      </c>
      <c r="Z959" s="207">
        <f t="shared" si="264"/>
        <v>30</v>
      </c>
      <c r="AA959" s="233">
        <f t="shared" si="265"/>
        <v>5548889.666666667</v>
      </c>
      <c r="AB959" s="208">
        <f t="shared" si="266"/>
        <v>5</v>
      </c>
      <c r="AC959" s="233">
        <f t="shared" si="267"/>
        <v>27744448.333333336</v>
      </c>
      <c r="AD959" s="233">
        <f t="shared" si="268"/>
        <v>5548889.666666667</v>
      </c>
      <c r="AE959" s="233">
        <f t="shared" si="269"/>
        <v>5548889.666666667</v>
      </c>
      <c r="AF959" s="233">
        <f t="shared" si="270"/>
        <v>5548889.666666667</v>
      </c>
      <c r="AG959" s="233">
        <f t="shared" si="271"/>
        <v>5548889.666666667</v>
      </c>
      <c r="AH959" s="238">
        <f t="shared" si="272"/>
        <v>5548889.666666667</v>
      </c>
      <c r="AI959" s="238">
        <f t="shared" si="273"/>
        <v>55488896.666666664</v>
      </c>
      <c r="AJ959" s="261">
        <f t="shared" si="274"/>
        <v>2008</v>
      </c>
      <c r="AK959" s="233">
        <f t="shared" si="275"/>
        <v>110977803.33333334</v>
      </c>
    </row>
    <row r="960" spans="6:37" s="48" customFormat="1" ht="35.25" hidden="1" customHeight="1" x14ac:dyDescent="0.2">
      <c r="F960" s="218" t="s">
        <v>2307</v>
      </c>
      <c r="G960" s="137"/>
      <c r="H960" s="65" t="s">
        <v>1628</v>
      </c>
      <c r="I960" s="32" t="s">
        <v>3565</v>
      </c>
      <c r="J960" s="67"/>
      <c r="K960" s="32"/>
      <c r="L960" s="362"/>
      <c r="M960" s="67"/>
      <c r="N960" s="362"/>
      <c r="O960" s="65" t="s">
        <v>2883</v>
      </c>
      <c r="P960" s="32">
        <v>2008</v>
      </c>
      <c r="Q960" s="67"/>
      <c r="R960" s="67"/>
      <c r="S960" s="67"/>
      <c r="T960" s="32" t="s">
        <v>12</v>
      </c>
      <c r="U960" s="252">
        <v>103188000</v>
      </c>
      <c r="V960" s="32" t="s">
        <v>43</v>
      </c>
      <c r="W960" s="132"/>
      <c r="X960" s="206" t="str">
        <f t="shared" si="262"/>
        <v>4.16.01</v>
      </c>
      <c r="Y960" s="207" t="str">
        <f t="shared" si="263"/>
        <v>JARINGAN AIR MINUM</v>
      </c>
      <c r="Z960" s="207">
        <f t="shared" si="264"/>
        <v>30</v>
      </c>
      <c r="AA960" s="233">
        <f t="shared" si="265"/>
        <v>3439599.6666666665</v>
      </c>
      <c r="AB960" s="208">
        <f t="shared" si="266"/>
        <v>5</v>
      </c>
      <c r="AC960" s="233">
        <f t="shared" si="267"/>
        <v>17197998.333333332</v>
      </c>
      <c r="AD960" s="233">
        <f t="shared" si="268"/>
        <v>3439599.6666666665</v>
      </c>
      <c r="AE960" s="233">
        <f t="shared" si="269"/>
        <v>3439599.6666666665</v>
      </c>
      <c r="AF960" s="233">
        <f t="shared" si="270"/>
        <v>3439599.6666666665</v>
      </c>
      <c r="AG960" s="233">
        <f t="shared" si="271"/>
        <v>3439599.6666666665</v>
      </c>
      <c r="AH960" s="238">
        <f t="shared" si="272"/>
        <v>3439599.6666666665</v>
      </c>
      <c r="AI960" s="238">
        <f t="shared" si="273"/>
        <v>34395996.666666672</v>
      </c>
      <c r="AJ960" s="261">
        <f t="shared" si="274"/>
        <v>2008</v>
      </c>
      <c r="AK960" s="233">
        <f t="shared" si="275"/>
        <v>68792003.333333328</v>
      </c>
    </row>
    <row r="961" spans="6:37" s="48" customFormat="1" ht="35.25" hidden="1" customHeight="1" x14ac:dyDescent="0.2">
      <c r="F961" s="218" t="s">
        <v>2307</v>
      </c>
      <c r="G961" s="137"/>
      <c r="H961" s="65" t="s">
        <v>1629</v>
      </c>
      <c r="I961" s="32" t="s">
        <v>3565</v>
      </c>
      <c r="J961" s="67"/>
      <c r="K961" s="32"/>
      <c r="L961" s="362"/>
      <c r="M961" s="67"/>
      <c r="N961" s="362"/>
      <c r="O961" s="65" t="s">
        <v>3551</v>
      </c>
      <c r="P961" s="32">
        <v>2008</v>
      </c>
      <c r="Q961" s="67"/>
      <c r="R961" s="67"/>
      <c r="S961" s="67"/>
      <c r="T961" s="32" t="s">
        <v>12</v>
      </c>
      <c r="U961" s="252">
        <v>170169300</v>
      </c>
      <c r="V961" s="32" t="s">
        <v>43</v>
      </c>
      <c r="W961" s="132"/>
      <c r="X961" s="206" t="str">
        <f t="shared" si="262"/>
        <v>4.16.01</v>
      </c>
      <c r="Y961" s="207" t="str">
        <f t="shared" si="263"/>
        <v>JARINGAN AIR MINUM</v>
      </c>
      <c r="Z961" s="207">
        <f t="shared" si="264"/>
        <v>30</v>
      </c>
      <c r="AA961" s="233">
        <f t="shared" si="265"/>
        <v>5672309.666666667</v>
      </c>
      <c r="AB961" s="208">
        <f t="shared" si="266"/>
        <v>5</v>
      </c>
      <c r="AC961" s="233">
        <f t="shared" si="267"/>
        <v>28361548.333333336</v>
      </c>
      <c r="AD961" s="233">
        <f t="shared" si="268"/>
        <v>5672309.666666667</v>
      </c>
      <c r="AE961" s="233">
        <f t="shared" si="269"/>
        <v>5672309.666666667</v>
      </c>
      <c r="AF961" s="233">
        <f t="shared" si="270"/>
        <v>5672309.666666667</v>
      </c>
      <c r="AG961" s="233">
        <f t="shared" si="271"/>
        <v>5672309.666666667</v>
      </c>
      <c r="AH961" s="238">
        <f t="shared" si="272"/>
        <v>5672309.666666667</v>
      </c>
      <c r="AI961" s="238">
        <f t="shared" si="273"/>
        <v>56723096.666666657</v>
      </c>
      <c r="AJ961" s="261">
        <f t="shared" si="274"/>
        <v>2008</v>
      </c>
      <c r="AK961" s="233">
        <f t="shared" si="275"/>
        <v>113446203.33333334</v>
      </c>
    </row>
    <row r="962" spans="6:37" s="48" customFormat="1" ht="35.25" hidden="1" customHeight="1" x14ac:dyDescent="0.2">
      <c r="F962" s="218" t="s">
        <v>2307</v>
      </c>
      <c r="G962" s="137"/>
      <c r="H962" s="65" t="s">
        <v>1630</v>
      </c>
      <c r="I962" s="32" t="s">
        <v>3565</v>
      </c>
      <c r="J962" s="67"/>
      <c r="K962" s="32"/>
      <c r="L962" s="362"/>
      <c r="M962" s="67"/>
      <c r="N962" s="362"/>
      <c r="O962" s="65" t="s">
        <v>2856</v>
      </c>
      <c r="P962" s="32">
        <v>2008</v>
      </c>
      <c r="Q962" s="67"/>
      <c r="R962" s="67"/>
      <c r="S962" s="67"/>
      <c r="T962" s="32" t="s">
        <v>12</v>
      </c>
      <c r="U962" s="252">
        <v>88200000</v>
      </c>
      <c r="V962" s="32" t="s">
        <v>43</v>
      </c>
      <c r="W962" s="132"/>
      <c r="X962" s="206" t="str">
        <f t="shared" si="262"/>
        <v>4.16.01</v>
      </c>
      <c r="Y962" s="207" t="str">
        <f t="shared" si="263"/>
        <v>JARINGAN AIR MINUM</v>
      </c>
      <c r="Z962" s="207">
        <f t="shared" si="264"/>
        <v>30</v>
      </c>
      <c r="AA962" s="233">
        <f t="shared" si="265"/>
        <v>2939999.6666666665</v>
      </c>
      <c r="AB962" s="208">
        <f t="shared" si="266"/>
        <v>5</v>
      </c>
      <c r="AC962" s="233">
        <f t="shared" si="267"/>
        <v>14699998.333333332</v>
      </c>
      <c r="AD962" s="233">
        <f t="shared" si="268"/>
        <v>2939999.6666666665</v>
      </c>
      <c r="AE962" s="233">
        <f t="shared" si="269"/>
        <v>2939999.6666666665</v>
      </c>
      <c r="AF962" s="233">
        <f t="shared" si="270"/>
        <v>2939999.6666666665</v>
      </c>
      <c r="AG962" s="233">
        <f t="shared" si="271"/>
        <v>2939999.6666666665</v>
      </c>
      <c r="AH962" s="238">
        <f t="shared" si="272"/>
        <v>2939999.6666666665</v>
      </c>
      <c r="AI962" s="238">
        <f t="shared" si="273"/>
        <v>29399996.666666672</v>
      </c>
      <c r="AJ962" s="261">
        <f t="shared" si="274"/>
        <v>2008</v>
      </c>
      <c r="AK962" s="233">
        <f t="shared" si="275"/>
        <v>58800003.333333328</v>
      </c>
    </row>
    <row r="963" spans="6:37" s="48" customFormat="1" ht="35.25" hidden="1" customHeight="1" x14ac:dyDescent="0.2">
      <c r="F963" s="218" t="s">
        <v>2307</v>
      </c>
      <c r="G963" s="137"/>
      <c r="H963" s="65" t="s">
        <v>1631</v>
      </c>
      <c r="I963" s="32" t="s">
        <v>3565</v>
      </c>
      <c r="J963" s="67"/>
      <c r="K963" s="32"/>
      <c r="L963" s="362"/>
      <c r="M963" s="67"/>
      <c r="N963" s="362"/>
      <c r="O963" s="65" t="s">
        <v>1095</v>
      </c>
      <c r="P963" s="32">
        <v>2008</v>
      </c>
      <c r="Q963" s="67"/>
      <c r="R963" s="67"/>
      <c r="S963" s="67"/>
      <c r="T963" s="32" t="s">
        <v>12</v>
      </c>
      <c r="U963" s="252">
        <v>103501800</v>
      </c>
      <c r="V963" s="32" t="s">
        <v>43</v>
      </c>
      <c r="W963" s="132"/>
      <c r="X963" s="206" t="str">
        <f t="shared" si="262"/>
        <v>4.16.01</v>
      </c>
      <c r="Y963" s="207" t="str">
        <f t="shared" si="263"/>
        <v>JARINGAN AIR MINUM</v>
      </c>
      <c r="Z963" s="207">
        <f t="shared" si="264"/>
        <v>30</v>
      </c>
      <c r="AA963" s="233">
        <f t="shared" si="265"/>
        <v>3450059.6666666665</v>
      </c>
      <c r="AB963" s="208">
        <f t="shared" si="266"/>
        <v>5</v>
      </c>
      <c r="AC963" s="233">
        <f t="shared" si="267"/>
        <v>17250298.333333332</v>
      </c>
      <c r="AD963" s="233">
        <f t="shared" si="268"/>
        <v>3450059.6666666665</v>
      </c>
      <c r="AE963" s="233">
        <f t="shared" si="269"/>
        <v>3450059.6666666665</v>
      </c>
      <c r="AF963" s="233">
        <f t="shared" si="270"/>
        <v>3450059.6666666665</v>
      </c>
      <c r="AG963" s="233">
        <f t="shared" si="271"/>
        <v>3450059.6666666665</v>
      </c>
      <c r="AH963" s="238">
        <f t="shared" si="272"/>
        <v>3450059.6666666665</v>
      </c>
      <c r="AI963" s="238">
        <f t="shared" si="273"/>
        <v>34500596.666666672</v>
      </c>
      <c r="AJ963" s="261">
        <f t="shared" si="274"/>
        <v>2008</v>
      </c>
      <c r="AK963" s="233">
        <f t="shared" si="275"/>
        <v>69001203.333333328</v>
      </c>
    </row>
    <row r="964" spans="6:37" s="48" customFormat="1" ht="35.25" hidden="1" customHeight="1" x14ac:dyDescent="0.2">
      <c r="F964" s="218" t="s">
        <v>2307</v>
      </c>
      <c r="G964" s="137"/>
      <c r="H964" s="65" t="s">
        <v>1632</v>
      </c>
      <c r="I964" s="32" t="s">
        <v>3565</v>
      </c>
      <c r="J964" s="67"/>
      <c r="K964" s="32"/>
      <c r="L964" s="362"/>
      <c r="M964" s="67"/>
      <c r="N964" s="362"/>
      <c r="O964" s="65" t="s">
        <v>3551</v>
      </c>
      <c r="P964" s="32">
        <v>2008</v>
      </c>
      <c r="Q964" s="67"/>
      <c r="R964" s="67"/>
      <c r="S964" s="67"/>
      <c r="T964" s="32" t="s">
        <v>12</v>
      </c>
      <c r="U964" s="252">
        <v>100798200</v>
      </c>
      <c r="V964" s="32" t="s">
        <v>43</v>
      </c>
      <c r="W964" s="132"/>
      <c r="X964" s="206" t="str">
        <f t="shared" si="262"/>
        <v>4.16.01</v>
      </c>
      <c r="Y964" s="207" t="str">
        <f t="shared" si="263"/>
        <v>JARINGAN AIR MINUM</v>
      </c>
      <c r="Z964" s="207">
        <f t="shared" si="264"/>
        <v>30</v>
      </c>
      <c r="AA964" s="233">
        <f t="shared" si="265"/>
        <v>3359939.6666666665</v>
      </c>
      <c r="AB964" s="208">
        <f t="shared" si="266"/>
        <v>5</v>
      </c>
      <c r="AC964" s="233">
        <f t="shared" si="267"/>
        <v>16799698.333333332</v>
      </c>
      <c r="AD964" s="233">
        <f t="shared" si="268"/>
        <v>3359939.6666666665</v>
      </c>
      <c r="AE964" s="233">
        <f t="shared" si="269"/>
        <v>3359939.6666666665</v>
      </c>
      <c r="AF964" s="233">
        <f t="shared" si="270"/>
        <v>3359939.6666666665</v>
      </c>
      <c r="AG964" s="233">
        <f t="shared" si="271"/>
        <v>3359939.6666666665</v>
      </c>
      <c r="AH964" s="238">
        <f t="shared" si="272"/>
        <v>3359939.6666666665</v>
      </c>
      <c r="AI964" s="238">
        <f t="shared" si="273"/>
        <v>33599396.666666672</v>
      </c>
      <c r="AJ964" s="261">
        <f t="shared" si="274"/>
        <v>2008</v>
      </c>
      <c r="AK964" s="233">
        <f t="shared" si="275"/>
        <v>67198803.333333328</v>
      </c>
    </row>
    <row r="965" spans="6:37" s="48" customFormat="1" ht="35.25" hidden="1" customHeight="1" x14ac:dyDescent="0.2">
      <c r="F965" s="218" t="s">
        <v>2307</v>
      </c>
      <c r="G965" s="137"/>
      <c r="H965" s="65" t="s">
        <v>1633</v>
      </c>
      <c r="I965" s="32" t="s">
        <v>3565</v>
      </c>
      <c r="J965" s="67"/>
      <c r="K965" s="32"/>
      <c r="L965" s="362"/>
      <c r="M965" s="67"/>
      <c r="N965" s="362"/>
      <c r="O965" s="65" t="s">
        <v>2883</v>
      </c>
      <c r="P965" s="32">
        <v>2008</v>
      </c>
      <c r="Q965" s="67"/>
      <c r="R965" s="67"/>
      <c r="S965" s="67"/>
      <c r="T965" s="32" t="s">
        <v>12</v>
      </c>
      <c r="U965" s="252">
        <v>99850500</v>
      </c>
      <c r="V965" s="32" t="s">
        <v>43</v>
      </c>
      <c r="W965" s="132"/>
      <c r="X965" s="206" t="str">
        <f t="shared" si="262"/>
        <v>4.16.01</v>
      </c>
      <c r="Y965" s="207" t="str">
        <f t="shared" si="263"/>
        <v>JARINGAN AIR MINUM</v>
      </c>
      <c r="Z965" s="207">
        <f t="shared" si="264"/>
        <v>30</v>
      </c>
      <c r="AA965" s="233">
        <f t="shared" si="265"/>
        <v>3328349.6666666665</v>
      </c>
      <c r="AB965" s="208">
        <f t="shared" si="266"/>
        <v>5</v>
      </c>
      <c r="AC965" s="233">
        <f t="shared" si="267"/>
        <v>16641748.333333332</v>
      </c>
      <c r="AD965" s="233">
        <f t="shared" si="268"/>
        <v>3328349.6666666665</v>
      </c>
      <c r="AE965" s="233">
        <f t="shared" si="269"/>
        <v>3328349.6666666665</v>
      </c>
      <c r="AF965" s="233">
        <f t="shared" si="270"/>
        <v>3328349.6666666665</v>
      </c>
      <c r="AG965" s="233">
        <f t="shared" si="271"/>
        <v>3328349.6666666665</v>
      </c>
      <c r="AH965" s="238">
        <f t="shared" si="272"/>
        <v>3328349.6666666665</v>
      </c>
      <c r="AI965" s="238">
        <f t="shared" si="273"/>
        <v>33283496.666666672</v>
      </c>
      <c r="AJ965" s="261">
        <f t="shared" si="274"/>
        <v>2008</v>
      </c>
      <c r="AK965" s="233">
        <f t="shared" si="275"/>
        <v>66567003.333333328</v>
      </c>
    </row>
    <row r="966" spans="6:37" s="48" customFormat="1" ht="35.25" hidden="1" customHeight="1" x14ac:dyDescent="0.2">
      <c r="F966" s="218" t="s">
        <v>2307</v>
      </c>
      <c r="G966" s="137"/>
      <c r="H966" s="65" t="s">
        <v>1634</v>
      </c>
      <c r="I966" s="32" t="s">
        <v>3565</v>
      </c>
      <c r="J966" s="67"/>
      <c r="K966" s="32"/>
      <c r="L966" s="362"/>
      <c r="M966" s="67"/>
      <c r="N966" s="362"/>
      <c r="O966" s="65" t="s">
        <v>1082</v>
      </c>
      <c r="P966" s="32">
        <v>2008</v>
      </c>
      <c r="Q966" s="67"/>
      <c r="R966" s="67"/>
      <c r="S966" s="67"/>
      <c r="T966" s="32" t="s">
        <v>12</v>
      </c>
      <c r="U966" s="252">
        <v>155017800</v>
      </c>
      <c r="V966" s="32" t="s">
        <v>43</v>
      </c>
      <c r="W966" s="132"/>
      <c r="X966" s="206" t="str">
        <f t="shared" si="262"/>
        <v>4.16.01</v>
      </c>
      <c r="Y966" s="207" t="str">
        <f t="shared" si="263"/>
        <v>JARINGAN AIR MINUM</v>
      </c>
      <c r="Z966" s="207">
        <f t="shared" si="264"/>
        <v>30</v>
      </c>
      <c r="AA966" s="233">
        <f t="shared" si="265"/>
        <v>5167259.666666667</v>
      </c>
      <c r="AB966" s="208">
        <f t="shared" si="266"/>
        <v>5</v>
      </c>
      <c r="AC966" s="233">
        <f t="shared" si="267"/>
        <v>25836298.333333336</v>
      </c>
      <c r="AD966" s="233">
        <f t="shared" si="268"/>
        <v>5167259.666666667</v>
      </c>
      <c r="AE966" s="233">
        <f t="shared" si="269"/>
        <v>5167259.666666667</v>
      </c>
      <c r="AF966" s="233">
        <f t="shared" si="270"/>
        <v>5167259.666666667</v>
      </c>
      <c r="AG966" s="233">
        <f t="shared" si="271"/>
        <v>5167259.666666667</v>
      </c>
      <c r="AH966" s="238">
        <f t="shared" si="272"/>
        <v>5167259.666666667</v>
      </c>
      <c r="AI966" s="238">
        <f t="shared" si="273"/>
        <v>51672596.666666664</v>
      </c>
      <c r="AJ966" s="261">
        <f t="shared" si="274"/>
        <v>2008</v>
      </c>
      <c r="AK966" s="233">
        <f t="shared" si="275"/>
        <v>103345203.33333334</v>
      </c>
    </row>
    <row r="967" spans="6:37" s="48" customFormat="1" ht="35.25" hidden="1" customHeight="1" x14ac:dyDescent="0.2">
      <c r="F967" s="218" t="s">
        <v>2307</v>
      </c>
      <c r="G967" s="137"/>
      <c r="H967" s="65" t="s">
        <v>1625</v>
      </c>
      <c r="I967" s="32" t="s">
        <v>3565</v>
      </c>
      <c r="J967" s="67"/>
      <c r="K967" s="32"/>
      <c r="L967" s="362"/>
      <c r="M967" s="67"/>
      <c r="N967" s="362"/>
      <c r="O967" s="65" t="s">
        <v>2942</v>
      </c>
      <c r="P967" s="32">
        <v>2008</v>
      </c>
      <c r="Q967" s="67"/>
      <c r="R967" s="67"/>
      <c r="S967" s="67"/>
      <c r="T967" s="32" t="s">
        <v>12</v>
      </c>
      <c r="U967" s="252">
        <v>11500000</v>
      </c>
      <c r="V967" s="32" t="s">
        <v>43</v>
      </c>
      <c r="W967" s="132"/>
      <c r="X967" s="206" t="str">
        <f t="shared" ref="X967:X998" si="276">F967</f>
        <v>4.16.01</v>
      </c>
      <c r="Y967" s="207" t="str">
        <f t="shared" si="263"/>
        <v>JARINGAN AIR MINUM</v>
      </c>
      <c r="Z967" s="207">
        <f t="shared" si="264"/>
        <v>30</v>
      </c>
      <c r="AA967" s="233">
        <f t="shared" si="265"/>
        <v>383333</v>
      </c>
      <c r="AB967" s="208">
        <f t="shared" si="266"/>
        <v>5</v>
      </c>
      <c r="AC967" s="233">
        <f t="shared" si="267"/>
        <v>1916665</v>
      </c>
      <c r="AD967" s="233">
        <f t="shared" si="268"/>
        <v>383333</v>
      </c>
      <c r="AE967" s="233">
        <f t="shared" si="269"/>
        <v>383333</v>
      </c>
      <c r="AF967" s="233">
        <f t="shared" si="270"/>
        <v>383333</v>
      </c>
      <c r="AG967" s="233">
        <f t="shared" si="271"/>
        <v>383333</v>
      </c>
      <c r="AH967" s="238">
        <f t="shared" si="272"/>
        <v>383333</v>
      </c>
      <c r="AI967" s="238">
        <f t="shared" si="273"/>
        <v>3833330</v>
      </c>
      <c r="AJ967" s="261">
        <f t="shared" si="274"/>
        <v>2008</v>
      </c>
      <c r="AK967" s="233">
        <f t="shared" si="275"/>
        <v>7666670</v>
      </c>
    </row>
    <row r="968" spans="6:37" s="48" customFormat="1" ht="35.25" hidden="1" customHeight="1" x14ac:dyDescent="0.2">
      <c r="F968" s="218" t="s">
        <v>2307</v>
      </c>
      <c r="G968" s="137"/>
      <c r="H968" s="65" t="s">
        <v>1626</v>
      </c>
      <c r="I968" s="32" t="s">
        <v>3565</v>
      </c>
      <c r="J968" s="67"/>
      <c r="K968" s="32"/>
      <c r="L968" s="362"/>
      <c r="M968" s="67"/>
      <c r="N968" s="362"/>
      <c r="O968" s="65" t="s">
        <v>2883</v>
      </c>
      <c r="P968" s="32">
        <v>2008</v>
      </c>
      <c r="Q968" s="67"/>
      <c r="R968" s="67"/>
      <c r="S968" s="67"/>
      <c r="T968" s="32" t="s">
        <v>12</v>
      </c>
      <c r="U968" s="252">
        <v>14018800</v>
      </c>
      <c r="V968" s="32" t="s">
        <v>43</v>
      </c>
      <c r="W968" s="132"/>
      <c r="X968" s="206" t="str">
        <f t="shared" si="276"/>
        <v>4.16.01</v>
      </c>
      <c r="Y968" s="207" t="str">
        <f t="shared" si="263"/>
        <v>JARINGAN AIR MINUM</v>
      </c>
      <c r="Z968" s="207">
        <f t="shared" si="264"/>
        <v>30</v>
      </c>
      <c r="AA968" s="233">
        <f t="shared" si="265"/>
        <v>467293</v>
      </c>
      <c r="AB968" s="208">
        <f t="shared" si="266"/>
        <v>5</v>
      </c>
      <c r="AC968" s="233">
        <f t="shared" si="267"/>
        <v>2336465</v>
      </c>
      <c r="AD968" s="233">
        <f t="shared" si="268"/>
        <v>467293</v>
      </c>
      <c r="AE968" s="233">
        <f t="shared" si="269"/>
        <v>467293</v>
      </c>
      <c r="AF968" s="233">
        <f t="shared" si="270"/>
        <v>467293</v>
      </c>
      <c r="AG968" s="233">
        <f t="shared" si="271"/>
        <v>467293</v>
      </c>
      <c r="AH968" s="238">
        <f t="shared" si="272"/>
        <v>467293</v>
      </c>
      <c r="AI968" s="238">
        <f t="shared" si="273"/>
        <v>4672930</v>
      </c>
      <c r="AJ968" s="261">
        <f t="shared" si="274"/>
        <v>2008</v>
      </c>
      <c r="AK968" s="233">
        <f t="shared" si="275"/>
        <v>9345870</v>
      </c>
    </row>
    <row r="969" spans="6:37" s="48" customFormat="1" ht="35.25" hidden="1" customHeight="1" x14ac:dyDescent="0.2">
      <c r="F969" s="218" t="s">
        <v>2307</v>
      </c>
      <c r="G969" s="137"/>
      <c r="H969" s="65" t="s">
        <v>1627</v>
      </c>
      <c r="I969" s="32" t="s">
        <v>3565</v>
      </c>
      <c r="J969" s="67"/>
      <c r="K969" s="32"/>
      <c r="L969" s="362"/>
      <c r="M969" s="67"/>
      <c r="N969" s="362"/>
      <c r="O969" s="65" t="s">
        <v>1082</v>
      </c>
      <c r="P969" s="32">
        <v>2008</v>
      </c>
      <c r="Q969" s="67"/>
      <c r="R969" s="67"/>
      <c r="S969" s="67"/>
      <c r="T969" s="32" t="s">
        <v>12</v>
      </c>
      <c r="U969" s="252">
        <v>18496300</v>
      </c>
      <c r="V969" s="32" t="s">
        <v>43</v>
      </c>
      <c r="W969" s="132"/>
      <c r="X969" s="206" t="str">
        <f t="shared" si="276"/>
        <v>4.16.01</v>
      </c>
      <c r="Y969" s="207" t="str">
        <f t="shared" si="263"/>
        <v>JARINGAN AIR MINUM</v>
      </c>
      <c r="Z969" s="207">
        <f t="shared" si="264"/>
        <v>30</v>
      </c>
      <c r="AA969" s="233">
        <f t="shared" si="265"/>
        <v>616543</v>
      </c>
      <c r="AB969" s="208">
        <f t="shared" si="266"/>
        <v>5</v>
      </c>
      <c r="AC969" s="233">
        <f t="shared" si="267"/>
        <v>3082715</v>
      </c>
      <c r="AD969" s="233">
        <f t="shared" si="268"/>
        <v>616543</v>
      </c>
      <c r="AE969" s="233">
        <f t="shared" si="269"/>
        <v>616543</v>
      </c>
      <c r="AF969" s="233">
        <f t="shared" si="270"/>
        <v>616543</v>
      </c>
      <c r="AG969" s="233">
        <f t="shared" si="271"/>
        <v>616543</v>
      </c>
      <c r="AH969" s="238">
        <f t="shared" si="272"/>
        <v>616543</v>
      </c>
      <c r="AI969" s="238">
        <f t="shared" si="273"/>
        <v>6165430</v>
      </c>
      <c r="AJ969" s="261">
        <f t="shared" si="274"/>
        <v>2008</v>
      </c>
      <c r="AK969" s="233">
        <f t="shared" si="275"/>
        <v>12330870</v>
      </c>
    </row>
    <row r="970" spans="6:37" s="48" customFormat="1" ht="35.25" hidden="1" customHeight="1" x14ac:dyDescent="0.2">
      <c r="F970" s="218" t="s">
        <v>2307</v>
      </c>
      <c r="G970" s="137"/>
      <c r="H970" s="65" t="s">
        <v>1628</v>
      </c>
      <c r="I970" s="32" t="s">
        <v>3565</v>
      </c>
      <c r="J970" s="67"/>
      <c r="K970" s="32"/>
      <c r="L970" s="362"/>
      <c r="M970" s="67"/>
      <c r="N970" s="362"/>
      <c r="O970" s="65" t="s">
        <v>2883</v>
      </c>
      <c r="P970" s="32">
        <v>2008</v>
      </c>
      <c r="Q970" s="67"/>
      <c r="R970" s="67"/>
      <c r="S970" s="67"/>
      <c r="T970" s="32" t="s">
        <v>12</v>
      </c>
      <c r="U970" s="252">
        <v>11250000</v>
      </c>
      <c r="V970" s="32" t="s">
        <v>43</v>
      </c>
      <c r="W970" s="132"/>
      <c r="X970" s="206" t="str">
        <f t="shared" si="276"/>
        <v>4.16.01</v>
      </c>
      <c r="Y970" s="207" t="str">
        <f t="shared" si="263"/>
        <v>JARINGAN AIR MINUM</v>
      </c>
      <c r="Z970" s="207">
        <f t="shared" si="264"/>
        <v>30</v>
      </c>
      <c r="AA970" s="233">
        <f t="shared" si="265"/>
        <v>374999.66666666669</v>
      </c>
      <c r="AB970" s="208">
        <f t="shared" si="266"/>
        <v>5</v>
      </c>
      <c r="AC970" s="233">
        <f t="shared" si="267"/>
        <v>1874998.3333333335</v>
      </c>
      <c r="AD970" s="233">
        <f t="shared" si="268"/>
        <v>374999.66666666669</v>
      </c>
      <c r="AE970" s="233">
        <f t="shared" si="269"/>
        <v>374999.66666666669</v>
      </c>
      <c r="AF970" s="233">
        <f t="shared" si="270"/>
        <v>374999.66666666669</v>
      </c>
      <c r="AG970" s="233">
        <f t="shared" si="271"/>
        <v>374999.66666666669</v>
      </c>
      <c r="AH970" s="238">
        <f t="shared" si="272"/>
        <v>374999.66666666669</v>
      </c>
      <c r="AI970" s="238">
        <f t="shared" si="273"/>
        <v>3749996.666666666</v>
      </c>
      <c r="AJ970" s="261">
        <f t="shared" si="274"/>
        <v>2008</v>
      </c>
      <c r="AK970" s="233">
        <f t="shared" si="275"/>
        <v>7500003.333333334</v>
      </c>
    </row>
    <row r="971" spans="6:37" s="48" customFormat="1" ht="35.25" hidden="1" customHeight="1" x14ac:dyDescent="0.2">
      <c r="F971" s="218" t="s">
        <v>2307</v>
      </c>
      <c r="G971" s="137"/>
      <c r="H971" s="65" t="s">
        <v>1629</v>
      </c>
      <c r="I971" s="33" t="s">
        <v>3565</v>
      </c>
      <c r="J971" s="40"/>
      <c r="K971" s="33"/>
      <c r="L971" s="360"/>
      <c r="M971" s="40"/>
      <c r="N971" s="360"/>
      <c r="O971" s="65" t="s">
        <v>3551</v>
      </c>
      <c r="P971" s="33">
        <v>2008</v>
      </c>
      <c r="Q971" s="40"/>
      <c r="R971" s="40"/>
      <c r="S971" s="40"/>
      <c r="T971" s="32" t="s">
        <v>12</v>
      </c>
      <c r="U971" s="252">
        <v>18907700</v>
      </c>
      <c r="V971" s="33" t="s">
        <v>43</v>
      </c>
      <c r="W971" s="127"/>
      <c r="X971" s="206" t="str">
        <f t="shared" si="276"/>
        <v>4.16.01</v>
      </c>
      <c r="Y971" s="207" t="str">
        <f t="shared" si="263"/>
        <v>JARINGAN AIR MINUM</v>
      </c>
      <c r="Z971" s="207">
        <f t="shared" si="264"/>
        <v>30</v>
      </c>
      <c r="AA971" s="233">
        <f t="shared" si="265"/>
        <v>630256.33333333337</v>
      </c>
      <c r="AB971" s="208">
        <f t="shared" si="266"/>
        <v>5</v>
      </c>
      <c r="AC971" s="233">
        <f t="shared" si="267"/>
        <v>3151281.666666667</v>
      </c>
      <c r="AD971" s="233">
        <f t="shared" si="268"/>
        <v>630256.33333333337</v>
      </c>
      <c r="AE971" s="233">
        <f t="shared" si="269"/>
        <v>630256.33333333337</v>
      </c>
      <c r="AF971" s="233">
        <f t="shared" si="270"/>
        <v>630256.33333333337</v>
      </c>
      <c r="AG971" s="233">
        <f t="shared" si="271"/>
        <v>630256.33333333337</v>
      </c>
      <c r="AH971" s="238">
        <f t="shared" si="272"/>
        <v>630256.33333333337</v>
      </c>
      <c r="AI971" s="238">
        <f t="shared" si="273"/>
        <v>6302563.333333333</v>
      </c>
      <c r="AJ971" s="261">
        <f t="shared" si="274"/>
        <v>2008</v>
      </c>
      <c r="AK971" s="233">
        <f t="shared" si="275"/>
        <v>12605136.666666668</v>
      </c>
    </row>
    <row r="972" spans="6:37" s="48" customFormat="1" ht="35.25" hidden="1" customHeight="1" x14ac:dyDescent="0.2">
      <c r="F972" s="218" t="s">
        <v>2307</v>
      </c>
      <c r="G972" s="137"/>
      <c r="H972" s="65" t="s">
        <v>1630</v>
      </c>
      <c r="I972" s="33" t="s">
        <v>3565</v>
      </c>
      <c r="J972" s="40"/>
      <c r="K972" s="33"/>
      <c r="L972" s="360"/>
      <c r="M972" s="40"/>
      <c r="N972" s="360"/>
      <c r="O972" s="65" t="s">
        <v>2856</v>
      </c>
      <c r="P972" s="33">
        <v>2008</v>
      </c>
      <c r="Q972" s="40"/>
      <c r="R972" s="40"/>
      <c r="S972" s="40"/>
      <c r="T972" s="32" t="s">
        <v>12</v>
      </c>
      <c r="U972" s="252">
        <v>9800000</v>
      </c>
      <c r="V972" s="33" t="s">
        <v>43</v>
      </c>
      <c r="W972" s="127"/>
      <c r="X972" s="206" t="str">
        <f t="shared" si="276"/>
        <v>4.16.01</v>
      </c>
      <c r="Y972" s="207" t="str">
        <f t="shared" si="263"/>
        <v>JARINGAN AIR MINUM</v>
      </c>
      <c r="Z972" s="207">
        <f t="shared" si="264"/>
        <v>30</v>
      </c>
      <c r="AA972" s="233">
        <f t="shared" si="265"/>
        <v>326666.33333333331</v>
      </c>
      <c r="AB972" s="208">
        <f t="shared" si="266"/>
        <v>5</v>
      </c>
      <c r="AC972" s="233">
        <f t="shared" si="267"/>
        <v>1633331.6666666665</v>
      </c>
      <c r="AD972" s="233">
        <f t="shared" si="268"/>
        <v>326666.33333333331</v>
      </c>
      <c r="AE972" s="233">
        <f t="shared" si="269"/>
        <v>326666.33333333331</v>
      </c>
      <c r="AF972" s="233">
        <f t="shared" si="270"/>
        <v>326666.33333333331</v>
      </c>
      <c r="AG972" s="233">
        <f t="shared" si="271"/>
        <v>326666.33333333331</v>
      </c>
      <c r="AH972" s="238">
        <f t="shared" si="272"/>
        <v>326666.33333333331</v>
      </c>
      <c r="AI972" s="238">
        <f t="shared" si="273"/>
        <v>3266663.3333333335</v>
      </c>
      <c r="AJ972" s="261">
        <f t="shared" si="274"/>
        <v>2008</v>
      </c>
      <c r="AK972" s="233">
        <f t="shared" si="275"/>
        <v>6533336.666666666</v>
      </c>
    </row>
    <row r="973" spans="6:37" s="48" customFormat="1" ht="35.25" hidden="1" customHeight="1" x14ac:dyDescent="0.2">
      <c r="F973" s="218" t="s">
        <v>2307</v>
      </c>
      <c r="G973" s="137"/>
      <c r="H973" s="65" t="s">
        <v>1631</v>
      </c>
      <c r="I973" s="33" t="s">
        <v>3565</v>
      </c>
      <c r="J973" s="40"/>
      <c r="K973" s="33"/>
      <c r="L973" s="360"/>
      <c r="M973" s="40"/>
      <c r="N973" s="360"/>
      <c r="O973" s="65" t="s">
        <v>1095</v>
      </c>
      <c r="P973" s="33">
        <v>2008</v>
      </c>
      <c r="Q973" s="40"/>
      <c r="R973" s="40"/>
      <c r="S973" s="40"/>
      <c r="T973" s="32" t="s">
        <v>12</v>
      </c>
      <c r="U973" s="252">
        <v>11700000</v>
      </c>
      <c r="V973" s="33" t="s">
        <v>43</v>
      </c>
      <c r="W973" s="127"/>
      <c r="X973" s="206" t="str">
        <f t="shared" si="276"/>
        <v>4.16.01</v>
      </c>
      <c r="Y973" s="207" t="str">
        <f t="shared" si="263"/>
        <v>JARINGAN AIR MINUM</v>
      </c>
      <c r="Z973" s="207">
        <f t="shared" si="264"/>
        <v>30</v>
      </c>
      <c r="AA973" s="233">
        <f t="shared" si="265"/>
        <v>389999.66666666669</v>
      </c>
      <c r="AB973" s="208">
        <f t="shared" si="266"/>
        <v>5</v>
      </c>
      <c r="AC973" s="233">
        <f t="shared" si="267"/>
        <v>1949998.3333333335</v>
      </c>
      <c r="AD973" s="233">
        <f t="shared" si="268"/>
        <v>389999.66666666669</v>
      </c>
      <c r="AE973" s="233">
        <f t="shared" si="269"/>
        <v>389999.66666666669</v>
      </c>
      <c r="AF973" s="233">
        <f t="shared" si="270"/>
        <v>389999.66666666669</v>
      </c>
      <c r="AG973" s="233">
        <f t="shared" si="271"/>
        <v>389999.66666666669</v>
      </c>
      <c r="AH973" s="238">
        <f t="shared" si="272"/>
        <v>389999.66666666669</v>
      </c>
      <c r="AI973" s="238">
        <f t="shared" si="273"/>
        <v>3899996.666666666</v>
      </c>
      <c r="AJ973" s="261">
        <f t="shared" si="274"/>
        <v>2008</v>
      </c>
      <c r="AK973" s="233">
        <f t="shared" si="275"/>
        <v>7800003.333333334</v>
      </c>
    </row>
    <row r="974" spans="6:37" s="48" customFormat="1" ht="35.25" hidden="1" customHeight="1" x14ac:dyDescent="0.2">
      <c r="F974" s="218" t="s">
        <v>2307</v>
      </c>
      <c r="G974" s="137"/>
      <c r="H974" s="65" t="s">
        <v>1632</v>
      </c>
      <c r="I974" s="33" t="s">
        <v>3565</v>
      </c>
      <c r="J974" s="40"/>
      <c r="K974" s="33"/>
      <c r="L974" s="360"/>
      <c r="M974" s="40"/>
      <c r="N974" s="360"/>
      <c r="O974" s="65" t="s">
        <v>3551</v>
      </c>
      <c r="P974" s="33">
        <v>2008</v>
      </c>
      <c r="Q974" s="40"/>
      <c r="R974" s="40"/>
      <c r="S974" s="40"/>
      <c r="T974" s="32" t="s">
        <v>12</v>
      </c>
      <c r="U974" s="252">
        <v>11000000</v>
      </c>
      <c r="V974" s="33" t="s">
        <v>43</v>
      </c>
      <c r="W974" s="127"/>
      <c r="X974" s="206" t="str">
        <f t="shared" si="276"/>
        <v>4.16.01</v>
      </c>
      <c r="Y974" s="207" t="str">
        <f t="shared" si="263"/>
        <v>JARINGAN AIR MINUM</v>
      </c>
      <c r="Z974" s="207">
        <f t="shared" si="264"/>
        <v>30</v>
      </c>
      <c r="AA974" s="233">
        <f t="shared" si="265"/>
        <v>366666.33333333331</v>
      </c>
      <c r="AB974" s="208">
        <f t="shared" si="266"/>
        <v>5</v>
      </c>
      <c r="AC974" s="233">
        <f t="shared" si="267"/>
        <v>1833331.6666666665</v>
      </c>
      <c r="AD974" s="233">
        <f t="shared" si="268"/>
        <v>366666.33333333331</v>
      </c>
      <c r="AE974" s="233">
        <f t="shared" si="269"/>
        <v>366666.33333333331</v>
      </c>
      <c r="AF974" s="233">
        <f t="shared" si="270"/>
        <v>366666.33333333331</v>
      </c>
      <c r="AG974" s="233">
        <f t="shared" si="271"/>
        <v>366666.33333333331</v>
      </c>
      <c r="AH974" s="238">
        <f t="shared" si="272"/>
        <v>366666.33333333331</v>
      </c>
      <c r="AI974" s="238">
        <f t="shared" si="273"/>
        <v>3666663.333333334</v>
      </c>
      <c r="AJ974" s="261">
        <f t="shared" si="274"/>
        <v>2008</v>
      </c>
      <c r="AK974" s="233">
        <f t="shared" si="275"/>
        <v>7333336.666666666</v>
      </c>
    </row>
    <row r="975" spans="6:37" s="296" customFormat="1" ht="35.25" hidden="1" customHeight="1" x14ac:dyDescent="0.2">
      <c r="F975" s="218" t="s">
        <v>2307</v>
      </c>
      <c r="G975" s="137"/>
      <c r="H975" s="65" t="s">
        <v>1633</v>
      </c>
      <c r="I975" s="33" t="s">
        <v>3565</v>
      </c>
      <c r="J975" s="40"/>
      <c r="K975" s="33"/>
      <c r="L975" s="360"/>
      <c r="M975" s="40"/>
      <c r="N975" s="360"/>
      <c r="O975" s="65" t="s">
        <v>2883</v>
      </c>
      <c r="P975" s="33">
        <v>2008</v>
      </c>
      <c r="Q975" s="40"/>
      <c r="R975" s="40"/>
      <c r="S975" s="40"/>
      <c r="T975" s="32" t="s">
        <v>12</v>
      </c>
      <c r="U975" s="252">
        <v>11094500</v>
      </c>
      <c r="V975" s="33" t="s">
        <v>43</v>
      </c>
      <c r="W975" s="127"/>
      <c r="X975" s="206" t="str">
        <f t="shared" si="276"/>
        <v>4.16.01</v>
      </c>
      <c r="Y975" s="207" t="str">
        <f t="shared" si="263"/>
        <v>JARINGAN AIR MINUM</v>
      </c>
      <c r="Z975" s="207">
        <f t="shared" si="264"/>
        <v>30</v>
      </c>
      <c r="AA975" s="233">
        <f t="shared" si="265"/>
        <v>369816.33333333331</v>
      </c>
      <c r="AB975" s="208">
        <f t="shared" si="266"/>
        <v>5</v>
      </c>
      <c r="AC975" s="233">
        <f t="shared" si="267"/>
        <v>1849081.6666666665</v>
      </c>
      <c r="AD975" s="233">
        <f t="shared" si="268"/>
        <v>369816.33333333331</v>
      </c>
      <c r="AE975" s="233">
        <f t="shared" si="269"/>
        <v>369816.33333333331</v>
      </c>
      <c r="AF975" s="233">
        <f t="shared" si="270"/>
        <v>369816.33333333331</v>
      </c>
      <c r="AG975" s="233">
        <f t="shared" si="271"/>
        <v>369816.33333333331</v>
      </c>
      <c r="AH975" s="238">
        <f t="shared" si="272"/>
        <v>369816.33333333331</v>
      </c>
      <c r="AI975" s="238">
        <f t="shared" si="273"/>
        <v>3698163.333333334</v>
      </c>
      <c r="AJ975" s="261">
        <f t="shared" si="274"/>
        <v>2008</v>
      </c>
      <c r="AK975" s="233">
        <f t="shared" si="275"/>
        <v>7396336.666666666</v>
      </c>
    </row>
    <row r="976" spans="6:37" s="48" customFormat="1" ht="35.25" hidden="1" customHeight="1" x14ac:dyDescent="0.2">
      <c r="F976" s="218" t="s">
        <v>2307</v>
      </c>
      <c r="G976" s="137"/>
      <c r="H976" s="65" t="s">
        <v>1634</v>
      </c>
      <c r="I976" s="33" t="s">
        <v>3565</v>
      </c>
      <c r="J976" s="40"/>
      <c r="K976" s="33"/>
      <c r="L976" s="360"/>
      <c r="M976" s="40"/>
      <c r="N976" s="360"/>
      <c r="O976" s="65" t="s">
        <v>1082</v>
      </c>
      <c r="P976" s="33">
        <v>2008</v>
      </c>
      <c r="Q976" s="40"/>
      <c r="R976" s="40"/>
      <c r="S976" s="40"/>
      <c r="T976" s="32" t="s">
        <v>12</v>
      </c>
      <c r="U976" s="252">
        <v>17224400</v>
      </c>
      <c r="V976" s="33" t="s">
        <v>43</v>
      </c>
      <c r="W976" s="127"/>
      <c r="X976" s="206" t="str">
        <f t="shared" si="276"/>
        <v>4.16.01</v>
      </c>
      <c r="Y976" s="207" t="str">
        <f t="shared" si="263"/>
        <v>JARINGAN AIR MINUM</v>
      </c>
      <c r="Z976" s="207">
        <f t="shared" si="264"/>
        <v>30</v>
      </c>
      <c r="AA976" s="233">
        <f t="shared" si="265"/>
        <v>574146.33333333337</v>
      </c>
      <c r="AB976" s="208">
        <f t="shared" si="266"/>
        <v>5</v>
      </c>
      <c r="AC976" s="233">
        <f t="shared" si="267"/>
        <v>2870731.666666667</v>
      </c>
      <c r="AD976" s="233">
        <f t="shared" si="268"/>
        <v>574146.33333333337</v>
      </c>
      <c r="AE976" s="233">
        <f t="shared" si="269"/>
        <v>574146.33333333337</v>
      </c>
      <c r="AF976" s="233">
        <f t="shared" si="270"/>
        <v>574146.33333333337</v>
      </c>
      <c r="AG976" s="233">
        <f t="shared" si="271"/>
        <v>574146.33333333337</v>
      </c>
      <c r="AH976" s="238">
        <f t="shared" si="272"/>
        <v>574146.33333333337</v>
      </c>
      <c r="AI976" s="238">
        <f t="shared" si="273"/>
        <v>5741463.333333333</v>
      </c>
      <c r="AJ976" s="261">
        <f t="shared" si="274"/>
        <v>2008</v>
      </c>
      <c r="AK976" s="233">
        <f t="shared" si="275"/>
        <v>11482936.666666668</v>
      </c>
    </row>
    <row r="977" spans="6:37" s="48" customFormat="1" ht="35.25" hidden="1" customHeight="1" x14ac:dyDescent="0.2">
      <c r="F977" s="218" t="s">
        <v>2307</v>
      </c>
      <c r="G977" s="137"/>
      <c r="H977" s="65" t="s">
        <v>1635</v>
      </c>
      <c r="I977" s="33" t="s">
        <v>3565</v>
      </c>
      <c r="J977" s="40"/>
      <c r="K977" s="33"/>
      <c r="L977" s="360"/>
      <c r="M977" s="40"/>
      <c r="N977" s="360"/>
      <c r="O977" s="65" t="s">
        <v>52</v>
      </c>
      <c r="P977" s="33">
        <v>2008</v>
      </c>
      <c r="Q977" s="40"/>
      <c r="R977" s="40"/>
      <c r="S977" s="40"/>
      <c r="T977" s="32" t="s">
        <v>12</v>
      </c>
      <c r="U977" s="252">
        <v>487790000</v>
      </c>
      <c r="V977" s="33"/>
      <c r="W977" s="127"/>
      <c r="X977" s="206" t="str">
        <f t="shared" si="276"/>
        <v>4.16.01</v>
      </c>
      <c r="Y977" s="207" t="str">
        <f t="shared" si="263"/>
        <v>JARINGAN AIR MINUM</v>
      </c>
      <c r="Z977" s="207">
        <f t="shared" si="264"/>
        <v>30</v>
      </c>
      <c r="AA977" s="233">
        <f t="shared" si="265"/>
        <v>16259666.333333334</v>
      </c>
      <c r="AB977" s="208">
        <f t="shared" si="266"/>
        <v>5</v>
      </c>
      <c r="AC977" s="233">
        <f t="shared" si="267"/>
        <v>81298331.666666672</v>
      </c>
      <c r="AD977" s="233">
        <f t="shared" si="268"/>
        <v>16259666.333333334</v>
      </c>
      <c r="AE977" s="233">
        <f t="shared" si="269"/>
        <v>16259666.333333334</v>
      </c>
      <c r="AF977" s="233">
        <f t="shared" si="270"/>
        <v>16259666.333333334</v>
      </c>
      <c r="AG977" s="233">
        <f t="shared" si="271"/>
        <v>16259666.333333334</v>
      </c>
      <c r="AH977" s="238">
        <f t="shared" si="272"/>
        <v>16259666.333333334</v>
      </c>
      <c r="AI977" s="238">
        <f t="shared" si="273"/>
        <v>162596663.33333334</v>
      </c>
      <c r="AJ977" s="261">
        <f t="shared" si="274"/>
        <v>2008</v>
      </c>
      <c r="AK977" s="233">
        <f t="shared" si="275"/>
        <v>325193336.66666663</v>
      </c>
    </row>
    <row r="978" spans="6:37" s="48" customFormat="1" ht="35.25" hidden="1" customHeight="1" x14ac:dyDescent="0.2">
      <c r="F978" s="218" t="s">
        <v>2307</v>
      </c>
      <c r="G978" s="137"/>
      <c r="H978" s="65" t="s">
        <v>1636</v>
      </c>
      <c r="I978" s="33" t="s">
        <v>3565</v>
      </c>
      <c r="J978" s="40"/>
      <c r="K978" s="33"/>
      <c r="L978" s="360"/>
      <c r="M978" s="40"/>
      <c r="N978" s="360"/>
      <c r="O978" s="65" t="s">
        <v>52</v>
      </c>
      <c r="P978" s="33">
        <v>2008</v>
      </c>
      <c r="Q978" s="40"/>
      <c r="R978" s="40"/>
      <c r="S978" s="40"/>
      <c r="T978" s="32" t="s">
        <v>12</v>
      </c>
      <c r="U978" s="252">
        <v>2611532728</v>
      </c>
      <c r="V978" s="33"/>
      <c r="W978" s="127"/>
      <c r="X978" s="206" t="str">
        <f t="shared" si="276"/>
        <v>4.16.01</v>
      </c>
      <c r="Y978" s="207" t="str">
        <f t="shared" si="263"/>
        <v>JARINGAN AIR MINUM</v>
      </c>
      <c r="Z978" s="207">
        <f t="shared" si="264"/>
        <v>30</v>
      </c>
      <c r="AA978" s="233">
        <f t="shared" si="265"/>
        <v>87051090.599999994</v>
      </c>
      <c r="AB978" s="208">
        <f t="shared" si="266"/>
        <v>5</v>
      </c>
      <c r="AC978" s="233">
        <f t="shared" si="267"/>
        <v>435255453</v>
      </c>
      <c r="AD978" s="233">
        <f t="shared" si="268"/>
        <v>87051090.599999994</v>
      </c>
      <c r="AE978" s="233">
        <f t="shared" si="269"/>
        <v>87051090.599999994</v>
      </c>
      <c r="AF978" s="233">
        <f t="shared" si="270"/>
        <v>87051090.599999994</v>
      </c>
      <c r="AG978" s="233">
        <f t="shared" si="271"/>
        <v>87051090.599999994</v>
      </c>
      <c r="AH978" s="238">
        <f t="shared" si="272"/>
        <v>87051090.599999994</v>
      </c>
      <c r="AI978" s="238">
        <f t="shared" si="273"/>
        <v>870510906.00000012</v>
      </c>
      <c r="AJ978" s="261">
        <f t="shared" si="274"/>
        <v>2008</v>
      </c>
      <c r="AK978" s="233">
        <f t="shared" si="275"/>
        <v>1741021822</v>
      </c>
    </row>
    <row r="979" spans="6:37" s="48" customFormat="1" ht="35.25" hidden="1" customHeight="1" x14ac:dyDescent="0.2">
      <c r="F979" s="218" t="s">
        <v>2307</v>
      </c>
      <c r="G979" s="137"/>
      <c r="H979" s="65" t="s">
        <v>1637</v>
      </c>
      <c r="I979" s="33" t="s">
        <v>3565</v>
      </c>
      <c r="J979" s="40"/>
      <c r="K979" s="33"/>
      <c r="L979" s="360"/>
      <c r="M979" s="40"/>
      <c r="N979" s="360"/>
      <c r="O979" s="65" t="s">
        <v>737</v>
      </c>
      <c r="P979" s="33">
        <v>2008</v>
      </c>
      <c r="Q979" s="40"/>
      <c r="R979" s="40"/>
      <c r="S979" s="40"/>
      <c r="T979" s="32" t="s">
        <v>12</v>
      </c>
      <c r="U979" s="252">
        <v>278070909</v>
      </c>
      <c r="V979" s="33" t="s">
        <v>43</v>
      </c>
      <c r="W979" s="127"/>
      <c r="X979" s="206" t="str">
        <f t="shared" si="276"/>
        <v>4.16.01</v>
      </c>
      <c r="Y979" s="207" t="str">
        <f t="shared" si="263"/>
        <v>JARINGAN AIR MINUM</v>
      </c>
      <c r="Z979" s="207">
        <f t="shared" si="264"/>
        <v>30</v>
      </c>
      <c r="AA979" s="233">
        <f t="shared" si="265"/>
        <v>9269029.9666666668</v>
      </c>
      <c r="AB979" s="208">
        <f t="shared" si="266"/>
        <v>5</v>
      </c>
      <c r="AC979" s="233">
        <f t="shared" si="267"/>
        <v>46345149.833333336</v>
      </c>
      <c r="AD979" s="233">
        <f t="shared" si="268"/>
        <v>9269029.9666666668</v>
      </c>
      <c r="AE979" s="233">
        <f t="shared" si="269"/>
        <v>9269029.9666666668</v>
      </c>
      <c r="AF979" s="233">
        <f t="shared" si="270"/>
        <v>9269029.9666666668</v>
      </c>
      <c r="AG979" s="233">
        <f t="shared" si="271"/>
        <v>9269029.9666666668</v>
      </c>
      <c r="AH979" s="238">
        <f t="shared" si="272"/>
        <v>9269029.9666666668</v>
      </c>
      <c r="AI979" s="238">
        <f t="shared" si="273"/>
        <v>92690299.666666672</v>
      </c>
      <c r="AJ979" s="261">
        <f t="shared" si="274"/>
        <v>2008</v>
      </c>
      <c r="AK979" s="233">
        <f t="shared" si="275"/>
        <v>185380609.33333331</v>
      </c>
    </row>
    <row r="980" spans="6:37" s="48" customFormat="1" ht="35.25" hidden="1" customHeight="1" x14ac:dyDescent="0.2">
      <c r="F980" s="218" t="s">
        <v>2307</v>
      </c>
      <c r="G980" s="137"/>
      <c r="H980" s="65" t="s">
        <v>1638</v>
      </c>
      <c r="I980" s="33" t="s">
        <v>3565</v>
      </c>
      <c r="J980" s="40"/>
      <c r="K980" s="33"/>
      <c r="L980" s="360"/>
      <c r="M980" s="40"/>
      <c r="N980" s="360"/>
      <c r="O980" s="65" t="s">
        <v>737</v>
      </c>
      <c r="P980" s="33">
        <v>2008</v>
      </c>
      <c r="Q980" s="40"/>
      <c r="R980" s="40"/>
      <c r="S980" s="40"/>
      <c r="T980" s="32" t="s">
        <v>12</v>
      </c>
      <c r="U980" s="252">
        <v>261153272</v>
      </c>
      <c r="V980" s="33" t="s">
        <v>43</v>
      </c>
      <c r="W980" s="127"/>
      <c r="X980" s="206" t="str">
        <f t="shared" si="276"/>
        <v>4.16.01</v>
      </c>
      <c r="Y980" s="207" t="str">
        <f t="shared" si="263"/>
        <v>JARINGAN AIR MINUM</v>
      </c>
      <c r="Z980" s="207">
        <f t="shared" si="264"/>
        <v>30</v>
      </c>
      <c r="AA980" s="233">
        <f t="shared" si="265"/>
        <v>8705108.7333333325</v>
      </c>
      <c r="AB980" s="208">
        <f t="shared" si="266"/>
        <v>5</v>
      </c>
      <c r="AC980" s="233">
        <f t="shared" si="267"/>
        <v>43525543.666666664</v>
      </c>
      <c r="AD980" s="233">
        <f t="shared" si="268"/>
        <v>8705108.7333333325</v>
      </c>
      <c r="AE980" s="233">
        <f t="shared" si="269"/>
        <v>8705108.7333333325</v>
      </c>
      <c r="AF980" s="233">
        <f t="shared" si="270"/>
        <v>8705108.7333333325</v>
      </c>
      <c r="AG980" s="233">
        <f t="shared" si="271"/>
        <v>8705108.7333333325</v>
      </c>
      <c r="AH980" s="238">
        <f t="shared" si="272"/>
        <v>8705108.7333333325</v>
      </c>
      <c r="AI980" s="238">
        <f t="shared" si="273"/>
        <v>87051087.333333328</v>
      </c>
      <c r="AJ980" s="261">
        <f t="shared" si="274"/>
        <v>2008</v>
      </c>
      <c r="AK980" s="233">
        <f t="shared" si="275"/>
        <v>174102184.66666669</v>
      </c>
    </row>
    <row r="981" spans="6:37" s="48" customFormat="1" ht="35.25" hidden="1" customHeight="1" x14ac:dyDescent="0.2">
      <c r="F981" s="218" t="s">
        <v>2307</v>
      </c>
      <c r="G981" s="137"/>
      <c r="H981" s="65" t="s">
        <v>1639</v>
      </c>
      <c r="I981" s="33" t="s">
        <v>3565</v>
      </c>
      <c r="J981" s="40"/>
      <c r="K981" s="33"/>
      <c r="L981" s="360"/>
      <c r="M981" s="40"/>
      <c r="N981" s="360"/>
      <c r="O981" s="65" t="s">
        <v>737</v>
      </c>
      <c r="P981" s="33">
        <v>2008</v>
      </c>
      <c r="Q981" s="40"/>
      <c r="R981" s="40"/>
      <c r="S981" s="40"/>
      <c r="T981" s="32" t="s">
        <v>12</v>
      </c>
      <c r="U981" s="252">
        <v>27807091</v>
      </c>
      <c r="V981" s="33" t="s">
        <v>43</v>
      </c>
      <c r="W981" s="127"/>
      <c r="X981" s="206" t="str">
        <f t="shared" si="276"/>
        <v>4.16.01</v>
      </c>
      <c r="Y981" s="207" t="str">
        <f t="shared" si="263"/>
        <v>JARINGAN AIR MINUM</v>
      </c>
      <c r="Z981" s="207">
        <f t="shared" si="264"/>
        <v>30</v>
      </c>
      <c r="AA981" s="233">
        <f t="shared" si="265"/>
        <v>926902.7</v>
      </c>
      <c r="AB981" s="208">
        <f t="shared" si="266"/>
        <v>5</v>
      </c>
      <c r="AC981" s="233">
        <f t="shared" si="267"/>
        <v>4634513.5</v>
      </c>
      <c r="AD981" s="233">
        <f t="shared" si="268"/>
        <v>926902.7</v>
      </c>
      <c r="AE981" s="233">
        <f t="shared" si="269"/>
        <v>926902.7</v>
      </c>
      <c r="AF981" s="233">
        <f t="shared" si="270"/>
        <v>926902.7</v>
      </c>
      <c r="AG981" s="233">
        <f t="shared" si="271"/>
        <v>926902.7</v>
      </c>
      <c r="AH981" s="238">
        <f t="shared" si="272"/>
        <v>926902.7</v>
      </c>
      <c r="AI981" s="238">
        <f t="shared" si="273"/>
        <v>9269027</v>
      </c>
      <c r="AJ981" s="261">
        <f t="shared" si="274"/>
        <v>2008</v>
      </c>
      <c r="AK981" s="233">
        <f t="shared" si="275"/>
        <v>18538064</v>
      </c>
    </row>
    <row r="982" spans="6:37" s="48" customFormat="1" ht="35.25" hidden="1" customHeight="1" x14ac:dyDescent="0.2">
      <c r="F982" s="218" t="s">
        <v>2307</v>
      </c>
      <c r="G982" s="137"/>
      <c r="H982" s="65" t="s">
        <v>1640</v>
      </c>
      <c r="I982" s="33" t="s">
        <v>3565</v>
      </c>
      <c r="J982" s="40"/>
      <c r="K982" s="33"/>
      <c r="L982" s="360"/>
      <c r="M982" s="40"/>
      <c r="N982" s="360"/>
      <c r="O982" s="72" t="s">
        <v>52</v>
      </c>
      <c r="P982" s="33">
        <v>2008</v>
      </c>
      <c r="Q982" s="40"/>
      <c r="R982" s="40"/>
      <c r="S982" s="40"/>
      <c r="T982" s="32" t="s">
        <v>12</v>
      </c>
      <c r="U982" s="252">
        <v>1208559000</v>
      </c>
      <c r="V982" s="33"/>
      <c r="W982" s="127"/>
      <c r="X982" s="206" t="str">
        <f t="shared" si="276"/>
        <v>4.16.01</v>
      </c>
      <c r="Y982" s="207" t="str">
        <f t="shared" si="263"/>
        <v>JARINGAN AIR MINUM</v>
      </c>
      <c r="Z982" s="207">
        <f t="shared" si="264"/>
        <v>30</v>
      </c>
      <c r="AA982" s="233">
        <f t="shared" si="265"/>
        <v>40285299.666666664</v>
      </c>
      <c r="AB982" s="208">
        <f t="shared" si="266"/>
        <v>5</v>
      </c>
      <c r="AC982" s="233">
        <f t="shared" si="267"/>
        <v>201426498.33333331</v>
      </c>
      <c r="AD982" s="233">
        <f t="shared" si="268"/>
        <v>40285299.666666664</v>
      </c>
      <c r="AE982" s="233">
        <f t="shared" si="269"/>
        <v>40285299.666666664</v>
      </c>
      <c r="AF982" s="233">
        <f t="shared" si="270"/>
        <v>40285299.666666664</v>
      </c>
      <c r="AG982" s="233">
        <f t="shared" si="271"/>
        <v>40285299.666666664</v>
      </c>
      <c r="AH982" s="238">
        <f t="shared" si="272"/>
        <v>40285299.666666664</v>
      </c>
      <c r="AI982" s="238">
        <f t="shared" si="273"/>
        <v>402852996.66666669</v>
      </c>
      <c r="AJ982" s="261">
        <f t="shared" si="274"/>
        <v>2008</v>
      </c>
      <c r="AK982" s="233">
        <f t="shared" si="275"/>
        <v>805706003.33333325</v>
      </c>
    </row>
    <row r="983" spans="6:37" s="48" customFormat="1" ht="35.25" hidden="1" customHeight="1" x14ac:dyDescent="0.2">
      <c r="F983" s="218" t="s">
        <v>2307</v>
      </c>
      <c r="G983" s="137"/>
      <c r="H983" s="65" t="s">
        <v>1641</v>
      </c>
      <c r="I983" s="33" t="s">
        <v>3565</v>
      </c>
      <c r="J983" s="40"/>
      <c r="K983" s="33"/>
      <c r="L983" s="360"/>
      <c r="M983" s="40"/>
      <c r="N983" s="360"/>
      <c r="O983" s="65" t="s">
        <v>52</v>
      </c>
      <c r="P983" s="33">
        <v>2008</v>
      </c>
      <c r="Q983" s="40"/>
      <c r="R983" s="40"/>
      <c r="S983" s="40"/>
      <c r="T983" s="32" t="s">
        <v>12</v>
      </c>
      <c r="U983" s="252">
        <v>278624000</v>
      </c>
      <c r="V983" s="33" t="s">
        <v>43</v>
      </c>
      <c r="W983" s="127"/>
      <c r="X983" s="206" t="str">
        <f t="shared" si="276"/>
        <v>4.16.01</v>
      </c>
      <c r="Y983" s="207" t="str">
        <f t="shared" si="263"/>
        <v>JARINGAN AIR MINUM</v>
      </c>
      <c r="Z983" s="207">
        <f t="shared" si="264"/>
        <v>30</v>
      </c>
      <c r="AA983" s="233">
        <f t="shared" si="265"/>
        <v>9287466.333333334</v>
      </c>
      <c r="AB983" s="208">
        <f t="shared" si="266"/>
        <v>5</v>
      </c>
      <c r="AC983" s="233">
        <f t="shared" si="267"/>
        <v>46437331.666666672</v>
      </c>
      <c r="AD983" s="233">
        <f t="shared" si="268"/>
        <v>9287466.333333334</v>
      </c>
      <c r="AE983" s="233">
        <f t="shared" si="269"/>
        <v>9287466.333333334</v>
      </c>
      <c r="AF983" s="233">
        <f t="shared" si="270"/>
        <v>9287466.333333334</v>
      </c>
      <c r="AG983" s="233">
        <f t="shared" si="271"/>
        <v>9287466.333333334</v>
      </c>
      <c r="AH983" s="238">
        <f t="shared" si="272"/>
        <v>9287466.333333334</v>
      </c>
      <c r="AI983" s="238">
        <f t="shared" si="273"/>
        <v>92874663.333333328</v>
      </c>
      <c r="AJ983" s="261">
        <f t="shared" si="274"/>
        <v>2008</v>
      </c>
      <c r="AK983" s="233">
        <f t="shared" si="275"/>
        <v>185749336.66666669</v>
      </c>
    </row>
    <row r="984" spans="6:37" s="48" customFormat="1" ht="35.25" hidden="1" customHeight="1" x14ac:dyDescent="0.2">
      <c r="F984" s="218" t="s">
        <v>2307</v>
      </c>
      <c r="G984" s="137"/>
      <c r="H984" s="65" t="s">
        <v>1642</v>
      </c>
      <c r="I984" s="33" t="s">
        <v>3565</v>
      </c>
      <c r="J984" s="40"/>
      <c r="K984" s="33"/>
      <c r="L984" s="360"/>
      <c r="M984" s="40"/>
      <c r="N984" s="360"/>
      <c r="O984" s="65" t="s">
        <v>52</v>
      </c>
      <c r="P984" s="33">
        <v>2008</v>
      </c>
      <c r="Q984" s="40"/>
      <c r="R984" s="40"/>
      <c r="S984" s="40"/>
      <c r="T984" s="32" t="s">
        <v>12</v>
      </c>
      <c r="U984" s="252">
        <v>58546000</v>
      </c>
      <c r="V984" s="33"/>
      <c r="W984" s="127"/>
      <c r="X984" s="206" t="str">
        <f t="shared" si="276"/>
        <v>4.16.01</v>
      </c>
      <c r="Y984" s="207" t="str">
        <f t="shared" si="263"/>
        <v>JARINGAN AIR MINUM</v>
      </c>
      <c r="Z984" s="207">
        <f t="shared" si="264"/>
        <v>30</v>
      </c>
      <c r="AA984" s="233">
        <f t="shared" si="265"/>
        <v>1951533</v>
      </c>
      <c r="AB984" s="208">
        <f t="shared" si="266"/>
        <v>5</v>
      </c>
      <c r="AC984" s="233">
        <f t="shared" si="267"/>
        <v>9757665</v>
      </c>
      <c r="AD984" s="233">
        <f t="shared" si="268"/>
        <v>1951533</v>
      </c>
      <c r="AE984" s="233">
        <f t="shared" si="269"/>
        <v>1951533</v>
      </c>
      <c r="AF984" s="233">
        <f t="shared" si="270"/>
        <v>1951533</v>
      </c>
      <c r="AG984" s="233">
        <f t="shared" si="271"/>
        <v>1951533</v>
      </c>
      <c r="AH984" s="238">
        <f t="shared" si="272"/>
        <v>1951533</v>
      </c>
      <c r="AI984" s="238">
        <f t="shared" si="273"/>
        <v>19515330</v>
      </c>
      <c r="AJ984" s="261">
        <f t="shared" si="274"/>
        <v>2008</v>
      </c>
      <c r="AK984" s="233">
        <f t="shared" si="275"/>
        <v>39030670</v>
      </c>
    </row>
    <row r="985" spans="6:37" s="48" customFormat="1" ht="35.25" hidden="1" customHeight="1" x14ac:dyDescent="0.2">
      <c r="F985" s="218" t="s">
        <v>2307</v>
      </c>
      <c r="G985" s="137"/>
      <c r="H985" s="65" t="s">
        <v>1642</v>
      </c>
      <c r="I985" s="33" t="s">
        <v>3565</v>
      </c>
      <c r="J985" s="40"/>
      <c r="K985" s="33"/>
      <c r="L985" s="360"/>
      <c r="M985" s="40"/>
      <c r="N985" s="360"/>
      <c r="O985" s="72" t="s">
        <v>52</v>
      </c>
      <c r="P985" s="33">
        <v>2008</v>
      </c>
      <c r="Q985" s="40"/>
      <c r="R985" s="40"/>
      <c r="S985" s="40"/>
      <c r="T985" s="32" t="s">
        <v>12</v>
      </c>
      <c r="U985" s="252">
        <v>962466046.16631413</v>
      </c>
      <c r="V985" s="33" t="s">
        <v>43</v>
      </c>
      <c r="W985" s="127"/>
      <c r="X985" s="206" t="str">
        <f t="shared" si="276"/>
        <v>4.16.01</v>
      </c>
      <c r="Y985" s="207" t="str">
        <f t="shared" si="263"/>
        <v>JARINGAN AIR MINUM</v>
      </c>
      <c r="Z985" s="207">
        <f t="shared" si="264"/>
        <v>30</v>
      </c>
      <c r="AA985" s="233">
        <f t="shared" si="265"/>
        <v>32082201.205543805</v>
      </c>
      <c r="AB985" s="208">
        <f t="shared" si="266"/>
        <v>5</v>
      </c>
      <c r="AC985" s="233">
        <f t="shared" si="267"/>
        <v>160411006.02771902</v>
      </c>
      <c r="AD985" s="233">
        <f t="shared" si="268"/>
        <v>32082201.205543805</v>
      </c>
      <c r="AE985" s="233">
        <f t="shared" si="269"/>
        <v>32082201.205543805</v>
      </c>
      <c r="AF985" s="233">
        <f t="shared" si="270"/>
        <v>32082201.205543805</v>
      </c>
      <c r="AG985" s="233">
        <f t="shared" si="271"/>
        <v>32082201.205543805</v>
      </c>
      <c r="AH985" s="238">
        <f t="shared" si="272"/>
        <v>32082201.205543805</v>
      </c>
      <c r="AI985" s="238">
        <f t="shared" si="273"/>
        <v>320822012.0554381</v>
      </c>
      <c r="AJ985" s="261">
        <f t="shared" si="274"/>
        <v>2008</v>
      </c>
      <c r="AK985" s="233">
        <f t="shared" si="275"/>
        <v>641644034.11087608</v>
      </c>
    </row>
    <row r="986" spans="6:37" s="48" customFormat="1" ht="35.25" hidden="1" customHeight="1" x14ac:dyDescent="0.2">
      <c r="F986" s="218" t="s">
        <v>2307</v>
      </c>
      <c r="G986" s="137"/>
      <c r="H986" s="65" t="s">
        <v>1643</v>
      </c>
      <c r="I986" s="33" t="s">
        <v>3565</v>
      </c>
      <c r="J986" s="40"/>
      <c r="K986" s="33"/>
      <c r="L986" s="360"/>
      <c r="M986" s="40"/>
      <c r="N986" s="360"/>
      <c r="O986" s="72" t="s">
        <v>798</v>
      </c>
      <c r="P986" s="33">
        <v>2013</v>
      </c>
      <c r="Q986" s="40"/>
      <c r="R986" s="40"/>
      <c r="S986" s="40"/>
      <c r="T986" s="32" t="s">
        <v>12</v>
      </c>
      <c r="U986" s="252">
        <v>188000000</v>
      </c>
      <c r="V986" s="33"/>
      <c r="W986" s="127"/>
      <c r="X986" s="206" t="str">
        <f t="shared" si="276"/>
        <v>4.16.01</v>
      </c>
      <c r="Y986" s="207" t="str">
        <f t="shared" si="263"/>
        <v>JARINGAN AIR MINUM</v>
      </c>
      <c r="Z986" s="207">
        <f t="shared" si="264"/>
        <v>30</v>
      </c>
      <c r="AA986" s="233">
        <f t="shared" si="265"/>
        <v>6266666.333333333</v>
      </c>
      <c r="AB986" s="208">
        <f t="shared" si="266"/>
        <v>0</v>
      </c>
      <c r="AC986" s="233">
        <f t="shared" si="267"/>
        <v>0</v>
      </c>
      <c r="AD986" s="233">
        <f t="shared" si="268"/>
        <v>6266666.333333333</v>
      </c>
      <c r="AE986" s="233">
        <f t="shared" si="269"/>
        <v>6266666.333333333</v>
      </c>
      <c r="AF986" s="233">
        <f t="shared" si="270"/>
        <v>6266666.333333333</v>
      </c>
      <c r="AG986" s="233">
        <f t="shared" si="271"/>
        <v>6266666.333333333</v>
      </c>
      <c r="AH986" s="238">
        <f t="shared" si="272"/>
        <v>6266666.333333333</v>
      </c>
      <c r="AI986" s="238">
        <f t="shared" si="273"/>
        <v>31333331.666666664</v>
      </c>
      <c r="AJ986" s="261">
        <f t="shared" si="274"/>
        <v>2013</v>
      </c>
      <c r="AK986" s="233">
        <f t="shared" si="275"/>
        <v>156666668.33333334</v>
      </c>
    </row>
    <row r="987" spans="6:37" s="48" customFormat="1" ht="35.25" hidden="1" customHeight="1" x14ac:dyDescent="0.2">
      <c r="F987" s="218" t="s">
        <v>2307</v>
      </c>
      <c r="G987" s="137"/>
      <c r="H987" s="65" t="s">
        <v>1644</v>
      </c>
      <c r="I987" s="33" t="s">
        <v>3565</v>
      </c>
      <c r="J987" s="40"/>
      <c r="K987" s="33"/>
      <c r="L987" s="360"/>
      <c r="M987" s="40"/>
      <c r="N987" s="360"/>
      <c r="O987" s="72" t="s">
        <v>3552</v>
      </c>
      <c r="P987" s="33">
        <v>2013</v>
      </c>
      <c r="Q987" s="40"/>
      <c r="R987" s="40"/>
      <c r="S987" s="40"/>
      <c r="T987" s="32" t="s">
        <v>12</v>
      </c>
      <c r="U987" s="252">
        <v>390003200</v>
      </c>
      <c r="V987" s="33"/>
      <c r="W987" s="127"/>
      <c r="X987" s="206" t="str">
        <f t="shared" si="276"/>
        <v>4.16.01</v>
      </c>
      <c r="Y987" s="207" t="str">
        <f t="shared" si="263"/>
        <v>JARINGAN AIR MINUM</v>
      </c>
      <c r="Z987" s="207">
        <f t="shared" si="264"/>
        <v>30</v>
      </c>
      <c r="AA987" s="233">
        <f t="shared" si="265"/>
        <v>13000106.333333334</v>
      </c>
      <c r="AB987" s="208">
        <f t="shared" si="266"/>
        <v>0</v>
      </c>
      <c r="AC987" s="233">
        <f t="shared" si="267"/>
        <v>0</v>
      </c>
      <c r="AD987" s="233">
        <f t="shared" si="268"/>
        <v>13000106.333333334</v>
      </c>
      <c r="AE987" s="233">
        <f t="shared" si="269"/>
        <v>13000106.333333334</v>
      </c>
      <c r="AF987" s="233">
        <f t="shared" si="270"/>
        <v>13000106.333333334</v>
      </c>
      <c r="AG987" s="233">
        <f t="shared" si="271"/>
        <v>13000106.333333334</v>
      </c>
      <c r="AH987" s="238">
        <f t="shared" si="272"/>
        <v>13000106.333333334</v>
      </c>
      <c r="AI987" s="238">
        <f t="shared" si="273"/>
        <v>65000531.666666672</v>
      </c>
      <c r="AJ987" s="261">
        <f t="shared" si="274"/>
        <v>2013</v>
      </c>
      <c r="AK987" s="233">
        <f t="shared" si="275"/>
        <v>325002668.33333331</v>
      </c>
    </row>
    <row r="988" spans="6:37" s="48" customFormat="1" ht="35.25" hidden="1" customHeight="1" x14ac:dyDescent="0.2">
      <c r="F988" s="218" t="s">
        <v>2307</v>
      </c>
      <c r="G988" s="137"/>
      <c r="H988" s="65" t="s">
        <v>1645</v>
      </c>
      <c r="I988" s="33" t="s">
        <v>3565</v>
      </c>
      <c r="J988" s="40"/>
      <c r="K988" s="33"/>
      <c r="L988" s="360"/>
      <c r="M988" s="40"/>
      <c r="N988" s="360"/>
      <c r="O988" s="72" t="s">
        <v>3553</v>
      </c>
      <c r="P988" s="33">
        <v>2013</v>
      </c>
      <c r="Q988" s="40"/>
      <c r="R988" s="40"/>
      <c r="S988" s="40"/>
      <c r="T988" s="32" t="s">
        <v>12</v>
      </c>
      <c r="U988" s="252">
        <v>94800000</v>
      </c>
      <c r="V988" s="33"/>
      <c r="W988" s="127"/>
      <c r="X988" s="206" t="str">
        <f t="shared" si="276"/>
        <v>4.16.01</v>
      </c>
      <c r="Y988" s="207" t="str">
        <f t="shared" si="263"/>
        <v>JARINGAN AIR MINUM</v>
      </c>
      <c r="Z988" s="207">
        <f t="shared" si="264"/>
        <v>30</v>
      </c>
      <c r="AA988" s="233">
        <f t="shared" si="265"/>
        <v>3159999.6666666665</v>
      </c>
      <c r="AB988" s="208">
        <f t="shared" si="266"/>
        <v>0</v>
      </c>
      <c r="AC988" s="233">
        <f t="shared" si="267"/>
        <v>0</v>
      </c>
      <c r="AD988" s="233">
        <f t="shared" si="268"/>
        <v>3159999.6666666665</v>
      </c>
      <c r="AE988" s="233">
        <f t="shared" si="269"/>
        <v>3159999.6666666665</v>
      </c>
      <c r="AF988" s="233">
        <f t="shared" si="270"/>
        <v>3159999.6666666665</v>
      </c>
      <c r="AG988" s="233">
        <f t="shared" si="271"/>
        <v>3159999.6666666665</v>
      </c>
      <c r="AH988" s="238">
        <f t="shared" si="272"/>
        <v>3159999.6666666665</v>
      </c>
      <c r="AI988" s="238">
        <f t="shared" si="273"/>
        <v>15799998.333333332</v>
      </c>
      <c r="AJ988" s="261">
        <f t="shared" si="274"/>
        <v>2013</v>
      </c>
      <c r="AK988" s="233">
        <f t="shared" si="275"/>
        <v>79000001.666666672</v>
      </c>
    </row>
    <row r="989" spans="6:37" s="48" customFormat="1" ht="35.25" hidden="1" customHeight="1" x14ac:dyDescent="0.2">
      <c r="F989" s="218" t="s">
        <v>2307</v>
      </c>
      <c r="G989" s="137"/>
      <c r="H989" s="65" t="s">
        <v>1646</v>
      </c>
      <c r="I989" s="33" t="s">
        <v>3565</v>
      </c>
      <c r="J989" s="40"/>
      <c r="K989" s="33"/>
      <c r="L989" s="360"/>
      <c r="M989" s="40"/>
      <c r="N989" s="360"/>
      <c r="O989" s="72" t="s">
        <v>3554</v>
      </c>
      <c r="P989" s="33">
        <v>2013</v>
      </c>
      <c r="Q989" s="40"/>
      <c r="R989" s="40"/>
      <c r="S989" s="40"/>
      <c r="T989" s="32" t="s">
        <v>12</v>
      </c>
      <c r="U989" s="252">
        <v>369945000</v>
      </c>
      <c r="V989" s="33"/>
      <c r="W989" s="127"/>
      <c r="X989" s="206" t="str">
        <f t="shared" si="276"/>
        <v>4.16.01</v>
      </c>
      <c r="Y989" s="207" t="str">
        <f t="shared" si="263"/>
        <v>JARINGAN AIR MINUM</v>
      </c>
      <c r="Z989" s="207">
        <f t="shared" si="264"/>
        <v>30</v>
      </c>
      <c r="AA989" s="233">
        <f t="shared" si="265"/>
        <v>12331499.666666666</v>
      </c>
      <c r="AB989" s="208">
        <f t="shared" si="266"/>
        <v>0</v>
      </c>
      <c r="AC989" s="233">
        <f t="shared" si="267"/>
        <v>0</v>
      </c>
      <c r="AD989" s="233">
        <f t="shared" si="268"/>
        <v>12331499.666666666</v>
      </c>
      <c r="AE989" s="233">
        <f t="shared" si="269"/>
        <v>12331499.666666666</v>
      </c>
      <c r="AF989" s="233">
        <f t="shared" si="270"/>
        <v>12331499.666666666</v>
      </c>
      <c r="AG989" s="233">
        <f t="shared" si="271"/>
        <v>12331499.666666666</v>
      </c>
      <c r="AH989" s="238">
        <f t="shared" si="272"/>
        <v>12331499.666666666</v>
      </c>
      <c r="AI989" s="238">
        <f t="shared" si="273"/>
        <v>61657498.333333328</v>
      </c>
      <c r="AJ989" s="261">
        <f t="shared" si="274"/>
        <v>2013</v>
      </c>
      <c r="AK989" s="233">
        <f t="shared" si="275"/>
        <v>308287501.66666669</v>
      </c>
    </row>
    <row r="990" spans="6:37" s="48" customFormat="1" ht="35.25" hidden="1" customHeight="1" x14ac:dyDescent="0.2">
      <c r="F990" s="218" t="s">
        <v>2307</v>
      </c>
      <c r="G990" s="137"/>
      <c r="H990" s="65" t="s">
        <v>1647</v>
      </c>
      <c r="I990" s="33" t="s">
        <v>3565</v>
      </c>
      <c r="J990" s="40"/>
      <c r="K990" s="33"/>
      <c r="L990" s="360"/>
      <c r="M990" s="40"/>
      <c r="N990" s="360"/>
      <c r="O990" s="72" t="s">
        <v>798</v>
      </c>
      <c r="P990" s="33">
        <v>2013</v>
      </c>
      <c r="Q990" s="40"/>
      <c r="R990" s="40"/>
      <c r="S990" s="40"/>
      <c r="T990" s="32" t="s">
        <v>12</v>
      </c>
      <c r="U990" s="252">
        <v>156828000</v>
      </c>
      <c r="V990" s="33"/>
      <c r="W990" s="127"/>
      <c r="X990" s="206" t="str">
        <f t="shared" si="276"/>
        <v>4.16.01</v>
      </c>
      <c r="Y990" s="207" t="str">
        <f t="shared" si="263"/>
        <v>JARINGAN AIR MINUM</v>
      </c>
      <c r="Z990" s="207">
        <f t="shared" si="264"/>
        <v>30</v>
      </c>
      <c r="AA990" s="233">
        <f t="shared" si="265"/>
        <v>5227599.666666667</v>
      </c>
      <c r="AB990" s="208">
        <f t="shared" si="266"/>
        <v>0</v>
      </c>
      <c r="AC990" s="233">
        <f t="shared" si="267"/>
        <v>0</v>
      </c>
      <c r="AD990" s="233">
        <f t="shared" si="268"/>
        <v>5227599.666666667</v>
      </c>
      <c r="AE990" s="233">
        <f t="shared" si="269"/>
        <v>5227599.666666667</v>
      </c>
      <c r="AF990" s="233">
        <f t="shared" si="270"/>
        <v>5227599.666666667</v>
      </c>
      <c r="AG990" s="233">
        <f t="shared" si="271"/>
        <v>5227599.666666667</v>
      </c>
      <c r="AH990" s="238">
        <f t="shared" si="272"/>
        <v>5227599.666666667</v>
      </c>
      <c r="AI990" s="238">
        <f t="shared" si="273"/>
        <v>26137998.333333336</v>
      </c>
      <c r="AJ990" s="261">
        <f t="shared" si="274"/>
        <v>2013</v>
      </c>
      <c r="AK990" s="233">
        <f t="shared" si="275"/>
        <v>130690001.66666666</v>
      </c>
    </row>
    <row r="991" spans="6:37" s="48" customFormat="1" ht="35.25" hidden="1" customHeight="1" x14ac:dyDescent="0.2">
      <c r="F991" s="218" t="s">
        <v>2307</v>
      </c>
      <c r="G991" s="187"/>
      <c r="H991" s="65" t="s">
        <v>3514</v>
      </c>
      <c r="I991" s="33" t="s">
        <v>3565</v>
      </c>
      <c r="J991" s="152"/>
      <c r="K991" s="30"/>
      <c r="L991" s="363"/>
      <c r="M991" s="152"/>
      <c r="N991" s="363"/>
      <c r="O991" s="26" t="s">
        <v>3555</v>
      </c>
      <c r="P991" s="30">
        <v>2009</v>
      </c>
      <c r="Q991" s="152"/>
      <c r="R991" s="152"/>
      <c r="S991" s="152"/>
      <c r="T991" s="32" t="s">
        <v>12</v>
      </c>
      <c r="U991" s="254">
        <v>766949312.29735994</v>
      </c>
      <c r="V991" s="30"/>
      <c r="W991" s="188"/>
      <c r="X991" s="206" t="str">
        <f t="shared" si="276"/>
        <v>4.16.01</v>
      </c>
      <c r="Y991" s="207" t="str">
        <f t="shared" si="263"/>
        <v>JARINGAN AIR MINUM</v>
      </c>
      <c r="Z991" s="207">
        <f t="shared" si="264"/>
        <v>30</v>
      </c>
      <c r="AA991" s="233">
        <f t="shared" si="265"/>
        <v>25564976.74324533</v>
      </c>
      <c r="AB991" s="208">
        <f t="shared" si="266"/>
        <v>4</v>
      </c>
      <c r="AC991" s="233">
        <f t="shared" si="267"/>
        <v>102259906.97298132</v>
      </c>
      <c r="AD991" s="233">
        <f t="shared" si="268"/>
        <v>25564976.74324533</v>
      </c>
      <c r="AE991" s="233">
        <f t="shared" si="269"/>
        <v>25564976.74324533</v>
      </c>
      <c r="AF991" s="233">
        <f t="shared" si="270"/>
        <v>25564976.74324533</v>
      </c>
      <c r="AG991" s="233">
        <f t="shared" si="271"/>
        <v>25564976.74324533</v>
      </c>
      <c r="AH991" s="238">
        <f t="shared" si="272"/>
        <v>25564976.74324533</v>
      </c>
      <c r="AI991" s="238">
        <f t="shared" si="273"/>
        <v>230084790.68920797</v>
      </c>
      <c r="AJ991" s="261">
        <f t="shared" si="274"/>
        <v>2009</v>
      </c>
      <c r="AK991" s="233">
        <f t="shared" si="275"/>
        <v>536864521.60815197</v>
      </c>
    </row>
    <row r="992" spans="6:37" s="48" customFormat="1" ht="35.25" hidden="1" customHeight="1" x14ac:dyDescent="0.2">
      <c r="F992" s="218" t="s">
        <v>2307</v>
      </c>
      <c r="G992" s="187"/>
      <c r="H992" s="65" t="s">
        <v>3515</v>
      </c>
      <c r="I992" s="33" t="s">
        <v>3565</v>
      </c>
      <c r="J992" s="152"/>
      <c r="K992" s="30"/>
      <c r="L992" s="363"/>
      <c r="M992" s="152"/>
      <c r="N992" s="363"/>
      <c r="O992" s="26" t="s">
        <v>2986</v>
      </c>
      <c r="P992" s="30">
        <v>2009</v>
      </c>
      <c r="Q992" s="152"/>
      <c r="R992" s="152"/>
      <c r="S992" s="152"/>
      <c r="T992" s="32" t="s">
        <v>12</v>
      </c>
      <c r="U992" s="254">
        <v>1568052481.3917563</v>
      </c>
      <c r="V992" s="30"/>
      <c r="W992" s="188"/>
      <c r="X992" s="206" t="str">
        <f t="shared" si="276"/>
        <v>4.16.01</v>
      </c>
      <c r="Y992" s="207" t="str">
        <f t="shared" si="263"/>
        <v>JARINGAN AIR MINUM</v>
      </c>
      <c r="Z992" s="207">
        <f t="shared" si="264"/>
        <v>30</v>
      </c>
      <c r="AA992" s="233">
        <f t="shared" si="265"/>
        <v>52268415.713058546</v>
      </c>
      <c r="AB992" s="208">
        <f t="shared" si="266"/>
        <v>4</v>
      </c>
      <c r="AC992" s="233">
        <f t="shared" si="267"/>
        <v>209073662.85223418</v>
      </c>
      <c r="AD992" s="233">
        <f t="shared" si="268"/>
        <v>52268415.713058546</v>
      </c>
      <c r="AE992" s="233">
        <f t="shared" si="269"/>
        <v>52268415.713058546</v>
      </c>
      <c r="AF992" s="233">
        <f t="shared" si="270"/>
        <v>52268415.713058546</v>
      </c>
      <c r="AG992" s="233">
        <f t="shared" si="271"/>
        <v>52268415.713058546</v>
      </c>
      <c r="AH992" s="238">
        <f t="shared" si="272"/>
        <v>52268415.713058546</v>
      </c>
      <c r="AI992" s="238">
        <f t="shared" si="273"/>
        <v>470415741.41752684</v>
      </c>
      <c r="AJ992" s="261">
        <f t="shared" si="274"/>
        <v>2009</v>
      </c>
      <c r="AK992" s="233">
        <f t="shared" si="275"/>
        <v>1097636739.9742293</v>
      </c>
    </row>
    <row r="993" spans="6:37" s="48" customFormat="1" ht="35.25" hidden="1" customHeight="1" x14ac:dyDescent="0.2">
      <c r="F993" s="218" t="s">
        <v>2307</v>
      </c>
      <c r="G993" s="187"/>
      <c r="H993" s="65" t="s">
        <v>3516</v>
      </c>
      <c r="I993" s="33" t="s">
        <v>3566</v>
      </c>
      <c r="J993" s="152"/>
      <c r="K993" s="30"/>
      <c r="L993" s="363"/>
      <c r="M993" s="152"/>
      <c r="N993" s="363"/>
      <c r="O993" s="26" t="s">
        <v>52</v>
      </c>
      <c r="P993" s="30">
        <v>2010</v>
      </c>
      <c r="Q993" s="152"/>
      <c r="R993" s="152"/>
      <c r="S993" s="152"/>
      <c r="T993" s="32" t="s">
        <v>12</v>
      </c>
      <c r="U993" s="254">
        <v>474869332.85883301</v>
      </c>
      <c r="V993" s="30"/>
      <c r="W993" s="188"/>
      <c r="X993" s="206" t="str">
        <f t="shared" si="276"/>
        <v>4.16.01</v>
      </c>
      <c r="Y993" s="207" t="str">
        <f t="shared" si="263"/>
        <v>JARINGAN AIR MINUM</v>
      </c>
      <c r="Z993" s="207">
        <f t="shared" si="264"/>
        <v>30</v>
      </c>
      <c r="AA993" s="233">
        <f t="shared" si="265"/>
        <v>15828977.428627767</v>
      </c>
      <c r="AB993" s="208">
        <f t="shared" si="266"/>
        <v>3</v>
      </c>
      <c r="AC993" s="233">
        <f t="shared" si="267"/>
        <v>47486932.2858833</v>
      </c>
      <c r="AD993" s="233">
        <f t="shared" si="268"/>
        <v>15828977.428627767</v>
      </c>
      <c r="AE993" s="233">
        <f t="shared" si="269"/>
        <v>15828977.428627767</v>
      </c>
      <c r="AF993" s="233">
        <f t="shared" si="270"/>
        <v>15828977.428627767</v>
      </c>
      <c r="AG993" s="233">
        <f t="shared" si="271"/>
        <v>15828977.428627767</v>
      </c>
      <c r="AH993" s="238">
        <f t="shared" si="272"/>
        <v>15828977.428627767</v>
      </c>
      <c r="AI993" s="238">
        <f t="shared" si="273"/>
        <v>126631819.4290221</v>
      </c>
      <c r="AJ993" s="261">
        <f t="shared" si="274"/>
        <v>2010</v>
      </c>
      <c r="AK993" s="233">
        <f t="shared" si="275"/>
        <v>348237513.42981088</v>
      </c>
    </row>
    <row r="994" spans="6:37" s="48" customFormat="1" ht="35.25" hidden="1" customHeight="1" x14ac:dyDescent="0.2">
      <c r="F994" s="218" t="s">
        <v>2307</v>
      </c>
      <c r="G994" s="187"/>
      <c r="H994" s="65" t="s">
        <v>3517</v>
      </c>
      <c r="I994" s="33" t="s">
        <v>3566</v>
      </c>
      <c r="J994" s="152"/>
      <c r="K994" s="30"/>
      <c r="L994" s="363"/>
      <c r="M994" s="152"/>
      <c r="N994" s="363"/>
      <c r="O994" s="26" t="s">
        <v>52</v>
      </c>
      <c r="P994" s="30">
        <v>2010</v>
      </c>
      <c r="Q994" s="152"/>
      <c r="R994" s="152"/>
      <c r="S994" s="152"/>
      <c r="T994" s="32" t="s">
        <v>12</v>
      </c>
      <c r="U994" s="254">
        <v>406454267.44035602</v>
      </c>
      <c r="V994" s="30"/>
      <c r="W994" s="188"/>
      <c r="X994" s="206" t="str">
        <f t="shared" si="276"/>
        <v>4.16.01</v>
      </c>
      <c r="Y994" s="207" t="str">
        <f t="shared" si="263"/>
        <v>JARINGAN AIR MINUM</v>
      </c>
      <c r="Z994" s="207">
        <f t="shared" si="264"/>
        <v>30</v>
      </c>
      <c r="AA994" s="233">
        <f t="shared" si="265"/>
        <v>13548475.248011867</v>
      </c>
      <c r="AB994" s="208">
        <f t="shared" si="266"/>
        <v>3</v>
      </c>
      <c r="AC994" s="233">
        <f t="shared" si="267"/>
        <v>40645425.744035602</v>
      </c>
      <c r="AD994" s="233">
        <f t="shared" si="268"/>
        <v>13548475.248011867</v>
      </c>
      <c r="AE994" s="233">
        <f t="shared" si="269"/>
        <v>13548475.248011867</v>
      </c>
      <c r="AF994" s="233">
        <f t="shared" si="270"/>
        <v>13548475.248011867</v>
      </c>
      <c r="AG994" s="233">
        <f t="shared" si="271"/>
        <v>13548475.248011867</v>
      </c>
      <c r="AH994" s="238">
        <f t="shared" si="272"/>
        <v>13548475.248011867</v>
      </c>
      <c r="AI994" s="238">
        <f t="shared" si="273"/>
        <v>108387801.98409495</v>
      </c>
      <c r="AJ994" s="261">
        <f t="shared" si="274"/>
        <v>2010</v>
      </c>
      <c r="AK994" s="233">
        <f t="shared" si="275"/>
        <v>298066465.45626104</v>
      </c>
    </row>
    <row r="995" spans="6:37" s="48" customFormat="1" ht="35.25" hidden="1" customHeight="1" x14ac:dyDescent="0.2">
      <c r="F995" s="218" t="s">
        <v>2307</v>
      </c>
      <c r="G995" s="187"/>
      <c r="H995" s="65" t="s">
        <v>3518</v>
      </c>
      <c r="I995" s="33" t="s">
        <v>3567</v>
      </c>
      <c r="J995" s="152"/>
      <c r="K995" s="30"/>
      <c r="L995" s="363"/>
      <c r="M995" s="152"/>
      <c r="N995" s="363"/>
      <c r="O995" s="26" t="s">
        <v>52</v>
      </c>
      <c r="P995" s="30">
        <v>2011</v>
      </c>
      <c r="Q995" s="152"/>
      <c r="R995" s="152"/>
      <c r="S995" s="152"/>
      <c r="T995" s="32"/>
      <c r="U995" s="254">
        <v>49225000</v>
      </c>
      <c r="V995" s="30"/>
      <c r="W995" s="188"/>
      <c r="X995" s="206" t="str">
        <f t="shared" si="276"/>
        <v>4.16.01</v>
      </c>
      <c r="Y995" s="207" t="str">
        <f t="shared" si="263"/>
        <v>JARINGAN AIR MINUM</v>
      </c>
      <c r="Z995" s="207">
        <f t="shared" si="264"/>
        <v>30</v>
      </c>
      <c r="AA995" s="233">
        <f t="shared" si="265"/>
        <v>1640833</v>
      </c>
      <c r="AB995" s="208">
        <f t="shared" si="266"/>
        <v>2</v>
      </c>
      <c r="AC995" s="233">
        <f t="shared" si="267"/>
        <v>3281666</v>
      </c>
      <c r="AD995" s="233">
        <f t="shared" si="268"/>
        <v>1640833</v>
      </c>
      <c r="AE995" s="233">
        <f t="shared" si="269"/>
        <v>1640833</v>
      </c>
      <c r="AF995" s="233">
        <f t="shared" si="270"/>
        <v>1640833</v>
      </c>
      <c r="AG995" s="233">
        <f t="shared" si="271"/>
        <v>1640833</v>
      </c>
      <c r="AH995" s="238">
        <f t="shared" si="272"/>
        <v>1640833</v>
      </c>
      <c r="AI995" s="238">
        <f t="shared" si="273"/>
        <v>11485831</v>
      </c>
      <c r="AJ995" s="261">
        <f t="shared" si="274"/>
        <v>2011</v>
      </c>
      <c r="AK995" s="233">
        <f t="shared" si="275"/>
        <v>37739169</v>
      </c>
    </row>
    <row r="996" spans="6:37" s="48" customFormat="1" ht="35.25" hidden="1" customHeight="1" x14ac:dyDescent="0.2">
      <c r="F996" s="218" t="s">
        <v>2307</v>
      </c>
      <c r="G996" s="187"/>
      <c r="H996" s="65" t="s">
        <v>3519</v>
      </c>
      <c r="I996" s="33" t="s">
        <v>3566</v>
      </c>
      <c r="J996" s="152" t="s">
        <v>39</v>
      </c>
      <c r="K996" s="30"/>
      <c r="L996" s="363"/>
      <c r="M996" s="152"/>
      <c r="N996" s="363"/>
      <c r="O996" s="26" t="s">
        <v>2614</v>
      </c>
      <c r="P996" s="30">
        <v>2011</v>
      </c>
      <c r="Q996" s="152"/>
      <c r="R996" s="152"/>
      <c r="S996" s="152"/>
      <c r="T996" s="32" t="s">
        <v>12</v>
      </c>
      <c r="U996" s="254">
        <v>360271116.84319699</v>
      </c>
      <c r="V996" s="30"/>
      <c r="W996" s="188"/>
      <c r="X996" s="206" t="str">
        <f t="shared" si="276"/>
        <v>4.16.01</v>
      </c>
      <c r="Y996" s="207" t="str">
        <f t="shared" si="263"/>
        <v>JARINGAN AIR MINUM</v>
      </c>
      <c r="Z996" s="207">
        <f t="shared" si="264"/>
        <v>30</v>
      </c>
      <c r="AA996" s="233">
        <f t="shared" si="265"/>
        <v>12009036.894773234</v>
      </c>
      <c r="AB996" s="208">
        <f t="shared" si="266"/>
        <v>2</v>
      </c>
      <c r="AC996" s="233">
        <f t="shared" si="267"/>
        <v>24018073.789546467</v>
      </c>
      <c r="AD996" s="233">
        <f t="shared" si="268"/>
        <v>12009036.894773234</v>
      </c>
      <c r="AE996" s="233">
        <f t="shared" si="269"/>
        <v>12009036.894773234</v>
      </c>
      <c r="AF996" s="233">
        <f t="shared" si="270"/>
        <v>12009036.894773234</v>
      </c>
      <c r="AG996" s="233">
        <f t="shared" si="271"/>
        <v>12009036.894773234</v>
      </c>
      <c r="AH996" s="238">
        <f t="shared" si="272"/>
        <v>12009036.894773234</v>
      </c>
      <c r="AI996" s="238">
        <f t="shared" si="273"/>
        <v>84063258.263412625</v>
      </c>
      <c r="AJ996" s="261">
        <f t="shared" si="274"/>
        <v>2011</v>
      </c>
      <c r="AK996" s="233">
        <f t="shared" si="275"/>
        <v>276207858.57978439</v>
      </c>
    </row>
    <row r="997" spans="6:37" s="48" customFormat="1" ht="35.25" hidden="1" customHeight="1" x14ac:dyDescent="0.2">
      <c r="F997" s="218" t="s">
        <v>2307</v>
      </c>
      <c r="G997" s="187"/>
      <c r="H997" s="65" t="s">
        <v>3520</v>
      </c>
      <c r="I997" s="33" t="s">
        <v>3567</v>
      </c>
      <c r="J997" s="152" t="s">
        <v>39</v>
      </c>
      <c r="K997" s="30"/>
      <c r="L997" s="363"/>
      <c r="M997" s="152"/>
      <c r="N997" s="363"/>
      <c r="O997" s="26" t="s">
        <v>2614</v>
      </c>
      <c r="P997" s="30">
        <v>2011</v>
      </c>
      <c r="Q997" s="152"/>
      <c r="R997" s="152"/>
      <c r="S997" s="152"/>
      <c r="T997" s="32" t="s">
        <v>12</v>
      </c>
      <c r="U997" s="254">
        <v>105422055.34248437</v>
      </c>
      <c r="V997" s="30"/>
      <c r="W997" s="188"/>
      <c r="X997" s="206" t="str">
        <f t="shared" si="276"/>
        <v>4.16.01</v>
      </c>
      <c r="Y997" s="207" t="str">
        <f t="shared" si="263"/>
        <v>JARINGAN AIR MINUM</v>
      </c>
      <c r="Z997" s="207">
        <f t="shared" si="264"/>
        <v>30</v>
      </c>
      <c r="AA997" s="233">
        <f t="shared" si="265"/>
        <v>3514068.1780828121</v>
      </c>
      <c r="AB997" s="208">
        <f t="shared" si="266"/>
        <v>2</v>
      </c>
      <c r="AC997" s="233">
        <f t="shared" si="267"/>
        <v>7028136.3561656242</v>
      </c>
      <c r="AD997" s="233">
        <f t="shared" si="268"/>
        <v>3514068.1780828121</v>
      </c>
      <c r="AE997" s="233">
        <f t="shared" si="269"/>
        <v>3514068.1780828121</v>
      </c>
      <c r="AF997" s="233">
        <f t="shared" si="270"/>
        <v>3514068.1780828121</v>
      </c>
      <c r="AG997" s="233">
        <f t="shared" si="271"/>
        <v>3514068.1780828121</v>
      </c>
      <c r="AH997" s="238">
        <f t="shared" si="272"/>
        <v>3514068.1780828121</v>
      </c>
      <c r="AI997" s="238">
        <f t="shared" si="273"/>
        <v>24598477.246579684</v>
      </c>
      <c r="AJ997" s="261">
        <f t="shared" si="274"/>
        <v>2011</v>
      </c>
      <c r="AK997" s="233">
        <f t="shared" si="275"/>
        <v>80823578.095904678</v>
      </c>
    </row>
    <row r="998" spans="6:37" s="48" customFormat="1" ht="35.25" hidden="1" customHeight="1" x14ac:dyDescent="0.2">
      <c r="F998" s="218" t="s">
        <v>2307</v>
      </c>
      <c r="G998" s="187"/>
      <c r="H998" s="65" t="s">
        <v>3521</v>
      </c>
      <c r="I998" s="33" t="s">
        <v>3567</v>
      </c>
      <c r="J998" s="152" t="s">
        <v>68</v>
      </c>
      <c r="K998" s="30"/>
      <c r="L998" s="363"/>
      <c r="M998" s="152"/>
      <c r="N998" s="363"/>
      <c r="O998" s="26" t="s">
        <v>2614</v>
      </c>
      <c r="P998" s="30">
        <v>2011</v>
      </c>
      <c r="Q998" s="152"/>
      <c r="R998" s="152"/>
      <c r="S998" s="152"/>
      <c r="T998" s="32" t="s">
        <v>12</v>
      </c>
      <c r="U998" s="254">
        <v>82118232.582566783</v>
      </c>
      <c r="V998" s="30"/>
      <c r="W998" s="188"/>
      <c r="X998" s="206" t="str">
        <f t="shared" si="276"/>
        <v>4.16.01</v>
      </c>
      <c r="Y998" s="207" t="str">
        <f t="shared" si="263"/>
        <v>JARINGAN AIR MINUM</v>
      </c>
      <c r="Z998" s="207">
        <f t="shared" si="264"/>
        <v>30</v>
      </c>
      <c r="AA998" s="233">
        <f t="shared" si="265"/>
        <v>2737274.0860855593</v>
      </c>
      <c r="AB998" s="208">
        <f t="shared" si="266"/>
        <v>2</v>
      </c>
      <c r="AC998" s="233">
        <f t="shared" si="267"/>
        <v>5474548.1721711187</v>
      </c>
      <c r="AD998" s="233">
        <f t="shared" si="268"/>
        <v>2737274.0860855593</v>
      </c>
      <c r="AE998" s="233">
        <f t="shared" si="269"/>
        <v>2737274.0860855593</v>
      </c>
      <c r="AF998" s="233">
        <f t="shared" si="270"/>
        <v>2737274.0860855593</v>
      </c>
      <c r="AG998" s="233">
        <f t="shared" si="271"/>
        <v>2737274.0860855593</v>
      </c>
      <c r="AH998" s="238">
        <f t="shared" si="272"/>
        <v>2737274.0860855593</v>
      </c>
      <c r="AI998" s="238">
        <f t="shared" si="273"/>
        <v>19160918.602598917</v>
      </c>
      <c r="AJ998" s="261">
        <f t="shared" si="274"/>
        <v>2011</v>
      </c>
      <c r="AK998" s="233">
        <f t="shared" si="275"/>
        <v>62957313.979967862</v>
      </c>
    </row>
    <row r="999" spans="6:37" s="48" customFormat="1" ht="35.25" hidden="1" customHeight="1" x14ac:dyDescent="0.2">
      <c r="F999" s="218" t="s">
        <v>2307</v>
      </c>
      <c r="G999" s="187"/>
      <c r="H999" s="65" t="s">
        <v>3522</v>
      </c>
      <c r="I999" s="33" t="s">
        <v>3567</v>
      </c>
      <c r="J999" s="152" t="s">
        <v>1765</v>
      </c>
      <c r="K999" s="30"/>
      <c r="L999" s="363"/>
      <c r="M999" s="152"/>
      <c r="N999" s="363"/>
      <c r="O999" s="26" t="s">
        <v>2614</v>
      </c>
      <c r="P999" s="30">
        <v>2011</v>
      </c>
      <c r="Q999" s="152"/>
      <c r="R999" s="152"/>
      <c r="S999" s="152"/>
      <c r="T999" s="32" t="s">
        <v>12</v>
      </c>
      <c r="U999" s="254">
        <v>162793847.5657101</v>
      </c>
      <c r="V999" s="30"/>
      <c r="W999" s="188"/>
      <c r="X999" s="206" t="str">
        <f t="shared" ref="X999:X1024" si="277">F999</f>
        <v>4.16.01</v>
      </c>
      <c r="Y999" s="207" t="str">
        <f t="shared" ref="Y999:Y1024" si="278">VLOOKUP(X999,kelompok,2,0)</f>
        <v>JARINGAN AIR MINUM</v>
      </c>
      <c r="Z999" s="207">
        <f t="shared" ref="Z999:Z1024" si="279">VLOOKUP(X999,MASAMANFAAT,4,0)</f>
        <v>30</v>
      </c>
      <c r="AA999" s="233">
        <f t="shared" ref="AA999:AA1025" si="280">(U999-10)/Z999</f>
        <v>5426461.2521903366</v>
      </c>
      <c r="AB999" s="208">
        <f t="shared" ref="AB999:AB1012" si="281">2013-AJ999</f>
        <v>2</v>
      </c>
      <c r="AC999" s="233">
        <f t="shared" ref="AC999:AC1024" si="282">IF(AB999&gt;Z999,U999-10,AA999*AB999)</f>
        <v>10852922.504380673</v>
      </c>
      <c r="AD999" s="233">
        <f t="shared" ref="AD999:AD1020" si="283">IF(U999-10=AC999,0,AA999)</f>
        <v>5426461.2521903366</v>
      </c>
      <c r="AE999" s="233">
        <f t="shared" ref="AE999:AE1021" si="284">IF(U999-10=AC999+AD999,0,AA999)</f>
        <v>5426461.2521903366</v>
      </c>
      <c r="AF999" s="233">
        <f t="shared" ref="AF999:AF1024" si="285">IF(U999-10=AC999+AD999+AE999,0,AA999)</f>
        <v>5426461.2521903366</v>
      </c>
      <c r="AG999" s="233">
        <f t="shared" ref="AG999:AG1024" si="286">IF(U999-10=AD999+AE999+AF999+AC999,0,AA999)</f>
        <v>5426461.2521903366</v>
      </c>
      <c r="AH999" s="238">
        <f t="shared" ref="AH999:AH1027" si="287">IF(U999-10=AD999+AE999+AF999+AC999+AG999,0,AA999)</f>
        <v>5426461.2521903366</v>
      </c>
      <c r="AI999" s="238">
        <f t="shared" ref="AI999:AI1027" si="288">SUM(AC999:AH999)</f>
        <v>37985228.765332356</v>
      </c>
      <c r="AJ999" s="261">
        <f t="shared" ref="AJ999:AJ1027" si="289">P999</f>
        <v>2011</v>
      </c>
      <c r="AK999" s="233">
        <f t="shared" ref="AK999:AK1027" si="290">U999-AI999</f>
        <v>124808618.80037774</v>
      </c>
    </row>
    <row r="1000" spans="6:37" s="48" customFormat="1" ht="35.25" hidden="1" customHeight="1" x14ac:dyDescent="0.2">
      <c r="F1000" s="218" t="s">
        <v>2307</v>
      </c>
      <c r="G1000" s="187"/>
      <c r="H1000" s="65" t="s">
        <v>3523</v>
      </c>
      <c r="I1000" s="33" t="s">
        <v>3567</v>
      </c>
      <c r="J1000" s="152" t="s">
        <v>1768</v>
      </c>
      <c r="K1000" s="30"/>
      <c r="L1000" s="363"/>
      <c r="M1000" s="152"/>
      <c r="N1000" s="363"/>
      <c r="O1000" s="26" t="s">
        <v>2614</v>
      </c>
      <c r="P1000" s="30">
        <v>2011</v>
      </c>
      <c r="Q1000" s="152"/>
      <c r="R1000" s="152"/>
      <c r="S1000" s="152"/>
      <c r="T1000" s="32" t="s">
        <v>12</v>
      </c>
      <c r="U1000" s="254">
        <v>45039631.159846455</v>
      </c>
      <c r="V1000" s="30"/>
      <c r="W1000" s="188"/>
      <c r="X1000" s="206" t="str">
        <f t="shared" si="277"/>
        <v>4.16.01</v>
      </c>
      <c r="Y1000" s="207" t="str">
        <f t="shared" si="278"/>
        <v>JARINGAN AIR MINUM</v>
      </c>
      <c r="Z1000" s="207">
        <f t="shared" si="279"/>
        <v>30</v>
      </c>
      <c r="AA1000" s="233">
        <f t="shared" si="280"/>
        <v>1501320.7053282151</v>
      </c>
      <c r="AB1000" s="208">
        <f t="shared" si="281"/>
        <v>2</v>
      </c>
      <c r="AC1000" s="233">
        <f t="shared" si="282"/>
        <v>3002641.4106564303</v>
      </c>
      <c r="AD1000" s="233">
        <f t="shared" si="283"/>
        <v>1501320.7053282151</v>
      </c>
      <c r="AE1000" s="233">
        <f t="shared" si="284"/>
        <v>1501320.7053282151</v>
      </c>
      <c r="AF1000" s="233">
        <f t="shared" si="285"/>
        <v>1501320.7053282151</v>
      </c>
      <c r="AG1000" s="233">
        <f t="shared" si="286"/>
        <v>1501320.7053282151</v>
      </c>
      <c r="AH1000" s="238">
        <f t="shared" si="287"/>
        <v>1501320.7053282151</v>
      </c>
      <c r="AI1000" s="238">
        <f t="shared" si="288"/>
        <v>10509244.937297506</v>
      </c>
      <c r="AJ1000" s="261">
        <f t="shared" si="289"/>
        <v>2011</v>
      </c>
      <c r="AK1000" s="233">
        <f t="shared" si="290"/>
        <v>34530386.222548947</v>
      </c>
    </row>
    <row r="1001" spans="6:37" s="48" customFormat="1" ht="35.25" hidden="1" customHeight="1" x14ac:dyDescent="0.2">
      <c r="F1001" s="218" t="s">
        <v>2307</v>
      </c>
      <c r="G1001" s="187"/>
      <c r="H1001" s="65" t="s">
        <v>3524</v>
      </c>
      <c r="I1001" s="33" t="s">
        <v>3567</v>
      </c>
      <c r="J1001" s="152" t="s">
        <v>1855</v>
      </c>
      <c r="K1001" s="30"/>
      <c r="L1001" s="363"/>
      <c r="M1001" s="152"/>
      <c r="N1001" s="363"/>
      <c r="O1001" s="26" t="s">
        <v>2614</v>
      </c>
      <c r="P1001" s="30">
        <v>2011</v>
      </c>
      <c r="Q1001" s="152"/>
      <c r="R1001" s="152"/>
      <c r="S1001" s="152"/>
      <c r="T1001" s="32" t="s">
        <v>12</v>
      </c>
      <c r="U1001" s="254">
        <v>38395822.261578523</v>
      </c>
      <c r="V1001" s="30"/>
      <c r="W1001" s="188"/>
      <c r="X1001" s="206" t="str">
        <f t="shared" si="277"/>
        <v>4.16.01</v>
      </c>
      <c r="Y1001" s="207" t="str">
        <f t="shared" si="278"/>
        <v>JARINGAN AIR MINUM</v>
      </c>
      <c r="Z1001" s="207">
        <f t="shared" si="279"/>
        <v>30</v>
      </c>
      <c r="AA1001" s="233">
        <f t="shared" si="280"/>
        <v>1279860.408719284</v>
      </c>
      <c r="AB1001" s="208">
        <f t="shared" si="281"/>
        <v>2</v>
      </c>
      <c r="AC1001" s="233">
        <f t="shared" si="282"/>
        <v>2559720.817438568</v>
      </c>
      <c r="AD1001" s="233">
        <f t="shared" si="283"/>
        <v>1279860.408719284</v>
      </c>
      <c r="AE1001" s="233">
        <f t="shared" si="284"/>
        <v>1279860.408719284</v>
      </c>
      <c r="AF1001" s="233">
        <f t="shared" si="285"/>
        <v>1279860.408719284</v>
      </c>
      <c r="AG1001" s="233">
        <f t="shared" si="286"/>
        <v>1279860.408719284</v>
      </c>
      <c r="AH1001" s="238">
        <f t="shared" si="287"/>
        <v>1279860.408719284</v>
      </c>
      <c r="AI1001" s="238">
        <f t="shared" si="288"/>
        <v>8959022.8610349894</v>
      </c>
      <c r="AJ1001" s="261">
        <f t="shared" si="289"/>
        <v>2011</v>
      </c>
      <c r="AK1001" s="233">
        <f t="shared" si="290"/>
        <v>29436799.400543533</v>
      </c>
    </row>
    <row r="1002" spans="6:37" s="48" customFormat="1" ht="35.25" hidden="1" customHeight="1" x14ac:dyDescent="0.2">
      <c r="F1002" s="218" t="s">
        <v>2307</v>
      </c>
      <c r="G1002" s="187"/>
      <c r="H1002" s="65" t="s">
        <v>3525</v>
      </c>
      <c r="I1002" s="33" t="s">
        <v>2555</v>
      </c>
      <c r="J1002" s="152" t="s">
        <v>39</v>
      </c>
      <c r="K1002" s="30"/>
      <c r="L1002" s="363"/>
      <c r="M1002" s="152"/>
      <c r="N1002" s="363"/>
      <c r="O1002" s="26" t="s">
        <v>2940</v>
      </c>
      <c r="P1002" s="30">
        <v>2012</v>
      </c>
      <c r="Q1002" s="152"/>
      <c r="R1002" s="152"/>
      <c r="S1002" s="152"/>
      <c r="T1002" s="32" t="s">
        <v>12</v>
      </c>
      <c r="U1002" s="254">
        <v>493388676.94870102</v>
      </c>
      <c r="V1002" s="30"/>
      <c r="W1002" s="188"/>
      <c r="X1002" s="206" t="str">
        <f t="shared" si="277"/>
        <v>4.16.01</v>
      </c>
      <c r="Y1002" s="207" t="str">
        <f t="shared" si="278"/>
        <v>JARINGAN AIR MINUM</v>
      </c>
      <c r="Z1002" s="207">
        <f t="shared" si="279"/>
        <v>30</v>
      </c>
      <c r="AA1002" s="233">
        <f t="shared" si="280"/>
        <v>16446288.898290034</v>
      </c>
      <c r="AB1002" s="208">
        <f t="shared" si="281"/>
        <v>1</v>
      </c>
      <c r="AC1002" s="233">
        <f t="shared" si="282"/>
        <v>16446288.898290034</v>
      </c>
      <c r="AD1002" s="233">
        <f t="shared" si="283"/>
        <v>16446288.898290034</v>
      </c>
      <c r="AE1002" s="233">
        <f t="shared" si="284"/>
        <v>16446288.898290034</v>
      </c>
      <c r="AF1002" s="233">
        <f t="shared" si="285"/>
        <v>16446288.898290034</v>
      </c>
      <c r="AG1002" s="233">
        <f t="shared" si="286"/>
        <v>16446288.898290034</v>
      </c>
      <c r="AH1002" s="238">
        <f t="shared" si="287"/>
        <v>16446288.898290034</v>
      </c>
      <c r="AI1002" s="238">
        <f t="shared" si="288"/>
        <v>98677733.389740214</v>
      </c>
      <c r="AJ1002" s="261">
        <f t="shared" si="289"/>
        <v>2012</v>
      </c>
      <c r="AK1002" s="233">
        <f t="shared" si="290"/>
        <v>394710943.5589608</v>
      </c>
    </row>
    <row r="1003" spans="6:37" s="48" customFormat="1" ht="35.25" hidden="1" customHeight="1" x14ac:dyDescent="0.2">
      <c r="F1003" s="218" t="s">
        <v>2307</v>
      </c>
      <c r="G1003" s="187"/>
      <c r="H1003" s="65" t="s">
        <v>3526</v>
      </c>
      <c r="I1003" s="33" t="s">
        <v>3568</v>
      </c>
      <c r="J1003" s="152" t="s">
        <v>68</v>
      </c>
      <c r="K1003" s="30"/>
      <c r="L1003" s="363"/>
      <c r="M1003" s="152"/>
      <c r="N1003" s="363"/>
      <c r="O1003" s="26" t="s">
        <v>2937</v>
      </c>
      <c r="P1003" s="30">
        <v>2012</v>
      </c>
      <c r="Q1003" s="152"/>
      <c r="R1003" s="152"/>
      <c r="S1003" s="152"/>
      <c r="T1003" s="32" t="s">
        <v>12</v>
      </c>
      <c r="U1003" s="254">
        <v>388878394.88692087</v>
      </c>
      <c r="V1003" s="30"/>
      <c r="W1003" s="188"/>
      <c r="X1003" s="206" t="str">
        <f t="shared" si="277"/>
        <v>4.16.01</v>
      </c>
      <c r="Y1003" s="207" t="str">
        <f t="shared" si="278"/>
        <v>JARINGAN AIR MINUM</v>
      </c>
      <c r="Z1003" s="207">
        <f t="shared" si="279"/>
        <v>30</v>
      </c>
      <c r="AA1003" s="233">
        <f t="shared" si="280"/>
        <v>12962612.829564029</v>
      </c>
      <c r="AB1003" s="208">
        <f t="shared" si="281"/>
        <v>1</v>
      </c>
      <c r="AC1003" s="233">
        <f t="shared" si="282"/>
        <v>12962612.829564029</v>
      </c>
      <c r="AD1003" s="233">
        <f t="shared" si="283"/>
        <v>12962612.829564029</v>
      </c>
      <c r="AE1003" s="233">
        <f t="shared" si="284"/>
        <v>12962612.829564029</v>
      </c>
      <c r="AF1003" s="233">
        <f t="shared" si="285"/>
        <v>12962612.829564029</v>
      </c>
      <c r="AG1003" s="233">
        <f t="shared" si="286"/>
        <v>12962612.829564029</v>
      </c>
      <c r="AH1003" s="238">
        <f t="shared" si="287"/>
        <v>12962612.829564029</v>
      </c>
      <c r="AI1003" s="238">
        <f t="shared" si="288"/>
        <v>77775676.97738418</v>
      </c>
      <c r="AJ1003" s="261">
        <f t="shared" si="289"/>
        <v>2012</v>
      </c>
      <c r="AK1003" s="233">
        <f t="shared" si="290"/>
        <v>311102717.90953672</v>
      </c>
    </row>
    <row r="1004" spans="6:37" s="48" customFormat="1" ht="35.25" hidden="1" customHeight="1" x14ac:dyDescent="0.2">
      <c r="F1004" s="218" t="s">
        <v>2307</v>
      </c>
      <c r="G1004" s="187"/>
      <c r="H1004" s="65" t="s">
        <v>3527</v>
      </c>
      <c r="I1004" s="33" t="s">
        <v>3568</v>
      </c>
      <c r="J1004" s="152" t="s">
        <v>1765</v>
      </c>
      <c r="K1004" s="30"/>
      <c r="L1004" s="363"/>
      <c r="M1004" s="152"/>
      <c r="N1004" s="363"/>
      <c r="O1004" s="26" t="s">
        <v>2945</v>
      </c>
      <c r="P1004" s="30">
        <v>2012</v>
      </c>
      <c r="Q1004" s="152"/>
      <c r="R1004" s="152"/>
      <c r="S1004" s="152"/>
      <c r="T1004" s="32" t="s">
        <v>12</v>
      </c>
      <c r="U1004" s="254">
        <v>30012703.490769427</v>
      </c>
      <c r="V1004" s="30"/>
      <c r="W1004" s="188"/>
      <c r="X1004" s="206" t="str">
        <f t="shared" si="277"/>
        <v>4.16.01</v>
      </c>
      <c r="Y1004" s="207" t="str">
        <f t="shared" si="278"/>
        <v>JARINGAN AIR MINUM</v>
      </c>
      <c r="Z1004" s="207">
        <f t="shared" si="279"/>
        <v>30</v>
      </c>
      <c r="AA1004" s="233">
        <f t="shared" si="280"/>
        <v>1000423.1163589809</v>
      </c>
      <c r="AB1004" s="208">
        <f t="shared" si="281"/>
        <v>1</v>
      </c>
      <c r="AC1004" s="233">
        <f t="shared" si="282"/>
        <v>1000423.1163589809</v>
      </c>
      <c r="AD1004" s="233">
        <f t="shared" si="283"/>
        <v>1000423.1163589809</v>
      </c>
      <c r="AE1004" s="233">
        <f t="shared" si="284"/>
        <v>1000423.1163589809</v>
      </c>
      <c r="AF1004" s="233">
        <f t="shared" si="285"/>
        <v>1000423.1163589809</v>
      </c>
      <c r="AG1004" s="233">
        <f t="shared" si="286"/>
        <v>1000423.1163589809</v>
      </c>
      <c r="AH1004" s="238">
        <f t="shared" si="287"/>
        <v>1000423.1163589809</v>
      </c>
      <c r="AI1004" s="238">
        <f t="shared" si="288"/>
        <v>6002538.6981538851</v>
      </c>
      <c r="AJ1004" s="261">
        <f t="shared" si="289"/>
        <v>2012</v>
      </c>
      <c r="AK1004" s="233">
        <f t="shared" si="290"/>
        <v>24010164.79261554</v>
      </c>
    </row>
    <row r="1005" spans="6:37" s="48" customFormat="1" ht="35.25" hidden="1" customHeight="1" x14ac:dyDescent="0.2">
      <c r="F1005" s="218" t="s">
        <v>2307</v>
      </c>
      <c r="G1005" s="187"/>
      <c r="H1005" s="65" t="s">
        <v>3528</v>
      </c>
      <c r="I1005" s="33" t="s">
        <v>3568</v>
      </c>
      <c r="J1005" s="152" t="s">
        <v>1768</v>
      </c>
      <c r="K1005" s="30"/>
      <c r="L1005" s="363"/>
      <c r="M1005" s="152"/>
      <c r="N1005" s="363"/>
      <c r="O1005" s="26" t="s">
        <v>2936</v>
      </c>
      <c r="P1005" s="30">
        <v>2012</v>
      </c>
      <c r="Q1005" s="152"/>
      <c r="R1005" s="152"/>
      <c r="S1005" s="152"/>
      <c r="T1005" s="32" t="s">
        <v>12</v>
      </c>
      <c r="U1005" s="254">
        <v>49449125.880956002</v>
      </c>
      <c r="V1005" s="30"/>
      <c r="W1005" s="188"/>
      <c r="X1005" s="206" t="str">
        <f t="shared" si="277"/>
        <v>4.16.01</v>
      </c>
      <c r="Y1005" s="207" t="str">
        <f t="shared" si="278"/>
        <v>JARINGAN AIR MINUM</v>
      </c>
      <c r="Z1005" s="207">
        <f t="shared" si="279"/>
        <v>30</v>
      </c>
      <c r="AA1005" s="233">
        <f t="shared" si="280"/>
        <v>1648303.8626985333</v>
      </c>
      <c r="AB1005" s="208">
        <f t="shared" si="281"/>
        <v>1</v>
      </c>
      <c r="AC1005" s="233">
        <f t="shared" si="282"/>
        <v>1648303.8626985333</v>
      </c>
      <c r="AD1005" s="233">
        <f t="shared" si="283"/>
        <v>1648303.8626985333</v>
      </c>
      <c r="AE1005" s="233">
        <f t="shared" si="284"/>
        <v>1648303.8626985333</v>
      </c>
      <c r="AF1005" s="233">
        <f t="shared" si="285"/>
        <v>1648303.8626985333</v>
      </c>
      <c r="AG1005" s="233">
        <f t="shared" si="286"/>
        <v>1648303.8626985333</v>
      </c>
      <c r="AH1005" s="238">
        <f t="shared" si="287"/>
        <v>1648303.8626985333</v>
      </c>
      <c r="AI1005" s="238">
        <f t="shared" si="288"/>
        <v>9889823.1761911996</v>
      </c>
      <c r="AJ1005" s="261">
        <f t="shared" si="289"/>
        <v>2012</v>
      </c>
      <c r="AK1005" s="233">
        <f t="shared" si="290"/>
        <v>39559302.704764798</v>
      </c>
    </row>
    <row r="1006" spans="6:37" s="48" customFormat="1" ht="35.25" hidden="1" customHeight="1" x14ac:dyDescent="0.2">
      <c r="F1006" s="218" t="s">
        <v>2307</v>
      </c>
      <c r="G1006" s="187"/>
      <c r="H1006" s="65" t="s">
        <v>3526</v>
      </c>
      <c r="I1006" s="33" t="s">
        <v>3568</v>
      </c>
      <c r="J1006" s="152" t="s">
        <v>1855</v>
      </c>
      <c r="K1006" s="30"/>
      <c r="L1006" s="363"/>
      <c r="M1006" s="152"/>
      <c r="N1006" s="363"/>
      <c r="O1006" s="26" t="s">
        <v>2936</v>
      </c>
      <c r="P1006" s="30">
        <v>2012</v>
      </c>
      <c r="Q1006" s="152"/>
      <c r="R1006" s="152"/>
      <c r="S1006" s="152"/>
      <c r="T1006" s="32" t="s">
        <v>12</v>
      </c>
      <c r="U1006" s="254">
        <v>482796398.79265285</v>
      </c>
      <c r="V1006" s="30"/>
      <c r="W1006" s="188"/>
      <c r="X1006" s="206" t="str">
        <f t="shared" si="277"/>
        <v>4.16.01</v>
      </c>
      <c r="Y1006" s="207" t="str">
        <f t="shared" si="278"/>
        <v>JARINGAN AIR MINUM</v>
      </c>
      <c r="Z1006" s="207">
        <f t="shared" si="279"/>
        <v>30</v>
      </c>
      <c r="AA1006" s="233">
        <f t="shared" si="280"/>
        <v>16093212.959755095</v>
      </c>
      <c r="AB1006" s="208">
        <f t="shared" si="281"/>
        <v>1</v>
      </c>
      <c r="AC1006" s="233">
        <f t="shared" si="282"/>
        <v>16093212.959755095</v>
      </c>
      <c r="AD1006" s="233">
        <f t="shared" si="283"/>
        <v>16093212.959755095</v>
      </c>
      <c r="AE1006" s="233">
        <f t="shared" si="284"/>
        <v>16093212.959755095</v>
      </c>
      <c r="AF1006" s="233">
        <f t="shared" si="285"/>
        <v>16093212.959755095</v>
      </c>
      <c r="AG1006" s="233">
        <f t="shared" si="286"/>
        <v>16093212.959755095</v>
      </c>
      <c r="AH1006" s="238">
        <f t="shared" si="287"/>
        <v>16093212.959755095</v>
      </c>
      <c r="AI1006" s="238">
        <f t="shared" si="288"/>
        <v>96559277.758530572</v>
      </c>
      <c r="AJ1006" s="261">
        <f t="shared" si="289"/>
        <v>2012</v>
      </c>
      <c r="AK1006" s="233">
        <f t="shared" si="290"/>
        <v>386237121.03412229</v>
      </c>
    </row>
    <row r="1007" spans="6:37" s="48" customFormat="1" ht="35.25" hidden="1" customHeight="1" x14ac:dyDescent="0.2">
      <c r="F1007" s="218" t="s">
        <v>2307</v>
      </c>
      <c r="G1007" s="187"/>
      <c r="H1007" s="65" t="s">
        <v>3529</v>
      </c>
      <c r="I1007" s="33" t="s">
        <v>3569</v>
      </c>
      <c r="J1007" s="152" t="s">
        <v>39</v>
      </c>
      <c r="K1007" s="30"/>
      <c r="L1007" s="363"/>
      <c r="M1007" s="152"/>
      <c r="N1007" s="363"/>
      <c r="O1007" s="26" t="s">
        <v>423</v>
      </c>
      <c r="P1007" s="30">
        <v>2013</v>
      </c>
      <c r="Q1007" s="152"/>
      <c r="R1007" s="152"/>
      <c r="S1007" s="152"/>
      <c r="T1007" s="32" t="s">
        <v>12</v>
      </c>
      <c r="U1007" s="254">
        <v>198265000</v>
      </c>
      <c r="V1007" s="30"/>
      <c r="W1007" s="188"/>
      <c r="X1007" s="206" t="str">
        <f t="shared" si="277"/>
        <v>4.16.01</v>
      </c>
      <c r="Y1007" s="207" t="str">
        <f t="shared" si="278"/>
        <v>JARINGAN AIR MINUM</v>
      </c>
      <c r="Z1007" s="207">
        <f t="shared" si="279"/>
        <v>30</v>
      </c>
      <c r="AA1007" s="233">
        <f t="shared" si="280"/>
        <v>6608833</v>
      </c>
      <c r="AB1007" s="208">
        <f t="shared" si="281"/>
        <v>0</v>
      </c>
      <c r="AC1007" s="233">
        <f t="shared" si="282"/>
        <v>0</v>
      </c>
      <c r="AD1007" s="233">
        <f t="shared" si="283"/>
        <v>6608833</v>
      </c>
      <c r="AE1007" s="233">
        <f t="shared" si="284"/>
        <v>6608833</v>
      </c>
      <c r="AF1007" s="233">
        <f t="shared" si="285"/>
        <v>6608833</v>
      </c>
      <c r="AG1007" s="233">
        <f t="shared" si="286"/>
        <v>6608833</v>
      </c>
      <c r="AH1007" s="238">
        <f t="shared" si="287"/>
        <v>6608833</v>
      </c>
      <c r="AI1007" s="238">
        <f t="shared" si="288"/>
        <v>33044165</v>
      </c>
      <c r="AJ1007" s="261">
        <f t="shared" si="289"/>
        <v>2013</v>
      </c>
      <c r="AK1007" s="233">
        <f t="shared" si="290"/>
        <v>165220835</v>
      </c>
    </row>
    <row r="1008" spans="6:37" s="48" customFormat="1" ht="35.25" hidden="1" customHeight="1" x14ac:dyDescent="0.2">
      <c r="F1008" s="218" t="s">
        <v>2307</v>
      </c>
      <c r="G1008" s="187"/>
      <c r="H1008" s="65" t="s">
        <v>3530</v>
      </c>
      <c r="I1008" s="33" t="s">
        <v>3569</v>
      </c>
      <c r="J1008" s="152" t="s">
        <v>68</v>
      </c>
      <c r="K1008" s="30"/>
      <c r="L1008" s="363"/>
      <c r="M1008" s="152"/>
      <c r="N1008" s="363"/>
      <c r="O1008" s="26" t="s">
        <v>2891</v>
      </c>
      <c r="P1008" s="30">
        <v>2013</v>
      </c>
      <c r="Q1008" s="152"/>
      <c r="R1008" s="152"/>
      <c r="S1008" s="152"/>
      <c r="T1008" s="32" t="s">
        <v>12</v>
      </c>
      <c r="U1008" s="254">
        <v>198168000</v>
      </c>
      <c r="V1008" s="30"/>
      <c r="W1008" s="188"/>
      <c r="X1008" s="206" t="str">
        <f t="shared" si="277"/>
        <v>4.16.01</v>
      </c>
      <c r="Y1008" s="207" t="str">
        <f t="shared" si="278"/>
        <v>JARINGAN AIR MINUM</v>
      </c>
      <c r="Z1008" s="207">
        <f t="shared" si="279"/>
        <v>30</v>
      </c>
      <c r="AA1008" s="233">
        <f t="shared" si="280"/>
        <v>6605599.666666667</v>
      </c>
      <c r="AB1008" s="208">
        <f t="shared" si="281"/>
        <v>0</v>
      </c>
      <c r="AC1008" s="233">
        <f t="shared" si="282"/>
        <v>0</v>
      </c>
      <c r="AD1008" s="233">
        <f t="shared" si="283"/>
        <v>6605599.666666667</v>
      </c>
      <c r="AE1008" s="233">
        <f t="shared" si="284"/>
        <v>6605599.666666667</v>
      </c>
      <c r="AF1008" s="233">
        <f t="shared" si="285"/>
        <v>6605599.666666667</v>
      </c>
      <c r="AG1008" s="233">
        <f t="shared" si="286"/>
        <v>6605599.666666667</v>
      </c>
      <c r="AH1008" s="238">
        <f t="shared" si="287"/>
        <v>6605599.666666667</v>
      </c>
      <c r="AI1008" s="238">
        <f t="shared" si="288"/>
        <v>33027998.333333336</v>
      </c>
      <c r="AJ1008" s="261">
        <f t="shared" si="289"/>
        <v>2013</v>
      </c>
      <c r="AK1008" s="233">
        <f t="shared" si="290"/>
        <v>165140001.66666666</v>
      </c>
    </row>
    <row r="1009" spans="6:37" s="48" customFormat="1" ht="35.25" hidden="1" customHeight="1" x14ac:dyDescent="0.2">
      <c r="F1009" s="218" t="s">
        <v>2307</v>
      </c>
      <c r="G1009" s="187"/>
      <c r="H1009" s="65" t="s">
        <v>3531</v>
      </c>
      <c r="I1009" s="33" t="s">
        <v>3570</v>
      </c>
      <c r="J1009" s="152" t="s">
        <v>39</v>
      </c>
      <c r="K1009" s="30"/>
      <c r="L1009" s="363"/>
      <c r="M1009" s="152"/>
      <c r="N1009" s="363"/>
      <c r="O1009" s="26" t="s">
        <v>417</v>
      </c>
      <c r="P1009" s="30">
        <v>2013</v>
      </c>
      <c r="Q1009" s="152"/>
      <c r="R1009" s="152"/>
      <c r="S1009" s="152"/>
      <c r="T1009" s="32" t="s">
        <v>12</v>
      </c>
      <c r="U1009" s="254">
        <v>74529390.572603837</v>
      </c>
      <c r="V1009" s="30"/>
      <c r="W1009" s="188"/>
      <c r="X1009" s="206" t="str">
        <f t="shared" si="277"/>
        <v>4.16.01</v>
      </c>
      <c r="Y1009" s="207" t="str">
        <f t="shared" si="278"/>
        <v>JARINGAN AIR MINUM</v>
      </c>
      <c r="Z1009" s="207">
        <f t="shared" si="279"/>
        <v>30</v>
      </c>
      <c r="AA1009" s="233">
        <f t="shared" si="280"/>
        <v>2484312.6857534614</v>
      </c>
      <c r="AB1009" s="208">
        <f t="shared" si="281"/>
        <v>0</v>
      </c>
      <c r="AC1009" s="233">
        <f t="shared" si="282"/>
        <v>0</v>
      </c>
      <c r="AD1009" s="233">
        <f t="shared" si="283"/>
        <v>2484312.6857534614</v>
      </c>
      <c r="AE1009" s="233">
        <f t="shared" si="284"/>
        <v>2484312.6857534614</v>
      </c>
      <c r="AF1009" s="233">
        <f t="shared" si="285"/>
        <v>2484312.6857534614</v>
      </c>
      <c r="AG1009" s="233">
        <f t="shared" si="286"/>
        <v>2484312.6857534614</v>
      </c>
      <c r="AH1009" s="238">
        <f t="shared" si="287"/>
        <v>2484312.6857534614</v>
      </c>
      <c r="AI1009" s="238">
        <f t="shared" si="288"/>
        <v>12421563.428767307</v>
      </c>
      <c r="AJ1009" s="261">
        <f t="shared" si="289"/>
        <v>2013</v>
      </c>
      <c r="AK1009" s="233">
        <f t="shared" si="290"/>
        <v>62107827.143836528</v>
      </c>
    </row>
    <row r="1010" spans="6:37" s="48" customFormat="1" ht="35.25" hidden="1" customHeight="1" x14ac:dyDescent="0.2">
      <c r="F1010" s="218" t="s">
        <v>2307</v>
      </c>
      <c r="G1010" s="187"/>
      <c r="H1010" s="65" t="s">
        <v>3532</v>
      </c>
      <c r="I1010" s="33" t="s">
        <v>2555</v>
      </c>
      <c r="J1010" s="152" t="s">
        <v>39</v>
      </c>
      <c r="K1010" s="30"/>
      <c r="L1010" s="363"/>
      <c r="M1010" s="152"/>
      <c r="N1010" s="363"/>
      <c r="O1010" s="26" t="s">
        <v>737</v>
      </c>
      <c r="P1010" s="30">
        <v>2013</v>
      </c>
      <c r="Q1010" s="152"/>
      <c r="R1010" s="152"/>
      <c r="S1010" s="152"/>
      <c r="T1010" s="32" t="s">
        <v>12</v>
      </c>
      <c r="U1010" s="254">
        <v>412452000</v>
      </c>
      <c r="V1010" s="30"/>
      <c r="W1010" s="188"/>
      <c r="X1010" s="206" t="str">
        <f t="shared" si="277"/>
        <v>4.16.01</v>
      </c>
      <c r="Y1010" s="207" t="str">
        <f t="shared" si="278"/>
        <v>JARINGAN AIR MINUM</v>
      </c>
      <c r="Z1010" s="207">
        <f t="shared" si="279"/>
        <v>30</v>
      </c>
      <c r="AA1010" s="233">
        <f t="shared" si="280"/>
        <v>13748399.666666666</v>
      </c>
      <c r="AB1010" s="208">
        <f t="shared" si="281"/>
        <v>0</v>
      </c>
      <c r="AC1010" s="233">
        <f t="shared" si="282"/>
        <v>0</v>
      </c>
      <c r="AD1010" s="233">
        <f t="shared" si="283"/>
        <v>13748399.666666666</v>
      </c>
      <c r="AE1010" s="233">
        <f t="shared" si="284"/>
        <v>13748399.666666666</v>
      </c>
      <c r="AF1010" s="233">
        <f t="shared" si="285"/>
        <v>13748399.666666666</v>
      </c>
      <c r="AG1010" s="233">
        <f t="shared" si="286"/>
        <v>13748399.666666666</v>
      </c>
      <c r="AH1010" s="238">
        <f t="shared" si="287"/>
        <v>13748399.666666666</v>
      </c>
      <c r="AI1010" s="238">
        <f t="shared" si="288"/>
        <v>68741998.333333328</v>
      </c>
      <c r="AJ1010" s="261">
        <f t="shared" si="289"/>
        <v>2013</v>
      </c>
      <c r="AK1010" s="233">
        <f t="shared" si="290"/>
        <v>343710001.66666669</v>
      </c>
    </row>
    <row r="1011" spans="6:37" s="48" customFormat="1" ht="35.25" hidden="1" customHeight="1" x14ac:dyDescent="0.2">
      <c r="F1011" s="218" t="s">
        <v>2307</v>
      </c>
      <c r="G1011" s="187"/>
      <c r="H1011" s="65" t="s">
        <v>3533</v>
      </c>
      <c r="I1011" s="33" t="s">
        <v>3566</v>
      </c>
      <c r="J1011" s="152" t="s">
        <v>39</v>
      </c>
      <c r="K1011" s="30"/>
      <c r="L1011" s="363"/>
      <c r="M1011" s="152"/>
      <c r="N1011" s="363"/>
      <c r="O1011" s="26" t="s">
        <v>417</v>
      </c>
      <c r="P1011" s="30">
        <v>2013</v>
      </c>
      <c r="Q1011" s="152"/>
      <c r="R1011" s="152"/>
      <c r="S1011" s="152"/>
      <c r="T1011" s="32" t="s">
        <v>12</v>
      </c>
      <c r="U1011" s="254">
        <v>718008000</v>
      </c>
      <c r="V1011" s="30"/>
      <c r="W1011" s="188"/>
      <c r="X1011" s="206" t="str">
        <f t="shared" si="277"/>
        <v>4.16.01</v>
      </c>
      <c r="Y1011" s="207" t="str">
        <f t="shared" si="278"/>
        <v>JARINGAN AIR MINUM</v>
      </c>
      <c r="Z1011" s="207">
        <f t="shared" si="279"/>
        <v>30</v>
      </c>
      <c r="AA1011" s="233">
        <f t="shared" si="280"/>
        <v>23933599.666666668</v>
      </c>
      <c r="AB1011" s="208">
        <f t="shared" si="281"/>
        <v>0</v>
      </c>
      <c r="AC1011" s="233">
        <f t="shared" si="282"/>
        <v>0</v>
      </c>
      <c r="AD1011" s="233">
        <f t="shared" si="283"/>
        <v>23933599.666666668</v>
      </c>
      <c r="AE1011" s="233">
        <f t="shared" si="284"/>
        <v>23933599.666666668</v>
      </c>
      <c r="AF1011" s="233">
        <f t="shared" si="285"/>
        <v>23933599.666666668</v>
      </c>
      <c r="AG1011" s="233">
        <f t="shared" si="286"/>
        <v>23933599.666666668</v>
      </c>
      <c r="AH1011" s="238">
        <f t="shared" si="287"/>
        <v>23933599.666666668</v>
      </c>
      <c r="AI1011" s="238">
        <f t="shared" si="288"/>
        <v>119667998.33333334</v>
      </c>
      <c r="AJ1011" s="261">
        <f t="shared" si="289"/>
        <v>2013</v>
      </c>
      <c r="AK1011" s="233">
        <f t="shared" si="290"/>
        <v>598340001.66666663</v>
      </c>
    </row>
    <row r="1012" spans="6:37" s="48" customFormat="1" ht="35.25" hidden="1" customHeight="1" x14ac:dyDescent="0.2">
      <c r="F1012" s="218" t="s">
        <v>2307</v>
      </c>
      <c r="G1012" s="187"/>
      <c r="H1012" s="65" t="s">
        <v>3534</v>
      </c>
      <c r="I1012" s="33" t="s">
        <v>3571</v>
      </c>
      <c r="J1012" s="152" t="s">
        <v>39</v>
      </c>
      <c r="K1012" s="30"/>
      <c r="L1012" s="363"/>
      <c r="M1012" s="152"/>
      <c r="N1012" s="363"/>
      <c r="O1012" s="26" t="s">
        <v>52</v>
      </c>
      <c r="P1012" s="30">
        <v>2013</v>
      </c>
      <c r="Q1012" s="152"/>
      <c r="R1012" s="152"/>
      <c r="S1012" s="152"/>
      <c r="T1012" s="32" t="s">
        <v>12</v>
      </c>
      <c r="U1012" s="254">
        <v>221324968.6019634</v>
      </c>
      <c r="V1012" s="30"/>
      <c r="W1012" s="188"/>
      <c r="X1012" s="206" t="str">
        <f t="shared" si="277"/>
        <v>4.16.01</v>
      </c>
      <c r="Y1012" s="207" t="str">
        <f t="shared" si="278"/>
        <v>JARINGAN AIR MINUM</v>
      </c>
      <c r="Z1012" s="207">
        <f t="shared" si="279"/>
        <v>30</v>
      </c>
      <c r="AA1012" s="233">
        <f t="shared" si="280"/>
        <v>7377498.6200654469</v>
      </c>
      <c r="AB1012" s="208">
        <f t="shared" si="281"/>
        <v>0</v>
      </c>
      <c r="AC1012" s="233">
        <f t="shared" si="282"/>
        <v>0</v>
      </c>
      <c r="AD1012" s="233">
        <f t="shared" si="283"/>
        <v>7377498.6200654469</v>
      </c>
      <c r="AE1012" s="233">
        <f t="shared" si="284"/>
        <v>7377498.6200654469</v>
      </c>
      <c r="AF1012" s="233">
        <f t="shared" si="285"/>
        <v>7377498.6200654469</v>
      </c>
      <c r="AG1012" s="233">
        <f t="shared" si="286"/>
        <v>7377498.6200654469</v>
      </c>
      <c r="AH1012" s="238">
        <f t="shared" si="287"/>
        <v>7377498.6200654469</v>
      </c>
      <c r="AI1012" s="238">
        <f t="shared" si="288"/>
        <v>36887493.100327238</v>
      </c>
      <c r="AJ1012" s="261">
        <f t="shared" si="289"/>
        <v>2013</v>
      </c>
      <c r="AK1012" s="233">
        <f t="shared" si="290"/>
        <v>184437475.50163615</v>
      </c>
    </row>
    <row r="1013" spans="6:37" s="48" customFormat="1" ht="35.25" hidden="1" customHeight="1" x14ac:dyDescent="0.2">
      <c r="F1013" s="218" t="s">
        <v>2307</v>
      </c>
      <c r="G1013" s="187"/>
      <c r="H1013" s="65" t="s">
        <v>3535</v>
      </c>
      <c r="I1013" s="33" t="s">
        <v>3567</v>
      </c>
      <c r="J1013" s="152" t="s">
        <v>39</v>
      </c>
      <c r="K1013" s="30"/>
      <c r="L1013" s="363"/>
      <c r="M1013" s="152"/>
      <c r="N1013" s="363"/>
      <c r="O1013" s="26" t="s">
        <v>3556</v>
      </c>
      <c r="P1013" s="30">
        <v>2014</v>
      </c>
      <c r="Q1013" s="152"/>
      <c r="R1013" s="152"/>
      <c r="S1013" s="152"/>
      <c r="T1013" s="32" t="s">
        <v>12</v>
      </c>
      <c r="U1013" s="254">
        <v>246003000</v>
      </c>
      <c r="V1013" s="30"/>
      <c r="W1013" s="188"/>
      <c r="X1013" s="206" t="str">
        <f t="shared" si="277"/>
        <v>4.16.01</v>
      </c>
      <c r="Y1013" s="207" t="str">
        <f t="shared" si="278"/>
        <v>JARINGAN AIR MINUM</v>
      </c>
      <c r="Z1013" s="207">
        <f t="shared" si="279"/>
        <v>30</v>
      </c>
      <c r="AA1013" s="233">
        <f t="shared" si="280"/>
        <v>8200099.666666667</v>
      </c>
      <c r="AB1013" s="208"/>
      <c r="AC1013" s="233">
        <f t="shared" si="282"/>
        <v>0</v>
      </c>
      <c r="AD1013" s="233">
        <f t="shared" si="283"/>
        <v>8200099.666666667</v>
      </c>
      <c r="AE1013" s="233">
        <f t="shared" si="284"/>
        <v>8200099.666666667</v>
      </c>
      <c r="AF1013" s="233">
        <f t="shared" si="285"/>
        <v>8200099.666666667</v>
      </c>
      <c r="AG1013" s="233">
        <f t="shared" si="286"/>
        <v>8200099.666666667</v>
      </c>
      <c r="AH1013" s="238">
        <f t="shared" si="287"/>
        <v>8200099.666666667</v>
      </c>
      <c r="AI1013" s="238">
        <f t="shared" si="288"/>
        <v>41000498.333333336</v>
      </c>
      <c r="AJ1013" s="261">
        <f t="shared" si="289"/>
        <v>2014</v>
      </c>
      <c r="AK1013" s="233">
        <f t="shared" si="290"/>
        <v>205002501.66666666</v>
      </c>
    </row>
    <row r="1014" spans="6:37" s="48" customFormat="1" ht="35.25" hidden="1" customHeight="1" x14ac:dyDescent="0.2">
      <c r="F1014" s="218" t="s">
        <v>2307</v>
      </c>
      <c r="G1014" s="187"/>
      <c r="H1014" s="65" t="s">
        <v>3536</v>
      </c>
      <c r="I1014" s="33" t="s">
        <v>3567</v>
      </c>
      <c r="J1014" s="152" t="s">
        <v>68</v>
      </c>
      <c r="K1014" s="30"/>
      <c r="L1014" s="363"/>
      <c r="M1014" s="152"/>
      <c r="N1014" s="363"/>
      <c r="O1014" s="26" t="s">
        <v>3557</v>
      </c>
      <c r="P1014" s="30">
        <v>2014</v>
      </c>
      <c r="Q1014" s="152"/>
      <c r="R1014" s="152"/>
      <c r="S1014" s="152"/>
      <c r="T1014" s="32" t="s">
        <v>12</v>
      </c>
      <c r="U1014" s="254">
        <v>601050000</v>
      </c>
      <c r="V1014" s="30"/>
      <c r="W1014" s="188"/>
      <c r="X1014" s="206" t="str">
        <f t="shared" si="277"/>
        <v>4.16.01</v>
      </c>
      <c r="Y1014" s="207" t="str">
        <f t="shared" si="278"/>
        <v>JARINGAN AIR MINUM</v>
      </c>
      <c r="Z1014" s="207">
        <f t="shared" si="279"/>
        <v>30</v>
      </c>
      <c r="AA1014" s="233">
        <f t="shared" si="280"/>
        <v>20034999.666666668</v>
      </c>
      <c r="AB1014" s="208"/>
      <c r="AC1014" s="233">
        <f t="shared" si="282"/>
        <v>0</v>
      </c>
      <c r="AD1014" s="233">
        <f t="shared" si="283"/>
        <v>20034999.666666668</v>
      </c>
      <c r="AE1014" s="233">
        <f t="shared" si="284"/>
        <v>20034999.666666668</v>
      </c>
      <c r="AF1014" s="233">
        <f t="shared" si="285"/>
        <v>20034999.666666668</v>
      </c>
      <c r="AG1014" s="233">
        <f t="shared" si="286"/>
        <v>20034999.666666668</v>
      </c>
      <c r="AH1014" s="238">
        <f t="shared" si="287"/>
        <v>20034999.666666668</v>
      </c>
      <c r="AI1014" s="238">
        <f t="shared" si="288"/>
        <v>100174998.33333334</v>
      </c>
      <c r="AJ1014" s="261">
        <f t="shared" si="289"/>
        <v>2014</v>
      </c>
      <c r="AK1014" s="233">
        <f t="shared" si="290"/>
        <v>500875001.66666663</v>
      </c>
    </row>
    <row r="1015" spans="6:37" s="48" customFormat="1" ht="35.25" hidden="1" customHeight="1" x14ac:dyDescent="0.2">
      <c r="F1015" s="218" t="s">
        <v>2307</v>
      </c>
      <c r="G1015" s="187"/>
      <c r="H1015" s="65" t="s">
        <v>3537</v>
      </c>
      <c r="I1015" s="33" t="s">
        <v>3567</v>
      </c>
      <c r="J1015" s="152" t="s">
        <v>1765</v>
      </c>
      <c r="K1015" s="30"/>
      <c r="L1015" s="363"/>
      <c r="M1015" s="152"/>
      <c r="N1015" s="363"/>
      <c r="O1015" s="26" t="s">
        <v>3558</v>
      </c>
      <c r="P1015" s="30">
        <v>2014</v>
      </c>
      <c r="Q1015" s="152"/>
      <c r="R1015" s="152"/>
      <c r="S1015" s="152"/>
      <c r="T1015" s="32" t="s">
        <v>12</v>
      </c>
      <c r="U1015" s="254">
        <v>198898000</v>
      </c>
      <c r="V1015" s="30"/>
      <c r="W1015" s="188"/>
      <c r="X1015" s="206" t="str">
        <f t="shared" si="277"/>
        <v>4.16.01</v>
      </c>
      <c r="Y1015" s="207" t="str">
        <f t="shared" si="278"/>
        <v>JARINGAN AIR MINUM</v>
      </c>
      <c r="Z1015" s="207">
        <f t="shared" si="279"/>
        <v>30</v>
      </c>
      <c r="AA1015" s="233">
        <f t="shared" si="280"/>
        <v>6629933</v>
      </c>
      <c r="AB1015" s="208"/>
      <c r="AC1015" s="233">
        <f t="shared" si="282"/>
        <v>0</v>
      </c>
      <c r="AD1015" s="233">
        <f t="shared" si="283"/>
        <v>6629933</v>
      </c>
      <c r="AE1015" s="233">
        <f t="shared" si="284"/>
        <v>6629933</v>
      </c>
      <c r="AF1015" s="233">
        <f t="shared" si="285"/>
        <v>6629933</v>
      </c>
      <c r="AG1015" s="233">
        <f t="shared" si="286"/>
        <v>6629933</v>
      </c>
      <c r="AH1015" s="238">
        <f t="shared" si="287"/>
        <v>6629933</v>
      </c>
      <c r="AI1015" s="238">
        <f t="shared" si="288"/>
        <v>33149665</v>
      </c>
      <c r="AJ1015" s="261">
        <f t="shared" si="289"/>
        <v>2014</v>
      </c>
      <c r="AK1015" s="233">
        <f t="shared" si="290"/>
        <v>165748335</v>
      </c>
    </row>
    <row r="1016" spans="6:37" s="48" customFormat="1" ht="35.25" hidden="1" customHeight="1" x14ac:dyDescent="0.2">
      <c r="F1016" s="218" t="s">
        <v>2307</v>
      </c>
      <c r="G1016" s="187"/>
      <c r="H1016" s="65" t="s">
        <v>3538</v>
      </c>
      <c r="I1016" s="33" t="s">
        <v>3567</v>
      </c>
      <c r="J1016" s="152" t="s">
        <v>1768</v>
      </c>
      <c r="K1016" s="30"/>
      <c r="L1016" s="363"/>
      <c r="M1016" s="152"/>
      <c r="N1016" s="363"/>
      <c r="O1016" s="26" t="s">
        <v>3558</v>
      </c>
      <c r="P1016" s="30">
        <v>2014</v>
      </c>
      <c r="Q1016" s="152"/>
      <c r="R1016" s="152"/>
      <c r="S1016" s="152"/>
      <c r="T1016" s="32" t="s">
        <v>12</v>
      </c>
      <c r="U1016" s="254">
        <v>142292000</v>
      </c>
      <c r="V1016" s="30"/>
      <c r="W1016" s="188"/>
      <c r="X1016" s="206" t="str">
        <f t="shared" si="277"/>
        <v>4.16.01</v>
      </c>
      <c r="Y1016" s="207" t="str">
        <f t="shared" si="278"/>
        <v>JARINGAN AIR MINUM</v>
      </c>
      <c r="Z1016" s="207">
        <f t="shared" si="279"/>
        <v>30</v>
      </c>
      <c r="AA1016" s="233">
        <f t="shared" si="280"/>
        <v>4743066.333333333</v>
      </c>
      <c r="AB1016" s="208"/>
      <c r="AC1016" s="233">
        <f t="shared" si="282"/>
        <v>0</v>
      </c>
      <c r="AD1016" s="233">
        <f t="shared" si="283"/>
        <v>4743066.333333333</v>
      </c>
      <c r="AE1016" s="233">
        <f t="shared" si="284"/>
        <v>4743066.333333333</v>
      </c>
      <c r="AF1016" s="233">
        <f t="shared" si="285"/>
        <v>4743066.333333333</v>
      </c>
      <c r="AG1016" s="233">
        <f t="shared" si="286"/>
        <v>4743066.333333333</v>
      </c>
      <c r="AH1016" s="238">
        <f t="shared" si="287"/>
        <v>4743066.333333333</v>
      </c>
      <c r="AI1016" s="238">
        <f t="shared" si="288"/>
        <v>23715331.666666664</v>
      </c>
      <c r="AJ1016" s="261">
        <f t="shared" si="289"/>
        <v>2014</v>
      </c>
      <c r="AK1016" s="233">
        <f t="shared" si="290"/>
        <v>118576668.33333334</v>
      </c>
    </row>
    <row r="1017" spans="6:37" s="48" customFormat="1" ht="35.25" hidden="1" customHeight="1" x14ac:dyDescent="0.2">
      <c r="F1017" s="218" t="s">
        <v>2307</v>
      </c>
      <c r="G1017" s="187"/>
      <c r="H1017" s="65" t="s">
        <v>3539</v>
      </c>
      <c r="I1017" s="33" t="s">
        <v>3567</v>
      </c>
      <c r="J1017" s="152" t="s">
        <v>1855</v>
      </c>
      <c r="K1017" s="30"/>
      <c r="L1017" s="363"/>
      <c r="M1017" s="152"/>
      <c r="N1017" s="363"/>
      <c r="O1017" s="26" t="s">
        <v>3558</v>
      </c>
      <c r="P1017" s="30">
        <v>2014</v>
      </c>
      <c r="Q1017" s="152"/>
      <c r="R1017" s="152"/>
      <c r="S1017" s="152"/>
      <c r="T1017" s="32" t="s">
        <v>12</v>
      </c>
      <c r="U1017" s="254">
        <v>144231000</v>
      </c>
      <c r="V1017" s="30"/>
      <c r="W1017" s="188"/>
      <c r="X1017" s="206" t="str">
        <f t="shared" si="277"/>
        <v>4.16.01</v>
      </c>
      <c r="Y1017" s="207" t="str">
        <f t="shared" si="278"/>
        <v>JARINGAN AIR MINUM</v>
      </c>
      <c r="Z1017" s="207">
        <f t="shared" si="279"/>
        <v>30</v>
      </c>
      <c r="AA1017" s="233">
        <f t="shared" si="280"/>
        <v>4807699.666666667</v>
      </c>
      <c r="AB1017" s="208"/>
      <c r="AC1017" s="233">
        <f t="shared" si="282"/>
        <v>0</v>
      </c>
      <c r="AD1017" s="233">
        <f t="shared" si="283"/>
        <v>4807699.666666667</v>
      </c>
      <c r="AE1017" s="233">
        <f t="shared" si="284"/>
        <v>4807699.666666667</v>
      </c>
      <c r="AF1017" s="233">
        <f t="shared" si="285"/>
        <v>4807699.666666667</v>
      </c>
      <c r="AG1017" s="233">
        <f t="shared" si="286"/>
        <v>4807699.666666667</v>
      </c>
      <c r="AH1017" s="238">
        <f t="shared" si="287"/>
        <v>4807699.666666667</v>
      </c>
      <c r="AI1017" s="238">
        <f t="shared" si="288"/>
        <v>24038498.333333336</v>
      </c>
      <c r="AJ1017" s="261">
        <f t="shared" si="289"/>
        <v>2014</v>
      </c>
      <c r="AK1017" s="233">
        <f t="shared" si="290"/>
        <v>120192501.66666666</v>
      </c>
    </row>
    <row r="1018" spans="6:37" s="48" customFormat="1" ht="35.25" hidden="1" customHeight="1" x14ac:dyDescent="0.2">
      <c r="F1018" s="218" t="s">
        <v>2307</v>
      </c>
      <c r="G1018" s="187"/>
      <c r="H1018" s="65" t="s">
        <v>3540</v>
      </c>
      <c r="I1018" s="33" t="s">
        <v>3567</v>
      </c>
      <c r="J1018" s="152" t="s">
        <v>39</v>
      </c>
      <c r="K1018" s="30"/>
      <c r="L1018" s="363"/>
      <c r="M1018" s="152"/>
      <c r="N1018" s="363"/>
      <c r="O1018" s="26" t="s">
        <v>3558</v>
      </c>
      <c r="P1018" s="30">
        <v>2014</v>
      </c>
      <c r="Q1018" s="152"/>
      <c r="R1018" s="152"/>
      <c r="S1018" s="152"/>
      <c r="T1018" s="32" t="s">
        <v>12</v>
      </c>
      <c r="U1018" s="254">
        <v>114261885.15693964</v>
      </c>
      <c r="V1018" s="30"/>
      <c r="W1018" s="188"/>
      <c r="X1018" s="206" t="str">
        <f t="shared" si="277"/>
        <v>4.16.01</v>
      </c>
      <c r="Y1018" s="207" t="str">
        <f t="shared" si="278"/>
        <v>JARINGAN AIR MINUM</v>
      </c>
      <c r="Z1018" s="207">
        <f t="shared" si="279"/>
        <v>30</v>
      </c>
      <c r="AA1018" s="233">
        <f t="shared" si="280"/>
        <v>3808729.1718979878</v>
      </c>
      <c r="AB1018" s="208"/>
      <c r="AC1018" s="233">
        <f t="shared" si="282"/>
        <v>0</v>
      </c>
      <c r="AD1018" s="233">
        <f t="shared" si="283"/>
        <v>3808729.1718979878</v>
      </c>
      <c r="AE1018" s="233">
        <f t="shared" si="284"/>
        <v>3808729.1718979878</v>
      </c>
      <c r="AF1018" s="233">
        <f t="shared" si="285"/>
        <v>3808729.1718979878</v>
      </c>
      <c r="AG1018" s="233">
        <f t="shared" si="286"/>
        <v>3808729.1718979878</v>
      </c>
      <c r="AH1018" s="238">
        <f t="shared" si="287"/>
        <v>3808729.1718979878</v>
      </c>
      <c r="AI1018" s="238">
        <f t="shared" si="288"/>
        <v>19043645.85948994</v>
      </c>
      <c r="AJ1018" s="261">
        <f t="shared" si="289"/>
        <v>2014</v>
      </c>
      <c r="AK1018" s="233">
        <f t="shared" si="290"/>
        <v>95218239.297449708</v>
      </c>
    </row>
    <row r="1019" spans="6:37" s="48" customFormat="1" ht="35.25" hidden="1" customHeight="1" x14ac:dyDescent="0.2">
      <c r="F1019" s="218" t="s">
        <v>2307</v>
      </c>
      <c r="G1019" s="187"/>
      <c r="H1019" s="65" t="s">
        <v>3541</v>
      </c>
      <c r="I1019" s="33" t="s">
        <v>3567</v>
      </c>
      <c r="J1019" s="152" t="s">
        <v>68</v>
      </c>
      <c r="K1019" s="30"/>
      <c r="L1019" s="363"/>
      <c r="M1019" s="152"/>
      <c r="N1019" s="363"/>
      <c r="O1019" s="26" t="s">
        <v>3558</v>
      </c>
      <c r="P1019" s="30">
        <v>2014</v>
      </c>
      <c r="Q1019" s="152"/>
      <c r="R1019" s="152"/>
      <c r="S1019" s="152"/>
      <c r="T1019" s="32" t="s">
        <v>12</v>
      </c>
      <c r="U1019" s="254">
        <v>74728376.872205257</v>
      </c>
      <c r="V1019" s="30"/>
      <c r="W1019" s="188"/>
      <c r="X1019" s="206" t="str">
        <f t="shared" si="277"/>
        <v>4.16.01</v>
      </c>
      <c r="Y1019" s="207" t="str">
        <f t="shared" si="278"/>
        <v>JARINGAN AIR MINUM</v>
      </c>
      <c r="Z1019" s="207">
        <f t="shared" si="279"/>
        <v>30</v>
      </c>
      <c r="AA1019" s="233">
        <f t="shared" si="280"/>
        <v>2490945.5624068421</v>
      </c>
      <c r="AB1019" s="208"/>
      <c r="AC1019" s="233">
        <f t="shared" si="282"/>
        <v>0</v>
      </c>
      <c r="AD1019" s="233">
        <f t="shared" si="283"/>
        <v>2490945.5624068421</v>
      </c>
      <c r="AE1019" s="233">
        <f t="shared" si="284"/>
        <v>2490945.5624068421</v>
      </c>
      <c r="AF1019" s="233">
        <f t="shared" si="285"/>
        <v>2490945.5624068421</v>
      </c>
      <c r="AG1019" s="233">
        <f t="shared" si="286"/>
        <v>2490945.5624068421</v>
      </c>
      <c r="AH1019" s="238">
        <f t="shared" si="287"/>
        <v>2490945.5624068421</v>
      </c>
      <c r="AI1019" s="238">
        <f t="shared" si="288"/>
        <v>12454727.81203421</v>
      </c>
      <c r="AJ1019" s="261">
        <f t="shared" si="289"/>
        <v>2014</v>
      </c>
      <c r="AK1019" s="233">
        <f t="shared" si="290"/>
        <v>62273649.060171045</v>
      </c>
    </row>
    <row r="1020" spans="6:37" s="48" customFormat="1" ht="35.25" hidden="1" customHeight="1" x14ac:dyDescent="0.2">
      <c r="F1020" s="218" t="s">
        <v>2307</v>
      </c>
      <c r="G1020" s="187"/>
      <c r="H1020" s="65" t="s">
        <v>3542</v>
      </c>
      <c r="I1020" s="33" t="s">
        <v>3567</v>
      </c>
      <c r="J1020" s="152" t="s">
        <v>39</v>
      </c>
      <c r="K1020" s="30"/>
      <c r="L1020" s="363"/>
      <c r="M1020" s="152"/>
      <c r="N1020" s="363"/>
      <c r="O1020" s="26" t="s">
        <v>3558</v>
      </c>
      <c r="P1020" s="30">
        <v>2014</v>
      </c>
      <c r="Q1020" s="152"/>
      <c r="R1020" s="152"/>
      <c r="S1020" s="152"/>
      <c r="T1020" s="32" t="s">
        <v>12</v>
      </c>
      <c r="U1020" s="254">
        <v>19068737.970855102</v>
      </c>
      <c r="V1020" s="30"/>
      <c r="W1020" s="188"/>
      <c r="X1020" s="206" t="str">
        <f t="shared" si="277"/>
        <v>4.16.01</v>
      </c>
      <c r="Y1020" s="207" t="str">
        <f t="shared" si="278"/>
        <v>JARINGAN AIR MINUM</v>
      </c>
      <c r="Z1020" s="207">
        <f t="shared" si="279"/>
        <v>30</v>
      </c>
      <c r="AA1020" s="233">
        <f t="shared" si="280"/>
        <v>635624.26569517003</v>
      </c>
      <c r="AB1020" s="208"/>
      <c r="AC1020" s="233">
        <f t="shared" si="282"/>
        <v>0</v>
      </c>
      <c r="AD1020" s="233">
        <f t="shared" si="283"/>
        <v>635624.26569517003</v>
      </c>
      <c r="AE1020" s="233">
        <f t="shared" si="284"/>
        <v>635624.26569517003</v>
      </c>
      <c r="AF1020" s="233">
        <f t="shared" si="285"/>
        <v>635624.26569517003</v>
      </c>
      <c r="AG1020" s="233">
        <f t="shared" si="286"/>
        <v>635624.26569517003</v>
      </c>
      <c r="AH1020" s="238">
        <f t="shared" si="287"/>
        <v>635624.26569517003</v>
      </c>
      <c r="AI1020" s="238">
        <f t="shared" si="288"/>
        <v>3178121.3284758502</v>
      </c>
      <c r="AJ1020" s="261">
        <f t="shared" si="289"/>
        <v>2014</v>
      </c>
      <c r="AK1020" s="233">
        <f t="shared" si="290"/>
        <v>15890616.642379252</v>
      </c>
    </row>
    <row r="1021" spans="6:37" s="48" customFormat="1" ht="35.25" hidden="1" customHeight="1" x14ac:dyDescent="0.2">
      <c r="F1021" s="218" t="s">
        <v>2307</v>
      </c>
      <c r="G1021" s="187"/>
      <c r="H1021" s="65" t="s">
        <v>3543</v>
      </c>
      <c r="I1021" s="33" t="s">
        <v>2555</v>
      </c>
      <c r="J1021" s="152" t="s">
        <v>39</v>
      </c>
      <c r="K1021" s="30"/>
      <c r="L1021" s="363"/>
      <c r="M1021" s="152"/>
      <c r="N1021" s="363"/>
      <c r="O1021" s="26" t="s">
        <v>2957</v>
      </c>
      <c r="P1021" s="30">
        <v>2015</v>
      </c>
      <c r="Q1021" s="152"/>
      <c r="R1021" s="152"/>
      <c r="S1021" s="152"/>
      <c r="T1021" s="32" t="s">
        <v>12</v>
      </c>
      <c r="U1021" s="254">
        <v>137833000</v>
      </c>
      <c r="V1021" s="30"/>
      <c r="W1021" s="188"/>
      <c r="X1021" s="206" t="str">
        <f t="shared" si="277"/>
        <v>4.16.01</v>
      </c>
      <c r="Y1021" s="207" t="str">
        <f t="shared" si="278"/>
        <v>JARINGAN AIR MINUM</v>
      </c>
      <c r="Z1021" s="207">
        <f t="shared" si="279"/>
        <v>30</v>
      </c>
      <c r="AA1021" s="233">
        <f t="shared" si="280"/>
        <v>4594433</v>
      </c>
      <c r="AB1021" s="208"/>
      <c r="AC1021" s="233">
        <f t="shared" si="282"/>
        <v>0</v>
      </c>
      <c r="AD1021" s="233"/>
      <c r="AE1021" s="233">
        <f t="shared" si="284"/>
        <v>4594433</v>
      </c>
      <c r="AF1021" s="233">
        <f t="shared" si="285"/>
        <v>4594433</v>
      </c>
      <c r="AG1021" s="233">
        <f t="shared" si="286"/>
        <v>4594433</v>
      </c>
      <c r="AH1021" s="238">
        <f t="shared" si="287"/>
        <v>4594433</v>
      </c>
      <c r="AI1021" s="238">
        <f t="shared" si="288"/>
        <v>18377732</v>
      </c>
      <c r="AJ1021" s="261">
        <f t="shared" si="289"/>
        <v>2015</v>
      </c>
      <c r="AK1021" s="233">
        <f t="shared" si="290"/>
        <v>119455268</v>
      </c>
    </row>
    <row r="1022" spans="6:37" s="48" customFormat="1" ht="35.25" hidden="1" customHeight="1" x14ac:dyDescent="0.2">
      <c r="F1022" s="218" t="s">
        <v>2307</v>
      </c>
      <c r="G1022" s="187"/>
      <c r="H1022" s="65" t="s">
        <v>3544</v>
      </c>
      <c r="I1022" s="33" t="s">
        <v>2555</v>
      </c>
      <c r="J1022" s="152" t="s">
        <v>68</v>
      </c>
      <c r="K1022" s="30"/>
      <c r="L1022" s="363"/>
      <c r="M1022" s="152"/>
      <c r="N1022" s="363"/>
      <c r="O1022" s="26" t="s">
        <v>3559</v>
      </c>
      <c r="P1022" s="30">
        <v>2016</v>
      </c>
      <c r="Q1022" s="152"/>
      <c r="R1022" s="152"/>
      <c r="S1022" s="152"/>
      <c r="T1022" s="32" t="s">
        <v>12</v>
      </c>
      <c r="U1022" s="254">
        <v>365000000</v>
      </c>
      <c r="V1022" s="30"/>
      <c r="W1022" s="188"/>
      <c r="X1022" s="206" t="str">
        <f t="shared" si="277"/>
        <v>4.16.01</v>
      </c>
      <c r="Y1022" s="207" t="str">
        <f t="shared" si="278"/>
        <v>JARINGAN AIR MINUM</v>
      </c>
      <c r="Z1022" s="207">
        <f t="shared" si="279"/>
        <v>30</v>
      </c>
      <c r="AA1022" s="233">
        <f t="shared" si="280"/>
        <v>12166666.333333334</v>
      </c>
      <c r="AB1022" s="208"/>
      <c r="AC1022" s="233">
        <f t="shared" si="282"/>
        <v>0</v>
      </c>
      <c r="AD1022" s="233"/>
      <c r="AE1022" s="233"/>
      <c r="AF1022" s="233">
        <f t="shared" si="285"/>
        <v>12166666.333333334</v>
      </c>
      <c r="AG1022" s="233">
        <f t="shared" si="286"/>
        <v>12166666.333333334</v>
      </c>
      <c r="AH1022" s="238">
        <f t="shared" si="287"/>
        <v>12166666.333333334</v>
      </c>
      <c r="AI1022" s="238">
        <f t="shared" si="288"/>
        <v>36499999</v>
      </c>
      <c r="AJ1022" s="261">
        <f t="shared" si="289"/>
        <v>2016</v>
      </c>
      <c r="AK1022" s="233">
        <f t="shared" si="290"/>
        <v>328500001</v>
      </c>
    </row>
    <row r="1023" spans="6:37" s="48" customFormat="1" ht="35.25" hidden="1" customHeight="1" x14ac:dyDescent="0.2">
      <c r="F1023" s="218" t="s">
        <v>2307</v>
      </c>
      <c r="G1023" s="187"/>
      <c r="H1023" s="65" t="s">
        <v>3545</v>
      </c>
      <c r="I1023" s="33" t="s">
        <v>2555</v>
      </c>
      <c r="J1023" s="152" t="s">
        <v>1765</v>
      </c>
      <c r="K1023" s="30"/>
      <c r="L1023" s="363"/>
      <c r="M1023" s="152"/>
      <c r="N1023" s="363"/>
      <c r="O1023" s="26" t="s">
        <v>3560</v>
      </c>
      <c r="P1023" s="30">
        <v>2016</v>
      </c>
      <c r="Q1023" s="152"/>
      <c r="R1023" s="152"/>
      <c r="S1023" s="152"/>
      <c r="T1023" s="32" t="s">
        <v>12</v>
      </c>
      <c r="U1023" s="254">
        <v>577777000</v>
      </c>
      <c r="V1023" s="30"/>
      <c r="W1023" s="188"/>
      <c r="X1023" s="206" t="str">
        <f t="shared" si="277"/>
        <v>4.16.01</v>
      </c>
      <c r="Y1023" s="207" t="str">
        <f t="shared" si="278"/>
        <v>JARINGAN AIR MINUM</v>
      </c>
      <c r="Z1023" s="207">
        <f t="shared" si="279"/>
        <v>30</v>
      </c>
      <c r="AA1023" s="233">
        <f t="shared" si="280"/>
        <v>19259233</v>
      </c>
      <c r="AB1023" s="208"/>
      <c r="AC1023" s="233">
        <f t="shared" si="282"/>
        <v>0</v>
      </c>
      <c r="AD1023" s="233"/>
      <c r="AE1023" s="233"/>
      <c r="AF1023" s="233">
        <f t="shared" si="285"/>
        <v>19259233</v>
      </c>
      <c r="AG1023" s="233">
        <f t="shared" si="286"/>
        <v>19259233</v>
      </c>
      <c r="AH1023" s="238">
        <f t="shared" si="287"/>
        <v>19259233</v>
      </c>
      <c r="AI1023" s="238">
        <f t="shared" si="288"/>
        <v>57777699</v>
      </c>
      <c r="AJ1023" s="261">
        <f t="shared" si="289"/>
        <v>2016</v>
      </c>
      <c r="AK1023" s="233">
        <f t="shared" si="290"/>
        <v>519999301</v>
      </c>
    </row>
    <row r="1024" spans="6:37" s="48" customFormat="1" ht="35.25" hidden="1" customHeight="1" x14ac:dyDescent="0.2">
      <c r="F1024" s="218" t="s">
        <v>2307</v>
      </c>
      <c r="G1024" s="187"/>
      <c r="H1024" s="65" t="s">
        <v>3546</v>
      </c>
      <c r="I1024" s="33" t="s">
        <v>2555</v>
      </c>
      <c r="J1024" s="152" t="s">
        <v>1768</v>
      </c>
      <c r="K1024" s="30"/>
      <c r="L1024" s="363"/>
      <c r="M1024" s="152"/>
      <c r="N1024" s="363"/>
      <c r="O1024" s="26" t="s">
        <v>3561</v>
      </c>
      <c r="P1024" s="30">
        <v>2016</v>
      </c>
      <c r="Q1024" s="152"/>
      <c r="R1024" s="152"/>
      <c r="S1024" s="152"/>
      <c r="T1024" s="32" t="s">
        <v>12</v>
      </c>
      <c r="U1024" s="254">
        <v>555000000</v>
      </c>
      <c r="V1024" s="30"/>
      <c r="W1024" s="188"/>
      <c r="X1024" s="206" t="str">
        <f t="shared" si="277"/>
        <v>4.16.01</v>
      </c>
      <c r="Y1024" s="207" t="str">
        <f t="shared" si="278"/>
        <v>JARINGAN AIR MINUM</v>
      </c>
      <c r="Z1024" s="207">
        <f t="shared" si="279"/>
        <v>30</v>
      </c>
      <c r="AA1024" s="233">
        <f t="shared" si="280"/>
        <v>18499999.666666668</v>
      </c>
      <c r="AB1024" s="208"/>
      <c r="AC1024" s="233">
        <f t="shared" si="282"/>
        <v>0</v>
      </c>
      <c r="AD1024" s="233"/>
      <c r="AE1024" s="233"/>
      <c r="AF1024" s="233">
        <f t="shared" si="285"/>
        <v>18499999.666666668</v>
      </c>
      <c r="AG1024" s="233">
        <f t="shared" si="286"/>
        <v>18499999.666666668</v>
      </c>
      <c r="AH1024" s="238">
        <f t="shared" si="287"/>
        <v>18499999.666666668</v>
      </c>
      <c r="AI1024" s="238">
        <f t="shared" si="288"/>
        <v>55499999</v>
      </c>
      <c r="AJ1024" s="261">
        <f t="shared" si="289"/>
        <v>2016</v>
      </c>
      <c r="AK1024" s="233">
        <f t="shared" si="290"/>
        <v>499500001</v>
      </c>
    </row>
    <row r="1025" spans="5:37" s="48" customFormat="1" ht="35.25" hidden="1" customHeight="1" x14ac:dyDescent="0.2">
      <c r="F1025" s="218"/>
      <c r="G1025" s="187"/>
      <c r="H1025" s="65" t="s">
        <v>3547</v>
      </c>
      <c r="I1025" s="33" t="s">
        <v>2555</v>
      </c>
      <c r="J1025" s="152"/>
      <c r="K1025" s="30"/>
      <c r="L1025" s="363"/>
      <c r="M1025" s="152"/>
      <c r="N1025" s="363"/>
      <c r="O1025" s="26" t="s">
        <v>3562</v>
      </c>
      <c r="P1025" s="30">
        <v>2017</v>
      </c>
      <c r="Q1025" s="152"/>
      <c r="R1025" s="152"/>
      <c r="S1025" s="152"/>
      <c r="T1025" s="32" t="s">
        <v>12</v>
      </c>
      <c r="U1025" s="254">
        <v>441507000</v>
      </c>
      <c r="V1025" s="30"/>
      <c r="W1025" s="188"/>
      <c r="X1025" s="206" t="str">
        <f>MID(I1025,2,7)</f>
        <v>4.16.01</v>
      </c>
      <c r="Y1025" s="207" t="e">
        <f>VLOOKUP(X1025,UE,2,0)</f>
        <v>#N/A</v>
      </c>
      <c r="Z1025" s="207" t="e">
        <f>VLOOKUP(X1025,UE,3,0)</f>
        <v>#N/A</v>
      </c>
      <c r="AA1025" s="233" t="e">
        <f t="shared" si="280"/>
        <v>#N/A</v>
      </c>
      <c r="AB1025" s="208"/>
      <c r="AC1025" s="233"/>
      <c r="AD1025" s="233"/>
      <c r="AE1025" s="233"/>
      <c r="AF1025" s="233"/>
      <c r="AG1025" s="233"/>
      <c r="AH1025" s="238" t="e">
        <f t="shared" si="287"/>
        <v>#N/A</v>
      </c>
      <c r="AI1025" s="238" t="e">
        <f t="shared" si="288"/>
        <v>#N/A</v>
      </c>
      <c r="AJ1025" s="261">
        <f t="shared" si="289"/>
        <v>2017</v>
      </c>
      <c r="AK1025" s="233" t="e">
        <f t="shared" si="290"/>
        <v>#N/A</v>
      </c>
    </row>
    <row r="1026" spans="5:37" s="48" customFormat="1" ht="35.25" customHeight="1" x14ac:dyDescent="0.2">
      <c r="F1026" s="218"/>
      <c r="G1026" s="187"/>
      <c r="H1026" s="65" t="s">
        <v>3548</v>
      </c>
      <c r="I1026" s="33" t="s">
        <v>2555</v>
      </c>
      <c r="J1026" s="152"/>
      <c r="K1026" s="30"/>
      <c r="L1026" s="363"/>
      <c r="M1026" s="152"/>
      <c r="N1026" s="363"/>
      <c r="O1026" s="26" t="s">
        <v>3563</v>
      </c>
      <c r="P1026" s="30">
        <v>2018</v>
      </c>
      <c r="Q1026" s="152"/>
      <c r="R1026" s="152"/>
      <c r="S1026" s="152"/>
      <c r="T1026" s="32" t="s">
        <v>12</v>
      </c>
      <c r="U1026" s="254">
        <v>329615000</v>
      </c>
      <c r="V1026" s="30" t="s">
        <v>43</v>
      </c>
      <c r="W1026" s="188"/>
      <c r="X1026" s="206" t="str">
        <f>MID(I1026,2,7)</f>
        <v>4.16.01</v>
      </c>
      <c r="Y1026" s="207" t="e">
        <f>VLOOKUP(X1026,UE,2,0)</f>
        <v>#N/A</v>
      </c>
      <c r="Z1026" s="207" t="e">
        <f>VLOOKUP(X1026,UE,3,0)</f>
        <v>#N/A</v>
      </c>
      <c r="AA1026" s="233"/>
      <c r="AB1026" s="208"/>
      <c r="AC1026" s="233"/>
      <c r="AD1026" s="233"/>
      <c r="AE1026" s="233"/>
      <c r="AF1026" s="233"/>
      <c r="AG1026" s="233"/>
      <c r="AH1026" s="238">
        <f t="shared" si="287"/>
        <v>0</v>
      </c>
      <c r="AI1026" s="238">
        <f t="shared" si="288"/>
        <v>0</v>
      </c>
      <c r="AJ1026" s="261">
        <f t="shared" si="289"/>
        <v>2018</v>
      </c>
      <c r="AK1026" s="233">
        <f t="shared" si="290"/>
        <v>329615000</v>
      </c>
    </row>
    <row r="1027" spans="5:37" s="48" customFormat="1" ht="35.25" customHeight="1" x14ac:dyDescent="0.2">
      <c r="F1027" s="218"/>
      <c r="G1027" s="187"/>
      <c r="H1027" s="65" t="s">
        <v>3548</v>
      </c>
      <c r="I1027" s="33" t="s">
        <v>2555</v>
      </c>
      <c r="J1027" s="152"/>
      <c r="K1027" s="30"/>
      <c r="L1027" s="363"/>
      <c r="M1027" s="152"/>
      <c r="N1027" s="363"/>
      <c r="O1027" s="26" t="s">
        <v>3564</v>
      </c>
      <c r="P1027" s="30">
        <v>2018</v>
      </c>
      <c r="Q1027" s="152"/>
      <c r="R1027" s="152"/>
      <c r="S1027" s="152"/>
      <c r="T1027" s="32" t="s">
        <v>12</v>
      </c>
      <c r="U1027" s="254">
        <v>329996000</v>
      </c>
      <c r="V1027" s="30" t="s">
        <v>43</v>
      </c>
      <c r="W1027" s="188"/>
      <c r="X1027" s="206" t="str">
        <f>MID(I1027,2,7)</f>
        <v>4.16.01</v>
      </c>
      <c r="Y1027" s="207" t="e">
        <f>VLOOKUP(X1027,UE,2,0)</f>
        <v>#N/A</v>
      </c>
      <c r="Z1027" s="207" t="e">
        <f>VLOOKUP(X1027,UE,3,0)</f>
        <v>#N/A</v>
      </c>
      <c r="AA1027" s="233"/>
      <c r="AB1027" s="208"/>
      <c r="AC1027" s="233"/>
      <c r="AD1027" s="233"/>
      <c r="AE1027" s="233"/>
      <c r="AF1027" s="233"/>
      <c r="AG1027" s="233"/>
      <c r="AH1027" s="238">
        <f t="shared" si="287"/>
        <v>0</v>
      </c>
      <c r="AI1027" s="238">
        <f t="shared" si="288"/>
        <v>0</v>
      </c>
      <c r="AJ1027" s="261">
        <f t="shared" si="289"/>
        <v>2018</v>
      </c>
      <c r="AK1027" s="233">
        <f t="shared" si="290"/>
        <v>329996000</v>
      </c>
    </row>
    <row r="1028" spans="5:37" s="48" customFormat="1" ht="35.25" hidden="1" customHeight="1" thickBot="1" x14ac:dyDescent="0.25">
      <c r="G1028" s="140"/>
      <c r="H1028" s="189"/>
      <c r="I1028" s="334"/>
      <c r="J1028" s="141"/>
      <c r="K1028" s="142"/>
      <c r="L1028" s="364"/>
      <c r="M1028" s="141"/>
      <c r="N1028" s="364"/>
      <c r="O1028" s="143"/>
      <c r="P1028" s="142"/>
      <c r="Q1028" s="141"/>
      <c r="R1028" s="141"/>
      <c r="S1028" s="141"/>
      <c r="T1028" s="32"/>
      <c r="U1028" s="255"/>
      <c r="V1028" s="142"/>
      <c r="W1028" s="144"/>
      <c r="AA1028" s="245"/>
      <c r="AC1028" s="245"/>
      <c r="AD1028" s="245"/>
      <c r="AE1028" s="245"/>
      <c r="AF1028" s="245"/>
      <c r="AG1028" s="245"/>
      <c r="AH1028" s="245"/>
      <c r="AI1028" s="245"/>
      <c r="AJ1028" s="245"/>
      <c r="AK1028" s="245"/>
    </row>
    <row r="1030" spans="5:37" x14ac:dyDescent="0.2">
      <c r="G1030" s="10"/>
      <c r="H1030" s="10"/>
      <c r="I1030" s="10"/>
      <c r="J1030" s="10"/>
      <c r="K1030" s="10"/>
      <c r="M1030" s="9"/>
      <c r="N1030" s="375"/>
      <c r="O1030" s="315"/>
      <c r="P1030" s="10"/>
      <c r="Q1030" s="10"/>
      <c r="R1030" s="10"/>
      <c r="S1030" s="10"/>
      <c r="T1030" s="10"/>
      <c r="U1030" s="257"/>
      <c r="V1030" s="10"/>
      <c r="W1030" s="10"/>
    </row>
    <row r="1031" spans="5:37" x14ac:dyDescent="0.2">
      <c r="G1031" s="1898" t="s">
        <v>1109</v>
      </c>
      <c r="H1031" s="1898"/>
      <c r="I1031" s="1898"/>
      <c r="K1031" s="1"/>
      <c r="N1031" s="376"/>
      <c r="O1031" s="1"/>
      <c r="P1031" s="1"/>
      <c r="Q1031" s="327"/>
      <c r="R1031" s="327"/>
      <c r="T1031" s="327"/>
      <c r="V1031" s="1"/>
      <c r="W1031" s="10"/>
    </row>
    <row r="1032" spans="5:37" x14ac:dyDescent="0.2">
      <c r="E1032" s="1" t="str">
        <f>A1032&amp;"."&amp;D1032</f>
        <v>.</v>
      </c>
      <c r="G1032" s="1797" t="s">
        <v>23</v>
      </c>
      <c r="H1032" s="1797"/>
      <c r="I1032" s="1797"/>
      <c r="K1032" s="1"/>
      <c r="N1032" s="376"/>
      <c r="O1032" s="1"/>
      <c r="P1032" s="1"/>
      <c r="Q1032" s="327"/>
      <c r="R1032" s="327"/>
      <c r="S1032" s="1797" t="s">
        <v>884</v>
      </c>
      <c r="T1032" s="1797"/>
      <c r="U1032" s="1797"/>
      <c r="V1032" s="1797"/>
      <c r="W1032" s="10"/>
    </row>
    <row r="1033" spans="5:37" x14ac:dyDescent="0.2">
      <c r="G1033" s="1797" t="s">
        <v>25</v>
      </c>
      <c r="H1033" s="1797"/>
      <c r="I1033" s="1797"/>
      <c r="K1033" s="1"/>
      <c r="N1033" s="376"/>
      <c r="O1033" s="1"/>
      <c r="P1033" s="1"/>
      <c r="Q1033" s="327"/>
      <c r="R1033" s="327"/>
      <c r="S1033" s="1797" t="s">
        <v>24</v>
      </c>
      <c r="T1033" s="1797"/>
      <c r="U1033" s="1797"/>
      <c r="V1033" s="1797"/>
      <c r="W1033" s="10"/>
    </row>
    <row r="1034" spans="5:37" x14ac:dyDescent="0.2">
      <c r="G1034" s="19"/>
      <c r="H1034" s="19"/>
      <c r="I1034" s="19"/>
      <c r="K1034" s="1"/>
      <c r="N1034" s="376"/>
      <c r="O1034" s="1"/>
      <c r="P1034" s="1"/>
      <c r="Q1034" s="327"/>
      <c r="R1034" s="327"/>
      <c r="S1034" s="18"/>
      <c r="T1034" s="18"/>
      <c r="U1034" s="259"/>
      <c r="V1034" s="18"/>
      <c r="W1034" s="10"/>
    </row>
    <row r="1035" spans="5:37" x14ac:dyDescent="0.2">
      <c r="G1035" s="19"/>
      <c r="H1035" s="19"/>
      <c r="I1035" s="19"/>
      <c r="K1035" s="1"/>
      <c r="N1035" s="376"/>
      <c r="O1035" s="1"/>
      <c r="P1035" s="1"/>
      <c r="Q1035" s="327"/>
      <c r="R1035" s="327"/>
      <c r="S1035" s="18"/>
      <c r="T1035" s="18"/>
      <c r="U1035" s="259"/>
      <c r="V1035" s="18"/>
      <c r="W1035" s="10"/>
    </row>
    <row r="1036" spans="5:37" x14ac:dyDescent="0.2">
      <c r="G1036" s="18"/>
      <c r="H1036" s="18"/>
      <c r="I1036" s="18"/>
      <c r="K1036" s="1"/>
      <c r="N1036" s="376"/>
      <c r="O1036" s="1"/>
      <c r="P1036" s="1"/>
      <c r="Q1036" s="327"/>
      <c r="R1036" s="327"/>
      <c r="S1036" s="18"/>
      <c r="T1036" s="18"/>
      <c r="U1036" s="259"/>
      <c r="V1036" s="18"/>
      <c r="W1036" s="10"/>
    </row>
    <row r="1037" spans="5:37" x14ac:dyDescent="0.2">
      <c r="G1037" s="18"/>
      <c r="H1037" s="18"/>
      <c r="I1037" s="18"/>
      <c r="K1037" s="1"/>
      <c r="N1037" s="376"/>
      <c r="O1037" s="1"/>
      <c r="P1037" s="1"/>
      <c r="Q1037" s="327"/>
      <c r="R1037" s="327"/>
      <c r="S1037" s="18"/>
      <c r="T1037" s="18"/>
      <c r="U1037" s="259"/>
      <c r="V1037" s="18"/>
      <c r="W1037" s="10"/>
    </row>
    <row r="1038" spans="5:37" x14ac:dyDescent="0.2">
      <c r="G1038" s="18"/>
      <c r="H1038" s="18"/>
      <c r="I1038" s="18"/>
      <c r="K1038" s="1"/>
      <c r="N1038" s="376"/>
      <c r="O1038" s="1"/>
      <c r="P1038" s="1"/>
      <c r="Q1038" s="327"/>
      <c r="R1038" s="327"/>
      <c r="S1038" s="18"/>
      <c r="T1038" s="18"/>
      <c r="U1038" s="259"/>
      <c r="V1038" s="18"/>
      <c r="W1038" s="10"/>
    </row>
    <row r="1039" spans="5:37" x14ac:dyDescent="0.2">
      <c r="G1039" s="1795" t="s">
        <v>26</v>
      </c>
      <c r="H1039" s="1795"/>
      <c r="I1039" s="1795"/>
      <c r="K1039" s="1"/>
      <c r="N1039" s="376"/>
      <c r="O1039" s="1"/>
      <c r="P1039" s="1"/>
      <c r="Q1039" s="327"/>
      <c r="R1039" s="327"/>
      <c r="S1039" s="1795" t="s">
        <v>27</v>
      </c>
      <c r="T1039" s="1795"/>
      <c r="U1039" s="1795"/>
      <c r="V1039" s="1795"/>
      <c r="W1039" s="10"/>
    </row>
    <row r="1040" spans="5:37" x14ac:dyDescent="0.2">
      <c r="G1040" s="1797" t="s">
        <v>28</v>
      </c>
      <c r="H1040" s="1797"/>
      <c r="I1040" s="1797"/>
      <c r="K1040" s="1"/>
      <c r="N1040" s="376"/>
      <c r="O1040" s="1"/>
      <c r="P1040" s="1"/>
      <c r="Q1040" s="327"/>
      <c r="R1040" s="327"/>
      <c r="S1040" s="1797" t="s">
        <v>29</v>
      </c>
      <c r="T1040" s="1797"/>
      <c r="U1040" s="1797"/>
      <c r="V1040" s="1797"/>
      <c r="W1040" s="10"/>
    </row>
    <row r="1045" spans="6:37" s="116" customFormat="1" ht="35.25" customHeight="1" x14ac:dyDescent="0.2">
      <c r="F1045" s="218"/>
      <c r="G1045" s="73"/>
      <c r="H1045" s="67" t="s">
        <v>2509</v>
      </c>
      <c r="I1045" s="32" t="s">
        <v>2510</v>
      </c>
      <c r="J1045" s="67"/>
      <c r="K1045" s="32"/>
      <c r="L1045" s="362"/>
      <c r="M1045" s="67"/>
      <c r="N1045" s="362" t="s">
        <v>1776</v>
      </c>
      <c r="O1045" s="65" t="s">
        <v>2576</v>
      </c>
      <c r="P1045" s="32">
        <v>2017</v>
      </c>
      <c r="Q1045" s="67"/>
      <c r="R1045" s="67"/>
      <c r="S1045" s="67"/>
      <c r="T1045" s="32" t="s">
        <v>12</v>
      </c>
      <c r="U1045" s="252">
        <v>919375000</v>
      </c>
      <c r="V1045" s="32"/>
      <c r="W1045" s="132"/>
      <c r="X1045" s="206" t="str">
        <f>MID(I1045,2,7)</f>
        <v>4.14.02</v>
      </c>
      <c r="Y1045" s="207" t="e">
        <f>VLOOKUP(X1045,UE,2,0)</f>
        <v>#N/A</v>
      </c>
      <c r="Z1045" s="207" t="e">
        <f>VLOOKUP(X1045,UE,3,0)</f>
        <v>#N/A</v>
      </c>
      <c r="AA1045" s="233" t="e">
        <f>(U1045-10)/Z1045</f>
        <v>#N/A</v>
      </c>
      <c r="AB1045" s="208"/>
      <c r="AC1045" s="233"/>
      <c r="AD1045" s="233"/>
      <c r="AE1045" s="233"/>
      <c r="AF1045" s="233"/>
      <c r="AG1045" s="233"/>
      <c r="AH1045" s="238" t="e">
        <f>IF(U1045-10=AD1045+AE1045+AF1045+AC1045+AG1045,0,AA1045)</f>
        <v>#N/A</v>
      </c>
      <c r="AI1045" s="238" t="e">
        <f>SUM(AC1045:AH1045)</f>
        <v>#N/A</v>
      </c>
      <c r="AJ1045" s="261">
        <f>P1045</f>
        <v>2017</v>
      </c>
      <c r="AK1045" s="233" t="e">
        <f>U1045-AI1045</f>
        <v>#N/A</v>
      </c>
    </row>
    <row r="1046" spans="6:37" s="116" customFormat="1" ht="35.25" customHeight="1" x14ac:dyDescent="0.2">
      <c r="F1046" s="218"/>
      <c r="G1046" s="73"/>
      <c r="H1046" s="67" t="s">
        <v>2511</v>
      </c>
      <c r="I1046" s="32" t="s">
        <v>2510</v>
      </c>
      <c r="J1046" s="67"/>
      <c r="K1046" s="32"/>
      <c r="L1046" s="362"/>
      <c r="M1046" s="67"/>
      <c r="N1046" s="362" t="s">
        <v>2267</v>
      </c>
      <c r="O1046" s="65" t="s">
        <v>2577</v>
      </c>
      <c r="P1046" s="32">
        <v>2017</v>
      </c>
      <c r="Q1046" s="67"/>
      <c r="R1046" s="67"/>
      <c r="S1046" s="67"/>
      <c r="T1046" s="32" t="s">
        <v>12</v>
      </c>
      <c r="U1046" s="252">
        <v>1775636000</v>
      </c>
      <c r="V1046" s="32"/>
      <c r="W1046" s="132"/>
      <c r="X1046" s="206" t="str">
        <f>MID(I1046,2,7)</f>
        <v>4.14.02</v>
      </c>
      <c r="Y1046" s="207" t="e">
        <f>VLOOKUP(X1046,UE,2,0)</f>
        <v>#N/A</v>
      </c>
      <c r="Z1046" s="207" t="e">
        <f>VLOOKUP(X1046,UE,3,0)</f>
        <v>#N/A</v>
      </c>
      <c r="AA1046" s="233" t="e">
        <f>(U1046-10)/Z1046</f>
        <v>#N/A</v>
      </c>
      <c r="AB1046" s="208"/>
      <c r="AC1046" s="233"/>
      <c r="AD1046" s="233"/>
      <c r="AE1046" s="233"/>
      <c r="AF1046" s="233"/>
      <c r="AG1046" s="233"/>
      <c r="AH1046" s="238" t="e">
        <f>IF(U1046-10=AD1046+AE1046+AF1046+AC1046+AG1046,0,AA1046)</f>
        <v>#N/A</v>
      </c>
      <c r="AI1046" s="238" t="e">
        <f>SUM(AC1046:AH1046)</f>
        <v>#N/A</v>
      </c>
      <c r="AJ1046" s="261">
        <f>P1046</f>
        <v>2017</v>
      </c>
      <c r="AK1046" s="233" t="e">
        <f>U1046-AI1046</f>
        <v>#N/A</v>
      </c>
    </row>
    <row r="1047" spans="6:37" s="116" customFormat="1" ht="35.25" customHeight="1" x14ac:dyDescent="0.2">
      <c r="F1047" s="218"/>
      <c r="G1047" s="73"/>
      <c r="H1047" s="67" t="s">
        <v>2512</v>
      </c>
      <c r="I1047" s="32" t="s">
        <v>2510</v>
      </c>
      <c r="J1047" s="67"/>
      <c r="K1047" s="32"/>
      <c r="L1047" s="362"/>
      <c r="M1047" s="67"/>
      <c r="N1047" s="362"/>
      <c r="O1047" s="65"/>
      <c r="P1047" s="32">
        <v>2017</v>
      </c>
      <c r="Q1047" s="67"/>
      <c r="R1047" s="67"/>
      <c r="S1047" s="67"/>
      <c r="T1047" s="32" t="s">
        <v>12</v>
      </c>
      <c r="U1047" s="252">
        <v>314300000</v>
      </c>
      <c r="V1047" s="32"/>
      <c r="W1047" s="132"/>
      <c r="X1047" s="206" t="str">
        <f>MID(I1047,2,7)</f>
        <v>4.14.02</v>
      </c>
      <c r="Y1047" s="207" t="e">
        <f>VLOOKUP(X1047,UE,2,0)</f>
        <v>#N/A</v>
      </c>
      <c r="Z1047" s="207" t="e">
        <f>VLOOKUP(X1047,UE,3,0)</f>
        <v>#N/A</v>
      </c>
      <c r="AA1047" s="233" t="e">
        <f>(U1047-10)/Z1047</f>
        <v>#N/A</v>
      </c>
      <c r="AB1047" s="208"/>
      <c r="AC1047" s="233"/>
      <c r="AD1047" s="233"/>
      <c r="AE1047" s="233"/>
      <c r="AF1047" s="233"/>
      <c r="AG1047" s="233"/>
      <c r="AH1047" s="238" t="e">
        <f>IF(U1047-10=AD1047+AE1047+AF1047+AC1047+AG1047,0,AA1047)</f>
        <v>#N/A</v>
      </c>
      <c r="AI1047" s="238" t="e">
        <f>SUM(AC1047:AH1047)</f>
        <v>#N/A</v>
      </c>
      <c r="AJ1047" s="261">
        <f>P1047</f>
        <v>2017</v>
      </c>
      <c r="AK1047" s="233" t="e">
        <f>U1047-AI1047</f>
        <v>#N/A</v>
      </c>
    </row>
    <row r="1063" spans="21:21" x14ac:dyDescent="0.2">
      <c r="U1063" s="260"/>
    </row>
  </sheetData>
  <autoFilter ref="A9:AM1028" xr:uid="{00000000-0009-0000-0000-00000B000000}">
    <filterColumn colId="15">
      <filters>
        <filter val="2018"/>
      </filters>
    </filterColumn>
  </autoFilter>
  <mergeCells count="48">
    <mergeCell ref="G1040:I1040"/>
    <mergeCell ref="S1040:V1040"/>
    <mergeCell ref="A6:A8"/>
    <mergeCell ref="B6:B8"/>
    <mergeCell ref="C6:C8"/>
    <mergeCell ref="G1031:I1031"/>
    <mergeCell ref="G1032:I1032"/>
    <mergeCell ref="S1032:V1032"/>
    <mergeCell ref="G1033:I1033"/>
    <mergeCell ref="S1033:V1033"/>
    <mergeCell ref="G1039:I1039"/>
    <mergeCell ref="S1039:V1039"/>
    <mergeCell ref="P7:P8"/>
    <mergeCell ref="T6:T8"/>
    <mergeCell ref="I6:J6"/>
    <mergeCell ref="K6:K8"/>
    <mergeCell ref="AG6:AG8"/>
    <mergeCell ref="AH6:AH8"/>
    <mergeCell ref="AI6:AI8"/>
    <mergeCell ref="AJ6:AJ8"/>
    <mergeCell ref="AK6:AK8"/>
    <mergeCell ref="AF6:AF8"/>
    <mergeCell ref="U6:U8"/>
    <mergeCell ref="V6:V8"/>
    <mergeCell ref="W6:W8"/>
    <mergeCell ref="X6:X8"/>
    <mergeCell ref="Y6:Y8"/>
    <mergeCell ref="Z6:Z8"/>
    <mergeCell ref="AA6:AA8"/>
    <mergeCell ref="AB6:AB8"/>
    <mergeCell ref="AC6:AC8"/>
    <mergeCell ref="AD6:AD8"/>
    <mergeCell ref="AE6:AE8"/>
    <mergeCell ref="G2:W2"/>
    <mergeCell ref="G3:W3"/>
    <mergeCell ref="G5:H5"/>
    <mergeCell ref="G6:G8"/>
    <mergeCell ref="H6:H8"/>
    <mergeCell ref="L6:L8"/>
    <mergeCell ref="M6:M8"/>
    <mergeCell ref="N6:N8"/>
    <mergeCell ref="R6:R8"/>
    <mergeCell ref="S6:S8"/>
    <mergeCell ref="P6:Q6"/>
    <mergeCell ref="Q7:Q8"/>
    <mergeCell ref="I7:I8"/>
    <mergeCell ref="J7:J8"/>
    <mergeCell ref="O6:O8"/>
  </mergeCells>
  <conditionalFormatting sqref="X11">
    <cfRule type="cellIs" dxfId="5" priority="1" operator="equal">
      <formula>$U$11</formula>
    </cfRule>
  </conditionalFormatting>
  <pageMargins left="1.54" right="0.27559055118110237" top="0.65" bottom="0.63" header="0.31496062992125984" footer="0.31496062992125984"/>
  <pageSetup paperSize="5" scale="60" orientation="landscape" horizontalDpi="4294967293" vertic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AL542"/>
  <sheetViews>
    <sheetView topLeftCell="A4" zoomScale="70" zoomScaleNormal="70" workbookViewId="0">
      <pane xSplit="15" ySplit="6" topLeftCell="P13" activePane="bottomRight" state="frozen"/>
      <selection activeCell="A4" sqref="A4"/>
      <selection pane="topRight" activeCell="M4" sqref="M4"/>
      <selection pane="bottomLeft" activeCell="A10" sqref="A10"/>
      <selection pane="bottomRight" activeCell="S19" sqref="S19"/>
    </sheetView>
  </sheetViews>
  <sheetFormatPr baseColWidth="10" defaultColWidth="9.1640625" defaultRowHeight="15" x14ac:dyDescent="0.2"/>
  <cols>
    <col min="1" max="1" width="5" style="1" customWidth="1"/>
    <col min="2" max="3" width="9" style="1" customWidth="1"/>
    <col min="4" max="4" width="7.6640625" style="1" customWidth="1"/>
    <col min="5" max="5" width="9.1640625" style="48"/>
    <col min="6" max="6" width="7.6640625" style="1" customWidth="1"/>
    <col min="7" max="7" width="50.5" style="1" customWidth="1"/>
    <col min="8" max="8" width="18.83203125" style="391" customWidth="1"/>
    <col min="9" max="9" width="9.1640625" style="1" hidden="1" customWidth="1"/>
    <col min="10" max="10" width="23.5" style="392" hidden="1" customWidth="1"/>
    <col min="11" max="11" width="9.1640625" style="366" hidden="1" customWidth="1"/>
    <col min="12" max="12" width="10.1640625" style="315" hidden="1" customWidth="1"/>
    <col min="13" max="13" width="16.33203125" style="377" hidden="1" customWidth="1"/>
    <col min="14" max="14" width="32" style="306" customWidth="1"/>
    <col min="15" max="15" width="14" style="391" customWidth="1"/>
    <col min="16" max="16" width="19.6640625" style="1" customWidth="1"/>
    <col min="17" max="17" width="11.1640625" style="1" customWidth="1"/>
    <col min="18" max="18" width="17.33203125" style="1" customWidth="1"/>
    <col min="19" max="19" width="8.33203125" style="1" bestFit="1" customWidth="1"/>
    <col min="20" max="20" width="32" style="258" bestFit="1" customWidth="1"/>
    <col min="21" max="21" width="11.5" style="391" customWidth="1"/>
    <col min="22" max="22" width="18.5" style="1" customWidth="1"/>
    <col min="23" max="25" width="22.1640625" style="1" customWidth="1"/>
    <col min="26" max="26" width="22.1640625" style="258" customWidth="1"/>
    <col min="27" max="27" width="22.1640625" style="1" customWidth="1"/>
    <col min="28" max="34" width="22.1640625" style="258" customWidth="1"/>
    <col min="35" max="35" width="22.1640625" style="258" hidden="1" customWidth="1"/>
    <col min="36" max="36" width="22.1640625" style="258" customWidth="1"/>
    <col min="37" max="37" width="34.83203125" style="1" customWidth="1"/>
    <col min="38" max="38" width="15.33203125" style="1" customWidth="1"/>
    <col min="39" max="16384" width="9.1640625" style="1"/>
  </cols>
  <sheetData>
    <row r="2" spans="1:37" ht="26" x14ac:dyDescent="0.3">
      <c r="F2" s="1828" t="s">
        <v>0</v>
      </c>
      <c r="G2" s="1828"/>
      <c r="H2" s="1828"/>
      <c r="I2" s="1979"/>
      <c r="J2" s="1828"/>
      <c r="K2" s="1828"/>
      <c r="L2" s="1828"/>
      <c r="M2" s="1828"/>
      <c r="N2" s="1828"/>
      <c r="O2" s="1828"/>
      <c r="P2" s="1828"/>
      <c r="Q2" s="1828"/>
      <c r="R2" s="1828"/>
      <c r="S2" s="1828"/>
      <c r="T2" s="2000"/>
      <c r="U2" s="1828"/>
      <c r="V2" s="1828"/>
    </row>
    <row r="3" spans="1:37" ht="26" x14ac:dyDescent="0.3">
      <c r="F3" s="1828" t="s">
        <v>474</v>
      </c>
      <c r="G3" s="1828"/>
      <c r="H3" s="1828"/>
      <c r="I3" s="1979"/>
      <c r="J3" s="1828"/>
      <c r="K3" s="1828"/>
      <c r="L3" s="1828"/>
      <c r="M3" s="1828"/>
      <c r="N3" s="1828"/>
      <c r="O3" s="1828"/>
      <c r="P3" s="1828"/>
      <c r="Q3" s="1828"/>
      <c r="R3" s="1828"/>
      <c r="S3" s="1828"/>
      <c r="T3" s="2000"/>
      <c r="U3" s="1828"/>
      <c r="V3" s="1828"/>
      <c r="AE3" s="258">
        <f>AB12:AE12</f>
        <v>30794223966.451912</v>
      </c>
    </row>
    <row r="4" spans="1:37" ht="12" customHeight="1" x14ac:dyDescent="0.3">
      <c r="F4" s="390"/>
      <c r="G4" s="390"/>
      <c r="H4" s="390"/>
      <c r="I4" s="390"/>
      <c r="J4" s="149"/>
      <c r="K4" s="357"/>
      <c r="L4" s="149"/>
      <c r="M4" s="370"/>
      <c r="N4" s="24"/>
      <c r="O4" s="390"/>
      <c r="P4" s="390"/>
      <c r="Q4" s="390"/>
      <c r="R4" s="390"/>
      <c r="S4" s="390"/>
      <c r="T4" s="249"/>
      <c r="U4" s="390"/>
      <c r="V4" s="390"/>
      <c r="AK4" s="307">
        <f>SUM(AB12:AE12)</f>
        <v>415320262912.87335</v>
      </c>
    </row>
    <row r="5" spans="1:37" ht="27" thickBot="1" x14ac:dyDescent="0.35">
      <c r="F5" s="2001" t="s">
        <v>32</v>
      </c>
      <c r="G5" s="2001"/>
      <c r="H5" s="13" t="s">
        <v>475</v>
      </c>
      <c r="I5" s="122"/>
      <c r="J5" s="150"/>
      <c r="K5" s="358"/>
      <c r="L5" s="151"/>
      <c r="M5" s="371"/>
      <c r="N5" s="124"/>
      <c r="O5" s="123"/>
      <c r="P5" s="122"/>
      <c r="Q5" s="122"/>
      <c r="R5" s="122"/>
      <c r="S5" s="122"/>
      <c r="T5" s="316">
        <v>86023466537.022736</v>
      </c>
      <c r="U5" s="317"/>
      <c r="V5" s="318" t="e">
        <f>T217-T5</f>
        <v>#N/A</v>
      </c>
    </row>
    <row r="6" spans="1:37" s="12" customFormat="1" ht="28.5" customHeight="1" thickTop="1" x14ac:dyDescent="0.2">
      <c r="A6" s="1904" t="s">
        <v>3573</v>
      </c>
      <c r="B6" s="1904" t="s">
        <v>3572</v>
      </c>
      <c r="C6" s="1904" t="s">
        <v>3574</v>
      </c>
      <c r="D6" s="393"/>
      <c r="E6" s="119"/>
      <c r="F6" s="1895" t="s">
        <v>869</v>
      </c>
      <c r="G6" s="1889" t="s">
        <v>870</v>
      </c>
      <c r="H6" s="1997" t="s">
        <v>883</v>
      </c>
      <c r="I6" s="1998"/>
      <c r="J6" s="1999" t="s">
        <v>3831</v>
      </c>
      <c r="K6" s="2002" t="s">
        <v>1110</v>
      </c>
      <c r="L6" s="1889" t="s">
        <v>1111</v>
      </c>
      <c r="M6" s="2002" t="s">
        <v>872</v>
      </c>
      <c r="N6" s="1889" t="s">
        <v>1112</v>
      </c>
      <c r="O6" s="1889" t="s">
        <v>3832</v>
      </c>
      <c r="P6" s="1889"/>
      <c r="Q6" s="1889" t="s">
        <v>875</v>
      </c>
      <c r="R6" s="1889" t="s">
        <v>1104</v>
      </c>
      <c r="S6" s="1889" t="s">
        <v>909</v>
      </c>
      <c r="T6" s="1901" t="s">
        <v>1105</v>
      </c>
      <c r="U6" s="1889" t="s">
        <v>1113</v>
      </c>
      <c r="V6" s="1892" t="s">
        <v>911</v>
      </c>
      <c r="W6" s="1986" t="s">
        <v>2279</v>
      </c>
      <c r="X6" s="1989" t="s">
        <v>2280</v>
      </c>
      <c r="Y6" s="1989" t="s">
        <v>2281</v>
      </c>
      <c r="Z6" s="1992" t="s">
        <v>2282</v>
      </c>
      <c r="AA6" s="1986" t="s">
        <v>2283</v>
      </c>
      <c r="AB6" s="1983" t="s">
        <v>2284</v>
      </c>
      <c r="AC6" s="1983" t="s">
        <v>2285</v>
      </c>
      <c r="AD6" s="1983" t="s">
        <v>2286</v>
      </c>
      <c r="AE6" s="1983" t="s">
        <v>2287</v>
      </c>
      <c r="AF6" s="1983" t="s">
        <v>2294</v>
      </c>
      <c r="AG6" s="1983" t="s">
        <v>2487</v>
      </c>
      <c r="AH6" s="1983" t="s">
        <v>2489</v>
      </c>
      <c r="AI6" s="1983" t="s">
        <v>2288</v>
      </c>
      <c r="AJ6" s="1983" t="s">
        <v>2289</v>
      </c>
      <c r="AK6" s="308">
        <f>AK12-AK4</f>
        <v>30794223966.451843</v>
      </c>
    </row>
    <row r="7" spans="1:37" s="12" customFormat="1" ht="14.25" customHeight="1" x14ac:dyDescent="0.2">
      <c r="A7" s="1904"/>
      <c r="B7" s="1904"/>
      <c r="C7" s="1904"/>
      <c r="D7" s="393"/>
      <c r="E7" s="119"/>
      <c r="F7" s="1896"/>
      <c r="G7" s="1890"/>
      <c r="H7" s="1981" t="s">
        <v>877</v>
      </c>
      <c r="I7" s="1981" t="s">
        <v>3833</v>
      </c>
      <c r="J7" s="1981"/>
      <c r="K7" s="2003"/>
      <c r="L7" s="1890"/>
      <c r="M7" s="2003"/>
      <c r="N7" s="1890"/>
      <c r="O7" s="1995" t="s">
        <v>882</v>
      </c>
      <c r="P7" s="1899" t="s">
        <v>883</v>
      </c>
      <c r="Q7" s="1890"/>
      <c r="R7" s="1890"/>
      <c r="S7" s="1890"/>
      <c r="T7" s="1902"/>
      <c r="U7" s="1890"/>
      <c r="V7" s="1893"/>
      <c r="W7" s="1987"/>
      <c r="X7" s="1990"/>
      <c r="Y7" s="1990"/>
      <c r="Z7" s="1993"/>
      <c r="AA7" s="1987"/>
      <c r="AB7" s="1984"/>
      <c r="AC7" s="1984"/>
      <c r="AD7" s="1984"/>
      <c r="AE7" s="1984"/>
      <c r="AF7" s="1984"/>
      <c r="AG7" s="1984"/>
      <c r="AH7" s="1984"/>
      <c r="AI7" s="1984"/>
      <c r="AJ7" s="1984"/>
    </row>
    <row r="8" spans="1:37" s="12" customFormat="1" ht="12" customHeight="1" thickBot="1" x14ac:dyDescent="0.25">
      <c r="A8" s="1904"/>
      <c r="B8" s="1904"/>
      <c r="C8" s="1904"/>
      <c r="D8" s="393"/>
      <c r="E8" s="119"/>
      <c r="F8" s="1897"/>
      <c r="G8" s="1891"/>
      <c r="H8" s="1982"/>
      <c r="I8" s="1982"/>
      <c r="J8" s="1982"/>
      <c r="K8" s="2004"/>
      <c r="L8" s="1891"/>
      <c r="M8" s="2004"/>
      <c r="N8" s="1891"/>
      <c r="O8" s="1996"/>
      <c r="P8" s="1900"/>
      <c r="Q8" s="1891"/>
      <c r="R8" s="1891"/>
      <c r="S8" s="1891"/>
      <c r="T8" s="1903"/>
      <c r="U8" s="1891"/>
      <c r="V8" s="1894"/>
      <c r="W8" s="1988"/>
      <c r="X8" s="1991"/>
      <c r="Y8" s="1991"/>
      <c r="Z8" s="1994"/>
      <c r="AA8" s="1988"/>
      <c r="AB8" s="1985"/>
      <c r="AC8" s="1985"/>
      <c r="AD8" s="1985"/>
      <c r="AE8" s="1985"/>
      <c r="AF8" s="1985"/>
      <c r="AG8" s="1985"/>
      <c r="AH8" s="1985"/>
      <c r="AI8" s="1985"/>
      <c r="AJ8" s="1985"/>
    </row>
    <row r="9" spans="1:37" s="18" customFormat="1" thickTop="1" x14ac:dyDescent="0.2">
      <c r="E9" s="116"/>
      <c r="F9" s="145">
        <v>1</v>
      </c>
      <c r="G9" s="146">
        <v>2</v>
      </c>
      <c r="H9" s="146">
        <v>3</v>
      </c>
      <c r="I9" s="31">
        <v>4</v>
      </c>
      <c r="J9" s="31">
        <v>6</v>
      </c>
      <c r="K9" s="359">
        <v>7</v>
      </c>
      <c r="L9" s="368">
        <v>8</v>
      </c>
      <c r="M9" s="399">
        <v>9</v>
      </c>
      <c r="N9" s="147">
        <v>10</v>
      </c>
      <c r="O9" s="146">
        <v>11</v>
      </c>
      <c r="P9" s="146">
        <v>12</v>
      </c>
      <c r="Q9" s="146">
        <v>13</v>
      </c>
      <c r="R9" s="31">
        <v>14</v>
      </c>
      <c r="S9" s="31">
        <v>15</v>
      </c>
      <c r="T9" s="753">
        <v>16</v>
      </c>
      <c r="U9" s="31">
        <v>17</v>
      </c>
      <c r="V9" s="148">
        <v>18</v>
      </c>
      <c r="W9" s="309">
        <v>19</v>
      </c>
      <c r="X9" s="309">
        <v>20</v>
      </c>
      <c r="Y9" s="309">
        <v>21</v>
      </c>
      <c r="Z9" s="310">
        <v>22</v>
      </c>
      <c r="AA9" s="309">
        <v>23</v>
      </c>
      <c r="AB9" s="319">
        <v>24</v>
      </c>
      <c r="AC9" s="319">
        <v>25</v>
      </c>
      <c r="AD9" s="310"/>
      <c r="AE9" s="310"/>
      <c r="AF9" s="310"/>
      <c r="AG9" s="310"/>
      <c r="AH9" s="310"/>
      <c r="AI9" s="310">
        <v>26</v>
      </c>
      <c r="AJ9" s="310">
        <v>27</v>
      </c>
      <c r="AK9" s="311">
        <f>SUM(AB12:AF12)</f>
        <v>446114486879.32526</v>
      </c>
    </row>
    <row r="10" spans="1:37" s="18" customFormat="1" ht="12.75" customHeight="1" x14ac:dyDescent="0.2">
      <c r="F10" s="53"/>
      <c r="G10" s="16"/>
      <c r="H10" s="55"/>
      <c r="I10" s="16"/>
      <c r="J10" s="55"/>
      <c r="K10" s="360"/>
      <c r="L10" s="16"/>
      <c r="M10" s="372"/>
      <c r="N10" s="125"/>
      <c r="O10" s="55"/>
      <c r="P10" s="16"/>
      <c r="Q10" s="16"/>
      <c r="R10" s="16"/>
      <c r="S10" s="16"/>
      <c r="T10" s="250"/>
      <c r="U10" s="55"/>
      <c r="V10" s="126"/>
      <c r="Z10" s="259"/>
      <c r="AB10" s="259"/>
      <c r="AC10" s="259"/>
      <c r="AD10" s="259"/>
      <c r="AE10" s="259"/>
      <c r="AF10" s="259"/>
      <c r="AG10" s="259"/>
      <c r="AH10" s="259"/>
      <c r="AI10" s="259"/>
      <c r="AJ10" s="259"/>
    </row>
    <row r="11" spans="1:37" s="116" customFormat="1" ht="35.25" customHeight="1" x14ac:dyDescent="0.2">
      <c r="F11" s="58" t="s">
        <v>476</v>
      </c>
      <c r="G11" s="96" t="s">
        <v>1130</v>
      </c>
      <c r="H11" s="33"/>
      <c r="I11" s="40"/>
      <c r="J11" s="33"/>
      <c r="K11" s="360"/>
      <c r="L11" s="40"/>
      <c r="M11" s="360"/>
      <c r="N11" s="72"/>
      <c r="O11" s="33"/>
      <c r="P11" s="40"/>
      <c r="Q11" s="40"/>
      <c r="R11" s="40"/>
      <c r="S11" s="40"/>
      <c r="T11" s="232" t="e">
        <f>T12+T217+T403+T413</f>
        <v>#N/A</v>
      </c>
      <c r="U11" s="33"/>
      <c r="V11" s="127"/>
      <c r="W11" s="115"/>
      <c r="X11" s="196"/>
      <c r="Z11" s="233"/>
      <c r="AB11" s="233"/>
      <c r="AC11" s="233"/>
      <c r="AD11" s="233"/>
      <c r="AE11" s="233"/>
      <c r="AF11" s="233"/>
      <c r="AG11" s="233" t="e">
        <f>AG12+AG217+AG403+AG413</f>
        <v>#N/A</v>
      </c>
      <c r="AH11" s="233" t="e">
        <f>AH12+AH217+AH403+AH413</f>
        <v>#N/A</v>
      </c>
      <c r="AI11" s="233">
        <f>AI12+AI217+AI403+AI413</f>
        <v>16170398216</v>
      </c>
      <c r="AJ11" s="233" t="e">
        <f>AJ12+AJ217+AJ403+AJ413</f>
        <v>#N/A</v>
      </c>
    </row>
    <row r="12" spans="1:37" s="119" customFormat="1" ht="35.25" customHeight="1" x14ac:dyDescent="0.2">
      <c r="F12" s="58" t="s">
        <v>477</v>
      </c>
      <c r="G12" s="96" t="s">
        <v>1131</v>
      </c>
      <c r="H12" s="395"/>
      <c r="I12" s="63"/>
      <c r="J12" s="33"/>
      <c r="K12" s="360"/>
      <c r="L12" s="40"/>
      <c r="M12" s="360"/>
      <c r="N12" s="25"/>
      <c r="O12" s="395"/>
      <c r="P12" s="63"/>
      <c r="Q12" s="63"/>
      <c r="R12" s="63"/>
      <c r="S12" s="63"/>
      <c r="T12" s="232">
        <f>SUM(T13:T215)</f>
        <v>717320021817.70007</v>
      </c>
      <c r="U12" s="395"/>
      <c r="V12" s="101"/>
      <c r="W12" s="117"/>
      <c r="X12" s="118"/>
      <c r="Y12" s="117"/>
      <c r="Z12" s="232"/>
      <c r="AB12" s="232">
        <f t="shared" ref="AB12:AJ12" si="0">SUM(AB13:AB215)</f>
        <v>348193737823.43585</v>
      </c>
      <c r="AC12" s="232">
        <f t="shared" si="0"/>
        <v>13696892409.051004</v>
      </c>
      <c r="AD12" s="232">
        <f t="shared" si="0"/>
        <v>22635408713.934563</v>
      </c>
      <c r="AE12" s="232">
        <f t="shared" si="0"/>
        <v>30794223966.451912</v>
      </c>
      <c r="AF12" s="232">
        <f t="shared" si="0"/>
        <v>30794223966.451912</v>
      </c>
      <c r="AG12" s="232">
        <f t="shared" si="0"/>
        <v>30451714312.92392</v>
      </c>
      <c r="AH12" s="232">
        <f t="shared" si="0"/>
        <v>476566201192.24908</v>
      </c>
      <c r="AI12" s="232">
        <f t="shared" si="0"/>
        <v>16170398216</v>
      </c>
      <c r="AJ12" s="232">
        <f t="shared" si="0"/>
        <v>240753820625.45087</v>
      </c>
      <c r="AK12" s="221">
        <f>AH12-AG12</f>
        <v>446114486879.3252</v>
      </c>
    </row>
    <row r="13" spans="1:37" s="116" customFormat="1" ht="35.25" customHeight="1" x14ac:dyDescent="0.2">
      <c r="A13" s="116">
        <v>1</v>
      </c>
      <c r="B13" s="116" t="str">
        <f t="shared" ref="B13:B66" si="1">VLOOKUP(A13,RUAS,2,FALSE)</f>
        <v>SEB. TELUK KUANTAN - SEB. BENAI</v>
      </c>
      <c r="C13" s="116" t="s">
        <v>529</v>
      </c>
      <c r="D13" s="116" t="s">
        <v>7</v>
      </c>
      <c r="E13" s="218" t="s">
        <v>4247</v>
      </c>
      <c r="F13" s="53"/>
      <c r="G13" s="396" t="str">
        <f t="shared" ref="G13:G30" si="2">VLOOKUP(D13,ACUAN,4,FALSE)</f>
        <v>JALAN KABUPATEN LOKAL</v>
      </c>
      <c r="H13" s="396" t="str">
        <f t="shared" ref="H13:H30" si="3">VLOOKUP(D13,ACUAN,5,FALSE)</f>
        <v>04.13.01.03.06</v>
      </c>
      <c r="I13" s="396">
        <f t="shared" ref="I13:I30" si="4">VLOOKUP(D13,ACUAN,6,FALSE)</f>
        <v>0</v>
      </c>
      <c r="J13" s="396" t="str">
        <f t="shared" ref="J13:J30" si="5">VLOOKUP(D13,ACUAN,7,FALSE)</f>
        <v>BATU PECAH / MACADAM</v>
      </c>
      <c r="K13" s="398">
        <f t="shared" ref="K13:K30" si="6">VLOOKUP(D13,ACUAN,8,FALSE)</f>
        <v>11700</v>
      </c>
      <c r="L13" s="396">
        <f t="shared" ref="L13:L30" si="7">VLOOKUP(D13,ACUAN,9,FALSE)</f>
        <v>8</v>
      </c>
      <c r="M13" s="398">
        <f t="shared" ref="M13:M30" si="8">VLOOKUP(D13,ACUAN,10,FALSE)</f>
        <v>93600</v>
      </c>
      <c r="N13" s="396" t="str">
        <f t="shared" ref="N13:N30" si="9">VLOOKUP(D13,ACUAN,11,FALSE)</f>
        <v>SEBERANG TALUK - SEBERANG BENAI</v>
      </c>
      <c r="O13" s="396">
        <f t="shared" ref="O13:O30" si="10">VLOOKUP(D13,ACUAN,12,FALSE)</f>
        <v>2001</v>
      </c>
      <c r="P13" s="396">
        <f t="shared" ref="P13:P30" si="11">VLOOKUP(D13,ACUAN,13,FALSE)</f>
        <v>0</v>
      </c>
      <c r="Q13" s="396">
        <f t="shared" ref="Q13:Q30" si="12">VLOOKUP(D13,ACUAN,14,FALSE)</f>
        <v>0</v>
      </c>
      <c r="R13" s="396" t="str">
        <f t="shared" ref="R13:R30" si="13">VLOOKUP(D13,ACUAN,15,FALSE)</f>
        <v>12.04.06.05.01.00</v>
      </c>
      <c r="S13" s="396" t="str">
        <f t="shared" ref="S13:S30" si="14">VLOOKUP(D13,ACUAN,16,FALSE)</f>
        <v>APBD</v>
      </c>
      <c r="T13" s="397">
        <f t="shared" ref="T13:T30" si="15">VLOOKUP(D13,ACUAN,17,FALSE)</f>
        <v>4420800000</v>
      </c>
      <c r="U13" s="396" t="str">
        <f t="shared" ref="U13:U30" si="16">VLOOKUP(D13,ACUAN,18,FALSE)</f>
        <v>B</v>
      </c>
      <c r="V13" s="396">
        <f t="shared" ref="V13:V30" si="17">VLOOKUP(D13,ACUAN,19,FALSE)</f>
        <v>0</v>
      </c>
      <c r="W13" s="206" t="str">
        <f>LEFT(H13,8)</f>
        <v>04.13.01</v>
      </c>
      <c r="X13" s="207" t="str">
        <f>VLOOKUP(W13,UE,3,FALSE)</f>
        <v>Jalan</v>
      </c>
      <c r="Y13" s="207">
        <f>VLOOKUP(W13,UE,4,FALSE)</f>
        <v>10</v>
      </c>
      <c r="Z13" s="233">
        <f>(T13-10)/Y13</f>
        <v>442079999</v>
      </c>
      <c r="AA13" s="208">
        <f>IF(2013-O13&gt;Y13,Y13,IF(2013-O13&lt;0,0,2013-O13))</f>
        <v>10</v>
      </c>
      <c r="AB13" s="233">
        <f>IF(AA13&gt;Y13,T13-10,Z13*AA13)</f>
        <v>4420799990</v>
      </c>
      <c r="AC13" s="233">
        <f>IF(T13-10=AB13,0,Z13)</f>
        <v>0</v>
      </c>
      <c r="AD13" s="233">
        <f>IF(T13-10=AB13+AC13,0,Z13)</f>
        <v>0</v>
      </c>
      <c r="AE13" s="233">
        <f>IF(T13-10=AB13+AC13+AD13,0,Z13)</f>
        <v>0</v>
      </c>
      <c r="AF13" s="238">
        <f>IF(T13-10=AC13+AD13+AE13+AB13,0,Z13)</f>
        <v>0</v>
      </c>
      <c r="AG13" s="238">
        <f>IF(T13-10=AC13+AD13+AE13+AB13+AF13,0,Z13)</f>
        <v>0</v>
      </c>
      <c r="AH13" s="238">
        <f>SUM(AB13:AG13)</f>
        <v>4420799990</v>
      </c>
      <c r="AI13" s="261">
        <f>O13</f>
        <v>2001</v>
      </c>
      <c r="AJ13" s="233">
        <f>T13-AH13</f>
        <v>10</v>
      </c>
    </row>
    <row r="14" spans="1:37" s="116" customFormat="1" ht="35.25" customHeight="1" x14ac:dyDescent="0.2">
      <c r="A14" s="116">
        <v>1</v>
      </c>
      <c r="B14" s="116" t="str">
        <f t="shared" si="1"/>
        <v>SEB. TELUK KUANTAN - SEB. BENAI</v>
      </c>
      <c r="C14" s="116" t="s">
        <v>529</v>
      </c>
      <c r="D14" s="116" t="s">
        <v>35</v>
      </c>
      <c r="E14" s="218" t="s">
        <v>4247</v>
      </c>
      <c r="F14" s="53"/>
      <c r="G14" s="67" t="str">
        <f t="shared" si="2"/>
        <v>PEMELIHARAAN JALAN SEBERANG TALUK - SEBERANG BENAI ( NO. RUAS 001 ) (ASPAL OVERLAY) RUTIN 11,70 KM</v>
      </c>
      <c r="H14" s="396" t="str">
        <f t="shared" si="3"/>
        <v>04.13.01.03.06</v>
      </c>
      <c r="I14" s="396">
        <f t="shared" si="4"/>
        <v>0</v>
      </c>
      <c r="J14" s="396">
        <f t="shared" si="5"/>
        <v>0</v>
      </c>
      <c r="K14" s="398">
        <f t="shared" si="6"/>
        <v>0</v>
      </c>
      <c r="L14" s="396">
        <f t="shared" si="7"/>
        <v>0</v>
      </c>
      <c r="M14" s="398">
        <f t="shared" si="8"/>
        <v>0</v>
      </c>
      <c r="N14" s="396" t="str">
        <f t="shared" si="9"/>
        <v>SEBERANG TALUK - SEBERANG BENAI</v>
      </c>
      <c r="O14" s="396">
        <f t="shared" si="10"/>
        <v>2007</v>
      </c>
      <c r="P14" s="396">
        <f t="shared" si="11"/>
        <v>0</v>
      </c>
      <c r="Q14" s="396">
        <f t="shared" si="12"/>
        <v>0</v>
      </c>
      <c r="R14" s="396">
        <f t="shared" si="13"/>
        <v>0</v>
      </c>
      <c r="S14" s="396" t="str">
        <f t="shared" si="14"/>
        <v>APBD</v>
      </c>
      <c r="T14" s="397">
        <f t="shared" si="15"/>
        <v>1606819122.6242001</v>
      </c>
      <c r="U14" s="396" t="str">
        <f t="shared" si="16"/>
        <v>B</v>
      </c>
      <c r="V14" s="396">
        <f t="shared" si="17"/>
        <v>0</v>
      </c>
      <c r="W14" s="206" t="str">
        <f t="shared" ref="W14:W64" si="18">LEFT(H14,8)</f>
        <v>04.13.01</v>
      </c>
      <c r="X14" s="207" t="str">
        <f t="shared" ref="X14:X64" si="19">VLOOKUP(W14,UE,3,FALSE)</f>
        <v>Jalan</v>
      </c>
      <c r="Y14" s="207">
        <f t="shared" ref="Y14:Y64" si="20">VLOOKUP(W14,UE,4,FALSE)</f>
        <v>10</v>
      </c>
      <c r="Z14" s="233">
        <f t="shared" ref="Z14:Z64" si="21">(T14-10)/Y14</f>
        <v>160681911.26242</v>
      </c>
      <c r="AA14" s="208">
        <f t="shared" ref="AA14:AA77" si="22">IF(2013-O14&gt;Y14,Y14,IF(2013-O14&lt;0,0,2013-O14))</f>
        <v>6</v>
      </c>
      <c r="AB14" s="233">
        <f t="shared" ref="AB14:AB64" si="23">IF(AA14&gt;Y14,T14-10,Z14*AA14)</f>
        <v>964091467.57451999</v>
      </c>
      <c r="AC14" s="233">
        <f>IF(T14-10=AB14,0,Z14)</f>
        <v>160681911.26242</v>
      </c>
      <c r="AD14" s="233">
        <f t="shared" ref="AD14:AD63" si="24">IF(T14-10=AB14+AC14,0,Z14)</f>
        <v>160681911.26242</v>
      </c>
      <c r="AE14" s="233">
        <f t="shared" ref="AE14:AE64" si="25">IF(T14-10=AB14+AC14+AD14,0,Z14)</f>
        <v>160681911.26242</v>
      </c>
      <c r="AF14" s="238">
        <f t="shared" ref="AF14:AF64" si="26">IF(T14-10=AC14+AD14+AE14+AB14,0,Z14)</f>
        <v>160681911.26242</v>
      </c>
      <c r="AG14" s="238">
        <f t="shared" ref="AG14:AG64" si="27">IF(T14-10=AC14+AD14+AE14+AB14+AF14,0,Z14)</f>
        <v>0</v>
      </c>
      <c r="AH14" s="238">
        <f t="shared" ref="AH14:AH77" si="28">SUM(AB14:AG14)</f>
        <v>1606819112.6241999</v>
      </c>
      <c r="AI14" s="261">
        <f t="shared" ref="AI14:AI64" si="29">O14</f>
        <v>2007</v>
      </c>
      <c r="AJ14" s="233">
        <f t="shared" ref="AJ14:AJ64" si="30">T14-AH14</f>
        <v>10.000000238418579</v>
      </c>
    </row>
    <row r="15" spans="1:37" s="116" customFormat="1" ht="35.25" customHeight="1" x14ac:dyDescent="0.2">
      <c r="A15" s="116">
        <v>1</v>
      </c>
      <c r="B15" s="116" t="str">
        <f t="shared" si="1"/>
        <v>SEB. TELUK KUANTAN - SEB. BENAI</v>
      </c>
      <c r="C15" s="116" t="s">
        <v>529</v>
      </c>
      <c r="D15" s="116" t="s">
        <v>471</v>
      </c>
      <c r="E15" s="218" t="s">
        <v>4247</v>
      </c>
      <c r="F15" s="53"/>
      <c r="G15" s="67" t="str">
        <f t="shared" si="2"/>
        <v>PENINGKATAN JALAN SEBERANG TELUK KUANTAN - SEBERANG BENAI</v>
      </c>
      <c r="H15" s="396" t="str">
        <f t="shared" si="3"/>
        <v>04.13.01.03.06</v>
      </c>
      <c r="I15" s="396">
        <f t="shared" si="4"/>
        <v>0</v>
      </c>
      <c r="J15" s="396">
        <f t="shared" si="5"/>
        <v>0</v>
      </c>
      <c r="K15" s="398">
        <f t="shared" si="6"/>
        <v>0</v>
      </c>
      <c r="L15" s="396">
        <f t="shared" si="7"/>
        <v>0</v>
      </c>
      <c r="M15" s="398">
        <f t="shared" si="8"/>
        <v>0</v>
      </c>
      <c r="N15" s="396" t="str">
        <f t="shared" si="9"/>
        <v>SEBERANG TALUK - SEBERANG BENAI</v>
      </c>
      <c r="O15" s="396">
        <f t="shared" si="10"/>
        <v>2015</v>
      </c>
      <c r="P15" s="396">
        <f t="shared" si="11"/>
        <v>0</v>
      </c>
      <c r="Q15" s="396">
        <f t="shared" si="12"/>
        <v>0</v>
      </c>
      <c r="R15" s="396">
        <f t="shared" si="13"/>
        <v>0</v>
      </c>
      <c r="S15" s="396" t="str">
        <f t="shared" si="14"/>
        <v>APBD</v>
      </c>
      <c r="T15" s="397">
        <f t="shared" si="15"/>
        <v>3147563153</v>
      </c>
      <c r="U15" s="396">
        <f t="shared" si="16"/>
        <v>0</v>
      </c>
      <c r="V15" s="396">
        <f t="shared" si="17"/>
        <v>0</v>
      </c>
      <c r="W15" s="206" t="str">
        <f t="shared" si="18"/>
        <v>04.13.01</v>
      </c>
      <c r="X15" s="207" t="str">
        <f t="shared" si="19"/>
        <v>Jalan</v>
      </c>
      <c r="Y15" s="207">
        <f t="shared" si="20"/>
        <v>10</v>
      </c>
      <c r="Z15" s="233">
        <f t="shared" si="21"/>
        <v>314756314.30000001</v>
      </c>
      <c r="AA15" s="208">
        <f t="shared" si="22"/>
        <v>0</v>
      </c>
      <c r="AB15" s="233">
        <f t="shared" si="23"/>
        <v>0</v>
      </c>
      <c r="AC15" s="233"/>
      <c r="AD15" s="233">
        <f t="shared" si="24"/>
        <v>314756314.30000001</v>
      </c>
      <c r="AE15" s="233">
        <f t="shared" si="25"/>
        <v>314756314.30000001</v>
      </c>
      <c r="AF15" s="238">
        <f t="shared" si="26"/>
        <v>314756314.30000001</v>
      </c>
      <c r="AG15" s="238">
        <f t="shared" si="27"/>
        <v>314756314.30000001</v>
      </c>
      <c r="AH15" s="238">
        <f t="shared" si="28"/>
        <v>1259025257.2</v>
      </c>
      <c r="AI15" s="261">
        <f t="shared" si="29"/>
        <v>2015</v>
      </c>
      <c r="AJ15" s="233">
        <f t="shared" si="30"/>
        <v>1888537895.8</v>
      </c>
      <c r="AK15" s="312">
        <f>AK12</f>
        <v>446114486879.3252</v>
      </c>
    </row>
    <row r="16" spans="1:37" s="116" customFormat="1" ht="35.25" customHeight="1" x14ac:dyDescent="0.2">
      <c r="A16" s="116">
        <v>1</v>
      </c>
      <c r="B16" s="116" t="str">
        <f t="shared" si="1"/>
        <v>SEB. TELUK KUANTAN - SEB. BENAI</v>
      </c>
      <c r="C16" s="116" t="s">
        <v>529</v>
      </c>
      <c r="D16" s="116" t="s">
        <v>476</v>
      </c>
      <c r="E16" s="218" t="s">
        <v>4247</v>
      </c>
      <c r="F16" s="53"/>
      <c r="G16" s="67" t="str">
        <f t="shared" si="2"/>
        <v>PEMBUATAN BOX CULVERT BUKIT TEMENUNG SEI. TITIAN MODANG</v>
      </c>
      <c r="H16" s="396" t="str">
        <f t="shared" si="3"/>
        <v>04.13.01.03.06</v>
      </c>
      <c r="I16" s="396">
        <f t="shared" si="4"/>
        <v>0</v>
      </c>
      <c r="J16" s="396">
        <f t="shared" si="5"/>
        <v>0</v>
      </c>
      <c r="K16" s="398">
        <f t="shared" si="6"/>
        <v>0</v>
      </c>
      <c r="L16" s="396">
        <f t="shared" si="7"/>
        <v>0</v>
      </c>
      <c r="M16" s="398">
        <f t="shared" si="8"/>
        <v>0</v>
      </c>
      <c r="N16" s="396" t="str">
        <f t="shared" si="9"/>
        <v>BUKIT TERMENUNG KOPAH</v>
      </c>
      <c r="O16" s="396">
        <f t="shared" si="10"/>
        <v>2015</v>
      </c>
      <c r="P16" s="396">
        <f t="shared" si="11"/>
        <v>0</v>
      </c>
      <c r="Q16" s="396">
        <f t="shared" si="12"/>
        <v>0</v>
      </c>
      <c r="R16" s="396">
        <f t="shared" si="13"/>
        <v>0</v>
      </c>
      <c r="S16" s="396" t="str">
        <f t="shared" si="14"/>
        <v>APBD</v>
      </c>
      <c r="T16" s="397">
        <f t="shared" si="15"/>
        <v>194585175</v>
      </c>
      <c r="U16" s="396">
        <f t="shared" si="16"/>
        <v>0</v>
      </c>
      <c r="V16" s="396">
        <f t="shared" si="17"/>
        <v>0</v>
      </c>
      <c r="W16" s="206" t="str">
        <f t="shared" si="18"/>
        <v>04.13.01</v>
      </c>
      <c r="X16" s="207" t="str">
        <f t="shared" si="19"/>
        <v>Jalan</v>
      </c>
      <c r="Y16" s="207">
        <f t="shared" si="20"/>
        <v>10</v>
      </c>
      <c r="Z16" s="233">
        <f t="shared" si="21"/>
        <v>19458516.5</v>
      </c>
      <c r="AA16" s="208">
        <f t="shared" si="22"/>
        <v>0</v>
      </c>
      <c r="AB16" s="233">
        <f t="shared" si="23"/>
        <v>0</v>
      </c>
      <c r="AC16" s="233"/>
      <c r="AD16" s="233">
        <f t="shared" si="24"/>
        <v>19458516.5</v>
      </c>
      <c r="AE16" s="233">
        <f t="shared" si="25"/>
        <v>19458516.5</v>
      </c>
      <c r="AF16" s="238">
        <f t="shared" si="26"/>
        <v>19458516.5</v>
      </c>
      <c r="AG16" s="238">
        <f t="shared" si="27"/>
        <v>19458516.5</v>
      </c>
      <c r="AH16" s="238">
        <f t="shared" si="28"/>
        <v>77834066</v>
      </c>
      <c r="AI16" s="261">
        <f t="shared" si="29"/>
        <v>2015</v>
      </c>
      <c r="AJ16" s="233">
        <f t="shared" si="30"/>
        <v>116751109</v>
      </c>
    </row>
    <row r="17" spans="1:36" s="116" customFormat="1" ht="35.25" customHeight="1" x14ac:dyDescent="0.2">
      <c r="A17" s="116">
        <v>1</v>
      </c>
      <c r="B17" s="116" t="str">
        <f t="shared" si="1"/>
        <v>SEB. TELUK KUANTAN - SEB. BENAI</v>
      </c>
      <c r="C17" s="116" t="s">
        <v>529</v>
      </c>
      <c r="D17" s="116" t="s">
        <v>862</v>
      </c>
      <c r="E17" s="218" t="s">
        <v>4247</v>
      </c>
      <c r="F17" s="53"/>
      <c r="G17" s="67" t="str">
        <f t="shared" si="2"/>
        <v>PENINGKATAN JALAN SEBERANG TALUK - SEBERANG BENAI  (BANKEU)</v>
      </c>
      <c r="H17" s="396" t="str">
        <f t="shared" si="3"/>
        <v>04.13.01.03.06</v>
      </c>
      <c r="I17" s="396">
        <f t="shared" si="4"/>
        <v>0</v>
      </c>
      <c r="J17" s="396">
        <f t="shared" si="5"/>
        <v>0</v>
      </c>
      <c r="K17" s="398">
        <f t="shared" si="6"/>
        <v>0</v>
      </c>
      <c r="L17" s="396">
        <f t="shared" si="7"/>
        <v>0</v>
      </c>
      <c r="M17" s="398">
        <f t="shared" si="8"/>
        <v>0</v>
      </c>
      <c r="N17" s="396" t="str">
        <f t="shared" si="9"/>
        <v>SEBERANG TALUK - SEBERANG BENAI</v>
      </c>
      <c r="O17" s="396">
        <f t="shared" si="10"/>
        <v>2017</v>
      </c>
      <c r="P17" s="396">
        <f t="shared" si="11"/>
        <v>0</v>
      </c>
      <c r="Q17" s="396">
        <f t="shared" si="12"/>
        <v>0</v>
      </c>
      <c r="R17" s="396">
        <f t="shared" si="13"/>
        <v>0</v>
      </c>
      <c r="S17" s="396" t="str">
        <f t="shared" si="14"/>
        <v>APBD</v>
      </c>
      <c r="T17" s="397">
        <f t="shared" si="15"/>
        <v>2629412299</v>
      </c>
      <c r="U17" s="396">
        <f t="shared" si="16"/>
        <v>0</v>
      </c>
      <c r="V17" s="396">
        <f t="shared" si="17"/>
        <v>0</v>
      </c>
      <c r="W17" s="206" t="str">
        <f t="shared" si="18"/>
        <v>04.13.01</v>
      </c>
      <c r="X17" s="207" t="str">
        <f t="shared" si="19"/>
        <v>Jalan</v>
      </c>
      <c r="Y17" s="207">
        <f t="shared" si="20"/>
        <v>10</v>
      </c>
      <c r="Z17" s="233">
        <f t="shared" si="21"/>
        <v>262941228.90000001</v>
      </c>
      <c r="AA17" s="208">
        <f t="shared" si="22"/>
        <v>0</v>
      </c>
      <c r="AB17" s="233">
        <f t="shared" si="23"/>
        <v>0</v>
      </c>
      <c r="AC17" s="233"/>
      <c r="AD17" s="233"/>
      <c r="AE17" s="233"/>
      <c r="AF17" s="238"/>
      <c r="AG17" s="238">
        <f t="shared" si="27"/>
        <v>262941228.90000001</v>
      </c>
      <c r="AH17" s="238">
        <f t="shared" si="28"/>
        <v>262941228.90000001</v>
      </c>
      <c r="AI17" s="261">
        <f t="shared" si="29"/>
        <v>2017</v>
      </c>
      <c r="AJ17" s="233">
        <f t="shared" si="30"/>
        <v>2366471070.0999999</v>
      </c>
    </row>
    <row r="18" spans="1:36" s="116" customFormat="1" ht="35.25" customHeight="1" x14ac:dyDescent="0.2">
      <c r="A18" s="116">
        <v>1</v>
      </c>
      <c r="B18" s="116" t="str">
        <f>VLOOKUP(A18,RUAS,2,FALSE)</f>
        <v>SEB. TELUK KUANTAN - SEB. BENAI</v>
      </c>
      <c r="D18" s="116" t="s">
        <v>866</v>
      </c>
      <c r="E18" s="218" t="s">
        <v>4247</v>
      </c>
      <c r="F18" s="53"/>
      <c r="G18" s="67" t="str">
        <f>VLOOKUP(D18,ACUAN,4,FALSE)</f>
        <v>PEMBUATAN BOX CULVERT SUNGAI TITIAN MODANG JALAN BUKIT TEMENUNG KOPAH</v>
      </c>
      <c r="H18" s="396" t="str">
        <f>VLOOKUP(D18,ACUAN,5,FALSE)</f>
        <v>04.13.01.03.06</v>
      </c>
      <c r="I18" s="396">
        <f>VLOOKUP(D18,ACUAN,6,FALSE)</f>
        <v>0</v>
      </c>
      <c r="J18" s="396">
        <f>VLOOKUP(D18,ACUAN,7,FALSE)</f>
        <v>0</v>
      </c>
      <c r="K18" s="398">
        <f>VLOOKUP(D18,ACUAN,8,FALSE)</f>
        <v>0</v>
      </c>
      <c r="L18" s="396">
        <f>VLOOKUP(D18,ACUAN,9,FALSE)</f>
        <v>0</v>
      </c>
      <c r="M18" s="398">
        <f>VLOOKUP(D18,ACUAN,10,FALSE)</f>
        <v>0</v>
      </c>
      <c r="N18" s="396" t="str">
        <f>VLOOKUP(D18,ACUAN,11,FALSE)</f>
        <v>BUKIT TERMENUNG KOPAH</v>
      </c>
      <c r="O18" s="396">
        <f>VLOOKUP(D18,ACUAN,12,FALSE)</f>
        <v>2017</v>
      </c>
      <c r="P18" s="396">
        <f>VLOOKUP(D18,ACUAN,13,FALSE)</f>
        <v>0</v>
      </c>
      <c r="Q18" s="396">
        <f>VLOOKUP(D18,ACUAN,14,FALSE)</f>
        <v>0</v>
      </c>
      <c r="R18" s="396">
        <f>VLOOKUP(D18,ACUAN,15,FALSE)</f>
        <v>0</v>
      </c>
      <c r="S18" s="396" t="str">
        <f>VLOOKUP(D18,ACUAN,16,FALSE)</f>
        <v>APBD</v>
      </c>
      <c r="T18" s="397">
        <f>VLOOKUP(D18,ACUAN,17,FALSE)</f>
        <v>191202000</v>
      </c>
      <c r="U18" s="396">
        <f>VLOOKUP(D18,ACUAN,18,FALSE)</f>
        <v>0</v>
      </c>
      <c r="V18" s="396">
        <f>VLOOKUP(D18,ACUAN,19,FALSE)</f>
        <v>0</v>
      </c>
      <c r="W18" s="206" t="str">
        <f t="shared" si="18"/>
        <v>04.13.01</v>
      </c>
      <c r="X18" s="207" t="str">
        <f t="shared" si="19"/>
        <v>Jalan</v>
      </c>
      <c r="Y18" s="207">
        <f t="shared" si="20"/>
        <v>10</v>
      </c>
      <c r="Z18" s="233">
        <f t="shared" si="21"/>
        <v>19120199</v>
      </c>
      <c r="AA18" s="208">
        <f t="shared" si="22"/>
        <v>0</v>
      </c>
      <c r="AB18" s="233">
        <f t="shared" si="23"/>
        <v>0</v>
      </c>
      <c r="AC18" s="233"/>
      <c r="AD18" s="233"/>
      <c r="AE18" s="233"/>
      <c r="AF18" s="238"/>
      <c r="AG18" s="238">
        <f t="shared" si="27"/>
        <v>19120199</v>
      </c>
      <c r="AH18" s="238">
        <f t="shared" si="28"/>
        <v>19120199</v>
      </c>
      <c r="AI18" s="261">
        <f t="shared" si="29"/>
        <v>2017</v>
      </c>
      <c r="AJ18" s="233">
        <f t="shared" si="30"/>
        <v>172081801</v>
      </c>
    </row>
    <row r="19" spans="1:36" s="116" customFormat="1" ht="35.25" customHeight="1" x14ac:dyDescent="0.2">
      <c r="A19" s="116">
        <v>1</v>
      </c>
      <c r="B19" s="116" t="str">
        <f>VLOOKUP(A19,RUAS,2,FALSE)</f>
        <v>SEB. TELUK KUANTAN - SEB. BENAI</v>
      </c>
      <c r="D19" s="116" t="s">
        <v>4103</v>
      </c>
      <c r="E19" s="218" t="s">
        <v>4247</v>
      </c>
      <c r="F19" s="53"/>
      <c r="G19" s="67" t="str">
        <f>VLOOKUP(D19,ACUAN,4,FALSE)</f>
        <v>PENINGKATAN JALAN SEBERANG TALUK - SEBERANG BENAI (ASPAL)</v>
      </c>
      <c r="H19" s="396" t="str">
        <f>VLOOKUP(D19,ACUAN,5,FALSE)</f>
        <v>04.13.01.03.06</v>
      </c>
      <c r="I19" s="396">
        <f>VLOOKUP(D19,ACUAN,6,FALSE)</f>
        <v>0</v>
      </c>
      <c r="J19" s="396">
        <f>VLOOKUP(D19,ACUAN,7,FALSE)</f>
        <v>0</v>
      </c>
      <c r="K19" s="398">
        <f>VLOOKUP(D19,ACUAN,8,FALSE)</f>
        <v>0</v>
      </c>
      <c r="L19" s="396">
        <f>VLOOKUP(D19,ACUAN,9,FALSE)</f>
        <v>0</v>
      </c>
      <c r="M19" s="398">
        <f>VLOOKUP(D19,ACUAN,10,FALSE)</f>
        <v>0</v>
      </c>
      <c r="N19" s="396" t="str">
        <f>VLOOKUP(D19,ACUAN,11,FALSE)</f>
        <v>SEBERANG TALUK - SEBERANG BENAI</v>
      </c>
      <c r="O19" s="396">
        <f>VLOOKUP(D19,ACUAN,12,FALSE)</f>
        <v>2018</v>
      </c>
      <c r="P19" s="396">
        <f>VLOOKUP(D19,ACUAN,13,FALSE)</f>
        <v>0</v>
      </c>
      <c r="Q19" s="396">
        <f>VLOOKUP(D19,ACUAN,14,FALSE)</f>
        <v>0</v>
      </c>
      <c r="R19" s="396">
        <f>VLOOKUP(D19,ACUAN,15,FALSE)</f>
        <v>0</v>
      </c>
      <c r="S19" s="396" t="str">
        <f>VLOOKUP(D19,ACUAN,16,FALSE)</f>
        <v>APBD</v>
      </c>
      <c r="T19" s="397">
        <f>VLOOKUP(D19,ACUAN,17,FALSE)</f>
        <v>2395846651</v>
      </c>
      <c r="U19" s="396">
        <f>VLOOKUP(D19,ACUAN,18,FALSE)</f>
        <v>0</v>
      </c>
      <c r="V19" s="396">
        <f>VLOOKUP(D19,ACUAN,19,FALSE)</f>
        <v>0</v>
      </c>
      <c r="W19" s="206" t="str">
        <f t="shared" si="18"/>
        <v>04.13.01</v>
      </c>
      <c r="X19" s="207" t="str">
        <f t="shared" si="19"/>
        <v>Jalan</v>
      </c>
      <c r="Y19" s="207">
        <f t="shared" si="20"/>
        <v>10</v>
      </c>
      <c r="Z19" s="233">
        <f t="shared" si="21"/>
        <v>239584664.09999999</v>
      </c>
      <c r="AA19" s="208">
        <f t="shared" si="22"/>
        <v>0</v>
      </c>
      <c r="AB19" s="233">
        <f t="shared" si="23"/>
        <v>0</v>
      </c>
      <c r="AC19" s="233"/>
      <c r="AD19" s="233"/>
      <c r="AE19" s="233"/>
      <c r="AF19" s="238"/>
      <c r="AG19" s="238"/>
      <c r="AH19" s="238">
        <f t="shared" si="28"/>
        <v>0</v>
      </c>
      <c r="AI19" s="261">
        <f t="shared" si="29"/>
        <v>2018</v>
      </c>
      <c r="AJ19" s="233">
        <f t="shared" si="30"/>
        <v>2395846651</v>
      </c>
    </row>
    <row r="20" spans="1:36" s="116" customFormat="1" ht="35.25" customHeight="1" x14ac:dyDescent="0.2">
      <c r="A20" s="116">
        <v>1</v>
      </c>
      <c r="B20" s="116" t="str">
        <f>VLOOKUP(A20,RUAS,2,FALSE)</f>
        <v>SEB. TELUK KUANTAN - SEB. BENAI</v>
      </c>
      <c r="D20" s="116" t="s">
        <v>4109</v>
      </c>
      <c r="E20" s="218" t="s">
        <v>4247</v>
      </c>
      <c r="F20" s="53"/>
      <c r="G20" s="67" t="str">
        <f>VLOOKUP(D20,ACUAN,4,FALSE)</f>
        <v>PEMBUATAN BOX CULVERT DESA TITIAN MODANG</v>
      </c>
      <c r="H20" s="396" t="str">
        <f>VLOOKUP(D20,ACUAN,5,FALSE)</f>
        <v>04.13.01.03.06</v>
      </c>
      <c r="I20" s="396">
        <f>VLOOKUP(D20,ACUAN,6,FALSE)</f>
        <v>0</v>
      </c>
      <c r="J20" s="396">
        <f>VLOOKUP(D20,ACUAN,7,FALSE)</f>
        <v>0</v>
      </c>
      <c r="K20" s="398">
        <f>VLOOKUP(D20,ACUAN,8,FALSE)</f>
        <v>0</v>
      </c>
      <c r="L20" s="396">
        <f>VLOOKUP(D20,ACUAN,9,FALSE)</f>
        <v>0</v>
      </c>
      <c r="M20" s="398">
        <f>VLOOKUP(D20,ACUAN,10,FALSE)</f>
        <v>0</v>
      </c>
      <c r="N20" s="396" t="str">
        <f>VLOOKUP(D20,ACUAN,11,FALSE)</f>
        <v>DESA TITIAN MODANG</v>
      </c>
      <c r="O20" s="396">
        <f>VLOOKUP(D20,ACUAN,12,FALSE)</f>
        <v>2018</v>
      </c>
      <c r="P20" s="396">
        <f>VLOOKUP(D20,ACUAN,13,FALSE)</f>
        <v>0</v>
      </c>
      <c r="Q20" s="396">
        <f>VLOOKUP(D20,ACUAN,14,FALSE)</f>
        <v>0</v>
      </c>
      <c r="R20" s="396">
        <f>VLOOKUP(D20,ACUAN,15,FALSE)</f>
        <v>0</v>
      </c>
      <c r="S20" s="396" t="str">
        <f>VLOOKUP(D20,ACUAN,16,FALSE)</f>
        <v>APBD</v>
      </c>
      <c r="T20" s="397">
        <f>VLOOKUP(D20,ACUAN,17,FALSE)</f>
        <v>188212566</v>
      </c>
      <c r="U20" s="396">
        <f>VLOOKUP(D20,ACUAN,18,FALSE)</f>
        <v>0</v>
      </c>
      <c r="V20" s="396">
        <f>VLOOKUP(D20,ACUAN,19,FALSE)</f>
        <v>0</v>
      </c>
      <c r="W20" s="206" t="str">
        <f t="shared" si="18"/>
        <v>04.13.01</v>
      </c>
      <c r="X20" s="207" t="str">
        <f t="shared" si="19"/>
        <v>Jalan</v>
      </c>
      <c r="Y20" s="207">
        <f t="shared" si="20"/>
        <v>10</v>
      </c>
      <c r="Z20" s="233">
        <f t="shared" si="21"/>
        <v>18821255.600000001</v>
      </c>
      <c r="AA20" s="208">
        <f t="shared" si="22"/>
        <v>0</v>
      </c>
      <c r="AB20" s="233">
        <f t="shared" si="23"/>
        <v>0</v>
      </c>
      <c r="AC20" s="233"/>
      <c r="AD20" s="233"/>
      <c r="AE20" s="233"/>
      <c r="AF20" s="238"/>
      <c r="AG20" s="238"/>
      <c r="AH20" s="238">
        <f t="shared" si="28"/>
        <v>0</v>
      </c>
      <c r="AI20" s="261">
        <f t="shared" si="29"/>
        <v>2018</v>
      </c>
      <c r="AJ20" s="233">
        <f t="shared" si="30"/>
        <v>188212566</v>
      </c>
    </row>
    <row r="21" spans="1:36" s="116" customFormat="1" ht="35.25" customHeight="1" x14ac:dyDescent="0.2">
      <c r="A21" s="116">
        <v>2</v>
      </c>
      <c r="B21" s="116" t="str">
        <f t="shared" si="1"/>
        <v>JAKE - GERINGGING BARU</v>
      </c>
      <c r="D21" s="116" t="s">
        <v>3834</v>
      </c>
      <c r="E21" s="218" t="s">
        <v>4247</v>
      </c>
      <c r="F21" s="53"/>
      <c r="G21" s="67" t="str">
        <f t="shared" si="2"/>
        <v>JALAN JAKE-GERINGGING BARU</v>
      </c>
      <c r="H21" s="396" t="str">
        <f t="shared" si="3"/>
        <v>04.13.01.03.06</v>
      </c>
      <c r="I21" s="396">
        <f t="shared" si="4"/>
        <v>0</v>
      </c>
      <c r="J21" s="396" t="str">
        <f t="shared" si="5"/>
        <v>BATU KERIKIL</v>
      </c>
      <c r="K21" s="398">
        <f t="shared" si="6"/>
        <v>13300</v>
      </c>
      <c r="L21" s="396">
        <f t="shared" si="7"/>
        <v>8</v>
      </c>
      <c r="M21" s="398">
        <f t="shared" si="8"/>
        <v>106400</v>
      </c>
      <c r="N21" s="396" t="str">
        <f t="shared" si="9"/>
        <v>JAKE - GERINGGING BARU</v>
      </c>
      <c r="O21" s="396">
        <f t="shared" si="10"/>
        <v>2001</v>
      </c>
      <c r="P21" s="396">
        <f t="shared" si="11"/>
        <v>0</v>
      </c>
      <c r="Q21" s="396">
        <f t="shared" si="12"/>
        <v>0</v>
      </c>
      <c r="R21" s="396" t="str">
        <f t="shared" si="13"/>
        <v>12.04.06.05.01.00</v>
      </c>
      <c r="S21" s="396" t="str">
        <f t="shared" si="14"/>
        <v>APBD</v>
      </c>
      <c r="T21" s="397">
        <f t="shared" si="15"/>
        <v>20175343360</v>
      </c>
      <c r="U21" s="396" t="str">
        <f t="shared" si="16"/>
        <v>B</v>
      </c>
      <c r="V21" s="396">
        <f t="shared" si="17"/>
        <v>0</v>
      </c>
      <c r="W21" s="206" t="str">
        <f t="shared" si="18"/>
        <v>04.13.01</v>
      </c>
      <c r="X21" s="207" t="str">
        <f t="shared" si="19"/>
        <v>Jalan</v>
      </c>
      <c r="Y21" s="207">
        <f t="shared" si="20"/>
        <v>10</v>
      </c>
      <c r="Z21" s="233">
        <f t="shared" si="21"/>
        <v>2017534335</v>
      </c>
      <c r="AA21" s="208">
        <f t="shared" si="22"/>
        <v>10</v>
      </c>
      <c r="AB21" s="233">
        <f t="shared" si="23"/>
        <v>20175343350</v>
      </c>
      <c r="AC21" s="233">
        <f>IF(T21-10=AB21,0,Z21)</f>
        <v>0</v>
      </c>
      <c r="AD21" s="233">
        <f t="shared" si="24"/>
        <v>0</v>
      </c>
      <c r="AE21" s="233">
        <f t="shared" si="25"/>
        <v>0</v>
      </c>
      <c r="AF21" s="238">
        <f t="shared" si="26"/>
        <v>0</v>
      </c>
      <c r="AG21" s="238">
        <f t="shared" si="27"/>
        <v>0</v>
      </c>
      <c r="AH21" s="238">
        <f t="shared" si="28"/>
        <v>20175343350</v>
      </c>
      <c r="AI21" s="261">
        <f t="shared" si="29"/>
        <v>2001</v>
      </c>
      <c r="AJ21" s="233">
        <f t="shared" si="30"/>
        <v>10</v>
      </c>
    </row>
    <row r="22" spans="1:36" s="116" customFormat="1" ht="35.25" customHeight="1" x14ac:dyDescent="0.2">
      <c r="A22" s="116">
        <v>2</v>
      </c>
      <c r="B22" s="116" t="str">
        <f t="shared" si="1"/>
        <v>JAKE - GERINGGING BARU</v>
      </c>
      <c r="D22" s="116" t="s">
        <v>3835</v>
      </c>
      <c r="E22" s="218" t="s">
        <v>4247</v>
      </c>
      <c r="F22" s="53"/>
      <c r="G22" s="67" t="str">
        <f t="shared" si="2"/>
        <v>PENINGKATAN JALAN JAKE - GERINGGING BARU</v>
      </c>
      <c r="H22" s="396" t="str">
        <f t="shared" si="3"/>
        <v>04.13.01.03.06</v>
      </c>
      <c r="I22" s="396">
        <f t="shared" si="4"/>
        <v>0</v>
      </c>
      <c r="J22" s="396">
        <f t="shared" si="5"/>
        <v>0</v>
      </c>
      <c r="K22" s="398">
        <f t="shared" si="6"/>
        <v>0</v>
      </c>
      <c r="L22" s="396">
        <f t="shared" si="7"/>
        <v>0</v>
      </c>
      <c r="M22" s="398">
        <f t="shared" si="8"/>
        <v>0</v>
      </c>
      <c r="N22" s="396" t="str">
        <f t="shared" si="9"/>
        <v>JAKE - GERINGGING BARU</v>
      </c>
      <c r="O22" s="396">
        <f t="shared" si="10"/>
        <v>2015</v>
      </c>
      <c r="P22" s="396">
        <f t="shared" si="11"/>
        <v>0</v>
      </c>
      <c r="Q22" s="396">
        <f t="shared" si="12"/>
        <v>0</v>
      </c>
      <c r="R22" s="396">
        <f t="shared" si="13"/>
        <v>0</v>
      </c>
      <c r="S22" s="396" t="str">
        <f t="shared" si="14"/>
        <v>APBD</v>
      </c>
      <c r="T22" s="397">
        <f t="shared" si="15"/>
        <v>2125785396</v>
      </c>
      <c r="U22" s="396">
        <f t="shared" si="16"/>
        <v>0</v>
      </c>
      <c r="V22" s="396">
        <f t="shared" si="17"/>
        <v>0</v>
      </c>
      <c r="W22" s="206" t="str">
        <f t="shared" si="18"/>
        <v>04.13.01</v>
      </c>
      <c r="X22" s="207" t="str">
        <f t="shared" si="19"/>
        <v>Jalan</v>
      </c>
      <c r="Y22" s="207">
        <f t="shared" si="20"/>
        <v>10</v>
      </c>
      <c r="Z22" s="233">
        <f t="shared" si="21"/>
        <v>212578538.59999999</v>
      </c>
      <c r="AA22" s="208">
        <f t="shared" si="22"/>
        <v>0</v>
      </c>
      <c r="AB22" s="233">
        <f t="shared" si="23"/>
        <v>0</v>
      </c>
      <c r="AC22" s="233"/>
      <c r="AD22" s="233">
        <f t="shared" si="24"/>
        <v>212578538.59999999</v>
      </c>
      <c r="AE22" s="233">
        <f t="shared" si="25"/>
        <v>212578538.59999999</v>
      </c>
      <c r="AF22" s="238">
        <f t="shared" si="26"/>
        <v>212578538.59999999</v>
      </c>
      <c r="AG22" s="238">
        <f t="shared" si="27"/>
        <v>212578538.59999999</v>
      </c>
      <c r="AH22" s="238">
        <f t="shared" si="28"/>
        <v>850314154.39999998</v>
      </c>
      <c r="AI22" s="261">
        <f t="shared" si="29"/>
        <v>2015</v>
      </c>
      <c r="AJ22" s="233">
        <f t="shared" si="30"/>
        <v>1275471241.5999999</v>
      </c>
    </row>
    <row r="23" spans="1:36" s="116" customFormat="1" ht="35.25" customHeight="1" x14ac:dyDescent="0.2">
      <c r="A23" s="116">
        <v>2</v>
      </c>
      <c r="B23" s="116" t="str">
        <f t="shared" si="1"/>
        <v>JAKE - GERINGGING BARU</v>
      </c>
      <c r="D23" s="116" t="s">
        <v>3836</v>
      </c>
      <c r="E23" s="218" t="s">
        <v>4247</v>
      </c>
      <c r="F23" s="53"/>
      <c r="G23" s="67" t="str">
        <f t="shared" si="2"/>
        <v>PENINGKATAN JALAN JAKE - GERINGGING BARU (ASPAL) (DAK)</v>
      </c>
      <c r="H23" s="396" t="str">
        <f t="shared" si="3"/>
        <v>04.13.01.03.06</v>
      </c>
      <c r="I23" s="396">
        <f t="shared" si="4"/>
        <v>0</v>
      </c>
      <c r="J23" s="396">
        <f t="shared" si="5"/>
        <v>0</v>
      </c>
      <c r="K23" s="398">
        <f t="shared" si="6"/>
        <v>0</v>
      </c>
      <c r="L23" s="396">
        <f t="shared" si="7"/>
        <v>0</v>
      </c>
      <c r="M23" s="398">
        <f t="shared" si="8"/>
        <v>0</v>
      </c>
      <c r="N23" s="396" t="str">
        <f t="shared" si="9"/>
        <v>JAKE - GERINGGING BARU</v>
      </c>
      <c r="O23" s="396">
        <f t="shared" si="10"/>
        <v>2016</v>
      </c>
      <c r="P23" s="396">
        <f t="shared" si="11"/>
        <v>0</v>
      </c>
      <c r="Q23" s="396">
        <f t="shared" si="12"/>
        <v>0</v>
      </c>
      <c r="R23" s="396">
        <f t="shared" si="13"/>
        <v>0</v>
      </c>
      <c r="S23" s="396" t="str">
        <f t="shared" si="14"/>
        <v>APBD</v>
      </c>
      <c r="T23" s="397">
        <f t="shared" si="15"/>
        <v>5335623040.4074984</v>
      </c>
      <c r="U23" s="396">
        <f t="shared" si="16"/>
        <v>0</v>
      </c>
      <c r="V23" s="396">
        <f t="shared" si="17"/>
        <v>0</v>
      </c>
      <c r="W23" s="206" t="str">
        <f t="shared" si="18"/>
        <v>04.13.01</v>
      </c>
      <c r="X23" s="207" t="str">
        <f t="shared" si="19"/>
        <v>Jalan</v>
      </c>
      <c r="Y23" s="207">
        <f t="shared" si="20"/>
        <v>10</v>
      </c>
      <c r="Z23" s="233">
        <f t="shared" si="21"/>
        <v>533562303.04074985</v>
      </c>
      <c r="AA23" s="208">
        <f t="shared" si="22"/>
        <v>0</v>
      </c>
      <c r="AB23" s="233">
        <f t="shared" si="23"/>
        <v>0</v>
      </c>
      <c r="AC23" s="233"/>
      <c r="AD23" s="233"/>
      <c r="AE23" s="233">
        <f t="shared" si="25"/>
        <v>533562303.04074985</v>
      </c>
      <c r="AF23" s="238">
        <f t="shared" si="26"/>
        <v>533562303.04074985</v>
      </c>
      <c r="AG23" s="238">
        <f t="shared" si="27"/>
        <v>533562303.04074985</v>
      </c>
      <c r="AH23" s="238">
        <f t="shared" si="28"/>
        <v>1600686909.1222496</v>
      </c>
      <c r="AI23" s="261">
        <f t="shared" si="29"/>
        <v>2016</v>
      </c>
      <c r="AJ23" s="233">
        <f t="shared" si="30"/>
        <v>3734936131.2852488</v>
      </c>
    </row>
    <row r="24" spans="1:36" s="116" customFormat="1" ht="35.25" customHeight="1" x14ac:dyDescent="0.2">
      <c r="A24" s="116">
        <v>2</v>
      </c>
      <c r="B24" s="116" t="str">
        <f t="shared" si="1"/>
        <v>JAKE - GERINGGING BARU</v>
      </c>
      <c r="D24" s="116" t="s">
        <v>3837</v>
      </c>
      <c r="E24" s="218" t="s">
        <v>4247</v>
      </c>
      <c r="F24" s="53"/>
      <c r="G24" s="67" t="str">
        <f t="shared" si="2"/>
        <v>PENINGKATAN JALAN JAKE - GERINGGING BARU (ASPAL)</v>
      </c>
      <c r="H24" s="396" t="str">
        <f t="shared" si="3"/>
        <v>04.13.01.03.06</v>
      </c>
      <c r="I24" s="396">
        <f t="shared" si="4"/>
        <v>0</v>
      </c>
      <c r="J24" s="396">
        <f t="shared" si="5"/>
        <v>0</v>
      </c>
      <c r="K24" s="398">
        <f t="shared" si="6"/>
        <v>0</v>
      </c>
      <c r="L24" s="396">
        <f t="shared" si="7"/>
        <v>0</v>
      </c>
      <c r="M24" s="398">
        <f t="shared" si="8"/>
        <v>0</v>
      </c>
      <c r="N24" s="396" t="str">
        <f t="shared" si="9"/>
        <v>JAKE - GERINGGING BARU</v>
      </c>
      <c r="O24" s="396">
        <f t="shared" si="10"/>
        <v>2017</v>
      </c>
      <c r="P24" s="396">
        <f t="shared" si="11"/>
        <v>0</v>
      </c>
      <c r="Q24" s="396">
        <f t="shared" si="12"/>
        <v>0</v>
      </c>
      <c r="R24" s="396">
        <f t="shared" si="13"/>
        <v>0</v>
      </c>
      <c r="S24" s="396" t="str">
        <f t="shared" si="14"/>
        <v>APBD</v>
      </c>
      <c r="T24" s="397">
        <f t="shared" si="15"/>
        <v>2048298000</v>
      </c>
      <c r="U24" s="396">
        <f t="shared" si="16"/>
        <v>0</v>
      </c>
      <c r="V24" s="396">
        <f t="shared" si="17"/>
        <v>0</v>
      </c>
      <c r="W24" s="206" t="str">
        <f t="shared" si="18"/>
        <v>04.13.01</v>
      </c>
      <c r="X24" s="207" t="str">
        <f t="shared" si="19"/>
        <v>Jalan</v>
      </c>
      <c r="Y24" s="207">
        <f t="shared" si="20"/>
        <v>10</v>
      </c>
      <c r="Z24" s="233">
        <f t="shared" si="21"/>
        <v>204829799</v>
      </c>
      <c r="AA24" s="208">
        <f t="shared" si="22"/>
        <v>0</v>
      </c>
      <c r="AB24" s="233">
        <f t="shared" si="23"/>
        <v>0</v>
      </c>
      <c r="AC24" s="233"/>
      <c r="AD24" s="233"/>
      <c r="AE24" s="233"/>
      <c r="AF24" s="238"/>
      <c r="AG24" s="238">
        <f t="shared" si="27"/>
        <v>204829799</v>
      </c>
      <c r="AH24" s="238">
        <f t="shared" si="28"/>
        <v>204829799</v>
      </c>
      <c r="AI24" s="261">
        <f t="shared" si="29"/>
        <v>2017</v>
      </c>
      <c r="AJ24" s="233">
        <f t="shared" si="30"/>
        <v>1843468201</v>
      </c>
    </row>
    <row r="25" spans="1:36" s="116" customFormat="1" ht="35.25" customHeight="1" x14ac:dyDescent="0.2">
      <c r="A25" s="116">
        <v>2</v>
      </c>
      <c r="B25" s="116" t="str">
        <f t="shared" si="1"/>
        <v>JAKE - GERINGGING BARU</v>
      </c>
      <c r="D25" s="116" t="s">
        <v>3838</v>
      </c>
      <c r="E25" s="218" t="s">
        <v>4247</v>
      </c>
      <c r="F25" s="53"/>
      <c r="G25" s="67" t="str">
        <f t="shared" si="2"/>
        <v>PENINGKATAN JALAN JAKE - GERINGGING BARU (ASPAL) (DAK)</v>
      </c>
      <c r="H25" s="396" t="str">
        <f t="shared" si="3"/>
        <v>04.13.01.03.06</v>
      </c>
      <c r="I25" s="396">
        <f t="shared" si="4"/>
        <v>0</v>
      </c>
      <c r="J25" s="396">
        <f t="shared" si="5"/>
        <v>0</v>
      </c>
      <c r="K25" s="398">
        <f t="shared" si="6"/>
        <v>0</v>
      </c>
      <c r="L25" s="396">
        <f t="shared" si="7"/>
        <v>0</v>
      </c>
      <c r="M25" s="398">
        <f t="shared" si="8"/>
        <v>0</v>
      </c>
      <c r="N25" s="396" t="str">
        <f t="shared" si="9"/>
        <v>JAKE - GERINGGING BARU</v>
      </c>
      <c r="O25" s="396">
        <f t="shared" si="10"/>
        <v>2018</v>
      </c>
      <c r="P25" s="396">
        <f t="shared" si="11"/>
        <v>0</v>
      </c>
      <c r="Q25" s="396">
        <f t="shared" si="12"/>
        <v>0</v>
      </c>
      <c r="R25" s="396">
        <f t="shared" si="13"/>
        <v>0</v>
      </c>
      <c r="S25" s="396" t="str">
        <f t="shared" si="14"/>
        <v>APBD</v>
      </c>
      <c r="T25" s="397">
        <f t="shared" si="15"/>
        <v>8049268344</v>
      </c>
      <c r="U25" s="396">
        <f t="shared" si="16"/>
        <v>0</v>
      </c>
      <c r="V25" s="396">
        <f t="shared" si="17"/>
        <v>0</v>
      </c>
      <c r="W25" s="206" t="str">
        <f t="shared" si="18"/>
        <v>04.13.01</v>
      </c>
      <c r="X25" s="207" t="str">
        <f t="shared" si="19"/>
        <v>Jalan</v>
      </c>
      <c r="Y25" s="207">
        <f t="shared" si="20"/>
        <v>10</v>
      </c>
      <c r="Z25" s="233">
        <f t="shared" si="21"/>
        <v>804926833.39999998</v>
      </c>
      <c r="AA25" s="208">
        <f t="shared" si="22"/>
        <v>0</v>
      </c>
      <c r="AB25" s="233">
        <f t="shared" si="23"/>
        <v>0</v>
      </c>
      <c r="AC25" s="233"/>
      <c r="AD25" s="233"/>
      <c r="AE25" s="233"/>
      <c r="AF25" s="238"/>
      <c r="AG25" s="238"/>
      <c r="AH25" s="238">
        <f t="shared" si="28"/>
        <v>0</v>
      </c>
      <c r="AI25" s="261">
        <f t="shared" si="29"/>
        <v>2018</v>
      </c>
      <c r="AJ25" s="233">
        <f t="shared" si="30"/>
        <v>8049268344</v>
      </c>
    </row>
    <row r="26" spans="1:36" s="116" customFormat="1" ht="35.25" customHeight="1" x14ac:dyDescent="0.2">
      <c r="A26" s="116">
        <v>2</v>
      </c>
      <c r="B26" s="116" t="str">
        <f t="shared" si="1"/>
        <v>JAKE - GERINGGING BARU</v>
      </c>
      <c r="D26" s="116" t="s">
        <v>3839</v>
      </c>
      <c r="E26" s="218" t="s">
        <v>4247</v>
      </c>
      <c r="F26" s="53"/>
      <c r="G26" s="67" t="str">
        <f t="shared" si="2"/>
        <v>PEMELIHARAAN JALAN JAKE - GERINGGING BARU</v>
      </c>
      <c r="H26" s="396" t="str">
        <f t="shared" si="3"/>
        <v>04.13.01.03.06</v>
      </c>
      <c r="I26" s="396">
        <f t="shared" si="4"/>
        <v>0</v>
      </c>
      <c r="J26" s="396">
        <f t="shared" si="5"/>
        <v>0</v>
      </c>
      <c r="K26" s="398">
        <f t="shared" si="6"/>
        <v>0</v>
      </c>
      <c r="L26" s="396">
        <f t="shared" si="7"/>
        <v>0</v>
      </c>
      <c r="M26" s="398">
        <f t="shared" si="8"/>
        <v>0</v>
      </c>
      <c r="N26" s="396" t="str">
        <f t="shared" si="9"/>
        <v>JAKE - GERINGGING BARU</v>
      </c>
      <c r="O26" s="396">
        <f t="shared" si="10"/>
        <v>2018</v>
      </c>
      <c r="P26" s="396">
        <f t="shared" si="11"/>
        <v>0</v>
      </c>
      <c r="Q26" s="396">
        <f t="shared" si="12"/>
        <v>0</v>
      </c>
      <c r="R26" s="396">
        <f t="shared" si="13"/>
        <v>0</v>
      </c>
      <c r="S26" s="396" t="str">
        <f t="shared" si="14"/>
        <v>APBD</v>
      </c>
      <c r="T26" s="397">
        <f t="shared" si="15"/>
        <v>186340500</v>
      </c>
      <c r="U26" s="396">
        <f t="shared" si="16"/>
        <v>0</v>
      </c>
      <c r="V26" s="396">
        <f t="shared" si="17"/>
        <v>0</v>
      </c>
      <c r="W26" s="206" t="str">
        <f t="shared" si="18"/>
        <v>04.13.01</v>
      </c>
      <c r="X26" s="207" t="str">
        <f t="shared" si="19"/>
        <v>Jalan</v>
      </c>
      <c r="Y26" s="207">
        <f t="shared" si="20"/>
        <v>10</v>
      </c>
      <c r="Z26" s="233">
        <f t="shared" si="21"/>
        <v>18634049</v>
      </c>
      <c r="AA26" s="208">
        <f t="shared" si="22"/>
        <v>0</v>
      </c>
      <c r="AB26" s="233">
        <f t="shared" si="23"/>
        <v>0</v>
      </c>
      <c r="AC26" s="233"/>
      <c r="AD26" s="233"/>
      <c r="AE26" s="233"/>
      <c r="AF26" s="238"/>
      <c r="AG26" s="238"/>
      <c r="AH26" s="238">
        <f t="shared" si="28"/>
        <v>0</v>
      </c>
      <c r="AI26" s="261">
        <f t="shared" si="29"/>
        <v>2018</v>
      </c>
      <c r="AJ26" s="233">
        <f t="shared" si="30"/>
        <v>186340500</v>
      </c>
    </row>
    <row r="27" spans="1:36" s="116" customFormat="1" ht="35.25" customHeight="1" x14ac:dyDescent="0.2">
      <c r="A27" s="116">
        <v>3</v>
      </c>
      <c r="B27" s="116" t="str">
        <f t="shared" si="1"/>
        <v>JAKE - KOTO KOMBU</v>
      </c>
      <c r="D27" s="116" t="s">
        <v>3840</v>
      </c>
      <c r="E27" s="218" t="s">
        <v>4247</v>
      </c>
      <c r="F27" s="53"/>
      <c r="G27" s="67" t="str">
        <f t="shared" si="2"/>
        <v>JALAN JAKE-KOTO KOMBU-LB. AMBACANG (ASPAL)</v>
      </c>
      <c r="H27" s="396" t="str">
        <f t="shared" si="3"/>
        <v>04.13.01.03.06</v>
      </c>
      <c r="I27" s="396">
        <f t="shared" si="4"/>
        <v>0</v>
      </c>
      <c r="J27" s="396" t="str">
        <f t="shared" si="5"/>
        <v>ASPAL HOTMIX</v>
      </c>
      <c r="K27" s="398" t="str">
        <f t="shared" si="6"/>
        <v>20000</v>
      </c>
      <c r="L27" s="396">
        <f t="shared" si="7"/>
        <v>0</v>
      </c>
      <c r="M27" s="398">
        <f t="shared" si="8"/>
        <v>0</v>
      </c>
      <c r="N27" s="396" t="str">
        <f t="shared" si="9"/>
        <v>JAKE - KOTO KUMBU-LB. AMBACANG (ASPAL)</v>
      </c>
      <c r="O27" s="396">
        <f t="shared" si="10"/>
        <v>2001</v>
      </c>
      <c r="P27" s="396">
        <f t="shared" si="11"/>
        <v>0</v>
      </c>
      <c r="Q27" s="396">
        <f t="shared" si="12"/>
        <v>0</v>
      </c>
      <c r="R27" s="396" t="str">
        <f t="shared" si="13"/>
        <v>12.04.06.05.01.00</v>
      </c>
      <c r="S27" s="396" t="str">
        <f t="shared" si="14"/>
        <v>APBD</v>
      </c>
      <c r="T27" s="397">
        <f t="shared" si="15"/>
        <v>13778074379</v>
      </c>
      <c r="U27" s="396" t="str">
        <f t="shared" si="16"/>
        <v>B</v>
      </c>
      <c r="V27" s="396">
        <f t="shared" si="17"/>
        <v>0</v>
      </c>
      <c r="W27" s="206" t="str">
        <f t="shared" si="18"/>
        <v>04.13.01</v>
      </c>
      <c r="X27" s="207" t="str">
        <f t="shared" si="19"/>
        <v>Jalan</v>
      </c>
      <c r="Y27" s="207">
        <f t="shared" si="20"/>
        <v>10</v>
      </c>
      <c r="Z27" s="233">
        <f t="shared" si="21"/>
        <v>1377807436.9000001</v>
      </c>
      <c r="AA27" s="208">
        <f t="shared" si="22"/>
        <v>10</v>
      </c>
      <c r="AB27" s="233">
        <f t="shared" si="23"/>
        <v>13778074369</v>
      </c>
      <c r="AC27" s="233">
        <f>IF(T27-10=AB27,0,Z27)</f>
        <v>0</v>
      </c>
      <c r="AD27" s="233">
        <f t="shared" si="24"/>
        <v>0</v>
      </c>
      <c r="AE27" s="233">
        <f t="shared" si="25"/>
        <v>0</v>
      </c>
      <c r="AF27" s="238">
        <f t="shared" si="26"/>
        <v>0</v>
      </c>
      <c r="AG27" s="238">
        <f t="shared" si="27"/>
        <v>0</v>
      </c>
      <c r="AH27" s="238">
        <f t="shared" si="28"/>
        <v>13778074369</v>
      </c>
      <c r="AI27" s="261">
        <f t="shared" si="29"/>
        <v>2001</v>
      </c>
      <c r="AJ27" s="233">
        <f t="shared" si="30"/>
        <v>10</v>
      </c>
    </row>
    <row r="28" spans="1:36" s="116" customFormat="1" ht="35.25" customHeight="1" x14ac:dyDescent="0.2">
      <c r="A28" s="116">
        <v>3</v>
      </c>
      <c r="B28" s="116" t="str">
        <f t="shared" si="1"/>
        <v>JAKE - KOTO KOMBU</v>
      </c>
      <c r="D28" s="116" t="s">
        <v>3841</v>
      </c>
      <c r="E28" s="218" t="s">
        <v>4247</v>
      </c>
      <c r="F28" s="53"/>
      <c r="G28" s="67" t="str">
        <f t="shared" si="2"/>
        <v>PEMBUATAN 3 UNIT BOX CULVERT UK. 2 X 2 M (TUNGGAL), 1 UNIT BOX CULVERT UK. 2,5 X 2,5 M (TUNGGAL)</v>
      </c>
      <c r="H28" s="396" t="s">
        <v>2494</v>
      </c>
      <c r="I28" s="396">
        <f t="shared" si="4"/>
        <v>0</v>
      </c>
      <c r="J28" s="396" t="str">
        <f t="shared" si="5"/>
        <v>Beton</v>
      </c>
      <c r="K28" s="398">
        <f t="shared" si="6"/>
        <v>2</v>
      </c>
      <c r="L28" s="396">
        <f t="shared" si="7"/>
        <v>2</v>
      </c>
      <c r="M28" s="398">
        <f t="shared" si="8"/>
        <v>4</v>
      </c>
      <c r="N28" s="396" t="str">
        <f t="shared" si="9"/>
        <v>JAKE - KOTO KOMBU</v>
      </c>
      <c r="O28" s="396">
        <f t="shared" si="10"/>
        <v>2007</v>
      </c>
      <c r="P28" s="396">
        <f t="shared" si="11"/>
        <v>0</v>
      </c>
      <c r="Q28" s="396">
        <f t="shared" si="12"/>
        <v>0</v>
      </c>
      <c r="R28" s="396">
        <f t="shared" si="13"/>
        <v>0</v>
      </c>
      <c r="S28" s="396" t="str">
        <f t="shared" si="14"/>
        <v>APBD</v>
      </c>
      <c r="T28" s="397">
        <f t="shared" si="15"/>
        <v>667654574.73438203</v>
      </c>
      <c r="U28" s="396" t="str">
        <f t="shared" si="16"/>
        <v>B</v>
      </c>
      <c r="V28" s="396">
        <f t="shared" si="17"/>
        <v>0</v>
      </c>
      <c r="W28" s="206" t="str">
        <f t="shared" si="18"/>
        <v>04.13.01</v>
      </c>
      <c r="X28" s="661" t="str">
        <f t="shared" si="19"/>
        <v>Jalan</v>
      </c>
      <c r="Y28" s="207">
        <f t="shared" si="20"/>
        <v>10</v>
      </c>
      <c r="Z28" s="233">
        <f t="shared" si="21"/>
        <v>66765456.473438203</v>
      </c>
      <c r="AA28" s="208">
        <f t="shared" si="22"/>
        <v>6</v>
      </c>
      <c r="AB28" s="233">
        <f t="shared" si="23"/>
        <v>400592738.84062922</v>
      </c>
      <c r="AC28" s="233">
        <f>IF(T28-10=AB28,0,Z28)</f>
        <v>66765456.473438203</v>
      </c>
      <c r="AD28" s="233">
        <f t="shared" si="24"/>
        <v>66765456.473438203</v>
      </c>
      <c r="AE28" s="233">
        <f t="shared" si="25"/>
        <v>66765456.473438203</v>
      </c>
      <c r="AF28" s="238">
        <f t="shared" si="26"/>
        <v>66765456.473438203</v>
      </c>
      <c r="AG28" s="238">
        <f t="shared" si="27"/>
        <v>0</v>
      </c>
      <c r="AH28" s="238">
        <f t="shared" si="28"/>
        <v>667654564.73438215</v>
      </c>
      <c r="AI28" s="261">
        <f t="shared" si="29"/>
        <v>2007</v>
      </c>
      <c r="AJ28" s="233">
        <f t="shared" si="30"/>
        <v>9.9999998807907104</v>
      </c>
    </row>
    <row r="29" spans="1:36" s="116" customFormat="1" ht="35.25" customHeight="1" x14ac:dyDescent="0.2">
      <c r="A29" s="116">
        <v>3</v>
      </c>
      <c r="B29" s="116" t="str">
        <f t="shared" si="1"/>
        <v>JAKE - KOTO KOMBU</v>
      </c>
      <c r="D29" s="116" t="s">
        <v>3842</v>
      </c>
      <c r="E29" s="218" t="s">
        <v>4247</v>
      </c>
      <c r="F29" s="53"/>
      <c r="G29" s="67" t="str">
        <f t="shared" si="2"/>
        <v>PEMBUATAN 1 UNIT BOX CULVERT 3,0 X 4,0 (DOUBLE) SEI.INUMAN RUAS JALAN JAKE - KOTO KOMBU</v>
      </c>
      <c r="H29" s="396" t="str">
        <f t="shared" si="3"/>
        <v>04.13.01.03.06</v>
      </c>
      <c r="I29" s="396">
        <f t="shared" si="4"/>
        <v>0</v>
      </c>
      <c r="J29" s="396" t="str">
        <f t="shared" si="5"/>
        <v>Beton</v>
      </c>
      <c r="K29" s="398">
        <f t="shared" si="6"/>
        <v>3</v>
      </c>
      <c r="L29" s="396">
        <f t="shared" si="7"/>
        <v>4</v>
      </c>
      <c r="M29" s="398">
        <f t="shared" si="8"/>
        <v>12</v>
      </c>
      <c r="N29" s="396" t="str">
        <f t="shared" si="9"/>
        <v>JAKE - KOTO KOMBU</v>
      </c>
      <c r="O29" s="396">
        <f t="shared" si="10"/>
        <v>2007</v>
      </c>
      <c r="P29" s="396">
        <f t="shared" si="11"/>
        <v>0</v>
      </c>
      <c r="Q29" s="396">
        <f t="shared" si="12"/>
        <v>0</v>
      </c>
      <c r="R29" s="396">
        <f t="shared" si="13"/>
        <v>0</v>
      </c>
      <c r="S29" s="396" t="str">
        <f t="shared" si="14"/>
        <v>APBD</v>
      </c>
      <c r="T29" s="397">
        <f t="shared" si="15"/>
        <v>705972610.72970796</v>
      </c>
      <c r="U29" s="396" t="str">
        <f t="shared" si="16"/>
        <v>B</v>
      </c>
      <c r="V29" s="396">
        <f t="shared" si="17"/>
        <v>0</v>
      </c>
      <c r="W29" s="206" t="str">
        <f t="shared" si="18"/>
        <v>04.13.01</v>
      </c>
      <c r="X29" s="207" t="str">
        <f t="shared" si="19"/>
        <v>Jalan</v>
      </c>
      <c r="Y29" s="207">
        <f t="shared" si="20"/>
        <v>10</v>
      </c>
      <c r="Z29" s="233">
        <f t="shared" si="21"/>
        <v>70597260.072970793</v>
      </c>
      <c r="AA29" s="208">
        <f t="shared" si="22"/>
        <v>6</v>
      </c>
      <c r="AB29" s="233">
        <f t="shared" si="23"/>
        <v>423583560.43782473</v>
      </c>
      <c r="AC29" s="233">
        <f>IF(T29-10=AB29,0,Z29)</f>
        <v>70597260.072970793</v>
      </c>
      <c r="AD29" s="233">
        <f t="shared" si="24"/>
        <v>70597260.072970793</v>
      </c>
      <c r="AE29" s="233">
        <f t="shared" si="25"/>
        <v>70597260.072970793</v>
      </c>
      <c r="AF29" s="238">
        <f t="shared" si="26"/>
        <v>70597260.072970793</v>
      </c>
      <c r="AG29" s="238">
        <f t="shared" si="27"/>
        <v>0</v>
      </c>
      <c r="AH29" s="238">
        <f t="shared" si="28"/>
        <v>705972600.72970784</v>
      </c>
      <c r="AI29" s="261">
        <f t="shared" si="29"/>
        <v>2007</v>
      </c>
      <c r="AJ29" s="233">
        <f t="shared" si="30"/>
        <v>10.00000011920929</v>
      </c>
    </row>
    <row r="30" spans="1:36" s="116" customFormat="1" ht="35.25" customHeight="1" x14ac:dyDescent="0.2">
      <c r="A30" s="116">
        <v>3</v>
      </c>
      <c r="B30" s="116" t="str">
        <f t="shared" si="1"/>
        <v>JAKE - KOTO KOMBU</v>
      </c>
      <c r="D30" s="116" t="s">
        <v>3843</v>
      </c>
      <c r="E30" s="218" t="s">
        <v>4247</v>
      </c>
      <c r="F30" s="53"/>
      <c r="G30" s="67" t="str">
        <f t="shared" si="2"/>
        <v>PENINGKATAN JALAN JAKE - LB. AMBACANG (ASPAL 1,00 KM)</v>
      </c>
      <c r="H30" s="396" t="str">
        <f t="shared" si="3"/>
        <v>04.13.01.03.06</v>
      </c>
      <c r="I30" s="396">
        <f t="shared" si="4"/>
        <v>0</v>
      </c>
      <c r="J30" s="396" t="str">
        <f t="shared" si="5"/>
        <v>Aspal</v>
      </c>
      <c r="K30" s="398">
        <f t="shared" si="6"/>
        <v>0</v>
      </c>
      <c r="L30" s="396">
        <f t="shared" si="7"/>
        <v>0</v>
      </c>
      <c r="M30" s="398">
        <f t="shared" si="8"/>
        <v>1000</v>
      </c>
      <c r="N30" s="396" t="str">
        <f t="shared" si="9"/>
        <v>JAKE - LB. AMBACANG</v>
      </c>
      <c r="O30" s="396">
        <f t="shared" si="10"/>
        <v>2011</v>
      </c>
      <c r="P30" s="396">
        <f t="shared" si="11"/>
        <v>0</v>
      </c>
      <c r="Q30" s="396">
        <f t="shared" si="12"/>
        <v>0</v>
      </c>
      <c r="R30" s="396">
        <f t="shared" si="13"/>
        <v>0</v>
      </c>
      <c r="S30" s="396" t="str">
        <f t="shared" si="14"/>
        <v>APBD</v>
      </c>
      <c r="T30" s="397">
        <f t="shared" si="15"/>
        <v>1722640846.3199999</v>
      </c>
      <c r="U30" s="396" t="str">
        <f t="shared" si="16"/>
        <v>B</v>
      </c>
      <c r="V30" s="396">
        <f t="shared" si="17"/>
        <v>0</v>
      </c>
      <c r="W30" s="206" t="str">
        <f t="shared" si="18"/>
        <v>04.13.01</v>
      </c>
      <c r="X30" s="207" t="str">
        <f t="shared" si="19"/>
        <v>Jalan</v>
      </c>
      <c r="Y30" s="207">
        <f t="shared" si="20"/>
        <v>10</v>
      </c>
      <c r="Z30" s="233">
        <f t="shared" si="21"/>
        <v>172264083.632</v>
      </c>
      <c r="AA30" s="208">
        <f t="shared" si="22"/>
        <v>2</v>
      </c>
      <c r="AB30" s="233">
        <f t="shared" si="23"/>
        <v>344528167.264</v>
      </c>
      <c r="AC30" s="233">
        <f>IF(T30-10=AB30,0,Z30)</f>
        <v>172264083.632</v>
      </c>
      <c r="AD30" s="233">
        <f t="shared" si="24"/>
        <v>172264083.632</v>
      </c>
      <c r="AE30" s="233">
        <f t="shared" si="25"/>
        <v>172264083.632</v>
      </c>
      <c r="AF30" s="238">
        <f t="shared" si="26"/>
        <v>172264083.632</v>
      </c>
      <c r="AG30" s="238">
        <f t="shared" si="27"/>
        <v>172264083.632</v>
      </c>
      <c r="AH30" s="238">
        <f t="shared" si="28"/>
        <v>1205848585.424</v>
      </c>
      <c r="AI30" s="261">
        <f t="shared" si="29"/>
        <v>2011</v>
      </c>
      <c r="AJ30" s="233">
        <f t="shared" si="30"/>
        <v>516792260.89599991</v>
      </c>
    </row>
    <row r="31" spans="1:36" s="116" customFormat="1" ht="35.25" customHeight="1" x14ac:dyDescent="0.2">
      <c r="A31" s="116">
        <v>3</v>
      </c>
      <c r="B31" s="116" t="str">
        <f t="shared" si="1"/>
        <v>JAKE - KOTO KOMBU</v>
      </c>
      <c r="D31" s="116" t="s">
        <v>3844</v>
      </c>
      <c r="E31" s="218" t="s">
        <v>4247</v>
      </c>
      <c r="F31" s="53"/>
      <c r="G31" s="67" t="str">
        <f t="shared" ref="G31:G70" si="31">VLOOKUP(D31,ACUAN,4,FALSE)</f>
        <v>PENINGKATAN JALAN JAKE-KOTO KOMBU, LBK.AMBACANG-LBK. JAMBI (ASPAL 1,79 KM) (NO.03; PANJANG RUAS 32 KM)</v>
      </c>
      <c r="H31" s="396" t="str">
        <f t="shared" ref="H31:H70" si="32">VLOOKUP(D31,ACUAN,5,FALSE)</f>
        <v>04.13.01.03.06</v>
      </c>
      <c r="I31" s="396">
        <f t="shared" ref="I31:I70" si="33">VLOOKUP(D31,ACUAN,6,FALSE)</f>
        <v>0</v>
      </c>
      <c r="J31" s="396" t="str">
        <f t="shared" ref="J31:J70" si="34">VLOOKUP(D31,ACUAN,7,FALSE)</f>
        <v>Aspal</v>
      </c>
      <c r="K31" s="398">
        <f t="shared" ref="K31:K70" si="35">VLOOKUP(D31,ACUAN,8,FALSE)</f>
        <v>0</v>
      </c>
      <c r="L31" s="396">
        <f t="shared" ref="L31:L70" si="36">VLOOKUP(D31,ACUAN,9,FALSE)</f>
        <v>0</v>
      </c>
      <c r="M31" s="398">
        <f t="shared" ref="M31:M70" si="37">VLOOKUP(D31,ACUAN,10,FALSE)</f>
        <v>0</v>
      </c>
      <c r="N31" s="396" t="str">
        <f t="shared" ref="N31:N70" si="38">VLOOKUP(D31,ACUAN,11,FALSE)</f>
        <v>JAKE-KOTO KOMBU, LBK.AMBACANG-LBK. JAMBI</v>
      </c>
      <c r="O31" s="396">
        <f t="shared" ref="O31:O70" si="39">VLOOKUP(D31,ACUAN,12,FALSE)</f>
        <v>2012</v>
      </c>
      <c r="P31" s="396">
        <f t="shared" ref="P31:P70" si="40">VLOOKUP(D31,ACUAN,13,FALSE)</f>
        <v>0</v>
      </c>
      <c r="Q31" s="396">
        <f t="shared" ref="Q31:Q70" si="41">VLOOKUP(D31,ACUAN,14,FALSE)</f>
        <v>0</v>
      </c>
      <c r="R31" s="396">
        <f t="shared" ref="R31:R70" si="42">VLOOKUP(D31,ACUAN,15,FALSE)</f>
        <v>0</v>
      </c>
      <c r="S31" s="396" t="str">
        <f t="shared" ref="S31:S70" si="43">VLOOKUP(D31,ACUAN,16,FALSE)</f>
        <v>APBD</v>
      </c>
      <c r="T31" s="397">
        <f t="shared" ref="T31:T70" si="44">VLOOKUP(D31,ACUAN,17,FALSE)</f>
        <v>3375384144</v>
      </c>
      <c r="U31" s="396" t="str">
        <f t="shared" ref="U31:U70" si="45">VLOOKUP(D31,ACUAN,18,FALSE)</f>
        <v>B</v>
      </c>
      <c r="V31" s="396">
        <f t="shared" ref="V31:V70" si="46">VLOOKUP(D31,ACUAN,19,FALSE)</f>
        <v>0</v>
      </c>
      <c r="W31" s="206" t="str">
        <f t="shared" si="18"/>
        <v>04.13.01</v>
      </c>
      <c r="X31" s="207" t="str">
        <f t="shared" si="19"/>
        <v>Jalan</v>
      </c>
      <c r="Y31" s="207">
        <f t="shared" si="20"/>
        <v>10</v>
      </c>
      <c r="Z31" s="233">
        <f t="shared" si="21"/>
        <v>337538413.39999998</v>
      </c>
      <c r="AA31" s="208">
        <f t="shared" si="22"/>
        <v>1</v>
      </c>
      <c r="AB31" s="233">
        <f t="shared" si="23"/>
        <v>337538413.39999998</v>
      </c>
      <c r="AC31" s="233">
        <f>IF(T31-10=AB31,0,Z31)</f>
        <v>337538413.39999998</v>
      </c>
      <c r="AD31" s="233">
        <f t="shared" si="24"/>
        <v>337538413.39999998</v>
      </c>
      <c r="AE31" s="233">
        <f t="shared" si="25"/>
        <v>337538413.39999998</v>
      </c>
      <c r="AF31" s="238">
        <f t="shared" si="26"/>
        <v>337538413.39999998</v>
      </c>
      <c r="AG31" s="238">
        <f t="shared" si="27"/>
        <v>337538413.39999998</v>
      </c>
      <c r="AH31" s="238">
        <f t="shared" si="28"/>
        <v>2025230480.4000001</v>
      </c>
      <c r="AI31" s="261">
        <f t="shared" si="29"/>
        <v>2012</v>
      </c>
      <c r="AJ31" s="233">
        <f t="shared" si="30"/>
        <v>1350153663.5999999</v>
      </c>
    </row>
    <row r="32" spans="1:36" s="116" customFormat="1" ht="35.25" customHeight="1" x14ac:dyDescent="0.2">
      <c r="A32" s="116">
        <v>3</v>
      </c>
      <c r="B32" s="116" t="str">
        <f t="shared" si="1"/>
        <v>JAKE - KOTO KOMBU</v>
      </c>
      <c r="D32" s="116" t="s">
        <v>3845</v>
      </c>
      <c r="E32" s="218" t="s">
        <v>4247</v>
      </c>
      <c r="F32" s="53"/>
      <c r="G32" s="67" t="str">
        <f t="shared" si="31"/>
        <v>PENINGKATAN JALAN JAKE - KOTO KOMBU</v>
      </c>
      <c r="H32" s="396" t="str">
        <f t="shared" si="32"/>
        <v>04.13.01.03.06</v>
      </c>
      <c r="I32" s="396">
        <f t="shared" si="33"/>
        <v>0</v>
      </c>
      <c r="J32" s="396">
        <f t="shared" si="34"/>
        <v>0</v>
      </c>
      <c r="K32" s="398">
        <f t="shared" si="35"/>
        <v>20000</v>
      </c>
      <c r="L32" s="396">
        <f t="shared" si="36"/>
        <v>8</v>
      </c>
      <c r="M32" s="398">
        <f t="shared" si="37"/>
        <v>157100</v>
      </c>
      <c r="N32" s="396" t="str">
        <f t="shared" si="38"/>
        <v>JAKE - KOTO KUMBU</v>
      </c>
      <c r="O32" s="396">
        <f t="shared" si="39"/>
        <v>2015</v>
      </c>
      <c r="P32" s="396">
        <f t="shared" si="40"/>
        <v>0</v>
      </c>
      <c r="Q32" s="396">
        <f t="shared" si="41"/>
        <v>0</v>
      </c>
      <c r="R32" s="396">
        <f t="shared" si="42"/>
        <v>0</v>
      </c>
      <c r="S32" s="396" t="str">
        <f t="shared" si="43"/>
        <v>APBD</v>
      </c>
      <c r="T32" s="397">
        <f t="shared" si="44"/>
        <v>2482976673</v>
      </c>
      <c r="U32" s="396">
        <f t="shared" si="45"/>
        <v>0</v>
      </c>
      <c r="V32" s="396">
        <f t="shared" si="46"/>
        <v>0</v>
      </c>
      <c r="W32" s="206" t="str">
        <f t="shared" si="18"/>
        <v>04.13.01</v>
      </c>
      <c r="X32" s="207" t="str">
        <f t="shared" si="19"/>
        <v>Jalan</v>
      </c>
      <c r="Y32" s="207">
        <f t="shared" si="20"/>
        <v>10</v>
      </c>
      <c r="Z32" s="233">
        <f t="shared" si="21"/>
        <v>248297666.30000001</v>
      </c>
      <c r="AA32" s="208">
        <f t="shared" si="22"/>
        <v>0</v>
      </c>
      <c r="AB32" s="233">
        <f t="shared" si="23"/>
        <v>0</v>
      </c>
      <c r="AC32" s="233"/>
      <c r="AD32" s="233">
        <f t="shared" si="24"/>
        <v>248297666.30000001</v>
      </c>
      <c r="AE32" s="233">
        <f t="shared" si="25"/>
        <v>248297666.30000001</v>
      </c>
      <c r="AF32" s="238">
        <f t="shared" si="26"/>
        <v>248297666.30000001</v>
      </c>
      <c r="AG32" s="238">
        <f t="shared" si="27"/>
        <v>248297666.30000001</v>
      </c>
      <c r="AH32" s="238">
        <f t="shared" si="28"/>
        <v>993190665.20000005</v>
      </c>
      <c r="AI32" s="261">
        <f t="shared" si="29"/>
        <v>2015</v>
      </c>
      <c r="AJ32" s="233">
        <f t="shared" si="30"/>
        <v>1489786007.8</v>
      </c>
    </row>
    <row r="33" spans="1:36" s="116" customFormat="1" ht="35.25" customHeight="1" x14ac:dyDescent="0.2">
      <c r="A33" s="116">
        <v>3</v>
      </c>
      <c r="B33" s="116" t="str">
        <f t="shared" si="1"/>
        <v>JAKE - KOTO KOMBU</v>
      </c>
      <c r="D33" s="116" t="s">
        <v>3846</v>
      </c>
      <c r="E33" s="218" t="s">
        <v>4247</v>
      </c>
      <c r="F33" s="53"/>
      <c r="G33" s="67" t="str">
        <f t="shared" si="31"/>
        <v>PENINGKATAN JLN. JAKE - LB. AMBACANG</v>
      </c>
      <c r="H33" s="396" t="str">
        <f t="shared" si="32"/>
        <v>04.13.01.03.06</v>
      </c>
      <c r="I33" s="396">
        <f t="shared" si="33"/>
        <v>0</v>
      </c>
      <c r="J33" s="396">
        <f t="shared" si="34"/>
        <v>0</v>
      </c>
      <c r="K33" s="398">
        <f t="shared" si="35"/>
        <v>0</v>
      </c>
      <c r="L33" s="396">
        <f t="shared" si="36"/>
        <v>0</v>
      </c>
      <c r="M33" s="398">
        <f t="shared" si="37"/>
        <v>0</v>
      </c>
      <c r="N33" s="396" t="str">
        <f t="shared" si="38"/>
        <v>JAKE - LB. AMBACANG</v>
      </c>
      <c r="O33" s="396">
        <f t="shared" si="39"/>
        <v>2015</v>
      </c>
      <c r="P33" s="396">
        <f t="shared" si="40"/>
        <v>0</v>
      </c>
      <c r="Q33" s="396">
        <f t="shared" si="41"/>
        <v>0</v>
      </c>
      <c r="R33" s="396">
        <f t="shared" si="42"/>
        <v>0</v>
      </c>
      <c r="S33" s="396" t="str">
        <f t="shared" si="43"/>
        <v>APBD</v>
      </c>
      <c r="T33" s="397">
        <f t="shared" si="44"/>
        <v>6993176545.3037949</v>
      </c>
      <c r="U33" s="396">
        <f t="shared" si="45"/>
        <v>0</v>
      </c>
      <c r="V33" s="396">
        <f t="shared" si="46"/>
        <v>0</v>
      </c>
      <c r="W33" s="206" t="str">
        <f t="shared" si="18"/>
        <v>04.13.01</v>
      </c>
      <c r="X33" s="207" t="str">
        <f t="shared" si="19"/>
        <v>Jalan</v>
      </c>
      <c r="Y33" s="207">
        <f t="shared" si="20"/>
        <v>10</v>
      </c>
      <c r="Z33" s="233">
        <f t="shared" si="21"/>
        <v>699317653.53037953</v>
      </c>
      <c r="AA33" s="208">
        <f t="shared" si="22"/>
        <v>0</v>
      </c>
      <c r="AB33" s="233">
        <f t="shared" si="23"/>
        <v>0</v>
      </c>
      <c r="AC33" s="233"/>
      <c r="AD33" s="233">
        <f t="shared" si="24"/>
        <v>699317653.53037953</v>
      </c>
      <c r="AE33" s="233">
        <f t="shared" si="25"/>
        <v>699317653.53037953</v>
      </c>
      <c r="AF33" s="238">
        <f t="shared" si="26"/>
        <v>699317653.53037953</v>
      </c>
      <c r="AG33" s="238">
        <f t="shared" si="27"/>
        <v>699317653.53037953</v>
      </c>
      <c r="AH33" s="238">
        <f t="shared" si="28"/>
        <v>2797270614.1215181</v>
      </c>
      <c r="AI33" s="261">
        <f t="shared" si="29"/>
        <v>2015</v>
      </c>
      <c r="AJ33" s="233">
        <f t="shared" si="30"/>
        <v>4195905931.1822767</v>
      </c>
    </row>
    <row r="34" spans="1:36" s="116" customFormat="1" ht="35.25" customHeight="1" x14ac:dyDescent="0.2">
      <c r="A34" s="116">
        <v>3</v>
      </c>
      <c r="B34" s="116" t="str">
        <f>VLOOKUP(A34,RUAS,2,FALSE)</f>
        <v>JAKE - KOTO KOMBU</v>
      </c>
      <c r="D34" s="116" t="s">
        <v>4114</v>
      </c>
      <c r="E34" s="218" t="s">
        <v>4247</v>
      </c>
      <c r="F34" s="53"/>
      <c r="G34" s="67" t="str">
        <f>VLOOKUP(D34,ACUAN,4,FALSE)</f>
        <v>PEMBUATAN 1 UNIT BOX CULVERT 2X2X7 RUAS JL.JAKE-KOTO KOMBU</v>
      </c>
      <c r="H34" s="396" t="str">
        <f>VLOOKUP(D34,ACUAN,5,FALSE)</f>
        <v>04.13.01.03.06</v>
      </c>
      <c r="I34" s="396">
        <f>VLOOKUP(D34,ACUAN,6,FALSE)</f>
        <v>0</v>
      </c>
      <c r="J34" s="396">
        <f>VLOOKUP(D34,ACUAN,7,FALSE)</f>
        <v>0</v>
      </c>
      <c r="K34" s="398">
        <f>VLOOKUP(D34,ACUAN,8,FALSE)</f>
        <v>0</v>
      </c>
      <c r="L34" s="396">
        <f>VLOOKUP(D34,ACUAN,9,FALSE)</f>
        <v>0</v>
      </c>
      <c r="M34" s="398">
        <f>VLOOKUP(D34,ACUAN,10,FALSE)</f>
        <v>0</v>
      </c>
      <c r="N34" s="396" t="str">
        <f>VLOOKUP(D34,ACUAN,11,FALSE)</f>
        <v>JAKE - KOTO KOMBU</v>
      </c>
      <c r="O34" s="396">
        <f>VLOOKUP(D34,ACUAN,12,FALSE)</f>
        <v>2015</v>
      </c>
      <c r="P34" s="396">
        <f>VLOOKUP(D34,ACUAN,13,FALSE)</f>
        <v>0</v>
      </c>
      <c r="Q34" s="396">
        <f>VLOOKUP(D34,ACUAN,14,FALSE)</f>
        <v>0</v>
      </c>
      <c r="R34" s="396">
        <f>VLOOKUP(D34,ACUAN,15,FALSE)</f>
        <v>0</v>
      </c>
      <c r="S34" s="396" t="str">
        <f>VLOOKUP(D34,ACUAN,16,FALSE)</f>
        <v>APBD</v>
      </c>
      <c r="T34" s="397">
        <f>VLOOKUP(D34,ACUAN,17,FALSE)</f>
        <v>190538964</v>
      </c>
      <c r="U34" s="396">
        <f>VLOOKUP(D34,ACUAN,18,FALSE)</f>
        <v>0</v>
      </c>
      <c r="V34" s="396">
        <f>VLOOKUP(D34,ACUAN,19,FALSE)</f>
        <v>0</v>
      </c>
      <c r="W34" s="206" t="str">
        <f t="shared" si="18"/>
        <v>04.13.01</v>
      </c>
      <c r="X34" s="207" t="str">
        <f t="shared" si="19"/>
        <v>Jalan</v>
      </c>
      <c r="Y34" s="207">
        <f t="shared" si="20"/>
        <v>10</v>
      </c>
      <c r="Z34" s="233">
        <f t="shared" si="21"/>
        <v>19053895.399999999</v>
      </c>
      <c r="AA34" s="208">
        <f t="shared" si="22"/>
        <v>0</v>
      </c>
      <c r="AB34" s="233">
        <f t="shared" si="23"/>
        <v>0</v>
      </c>
      <c r="AC34" s="233"/>
      <c r="AD34" s="233">
        <f t="shared" si="24"/>
        <v>19053895.399999999</v>
      </c>
      <c r="AE34" s="233">
        <f t="shared" si="25"/>
        <v>19053895.399999999</v>
      </c>
      <c r="AF34" s="238">
        <f t="shared" si="26"/>
        <v>19053895.399999999</v>
      </c>
      <c r="AG34" s="238">
        <f t="shared" si="27"/>
        <v>19053895.399999999</v>
      </c>
      <c r="AH34" s="238">
        <f t="shared" si="28"/>
        <v>76215581.599999994</v>
      </c>
      <c r="AI34" s="261">
        <f t="shared" si="29"/>
        <v>2015</v>
      </c>
      <c r="AJ34" s="233">
        <f t="shared" si="30"/>
        <v>114323382.40000001</v>
      </c>
    </row>
    <row r="35" spans="1:36" s="116" customFormat="1" ht="35.25" customHeight="1" x14ac:dyDescent="0.2">
      <c r="A35" s="116">
        <v>3</v>
      </c>
      <c r="B35" s="116" t="str">
        <f>VLOOKUP(A35,RUAS,2,FALSE)</f>
        <v>JAKE - KOTO KOMBU</v>
      </c>
      <c r="D35" s="116" t="s">
        <v>4115</v>
      </c>
      <c r="E35" s="218" t="s">
        <v>4247</v>
      </c>
      <c r="F35" s="53"/>
      <c r="G35" s="67" t="str">
        <f>VLOOKUP(D35,ACUAN,4,FALSE)</f>
        <v>PENINGKATAN JALAN JAKE - KOTO KOMBU (ASPAL)  (DAK)</v>
      </c>
      <c r="H35" s="396" t="str">
        <f>VLOOKUP(D35,ACUAN,5,FALSE)</f>
        <v>04.13.01.03.06</v>
      </c>
      <c r="I35" s="396">
        <f>VLOOKUP(D35,ACUAN,6,FALSE)</f>
        <v>0</v>
      </c>
      <c r="J35" s="396">
        <f>VLOOKUP(D35,ACUAN,7,FALSE)</f>
        <v>0</v>
      </c>
      <c r="K35" s="398">
        <f>VLOOKUP(D35,ACUAN,8,FALSE)</f>
        <v>0</v>
      </c>
      <c r="L35" s="396">
        <f>VLOOKUP(D35,ACUAN,9,FALSE)</f>
        <v>0</v>
      </c>
      <c r="M35" s="398">
        <f>VLOOKUP(D35,ACUAN,10,FALSE)</f>
        <v>0</v>
      </c>
      <c r="N35" s="396" t="str">
        <f>VLOOKUP(D35,ACUAN,11,FALSE)</f>
        <v>JAKE - KOTO KUMBU</v>
      </c>
      <c r="O35" s="396">
        <f>VLOOKUP(D35,ACUAN,12,FALSE)</f>
        <v>2017</v>
      </c>
      <c r="P35" s="396">
        <f>VLOOKUP(D35,ACUAN,13,FALSE)</f>
        <v>0</v>
      </c>
      <c r="Q35" s="396">
        <f>VLOOKUP(D35,ACUAN,14,FALSE)</f>
        <v>0</v>
      </c>
      <c r="R35" s="396">
        <f>VLOOKUP(D35,ACUAN,15,FALSE)</f>
        <v>0</v>
      </c>
      <c r="S35" s="396" t="str">
        <f>VLOOKUP(D35,ACUAN,16,FALSE)</f>
        <v>APBD</v>
      </c>
      <c r="T35" s="397">
        <f>VLOOKUP(D35,ACUAN,17,FALSE)</f>
        <v>12869362300</v>
      </c>
      <c r="U35" s="396">
        <f>VLOOKUP(D35,ACUAN,18,FALSE)</f>
        <v>0</v>
      </c>
      <c r="V35" s="396">
        <f>VLOOKUP(D35,ACUAN,19,FALSE)</f>
        <v>0</v>
      </c>
      <c r="W35" s="206" t="str">
        <f t="shared" si="18"/>
        <v>04.13.01</v>
      </c>
      <c r="X35" s="207" t="str">
        <f t="shared" si="19"/>
        <v>Jalan</v>
      </c>
      <c r="Y35" s="207">
        <f t="shared" si="20"/>
        <v>10</v>
      </c>
      <c r="Z35" s="233">
        <f t="shared" si="21"/>
        <v>1286936229</v>
      </c>
      <c r="AA35" s="208">
        <f t="shared" si="22"/>
        <v>0</v>
      </c>
      <c r="AB35" s="233">
        <f t="shared" si="23"/>
        <v>0</v>
      </c>
      <c r="AC35" s="233"/>
      <c r="AD35" s="233"/>
      <c r="AE35" s="233"/>
      <c r="AF35" s="238"/>
      <c r="AG35" s="238">
        <f t="shared" si="27"/>
        <v>1286936229</v>
      </c>
      <c r="AH35" s="238">
        <f t="shared" si="28"/>
        <v>1286936229</v>
      </c>
      <c r="AI35" s="261">
        <f t="shared" si="29"/>
        <v>2017</v>
      </c>
      <c r="AJ35" s="233">
        <f t="shared" si="30"/>
        <v>11582426071</v>
      </c>
    </row>
    <row r="36" spans="1:36" s="116" customFormat="1" ht="35.25" customHeight="1" x14ac:dyDescent="0.2">
      <c r="A36" s="116">
        <v>3</v>
      </c>
      <c r="B36" s="116" t="str">
        <f>VLOOKUP(A36,RUAS,2,FALSE)</f>
        <v>JAKE - KOTO KOMBU</v>
      </c>
      <c r="D36" s="116" t="s">
        <v>4116</v>
      </c>
      <c r="E36" s="218" t="s">
        <v>4247</v>
      </c>
      <c r="F36" s="53"/>
      <c r="G36" s="67" t="str">
        <f>VLOOKUP(D36,ACUAN,4,FALSE)</f>
        <v>PENGAWASAN JALAN JAKE - KOTO KOMBU (ASPAL)  (DAK)</v>
      </c>
      <c r="H36" s="396" t="str">
        <f>VLOOKUP(D36,ACUAN,5,FALSE)</f>
        <v>04.13.01.03.06</v>
      </c>
      <c r="I36" s="396">
        <f>VLOOKUP(D36,ACUAN,6,FALSE)</f>
        <v>0</v>
      </c>
      <c r="J36" s="396">
        <f>VLOOKUP(D36,ACUAN,7,FALSE)</f>
        <v>0</v>
      </c>
      <c r="K36" s="398">
        <f>VLOOKUP(D36,ACUAN,8,FALSE)</f>
        <v>0</v>
      </c>
      <c r="L36" s="396">
        <f>VLOOKUP(D36,ACUAN,9,FALSE)</f>
        <v>0</v>
      </c>
      <c r="M36" s="398">
        <f>VLOOKUP(D36,ACUAN,10,FALSE)</f>
        <v>0</v>
      </c>
      <c r="N36" s="396" t="str">
        <f>VLOOKUP(D36,ACUAN,11,FALSE)</f>
        <v>JAKE - KOTO KUMBU</v>
      </c>
      <c r="O36" s="396">
        <f>VLOOKUP(D36,ACUAN,12,FALSE)</f>
        <v>2017</v>
      </c>
      <c r="P36" s="396">
        <f>VLOOKUP(D36,ACUAN,13,FALSE)</f>
        <v>0</v>
      </c>
      <c r="Q36" s="396">
        <f>VLOOKUP(D36,ACUAN,14,FALSE)</f>
        <v>0</v>
      </c>
      <c r="R36" s="396">
        <f>VLOOKUP(D36,ACUAN,15,FALSE)</f>
        <v>0</v>
      </c>
      <c r="S36" s="396" t="str">
        <f>VLOOKUP(D36,ACUAN,16,FALSE)</f>
        <v>APBD</v>
      </c>
      <c r="T36" s="397">
        <f>VLOOKUP(D36,ACUAN,17,FALSE)</f>
        <v>246620000</v>
      </c>
      <c r="U36" s="396">
        <f>VLOOKUP(D36,ACUAN,18,FALSE)</f>
        <v>0</v>
      </c>
      <c r="V36" s="396">
        <f>VLOOKUP(D36,ACUAN,19,FALSE)</f>
        <v>0</v>
      </c>
      <c r="W36" s="206" t="str">
        <f t="shared" si="18"/>
        <v>04.13.01</v>
      </c>
      <c r="X36" s="207" t="str">
        <f t="shared" si="19"/>
        <v>Jalan</v>
      </c>
      <c r="Y36" s="207">
        <f t="shared" si="20"/>
        <v>10</v>
      </c>
      <c r="Z36" s="233">
        <f t="shared" si="21"/>
        <v>24661999</v>
      </c>
      <c r="AA36" s="208">
        <f t="shared" si="22"/>
        <v>0</v>
      </c>
      <c r="AB36" s="233">
        <f t="shared" si="23"/>
        <v>0</v>
      </c>
      <c r="AC36" s="233"/>
      <c r="AD36" s="233"/>
      <c r="AE36" s="233"/>
      <c r="AF36" s="238"/>
      <c r="AG36" s="238">
        <f t="shared" si="27"/>
        <v>24661999</v>
      </c>
      <c r="AH36" s="238">
        <f t="shared" si="28"/>
        <v>24661999</v>
      </c>
      <c r="AI36" s="261">
        <f t="shared" si="29"/>
        <v>2017</v>
      </c>
      <c r="AJ36" s="233">
        <f t="shared" si="30"/>
        <v>221958001</v>
      </c>
    </row>
    <row r="37" spans="1:36" s="116" customFormat="1" ht="35.25" customHeight="1" x14ac:dyDescent="0.2">
      <c r="A37" s="116">
        <v>4</v>
      </c>
      <c r="B37" s="116" t="str">
        <f t="shared" si="1"/>
        <v>SENTAJO - MUARA LANGSAT</v>
      </c>
      <c r="D37" s="116" t="s">
        <v>3847</v>
      </c>
      <c r="E37" s="218" t="s">
        <v>4247</v>
      </c>
      <c r="F37" s="53"/>
      <c r="G37" s="67" t="str">
        <f t="shared" ref="G37:G43" si="47">VLOOKUP(D37,ACUAN,4,FALSE)</f>
        <v>JALAN KABUPATEN LOKAL</v>
      </c>
      <c r="H37" s="396" t="str">
        <f t="shared" ref="H37:H43" si="48">VLOOKUP(D37,ACUAN,5,FALSE)</f>
        <v>04.13.01.03.06</v>
      </c>
      <c r="I37" s="396">
        <f t="shared" ref="I37:I43" si="49">VLOOKUP(D37,ACUAN,6,FALSE)</f>
        <v>0</v>
      </c>
      <c r="J37" s="396" t="str">
        <f t="shared" ref="J37:J43" si="50">VLOOKUP(D37,ACUAN,7,FALSE)</f>
        <v>ASPAL HOTMIX</v>
      </c>
      <c r="K37" s="398">
        <f t="shared" ref="K37:K43" si="51">VLOOKUP(D37,ACUAN,8,FALSE)</f>
        <v>34000</v>
      </c>
      <c r="L37" s="396">
        <f t="shared" ref="L37:L43" si="52">VLOOKUP(D37,ACUAN,9,FALSE)</f>
        <v>0</v>
      </c>
      <c r="M37" s="398">
        <f t="shared" ref="M37:M43" si="53">VLOOKUP(D37,ACUAN,10,FALSE)</f>
        <v>289500</v>
      </c>
      <c r="N37" s="396" t="str">
        <f t="shared" ref="N37:N43" si="54">VLOOKUP(D37,ACUAN,11,FALSE)</f>
        <v>SENTAJO - MUARA LANGSAT</v>
      </c>
      <c r="O37" s="396">
        <f t="shared" ref="O37:O43" si="55">VLOOKUP(D37,ACUAN,12,FALSE)</f>
        <v>2001</v>
      </c>
      <c r="P37" s="396">
        <f t="shared" ref="P37:P43" si="56">VLOOKUP(D37,ACUAN,13,FALSE)</f>
        <v>0</v>
      </c>
      <c r="Q37" s="396">
        <f t="shared" ref="Q37:Q43" si="57">VLOOKUP(D37,ACUAN,14,FALSE)</f>
        <v>0</v>
      </c>
      <c r="R37" s="396" t="str">
        <f t="shared" ref="R37:R43" si="58">VLOOKUP(D37,ACUAN,15,FALSE)</f>
        <v>12.04.06.05.01.00</v>
      </c>
      <c r="S37" s="396" t="str">
        <f t="shared" ref="S37:S43" si="59">VLOOKUP(D37,ACUAN,16,FALSE)</f>
        <v>APBD</v>
      </c>
      <c r="T37" s="397">
        <f t="shared" ref="T37:T43" si="60">VLOOKUP(D37,ACUAN,17,FALSE)</f>
        <v>46812964265.480003</v>
      </c>
      <c r="U37" s="396" t="str">
        <f t="shared" ref="U37:U43" si="61">VLOOKUP(D37,ACUAN,18,FALSE)</f>
        <v>KB</v>
      </c>
      <c r="V37" s="396">
        <f t="shared" ref="V37:V43" si="62">VLOOKUP(D37,ACUAN,19,FALSE)</f>
        <v>0</v>
      </c>
      <c r="W37" s="206" t="str">
        <f t="shared" si="18"/>
        <v>04.13.01</v>
      </c>
      <c r="X37" s="207" t="str">
        <f t="shared" si="19"/>
        <v>Jalan</v>
      </c>
      <c r="Y37" s="207">
        <f t="shared" si="20"/>
        <v>10</v>
      </c>
      <c r="Z37" s="233">
        <f t="shared" si="21"/>
        <v>4681296425.5480003</v>
      </c>
      <c r="AA37" s="208">
        <f t="shared" si="22"/>
        <v>10</v>
      </c>
      <c r="AB37" s="233">
        <f t="shared" si="23"/>
        <v>46812964255.480003</v>
      </c>
      <c r="AC37" s="233">
        <f t="shared" ref="AC37:AC42" si="63">IF(T37-10=AB37,0,Z37)</f>
        <v>0</v>
      </c>
      <c r="AD37" s="233">
        <f t="shared" si="24"/>
        <v>0</v>
      </c>
      <c r="AE37" s="233">
        <f t="shared" si="25"/>
        <v>0</v>
      </c>
      <c r="AF37" s="238">
        <f t="shared" si="26"/>
        <v>0</v>
      </c>
      <c r="AG37" s="238">
        <f t="shared" si="27"/>
        <v>0</v>
      </c>
      <c r="AH37" s="238">
        <f t="shared" si="28"/>
        <v>46812964255.480003</v>
      </c>
      <c r="AI37" s="261">
        <f t="shared" si="29"/>
        <v>2001</v>
      </c>
      <c r="AJ37" s="233">
        <f t="shared" si="30"/>
        <v>10</v>
      </c>
    </row>
    <row r="38" spans="1:36" s="116" customFormat="1" ht="35.25" customHeight="1" x14ac:dyDescent="0.2">
      <c r="A38" s="116">
        <v>4</v>
      </c>
      <c r="B38" s="116" t="str">
        <f t="shared" si="1"/>
        <v>SENTAJO - MUARA LANGSAT</v>
      </c>
      <c r="D38" s="116" t="s">
        <v>3848</v>
      </c>
      <c r="E38" s="218" t="s">
        <v>4247</v>
      </c>
      <c r="F38" s="53"/>
      <c r="G38" s="67" t="str">
        <f t="shared" si="47"/>
        <v>BOX CULVERT 2 X 2 RUAS JLAN SENTAJO MUARA LANGSAT</v>
      </c>
      <c r="H38" s="396" t="str">
        <f t="shared" si="48"/>
        <v>04.13.01.03.06</v>
      </c>
      <c r="I38" s="396">
        <f t="shared" si="49"/>
        <v>0</v>
      </c>
      <c r="J38" s="396" t="str">
        <f t="shared" si="50"/>
        <v>Beton</v>
      </c>
      <c r="K38" s="398">
        <f t="shared" si="51"/>
        <v>0</v>
      </c>
      <c r="L38" s="396">
        <f t="shared" si="52"/>
        <v>0</v>
      </c>
      <c r="M38" s="398">
        <f t="shared" si="53"/>
        <v>0</v>
      </c>
      <c r="N38" s="396" t="str">
        <f t="shared" si="54"/>
        <v>SENTAJO - MUARA LANGSAT</v>
      </c>
      <c r="O38" s="396">
        <f t="shared" si="55"/>
        <v>2013</v>
      </c>
      <c r="P38" s="396">
        <f t="shared" si="56"/>
        <v>0</v>
      </c>
      <c r="Q38" s="396">
        <f t="shared" si="57"/>
        <v>0</v>
      </c>
      <c r="R38" s="396">
        <f t="shared" si="58"/>
        <v>0</v>
      </c>
      <c r="S38" s="396" t="str">
        <f t="shared" si="59"/>
        <v>APBD</v>
      </c>
      <c r="T38" s="397">
        <f t="shared" si="60"/>
        <v>198785526</v>
      </c>
      <c r="U38" s="396">
        <f t="shared" si="61"/>
        <v>0</v>
      </c>
      <c r="V38" s="396">
        <f t="shared" si="62"/>
        <v>0</v>
      </c>
      <c r="W38" s="206" t="str">
        <f t="shared" si="18"/>
        <v>04.13.01</v>
      </c>
      <c r="X38" s="207" t="str">
        <f t="shared" si="19"/>
        <v>Jalan</v>
      </c>
      <c r="Y38" s="207">
        <f t="shared" si="20"/>
        <v>10</v>
      </c>
      <c r="Z38" s="233">
        <f t="shared" si="21"/>
        <v>19878551.600000001</v>
      </c>
      <c r="AA38" s="208">
        <f t="shared" si="22"/>
        <v>0</v>
      </c>
      <c r="AB38" s="233">
        <f t="shared" si="23"/>
        <v>0</v>
      </c>
      <c r="AC38" s="233">
        <f t="shared" si="63"/>
        <v>19878551.600000001</v>
      </c>
      <c r="AD38" s="233">
        <f t="shared" si="24"/>
        <v>19878551.600000001</v>
      </c>
      <c r="AE38" s="233">
        <f t="shared" si="25"/>
        <v>19878551.600000001</v>
      </c>
      <c r="AF38" s="238">
        <f t="shared" si="26"/>
        <v>19878551.600000001</v>
      </c>
      <c r="AG38" s="238">
        <f t="shared" si="27"/>
        <v>19878551.600000001</v>
      </c>
      <c r="AH38" s="238">
        <f t="shared" si="28"/>
        <v>99392758</v>
      </c>
      <c r="AI38" s="261">
        <f t="shared" si="29"/>
        <v>2013</v>
      </c>
      <c r="AJ38" s="233">
        <f t="shared" si="30"/>
        <v>99392768</v>
      </c>
    </row>
    <row r="39" spans="1:36" s="116" customFormat="1" ht="35.25" customHeight="1" x14ac:dyDescent="0.2">
      <c r="A39" s="116">
        <v>4</v>
      </c>
      <c r="B39" s="116" t="str">
        <f t="shared" si="1"/>
        <v>SENTAJO - MUARA LANGSAT</v>
      </c>
      <c r="D39" s="116" t="s">
        <v>3849</v>
      </c>
      <c r="E39" s="218" t="s">
        <v>4247</v>
      </c>
      <c r="F39" s="53"/>
      <c r="G39" s="67" t="str">
        <f t="shared" si="47"/>
        <v>PENINGKATAN JALAN SENTAJO - MUARA LANGSAT (PELEBARAN ASPAL 2,5 KM)</v>
      </c>
      <c r="H39" s="396" t="str">
        <f t="shared" si="48"/>
        <v>04.13.01.03.06</v>
      </c>
      <c r="I39" s="396">
        <f t="shared" si="49"/>
        <v>0</v>
      </c>
      <c r="J39" s="396">
        <f t="shared" si="50"/>
        <v>0</v>
      </c>
      <c r="K39" s="398">
        <f t="shared" si="51"/>
        <v>0</v>
      </c>
      <c r="L39" s="396">
        <f t="shared" si="52"/>
        <v>0</v>
      </c>
      <c r="M39" s="398">
        <f t="shared" si="53"/>
        <v>0</v>
      </c>
      <c r="N39" s="396" t="str">
        <f t="shared" si="54"/>
        <v>SENTAJO - MUARA LANGSAT</v>
      </c>
      <c r="O39" s="396">
        <f t="shared" si="55"/>
        <v>2014</v>
      </c>
      <c r="P39" s="396">
        <f t="shared" si="56"/>
        <v>0</v>
      </c>
      <c r="Q39" s="396">
        <f t="shared" si="57"/>
        <v>0</v>
      </c>
      <c r="R39" s="396">
        <f t="shared" si="58"/>
        <v>0</v>
      </c>
      <c r="S39" s="396">
        <f t="shared" si="59"/>
        <v>0</v>
      </c>
      <c r="T39" s="397">
        <f t="shared" si="60"/>
        <v>5255870053</v>
      </c>
      <c r="U39" s="396">
        <f t="shared" si="61"/>
        <v>0</v>
      </c>
      <c r="V39" s="396">
        <f t="shared" si="62"/>
        <v>0</v>
      </c>
      <c r="W39" s="206" t="str">
        <f t="shared" si="18"/>
        <v>04.13.01</v>
      </c>
      <c r="X39" s="207" t="str">
        <f t="shared" si="19"/>
        <v>Jalan</v>
      </c>
      <c r="Y39" s="207">
        <f t="shared" si="20"/>
        <v>10</v>
      </c>
      <c r="Z39" s="233">
        <f t="shared" si="21"/>
        <v>525587004.30000001</v>
      </c>
      <c r="AA39" s="208">
        <f t="shared" si="22"/>
        <v>0</v>
      </c>
      <c r="AB39" s="233">
        <f t="shared" si="23"/>
        <v>0</v>
      </c>
      <c r="AC39" s="233">
        <f t="shared" si="63"/>
        <v>525587004.30000001</v>
      </c>
      <c r="AD39" s="233">
        <f t="shared" si="24"/>
        <v>525587004.30000001</v>
      </c>
      <c r="AE39" s="233">
        <f t="shared" si="25"/>
        <v>525587004.30000001</v>
      </c>
      <c r="AF39" s="238">
        <f t="shared" si="26"/>
        <v>525587004.30000001</v>
      </c>
      <c r="AG39" s="238">
        <f t="shared" si="27"/>
        <v>525587004.30000001</v>
      </c>
      <c r="AH39" s="238">
        <f t="shared" si="28"/>
        <v>2627935021.5</v>
      </c>
      <c r="AI39" s="261">
        <f t="shared" si="29"/>
        <v>2014</v>
      </c>
      <c r="AJ39" s="233">
        <f t="shared" si="30"/>
        <v>2627935031.5</v>
      </c>
    </row>
    <row r="40" spans="1:36" s="116" customFormat="1" ht="35.25" customHeight="1" x14ac:dyDescent="0.2">
      <c r="A40" s="116">
        <v>4</v>
      </c>
      <c r="B40" s="116" t="str">
        <f t="shared" si="1"/>
        <v>SENTAJO - MUARA LANGSAT</v>
      </c>
      <c r="D40" s="116" t="s">
        <v>3850</v>
      </c>
      <c r="E40" s="218" t="s">
        <v>4247</v>
      </c>
      <c r="F40" s="53"/>
      <c r="G40" s="67" t="str">
        <f t="shared" si="47"/>
        <v>PENINGKATAN JALAN SENTAJO - MUARA LANGSAT (DESA LANGSAT HULU)(ASPAL 2 KM)</v>
      </c>
      <c r="H40" s="396" t="str">
        <f t="shared" si="48"/>
        <v>04.13.01.03.06</v>
      </c>
      <c r="I40" s="396">
        <f t="shared" si="49"/>
        <v>0</v>
      </c>
      <c r="J40" s="396">
        <f t="shared" si="50"/>
        <v>0</v>
      </c>
      <c r="K40" s="398">
        <f t="shared" si="51"/>
        <v>0</v>
      </c>
      <c r="L40" s="396">
        <f t="shared" si="52"/>
        <v>0</v>
      </c>
      <c r="M40" s="398">
        <f t="shared" si="53"/>
        <v>0</v>
      </c>
      <c r="N40" s="396" t="str">
        <f t="shared" si="54"/>
        <v>SENTAJO - MUARA LANGSAT</v>
      </c>
      <c r="O40" s="396">
        <f t="shared" si="55"/>
        <v>2014</v>
      </c>
      <c r="P40" s="396">
        <f t="shared" si="56"/>
        <v>0</v>
      </c>
      <c r="Q40" s="396">
        <f t="shared" si="57"/>
        <v>0</v>
      </c>
      <c r="R40" s="396">
        <f t="shared" si="58"/>
        <v>0</v>
      </c>
      <c r="S40" s="396">
        <f t="shared" si="59"/>
        <v>0</v>
      </c>
      <c r="T40" s="397">
        <f t="shared" si="60"/>
        <v>3769961879</v>
      </c>
      <c r="U40" s="396">
        <f t="shared" si="61"/>
        <v>0</v>
      </c>
      <c r="V40" s="396">
        <f t="shared" si="62"/>
        <v>0</v>
      </c>
      <c r="W40" s="206" t="str">
        <f t="shared" si="18"/>
        <v>04.13.01</v>
      </c>
      <c r="X40" s="207" t="str">
        <f t="shared" si="19"/>
        <v>Jalan</v>
      </c>
      <c r="Y40" s="207">
        <f t="shared" si="20"/>
        <v>10</v>
      </c>
      <c r="Z40" s="233">
        <f t="shared" si="21"/>
        <v>376996186.89999998</v>
      </c>
      <c r="AA40" s="208">
        <f t="shared" si="22"/>
        <v>0</v>
      </c>
      <c r="AB40" s="233">
        <f t="shared" si="23"/>
        <v>0</v>
      </c>
      <c r="AC40" s="233">
        <f t="shared" si="63"/>
        <v>376996186.89999998</v>
      </c>
      <c r="AD40" s="233">
        <f t="shared" si="24"/>
        <v>376996186.89999998</v>
      </c>
      <c r="AE40" s="233">
        <f t="shared" si="25"/>
        <v>376996186.89999998</v>
      </c>
      <c r="AF40" s="238">
        <f t="shared" si="26"/>
        <v>376996186.89999998</v>
      </c>
      <c r="AG40" s="238">
        <f t="shared" si="27"/>
        <v>376996186.89999998</v>
      </c>
      <c r="AH40" s="238">
        <f t="shared" si="28"/>
        <v>1884980934.5</v>
      </c>
      <c r="AI40" s="261">
        <f t="shared" si="29"/>
        <v>2014</v>
      </c>
      <c r="AJ40" s="233">
        <f t="shared" si="30"/>
        <v>1884980944.5</v>
      </c>
    </row>
    <row r="41" spans="1:36" s="116" customFormat="1" ht="35.25" customHeight="1" x14ac:dyDescent="0.2">
      <c r="A41" s="116">
        <v>4</v>
      </c>
      <c r="B41" s="116" t="str">
        <f t="shared" si="1"/>
        <v>SENTAJO - MUARA LANGSAT</v>
      </c>
      <c r="D41" s="116" t="s">
        <v>3851</v>
      </c>
      <c r="E41" s="218" t="s">
        <v>4247</v>
      </c>
      <c r="F41" s="53"/>
      <c r="G41" s="67" t="str">
        <f t="shared" si="47"/>
        <v>PEMBUATAN BOX CULVERT 2X2X7 RUAS JALAN SENTAJO - MUARA LANGSAT</v>
      </c>
      <c r="H41" s="396" t="str">
        <f t="shared" si="48"/>
        <v>04.13.01.03.06</v>
      </c>
      <c r="I41" s="396">
        <f t="shared" si="49"/>
        <v>0</v>
      </c>
      <c r="J41" s="396">
        <f t="shared" si="50"/>
        <v>0</v>
      </c>
      <c r="K41" s="398">
        <f t="shared" si="51"/>
        <v>0</v>
      </c>
      <c r="L41" s="396">
        <f t="shared" si="52"/>
        <v>0</v>
      </c>
      <c r="M41" s="398">
        <f t="shared" si="53"/>
        <v>0</v>
      </c>
      <c r="N41" s="396" t="str">
        <f t="shared" si="54"/>
        <v>SENTAJO - MUARA LANGSAT</v>
      </c>
      <c r="O41" s="396">
        <f t="shared" si="55"/>
        <v>2014</v>
      </c>
      <c r="P41" s="396">
        <f t="shared" si="56"/>
        <v>0</v>
      </c>
      <c r="Q41" s="396">
        <f t="shared" si="57"/>
        <v>0</v>
      </c>
      <c r="R41" s="396">
        <f t="shared" si="58"/>
        <v>0</v>
      </c>
      <c r="S41" s="396">
        <f t="shared" si="59"/>
        <v>0</v>
      </c>
      <c r="T41" s="397">
        <f t="shared" si="60"/>
        <v>197942320</v>
      </c>
      <c r="U41" s="396">
        <f t="shared" si="61"/>
        <v>0</v>
      </c>
      <c r="V41" s="396">
        <f t="shared" si="62"/>
        <v>0</v>
      </c>
      <c r="W41" s="206" t="str">
        <f t="shared" si="18"/>
        <v>04.13.01</v>
      </c>
      <c r="X41" s="207" t="str">
        <f t="shared" si="19"/>
        <v>Jalan</v>
      </c>
      <c r="Y41" s="207">
        <f t="shared" si="20"/>
        <v>10</v>
      </c>
      <c r="Z41" s="233">
        <f t="shared" si="21"/>
        <v>19794231</v>
      </c>
      <c r="AA41" s="208">
        <f t="shared" si="22"/>
        <v>0</v>
      </c>
      <c r="AB41" s="233">
        <f t="shared" si="23"/>
        <v>0</v>
      </c>
      <c r="AC41" s="233">
        <f t="shared" si="63"/>
        <v>19794231</v>
      </c>
      <c r="AD41" s="233">
        <f t="shared" si="24"/>
        <v>19794231</v>
      </c>
      <c r="AE41" s="233">
        <f t="shared" si="25"/>
        <v>19794231</v>
      </c>
      <c r="AF41" s="238">
        <f t="shared" si="26"/>
        <v>19794231</v>
      </c>
      <c r="AG41" s="238">
        <f t="shared" si="27"/>
        <v>19794231</v>
      </c>
      <c r="AH41" s="238">
        <f t="shared" si="28"/>
        <v>98971155</v>
      </c>
      <c r="AI41" s="261">
        <f t="shared" si="29"/>
        <v>2014</v>
      </c>
      <c r="AJ41" s="233">
        <f t="shared" si="30"/>
        <v>98971165</v>
      </c>
    </row>
    <row r="42" spans="1:36" s="116" customFormat="1" ht="35.25" customHeight="1" x14ac:dyDescent="0.2">
      <c r="A42" s="116">
        <v>4</v>
      </c>
      <c r="B42" s="116" t="str">
        <f t="shared" si="1"/>
        <v>SENTAJO - MUARA LANGSAT</v>
      </c>
      <c r="D42" s="116" t="s">
        <v>3852</v>
      </c>
      <c r="E42" s="218" t="s">
        <v>4247</v>
      </c>
      <c r="F42" s="53"/>
      <c r="G42" s="67" t="str">
        <f t="shared" si="47"/>
        <v>PEMBUATAN 1 UNIT BOX CULVERT 2X2 RUAS JALAN SENTAJO - MUARA LANGSAT (DESA MARSAWA)</v>
      </c>
      <c r="H42" s="396" t="str">
        <f t="shared" si="48"/>
        <v>04.13.01.03.06</v>
      </c>
      <c r="I42" s="396">
        <f t="shared" si="49"/>
        <v>0</v>
      </c>
      <c r="J42" s="396">
        <f t="shared" si="50"/>
        <v>0</v>
      </c>
      <c r="K42" s="398">
        <f t="shared" si="51"/>
        <v>0</v>
      </c>
      <c r="L42" s="396">
        <f t="shared" si="52"/>
        <v>0</v>
      </c>
      <c r="M42" s="398">
        <f t="shared" si="53"/>
        <v>0</v>
      </c>
      <c r="N42" s="396" t="str">
        <f t="shared" si="54"/>
        <v>SENTAJO - MUARA LANGSAT</v>
      </c>
      <c r="O42" s="396">
        <f t="shared" si="55"/>
        <v>2014</v>
      </c>
      <c r="P42" s="396">
        <f t="shared" si="56"/>
        <v>0</v>
      </c>
      <c r="Q42" s="396">
        <f t="shared" si="57"/>
        <v>0</v>
      </c>
      <c r="R42" s="396">
        <f t="shared" si="58"/>
        <v>0</v>
      </c>
      <c r="S42" s="396">
        <f t="shared" si="59"/>
        <v>0</v>
      </c>
      <c r="T42" s="397">
        <f t="shared" si="60"/>
        <v>197742059</v>
      </c>
      <c r="U42" s="396">
        <f t="shared" si="61"/>
        <v>0</v>
      </c>
      <c r="V42" s="396">
        <f t="shared" si="62"/>
        <v>0</v>
      </c>
      <c r="W42" s="206" t="str">
        <f t="shared" si="18"/>
        <v>04.13.01</v>
      </c>
      <c r="X42" s="207" t="str">
        <f t="shared" si="19"/>
        <v>Jalan</v>
      </c>
      <c r="Y42" s="207">
        <f t="shared" si="20"/>
        <v>10</v>
      </c>
      <c r="Z42" s="233">
        <f t="shared" si="21"/>
        <v>19774204.899999999</v>
      </c>
      <c r="AA42" s="208">
        <f t="shared" si="22"/>
        <v>0</v>
      </c>
      <c r="AB42" s="233">
        <f t="shared" si="23"/>
        <v>0</v>
      </c>
      <c r="AC42" s="233">
        <f t="shared" si="63"/>
        <v>19774204.899999999</v>
      </c>
      <c r="AD42" s="233">
        <f t="shared" si="24"/>
        <v>19774204.899999999</v>
      </c>
      <c r="AE42" s="233">
        <f t="shared" si="25"/>
        <v>19774204.899999999</v>
      </c>
      <c r="AF42" s="238">
        <f t="shared" si="26"/>
        <v>19774204.899999999</v>
      </c>
      <c r="AG42" s="238">
        <f t="shared" si="27"/>
        <v>19774204.899999999</v>
      </c>
      <c r="AH42" s="238">
        <f t="shared" si="28"/>
        <v>98871024.5</v>
      </c>
      <c r="AI42" s="261">
        <f t="shared" si="29"/>
        <v>2014</v>
      </c>
      <c r="AJ42" s="233">
        <f t="shared" si="30"/>
        <v>98871034.5</v>
      </c>
    </row>
    <row r="43" spans="1:36" s="116" customFormat="1" ht="35.25" customHeight="1" x14ac:dyDescent="0.2">
      <c r="A43" s="116">
        <v>4</v>
      </c>
      <c r="B43" s="116" t="str">
        <f t="shared" si="1"/>
        <v>SENTAJO - MUARA LANGSAT</v>
      </c>
      <c r="D43" s="116" t="s">
        <v>3853</v>
      </c>
      <c r="E43" s="218" t="s">
        <v>4247</v>
      </c>
      <c r="F43" s="53"/>
      <c r="G43" s="67" t="str">
        <f t="shared" si="47"/>
        <v>PENINGKATAN JL. SENTAJO - MUARA LANGSAT</v>
      </c>
      <c r="H43" s="396" t="str">
        <f t="shared" si="48"/>
        <v>04.13.01.03.06</v>
      </c>
      <c r="I43" s="396">
        <f t="shared" si="49"/>
        <v>0</v>
      </c>
      <c r="J43" s="396">
        <f t="shared" si="50"/>
        <v>0</v>
      </c>
      <c r="K43" s="398">
        <f t="shared" si="51"/>
        <v>0</v>
      </c>
      <c r="L43" s="396">
        <f t="shared" si="52"/>
        <v>0</v>
      </c>
      <c r="M43" s="398">
        <f t="shared" si="53"/>
        <v>0</v>
      </c>
      <c r="N43" s="396" t="str">
        <f t="shared" si="54"/>
        <v>SENTAJO - MUARA LANGSAT</v>
      </c>
      <c r="O43" s="396">
        <f t="shared" si="55"/>
        <v>2015</v>
      </c>
      <c r="P43" s="396">
        <f t="shared" si="56"/>
        <v>0</v>
      </c>
      <c r="Q43" s="396">
        <f t="shared" si="57"/>
        <v>0</v>
      </c>
      <c r="R43" s="396">
        <f t="shared" si="58"/>
        <v>0</v>
      </c>
      <c r="S43" s="396" t="str">
        <f t="shared" si="59"/>
        <v>APBD</v>
      </c>
      <c r="T43" s="397">
        <f t="shared" si="60"/>
        <v>4142581848.1999998</v>
      </c>
      <c r="U43" s="396">
        <f t="shared" si="61"/>
        <v>0</v>
      </c>
      <c r="V43" s="396">
        <f t="shared" si="62"/>
        <v>0</v>
      </c>
      <c r="W43" s="206" t="str">
        <f t="shared" si="18"/>
        <v>04.13.01</v>
      </c>
      <c r="X43" s="207" t="str">
        <f t="shared" si="19"/>
        <v>Jalan</v>
      </c>
      <c r="Y43" s="207">
        <f t="shared" si="20"/>
        <v>10</v>
      </c>
      <c r="Z43" s="233">
        <f t="shared" si="21"/>
        <v>414258183.81999999</v>
      </c>
      <c r="AA43" s="208">
        <f t="shared" si="22"/>
        <v>0</v>
      </c>
      <c r="AB43" s="233">
        <f t="shared" si="23"/>
        <v>0</v>
      </c>
      <c r="AC43" s="233"/>
      <c r="AD43" s="233">
        <f t="shared" si="24"/>
        <v>414258183.81999999</v>
      </c>
      <c r="AE43" s="233">
        <f t="shared" si="25"/>
        <v>414258183.81999999</v>
      </c>
      <c r="AF43" s="238">
        <f t="shared" si="26"/>
        <v>414258183.81999999</v>
      </c>
      <c r="AG43" s="238">
        <f t="shared" si="27"/>
        <v>414258183.81999999</v>
      </c>
      <c r="AH43" s="238">
        <f t="shared" si="28"/>
        <v>1657032735.28</v>
      </c>
      <c r="AI43" s="261">
        <f t="shared" si="29"/>
        <v>2015</v>
      </c>
      <c r="AJ43" s="233">
        <f t="shared" si="30"/>
        <v>2485549112.9200001</v>
      </c>
    </row>
    <row r="44" spans="1:36" s="116" customFormat="1" ht="35.25" customHeight="1" x14ac:dyDescent="0.2">
      <c r="A44" s="116">
        <v>4</v>
      </c>
      <c r="B44" s="116" t="str">
        <f>VLOOKUP(A44,RUAS,2,FALSE)</f>
        <v>SENTAJO - MUARA LANGSAT</v>
      </c>
      <c r="D44" s="116" t="s">
        <v>4127</v>
      </c>
      <c r="E44" s="218" t="s">
        <v>4247</v>
      </c>
      <c r="F44" s="53"/>
      <c r="G44" s="67" t="str">
        <f>VLOOKUP(D44,ACUAN,4,FALSE)</f>
        <v>PEMBUATAN BOX CULVERT RUAS JL. SENTAJO - MUARA LANGSAT</v>
      </c>
      <c r="H44" s="396" t="str">
        <f>VLOOKUP(D44,ACUAN,5,FALSE)</f>
        <v>04.13.01.03.06</v>
      </c>
      <c r="I44" s="396">
        <f>VLOOKUP(D44,ACUAN,6,FALSE)</f>
        <v>0</v>
      </c>
      <c r="J44" s="396">
        <f>VLOOKUP(D44,ACUAN,7,FALSE)</f>
        <v>0</v>
      </c>
      <c r="K44" s="398">
        <f>VLOOKUP(D44,ACUAN,8,FALSE)</f>
        <v>0</v>
      </c>
      <c r="L44" s="396">
        <f>VLOOKUP(D44,ACUAN,9,FALSE)</f>
        <v>0</v>
      </c>
      <c r="M44" s="398">
        <f>VLOOKUP(D44,ACUAN,10,FALSE)</f>
        <v>0</v>
      </c>
      <c r="N44" s="396" t="str">
        <f>VLOOKUP(D44,ACUAN,11,FALSE)</f>
        <v>SENTAJO - MUARA LANGSAT</v>
      </c>
      <c r="O44" s="396">
        <f>VLOOKUP(D44,ACUAN,12,FALSE)</f>
        <v>2015</v>
      </c>
      <c r="P44" s="396">
        <f>VLOOKUP(D44,ACUAN,13,FALSE)</f>
        <v>0</v>
      </c>
      <c r="Q44" s="396">
        <f>VLOOKUP(D44,ACUAN,14,FALSE)</f>
        <v>0</v>
      </c>
      <c r="R44" s="396">
        <f>VLOOKUP(D44,ACUAN,15,FALSE)</f>
        <v>0</v>
      </c>
      <c r="S44" s="396" t="str">
        <f>VLOOKUP(D44,ACUAN,16,FALSE)</f>
        <v>APBD</v>
      </c>
      <c r="T44" s="397">
        <f>VLOOKUP(D44,ACUAN,17,FALSE)</f>
        <v>187607827</v>
      </c>
      <c r="U44" s="396">
        <f>VLOOKUP(D44,ACUAN,18,FALSE)</f>
        <v>0</v>
      </c>
      <c r="V44" s="396">
        <f>VLOOKUP(D44,ACUAN,19,FALSE)</f>
        <v>0</v>
      </c>
      <c r="W44" s="206" t="str">
        <f t="shared" si="18"/>
        <v>04.13.01</v>
      </c>
      <c r="X44" s="207" t="str">
        <f t="shared" si="19"/>
        <v>Jalan</v>
      </c>
      <c r="Y44" s="207">
        <f t="shared" si="20"/>
        <v>10</v>
      </c>
      <c r="Z44" s="233">
        <f t="shared" si="21"/>
        <v>18760781.699999999</v>
      </c>
      <c r="AA44" s="208">
        <f t="shared" si="22"/>
        <v>0</v>
      </c>
      <c r="AB44" s="233">
        <f t="shared" si="23"/>
        <v>0</v>
      </c>
      <c r="AC44" s="233"/>
      <c r="AD44" s="233">
        <f t="shared" si="24"/>
        <v>18760781.699999999</v>
      </c>
      <c r="AE44" s="233">
        <f t="shared" si="25"/>
        <v>18760781.699999999</v>
      </c>
      <c r="AF44" s="238">
        <f t="shared" si="26"/>
        <v>18760781.699999999</v>
      </c>
      <c r="AG44" s="238">
        <f t="shared" si="27"/>
        <v>18760781.699999999</v>
      </c>
      <c r="AH44" s="238">
        <f t="shared" si="28"/>
        <v>75043126.799999997</v>
      </c>
      <c r="AI44" s="261">
        <f t="shared" si="29"/>
        <v>2015</v>
      </c>
      <c r="AJ44" s="233">
        <f t="shared" si="30"/>
        <v>112564700.2</v>
      </c>
    </row>
    <row r="45" spans="1:36" s="116" customFormat="1" ht="35.25" customHeight="1" x14ac:dyDescent="0.2">
      <c r="A45" s="116">
        <v>4</v>
      </c>
      <c r="B45" s="116" t="str">
        <f>VLOOKUP(A45,RUAS,2,FALSE)</f>
        <v>SENTAJO - MUARA LANGSAT</v>
      </c>
      <c r="D45" s="116" t="s">
        <v>4128</v>
      </c>
      <c r="E45" s="218" t="s">
        <v>4247</v>
      </c>
      <c r="F45" s="53"/>
      <c r="G45" s="67" t="str">
        <f>VLOOKUP(D45,ACUAN,4,FALSE)</f>
        <v>PENINGKATAN JALAN SENTAJO - MUARA LANGSAT</v>
      </c>
      <c r="H45" s="396" t="str">
        <f>VLOOKUP(D45,ACUAN,5,FALSE)</f>
        <v>04.13.01.03.06</v>
      </c>
      <c r="I45" s="396">
        <f>VLOOKUP(D45,ACUAN,6,FALSE)</f>
        <v>0</v>
      </c>
      <c r="J45" s="396">
        <f>VLOOKUP(D45,ACUAN,7,FALSE)</f>
        <v>0</v>
      </c>
      <c r="K45" s="398">
        <f>VLOOKUP(D45,ACUAN,8,FALSE)</f>
        <v>0</v>
      </c>
      <c r="L45" s="396">
        <f>VLOOKUP(D45,ACUAN,9,FALSE)</f>
        <v>0</v>
      </c>
      <c r="M45" s="398">
        <f>VLOOKUP(D45,ACUAN,10,FALSE)</f>
        <v>0</v>
      </c>
      <c r="N45" s="396" t="str">
        <f>VLOOKUP(D45,ACUAN,11,FALSE)</f>
        <v>SENTAJO - MUARA LANGSAT</v>
      </c>
      <c r="O45" s="396">
        <f>VLOOKUP(D45,ACUAN,12,FALSE)</f>
        <v>2015</v>
      </c>
      <c r="P45" s="396">
        <f>VLOOKUP(D45,ACUAN,13,FALSE)</f>
        <v>0</v>
      </c>
      <c r="Q45" s="396">
        <f>VLOOKUP(D45,ACUAN,14,FALSE)</f>
        <v>0</v>
      </c>
      <c r="R45" s="396">
        <f>VLOOKUP(D45,ACUAN,15,FALSE)</f>
        <v>0</v>
      </c>
      <c r="S45" s="396" t="str">
        <f>VLOOKUP(D45,ACUAN,16,FALSE)</f>
        <v>APBD</v>
      </c>
      <c r="T45" s="397">
        <f>VLOOKUP(D45,ACUAN,17,FALSE)</f>
        <v>8378965790.1999998</v>
      </c>
      <c r="U45" s="396">
        <f>VLOOKUP(D45,ACUAN,18,FALSE)</f>
        <v>0</v>
      </c>
      <c r="V45" s="396">
        <f>VLOOKUP(D45,ACUAN,19,FALSE)</f>
        <v>0</v>
      </c>
      <c r="W45" s="206" t="str">
        <f t="shared" si="18"/>
        <v>04.13.01</v>
      </c>
      <c r="X45" s="207" t="str">
        <f t="shared" si="19"/>
        <v>Jalan</v>
      </c>
      <c r="Y45" s="207">
        <f t="shared" si="20"/>
        <v>10</v>
      </c>
      <c r="Z45" s="233">
        <f t="shared" si="21"/>
        <v>837896578.01999998</v>
      </c>
      <c r="AA45" s="208">
        <f t="shared" si="22"/>
        <v>0</v>
      </c>
      <c r="AB45" s="233">
        <f t="shared" si="23"/>
        <v>0</v>
      </c>
      <c r="AC45" s="233"/>
      <c r="AD45" s="233">
        <f t="shared" si="24"/>
        <v>837896578.01999998</v>
      </c>
      <c r="AE45" s="233">
        <f t="shared" si="25"/>
        <v>837896578.01999998</v>
      </c>
      <c r="AF45" s="238">
        <f t="shared" si="26"/>
        <v>837896578.01999998</v>
      </c>
      <c r="AG45" s="238">
        <f t="shared" si="27"/>
        <v>837896578.01999998</v>
      </c>
      <c r="AH45" s="238">
        <f t="shared" si="28"/>
        <v>3351586312.0799999</v>
      </c>
      <c r="AI45" s="261">
        <f t="shared" si="29"/>
        <v>2015</v>
      </c>
      <c r="AJ45" s="233">
        <f t="shared" si="30"/>
        <v>5027379478.1199999</v>
      </c>
    </row>
    <row r="46" spans="1:36" s="116" customFormat="1" ht="35.25" customHeight="1" x14ac:dyDescent="0.2">
      <c r="A46" s="116">
        <v>4</v>
      </c>
      <c r="B46" s="116" t="str">
        <f>VLOOKUP(A46,RUAS,2,FALSE)</f>
        <v>SENTAJO - MUARA LANGSAT</v>
      </c>
      <c r="D46" s="116" t="s">
        <v>4129</v>
      </c>
      <c r="E46" s="218" t="s">
        <v>4247</v>
      </c>
      <c r="F46" s="53"/>
      <c r="G46" s="67" t="str">
        <f>VLOOKUP(D46,ACUAN,4,FALSE)</f>
        <v>PENINGKATANJALAN SENTAJO - MUARA LANGSAT (ASPAL) (DAK)</v>
      </c>
      <c r="H46" s="396" t="str">
        <f>VLOOKUP(D46,ACUAN,5,FALSE)</f>
        <v>04.13.01.03.06</v>
      </c>
      <c r="I46" s="396">
        <f>VLOOKUP(D46,ACUAN,6,FALSE)</f>
        <v>0</v>
      </c>
      <c r="J46" s="396">
        <f>VLOOKUP(D46,ACUAN,7,FALSE)</f>
        <v>0</v>
      </c>
      <c r="K46" s="398">
        <f>VLOOKUP(D46,ACUAN,8,FALSE)</f>
        <v>0</v>
      </c>
      <c r="L46" s="396">
        <f>VLOOKUP(D46,ACUAN,9,FALSE)</f>
        <v>0</v>
      </c>
      <c r="M46" s="398">
        <f>VLOOKUP(D46,ACUAN,10,FALSE)</f>
        <v>0</v>
      </c>
      <c r="N46" s="396" t="str">
        <f>VLOOKUP(D46,ACUAN,11,FALSE)</f>
        <v>SENTAJO - MUARA LANGSAT</v>
      </c>
      <c r="O46" s="396">
        <f>VLOOKUP(D46,ACUAN,12,FALSE)</f>
        <v>2016</v>
      </c>
      <c r="P46" s="396">
        <f>VLOOKUP(D46,ACUAN,13,FALSE)</f>
        <v>0</v>
      </c>
      <c r="Q46" s="396">
        <f>VLOOKUP(D46,ACUAN,14,FALSE)</f>
        <v>0</v>
      </c>
      <c r="R46" s="396">
        <f>VLOOKUP(D46,ACUAN,15,FALSE)</f>
        <v>0</v>
      </c>
      <c r="S46" s="396" t="str">
        <f>VLOOKUP(D46,ACUAN,16,FALSE)</f>
        <v>APBD</v>
      </c>
      <c r="T46" s="397">
        <f>VLOOKUP(D46,ACUAN,17,FALSE)</f>
        <v>8482176848.3360138</v>
      </c>
      <c r="U46" s="396">
        <f>VLOOKUP(D46,ACUAN,18,FALSE)</f>
        <v>0</v>
      </c>
      <c r="V46" s="396">
        <f>VLOOKUP(D46,ACUAN,19,FALSE)</f>
        <v>0</v>
      </c>
      <c r="W46" s="206" t="str">
        <f t="shared" si="18"/>
        <v>04.13.01</v>
      </c>
      <c r="X46" s="207" t="str">
        <f t="shared" si="19"/>
        <v>Jalan</v>
      </c>
      <c r="Y46" s="207">
        <f t="shared" si="20"/>
        <v>10</v>
      </c>
      <c r="Z46" s="233">
        <f t="shared" si="21"/>
        <v>848217683.83360136</v>
      </c>
      <c r="AA46" s="208">
        <f t="shared" si="22"/>
        <v>0</v>
      </c>
      <c r="AB46" s="233">
        <f t="shared" si="23"/>
        <v>0</v>
      </c>
      <c r="AC46" s="233"/>
      <c r="AD46" s="233"/>
      <c r="AE46" s="233">
        <f t="shared" si="25"/>
        <v>848217683.83360136</v>
      </c>
      <c r="AF46" s="238">
        <f t="shared" si="26"/>
        <v>848217683.83360136</v>
      </c>
      <c r="AG46" s="238">
        <f t="shared" si="27"/>
        <v>848217683.83360136</v>
      </c>
      <c r="AH46" s="238">
        <f t="shared" si="28"/>
        <v>2544653051.5008039</v>
      </c>
      <c r="AI46" s="261">
        <f t="shared" si="29"/>
        <v>2016</v>
      </c>
      <c r="AJ46" s="233">
        <f t="shared" si="30"/>
        <v>5937523796.8352098</v>
      </c>
    </row>
    <row r="47" spans="1:36" s="116" customFormat="1" ht="35.25" customHeight="1" x14ac:dyDescent="0.2">
      <c r="A47" s="116">
        <v>4</v>
      </c>
      <c r="B47" s="116" t="str">
        <f>VLOOKUP(A47,RUAS,2,FALSE)</f>
        <v>SENTAJO - MUARA LANGSAT</v>
      </c>
      <c r="D47" s="116" t="s">
        <v>4130</v>
      </c>
      <c r="E47" s="218" t="s">
        <v>4247</v>
      </c>
      <c r="F47" s="53"/>
      <c r="G47" s="67" t="str">
        <f>VLOOKUP(D47,ACUAN,4,FALSE)</f>
        <v>PEMBUATAN MEDIAN JALAN SENTAJO-MUARA LANGSAT (SP.4 TERATAK-KANTOR CAMAT SENTAJO RAYA</v>
      </c>
      <c r="H47" s="396" t="str">
        <f>VLOOKUP(D47,ACUAN,5,FALSE)</f>
        <v>04.13.01.03.06</v>
      </c>
      <c r="I47" s="396">
        <f>VLOOKUP(D47,ACUAN,6,FALSE)</f>
        <v>0</v>
      </c>
      <c r="J47" s="396">
        <f>VLOOKUP(D47,ACUAN,7,FALSE)</f>
        <v>0</v>
      </c>
      <c r="K47" s="398">
        <f>VLOOKUP(D47,ACUAN,8,FALSE)</f>
        <v>0</v>
      </c>
      <c r="L47" s="396">
        <f>VLOOKUP(D47,ACUAN,9,FALSE)</f>
        <v>0</v>
      </c>
      <c r="M47" s="398">
        <f>VLOOKUP(D47,ACUAN,10,FALSE)</f>
        <v>0</v>
      </c>
      <c r="N47" s="396" t="str">
        <f>VLOOKUP(D47,ACUAN,11,FALSE)</f>
        <v>SENTAJO - MUARA LANGSAT</v>
      </c>
      <c r="O47" s="396">
        <f>VLOOKUP(D47,ACUAN,12,FALSE)</f>
        <v>2017</v>
      </c>
      <c r="P47" s="396">
        <f>VLOOKUP(D47,ACUAN,13,FALSE)</f>
        <v>0</v>
      </c>
      <c r="Q47" s="396">
        <f>VLOOKUP(D47,ACUAN,14,FALSE)</f>
        <v>0</v>
      </c>
      <c r="R47" s="396">
        <f>VLOOKUP(D47,ACUAN,15,FALSE)</f>
        <v>0</v>
      </c>
      <c r="S47" s="396" t="str">
        <f>VLOOKUP(D47,ACUAN,16,FALSE)</f>
        <v>APBD</v>
      </c>
      <c r="T47" s="397">
        <f>VLOOKUP(D47,ACUAN,17,FALSE)</f>
        <v>1033114691</v>
      </c>
      <c r="U47" s="396">
        <f>VLOOKUP(D47,ACUAN,18,FALSE)</f>
        <v>0</v>
      </c>
      <c r="V47" s="396">
        <f>VLOOKUP(D47,ACUAN,19,FALSE)</f>
        <v>0</v>
      </c>
      <c r="W47" s="206" t="str">
        <f t="shared" si="18"/>
        <v>04.13.01</v>
      </c>
      <c r="X47" s="207" t="str">
        <f t="shared" si="19"/>
        <v>Jalan</v>
      </c>
      <c r="Y47" s="207">
        <f t="shared" si="20"/>
        <v>10</v>
      </c>
      <c r="Z47" s="233">
        <f t="shared" si="21"/>
        <v>103311468.09999999</v>
      </c>
      <c r="AA47" s="208">
        <f t="shared" si="22"/>
        <v>0</v>
      </c>
      <c r="AB47" s="233">
        <f t="shared" si="23"/>
        <v>0</v>
      </c>
      <c r="AC47" s="233"/>
      <c r="AD47" s="233"/>
      <c r="AE47" s="233"/>
      <c r="AF47" s="238"/>
      <c r="AG47" s="238">
        <f t="shared" si="27"/>
        <v>103311468.09999999</v>
      </c>
      <c r="AH47" s="238">
        <f t="shared" si="28"/>
        <v>103311468.09999999</v>
      </c>
      <c r="AI47" s="261">
        <f t="shared" si="29"/>
        <v>2017</v>
      </c>
      <c r="AJ47" s="233">
        <f t="shared" si="30"/>
        <v>929803222.89999998</v>
      </c>
    </row>
    <row r="48" spans="1:36" s="116" customFormat="1" ht="35.25" customHeight="1" x14ac:dyDescent="0.2">
      <c r="A48" s="116">
        <v>10</v>
      </c>
      <c r="B48" s="116" t="str">
        <f t="shared" si="1"/>
        <v>SEB. TELUK KUANTAN - DUTA PALMA</v>
      </c>
      <c r="D48" s="116" t="s">
        <v>3859</v>
      </c>
      <c r="E48" s="218" t="s">
        <v>4247</v>
      </c>
      <c r="F48" s="53"/>
      <c r="G48" s="67" t="str">
        <f t="shared" si="31"/>
        <v>JALAN KABUPATEN LOKAL</v>
      </c>
      <c r="H48" s="396" t="str">
        <f t="shared" si="32"/>
        <v>04.13.01.03.06</v>
      </c>
      <c r="I48" s="396">
        <f t="shared" si="33"/>
        <v>0</v>
      </c>
      <c r="J48" s="396" t="str">
        <f t="shared" si="34"/>
        <v>TANAH</v>
      </c>
      <c r="K48" s="398">
        <f t="shared" si="35"/>
        <v>12000</v>
      </c>
      <c r="L48" s="396">
        <f t="shared" si="36"/>
        <v>7</v>
      </c>
      <c r="M48" s="398">
        <f t="shared" si="37"/>
        <v>84000</v>
      </c>
      <c r="N48" s="396" t="str">
        <f t="shared" si="38"/>
        <v>SEB. TELUK KUANTAN - DUTA PALMA</v>
      </c>
      <c r="O48" s="396">
        <f t="shared" si="39"/>
        <v>2001</v>
      </c>
      <c r="P48" s="396">
        <f t="shared" si="40"/>
        <v>0</v>
      </c>
      <c r="Q48" s="396">
        <f t="shared" si="41"/>
        <v>0</v>
      </c>
      <c r="R48" s="396" t="str">
        <f t="shared" si="42"/>
        <v>12.04.06.05.01.00</v>
      </c>
      <c r="S48" s="396" t="str">
        <f t="shared" si="43"/>
        <v>APBD</v>
      </c>
      <c r="T48" s="397">
        <f t="shared" si="44"/>
        <v>2700000000</v>
      </c>
      <c r="U48" s="396" t="str">
        <f t="shared" si="45"/>
        <v>B</v>
      </c>
      <c r="V48" s="396">
        <f t="shared" si="46"/>
        <v>0</v>
      </c>
      <c r="W48" s="206" t="str">
        <f t="shared" si="18"/>
        <v>04.13.01</v>
      </c>
      <c r="X48" s="207" t="str">
        <f t="shared" si="19"/>
        <v>Jalan</v>
      </c>
      <c r="Y48" s="207">
        <f t="shared" si="20"/>
        <v>10</v>
      </c>
      <c r="Z48" s="233">
        <f t="shared" si="21"/>
        <v>269999999</v>
      </c>
      <c r="AA48" s="208">
        <f t="shared" si="22"/>
        <v>10</v>
      </c>
      <c r="AB48" s="233">
        <f t="shared" si="23"/>
        <v>2699999990</v>
      </c>
      <c r="AC48" s="233">
        <f>IF(T48-10=AB48,0,Z48)</f>
        <v>0</v>
      </c>
      <c r="AD48" s="233">
        <f t="shared" si="24"/>
        <v>0</v>
      </c>
      <c r="AE48" s="233">
        <f t="shared" si="25"/>
        <v>0</v>
      </c>
      <c r="AF48" s="238">
        <f t="shared" si="26"/>
        <v>0</v>
      </c>
      <c r="AG48" s="238">
        <f t="shared" si="27"/>
        <v>0</v>
      </c>
      <c r="AH48" s="238">
        <f t="shared" si="28"/>
        <v>2699999990</v>
      </c>
      <c r="AI48" s="261">
        <f t="shared" si="29"/>
        <v>2001</v>
      </c>
      <c r="AJ48" s="233">
        <f t="shared" si="30"/>
        <v>10</v>
      </c>
    </row>
    <row r="49" spans="1:36" s="116" customFormat="1" ht="35.25" customHeight="1" x14ac:dyDescent="0.2">
      <c r="A49" s="116">
        <v>10</v>
      </c>
      <c r="B49" s="116" t="str">
        <f t="shared" si="1"/>
        <v>SEB. TELUK KUANTAN - DUTA PALMA</v>
      </c>
      <c r="D49" s="116" t="s">
        <v>3860</v>
      </c>
      <c r="E49" s="218" t="s">
        <v>4247</v>
      </c>
      <c r="F49" s="53"/>
      <c r="G49" s="67" t="str">
        <f t="shared" si="31"/>
        <v>PEMBUATAN 1 UNIT BOX CULVERT RUAS JALAN SEBERANG TALUK - DUTA PALMA</v>
      </c>
      <c r="H49" s="396" t="str">
        <f t="shared" si="32"/>
        <v>04.13.01.03.06</v>
      </c>
      <c r="I49" s="396">
        <f t="shared" si="33"/>
        <v>0</v>
      </c>
      <c r="J49" s="396">
        <f t="shared" si="34"/>
        <v>0</v>
      </c>
      <c r="K49" s="398">
        <f t="shared" si="35"/>
        <v>0</v>
      </c>
      <c r="L49" s="396">
        <f t="shared" si="36"/>
        <v>0</v>
      </c>
      <c r="M49" s="398">
        <f t="shared" si="37"/>
        <v>0</v>
      </c>
      <c r="N49" s="396" t="str">
        <f t="shared" si="38"/>
        <v>SEBERANG TALUK - DUTA PALMA</v>
      </c>
      <c r="O49" s="396">
        <f t="shared" si="39"/>
        <v>2014</v>
      </c>
      <c r="P49" s="396">
        <f t="shared" si="40"/>
        <v>0</v>
      </c>
      <c r="Q49" s="396">
        <f t="shared" si="41"/>
        <v>0</v>
      </c>
      <c r="R49" s="396">
        <f t="shared" si="42"/>
        <v>0</v>
      </c>
      <c r="S49" s="396">
        <f t="shared" si="43"/>
        <v>0</v>
      </c>
      <c r="T49" s="397">
        <f t="shared" si="44"/>
        <v>197613420</v>
      </c>
      <c r="U49" s="396">
        <f t="shared" si="45"/>
        <v>0</v>
      </c>
      <c r="V49" s="396">
        <f t="shared" si="46"/>
        <v>0</v>
      </c>
      <c r="W49" s="206" t="str">
        <f t="shared" si="18"/>
        <v>04.13.01</v>
      </c>
      <c r="X49" s="207" t="str">
        <f t="shared" si="19"/>
        <v>Jalan</v>
      </c>
      <c r="Y49" s="207">
        <f t="shared" si="20"/>
        <v>10</v>
      </c>
      <c r="Z49" s="233">
        <f t="shared" si="21"/>
        <v>19761341</v>
      </c>
      <c r="AA49" s="208">
        <f t="shared" si="22"/>
        <v>0</v>
      </c>
      <c r="AB49" s="233">
        <f t="shared" si="23"/>
        <v>0</v>
      </c>
      <c r="AC49" s="233">
        <f>IF(T49-10=AB49,0,Z49)</f>
        <v>19761341</v>
      </c>
      <c r="AD49" s="233">
        <f t="shared" si="24"/>
        <v>19761341</v>
      </c>
      <c r="AE49" s="233">
        <f t="shared" si="25"/>
        <v>19761341</v>
      </c>
      <c r="AF49" s="238">
        <f t="shared" si="26"/>
        <v>19761341</v>
      </c>
      <c r="AG49" s="238">
        <f t="shared" si="27"/>
        <v>19761341</v>
      </c>
      <c r="AH49" s="238">
        <f t="shared" si="28"/>
        <v>98806705</v>
      </c>
      <c r="AI49" s="261">
        <f t="shared" si="29"/>
        <v>2014</v>
      </c>
      <c r="AJ49" s="233">
        <f t="shared" si="30"/>
        <v>98806715</v>
      </c>
    </row>
    <row r="50" spans="1:36" s="116" customFormat="1" ht="35.25" customHeight="1" x14ac:dyDescent="0.2">
      <c r="A50" s="116">
        <v>13</v>
      </c>
      <c r="B50" s="116" t="str">
        <f t="shared" si="1"/>
        <v>SIMP. BERINGIN - BERINGIN</v>
      </c>
      <c r="D50" s="116" t="s">
        <v>3861</v>
      </c>
      <c r="E50" s="218" t="s">
        <v>4247</v>
      </c>
      <c r="F50" s="53"/>
      <c r="G50" s="67" t="str">
        <f t="shared" si="31"/>
        <v>JALAN KABUPATEN LOKAL</v>
      </c>
      <c r="H50" s="396" t="str">
        <f t="shared" si="32"/>
        <v>04.13.01.03.06</v>
      </c>
      <c r="I50" s="396">
        <f t="shared" si="33"/>
        <v>0</v>
      </c>
      <c r="J50" s="396" t="str">
        <f t="shared" si="34"/>
        <v>BATU PECAH / MACADAM</v>
      </c>
      <c r="K50" s="398">
        <f t="shared" si="35"/>
        <v>600</v>
      </c>
      <c r="L50" s="396">
        <f t="shared" si="36"/>
        <v>7</v>
      </c>
      <c r="M50" s="398">
        <f t="shared" si="37"/>
        <v>4200</v>
      </c>
      <c r="N50" s="396" t="str">
        <f t="shared" si="38"/>
        <v>SIMP. BERINGIN - BERINGIN</v>
      </c>
      <c r="O50" s="396">
        <f t="shared" si="39"/>
        <v>2001</v>
      </c>
      <c r="P50" s="396">
        <f t="shared" si="40"/>
        <v>0</v>
      </c>
      <c r="Q50" s="396">
        <f t="shared" si="41"/>
        <v>0</v>
      </c>
      <c r="R50" s="396" t="str">
        <f t="shared" si="42"/>
        <v>12.04.06.05.01.00</v>
      </c>
      <c r="S50" s="396" t="str">
        <f t="shared" si="43"/>
        <v>APBD</v>
      </c>
      <c r="T50" s="397">
        <f t="shared" si="44"/>
        <v>288000000</v>
      </c>
      <c r="U50" s="396" t="str">
        <f t="shared" si="45"/>
        <v>B</v>
      </c>
      <c r="V50" s="396">
        <f t="shared" si="46"/>
        <v>0</v>
      </c>
      <c r="W50" s="206" t="str">
        <f t="shared" si="18"/>
        <v>04.13.01</v>
      </c>
      <c r="X50" s="207" t="str">
        <f t="shared" si="19"/>
        <v>Jalan</v>
      </c>
      <c r="Y50" s="207">
        <f t="shared" si="20"/>
        <v>10</v>
      </c>
      <c r="Z50" s="233">
        <f t="shared" si="21"/>
        <v>28799999</v>
      </c>
      <c r="AA50" s="208">
        <f t="shared" si="22"/>
        <v>10</v>
      </c>
      <c r="AB50" s="233">
        <f t="shared" si="23"/>
        <v>287999990</v>
      </c>
      <c r="AC50" s="233">
        <f>IF(T50-10=AB50,0,Z50)</f>
        <v>0</v>
      </c>
      <c r="AD50" s="233">
        <f t="shared" si="24"/>
        <v>0</v>
      </c>
      <c r="AE50" s="233">
        <f t="shared" si="25"/>
        <v>0</v>
      </c>
      <c r="AF50" s="238">
        <f t="shared" si="26"/>
        <v>0</v>
      </c>
      <c r="AG50" s="238">
        <f t="shared" si="27"/>
        <v>0</v>
      </c>
      <c r="AH50" s="238">
        <f t="shared" si="28"/>
        <v>287999990</v>
      </c>
      <c r="AI50" s="261">
        <f t="shared" si="29"/>
        <v>2001</v>
      </c>
      <c r="AJ50" s="233">
        <f t="shared" si="30"/>
        <v>10</v>
      </c>
    </row>
    <row r="51" spans="1:36" s="116" customFormat="1" ht="35.25" customHeight="1" x14ac:dyDescent="0.2">
      <c r="A51" s="116">
        <v>13</v>
      </c>
      <c r="B51" s="116" t="str">
        <f t="shared" si="1"/>
        <v>SIMP. BERINGIN - BERINGIN</v>
      </c>
      <c r="D51" s="116" t="s">
        <v>3862</v>
      </c>
      <c r="E51" s="218" t="s">
        <v>4247</v>
      </c>
      <c r="F51" s="53"/>
      <c r="G51" s="67" t="str">
        <f t="shared" si="31"/>
        <v>PEMBUATAN 1 UNIT BOX CULVERT DESA BERINGIN</v>
      </c>
      <c r="H51" s="396" t="str">
        <f t="shared" si="32"/>
        <v>04.13.01.03.06</v>
      </c>
      <c r="I51" s="396">
        <f t="shared" si="33"/>
        <v>0</v>
      </c>
      <c r="J51" s="396">
        <f t="shared" si="34"/>
        <v>0</v>
      </c>
      <c r="K51" s="398">
        <f t="shared" si="35"/>
        <v>0</v>
      </c>
      <c r="L51" s="396">
        <f t="shared" si="36"/>
        <v>0</v>
      </c>
      <c r="M51" s="398">
        <f t="shared" si="37"/>
        <v>0</v>
      </c>
      <c r="N51" s="396" t="str">
        <f t="shared" si="38"/>
        <v>DESA BERINGIN</v>
      </c>
      <c r="O51" s="396">
        <f t="shared" si="39"/>
        <v>2015</v>
      </c>
      <c r="P51" s="396">
        <f t="shared" si="40"/>
        <v>0</v>
      </c>
      <c r="Q51" s="396">
        <f t="shared" si="41"/>
        <v>0</v>
      </c>
      <c r="R51" s="396">
        <f t="shared" si="42"/>
        <v>0</v>
      </c>
      <c r="S51" s="396" t="str">
        <f t="shared" si="43"/>
        <v>APBD</v>
      </c>
      <c r="T51" s="397">
        <f t="shared" si="44"/>
        <v>192010205</v>
      </c>
      <c r="U51" s="396">
        <f t="shared" si="45"/>
        <v>0</v>
      </c>
      <c r="V51" s="396">
        <f t="shared" si="46"/>
        <v>0</v>
      </c>
      <c r="W51" s="206" t="str">
        <f t="shared" si="18"/>
        <v>04.13.01</v>
      </c>
      <c r="X51" s="207" t="str">
        <f t="shared" si="19"/>
        <v>Jalan</v>
      </c>
      <c r="Y51" s="207">
        <f t="shared" si="20"/>
        <v>10</v>
      </c>
      <c r="Z51" s="233">
        <f t="shared" si="21"/>
        <v>19201019.5</v>
      </c>
      <c r="AA51" s="208">
        <f t="shared" si="22"/>
        <v>0</v>
      </c>
      <c r="AB51" s="233">
        <f t="shared" si="23"/>
        <v>0</v>
      </c>
      <c r="AC51" s="233"/>
      <c r="AD51" s="233">
        <f t="shared" si="24"/>
        <v>19201019.5</v>
      </c>
      <c r="AE51" s="233">
        <f t="shared" si="25"/>
        <v>19201019.5</v>
      </c>
      <c r="AF51" s="238">
        <f t="shared" si="26"/>
        <v>19201019.5</v>
      </c>
      <c r="AG51" s="238">
        <f t="shared" si="27"/>
        <v>19201019.5</v>
      </c>
      <c r="AH51" s="238">
        <f t="shared" si="28"/>
        <v>76804078</v>
      </c>
      <c r="AI51" s="261">
        <f t="shared" si="29"/>
        <v>2015</v>
      </c>
      <c r="AJ51" s="233">
        <f t="shared" si="30"/>
        <v>115206127</v>
      </c>
    </row>
    <row r="52" spans="1:36" s="116" customFormat="1" ht="35.25" customHeight="1" x14ac:dyDescent="0.2">
      <c r="A52" s="116">
        <v>13</v>
      </c>
      <c r="B52" s="116" t="str">
        <f t="shared" si="1"/>
        <v>SIMP. BERINGIN - BERINGIN</v>
      </c>
      <c r="D52" s="116" t="s">
        <v>4104</v>
      </c>
      <c r="E52" s="218" t="s">
        <v>4247</v>
      </c>
      <c r="F52" s="53"/>
      <c r="G52" s="67" t="str">
        <f>VLOOKUP(D52,ACUAN,4,FALSE)</f>
        <v>PENINGKATAN JALAN SP. BERINGIN-BERINGIN (PELEBARAN)</v>
      </c>
      <c r="H52" s="396" t="str">
        <f>VLOOKUP(D52,ACUAN,5,FALSE)</f>
        <v>04.13.01.03.06</v>
      </c>
      <c r="I52" s="396">
        <f>VLOOKUP(D52,ACUAN,6,FALSE)</f>
        <v>0</v>
      </c>
      <c r="J52" s="396">
        <f>VLOOKUP(D52,ACUAN,7,FALSE)</f>
        <v>0</v>
      </c>
      <c r="K52" s="398">
        <f>VLOOKUP(D52,ACUAN,8,FALSE)</f>
        <v>0</v>
      </c>
      <c r="L52" s="396">
        <f>VLOOKUP(D52,ACUAN,9,FALSE)</f>
        <v>0</v>
      </c>
      <c r="M52" s="398">
        <f>VLOOKUP(D52,ACUAN,10,FALSE)</f>
        <v>0</v>
      </c>
      <c r="N52" s="396" t="str">
        <f>VLOOKUP(D52,ACUAN,11,FALSE)</f>
        <v>SIMP. BERINGIN - BERINGIN</v>
      </c>
      <c r="O52" s="396">
        <f>VLOOKUP(D52,ACUAN,12,FALSE)</f>
        <v>2017</v>
      </c>
      <c r="P52" s="396">
        <f>VLOOKUP(D52,ACUAN,13,FALSE)</f>
        <v>0</v>
      </c>
      <c r="Q52" s="396">
        <f>VLOOKUP(D52,ACUAN,14,FALSE)</f>
        <v>0</v>
      </c>
      <c r="R52" s="396">
        <f>VLOOKUP(D52,ACUAN,15,FALSE)</f>
        <v>0</v>
      </c>
      <c r="S52" s="396" t="str">
        <f>VLOOKUP(D52,ACUAN,16,FALSE)</f>
        <v>APBD</v>
      </c>
      <c r="T52" s="397">
        <f>VLOOKUP(D52,ACUAN,17,FALSE)</f>
        <v>907988800</v>
      </c>
      <c r="U52" s="396">
        <f>VLOOKUP(D52,ACUAN,18,FALSE)</f>
        <v>0</v>
      </c>
      <c r="V52" s="396">
        <f>VLOOKUP(D52,ACUAN,19,FALSE)</f>
        <v>0</v>
      </c>
      <c r="W52" s="206" t="str">
        <f t="shared" si="18"/>
        <v>04.13.01</v>
      </c>
      <c r="X52" s="207" t="str">
        <f t="shared" si="19"/>
        <v>Jalan</v>
      </c>
      <c r="Y52" s="207">
        <f t="shared" si="20"/>
        <v>10</v>
      </c>
      <c r="Z52" s="233">
        <f t="shared" si="21"/>
        <v>90798879</v>
      </c>
      <c r="AA52" s="208">
        <f t="shared" si="22"/>
        <v>0</v>
      </c>
      <c r="AB52" s="233">
        <f t="shared" si="23"/>
        <v>0</v>
      </c>
      <c r="AC52" s="233"/>
      <c r="AD52" s="233"/>
      <c r="AE52" s="233"/>
      <c r="AF52" s="238"/>
      <c r="AG52" s="238">
        <f t="shared" si="27"/>
        <v>90798879</v>
      </c>
      <c r="AH52" s="238">
        <f t="shared" si="28"/>
        <v>90798879</v>
      </c>
      <c r="AI52" s="261">
        <f t="shared" si="29"/>
        <v>2017</v>
      </c>
      <c r="AJ52" s="233">
        <f t="shared" si="30"/>
        <v>817189921</v>
      </c>
    </row>
    <row r="53" spans="1:36" s="116" customFormat="1" ht="35.25" customHeight="1" x14ac:dyDescent="0.2">
      <c r="A53" s="116">
        <v>17</v>
      </c>
      <c r="B53" s="116" t="str">
        <f t="shared" si="1"/>
        <v>SINAMBEK - STADION OLAHRAGA</v>
      </c>
      <c r="D53" s="116" t="s">
        <v>3865</v>
      </c>
      <c r="E53" s="218" t="s">
        <v>4247</v>
      </c>
      <c r="F53" s="53"/>
      <c r="G53" s="67" t="str">
        <f t="shared" si="31"/>
        <v>JALAN KABUPATEN LOKAL</v>
      </c>
      <c r="H53" s="396" t="str">
        <f t="shared" si="32"/>
        <v>04.13.01.03.06</v>
      </c>
      <c r="I53" s="396">
        <f t="shared" si="33"/>
        <v>0</v>
      </c>
      <c r="J53" s="396" t="str">
        <f t="shared" si="34"/>
        <v>BATU KERIKIL</v>
      </c>
      <c r="K53" s="398" t="str">
        <f t="shared" si="35"/>
        <v>2500</v>
      </c>
      <c r="L53" s="396">
        <f t="shared" si="36"/>
        <v>20</v>
      </c>
      <c r="M53" s="398">
        <f t="shared" si="37"/>
        <v>50000</v>
      </c>
      <c r="N53" s="396" t="str">
        <f t="shared" si="38"/>
        <v>SINAMBEK - STADION OLAH RAGA</v>
      </c>
      <c r="O53" s="396">
        <f t="shared" si="39"/>
        <v>2001</v>
      </c>
      <c r="P53" s="396">
        <f t="shared" si="40"/>
        <v>0</v>
      </c>
      <c r="Q53" s="396">
        <f t="shared" si="41"/>
        <v>0</v>
      </c>
      <c r="R53" s="396" t="str">
        <f t="shared" si="42"/>
        <v>12.04.06.05.01.00</v>
      </c>
      <c r="S53" s="396" t="str">
        <f t="shared" si="43"/>
        <v>APBD</v>
      </c>
      <c r="T53" s="397">
        <f t="shared" si="44"/>
        <v>675000000</v>
      </c>
      <c r="U53" s="396" t="str">
        <f t="shared" si="45"/>
        <v>B</v>
      </c>
      <c r="V53" s="396">
        <f t="shared" si="46"/>
        <v>0</v>
      </c>
      <c r="W53" s="206" t="str">
        <f t="shared" si="18"/>
        <v>04.13.01</v>
      </c>
      <c r="X53" s="207" t="str">
        <f t="shared" si="19"/>
        <v>Jalan</v>
      </c>
      <c r="Y53" s="207">
        <f t="shared" si="20"/>
        <v>10</v>
      </c>
      <c r="Z53" s="233">
        <f t="shared" si="21"/>
        <v>67499999</v>
      </c>
      <c r="AA53" s="208">
        <f t="shared" si="22"/>
        <v>10</v>
      </c>
      <c r="AB53" s="233">
        <f t="shared" si="23"/>
        <v>674999990</v>
      </c>
      <c r="AC53" s="233">
        <f>IF(T53-10=AB53,0,Z53)</f>
        <v>0</v>
      </c>
      <c r="AD53" s="233">
        <f t="shared" si="24"/>
        <v>0</v>
      </c>
      <c r="AE53" s="233">
        <f t="shared" si="25"/>
        <v>0</v>
      </c>
      <c r="AF53" s="238">
        <f t="shared" si="26"/>
        <v>0</v>
      </c>
      <c r="AG53" s="238">
        <f t="shared" si="27"/>
        <v>0</v>
      </c>
      <c r="AH53" s="238">
        <f t="shared" si="28"/>
        <v>674999990</v>
      </c>
      <c r="AI53" s="261">
        <f t="shared" si="29"/>
        <v>2001</v>
      </c>
      <c r="AJ53" s="233">
        <f t="shared" si="30"/>
        <v>10</v>
      </c>
    </row>
    <row r="54" spans="1:36" s="116" customFormat="1" ht="35.25" customHeight="1" x14ac:dyDescent="0.2">
      <c r="A54" s="116">
        <v>17</v>
      </c>
      <c r="B54" s="116" t="str">
        <f t="shared" si="1"/>
        <v>SINAMBEK - STADION OLAHRAGA</v>
      </c>
      <c r="D54" s="116" t="s">
        <v>3866</v>
      </c>
      <c r="E54" s="218" t="s">
        <v>4247</v>
      </c>
      <c r="F54" s="53"/>
      <c r="G54" s="67" t="str">
        <f t="shared" si="31"/>
        <v>PENINGKATAN JALAN SINAMBEK - SPORT CENTRE (ASPAL 1,447 KM)</v>
      </c>
      <c r="H54" s="396" t="str">
        <f t="shared" si="32"/>
        <v>04.13.01.03.06</v>
      </c>
      <c r="I54" s="396">
        <f t="shared" si="33"/>
        <v>0</v>
      </c>
      <c r="J54" s="396" t="str">
        <f t="shared" si="34"/>
        <v>Aspal</v>
      </c>
      <c r="K54" s="398">
        <f t="shared" si="35"/>
        <v>0</v>
      </c>
      <c r="L54" s="396">
        <f t="shared" si="36"/>
        <v>0</v>
      </c>
      <c r="M54" s="398">
        <f t="shared" si="37"/>
        <v>1447</v>
      </c>
      <c r="N54" s="396" t="str">
        <f t="shared" si="38"/>
        <v>SINAMBEK - SPORT CENTRE</v>
      </c>
      <c r="O54" s="396">
        <f t="shared" si="39"/>
        <v>2011</v>
      </c>
      <c r="P54" s="396">
        <f t="shared" si="40"/>
        <v>0</v>
      </c>
      <c r="Q54" s="396">
        <f t="shared" si="41"/>
        <v>0</v>
      </c>
      <c r="R54" s="396">
        <f t="shared" si="42"/>
        <v>0</v>
      </c>
      <c r="S54" s="396" t="str">
        <f t="shared" si="43"/>
        <v>APBD</v>
      </c>
      <c r="T54" s="397">
        <f t="shared" si="44"/>
        <v>562181911.29999995</v>
      </c>
      <c r="U54" s="396" t="str">
        <f t="shared" si="45"/>
        <v>B</v>
      </c>
      <c r="V54" s="396">
        <f t="shared" si="46"/>
        <v>0</v>
      </c>
      <c r="W54" s="206" t="str">
        <f t="shared" si="18"/>
        <v>04.13.01</v>
      </c>
      <c r="X54" s="207" t="str">
        <f t="shared" si="19"/>
        <v>Jalan</v>
      </c>
      <c r="Y54" s="207">
        <f t="shared" si="20"/>
        <v>10</v>
      </c>
      <c r="Z54" s="233">
        <f t="shared" si="21"/>
        <v>56218190.129999995</v>
      </c>
      <c r="AA54" s="208">
        <f t="shared" si="22"/>
        <v>2</v>
      </c>
      <c r="AB54" s="233">
        <f t="shared" si="23"/>
        <v>112436380.25999999</v>
      </c>
      <c r="AC54" s="233">
        <f>IF(T54-10=AB54,0,Z54)</f>
        <v>56218190.129999995</v>
      </c>
      <c r="AD54" s="233">
        <f t="shared" si="24"/>
        <v>56218190.129999995</v>
      </c>
      <c r="AE54" s="233">
        <f t="shared" si="25"/>
        <v>56218190.129999995</v>
      </c>
      <c r="AF54" s="238">
        <f t="shared" si="26"/>
        <v>56218190.129999995</v>
      </c>
      <c r="AG54" s="238">
        <f t="shared" si="27"/>
        <v>56218190.129999995</v>
      </c>
      <c r="AH54" s="238">
        <f t="shared" si="28"/>
        <v>393527330.90999997</v>
      </c>
      <c r="AI54" s="261">
        <f t="shared" si="29"/>
        <v>2011</v>
      </c>
      <c r="AJ54" s="233">
        <f t="shared" si="30"/>
        <v>168654580.38999999</v>
      </c>
    </row>
    <row r="55" spans="1:36" s="116" customFormat="1" ht="35.25" customHeight="1" x14ac:dyDescent="0.2">
      <c r="A55" s="116">
        <v>17</v>
      </c>
      <c r="B55" s="116" t="str">
        <f>VLOOKUP(A55,RUAS,2,FALSE)</f>
        <v>SINAMBEK - STADION OLAHRAGA</v>
      </c>
      <c r="D55" s="116" t="s">
        <v>4112</v>
      </c>
      <c r="E55" s="218" t="s">
        <v>4247</v>
      </c>
      <c r="F55" s="53"/>
      <c r="G55" s="67" t="str">
        <f>VLOOKUP(D55,ACUAN,4,FALSE)</f>
        <v>PEMELIHARAAN BERKALA BOX CULVERT JALAN MENUJU SPORT CENTRE</v>
      </c>
      <c r="H55" s="396" t="str">
        <f>VLOOKUP(D55,ACUAN,5,FALSE)</f>
        <v>04.13.01.03.06</v>
      </c>
      <c r="I55" s="396">
        <f>VLOOKUP(D55,ACUAN,6,FALSE)</f>
        <v>0</v>
      </c>
      <c r="J55" s="396">
        <f>VLOOKUP(D55,ACUAN,7,FALSE)</f>
        <v>0</v>
      </c>
      <c r="K55" s="398">
        <f>VLOOKUP(D55,ACUAN,8,FALSE)</f>
        <v>0</v>
      </c>
      <c r="L55" s="396">
        <f>VLOOKUP(D55,ACUAN,9,FALSE)</f>
        <v>0</v>
      </c>
      <c r="M55" s="398">
        <f>VLOOKUP(D55,ACUAN,10,FALSE)</f>
        <v>0</v>
      </c>
      <c r="N55" s="396" t="str">
        <f>VLOOKUP(D55,ACUAN,11,FALSE)</f>
        <v>SPORT CENTRE</v>
      </c>
      <c r="O55" s="396">
        <f>VLOOKUP(D55,ACUAN,12,FALSE)</f>
        <v>2014</v>
      </c>
      <c r="P55" s="396">
        <f>VLOOKUP(D55,ACUAN,13,FALSE)</f>
        <v>0</v>
      </c>
      <c r="Q55" s="396">
        <f>VLOOKUP(D55,ACUAN,14,FALSE)</f>
        <v>0</v>
      </c>
      <c r="R55" s="396">
        <f>VLOOKUP(D55,ACUAN,15,FALSE)</f>
        <v>0</v>
      </c>
      <c r="S55" s="396">
        <f>VLOOKUP(D55,ACUAN,16,FALSE)</f>
        <v>0</v>
      </c>
      <c r="T55" s="397">
        <f>VLOOKUP(D55,ACUAN,17,FALSE)</f>
        <v>197719954</v>
      </c>
      <c r="U55" s="396">
        <f>VLOOKUP(D55,ACUAN,18,FALSE)</f>
        <v>0</v>
      </c>
      <c r="V55" s="396">
        <f>VLOOKUP(D55,ACUAN,19,FALSE)</f>
        <v>0</v>
      </c>
      <c r="W55" s="206" t="str">
        <f t="shared" si="18"/>
        <v>04.13.01</v>
      </c>
      <c r="X55" s="207" t="str">
        <f t="shared" si="19"/>
        <v>Jalan</v>
      </c>
      <c r="Y55" s="207">
        <f t="shared" si="20"/>
        <v>10</v>
      </c>
      <c r="Z55" s="233">
        <f t="shared" si="21"/>
        <v>19771994.399999999</v>
      </c>
      <c r="AA55" s="208">
        <f t="shared" si="22"/>
        <v>0</v>
      </c>
      <c r="AB55" s="233">
        <f t="shared" si="23"/>
        <v>0</v>
      </c>
      <c r="AC55" s="233">
        <f>IF(T55-10=AB55,0,Z55)</f>
        <v>19771994.399999999</v>
      </c>
      <c r="AD55" s="233">
        <f t="shared" si="24"/>
        <v>19771994.399999999</v>
      </c>
      <c r="AE55" s="233">
        <f t="shared" si="25"/>
        <v>19771994.399999999</v>
      </c>
      <c r="AF55" s="238">
        <f t="shared" si="26"/>
        <v>19771994.399999999</v>
      </c>
      <c r="AG55" s="238">
        <f t="shared" si="27"/>
        <v>19771994.399999999</v>
      </c>
      <c r="AH55" s="238">
        <f t="shared" si="28"/>
        <v>98859972</v>
      </c>
      <c r="AI55" s="261">
        <f t="shared" si="29"/>
        <v>2014</v>
      </c>
      <c r="AJ55" s="233">
        <f t="shared" si="30"/>
        <v>98859982</v>
      </c>
    </row>
    <row r="56" spans="1:36" s="116" customFormat="1" ht="35.25" customHeight="1" x14ac:dyDescent="0.2">
      <c r="A56" s="116">
        <v>17</v>
      </c>
      <c r="B56" s="116" t="str">
        <f>VLOOKUP(A56,RUAS,2,FALSE)</f>
        <v>SINAMBEK - STADION OLAHRAGA</v>
      </c>
      <c r="D56" s="116" t="s">
        <v>4132</v>
      </c>
      <c r="E56" s="218" t="s">
        <v>4247</v>
      </c>
      <c r="F56" s="53"/>
      <c r="G56" s="67" t="str">
        <f>VLOOKUP(D56,ACUAN,4,FALSE)</f>
        <v>PEMBUATAN BOX CULVERT GOR JALUR DUA</v>
      </c>
      <c r="H56" s="396" t="str">
        <f>VLOOKUP(D56,ACUAN,5,FALSE)</f>
        <v>04.13.01.03.06</v>
      </c>
      <c r="I56" s="396">
        <f>VLOOKUP(D56,ACUAN,6,FALSE)</f>
        <v>0</v>
      </c>
      <c r="J56" s="396">
        <f>VLOOKUP(D56,ACUAN,7,FALSE)</f>
        <v>0</v>
      </c>
      <c r="K56" s="398">
        <f>VLOOKUP(D56,ACUAN,8,FALSE)</f>
        <v>0</v>
      </c>
      <c r="L56" s="396">
        <f>VLOOKUP(D56,ACUAN,9,FALSE)</f>
        <v>0</v>
      </c>
      <c r="M56" s="398">
        <f>VLOOKUP(D56,ACUAN,10,FALSE)</f>
        <v>0</v>
      </c>
      <c r="N56" s="396" t="str">
        <f>VLOOKUP(D56,ACUAN,11,FALSE)</f>
        <v>GOR JALUR DUA</v>
      </c>
      <c r="O56" s="396">
        <f>VLOOKUP(D56,ACUAN,12,FALSE)</f>
        <v>2015</v>
      </c>
      <c r="P56" s="396">
        <f>VLOOKUP(D56,ACUAN,13,FALSE)</f>
        <v>0</v>
      </c>
      <c r="Q56" s="396">
        <f>VLOOKUP(D56,ACUAN,14,FALSE)</f>
        <v>0</v>
      </c>
      <c r="R56" s="396">
        <f>VLOOKUP(D56,ACUAN,15,FALSE)</f>
        <v>0</v>
      </c>
      <c r="S56" s="396" t="str">
        <f>VLOOKUP(D56,ACUAN,16,FALSE)</f>
        <v>APBD</v>
      </c>
      <c r="T56" s="397">
        <f>VLOOKUP(D56,ACUAN,17,FALSE)</f>
        <v>193212995</v>
      </c>
      <c r="U56" s="396">
        <f>VLOOKUP(D56,ACUAN,18,FALSE)</f>
        <v>0</v>
      </c>
      <c r="V56" s="396">
        <f>VLOOKUP(D56,ACUAN,19,FALSE)</f>
        <v>0</v>
      </c>
      <c r="W56" s="206" t="str">
        <f t="shared" si="18"/>
        <v>04.13.01</v>
      </c>
      <c r="X56" s="207" t="str">
        <f t="shared" si="19"/>
        <v>Jalan</v>
      </c>
      <c r="Y56" s="207">
        <f t="shared" si="20"/>
        <v>10</v>
      </c>
      <c r="Z56" s="233">
        <f t="shared" si="21"/>
        <v>19321298.5</v>
      </c>
      <c r="AA56" s="208">
        <f t="shared" si="22"/>
        <v>0</v>
      </c>
      <c r="AB56" s="233">
        <f t="shared" si="23"/>
        <v>0</v>
      </c>
      <c r="AC56" s="233"/>
      <c r="AD56" s="233">
        <f t="shared" si="24"/>
        <v>19321298.5</v>
      </c>
      <c r="AE56" s="233">
        <f t="shared" si="25"/>
        <v>19321298.5</v>
      </c>
      <c r="AF56" s="238">
        <f t="shared" si="26"/>
        <v>19321298.5</v>
      </c>
      <c r="AG56" s="238">
        <f t="shared" si="27"/>
        <v>19321298.5</v>
      </c>
      <c r="AH56" s="238">
        <f t="shared" si="28"/>
        <v>77285194</v>
      </c>
      <c r="AI56" s="261">
        <f t="shared" si="29"/>
        <v>2015</v>
      </c>
      <c r="AJ56" s="233">
        <f t="shared" si="30"/>
        <v>115927801</v>
      </c>
    </row>
    <row r="57" spans="1:36" s="116" customFormat="1" ht="35.25" customHeight="1" x14ac:dyDescent="0.2">
      <c r="A57" s="116">
        <v>27</v>
      </c>
      <c r="B57" s="116" t="str">
        <f t="shared" si="1"/>
        <v>JL. SEB. TELUK - SIBEROBAH</v>
      </c>
      <c r="D57" s="116" t="s">
        <v>3873</v>
      </c>
      <c r="E57" s="218" t="s">
        <v>4247</v>
      </c>
      <c r="F57" s="53"/>
      <c r="G57" s="67" t="str">
        <f t="shared" si="31"/>
        <v>JALAN KABUPATEN LOKAL</v>
      </c>
      <c r="H57" s="396" t="str">
        <f t="shared" si="32"/>
        <v>04.13.01.03.06</v>
      </c>
      <c r="I57" s="396">
        <f t="shared" si="33"/>
        <v>0</v>
      </c>
      <c r="J57" s="396" t="str">
        <f t="shared" si="34"/>
        <v>BATU KERIKIL</v>
      </c>
      <c r="K57" s="398">
        <f t="shared" si="35"/>
        <v>14000</v>
      </c>
      <c r="L57" s="396">
        <f t="shared" si="36"/>
        <v>8</v>
      </c>
      <c r="M57" s="398">
        <f t="shared" si="37"/>
        <v>112000</v>
      </c>
      <c r="N57" s="396" t="str">
        <f t="shared" si="38"/>
        <v>SEBERANG TALUK - SIBEROBAH</v>
      </c>
      <c r="O57" s="396">
        <f t="shared" si="39"/>
        <v>2001</v>
      </c>
      <c r="P57" s="396">
        <f t="shared" si="40"/>
        <v>0</v>
      </c>
      <c r="Q57" s="396">
        <f t="shared" si="41"/>
        <v>0</v>
      </c>
      <c r="R57" s="396" t="str">
        <f t="shared" si="42"/>
        <v>12.04.06.05.01.00</v>
      </c>
      <c r="S57" s="396" t="str">
        <f t="shared" si="43"/>
        <v>APBD</v>
      </c>
      <c r="T57" s="397">
        <f t="shared" si="44"/>
        <v>9359649503.9899998</v>
      </c>
      <c r="U57" s="396" t="str">
        <f t="shared" si="45"/>
        <v>B</v>
      </c>
      <c r="V57" s="396">
        <f t="shared" si="46"/>
        <v>0</v>
      </c>
      <c r="W57" s="206" t="str">
        <f t="shared" si="18"/>
        <v>04.13.01</v>
      </c>
      <c r="X57" s="207" t="str">
        <f t="shared" si="19"/>
        <v>Jalan</v>
      </c>
      <c r="Y57" s="207">
        <f t="shared" si="20"/>
        <v>10</v>
      </c>
      <c r="Z57" s="233">
        <f t="shared" si="21"/>
        <v>935964949.39899993</v>
      </c>
      <c r="AA57" s="208">
        <f t="shared" si="22"/>
        <v>10</v>
      </c>
      <c r="AB57" s="233">
        <f t="shared" si="23"/>
        <v>9359649493.9899998</v>
      </c>
      <c r="AC57" s="233">
        <f>IF(T57-10=AB57,0,Z57)</f>
        <v>0</v>
      </c>
      <c r="AD57" s="233">
        <f t="shared" si="24"/>
        <v>0</v>
      </c>
      <c r="AE57" s="233">
        <f t="shared" si="25"/>
        <v>0</v>
      </c>
      <c r="AF57" s="238">
        <f t="shared" si="26"/>
        <v>0</v>
      </c>
      <c r="AG57" s="238">
        <f t="shared" si="27"/>
        <v>0</v>
      </c>
      <c r="AH57" s="238">
        <f t="shared" si="28"/>
        <v>9359649493.9899998</v>
      </c>
      <c r="AI57" s="261">
        <f t="shared" si="29"/>
        <v>2001</v>
      </c>
      <c r="AJ57" s="233">
        <f t="shared" si="30"/>
        <v>10</v>
      </c>
    </row>
    <row r="58" spans="1:36" s="116" customFormat="1" ht="35.25" customHeight="1" x14ac:dyDescent="0.2">
      <c r="A58" s="116">
        <v>27</v>
      </c>
      <c r="B58" s="116" t="str">
        <f t="shared" si="1"/>
        <v>JL. SEB. TELUK - SIBEROBAH</v>
      </c>
      <c r="D58" s="116" t="s">
        <v>3874</v>
      </c>
      <c r="E58" s="218" t="s">
        <v>4247</v>
      </c>
      <c r="F58" s="53"/>
      <c r="G58" s="67" t="str">
        <f t="shared" si="31"/>
        <v>PENINGKATAN JALAN SEBERANG TALUK - SIBEROBAH (ASPAL)  (DAK)</v>
      </c>
      <c r="H58" s="396" t="str">
        <f t="shared" si="32"/>
        <v>04.13.01.03.06</v>
      </c>
      <c r="I58" s="396">
        <f t="shared" si="33"/>
        <v>0</v>
      </c>
      <c r="J58" s="396">
        <f t="shared" si="34"/>
        <v>0</v>
      </c>
      <c r="K58" s="398">
        <f t="shared" si="35"/>
        <v>0</v>
      </c>
      <c r="L58" s="396">
        <f t="shared" si="36"/>
        <v>0</v>
      </c>
      <c r="M58" s="398">
        <f t="shared" si="37"/>
        <v>0</v>
      </c>
      <c r="N58" s="396" t="str">
        <f t="shared" si="38"/>
        <v>SEBERANG TALUK - SIBEROBAH</v>
      </c>
      <c r="O58" s="396">
        <f t="shared" si="39"/>
        <v>2017</v>
      </c>
      <c r="P58" s="396">
        <f t="shared" si="40"/>
        <v>0</v>
      </c>
      <c r="Q58" s="396">
        <f t="shared" si="41"/>
        <v>0</v>
      </c>
      <c r="R58" s="396">
        <f t="shared" si="42"/>
        <v>0</v>
      </c>
      <c r="S58" s="396" t="str">
        <f t="shared" si="43"/>
        <v>APBD</v>
      </c>
      <c r="T58" s="397">
        <f t="shared" si="44"/>
        <v>6777598368</v>
      </c>
      <c r="U58" s="396">
        <f t="shared" si="45"/>
        <v>0</v>
      </c>
      <c r="V58" s="396">
        <f t="shared" si="46"/>
        <v>0</v>
      </c>
      <c r="W58" s="206" t="str">
        <f t="shared" si="18"/>
        <v>04.13.01</v>
      </c>
      <c r="X58" s="207" t="str">
        <f t="shared" si="19"/>
        <v>Jalan</v>
      </c>
      <c r="Y58" s="207">
        <f t="shared" si="20"/>
        <v>10</v>
      </c>
      <c r="Z58" s="233">
        <f t="shared" si="21"/>
        <v>677759835.79999995</v>
      </c>
      <c r="AA58" s="208">
        <f t="shared" si="22"/>
        <v>0</v>
      </c>
      <c r="AB58" s="233">
        <f t="shared" si="23"/>
        <v>0</v>
      </c>
      <c r="AC58" s="233"/>
      <c r="AD58" s="233"/>
      <c r="AE58" s="233"/>
      <c r="AF58" s="238"/>
      <c r="AG58" s="238">
        <f t="shared" si="27"/>
        <v>677759835.79999995</v>
      </c>
      <c r="AH58" s="238">
        <f t="shared" si="28"/>
        <v>677759835.79999995</v>
      </c>
      <c r="AI58" s="261">
        <f t="shared" si="29"/>
        <v>2017</v>
      </c>
      <c r="AJ58" s="233">
        <f t="shared" si="30"/>
        <v>6099838532.1999998</v>
      </c>
    </row>
    <row r="59" spans="1:36" s="116" customFormat="1" ht="35.25" customHeight="1" x14ac:dyDescent="0.2">
      <c r="A59" s="116">
        <v>27</v>
      </c>
      <c r="B59" s="116" t="str">
        <f t="shared" si="1"/>
        <v>JL. SEB. TELUK - SIBEROBAH</v>
      </c>
      <c r="D59" s="116" t="s">
        <v>3875</v>
      </c>
      <c r="E59" s="218" t="s">
        <v>4247</v>
      </c>
      <c r="F59" s="53"/>
      <c r="G59" s="67" t="str">
        <f t="shared" si="31"/>
        <v>PENGAWASAN PENINGKATAN JALAN SEBERANG TALUK - SIBEROBAH  (DAK)</v>
      </c>
      <c r="H59" s="396" t="str">
        <f t="shared" si="32"/>
        <v>04.13.01.03.06</v>
      </c>
      <c r="I59" s="396">
        <f t="shared" si="33"/>
        <v>0</v>
      </c>
      <c r="J59" s="396">
        <f t="shared" si="34"/>
        <v>0</v>
      </c>
      <c r="K59" s="398">
        <f t="shared" si="35"/>
        <v>0</v>
      </c>
      <c r="L59" s="396">
        <f t="shared" si="36"/>
        <v>0</v>
      </c>
      <c r="M59" s="398">
        <f t="shared" si="37"/>
        <v>0</v>
      </c>
      <c r="N59" s="396" t="str">
        <f t="shared" si="38"/>
        <v>SEBERANG TALUK - SIBEROBAH</v>
      </c>
      <c r="O59" s="396">
        <f t="shared" si="39"/>
        <v>2017</v>
      </c>
      <c r="P59" s="396">
        <f t="shared" si="40"/>
        <v>0</v>
      </c>
      <c r="Q59" s="396">
        <f t="shared" si="41"/>
        <v>0</v>
      </c>
      <c r="R59" s="396">
        <f t="shared" si="42"/>
        <v>0</v>
      </c>
      <c r="S59" s="396" t="str">
        <f t="shared" si="43"/>
        <v>APBD</v>
      </c>
      <c r="T59" s="397">
        <f t="shared" si="44"/>
        <v>246620000</v>
      </c>
      <c r="U59" s="396">
        <f t="shared" si="45"/>
        <v>0</v>
      </c>
      <c r="V59" s="396">
        <f t="shared" si="46"/>
        <v>0</v>
      </c>
      <c r="W59" s="206" t="str">
        <f t="shared" si="18"/>
        <v>04.13.01</v>
      </c>
      <c r="X59" s="207" t="str">
        <f t="shared" si="19"/>
        <v>Jalan</v>
      </c>
      <c r="Y59" s="207">
        <f t="shared" si="20"/>
        <v>10</v>
      </c>
      <c r="Z59" s="233">
        <f t="shared" si="21"/>
        <v>24661999</v>
      </c>
      <c r="AA59" s="208">
        <f t="shared" si="22"/>
        <v>0</v>
      </c>
      <c r="AB59" s="233">
        <f t="shared" si="23"/>
        <v>0</v>
      </c>
      <c r="AC59" s="233"/>
      <c r="AD59" s="233"/>
      <c r="AE59" s="233"/>
      <c r="AF59" s="238"/>
      <c r="AG59" s="238">
        <f t="shared" si="27"/>
        <v>24661999</v>
      </c>
      <c r="AH59" s="238">
        <f t="shared" si="28"/>
        <v>24661999</v>
      </c>
      <c r="AI59" s="261">
        <f t="shared" si="29"/>
        <v>2017</v>
      </c>
      <c r="AJ59" s="233">
        <f t="shared" si="30"/>
        <v>221958001</v>
      </c>
    </row>
    <row r="60" spans="1:36" s="116" customFormat="1" ht="35.25" customHeight="1" x14ac:dyDescent="0.2">
      <c r="A60" s="116">
        <v>27</v>
      </c>
      <c r="B60" s="116" t="str">
        <f t="shared" si="1"/>
        <v>JL. SEB. TELUK - SIBEROBAH</v>
      </c>
      <c r="D60" s="116" t="s">
        <v>3876</v>
      </c>
      <c r="E60" s="218" t="s">
        <v>4247</v>
      </c>
      <c r="F60" s="53"/>
      <c r="G60" s="67" t="str">
        <f t="shared" si="31"/>
        <v>PENINGKATAN JALAN SEBERANG TALUK - SIBEROBAH (ASPAL) (DAK)</v>
      </c>
      <c r="H60" s="396" t="str">
        <f t="shared" si="32"/>
        <v>04.13.01.03.06</v>
      </c>
      <c r="I60" s="396">
        <f t="shared" si="33"/>
        <v>0</v>
      </c>
      <c r="J60" s="396">
        <f t="shared" si="34"/>
        <v>0</v>
      </c>
      <c r="K60" s="398">
        <f t="shared" si="35"/>
        <v>0</v>
      </c>
      <c r="L60" s="396">
        <f t="shared" si="36"/>
        <v>0</v>
      </c>
      <c r="M60" s="398">
        <f t="shared" si="37"/>
        <v>0</v>
      </c>
      <c r="N60" s="396" t="str">
        <f t="shared" si="38"/>
        <v>SEBERANG TALUK - SIBEROBAH</v>
      </c>
      <c r="O60" s="396">
        <f t="shared" si="39"/>
        <v>2018</v>
      </c>
      <c r="P60" s="396">
        <f t="shared" si="40"/>
        <v>0</v>
      </c>
      <c r="Q60" s="396">
        <f t="shared" si="41"/>
        <v>0</v>
      </c>
      <c r="R60" s="396">
        <f t="shared" si="42"/>
        <v>0</v>
      </c>
      <c r="S60" s="396" t="str">
        <f t="shared" si="43"/>
        <v>APBD</v>
      </c>
      <c r="T60" s="397">
        <f t="shared" si="44"/>
        <v>6869993050</v>
      </c>
      <c r="U60" s="396">
        <f t="shared" si="45"/>
        <v>0</v>
      </c>
      <c r="V60" s="396">
        <f t="shared" si="46"/>
        <v>0</v>
      </c>
      <c r="W60" s="206" t="str">
        <f t="shared" si="18"/>
        <v>04.13.01</v>
      </c>
      <c r="X60" s="207" t="str">
        <f t="shared" si="19"/>
        <v>Jalan</v>
      </c>
      <c r="Y60" s="207">
        <f t="shared" si="20"/>
        <v>10</v>
      </c>
      <c r="Z60" s="233">
        <f t="shared" si="21"/>
        <v>686999304</v>
      </c>
      <c r="AA60" s="208">
        <f t="shared" si="22"/>
        <v>0</v>
      </c>
      <c r="AB60" s="233">
        <f t="shared" si="23"/>
        <v>0</v>
      </c>
      <c r="AC60" s="233"/>
      <c r="AD60" s="233"/>
      <c r="AE60" s="233"/>
      <c r="AF60" s="238"/>
      <c r="AG60" s="238"/>
      <c r="AH60" s="238">
        <f t="shared" si="28"/>
        <v>0</v>
      </c>
      <c r="AI60" s="261">
        <f t="shared" si="29"/>
        <v>2018</v>
      </c>
      <c r="AJ60" s="233">
        <f t="shared" si="30"/>
        <v>6869993050</v>
      </c>
    </row>
    <row r="61" spans="1:36" s="116" customFormat="1" ht="35.25" customHeight="1" x14ac:dyDescent="0.2">
      <c r="A61" s="116">
        <v>28</v>
      </c>
      <c r="B61" s="116" t="str">
        <f t="shared" si="1"/>
        <v>PL. KOMANG SENTAJO - KOTO SENTAJO</v>
      </c>
      <c r="D61" s="116" t="s">
        <v>3877</v>
      </c>
      <c r="E61" s="218" t="s">
        <v>4247</v>
      </c>
      <c r="F61" s="53"/>
      <c r="G61" s="67" t="str">
        <f t="shared" si="31"/>
        <v>JALAN PULAU KOMANG - KOTO SENTAJO (2,5 KM)</v>
      </c>
      <c r="H61" s="396" t="str">
        <f t="shared" si="32"/>
        <v>04.13.01.03.06</v>
      </c>
      <c r="I61" s="396">
        <f t="shared" si="33"/>
        <v>0</v>
      </c>
      <c r="J61" s="396" t="str">
        <f t="shared" si="34"/>
        <v>Aspal</v>
      </c>
      <c r="K61" s="398">
        <f t="shared" si="35"/>
        <v>6500</v>
      </c>
      <c r="L61" s="396">
        <f t="shared" si="36"/>
        <v>8</v>
      </c>
      <c r="M61" s="398">
        <f t="shared" si="37"/>
        <v>52000</v>
      </c>
      <c r="N61" s="396" t="str">
        <f t="shared" si="38"/>
        <v>PULAU KOMANG - KOTO SENTAJO</v>
      </c>
      <c r="O61" s="396">
        <f t="shared" si="39"/>
        <v>2007</v>
      </c>
      <c r="P61" s="396">
        <f t="shared" si="40"/>
        <v>0</v>
      </c>
      <c r="Q61" s="396">
        <f t="shared" si="41"/>
        <v>0</v>
      </c>
      <c r="R61" s="396">
        <f t="shared" si="42"/>
        <v>0</v>
      </c>
      <c r="S61" s="396" t="str">
        <f t="shared" si="43"/>
        <v>APBD</v>
      </c>
      <c r="T61" s="397">
        <f t="shared" si="44"/>
        <v>3995337645.1723862</v>
      </c>
      <c r="U61" s="396" t="str">
        <f t="shared" si="45"/>
        <v>B</v>
      </c>
      <c r="V61" s="396">
        <f t="shared" si="46"/>
        <v>0</v>
      </c>
      <c r="W61" s="206" t="str">
        <f t="shared" si="18"/>
        <v>04.13.01</v>
      </c>
      <c r="X61" s="207" t="str">
        <f t="shared" si="19"/>
        <v>Jalan</v>
      </c>
      <c r="Y61" s="207">
        <f t="shared" si="20"/>
        <v>10</v>
      </c>
      <c r="Z61" s="233">
        <f t="shared" si="21"/>
        <v>399533763.51723862</v>
      </c>
      <c r="AA61" s="208">
        <f t="shared" si="22"/>
        <v>6</v>
      </c>
      <c r="AB61" s="233">
        <f t="shared" si="23"/>
        <v>2397202581.1034317</v>
      </c>
      <c r="AC61" s="233">
        <f>IF(T61-10=AB61,0,Z61)</f>
        <v>399533763.51723862</v>
      </c>
      <c r="AD61" s="233">
        <f t="shared" si="24"/>
        <v>399533763.51723862</v>
      </c>
      <c r="AE61" s="233">
        <f t="shared" si="25"/>
        <v>399533763.51723862</v>
      </c>
      <c r="AF61" s="238">
        <f t="shared" si="26"/>
        <v>399533763.51723862</v>
      </c>
      <c r="AG61" s="238">
        <f t="shared" si="27"/>
        <v>0</v>
      </c>
      <c r="AH61" s="238">
        <f t="shared" si="28"/>
        <v>3995337635.1723862</v>
      </c>
      <c r="AI61" s="261">
        <f t="shared" si="29"/>
        <v>2007</v>
      </c>
      <c r="AJ61" s="233">
        <f t="shared" si="30"/>
        <v>10</v>
      </c>
    </row>
    <row r="62" spans="1:36" s="116" customFormat="1" ht="35.25" customHeight="1" x14ac:dyDescent="0.2">
      <c r="A62" s="116">
        <v>28</v>
      </c>
      <c r="B62" s="116" t="str">
        <f t="shared" si="1"/>
        <v>PL. KOMANG SENTAJO - KOTO SENTAJO</v>
      </c>
      <c r="D62" s="116" t="s">
        <v>3878</v>
      </c>
      <c r="E62" s="218" t="s">
        <v>4247</v>
      </c>
      <c r="F62" s="53"/>
      <c r="G62" s="67" t="str">
        <f t="shared" si="31"/>
        <v>PEMBUATAN 1 UNIT BOX CULVERT 3 X 4 M (DOUBLE) RUAS JALAN PULAU KOMANG - KOTO SENTAJO</v>
      </c>
      <c r="H62" s="396" t="str">
        <f t="shared" si="32"/>
        <v>04.13.01.03.06</v>
      </c>
      <c r="I62" s="396">
        <f t="shared" si="33"/>
        <v>0</v>
      </c>
      <c r="J62" s="396" t="str">
        <f t="shared" si="34"/>
        <v>Beton</v>
      </c>
      <c r="K62" s="398">
        <f t="shared" si="35"/>
        <v>3</v>
      </c>
      <c r="L62" s="396">
        <f t="shared" si="36"/>
        <v>4</v>
      </c>
      <c r="M62" s="398">
        <f t="shared" si="37"/>
        <v>12</v>
      </c>
      <c r="N62" s="396" t="str">
        <f t="shared" si="38"/>
        <v>PULAU KOMANG - KOTO SENTAJO</v>
      </c>
      <c r="O62" s="396">
        <f t="shared" si="39"/>
        <v>2007</v>
      </c>
      <c r="P62" s="396">
        <f t="shared" si="40"/>
        <v>0</v>
      </c>
      <c r="Q62" s="396">
        <f t="shared" si="41"/>
        <v>0</v>
      </c>
      <c r="R62" s="396">
        <f t="shared" si="42"/>
        <v>0</v>
      </c>
      <c r="S62" s="396" t="str">
        <f t="shared" si="43"/>
        <v>APBD</v>
      </c>
      <c r="T62" s="397">
        <f t="shared" si="44"/>
        <v>786272302.10877895</v>
      </c>
      <c r="U62" s="396" t="str">
        <f t="shared" si="45"/>
        <v>B</v>
      </c>
      <c r="V62" s="396">
        <f t="shared" si="46"/>
        <v>0</v>
      </c>
      <c r="W62" s="206" t="str">
        <f t="shared" si="18"/>
        <v>04.13.01</v>
      </c>
      <c r="X62" s="207" t="str">
        <f t="shared" si="19"/>
        <v>Jalan</v>
      </c>
      <c r="Y62" s="207">
        <f t="shared" si="20"/>
        <v>10</v>
      </c>
      <c r="Z62" s="233">
        <f t="shared" si="21"/>
        <v>78627229.210877895</v>
      </c>
      <c r="AA62" s="208">
        <f t="shared" si="22"/>
        <v>6</v>
      </c>
      <c r="AB62" s="233">
        <f t="shared" si="23"/>
        <v>471763375.26526737</v>
      </c>
      <c r="AC62" s="233">
        <f>IF(T62-10=AB62,0,Z62)</f>
        <v>78627229.210877895</v>
      </c>
      <c r="AD62" s="233">
        <f t="shared" si="24"/>
        <v>78627229.210877895</v>
      </c>
      <c r="AE62" s="233">
        <f t="shared" si="25"/>
        <v>78627229.210877895</v>
      </c>
      <c r="AF62" s="238">
        <f t="shared" si="26"/>
        <v>78627229.210877895</v>
      </c>
      <c r="AG62" s="238">
        <f t="shared" si="27"/>
        <v>0</v>
      </c>
      <c r="AH62" s="238">
        <f t="shared" si="28"/>
        <v>786272292.10877895</v>
      </c>
      <c r="AI62" s="261">
        <f t="shared" si="29"/>
        <v>2007</v>
      </c>
      <c r="AJ62" s="233">
        <f t="shared" si="30"/>
        <v>10</v>
      </c>
    </row>
    <row r="63" spans="1:36" s="116" customFormat="1" ht="35.25" customHeight="1" x14ac:dyDescent="0.2">
      <c r="A63" s="116">
        <v>28</v>
      </c>
      <c r="B63" s="116" t="str">
        <f t="shared" si="1"/>
        <v>PL. KOMANG SENTAJO - KOTO SENTAJO</v>
      </c>
      <c r="D63" s="116" t="s">
        <v>3879</v>
      </c>
      <c r="E63" s="218" t="s">
        <v>4247</v>
      </c>
      <c r="F63" s="53"/>
      <c r="G63" s="67" t="str">
        <f t="shared" si="31"/>
        <v>PENINGKATAN JALAN ARENA PACU JALUR - PULAU KOMANG SENTAJO (ASPAL)</v>
      </c>
      <c r="H63" s="396" t="str">
        <f t="shared" si="32"/>
        <v>04.13.01.03.06</v>
      </c>
      <c r="I63" s="396">
        <f t="shared" si="33"/>
        <v>0</v>
      </c>
      <c r="J63" s="396">
        <f t="shared" si="34"/>
        <v>0</v>
      </c>
      <c r="K63" s="398">
        <f t="shared" si="35"/>
        <v>0</v>
      </c>
      <c r="L63" s="396">
        <f t="shared" si="36"/>
        <v>0</v>
      </c>
      <c r="M63" s="398">
        <f t="shared" si="37"/>
        <v>0</v>
      </c>
      <c r="N63" s="396" t="str">
        <f t="shared" si="38"/>
        <v>PULAU KOMANG - KOTO SENTAJO</v>
      </c>
      <c r="O63" s="396">
        <f t="shared" si="39"/>
        <v>2014</v>
      </c>
      <c r="P63" s="396">
        <f t="shared" si="40"/>
        <v>0</v>
      </c>
      <c r="Q63" s="396">
        <f t="shared" si="41"/>
        <v>0</v>
      </c>
      <c r="R63" s="396">
        <f t="shared" si="42"/>
        <v>0</v>
      </c>
      <c r="S63" s="396">
        <f t="shared" si="43"/>
        <v>0</v>
      </c>
      <c r="T63" s="397">
        <f t="shared" si="44"/>
        <v>1914115810</v>
      </c>
      <c r="U63" s="396">
        <f t="shared" si="45"/>
        <v>0</v>
      </c>
      <c r="V63" s="396">
        <f t="shared" si="46"/>
        <v>0</v>
      </c>
      <c r="W63" s="206" t="str">
        <f t="shared" si="18"/>
        <v>04.13.01</v>
      </c>
      <c r="X63" s="207" t="str">
        <f t="shared" si="19"/>
        <v>Jalan</v>
      </c>
      <c r="Y63" s="207">
        <f t="shared" si="20"/>
        <v>10</v>
      </c>
      <c r="Z63" s="233">
        <f t="shared" si="21"/>
        <v>191411580</v>
      </c>
      <c r="AA63" s="208">
        <f t="shared" si="22"/>
        <v>0</v>
      </c>
      <c r="AB63" s="233">
        <f t="shared" si="23"/>
        <v>0</v>
      </c>
      <c r="AC63" s="233">
        <f>IF(T63-10=AB63,0,Z63)</f>
        <v>191411580</v>
      </c>
      <c r="AD63" s="233">
        <f t="shared" si="24"/>
        <v>191411580</v>
      </c>
      <c r="AE63" s="233">
        <f t="shared" si="25"/>
        <v>191411580</v>
      </c>
      <c r="AF63" s="238">
        <f t="shared" si="26"/>
        <v>191411580</v>
      </c>
      <c r="AG63" s="238">
        <f t="shared" si="27"/>
        <v>191411580</v>
      </c>
      <c r="AH63" s="238">
        <f t="shared" si="28"/>
        <v>957057900</v>
      </c>
      <c r="AI63" s="261">
        <f t="shared" si="29"/>
        <v>2014</v>
      </c>
      <c r="AJ63" s="233">
        <f t="shared" si="30"/>
        <v>957057910</v>
      </c>
    </row>
    <row r="64" spans="1:36" s="116" customFormat="1" ht="35.25" customHeight="1" x14ac:dyDescent="0.2">
      <c r="A64" s="116">
        <v>28</v>
      </c>
      <c r="B64" s="116" t="str">
        <f t="shared" si="1"/>
        <v>PL. KOMANG SENTAJO - KOTO SENTAJO</v>
      </c>
      <c r="D64" s="116" t="s">
        <v>3880</v>
      </c>
      <c r="E64" s="218" t="s">
        <v>4247</v>
      </c>
      <c r="F64" s="53"/>
      <c r="G64" s="67" t="str">
        <f t="shared" si="31"/>
        <v>PENINGKATAN JALAN PL. KOMANG - KOTO SENTAJO (MENUJU ARENA PACU JALUR) (ASPAL)</v>
      </c>
      <c r="H64" s="396" t="str">
        <f t="shared" si="32"/>
        <v>04.13.01.03.06</v>
      </c>
      <c r="I64" s="396">
        <f t="shared" si="33"/>
        <v>0</v>
      </c>
      <c r="J64" s="396">
        <f t="shared" si="34"/>
        <v>0</v>
      </c>
      <c r="K64" s="398">
        <f t="shared" si="35"/>
        <v>0</v>
      </c>
      <c r="L64" s="396">
        <f t="shared" si="36"/>
        <v>0</v>
      </c>
      <c r="M64" s="398">
        <f t="shared" si="37"/>
        <v>0</v>
      </c>
      <c r="N64" s="396" t="str">
        <f t="shared" si="38"/>
        <v>PULAU KOMANG - KOTO SENTAJO</v>
      </c>
      <c r="O64" s="396">
        <f t="shared" si="39"/>
        <v>2016</v>
      </c>
      <c r="P64" s="396">
        <f t="shared" si="40"/>
        <v>0</v>
      </c>
      <c r="Q64" s="396">
        <f t="shared" si="41"/>
        <v>0</v>
      </c>
      <c r="R64" s="396">
        <f t="shared" si="42"/>
        <v>0</v>
      </c>
      <c r="S64" s="396" t="str">
        <f t="shared" si="43"/>
        <v>APBD</v>
      </c>
      <c r="T64" s="397">
        <f t="shared" si="44"/>
        <v>998055696.14999998</v>
      </c>
      <c r="U64" s="396">
        <f t="shared" si="45"/>
        <v>0</v>
      </c>
      <c r="V64" s="396">
        <f t="shared" si="46"/>
        <v>0</v>
      </c>
      <c r="W64" s="206" t="str">
        <f t="shared" si="18"/>
        <v>04.13.01</v>
      </c>
      <c r="X64" s="207" t="str">
        <f t="shared" si="19"/>
        <v>Jalan</v>
      </c>
      <c r="Y64" s="207">
        <f t="shared" si="20"/>
        <v>10</v>
      </c>
      <c r="Z64" s="233">
        <f t="shared" si="21"/>
        <v>99805568.614999995</v>
      </c>
      <c r="AA64" s="208">
        <f t="shared" si="22"/>
        <v>0</v>
      </c>
      <c r="AB64" s="233">
        <f t="shared" si="23"/>
        <v>0</v>
      </c>
      <c r="AC64" s="233"/>
      <c r="AD64" s="233"/>
      <c r="AE64" s="233">
        <f t="shared" si="25"/>
        <v>99805568.614999995</v>
      </c>
      <c r="AF64" s="238">
        <f t="shared" si="26"/>
        <v>99805568.614999995</v>
      </c>
      <c r="AG64" s="238">
        <f t="shared" si="27"/>
        <v>99805568.614999995</v>
      </c>
      <c r="AH64" s="238">
        <f t="shared" si="28"/>
        <v>299416705.84499997</v>
      </c>
      <c r="AI64" s="261">
        <f t="shared" si="29"/>
        <v>2016</v>
      </c>
      <c r="AJ64" s="233">
        <f t="shared" si="30"/>
        <v>698638990.30500007</v>
      </c>
    </row>
    <row r="65" spans="1:36" s="116" customFormat="1" ht="35.25" customHeight="1" x14ac:dyDescent="0.2">
      <c r="A65" s="116">
        <v>35</v>
      </c>
      <c r="B65" s="116" t="str">
        <f t="shared" si="1"/>
        <v>JL. TUGU TIMUR - JL. SUDIRMAN</v>
      </c>
      <c r="D65" s="116" t="s">
        <v>3886</v>
      </c>
      <c r="E65" s="218" t="s">
        <v>4798</v>
      </c>
      <c r="F65" s="53"/>
      <c r="G65" s="67" t="str">
        <f t="shared" si="31"/>
        <v>JALAN KABUPATEN LOKAL</v>
      </c>
      <c r="H65" s="396" t="str">
        <f t="shared" si="32"/>
        <v>04.13.01.03.06</v>
      </c>
      <c r="I65" s="396">
        <f t="shared" si="33"/>
        <v>0</v>
      </c>
      <c r="J65" s="396" t="str">
        <f t="shared" si="34"/>
        <v>ASPAL HOTMIX</v>
      </c>
      <c r="K65" s="398" t="str">
        <f t="shared" si="35"/>
        <v>128</v>
      </c>
      <c r="L65" s="396">
        <f t="shared" si="36"/>
        <v>8</v>
      </c>
      <c r="M65" s="398">
        <f t="shared" si="37"/>
        <v>1024</v>
      </c>
      <c r="N65" s="396" t="str">
        <f t="shared" si="38"/>
        <v>JL. TUGU TIMUR - JL. SUDIRMAN</v>
      </c>
      <c r="O65" s="396">
        <f t="shared" si="39"/>
        <v>2001</v>
      </c>
      <c r="P65" s="396">
        <f t="shared" si="40"/>
        <v>0</v>
      </c>
      <c r="Q65" s="396">
        <f t="shared" si="41"/>
        <v>0</v>
      </c>
      <c r="R65" s="396" t="str">
        <f t="shared" si="42"/>
        <v>12.04.06.05.01.00</v>
      </c>
      <c r="S65" s="396" t="str">
        <f t="shared" si="43"/>
        <v>APBD</v>
      </c>
      <c r="T65" s="397">
        <f t="shared" si="44"/>
        <v>145600000</v>
      </c>
      <c r="U65" s="396" t="str">
        <f t="shared" si="45"/>
        <v>B</v>
      </c>
      <c r="V65" s="396">
        <f t="shared" si="46"/>
        <v>0</v>
      </c>
      <c r="W65" s="206" t="str">
        <f t="shared" ref="W65:W81" si="64">LEFT(H65,8)</f>
        <v>04.13.01</v>
      </c>
      <c r="X65" s="207" t="str">
        <f t="shared" ref="X65:X81" si="65">VLOOKUP(W65,UE,3,FALSE)</f>
        <v>Jalan</v>
      </c>
      <c r="Y65" s="207">
        <f t="shared" ref="Y65:Y81" si="66">VLOOKUP(W65,UE,4,FALSE)</f>
        <v>10</v>
      </c>
      <c r="Z65" s="233">
        <f t="shared" ref="Z65:Z81" si="67">(T65-10)/Y65</f>
        <v>14559999</v>
      </c>
      <c r="AA65" s="208">
        <f t="shared" si="22"/>
        <v>10</v>
      </c>
      <c r="AB65" s="233">
        <f t="shared" ref="AB65:AB81" si="68">IF(AA65&gt;Y65,T65-10,Z65*AA65)</f>
        <v>145599990</v>
      </c>
      <c r="AC65" s="233">
        <f t="shared" ref="AC65:AC81" si="69">IF(T65-10=AB65,0,Z65)</f>
        <v>0</v>
      </c>
      <c r="AD65" s="233">
        <f t="shared" ref="AD65:AD81" si="70">IF(T65-10=AB65+AC65,0,Z65)</f>
        <v>0</v>
      </c>
      <c r="AE65" s="233">
        <f t="shared" ref="AE65:AE81" si="71">IF(T65-10=AB65+AC65+AD65,0,Z65)</f>
        <v>0</v>
      </c>
      <c r="AF65" s="238">
        <f t="shared" ref="AF65:AF81" si="72">IF(T65-10=AC65+AD65+AE65+AB65,0,Z65)</f>
        <v>0</v>
      </c>
      <c r="AG65" s="238">
        <f t="shared" ref="AG65:AG81" si="73">IF(T65-10=AC65+AD65+AE65+AB65+AF65,0,Z65)</f>
        <v>0</v>
      </c>
      <c r="AH65" s="238">
        <f t="shared" si="28"/>
        <v>145599990</v>
      </c>
      <c r="AI65" s="261">
        <f t="shared" ref="AI65:AI81" si="74">O65</f>
        <v>2001</v>
      </c>
      <c r="AJ65" s="233">
        <f t="shared" ref="AJ65:AJ81" si="75">T65-AH65</f>
        <v>10</v>
      </c>
    </row>
    <row r="66" spans="1:36" s="116" customFormat="1" ht="35.25" customHeight="1" x14ac:dyDescent="0.2">
      <c r="A66" s="116">
        <v>35</v>
      </c>
      <c r="B66" s="116" t="str">
        <f t="shared" si="1"/>
        <v>JL. TUGU TIMUR - JL. SUDIRMAN</v>
      </c>
      <c r="D66" s="116" t="s">
        <v>3887</v>
      </c>
      <c r="E66" s="218" t="s">
        <v>4798</v>
      </c>
      <c r="F66" s="53"/>
      <c r="G66" s="67" t="str">
        <f t="shared" si="31"/>
        <v>JALAN KABUPATEN LOKAL</v>
      </c>
      <c r="H66" s="396" t="str">
        <f t="shared" si="32"/>
        <v>04.13.01.03.06</v>
      </c>
      <c r="I66" s="396">
        <f t="shared" si="33"/>
        <v>0</v>
      </c>
      <c r="J66" s="396" t="str">
        <f t="shared" si="34"/>
        <v>ASPAL HOTMIX</v>
      </c>
      <c r="K66" s="398" t="str">
        <f t="shared" si="35"/>
        <v>128</v>
      </c>
      <c r="L66" s="396">
        <f t="shared" si="36"/>
        <v>8</v>
      </c>
      <c r="M66" s="398">
        <f t="shared" si="37"/>
        <v>1024</v>
      </c>
      <c r="N66" s="396" t="str">
        <f t="shared" si="38"/>
        <v>JL. TUGU TIMUR - JL. SUDIRMAN</v>
      </c>
      <c r="O66" s="396">
        <f t="shared" si="39"/>
        <v>2001</v>
      </c>
      <c r="P66" s="396">
        <f t="shared" si="40"/>
        <v>0</v>
      </c>
      <c r="Q66" s="396">
        <f t="shared" si="41"/>
        <v>0</v>
      </c>
      <c r="R66" s="396" t="str">
        <f t="shared" si="42"/>
        <v>12.04.06.05.01.00</v>
      </c>
      <c r="S66" s="396" t="str">
        <f t="shared" si="43"/>
        <v>APBD</v>
      </c>
      <c r="T66" s="397">
        <f t="shared" si="44"/>
        <v>145600000</v>
      </c>
      <c r="U66" s="396" t="str">
        <f t="shared" si="45"/>
        <v>B</v>
      </c>
      <c r="V66" s="396">
        <f t="shared" si="46"/>
        <v>0</v>
      </c>
      <c r="W66" s="206" t="str">
        <f t="shared" si="64"/>
        <v>04.13.01</v>
      </c>
      <c r="X66" s="207" t="str">
        <f t="shared" si="65"/>
        <v>Jalan</v>
      </c>
      <c r="Y66" s="207">
        <f t="shared" si="66"/>
        <v>10</v>
      </c>
      <c r="Z66" s="233">
        <f t="shared" si="67"/>
        <v>14559999</v>
      </c>
      <c r="AA66" s="208">
        <f t="shared" si="22"/>
        <v>10</v>
      </c>
      <c r="AB66" s="233">
        <f t="shared" si="68"/>
        <v>145599990</v>
      </c>
      <c r="AC66" s="233">
        <f t="shared" si="69"/>
        <v>0</v>
      </c>
      <c r="AD66" s="233">
        <f t="shared" si="70"/>
        <v>0</v>
      </c>
      <c r="AE66" s="233">
        <f t="shared" si="71"/>
        <v>0</v>
      </c>
      <c r="AF66" s="238">
        <f t="shared" si="72"/>
        <v>0</v>
      </c>
      <c r="AG66" s="238">
        <f t="shared" si="73"/>
        <v>0</v>
      </c>
      <c r="AH66" s="238">
        <f t="shared" si="28"/>
        <v>145599990</v>
      </c>
      <c r="AI66" s="261">
        <f t="shared" si="74"/>
        <v>2001</v>
      </c>
      <c r="AJ66" s="233">
        <f t="shared" si="75"/>
        <v>10</v>
      </c>
    </row>
    <row r="67" spans="1:36" s="116" customFormat="1" ht="35.25" customHeight="1" x14ac:dyDescent="0.2">
      <c r="A67" s="116">
        <v>52</v>
      </c>
      <c r="B67" s="116" t="str">
        <f t="shared" ref="B67:B89" si="76">VLOOKUP(A67,RUAS,2,FALSE)</f>
        <v>TERMINAL - SENTAJO</v>
      </c>
      <c r="D67" s="116" t="s">
        <v>3904</v>
      </c>
      <c r="E67" s="218" t="s">
        <v>4247</v>
      </c>
      <c r="F67" s="53"/>
      <c r="G67" s="67" t="str">
        <f t="shared" si="31"/>
        <v>JALAN TERMINAL-SENTAJO (ASPAL)</v>
      </c>
      <c r="H67" s="396" t="str">
        <f t="shared" si="32"/>
        <v>04.13.01.03.06</v>
      </c>
      <c r="I67" s="396">
        <f t="shared" si="33"/>
        <v>0</v>
      </c>
      <c r="J67" s="396" t="str">
        <f t="shared" si="34"/>
        <v>ASPAL HOTMIX</v>
      </c>
      <c r="K67" s="398">
        <f t="shared" si="35"/>
        <v>8000</v>
      </c>
      <c r="L67" s="396">
        <f t="shared" si="36"/>
        <v>0</v>
      </c>
      <c r="M67" s="398">
        <f t="shared" si="37"/>
        <v>108000</v>
      </c>
      <c r="N67" s="396" t="str">
        <f t="shared" si="38"/>
        <v>TERMINAL - SENTAJO</v>
      </c>
      <c r="O67" s="396">
        <f t="shared" si="39"/>
        <v>2001</v>
      </c>
      <c r="P67" s="396">
        <f t="shared" si="40"/>
        <v>0</v>
      </c>
      <c r="Q67" s="396">
        <f t="shared" si="41"/>
        <v>0</v>
      </c>
      <c r="R67" s="396" t="str">
        <f t="shared" si="42"/>
        <v>12.04.06.05.01.00</v>
      </c>
      <c r="S67" s="396" t="str">
        <f t="shared" si="43"/>
        <v>APBD</v>
      </c>
      <c r="T67" s="397">
        <f t="shared" si="44"/>
        <v>31588402771.260002</v>
      </c>
      <c r="U67" s="396" t="str">
        <f t="shared" si="45"/>
        <v>B</v>
      </c>
      <c r="V67" s="396">
        <f t="shared" si="46"/>
        <v>0</v>
      </c>
      <c r="W67" s="206" t="str">
        <f t="shared" si="64"/>
        <v>04.13.01</v>
      </c>
      <c r="X67" s="207" t="str">
        <f t="shared" si="65"/>
        <v>Jalan</v>
      </c>
      <c r="Y67" s="207">
        <f t="shared" si="66"/>
        <v>10</v>
      </c>
      <c r="Z67" s="233">
        <f t="shared" si="67"/>
        <v>3158840276.1260004</v>
      </c>
      <c r="AA67" s="208">
        <f t="shared" si="22"/>
        <v>10</v>
      </c>
      <c r="AB67" s="233">
        <f t="shared" si="68"/>
        <v>31588402761.260002</v>
      </c>
      <c r="AC67" s="233">
        <f t="shared" si="69"/>
        <v>0</v>
      </c>
      <c r="AD67" s="233">
        <f t="shared" si="70"/>
        <v>0</v>
      </c>
      <c r="AE67" s="233">
        <f t="shared" si="71"/>
        <v>0</v>
      </c>
      <c r="AF67" s="238">
        <f t="shared" si="72"/>
        <v>0</v>
      </c>
      <c r="AG67" s="238">
        <f t="shared" si="73"/>
        <v>0</v>
      </c>
      <c r="AH67" s="238">
        <f t="shared" si="28"/>
        <v>31588402761.260002</v>
      </c>
      <c r="AI67" s="261">
        <f t="shared" si="74"/>
        <v>2001</v>
      </c>
      <c r="AJ67" s="233">
        <f t="shared" si="75"/>
        <v>10</v>
      </c>
    </row>
    <row r="68" spans="1:36" s="116" customFormat="1" ht="35.25" customHeight="1" x14ac:dyDescent="0.2">
      <c r="A68" s="116">
        <v>52</v>
      </c>
      <c r="B68" s="116" t="str">
        <f t="shared" si="76"/>
        <v>TERMINAL - SENTAJO</v>
      </c>
      <c r="D68" s="116" t="s">
        <v>3905</v>
      </c>
      <c r="E68" s="218" t="s">
        <v>4247</v>
      </c>
      <c r="F68" s="53"/>
      <c r="G68" s="67" t="str">
        <f t="shared" si="31"/>
        <v xml:space="preserve"> JALAN TERMINAL - SENTAJO</v>
      </c>
      <c r="H68" s="396" t="str">
        <f t="shared" si="32"/>
        <v>04.13.01.03.06</v>
      </c>
      <c r="I68" s="396">
        <f t="shared" si="33"/>
        <v>0</v>
      </c>
      <c r="J68" s="396">
        <f t="shared" si="34"/>
        <v>0</v>
      </c>
      <c r="K68" s="398">
        <f t="shared" si="35"/>
        <v>0</v>
      </c>
      <c r="L68" s="396">
        <f t="shared" si="36"/>
        <v>0</v>
      </c>
      <c r="M68" s="398">
        <f t="shared" si="37"/>
        <v>0</v>
      </c>
      <c r="N68" s="396" t="str">
        <f t="shared" si="38"/>
        <v>TERMINAL - SENTAJO</v>
      </c>
      <c r="O68" s="396">
        <f t="shared" si="39"/>
        <v>2014</v>
      </c>
      <c r="P68" s="396">
        <f t="shared" si="40"/>
        <v>0</v>
      </c>
      <c r="Q68" s="396">
        <f t="shared" si="41"/>
        <v>0</v>
      </c>
      <c r="R68" s="396">
        <f t="shared" si="42"/>
        <v>0</v>
      </c>
      <c r="S68" s="396">
        <f t="shared" si="43"/>
        <v>0</v>
      </c>
      <c r="T68" s="397">
        <f t="shared" si="44"/>
        <v>49779000</v>
      </c>
      <c r="U68" s="396">
        <f t="shared" si="45"/>
        <v>0</v>
      </c>
      <c r="V68" s="396">
        <f t="shared" si="46"/>
        <v>0</v>
      </c>
      <c r="W68" s="206" t="str">
        <f t="shared" si="64"/>
        <v>04.13.01</v>
      </c>
      <c r="X68" s="207" t="str">
        <f t="shared" si="65"/>
        <v>Jalan</v>
      </c>
      <c r="Y68" s="207">
        <f t="shared" si="66"/>
        <v>10</v>
      </c>
      <c r="Z68" s="233">
        <f t="shared" si="67"/>
        <v>4977899</v>
      </c>
      <c r="AA68" s="208">
        <f t="shared" si="22"/>
        <v>0</v>
      </c>
      <c r="AB68" s="233">
        <f t="shared" si="68"/>
        <v>0</v>
      </c>
      <c r="AC68" s="233">
        <f t="shared" si="69"/>
        <v>4977899</v>
      </c>
      <c r="AD68" s="233">
        <f t="shared" si="70"/>
        <v>4977899</v>
      </c>
      <c r="AE68" s="233">
        <f t="shared" si="71"/>
        <v>4977899</v>
      </c>
      <c r="AF68" s="238">
        <f t="shared" si="72"/>
        <v>4977899</v>
      </c>
      <c r="AG68" s="238">
        <f t="shared" si="73"/>
        <v>4977899</v>
      </c>
      <c r="AH68" s="238">
        <f t="shared" si="28"/>
        <v>24889495</v>
      </c>
      <c r="AI68" s="261">
        <f t="shared" si="74"/>
        <v>2014</v>
      </c>
      <c r="AJ68" s="233">
        <f t="shared" si="75"/>
        <v>24889505</v>
      </c>
    </row>
    <row r="69" spans="1:36" s="116" customFormat="1" ht="35.25" customHeight="1" x14ac:dyDescent="0.2">
      <c r="A69" s="116">
        <v>52</v>
      </c>
      <c r="B69" s="116" t="str">
        <f t="shared" si="76"/>
        <v>TERMINAL - SENTAJO</v>
      </c>
      <c r="D69" s="116" t="s">
        <v>3906</v>
      </c>
      <c r="E69" s="218" t="s">
        <v>4247</v>
      </c>
      <c r="F69" s="53"/>
      <c r="G69" s="67" t="str">
        <f t="shared" si="31"/>
        <v>PEMBUATAN MEDIA JALAN TERMINAL TELUK KUANTAN - SENTAJO</v>
      </c>
      <c r="H69" s="396" t="str">
        <f t="shared" si="32"/>
        <v>04.13.01.03.06</v>
      </c>
      <c r="I69" s="396">
        <f t="shared" si="33"/>
        <v>0</v>
      </c>
      <c r="J69" s="396">
        <f t="shared" si="34"/>
        <v>0</v>
      </c>
      <c r="K69" s="398">
        <f t="shared" si="35"/>
        <v>0</v>
      </c>
      <c r="L69" s="396">
        <f t="shared" si="36"/>
        <v>0</v>
      </c>
      <c r="M69" s="398">
        <f t="shared" si="37"/>
        <v>0</v>
      </c>
      <c r="N69" s="396" t="str">
        <f t="shared" si="38"/>
        <v>TERMINAL - SENTAJO</v>
      </c>
      <c r="O69" s="396">
        <f t="shared" si="39"/>
        <v>2015</v>
      </c>
      <c r="P69" s="396">
        <f t="shared" si="40"/>
        <v>0</v>
      </c>
      <c r="Q69" s="396">
        <f t="shared" si="41"/>
        <v>0</v>
      </c>
      <c r="R69" s="396">
        <f t="shared" si="42"/>
        <v>0</v>
      </c>
      <c r="S69" s="396" t="str">
        <f t="shared" si="43"/>
        <v>APBD</v>
      </c>
      <c r="T69" s="397">
        <f t="shared" si="44"/>
        <v>1038080204</v>
      </c>
      <c r="U69" s="396">
        <f t="shared" si="45"/>
        <v>0</v>
      </c>
      <c r="V69" s="396">
        <f t="shared" si="46"/>
        <v>0</v>
      </c>
      <c r="W69" s="206" t="str">
        <f t="shared" si="64"/>
        <v>04.13.01</v>
      </c>
      <c r="X69" s="207" t="str">
        <f t="shared" si="65"/>
        <v>Jalan</v>
      </c>
      <c r="Y69" s="207">
        <f t="shared" si="66"/>
        <v>10</v>
      </c>
      <c r="Z69" s="233">
        <f t="shared" si="67"/>
        <v>103808019.40000001</v>
      </c>
      <c r="AA69" s="208">
        <f t="shared" si="22"/>
        <v>0</v>
      </c>
      <c r="AB69" s="233">
        <f t="shared" si="68"/>
        <v>0</v>
      </c>
      <c r="AC69" s="233"/>
      <c r="AD69" s="233">
        <f t="shared" si="70"/>
        <v>103808019.40000001</v>
      </c>
      <c r="AE69" s="233">
        <f t="shared" si="71"/>
        <v>103808019.40000001</v>
      </c>
      <c r="AF69" s="238">
        <f t="shared" si="72"/>
        <v>103808019.40000001</v>
      </c>
      <c r="AG69" s="238">
        <f t="shared" si="73"/>
        <v>103808019.40000001</v>
      </c>
      <c r="AH69" s="238">
        <f t="shared" si="28"/>
        <v>415232077.60000002</v>
      </c>
      <c r="AI69" s="261">
        <f t="shared" si="74"/>
        <v>2015</v>
      </c>
      <c r="AJ69" s="233">
        <f t="shared" si="75"/>
        <v>622848126.39999998</v>
      </c>
    </row>
    <row r="70" spans="1:36" s="116" customFormat="1" ht="35.25" customHeight="1" x14ac:dyDescent="0.2">
      <c r="A70" s="116">
        <v>52</v>
      </c>
      <c r="B70" s="116" t="str">
        <f t="shared" si="76"/>
        <v>TERMINAL - SENTAJO</v>
      </c>
      <c r="D70" s="116" t="s">
        <v>3907</v>
      </c>
      <c r="E70" s="218" t="s">
        <v>4247</v>
      </c>
      <c r="F70" s="53"/>
      <c r="G70" s="67" t="str">
        <f t="shared" si="31"/>
        <v>PEMBANGUNAN JLN. TERMINAL SENTAJO</v>
      </c>
      <c r="H70" s="396" t="str">
        <f t="shared" si="32"/>
        <v>04.13.01.03.06</v>
      </c>
      <c r="I70" s="396">
        <f t="shared" si="33"/>
        <v>0</v>
      </c>
      <c r="J70" s="396">
        <f t="shared" si="34"/>
        <v>0</v>
      </c>
      <c r="K70" s="398">
        <f t="shared" si="35"/>
        <v>0</v>
      </c>
      <c r="L70" s="396">
        <f t="shared" si="36"/>
        <v>0</v>
      </c>
      <c r="M70" s="398">
        <f t="shared" si="37"/>
        <v>0</v>
      </c>
      <c r="N70" s="396" t="str">
        <f t="shared" si="38"/>
        <v>TERMINAL - SENTAJO</v>
      </c>
      <c r="O70" s="396">
        <f t="shared" si="39"/>
        <v>2015</v>
      </c>
      <c r="P70" s="396">
        <f t="shared" si="40"/>
        <v>0</v>
      </c>
      <c r="Q70" s="396">
        <f t="shared" si="41"/>
        <v>0</v>
      </c>
      <c r="R70" s="396">
        <f t="shared" si="42"/>
        <v>0</v>
      </c>
      <c r="S70" s="396" t="str">
        <f t="shared" si="43"/>
        <v>APBD</v>
      </c>
      <c r="T70" s="397">
        <f t="shared" si="44"/>
        <v>194582579</v>
      </c>
      <c r="U70" s="396">
        <f t="shared" si="45"/>
        <v>0</v>
      </c>
      <c r="V70" s="396">
        <f t="shared" si="46"/>
        <v>0</v>
      </c>
      <c r="W70" s="206" t="str">
        <f t="shared" si="64"/>
        <v>04.13.01</v>
      </c>
      <c r="X70" s="207" t="str">
        <f t="shared" si="65"/>
        <v>Jalan</v>
      </c>
      <c r="Y70" s="207">
        <f t="shared" si="66"/>
        <v>10</v>
      </c>
      <c r="Z70" s="233">
        <f t="shared" si="67"/>
        <v>19458256.899999999</v>
      </c>
      <c r="AA70" s="208">
        <f t="shared" si="22"/>
        <v>0</v>
      </c>
      <c r="AB70" s="233">
        <f t="shared" si="68"/>
        <v>0</v>
      </c>
      <c r="AC70" s="233"/>
      <c r="AD70" s="233">
        <f t="shared" si="70"/>
        <v>19458256.899999999</v>
      </c>
      <c r="AE70" s="233">
        <f t="shared" si="71"/>
        <v>19458256.899999999</v>
      </c>
      <c r="AF70" s="238">
        <f t="shared" si="72"/>
        <v>19458256.899999999</v>
      </c>
      <c r="AG70" s="238">
        <f t="shared" si="73"/>
        <v>19458256.899999999</v>
      </c>
      <c r="AH70" s="238">
        <f t="shared" si="28"/>
        <v>77833027.599999994</v>
      </c>
      <c r="AI70" s="261">
        <f t="shared" si="74"/>
        <v>2015</v>
      </c>
      <c r="AJ70" s="233">
        <f t="shared" si="75"/>
        <v>116749551.40000001</v>
      </c>
    </row>
    <row r="71" spans="1:36" s="116" customFormat="1" ht="35.25" customHeight="1" x14ac:dyDescent="0.2">
      <c r="A71" s="116">
        <v>65</v>
      </c>
      <c r="B71" s="116" t="str">
        <f t="shared" si="76"/>
        <v>SIMP. STM BERINGIN - SAWAH</v>
      </c>
      <c r="D71" s="116" t="s">
        <v>3919</v>
      </c>
      <c r="E71" s="218" t="s">
        <v>4247</v>
      </c>
      <c r="F71" s="53"/>
      <c r="G71" s="67" t="str">
        <f t="shared" ref="G71:G96" si="77">VLOOKUP(D71,ACUAN,4,FALSE)</f>
        <v>JALAN KABUPATEN LOKAL</v>
      </c>
      <c r="H71" s="396" t="str">
        <f t="shared" ref="H71:H96" si="78">VLOOKUP(D71,ACUAN,5,FALSE)</f>
        <v>04.13.01.03.06</v>
      </c>
      <c r="I71" s="396">
        <f t="shared" ref="I71:I96" si="79">VLOOKUP(D71,ACUAN,6,FALSE)</f>
        <v>0</v>
      </c>
      <c r="J71" s="396" t="str">
        <f t="shared" ref="J71:J96" si="80">VLOOKUP(D71,ACUAN,7,FALSE)</f>
        <v>ASPAL HOTMIX</v>
      </c>
      <c r="K71" s="398" t="str">
        <f t="shared" ref="K71:K96" si="81">VLOOKUP(D71,ACUAN,8,FALSE)</f>
        <v>2500</v>
      </c>
      <c r="L71" s="396">
        <f t="shared" ref="L71:L96" si="82">VLOOKUP(D71,ACUAN,9,FALSE)</f>
        <v>0</v>
      </c>
      <c r="M71" s="398">
        <f t="shared" ref="M71:M96" si="83">VLOOKUP(D71,ACUAN,10,FALSE)</f>
        <v>38600</v>
      </c>
      <c r="N71" s="396" t="str">
        <f t="shared" ref="N71:N96" si="84">VLOOKUP(D71,ACUAN,11,FALSE)</f>
        <v>SIMP. STM BERINGIN - SAWAH</v>
      </c>
      <c r="O71" s="396">
        <f t="shared" ref="O71:O96" si="85">VLOOKUP(D71,ACUAN,12,FALSE)</f>
        <v>2001</v>
      </c>
      <c r="P71" s="396">
        <f t="shared" ref="P71:P96" si="86">VLOOKUP(D71,ACUAN,13,FALSE)</f>
        <v>0</v>
      </c>
      <c r="Q71" s="396">
        <f t="shared" ref="Q71:Q96" si="87">VLOOKUP(D71,ACUAN,14,FALSE)</f>
        <v>0</v>
      </c>
      <c r="R71" s="396" t="str">
        <f t="shared" ref="R71:R96" si="88">VLOOKUP(D71,ACUAN,15,FALSE)</f>
        <v>12.04.06.05.01.00</v>
      </c>
      <c r="S71" s="396" t="str">
        <f t="shared" ref="S71:S96" si="89">VLOOKUP(D71,ACUAN,16,FALSE)</f>
        <v>APBD</v>
      </c>
      <c r="T71" s="397">
        <f t="shared" ref="T71:T96" si="90">VLOOKUP(D71,ACUAN,17,FALSE)</f>
        <v>4725000000</v>
      </c>
      <c r="U71" s="396" t="str">
        <f t="shared" ref="U71:U96" si="91">VLOOKUP(D71,ACUAN,18,FALSE)</f>
        <v>B</v>
      </c>
      <c r="V71" s="396">
        <f t="shared" ref="V71:V96" si="92">VLOOKUP(D71,ACUAN,19,FALSE)</f>
        <v>0</v>
      </c>
      <c r="W71" s="206" t="str">
        <f t="shared" si="64"/>
        <v>04.13.01</v>
      </c>
      <c r="X71" s="207" t="str">
        <f t="shared" si="65"/>
        <v>Jalan</v>
      </c>
      <c r="Y71" s="207">
        <f t="shared" si="66"/>
        <v>10</v>
      </c>
      <c r="Z71" s="233">
        <f t="shared" si="67"/>
        <v>472499999</v>
      </c>
      <c r="AA71" s="208">
        <f t="shared" si="22"/>
        <v>10</v>
      </c>
      <c r="AB71" s="233">
        <f t="shared" si="68"/>
        <v>4724999990</v>
      </c>
      <c r="AC71" s="233">
        <f t="shared" si="69"/>
        <v>0</v>
      </c>
      <c r="AD71" s="233">
        <f t="shared" si="70"/>
        <v>0</v>
      </c>
      <c r="AE71" s="233">
        <f t="shared" si="71"/>
        <v>0</v>
      </c>
      <c r="AF71" s="238">
        <f t="shared" si="72"/>
        <v>0</v>
      </c>
      <c r="AG71" s="238">
        <f t="shared" si="73"/>
        <v>0</v>
      </c>
      <c r="AH71" s="238">
        <f t="shared" si="28"/>
        <v>4724999990</v>
      </c>
      <c r="AI71" s="261">
        <f t="shared" si="74"/>
        <v>2001</v>
      </c>
      <c r="AJ71" s="233">
        <f t="shared" si="75"/>
        <v>10</v>
      </c>
    </row>
    <row r="72" spans="1:36" s="116" customFormat="1" ht="35.25" customHeight="1" x14ac:dyDescent="0.2">
      <c r="A72" s="116">
        <v>65</v>
      </c>
      <c r="B72" s="116" t="str">
        <f t="shared" si="76"/>
        <v>SIMP. STM BERINGIN - SAWAH</v>
      </c>
      <c r="D72" s="116" t="s">
        <v>3920</v>
      </c>
      <c r="E72" s="218" t="s">
        <v>4247</v>
      </c>
      <c r="F72" s="53"/>
      <c r="G72" s="67" t="str">
        <f t="shared" si="77"/>
        <v>JALAN STM - BERINGIN/MAN ASPAL 1,50 KM/ PELEBARAN JALAN) + DALAM KOTA TL. KUANTAN</v>
      </c>
      <c r="H72" s="396" t="str">
        <f t="shared" si="78"/>
        <v>04.13.01.03.06</v>
      </c>
      <c r="I72" s="396">
        <f t="shared" si="79"/>
        <v>0</v>
      </c>
      <c r="J72" s="396" t="str">
        <f t="shared" si="80"/>
        <v>Aspal</v>
      </c>
      <c r="K72" s="398">
        <f t="shared" si="81"/>
        <v>0</v>
      </c>
      <c r="L72" s="396">
        <f t="shared" si="82"/>
        <v>0</v>
      </c>
      <c r="M72" s="398">
        <f t="shared" si="83"/>
        <v>1500</v>
      </c>
      <c r="N72" s="396" t="str">
        <f t="shared" si="84"/>
        <v>STM - BERINGIN</v>
      </c>
      <c r="O72" s="396">
        <f t="shared" si="85"/>
        <v>2007</v>
      </c>
      <c r="P72" s="396">
        <f t="shared" si="86"/>
        <v>0</v>
      </c>
      <c r="Q72" s="396">
        <f t="shared" si="87"/>
        <v>0</v>
      </c>
      <c r="R72" s="396">
        <f t="shared" si="88"/>
        <v>0</v>
      </c>
      <c r="S72" s="396" t="str">
        <f t="shared" si="89"/>
        <v>APBD</v>
      </c>
      <c r="T72" s="397">
        <f t="shared" si="90"/>
        <v>1990033077.2583308</v>
      </c>
      <c r="U72" s="396" t="str">
        <f t="shared" si="91"/>
        <v>B</v>
      </c>
      <c r="V72" s="396">
        <f t="shared" si="92"/>
        <v>0</v>
      </c>
      <c r="W72" s="206" t="str">
        <f t="shared" si="64"/>
        <v>04.13.01</v>
      </c>
      <c r="X72" s="207" t="str">
        <f t="shared" si="65"/>
        <v>Jalan</v>
      </c>
      <c r="Y72" s="207">
        <f t="shared" si="66"/>
        <v>10</v>
      </c>
      <c r="Z72" s="233">
        <f t="shared" si="67"/>
        <v>199003306.72583309</v>
      </c>
      <c r="AA72" s="208">
        <f t="shared" si="22"/>
        <v>6</v>
      </c>
      <c r="AB72" s="233">
        <f t="shared" si="68"/>
        <v>1194019840.3549986</v>
      </c>
      <c r="AC72" s="233">
        <f t="shared" si="69"/>
        <v>199003306.72583309</v>
      </c>
      <c r="AD72" s="233">
        <f t="shared" si="70"/>
        <v>199003306.72583309</v>
      </c>
      <c r="AE72" s="233">
        <f t="shared" si="71"/>
        <v>199003306.72583309</v>
      </c>
      <c r="AF72" s="238">
        <f t="shared" si="72"/>
        <v>199003306.72583309</v>
      </c>
      <c r="AG72" s="238">
        <f t="shared" si="73"/>
        <v>0</v>
      </c>
      <c r="AH72" s="238">
        <f t="shared" si="28"/>
        <v>1990033067.2583313</v>
      </c>
      <c r="AI72" s="261">
        <f t="shared" si="74"/>
        <v>2007</v>
      </c>
      <c r="AJ72" s="233">
        <f t="shared" si="75"/>
        <v>9.9999995231628418</v>
      </c>
    </row>
    <row r="73" spans="1:36" s="116" customFormat="1" ht="35.25" customHeight="1" x14ac:dyDescent="0.2">
      <c r="A73" s="116">
        <v>65</v>
      </c>
      <c r="B73" s="116" t="str">
        <f t="shared" si="76"/>
        <v>SIMP. STM BERINGIN - SAWAH</v>
      </c>
      <c r="D73" s="116" t="s">
        <v>3921</v>
      </c>
      <c r="E73" s="218" t="s">
        <v>4247</v>
      </c>
      <c r="F73" s="53"/>
      <c r="G73" s="67" t="str">
        <f t="shared" si="77"/>
        <v>PENINGKATAN STRUKTUR JALAN STM - SAWAH</v>
      </c>
      <c r="H73" s="396" t="str">
        <f t="shared" si="78"/>
        <v>04.13.01.03.06</v>
      </c>
      <c r="I73" s="396">
        <f t="shared" si="79"/>
        <v>0</v>
      </c>
      <c r="J73" s="396">
        <f t="shared" si="80"/>
        <v>0</v>
      </c>
      <c r="K73" s="398">
        <f t="shared" si="81"/>
        <v>0</v>
      </c>
      <c r="L73" s="396">
        <f t="shared" si="82"/>
        <v>0</v>
      </c>
      <c r="M73" s="398">
        <f t="shared" si="83"/>
        <v>0</v>
      </c>
      <c r="N73" s="396" t="str">
        <f t="shared" si="84"/>
        <v>STM - SAWAH</v>
      </c>
      <c r="O73" s="396">
        <f t="shared" si="85"/>
        <v>2015</v>
      </c>
      <c r="P73" s="396">
        <f t="shared" si="86"/>
        <v>0</v>
      </c>
      <c r="Q73" s="396">
        <f t="shared" si="87"/>
        <v>0</v>
      </c>
      <c r="R73" s="396">
        <f t="shared" si="88"/>
        <v>0</v>
      </c>
      <c r="S73" s="396" t="str">
        <f t="shared" si="89"/>
        <v>APBD</v>
      </c>
      <c r="T73" s="397">
        <f t="shared" si="90"/>
        <v>5771596592</v>
      </c>
      <c r="U73" s="396">
        <f t="shared" si="91"/>
        <v>0</v>
      </c>
      <c r="V73" s="396">
        <f t="shared" si="92"/>
        <v>0</v>
      </c>
      <c r="W73" s="206" t="str">
        <f t="shared" si="64"/>
        <v>04.13.01</v>
      </c>
      <c r="X73" s="207" t="str">
        <f t="shared" si="65"/>
        <v>Jalan</v>
      </c>
      <c r="Y73" s="207">
        <f t="shared" si="66"/>
        <v>10</v>
      </c>
      <c r="Z73" s="233">
        <f t="shared" si="67"/>
        <v>577159658.20000005</v>
      </c>
      <c r="AA73" s="208">
        <f t="shared" si="22"/>
        <v>0</v>
      </c>
      <c r="AB73" s="233">
        <f t="shared" si="68"/>
        <v>0</v>
      </c>
      <c r="AC73" s="233"/>
      <c r="AD73" s="233">
        <f t="shared" si="70"/>
        <v>577159658.20000005</v>
      </c>
      <c r="AE73" s="233">
        <f t="shared" si="71"/>
        <v>577159658.20000005</v>
      </c>
      <c r="AF73" s="238">
        <f t="shared" si="72"/>
        <v>577159658.20000005</v>
      </c>
      <c r="AG73" s="238">
        <f t="shared" si="73"/>
        <v>577159658.20000005</v>
      </c>
      <c r="AH73" s="238">
        <f t="shared" si="28"/>
        <v>2308638632.8000002</v>
      </c>
      <c r="AI73" s="261">
        <f t="shared" si="74"/>
        <v>2015</v>
      </c>
      <c r="AJ73" s="233">
        <f t="shared" si="75"/>
        <v>3462957959.1999998</v>
      </c>
    </row>
    <row r="74" spans="1:36" s="116" customFormat="1" ht="35.25" customHeight="1" x14ac:dyDescent="0.2">
      <c r="A74" s="116">
        <v>65</v>
      </c>
      <c r="B74" s="116" t="str">
        <f t="shared" si="76"/>
        <v>SIMP. STM BERINGIN - SAWAH</v>
      </c>
      <c r="D74" s="116" t="s">
        <v>3922</v>
      </c>
      <c r="E74" s="218" t="s">
        <v>4247</v>
      </c>
      <c r="F74" s="53"/>
      <c r="G74" s="67" t="str">
        <f t="shared" si="77"/>
        <v>PENINGKATAN STRUKTUR JALAN STM - SAWAH (RIQID)</v>
      </c>
      <c r="H74" s="396" t="str">
        <f t="shared" si="78"/>
        <v>04.13.01.03.06</v>
      </c>
      <c r="I74" s="396">
        <f t="shared" si="79"/>
        <v>0</v>
      </c>
      <c r="J74" s="396">
        <f t="shared" si="80"/>
        <v>0</v>
      </c>
      <c r="K74" s="398">
        <f t="shared" si="81"/>
        <v>0</v>
      </c>
      <c r="L74" s="396">
        <f t="shared" si="82"/>
        <v>0</v>
      </c>
      <c r="M74" s="398">
        <f t="shared" si="83"/>
        <v>0</v>
      </c>
      <c r="N74" s="396" t="str">
        <f t="shared" si="84"/>
        <v>STM - SAWAH</v>
      </c>
      <c r="O74" s="396">
        <f t="shared" si="85"/>
        <v>2016</v>
      </c>
      <c r="P74" s="396">
        <f t="shared" si="86"/>
        <v>0</v>
      </c>
      <c r="Q74" s="396">
        <f t="shared" si="87"/>
        <v>0</v>
      </c>
      <c r="R74" s="396">
        <f t="shared" si="88"/>
        <v>0</v>
      </c>
      <c r="S74" s="396" t="str">
        <f t="shared" si="89"/>
        <v>APBD</v>
      </c>
      <c r="T74" s="397">
        <f t="shared" si="90"/>
        <v>9785377200</v>
      </c>
      <c r="U74" s="396">
        <f t="shared" si="91"/>
        <v>0</v>
      </c>
      <c r="V74" s="396">
        <f t="shared" si="92"/>
        <v>0</v>
      </c>
      <c r="W74" s="206" t="str">
        <f t="shared" si="64"/>
        <v>04.13.01</v>
      </c>
      <c r="X74" s="207" t="str">
        <f t="shared" si="65"/>
        <v>Jalan</v>
      </c>
      <c r="Y74" s="207">
        <f t="shared" si="66"/>
        <v>10</v>
      </c>
      <c r="Z74" s="233">
        <f t="shared" si="67"/>
        <v>978537719</v>
      </c>
      <c r="AA74" s="208">
        <f t="shared" si="22"/>
        <v>0</v>
      </c>
      <c r="AB74" s="233">
        <f t="shared" si="68"/>
        <v>0</v>
      </c>
      <c r="AC74" s="233"/>
      <c r="AD74" s="233"/>
      <c r="AE74" s="233">
        <f t="shared" si="71"/>
        <v>978537719</v>
      </c>
      <c r="AF74" s="238">
        <f t="shared" si="72"/>
        <v>978537719</v>
      </c>
      <c r="AG74" s="238">
        <f t="shared" si="73"/>
        <v>978537719</v>
      </c>
      <c r="AH74" s="238">
        <f t="shared" si="28"/>
        <v>2935613157</v>
      </c>
      <c r="AI74" s="261">
        <f t="shared" si="74"/>
        <v>2016</v>
      </c>
      <c r="AJ74" s="233">
        <f t="shared" si="75"/>
        <v>6849764043</v>
      </c>
    </row>
    <row r="75" spans="1:36" s="120" customFormat="1" ht="35.25" customHeight="1" x14ac:dyDescent="0.2">
      <c r="A75" s="116">
        <v>75</v>
      </c>
      <c r="B75" s="116" t="str">
        <f t="shared" si="76"/>
        <v>BUNDARAN DPRD - JL. PROPINSI</v>
      </c>
      <c r="D75" s="120" t="s">
        <v>3932</v>
      </c>
      <c r="E75" s="218" t="s">
        <v>4247</v>
      </c>
      <c r="F75" s="130"/>
      <c r="G75" s="67" t="str">
        <f t="shared" si="77"/>
        <v>JALAN KABUPATEN LOKAL</v>
      </c>
      <c r="H75" s="396" t="str">
        <f t="shared" si="78"/>
        <v>04.13.01.03.06</v>
      </c>
      <c r="I75" s="396">
        <f t="shared" si="79"/>
        <v>0</v>
      </c>
      <c r="J75" s="396" t="str">
        <f t="shared" si="80"/>
        <v>ASPAL HOTMIX</v>
      </c>
      <c r="K75" s="398" t="str">
        <f t="shared" si="81"/>
        <v>1500</v>
      </c>
      <c r="L75" s="396">
        <f t="shared" si="82"/>
        <v>30</v>
      </c>
      <c r="M75" s="398">
        <f t="shared" si="83"/>
        <v>45000</v>
      </c>
      <c r="N75" s="396" t="str">
        <f t="shared" si="84"/>
        <v>BUNDARAN DPRD - JL. PROPINSI</v>
      </c>
      <c r="O75" s="396">
        <f t="shared" si="85"/>
        <v>2001</v>
      </c>
      <c r="P75" s="396">
        <f t="shared" si="86"/>
        <v>0</v>
      </c>
      <c r="Q75" s="396">
        <f t="shared" si="87"/>
        <v>0</v>
      </c>
      <c r="R75" s="396" t="str">
        <f t="shared" si="88"/>
        <v>12.04.06.05.01.00</v>
      </c>
      <c r="S75" s="396" t="str">
        <f t="shared" si="89"/>
        <v>APBD</v>
      </c>
      <c r="T75" s="397">
        <f t="shared" si="90"/>
        <v>5670000000</v>
      </c>
      <c r="U75" s="396" t="str">
        <f t="shared" si="91"/>
        <v>B</v>
      </c>
      <c r="V75" s="396">
        <f t="shared" si="92"/>
        <v>0</v>
      </c>
      <c r="W75" s="206" t="str">
        <f t="shared" si="64"/>
        <v>04.13.01</v>
      </c>
      <c r="X75" s="207" t="str">
        <f t="shared" si="65"/>
        <v>Jalan</v>
      </c>
      <c r="Y75" s="207">
        <f t="shared" si="66"/>
        <v>10</v>
      </c>
      <c r="Z75" s="233">
        <f t="shared" si="67"/>
        <v>566999999</v>
      </c>
      <c r="AA75" s="208">
        <f t="shared" si="22"/>
        <v>10</v>
      </c>
      <c r="AB75" s="233">
        <f t="shared" si="68"/>
        <v>5669999990</v>
      </c>
      <c r="AC75" s="233">
        <f t="shared" si="69"/>
        <v>0</v>
      </c>
      <c r="AD75" s="233">
        <f t="shared" si="70"/>
        <v>0</v>
      </c>
      <c r="AE75" s="233">
        <f t="shared" si="71"/>
        <v>0</v>
      </c>
      <c r="AF75" s="238">
        <f t="shared" si="72"/>
        <v>0</v>
      </c>
      <c r="AG75" s="238">
        <f t="shared" si="73"/>
        <v>0</v>
      </c>
      <c r="AH75" s="238">
        <f t="shared" si="28"/>
        <v>5669999990</v>
      </c>
      <c r="AI75" s="261">
        <f t="shared" si="74"/>
        <v>2001</v>
      </c>
      <c r="AJ75" s="233">
        <f t="shared" si="75"/>
        <v>10</v>
      </c>
    </row>
    <row r="76" spans="1:36" s="120" customFormat="1" ht="35.25" customHeight="1" x14ac:dyDescent="0.2">
      <c r="A76" s="116">
        <v>75</v>
      </c>
      <c r="B76" s="116" t="str">
        <f t="shared" si="76"/>
        <v>BUNDARAN DPRD - JL. PROPINSI</v>
      </c>
      <c r="D76" s="120" t="s">
        <v>3933</v>
      </c>
      <c r="E76" s="218" t="s">
        <v>4247</v>
      </c>
      <c r="F76" s="130"/>
      <c r="G76" s="67" t="str">
        <f t="shared" si="77"/>
        <v>JALAN BUNDARAN DPRD - JALAN PROPINSI PELEBARAN ASPAL 1.194 KM) LANJUTAN</v>
      </c>
      <c r="H76" s="396" t="str">
        <f t="shared" si="78"/>
        <v>04.13.01.03.06</v>
      </c>
      <c r="I76" s="396">
        <f t="shared" si="79"/>
        <v>0</v>
      </c>
      <c r="J76" s="396" t="str">
        <f t="shared" si="80"/>
        <v>Aspal</v>
      </c>
      <c r="K76" s="398">
        <f t="shared" si="81"/>
        <v>0</v>
      </c>
      <c r="L76" s="396">
        <f t="shared" si="82"/>
        <v>0</v>
      </c>
      <c r="M76" s="398">
        <f t="shared" si="83"/>
        <v>1194</v>
      </c>
      <c r="N76" s="396" t="str">
        <f t="shared" si="84"/>
        <v>BUNDARAN DPRD - JALAN PROPINSI</v>
      </c>
      <c r="O76" s="396">
        <f t="shared" si="85"/>
        <v>2007</v>
      </c>
      <c r="P76" s="396">
        <f t="shared" si="86"/>
        <v>0</v>
      </c>
      <c r="Q76" s="396">
        <f t="shared" si="87"/>
        <v>0</v>
      </c>
      <c r="R76" s="396">
        <f t="shared" si="88"/>
        <v>0</v>
      </c>
      <c r="S76" s="396" t="str">
        <f t="shared" si="89"/>
        <v>APBD</v>
      </c>
      <c r="T76" s="397">
        <f t="shared" si="90"/>
        <v>1797674273.4540961</v>
      </c>
      <c r="U76" s="396" t="str">
        <f t="shared" si="91"/>
        <v>B</v>
      </c>
      <c r="V76" s="396">
        <f t="shared" si="92"/>
        <v>0</v>
      </c>
      <c r="W76" s="206" t="str">
        <f t="shared" si="64"/>
        <v>04.13.01</v>
      </c>
      <c r="X76" s="207" t="str">
        <f t="shared" si="65"/>
        <v>Jalan</v>
      </c>
      <c r="Y76" s="207">
        <f t="shared" si="66"/>
        <v>10</v>
      </c>
      <c r="Z76" s="233">
        <f t="shared" si="67"/>
        <v>179767426.3454096</v>
      </c>
      <c r="AA76" s="208">
        <f t="shared" si="22"/>
        <v>6</v>
      </c>
      <c r="AB76" s="233">
        <f t="shared" si="68"/>
        <v>1078604558.0724576</v>
      </c>
      <c r="AC76" s="233">
        <f t="shared" si="69"/>
        <v>179767426.3454096</v>
      </c>
      <c r="AD76" s="233">
        <f t="shared" si="70"/>
        <v>179767426.3454096</v>
      </c>
      <c r="AE76" s="233">
        <f t="shared" si="71"/>
        <v>179767426.3454096</v>
      </c>
      <c r="AF76" s="238">
        <f t="shared" si="72"/>
        <v>179767426.3454096</v>
      </c>
      <c r="AG76" s="238">
        <f t="shared" si="73"/>
        <v>0</v>
      </c>
      <c r="AH76" s="238">
        <f t="shared" si="28"/>
        <v>1797674263.4540961</v>
      </c>
      <c r="AI76" s="261">
        <f t="shared" si="74"/>
        <v>2007</v>
      </c>
      <c r="AJ76" s="233">
        <f t="shared" si="75"/>
        <v>10</v>
      </c>
    </row>
    <row r="77" spans="1:36" s="116" customFormat="1" ht="35.25" customHeight="1" x14ac:dyDescent="0.2">
      <c r="A77" s="116">
        <v>86</v>
      </c>
      <c r="B77" s="116" t="str">
        <f t="shared" si="76"/>
        <v>PANTAI - AIR BULUH</v>
      </c>
      <c r="D77" s="116" t="s">
        <v>3937</v>
      </c>
      <c r="E77" s="218" t="s">
        <v>4247</v>
      </c>
      <c r="F77" s="53"/>
      <c r="G77" s="67" t="str">
        <f t="shared" si="77"/>
        <v>JALAN KABUPATEN LOKAL</v>
      </c>
      <c r="H77" s="396" t="str">
        <f t="shared" si="78"/>
        <v>04.13.01.03.06</v>
      </c>
      <c r="I77" s="396">
        <f t="shared" si="79"/>
        <v>0</v>
      </c>
      <c r="J77" s="396" t="str">
        <f t="shared" si="80"/>
        <v>BATU PECAH / MACADAM</v>
      </c>
      <c r="K77" s="398">
        <f t="shared" si="81"/>
        <v>5000</v>
      </c>
      <c r="L77" s="396">
        <f t="shared" si="82"/>
        <v>7</v>
      </c>
      <c r="M77" s="398">
        <f t="shared" si="83"/>
        <v>35000</v>
      </c>
      <c r="N77" s="396" t="str">
        <f t="shared" si="84"/>
        <v>PANTAI - AIR BULUH</v>
      </c>
      <c r="O77" s="396">
        <f t="shared" si="85"/>
        <v>2001</v>
      </c>
      <c r="P77" s="396">
        <f t="shared" si="86"/>
        <v>0</v>
      </c>
      <c r="Q77" s="396">
        <f t="shared" si="87"/>
        <v>0</v>
      </c>
      <c r="R77" s="396" t="str">
        <f t="shared" si="88"/>
        <v>12.04.06.05.01.00</v>
      </c>
      <c r="S77" s="396" t="str">
        <f t="shared" si="89"/>
        <v>APBD</v>
      </c>
      <c r="T77" s="397">
        <f t="shared" si="90"/>
        <v>2080000000</v>
      </c>
      <c r="U77" s="396" t="str">
        <f t="shared" si="91"/>
        <v>B</v>
      </c>
      <c r="V77" s="396">
        <f t="shared" si="92"/>
        <v>0</v>
      </c>
      <c r="W77" s="206" t="str">
        <f t="shared" si="64"/>
        <v>04.13.01</v>
      </c>
      <c r="X77" s="207" t="str">
        <f t="shared" si="65"/>
        <v>Jalan</v>
      </c>
      <c r="Y77" s="207">
        <f t="shared" si="66"/>
        <v>10</v>
      </c>
      <c r="Z77" s="233">
        <f t="shared" si="67"/>
        <v>207999999</v>
      </c>
      <c r="AA77" s="208">
        <f t="shared" si="22"/>
        <v>10</v>
      </c>
      <c r="AB77" s="233">
        <f t="shared" si="68"/>
        <v>2079999990</v>
      </c>
      <c r="AC77" s="233">
        <f t="shared" si="69"/>
        <v>0</v>
      </c>
      <c r="AD77" s="233">
        <f t="shared" si="70"/>
        <v>0</v>
      </c>
      <c r="AE77" s="233">
        <f t="shared" si="71"/>
        <v>0</v>
      </c>
      <c r="AF77" s="238">
        <f t="shared" si="72"/>
        <v>0</v>
      </c>
      <c r="AG77" s="238">
        <f t="shared" si="73"/>
        <v>0</v>
      </c>
      <c r="AH77" s="238">
        <f t="shared" si="28"/>
        <v>2079999990</v>
      </c>
      <c r="AI77" s="261">
        <f t="shared" si="74"/>
        <v>2001</v>
      </c>
      <c r="AJ77" s="233">
        <f t="shared" si="75"/>
        <v>10</v>
      </c>
    </row>
    <row r="78" spans="1:36" s="116" customFormat="1" ht="35.25" customHeight="1" x14ac:dyDescent="0.2">
      <c r="A78" s="116">
        <v>86</v>
      </c>
      <c r="B78" s="116" t="str">
        <f t="shared" si="76"/>
        <v>PANTAI - AIR BULUH</v>
      </c>
      <c r="D78" s="116" t="s">
        <v>3938</v>
      </c>
      <c r="E78" s="218" t="s">
        <v>4247</v>
      </c>
      <c r="F78" s="53"/>
      <c r="G78" s="67" t="str">
        <f t="shared" si="77"/>
        <v>PEMBUATAN 1 UNIT BOX CULVERT 3,5 X 3,0 (TUNGGAL) SEI.LUMPANG RUAS JALAN PANTAI - AIR BULUH</v>
      </c>
      <c r="H78" s="396" t="str">
        <f t="shared" si="78"/>
        <v>04.13.01.03.06</v>
      </c>
      <c r="I78" s="396">
        <f t="shared" si="79"/>
        <v>0</v>
      </c>
      <c r="J78" s="396" t="str">
        <f t="shared" si="80"/>
        <v>Beton</v>
      </c>
      <c r="K78" s="398">
        <f t="shared" si="81"/>
        <v>3.5</v>
      </c>
      <c r="L78" s="396">
        <f t="shared" si="82"/>
        <v>3</v>
      </c>
      <c r="M78" s="398">
        <f t="shared" si="83"/>
        <v>10.5</v>
      </c>
      <c r="N78" s="396" t="str">
        <f t="shared" si="84"/>
        <v>PANTAI - AIR BULUH</v>
      </c>
      <c r="O78" s="396">
        <f t="shared" si="85"/>
        <v>2007</v>
      </c>
      <c r="P78" s="396">
        <f t="shared" si="86"/>
        <v>0</v>
      </c>
      <c r="Q78" s="396">
        <f t="shared" si="87"/>
        <v>0</v>
      </c>
      <c r="R78" s="396">
        <f t="shared" si="88"/>
        <v>0</v>
      </c>
      <c r="S78" s="396" t="str">
        <f t="shared" si="89"/>
        <v>APBD</v>
      </c>
      <c r="T78" s="397">
        <f t="shared" si="90"/>
        <v>695109994.81529498</v>
      </c>
      <c r="U78" s="396" t="str">
        <f t="shared" si="91"/>
        <v>B</v>
      </c>
      <c r="V78" s="396">
        <f t="shared" si="92"/>
        <v>0</v>
      </c>
      <c r="W78" s="206" t="str">
        <f t="shared" si="64"/>
        <v>04.13.01</v>
      </c>
      <c r="X78" s="207" t="str">
        <f t="shared" si="65"/>
        <v>Jalan</v>
      </c>
      <c r="Y78" s="207">
        <f t="shared" si="66"/>
        <v>10</v>
      </c>
      <c r="Z78" s="233">
        <f t="shared" si="67"/>
        <v>69510998.481529504</v>
      </c>
      <c r="AA78" s="208">
        <f t="shared" ref="AA78:AA141" si="93">IF(2013-O78&gt;Y78,Y78,IF(2013-O78&lt;0,0,2013-O78))</f>
        <v>6</v>
      </c>
      <c r="AB78" s="233">
        <f t="shared" si="68"/>
        <v>417065990.88917702</v>
      </c>
      <c r="AC78" s="233">
        <f t="shared" si="69"/>
        <v>69510998.481529504</v>
      </c>
      <c r="AD78" s="233">
        <f t="shared" si="70"/>
        <v>69510998.481529504</v>
      </c>
      <c r="AE78" s="233">
        <f t="shared" si="71"/>
        <v>69510998.481529504</v>
      </c>
      <c r="AF78" s="238">
        <f t="shared" si="72"/>
        <v>69510998.481529504</v>
      </c>
      <c r="AG78" s="238">
        <f t="shared" si="73"/>
        <v>0</v>
      </c>
      <c r="AH78" s="238">
        <f t="shared" ref="AH78:AH141" si="94">SUM(AB78:AG78)</f>
        <v>695109984.81529498</v>
      </c>
      <c r="AI78" s="261">
        <f t="shared" si="74"/>
        <v>2007</v>
      </c>
      <c r="AJ78" s="233">
        <f t="shared" si="75"/>
        <v>10</v>
      </c>
    </row>
    <row r="79" spans="1:36" s="116" customFormat="1" ht="35.25" customHeight="1" x14ac:dyDescent="0.2">
      <c r="A79" s="116">
        <v>86</v>
      </c>
      <c r="B79" s="116" t="str">
        <f t="shared" si="76"/>
        <v>PANTAI - AIR BULUH</v>
      </c>
      <c r="D79" s="116" t="s">
        <v>3939</v>
      </c>
      <c r="E79" s="218" t="s">
        <v>4247</v>
      </c>
      <c r="F79" s="53"/>
      <c r="G79" s="67" t="str">
        <f t="shared" si="77"/>
        <v>PENINGKATAN JALAN PANTAI - AIR BULUH (ASPAL 1,00 KM)</v>
      </c>
      <c r="H79" s="396" t="str">
        <f t="shared" si="78"/>
        <v>04.13.01.03.06</v>
      </c>
      <c r="I79" s="396">
        <f t="shared" si="79"/>
        <v>0</v>
      </c>
      <c r="J79" s="396" t="str">
        <f t="shared" si="80"/>
        <v>Aspal</v>
      </c>
      <c r="K79" s="398">
        <f t="shared" si="81"/>
        <v>0</v>
      </c>
      <c r="L79" s="396">
        <f t="shared" si="82"/>
        <v>0</v>
      </c>
      <c r="M79" s="398">
        <f t="shared" si="83"/>
        <v>1000</v>
      </c>
      <c r="N79" s="396" t="str">
        <f t="shared" si="84"/>
        <v>PANTAI - AIR BULUH</v>
      </c>
      <c r="O79" s="396">
        <f t="shared" si="85"/>
        <v>2011</v>
      </c>
      <c r="P79" s="396">
        <f t="shared" si="86"/>
        <v>0</v>
      </c>
      <c r="Q79" s="396">
        <f t="shared" si="87"/>
        <v>0</v>
      </c>
      <c r="R79" s="396">
        <f t="shared" si="88"/>
        <v>0</v>
      </c>
      <c r="S79" s="396" t="str">
        <f t="shared" si="89"/>
        <v>APBD</v>
      </c>
      <c r="T79" s="397">
        <f t="shared" si="90"/>
        <v>3830922576</v>
      </c>
      <c r="U79" s="396" t="str">
        <f t="shared" si="91"/>
        <v>B</v>
      </c>
      <c r="V79" s="396">
        <f t="shared" si="92"/>
        <v>0</v>
      </c>
      <c r="W79" s="206" t="str">
        <f t="shared" si="64"/>
        <v>04.13.01</v>
      </c>
      <c r="X79" s="207" t="str">
        <f t="shared" si="65"/>
        <v>Jalan</v>
      </c>
      <c r="Y79" s="207">
        <f t="shared" si="66"/>
        <v>10</v>
      </c>
      <c r="Z79" s="233">
        <f t="shared" si="67"/>
        <v>383092256.60000002</v>
      </c>
      <c r="AA79" s="208">
        <f t="shared" si="93"/>
        <v>2</v>
      </c>
      <c r="AB79" s="233">
        <f t="shared" si="68"/>
        <v>766184513.20000005</v>
      </c>
      <c r="AC79" s="233">
        <f t="shared" si="69"/>
        <v>383092256.60000002</v>
      </c>
      <c r="AD79" s="233">
        <f t="shared" si="70"/>
        <v>383092256.60000002</v>
      </c>
      <c r="AE79" s="233">
        <f t="shared" si="71"/>
        <v>383092256.60000002</v>
      </c>
      <c r="AF79" s="238">
        <f t="shared" si="72"/>
        <v>383092256.60000002</v>
      </c>
      <c r="AG79" s="238">
        <f t="shared" si="73"/>
        <v>383092256.60000002</v>
      </c>
      <c r="AH79" s="238">
        <f t="shared" si="94"/>
        <v>2681645796.1999998</v>
      </c>
      <c r="AI79" s="261">
        <f t="shared" si="74"/>
        <v>2011</v>
      </c>
      <c r="AJ79" s="233">
        <f t="shared" si="75"/>
        <v>1149276779.8000002</v>
      </c>
    </row>
    <row r="80" spans="1:36" s="116" customFormat="1" ht="35.25" customHeight="1" x14ac:dyDescent="0.2">
      <c r="A80" s="116">
        <v>86</v>
      </c>
      <c r="B80" s="116" t="str">
        <f>VLOOKUP(A80,RUAS,2,FALSE)</f>
        <v>PANTAI - AIR BULUH</v>
      </c>
      <c r="D80" s="116" t="s">
        <v>4122</v>
      </c>
      <c r="E80" s="218" t="s">
        <v>4247</v>
      </c>
      <c r="F80" s="53"/>
      <c r="G80" s="67" t="str">
        <f>VLOOKUP(D80,ACUAN,4,FALSE)</f>
        <v>PEKERJAAN PENINGKATAN JALAN PANTAI-AIR BULUH (ASPAL 1,00 KM)</v>
      </c>
      <c r="H80" s="396" t="str">
        <f>VLOOKUP(D80,ACUAN,5,FALSE)</f>
        <v>04.13.01.03.06</v>
      </c>
      <c r="I80" s="396">
        <f>VLOOKUP(D80,ACUAN,6,FALSE)</f>
        <v>0</v>
      </c>
      <c r="J80" s="396" t="str">
        <f>VLOOKUP(D80,ACUAN,7,FALSE)</f>
        <v>Aspal</v>
      </c>
      <c r="K80" s="398">
        <f>VLOOKUP(D80,ACUAN,8,FALSE)</f>
        <v>0</v>
      </c>
      <c r="L80" s="396">
        <f>VLOOKUP(D80,ACUAN,9,FALSE)</f>
        <v>0</v>
      </c>
      <c r="M80" s="398">
        <f>VLOOKUP(D80,ACUAN,10,FALSE)</f>
        <v>0</v>
      </c>
      <c r="N80" s="396" t="str">
        <f>VLOOKUP(D80,ACUAN,11,FALSE)</f>
        <v>PANTAI - AIR BULUH</v>
      </c>
      <c r="O80" s="396">
        <f>VLOOKUP(D80,ACUAN,12,FALSE)</f>
        <v>2012</v>
      </c>
      <c r="P80" s="396">
        <f>VLOOKUP(D80,ACUAN,13,FALSE)</f>
        <v>0</v>
      </c>
      <c r="Q80" s="396">
        <f>VLOOKUP(D80,ACUAN,14,FALSE)</f>
        <v>0</v>
      </c>
      <c r="R80" s="396">
        <f>VLOOKUP(D80,ACUAN,15,FALSE)</f>
        <v>0</v>
      </c>
      <c r="S80" s="396" t="str">
        <f>VLOOKUP(D80,ACUAN,16,FALSE)</f>
        <v>APBD</v>
      </c>
      <c r="T80" s="397">
        <f>VLOOKUP(D80,ACUAN,17,FALSE)</f>
        <v>1598810500.7151661</v>
      </c>
      <c r="U80" s="396" t="str">
        <f>VLOOKUP(D80,ACUAN,18,FALSE)</f>
        <v>B</v>
      </c>
      <c r="V80" s="396">
        <f>VLOOKUP(D80,ACUAN,19,FALSE)</f>
        <v>0</v>
      </c>
      <c r="W80" s="206" t="str">
        <f t="shared" si="64"/>
        <v>04.13.01</v>
      </c>
      <c r="X80" s="207" t="str">
        <f t="shared" si="65"/>
        <v>Jalan</v>
      </c>
      <c r="Y80" s="207">
        <f t="shared" si="66"/>
        <v>10</v>
      </c>
      <c r="Z80" s="233">
        <f t="shared" si="67"/>
        <v>159881049.0715166</v>
      </c>
      <c r="AA80" s="208">
        <f t="shared" si="93"/>
        <v>1</v>
      </c>
      <c r="AB80" s="233">
        <f t="shared" si="68"/>
        <v>159881049.0715166</v>
      </c>
      <c r="AC80" s="233">
        <f t="shared" si="69"/>
        <v>159881049.0715166</v>
      </c>
      <c r="AD80" s="233">
        <f t="shared" si="70"/>
        <v>159881049.0715166</v>
      </c>
      <c r="AE80" s="233">
        <f t="shared" si="71"/>
        <v>159881049.0715166</v>
      </c>
      <c r="AF80" s="238">
        <f t="shared" si="72"/>
        <v>159881049.0715166</v>
      </c>
      <c r="AG80" s="238">
        <f t="shared" si="73"/>
        <v>159881049.0715166</v>
      </c>
      <c r="AH80" s="238">
        <f t="shared" si="94"/>
        <v>959286294.42909968</v>
      </c>
      <c r="AI80" s="261">
        <f t="shared" si="74"/>
        <v>2012</v>
      </c>
      <c r="AJ80" s="233">
        <f t="shared" si="75"/>
        <v>639524206.28606641</v>
      </c>
    </row>
    <row r="81" spans="1:36" s="116" customFormat="1" ht="35.25" customHeight="1" x14ac:dyDescent="0.2">
      <c r="A81" s="116">
        <v>87</v>
      </c>
      <c r="B81" s="116" t="str">
        <f t="shared" si="76"/>
        <v>SEI. BESAR - BTS. SUMBAR</v>
      </c>
      <c r="D81" s="116" t="s">
        <v>3940</v>
      </c>
      <c r="E81" s="218" t="s">
        <v>4247</v>
      </c>
      <c r="F81" s="73"/>
      <c r="G81" s="67" t="str">
        <f t="shared" si="77"/>
        <v>PENINGKATAN JALAN IBUL - SEI. BESAR (LANJUTAN)</v>
      </c>
      <c r="H81" s="396" t="str">
        <f t="shared" si="78"/>
        <v>04.13.01.03.06</v>
      </c>
      <c r="I81" s="396">
        <f t="shared" si="79"/>
        <v>0</v>
      </c>
      <c r="J81" s="396" t="str">
        <f t="shared" si="80"/>
        <v>Aspal</v>
      </c>
      <c r="K81" s="398">
        <f t="shared" si="81"/>
        <v>0</v>
      </c>
      <c r="L81" s="396">
        <f t="shared" si="82"/>
        <v>0</v>
      </c>
      <c r="M81" s="398">
        <f t="shared" si="83"/>
        <v>0</v>
      </c>
      <c r="N81" s="396" t="str">
        <f t="shared" si="84"/>
        <v>IBUL - SEI. BESAR</v>
      </c>
      <c r="O81" s="396">
        <f t="shared" si="85"/>
        <v>2011</v>
      </c>
      <c r="P81" s="396">
        <f t="shared" si="86"/>
        <v>0</v>
      </c>
      <c r="Q81" s="396">
        <f t="shared" si="87"/>
        <v>0</v>
      </c>
      <c r="R81" s="396">
        <f t="shared" si="88"/>
        <v>0</v>
      </c>
      <c r="S81" s="396" t="str">
        <f t="shared" si="89"/>
        <v>APBD</v>
      </c>
      <c r="T81" s="397">
        <f t="shared" si="90"/>
        <v>7667608917.5499992</v>
      </c>
      <c r="U81" s="396" t="str">
        <f t="shared" si="91"/>
        <v>B</v>
      </c>
      <c r="V81" s="396">
        <f t="shared" si="92"/>
        <v>0</v>
      </c>
      <c r="W81" s="206" t="str">
        <f t="shared" si="64"/>
        <v>04.13.01</v>
      </c>
      <c r="X81" s="207" t="str">
        <f t="shared" si="65"/>
        <v>Jalan</v>
      </c>
      <c r="Y81" s="207">
        <f t="shared" si="66"/>
        <v>10</v>
      </c>
      <c r="Z81" s="233">
        <f t="shared" si="67"/>
        <v>766760890.75499988</v>
      </c>
      <c r="AA81" s="208">
        <f t="shared" si="93"/>
        <v>2</v>
      </c>
      <c r="AB81" s="233">
        <f t="shared" si="68"/>
        <v>1533521781.5099998</v>
      </c>
      <c r="AC81" s="233">
        <f t="shared" si="69"/>
        <v>766760890.75499988</v>
      </c>
      <c r="AD81" s="233">
        <f t="shared" si="70"/>
        <v>766760890.75499988</v>
      </c>
      <c r="AE81" s="233">
        <f t="shared" si="71"/>
        <v>766760890.75499988</v>
      </c>
      <c r="AF81" s="238">
        <f t="shared" si="72"/>
        <v>766760890.75499988</v>
      </c>
      <c r="AG81" s="238">
        <f t="shared" si="73"/>
        <v>766760890.75499988</v>
      </c>
      <c r="AH81" s="238">
        <f t="shared" si="94"/>
        <v>5367326235.2849998</v>
      </c>
      <c r="AI81" s="261">
        <f t="shared" si="74"/>
        <v>2011</v>
      </c>
      <c r="AJ81" s="233">
        <f t="shared" si="75"/>
        <v>2300282682.2649994</v>
      </c>
    </row>
    <row r="82" spans="1:36" s="116" customFormat="1" ht="35.25" customHeight="1" x14ac:dyDescent="0.2">
      <c r="A82" s="116">
        <v>87</v>
      </c>
      <c r="B82" s="116" t="str">
        <f t="shared" si="76"/>
        <v>SEI. BESAR - BTS. SUMBAR</v>
      </c>
      <c r="D82" s="116" t="s">
        <v>4121</v>
      </c>
      <c r="E82" s="218" t="s">
        <v>4247</v>
      </c>
      <c r="F82" s="73"/>
      <c r="G82" s="67" t="str">
        <f t="shared" si="77"/>
        <v>PENINGKATAN JALAN IBUL - SUNGAI BESAR</v>
      </c>
      <c r="H82" s="396" t="str">
        <f t="shared" si="78"/>
        <v>04.13.01.03.06</v>
      </c>
      <c r="I82" s="396">
        <f t="shared" si="79"/>
        <v>0</v>
      </c>
      <c r="J82" s="396">
        <f t="shared" si="80"/>
        <v>0</v>
      </c>
      <c r="K82" s="398">
        <f t="shared" si="81"/>
        <v>0</v>
      </c>
      <c r="L82" s="396">
        <f t="shared" si="82"/>
        <v>0</v>
      </c>
      <c r="M82" s="398">
        <f t="shared" si="83"/>
        <v>0</v>
      </c>
      <c r="N82" s="396" t="str">
        <f t="shared" si="84"/>
        <v>IBUL - SEI. BESAR</v>
      </c>
      <c r="O82" s="396">
        <f t="shared" si="85"/>
        <v>2015</v>
      </c>
      <c r="P82" s="396">
        <f t="shared" si="86"/>
        <v>0</v>
      </c>
      <c r="Q82" s="396">
        <f t="shared" si="87"/>
        <v>0</v>
      </c>
      <c r="R82" s="396">
        <f t="shared" si="88"/>
        <v>0</v>
      </c>
      <c r="S82" s="396" t="str">
        <f t="shared" si="89"/>
        <v>APBD</v>
      </c>
      <c r="T82" s="397">
        <f t="shared" si="90"/>
        <v>3760564386.1999998</v>
      </c>
      <c r="U82" s="396">
        <f t="shared" si="91"/>
        <v>0</v>
      </c>
      <c r="V82" s="396">
        <f t="shared" si="92"/>
        <v>0</v>
      </c>
      <c r="W82" s="206" t="str">
        <f t="shared" ref="W82:W125" si="95">LEFT(H82,8)</f>
        <v>04.13.01</v>
      </c>
      <c r="X82" s="207" t="str">
        <f t="shared" ref="X82:X125" si="96">VLOOKUP(W82,UE,3,FALSE)</f>
        <v>Jalan</v>
      </c>
      <c r="Y82" s="207">
        <f t="shared" ref="Y82:Y125" si="97">VLOOKUP(W82,UE,4,FALSE)</f>
        <v>10</v>
      </c>
      <c r="Z82" s="233">
        <f t="shared" ref="Z82:Z125" si="98">(T82-10)/Y82</f>
        <v>376056437.62</v>
      </c>
      <c r="AA82" s="208">
        <f t="shared" si="93"/>
        <v>0</v>
      </c>
      <c r="AB82" s="233">
        <f t="shared" ref="AB82:AB125" si="99">IF(AA82&gt;Y82,T82-10,Z82*AA82)</f>
        <v>0</v>
      </c>
      <c r="AC82" s="233"/>
      <c r="AD82" s="233">
        <f t="shared" ref="AD82:AD124" si="100">IF(T82-10=AB82+AC82,0,Z82)</f>
        <v>376056437.62</v>
      </c>
      <c r="AE82" s="233">
        <f t="shared" ref="AE82:AE125" si="101">IF(T82-10=AB82+AC82+AD82,0,Z82)</f>
        <v>376056437.62</v>
      </c>
      <c r="AF82" s="238">
        <f t="shared" ref="AF82:AF125" si="102">IF(T82-10=AC82+AD82+AE82+AB82,0,Z82)</f>
        <v>376056437.62</v>
      </c>
      <c r="AG82" s="238">
        <f t="shared" ref="AG82:AG125" si="103">IF(T82-10=AC82+AD82+AE82+AB82+AF82,0,Z82)</f>
        <v>376056437.62</v>
      </c>
      <c r="AH82" s="238">
        <f t="shared" si="94"/>
        <v>1504225750.48</v>
      </c>
      <c r="AI82" s="261">
        <f t="shared" ref="AI82:AI125" si="104">O82</f>
        <v>2015</v>
      </c>
      <c r="AJ82" s="233">
        <f t="shared" ref="AJ82:AJ125" si="105">T82-AH82</f>
        <v>2256338635.7199998</v>
      </c>
    </row>
    <row r="83" spans="1:36" s="120" customFormat="1" ht="35.25" customHeight="1" x14ac:dyDescent="0.2">
      <c r="A83" s="116">
        <v>91</v>
      </c>
      <c r="B83" s="116" t="str">
        <f t="shared" si="76"/>
        <v>LUBUK JAMBI - SAIK</v>
      </c>
      <c r="D83" s="120" t="s">
        <v>3942</v>
      </c>
      <c r="E83" s="218" t="s">
        <v>4247</v>
      </c>
      <c r="F83" s="130"/>
      <c r="G83" s="67" t="str">
        <f t="shared" si="77"/>
        <v>PENINGKATAN JALAN LUBUK JAMBI - SAIK (ASPAL 1,00 KM)</v>
      </c>
      <c r="H83" s="396" t="str">
        <f t="shared" si="78"/>
        <v>04.13.01.03.06</v>
      </c>
      <c r="I83" s="396">
        <f t="shared" si="79"/>
        <v>0</v>
      </c>
      <c r="J83" s="396" t="str">
        <f t="shared" si="80"/>
        <v>Aspal</v>
      </c>
      <c r="K83" s="398">
        <f t="shared" si="81"/>
        <v>0</v>
      </c>
      <c r="L83" s="396">
        <f t="shared" si="82"/>
        <v>0</v>
      </c>
      <c r="M83" s="398">
        <f t="shared" si="83"/>
        <v>0</v>
      </c>
      <c r="N83" s="396" t="str">
        <f t="shared" si="84"/>
        <v>LUBUK JAMBI - SAIK</v>
      </c>
      <c r="O83" s="396">
        <f t="shared" si="85"/>
        <v>2012</v>
      </c>
      <c r="P83" s="396">
        <f t="shared" si="86"/>
        <v>0</v>
      </c>
      <c r="Q83" s="396">
        <f t="shared" si="87"/>
        <v>0</v>
      </c>
      <c r="R83" s="396">
        <f t="shared" si="88"/>
        <v>0</v>
      </c>
      <c r="S83" s="396" t="str">
        <f t="shared" si="89"/>
        <v>APBD</v>
      </c>
      <c r="T83" s="397">
        <f t="shared" si="90"/>
        <v>11987663158.4603</v>
      </c>
      <c r="U83" s="396" t="str">
        <f t="shared" si="91"/>
        <v>B</v>
      </c>
      <c r="V83" s="396">
        <f t="shared" si="92"/>
        <v>0</v>
      </c>
      <c r="W83" s="206" t="str">
        <f t="shared" si="95"/>
        <v>04.13.01</v>
      </c>
      <c r="X83" s="207" t="str">
        <f t="shared" si="96"/>
        <v>Jalan</v>
      </c>
      <c r="Y83" s="207">
        <f t="shared" si="97"/>
        <v>10</v>
      </c>
      <c r="Z83" s="233">
        <f t="shared" si="98"/>
        <v>1198766314.84603</v>
      </c>
      <c r="AA83" s="208">
        <f t="shared" si="93"/>
        <v>1</v>
      </c>
      <c r="AB83" s="233">
        <f t="shared" si="99"/>
        <v>1198766314.84603</v>
      </c>
      <c r="AC83" s="233">
        <f t="shared" ref="AC83:AC123" si="106">IF(T83-10=AB83,0,Z83)</f>
        <v>1198766314.84603</v>
      </c>
      <c r="AD83" s="233">
        <f t="shared" si="100"/>
        <v>1198766314.84603</v>
      </c>
      <c r="AE83" s="233">
        <f t="shared" si="101"/>
        <v>1198766314.84603</v>
      </c>
      <c r="AF83" s="238">
        <f t="shared" si="102"/>
        <v>1198766314.84603</v>
      </c>
      <c r="AG83" s="238">
        <f t="shared" si="103"/>
        <v>1198766314.84603</v>
      </c>
      <c r="AH83" s="238">
        <f t="shared" si="94"/>
        <v>7192597889.0761805</v>
      </c>
      <c r="AI83" s="261">
        <f t="shared" si="104"/>
        <v>2012</v>
      </c>
      <c r="AJ83" s="233">
        <f t="shared" si="105"/>
        <v>4795065269.38412</v>
      </c>
    </row>
    <row r="84" spans="1:36" s="116" customFormat="1" ht="35.25" customHeight="1" x14ac:dyDescent="0.2">
      <c r="A84" s="116">
        <v>91</v>
      </c>
      <c r="B84" s="116" t="str">
        <f t="shared" si="76"/>
        <v>LUBUK JAMBI - SAIK</v>
      </c>
      <c r="D84" s="116" t="s">
        <v>3943</v>
      </c>
      <c r="E84" s="218" t="s">
        <v>4247</v>
      </c>
      <c r="F84" s="53"/>
      <c r="G84" s="67" t="str">
        <f t="shared" si="77"/>
        <v>PENINGKATAN JALAN LUBUK JAMBI - SAIK - PEBAUN (ASPAL)</v>
      </c>
      <c r="H84" s="396" t="str">
        <f t="shared" si="78"/>
        <v>04.13.01.03.06</v>
      </c>
      <c r="I84" s="396">
        <f t="shared" si="79"/>
        <v>0</v>
      </c>
      <c r="J84" s="396">
        <f t="shared" si="80"/>
        <v>0</v>
      </c>
      <c r="K84" s="398">
        <f t="shared" si="81"/>
        <v>0</v>
      </c>
      <c r="L84" s="396">
        <f t="shared" si="82"/>
        <v>0</v>
      </c>
      <c r="M84" s="398">
        <f t="shared" si="83"/>
        <v>0</v>
      </c>
      <c r="N84" s="396" t="str">
        <f t="shared" si="84"/>
        <v>LUBUK JAMBI - SAIK - PEBAUN</v>
      </c>
      <c r="O84" s="396">
        <f t="shared" si="85"/>
        <v>2016</v>
      </c>
      <c r="P84" s="396">
        <f t="shared" si="86"/>
        <v>0</v>
      </c>
      <c r="Q84" s="396">
        <f t="shared" si="87"/>
        <v>0</v>
      </c>
      <c r="R84" s="396">
        <f t="shared" si="88"/>
        <v>0</v>
      </c>
      <c r="S84" s="396" t="str">
        <f t="shared" si="89"/>
        <v>APBD</v>
      </c>
      <c r="T84" s="397">
        <f t="shared" si="90"/>
        <v>8141572842.6999998</v>
      </c>
      <c r="U84" s="396">
        <f t="shared" si="91"/>
        <v>0</v>
      </c>
      <c r="V84" s="396">
        <f t="shared" si="92"/>
        <v>0</v>
      </c>
      <c r="W84" s="206" t="str">
        <f t="shared" si="95"/>
        <v>04.13.01</v>
      </c>
      <c r="X84" s="207" t="str">
        <f t="shared" si="96"/>
        <v>Jalan</v>
      </c>
      <c r="Y84" s="207">
        <f t="shared" si="97"/>
        <v>10</v>
      </c>
      <c r="Z84" s="233">
        <f t="shared" si="98"/>
        <v>814157283.26999998</v>
      </c>
      <c r="AA84" s="208">
        <f t="shared" si="93"/>
        <v>0</v>
      </c>
      <c r="AB84" s="233">
        <f t="shared" si="99"/>
        <v>0</v>
      </c>
      <c r="AC84" s="233"/>
      <c r="AD84" s="233"/>
      <c r="AE84" s="233">
        <f t="shared" si="101"/>
        <v>814157283.26999998</v>
      </c>
      <c r="AF84" s="238">
        <f t="shared" si="102"/>
        <v>814157283.26999998</v>
      </c>
      <c r="AG84" s="238">
        <f t="shared" si="103"/>
        <v>814157283.26999998</v>
      </c>
      <c r="AH84" s="238">
        <f t="shared" si="94"/>
        <v>2442471849.8099999</v>
      </c>
      <c r="AI84" s="261">
        <f t="shared" si="104"/>
        <v>2016</v>
      </c>
      <c r="AJ84" s="233">
        <f t="shared" si="105"/>
        <v>5699100992.8899994</v>
      </c>
    </row>
    <row r="85" spans="1:36" s="116" customFormat="1" ht="35.25" customHeight="1" x14ac:dyDescent="0.2">
      <c r="A85" s="116">
        <v>91</v>
      </c>
      <c r="B85" s="116" t="str">
        <f t="shared" si="76"/>
        <v>LUBUK JAMBI - SAIK</v>
      </c>
      <c r="D85" s="116" t="s">
        <v>3944</v>
      </c>
      <c r="E85" s="218" t="s">
        <v>4247</v>
      </c>
      <c r="F85" s="53"/>
      <c r="G85" s="67" t="str">
        <f t="shared" si="77"/>
        <v>PENINGKATAN JALAN LUBUK JAMBI - SAIK (ASPAL) (DAK)</v>
      </c>
      <c r="H85" s="396" t="str">
        <f t="shared" si="78"/>
        <v>04.13.01.03.06</v>
      </c>
      <c r="I85" s="396">
        <f t="shared" si="79"/>
        <v>0</v>
      </c>
      <c r="J85" s="396">
        <f t="shared" si="80"/>
        <v>0</v>
      </c>
      <c r="K85" s="398">
        <f t="shared" si="81"/>
        <v>0</v>
      </c>
      <c r="L85" s="396">
        <f t="shared" si="82"/>
        <v>0</v>
      </c>
      <c r="M85" s="398">
        <f t="shared" si="83"/>
        <v>0</v>
      </c>
      <c r="N85" s="396" t="str">
        <f t="shared" si="84"/>
        <v>LUBUK JAMBI - SAIK</v>
      </c>
      <c r="O85" s="396">
        <f t="shared" si="85"/>
        <v>2018</v>
      </c>
      <c r="P85" s="396">
        <f t="shared" si="86"/>
        <v>0</v>
      </c>
      <c r="Q85" s="396">
        <f t="shared" si="87"/>
        <v>0</v>
      </c>
      <c r="R85" s="396">
        <f t="shared" si="88"/>
        <v>0</v>
      </c>
      <c r="S85" s="396" t="str">
        <f t="shared" si="89"/>
        <v>APBD</v>
      </c>
      <c r="T85" s="397">
        <f t="shared" si="90"/>
        <v>5963828226</v>
      </c>
      <c r="U85" s="396">
        <f t="shared" si="91"/>
        <v>0</v>
      </c>
      <c r="V85" s="396">
        <f t="shared" si="92"/>
        <v>0</v>
      </c>
      <c r="W85" s="206" t="str">
        <f t="shared" si="95"/>
        <v>04.13.01</v>
      </c>
      <c r="X85" s="207" t="str">
        <f t="shared" si="96"/>
        <v>Jalan</v>
      </c>
      <c r="Y85" s="207">
        <f t="shared" si="97"/>
        <v>10</v>
      </c>
      <c r="Z85" s="233">
        <f t="shared" si="98"/>
        <v>596382821.60000002</v>
      </c>
      <c r="AA85" s="208">
        <f t="shared" si="93"/>
        <v>0</v>
      </c>
      <c r="AB85" s="233">
        <f t="shared" si="99"/>
        <v>0</v>
      </c>
      <c r="AC85" s="233"/>
      <c r="AD85" s="233"/>
      <c r="AE85" s="233"/>
      <c r="AF85" s="238"/>
      <c r="AG85" s="238"/>
      <c r="AH85" s="238">
        <f t="shared" si="94"/>
        <v>0</v>
      </c>
      <c r="AI85" s="261">
        <f t="shared" si="104"/>
        <v>2018</v>
      </c>
      <c r="AJ85" s="233">
        <f t="shared" si="105"/>
        <v>5963828226</v>
      </c>
    </row>
    <row r="86" spans="1:36" s="116" customFormat="1" ht="35.25" customHeight="1" x14ac:dyDescent="0.2">
      <c r="A86" s="116">
        <v>92</v>
      </c>
      <c r="B86" s="116" t="str">
        <f t="shared" si="76"/>
        <v>SIMP. 4 PANGKALAN - MUARA PETAI</v>
      </c>
      <c r="D86" s="116" t="s">
        <v>3945</v>
      </c>
      <c r="E86" s="218" t="s">
        <v>4247</v>
      </c>
      <c r="F86" s="73"/>
      <c r="G86" s="67" t="str">
        <f t="shared" si="77"/>
        <v>JALAN SP. 4 PANGKALAN-MUARO PETAI-SITIANG (ASPAL)</v>
      </c>
      <c r="H86" s="396" t="str">
        <f t="shared" si="78"/>
        <v>04.13.01.03.06</v>
      </c>
      <c r="I86" s="396">
        <f t="shared" si="79"/>
        <v>0</v>
      </c>
      <c r="J86" s="396" t="str">
        <f t="shared" si="80"/>
        <v>Aspal</v>
      </c>
      <c r="K86" s="398">
        <f t="shared" si="81"/>
        <v>0</v>
      </c>
      <c r="L86" s="396">
        <f t="shared" si="82"/>
        <v>0</v>
      </c>
      <c r="M86" s="398">
        <f t="shared" si="83"/>
        <v>0</v>
      </c>
      <c r="N86" s="396" t="str">
        <f t="shared" si="84"/>
        <v>SIMPANG 4 PANGKALAN - MUARA PETAI - SITIANG</v>
      </c>
      <c r="O86" s="396">
        <f t="shared" si="85"/>
        <v>2013</v>
      </c>
      <c r="P86" s="396">
        <f t="shared" si="86"/>
        <v>0</v>
      </c>
      <c r="Q86" s="396">
        <f t="shared" si="87"/>
        <v>0</v>
      </c>
      <c r="R86" s="396">
        <f t="shared" si="88"/>
        <v>0</v>
      </c>
      <c r="S86" s="396" t="str">
        <f t="shared" si="89"/>
        <v>APBD</v>
      </c>
      <c r="T86" s="397">
        <f t="shared" si="90"/>
        <v>3025459495</v>
      </c>
      <c r="U86" s="396">
        <f t="shared" si="91"/>
        <v>0</v>
      </c>
      <c r="V86" s="396">
        <f t="shared" si="92"/>
        <v>0</v>
      </c>
      <c r="W86" s="206" t="str">
        <f t="shared" si="95"/>
        <v>04.13.01</v>
      </c>
      <c r="X86" s="207" t="str">
        <f t="shared" si="96"/>
        <v>Jalan</v>
      </c>
      <c r="Y86" s="207">
        <f t="shared" si="97"/>
        <v>10</v>
      </c>
      <c r="Z86" s="233">
        <f t="shared" si="98"/>
        <v>302545948.5</v>
      </c>
      <c r="AA86" s="208">
        <f t="shared" si="93"/>
        <v>0</v>
      </c>
      <c r="AB86" s="233">
        <f t="shared" si="99"/>
        <v>0</v>
      </c>
      <c r="AC86" s="233">
        <f t="shared" si="106"/>
        <v>302545948.5</v>
      </c>
      <c r="AD86" s="233">
        <f t="shared" si="100"/>
        <v>302545948.5</v>
      </c>
      <c r="AE86" s="233">
        <f t="shared" si="101"/>
        <v>302545948.5</v>
      </c>
      <c r="AF86" s="238">
        <f t="shared" si="102"/>
        <v>302545948.5</v>
      </c>
      <c r="AG86" s="238">
        <f t="shared" si="103"/>
        <v>302545948.5</v>
      </c>
      <c r="AH86" s="238">
        <f t="shared" si="94"/>
        <v>1512729742.5</v>
      </c>
      <c r="AI86" s="261">
        <f t="shared" si="104"/>
        <v>2013</v>
      </c>
      <c r="AJ86" s="233">
        <f t="shared" si="105"/>
        <v>1512729752.5</v>
      </c>
    </row>
    <row r="87" spans="1:36" s="120" customFormat="1" ht="35.25" customHeight="1" x14ac:dyDescent="0.2">
      <c r="A87" s="116">
        <v>92</v>
      </c>
      <c r="B87" s="116" t="str">
        <f t="shared" si="76"/>
        <v>SIMP. 4 PANGKALAN - MUARA PETAI</v>
      </c>
      <c r="D87" s="120" t="s">
        <v>3946</v>
      </c>
      <c r="E87" s="218" t="s">
        <v>4247</v>
      </c>
      <c r="F87" s="130"/>
      <c r="G87" s="67" t="str">
        <f t="shared" si="77"/>
        <v>PENINGKATAN JALAN SIMPANG 4 PANGKALAN - MUARA PETAI - SITIANG (ASPAL) (DAK)</v>
      </c>
      <c r="H87" s="396" t="str">
        <f t="shared" si="78"/>
        <v>04.13.01.03.06</v>
      </c>
      <c r="I87" s="396">
        <f t="shared" si="79"/>
        <v>0</v>
      </c>
      <c r="J87" s="396">
        <f t="shared" si="80"/>
        <v>0</v>
      </c>
      <c r="K87" s="398">
        <f t="shared" si="81"/>
        <v>0</v>
      </c>
      <c r="L87" s="396">
        <f t="shared" si="82"/>
        <v>0</v>
      </c>
      <c r="M87" s="398">
        <f t="shared" si="83"/>
        <v>0</v>
      </c>
      <c r="N87" s="396" t="str">
        <f t="shared" si="84"/>
        <v>SIMPANG 4 PANGKALAN - MUARA PETAI - SITIANG</v>
      </c>
      <c r="O87" s="396">
        <f t="shared" si="85"/>
        <v>2016</v>
      </c>
      <c r="P87" s="396">
        <f t="shared" si="86"/>
        <v>0</v>
      </c>
      <c r="Q87" s="396">
        <f t="shared" si="87"/>
        <v>0</v>
      </c>
      <c r="R87" s="396">
        <f t="shared" si="88"/>
        <v>0</v>
      </c>
      <c r="S87" s="396" t="str">
        <f t="shared" si="89"/>
        <v>APBD</v>
      </c>
      <c r="T87" s="397">
        <f t="shared" si="90"/>
        <v>4682270294.1660614</v>
      </c>
      <c r="U87" s="396">
        <f t="shared" si="91"/>
        <v>0</v>
      </c>
      <c r="V87" s="396">
        <f t="shared" si="92"/>
        <v>0</v>
      </c>
      <c r="W87" s="206" t="str">
        <f t="shared" si="95"/>
        <v>04.13.01</v>
      </c>
      <c r="X87" s="207" t="str">
        <f t="shared" si="96"/>
        <v>Jalan</v>
      </c>
      <c r="Y87" s="207">
        <f t="shared" si="97"/>
        <v>10</v>
      </c>
      <c r="Z87" s="233">
        <f t="shared" si="98"/>
        <v>468227028.41660613</v>
      </c>
      <c r="AA87" s="208">
        <f t="shared" si="93"/>
        <v>0</v>
      </c>
      <c r="AB87" s="233">
        <f t="shared" si="99"/>
        <v>0</v>
      </c>
      <c r="AC87" s="233"/>
      <c r="AD87" s="233"/>
      <c r="AE87" s="233">
        <f t="shared" si="101"/>
        <v>468227028.41660613</v>
      </c>
      <c r="AF87" s="238">
        <f t="shared" si="102"/>
        <v>468227028.41660613</v>
      </c>
      <c r="AG87" s="238">
        <f t="shared" si="103"/>
        <v>468227028.41660613</v>
      </c>
      <c r="AH87" s="238">
        <f t="shared" si="94"/>
        <v>1404681085.2498183</v>
      </c>
      <c r="AI87" s="261">
        <f t="shared" si="104"/>
        <v>2016</v>
      </c>
      <c r="AJ87" s="233">
        <f t="shared" si="105"/>
        <v>3277589208.9162431</v>
      </c>
    </row>
    <row r="88" spans="1:36" s="120" customFormat="1" ht="35.25" customHeight="1" x14ac:dyDescent="0.2">
      <c r="A88" s="116">
        <v>93</v>
      </c>
      <c r="B88" s="116" t="str">
        <f t="shared" si="76"/>
        <v>SIMP. KINALI - BUKIT KAUMAN</v>
      </c>
      <c r="D88" s="120" t="s">
        <v>3947</v>
      </c>
      <c r="E88" s="218" t="s">
        <v>4247</v>
      </c>
      <c r="F88" s="130"/>
      <c r="G88" s="67" t="str">
        <f t="shared" si="77"/>
        <v>JALAN KABUPATEN LOKAL</v>
      </c>
      <c r="H88" s="396" t="str">
        <f t="shared" si="78"/>
        <v>04.13.01.03.06</v>
      </c>
      <c r="I88" s="396">
        <f t="shared" si="79"/>
        <v>0</v>
      </c>
      <c r="J88" s="396" t="str">
        <f t="shared" si="80"/>
        <v>ASPAL HOTMIX</v>
      </c>
      <c r="K88" s="398" t="str">
        <f t="shared" si="81"/>
        <v>4000</v>
      </c>
      <c r="L88" s="396">
        <f t="shared" si="82"/>
        <v>7</v>
      </c>
      <c r="M88" s="398">
        <f t="shared" si="83"/>
        <v>28000</v>
      </c>
      <c r="N88" s="396" t="str">
        <f t="shared" si="84"/>
        <v>SIMPANG KINALI-BUKIT KAUMAN</v>
      </c>
      <c r="O88" s="396">
        <f t="shared" si="85"/>
        <v>2001</v>
      </c>
      <c r="P88" s="396">
        <f t="shared" si="86"/>
        <v>0</v>
      </c>
      <c r="Q88" s="396">
        <f t="shared" si="87"/>
        <v>0</v>
      </c>
      <c r="R88" s="396" t="str">
        <f t="shared" si="88"/>
        <v>12.04.06.05.01.00</v>
      </c>
      <c r="S88" s="396" t="str">
        <f t="shared" si="89"/>
        <v>APBD</v>
      </c>
      <c r="T88" s="397">
        <f t="shared" si="90"/>
        <v>3640000000</v>
      </c>
      <c r="U88" s="396" t="str">
        <f t="shared" si="91"/>
        <v>B</v>
      </c>
      <c r="V88" s="396">
        <f t="shared" si="92"/>
        <v>0</v>
      </c>
      <c r="W88" s="206" t="str">
        <f t="shared" si="95"/>
        <v>04.13.01</v>
      </c>
      <c r="X88" s="207" t="str">
        <f t="shared" si="96"/>
        <v>Jalan</v>
      </c>
      <c r="Y88" s="207">
        <f t="shared" si="97"/>
        <v>10</v>
      </c>
      <c r="Z88" s="233">
        <f t="shared" si="98"/>
        <v>363999999</v>
      </c>
      <c r="AA88" s="208">
        <f t="shared" si="93"/>
        <v>10</v>
      </c>
      <c r="AB88" s="233">
        <f t="shared" si="99"/>
        <v>3639999990</v>
      </c>
      <c r="AC88" s="233">
        <f t="shared" si="106"/>
        <v>0</v>
      </c>
      <c r="AD88" s="233">
        <f t="shared" si="100"/>
        <v>0</v>
      </c>
      <c r="AE88" s="233">
        <f t="shared" si="101"/>
        <v>0</v>
      </c>
      <c r="AF88" s="238">
        <f t="shared" si="102"/>
        <v>0</v>
      </c>
      <c r="AG88" s="238">
        <f t="shared" si="103"/>
        <v>0</v>
      </c>
      <c r="AH88" s="238">
        <f t="shared" si="94"/>
        <v>3639999990</v>
      </c>
      <c r="AI88" s="261">
        <f t="shared" si="104"/>
        <v>2001</v>
      </c>
      <c r="AJ88" s="233">
        <f t="shared" si="105"/>
        <v>10</v>
      </c>
    </row>
    <row r="89" spans="1:36" s="116" customFormat="1" ht="35.25" customHeight="1" x14ac:dyDescent="0.2">
      <c r="A89" s="116">
        <v>93</v>
      </c>
      <c r="B89" s="116" t="str">
        <f t="shared" si="76"/>
        <v>SIMP. KINALI - BUKIT KAUMAN</v>
      </c>
      <c r="D89" s="116" t="s">
        <v>3948</v>
      </c>
      <c r="E89" s="218" t="s">
        <v>4247</v>
      </c>
      <c r="F89" s="53"/>
      <c r="G89" s="67" t="str">
        <f t="shared" si="77"/>
        <v>PENINGKATAN JALAN SP. KINALI - BUKIT KAUMAN</v>
      </c>
      <c r="H89" s="396" t="str">
        <f t="shared" si="78"/>
        <v>04.13.01.03.06</v>
      </c>
      <c r="I89" s="396">
        <f t="shared" si="79"/>
        <v>0</v>
      </c>
      <c r="J89" s="396">
        <f t="shared" si="80"/>
        <v>0</v>
      </c>
      <c r="K89" s="398">
        <f t="shared" si="81"/>
        <v>0</v>
      </c>
      <c r="L89" s="396">
        <f t="shared" si="82"/>
        <v>0</v>
      </c>
      <c r="M89" s="398">
        <f t="shared" si="83"/>
        <v>0</v>
      </c>
      <c r="N89" s="396" t="str">
        <f t="shared" si="84"/>
        <v>SIMPANG KINALI-BUKIT KAUMAN</v>
      </c>
      <c r="O89" s="396">
        <f t="shared" si="85"/>
        <v>2015</v>
      </c>
      <c r="P89" s="396">
        <f t="shared" si="86"/>
        <v>0</v>
      </c>
      <c r="Q89" s="396">
        <f t="shared" si="87"/>
        <v>0</v>
      </c>
      <c r="R89" s="396">
        <f t="shared" si="88"/>
        <v>0</v>
      </c>
      <c r="S89" s="396" t="str">
        <f t="shared" si="89"/>
        <v>APBD</v>
      </c>
      <c r="T89" s="397">
        <f t="shared" si="90"/>
        <v>1656251100</v>
      </c>
      <c r="U89" s="396">
        <f t="shared" si="91"/>
        <v>0</v>
      </c>
      <c r="V89" s="396">
        <f t="shared" si="92"/>
        <v>0</v>
      </c>
      <c r="W89" s="206" t="str">
        <f t="shared" si="95"/>
        <v>04.13.01</v>
      </c>
      <c r="X89" s="207" t="str">
        <f t="shared" si="96"/>
        <v>Jalan</v>
      </c>
      <c r="Y89" s="207">
        <f t="shared" si="97"/>
        <v>10</v>
      </c>
      <c r="Z89" s="233">
        <f t="shared" si="98"/>
        <v>165625109</v>
      </c>
      <c r="AA89" s="208">
        <f t="shared" si="93"/>
        <v>0</v>
      </c>
      <c r="AB89" s="233">
        <f t="shared" si="99"/>
        <v>0</v>
      </c>
      <c r="AC89" s="233"/>
      <c r="AD89" s="233">
        <f t="shared" si="100"/>
        <v>165625109</v>
      </c>
      <c r="AE89" s="233">
        <f t="shared" si="101"/>
        <v>165625109</v>
      </c>
      <c r="AF89" s="238">
        <f t="shared" si="102"/>
        <v>165625109</v>
      </c>
      <c r="AG89" s="238">
        <f t="shared" si="103"/>
        <v>165625109</v>
      </c>
      <c r="AH89" s="238">
        <f t="shared" si="94"/>
        <v>662500436</v>
      </c>
      <c r="AI89" s="261">
        <f t="shared" si="104"/>
        <v>2015</v>
      </c>
      <c r="AJ89" s="233">
        <f t="shared" si="105"/>
        <v>993750664</v>
      </c>
    </row>
    <row r="90" spans="1:36" s="116" customFormat="1" ht="35.25" customHeight="1" x14ac:dyDescent="0.2">
      <c r="A90" s="116">
        <v>117</v>
      </c>
      <c r="B90" s="116" t="str">
        <f t="shared" ref="B90:B148" si="107">VLOOKUP(A90,RUAS,2,FALSE)</f>
        <v>KAMPUNG BARU TOAR - GUNUNG</v>
      </c>
      <c r="D90" s="116" t="s">
        <v>3956</v>
      </c>
      <c r="E90" s="218" t="s">
        <v>4247</v>
      </c>
      <c r="F90" s="73"/>
      <c r="G90" s="67" t="str">
        <f t="shared" si="77"/>
        <v>JALAN DESA</v>
      </c>
      <c r="H90" s="396" t="str">
        <f t="shared" si="78"/>
        <v>04.13.01.04.01</v>
      </c>
      <c r="I90" s="396">
        <f t="shared" si="79"/>
        <v>0</v>
      </c>
      <c r="J90" s="396" t="str">
        <f t="shared" si="80"/>
        <v>BATU PECAH / MACADAM</v>
      </c>
      <c r="K90" s="398">
        <f t="shared" si="81"/>
        <v>3000</v>
      </c>
      <c r="L90" s="396">
        <f t="shared" si="82"/>
        <v>7</v>
      </c>
      <c r="M90" s="398">
        <f t="shared" si="83"/>
        <v>21000</v>
      </c>
      <c r="N90" s="396" t="str">
        <f t="shared" si="84"/>
        <v>KP. BARU TOAR-PASAR GUNUNG</v>
      </c>
      <c r="O90" s="396">
        <f t="shared" si="85"/>
        <v>2001</v>
      </c>
      <c r="P90" s="396">
        <f t="shared" si="86"/>
        <v>0</v>
      </c>
      <c r="Q90" s="396">
        <f t="shared" si="87"/>
        <v>0</v>
      </c>
      <c r="R90" s="396" t="str">
        <f t="shared" si="88"/>
        <v>12.04.06.05.01..00</v>
      </c>
      <c r="S90" s="396" t="str">
        <f t="shared" si="89"/>
        <v>APBD</v>
      </c>
      <c r="T90" s="397">
        <f t="shared" si="90"/>
        <v>1248000000</v>
      </c>
      <c r="U90" s="396" t="str">
        <f t="shared" si="91"/>
        <v>B</v>
      </c>
      <c r="V90" s="396">
        <f t="shared" si="92"/>
        <v>0</v>
      </c>
      <c r="W90" s="206" t="str">
        <f t="shared" si="95"/>
        <v>04.13.01</v>
      </c>
      <c r="X90" s="207" t="str">
        <f t="shared" si="96"/>
        <v>Jalan</v>
      </c>
      <c r="Y90" s="207">
        <f t="shared" si="97"/>
        <v>10</v>
      </c>
      <c r="Z90" s="233">
        <f t="shared" si="98"/>
        <v>124799999</v>
      </c>
      <c r="AA90" s="208">
        <f t="shared" si="93"/>
        <v>10</v>
      </c>
      <c r="AB90" s="233">
        <f t="shared" si="99"/>
        <v>1247999990</v>
      </c>
      <c r="AC90" s="233">
        <f t="shared" si="106"/>
        <v>0</v>
      </c>
      <c r="AD90" s="233">
        <f t="shared" si="100"/>
        <v>0</v>
      </c>
      <c r="AE90" s="233">
        <f t="shared" si="101"/>
        <v>0</v>
      </c>
      <c r="AF90" s="238">
        <f t="shared" si="102"/>
        <v>0</v>
      </c>
      <c r="AG90" s="238">
        <f t="shared" si="103"/>
        <v>0</v>
      </c>
      <c r="AH90" s="238">
        <f t="shared" si="94"/>
        <v>1247999990</v>
      </c>
      <c r="AI90" s="261">
        <f t="shared" si="104"/>
        <v>2001</v>
      </c>
      <c r="AJ90" s="233">
        <f t="shared" si="105"/>
        <v>10</v>
      </c>
    </row>
    <row r="91" spans="1:36" s="116" customFormat="1" ht="35.25" customHeight="1" x14ac:dyDescent="0.2">
      <c r="A91" s="116">
        <v>117</v>
      </c>
      <c r="B91" s="116" t="str">
        <f t="shared" si="107"/>
        <v>KAMPUNG BARU TOAR - GUNUNG</v>
      </c>
      <c r="D91" s="116" t="s">
        <v>3957</v>
      </c>
      <c r="E91" s="218" t="s">
        <v>4247</v>
      </c>
      <c r="F91" s="53"/>
      <c r="G91" s="67" t="str">
        <f t="shared" si="77"/>
        <v>JLN. KP. BARU TOAR-PASAR GUNUNG (ASPAL)</v>
      </c>
      <c r="H91" s="396" t="str">
        <f t="shared" si="78"/>
        <v>04.13.01.03.06</v>
      </c>
      <c r="I91" s="396">
        <f t="shared" si="79"/>
        <v>0</v>
      </c>
      <c r="J91" s="396" t="str">
        <f t="shared" si="80"/>
        <v>Aspal</v>
      </c>
      <c r="K91" s="398">
        <f t="shared" si="81"/>
        <v>0</v>
      </c>
      <c r="L91" s="396">
        <f t="shared" si="82"/>
        <v>0</v>
      </c>
      <c r="M91" s="398">
        <f t="shared" si="83"/>
        <v>0</v>
      </c>
      <c r="N91" s="396" t="str">
        <f t="shared" si="84"/>
        <v>KP. BARU TOAR-PASAR GUNUNG</v>
      </c>
      <c r="O91" s="396">
        <f t="shared" si="85"/>
        <v>2013</v>
      </c>
      <c r="P91" s="396">
        <f t="shared" si="86"/>
        <v>0</v>
      </c>
      <c r="Q91" s="396">
        <f t="shared" si="87"/>
        <v>0</v>
      </c>
      <c r="R91" s="396">
        <f t="shared" si="88"/>
        <v>0</v>
      </c>
      <c r="S91" s="396" t="str">
        <f t="shared" si="89"/>
        <v>APBD</v>
      </c>
      <c r="T91" s="397">
        <f t="shared" si="90"/>
        <v>1701051417</v>
      </c>
      <c r="U91" s="396">
        <f t="shared" si="91"/>
        <v>0</v>
      </c>
      <c r="V91" s="396">
        <f t="shared" si="92"/>
        <v>0</v>
      </c>
      <c r="W91" s="206" t="str">
        <f t="shared" si="95"/>
        <v>04.13.01</v>
      </c>
      <c r="X91" s="207" t="str">
        <f t="shared" si="96"/>
        <v>Jalan</v>
      </c>
      <c r="Y91" s="207">
        <f t="shared" si="97"/>
        <v>10</v>
      </c>
      <c r="Z91" s="233">
        <f t="shared" si="98"/>
        <v>170105140.69999999</v>
      </c>
      <c r="AA91" s="208">
        <f t="shared" si="93"/>
        <v>0</v>
      </c>
      <c r="AB91" s="233">
        <f t="shared" si="99"/>
        <v>0</v>
      </c>
      <c r="AC91" s="233">
        <f t="shared" si="106"/>
        <v>170105140.69999999</v>
      </c>
      <c r="AD91" s="233">
        <f t="shared" si="100"/>
        <v>170105140.69999999</v>
      </c>
      <c r="AE91" s="233">
        <f t="shared" si="101"/>
        <v>170105140.69999999</v>
      </c>
      <c r="AF91" s="238">
        <f t="shared" si="102"/>
        <v>170105140.69999999</v>
      </c>
      <c r="AG91" s="238">
        <f t="shared" si="103"/>
        <v>170105140.69999999</v>
      </c>
      <c r="AH91" s="238">
        <f t="shared" si="94"/>
        <v>850525703.5</v>
      </c>
      <c r="AI91" s="261">
        <f t="shared" si="104"/>
        <v>2013</v>
      </c>
      <c r="AJ91" s="233">
        <f t="shared" si="105"/>
        <v>850525713.5</v>
      </c>
    </row>
    <row r="92" spans="1:36" s="116" customFormat="1" ht="35.25" customHeight="1" x14ac:dyDescent="0.2">
      <c r="A92" s="116">
        <v>124</v>
      </c>
      <c r="B92" s="116" t="str">
        <f t="shared" si="107"/>
        <v>MUDIK ULO - SUMPU</v>
      </c>
      <c r="D92" s="116" t="s">
        <v>3963</v>
      </c>
      <c r="E92" s="218" t="s">
        <v>4247</v>
      </c>
      <c r="F92" s="53"/>
      <c r="G92" s="67" t="str">
        <f t="shared" si="77"/>
        <v>JALAN KABUPATEN LOKAL</v>
      </c>
      <c r="H92" s="396" t="str">
        <f t="shared" si="78"/>
        <v>04.13.01.03.06</v>
      </c>
      <c r="I92" s="396">
        <f t="shared" si="79"/>
        <v>0</v>
      </c>
      <c r="J92" s="396" t="str">
        <f t="shared" si="80"/>
        <v>BATU PECAH / MACADAM</v>
      </c>
      <c r="K92" s="398" t="str">
        <f t="shared" si="81"/>
        <v>7000</v>
      </c>
      <c r="L92" s="396">
        <f t="shared" si="82"/>
        <v>7</v>
      </c>
      <c r="M92" s="398">
        <f t="shared" si="83"/>
        <v>49000</v>
      </c>
      <c r="N92" s="396" t="str">
        <f t="shared" si="84"/>
        <v>JALAN MUDIK ULO-SUMPU</v>
      </c>
      <c r="O92" s="396">
        <f t="shared" si="85"/>
        <v>2001</v>
      </c>
      <c r="P92" s="396">
        <f t="shared" si="86"/>
        <v>0</v>
      </c>
      <c r="Q92" s="396">
        <f t="shared" si="87"/>
        <v>0</v>
      </c>
      <c r="R92" s="396" t="str">
        <f t="shared" si="88"/>
        <v>12.04.06.05.01..00</v>
      </c>
      <c r="S92" s="396" t="str">
        <f t="shared" si="89"/>
        <v>APBD</v>
      </c>
      <c r="T92" s="397">
        <f t="shared" si="90"/>
        <v>864000000</v>
      </c>
      <c r="U92" s="396" t="str">
        <f t="shared" si="91"/>
        <v>B</v>
      </c>
      <c r="V92" s="396">
        <f t="shared" si="92"/>
        <v>0</v>
      </c>
      <c r="W92" s="206" t="str">
        <f t="shared" si="95"/>
        <v>04.13.01</v>
      </c>
      <c r="X92" s="207" t="str">
        <f t="shared" si="96"/>
        <v>Jalan</v>
      </c>
      <c r="Y92" s="207">
        <f t="shared" si="97"/>
        <v>10</v>
      </c>
      <c r="Z92" s="233">
        <f t="shared" si="98"/>
        <v>86399999</v>
      </c>
      <c r="AA92" s="208">
        <f t="shared" si="93"/>
        <v>10</v>
      </c>
      <c r="AB92" s="233">
        <f t="shared" si="99"/>
        <v>863999990</v>
      </c>
      <c r="AC92" s="233">
        <f t="shared" si="106"/>
        <v>0</v>
      </c>
      <c r="AD92" s="233">
        <f t="shared" si="100"/>
        <v>0</v>
      </c>
      <c r="AE92" s="233">
        <f t="shared" si="101"/>
        <v>0</v>
      </c>
      <c r="AF92" s="238">
        <f t="shared" si="102"/>
        <v>0</v>
      </c>
      <c r="AG92" s="238">
        <f t="shared" si="103"/>
        <v>0</v>
      </c>
      <c r="AH92" s="238">
        <f t="shared" si="94"/>
        <v>863999990</v>
      </c>
      <c r="AI92" s="261">
        <f t="shared" si="104"/>
        <v>2001</v>
      </c>
      <c r="AJ92" s="233">
        <f t="shared" si="105"/>
        <v>10</v>
      </c>
    </row>
    <row r="93" spans="1:36" s="116" customFormat="1" ht="35.25" customHeight="1" x14ac:dyDescent="0.2">
      <c r="A93" s="116">
        <v>124</v>
      </c>
      <c r="B93" s="116" t="str">
        <f t="shared" si="107"/>
        <v>MUDIK ULO - SUMPU</v>
      </c>
      <c r="D93" s="116" t="s">
        <v>3964</v>
      </c>
      <c r="E93" s="218" t="s">
        <v>4247</v>
      </c>
      <c r="F93" s="53"/>
      <c r="G93" s="67" t="str">
        <f t="shared" si="77"/>
        <v>JALAN KABUPATEN LOKAL</v>
      </c>
      <c r="H93" s="396" t="str">
        <f t="shared" si="78"/>
        <v>04.13.01.03.06</v>
      </c>
      <c r="I93" s="396">
        <f t="shared" si="79"/>
        <v>0</v>
      </c>
      <c r="J93" s="396" t="str">
        <f t="shared" si="80"/>
        <v>TANAH</v>
      </c>
      <c r="K93" s="398" t="str">
        <f t="shared" si="81"/>
        <v>7000</v>
      </c>
      <c r="L93" s="396">
        <f t="shared" si="82"/>
        <v>0</v>
      </c>
      <c r="M93" s="398">
        <f t="shared" si="83"/>
        <v>0</v>
      </c>
      <c r="N93" s="396" t="str">
        <f t="shared" si="84"/>
        <v>JALAN MUDIK ULO-SUMPU</v>
      </c>
      <c r="O93" s="396">
        <f t="shared" si="85"/>
        <v>2001</v>
      </c>
      <c r="P93" s="396">
        <f t="shared" si="86"/>
        <v>0</v>
      </c>
      <c r="Q93" s="396">
        <f t="shared" si="87"/>
        <v>0</v>
      </c>
      <c r="R93" s="396" t="str">
        <f t="shared" si="88"/>
        <v>12.04.06.05.01..00</v>
      </c>
      <c r="S93" s="396" t="str">
        <f t="shared" si="89"/>
        <v>APBD</v>
      </c>
      <c r="T93" s="397">
        <f t="shared" si="90"/>
        <v>540000000</v>
      </c>
      <c r="U93" s="396" t="str">
        <f t="shared" si="91"/>
        <v>B</v>
      </c>
      <c r="V93" s="396">
        <f t="shared" si="92"/>
        <v>0</v>
      </c>
      <c r="W93" s="206" t="str">
        <f t="shared" si="95"/>
        <v>04.13.01</v>
      </c>
      <c r="X93" s="207" t="str">
        <f t="shared" si="96"/>
        <v>Jalan</v>
      </c>
      <c r="Y93" s="207">
        <f t="shared" si="97"/>
        <v>10</v>
      </c>
      <c r="Z93" s="233">
        <f t="shared" si="98"/>
        <v>53999999</v>
      </c>
      <c r="AA93" s="208">
        <f t="shared" si="93"/>
        <v>10</v>
      </c>
      <c r="AB93" s="233">
        <f t="shared" si="99"/>
        <v>539999990</v>
      </c>
      <c r="AC93" s="233">
        <f t="shared" si="106"/>
        <v>0</v>
      </c>
      <c r="AD93" s="233">
        <f t="shared" si="100"/>
        <v>0</v>
      </c>
      <c r="AE93" s="233">
        <f t="shared" si="101"/>
        <v>0</v>
      </c>
      <c r="AF93" s="238">
        <f t="shared" si="102"/>
        <v>0</v>
      </c>
      <c r="AG93" s="238">
        <f t="shared" si="103"/>
        <v>0</v>
      </c>
      <c r="AH93" s="238">
        <f t="shared" si="94"/>
        <v>539999990</v>
      </c>
      <c r="AI93" s="261">
        <f t="shared" si="104"/>
        <v>2001</v>
      </c>
      <c r="AJ93" s="233">
        <f t="shared" si="105"/>
        <v>10</v>
      </c>
    </row>
    <row r="94" spans="1:36" s="116" customFormat="1" ht="35.25" customHeight="1" x14ac:dyDescent="0.2">
      <c r="A94" s="116">
        <v>124</v>
      </c>
      <c r="B94" s="116" t="str">
        <f t="shared" si="107"/>
        <v>MUDIK ULO - SUMPU</v>
      </c>
      <c r="D94" s="116" t="s">
        <v>3965</v>
      </c>
      <c r="E94" s="218" t="s">
        <v>4247</v>
      </c>
      <c r="F94" s="53"/>
      <c r="G94" s="67" t="str">
        <f t="shared" si="77"/>
        <v xml:space="preserve">PENINGKATAN JALAN MUDIK ULO - INUMAN - SUMPU </v>
      </c>
      <c r="H94" s="396" t="str">
        <f t="shared" si="78"/>
        <v>04.13.01.03.06</v>
      </c>
      <c r="I94" s="396">
        <f t="shared" si="79"/>
        <v>0</v>
      </c>
      <c r="J94" s="396">
        <f t="shared" si="80"/>
        <v>0</v>
      </c>
      <c r="K94" s="398">
        <f t="shared" si="81"/>
        <v>0</v>
      </c>
      <c r="L94" s="396">
        <f t="shared" si="82"/>
        <v>0</v>
      </c>
      <c r="M94" s="398">
        <f t="shared" si="83"/>
        <v>0</v>
      </c>
      <c r="N94" s="396" t="str">
        <f t="shared" si="84"/>
        <v xml:space="preserve">MUDIK ULO - INUMAN - SUMPU </v>
      </c>
      <c r="O94" s="396">
        <f t="shared" si="85"/>
        <v>2016</v>
      </c>
      <c r="P94" s="396">
        <f t="shared" si="86"/>
        <v>0</v>
      </c>
      <c r="Q94" s="396">
        <f t="shared" si="87"/>
        <v>0</v>
      </c>
      <c r="R94" s="396">
        <f t="shared" si="88"/>
        <v>0</v>
      </c>
      <c r="S94" s="396" t="str">
        <f t="shared" si="89"/>
        <v>APBD</v>
      </c>
      <c r="T94" s="397">
        <f t="shared" si="90"/>
        <v>1997824226.8399999</v>
      </c>
      <c r="U94" s="396">
        <f t="shared" si="91"/>
        <v>0</v>
      </c>
      <c r="V94" s="396">
        <f t="shared" si="92"/>
        <v>0</v>
      </c>
      <c r="W94" s="206" t="str">
        <f t="shared" si="95"/>
        <v>04.13.01</v>
      </c>
      <c r="X94" s="207" t="str">
        <f t="shared" si="96"/>
        <v>Jalan</v>
      </c>
      <c r="Y94" s="207">
        <f t="shared" si="97"/>
        <v>10</v>
      </c>
      <c r="Z94" s="233">
        <f t="shared" si="98"/>
        <v>199782421.68399999</v>
      </c>
      <c r="AA94" s="208">
        <f t="shared" si="93"/>
        <v>0</v>
      </c>
      <c r="AB94" s="233">
        <f t="shared" si="99"/>
        <v>0</v>
      </c>
      <c r="AC94" s="233"/>
      <c r="AD94" s="233"/>
      <c r="AE94" s="233">
        <f t="shared" si="101"/>
        <v>199782421.68399999</v>
      </c>
      <c r="AF94" s="238">
        <f t="shared" si="102"/>
        <v>199782421.68399999</v>
      </c>
      <c r="AG94" s="238">
        <f t="shared" si="103"/>
        <v>199782421.68399999</v>
      </c>
      <c r="AH94" s="238">
        <f t="shared" si="94"/>
        <v>599347265.05199993</v>
      </c>
      <c r="AI94" s="261">
        <f t="shared" si="104"/>
        <v>2016</v>
      </c>
      <c r="AJ94" s="233">
        <f t="shared" si="105"/>
        <v>1398476961.7880001</v>
      </c>
    </row>
    <row r="95" spans="1:36" s="116" customFormat="1" ht="35.25" customHeight="1" x14ac:dyDescent="0.2">
      <c r="A95" s="116">
        <v>124</v>
      </c>
      <c r="B95" s="116" t="str">
        <f t="shared" si="107"/>
        <v>MUDIK ULO - SUMPU</v>
      </c>
      <c r="D95" s="116" t="s">
        <v>3966</v>
      </c>
      <c r="E95" s="218" t="s">
        <v>4247</v>
      </c>
      <c r="F95" s="53"/>
      <c r="G95" s="67" t="str">
        <f t="shared" si="77"/>
        <v>PEMELIHARAAN JALAN MUDIK ULO - INUMAN - SUMPU</v>
      </c>
      <c r="H95" s="396" t="str">
        <f t="shared" si="78"/>
        <v>04.13.01.03.06</v>
      </c>
      <c r="I95" s="396">
        <f t="shared" si="79"/>
        <v>0</v>
      </c>
      <c r="J95" s="396">
        <f t="shared" si="80"/>
        <v>0</v>
      </c>
      <c r="K95" s="398">
        <f t="shared" si="81"/>
        <v>0</v>
      </c>
      <c r="L95" s="396">
        <f t="shared" si="82"/>
        <v>0</v>
      </c>
      <c r="M95" s="398">
        <f t="shared" si="83"/>
        <v>0</v>
      </c>
      <c r="N95" s="396" t="str">
        <f t="shared" si="84"/>
        <v>MUDIK ULO - INUMAN - SUMPU</v>
      </c>
      <c r="O95" s="396">
        <f t="shared" si="85"/>
        <v>2018</v>
      </c>
      <c r="P95" s="396">
        <f t="shared" si="86"/>
        <v>0</v>
      </c>
      <c r="Q95" s="396">
        <f t="shared" si="87"/>
        <v>0</v>
      </c>
      <c r="R95" s="396">
        <f t="shared" si="88"/>
        <v>0</v>
      </c>
      <c r="S95" s="396" t="str">
        <f t="shared" si="89"/>
        <v>APBD</v>
      </c>
      <c r="T95" s="397">
        <f t="shared" si="90"/>
        <v>391707000</v>
      </c>
      <c r="U95" s="396">
        <f t="shared" si="91"/>
        <v>0</v>
      </c>
      <c r="V95" s="396">
        <f t="shared" si="92"/>
        <v>0</v>
      </c>
      <c r="W95" s="206" t="str">
        <f t="shared" si="95"/>
        <v>04.13.01</v>
      </c>
      <c r="X95" s="207" t="str">
        <f t="shared" si="96"/>
        <v>Jalan</v>
      </c>
      <c r="Y95" s="207">
        <f t="shared" si="97"/>
        <v>10</v>
      </c>
      <c r="Z95" s="233">
        <f t="shared" si="98"/>
        <v>39170699</v>
      </c>
      <c r="AA95" s="208">
        <f t="shared" si="93"/>
        <v>0</v>
      </c>
      <c r="AB95" s="233">
        <f t="shared" si="99"/>
        <v>0</v>
      </c>
      <c r="AC95" s="233"/>
      <c r="AD95" s="233"/>
      <c r="AE95" s="233"/>
      <c r="AF95" s="238"/>
      <c r="AG95" s="238"/>
      <c r="AH95" s="238">
        <f t="shared" si="94"/>
        <v>0</v>
      </c>
      <c r="AI95" s="261">
        <f t="shared" si="104"/>
        <v>2018</v>
      </c>
      <c r="AJ95" s="233">
        <f t="shared" si="105"/>
        <v>391707000</v>
      </c>
    </row>
    <row r="96" spans="1:36" s="116" customFormat="1" ht="35.25" customHeight="1" x14ac:dyDescent="0.2">
      <c r="A96" s="116">
        <v>129</v>
      </c>
      <c r="B96" s="116" t="str">
        <f t="shared" si="107"/>
        <v>BASERAH - PERHENTIAN LUAS</v>
      </c>
      <c r="D96" s="116" t="s">
        <v>3967</v>
      </c>
      <c r="E96" s="218" t="s">
        <v>4247</v>
      </c>
      <c r="F96" s="53"/>
      <c r="G96" s="67" t="str">
        <f t="shared" si="77"/>
        <v>PENINGKATAN JALAN BASERAH - PERHENTIAN LUAS (ASPAL) 1,00 KM)</v>
      </c>
      <c r="H96" s="396" t="str">
        <f t="shared" si="78"/>
        <v>04.13.01.03.06</v>
      </c>
      <c r="I96" s="396">
        <f t="shared" si="79"/>
        <v>0</v>
      </c>
      <c r="J96" s="396" t="str">
        <f t="shared" si="80"/>
        <v>Aspal</v>
      </c>
      <c r="K96" s="398">
        <f t="shared" si="81"/>
        <v>0</v>
      </c>
      <c r="L96" s="396">
        <f t="shared" si="82"/>
        <v>0</v>
      </c>
      <c r="M96" s="398">
        <f t="shared" si="83"/>
        <v>1000</v>
      </c>
      <c r="N96" s="396" t="str">
        <f t="shared" si="84"/>
        <v>BASERAH - PERHENTIAN LUAS</v>
      </c>
      <c r="O96" s="396">
        <f t="shared" si="85"/>
        <v>2011</v>
      </c>
      <c r="P96" s="396">
        <f t="shared" si="86"/>
        <v>0</v>
      </c>
      <c r="Q96" s="396">
        <f t="shared" si="87"/>
        <v>0</v>
      </c>
      <c r="R96" s="396">
        <f t="shared" si="88"/>
        <v>0</v>
      </c>
      <c r="S96" s="396" t="str">
        <f t="shared" si="89"/>
        <v>APBD</v>
      </c>
      <c r="T96" s="397">
        <f t="shared" si="90"/>
        <v>3257404911.7153997</v>
      </c>
      <c r="U96" s="396" t="str">
        <f t="shared" si="91"/>
        <v>B</v>
      </c>
      <c r="V96" s="396">
        <f t="shared" si="92"/>
        <v>0</v>
      </c>
      <c r="W96" s="206" t="str">
        <f t="shared" si="95"/>
        <v>04.13.01</v>
      </c>
      <c r="X96" s="207" t="str">
        <f t="shared" si="96"/>
        <v>Jalan</v>
      </c>
      <c r="Y96" s="207">
        <f t="shared" si="97"/>
        <v>10</v>
      </c>
      <c r="Z96" s="233">
        <f t="shared" si="98"/>
        <v>325740490.17153996</v>
      </c>
      <c r="AA96" s="208">
        <f t="shared" si="93"/>
        <v>2</v>
      </c>
      <c r="AB96" s="233">
        <f t="shared" si="99"/>
        <v>651480980.34307992</v>
      </c>
      <c r="AC96" s="233">
        <f t="shared" si="106"/>
        <v>325740490.17153996</v>
      </c>
      <c r="AD96" s="233">
        <f t="shared" si="100"/>
        <v>325740490.17153996</v>
      </c>
      <c r="AE96" s="233">
        <f t="shared" si="101"/>
        <v>325740490.17153996</v>
      </c>
      <c r="AF96" s="238">
        <f t="shared" si="102"/>
        <v>325740490.17153996</v>
      </c>
      <c r="AG96" s="238">
        <f t="shared" si="103"/>
        <v>325740490.17153996</v>
      </c>
      <c r="AH96" s="238">
        <f t="shared" si="94"/>
        <v>2280183431.2007799</v>
      </c>
      <c r="AI96" s="261">
        <f t="shared" si="104"/>
        <v>2011</v>
      </c>
      <c r="AJ96" s="233">
        <f t="shared" si="105"/>
        <v>977221480.51461983</v>
      </c>
    </row>
    <row r="97" spans="1:36" s="116" customFormat="1" ht="35.25" customHeight="1" x14ac:dyDescent="0.2">
      <c r="A97" s="116">
        <v>129</v>
      </c>
      <c r="B97" s="116" t="str">
        <f>VLOOKUP(A97,RUAS,2,FALSE)</f>
        <v>BASERAH - PERHENTIAN LUAS</v>
      </c>
      <c r="D97" s="116" t="s">
        <v>4124</v>
      </c>
      <c r="E97" s="218" t="s">
        <v>4247</v>
      </c>
      <c r="F97" s="53"/>
      <c r="G97" s="67" t="str">
        <f>VLOOKUP(D97,ACUAN,4,FALSE)</f>
        <v xml:space="preserve">PENINGKATAN JALAN BASERAH-PERHENTIAN LUAS (DESA TERATAK RENDAH) ASPAL 1,00 KM </v>
      </c>
      <c r="H97" s="396" t="str">
        <f>VLOOKUP(D97,ACUAN,5,FALSE)</f>
        <v>04.13.01.03.06</v>
      </c>
      <c r="I97" s="396">
        <f>VLOOKUP(D97,ACUAN,6,FALSE)</f>
        <v>0</v>
      </c>
      <c r="J97" s="396" t="str">
        <f>VLOOKUP(D97,ACUAN,7,FALSE)</f>
        <v>Aspal</v>
      </c>
      <c r="K97" s="398">
        <f>VLOOKUP(D97,ACUAN,8,FALSE)</f>
        <v>0</v>
      </c>
      <c r="L97" s="396">
        <f>VLOOKUP(D97,ACUAN,9,FALSE)</f>
        <v>0</v>
      </c>
      <c r="M97" s="398">
        <f>VLOOKUP(D97,ACUAN,10,FALSE)</f>
        <v>0</v>
      </c>
      <c r="N97" s="396" t="str">
        <f>VLOOKUP(D97,ACUAN,11,FALSE)</f>
        <v>BASERAH-PERHENTIAN LUAS (DESA TERATAK RENDAH)</v>
      </c>
      <c r="O97" s="396">
        <f>VLOOKUP(D97,ACUAN,12,FALSE)</f>
        <v>2012</v>
      </c>
      <c r="P97" s="396">
        <f>VLOOKUP(D97,ACUAN,13,FALSE)</f>
        <v>0</v>
      </c>
      <c r="Q97" s="396">
        <f>VLOOKUP(D97,ACUAN,14,FALSE)</f>
        <v>0</v>
      </c>
      <c r="R97" s="396">
        <f>VLOOKUP(D97,ACUAN,15,FALSE)</f>
        <v>0</v>
      </c>
      <c r="S97" s="396" t="str">
        <f>VLOOKUP(D97,ACUAN,16,FALSE)</f>
        <v>APBD</v>
      </c>
      <c r="T97" s="397">
        <f>VLOOKUP(D97,ACUAN,17,FALSE)</f>
        <v>1536783053.2370956</v>
      </c>
      <c r="U97" s="396" t="str">
        <f>VLOOKUP(D97,ACUAN,18,FALSE)</f>
        <v>B</v>
      </c>
      <c r="V97" s="396">
        <f>VLOOKUP(D97,ACUAN,19,FALSE)</f>
        <v>0</v>
      </c>
      <c r="W97" s="206" t="str">
        <f t="shared" si="95"/>
        <v>04.13.01</v>
      </c>
      <c r="X97" s="207" t="str">
        <f t="shared" si="96"/>
        <v>Jalan</v>
      </c>
      <c r="Y97" s="207">
        <f t="shared" si="97"/>
        <v>10</v>
      </c>
      <c r="Z97" s="233">
        <f t="shared" si="98"/>
        <v>153678304.32370955</v>
      </c>
      <c r="AA97" s="208">
        <f t="shared" si="93"/>
        <v>1</v>
      </c>
      <c r="AB97" s="233">
        <f t="shared" si="99"/>
        <v>153678304.32370955</v>
      </c>
      <c r="AC97" s="233">
        <f t="shared" si="106"/>
        <v>153678304.32370955</v>
      </c>
      <c r="AD97" s="233">
        <f t="shared" si="100"/>
        <v>153678304.32370955</v>
      </c>
      <c r="AE97" s="233">
        <f t="shared" si="101"/>
        <v>153678304.32370955</v>
      </c>
      <c r="AF97" s="238">
        <f t="shared" si="102"/>
        <v>153678304.32370955</v>
      </c>
      <c r="AG97" s="238">
        <f t="shared" si="103"/>
        <v>153678304.32370955</v>
      </c>
      <c r="AH97" s="238">
        <f t="shared" si="94"/>
        <v>922069825.94225717</v>
      </c>
      <c r="AI97" s="261">
        <f t="shared" si="104"/>
        <v>2012</v>
      </c>
      <c r="AJ97" s="233">
        <f t="shared" si="105"/>
        <v>614713227.29483843</v>
      </c>
    </row>
    <row r="98" spans="1:36" s="116" customFormat="1" ht="35.25" customHeight="1" x14ac:dyDescent="0.2">
      <c r="A98" s="116">
        <v>161</v>
      </c>
      <c r="B98" s="116" t="str">
        <f t="shared" si="107"/>
        <v>KOTO RAJO - PL. JAMBU</v>
      </c>
      <c r="D98" s="116" t="s">
        <v>3970</v>
      </c>
      <c r="E98" s="218" t="s">
        <v>4247</v>
      </c>
      <c r="F98" s="53"/>
      <c r="G98" s="67" t="str">
        <f t="shared" ref="G98:G165" si="108">VLOOKUP(D98,ACUAN,4,FALSE)</f>
        <v>JALAN BENAI - KOTO RAJO - PULAU JAMBU (DESA PL. PANJANG HILIR)</v>
      </c>
      <c r="H98" s="396" t="str">
        <f t="shared" ref="H98:H165" si="109">VLOOKUP(D98,ACUAN,5,FALSE)</f>
        <v>04.13.01.03.06</v>
      </c>
      <c r="I98" s="396">
        <f t="shared" ref="I98:I165" si="110">VLOOKUP(D98,ACUAN,6,FALSE)</f>
        <v>0</v>
      </c>
      <c r="J98" s="396" t="str">
        <f t="shared" ref="J98:J165" si="111">VLOOKUP(D98,ACUAN,7,FALSE)</f>
        <v>ASPAL HOTMIX</v>
      </c>
      <c r="K98" s="398">
        <f t="shared" ref="K98:K165" si="112">VLOOKUP(D98,ACUAN,8,FALSE)</f>
        <v>2300</v>
      </c>
      <c r="L98" s="396">
        <f t="shared" ref="L98:L165" si="113">VLOOKUP(D98,ACUAN,9,FALSE)</f>
        <v>0</v>
      </c>
      <c r="M98" s="398">
        <f t="shared" ref="M98:M165" si="114">VLOOKUP(D98,ACUAN,10,FALSE)</f>
        <v>0</v>
      </c>
      <c r="N98" s="396" t="str">
        <f t="shared" ref="N98:N165" si="115">VLOOKUP(D98,ACUAN,11,FALSE)</f>
        <v>BENAI - KOTO RAJO - PULAU JAMBU</v>
      </c>
      <c r="O98" s="396">
        <f t="shared" ref="O98:O165" si="116">VLOOKUP(D98,ACUAN,12,FALSE)</f>
        <v>2001</v>
      </c>
      <c r="P98" s="396">
        <f t="shared" ref="P98:P165" si="117">VLOOKUP(D98,ACUAN,13,FALSE)</f>
        <v>0</v>
      </c>
      <c r="Q98" s="396">
        <f t="shared" ref="Q98:Q165" si="118">VLOOKUP(D98,ACUAN,14,FALSE)</f>
        <v>0</v>
      </c>
      <c r="R98" s="396" t="str">
        <f t="shared" ref="R98:R165" si="119">VLOOKUP(D98,ACUAN,15,FALSE)</f>
        <v>12.04.06.05.01.00</v>
      </c>
      <c r="S98" s="396" t="str">
        <f t="shared" ref="S98:S165" si="120">VLOOKUP(D98,ACUAN,16,FALSE)</f>
        <v>APBD</v>
      </c>
      <c r="T98" s="397">
        <f t="shared" ref="T98:T165" si="121">VLOOKUP(D98,ACUAN,17,FALSE)</f>
        <v>15371093732.342295</v>
      </c>
      <c r="U98" s="396" t="str">
        <f t="shared" ref="U98:U165" si="122">VLOOKUP(D98,ACUAN,18,FALSE)</f>
        <v>B</v>
      </c>
      <c r="V98" s="396">
        <f t="shared" ref="V98:V165" si="123">VLOOKUP(D98,ACUAN,19,FALSE)</f>
        <v>0</v>
      </c>
      <c r="W98" s="206" t="str">
        <f t="shared" si="95"/>
        <v>04.13.01</v>
      </c>
      <c r="X98" s="207" t="str">
        <f t="shared" si="96"/>
        <v>Jalan</v>
      </c>
      <c r="Y98" s="207">
        <f t="shared" si="97"/>
        <v>10</v>
      </c>
      <c r="Z98" s="233">
        <f t="shared" si="98"/>
        <v>1537109372.2342296</v>
      </c>
      <c r="AA98" s="208">
        <f t="shared" si="93"/>
        <v>10</v>
      </c>
      <c r="AB98" s="233">
        <f t="shared" si="99"/>
        <v>15371093722.342297</v>
      </c>
      <c r="AC98" s="233">
        <f t="shared" si="106"/>
        <v>0</v>
      </c>
      <c r="AD98" s="233">
        <f t="shared" si="100"/>
        <v>0</v>
      </c>
      <c r="AE98" s="233">
        <f t="shared" si="101"/>
        <v>0</v>
      </c>
      <c r="AF98" s="238">
        <f t="shared" si="102"/>
        <v>0</v>
      </c>
      <c r="AG98" s="238">
        <f t="shared" si="103"/>
        <v>0</v>
      </c>
      <c r="AH98" s="238">
        <f t="shared" si="94"/>
        <v>15371093722.342297</v>
      </c>
      <c r="AI98" s="261">
        <f t="shared" si="104"/>
        <v>2001</v>
      </c>
      <c r="AJ98" s="233">
        <f t="shared" si="105"/>
        <v>9.9999980926513672</v>
      </c>
    </row>
    <row r="99" spans="1:36" s="116" customFormat="1" ht="35.25" customHeight="1" x14ac:dyDescent="0.2">
      <c r="A99" s="116">
        <v>161</v>
      </c>
      <c r="B99" s="116" t="str">
        <f t="shared" si="107"/>
        <v>KOTO RAJO - PL. JAMBU</v>
      </c>
      <c r="D99" s="116" t="s">
        <v>3971</v>
      </c>
      <c r="E99" s="218" t="s">
        <v>4247</v>
      </c>
      <c r="F99" s="53"/>
      <c r="G99" s="67" t="str">
        <f t="shared" si="108"/>
        <v>PENINGKATAN JALAN BENAI - KOTO KAJO - PL. JAMBU</v>
      </c>
      <c r="H99" s="396" t="str">
        <f t="shared" si="109"/>
        <v>04.13.01.03.06</v>
      </c>
      <c r="I99" s="396">
        <f t="shared" si="110"/>
        <v>0</v>
      </c>
      <c r="J99" s="396">
        <f t="shared" si="111"/>
        <v>0</v>
      </c>
      <c r="K99" s="398">
        <f t="shared" si="112"/>
        <v>0</v>
      </c>
      <c r="L99" s="396">
        <f t="shared" si="113"/>
        <v>0</v>
      </c>
      <c r="M99" s="398">
        <f t="shared" si="114"/>
        <v>0</v>
      </c>
      <c r="N99" s="396" t="str">
        <f t="shared" si="115"/>
        <v>BENAI - KOTO RAJO - PULAU JAMBU</v>
      </c>
      <c r="O99" s="396">
        <f t="shared" si="116"/>
        <v>2015</v>
      </c>
      <c r="P99" s="396">
        <f t="shared" si="117"/>
        <v>0</v>
      </c>
      <c r="Q99" s="396">
        <f t="shared" si="118"/>
        <v>0</v>
      </c>
      <c r="R99" s="396">
        <f t="shared" si="119"/>
        <v>0</v>
      </c>
      <c r="S99" s="396" t="str">
        <f t="shared" si="120"/>
        <v>APBD</v>
      </c>
      <c r="T99" s="397">
        <f t="shared" si="121"/>
        <v>2122086666</v>
      </c>
      <c r="U99" s="396">
        <f t="shared" si="122"/>
        <v>0</v>
      </c>
      <c r="V99" s="396">
        <f t="shared" si="123"/>
        <v>0</v>
      </c>
      <c r="W99" s="206" t="str">
        <f t="shared" si="95"/>
        <v>04.13.01</v>
      </c>
      <c r="X99" s="207" t="str">
        <f t="shared" si="96"/>
        <v>Jalan</v>
      </c>
      <c r="Y99" s="207">
        <f t="shared" si="97"/>
        <v>10</v>
      </c>
      <c r="Z99" s="233">
        <f t="shared" si="98"/>
        <v>212208665.59999999</v>
      </c>
      <c r="AA99" s="208">
        <f t="shared" si="93"/>
        <v>0</v>
      </c>
      <c r="AB99" s="233">
        <f t="shared" si="99"/>
        <v>0</v>
      </c>
      <c r="AC99" s="233"/>
      <c r="AD99" s="233">
        <f t="shared" si="100"/>
        <v>212208665.59999999</v>
      </c>
      <c r="AE99" s="233">
        <f t="shared" si="101"/>
        <v>212208665.59999999</v>
      </c>
      <c r="AF99" s="238">
        <f t="shared" si="102"/>
        <v>212208665.59999999</v>
      </c>
      <c r="AG99" s="238">
        <f t="shared" si="103"/>
        <v>212208665.59999999</v>
      </c>
      <c r="AH99" s="238">
        <f t="shared" si="94"/>
        <v>848834662.39999998</v>
      </c>
      <c r="AI99" s="261">
        <f t="shared" si="104"/>
        <v>2015</v>
      </c>
      <c r="AJ99" s="233">
        <f t="shared" si="105"/>
        <v>1273252003.5999999</v>
      </c>
    </row>
    <row r="100" spans="1:36" s="116" customFormat="1" ht="35.25" customHeight="1" x14ac:dyDescent="0.2">
      <c r="A100" s="116">
        <v>161</v>
      </c>
      <c r="B100" s="116" t="str">
        <f t="shared" si="107"/>
        <v>KOTO RAJO - PL. JAMBU</v>
      </c>
      <c r="D100" s="116" t="s">
        <v>3972</v>
      </c>
      <c r="E100" s="218" t="s">
        <v>4247</v>
      </c>
      <c r="F100" s="53"/>
      <c r="G100" s="67" t="str">
        <f t="shared" si="108"/>
        <v>PENINGKATAN JLN BENAI - KOTO RAJO - PL. JAMBU</v>
      </c>
      <c r="H100" s="396" t="str">
        <f t="shared" si="109"/>
        <v>04.13.01.03.06</v>
      </c>
      <c r="I100" s="396">
        <f t="shared" si="110"/>
        <v>0</v>
      </c>
      <c r="J100" s="396">
        <f t="shared" si="111"/>
        <v>0</v>
      </c>
      <c r="K100" s="398">
        <f t="shared" si="112"/>
        <v>0</v>
      </c>
      <c r="L100" s="396">
        <f t="shared" si="113"/>
        <v>0</v>
      </c>
      <c r="M100" s="398">
        <f t="shared" si="114"/>
        <v>0</v>
      </c>
      <c r="N100" s="396" t="str">
        <f t="shared" si="115"/>
        <v>BENAI - KOTO RAJO - PULAU JAMBU</v>
      </c>
      <c r="O100" s="396">
        <f t="shared" si="116"/>
        <v>2015</v>
      </c>
      <c r="P100" s="396">
        <f t="shared" si="117"/>
        <v>0</v>
      </c>
      <c r="Q100" s="396">
        <f t="shared" si="118"/>
        <v>0</v>
      </c>
      <c r="R100" s="396">
        <f t="shared" si="119"/>
        <v>0</v>
      </c>
      <c r="S100" s="396" t="str">
        <f t="shared" si="120"/>
        <v>APBD</v>
      </c>
      <c r="T100" s="397">
        <f t="shared" si="121"/>
        <v>6147420832.6300564</v>
      </c>
      <c r="U100" s="396">
        <f t="shared" si="122"/>
        <v>0</v>
      </c>
      <c r="V100" s="396">
        <f t="shared" si="123"/>
        <v>0</v>
      </c>
      <c r="W100" s="206" t="str">
        <f t="shared" si="95"/>
        <v>04.13.01</v>
      </c>
      <c r="X100" s="207" t="str">
        <f t="shared" si="96"/>
        <v>Jalan</v>
      </c>
      <c r="Y100" s="207">
        <f t="shared" si="97"/>
        <v>10</v>
      </c>
      <c r="Z100" s="233">
        <f t="shared" si="98"/>
        <v>614742082.26300561</v>
      </c>
      <c r="AA100" s="208">
        <f t="shared" si="93"/>
        <v>0</v>
      </c>
      <c r="AB100" s="233">
        <f t="shared" si="99"/>
        <v>0</v>
      </c>
      <c r="AC100" s="233"/>
      <c r="AD100" s="233">
        <f t="shared" si="100"/>
        <v>614742082.26300561</v>
      </c>
      <c r="AE100" s="233">
        <f t="shared" si="101"/>
        <v>614742082.26300561</v>
      </c>
      <c r="AF100" s="238">
        <f t="shared" si="102"/>
        <v>614742082.26300561</v>
      </c>
      <c r="AG100" s="238">
        <f t="shared" si="103"/>
        <v>614742082.26300561</v>
      </c>
      <c r="AH100" s="238">
        <f t="shared" si="94"/>
        <v>2458968329.0520225</v>
      </c>
      <c r="AI100" s="261">
        <f t="shared" si="104"/>
        <v>2015</v>
      </c>
      <c r="AJ100" s="233">
        <f t="shared" si="105"/>
        <v>3688452503.5780339</v>
      </c>
    </row>
    <row r="101" spans="1:36" s="116" customFormat="1" ht="35.25" customHeight="1" x14ac:dyDescent="0.2">
      <c r="A101" s="116">
        <v>161</v>
      </c>
      <c r="B101" s="116" t="str">
        <f t="shared" si="107"/>
        <v>KOTO RAJO - PL. JAMBU</v>
      </c>
      <c r="D101" s="116" t="s">
        <v>3973</v>
      </c>
      <c r="E101" s="218" t="s">
        <v>4247</v>
      </c>
      <c r="F101" s="53"/>
      <c r="G101" s="67" t="str">
        <f t="shared" si="108"/>
        <v>PENINGKATAN JALAN BENAI - KOTO RAJO - PL. JAMBU (ASPAL) (1,7 KM)</v>
      </c>
      <c r="H101" s="396" t="str">
        <f t="shared" si="109"/>
        <v>04.13.01.03.06</v>
      </c>
      <c r="I101" s="396">
        <f t="shared" si="110"/>
        <v>0</v>
      </c>
      <c r="J101" s="396">
        <f t="shared" si="111"/>
        <v>0</v>
      </c>
      <c r="K101" s="398">
        <f t="shared" si="112"/>
        <v>0</v>
      </c>
      <c r="L101" s="396">
        <f t="shared" si="113"/>
        <v>0</v>
      </c>
      <c r="M101" s="398">
        <f t="shared" si="114"/>
        <v>0</v>
      </c>
      <c r="N101" s="396" t="str">
        <f t="shared" si="115"/>
        <v>BENAI - KOTO RAJO - PULAU JAMBU</v>
      </c>
      <c r="O101" s="396">
        <f t="shared" si="116"/>
        <v>2016</v>
      </c>
      <c r="P101" s="396">
        <f t="shared" si="117"/>
        <v>0</v>
      </c>
      <c r="Q101" s="396">
        <f t="shared" si="118"/>
        <v>0</v>
      </c>
      <c r="R101" s="396">
        <f t="shared" si="119"/>
        <v>0</v>
      </c>
      <c r="S101" s="396" t="str">
        <f t="shared" si="120"/>
        <v>APBD</v>
      </c>
      <c r="T101" s="397">
        <f t="shared" si="121"/>
        <v>4070073728.3230543</v>
      </c>
      <c r="U101" s="396">
        <f t="shared" si="122"/>
        <v>0</v>
      </c>
      <c r="V101" s="396">
        <f t="shared" si="123"/>
        <v>0</v>
      </c>
      <c r="W101" s="206" t="str">
        <f t="shared" si="95"/>
        <v>04.13.01</v>
      </c>
      <c r="X101" s="207" t="str">
        <f t="shared" si="96"/>
        <v>Jalan</v>
      </c>
      <c r="Y101" s="207">
        <f t="shared" si="97"/>
        <v>10</v>
      </c>
      <c r="Z101" s="233">
        <f t="shared" si="98"/>
        <v>407007371.83230543</v>
      </c>
      <c r="AA101" s="208">
        <f t="shared" si="93"/>
        <v>0</v>
      </c>
      <c r="AB101" s="233">
        <f t="shared" si="99"/>
        <v>0</v>
      </c>
      <c r="AC101" s="233"/>
      <c r="AD101" s="233"/>
      <c r="AE101" s="233">
        <f t="shared" si="101"/>
        <v>407007371.83230543</v>
      </c>
      <c r="AF101" s="238">
        <f t="shared" si="102"/>
        <v>407007371.83230543</v>
      </c>
      <c r="AG101" s="238">
        <f t="shared" si="103"/>
        <v>407007371.83230543</v>
      </c>
      <c r="AH101" s="238">
        <f t="shared" si="94"/>
        <v>1221022115.4969163</v>
      </c>
      <c r="AI101" s="261">
        <f t="shared" si="104"/>
        <v>2016</v>
      </c>
      <c r="AJ101" s="233">
        <f t="shared" si="105"/>
        <v>2849051612.826138</v>
      </c>
    </row>
    <row r="102" spans="1:36" s="116" customFormat="1" ht="35.25" customHeight="1" x14ac:dyDescent="0.2">
      <c r="A102" s="116">
        <v>163</v>
      </c>
      <c r="B102" s="116" t="str">
        <f t="shared" si="107"/>
        <v>PANGEAN - PL. KUMPAI</v>
      </c>
      <c r="D102" s="116" t="s">
        <v>3974</v>
      </c>
      <c r="E102" s="218" t="s">
        <v>4247</v>
      </c>
      <c r="F102" s="53"/>
      <c r="G102" s="67" t="str">
        <f t="shared" si="108"/>
        <v>JALAN PANGEAN-PULAU KUMPAI (ASPAL)</v>
      </c>
      <c r="H102" s="396" t="str">
        <f t="shared" si="109"/>
        <v>04.13.01.04.01</v>
      </c>
      <c r="I102" s="396">
        <f t="shared" si="110"/>
        <v>0</v>
      </c>
      <c r="J102" s="396" t="str">
        <f t="shared" si="111"/>
        <v>ASPAL HOTMIX</v>
      </c>
      <c r="K102" s="398">
        <f t="shared" si="112"/>
        <v>8000</v>
      </c>
      <c r="L102" s="396">
        <f t="shared" si="113"/>
        <v>7</v>
      </c>
      <c r="M102" s="398">
        <f t="shared" si="114"/>
        <v>56000</v>
      </c>
      <c r="N102" s="396" t="str">
        <f t="shared" si="115"/>
        <v>PANGEAN - PULAU KUMPAI</v>
      </c>
      <c r="O102" s="396">
        <f t="shared" si="116"/>
        <v>2001</v>
      </c>
      <c r="P102" s="396">
        <f t="shared" si="117"/>
        <v>0</v>
      </c>
      <c r="Q102" s="396">
        <f t="shared" si="118"/>
        <v>0</v>
      </c>
      <c r="R102" s="396" t="str">
        <f t="shared" si="119"/>
        <v>12.04.06.05.01.00</v>
      </c>
      <c r="S102" s="396" t="str">
        <f t="shared" si="120"/>
        <v>APBD</v>
      </c>
      <c r="T102" s="397">
        <f t="shared" si="121"/>
        <v>4613760526</v>
      </c>
      <c r="U102" s="396" t="str">
        <f t="shared" si="122"/>
        <v>B</v>
      </c>
      <c r="V102" s="396">
        <f t="shared" si="123"/>
        <v>0</v>
      </c>
      <c r="W102" s="206" t="str">
        <f t="shared" si="95"/>
        <v>04.13.01</v>
      </c>
      <c r="X102" s="207" t="str">
        <f t="shared" si="96"/>
        <v>Jalan</v>
      </c>
      <c r="Y102" s="207">
        <f t="shared" si="97"/>
        <v>10</v>
      </c>
      <c r="Z102" s="233">
        <f t="shared" si="98"/>
        <v>461376051.60000002</v>
      </c>
      <c r="AA102" s="208">
        <f t="shared" si="93"/>
        <v>10</v>
      </c>
      <c r="AB102" s="233">
        <f t="shared" si="99"/>
        <v>4613760516</v>
      </c>
      <c r="AC102" s="233">
        <f t="shared" si="106"/>
        <v>0</v>
      </c>
      <c r="AD102" s="233">
        <f t="shared" si="100"/>
        <v>0</v>
      </c>
      <c r="AE102" s="233">
        <f t="shared" si="101"/>
        <v>0</v>
      </c>
      <c r="AF102" s="238">
        <f t="shared" si="102"/>
        <v>0</v>
      </c>
      <c r="AG102" s="238">
        <f t="shared" si="103"/>
        <v>0</v>
      </c>
      <c r="AH102" s="238">
        <f t="shared" si="94"/>
        <v>4613760516</v>
      </c>
      <c r="AI102" s="261">
        <f t="shared" si="104"/>
        <v>2001</v>
      </c>
      <c r="AJ102" s="233">
        <f t="shared" si="105"/>
        <v>10</v>
      </c>
    </row>
    <row r="103" spans="1:36" s="116" customFormat="1" ht="35.25" customHeight="1" x14ac:dyDescent="0.2">
      <c r="A103" s="116">
        <v>163</v>
      </c>
      <c r="B103" s="116" t="str">
        <f t="shared" si="107"/>
        <v>PANGEAN - PL. KUMPAI</v>
      </c>
      <c r="D103" s="116" t="s">
        <v>3975</v>
      </c>
      <c r="E103" s="218" t="s">
        <v>4247</v>
      </c>
      <c r="F103" s="53"/>
      <c r="G103" s="67" t="str">
        <f t="shared" si="108"/>
        <v xml:space="preserve"> PENINGKATAN JALAN PANGEAN-PL. KUMPAI (PELEBARAN ASPAL 1,00 KM)</v>
      </c>
      <c r="H103" s="396" t="str">
        <f t="shared" si="109"/>
        <v>04.13.01.03.06</v>
      </c>
      <c r="I103" s="396">
        <f t="shared" si="110"/>
        <v>0</v>
      </c>
      <c r="J103" s="396" t="str">
        <f t="shared" si="111"/>
        <v>Aspal</v>
      </c>
      <c r="K103" s="398">
        <f t="shared" si="112"/>
        <v>0</v>
      </c>
      <c r="L103" s="396">
        <f t="shared" si="113"/>
        <v>0</v>
      </c>
      <c r="M103" s="398">
        <f t="shared" si="114"/>
        <v>0</v>
      </c>
      <c r="N103" s="396" t="str">
        <f t="shared" si="115"/>
        <v>PANGEAN - PULAU KUMPAI</v>
      </c>
      <c r="O103" s="396">
        <f t="shared" si="116"/>
        <v>2012</v>
      </c>
      <c r="P103" s="396">
        <f t="shared" si="117"/>
        <v>0</v>
      </c>
      <c r="Q103" s="396">
        <f t="shared" si="118"/>
        <v>0</v>
      </c>
      <c r="R103" s="396">
        <f t="shared" si="119"/>
        <v>0</v>
      </c>
      <c r="S103" s="396" t="str">
        <f t="shared" si="120"/>
        <v>APBD</v>
      </c>
      <c r="T103" s="397">
        <f t="shared" si="121"/>
        <v>1600078073.018373</v>
      </c>
      <c r="U103" s="396" t="str">
        <f t="shared" si="122"/>
        <v>B</v>
      </c>
      <c r="V103" s="396">
        <f t="shared" si="123"/>
        <v>0</v>
      </c>
      <c r="W103" s="206" t="str">
        <f t="shared" si="95"/>
        <v>04.13.01</v>
      </c>
      <c r="X103" s="207" t="str">
        <f t="shared" si="96"/>
        <v>Jalan</v>
      </c>
      <c r="Y103" s="207">
        <f t="shared" si="97"/>
        <v>10</v>
      </c>
      <c r="Z103" s="233">
        <f t="shared" si="98"/>
        <v>160007806.3018373</v>
      </c>
      <c r="AA103" s="208">
        <f t="shared" si="93"/>
        <v>1</v>
      </c>
      <c r="AB103" s="233">
        <f t="shared" si="99"/>
        <v>160007806.3018373</v>
      </c>
      <c r="AC103" s="233">
        <f t="shared" si="106"/>
        <v>160007806.3018373</v>
      </c>
      <c r="AD103" s="233">
        <f t="shared" si="100"/>
        <v>160007806.3018373</v>
      </c>
      <c r="AE103" s="233">
        <f t="shared" si="101"/>
        <v>160007806.3018373</v>
      </c>
      <c r="AF103" s="238">
        <f t="shared" si="102"/>
        <v>160007806.3018373</v>
      </c>
      <c r="AG103" s="238">
        <f t="shared" si="103"/>
        <v>160007806.3018373</v>
      </c>
      <c r="AH103" s="238">
        <f t="shared" si="94"/>
        <v>960046837.81102383</v>
      </c>
      <c r="AI103" s="261">
        <f t="shared" si="104"/>
        <v>2012</v>
      </c>
      <c r="AJ103" s="233">
        <f t="shared" si="105"/>
        <v>640031235.20734918</v>
      </c>
    </row>
    <row r="104" spans="1:36" s="116" customFormat="1" ht="35.25" customHeight="1" x14ac:dyDescent="0.2">
      <c r="A104" s="116">
        <v>163</v>
      </c>
      <c r="B104" s="116" t="str">
        <f t="shared" si="107"/>
        <v>PANGEAN - PL. KUMPAI</v>
      </c>
      <c r="D104" s="116" t="s">
        <v>3976</v>
      </c>
      <c r="E104" s="218" t="s">
        <v>4247</v>
      </c>
      <c r="F104" s="53"/>
      <c r="G104" s="67" t="str">
        <f t="shared" si="108"/>
        <v>PENINGKATAN JALAN PANGEAN - PULAI KUPAI (ASPAL)</v>
      </c>
      <c r="H104" s="396" t="str">
        <f t="shared" si="109"/>
        <v>04.13.01.03.06</v>
      </c>
      <c r="I104" s="396">
        <f t="shared" si="110"/>
        <v>0</v>
      </c>
      <c r="J104" s="396">
        <f t="shared" si="111"/>
        <v>0</v>
      </c>
      <c r="K104" s="398">
        <f t="shared" si="112"/>
        <v>0</v>
      </c>
      <c r="L104" s="396">
        <f t="shared" si="113"/>
        <v>0</v>
      </c>
      <c r="M104" s="398">
        <f t="shared" si="114"/>
        <v>0</v>
      </c>
      <c r="N104" s="396" t="str">
        <f t="shared" si="115"/>
        <v>PANGEAN - PULAU KUMPAI</v>
      </c>
      <c r="O104" s="396">
        <f t="shared" si="116"/>
        <v>2016</v>
      </c>
      <c r="P104" s="396">
        <f t="shared" si="117"/>
        <v>0</v>
      </c>
      <c r="Q104" s="396">
        <f t="shared" si="118"/>
        <v>0</v>
      </c>
      <c r="R104" s="396">
        <f t="shared" si="119"/>
        <v>0</v>
      </c>
      <c r="S104" s="396" t="str">
        <f t="shared" si="120"/>
        <v>APBD</v>
      </c>
      <c r="T104" s="397">
        <f t="shared" si="121"/>
        <v>1945903540.0999999</v>
      </c>
      <c r="U104" s="396">
        <f t="shared" si="122"/>
        <v>0</v>
      </c>
      <c r="V104" s="396">
        <f t="shared" si="123"/>
        <v>0</v>
      </c>
      <c r="W104" s="206" t="str">
        <f t="shared" si="95"/>
        <v>04.13.01</v>
      </c>
      <c r="X104" s="207" t="str">
        <f t="shared" si="96"/>
        <v>Jalan</v>
      </c>
      <c r="Y104" s="207">
        <f t="shared" si="97"/>
        <v>10</v>
      </c>
      <c r="Z104" s="233">
        <f t="shared" si="98"/>
        <v>194590353.00999999</v>
      </c>
      <c r="AA104" s="208">
        <f t="shared" si="93"/>
        <v>0</v>
      </c>
      <c r="AB104" s="233">
        <f t="shared" si="99"/>
        <v>0</v>
      </c>
      <c r="AC104" s="233"/>
      <c r="AD104" s="233"/>
      <c r="AE104" s="233">
        <f t="shared" si="101"/>
        <v>194590353.00999999</v>
      </c>
      <c r="AF104" s="238">
        <f t="shared" si="102"/>
        <v>194590353.00999999</v>
      </c>
      <c r="AG104" s="238">
        <f t="shared" si="103"/>
        <v>194590353.00999999</v>
      </c>
      <c r="AH104" s="238">
        <f t="shared" si="94"/>
        <v>583771059.02999997</v>
      </c>
      <c r="AI104" s="261">
        <f t="shared" si="104"/>
        <v>2016</v>
      </c>
      <c r="AJ104" s="233">
        <f t="shared" si="105"/>
        <v>1362132481.0699999</v>
      </c>
    </row>
    <row r="105" spans="1:36" s="116" customFormat="1" ht="35.25" customHeight="1" x14ac:dyDescent="0.2">
      <c r="A105" s="116">
        <v>164</v>
      </c>
      <c r="B105" s="116" t="str">
        <f t="shared" si="107"/>
        <v>PANGEAN - BATAS PELALAWAN</v>
      </c>
      <c r="D105" s="116" t="s">
        <v>4092</v>
      </c>
      <c r="E105" s="218" t="s">
        <v>4247</v>
      </c>
      <c r="F105" s="53"/>
      <c r="G105" s="67" t="str">
        <f t="shared" ref="G105:G111" si="124">VLOOKUP(D105,ACUAN,4,FALSE)</f>
        <v>JALAN KABUPATEN LOKAL</v>
      </c>
      <c r="H105" s="396" t="str">
        <f t="shared" ref="H105:H111" si="125">VLOOKUP(D105,ACUAN,5,FALSE)</f>
        <v>04.13.01.03.06</v>
      </c>
      <c r="I105" s="396">
        <f t="shared" ref="I105:I111" si="126">VLOOKUP(D105,ACUAN,6,FALSE)</f>
        <v>0</v>
      </c>
      <c r="J105" s="396" t="str">
        <f t="shared" ref="J105:J111" si="127">VLOOKUP(D105,ACUAN,7,FALSE)</f>
        <v>ASPAL HOTMIX</v>
      </c>
      <c r="K105" s="398" t="str">
        <f t="shared" ref="K105:K111" si="128">VLOOKUP(D105,ACUAN,8,FALSE)</f>
        <v>44000</v>
      </c>
      <c r="L105" s="396">
        <f t="shared" ref="L105:L111" si="129">VLOOKUP(D105,ACUAN,9,FALSE)</f>
        <v>0</v>
      </c>
      <c r="M105" s="398">
        <f t="shared" ref="M105:M111" si="130">VLOOKUP(D105,ACUAN,10,FALSE)</f>
        <v>0</v>
      </c>
      <c r="N105" s="396" t="str">
        <f t="shared" ref="N105:N111" si="131">VLOOKUP(D105,ACUAN,11,FALSE)</f>
        <v>PANGEAN - BTS INUMAN</v>
      </c>
      <c r="O105" s="396">
        <f t="shared" ref="O105:O111" si="132">VLOOKUP(D105,ACUAN,12,FALSE)</f>
        <v>2001</v>
      </c>
      <c r="P105" s="396">
        <f t="shared" ref="P105:P111" si="133">VLOOKUP(D105,ACUAN,13,FALSE)</f>
        <v>0</v>
      </c>
      <c r="Q105" s="396">
        <f t="shared" ref="Q105:Q111" si="134">VLOOKUP(D105,ACUAN,14,FALSE)</f>
        <v>0</v>
      </c>
      <c r="R105" s="396" t="str">
        <f t="shared" ref="R105:R111" si="135">VLOOKUP(D105,ACUAN,15,FALSE)</f>
        <v>12.04.06.05.01.00</v>
      </c>
      <c r="S105" s="396" t="str">
        <f t="shared" ref="S105:S111" si="136">VLOOKUP(D105,ACUAN,16,FALSE)</f>
        <v>APBD</v>
      </c>
      <c r="T105" s="397">
        <f t="shared" ref="T105:T111" si="137">VLOOKUP(D105,ACUAN,17,FALSE)</f>
        <v>1848000000</v>
      </c>
      <c r="U105" s="396" t="str">
        <f t="shared" ref="U105:U111" si="138">VLOOKUP(D105,ACUAN,18,FALSE)</f>
        <v>B</v>
      </c>
      <c r="V105" s="396">
        <f t="shared" ref="V105:V111" si="139">VLOOKUP(D105,ACUAN,19,FALSE)</f>
        <v>0</v>
      </c>
      <c r="W105" s="206" t="str">
        <f t="shared" si="95"/>
        <v>04.13.01</v>
      </c>
      <c r="X105" s="207" t="str">
        <f t="shared" si="96"/>
        <v>Jalan</v>
      </c>
      <c r="Y105" s="207">
        <f t="shared" si="97"/>
        <v>10</v>
      </c>
      <c r="Z105" s="233">
        <f t="shared" si="98"/>
        <v>184799999</v>
      </c>
      <c r="AA105" s="208">
        <f t="shared" si="93"/>
        <v>10</v>
      </c>
      <c r="AB105" s="233">
        <f t="shared" si="99"/>
        <v>1847999990</v>
      </c>
      <c r="AC105" s="233">
        <f t="shared" si="106"/>
        <v>0</v>
      </c>
      <c r="AD105" s="233">
        <f t="shared" si="100"/>
        <v>0</v>
      </c>
      <c r="AE105" s="233">
        <f t="shared" si="101"/>
        <v>0</v>
      </c>
      <c r="AF105" s="238">
        <f t="shared" si="102"/>
        <v>0</v>
      </c>
      <c r="AG105" s="238">
        <f t="shared" si="103"/>
        <v>0</v>
      </c>
      <c r="AH105" s="238">
        <f t="shared" si="94"/>
        <v>1847999990</v>
      </c>
      <c r="AI105" s="261">
        <f t="shared" si="104"/>
        <v>2001</v>
      </c>
      <c r="AJ105" s="233">
        <f t="shared" si="105"/>
        <v>10</v>
      </c>
    </row>
    <row r="106" spans="1:36" s="116" customFormat="1" ht="35.25" customHeight="1" x14ac:dyDescent="0.2">
      <c r="A106" s="116">
        <v>164</v>
      </c>
      <c r="B106" s="116" t="str">
        <f t="shared" si="107"/>
        <v>PANGEAN - BATAS PELALAWAN</v>
      </c>
      <c r="D106" s="116" t="s">
        <v>4093</v>
      </c>
      <c r="E106" s="218" t="s">
        <v>4247</v>
      </c>
      <c r="F106" s="53"/>
      <c r="G106" s="67" t="str">
        <f t="shared" si="124"/>
        <v>PENINGKATAN JALAN PANGEAN - SITUGAL ( ASPAL / PELEBARAN)</v>
      </c>
      <c r="H106" s="396" t="str">
        <f t="shared" si="125"/>
        <v>04.13.01.03.06</v>
      </c>
      <c r="I106" s="396">
        <f t="shared" si="126"/>
        <v>0</v>
      </c>
      <c r="J106" s="396" t="str">
        <f t="shared" si="127"/>
        <v>Aspal</v>
      </c>
      <c r="K106" s="398">
        <f t="shared" si="128"/>
        <v>0</v>
      </c>
      <c r="L106" s="396">
        <f t="shared" si="129"/>
        <v>0</v>
      </c>
      <c r="M106" s="398">
        <f t="shared" si="130"/>
        <v>0</v>
      </c>
      <c r="N106" s="396" t="str">
        <f t="shared" si="131"/>
        <v>PANGEAN - SITUGAL</v>
      </c>
      <c r="O106" s="396">
        <f t="shared" si="132"/>
        <v>2007</v>
      </c>
      <c r="P106" s="396">
        <f t="shared" si="133"/>
        <v>0</v>
      </c>
      <c r="Q106" s="396">
        <f t="shared" si="134"/>
        <v>0</v>
      </c>
      <c r="R106" s="396">
        <f t="shared" si="135"/>
        <v>0</v>
      </c>
      <c r="S106" s="396" t="str">
        <f t="shared" si="136"/>
        <v>APBD</v>
      </c>
      <c r="T106" s="397">
        <f t="shared" si="137"/>
        <v>5825831760.3196297</v>
      </c>
      <c r="U106" s="396" t="str">
        <f t="shared" si="138"/>
        <v>B</v>
      </c>
      <c r="V106" s="396">
        <f t="shared" si="139"/>
        <v>0</v>
      </c>
      <c r="W106" s="206" t="str">
        <f t="shared" si="95"/>
        <v>04.13.01</v>
      </c>
      <c r="X106" s="207" t="str">
        <f t="shared" si="96"/>
        <v>Jalan</v>
      </c>
      <c r="Y106" s="207">
        <f t="shared" si="97"/>
        <v>10</v>
      </c>
      <c r="Z106" s="233">
        <f t="shared" si="98"/>
        <v>582583175.03196299</v>
      </c>
      <c r="AA106" s="208">
        <f t="shared" si="93"/>
        <v>6</v>
      </c>
      <c r="AB106" s="233">
        <f t="shared" si="99"/>
        <v>3495499050.1917782</v>
      </c>
      <c r="AC106" s="233">
        <f t="shared" si="106"/>
        <v>582583175.03196299</v>
      </c>
      <c r="AD106" s="233">
        <f t="shared" si="100"/>
        <v>582583175.03196299</v>
      </c>
      <c r="AE106" s="233">
        <f t="shared" si="101"/>
        <v>582583175.03196299</v>
      </c>
      <c r="AF106" s="238">
        <f t="shared" si="102"/>
        <v>582583175.03196299</v>
      </c>
      <c r="AG106" s="238">
        <f t="shared" si="103"/>
        <v>0</v>
      </c>
      <c r="AH106" s="238">
        <f t="shared" si="94"/>
        <v>5825831750.3196306</v>
      </c>
      <c r="AI106" s="261">
        <f t="shared" si="104"/>
        <v>2007</v>
      </c>
      <c r="AJ106" s="233">
        <f t="shared" si="105"/>
        <v>9.9999990463256836</v>
      </c>
    </row>
    <row r="107" spans="1:36" s="116" customFormat="1" ht="35.25" customHeight="1" x14ac:dyDescent="0.2">
      <c r="A107" s="116">
        <v>164</v>
      </c>
      <c r="B107" s="116" t="str">
        <f t="shared" si="107"/>
        <v>PANGEAN - BATAS PELALAWAN</v>
      </c>
      <c r="D107" s="116" t="s">
        <v>4094</v>
      </c>
      <c r="E107" s="218" t="s">
        <v>4247</v>
      </c>
      <c r="F107" s="53"/>
      <c r="G107" s="67" t="str">
        <f t="shared" si="124"/>
        <v>PEMELIHARAAN JALAN PANGEAN - SITUGAL (BTS. PELALAWAN) (NO. RUAS 166) ASPAL OVERLAY 1,00 KM ; URUGAN PILIHAN 2,00 KM.</v>
      </c>
      <c r="H107" s="396" t="str">
        <f t="shared" si="125"/>
        <v>04.13.01.03.06</v>
      </c>
      <c r="I107" s="396">
        <f t="shared" si="126"/>
        <v>0</v>
      </c>
      <c r="J107" s="396">
        <f t="shared" si="127"/>
        <v>0</v>
      </c>
      <c r="K107" s="398">
        <f t="shared" si="128"/>
        <v>0</v>
      </c>
      <c r="L107" s="396">
        <f t="shared" si="129"/>
        <v>0</v>
      </c>
      <c r="M107" s="398">
        <f t="shared" si="130"/>
        <v>0</v>
      </c>
      <c r="N107" s="396" t="str">
        <f t="shared" si="131"/>
        <v>PANGEAN - SITUGAL</v>
      </c>
      <c r="O107" s="396">
        <f t="shared" si="132"/>
        <v>2007</v>
      </c>
      <c r="P107" s="396">
        <f t="shared" si="133"/>
        <v>0</v>
      </c>
      <c r="Q107" s="396">
        <f t="shared" si="134"/>
        <v>0</v>
      </c>
      <c r="R107" s="396">
        <f t="shared" si="135"/>
        <v>0</v>
      </c>
      <c r="S107" s="396" t="str">
        <f t="shared" si="136"/>
        <v>APBD</v>
      </c>
      <c r="T107" s="397">
        <f t="shared" si="137"/>
        <v>1327353361.6165369</v>
      </c>
      <c r="U107" s="396" t="str">
        <f t="shared" si="138"/>
        <v>B</v>
      </c>
      <c r="V107" s="396">
        <f t="shared" si="139"/>
        <v>0</v>
      </c>
      <c r="W107" s="206" t="str">
        <f t="shared" si="95"/>
        <v>04.13.01</v>
      </c>
      <c r="X107" s="207" t="str">
        <f t="shared" si="96"/>
        <v>Jalan</v>
      </c>
      <c r="Y107" s="207">
        <f t="shared" si="97"/>
        <v>10</v>
      </c>
      <c r="Z107" s="233">
        <f t="shared" si="98"/>
        <v>132735335.16165368</v>
      </c>
      <c r="AA107" s="208">
        <f t="shared" si="93"/>
        <v>6</v>
      </c>
      <c r="AB107" s="233">
        <f t="shared" si="99"/>
        <v>796412010.96992207</v>
      </c>
      <c r="AC107" s="233">
        <f t="shared" si="106"/>
        <v>132735335.16165368</v>
      </c>
      <c r="AD107" s="233">
        <f t="shared" si="100"/>
        <v>132735335.16165368</v>
      </c>
      <c r="AE107" s="233">
        <f t="shared" si="101"/>
        <v>132735335.16165368</v>
      </c>
      <c r="AF107" s="238">
        <f t="shared" si="102"/>
        <v>132735335.16165368</v>
      </c>
      <c r="AG107" s="238">
        <f t="shared" si="103"/>
        <v>0</v>
      </c>
      <c r="AH107" s="238">
        <f t="shared" si="94"/>
        <v>1327353351.6165369</v>
      </c>
      <c r="AI107" s="261">
        <f t="shared" si="104"/>
        <v>2007</v>
      </c>
      <c r="AJ107" s="233">
        <f t="shared" si="105"/>
        <v>10</v>
      </c>
    </row>
    <row r="108" spans="1:36" s="116" customFormat="1" ht="35.25" customHeight="1" x14ac:dyDescent="0.2">
      <c r="A108" s="116">
        <v>164</v>
      </c>
      <c r="B108" s="116" t="str">
        <f t="shared" si="107"/>
        <v>PANGEAN - BATAS PELALAWAN</v>
      </c>
      <c r="D108" s="116" t="s">
        <v>4095</v>
      </c>
      <c r="E108" s="218" t="s">
        <v>4247</v>
      </c>
      <c r="F108" s="53"/>
      <c r="G108" s="67" t="str">
        <f t="shared" si="124"/>
        <v>JALAN PANGEAN-SITUGAL (DESA LUBUK KOBUN) (ASPAL)</v>
      </c>
      <c r="H108" s="396" t="str">
        <f t="shared" si="125"/>
        <v>04.13.01.03.06</v>
      </c>
      <c r="I108" s="396">
        <f t="shared" si="126"/>
        <v>0</v>
      </c>
      <c r="J108" s="396" t="str">
        <f t="shared" si="127"/>
        <v>Aspal</v>
      </c>
      <c r="K108" s="398">
        <f t="shared" si="128"/>
        <v>0</v>
      </c>
      <c r="L108" s="396">
        <f t="shared" si="129"/>
        <v>0</v>
      </c>
      <c r="M108" s="398">
        <f t="shared" si="130"/>
        <v>0</v>
      </c>
      <c r="N108" s="396" t="str">
        <f t="shared" si="131"/>
        <v>PANGEAN - SITUGAL</v>
      </c>
      <c r="O108" s="396">
        <f t="shared" si="132"/>
        <v>2013</v>
      </c>
      <c r="P108" s="396">
        <f t="shared" si="133"/>
        <v>0</v>
      </c>
      <c r="Q108" s="396">
        <f t="shared" si="134"/>
        <v>0</v>
      </c>
      <c r="R108" s="396">
        <f t="shared" si="135"/>
        <v>0</v>
      </c>
      <c r="S108" s="396" t="str">
        <f t="shared" si="136"/>
        <v>APBD</v>
      </c>
      <c r="T108" s="397">
        <f t="shared" si="137"/>
        <v>1768063472</v>
      </c>
      <c r="U108" s="396">
        <f t="shared" si="138"/>
        <v>0</v>
      </c>
      <c r="V108" s="396">
        <f t="shared" si="139"/>
        <v>0</v>
      </c>
      <c r="W108" s="206" t="str">
        <f t="shared" si="95"/>
        <v>04.13.01</v>
      </c>
      <c r="X108" s="207" t="str">
        <f t="shared" si="96"/>
        <v>Jalan</v>
      </c>
      <c r="Y108" s="207">
        <f t="shared" si="97"/>
        <v>10</v>
      </c>
      <c r="Z108" s="233">
        <f t="shared" si="98"/>
        <v>176806346.19999999</v>
      </c>
      <c r="AA108" s="208">
        <f t="shared" si="93"/>
        <v>0</v>
      </c>
      <c r="AB108" s="233">
        <f t="shared" si="99"/>
        <v>0</v>
      </c>
      <c r="AC108" s="233">
        <f t="shared" si="106"/>
        <v>176806346.19999999</v>
      </c>
      <c r="AD108" s="233">
        <f t="shared" si="100"/>
        <v>176806346.19999999</v>
      </c>
      <c r="AE108" s="233">
        <f t="shared" si="101"/>
        <v>176806346.19999999</v>
      </c>
      <c r="AF108" s="238">
        <f t="shared" si="102"/>
        <v>176806346.19999999</v>
      </c>
      <c r="AG108" s="238">
        <f t="shared" si="103"/>
        <v>176806346.19999999</v>
      </c>
      <c r="AH108" s="238">
        <f t="shared" si="94"/>
        <v>884031731</v>
      </c>
      <c r="AI108" s="261">
        <f t="shared" si="104"/>
        <v>2013</v>
      </c>
      <c r="AJ108" s="233">
        <f t="shared" si="105"/>
        <v>884031741</v>
      </c>
    </row>
    <row r="109" spans="1:36" s="116" customFormat="1" ht="35.25" customHeight="1" x14ac:dyDescent="0.2">
      <c r="A109" s="116">
        <v>164</v>
      </c>
      <c r="B109" s="116" t="str">
        <f t="shared" si="107"/>
        <v>PANGEAN - BATAS PELALAWAN</v>
      </c>
      <c r="D109" s="116" t="s">
        <v>4096</v>
      </c>
      <c r="E109" s="218" t="s">
        <v>4247</v>
      </c>
      <c r="F109" s="53"/>
      <c r="G109" s="67" t="str">
        <f t="shared" si="124"/>
        <v>PENINGKATAN JL. PANGEAN - SITUGAL</v>
      </c>
      <c r="H109" s="396" t="str">
        <f t="shared" si="125"/>
        <v>04.13.01.03.06</v>
      </c>
      <c r="I109" s="396">
        <f t="shared" si="126"/>
        <v>0</v>
      </c>
      <c r="J109" s="396">
        <f t="shared" si="127"/>
        <v>0</v>
      </c>
      <c r="K109" s="398">
        <f t="shared" si="128"/>
        <v>0</v>
      </c>
      <c r="L109" s="396">
        <f t="shared" si="129"/>
        <v>0</v>
      </c>
      <c r="M109" s="398">
        <f t="shared" si="130"/>
        <v>0</v>
      </c>
      <c r="N109" s="396" t="str">
        <f t="shared" si="131"/>
        <v>PANGEAN - SITUGAL</v>
      </c>
      <c r="O109" s="396">
        <f t="shared" si="132"/>
        <v>2015</v>
      </c>
      <c r="P109" s="396">
        <f t="shared" si="133"/>
        <v>0</v>
      </c>
      <c r="Q109" s="396">
        <f t="shared" si="134"/>
        <v>0</v>
      </c>
      <c r="R109" s="396">
        <f t="shared" si="135"/>
        <v>0</v>
      </c>
      <c r="S109" s="396" t="str">
        <f t="shared" si="136"/>
        <v>APBD</v>
      </c>
      <c r="T109" s="397">
        <f t="shared" si="137"/>
        <v>8656542443.2000008</v>
      </c>
      <c r="U109" s="396">
        <f t="shared" si="138"/>
        <v>0</v>
      </c>
      <c r="V109" s="396">
        <f t="shared" si="139"/>
        <v>0</v>
      </c>
      <c r="W109" s="206" t="str">
        <f t="shared" si="95"/>
        <v>04.13.01</v>
      </c>
      <c r="X109" s="207" t="str">
        <f t="shared" si="96"/>
        <v>Jalan</v>
      </c>
      <c r="Y109" s="207">
        <f t="shared" si="97"/>
        <v>10</v>
      </c>
      <c r="Z109" s="233">
        <f t="shared" si="98"/>
        <v>865654243.32000005</v>
      </c>
      <c r="AA109" s="208">
        <f t="shared" si="93"/>
        <v>0</v>
      </c>
      <c r="AB109" s="233">
        <f t="shared" si="99"/>
        <v>0</v>
      </c>
      <c r="AC109" s="233"/>
      <c r="AD109" s="233">
        <f t="shared" si="100"/>
        <v>865654243.32000005</v>
      </c>
      <c r="AE109" s="233">
        <f t="shared" si="101"/>
        <v>865654243.32000005</v>
      </c>
      <c r="AF109" s="238">
        <f t="shared" si="102"/>
        <v>865654243.32000005</v>
      </c>
      <c r="AG109" s="238">
        <f t="shared" si="103"/>
        <v>865654243.32000005</v>
      </c>
      <c r="AH109" s="238">
        <f t="shared" si="94"/>
        <v>3462616973.2800002</v>
      </c>
      <c r="AI109" s="261">
        <f t="shared" si="104"/>
        <v>2015</v>
      </c>
      <c r="AJ109" s="233">
        <f t="shared" si="105"/>
        <v>5193925469.9200001</v>
      </c>
    </row>
    <row r="110" spans="1:36" s="116" customFormat="1" ht="35.25" customHeight="1" x14ac:dyDescent="0.2">
      <c r="A110" s="116">
        <v>164</v>
      </c>
      <c r="B110" s="116" t="str">
        <f t="shared" si="107"/>
        <v>PANGEAN - BATAS PELALAWAN</v>
      </c>
      <c r="D110" s="116" t="s">
        <v>4097</v>
      </c>
      <c r="E110" s="218" t="s">
        <v>4247</v>
      </c>
      <c r="F110" s="53"/>
      <c r="G110" s="67" t="str">
        <f t="shared" si="124"/>
        <v>PENINGKATAN JALAN PANGEAN - SITUGAL (PELEBARAN)</v>
      </c>
      <c r="H110" s="396" t="str">
        <f t="shared" si="125"/>
        <v>04.13.01.03.06</v>
      </c>
      <c r="I110" s="396">
        <f t="shared" si="126"/>
        <v>0</v>
      </c>
      <c r="J110" s="396">
        <f t="shared" si="127"/>
        <v>0</v>
      </c>
      <c r="K110" s="398">
        <f t="shared" si="128"/>
        <v>0</v>
      </c>
      <c r="L110" s="396">
        <f t="shared" si="129"/>
        <v>0</v>
      </c>
      <c r="M110" s="398">
        <f t="shared" si="130"/>
        <v>0</v>
      </c>
      <c r="N110" s="396" t="str">
        <f t="shared" si="131"/>
        <v>PANGEAN - SITUGAL</v>
      </c>
      <c r="O110" s="396">
        <f t="shared" si="132"/>
        <v>2016</v>
      </c>
      <c r="P110" s="396">
        <f t="shared" si="133"/>
        <v>0</v>
      </c>
      <c r="Q110" s="396">
        <f t="shared" si="134"/>
        <v>0</v>
      </c>
      <c r="R110" s="396">
        <f t="shared" si="135"/>
        <v>0</v>
      </c>
      <c r="S110" s="396" t="str">
        <f t="shared" si="136"/>
        <v>APBD</v>
      </c>
      <c r="T110" s="397">
        <f t="shared" si="137"/>
        <v>5591436679.1599998</v>
      </c>
      <c r="U110" s="396">
        <f t="shared" si="138"/>
        <v>0</v>
      </c>
      <c r="V110" s="396">
        <f t="shared" si="139"/>
        <v>0</v>
      </c>
      <c r="W110" s="206" t="str">
        <f t="shared" si="95"/>
        <v>04.13.01</v>
      </c>
      <c r="X110" s="207" t="str">
        <f t="shared" si="96"/>
        <v>Jalan</v>
      </c>
      <c r="Y110" s="207">
        <f t="shared" si="97"/>
        <v>10</v>
      </c>
      <c r="Z110" s="233">
        <f t="shared" si="98"/>
        <v>559143666.91600001</v>
      </c>
      <c r="AA110" s="208">
        <f t="shared" si="93"/>
        <v>0</v>
      </c>
      <c r="AB110" s="233">
        <f t="shared" si="99"/>
        <v>0</v>
      </c>
      <c r="AC110" s="233"/>
      <c r="AD110" s="233"/>
      <c r="AE110" s="233">
        <f t="shared" si="101"/>
        <v>559143666.91600001</v>
      </c>
      <c r="AF110" s="238">
        <f t="shared" si="102"/>
        <v>559143666.91600001</v>
      </c>
      <c r="AG110" s="238">
        <f t="shared" si="103"/>
        <v>559143666.91600001</v>
      </c>
      <c r="AH110" s="238">
        <f t="shared" si="94"/>
        <v>1677431000.7480001</v>
      </c>
      <c r="AI110" s="261">
        <f t="shared" si="104"/>
        <v>2016</v>
      </c>
      <c r="AJ110" s="233">
        <f t="shared" si="105"/>
        <v>3914005678.4119997</v>
      </c>
    </row>
    <row r="111" spans="1:36" s="116" customFormat="1" ht="35.25" customHeight="1" x14ac:dyDescent="0.2">
      <c r="A111" s="116">
        <v>164</v>
      </c>
      <c r="B111" s="116" t="str">
        <f t="shared" si="107"/>
        <v>PANGEAN - BATAS PELALAWAN</v>
      </c>
      <c r="D111" s="116" t="s">
        <v>4098</v>
      </c>
      <c r="E111" s="218" t="s">
        <v>4247</v>
      </c>
      <c r="F111" s="53"/>
      <c r="G111" s="67" t="str">
        <f t="shared" si="124"/>
        <v>PENINGKATAN JALAN PANGEAN - SITUGAL (ASPAL)</v>
      </c>
      <c r="H111" s="396" t="str">
        <f t="shared" si="125"/>
        <v>04.13.01.03.06</v>
      </c>
      <c r="I111" s="396">
        <f t="shared" si="126"/>
        <v>0</v>
      </c>
      <c r="J111" s="396">
        <f t="shared" si="127"/>
        <v>0</v>
      </c>
      <c r="K111" s="398">
        <f t="shared" si="128"/>
        <v>0</v>
      </c>
      <c r="L111" s="396">
        <f t="shared" si="129"/>
        <v>0</v>
      </c>
      <c r="M111" s="398">
        <f t="shared" si="130"/>
        <v>0</v>
      </c>
      <c r="N111" s="396" t="str">
        <f t="shared" si="131"/>
        <v>PANGEAN - SITUGAL</v>
      </c>
      <c r="O111" s="396">
        <f t="shared" si="132"/>
        <v>2016</v>
      </c>
      <c r="P111" s="396">
        <f t="shared" si="133"/>
        <v>0</v>
      </c>
      <c r="Q111" s="396">
        <f t="shared" si="134"/>
        <v>0</v>
      </c>
      <c r="R111" s="396">
        <f t="shared" si="135"/>
        <v>0</v>
      </c>
      <c r="S111" s="396" t="str">
        <f t="shared" si="136"/>
        <v>APBD</v>
      </c>
      <c r="T111" s="397">
        <f t="shared" si="137"/>
        <v>5487724779.8400002</v>
      </c>
      <c r="U111" s="396">
        <f t="shared" si="138"/>
        <v>0</v>
      </c>
      <c r="V111" s="396">
        <f t="shared" si="139"/>
        <v>0</v>
      </c>
      <c r="W111" s="206" t="str">
        <f t="shared" si="95"/>
        <v>04.13.01</v>
      </c>
      <c r="X111" s="207" t="str">
        <f t="shared" si="96"/>
        <v>Jalan</v>
      </c>
      <c r="Y111" s="207">
        <f t="shared" si="97"/>
        <v>10</v>
      </c>
      <c r="Z111" s="233">
        <f t="shared" si="98"/>
        <v>548772476.98399997</v>
      </c>
      <c r="AA111" s="208">
        <f t="shared" si="93"/>
        <v>0</v>
      </c>
      <c r="AB111" s="233">
        <f t="shared" si="99"/>
        <v>0</v>
      </c>
      <c r="AC111" s="233"/>
      <c r="AD111" s="233"/>
      <c r="AE111" s="233">
        <f t="shared" si="101"/>
        <v>548772476.98399997</v>
      </c>
      <c r="AF111" s="238">
        <f t="shared" si="102"/>
        <v>548772476.98399997</v>
      </c>
      <c r="AG111" s="238">
        <f t="shared" si="103"/>
        <v>548772476.98399997</v>
      </c>
      <c r="AH111" s="238">
        <f t="shared" si="94"/>
        <v>1646317430.9519999</v>
      </c>
      <c r="AI111" s="261">
        <f t="shared" si="104"/>
        <v>2016</v>
      </c>
      <c r="AJ111" s="233">
        <f t="shared" si="105"/>
        <v>3841407348.8880005</v>
      </c>
    </row>
    <row r="112" spans="1:36" s="116" customFormat="1" ht="35.25" customHeight="1" x14ac:dyDescent="0.2">
      <c r="A112" s="116">
        <v>165</v>
      </c>
      <c r="B112" s="116" t="str">
        <f t="shared" si="107"/>
        <v>SAKO - TRANS SKP II</v>
      </c>
      <c r="D112" s="116" t="s">
        <v>3977</v>
      </c>
      <c r="E112" s="218" t="s">
        <v>4247</v>
      </c>
      <c r="F112" s="53"/>
      <c r="G112" s="67" t="str">
        <f t="shared" si="108"/>
        <v>JALAN KABUPATEN LOKAL</v>
      </c>
      <c r="H112" s="396" t="str">
        <f t="shared" si="109"/>
        <v>04.13.01.03.06</v>
      </c>
      <c r="I112" s="396">
        <f t="shared" si="110"/>
        <v>0</v>
      </c>
      <c r="J112" s="396" t="str">
        <f t="shared" si="111"/>
        <v>ASPAL HOTMIX</v>
      </c>
      <c r="K112" s="398" t="str">
        <f t="shared" si="112"/>
        <v>35000</v>
      </c>
      <c r="L112" s="396">
        <f t="shared" si="113"/>
        <v>0</v>
      </c>
      <c r="M112" s="398">
        <f t="shared" si="114"/>
        <v>0</v>
      </c>
      <c r="N112" s="396" t="str">
        <f t="shared" si="115"/>
        <v>SAKO - TRANS SKP II</v>
      </c>
      <c r="O112" s="396">
        <f t="shared" si="116"/>
        <v>2001</v>
      </c>
      <c r="P112" s="396">
        <f t="shared" si="117"/>
        <v>0</v>
      </c>
      <c r="Q112" s="396">
        <f t="shared" si="118"/>
        <v>0</v>
      </c>
      <c r="R112" s="396" t="str">
        <f t="shared" si="119"/>
        <v>12.04.06.05.01.00</v>
      </c>
      <c r="S112" s="396" t="str">
        <f t="shared" si="120"/>
        <v>APBD</v>
      </c>
      <c r="T112" s="397">
        <f t="shared" si="121"/>
        <v>4200000000</v>
      </c>
      <c r="U112" s="396" t="str">
        <f t="shared" si="122"/>
        <v>KB</v>
      </c>
      <c r="V112" s="396">
        <f t="shared" si="123"/>
        <v>0</v>
      </c>
      <c r="W112" s="206" t="str">
        <f t="shared" si="95"/>
        <v>04.13.01</v>
      </c>
      <c r="X112" s="207" t="str">
        <f t="shared" si="96"/>
        <v>Jalan</v>
      </c>
      <c r="Y112" s="207">
        <f t="shared" si="97"/>
        <v>10</v>
      </c>
      <c r="Z112" s="233">
        <f t="shared" si="98"/>
        <v>419999999</v>
      </c>
      <c r="AA112" s="208">
        <f t="shared" si="93"/>
        <v>10</v>
      </c>
      <c r="AB112" s="233">
        <f t="shared" si="99"/>
        <v>4199999990</v>
      </c>
      <c r="AC112" s="233">
        <f t="shared" si="106"/>
        <v>0</v>
      </c>
      <c r="AD112" s="233">
        <f t="shared" si="100"/>
        <v>0</v>
      </c>
      <c r="AE112" s="233">
        <f t="shared" si="101"/>
        <v>0</v>
      </c>
      <c r="AF112" s="238">
        <f t="shared" si="102"/>
        <v>0</v>
      </c>
      <c r="AG112" s="238">
        <f t="shared" si="103"/>
        <v>0</v>
      </c>
      <c r="AH112" s="238">
        <f t="shared" si="94"/>
        <v>4199999990</v>
      </c>
      <c r="AI112" s="261">
        <f t="shared" si="104"/>
        <v>2001</v>
      </c>
      <c r="AJ112" s="233">
        <f t="shared" si="105"/>
        <v>10</v>
      </c>
    </row>
    <row r="113" spans="1:36" s="116" customFormat="1" ht="35.25" customHeight="1" x14ac:dyDescent="0.2">
      <c r="A113" s="116">
        <v>165</v>
      </c>
      <c r="B113" s="116" t="str">
        <f t="shared" si="107"/>
        <v>SAKO - TRANS SKP II</v>
      </c>
      <c r="D113" s="116" t="s">
        <v>3978</v>
      </c>
      <c r="E113" s="218" t="s">
        <v>4247</v>
      </c>
      <c r="F113" s="53"/>
      <c r="G113" s="67" t="str">
        <f t="shared" si="108"/>
        <v>JALAN KABUPATEN LOKAL</v>
      </c>
      <c r="H113" s="396" t="str">
        <f t="shared" si="109"/>
        <v>04.13.01.03.06</v>
      </c>
      <c r="I113" s="396">
        <f t="shared" si="110"/>
        <v>0</v>
      </c>
      <c r="J113" s="396" t="str">
        <f t="shared" si="111"/>
        <v>BATU PECAH / MACADAM</v>
      </c>
      <c r="K113" s="398" t="str">
        <f t="shared" si="112"/>
        <v>35000</v>
      </c>
      <c r="L113" s="396">
        <f t="shared" si="113"/>
        <v>0</v>
      </c>
      <c r="M113" s="398">
        <f t="shared" si="114"/>
        <v>0</v>
      </c>
      <c r="N113" s="396" t="str">
        <f t="shared" si="115"/>
        <v>SAKO - TRANS SKP II</v>
      </c>
      <c r="O113" s="396">
        <f t="shared" si="116"/>
        <v>2001</v>
      </c>
      <c r="P113" s="396">
        <f t="shared" si="117"/>
        <v>0</v>
      </c>
      <c r="Q113" s="396">
        <f t="shared" si="118"/>
        <v>0</v>
      </c>
      <c r="R113" s="396" t="str">
        <f t="shared" si="119"/>
        <v>12.04.06.05.01.00</v>
      </c>
      <c r="S113" s="396" t="str">
        <f t="shared" si="120"/>
        <v>APBD</v>
      </c>
      <c r="T113" s="397">
        <f t="shared" si="121"/>
        <v>4992000000</v>
      </c>
      <c r="U113" s="396" t="str">
        <f t="shared" si="122"/>
        <v>B</v>
      </c>
      <c r="V113" s="396">
        <f t="shared" si="123"/>
        <v>0</v>
      </c>
      <c r="W113" s="206" t="str">
        <f t="shared" si="95"/>
        <v>04.13.01</v>
      </c>
      <c r="X113" s="207" t="str">
        <f t="shared" si="96"/>
        <v>Jalan</v>
      </c>
      <c r="Y113" s="207">
        <f t="shared" si="97"/>
        <v>10</v>
      </c>
      <c r="Z113" s="233">
        <f t="shared" si="98"/>
        <v>499199999</v>
      </c>
      <c r="AA113" s="208">
        <f t="shared" si="93"/>
        <v>10</v>
      </c>
      <c r="AB113" s="233">
        <f t="shared" si="99"/>
        <v>4991999990</v>
      </c>
      <c r="AC113" s="233">
        <f t="shared" si="106"/>
        <v>0</v>
      </c>
      <c r="AD113" s="233">
        <f t="shared" si="100"/>
        <v>0</v>
      </c>
      <c r="AE113" s="233">
        <f t="shared" si="101"/>
        <v>0</v>
      </c>
      <c r="AF113" s="238">
        <f t="shared" si="102"/>
        <v>0</v>
      </c>
      <c r="AG113" s="238">
        <f t="shared" si="103"/>
        <v>0</v>
      </c>
      <c r="AH113" s="238">
        <f t="shared" si="94"/>
        <v>4991999990</v>
      </c>
      <c r="AI113" s="261">
        <f t="shared" si="104"/>
        <v>2001</v>
      </c>
      <c r="AJ113" s="233">
        <f t="shared" si="105"/>
        <v>10</v>
      </c>
    </row>
    <row r="114" spans="1:36" s="116" customFormat="1" ht="35.25" customHeight="1" x14ac:dyDescent="0.2">
      <c r="A114" s="116">
        <v>165</v>
      </c>
      <c r="B114" s="116" t="str">
        <f t="shared" si="107"/>
        <v>SAKO - TRANS SKP II</v>
      </c>
      <c r="D114" s="116" t="s">
        <v>3979</v>
      </c>
      <c r="E114" s="218" t="s">
        <v>4247</v>
      </c>
      <c r="F114" s="53"/>
      <c r="G114" s="67" t="str">
        <f t="shared" si="108"/>
        <v>PEMBUATAN 1 UNIT BOX CULVERT 3 X 3 (TUNGGAL) RUAS JALAN SAKO TRANS SKP II</v>
      </c>
      <c r="H114" s="396" t="s">
        <v>2494</v>
      </c>
      <c r="I114" s="396">
        <f t="shared" si="110"/>
        <v>0</v>
      </c>
      <c r="J114" s="396" t="str">
        <f t="shared" si="111"/>
        <v>Beton</v>
      </c>
      <c r="K114" s="398">
        <f t="shared" si="112"/>
        <v>3</v>
      </c>
      <c r="L114" s="396">
        <f t="shared" si="113"/>
        <v>3</v>
      </c>
      <c r="M114" s="398">
        <f t="shared" si="114"/>
        <v>9</v>
      </c>
      <c r="N114" s="396" t="str">
        <f t="shared" si="115"/>
        <v>SAKO TRANS SKP II</v>
      </c>
      <c r="O114" s="396">
        <f t="shared" si="116"/>
        <v>2007</v>
      </c>
      <c r="P114" s="396">
        <f t="shared" si="117"/>
        <v>0</v>
      </c>
      <c r="Q114" s="396">
        <f t="shared" si="118"/>
        <v>0</v>
      </c>
      <c r="R114" s="396">
        <f t="shared" si="119"/>
        <v>0</v>
      </c>
      <c r="S114" s="396" t="str">
        <f t="shared" si="120"/>
        <v>APBD</v>
      </c>
      <c r="T114" s="397">
        <f t="shared" si="121"/>
        <v>732909624.99453104</v>
      </c>
      <c r="U114" s="396" t="str">
        <f t="shared" si="122"/>
        <v>B</v>
      </c>
      <c r="V114" s="396">
        <f t="shared" si="123"/>
        <v>0</v>
      </c>
      <c r="W114" s="206" t="str">
        <f t="shared" si="95"/>
        <v>04.13.01</v>
      </c>
      <c r="X114" s="661" t="str">
        <f t="shared" si="96"/>
        <v>Jalan</v>
      </c>
      <c r="Y114" s="207">
        <f t="shared" si="97"/>
        <v>10</v>
      </c>
      <c r="Z114" s="233">
        <f t="shared" si="98"/>
        <v>73290961.499453098</v>
      </c>
      <c r="AA114" s="208">
        <f t="shared" si="93"/>
        <v>6</v>
      </c>
      <c r="AB114" s="233">
        <f t="shared" si="99"/>
        <v>439745768.99671859</v>
      </c>
      <c r="AC114" s="233">
        <f t="shared" si="106"/>
        <v>73290961.499453098</v>
      </c>
      <c r="AD114" s="233">
        <f t="shared" si="100"/>
        <v>73290961.499453098</v>
      </c>
      <c r="AE114" s="233">
        <f t="shared" si="101"/>
        <v>73290961.499453098</v>
      </c>
      <c r="AF114" s="238">
        <f t="shared" si="102"/>
        <v>73290961.499453098</v>
      </c>
      <c r="AG114" s="238">
        <f t="shared" si="103"/>
        <v>0</v>
      </c>
      <c r="AH114" s="238">
        <f t="shared" si="94"/>
        <v>732909614.99453092</v>
      </c>
      <c r="AI114" s="261">
        <f t="shared" si="104"/>
        <v>2007</v>
      </c>
      <c r="AJ114" s="233">
        <f t="shared" si="105"/>
        <v>10.00000011920929</v>
      </c>
    </row>
    <row r="115" spans="1:36" s="116" customFormat="1" ht="35.25" customHeight="1" x14ac:dyDescent="0.2">
      <c r="A115" s="116">
        <v>165</v>
      </c>
      <c r="B115" s="116" t="str">
        <f t="shared" si="107"/>
        <v>SAKO - TRANS SKP II</v>
      </c>
      <c r="D115" s="116" t="s">
        <v>3980</v>
      </c>
      <c r="E115" s="218" t="s">
        <v>4247</v>
      </c>
      <c r="F115" s="53"/>
      <c r="G115" s="67" t="str">
        <f t="shared" si="108"/>
        <v>PENINGKATAN JALAN SAKO - TRANS SKP II (DESA SUKARAJA) ASPAL 0,67 KM)</v>
      </c>
      <c r="H115" s="396" t="str">
        <f t="shared" si="109"/>
        <v>04.13.01.03.06</v>
      </c>
      <c r="I115" s="396">
        <f t="shared" si="110"/>
        <v>0</v>
      </c>
      <c r="J115" s="396" t="str">
        <f t="shared" si="111"/>
        <v>Aspal</v>
      </c>
      <c r="K115" s="398">
        <f t="shared" si="112"/>
        <v>0</v>
      </c>
      <c r="L115" s="396">
        <f t="shared" si="113"/>
        <v>0</v>
      </c>
      <c r="M115" s="398">
        <f t="shared" si="114"/>
        <v>2000</v>
      </c>
      <c r="N115" s="396" t="str">
        <f t="shared" si="115"/>
        <v>SAKO - TRANS SKP II DESA SUKARAJA</v>
      </c>
      <c r="O115" s="396">
        <f t="shared" si="116"/>
        <v>2011</v>
      </c>
      <c r="P115" s="396">
        <f t="shared" si="117"/>
        <v>0</v>
      </c>
      <c r="Q115" s="396">
        <f t="shared" si="118"/>
        <v>0</v>
      </c>
      <c r="R115" s="396">
        <f t="shared" si="119"/>
        <v>0</v>
      </c>
      <c r="S115" s="396" t="str">
        <f t="shared" si="120"/>
        <v>APBD</v>
      </c>
      <c r="T115" s="397">
        <f t="shared" si="121"/>
        <v>56964700</v>
      </c>
      <c r="U115" s="396" t="str">
        <f t="shared" si="122"/>
        <v>B</v>
      </c>
      <c r="V115" s="396">
        <f t="shared" si="123"/>
        <v>0</v>
      </c>
      <c r="W115" s="206" t="str">
        <f t="shared" si="95"/>
        <v>04.13.01</v>
      </c>
      <c r="X115" s="207" t="str">
        <f t="shared" si="96"/>
        <v>Jalan</v>
      </c>
      <c r="Y115" s="207">
        <f t="shared" si="97"/>
        <v>10</v>
      </c>
      <c r="Z115" s="233">
        <f t="shared" si="98"/>
        <v>5696469</v>
      </c>
      <c r="AA115" s="208">
        <f t="shared" si="93"/>
        <v>2</v>
      </c>
      <c r="AB115" s="233">
        <f t="shared" si="99"/>
        <v>11392938</v>
      </c>
      <c r="AC115" s="233">
        <f t="shared" si="106"/>
        <v>5696469</v>
      </c>
      <c r="AD115" s="233">
        <f t="shared" si="100"/>
        <v>5696469</v>
      </c>
      <c r="AE115" s="233">
        <f t="shared" si="101"/>
        <v>5696469</v>
      </c>
      <c r="AF115" s="238">
        <f t="shared" si="102"/>
        <v>5696469</v>
      </c>
      <c r="AG115" s="238">
        <f t="shared" si="103"/>
        <v>5696469</v>
      </c>
      <c r="AH115" s="238">
        <f t="shared" si="94"/>
        <v>39875283</v>
      </c>
      <c r="AI115" s="261">
        <f t="shared" si="104"/>
        <v>2011</v>
      </c>
      <c r="AJ115" s="233">
        <f t="shared" si="105"/>
        <v>17089417</v>
      </c>
    </row>
    <row r="116" spans="1:36" s="116" customFormat="1" ht="35.25" customHeight="1" x14ac:dyDescent="0.2">
      <c r="A116" s="116">
        <v>165</v>
      </c>
      <c r="B116" s="116" t="str">
        <f t="shared" si="107"/>
        <v>SAKO - TRANS SKP II</v>
      </c>
      <c r="D116" s="116" t="s">
        <v>3981</v>
      </c>
      <c r="E116" s="218" t="s">
        <v>4247</v>
      </c>
      <c r="F116" s="53"/>
      <c r="G116" s="67" t="str">
        <f t="shared" si="108"/>
        <v>PENINGKATAN JALAN SAKO - TRANS SKP II (DESA KUANTAN SAKO) (ASPAL 0,67 KM)</v>
      </c>
      <c r="H116" s="396" t="str">
        <f t="shared" si="109"/>
        <v>04.13.01.03.06</v>
      </c>
      <c r="I116" s="396">
        <f t="shared" si="110"/>
        <v>0</v>
      </c>
      <c r="J116" s="396" t="str">
        <f t="shared" si="111"/>
        <v>Aspal</v>
      </c>
      <c r="K116" s="398">
        <f t="shared" si="112"/>
        <v>0</v>
      </c>
      <c r="L116" s="396">
        <f t="shared" si="113"/>
        <v>0</v>
      </c>
      <c r="M116" s="398">
        <f t="shared" si="114"/>
        <v>670</v>
      </c>
      <c r="N116" s="396" t="str">
        <f t="shared" si="115"/>
        <v>SAKO - TRANS SKP II (DESA KUANTAN SAKO)</v>
      </c>
      <c r="O116" s="396">
        <f t="shared" si="116"/>
        <v>2011</v>
      </c>
      <c r="P116" s="396">
        <f t="shared" si="117"/>
        <v>0</v>
      </c>
      <c r="Q116" s="396">
        <f t="shared" si="118"/>
        <v>0</v>
      </c>
      <c r="R116" s="396">
        <f t="shared" si="119"/>
        <v>0</v>
      </c>
      <c r="S116" s="396" t="str">
        <f t="shared" si="120"/>
        <v>APBD</v>
      </c>
      <c r="T116" s="397">
        <f t="shared" si="121"/>
        <v>1798246935</v>
      </c>
      <c r="U116" s="396" t="str">
        <f t="shared" si="122"/>
        <v>B</v>
      </c>
      <c r="V116" s="396">
        <f t="shared" si="123"/>
        <v>0</v>
      </c>
      <c r="W116" s="206" t="str">
        <f t="shared" si="95"/>
        <v>04.13.01</v>
      </c>
      <c r="X116" s="207" t="str">
        <f t="shared" si="96"/>
        <v>Jalan</v>
      </c>
      <c r="Y116" s="207">
        <f t="shared" si="97"/>
        <v>10</v>
      </c>
      <c r="Z116" s="233">
        <f t="shared" si="98"/>
        <v>179824692.5</v>
      </c>
      <c r="AA116" s="208">
        <f t="shared" si="93"/>
        <v>2</v>
      </c>
      <c r="AB116" s="233">
        <f t="shared" si="99"/>
        <v>359649385</v>
      </c>
      <c r="AC116" s="233">
        <f t="shared" si="106"/>
        <v>179824692.5</v>
      </c>
      <c r="AD116" s="233">
        <f t="shared" si="100"/>
        <v>179824692.5</v>
      </c>
      <c r="AE116" s="233">
        <f t="shared" si="101"/>
        <v>179824692.5</v>
      </c>
      <c r="AF116" s="238">
        <f t="shared" si="102"/>
        <v>179824692.5</v>
      </c>
      <c r="AG116" s="238">
        <f t="shared" si="103"/>
        <v>179824692.5</v>
      </c>
      <c r="AH116" s="238">
        <f t="shared" si="94"/>
        <v>1258772847.5</v>
      </c>
      <c r="AI116" s="261">
        <f t="shared" si="104"/>
        <v>2011</v>
      </c>
      <c r="AJ116" s="233">
        <f t="shared" si="105"/>
        <v>539474087.5</v>
      </c>
    </row>
    <row r="117" spans="1:36" s="116" customFormat="1" ht="35.25" customHeight="1" x14ac:dyDescent="0.2">
      <c r="A117" s="116">
        <v>165</v>
      </c>
      <c r="B117" s="116" t="str">
        <f t="shared" si="107"/>
        <v>SAKO - TRANS SKP II</v>
      </c>
      <c r="D117" s="116" t="s">
        <v>3982</v>
      </c>
      <c r="E117" s="218" t="s">
        <v>4247</v>
      </c>
      <c r="F117" s="53"/>
      <c r="G117" s="67" t="str">
        <f t="shared" si="108"/>
        <v>PENINGKATAN JALAN SAKO-TRANS SKP II (DESA KUANTAN SAKO BLOK D) (ASPAL 1,00 KM)</v>
      </c>
      <c r="H117" s="396" t="str">
        <f t="shared" si="109"/>
        <v>04.13.01.03.06</v>
      </c>
      <c r="I117" s="396">
        <f t="shared" si="110"/>
        <v>0</v>
      </c>
      <c r="J117" s="396" t="str">
        <f t="shared" si="111"/>
        <v>Aspal</v>
      </c>
      <c r="K117" s="398">
        <f t="shared" si="112"/>
        <v>0</v>
      </c>
      <c r="L117" s="396">
        <f t="shared" si="113"/>
        <v>0</v>
      </c>
      <c r="M117" s="398">
        <f t="shared" si="114"/>
        <v>0</v>
      </c>
      <c r="N117" s="396" t="str">
        <f t="shared" si="115"/>
        <v>SAKO-TRANS SKP II (DESA KUANTAN SAKO)</v>
      </c>
      <c r="O117" s="396">
        <f t="shared" si="116"/>
        <v>2012</v>
      </c>
      <c r="P117" s="396">
        <f t="shared" si="117"/>
        <v>0</v>
      </c>
      <c r="Q117" s="396">
        <f t="shared" si="118"/>
        <v>0</v>
      </c>
      <c r="R117" s="396">
        <f t="shared" si="119"/>
        <v>0</v>
      </c>
      <c r="S117" s="396" t="str">
        <f t="shared" si="120"/>
        <v>APBD</v>
      </c>
      <c r="T117" s="397">
        <f t="shared" si="121"/>
        <v>1571078911.2345409</v>
      </c>
      <c r="U117" s="396" t="str">
        <f t="shared" si="122"/>
        <v>B</v>
      </c>
      <c r="V117" s="396">
        <f t="shared" si="123"/>
        <v>0</v>
      </c>
      <c r="W117" s="206" t="str">
        <f t="shared" si="95"/>
        <v>04.13.01</v>
      </c>
      <c r="X117" s="207" t="str">
        <f t="shared" si="96"/>
        <v>Jalan</v>
      </c>
      <c r="Y117" s="207">
        <f t="shared" si="97"/>
        <v>10</v>
      </c>
      <c r="Z117" s="233">
        <f t="shared" si="98"/>
        <v>157107890.12345409</v>
      </c>
      <c r="AA117" s="208">
        <f t="shared" si="93"/>
        <v>1</v>
      </c>
      <c r="AB117" s="233">
        <f t="shared" si="99"/>
        <v>157107890.12345409</v>
      </c>
      <c r="AC117" s="233">
        <f t="shared" si="106"/>
        <v>157107890.12345409</v>
      </c>
      <c r="AD117" s="233">
        <f t="shared" si="100"/>
        <v>157107890.12345409</v>
      </c>
      <c r="AE117" s="233">
        <f t="shared" si="101"/>
        <v>157107890.12345409</v>
      </c>
      <c r="AF117" s="238">
        <f t="shared" si="102"/>
        <v>157107890.12345409</v>
      </c>
      <c r="AG117" s="238">
        <f t="shared" si="103"/>
        <v>157107890.12345409</v>
      </c>
      <c r="AH117" s="238">
        <f t="shared" si="94"/>
        <v>942647340.74072456</v>
      </c>
      <c r="AI117" s="261">
        <f t="shared" si="104"/>
        <v>2012</v>
      </c>
      <c r="AJ117" s="233">
        <f t="shared" si="105"/>
        <v>628431570.49381638</v>
      </c>
    </row>
    <row r="118" spans="1:36" s="116" customFormat="1" ht="35.25" customHeight="1" x14ac:dyDescent="0.2">
      <c r="A118" s="116">
        <v>165</v>
      </c>
      <c r="B118" s="116" t="str">
        <f t="shared" si="107"/>
        <v>SAKO - TRANS SKP II</v>
      </c>
      <c r="D118" s="116" t="s">
        <v>3983</v>
      </c>
      <c r="E118" s="218" t="s">
        <v>4247</v>
      </c>
      <c r="F118" s="53"/>
      <c r="G118" s="67" t="str">
        <f t="shared" si="108"/>
        <v>PENINGKATAN JALAN SAKO - TRANS SKP II</v>
      </c>
      <c r="H118" s="396" t="str">
        <f t="shared" si="109"/>
        <v>04.13.01.03.06</v>
      </c>
      <c r="I118" s="396">
        <f t="shared" si="110"/>
        <v>0</v>
      </c>
      <c r="J118" s="396">
        <f t="shared" si="111"/>
        <v>0</v>
      </c>
      <c r="K118" s="398">
        <f t="shared" si="112"/>
        <v>0</v>
      </c>
      <c r="L118" s="396">
        <f t="shared" si="113"/>
        <v>0</v>
      </c>
      <c r="M118" s="398">
        <f t="shared" si="114"/>
        <v>0</v>
      </c>
      <c r="N118" s="396" t="str">
        <f t="shared" si="115"/>
        <v>SAKO TRANS SKP II</v>
      </c>
      <c r="O118" s="396">
        <f t="shared" si="116"/>
        <v>2015</v>
      </c>
      <c r="P118" s="396">
        <f t="shared" si="117"/>
        <v>0</v>
      </c>
      <c r="Q118" s="396">
        <f t="shared" si="118"/>
        <v>0</v>
      </c>
      <c r="R118" s="396">
        <f t="shared" si="119"/>
        <v>0</v>
      </c>
      <c r="S118" s="396" t="str">
        <f t="shared" si="120"/>
        <v>APBD</v>
      </c>
      <c r="T118" s="397">
        <f t="shared" si="121"/>
        <v>2126653104.2</v>
      </c>
      <c r="U118" s="396">
        <f t="shared" si="122"/>
        <v>0</v>
      </c>
      <c r="V118" s="396">
        <f t="shared" si="123"/>
        <v>0</v>
      </c>
      <c r="W118" s="206" t="str">
        <f t="shared" si="95"/>
        <v>04.13.01</v>
      </c>
      <c r="X118" s="207" t="str">
        <f t="shared" si="96"/>
        <v>Jalan</v>
      </c>
      <c r="Y118" s="207">
        <f t="shared" si="97"/>
        <v>10</v>
      </c>
      <c r="Z118" s="233">
        <f t="shared" si="98"/>
        <v>212665309.42000002</v>
      </c>
      <c r="AA118" s="208">
        <f t="shared" si="93"/>
        <v>0</v>
      </c>
      <c r="AB118" s="233">
        <f t="shared" si="99"/>
        <v>0</v>
      </c>
      <c r="AC118" s="233"/>
      <c r="AD118" s="233">
        <f t="shared" si="100"/>
        <v>212665309.42000002</v>
      </c>
      <c r="AE118" s="233">
        <f t="shared" si="101"/>
        <v>212665309.42000002</v>
      </c>
      <c r="AF118" s="238">
        <f t="shared" si="102"/>
        <v>212665309.42000002</v>
      </c>
      <c r="AG118" s="238">
        <f t="shared" si="103"/>
        <v>212665309.42000002</v>
      </c>
      <c r="AH118" s="238">
        <f t="shared" si="94"/>
        <v>850661237.68000007</v>
      </c>
      <c r="AI118" s="261">
        <f t="shared" si="104"/>
        <v>2015</v>
      </c>
      <c r="AJ118" s="233">
        <f t="shared" si="105"/>
        <v>1275991866.52</v>
      </c>
    </row>
    <row r="119" spans="1:36" s="116" customFormat="1" ht="35.25" customHeight="1" x14ac:dyDescent="0.2">
      <c r="A119" s="116">
        <v>165</v>
      </c>
      <c r="B119" s="116" t="str">
        <f t="shared" si="107"/>
        <v>SAKO - TRANS SKP II</v>
      </c>
      <c r="D119" s="116" t="s">
        <v>3984</v>
      </c>
      <c r="E119" s="218" t="s">
        <v>4247</v>
      </c>
      <c r="F119" s="53"/>
      <c r="G119" s="67" t="str">
        <f t="shared" si="108"/>
        <v>PENINGKATAN JALAN SAKO-TRANS SKP II ( DESA BUMI MULYA) ASPAL</v>
      </c>
      <c r="H119" s="396" t="str">
        <f t="shared" si="109"/>
        <v>04.13.01.03.06</v>
      </c>
      <c r="I119" s="396">
        <f t="shared" si="110"/>
        <v>0</v>
      </c>
      <c r="J119" s="396">
        <f t="shared" si="111"/>
        <v>0</v>
      </c>
      <c r="K119" s="398">
        <f t="shared" si="112"/>
        <v>0</v>
      </c>
      <c r="L119" s="396">
        <f t="shared" si="113"/>
        <v>0</v>
      </c>
      <c r="M119" s="398">
        <f t="shared" si="114"/>
        <v>0</v>
      </c>
      <c r="N119" s="396" t="str">
        <f t="shared" si="115"/>
        <v>SAKO-TRANS SKP II ( DESA BUMI MULYA)</v>
      </c>
      <c r="O119" s="396">
        <f t="shared" si="116"/>
        <v>2017</v>
      </c>
      <c r="P119" s="396">
        <f t="shared" si="117"/>
        <v>0</v>
      </c>
      <c r="Q119" s="396">
        <f t="shared" si="118"/>
        <v>0</v>
      </c>
      <c r="R119" s="396">
        <f t="shared" si="119"/>
        <v>0</v>
      </c>
      <c r="S119" s="396" t="str">
        <f t="shared" si="120"/>
        <v>APBD</v>
      </c>
      <c r="T119" s="397">
        <f t="shared" si="121"/>
        <v>1808380700</v>
      </c>
      <c r="U119" s="396">
        <f t="shared" si="122"/>
        <v>0</v>
      </c>
      <c r="V119" s="396">
        <f t="shared" si="123"/>
        <v>0</v>
      </c>
      <c r="W119" s="206" t="str">
        <f t="shared" si="95"/>
        <v>04.13.01</v>
      </c>
      <c r="X119" s="207" t="str">
        <f t="shared" si="96"/>
        <v>Jalan</v>
      </c>
      <c r="Y119" s="207">
        <f t="shared" si="97"/>
        <v>10</v>
      </c>
      <c r="Z119" s="233">
        <f t="shared" si="98"/>
        <v>180838069</v>
      </c>
      <c r="AA119" s="208">
        <f t="shared" si="93"/>
        <v>0</v>
      </c>
      <c r="AB119" s="233">
        <f t="shared" si="99"/>
        <v>0</v>
      </c>
      <c r="AC119" s="233"/>
      <c r="AD119" s="233"/>
      <c r="AE119" s="233"/>
      <c r="AF119" s="238"/>
      <c r="AG119" s="238">
        <f t="shared" si="103"/>
        <v>180838069</v>
      </c>
      <c r="AH119" s="238">
        <f t="shared" si="94"/>
        <v>180838069</v>
      </c>
      <c r="AI119" s="261">
        <f t="shared" si="104"/>
        <v>2017</v>
      </c>
      <c r="AJ119" s="233">
        <f t="shared" si="105"/>
        <v>1627542631</v>
      </c>
    </row>
    <row r="120" spans="1:36" s="116" customFormat="1" ht="35.25" customHeight="1" x14ac:dyDescent="0.2">
      <c r="A120" s="116">
        <v>165</v>
      </c>
      <c r="B120" s="116" t="str">
        <f>VLOOKUP(A120,RUAS,2,FALSE)</f>
        <v>SAKO - TRANS SKP II</v>
      </c>
      <c r="D120" s="116" t="s">
        <v>4125</v>
      </c>
      <c r="E120" s="218" t="s">
        <v>4247</v>
      </c>
      <c r="F120" s="53"/>
      <c r="G120" s="67" t="str">
        <f>VLOOKUP(D120,ACUAN,4,FALSE)</f>
        <v>PENINGKATAN JALAN SAKO-TRANS SKP II (ASPAL)/DESA MUARA LANGSAT DAN DESA SUKARAJA</v>
      </c>
      <c r="H120" s="396" t="str">
        <f>VLOOKUP(D120,ACUAN,5,FALSE)</f>
        <v>04.13.01.03.06</v>
      </c>
      <c r="I120" s="396">
        <f>VLOOKUP(D120,ACUAN,6,FALSE)</f>
        <v>0</v>
      </c>
      <c r="J120" s="396">
        <f>VLOOKUP(D120,ACUAN,7,FALSE)</f>
        <v>0</v>
      </c>
      <c r="K120" s="398">
        <f>VLOOKUP(D120,ACUAN,8,FALSE)</f>
        <v>0</v>
      </c>
      <c r="L120" s="396">
        <f>VLOOKUP(D120,ACUAN,9,FALSE)</f>
        <v>0</v>
      </c>
      <c r="M120" s="398">
        <f>VLOOKUP(D120,ACUAN,10,FALSE)</f>
        <v>0</v>
      </c>
      <c r="N120" s="396" t="str">
        <f>VLOOKUP(D120,ACUAN,11,FALSE)</f>
        <v>SAKO-TRANS SKP II/DESA MUARA LANGSAT DAN DESA SUKARAJA</v>
      </c>
      <c r="O120" s="396">
        <f>VLOOKUP(D120,ACUAN,12,FALSE)</f>
        <v>2018</v>
      </c>
      <c r="P120" s="396">
        <f>VLOOKUP(D120,ACUAN,13,FALSE)</f>
        <v>0</v>
      </c>
      <c r="Q120" s="396">
        <f>VLOOKUP(D120,ACUAN,14,FALSE)</f>
        <v>0</v>
      </c>
      <c r="R120" s="396">
        <f>VLOOKUP(D120,ACUAN,15,FALSE)</f>
        <v>0</v>
      </c>
      <c r="S120" s="396" t="str">
        <f>VLOOKUP(D120,ACUAN,16,FALSE)</f>
        <v>APBD</v>
      </c>
      <c r="T120" s="397">
        <f>VLOOKUP(D120,ACUAN,17,FALSE)</f>
        <v>2269492372</v>
      </c>
      <c r="U120" s="396">
        <f>VLOOKUP(D120,ACUAN,18,FALSE)</f>
        <v>0</v>
      </c>
      <c r="V120" s="396">
        <f>VLOOKUP(D120,ACUAN,19,FALSE)</f>
        <v>0</v>
      </c>
      <c r="W120" s="206" t="str">
        <f t="shared" si="95"/>
        <v>04.13.01</v>
      </c>
      <c r="X120" s="207" t="str">
        <f t="shared" si="96"/>
        <v>Jalan</v>
      </c>
      <c r="Y120" s="207">
        <f t="shared" si="97"/>
        <v>10</v>
      </c>
      <c r="Z120" s="233">
        <f t="shared" si="98"/>
        <v>226949236.19999999</v>
      </c>
      <c r="AA120" s="208">
        <f t="shared" si="93"/>
        <v>0</v>
      </c>
      <c r="AB120" s="233">
        <f t="shared" si="99"/>
        <v>0</v>
      </c>
      <c r="AC120" s="233"/>
      <c r="AD120" s="233"/>
      <c r="AE120" s="233"/>
      <c r="AF120" s="238"/>
      <c r="AG120" s="238"/>
      <c r="AH120" s="238">
        <f t="shared" si="94"/>
        <v>0</v>
      </c>
      <c r="AI120" s="261">
        <f t="shared" si="104"/>
        <v>2018</v>
      </c>
      <c r="AJ120" s="233">
        <f t="shared" si="105"/>
        <v>2269492372</v>
      </c>
    </row>
    <row r="121" spans="1:36" s="116" customFormat="1" ht="35.25" customHeight="1" x14ac:dyDescent="0.2">
      <c r="A121" s="116">
        <v>166</v>
      </c>
      <c r="B121" s="116" t="str">
        <f t="shared" si="107"/>
        <v>PAUH ANGIT - PS. USANG PANGEAN</v>
      </c>
      <c r="D121" s="116" t="s">
        <v>3985</v>
      </c>
      <c r="E121" s="218" t="s">
        <v>4247</v>
      </c>
      <c r="F121" s="53"/>
      <c r="G121" s="67" t="str">
        <f t="shared" si="108"/>
        <v>JALAN DESA</v>
      </c>
      <c r="H121" s="396" t="str">
        <f t="shared" si="109"/>
        <v>04.13.01.04.01</v>
      </c>
      <c r="I121" s="396">
        <f t="shared" si="110"/>
        <v>0</v>
      </c>
      <c r="J121" s="396" t="str">
        <f t="shared" si="111"/>
        <v>BATU PECAH / MACADAM</v>
      </c>
      <c r="K121" s="398" t="str">
        <f t="shared" si="112"/>
        <v>600</v>
      </c>
      <c r="L121" s="396">
        <f t="shared" si="113"/>
        <v>7</v>
      </c>
      <c r="M121" s="398">
        <f t="shared" si="114"/>
        <v>4200</v>
      </c>
      <c r="N121" s="396" t="str">
        <f t="shared" si="115"/>
        <v xml:space="preserve">PAUH ANGIT-PASAR USANG PANGEAN </v>
      </c>
      <c r="O121" s="396">
        <f t="shared" si="116"/>
        <v>2001</v>
      </c>
      <c r="P121" s="396">
        <f t="shared" si="117"/>
        <v>0</v>
      </c>
      <c r="Q121" s="396">
        <f t="shared" si="118"/>
        <v>0</v>
      </c>
      <c r="R121" s="396" t="str">
        <f t="shared" si="119"/>
        <v>12.04.06.05.01.00</v>
      </c>
      <c r="S121" s="396" t="str">
        <f t="shared" si="120"/>
        <v>APBD</v>
      </c>
      <c r="T121" s="397">
        <f t="shared" si="121"/>
        <v>187200000</v>
      </c>
      <c r="U121" s="396" t="str">
        <f t="shared" si="122"/>
        <v>B</v>
      </c>
      <c r="V121" s="396">
        <f t="shared" si="123"/>
        <v>0</v>
      </c>
      <c r="W121" s="206" t="str">
        <f t="shared" si="95"/>
        <v>04.13.01</v>
      </c>
      <c r="X121" s="207" t="str">
        <f t="shared" si="96"/>
        <v>Jalan</v>
      </c>
      <c r="Y121" s="207">
        <f t="shared" si="97"/>
        <v>10</v>
      </c>
      <c r="Z121" s="233">
        <f t="shared" si="98"/>
        <v>18719999</v>
      </c>
      <c r="AA121" s="208">
        <f t="shared" si="93"/>
        <v>10</v>
      </c>
      <c r="AB121" s="233">
        <f t="shared" si="99"/>
        <v>187199990</v>
      </c>
      <c r="AC121" s="233">
        <f t="shared" si="106"/>
        <v>0</v>
      </c>
      <c r="AD121" s="233">
        <f t="shared" si="100"/>
        <v>0</v>
      </c>
      <c r="AE121" s="233">
        <f t="shared" si="101"/>
        <v>0</v>
      </c>
      <c r="AF121" s="238">
        <f t="shared" si="102"/>
        <v>0</v>
      </c>
      <c r="AG121" s="238">
        <f t="shared" si="103"/>
        <v>0</v>
      </c>
      <c r="AH121" s="238">
        <f t="shared" si="94"/>
        <v>187199990</v>
      </c>
      <c r="AI121" s="261">
        <f t="shared" si="104"/>
        <v>2001</v>
      </c>
      <c r="AJ121" s="233">
        <f t="shared" si="105"/>
        <v>10</v>
      </c>
    </row>
    <row r="122" spans="1:36" s="116" customFormat="1" ht="35.25" customHeight="1" x14ac:dyDescent="0.2">
      <c r="A122" s="116">
        <v>166</v>
      </c>
      <c r="B122" s="116" t="str">
        <f t="shared" si="107"/>
        <v>PAUH ANGIT - PS. USANG PANGEAN</v>
      </c>
      <c r="D122" s="116" t="s">
        <v>3986</v>
      </c>
      <c r="E122" s="218" t="s">
        <v>4247</v>
      </c>
      <c r="F122" s="53"/>
      <c r="G122" s="67" t="str">
        <f t="shared" si="108"/>
        <v xml:space="preserve">PENINGKATAN STRUKTUR JL. PAUH ANGIT-PASAR USANG PANGEAN </v>
      </c>
      <c r="H122" s="396" t="str">
        <f t="shared" si="109"/>
        <v>04.13.01.03.06</v>
      </c>
      <c r="I122" s="396">
        <f t="shared" si="110"/>
        <v>0</v>
      </c>
      <c r="J122" s="396">
        <f t="shared" si="111"/>
        <v>0</v>
      </c>
      <c r="K122" s="398">
        <f t="shared" si="112"/>
        <v>0</v>
      </c>
      <c r="L122" s="396">
        <f t="shared" si="113"/>
        <v>0</v>
      </c>
      <c r="M122" s="398">
        <f t="shared" si="114"/>
        <v>0</v>
      </c>
      <c r="N122" s="396" t="str">
        <f t="shared" si="115"/>
        <v xml:space="preserve">PAUH ANGIT-PASAR USANG PANGEAN </v>
      </c>
      <c r="O122" s="396">
        <f t="shared" si="116"/>
        <v>2015</v>
      </c>
      <c r="P122" s="396">
        <f t="shared" si="117"/>
        <v>0</v>
      </c>
      <c r="Q122" s="396">
        <f t="shared" si="118"/>
        <v>0</v>
      </c>
      <c r="R122" s="396">
        <f t="shared" si="119"/>
        <v>0</v>
      </c>
      <c r="S122" s="396" t="str">
        <f t="shared" si="120"/>
        <v>APBD</v>
      </c>
      <c r="T122" s="397">
        <f t="shared" si="121"/>
        <v>2059213886</v>
      </c>
      <c r="U122" s="396">
        <f t="shared" si="122"/>
        <v>0</v>
      </c>
      <c r="V122" s="396">
        <f t="shared" si="123"/>
        <v>0</v>
      </c>
      <c r="W122" s="206" t="str">
        <f t="shared" si="95"/>
        <v>04.13.01</v>
      </c>
      <c r="X122" s="207" t="str">
        <f t="shared" si="96"/>
        <v>Jalan</v>
      </c>
      <c r="Y122" s="207">
        <f t="shared" si="97"/>
        <v>10</v>
      </c>
      <c r="Z122" s="233">
        <f t="shared" si="98"/>
        <v>205921387.59999999</v>
      </c>
      <c r="AA122" s="208">
        <f t="shared" si="93"/>
        <v>0</v>
      </c>
      <c r="AB122" s="233">
        <f t="shared" si="99"/>
        <v>0</v>
      </c>
      <c r="AC122" s="233"/>
      <c r="AD122" s="233">
        <f t="shared" si="100"/>
        <v>205921387.59999999</v>
      </c>
      <c r="AE122" s="233">
        <f t="shared" si="101"/>
        <v>205921387.59999999</v>
      </c>
      <c r="AF122" s="238">
        <f t="shared" si="102"/>
        <v>205921387.59999999</v>
      </c>
      <c r="AG122" s="238">
        <f t="shared" si="103"/>
        <v>205921387.59999999</v>
      </c>
      <c r="AH122" s="238">
        <f t="shared" si="94"/>
        <v>823685550.39999998</v>
      </c>
      <c r="AI122" s="261">
        <f t="shared" si="104"/>
        <v>2015</v>
      </c>
      <c r="AJ122" s="233">
        <f t="shared" si="105"/>
        <v>1235528335.5999999</v>
      </c>
    </row>
    <row r="123" spans="1:36" s="116" customFormat="1" ht="35.25" customHeight="1" x14ac:dyDescent="0.2">
      <c r="A123" s="116">
        <v>167</v>
      </c>
      <c r="B123" s="116" t="str">
        <f t="shared" si="107"/>
        <v>JK. RUAS 190/190 KM 7 + 000 - TANAH BEKALI</v>
      </c>
      <c r="D123" s="116" t="s">
        <v>3987</v>
      </c>
      <c r="E123" s="218" t="s">
        <v>4247</v>
      </c>
      <c r="F123" s="53"/>
      <c r="G123" s="67" t="str">
        <f t="shared" si="108"/>
        <v>JALAN TANAH BEKALI (ASPAL)</v>
      </c>
      <c r="H123" s="396" t="str">
        <f t="shared" si="109"/>
        <v>04.13.01.03.06</v>
      </c>
      <c r="I123" s="396">
        <f t="shared" si="110"/>
        <v>0</v>
      </c>
      <c r="J123" s="396" t="str">
        <f t="shared" si="111"/>
        <v>Aspal</v>
      </c>
      <c r="K123" s="398">
        <f t="shared" si="112"/>
        <v>0</v>
      </c>
      <c r="L123" s="396">
        <f t="shared" si="113"/>
        <v>0</v>
      </c>
      <c r="M123" s="398">
        <f t="shared" si="114"/>
        <v>0</v>
      </c>
      <c r="N123" s="396" t="str">
        <f t="shared" si="115"/>
        <v>DESA TANAH BEKALI</v>
      </c>
      <c r="O123" s="396">
        <f t="shared" si="116"/>
        <v>2013</v>
      </c>
      <c r="P123" s="396">
        <f t="shared" si="117"/>
        <v>0</v>
      </c>
      <c r="Q123" s="396">
        <f t="shared" si="118"/>
        <v>0</v>
      </c>
      <c r="R123" s="396">
        <f t="shared" si="119"/>
        <v>0</v>
      </c>
      <c r="S123" s="396" t="str">
        <f t="shared" si="120"/>
        <v>APBD</v>
      </c>
      <c r="T123" s="397">
        <f t="shared" si="121"/>
        <v>1663779645</v>
      </c>
      <c r="U123" s="396">
        <f t="shared" si="122"/>
        <v>0</v>
      </c>
      <c r="V123" s="396">
        <f t="shared" si="123"/>
        <v>0</v>
      </c>
      <c r="W123" s="206" t="str">
        <f t="shared" si="95"/>
        <v>04.13.01</v>
      </c>
      <c r="X123" s="207" t="str">
        <f t="shared" si="96"/>
        <v>Jalan</v>
      </c>
      <c r="Y123" s="207">
        <f t="shared" si="97"/>
        <v>10</v>
      </c>
      <c r="Z123" s="233">
        <f t="shared" si="98"/>
        <v>166377963.5</v>
      </c>
      <c r="AA123" s="208">
        <f t="shared" si="93"/>
        <v>0</v>
      </c>
      <c r="AB123" s="233">
        <f t="shared" si="99"/>
        <v>0</v>
      </c>
      <c r="AC123" s="233">
        <f t="shared" si="106"/>
        <v>166377963.5</v>
      </c>
      <c r="AD123" s="233">
        <f t="shared" si="100"/>
        <v>166377963.5</v>
      </c>
      <c r="AE123" s="233">
        <f t="shared" si="101"/>
        <v>166377963.5</v>
      </c>
      <c r="AF123" s="238">
        <f t="shared" si="102"/>
        <v>166377963.5</v>
      </c>
      <c r="AG123" s="238">
        <f t="shared" si="103"/>
        <v>166377963.5</v>
      </c>
      <c r="AH123" s="238">
        <f t="shared" si="94"/>
        <v>831889817.5</v>
      </c>
      <c r="AI123" s="261">
        <f t="shared" si="104"/>
        <v>2013</v>
      </c>
      <c r="AJ123" s="233">
        <f t="shared" si="105"/>
        <v>831889827.5</v>
      </c>
    </row>
    <row r="124" spans="1:36" s="116" customFormat="1" ht="35.25" customHeight="1" x14ac:dyDescent="0.2">
      <c r="A124" s="116">
        <v>167</v>
      </c>
      <c r="B124" s="116" t="str">
        <f t="shared" si="107"/>
        <v>JK. RUAS 190/190 KM 7 + 000 - TANAH BEKALI</v>
      </c>
      <c r="D124" s="116" t="s">
        <v>3988</v>
      </c>
      <c r="E124" s="218" t="s">
        <v>4247</v>
      </c>
      <c r="F124" s="53"/>
      <c r="G124" s="67" t="str">
        <f t="shared" si="108"/>
        <v>PENINGKATAN JALAN DESA TANAH BEKALI</v>
      </c>
      <c r="H124" s="396" t="str">
        <f t="shared" si="109"/>
        <v>04.13.01.03.06</v>
      </c>
      <c r="I124" s="396">
        <f t="shared" si="110"/>
        <v>0</v>
      </c>
      <c r="J124" s="396">
        <f t="shared" si="111"/>
        <v>0</v>
      </c>
      <c r="K124" s="398">
        <f t="shared" si="112"/>
        <v>0</v>
      </c>
      <c r="L124" s="396">
        <f t="shared" si="113"/>
        <v>0</v>
      </c>
      <c r="M124" s="398">
        <f t="shared" si="114"/>
        <v>0</v>
      </c>
      <c r="N124" s="396" t="str">
        <f t="shared" si="115"/>
        <v>DESA TANAH BEKALI</v>
      </c>
      <c r="O124" s="396">
        <f t="shared" si="116"/>
        <v>2015</v>
      </c>
      <c r="P124" s="396">
        <f t="shared" si="117"/>
        <v>0</v>
      </c>
      <c r="Q124" s="396">
        <f t="shared" si="118"/>
        <v>0</v>
      </c>
      <c r="R124" s="396">
        <f t="shared" si="119"/>
        <v>0</v>
      </c>
      <c r="S124" s="396" t="str">
        <f t="shared" si="120"/>
        <v>APBD</v>
      </c>
      <c r="T124" s="397">
        <f t="shared" si="121"/>
        <v>2091776958</v>
      </c>
      <c r="U124" s="396">
        <f t="shared" si="122"/>
        <v>0</v>
      </c>
      <c r="V124" s="396">
        <f t="shared" si="123"/>
        <v>0</v>
      </c>
      <c r="W124" s="206" t="str">
        <f t="shared" si="95"/>
        <v>04.13.01</v>
      </c>
      <c r="X124" s="207" t="str">
        <f t="shared" si="96"/>
        <v>Jalan</v>
      </c>
      <c r="Y124" s="207">
        <f t="shared" si="97"/>
        <v>10</v>
      </c>
      <c r="Z124" s="233">
        <f t="shared" si="98"/>
        <v>209177694.80000001</v>
      </c>
      <c r="AA124" s="208">
        <f t="shared" si="93"/>
        <v>0</v>
      </c>
      <c r="AB124" s="233">
        <f t="shared" si="99"/>
        <v>0</v>
      </c>
      <c r="AC124" s="233"/>
      <c r="AD124" s="233">
        <f t="shared" si="100"/>
        <v>209177694.80000001</v>
      </c>
      <c r="AE124" s="233">
        <f t="shared" si="101"/>
        <v>209177694.80000001</v>
      </c>
      <c r="AF124" s="238">
        <f t="shared" si="102"/>
        <v>209177694.80000001</v>
      </c>
      <c r="AG124" s="238">
        <f t="shared" si="103"/>
        <v>209177694.80000001</v>
      </c>
      <c r="AH124" s="238">
        <f t="shared" si="94"/>
        <v>836710779.20000005</v>
      </c>
      <c r="AI124" s="261">
        <f t="shared" si="104"/>
        <v>2015</v>
      </c>
      <c r="AJ124" s="233">
        <f t="shared" si="105"/>
        <v>1255066178.8</v>
      </c>
    </row>
    <row r="125" spans="1:36" s="116" customFormat="1" ht="35.25" customHeight="1" x14ac:dyDescent="0.2">
      <c r="A125" s="116">
        <v>167</v>
      </c>
      <c r="B125" s="116" t="str">
        <f t="shared" si="107"/>
        <v>JK. RUAS 190/190 KM 7 + 000 - TANAH BEKALI</v>
      </c>
      <c r="D125" s="116" t="s">
        <v>3989</v>
      </c>
      <c r="E125" s="218" t="s">
        <v>4247</v>
      </c>
      <c r="F125" s="53"/>
      <c r="G125" s="67" t="str">
        <f t="shared" si="108"/>
        <v>PENINGKATAN JALAN DESA TANAH BEKALI (ASPAL)</v>
      </c>
      <c r="H125" s="396" t="str">
        <f t="shared" si="109"/>
        <v>04.13.01.03.06</v>
      </c>
      <c r="I125" s="396">
        <f t="shared" si="110"/>
        <v>0</v>
      </c>
      <c r="J125" s="396">
        <f t="shared" si="111"/>
        <v>0</v>
      </c>
      <c r="K125" s="398">
        <f t="shared" si="112"/>
        <v>0</v>
      </c>
      <c r="L125" s="396">
        <f t="shared" si="113"/>
        <v>0</v>
      </c>
      <c r="M125" s="398">
        <f t="shared" si="114"/>
        <v>0</v>
      </c>
      <c r="N125" s="396" t="str">
        <f t="shared" si="115"/>
        <v>DESA TANAH BEKALI</v>
      </c>
      <c r="O125" s="396">
        <f t="shared" si="116"/>
        <v>2016</v>
      </c>
      <c r="P125" s="396">
        <f t="shared" si="117"/>
        <v>0</v>
      </c>
      <c r="Q125" s="396">
        <f t="shared" si="118"/>
        <v>0</v>
      </c>
      <c r="R125" s="396">
        <f t="shared" si="119"/>
        <v>0</v>
      </c>
      <c r="S125" s="396" t="str">
        <f t="shared" si="120"/>
        <v>APBD</v>
      </c>
      <c r="T125" s="397">
        <f t="shared" si="121"/>
        <v>1890595464.96</v>
      </c>
      <c r="U125" s="396">
        <f t="shared" si="122"/>
        <v>0</v>
      </c>
      <c r="V125" s="396">
        <f t="shared" si="123"/>
        <v>0</v>
      </c>
      <c r="W125" s="206" t="str">
        <f t="shared" si="95"/>
        <v>04.13.01</v>
      </c>
      <c r="X125" s="207" t="str">
        <f t="shared" si="96"/>
        <v>Jalan</v>
      </c>
      <c r="Y125" s="207">
        <f t="shared" si="97"/>
        <v>10</v>
      </c>
      <c r="Z125" s="233">
        <f t="shared" si="98"/>
        <v>189059545.49599999</v>
      </c>
      <c r="AA125" s="208">
        <f t="shared" si="93"/>
        <v>0</v>
      </c>
      <c r="AB125" s="233">
        <f t="shared" si="99"/>
        <v>0</v>
      </c>
      <c r="AC125" s="233"/>
      <c r="AD125" s="233"/>
      <c r="AE125" s="233">
        <f t="shared" si="101"/>
        <v>189059545.49599999</v>
      </c>
      <c r="AF125" s="238">
        <f t="shared" si="102"/>
        <v>189059545.49599999</v>
      </c>
      <c r="AG125" s="238">
        <f t="shared" si="103"/>
        <v>189059545.49599999</v>
      </c>
      <c r="AH125" s="238">
        <f t="shared" si="94"/>
        <v>567178636.48799992</v>
      </c>
      <c r="AI125" s="261">
        <f t="shared" si="104"/>
        <v>2016</v>
      </c>
      <c r="AJ125" s="233">
        <f t="shared" si="105"/>
        <v>1323416828.4720001</v>
      </c>
    </row>
    <row r="126" spans="1:36" s="116" customFormat="1" ht="35.25" customHeight="1" x14ac:dyDescent="0.2">
      <c r="A126" s="116">
        <v>178</v>
      </c>
      <c r="B126" s="116" t="str">
        <f t="shared" si="107"/>
        <v>PAUH ANGIT - RAWANG BINJAI</v>
      </c>
      <c r="D126" s="116" t="s">
        <v>3996</v>
      </c>
      <c r="E126" s="218" t="s">
        <v>4247</v>
      </c>
      <c r="F126" s="53"/>
      <c r="G126" s="67" t="str">
        <f t="shared" si="108"/>
        <v xml:space="preserve">PENINGKATAN JALAN PAUH ANGIT - RAWANG BINJAI </v>
      </c>
      <c r="H126" s="396" t="str">
        <f t="shared" si="109"/>
        <v>04.13.01.04.01</v>
      </c>
      <c r="I126" s="396">
        <f t="shared" si="110"/>
        <v>0</v>
      </c>
      <c r="J126" s="396" t="str">
        <f t="shared" si="111"/>
        <v>TANAH</v>
      </c>
      <c r="K126" s="398" t="str">
        <f t="shared" si="112"/>
        <v>3500</v>
      </c>
      <c r="L126" s="396">
        <f t="shared" si="113"/>
        <v>7</v>
      </c>
      <c r="M126" s="398">
        <f t="shared" si="114"/>
        <v>24500</v>
      </c>
      <c r="N126" s="396" t="str">
        <f t="shared" si="115"/>
        <v>PAUH ANGIT - RAWANG BINJAI</v>
      </c>
      <c r="O126" s="396">
        <f t="shared" si="116"/>
        <v>2001</v>
      </c>
      <c r="P126" s="396">
        <f t="shared" si="117"/>
        <v>0</v>
      </c>
      <c r="Q126" s="396">
        <f t="shared" si="118"/>
        <v>0</v>
      </c>
      <c r="R126" s="396" t="str">
        <f t="shared" si="119"/>
        <v>12.04.06.05.01.00</v>
      </c>
      <c r="S126" s="396" t="str">
        <f t="shared" si="120"/>
        <v>APBD</v>
      </c>
      <c r="T126" s="397">
        <f t="shared" si="121"/>
        <v>1115572260</v>
      </c>
      <c r="U126" s="396" t="str">
        <f t="shared" si="122"/>
        <v>B</v>
      </c>
      <c r="V126" s="396">
        <f t="shared" si="123"/>
        <v>0</v>
      </c>
      <c r="W126" s="206" t="str">
        <f t="shared" ref="W126:W172" si="140">LEFT(H126,8)</f>
        <v>04.13.01</v>
      </c>
      <c r="X126" s="207" t="str">
        <f t="shared" ref="X126:X172" si="141">VLOOKUP(W126,UE,3,FALSE)</f>
        <v>Jalan</v>
      </c>
      <c r="Y126" s="207">
        <f t="shared" ref="Y126:Y172" si="142">VLOOKUP(W126,UE,4,FALSE)</f>
        <v>10</v>
      </c>
      <c r="Z126" s="233">
        <f t="shared" ref="Z126:Z172" si="143">(T126-10)/Y126</f>
        <v>111557225</v>
      </c>
      <c r="AA126" s="208">
        <f t="shared" si="93"/>
        <v>10</v>
      </c>
      <c r="AB126" s="233">
        <f t="shared" ref="AB126:AB172" si="144">IF(AA126&gt;Y126,T126-10,Z126*AA126)</f>
        <v>1115572250</v>
      </c>
      <c r="AC126" s="233">
        <f t="shared" ref="AC126:AC169" si="145">IF(T126-10=AB126,0,Z126)</f>
        <v>0</v>
      </c>
      <c r="AD126" s="233">
        <f t="shared" ref="AD126:AD170" si="146">IF(T126-10=AB126+AC126,0,Z126)</f>
        <v>0</v>
      </c>
      <c r="AE126" s="233">
        <f t="shared" ref="AE126:AE171" si="147">IF(T126-10=AB126+AC126+AD126,0,Z126)</f>
        <v>0</v>
      </c>
      <c r="AF126" s="238">
        <f t="shared" ref="AF126:AF171" si="148">IF(T126-10=AC126+AD126+AE126+AB126,0,Z126)</f>
        <v>0</v>
      </c>
      <c r="AG126" s="238">
        <f t="shared" ref="AG126:AG172" si="149">IF(T126-10=AC126+AD126+AE126+AB126+AF126,0,Z126)</f>
        <v>0</v>
      </c>
      <c r="AH126" s="238">
        <f t="shared" si="94"/>
        <v>1115572250</v>
      </c>
      <c r="AI126" s="261">
        <f t="shared" ref="AI126:AI172" si="150">O126</f>
        <v>2001</v>
      </c>
      <c r="AJ126" s="233">
        <f t="shared" ref="AJ126:AJ172" si="151">T126-AH126</f>
        <v>10</v>
      </c>
    </row>
    <row r="127" spans="1:36" s="116" customFormat="1" ht="35.25" customHeight="1" x14ac:dyDescent="0.2">
      <c r="A127" s="116">
        <v>178</v>
      </c>
      <c r="B127" s="116" t="str">
        <f t="shared" si="107"/>
        <v>PAUH ANGIT - RAWANG BINJAI</v>
      </c>
      <c r="D127" s="116" t="s">
        <v>3997</v>
      </c>
      <c r="E127" s="218" t="s">
        <v>4247</v>
      </c>
      <c r="F127" s="53"/>
      <c r="G127" s="67" t="str">
        <f t="shared" si="108"/>
        <v>PENINGKATAN JALAN DESA PAUH ANGIT - RAWANG BINJAI (ASPAL)</v>
      </c>
      <c r="H127" s="396" t="str">
        <f t="shared" si="109"/>
        <v>04.13.01.03.06</v>
      </c>
      <c r="I127" s="396">
        <f t="shared" si="110"/>
        <v>0</v>
      </c>
      <c r="J127" s="396">
        <f t="shared" si="111"/>
        <v>0</v>
      </c>
      <c r="K127" s="398">
        <f t="shared" si="112"/>
        <v>0</v>
      </c>
      <c r="L127" s="396">
        <f t="shared" si="113"/>
        <v>0</v>
      </c>
      <c r="M127" s="398">
        <f t="shared" si="114"/>
        <v>0</v>
      </c>
      <c r="N127" s="396" t="str">
        <f t="shared" si="115"/>
        <v>PAUH ANGIT - RAWANG BINJAI</v>
      </c>
      <c r="O127" s="396">
        <f t="shared" si="116"/>
        <v>2016</v>
      </c>
      <c r="P127" s="396">
        <f t="shared" si="117"/>
        <v>0</v>
      </c>
      <c r="Q127" s="396">
        <f t="shared" si="118"/>
        <v>0</v>
      </c>
      <c r="R127" s="396">
        <f t="shared" si="119"/>
        <v>0</v>
      </c>
      <c r="S127" s="396" t="str">
        <f t="shared" si="120"/>
        <v>APBD</v>
      </c>
      <c r="T127" s="397">
        <f t="shared" si="121"/>
        <v>1766998059.23</v>
      </c>
      <c r="U127" s="396">
        <f t="shared" si="122"/>
        <v>0</v>
      </c>
      <c r="V127" s="396">
        <f t="shared" si="123"/>
        <v>0</v>
      </c>
      <c r="W127" s="206" t="str">
        <f t="shared" si="140"/>
        <v>04.13.01</v>
      </c>
      <c r="X127" s="207" t="str">
        <f t="shared" si="141"/>
        <v>Jalan</v>
      </c>
      <c r="Y127" s="207">
        <f t="shared" si="142"/>
        <v>10</v>
      </c>
      <c r="Z127" s="233">
        <f t="shared" si="143"/>
        <v>176699804.92300001</v>
      </c>
      <c r="AA127" s="208">
        <f t="shared" si="93"/>
        <v>0</v>
      </c>
      <c r="AB127" s="233">
        <f t="shared" si="144"/>
        <v>0</v>
      </c>
      <c r="AC127" s="233"/>
      <c r="AD127" s="233"/>
      <c r="AE127" s="233">
        <f t="shared" si="147"/>
        <v>176699804.92300001</v>
      </c>
      <c r="AF127" s="238">
        <f t="shared" si="148"/>
        <v>176699804.92300001</v>
      </c>
      <c r="AG127" s="238">
        <f t="shared" si="149"/>
        <v>176699804.92300001</v>
      </c>
      <c r="AH127" s="238">
        <f t="shared" si="94"/>
        <v>530099414.76900005</v>
      </c>
      <c r="AI127" s="261">
        <f t="shared" si="150"/>
        <v>2016</v>
      </c>
      <c r="AJ127" s="233">
        <f t="shared" si="151"/>
        <v>1236898644.461</v>
      </c>
    </row>
    <row r="128" spans="1:36" s="116" customFormat="1" ht="35.25" customHeight="1" x14ac:dyDescent="0.2">
      <c r="A128" s="116">
        <v>181</v>
      </c>
      <c r="B128" s="116" t="str">
        <f t="shared" si="107"/>
        <v>SIMP. RAMBAHAN - RAMBAHAN</v>
      </c>
      <c r="D128" s="116" t="s">
        <v>3999</v>
      </c>
      <c r="E128" s="218" t="s">
        <v>4247</v>
      </c>
      <c r="F128" s="53"/>
      <c r="G128" s="67" t="str">
        <f t="shared" si="108"/>
        <v>JALAN KABUPATEN LOKAL</v>
      </c>
      <c r="H128" s="396" t="str">
        <f t="shared" si="109"/>
        <v>04.13.01.03.06</v>
      </c>
      <c r="I128" s="396">
        <f t="shared" si="110"/>
        <v>0</v>
      </c>
      <c r="J128" s="396" t="str">
        <f t="shared" si="111"/>
        <v>TANAH</v>
      </c>
      <c r="K128" s="398">
        <f t="shared" si="112"/>
        <v>4000</v>
      </c>
      <c r="L128" s="396">
        <f t="shared" si="113"/>
        <v>7</v>
      </c>
      <c r="M128" s="398">
        <f t="shared" si="114"/>
        <v>28000</v>
      </c>
      <c r="N128" s="396" t="str">
        <f t="shared" si="115"/>
        <v>SIMP. RAMBAHAN-SEI RAMBAIHAN</v>
      </c>
      <c r="O128" s="396">
        <f t="shared" si="116"/>
        <v>2001</v>
      </c>
      <c r="P128" s="396">
        <f t="shared" si="117"/>
        <v>0</v>
      </c>
      <c r="Q128" s="396">
        <f t="shared" si="118"/>
        <v>0</v>
      </c>
      <c r="R128" s="396" t="str">
        <f t="shared" si="119"/>
        <v>12.04.06.05.01..00</v>
      </c>
      <c r="S128" s="396" t="str">
        <f t="shared" si="120"/>
        <v>APBD</v>
      </c>
      <c r="T128" s="397">
        <f t="shared" si="121"/>
        <v>765000000</v>
      </c>
      <c r="U128" s="396" t="str">
        <f t="shared" si="122"/>
        <v>B</v>
      </c>
      <c r="V128" s="396">
        <f t="shared" si="123"/>
        <v>0</v>
      </c>
      <c r="W128" s="206" t="str">
        <f t="shared" si="140"/>
        <v>04.13.01</v>
      </c>
      <c r="X128" s="207" t="str">
        <f t="shared" si="141"/>
        <v>Jalan</v>
      </c>
      <c r="Y128" s="207">
        <f t="shared" si="142"/>
        <v>10</v>
      </c>
      <c r="Z128" s="233">
        <f t="shared" si="143"/>
        <v>76499999</v>
      </c>
      <c r="AA128" s="208">
        <f t="shared" si="93"/>
        <v>10</v>
      </c>
      <c r="AB128" s="233">
        <f t="shared" si="144"/>
        <v>764999990</v>
      </c>
      <c r="AC128" s="233">
        <f t="shared" si="145"/>
        <v>0</v>
      </c>
      <c r="AD128" s="233">
        <f t="shared" si="146"/>
        <v>0</v>
      </c>
      <c r="AE128" s="233">
        <f t="shared" si="147"/>
        <v>0</v>
      </c>
      <c r="AF128" s="238">
        <f t="shared" si="148"/>
        <v>0</v>
      </c>
      <c r="AG128" s="238">
        <f t="shared" si="149"/>
        <v>0</v>
      </c>
      <c r="AH128" s="238">
        <f t="shared" si="94"/>
        <v>764999990</v>
      </c>
      <c r="AI128" s="261">
        <f t="shared" si="150"/>
        <v>2001</v>
      </c>
      <c r="AJ128" s="233">
        <f t="shared" si="151"/>
        <v>10</v>
      </c>
    </row>
    <row r="129" spans="1:37" s="116" customFormat="1" ht="35.25" customHeight="1" x14ac:dyDescent="0.2">
      <c r="A129" s="116">
        <v>181</v>
      </c>
      <c r="B129" s="116" t="str">
        <f t="shared" si="107"/>
        <v>SIMP. RAMBAHAN - RAMBAHAN</v>
      </c>
      <c r="D129" s="116" t="s">
        <v>4000</v>
      </c>
      <c r="E129" s="218" t="s">
        <v>4247</v>
      </c>
      <c r="F129" s="53"/>
      <c r="G129" s="67" t="str">
        <f t="shared" si="108"/>
        <v>PEMBUATAN 1 UNIT BOX CULVERT 4X3X7 SEI. BATANG PAPAN RUAS JALAN SP. RAMBAHAN-RAMBAHAN (1 UNIT)</v>
      </c>
      <c r="H129" s="396" t="str">
        <f t="shared" si="109"/>
        <v>04.13.01.03.06</v>
      </c>
      <c r="I129" s="396">
        <f t="shared" si="110"/>
        <v>0</v>
      </c>
      <c r="J129" s="396">
        <f t="shared" si="111"/>
        <v>0</v>
      </c>
      <c r="K129" s="398">
        <f t="shared" si="112"/>
        <v>0</v>
      </c>
      <c r="L129" s="396">
        <f t="shared" si="113"/>
        <v>0</v>
      </c>
      <c r="M129" s="398">
        <f t="shared" si="114"/>
        <v>0</v>
      </c>
      <c r="N129" s="396" t="str">
        <f t="shared" si="115"/>
        <v>SEI. BATANG PAPAN RUAS JALAN SP. RAMBAHAN-RAMBAHAN</v>
      </c>
      <c r="O129" s="396">
        <f t="shared" si="116"/>
        <v>2014</v>
      </c>
      <c r="P129" s="396">
        <f t="shared" si="117"/>
        <v>0</v>
      </c>
      <c r="Q129" s="396">
        <f t="shared" si="118"/>
        <v>0</v>
      </c>
      <c r="R129" s="396">
        <f t="shared" si="119"/>
        <v>0</v>
      </c>
      <c r="S129" s="396">
        <f t="shared" si="120"/>
        <v>0</v>
      </c>
      <c r="T129" s="397">
        <f t="shared" si="121"/>
        <v>254080364</v>
      </c>
      <c r="U129" s="396">
        <f t="shared" si="122"/>
        <v>0</v>
      </c>
      <c r="V129" s="396">
        <f t="shared" si="123"/>
        <v>0</v>
      </c>
      <c r="W129" s="206" t="str">
        <f t="shared" si="140"/>
        <v>04.13.01</v>
      </c>
      <c r="X129" s="207" t="str">
        <f t="shared" si="141"/>
        <v>Jalan</v>
      </c>
      <c r="Y129" s="207">
        <f t="shared" si="142"/>
        <v>10</v>
      </c>
      <c r="Z129" s="233">
        <f t="shared" si="143"/>
        <v>25408035.399999999</v>
      </c>
      <c r="AA129" s="208">
        <f t="shared" si="93"/>
        <v>0</v>
      </c>
      <c r="AB129" s="233">
        <f t="shared" si="144"/>
        <v>0</v>
      </c>
      <c r="AC129" s="233">
        <f t="shared" si="145"/>
        <v>25408035.399999999</v>
      </c>
      <c r="AD129" s="233">
        <f t="shared" si="146"/>
        <v>25408035.399999999</v>
      </c>
      <c r="AE129" s="233">
        <f t="shared" si="147"/>
        <v>25408035.399999999</v>
      </c>
      <c r="AF129" s="238">
        <f t="shared" si="148"/>
        <v>25408035.399999999</v>
      </c>
      <c r="AG129" s="238">
        <f t="shared" si="149"/>
        <v>25408035.399999999</v>
      </c>
      <c r="AH129" s="238">
        <f t="shared" si="94"/>
        <v>127040177</v>
      </c>
      <c r="AI129" s="261">
        <f t="shared" si="150"/>
        <v>2014</v>
      </c>
      <c r="AJ129" s="233">
        <f t="shared" si="151"/>
        <v>127040187</v>
      </c>
    </row>
    <row r="130" spans="1:37" s="116" customFormat="1" ht="35.25" customHeight="1" x14ac:dyDescent="0.2">
      <c r="A130" s="116">
        <v>181</v>
      </c>
      <c r="B130" s="116" t="str">
        <f>VLOOKUP(A130,RUAS,2,FALSE)</f>
        <v>SIMP. RAMBAHAN - RAMBAHAN</v>
      </c>
      <c r="D130" s="116" t="s">
        <v>4126</v>
      </c>
      <c r="E130" s="218" t="s">
        <v>4247</v>
      </c>
      <c r="F130" s="53"/>
      <c r="G130" s="67" t="str">
        <f>VLOOKUP(D130,ACUAN,4,FALSE)</f>
        <v>PENINGKATAN JL. SIMP. RAMBAHAN-RAMBAHAN</v>
      </c>
      <c r="H130" s="396" t="str">
        <f>VLOOKUP(D130,ACUAN,5,FALSE)</f>
        <v>04.13.01.03.06</v>
      </c>
      <c r="I130" s="396">
        <f>VLOOKUP(D130,ACUAN,6,FALSE)</f>
        <v>0</v>
      </c>
      <c r="J130" s="396">
        <f>VLOOKUP(D130,ACUAN,7,FALSE)</f>
        <v>0</v>
      </c>
      <c r="K130" s="398">
        <f>VLOOKUP(D130,ACUAN,8,FALSE)</f>
        <v>0</v>
      </c>
      <c r="L130" s="396">
        <f>VLOOKUP(D130,ACUAN,9,FALSE)</f>
        <v>0</v>
      </c>
      <c r="M130" s="398">
        <f>VLOOKUP(D130,ACUAN,10,FALSE)</f>
        <v>0</v>
      </c>
      <c r="N130" s="396" t="str">
        <f>VLOOKUP(D130,ACUAN,11,FALSE)</f>
        <v>SIMP. RAMBAHAN-SEI RAMBAIHAN</v>
      </c>
      <c r="O130" s="396">
        <f>VLOOKUP(D130,ACUAN,12,FALSE)</f>
        <v>2015</v>
      </c>
      <c r="P130" s="396">
        <f>VLOOKUP(D130,ACUAN,13,FALSE)</f>
        <v>0</v>
      </c>
      <c r="Q130" s="396">
        <f>VLOOKUP(D130,ACUAN,14,FALSE)</f>
        <v>0</v>
      </c>
      <c r="R130" s="396">
        <f>VLOOKUP(D130,ACUAN,15,FALSE)</f>
        <v>0</v>
      </c>
      <c r="S130" s="396" t="str">
        <f>VLOOKUP(D130,ACUAN,16,FALSE)</f>
        <v>APBD</v>
      </c>
      <c r="T130" s="397">
        <f>VLOOKUP(D130,ACUAN,17,FALSE)</f>
        <v>1777518495</v>
      </c>
      <c r="U130" s="396">
        <f>VLOOKUP(D130,ACUAN,18,FALSE)</f>
        <v>0</v>
      </c>
      <c r="V130" s="396">
        <f>VLOOKUP(D130,ACUAN,19,FALSE)</f>
        <v>0</v>
      </c>
      <c r="W130" s="206" t="str">
        <f t="shared" si="140"/>
        <v>04.13.01</v>
      </c>
      <c r="X130" s="207" t="str">
        <f t="shared" si="141"/>
        <v>Jalan</v>
      </c>
      <c r="Y130" s="207">
        <f t="shared" si="142"/>
        <v>10</v>
      </c>
      <c r="Z130" s="233">
        <f t="shared" si="143"/>
        <v>177751848.5</v>
      </c>
      <c r="AA130" s="208">
        <f t="shared" si="93"/>
        <v>0</v>
      </c>
      <c r="AB130" s="233">
        <f t="shared" si="144"/>
        <v>0</v>
      </c>
      <c r="AC130" s="233"/>
      <c r="AD130" s="233">
        <f t="shared" si="146"/>
        <v>177751848.5</v>
      </c>
      <c r="AE130" s="233">
        <f t="shared" si="147"/>
        <v>177751848.5</v>
      </c>
      <c r="AF130" s="238">
        <f t="shared" si="148"/>
        <v>177751848.5</v>
      </c>
      <c r="AG130" s="238">
        <f t="shared" si="149"/>
        <v>177751848.5</v>
      </c>
      <c r="AH130" s="238">
        <f t="shared" si="94"/>
        <v>711007394</v>
      </c>
      <c r="AI130" s="261">
        <f t="shared" si="150"/>
        <v>2015</v>
      </c>
      <c r="AJ130" s="233">
        <f t="shared" si="151"/>
        <v>1066511101</v>
      </c>
    </row>
    <row r="131" spans="1:37" s="116" customFormat="1" ht="35.25" customHeight="1" x14ac:dyDescent="0.2">
      <c r="A131" s="116">
        <v>183</v>
      </c>
      <c r="B131" s="116" t="str">
        <f t="shared" si="107"/>
        <v>SUKARAJA - GIRI SAKO</v>
      </c>
      <c r="D131" s="116" t="s">
        <v>4002</v>
      </c>
      <c r="E131" s="218" t="s">
        <v>4247</v>
      </c>
      <c r="F131" s="53"/>
      <c r="G131" s="67" t="str">
        <f t="shared" si="108"/>
        <v>PENINGKATAN JALAN SUKARAJA-GIRI SAKO (ASPAL 1,00 KM)</v>
      </c>
      <c r="H131" s="396" t="str">
        <f t="shared" si="109"/>
        <v>04.13.01.03.06</v>
      </c>
      <c r="I131" s="396">
        <f t="shared" si="110"/>
        <v>0</v>
      </c>
      <c r="J131" s="396" t="str">
        <f t="shared" si="111"/>
        <v>Aspal</v>
      </c>
      <c r="K131" s="398">
        <f t="shared" si="112"/>
        <v>0</v>
      </c>
      <c r="L131" s="396">
        <f t="shared" si="113"/>
        <v>0</v>
      </c>
      <c r="M131" s="398">
        <f t="shared" si="114"/>
        <v>0</v>
      </c>
      <c r="N131" s="396" t="str">
        <f t="shared" si="115"/>
        <v>SUKARAJA-GIRI SAKO</v>
      </c>
      <c r="O131" s="396">
        <f t="shared" si="116"/>
        <v>2012</v>
      </c>
      <c r="P131" s="396">
        <f t="shared" si="117"/>
        <v>0</v>
      </c>
      <c r="Q131" s="396">
        <f t="shared" si="118"/>
        <v>0</v>
      </c>
      <c r="R131" s="396">
        <f t="shared" si="119"/>
        <v>0</v>
      </c>
      <c r="S131" s="396" t="str">
        <f t="shared" si="120"/>
        <v>APBD</v>
      </c>
      <c r="T131" s="397">
        <f t="shared" si="121"/>
        <v>8033301761.4229603</v>
      </c>
      <c r="U131" s="396" t="str">
        <f t="shared" si="122"/>
        <v>B</v>
      </c>
      <c r="V131" s="396">
        <f t="shared" si="123"/>
        <v>0</v>
      </c>
      <c r="W131" s="206" t="str">
        <f t="shared" si="140"/>
        <v>04.13.01</v>
      </c>
      <c r="X131" s="207" t="str">
        <f t="shared" si="141"/>
        <v>Jalan</v>
      </c>
      <c r="Y131" s="207">
        <f t="shared" si="142"/>
        <v>10</v>
      </c>
      <c r="Z131" s="233">
        <f t="shared" si="143"/>
        <v>803330175.14229608</v>
      </c>
      <c r="AA131" s="208">
        <f t="shared" si="93"/>
        <v>1</v>
      </c>
      <c r="AB131" s="233">
        <f t="shared" si="144"/>
        <v>803330175.14229608</v>
      </c>
      <c r="AC131" s="233">
        <f t="shared" si="145"/>
        <v>803330175.14229608</v>
      </c>
      <c r="AD131" s="233">
        <f t="shared" si="146"/>
        <v>803330175.14229608</v>
      </c>
      <c r="AE131" s="233">
        <f t="shared" si="147"/>
        <v>803330175.14229608</v>
      </c>
      <c r="AF131" s="238">
        <f t="shared" si="148"/>
        <v>803330175.14229608</v>
      </c>
      <c r="AG131" s="238">
        <f t="shared" si="149"/>
        <v>803330175.14229608</v>
      </c>
      <c r="AH131" s="238">
        <f t="shared" si="94"/>
        <v>4819981050.853776</v>
      </c>
      <c r="AI131" s="261">
        <f t="shared" si="150"/>
        <v>2012</v>
      </c>
      <c r="AJ131" s="233">
        <f t="shared" si="151"/>
        <v>3213320710.5691843</v>
      </c>
    </row>
    <row r="132" spans="1:37" s="116" customFormat="1" ht="35.25" customHeight="1" x14ac:dyDescent="0.2">
      <c r="A132" s="116">
        <v>183</v>
      </c>
      <c r="B132" s="116" t="str">
        <f t="shared" si="107"/>
        <v>SUKARAJA - GIRI SAKO</v>
      </c>
      <c r="D132" s="116" t="s">
        <v>4003</v>
      </c>
      <c r="E132" s="218" t="s">
        <v>4247</v>
      </c>
      <c r="F132" s="53"/>
      <c r="G132" s="67" t="str">
        <f t="shared" si="108"/>
        <v>PENINGKATAN JL.SUKA RAJA - GIRI SAKO</v>
      </c>
      <c r="H132" s="396" t="str">
        <f t="shared" si="109"/>
        <v>04.13.01.03.06</v>
      </c>
      <c r="I132" s="396">
        <f t="shared" si="110"/>
        <v>0</v>
      </c>
      <c r="J132" s="396">
        <f t="shared" si="111"/>
        <v>0</v>
      </c>
      <c r="K132" s="398">
        <f t="shared" si="112"/>
        <v>0</v>
      </c>
      <c r="L132" s="396">
        <f t="shared" si="113"/>
        <v>0</v>
      </c>
      <c r="M132" s="398">
        <f t="shared" si="114"/>
        <v>0</v>
      </c>
      <c r="N132" s="396" t="str">
        <f t="shared" si="115"/>
        <v>SUKARAJA-GIRI SAKO</v>
      </c>
      <c r="O132" s="396">
        <f t="shared" si="116"/>
        <v>2015</v>
      </c>
      <c r="P132" s="396">
        <f t="shared" si="117"/>
        <v>0</v>
      </c>
      <c r="Q132" s="396">
        <f t="shared" si="118"/>
        <v>0</v>
      </c>
      <c r="R132" s="396">
        <f t="shared" si="119"/>
        <v>0</v>
      </c>
      <c r="S132" s="396" t="str">
        <f t="shared" si="120"/>
        <v>APBD</v>
      </c>
      <c r="T132" s="397">
        <f t="shared" si="121"/>
        <v>2127760813</v>
      </c>
      <c r="U132" s="396">
        <f t="shared" si="122"/>
        <v>0</v>
      </c>
      <c r="V132" s="396">
        <f t="shared" si="123"/>
        <v>0</v>
      </c>
      <c r="W132" s="206" t="str">
        <f t="shared" si="140"/>
        <v>04.13.01</v>
      </c>
      <c r="X132" s="207" t="str">
        <f t="shared" si="141"/>
        <v>Jalan</v>
      </c>
      <c r="Y132" s="207">
        <f t="shared" si="142"/>
        <v>10</v>
      </c>
      <c r="Z132" s="233">
        <f t="shared" si="143"/>
        <v>212776080.30000001</v>
      </c>
      <c r="AA132" s="208">
        <f t="shared" si="93"/>
        <v>0</v>
      </c>
      <c r="AB132" s="233">
        <f t="shared" si="144"/>
        <v>0</v>
      </c>
      <c r="AC132" s="233"/>
      <c r="AD132" s="233">
        <f t="shared" si="146"/>
        <v>212776080.30000001</v>
      </c>
      <c r="AE132" s="233">
        <f t="shared" si="147"/>
        <v>212776080.30000001</v>
      </c>
      <c r="AF132" s="238">
        <f t="shared" si="148"/>
        <v>212776080.30000001</v>
      </c>
      <c r="AG132" s="238">
        <f t="shared" si="149"/>
        <v>212776080.30000001</v>
      </c>
      <c r="AH132" s="238">
        <f t="shared" si="94"/>
        <v>851104321.20000005</v>
      </c>
      <c r="AI132" s="261">
        <f t="shared" si="150"/>
        <v>2015</v>
      </c>
      <c r="AJ132" s="233">
        <f t="shared" si="151"/>
        <v>1276656491.8</v>
      </c>
    </row>
    <row r="133" spans="1:37" s="116" customFormat="1" ht="35.25" customHeight="1" x14ac:dyDescent="0.2">
      <c r="A133" s="116">
        <v>183</v>
      </c>
      <c r="B133" s="116" t="str">
        <f>VLOOKUP(A133,RUAS,2,FALSE)</f>
        <v>SUKARAJA - GIRI SAKO</v>
      </c>
      <c r="D133" s="116" t="s">
        <v>4133</v>
      </c>
      <c r="E133" s="218" t="s">
        <v>4247</v>
      </c>
      <c r="F133" s="53"/>
      <c r="G133" s="67" t="str">
        <f>VLOOKUP(D133,ACUAN,4,FALSE)</f>
        <v>PENINGKATAN JALAN SUKA RAJA - GIRI SAKO</v>
      </c>
      <c r="H133" s="396" t="str">
        <f>VLOOKUP(D133,ACUAN,5,FALSE)</f>
        <v>04.13.01.03.06</v>
      </c>
      <c r="I133" s="396">
        <f>VLOOKUP(D133,ACUAN,6,FALSE)</f>
        <v>0</v>
      </c>
      <c r="J133" s="396">
        <f>VLOOKUP(D133,ACUAN,7,FALSE)</f>
        <v>0</v>
      </c>
      <c r="K133" s="398">
        <f>VLOOKUP(D133,ACUAN,8,FALSE)</f>
        <v>0</v>
      </c>
      <c r="L133" s="396">
        <f>VLOOKUP(D133,ACUAN,9,FALSE)</f>
        <v>0</v>
      </c>
      <c r="M133" s="398">
        <f>VLOOKUP(D133,ACUAN,10,FALSE)</f>
        <v>0</v>
      </c>
      <c r="N133" s="396" t="str">
        <f>VLOOKUP(D133,ACUAN,11,FALSE)</f>
        <v>SUKARAJA-GIRI SAKO</v>
      </c>
      <c r="O133" s="396">
        <f>VLOOKUP(D133,ACUAN,12,FALSE)</f>
        <v>2015</v>
      </c>
      <c r="P133" s="396">
        <f>VLOOKUP(D133,ACUAN,13,FALSE)</f>
        <v>0</v>
      </c>
      <c r="Q133" s="396">
        <f>VLOOKUP(D133,ACUAN,14,FALSE)</f>
        <v>0</v>
      </c>
      <c r="R133" s="396">
        <f>VLOOKUP(D133,ACUAN,15,FALSE)</f>
        <v>0</v>
      </c>
      <c r="S133" s="396" t="str">
        <f>VLOOKUP(D133,ACUAN,16,FALSE)</f>
        <v>APBD</v>
      </c>
      <c r="T133" s="397">
        <f>VLOOKUP(D133,ACUAN,17,FALSE)</f>
        <v>2122831297</v>
      </c>
      <c r="U133" s="396">
        <f>VLOOKUP(D133,ACUAN,18,FALSE)</f>
        <v>0</v>
      </c>
      <c r="V133" s="396">
        <f>VLOOKUP(D133,ACUAN,19,FALSE)</f>
        <v>0</v>
      </c>
      <c r="W133" s="206" t="str">
        <f t="shared" si="140"/>
        <v>04.13.01</v>
      </c>
      <c r="X133" s="207" t="str">
        <f t="shared" si="141"/>
        <v>Jalan</v>
      </c>
      <c r="Y133" s="207">
        <f t="shared" si="142"/>
        <v>10</v>
      </c>
      <c r="Z133" s="233">
        <f t="shared" si="143"/>
        <v>212283128.69999999</v>
      </c>
      <c r="AA133" s="208">
        <f t="shared" si="93"/>
        <v>0</v>
      </c>
      <c r="AB133" s="233">
        <f t="shared" si="144"/>
        <v>0</v>
      </c>
      <c r="AC133" s="233"/>
      <c r="AD133" s="233">
        <f t="shared" si="146"/>
        <v>212283128.69999999</v>
      </c>
      <c r="AE133" s="233">
        <f t="shared" si="147"/>
        <v>212283128.69999999</v>
      </c>
      <c r="AF133" s="238">
        <f t="shared" si="148"/>
        <v>212283128.69999999</v>
      </c>
      <c r="AG133" s="238">
        <f t="shared" si="149"/>
        <v>212283128.69999999</v>
      </c>
      <c r="AH133" s="238">
        <f t="shared" si="94"/>
        <v>849132514.79999995</v>
      </c>
      <c r="AI133" s="261">
        <f t="shared" si="150"/>
        <v>2015</v>
      </c>
      <c r="AJ133" s="233">
        <f t="shared" si="151"/>
        <v>1273698782.2</v>
      </c>
    </row>
    <row r="134" spans="1:37" s="116" customFormat="1" ht="35.25" customHeight="1" x14ac:dyDescent="0.2">
      <c r="A134" s="116">
        <v>186</v>
      </c>
      <c r="B134" s="116" t="str">
        <f t="shared" si="107"/>
        <v>SAKO MARGA SARI - KUANTAN SAKO</v>
      </c>
      <c r="D134" s="116" t="s">
        <v>4005</v>
      </c>
      <c r="E134" s="218" t="s">
        <v>4247</v>
      </c>
      <c r="F134" s="53"/>
      <c r="G134" s="67" t="str">
        <f t="shared" si="108"/>
        <v>JALAN KABUPATEN LOKAL</v>
      </c>
      <c r="H134" s="396" t="str">
        <f t="shared" si="109"/>
        <v>04.13.01.03.06</v>
      </c>
      <c r="I134" s="396">
        <f t="shared" si="110"/>
        <v>0</v>
      </c>
      <c r="J134" s="396" t="str">
        <f t="shared" si="111"/>
        <v>BATU PECAH / MACADAM</v>
      </c>
      <c r="K134" s="398" t="str">
        <f t="shared" si="112"/>
        <v>5100</v>
      </c>
      <c r="L134" s="396">
        <f t="shared" si="113"/>
        <v>8</v>
      </c>
      <c r="M134" s="398">
        <f t="shared" si="114"/>
        <v>40800</v>
      </c>
      <c r="N134" s="396" t="str">
        <f t="shared" si="115"/>
        <v>SAKO MARAGASARI-KUANTAN SAKO</v>
      </c>
      <c r="O134" s="396">
        <f t="shared" si="116"/>
        <v>2001</v>
      </c>
      <c r="P134" s="396">
        <f t="shared" si="117"/>
        <v>0</v>
      </c>
      <c r="Q134" s="396">
        <f t="shared" si="118"/>
        <v>0</v>
      </c>
      <c r="R134" s="396" t="str">
        <f t="shared" si="119"/>
        <v>12.04.06.05.01.00</v>
      </c>
      <c r="S134" s="396" t="str">
        <f t="shared" si="120"/>
        <v>APBD</v>
      </c>
      <c r="T134" s="397">
        <f t="shared" si="121"/>
        <v>2937600000</v>
      </c>
      <c r="U134" s="396" t="str">
        <f t="shared" si="122"/>
        <v>B</v>
      </c>
      <c r="V134" s="396">
        <f t="shared" si="123"/>
        <v>0</v>
      </c>
      <c r="W134" s="206" t="str">
        <f t="shared" si="140"/>
        <v>04.13.01</v>
      </c>
      <c r="X134" s="207" t="str">
        <f t="shared" si="141"/>
        <v>Jalan</v>
      </c>
      <c r="Y134" s="207">
        <f t="shared" si="142"/>
        <v>10</v>
      </c>
      <c r="Z134" s="233">
        <f t="shared" si="143"/>
        <v>293759999</v>
      </c>
      <c r="AA134" s="208">
        <f t="shared" si="93"/>
        <v>10</v>
      </c>
      <c r="AB134" s="233">
        <f t="shared" si="144"/>
        <v>2937599990</v>
      </c>
      <c r="AC134" s="233">
        <f t="shared" si="145"/>
        <v>0</v>
      </c>
      <c r="AD134" s="233">
        <f t="shared" si="146"/>
        <v>0</v>
      </c>
      <c r="AE134" s="233">
        <f t="shared" si="147"/>
        <v>0</v>
      </c>
      <c r="AF134" s="238">
        <f t="shared" si="148"/>
        <v>0</v>
      </c>
      <c r="AG134" s="238">
        <f t="shared" si="149"/>
        <v>0</v>
      </c>
      <c r="AH134" s="238">
        <f t="shared" si="94"/>
        <v>2937599990</v>
      </c>
      <c r="AI134" s="261">
        <f t="shared" si="150"/>
        <v>2001</v>
      </c>
      <c r="AJ134" s="233">
        <f t="shared" si="151"/>
        <v>10</v>
      </c>
    </row>
    <row r="135" spans="1:37" s="116" customFormat="1" ht="35.25" customHeight="1" x14ac:dyDescent="0.2">
      <c r="A135" s="116">
        <v>186</v>
      </c>
      <c r="B135" s="116" t="str">
        <f t="shared" si="107"/>
        <v>SAKO MARGA SARI - KUANTAN SAKO</v>
      </c>
      <c r="D135" s="116" t="s">
        <v>4006</v>
      </c>
      <c r="E135" s="218" t="s">
        <v>4247</v>
      </c>
      <c r="F135" s="53"/>
      <c r="G135" s="67" t="str">
        <f t="shared" si="108"/>
        <v xml:space="preserve">PEMBUATAN 1 UNIT BOX CULVERT 3X3 RUAS JALAN KUANTAN SAKO - SAKO MARGASARI </v>
      </c>
      <c r="H135" s="396" t="str">
        <f t="shared" si="109"/>
        <v>04.13.01.03.06</v>
      </c>
      <c r="I135" s="396">
        <f t="shared" si="110"/>
        <v>0</v>
      </c>
      <c r="J135" s="396">
        <f t="shared" si="111"/>
        <v>0</v>
      </c>
      <c r="K135" s="398">
        <f t="shared" si="112"/>
        <v>0</v>
      </c>
      <c r="L135" s="396">
        <f t="shared" si="113"/>
        <v>0</v>
      </c>
      <c r="M135" s="398">
        <f t="shared" si="114"/>
        <v>0</v>
      </c>
      <c r="N135" s="396" t="str">
        <f t="shared" si="115"/>
        <v xml:space="preserve">KUANTAN SAKO - SAKO MARGASARI </v>
      </c>
      <c r="O135" s="396">
        <f t="shared" si="116"/>
        <v>2014</v>
      </c>
      <c r="P135" s="396">
        <f t="shared" si="117"/>
        <v>0</v>
      </c>
      <c r="Q135" s="396">
        <f t="shared" si="118"/>
        <v>0</v>
      </c>
      <c r="R135" s="396">
        <f t="shared" si="119"/>
        <v>0</v>
      </c>
      <c r="S135" s="396">
        <f t="shared" si="120"/>
        <v>0</v>
      </c>
      <c r="T135" s="397">
        <f t="shared" si="121"/>
        <v>272429048</v>
      </c>
      <c r="U135" s="396">
        <f t="shared" si="122"/>
        <v>0</v>
      </c>
      <c r="V135" s="396">
        <f t="shared" si="123"/>
        <v>0</v>
      </c>
      <c r="W135" s="206" t="str">
        <f t="shared" si="140"/>
        <v>04.13.01</v>
      </c>
      <c r="X135" s="207" t="str">
        <f t="shared" si="141"/>
        <v>Jalan</v>
      </c>
      <c r="Y135" s="207">
        <f t="shared" si="142"/>
        <v>10</v>
      </c>
      <c r="Z135" s="233">
        <f t="shared" si="143"/>
        <v>27242903.800000001</v>
      </c>
      <c r="AA135" s="208">
        <f t="shared" si="93"/>
        <v>0</v>
      </c>
      <c r="AB135" s="233">
        <f t="shared" si="144"/>
        <v>0</v>
      </c>
      <c r="AC135" s="233">
        <f t="shared" si="145"/>
        <v>27242903.800000001</v>
      </c>
      <c r="AD135" s="233">
        <f t="shared" si="146"/>
        <v>27242903.800000001</v>
      </c>
      <c r="AE135" s="233">
        <f t="shared" si="147"/>
        <v>27242903.800000001</v>
      </c>
      <c r="AF135" s="238">
        <f t="shared" si="148"/>
        <v>27242903.800000001</v>
      </c>
      <c r="AG135" s="238">
        <f t="shared" si="149"/>
        <v>27242903.800000001</v>
      </c>
      <c r="AH135" s="238">
        <f t="shared" si="94"/>
        <v>136214519</v>
      </c>
      <c r="AI135" s="261">
        <f t="shared" si="150"/>
        <v>2014</v>
      </c>
      <c r="AJ135" s="233">
        <f t="shared" si="151"/>
        <v>136214529</v>
      </c>
    </row>
    <row r="136" spans="1:37" s="116" customFormat="1" ht="35.25" customHeight="1" x14ac:dyDescent="0.2">
      <c r="A136" s="116">
        <v>186</v>
      </c>
      <c r="B136" s="116" t="str">
        <f t="shared" si="107"/>
        <v>SAKO MARGA SARI - KUANTAN SAKO</v>
      </c>
      <c r="D136" s="116" t="s">
        <v>4007</v>
      </c>
      <c r="E136" s="218" t="s">
        <v>4247</v>
      </c>
      <c r="F136" s="53"/>
      <c r="G136" s="67" t="str">
        <f t="shared" si="108"/>
        <v>PENINGKATAN JALAN KUANTAN SAKO - SAKO MARGASARI (ASPAL)</v>
      </c>
      <c r="H136" s="396" t="str">
        <f t="shared" si="109"/>
        <v>04.13.01.03.06</v>
      </c>
      <c r="I136" s="396">
        <f t="shared" si="110"/>
        <v>0</v>
      </c>
      <c r="J136" s="396">
        <f t="shared" si="111"/>
        <v>0</v>
      </c>
      <c r="K136" s="398">
        <f t="shared" si="112"/>
        <v>0</v>
      </c>
      <c r="L136" s="396">
        <f t="shared" si="113"/>
        <v>0</v>
      </c>
      <c r="M136" s="398">
        <f t="shared" si="114"/>
        <v>0</v>
      </c>
      <c r="N136" s="396" t="str">
        <f t="shared" si="115"/>
        <v>KUANTAN SAKO - SAKO MARGASARI</v>
      </c>
      <c r="O136" s="396">
        <f t="shared" si="116"/>
        <v>2014</v>
      </c>
      <c r="P136" s="396">
        <f t="shared" si="117"/>
        <v>0</v>
      </c>
      <c r="Q136" s="396">
        <f t="shared" si="118"/>
        <v>0</v>
      </c>
      <c r="R136" s="396">
        <f t="shared" si="119"/>
        <v>0</v>
      </c>
      <c r="S136" s="396">
        <f t="shared" si="120"/>
        <v>0</v>
      </c>
      <c r="T136" s="397">
        <f t="shared" si="121"/>
        <v>1892921442</v>
      </c>
      <c r="U136" s="396">
        <f t="shared" si="122"/>
        <v>0</v>
      </c>
      <c r="V136" s="396">
        <f t="shared" si="123"/>
        <v>0</v>
      </c>
      <c r="W136" s="206" t="str">
        <f t="shared" si="140"/>
        <v>04.13.01</v>
      </c>
      <c r="X136" s="207" t="str">
        <f t="shared" si="141"/>
        <v>Jalan</v>
      </c>
      <c r="Y136" s="207">
        <f t="shared" si="142"/>
        <v>10</v>
      </c>
      <c r="Z136" s="233">
        <f t="shared" si="143"/>
        <v>189292143.19999999</v>
      </c>
      <c r="AA136" s="208">
        <f t="shared" si="93"/>
        <v>0</v>
      </c>
      <c r="AB136" s="233">
        <f t="shared" si="144"/>
        <v>0</v>
      </c>
      <c r="AC136" s="233">
        <f t="shared" si="145"/>
        <v>189292143.19999999</v>
      </c>
      <c r="AD136" s="233">
        <f t="shared" si="146"/>
        <v>189292143.19999999</v>
      </c>
      <c r="AE136" s="233">
        <f t="shared" si="147"/>
        <v>189292143.19999999</v>
      </c>
      <c r="AF136" s="238">
        <f t="shared" si="148"/>
        <v>189292143.19999999</v>
      </c>
      <c r="AG136" s="238">
        <f t="shared" si="149"/>
        <v>189292143.19999999</v>
      </c>
      <c r="AH136" s="238">
        <f t="shared" si="94"/>
        <v>946460716</v>
      </c>
      <c r="AI136" s="261">
        <f t="shared" si="150"/>
        <v>2014</v>
      </c>
      <c r="AJ136" s="233">
        <f t="shared" si="151"/>
        <v>946460726</v>
      </c>
    </row>
    <row r="137" spans="1:37" s="116" customFormat="1" ht="35.25" customHeight="1" x14ac:dyDescent="0.2">
      <c r="A137" s="116">
        <v>186</v>
      </c>
      <c r="B137" s="116" t="str">
        <f>VLOOKUP(A137,RUAS,2,FALSE)</f>
        <v>SAKO MARGA SARI - KUANTAN SAKO</v>
      </c>
      <c r="D137" s="116" t="s">
        <v>4118</v>
      </c>
      <c r="E137" s="218" t="s">
        <v>4247</v>
      </c>
      <c r="F137" s="53"/>
      <c r="G137" s="67" t="str">
        <f>VLOOKUP(D137,ACUAN,4,FALSE)</f>
        <v>PEMBUATAN BOX CULVERT RUAS JL.SAKOMARGASARI-KUANTAN SAKO</v>
      </c>
      <c r="H137" s="396" t="str">
        <f>VLOOKUP(D137,ACUAN,5,FALSE)</f>
        <v>04.13.01.03.06</v>
      </c>
      <c r="I137" s="396">
        <f>VLOOKUP(D137,ACUAN,6,FALSE)</f>
        <v>0</v>
      </c>
      <c r="J137" s="396">
        <f>VLOOKUP(D137,ACUAN,7,FALSE)</f>
        <v>0</v>
      </c>
      <c r="K137" s="398">
        <f>VLOOKUP(D137,ACUAN,8,FALSE)</f>
        <v>0</v>
      </c>
      <c r="L137" s="396">
        <f>VLOOKUP(D137,ACUAN,9,FALSE)</f>
        <v>0</v>
      </c>
      <c r="M137" s="398">
        <f>VLOOKUP(D137,ACUAN,10,FALSE)</f>
        <v>0</v>
      </c>
      <c r="N137" s="396" t="str">
        <f>VLOOKUP(D137,ACUAN,11,FALSE)</f>
        <v>SAKO MARAGASARI-KUANTAN SAKO</v>
      </c>
      <c r="O137" s="396">
        <f>VLOOKUP(D137,ACUAN,12,FALSE)</f>
        <v>2015</v>
      </c>
      <c r="P137" s="396">
        <f>VLOOKUP(D137,ACUAN,13,FALSE)</f>
        <v>0</v>
      </c>
      <c r="Q137" s="396">
        <f>VLOOKUP(D137,ACUAN,14,FALSE)</f>
        <v>0</v>
      </c>
      <c r="R137" s="396">
        <f>VLOOKUP(D137,ACUAN,15,FALSE)</f>
        <v>0</v>
      </c>
      <c r="S137" s="396" t="str">
        <f>VLOOKUP(D137,ACUAN,16,FALSE)</f>
        <v>APBD</v>
      </c>
      <c r="T137" s="397">
        <f>VLOOKUP(D137,ACUAN,17,FALSE)</f>
        <v>194014396</v>
      </c>
      <c r="U137" s="396">
        <f>VLOOKUP(D137,ACUAN,18,FALSE)</f>
        <v>0</v>
      </c>
      <c r="V137" s="396">
        <f>VLOOKUP(D137,ACUAN,19,FALSE)</f>
        <v>0</v>
      </c>
      <c r="W137" s="206" t="str">
        <f t="shared" si="140"/>
        <v>04.13.01</v>
      </c>
      <c r="X137" s="207" t="str">
        <f t="shared" si="141"/>
        <v>Jalan</v>
      </c>
      <c r="Y137" s="207">
        <f t="shared" si="142"/>
        <v>10</v>
      </c>
      <c r="Z137" s="233">
        <f t="shared" si="143"/>
        <v>19401438.600000001</v>
      </c>
      <c r="AA137" s="208">
        <f t="shared" si="93"/>
        <v>0</v>
      </c>
      <c r="AB137" s="233">
        <f t="shared" si="144"/>
        <v>0</v>
      </c>
      <c r="AC137" s="233"/>
      <c r="AD137" s="233">
        <f t="shared" si="146"/>
        <v>19401438.600000001</v>
      </c>
      <c r="AE137" s="233">
        <f t="shared" si="147"/>
        <v>19401438.600000001</v>
      </c>
      <c r="AF137" s="238">
        <f t="shared" si="148"/>
        <v>19401438.600000001</v>
      </c>
      <c r="AG137" s="238">
        <f t="shared" si="149"/>
        <v>19401438.600000001</v>
      </c>
      <c r="AH137" s="238">
        <f t="shared" si="94"/>
        <v>77605754.400000006</v>
      </c>
      <c r="AI137" s="261">
        <f t="shared" si="150"/>
        <v>2015</v>
      </c>
      <c r="AJ137" s="233">
        <f t="shared" si="151"/>
        <v>116408641.59999999</v>
      </c>
    </row>
    <row r="138" spans="1:37" s="116" customFormat="1" ht="35.25" customHeight="1" x14ac:dyDescent="0.2">
      <c r="A138" s="116">
        <v>190</v>
      </c>
      <c r="B138" s="116" t="str">
        <f t="shared" si="107"/>
        <v>SAMBUNG - KEBUN LADO</v>
      </c>
      <c r="D138" s="116" t="s">
        <v>4008</v>
      </c>
      <c r="E138" s="218" t="s">
        <v>4247</v>
      </c>
      <c r="F138" s="53"/>
      <c r="G138" s="67" t="str">
        <f t="shared" si="108"/>
        <v>PEMBUATAN 1 UNIT BOX CULVERT 4 X 3,5 (DOUBLE) RUAS JALAN SAMBUNG - KEBUN LADO</v>
      </c>
      <c r="H138" s="396" t="s">
        <v>2494</v>
      </c>
      <c r="I138" s="396">
        <f t="shared" si="110"/>
        <v>0</v>
      </c>
      <c r="J138" s="396" t="str">
        <f t="shared" si="111"/>
        <v>Beton</v>
      </c>
      <c r="K138" s="398">
        <f t="shared" si="112"/>
        <v>4</v>
      </c>
      <c r="L138" s="396">
        <f t="shared" si="113"/>
        <v>3.5</v>
      </c>
      <c r="M138" s="398">
        <f t="shared" si="114"/>
        <v>14</v>
      </c>
      <c r="N138" s="396" t="str">
        <f t="shared" si="115"/>
        <v>JALAN SAMBUNG - KEBUN LADO</v>
      </c>
      <c r="O138" s="396">
        <f t="shared" si="116"/>
        <v>2007</v>
      </c>
      <c r="P138" s="396">
        <f t="shared" si="117"/>
        <v>0</v>
      </c>
      <c r="Q138" s="396">
        <f t="shared" si="118"/>
        <v>0</v>
      </c>
      <c r="R138" s="396">
        <f t="shared" si="119"/>
        <v>0</v>
      </c>
      <c r="S138" s="396" t="str">
        <f t="shared" si="120"/>
        <v>APBD</v>
      </c>
      <c r="T138" s="397">
        <f t="shared" si="121"/>
        <v>680558937.49492168</v>
      </c>
      <c r="U138" s="396" t="str">
        <f t="shared" si="122"/>
        <v>B</v>
      </c>
      <c r="V138" s="396">
        <f t="shared" si="123"/>
        <v>0</v>
      </c>
      <c r="W138" s="206" t="str">
        <f t="shared" si="140"/>
        <v>04.13.01</v>
      </c>
      <c r="X138" s="661" t="str">
        <f t="shared" si="141"/>
        <v>Jalan</v>
      </c>
      <c r="Y138" s="207">
        <f t="shared" si="142"/>
        <v>10</v>
      </c>
      <c r="Z138" s="233">
        <f t="shared" si="143"/>
        <v>68055892.749492168</v>
      </c>
      <c r="AA138" s="208">
        <f t="shared" si="93"/>
        <v>6</v>
      </c>
      <c r="AB138" s="233">
        <f t="shared" si="144"/>
        <v>408335356.49695301</v>
      </c>
      <c r="AC138" s="233">
        <f t="shared" si="145"/>
        <v>68055892.749492168</v>
      </c>
      <c r="AD138" s="233">
        <f t="shared" si="146"/>
        <v>68055892.749492168</v>
      </c>
      <c r="AE138" s="233">
        <f t="shared" si="147"/>
        <v>68055892.749492168</v>
      </c>
      <c r="AF138" s="238">
        <f t="shared" si="148"/>
        <v>68055892.749492168</v>
      </c>
      <c r="AG138" s="238">
        <f t="shared" si="149"/>
        <v>0</v>
      </c>
      <c r="AH138" s="238">
        <f t="shared" si="94"/>
        <v>680558927.49492168</v>
      </c>
      <c r="AI138" s="261">
        <f t="shared" si="150"/>
        <v>2007</v>
      </c>
      <c r="AJ138" s="233">
        <f t="shared" si="151"/>
        <v>10</v>
      </c>
    </row>
    <row r="139" spans="1:37" s="116" customFormat="1" ht="35.25" customHeight="1" x14ac:dyDescent="0.2">
      <c r="A139" s="116">
        <v>190</v>
      </c>
      <c r="B139" s="116" t="str">
        <f t="shared" si="107"/>
        <v>SAMBUNG - KEBUN LADO</v>
      </c>
      <c r="D139" s="116" t="s">
        <v>4009</v>
      </c>
      <c r="E139" s="218" t="s">
        <v>4247</v>
      </c>
      <c r="F139" s="53"/>
      <c r="G139" s="67" t="str">
        <f t="shared" si="108"/>
        <v>PEMELIHARAAN JALAN SAMBUNG - KEBUN LADO (NO. RUAS ASPAL OVERLAY ; RUTIN 29 KM.</v>
      </c>
      <c r="H139" s="396" t="str">
        <f t="shared" si="109"/>
        <v>04.13.01.03.06</v>
      </c>
      <c r="I139" s="396">
        <f t="shared" si="110"/>
        <v>0</v>
      </c>
      <c r="J139" s="396">
        <f t="shared" si="111"/>
        <v>0</v>
      </c>
      <c r="K139" s="398">
        <f t="shared" si="112"/>
        <v>0</v>
      </c>
      <c r="L139" s="396">
        <f t="shared" si="113"/>
        <v>0</v>
      </c>
      <c r="M139" s="398">
        <f t="shared" si="114"/>
        <v>0</v>
      </c>
      <c r="N139" s="396" t="str">
        <f t="shared" si="115"/>
        <v>JALAN SAMBUNG - KEBUN LADO</v>
      </c>
      <c r="O139" s="396">
        <f t="shared" si="116"/>
        <v>2007</v>
      </c>
      <c r="P139" s="396">
        <f t="shared" si="117"/>
        <v>0</v>
      </c>
      <c r="Q139" s="396">
        <f t="shared" si="118"/>
        <v>0</v>
      </c>
      <c r="R139" s="396">
        <f t="shared" si="119"/>
        <v>0</v>
      </c>
      <c r="S139" s="396" t="str">
        <f t="shared" si="120"/>
        <v>APBD</v>
      </c>
      <c r="T139" s="397">
        <f t="shared" si="121"/>
        <v>6847118208.5808697</v>
      </c>
      <c r="U139" s="396" t="str">
        <f t="shared" si="122"/>
        <v>B</v>
      </c>
      <c r="V139" s="396">
        <f t="shared" si="123"/>
        <v>2</v>
      </c>
      <c r="W139" s="206" t="str">
        <f t="shared" si="140"/>
        <v>04.13.01</v>
      </c>
      <c r="X139" s="207" t="str">
        <f t="shared" si="141"/>
        <v>Jalan</v>
      </c>
      <c r="Y139" s="207">
        <f t="shared" si="142"/>
        <v>10</v>
      </c>
      <c r="Z139" s="233">
        <f t="shared" si="143"/>
        <v>684711819.85808694</v>
      </c>
      <c r="AA139" s="208">
        <f t="shared" si="93"/>
        <v>6</v>
      </c>
      <c r="AB139" s="233">
        <f t="shared" si="144"/>
        <v>4108270919.1485214</v>
      </c>
      <c r="AC139" s="233">
        <f t="shared" si="145"/>
        <v>684711819.85808694</v>
      </c>
      <c r="AD139" s="233">
        <f t="shared" si="146"/>
        <v>684711819.85808694</v>
      </c>
      <c r="AE139" s="233">
        <f t="shared" si="147"/>
        <v>684711819.85808694</v>
      </c>
      <c r="AF139" s="238">
        <f t="shared" si="148"/>
        <v>684711819.85808694</v>
      </c>
      <c r="AG139" s="238">
        <f t="shared" si="149"/>
        <v>0</v>
      </c>
      <c r="AH139" s="238">
        <f t="shared" si="94"/>
        <v>6847118198.5808678</v>
      </c>
      <c r="AI139" s="261">
        <f t="shared" si="150"/>
        <v>2007</v>
      </c>
      <c r="AJ139" s="233">
        <f t="shared" si="151"/>
        <v>10.000001907348633</v>
      </c>
    </row>
    <row r="140" spans="1:37" s="116" customFormat="1" ht="35.25" customHeight="1" x14ac:dyDescent="0.2">
      <c r="A140" s="116">
        <v>190</v>
      </c>
      <c r="B140" s="116" t="str">
        <f t="shared" si="107"/>
        <v>SAMBUNG - KEBUN LADO</v>
      </c>
      <c r="D140" s="116" t="s">
        <v>4010</v>
      </c>
      <c r="E140" s="218" t="s">
        <v>4247</v>
      </c>
      <c r="F140" s="53"/>
      <c r="G140" s="67" t="str">
        <f t="shared" si="108"/>
        <v xml:space="preserve"> PENINGKATAN JALAN SAMBUNG KEBUN LADO + BAHU BETON RUANS JALAN + DRAINASE</v>
      </c>
      <c r="H140" s="396" t="str">
        <f t="shared" si="109"/>
        <v>04.13.01.03.06</v>
      </c>
      <c r="I140" s="396">
        <f t="shared" si="110"/>
        <v>0</v>
      </c>
      <c r="J140" s="396" t="str">
        <f t="shared" si="111"/>
        <v>Aspal</v>
      </c>
      <c r="K140" s="398">
        <f t="shared" si="112"/>
        <v>0</v>
      </c>
      <c r="L140" s="396">
        <f t="shared" si="113"/>
        <v>0</v>
      </c>
      <c r="M140" s="398">
        <f t="shared" si="114"/>
        <v>0</v>
      </c>
      <c r="N140" s="396" t="str">
        <f t="shared" si="115"/>
        <v>JALAN SAMBUNG - KEBUN LADO</v>
      </c>
      <c r="O140" s="396">
        <f t="shared" si="116"/>
        <v>2012</v>
      </c>
      <c r="P140" s="396">
        <f t="shared" si="117"/>
        <v>0</v>
      </c>
      <c r="Q140" s="396">
        <f t="shared" si="118"/>
        <v>0</v>
      </c>
      <c r="R140" s="396">
        <f t="shared" si="119"/>
        <v>0</v>
      </c>
      <c r="S140" s="396" t="str">
        <f t="shared" si="120"/>
        <v>APBD</v>
      </c>
      <c r="T140" s="397">
        <f t="shared" si="121"/>
        <v>1136545521.504935</v>
      </c>
      <c r="U140" s="396" t="str">
        <f t="shared" si="122"/>
        <v>B</v>
      </c>
      <c r="V140" s="396">
        <f t="shared" si="123"/>
        <v>2</v>
      </c>
      <c r="W140" s="206" t="str">
        <f t="shared" si="140"/>
        <v>04.13.01</v>
      </c>
      <c r="X140" s="207" t="str">
        <f t="shared" si="141"/>
        <v>Jalan</v>
      </c>
      <c r="Y140" s="207">
        <f t="shared" si="142"/>
        <v>10</v>
      </c>
      <c r="Z140" s="233">
        <f t="shared" si="143"/>
        <v>113654551.1504935</v>
      </c>
      <c r="AA140" s="208">
        <f t="shared" si="93"/>
        <v>1</v>
      </c>
      <c r="AB140" s="233">
        <f t="shared" si="144"/>
        <v>113654551.1504935</v>
      </c>
      <c r="AC140" s="233">
        <f t="shared" si="145"/>
        <v>113654551.1504935</v>
      </c>
      <c r="AD140" s="233">
        <f t="shared" si="146"/>
        <v>113654551.1504935</v>
      </c>
      <c r="AE140" s="233">
        <f t="shared" si="147"/>
        <v>113654551.1504935</v>
      </c>
      <c r="AF140" s="238">
        <f t="shared" si="148"/>
        <v>113654551.1504935</v>
      </c>
      <c r="AG140" s="238">
        <f t="shared" si="149"/>
        <v>113654551.1504935</v>
      </c>
      <c r="AH140" s="238">
        <f t="shared" si="94"/>
        <v>681927306.90296102</v>
      </c>
      <c r="AI140" s="261">
        <f t="shared" si="150"/>
        <v>2012</v>
      </c>
      <c r="AJ140" s="233">
        <f t="shared" si="151"/>
        <v>454618214.60197401</v>
      </c>
    </row>
    <row r="141" spans="1:37" s="116" customFormat="1" ht="35.25" customHeight="1" x14ac:dyDescent="0.2">
      <c r="A141" s="116">
        <v>190</v>
      </c>
      <c r="B141" s="116" t="str">
        <f>VLOOKUP(A141,RUAS,2,FALSE)</f>
        <v>SAMBUNG - KEBUN LADO</v>
      </c>
      <c r="D141" s="116" t="s">
        <v>4117</v>
      </c>
      <c r="E141" s="218" t="s">
        <v>4247</v>
      </c>
      <c r="F141" s="53"/>
      <c r="G141" s="67" t="str">
        <f>VLOOKUP(D141,ACUAN,4,FALSE)</f>
        <v>PENINGKATAN JALAN SAMBUNG - KEBUN LADO (ASPAL ) ( DAK )</v>
      </c>
      <c r="H141" s="396" t="str">
        <f>VLOOKUP(D141,ACUAN,5,FALSE)</f>
        <v>04.13.01.03.06</v>
      </c>
      <c r="I141" s="396">
        <f>VLOOKUP(D141,ACUAN,6,FALSE)</f>
        <v>0</v>
      </c>
      <c r="J141" s="396">
        <f>VLOOKUP(D141,ACUAN,7,FALSE)</f>
        <v>0</v>
      </c>
      <c r="K141" s="398">
        <f>VLOOKUP(D141,ACUAN,8,FALSE)</f>
        <v>0</v>
      </c>
      <c r="L141" s="396">
        <f>VLOOKUP(D141,ACUAN,9,FALSE)</f>
        <v>0</v>
      </c>
      <c r="M141" s="398">
        <f>VLOOKUP(D141,ACUAN,10,FALSE)</f>
        <v>0</v>
      </c>
      <c r="N141" s="396" t="str">
        <f>VLOOKUP(D141,ACUAN,11,FALSE)</f>
        <v>JALAN SAMBUNG - KEBUN LADO</v>
      </c>
      <c r="O141" s="396">
        <f>VLOOKUP(D141,ACUAN,12,FALSE)</f>
        <v>2016</v>
      </c>
      <c r="P141" s="396">
        <f>VLOOKUP(D141,ACUAN,13,FALSE)</f>
        <v>0</v>
      </c>
      <c r="Q141" s="396">
        <f>VLOOKUP(D141,ACUAN,14,FALSE)</f>
        <v>0</v>
      </c>
      <c r="R141" s="396">
        <f>VLOOKUP(D141,ACUAN,15,FALSE)</f>
        <v>0</v>
      </c>
      <c r="S141" s="396" t="str">
        <f>VLOOKUP(D141,ACUAN,16,FALSE)</f>
        <v>APBD</v>
      </c>
      <c r="T141" s="397">
        <f>VLOOKUP(D141,ACUAN,17,FALSE)</f>
        <v>4868290282.0367718</v>
      </c>
      <c r="U141" s="396">
        <f>VLOOKUP(D141,ACUAN,18,FALSE)</f>
        <v>0</v>
      </c>
      <c r="V141" s="396">
        <f>VLOOKUP(D141,ACUAN,19,FALSE)</f>
        <v>0</v>
      </c>
      <c r="W141" s="206" t="str">
        <f t="shared" si="140"/>
        <v>04.13.01</v>
      </c>
      <c r="X141" s="207" t="str">
        <f t="shared" si="141"/>
        <v>Jalan</v>
      </c>
      <c r="Y141" s="207">
        <f t="shared" si="142"/>
        <v>10</v>
      </c>
      <c r="Z141" s="233">
        <f t="shared" si="143"/>
        <v>486829027.20367718</v>
      </c>
      <c r="AA141" s="208">
        <f t="shared" si="93"/>
        <v>0</v>
      </c>
      <c r="AB141" s="233">
        <f t="shared" si="144"/>
        <v>0</v>
      </c>
      <c r="AC141" s="233"/>
      <c r="AD141" s="233"/>
      <c r="AE141" s="233">
        <f t="shared" si="147"/>
        <v>486829027.20367718</v>
      </c>
      <c r="AF141" s="238">
        <f t="shared" si="148"/>
        <v>486829027.20367718</v>
      </c>
      <c r="AG141" s="238">
        <f t="shared" si="149"/>
        <v>486829027.20367718</v>
      </c>
      <c r="AH141" s="238">
        <f t="shared" si="94"/>
        <v>1460487081.6110315</v>
      </c>
      <c r="AI141" s="261">
        <f t="shared" si="150"/>
        <v>2016</v>
      </c>
      <c r="AJ141" s="233">
        <f t="shared" si="151"/>
        <v>3407803200.4257402</v>
      </c>
    </row>
    <row r="142" spans="1:37" s="116" customFormat="1" ht="35.25" customHeight="1" x14ac:dyDescent="0.2">
      <c r="A142" s="116">
        <v>197</v>
      </c>
      <c r="B142" s="116" t="str">
        <f t="shared" si="107"/>
        <v>LOGAS - AIR MAS</v>
      </c>
      <c r="D142" s="116" t="s">
        <v>4011</v>
      </c>
      <c r="E142" s="218" t="s">
        <v>4247</v>
      </c>
      <c r="F142" s="53"/>
      <c r="G142" s="67" t="str">
        <f t="shared" si="108"/>
        <v>JALAN KABUPATEN LOKAL</v>
      </c>
      <c r="H142" s="396" t="str">
        <f t="shared" si="109"/>
        <v>04.13.01.03.06</v>
      </c>
      <c r="I142" s="396">
        <f t="shared" si="110"/>
        <v>0</v>
      </c>
      <c r="J142" s="396" t="str">
        <f t="shared" si="111"/>
        <v>ASPAL HOTMIX</v>
      </c>
      <c r="K142" s="398">
        <f t="shared" si="112"/>
        <v>14000</v>
      </c>
      <c r="L142" s="396">
        <f t="shared" si="113"/>
        <v>8</v>
      </c>
      <c r="M142" s="398">
        <f t="shared" si="114"/>
        <v>112000</v>
      </c>
      <c r="N142" s="396" t="str">
        <f t="shared" si="115"/>
        <v>LOGAS - AIR MAS</v>
      </c>
      <c r="O142" s="396">
        <f t="shared" si="116"/>
        <v>2001</v>
      </c>
      <c r="P142" s="396">
        <f t="shared" si="117"/>
        <v>0</v>
      </c>
      <c r="Q142" s="396">
        <f t="shared" si="118"/>
        <v>0</v>
      </c>
      <c r="R142" s="396" t="str">
        <f t="shared" si="119"/>
        <v>12.04.06.05.01.00</v>
      </c>
      <c r="S142" s="396" t="str">
        <f t="shared" si="120"/>
        <v>APBD</v>
      </c>
      <c r="T142" s="397">
        <f t="shared" si="121"/>
        <v>12022715750</v>
      </c>
      <c r="U142" s="396" t="str">
        <f t="shared" si="122"/>
        <v>KB</v>
      </c>
      <c r="V142" s="396">
        <f t="shared" si="123"/>
        <v>0</v>
      </c>
      <c r="W142" s="206" t="str">
        <f t="shared" si="140"/>
        <v>04.13.01</v>
      </c>
      <c r="X142" s="207" t="str">
        <f t="shared" si="141"/>
        <v>Jalan</v>
      </c>
      <c r="Y142" s="207">
        <f t="shared" si="142"/>
        <v>10</v>
      </c>
      <c r="Z142" s="233">
        <f t="shared" si="143"/>
        <v>1202271574</v>
      </c>
      <c r="AA142" s="208">
        <f t="shared" ref="AA142:AA205" si="152">IF(2013-O142&gt;Y142,Y142,IF(2013-O142&lt;0,0,2013-O142))</f>
        <v>10</v>
      </c>
      <c r="AB142" s="233">
        <f t="shared" si="144"/>
        <v>12022715740</v>
      </c>
      <c r="AC142" s="233">
        <f t="shared" si="145"/>
        <v>0</v>
      </c>
      <c r="AD142" s="233">
        <f t="shared" si="146"/>
        <v>0</v>
      </c>
      <c r="AE142" s="233">
        <f t="shared" si="147"/>
        <v>0</v>
      </c>
      <c r="AF142" s="238">
        <f t="shared" si="148"/>
        <v>0</v>
      </c>
      <c r="AG142" s="238">
        <f t="shared" si="149"/>
        <v>0</v>
      </c>
      <c r="AH142" s="238">
        <f t="shared" ref="AH142:AH205" si="153">SUM(AB142:AG142)</f>
        <v>12022715740</v>
      </c>
      <c r="AI142" s="261">
        <f t="shared" si="150"/>
        <v>2001</v>
      </c>
      <c r="AJ142" s="233">
        <f t="shared" si="151"/>
        <v>10</v>
      </c>
    </row>
    <row r="143" spans="1:37" s="116" customFormat="1" ht="35.25" customHeight="1" x14ac:dyDescent="0.2">
      <c r="A143" s="116">
        <v>197</v>
      </c>
      <c r="B143" s="116" t="str">
        <f>VLOOKUP(A143,RUAS,2,FALSE)</f>
        <v>LOGAS - AIR MAS</v>
      </c>
      <c r="D143" s="116" t="s">
        <v>4119</v>
      </c>
      <c r="E143" s="218" t="s">
        <v>4247</v>
      </c>
      <c r="F143" s="53"/>
      <c r="G143" s="67" t="str">
        <f>VLOOKUP(D143,ACUAN,4,FALSE)</f>
        <v>PEMBUATAN 2 UNIT BOX CULVERT 2,5 X 2,5 M (TUNGGAL) RUAS JALAN LOGAS - AIR MAS</v>
      </c>
      <c r="H143" s="396" t="s">
        <v>2494</v>
      </c>
      <c r="I143" s="396">
        <f>VLOOKUP(D143,ACUAN,6,FALSE)</f>
        <v>0</v>
      </c>
      <c r="J143" s="396" t="str">
        <f>VLOOKUP(D143,ACUAN,7,FALSE)</f>
        <v>Beton</v>
      </c>
      <c r="K143" s="398">
        <f>VLOOKUP(D143,ACUAN,8,FALSE)</f>
        <v>2.5</v>
      </c>
      <c r="L143" s="396">
        <f>VLOOKUP(D143,ACUAN,9,FALSE)</f>
        <v>2.5</v>
      </c>
      <c r="M143" s="398">
        <f>VLOOKUP(D143,ACUAN,10,FALSE)</f>
        <v>6.25</v>
      </c>
      <c r="N143" s="396" t="str">
        <f>VLOOKUP(D143,ACUAN,11,FALSE)</f>
        <v>LOGAS - AIR MAS</v>
      </c>
      <c r="O143" s="396">
        <f>VLOOKUP(D143,ACUAN,12,FALSE)</f>
        <v>2007</v>
      </c>
      <c r="P143" s="396">
        <f>VLOOKUP(D143,ACUAN,13,FALSE)</f>
        <v>0</v>
      </c>
      <c r="Q143" s="396">
        <f>VLOOKUP(D143,ACUAN,14,FALSE)</f>
        <v>0</v>
      </c>
      <c r="R143" s="396">
        <f>VLOOKUP(D143,ACUAN,15,FALSE)</f>
        <v>0</v>
      </c>
      <c r="S143" s="396" t="str">
        <f>VLOOKUP(D143,ACUAN,16,FALSE)</f>
        <v>APBD</v>
      </c>
      <c r="T143" s="397">
        <f>VLOOKUP(D143,ACUAN,17,FALSE)</f>
        <v>646450700.572227</v>
      </c>
      <c r="U143" s="396" t="str">
        <f>VLOOKUP(D143,ACUAN,18,FALSE)</f>
        <v>B</v>
      </c>
      <c r="V143" s="396">
        <f>VLOOKUP(D143,ACUAN,19,FALSE)</f>
        <v>0</v>
      </c>
      <c r="W143" s="206" t="str">
        <f t="shared" si="140"/>
        <v>04.13.01</v>
      </c>
      <c r="X143" s="661" t="str">
        <f t="shared" si="141"/>
        <v>Jalan</v>
      </c>
      <c r="Y143" s="207">
        <f t="shared" si="142"/>
        <v>10</v>
      </c>
      <c r="Z143" s="233">
        <f t="shared" si="143"/>
        <v>64645069.057222702</v>
      </c>
      <c r="AA143" s="208">
        <f t="shared" si="152"/>
        <v>6</v>
      </c>
      <c r="AB143" s="233">
        <f t="shared" si="144"/>
        <v>387870414.34333622</v>
      </c>
      <c r="AC143" s="233">
        <f t="shared" si="145"/>
        <v>64645069.057222702</v>
      </c>
      <c r="AD143" s="233">
        <f t="shared" si="146"/>
        <v>64645069.057222702</v>
      </c>
      <c r="AE143" s="233">
        <f t="shared" si="147"/>
        <v>64645069.057222702</v>
      </c>
      <c r="AF143" s="238">
        <f t="shared" si="148"/>
        <v>64645069.057222702</v>
      </c>
      <c r="AG143" s="238">
        <f t="shared" si="149"/>
        <v>0</v>
      </c>
      <c r="AH143" s="238">
        <f t="shared" si="153"/>
        <v>646450690.57222712</v>
      </c>
      <c r="AI143" s="261">
        <f t="shared" si="150"/>
        <v>2007</v>
      </c>
      <c r="AJ143" s="233">
        <f t="shared" si="151"/>
        <v>9.9999998807907104</v>
      </c>
    </row>
    <row r="144" spans="1:37" s="116" customFormat="1" ht="35.25" customHeight="1" x14ac:dyDescent="0.2">
      <c r="A144" s="116">
        <v>229</v>
      </c>
      <c r="B144" s="116" t="str">
        <f>VLOOKUP(A144,RUAS,2,FALSE)</f>
        <v>SIMP. HANDOYO - SUMBER DATAR</v>
      </c>
      <c r="D144" s="116" t="s">
        <v>4012</v>
      </c>
      <c r="E144" s="218" t="s">
        <v>4247</v>
      </c>
      <c r="F144" s="53"/>
      <c r="G144" s="67" t="s">
        <v>529</v>
      </c>
      <c r="H144" s="396" t="str">
        <f>VLOOKUP(D144,ACUAN,5,FALSE)</f>
        <v>04.13.01.03.06</v>
      </c>
      <c r="I144" s="396">
        <f>VLOOKUP(D144,ACUAN,6,FALSE)</f>
        <v>0</v>
      </c>
      <c r="J144" s="396" t="str">
        <f>VLOOKUP(D144,ACUAN,7,FALSE)</f>
        <v>ASPAL HOTMIX</v>
      </c>
      <c r="K144" s="398" t="str">
        <f>VLOOKUP(D144,ACUAN,8,FALSE)</f>
        <v>15400</v>
      </c>
      <c r="L144" s="396">
        <f>VLOOKUP(D144,ACUAN,9,FALSE)</f>
        <v>0</v>
      </c>
      <c r="M144" s="398">
        <f>VLOOKUP(D144,ACUAN,10,FALSE)</f>
        <v>0</v>
      </c>
      <c r="N144" s="396" t="str">
        <f>VLOOKUP(D144,ACUAN,11,FALSE)</f>
        <v>SIMPANG HANDOYO</v>
      </c>
      <c r="O144" s="396">
        <f>VLOOKUP(D144,ACUAN,12,FALSE)</f>
        <v>2001</v>
      </c>
      <c r="P144" s="396">
        <f>VLOOKUP(D144,ACUAN,13,FALSE)</f>
        <v>0</v>
      </c>
      <c r="Q144" s="396">
        <f>VLOOKUP(D144,ACUAN,14,FALSE)</f>
        <v>0</v>
      </c>
      <c r="R144" s="396" t="str">
        <f>VLOOKUP(D144,ACUAN,15,FALSE)</f>
        <v>12.04.06.05.01.00</v>
      </c>
      <c r="S144" s="396" t="str">
        <f>VLOOKUP(D144,ACUAN,16,FALSE)</f>
        <v>APBD</v>
      </c>
      <c r="T144" s="397">
        <f>VLOOKUP(D144,ACUAN,17,FALSE)</f>
        <v>16170000000</v>
      </c>
      <c r="U144" s="397"/>
      <c r="V144" s="396" t="s">
        <v>43</v>
      </c>
      <c r="W144" s="206" t="str">
        <f t="shared" si="140"/>
        <v>04.13.01</v>
      </c>
      <c r="X144" s="207" t="str">
        <f t="shared" si="141"/>
        <v>Jalan</v>
      </c>
      <c r="Y144" s="207">
        <f t="shared" si="142"/>
        <v>10</v>
      </c>
      <c r="Z144" s="233">
        <f t="shared" si="143"/>
        <v>1616999999</v>
      </c>
      <c r="AA144" s="208">
        <f t="shared" si="152"/>
        <v>10</v>
      </c>
      <c r="AB144" s="233">
        <f t="shared" si="144"/>
        <v>16169999990</v>
      </c>
      <c r="AC144" s="233">
        <f>IF(T144-10=AB144,0,Z144)</f>
        <v>0</v>
      </c>
      <c r="AD144" s="233">
        <f>IF(T144-10=AB144+AC144,0,Z144)</f>
        <v>0</v>
      </c>
      <c r="AE144" s="233">
        <f>IF(T144-10=AB144+AC144+AD144,0,Z144)</f>
        <v>0</v>
      </c>
      <c r="AF144" s="238">
        <f>IF(T144-10=AC144+AD144+AE144+AB144,0,Z144)</f>
        <v>0</v>
      </c>
      <c r="AG144" s="238">
        <f t="shared" si="149"/>
        <v>0</v>
      </c>
      <c r="AH144" s="238">
        <f t="shared" si="153"/>
        <v>16169999990</v>
      </c>
      <c r="AI144" s="238">
        <f>SUM(AC144:AH144)</f>
        <v>16169999990</v>
      </c>
      <c r="AJ144" s="233">
        <f t="shared" si="151"/>
        <v>10</v>
      </c>
      <c r="AK144" s="233">
        <f>U144-AI144</f>
        <v>-16169999990</v>
      </c>
    </row>
    <row r="145" spans="1:36" s="116" customFormat="1" ht="35.25" customHeight="1" x14ac:dyDescent="0.2">
      <c r="A145" s="116">
        <v>229</v>
      </c>
      <c r="B145" s="116" t="str">
        <f t="shared" si="107"/>
        <v>SIMP. HANDOYO - SUMBER DATAR</v>
      </c>
      <c r="D145" s="655" t="s">
        <v>4013</v>
      </c>
      <c r="E145" s="218" t="s">
        <v>4247</v>
      </c>
      <c r="F145" s="53"/>
      <c r="G145" s="67" t="str">
        <f t="shared" si="108"/>
        <v>PENINGKATAN JALAN SP. HANDOYO - SUMBER DATAR (ASPAL 1 KM)</v>
      </c>
      <c r="H145" s="396" t="str">
        <f t="shared" si="109"/>
        <v>04.13.01.03.06</v>
      </c>
      <c r="I145" s="396">
        <f t="shared" si="110"/>
        <v>0</v>
      </c>
      <c r="J145" s="396">
        <f t="shared" si="111"/>
        <v>0</v>
      </c>
      <c r="K145" s="398">
        <f t="shared" si="112"/>
        <v>0</v>
      </c>
      <c r="L145" s="396">
        <f t="shared" si="113"/>
        <v>0</v>
      </c>
      <c r="M145" s="398">
        <f t="shared" si="114"/>
        <v>0</v>
      </c>
      <c r="N145" s="396" t="str">
        <f t="shared" si="115"/>
        <v>SP. HANDOYO - SUMBER DATAR</v>
      </c>
      <c r="O145" s="396">
        <f t="shared" si="116"/>
        <v>2014</v>
      </c>
      <c r="P145" s="396">
        <f t="shared" si="117"/>
        <v>0</v>
      </c>
      <c r="Q145" s="396">
        <f t="shared" si="118"/>
        <v>0</v>
      </c>
      <c r="R145" s="396">
        <f t="shared" si="119"/>
        <v>0</v>
      </c>
      <c r="S145" s="396">
        <f t="shared" si="120"/>
        <v>0</v>
      </c>
      <c r="T145" s="397">
        <f t="shared" si="121"/>
        <v>1927376842</v>
      </c>
      <c r="U145" s="396">
        <f t="shared" si="122"/>
        <v>0</v>
      </c>
      <c r="V145" s="396">
        <f t="shared" si="123"/>
        <v>0</v>
      </c>
      <c r="W145" s="206" t="str">
        <f t="shared" si="140"/>
        <v>04.13.01</v>
      </c>
      <c r="X145" s="207" t="str">
        <f t="shared" si="141"/>
        <v>Jalan</v>
      </c>
      <c r="Y145" s="207">
        <f t="shared" si="142"/>
        <v>10</v>
      </c>
      <c r="Z145" s="233">
        <f t="shared" si="143"/>
        <v>192737683.19999999</v>
      </c>
      <c r="AA145" s="208">
        <f t="shared" si="152"/>
        <v>0</v>
      </c>
      <c r="AB145" s="233">
        <f t="shared" si="144"/>
        <v>0</v>
      </c>
      <c r="AC145" s="233">
        <f t="shared" si="145"/>
        <v>192737683.19999999</v>
      </c>
      <c r="AD145" s="233">
        <f t="shared" si="146"/>
        <v>192737683.19999999</v>
      </c>
      <c r="AE145" s="233">
        <f t="shared" si="147"/>
        <v>192737683.19999999</v>
      </c>
      <c r="AF145" s="238">
        <f t="shared" si="148"/>
        <v>192737683.19999999</v>
      </c>
      <c r="AG145" s="238">
        <f t="shared" si="149"/>
        <v>192737683.19999999</v>
      </c>
      <c r="AH145" s="238">
        <f t="shared" si="153"/>
        <v>963688416</v>
      </c>
      <c r="AI145" s="261">
        <f t="shared" si="150"/>
        <v>2014</v>
      </c>
      <c r="AJ145" s="233">
        <f t="shared" si="151"/>
        <v>963688426</v>
      </c>
    </row>
    <row r="146" spans="1:36" s="116" customFormat="1" ht="35.25" customHeight="1" x14ac:dyDescent="0.2">
      <c r="A146" s="116">
        <v>229</v>
      </c>
      <c r="B146" s="116" t="str">
        <f t="shared" si="107"/>
        <v>SIMP. HANDOYO - SUMBER DATAR</v>
      </c>
      <c r="D146" s="655" t="s">
        <v>4197</v>
      </c>
      <c r="E146" s="218" t="s">
        <v>4247</v>
      </c>
      <c r="F146" s="53"/>
      <c r="G146" s="67" t="str">
        <f t="shared" si="108"/>
        <v>PENINGKATAN JALAN SP. HANDOYO - SUMBER DATAR (ASPAL)</v>
      </c>
      <c r="H146" s="396" t="str">
        <f t="shared" si="109"/>
        <v>04.13.01.03.06</v>
      </c>
      <c r="I146" s="396">
        <f t="shared" si="110"/>
        <v>0</v>
      </c>
      <c r="J146" s="396">
        <f t="shared" si="111"/>
        <v>0</v>
      </c>
      <c r="K146" s="398">
        <f t="shared" si="112"/>
        <v>0</v>
      </c>
      <c r="L146" s="396">
        <f t="shared" si="113"/>
        <v>0</v>
      </c>
      <c r="M146" s="398">
        <f t="shared" si="114"/>
        <v>0</v>
      </c>
      <c r="N146" s="396" t="str">
        <f t="shared" si="115"/>
        <v>SP. HANDOYO - SUMBER DATAR</v>
      </c>
      <c r="O146" s="396">
        <f t="shared" si="116"/>
        <v>2018</v>
      </c>
      <c r="P146" s="396">
        <f t="shared" si="117"/>
        <v>0</v>
      </c>
      <c r="Q146" s="396">
        <f t="shared" si="118"/>
        <v>0</v>
      </c>
      <c r="R146" s="396">
        <f t="shared" si="119"/>
        <v>0</v>
      </c>
      <c r="S146" s="396" t="str">
        <f t="shared" si="120"/>
        <v>APBD</v>
      </c>
      <c r="T146" s="397">
        <f t="shared" si="121"/>
        <v>2268022666</v>
      </c>
      <c r="U146" s="396">
        <f t="shared" si="122"/>
        <v>0</v>
      </c>
      <c r="V146" s="396">
        <f t="shared" si="123"/>
        <v>0</v>
      </c>
      <c r="W146" s="206" t="str">
        <f t="shared" si="140"/>
        <v>04.13.01</v>
      </c>
      <c r="X146" s="207" t="str">
        <f t="shared" si="141"/>
        <v>Jalan</v>
      </c>
      <c r="Y146" s="207">
        <f t="shared" si="142"/>
        <v>10</v>
      </c>
      <c r="Z146" s="233">
        <f t="shared" si="143"/>
        <v>226802265.59999999</v>
      </c>
      <c r="AA146" s="208">
        <f t="shared" si="152"/>
        <v>0</v>
      </c>
      <c r="AB146" s="233">
        <f t="shared" si="144"/>
        <v>0</v>
      </c>
      <c r="AC146" s="233"/>
      <c r="AD146" s="233"/>
      <c r="AE146" s="233"/>
      <c r="AF146" s="238"/>
      <c r="AG146" s="238"/>
      <c r="AH146" s="238">
        <f t="shared" si="153"/>
        <v>0</v>
      </c>
      <c r="AI146" s="261">
        <f t="shared" si="150"/>
        <v>2018</v>
      </c>
      <c r="AJ146" s="233">
        <f t="shared" si="151"/>
        <v>2268022666</v>
      </c>
    </row>
    <row r="147" spans="1:36" s="116" customFormat="1" ht="35.25" customHeight="1" x14ac:dyDescent="0.2">
      <c r="A147" s="116">
        <v>230</v>
      </c>
      <c r="B147" s="116" t="str">
        <f t="shared" si="107"/>
        <v>LOGAS - SUMBER DATAR</v>
      </c>
      <c r="D147" s="116" t="s">
        <v>4014</v>
      </c>
      <c r="E147" s="218" t="s">
        <v>4247</v>
      </c>
      <c r="F147" s="53"/>
      <c r="G147" s="67" t="str">
        <f t="shared" si="108"/>
        <v>JALAN LOGAS-SUMBER DATAR (URG PILIHAN)</v>
      </c>
      <c r="H147" s="396" t="str">
        <f t="shared" si="109"/>
        <v>04.13.01.03.06</v>
      </c>
      <c r="I147" s="396">
        <f t="shared" si="110"/>
        <v>0</v>
      </c>
      <c r="J147" s="396" t="str">
        <f t="shared" si="111"/>
        <v>Tanah</v>
      </c>
      <c r="K147" s="398">
        <f t="shared" si="112"/>
        <v>0</v>
      </c>
      <c r="L147" s="396">
        <f t="shared" si="113"/>
        <v>0</v>
      </c>
      <c r="M147" s="398">
        <f t="shared" si="114"/>
        <v>0</v>
      </c>
      <c r="N147" s="396" t="str">
        <f t="shared" si="115"/>
        <v>LOGAS-SUMBER DATAR</v>
      </c>
      <c r="O147" s="396">
        <f t="shared" si="116"/>
        <v>2013</v>
      </c>
      <c r="P147" s="396">
        <f t="shared" si="117"/>
        <v>0</v>
      </c>
      <c r="Q147" s="396">
        <f t="shared" si="118"/>
        <v>0</v>
      </c>
      <c r="R147" s="396">
        <f t="shared" si="119"/>
        <v>0</v>
      </c>
      <c r="S147" s="396" t="str">
        <f t="shared" si="120"/>
        <v>APBD</v>
      </c>
      <c r="T147" s="397">
        <f t="shared" si="121"/>
        <v>716925612</v>
      </c>
      <c r="U147" s="396">
        <f t="shared" si="122"/>
        <v>0</v>
      </c>
      <c r="V147" s="396">
        <f t="shared" si="123"/>
        <v>0</v>
      </c>
      <c r="W147" s="206" t="str">
        <f t="shared" si="140"/>
        <v>04.13.01</v>
      </c>
      <c r="X147" s="207" t="str">
        <f t="shared" si="141"/>
        <v>Jalan</v>
      </c>
      <c r="Y147" s="207">
        <f t="shared" si="142"/>
        <v>10</v>
      </c>
      <c r="Z147" s="233">
        <f t="shared" si="143"/>
        <v>71692560.200000003</v>
      </c>
      <c r="AA147" s="208">
        <f t="shared" si="152"/>
        <v>0</v>
      </c>
      <c r="AB147" s="233">
        <f t="shared" si="144"/>
        <v>0</v>
      </c>
      <c r="AC147" s="233">
        <f t="shared" si="145"/>
        <v>71692560.200000003</v>
      </c>
      <c r="AD147" s="233">
        <f t="shared" si="146"/>
        <v>71692560.200000003</v>
      </c>
      <c r="AE147" s="233">
        <f t="shared" si="147"/>
        <v>71692560.200000003</v>
      </c>
      <c r="AF147" s="238">
        <f t="shared" si="148"/>
        <v>71692560.200000003</v>
      </c>
      <c r="AG147" s="238">
        <f t="shared" si="149"/>
        <v>71692560.200000003</v>
      </c>
      <c r="AH147" s="238">
        <f t="shared" si="153"/>
        <v>358462801</v>
      </c>
      <c r="AI147" s="261">
        <f t="shared" si="150"/>
        <v>2013</v>
      </c>
      <c r="AJ147" s="233">
        <f t="shared" si="151"/>
        <v>358462811</v>
      </c>
    </row>
    <row r="148" spans="1:36" s="116" customFormat="1" ht="35.25" customHeight="1" x14ac:dyDescent="0.2">
      <c r="A148" s="116">
        <v>230</v>
      </c>
      <c r="B148" s="116" t="str">
        <f t="shared" si="107"/>
        <v>LOGAS - SUMBER DATAR</v>
      </c>
      <c r="D148" s="116" t="s">
        <v>4015</v>
      </c>
      <c r="E148" s="218" t="s">
        <v>4247</v>
      </c>
      <c r="F148" s="53"/>
      <c r="G148" s="67" t="str">
        <f t="shared" si="108"/>
        <v>PENINGKATAN JALAN LOGAS - SUMBER DATAR + PASAR LOGAS (ASPAL)</v>
      </c>
      <c r="H148" s="396" t="str">
        <f t="shared" si="109"/>
        <v>04.13.01.03.06</v>
      </c>
      <c r="I148" s="396">
        <f t="shared" si="110"/>
        <v>0</v>
      </c>
      <c r="J148" s="396">
        <f t="shared" si="111"/>
        <v>0</v>
      </c>
      <c r="K148" s="398">
        <f t="shared" si="112"/>
        <v>0</v>
      </c>
      <c r="L148" s="396">
        <f t="shared" si="113"/>
        <v>0</v>
      </c>
      <c r="M148" s="398">
        <f t="shared" si="114"/>
        <v>0</v>
      </c>
      <c r="N148" s="396" t="str">
        <f t="shared" si="115"/>
        <v>LOGAS - SUMBER DATAR + PASAR LOGAS</v>
      </c>
      <c r="O148" s="396">
        <f t="shared" si="116"/>
        <v>2016</v>
      </c>
      <c r="P148" s="396">
        <f t="shared" si="117"/>
        <v>0</v>
      </c>
      <c r="Q148" s="396">
        <f t="shared" si="118"/>
        <v>0</v>
      </c>
      <c r="R148" s="396">
        <f t="shared" si="119"/>
        <v>0</v>
      </c>
      <c r="S148" s="396" t="str">
        <f t="shared" si="120"/>
        <v>APBD</v>
      </c>
      <c r="T148" s="397">
        <f t="shared" si="121"/>
        <v>2819328226.6399999</v>
      </c>
      <c r="U148" s="396">
        <f t="shared" si="122"/>
        <v>0</v>
      </c>
      <c r="V148" s="396">
        <f t="shared" si="123"/>
        <v>0</v>
      </c>
      <c r="W148" s="206" t="str">
        <f t="shared" si="140"/>
        <v>04.13.01</v>
      </c>
      <c r="X148" s="207" t="str">
        <f t="shared" si="141"/>
        <v>Jalan</v>
      </c>
      <c r="Y148" s="207">
        <f t="shared" si="142"/>
        <v>10</v>
      </c>
      <c r="Z148" s="233">
        <f t="shared" si="143"/>
        <v>281932821.66399997</v>
      </c>
      <c r="AA148" s="208">
        <f t="shared" si="152"/>
        <v>0</v>
      </c>
      <c r="AB148" s="233">
        <f t="shared" si="144"/>
        <v>0</v>
      </c>
      <c r="AC148" s="233"/>
      <c r="AD148" s="233"/>
      <c r="AE148" s="233">
        <f t="shared" si="147"/>
        <v>281932821.66399997</v>
      </c>
      <c r="AF148" s="238">
        <f t="shared" si="148"/>
        <v>281932821.66399997</v>
      </c>
      <c r="AG148" s="238">
        <f t="shared" si="149"/>
        <v>281932821.66399997</v>
      </c>
      <c r="AH148" s="238">
        <f t="shared" si="153"/>
        <v>845798464.99199986</v>
      </c>
      <c r="AI148" s="261">
        <f t="shared" si="150"/>
        <v>2016</v>
      </c>
      <c r="AJ148" s="233">
        <f t="shared" si="151"/>
        <v>1973529761.648</v>
      </c>
    </row>
    <row r="149" spans="1:36" s="116" customFormat="1" ht="35.25" customHeight="1" x14ac:dyDescent="0.2">
      <c r="A149" s="116">
        <v>235</v>
      </c>
      <c r="B149" s="116" t="str">
        <f t="shared" ref="B149:B192" si="154">VLOOKUP(A149,RUAS,2,FALSE)</f>
        <v>AIR MAS - SEI. KERANJI</v>
      </c>
      <c r="D149" s="116" t="s">
        <v>4018</v>
      </c>
      <c r="E149" s="218" t="s">
        <v>4247</v>
      </c>
      <c r="F149" s="53"/>
      <c r="G149" s="67" t="str">
        <f t="shared" si="108"/>
        <v>PENINGKATAN JALAN AIR MAS - SEI. KERANJI- PASIR MAS ( DESA SEI. KERANJI) ( ASPAL 1,00 KM)</v>
      </c>
      <c r="H149" s="396" t="str">
        <f t="shared" si="109"/>
        <v>04.13.01.03.06</v>
      </c>
      <c r="I149" s="396">
        <f t="shared" si="110"/>
        <v>0</v>
      </c>
      <c r="J149" s="396" t="str">
        <f t="shared" si="111"/>
        <v>Aspal</v>
      </c>
      <c r="K149" s="398">
        <f t="shared" si="112"/>
        <v>0</v>
      </c>
      <c r="L149" s="396">
        <f t="shared" si="113"/>
        <v>0</v>
      </c>
      <c r="M149" s="398">
        <f t="shared" si="114"/>
        <v>0</v>
      </c>
      <c r="N149" s="396" t="str">
        <f t="shared" si="115"/>
        <v>AIR MAS - SEI. KERANJI - PASIR MAS</v>
      </c>
      <c r="O149" s="396">
        <f t="shared" si="116"/>
        <v>2012</v>
      </c>
      <c r="P149" s="396">
        <f t="shared" si="117"/>
        <v>0</v>
      </c>
      <c r="Q149" s="396">
        <f t="shared" si="118"/>
        <v>0</v>
      </c>
      <c r="R149" s="396">
        <f t="shared" si="119"/>
        <v>0</v>
      </c>
      <c r="S149" s="396" t="str">
        <f t="shared" si="120"/>
        <v>APBD</v>
      </c>
      <c r="T149" s="397">
        <f t="shared" si="121"/>
        <v>3314762916.41675</v>
      </c>
      <c r="U149" s="396" t="str">
        <f t="shared" si="122"/>
        <v>B</v>
      </c>
      <c r="V149" s="396">
        <f t="shared" si="123"/>
        <v>0</v>
      </c>
      <c r="W149" s="206" t="str">
        <f t="shared" si="140"/>
        <v>04.13.01</v>
      </c>
      <c r="X149" s="207" t="str">
        <f t="shared" si="141"/>
        <v>Jalan</v>
      </c>
      <c r="Y149" s="207">
        <f t="shared" si="142"/>
        <v>10</v>
      </c>
      <c r="Z149" s="233">
        <f t="shared" si="143"/>
        <v>331476290.641675</v>
      </c>
      <c r="AA149" s="208">
        <f t="shared" si="152"/>
        <v>1</v>
      </c>
      <c r="AB149" s="233">
        <f t="shared" si="144"/>
        <v>331476290.641675</v>
      </c>
      <c r="AC149" s="233">
        <f t="shared" si="145"/>
        <v>331476290.641675</v>
      </c>
      <c r="AD149" s="233">
        <f t="shared" si="146"/>
        <v>331476290.641675</v>
      </c>
      <c r="AE149" s="233">
        <f t="shared" si="147"/>
        <v>331476290.641675</v>
      </c>
      <c r="AF149" s="238">
        <f t="shared" si="148"/>
        <v>331476290.641675</v>
      </c>
      <c r="AG149" s="238">
        <f t="shared" si="149"/>
        <v>331476290.641675</v>
      </c>
      <c r="AH149" s="238">
        <f t="shared" si="153"/>
        <v>1988857743.85005</v>
      </c>
      <c r="AI149" s="261">
        <f t="shared" si="150"/>
        <v>2012</v>
      </c>
      <c r="AJ149" s="233">
        <f t="shared" si="151"/>
        <v>1325905172.5667</v>
      </c>
    </row>
    <row r="150" spans="1:36" s="116" customFormat="1" ht="35.25" customHeight="1" x14ac:dyDescent="0.2">
      <c r="A150" s="116">
        <v>235</v>
      </c>
      <c r="B150" s="116" t="str">
        <f>VLOOKUP(A150,RUAS,2,FALSE)</f>
        <v>AIR MAS - SEI. KERANJI</v>
      </c>
      <c r="D150" s="116" t="s">
        <v>4099</v>
      </c>
      <c r="E150" s="218" t="s">
        <v>4247</v>
      </c>
      <c r="F150" s="53"/>
      <c r="G150" s="67" t="str">
        <f>VLOOKUP(D150,ACUAN,4,FALSE)</f>
        <v>PEMBANGUNAN 1 UNIT BOX CULVERT 4X3,5X7 TUNGGAL RUAS JALAN AIR MAS - SEI. KERANJI - PASIR MAS (1 UNIT)</v>
      </c>
      <c r="H150" s="396" t="str">
        <f>VLOOKUP(D150,ACUAN,5,FALSE)</f>
        <v>04.13.01.03.06</v>
      </c>
      <c r="I150" s="396">
        <f>VLOOKUP(D150,ACUAN,6,FALSE)</f>
        <v>0</v>
      </c>
      <c r="J150" s="396">
        <f>VLOOKUP(D150,ACUAN,7,FALSE)</f>
        <v>0</v>
      </c>
      <c r="K150" s="398">
        <f>VLOOKUP(D150,ACUAN,8,FALSE)</f>
        <v>0</v>
      </c>
      <c r="L150" s="396">
        <f>VLOOKUP(D150,ACUAN,9,FALSE)</f>
        <v>0</v>
      </c>
      <c r="M150" s="398">
        <f>VLOOKUP(D150,ACUAN,10,FALSE)</f>
        <v>0</v>
      </c>
      <c r="N150" s="396" t="str">
        <f>VLOOKUP(D150,ACUAN,11,FALSE)</f>
        <v>AIR MAS - SEI. KERANJI - PASIR MAS</v>
      </c>
      <c r="O150" s="396">
        <f>VLOOKUP(D150,ACUAN,12,FALSE)</f>
        <v>2014</v>
      </c>
      <c r="P150" s="396">
        <f>VLOOKUP(D150,ACUAN,13,FALSE)</f>
        <v>0</v>
      </c>
      <c r="Q150" s="396">
        <f>VLOOKUP(D150,ACUAN,14,FALSE)</f>
        <v>0</v>
      </c>
      <c r="R150" s="396">
        <f>VLOOKUP(D150,ACUAN,15,FALSE)</f>
        <v>0</v>
      </c>
      <c r="S150" s="396">
        <f>VLOOKUP(D150,ACUAN,16,FALSE)</f>
        <v>0</v>
      </c>
      <c r="T150" s="397">
        <f>VLOOKUP(D150,ACUAN,17,FALSE)</f>
        <v>321413975</v>
      </c>
      <c r="U150" s="396">
        <f>VLOOKUP(D150,ACUAN,18,FALSE)</f>
        <v>0</v>
      </c>
      <c r="V150" s="396">
        <f>VLOOKUP(D150,ACUAN,19,FALSE)</f>
        <v>0</v>
      </c>
      <c r="W150" s="206" t="str">
        <f t="shared" si="140"/>
        <v>04.13.01</v>
      </c>
      <c r="X150" s="207" t="str">
        <f t="shared" si="141"/>
        <v>Jalan</v>
      </c>
      <c r="Y150" s="207">
        <f t="shared" si="142"/>
        <v>10</v>
      </c>
      <c r="Z150" s="233">
        <f t="shared" si="143"/>
        <v>32141396.5</v>
      </c>
      <c r="AA150" s="208">
        <f t="shared" si="152"/>
        <v>0</v>
      </c>
      <c r="AB150" s="233">
        <f t="shared" si="144"/>
        <v>0</v>
      </c>
      <c r="AC150" s="233">
        <f t="shared" si="145"/>
        <v>32141396.5</v>
      </c>
      <c r="AD150" s="233">
        <f t="shared" si="146"/>
        <v>32141396.5</v>
      </c>
      <c r="AE150" s="233">
        <f t="shared" si="147"/>
        <v>32141396.5</v>
      </c>
      <c r="AF150" s="238">
        <f t="shared" si="148"/>
        <v>32141396.5</v>
      </c>
      <c r="AG150" s="238">
        <f t="shared" si="149"/>
        <v>32141396.5</v>
      </c>
      <c r="AH150" s="238">
        <f t="shared" si="153"/>
        <v>160706982.5</v>
      </c>
      <c r="AI150" s="261">
        <f t="shared" si="150"/>
        <v>2014</v>
      </c>
      <c r="AJ150" s="233">
        <f t="shared" si="151"/>
        <v>160706992.5</v>
      </c>
    </row>
    <row r="151" spans="1:36" s="116" customFormat="1" ht="35.25" customHeight="1" x14ac:dyDescent="0.2">
      <c r="A151" s="116">
        <v>235</v>
      </c>
      <c r="B151" s="116" t="str">
        <f>VLOOKUP(A151,RUAS,2,FALSE)</f>
        <v>AIR MAS - SEI. KERANJI</v>
      </c>
      <c r="D151" s="116" t="s">
        <v>4100</v>
      </c>
      <c r="E151" s="218" t="s">
        <v>4247</v>
      </c>
      <c r="F151" s="53"/>
      <c r="G151" s="67" t="str">
        <f>VLOOKUP(D151,ACUAN,4,FALSE)</f>
        <v>PEMBUATAN BOX CULVERT RUAS JALAN AIR MAS-SEI. KIRANJI</v>
      </c>
      <c r="H151" s="396" t="str">
        <f>VLOOKUP(D151,ACUAN,5,FALSE)</f>
        <v>04.13.01.03.06</v>
      </c>
      <c r="I151" s="396">
        <f>VLOOKUP(D151,ACUAN,6,FALSE)</f>
        <v>0</v>
      </c>
      <c r="J151" s="396">
        <f>VLOOKUP(D151,ACUAN,7,FALSE)</f>
        <v>0</v>
      </c>
      <c r="K151" s="398">
        <f>VLOOKUP(D151,ACUAN,8,FALSE)</f>
        <v>0</v>
      </c>
      <c r="L151" s="396">
        <f>VLOOKUP(D151,ACUAN,9,FALSE)</f>
        <v>0</v>
      </c>
      <c r="M151" s="398">
        <f>VLOOKUP(D151,ACUAN,10,FALSE)</f>
        <v>0</v>
      </c>
      <c r="N151" s="396" t="str">
        <f>VLOOKUP(D151,ACUAN,11,FALSE)</f>
        <v>AIR MAS-SEI. KIRANJI</v>
      </c>
      <c r="O151" s="396">
        <f>VLOOKUP(D151,ACUAN,12,FALSE)</f>
        <v>2015</v>
      </c>
      <c r="P151" s="396">
        <f>VLOOKUP(D151,ACUAN,13,FALSE)</f>
        <v>0</v>
      </c>
      <c r="Q151" s="396">
        <f>VLOOKUP(D151,ACUAN,14,FALSE)</f>
        <v>0</v>
      </c>
      <c r="R151" s="396">
        <f>VLOOKUP(D151,ACUAN,15,FALSE)</f>
        <v>0</v>
      </c>
      <c r="S151" s="396" t="str">
        <f>VLOOKUP(D151,ACUAN,16,FALSE)</f>
        <v>APBD</v>
      </c>
      <c r="T151" s="397">
        <f>VLOOKUP(D151,ACUAN,17,FALSE)</f>
        <v>193532549</v>
      </c>
      <c r="U151" s="396">
        <f>VLOOKUP(D151,ACUAN,18,FALSE)</f>
        <v>0</v>
      </c>
      <c r="V151" s="396">
        <f>VLOOKUP(D151,ACUAN,19,FALSE)</f>
        <v>0</v>
      </c>
      <c r="W151" s="206" t="str">
        <f t="shared" si="140"/>
        <v>04.13.01</v>
      </c>
      <c r="X151" s="207" t="str">
        <f t="shared" si="141"/>
        <v>Jalan</v>
      </c>
      <c r="Y151" s="207">
        <f t="shared" si="142"/>
        <v>10</v>
      </c>
      <c r="Z151" s="233">
        <f t="shared" si="143"/>
        <v>19353253.899999999</v>
      </c>
      <c r="AA151" s="208">
        <f t="shared" si="152"/>
        <v>0</v>
      </c>
      <c r="AB151" s="233">
        <f t="shared" si="144"/>
        <v>0</v>
      </c>
      <c r="AC151" s="233"/>
      <c r="AD151" s="233">
        <f t="shared" si="146"/>
        <v>19353253.899999999</v>
      </c>
      <c r="AE151" s="233">
        <f t="shared" si="147"/>
        <v>19353253.899999999</v>
      </c>
      <c r="AF151" s="238">
        <f t="shared" si="148"/>
        <v>19353253.899999999</v>
      </c>
      <c r="AG151" s="238">
        <f t="shared" si="149"/>
        <v>19353253.899999999</v>
      </c>
      <c r="AH151" s="238">
        <f t="shared" si="153"/>
        <v>77413015.599999994</v>
      </c>
      <c r="AI151" s="261">
        <f t="shared" si="150"/>
        <v>2015</v>
      </c>
      <c r="AJ151" s="233">
        <f t="shared" si="151"/>
        <v>116119533.40000001</v>
      </c>
    </row>
    <row r="152" spans="1:36" s="116" customFormat="1" ht="35.25" customHeight="1" x14ac:dyDescent="0.2">
      <c r="A152" s="116">
        <v>235</v>
      </c>
      <c r="B152" s="116" t="str">
        <f>VLOOKUP(A152,RUAS,2,FALSE)</f>
        <v>AIR MAS - SEI. KERANJI</v>
      </c>
      <c r="D152" s="116" t="s">
        <v>4102</v>
      </c>
      <c r="E152" s="218" t="s">
        <v>4247</v>
      </c>
      <c r="F152" s="53"/>
      <c r="G152" s="67" t="str">
        <f>VLOOKUP(D152,ACUAN,4,FALSE)</f>
        <v>PEMBUATAN BOX CULVERT DESA SEI. KERANJI</v>
      </c>
      <c r="H152" s="396" t="str">
        <f>VLOOKUP(D152,ACUAN,5,FALSE)</f>
        <v>04.13.01.03.06</v>
      </c>
      <c r="I152" s="396">
        <f>VLOOKUP(D152,ACUAN,6,FALSE)</f>
        <v>0</v>
      </c>
      <c r="J152" s="396">
        <f>VLOOKUP(D152,ACUAN,7,FALSE)</f>
        <v>0</v>
      </c>
      <c r="K152" s="398">
        <f>VLOOKUP(D152,ACUAN,8,FALSE)</f>
        <v>0</v>
      </c>
      <c r="L152" s="396">
        <f>VLOOKUP(D152,ACUAN,9,FALSE)</f>
        <v>0</v>
      </c>
      <c r="M152" s="398">
        <f>VLOOKUP(D152,ACUAN,10,FALSE)</f>
        <v>0</v>
      </c>
      <c r="N152" s="396" t="str">
        <f>VLOOKUP(D152,ACUAN,11,FALSE)</f>
        <v>DESA SEI. KERANJI</v>
      </c>
      <c r="O152" s="396">
        <f>VLOOKUP(D152,ACUAN,12,FALSE)</f>
        <v>2017</v>
      </c>
      <c r="P152" s="396">
        <f>VLOOKUP(D152,ACUAN,13,FALSE)</f>
        <v>0</v>
      </c>
      <c r="Q152" s="396">
        <f>VLOOKUP(D152,ACUAN,14,FALSE)</f>
        <v>0</v>
      </c>
      <c r="R152" s="396">
        <f>VLOOKUP(D152,ACUAN,15,FALSE)</f>
        <v>0</v>
      </c>
      <c r="S152" s="396" t="str">
        <f>VLOOKUP(D152,ACUAN,16,FALSE)</f>
        <v>APBD</v>
      </c>
      <c r="T152" s="397">
        <f>VLOOKUP(D152,ACUAN,17,FALSE)</f>
        <v>188980000</v>
      </c>
      <c r="U152" s="396">
        <f>VLOOKUP(D152,ACUAN,18,FALSE)</f>
        <v>0</v>
      </c>
      <c r="V152" s="396">
        <f>VLOOKUP(D152,ACUAN,19,FALSE)</f>
        <v>0</v>
      </c>
      <c r="W152" s="206" t="str">
        <f t="shared" si="140"/>
        <v>04.13.01</v>
      </c>
      <c r="X152" s="207" t="str">
        <f t="shared" si="141"/>
        <v>Jalan</v>
      </c>
      <c r="Y152" s="207">
        <f t="shared" si="142"/>
        <v>10</v>
      </c>
      <c r="Z152" s="233">
        <f t="shared" si="143"/>
        <v>18897999</v>
      </c>
      <c r="AA152" s="208">
        <f t="shared" si="152"/>
        <v>0</v>
      </c>
      <c r="AB152" s="233">
        <f t="shared" si="144"/>
        <v>0</v>
      </c>
      <c r="AC152" s="233"/>
      <c r="AD152" s="233"/>
      <c r="AE152" s="233"/>
      <c r="AF152" s="238"/>
      <c r="AG152" s="238">
        <f t="shared" si="149"/>
        <v>18897999</v>
      </c>
      <c r="AH152" s="238">
        <f t="shared" si="153"/>
        <v>18897999</v>
      </c>
      <c r="AI152" s="261">
        <f t="shared" si="150"/>
        <v>2017</v>
      </c>
      <c r="AJ152" s="233">
        <f t="shared" si="151"/>
        <v>170082001</v>
      </c>
    </row>
    <row r="153" spans="1:36" s="116" customFormat="1" ht="35.25" customHeight="1" x14ac:dyDescent="0.2">
      <c r="A153" s="116">
        <v>235</v>
      </c>
      <c r="B153" s="116" t="str">
        <f>VLOOKUP(A153,RUAS,2,FALSE)</f>
        <v>AIR MAS - SEI. KERANJI</v>
      </c>
      <c r="D153" s="116" t="s">
        <v>4107</v>
      </c>
      <c r="E153" s="218" t="s">
        <v>4247</v>
      </c>
      <c r="F153" s="53"/>
      <c r="G153" s="67" t="str">
        <f>VLOOKUP(D153,ACUAN,4,FALSE)</f>
        <v>PENINGKATAN JALAN DESA SEI. KERANJI - AIR MAS (ASPAL)</v>
      </c>
      <c r="H153" s="396" t="str">
        <f>VLOOKUP(D153,ACUAN,5,FALSE)</f>
        <v>04.13.01.03.06</v>
      </c>
      <c r="I153" s="396">
        <f>VLOOKUP(D153,ACUAN,6,FALSE)</f>
        <v>0</v>
      </c>
      <c r="J153" s="396">
        <f>VLOOKUP(D153,ACUAN,7,FALSE)</f>
        <v>0</v>
      </c>
      <c r="K153" s="398">
        <f>VLOOKUP(D153,ACUAN,8,FALSE)</f>
        <v>0</v>
      </c>
      <c r="L153" s="396">
        <f>VLOOKUP(D153,ACUAN,9,FALSE)</f>
        <v>0</v>
      </c>
      <c r="M153" s="398">
        <f>VLOOKUP(D153,ACUAN,10,FALSE)</f>
        <v>0</v>
      </c>
      <c r="N153" s="396" t="str">
        <f>VLOOKUP(D153,ACUAN,11,FALSE)</f>
        <v>DESA SEI. KERANJI - AIR MAS</v>
      </c>
      <c r="O153" s="396">
        <f>VLOOKUP(D153,ACUAN,12,FALSE)</f>
        <v>2018</v>
      </c>
      <c r="P153" s="396">
        <f>VLOOKUP(D153,ACUAN,13,FALSE)</f>
        <v>0</v>
      </c>
      <c r="Q153" s="396">
        <f>VLOOKUP(D153,ACUAN,14,FALSE)</f>
        <v>0</v>
      </c>
      <c r="R153" s="396">
        <f>VLOOKUP(D153,ACUAN,15,FALSE)</f>
        <v>0</v>
      </c>
      <c r="S153" s="396" t="str">
        <f>VLOOKUP(D153,ACUAN,16,FALSE)</f>
        <v>APBD</v>
      </c>
      <c r="T153" s="397">
        <f>VLOOKUP(D153,ACUAN,17,FALSE)</f>
        <v>2270479483</v>
      </c>
      <c r="U153" s="396">
        <f>VLOOKUP(D153,ACUAN,18,FALSE)</f>
        <v>0</v>
      </c>
      <c r="V153" s="396">
        <f>VLOOKUP(D153,ACUAN,19,FALSE)</f>
        <v>0</v>
      </c>
      <c r="W153" s="206" t="str">
        <f t="shared" si="140"/>
        <v>04.13.01</v>
      </c>
      <c r="X153" s="207" t="str">
        <f t="shared" si="141"/>
        <v>Jalan</v>
      </c>
      <c r="Y153" s="207">
        <f t="shared" si="142"/>
        <v>10</v>
      </c>
      <c r="Z153" s="233">
        <f t="shared" si="143"/>
        <v>227047947.30000001</v>
      </c>
      <c r="AA153" s="208">
        <f t="shared" si="152"/>
        <v>0</v>
      </c>
      <c r="AB153" s="233">
        <f t="shared" si="144"/>
        <v>0</v>
      </c>
      <c r="AC153" s="233"/>
      <c r="AD153" s="233"/>
      <c r="AE153" s="233"/>
      <c r="AF153" s="238"/>
      <c r="AG153" s="238"/>
      <c r="AH153" s="238">
        <f t="shared" si="153"/>
        <v>0</v>
      </c>
      <c r="AI153" s="261">
        <f t="shared" si="150"/>
        <v>2018</v>
      </c>
      <c r="AJ153" s="233">
        <f t="shared" si="151"/>
        <v>2270479483</v>
      </c>
    </row>
    <row r="154" spans="1:36" s="116" customFormat="1" ht="35.25" customHeight="1" x14ac:dyDescent="0.2">
      <c r="A154" s="116">
        <v>236</v>
      </c>
      <c r="B154" s="116" t="str">
        <f t="shared" si="154"/>
        <v>SIMP. PETAI - PABRIK PT. WANASARI</v>
      </c>
      <c r="D154" s="116" t="s">
        <v>4019</v>
      </c>
      <c r="E154" s="218" t="s">
        <v>4247</v>
      </c>
      <c r="F154" s="53"/>
      <c r="G154" s="67" t="str">
        <f t="shared" si="108"/>
        <v>JALAN KABUPATEN LOKAL</v>
      </c>
      <c r="H154" s="396" t="str">
        <f t="shared" si="109"/>
        <v>04.13.01.03.06</v>
      </c>
      <c r="I154" s="396">
        <f t="shared" si="110"/>
        <v>0</v>
      </c>
      <c r="J154" s="396" t="str">
        <f t="shared" si="111"/>
        <v>ASPAL HOTMIX</v>
      </c>
      <c r="K154" s="398">
        <f t="shared" si="112"/>
        <v>16000</v>
      </c>
      <c r="L154" s="396">
        <f t="shared" si="113"/>
        <v>8</v>
      </c>
      <c r="M154" s="398">
        <f t="shared" si="114"/>
        <v>128000</v>
      </c>
      <c r="N154" s="396" t="str">
        <f t="shared" si="115"/>
        <v>SIMPANG PETAI - SIMPANG 4 PT WANASARI</v>
      </c>
      <c r="O154" s="396">
        <f t="shared" si="116"/>
        <v>2001</v>
      </c>
      <c r="P154" s="396">
        <f t="shared" si="117"/>
        <v>0</v>
      </c>
      <c r="Q154" s="396">
        <f t="shared" si="118"/>
        <v>0</v>
      </c>
      <c r="R154" s="396" t="str">
        <f t="shared" si="119"/>
        <v>12.04.06.05.01.00</v>
      </c>
      <c r="S154" s="396" t="str">
        <f t="shared" si="120"/>
        <v>APBD</v>
      </c>
      <c r="T154" s="397">
        <f t="shared" si="121"/>
        <v>15680000000</v>
      </c>
      <c r="U154" s="396" t="str">
        <f t="shared" si="122"/>
        <v>B</v>
      </c>
      <c r="V154" s="396">
        <f t="shared" si="123"/>
        <v>0</v>
      </c>
      <c r="W154" s="206" t="str">
        <f t="shared" si="140"/>
        <v>04.13.01</v>
      </c>
      <c r="X154" s="207" t="str">
        <f t="shared" si="141"/>
        <v>Jalan</v>
      </c>
      <c r="Y154" s="207">
        <f t="shared" si="142"/>
        <v>10</v>
      </c>
      <c r="Z154" s="233">
        <f t="shared" si="143"/>
        <v>1567999999</v>
      </c>
      <c r="AA154" s="208">
        <f t="shared" si="152"/>
        <v>10</v>
      </c>
      <c r="AB154" s="233">
        <f t="shared" si="144"/>
        <v>15679999990</v>
      </c>
      <c r="AC154" s="233">
        <f t="shared" si="145"/>
        <v>0</v>
      </c>
      <c r="AD154" s="233">
        <f t="shared" si="146"/>
        <v>0</v>
      </c>
      <c r="AE154" s="233">
        <f t="shared" si="147"/>
        <v>0</v>
      </c>
      <c r="AF154" s="238">
        <f t="shared" si="148"/>
        <v>0</v>
      </c>
      <c r="AG154" s="238">
        <f t="shared" si="149"/>
        <v>0</v>
      </c>
      <c r="AH154" s="238">
        <f t="shared" si="153"/>
        <v>15679999990</v>
      </c>
      <c r="AI154" s="261">
        <f t="shared" si="150"/>
        <v>2001</v>
      </c>
      <c r="AJ154" s="233">
        <f t="shared" si="151"/>
        <v>10</v>
      </c>
    </row>
    <row r="155" spans="1:36" s="116" customFormat="1" ht="35.25" customHeight="1" x14ac:dyDescent="0.2">
      <c r="A155" s="116">
        <v>236</v>
      </c>
      <c r="B155" s="116" t="str">
        <f t="shared" si="154"/>
        <v>SIMP. PETAI - PABRIK PT. WANASARI</v>
      </c>
      <c r="D155" s="116" t="s">
        <v>4020</v>
      </c>
      <c r="E155" s="218" t="s">
        <v>4247</v>
      </c>
      <c r="F155" s="53"/>
      <c r="G155" s="67" t="str">
        <f t="shared" si="108"/>
        <v>PEMELIHARAAN JALAN PETAI-SP.4 PT. WANA SARI (NO RUAS 238) ASPAL /AWCAS ; RUTIN 11,325 KM (ASPAL 1,00 OVERLAY; UR. PIL 1,00 KM)</v>
      </c>
      <c r="H155" s="396" t="str">
        <f t="shared" si="109"/>
        <v>04.13.01.03.06</v>
      </c>
      <c r="I155" s="396">
        <f t="shared" si="110"/>
        <v>0</v>
      </c>
      <c r="J155" s="396">
        <f t="shared" si="111"/>
        <v>0</v>
      </c>
      <c r="K155" s="398">
        <f t="shared" si="112"/>
        <v>0</v>
      </c>
      <c r="L155" s="396">
        <f t="shared" si="113"/>
        <v>0</v>
      </c>
      <c r="M155" s="398">
        <f t="shared" si="114"/>
        <v>0</v>
      </c>
      <c r="N155" s="396" t="str">
        <f t="shared" si="115"/>
        <v>SIMPANG PETAI - SIMPANG 4 PT WANASARI</v>
      </c>
      <c r="O155" s="396">
        <f t="shared" si="116"/>
        <v>2007</v>
      </c>
      <c r="P155" s="396">
        <f t="shared" si="117"/>
        <v>0</v>
      </c>
      <c r="Q155" s="396">
        <f t="shared" si="118"/>
        <v>0</v>
      </c>
      <c r="R155" s="396">
        <f t="shared" si="119"/>
        <v>0</v>
      </c>
      <c r="S155" s="396" t="str">
        <f t="shared" si="120"/>
        <v>APBD</v>
      </c>
      <c r="T155" s="397">
        <f t="shared" si="121"/>
        <v>2864585047.9665399</v>
      </c>
      <c r="U155" s="396" t="str">
        <f t="shared" si="122"/>
        <v>B</v>
      </c>
      <c r="V155" s="396">
        <f t="shared" si="123"/>
        <v>0</v>
      </c>
      <c r="W155" s="206" t="str">
        <f t="shared" si="140"/>
        <v>04.13.01</v>
      </c>
      <c r="X155" s="207" t="str">
        <f t="shared" si="141"/>
        <v>Jalan</v>
      </c>
      <c r="Y155" s="207">
        <f t="shared" si="142"/>
        <v>10</v>
      </c>
      <c r="Z155" s="233">
        <f t="shared" si="143"/>
        <v>286458503.79665399</v>
      </c>
      <c r="AA155" s="208">
        <f t="shared" si="152"/>
        <v>6</v>
      </c>
      <c r="AB155" s="233">
        <f t="shared" si="144"/>
        <v>1718751022.7799239</v>
      </c>
      <c r="AC155" s="233">
        <f t="shared" si="145"/>
        <v>286458503.79665399</v>
      </c>
      <c r="AD155" s="233">
        <f t="shared" si="146"/>
        <v>286458503.79665399</v>
      </c>
      <c r="AE155" s="233">
        <f t="shared" si="147"/>
        <v>286458503.79665399</v>
      </c>
      <c r="AF155" s="238">
        <f t="shared" si="148"/>
        <v>286458503.79665399</v>
      </c>
      <c r="AG155" s="238">
        <f t="shared" si="149"/>
        <v>0</v>
      </c>
      <c r="AH155" s="238">
        <f t="shared" si="153"/>
        <v>2864585037.9665394</v>
      </c>
      <c r="AI155" s="261">
        <f t="shared" si="150"/>
        <v>2007</v>
      </c>
      <c r="AJ155" s="233">
        <f t="shared" si="151"/>
        <v>10.000000476837158</v>
      </c>
    </row>
    <row r="156" spans="1:36" s="116" customFormat="1" ht="35.25" customHeight="1" x14ac:dyDescent="0.2">
      <c r="A156" s="116">
        <v>238</v>
      </c>
      <c r="B156" s="116" t="str">
        <f t="shared" si="154"/>
        <v>SIMP. RAYA - SEI. BULUH</v>
      </c>
      <c r="D156" s="116" t="s">
        <v>4022</v>
      </c>
      <c r="E156" s="218" t="s">
        <v>4247</v>
      </c>
      <c r="F156" s="53"/>
      <c r="G156" s="67" t="str">
        <f t="shared" si="108"/>
        <v>JALAN SIMPANG RAYA-SEI. BULUH (ASPAL)</v>
      </c>
      <c r="H156" s="396" t="str">
        <f t="shared" si="109"/>
        <v>04.13.01.03.06</v>
      </c>
      <c r="I156" s="396">
        <f t="shared" si="110"/>
        <v>0</v>
      </c>
      <c r="J156" s="396" t="str">
        <f t="shared" si="111"/>
        <v>Aspal</v>
      </c>
      <c r="K156" s="398">
        <f t="shared" si="112"/>
        <v>2000</v>
      </c>
      <c r="L156" s="396">
        <f t="shared" si="113"/>
        <v>8</v>
      </c>
      <c r="M156" s="398">
        <f t="shared" si="114"/>
        <v>16000</v>
      </c>
      <c r="N156" s="396" t="str">
        <f t="shared" si="115"/>
        <v>SIMPANG RAYA - SEI. BULUH</v>
      </c>
      <c r="O156" s="396">
        <f t="shared" si="116"/>
        <v>2001</v>
      </c>
      <c r="P156" s="396">
        <f t="shared" si="117"/>
        <v>0</v>
      </c>
      <c r="Q156" s="396">
        <f t="shared" si="118"/>
        <v>0</v>
      </c>
      <c r="R156" s="396" t="str">
        <f t="shared" si="119"/>
        <v>12.04.06.05.01.00</v>
      </c>
      <c r="S156" s="396" t="str">
        <f t="shared" si="120"/>
        <v>APBD</v>
      </c>
      <c r="T156" s="397">
        <f t="shared" si="121"/>
        <v>3060956544</v>
      </c>
      <c r="U156" s="396" t="str">
        <f t="shared" si="122"/>
        <v>B</v>
      </c>
      <c r="V156" s="396">
        <f t="shared" si="123"/>
        <v>0</v>
      </c>
      <c r="W156" s="206" t="str">
        <f t="shared" si="140"/>
        <v>04.13.01</v>
      </c>
      <c r="X156" s="207" t="str">
        <f t="shared" si="141"/>
        <v>Jalan</v>
      </c>
      <c r="Y156" s="207">
        <f t="shared" si="142"/>
        <v>10</v>
      </c>
      <c r="Z156" s="233">
        <f t="shared" si="143"/>
        <v>306095653.39999998</v>
      </c>
      <c r="AA156" s="208">
        <f t="shared" si="152"/>
        <v>10</v>
      </c>
      <c r="AB156" s="233">
        <f t="shared" si="144"/>
        <v>3060956534</v>
      </c>
      <c r="AC156" s="233">
        <f t="shared" si="145"/>
        <v>0</v>
      </c>
      <c r="AD156" s="233">
        <f t="shared" si="146"/>
        <v>0</v>
      </c>
      <c r="AE156" s="233">
        <f t="shared" si="147"/>
        <v>0</v>
      </c>
      <c r="AF156" s="238">
        <f t="shared" si="148"/>
        <v>0</v>
      </c>
      <c r="AG156" s="238">
        <f t="shared" si="149"/>
        <v>0</v>
      </c>
      <c r="AH156" s="238">
        <f t="shared" si="153"/>
        <v>3060956534</v>
      </c>
      <c r="AI156" s="261">
        <f t="shared" si="150"/>
        <v>2001</v>
      </c>
      <c r="AJ156" s="233">
        <f t="shared" si="151"/>
        <v>10</v>
      </c>
    </row>
    <row r="157" spans="1:36" s="116" customFormat="1" ht="35.25" customHeight="1" x14ac:dyDescent="0.2">
      <c r="A157" s="116">
        <v>238</v>
      </c>
      <c r="B157" s="116" t="str">
        <f>VLOOKUP(A157,RUAS,2,FALSE)</f>
        <v>SIMP. RAYA - SEI. BULUH</v>
      </c>
      <c r="D157" s="116" t="s">
        <v>4131</v>
      </c>
      <c r="E157" s="218" t="s">
        <v>4247</v>
      </c>
      <c r="F157" s="53"/>
      <c r="G157" s="67" t="str">
        <f>VLOOKUP(D157,ACUAN,4,FALSE)</f>
        <v>PEMBUATAN 1 UNIT BOX CULVERT 3 X 3 (TUNGGAL) RUAS JALAN SIMPANG RAYA - SEI. BULUH</v>
      </c>
      <c r="H157" s="396" t="s">
        <v>2494</v>
      </c>
      <c r="I157" s="396">
        <f>VLOOKUP(D157,ACUAN,6,FALSE)</f>
        <v>0</v>
      </c>
      <c r="J157" s="396" t="str">
        <f>VLOOKUP(D157,ACUAN,7,FALSE)</f>
        <v>Beton</v>
      </c>
      <c r="K157" s="398">
        <f>VLOOKUP(D157,ACUAN,8,FALSE)</f>
        <v>3</v>
      </c>
      <c r="L157" s="396">
        <f>VLOOKUP(D157,ACUAN,9,FALSE)</f>
        <v>3</v>
      </c>
      <c r="M157" s="398">
        <f>VLOOKUP(D157,ACUAN,10,FALSE)</f>
        <v>9</v>
      </c>
      <c r="N157" s="396" t="str">
        <f>VLOOKUP(D157,ACUAN,11,FALSE)</f>
        <v>SIMPANG RAYA - SEI. BULUH</v>
      </c>
      <c r="O157" s="396">
        <f>VLOOKUP(D157,ACUAN,12,FALSE)</f>
        <v>2007</v>
      </c>
      <c r="P157" s="396">
        <f>VLOOKUP(D157,ACUAN,13,FALSE)</f>
        <v>0</v>
      </c>
      <c r="Q157" s="396">
        <f>VLOOKUP(D157,ACUAN,14,FALSE)</f>
        <v>0</v>
      </c>
      <c r="R157" s="396">
        <f>VLOOKUP(D157,ACUAN,15,FALSE)</f>
        <v>0</v>
      </c>
      <c r="S157" s="396" t="str">
        <f>VLOOKUP(D157,ACUAN,16,FALSE)</f>
        <v>APBD</v>
      </c>
      <c r="T157" s="397">
        <f>VLOOKUP(D157,ACUAN,17,FALSE)</f>
        <v>677119699.41373801</v>
      </c>
      <c r="U157" s="396" t="str">
        <f>VLOOKUP(D157,ACUAN,18,FALSE)</f>
        <v>B</v>
      </c>
      <c r="V157" s="396">
        <f>VLOOKUP(D157,ACUAN,19,FALSE)</f>
        <v>0</v>
      </c>
      <c r="W157" s="206" t="str">
        <f t="shared" si="140"/>
        <v>04.13.01</v>
      </c>
      <c r="X157" s="661" t="str">
        <f t="shared" si="141"/>
        <v>Jalan</v>
      </c>
      <c r="Y157" s="207">
        <f t="shared" si="142"/>
        <v>10</v>
      </c>
      <c r="Z157" s="233">
        <f t="shared" si="143"/>
        <v>67711968.941373795</v>
      </c>
      <c r="AA157" s="208">
        <f t="shared" si="152"/>
        <v>6</v>
      </c>
      <c r="AB157" s="233">
        <f t="shared" si="144"/>
        <v>406271813.64824277</v>
      </c>
      <c r="AC157" s="233">
        <f t="shared" si="145"/>
        <v>67711968.941373795</v>
      </c>
      <c r="AD157" s="233">
        <f t="shared" si="146"/>
        <v>67711968.941373795</v>
      </c>
      <c r="AE157" s="233">
        <f t="shared" si="147"/>
        <v>67711968.941373795</v>
      </c>
      <c r="AF157" s="238">
        <f t="shared" si="148"/>
        <v>67711968.941373795</v>
      </c>
      <c r="AG157" s="238">
        <f t="shared" si="149"/>
        <v>0</v>
      </c>
      <c r="AH157" s="238">
        <f t="shared" si="153"/>
        <v>677119689.41373801</v>
      </c>
      <c r="AI157" s="261">
        <f t="shared" si="150"/>
        <v>2007</v>
      </c>
      <c r="AJ157" s="233">
        <f t="shared" si="151"/>
        <v>10</v>
      </c>
    </row>
    <row r="158" spans="1:36" s="116" customFormat="1" ht="35.25" customHeight="1" x14ac:dyDescent="0.2">
      <c r="A158" s="116">
        <v>244</v>
      </c>
      <c r="B158" s="116" t="str">
        <f t="shared" si="154"/>
        <v>KOTO BARU - SUKA MAJU</v>
      </c>
      <c r="D158" s="116" t="s">
        <v>4023</v>
      </c>
      <c r="E158" s="218" t="s">
        <v>4247</v>
      </c>
      <c r="F158" s="53"/>
      <c r="G158" s="67" t="str">
        <f t="shared" si="108"/>
        <v>JALAN KABUPATEN LOKAL</v>
      </c>
      <c r="H158" s="396" t="str">
        <f t="shared" si="109"/>
        <v>04.13.01.03.06</v>
      </c>
      <c r="I158" s="396">
        <f t="shared" si="110"/>
        <v>0</v>
      </c>
      <c r="J158" s="396" t="str">
        <f t="shared" si="111"/>
        <v>ASPAL HOTMIX</v>
      </c>
      <c r="K158" s="398">
        <f t="shared" si="112"/>
        <v>25000</v>
      </c>
      <c r="L158" s="396">
        <f t="shared" si="113"/>
        <v>0</v>
      </c>
      <c r="M158" s="398">
        <f t="shared" si="114"/>
        <v>178300</v>
      </c>
      <c r="N158" s="396" t="str">
        <f t="shared" si="115"/>
        <v>KOTO BARU - SUKA MAJU</v>
      </c>
      <c r="O158" s="396">
        <f t="shared" si="116"/>
        <v>2001</v>
      </c>
      <c r="P158" s="396">
        <f t="shared" si="117"/>
        <v>0</v>
      </c>
      <c r="Q158" s="396">
        <f t="shared" si="118"/>
        <v>0</v>
      </c>
      <c r="R158" s="396" t="str">
        <f t="shared" si="119"/>
        <v>12.04.06.05.01.00</v>
      </c>
      <c r="S158" s="396" t="str">
        <f t="shared" si="120"/>
        <v>APBD</v>
      </c>
      <c r="T158" s="397">
        <f t="shared" si="121"/>
        <v>15288000000</v>
      </c>
      <c r="U158" s="396" t="str">
        <f t="shared" si="122"/>
        <v>B</v>
      </c>
      <c r="V158" s="396">
        <f t="shared" si="123"/>
        <v>0</v>
      </c>
      <c r="W158" s="206" t="str">
        <f t="shared" si="140"/>
        <v>04.13.01</v>
      </c>
      <c r="X158" s="207" t="str">
        <f t="shared" si="141"/>
        <v>Jalan</v>
      </c>
      <c r="Y158" s="207">
        <f t="shared" si="142"/>
        <v>10</v>
      </c>
      <c r="Z158" s="233">
        <f t="shared" si="143"/>
        <v>1528799999</v>
      </c>
      <c r="AA158" s="208">
        <f t="shared" si="152"/>
        <v>10</v>
      </c>
      <c r="AB158" s="233">
        <f t="shared" si="144"/>
        <v>15287999990</v>
      </c>
      <c r="AC158" s="233">
        <f t="shared" si="145"/>
        <v>0</v>
      </c>
      <c r="AD158" s="233">
        <f t="shared" si="146"/>
        <v>0</v>
      </c>
      <c r="AE158" s="233">
        <f t="shared" si="147"/>
        <v>0</v>
      </c>
      <c r="AF158" s="238">
        <f t="shared" si="148"/>
        <v>0</v>
      </c>
      <c r="AG158" s="238">
        <f t="shared" si="149"/>
        <v>0</v>
      </c>
      <c r="AH158" s="238">
        <f t="shared" si="153"/>
        <v>15287999990</v>
      </c>
      <c r="AI158" s="261">
        <f t="shared" si="150"/>
        <v>2001</v>
      </c>
      <c r="AJ158" s="233">
        <f t="shared" si="151"/>
        <v>10</v>
      </c>
    </row>
    <row r="159" spans="1:36" s="116" customFormat="1" ht="35.25" customHeight="1" x14ac:dyDescent="0.2">
      <c r="A159" s="116">
        <v>244</v>
      </c>
      <c r="B159" s="116" t="str">
        <f t="shared" si="154"/>
        <v>KOTO BARU - SUKA MAJU</v>
      </c>
      <c r="D159" s="116" t="s">
        <v>4024</v>
      </c>
      <c r="E159" s="218" t="s">
        <v>4247</v>
      </c>
      <c r="F159" s="53"/>
      <c r="G159" s="67" t="str">
        <f t="shared" si="108"/>
        <v>PENINGKATAN JALA KOTO BARU - SUKAMAJU (DESA BUKIT RAYA) (ASPAL)</v>
      </c>
      <c r="H159" s="396" t="str">
        <f t="shared" si="109"/>
        <v>04.13.01.03.06</v>
      </c>
      <c r="I159" s="396">
        <f t="shared" si="110"/>
        <v>0</v>
      </c>
      <c r="J159" s="396">
        <f t="shared" si="111"/>
        <v>0</v>
      </c>
      <c r="K159" s="398">
        <f t="shared" si="112"/>
        <v>0</v>
      </c>
      <c r="L159" s="396">
        <f t="shared" si="113"/>
        <v>0</v>
      </c>
      <c r="M159" s="398">
        <f t="shared" si="114"/>
        <v>0</v>
      </c>
      <c r="N159" s="396" t="str">
        <f t="shared" si="115"/>
        <v>KOTO BARU - SUKA MAJU</v>
      </c>
      <c r="O159" s="396">
        <f t="shared" si="116"/>
        <v>2014</v>
      </c>
      <c r="P159" s="396">
        <f t="shared" si="117"/>
        <v>0</v>
      </c>
      <c r="Q159" s="396">
        <f t="shared" si="118"/>
        <v>0</v>
      </c>
      <c r="R159" s="396">
        <f t="shared" si="119"/>
        <v>0</v>
      </c>
      <c r="S159" s="396">
        <f t="shared" si="120"/>
        <v>0</v>
      </c>
      <c r="T159" s="397">
        <f t="shared" si="121"/>
        <v>1872278823</v>
      </c>
      <c r="U159" s="396">
        <f t="shared" si="122"/>
        <v>0</v>
      </c>
      <c r="V159" s="396">
        <f t="shared" si="123"/>
        <v>0</v>
      </c>
      <c r="W159" s="206" t="str">
        <f t="shared" si="140"/>
        <v>04.13.01</v>
      </c>
      <c r="X159" s="207" t="str">
        <f t="shared" si="141"/>
        <v>Jalan</v>
      </c>
      <c r="Y159" s="207">
        <f t="shared" si="142"/>
        <v>10</v>
      </c>
      <c r="Z159" s="233">
        <f t="shared" si="143"/>
        <v>187227881.30000001</v>
      </c>
      <c r="AA159" s="208">
        <f t="shared" si="152"/>
        <v>0</v>
      </c>
      <c r="AB159" s="233">
        <f t="shared" si="144"/>
        <v>0</v>
      </c>
      <c r="AC159" s="233">
        <f t="shared" si="145"/>
        <v>187227881.30000001</v>
      </c>
      <c r="AD159" s="233">
        <f t="shared" si="146"/>
        <v>187227881.30000001</v>
      </c>
      <c r="AE159" s="233">
        <f t="shared" si="147"/>
        <v>187227881.30000001</v>
      </c>
      <c r="AF159" s="238">
        <f t="shared" si="148"/>
        <v>187227881.30000001</v>
      </c>
      <c r="AG159" s="238">
        <f t="shared" si="149"/>
        <v>187227881.30000001</v>
      </c>
      <c r="AH159" s="238">
        <f t="shared" si="153"/>
        <v>936139406.5</v>
      </c>
      <c r="AI159" s="261">
        <f t="shared" si="150"/>
        <v>2014</v>
      </c>
      <c r="AJ159" s="233">
        <f t="shared" si="151"/>
        <v>936139416.5</v>
      </c>
    </row>
    <row r="160" spans="1:36" s="116" customFormat="1" ht="35.25" customHeight="1" x14ac:dyDescent="0.2">
      <c r="A160" s="116">
        <v>244</v>
      </c>
      <c r="B160" s="116" t="str">
        <f t="shared" si="154"/>
        <v>KOTO BARU - SUKA MAJU</v>
      </c>
      <c r="D160" s="116" t="s">
        <v>4025</v>
      </c>
      <c r="E160" s="218" t="s">
        <v>4247</v>
      </c>
      <c r="F160" s="53"/>
      <c r="G160" s="67" t="str">
        <f t="shared" si="108"/>
        <v>PEMELIHARAAN JALAN KOTO BARU - SUKA MAJU</v>
      </c>
      <c r="H160" s="396" t="str">
        <f t="shared" si="109"/>
        <v>04.13.01.03.06</v>
      </c>
      <c r="I160" s="396">
        <f t="shared" si="110"/>
        <v>0</v>
      </c>
      <c r="J160" s="396">
        <f t="shared" si="111"/>
        <v>0</v>
      </c>
      <c r="K160" s="398">
        <f t="shared" si="112"/>
        <v>0</v>
      </c>
      <c r="L160" s="396">
        <f t="shared" si="113"/>
        <v>0</v>
      </c>
      <c r="M160" s="398">
        <f t="shared" si="114"/>
        <v>0</v>
      </c>
      <c r="N160" s="396" t="str">
        <f t="shared" si="115"/>
        <v>KOTO BARU - SUKA MAJU</v>
      </c>
      <c r="O160" s="396">
        <f t="shared" si="116"/>
        <v>2018</v>
      </c>
      <c r="P160" s="396">
        <f t="shared" si="117"/>
        <v>0</v>
      </c>
      <c r="Q160" s="396">
        <f t="shared" si="118"/>
        <v>0</v>
      </c>
      <c r="R160" s="396">
        <f t="shared" si="119"/>
        <v>0</v>
      </c>
      <c r="S160" s="396" t="str">
        <f t="shared" si="120"/>
        <v>APBD</v>
      </c>
      <c r="T160" s="397">
        <f t="shared" si="121"/>
        <v>453937660</v>
      </c>
      <c r="U160" s="396">
        <f t="shared" si="122"/>
        <v>0</v>
      </c>
      <c r="V160" s="396">
        <f t="shared" si="123"/>
        <v>0</v>
      </c>
      <c r="W160" s="206" t="str">
        <f t="shared" si="140"/>
        <v>04.13.01</v>
      </c>
      <c r="X160" s="207" t="str">
        <f t="shared" si="141"/>
        <v>Jalan</v>
      </c>
      <c r="Y160" s="207">
        <f t="shared" si="142"/>
        <v>10</v>
      </c>
      <c r="Z160" s="233">
        <f t="shared" si="143"/>
        <v>45393765</v>
      </c>
      <c r="AA160" s="208">
        <f t="shared" si="152"/>
        <v>0</v>
      </c>
      <c r="AB160" s="233">
        <f t="shared" si="144"/>
        <v>0</v>
      </c>
      <c r="AC160" s="233"/>
      <c r="AD160" s="233"/>
      <c r="AE160" s="233"/>
      <c r="AF160" s="238"/>
      <c r="AG160" s="238"/>
      <c r="AH160" s="238">
        <f t="shared" si="153"/>
        <v>0</v>
      </c>
      <c r="AI160" s="261">
        <f t="shared" si="150"/>
        <v>2018</v>
      </c>
      <c r="AJ160" s="233">
        <f t="shared" si="151"/>
        <v>453937660</v>
      </c>
    </row>
    <row r="161" spans="1:36" s="116" customFormat="1" ht="35.25" customHeight="1" x14ac:dyDescent="0.2">
      <c r="A161" s="116">
        <v>245</v>
      </c>
      <c r="B161" s="116" t="str">
        <f t="shared" si="154"/>
        <v>SIMP. 4 PT. WANASARI - SUKAMAJU</v>
      </c>
      <c r="D161" s="116" t="s">
        <v>4026</v>
      </c>
      <c r="E161" s="218" t="s">
        <v>4247</v>
      </c>
      <c r="F161" s="53"/>
      <c r="G161" s="67" t="str">
        <f t="shared" si="108"/>
        <v>PENINGKATAN JALAN SIM. 4 PT. WANASARI - DESA SUKA MAJU (ASPAL)</v>
      </c>
      <c r="H161" s="396" t="str">
        <f t="shared" si="109"/>
        <v>04.13.01.03.06</v>
      </c>
      <c r="I161" s="396">
        <f t="shared" si="110"/>
        <v>0</v>
      </c>
      <c r="J161" s="396" t="str">
        <f t="shared" si="111"/>
        <v>Aspal</v>
      </c>
      <c r="K161" s="398">
        <f t="shared" si="112"/>
        <v>0</v>
      </c>
      <c r="L161" s="396">
        <f t="shared" si="113"/>
        <v>0</v>
      </c>
      <c r="M161" s="398">
        <f t="shared" si="114"/>
        <v>0</v>
      </c>
      <c r="N161" s="396" t="str">
        <f t="shared" si="115"/>
        <v>SP. 4 PT. WANASARI - SUKAMAJU</v>
      </c>
      <c r="O161" s="396">
        <f t="shared" si="116"/>
        <v>2007</v>
      </c>
      <c r="P161" s="396">
        <f t="shared" si="117"/>
        <v>0</v>
      </c>
      <c r="Q161" s="396">
        <f t="shared" si="118"/>
        <v>0</v>
      </c>
      <c r="R161" s="396">
        <f t="shared" si="119"/>
        <v>0</v>
      </c>
      <c r="S161" s="396" t="str">
        <f t="shared" si="120"/>
        <v>APBD</v>
      </c>
      <c r="T161" s="397">
        <f t="shared" si="121"/>
        <v>9470100204.3266697</v>
      </c>
      <c r="U161" s="396" t="str">
        <f t="shared" si="122"/>
        <v>B</v>
      </c>
      <c r="V161" s="396">
        <f t="shared" si="123"/>
        <v>1858553044</v>
      </c>
      <c r="W161" s="206" t="str">
        <f t="shared" si="140"/>
        <v>04.13.01</v>
      </c>
      <c r="X161" s="207" t="str">
        <f t="shared" si="141"/>
        <v>Jalan</v>
      </c>
      <c r="Y161" s="207">
        <f t="shared" si="142"/>
        <v>10</v>
      </c>
      <c r="Z161" s="233">
        <f t="shared" si="143"/>
        <v>947010019.43266702</v>
      </c>
      <c r="AA161" s="208">
        <f t="shared" si="152"/>
        <v>6</v>
      </c>
      <c r="AB161" s="233">
        <f t="shared" si="144"/>
        <v>5682060116.5960026</v>
      </c>
      <c r="AC161" s="233">
        <f t="shared" si="145"/>
        <v>947010019.43266702</v>
      </c>
      <c r="AD161" s="233">
        <f t="shared" si="146"/>
        <v>947010019.43266702</v>
      </c>
      <c r="AE161" s="233">
        <f t="shared" si="147"/>
        <v>947010019.43266702</v>
      </c>
      <c r="AF161" s="238">
        <f t="shared" si="148"/>
        <v>947010019.43266702</v>
      </c>
      <c r="AG161" s="238">
        <f t="shared" si="149"/>
        <v>0</v>
      </c>
      <c r="AH161" s="238">
        <f t="shared" si="153"/>
        <v>9470100194.3266697</v>
      </c>
      <c r="AI161" s="261">
        <f t="shared" si="150"/>
        <v>2007</v>
      </c>
      <c r="AJ161" s="233">
        <f t="shared" si="151"/>
        <v>10</v>
      </c>
    </row>
    <row r="162" spans="1:36" s="116" customFormat="1" ht="35.25" customHeight="1" x14ac:dyDescent="0.2">
      <c r="A162" s="116">
        <v>245</v>
      </c>
      <c r="B162" s="116" t="str">
        <f t="shared" si="154"/>
        <v>SIMP. 4 PT. WANASARI - SUKAMAJU</v>
      </c>
      <c r="D162" s="116" t="s">
        <v>4027</v>
      </c>
      <c r="E162" s="218" t="s">
        <v>4247</v>
      </c>
      <c r="F162" s="53"/>
      <c r="G162" s="67" t="str">
        <f t="shared" si="108"/>
        <v>PENINGKATAN JALAN SP. 4 PT. WANASARI - SUKAMAJU (DESA SUKA DAMAI)</v>
      </c>
      <c r="H162" s="396" t="str">
        <f t="shared" si="109"/>
        <v>04.13.01.03.06</v>
      </c>
      <c r="I162" s="396">
        <f t="shared" si="110"/>
        <v>0</v>
      </c>
      <c r="J162" s="396">
        <f t="shared" si="111"/>
        <v>0</v>
      </c>
      <c r="K162" s="398">
        <f t="shared" si="112"/>
        <v>0</v>
      </c>
      <c r="L162" s="396">
        <f t="shared" si="113"/>
        <v>0</v>
      </c>
      <c r="M162" s="398">
        <f t="shared" si="114"/>
        <v>0</v>
      </c>
      <c r="N162" s="396" t="str">
        <f t="shared" si="115"/>
        <v>SP. 4 PT. WANASARI - SUKAMAJU</v>
      </c>
      <c r="O162" s="396">
        <f t="shared" si="116"/>
        <v>2014</v>
      </c>
      <c r="P162" s="396">
        <f t="shared" si="117"/>
        <v>0</v>
      </c>
      <c r="Q162" s="396">
        <f t="shared" si="118"/>
        <v>0</v>
      </c>
      <c r="R162" s="396">
        <f t="shared" si="119"/>
        <v>0</v>
      </c>
      <c r="S162" s="396">
        <f t="shared" si="120"/>
        <v>0</v>
      </c>
      <c r="T162" s="397">
        <f t="shared" si="121"/>
        <v>1858553044</v>
      </c>
      <c r="U162" s="396">
        <f t="shared" si="122"/>
        <v>0</v>
      </c>
      <c r="V162" s="396">
        <f t="shared" si="123"/>
        <v>0</v>
      </c>
      <c r="W162" s="206" t="str">
        <f t="shared" si="140"/>
        <v>04.13.01</v>
      </c>
      <c r="X162" s="207" t="str">
        <f t="shared" si="141"/>
        <v>Jalan</v>
      </c>
      <c r="Y162" s="207">
        <f t="shared" si="142"/>
        <v>10</v>
      </c>
      <c r="Z162" s="233">
        <f t="shared" si="143"/>
        <v>185855303.40000001</v>
      </c>
      <c r="AA162" s="208">
        <f t="shared" si="152"/>
        <v>0</v>
      </c>
      <c r="AB162" s="233">
        <f t="shared" si="144"/>
        <v>0</v>
      </c>
      <c r="AC162" s="233">
        <f t="shared" si="145"/>
        <v>185855303.40000001</v>
      </c>
      <c r="AD162" s="233">
        <f t="shared" si="146"/>
        <v>185855303.40000001</v>
      </c>
      <c r="AE162" s="233">
        <f t="shared" si="147"/>
        <v>185855303.40000001</v>
      </c>
      <c r="AF162" s="238">
        <f t="shared" si="148"/>
        <v>185855303.40000001</v>
      </c>
      <c r="AG162" s="238">
        <f t="shared" si="149"/>
        <v>185855303.40000001</v>
      </c>
      <c r="AH162" s="238">
        <f t="shared" si="153"/>
        <v>929276517</v>
      </c>
      <c r="AI162" s="261">
        <f t="shared" si="150"/>
        <v>2014</v>
      </c>
      <c r="AJ162" s="233">
        <f t="shared" si="151"/>
        <v>929276527</v>
      </c>
    </row>
    <row r="163" spans="1:36" s="116" customFormat="1" ht="35.25" customHeight="1" x14ac:dyDescent="0.2">
      <c r="A163" s="116">
        <v>245</v>
      </c>
      <c r="B163" s="116" t="str">
        <f t="shared" si="154"/>
        <v>SIMP. 4 PT. WANASARI - SUKAMAJU</v>
      </c>
      <c r="D163" s="116" t="s">
        <v>4028</v>
      </c>
      <c r="E163" s="218" t="s">
        <v>4247</v>
      </c>
      <c r="F163" s="53"/>
      <c r="G163" s="67" t="str">
        <f t="shared" si="108"/>
        <v>PENINGKATAN JALAN SP. 4 PT. WANASARI - SUKA MAJU</v>
      </c>
      <c r="H163" s="396" t="str">
        <f t="shared" si="109"/>
        <v>04.13.01.03.06</v>
      </c>
      <c r="I163" s="396">
        <f t="shared" si="110"/>
        <v>0</v>
      </c>
      <c r="J163" s="396">
        <f t="shared" si="111"/>
        <v>0</v>
      </c>
      <c r="K163" s="398">
        <f t="shared" si="112"/>
        <v>0</v>
      </c>
      <c r="L163" s="396">
        <f t="shared" si="113"/>
        <v>0</v>
      </c>
      <c r="M163" s="398">
        <f t="shared" si="114"/>
        <v>0</v>
      </c>
      <c r="N163" s="396" t="str">
        <f t="shared" si="115"/>
        <v>SP. 4 PT. WANASARI - SUKAMAJU</v>
      </c>
      <c r="O163" s="396">
        <f t="shared" si="116"/>
        <v>2015</v>
      </c>
      <c r="P163" s="396">
        <f t="shared" si="117"/>
        <v>0</v>
      </c>
      <c r="Q163" s="396">
        <f t="shared" si="118"/>
        <v>0</v>
      </c>
      <c r="R163" s="396">
        <f t="shared" si="119"/>
        <v>0</v>
      </c>
      <c r="S163" s="396" t="str">
        <f t="shared" si="120"/>
        <v>APBD</v>
      </c>
      <c r="T163" s="397">
        <f t="shared" si="121"/>
        <v>2128408453</v>
      </c>
      <c r="U163" s="396">
        <f t="shared" si="122"/>
        <v>0</v>
      </c>
      <c r="V163" s="396">
        <f t="shared" si="123"/>
        <v>0</v>
      </c>
      <c r="W163" s="206" t="str">
        <f t="shared" si="140"/>
        <v>04.13.01</v>
      </c>
      <c r="X163" s="207" t="str">
        <f t="shared" si="141"/>
        <v>Jalan</v>
      </c>
      <c r="Y163" s="207">
        <f t="shared" si="142"/>
        <v>10</v>
      </c>
      <c r="Z163" s="233">
        <f t="shared" si="143"/>
        <v>212840844.30000001</v>
      </c>
      <c r="AA163" s="208">
        <f t="shared" si="152"/>
        <v>0</v>
      </c>
      <c r="AB163" s="233">
        <f t="shared" si="144"/>
        <v>0</v>
      </c>
      <c r="AC163" s="233"/>
      <c r="AD163" s="233">
        <f t="shared" si="146"/>
        <v>212840844.30000001</v>
      </c>
      <c r="AE163" s="233">
        <f t="shared" si="147"/>
        <v>212840844.30000001</v>
      </c>
      <c r="AF163" s="238">
        <f t="shared" si="148"/>
        <v>212840844.30000001</v>
      </c>
      <c r="AG163" s="238">
        <f t="shared" si="149"/>
        <v>212840844.30000001</v>
      </c>
      <c r="AH163" s="238">
        <f t="shared" si="153"/>
        <v>851363377.20000005</v>
      </c>
      <c r="AI163" s="261">
        <f t="shared" si="150"/>
        <v>2015</v>
      </c>
      <c r="AJ163" s="233">
        <f t="shared" si="151"/>
        <v>1277045075.8</v>
      </c>
    </row>
    <row r="164" spans="1:36" s="116" customFormat="1" ht="35.25" customHeight="1" x14ac:dyDescent="0.2">
      <c r="A164" s="116">
        <v>245</v>
      </c>
      <c r="B164" s="116" t="str">
        <f t="shared" si="154"/>
        <v>SIMP. 4 PT. WANASARI - SUKAMAJU</v>
      </c>
      <c r="D164" s="116" t="s">
        <v>4029</v>
      </c>
      <c r="E164" s="218" t="s">
        <v>4247</v>
      </c>
      <c r="F164" s="53"/>
      <c r="G164" s="67" t="str">
        <f t="shared" si="108"/>
        <v>PENINGKATAN JALAN SIMPANG EMPAT PT. WANASARI - SUKA MAJU (ASPAL)</v>
      </c>
      <c r="H164" s="396" t="str">
        <f t="shared" si="109"/>
        <v>04.13.01.03.06</v>
      </c>
      <c r="I164" s="396">
        <f t="shared" si="110"/>
        <v>0</v>
      </c>
      <c r="J164" s="396">
        <f t="shared" si="111"/>
        <v>0</v>
      </c>
      <c r="K164" s="398">
        <f t="shared" si="112"/>
        <v>0</v>
      </c>
      <c r="L164" s="396">
        <f t="shared" si="113"/>
        <v>0</v>
      </c>
      <c r="M164" s="398">
        <f t="shared" si="114"/>
        <v>0</v>
      </c>
      <c r="N164" s="396" t="str">
        <f t="shared" si="115"/>
        <v>SP. 4 PT. WANASARI - SUKAMAJU</v>
      </c>
      <c r="O164" s="396">
        <f t="shared" si="116"/>
        <v>2016</v>
      </c>
      <c r="P164" s="396">
        <f t="shared" si="117"/>
        <v>0</v>
      </c>
      <c r="Q164" s="396">
        <f t="shared" si="118"/>
        <v>0</v>
      </c>
      <c r="R164" s="396">
        <f t="shared" si="119"/>
        <v>0</v>
      </c>
      <c r="S164" s="396" t="str">
        <f t="shared" si="120"/>
        <v>APBD</v>
      </c>
      <c r="T164" s="397">
        <f t="shared" si="121"/>
        <v>2522478651.5700002</v>
      </c>
      <c r="U164" s="396">
        <f t="shared" si="122"/>
        <v>0</v>
      </c>
      <c r="V164" s="396">
        <f t="shared" si="123"/>
        <v>0</v>
      </c>
      <c r="W164" s="206" t="str">
        <f t="shared" si="140"/>
        <v>04.13.01</v>
      </c>
      <c r="X164" s="207" t="str">
        <f t="shared" si="141"/>
        <v>Jalan</v>
      </c>
      <c r="Y164" s="207">
        <f t="shared" si="142"/>
        <v>10</v>
      </c>
      <c r="Z164" s="233">
        <f t="shared" si="143"/>
        <v>252247864.15700001</v>
      </c>
      <c r="AA164" s="208">
        <f t="shared" si="152"/>
        <v>0</v>
      </c>
      <c r="AB164" s="233">
        <f t="shared" si="144"/>
        <v>0</v>
      </c>
      <c r="AC164" s="233"/>
      <c r="AD164" s="233"/>
      <c r="AE164" s="233">
        <f t="shared" si="147"/>
        <v>252247864.15700001</v>
      </c>
      <c r="AF164" s="238">
        <f t="shared" si="148"/>
        <v>252247864.15700001</v>
      </c>
      <c r="AG164" s="238">
        <f t="shared" si="149"/>
        <v>252247864.15700001</v>
      </c>
      <c r="AH164" s="238">
        <f t="shared" si="153"/>
        <v>756743592.47099996</v>
      </c>
      <c r="AI164" s="261">
        <f t="shared" si="150"/>
        <v>2016</v>
      </c>
      <c r="AJ164" s="233">
        <f t="shared" si="151"/>
        <v>1765735059.0990002</v>
      </c>
    </row>
    <row r="165" spans="1:36" s="116" customFormat="1" ht="35.25" customHeight="1" x14ac:dyDescent="0.2">
      <c r="A165" s="116">
        <v>245</v>
      </c>
      <c r="B165" s="116" t="str">
        <f t="shared" si="154"/>
        <v>SIMP. 4 PT. WANASARI - SUKAMAJU</v>
      </c>
      <c r="D165" s="116" t="s">
        <v>4030</v>
      </c>
      <c r="E165" s="218" t="s">
        <v>4247</v>
      </c>
      <c r="F165" s="53"/>
      <c r="G165" s="67" t="str">
        <f t="shared" si="108"/>
        <v>PEMBUATAN BOX CULVERT DESA SUKA MAJU SINGINGI HILIR</v>
      </c>
      <c r="H165" s="396" t="str">
        <f t="shared" si="109"/>
        <v>04.13.01.03.06</v>
      </c>
      <c r="I165" s="396">
        <f t="shared" si="110"/>
        <v>0</v>
      </c>
      <c r="J165" s="396">
        <f t="shared" si="111"/>
        <v>0</v>
      </c>
      <c r="K165" s="398">
        <f t="shared" si="112"/>
        <v>0</v>
      </c>
      <c r="L165" s="396">
        <f t="shared" si="113"/>
        <v>0</v>
      </c>
      <c r="M165" s="398">
        <f t="shared" si="114"/>
        <v>0</v>
      </c>
      <c r="N165" s="396" t="str">
        <f t="shared" si="115"/>
        <v>DESA SUKA MAJU SINGINGI HILIR</v>
      </c>
      <c r="O165" s="396">
        <f t="shared" si="116"/>
        <v>2017</v>
      </c>
      <c r="P165" s="396">
        <f t="shared" si="117"/>
        <v>0</v>
      </c>
      <c r="Q165" s="396">
        <f t="shared" si="118"/>
        <v>0</v>
      </c>
      <c r="R165" s="396">
        <f t="shared" si="119"/>
        <v>0</v>
      </c>
      <c r="S165" s="396" t="str">
        <f t="shared" si="120"/>
        <v>APBD</v>
      </c>
      <c r="T165" s="397">
        <f t="shared" si="121"/>
        <v>188864000</v>
      </c>
      <c r="U165" s="396">
        <f t="shared" si="122"/>
        <v>0</v>
      </c>
      <c r="V165" s="396">
        <f t="shared" si="123"/>
        <v>0</v>
      </c>
      <c r="W165" s="206" t="str">
        <f t="shared" si="140"/>
        <v>04.13.01</v>
      </c>
      <c r="X165" s="207" t="str">
        <f t="shared" si="141"/>
        <v>Jalan</v>
      </c>
      <c r="Y165" s="207">
        <f t="shared" si="142"/>
        <v>10</v>
      </c>
      <c r="Z165" s="233">
        <f t="shared" si="143"/>
        <v>18886399</v>
      </c>
      <c r="AA165" s="208">
        <f t="shared" si="152"/>
        <v>0</v>
      </c>
      <c r="AB165" s="233">
        <f t="shared" si="144"/>
        <v>0</v>
      </c>
      <c r="AC165" s="233"/>
      <c r="AD165" s="233"/>
      <c r="AE165" s="233"/>
      <c r="AF165" s="238"/>
      <c r="AG165" s="238">
        <f t="shared" si="149"/>
        <v>18886399</v>
      </c>
      <c r="AH165" s="238">
        <f t="shared" si="153"/>
        <v>18886399</v>
      </c>
      <c r="AI165" s="261">
        <f t="shared" si="150"/>
        <v>2017</v>
      </c>
      <c r="AJ165" s="233">
        <f t="shared" si="151"/>
        <v>169977601</v>
      </c>
    </row>
    <row r="166" spans="1:36" s="116" customFormat="1" ht="35.25" customHeight="1" x14ac:dyDescent="0.2">
      <c r="A166" s="116">
        <v>245</v>
      </c>
      <c r="B166" s="116" t="str">
        <f>VLOOKUP(A166,RUAS,2,FALSE)</f>
        <v>SIMP. 4 PT. WANASARI - SUKAMAJU</v>
      </c>
      <c r="D166" s="116" t="s">
        <v>4108</v>
      </c>
      <c r="E166" s="218" t="s">
        <v>4247</v>
      </c>
      <c r="F166" s="53"/>
      <c r="G166" s="67" t="str">
        <f>VLOOKUP(D166,ACUAN,4,FALSE)</f>
        <v>PEMELIHARAAN JALAN SP. 4 PT WANASARI - SUKA MAJU</v>
      </c>
      <c r="H166" s="396" t="str">
        <f>VLOOKUP(D166,ACUAN,5,FALSE)</f>
        <v>04.13.01.03.06</v>
      </c>
      <c r="I166" s="396">
        <f>VLOOKUP(D166,ACUAN,6,FALSE)</f>
        <v>0</v>
      </c>
      <c r="J166" s="396">
        <f>VLOOKUP(D166,ACUAN,7,FALSE)</f>
        <v>0</v>
      </c>
      <c r="K166" s="398">
        <f>VLOOKUP(D166,ACUAN,8,FALSE)</f>
        <v>0</v>
      </c>
      <c r="L166" s="396">
        <f>VLOOKUP(D166,ACUAN,9,FALSE)</f>
        <v>0</v>
      </c>
      <c r="M166" s="398">
        <f>VLOOKUP(D166,ACUAN,10,FALSE)</f>
        <v>0</v>
      </c>
      <c r="N166" s="396" t="str">
        <f>VLOOKUP(D166,ACUAN,11,FALSE)</f>
        <v>SP. 4 PT. WANASARI - SUKAMAJU</v>
      </c>
      <c r="O166" s="396">
        <f>VLOOKUP(D166,ACUAN,12,FALSE)</f>
        <v>2018</v>
      </c>
      <c r="P166" s="396">
        <f>VLOOKUP(D166,ACUAN,13,FALSE)</f>
        <v>0</v>
      </c>
      <c r="Q166" s="396">
        <f>VLOOKUP(D166,ACUAN,14,FALSE)</f>
        <v>0</v>
      </c>
      <c r="R166" s="396">
        <f>VLOOKUP(D166,ACUAN,15,FALSE)</f>
        <v>0</v>
      </c>
      <c r="S166" s="396" t="str">
        <f>VLOOKUP(D166,ACUAN,16,FALSE)</f>
        <v>APBD</v>
      </c>
      <c r="T166" s="397">
        <f>VLOOKUP(D166,ACUAN,17,FALSE)</f>
        <v>452524755</v>
      </c>
      <c r="U166" s="396">
        <f>VLOOKUP(D166,ACUAN,18,FALSE)</f>
        <v>0</v>
      </c>
      <c r="V166" s="396">
        <f>VLOOKUP(D166,ACUAN,19,FALSE)</f>
        <v>0</v>
      </c>
      <c r="W166" s="206" t="str">
        <f t="shared" si="140"/>
        <v>04.13.01</v>
      </c>
      <c r="X166" s="207" t="str">
        <f t="shared" si="141"/>
        <v>Jalan</v>
      </c>
      <c r="Y166" s="207">
        <f t="shared" si="142"/>
        <v>10</v>
      </c>
      <c r="Z166" s="233">
        <f t="shared" si="143"/>
        <v>45252474.5</v>
      </c>
      <c r="AA166" s="208">
        <f t="shared" si="152"/>
        <v>0</v>
      </c>
      <c r="AB166" s="233">
        <f t="shared" si="144"/>
        <v>0</v>
      </c>
      <c r="AC166" s="233"/>
      <c r="AD166" s="233"/>
      <c r="AE166" s="233"/>
      <c r="AF166" s="238"/>
      <c r="AG166" s="238"/>
      <c r="AH166" s="238">
        <f t="shared" si="153"/>
        <v>0</v>
      </c>
      <c r="AI166" s="261">
        <f t="shared" si="150"/>
        <v>2018</v>
      </c>
      <c r="AJ166" s="233">
        <f t="shared" si="151"/>
        <v>452524755</v>
      </c>
    </row>
    <row r="167" spans="1:36" s="116" customFormat="1" ht="35.25" customHeight="1" x14ac:dyDescent="0.2">
      <c r="A167" s="116">
        <v>257</v>
      </c>
      <c r="B167" s="116" t="str">
        <f t="shared" si="154"/>
        <v>BENAI - PL. LANCANG</v>
      </c>
      <c r="D167" s="116" t="s">
        <v>4034</v>
      </c>
      <c r="E167" s="218" t="s">
        <v>4247</v>
      </c>
      <c r="F167" s="53"/>
      <c r="G167" s="67" t="str">
        <f t="shared" ref="G167:G204" si="155">VLOOKUP(D167,ACUAN,4,FALSE)</f>
        <v>PENINGKATAN JALAN BENAI-PULAU LANCANG (ASPAL)</v>
      </c>
      <c r="H167" s="396" t="str">
        <f t="shared" ref="H167:H204" si="156">VLOOKUP(D167,ACUAN,5,FALSE)</f>
        <v>04.13.01.03.04</v>
      </c>
      <c r="I167" s="396">
        <f t="shared" ref="I167:I204" si="157">VLOOKUP(D167,ACUAN,6,FALSE)</f>
        <v>0</v>
      </c>
      <c r="J167" s="396" t="str">
        <f t="shared" ref="J167:J204" si="158">VLOOKUP(D167,ACUAN,7,FALSE)</f>
        <v>ASPAL HOTMIX</v>
      </c>
      <c r="K167" s="398" t="str">
        <f t="shared" ref="K167:K204" si="159">VLOOKUP(D167,ACUAN,8,FALSE)</f>
        <v>9500</v>
      </c>
      <c r="L167" s="396">
        <f t="shared" ref="L167:L204" si="160">VLOOKUP(D167,ACUAN,9,FALSE)</f>
        <v>7</v>
      </c>
      <c r="M167" s="398">
        <f t="shared" ref="M167:M204" si="161">VLOOKUP(D167,ACUAN,10,FALSE)</f>
        <v>59500</v>
      </c>
      <c r="N167" s="396" t="str">
        <f t="shared" ref="N167:N204" si="162">VLOOKUP(D167,ACUAN,11,FALSE)</f>
        <v>BENAI - PL. LANCANG</v>
      </c>
      <c r="O167" s="396">
        <f t="shared" ref="O167:O204" si="163">VLOOKUP(D167,ACUAN,12,FALSE)</f>
        <v>2001</v>
      </c>
      <c r="P167" s="396">
        <f t="shared" ref="P167:P204" si="164">VLOOKUP(D167,ACUAN,13,FALSE)</f>
        <v>0</v>
      </c>
      <c r="Q167" s="396">
        <f t="shared" ref="Q167:Q204" si="165">VLOOKUP(D167,ACUAN,14,FALSE)</f>
        <v>0</v>
      </c>
      <c r="R167" s="396" t="str">
        <f t="shared" ref="R167:R204" si="166">VLOOKUP(D167,ACUAN,15,FALSE)</f>
        <v>12.04.06.05.01.00</v>
      </c>
      <c r="S167" s="396" t="str">
        <f t="shared" ref="S167:S204" si="167">VLOOKUP(D167,ACUAN,16,FALSE)</f>
        <v>APBD</v>
      </c>
      <c r="T167" s="397">
        <f t="shared" ref="T167:T204" si="168">VLOOKUP(D167,ACUAN,17,FALSE)</f>
        <v>9883854526</v>
      </c>
      <c r="U167" s="396" t="str">
        <f t="shared" ref="U167:U204" si="169">VLOOKUP(D167,ACUAN,18,FALSE)</f>
        <v>B</v>
      </c>
      <c r="V167" s="396">
        <f t="shared" ref="V167:V204" si="170">VLOOKUP(D167,ACUAN,19,FALSE)</f>
        <v>0</v>
      </c>
      <c r="W167" s="206" t="str">
        <f t="shared" si="140"/>
        <v>04.13.01</v>
      </c>
      <c r="X167" s="207" t="str">
        <f t="shared" si="141"/>
        <v>Jalan</v>
      </c>
      <c r="Y167" s="207">
        <f t="shared" si="142"/>
        <v>10</v>
      </c>
      <c r="Z167" s="233">
        <f t="shared" si="143"/>
        <v>988385451.60000002</v>
      </c>
      <c r="AA167" s="208">
        <f t="shared" si="152"/>
        <v>10</v>
      </c>
      <c r="AB167" s="233">
        <f t="shared" si="144"/>
        <v>9883854516</v>
      </c>
      <c r="AC167" s="233">
        <f t="shared" si="145"/>
        <v>0</v>
      </c>
      <c r="AD167" s="233">
        <f t="shared" si="146"/>
        <v>0</v>
      </c>
      <c r="AE167" s="233">
        <f t="shared" si="147"/>
        <v>0</v>
      </c>
      <c r="AF167" s="238">
        <f t="shared" si="148"/>
        <v>0</v>
      </c>
      <c r="AG167" s="238">
        <f t="shared" si="149"/>
        <v>0</v>
      </c>
      <c r="AH167" s="238">
        <f t="shared" si="153"/>
        <v>9883854516</v>
      </c>
      <c r="AI167" s="261">
        <f t="shared" si="150"/>
        <v>2001</v>
      </c>
      <c r="AJ167" s="233">
        <f t="shared" si="151"/>
        <v>10</v>
      </c>
    </row>
    <row r="168" spans="1:36" s="116" customFormat="1" ht="35.25" customHeight="1" x14ac:dyDescent="0.2">
      <c r="A168" s="116">
        <v>257</v>
      </c>
      <c r="B168" s="116" t="str">
        <f t="shared" si="154"/>
        <v>BENAI - PL. LANCANG</v>
      </c>
      <c r="D168" s="116" t="s">
        <v>4035</v>
      </c>
      <c r="E168" s="218" t="s">
        <v>4247</v>
      </c>
      <c r="F168" s="53"/>
      <c r="G168" s="67" t="str">
        <f t="shared" si="155"/>
        <v>PENINGKATAN JALAN BENAI - PL. LANCANG</v>
      </c>
      <c r="H168" s="396" t="str">
        <f t="shared" si="156"/>
        <v>04.13.01.03.06</v>
      </c>
      <c r="I168" s="396">
        <f t="shared" si="157"/>
        <v>0</v>
      </c>
      <c r="J168" s="396">
        <f t="shared" si="158"/>
        <v>0</v>
      </c>
      <c r="K168" s="398">
        <f t="shared" si="159"/>
        <v>0</v>
      </c>
      <c r="L168" s="396">
        <f t="shared" si="160"/>
        <v>0</v>
      </c>
      <c r="M168" s="398">
        <f t="shared" si="161"/>
        <v>0</v>
      </c>
      <c r="N168" s="396" t="str">
        <f t="shared" si="162"/>
        <v>BENAI - PL. LANCANG</v>
      </c>
      <c r="O168" s="396">
        <f t="shared" si="163"/>
        <v>2015</v>
      </c>
      <c r="P168" s="396">
        <f t="shared" si="164"/>
        <v>0</v>
      </c>
      <c r="Q168" s="396">
        <f t="shared" si="165"/>
        <v>0</v>
      </c>
      <c r="R168" s="396">
        <f t="shared" si="166"/>
        <v>0</v>
      </c>
      <c r="S168" s="396" t="str">
        <f t="shared" si="167"/>
        <v>APBD</v>
      </c>
      <c r="T168" s="397">
        <f t="shared" si="168"/>
        <v>3166464963</v>
      </c>
      <c r="U168" s="396">
        <f t="shared" si="169"/>
        <v>0</v>
      </c>
      <c r="V168" s="396">
        <f t="shared" si="170"/>
        <v>0</v>
      </c>
      <c r="W168" s="206" t="str">
        <f t="shared" si="140"/>
        <v>04.13.01</v>
      </c>
      <c r="X168" s="207" t="str">
        <f t="shared" si="141"/>
        <v>Jalan</v>
      </c>
      <c r="Y168" s="207">
        <f t="shared" si="142"/>
        <v>10</v>
      </c>
      <c r="Z168" s="233">
        <f t="shared" si="143"/>
        <v>316646495.30000001</v>
      </c>
      <c r="AA168" s="208">
        <f t="shared" si="152"/>
        <v>0</v>
      </c>
      <c r="AB168" s="233">
        <f t="shared" si="144"/>
        <v>0</v>
      </c>
      <c r="AC168" s="233"/>
      <c r="AD168" s="233">
        <f t="shared" si="146"/>
        <v>316646495.30000001</v>
      </c>
      <c r="AE168" s="233">
        <f t="shared" si="147"/>
        <v>316646495.30000001</v>
      </c>
      <c r="AF168" s="238">
        <f t="shared" si="148"/>
        <v>316646495.30000001</v>
      </c>
      <c r="AG168" s="238">
        <f t="shared" si="149"/>
        <v>316646495.30000001</v>
      </c>
      <c r="AH168" s="238">
        <f t="shared" si="153"/>
        <v>1266585981.2</v>
      </c>
      <c r="AI168" s="261">
        <f t="shared" si="150"/>
        <v>2015</v>
      </c>
      <c r="AJ168" s="233">
        <f t="shared" si="151"/>
        <v>1899878981.8</v>
      </c>
    </row>
    <row r="169" spans="1:36" s="116" customFormat="1" ht="35.25" customHeight="1" x14ac:dyDescent="0.2">
      <c r="A169" s="116">
        <v>258</v>
      </c>
      <c r="B169" s="116" t="str">
        <f t="shared" si="154"/>
        <v>LEPAU GADING - PANGEAN</v>
      </c>
      <c r="D169" s="116" t="s">
        <v>4036</v>
      </c>
      <c r="E169" s="218" t="s">
        <v>4247</v>
      </c>
      <c r="F169" s="53"/>
      <c r="G169" s="67" t="str">
        <f t="shared" si="155"/>
        <v>JALAN KABUPATEN ARTERI</v>
      </c>
      <c r="H169" s="396" t="str">
        <f t="shared" si="156"/>
        <v>04.13.01.03.04</v>
      </c>
      <c r="I169" s="396">
        <f t="shared" si="157"/>
        <v>0</v>
      </c>
      <c r="J169" s="396" t="str">
        <f t="shared" si="158"/>
        <v>ASPAL HOTMIX</v>
      </c>
      <c r="K169" s="398" t="str">
        <f t="shared" si="159"/>
        <v>11700</v>
      </c>
      <c r="L169" s="396">
        <f t="shared" si="160"/>
        <v>7</v>
      </c>
      <c r="M169" s="398">
        <f t="shared" si="161"/>
        <v>81900</v>
      </c>
      <c r="N169" s="396" t="str">
        <f t="shared" si="162"/>
        <v>JL. LEPAU GADING - PANGEAN</v>
      </c>
      <c r="O169" s="396">
        <f t="shared" si="163"/>
        <v>2001</v>
      </c>
      <c r="P169" s="396">
        <f t="shared" si="164"/>
        <v>0</v>
      </c>
      <c r="Q169" s="396">
        <f t="shared" si="165"/>
        <v>0</v>
      </c>
      <c r="R169" s="396" t="str">
        <f t="shared" si="166"/>
        <v>12.04.06.05.01.00</v>
      </c>
      <c r="S169" s="396" t="str">
        <f t="shared" si="167"/>
        <v>APBD</v>
      </c>
      <c r="T169" s="397">
        <f t="shared" si="168"/>
        <v>22932000000</v>
      </c>
      <c r="U169" s="396" t="str">
        <f t="shared" si="169"/>
        <v>KB</v>
      </c>
      <c r="V169" s="396">
        <f t="shared" si="170"/>
        <v>0</v>
      </c>
      <c r="W169" s="206" t="str">
        <f t="shared" si="140"/>
        <v>04.13.01</v>
      </c>
      <c r="X169" s="207" t="str">
        <f t="shared" si="141"/>
        <v>Jalan</v>
      </c>
      <c r="Y169" s="207">
        <f t="shared" si="142"/>
        <v>10</v>
      </c>
      <c r="Z169" s="233">
        <f t="shared" si="143"/>
        <v>2293199999</v>
      </c>
      <c r="AA169" s="208">
        <f t="shared" si="152"/>
        <v>10</v>
      </c>
      <c r="AB169" s="233">
        <f t="shared" si="144"/>
        <v>22931999990</v>
      </c>
      <c r="AC169" s="233">
        <f t="shared" si="145"/>
        <v>0</v>
      </c>
      <c r="AD169" s="233">
        <f t="shared" si="146"/>
        <v>0</v>
      </c>
      <c r="AE169" s="233">
        <f t="shared" si="147"/>
        <v>0</v>
      </c>
      <c r="AF169" s="238">
        <f t="shared" si="148"/>
        <v>0</v>
      </c>
      <c r="AG169" s="238">
        <f t="shared" si="149"/>
        <v>0</v>
      </c>
      <c r="AH169" s="238">
        <f t="shared" si="153"/>
        <v>22931999990</v>
      </c>
      <c r="AI169" s="261">
        <f t="shared" si="150"/>
        <v>2001</v>
      </c>
      <c r="AJ169" s="233">
        <f t="shared" si="151"/>
        <v>10</v>
      </c>
    </row>
    <row r="170" spans="1:36" s="116" customFormat="1" ht="35.25" customHeight="1" x14ac:dyDescent="0.2">
      <c r="A170" s="116">
        <v>258</v>
      </c>
      <c r="B170" s="116" t="str">
        <f t="shared" si="154"/>
        <v>LEPAU GADING - PANGEAN</v>
      </c>
      <c r="D170" s="116" t="s">
        <v>4037</v>
      </c>
      <c r="E170" s="218" t="s">
        <v>4247</v>
      </c>
      <c r="F170" s="53"/>
      <c r="G170" s="67" t="str">
        <f t="shared" si="155"/>
        <v>PENINGKATAN JLN LEPAU GADING - PANGEAN</v>
      </c>
      <c r="H170" s="396" t="str">
        <f t="shared" si="156"/>
        <v>04.13.01.03.06</v>
      </c>
      <c r="I170" s="396">
        <f t="shared" si="157"/>
        <v>0</v>
      </c>
      <c r="J170" s="396">
        <f t="shared" si="158"/>
        <v>0</v>
      </c>
      <c r="K170" s="398">
        <f t="shared" si="159"/>
        <v>0</v>
      </c>
      <c r="L170" s="396">
        <f t="shared" si="160"/>
        <v>0</v>
      </c>
      <c r="M170" s="398">
        <f t="shared" si="161"/>
        <v>0</v>
      </c>
      <c r="N170" s="396" t="str">
        <f t="shared" si="162"/>
        <v>JL. LEPAU GADING - PANGEAN</v>
      </c>
      <c r="O170" s="396">
        <f t="shared" si="163"/>
        <v>2015</v>
      </c>
      <c r="P170" s="396">
        <f t="shared" si="164"/>
        <v>0</v>
      </c>
      <c r="Q170" s="396">
        <f t="shared" si="165"/>
        <v>0</v>
      </c>
      <c r="R170" s="396">
        <f t="shared" si="166"/>
        <v>0</v>
      </c>
      <c r="S170" s="396" t="str">
        <f t="shared" si="167"/>
        <v>APBD</v>
      </c>
      <c r="T170" s="397">
        <f t="shared" si="168"/>
        <v>4424469137.1017532</v>
      </c>
      <c r="U170" s="396">
        <f t="shared" si="169"/>
        <v>0</v>
      </c>
      <c r="V170" s="396">
        <f t="shared" si="170"/>
        <v>0</v>
      </c>
      <c r="W170" s="206" t="str">
        <f t="shared" si="140"/>
        <v>04.13.01</v>
      </c>
      <c r="X170" s="207" t="str">
        <f t="shared" si="141"/>
        <v>Jalan</v>
      </c>
      <c r="Y170" s="207">
        <f t="shared" si="142"/>
        <v>10</v>
      </c>
      <c r="Z170" s="233">
        <f t="shared" si="143"/>
        <v>442446912.71017534</v>
      </c>
      <c r="AA170" s="208">
        <f t="shared" si="152"/>
        <v>0</v>
      </c>
      <c r="AB170" s="233">
        <f t="shared" si="144"/>
        <v>0</v>
      </c>
      <c r="AC170" s="233"/>
      <c r="AD170" s="233">
        <f t="shared" si="146"/>
        <v>442446912.71017534</v>
      </c>
      <c r="AE170" s="233">
        <f t="shared" si="147"/>
        <v>442446912.71017534</v>
      </c>
      <c r="AF170" s="238">
        <f t="shared" si="148"/>
        <v>442446912.71017534</v>
      </c>
      <c r="AG170" s="238">
        <f t="shared" si="149"/>
        <v>442446912.71017534</v>
      </c>
      <c r="AH170" s="238">
        <f t="shared" si="153"/>
        <v>1769787650.8407013</v>
      </c>
      <c r="AI170" s="261">
        <f t="shared" si="150"/>
        <v>2015</v>
      </c>
      <c r="AJ170" s="233">
        <f t="shared" si="151"/>
        <v>2654681486.2610521</v>
      </c>
    </row>
    <row r="171" spans="1:36" s="116" customFormat="1" ht="35.25" customHeight="1" x14ac:dyDescent="0.2">
      <c r="A171" s="116">
        <v>258</v>
      </c>
      <c r="B171" s="116" t="str">
        <f t="shared" si="154"/>
        <v>LEPAU GADING - PANGEAN</v>
      </c>
      <c r="D171" s="116" t="s">
        <v>4038</v>
      </c>
      <c r="E171" s="218" t="s">
        <v>4247</v>
      </c>
      <c r="F171" s="53"/>
      <c r="G171" s="67" t="str">
        <f t="shared" si="155"/>
        <v>PENINGKATAN JALAN LEPAU GADING - PANGEAN (ASPAL) (DAK)</v>
      </c>
      <c r="H171" s="396" t="str">
        <f t="shared" si="156"/>
        <v>04.13.01.03.06</v>
      </c>
      <c r="I171" s="396">
        <f t="shared" si="157"/>
        <v>0</v>
      </c>
      <c r="J171" s="396">
        <f t="shared" si="158"/>
        <v>0</v>
      </c>
      <c r="K171" s="398">
        <f t="shared" si="159"/>
        <v>0</v>
      </c>
      <c r="L171" s="396">
        <f t="shared" si="160"/>
        <v>0</v>
      </c>
      <c r="M171" s="398">
        <f t="shared" si="161"/>
        <v>0</v>
      </c>
      <c r="N171" s="396" t="str">
        <f t="shared" si="162"/>
        <v>JL. LEPAU GADING - PANGEAN</v>
      </c>
      <c r="O171" s="396">
        <f t="shared" si="163"/>
        <v>2016</v>
      </c>
      <c r="P171" s="396">
        <f t="shared" si="164"/>
        <v>0</v>
      </c>
      <c r="Q171" s="396">
        <f t="shared" si="165"/>
        <v>0</v>
      </c>
      <c r="R171" s="396">
        <f t="shared" si="166"/>
        <v>0</v>
      </c>
      <c r="S171" s="396" t="str">
        <f t="shared" si="167"/>
        <v>APBD</v>
      </c>
      <c r="T171" s="397">
        <f t="shared" si="168"/>
        <v>4250968123.3900442</v>
      </c>
      <c r="U171" s="396">
        <f t="shared" si="169"/>
        <v>0</v>
      </c>
      <c r="V171" s="396">
        <f t="shared" si="170"/>
        <v>0</v>
      </c>
      <c r="W171" s="206" t="str">
        <f t="shared" si="140"/>
        <v>04.13.01</v>
      </c>
      <c r="X171" s="207" t="str">
        <f t="shared" si="141"/>
        <v>Jalan</v>
      </c>
      <c r="Y171" s="207">
        <f t="shared" si="142"/>
        <v>10</v>
      </c>
      <c r="Z171" s="233">
        <f t="shared" si="143"/>
        <v>425096811.3390044</v>
      </c>
      <c r="AA171" s="208">
        <f t="shared" si="152"/>
        <v>0</v>
      </c>
      <c r="AB171" s="233">
        <f t="shared" si="144"/>
        <v>0</v>
      </c>
      <c r="AC171" s="233"/>
      <c r="AD171" s="233"/>
      <c r="AE171" s="233">
        <f t="shared" si="147"/>
        <v>425096811.3390044</v>
      </c>
      <c r="AF171" s="238">
        <f t="shared" si="148"/>
        <v>425096811.3390044</v>
      </c>
      <c r="AG171" s="238">
        <f t="shared" si="149"/>
        <v>425096811.3390044</v>
      </c>
      <c r="AH171" s="238">
        <f t="shared" si="153"/>
        <v>1275290434.0170131</v>
      </c>
      <c r="AI171" s="261">
        <f t="shared" si="150"/>
        <v>2016</v>
      </c>
      <c r="AJ171" s="233">
        <f t="shared" si="151"/>
        <v>2975677689.3730311</v>
      </c>
    </row>
    <row r="172" spans="1:36" s="116" customFormat="1" ht="35.25" customHeight="1" x14ac:dyDescent="0.2">
      <c r="A172" s="116">
        <v>258</v>
      </c>
      <c r="B172" s="116" t="str">
        <f t="shared" si="154"/>
        <v>LEPAU GADING - PANGEAN</v>
      </c>
      <c r="D172" s="116" t="s">
        <v>4039</v>
      </c>
      <c r="E172" s="218" t="s">
        <v>4247</v>
      </c>
      <c r="F172" s="53"/>
      <c r="G172" s="67" t="str">
        <f t="shared" si="155"/>
        <v>PENINGKATAN JALAN LEPAU GADING - PANGEAN (ASPAL)  (DAK)</v>
      </c>
      <c r="H172" s="396" t="str">
        <f t="shared" si="156"/>
        <v>04.13.01.03.06</v>
      </c>
      <c r="I172" s="396">
        <f t="shared" si="157"/>
        <v>0</v>
      </c>
      <c r="J172" s="396">
        <f t="shared" si="158"/>
        <v>0</v>
      </c>
      <c r="K172" s="398">
        <f t="shared" si="159"/>
        <v>0</v>
      </c>
      <c r="L172" s="396">
        <f t="shared" si="160"/>
        <v>0</v>
      </c>
      <c r="M172" s="398">
        <f t="shared" si="161"/>
        <v>0</v>
      </c>
      <c r="N172" s="396" t="str">
        <f t="shared" si="162"/>
        <v>JL. LEPAU GADING - PANGEAN</v>
      </c>
      <c r="O172" s="396">
        <f t="shared" si="163"/>
        <v>2017</v>
      </c>
      <c r="P172" s="396">
        <f t="shared" si="164"/>
        <v>0</v>
      </c>
      <c r="Q172" s="396">
        <f t="shared" si="165"/>
        <v>0</v>
      </c>
      <c r="R172" s="396">
        <f t="shared" si="166"/>
        <v>0</v>
      </c>
      <c r="S172" s="396" t="str">
        <f t="shared" si="167"/>
        <v>APBD</v>
      </c>
      <c r="T172" s="397">
        <f t="shared" si="168"/>
        <v>3776832000</v>
      </c>
      <c r="U172" s="396">
        <f t="shared" si="169"/>
        <v>0</v>
      </c>
      <c r="V172" s="396">
        <f t="shared" si="170"/>
        <v>0</v>
      </c>
      <c r="W172" s="206" t="str">
        <f t="shared" si="140"/>
        <v>04.13.01</v>
      </c>
      <c r="X172" s="207" t="str">
        <f t="shared" si="141"/>
        <v>Jalan</v>
      </c>
      <c r="Y172" s="207">
        <f t="shared" si="142"/>
        <v>10</v>
      </c>
      <c r="Z172" s="233">
        <f t="shared" si="143"/>
        <v>377683199</v>
      </c>
      <c r="AA172" s="208">
        <f t="shared" si="152"/>
        <v>0</v>
      </c>
      <c r="AB172" s="233">
        <f t="shared" si="144"/>
        <v>0</v>
      </c>
      <c r="AC172" s="233"/>
      <c r="AD172" s="233"/>
      <c r="AE172" s="233"/>
      <c r="AF172" s="238"/>
      <c r="AG172" s="238">
        <f t="shared" si="149"/>
        <v>377683199</v>
      </c>
      <c r="AH172" s="238">
        <f t="shared" si="153"/>
        <v>377683199</v>
      </c>
      <c r="AI172" s="261">
        <f t="shared" si="150"/>
        <v>2017</v>
      </c>
      <c r="AJ172" s="233">
        <f t="shared" si="151"/>
        <v>3399148801</v>
      </c>
    </row>
    <row r="173" spans="1:36" s="116" customFormat="1" ht="35.25" customHeight="1" x14ac:dyDescent="0.2">
      <c r="A173" s="116">
        <v>258</v>
      </c>
      <c r="B173" s="116" t="str">
        <f t="shared" si="154"/>
        <v>LEPAU GADING - PANGEAN</v>
      </c>
      <c r="D173" s="116" t="s">
        <v>4040</v>
      </c>
      <c r="E173" s="218" t="s">
        <v>4247</v>
      </c>
      <c r="F173" s="53"/>
      <c r="G173" s="67" t="str">
        <f t="shared" si="155"/>
        <v>PENGAWASAN PENINGKATAN JALAN LEPAU GADING - PANGEAN  (DAK)</v>
      </c>
      <c r="H173" s="396" t="str">
        <f t="shared" si="156"/>
        <v>04.13.01.03.06</v>
      </c>
      <c r="I173" s="396">
        <f t="shared" si="157"/>
        <v>0</v>
      </c>
      <c r="J173" s="396">
        <f t="shared" si="158"/>
        <v>0</v>
      </c>
      <c r="K173" s="398">
        <f t="shared" si="159"/>
        <v>0</v>
      </c>
      <c r="L173" s="396">
        <f t="shared" si="160"/>
        <v>0</v>
      </c>
      <c r="M173" s="398">
        <f t="shared" si="161"/>
        <v>0</v>
      </c>
      <c r="N173" s="396" t="str">
        <f t="shared" si="162"/>
        <v>JL. LEPAU GADING - PANGEAN</v>
      </c>
      <c r="O173" s="396">
        <f t="shared" si="163"/>
        <v>2017</v>
      </c>
      <c r="P173" s="396">
        <f t="shared" si="164"/>
        <v>0</v>
      </c>
      <c r="Q173" s="396">
        <f t="shared" si="165"/>
        <v>0</v>
      </c>
      <c r="R173" s="396">
        <f t="shared" si="166"/>
        <v>0</v>
      </c>
      <c r="S173" s="396" t="str">
        <f t="shared" si="167"/>
        <v>APBD</v>
      </c>
      <c r="T173" s="397">
        <f t="shared" si="168"/>
        <v>248600000</v>
      </c>
      <c r="U173" s="396">
        <f t="shared" si="169"/>
        <v>0</v>
      </c>
      <c r="V173" s="396">
        <f t="shared" si="170"/>
        <v>0</v>
      </c>
      <c r="W173" s="206" t="str">
        <f t="shared" ref="W173:W207" si="171">LEFT(H173,8)</f>
        <v>04.13.01</v>
      </c>
      <c r="X173" s="207" t="str">
        <f t="shared" ref="X173:X207" si="172">VLOOKUP(W173,UE,3,FALSE)</f>
        <v>Jalan</v>
      </c>
      <c r="Y173" s="207">
        <f t="shared" ref="Y173:Y207" si="173">VLOOKUP(W173,UE,4,FALSE)</f>
        <v>10</v>
      </c>
      <c r="Z173" s="233">
        <f t="shared" ref="Z173:Z207" si="174">(T173-10)/Y173</f>
        <v>24859999</v>
      </c>
      <c r="AA173" s="208">
        <f t="shared" si="152"/>
        <v>0</v>
      </c>
      <c r="AB173" s="233">
        <f t="shared" ref="AB173:AB207" si="175">IF(AA173&gt;Y173,T173-10,Z173*AA173)</f>
        <v>0</v>
      </c>
      <c r="AC173" s="233"/>
      <c r="AD173" s="233"/>
      <c r="AE173" s="233"/>
      <c r="AF173" s="238"/>
      <c r="AG173" s="238">
        <f t="shared" ref="AG173:AG207" si="176">IF(T173-10=AC173+AD173+AE173+AB173+AF173,0,Z173)</f>
        <v>24859999</v>
      </c>
      <c r="AH173" s="238">
        <f t="shared" si="153"/>
        <v>24859999</v>
      </c>
      <c r="AI173" s="261">
        <f t="shared" ref="AI173:AI207" si="177">O173</f>
        <v>2017</v>
      </c>
      <c r="AJ173" s="233">
        <f t="shared" ref="AJ173:AJ211" si="178">T173-AH173</f>
        <v>223740001</v>
      </c>
    </row>
    <row r="174" spans="1:36" s="116" customFormat="1" ht="35.25" customHeight="1" x14ac:dyDescent="0.2">
      <c r="A174" s="116">
        <v>259</v>
      </c>
      <c r="B174" s="116" t="str">
        <f t="shared" si="154"/>
        <v>SENTAJO - TERATAK AIR HITAM</v>
      </c>
      <c r="D174" s="116" t="s">
        <v>4041</v>
      </c>
      <c r="E174" s="207" t="s">
        <v>4247</v>
      </c>
      <c r="F174" s="53"/>
      <c r="G174" s="67" t="str">
        <f t="shared" si="155"/>
        <v>PENINGKATAN JALAN SENTAJO - TERATAK AIR HITAM ASPAL 1,00 KM) LANJUTAN</v>
      </c>
      <c r="H174" s="396" t="str">
        <f t="shared" si="156"/>
        <v>04.13.01.03.04</v>
      </c>
      <c r="I174" s="396">
        <f t="shared" si="157"/>
        <v>0</v>
      </c>
      <c r="J174" s="396" t="str">
        <f t="shared" si="158"/>
        <v>Aspal</v>
      </c>
      <c r="K174" s="398">
        <f t="shared" si="159"/>
        <v>0</v>
      </c>
      <c r="L174" s="396">
        <f t="shared" si="160"/>
        <v>0</v>
      </c>
      <c r="M174" s="398">
        <f t="shared" si="161"/>
        <v>1000</v>
      </c>
      <c r="N174" s="396" t="str">
        <f t="shared" si="162"/>
        <v>SENTAJO - TERATAK AIR HITAM</v>
      </c>
      <c r="O174" s="396">
        <f t="shared" si="163"/>
        <v>2001</v>
      </c>
      <c r="P174" s="396">
        <f t="shared" si="164"/>
        <v>0</v>
      </c>
      <c r="Q174" s="396">
        <f t="shared" si="165"/>
        <v>0</v>
      </c>
      <c r="R174" s="396" t="str">
        <f t="shared" si="166"/>
        <v>12.04.06.05.01..00</v>
      </c>
      <c r="S174" s="396" t="str">
        <f t="shared" si="167"/>
        <v>APBD</v>
      </c>
      <c r="T174" s="397">
        <f t="shared" si="168"/>
        <v>14883166858.823</v>
      </c>
      <c r="U174" s="396" t="str">
        <f t="shared" si="169"/>
        <v>B</v>
      </c>
      <c r="V174" s="396">
        <f t="shared" si="170"/>
        <v>0</v>
      </c>
      <c r="W174" s="206" t="str">
        <f t="shared" si="171"/>
        <v>04.13.01</v>
      </c>
      <c r="X174" s="207" t="str">
        <f t="shared" si="172"/>
        <v>Jalan</v>
      </c>
      <c r="Y174" s="207">
        <f t="shared" si="173"/>
        <v>10</v>
      </c>
      <c r="Z174" s="233">
        <f t="shared" si="174"/>
        <v>1488316684.8822999</v>
      </c>
      <c r="AA174" s="208">
        <f t="shared" si="152"/>
        <v>10</v>
      </c>
      <c r="AB174" s="233">
        <f t="shared" si="175"/>
        <v>14883166848.822998</v>
      </c>
      <c r="AC174" s="233">
        <f t="shared" ref="AC174:AC207" si="179">IF(T174-10=AB174,0,Z174)</f>
        <v>0</v>
      </c>
      <c r="AD174" s="233">
        <f t="shared" ref="AD174:AD207" si="180">IF(T174-10=AB174+AC174,0,Z174)</f>
        <v>0</v>
      </c>
      <c r="AE174" s="233">
        <f t="shared" ref="AE174:AE207" si="181">IF(T174-10=AB174+AC174+AD174,0,Z174)</f>
        <v>0</v>
      </c>
      <c r="AF174" s="238">
        <f t="shared" ref="AF174:AF207" si="182">IF(T174-10=AC174+AD174+AE174+AB174,0,Z174)</f>
        <v>0</v>
      </c>
      <c r="AG174" s="238">
        <f t="shared" si="176"/>
        <v>0</v>
      </c>
      <c r="AH174" s="238">
        <f t="shared" si="153"/>
        <v>14883166848.822998</v>
      </c>
      <c r="AI174" s="261">
        <f t="shared" si="177"/>
        <v>2001</v>
      </c>
      <c r="AJ174" s="233">
        <f t="shared" si="178"/>
        <v>10.000001907348633</v>
      </c>
    </row>
    <row r="175" spans="1:36" s="116" customFormat="1" ht="35.25" customHeight="1" x14ac:dyDescent="0.2">
      <c r="A175" s="116">
        <v>259</v>
      </c>
      <c r="B175" s="116" t="str">
        <f t="shared" si="154"/>
        <v>SENTAJO - TERATAK AIR HITAM</v>
      </c>
      <c r="D175" s="116" t="s">
        <v>4042</v>
      </c>
      <c r="E175" s="207" t="s">
        <v>4247</v>
      </c>
      <c r="F175" s="53"/>
      <c r="G175" s="67" t="str">
        <f t="shared" si="155"/>
        <v>PENINGKATAN JL. SENTAJO - TERATAK AIR HITAM</v>
      </c>
      <c r="H175" s="396" t="str">
        <f t="shared" si="156"/>
        <v>04.13.01.03.06</v>
      </c>
      <c r="I175" s="396">
        <f t="shared" si="157"/>
        <v>0</v>
      </c>
      <c r="J175" s="396">
        <f t="shared" si="158"/>
        <v>0</v>
      </c>
      <c r="K175" s="398">
        <f t="shared" si="159"/>
        <v>0</v>
      </c>
      <c r="L175" s="396">
        <f t="shared" si="160"/>
        <v>0</v>
      </c>
      <c r="M175" s="398">
        <f t="shared" si="161"/>
        <v>0</v>
      </c>
      <c r="N175" s="396" t="str">
        <f t="shared" si="162"/>
        <v>SENTAJO - TERATAK AIR HITAM</v>
      </c>
      <c r="O175" s="396">
        <f t="shared" si="163"/>
        <v>2015</v>
      </c>
      <c r="P175" s="396">
        <f t="shared" si="164"/>
        <v>0</v>
      </c>
      <c r="Q175" s="396">
        <f t="shared" si="165"/>
        <v>0</v>
      </c>
      <c r="R175" s="396">
        <f t="shared" si="166"/>
        <v>0</v>
      </c>
      <c r="S175" s="396" t="str">
        <f t="shared" si="167"/>
        <v>APBD</v>
      </c>
      <c r="T175" s="397">
        <f t="shared" si="168"/>
        <v>2691692465</v>
      </c>
      <c r="U175" s="396">
        <f t="shared" si="169"/>
        <v>0</v>
      </c>
      <c r="V175" s="396">
        <f t="shared" si="170"/>
        <v>0</v>
      </c>
      <c r="W175" s="206" t="str">
        <f t="shared" si="171"/>
        <v>04.13.01</v>
      </c>
      <c r="X175" s="207" t="str">
        <f t="shared" si="172"/>
        <v>Jalan</v>
      </c>
      <c r="Y175" s="207">
        <f t="shared" si="173"/>
        <v>10</v>
      </c>
      <c r="Z175" s="233">
        <f t="shared" si="174"/>
        <v>269169245.5</v>
      </c>
      <c r="AA175" s="208">
        <f t="shared" si="152"/>
        <v>0</v>
      </c>
      <c r="AB175" s="233">
        <f t="shared" si="175"/>
        <v>0</v>
      </c>
      <c r="AC175" s="233"/>
      <c r="AD175" s="233">
        <f t="shared" si="180"/>
        <v>269169245.5</v>
      </c>
      <c r="AE175" s="233">
        <f t="shared" si="181"/>
        <v>269169245.5</v>
      </c>
      <c r="AF175" s="238">
        <f t="shared" si="182"/>
        <v>269169245.5</v>
      </c>
      <c r="AG175" s="238">
        <f t="shared" si="176"/>
        <v>269169245.5</v>
      </c>
      <c r="AH175" s="238">
        <f t="shared" si="153"/>
        <v>1076676982</v>
      </c>
      <c r="AI175" s="261">
        <f t="shared" si="177"/>
        <v>2015</v>
      </c>
      <c r="AJ175" s="233">
        <f t="shared" si="178"/>
        <v>1615015483</v>
      </c>
    </row>
    <row r="176" spans="1:36" s="116" customFormat="1" ht="35.25" customHeight="1" x14ac:dyDescent="0.2">
      <c r="A176" s="116">
        <v>259</v>
      </c>
      <c r="B176" s="116" t="str">
        <f>VLOOKUP(A176,RUAS,2,FALSE)</f>
        <v>SENTAJO - TERATAK AIR HITAM</v>
      </c>
      <c r="D176" s="116" t="s">
        <v>4105</v>
      </c>
      <c r="E176" s="207" t="s">
        <v>4247</v>
      </c>
      <c r="F176" s="53"/>
      <c r="G176" s="67" t="str">
        <f>VLOOKUP(D176,ACUAN,4,FALSE)</f>
        <v>PEMBUATAN BOX CULVERT DESA PARIT TERATAK AIR HITAM</v>
      </c>
      <c r="H176" s="396" t="str">
        <f>VLOOKUP(D176,ACUAN,5,FALSE)</f>
        <v>04.13.01.03.06</v>
      </c>
      <c r="I176" s="396">
        <f>VLOOKUP(D176,ACUAN,6,FALSE)</f>
        <v>0</v>
      </c>
      <c r="J176" s="396">
        <f>VLOOKUP(D176,ACUAN,7,FALSE)</f>
        <v>0</v>
      </c>
      <c r="K176" s="398">
        <f>VLOOKUP(D176,ACUAN,8,FALSE)</f>
        <v>0</v>
      </c>
      <c r="L176" s="396">
        <f>VLOOKUP(D176,ACUAN,9,FALSE)</f>
        <v>0</v>
      </c>
      <c r="M176" s="398">
        <f>VLOOKUP(D176,ACUAN,10,FALSE)</f>
        <v>0</v>
      </c>
      <c r="N176" s="396" t="str">
        <f>VLOOKUP(D176,ACUAN,11,FALSE)</f>
        <v>DESA PARIT TERATAK AIR HITAM</v>
      </c>
      <c r="O176" s="396">
        <f>VLOOKUP(D176,ACUAN,12,FALSE)</f>
        <v>2017</v>
      </c>
      <c r="P176" s="396">
        <f>VLOOKUP(D176,ACUAN,13,FALSE)</f>
        <v>0</v>
      </c>
      <c r="Q176" s="396">
        <f>VLOOKUP(D176,ACUAN,14,FALSE)</f>
        <v>0</v>
      </c>
      <c r="R176" s="396">
        <f>VLOOKUP(D176,ACUAN,15,FALSE)</f>
        <v>0</v>
      </c>
      <c r="S176" s="396" t="str">
        <f>VLOOKUP(D176,ACUAN,16,FALSE)</f>
        <v>APBD</v>
      </c>
      <c r="T176" s="397">
        <f>VLOOKUP(D176,ACUAN,17,FALSE)</f>
        <v>189804600</v>
      </c>
      <c r="U176" s="396">
        <f>VLOOKUP(D176,ACUAN,18,FALSE)</f>
        <v>0</v>
      </c>
      <c r="V176" s="396">
        <f>VLOOKUP(D176,ACUAN,19,FALSE)</f>
        <v>0</v>
      </c>
      <c r="W176" s="206" t="str">
        <f t="shared" si="171"/>
        <v>04.13.01</v>
      </c>
      <c r="X176" s="207" t="str">
        <f t="shared" si="172"/>
        <v>Jalan</v>
      </c>
      <c r="Y176" s="207">
        <f t="shared" si="173"/>
        <v>10</v>
      </c>
      <c r="Z176" s="233">
        <f t="shared" si="174"/>
        <v>18980459</v>
      </c>
      <c r="AA176" s="208">
        <f t="shared" si="152"/>
        <v>0</v>
      </c>
      <c r="AB176" s="233">
        <f t="shared" si="175"/>
        <v>0</v>
      </c>
      <c r="AC176" s="233"/>
      <c r="AD176" s="233"/>
      <c r="AE176" s="233"/>
      <c r="AF176" s="238"/>
      <c r="AG176" s="238">
        <f t="shared" si="176"/>
        <v>18980459</v>
      </c>
      <c r="AH176" s="238">
        <f t="shared" si="153"/>
        <v>18980459</v>
      </c>
      <c r="AI176" s="261">
        <f t="shared" si="177"/>
        <v>2017</v>
      </c>
      <c r="AJ176" s="233">
        <f t="shared" si="178"/>
        <v>170824141</v>
      </c>
    </row>
    <row r="177" spans="1:36" s="116" customFormat="1" ht="35.25" customHeight="1" x14ac:dyDescent="0.2">
      <c r="A177" s="116">
        <v>260</v>
      </c>
      <c r="B177" s="116" t="str">
        <f t="shared" si="154"/>
        <v>BENAI - KOTO RAJO</v>
      </c>
      <c r="D177" s="116" t="s">
        <v>4043</v>
      </c>
      <c r="E177" s="218" t="s">
        <v>4247</v>
      </c>
      <c r="F177" s="53"/>
      <c r="G177" s="67" t="str">
        <f t="shared" si="155"/>
        <v>JALAN KABUPATEN ARTERI</v>
      </c>
      <c r="H177" s="396" t="str">
        <f t="shared" si="156"/>
        <v>04.13.01.03.04</v>
      </c>
      <c r="I177" s="396">
        <f t="shared" si="157"/>
        <v>0</v>
      </c>
      <c r="J177" s="396" t="str">
        <f t="shared" si="158"/>
        <v>BATU PECAH / MACADAM</v>
      </c>
      <c r="K177" s="398">
        <f t="shared" si="159"/>
        <v>11000</v>
      </c>
      <c r="L177" s="396">
        <f t="shared" si="160"/>
        <v>0</v>
      </c>
      <c r="M177" s="398">
        <f t="shared" si="161"/>
        <v>0</v>
      </c>
      <c r="N177" s="396" t="str">
        <f t="shared" si="162"/>
        <v>BENAI - KOTO RAJO</v>
      </c>
      <c r="O177" s="396">
        <f t="shared" si="163"/>
        <v>2001</v>
      </c>
      <c r="P177" s="396">
        <f t="shared" si="164"/>
        <v>0</v>
      </c>
      <c r="Q177" s="396">
        <f t="shared" si="165"/>
        <v>0</v>
      </c>
      <c r="R177" s="396" t="str">
        <f t="shared" si="166"/>
        <v>12.04.06.05.01..00</v>
      </c>
      <c r="S177" s="396" t="str">
        <f t="shared" si="167"/>
        <v>APBD</v>
      </c>
      <c r="T177" s="397">
        <f t="shared" si="168"/>
        <v>7982951762.6100006</v>
      </c>
      <c r="U177" s="396" t="str">
        <f t="shared" si="169"/>
        <v>B</v>
      </c>
      <c r="V177" s="396">
        <f t="shared" si="170"/>
        <v>0</v>
      </c>
      <c r="W177" s="206" t="str">
        <f t="shared" si="171"/>
        <v>04.13.01</v>
      </c>
      <c r="X177" s="207" t="str">
        <f t="shared" si="172"/>
        <v>Jalan</v>
      </c>
      <c r="Y177" s="207">
        <f t="shared" si="173"/>
        <v>10</v>
      </c>
      <c r="Z177" s="233">
        <f t="shared" si="174"/>
        <v>798295175.26100004</v>
      </c>
      <c r="AA177" s="208">
        <f t="shared" si="152"/>
        <v>10</v>
      </c>
      <c r="AB177" s="233">
        <f t="shared" si="175"/>
        <v>7982951752.6100006</v>
      </c>
      <c r="AC177" s="233">
        <f t="shared" si="179"/>
        <v>0</v>
      </c>
      <c r="AD177" s="233">
        <f t="shared" si="180"/>
        <v>0</v>
      </c>
      <c r="AE177" s="233">
        <f t="shared" si="181"/>
        <v>0</v>
      </c>
      <c r="AF177" s="238">
        <f t="shared" si="182"/>
        <v>0</v>
      </c>
      <c r="AG177" s="238">
        <f t="shared" si="176"/>
        <v>0</v>
      </c>
      <c r="AH177" s="238">
        <f t="shared" si="153"/>
        <v>7982951752.6100006</v>
      </c>
      <c r="AI177" s="261">
        <f t="shared" si="177"/>
        <v>2001</v>
      </c>
      <c r="AJ177" s="233">
        <f t="shared" si="178"/>
        <v>10</v>
      </c>
    </row>
    <row r="178" spans="1:36" s="116" customFormat="1" ht="35.25" customHeight="1" x14ac:dyDescent="0.2">
      <c r="A178" s="116">
        <v>260</v>
      </c>
      <c r="B178" s="116" t="str">
        <f t="shared" si="154"/>
        <v>BENAI - KOTO RAJO</v>
      </c>
      <c r="D178" s="116" t="s">
        <v>4101</v>
      </c>
      <c r="E178" s="218" t="s">
        <v>4247</v>
      </c>
      <c r="F178" s="53"/>
      <c r="G178" s="67" t="str">
        <f t="shared" si="155"/>
        <v>PEMBUATAN 1 UNIT BOX CULVERT 2 X 2,5 (TUNGGAL) SEI. SOS RUAS JALAN BENAI - KOTO RAJO</v>
      </c>
      <c r="H178" s="396" t="s">
        <v>2494</v>
      </c>
      <c r="I178" s="396">
        <f t="shared" si="157"/>
        <v>0</v>
      </c>
      <c r="J178" s="396" t="str">
        <f t="shared" si="158"/>
        <v>Beton</v>
      </c>
      <c r="K178" s="398">
        <f t="shared" si="159"/>
        <v>2</v>
      </c>
      <c r="L178" s="396">
        <f t="shared" si="160"/>
        <v>2.5</v>
      </c>
      <c r="M178" s="398">
        <f t="shared" si="161"/>
        <v>5</v>
      </c>
      <c r="N178" s="396" t="str">
        <f t="shared" si="162"/>
        <v>BENAI - KOTO RAJO</v>
      </c>
      <c r="O178" s="396">
        <f t="shared" si="163"/>
        <v>2007</v>
      </c>
      <c r="P178" s="396">
        <f t="shared" si="164"/>
        <v>0</v>
      </c>
      <c r="Q178" s="396">
        <f t="shared" si="165"/>
        <v>0</v>
      </c>
      <c r="R178" s="396">
        <f t="shared" si="166"/>
        <v>0</v>
      </c>
      <c r="S178" s="396" t="str">
        <f t="shared" si="167"/>
        <v>APBD</v>
      </c>
      <c r="T178" s="397">
        <f t="shared" si="168"/>
        <v>786808471.61551905</v>
      </c>
      <c r="U178" s="396" t="str">
        <f t="shared" si="169"/>
        <v>B</v>
      </c>
      <c r="V178" s="396">
        <f t="shared" si="170"/>
        <v>0</v>
      </c>
      <c r="W178" s="206" t="str">
        <f t="shared" si="171"/>
        <v>04.13.01</v>
      </c>
      <c r="X178" s="661" t="str">
        <f t="shared" si="172"/>
        <v>Jalan</v>
      </c>
      <c r="Y178" s="207">
        <f t="shared" si="173"/>
        <v>10</v>
      </c>
      <c r="Z178" s="233">
        <f t="shared" si="174"/>
        <v>78680846.161551908</v>
      </c>
      <c r="AA178" s="208">
        <f t="shared" si="152"/>
        <v>6</v>
      </c>
      <c r="AB178" s="233">
        <f t="shared" si="175"/>
        <v>472085076.96931148</v>
      </c>
      <c r="AC178" s="233">
        <f t="shared" si="179"/>
        <v>78680846.161551908</v>
      </c>
      <c r="AD178" s="233">
        <f t="shared" si="180"/>
        <v>78680846.161551908</v>
      </c>
      <c r="AE178" s="233">
        <f t="shared" si="181"/>
        <v>78680846.161551908</v>
      </c>
      <c r="AF178" s="238">
        <f t="shared" si="182"/>
        <v>78680846.161551908</v>
      </c>
      <c r="AG178" s="238">
        <f t="shared" si="176"/>
        <v>0</v>
      </c>
      <c r="AH178" s="238">
        <f t="shared" si="153"/>
        <v>786808461.61551929</v>
      </c>
      <c r="AI178" s="261">
        <f t="shared" si="177"/>
        <v>2007</v>
      </c>
      <c r="AJ178" s="233">
        <f t="shared" si="178"/>
        <v>9.9999997615814209</v>
      </c>
    </row>
    <row r="179" spans="1:36" s="116" customFormat="1" ht="35.25" customHeight="1" x14ac:dyDescent="0.2">
      <c r="A179" s="116">
        <v>260</v>
      </c>
      <c r="B179" s="116" t="str">
        <f t="shared" si="154"/>
        <v>BENAI - KOTO RAJO</v>
      </c>
      <c r="D179" s="116" t="s">
        <v>4044</v>
      </c>
      <c r="E179" s="218" t="s">
        <v>4247</v>
      </c>
      <c r="F179" s="53"/>
      <c r="G179" s="67" t="str">
        <f t="shared" si="155"/>
        <v>PENINGKATAN JALAN BENAI - KOTO RAJO (ASPAL)  (DAK)</v>
      </c>
      <c r="H179" s="396" t="str">
        <f t="shared" si="156"/>
        <v>04.13.01.03.06</v>
      </c>
      <c r="I179" s="396">
        <f t="shared" si="157"/>
        <v>0</v>
      </c>
      <c r="J179" s="396">
        <f t="shared" si="158"/>
        <v>0</v>
      </c>
      <c r="K179" s="398">
        <f t="shared" si="159"/>
        <v>0</v>
      </c>
      <c r="L179" s="396">
        <f t="shared" si="160"/>
        <v>0</v>
      </c>
      <c r="M179" s="398">
        <f t="shared" si="161"/>
        <v>0</v>
      </c>
      <c r="N179" s="396" t="str">
        <f t="shared" si="162"/>
        <v>BENAI - KOTO RAJO</v>
      </c>
      <c r="O179" s="396">
        <f t="shared" si="163"/>
        <v>2017</v>
      </c>
      <c r="P179" s="396">
        <f t="shared" si="164"/>
        <v>0</v>
      </c>
      <c r="Q179" s="396">
        <f t="shared" si="165"/>
        <v>0</v>
      </c>
      <c r="R179" s="396">
        <f t="shared" si="166"/>
        <v>0</v>
      </c>
      <c r="S179" s="396" t="str">
        <f t="shared" si="167"/>
        <v>APBD</v>
      </c>
      <c r="T179" s="397">
        <f t="shared" si="168"/>
        <v>6716002158</v>
      </c>
      <c r="U179" s="396">
        <f t="shared" si="169"/>
        <v>0</v>
      </c>
      <c r="V179" s="396">
        <f t="shared" si="170"/>
        <v>0</v>
      </c>
      <c r="W179" s="206" t="str">
        <f t="shared" si="171"/>
        <v>04.13.01</v>
      </c>
      <c r="X179" s="207" t="str">
        <f t="shared" si="172"/>
        <v>Jalan</v>
      </c>
      <c r="Y179" s="207">
        <f t="shared" si="173"/>
        <v>10</v>
      </c>
      <c r="Z179" s="233">
        <f t="shared" si="174"/>
        <v>671600214.79999995</v>
      </c>
      <c r="AA179" s="208">
        <f t="shared" si="152"/>
        <v>0</v>
      </c>
      <c r="AB179" s="233">
        <f t="shared" si="175"/>
        <v>0</v>
      </c>
      <c r="AC179" s="233"/>
      <c r="AD179" s="233"/>
      <c r="AE179" s="233"/>
      <c r="AF179" s="238"/>
      <c r="AG179" s="238">
        <f t="shared" si="176"/>
        <v>671600214.79999995</v>
      </c>
      <c r="AH179" s="238">
        <f t="shared" si="153"/>
        <v>671600214.79999995</v>
      </c>
      <c r="AI179" s="261">
        <f t="shared" si="177"/>
        <v>2017</v>
      </c>
      <c r="AJ179" s="233">
        <f t="shared" si="178"/>
        <v>6044401943.1999998</v>
      </c>
    </row>
    <row r="180" spans="1:36" s="116" customFormat="1" ht="35.25" customHeight="1" x14ac:dyDescent="0.2">
      <c r="A180" s="116">
        <v>260</v>
      </c>
      <c r="B180" s="116" t="str">
        <f>VLOOKUP(A180,RUAS,2,FALSE)</f>
        <v>BENAI - KOTO RAJO</v>
      </c>
      <c r="D180" s="116" t="s">
        <v>4045</v>
      </c>
      <c r="E180" s="218" t="s">
        <v>4247</v>
      </c>
      <c r="F180" s="53"/>
      <c r="G180" s="67" t="str">
        <f>VLOOKUP(D180,ACUAN,4,FALSE)</f>
        <v>PENGAWASAN PENINGKATAN JALAN BENAI - KOTO RAJO  (DAK)</v>
      </c>
      <c r="H180" s="396" t="str">
        <f>VLOOKUP(D180,ACUAN,5,FALSE)</f>
        <v>04.13.01.03.06</v>
      </c>
      <c r="I180" s="396">
        <f>VLOOKUP(D180,ACUAN,6,FALSE)</f>
        <v>0</v>
      </c>
      <c r="J180" s="396">
        <f>VLOOKUP(D180,ACUAN,7,FALSE)</f>
        <v>0</v>
      </c>
      <c r="K180" s="398">
        <f>VLOOKUP(D180,ACUAN,8,FALSE)</f>
        <v>0</v>
      </c>
      <c r="L180" s="396">
        <f>VLOOKUP(D180,ACUAN,9,FALSE)</f>
        <v>0</v>
      </c>
      <c r="M180" s="398">
        <f>VLOOKUP(D180,ACUAN,10,FALSE)</f>
        <v>0</v>
      </c>
      <c r="N180" s="396" t="str">
        <f>VLOOKUP(D180,ACUAN,11,FALSE)</f>
        <v>BENAI - KOTO RAJO</v>
      </c>
      <c r="O180" s="396">
        <f>VLOOKUP(D180,ACUAN,12,FALSE)</f>
        <v>2017</v>
      </c>
      <c r="P180" s="396">
        <f>VLOOKUP(D180,ACUAN,13,FALSE)</f>
        <v>0</v>
      </c>
      <c r="Q180" s="396">
        <f>VLOOKUP(D180,ACUAN,14,FALSE)</f>
        <v>0</v>
      </c>
      <c r="R180" s="396">
        <f>VLOOKUP(D180,ACUAN,15,FALSE)</f>
        <v>0</v>
      </c>
      <c r="S180" s="396" t="str">
        <f>VLOOKUP(D180,ACUAN,16,FALSE)</f>
        <v>APBD</v>
      </c>
      <c r="T180" s="397">
        <f>VLOOKUP(D180,ACUAN,17,FALSE)</f>
        <v>248765000</v>
      </c>
      <c r="U180" s="396">
        <f>VLOOKUP(D180,ACUAN,18,FALSE)</f>
        <v>0</v>
      </c>
      <c r="V180" s="396">
        <f>VLOOKUP(D180,ACUAN,19,FALSE)</f>
        <v>0</v>
      </c>
      <c r="W180" s="206" t="str">
        <f t="shared" si="171"/>
        <v>04.13.01</v>
      </c>
      <c r="X180" s="207" t="str">
        <f t="shared" si="172"/>
        <v>Jalan</v>
      </c>
      <c r="Y180" s="207">
        <f t="shared" si="173"/>
        <v>10</v>
      </c>
      <c r="Z180" s="233">
        <f t="shared" si="174"/>
        <v>24876499</v>
      </c>
      <c r="AA180" s="208">
        <f t="shared" si="152"/>
        <v>0</v>
      </c>
      <c r="AB180" s="233">
        <f t="shared" si="175"/>
        <v>0</v>
      </c>
      <c r="AC180" s="233"/>
      <c r="AD180" s="233"/>
      <c r="AE180" s="233"/>
      <c r="AF180" s="238"/>
      <c r="AG180" s="238">
        <f t="shared" si="176"/>
        <v>24876499</v>
      </c>
      <c r="AH180" s="238">
        <f t="shared" si="153"/>
        <v>24876499</v>
      </c>
      <c r="AI180" s="261">
        <f t="shared" si="177"/>
        <v>2017</v>
      </c>
      <c r="AJ180" s="233">
        <f t="shared" si="178"/>
        <v>223888501</v>
      </c>
    </row>
    <row r="181" spans="1:36" s="116" customFormat="1" ht="35.25" customHeight="1" x14ac:dyDescent="0.2">
      <c r="A181" s="116">
        <v>279</v>
      </c>
      <c r="B181" s="116" t="str">
        <f t="shared" si="154"/>
        <v>TALONTAM - BANJAR BENAI</v>
      </c>
      <c r="D181" s="116" t="s">
        <v>4056</v>
      </c>
      <c r="E181" s="218" t="s">
        <v>4247</v>
      </c>
      <c r="F181" s="53"/>
      <c r="G181" s="67" t="str">
        <f t="shared" si="155"/>
        <v>JALAN KABUPATEN ARTERI</v>
      </c>
      <c r="H181" s="396" t="str">
        <f t="shared" si="156"/>
        <v>04.13.01.03.04</v>
      </c>
      <c r="I181" s="396">
        <f t="shared" si="157"/>
        <v>0</v>
      </c>
      <c r="J181" s="396" t="str">
        <f t="shared" si="158"/>
        <v>ASPAL HOTMIX</v>
      </c>
      <c r="K181" s="398" t="str">
        <f t="shared" si="159"/>
        <v>3000</v>
      </c>
      <c r="L181" s="396">
        <f t="shared" si="160"/>
        <v>7</v>
      </c>
      <c r="M181" s="398">
        <f t="shared" si="161"/>
        <v>21000</v>
      </c>
      <c r="N181" s="396" t="str">
        <f t="shared" si="162"/>
        <v>JL. TALONTAM - BANJAR BENAI</v>
      </c>
      <c r="O181" s="396">
        <f t="shared" si="163"/>
        <v>2001</v>
      </c>
      <c r="P181" s="396">
        <f t="shared" si="164"/>
        <v>0</v>
      </c>
      <c r="Q181" s="396">
        <f t="shared" si="165"/>
        <v>0</v>
      </c>
      <c r="R181" s="396" t="str">
        <f t="shared" si="166"/>
        <v>12.04.06.05.01.00</v>
      </c>
      <c r="S181" s="396" t="str">
        <f t="shared" si="167"/>
        <v>APBD</v>
      </c>
      <c r="T181" s="397">
        <f t="shared" si="168"/>
        <v>2520000000</v>
      </c>
      <c r="U181" s="396" t="str">
        <f t="shared" si="169"/>
        <v>B</v>
      </c>
      <c r="V181" s="396">
        <f t="shared" si="170"/>
        <v>0</v>
      </c>
      <c r="W181" s="206" t="str">
        <f t="shared" si="171"/>
        <v>04.13.01</v>
      </c>
      <c r="X181" s="207" t="str">
        <f t="shared" si="172"/>
        <v>Jalan</v>
      </c>
      <c r="Y181" s="207">
        <f t="shared" si="173"/>
        <v>10</v>
      </c>
      <c r="Z181" s="233">
        <f t="shared" si="174"/>
        <v>251999999</v>
      </c>
      <c r="AA181" s="208">
        <f t="shared" si="152"/>
        <v>10</v>
      </c>
      <c r="AB181" s="233">
        <f t="shared" si="175"/>
        <v>2519999990</v>
      </c>
      <c r="AC181" s="233">
        <f t="shared" si="179"/>
        <v>0</v>
      </c>
      <c r="AD181" s="233">
        <f t="shared" si="180"/>
        <v>0</v>
      </c>
      <c r="AE181" s="233">
        <f t="shared" si="181"/>
        <v>0</v>
      </c>
      <c r="AF181" s="238">
        <f t="shared" si="182"/>
        <v>0</v>
      </c>
      <c r="AG181" s="238">
        <f t="shared" si="176"/>
        <v>0</v>
      </c>
      <c r="AH181" s="238">
        <f t="shared" si="153"/>
        <v>2519999990</v>
      </c>
      <c r="AI181" s="261">
        <f t="shared" si="177"/>
        <v>2001</v>
      </c>
      <c r="AJ181" s="233">
        <f t="shared" si="178"/>
        <v>10</v>
      </c>
    </row>
    <row r="182" spans="1:36" s="116" customFormat="1" ht="35.25" customHeight="1" x14ac:dyDescent="0.2">
      <c r="A182" s="116">
        <v>279</v>
      </c>
      <c r="B182" s="116" t="str">
        <f t="shared" si="154"/>
        <v>TALONTAM - BANJAR BENAI</v>
      </c>
      <c r="D182" s="116" t="s">
        <v>4057</v>
      </c>
      <c r="E182" s="218" t="s">
        <v>4247</v>
      </c>
      <c r="F182" s="53"/>
      <c r="G182" s="67" t="str">
        <f t="shared" si="155"/>
        <v>PEMBANGUNAN JEM. TALONTAM RUAS JL. TALONTAM - BANJAR BENAI</v>
      </c>
      <c r="H182" s="396" t="str">
        <f t="shared" si="156"/>
        <v>04.13.01.03.06</v>
      </c>
      <c r="I182" s="396">
        <f t="shared" si="157"/>
        <v>0</v>
      </c>
      <c r="J182" s="396">
        <f t="shared" si="158"/>
        <v>0</v>
      </c>
      <c r="K182" s="398">
        <f t="shared" si="159"/>
        <v>0</v>
      </c>
      <c r="L182" s="396">
        <f t="shared" si="160"/>
        <v>0</v>
      </c>
      <c r="M182" s="398">
        <f t="shared" si="161"/>
        <v>0</v>
      </c>
      <c r="N182" s="396" t="str">
        <f t="shared" si="162"/>
        <v>JL. TALONTAM - BANJAR BENAI</v>
      </c>
      <c r="O182" s="396">
        <f t="shared" si="163"/>
        <v>2015</v>
      </c>
      <c r="P182" s="396">
        <f t="shared" si="164"/>
        <v>0</v>
      </c>
      <c r="Q182" s="396">
        <f t="shared" si="165"/>
        <v>0</v>
      </c>
      <c r="R182" s="396">
        <f t="shared" si="166"/>
        <v>0</v>
      </c>
      <c r="S182" s="396" t="str">
        <f t="shared" si="167"/>
        <v>APBD</v>
      </c>
      <c r="T182" s="397">
        <f t="shared" si="168"/>
        <v>2349817980</v>
      </c>
      <c r="U182" s="396">
        <f t="shared" si="169"/>
        <v>0</v>
      </c>
      <c r="V182" s="396">
        <f t="shared" si="170"/>
        <v>0</v>
      </c>
      <c r="W182" s="206" t="str">
        <f t="shared" si="171"/>
        <v>04.13.01</v>
      </c>
      <c r="X182" s="207" t="str">
        <f t="shared" si="172"/>
        <v>Jalan</v>
      </c>
      <c r="Y182" s="207">
        <f t="shared" si="173"/>
        <v>10</v>
      </c>
      <c r="Z182" s="233">
        <f t="shared" si="174"/>
        <v>234981797</v>
      </c>
      <c r="AA182" s="208">
        <f t="shared" si="152"/>
        <v>0</v>
      </c>
      <c r="AB182" s="233">
        <f t="shared" si="175"/>
        <v>0</v>
      </c>
      <c r="AC182" s="233"/>
      <c r="AD182" s="233">
        <f t="shared" si="180"/>
        <v>234981797</v>
      </c>
      <c r="AE182" s="233">
        <f t="shared" si="181"/>
        <v>234981797</v>
      </c>
      <c r="AF182" s="238">
        <f t="shared" si="182"/>
        <v>234981797</v>
      </c>
      <c r="AG182" s="238">
        <f t="shared" si="176"/>
        <v>234981797</v>
      </c>
      <c r="AH182" s="238">
        <f t="shared" si="153"/>
        <v>939927188</v>
      </c>
      <c r="AI182" s="261">
        <f t="shared" si="177"/>
        <v>2015</v>
      </c>
      <c r="AJ182" s="233">
        <f t="shared" si="178"/>
        <v>1409890792</v>
      </c>
    </row>
    <row r="183" spans="1:36" s="116" customFormat="1" ht="35.25" customHeight="1" x14ac:dyDescent="0.2">
      <c r="A183" s="116">
        <v>285</v>
      </c>
      <c r="B183" s="116" t="str">
        <f t="shared" si="154"/>
        <v>SEI. PERUPUK - TELUK PAUH</v>
      </c>
      <c r="D183" s="116" t="s">
        <v>4063</v>
      </c>
      <c r="E183" s="218" t="s">
        <v>4247</v>
      </c>
      <c r="F183" s="53"/>
      <c r="G183" s="67" t="str">
        <f t="shared" si="155"/>
        <v>JALAN KABUPATEN LOKAL</v>
      </c>
      <c r="H183" s="396" t="str">
        <f t="shared" si="156"/>
        <v>04.13.01.03.06</v>
      </c>
      <c r="I183" s="396">
        <f t="shared" si="157"/>
        <v>0</v>
      </c>
      <c r="J183" s="396" t="str">
        <f t="shared" si="158"/>
        <v>ASPAL PENETRASI</v>
      </c>
      <c r="K183" s="398" t="str">
        <f t="shared" si="159"/>
        <v>3500</v>
      </c>
      <c r="L183" s="396">
        <f t="shared" si="160"/>
        <v>7</v>
      </c>
      <c r="M183" s="398">
        <f t="shared" si="161"/>
        <v>24500</v>
      </c>
      <c r="N183" s="396" t="str">
        <f t="shared" si="162"/>
        <v>SEI PERUPUK-TELUK PAUH</v>
      </c>
      <c r="O183" s="396">
        <f t="shared" si="163"/>
        <v>2001</v>
      </c>
      <c r="P183" s="396">
        <f t="shared" si="164"/>
        <v>0</v>
      </c>
      <c r="Q183" s="396">
        <f t="shared" si="165"/>
        <v>0</v>
      </c>
      <c r="R183" s="396" t="str">
        <f t="shared" si="166"/>
        <v>12.04.06.05.01.00</v>
      </c>
      <c r="S183" s="396" t="str">
        <f t="shared" si="167"/>
        <v>APBD</v>
      </c>
      <c r="T183" s="397">
        <f t="shared" si="168"/>
        <v>2835000000</v>
      </c>
      <c r="U183" s="396" t="str">
        <f t="shared" si="169"/>
        <v>B</v>
      </c>
      <c r="V183" s="396">
        <f t="shared" si="170"/>
        <v>0</v>
      </c>
      <c r="W183" s="206" t="str">
        <f t="shared" si="171"/>
        <v>04.13.01</v>
      </c>
      <c r="X183" s="207" t="str">
        <f t="shared" si="172"/>
        <v>Jalan</v>
      </c>
      <c r="Y183" s="207">
        <f t="shared" si="173"/>
        <v>10</v>
      </c>
      <c r="Z183" s="233">
        <f t="shared" si="174"/>
        <v>283499999</v>
      </c>
      <c r="AA183" s="208">
        <f t="shared" si="152"/>
        <v>10</v>
      </c>
      <c r="AB183" s="233">
        <f t="shared" si="175"/>
        <v>2834999990</v>
      </c>
      <c r="AC183" s="233">
        <f t="shared" si="179"/>
        <v>0</v>
      </c>
      <c r="AD183" s="233">
        <f t="shared" si="180"/>
        <v>0</v>
      </c>
      <c r="AE183" s="233">
        <f t="shared" si="181"/>
        <v>0</v>
      </c>
      <c r="AF183" s="238">
        <f t="shared" si="182"/>
        <v>0</v>
      </c>
      <c r="AG183" s="238">
        <f t="shared" si="176"/>
        <v>0</v>
      </c>
      <c r="AH183" s="238">
        <f t="shared" si="153"/>
        <v>2834999990</v>
      </c>
      <c r="AI183" s="261">
        <f t="shared" si="177"/>
        <v>2001</v>
      </c>
      <c r="AJ183" s="233">
        <f t="shared" si="178"/>
        <v>10</v>
      </c>
    </row>
    <row r="184" spans="1:36" s="116" customFormat="1" ht="35.25" customHeight="1" x14ac:dyDescent="0.2">
      <c r="A184" s="116">
        <v>285</v>
      </c>
      <c r="B184" s="116" t="str">
        <f t="shared" si="154"/>
        <v>SEI. PERUPUK - TELUK PAUH</v>
      </c>
      <c r="D184" s="116" t="s">
        <v>4064</v>
      </c>
      <c r="E184" s="218" t="s">
        <v>4247</v>
      </c>
      <c r="F184" s="53"/>
      <c r="G184" s="67" t="str">
        <f t="shared" si="155"/>
        <v>PENINGKATAN JALAN SEI. PERUPUK - TELUK PAUH (ASPAL 1,00 KM)</v>
      </c>
      <c r="H184" s="396" t="str">
        <f t="shared" si="156"/>
        <v>04.13.01.03.06</v>
      </c>
      <c r="I184" s="396">
        <f t="shared" si="157"/>
        <v>0</v>
      </c>
      <c r="J184" s="396" t="str">
        <f t="shared" si="158"/>
        <v>Aspal</v>
      </c>
      <c r="K184" s="398">
        <f t="shared" si="159"/>
        <v>0</v>
      </c>
      <c r="L184" s="396">
        <f t="shared" si="160"/>
        <v>0</v>
      </c>
      <c r="M184" s="398">
        <f t="shared" si="161"/>
        <v>1000</v>
      </c>
      <c r="N184" s="396" t="str">
        <f t="shared" si="162"/>
        <v>SEI PERUPUK-TELUK PAUH</v>
      </c>
      <c r="O184" s="396">
        <f t="shared" si="163"/>
        <v>2011</v>
      </c>
      <c r="P184" s="396">
        <f t="shared" si="164"/>
        <v>0</v>
      </c>
      <c r="Q184" s="396">
        <f t="shared" si="165"/>
        <v>0</v>
      </c>
      <c r="R184" s="396">
        <f t="shared" si="166"/>
        <v>0</v>
      </c>
      <c r="S184" s="396" t="str">
        <f t="shared" si="167"/>
        <v>APBD</v>
      </c>
      <c r="T184" s="397">
        <f t="shared" si="168"/>
        <v>2978274268.4109097</v>
      </c>
      <c r="U184" s="396" t="str">
        <f t="shared" si="169"/>
        <v>B</v>
      </c>
      <c r="V184" s="396">
        <f t="shared" si="170"/>
        <v>0</v>
      </c>
      <c r="W184" s="206" t="str">
        <f t="shared" si="171"/>
        <v>04.13.01</v>
      </c>
      <c r="X184" s="207" t="str">
        <f t="shared" si="172"/>
        <v>Jalan</v>
      </c>
      <c r="Y184" s="207">
        <f t="shared" si="173"/>
        <v>10</v>
      </c>
      <c r="Z184" s="233">
        <f t="shared" si="174"/>
        <v>297827425.84109098</v>
      </c>
      <c r="AA184" s="208">
        <f t="shared" si="152"/>
        <v>2</v>
      </c>
      <c r="AB184" s="233">
        <f t="shared" si="175"/>
        <v>595654851.68218195</v>
      </c>
      <c r="AC184" s="233">
        <f t="shared" si="179"/>
        <v>297827425.84109098</v>
      </c>
      <c r="AD184" s="233">
        <f t="shared" si="180"/>
        <v>297827425.84109098</v>
      </c>
      <c r="AE184" s="233">
        <f t="shared" si="181"/>
        <v>297827425.84109098</v>
      </c>
      <c r="AF184" s="238">
        <f t="shared" si="182"/>
        <v>297827425.84109098</v>
      </c>
      <c r="AG184" s="238">
        <f t="shared" si="176"/>
        <v>297827425.84109098</v>
      </c>
      <c r="AH184" s="238">
        <f t="shared" si="153"/>
        <v>2084791980.8876367</v>
      </c>
      <c r="AI184" s="261">
        <f t="shared" si="177"/>
        <v>2011</v>
      </c>
      <c r="AJ184" s="233">
        <f t="shared" si="178"/>
        <v>893482287.52327299</v>
      </c>
    </row>
    <row r="185" spans="1:36" s="116" customFormat="1" ht="35.25" customHeight="1" x14ac:dyDescent="0.2">
      <c r="A185" s="116">
        <v>285</v>
      </c>
      <c r="B185" s="116" t="str">
        <f t="shared" si="154"/>
        <v>SEI. PERUPUK - TELUK PAUH</v>
      </c>
      <c r="D185" s="116" t="s">
        <v>4065</v>
      </c>
      <c r="E185" s="218" t="s">
        <v>4247</v>
      </c>
      <c r="F185" s="53"/>
      <c r="G185" s="67" t="str">
        <f t="shared" si="155"/>
        <v>PENINGKATAN JALAN SEI. PERUPUK - TELUK PAUH (ASPAL)</v>
      </c>
      <c r="H185" s="396" t="str">
        <f t="shared" si="156"/>
        <v>04.13.01.03.06</v>
      </c>
      <c r="I185" s="396">
        <f t="shared" si="157"/>
        <v>0</v>
      </c>
      <c r="J185" s="396">
        <f t="shared" si="158"/>
        <v>0</v>
      </c>
      <c r="K185" s="398">
        <f t="shared" si="159"/>
        <v>0</v>
      </c>
      <c r="L185" s="396">
        <f t="shared" si="160"/>
        <v>0</v>
      </c>
      <c r="M185" s="398">
        <f t="shared" si="161"/>
        <v>0</v>
      </c>
      <c r="N185" s="396" t="str">
        <f t="shared" si="162"/>
        <v>SEI PERUPUK-TELUK PAUH</v>
      </c>
      <c r="O185" s="396">
        <f t="shared" si="163"/>
        <v>2014</v>
      </c>
      <c r="P185" s="396">
        <f t="shared" si="164"/>
        <v>0</v>
      </c>
      <c r="Q185" s="396">
        <f t="shared" si="165"/>
        <v>0</v>
      </c>
      <c r="R185" s="396">
        <f t="shared" si="166"/>
        <v>0</v>
      </c>
      <c r="S185" s="396">
        <f t="shared" si="167"/>
        <v>0</v>
      </c>
      <c r="T185" s="397">
        <f t="shared" si="168"/>
        <v>1212803223</v>
      </c>
      <c r="U185" s="396">
        <f t="shared" si="169"/>
        <v>0</v>
      </c>
      <c r="V185" s="396">
        <f t="shared" si="170"/>
        <v>0</v>
      </c>
      <c r="W185" s="206" t="str">
        <f t="shared" si="171"/>
        <v>04.13.01</v>
      </c>
      <c r="X185" s="207" t="str">
        <f t="shared" si="172"/>
        <v>Jalan</v>
      </c>
      <c r="Y185" s="207">
        <f t="shared" si="173"/>
        <v>10</v>
      </c>
      <c r="Z185" s="233">
        <f t="shared" si="174"/>
        <v>121280321.3</v>
      </c>
      <c r="AA185" s="208">
        <f t="shared" si="152"/>
        <v>0</v>
      </c>
      <c r="AB185" s="233">
        <f t="shared" si="175"/>
        <v>0</v>
      </c>
      <c r="AC185" s="233">
        <f t="shared" si="179"/>
        <v>121280321.3</v>
      </c>
      <c r="AD185" s="233">
        <f t="shared" si="180"/>
        <v>121280321.3</v>
      </c>
      <c r="AE185" s="233">
        <f t="shared" si="181"/>
        <v>121280321.3</v>
      </c>
      <c r="AF185" s="238">
        <f t="shared" si="182"/>
        <v>121280321.3</v>
      </c>
      <c r="AG185" s="238">
        <f t="shared" si="176"/>
        <v>121280321.3</v>
      </c>
      <c r="AH185" s="238">
        <f t="shared" si="153"/>
        <v>606401606.5</v>
      </c>
      <c r="AI185" s="261">
        <f t="shared" si="177"/>
        <v>2014</v>
      </c>
      <c r="AJ185" s="233">
        <f t="shared" si="178"/>
        <v>606401616.5</v>
      </c>
    </row>
    <row r="186" spans="1:36" s="116" customFormat="1" ht="35.25" customHeight="1" x14ac:dyDescent="0.2">
      <c r="A186" s="116">
        <v>285</v>
      </c>
      <c r="B186" s="116" t="str">
        <f>VLOOKUP(A186,RUAS,2,FALSE)</f>
        <v>SEI. PERUPUK - TELUK PAUH</v>
      </c>
      <c r="D186" s="116" t="s">
        <v>4111</v>
      </c>
      <c r="E186" s="218" t="s">
        <v>4247</v>
      </c>
      <c r="F186" s="53"/>
      <c r="G186" s="67" t="str">
        <f>VLOOKUP(D186,ACUAN,4,FALSE)</f>
        <v>PEMBUATAN BOX CULVERT JALAN BARU DUSUN SUNGAI PERUPUK DESA PULAU PANJANG CERENTI</v>
      </c>
      <c r="H186" s="396" t="str">
        <f>VLOOKUP(D186,ACUAN,5,FALSE)</f>
        <v>04.13.01.03.06</v>
      </c>
      <c r="I186" s="396">
        <f>VLOOKUP(D186,ACUAN,6,FALSE)</f>
        <v>0</v>
      </c>
      <c r="J186" s="396">
        <f>VLOOKUP(D186,ACUAN,7,FALSE)</f>
        <v>0</v>
      </c>
      <c r="K186" s="398">
        <f>VLOOKUP(D186,ACUAN,8,FALSE)</f>
        <v>0</v>
      </c>
      <c r="L186" s="396">
        <f>VLOOKUP(D186,ACUAN,9,FALSE)</f>
        <v>0</v>
      </c>
      <c r="M186" s="398">
        <f>VLOOKUP(D186,ACUAN,10,FALSE)</f>
        <v>0</v>
      </c>
      <c r="N186" s="396" t="str">
        <f>VLOOKUP(D186,ACUAN,11,FALSE)</f>
        <v>DUSUN SUNGAI PERUPUK CERENTI</v>
      </c>
      <c r="O186" s="396">
        <f>VLOOKUP(D186,ACUAN,12,FALSE)</f>
        <v>2017</v>
      </c>
      <c r="P186" s="396">
        <f>VLOOKUP(D186,ACUAN,13,FALSE)</f>
        <v>0</v>
      </c>
      <c r="Q186" s="396">
        <f>VLOOKUP(D186,ACUAN,14,FALSE)</f>
        <v>0</v>
      </c>
      <c r="R186" s="396">
        <f>VLOOKUP(D186,ACUAN,15,FALSE)</f>
        <v>0</v>
      </c>
      <c r="S186" s="396" t="str">
        <f>VLOOKUP(D186,ACUAN,16,FALSE)</f>
        <v>APBD</v>
      </c>
      <c r="T186" s="397">
        <f>VLOOKUP(D186,ACUAN,17,FALSE)</f>
        <v>190284000</v>
      </c>
      <c r="U186" s="396">
        <f>VLOOKUP(D186,ACUAN,18,FALSE)</f>
        <v>0</v>
      </c>
      <c r="V186" s="396">
        <f>VLOOKUP(D186,ACUAN,19,FALSE)</f>
        <v>0</v>
      </c>
      <c r="W186" s="206" t="str">
        <f t="shared" si="171"/>
        <v>04.13.01</v>
      </c>
      <c r="X186" s="207" t="str">
        <f t="shared" si="172"/>
        <v>Jalan</v>
      </c>
      <c r="Y186" s="207">
        <f t="shared" si="173"/>
        <v>10</v>
      </c>
      <c r="Z186" s="233">
        <f t="shared" si="174"/>
        <v>19028399</v>
      </c>
      <c r="AA186" s="208">
        <f t="shared" si="152"/>
        <v>0</v>
      </c>
      <c r="AB186" s="233">
        <f t="shared" si="175"/>
        <v>0</v>
      </c>
      <c r="AC186" s="233"/>
      <c r="AD186" s="233"/>
      <c r="AE186" s="233"/>
      <c r="AF186" s="238"/>
      <c r="AG186" s="238">
        <f t="shared" si="176"/>
        <v>19028399</v>
      </c>
      <c r="AH186" s="238">
        <f t="shared" si="153"/>
        <v>19028399</v>
      </c>
      <c r="AI186" s="261">
        <f t="shared" si="177"/>
        <v>2017</v>
      </c>
      <c r="AJ186" s="233">
        <f t="shared" si="178"/>
        <v>171255601</v>
      </c>
    </row>
    <row r="187" spans="1:36" s="116" customFormat="1" ht="35.25" customHeight="1" x14ac:dyDescent="0.2">
      <c r="A187" s="116">
        <v>295</v>
      </c>
      <c r="B187" s="116" t="str">
        <f t="shared" si="154"/>
        <v>SEI. PERUPUK - PULAU BAYUR</v>
      </c>
      <c r="D187" s="116" t="s">
        <v>4069</v>
      </c>
      <c r="E187" s="218" t="s">
        <v>4247</v>
      </c>
      <c r="F187" s="53"/>
      <c r="G187" s="67" t="str">
        <f t="shared" si="155"/>
        <v>JALAN KABUPATEN LOKAL</v>
      </c>
      <c r="H187" s="396" t="str">
        <f t="shared" si="156"/>
        <v>04.13.01.03.06</v>
      </c>
      <c r="I187" s="396">
        <f t="shared" si="157"/>
        <v>0</v>
      </c>
      <c r="J187" s="396" t="str">
        <f t="shared" si="158"/>
        <v>TANAH</v>
      </c>
      <c r="K187" s="398" t="str">
        <f t="shared" si="159"/>
        <v>4500</v>
      </c>
      <c r="L187" s="396">
        <f t="shared" si="160"/>
        <v>7</v>
      </c>
      <c r="M187" s="398">
        <f t="shared" si="161"/>
        <v>31500</v>
      </c>
      <c r="N187" s="396" t="str">
        <f t="shared" si="162"/>
        <v>SEI PERUPUK - PULAU BAYUR</v>
      </c>
      <c r="O187" s="396">
        <f t="shared" si="163"/>
        <v>2001</v>
      </c>
      <c r="P187" s="396">
        <f t="shared" si="164"/>
        <v>0</v>
      </c>
      <c r="Q187" s="396">
        <f t="shared" si="165"/>
        <v>0</v>
      </c>
      <c r="R187" s="396" t="str">
        <f t="shared" si="166"/>
        <v>12.04.06.05.01.00</v>
      </c>
      <c r="S187" s="396" t="str">
        <f t="shared" si="167"/>
        <v>APBD</v>
      </c>
      <c r="T187" s="397">
        <f t="shared" si="168"/>
        <v>1215000000</v>
      </c>
      <c r="U187" s="396" t="str">
        <f t="shared" si="169"/>
        <v>B</v>
      </c>
      <c r="V187" s="396">
        <f t="shared" si="170"/>
        <v>0</v>
      </c>
      <c r="W187" s="206" t="str">
        <f t="shared" si="171"/>
        <v>04.13.01</v>
      </c>
      <c r="X187" s="207" t="str">
        <f t="shared" si="172"/>
        <v>Jalan</v>
      </c>
      <c r="Y187" s="207">
        <f t="shared" si="173"/>
        <v>10</v>
      </c>
      <c r="Z187" s="233">
        <f t="shared" si="174"/>
        <v>121499999</v>
      </c>
      <c r="AA187" s="208">
        <f t="shared" si="152"/>
        <v>10</v>
      </c>
      <c r="AB187" s="233">
        <f t="shared" si="175"/>
        <v>1214999990</v>
      </c>
      <c r="AC187" s="233">
        <f t="shared" si="179"/>
        <v>0</v>
      </c>
      <c r="AD187" s="233">
        <f t="shared" si="180"/>
        <v>0</v>
      </c>
      <c r="AE187" s="233">
        <f t="shared" si="181"/>
        <v>0</v>
      </c>
      <c r="AF187" s="238">
        <f t="shared" si="182"/>
        <v>0</v>
      </c>
      <c r="AG187" s="238">
        <f t="shared" si="176"/>
        <v>0</v>
      </c>
      <c r="AH187" s="238">
        <f t="shared" si="153"/>
        <v>1214999990</v>
      </c>
      <c r="AI187" s="261">
        <f t="shared" si="177"/>
        <v>2001</v>
      </c>
      <c r="AJ187" s="233">
        <f t="shared" si="178"/>
        <v>10</v>
      </c>
    </row>
    <row r="188" spans="1:36" s="116" customFormat="1" ht="35.25" customHeight="1" x14ac:dyDescent="0.2">
      <c r="A188" s="116">
        <v>295</v>
      </c>
      <c r="B188" s="116" t="str">
        <f t="shared" si="154"/>
        <v>SEI. PERUPUK - PULAU BAYUR</v>
      </c>
      <c r="D188" s="116" t="s">
        <v>4070</v>
      </c>
      <c r="E188" s="218" t="s">
        <v>4247</v>
      </c>
      <c r="F188" s="53"/>
      <c r="G188" s="67" t="str">
        <f t="shared" si="155"/>
        <v>PENINGKATAN JALAN PL. BAYUR - SEI. PERUPUK</v>
      </c>
      <c r="H188" s="396" t="str">
        <f t="shared" si="156"/>
        <v>04.13.01.03.06</v>
      </c>
      <c r="I188" s="396">
        <f t="shared" si="157"/>
        <v>0</v>
      </c>
      <c r="J188" s="396">
        <f t="shared" si="158"/>
        <v>0</v>
      </c>
      <c r="K188" s="398">
        <f t="shared" si="159"/>
        <v>0</v>
      </c>
      <c r="L188" s="396">
        <f t="shared" si="160"/>
        <v>0</v>
      </c>
      <c r="M188" s="398">
        <f t="shared" si="161"/>
        <v>0</v>
      </c>
      <c r="N188" s="396" t="str">
        <f t="shared" si="162"/>
        <v>PULAU BAYUR-SEI. PERUPUK</v>
      </c>
      <c r="O188" s="396">
        <f t="shared" si="163"/>
        <v>2015</v>
      </c>
      <c r="P188" s="396">
        <f t="shared" si="164"/>
        <v>0</v>
      </c>
      <c r="Q188" s="396">
        <f t="shared" si="165"/>
        <v>0</v>
      </c>
      <c r="R188" s="396">
        <f t="shared" si="166"/>
        <v>0</v>
      </c>
      <c r="S188" s="396" t="str">
        <f t="shared" si="167"/>
        <v>APBD</v>
      </c>
      <c r="T188" s="397">
        <f t="shared" si="168"/>
        <v>2038722656.2</v>
      </c>
      <c r="U188" s="396">
        <f t="shared" si="169"/>
        <v>0</v>
      </c>
      <c r="V188" s="396">
        <f t="shared" si="170"/>
        <v>0</v>
      </c>
      <c r="W188" s="206" t="str">
        <f t="shared" si="171"/>
        <v>04.13.01</v>
      </c>
      <c r="X188" s="207" t="str">
        <f t="shared" si="172"/>
        <v>Jalan</v>
      </c>
      <c r="Y188" s="207">
        <f t="shared" si="173"/>
        <v>10</v>
      </c>
      <c r="Z188" s="233">
        <f t="shared" si="174"/>
        <v>203872264.62</v>
      </c>
      <c r="AA188" s="208">
        <f t="shared" si="152"/>
        <v>0</v>
      </c>
      <c r="AB188" s="233">
        <f t="shared" si="175"/>
        <v>0</v>
      </c>
      <c r="AC188" s="233"/>
      <c r="AD188" s="233">
        <f t="shared" si="180"/>
        <v>203872264.62</v>
      </c>
      <c r="AE188" s="233">
        <f t="shared" si="181"/>
        <v>203872264.62</v>
      </c>
      <c r="AF188" s="238">
        <f t="shared" si="182"/>
        <v>203872264.62</v>
      </c>
      <c r="AG188" s="238">
        <f t="shared" si="176"/>
        <v>203872264.62</v>
      </c>
      <c r="AH188" s="238">
        <f t="shared" si="153"/>
        <v>815489058.48000002</v>
      </c>
      <c r="AI188" s="261">
        <f t="shared" si="177"/>
        <v>2015</v>
      </c>
      <c r="AJ188" s="233">
        <f t="shared" si="178"/>
        <v>1223233597.72</v>
      </c>
    </row>
    <row r="189" spans="1:36" s="116" customFormat="1" ht="35.25" customHeight="1" x14ac:dyDescent="0.2">
      <c r="A189" s="116">
        <v>295</v>
      </c>
      <c r="B189" s="116" t="str">
        <f t="shared" si="154"/>
        <v>SEI. PERUPUK - PULAU BAYUR</v>
      </c>
      <c r="D189" s="116" t="s">
        <v>4071</v>
      </c>
      <c r="E189" s="218" t="s">
        <v>4247</v>
      </c>
      <c r="F189" s="53"/>
      <c r="G189" s="67" t="str">
        <f t="shared" si="155"/>
        <v>PENINGKATAN JALAN PULAU BAYUR - SEI. PERUPUK (JALAN KAYU BATU) (ASPAL)</v>
      </c>
      <c r="H189" s="396" t="str">
        <f t="shared" si="156"/>
        <v>04.13.01.03.06</v>
      </c>
      <c r="I189" s="396">
        <f t="shared" si="157"/>
        <v>0</v>
      </c>
      <c r="J189" s="396">
        <f t="shared" si="158"/>
        <v>0</v>
      </c>
      <c r="K189" s="398">
        <f t="shared" si="159"/>
        <v>0</v>
      </c>
      <c r="L189" s="396">
        <f t="shared" si="160"/>
        <v>0</v>
      </c>
      <c r="M189" s="398">
        <f t="shared" si="161"/>
        <v>0</v>
      </c>
      <c r="N189" s="396" t="str">
        <f t="shared" si="162"/>
        <v>PULAU BAYUR-SEI. PERUPUK</v>
      </c>
      <c r="O189" s="396">
        <f t="shared" si="163"/>
        <v>2016</v>
      </c>
      <c r="P189" s="396">
        <f t="shared" si="164"/>
        <v>0</v>
      </c>
      <c r="Q189" s="396">
        <f t="shared" si="165"/>
        <v>0</v>
      </c>
      <c r="R189" s="396">
        <f t="shared" si="166"/>
        <v>0</v>
      </c>
      <c r="S189" s="396" t="str">
        <f t="shared" si="167"/>
        <v>APBD</v>
      </c>
      <c r="T189" s="397">
        <f t="shared" si="168"/>
        <v>1944916077.3699999</v>
      </c>
      <c r="U189" s="396">
        <f t="shared" si="169"/>
        <v>0</v>
      </c>
      <c r="V189" s="396">
        <f t="shared" si="170"/>
        <v>0</v>
      </c>
      <c r="W189" s="206" t="str">
        <f t="shared" si="171"/>
        <v>04.13.01</v>
      </c>
      <c r="X189" s="207" t="str">
        <f t="shared" si="172"/>
        <v>Jalan</v>
      </c>
      <c r="Y189" s="207">
        <f t="shared" si="173"/>
        <v>10</v>
      </c>
      <c r="Z189" s="233">
        <f t="shared" si="174"/>
        <v>194491606.73699999</v>
      </c>
      <c r="AA189" s="208">
        <f t="shared" si="152"/>
        <v>0</v>
      </c>
      <c r="AB189" s="233">
        <f t="shared" si="175"/>
        <v>0</v>
      </c>
      <c r="AC189" s="233"/>
      <c r="AD189" s="233"/>
      <c r="AE189" s="233">
        <f t="shared" si="181"/>
        <v>194491606.73699999</v>
      </c>
      <c r="AF189" s="238">
        <f t="shared" si="182"/>
        <v>194491606.73699999</v>
      </c>
      <c r="AG189" s="238">
        <f t="shared" si="176"/>
        <v>194491606.73699999</v>
      </c>
      <c r="AH189" s="238">
        <f t="shared" si="153"/>
        <v>583474820.21099997</v>
      </c>
      <c r="AI189" s="261">
        <f t="shared" si="177"/>
        <v>2016</v>
      </c>
      <c r="AJ189" s="233">
        <f t="shared" si="178"/>
        <v>1361441257.1589999</v>
      </c>
    </row>
    <row r="190" spans="1:36" s="116" customFormat="1" ht="35.25" customHeight="1" x14ac:dyDescent="0.2">
      <c r="A190" s="116">
        <v>296</v>
      </c>
      <c r="B190" s="116" t="str">
        <f t="shared" si="154"/>
        <v>INUMAN - PULAU BUSUK</v>
      </c>
      <c r="D190" s="116" t="s">
        <v>4072</v>
      </c>
      <c r="E190" s="218" t="s">
        <v>4247</v>
      </c>
      <c r="F190" s="53"/>
      <c r="G190" s="67" t="str">
        <f t="shared" si="155"/>
        <v>JALAN KABUPATEN LOKAL</v>
      </c>
      <c r="H190" s="396" t="str">
        <f t="shared" si="156"/>
        <v>04.13.01.03.06</v>
      </c>
      <c r="I190" s="396">
        <f t="shared" si="157"/>
        <v>0</v>
      </c>
      <c r="J190" s="396" t="str">
        <f t="shared" si="158"/>
        <v>BATU PECAH / MACADAM</v>
      </c>
      <c r="K190" s="398">
        <f t="shared" si="159"/>
        <v>3300</v>
      </c>
      <c r="L190" s="396">
        <f t="shared" si="160"/>
        <v>0</v>
      </c>
      <c r="M190" s="398">
        <f t="shared" si="161"/>
        <v>0</v>
      </c>
      <c r="N190" s="396" t="str">
        <f t="shared" si="162"/>
        <v>INUMAN - PL. BUSUK</v>
      </c>
      <c r="O190" s="396">
        <f t="shared" si="163"/>
        <v>2001</v>
      </c>
      <c r="P190" s="396">
        <f t="shared" si="164"/>
        <v>0</v>
      </c>
      <c r="Q190" s="396">
        <f t="shared" si="165"/>
        <v>0</v>
      </c>
      <c r="R190" s="396" t="str">
        <f t="shared" si="166"/>
        <v>12.04.06.05.01.00</v>
      </c>
      <c r="S190" s="396" t="str">
        <f t="shared" si="167"/>
        <v>APBD</v>
      </c>
      <c r="T190" s="397">
        <f t="shared" si="168"/>
        <v>1108800000</v>
      </c>
      <c r="U190" s="396" t="str">
        <f t="shared" si="169"/>
        <v>B</v>
      </c>
      <c r="V190" s="396">
        <f t="shared" si="170"/>
        <v>0</v>
      </c>
      <c r="W190" s="206" t="str">
        <f t="shared" si="171"/>
        <v>04.13.01</v>
      </c>
      <c r="X190" s="207" t="str">
        <f t="shared" si="172"/>
        <v>Jalan</v>
      </c>
      <c r="Y190" s="207">
        <f t="shared" si="173"/>
        <v>10</v>
      </c>
      <c r="Z190" s="233">
        <f t="shared" si="174"/>
        <v>110879999</v>
      </c>
      <c r="AA190" s="208">
        <f t="shared" si="152"/>
        <v>10</v>
      </c>
      <c r="AB190" s="233">
        <f t="shared" si="175"/>
        <v>1108799990</v>
      </c>
      <c r="AC190" s="233">
        <f t="shared" si="179"/>
        <v>0</v>
      </c>
      <c r="AD190" s="233">
        <f t="shared" si="180"/>
        <v>0</v>
      </c>
      <c r="AE190" s="233">
        <f t="shared" si="181"/>
        <v>0</v>
      </c>
      <c r="AF190" s="238">
        <f t="shared" si="182"/>
        <v>0</v>
      </c>
      <c r="AG190" s="238">
        <f t="shared" si="176"/>
        <v>0</v>
      </c>
      <c r="AH190" s="238">
        <f t="shared" si="153"/>
        <v>1108799990</v>
      </c>
      <c r="AI190" s="261">
        <f t="shared" si="177"/>
        <v>2001</v>
      </c>
      <c r="AJ190" s="233">
        <f t="shared" si="178"/>
        <v>10</v>
      </c>
    </row>
    <row r="191" spans="1:36" s="116" customFormat="1" ht="35.25" customHeight="1" x14ac:dyDescent="0.2">
      <c r="A191" s="116">
        <v>296</v>
      </c>
      <c r="B191" s="116" t="str">
        <f t="shared" si="154"/>
        <v>INUMAN - PULAU BUSUK</v>
      </c>
      <c r="D191" s="116" t="s">
        <v>4073</v>
      </c>
      <c r="E191" s="218" t="s">
        <v>4247</v>
      </c>
      <c r="F191" s="53"/>
      <c r="G191" s="67" t="str">
        <f t="shared" si="155"/>
        <v>PENINGKATAN JALAN INUMAN - PL. BUSUK</v>
      </c>
      <c r="H191" s="396" t="str">
        <f t="shared" si="156"/>
        <v>04.13.01.03.06</v>
      </c>
      <c r="I191" s="396">
        <f t="shared" si="157"/>
        <v>0</v>
      </c>
      <c r="J191" s="396">
        <f t="shared" si="158"/>
        <v>0</v>
      </c>
      <c r="K191" s="398">
        <f t="shared" si="159"/>
        <v>0</v>
      </c>
      <c r="L191" s="396">
        <f t="shared" si="160"/>
        <v>0</v>
      </c>
      <c r="M191" s="398">
        <f t="shared" si="161"/>
        <v>0</v>
      </c>
      <c r="N191" s="396" t="str">
        <f t="shared" si="162"/>
        <v>INUMAN - PL. BUSUK</v>
      </c>
      <c r="O191" s="396">
        <f t="shared" si="163"/>
        <v>2015</v>
      </c>
      <c r="P191" s="396">
        <f t="shared" si="164"/>
        <v>0</v>
      </c>
      <c r="Q191" s="396">
        <f t="shared" si="165"/>
        <v>0</v>
      </c>
      <c r="R191" s="396">
        <f t="shared" si="166"/>
        <v>0</v>
      </c>
      <c r="S191" s="396" t="str">
        <f t="shared" si="167"/>
        <v>APBD</v>
      </c>
      <c r="T191" s="397">
        <f t="shared" si="168"/>
        <v>2025740168</v>
      </c>
      <c r="U191" s="396">
        <f t="shared" si="169"/>
        <v>0</v>
      </c>
      <c r="V191" s="396">
        <f t="shared" si="170"/>
        <v>0</v>
      </c>
      <c r="W191" s="206" t="str">
        <f t="shared" si="171"/>
        <v>04.13.01</v>
      </c>
      <c r="X191" s="207" t="str">
        <f t="shared" si="172"/>
        <v>Jalan</v>
      </c>
      <c r="Y191" s="207">
        <f t="shared" si="173"/>
        <v>10</v>
      </c>
      <c r="Z191" s="233">
        <f t="shared" si="174"/>
        <v>202574015.80000001</v>
      </c>
      <c r="AA191" s="208">
        <f t="shared" si="152"/>
        <v>0</v>
      </c>
      <c r="AB191" s="233">
        <f t="shared" si="175"/>
        <v>0</v>
      </c>
      <c r="AC191" s="233"/>
      <c r="AD191" s="233">
        <f t="shared" si="180"/>
        <v>202574015.80000001</v>
      </c>
      <c r="AE191" s="233">
        <f t="shared" si="181"/>
        <v>202574015.80000001</v>
      </c>
      <c r="AF191" s="238">
        <f t="shared" si="182"/>
        <v>202574015.80000001</v>
      </c>
      <c r="AG191" s="238">
        <f t="shared" si="176"/>
        <v>202574015.80000001</v>
      </c>
      <c r="AH191" s="238">
        <f t="shared" si="153"/>
        <v>810296063.20000005</v>
      </c>
      <c r="AI191" s="261">
        <f t="shared" si="177"/>
        <v>2015</v>
      </c>
      <c r="AJ191" s="233">
        <f t="shared" si="178"/>
        <v>1215444104.8</v>
      </c>
    </row>
    <row r="192" spans="1:36" s="116" customFormat="1" ht="35.25" customHeight="1" x14ac:dyDescent="0.2">
      <c r="A192" s="116">
        <v>296</v>
      </c>
      <c r="B192" s="116" t="str">
        <f t="shared" si="154"/>
        <v>INUMAN - PULAU BUSUK</v>
      </c>
      <c r="D192" s="116" t="s">
        <v>4074</v>
      </c>
      <c r="E192" s="218" t="s">
        <v>4247</v>
      </c>
      <c r="F192" s="53"/>
      <c r="G192" s="67" t="str">
        <f t="shared" si="155"/>
        <v>PEMBUATAN BOX CULVERT DESA PULAU BUSUK INUMAN</v>
      </c>
      <c r="H192" s="396" t="str">
        <f t="shared" si="156"/>
        <v>04.13.01.03.06</v>
      </c>
      <c r="I192" s="396">
        <f t="shared" si="157"/>
        <v>0</v>
      </c>
      <c r="J192" s="396">
        <f t="shared" si="158"/>
        <v>0</v>
      </c>
      <c r="K192" s="398">
        <f t="shared" si="159"/>
        <v>0</v>
      </c>
      <c r="L192" s="396">
        <f t="shared" si="160"/>
        <v>0</v>
      </c>
      <c r="M192" s="398">
        <f t="shared" si="161"/>
        <v>0</v>
      </c>
      <c r="N192" s="396" t="str">
        <f t="shared" si="162"/>
        <v>DESA PULAU BUSUK INUMAN</v>
      </c>
      <c r="O192" s="396">
        <f t="shared" si="163"/>
        <v>2017</v>
      </c>
      <c r="P192" s="396">
        <f t="shared" si="164"/>
        <v>0</v>
      </c>
      <c r="Q192" s="396">
        <f t="shared" si="165"/>
        <v>0</v>
      </c>
      <c r="R192" s="396">
        <f t="shared" si="166"/>
        <v>0</v>
      </c>
      <c r="S192" s="396" t="str">
        <f t="shared" si="167"/>
        <v>APBD</v>
      </c>
      <c r="T192" s="397">
        <f t="shared" si="168"/>
        <v>185659000</v>
      </c>
      <c r="U192" s="396">
        <f t="shared" si="169"/>
        <v>0</v>
      </c>
      <c r="V192" s="396">
        <f t="shared" si="170"/>
        <v>0</v>
      </c>
      <c r="W192" s="206" t="str">
        <f t="shared" si="171"/>
        <v>04.13.01</v>
      </c>
      <c r="X192" s="207" t="str">
        <f t="shared" si="172"/>
        <v>Jalan</v>
      </c>
      <c r="Y192" s="207">
        <f t="shared" si="173"/>
        <v>10</v>
      </c>
      <c r="Z192" s="233">
        <f t="shared" si="174"/>
        <v>18565899</v>
      </c>
      <c r="AA192" s="208">
        <f t="shared" si="152"/>
        <v>0</v>
      </c>
      <c r="AB192" s="233">
        <f t="shared" si="175"/>
        <v>0</v>
      </c>
      <c r="AC192" s="233"/>
      <c r="AD192" s="233"/>
      <c r="AE192" s="233"/>
      <c r="AF192" s="238"/>
      <c r="AG192" s="238">
        <f t="shared" si="176"/>
        <v>18565899</v>
      </c>
      <c r="AH192" s="238">
        <f t="shared" si="153"/>
        <v>18565899</v>
      </c>
      <c r="AI192" s="261">
        <f t="shared" si="177"/>
        <v>2017</v>
      </c>
      <c r="AJ192" s="233">
        <f t="shared" si="178"/>
        <v>167093101</v>
      </c>
    </row>
    <row r="193" spans="1:36" s="116" customFormat="1" ht="35.25" customHeight="1" x14ac:dyDescent="0.2">
      <c r="A193" s="116">
        <v>296</v>
      </c>
      <c r="B193" s="116" t="str">
        <f>VLOOKUP(A193,RUAS,2,FALSE)</f>
        <v>INUMAN - PULAU BUSUK</v>
      </c>
      <c r="D193" s="116" t="s">
        <v>4106</v>
      </c>
      <c r="E193" s="218" t="s">
        <v>4247</v>
      </c>
      <c r="F193" s="53"/>
      <c r="G193" s="67" t="str">
        <f>VLOOKUP(D193,ACUAN,4,FALSE)</f>
        <v>PENINGKATAN JALAN INUMAN - PULAU BUSUK (ASPAL)</v>
      </c>
      <c r="H193" s="396" t="str">
        <f>VLOOKUP(D193,ACUAN,5,FALSE)</f>
        <v>04.13.01.03.06</v>
      </c>
      <c r="I193" s="396">
        <f>VLOOKUP(D193,ACUAN,6,FALSE)</f>
        <v>0</v>
      </c>
      <c r="J193" s="396">
        <f>VLOOKUP(D193,ACUAN,7,FALSE)</f>
        <v>0</v>
      </c>
      <c r="K193" s="398">
        <f>VLOOKUP(D193,ACUAN,8,FALSE)</f>
        <v>0</v>
      </c>
      <c r="L193" s="396">
        <f>VLOOKUP(D193,ACUAN,9,FALSE)</f>
        <v>0</v>
      </c>
      <c r="M193" s="398">
        <f>VLOOKUP(D193,ACUAN,10,FALSE)</f>
        <v>0</v>
      </c>
      <c r="N193" s="396" t="str">
        <f>VLOOKUP(D193,ACUAN,11,FALSE)</f>
        <v>INUMAN - PL. BUSUK</v>
      </c>
      <c r="O193" s="396">
        <f>VLOOKUP(D193,ACUAN,12,FALSE)</f>
        <v>2018</v>
      </c>
      <c r="P193" s="396">
        <f>VLOOKUP(D193,ACUAN,13,FALSE)</f>
        <v>0</v>
      </c>
      <c r="Q193" s="396">
        <f>VLOOKUP(D193,ACUAN,14,FALSE)</f>
        <v>0</v>
      </c>
      <c r="R193" s="396">
        <f>VLOOKUP(D193,ACUAN,15,FALSE)</f>
        <v>0</v>
      </c>
      <c r="S193" s="396" t="str">
        <f>VLOOKUP(D193,ACUAN,16,FALSE)</f>
        <v>APBD</v>
      </c>
      <c r="T193" s="397">
        <f>VLOOKUP(D193,ACUAN,17,FALSE)</f>
        <v>2164060514</v>
      </c>
      <c r="U193" s="396">
        <f>VLOOKUP(D193,ACUAN,18,FALSE)</f>
        <v>0</v>
      </c>
      <c r="V193" s="396">
        <f>VLOOKUP(D193,ACUAN,19,FALSE)</f>
        <v>0</v>
      </c>
      <c r="W193" s="206" t="str">
        <f t="shared" si="171"/>
        <v>04.13.01</v>
      </c>
      <c r="X193" s="207" t="str">
        <f t="shared" si="172"/>
        <v>Jalan</v>
      </c>
      <c r="Y193" s="207">
        <f t="shared" si="173"/>
        <v>10</v>
      </c>
      <c r="Z193" s="233">
        <f t="shared" si="174"/>
        <v>216406050.40000001</v>
      </c>
      <c r="AA193" s="208">
        <f t="shared" si="152"/>
        <v>0</v>
      </c>
      <c r="AB193" s="233">
        <f t="shared" si="175"/>
        <v>0</v>
      </c>
      <c r="AC193" s="233"/>
      <c r="AD193" s="233"/>
      <c r="AE193" s="233"/>
      <c r="AF193" s="238"/>
      <c r="AG193" s="238"/>
      <c r="AH193" s="238">
        <f t="shared" si="153"/>
        <v>0</v>
      </c>
      <c r="AI193" s="261">
        <f t="shared" si="177"/>
        <v>2018</v>
      </c>
      <c r="AJ193" s="233">
        <f t="shared" si="178"/>
        <v>2164060514</v>
      </c>
    </row>
    <row r="194" spans="1:36" s="116" customFormat="1" ht="35.25" customHeight="1" x14ac:dyDescent="0.2">
      <c r="A194" s="116">
        <v>302</v>
      </c>
      <c r="B194" s="116" t="str">
        <f t="shared" ref="B194:B215" si="183">VLOOKUP(A194,RUAS,2,FALSE)</f>
        <v>PULAU BUSUK - KOTO INUMAN</v>
      </c>
      <c r="D194" s="116" t="s">
        <v>4078</v>
      </c>
      <c r="E194" s="218" t="s">
        <v>4247</v>
      </c>
      <c r="F194" s="53"/>
      <c r="G194" s="67" t="str">
        <f t="shared" si="155"/>
        <v>JALAN DESA</v>
      </c>
      <c r="H194" s="396" t="str">
        <f t="shared" si="156"/>
        <v>04.13.01.04.01</v>
      </c>
      <c r="I194" s="396">
        <f t="shared" si="157"/>
        <v>0</v>
      </c>
      <c r="J194" s="396" t="str">
        <f t="shared" si="158"/>
        <v>BATU PECAH / MACADAM</v>
      </c>
      <c r="K194" s="398">
        <f t="shared" si="159"/>
        <v>4000</v>
      </c>
      <c r="L194" s="396">
        <f t="shared" si="160"/>
        <v>7</v>
      </c>
      <c r="M194" s="398">
        <f t="shared" si="161"/>
        <v>28000</v>
      </c>
      <c r="N194" s="396" t="str">
        <f t="shared" si="162"/>
        <v>PULAU BUSUK - KOTO INUMAN</v>
      </c>
      <c r="O194" s="396">
        <f t="shared" si="163"/>
        <v>2001</v>
      </c>
      <c r="P194" s="396">
        <f t="shared" si="164"/>
        <v>0</v>
      </c>
      <c r="Q194" s="396">
        <f t="shared" si="165"/>
        <v>0</v>
      </c>
      <c r="R194" s="396" t="str">
        <f t="shared" si="166"/>
        <v>12.04.06.05.01.00</v>
      </c>
      <c r="S194" s="396" t="str">
        <f t="shared" si="167"/>
        <v>APBD</v>
      </c>
      <c r="T194" s="397">
        <f t="shared" si="168"/>
        <v>1440000000</v>
      </c>
      <c r="U194" s="396" t="str">
        <f t="shared" si="169"/>
        <v>B</v>
      </c>
      <c r="V194" s="396">
        <f t="shared" si="170"/>
        <v>0</v>
      </c>
      <c r="W194" s="206" t="str">
        <f t="shared" si="171"/>
        <v>04.13.01</v>
      </c>
      <c r="X194" s="207" t="str">
        <f t="shared" si="172"/>
        <v>Jalan</v>
      </c>
      <c r="Y194" s="207">
        <f t="shared" si="173"/>
        <v>10</v>
      </c>
      <c r="Z194" s="233">
        <f t="shared" si="174"/>
        <v>143999999</v>
      </c>
      <c r="AA194" s="208">
        <f t="shared" si="152"/>
        <v>10</v>
      </c>
      <c r="AB194" s="233">
        <f t="shared" si="175"/>
        <v>1439999990</v>
      </c>
      <c r="AC194" s="233">
        <f t="shared" si="179"/>
        <v>0</v>
      </c>
      <c r="AD194" s="233">
        <f t="shared" si="180"/>
        <v>0</v>
      </c>
      <c r="AE194" s="233">
        <f t="shared" si="181"/>
        <v>0</v>
      </c>
      <c r="AF194" s="238">
        <f t="shared" si="182"/>
        <v>0</v>
      </c>
      <c r="AG194" s="238">
        <f t="shared" si="176"/>
        <v>0</v>
      </c>
      <c r="AH194" s="238">
        <f t="shared" si="153"/>
        <v>1439999990</v>
      </c>
      <c r="AI194" s="261">
        <f t="shared" si="177"/>
        <v>2001</v>
      </c>
      <c r="AJ194" s="233">
        <f t="shared" si="178"/>
        <v>10</v>
      </c>
    </row>
    <row r="195" spans="1:36" s="116" customFormat="1" ht="35.25" customHeight="1" x14ac:dyDescent="0.2">
      <c r="A195" s="116">
        <v>302</v>
      </c>
      <c r="B195" s="116" t="str">
        <f t="shared" si="183"/>
        <v>PULAU BUSUK - KOTO INUMAN</v>
      </c>
      <c r="D195" s="116" t="s">
        <v>4079</v>
      </c>
      <c r="E195" s="218" t="s">
        <v>4247</v>
      </c>
      <c r="F195" s="53"/>
      <c r="G195" s="67" t="str">
        <f t="shared" si="155"/>
        <v>PENINGKATAN JALAN KOTO INUMAN - PULAU BUSUK (ASPAL 1,00 KM ) LANJUTAN</v>
      </c>
      <c r="H195" s="396" t="str">
        <f t="shared" si="156"/>
        <v>04.13.01.03.06</v>
      </c>
      <c r="I195" s="396">
        <f t="shared" si="157"/>
        <v>0</v>
      </c>
      <c r="J195" s="396" t="str">
        <f t="shared" si="158"/>
        <v>Aspal</v>
      </c>
      <c r="K195" s="398">
        <f t="shared" si="159"/>
        <v>0</v>
      </c>
      <c r="L195" s="396">
        <f t="shared" si="160"/>
        <v>0</v>
      </c>
      <c r="M195" s="398">
        <f t="shared" si="161"/>
        <v>1000</v>
      </c>
      <c r="N195" s="396" t="str">
        <f t="shared" si="162"/>
        <v>KOTO INUMAN - PULAU BUSUK</v>
      </c>
      <c r="O195" s="396">
        <f t="shared" si="163"/>
        <v>2007</v>
      </c>
      <c r="P195" s="396">
        <f t="shared" si="164"/>
        <v>0</v>
      </c>
      <c r="Q195" s="396">
        <f t="shared" si="165"/>
        <v>0</v>
      </c>
      <c r="R195" s="396">
        <f t="shared" si="166"/>
        <v>0</v>
      </c>
      <c r="S195" s="396" t="str">
        <f t="shared" si="167"/>
        <v>APBD</v>
      </c>
      <c r="T195" s="397">
        <f t="shared" si="168"/>
        <v>2013774833.48155</v>
      </c>
      <c r="U195" s="396" t="str">
        <f t="shared" si="169"/>
        <v>B</v>
      </c>
      <c r="V195" s="396">
        <f t="shared" si="170"/>
        <v>0</v>
      </c>
      <c r="W195" s="206" t="str">
        <f t="shared" si="171"/>
        <v>04.13.01</v>
      </c>
      <c r="X195" s="207" t="str">
        <f t="shared" si="172"/>
        <v>Jalan</v>
      </c>
      <c r="Y195" s="207">
        <f t="shared" si="173"/>
        <v>10</v>
      </c>
      <c r="Z195" s="233">
        <f t="shared" si="174"/>
        <v>201377482.34815499</v>
      </c>
      <c r="AA195" s="208">
        <f t="shared" si="152"/>
        <v>6</v>
      </c>
      <c r="AB195" s="233">
        <f t="shared" si="175"/>
        <v>1208264894.0889299</v>
      </c>
      <c r="AC195" s="233">
        <f t="shared" si="179"/>
        <v>201377482.34815499</v>
      </c>
      <c r="AD195" s="233">
        <f t="shared" si="180"/>
        <v>201377482.34815499</v>
      </c>
      <c r="AE195" s="233">
        <f t="shared" si="181"/>
        <v>201377482.34815499</v>
      </c>
      <c r="AF195" s="238">
        <f t="shared" si="182"/>
        <v>201377482.34815499</v>
      </c>
      <c r="AG195" s="238">
        <f t="shared" si="176"/>
        <v>0</v>
      </c>
      <c r="AH195" s="238">
        <f t="shared" si="153"/>
        <v>2013774823.48155</v>
      </c>
      <c r="AI195" s="261">
        <f t="shared" si="177"/>
        <v>2007</v>
      </c>
      <c r="AJ195" s="233">
        <f t="shared" si="178"/>
        <v>10</v>
      </c>
    </row>
    <row r="196" spans="1:36" s="116" customFormat="1" ht="35.25" customHeight="1" x14ac:dyDescent="0.2">
      <c r="A196" s="116">
        <v>302</v>
      </c>
      <c r="B196" s="116" t="str">
        <f t="shared" si="183"/>
        <v>PULAU BUSUK - KOTO INUMAN</v>
      </c>
      <c r="D196" s="116" t="s">
        <v>4080</v>
      </c>
      <c r="E196" s="218" t="s">
        <v>4247</v>
      </c>
      <c r="F196" s="53"/>
      <c r="G196" s="67" t="str">
        <f t="shared" si="155"/>
        <v>PENINGKATAN JALAN KOTO INUMAN - PULAU BUSUK (ASPAL 1,150 KM)</v>
      </c>
      <c r="H196" s="396" t="str">
        <f t="shared" si="156"/>
        <v>04.13.01.03.06</v>
      </c>
      <c r="I196" s="396">
        <f t="shared" si="157"/>
        <v>0</v>
      </c>
      <c r="J196" s="396" t="str">
        <f t="shared" si="158"/>
        <v>Aspal</v>
      </c>
      <c r="K196" s="398">
        <f t="shared" si="159"/>
        <v>0</v>
      </c>
      <c r="L196" s="396">
        <f t="shared" si="160"/>
        <v>0</v>
      </c>
      <c r="M196" s="398">
        <f t="shared" si="161"/>
        <v>1150</v>
      </c>
      <c r="N196" s="396" t="str">
        <f t="shared" si="162"/>
        <v>KOTO INUMAN - PULAU BUSUK</v>
      </c>
      <c r="O196" s="396">
        <f t="shared" si="163"/>
        <v>2011</v>
      </c>
      <c r="P196" s="396">
        <f t="shared" si="164"/>
        <v>0</v>
      </c>
      <c r="Q196" s="396">
        <f t="shared" si="165"/>
        <v>0</v>
      </c>
      <c r="R196" s="396">
        <f t="shared" si="166"/>
        <v>0</v>
      </c>
      <c r="S196" s="396" t="str">
        <f t="shared" si="167"/>
        <v>APBD</v>
      </c>
      <c r="T196" s="397">
        <f t="shared" si="168"/>
        <v>1487022334.5887914</v>
      </c>
      <c r="U196" s="396" t="str">
        <f t="shared" si="169"/>
        <v>B</v>
      </c>
      <c r="V196" s="396">
        <f t="shared" si="170"/>
        <v>0</v>
      </c>
      <c r="W196" s="206" t="str">
        <f t="shared" si="171"/>
        <v>04.13.01</v>
      </c>
      <c r="X196" s="207" t="str">
        <f t="shared" si="172"/>
        <v>Jalan</v>
      </c>
      <c r="Y196" s="207">
        <f t="shared" si="173"/>
        <v>10</v>
      </c>
      <c r="Z196" s="233">
        <f t="shared" si="174"/>
        <v>148702232.45887914</v>
      </c>
      <c r="AA196" s="208">
        <f t="shared" si="152"/>
        <v>2</v>
      </c>
      <c r="AB196" s="233">
        <f t="shared" si="175"/>
        <v>297404464.91775829</v>
      </c>
      <c r="AC196" s="233">
        <f t="shared" si="179"/>
        <v>148702232.45887914</v>
      </c>
      <c r="AD196" s="233">
        <f t="shared" si="180"/>
        <v>148702232.45887914</v>
      </c>
      <c r="AE196" s="233">
        <f t="shared" si="181"/>
        <v>148702232.45887914</v>
      </c>
      <c r="AF196" s="238">
        <f t="shared" si="182"/>
        <v>148702232.45887914</v>
      </c>
      <c r="AG196" s="238">
        <f t="shared" si="176"/>
        <v>148702232.45887914</v>
      </c>
      <c r="AH196" s="238">
        <f t="shared" si="153"/>
        <v>1040915627.2121539</v>
      </c>
      <c r="AI196" s="261">
        <f t="shared" si="177"/>
        <v>2011</v>
      </c>
      <c r="AJ196" s="233">
        <f t="shared" si="178"/>
        <v>446106707.37663746</v>
      </c>
    </row>
    <row r="197" spans="1:36" s="116" customFormat="1" ht="35.25" customHeight="1" x14ac:dyDescent="0.2">
      <c r="A197" s="116">
        <v>302</v>
      </c>
      <c r="B197" s="116" t="str">
        <f t="shared" si="183"/>
        <v>PULAU BUSUK - KOTO INUMAN</v>
      </c>
      <c r="D197" s="116" t="s">
        <v>4081</v>
      </c>
      <c r="E197" s="218" t="s">
        <v>4247</v>
      </c>
      <c r="F197" s="53"/>
      <c r="G197" s="67" t="str">
        <f t="shared" si="155"/>
        <v>PENINGKATAN JALAN KOTO INUMAN - PULAU BUSUK (ASPAL)</v>
      </c>
      <c r="H197" s="396" t="str">
        <f t="shared" si="156"/>
        <v>04.13.01.03.06</v>
      </c>
      <c r="I197" s="396">
        <f t="shared" si="157"/>
        <v>0</v>
      </c>
      <c r="J197" s="396">
        <f t="shared" si="158"/>
        <v>0</v>
      </c>
      <c r="K197" s="398">
        <f t="shared" si="159"/>
        <v>0</v>
      </c>
      <c r="L197" s="396">
        <f t="shared" si="160"/>
        <v>0</v>
      </c>
      <c r="M197" s="398">
        <f t="shared" si="161"/>
        <v>0</v>
      </c>
      <c r="N197" s="396" t="str">
        <f t="shared" si="162"/>
        <v>KOTO INUMAN - PULAU BUSUK</v>
      </c>
      <c r="O197" s="396">
        <f t="shared" si="163"/>
        <v>2016</v>
      </c>
      <c r="P197" s="396">
        <f t="shared" si="164"/>
        <v>0</v>
      </c>
      <c r="Q197" s="396">
        <f t="shared" si="165"/>
        <v>0</v>
      </c>
      <c r="R197" s="396">
        <f t="shared" si="166"/>
        <v>0</v>
      </c>
      <c r="S197" s="396" t="str">
        <f t="shared" si="167"/>
        <v>APBD</v>
      </c>
      <c r="T197" s="397">
        <f t="shared" si="168"/>
        <v>3797259567.7199998</v>
      </c>
      <c r="U197" s="396">
        <f t="shared" si="169"/>
        <v>0</v>
      </c>
      <c r="V197" s="396">
        <f t="shared" si="170"/>
        <v>0</v>
      </c>
      <c r="W197" s="206" t="str">
        <f t="shared" si="171"/>
        <v>04.13.01</v>
      </c>
      <c r="X197" s="207" t="str">
        <f t="shared" si="172"/>
        <v>Jalan</v>
      </c>
      <c r="Y197" s="207">
        <f t="shared" si="173"/>
        <v>10</v>
      </c>
      <c r="Z197" s="233">
        <f t="shared" si="174"/>
        <v>379725955.77199996</v>
      </c>
      <c r="AA197" s="208">
        <f t="shared" si="152"/>
        <v>0</v>
      </c>
      <c r="AB197" s="233">
        <f t="shared" si="175"/>
        <v>0</v>
      </c>
      <c r="AC197" s="233"/>
      <c r="AD197" s="233"/>
      <c r="AE197" s="233">
        <f t="shared" si="181"/>
        <v>379725955.77199996</v>
      </c>
      <c r="AF197" s="238">
        <f t="shared" si="182"/>
        <v>379725955.77199996</v>
      </c>
      <c r="AG197" s="238">
        <f t="shared" si="176"/>
        <v>379725955.77199996</v>
      </c>
      <c r="AH197" s="238">
        <f t="shared" si="153"/>
        <v>1139177867.316</v>
      </c>
      <c r="AI197" s="261">
        <f t="shared" si="177"/>
        <v>2016</v>
      </c>
      <c r="AJ197" s="233">
        <f t="shared" si="178"/>
        <v>2658081700.4039998</v>
      </c>
    </row>
    <row r="198" spans="1:36" s="116" customFormat="1" ht="35.25" customHeight="1" x14ac:dyDescent="0.2">
      <c r="A198" s="116">
        <v>307</v>
      </c>
      <c r="B198" s="116" t="str">
        <f t="shared" si="183"/>
        <v>JL. DESA PL. PANJANG - PL. PANJANG HILIR</v>
      </c>
      <c r="D198" s="116" t="s">
        <v>4084</v>
      </c>
      <c r="E198" s="218" t="s">
        <v>4247</v>
      </c>
      <c r="F198" s="53"/>
      <c r="G198" s="67" t="str">
        <f t="shared" si="155"/>
        <v>JALAN KABUPATEN LOKAL</v>
      </c>
      <c r="H198" s="396" t="str">
        <f t="shared" si="156"/>
        <v>04.13.01.03.06</v>
      </c>
      <c r="I198" s="396">
        <f t="shared" si="157"/>
        <v>0</v>
      </c>
      <c r="J198" s="396" t="str">
        <f t="shared" si="158"/>
        <v>TANAH</v>
      </c>
      <c r="K198" s="398" t="str">
        <f t="shared" si="159"/>
        <v>2400</v>
      </c>
      <c r="L198" s="396">
        <f t="shared" si="160"/>
        <v>7</v>
      </c>
      <c r="M198" s="398">
        <f t="shared" si="161"/>
        <v>16800</v>
      </c>
      <c r="N198" s="396" t="str">
        <f t="shared" si="162"/>
        <v>DESA PULAU PANJANG - PULAU PANJANG HILIR</v>
      </c>
      <c r="O198" s="396">
        <f t="shared" si="163"/>
        <v>2001</v>
      </c>
      <c r="P198" s="396">
        <f t="shared" si="164"/>
        <v>0</v>
      </c>
      <c r="Q198" s="396">
        <f t="shared" si="165"/>
        <v>0</v>
      </c>
      <c r="R198" s="396" t="str">
        <f t="shared" si="166"/>
        <v>12.04.06.05.01.00</v>
      </c>
      <c r="S198" s="396" t="str">
        <f t="shared" si="167"/>
        <v>APBD</v>
      </c>
      <c r="T198" s="397">
        <f t="shared" si="168"/>
        <v>913733028</v>
      </c>
      <c r="U198" s="396" t="str">
        <f t="shared" si="169"/>
        <v>B</v>
      </c>
      <c r="V198" s="396">
        <f t="shared" si="170"/>
        <v>0</v>
      </c>
      <c r="W198" s="206" t="str">
        <f t="shared" si="171"/>
        <v>04.13.01</v>
      </c>
      <c r="X198" s="207" t="str">
        <f t="shared" si="172"/>
        <v>Jalan</v>
      </c>
      <c r="Y198" s="207">
        <f t="shared" si="173"/>
        <v>10</v>
      </c>
      <c r="Z198" s="233">
        <f t="shared" si="174"/>
        <v>91373301.799999997</v>
      </c>
      <c r="AA198" s="208">
        <f t="shared" si="152"/>
        <v>10</v>
      </c>
      <c r="AB198" s="233">
        <f t="shared" si="175"/>
        <v>913733018</v>
      </c>
      <c r="AC198" s="233">
        <f t="shared" si="179"/>
        <v>0</v>
      </c>
      <c r="AD198" s="233">
        <f t="shared" si="180"/>
        <v>0</v>
      </c>
      <c r="AE198" s="233">
        <f t="shared" si="181"/>
        <v>0</v>
      </c>
      <c r="AF198" s="238">
        <f t="shared" si="182"/>
        <v>0</v>
      </c>
      <c r="AG198" s="238">
        <f t="shared" si="176"/>
        <v>0</v>
      </c>
      <c r="AH198" s="238">
        <f t="shared" si="153"/>
        <v>913733018</v>
      </c>
      <c r="AI198" s="261">
        <f t="shared" si="177"/>
        <v>2001</v>
      </c>
      <c r="AJ198" s="233">
        <f t="shared" si="178"/>
        <v>10</v>
      </c>
    </row>
    <row r="199" spans="1:36" s="116" customFormat="1" ht="35.25" customHeight="1" x14ac:dyDescent="0.2">
      <c r="A199" s="116">
        <v>307</v>
      </c>
      <c r="B199" s="116" t="str">
        <f t="shared" si="183"/>
        <v>JL. DESA PL. PANJANG - PL. PANJANG HILIR</v>
      </c>
      <c r="D199" s="116" t="s">
        <v>4085</v>
      </c>
      <c r="E199" s="218" t="s">
        <v>4247</v>
      </c>
      <c r="F199" s="53"/>
      <c r="G199" s="67" t="str">
        <f t="shared" si="155"/>
        <v>PEMBANGUNAN JALAN DESA PULAU PANJANG CERENTI</v>
      </c>
      <c r="H199" s="396" t="str">
        <f t="shared" si="156"/>
        <v>04.13.01.03.06</v>
      </c>
      <c r="I199" s="396">
        <f t="shared" si="157"/>
        <v>0</v>
      </c>
      <c r="J199" s="396">
        <f t="shared" si="158"/>
        <v>0</v>
      </c>
      <c r="K199" s="398">
        <f t="shared" si="159"/>
        <v>0</v>
      </c>
      <c r="L199" s="396">
        <f t="shared" si="160"/>
        <v>0</v>
      </c>
      <c r="M199" s="398">
        <f t="shared" si="161"/>
        <v>0</v>
      </c>
      <c r="N199" s="396" t="str">
        <f t="shared" si="162"/>
        <v>DESA PULAU PANJANG CERENTI</v>
      </c>
      <c r="O199" s="396">
        <f t="shared" si="163"/>
        <v>2015</v>
      </c>
      <c r="P199" s="396">
        <f t="shared" si="164"/>
        <v>0</v>
      </c>
      <c r="Q199" s="396">
        <f t="shared" si="165"/>
        <v>0</v>
      </c>
      <c r="R199" s="396">
        <f t="shared" si="166"/>
        <v>0</v>
      </c>
      <c r="S199" s="396" t="str">
        <f t="shared" si="167"/>
        <v>APBD</v>
      </c>
      <c r="T199" s="397">
        <f t="shared" si="168"/>
        <v>191639680</v>
      </c>
      <c r="U199" s="396">
        <f t="shared" si="169"/>
        <v>0</v>
      </c>
      <c r="V199" s="396">
        <f t="shared" si="170"/>
        <v>0</v>
      </c>
      <c r="W199" s="206" t="str">
        <f t="shared" si="171"/>
        <v>04.13.01</v>
      </c>
      <c r="X199" s="207" t="str">
        <f t="shared" si="172"/>
        <v>Jalan</v>
      </c>
      <c r="Y199" s="207">
        <f t="shared" si="173"/>
        <v>10</v>
      </c>
      <c r="Z199" s="233">
        <f t="shared" si="174"/>
        <v>19163967</v>
      </c>
      <c r="AA199" s="208">
        <f t="shared" si="152"/>
        <v>0</v>
      </c>
      <c r="AB199" s="233">
        <f t="shared" si="175"/>
        <v>0</v>
      </c>
      <c r="AC199" s="233"/>
      <c r="AD199" s="233">
        <f t="shared" si="180"/>
        <v>19163967</v>
      </c>
      <c r="AE199" s="233">
        <f t="shared" si="181"/>
        <v>19163967</v>
      </c>
      <c r="AF199" s="238">
        <f t="shared" si="182"/>
        <v>19163967</v>
      </c>
      <c r="AG199" s="238">
        <f t="shared" si="176"/>
        <v>19163967</v>
      </c>
      <c r="AH199" s="238">
        <f t="shared" si="153"/>
        <v>76655868</v>
      </c>
      <c r="AI199" s="261">
        <f t="shared" si="177"/>
        <v>2015</v>
      </c>
      <c r="AJ199" s="233">
        <f t="shared" si="178"/>
        <v>114983812</v>
      </c>
    </row>
    <row r="200" spans="1:36" s="116" customFormat="1" ht="35.25" customHeight="1" x14ac:dyDescent="0.2">
      <c r="A200" s="116" t="s">
        <v>4134</v>
      </c>
      <c r="B200" s="116" t="e">
        <f t="shared" si="183"/>
        <v>#N/A</v>
      </c>
      <c r="C200" s="116" t="s">
        <v>4146</v>
      </c>
      <c r="D200" s="116" t="s">
        <v>4140</v>
      </c>
      <c r="E200" s="218" t="s">
        <v>4247</v>
      </c>
      <c r="F200" s="53"/>
      <c r="G200" s="67" t="str">
        <f t="shared" si="155"/>
        <v>PENGGANTIAN JEMBATAN SEI. TIU RANGKA BAJA (BANGUNAN ATAS) (KLAS B 1 X 40 M)</v>
      </c>
      <c r="H200" s="396" t="str">
        <f t="shared" si="156"/>
        <v>04.13.02.03.08</v>
      </c>
      <c r="I200" s="396">
        <f t="shared" si="157"/>
        <v>0</v>
      </c>
      <c r="J200" s="396" t="str">
        <f t="shared" si="158"/>
        <v>Beton</v>
      </c>
      <c r="K200" s="398">
        <f t="shared" si="159"/>
        <v>0</v>
      </c>
      <c r="L200" s="396">
        <f t="shared" si="160"/>
        <v>0</v>
      </c>
      <c r="M200" s="398">
        <f t="shared" si="161"/>
        <v>40</v>
      </c>
      <c r="N200" s="396" t="str">
        <f t="shared" si="162"/>
        <v xml:space="preserve">SEI. TIU </v>
      </c>
      <c r="O200" s="396">
        <f t="shared" si="163"/>
        <v>2011</v>
      </c>
      <c r="P200" s="396">
        <f t="shared" si="164"/>
        <v>0</v>
      </c>
      <c r="Q200" s="396">
        <f t="shared" si="165"/>
        <v>0</v>
      </c>
      <c r="R200" s="396">
        <f t="shared" si="166"/>
        <v>0</v>
      </c>
      <c r="S200" s="396" t="str">
        <f t="shared" si="167"/>
        <v>APBD</v>
      </c>
      <c r="T200" s="397">
        <f t="shared" si="168"/>
        <v>3841002466.5544596</v>
      </c>
      <c r="U200" s="396" t="str">
        <f t="shared" si="169"/>
        <v>B</v>
      </c>
      <c r="V200" s="396">
        <f t="shared" si="170"/>
        <v>0</v>
      </c>
      <c r="W200" s="206" t="str">
        <f t="shared" si="171"/>
        <v>04.13.02</v>
      </c>
      <c r="X200" s="207" t="str">
        <f t="shared" si="172"/>
        <v>Jembatan</v>
      </c>
      <c r="Y200" s="207">
        <f t="shared" si="173"/>
        <v>50</v>
      </c>
      <c r="Z200" s="233">
        <f t="shared" si="174"/>
        <v>76820049.131089196</v>
      </c>
      <c r="AA200" s="208">
        <f t="shared" si="152"/>
        <v>2</v>
      </c>
      <c r="AB200" s="233">
        <f t="shared" si="175"/>
        <v>153640098.26217839</v>
      </c>
      <c r="AC200" s="233">
        <f t="shared" si="179"/>
        <v>76820049.131089196</v>
      </c>
      <c r="AD200" s="233">
        <f t="shared" si="180"/>
        <v>76820049.131089196</v>
      </c>
      <c r="AE200" s="233">
        <f t="shared" si="181"/>
        <v>76820049.131089196</v>
      </c>
      <c r="AF200" s="238">
        <f t="shared" si="182"/>
        <v>76820049.131089196</v>
      </c>
      <c r="AG200" s="238">
        <f t="shared" si="176"/>
        <v>76820049.131089196</v>
      </c>
      <c r="AH200" s="238">
        <f t="shared" si="153"/>
        <v>537740343.91762435</v>
      </c>
      <c r="AI200" s="261">
        <f t="shared" si="177"/>
        <v>2011</v>
      </c>
      <c r="AJ200" s="233">
        <f t="shared" si="178"/>
        <v>3303262122.6368351</v>
      </c>
    </row>
    <row r="201" spans="1:36" s="116" customFormat="1" ht="35.25" customHeight="1" x14ac:dyDescent="0.2">
      <c r="A201" s="116" t="s">
        <v>4134</v>
      </c>
      <c r="B201" s="116" t="e">
        <f t="shared" si="183"/>
        <v>#N/A</v>
      </c>
      <c r="C201" s="116" t="s">
        <v>4146</v>
      </c>
      <c r="D201" s="116" t="s">
        <v>4141</v>
      </c>
      <c r="E201" s="218" t="s">
        <v>4247</v>
      </c>
      <c r="F201" s="53"/>
      <c r="G201" s="67" t="str">
        <f t="shared" si="155"/>
        <v>JEMBATAN SEI. TIU HILIR RUAS JALAN PINANG MERAH-MUARA PETAI</v>
      </c>
      <c r="H201" s="396" t="str">
        <f t="shared" si="156"/>
        <v>04.13.02.03.08</v>
      </c>
      <c r="I201" s="396">
        <f t="shared" si="157"/>
        <v>0</v>
      </c>
      <c r="J201" s="396">
        <f t="shared" si="158"/>
        <v>0</v>
      </c>
      <c r="K201" s="398">
        <f t="shared" si="159"/>
        <v>0</v>
      </c>
      <c r="L201" s="396">
        <f t="shared" si="160"/>
        <v>0</v>
      </c>
      <c r="M201" s="398">
        <f t="shared" si="161"/>
        <v>0</v>
      </c>
      <c r="N201" s="396" t="str">
        <f t="shared" si="162"/>
        <v xml:space="preserve">SEI. TIU </v>
      </c>
      <c r="O201" s="396">
        <f t="shared" si="163"/>
        <v>2013</v>
      </c>
      <c r="P201" s="396">
        <f t="shared" si="164"/>
        <v>0</v>
      </c>
      <c r="Q201" s="396">
        <f t="shared" si="165"/>
        <v>0</v>
      </c>
      <c r="R201" s="396">
        <f t="shared" si="166"/>
        <v>0</v>
      </c>
      <c r="S201" s="396" t="str">
        <f t="shared" si="167"/>
        <v>APBD</v>
      </c>
      <c r="T201" s="397">
        <f t="shared" si="168"/>
        <v>49212500</v>
      </c>
      <c r="U201" s="396">
        <f t="shared" si="169"/>
        <v>0</v>
      </c>
      <c r="V201" s="396">
        <f t="shared" si="170"/>
        <v>0</v>
      </c>
      <c r="W201" s="206" t="str">
        <f t="shared" si="171"/>
        <v>04.13.02</v>
      </c>
      <c r="X201" s="207" t="str">
        <f t="shared" si="172"/>
        <v>Jembatan</v>
      </c>
      <c r="Y201" s="207">
        <f t="shared" si="173"/>
        <v>50</v>
      </c>
      <c r="Z201" s="233">
        <f t="shared" si="174"/>
        <v>984249.8</v>
      </c>
      <c r="AA201" s="208">
        <f t="shared" si="152"/>
        <v>0</v>
      </c>
      <c r="AB201" s="233">
        <f t="shared" si="175"/>
        <v>0</v>
      </c>
      <c r="AC201" s="233">
        <f t="shared" si="179"/>
        <v>984249.8</v>
      </c>
      <c r="AD201" s="233">
        <f t="shared" si="180"/>
        <v>984249.8</v>
      </c>
      <c r="AE201" s="233">
        <f t="shared" si="181"/>
        <v>984249.8</v>
      </c>
      <c r="AF201" s="238">
        <f t="shared" si="182"/>
        <v>984249.8</v>
      </c>
      <c r="AG201" s="238">
        <f t="shared" si="176"/>
        <v>984249.8</v>
      </c>
      <c r="AH201" s="238">
        <f t="shared" si="153"/>
        <v>4921249</v>
      </c>
      <c r="AI201" s="261">
        <f t="shared" si="177"/>
        <v>2013</v>
      </c>
      <c r="AJ201" s="233">
        <f t="shared" si="178"/>
        <v>44291251</v>
      </c>
    </row>
    <row r="202" spans="1:36" s="116" customFormat="1" ht="35.25" customHeight="1" x14ac:dyDescent="0.2">
      <c r="A202" s="116" t="s">
        <v>4134</v>
      </c>
      <c r="B202" s="116" t="e">
        <f t="shared" si="183"/>
        <v>#N/A</v>
      </c>
      <c r="C202" s="116" t="s">
        <v>4146</v>
      </c>
      <c r="D202" s="116" t="s">
        <v>4142</v>
      </c>
      <c r="E202" s="218" t="s">
        <v>4247</v>
      </c>
      <c r="F202" s="53"/>
      <c r="G202" s="67" t="str">
        <f t="shared" si="155"/>
        <v>PEMBANGUNAN JEMBATAN SEI. TIU HILIR (BANGUNAN BAWAH) RUAS JALAN PINANG MERAH - MUARA PETAI (1 PAKET)</v>
      </c>
      <c r="H202" s="396" t="str">
        <f t="shared" si="156"/>
        <v>04.13.02.03.08</v>
      </c>
      <c r="I202" s="396">
        <f t="shared" si="157"/>
        <v>0</v>
      </c>
      <c r="J202" s="396">
        <f t="shared" si="158"/>
        <v>0</v>
      </c>
      <c r="K202" s="398">
        <f t="shared" si="159"/>
        <v>0</v>
      </c>
      <c r="L202" s="396">
        <f t="shared" si="160"/>
        <v>0</v>
      </c>
      <c r="M202" s="398">
        <f t="shared" si="161"/>
        <v>0</v>
      </c>
      <c r="N202" s="396" t="str">
        <f t="shared" si="162"/>
        <v xml:space="preserve">SEI. TIU </v>
      </c>
      <c r="O202" s="396">
        <f t="shared" si="163"/>
        <v>2014</v>
      </c>
      <c r="P202" s="396">
        <f t="shared" si="164"/>
        <v>0</v>
      </c>
      <c r="Q202" s="396">
        <f t="shared" si="165"/>
        <v>0</v>
      </c>
      <c r="R202" s="396">
        <f t="shared" si="166"/>
        <v>0</v>
      </c>
      <c r="S202" s="396" t="str">
        <f t="shared" si="167"/>
        <v>APBD</v>
      </c>
      <c r="T202" s="397">
        <f t="shared" si="168"/>
        <v>1578446994</v>
      </c>
      <c r="U202" s="396">
        <f t="shared" si="169"/>
        <v>0</v>
      </c>
      <c r="V202" s="396">
        <f t="shared" si="170"/>
        <v>0</v>
      </c>
      <c r="W202" s="206" t="str">
        <f t="shared" si="171"/>
        <v>04.13.02</v>
      </c>
      <c r="X202" s="207" t="str">
        <f t="shared" si="172"/>
        <v>Jembatan</v>
      </c>
      <c r="Y202" s="207">
        <f t="shared" si="173"/>
        <v>50</v>
      </c>
      <c r="Z202" s="233">
        <f t="shared" si="174"/>
        <v>31568939.68</v>
      </c>
      <c r="AA202" s="208">
        <f t="shared" si="152"/>
        <v>0</v>
      </c>
      <c r="AB202" s="233">
        <f t="shared" si="175"/>
        <v>0</v>
      </c>
      <c r="AC202" s="233">
        <f t="shared" si="179"/>
        <v>31568939.68</v>
      </c>
      <c r="AD202" s="233">
        <f t="shared" si="180"/>
        <v>31568939.68</v>
      </c>
      <c r="AE202" s="233">
        <f t="shared" si="181"/>
        <v>31568939.68</v>
      </c>
      <c r="AF202" s="238">
        <f t="shared" si="182"/>
        <v>31568939.68</v>
      </c>
      <c r="AG202" s="238">
        <f t="shared" si="176"/>
        <v>31568939.68</v>
      </c>
      <c r="AH202" s="238">
        <f t="shared" si="153"/>
        <v>157844698.40000001</v>
      </c>
      <c r="AI202" s="261">
        <f t="shared" si="177"/>
        <v>2014</v>
      </c>
      <c r="AJ202" s="233">
        <f t="shared" si="178"/>
        <v>1420602295.5999999</v>
      </c>
    </row>
    <row r="203" spans="1:36" s="116" customFormat="1" ht="35.25" customHeight="1" x14ac:dyDescent="0.2">
      <c r="A203" s="116" t="s">
        <v>4134</v>
      </c>
      <c r="B203" s="116" t="e">
        <f t="shared" si="183"/>
        <v>#N/A</v>
      </c>
      <c r="C203" s="116" t="s">
        <v>4146</v>
      </c>
      <c r="D203" s="116" t="s">
        <v>4143</v>
      </c>
      <c r="E203" s="218" t="s">
        <v>4247</v>
      </c>
      <c r="F203" s="53"/>
      <c r="G203" s="67" t="str">
        <f t="shared" si="155"/>
        <v>PEMBANGUNAN JEMBATAN SEI.TIU HILIR-MUARA PETAI</v>
      </c>
      <c r="H203" s="396" t="str">
        <f t="shared" si="156"/>
        <v>04.13.02.03.08</v>
      </c>
      <c r="I203" s="396">
        <f t="shared" si="157"/>
        <v>0</v>
      </c>
      <c r="J203" s="396">
        <f t="shared" si="158"/>
        <v>0</v>
      </c>
      <c r="K203" s="398">
        <f t="shared" si="159"/>
        <v>0</v>
      </c>
      <c r="L203" s="396">
        <f t="shared" si="160"/>
        <v>0</v>
      </c>
      <c r="M203" s="398">
        <f t="shared" si="161"/>
        <v>0</v>
      </c>
      <c r="N203" s="396" t="str">
        <f t="shared" si="162"/>
        <v xml:space="preserve">SEI. TIU </v>
      </c>
      <c r="O203" s="396">
        <f t="shared" si="163"/>
        <v>2015</v>
      </c>
      <c r="P203" s="396">
        <f t="shared" si="164"/>
        <v>0</v>
      </c>
      <c r="Q203" s="396">
        <f t="shared" si="165"/>
        <v>0</v>
      </c>
      <c r="R203" s="396">
        <f t="shared" si="166"/>
        <v>0</v>
      </c>
      <c r="S203" s="396" t="str">
        <f t="shared" si="167"/>
        <v>APBD</v>
      </c>
      <c r="T203" s="397">
        <f t="shared" si="168"/>
        <v>246942569</v>
      </c>
      <c r="U203" s="396">
        <f t="shared" si="169"/>
        <v>0</v>
      </c>
      <c r="V203" s="396">
        <f t="shared" si="170"/>
        <v>0</v>
      </c>
      <c r="W203" s="206" t="str">
        <f t="shared" si="171"/>
        <v>04.13.02</v>
      </c>
      <c r="X203" s="207" t="str">
        <f t="shared" si="172"/>
        <v>Jembatan</v>
      </c>
      <c r="Y203" s="207">
        <f t="shared" si="173"/>
        <v>50</v>
      </c>
      <c r="Z203" s="233">
        <f t="shared" si="174"/>
        <v>4938851.18</v>
      </c>
      <c r="AA203" s="208">
        <f t="shared" si="152"/>
        <v>0</v>
      </c>
      <c r="AB203" s="233">
        <f t="shared" si="175"/>
        <v>0</v>
      </c>
      <c r="AC203" s="233"/>
      <c r="AD203" s="233">
        <f t="shared" si="180"/>
        <v>4938851.18</v>
      </c>
      <c r="AE203" s="233">
        <f t="shared" si="181"/>
        <v>4938851.18</v>
      </c>
      <c r="AF203" s="238">
        <f t="shared" si="182"/>
        <v>4938851.18</v>
      </c>
      <c r="AG203" s="238">
        <f t="shared" si="176"/>
        <v>4938851.18</v>
      </c>
      <c r="AH203" s="238">
        <f t="shared" si="153"/>
        <v>19755404.719999999</v>
      </c>
      <c r="AI203" s="261">
        <f t="shared" si="177"/>
        <v>2015</v>
      </c>
      <c r="AJ203" s="233">
        <f t="shared" si="178"/>
        <v>227187164.28</v>
      </c>
    </row>
    <row r="204" spans="1:36" s="116" customFormat="1" ht="35.25" customHeight="1" x14ac:dyDescent="0.2">
      <c r="A204" s="116" t="s">
        <v>4134</v>
      </c>
      <c r="B204" s="116" t="e">
        <f t="shared" si="183"/>
        <v>#N/A</v>
      </c>
      <c r="C204" s="116" t="s">
        <v>4146</v>
      </c>
      <c r="D204" s="116" t="s">
        <v>4144</v>
      </c>
      <c r="E204" s="218" t="s">
        <v>4247</v>
      </c>
      <c r="F204" s="53"/>
      <c r="G204" s="67" t="str">
        <f t="shared" si="155"/>
        <v>PEMBANGUNAN JEMBATAN SEI TIU HILIR - MUARA PETAI</v>
      </c>
      <c r="H204" s="396" t="str">
        <f t="shared" si="156"/>
        <v>04.13.02.03.08</v>
      </c>
      <c r="I204" s="396">
        <f t="shared" si="157"/>
        <v>0</v>
      </c>
      <c r="J204" s="396">
        <f t="shared" si="158"/>
        <v>0</v>
      </c>
      <c r="K204" s="398">
        <f t="shared" si="159"/>
        <v>0</v>
      </c>
      <c r="L204" s="396">
        <f t="shared" si="160"/>
        <v>0</v>
      </c>
      <c r="M204" s="398">
        <f t="shared" si="161"/>
        <v>0</v>
      </c>
      <c r="N204" s="396" t="str">
        <f t="shared" si="162"/>
        <v xml:space="preserve">SEI. TIU </v>
      </c>
      <c r="O204" s="396">
        <f t="shared" si="163"/>
        <v>2015</v>
      </c>
      <c r="P204" s="396">
        <f t="shared" si="164"/>
        <v>0</v>
      </c>
      <c r="Q204" s="396">
        <f t="shared" si="165"/>
        <v>0</v>
      </c>
      <c r="R204" s="396">
        <f t="shared" si="166"/>
        <v>0</v>
      </c>
      <c r="S204" s="396" t="str">
        <f t="shared" si="167"/>
        <v>APBD</v>
      </c>
      <c r="T204" s="397">
        <f t="shared" si="168"/>
        <v>246942569</v>
      </c>
      <c r="U204" s="396">
        <f t="shared" si="169"/>
        <v>0</v>
      </c>
      <c r="V204" s="396">
        <f t="shared" si="170"/>
        <v>0</v>
      </c>
      <c r="W204" s="206" t="str">
        <f t="shared" si="171"/>
        <v>04.13.02</v>
      </c>
      <c r="X204" s="207" t="str">
        <f t="shared" si="172"/>
        <v>Jembatan</v>
      </c>
      <c r="Y204" s="207">
        <f t="shared" si="173"/>
        <v>50</v>
      </c>
      <c r="Z204" s="233">
        <f t="shared" si="174"/>
        <v>4938851.18</v>
      </c>
      <c r="AA204" s="208">
        <f t="shared" si="152"/>
        <v>0</v>
      </c>
      <c r="AB204" s="233">
        <f t="shared" si="175"/>
        <v>0</v>
      </c>
      <c r="AC204" s="233"/>
      <c r="AD204" s="233">
        <f t="shared" si="180"/>
        <v>4938851.18</v>
      </c>
      <c r="AE204" s="233">
        <f t="shared" si="181"/>
        <v>4938851.18</v>
      </c>
      <c r="AF204" s="238">
        <f t="shared" si="182"/>
        <v>4938851.18</v>
      </c>
      <c r="AG204" s="238">
        <f t="shared" si="176"/>
        <v>4938851.18</v>
      </c>
      <c r="AH204" s="238">
        <f t="shared" si="153"/>
        <v>19755404.719999999</v>
      </c>
      <c r="AI204" s="261">
        <f t="shared" si="177"/>
        <v>2015</v>
      </c>
      <c r="AJ204" s="233">
        <f t="shared" si="178"/>
        <v>227187164.28</v>
      </c>
    </row>
    <row r="205" spans="1:36" s="116" customFormat="1" ht="35.25" customHeight="1" x14ac:dyDescent="0.2">
      <c r="A205" s="116" t="s">
        <v>4134</v>
      </c>
      <c r="B205" s="116" t="e">
        <f t="shared" si="183"/>
        <v>#N/A</v>
      </c>
      <c r="C205" s="116" t="s">
        <v>4146</v>
      </c>
      <c r="D205" s="116" t="s">
        <v>4145</v>
      </c>
      <c r="E205" s="218" t="s">
        <v>4247</v>
      </c>
      <c r="F205" s="53"/>
      <c r="G205" s="67" t="str">
        <f t="shared" ref="G205:G215" si="184">VLOOKUP(D205,ACUAN,4,FALSE)</f>
        <v>PEMBANGUNAN JEMBATAN SEI. TIU HILIR (BANGUNANA ATAS)</v>
      </c>
      <c r="H205" s="396" t="str">
        <f t="shared" ref="H205:H215" si="185">VLOOKUP(D205,ACUAN,5,FALSE)</f>
        <v>04.13.02.03.08</v>
      </c>
      <c r="I205" s="396">
        <f t="shared" ref="I205:I215" si="186">VLOOKUP(D205,ACUAN,6,FALSE)</f>
        <v>0</v>
      </c>
      <c r="J205" s="396">
        <f t="shared" ref="J205:J215" si="187">VLOOKUP(D205,ACUAN,7,FALSE)</f>
        <v>0</v>
      </c>
      <c r="K205" s="398">
        <f t="shared" ref="K205:K215" si="188">VLOOKUP(D205,ACUAN,8,FALSE)</f>
        <v>0</v>
      </c>
      <c r="L205" s="396">
        <f t="shared" ref="L205:L215" si="189">VLOOKUP(D205,ACUAN,9,FALSE)</f>
        <v>0</v>
      </c>
      <c r="M205" s="398">
        <f t="shared" ref="M205:M215" si="190">VLOOKUP(D205,ACUAN,10,FALSE)</f>
        <v>0</v>
      </c>
      <c r="N205" s="396" t="str">
        <f t="shared" ref="N205:N215" si="191">VLOOKUP(D205,ACUAN,11,FALSE)</f>
        <v xml:space="preserve">SEI. TIU </v>
      </c>
      <c r="O205" s="396">
        <f t="shared" ref="O205:O215" si="192">VLOOKUP(D205,ACUAN,12,FALSE)</f>
        <v>2016</v>
      </c>
      <c r="P205" s="396">
        <f t="shared" ref="P205:P215" si="193">VLOOKUP(D205,ACUAN,13,FALSE)</f>
        <v>0</v>
      </c>
      <c r="Q205" s="396">
        <f t="shared" ref="Q205:Q215" si="194">VLOOKUP(D205,ACUAN,14,FALSE)</f>
        <v>0</v>
      </c>
      <c r="R205" s="396">
        <f t="shared" ref="R205:R215" si="195">VLOOKUP(D205,ACUAN,15,FALSE)</f>
        <v>0</v>
      </c>
      <c r="S205" s="396" t="str">
        <f t="shared" ref="S205:S215" si="196">VLOOKUP(D205,ACUAN,16,FALSE)</f>
        <v>APBD</v>
      </c>
      <c r="T205" s="397">
        <f t="shared" ref="T205:T215" si="197">VLOOKUP(D205,ACUAN,17,FALSE)</f>
        <v>6046396941.1700001</v>
      </c>
      <c r="U205" s="396">
        <f t="shared" ref="U205:U215" si="198">VLOOKUP(D205,ACUAN,18,FALSE)</f>
        <v>0</v>
      </c>
      <c r="V205" s="396">
        <f t="shared" ref="V205:V215" si="199">VLOOKUP(D205,ACUAN,19,FALSE)</f>
        <v>0</v>
      </c>
      <c r="W205" s="206" t="str">
        <f t="shared" si="171"/>
        <v>04.13.02</v>
      </c>
      <c r="X205" s="207" t="str">
        <f t="shared" si="172"/>
        <v>Jembatan</v>
      </c>
      <c r="Y205" s="207">
        <f t="shared" si="173"/>
        <v>50</v>
      </c>
      <c r="Z205" s="233">
        <f t="shared" si="174"/>
        <v>120927938.6234</v>
      </c>
      <c r="AA205" s="208">
        <f t="shared" si="152"/>
        <v>0</v>
      </c>
      <c r="AB205" s="233">
        <f t="shared" si="175"/>
        <v>0</v>
      </c>
      <c r="AC205" s="233"/>
      <c r="AD205" s="233"/>
      <c r="AE205" s="233">
        <f t="shared" si="181"/>
        <v>120927938.6234</v>
      </c>
      <c r="AF205" s="238">
        <f t="shared" si="182"/>
        <v>120927938.6234</v>
      </c>
      <c r="AG205" s="238">
        <f t="shared" si="176"/>
        <v>120927938.6234</v>
      </c>
      <c r="AH205" s="238">
        <f t="shared" si="153"/>
        <v>362783815.87020004</v>
      </c>
      <c r="AI205" s="261">
        <f t="shared" si="177"/>
        <v>2016</v>
      </c>
      <c r="AJ205" s="233">
        <f t="shared" si="178"/>
        <v>5683613125.2997999</v>
      </c>
    </row>
    <row r="206" spans="1:36" s="116" customFormat="1" ht="35.25" customHeight="1" x14ac:dyDescent="0.2">
      <c r="A206" s="116" t="s">
        <v>4135</v>
      </c>
      <c r="B206" s="116" t="e">
        <f t="shared" si="183"/>
        <v>#N/A</v>
      </c>
      <c r="C206" s="116" t="s">
        <v>4146</v>
      </c>
      <c r="D206" s="116" t="s">
        <v>4147</v>
      </c>
      <c r="E206" s="218" t="s">
        <v>4247</v>
      </c>
      <c r="F206" s="53"/>
      <c r="G206" s="67" t="str">
        <f t="shared" si="184"/>
        <v>PEMBANGUNAN JEMBATAN GANTUNG TELUK KUANTAN</v>
      </c>
      <c r="H206" s="396" t="str">
        <f t="shared" si="185"/>
        <v>04.13.02.03.03</v>
      </c>
      <c r="I206" s="396">
        <f t="shared" si="186"/>
        <v>0</v>
      </c>
      <c r="J206" s="396">
        <f t="shared" si="187"/>
        <v>0</v>
      </c>
      <c r="K206" s="398">
        <f t="shared" si="188"/>
        <v>0</v>
      </c>
      <c r="L206" s="396">
        <f t="shared" si="189"/>
        <v>0</v>
      </c>
      <c r="M206" s="398">
        <f t="shared" si="190"/>
        <v>0</v>
      </c>
      <c r="N206" s="396" t="str">
        <f t="shared" si="191"/>
        <v>SAWAH</v>
      </c>
      <c r="O206" s="396">
        <f t="shared" si="192"/>
        <v>2008</v>
      </c>
      <c r="P206" s="396">
        <f t="shared" si="193"/>
        <v>0</v>
      </c>
      <c r="Q206" s="396">
        <f t="shared" si="194"/>
        <v>0</v>
      </c>
      <c r="R206" s="396">
        <f t="shared" si="195"/>
        <v>0</v>
      </c>
      <c r="S206" s="396" t="str">
        <f t="shared" si="196"/>
        <v>APBD</v>
      </c>
      <c r="T206" s="397">
        <f t="shared" si="197"/>
        <v>1685204437</v>
      </c>
      <c r="U206" s="396" t="str">
        <f t="shared" si="198"/>
        <v>B</v>
      </c>
      <c r="V206" s="396">
        <f t="shared" si="199"/>
        <v>0</v>
      </c>
      <c r="W206" s="206" t="str">
        <f t="shared" si="171"/>
        <v>04.13.02</v>
      </c>
      <c r="X206" s="207" t="str">
        <f t="shared" si="172"/>
        <v>Jembatan</v>
      </c>
      <c r="Y206" s="207">
        <f t="shared" si="173"/>
        <v>50</v>
      </c>
      <c r="Z206" s="233">
        <f t="shared" si="174"/>
        <v>33704088.539999999</v>
      </c>
      <c r="AA206" s="208">
        <f t="shared" ref="AA206:AA269" si="200">IF(2013-O206&gt;Y206,Y206,IF(2013-O206&lt;0,0,2013-O206))</f>
        <v>5</v>
      </c>
      <c r="AB206" s="233">
        <f t="shared" si="175"/>
        <v>168520442.69999999</v>
      </c>
      <c r="AC206" s="233">
        <f t="shared" si="179"/>
        <v>33704088.539999999</v>
      </c>
      <c r="AD206" s="233">
        <f t="shared" si="180"/>
        <v>33704088.539999999</v>
      </c>
      <c r="AE206" s="233">
        <f t="shared" si="181"/>
        <v>33704088.539999999</v>
      </c>
      <c r="AF206" s="238">
        <f t="shared" si="182"/>
        <v>33704088.539999999</v>
      </c>
      <c r="AG206" s="238">
        <f t="shared" si="176"/>
        <v>33704088.539999999</v>
      </c>
      <c r="AH206" s="238">
        <f t="shared" ref="AH206:AH215" si="201">SUM(AB206:AG206)</f>
        <v>337040885.40000004</v>
      </c>
      <c r="AI206" s="261">
        <f t="shared" si="177"/>
        <v>2008</v>
      </c>
      <c r="AJ206" s="233">
        <f t="shared" si="178"/>
        <v>1348163551.5999999</v>
      </c>
    </row>
    <row r="207" spans="1:36" s="116" customFormat="1" ht="35.25" customHeight="1" x14ac:dyDescent="0.2">
      <c r="A207" s="116" t="s">
        <v>4135</v>
      </c>
      <c r="B207" s="116" t="e">
        <f t="shared" si="183"/>
        <v>#N/A</v>
      </c>
      <c r="C207" s="116" t="s">
        <v>4146</v>
      </c>
      <c r="D207" s="116" t="s">
        <v>4148</v>
      </c>
      <c r="E207" s="218" t="s">
        <v>4247</v>
      </c>
      <c r="F207" s="53"/>
      <c r="G207" s="67" t="str">
        <f t="shared" si="184"/>
        <v>PEMBANGUNAN JEMBATAN GANTUNG DESA SAWAH (BANGUNAN ATAS LANJUTAN)</v>
      </c>
      <c r="H207" s="396" t="str">
        <f t="shared" si="185"/>
        <v>04.13.02.03.03</v>
      </c>
      <c r="I207" s="396">
        <f t="shared" si="186"/>
        <v>0</v>
      </c>
      <c r="J207" s="396" t="str">
        <f t="shared" si="187"/>
        <v>Beton</v>
      </c>
      <c r="K207" s="398">
        <f t="shared" si="188"/>
        <v>0</v>
      </c>
      <c r="L207" s="396">
        <f t="shared" si="189"/>
        <v>0</v>
      </c>
      <c r="M207" s="398">
        <f t="shared" si="190"/>
        <v>0</v>
      </c>
      <c r="N207" s="396" t="str">
        <f t="shared" si="191"/>
        <v>SAWAH</v>
      </c>
      <c r="O207" s="396">
        <f t="shared" si="192"/>
        <v>2012</v>
      </c>
      <c r="P207" s="396">
        <f t="shared" si="193"/>
        <v>0</v>
      </c>
      <c r="Q207" s="396">
        <f t="shared" si="194"/>
        <v>0</v>
      </c>
      <c r="R207" s="396">
        <f t="shared" si="195"/>
        <v>0</v>
      </c>
      <c r="S207" s="396" t="str">
        <f t="shared" si="196"/>
        <v>APBD</v>
      </c>
      <c r="T207" s="397">
        <f t="shared" si="197"/>
        <v>7204662185.0902042</v>
      </c>
      <c r="U207" s="396" t="str">
        <f t="shared" si="198"/>
        <v>B</v>
      </c>
      <c r="V207" s="396">
        <f t="shared" si="199"/>
        <v>0</v>
      </c>
      <c r="W207" s="206" t="str">
        <f t="shared" si="171"/>
        <v>04.13.02</v>
      </c>
      <c r="X207" s="207" t="str">
        <f t="shared" si="172"/>
        <v>Jembatan</v>
      </c>
      <c r="Y207" s="207">
        <f t="shared" si="173"/>
        <v>50</v>
      </c>
      <c r="Z207" s="233">
        <f t="shared" si="174"/>
        <v>144093243.50180408</v>
      </c>
      <c r="AA207" s="208">
        <f t="shared" si="200"/>
        <v>1</v>
      </c>
      <c r="AB207" s="233">
        <f t="shared" si="175"/>
        <v>144093243.50180408</v>
      </c>
      <c r="AC207" s="233">
        <f t="shared" si="179"/>
        <v>144093243.50180408</v>
      </c>
      <c r="AD207" s="233">
        <f t="shared" si="180"/>
        <v>144093243.50180408</v>
      </c>
      <c r="AE207" s="233">
        <f t="shared" si="181"/>
        <v>144093243.50180408</v>
      </c>
      <c r="AF207" s="238">
        <f t="shared" si="182"/>
        <v>144093243.50180408</v>
      </c>
      <c r="AG207" s="238">
        <f t="shared" si="176"/>
        <v>144093243.50180408</v>
      </c>
      <c r="AH207" s="238">
        <f t="shared" si="201"/>
        <v>864559461.01082456</v>
      </c>
      <c r="AI207" s="261">
        <f t="shared" si="177"/>
        <v>2012</v>
      </c>
      <c r="AJ207" s="233">
        <f t="shared" si="178"/>
        <v>6340102724.07938</v>
      </c>
    </row>
    <row r="208" spans="1:36" s="116" customFormat="1" ht="35.25" customHeight="1" x14ac:dyDescent="0.2">
      <c r="A208" s="116" t="s">
        <v>4136</v>
      </c>
      <c r="B208" s="116" t="e">
        <f t="shared" si="183"/>
        <v>#N/A</v>
      </c>
      <c r="C208" s="116" t="s">
        <v>4146</v>
      </c>
      <c r="D208" s="116" t="s">
        <v>4149</v>
      </c>
      <c r="E208" s="218" t="s">
        <v>4798</v>
      </c>
      <c r="F208" s="53"/>
      <c r="G208" s="67" t="str">
        <f>VLOOKUP(D208,ACUAN,4,FALSE)</f>
        <v>JEMBATAN PADA JALAN KABUPATEN/KOTA LOKAL</v>
      </c>
      <c r="H208" s="396" t="str">
        <f>VLOOKUP(D208,ACUAN,5,FALSE)</f>
        <v>04.13.02.03.08</v>
      </c>
      <c r="I208" s="396">
        <f>VLOOKUP(D208,ACUAN,6,FALSE)</f>
        <v>0</v>
      </c>
      <c r="J208" s="396" t="str">
        <f>VLOOKUP(D208,ACUAN,7,FALSE)</f>
        <v>BETON</v>
      </c>
      <c r="K208" s="398" t="str">
        <f>VLOOKUP(D208,ACUAN,8,FALSE)</f>
        <v>17</v>
      </c>
      <c r="L208" s="396">
        <f>VLOOKUP(D208,ACUAN,9,FALSE)</f>
        <v>6</v>
      </c>
      <c r="M208" s="398">
        <f>VLOOKUP(D208,ACUAN,10,FALSE)</f>
        <v>102</v>
      </c>
      <c r="N208" s="396" t="str">
        <f>VLOOKUP(D208,ACUAN,11,FALSE)</f>
        <v>DESA PULAU MUNGKUR</v>
      </c>
      <c r="O208" s="396">
        <f>VLOOKUP(D208,ACUAN,12,FALSE)</f>
        <v>2004</v>
      </c>
      <c r="P208" s="396">
        <f>VLOOKUP(D208,ACUAN,13,FALSE)</f>
        <v>0</v>
      </c>
      <c r="Q208" s="396">
        <f>VLOOKUP(D208,ACUAN,14,FALSE)</f>
        <v>0</v>
      </c>
      <c r="R208" s="396" t="str">
        <f>VLOOKUP(D208,ACUAN,15,FALSE)</f>
        <v>12.04.06.05.00.04.00</v>
      </c>
      <c r="S208" s="396" t="str">
        <f>VLOOKUP(D208,ACUAN,16,FALSE)</f>
        <v>APBD</v>
      </c>
      <c r="T208" s="397">
        <f>VLOOKUP(D208,ACUAN,17,FALSE)</f>
        <v>841500000</v>
      </c>
      <c r="U208" s="396" t="str">
        <f>VLOOKUP(D208,ACUAN,18,FALSE)</f>
        <v>B</v>
      </c>
      <c r="V208" s="396">
        <f>VLOOKUP(D208,ACUAN,19,FALSE)</f>
        <v>0</v>
      </c>
      <c r="W208" s="206" t="str">
        <f t="shared" ref="W208:W215" si="202">LEFT(H208,8)</f>
        <v>04.13.02</v>
      </c>
      <c r="X208" s="207" t="str">
        <f t="shared" ref="X208:X215" si="203">VLOOKUP(W208,UE,3,FALSE)</f>
        <v>Jembatan</v>
      </c>
      <c r="Y208" s="207">
        <f t="shared" ref="Y208:Y215" si="204">VLOOKUP(W208,UE,4,FALSE)</f>
        <v>50</v>
      </c>
      <c r="Z208" s="233">
        <f t="shared" ref="Z208:Z215" si="205">(T208-10)/Y208</f>
        <v>16829999.800000001</v>
      </c>
      <c r="AA208" s="208">
        <f t="shared" si="200"/>
        <v>9</v>
      </c>
      <c r="AB208" s="233">
        <f t="shared" ref="AB208:AB215" si="206">IF(AA208&gt;Y208,T208-10,Z208*AA208)</f>
        <v>151469998.20000002</v>
      </c>
      <c r="AC208" s="233">
        <f t="shared" ref="AC208:AC215" si="207">IF(T208-10=AB208,0,Z208)</f>
        <v>16829999.800000001</v>
      </c>
      <c r="AD208" s="233">
        <f t="shared" ref="AD208:AD215" si="208">IF(T208-10=AB208+AC208,0,Z208)</f>
        <v>16829999.800000001</v>
      </c>
      <c r="AE208" s="233">
        <f t="shared" ref="AE208:AE215" si="209">IF(T208-10=AB208+AC208+AD208,0,Z208)</f>
        <v>16829999.800000001</v>
      </c>
      <c r="AF208" s="238">
        <f t="shared" ref="AF208:AF215" si="210">IF(T208-10=AC208+AD208+AE208+AB208,0,Z208)</f>
        <v>16829999.800000001</v>
      </c>
      <c r="AG208" s="238">
        <f t="shared" ref="AG208:AG215" si="211">IF(T208-10=AC208+AD208+AE208+AB208+AF208,0,Z208)</f>
        <v>16829999.800000001</v>
      </c>
      <c r="AH208" s="238">
        <f t="shared" si="201"/>
        <v>235619997.20000008</v>
      </c>
      <c r="AI208" s="261"/>
      <c r="AJ208" s="233">
        <f t="shared" si="178"/>
        <v>605880002.79999995</v>
      </c>
    </row>
    <row r="209" spans="1:37" s="116" customFormat="1" ht="35.25" customHeight="1" x14ac:dyDescent="0.2">
      <c r="A209" s="116" t="s">
        <v>4136</v>
      </c>
      <c r="B209" s="116" t="e">
        <f t="shared" si="183"/>
        <v>#N/A</v>
      </c>
      <c r="C209" s="116" t="s">
        <v>4146</v>
      </c>
      <c r="D209" s="116" t="s">
        <v>4150</v>
      </c>
      <c r="E209" s="218" t="s">
        <v>4798</v>
      </c>
      <c r="F209" s="53"/>
      <c r="G209" s="67" t="str">
        <f>VLOOKUP(D209,ACUAN,4,FALSE)</f>
        <v>JEMBATAN BETON</v>
      </c>
      <c r="H209" s="396" t="str">
        <f>VLOOKUP(D209,ACUAN,5,FALSE)</f>
        <v>04.13.02.04.01</v>
      </c>
      <c r="I209" s="396">
        <f>VLOOKUP(D209,ACUAN,6,FALSE)</f>
        <v>0</v>
      </c>
      <c r="J209" s="396" t="str">
        <f>VLOOKUP(D209,ACUAN,7,FALSE)</f>
        <v>BETON</v>
      </c>
      <c r="K209" s="398" t="str">
        <f>VLOOKUP(D209,ACUAN,8,FALSE)</f>
        <v>17</v>
      </c>
      <c r="L209" s="396">
        <f>VLOOKUP(D209,ACUAN,9,FALSE)</f>
        <v>6</v>
      </c>
      <c r="M209" s="398">
        <f>VLOOKUP(D209,ACUAN,10,FALSE)</f>
        <v>102</v>
      </c>
      <c r="N209" s="396" t="str">
        <f>VLOOKUP(D209,ACUAN,11,FALSE)</f>
        <v>DESA PULAU MUNGKUR</v>
      </c>
      <c r="O209" s="396">
        <f>VLOOKUP(D209,ACUAN,12,FALSE)</f>
        <v>2004</v>
      </c>
      <c r="P209" s="396">
        <f>VLOOKUP(D209,ACUAN,13,FALSE)</f>
        <v>0</v>
      </c>
      <c r="Q209" s="396">
        <f>VLOOKUP(D209,ACUAN,14,FALSE)</f>
        <v>0</v>
      </c>
      <c r="R209" s="396" t="str">
        <f>VLOOKUP(D209,ACUAN,15,FALSE)</f>
        <v>12.04.06.05.00.04.00</v>
      </c>
      <c r="S209" s="396" t="str">
        <f>VLOOKUP(D209,ACUAN,16,FALSE)</f>
        <v>APBD</v>
      </c>
      <c r="T209" s="397">
        <f>VLOOKUP(D209,ACUAN,17,FALSE)</f>
        <v>841500000</v>
      </c>
      <c r="U209" s="396" t="str">
        <f>VLOOKUP(D209,ACUAN,18,FALSE)</f>
        <v>B</v>
      </c>
      <c r="V209" s="396">
        <f>VLOOKUP(D209,ACUAN,19,FALSE)</f>
        <v>0</v>
      </c>
      <c r="W209" s="206" t="str">
        <f t="shared" si="202"/>
        <v>04.13.02</v>
      </c>
      <c r="X209" s="207" t="str">
        <f t="shared" si="203"/>
        <v>Jembatan</v>
      </c>
      <c r="Y209" s="207">
        <f t="shared" si="204"/>
        <v>50</v>
      </c>
      <c r="Z209" s="233">
        <f t="shared" si="205"/>
        <v>16829999.800000001</v>
      </c>
      <c r="AA209" s="208">
        <f t="shared" si="200"/>
        <v>9</v>
      </c>
      <c r="AB209" s="233">
        <f t="shared" si="206"/>
        <v>151469998.20000002</v>
      </c>
      <c r="AC209" s="233">
        <f t="shared" si="207"/>
        <v>16829999.800000001</v>
      </c>
      <c r="AD209" s="233">
        <f t="shared" si="208"/>
        <v>16829999.800000001</v>
      </c>
      <c r="AE209" s="233">
        <f t="shared" si="209"/>
        <v>16829999.800000001</v>
      </c>
      <c r="AF209" s="238">
        <f t="shared" si="210"/>
        <v>16829999.800000001</v>
      </c>
      <c r="AG209" s="238">
        <f t="shared" si="211"/>
        <v>16829999.800000001</v>
      </c>
      <c r="AH209" s="238">
        <f t="shared" si="201"/>
        <v>235619997.20000008</v>
      </c>
      <c r="AI209" s="261"/>
      <c r="AJ209" s="233">
        <f t="shared" si="178"/>
        <v>605880002.79999995</v>
      </c>
    </row>
    <row r="210" spans="1:37" s="116" customFormat="1" ht="35.25" customHeight="1" x14ac:dyDescent="0.2">
      <c r="A210" s="116" t="s">
        <v>4137</v>
      </c>
      <c r="B210" s="116" t="e">
        <f t="shared" si="183"/>
        <v>#N/A</v>
      </c>
      <c r="C210" s="116" t="s">
        <v>4146</v>
      </c>
      <c r="D210" s="116" t="s">
        <v>4151</v>
      </c>
      <c r="E210" s="218" t="s">
        <v>4798</v>
      </c>
      <c r="F210" s="53"/>
      <c r="G210" s="67" t="str">
        <f>VLOOKUP(D210,ACUAN,4,FALSE)</f>
        <v>JEMBATAN PADA JALAN KABUPATEN/KOTA LOKAL</v>
      </c>
      <c r="H210" s="396" t="str">
        <f>VLOOKUP(D210,ACUAN,5,FALSE)</f>
        <v>04.13.02.03.08</v>
      </c>
      <c r="I210" s="396">
        <f>VLOOKUP(D210,ACUAN,6,FALSE)</f>
        <v>0</v>
      </c>
      <c r="J210" s="396" t="str">
        <f>VLOOKUP(D210,ACUAN,7,FALSE)</f>
        <v>KAYU</v>
      </c>
      <c r="K210" s="398" t="str">
        <f>VLOOKUP(D210,ACUAN,8,FALSE)</f>
        <v>10</v>
      </c>
      <c r="L210" s="396">
        <f>VLOOKUP(D210,ACUAN,9,FALSE)</f>
        <v>5</v>
      </c>
      <c r="M210" s="398">
        <f>VLOOKUP(D210,ACUAN,10,FALSE)</f>
        <v>50</v>
      </c>
      <c r="N210" s="396" t="str">
        <f>VLOOKUP(D210,ACUAN,11,FALSE)</f>
        <v>TEBERAU PANJANG</v>
      </c>
      <c r="O210" s="396">
        <f>VLOOKUP(D210,ACUAN,12,FALSE)</f>
        <v>2006</v>
      </c>
      <c r="P210" s="396">
        <f>VLOOKUP(D210,ACUAN,13,FALSE)</f>
        <v>0</v>
      </c>
      <c r="Q210" s="396">
        <f>VLOOKUP(D210,ACUAN,14,FALSE)</f>
        <v>0</v>
      </c>
      <c r="R210" s="396" t="str">
        <f>VLOOKUP(D210,ACUAN,15,FALSE)</f>
        <v>12.04.06.05.00.06.00</v>
      </c>
      <c r="S210" s="396" t="str">
        <f>VLOOKUP(D210,ACUAN,16,FALSE)</f>
        <v>APBD</v>
      </c>
      <c r="T210" s="397">
        <f>VLOOKUP(D210,ACUAN,17,FALSE)</f>
        <v>150000000</v>
      </c>
      <c r="U210" s="396" t="str">
        <f>VLOOKUP(D210,ACUAN,18,FALSE)</f>
        <v>B</v>
      </c>
      <c r="V210" s="396">
        <f>VLOOKUP(D210,ACUAN,19,FALSE)</f>
        <v>0</v>
      </c>
      <c r="W210" s="206" t="str">
        <f t="shared" si="202"/>
        <v>04.13.02</v>
      </c>
      <c r="X210" s="207" t="str">
        <f t="shared" si="203"/>
        <v>Jembatan</v>
      </c>
      <c r="Y210" s="207">
        <f t="shared" si="204"/>
        <v>50</v>
      </c>
      <c r="Z210" s="233">
        <f t="shared" si="205"/>
        <v>2999999.8</v>
      </c>
      <c r="AA210" s="208">
        <f t="shared" si="200"/>
        <v>7</v>
      </c>
      <c r="AB210" s="233">
        <f t="shared" si="206"/>
        <v>20999998.599999998</v>
      </c>
      <c r="AC210" s="233">
        <f t="shared" si="207"/>
        <v>2999999.8</v>
      </c>
      <c r="AD210" s="233">
        <f t="shared" si="208"/>
        <v>2999999.8</v>
      </c>
      <c r="AE210" s="233">
        <f t="shared" si="209"/>
        <v>2999999.8</v>
      </c>
      <c r="AF210" s="238">
        <f t="shared" si="210"/>
        <v>2999999.8</v>
      </c>
      <c r="AG210" s="238">
        <f t="shared" si="211"/>
        <v>2999999.8</v>
      </c>
      <c r="AH210" s="238">
        <f t="shared" si="201"/>
        <v>35999997.600000001</v>
      </c>
      <c r="AI210" s="261"/>
      <c r="AJ210" s="233">
        <f t="shared" si="178"/>
        <v>114000002.40000001</v>
      </c>
    </row>
    <row r="211" spans="1:37" s="116" customFormat="1" ht="35.25" customHeight="1" x14ac:dyDescent="0.2">
      <c r="A211" s="116" t="s">
        <v>4137</v>
      </c>
      <c r="B211" s="116" t="e">
        <f t="shared" si="183"/>
        <v>#N/A</v>
      </c>
      <c r="C211" s="116" t="s">
        <v>4146</v>
      </c>
      <c r="D211" s="116" t="s">
        <v>4152</v>
      </c>
      <c r="E211" s="218" t="s">
        <v>4798</v>
      </c>
      <c r="F211" s="53"/>
      <c r="G211" s="67" t="str">
        <f>VLOOKUP(D211,ACUAN,4,FALSE)</f>
        <v>JEMBATAN KAYU</v>
      </c>
      <c r="H211" s="396" t="str">
        <f>VLOOKUP(D211,ACUAN,5,FALSE)</f>
        <v>04.13.02.04.03</v>
      </c>
      <c r="I211" s="396">
        <f>VLOOKUP(D211,ACUAN,6,FALSE)</f>
        <v>0</v>
      </c>
      <c r="J211" s="396" t="str">
        <f>VLOOKUP(D211,ACUAN,7,FALSE)</f>
        <v>KAYU</v>
      </c>
      <c r="K211" s="398" t="str">
        <f>VLOOKUP(D211,ACUAN,8,FALSE)</f>
        <v>10</v>
      </c>
      <c r="L211" s="396">
        <f>VLOOKUP(D211,ACUAN,9,FALSE)</f>
        <v>5</v>
      </c>
      <c r="M211" s="398">
        <f>VLOOKUP(D211,ACUAN,10,FALSE)</f>
        <v>50</v>
      </c>
      <c r="N211" s="396" t="str">
        <f>VLOOKUP(D211,ACUAN,11,FALSE)</f>
        <v>JEMBATAN TEBERAU PANJANG</v>
      </c>
      <c r="O211" s="396">
        <f>VLOOKUP(D211,ACUAN,12,FALSE)</f>
        <v>2006</v>
      </c>
      <c r="P211" s="396">
        <f>VLOOKUP(D211,ACUAN,13,FALSE)</f>
        <v>0</v>
      </c>
      <c r="Q211" s="396">
        <f>VLOOKUP(D211,ACUAN,14,FALSE)</f>
        <v>0</v>
      </c>
      <c r="R211" s="396" t="str">
        <f>VLOOKUP(D211,ACUAN,15,FALSE)</f>
        <v>12.04.06.05.00.06.00</v>
      </c>
      <c r="S211" s="396" t="str">
        <f>VLOOKUP(D211,ACUAN,16,FALSE)</f>
        <v>APBD</v>
      </c>
      <c r="T211" s="397">
        <f>VLOOKUP(D211,ACUAN,17,FALSE)</f>
        <v>150000000</v>
      </c>
      <c r="U211" s="396" t="str">
        <f>VLOOKUP(D211,ACUAN,18,FALSE)</f>
        <v>B</v>
      </c>
      <c r="V211" s="396">
        <f>VLOOKUP(D211,ACUAN,19,FALSE)</f>
        <v>0</v>
      </c>
      <c r="W211" s="206" t="str">
        <f t="shared" si="202"/>
        <v>04.13.02</v>
      </c>
      <c r="X211" s="207" t="str">
        <f t="shared" si="203"/>
        <v>Jembatan</v>
      </c>
      <c r="Y211" s="207">
        <f t="shared" si="204"/>
        <v>50</v>
      </c>
      <c r="Z211" s="233">
        <f t="shared" si="205"/>
        <v>2999999.8</v>
      </c>
      <c r="AA211" s="208">
        <f t="shared" si="200"/>
        <v>7</v>
      </c>
      <c r="AB211" s="233">
        <f t="shared" si="206"/>
        <v>20999998.599999998</v>
      </c>
      <c r="AC211" s="233">
        <f t="shared" si="207"/>
        <v>2999999.8</v>
      </c>
      <c r="AD211" s="233">
        <f t="shared" si="208"/>
        <v>2999999.8</v>
      </c>
      <c r="AE211" s="233">
        <f t="shared" si="209"/>
        <v>2999999.8</v>
      </c>
      <c r="AF211" s="238">
        <f t="shared" si="210"/>
        <v>2999999.8</v>
      </c>
      <c r="AG211" s="238">
        <f t="shared" si="211"/>
        <v>2999999.8</v>
      </c>
      <c r="AH211" s="238">
        <f t="shared" si="201"/>
        <v>35999997.600000001</v>
      </c>
      <c r="AI211" s="261"/>
      <c r="AJ211" s="233">
        <f t="shared" si="178"/>
        <v>114000002.40000001</v>
      </c>
    </row>
    <row r="212" spans="1:37" s="116" customFormat="1" ht="35.25" customHeight="1" x14ac:dyDescent="0.2">
      <c r="A212" s="116" t="s">
        <v>4138</v>
      </c>
      <c r="B212" s="116" t="e">
        <f t="shared" si="183"/>
        <v>#N/A</v>
      </c>
      <c r="C212" s="116" t="s">
        <v>4146</v>
      </c>
      <c r="D212" s="116" t="s">
        <v>4153</v>
      </c>
      <c r="E212" s="218" t="s">
        <v>4247</v>
      </c>
      <c r="F212" s="53"/>
      <c r="G212" s="67" t="str">
        <f t="shared" si="184"/>
        <v>JEMBATAN RANGKA SEI. DANAU BESAR RUAS JALAN KOTO RAJO - PL. JAMBU (35 M)</v>
      </c>
      <c r="H212" s="396" t="str">
        <f t="shared" si="185"/>
        <v>04.13.02.03.08</v>
      </c>
      <c r="I212" s="396">
        <f t="shared" si="186"/>
        <v>0</v>
      </c>
      <c r="J212" s="396" t="str">
        <f t="shared" si="187"/>
        <v>Baja</v>
      </c>
      <c r="K212" s="398">
        <f t="shared" si="188"/>
        <v>0</v>
      </c>
      <c r="L212" s="396">
        <f t="shared" si="189"/>
        <v>0</v>
      </c>
      <c r="M212" s="398">
        <f t="shared" si="190"/>
        <v>0</v>
      </c>
      <c r="N212" s="396" t="str">
        <f t="shared" si="191"/>
        <v>SEI. DANAU BESAR RUAS JALAN KOTO RAJO - PL. JAMBU</v>
      </c>
      <c r="O212" s="396">
        <f t="shared" si="192"/>
        <v>2013</v>
      </c>
      <c r="P212" s="396">
        <f t="shared" si="193"/>
        <v>0</v>
      </c>
      <c r="Q212" s="396">
        <f t="shared" si="194"/>
        <v>0</v>
      </c>
      <c r="R212" s="396">
        <f t="shared" si="195"/>
        <v>0</v>
      </c>
      <c r="S212" s="396" t="str">
        <f t="shared" si="196"/>
        <v>APBD</v>
      </c>
      <c r="T212" s="397">
        <f t="shared" si="197"/>
        <v>2229465896</v>
      </c>
      <c r="U212" s="396">
        <f t="shared" si="198"/>
        <v>0</v>
      </c>
      <c r="V212" s="396">
        <f t="shared" si="199"/>
        <v>0</v>
      </c>
      <c r="W212" s="206" t="str">
        <f t="shared" si="202"/>
        <v>04.13.02</v>
      </c>
      <c r="X212" s="207" t="str">
        <f t="shared" si="203"/>
        <v>Jembatan</v>
      </c>
      <c r="Y212" s="207">
        <f t="shared" si="204"/>
        <v>50</v>
      </c>
      <c r="Z212" s="233">
        <f t="shared" si="205"/>
        <v>44589317.719999999</v>
      </c>
      <c r="AA212" s="208">
        <f t="shared" si="200"/>
        <v>0</v>
      </c>
      <c r="AB212" s="233">
        <f t="shared" si="206"/>
        <v>0</v>
      </c>
      <c r="AC212" s="233">
        <f t="shared" si="207"/>
        <v>44589317.719999999</v>
      </c>
      <c r="AD212" s="233">
        <f t="shared" si="208"/>
        <v>44589317.719999999</v>
      </c>
      <c r="AE212" s="233">
        <f t="shared" si="209"/>
        <v>44589317.719999999</v>
      </c>
      <c r="AF212" s="238">
        <f t="shared" si="210"/>
        <v>44589317.719999999</v>
      </c>
      <c r="AG212" s="238">
        <f t="shared" si="211"/>
        <v>44589317.719999999</v>
      </c>
      <c r="AH212" s="238">
        <f t="shared" si="201"/>
        <v>222946588.59999999</v>
      </c>
      <c r="AI212" s="261">
        <f>O212</f>
        <v>2013</v>
      </c>
      <c r="AJ212" s="233">
        <f>T212-AH212</f>
        <v>2006519307.4000001</v>
      </c>
    </row>
    <row r="213" spans="1:37" s="116" customFormat="1" ht="35.25" customHeight="1" x14ac:dyDescent="0.2">
      <c r="A213" s="116" t="s">
        <v>4138</v>
      </c>
      <c r="B213" s="116" t="e">
        <f t="shared" si="183"/>
        <v>#N/A</v>
      </c>
      <c r="C213" s="116" t="s">
        <v>4146</v>
      </c>
      <c r="D213" s="116" t="s">
        <v>4154</v>
      </c>
      <c r="E213" s="218" t="s">
        <v>4247</v>
      </c>
      <c r="F213" s="53"/>
      <c r="G213" s="67" t="str">
        <f t="shared" si="184"/>
        <v>PEMBANGUNAN JEMBATAN RANGKA SEI. DANAU BESAR RUAS JALAN KOTO RAJO - PL. JAMBU (LANJUTAN)</v>
      </c>
      <c r="H213" s="396" t="str">
        <f t="shared" si="185"/>
        <v>04.13.01.03.06</v>
      </c>
      <c r="I213" s="396">
        <f t="shared" si="186"/>
        <v>0</v>
      </c>
      <c r="J213" s="396">
        <f t="shared" si="187"/>
        <v>0</v>
      </c>
      <c r="K213" s="398">
        <f t="shared" si="188"/>
        <v>0</v>
      </c>
      <c r="L213" s="396">
        <f t="shared" si="189"/>
        <v>0</v>
      </c>
      <c r="M213" s="398">
        <f t="shared" si="190"/>
        <v>0</v>
      </c>
      <c r="N213" s="396" t="str">
        <f t="shared" si="191"/>
        <v>SEI. DANAU BESAR RUAS JALAN KOTO RAJO - PL. JAMBU</v>
      </c>
      <c r="O213" s="396">
        <f t="shared" si="192"/>
        <v>2014</v>
      </c>
      <c r="P213" s="396">
        <f t="shared" si="193"/>
        <v>0</v>
      </c>
      <c r="Q213" s="396">
        <f t="shared" si="194"/>
        <v>0</v>
      </c>
      <c r="R213" s="396">
        <f t="shared" si="195"/>
        <v>0</v>
      </c>
      <c r="S213" s="396">
        <f t="shared" si="196"/>
        <v>0</v>
      </c>
      <c r="T213" s="397">
        <f t="shared" si="197"/>
        <v>692444812</v>
      </c>
      <c r="U213" s="396">
        <f t="shared" si="198"/>
        <v>0</v>
      </c>
      <c r="V213" s="396">
        <f t="shared" si="199"/>
        <v>0</v>
      </c>
      <c r="W213" s="206" t="str">
        <f t="shared" si="202"/>
        <v>04.13.01</v>
      </c>
      <c r="X213" s="207" t="str">
        <f t="shared" si="203"/>
        <v>Jalan</v>
      </c>
      <c r="Y213" s="207">
        <f t="shared" si="204"/>
        <v>10</v>
      </c>
      <c r="Z213" s="233">
        <f t="shared" si="205"/>
        <v>69244480.200000003</v>
      </c>
      <c r="AA213" s="208">
        <f t="shared" si="200"/>
        <v>0</v>
      </c>
      <c r="AB213" s="233">
        <f t="shared" si="206"/>
        <v>0</v>
      </c>
      <c r="AC213" s="233">
        <f t="shared" si="207"/>
        <v>69244480.200000003</v>
      </c>
      <c r="AD213" s="233">
        <f t="shared" si="208"/>
        <v>69244480.200000003</v>
      </c>
      <c r="AE213" s="233">
        <f t="shared" si="209"/>
        <v>69244480.200000003</v>
      </c>
      <c r="AF213" s="238">
        <f t="shared" si="210"/>
        <v>69244480.200000003</v>
      </c>
      <c r="AG213" s="238">
        <f t="shared" si="211"/>
        <v>69244480.200000003</v>
      </c>
      <c r="AH213" s="238">
        <f t="shared" si="201"/>
        <v>346222401</v>
      </c>
      <c r="AI213" s="261">
        <f>O213</f>
        <v>2014</v>
      </c>
      <c r="AJ213" s="233">
        <f>T213-AH213</f>
        <v>346222411</v>
      </c>
    </row>
    <row r="214" spans="1:37" s="116" customFormat="1" ht="35.25" customHeight="1" x14ac:dyDescent="0.2">
      <c r="A214" s="116" t="s">
        <v>4139</v>
      </c>
      <c r="B214" s="116" t="e">
        <f t="shared" si="183"/>
        <v>#N/A</v>
      </c>
      <c r="C214" s="116" t="s">
        <v>4146</v>
      </c>
      <c r="D214" s="116" t="s">
        <v>4155</v>
      </c>
      <c r="E214" s="218" t="s">
        <v>4247</v>
      </c>
      <c r="F214" s="53"/>
      <c r="G214" s="67" t="str">
        <f t="shared" si="184"/>
        <v>REHABILITASI BERAT JEMBATAN KAYU SEI.TINGKALAK RUAS JALAN SIMPANG HANDOYO-SUMBER DATAR</v>
      </c>
      <c r="H214" s="396" t="str">
        <f t="shared" si="185"/>
        <v>04.13.02.04.03</v>
      </c>
      <c r="I214" s="396">
        <f t="shared" si="186"/>
        <v>0</v>
      </c>
      <c r="J214" s="396" t="str">
        <f t="shared" si="187"/>
        <v>Kayu</v>
      </c>
      <c r="K214" s="398">
        <f t="shared" si="188"/>
        <v>0</v>
      </c>
      <c r="L214" s="396">
        <f t="shared" si="189"/>
        <v>0</v>
      </c>
      <c r="M214" s="398">
        <f t="shared" si="190"/>
        <v>0</v>
      </c>
      <c r="N214" s="396" t="str">
        <f t="shared" si="191"/>
        <v>SEI.TINGKALAK RUAS JALAN SIMPANG HANDOYO-SUMBER DATAR</v>
      </c>
      <c r="O214" s="396">
        <f t="shared" si="192"/>
        <v>2012</v>
      </c>
      <c r="P214" s="396">
        <f t="shared" si="193"/>
        <v>0</v>
      </c>
      <c r="Q214" s="396">
        <f t="shared" si="194"/>
        <v>0</v>
      </c>
      <c r="R214" s="396">
        <f t="shared" si="195"/>
        <v>0</v>
      </c>
      <c r="S214" s="396" t="str">
        <f t="shared" si="196"/>
        <v>APBD</v>
      </c>
      <c r="T214" s="397">
        <f t="shared" si="197"/>
        <v>76019206.029997841</v>
      </c>
      <c r="U214" s="396" t="str">
        <f t="shared" si="198"/>
        <v>B</v>
      </c>
      <c r="V214" s="396">
        <f t="shared" si="199"/>
        <v>0</v>
      </c>
      <c r="W214" s="206" t="str">
        <f t="shared" si="202"/>
        <v>04.13.02</v>
      </c>
      <c r="X214" s="207" t="str">
        <f t="shared" si="203"/>
        <v>Jembatan</v>
      </c>
      <c r="Y214" s="207">
        <f t="shared" si="204"/>
        <v>50</v>
      </c>
      <c r="Z214" s="233">
        <f t="shared" si="205"/>
        <v>1520383.9205999568</v>
      </c>
      <c r="AA214" s="208">
        <f t="shared" si="200"/>
        <v>1</v>
      </c>
      <c r="AB214" s="233">
        <f t="shared" si="206"/>
        <v>1520383.9205999568</v>
      </c>
      <c r="AC214" s="233">
        <f t="shared" si="207"/>
        <v>1520383.9205999568</v>
      </c>
      <c r="AD214" s="233">
        <f t="shared" si="208"/>
        <v>1520383.9205999568</v>
      </c>
      <c r="AE214" s="233">
        <f t="shared" si="209"/>
        <v>1520383.9205999568</v>
      </c>
      <c r="AF214" s="238">
        <f t="shared" si="210"/>
        <v>1520383.9205999568</v>
      </c>
      <c r="AG214" s="238">
        <f t="shared" si="211"/>
        <v>1520383.9205999568</v>
      </c>
      <c r="AH214" s="238">
        <f t="shared" si="201"/>
        <v>9122303.5235997401</v>
      </c>
      <c r="AI214" s="261">
        <f>O214</f>
        <v>2012</v>
      </c>
      <c r="AJ214" s="233">
        <f>T214-AH214</f>
        <v>66896902.506398097</v>
      </c>
    </row>
    <row r="215" spans="1:37" s="116" customFormat="1" ht="35.25" customHeight="1" x14ac:dyDescent="0.2">
      <c r="A215" s="116" t="s">
        <v>4139</v>
      </c>
      <c r="B215" s="116" t="e">
        <f t="shared" si="183"/>
        <v>#N/A</v>
      </c>
      <c r="C215" s="116" t="s">
        <v>4146</v>
      </c>
      <c r="D215" s="116" t="s">
        <v>4156</v>
      </c>
      <c r="E215" s="218" t="s">
        <v>4247</v>
      </c>
      <c r="F215" s="53"/>
      <c r="G215" s="67" t="str">
        <f t="shared" si="184"/>
        <v>PEMBANGUNAN JEMBATAN SEI. TINGKALAK HULU (BALOK T) RUAS JALAN SP. HANDOYO - SUMBER DATAR</v>
      </c>
      <c r="H215" s="396" t="str">
        <f t="shared" si="185"/>
        <v>04.13.02.03.08</v>
      </c>
      <c r="I215" s="396">
        <f t="shared" si="186"/>
        <v>0</v>
      </c>
      <c r="J215" s="396">
        <f t="shared" si="187"/>
        <v>0</v>
      </c>
      <c r="K215" s="398">
        <f t="shared" si="188"/>
        <v>0</v>
      </c>
      <c r="L215" s="396">
        <f t="shared" si="189"/>
        <v>0</v>
      </c>
      <c r="M215" s="398">
        <f t="shared" si="190"/>
        <v>0</v>
      </c>
      <c r="N215" s="396" t="str">
        <f t="shared" si="191"/>
        <v>SEI.TINGKALAK RUAS JALAN SIMPANG HANDOYO-SUMBER DATAR</v>
      </c>
      <c r="O215" s="396">
        <f t="shared" si="192"/>
        <v>2014</v>
      </c>
      <c r="P215" s="396">
        <f t="shared" si="193"/>
        <v>0</v>
      </c>
      <c r="Q215" s="396">
        <f t="shared" si="194"/>
        <v>0</v>
      </c>
      <c r="R215" s="396">
        <f t="shared" si="195"/>
        <v>0</v>
      </c>
      <c r="S215" s="396">
        <f t="shared" si="196"/>
        <v>0</v>
      </c>
      <c r="T215" s="397">
        <f t="shared" si="197"/>
        <v>2236254252</v>
      </c>
      <c r="U215" s="396">
        <f t="shared" si="198"/>
        <v>0</v>
      </c>
      <c r="V215" s="396">
        <f t="shared" si="199"/>
        <v>0</v>
      </c>
      <c r="W215" s="206" t="str">
        <f t="shared" si="202"/>
        <v>04.13.02</v>
      </c>
      <c r="X215" s="207" t="str">
        <f t="shared" si="203"/>
        <v>Jembatan</v>
      </c>
      <c r="Y215" s="207">
        <f t="shared" si="204"/>
        <v>50</v>
      </c>
      <c r="Z215" s="233">
        <f t="shared" si="205"/>
        <v>44725084.840000004</v>
      </c>
      <c r="AA215" s="208">
        <f t="shared" si="200"/>
        <v>0</v>
      </c>
      <c r="AB215" s="233">
        <f t="shared" si="206"/>
        <v>0</v>
      </c>
      <c r="AC215" s="233">
        <f t="shared" si="207"/>
        <v>44725084.840000004</v>
      </c>
      <c r="AD215" s="233">
        <f t="shared" si="208"/>
        <v>44725084.840000004</v>
      </c>
      <c r="AE215" s="233">
        <f t="shared" si="209"/>
        <v>44725084.840000004</v>
      </c>
      <c r="AF215" s="238">
        <f t="shared" si="210"/>
        <v>44725084.840000004</v>
      </c>
      <c r="AG215" s="238">
        <f t="shared" si="211"/>
        <v>44725084.840000004</v>
      </c>
      <c r="AH215" s="238">
        <f t="shared" si="201"/>
        <v>223625424.20000002</v>
      </c>
      <c r="AI215" s="261">
        <f>O215</f>
        <v>2014</v>
      </c>
      <c r="AJ215" s="233">
        <f>T215-AH215</f>
        <v>2012628827.8</v>
      </c>
    </row>
    <row r="216" spans="1:37" s="120" customFormat="1" ht="35.25" customHeight="1" x14ac:dyDescent="0.2">
      <c r="F216" s="130"/>
      <c r="G216" s="40" t="s">
        <v>52</v>
      </c>
      <c r="H216" s="65"/>
      <c r="I216" s="32"/>
      <c r="J216" s="40"/>
      <c r="K216" s="362"/>
      <c r="L216" s="40"/>
      <c r="M216" s="367"/>
      <c r="N216" s="33"/>
      <c r="O216" s="32"/>
      <c r="P216" s="40"/>
      <c r="Q216" s="40"/>
      <c r="R216" s="40"/>
      <c r="S216" s="40"/>
      <c r="T216" s="253"/>
      <c r="U216" s="68"/>
      <c r="V216" s="61"/>
      <c r="W216" s="206" t="str">
        <f t="shared" ref="W216:W264" si="212">LEFT(H216,8)</f>
        <v/>
      </c>
      <c r="X216" s="207" t="e">
        <f t="shared" ref="X216:X264" si="213">VLOOKUP(W216,UE,3,FALSE)</f>
        <v>#N/A</v>
      </c>
      <c r="Y216" s="207" t="e">
        <f t="shared" ref="Y216:Y264" si="214">VLOOKUP(W216,UE,4,FALSE)</f>
        <v>#N/A</v>
      </c>
      <c r="Z216" s="233" t="e">
        <f t="shared" ref="Z216:Z264" si="215">(T216-10)/Y216</f>
        <v>#N/A</v>
      </c>
      <c r="AA216" s="208" t="e">
        <f t="shared" si="200"/>
        <v>#N/A</v>
      </c>
      <c r="AB216" s="233" t="e">
        <f t="shared" ref="AB216:AB264" si="216">IF(AA216&gt;Y216,T216-10,Z216*AA216)</f>
        <v>#N/A</v>
      </c>
      <c r="AC216" s="233" t="e">
        <f t="shared" ref="AC216:AC264" si="217">IF(T216-10=AB216,0,Z216)</f>
        <v>#N/A</v>
      </c>
      <c r="AD216" s="233" t="e">
        <f t="shared" ref="AD216:AD264" si="218">IF(T216-10=AB216+AC216,0,Z216)</f>
        <v>#N/A</v>
      </c>
      <c r="AE216" s="233" t="e">
        <f t="shared" ref="AE216:AE264" si="219">IF(T216-10=AB216+AC216+AD216,0,Z216)</f>
        <v>#N/A</v>
      </c>
      <c r="AF216" s="238" t="e">
        <f t="shared" ref="AF216:AF264" si="220">IF(T216-10=AC216+AD216+AE216+AB216,0,Z216)</f>
        <v>#N/A</v>
      </c>
      <c r="AG216" s="238" t="e">
        <f t="shared" ref="AG216:AG264" si="221">IF(T216-10=AC216+AD216+AE216+AB216+AF216,0,Z216)</f>
        <v>#N/A</v>
      </c>
      <c r="AH216" s="238" t="e">
        <f t="shared" ref="AH216:AH264" si="222">SUM(AB216:AG216)</f>
        <v>#N/A</v>
      </c>
      <c r="AI216" s="261">
        <f t="shared" ref="AI216:AI264" si="223">O216</f>
        <v>0</v>
      </c>
      <c r="AJ216" s="233" t="e">
        <f t="shared" ref="AJ216:AJ264" si="224">T216-AH216</f>
        <v>#N/A</v>
      </c>
    </row>
    <row r="217" spans="1:37" s="120" customFormat="1" ht="35.25" customHeight="1" x14ac:dyDescent="0.2">
      <c r="F217" s="153" t="s">
        <v>842</v>
      </c>
      <c r="G217" s="96" t="s">
        <v>1466</v>
      </c>
      <c r="H217" s="395"/>
      <c r="I217" s="63"/>
      <c r="J217" s="33"/>
      <c r="K217" s="360"/>
      <c r="L217" s="40"/>
      <c r="M217" s="360"/>
      <c r="N217" s="25"/>
      <c r="O217" s="395"/>
      <c r="P217" s="63"/>
      <c r="Q217" s="63"/>
      <c r="R217" s="63"/>
      <c r="S217" s="63"/>
      <c r="T217" s="232" t="e">
        <f>SUM(T218:T401)</f>
        <v>#N/A</v>
      </c>
      <c r="U217" s="395"/>
      <c r="V217" s="101"/>
      <c r="W217" s="206" t="str">
        <f t="shared" si="212"/>
        <v/>
      </c>
      <c r="X217" s="207" t="e">
        <f t="shared" si="213"/>
        <v>#N/A</v>
      </c>
      <c r="Y217" s="207" t="e">
        <f t="shared" si="214"/>
        <v>#N/A</v>
      </c>
      <c r="Z217" s="233" t="e">
        <f t="shared" si="215"/>
        <v>#N/A</v>
      </c>
      <c r="AA217" s="208" t="e">
        <f t="shared" si="200"/>
        <v>#N/A</v>
      </c>
      <c r="AB217" s="233" t="e">
        <f t="shared" si="216"/>
        <v>#N/A</v>
      </c>
      <c r="AC217" s="233" t="e">
        <f t="shared" si="217"/>
        <v>#N/A</v>
      </c>
      <c r="AD217" s="233" t="e">
        <f t="shared" si="218"/>
        <v>#N/A</v>
      </c>
      <c r="AE217" s="233" t="e">
        <f t="shared" si="219"/>
        <v>#N/A</v>
      </c>
      <c r="AF217" s="238" t="e">
        <f t="shared" si="220"/>
        <v>#N/A</v>
      </c>
      <c r="AG217" s="238" t="e">
        <f t="shared" si="221"/>
        <v>#N/A</v>
      </c>
      <c r="AH217" s="238" t="e">
        <f t="shared" si="222"/>
        <v>#N/A</v>
      </c>
      <c r="AI217" s="261">
        <f t="shared" si="223"/>
        <v>0</v>
      </c>
      <c r="AJ217" s="233" t="e">
        <f t="shared" si="224"/>
        <v>#N/A</v>
      </c>
      <c r="AK217" s="314" t="e">
        <f>AH217-AG217</f>
        <v>#N/A</v>
      </c>
    </row>
    <row r="218" spans="1:37" s="120" customFormat="1" ht="35.25" customHeight="1" x14ac:dyDescent="0.2">
      <c r="E218" s="218" t="s">
        <v>2306</v>
      </c>
      <c r="F218" s="130"/>
      <c r="G218" s="67" t="e">
        <f>VLOOKUP(D218,ACUAN,4,FALSE)</f>
        <v>#N/A</v>
      </c>
      <c r="H218" s="396" t="e">
        <f>VLOOKUP(D218,ACUAN,5,FALSE)</f>
        <v>#N/A</v>
      </c>
      <c r="I218" s="396" t="e">
        <f>VLOOKUP(D218,ACUAN,6,FALSE)</f>
        <v>#N/A</v>
      </c>
      <c r="J218" s="396" t="e">
        <f>VLOOKUP(D218,ACUAN,7,FALSE)</f>
        <v>#N/A</v>
      </c>
      <c r="K218" s="398" t="e">
        <f>VLOOKUP(D218,ACUAN,8,FALSE)</f>
        <v>#N/A</v>
      </c>
      <c r="L218" s="396" t="e">
        <f>VLOOKUP(D218,ACUAN,9,FALSE)</f>
        <v>#N/A</v>
      </c>
      <c r="M218" s="398" t="e">
        <f>VLOOKUP(D218,ACUAN,10,FALSE)</f>
        <v>#N/A</v>
      </c>
      <c r="N218" s="396" t="e">
        <f>VLOOKUP(D218,ACUAN,11,FALSE)</f>
        <v>#N/A</v>
      </c>
      <c r="O218" s="396" t="e">
        <f>VLOOKUP(D218,ACUAN,12,FALSE)</f>
        <v>#N/A</v>
      </c>
      <c r="P218" s="396" t="e">
        <f>VLOOKUP(D218,ACUAN,13,FALSE)</f>
        <v>#N/A</v>
      </c>
      <c r="Q218" s="396" t="e">
        <f>VLOOKUP(D218,ACUAN,14,FALSE)</f>
        <v>#N/A</v>
      </c>
      <c r="R218" s="396" t="e">
        <f>VLOOKUP(D218,ACUAN,15,FALSE)</f>
        <v>#N/A</v>
      </c>
      <c r="S218" s="396" t="e">
        <f>VLOOKUP(D218,ACUAN,16,FALSE)</f>
        <v>#N/A</v>
      </c>
      <c r="T218" s="397" t="e">
        <f>VLOOKUP(D218,ACUAN,17,FALSE)</f>
        <v>#N/A</v>
      </c>
      <c r="U218" s="396" t="e">
        <f>VLOOKUP(D218,ACUAN,18,FALSE)</f>
        <v>#N/A</v>
      </c>
      <c r="V218" s="396" t="e">
        <f>VLOOKUP(D218,ACUAN,19,FALSE)</f>
        <v>#N/A</v>
      </c>
      <c r="W218" s="206" t="e">
        <f t="shared" si="212"/>
        <v>#N/A</v>
      </c>
      <c r="X218" s="207" t="e">
        <f t="shared" si="213"/>
        <v>#N/A</v>
      </c>
      <c r="Y218" s="207" t="e">
        <f t="shared" si="214"/>
        <v>#N/A</v>
      </c>
      <c r="Z218" s="233" t="e">
        <f t="shared" si="215"/>
        <v>#N/A</v>
      </c>
      <c r="AA218" s="208" t="e">
        <f t="shared" si="200"/>
        <v>#N/A</v>
      </c>
      <c r="AB218" s="233" t="e">
        <f t="shared" si="216"/>
        <v>#N/A</v>
      </c>
      <c r="AC218" s="233" t="e">
        <f t="shared" si="217"/>
        <v>#N/A</v>
      </c>
      <c r="AD218" s="233" t="e">
        <f t="shared" si="218"/>
        <v>#N/A</v>
      </c>
      <c r="AE218" s="233" t="e">
        <f t="shared" si="219"/>
        <v>#N/A</v>
      </c>
      <c r="AF218" s="238" t="e">
        <f t="shared" si="220"/>
        <v>#N/A</v>
      </c>
      <c r="AG218" s="238" t="e">
        <f t="shared" si="221"/>
        <v>#N/A</v>
      </c>
      <c r="AH218" s="238" t="e">
        <f t="shared" si="222"/>
        <v>#N/A</v>
      </c>
      <c r="AI218" s="261" t="e">
        <f t="shared" si="223"/>
        <v>#N/A</v>
      </c>
      <c r="AJ218" s="233" t="e">
        <f t="shared" si="224"/>
        <v>#N/A</v>
      </c>
    </row>
    <row r="219" spans="1:37" s="120" customFormat="1" ht="35.25" customHeight="1" x14ac:dyDescent="0.2">
      <c r="E219" s="218" t="s">
        <v>2306</v>
      </c>
      <c r="F219" s="130"/>
      <c r="G219" s="67" t="e">
        <f t="shared" ref="G219:G282" si="225">VLOOKUP(D219,ACUAN,4,FALSE)</f>
        <v>#N/A</v>
      </c>
      <c r="H219" s="396" t="e">
        <f t="shared" ref="H219:H282" si="226">VLOOKUP(D219,ACUAN,5,FALSE)</f>
        <v>#N/A</v>
      </c>
      <c r="I219" s="396" t="e">
        <f t="shared" ref="I219:I282" si="227">VLOOKUP(D219,ACUAN,6,FALSE)</f>
        <v>#N/A</v>
      </c>
      <c r="J219" s="396" t="e">
        <f t="shared" ref="J219:J282" si="228">VLOOKUP(D219,ACUAN,7,FALSE)</f>
        <v>#N/A</v>
      </c>
      <c r="K219" s="398" t="e">
        <f t="shared" ref="K219:K282" si="229">VLOOKUP(D219,ACUAN,8,FALSE)</f>
        <v>#N/A</v>
      </c>
      <c r="L219" s="396" t="e">
        <f t="shared" ref="L219:L282" si="230">VLOOKUP(D219,ACUAN,9,FALSE)</f>
        <v>#N/A</v>
      </c>
      <c r="M219" s="398" t="e">
        <f t="shared" ref="M219:M282" si="231">VLOOKUP(D219,ACUAN,10,FALSE)</f>
        <v>#N/A</v>
      </c>
      <c r="N219" s="396" t="e">
        <f t="shared" ref="N219:N282" si="232">VLOOKUP(D219,ACUAN,11,FALSE)</f>
        <v>#N/A</v>
      </c>
      <c r="O219" s="396" t="e">
        <f t="shared" ref="O219:O282" si="233">VLOOKUP(D219,ACUAN,12,FALSE)</f>
        <v>#N/A</v>
      </c>
      <c r="P219" s="396" t="e">
        <f t="shared" ref="P219:P282" si="234">VLOOKUP(D219,ACUAN,13,FALSE)</f>
        <v>#N/A</v>
      </c>
      <c r="Q219" s="396" t="e">
        <f t="shared" ref="Q219:Q282" si="235">VLOOKUP(D219,ACUAN,14,FALSE)</f>
        <v>#N/A</v>
      </c>
      <c r="R219" s="396" t="e">
        <f t="shared" ref="R219:R282" si="236">VLOOKUP(D219,ACUAN,15,FALSE)</f>
        <v>#N/A</v>
      </c>
      <c r="S219" s="396" t="e">
        <f t="shared" ref="S219:S282" si="237">VLOOKUP(D219,ACUAN,16,FALSE)</f>
        <v>#N/A</v>
      </c>
      <c r="T219" s="397" t="e">
        <f t="shared" ref="T219:T282" si="238">VLOOKUP(D219,ACUAN,17,FALSE)</f>
        <v>#N/A</v>
      </c>
      <c r="U219" s="396" t="e">
        <f t="shared" ref="U219:U282" si="239">VLOOKUP(D219,ACUAN,18,FALSE)</f>
        <v>#N/A</v>
      </c>
      <c r="V219" s="396" t="e">
        <f t="shared" ref="V219:V282" si="240">VLOOKUP(D219,ACUAN,19,FALSE)</f>
        <v>#N/A</v>
      </c>
      <c r="W219" s="206" t="e">
        <f t="shared" si="212"/>
        <v>#N/A</v>
      </c>
      <c r="X219" s="207" t="e">
        <f t="shared" si="213"/>
        <v>#N/A</v>
      </c>
      <c r="Y219" s="207" t="e">
        <f t="shared" si="214"/>
        <v>#N/A</v>
      </c>
      <c r="Z219" s="233" t="e">
        <f t="shared" si="215"/>
        <v>#N/A</v>
      </c>
      <c r="AA219" s="208" t="e">
        <f t="shared" si="200"/>
        <v>#N/A</v>
      </c>
      <c r="AB219" s="233" t="e">
        <f t="shared" si="216"/>
        <v>#N/A</v>
      </c>
      <c r="AC219" s="233" t="e">
        <f t="shared" si="217"/>
        <v>#N/A</v>
      </c>
      <c r="AD219" s="233" t="e">
        <f t="shared" si="218"/>
        <v>#N/A</v>
      </c>
      <c r="AE219" s="233" t="e">
        <f t="shared" si="219"/>
        <v>#N/A</v>
      </c>
      <c r="AF219" s="238" t="e">
        <f t="shared" si="220"/>
        <v>#N/A</v>
      </c>
      <c r="AG219" s="238" t="e">
        <f t="shared" si="221"/>
        <v>#N/A</v>
      </c>
      <c r="AH219" s="238" t="e">
        <f t="shared" si="222"/>
        <v>#N/A</v>
      </c>
      <c r="AI219" s="261" t="e">
        <f t="shared" si="223"/>
        <v>#N/A</v>
      </c>
      <c r="AJ219" s="233" t="e">
        <f t="shared" si="224"/>
        <v>#N/A</v>
      </c>
    </row>
    <row r="220" spans="1:37" s="120" customFormat="1" ht="35.25" customHeight="1" x14ac:dyDescent="0.2">
      <c r="E220" s="218" t="s">
        <v>2306</v>
      </c>
      <c r="F220" s="130"/>
      <c r="G220" s="67" t="e">
        <f t="shared" si="225"/>
        <v>#N/A</v>
      </c>
      <c r="H220" s="396" t="e">
        <f t="shared" si="226"/>
        <v>#N/A</v>
      </c>
      <c r="I220" s="396" t="e">
        <f t="shared" si="227"/>
        <v>#N/A</v>
      </c>
      <c r="J220" s="396" t="e">
        <f t="shared" si="228"/>
        <v>#N/A</v>
      </c>
      <c r="K220" s="398" t="e">
        <f t="shared" si="229"/>
        <v>#N/A</v>
      </c>
      <c r="L220" s="396" t="e">
        <f t="shared" si="230"/>
        <v>#N/A</v>
      </c>
      <c r="M220" s="398" t="e">
        <f t="shared" si="231"/>
        <v>#N/A</v>
      </c>
      <c r="N220" s="396" t="e">
        <f t="shared" si="232"/>
        <v>#N/A</v>
      </c>
      <c r="O220" s="396" t="e">
        <f t="shared" si="233"/>
        <v>#N/A</v>
      </c>
      <c r="P220" s="396" t="e">
        <f t="shared" si="234"/>
        <v>#N/A</v>
      </c>
      <c r="Q220" s="396" t="e">
        <f t="shared" si="235"/>
        <v>#N/A</v>
      </c>
      <c r="R220" s="396" t="e">
        <f t="shared" si="236"/>
        <v>#N/A</v>
      </c>
      <c r="S220" s="396" t="e">
        <f t="shared" si="237"/>
        <v>#N/A</v>
      </c>
      <c r="T220" s="397" t="e">
        <f t="shared" si="238"/>
        <v>#N/A</v>
      </c>
      <c r="U220" s="396" t="e">
        <f t="shared" si="239"/>
        <v>#N/A</v>
      </c>
      <c r="V220" s="396" t="e">
        <f t="shared" si="240"/>
        <v>#N/A</v>
      </c>
      <c r="W220" s="206" t="e">
        <f t="shared" si="212"/>
        <v>#N/A</v>
      </c>
      <c r="X220" s="207" t="e">
        <f t="shared" si="213"/>
        <v>#N/A</v>
      </c>
      <c r="Y220" s="207" t="e">
        <f t="shared" si="214"/>
        <v>#N/A</v>
      </c>
      <c r="Z220" s="233" t="e">
        <f t="shared" si="215"/>
        <v>#N/A</v>
      </c>
      <c r="AA220" s="208" t="e">
        <f t="shared" si="200"/>
        <v>#N/A</v>
      </c>
      <c r="AB220" s="233" t="e">
        <f t="shared" si="216"/>
        <v>#N/A</v>
      </c>
      <c r="AC220" s="233" t="e">
        <f t="shared" si="217"/>
        <v>#N/A</v>
      </c>
      <c r="AD220" s="233" t="e">
        <f t="shared" si="218"/>
        <v>#N/A</v>
      </c>
      <c r="AE220" s="233" t="e">
        <f t="shared" si="219"/>
        <v>#N/A</v>
      </c>
      <c r="AF220" s="238" t="e">
        <f t="shared" si="220"/>
        <v>#N/A</v>
      </c>
      <c r="AG220" s="238" t="e">
        <f t="shared" si="221"/>
        <v>#N/A</v>
      </c>
      <c r="AH220" s="238" t="e">
        <f t="shared" si="222"/>
        <v>#N/A</v>
      </c>
      <c r="AI220" s="261" t="e">
        <f t="shared" si="223"/>
        <v>#N/A</v>
      </c>
      <c r="AJ220" s="233" t="e">
        <f t="shared" si="224"/>
        <v>#N/A</v>
      </c>
    </row>
    <row r="221" spans="1:37" s="120" customFormat="1" ht="35.25" customHeight="1" x14ac:dyDescent="0.2">
      <c r="E221" s="218" t="s">
        <v>2306</v>
      </c>
      <c r="F221" s="130"/>
      <c r="G221" s="67" t="e">
        <f t="shared" si="225"/>
        <v>#N/A</v>
      </c>
      <c r="H221" s="396" t="e">
        <f t="shared" si="226"/>
        <v>#N/A</v>
      </c>
      <c r="I221" s="396" t="e">
        <f t="shared" si="227"/>
        <v>#N/A</v>
      </c>
      <c r="J221" s="396" t="e">
        <f t="shared" si="228"/>
        <v>#N/A</v>
      </c>
      <c r="K221" s="398" t="e">
        <f t="shared" si="229"/>
        <v>#N/A</v>
      </c>
      <c r="L221" s="396" t="e">
        <f t="shared" si="230"/>
        <v>#N/A</v>
      </c>
      <c r="M221" s="398" t="e">
        <f t="shared" si="231"/>
        <v>#N/A</v>
      </c>
      <c r="N221" s="396" t="e">
        <f t="shared" si="232"/>
        <v>#N/A</v>
      </c>
      <c r="O221" s="396" t="e">
        <f t="shared" si="233"/>
        <v>#N/A</v>
      </c>
      <c r="P221" s="396" t="e">
        <f t="shared" si="234"/>
        <v>#N/A</v>
      </c>
      <c r="Q221" s="396" t="e">
        <f t="shared" si="235"/>
        <v>#N/A</v>
      </c>
      <c r="R221" s="396" t="e">
        <f t="shared" si="236"/>
        <v>#N/A</v>
      </c>
      <c r="S221" s="396" t="e">
        <f t="shared" si="237"/>
        <v>#N/A</v>
      </c>
      <c r="T221" s="397" t="e">
        <f t="shared" si="238"/>
        <v>#N/A</v>
      </c>
      <c r="U221" s="396" t="e">
        <f t="shared" si="239"/>
        <v>#N/A</v>
      </c>
      <c r="V221" s="396" t="e">
        <f t="shared" si="240"/>
        <v>#N/A</v>
      </c>
      <c r="W221" s="206" t="e">
        <f t="shared" si="212"/>
        <v>#N/A</v>
      </c>
      <c r="X221" s="207" t="e">
        <f t="shared" si="213"/>
        <v>#N/A</v>
      </c>
      <c r="Y221" s="207" t="e">
        <f t="shared" si="214"/>
        <v>#N/A</v>
      </c>
      <c r="Z221" s="233" t="e">
        <f t="shared" si="215"/>
        <v>#N/A</v>
      </c>
      <c r="AA221" s="208" t="e">
        <f t="shared" si="200"/>
        <v>#N/A</v>
      </c>
      <c r="AB221" s="233" t="e">
        <f t="shared" si="216"/>
        <v>#N/A</v>
      </c>
      <c r="AC221" s="233" t="e">
        <f t="shared" si="217"/>
        <v>#N/A</v>
      </c>
      <c r="AD221" s="233" t="e">
        <f t="shared" si="218"/>
        <v>#N/A</v>
      </c>
      <c r="AE221" s="233" t="e">
        <f t="shared" si="219"/>
        <v>#N/A</v>
      </c>
      <c r="AF221" s="238" t="e">
        <f t="shared" si="220"/>
        <v>#N/A</v>
      </c>
      <c r="AG221" s="238" t="e">
        <f t="shared" si="221"/>
        <v>#N/A</v>
      </c>
      <c r="AH221" s="238" t="e">
        <f t="shared" si="222"/>
        <v>#N/A</v>
      </c>
      <c r="AI221" s="261" t="e">
        <f t="shared" si="223"/>
        <v>#N/A</v>
      </c>
      <c r="AJ221" s="233" t="e">
        <f t="shared" si="224"/>
        <v>#N/A</v>
      </c>
    </row>
    <row r="222" spans="1:37" s="120" customFormat="1" ht="35.25" customHeight="1" x14ac:dyDescent="0.2">
      <c r="E222" s="218" t="s">
        <v>2306</v>
      </c>
      <c r="F222" s="130"/>
      <c r="G222" s="67" t="e">
        <f t="shared" si="225"/>
        <v>#N/A</v>
      </c>
      <c r="H222" s="396" t="e">
        <f t="shared" si="226"/>
        <v>#N/A</v>
      </c>
      <c r="I222" s="396" t="e">
        <f t="shared" si="227"/>
        <v>#N/A</v>
      </c>
      <c r="J222" s="396" t="e">
        <f t="shared" si="228"/>
        <v>#N/A</v>
      </c>
      <c r="K222" s="398" t="e">
        <f t="shared" si="229"/>
        <v>#N/A</v>
      </c>
      <c r="L222" s="396" t="e">
        <f t="shared" si="230"/>
        <v>#N/A</v>
      </c>
      <c r="M222" s="398" t="e">
        <f t="shared" si="231"/>
        <v>#N/A</v>
      </c>
      <c r="N222" s="396" t="e">
        <f t="shared" si="232"/>
        <v>#N/A</v>
      </c>
      <c r="O222" s="396" t="e">
        <f t="shared" si="233"/>
        <v>#N/A</v>
      </c>
      <c r="P222" s="396" t="e">
        <f t="shared" si="234"/>
        <v>#N/A</v>
      </c>
      <c r="Q222" s="396" t="e">
        <f t="shared" si="235"/>
        <v>#N/A</v>
      </c>
      <c r="R222" s="396" t="e">
        <f t="shared" si="236"/>
        <v>#N/A</v>
      </c>
      <c r="S222" s="396" t="e">
        <f t="shared" si="237"/>
        <v>#N/A</v>
      </c>
      <c r="T222" s="397" t="e">
        <f t="shared" si="238"/>
        <v>#N/A</v>
      </c>
      <c r="U222" s="396" t="e">
        <f t="shared" si="239"/>
        <v>#N/A</v>
      </c>
      <c r="V222" s="396" t="e">
        <f t="shared" si="240"/>
        <v>#N/A</v>
      </c>
      <c r="W222" s="206" t="e">
        <f t="shared" si="212"/>
        <v>#N/A</v>
      </c>
      <c r="X222" s="207" t="e">
        <f t="shared" si="213"/>
        <v>#N/A</v>
      </c>
      <c r="Y222" s="207" t="e">
        <f t="shared" si="214"/>
        <v>#N/A</v>
      </c>
      <c r="Z222" s="233" t="e">
        <f t="shared" si="215"/>
        <v>#N/A</v>
      </c>
      <c r="AA222" s="208" t="e">
        <f t="shared" si="200"/>
        <v>#N/A</v>
      </c>
      <c r="AB222" s="233" t="e">
        <f t="shared" si="216"/>
        <v>#N/A</v>
      </c>
      <c r="AC222" s="233" t="e">
        <f t="shared" si="217"/>
        <v>#N/A</v>
      </c>
      <c r="AD222" s="233" t="e">
        <f t="shared" si="218"/>
        <v>#N/A</v>
      </c>
      <c r="AE222" s="233" t="e">
        <f t="shared" si="219"/>
        <v>#N/A</v>
      </c>
      <c r="AF222" s="238" t="e">
        <f t="shared" si="220"/>
        <v>#N/A</v>
      </c>
      <c r="AG222" s="238" t="e">
        <f t="shared" si="221"/>
        <v>#N/A</v>
      </c>
      <c r="AH222" s="238" t="e">
        <f t="shared" si="222"/>
        <v>#N/A</v>
      </c>
      <c r="AI222" s="261" t="e">
        <f t="shared" si="223"/>
        <v>#N/A</v>
      </c>
      <c r="AJ222" s="233" t="e">
        <f t="shared" si="224"/>
        <v>#N/A</v>
      </c>
    </row>
    <row r="223" spans="1:37" s="120" customFormat="1" ht="35.25" customHeight="1" x14ac:dyDescent="0.2">
      <c r="E223" s="218" t="s">
        <v>2306</v>
      </c>
      <c r="F223" s="130"/>
      <c r="G223" s="67" t="e">
        <f t="shared" si="225"/>
        <v>#N/A</v>
      </c>
      <c r="H223" s="396" t="e">
        <f t="shared" si="226"/>
        <v>#N/A</v>
      </c>
      <c r="I223" s="396" t="e">
        <f t="shared" si="227"/>
        <v>#N/A</v>
      </c>
      <c r="J223" s="396" t="e">
        <f t="shared" si="228"/>
        <v>#N/A</v>
      </c>
      <c r="K223" s="398" t="e">
        <f t="shared" si="229"/>
        <v>#N/A</v>
      </c>
      <c r="L223" s="396" t="e">
        <f t="shared" si="230"/>
        <v>#N/A</v>
      </c>
      <c r="M223" s="398" t="e">
        <f t="shared" si="231"/>
        <v>#N/A</v>
      </c>
      <c r="N223" s="396" t="e">
        <f t="shared" si="232"/>
        <v>#N/A</v>
      </c>
      <c r="O223" s="396" t="e">
        <f t="shared" si="233"/>
        <v>#N/A</v>
      </c>
      <c r="P223" s="396" t="e">
        <f t="shared" si="234"/>
        <v>#N/A</v>
      </c>
      <c r="Q223" s="396" t="e">
        <f t="shared" si="235"/>
        <v>#N/A</v>
      </c>
      <c r="R223" s="396" t="e">
        <f t="shared" si="236"/>
        <v>#N/A</v>
      </c>
      <c r="S223" s="396" t="e">
        <f t="shared" si="237"/>
        <v>#N/A</v>
      </c>
      <c r="T223" s="397" t="e">
        <f t="shared" si="238"/>
        <v>#N/A</v>
      </c>
      <c r="U223" s="396" t="e">
        <f t="shared" si="239"/>
        <v>#N/A</v>
      </c>
      <c r="V223" s="396" t="e">
        <f t="shared" si="240"/>
        <v>#N/A</v>
      </c>
      <c r="W223" s="206" t="e">
        <f t="shared" si="212"/>
        <v>#N/A</v>
      </c>
      <c r="X223" s="207" t="e">
        <f t="shared" si="213"/>
        <v>#N/A</v>
      </c>
      <c r="Y223" s="207" t="e">
        <f t="shared" si="214"/>
        <v>#N/A</v>
      </c>
      <c r="Z223" s="233" t="e">
        <f t="shared" si="215"/>
        <v>#N/A</v>
      </c>
      <c r="AA223" s="208" t="e">
        <f t="shared" si="200"/>
        <v>#N/A</v>
      </c>
      <c r="AB223" s="233" t="e">
        <f t="shared" si="216"/>
        <v>#N/A</v>
      </c>
      <c r="AC223" s="233" t="e">
        <f t="shared" si="217"/>
        <v>#N/A</v>
      </c>
      <c r="AD223" s="233" t="e">
        <f t="shared" si="218"/>
        <v>#N/A</v>
      </c>
      <c r="AE223" s="233" t="e">
        <f t="shared" si="219"/>
        <v>#N/A</v>
      </c>
      <c r="AF223" s="238" t="e">
        <f t="shared" si="220"/>
        <v>#N/A</v>
      </c>
      <c r="AG223" s="238" t="e">
        <f t="shared" si="221"/>
        <v>#N/A</v>
      </c>
      <c r="AH223" s="238" t="e">
        <f t="shared" si="222"/>
        <v>#N/A</v>
      </c>
      <c r="AI223" s="261" t="e">
        <f t="shared" si="223"/>
        <v>#N/A</v>
      </c>
      <c r="AJ223" s="233" t="e">
        <f t="shared" si="224"/>
        <v>#N/A</v>
      </c>
    </row>
    <row r="224" spans="1:37" s="120" customFormat="1" ht="35.25" customHeight="1" x14ac:dyDescent="0.2">
      <c r="E224" s="218" t="s">
        <v>2306</v>
      </c>
      <c r="F224" s="130"/>
      <c r="G224" s="67" t="e">
        <f t="shared" si="225"/>
        <v>#N/A</v>
      </c>
      <c r="H224" s="396" t="e">
        <f t="shared" si="226"/>
        <v>#N/A</v>
      </c>
      <c r="I224" s="396" t="e">
        <f t="shared" si="227"/>
        <v>#N/A</v>
      </c>
      <c r="J224" s="396" t="e">
        <f t="shared" si="228"/>
        <v>#N/A</v>
      </c>
      <c r="K224" s="398" t="e">
        <f t="shared" si="229"/>
        <v>#N/A</v>
      </c>
      <c r="L224" s="396" t="e">
        <f t="shared" si="230"/>
        <v>#N/A</v>
      </c>
      <c r="M224" s="398" t="e">
        <f t="shared" si="231"/>
        <v>#N/A</v>
      </c>
      <c r="N224" s="396" t="e">
        <f t="shared" si="232"/>
        <v>#N/A</v>
      </c>
      <c r="O224" s="396" t="e">
        <f t="shared" si="233"/>
        <v>#N/A</v>
      </c>
      <c r="P224" s="396" t="e">
        <f t="shared" si="234"/>
        <v>#N/A</v>
      </c>
      <c r="Q224" s="396" t="e">
        <f t="shared" si="235"/>
        <v>#N/A</v>
      </c>
      <c r="R224" s="396" t="e">
        <f t="shared" si="236"/>
        <v>#N/A</v>
      </c>
      <c r="S224" s="396" t="e">
        <f t="shared" si="237"/>
        <v>#N/A</v>
      </c>
      <c r="T224" s="397" t="e">
        <f t="shared" si="238"/>
        <v>#N/A</v>
      </c>
      <c r="U224" s="396" t="e">
        <f t="shared" si="239"/>
        <v>#N/A</v>
      </c>
      <c r="V224" s="396" t="e">
        <f t="shared" si="240"/>
        <v>#N/A</v>
      </c>
      <c r="W224" s="206" t="e">
        <f t="shared" si="212"/>
        <v>#N/A</v>
      </c>
      <c r="X224" s="207" t="e">
        <f t="shared" si="213"/>
        <v>#N/A</v>
      </c>
      <c r="Y224" s="207" t="e">
        <f t="shared" si="214"/>
        <v>#N/A</v>
      </c>
      <c r="Z224" s="233" t="e">
        <f t="shared" si="215"/>
        <v>#N/A</v>
      </c>
      <c r="AA224" s="208" t="e">
        <f t="shared" si="200"/>
        <v>#N/A</v>
      </c>
      <c r="AB224" s="233" t="e">
        <f t="shared" si="216"/>
        <v>#N/A</v>
      </c>
      <c r="AC224" s="233" t="e">
        <f t="shared" si="217"/>
        <v>#N/A</v>
      </c>
      <c r="AD224" s="233" t="e">
        <f t="shared" si="218"/>
        <v>#N/A</v>
      </c>
      <c r="AE224" s="233" t="e">
        <f t="shared" si="219"/>
        <v>#N/A</v>
      </c>
      <c r="AF224" s="238" t="e">
        <f t="shared" si="220"/>
        <v>#N/A</v>
      </c>
      <c r="AG224" s="238" t="e">
        <f t="shared" si="221"/>
        <v>#N/A</v>
      </c>
      <c r="AH224" s="238" t="e">
        <f t="shared" si="222"/>
        <v>#N/A</v>
      </c>
      <c r="AI224" s="261" t="e">
        <f t="shared" si="223"/>
        <v>#N/A</v>
      </c>
      <c r="AJ224" s="233" t="e">
        <f t="shared" si="224"/>
        <v>#N/A</v>
      </c>
    </row>
    <row r="225" spans="5:36" s="120" customFormat="1" ht="35.25" customHeight="1" x14ac:dyDescent="0.2">
      <c r="E225" s="218" t="s">
        <v>2306</v>
      </c>
      <c r="F225" s="130"/>
      <c r="G225" s="67" t="e">
        <f t="shared" si="225"/>
        <v>#N/A</v>
      </c>
      <c r="H225" s="396" t="e">
        <f t="shared" si="226"/>
        <v>#N/A</v>
      </c>
      <c r="I225" s="396" t="e">
        <f t="shared" si="227"/>
        <v>#N/A</v>
      </c>
      <c r="J225" s="396" t="e">
        <f t="shared" si="228"/>
        <v>#N/A</v>
      </c>
      <c r="K225" s="398" t="e">
        <f t="shared" si="229"/>
        <v>#N/A</v>
      </c>
      <c r="L225" s="396" t="e">
        <f t="shared" si="230"/>
        <v>#N/A</v>
      </c>
      <c r="M225" s="398" t="e">
        <f t="shared" si="231"/>
        <v>#N/A</v>
      </c>
      <c r="N225" s="396" t="e">
        <f t="shared" si="232"/>
        <v>#N/A</v>
      </c>
      <c r="O225" s="396" t="e">
        <f t="shared" si="233"/>
        <v>#N/A</v>
      </c>
      <c r="P225" s="396" t="e">
        <f t="shared" si="234"/>
        <v>#N/A</v>
      </c>
      <c r="Q225" s="396" t="e">
        <f t="shared" si="235"/>
        <v>#N/A</v>
      </c>
      <c r="R225" s="396" t="e">
        <f t="shared" si="236"/>
        <v>#N/A</v>
      </c>
      <c r="S225" s="396" t="e">
        <f t="shared" si="237"/>
        <v>#N/A</v>
      </c>
      <c r="T225" s="397" t="e">
        <f t="shared" si="238"/>
        <v>#N/A</v>
      </c>
      <c r="U225" s="396" t="e">
        <f t="shared" si="239"/>
        <v>#N/A</v>
      </c>
      <c r="V225" s="396" t="e">
        <f t="shared" si="240"/>
        <v>#N/A</v>
      </c>
      <c r="W225" s="206" t="e">
        <f t="shared" si="212"/>
        <v>#N/A</v>
      </c>
      <c r="X225" s="207" t="e">
        <f t="shared" si="213"/>
        <v>#N/A</v>
      </c>
      <c r="Y225" s="207" t="e">
        <f t="shared" si="214"/>
        <v>#N/A</v>
      </c>
      <c r="Z225" s="233" t="e">
        <f t="shared" si="215"/>
        <v>#N/A</v>
      </c>
      <c r="AA225" s="208" t="e">
        <f t="shared" si="200"/>
        <v>#N/A</v>
      </c>
      <c r="AB225" s="233" t="e">
        <f t="shared" si="216"/>
        <v>#N/A</v>
      </c>
      <c r="AC225" s="233" t="e">
        <f t="shared" si="217"/>
        <v>#N/A</v>
      </c>
      <c r="AD225" s="233" t="e">
        <f t="shared" si="218"/>
        <v>#N/A</v>
      </c>
      <c r="AE225" s="233" t="e">
        <f t="shared" si="219"/>
        <v>#N/A</v>
      </c>
      <c r="AF225" s="238" t="e">
        <f t="shared" si="220"/>
        <v>#N/A</v>
      </c>
      <c r="AG225" s="238" t="e">
        <f t="shared" si="221"/>
        <v>#N/A</v>
      </c>
      <c r="AH225" s="238" t="e">
        <f t="shared" si="222"/>
        <v>#N/A</v>
      </c>
      <c r="AI225" s="261" t="e">
        <f t="shared" si="223"/>
        <v>#N/A</v>
      </c>
      <c r="AJ225" s="233" t="e">
        <f t="shared" si="224"/>
        <v>#N/A</v>
      </c>
    </row>
    <row r="226" spans="5:36" s="120" customFormat="1" ht="35.25" customHeight="1" x14ac:dyDescent="0.2">
      <c r="E226" s="218" t="s">
        <v>2306</v>
      </c>
      <c r="F226" s="130"/>
      <c r="G226" s="67" t="e">
        <f t="shared" si="225"/>
        <v>#N/A</v>
      </c>
      <c r="H226" s="396" t="e">
        <f t="shared" si="226"/>
        <v>#N/A</v>
      </c>
      <c r="I226" s="396" t="e">
        <f t="shared" si="227"/>
        <v>#N/A</v>
      </c>
      <c r="J226" s="396" t="e">
        <f t="shared" si="228"/>
        <v>#N/A</v>
      </c>
      <c r="K226" s="398" t="e">
        <f t="shared" si="229"/>
        <v>#N/A</v>
      </c>
      <c r="L226" s="396" t="e">
        <f t="shared" si="230"/>
        <v>#N/A</v>
      </c>
      <c r="M226" s="398" t="e">
        <f t="shared" si="231"/>
        <v>#N/A</v>
      </c>
      <c r="N226" s="396" t="e">
        <f t="shared" si="232"/>
        <v>#N/A</v>
      </c>
      <c r="O226" s="396" t="e">
        <f t="shared" si="233"/>
        <v>#N/A</v>
      </c>
      <c r="P226" s="396" t="e">
        <f t="shared" si="234"/>
        <v>#N/A</v>
      </c>
      <c r="Q226" s="396" t="e">
        <f t="shared" si="235"/>
        <v>#N/A</v>
      </c>
      <c r="R226" s="396" t="e">
        <f t="shared" si="236"/>
        <v>#N/A</v>
      </c>
      <c r="S226" s="396" t="e">
        <f t="shared" si="237"/>
        <v>#N/A</v>
      </c>
      <c r="T226" s="397" t="e">
        <f t="shared" si="238"/>
        <v>#N/A</v>
      </c>
      <c r="U226" s="396" t="e">
        <f t="shared" si="239"/>
        <v>#N/A</v>
      </c>
      <c r="V226" s="396" t="e">
        <f t="shared" si="240"/>
        <v>#N/A</v>
      </c>
      <c r="W226" s="206" t="e">
        <f t="shared" si="212"/>
        <v>#N/A</v>
      </c>
      <c r="X226" s="207" t="e">
        <f t="shared" si="213"/>
        <v>#N/A</v>
      </c>
      <c r="Y226" s="207" t="e">
        <f t="shared" si="214"/>
        <v>#N/A</v>
      </c>
      <c r="Z226" s="233" t="e">
        <f t="shared" si="215"/>
        <v>#N/A</v>
      </c>
      <c r="AA226" s="208" t="e">
        <f t="shared" si="200"/>
        <v>#N/A</v>
      </c>
      <c r="AB226" s="233" t="e">
        <f t="shared" si="216"/>
        <v>#N/A</v>
      </c>
      <c r="AC226" s="233" t="e">
        <f t="shared" si="217"/>
        <v>#N/A</v>
      </c>
      <c r="AD226" s="233" t="e">
        <f t="shared" si="218"/>
        <v>#N/A</v>
      </c>
      <c r="AE226" s="233" t="e">
        <f t="shared" si="219"/>
        <v>#N/A</v>
      </c>
      <c r="AF226" s="238" t="e">
        <f t="shared" si="220"/>
        <v>#N/A</v>
      </c>
      <c r="AG226" s="238" t="e">
        <f t="shared" si="221"/>
        <v>#N/A</v>
      </c>
      <c r="AH226" s="238" t="e">
        <f t="shared" si="222"/>
        <v>#N/A</v>
      </c>
      <c r="AI226" s="261" t="e">
        <f t="shared" si="223"/>
        <v>#N/A</v>
      </c>
      <c r="AJ226" s="233" t="e">
        <f t="shared" si="224"/>
        <v>#N/A</v>
      </c>
    </row>
    <row r="227" spans="5:36" s="120" customFormat="1" ht="35.25" customHeight="1" x14ac:dyDescent="0.2">
      <c r="E227" s="218" t="s">
        <v>2306</v>
      </c>
      <c r="F227" s="130"/>
      <c r="G227" s="67" t="e">
        <f t="shared" si="225"/>
        <v>#N/A</v>
      </c>
      <c r="H227" s="396" t="e">
        <f t="shared" si="226"/>
        <v>#N/A</v>
      </c>
      <c r="I227" s="396" t="e">
        <f t="shared" si="227"/>
        <v>#N/A</v>
      </c>
      <c r="J227" s="396" t="e">
        <f t="shared" si="228"/>
        <v>#N/A</v>
      </c>
      <c r="K227" s="398" t="e">
        <f t="shared" si="229"/>
        <v>#N/A</v>
      </c>
      <c r="L227" s="396" t="e">
        <f t="shared" si="230"/>
        <v>#N/A</v>
      </c>
      <c r="M227" s="398" t="e">
        <f t="shared" si="231"/>
        <v>#N/A</v>
      </c>
      <c r="N227" s="396" t="e">
        <f t="shared" si="232"/>
        <v>#N/A</v>
      </c>
      <c r="O227" s="396" t="e">
        <f t="shared" si="233"/>
        <v>#N/A</v>
      </c>
      <c r="P227" s="396" t="e">
        <f t="shared" si="234"/>
        <v>#N/A</v>
      </c>
      <c r="Q227" s="396" t="e">
        <f t="shared" si="235"/>
        <v>#N/A</v>
      </c>
      <c r="R227" s="396" t="e">
        <f t="shared" si="236"/>
        <v>#N/A</v>
      </c>
      <c r="S227" s="396" t="e">
        <f t="shared" si="237"/>
        <v>#N/A</v>
      </c>
      <c r="T227" s="397" t="e">
        <f t="shared" si="238"/>
        <v>#N/A</v>
      </c>
      <c r="U227" s="396" t="e">
        <f t="shared" si="239"/>
        <v>#N/A</v>
      </c>
      <c r="V227" s="396" t="e">
        <f t="shared" si="240"/>
        <v>#N/A</v>
      </c>
      <c r="W227" s="206" t="e">
        <f t="shared" si="212"/>
        <v>#N/A</v>
      </c>
      <c r="X227" s="207" t="e">
        <f t="shared" si="213"/>
        <v>#N/A</v>
      </c>
      <c r="Y227" s="207" t="e">
        <f t="shared" si="214"/>
        <v>#N/A</v>
      </c>
      <c r="Z227" s="233" t="e">
        <f t="shared" si="215"/>
        <v>#N/A</v>
      </c>
      <c r="AA227" s="208" t="e">
        <f t="shared" si="200"/>
        <v>#N/A</v>
      </c>
      <c r="AB227" s="233" t="e">
        <f t="shared" si="216"/>
        <v>#N/A</v>
      </c>
      <c r="AC227" s="233" t="e">
        <f t="shared" si="217"/>
        <v>#N/A</v>
      </c>
      <c r="AD227" s="233" t="e">
        <f t="shared" si="218"/>
        <v>#N/A</v>
      </c>
      <c r="AE227" s="233" t="e">
        <f t="shared" si="219"/>
        <v>#N/A</v>
      </c>
      <c r="AF227" s="238" t="e">
        <f t="shared" si="220"/>
        <v>#N/A</v>
      </c>
      <c r="AG227" s="238" t="e">
        <f t="shared" si="221"/>
        <v>#N/A</v>
      </c>
      <c r="AH227" s="238" t="e">
        <f t="shared" si="222"/>
        <v>#N/A</v>
      </c>
      <c r="AI227" s="261" t="e">
        <f t="shared" si="223"/>
        <v>#N/A</v>
      </c>
      <c r="AJ227" s="233" t="e">
        <f t="shared" si="224"/>
        <v>#N/A</v>
      </c>
    </row>
    <row r="228" spans="5:36" s="120" customFormat="1" ht="35.25" customHeight="1" x14ac:dyDescent="0.2">
      <c r="E228" s="218" t="s">
        <v>2306</v>
      </c>
      <c r="F228" s="130"/>
      <c r="G228" s="67" t="e">
        <f t="shared" si="225"/>
        <v>#N/A</v>
      </c>
      <c r="H228" s="396" t="e">
        <f t="shared" si="226"/>
        <v>#N/A</v>
      </c>
      <c r="I228" s="396" t="e">
        <f t="shared" si="227"/>
        <v>#N/A</v>
      </c>
      <c r="J228" s="396" t="e">
        <f t="shared" si="228"/>
        <v>#N/A</v>
      </c>
      <c r="K228" s="398" t="e">
        <f t="shared" si="229"/>
        <v>#N/A</v>
      </c>
      <c r="L228" s="396" t="e">
        <f t="shared" si="230"/>
        <v>#N/A</v>
      </c>
      <c r="M228" s="398" t="e">
        <f t="shared" si="231"/>
        <v>#N/A</v>
      </c>
      <c r="N228" s="396" t="e">
        <f t="shared" si="232"/>
        <v>#N/A</v>
      </c>
      <c r="O228" s="396" t="e">
        <f t="shared" si="233"/>
        <v>#N/A</v>
      </c>
      <c r="P228" s="396" t="e">
        <f t="shared" si="234"/>
        <v>#N/A</v>
      </c>
      <c r="Q228" s="396" t="e">
        <f t="shared" si="235"/>
        <v>#N/A</v>
      </c>
      <c r="R228" s="396" t="e">
        <f t="shared" si="236"/>
        <v>#N/A</v>
      </c>
      <c r="S228" s="396" t="e">
        <f t="shared" si="237"/>
        <v>#N/A</v>
      </c>
      <c r="T228" s="397" t="e">
        <f t="shared" si="238"/>
        <v>#N/A</v>
      </c>
      <c r="U228" s="396" t="e">
        <f t="shared" si="239"/>
        <v>#N/A</v>
      </c>
      <c r="V228" s="396" t="e">
        <f t="shared" si="240"/>
        <v>#N/A</v>
      </c>
      <c r="W228" s="206" t="e">
        <f t="shared" si="212"/>
        <v>#N/A</v>
      </c>
      <c r="X228" s="207" t="e">
        <f t="shared" si="213"/>
        <v>#N/A</v>
      </c>
      <c r="Y228" s="207" t="e">
        <f t="shared" si="214"/>
        <v>#N/A</v>
      </c>
      <c r="Z228" s="233" t="e">
        <f t="shared" si="215"/>
        <v>#N/A</v>
      </c>
      <c r="AA228" s="208" t="e">
        <f t="shared" si="200"/>
        <v>#N/A</v>
      </c>
      <c r="AB228" s="233" t="e">
        <f t="shared" si="216"/>
        <v>#N/A</v>
      </c>
      <c r="AC228" s="233" t="e">
        <f t="shared" si="217"/>
        <v>#N/A</v>
      </c>
      <c r="AD228" s="233" t="e">
        <f t="shared" si="218"/>
        <v>#N/A</v>
      </c>
      <c r="AE228" s="233" t="e">
        <f t="shared" si="219"/>
        <v>#N/A</v>
      </c>
      <c r="AF228" s="238" t="e">
        <f t="shared" si="220"/>
        <v>#N/A</v>
      </c>
      <c r="AG228" s="238" t="e">
        <f t="shared" si="221"/>
        <v>#N/A</v>
      </c>
      <c r="AH228" s="238" t="e">
        <f t="shared" si="222"/>
        <v>#N/A</v>
      </c>
      <c r="AI228" s="261" t="e">
        <f t="shared" si="223"/>
        <v>#N/A</v>
      </c>
      <c r="AJ228" s="233" t="e">
        <f t="shared" si="224"/>
        <v>#N/A</v>
      </c>
    </row>
    <row r="229" spans="5:36" s="120" customFormat="1" ht="35.25" customHeight="1" x14ac:dyDescent="0.2">
      <c r="E229" s="218" t="s">
        <v>2306</v>
      </c>
      <c r="F229" s="130"/>
      <c r="G229" s="67" t="e">
        <f t="shared" si="225"/>
        <v>#N/A</v>
      </c>
      <c r="H229" s="396" t="e">
        <f t="shared" si="226"/>
        <v>#N/A</v>
      </c>
      <c r="I229" s="396" t="e">
        <f t="shared" si="227"/>
        <v>#N/A</v>
      </c>
      <c r="J229" s="396" t="e">
        <f t="shared" si="228"/>
        <v>#N/A</v>
      </c>
      <c r="K229" s="398" t="e">
        <f t="shared" si="229"/>
        <v>#N/A</v>
      </c>
      <c r="L229" s="396" t="e">
        <f t="shared" si="230"/>
        <v>#N/A</v>
      </c>
      <c r="M229" s="398" t="e">
        <f t="shared" si="231"/>
        <v>#N/A</v>
      </c>
      <c r="N229" s="396" t="e">
        <f t="shared" si="232"/>
        <v>#N/A</v>
      </c>
      <c r="O229" s="396" t="e">
        <f t="shared" si="233"/>
        <v>#N/A</v>
      </c>
      <c r="P229" s="396" t="e">
        <f t="shared" si="234"/>
        <v>#N/A</v>
      </c>
      <c r="Q229" s="396" t="e">
        <f t="shared" si="235"/>
        <v>#N/A</v>
      </c>
      <c r="R229" s="396" t="e">
        <f t="shared" si="236"/>
        <v>#N/A</v>
      </c>
      <c r="S229" s="396" t="e">
        <f t="shared" si="237"/>
        <v>#N/A</v>
      </c>
      <c r="T229" s="397" t="e">
        <f t="shared" si="238"/>
        <v>#N/A</v>
      </c>
      <c r="U229" s="396" t="e">
        <f t="shared" si="239"/>
        <v>#N/A</v>
      </c>
      <c r="V229" s="396" t="e">
        <f t="shared" si="240"/>
        <v>#N/A</v>
      </c>
      <c r="W229" s="206" t="e">
        <f t="shared" si="212"/>
        <v>#N/A</v>
      </c>
      <c r="X229" s="207" t="e">
        <f t="shared" si="213"/>
        <v>#N/A</v>
      </c>
      <c r="Y229" s="207" t="e">
        <f t="shared" si="214"/>
        <v>#N/A</v>
      </c>
      <c r="Z229" s="233" t="e">
        <f t="shared" si="215"/>
        <v>#N/A</v>
      </c>
      <c r="AA229" s="208" t="e">
        <f t="shared" si="200"/>
        <v>#N/A</v>
      </c>
      <c r="AB229" s="233" t="e">
        <f t="shared" si="216"/>
        <v>#N/A</v>
      </c>
      <c r="AC229" s="233" t="e">
        <f t="shared" si="217"/>
        <v>#N/A</v>
      </c>
      <c r="AD229" s="233" t="e">
        <f t="shared" si="218"/>
        <v>#N/A</v>
      </c>
      <c r="AE229" s="233" t="e">
        <f t="shared" si="219"/>
        <v>#N/A</v>
      </c>
      <c r="AF229" s="238" t="e">
        <f t="shared" si="220"/>
        <v>#N/A</v>
      </c>
      <c r="AG229" s="238" t="e">
        <f t="shared" si="221"/>
        <v>#N/A</v>
      </c>
      <c r="AH229" s="238" t="e">
        <f t="shared" si="222"/>
        <v>#N/A</v>
      </c>
      <c r="AI229" s="261" t="e">
        <f t="shared" si="223"/>
        <v>#N/A</v>
      </c>
      <c r="AJ229" s="233" t="e">
        <f t="shared" si="224"/>
        <v>#N/A</v>
      </c>
    </row>
    <row r="230" spans="5:36" s="120" customFormat="1" ht="35.25" customHeight="1" x14ac:dyDescent="0.2">
      <c r="E230" s="218" t="s">
        <v>2306</v>
      </c>
      <c r="F230" s="130"/>
      <c r="G230" s="67" t="e">
        <f t="shared" si="225"/>
        <v>#N/A</v>
      </c>
      <c r="H230" s="396" t="e">
        <f t="shared" si="226"/>
        <v>#N/A</v>
      </c>
      <c r="I230" s="396" t="e">
        <f t="shared" si="227"/>
        <v>#N/A</v>
      </c>
      <c r="J230" s="396" t="e">
        <f t="shared" si="228"/>
        <v>#N/A</v>
      </c>
      <c r="K230" s="398" t="e">
        <f t="shared" si="229"/>
        <v>#N/A</v>
      </c>
      <c r="L230" s="396" t="e">
        <f t="shared" si="230"/>
        <v>#N/A</v>
      </c>
      <c r="M230" s="398" t="e">
        <f t="shared" si="231"/>
        <v>#N/A</v>
      </c>
      <c r="N230" s="396" t="e">
        <f t="shared" si="232"/>
        <v>#N/A</v>
      </c>
      <c r="O230" s="396" t="e">
        <f t="shared" si="233"/>
        <v>#N/A</v>
      </c>
      <c r="P230" s="396" t="e">
        <f t="shared" si="234"/>
        <v>#N/A</v>
      </c>
      <c r="Q230" s="396" t="e">
        <f t="shared" si="235"/>
        <v>#N/A</v>
      </c>
      <c r="R230" s="396" t="e">
        <f t="shared" si="236"/>
        <v>#N/A</v>
      </c>
      <c r="S230" s="396" t="e">
        <f t="shared" si="237"/>
        <v>#N/A</v>
      </c>
      <c r="T230" s="397" t="e">
        <f t="shared" si="238"/>
        <v>#N/A</v>
      </c>
      <c r="U230" s="396" t="e">
        <f t="shared" si="239"/>
        <v>#N/A</v>
      </c>
      <c r="V230" s="396" t="e">
        <f t="shared" si="240"/>
        <v>#N/A</v>
      </c>
      <c r="W230" s="206" t="e">
        <f t="shared" si="212"/>
        <v>#N/A</v>
      </c>
      <c r="X230" s="207" t="e">
        <f t="shared" si="213"/>
        <v>#N/A</v>
      </c>
      <c r="Y230" s="207" t="e">
        <f t="shared" si="214"/>
        <v>#N/A</v>
      </c>
      <c r="Z230" s="233" t="e">
        <f t="shared" si="215"/>
        <v>#N/A</v>
      </c>
      <c r="AA230" s="208" t="e">
        <f t="shared" si="200"/>
        <v>#N/A</v>
      </c>
      <c r="AB230" s="233" t="e">
        <f t="shared" si="216"/>
        <v>#N/A</v>
      </c>
      <c r="AC230" s="233" t="e">
        <f t="shared" si="217"/>
        <v>#N/A</v>
      </c>
      <c r="AD230" s="233" t="e">
        <f t="shared" si="218"/>
        <v>#N/A</v>
      </c>
      <c r="AE230" s="233" t="e">
        <f t="shared" si="219"/>
        <v>#N/A</v>
      </c>
      <c r="AF230" s="238" t="e">
        <f t="shared" si="220"/>
        <v>#N/A</v>
      </c>
      <c r="AG230" s="238" t="e">
        <f t="shared" si="221"/>
        <v>#N/A</v>
      </c>
      <c r="AH230" s="238" t="e">
        <f t="shared" si="222"/>
        <v>#N/A</v>
      </c>
      <c r="AI230" s="261" t="e">
        <f t="shared" si="223"/>
        <v>#N/A</v>
      </c>
      <c r="AJ230" s="233" t="e">
        <f t="shared" si="224"/>
        <v>#N/A</v>
      </c>
    </row>
    <row r="231" spans="5:36" s="120" customFormat="1" ht="35.25" customHeight="1" x14ac:dyDescent="0.2">
      <c r="E231" s="218" t="s">
        <v>2306</v>
      </c>
      <c r="F231" s="130"/>
      <c r="G231" s="67" t="e">
        <f t="shared" si="225"/>
        <v>#N/A</v>
      </c>
      <c r="H231" s="396" t="e">
        <f t="shared" si="226"/>
        <v>#N/A</v>
      </c>
      <c r="I231" s="396" t="e">
        <f t="shared" si="227"/>
        <v>#N/A</v>
      </c>
      <c r="J231" s="396" t="e">
        <f t="shared" si="228"/>
        <v>#N/A</v>
      </c>
      <c r="K231" s="398" t="e">
        <f t="shared" si="229"/>
        <v>#N/A</v>
      </c>
      <c r="L231" s="396" t="e">
        <f t="shared" si="230"/>
        <v>#N/A</v>
      </c>
      <c r="M231" s="398" t="e">
        <f t="shared" si="231"/>
        <v>#N/A</v>
      </c>
      <c r="N231" s="396" t="e">
        <f t="shared" si="232"/>
        <v>#N/A</v>
      </c>
      <c r="O231" s="396" t="e">
        <f t="shared" si="233"/>
        <v>#N/A</v>
      </c>
      <c r="P231" s="396" t="e">
        <f t="shared" si="234"/>
        <v>#N/A</v>
      </c>
      <c r="Q231" s="396" t="e">
        <f t="shared" si="235"/>
        <v>#N/A</v>
      </c>
      <c r="R231" s="396" t="e">
        <f t="shared" si="236"/>
        <v>#N/A</v>
      </c>
      <c r="S231" s="396" t="e">
        <f t="shared" si="237"/>
        <v>#N/A</v>
      </c>
      <c r="T231" s="397" t="e">
        <f t="shared" si="238"/>
        <v>#N/A</v>
      </c>
      <c r="U231" s="396" t="e">
        <f t="shared" si="239"/>
        <v>#N/A</v>
      </c>
      <c r="V231" s="396" t="e">
        <f t="shared" si="240"/>
        <v>#N/A</v>
      </c>
      <c r="W231" s="206" t="e">
        <f t="shared" si="212"/>
        <v>#N/A</v>
      </c>
      <c r="X231" s="207" t="e">
        <f t="shared" si="213"/>
        <v>#N/A</v>
      </c>
      <c r="Y231" s="207" t="e">
        <f t="shared" si="214"/>
        <v>#N/A</v>
      </c>
      <c r="Z231" s="233" t="e">
        <f t="shared" si="215"/>
        <v>#N/A</v>
      </c>
      <c r="AA231" s="208" t="e">
        <f t="shared" si="200"/>
        <v>#N/A</v>
      </c>
      <c r="AB231" s="233" t="e">
        <f t="shared" si="216"/>
        <v>#N/A</v>
      </c>
      <c r="AC231" s="233" t="e">
        <f t="shared" si="217"/>
        <v>#N/A</v>
      </c>
      <c r="AD231" s="233" t="e">
        <f t="shared" si="218"/>
        <v>#N/A</v>
      </c>
      <c r="AE231" s="233" t="e">
        <f t="shared" si="219"/>
        <v>#N/A</v>
      </c>
      <c r="AF231" s="238" t="e">
        <f t="shared" si="220"/>
        <v>#N/A</v>
      </c>
      <c r="AG231" s="238" t="e">
        <f t="shared" si="221"/>
        <v>#N/A</v>
      </c>
      <c r="AH231" s="238" t="e">
        <f t="shared" si="222"/>
        <v>#N/A</v>
      </c>
      <c r="AI231" s="261" t="e">
        <f t="shared" si="223"/>
        <v>#N/A</v>
      </c>
      <c r="AJ231" s="233" t="e">
        <f t="shared" si="224"/>
        <v>#N/A</v>
      </c>
    </row>
    <row r="232" spans="5:36" s="120" customFormat="1" ht="35.25" customHeight="1" x14ac:dyDescent="0.2">
      <c r="E232" s="218" t="s">
        <v>2306</v>
      </c>
      <c r="F232" s="130"/>
      <c r="G232" s="67" t="e">
        <f t="shared" si="225"/>
        <v>#N/A</v>
      </c>
      <c r="H232" s="396" t="e">
        <f t="shared" si="226"/>
        <v>#N/A</v>
      </c>
      <c r="I232" s="396" t="e">
        <f t="shared" si="227"/>
        <v>#N/A</v>
      </c>
      <c r="J232" s="396" t="e">
        <f t="shared" si="228"/>
        <v>#N/A</v>
      </c>
      <c r="K232" s="398" t="e">
        <f t="shared" si="229"/>
        <v>#N/A</v>
      </c>
      <c r="L232" s="396" t="e">
        <f t="shared" si="230"/>
        <v>#N/A</v>
      </c>
      <c r="M232" s="398" t="e">
        <f t="shared" si="231"/>
        <v>#N/A</v>
      </c>
      <c r="N232" s="396" t="e">
        <f t="shared" si="232"/>
        <v>#N/A</v>
      </c>
      <c r="O232" s="396" t="e">
        <f t="shared" si="233"/>
        <v>#N/A</v>
      </c>
      <c r="P232" s="396" t="e">
        <f t="shared" si="234"/>
        <v>#N/A</v>
      </c>
      <c r="Q232" s="396" t="e">
        <f t="shared" si="235"/>
        <v>#N/A</v>
      </c>
      <c r="R232" s="396" t="e">
        <f t="shared" si="236"/>
        <v>#N/A</v>
      </c>
      <c r="S232" s="396" t="e">
        <f t="shared" si="237"/>
        <v>#N/A</v>
      </c>
      <c r="T232" s="397" t="e">
        <f t="shared" si="238"/>
        <v>#N/A</v>
      </c>
      <c r="U232" s="396" t="e">
        <f t="shared" si="239"/>
        <v>#N/A</v>
      </c>
      <c r="V232" s="396" t="e">
        <f t="shared" si="240"/>
        <v>#N/A</v>
      </c>
      <c r="W232" s="206" t="e">
        <f t="shared" si="212"/>
        <v>#N/A</v>
      </c>
      <c r="X232" s="207" t="e">
        <f t="shared" si="213"/>
        <v>#N/A</v>
      </c>
      <c r="Y232" s="207" t="e">
        <f t="shared" si="214"/>
        <v>#N/A</v>
      </c>
      <c r="Z232" s="233" t="e">
        <f t="shared" si="215"/>
        <v>#N/A</v>
      </c>
      <c r="AA232" s="208" t="e">
        <f t="shared" si="200"/>
        <v>#N/A</v>
      </c>
      <c r="AB232" s="233" t="e">
        <f t="shared" si="216"/>
        <v>#N/A</v>
      </c>
      <c r="AC232" s="233" t="e">
        <f t="shared" si="217"/>
        <v>#N/A</v>
      </c>
      <c r="AD232" s="233" t="e">
        <f t="shared" si="218"/>
        <v>#N/A</v>
      </c>
      <c r="AE232" s="233" t="e">
        <f t="shared" si="219"/>
        <v>#N/A</v>
      </c>
      <c r="AF232" s="238" t="e">
        <f t="shared" si="220"/>
        <v>#N/A</v>
      </c>
      <c r="AG232" s="238" t="e">
        <f t="shared" si="221"/>
        <v>#N/A</v>
      </c>
      <c r="AH232" s="238" t="e">
        <f t="shared" si="222"/>
        <v>#N/A</v>
      </c>
      <c r="AI232" s="261" t="e">
        <f t="shared" si="223"/>
        <v>#N/A</v>
      </c>
      <c r="AJ232" s="233" t="e">
        <f t="shared" si="224"/>
        <v>#N/A</v>
      </c>
    </row>
    <row r="233" spans="5:36" s="120" customFormat="1" ht="35.25" customHeight="1" x14ac:dyDescent="0.2">
      <c r="E233" s="218" t="s">
        <v>2306</v>
      </c>
      <c r="F233" s="130"/>
      <c r="G233" s="67" t="e">
        <f t="shared" si="225"/>
        <v>#N/A</v>
      </c>
      <c r="H233" s="396" t="e">
        <f t="shared" si="226"/>
        <v>#N/A</v>
      </c>
      <c r="I233" s="396" t="e">
        <f t="shared" si="227"/>
        <v>#N/A</v>
      </c>
      <c r="J233" s="396" t="e">
        <f t="shared" si="228"/>
        <v>#N/A</v>
      </c>
      <c r="K233" s="398" t="e">
        <f t="shared" si="229"/>
        <v>#N/A</v>
      </c>
      <c r="L233" s="396" t="e">
        <f t="shared" si="230"/>
        <v>#N/A</v>
      </c>
      <c r="M233" s="398" t="e">
        <f t="shared" si="231"/>
        <v>#N/A</v>
      </c>
      <c r="N233" s="396" t="e">
        <f t="shared" si="232"/>
        <v>#N/A</v>
      </c>
      <c r="O233" s="396" t="e">
        <f t="shared" si="233"/>
        <v>#N/A</v>
      </c>
      <c r="P233" s="396" t="e">
        <f t="shared" si="234"/>
        <v>#N/A</v>
      </c>
      <c r="Q233" s="396" t="e">
        <f t="shared" si="235"/>
        <v>#N/A</v>
      </c>
      <c r="R233" s="396" t="e">
        <f t="shared" si="236"/>
        <v>#N/A</v>
      </c>
      <c r="S233" s="396" t="e">
        <f t="shared" si="237"/>
        <v>#N/A</v>
      </c>
      <c r="T233" s="397" t="e">
        <f t="shared" si="238"/>
        <v>#N/A</v>
      </c>
      <c r="U233" s="396" t="e">
        <f t="shared" si="239"/>
        <v>#N/A</v>
      </c>
      <c r="V233" s="396" t="e">
        <f t="shared" si="240"/>
        <v>#N/A</v>
      </c>
      <c r="W233" s="206" t="e">
        <f t="shared" si="212"/>
        <v>#N/A</v>
      </c>
      <c r="X233" s="207" t="e">
        <f t="shared" si="213"/>
        <v>#N/A</v>
      </c>
      <c r="Y233" s="207" t="e">
        <f t="shared" si="214"/>
        <v>#N/A</v>
      </c>
      <c r="Z233" s="233" t="e">
        <f t="shared" si="215"/>
        <v>#N/A</v>
      </c>
      <c r="AA233" s="208" t="e">
        <f t="shared" si="200"/>
        <v>#N/A</v>
      </c>
      <c r="AB233" s="233" t="e">
        <f t="shared" si="216"/>
        <v>#N/A</v>
      </c>
      <c r="AC233" s="233" t="e">
        <f t="shared" si="217"/>
        <v>#N/A</v>
      </c>
      <c r="AD233" s="233" t="e">
        <f t="shared" si="218"/>
        <v>#N/A</v>
      </c>
      <c r="AE233" s="233" t="e">
        <f t="shared" si="219"/>
        <v>#N/A</v>
      </c>
      <c r="AF233" s="238" t="e">
        <f t="shared" si="220"/>
        <v>#N/A</v>
      </c>
      <c r="AG233" s="238" t="e">
        <f t="shared" si="221"/>
        <v>#N/A</v>
      </c>
      <c r="AH233" s="238" t="e">
        <f t="shared" si="222"/>
        <v>#N/A</v>
      </c>
      <c r="AI233" s="261" t="e">
        <f t="shared" si="223"/>
        <v>#N/A</v>
      </c>
      <c r="AJ233" s="233" t="e">
        <f t="shared" si="224"/>
        <v>#N/A</v>
      </c>
    </row>
    <row r="234" spans="5:36" s="120" customFormat="1" ht="35.25" customHeight="1" x14ac:dyDescent="0.2">
      <c r="E234" s="218" t="s">
        <v>2306</v>
      </c>
      <c r="F234" s="130"/>
      <c r="G234" s="67" t="e">
        <f t="shared" si="225"/>
        <v>#N/A</v>
      </c>
      <c r="H234" s="396" t="e">
        <f t="shared" si="226"/>
        <v>#N/A</v>
      </c>
      <c r="I234" s="396" t="e">
        <f t="shared" si="227"/>
        <v>#N/A</v>
      </c>
      <c r="J234" s="396" t="e">
        <f t="shared" si="228"/>
        <v>#N/A</v>
      </c>
      <c r="K234" s="398" t="e">
        <f t="shared" si="229"/>
        <v>#N/A</v>
      </c>
      <c r="L234" s="396" t="e">
        <f t="shared" si="230"/>
        <v>#N/A</v>
      </c>
      <c r="M234" s="398" t="e">
        <f t="shared" si="231"/>
        <v>#N/A</v>
      </c>
      <c r="N234" s="396" t="e">
        <f t="shared" si="232"/>
        <v>#N/A</v>
      </c>
      <c r="O234" s="396" t="e">
        <f t="shared" si="233"/>
        <v>#N/A</v>
      </c>
      <c r="P234" s="396" t="e">
        <f t="shared" si="234"/>
        <v>#N/A</v>
      </c>
      <c r="Q234" s="396" t="e">
        <f t="shared" si="235"/>
        <v>#N/A</v>
      </c>
      <c r="R234" s="396" t="e">
        <f t="shared" si="236"/>
        <v>#N/A</v>
      </c>
      <c r="S234" s="396" t="e">
        <f t="shared" si="237"/>
        <v>#N/A</v>
      </c>
      <c r="T234" s="397" t="e">
        <f t="shared" si="238"/>
        <v>#N/A</v>
      </c>
      <c r="U234" s="396" t="e">
        <f t="shared" si="239"/>
        <v>#N/A</v>
      </c>
      <c r="V234" s="396" t="e">
        <f t="shared" si="240"/>
        <v>#N/A</v>
      </c>
      <c r="W234" s="206" t="e">
        <f t="shared" si="212"/>
        <v>#N/A</v>
      </c>
      <c r="X234" s="207" t="e">
        <f t="shared" si="213"/>
        <v>#N/A</v>
      </c>
      <c r="Y234" s="207" t="e">
        <f t="shared" si="214"/>
        <v>#N/A</v>
      </c>
      <c r="Z234" s="233" t="e">
        <f t="shared" si="215"/>
        <v>#N/A</v>
      </c>
      <c r="AA234" s="208" t="e">
        <f t="shared" si="200"/>
        <v>#N/A</v>
      </c>
      <c r="AB234" s="233" t="e">
        <f t="shared" si="216"/>
        <v>#N/A</v>
      </c>
      <c r="AC234" s="233" t="e">
        <f t="shared" si="217"/>
        <v>#N/A</v>
      </c>
      <c r="AD234" s="233" t="e">
        <f t="shared" si="218"/>
        <v>#N/A</v>
      </c>
      <c r="AE234" s="233" t="e">
        <f t="shared" si="219"/>
        <v>#N/A</v>
      </c>
      <c r="AF234" s="238" t="e">
        <f t="shared" si="220"/>
        <v>#N/A</v>
      </c>
      <c r="AG234" s="238" t="e">
        <f t="shared" si="221"/>
        <v>#N/A</v>
      </c>
      <c r="AH234" s="238" t="e">
        <f t="shared" si="222"/>
        <v>#N/A</v>
      </c>
      <c r="AI234" s="261" t="e">
        <f t="shared" si="223"/>
        <v>#N/A</v>
      </c>
      <c r="AJ234" s="233" t="e">
        <f t="shared" si="224"/>
        <v>#N/A</v>
      </c>
    </row>
    <row r="235" spans="5:36" s="120" customFormat="1" ht="35.25" customHeight="1" x14ac:dyDescent="0.2">
      <c r="E235" s="218" t="s">
        <v>2306</v>
      </c>
      <c r="F235" s="130"/>
      <c r="G235" s="67" t="e">
        <f t="shared" si="225"/>
        <v>#N/A</v>
      </c>
      <c r="H235" s="396" t="e">
        <f t="shared" si="226"/>
        <v>#N/A</v>
      </c>
      <c r="I235" s="396" t="e">
        <f t="shared" si="227"/>
        <v>#N/A</v>
      </c>
      <c r="J235" s="396" t="e">
        <f t="shared" si="228"/>
        <v>#N/A</v>
      </c>
      <c r="K235" s="398" t="e">
        <f t="shared" si="229"/>
        <v>#N/A</v>
      </c>
      <c r="L235" s="396" t="e">
        <f t="shared" si="230"/>
        <v>#N/A</v>
      </c>
      <c r="M235" s="398" t="e">
        <f t="shared" si="231"/>
        <v>#N/A</v>
      </c>
      <c r="N235" s="396" t="e">
        <f t="shared" si="232"/>
        <v>#N/A</v>
      </c>
      <c r="O235" s="396" t="e">
        <f t="shared" si="233"/>
        <v>#N/A</v>
      </c>
      <c r="P235" s="396" t="e">
        <f t="shared" si="234"/>
        <v>#N/A</v>
      </c>
      <c r="Q235" s="396" t="e">
        <f t="shared" si="235"/>
        <v>#N/A</v>
      </c>
      <c r="R235" s="396" t="e">
        <f t="shared" si="236"/>
        <v>#N/A</v>
      </c>
      <c r="S235" s="396" t="e">
        <f t="shared" si="237"/>
        <v>#N/A</v>
      </c>
      <c r="T235" s="397" t="e">
        <f t="shared" si="238"/>
        <v>#N/A</v>
      </c>
      <c r="U235" s="396" t="e">
        <f t="shared" si="239"/>
        <v>#N/A</v>
      </c>
      <c r="V235" s="396" t="e">
        <f t="shared" si="240"/>
        <v>#N/A</v>
      </c>
      <c r="W235" s="206" t="e">
        <f t="shared" si="212"/>
        <v>#N/A</v>
      </c>
      <c r="X235" s="207" t="e">
        <f t="shared" si="213"/>
        <v>#N/A</v>
      </c>
      <c r="Y235" s="207" t="e">
        <f t="shared" si="214"/>
        <v>#N/A</v>
      </c>
      <c r="Z235" s="233" t="e">
        <f t="shared" si="215"/>
        <v>#N/A</v>
      </c>
      <c r="AA235" s="208" t="e">
        <f t="shared" si="200"/>
        <v>#N/A</v>
      </c>
      <c r="AB235" s="233" t="e">
        <f t="shared" si="216"/>
        <v>#N/A</v>
      </c>
      <c r="AC235" s="233" t="e">
        <f t="shared" si="217"/>
        <v>#N/A</v>
      </c>
      <c r="AD235" s="233" t="e">
        <f t="shared" si="218"/>
        <v>#N/A</v>
      </c>
      <c r="AE235" s="233" t="e">
        <f t="shared" si="219"/>
        <v>#N/A</v>
      </c>
      <c r="AF235" s="238" t="e">
        <f t="shared" si="220"/>
        <v>#N/A</v>
      </c>
      <c r="AG235" s="238" t="e">
        <f t="shared" si="221"/>
        <v>#N/A</v>
      </c>
      <c r="AH235" s="238" t="e">
        <f t="shared" si="222"/>
        <v>#N/A</v>
      </c>
      <c r="AI235" s="261" t="e">
        <f t="shared" si="223"/>
        <v>#N/A</v>
      </c>
      <c r="AJ235" s="233" t="e">
        <f t="shared" si="224"/>
        <v>#N/A</v>
      </c>
    </row>
    <row r="236" spans="5:36" s="120" customFormat="1" ht="35.25" customHeight="1" x14ac:dyDescent="0.2">
      <c r="E236" s="218" t="s">
        <v>2306</v>
      </c>
      <c r="F236" s="130"/>
      <c r="G236" s="67" t="e">
        <f t="shared" si="225"/>
        <v>#N/A</v>
      </c>
      <c r="H236" s="396" t="e">
        <f t="shared" si="226"/>
        <v>#N/A</v>
      </c>
      <c r="I236" s="396" t="e">
        <f t="shared" si="227"/>
        <v>#N/A</v>
      </c>
      <c r="J236" s="396" t="e">
        <f t="shared" si="228"/>
        <v>#N/A</v>
      </c>
      <c r="K236" s="398" t="e">
        <f t="shared" si="229"/>
        <v>#N/A</v>
      </c>
      <c r="L236" s="396" t="e">
        <f t="shared" si="230"/>
        <v>#N/A</v>
      </c>
      <c r="M236" s="398" t="e">
        <f t="shared" si="231"/>
        <v>#N/A</v>
      </c>
      <c r="N236" s="396" t="e">
        <f t="shared" si="232"/>
        <v>#N/A</v>
      </c>
      <c r="O236" s="396" t="e">
        <f t="shared" si="233"/>
        <v>#N/A</v>
      </c>
      <c r="P236" s="396" t="e">
        <f t="shared" si="234"/>
        <v>#N/A</v>
      </c>
      <c r="Q236" s="396" t="e">
        <f t="shared" si="235"/>
        <v>#N/A</v>
      </c>
      <c r="R236" s="396" t="e">
        <f t="shared" si="236"/>
        <v>#N/A</v>
      </c>
      <c r="S236" s="396" t="e">
        <f t="shared" si="237"/>
        <v>#N/A</v>
      </c>
      <c r="T236" s="397" t="e">
        <f t="shared" si="238"/>
        <v>#N/A</v>
      </c>
      <c r="U236" s="396" t="e">
        <f t="shared" si="239"/>
        <v>#N/A</v>
      </c>
      <c r="V236" s="396" t="e">
        <f t="shared" si="240"/>
        <v>#N/A</v>
      </c>
      <c r="W236" s="206" t="e">
        <f t="shared" si="212"/>
        <v>#N/A</v>
      </c>
      <c r="X236" s="207" t="e">
        <f t="shared" si="213"/>
        <v>#N/A</v>
      </c>
      <c r="Y236" s="207" t="e">
        <f t="shared" si="214"/>
        <v>#N/A</v>
      </c>
      <c r="Z236" s="233" t="e">
        <f t="shared" si="215"/>
        <v>#N/A</v>
      </c>
      <c r="AA236" s="208" t="e">
        <f t="shared" si="200"/>
        <v>#N/A</v>
      </c>
      <c r="AB236" s="233" t="e">
        <f t="shared" si="216"/>
        <v>#N/A</v>
      </c>
      <c r="AC236" s="233" t="e">
        <f t="shared" si="217"/>
        <v>#N/A</v>
      </c>
      <c r="AD236" s="233" t="e">
        <f t="shared" si="218"/>
        <v>#N/A</v>
      </c>
      <c r="AE236" s="233" t="e">
        <f t="shared" si="219"/>
        <v>#N/A</v>
      </c>
      <c r="AF236" s="238" t="e">
        <f t="shared" si="220"/>
        <v>#N/A</v>
      </c>
      <c r="AG236" s="238" t="e">
        <f t="shared" si="221"/>
        <v>#N/A</v>
      </c>
      <c r="AH236" s="238" t="e">
        <f t="shared" si="222"/>
        <v>#N/A</v>
      </c>
      <c r="AI236" s="261" t="e">
        <f t="shared" si="223"/>
        <v>#N/A</v>
      </c>
      <c r="AJ236" s="233" t="e">
        <f t="shared" si="224"/>
        <v>#N/A</v>
      </c>
    </row>
    <row r="237" spans="5:36" s="120" customFormat="1" ht="35.25" customHeight="1" x14ac:dyDescent="0.2">
      <c r="E237" s="218" t="s">
        <v>2306</v>
      </c>
      <c r="F237" s="130"/>
      <c r="G237" s="67" t="e">
        <f t="shared" si="225"/>
        <v>#N/A</v>
      </c>
      <c r="H237" s="396" t="e">
        <f t="shared" si="226"/>
        <v>#N/A</v>
      </c>
      <c r="I237" s="396" t="e">
        <f t="shared" si="227"/>
        <v>#N/A</v>
      </c>
      <c r="J237" s="396" t="e">
        <f t="shared" si="228"/>
        <v>#N/A</v>
      </c>
      <c r="K237" s="398" t="e">
        <f t="shared" si="229"/>
        <v>#N/A</v>
      </c>
      <c r="L237" s="396" t="e">
        <f t="shared" si="230"/>
        <v>#N/A</v>
      </c>
      <c r="M237" s="398" t="e">
        <f t="shared" si="231"/>
        <v>#N/A</v>
      </c>
      <c r="N237" s="396" t="e">
        <f t="shared" si="232"/>
        <v>#N/A</v>
      </c>
      <c r="O237" s="396" t="e">
        <f t="shared" si="233"/>
        <v>#N/A</v>
      </c>
      <c r="P237" s="396" t="e">
        <f t="shared" si="234"/>
        <v>#N/A</v>
      </c>
      <c r="Q237" s="396" t="e">
        <f t="shared" si="235"/>
        <v>#N/A</v>
      </c>
      <c r="R237" s="396" t="e">
        <f t="shared" si="236"/>
        <v>#N/A</v>
      </c>
      <c r="S237" s="396" t="e">
        <f t="shared" si="237"/>
        <v>#N/A</v>
      </c>
      <c r="T237" s="397" t="e">
        <f t="shared" si="238"/>
        <v>#N/A</v>
      </c>
      <c r="U237" s="396" t="e">
        <f t="shared" si="239"/>
        <v>#N/A</v>
      </c>
      <c r="V237" s="396" t="e">
        <f t="shared" si="240"/>
        <v>#N/A</v>
      </c>
      <c r="W237" s="206" t="e">
        <f t="shared" si="212"/>
        <v>#N/A</v>
      </c>
      <c r="X237" s="207" t="e">
        <f t="shared" si="213"/>
        <v>#N/A</v>
      </c>
      <c r="Y237" s="207" t="e">
        <f t="shared" si="214"/>
        <v>#N/A</v>
      </c>
      <c r="Z237" s="233" t="e">
        <f t="shared" si="215"/>
        <v>#N/A</v>
      </c>
      <c r="AA237" s="208" t="e">
        <f t="shared" si="200"/>
        <v>#N/A</v>
      </c>
      <c r="AB237" s="233" t="e">
        <f t="shared" si="216"/>
        <v>#N/A</v>
      </c>
      <c r="AC237" s="233" t="e">
        <f t="shared" si="217"/>
        <v>#N/A</v>
      </c>
      <c r="AD237" s="233" t="e">
        <f t="shared" si="218"/>
        <v>#N/A</v>
      </c>
      <c r="AE237" s="233" t="e">
        <f t="shared" si="219"/>
        <v>#N/A</v>
      </c>
      <c r="AF237" s="238" t="e">
        <f t="shared" si="220"/>
        <v>#N/A</v>
      </c>
      <c r="AG237" s="238" t="e">
        <f t="shared" si="221"/>
        <v>#N/A</v>
      </c>
      <c r="AH237" s="238" t="e">
        <f t="shared" si="222"/>
        <v>#N/A</v>
      </c>
      <c r="AI237" s="261" t="e">
        <f t="shared" si="223"/>
        <v>#N/A</v>
      </c>
      <c r="AJ237" s="233" t="e">
        <f t="shared" si="224"/>
        <v>#N/A</v>
      </c>
    </row>
    <row r="238" spans="5:36" s="120" customFormat="1" ht="35.25" customHeight="1" x14ac:dyDescent="0.2">
      <c r="E238" s="218" t="s">
        <v>2306</v>
      </c>
      <c r="F238" s="130"/>
      <c r="G238" s="67" t="e">
        <f t="shared" si="225"/>
        <v>#N/A</v>
      </c>
      <c r="H238" s="396" t="e">
        <f t="shared" si="226"/>
        <v>#N/A</v>
      </c>
      <c r="I238" s="396" t="e">
        <f t="shared" si="227"/>
        <v>#N/A</v>
      </c>
      <c r="J238" s="396" t="e">
        <f t="shared" si="228"/>
        <v>#N/A</v>
      </c>
      <c r="K238" s="398" t="e">
        <f t="shared" si="229"/>
        <v>#N/A</v>
      </c>
      <c r="L238" s="396" t="e">
        <f t="shared" si="230"/>
        <v>#N/A</v>
      </c>
      <c r="M238" s="398" t="e">
        <f t="shared" si="231"/>
        <v>#N/A</v>
      </c>
      <c r="N238" s="396" t="e">
        <f t="shared" si="232"/>
        <v>#N/A</v>
      </c>
      <c r="O238" s="396" t="e">
        <f t="shared" si="233"/>
        <v>#N/A</v>
      </c>
      <c r="P238" s="396" t="e">
        <f t="shared" si="234"/>
        <v>#N/A</v>
      </c>
      <c r="Q238" s="396" t="e">
        <f t="shared" si="235"/>
        <v>#N/A</v>
      </c>
      <c r="R238" s="396" t="e">
        <f t="shared" si="236"/>
        <v>#N/A</v>
      </c>
      <c r="S238" s="396" t="e">
        <f t="shared" si="237"/>
        <v>#N/A</v>
      </c>
      <c r="T238" s="397" t="e">
        <f t="shared" si="238"/>
        <v>#N/A</v>
      </c>
      <c r="U238" s="396" t="e">
        <f t="shared" si="239"/>
        <v>#N/A</v>
      </c>
      <c r="V238" s="396" t="e">
        <f t="shared" si="240"/>
        <v>#N/A</v>
      </c>
      <c r="W238" s="206" t="e">
        <f t="shared" si="212"/>
        <v>#N/A</v>
      </c>
      <c r="X238" s="207" t="e">
        <f t="shared" si="213"/>
        <v>#N/A</v>
      </c>
      <c r="Y238" s="207" t="e">
        <f t="shared" si="214"/>
        <v>#N/A</v>
      </c>
      <c r="Z238" s="233" t="e">
        <f t="shared" si="215"/>
        <v>#N/A</v>
      </c>
      <c r="AA238" s="208" t="e">
        <f t="shared" si="200"/>
        <v>#N/A</v>
      </c>
      <c r="AB238" s="233" t="e">
        <f t="shared" si="216"/>
        <v>#N/A</v>
      </c>
      <c r="AC238" s="233" t="e">
        <f t="shared" si="217"/>
        <v>#N/A</v>
      </c>
      <c r="AD238" s="233" t="e">
        <f t="shared" si="218"/>
        <v>#N/A</v>
      </c>
      <c r="AE238" s="233" t="e">
        <f t="shared" si="219"/>
        <v>#N/A</v>
      </c>
      <c r="AF238" s="238" t="e">
        <f t="shared" si="220"/>
        <v>#N/A</v>
      </c>
      <c r="AG238" s="238" t="e">
        <f t="shared" si="221"/>
        <v>#N/A</v>
      </c>
      <c r="AH238" s="238" t="e">
        <f t="shared" si="222"/>
        <v>#N/A</v>
      </c>
      <c r="AI238" s="261" t="e">
        <f t="shared" si="223"/>
        <v>#N/A</v>
      </c>
      <c r="AJ238" s="233" t="e">
        <f t="shared" si="224"/>
        <v>#N/A</v>
      </c>
    </row>
    <row r="239" spans="5:36" s="120" customFormat="1" ht="35.25" customHeight="1" x14ac:dyDescent="0.2">
      <c r="E239" s="218" t="s">
        <v>2306</v>
      </c>
      <c r="F239" s="130"/>
      <c r="G239" s="67" t="e">
        <f t="shared" si="225"/>
        <v>#N/A</v>
      </c>
      <c r="H239" s="396" t="e">
        <f t="shared" si="226"/>
        <v>#N/A</v>
      </c>
      <c r="I239" s="396" t="e">
        <f t="shared" si="227"/>
        <v>#N/A</v>
      </c>
      <c r="J239" s="396" t="e">
        <f t="shared" si="228"/>
        <v>#N/A</v>
      </c>
      <c r="K239" s="398" t="e">
        <f t="shared" si="229"/>
        <v>#N/A</v>
      </c>
      <c r="L239" s="396" t="e">
        <f t="shared" si="230"/>
        <v>#N/A</v>
      </c>
      <c r="M239" s="398" t="e">
        <f t="shared" si="231"/>
        <v>#N/A</v>
      </c>
      <c r="N239" s="396" t="e">
        <f t="shared" si="232"/>
        <v>#N/A</v>
      </c>
      <c r="O239" s="396" t="e">
        <f t="shared" si="233"/>
        <v>#N/A</v>
      </c>
      <c r="P239" s="396" t="e">
        <f t="shared" si="234"/>
        <v>#N/A</v>
      </c>
      <c r="Q239" s="396" t="e">
        <f t="shared" si="235"/>
        <v>#N/A</v>
      </c>
      <c r="R239" s="396" t="e">
        <f t="shared" si="236"/>
        <v>#N/A</v>
      </c>
      <c r="S239" s="396" t="e">
        <f t="shared" si="237"/>
        <v>#N/A</v>
      </c>
      <c r="T239" s="397" t="e">
        <f t="shared" si="238"/>
        <v>#N/A</v>
      </c>
      <c r="U239" s="396" t="e">
        <f t="shared" si="239"/>
        <v>#N/A</v>
      </c>
      <c r="V239" s="396" t="e">
        <f t="shared" si="240"/>
        <v>#N/A</v>
      </c>
      <c r="W239" s="206" t="e">
        <f t="shared" si="212"/>
        <v>#N/A</v>
      </c>
      <c r="X239" s="207" t="e">
        <f t="shared" si="213"/>
        <v>#N/A</v>
      </c>
      <c r="Y239" s="207" t="e">
        <f t="shared" si="214"/>
        <v>#N/A</v>
      </c>
      <c r="Z239" s="233" t="e">
        <f t="shared" si="215"/>
        <v>#N/A</v>
      </c>
      <c r="AA239" s="208" t="e">
        <f t="shared" si="200"/>
        <v>#N/A</v>
      </c>
      <c r="AB239" s="233" t="e">
        <f t="shared" si="216"/>
        <v>#N/A</v>
      </c>
      <c r="AC239" s="233" t="e">
        <f t="shared" si="217"/>
        <v>#N/A</v>
      </c>
      <c r="AD239" s="233" t="e">
        <f t="shared" si="218"/>
        <v>#N/A</v>
      </c>
      <c r="AE239" s="233" t="e">
        <f t="shared" si="219"/>
        <v>#N/A</v>
      </c>
      <c r="AF239" s="238" t="e">
        <f t="shared" si="220"/>
        <v>#N/A</v>
      </c>
      <c r="AG239" s="238" t="e">
        <f t="shared" si="221"/>
        <v>#N/A</v>
      </c>
      <c r="AH239" s="238" t="e">
        <f t="shared" si="222"/>
        <v>#N/A</v>
      </c>
      <c r="AI239" s="261" t="e">
        <f t="shared" si="223"/>
        <v>#N/A</v>
      </c>
      <c r="AJ239" s="233" t="e">
        <f t="shared" si="224"/>
        <v>#N/A</v>
      </c>
    </row>
    <row r="240" spans="5:36" s="120" customFormat="1" ht="35.25" customHeight="1" x14ac:dyDescent="0.2">
      <c r="E240" s="218" t="s">
        <v>2306</v>
      </c>
      <c r="F240" s="130"/>
      <c r="G240" s="67" t="e">
        <f t="shared" si="225"/>
        <v>#N/A</v>
      </c>
      <c r="H240" s="396" t="e">
        <f t="shared" si="226"/>
        <v>#N/A</v>
      </c>
      <c r="I240" s="396" t="e">
        <f t="shared" si="227"/>
        <v>#N/A</v>
      </c>
      <c r="J240" s="396" t="e">
        <f t="shared" si="228"/>
        <v>#N/A</v>
      </c>
      <c r="K240" s="398" t="e">
        <f t="shared" si="229"/>
        <v>#N/A</v>
      </c>
      <c r="L240" s="396" t="e">
        <f t="shared" si="230"/>
        <v>#N/A</v>
      </c>
      <c r="M240" s="398" t="e">
        <f t="shared" si="231"/>
        <v>#N/A</v>
      </c>
      <c r="N240" s="396" t="e">
        <f t="shared" si="232"/>
        <v>#N/A</v>
      </c>
      <c r="O240" s="396" t="e">
        <f t="shared" si="233"/>
        <v>#N/A</v>
      </c>
      <c r="P240" s="396" t="e">
        <f t="shared" si="234"/>
        <v>#N/A</v>
      </c>
      <c r="Q240" s="396" t="e">
        <f t="shared" si="235"/>
        <v>#N/A</v>
      </c>
      <c r="R240" s="396" t="e">
        <f t="shared" si="236"/>
        <v>#N/A</v>
      </c>
      <c r="S240" s="396" t="e">
        <f t="shared" si="237"/>
        <v>#N/A</v>
      </c>
      <c r="T240" s="397" t="e">
        <f t="shared" si="238"/>
        <v>#N/A</v>
      </c>
      <c r="U240" s="396" t="e">
        <f t="shared" si="239"/>
        <v>#N/A</v>
      </c>
      <c r="V240" s="396" t="e">
        <f t="shared" si="240"/>
        <v>#N/A</v>
      </c>
      <c r="W240" s="206" t="e">
        <f t="shared" si="212"/>
        <v>#N/A</v>
      </c>
      <c r="X240" s="207" t="e">
        <f t="shared" si="213"/>
        <v>#N/A</v>
      </c>
      <c r="Y240" s="207" t="e">
        <f t="shared" si="214"/>
        <v>#N/A</v>
      </c>
      <c r="Z240" s="233" t="e">
        <f t="shared" si="215"/>
        <v>#N/A</v>
      </c>
      <c r="AA240" s="208" t="e">
        <f t="shared" si="200"/>
        <v>#N/A</v>
      </c>
      <c r="AB240" s="233" t="e">
        <f t="shared" si="216"/>
        <v>#N/A</v>
      </c>
      <c r="AC240" s="233" t="e">
        <f t="shared" si="217"/>
        <v>#N/A</v>
      </c>
      <c r="AD240" s="233" t="e">
        <f t="shared" si="218"/>
        <v>#N/A</v>
      </c>
      <c r="AE240" s="233" t="e">
        <f t="shared" si="219"/>
        <v>#N/A</v>
      </c>
      <c r="AF240" s="238" t="e">
        <f t="shared" si="220"/>
        <v>#N/A</v>
      </c>
      <c r="AG240" s="238" t="e">
        <f t="shared" si="221"/>
        <v>#N/A</v>
      </c>
      <c r="AH240" s="238" t="e">
        <f t="shared" si="222"/>
        <v>#N/A</v>
      </c>
      <c r="AI240" s="261" t="e">
        <f t="shared" si="223"/>
        <v>#N/A</v>
      </c>
      <c r="AJ240" s="233" t="e">
        <f t="shared" si="224"/>
        <v>#N/A</v>
      </c>
    </row>
    <row r="241" spans="5:36" s="120" customFormat="1" ht="35.25" customHeight="1" x14ac:dyDescent="0.2">
      <c r="E241" s="218" t="s">
        <v>2306</v>
      </c>
      <c r="F241" s="130"/>
      <c r="G241" s="67" t="e">
        <f t="shared" si="225"/>
        <v>#N/A</v>
      </c>
      <c r="H241" s="396" t="e">
        <f t="shared" si="226"/>
        <v>#N/A</v>
      </c>
      <c r="I241" s="396" t="e">
        <f t="shared" si="227"/>
        <v>#N/A</v>
      </c>
      <c r="J241" s="396" t="e">
        <f t="shared" si="228"/>
        <v>#N/A</v>
      </c>
      <c r="K241" s="398" t="e">
        <f t="shared" si="229"/>
        <v>#N/A</v>
      </c>
      <c r="L241" s="396" t="e">
        <f t="shared" si="230"/>
        <v>#N/A</v>
      </c>
      <c r="M241" s="398" t="e">
        <f t="shared" si="231"/>
        <v>#N/A</v>
      </c>
      <c r="N241" s="396" t="e">
        <f t="shared" si="232"/>
        <v>#N/A</v>
      </c>
      <c r="O241" s="396" t="e">
        <f t="shared" si="233"/>
        <v>#N/A</v>
      </c>
      <c r="P241" s="396" t="e">
        <f t="shared" si="234"/>
        <v>#N/A</v>
      </c>
      <c r="Q241" s="396" t="e">
        <f t="shared" si="235"/>
        <v>#N/A</v>
      </c>
      <c r="R241" s="396" t="e">
        <f t="shared" si="236"/>
        <v>#N/A</v>
      </c>
      <c r="S241" s="396" t="e">
        <f t="shared" si="237"/>
        <v>#N/A</v>
      </c>
      <c r="T241" s="397" t="e">
        <f t="shared" si="238"/>
        <v>#N/A</v>
      </c>
      <c r="U241" s="396" t="e">
        <f t="shared" si="239"/>
        <v>#N/A</v>
      </c>
      <c r="V241" s="396" t="e">
        <f t="shared" si="240"/>
        <v>#N/A</v>
      </c>
      <c r="W241" s="206" t="e">
        <f t="shared" si="212"/>
        <v>#N/A</v>
      </c>
      <c r="X241" s="207" t="e">
        <f t="shared" si="213"/>
        <v>#N/A</v>
      </c>
      <c r="Y241" s="207" t="e">
        <f t="shared" si="214"/>
        <v>#N/A</v>
      </c>
      <c r="Z241" s="233" t="e">
        <f t="shared" si="215"/>
        <v>#N/A</v>
      </c>
      <c r="AA241" s="208" t="e">
        <f t="shared" si="200"/>
        <v>#N/A</v>
      </c>
      <c r="AB241" s="233" t="e">
        <f t="shared" si="216"/>
        <v>#N/A</v>
      </c>
      <c r="AC241" s="233" t="e">
        <f t="shared" si="217"/>
        <v>#N/A</v>
      </c>
      <c r="AD241" s="233" t="e">
        <f t="shared" si="218"/>
        <v>#N/A</v>
      </c>
      <c r="AE241" s="233" t="e">
        <f t="shared" si="219"/>
        <v>#N/A</v>
      </c>
      <c r="AF241" s="238" t="e">
        <f t="shared" si="220"/>
        <v>#N/A</v>
      </c>
      <c r="AG241" s="238" t="e">
        <f t="shared" si="221"/>
        <v>#N/A</v>
      </c>
      <c r="AH241" s="238" t="e">
        <f t="shared" si="222"/>
        <v>#N/A</v>
      </c>
      <c r="AI241" s="261" t="e">
        <f t="shared" si="223"/>
        <v>#N/A</v>
      </c>
      <c r="AJ241" s="233" t="e">
        <f t="shared" si="224"/>
        <v>#N/A</v>
      </c>
    </row>
    <row r="242" spans="5:36" s="120" customFormat="1" ht="35.25" customHeight="1" x14ac:dyDescent="0.2">
      <c r="E242" s="218" t="s">
        <v>2306</v>
      </c>
      <c r="F242" s="130"/>
      <c r="G242" s="67" t="e">
        <f t="shared" si="225"/>
        <v>#N/A</v>
      </c>
      <c r="H242" s="396" t="e">
        <f t="shared" si="226"/>
        <v>#N/A</v>
      </c>
      <c r="I242" s="396" t="e">
        <f t="shared" si="227"/>
        <v>#N/A</v>
      </c>
      <c r="J242" s="396" t="e">
        <f t="shared" si="228"/>
        <v>#N/A</v>
      </c>
      <c r="K242" s="398" t="e">
        <f t="shared" si="229"/>
        <v>#N/A</v>
      </c>
      <c r="L242" s="396" t="e">
        <f t="shared" si="230"/>
        <v>#N/A</v>
      </c>
      <c r="M242" s="398" t="e">
        <f t="shared" si="231"/>
        <v>#N/A</v>
      </c>
      <c r="N242" s="396" t="e">
        <f t="shared" si="232"/>
        <v>#N/A</v>
      </c>
      <c r="O242" s="396" t="e">
        <f t="shared" si="233"/>
        <v>#N/A</v>
      </c>
      <c r="P242" s="396" t="e">
        <f t="shared" si="234"/>
        <v>#N/A</v>
      </c>
      <c r="Q242" s="396" t="e">
        <f t="shared" si="235"/>
        <v>#N/A</v>
      </c>
      <c r="R242" s="396" t="e">
        <f t="shared" si="236"/>
        <v>#N/A</v>
      </c>
      <c r="S242" s="396" t="e">
        <f t="shared" si="237"/>
        <v>#N/A</v>
      </c>
      <c r="T242" s="397" t="e">
        <f t="shared" si="238"/>
        <v>#N/A</v>
      </c>
      <c r="U242" s="396" t="e">
        <f t="shared" si="239"/>
        <v>#N/A</v>
      </c>
      <c r="V242" s="396" t="e">
        <f t="shared" si="240"/>
        <v>#N/A</v>
      </c>
      <c r="W242" s="206" t="e">
        <f t="shared" si="212"/>
        <v>#N/A</v>
      </c>
      <c r="X242" s="207" t="e">
        <f t="shared" si="213"/>
        <v>#N/A</v>
      </c>
      <c r="Y242" s="207" t="e">
        <f t="shared" si="214"/>
        <v>#N/A</v>
      </c>
      <c r="Z242" s="233" t="e">
        <f t="shared" si="215"/>
        <v>#N/A</v>
      </c>
      <c r="AA242" s="208" t="e">
        <f t="shared" si="200"/>
        <v>#N/A</v>
      </c>
      <c r="AB242" s="233" t="e">
        <f t="shared" si="216"/>
        <v>#N/A</v>
      </c>
      <c r="AC242" s="233" t="e">
        <f t="shared" si="217"/>
        <v>#N/A</v>
      </c>
      <c r="AD242" s="233" t="e">
        <f t="shared" si="218"/>
        <v>#N/A</v>
      </c>
      <c r="AE242" s="233" t="e">
        <f t="shared" si="219"/>
        <v>#N/A</v>
      </c>
      <c r="AF242" s="238" t="e">
        <f t="shared" si="220"/>
        <v>#N/A</v>
      </c>
      <c r="AG242" s="238" t="e">
        <f t="shared" si="221"/>
        <v>#N/A</v>
      </c>
      <c r="AH242" s="238" t="e">
        <f t="shared" si="222"/>
        <v>#N/A</v>
      </c>
      <c r="AI242" s="261" t="e">
        <f t="shared" si="223"/>
        <v>#N/A</v>
      </c>
      <c r="AJ242" s="233" t="e">
        <f t="shared" si="224"/>
        <v>#N/A</v>
      </c>
    </row>
    <row r="243" spans="5:36" s="120" customFormat="1" ht="35.25" customHeight="1" x14ac:dyDescent="0.2">
      <c r="E243" s="218" t="s">
        <v>2306</v>
      </c>
      <c r="F243" s="130"/>
      <c r="G243" s="67" t="e">
        <f t="shared" si="225"/>
        <v>#N/A</v>
      </c>
      <c r="H243" s="396" t="e">
        <f t="shared" si="226"/>
        <v>#N/A</v>
      </c>
      <c r="I243" s="396" t="e">
        <f t="shared" si="227"/>
        <v>#N/A</v>
      </c>
      <c r="J243" s="396" t="e">
        <f t="shared" si="228"/>
        <v>#N/A</v>
      </c>
      <c r="K243" s="398" t="e">
        <f t="shared" si="229"/>
        <v>#N/A</v>
      </c>
      <c r="L243" s="396" t="e">
        <f t="shared" si="230"/>
        <v>#N/A</v>
      </c>
      <c r="M243" s="398" t="e">
        <f t="shared" si="231"/>
        <v>#N/A</v>
      </c>
      <c r="N243" s="396" t="e">
        <f t="shared" si="232"/>
        <v>#N/A</v>
      </c>
      <c r="O243" s="396" t="e">
        <f t="shared" si="233"/>
        <v>#N/A</v>
      </c>
      <c r="P243" s="396" t="e">
        <f t="shared" si="234"/>
        <v>#N/A</v>
      </c>
      <c r="Q243" s="396" t="e">
        <f t="shared" si="235"/>
        <v>#N/A</v>
      </c>
      <c r="R243" s="396" t="e">
        <f t="shared" si="236"/>
        <v>#N/A</v>
      </c>
      <c r="S243" s="396" t="e">
        <f t="shared" si="237"/>
        <v>#N/A</v>
      </c>
      <c r="T243" s="397" t="e">
        <f t="shared" si="238"/>
        <v>#N/A</v>
      </c>
      <c r="U243" s="396" t="e">
        <f t="shared" si="239"/>
        <v>#N/A</v>
      </c>
      <c r="V243" s="396" t="e">
        <f t="shared" si="240"/>
        <v>#N/A</v>
      </c>
      <c r="W243" s="206" t="e">
        <f t="shared" si="212"/>
        <v>#N/A</v>
      </c>
      <c r="X243" s="207" t="e">
        <f t="shared" si="213"/>
        <v>#N/A</v>
      </c>
      <c r="Y243" s="207" t="e">
        <f t="shared" si="214"/>
        <v>#N/A</v>
      </c>
      <c r="Z243" s="233" t="e">
        <f t="shared" si="215"/>
        <v>#N/A</v>
      </c>
      <c r="AA243" s="208" t="e">
        <f t="shared" si="200"/>
        <v>#N/A</v>
      </c>
      <c r="AB243" s="233" t="e">
        <f t="shared" si="216"/>
        <v>#N/A</v>
      </c>
      <c r="AC243" s="233" t="e">
        <f t="shared" si="217"/>
        <v>#N/A</v>
      </c>
      <c r="AD243" s="233" t="e">
        <f t="shared" si="218"/>
        <v>#N/A</v>
      </c>
      <c r="AE243" s="233" t="e">
        <f t="shared" si="219"/>
        <v>#N/A</v>
      </c>
      <c r="AF243" s="238" t="e">
        <f t="shared" si="220"/>
        <v>#N/A</v>
      </c>
      <c r="AG243" s="238" t="e">
        <f t="shared" si="221"/>
        <v>#N/A</v>
      </c>
      <c r="AH243" s="238" t="e">
        <f t="shared" si="222"/>
        <v>#N/A</v>
      </c>
      <c r="AI243" s="261" t="e">
        <f t="shared" si="223"/>
        <v>#N/A</v>
      </c>
      <c r="AJ243" s="233" t="e">
        <f t="shared" si="224"/>
        <v>#N/A</v>
      </c>
    </row>
    <row r="244" spans="5:36" s="120" customFormat="1" ht="35.25" customHeight="1" x14ac:dyDescent="0.2">
      <c r="E244" s="218" t="s">
        <v>2306</v>
      </c>
      <c r="F244" s="130"/>
      <c r="G244" s="67" t="e">
        <f t="shared" si="225"/>
        <v>#N/A</v>
      </c>
      <c r="H244" s="396" t="e">
        <f t="shared" si="226"/>
        <v>#N/A</v>
      </c>
      <c r="I244" s="396" t="e">
        <f t="shared" si="227"/>
        <v>#N/A</v>
      </c>
      <c r="J244" s="396" t="e">
        <f t="shared" si="228"/>
        <v>#N/A</v>
      </c>
      <c r="K244" s="398" t="e">
        <f t="shared" si="229"/>
        <v>#N/A</v>
      </c>
      <c r="L244" s="396" t="e">
        <f t="shared" si="230"/>
        <v>#N/A</v>
      </c>
      <c r="M244" s="398" t="e">
        <f t="shared" si="231"/>
        <v>#N/A</v>
      </c>
      <c r="N244" s="396" t="e">
        <f t="shared" si="232"/>
        <v>#N/A</v>
      </c>
      <c r="O244" s="396" t="e">
        <f t="shared" si="233"/>
        <v>#N/A</v>
      </c>
      <c r="P244" s="396" t="e">
        <f t="shared" si="234"/>
        <v>#N/A</v>
      </c>
      <c r="Q244" s="396" t="e">
        <f t="shared" si="235"/>
        <v>#N/A</v>
      </c>
      <c r="R244" s="396" t="e">
        <f t="shared" si="236"/>
        <v>#N/A</v>
      </c>
      <c r="S244" s="396" t="e">
        <f t="shared" si="237"/>
        <v>#N/A</v>
      </c>
      <c r="T244" s="397" t="e">
        <f t="shared" si="238"/>
        <v>#N/A</v>
      </c>
      <c r="U244" s="396" t="e">
        <f t="shared" si="239"/>
        <v>#N/A</v>
      </c>
      <c r="V244" s="396" t="e">
        <f t="shared" si="240"/>
        <v>#N/A</v>
      </c>
      <c r="W244" s="206" t="e">
        <f t="shared" si="212"/>
        <v>#N/A</v>
      </c>
      <c r="X244" s="207" t="e">
        <f t="shared" si="213"/>
        <v>#N/A</v>
      </c>
      <c r="Y244" s="207" t="e">
        <f t="shared" si="214"/>
        <v>#N/A</v>
      </c>
      <c r="Z244" s="233" t="e">
        <f t="shared" si="215"/>
        <v>#N/A</v>
      </c>
      <c r="AA244" s="208" t="e">
        <f t="shared" si="200"/>
        <v>#N/A</v>
      </c>
      <c r="AB244" s="233" t="e">
        <f t="shared" si="216"/>
        <v>#N/A</v>
      </c>
      <c r="AC244" s="233" t="e">
        <f t="shared" si="217"/>
        <v>#N/A</v>
      </c>
      <c r="AD244" s="233" t="e">
        <f t="shared" si="218"/>
        <v>#N/A</v>
      </c>
      <c r="AE244" s="233" t="e">
        <f t="shared" si="219"/>
        <v>#N/A</v>
      </c>
      <c r="AF244" s="238" t="e">
        <f t="shared" si="220"/>
        <v>#N/A</v>
      </c>
      <c r="AG244" s="238" t="e">
        <f t="shared" si="221"/>
        <v>#N/A</v>
      </c>
      <c r="AH244" s="238" t="e">
        <f t="shared" si="222"/>
        <v>#N/A</v>
      </c>
      <c r="AI244" s="261" t="e">
        <f t="shared" si="223"/>
        <v>#N/A</v>
      </c>
      <c r="AJ244" s="233" t="e">
        <f t="shared" si="224"/>
        <v>#N/A</v>
      </c>
    </row>
    <row r="245" spans="5:36" s="120" customFormat="1" ht="35.25" customHeight="1" x14ac:dyDescent="0.2">
      <c r="E245" s="218" t="s">
        <v>2306</v>
      </c>
      <c r="F245" s="130"/>
      <c r="G245" s="67" t="e">
        <f t="shared" si="225"/>
        <v>#N/A</v>
      </c>
      <c r="H245" s="396" t="e">
        <f t="shared" si="226"/>
        <v>#N/A</v>
      </c>
      <c r="I245" s="396" t="e">
        <f t="shared" si="227"/>
        <v>#N/A</v>
      </c>
      <c r="J245" s="396" t="e">
        <f t="shared" si="228"/>
        <v>#N/A</v>
      </c>
      <c r="K245" s="398" t="e">
        <f t="shared" si="229"/>
        <v>#N/A</v>
      </c>
      <c r="L245" s="396" t="e">
        <f t="shared" si="230"/>
        <v>#N/A</v>
      </c>
      <c r="M245" s="398" t="e">
        <f t="shared" si="231"/>
        <v>#N/A</v>
      </c>
      <c r="N245" s="396" t="e">
        <f t="shared" si="232"/>
        <v>#N/A</v>
      </c>
      <c r="O245" s="396" t="e">
        <f t="shared" si="233"/>
        <v>#N/A</v>
      </c>
      <c r="P245" s="396" t="e">
        <f t="shared" si="234"/>
        <v>#N/A</v>
      </c>
      <c r="Q245" s="396" t="e">
        <f t="shared" si="235"/>
        <v>#N/A</v>
      </c>
      <c r="R245" s="396" t="e">
        <f t="shared" si="236"/>
        <v>#N/A</v>
      </c>
      <c r="S245" s="396" t="e">
        <f t="shared" si="237"/>
        <v>#N/A</v>
      </c>
      <c r="T245" s="397" t="e">
        <f t="shared" si="238"/>
        <v>#N/A</v>
      </c>
      <c r="U245" s="396" t="e">
        <f t="shared" si="239"/>
        <v>#N/A</v>
      </c>
      <c r="V245" s="396" t="e">
        <f t="shared" si="240"/>
        <v>#N/A</v>
      </c>
      <c r="W245" s="206" t="e">
        <f t="shared" si="212"/>
        <v>#N/A</v>
      </c>
      <c r="X245" s="207" t="e">
        <f t="shared" si="213"/>
        <v>#N/A</v>
      </c>
      <c r="Y245" s="207" t="e">
        <f t="shared" si="214"/>
        <v>#N/A</v>
      </c>
      <c r="Z245" s="233" t="e">
        <f t="shared" si="215"/>
        <v>#N/A</v>
      </c>
      <c r="AA245" s="208" t="e">
        <f t="shared" si="200"/>
        <v>#N/A</v>
      </c>
      <c r="AB245" s="233" t="e">
        <f t="shared" si="216"/>
        <v>#N/A</v>
      </c>
      <c r="AC245" s="233" t="e">
        <f t="shared" si="217"/>
        <v>#N/A</v>
      </c>
      <c r="AD245" s="233" t="e">
        <f t="shared" si="218"/>
        <v>#N/A</v>
      </c>
      <c r="AE245" s="233" t="e">
        <f t="shared" si="219"/>
        <v>#N/A</v>
      </c>
      <c r="AF245" s="238" t="e">
        <f t="shared" si="220"/>
        <v>#N/A</v>
      </c>
      <c r="AG245" s="238" t="e">
        <f t="shared" si="221"/>
        <v>#N/A</v>
      </c>
      <c r="AH245" s="238" t="e">
        <f t="shared" si="222"/>
        <v>#N/A</v>
      </c>
      <c r="AI245" s="261" t="e">
        <f t="shared" si="223"/>
        <v>#N/A</v>
      </c>
      <c r="AJ245" s="233" t="e">
        <f t="shared" si="224"/>
        <v>#N/A</v>
      </c>
    </row>
    <row r="246" spans="5:36" s="120" customFormat="1" ht="35.25" customHeight="1" x14ac:dyDescent="0.2">
      <c r="E246" s="218" t="s">
        <v>2306</v>
      </c>
      <c r="F246" s="130"/>
      <c r="G246" s="67" t="e">
        <f t="shared" si="225"/>
        <v>#N/A</v>
      </c>
      <c r="H246" s="396" t="e">
        <f t="shared" si="226"/>
        <v>#N/A</v>
      </c>
      <c r="I246" s="396" t="e">
        <f t="shared" si="227"/>
        <v>#N/A</v>
      </c>
      <c r="J246" s="396" t="e">
        <f t="shared" si="228"/>
        <v>#N/A</v>
      </c>
      <c r="K246" s="398" t="e">
        <f t="shared" si="229"/>
        <v>#N/A</v>
      </c>
      <c r="L246" s="396" t="e">
        <f t="shared" si="230"/>
        <v>#N/A</v>
      </c>
      <c r="M246" s="398" t="e">
        <f t="shared" si="231"/>
        <v>#N/A</v>
      </c>
      <c r="N246" s="396" t="e">
        <f t="shared" si="232"/>
        <v>#N/A</v>
      </c>
      <c r="O246" s="396" t="e">
        <f t="shared" si="233"/>
        <v>#N/A</v>
      </c>
      <c r="P246" s="396" t="e">
        <f t="shared" si="234"/>
        <v>#N/A</v>
      </c>
      <c r="Q246" s="396" t="e">
        <f t="shared" si="235"/>
        <v>#N/A</v>
      </c>
      <c r="R246" s="396" t="e">
        <f t="shared" si="236"/>
        <v>#N/A</v>
      </c>
      <c r="S246" s="396" t="e">
        <f t="shared" si="237"/>
        <v>#N/A</v>
      </c>
      <c r="T246" s="397" t="e">
        <f t="shared" si="238"/>
        <v>#N/A</v>
      </c>
      <c r="U246" s="396" t="e">
        <f t="shared" si="239"/>
        <v>#N/A</v>
      </c>
      <c r="V246" s="396" t="e">
        <f t="shared" si="240"/>
        <v>#N/A</v>
      </c>
      <c r="W246" s="206" t="e">
        <f t="shared" si="212"/>
        <v>#N/A</v>
      </c>
      <c r="X246" s="207" t="e">
        <f t="shared" si="213"/>
        <v>#N/A</v>
      </c>
      <c r="Y246" s="207" t="e">
        <f t="shared" si="214"/>
        <v>#N/A</v>
      </c>
      <c r="Z246" s="233" t="e">
        <f t="shared" si="215"/>
        <v>#N/A</v>
      </c>
      <c r="AA246" s="208" t="e">
        <f t="shared" si="200"/>
        <v>#N/A</v>
      </c>
      <c r="AB246" s="233" t="e">
        <f t="shared" si="216"/>
        <v>#N/A</v>
      </c>
      <c r="AC246" s="233" t="e">
        <f t="shared" si="217"/>
        <v>#N/A</v>
      </c>
      <c r="AD246" s="233" t="e">
        <f t="shared" si="218"/>
        <v>#N/A</v>
      </c>
      <c r="AE246" s="233" t="e">
        <f t="shared" si="219"/>
        <v>#N/A</v>
      </c>
      <c r="AF246" s="238" t="e">
        <f t="shared" si="220"/>
        <v>#N/A</v>
      </c>
      <c r="AG246" s="238" t="e">
        <f t="shared" si="221"/>
        <v>#N/A</v>
      </c>
      <c r="AH246" s="238" t="e">
        <f t="shared" si="222"/>
        <v>#N/A</v>
      </c>
      <c r="AI246" s="261" t="e">
        <f t="shared" si="223"/>
        <v>#N/A</v>
      </c>
      <c r="AJ246" s="233" t="e">
        <f t="shared" si="224"/>
        <v>#N/A</v>
      </c>
    </row>
    <row r="247" spans="5:36" s="120" customFormat="1" ht="35.25" customHeight="1" x14ac:dyDescent="0.2">
      <c r="E247" s="218" t="s">
        <v>2306</v>
      </c>
      <c r="F247" s="130"/>
      <c r="G247" s="67" t="e">
        <f t="shared" si="225"/>
        <v>#N/A</v>
      </c>
      <c r="H247" s="396" t="e">
        <f t="shared" si="226"/>
        <v>#N/A</v>
      </c>
      <c r="I247" s="396" t="e">
        <f t="shared" si="227"/>
        <v>#N/A</v>
      </c>
      <c r="J247" s="396" t="e">
        <f t="shared" si="228"/>
        <v>#N/A</v>
      </c>
      <c r="K247" s="398" t="e">
        <f t="shared" si="229"/>
        <v>#N/A</v>
      </c>
      <c r="L247" s="396" t="e">
        <f t="shared" si="230"/>
        <v>#N/A</v>
      </c>
      <c r="M247" s="398" t="e">
        <f t="shared" si="231"/>
        <v>#N/A</v>
      </c>
      <c r="N247" s="396" t="e">
        <f t="shared" si="232"/>
        <v>#N/A</v>
      </c>
      <c r="O247" s="396" t="e">
        <f t="shared" si="233"/>
        <v>#N/A</v>
      </c>
      <c r="P247" s="396" t="e">
        <f t="shared" si="234"/>
        <v>#N/A</v>
      </c>
      <c r="Q247" s="396" t="e">
        <f t="shared" si="235"/>
        <v>#N/A</v>
      </c>
      <c r="R247" s="396" t="e">
        <f t="shared" si="236"/>
        <v>#N/A</v>
      </c>
      <c r="S247" s="396" t="e">
        <f t="shared" si="237"/>
        <v>#N/A</v>
      </c>
      <c r="T247" s="397" t="e">
        <f t="shared" si="238"/>
        <v>#N/A</v>
      </c>
      <c r="U247" s="396" t="e">
        <f t="shared" si="239"/>
        <v>#N/A</v>
      </c>
      <c r="V247" s="396" t="e">
        <f t="shared" si="240"/>
        <v>#N/A</v>
      </c>
      <c r="W247" s="206" t="e">
        <f t="shared" si="212"/>
        <v>#N/A</v>
      </c>
      <c r="X247" s="207" t="e">
        <f t="shared" si="213"/>
        <v>#N/A</v>
      </c>
      <c r="Y247" s="207" t="e">
        <f t="shared" si="214"/>
        <v>#N/A</v>
      </c>
      <c r="Z247" s="233" t="e">
        <f t="shared" si="215"/>
        <v>#N/A</v>
      </c>
      <c r="AA247" s="208" t="e">
        <f t="shared" si="200"/>
        <v>#N/A</v>
      </c>
      <c r="AB247" s="233" t="e">
        <f t="shared" si="216"/>
        <v>#N/A</v>
      </c>
      <c r="AC247" s="233" t="e">
        <f t="shared" si="217"/>
        <v>#N/A</v>
      </c>
      <c r="AD247" s="233" t="e">
        <f t="shared" si="218"/>
        <v>#N/A</v>
      </c>
      <c r="AE247" s="233" t="e">
        <f t="shared" si="219"/>
        <v>#N/A</v>
      </c>
      <c r="AF247" s="238" t="e">
        <f t="shared" si="220"/>
        <v>#N/A</v>
      </c>
      <c r="AG247" s="238" t="e">
        <f t="shared" si="221"/>
        <v>#N/A</v>
      </c>
      <c r="AH247" s="238" t="e">
        <f t="shared" si="222"/>
        <v>#N/A</v>
      </c>
      <c r="AI247" s="261" t="e">
        <f t="shared" si="223"/>
        <v>#N/A</v>
      </c>
      <c r="AJ247" s="233" t="e">
        <f t="shared" si="224"/>
        <v>#N/A</v>
      </c>
    </row>
    <row r="248" spans="5:36" s="120" customFormat="1" ht="35.25" customHeight="1" x14ac:dyDescent="0.2">
      <c r="E248" s="218" t="s">
        <v>2306</v>
      </c>
      <c r="F248" s="130"/>
      <c r="G248" s="67" t="e">
        <f t="shared" si="225"/>
        <v>#N/A</v>
      </c>
      <c r="H248" s="396" t="e">
        <f t="shared" si="226"/>
        <v>#N/A</v>
      </c>
      <c r="I248" s="396" t="e">
        <f t="shared" si="227"/>
        <v>#N/A</v>
      </c>
      <c r="J248" s="396" t="e">
        <f t="shared" si="228"/>
        <v>#N/A</v>
      </c>
      <c r="K248" s="398" t="e">
        <f t="shared" si="229"/>
        <v>#N/A</v>
      </c>
      <c r="L248" s="396" t="e">
        <f t="shared" si="230"/>
        <v>#N/A</v>
      </c>
      <c r="M248" s="398" t="e">
        <f t="shared" si="231"/>
        <v>#N/A</v>
      </c>
      <c r="N248" s="396" t="e">
        <f t="shared" si="232"/>
        <v>#N/A</v>
      </c>
      <c r="O248" s="396" t="e">
        <f t="shared" si="233"/>
        <v>#N/A</v>
      </c>
      <c r="P248" s="396" t="e">
        <f t="shared" si="234"/>
        <v>#N/A</v>
      </c>
      <c r="Q248" s="396" t="e">
        <f t="shared" si="235"/>
        <v>#N/A</v>
      </c>
      <c r="R248" s="396" t="e">
        <f t="shared" si="236"/>
        <v>#N/A</v>
      </c>
      <c r="S248" s="396" t="e">
        <f t="shared" si="237"/>
        <v>#N/A</v>
      </c>
      <c r="T248" s="397" t="e">
        <f t="shared" si="238"/>
        <v>#N/A</v>
      </c>
      <c r="U248" s="396" t="e">
        <f t="shared" si="239"/>
        <v>#N/A</v>
      </c>
      <c r="V248" s="396" t="e">
        <f t="shared" si="240"/>
        <v>#N/A</v>
      </c>
      <c r="W248" s="206" t="e">
        <f t="shared" si="212"/>
        <v>#N/A</v>
      </c>
      <c r="X248" s="207" t="e">
        <f t="shared" si="213"/>
        <v>#N/A</v>
      </c>
      <c r="Y248" s="207" t="e">
        <f t="shared" si="214"/>
        <v>#N/A</v>
      </c>
      <c r="Z248" s="233" t="e">
        <f t="shared" si="215"/>
        <v>#N/A</v>
      </c>
      <c r="AA248" s="208" t="e">
        <f t="shared" si="200"/>
        <v>#N/A</v>
      </c>
      <c r="AB248" s="233" t="e">
        <f t="shared" si="216"/>
        <v>#N/A</v>
      </c>
      <c r="AC248" s="233" t="e">
        <f t="shared" si="217"/>
        <v>#N/A</v>
      </c>
      <c r="AD248" s="233" t="e">
        <f t="shared" si="218"/>
        <v>#N/A</v>
      </c>
      <c r="AE248" s="233" t="e">
        <f t="shared" si="219"/>
        <v>#N/A</v>
      </c>
      <c r="AF248" s="238" t="e">
        <f t="shared" si="220"/>
        <v>#N/A</v>
      </c>
      <c r="AG248" s="238" t="e">
        <f t="shared" si="221"/>
        <v>#N/A</v>
      </c>
      <c r="AH248" s="238" t="e">
        <f t="shared" si="222"/>
        <v>#N/A</v>
      </c>
      <c r="AI248" s="261" t="e">
        <f t="shared" si="223"/>
        <v>#N/A</v>
      </c>
      <c r="AJ248" s="233" t="e">
        <f t="shared" si="224"/>
        <v>#N/A</v>
      </c>
    </row>
    <row r="249" spans="5:36" s="120" customFormat="1" ht="35.25" customHeight="1" x14ac:dyDescent="0.2">
      <c r="E249" s="218" t="s">
        <v>2306</v>
      </c>
      <c r="F249" s="130"/>
      <c r="G249" s="67" t="e">
        <f t="shared" si="225"/>
        <v>#N/A</v>
      </c>
      <c r="H249" s="396" t="e">
        <f t="shared" si="226"/>
        <v>#N/A</v>
      </c>
      <c r="I249" s="396" t="e">
        <f t="shared" si="227"/>
        <v>#N/A</v>
      </c>
      <c r="J249" s="396" t="e">
        <f t="shared" si="228"/>
        <v>#N/A</v>
      </c>
      <c r="K249" s="398" t="e">
        <f t="shared" si="229"/>
        <v>#N/A</v>
      </c>
      <c r="L249" s="396" t="e">
        <f t="shared" si="230"/>
        <v>#N/A</v>
      </c>
      <c r="M249" s="398" t="e">
        <f t="shared" si="231"/>
        <v>#N/A</v>
      </c>
      <c r="N249" s="396" t="e">
        <f t="shared" si="232"/>
        <v>#N/A</v>
      </c>
      <c r="O249" s="396" t="e">
        <f t="shared" si="233"/>
        <v>#N/A</v>
      </c>
      <c r="P249" s="396" t="e">
        <f t="shared" si="234"/>
        <v>#N/A</v>
      </c>
      <c r="Q249" s="396" t="e">
        <f t="shared" si="235"/>
        <v>#N/A</v>
      </c>
      <c r="R249" s="396" t="e">
        <f t="shared" si="236"/>
        <v>#N/A</v>
      </c>
      <c r="S249" s="396" t="e">
        <f t="shared" si="237"/>
        <v>#N/A</v>
      </c>
      <c r="T249" s="397" t="e">
        <f t="shared" si="238"/>
        <v>#N/A</v>
      </c>
      <c r="U249" s="396" t="e">
        <f t="shared" si="239"/>
        <v>#N/A</v>
      </c>
      <c r="V249" s="396" t="e">
        <f t="shared" si="240"/>
        <v>#N/A</v>
      </c>
      <c r="W249" s="206" t="e">
        <f t="shared" si="212"/>
        <v>#N/A</v>
      </c>
      <c r="X249" s="207" t="e">
        <f t="shared" si="213"/>
        <v>#N/A</v>
      </c>
      <c r="Y249" s="207" t="e">
        <f t="shared" si="214"/>
        <v>#N/A</v>
      </c>
      <c r="Z249" s="233" t="e">
        <f t="shared" si="215"/>
        <v>#N/A</v>
      </c>
      <c r="AA249" s="208" t="e">
        <f t="shared" si="200"/>
        <v>#N/A</v>
      </c>
      <c r="AB249" s="233" t="e">
        <f t="shared" si="216"/>
        <v>#N/A</v>
      </c>
      <c r="AC249" s="233" t="e">
        <f t="shared" si="217"/>
        <v>#N/A</v>
      </c>
      <c r="AD249" s="233" t="e">
        <f t="shared" si="218"/>
        <v>#N/A</v>
      </c>
      <c r="AE249" s="233" t="e">
        <f t="shared" si="219"/>
        <v>#N/A</v>
      </c>
      <c r="AF249" s="238" t="e">
        <f t="shared" si="220"/>
        <v>#N/A</v>
      </c>
      <c r="AG249" s="238" t="e">
        <f t="shared" si="221"/>
        <v>#N/A</v>
      </c>
      <c r="AH249" s="238" t="e">
        <f t="shared" si="222"/>
        <v>#N/A</v>
      </c>
      <c r="AI249" s="261" t="e">
        <f t="shared" si="223"/>
        <v>#N/A</v>
      </c>
      <c r="AJ249" s="233" t="e">
        <f t="shared" si="224"/>
        <v>#N/A</v>
      </c>
    </row>
    <row r="250" spans="5:36" s="120" customFormat="1" ht="35.25" customHeight="1" x14ac:dyDescent="0.2">
      <c r="E250" s="218" t="s">
        <v>2306</v>
      </c>
      <c r="F250" s="130"/>
      <c r="G250" s="67" t="e">
        <f t="shared" si="225"/>
        <v>#N/A</v>
      </c>
      <c r="H250" s="396" t="e">
        <f t="shared" si="226"/>
        <v>#N/A</v>
      </c>
      <c r="I250" s="396" t="e">
        <f t="shared" si="227"/>
        <v>#N/A</v>
      </c>
      <c r="J250" s="396" t="e">
        <f t="shared" si="228"/>
        <v>#N/A</v>
      </c>
      <c r="K250" s="398" t="e">
        <f t="shared" si="229"/>
        <v>#N/A</v>
      </c>
      <c r="L250" s="396" t="e">
        <f t="shared" si="230"/>
        <v>#N/A</v>
      </c>
      <c r="M250" s="398" t="e">
        <f t="shared" si="231"/>
        <v>#N/A</v>
      </c>
      <c r="N250" s="396" t="e">
        <f t="shared" si="232"/>
        <v>#N/A</v>
      </c>
      <c r="O250" s="396" t="e">
        <f t="shared" si="233"/>
        <v>#N/A</v>
      </c>
      <c r="P250" s="396" t="e">
        <f t="shared" si="234"/>
        <v>#N/A</v>
      </c>
      <c r="Q250" s="396" t="e">
        <f t="shared" si="235"/>
        <v>#N/A</v>
      </c>
      <c r="R250" s="396" t="e">
        <f t="shared" si="236"/>
        <v>#N/A</v>
      </c>
      <c r="S250" s="396" t="e">
        <f t="shared" si="237"/>
        <v>#N/A</v>
      </c>
      <c r="T250" s="397" t="e">
        <f t="shared" si="238"/>
        <v>#N/A</v>
      </c>
      <c r="U250" s="396" t="e">
        <f t="shared" si="239"/>
        <v>#N/A</v>
      </c>
      <c r="V250" s="396" t="e">
        <f t="shared" si="240"/>
        <v>#N/A</v>
      </c>
      <c r="W250" s="206" t="e">
        <f t="shared" si="212"/>
        <v>#N/A</v>
      </c>
      <c r="X250" s="207" t="e">
        <f t="shared" si="213"/>
        <v>#N/A</v>
      </c>
      <c r="Y250" s="207" t="e">
        <f t="shared" si="214"/>
        <v>#N/A</v>
      </c>
      <c r="Z250" s="233" t="e">
        <f t="shared" si="215"/>
        <v>#N/A</v>
      </c>
      <c r="AA250" s="208" t="e">
        <f t="shared" si="200"/>
        <v>#N/A</v>
      </c>
      <c r="AB250" s="233" t="e">
        <f t="shared" si="216"/>
        <v>#N/A</v>
      </c>
      <c r="AC250" s="233" t="e">
        <f t="shared" si="217"/>
        <v>#N/A</v>
      </c>
      <c r="AD250" s="233" t="e">
        <f t="shared" si="218"/>
        <v>#N/A</v>
      </c>
      <c r="AE250" s="233" t="e">
        <f t="shared" si="219"/>
        <v>#N/A</v>
      </c>
      <c r="AF250" s="238" t="e">
        <f t="shared" si="220"/>
        <v>#N/A</v>
      </c>
      <c r="AG250" s="238" t="e">
        <f t="shared" si="221"/>
        <v>#N/A</v>
      </c>
      <c r="AH250" s="238" t="e">
        <f t="shared" si="222"/>
        <v>#N/A</v>
      </c>
      <c r="AI250" s="261" t="e">
        <f t="shared" si="223"/>
        <v>#N/A</v>
      </c>
      <c r="AJ250" s="233" t="e">
        <f t="shared" si="224"/>
        <v>#N/A</v>
      </c>
    </row>
    <row r="251" spans="5:36" s="120" customFormat="1" ht="35.25" customHeight="1" x14ac:dyDescent="0.2">
      <c r="E251" s="218" t="s">
        <v>2306</v>
      </c>
      <c r="F251" s="130"/>
      <c r="G251" s="67" t="e">
        <f t="shared" si="225"/>
        <v>#N/A</v>
      </c>
      <c r="H251" s="396" t="e">
        <f t="shared" si="226"/>
        <v>#N/A</v>
      </c>
      <c r="I251" s="396" t="e">
        <f t="shared" si="227"/>
        <v>#N/A</v>
      </c>
      <c r="J251" s="396" t="e">
        <f t="shared" si="228"/>
        <v>#N/A</v>
      </c>
      <c r="K251" s="398" t="e">
        <f t="shared" si="229"/>
        <v>#N/A</v>
      </c>
      <c r="L251" s="396" t="e">
        <f t="shared" si="230"/>
        <v>#N/A</v>
      </c>
      <c r="M251" s="398" t="e">
        <f t="shared" si="231"/>
        <v>#N/A</v>
      </c>
      <c r="N251" s="396" t="e">
        <f t="shared" si="232"/>
        <v>#N/A</v>
      </c>
      <c r="O251" s="396" t="e">
        <f t="shared" si="233"/>
        <v>#N/A</v>
      </c>
      <c r="P251" s="396" t="e">
        <f t="shared" si="234"/>
        <v>#N/A</v>
      </c>
      <c r="Q251" s="396" t="e">
        <f t="shared" si="235"/>
        <v>#N/A</v>
      </c>
      <c r="R251" s="396" t="e">
        <f t="shared" si="236"/>
        <v>#N/A</v>
      </c>
      <c r="S251" s="396" t="e">
        <f t="shared" si="237"/>
        <v>#N/A</v>
      </c>
      <c r="T251" s="397" t="e">
        <f t="shared" si="238"/>
        <v>#N/A</v>
      </c>
      <c r="U251" s="396" t="e">
        <f t="shared" si="239"/>
        <v>#N/A</v>
      </c>
      <c r="V251" s="396" t="e">
        <f t="shared" si="240"/>
        <v>#N/A</v>
      </c>
      <c r="W251" s="206" t="e">
        <f t="shared" si="212"/>
        <v>#N/A</v>
      </c>
      <c r="X251" s="207" t="e">
        <f t="shared" si="213"/>
        <v>#N/A</v>
      </c>
      <c r="Y251" s="207" t="e">
        <f t="shared" si="214"/>
        <v>#N/A</v>
      </c>
      <c r="Z251" s="233" t="e">
        <f t="shared" si="215"/>
        <v>#N/A</v>
      </c>
      <c r="AA251" s="208" t="e">
        <f t="shared" si="200"/>
        <v>#N/A</v>
      </c>
      <c r="AB251" s="233" t="e">
        <f t="shared" si="216"/>
        <v>#N/A</v>
      </c>
      <c r="AC251" s="233" t="e">
        <f t="shared" si="217"/>
        <v>#N/A</v>
      </c>
      <c r="AD251" s="233" t="e">
        <f t="shared" si="218"/>
        <v>#N/A</v>
      </c>
      <c r="AE251" s="233" t="e">
        <f t="shared" si="219"/>
        <v>#N/A</v>
      </c>
      <c r="AF251" s="238" t="e">
        <f t="shared" si="220"/>
        <v>#N/A</v>
      </c>
      <c r="AG251" s="238" t="e">
        <f t="shared" si="221"/>
        <v>#N/A</v>
      </c>
      <c r="AH251" s="238" t="e">
        <f t="shared" si="222"/>
        <v>#N/A</v>
      </c>
      <c r="AI251" s="261" t="e">
        <f t="shared" si="223"/>
        <v>#N/A</v>
      </c>
      <c r="AJ251" s="233" t="e">
        <f t="shared" si="224"/>
        <v>#N/A</v>
      </c>
    </row>
    <row r="252" spans="5:36" s="120" customFormat="1" ht="35.25" customHeight="1" x14ac:dyDescent="0.2">
      <c r="E252" s="218" t="s">
        <v>2306</v>
      </c>
      <c r="F252" s="130"/>
      <c r="G252" s="67" t="e">
        <f t="shared" si="225"/>
        <v>#N/A</v>
      </c>
      <c r="H252" s="396" t="e">
        <f t="shared" si="226"/>
        <v>#N/A</v>
      </c>
      <c r="I252" s="396" t="e">
        <f t="shared" si="227"/>
        <v>#N/A</v>
      </c>
      <c r="J252" s="396" t="e">
        <f t="shared" si="228"/>
        <v>#N/A</v>
      </c>
      <c r="K252" s="398" t="e">
        <f t="shared" si="229"/>
        <v>#N/A</v>
      </c>
      <c r="L252" s="396" t="e">
        <f t="shared" si="230"/>
        <v>#N/A</v>
      </c>
      <c r="M252" s="398" t="e">
        <f t="shared" si="231"/>
        <v>#N/A</v>
      </c>
      <c r="N252" s="396" t="e">
        <f t="shared" si="232"/>
        <v>#N/A</v>
      </c>
      <c r="O252" s="396" t="e">
        <f t="shared" si="233"/>
        <v>#N/A</v>
      </c>
      <c r="P252" s="396" t="e">
        <f t="shared" si="234"/>
        <v>#N/A</v>
      </c>
      <c r="Q252" s="396" t="e">
        <f t="shared" si="235"/>
        <v>#N/A</v>
      </c>
      <c r="R252" s="396" t="e">
        <f t="shared" si="236"/>
        <v>#N/A</v>
      </c>
      <c r="S252" s="396" t="e">
        <f t="shared" si="237"/>
        <v>#N/A</v>
      </c>
      <c r="T252" s="397" t="e">
        <f t="shared" si="238"/>
        <v>#N/A</v>
      </c>
      <c r="U252" s="396" t="e">
        <f t="shared" si="239"/>
        <v>#N/A</v>
      </c>
      <c r="V252" s="396" t="e">
        <f t="shared" si="240"/>
        <v>#N/A</v>
      </c>
      <c r="W252" s="206" t="e">
        <f t="shared" si="212"/>
        <v>#N/A</v>
      </c>
      <c r="X252" s="207" t="e">
        <f t="shared" si="213"/>
        <v>#N/A</v>
      </c>
      <c r="Y252" s="207" t="e">
        <f t="shared" si="214"/>
        <v>#N/A</v>
      </c>
      <c r="Z252" s="233" t="e">
        <f t="shared" si="215"/>
        <v>#N/A</v>
      </c>
      <c r="AA252" s="208" t="e">
        <f t="shared" si="200"/>
        <v>#N/A</v>
      </c>
      <c r="AB252" s="233" t="e">
        <f t="shared" si="216"/>
        <v>#N/A</v>
      </c>
      <c r="AC252" s="233" t="e">
        <f t="shared" si="217"/>
        <v>#N/A</v>
      </c>
      <c r="AD252" s="233" t="e">
        <f t="shared" si="218"/>
        <v>#N/A</v>
      </c>
      <c r="AE252" s="233" t="e">
        <f t="shared" si="219"/>
        <v>#N/A</v>
      </c>
      <c r="AF252" s="238" t="e">
        <f t="shared" si="220"/>
        <v>#N/A</v>
      </c>
      <c r="AG252" s="238" t="e">
        <f t="shared" si="221"/>
        <v>#N/A</v>
      </c>
      <c r="AH252" s="238" t="e">
        <f t="shared" si="222"/>
        <v>#N/A</v>
      </c>
      <c r="AI252" s="261" t="e">
        <f t="shared" si="223"/>
        <v>#N/A</v>
      </c>
      <c r="AJ252" s="233" t="e">
        <f t="shared" si="224"/>
        <v>#N/A</v>
      </c>
    </row>
    <row r="253" spans="5:36" s="120" customFormat="1" ht="35.25" customHeight="1" x14ac:dyDescent="0.2">
      <c r="E253" s="218" t="s">
        <v>2306</v>
      </c>
      <c r="F253" s="130"/>
      <c r="G253" s="67" t="e">
        <f t="shared" si="225"/>
        <v>#N/A</v>
      </c>
      <c r="H253" s="396" t="e">
        <f t="shared" si="226"/>
        <v>#N/A</v>
      </c>
      <c r="I253" s="396" t="e">
        <f t="shared" si="227"/>
        <v>#N/A</v>
      </c>
      <c r="J253" s="396" t="e">
        <f t="shared" si="228"/>
        <v>#N/A</v>
      </c>
      <c r="K253" s="398" t="e">
        <f t="shared" si="229"/>
        <v>#N/A</v>
      </c>
      <c r="L253" s="396" t="e">
        <f t="shared" si="230"/>
        <v>#N/A</v>
      </c>
      <c r="M253" s="398" t="e">
        <f t="shared" si="231"/>
        <v>#N/A</v>
      </c>
      <c r="N253" s="396" t="e">
        <f t="shared" si="232"/>
        <v>#N/A</v>
      </c>
      <c r="O253" s="396" t="e">
        <f t="shared" si="233"/>
        <v>#N/A</v>
      </c>
      <c r="P253" s="396" t="e">
        <f t="shared" si="234"/>
        <v>#N/A</v>
      </c>
      <c r="Q253" s="396" t="e">
        <f t="shared" si="235"/>
        <v>#N/A</v>
      </c>
      <c r="R253" s="396" t="e">
        <f t="shared" si="236"/>
        <v>#N/A</v>
      </c>
      <c r="S253" s="396" t="e">
        <f t="shared" si="237"/>
        <v>#N/A</v>
      </c>
      <c r="T253" s="397" t="e">
        <f t="shared" si="238"/>
        <v>#N/A</v>
      </c>
      <c r="U253" s="396" t="e">
        <f t="shared" si="239"/>
        <v>#N/A</v>
      </c>
      <c r="V253" s="396" t="e">
        <f t="shared" si="240"/>
        <v>#N/A</v>
      </c>
      <c r="W253" s="206" t="e">
        <f t="shared" si="212"/>
        <v>#N/A</v>
      </c>
      <c r="X253" s="207" t="e">
        <f t="shared" si="213"/>
        <v>#N/A</v>
      </c>
      <c r="Y253" s="207" t="e">
        <f t="shared" si="214"/>
        <v>#N/A</v>
      </c>
      <c r="Z253" s="233" t="e">
        <f t="shared" si="215"/>
        <v>#N/A</v>
      </c>
      <c r="AA253" s="208" t="e">
        <f t="shared" si="200"/>
        <v>#N/A</v>
      </c>
      <c r="AB253" s="233" t="e">
        <f t="shared" si="216"/>
        <v>#N/A</v>
      </c>
      <c r="AC253" s="233" t="e">
        <f t="shared" si="217"/>
        <v>#N/A</v>
      </c>
      <c r="AD253" s="233" t="e">
        <f t="shared" si="218"/>
        <v>#N/A</v>
      </c>
      <c r="AE253" s="233" t="e">
        <f t="shared" si="219"/>
        <v>#N/A</v>
      </c>
      <c r="AF253" s="238" t="e">
        <f t="shared" si="220"/>
        <v>#N/A</v>
      </c>
      <c r="AG253" s="238" t="e">
        <f t="shared" si="221"/>
        <v>#N/A</v>
      </c>
      <c r="AH253" s="238" t="e">
        <f t="shared" si="222"/>
        <v>#N/A</v>
      </c>
      <c r="AI253" s="261" t="e">
        <f t="shared" si="223"/>
        <v>#N/A</v>
      </c>
      <c r="AJ253" s="233" t="e">
        <f t="shared" si="224"/>
        <v>#N/A</v>
      </c>
    </row>
    <row r="254" spans="5:36" s="120" customFormat="1" ht="35.25" customHeight="1" x14ac:dyDescent="0.2">
      <c r="E254" s="218" t="s">
        <v>2306</v>
      </c>
      <c r="F254" s="130"/>
      <c r="G254" s="67" t="e">
        <f t="shared" si="225"/>
        <v>#N/A</v>
      </c>
      <c r="H254" s="396" t="e">
        <f t="shared" si="226"/>
        <v>#N/A</v>
      </c>
      <c r="I254" s="396" t="e">
        <f t="shared" si="227"/>
        <v>#N/A</v>
      </c>
      <c r="J254" s="396" t="e">
        <f t="shared" si="228"/>
        <v>#N/A</v>
      </c>
      <c r="K254" s="398" t="e">
        <f t="shared" si="229"/>
        <v>#N/A</v>
      </c>
      <c r="L254" s="396" t="e">
        <f t="shared" si="230"/>
        <v>#N/A</v>
      </c>
      <c r="M254" s="398" t="e">
        <f t="shared" si="231"/>
        <v>#N/A</v>
      </c>
      <c r="N254" s="396" t="e">
        <f t="shared" si="232"/>
        <v>#N/A</v>
      </c>
      <c r="O254" s="396" t="e">
        <f t="shared" si="233"/>
        <v>#N/A</v>
      </c>
      <c r="P254" s="396" t="e">
        <f t="shared" si="234"/>
        <v>#N/A</v>
      </c>
      <c r="Q254" s="396" t="e">
        <f t="shared" si="235"/>
        <v>#N/A</v>
      </c>
      <c r="R254" s="396" t="e">
        <f t="shared" si="236"/>
        <v>#N/A</v>
      </c>
      <c r="S254" s="396" t="e">
        <f t="shared" si="237"/>
        <v>#N/A</v>
      </c>
      <c r="T254" s="397" t="e">
        <f t="shared" si="238"/>
        <v>#N/A</v>
      </c>
      <c r="U254" s="396" t="e">
        <f t="shared" si="239"/>
        <v>#N/A</v>
      </c>
      <c r="V254" s="396" t="e">
        <f t="shared" si="240"/>
        <v>#N/A</v>
      </c>
      <c r="W254" s="206" t="e">
        <f t="shared" si="212"/>
        <v>#N/A</v>
      </c>
      <c r="X254" s="207" t="e">
        <f t="shared" si="213"/>
        <v>#N/A</v>
      </c>
      <c r="Y254" s="207" t="e">
        <f t="shared" si="214"/>
        <v>#N/A</v>
      </c>
      <c r="Z254" s="233" t="e">
        <f t="shared" si="215"/>
        <v>#N/A</v>
      </c>
      <c r="AA254" s="208" t="e">
        <f t="shared" si="200"/>
        <v>#N/A</v>
      </c>
      <c r="AB254" s="233" t="e">
        <f t="shared" si="216"/>
        <v>#N/A</v>
      </c>
      <c r="AC254" s="233" t="e">
        <f t="shared" si="217"/>
        <v>#N/A</v>
      </c>
      <c r="AD254" s="233" t="e">
        <f t="shared" si="218"/>
        <v>#N/A</v>
      </c>
      <c r="AE254" s="233" t="e">
        <f t="shared" si="219"/>
        <v>#N/A</v>
      </c>
      <c r="AF254" s="238" t="e">
        <f t="shared" si="220"/>
        <v>#N/A</v>
      </c>
      <c r="AG254" s="238" t="e">
        <f t="shared" si="221"/>
        <v>#N/A</v>
      </c>
      <c r="AH254" s="238" t="e">
        <f t="shared" si="222"/>
        <v>#N/A</v>
      </c>
      <c r="AI254" s="261" t="e">
        <f t="shared" si="223"/>
        <v>#N/A</v>
      </c>
      <c r="AJ254" s="233" t="e">
        <f t="shared" si="224"/>
        <v>#N/A</v>
      </c>
    </row>
    <row r="255" spans="5:36" s="120" customFormat="1" ht="35.25" customHeight="1" x14ac:dyDescent="0.2">
      <c r="E255" s="218" t="s">
        <v>2306</v>
      </c>
      <c r="F255" s="130"/>
      <c r="G255" s="67" t="e">
        <f t="shared" si="225"/>
        <v>#N/A</v>
      </c>
      <c r="H255" s="396" t="e">
        <f t="shared" si="226"/>
        <v>#N/A</v>
      </c>
      <c r="I255" s="396" t="e">
        <f t="shared" si="227"/>
        <v>#N/A</v>
      </c>
      <c r="J255" s="396" t="e">
        <f t="shared" si="228"/>
        <v>#N/A</v>
      </c>
      <c r="K255" s="398" t="e">
        <f t="shared" si="229"/>
        <v>#N/A</v>
      </c>
      <c r="L255" s="396" t="e">
        <f t="shared" si="230"/>
        <v>#N/A</v>
      </c>
      <c r="M255" s="398" t="e">
        <f t="shared" si="231"/>
        <v>#N/A</v>
      </c>
      <c r="N255" s="396" t="e">
        <f t="shared" si="232"/>
        <v>#N/A</v>
      </c>
      <c r="O255" s="396" t="e">
        <f t="shared" si="233"/>
        <v>#N/A</v>
      </c>
      <c r="P255" s="396" t="e">
        <f t="shared" si="234"/>
        <v>#N/A</v>
      </c>
      <c r="Q255" s="396" t="e">
        <f t="shared" si="235"/>
        <v>#N/A</v>
      </c>
      <c r="R255" s="396" t="e">
        <f t="shared" si="236"/>
        <v>#N/A</v>
      </c>
      <c r="S255" s="396" t="e">
        <f t="shared" si="237"/>
        <v>#N/A</v>
      </c>
      <c r="T255" s="397" t="e">
        <f t="shared" si="238"/>
        <v>#N/A</v>
      </c>
      <c r="U255" s="396" t="e">
        <f t="shared" si="239"/>
        <v>#N/A</v>
      </c>
      <c r="V255" s="396" t="e">
        <f t="shared" si="240"/>
        <v>#N/A</v>
      </c>
      <c r="W255" s="206" t="e">
        <f t="shared" si="212"/>
        <v>#N/A</v>
      </c>
      <c r="X255" s="207" t="e">
        <f t="shared" si="213"/>
        <v>#N/A</v>
      </c>
      <c r="Y255" s="207" t="e">
        <f t="shared" si="214"/>
        <v>#N/A</v>
      </c>
      <c r="Z255" s="233" t="e">
        <f t="shared" si="215"/>
        <v>#N/A</v>
      </c>
      <c r="AA255" s="208" t="e">
        <f t="shared" si="200"/>
        <v>#N/A</v>
      </c>
      <c r="AB255" s="233" t="e">
        <f t="shared" si="216"/>
        <v>#N/A</v>
      </c>
      <c r="AC255" s="233" t="e">
        <f t="shared" si="217"/>
        <v>#N/A</v>
      </c>
      <c r="AD255" s="233" t="e">
        <f t="shared" si="218"/>
        <v>#N/A</v>
      </c>
      <c r="AE255" s="233" t="e">
        <f t="shared" si="219"/>
        <v>#N/A</v>
      </c>
      <c r="AF255" s="238" t="e">
        <f t="shared" si="220"/>
        <v>#N/A</v>
      </c>
      <c r="AG255" s="238" t="e">
        <f t="shared" si="221"/>
        <v>#N/A</v>
      </c>
      <c r="AH255" s="238" t="e">
        <f t="shared" si="222"/>
        <v>#N/A</v>
      </c>
      <c r="AI255" s="261" t="e">
        <f t="shared" si="223"/>
        <v>#N/A</v>
      </c>
      <c r="AJ255" s="233" t="e">
        <f t="shared" si="224"/>
        <v>#N/A</v>
      </c>
    </row>
    <row r="256" spans="5:36" s="120" customFormat="1" ht="35.25" customHeight="1" x14ac:dyDescent="0.2">
      <c r="E256" s="218" t="s">
        <v>2306</v>
      </c>
      <c r="F256" s="130"/>
      <c r="G256" s="67" t="e">
        <f t="shared" si="225"/>
        <v>#N/A</v>
      </c>
      <c r="H256" s="396" t="e">
        <f t="shared" si="226"/>
        <v>#N/A</v>
      </c>
      <c r="I256" s="396" t="e">
        <f t="shared" si="227"/>
        <v>#N/A</v>
      </c>
      <c r="J256" s="396" t="e">
        <f t="shared" si="228"/>
        <v>#N/A</v>
      </c>
      <c r="K256" s="398" t="e">
        <f t="shared" si="229"/>
        <v>#N/A</v>
      </c>
      <c r="L256" s="396" t="e">
        <f t="shared" si="230"/>
        <v>#N/A</v>
      </c>
      <c r="M256" s="398" t="e">
        <f t="shared" si="231"/>
        <v>#N/A</v>
      </c>
      <c r="N256" s="396" t="e">
        <f t="shared" si="232"/>
        <v>#N/A</v>
      </c>
      <c r="O256" s="396" t="e">
        <f t="shared" si="233"/>
        <v>#N/A</v>
      </c>
      <c r="P256" s="396" t="e">
        <f t="shared" si="234"/>
        <v>#N/A</v>
      </c>
      <c r="Q256" s="396" t="e">
        <f t="shared" si="235"/>
        <v>#N/A</v>
      </c>
      <c r="R256" s="396" t="e">
        <f t="shared" si="236"/>
        <v>#N/A</v>
      </c>
      <c r="S256" s="396" t="e">
        <f t="shared" si="237"/>
        <v>#N/A</v>
      </c>
      <c r="T256" s="397" t="e">
        <f t="shared" si="238"/>
        <v>#N/A</v>
      </c>
      <c r="U256" s="396" t="e">
        <f t="shared" si="239"/>
        <v>#N/A</v>
      </c>
      <c r="V256" s="396" t="e">
        <f t="shared" si="240"/>
        <v>#N/A</v>
      </c>
      <c r="W256" s="206" t="e">
        <f t="shared" si="212"/>
        <v>#N/A</v>
      </c>
      <c r="X256" s="207" t="e">
        <f t="shared" si="213"/>
        <v>#N/A</v>
      </c>
      <c r="Y256" s="207" t="e">
        <f t="shared" si="214"/>
        <v>#N/A</v>
      </c>
      <c r="Z256" s="233" t="e">
        <f t="shared" si="215"/>
        <v>#N/A</v>
      </c>
      <c r="AA256" s="208" t="e">
        <f t="shared" si="200"/>
        <v>#N/A</v>
      </c>
      <c r="AB256" s="233" t="e">
        <f t="shared" si="216"/>
        <v>#N/A</v>
      </c>
      <c r="AC256" s="233" t="e">
        <f t="shared" si="217"/>
        <v>#N/A</v>
      </c>
      <c r="AD256" s="233" t="e">
        <f t="shared" si="218"/>
        <v>#N/A</v>
      </c>
      <c r="AE256" s="233" t="e">
        <f t="shared" si="219"/>
        <v>#N/A</v>
      </c>
      <c r="AF256" s="238" t="e">
        <f t="shared" si="220"/>
        <v>#N/A</v>
      </c>
      <c r="AG256" s="238" t="e">
        <f t="shared" si="221"/>
        <v>#N/A</v>
      </c>
      <c r="AH256" s="238" t="e">
        <f t="shared" si="222"/>
        <v>#N/A</v>
      </c>
      <c r="AI256" s="261" t="e">
        <f t="shared" si="223"/>
        <v>#N/A</v>
      </c>
      <c r="AJ256" s="233" t="e">
        <f t="shared" si="224"/>
        <v>#N/A</v>
      </c>
    </row>
    <row r="257" spans="5:36" s="120" customFormat="1" ht="35.25" customHeight="1" x14ac:dyDescent="0.2">
      <c r="E257" s="218" t="s">
        <v>2306</v>
      </c>
      <c r="F257" s="130"/>
      <c r="G257" s="67" t="e">
        <f t="shared" si="225"/>
        <v>#N/A</v>
      </c>
      <c r="H257" s="396" t="e">
        <f t="shared" si="226"/>
        <v>#N/A</v>
      </c>
      <c r="I257" s="396" t="e">
        <f t="shared" si="227"/>
        <v>#N/A</v>
      </c>
      <c r="J257" s="396" t="e">
        <f t="shared" si="228"/>
        <v>#N/A</v>
      </c>
      <c r="K257" s="398" t="e">
        <f t="shared" si="229"/>
        <v>#N/A</v>
      </c>
      <c r="L257" s="396" t="e">
        <f t="shared" si="230"/>
        <v>#N/A</v>
      </c>
      <c r="M257" s="398" t="e">
        <f t="shared" si="231"/>
        <v>#N/A</v>
      </c>
      <c r="N257" s="396" t="e">
        <f t="shared" si="232"/>
        <v>#N/A</v>
      </c>
      <c r="O257" s="396" t="e">
        <f t="shared" si="233"/>
        <v>#N/A</v>
      </c>
      <c r="P257" s="396" t="e">
        <f t="shared" si="234"/>
        <v>#N/A</v>
      </c>
      <c r="Q257" s="396" t="e">
        <f t="shared" si="235"/>
        <v>#N/A</v>
      </c>
      <c r="R257" s="396" t="e">
        <f t="shared" si="236"/>
        <v>#N/A</v>
      </c>
      <c r="S257" s="396" t="e">
        <f t="shared" si="237"/>
        <v>#N/A</v>
      </c>
      <c r="T257" s="397" t="e">
        <f t="shared" si="238"/>
        <v>#N/A</v>
      </c>
      <c r="U257" s="396" t="e">
        <f t="shared" si="239"/>
        <v>#N/A</v>
      </c>
      <c r="V257" s="396" t="e">
        <f t="shared" si="240"/>
        <v>#N/A</v>
      </c>
      <c r="W257" s="206" t="e">
        <f t="shared" si="212"/>
        <v>#N/A</v>
      </c>
      <c r="X257" s="207" t="e">
        <f t="shared" si="213"/>
        <v>#N/A</v>
      </c>
      <c r="Y257" s="207" t="e">
        <f t="shared" si="214"/>
        <v>#N/A</v>
      </c>
      <c r="Z257" s="233" t="e">
        <f t="shared" si="215"/>
        <v>#N/A</v>
      </c>
      <c r="AA257" s="208" t="e">
        <f t="shared" si="200"/>
        <v>#N/A</v>
      </c>
      <c r="AB257" s="233" t="e">
        <f t="shared" si="216"/>
        <v>#N/A</v>
      </c>
      <c r="AC257" s="233" t="e">
        <f t="shared" si="217"/>
        <v>#N/A</v>
      </c>
      <c r="AD257" s="233" t="e">
        <f t="shared" si="218"/>
        <v>#N/A</v>
      </c>
      <c r="AE257" s="233" t="e">
        <f t="shared" si="219"/>
        <v>#N/A</v>
      </c>
      <c r="AF257" s="238" t="e">
        <f t="shared" si="220"/>
        <v>#N/A</v>
      </c>
      <c r="AG257" s="238" t="e">
        <f t="shared" si="221"/>
        <v>#N/A</v>
      </c>
      <c r="AH257" s="238" t="e">
        <f t="shared" si="222"/>
        <v>#N/A</v>
      </c>
      <c r="AI257" s="261" t="e">
        <f t="shared" si="223"/>
        <v>#N/A</v>
      </c>
      <c r="AJ257" s="233" t="e">
        <f t="shared" si="224"/>
        <v>#N/A</v>
      </c>
    </row>
    <row r="258" spans="5:36" s="120" customFormat="1" ht="35.25" customHeight="1" x14ac:dyDescent="0.2">
      <c r="E258" s="218" t="s">
        <v>2306</v>
      </c>
      <c r="F258" s="130"/>
      <c r="G258" s="67" t="e">
        <f t="shared" si="225"/>
        <v>#N/A</v>
      </c>
      <c r="H258" s="396" t="e">
        <f t="shared" si="226"/>
        <v>#N/A</v>
      </c>
      <c r="I258" s="396" t="e">
        <f t="shared" si="227"/>
        <v>#N/A</v>
      </c>
      <c r="J258" s="396" t="e">
        <f t="shared" si="228"/>
        <v>#N/A</v>
      </c>
      <c r="K258" s="398" t="e">
        <f t="shared" si="229"/>
        <v>#N/A</v>
      </c>
      <c r="L258" s="396" t="e">
        <f t="shared" si="230"/>
        <v>#N/A</v>
      </c>
      <c r="M258" s="398" t="e">
        <f t="shared" si="231"/>
        <v>#N/A</v>
      </c>
      <c r="N258" s="396" t="e">
        <f t="shared" si="232"/>
        <v>#N/A</v>
      </c>
      <c r="O258" s="396" t="e">
        <f t="shared" si="233"/>
        <v>#N/A</v>
      </c>
      <c r="P258" s="396" t="e">
        <f t="shared" si="234"/>
        <v>#N/A</v>
      </c>
      <c r="Q258" s="396" t="e">
        <f t="shared" si="235"/>
        <v>#N/A</v>
      </c>
      <c r="R258" s="396" t="e">
        <f t="shared" si="236"/>
        <v>#N/A</v>
      </c>
      <c r="S258" s="396" t="e">
        <f t="shared" si="237"/>
        <v>#N/A</v>
      </c>
      <c r="T258" s="397" t="e">
        <f t="shared" si="238"/>
        <v>#N/A</v>
      </c>
      <c r="U258" s="396" t="e">
        <f t="shared" si="239"/>
        <v>#N/A</v>
      </c>
      <c r="V258" s="396" t="e">
        <f t="shared" si="240"/>
        <v>#N/A</v>
      </c>
      <c r="W258" s="206" t="e">
        <f t="shared" si="212"/>
        <v>#N/A</v>
      </c>
      <c r="X258" s="207" t="e">
        <f t="shared" si="213"/>
        <v>#N/A</v>
      </c>
      <c r="Y258" s="207" t="e">
        <f t="shared" si="214"/>
        <v>#N/A</v>
      </c>
      <c r="Z258" s="233" t="e">
        <f t="shared" si="215"/>
        <v>#N/A</v>
      </c>
      <c r="AA258" s="208" t="e">
        <f t="shared" si="200"/>
        <v>#N/A</v>
      </c>
      <c r="AB258" s="233" t="e">
        <f t="shared" si="216"/>
        <v>#N/A</v>
      </c>
      <c r="AC258" s="233" t="e">
        <f t="shared" si="217"/>
        <v>#N/A</v>
      </c>
      <c r="AD258" s="233" t="e">
        <f t="shared" si="218"/>
        <v>#N/A</v>
      </c>
      <c r="AE258" s="233" t="e">
        <f t="shared" si="219"/>
        <v>#N/A</v>
      </c>
      <c r="AF258" s="238" t="e">
        <f t="shared" si="220"/>
        <v>#N/A</v>
      </c>
      <c r="AG258" s="238" t="e">
        <f t="shared" si="221"/>
        <v>#N/A</v>
      </c>
      <c r="AH258" s="238" t="e">
        <f t="shared" si="222"/>
        <v>#N/A</v>
      </c>
      <c r="AI258" s="261" t="e">
        <f t="shared" si="223"/>
        <v>#N/A</v>
      </c>
      <c r="AJ258" s="233" t="e">
        <f t="shared" si="224"/>
        <v>#N/A</v>
      </c>
    </row>
    <row r="259" spans="5:36" s="120" customFormat="1" ht="35.25" customHeight="1" x14ac:dyDescent="0.2">
      <c r="E259" s="218" t="s">
        <v>2306</v>
      </c>
      <c r="F259" s="130"/>
      <c r="G259" s="67" t="e">
        <f t="shared" si="225"/>
        <v>#N/A</v>
      </c>
      <c r="H259" s="396" t="e">
        <f t="shared" si="226"/>
        <v>#N/A</v>
      </c>
      <c r="I259" s="396" t="e">
        <f t="shared" si="227"/>
        <v>#N/A</v>
      </c>
      <c r="J259" s="396" t="e">
        <f t="shared" si="228"/>
        <v>#N/A</v>
      </c>
      <c r="K259" s="398" t="e">
        <f t="shared" si="229"/>
        <v>#N/A</v>
      </c>
      <c r="L259" s="396" t="e">
        <f t="shared" si="230"/>
        <v>#N/A</v>
      </c>
      <c r="M259" s="398" t="e">
        <f t="shared" si="231"/>
        <v>#N/A</v>
      </c>
      <c r="N259" s="396" t="e">
        <f t="shared" si="232"/>
        <v>#N/A</v>
      </c>
      <c r="O259" s="396" t="e">
        <f t="shared" si="233"/>
        <v>#N/A</v>
      </c>
      <c r="P259" s="396" t="e">
        <f t="shared" si="234"/>
        <v>#N/A</v>
      </c>
      <c r="Q259" s="396" t="e">
        <f t="shared" si="235"/>
        <v>#N/A</v>
      </c>
      <c r="R259" s="396" t="e">
        <f t="shared" si="236"/>
        <v>#N/A</v>
      </c>
      <c r="S259" s="396" t="e">
        <f t="shared" si="237"/>
        <v>#N/A</v>
      </c>
      <c r="T259" s="397" t="e">
        <f t="shared" si="238"/>
        <v>#N/A</v>
      </c>
      <c r="U259" s="396" t="e">
        <f t="shared" si="239"/>
        <v>#N/A</v>
      </c>
      <c r="V259" s="396" t="e">
        <f t="shared" si="240"/>
        <v>#N/A</v>
      </c>
      <c r="W259" s="206" t="e">
        <f t="shared" si="212"/>
        <v>#N/A</v>
      </c>
      <c r="X259" s="207" t="e">
        <f t="shared" si="213"/>
        <v>#N/A</v>
      </c>
      <c r="Y259" s="207" t="e">
        <f t="shared" si="214"/>
        <v>#N/A</v>
      </c>
      <c r="Z259" s="233" t="e">
        <f t="shared" si="215"/>
        <v>#N/A</v>
      </c>
      <c r="AA259" s="208" t="e">
        <f t="shared" si="200"/>
        <v>#N/A</v>
      </c>
      <c r="AB259" s="233" t="e">
        <f t="shared" si="216"/>
        <v>#N/A</v>
      </c>
      <c r="AC259" s="233" t="e">
        <f t="shared" si="217"/>
        <v>#N/A</v>
      </c>
      <c r="AD259" s="233" t="e">
        <f t="shared" si="218"/>
        <v>#N/A</v>
      </c>
      <c r="AE259" s="233" t="e">
        <f t="shared" si="219"/>
        <v>#N/A</v>
      </c>
      <c r="AF259" s="238" t="e">
        <f t="shared" si="220"/>
        <v>#N/A</v>
      </c>
      <c r="AG259" s="238" t="e">
        <f t="shared" si="221"/>
        <v>#N/A</v>
      </c>
      <c r="AH259" s="238" t="e">
        <f t="shared" si="222"/>
        <v>#N/A</v>
      </c>
      <c r="AI259" s="261" t="e">
        <f t="shared" si="223"/>
        <v>#N/A</v>
      </c>
      <c r="AJ259" s="233" t="e">
        <f t="shared" si="224"/>
        <v>#N/A</v>
      </c>
    </row>
    <row r="260" spans="5:36" s="120" customFormat="1" ht="35.25" customHeight="1" x14ac:dyDescent="0.2">
      <c r="E260" s="218" t="s">
        <v>2306</v>
      </c>
      <c r="F260" s="130"/>
      <c r="G260" s="67" t="e">
        <f t="shared" si="225"/>
        <v>#N/A</v>
      </c>
      <c r="H260" s="396" t="e">
        <f t="shared" si="226"/>
        <v>#N/A</v>
      </c>
      <c r="I260" s="396" t="e">
        <f t="shared" si="227"/>
        <v>#N/A</v>
      </c>
      <c r="J260" s="396" t="e">
        <f t="shared" si="228"/>
        <v>#N/A</v>
      </c>
      <c r="K260" s="398" t="e">
        <f t="shared" si="229"/>
        <v>#N/A</v>
      </c>
      <c r="L260" s="396" t="e">
        <f t="shared" si="230"/>
        <v>#N/A</v>
      </c>
      <c r="M260" s="398" t="e">
        <f t="shared" si="231"/>
        <v>#N/A</v>
      </c>
      <c r="N260" s="396" t="e">
        <f t="shared" si="232"/>
        <v>#N/A</v>
      </c>
      <c r="O260" s="396" t="e">
        <f t="shared" si="233"/>
        <v>#N/A</v>
      </c>
      <c r="P260" s="396" t="e">
        <f t="shared" si="234"/>
        <v>#N/A</v>
      </c>
      <c r="Q260" s="396" t="e">
        <f t="shared" si="235"/>
        <v>#N/A</v>
      </c>
      <c r="R260" s="396" t="e">
        <f t="shared" si="236"/>
        <v>#N/A</v>
      </c>
      <c r="S260" s="396" t="e">
        <f t="shared" si="237"/>
        <v>#N/A</v>
      </c>
      <c r="T260" s="397" t="e">
        <f t="shared" si="238"/>
        <v>#N/A</v>
      </c>
      <c r="U260" s="396" t="e">
        <f t="shared" si="239"/>
        <v>#N/A</v>
      </c>
      <c r="V260" s="396" t="e">
        <f t="shared" si="240"/>
        <v>#N/A</v>
      </c>
      <c r="W260" s="206" t="e">
        <f t="shared" si="212"/>
        <v>#N/A</v>
      </c>
      <c r="X260" s="207" t="e">
        <f t="shared" si="213"/>
        <v>#N/A</v>
      </c>
      <c r="Y260" s="207" t="e">
        <f t="shared" si="214"/>
        <v>#N/A</v>
      </c>
      <c r="Z260" s="233" t="e">
        <f t="shared" si="215"/>
        <v>#N/A</v>
      </c>
      <c r="AA260" s="208" t="e">
        <f t="shared" si="200"/>
        <v>#N/A</v>
      </c>
      <c r="AB260" s="233" t="e">
        <f t="shared" si="216"/>
        <v>#N/A</v>
      </c>
      <c r="AC260" s="233" t="e">
        <f t="shared" si="217"/>
        <v>#N/A</v>
      </c>
      <c r="AD260" s="233" t="e">
        <f t="shared" si="218"/>
        <v>#N/A</v>
      </c>
      <c r="AE260" s="233" t="e">
        <f t="shared" si="219"/>
        <v>#N/A</v>
      </c>
      <c r="AF260" s="238" t="e">
        <f t="shared" si="220"/>
        <v>#N/A</v>
      </c>
      <c r="AG260" s="238" t="e">
        <f t="shared" si="221"/>
        <v>#N/A</v>
      </c>
      <c r="AH260" s="238" t="e">
        <f t="shared" si="222"/>
        <v>#N/A</v>
      </c>
      <c r="AI260" s="261" t="e">
        <f t="shared" si="223"/>
        <v>#N/A</v>
      </c>
      <c r="AJ260" s="233" t="e">
        <f t="shared" si="224"/>
        <v>#N/A</v>
      </c>
    </row>
    <row r="261" spans="5:36" s="120" customFormat="1" ht="35.25" customHeight="1" x14ac:dyDescent="0.2">
      <c r="E261" s="218" t="s">
        <v>2306</v>
      </c>
      <c r="F261" s="130"/>
      <c r="G261" s="67" t="e">
        <f t="shared" si="225"/>
        <v>#N/A</v>
      </c>
      <c r="H261" s="396" t="e">
        <f t="shared" si="226"/>
        <v>#N/A</v>
      </c>
      <c r="I261" s="396" t="e">
        <f t="shared" si="227"/>
        <v>#N/A</v>
      </c>
      <c r="J261" s="396" t="e">
        <f t="shared" si="228"/>
        <v>#N/A</v>
      </c>
      <c r="K261" s="398" t="e">
        <f t="shared" si="229"/>
        <v>#N/A</v>
      </c>
      <c r="L261" s="396" t="e">
        <f t="shared" si="230"/>
        <v>#N/A</v>
      </c>
      <c r="M261" s="398" t="e">
        <f t="shared" si="231"/>
        <v>#N/A</v>
      </c>
      <c r="N261" s="396" t="e">
        <f t="shared" si="232"/>
        <v>#N/A</v>
      </c>
      <c r="O261" s="396" t="e">
        <f t="shared" si="233"/>
        <v>#N/A</v>
      </c>
      <c r="P261" s="396" t="e">
        <f t="shared" si="234"/>
        <v>#N/A</v>
      </c>
      <c r="Q261" s="396" t="e">
        <f t="shared" si="235"/>
        <v>#N/A</v>
      </c>
      <c r="R261" s="396" t="e">
        <f t="shared" si="236"/>
        <v>#N/A</v>
      </c>
      <c r="S261" s="396" t="e">
        <f t="shared" si="237"/>
        <v>#N/A</v>
      </c>
      <c r="T261" s="397" t="e">
        <f t="shared" si="238"/>
        <v>#N/A</v>
      </c>
      <c r="U261" s="396" t="e">
        <f t="shared" si="239"/>
        <v>#N/A</v>
      </c>
      <c r="V261" s="396" t="e">
        <f t="shared" si="240"/>
        <v>#N/A</v>
      </c>
      <c r="W261" s="206" t="e">
        <f t="shared" si="212"/>
        <v>#N/A</v>
      </c>
      <c r="X261" s="207" t="e">
        <f t="shared" si="213"/>
        <v>#N/A</v>
      </c>
      <c r="Y261" s="207" t="e">
        <f t="shared" si="214"/>
        <v>#N/A</v>
      </c>
      <c r="Z261" s="233" t="e">
        <f t="shared" si="215"/>
        <v>#N/A</v>
      </c>
      <c r="AA261" s="208" t="e">
        <f t="shared" si="200"/>
        <v>#N/A</v>
      </c>
      <c r="AB261" s="233" t="e">
        <f t="shared" si="216"/>
        <v>#N/A</v>
      </c>
      <c r="AC261" s="233" t="e">
        <f t="shared" si="217"/>
        <v>#N/A</v>
      </c>
      <c r="AD261" s="233" t="e">
        <f t="shared" si="218"/>
        <v>#N/A</v>
      </c>
      <c r="AE261" s="233" t="e">
        <f t="shared" si="219"/>
        <v>#N/A</v>
      </c>
      <c r="AF261" s="238" t="e">
        <f t="shared" si="220"/>
        <v>#N/A</v>
      </c>
      <c r="AG261" s="238" t="e">
        <f t="shared" si="221"/>
        <v>#N/A</v>
      </c>
      <c r="AH261" s="238" t="e">
        <f t="shared" si="222"/>
        <v>#N/A</v>
      </c>
      <c r="AI261" s="261" t="e">
        <f t="shared" si="223"/>
        <v>#N/A</v>
      </c>
      <c r="AJ261" s="233" t="e">
        <f t="shared" si="224"/>
        <v>#N/A</v>
      </c>
    </row>
    <row r="262" spans="5:36" s="120" customFormat="1" ht="35.25" customHeight="1" x14ac:dyDescent="0.2">
      <c r="E262" s="218" t="s">
        <v>2306</v>
      </c>
      <c r="F262" s="130"/>
      <c r="G262" s="67" t="e">
        <f t="shared" si="225"/>
        <v>#N/A</v>
      </c>
      <c r="H262" s="396" t="e">
        <f t="shared" si="226"/>
        <v>#N/A</v>
      </c>
      <c r="I262" s="396" t="e">
        <f t="shared" si="227"/>
        <v>#N/A</v>
      </c>
      <c r="J262" s="396" t="e">
        <f t="shared" si="228"/>
        <v>#N/A</v>
      </c>
      <c r="K262" s="398" t="e">
        <f t="shared" si="229"/>
        <v>#N/A</v>
      </c>
      <c r="L262" s="396" t="e">
        <f t="shared" si="230"/>
        <v>#N/A</v>
      </c>
      <c r="M262" s="398" t="e">
        <f t="shared" si="231"/>
        <v>#N/A</v>
      </c>
      <c r="N262" s="396" t="e">
        <f t="shared" si="232"/>
        <v>#N/A</v>
      </c>
      <c r="O262" s="396" t="e">
        <f t="shared" si="233"/>
        <v>#N/A</v>
      </c>
      <c r="P262" s="396" t="e">
        <f t="shared" si="234"/>
        <v>#N/A</v>
      </c>
      <c r="Q262" s="396" t="e">
        <f t="shared" si="235"/>
        <v>#N/A</v>
      </c>
      <c r="R262" s="396" t="e">
        <f t="shared" si="236"/>
        <v>#N/A</v>
      </c>
      <c r="S262" s="396" t="e">
        <f t="shared" si="237"/>
        <v>#N/A</v>
      </c>
      <c r="T262" s="397" t="e">
        <f t="shared" si="238"/>
        <v>#N/A</v>
      </c>
      <c r="U262" s="396" t="e">
        <f t="shared" si="239"/>
        <v>#N/A</v>
      </c>
      <c r="V262" s="396" t="e">
        <f t="shared" si="240"/>
        <v>#N/A</v>
      </c>
      <c r="W262" s="206" t="e">
        <f t="shared" si="212"/>
        <v>#N/A</v>
      </c>
      <c r="X262" s="207" t="e">
        <f t="shared" si="213"/>
        <v>#N/A</v>
      </c>
      <c r="Y262" s="207" t="e">
        <f t="shared" si="214"/>
        <v>#N/A</v>
      </c>
      <c r="Z262" s="233" t="e">
        <f t="shared" si="215"/>
        <v>#N/A</v>
      </c>
      <c r="AA262" s="208" t="e">
        <f t="shared" si="200"/>
        <v>#N/A</v>
      </c>
      <c r="AB262" s="233" t="e">
        <f t="shared" si="216"/>
        <v>#N/A</v>
      </c>
      <c r="AC262" s="233" t="e">
        <f t="shared" si="217"/>
        <v>#N/A</v>
      </c>
      <c r="AD262" s="233" t="e">
        <f t="shared" si="218"/>
        <v>#N/A</v>
      </c>
      <c r="AE262" s="233" t="e">
        <f t="shared" si="219"/>
        <v>#N/A</v>
      </c>
      <c r="AF262" s="238" t="e">
        <f t="shared" si="220"/>
        <v>#N/A</v>
      </c>
      <c r="AG262" s="238" t="e">
        <f t="shared" si="221"/>
        <v>#N/A</v>
      </c>
      <c r="AH262" s="238" t="e">
        <f t="shared" si="222"/>
        <v>#N/A</v>
      </c>
      <c r="AI262" s="261" t="e">
        <f t="shared" si="223"/>
        <v>#N/A</v>
      </c>
      <c r="AJ262" s="233" t="e">
        <f t="shared" si="224"/>
        <v>#N/A</v>
      </c>
    </row>
    <row r="263" spans="5:36" s="120" customFormat="1" ht="35.25" customHeight="1" x14ac:dyDescent="0.2">
      <c r="E263" s="218" t="s">
        <v>2306</v>
      </c>
      <c r="F263" s="130"/>
      <c r="G263" s="67" t="e">
        <f t="shared" si="225"/>
        <v>#N/A</v>
      </c>
      <c r="H263" s="396" t="e">
        <f t="shared" si="226"/>
        <v>#N/A</v>
      </c>
      <c r="I263" s="396" t="e">
        <f t="shared" si="227"/>
        <v>#N/A</v>
      </c>
      <c r="J263" s="396" t="e">
        <f t="shared" si="228"/>
        <v>#N/A</v>
      </c>
      <c r="K263" s="398" t="e">
        <f t="shared" si="229"/>
        <v>#N/A</v>
      </c>
      <c r="L263" s="396" t="e">
        <f t="shared" si="230"/>
        <v>#N/A</v>
      </c>
      <c r="M263" s="398" t="e">
        <f t="shared" si="231"/>
        <v>#N/A</v>
      </c>
      <c r="N263" s="396" t="e">
        <f t="shared" si="232"/>
        <v>#N/A</v>
      </c>
      <c r="O263" s="396" t="e">
        <f t="shared" si="233"/>
        <v>#N/A</v>
      </c>
      <c r="P263" s="396" t="e">
        <f t="shared" si="234"/>
        <v>#N/A</v>
      </c>
      <c r="Q263" s="396" t="e">
        <f t="shared" si="235"/>
        <v>#N/A</v>
      </c>
      <c r="R263" s="396" t="e">
        <f t="shared" si="236"/>
        <v>#N/A</v>
      </c>
      <c r="S263" s="396" t="e">
        <f t="shared" si="237"/>
        <v>#N/A</v>
      </c>
      <c r="T263" s="397" t="e">
        <f t="shared" si="238"/>
        <v>#N/A</v>
      </c>
      <c r="U263" s="396" t="e">
        <f t="shared" si="239"/>
        <v>#N/A</v>
      </c>
      <c r="V263" s="396" t="e">
        <f t="shared" si="240"/>
        <v>#N/A</v>
      </c>
      <c r="W263" s="206" t="e">
        <f t="shared" si="212"/>
        <v>#N/A</v>
      </c>
      <c r="X263" s="207" t="e">
        <f t="shared" si="213"/>
        <v>#N/A</v>
      </c>
      <c r="Y263" s="207" t="e">
        <f t="shared" si="214"/>
        <v>#N/A</v>
      </c>
      <c r="Z263" s="233" t="e">
        <f t="shared" si="215"/>
        <v>#N/A</v>
      </c>
      <c r="AA263" s="208" t="e">
        <f t="shared" si="200"/>
        <v>#N/A</v>
      </c>
      <c r="AB263" s="233" t="e">
        <f t="shared" si="216"/>
        <v>#N/A</v>
      </c>
      <c r="AC263" s="233" t="e">
        <f t="shared" si="217"/>
        <v>#N/A</v>
      </c>
      <c r="AD263" s="233" t="e">
        <f t="shared" si="218"/>
        <v>#N/A</v>
      </c>
      <c r="AE263" s="233" t="e">
        <f t="shared" si="219"/>
        <v>#N/A</v>
      </c>
      <c r="AF263" s="238" t="e">
        <f t="shared" si="220"/>
        <v>#N/A</v>
      </c>
      <c r="AG263" s="238" t="e">
        <f t="shared" si="221"/>
        <v>#N/A</v>
      </c>
      <c r="AH263" s="238" t="e">
        <f t="shared" si="222"/>
        <v>#N/A</v>
      </c>
      <c r="AI263" s="261" t="e">
        <f t="shared" si="223"/>
        <v>#N/A</v>
      </c>
      <c r="AJ263" s="233" t="e">
        <f t="shared" si="224"/>
        <v>#N/A</v>
      </c>
    </row>
    <row r="264" spans="5:36" s="120" customFormat="1" ht="35.25" customHeight="1" x14ac:dyDescent="0.2">
      <c r="E264" s="218" t="s">
        <v>2306</v>
      </c>
      <c r="F264" s="130"/>
      <c r="G264" s="67" t="e">
        <f t="shared" si="225"/>
        <v>#N/A</v>
      </c>
      <c r="H264" s="396" t="e">
        <f t="shared" si="226"/>
        <v>#N/A</v>
      </c>
      <c r="I264" s="396" t="e">
        <f t="shared" si="227"/>
        <v>#N/A</v>
      </c>
      <c r="J264" s="396" t="e">
        <f t="shared" si="228"/>
        <v>#N/A</v>
      </c>
      <c r="K264" s="398" t="e">
        <f t="shared" si="229"/>
        <v>#N/A</v>
      </c>
      <c r="L264" s="396" t="e">
        <f t="shared" si="230"/>
        <v>#N/A</v>
      </c>
      <c r="M264" s="398" t="e">
        <f t="shared" si="231"/>
        <v>#N/A</v>
      </c>
      <c r="N264" s="396" t="e">
        <f t="shared" si="232"/>
        <v>#N/A</v>
      </c>
      <c r="O264" s="396" t="e">
        <f t="shared" si="233"/>
        <v>#N/A</v>
      </c>
      <c r="P264" s="396" t="e">
        <f t="shared" si="234"/>
        <v>#N/A</v>
      </c>
      <c r="Q264" s="396" t="e">
        <f t="shared" si="235"/>
        <v>#N/A</v>
      </c>
      <c r="R264" s="396" t="e">
        <f t="shared" si="236"/>
        <v>#N/A</v>
      </c>
      <c r="S264" s="396" t="e">
        <f t="shared" si="237"/>
        <v>#N/A</v>
      </c>
      <c r="T264" s="397" t="e">
        <f t="shared" si="238"/>
        <v>#N/A</v>
      </c>
      <c r="U264" s="396" t="e">
        <f t="shared" si="239"/>
        <v>#N/A</v>
      </c>
      <c r="V264" s="396" t="e">
        <f t="shared" si="240"/>
        <v>#N/A</v>
      </c>
      <c r="W264" s="206" t="e">
        <f t="shared" si="212"/>
        <v>#N/A</v>
      </c>
      <c r="X264" s="207" t="e">
        <f t="shared" si="213"/>
        <v>#N/A</v>
      </c>
      <c r="Y264" s="207" t="e">
        <f t="shared" si="214"/>
        <v>#N/A</v>
      </c>
      <c r="Z264" s="233" t="e">
        <f t="shared" si="215"/>
        <v>#N/A</v>
      </c>
      <c r="AA264" s="208" t="e">
        <f t="shared" si="200"/>
        <v>#N/A</v>
      </c>
      <c r="AB264" s="233" t="e">
        <f t="shared" si="216"/>
        <v>#N/A</v>
      </c>
      <c r="AC264" s="233" t="e">
        <f t="shared" si="217"/>
        <v>#N/A</v>
      </c>
      <c r="AD264" s="233" t="e">
        <f t="shared" si="218"/>
        <v>#N/A</v>
      </c>
      <c r="AE264" s="233" t="e">
        <f t="shared" si="219"/>
        <v>#N/A</v>
      </c>
      <c r="AF264" s="238" t="e">
        <f t="shared" si="220"/>
        <v>#N/A</v>
      </c>
      <c r="AG264" s="238" t="e">
        <f t="shared" si="221"/>
        <v>#N/A</v>
      </c>
      <c r="AH264" s="238" t="e">
        <f t="shared" si="222"/>
        <v>#N/A</v>
      </c>
      <c r="AI264" s="261" t="e">
        <f t="shared" si="223"/>
        <v>#N/A</v>
      </c>
      <c r="AJ264" s="233" t="e">
        <f t="shared" si="224"/>
        <v>#N/A</v>
      </c>
    </row>
    <row r="265" spans="5:36" s="120" customFormat="1" ht="35.25" customHeight="1" x14ac:dyDescent="0.2">
      <c r="E265" s="218" t="s">
        <v>2306</v>
      </c>
      <c r="F265" s="130"/>
      <c r="G265" s="67" t="e">
        <f t="shared" si="225"/>
        <v>#N/A</v>
      </c>
      <c r="H265" s="396" t="e">
        <f t="shared" si="226"/>
        <v>#N/A</v>
      </c>
      <c r="I265" s="396" t="e">
        <f t="shared" si="227"/>
        <v>#N/A</v>
      </c>
      <c r="J265" s="396" t="e">
        <f t="shared" si="228"/>
        <v>#N/A</v>
      </c>
      <c r="K265" s="398" t="e">
        <f t="shared" si="229"/>
        <v>#N/A</v>
      </c>
      <c r="L265" s="396" t="e">
        <f t="shared" si="230"/>
        <v>#N/A</v>
      </c>
      <c r="M265" s="398" t="e">
        <f t="shared" si="231"/>
        <v>#N/A</v>
      </c>
      <c r="N265" s="396" t="e">
        <f t="shared" si="232"/>
        <v>#N/A</v>
      </c>
      <c r="O265" s="396" t="e">
        <f t="shared" si="233"/>
        <v>#N/A</v>
      </c>
      <c r="P265" s="396" t="e">
        <f t="shared" si="234"/>
        <v>#N/A</v>
      </c>
      <c r="Q265" s="396" t="e">
        <f t="shared" si="235"/>
        <v>#N/A</v>
      </c>
      <c r="R265" s="396" t="e">
        <f t="shared" si="236"/>
        <v>#N/A</v>
      </c>
      <c r="S265" s="396" t="e">
        <f t="shared" si="237"/>
        <v>#N/A</v>
      </c>
      <c r="T265" s="397" t="e">
        <f t="shared" si="238"/>
        <v>#N/A</v>
      </c>
      <c r="U265" s="396" t="e">
        <f t="shared" si="239"/>
        <v>#N/A</v>
      </c>
      <c r="V265" s="396" t="e">
        <f t="shared" si="240"/>
        <v>#N/A</v>
      </c>
      <c r="W265" s="206" t="e">
        <f t="shared" ref="W265:W328" si="241">LEFT(H265,8)</f>
        <v>#N/A</v>
      </c>
      <c r="X265" s="207" t="e">
        <f t="shared" ref="X265:X328" si="242">VLOOKUP(W265,UE,3,FALSE)</f>
        <v>#N/A</v>
      </c>
      <c r="Y265" s="207" t="e">
        <f t="shared" ref="Y265:Y328" si="243">VLOOKUP(W265,UE,4,FALSE)</f>
        <v>#N/A</v>
      </c>
      <c r="Z265" s="233" t="e">
        <f t="shared" ref="Z265:Z328" si="244">(T265-10)/Y265</f>
        <v>#N/A</v>
      </c>
      <c r="AA265" s="208" t="e">
        <f t="shared" si="200"/>
        <v>#N/A</v>
      </c>
      <c r="AB265" s="233" t="e">
        <f t="shared" ref="AB265:AB328" si="245">IF(AA265&gt;Y265,T265-10,Z265*AA265)</f>
        <v>#N/A</v>
      </c>
      <c r="AC265" s="233" t="e">
        <f t="shared" ref="AC265:AC328" si="246">IF(T265-10=AB265,0,Z265)</f>
        <v>#N/A</v>
      </c>
      <c r="AD265" s="233" t="e">
        <f t="shared" ref="AD265:AD328" si="247">IF(T265-10=AB265+AC265,0,Z265)</f>
        <v>#N/A</v>
      </c>
      <c r="AE265" s="233" t="e">
        <f t="shared" ref="AE265:AE328" si="248">IF(T265-10=AB265+AC265+AD265,0,Z265)</f>
        <v>#N/A</v>
      </c>
      <c r="AF265" s="238" t="e">
        <f t="shared" ref="AF265:AF328" si="249">IF(T265-10=AC265+AD265+AE265+AB265,0,Z265)</f>
        <v>#N/A</v>
      </c>
      <c r="AG265" s="238" t="e">
        <f t="shared" ref="AG265:AG328" si="250">IF(T265-10=AC265+AD265+AE265+AB265+AF265,0,Z265)</f>
        <v>#N/A</v>
      </c>
      <c r="AH265" s="238" t="e">
        <f t="shared" ref="AH265:AH328" si="251">SUM(AB265:AG265)</f>
        <v>#N/A</v>
      </c>
      <c r="AI265" s="261" t="e">
        <f t="shared" ref="AI265:AI328" si="252">O265</f>
        <v>#N/A</v>
      </c>
      <c r="AJ265" s="233" t="e">
        <f t="shared" ref="AJ265:AJ328" si="253">T265-AH265</f>
        <v>#N/A</v>
      </c>
    </row>
    <row r="266" spans="5:36" s="120" customFormat="1" ht="35.25" customHeight="1" x14ac:dyDescent="0.2">
      <c r="E266" s="218" t="s">
        <v>2306</v>
      </c>
      <c r="F266" s="130"/>
      <c r="G266" s="67" t="e">
        <f t="shared" si="225"/>
        <v>#N/A</v>
      </c>
      <c r="H266" s="396" t="e">
        <f t="shared" si="226"/>
        <v>#N/A</v>
      </c>
      <c r="I266" s="396" t="e">
        <f t="shared" si="227"/>
        <v>#N/A</v>
      </c>
      <c r="J266" s="396" t="e">
        <f t="shared" si="228"/>
        <v>#N/A</v>
      </c>
      <c r="K266" s="398" t="e">
        <f t="shared" si="229"/>
        <v>#N/A</v>
      </c>
      <c r="L266" s="396" t="e">
        <f t="shared" si="230"/>
        <v>#N/A</v>
      </c>
      <c r="M266" s="398" t="e">
        <f t="shared" si="231"/>
        <v>#N/A</v>
      </c>
      <c r="N266" s="396" t="e">
        <f t="shared" si="232"/>
        <v>#N/A</v>
      </c>
      <c r="O266" s="396" t="e">
        <f t="shared" si="233"/>
        <v>#N/A</v>
      </c>
      <c r="P266" s="396" t="e">
        <f t="shared" si="234"/>
        <v>#N/A</v>
      </c>
      <c r="Q266" s="396" t="e">
        <f t="shared" si="235"/>
        <v>#N/A</v>
      </c>
      <c r="R266" s="396" t="e">
        <f t="shared" si="236"/>
        <v>#N/A</v>
      </c>
      <c r="S266" s="396" t="e">
        <f t="shared" si="237"/>
        <v>#N/A</v>
      </c>
      <c r="T266" s="397" t="e">
        <f t="shared" si="238"/>
        <v>#N/A</v>
      </c>
      <c r="U266" s="396" t="e">
        <f t="shared" si="239"/>
        <v>#N/A</v>
      </c>
      <c r="V266" s="396" t="e">
        <f t="shared" si="240"/>
        <v>#N/A</v>
      </c>
      <c r="W266" s="206" t="e">
        <f t="shared" si="241"/>
        <v>#N/A</v>
      </c>
      <c r="X266" s="207" t="e">
        <f t="shared" si="242"/>
        <v>#N/A</v>
      </c>
      <c r="Y266" s="207" t="e">
        <f t="shared" si="243"/>
        <v>#N/A</v>
      </c>
      <c r="Z266" s="233" t="e">
        <f t="shared" si="244"/>
        <v>#N/A</v>
      </c>
      <c r="AA266" s="208" t="e">
        <f t="shared" si="200"/>
        <v>#N/A</v>
      </c>
      <c r="AB266" s="233" t="e">
        <f t="shared" si="245"/>
        <v>#N/A</v>
      </c>
      <c r="AC266" s="233" t="e">
        <f t="shared" si="246"/>
        <v>#N/A</v>
      </c>
      <c r="AD266" s="233" t="e">
        <f t="shared" si="247"/>
        <v>#N/A</v>
      </c>
      <c r="AE266" s="233" t="e">
        <f t="shared" si="248"/>
        <v>#N/A</v>
      </c>
      <c r="AF266" s="238" t="e">
        <f t="shared" si="249"/>
        <v>#N/A</v>
      </c>
      <c r="AG266" s="238" t="e">
        <f t="shared" si="250"/>
        <v>#N/A</v>
      </c>
      <c r="AH266" s="238" t="e">
        <f t="shared" si="251"/>
        <v>#N/A</v>
      </c>
      <c r="AI266" s="261" t="e">
        <f t="shared" si="252"/>
        <v>#N/A</v>
      </c>
      <c r="AJ266" s="233" t="e">
        <f t="shared" si="253"/>
        <v>#N/A</v>
      </c>
    </row>
    <row r="267" spans="5:36" s="120" customFormat="1" ht="35.25" customHeight="1" x14ac:dyDescent="0.2">
      <c r="E267" s="218" t="s">
        <v>2306</v>
      </c>
      <c r="F267" s="130"/>
      <c r="G267" s="67" t="e">
        <f t="shared" si="225"/>
        <v>#N/A</v>
      </c>
      <c r="H267" s="396" t="e">
        <f t="shared" si="226"/>
        <v>#N/A</v>
      </c>
      <c r="I267" s="396" t="e">
        <f t="shared" si="227"/>
        <v>#N/A</v>
      </c>
      <c r="J267" s="396" t="e">
        <f t="shared" si="228"/>
        <v>#N/A</v>
      </c>
      <c r="K267" s="398" t="e">
        <f t="shared" si="229"/>
        <v>#N/A</v>
      </c>
      <c r="L267" s="396" t="e">
        <f t="shared" si="230"/>
        <v>#N/A</v>
      </c>
      <c r="M267" s="398" t="e">
        <f t="shared" si="231"/>
        <v>#N/A</v>
      </c>
      <c r="N267" s="396" t="e">
        <f t="shared" si="232"/>
        <v>#N/A</v>
      </c>
      <c r="O267" s="396" t="e">
        <f t="shared" si="233"/>
        <v>#N/A</v>
      </c>
      <c r="P267" s="396" t="e">
        <f t="shared" si="234"/>
        <v>#N/A</v>
      </c>
      <c r="Q267" s="396" t="e">
        <f t="shared" si="235"/>
        <v>#N/A</v>
      </c>
      <c r="R267" s="396" t="e">
        <f t="shared" si="236"/>
        <v>#N/A</v>
      </c>
      <c r="S267" s="396" t="e">
        <f t="shared" si="237"/>
        <v>#N/A</v>
      </c>
      <c r="T267" s="397" t="e">
        <f t="shared" si="238"/>
        <v>#N/A</v>
      </c>
      <c r="U267" s="396" t="e">
        <f t="shared" si="239"/>
        <v>#N/A</v>
      </c>
      <c r="V267" s="396" t="e">
        <f t="shared" si="240"/>
        <v>#N/A</v>
      </c>
      <c r="W267" s="206" t="e">
        <f t="shared" si="241"/>
        <v>#N/A</v>
      </c>
      <c r="X267" s="207" t="e">
        <f t="shared" si="242"/>
        <v>#N/A</v>
      </c>
      <c r="Y267" s="207" t="e">
        <f t="shared" si="243"/>
        <v>#N/A</v>
      </c>
      <c r="Z267" s="233" t="e">
        <f t="shared" si="244"/>
        <v>#N/A</v>
      </c>
      <c r="AA267" s="208" t="e">
        <f t="shared" si="200"/>
        <v>#N/A</v>
      </c>
      <c r="AB267" s="233" t="e">
        <f t="shared" si="245"/>
        <v>#N/A</v>
      </c>
      <c r="AC267" s="233" t="e">
        <f t="shared" si="246"/>
        <v>#N/A</v>
      </c>
      <c r="AD267" s="233" t="e">
        <f t="shared" si="247"/>
        <v>#N/A</v>
      </c>
      <c r="AE267" s="233" t="e">
        <f t="shared" si="248"/>
        <v>#N/A</v>
      </c>
      <c r="AF267" s="238" t="e">
        <f t="shared" si="249"/>
        <v>#N/A</v>
      </c>
      <c r="AG267" s="238" t="e">
        <f t="shared" si="250"/>
        <v>#N/A</v>
      </c>
      <c r="AH267" s="238" t="e">
        <f t="shared" si="251"/>
        <v>#N/A</v>
      </c>
      <c r="AI267" s="261" t="e">
        <f t="shared" si="252"/>
        <v>#N/A</v>
      </c>
      <c r="AJ267" s="233" t="e">
        <f t="shared" si="253"/>
        <v>#N/A</v>
      </c>
    </row>
    <row r="268" spans="5:36" s="120" customFormat="1" ht="35.25" customHeight="1" x14ac:dyDescent="0.2">
      <c r="E268" s="218" t="s">
        <v>2306</v>
      </c>
      <c r="F268" s="130"/>
      <c r="G268" s="67" t="e">
        <f t="shared" si="225"/>
        <v>#N/A</v>
      </c>
      <c r="H268" s="396" t="e">
        <f t="shared" si="226"/>
        <v>#N/A</v>
      </c>
      <c r="I268" s="396" t="e">
        <f t="shared" si="227"/>
        <v>#N/A</v>
      </c>
      <c r="J268" s="396" t="e">
        <f t="shared" si="228"/>
        <v>#N/A</v>
      </c>
      <c r="K268" s="398" t="e">
        <f t="shared" si="229"/>
        <v>#N/A</v>
      </c>
      <c r="L268" s="396" t="e">
        <f t="shared" si="230"/>
        <v>#N/A</v>
      </c>
      <c r="M268" s="398" t="e">
        <f t="shared" si="231"/>
        <v>#N/A</v>
      </c>
      <c r="N268" s="396" t="e">
        <f t="shared" si="232"/>
        <v>#N/A</v>
      </c>
      <c r="O268" s="396" t="e">
        <f t="shared" si="233"/>
        <v>#N/A</v>
      </c>
      <c r="P268" s="396" t="e">
        <f t="shared" si="234"/>
        <v>#N/A</v>
      </c>
      <c r="Q268" s="396" t="e">
        <f t="shared" si="235"/>
        <v>#N/A</v>
      </c>
      <c r="R268" s="396" t="e">
        <f t="shared" si="236"/>
        <v>#N/A</v>
      </c>
      <c r="S268" s="396" t="e">
        <f t="shared" si="237"/>
        <v>#N/A</v>
      </c>
      <c r="T268" s="397" t="e">
        <f t="shared" si="238"/>
        <v>#N/A</v>
      </c>
      <c r="U268" s="396" t="e">
        <f t="shared" si="239"/>
        <v>#N/A</v>
      </c>
      <c r="V268" s="396" t="e">
        <f t="shared" si="240"/>
        <v>#N/A</v>
      </c>
      <c r="W268" s="206" t="e">
        <f t="shared" si="241"/>
        <v>#N/A</v>
      </c>
      <c r="X268" s="207" t="e">
        <f t="shared" si="242"/>
        <v>#N/A</v>
      </c>
      <c r="Y268" s="207" t="e">
        <f t="shared" si="243"/>
        <v>#N/A</v>
      </c>
      <c r="Z268" s="233" t="e">
        <f t="shared" si="244"/>
        <v>#N/A</v>
      </c>
      <c r="AA268" s="208" t="e">
        <f t="shared" si="200"/>
        <v>#N/A</v>
      </c>
      <c r="AB268" s="233" t="e">
        <f t="shared" si="245"/>
        <v>#N/A</v>
      </c>
      <c r="AC268" s="233" t="e">
        <f t="shared" si="246"/>
        <v>#N/A</v>
      </c>
      <c r="AD268" s="233" t="e">
        <f t="shared" si="247"/>
        <v>#N/A</v>
      </c>
      <c r="AE268" s="233" t="e">
        <f t="shared" si="248"/>
        <v>#N/A</v>
      </c>
      <c r="AF268" s="238" t="e">
        <f t="shared" si="249"/>
        <v>#N/A</v>
      </c>
      <c r="AG268" s="238" t="e">
        <f t="shared" si="250"/>
        <v>#N/A</v>
      </c>
      <c r="AH268" s="238" t="e">
        <f t="shared" si="251"/>
        <v>#N/A</v>
      </c>
      <c r="AI268" s="261" t="e">
        <f t="shared" si="252"/>
        <v>#N/A</v>
      </c>
      <c r="AJ268" s="233" t="e">
        <f t="shared" si="253"/>
        <v>#N/A</v>
      </c>
    </row>
    <row r="269" spans="5:36" s="120" customFormat="1" ht="35.25" customHeight="1" x14ac:dyDescent="0.2">
      <c r="E269" s="218" t="s">
        <v>2306</v>
      </c>
      <c r="F269" s="130"/>
      <c r="G269" s="67" t="e">
        <f t="shared" si="225"/>
        <v>#N/A</v>
      </c>
      <c r="H269" s="396" t="e">
        <f t="shared" si="226"/>
        <v>#N/A</v>
      </c>
      <c r="I269" s="396" t="e">
        <f t="shared" si="227"/>
        <v>#N/A</v>
      </c>
      <c r="J269" s="396" t="e">
        <f t="shared" si="228"/>
        <v>#N/A</v>
      </c>
      <c r="K269" s="398" t="e">
        <f t="shared" si="229"/>
        <v>#N/A</v>
      </c>
      <c r="L269" s="396" t="e">
        <f t="shared" si="230"/>
        <v>#N/A</v>
      </c>
      <c r="M269" s="398" t="e">
        <f t="shared" si="231"/>
        <v>#N/A</v>
      </c>
      <c r="N269" s="396" t="e">
        <f t="shared" si="232"/>
        <v>#N/A</v>
      </c>
      <c r="O269" s="396" t="e">
        <f t="shared" si="233"/>
        <v>#N/A</v>
      </c>
      <c r="P269" s="396" t="e">
        <f t="shared" si="234"/>
        <v>#N/A</v>
      </c>
      <c r="Q269" s="396" t="e">
        <f t="shared" si="235"/>
        <v>#N/A</v>
      </c>
      <c r="R269" s="396" t="e">
        <f t="shared" si="236"/>
        <v>#N/A</v>
      </c>
      <c r="S269" s="396" t="e">
        <f t="shared" si="237"/>
        <v>#N/A</v>
      </c>
      <c r="T269" s="397" t="e">
        <f t="shared" si="238"/>
        <v>#N/A</v>
      </c>
      <c r="U269" s="396" t="e">
        <f t="shared" si="239"/>
        <v>#N/A</v>
      </c>
      <c r="V269" s="396" t="e">
        <f t="shared" si="240"/>
        <v>#N/A</v>
      </c>
      <c r="W269" s="206" t="e">
        <f t="shared" si="241"/>
        <v>#N/A</v>
      </c>
      <c r="X269" s="207" t="e">
        <f t="shared" si="242"/>
        <v>#N/A</v>
      </c>
      <c r="Y269" s="207" t="e">
        <f t="shared" si="243"/>
        <v>#N/A</v>
      </c>
      <c r="Z269" s="233" t="e">
        <f t="shared" si="244"/>
        <v>#N/A</v>
      </c>
      <c r="AA269" s="208" t="e">
        <f t="shared" si="200"/>
        <v>#N/A</v>
      </c>
      <c r="AB269" s="233" t="e">
        <f t="shared" si="245"/>
        <v>#N/A</v>
      </c>
      <c r="AC269" s="233" t="e">
        <f t="shared" si="246"/>
        <v>#N/A</v>
      </c>
      <c r="AD269" s="233" t="e">
        <f t="shared" si="247"/>
        <v>#N/A</v>
      </c>
      <c r="AE269" s="233" t="e">
        <f t="shared" si="248"/>
        <v>#N/A</v>
      </c>
      <c r="AF269" s="238" t="e">
        <f t="shared" si="249"/>
        <v>#N/A</v>
      </c>
      <c r="AG269" s="238" t="e">
        <f t="shared" si="250"/>
        <v>#N/A</v>
      </c>
      <c r="AH269" s="238" t="e">
        <f t="shared" si="251"/>
        <v>#N/A</v>
      </c>
      <c r="AI269" s="261" t="e">
        <f t="shared" si="252"/>
        <v>#N/A</v>
      </c>
      <c r="AJ269" s="233" t="e">
        <f t="shared" si="253"/>
        <v>#N/A</v>
      </c>
    </row>
    <row r="270" spans="5:36" s="120" customFormat="1" ht="35.25" customHeight="1" x14ac:dyDescent="0.2">
      <c r="E270" s="218" t="s">
        <v>2306</v>
      </c>
      <c r="F270" s="130"/>
      <c r="G270" s="67" t="e">
        <f t="shared" si="225"/>
        <v>#N/A</v>
      </c>
      <c r="H270" s="396" t="e">
        <f t="shared" si="226"/>
        <v>#N/A</v>
      </c>
      <c r="I270" s="396" t="e">
        <f t="shared" si="227"/>
        <v>#N/A</v>
      </c>
      <c r="J270" s="396" t="e">
        <f t="shared" si="228"/>
        <v>#N/A</v>
      </c>
      <c r="K270" s="398" t="e">
        <f t="shared" si="229"/>
        <v>#N/A</v>
      </c>
      <c r="L270" s="396" t="e">
        <f t="shared" si="230"/>
        <v>#N/A</v>
      </c>
      <c r="M270" s="398" t="e">
        <f t="shared" si="231"/>
        <v>#N/A</v>
      </c>
      <c r="N270" s="396" t="e">
        <f t="shared" si="232"/>
        <v>#N/A</v>
      </c>
      <c r="O270" s="396" t="e">
        <f t="shared" si="233"/>
        <v>#N/A</v>
      </c>
      <c r="P270" s="396" t="e">
        <f t="shared" si="234"/>
        <v>#N/A</v>
      </c>
      <c r="Q270" s="396" t="e">
        <f t="shared" si="235"/>
        <v>#N/A</v>
      </c>
      <c r="R270" s="396" t="e">
        <f t="shared" si="236"/>
        <v>#N/A</v>
      </c>
      <c r="S270" s="396" t="e">
        <f t="shared" si="237"/>
        <v>#N/A</v>
      </c>
      <c r="T270" s="397" t="e">
        <f t="shared" si="238"/>
        <v>#N/A</v>
      </c>
      <c r="U270" s="396" t="e">
        <f t="shared" si="239"/>
        <v>#N/A</v>
      </c>
      <c r="V270" s="396" t="e">
        <f t="shared" si="240"/>
        <v>#N/A</v>
      </c>
      <c r="W270" s="206" t="e">
        <f t="shared" si="241"/>
        <v>#N/A</v>
      </c>
      <c r="X270" s="207" t="e">
        <f t="shared" si="242"/>
        <v>#N/A</v>
      </c>
      <c r="Y270" s="207" t="e">
        <f t="shared" si="243"/>
        <v>#N/A</v>
      </c>
      <c r="Z270" s="233" t="e">
        <f t="shared" si="244"/>
        <v>#N/A</v>
      </c>
      <c r="AA270" s="208" t="e">
        <f t="shared" ref="AA270:AA333" si="254">IF(2013-O270&gt;Y270,Y270,IF(2013-O270&lt;0,0,2013-O270))</f>
        <v>#N/A</v>
      </c>
      <c r="AB270" s="233" t="e">
        <f t="shared" si="245"/>
        <v>#N/A</v>
      </c>
      <c r="AC270" s="233" t="e">
        <f t="shared" si="246"/>
        <v>#N/A</v>
      </c>
      <c r="AD270" s="233" t="e">
        <f t="shared" si="247"/>
        <v>#N/A</v>
      </c>
      <c r="AE270" s="233" t="e">
        <f t="shared" si="248"/>
        <v>#N/A</v>
      </c>
      <c r="AF270" s="238" t="e">
        <f t="shared" si="249"/>
        <v>#N/A</v>
      </c>
      <c r="AG270" s="238" t="e">
        <f t="shared" si="250"/>
        <v>#N/A</v>
      </c>
      <c r="AH270" s="238" t="e">
        <f t="shared" si="251"/>
        <v>#N/A</v>
      </c>
      <c r="AI270" s="261" t="e">
        <f t="shared" si="252"/>
        <v>#N/A</v>
      </c>
      <c r="AJ270" s="233" t="e">
        <f t="shared" si="253"/>
        <v>#N/A</v>
      </c>
    </row>
    <row r="271" spans="5:36" s="120" customFormat="1" ht="35.25" customHeight="1" x14ac:dyDescent="0.2">
      <c r="E271" s="218" t="s">
        <v>2306</v>
      </c>
      <c r="F271" s="130"/>
      <c r="G271" s="67" t="e">
        <f t="shared" si="225"/>
        <v>#N/A</v>
      </c>
      <c r="H271" s="396" t="e">
        <f t="shared" si="226"/>
        <v>#N/A</v>
      </c>
      <c r="I271" s="396" t="e">
        <f t="shared" si="227"/>
        <v>#N/A</v>
      </c>
      <c r="J271" s="396" t="e">
        <f t="shared" si="228"/>
        <v>#N/A</v>
      </c>
      <c r="K271" s="398" t="e">
        <f t="shared" si="229"/>
        <v>#N/A</v>
      </c>
      <c r="L271" s="396" t="e">
        <f t="shared" si="230"/>
        <v>#N/A</v>
      </c>
      <c r="M271" s="398" t="e">
        <f t="shared" si="231"/>
        <v>#N/A</v>
      </c>
      <c r="N271" s="396" t="e">
        <f t="shared" si="232"/>
        <v>#N/A</v>
      </c>
      <c r="O271" s="396" t="e">
        <f t="shared" si="233"/>
        <v>#N/A</v>
      </c>
      <c r="P271" s="396" t="e">
        <f t="shared" si="234"/>
        <v>#N/A</v>
      </c>
      <c r="Q271" s="396" t="e">
        <f t="shared" si="235"/>
        <v>#N/A</v>
      </c>
      <c r="R271" s="396" t="e">
        <f t="shared" si="236"/>
        <v>#N/A</v>
      </c>
      <c r="S271" s="396" t="e">
        <f t="shared" si="237"/>
        <v>#N/A</v>
      </c>
      <c r="T271" s="397" t="e">
        <f t="shared" si="238"/>
        <v>#N/A</v>
      </c>
      <c r="U271" s="396" t="e">
        <f t="shared" si="239"/>
        <v>#N/A</v>
      </c>
      <c r="V271" s="396" t="e">
        <f t="shared" si="240"/>
        <v>#N/A</v>
      </c>
      <c r="W271" s="206" t="e">
        <f t="shared" si="241"/>
        <v>#N/A</v>
      </c>
      <c r="X271" s="207" t="e">
        <f t="shared" si="242"/>
        <v>#N/A</v>
      </c>
      <c r="Y271" s="207" t="e">
        <f t="shared" si="243"/>
        <v>#N/A</v>
      </c>
      <c r="Z271" s="233" t="e">
        <f t="shared" si="244"/>
        <v>#N/A</v>
      </c>
      <c r="AA271" s="208" t="e">
        <f t="shared" si="254"/>
        <v>#N/A</v>
      </c>
      <c r="AB271" s="233" t="e">
        <f t="shared" si="245"/>
        <v>#N/A</v>
      </c>
      <c r="AC271" s="233" t="e">
        <f t="shared" si="246"/>
        <v>#N/A</v>
      </c>
      <c r="AD271" s="233" t="e">
        <f t="shared" si="247"/>
        <v>#N/A</v>
      </c>
      <c r="AE271" s="233" t="e">
        <f t="shared" si="248"/>
        <v>#N/A</v>
      </c>
      <c r="AF271" s="238" t="e">
        <f t="shared" si="249"/>
        <v>#N/A</v>
      </c>
      <c r="AG271" s="238" t="e">
        <f t="shared" si="250"/>
        <v>#N/A</v>
      </c>
      <c r="AH271" s="238" t="e">
        <f t="shared" si="251"/>
        <v>#N/A</v>
      </c>
      <c r="AI271" s="261" t="e">
        <f t="shared" si="252"/>
        <v>#N/A</v>
      </c>
      <c r="AJ271" s="233" t="e">
        <f t="shared" si="253"/>
        <v>#N/A</v>
      </c>
    </row>
    <row r="272" spans="5:36" s="120" customFormat="1" ht="35.25" customHeight="1" x14ac:dyDescent="0.2">
      <c r="E272" s="218" t="s">
        <v>2306</v>
      </c>
      <c r="F272" s="130"/>
      <c r="G272" s="67" t="e">
        <f t="shared" si="225"/>
        <v>#N/A</v>
      </c>
      <c r="H272" s="396" t="e">
        <f t="shared" si="226"/>
        <v>#N/A</v>
      </c>
      <c r="I272" s="396" t="e">
        <f t="shared" si="227"/>
        <v>#N/A</v>
      </c>
      <c r="J272" s="396" t="e">
        <f t="shared" si="228"/>
        <v>#N/A</v>
      </c>
      <c r="K272" s="398" t="e">
        <f t="shared" si="229"/>
        <v>#N/A</v>
      </c>
      <c r="L272" s="396" t="e">
        <f t="shared" si="230"/>
        <v>#N/A</v>
      </c>
      <c r="M272" s="398" t="e">
        <f t="shared" si="231"/>
        <v>#N/A</v>
      </c>
      <c r="N272" s="396" t="e">
        <f t="shared" si="232"/>
        <v>#N/A</v>
      </c>
      <c r="O272" s="396" t="e">
        <f t="shared" si="233"/>
        <v>#N/A</v>
      </c>
      <c r="P272" s="396" t="e">
        <f t="shared" si="234"/>
        <v>#N/A</v>
      </c>
      <c r="Q272" s="396" t="e">
        <f t="shared" si="235"/>
        <v>#N/A</v>
      </c>
      <c r="R272" s="396" t="e">
        <f t="shared" si="236"/>
        <v>#N/A</v>
      </c>
      <c r="S272" s="396" t="e">
        <f t="shared" si="237"/>
        <v>#N/A</v>
      </c>
      <c r="T272" s="397" t="e">
        <f t="shared" si="238"/>
        <v>#N/A</v>
      </c>
      <c r="U272" s="396" t="e">
        <f t="shared" si="239"/>
        <v>#N/A</v>
      </c>
      <c r="V272" s="396" t="e">
        <f t="shared" si="240"/>
        <v>#N/A</v>
      </c>
      <c r="W272" s="206" t="e">
        <f t="shared" si="241"/>
        <v>#N/A</v>
      </c>
      <c r="X272" s="207" t="e">
        <f t="shared" si="242"/>
        <v>#N/A</v>
      </c>
      <c r="Y272" s="207" t="e">
        <f t="shared" si="243"/>
        <v>#N/A</v>
      </c>
      <c r="Z272" s="233" t="e">
        <f t="shared" si="244"/>
        <v>#N/A</v>
      </c>
      <c r="AA272" s="208" t="e">
        <f t="shared" si="254"/>
        <v>#N/A</v>
      </c>
      <c r="AB272" s="233" t="e">
        <f t="shared" si="245"/>
        <v>#N/A</v>
      </c>
      <c r="AC272" s="233" t="e">
        <f t="shared" si="246"/>
        <v>#N/A</v>
      </c>
      <c r="AD272" s="233" t="e">
        <f t="shared" si="247"/>
        <v>#N/A</v>
      </c>
      <c r="AE272" s="233" t="e">
        <f t="shared" si="248"/>
        <v>#N/A</v>
      </c>
      <c r="AF272" s="238" t="e">
        <f t="shared" si="249"/>
        <v>#N/A</v>
      </c>
      <c r="AG272" s="238" t="e">
        <f t="shared" si="250"/>
        <v>#N/A</v>
      </c>
      <c r="AH272" s="238" t="e">
        <f t="shared" si="251"/>
        <v>#N/A</v>
      </c>
      <c r="AI272" s="261" t="e">
        <f t="shared" si="252"/>
        <v>#N/A</v>
      </c>
      <c r="AJ272" s="233" t="e">
        <f t="shared" si="253"/>
        <v>#N/A</v>
      </c>
    </row>
    <row r="273" spans="5:36" s="120" customFormat="1" ht="35.25" customHeight="1" x14ac:dyDescent="0.2">
      <c r="E273" s="218" t="s">
        <v>2306</v>
      </c>
      <c r="F273" s="130"/>
      <c r="G273" s="67" t="e">
        <f t="shared" si="225"/>
        <v>#N/A</v>
      </c>
      <c r="H273" s="396" t="e">
        <f t="shared" si="226"/>
        <v>#N/A</v>
      </c>
      <c r="I273" s="396" t="e">
        <f t="shared" si="227"/>
        <v>#N/A</v>
      </c>
      <c r="J273" s="396" t="e">
        <f t="shared" si="228"/>
        <v>#N/A</v>
      </c>
      <c r="K273" s="398" t="e">
        <f t="shared" si="229"/>
        <v>#N/A</v>
      </c>
      <c r="L273" s="396" t="e">
        <f t="shared" si="230"/>
        <v>#N/A</v>
      </c>
      <c r="M273" s="398" t="e">
        <f t="shared" si="231"/>
        <v>#N/A</v>
      </c>
      <c r="N273" s="396" t="e">
        <f t="shared" si="232"/>
        <v>#N/A</v>
      </c>
      <c r="O273" s="396" t="e">
        <f t="shared" si="233"/>
        <v>#N/A</v>
      </c>
      <c r="P273" s="396" t="e">
        <f t="shared" si="234"/>
        <v>#N/A</v>
      </c>
      <c r="Q273" s="396" t="e">
        <f t="shared" si="235"/>
        <v>#N/A</v>
      </c>
      <c r="R273" s="396" t="e">
        <f t="shared" si="236"/>
        <v>#N/A</v>
      </c>
      <c r="S273" s="396" t="e">
        <f t="shared" si="237"/>
        <v>#N/A</v>
      </c>
      <c r="T273" s="397" t="e">
        <f t="shared" si="238"/>
        <v>#N/A</v>
      </c>
      <c r="U273" s="396" t="e">
        <f t="shared" si="239"/>
        <v>#N/A</v>
      </c>
      <c r="V273" s="396" t="e">
        <f t="shared" si="240"/>
        <v>#N/A</v>
      </c>
      <c r="W273" s="206" t="e">
        <f t="shared" si="241"/>
        <v>#N/A</v>
      </c>
      <c r="X273" s="207" t="e">
        <f t="shared" si="242"/>
        <v>#N/A</v>
      </c>
      <c r="Y273" s="207" t="e">
        <f t="shared" si="243"/>
        <v>#N/A</v>
      </c>
      <c r="Z273" s="233" t="e">
        <f t="shared" si="244"/>
        <v>#N/A</v>
      </c>
      <c r="AA273" s="208" t="e">
        <f t="shared" si="254"/>
        <v>#N/A</v>
      </c>
      <c r="AB273" s="233" t="e">
        <f t="shared" si="245"/>
        <v>#N/A</v>
      </c>
      <c r="AC273" s="233" t="e">
        <f t="shared" si="246"/>
        <v>#N/A</v>
      </c>
      <c r="AD273" s="233" t="e">
        <f t="shared" si="247"/>
        <v>#N/A</v>
      </c>
      <c r="AE273" s="233" t="e">
        <f t="shared" si="248"/>
        <v>#N/A</v>
      </c>
      <c r="AF273" s="238" t="e">
        <f t="shared" si="249"/>
        <v>#N/A</v>
      </c>
      <c r="AG273" s="238" t="e">
        <f t="shared" si="250"/>
        <v>#N/A</v>
      </c>
      <c r="AH273" s="238" t="e">
        <f t="shared" si="251"/>
        <v>#N/A</v>
      </c>
      <c r="AI273" s="261" t="e">
        <f t="shared" si="252"/>
        <v>#N/A</v>
      </c>
      <c r="AJ273" s="233" t="e">
        <f t="shared" si="253"/>
        <v>#N/A</v>
      </c>
    </row>
    <row r="274" spans="5:36" s="120" customFormat="1" ht="35.25" customHeight="1" x14ac:dyDescent="0.2">
      <c r="E274" s="218" t="s">
        <v>2306</v>
      </c>
      <c r="F274" s="130"/>
      <c r="G274" s="67" t="e">
        <f t="shared" si="225"/>
        <v>#N/A</v>
      </c>
      <c r="H274" s="396" t="e">
        <f t="shared" si="226"/>
        <v>#N/A</v>
      </c>
      <c r="I274" s="396" t="e">
        <f t="shared" si="227"/>
        <v>#N/A</v>
      </c>
      <c r="J274" s="396" t="e">
        <f t="shared" si="228"/>
        <v>#N/A</v>
      </c>
      <c r="K274" s="398" t="e">
        <f t="shared" si="229"/>
        <v>#N/A</v>
      </c>
      <c r="L274" s="396" t="e">
        <f t="shared" si="230"/>
        <v>#N/A</v>
      </c>
      <c r="M274" s="398" t="e">
        <f t="shared" si="231"/>
        <v>#N/A</v>
      </c>
      <c r="N274" s="396" t="e">
        <f t="shared" si="232"/>
        <v>#N/A</v>
      </c>
      <c r="O274" s="396" t="e">
        <f t="shared" si="233"/>
        <v>#N/A</v>
      </c>
      <c r="P274" s="396" t="e">
        <f t="shared" si="234"/>
        <v>#N/A</v>
      </c>
      <c r="Q274" s="396" t="e">
        <f t="shared" si="235"/>
        <v>#N/A</v>
      </c>
      <c r="R274" s="396" t="e">
        <f t="shared" si="236"/>
        <v>#N/A</v>
      </c>
      <c r="S274" s="396" t="e">
        <f t="shared" si="237"/>
        <v>#N/A</v>
      </c>
      <c r="T274" s="397" t="e">
        <f t="shared" si="238"/>
        <v>#N/A</v>
      </c>
      <c r="U274" s="396" t="e">
        <f t="shared" si="239"/>
        <v>#N/A</v>
      </c>
      <c r="V274" s="396" t="e">
        <f t="shared" si="240"/>
        <v>#N/A</v>
      </c>
      <c r="W274" s="206" t="e">
        <f t="shared" si="241"/>
        <v>#N/A</v>
      </c>
      <c r="X274" s="207" t="e">
        <f t="shared" si="242"/>
        <v>#N/A</v>
      </c>
      <c r="Y274" s="207" t="e">
        <f t="shared" si="243"/>
        <v>#N/A</v>
      </c>
      <c r="Z274" s="233" t="e">
        <f t="shared" si="244"/>
        <v>#N/A</v>
      </c>
      <c r="AA274" s="208" t="e">
        <f t="shared" si="254"/>
        <v>#N/A</v>
      </c>
      <c r="AB274" s="233" t="e">
        <f t="shared" si="245"/>
        <v>#N/A</v>
      </c>
      <c r="AC274" s="233" t="e">
        <f t="shared" si="246"/>
        <v>#N/A</v>
      </c>
      <c r="AD274" s="233" t="e">
        <f t="shared" si="247"/>
        <v>#N/A</v>
      </c>
      <c r="AE274" s="233" t="e">
        <f t="shared" si="248"/>
        <v>#N/A</v>
      </c>
      <c r="AF274" s="238" t="e">
        <f t="shared" si="249"/>
        <v>#N/A</v>
      </c>
      <c r="AG274" s="238" t="e">
        <f t="shared" si="250"/>
        <v>#N/A</v>
      </c>
      <c r="AH274" s="238" t="e">
        <f t="shared" si="251"/>
        <v>#N/A</v>
      </c>
      <c r="AI274" s="261" t="e">
        <f t="shared" si="252"/>
        <v>#N/A</v>
      </c>
      <c r="AJ274" s="233" t="e">
        <f t="shared" si="253"/>
        <v>#N/A</v>
      </c>
    </row>
    <row r="275" spans="5:36" s="120" customFormat="1" ht="35.25" customHeight="1" x14ac:dyDescent="0.2">
      <c r="E275" s="218" t="s">
        <v>2306</v>
      </c>
      <c r="F275" s="130"/>
      <c r="G275" s="67" t="e">
        <f t="shared" si="225"/>
        <v>#N/A</v>
      </c>
      <c r="H275" s="396" t="e">
        <f t="shared" si="226"/>
        <v>#N/A</v>
      </c>
      <c r="I275" s="396" t="e">
        <f t="shared" si="227"/>
        <v>#N/A</v>
      </c>
      <c r="J275" s="396" t="e">
        <f t="shared" si="228"/>
        <v>#N/A</v>
      </c>
      <c r="K275" s="398" t="e">
        <f t="shared" si="229"/>
        <v>#N/A</v>
      </c>
      <c r="L275" s="396" t="e">
        <f t="shared" si="230"/>
        <v>#N/A</v>
      </c>
      <c r="M275" s="398" t="e">
        <f t="shared" si="231"/>
        <v>#N/A</v>
      </c>
      <c r="N275" s="396" t="e">
        <f t="shared" si="232"/>
        <v>#N/A</v>
      </c>
      <c r="O275" s="396" t="e">
        <f t="shared" si="233"/>
        <v>#N/A</v>
      </c>
      <c r="P275" s="396" t="e">
        <f t="shared" si="234"/>
        <v>#N/A</v>
      </c>
      <c r="Q275" s="396" t="e">
        <f t="shared" si="235"/>
        <v>#N/A</v>
      </c>
      <c r="R275" s="396" t="e">
        <f t="shared" si="236"/>
        <v>#N/A</v>
      </c>
      <c r="S275" s="396" t="e">
        <f t="shared" si="237"/>
        <v>#N/A</v>
      </c>
      <c r="T275" s="397" t="e">
        <f t="shared" si="238"/>
        <v>#N/A</v>
      </c>
      <c r="U275" s="396" t="e">
        <f t="shared" si="239"/>
        <v>#N/A</v>
      </c>
      <c r="V275" s="396" t="e">
        <f t="shared" si="240"/>
        <v>#N/A</v>
      </c>
      <c r="W275" s="206" t="e">
        <f t="shared" si="241"/>
        <v>#N/A</v>
      </c>
      <c r="X275" s="207" t="e">
        <f t="shared" si="242"/>
        <v>#N/A</v>
      </c>
      <c r="Y275" s="207" t="e">
        <f t="shared" si="243"/>
        <v>#N/A</v>
      </c>
      <c r="Z275" s="233" t="e">
        <f t="shared" si="244"/>
        <v>#N/A</v>
      </c>
      <c r="AA275" s="208" t="e">
        <f t="shared" si="254"/>
        <v>#N/A</v>
      </c>
      <c r="AB275" s="233" t="e">
        <f t="shared" si="245"/>
        <v>#N/A</v>
      </c>
      <c r="AC275" s="233" t="e">
        <f t="shared" si="246"/>
        <v>#N/A</v>
      </c>
      <c r="AD275" s="233" t="e">
        <f t="shared" si="247"/>
        <v>#N/A</v>
      </c>
      <c r="AE275" s="233" t="e">
        <f t="shared" si="248"/>
        <v>#N/A</v>
      </c>
      <c r="AF275" s="238" t="e">
        <f t="shared" si="249"/>
        <v>#N/A</v>
      </c>
      <c r="AG275" s="238" t="e">
        <f t="shared" si="250"/>
        <v>#N/A</v>
      </c>
      <c r="AH275" s="238" t="e">
        <f t="shared" si="251"/>
        <v>#N/A</v>
      </c>
      <c r="AI275" s="261" t="e">
        <f t="shared" si="252"/>
        <v>#N/A</v>
      </c>
      <c r="AJ275" s="233" t="e">
        <f t="shared" si="253"/>
        <v>#N/A</v>
      </c>
    </row>
    <row r="276" spans="5:36" s="120" customFormat="1" ht="35.25" customHeight="1" x14ac:dyDescent="0.2">
      <c r="E276" s="218" t="s">
        <v>2306</v>
      </c>
      <c r="F276" s="130"/>
      <c r="G276" s="67" t="e">
        <f t="shared" si="225"/>
        <v>#N/A</v>
      </c>
      <c r="H276" s="396" t="e">
        <f t="shared" si="226"/>
        <v>#N/A</v>
      </c>
      <c r="I276" s="396" t="e">
        <f t="shared" si="227"/>
        <v>#N/A</v>
      </c>
      <c r="J276" s="396" t="e">
        <f t="shared" si="228"/>
        <v>#N/A</v>
      </c>
      <c r="K276" s="398" t="e">
        <f t="shared" si="229"/>
        <v>#N/A</v>
      </c>
      <c r="L276" s="396" t="e">
        <f t="shared" si="230"/>
        <v>#N/A</v>
      </c>
      <c r="M276" s="398" t="e">
        <f t="shared" si="231"/>
        <v>#N/A</v>
      </c>
      <c r="N276" s="396" t="e">
        <f t="shared" si="232"/>
        <v>#N/A</v>
      </c>
      <c r="O276" s="396" t="e">
        <f t="shared" si="233"/>
        <v>#N/A</v>
      </c>
      <c r="P276" s="396" t="e">
        <f t="shared" si="234"/>
        <v>#N/A</v>
      </c>
      <c r="Q276" s="396" t="e">
        <f t="shared" si="235"/>
        <v>#N/A</v>
      </c>
      <c r="R276" s="396" t="e">
        <f t="shared" si="236"/>
        <v>#N/A</v>
      </c>
      <c r="S276" s="396" t="e">
        <f t="shared" si="237"/>
        <v>#N/A</v>
      </c>
      <c r="T276" s="397" t="e">
        <f t="shared" si="238"/>
        <v>#N/A</v>
      </c>
      <c r="U276" s="396" t="e">
        <f t="shared" si="239"/>
        <v>#N/A</v>
      </c>
      <c r="V276" s="396" t="e">
        <f t="shared" si="240"/>
        <v>#N/A</v>
      </c>
      <c r="W276" s="206" t="e">
        <f t="shared" si="241"/>
        <v>#N/A</v>
      </c>
      <c r="X276" s="207" t="e">
        <f t="shared" si="242"/>
        <v>#N/A</v>
      </c>
      <c r="Y276" s="207" t="e">
        <f t="shared" si="243"/>
        <v>#N/A</v>
      </c>
      <c r="Z276" s="233" t="e">
        <f t="shared" si="244"/>
        <v>#N/A</v>
      </c>
      <c r="AA276" s="208" t="e">
        <f t="shared" si="254"/>
        <v>#N/A</v>
      </c>
      <c r="AB276" s="233" t="e">
        <f t="shared" si="245"/>
        <v>#N/A</v>
      </c>
      <c r="AC276" s="233" t="e">
        <f t="shared" si="246"/>
        <v>#N/A</v>
      </c>
      <c r="AD276" s="233" t="e">
        <f t="shared" si="247"/>
        <v>#N/A</v>
      </c>
      <c r="AE276" s="233" t="e">
        <f t="shared" si="248"/>
        <v>#N/A</v>
      </c>
      <c r="AF276" s="238" t="e">
        <f t="shared" si="249"/>
        <v>#N/A</v>
      </c>
      <c r="AG276" s="238" t="e">
        <f t="shared" si="250"/>
        <v>#N/A</v>
      </c>
      <c r="AH276" s="238" t="e">
        <f t="shared" si="251"/>
        <v>#N/A</v>
      </c>
      <c r="AI276" s="261" t="e">
        <f t="shared" si="252"/>
        <v>#N/A</v>
      </c>
      <c r="AJ276" s="233" t="e">
        <f t="shared" si="253"/>
        <v>#N/A</v>
      </c>
    </row>
    <row r="277" spans="5:36" s="120" customFormat="1" ht="35.25" customHeight="1" x14ac:dyDescent="0.2">
      <c r="E277" s="218" t="s">
        <v>2306</v>
      </c>
      <c r="F277" s="130"/>
      <c r="G277" s="67" t="e">
        <f t="shared" si="225"/>
        <v>#N/A</v>
      </c>
      <c r="H277" s="396" t="e">
        <f t="shared" si="226"/>
        <v>#N/A</v>
      </c>
      <c r="I277" s="396" t="e">
        <f t="shared" si="227"/>
        <v>#N/A</v>
      </c>
      <c r="J277" s="396" t="e">
        <f t="shared" si="228"/>
        <v>#N/A</v>
      </c>
      <c r="K277" s="398" t="e">
        <f t="shared" si="229"/>
        <v>#N/A</v>
      </c>
      <c r="L277" s="396" t="e">
        <f t="shared" si="230"/>
        <v>#N/A</v>
      </c>
      <c r="M277" s="398" t="e">
        <f t="shared" si="231"/>
        <v>#N/A</v>
      </c>
      <c r="N277" s="396" t="e">
        <f t="shared" si="232"/>
        <v>#N/A</v>
      </c>
      <c r="O277" s="396" t="e">
        <f t="shared" si="233"/>
        <v>#N/A</v>
      </c>
      <c r="P277" s="396" t="e">
        <f t="shared" si="234"/>
        <v>#N/A</v>
      </c>
      <c r="Q277" s="396" t="e">
        <f t="shared" si="235"/>
        <v>#N/A</v>
      </c>
      <c r="R277" s="396" t="e">
        <f t="shared" si="236"/>
        <v>#N/A</v>
      </c>
      <c r="S277" s="396" t="e">
        <f t="shared" si="237"/>
        <v>#N/A</v>
      </c>
      <c r="T277" s="397" t="e">
        <f t="shared" si="238"/>
        <v>#N/A</v>
      </c>
      <c r="U277" s="396" t="e">
        <f t="shared" si="239"/>
        <v>#N/A</v>
      </c>
      <c r="V277" s="396" t="e">
        <f t="shared" si="240"/>
        <v>#N/A</v>
      </c>
      <c r="W277" s="206" t="e">
        <f t="shared" si="241"/>
        <v>#N/A</v>
      </c>
      <c r="X277" s="207" t="e">
        <f t="shared" si="242"/>
        <v>#N/A</v>
      </c>
      <c r="Y277" s="207" t="e">
        <f t="shared" si="243"/>
        <v>#N/A</v>
      </c>
      <c r="Z277" s="233" t="e">
        <f t="shared" si="244"/>
        <v>#N/A</v>
      </c>
      <c r="AA277" s="208" t="e">
        <f t="shared" si="254"/>
        <v>#N/A</v>
      </c>
      <c r="AB277" s="233" t="e">
        <f t="shared" si="245"/>
        <v>#N/A</v>
      </c>
      <c r="AC277" s="233" t="e">
        <f t="shared" si="246"/>
        <v>#N/A</v>
      </c>
      <c r="AD277" s="233" t="e">
        <f t="shared" si="247"/>
        <v>#N/A</v>
      </c>
      <c r="AE277" s="233" t="e">
        <f t="shared" si="248"/>
        <v>#N/A</v>
      </c>
      <c r="AF277" s="238" t="e">
        <f t="shared" si="249"/>
        <v>#N/A</v>
      </c>
      <c r="AG277" s="238" t="e">
        <f t="shared" si="250"/>
        <v>#N/A</v>
      </c>
      <c r="AH277" s="238" t="e">
        <f t="shared" si="251"/>
        <v>#N/A</v>
      </c>
      <c r="AI277" s="261" t="e">
        <f t="shared" si="252"/>
        <v>#N/A</v>
      </c>
      <c r="AJ277" s="233" t="e">
        <f t="shared" si="253"/>
        <v>#N/A</v>
      </c>
    </row>
    <row r="278" spans="5:36" s="120" customFormat="1" ht="35.25" customHeight="1" x14ac:dyDescent="0.2">
      <c r="E278" s="218" t="s">
        <v>2306</v>
      </c>
      <c r="F278" s="130"/>
      <c r="G278" s="67" t="e">
        <f t="shared" si="225"/>
        <v>#N/A</v>
      </c>
      <c r="H278" s="396" t="e">
        <f t="shared" si="226"/>
        <v>#N/A</v>
      </c>
      <c r="I278" s="396" t="e">
        <f t="shared" si="227"/>
        <v>#N/A</v>
      </c>
      <c r="J278" s="396" t="e">
        <f t="shared" si="228"/>
        <v>#N/A</v>
      </c>
      <c r="K278" s="398" t="e">
        <f t="shared" si="229"/>
        <v>#N/A</v>
      </c>
      <c r="L278" s="396" t="e">
        <f t="shared" si="230"/>
        <v>#N/A</v>
      </c>
      <c r="M278" s="398" t="e">
        <f t="shared" si="231"/>
        <v>#N/A</v>
      </c>
      <c r="N278" s="396" t="e">
        <f t="shared" si="232"/>
        <v>#N/A</v>
      </c>
      <c r="O278" s="396" t="e">
        <f t="shared" si="233"/>
        <v>#N/A</v>
      </c>
      <c r="P278" s="396" t="e">
        <f t="shared" si="234"/>
        <v>#N/A</v>
      </c>
      <c r="Q278" s="396" t="e">
        <f t="shared" si="235"/>
        <v>#N/A</v>
      </c>
      <c r="R278" s="396" t="e">
        <f t="shared" si="236"/>
        <v>#N/A</v>
      </c>
      <c r="S278" s="396" t="e">
        <f t="shared" si="237"/>
        <v>#N/A</v>
      </c>
      <c r="T278" s="397" t="e">
        <f t="shared" si="238"/>
        <v>#N/A</v>
      </c>
      <c r="U278" s="396" t="e">
        <f t="shared" si="239"/>
        <v>#N/A</v>
      </c>
      <c r="V278" s="396" t="e">
        <f t="shared" si="240"/>
        <v>#N/A</v>
      </c>
      <c r="W278" s="206" t="e">
        <f t="shared" si="241"/>
        <v>#N/A</v>
      </c>
      <c r="X278" s="207" t="e">
        <f t="shared" si="242"/>
        <v>#N/A</v>
      </c>
      <c r="Y278" s="207" t="e">
        <f t="shared" si="243"/>
        <v>#N/A</v>
      </c>
      <c r="Z278" s="233" t="e">
        <f t="shared" si="244"/>
        <v>#N/A</v>
      </c>
      <c r="AA278" s="208" t="e">
        <f t="shared" si="254"/>
        <v>#N/A</v>
      </c>
      <c r="AB278" s="233" t="e">
        <f t="shared" si="245"/>
        <v>#N/A</v>
      </c>
      <c r="AC278" s="233" t="e">
        <f t="shared" si="246"/>
        <v>#N/A</v>
      </c>
      <c r="AD278" s="233" t="e">
        <f t="shared" si="247"/>
        <v>#N/A</v>
      </c>
      <c r="AE278" s="233" t="e">
        <f t="shared" si="248"/>
        <v>#N/A</v>
      </c>
      <c r="AF278" s="238" t="e">
        <f t="shared" si="249"/>
        <v>#N/A</v>
      </c>
      <c r="AG278" s="238" t="e">
        <f t="shared" si="250"/>
        <v>#N/A</v>
      </c>
      <c r="AH278" s="238" t="e">
        <f t="shared" si="251"/>
        <v>#N/A</v>
      </c>
      <c r="AI278" s="261" t="e">
        <f t="shared" si="252"/>
        <v>#N/A</v>
      </c>
      <c r="AJ278" s="233" t="e">
        <f t="shared" si="253"/>
        <v>#N/A</v>
      </c>
    </row>
    <row r="279" spans="5:36" s="120" customFormat="1" ht="35.25" customHeight="1" x14ac:dyDescent="0.2">
      <c r="E279" s="218" t="s">
        <v>2306</v>
      </c>
      <c r="F279" s="130"/>
      <c r="G279" s="67" t="e">
        <f t="shared" si="225"/>
        <v>#N/A</v>
      </c>
      <c r="H279" s="396" t="e">
        <f t="shared" si="226"/>
        <v>#N/A</v>
      </c>
      <c r="I279" s="396" t="e">
        <f t="shared" si="227"/>
        <v>#N/A</v>
      </c>
      <c r="J279" s="396" t="e">
        <f t="shared" si="228"/>
        <v>#N/A</v>
      </c>
      <c r="K279" s="398" t="e">
        <f t="shared" si="229"/>
        <v>#N/A</v>
      </c>
      <c r="L279" s="396" t="e">
        <f t="shared" si="230"/>
        <v>#N/A</v>
      </c>
      <c r="M279" s="398" t="e">
        <f t="shared" si="231"/>
        <v>#N/A</v>
      </c>
      <c r="N279" s="396" t="e">
        <f t="shared" si="232"/>
        <v>#N/A</v>
      </c>
      <c r="O279" s="396" t="e">
        <f t="shared" si="233"/>
        <v>#N/A</v>
      </c>
      <c r="P279" s="396" t="e">
        <f t="shared" si="234"/>
        <v>#N/A</v>
      </c>
      <c r="Q279" s="396" t="e">
        <f t="shared" si="235"/>
        <v>#N/A</v>
      </c>
      <c r="R279" s="396" t="e">
        <f t="shared" si="236"/>
        <v>#N/A</v>
      </c>
      <c r="S279" s="396" t="e">
        <f t="shared" si="237"/>
        <v>#N/A</v>
      </c>
      <c r="T279" s="397" t="e">
        <f t="shared" si="238"/>
        <v>#N/A</v>
      </c>
      <c r="U279" s="396" t="e">
        <f t="shared" si="239"/>
        <v>#N/A</v>
      </c>
      <c r="V279" s="396" t="e">
        <f t="shared" si="240"/>
        <v>#N/A</v>
      </c>
      <c r="W279" s="206" t="e">
        <f t="shared" si="241"/>
        <v>#N/A</v>
      </c>
      <c r="X279" s="207" t="e">
        <f t="shared" si="242"/>
        <v>#N/A</v>
      </c>
      <c r="Y279" s="207" t="e">
        <f t="shared" si="243"/>
        <v>#N/A</v>
      </c>
      <c r="Z279" s="233" t="e">
        <f t="shared" si="244"/>
        <v>#N/A</v>
      </c>
      <c r="AA279" s="208" t="e">
        <f t="shared" si="254"/>
        <v>#N/A</v>
      </c>
      <c r="AB279" s="233" t="e">
        <f t="shared" si="245"/>
        <v>#N/A</v>
      </c>
      <c r="AC279" s="233" t="e">
        <f t="shared" si="246"/>
        <v>#N/A</v>
      </c>
      <c r="AD279" s="233" t="e">
        <f t="shared" si="247"/>
        <v>#N/A</v>
      </c>
      <c r="AE279" s="233" t="e">
        <f t="shared" si="248"/>
        <v>#N/A</v>
      </c>
      <c r="AF279" s="238" t="e">
        <f t="shared" si="249"/>
        <v>#N/A</v>
      </c>
      <c r="AG279" s="238" t="e">
        <f t="shared" si="250"/>
        <v>#N/A</v>
      </c>
      <c r="AH279" s="238" t="e">
        <f t="shared" si="251"/>
        <v>#N/A</v>
      </c>
      <c r="AI279" s="261" t="e">
        <f t="shared" si="252"/>
        <v>#N/A</v>
      </c>
      <c r="AJ279" s="233" t="e">
        <f t="shared" si="253"/>
        <v>#N/A</v>
      </c>
    </row>
    <row r="280" spans="5:36" s="120" customFormat="1" ht="35.25" customHeight="1" x14ac:dyDescent="0.2">
      <c r="E280" s="218" t="s">
        <v>2306</v>
      </c>
      <c r="F280" s="130"/>
      <c r="G280" s="67" t="e">
        <f t="shared" si="225"/>
        <v>#N/A</v>
      </c>
      <c r="H280" s="396" t="e">
        <f t="shared" si="226"/>
        <v>#N/A</v>
      </c>
      <c r="I280" s="396" t="e">
        <f t="shared" si="227"/>
        <v>#N/A</v>
      </c>
      <c r="J280" s="396" t="e">
        <f t="shared" si="228"/>
        <v>#N/A</v>
      </c>
      <c r="K280" s="398" t="e">
        <f t="shared" si="229"/>
        <v>#N/A</v>
      </c>
      <c r="L280" s="396" t="e">
        <f t="shared" si="230"/>
        <v>#N/A</v>
      </c>
      <c r="M280" s="398" t="e">
        <f t="shared" si="231"/>
        <v>#N/A</v>
      </c>
      <c r="N280" s="396" t="e">
        <f t="shared" si="232"/>
        <v>#N/A</v>
      </c>
      <c r="O280" s="396" t="e">
        <f t="shared" si="233"/>
        <v>#N/A</v>
      </c>
      <c r="P280" s="396" t="e">
        <f t="shared" si="234"/>
        <v>#N/A</v>
      </c>
      <c r="Q280" s="396" t="e">
        <f t="shared" si="235"/>
        <v>#N/A</v>
      </c>
      <c r="R280" s="396" t="e">
        <f t="shared" si="236"/>
        <v>#N/A</v>
      </c>
      <c r="S280" s="396" t="e">
        <f t="shared" si="237"/>
        <v>#N/A</v>
      </c>
      <c r="T280" s="397" t="e">
        <f t="shared" si="238"/>
        <v>#N/A</v>
      </c>
      <c r="U280" s="396" t="e">
        <f t="shared" si="239"/>
        <v>#N/A</v>
      </c>
      <c r="V280" s="396" t="e">
        <f t="shared" si="240"/>
        <v>#N/A</v>
      </c>
      <c r="W280" s="206" t="e">
        <f t="shared" si="241"/>
        <v>#N/A</v>
      </c>
      <c r="X280" s="207" t="e">
        <f t="shared" si="242"/>
        <v>#N/A</v>
      </c>
      <c r="Y280" s="207" t="e">
        <f t="shared" si="243"/>
        <v>#N/A</v>
      </c>
      <c r="Z280" s="233" t="e">
        <f t="shared" si="244"/>
        <v>#N/A</v>
      </c>
      <c r="AA280" s="208" t="e">
        <f t="shared" si="254"/>
        <v>#N/A</v>
      </c>
      <c r="AB280" s="233" t="e">
        <f t="shared" si="245"/>
        <v>#N/A</v>
      </c>
      <c r="AC280" s="233" t="e">
        <f t="shared" si="246"/>
        <v>#N/A</v>
      </c>
      <c r="AD280" s="233" t="e">
        <f t="shared" si="247"/>
        <v>#N/A</v>
      </c>
      <c r="AE280" s="233" t="e">
        <f t="shared" si="248"/>
        <v>#N/A</v>
      </c>
      <c r="AF280" s="238" t="e">
        <f t="shared" si="249"/>
        <v>#N/A</v>
      </c>
      <c r="AG280" s="238" t="e">
        <f t="shared" si="250"/>
        <v>#N/A</v>
      </c>
      <c r="AH280" s="238" t="e">
        <f t="shared" si="251"/>
        <v>#N/A</v>
      </c>
      <c r="AI280" s="261" t="e">
        <f t="shared" si="252"/>
        <v>#N/A</v>
      </c>
      <c r="AJ280" s="233" t="e">
        <f t="shared" si="253"/>
        <v>#N/A</v>
      </c>
    </row>
    <row r="281" spans="5:36" s="120" customFormat="1" ht="35.25" customHeight="1" x14ac:dyDescent="0.2">
      <c r="E281" s="218" t="s">
        <v>2306</v>
      </c>
      <c r="F281" s="130"/>
      <c r="G281" s="67" t="e">
        <f t="shared" si="225"/>
        <v>#N/A</v>
      </c>
      <c r="H281" s="396" t="e">
        <f t="shared" si="226"/>
        <v>#N/A</v>
      </c>
      <c r="I281" s="396" t="e">
        <f t="shared" si="227"/>
        <v>#N/A</v>
      </c>
      <c r="J281" s="396" t="e">
        <f t="shared" si="228"/>
        <v>#N/A</v>
      </c>
      <c r="K281" s="398" t="e">
        <f t="shared" si="229"/>
        <v>#N/A</v>
      </c>
      <c r="L281" s="396" t="e">
        <f t="shared" si="230"/>
        <v>#N/A</v>
      </c>
      <c r="M281" s="398" t="e">
        <f t="shared" si="231"/>
        <v>#N/A</v>
      </c>
      <c r="N281" s="396" t="e">
        <f t="shared" si="232"/>
        <v>#N/A</v>
      </c>
      <c r="O281" s="396" t="e">
        <f t="shared" si="233"/>
        <v>#N/A</v>
      </c>
      <c r="P281" s="396" t="e">
        <f t="shared" si="234"/>
        <v>#N/A</v>
      </c>
      <c r="Q281" s="396" t="e">
        <f t="shared" si="235"/>
        <v>#N/A</v>
      </c>
      <c r="R281" s="396" t="e">
        <f t="shared" si="236"/>
        <v>#N/A</v>
      </c>
      <c r="S281" s="396" t="e">
        <f t="shared" si="237"/>
        <v>#N/A</v>
      </c>
      <c r="T281" s="397" t="e">
        <f t="shared" si="238"/>
        <v>#N/A</v>
      </c>
      <c r="U281" s="396" t="e">
        <f t="shared" si="239"/>
        <v>#N/A</v>
      </c>
      <c r="V281" s="396" t="e">
        <f t="shared" si="240"/>
        <v>#N/A</v>
      </c>
      <c r="W281" s="206" t="e">
        <f t="shared" si="241"/>
        <v>#N/A</v>
      </c>
      <c r="X281" s="207" t="e">
        <f t="shared" si="242"/>
        <v>#N/A</v>
      </c>
      <c r="Y281" s="207" t="e">
        <f t="shared" si="243"/>
        <v>#N/A</v>
      </c>
      <c r="Z281" s="233" t="e">
        <f t="shared" si="244"/>
        <v>#N/A</v>
      </c>
      <c r="AA281" s="208" t="e">
        <f t="shared" si="254"/>
        <v>#N/A</v>
      </c>
      <c r="AB281" s="233" t="e">
        <f t="shared" si="245"/>
        <v>#N/A</v>
      </c>
      <c r="AC281" s="233" t="e">
        <f t="shared" si="246"/>
        <v>#N/A</v>
      </c>
      <c r="AD281" s="233" t="e">
        <f t="shared" si="247"/>
        <v>#N/A</v>
      </c>
      <c r="AE281" s="233" t="e">
        <f t="shared" si="248"/>
        <v>#N/A</v>
      </c>
      <c r="AF281" s="238" t="e">
        <f t="shared" si="249"/>
        <v>#N/A</v>
      </c>
      <c r="AG281" s="238" t="e">
        <f t="shared" si="250"/>
        <v>#N/A</v>
      </c>
      <c r="AH281" s="238" t="e">
        <f t="shared" si="251"/>
        <v>#N/A</v>
      </c>
      <c r="AI281" s="261" t="e">
        <f t="shared" si="252"/>
        <v>#N/A</v>
      </c>
      <c r="AJ281" s="233" t="e">
        <f t="shared" si="253"/>
        <v>#N/A</v>
      </c>
    </row>
    <row r="282" spans="5:36" s="120" customFormat="1" ht="35.25" customHeight="1" x14ac:dyDescent="0.2">
      <c r="E282" s="218" t="s">
        <v>2306</v>
      </c>
      <c r="F282" s="130"/>
      <c r="G282" s="67" t="e">
        <f t="shared" si="225"/>
        <v>#N/A</v>
      </c>
      <c r="H282" s="396" t="e">
        <f t="shared" si="226"/>
        <v>#N/A</v>
      </c>
      <c r="I282" s="396" t="e">
        <f t="shared" si="227"/>
        <v>#N/A</v>
      </c>
      <c r="J282" s="396" t="e">
        <f t="shared" si="228"/>
        <v>#N/A</v>
      </c>
      <c r="K282" s="398" t="e">
        <f t="shared" si="229"/>
        <v>#N/A</v>
      </c>
      <c r="L282" s="396" t="e">
        <f t="shared" si="230"/>
        <v>#N/A</v>
      </c>
      <c r="M282" s="398" t="e">
        <f t="shared" si="231"/>
        <v>#N/A</v>
      </c>
      <c r="N282" s="396" t="e">
        <f t="shared" si="232"/>
        <v>#N/A</v>
      </c>
      <c r="O282" s="396" t="e">
        <f t="shared" si="233"/>
        <v>#N/A</v>
      </c>
      <c r="P282" s="396" t="e">
        <f t="shared" si="234"/>
        <v>#N/A</v>
      </c>
      <c r="Q282" s="396" t="e">
        <f t="shared" si="235"/>
        <v>#N/A</v>
      </c>
      <c r="R282" s="396" t="e">
        <f t="shared" si="236"/>
        <v>#N/A</v>
      </c>
      <c r="S282" s="396" t="e">
        <f t="shared" si="237"/>
        <v>#N/A</v>
      </c>
      <c r="T282" s="397" t="e">
        <f t="shared" si="238"/>
        <v>#N/A</v>
      </c>
      <c r="U282" s="396" t="e">
        <f t="shared" si="239"/>
        <v>#N/A</v>
      </c>
      <c r="V282" s="396" t="e">
        <f t="shared" si="240"/>
        <v>#N/A</v>
      </c>
      <c r="W282" s="206" t="e">
        <f t="shared" si="241"/>
        <v>#N/A</v>
      </c>
      <c r="X282" s="207" t="e">
        <f t="shared" si="242"/>
        <v>#N/A</v>
      </c>
      <c r="Y282" s="207" t="e">
        <f t="shared" si="243"/>
        <v>#N/A</v>
      </c>
      <c r="Z282" s="233" t="e">
        <f t="shared" si="244"/>
        <v>#N/A</v>
      </c>
      <c r="AA282" s="208" t="e">
        <f t="shared" si="254"/>
        <v>#N/A</v>
      </c>
      <c r="AB282" s="233" t="e">
        <f t="shared" si="245"/>
        <v>#N/A</v>
      </c>
      <c r="AC282" s="233" t="e">
        <f t="shared" si="246"/>
        <v>#N/A</v>
      </c>
      <c r="AD282" s="233" t="e">
        <f t="shared" si="247"/>
        <v>#N/A</v>
      </c>
      <c r="AE282" s="233" t="e">
        <f t="shared" si="248"/>
        <v>#N/A</v>
      </c>
      <c r="AF282" s="238" t="e">
        <f t="shared" si="249"/>
        <v>#N/A</v>
      </c>
      <c r="AG282" s="238" t="e">
        <f t="shared" si="250"/>
        <v>#N/A</v>
      </c>
      <c r="AH282" s="238" t="e">
        <f t="shared" si="251"/>
        <v>#N/A</v>
      </c>
      <c r="AI282" s="261" t="e">
        <f t="shared" si="252"/>
        <v>#N/A</v>
      </c>
      <c r="AJ282" s="233" t="e">
        <f t="shared" si="253"/>
        <v>#N/A</v>
      </c>
    </row>
    <row r="283" spans="5:36" s="120" customFormat="1" ht="35.25" customHeight="1" x14ac:dyDescent="0.2">
      <c r="E283" s="218" t="s">
        <v>2306</v>
      </c>
      <c r="F283" s="130"/>
      <c r="G283" s="67" t="e">
        <f t="shared" ref="G283:G346" si="255">VLOOKUP(D283,ACUAN,4,FALSE)</f>
        <v>#N/A</v>
      </c>
      <c r="H283" s="396" t="e">
        <f t="shared" ref="H283:H346" si="256">VLOOKUP(D283,ACUAN,5,FALSE)</f>
        <v>#N/A</v>
      </c>
      <c r="I283" s="396" t="e">
        <f t="shared" ref="I283:I346" si="257">VLOOKUP(D283,ACUAN,6,FALSE)</f>
        <v>#N/A</v>
      </c>
      <c r="J283" s="396" t="e">
        <f t="shared" ref="J283:J346" si="258">VLOOKUP(D283,ACUAN,7,FALSE)</f>
        <v>#N/A</v>
      </c>
      <c r="K283" s="398" t="e">
        <f t="shared" ref="K283:K346" si="259">VLOOKUP(D283,ACUAN,8,FALSE)</f>
        <v>#N/A</v>
      </c>
      <c r="L283" s="396" t="e">
        <f t="shared" ref="L283:L346" si="260">VLOOKUP(D283,ACUAN,9,FALSE)</f>
        <v>#N/A</v>
      </c>
      <c r="M283" s="398" t="e">
        <f t="shared" ref="M283:M346" si="261">VLOOKUP(D283,ACUAN,10,FALSE)</f>
        <v>#N/A</v>
      </c>
      <c r="N283" s="396" t="e">
        <f t="shared" ref="N283:N346" si="262">VLOOKUP(D283,ACUAN,11,FALSE)</f>
        <v>#N/A</v>
      </c>
      <c r="O283" s="396" t="e">
        <f t="shared" ref="O283:O346" si="263">VLOOKUP(D283,ACUAN,12,FALSE)</f>
        <v>#N/A</v>
      </c>
      <c r="P283" s="396" t="e">
        <f t="shared" ref="P283:P346" si="264">VLOOKUP(D283,ACUAN,13,FALSE)</f>
        <v>#N/A</v>
      </c>
      <c r="Q283" s="396" t="e">
        <f t="shared" ref="Q283:Q346" si="265">VLOOKUP(D283,ACUAN,14,FALSE)</f>
        <v>#N/A</v>
      </c>
      <c r="R283" s="396" t="e">
        <f t="shared" ref="R283:R346" si="266">VLOOKUP(D283,ACUAN,15,FALSE)</f>
        <v>#N/A</v>
      </c>
      <c r="S283" s="396" t="e">
        <f t="shared" ref="S283:S346" si="267">VLOOKUP(D283,ACUAN,16,FALSE)</f>
        <v>#N/A</v>
      </c>
      <c r="T283" s="397" t="e">
        <f t="shared" ref="T283:T346" si="268">VLOOKUP(D283,ACUAN,17,FALSE)</f>
        <v>#N/A</v>
      </c>
      <c r="U283" s="396" t="e">
        <f t="shared" ref="U283:U346" si="269">VLOOKUP(D283,ACUAN,18,FALSE)</f>
        <v>#N/A</v>
      </c>
      <c r="V283" s="396" t="e">
        <f t="shared" ref="V283:V346" si="270">VLOOKUP(D283,ACUAN,19,FALSE)</f>
        <v>#N/A</v>
      </c>
      <c r="W283" s="206" t="e">
        <f t="shared" si="241"/>
        <v>#N/A</v>
      </c>
      <c r="X283" s="207" t="e">
        <f t="shared" si="242"/>
        <v>#N/A</v>
      </c>
      <c r="Y283" s="207" t="e">
        <f t="shared" si="243"/>
        <v>#N/A</v>
      </c>
      <c r="Z283" s="233" t="e">
        <f t="shared" si="244"/>
        <v>#N/A</v>
      </c>
      <c r="AA283" s="208" t="e">
        <f t="shared" si="254"/>
        <v>#N/A</v>
      </c>
      <c r="AB283" s="233" t="e">
        <f t="shared" si="245"/>
        <v>#N/A</v>
      </c>
      <c r="AC283" s="233" t="e">
        <f t="shared" si="246"/>
        <v>#N/A</v>
      </c>
      <c r="AD283" s="233" t="e">
        <f t="shared" si="247"/>
        <v>#N/A</v>
      </c>
      <c r="AE283" s="233" t="e">
        <f t="shared" si="248"/>
        <v>#N/A</v>
      </c>
      <c r="AF283" s="238" t="e">
        <f t="shared" si="249"/>
        <v>#N/A</v>
      </c>
      <c r="AG283" s="238" t="e">
        <f t="shared" si="250"/>
        <v>#N/A</v>
      </c>
      <c r="AH283" s="238" t="e">
        <f t="shared" si="251"/>
        <v>#N/A</v>
      </c>
      <c r="AI283" s="261" t="e">
        <f t="shared" si="252"/>
        <v>#N/A</v>
      </c>
      <c r="AJ283" s="233" t="e">
        <f t="shared" si="253"/>
        <v>#N/A</v>
      </c>
    </row>
    <row r="284" spans="5:36" s="120" customFormat="1" ht="35.25" customHeight="1" x14ac:dyDescent="0.2">
      <c r="E284" s="218" t="s">
        <v>2306</v>
      </c>
      <c r="F284" s="130"/>
      <c r="G284" s="67" t="e">
        <f t="shared" si="255"/>
        <v>#N/A</v>
      </c>
      <c r="H284" s="396" t="e">
        <f t="shared" si="256"/>
        <v>#N/A</v>
      </c>
      <c r="I284" s="396" t="e">
        <f t="shared" si="257"/>
        <v>#N/A</v>
      </c>
      <c r="J284" s="396" t="e">
        <f t="shared" si="258"/>
        <v>#N/A</v>
      </c>
      <c r="K284" s="398" t="e">
        <f t="shared" si="259"/>
        <v>#N/A</v>
      </c>
      <c r="L284" s="396" t="e">
        <f t="shared" si="260"/>
        <v>#N/A</v>
      </c>
      <c r="M284" s="398" t="e">
        <f t="shared" si="261"/>
        <v>#N/A</v>
      </c>
      <c r="N284" s="396" t="e">
        <f t="shared" si="262"/>
        <v>#N/A</v>
      </c>
      <c r="O284" s="396" t="e">
        <f t="shared" si="263"/>
        <v>#N/A</v>
      </c>
      <c r="P284" s="396" t="e">
        <f t="shared" si="264"/>
        <v>#N/A</v>
      </c>
      <c r="Q284" s="396" t="e">
        <f t="shared" si="265"/>
        <v>#N/A</v>
      </c>
      <c r="R284" s="396" t="e">
        <f t="shared" si="266"/>
        <v>#N/A</v>
      </c>
      <c r="S284" s="396" t="e">
        <f t="shared" si="267"/>
        <v>#N/A</v>
      </c>
      <c r="T284" s="397" t="e">
        <f t="shared" si="268"/>
        <v>#N/A</v>
      </c>
      <c r="U284" s="396" t="e">
        <f t="shared" si="269"/>
        <v>#N/A</v>
      </c>
      <c r="V284" s="396" t="e">
        <f t="shared" si="270"/>
        <v>#N/A</v>
      </c>
      <c r="W284" s="206" t="e">
        <f t="shared" si="241"/>
        <v>#N/A</v>
      </c>
      <c r="X284" s="207" t="e">
        <f t="shared" si="242"/>
        <v>#N/A</v>
      </c>
      <c r="Y284" s="207" t="e">
        <f t="shared" si="243"/>
        <v>#N/A</v>
      </c>
      <c r="Z284" s="233" t="e">
        <f t="shared" si="244"/>
        <v>#N/A</v>
      </c>
      <c r="AA284" s="208" t="e">
        <f t="shared" si="254"/>
        <v>#N/A</v>
      </c>
      <c r="AB284" s="233" t="e">
        <f t="shared" si="245"/>
        <v>#N/A</v>
      </c>
      <c r="AC284" s="233" t="e">
        <f t="shared" si="246"/>
        <v>#N/A</v>
      </c>
      <c r="AD284" s="233" t="e">
        <f t="shared" si="247"/>
        <v>#N/A</v>
      </c>
      <c r="AE284" s="233" t="e">
        <f t="shared" si="248"/>
        <v>#N/A</v>
      </c>
      <c r="AF284" s="238" t="e">
        <f t="shared" si="249"/>
        <v>#N/A</v>
      </c>
      <c r="AG284" s="238" t="e">
        <f t="shared" si="250"/>
        <v>#N/A</v>
      </c>
      <c r="AH284" s="238" t="e">
        <f t="shared" si="251"/>
        <v>#N/A</v>
      </c>
      <c r="AI284" s="261" t="e">
        <f t="shared" si="252"/>
        <v>#N/A</v>
      </c>
      <c r="AJ284" s="233" t="e">
        <f t="shared" si="253"/>
        <v>#N/A</v>
      </c>
    </row>
    <row r="285" spans="5:36" s="120" customFormat="1" ht="35.25" customHeight="1" x14ac:dyDescent="0.2">
      <c r="E285" s="218" t="s">
        <v>2306</v>
      </c>
      <c r="F285" s="130"/>
      <c r="G285" s="67" t="e">
        <f t="shared" si="255"/>
        <v>#N/A</v>
      </c>
      <c r="H285" s="396" t="e">
        <f t="shared" si="256"/>
        <v>#N/A</v>
      </c>
      <c r="I285" s="396" t="e">
        <f t="shared" si="257"/>
        <v>#N/A</v>
      </c>
      <c r="J285" s="396" t="e">
        <f t="shared" si="258"/>
        <v>#N/A</v>
      </c>
      <c r="K285" s="398" t="e">
        <f t="shared" si="259"/>
        <v>#N/A</v>
      </c>
      <c r="L285" s="396" t="e">
        <f t="shared" si="260"/>
        <v>#N/A</v>
      </c>
      <c r="M285" s="398" t="e">
        <f t="shared" si="261"/>
        <v>#N/A</v>
      </c>
      <c r="N285" s="396" t="e">
        <f t="shared" si="262"/>
        <v>#N/A</v>
      </c>
      <c r="O285" s="396" t="e">
        <f t="shared" si="263"/>
        <v>#N/A</v>
      </c>
      <c r="P285" s="396" t="e">
        <f t="shared" si="264"/>
        <v>#N/A</v>
      </c>
      <c r="Q285" s="396" t="e">
        <f t="shared" si="265"/>
        <v>#N/A</v>
      </c>
      <c r="R285" s="396" t="e">
        <f t="shared" si="266"/>
        <v>#N/A</v>
      </c>
      <c r="S285" s="396" t="e">
        <f t="shared" si="267"/>
        <v>#N/A</v>
      </c>
      <c r="T285" s="397" t="e">
        <f t="shared" si="268"/>
        <v>#N/A</v>
      </c>
      <c r="U285" s="396" t="e">
        <f t="shared" si="269"/>
        <v>#N/A</v>
      </c>
      <c r="V285" s="396" t="e">
        <f t="shared" si="270"/>
        <v>#N/A</v>
      </c>
      <c r="W285" s="206" t="e">
        <f t="shared" si="241"/>
        <v>#N/A</v>
      </c>
      <c r="X285" s="207" t="e">
        <f t="shared" si="242"/>
        <v>#N/A</v>
      </c>
      <c r="Y285" s="207" t="e">
        <f t="shared" si="243"/>
        <v>#N/A</v>
      </c>
      <c r="Z285" s="233" t="e">
        <f t="shared" si="244"/>
        <v>#N/A</v>
      </c>
      <c r="AA285" s="208" t="e">
        <f t="shared" si="254"/>
        <v>#N/A</v>
      </c>
      <c r="AB285" s="233" t="e">
        <f t="shared" si="245"/>
        <v>#N/A</v>
      </c>
      <c r="AC285" s="233" t="e">
        <f t="shared" si="246"/>
        <v>#N/A</v>
      </c>
      <c r="AD285" s="233" t="e">
        <f t="shared" si="247"/>
        <v>#N/A</v>
      </c>
      <c r="AE285" s="233" t="e">
        <f t="shared" si="248"/>
        <v>#N/A</v>
      </c>
      <c r="AF285" s="238" t="e">
        <f t="shared" si="249"/>
        <v>#N/A</v>
      </c>
      <c r="AG285" s="238" t="e">
        <f t="shared" si="250"/>
        <v>#N/A</v>
      </c>
      <c r="AH285" s="238" t="e">
        <f t="shared" si="251"/>
        <v>#N/A</v>
      </c>
      <c r="AI285" s="261" t="e">
        <f t="shared" si="252"/>
        <v>#N/A</v>
      </c>
      <c r="AJ285" s="233" t="e">
        <f t="shared" si="253"/>
        <v>#N/A</v>
      </c>
    </row>
    <row r="286" spans="5:36" s="120" customFormat="1" ht="35.25" customHeight="1" x14ac:dyDescent="0.2">
      <c r="E286" s="218" t="s">
        <v>2306</v>
      </c>
      <c r="F286" s="130"/>
      <c r="G286" s="67" t="e">
        <f t="shared" si="255"/>
        <v>#N/A</v>
      </c>
      <c r="H286" s="396" t="e">
        <f t="shared" si="256"/>
        <v>#N/A</v>
      </c>
      <c r="I286" s="396" t="e">
        <f t="shared" si="257"/>
        <v>#N/A</v>
      </c>
      <c r="J286" s="396" t="e">
        <f t="shared" si="258"/>
        <v>#N/A</v>
      </c>
      <c r="K286" s="398" t="e">
        <f t="shared" si="259"/>
        <v>#N/A</v>
      </c>
      <c r="L286" s="396" t="e">
        <f t="shared" si="260"/>
        <v>#N/A</v>
      </c>
      <c r="M286" s="398" t="e">
        <f t="shared" si="261"/>
        <v>#N/A</v>
      </c>
      <c r="N286" s="396" t="e">
        <f t="shared" si="262"/>
        <v>#N/A</v>
      </c>
      <c r="O286" s="396" t="e">
        <f t="shared" si="263"/>
        <v>#N/A</v>
      </c>
      <c r="P286" s="396" t="e">
        <f t="shared" si="264"/>
        <v>#N/A</v>
      </c>
      <c r="Q286" s="396" t="e">
        <f t="shared" si="265"/>
        <v>#N/A</v>
      </c>
      <c r="R286" s="396" t="e">
        <f t="shared" si="266"/>
        <v>#N/A</v>
      </c>
      <c r="S286" s="396" t="e">
        <f t="shared" si="267"/>
        <v>#N/A</v>
      </c>
      <c r="T286" s="397" t="e">
        <f t="shared" si="268"/>
        <v>#N/A</v>
      </c>
      <c r="U286" s="396" t="e">
        <f t="shared" si="269"/>
        <v>#N/A</v>
      </c>
      <c r="V286" s="396" t="e">
        <f t="shared" si="270"/>
        <v>#N/A</v>
      </c>
      <c r="W286" s="206" t="e">
        <f t="shared" si="241"/>
        <v>#N/A</v>
      </c>
      <c r="X286" s="207" t="e">
        <f t="shared" si="242"/>
        <v>#N/A</v>
      </c>
      <c r="Y286" s="207" t="e">
        <f t="shared" si="243"/>
        <v>#N/A</v>
      </c>
      <c r="Z286" s="233" t="e">
        <f t="shared" si="244"/>
        <v>#N/A</v>
      </c>
      <c r="AA286" s="208" t="e">
        <f t="shared" si="254"/>
        <v>#N/A</v>
      </c>
      <c r="AB286" s="233" t="e">
        <f t="shared" si="245"/>
        <v>#N/A</v>
      </c>
      <c r="AC286" s="233" t="e">
        <f t="shared" si="246"/>
        <v>#N/A</v>
      </c>
      <c r="AD286" s="233" t="e">
        <f t="shared" si="247"/>
        <v>#N/A</v>
      </c>
      <c r="AE286" s="233" t="e">
        <f t="shared" si="248"/>
        <v>#N/A</v>
      </c>
      <c r="AF286" s="238" t="e">
        <f t="shared" si="249"/>
        <v>#N/A</v>
      </c>
      <c r="AG286" s="238" t="e">
        <f t="shared" si="250"/>
        <v>#N/A</v>
      </c>
      <c r="AH286" s="238" t="e">
        <f t="shared" si="251"/>
        <v>#N/A</v>
      </c>
      <c r="AI286" s="261" t="e">
        <f t="shared" si="252"/>
        <v>#N/A</v>
      </c>
      <c r="AJ286" s="233" t="e">
        <f t="shared" si="253"/>
        <v>#N/A</v>
      </c>
    </row>
    <row r="287" spans="5:36" s="120" customFormat="1" ht="35.25" customHeight="1" x14ac:dyDescent="0.2">
      <c r="E287" s="218" t="s">
        <v>2306</v>
      </c>
      <c r="F287" s="130"/>
      <c r="G287" s="67" t="e">
        <f t="shared" si="255"/>
        <v>#N/A</v>
      </c>
      <c r="H287" s="396" t="e">
        <f t="shared" si="256"/>
        <v>#N/A</v>
      </c>
      <c r="I287" s="396" t="e">
        <f t="shared" si="257"/>
        <v>#N/A</v>
      </c>
      <c r="J287" s="396" t="e">
        <f t="shared" si="258"/>
        <v>#N/A</v>
      </c>
      <c r="K287" s="398" t="e">
        <f t="shared" si="259"/>
        <v>#N/A</v>
      </c>
      <c r="L287" s="396" t="e">
        <f t="shared" si="260"/>
        <v>#N/A</v>
      </c>
      <c r="M287" s="398" t="e">
        <f t="shared" si="261"/>
        <v>#N/A</v>
      </c>
      <c r="N287" s="396" t="e">
        <f t="shared" si="262"/>
        <v>#N/A</v>
      </c>
      <c r="O287" s="396" t="e">
        <f t="shared" si="263"/>
        <v>#N/A</v>
      </c>
      <c r="P287" s="396" t="e">
        <f t="shared" si="264"/>
        <v>#N/A</v>
      </c>
      <c r="Q287" s="396" t="e">
        <f t="shared" si="265"/>
        <v>#N/A</v>
      </c>
      <c r="R287" s="396" t="e">
        <f t="shared" si="266"/>
        <v>#N/A</v>
      </c>
      <c r="S287" s="396" t="e">
        <f t="shared" si="267"/>
        <v>#N/A</v>
      </c>
      <c r="T287" s="397" t="e">
        <f t="shared" si="268"/>
        <v>#N/A</v>
      </c>
      <c r="U287" s="396" t="e">
        <f t="shared" si="269"/>
        <v>#N/A</v>
      </c>
      <c r="V287" s="396" t="e">
        <f t="shared" si="270"/>
        <v>#N/A</v>
      </c>
      <c r="W287" s="206" t="e">
        <f t="shared" si="241"/>
        <v>#N/A</v>
      </c>
      <c r="X287" s="207" t="e">
        <f t="shared" si="242"/>
        <v>#N/A</v>
      </c>
      <c r="Y287" s="207" t="e">
        <f t="shared" si="243"/>
        <v>#N/A</v>
      </c>
      <c r="Z287" s="233" t="e">
        <f t="shared" si="244"/>
        <v>#N/A</v>
      </c>
      <c r="AA287" s="208" t="e">
        <f t="shared" si="254"/>
        <v>#N/A</v>
      </c>
      <c r="AB287" s="233" t="e">
        <f t="shared" si="245"/>
        <v>#N/A</v>
      </c>
      <c r="AC287" s="233" t="e">
        <f t="shared" si="246"/>
        <v>#N/A</v>
      </c>
      <c r="AD287" s="233" t="e">
        <f t="shared" si="247"/>
        <v>#N/A</v>
      </c>
      <c r="AE287" s="233" t="e">
        <f t="shared" si="248"/>
        <v>#N/A</v>
      </c>
      <c r="AF287" s="238" t="e">
        <f t="shared" si="249"/>
        <v>#N/A</v>
      </c>
      <c r="AG287" s="238" t="e">
        <f t="shared" si="250"/>
        <v>#N/A</v>
      </c>
      <c r="AH287" s="238" t="e">
        <f t="shared" si="251"/>
        <v>#N/A</v>
      </c>
      <c r="AI287" s="261" t="e">
        <f t="shared" si="252"/>
        <v>#N/A</v>
      </c>
      <c r="AJ287" s="233" t="e">
        <f t="shared" si="253"/>
        <v>#N/A</v>
      </c>
    </row>
    <row r="288" spans="5:36" s="120" customFormat="1" ht="35.25" customHeight="1" x14ac:dyDescent="0.2">
      <c r="E288" s="218" t="s">
        <v>2306</v>
      </c>
      <c r="F288" s="130"/>
      <c r="G288" s="67" t="e">
        <f t="shared" si="255"/>
        <v>#N/A</v>
      </c>
      <c r="H288" s="396" t="e">
        <f t="shared" si="256"/>
        <v>#N/A</v>
      </c>
      <c r="I288" s="396" t="e">
        <f t="shared" si="257"/>
        <v>#N/A</v>
      </c>
      <c r="J288" s="396" t="e">
        <f t="shared" si="258"/>
        <v>#N/A</v>
      </c>
      <c r="K288" s="398" t="e">
        <f t="shared" si="259"/>
        <v>#N/A</v>
      </c>
      <c r="L288" s="396" t="e">
        <f t="shared" si="260"/>
        <v>#N/A</v>
      </c>
      <c r="M288" s="398" t="e">
        <f t="shared" si="261"/>
        <v>#N/A</v>
      </c>
      <c r="N288" s="396" t="e">
        <f t="shared" si="262"/>
        <v>#N/A</v>
      </c>
      <c r="O288" s="396" t="e">
        <f t="shared" si="263"/>
        <v>#N/A</v>
      </c>
      <c r="P288" s="396" t="e">
        <f t="shared" si="264"/>
        <v>#N/A</v>
      </c>
      <c r="Q288" s="396" t="e">
        <f t="shared" si="265"/>
        <v>#N/A</v>
      </c>
      <c r="R288" s="396" t="e">
        <f t="shared" si="266"/>
        <v>#N/A</v>
      </c>
      <c r="S288" s="396" t="e">
        <f t="shared" si="267"/>
        <v>#N/A</v>
      </c>
      <c r="T288" s="397" t="e">
        <f t="shared" si="268"/>
        <v>#N/A</v>
      </c>
      <c r="U288" s="396" t="e">
        <f t="shared" si="269"/>
        <v>#N/A</v>
      </c>
      <c r="V288" s="396" t="e">
        <f t="shared" si="270"/>
        <v>#N/A</v>
      </c>
      <c r="W288" s="206" t="e">
        <f t="shared" si="241"/>
        <v>#N/A</v>
      </c>
      <c r="X288" s="207" t="e">
        <f t="shared" si="242"/>
        <v>#N/A</v>
      </c>
      <c r="Y288" s="207" t="e">
        <f t="shared" si="243"/>
        <v>#N/A</v>
      </c>
      <c r="Z288" s="233" t="e">
        <f t="shared" si="244"/>
        <v>#N/A</v>
      </c>
      <c r="AA288" s="208" t="e">
        <f t="shared" si="254"/>
        <v>#N/A</v>
      </c>
      <c r="AB288" s="233" t="e">
        <f t="shared" si="245"/>
        <v>#N/A</v>
      </c>
      <c r="AC288" s="233" t="e">
        <f t="shared" si="246"/>
        <v>#N/A</v>
      </c>
      <c r="AD288" s="233" t="e">
        <f t="shared" si="247"/>
        <v>#N/A</v>
      </c>
      <c r="AE288" s="233" t="e">
        <f t="shared" si="248"/>
        <v>#N/A</v>
      </c>
      <c r="AF288" s="238" t="e">
        <f t="shared" si="249"/>
        <v>#N/A</v>
      </c>
      <c r="AG288" s="238" t="e">
        <f t="shared" si="250"/>
        <v>#N/A</v>
      </c>
      <c r="AH288" s="238" t="e">
        <f t="shared" si="251"/>
        <v>#N/A</v>
      </c>
      <c r="AI288" s="261" t="e">
        <f t="shared" si="252"/>
        <v>#N/A</v>
      </c>
      <c r="AJ288" s="233" t="e">
        <f t="shared" si="253"/>
        <v>#N/A</v>
      </c>
    </row>
    <row r="289" spans="5:36" s="120" customFormat="1" ht="35.25" customHeight="1" x14ac:dyDescent="0.2">
      <c r="E289" s="218" t="s">
        <v>2306</v>
      </c>
      <c r="F289" s="130"/>
      <c r="G289" s="67" t="e">
        <f t="shared" si="255"/>
        <v>#N/A</v>
      </c>
      <c r="H289" s="396" t="e">
        <f t="shared" si="256"/>
        <v>#N/A</v>
      </c>
      <c r="I289" s="396" t="e">
        <f t="shared" si="257"/>
        <v>#N/A</v>
      </c>
      <c r="J289" s="396" t="e">
        <f t="shared" si="258"/>
        <v>#N/A</v>
      </c>
      <c r="K289" s="398" t="e">
        <f t="shared" si="259"/>
        <v>#N/A</v>
      </c>
      <c r="L289" s="396" t="e">
        <f t="shared" si="260"/>
        <v>#N/A</v>
      </c>
      <c r="M289" s="398" t="e">
        <f t="shared" si="261"/>
        <v>#N/A</v>
      </c>
      <c r="N289" s="396" t="e">
        <f t="shared" si="262"/>
        <v>#N/A</v>
      </c>
      <c r="O289" s="396" t="e">
        <f t="shared" si="263"/>
        <v>#N/A</v>
      </c>
      <c r="P289" s="396" t="e">
        <f t="shared" si="264"/>
        <v>#N/A</v>
      </c>
      <c r="Q289" s="396" t="e">
        <f t="shared" si="265"/>
        <v>#N/A</v>
      </c>
      <c r="R289" s="396" t="e">
        <f t="shared" si="266"/>
        <v>#N/A</v>
      </c>
      <c r="S289" s="396" t="e">
        <f t="shared" si="267"/>
        <v>#N/A</v>
      </c>
      <c r="T289" s="397" t="e">
        <f t="shared" si="268"/>
        <v>#N/A</v>
      </c>
      <c r="U289" s="396" t="e">
        <f t="shared" si="269"/>
        <v>#N/A</v>
      </c>
      <c r="V289" s="396" t="e">
        <f t="shared" si="270"/>
        <v>#N/A</v>
      </c>
      <c r="W289" s="206" t="e">
        <f t="shared" si="241"/>
        <v>#N/A</v>
      </c>
      <c r="X289" s="207" t="e">
        <f t="shared" si="242"/>
        <v>#N/A</v>
      </c>
      <c r="Y289" s="207" t="e">
        <f t="shared" si="243"/>
        <v>#N/A</v>
      </c>
      <c r="Z289" s="233" t="e">
        <f t="shared" si="244"/>
        <v>#N/A</v>
      </c>
      <c r="AA289" s="208" t="e">
        <f t="shared" si="254"/>
        <v>#N/A</v>
      </c>
      <c r="AB289" s="233" t="e">
        <f t="shared" si="245"/>
        <v>#N/A</v>
      </c>
      <c r="AC289" s="233" t="e">
        <f t="shared" si="246"/>
        <v>#N/A</v>
      </c>
      <c r="AD289" s="233" t="e">
        <f t="shared" si="247"/>
        <v>#N/A</v>
      </c>
      <c r="AE289" s="233" t="e">
        <f t="shared" si="248"/>
        <v>#N/A</v>
      </c>
      <c r="AF289" s="238" t="e">
        <f t="shared" si="249"/>
        <v>#N/A</v>
      </c>
      <c r="AG289" s="238" t="e">
        <f t="shared" si="250"/>
        <v>#N/A</v>
      </c>
      <c r="AH289" s="238" t="e">
        <f t="shared" si="251"/>
        <v>#N/A</v>
      </c>
      <c r="AI289" s="261" t="e">
        <f t="shared" si="252"/>
        <v>#N/A</v>
      </c>
      <c r="AJ289" s="233" t="e">
        <f t="shared" si="253"/>
        <v>#N/A</v>
      </c>
    </row>
    <row r="290" spans="5:36" s="120" customFormat="1" ht="35.25" customHeight="1" x14ac:dyDescent="0.2">
      <c r="E290" s="218" t="s">
        <v>2306</v>
      </c>
      <c r="F290" s="130"/>
      <c r="G290" s="67" t="e">
        <f t="shared" si="255"/>
        <v>#N/A</v>
      </c>
      <c r="H290" s="396" t="e">
        <f t="shared" si="256"/>
        <v>#N/A</v>
      </c>
      <c r="I290" s="396" t="e">
        <f t="shared" si="257"/>
        <v>#N/A</v>
      </c>
      <c r="J290" s="396" t="e">
        <f t="shared" si="258"/>
        <v>#N/A</v>
      </c>
      <c r="K290" s="398" t="e">
        <f t="shared" si="259"/>
        <v>#N/A</v>
      </c>
      <c r="L290" s="396" t="e">
        <f t="shared" si="260"/>
        <v>#N/A</v>
      </c>
      <c r="M290" s="398" t="e">
        <f t="shared" si="261"/>
        <v>#N/A</v>
      </c>
      <c r="N290" s="396" t="e">
        <f t="shared" si="262"/>
        <v>#N/A</v>
      </c>
      <c r="O290" s="396" t="e">
        <f t="shared" si="263"/>
        <v>#N/A</v>
      </c>
      <c r="P290" s="396" t="e">
        <f t="shared" si="264"/>
        <v>#N/A</v>
      </c>
      <c r="Q290" s="396" t="e">
        <f t="shared" si="265"/>
        <v>#N/A</v>
      </c>
      <c r="R290" s="396" t="e">
        <f t="shared" si="266"/>
        <v>#N/A</v>
      </c>
      <c r="S290" s="396" t="e">
        <f t="shared" si="267"/>
        <v>#N/A</v>
      </c>
      <c r="T290" s="397" t="e">
        <f t="shared" si="268"/>
        <v>#N/A</v>
      </c>
      <c r="U290" s="396" t="e">
        <f t="shared" si="269"/>
        <v>#N/A</v>
      </c>
      <c r="V290" s="396" t="e">
        <f t="shared" si="270"/>
        <v>#N/A</v>
      </c>
      <c r="W290" s="206" t="e">
        <f t="shared" si="241"/>
        <v>#N/A</v>
      </c>
      <c r="X290" s="207" t="e">
        <f t="shared" si="242"/>
        <v>#N/A</v>
      </c>
      <c r="Y290" s="207" t="e">
        <f t="shared" si="243"/>
        <v>#N/A</v>
      </c>
      <c r="Z290" s="233" t="e">
        <f t="shared" si="244"/>
        <v>#N/A</v>
      </c>
      <c r="AA290" s="208" t="e">
        <f t="shared" si="254"/>
        <v>#N/A</v>
      </c>
      <c r="AB290" s="233" t="e">
        <f t="shared" si="245"/>
        <v>#N/A</v>
      </c>
      <c r="AC290" s="233" t="e">
        <f t="shared" si="246"/>
        <v>#N/A</v>
      </c>
      <c r="AD290" s="233" t="e">
        <f t="shared" si="247"/>
        <v>#N/A</v>
      </c>
      <c r="AE290" s="233" t="e">
        <f t="shared" si="248"/>
        <v>#N/A</v>
      </c>
      <c r="AF290" s="238" t="e">
        <f t="shared" si="249"/>
        <v>#N/A</v>
      </c>
      <c r="AG290" s="238" t="e">
        <f t="shared" si="250"/>
        <v>#N/A</v>
      </c>
      <c r="AH290" s="238" t="e">
        <f t="shared" si="251"/>
        <v>#N/A</v>
      </c>
      <c r="AI290" s="261" t="e">
        <f t="shared" si="252"/>
        <v>#N/A</v>
      </c>
      <c r="AJ290" s="233" t="e">
        <f t="shared" si="253"/>
        <v>#N/A</v>
      </c>
    </row>
    <row r="291" spans="5:36" s="120" customFormat="1" ht="35.25" customHeight="1" x14ac:dyDescent="0.2">
      <c r="E291" s="218" t="s">
        <v>2306</v>
      </c>
      <c r="F291" s="130"/>
      <c r="G291" s="67" t="e">
        <f t="shared" si="255"/>
        <v>#N/A</v>
      </c>
      <c r="H291" s="396" t="e">
        <f t="shared" si="256"/>
        <v>#N/A</v>
      </c>
      <c r="I291" s="396" t="e">
        <f t="shared" si="257"/>
        <v>#N/A</v>
      </c>
      <c r="J291" s="396" t="e">
        <f t="shared" si="258"/>
        <v>#N/A</v>
      </c>
      <c r="K291" s="398" t="e">
        <f t="shared" si="259"/>
        <v>#N/A</v>
      </c>
      <c r="L291" s="396" t="e">
        <f t="shared" si="260"/>
        <v>#N/A</v>
      </c>
      <c r="M291" s="398" t="e">
        <f t="shared" si="261"/>
        <v>#N/A</v>
      </c>
      <c r="N291" s="396" t="e">
        <f t="shared" si="262"/>
        <v>#N/A</v>
      </c>
      <c r="O291" s="396" t="e">
        <f t="shared" si="263"/>
        <v>#N/A</v>
      </c>
      <c r="P291" s="396" t="e">
        <f t="shared" si="264"/>
        <v>#N/A</v>
      </c>
      <c r="Q291" s="396" t="e">
        <f t="shared" si="265"/>
        <v>#N/A</v>
      </c>
      <c r="R291" s="396" t="e">
        <f t="shared" si="266"/>
        <v>#N/A</v>
      </c>
      <c r="S291" s="396" t="e">
        <f t="shared" si="267"/>
        <v>#N/A</v>
      </c>
      <c r="T291" s="397" t="e">
        <f t="shared" si="268"/>
        <v>#N/A</v>
      </c>
      <c r="U291" s="396" t="e">
        <f t="shared" si="269"/>
        <v>#N/A</v>
      </c>
      <c r="V291" s="396" t="e">
        <f t="shared" si="270"/>
        <v>#N/A</v>
      </c>
      <c r="W291" s="206" t="e">
        <f t="shared" si="241"/>
        <v>#N/A</v>
      </c>
      <c r="X291" s="207" t="e">
        <f t="shared" si="242"/>
        <v>#N/A</v>
      </c>
      <c r="Y291" s="207" t="e">
        <f t="shared" si="243"/>
        <v>#N/A</v>
      </c>
      <c r="Z291" s="233" t="e">
        <f t="shared" si="244"/>
        <v>#N/A</v>
      </c>
      <c r="AA291" s="208" t="e">
        <f t="shared" si="254"/>
        <v>#N/A</v>
      </c>
      <c r="AB291" s="233" t="e">
        <f t="shared" si="245"/>
        <v>#N/A</v>
      </c>
      <c r="AC291" s="233" t="e">
        <f t="shared" si="246"/>
        <v>#N/A</v>
      </c>
      <c r="AD291" s="233" t="e">
        <f t="shared" si="247"/>
        <v>#N/A</v>
      </c>
      <c r="AE291" s="233" t="e">
        <f t="shared" si="248"/>
        <v>#N/A</v>
      </c>
      <c r="AF291" s="238" t="e">
        <f t="shared" si="249"/>
        <v>#N/A</v>
      </c>
      <c r="AG291" s="238" t="e">
        <f t="shared" si="250"/>
        <v>#N/A</v>
      </c>
      <c r="AH291" s="238" t="e">
        <f t="shared" si="251"/>
        <v>#N/A</v>
      </c>
      <c r="AI291" s="261" t="e">
        <f t="shared" si="252"/>
        <v>#N/A</v>
      </c>
      <c r="AJ291" s="233" t="e">
        <f t="shared" si="253"/>
        <v>#N/A</v>
      </c>
    </row>
    <row r="292" spans="5:36" s="120" customFormat="1" ht="35.25" customHeight="1" x14ac:dyDescent="0.2">
      <c r="E292" s="218" t="s">
        <v>2306</v>
      </c>
      <c r="F292" s="130"/>
      <c r="G292" s="67" t="e">
        <f t="shared" si="255"/>
        <v>#N/A</v>
      </c>
      <c r="H292" s="396" t="e">
        <f t="shared" si="256"/>
        <v>#N/A</v>
      </c>
      <c r="I292" s="396" t="e">
        <f t="shared" si="257"/>
        <v>#N/A</v>
      </c>
      <c r="J292" s="396" t="e">
        <f t="shared" si="258"/>
        <v>#N/A</v>
      </c>
      <c r="K292" s="398" t="e">
        <f t="shared" si="259"/>
        <v>#N/A</v>
      </c>
      <c r="L292" s="396" t="e">
        <f t="shared" si="260"/>
        <v>#N/A</v>
      </c>
      <c r="M292" s="398" t="e">
        <f t="shared" si="261"/>
        <v>#N/A</v>
      </c>
      <c r="N292" s="396" t="e">
        <f t="shared" si="262"/>
        <v>#N/A</v>
      </c>
      <c r="O292" s="396" t="e">
        <f t="shared" si="263"/>
        <v>#N/A</v>
      </c>
      <c r="P292" s="396" t="e">
        <f t="shared" si="264"/>
        <v>#N/A</v>
      </c>
      <c r="Q292" s="396" t="e">
        <f t="shared" si="265"/>
        <v>#N/A</v>
      </c>
      <c r="R292" s="396" t="e">
        <f t="shared" si="266"/>
        <v>#N/A</v>
      </c>
      <c r="S292" s="396" t="e">
        <f t="shared" si="267"/>
        <v>#N/A</v>
      </c>
      <c r="T292" s="397" t="e">
        <f t="shared" si="268"/>
        <v>#N/A</v>
      </c>
      <c r="U292" s="396" t="e">
        <f t="shared" si="269"/>
        <v>#N/A</v>
      </c>
      <c r="V292" s="396" t="e">
        <f t="shared" si="270"/>
        <v>#N/A</v>
      </c>
      <c r="W292" s="206" t="e">
        <f t="shared" si="241"/>
        <v>#N/A</v>
      </c>
      <c r="X292" s="207" t="e">
        <f t="shared" si="242"/>
        <v>#N/A</v>
      </c>
      <c r="Y292" s="207" t="e">
        <f t="shared" si="243"/>
        <v>#N/A</v>
      </c>
      <c r="Z292" s="233" t="e">
        <f t="shared" si="244"/>
        <v>#N/A</v>
      </c>
      <c r="AA292" s="208" t="e">
        <f t="shared" si="254"/>
        <v>#N/A</v>
      </c>
      <c r="AB292" s="233" t="e">
        <f t="shared" si="245"/>
        <v>#N/A</v>
      </c>
      <c r="AC292" s="233" t="e">
        <f t="shared" si="246"/>
        <v>#N/A</v>
      </c>
      <c r="AD292" s="233" t="e">
        <f t="shared" si="247"/>
        <v>#N/A</v>
      </c>
      <c r="AE292" s="233" t="e">
        <f t="shared" si="248"/>
        <v>#N/A</v>
      </c>
      <c r="AF292" s="238" t="e">
        <f t="shared" si="249"/>
        <v>#N/A</v>
      </c>
      <c r="AG292" s="238" t="e">
        <f t="shared" si="250"/>
        <v>#N/A</v>
      </c>
      <c r="AH292" s="238" t="e">
        <f t="shared" si="251"/>
        <v>#N/A</v>
      </c>
      <c r="AI292" s="261" t="e">
        <f t="shared" si="252"/>
        <v>#N/A</v>
      </c>
      <c r="AJ292" s="233" t="e">
        <f t="shared" si="253"/>
        <v>#N/A</v>
      </c>
    </row>
    <row r="293" spans="5:36" s="120" customFormat="1" ht="35.25" customHeight="1" x14ac:dyDescent="0.2">
      <c r="E293" s="218" t="s">
        <v>2306</v>
      </c>
      <c r="F293" s="130"/>
      <c r="G293" s="67" t="e">
        <f t="shared" si="255"/>
        <v>#N/A</v>
      </c>
      <c r="H293" s="396" t="e">
        <f t="shared" si="256"/>
        <v>#N/A</v>
      </c>
      <c r="I293" s="396" t="e">
        <f t="shared" si="257"/>
        <v>#N/A</v>
      </c>
      <c r="J293" s="396" t="e">
        <f t="shared" si="258"/>
        <v>#N/A</v>
      </c>
      <c r="K293" s="398" t="e">
        <f t="shared" si="259"/>
        <v>#N/A</v>
      </c>
      <c r="L293" s="396" t="e">
        <f t="shared" si="260"/>
        <v>#N/A</v>
      </c>
      <c r="M293" s="398" t="e">
        <f t="shared" si="261"/>
        <v>#N/A</v>
      </c>
      <c r="N293" s="396" t="e">
        <f t="shared" si="262"/>
        <v>#N/A</v>
      </c>
      <c r="O293" s="396" t="e">
        <f t="shared" si="263"/>
        <v>#N/A</v>
      </c>
      <c r="P293" s="396" t="e">
        <f t="shared" si="264"/>
        <v>#N/A</v>
      </c>
      <c r="Q293" s="396" t="e">
        <f t="shared" si="265"/>
        <v>#N/A</v>
      </c>
      <c r="R293" s="396" t="e">
        <f t="shared" si="266"/>
        <v>#N/A</v>
      </c>
      <c r="S293" s="396" t="e">
        <f t="shared" si="267"/>
        <v>#N/A</v>
      </c>
      <c r="T293" s="397" t="e">
        <f t="shared" si="268"/>
        <v>#N/A</v>
      </c>
      <c r="U293" s="396" t="e">
        <f t="shared" si="269"/>
        <v>#N/A</v>
      </c>
      <c r="V293" s="396" t="e">
        <f t="shared" si="270"/>
        <v>#N/A</v>
      </c>
      <c r="W293" s="206" t="e">
        <f t="shared" si="241"/>
        <v>#N/A</v>
      </c>
      <c r="X293" s="207" t="e">
        <f t="shared" si="242"/>
        <v>#N/A</v>
      </c>
      <c r="Y293" s="207" t="e">
        <f t="shared" si="243"/>
        <v>#N/A</v>
      </c>
      <c r="Z293" s="233" t="e">
        <f t="shared" si="244"/>
        <v>#N/A</v>
      </c>
      <c r="AA293" s="208" t="e">
        <f t="shared" si="254"/>
        <v>#N/A</v>
      </c>
      <c r="AB293" s="233" t="e">
        <f t="shared" si="245"/>
        <v>#N/A</v>
      </c>
      <c r="AC293" s="233" t="e">
        <f t="shared" si="246"/>
        <v>#N/A</v>
      </c>
      <c r="AD293" s="233" t="e">
        <f t="shared" si="247"/>
        <v>#N/A</v>
      </c>
      <c r="AE293" s="233" t="e">
        <f t="shared" si="248"/>
        <v>#N/A</v>
      </c>
      <c r="AF293" s="238" t="e">
        <f t="shared" si="249"/>
        <v>#N/A</v>
      </c>
      <c r="AG293" s="238" t="e">
        <f t="shared" si="250"/>
        <v>#N/A</v>
      </c>
      <c r="AH293" s="238" t="e">
        <f t="shared" si="251"/>
        <v>#N/A</v>
      </c>
      <c r="AI293" s="261" t="e">
        <f t="shared" si="252"/>
        <v>#N/A</v>
      </c>
      <c r="AJ293" s="233" t="e">
        <f t="shared" si="253"/>
        <v>#N/A</v>
      </c>
    </row>
    <row r="294" spans="5:36" s="120" customFormat="1" ht="35.25" customHeight="1" x14ac:dyDescent="0.2">
      <c r="E294" s="218" t="s">
        <v>2306</v>
      </c>
      <c r="F294" s="130"/>
      <c r="G294" s="67" t="e">
        <f t="shared" si="255"/>
        <v>#N/A</v>
      </c>
      <c r="H294" s="396" t="e">
        <f t="shared" si="256"/>
        <v>#N/A</v>
      </c>
      <c r="I294" s="396" t="e">
        <f t="shared" si="257"/>
        <v>#N/A</v>
      </c>
      <c r="J294" s="396" t="e">
        <f t="shared" si="258"/>
        <v>#N/A</v>
      </c>
      <c r="K294" s="398" t="e">
        <f t="shared" si="259"/>
        <v>#N/A</v>
      </c>
      <c r="L294" s="396" t="e">
        <f t="shared" si="260"/>
        <v>#N/A</v>
      </c>
      <c r="M294" s="398" t="e">
        <f t="shared" si="261"/>
        <v>#N/A</v>
      </c>
      <c r="N294" s="396" t="e">
        <f t="shared" si="262"/>
        <v>#N/A</v>
      </c>
      <c r="O294" s="396" t="e">
        <f t="shared" si="263"/>
        <v>#N/A</v>
      </c>
      <c r="P294" s="396" t="e">
        <f t="shared" si="264"/>
        <v>#N/A</v>
      </c>
      <c r="Q294" s="396" t="e">
        <f t="shared" si="265"/>
        <v>#N/A</v>
      </c>
      <c r="R294" s="396" t="e">
        <f t="shared" si="266"/>
        <v>#N/A</v>
      </c>
      <c r="S294" s="396" t="e">
        <f t="shared" si="267"/>
        <v>#N/A</v>
      </c>
      <c r="T294" s="397" t="e">
        <f t="shared" si="268"/>
        <v>#N/A</v>
      </c>
      <c r="U294" s="396" t="e">
        <f t="shared" si="269"/>
        <v>#N/A</v>
      </c>
      <c r="V294" s="396" t="e">
        <f t="shared" si="270"/>
        <v>#N/A</v>
      </c>
      <c r="W294" s="206" t="e">
        <f t="shared" si="241"/>
        <v>#N/A</v>
      </c>
      <c r="X294" s="207" t="e">
        <f t="shared" si="242"/>
        <v>#N/A</v>
      </c>
      <c r="Y294" s="207" t="e">
        <f t="shared" si="243"/>
        <v>#N/A</v>
      </c>
      <c r="Z294" s="233" t="e">
        <f t="shared" si="244"/>
        <v>#N/A</v>
      </c>
      <c r="AA294" s="208" t="e">
        <f t="shared" si="254"/>
        <v>#N/A</v>
      </c>
      <c r="AB294" s="233" t="e">
        <f t="shared" si="245"/>
        <v>#N/A</v>
      </c>
      <c r="AC294" s="233" t="e">
        <f t="shared" si="246"/>
        <v>#N/A</v>
      </c>
      <c r="AD294" s="233" t="e">
        <f t="shared" si="247"/>
        <v>#N/A</v>
      </c>
      <c r="AE294" s="233" t="e">
        <f t="shared" si="248"/>
        <v>#N/A</v>
      </c>
      <c r="AF294" s="238" t="e">
        <f t="shared" si="249"/>
        <v>#N/A</v>
      </c>
      <c r="AG294" s="238" t="e">
        <f t="shared" si="250"/>
        <v>#N/A</v>
      </c>
      <c r="AH294" s="238" t="e">
        <f t="shared" si="251"/>
        <v>#N/A</v>
      </c>
      <c r="AI294" s="261" t="e">
        <f t="shared" si="252"/>
        <v>#N/A</v>
      </c>
      <c r="AJ294" s="233" t="e">
        <f t="shared" si="253"/>
        <v>#N/A</v>
      </c>
    </row>
    <row r="295" spans="5:36" s="120" customFormat="1" ht="35.25" customHeight="1" x14ac:dyDescent="0.2">
      <c r="E295" s="218" t="s">
        <v>2306</v>
      </c>
      <c r="F295" s="130"/>
      <c r="G295" s="67" t="e">
        <f t="shared" si="255"/>
        <v>#N/A</v>
      </c>
      <c r="H295" s="396" t="e">
        <f t="shared" si="256"/>
        <v>#N/A</v>
      </c>
      <c r="I295" s="396" t="e">
        <f t="shared" si="257"/>
        <v>#N/A</v>
      </c>
      <c r="J295" s="396" t="e">
        <f t="shared" si="258"/>
        <v>#N/A</v>
      </c>
      <c r="K295" s="398" t="e">
        <f t="shared" si="259"/>
        <v>#N/A</v>
      </c>
      <c r="L295" s="396" t="e">
        <f t="shared" si="260"/>
        <v>#N/A</v>
      </c>
      <c r="M295" s="398" t="e">
        <f t="shared" si="261"/>
        <v>#N/A</v>
      </c>
      <c r="N295" s="396" t="e">
        <f t="shared" si="262"/>
        <v>#N/A</v>
      </c>
      <c r="O295" s="396" t="e">
        <f t="shared" si="263"/>
        <v>#N/A</v>
      </c>
      <c r="P295" s="396" t="e">
        <f t="shared" si="264"/>
        <v>#N/A</v>
      </c>
      <c r="Q295" s="396" t="e">
        <f t="shared" si="265"/>
        <v>#N/A</v>
      </c>
      <c r="R295" s="396" t="e">
        <f t="shared" si="266"/>
        <v>#N/A</v>
      </c>
      <c r="S295" s="396" t="e">
        <f t="shared" si="267"/>
        <v>#N/A</v>
      </c>
      <c r="T295" s="397" t="e">
        <f t="shared" si="268"/>
        <v>#N/A</v>
      </c>
      <c r="U295" s="396" t="e">
        <f t="shared" si="269"/>
        <v>#N/A</v>
      </c>
      <c r="V295" s="396" t="e">
        <f t="shared" si="270"/>
        <v>#N/A</v>
      </c>
      <c r="W295" s="206" t="e">
        <f t="shared" si="241"/>
        <v>#N/A</v>
      </c>
      <c r="X295" s="207" t="e">
        <f t="shared" si="242"/>
        <v>#N/A</v>
      </c>
      <c r="Y295" s="207" t="e">
        <f t="shared" si="243"/>
        <v>#N/A</v>
      </c>
      <c r="Z295" s="233" t="e">
        <f t="shared" si="244"/>
        <v>#N/A</v>
      </c>
      <c r="AA295" s="208" t="e">
        <f t="shared" si="254"/>
        <v>#N/A</v>
      </c>
      <c r="AB295" s="233" t="e">
        <f t="shared" si="245"/>
        <v>#N/A</v>
      </c>
      <c r="AC295" s="233" t="e">
        <f t="shared" si="246"/>
        <v>#N/A</v>
      </c>
      <c r="AD295" s="233" t="e">
        <f t="shared" si="247"/>
        <v>#N/A</v>
      </c>
      <c r="AE295" s="233" t="e">
        <f t="shared" si="248"/>
        <v>#N/A</v>
      </c>
      <c r="AF295" s="238" t="e">
        <f t="shared" si="249"/>
        <v>#N/A</v>
      </c>
      <c r="AG295" s="238" t="e">
        <f t="shared" si="250"/>
        <v>#N/A</v>
      </c>
      <c r="AH295" s="238" t="e">
        <f t="shared" si="251"/>
        <v>#N/A</v>
      </c>
      <c r="AI295" s="261" t="e">
        <f t="shared" si="252"/>
        <v>#N/A</v>
      </c>
      <c r="AJ295" s="233" t="e">
        <f t="shared" si="253"/>
        <v>#N/A</v>
      </c>
    </row>
    <row r="296" spans="5:36" s="120" customFormat="1" ht="35.25" customHeight="1" x14ac:dyDescent="0.2">
      <c r="E296" s="218" t="s">
        <v>2306</v>
      </c>
      <c r="F296" s="130"/>
      <c r="G296" s="67" t="e">
        <f t="shared" si="255"/>
        <v>#N/A</v>
      </c>
      <c r="H296" s="396" t="e">
        <f t="shared" si="256"/>
        <v>#N/A</v>
      </c>
      <c r="I296" s="396" t="e">
        <f t="shared" si="257"/>
        <v>#N/A</v>
      </c>
      <c r="J296" s="396" t="e">
        <f t="shared" si="258"/>
        <v>#N/A</v>
      </c>
      <c r="K296" s="398" t="e">
        <f t="shared" si="259"/>
        <v>#N/A</v>
      </c>
      <c r="L296" s="396" t="e">
        <f t="shared" si="260"/>
        <v>#N/A</v>
      </c>
      <c r="M296" s="398" t="e">
        <f t="shared" si="261"/>
        <v>#N/A</v>
      </c>
      <c r="N296" s="396" t="e">
        <f t="shared" si="262"/>
        <v>#N/A</v>
      </c>
      <c r="O296" s="396" t="e">
        <f t="shared" si="263"/>
        <v>#N/A</v>
      </c>
      <c r="P296" s="396" t="e">
        <f t="shared" si="264"/>
        <v>#N/A</v>
      </c>
      <c r="Q296" s="396" t="e">
        <f t="shared" si="265"/>
        <v>#N/A</v>
      </c>
      <c r="R296" s="396" t="e">
        <f t="shared" si="266"/>
        <v>#N/A</v>
      </c>
      <c r="S296" s="396" t="e">
        <f t="shared" si="267"/>
        <v>#N/A</v>
      </c>
      <c r="T296" s="397" t="e">
        <f t="shared" si="268"/>
        <v>#N/A</v>
      </c>
      <c r="U296" s="396" t="e">
        <f t="shared" si="269"/>
        <v>#N/A</v>
      </c>
      <c r="V296" s="396" t="e">
        <f t="shared" si="270"/>
        <v>#N/A</v>
      </c>
      <c r="W296" s="206" t="e">
        <f t="shared" si="241"/>
        <v>#N/A</v>
      </c>
      <c r="X296" s="207" t="e">
        <f t="shared" si="242"/>
        <v>#N/A</v>
      </c>
      <c r="Y296" s="207" t="e">
        <f t="shared" si="243"/>
        <v>#N/A</v>
      </c>
      <c r="Z296" s="233" t="e">
        <f t="shared" si="244"/>
        <v>#N/A</v>
      </c>
      <c r="AA296" s="208" t="e">
        <f t="shared" si="254"/>
        <v>#N/A</v>
      </c>
      <c r="AB296" s="233" t="e">
        <f t="shared" si="245"/>
        <v>#N/A</v>
      </c>
      <c r="AC296" s="233" t="e">
        <f t="shared" si="246"/>
        <v>#N/A</v>
      </c>
      <c r="AD296" s="233" t="e">
        <f t="shared" si="247"/>
        <v>#N/A</v>
      </c>
      <c r="AE296" s="233" t="e">
        <f t="shared" si="248"/>
        <v>#N/A</v>
      </c>
      <c r="AF296" s="238" t="e">
        <f t="shared" si="249"/>
        <v>#N/A</v>
      </c>
      <c r="AG296" s="238" t="e">
        <f t="shared" si="250"/>
        <v>#N/A</v>
      </c>
      <c r="AH296" s="238" t="e">
        <f t="shared" si="251"/>
        <v>#N/A</v>
      </c>
      <c r="AI296" s="261" t="e">
        <f t="shared" si="252"/>
        <v>#N/A</v>
      </c>
      <c r="AJ296" s="233" t="e">
        <f t="shared" si="253"/>
        <v>#N/A</v>
      </c>
    </row>
    <row r="297" spans="5:36" s="120" customFormat="1" ht="35.25" customHeight="1" x14ac:dyDescent="0.2">
      <c r="E297" s="218" t="s">
        <v>2306</v>
      </c>
      <c r="F297" s="130"/>
      <c r="G297" s="67" t="e">
        <f t="shared" si="255"/>
        <v>#N/A</v>
      </c>
      <c r="H297" s="396" t="e">
        <f t="shared" si="256"/>
        <v>#N/A</v>
      </c>
      <c r="I297" s="396" t="e">
        <f t="shared" si="257"/>
        <v>#N/A</v>
      </c>
      <c r="J297" s="396" t="e">
        <f t="shared" si="258"/>
        <v>#N/A</v>
      </c>
      <c r="K297" s="398" t="e">
        <f t="shared" si="259"/>
        <v>#N/A</v>
      </c>
      <c r="L297" s="396" t="e">
        <f t="shared" si="260"/>
        <v>#N/A</v>
      </c>
      <c r="M297" s="398" t="e">
        <f t="shared" si="261"/>
        <v>#N/A</v>
      </c>
      <c r="N297" s="396" t="e">
        <f t="shared" si="262"/>
        <v>#N/A</v>
      </c>
      <c r="O297" s="396" t="e">
        <f t="shared" si="263"/>
        <v>#N/A</v>
      </c>
      <c r="P297" s="396" t="e">
        <f t="shared" si="264"/>
        <v>#N/A</v>
      </c>
      <c r="Q297" s="396" t="e">
        <f t="shared" si="265"/>
        <v>#N/A</v>
      </c>
      <c r="R297" s="396" t="e">
        <f t="shared" si="266"/>
        <v>#N/A</v>
      </c>
      <c r="S297" s="396" t="e">
        <f t="shared" si="267"/>
        <v>#N/A</v>
      </c>
      <c r="T297" s="397" t="e">
        <f t="shared" si="268"/>
        <v>#N/A</v>
      </c>
      <c r="U297" s="396" t="e">
        <f t="shared" si="269"/>
        <v>#N/A</v>
      </c>
      <c r="V297" s="396" t="e">
        <f t="shared" si="270"/>
        <v>#N/A</v>
      </c>
      <c r="W297" s="206" t="e">
        <f t="shared" si="241"/>
        <v>#N/A</v>
      </c>
      <c r="X297" s="207" t="e">
        <f t="shared" si="242"/>
        <v>#N/A</v>
      </c>
      <c r="Y297" s="207" t="e">
        <f t="shared" si="243"/>
        <v>#N/A</v>
      </c>
      <c r="Z297" s="233" t="e">
        <f t="shared" si="244"/>
        <v>#N/A</v>
      </c>
      <c r="AA297" s="208" t="e">
        <f t="shared" si="254"/>
        <v>#N/A</v>
      </c>
      <c r="AB297" s="233" t="e">
        <f t="shared" si="245"/>
        <v>#N/A</v>
      </c>
      <c r="AC297" s="233" t="e">
        <f t="shared" si="246"/>
        <v>#N/A</v>
      </c>
      <c r="AD297" s="233" t="e">
        <f t="shared" si="247"/>
        <v>#N/A</v>
      </c>
      <c r="AE297" s="233" t="e">
        <f t="shared" si="248"/>
        <v>#N/A</v>
      </c>
      <c r="AF297" s="238" t="e">
        <f t="shared" si="249"/>
        <v>#N/A</v>
      </c>
      <c r="AG297" s="238" t="e">
        <f t="shared" si="250"/>
        <v>#N/A</v>
      </c>
      <c r="AH297" s="238" t="e">
        <f t="shared" si="251"/>
        <v>#N/A</v>
      </c>
      <c r="AI297" s="261" t="e">
        <f t="shared" si="252"/>
        <v>#N/A</v>
      </c>
      <c r="AJ297" s="233" t="e">
        <f t="shared" si="253"/>
        <v>#N/A</v>
      </c>
    </row>
    <row r="298" spans="5:36" s="120" customFormat="1" ht="35.25" customHeight="1" x14ac:dyDescent="0.2">
      <c r="E298" s="218" t="s">
        <v>2306</v>
      </c>
      <c r="F298" s="130"/>
      <c r="G298" s="67" t="e">
        <f t="shared" si="255"/>
        <v>#N/A</v>
      </c>
      <c r="H298" s="396" t="e">
        <f t="shared" si="256"/>
        <v>#N/A</v>
      </c>
      <c r="I298" s="396" t="e">
        <f t="shared" si="257"/>
        <v>#N/A</v>
      </c>
      <c r="J298" s="396" t="e">
        <f t="shared" si="258"/>
        <v>#N/A</v>
      </c>
      <c r="K298" s="398" t="e">
        <f t="shared" si="259"/>
        <v>#N/A</v>
      </c>
      <c r="L298" s="396" t="e">
        <f t="shared" si="260"/>
        <v>#N/A</v>
      </c>
      <c r="M298" s="398" t="e">
        <f t="shared" si="261"/>
        <v>#N/A</v>
      </c>
      <c r="N298" s="396" t="e">
        <f t="shared" si="262"/>
        <v>#N/A</v>
      </c>
      <c r="O298" s="396" t="e">
        <f t="shared" si="263"/>
        <v>#N/A</v>
      </c>
      <c r="P298" s="396" t="e">
        <f t="shared" si="264"/>
        <v>#N/A</v>
      </c>
      <c r="Q298" s="396" t="e">
        <f t="shared" si="265"/>
        <v>#N/A</v>
      </c>
      <c r="R298" s="396" t="e">
        <f t="shared" si="266"/>
        <v>#N/A</v>
      </c>
      <c r="S298" s="396" t="e">
        <f t="shared" si="267"/>
        <v>#N/A</v>
      </c>
      <c r="T298" s="397" t="e">
        <f t="shared" si="268"/>
        <v>#N/A</v>
      </c>
      <c r="U298" s="396" t="e">
        <f t="shared" si="269"/>
        <v>#N/A</v>
      </c>
      <c r="V298" s="396" t="e">
        <f t="shared" si="270"/>
        <v>#N/A</v>
      </c>
      <c r="W298" s="206" t="e">
        <f t="shared" si="241"/>
        <v>#N/A</v>
      </c>
      <c r="X298" s="207" t="e">
        <f t="shared" si="242"/>
        <v>#N/A</v>
      </c>
      <c r="Y298" s="207" t="e">
        <f t="shared" si="243"/>
        <v>#N/A</v>
      </c>
      <c r="Z298" s="233" t="e">
        <f t="shared" si="244"/>
        <v>#N/A</v>
      </c>
      <c r="AA298" s="208" t="e">
        <f t="shared" si="254"/>
        <v>#N/A</v>
      </c>
      <c r="AB298" s="233" t="e">
        <f t="shared" si="245"/>
        <v>#N/A</v>
      </c>
      <c r="AC298" s="233" t="e">
        <f t="shared" si="246"/>
        <v>#N/A</v>
      </c>
      <c r="AD298" s="233" t="e">
        <f t="shared" si="247"/>
        <v>#N/A</v>
      </c>
      <c r="AE298" s="233" t="e">
        <f t="shared" si="248"/>
        <v>#N/A</v>
      </c>
      <c r="AF298" s="238" t="e">
        <f t="shared" si="249"/>
        <v>#N/A</v>
      </c>
      <c r="AG298" s="238" t="e">
        <f t="shared" si="250"/>
        <v>#N/A</v>
      </c>
      <c r="AH298" s="238" t="e">
        <f t="shared" si="251"/>
        <v>#N/A</v>
      </c>
      <c r="AI298" s="261" t="e">
        <f t="shared" si="252"/>
        <v>#N/A</v>
      </c>
      <c r="AJ298" s="233" t="e">
        <f t="shared" si="253"/>
        <v>#N/A</v>
      </c>
    </row>
    <row r="299" spans="5:36" s="120" customFormat="1" ht="35.25" customHeight="1" x14ac:dyDescent="0.2">
      <c r="E299" s="218" t="s">
        <v>2306</v>
      </c>
      <c r="F299" s="130"/>
      <c r="G299" s="67" t="e">
        <f t="shared" si="255"/>
        <v>#N/A</v>
      </c>
      <c r="H299" s="396" t="e">
        <f t="shared" si="256"/>
        <v>#N/A</v>
      </c>
      <c r="I299" s="396" t="e">
        <f t="shared" si="257"/>
        <v>#N/A</v>
      </c>
      <c r="J299" s="396" t="e">
        <f t="shared" si="258"/>
        <v>#N/A</v>
      </c>
      <c r="K299" s="398" t="e">
        <f t="shared" si="259"/>
        <v>#N/A</v>
      </c>
      <c r="L299" s="396" t="e">
        <f t="shared" si="260"/>
        <v>#N/A</v>
      </c>
      <c r="M299" s="398" t="e">
        <f t="shared" si="261"/>
        <v>#N/A</v>
      </c>
      <c r="N299" s="396" t="e">
        <f t="shared" si="262"/>
        <v>#N/A</v>
      </c>
      <c r="O299" s="396" t="e">
        <f t="shared" si="263"/>
        <v>#N/A</v>
      </c>
      <c r="P299" s="396" t="e">
        <f t="shared" si="264"/>
        <v>#N/A</v>
      </c>
      <c r="Q299" s="396" t="e">
        <f t="shared" si="265"/>
        <v>#N/A</v>
      </c>
      <c r="R299" s="396" t="e">
        <f t="shared" si="266"/>
        <v>#N/A</v>
      </c>
      <c r="S299" s="396" t="e">
        <f t="shared" si="267"/>
        <v>#N/A</v>
      </c>
      <c r="T299" s="397" t="e">
        <f t="shared" si="268"/>
        <v>#N/A</v>
      </c>
      <c r="U299" s="396" t="e">
        <f t="shared" si="269"/>
        <v>#N/A</v>
      </c>
      <c r="V299" s="396" t="e">
        <f t="shared" si="270"/>
        <v>#N/A</v>
      </c>
      <c r="W299" s="206" t="e">
        <f t="shared" si="241"/>
        <v>#N/A</v>
      </c>
      <c r="X299" s="207" t="e">
        <f t="shared" si="242"/>
        <v>#N/A</v>
      </c>
      <c r="Y299" s="207" t="e">
        <f t="shared" si="243"/>
        <v>#N/A</v>
      </c>
      <c r="Z299" s="233" t="e">
        <f t="shared" si="244"/>
        <v>#N/A</v>
      </c>
      <c r="AA299" s="208" t="e">
        <f t="shared" si="254"/>
        <v>#N/A</v>
      </c>
      <c r="AB299" s="233" t="e">
        <f t="shared" si="245"/>
        <v>#N/A</v>
      </c>
      <c r="AC299" s="233" t="e">
        <f t="shared" si="246"/>
        <v>#N/A</v>
      </c>
      <c r="AD299" s="233" t="e">
        <f t="shared" si="247"/>
        <v>#N/A</v>
      </c>
      <c r="AE299" s="233" t="e">
        <f t="shared" si="248"/>
        <v>#N/A</v>
      </c>
      <c r="AF299" s="238" t="e">
        <f t="shared" si="249"/>
        <v>#N/A</v>
      </c>
      <c r="AG299" s="238" t="e">
        <f t="shared" si="250"/>
        <v>#N/A</v>
      </c>
      <c r="AH299" s="238" t="e">
        <f t="shared" si="251"/>
        <v>#N/A</v>
      </c>
      <c r="AI299" s="261" t="e">
        <f t="shared" si="252"/>
        <v>#N/A</v>
      </c>
      <c r="AJ299" s="233" t="e">
        <f t="shared" si="253"/>
        <v>#N/A</v>
      </c>
    </row>
    <row r="300" spans="5:36" s="120" customFormat="1" ht="35.25" customHeight="1" x14ac:dyDescent="0.2">
      <c r="E300" s="218" t="s">
        <v>2306</v>
      </c>
      <c r="F300" s="130"/>
      <c r="G300" s="67" t="e">
        <f t="shared" si="255"/>
        <v>#N/A</v>
      </c>
      <c r="H300" s="396" t="e">
        <f t="shared" si="256"/>
        <v>#N/A</v>
      </c>
      <c r="I300" s="396" t="e">
        <f t="shared" si="257"/>
        <v>#N/A</v>
      </c>
      <c r="J300" s="396" t="e">
        <f t="shared" si="258"/>
        <v>#N/A</v>
      </c>
      <c r="K300" s="398" t="e">
        <f t="shared" si="259"/>
        <v>#N/A</v>
      </c>
      <c r="L300" s="396" t="e">
        <f t="shared" si="260"/>
        <v>#N/A</v>
      </c>
      <c r="M300" s="398" t="e">
        <f t="shared" si="261"/>
        <v>#N/A</v>
      </c>
      <c r="N300" s="396" t="e">
        <f t="shared" si="262"/>
        <v>#N/A</v>
      </c>
      <c r="O300" s="396" t="e">
        <f t="shared" si="263"/>
        <v>#N/A</v>
      </c>
      <c r="P300" s="396" t="e">
        <f t="shared" si="264"/>
        <v>#N/A</v>
      </c>
      <c r="Q300" s="396" t="e">
        <f t="shared" si="265"/>
        <v>#N/A</v>
      </c>
      <c r="R300" s="396" t="e">
        <f t="shared" si="266"/>
        <v>#N/A</v>
      </c>
      <c r="S300" s="396" t="e">
        <f t="shared" si="267"/>
        <v>#N/A</v>
      </c>
      <c r="T300" s="397" t="e">
        <f t="shared" si="268"/>
        <v>#N/A</v>
      </c>
      <c r="U300" s="396" t="e">
        <f t="shared" si="269"/>
        <v>#N/A</v>
      </c>
      <c r="V300" s="396" t="e">
        <f t="shared" si="270"/>
        <v>#N/A</v>
      </c>
      <c r="W300" s="206" t="e">
        <f t="shared" si="241"/>
        <v>#N/A</v>
      </c>
      <c r="X300" s="207" t="e">
        <f t="shared" si="242"/>
        <v>#N/A</v>
      </c>
      <c r="Y300" s="207" t="e">
        <f t="shared" si="243"/>
        <v>#N/A</v>
      </c>
      <c r="Z300" s="233" t="e">
        <f t="shared" si="244"/>
        <v>#N/A</v>
      </c>
      <c r="AA300" s="208" t="e">
        <f t="shared" si="254"/>
        <v>#N/A</v>
      </c>
      <c r="AB300" s="233" t="e">
        <f t="shared" si="245"/>
        <v>#N/A</v>
      </c>
      <c r="AC300" s="233" t="e">
        <f t="shared" si="246"/>
        <v>#N/A</v>
      </c>
      <c r="AD300" s="233" t="e">
        <f t="shared" si="247"/>
        <v>#N/A</v>
      </c>
      <c r="AE300" s="233" t="e">
        <f t="shared" si="248"/>
        <v>#N/A</v>
      </c>
      <c r="AF300" s="238" t="e">
        <f t="shared" si="249"/>
        <v>#N/A</v>
      </c>
      <c r="AG300" s="238" t="e">
        <f t="shared" si="250"/>
        <v>#N/A</v>
      </c>
      <c r="AH300" s="238" t="e">
        <f t="shared" si="251"/>
        <v>#N/A</v>
      </c>
      <c r="AI300" s="261" t="e">
        <f t="shared" si="252"/>
        <v>#N/A</v>
      </c>
      <c r="AJ300" s="233" t="e">
        <f t="shared" si="253"/>
        <v>#N/A</v>
      </c>
    </row>
    <row r="301" spans="5:36" s="120" customFormat="1" ht="35.25" customHeight="1" x14ac:dyDescent="0.2">
      <c r="E301" s="218" t="s">
        <v>2306</v>
      </c>
      <c r="F301" s="130"/>
      <c r="G301" s="67" t="e">
        <f t="shared" si="255"/>
        <v>#N/A</v>
      </c>
      <c r="H301" s="396" t="e">
        <f t="shared" si="256"/>
        <v>#N/A</v>
      </c>
      <c r="I301" s="396" t="e">
        <f t="shared" si="257"/>
        <v>#N/A</v>
      </c>
      <c r="J301" s="396" t="e">
        <f t="shared" si="258"/>
        <v>#N/A</v>
      </c>
      <c r="K301" s="398" t="e">
        <f t="shared" si="259"/>
        <v>#N/A</v>
      </c>
      <c r="L301" s="396" t="e">
        <f t="shared" si="260"/>
        <v>#N/A</v>
      </c>
      <c r="M301" s="398" t="e">
        <f t="shared" si="261"/>
        <v>#N/A</v>
      </c>
      <c r="N301" s="396" t="e">
        <f t="shared" si="262"/>
        <v>#N/A</v>
      </c>
      <c r="O301" s="396" t="e">
        <f t="shared" si="263"/>
        <v>#N/A</v>
      </c>
      <c r="P301" s="396" t="e">
        <f t="shared" si="264"/>
        <v>#N/A</v>
      </c>
      <c r="Q301" s="396" t="e">
        <f t="shared" si="265"/>
        <v>#N/A</v>
      </c>
      <c r="R301" s="396" t="e">
        <f t="shared" si="266"/>
        <v>#N/A</v>
      </c>
      <c r="S301" s="396" t="e">
        <f t="shared" si="267"/>
        <v>#N/A</v>
      </c>
      <c r="T301" s="397" t="e">
        <f t="shared" si="268"/>
        <v>#N/A</v>
      </c>
      <c r="U301" s="396" t="e">
        <f t="shared" si="269"/>
        <v>#N/A</v>
      </c>
      <c r="V301" s="396" t="e">
        <f t="shared" si="270"/>
        <v>#N/A</v>
      </c>
      <c r="W301" s="206" t="e">
        <f t="shared" si="241"/>
        <v>#N/A</v>
      </c>
      <c r="X301" s="207" t="e">
        <f t="shared" si="242"/>
        <v>#N/A</v>
      </c>
      <c r="Y301" s="207" t="e">
        <f t="shared" si="243"/>
        <v>#N/A</v>
      </c>
      <c r="Z301" s="233" t="e">
        <f t="shared" si="244"/>
        <v>#N/A</v>
      </c>
      <c r="AA301" s="208" t="e">
        <f t="shared" si="254"/>
        <v>#N/A</v>
      </c>
      <c r="AB301" s="233" t="e">
        <f t="shared" si="245"/>
        <v>#N/A</v>
      </c>
      <c r="AC301" s="233" t="e">
        <f t="shared" si="246"/>
        <v>#N/A</v>
      </c>
      <c r="AD301" s="233" t="e">
        <f t="shared" si="247"/>
        <v>#N/A</v>
      </c>
      <c r="AE301" s="233" t="e">
        <f t="shared" si="248"/>
        <v>#N/A</v>
      </c>
      <c r="AF301" s="238" t="e">
        <f t="shared" si="249"/>
        <v>#N/A</v>
      </c>
      <c r="AG301" s="238" t="e">
        <f t="shared" si="250"/>
        <v>#N/A</v>
      </c>
      <c r="AH301" s="238" t="e">
        <f t="shared" si="251"/>
        <v>#N/A</v>
      </c>
      <c r="AI301" s="261" t="e">
        <f t="shared" si="252"/>
        <v>#N/A</v>
      </c>
      <c r="AJ301" s="233" t="e">
        <f t="shared" si="253"/>
        <v>#N/A</v>
      </c>
    </row>
    <row r="302" spans="5:36" s="120" customFormat="1" ht="35.25" customHeight="1" x14ac:dyDescent="0.2">
      <c r="E302" s="218" t="s">
        <v>2306</v>
      </c>
      <c r="F302" s="130"/>
      <c r="G302" s="67" t="e">
        <f t="shared" si="255"/>
        <v>#N/A</v>
      </c>
      <c r="H302" s="396" t="e">
        <f t="shared" si="256"/>
        <v>#N/A</v>
      </c>
      <c r="I302" s="396" t="e">
        <f t="shared" si="257"/>
        <v>#N/A</v>
      </c>
      <c r="J302" s="396" t="e">
        <f t="shared" si="258"/>
        <v>#N/A</v>
      </c>
      <c r="K302" s="398" t="e">
        <f t="shared" si="259"/>
        <v>#N/A</v>
      </c>
      <c r="L302" s="396" t="e">
        <f t="shared" si="260"/>
        <v>#N/A</v>
      </c>
      <c r="M302" s="398" t="e">
        <f t="shared" si="261"/>
        <v>#N/A</v>
      </c>
      <c r="N302" s="396" t="e">
        <f t="shared" si="262"/>
        <v>#N/A</v>
      </c>
      <c r="O302" s="396" t="e">
        <f t="shared" si="263"/>
        <v>#N/A</v>
      </c>
      <c r="P302" s="396" t="e">
        <f t="shared" si="264"/>
        <v>#N/A</v>
      </c>
      <c r="Q302" s="396" t="e">
        <f t="shared" si="265"/>
        <v>#N/A</v>
      </c>
      <c r="R302" s="396" t="e">
        <f t="shared" si="266"/>
        <v>#N/A</v>
      </c>
      <c r="S302" s="396" t="e">
        <f t="shared" si="267"/>
        <v>#N/A</v>
      </c>
      <c r="T302" s="397" t="e">
        <f t="shared" si="268"/>
        <v>#N/A</v>
      </c>
      <c r="U302" s="396" t="e">
        <f t="shared" si="269"/>
        <v>#N/A</v>
      </c>
      <c r="V302" s="396" t="e">
        <f t="shared" si="270"/>
        <v>#N/A</v>
      </c>
      <c r="W302" s="206" t="e">
        <f t="shared" si="241"/>
        <v>#N/A</v>
      </c>
      <c r="X302" s="207" t="e">
        <f t="shared" si="242"/>
        <v>#N/A</v>
      </c>
      <c r="Y302" s="207" t="e">
        <f t="shared" si="243"/>
        <v>#N/A</v>
      </c>
      <c r="Z302" s="233" t="e">
        <f t="shared" si="244"/>
        <v>#N/A</v>
      </c>
      <c r="AA302" s="208" t="e">
        <f t="shared" si="254"/>
        <v>#N/A</v>
      </c>
      <c r="AB302" s="233" t="e">
        <f t="shared" si="245"/>
        <v>#N/A</v>
      </c>
      <c r="AC302" s="233" t="e">
        <f t="shared" si="246"/>
        <v>#N/A</v>
      </c>
      <c r="AD302" s="233" t="e">
        <f t="shared" si="247"/>
        <v>#N/A</v>
      </c>
      <c r="AE302" s="233" t="e">
        <f t="shared" si="248"/>
        <v>#N/A</v>
      </c>
      <c r="AF302" s="238" t="e">
        <f t="shared" si="249"/>
        <v>#N/A</v>
      </c>
      <c r="AG302" s="238" t="e">
        <f t="shared" si="250"/>
        <v>#N/A</v>
      </c>
      <c r="AH302" s="238" t="e">
        <f t="shared" si="251"/>
        <v>#N/A</v>
      </c>
      <c r="AI302" s="261" t="e">
        <f t="shared" si="252"/>
        <v>#N/A</v>
      </c>
      <c r="AJ302" s="233" t="e">
        <f t="shared" si="253"/>
        <v>#N/A</v>
      </c>
    </row>
    <row r="303" spans="5:36" s="120" customFormat="1" ht="35.25" customHeight="1" x14ac:dyDescent="0.2">
      <c r="E303" s="218" t="s">
        <v>2306</v>
      </c>
      <c r="F303" s="130"/>
      <c r="G303" s="67" t="e">
        <f t="shared" si="255"/>
        <v>#N/A</v>
      </c>
      <c r="H303" s="396" t="e">
        <f t="shared" si="256"/>
        <v>#N/A</v>
      </c>
      <c r="I303" s="396" t="e">
        <f t="shared" si="257"/>
        <v>#N/A</v>
      </c>
      <c r="J303" s="396" t="e">
        <f t="shared" si="258"/>
        <v>#N/A</v>
      </c>
      <c r="K303" s="398" t="e">
        <f t="shared" si="259"/>
        <v>#N/A</v>
      </c>
      <c r="L303" s="396" t="e">
        <f t="shared" si="260"/>
        <v>#N/A</v>
      </c>
      <c r="M303" s="398" t="e">
        <f t="shared" si="261"/>
        <v>#N/A</v>
      </c>
      <c r="N303" s="396" t="e">
        <f t="shared" si="262"/>
        <v>#N/A</v>
      </c>
      <c r="O303" s="396" t="e">
        <f t="shared" si="263"/>
        <v>#N/A</v>
      </c>
      <c r="P303" s="396" t="e">
        <f t="shared" si="264"/>
        <v>#N/A</v>
      </c>
      <c r="Q303" s="396" t="e">
        <f t="shared" si="265"/>
        <v>#N/A</v>
      </c>
      <c r="R303" s="396" t="e">
        <f t="shared" si="266"/>
        <v>#N/A</v>
      </c>
      <c r="S303" s="396" t="e">
        <f t="shared" si="267"/>
        <v>#N/A</v>
      </c>
      <c r="T303" s="397" t="e">
        <f t="shared" si="268"/>
        <v>#N/A</v>
      </c>
      <c r="U303" s="396" t="e">
        <f t="shared" si="269"/>
        <v>#N/A</v>
      </c>
      <c r="V303" s="396" t="e">
        <f t="shared" si="270"/>
        <v>#N/A</v>
      </c>
      <c r="W303" s="206" t="e">
        <f t="shared" si="241"/>
        <v>#N/A</v>
      </c>
      <c r="X303" s="207" t="e">
        <f t="shared" si="242"/>
        <v>#N/A</v>
      </c>
      <c r="Y303" s="207" t="e">
        <f t="shared" si="243"/>
        <v>#N/A</v>
      </c>
      <c r="Z303" s="233" t="e">
        <f t="shared" si="244"/>
        <v>#N/A</v>
      </c>
      <c r="AA303" s="208" t="e">
        <f t="shared" si="254"/>
        <v>#N/A</v>
      </c>
      <c r="AB303" s="233" t="e">
        <f t="shared" si="245"/>
        <v>#N/A</v>
      </c>
      <c r="AC303" s="233" t="e">
        <f t="shared" si="246"/>
        <v>#N/A</v>
      </c>
      <c r="AD303" s="233" t="e">
        <f t="shared" si="247"/>
        <v>#N/A</v>
      </c>
      <c r="AE303" s="233" t="e">
        <f t="shared" si="248"/>
        <v>#N/A</v>
      </c>
      <c r="AF303" s="238" t="e">
        <f t="shared" si="249"/>
        <v>#N/A</v>
      </c>
      <c r="AG303" s="238" t="e">
        <f t="shared" si="250"/>
        <v>#N/A</v>
      </c>
      <c r="AH303" s="238" t="e">
        <f t="shared" si="251"/>
        <v>#N/A</v>
      </c>
      <c r="AI303" s="261" t="e">
        <f t="shared" si="252"/>
        <v>#N/A</v>
      </c>
      <c r="AJ303" s="233" t="e">
        <f t="shared" si="253"/>
        <v>#N/A</v>
      </c>
    </row>
    <row r="304" spans="5:36" s="120" customFormat="1" ht="35.25" customHeight="1" x14ac:dyDescent="0.2">
      <c r="E304" s="218" t="s">
        <v>2306</v>
      </c>
      <c r="F304" s="130"/>
      <c r="G304" s="67" t="e">
        <f t="shared" si="255"/>
        <v>#N/A</v>
      </c>
      <c r="H304" s="396" t="e">
        <f t="shared" si="256"/>
        <v>#N/A</v>
      </c>
      <c r="I304" s="396" t="e">
        <f t="shared" si="257"/>
        <v>#N/A</v>
      </c>
      <c r="J304" s="396" t="e">
        <f t="shared" si="258"/>
        <v>#N/A</v>
      </c>
      <c r="K304" s="398" t="e">
        <f t="shared" si="259"/>
        <v>#N/A</v>
      </c>
      <c r="L304" s="396" t="e">
        <f t="shared" si="260"/>
        <v>#N/A</v>
      </c>
      <c r="M304" s="398" t="e">
        <f t="shared" si="261"/>
        <v>#N/A</v>
      </c>
      <c r="N304" s="396" t="e">
        <f t="shared" si="262"/>
        <v>#N/A</v>
      </c>
      <c r="O304" s="396" t="e">
        <f t="shared" si="263"/>
        <v>#N/A</v>
      </c>
      <c r="P304" s="396" t="e">
        <f t="shared" si="264"/>
        <v>#N/A</v>
      </c>
      <c r="Q304" s="396" t="e">
        <f t="shared" si="265"/>
        <v>#N/A</v>
      </c>
      <c r="R304" s="396" t="e">
        <f t="shared" si="266"/>
        <v>#N/A</v>
      </c>
      <c r="S304" s="396" t="e">
        <f t="shared" si="267"/>
        <v>#N/A</v>
      </c>
      <c r="T304" s="397" t="e">
        <f t="shared" si="268"/>
        <v>#N/A</v>
      </c>
      <c r="U304" s="396" t="e">
        <f t="shared" si="269"/>
        <v>#N/A</v>
      </c>
      <c r="V304" s="396" t="e">
        <f t="shared" si="270"/>
        <v>#N/A</v>
      </c>
      <c r="W304" s="206" t="e">
        <f t="shared" si="241"/>
        <v>#N/A</v>
      </c>
      <c r="X304" s="207" t="e">
        <f t="shared" si="242"/>
        <v>#N/A</v>
      </c>
      <c r="Y304" s="207" t="e">
        <f t="shared" si="243"/>
        <v>#N/A</v>
      </c>
      <c r="Z304" s="233" t="e">
        <f t="shared" si="244"/>
        <v>#N/A</v>
      </c>
      <c r="AA304" s="208" t="e">
        <f t="shared" si="254"/>
        <v>#N/A</v>
      </c>
      <c r="AB304" s="233" t="e">
        <f t="shared" si="245"/>
        <v>#N/A</v>
      </c>
      <c r="AC304" s="233" t="e">
        <f t="shared" si="246"/>
        <v>#N/A</v>
      </c>
      <c r="AD304" s="233" t="e">
        <f t="shared" si="247"/>
        <v>#N/A</v>
      </c>
      <c r="AE304" s="233" t="e">
        <f t="shared" si="248"/>
        <v>#N/A</v>
      </c>
      <c r="AF304" s="238" t="e">
        <f t="shared" si="249"/>
        <v>#N/A</v>
      </c>
      <c r="AG304" s="238" t="e">
        <f t="shared" si="250"/>
        <v>#N/A</v>
      </c>
      <c r="AH304" s="238" t="e">
        <f t="shared" si="251"/>
        <v>#N/A</v>
      </c>
      <c r="AI304" s="261" t="e">
        <f t="shared" si="252"/>
        <v>#N/A</v>
      </c>
      <c r="AJ304" s="233" t="e">
        <f t="shared" si="253"/>
        <v>#N/A</v>
      </c>
    </row>
    <row r="305" spans="1:36" s="120" customFormat="1" ht="35.25" customHeight="1" x14ac:dyDescent="0.2">
      <c r="E305" s="218" t="s">
        <v>2306</v>
      </c>
      <c r="F305" s="130"/>
      <c r="G305" s="67" t="e">
        <f t="shared" si="255"/>
        <v>#N/A</v>
      </c>
      <c r="H305" s="396" t="e">
        <f t="shared" si="256"/>
        <v>#N/A</v>
      </c>
      <c r="I305" s="396" t="e">
        <f t="shared" si="257"/>
        <v>#N/A</v>
      </c>
      <c r="J305" s="396" t="e">
        <f t="shared" si="258"/>
        <v>#N/A</v>
      </c>
      <c r="K305" s="398" t="e">
        <f t="shared" si="259"/>
        <v>#N/A</v>
      </c>
      <c r="L305" s="396" t="e">
        <f t="shared" si="260"/>
        <v>#N/A</v>
      </c>
      <c r="M305" s="398" t="e">
        <f t="shared" si="261"/>
        <v>#N/A</v>
      </c>
      <c r="N305" s="396" t="e">
        <f t="shared" si="262"/>
        <v>#N/A</v>
      </c>
      <c r="O305" s="396" t="e">
        <f t="shared" si="263"/>
        <v>#N/A</v>
      </c>
      <c r="P305" s="396" t="e">
        <f t="shared" si="264"/>
        <v>#N/A</v>
      </c>
      <c r="Q305" s="396" t="e">
        <f t="shared" si="265"/>
        <v>#N/A</v>
      </c>
      <c r="R305" s="396" t="e">
        <f t="shared" si="266"/>
        <v>#N/A</v>
      </c>
      <c r="S305" s="396" t="e">
        <f t="shared" si="267"/>
        <v>#N/A</v>
      </c>
      <c r="T305" s="397" t="e">
        <f t="shared" si="268"/>
        <v>#N/A</v>
      </c>
      <c r="U305" s="396" t="e">
        <f t="shared" si="269"/>
        <v>#N/A</v>
      </c>
      <c r="V305" s="396" t="e">
        <f t="shared" si="270"/>
        <v>#N/A</v>
      </c>
      <c r="W305" s="206" t="e">
        <f t="shared" si="241"/>
        <v>#N/A</v>
      </c>
      <c r="X305" s="207" t="e">
        <f t="shared" si="242"/>
        <v>#N/A</v>
      </c>
      <c r="Y305" s="207" t="e">
        <f t="shared" si="243"/>
        <v>#N/A</v>
      </c>
      <c r="Z305" s="233" t="e">
        <f t="shared" si="244"/>
        <v>#N/A</v>
      </c>
      <c r="AA305" s="208" t="e">
        <f t="shared" si="254"/>
        <v>#N/A</v>
      </c>
      <c r="AB305" s="233" t="e">
        <f t="shared" si="245"/>
        <v>#N/A</v>
      </c>
      <c r="AC305" s="233" t="e">
        <f t="shared" si="246"/>
        <v>#N/A</v>
      </c>
      <c r="AD305" s="233" t="e">
        <f t="shared" si="247"/>
        <v>#N/A</v>
      </c>
      <c r="AE305" s="233" t="e">
        <f t="shared" si="248"/>
        <v>#N/A</v>
      </c>
      <c r="AF305" s="238" t="e">
        <f t="shared" si="249"/>
        <v>#N/A</v>
      </c>
      <c r="AG305" s="238" t="e">
        <f t="shared" si="250"/>
        <v>#N/A</v>
      </c>
      <c r="AH305" s="238" t="e">
        <f t="shared" si="251"/>
        <v>#N/A</v>
      </c>
      <c r="AI305" s="261" t="e">
        <f t="shared" si="252"/>
        <v>#N/A</v>
      </c>
      <c r="AJ305" s="233" t="e">
        <f t="shared" si="253"/>
        <v>#N/A</v>
      </c>
    </row>
    <row r="306" spans="1:36" s="120" customFormat="1" ht="35.25" customHeight="1" x14ac:dyDescent="0.2">
      <c r="E306" s="218" t="s">
        <v>2306</v>
      </c>
      <c r="F306" s="130"/>
      <c r="G306" s="67" t="e">
        <f t="shared" si="255"/>
        <v>#N/A</v>
      </c>
      <c r="H306" s="396" t="e">
        <f t="shared" si="256"/>
        <v>#N/A</v>
      </c>
      <c r="I306" s="396" t="e">
        <f t="shared" si="257"/>
        <v>#N/A</v>
      </c>
      <c r="J306" s="396" t="e">
        <f t="shared" si="258"/>
        <v>#N/A</v>
      </c>
      <c r="K306" s="398" t="e">
        <f t="shared" si="259"/>
        <v>#N/A</v>
      </c>
      <c r="L306" s="396" t="e">
        <f t="shared" si="260"/>
        <v>#N/A</v>
      </c>
      <c r="M306" s="398" t="e">
        <f t="shared" si="261"/>
        <v>#N/A</v>
      </c>
      <c r="N306" s="396" t="e">
        <f t="shared" si="262"/>
        <v>#N/A</v>
      </c>
      <c r="O306" s="396" t="e">
        <f t="shared" si="263"/>
        <v>#N/A</v>
      </c>
      <c r="P306" s="396" t="e">
        <f t="shared" si="264"/>
        <v>#N/A</v>
      </c>
      <c r="Q306" s="396" t="e">
        <f t="shared" si="265"/>
        <v>#N/A</v>
      </c>
      <c r="R306" s="396" t="e">
        <f t="shared" si="266"/>
        <v>#N/A</v>
      </c>
      <c r="S306" s="396" t="e">
        <f t="shared" si="267"/>
        <v>#N/A</v>
      </c>
      <c r="T306" s="397" t="e">
        <f t="shared" si="268"/>
        <v>#N/A</v>
      </c>
      <c r="U306" s="396" t="e">
        <f t="shared" si="269"/>
        <v>#N/A</v>
      </c>
      <c r="V306" s="396" t="e">
        <f t="shared" si="270"/>
        <v>#N/A</v>
      </c>
      <c r="W306" s="206" t="e">
        <f t="shared" si="241"/>
        <v>#N/A</v>
      </c>
      <c r="X306" s="207" t="e">
        <f t="shared" si="242"/>
        <v>#N/A</v>
      </c>
      <c r="Y306" s="207" t="e">
        <f t="shared" si="243"/>
        <v>#N/A</v>
      </c>
      <c r="Z306" s="233" t="e">
        <f t="shared" si="244"/>
        <v>#N/A</v>
      </c>
      <c r="AA306" s="208" t="e">
        <f t="shared" si="254"/>
        <v>#N/A</v>
      </c>
      <c r="AB306" s="233" t="e">
        <f t="shared" si="245"/>
        <v>#N/A</v>
      </c>
      <c r="AC306" s="233" t="e">
        <f t="shared" si="246"/>
        <v>#N/A</v>
      </c>
      <c r="AD306" s="233" t="e">
        <f t="shared" si="247"/>
        <v>#N/A</v>
      </c>
      <c r="AE306" s="233" t="e">
        <f t="shared" si="248"/>
        <v>#N/A</v>
      </c>
      <c r="AF306" s="238" t="e">
        <f t="shared" si="249"/>
        <v>#N/A</v>
      </c>
      <c r="AG306" s="238" t="e">
        <f t="shared" si="250"/>
        <v>#N/A</v>
      </c>
      <c r="AH306" s="238" t="e">
        <f t="shared" si="251"/>
        <v>#N/A</v>
      </c>
      <c r="AI306" s="261" t="e">
        <f t="shared" si="252"/>
        <v>#N/A</v>
      </c>
      <c r="AJ306" s="233" t="e">
        <f t="shared" si="253"/>
        <v>#N/A</v>
      </c>
    </row>
    <row r="307" spans="1:36" s="120" customFormat="1" ht="35.25" customHeight="1" x14ac:dyDescent="0.2">
      <c r="E307" s="218" t="s">
        <v>2306</v>
      </c>
      <c r="F307" s="130"/>
      <c r="G307" s="67" t="e">
        <f t="shared" si="255"/>
        <v>#N/A</v>
      </c>
      <c r="H307" s="396" t="e">
        <f t="shared" si="256"/>
        <v>#N/A</v>
      </c>
      <c r="I307" s="396" t="e">
        <f t="shared" si="257"/>
        <v>#N/A</v>
      </c>
      <c r="J307" s="396" t="e">
        <f t="shared" si="258"/>
        <v>#N/A</v>
      </c>
      <c r="K307" s="398" t="e">
        <f t="shared" si="259"/>
        <v>#N/A</v>
      </c>
      <c r="L307" s="396" t="e">
        <f t="shared" si="260"/>
        <v>#N/A</v>
      </c>
      <c r="M307" s="398" t="e">
        <f t="shared" si="261"/>
        <v>#N/A</v>
      </c>
      <c r="N307" s="396" t="e">
        <f t="shared" si="262"/>
        <v>#N/A</v>
      </c>
      <c r="O307" s="396" t="e">
        <f t="shared" si="263"/>
        <v>#N/A</v>
      </c>
      <c r="P307" s="396" t="e">
        <f t="shared" si="264"/>
        <v>#N/A</v>
      </c>
      <c r="Q307" s="396" t="e">
        <f t="shared" si="265"/>
        <v>#N/A</v>
      </c>
      <c r="R307" s="396" t="e">
        <f t="shared" si="266"/>
        <v>#N/A</v>
      </c>
      <c r="S307" s="396" t="e">
        <f t="shared" si="267"/>
        <v>#N/A</v>
      </c>
      <c r="T307" s="397" t="e">
        <f t="shared" si="268"/>
        <v>#N/A</v>
      </c>
      <c r="U307" s="396" t="e">
        <f t="shared" si="269"/>
        <v>#N/A</v>
      </c>
      <c r="V307" s="396" t="e">
        <f t="shared" si="270"/>
        <v>#N/A</v>
      </c>
      <c r="W307" s="206" t="e">
        <f t="shared" si="241"/>
        <v>#N/A</v>
      </c>
      <c r="X307" s="207" t="e">
        <f t="shared" si="242"/>
        <v>#N/A</v>
      </c>
      <c r="Y307" s="207" t="e">
        <f t="shared" si="243"/>
        <v>#N/A</v>
      </c>
      <c r="Z307" s="233" t="e">
        <f t="shared" si="244"/>
        <v>#N/A</v>
      </c>
      <c r="AA307" s="208" t="e">
        <f t="shared" si="254"/>
        <v>#N/A</v>
      </c>
      <c r="AB307" s="233" t="e">
        <f t="shared" si="245"/>
        <v>#N/A</v>
      </c>
      <c r="AC307" s="233" t="e">
        <f t="shared" si="246"/>
        <v>#N/A</v>
      </c>
      <c r="AD307" s="233" t="e">
        <f t="shared" si="247"/>
        <v>#N/A</v>
      </c>
      <c r="AE307" s="233" t="e">
        <f t="shared" si="248"/>
        <v>#N/A</v>
      </c>
      <c r="AF307" s="238" t="e">
        <f t="shared" si="249"/>
        <v>#N/A</v>
      </c>
      <c r="AG307" s="238" t="e">
        <f t="shared" si="250"/>
        <v>#N/A</v>
      </c>
      <c r="AH307" s="238" t="e">
        <f t="shared" si="251"/>
        <v>#N/A</v>
      </c>
      <c r="AI307" s="261" t="e">
        <f t="shared" si="252"/>
        <v>#N/A</v>
      </c>
      <c r="AJ307" s="233" t="e">
        <f t="shared" si="253"/>
        <v>#N/A</v>
      </c>
    </row>
    <row r="308" spans="1:36" s="120" customFormat="1" ht="35.25" customHeight="1" x14ac:dyDescent="0.2">
      <c r="E308" s="218" t="s">
        <v>2306</v>
      </c>
      <c r="F308" s="130"/>
      <c r="G308" s="67" t="e">
        <f t="shared" si="255"/>
        <v>#N/A</v>
      </c>
      <c r="H308" s="396" t="e">
        <f t="shared" si="256"/>
        <v>#N/A</v>
      </c>
      <c r="I308" s="396" t="e">
        <f t="shared" si="257"/>
        <v>#N/A</v>
      </c>
      <c r="J308" s="396" t="e">
        <f t="shared" si="258"/>
        <v>#N/A</v>
      </c>
      <c r="K308" s="398" t="e">
        <f t="shared" si="259"/>
        <v>#N/A</v>
      </c>
      <c r="L308" s="396" t="e">
        <f t="shared" si="260"/>
        <v>#N/A</v>
      </c>
      <c r="M308" s="398" t="e">
        <f t="shared" si="261"/>
        <v>#N/A</v>
      </c>
      <c r="N308" s="396" t="e">
        <f t="shared" si="262"/>
        <v>#N/A</v>
      </c>
      <c r="O308" s="396" t="e">
        <f t="shared" si="263"/>
        <v>#N/A</v>
      </c>
      <c r="P308" s="396" t="e">
        <f t="shared" si="264"/>
        <v>#N/A</v>
      </c>
      <c r="Q308" s="396" t="e">
        <f t="shared" si="265"/>
        <v>#N/A</v>
      </c>
      <c r="R308" s="396" t="e">
        <f t="shared" si="266"/>
        <v>#N/A</v>
      </c>
      <c r="S308" s="396" t="e">
        <f t="shared" si="267"/>
        <v>#N/A</v>
      </c>
      <c r="T308" s="397" t="e">
        <f t="shared" si="268"/>
        <v>#N/A</v>
      </c>
      <c r="U308" s="396" t="e">
        <f t="shared" si="269"/>
        <v>#N/A</v>
      </c>
      <c r="V308" s="396" t="e">
        <f t="shared" si="270"/>
        <v>#N/A</v>
      </c>
      <c r="W308" s="206" t="e">
        <f t="shared" si="241"/>
        <v>#N/A</v>
      </c>
      <c r="X308" s="207" t="e">
        <f t="shared" si="242"/>
        <v>#N/A</v>
      </c>
      <c r="Y308" s="207" t="e">
        <f t="shared" si="243"/>
        <v>#N/A</v>
      </c>
      <c r="Z308" s="233" t="e">
        <f t="shared" si="244"/>
        <v>#N/A</v>
      </c>
      <c r="AA308" s="208" t="e">
        <f t="shared" si="254"/>
        <v>#N/A</v>
      </c>
      <c r="AB308" s="233" t="e">
        <f t="shared" si="245"/>
        <v>#N/A</v>
      </c>
      <c r="AC308" s="233" t="e">
        <f t="shared" si="246"/>
        <v>#N/A</v>
      </c>
      <c r="AD308" s="233" t="e">
        <f t="shared" si="247"/>
        <v>#N/A</v>
      </c>
      <c r="AE308" s="233" t="e">
        <f t="shared" si="248"/>
        <v>#N/A</v>
      </c>
      <c r="AF308" s="238" t="e">
        <f t="shared" si="249"/>
        <v>#N/A</v>
      </c>
      <c r="AG308" s="238" t="e">
        <f t="shared" si="250"/>
        <v>#N/A</v>
      </c>
      <c r="AH308" s="238" t="e">
        <f t="shared" si="251"/>
        <v>#N/A</v>
      </c>
      <c r="AI308" s="261" t="e">
        <f t="shared" si="252"/>
        <v>#N/A</v>
      </c>
      <c r="AJ308" s="233" t="e">
        <f t="shared" si="253"/>
        <v>#N/A</v>
      </c>
    </row>
    <row r="309" spans="1:36" s="120" customFormat="1" ht="35.25" customHeight="1" x14ac:dyDescent="0.2">
      <c r="E309" s="218" t="s">
        <v>2306</v>
      </c>
      <c r="F309" s="130"/>
      <c r="G309" s="67" t="e">
        <f t="shared" si="255"/>
        <v>#N/A</v>
      </c>
      <c r="H309" s="396" t="e">
        <f t="shared" si="256"/>
        <v>#N/A</v>
      </c>
      <c r="I309" s="396" t="e">
        <f t="shared" si="257"/>
        <v>#N/A</v>
      </c>
      <c r="J309" s="396" t="e">
        <f t="shared" si="258"/>
        <v>#N/A</v>
      </c>
      <c r="K309" s="398" t="e">
        <f t="shared" si="259"/>
        <v>#N/A</v>
      </c>
      <c r="L309" s="396" t="e">
        <f t="shared" si="260"/>
        <v>#N/A</v>
      </c>
      <c r="M309" s="398" t="e">
        <f t="shared" si="261"/>
        <v>#N/A</v>
      </c>
      <c r="N309" s="396" t="e">
        <f t="shared" si="262"/>
        <v>#N/A</v>
      </c>
      <c r="O309" s="396" t="e">
        <f t="shared" si="263"/>
        <v>#N/A</v>
      </c>
      <c r="P309" s="396" t="e">
        <f t="shared" si="264"/>
        <v>#N/A</v>
      </c>
      <c r="Q309" s="396" t="e">
        <f t="shared" si="265"/>
        <v>#N/A</v>
      </c>
      <c r="R309" s="396" t="e">
        <f t="shared" si="266"/>
        <v>#N/A</v>
      </c>
      <c r="S309" s="396" t="e">
        <f t="shared" si="267"/>
        <v>#N/A</v>
      </c>
      <c r="T309" s="397" t="e">
        <f t="shared" si="268"/>
        <v>#N/A</v>
      </c>
      <c r="U309" s="396" t="e">
        <f t="shared" si="269"/>
        <v>#N/A</v>
      </c>
      <c r="V309" s="396" t="e">
        <f t="shared" si="270"/>
        <v>#N/A</v>
      </c>
      <c r="W309" s="206" t="e">
        <f t="shared" si="241"/>
        <v>#N/A</v>
      </c>
      <c r="X309" s="207" t="e">
        <f t="shared" si="242"/>
        <v>#N/A</v>
      </c>
      <c r="Y309" s="207" t="e">
        <f t="shared" si="243"/>
        <v>#N/A</v>
      </c>
      <c r="Z309" s="233" t="e">
        <f t="shared" si="244"/>
        <v>#N/A</v>
      </c>
      <c r="AA309" s="208" t="e">
        <f t="shared" si="254"/>
        <v>#N/A</v>
      </c>
      <c r="AB309" s="233" t="e">
        <f t="shared" si="245"/>
        <v>#N/A</v>
      </c>
      <c r="AC309" s="233" t="e">
        <f t="shared" si="246"/>
        <v>#N/A</v>
      </c>
      <c r="AD309" s="233" t="e">
        <f t="shared" si="247"/>
        <v>#N/A</v>
      </c>
      <c r="AE309" s="233" t="e">
        <f t="shared" si="248"/>
        <v>#N/A</v>
      </c>
      <c r="AF309" s="238" t="e">
        <f t="shared" si="249"/>
        <v>#N/A</v>
      </c>
      <c r="AG309" s="238" t="e">
        <f t="shared" si="250"/>
        <v>#N/A</v>
      </c>
      <c r="AH309" s="238" t="e">
        <f t="shared" si="251"/>
        <v>#N/A</v>
      </c>
      <c r="AI309" s="261" t="e">
        <f t="shared" si="252"/>
        <v>#N/A</v>
      </c>
      <c r="AJ309" s="233" t="e">
        <f t="shared" si="253"/>
        <v>#N/A</v>
      </c>
    </row>
    <row r="310" spans="1:36" s="120" customFormat="1" ht="35.25" customHeight="1" x14ac:dyDescent="0.2">
      <c r="E310" s="218" t="s">
        <v>2306</v>
      </c>
      <c r="F310" s="130"/>
      <c r="G310" s="67" t="e">
        <f t="shared" si="255"/>
        <v>#N/A</v>
      </c>
      <c r="H310" s="396" t="e">
        <f t="shared" si="256"/>
        <v>#N/A</v>
      </c>
      <c r="I310" s="396" t="e">
        <f t="shared" si="257"/>
        <v>#N/A</v>
      </c>
      <c r="J310" s="396" t="e">
        <f t="shared" si="258"/>
        <v>#N/A</v>
      </c>
      <c r="K310" s="398" t="e">
        <f t="shared" si="259"/>
        <v>#N/A</v>
      </c>
      <c r="L310" s="396" t="e">
        <f t="shared" si="260"/>
        <v>#N/A</v>
      </c>
      <c r="M310" s="398" t="e">
        <f t="shared" si="261"/>
        <v>#N/A</v>
      </c>
      <c r="N310" s="396" t="e">
        <f t="shared" si="262"/>
        <v>#N/A</v>
      </c>
      <c r="O310" s="396" t="e">
        <f t="shared" si="263"/>
        <v>#N/A</v>
      </c>
      <c r="P310" s="396" t="e">
        <f t="shared" si="264"/>
        <v>#N/A</v>
      </c>
      <c r="Q310" s="396" t="e">
        <f t="shared" si="265"/>
        <v>#N/A</v>
      </c>
      <c r="R310" s="396" t="e">
        <f t="shared" si="266"/>
        <v>#N/A</v>
      </c>
      <c r="S310" s="396" t="e">
        <f t="shared" si="267"/>
        <v>#N/A</v>
      </c>
      <c r="T310" s="397" t="e">
        <f t="shared" si="268"/>
        <v>#N/A</v>
      </c>
      <c r="U310" s="396" t="e">
        <f t="shared" si="269"/>
        <v>#N/A</v>
      </c>
      <c r="V310" s="396" t="e">
        <f t="shared" si="270"/>
        <v>#N/A</v>
      </c>
      <c r="W310" s="206" t="e">
        <f t="shared" si="241"/>
        <v>#N/A</v>
      </c>
      <c r="X310" s="207" t="e">
        <f t="shared" si="242"/>
        <v>#N/A</v>
      </c>
      <c r="Y310" s="207" t="e">
        <f t="shared" si="243"/>
        <v>#N/A</v>
      </c>
      <c r="Z310" s="233" t="e">
        <f t="shared" si="244"/>
        <v>#N/A</v>
      </c>
      <c r="AA310" s="208" t="e">
        <f t="shared" si="254"/>
        <v>#N/A</v>
      </c>
      <c r="AB310" s="233" t="e">
        <f t="shared" si="245"/>
        <v>#N/A</v>
      </c>
      <c r="AC310" s="233" t="e">
        <f t="shared" si="246"/>
        <v>#N/A</v>
      </c>
      <c r="AD310" s="233" t="e">
        <f t="shared" si="247"/>
        <v>#N/A</v>
      </c>
      <c r="AE310" s="233" t="e">
        <f t="shared" si="248"/>
        <v>#N/A</v>
      </c>
      <c r="AF310" s="238" t="e">
        <f t="shared" si="249"/>
        <v>#N/A</v>
      </c>
      <c r="AG310" s="238" t="e">
        <f t="shared" si="250"/>
        <v>#N/A</v>
      </c>
      <c r="AH310" s="238" t="e">
        <f t="shared" si="251"/>
        <v>#N/A</v>
      </c>
      <c r="AI310" s="261" t="e">
        <f t="shared" si="252"/>
        <v>#N/A</v>
      </c>
      <c r="AJ310" s="233" t="e">
        <f t="shared" si="253"/>
        <v>#N/A</v>
      </c>
    </row>
    <row r="311" spans="1:36" s="120" customFormat="1" ht="35.25" customHeight="1" x14ac:dyDescent="0.2">
      <c r="E311" s="218" t="s">
        <v>2306</v>
      </c>
      <c r="F311" s="130"/>
      <c r="G311" s="67" t="e">
        <f t="shared" si="255"/>
        <v>#N/A</v>
      </c>
      <c r="H311" s="396" t="e">
        <f t="shared" si="256"/>
        <v>#N/A</v>
      </c>
      <c r="I311" s="396" t="e">
        <f t="shared" si="257"/>
        <v>#N/A</v>
      </c>
      <c r="J311" s="396" t="e">
        <f t="shared" si="258"/>
        <v>#N/A</v>
      </c>
      <c r="K311" s="398" t="e">
        <f t="shared" si="259"/>
        <v>#N/A</v>
      </c>
      <c r="L311" s="396" t="e">
        <f t="shared" si="260"/>
        <v>#N/A</v>
      </c>
      <c r="M311" s="398" t="e">
        <f t="shared" si="261"/>
        <v>#N/A</v>
      </c>
      <c r="N311" s="396" t="e">
        <f t="shared" si="262"/>
        <v>#N/A</v>
      </c>
      <c r="O311" s="396" t="e">
        <f t="shared" si="263"/>
        <v>#N/A</v>
      </c>
      <c r="P311" s="396" t="e">
        <f t="shared" si="264"/>
        <v>#N/A</v>
      </c>
      <c r="Q311" s="396" t="e">
        <f t="shared" si="265"/>
        <v>#N/A</v>
      </c>
      <c r="R311" s="396" t="e">
        <f t="shared" si="266"/>
        <v>#N/A</v>
      </c>
      <c r="S311" s="396" t="e">
        <f t="shared" si="267"/>
        <v>#N/A</v>
      </c>
      <c r="T311" s="397" t="e">
        <f t="shared" si="268"/>
        <v>#N/A</v>
      </c>
      <c r="U311" s="396" t="e">
        <f t="shared" si="269"/>
        <v>#N/A</v>
      </c>
      <c r="V311" s="396" t="e">
        <f t="shared" si="270"/>
        <v>#N/A</v>
      </c>
      <c r="W311" s="206" t="e">
        <f t="shared" si="241"/>
        <v>#N/A</v>
      </c>
      <c r="X311" s="207" t="e">
        <f t="shared" si="242"/>
        <v>#N/A</v>
      </c>
      <c r="Y311" s="207" t="e">
        <f t="shared" si="243"/>
        <v>#N/A</v>
      </c>
      <c r="Z311" s="233" t="e">
        <f t="shared" si="244"/>
        <v>#N/A</v>
      </c>
      <c r="AA311" s="208" t="e">
        <f t="shared" si="254"/>
        <v>#N/A</v>
      </c>
      <c r="AB311" s="233" t="e">
        <f t="shared" si="245"/>
        <v>#N/A</v>
      </c>
      <c r="AC311" s="233" t="e">
        <f t="shared" si="246"/>
        <v>#N/A</v>
      </c>
      <c r="AD311" s="233" t="e">
        <f t="shared" si="247"/>
        <v>#N/A</v>
      </c>
      <c r="AE311" s="233" t="e">
        <f t="shared" si="248"/>
        <v>#N/A</v>
      </c>
      <c r="AF311" s="238" t="e">
        <f t="shared" si="249"/>
        <v>#N/A</v>
      </c>
      <c r="AG311" s="238" t="e">
        <f t="shared" si="250"/>
        <v>#N/A</v>
      </c>
      <c r="AH311" s="238" t="e">
        <f t="shared" si="251"/>
        <v>#N/A</v>
      </c>
      <c r="AI311" s="261" t="e">
        <f t="shared" si="252"/>
        <v>#N/A</v>
      </c>
      <c r="AJ311" s="233" t="e">
        <f t="shared" si="253"/>
        <v>#N/A</v>
      </c>
    </row>
    <row r="312" spans="1:36" s="120" customFormat="1" ht="35.25" customHeight="1" x14ac:dyDescent="0.2">
      <c r="E312" s="218" t="s">
        <v>2306</v>
      </c>
      <c r="F312" s="130"/>
      <c r="G312" s="67" t="e">
        <f t="shared" si="255"/>
        <v>#N/A</v>
      </c>
      <c r="H312" s="396" t="e">
        <f t="shared" si="256"/>
        <v>#N/A</v>
      </c>
      <c r="I312" s="396" t="e">
        <f t="shared" si="257"/>
        <v>#N/A</v>
      </c>
      <c r="J312" s="396" t="e">
        <f t="shared" si="258"/>
        <v>#N/A</v>
      </c>
      <c r="K312" s="398" t="e">
        <f t="shared" si="259"/>
        <v>#N/A</v>
      </c>
      <c r="L312" s="396" t="e">
        <f t="shared" si="260"/>
        <v>#N/A</v>
      </c>
      <c r="M312" s="398" t="e">
        <f t="shared" si="261"/>
        <v>#N/A</v>
      </c>
      <c r="N312" s="396" t="e">
        <f t="shared" si="262"/>
        <v>#N/A</v>
      </c>
      <c r="O312" s="396" t="e">
        <f t="shared" si="263"/>
        <v>#N/A</v>
      </c>
      <c r="P312" s="396" t="e">
        <f t="shared" si="264"/>
        <v>#N/A</v>
      </c>
      <c r="Q312" s="396" t="e">
        <f t="shared" si="265"/>
        <v>#N/A</v>
      </c>
      <c r="R312" s="396" t="e">
        <f t="shared" si="266"/>
        <v>#N/A</v>
      </c>
      <c r="S312" s="396" t="e">
        <f t="shared" si="267"/>
        <v>#N/A</v>
      </c>
      <c r="T312" s="397" t="e">
        <f t="shared" si="268"/>
        <v>#N/A</v>
      </c>
      <c r="U312" s="396" t="e">
        <f t="shared" si="269"/>
        <v>#N/A</v>
      </c>
      <c r="V312" s="396" t="e">
        <f t="shared" si="270"/>
        <v>#N/A</v>
      </c>
      <c r="W312" s="206" t="e">
        <f t="shared" si="241"/>
        <v>#N/A</v>
      </c>
      <c r="X312" s="207" t="e">
        <f t="shared" si="242"/>
        <v>#N/A</v>
      </c>
      <c r="Y312" s="207" t="e">
        <f t="shared" si="243"/>
        <v>#N/A</v>
      </c>
      <c r="Z312" s="233" t="e">
        <f t="shared" si="244"/>
        <v>#N/A</v>
      </c>
      <c r="AA312" s="208" t="e">
        <f t="shared" si="254"/>
        <v>#N/A</v>
      </c>
      <c r="AB312" s="233" t="e">
        <f t="shared" si="245"/>
        <v>#N/A</v>
      </c>
      <c r="AC312" s="233" t="e">
        <f t="shared" si="246"/>
        <v>#N/A</v>
      </c>
      <c r="AD312" s="233" t="e">
        <f t="shared" si="247"/>
        <v>#N/A</v>
      </c>
      <c r="AE312" s="233" t="e">
        <f t="shared" si="248"/>
        <v>#N/A</v>
      </c>
      <c r="AF312" s="238" t="e">
        <f t="shared" si="249"/>
        <v>#N/A</v>
      </c>
      <c r="AG312" s="238" t="e">
        <f t="shared" si="250"/>
        <v>#N/A</v>
      </c>
      <c r="AH312" s="238" t="e">
        <f t="shared" si="251"/>
        <v>#N/A</v>
      </c>
      <c r="AI312" s="261" t="e">
        <f t="shared" si="252"/>
        <v>#N/A</v>
      </c>
      <c r="AJ312" s="233" t="e">
        <f t="shared" si="253"/>
        <v>#N/A</v>
      </c>
    </row>
    <row r="313" spans="1:36" s="120" customFormat="1" ht="35.25" customHeight="1" x14ac:dyDescent="0.2">
      <c r="E313" s="218" t="s">
        <v>2306</v>
      </c>
      <c r="F313" s="130"/>
      <c r="G313" s="67" t="e">
        <f t="shared" si="255"/>
        <v>#N/A</v>
      </c>
      <c r="H313" s="396" t="e">
        <f t="shared" si="256"/>
        <v>#N/A</v>
      </c>
      <c r="I313" s="396" t="e">
        <f t="shared" si="257"/>
        <v>#N/A</v>
      </c>
      <c r="J313" s="396" t="e">
        <f t="shared" si="258"/>
        <v>#N/A</v>
      </c>
      <c r="K313" s="398" t="e">
        <f t="shared" si="259"/>
        <v>#N/A</v>
      </c>
      <c r="L313" s="396" t="e">
        <f t="shared" si="260"/>
        <v>#N/A</v>
      </c>
      <c r="M313" s="398" t="e">
        <f t="shared" si="261"/>
        <v>#N/A</v>
      </c>
      <c r="N313" s="396" t="e">
        <f t="shared" si="262"/>
        <v>#N/A</v>
      </c>
      <c r="O313" s="396" t="e">
        <f t="shared" si="263"/>
        <v>#N/A</v>
      </c>
      <c r="P313" s="396" t="e">
        <f t="shared" si="264"/>
        <v>#N/A</v>
      </c>
      <c r="Q313" s="396" t="e">
        <f t="shared" si="265"/>
        <v>#N/A</v>
      </c>
      <c r="R313" s="396" t="e">
        <f t="shared" si="266"/>
        <v>#N/A</v>
      </c>
      <c r="S313" s="396" t="e">
        <f t="shared" si="267"/>
        <v>#N/A</v>
      </c>
      <c r="T313" s="397" t="e">
        <f t="shared" si="268"/>
        <v>#N/A</v>
      </c>
      <c r="U313" s="396" t="e">
        <f t="shared" si="269"/>
        <v>#N/A</v>
      </c>
      <c r="V313" s="396" t="e">
        <f t="shared" si="270"/>
        <v>#N/A</v>
      </c>
      <c r="W313" s="206" t="e">
        <f t="shared" si="241"/>
        <v>#N/A</v>
      </c>
      <c r="X313" s="207" t="e">
        <f t="shared" si="242"/>
        <v>#N/A</v>
      </c>
      <c r="Y313" s="207" t="e">
        <f t="shared" si="243"/>
        <v>#N/A</v>
      </c>
      <c r="Z313" s="233" t="e">
        <f t="shared" si="244"/>
        <v>#N/A</v>
      </c>
      <c r="AA313" s="208" t="e">
        <f t="shared" si="254"/>
        <v>#N/A</v>
      </c>
      <c r="AB313" s="233" t="e">
        <f t="shared" si="245"/>
        <v>#N/A</v>
      </c>
      <c r="AC313" s="233" t="e">
        <f t="shared" si="246"/>
        <v>#N/A</v>
      </c>
      <c r="AD313" s="233" t="e">
        <f t="shared" si="247"/>
        <v>#N/A</v>
      </c>
      <c r="AE313" s="233" t="e">
        <f t="shared" si="248"/>
        <v>#N/A</v>
      </c>
      <c r="AF313" s="238" t="e">
        <f t="shared" si="249"/>
        <v>#N/A</v>
      </c>
      <c r="AG313" s="238" t="e">
        <f t="shared" si="250"/>
        <v>#N/A</v>
      </c>
      <c r="AH313" s="238" t="e">
        <f t="shared" si="251"/>
        <v>#N/A</v>
      </c>
      <c r="AI313" s="261" t="e">
        <f t="shared" si="252"/>
        <v>#N/A</v>
      </c>
      <c r="AJ313" s="233" t="e">
        <f t="shared" si="253"/>
        <v>#N/A</v>
      </c>
    </row>
    <row r="314" spans="1:36" s="120" customFormat="1" ht="35.25" customHeight="1" x14ac:dyDescent="0.2">
      <c r="E314" s="218" t="s">
        <v>2306</v>
      </c>
      <c r="F314" s="130"/>
      <c r="G314" s="67" t="e">
        <f t="shared" si="255"/>
        <v>#N/A</v>
      </c>
      <c r="H314" s="396" t="e">
        <f t="shared" si="256"/>
        <v>#N/A</v>
      </c>
      <c r="I314" s="396" t="e">
        <f t="shared" si="257"/>
        <v>#N/A</v>
      </c>
      <c r="J314" s="396" t="e">
        <f t="shared" si="258"/>
        <v>#N/A</v>
      </c>
      <c r="K314" s="398" t="e">
        <f t="shared" si="259"/>
        <v>#N/A</v>
      </c>
      <c r="L314" s="396" t="e">
        <f t="shared" si="260"/>
        <v>#N/A</v>
      </c>
      <c r="M314" s="398" t="e">
        <f t="shared" si="261"/>
        <v>#N/A</v>
      </c>
      <c r="N314" s="396" t="e">
        <f t="shared" si="262"/>
        <v>#N/A</v>
      </c>
      <c r="O314" s="396" t="e">
        <f t="shared" si="263"/>
        <v>#N/A</v>
      </c>
      <c r="P314" s="396" t="e">
        <f t="shared" si="264"/>
        <v>#N/A</v>
      </c>
      <c r="Q314" s="396" t="e">
        <f t="shared" si="265"/>
        <v>#N/A</v>
      </c>
      <c r="R314" s="396" t="e">
        <f t="shared" si="266"/>
        <v>#N/A</v>
      </c>
      <c r="S314" s="396" t="e">
        <f t="shared" si="267"/>
        <v>#N/A</v>
      </c>
      <c r="T314" s="397" t="e">
        <f t="shared" si="268"/>
        <v>#N/A</v>
      </c>
      <c r="U314" s="396" t="e">
        <f t="shared" si="269"/>
        <v>#N/A</v>
      </c>
      <c r="V314" s="396" t="e">
        <f t="shared" si="270"/>
        <v>#N/A</v>
      </c>
      <c r="W314" s="206" t="e">
        <f t="shared" si="241"/>
        <v>#N/A</v>
      </c>
      <c r="X314" s="207" t="e">
        <f t="shared" si="242"/>
        <v>#N/A</v>
      </c>
      <c r="Y314" s="207" t="e">
        <f t="shared" si="243"/>
        <v>#N/A</v>
      </c>
      <c r="Z314" s="233" t="e">
        <f t="shared" si="244"/>
        <v>#N/A</v>
      </c>
      <c r="AA314" s="208" t="e">
        <f t="shared" si="254"/>
        <v>#N/A</v>
      </c>
      <c r="AB314" s="233" t="e">
        <f t="shared" si="245"/>
        <v>#N/A</v>
      </c>
      <c r="AC314" s="233" t="e">
        <f t="shared" si="246"/>
        <v>#N/A</v>
      </c>
      <c r="AD314" s="233" t="e">
        <f t="shared" si="247"/>
        <v>#N/A</v>
      </c>
      <c r="AE314" s="233" t="e">
        <f t="shared" si="248"/>
        <v>#N/A</v>
      </c>
      <c r="AF314" s="238" t="e">
        <f t="shared" si="249"/>
        <v>#N/A</v>
      </c>
      <c r="AG314" s="238" t="e">
        <f t="shared" si="250"/>
        <v>#N/A</v>
      </c>
      <c r="AH314" s="238" t="e">
        <f t="shared" si="251"/>
        <v>#N/A</v>
      </c>
      <c r="AI314" s="261" t="e">
        <f t="shared" si="252"/>
        <v>#N/A</v>
      </c>
      <c r="AJ314" s="233" t="e">
        <f t="shared" si="253"/>
        <v>#N/A</v>
      </c>
    </row>
    <row r="315" spans="1:36" s="120" customFormat="1" ht="35.25" customHeight="1" x14ac:dyDescent="0.2">
      <c r="E315" s="218" t="s">
        <v>2306</v>
      </c>
      <c r="F315" s="130"/>
      <c r="G315" s="67" t="e">
        <f t="shared" si="255"/>
        <v>#N/A</v>
      </c>
      <c r="H315" s="396" t="e">
        <f t="shared" si="256"/>
        <v>#N/A</v>
      </c>
      <c r="I315" s="396" t="e">
        <f t="shared" si="257"/>
        <v>#N/A</v>
      </c>
      <c r="J315" s="396" t="e">
        <f t="shared" si="258"/>
        <v>#N/A</v>
      </c>
      <c r="K315" s="398" t="e">
        <f t="shared" si="259"/>
        <v>#N/A</v>
      </c>
      <c r="L315" s="396" t="e">
        <f t="shared" si="260"/>
        <v>#N/A</v>
      </c>
      <c r="M315" s="398" t="e">
        <f t="shared" si="261"/>
        <v>#N/A</v>
      </c>
      <c r="N315" s="396" t="e">
        <f t="shared" si="262"/>
        <v>#N/A</v>
      </c>
      <c r="O315" s="396" t="e">
        <f t="shared" si="263"/>
        <v>#N/A</v>
      </c>
      <c r="P315" s="396" t="e">
        <f t="shared" si="264"/>
        <v>#N/A</v>
      </c>
      <c r="Q315" s="396" t="e">
        <f t="shared" si="265"/>
        <v>#N/A</v>
      </c>
      <c r="R315" s="396" t="e">
        <f t="shared" si="266"/>
        <v>#N/A</v>
      </c>
      <c r="S315" s="396" t="e">
        <f t="shared" si="267"/>
        <v>#N/A</v>
      </c>
      <c r="T315" s="397" t="e">
        <f t="shared" si="268"/>
        <v>#N/A</v>
      </c>
      <c r="U315" s="396" t="e">
        <f t="shared" si="269"/>
        <v>#N/A</v>
      </c>
      <c r="V315" s="396" t="e">
        <f t="shared" si="270"/>
        <v>#N/A</v>
      </c>
      <c r="W315" s="206" t="e">
        <f t="shared" si="241"/>
        <v>#N/A</v>
      </c>
      <c r="X315" s="207" t="e">
        <f t="shared" si="242"/>
        <v>#N/A</v>
      </c>
      <c r="Y315" s="207" t="e">
        <f t="shared" si="243"/>
        <v>#N/A</v>
      </c>
      <c r="Z315" s="233" t="e">
        <f t="shared" si="244"/>
        <v>#N/A</v>
      </c>
      <c r="AA315" s="208" t="e">
        <f t="shared" si="254"/>
        <v>#N/A</v>
      </c>
      <c r="AB315" s="233" t="e">
        <f t="shared" si="245"/>
        <v>#N/A</v>
      </c>
      <c r="AC315" s="233" t="e">
        <f t="shared" si="246"/>
        <v>#N/A</v>
      </c>
      <c r="AD315" s="233" t="e">
        <f t="shared" si="247"/>
        <v>#N/A</v>
      </c>
      <c r="AE315" s="233" t="e">
        <f t="shared" si="248"/>
        <v>#N/A</v>
      </c>
      <c r="AF315" s="238" t="e">
        <f t="shared" si="249"/>
        <v>#N/A</v>
      </c>
      <c r="AG315" s="238" t="e">
        <f t="shared" si="250"/>
        <v>#N/A</v>
      </c>
      <c r="AH315" s="238" t="e">
        <f t="shared" si="251"/>
        <v>#N/A</v>
      </c>
      <c r="AI315" s="261" t="e">
        <f t="shared" si="252"/>
        <v>#N/A</v>
      </c>
      <c r="AJ315" s="233" t="e">
        <f t="shared" si="253"/>
        <v>#N/A</v>
      </c>
    </row>
    <row r="316" spans="1:36" s="120" customFormat="1" ht="35.25" customHeight="1" x14ac:dyDescent="0.2">
      <c r="E316" s="218" t="s">
        <v>2306</v>
      </c>
      <c r="F316" s="130"/>
      <c r="G316" s="67" t="e">
        <f t="shared" si="255"/>
        <v>#N/A</v>
      </c>
      <c r="H316" s="396" t="e">
        <f t="shared" si="256"/>
        <v>#N/A</v>
      </c>
      <c r="I316" s="396" t="e">
        <f t="shared" si="257"/>
        <v>#N/A</v>
      </c>
      <c r="J316" s="396" t="e">
        <f t="shared" si="258"/>
        <v>#N/A</v>
      </c>
      <c r="K316" s="398" t="e">
        <f t="shared" si="259"/>
        <v>#N/A</v>
      </c>
      <c r="L316" s="396" t="e">
        <f t="shared" si="260"/>
        <v>#N/A</v>
      </c>
      <c r="M316" s="398" t="e">
        <f t="shared" si="261"/>
        <v>#N/A</v>
      </c>
      <c r="N316" s="396" t="e">
        <f t="shared" si="262"/>
        <v>#N/A</v>
      </c>
      <c r="O316" s="396" t="e">
        <f t="shared" si="263"/>
        <v>#N/A</v>
      </c>
      <c r="P316" s="396" t="e">
        <f t="shared" si="264"/>
        <v>#N/A</v>
      </c>
      <c r="Q316" s="396" t="e">
        <f t="shared" si="265"/>
        <v>#N/A</v>
      </c>
      <c r="R316" s="396" t="e">
        <f t="shared" si="266"/>
        <v>#N/A</v>
      </c>
      <c r="S316" s="396" t="e">
        <f t="shared" si="267"/>
        <v>#N/A</v>
      </c>
      <c r="T316" s="397" t="e">
        <f t="shared" si="268"/>
        <v>#N/A</v>
      </c>
      <c r="U316" s="396" t="e">
        <f t="shared" si="269"/>
        <v>#N/A</v>
      </c>
      <c r="V316" s="396" t="e">
        <f t="shared" si="270"/>
        <v>#N/A</v>
      </c>
      <c r="W316" s="206" t="e">
        <f t="shared" si="241"/>
        <v>#N/A</v>
      </c>
      <c r="X316" s="207" t="e">
        <f t="shared" si="242"/>
        <v>#N/A</v>
      </c>
      <c r="Y316" s="207" t="e">
        <f t="shared" si="243"/>
        <v>#N/A</v>
      </c>
      <c r="Z316" s="233" t="e">
        <f t="shared" si="244"/>
        <v>#N/A</v>
      </c>
      <c r="AA316" s="208" t="e">
        <f t="shared" si="254"/>
        <v>#N/A</v>
      </c>
      <c r="AB316" s="233" t="e">
        <f t="shared" si="245"/>
        <v>#N/A</v>
      </c>
      <c r="AC316" s="233" t="e">
        <f t="shared" si="246"/>
        <v>#N/A</v>
      </c>
      <c r="AD316" s="233" t="e">
        <f t="shared" si="247"/>
        <v>#N/A</v>
      </c>
      <c r="AE316" s="233" t="e">
        <f t="shared" si="248"/>
        <v>#N/A</v>
      </c>
      <c r="AF316" s="238" t="e">
        <f t="shared" si="249"/>
        <v>#N/A</v>
      </c>
      <c r="AG316" s="238" t="e">
        <f t="shared" si="250"/>
        <v>#N/A</v>
      </c>
      <c r="AH316" s="238" t="e">
        <f t="shared" si="251"/>
        <v>#N/A</v>
      </c>
      <c r="AI316" s="261" t="e">
        <f t="shared" si="252"/>
        <v>#N/A</v>
      </c>
      <c r="AJ316" s="233" t="e">
        <f t="shared" si="253"/>
        <v>#N/A</v>
      </c>
    </row>
    <row r="317" spans="1:36" s="120" customFormat="1" ht="35.25" customHeight="1" x14ac:dyDescent="0.2">
      <c r="E317" s="218" t="s">
        <v>2306</v>
      </c>
      <c r="F317" s="130"/>
      <c r="G317" s="67" t="e">
        <f t="shared" si="255"/>
        <v>#N/A</v>
      </c>
      <c r="H317" s="396" t="e">
        <f t="shared" si="256"/>
        <v>#N/A</v>
      </c>
      <c r="I317" s="396" t="e">
        <f t="shared" si="257"/>
        <v>#N/A</v>
      </c>
      <c r="J317" s="396" t="e">
        <f t="shared" si="258"/>
        <v>#N/A</v>
      </c>
      <c r="K317" s="398" t="e">
        <f t="shared" si="259"/>
        <v>#N/A</v>
      </c>
      <c r="L317" s="396" t="e">
        <f t="shared" si="260"/>
        <v>#N/A</v>
      </c>
      <c r="M317" s="398" t="e">
        <f t="shared" si="261"/>
        <v>#N/A</v>
      </c>
      <c r="N317" s="396" t="e">
        <f t="shared" si="262"/>
        <v>#N/A</v>
      </c>
      <c r="O317" s="396" t="e">
        <f t="shared" si="263"/>
        <v>#N/A</v>
      </c>
      <c r="P317" s="396" t="e">
        <f t="shared" si="264"/>
        <v>#N/A</v>
      </c>
      <c r="Q317" s="396" t="e">
        <f t="shared" si="265"/>
        <v>#N/A</v>
      </c>
      <c r="R317" s="396" t="e">
        <f t="shared" si="266"/>
        <v>#N/A</v>
      </c>
      <c r="S317" s="396" t="e">
        <f t="shared" si="267"/>
        <v>#N/A</v>
      </c>
      <c r="T317" s="397" t="e">
        <f t="shared" si="268"/>
        <v>#N/A</v>
      </c>
      <c r="U317" s="396" t="e">
        <f t="shared" si="269"/>
        <v>#N/A</v>
      </c>
      <c r="V317" s="396" t="e">
        <f t="shared" si="270"/>
        <v>#N/A</v>
      </c>
      <c r="W317" s="206" t="e">
        <f t="shared" si="241"/>
        <v>#N/A</v>
      </c>
      <c r="X317" s="207" t="e">
        <f t="shared" si="242"/>
        <v>#N/A</v>
      </c>
      <c r="Y317" s="207" t="e">
        <f t="shared" si="243"/>
        <v>#N/A</v>
      </c>
      <c r="Z317" s="233" t="e">
        <f t="shared" si="244"/>
        <v>#N/A</v>
      </c>
      <c r="AA317" s="208" t="e">
        <f t="shared" si="254"/>
        <v>#N/A</v>
      </c>
      <c r="AB317" s="233" t="e">
        <f t="shared" si="245"/>
        <v>#N/A</v>
      </c>
      <c r="AC317" s="233" t="e">
        <f t="shared" si="246"/>
        <v>#N/A</v>
      </c>
      <c r="AD317" s="233" t="e">
        <f t="shared" si="247"/>
        <v>#N/A</v>
      </c>
      <c r="AE317" s="233" t="e">
        <f t="shared" si="248"/>
        <v>#N/A</v>
      </c>
      <c r="AF317" s="238" t="e">
        <f t="shared" si="249"/>
        <v>#N/A</v>
      </c>
      <c r="AG317" s="238" t="e">
        <f t="shared" si="250"/>
        <v>#N/A</v>
      </c>
      <c r="AH317" s="238" t="e">
        <f t="shared" si="251"/>
        <v>#N/A</v>
      </c>
      <c r="AI317" s="261" t="e">
        <f t="shared" si="252"/>
        <v>#N/A</v>
      </c>
      <c r="AJ317" s="233" t="e">
        <f t="shared" si="253"/>
        <v>#N/A</v>
      </c>
    </row>
    <row r="318" spans="1:36" s="120" customFormat="1" ht="35.25" customHeight="1" x14ac:dyDescent="0.2">
      <c r="A318" s="116"/>
      <c r="E318" s="218" t="s">
        <v>2306</v>
      </c>
      <c r="F318" s="130"/>
      <c r="G318" s="67" t="e">
        <f t="shared" si="255"/>
        <v>#N/A</v>
      </c>
      <c r="H318" s="396" t="e">
        <f t="shared" si="256"/>
        <v>#N/A</v>
      </c>
      <c r="I318" s="396" t="e">
        <f t="shared" si="257"/>
        <v>#N/A</v>
      </c>
      <c r="J318" s="396" t="e">
        <f t="shared" si="258"/>
        <v>#N/A</v>
      </c>
      <c r="K318" s="398" t="e">
        <f t="shared" si="259"/>
        <v>#N/A</v>
      </c>
      <c r="L318" s="396" t="e">
        <f t="shared" si="260"/>
        <v>#N/A</v>
      </c>
      <c r="M318" s="398" t="e">
        <f t="shared" si="261"/>
        <v>#N/A</v>
      </c>
      <c r="N318" s="396" t="e">
        <f t="shared" si="262"/>
        <v>#N/A</v>
      </c>
      <c r="O318" s="396" t="e">
        <f t="shared" si="263"/>
        <v>#N/A</v>
      </c>
      <c r="P318" s="396" t="e">
        <f t="shared" si="264"/>
        <v>#N/A</v>
      </c>
      <c r="Q318" s="396" t="e">
        <f t="shared" si="265"/>
        <v>#N/A</v>
      </c>
      <c r="R318" s="396" t="e">
        <f t="shared" si="266"/>
        <v>#N/A</v>
      </c>
      <c r="S318" s="396" t="e">
        <f t="shared" si="267"/>
        <v>#N/A</v>
      </c>
      <c r="T318" s="397" t="e">
        <f t="shared" si="268"/>
        <v>#N/A</v>
      </c>
      <c r="U318" s="396" t="e">
        <f t="shared" si="269"/>
        <v>#N/A</v>
      </c>
      <c r="V318" s="396" t="e">
        <f t="shared" si="270"/>
        <v>#N/A</v>
      </c>
      <c r="W318" s="206" t="e">
        <f t="shared" si="241"/>
        <v>#N/A</v>
      </c>
      <c r="X318" s="207" t="e">
        <f t="shared" si="242"/>
        <v>#N/A</v>
      </c>
      <c r="Y318" s="207" t="e">
        <f t="shared" si="243"/>
        <v>#N/A</v>
      </c>
      <c r="Z318" s="233" t="e">
        <f t="shared" si="244"/>
        <v>#N/A</v>
      </c>
      <c r="AA318" s="208" t="e">
        <f t="shared" si="254"/>
        <v>#N/A</v>
      </c>
      <c r="AB318" s="233" t="e">
        <f t="shared" si="245"/>
        <v>#N/A</v>
      </c>
      <c r="AC318" s="233" t="e">
        <f t="shared" si="246"/>
        <v>#N/A</v>
      </c>
      <c r="AD318" s="233" t="e">
        <f t="shared" si="247"/>
        <v>#N/A</v>
      </c>
      <c r="AE318" s="233" t="e">
        <f t="shared" si="248"/>
        <v>#N/A</v>
      </c>
      <c r="AF318" s="238" t="e">
        <f t="shared" si="249"/>
        <v>#N/A</v>
      </c>
      <c r="AG318" s="238" t="e">
        <f t="shared" si="250"/>
        <v>#N/A</v>
      </c>
      <c r="AH318" s="238" t="e">
        <f t="shared" si="251"/>
        <v>#N/A</v>
      </c>
      <c r="AI318" s="261" t="e">
        <f t="shared" si="252"/>
        <v>#N/A</v>
      </c>
      <c r="AJ318" s="233" t="e">
        <f t="shared" si="253"/>
        <v>#N/A</v>
      </c>
    </row>
    <row r="319" spans="1:36" s="120" customFormat="1" ht="35.25" customHeight="1" x14ac:dyDescent="0.2">
      <c r="E319" s="218" t="s">
        <v>2306</v>
      </c>
      <c r="F319" s="130"/>
      <c r="G319" s="67" t="e">
        <f t="shared" si="255"/>
        <v>#N/A</v>
      </c>
      <c r="H319" s="396" t="e">
        <f t="shared" si="256"/>
        <v>#N/A</v>
      </c>
      <c r="I319" s="396" t="e">
        <f t="shared" si="257"/>
        <v>#N/A</v>
      </c>
      <c r="J319" s="396" t="e">
        <f t="shared" si="258"/>
        <v>#N/A</v>
      </c>
      <c r="K319" s="398" t="e">
        <f t="shared" si="259"/>
        <v>#N/A</v>
      </c>
      <c r="L319" s="396" t="e">
        <f t="shared" si="260"/>
        <v>#N/A</v>
      </c>
      <c r="M319" s="398" t="e">
        <f t="shared" si="261"/>
        <v>#N/A</v>
      </c>
      <c r="N319" s="396" t="e">
        <f t="shared" si="262"/>
        <v>#N/A</v>
      </c>
      <c r="O319" s="396" t="e">
        <f t="shared" si="263"/>
        <v>#N/A</v>
      </c>
      <c r="P319" s="396" t="e">
        <f t="shared" si="264"/>
        <v>#N/A</v>
      </c>
      <c r="Q319" s="396" t="e">
        <f t="shared" si="265"/>
        <v>#N/A</v>
      </c>
      <c r="R319" s="396" t="e">
        <f t="shared" si="266"/>
        <v>#N/A</v>
      </c>
      <c r="S319" s="396" t="e">
        <f t="shared" si="267"/>
        <v>#N/A</v>
      </c>
      <c r="T319" s="397" t="e">
        <f t="shared" si="268"/>
        <v>#N/A</v>
      </c>
      <c r="U319" s="396" t="e">
        <f t="shared" si="269"/>
        <v>#N/A</v>
      </c>
      <c r="V319" s="396" t="e">
        <f t="shared" si="270"/>
        <v>#N/A</v>
      </c>
      <c r="W319" s="206" t="e">
        <f t="shared" si="241"/>
        <v>#N/A</v>
      </c>
      <c r="X319" s="207" t="e">
        <f t="shared" si="242"/>
        <v>#N/A</v>
      </c>
      <c r="Y319" s="207" t="e">
        <f t="shared" si="243"/>
        <v>#N/A</v>
      </c>
      <c r="Z319" s="233" t="e">
        <f t="shared" si="244"/>
        <v>#N/A</v>
      </c>
      <c r="AA319" s="208" t="e">
        <f t="shared" si="254"/>
        <v>#N/A</v>
      </c>
      <c r="AB319" s="233" t="e">
        <f t="shared" si="245"/>
        <v>#N/A</v>
      </c>
      <c r="AC319" s="233" t="e">
        <f t="shared" si="246"/>
        <v>#N/A</v>
      </c>
      <c r="AD319" s="233" t="e">
        <f t="shared" si="247"/>
        <v>#N/A</v>
      </c>
      <c r="AE319" s="233" t="e">
        <f t="shared" si="248"/>
        <v>#N/A</v>
      </c>
      <c r="AF319" s="238" t="e">
        <f t="shared" si="249"/>
        <v>#N/A</v>
      </c>
      <c r="AG319" s="238" t="e">
        <f t="shared" si="250"/>
        <v>#N/A</v>
      </c>
      <c r="AH319" s="238" t="e">
        <f t="shared" si="251"/>
        <v>#N/A</v>
      </c>
      <c r="AI319" s="261" t="e">
        <f t="shared" si="252"/>
        <v>#N/A</v>
      </c>
      <c r="AJ319" s="233" t="e">
        <f t="shared" si="253"/>
        <v>#N/A</v>
      </c>
    </row>
    <row r="320" spans="1:36" s="120" customFormat="1" ht="35.25" customHeight="1" x14ac:dyDescent="0.2">
      <c r="E320" s="218" t="s">
        <v>2306</v>
      </c>
      <c r="F320" s="130"/>
      <c r="G320" s="67" t="e">
        <f t="shared" si="255"/>
        <v>#N/A</v>
      </c>
      <c r="H320" s="396" t="e">
        <f t="shared" si="256"/>
        <v>#N/A</v>
      </c>
      <c r="I320" s="396" t="e">
        <f t="shared" si="257"/>
        <v>#N/A</v>
      </c>
      <c r="J320" s="396" t="e">
        <f t="shared" si="258"/>
        <v>#N/A</v>
      </c>
      <c r="K320" s="398" t="e">
        <f t="shared" si="259"/>
        <v>#N/A</v>
      </c>
      <c r="L320" s="396" t="e">
        <f t="shared" si="260"/>
        <v>#N/A</v>
      </c>
      <c r="M320" s="398" t="e">
        <f t="shared" si="261"/>
        <v>#N/A</v>
      </c>
      <c r="N320" s="396" t="e">
        <f t="shared" si="262"/>
        <v>#N/A</v>
      </c>
      <c r="O320" s="396" t="e">
        <f t="shared" si="263"/>
        <v>#N/A</v>
      </c>
      <c r="P320" s="396" t="e">
        <f t="shared" si="264"/>
        <v>#N/A</v>
      </c>
      <c r="Q320" s="396" t="e">
        <f t="shared" si="265"/>
        <v>#N/A</v>
      </c>
      <c r="R320" s="396" t="e">
        <f t="shared" si="266"/>
        <v>#N/A</v>
      </c>
      <c r="S320" s="396" t="e">
        <f t="shared" si="267"/>
        <v>#N/A</v>
      </c>
      <c r="T320" s="397" t="e">
        <f t="shared" si="268"/>
        <v>#N/A</v>
      </c>
      <c r="U320" s="396" t="e">
        <f t="shared" si="269"/>
        <v>#N/A</v>
      </c>
      <c r="V320" s="396" t="e">
        <f t="shared" si="270"/>
        <v>#N/A</v>
      </c>
      <c r="W320" s="206" t="e">
        <f t="shared" si="241"/>
        <v>#N/A</v>
      </c>
      <c r="X320" s="207" t="e">
        <f t="shared" si="242"/>
        <v>#N/A</v>
      </c>
      <c r="Y320" s="207" t="e">
        <f t="shared" si="243"/>
        <v>#N/A</v>
      </c>
      <c r="Z320" s="233" t="e">
        <f t="shared" si="244"/>
        <v>#N/A</v>
      </c>
      <c r="AA320" s="208" t="e">
        <f t="shared" si="254"/>
        <v>#N/A</v>
      </c>
      <c r="AB320" s="233" t="e">
        <f t="shared" si="245"/>
        <v>#N/A</v>
      </c>
      <c r="AC320" s="233" t="e">
        <f t="shared" si="246"/>
        <v>#N/A</v>
      </c>
      <c r="AD320" s="233" t="e">
        <f t="shared" si="247"/>
        <v>#N/A</v>
      </c>
      <c r="AE320" s="233" t="e">
        <f t="shared" si="248"/>
        <v>#N/A</v>
      </c>
      <c r="AF320" s="238" t="e">
        <f t="shared" si="249"/>
        <v>#N/A</v>
      </c>
      <c r="AG320" s="238" t="e">
        <f t="shared" si="250"/>
        <v>#N/A</v>
      </c>
      <c r="AH320" s="238" t="e">
        <f t="shared" si="251"/>
        <v>#N/A</v>
      </c>
      <c r="AI320" s="261" t="e">
        <f t="shared" si="252"/>
        <v>#N/A</v>
      </c>
      <c r="AJ320" s="233" t="e">
        <f t="shared" si="253"/>
        <v>#N/A</v>
      </c>
    </row>
    <row r="321" spans="5:36" s="120" customFormat="1" ht="35.25" customHeight="1" x14ac:dyDescent="0.2">
      <c r="E321" s="218" t="s">
        <v>2306</v>
      </c>
      <c r="F321" s="130"/>
      <c r="G321" s="67" t="e">
        <f t="shared" si="255"/>
        <v>#N/A</v>
      </c>
      <c r="H321" s="396" t="e">
        <f t="shared" si="256"/>
        <v>#N/A</v>
      </c>
      <c r="I321" s="396" t="e">
        <f t="shared" si="257"/>
        <v>#N/A</v>
      </c>
      <c r="J321" s="396" t="e">
        <f t="shared" si="258"/>
        <v>#N/A</v>
      </c>
      <c r="K321" s="398" t="e">
        <f t="shared" si="259"/>
        <v>#N/A</v>
      </c>
      <c r="L321" s="396" t="e">
        <f t="shared" si="260"/>
        <v>#N/A</v>
      </c>
      <c r="M321" s="398" t="e">
        <f t="shared" si="261"/>
        <v>#N/A</v>
      </c>
      <c r="N321" s="396" t="e">
        <f t="shared" si="262"/>
        <v>#N/A</v>
      </c>
      <c r="O321" s="396" t="e">
        <f t="shared" si="263"/>
        <v>#N/A</v>
      </c>
      <c r="P321" s="396" t="e">
        <f t="shared" si="264"/>
        <v>#N/A</v>
      </c>
      <c r="Q321" s="396" t="e">
        <f t="shared" si="265"/>
        <v>#N/A</v>
      </c>
      <c r="R321" s="396" t="e">
        <f t="shared" si="266"/>
        <v>#N/A</v>
      </c>
      <c r="S321" s="396" t="e">
        <f t="shared" si="267"/>
        <v>#N/A</v>
      </c>
      <c r="T321" s="397" t="e">
        <f t="shared" si="268"/>
        <v>#N/A</v>
      </c>
      <c r="U321" s="396" t="e">
        <f t="shared" si="269"/>
        <v>#N/A</v>
      </c>
      <c r="V321" s="396" t="e">
        <f t="shared" si="270"/>
        <v>#N/A</v>
      </c>
      <c r="W321" s="206" t="e">
        <f t="shared" si="241"/>
        <v>#N/A</v>
      </c>
      <c r="X321" s="207" t="e">
        <f t="shared" si="242"/>
        <v>#N/A</v>
      </c>
      <c r="Y321" s="207" t="e">
        <f t="shared" si="243"/>
        <v>#N/A</v>
      </c>
      <c r="Z321" s="233" t="e">
        <f t="shared" si="244"/>
        <v>#N/A</v>
      </c>
      <c r="AA321" s="208" t="e">
        <f t="shared" si="254"/>
        <v>#N/A</v>
      </c>
      <c r="AB321" s="233" t="e">
        <f t="shared" si="245"/>
        <v>#N/A</v>
      </c>
      <c r="AC321" s="233" t="e">
        <f t="shared" si="246"/>
        <v>#N/A</v>
      </c>
      <c r="AD321" s="233" t="e">
        <f t="shared" si="247"/>
        <v>#N/A</v>
      </c>
      <c r="AE321" s="233" t="e">
        <f t="shared" si="248"/>
        <v>#N/A</v>
      </c>
      <c r="AF321" s="238" t="e">
        <f t="shared" si="249"/>
        <v>#N/A</v>
      </c>
      <c r="AG321" s="238" t="e">
        <f t="shared" si="250"/>
        <v>#N/A</v>
      </c>
      <c r="AH321" s="238" t="e">
        <f t="shared" si="251"/>
        <v>#N/A</v>
      </c>
      <c r="AI321" s="261" t="e">
        <f t="shared" si="252"/>
        <v>#N/A</v>
      </c>
      <c r="AJ321" s="233" t="e">
        <f t="shared" si="253"/>
        <v>#N/A</v>
      </c>
    </row>
    <row r="322" spans="5:36" s="120" customFormat="1" ht="35.25" customHeight="1" x14ac:dyDescent="0.2">
      <c r="E322" s="218" t="s">
        <v>2306</v>
      </c>
      <c r="F322" s="130"/>
      <c r="G322" s="67" t="e">
        <f t="shared" si="255"/>
        <v>#N/A</v>
      </c>
      <c r="H322" s="396" t="e">
        <f t="shared" si="256"/>
        <v>#N/A</v>
      </c>
      <c r="I322" s="396" t="e">
        <f t="shared" si="257"/>
        <v>#N/A</v>
      </c>
      <c r="J322" s="396" t="e">
        <f t="shared" si="258"/>
        <v>#N/A</v>
      </c>
      <c r="K322" s="398" t="e">
        <f t="shared" si="259"/>
        <v>#N/A</v>
      </c>
      <c r="L322" s="396" t="e">
        <f t="shared" si="260"/>
        <v>#N/A</v>
      </c>
      <c r="M322" s="398" t="e">
        <f t="shared" si="261"/>
        <v>#N/A</v>
      </c>
      <c r="N322" s="396" t="e">
        <f t="shared" si="262"/>
        <v>#N/A</v>
      </c>
      <c r="O322" s="396" t="e">
        <f t="shared" si="263"/>
        <v>#N/A</v>
      </c>
      <c r="P322" s="396" t="e">
        <f t="shared" si="264"/>
        <v>#N/A</v>
      </c>
      <c r="Q322" s="396" t="e">
        <f t="shared" si="265"/>
        <v>#N/A</v>
      </c>
      <c r="R322" s="396" t="e">
        <f t="shared" si="266"/>
        <v>#N/A</v>
      </c>
      <c r="S322" s="396" t="e">
        <f t="shared" si="267"/>
        <v>#N/A</v>
      </c>
      <c r="T322" s="397" t="e">
        <f t="shared" si="268"/>
        <v>#N/A</v>
      </c>
      <c r="U322" s="396" t="e">
        <f t="shared" si="269"/>
        <v>#N/A</v>
      </c>
      <c r="V322" s="396" t="e">
        <f t="shared" si="270"/>
        <v>#N/A</v>
      </c>
      <c r="W322" s="206" t="e">
        <f t="shared" si="241"/>
        <v>#N/A</v>
      </c>
      <c r="X322" s="207" t="e">
        <f t="shared" si="242"/>
        <v>#N/A</v>
      </c>
      <c r="Y322" s="207" t="e">
        <f t="shared" si="243"/>
        <v>#N/A</v>
      </c>
      <c r="Z322" s="233" t="e">
        <f t="shared" si="244"/>
        <v>#N/A</v>
      </c>
      <c r="AA322" s="208" t="e">
        <f t="shared" si="254"/>
        <v>#N/A</v>
      </c>
      <c r="AB322" s="233" t="e">
        <f t="shared" si="245"/>
        <v>#N/A</v>
      </c>
      <c r="AC322" s="233" t="e">
        <f t="shared" si="246"/>
        <v>#N/A</v>
      </c>
      <c r="AD322" s="233" t="e">
        <f t="shared" si="247"/>
        <v>#N/A</v>
      </c>
      <c r="AE322" s="233" t="e">
        <f t="shared" si="248"/>
        <v>#N/A</v>
      </c>
      <c r="AF322" s="238" t="e">
        <f t="shared" si="249"/>
        <v>#N/A</v>
      </c>
      <c r="AG322" s="238" t="e">
        <f t="shared" si="250"/>
        <v>#N/A</v>
      </c>
      <c r="AH322" s="238" t="e">
        <f t="shared" si="251"/>
        <v>#N/A</v>
      </c>
      <c r="AI322" s="261" t="e">
        <f t="shared" si="252"/>
        <v>#N/A</v>
      </c>
      <c r="AJ322" s="233" t="e">
        <f t="shared" si="253"/>
        <v>#N/A</v>
      </c>
    </row>
    <row r="323" spans="5:36" s="120" customFormat="1" ht="35.25" customHeight="1" x14ac:dyDescent="0.2">
      <c r="E323" s="218" t="s">
        <v>2306</v>
      </c>
      <c r="F323" s="130"/>
      <c r="G323" s="67" t="e">
        <f t="shared" si="255"/>
        <v>#N/A</v>
      </c>
      <c r="H323" s="396" t="e">
        <f t="shared" si="256"/>
        <v>#N/A</v>
      </c>
      <c r="I323" s="396" t="e">
        <f t="shared" si="257"/>
        <v>#N/A</v>
      </c>
      <c r="J323" s="396" t="e">
        <f t="shared" si="258"/>
        <v>#N/A</v>
      </c>
      <c r="K323" s="398" t="e">
        <f t="shared" si="259"/>
        <v>#N/A</v>
      </c>
      <c r="L323" s="396" t="e">
        <f t="shared" si="260"/>
        <v>#N/A</v>
      </c>
      <c r="M323" s="398" t="e">
        <f t="shared" si="261"/>
        <v>#N/A</v>
      </c>
      <c r="N323" s="396" t="e">
        <f t="shared" si="262"/>
        <v>#N/A</v>
      </c>
      <c r="O323" s="396" t="e">
        <f t="shared" si="263"/>
        <v>#N/A</v>
      </c>
      <c r="P323" s="396" t="e">
        <f t="shared" si="264"/>
        <v>#N/A</v>
      </c>
      <c r="Q323" s="396" t="e">
        <f t="shared" si="265"/>
        <v>#N/A</v>
      </c>
      <c r="R323" s="396" t="e">
        <f t="shared" si="266"/>
        <v>#N/A</v>
      </c>
      <c r="S323" s="396" t="e">
        <f t="shared" si="267"/>
        <v>#N/A</v>
      </c>
      <c r="T323" s="397" t="e">
        <f t="shared" si="268"/>
        <v>#N/A</v>
      </c>
      <c r="U323" s="396" t="e">
        <f t="shared" si="269"/>
        <v>#N/A</v>
      </c>
      <c r="V323" s="396" t="e">
        <f t="shared" si="270"/>
        <v>#N/A</v>
      </c>
      <c r="W323" s="206" t="e">
        <f t="shared" si="241"/>
        <v>#N/A</v>
      </c>
      <c r="X323" s="207" t="e">
        <f t="shared" si="242"/>
        <v>#N/A</v>
      </c>
      <c r="Y323" s="207" t="e">
        <f t="shared" si="243"/>
        <v>#N/A</v>
      </c>
      <c r="Z323" s="233" t="e">
        <f t="shared" si="244"/>
        <v>#N/A</v>
      </c>
      <c r="AA323" s="208" t="e">
        <f t="shared" si="254"/>
        <v>#N/A</v>
      </c>
      <c r="AB323" s="233" t="e">
        <f t="shared" si="245"/>
        <v>#N/A</v>
      </c>
      <c r="AC323" s="233" t="e">
        <f t="shared" si="246"/>
        <v>#N/A</v>
      </c>
      <c r="AD323" s="233" t="e">
        <f t="shared" si="247"/>
        <v>#N/A</v>
      </c>
      <c r="AE323" s="233" t="e">
        <f t="shared" si="248"/>
        <v>#N/A</v>
      </c>
      <c r="AF323" s="238" t="e">
        <f t="shared" si="249"/>
        <v>#N/A</v>
      </c>
      <c r="AG323" s="238" t="e">
        <f t="shared" si="250"/>
        <v>#N/A</v>
      </c>
      <c r="AH323" s="238" t="e">
        <f t="shared" si="251"/>
        <v>#N/A</v>
      </c>
      <c r="AI323" s="261" t="e">
        <f t="shared" si="252"/>
        <v>#N/A</v>
      </c>
      <c r="AJ323" s="233" t="e">
        <f t="shared" si="253"/>
        <v>#N/A</v>
      </c>
    </row>
    <row r="324" spans="5:36" s="120" customFormat="1" ht="35.25" customHeight="1" x14ac:dyDescent="0.2">
      <c r="E324" s="218" t="s">
        <v>2306</v>
      </c>
      <c r="F324" s="130"/>
      <c r="G324" s="67" t="e">
        <f t="shared" si="255"/>
        <v>#N/A</v>
      </c>
      <c r="H324" s="396" t="e">
        <f t="shared" si="256"/>
        <v>#N/A</v>
      </c>
      <c r="I324" s="396" t="e">
        <f t="shared" si="257"/>
        <v>#N/A</v>
      </c>
      <c r="J324" s="396" t="e">
        <f t="shared" si="258"/>
        <v>#N/A</v>
      </c>
      <c r="K324" s="398" t="e">
        <f t="shared" si="259"/>
        <v>#N/A</v>
      </c>
      <c r="L324" s="396" t="e">
        <f t="shared" si="260"/>
        <v>#N/A</v>
      </c>
      <c r="M324" s="398" t="e">
        <f t="shared" si="261"/>
        <v>#N/A</v>
      </c>
      <c r="N324" s="396" t="e">
        <f t="shared" si="262"/>
        <v>#N/A</v>
      </c>
      <c r="O324" s="396" t="e">
        <f t="shared" si="263"/>
        <v>#N/A</v>
      </c>
      <c r="P324" s="396" t="e">
        <f t="shared" si="264"/>
        <v>#N/A</v>
      </c>
      <c r="Q324" s="396" t="e">
        <f t="shared" si="265"/>
        <v>#N/A</v>
      </c>
      <c r="R324" s="396" t="e">
        <f t="shared" si="266"/>
        <v>#N/A</v>
      </c>
      <c r="S324" s="396" t="e">
        <f t="shared" si="267"/>
        <v>#N/A</v>
      </c>
      <c r="T324" s="397" t="e">
        <f t="shared" si="268"/>
        <v>#N/A</v>
      </c>
      <c r="U324" s="396" t="e">
        <f t="shared" si="269"/>
        <v>#N/A</v>
      </c>
      <c r="V324" s="396" t="e">
        <f t="shared" si="270"/>
        <v>#N/A</v>
      </c>
      <c r="W324" s="206" t="e">
        <f t="shared" si="241"/>
        <v>#N/A</v>
      </c>
      <c r="X324" s="207" t="e">
        <f t="shared" si="242"/>
        <v>#N/A</v>
      </c>
      <c r="Y324" s="207" t="e">
        <f t="shared" si="243"/>
        <v>#N/A</v>
      </c>
      <c r="Z324" s="233" t="e">
        <f t="shared" si="244"/>
        <v>#N/A</v>
      </c>
      <c r="AA324" s="208" t="e">
        <f t="shared" si="254"/>
        <v>#N/A</v>
      </c>
      <c r="AB324" s="233" t="e">
        <f t="shared" si="245"/>
        <v>#N/A</v>
      </c>
      <c r="AC324" s="233" t="e">
        <f t="shared" si="246"/>
        <v>#N/A</v>
      </c>
      <c r="AD324" s="233" t="e">
        <f t="shared" si="247"/>
        <v>#N/A</v>
      </c>
      <c r="AE324" s="233" t="e">
        <f t="shared" si="248"/>
        <v>#N/A</v>
      </c>
      <c r="AF324" s="238" t="e">
        <f t="shared" si="249"/>
        <v>#N/A</v>
      </c>
      <c r="AG324" s="238" t="e">
        <f t="shared" si="250"/>
        <v>#N/A</v>
      </c>
      <c r="AH324" s="238" t="e">
        <f t="shared" si="251"/>
        <v>#N/A</v>
      </c>
      <c r="AI324" s="261" t="e">
        <f t="shared" si="252"/>
        <v>#N/A</v>
      </c>
      <c r="AJ324" s="233" t="e">
        <f t="shared" si="253"/>
        <v>#N/A</v>
      </c>
    </row>
    <row r="325" spans="5:36" s="120" customFormat="1" ht="35.25" customHeight="1" x14ac:dyDescent="0.2">
      <c r="E325" s="218" t="s">
        <v>2306</v>
      </c>
      <c r="F325" s="130"/>
      <c r="G325" s="67" t="e">
        <f t="shared" si="255"/>
        <v>#N/A</v>
      </c>
      <c r="H325" s="396" t="e">
        <f t="shared" si="256"/>
        <v>#N/A</v>
      </c>
      <c r="I325" s="396" t="e">
        <f t="shared" si="257"/>
        <v>#N/A</v>
      </c>
      <c r="J325" s="396" t="e">
        <f t="shared" si="258"/>
        <v>#N/A</v>
      </c>
      <c r="K325" s="398" t="e">
        <f t="shared" si="259"/>
        <v>#N/A</v>
      </c>
      <c r="L325" s="396" t="e">
        <f t="shared" si="260"/>
        <v>#N/A</v>
      </c>
      <c r="M325" s="398" t="e">
        <f t="shared" si="261"/>
        <v>#N/A</v>
      </c>
      <c r="N325" s="396" t="e">
        <f t="shared" si="262"/>
        <v>#N/A</v>
      </c>
      <c r="O325" s="396" t="e">
        <f t="shared" si="263"/>
        <v>#N/A</v>
      </c>
      <c r="P325" s="396" t="e">
        <f t="shared" si="264"/>
        <v>#N/A</v>
      </c>
      <c r="Q325" s="396" t="e">
        <f t="shared" si="265"/>
        <v>#N/A</v>
      </c>
      <c r="R325" s="396" t="e">
        <f t="shared" si="266"/>
        <v>#N/A</v>
      </c>
      <c r="S325" s="396" t="e">
        <f t="shared" si="267"/>
        <v>#N/A</v>
      </c>
      <c r="T325" s="397" t="e">
        <f t="shared" si="268"/>
        <v>#N/A</v>
      </c>
      <c r="U325" s="396" t="e">
        <f t="shared" si="269"/>
        <v>#N/A</v>
      </c>
      <c r="V325" s="396" t="e">
        <f t="shared" si="270"/>
        <v>#N/A</v>
      </c>
      <c r="W325" s="206" t="e">
        <f t="shared" si="241"/>
        <v>#N/A</v>
      </c>
      <c r="X325" s="207" t="e">
        <f t="shared" si="242"/>
        <v>#N/A</v>
      </c>
      <c r="Y325" s="207" t="e">
        <f t="shared" si="243"/>
        <v>#N/A</v>
      </c>
      <c r="Z325" s="233" t="e">
        <f t="shared" si="244"/>
        <v>#N/A</v>
      </c>
      <c r="AA325" s="208" t="e">
        <f t="shared" si="254"/>
        <v>#N/A</v>
      </c>
      <c r="AB325" s="233" t="e">
        <f t="shared" si="245"/>
        <v>#N/A</v>
      </c>
      <c r="AC325" s="233" t="e">
        <f t="shared" si="246"/>
        <v>#N/A</v>
      </c>
      <c r="AD325" s="233" t="e">
        <f t="shared" si="247"/>
        <v>#N/A</v>
      </c>
      <c r="AE325" s="233" t="e">
        <f t="shared" si="248"/>
        <v>#N/A</v>
      </c>
      <c r="AF325" s="238" t="e">
        <f t="shared" si="249"/>
        <v>#N/A</v>
      </c>
      <c r="AG325" s="238" t="e">
        <f t="shared" si="250"/>
        <v>#N/A</v>
      </c>
      <c r="AH325" s="238" t="e">
        <f t="shared" si="251"/>
        <v>#N/A</v>
      </c>
      <c r="AI325" s="261" t="e">
        <f t="shared" si="252"/>
        <v>#N/A</v>
      </c>
      <c r="AJ325" s="233" t="e">
        <f t="shared" si="253"/>
        <v>#N/A</v>
      </c>
    </row>
    <row r="326" spans="5:36" s="120" customFormat="1" ht="35.25" customHeight="1" x14ac:dyDescent="0.2">
      <c r="E326" s="218" t="s">
        <v>2306</v>
      </c>
      <c r="F326" s="130"/>
      <c r="G326" s="67" t="e">
        <f t="shared" si="255"/>
        <v>#N/A</v>
      </c>
      <c r="H326" s="396" t="e">
        <f t="shared" si="256"/>
        <v>#N/A</v>
      </c>
      <c r="I326" s="396" t="e">
        <f t="shared" si="257"/>
        <v>#N/A</v>
      </c>
      <c r="J326" s="396" t="e">
        <f t="shared" si="258"/>
        <v>#N/A</v>
      </c>
      <c r="K326" s="398" t="e">
        <f t="shared" si="259"/>
        <v>#N/A</v>
      </c>
      <c r="L326" s="396" t="e">
        <f t="shared" si="260"/>
        <v>#N/A</v>
      </c>
      <c r="M326" s="398" t="e">
        <f t="shared" si="261"/>
        <v>#N/A</v>
      </c>
      <c r="N326" s="396" t="e">
        <f t="shared" si="262"/>
        <v>#N/A</v>
      </c>
      <c r="O326" s="396" t="e">
        <f t="shared" si="263"/>
        <v>#N/A</v>
      </c>
      <c r="P326" s="396" t="e">
        <f t="shared" si="264"/>
        <v>#N/A</v>
      </c>
      <c r="Q326" s="396" t="e">
        <f t="shared" si="265"/>
        <v>#N/A</v>
      </c>
      <c r="R326" s="396" t="e">
        <f t="shared" si="266"/>
        <v>#N/A</v>
      </c>
      <c r="S326" s="396" t="e">
        <f t="shared" si="267"/>
        <v>#N/A</v>
      </c>
      <c r="T326" s="397" t="e">
        <f t="shared" si="268"/>
        <v>#N/A</v>
      </c>
      <c r="U326" s="396" t="e">
        <f t="shared" si="269"/>
        <v>#N/A</v>
      </c>
      <c r="V326" s="396" t="e">
        <f t="shared" si="270"/>
        <v>#N/A</v>
      </c>
      <c r="W326" s="206" t="e">
        <f t="shared" si="241"/>
        <v>#N/A</v>
      </c>
      <c r="X326" s="207" t="e">
        <f t="shared" si="242"/>
        <v>#N/A</v>
      </c>
      <c r="Y326" s="207" t="e">
        <f t="shared" si="243"/>
        <v>#N/A</v>
      </c>
      <c r="Z326" s="233" t="e">
        <f t="shared" si="244"/>
        <v>#N/A</v>
      </c>
      <c r="AA326" s="208" t="e">
        <f t="shared" si="254"/>
        <v>#N/A</v>
      </c>
      <c r="AB326" s="233" t="e">
        <f t="shared" si="245"/>
        <v>#N/A</v>
      </c>
      <c r="AC326" s="233" t="e">
        <f t="shared" si="246"/>
        <v>#N/A</v>
      </c>
      <c r="AD326" s="233" t="e">
        <f t="shared" si="247"/>
        <v>#N/A</v>
      </c>
      <c r="AE326" s="233" t="e">
        <f t="shared" si="248"/>
        <v>#N/A</v>
      </c>
      <c r="AF326" s="238" t="e">
        <f t="shared" si="249"/>
        <v>#N/A</v>
      </c>
      <c r="AG326" s="238" t="e">
        <f t="shared" si="250"/>
        <v>#N/A</v>
      </c>
      <c r="AH326" s="238" t="e">
        <f t="shared" si="251"/>
        <v>#N/A</v>
      </c>
      <c r="AI326" s="261" t="e">
        <f t="shared" si="252"/>
        <v>#N/A</v>
      </c>
      <c r="AJ326" s="233" t="e">
        <f t="shared" si="253"/>
        <v>#N/A</v>
      </c>
    </row>
    <row r="327" spans="5:36" s="120" customFormat="1" ht="35.25" customHeight="1" x14ac:dyDescent="0.2">
      <c r="E327" s="218" t="s">
        <v>2306</v>
      </c>
      <c r="F327" s="130"/>
      <c r="G327" s="67" t="e">
        <f t="shared" si="255"/>
        <v>#N/A</v>
      </c>
      <c r="H327" s="396" t="e">
        <f t="shared" si="256"/>
        <v>#N/A</v>
      </c>
      <c r="I327" s="396" t="e">
        <f t="shared" si="257"/>
        <v>#N/A</v>
      </c>
      <c r="J327" s="396" t="e">
        <f t="shared" si="258"/>
        <v>#N/A</v>
      </c>
      <c r="K327" s="398" t="e">
        <f t="shared" si="259"/>
        <v>#N/A</v>
      </c>
      <c r="L327" s="396" t="e">
        <f t="shared" si="260"/>
        <v>#N/A</v>
      </c>
      <c r="M327" s="398" t="e">
        <f t="shared" si="261"/>
        <v>#N/A</v>
      </c>
      <c r="N327" s="396" t="e">
        <f t="shared" si="262"/>
        <v>#N/A</v>
      </c>
      <c r="O327" s="396" t="e">
        <f t="shared" si="263"/>
        <v>#N/A</v>
      </c>
      <c r="P327" s="396" t="e">
        <f t="shared" si="264"/>
        <v>#N/A</v>
      </c>
      <c r="Q327" s="396" t="e">
        <f t="shared" si="265"/>
        <v>#N/A</v>
      </c>
      <c r="R327" s="396" t="e">
        <f t="shared" si="266"/>
        <v>#N/A</v>
      </c>
      <c r="S327" s="396" t="e">
        <f t="shared" si="267"/>
        <v>#N/A</v>
      </c>
      <c r="T327" s="397" t="e">
        <f t="shared" si="268"/>
        <v>#N/A</v>
      </c>
      <c r="U327" s="396" t="e">
        <f t="shared" si="269"/>
        <v>#N/A</v>
      </c>
      <c r="V327" s="396" t="e">
        <f t="shared" si="270"/>
        <v>#N/A</v>
      </c>
      <c r="W327" s="206" t="e">
        <f t="shared" si="241"/>
        <v>#N/A</v>
      </c>
      <c r="X327" s="207" t="e">
        <f t="shared" si="242"/>
        <v>#N/A</v>
      </c>
      <c r="Y327" s="207" t="e">
        <f t="shared" si="243"/>
        <v>#N/A</v>
      </c>
      <c r="Z327" s="233" t="e">
        <f t="shared" si="244"/>
        <v>#N/A</v>
      </c>
      <c r="AA327" s="208" t="e">
        <f t="shared" si="254"/>
        <v>#N/A</v>
      </c>
      <c r="AB327" s="233" t="e">
        <f t="shared" si="245"/>
        <v>#N/A</v>
      </c>
      <c r="AC327" s="233" t="e">
        <f t="shared" si="246"/>
        <v>#N/A</v>
      </c>
      <c r="AD327" s="233" t="e">
        <f t="shared" si="247"/>
        <v>#N/A</v>
      </c>
      <c r="AE327" s="233" t="e">
        <f t="shared" si="248"/>
        <v>#N/A</v>
      </c>
      <c r="AF327" s="238" t="e">
        <f t="shared" si="249"/>
        <v>#N/A</v>
      </c>
      <c r="AG327" s="238" t="e">
        <f t="shared" si="250"/>
        <v>#N/A</v>
      </c>
      <c r="AH327" s="238" t="e">
        <f t="shared" si="251"/>
        <v>#N/A</v>
      </c>
      <c r="AI327" s="261" t="e">
        <f t="shared" si="252"/>
        <v>#N/A</v>
      </c>
      <c r="AJ327" s="233" t="e">
        <f t="shared" si="253"/>
        <v>#N/A</v>
      </c>
    </row>
    <row r="328" spans="5:36" s="120" customFormat="1" ht="35.25" customHeight="1" x14ac:dyDescent="0.2">
      <c r="E328" s="218" t="s">
        <v>2306</v>
      </c>
      <c r="F328" s="130"/>
      <c r="G328" s="67" t="e">
        <f t="shared" si="255"/>
        <v>#N/A</v>
      </c>
      <c r="H328" s="396" t="e">
        <f t="shared" si="256"/>
        <v>#N/A</v>
      </c>
      <c r="I328" s="396" t="e">
        <f t="shared" si="257"/>
        <v>#N/A</v>
      </c>
      <c r="J328" s="396" t="e">
        <f t="shared" si="258"/>
        <v>#N/A</v>
      </c>
      <c r="K328" s="398" t="e">
        <f t="shared" si="259"/>
        <v>#N/A</v>
      </c>
      <c r="L328" s="396" t="e">
        <f t="shared" si="260"/>
        <v>#N/A</v>
      </c>
      <c r="M328" s="398" t="e">
        <f t="shared" si="261"/>
        <v>#N/A</v>
      </c>
      <c r="N328" s="396" t="e">
        <f t="shared" si="262"/>
        <v>#N/A</v>
      </c>
      <c r="O328" s="396" t="e">
        <f t="shared" si="263"/>
        <v>#N/A</v>
      </c>
      <c r="P328" s="396" t="e">
        <f t="shared" si="264"/>
        <v>#N/A</v>
      </c>
      <c r="Q328" s="396" t="e">
        <f t="shared" si="265"/>
        <v>#N/A</v>
      </c>
      <c r="R328" s="396" t="e">
        <f t="shared" si="266"/>
        <v>#N/A</v>
      </c>
      <c r="S328" s="396" t="e">
        <f t="shared" si="267"/>
        <v>#N/A</v>
      </c>
      <c r="T328" s="397" t="e">
        <f t="shared" si="268"/>
        <v>#N/A</v>
      </c>
      <c r="U328" s="396" t="e">
        <f t="shared" si="269"/>
        <v>#N/A</v>
      </c>
      <c r="V328" s="396" t="e">
        <f t="shared" si="270"/>
        <v>#N/A</v>
      </c>
      <c r="W328" s="206" t="e">
        <f t="shared" si="241"/>
        <v>#N/A</v>
      </c>
      <c r="X328" s="207" t="e">
        <f t="shared" si="242"/>
        <v>#N/A</v>
      </c>
      <c r="Y328" s="207" t="e">
        <f t="shared" si="243"/>
        <v>#N/A</v>
      </c>
      <c r="Z328" s="233" t="e">
        <f t="shared" si="244"/>
        <v>#N/A</v>
      </c>
      <c r="AA328" s="208" t="e">
        <f t="shared" si="254"/>
        <v>#N/A</v>
      </c>
      <c r="AB328" s="233" t="e">
        <f t="shared" si="245"/>
        <v>#N/A</v>
      </c>
      <c r="AC328" s="233" t="e">
        <f t="shared" si="246"/>
        <v>#N/A</v>
      </c>
      <c r="AD328" s="233" t="e">
        <f t="shared" si="247"/>
        <v>#N/A</v>
      </c>
      <c r="AE328" s="233" t="e">
        <f t="shared" si="248"/>
        <v>#N/A</v>
      </c>
      <c r="AF328" s="238" t="e">
        <f t="shared" si="249"/>
        <v>#N/A</v>
      </c>
      <c r="AG328" s="238" t="e">
        <f t="shared" si="250"/>
        <v>#N/A</v>
      </c>
      <c r="AH328" s="238" t="e">
        <f t="shared" si="251"/>
        <v>#N/A</v>
      </c>
      <c r="AI328" s="261" t="e">
        <f t="shared" si="252"/>
        <v>#N/A</v>
      </c>
      <c r="AJ328" s="233" t="e">
        <f t="shared" si="253"/>
        <v>#N/A</v>
      </c>
    </row>
    <row r="329" spans="5:36" s="120" customFormat="1" ht="35.25" customHeight="1" x14ac:dyDescent="0.2">
      <c r="E329" s="218" t="s">
        <v>2306</v>
      </c>
      <c r="F329" s="130"/>
      <c r="G329" s="67" t="e">
        <f t="shared" si="255"/>
        <v>#N/A</v>
      </c>
      <c r="H329" s="396" t="e">
        <f t="shared" si="256"/>
        <v>#N/A</v>
      </c>
      <c r="I329" s="396" t="e">
        <f t="shared" si="257"/>
        <v>#N/A</v>
      </c>
      <c r="J329" s="396" t="e">
        <f t="shared" si="258"/>
        <v>#N/A</v>
      </c>
      <c r="K329" s="398" t="e">
        <f t="shared" si="259"/>
        <v>#N/A</v>
      </c>
      <c r="L329" s="396" t="e">
        <f t="shared" si="260"/>
        <v>#N/A</v>
      </c>
      <c r="M329" s="398" t="e">
        <f t="shared" si="261"/>
        <v>#N/A</v>
      </c>
      <c r="N329" s="396" t="e">
        <f t="shared" si="262"/>
        <v>#N/A</v>
      </c>
      <c r="O329" s="396" t="e">
        <f t="shared" si="263"/>
        <v>#N/A</v>
      </c>
      <c r="P329" s="396" t="e">
        <f t="shared" si="264"/>
        <v>#N/A</v>
      </c>
      <c r="Q329" s="396" t="e">
        <f t="shared" si="265"/>
        <v>#N/A</v>
      </c>
      <c r="R329" s="396" t="e">
        <f t="shared" si="266"/>
        <v>#N/A</v>
      </c>
      <c r="S329" s="396" t="e">
        <f t="shared" si="267"/>
        <v>#N/A</v>
      </c>
      <c r="T329" s="397" t="e">
        <f t="shared" si="268"/>
        <v>#N/A</v>
      </c>
      <c r="U329" s="396" t="e">
        <f t="shared" si="269"/>
        <v>#N/A</v>
      </c>
      <c r="V329" s="396" t="e">
        <f t="shared" si="270"/>
        <v>#N/A</v>
      </c>
      <c r="W329" s="206" t="e">
        <f t="shared" ref="W329:W392" si="271">LEFT(H329,8)</f>
        <v>#N/A</v>
      </c>
      <c r="X329" s="207" t="e">
        <f t="shared" ref="X329:X392" si="272">VLOOKUP(W329,UE,3,FALSE)</f>
        <v>#N/A</v>
      </c>
      <c r="Y329" s="207" t="e">
        <f t="shared" ref="Y329:Y392" si="273">VLOOKUP(W329,UE,4,FALSE)</f>
        <v>#N/A</v>
      </c>
      <c r="Z329" s="233" t="e">
        <f t="shared" ref="Z329:Z392" si="274">(T329-10)/Y329</f>
        <v>#N/A</v>
      </c>
      <c r="AA329" s="208" t="e">
        <f t="shared" si="254"/>
        <v>#N/A</v>
      </c>
      <c r="AB329" s="233" t="e">
        <f t="shared" ref="AB329:AB392" si="275">IF(AA329&gt;Y329,T329-10,Z329*AA329)</f>
        <v>#N/A</v>
      </c>
      <c r="AC329" s="233" t="e">
        <f t="shared" ref="AC329:AC392" si="276">IF(T329-10=AB329,0,Z329)</f>
        <v>#N/A</v>
      </c>
      <c r="AD329" s="233" t="e">
        <f t="shared" ref="AD329:AD392" si="277">IF(T329-10=AB329+AC329,0,Z329)</f>
        <v>#N/A</v>
      </c>
      <c r="AE329" s="233" t="e">
        <f t="shared" ref="AE329:AE392" si="278">IF(T329-10=AB329+AC329+AD329,0,Z329)</f>
        <v>#N/A</v>
      </c>
      <c r="AF329" s="238" t="e">
        <f t="shared" ref="AF329:AF392" si="279">IF(T329-10=AC329+AD329+AE329+AB329,0,Z329)</f>
        <v>#N/A</v>
      </c>
      <c r="AG329" s="238" t="e">
        <f t="shared" ref="AG329:AG392" si="280">IF(T329-10=AC329+AD329+AE329+AB329+AF329,0,Z329)</f>
        <v>#N/A</v>
      </c>
      <c r="AH329" s="238" t="e">
        <f t="shared" ref="AH329:AH392" si="281">SUM(AB329:AG329)</f>
        <v>#N/A</v>
      </c>
      <c r="AI329" s="261" t="e">
        <f t="shared" ref="AI329:AI392" si="282">O329</f>
        <v>#N/A</v>
      </c>
      <c r="AJ329" s="233" t="e">
        <f t="shared" ref="AJ329:AJ392" si="283">T329-AH329</f>
        <v>#N/A</v>
      </c>
    </row>
    <row r="330" spans="5:36" s="120" customFormat="1" ht="35.25" customHeight="1" x14ac:dyDescent="0.2">
      <c r="E330" s="218" t="s">
        <v>2306</v>
      </c>
      <c r="F330" s="130"/>
      <c r="G330" s="67" t="e">
        <f t="shared" si="255"/>
        <v>#N/A</v>
      </c>
      <c r="H330" s="396" t="e">
        <f t="shared" si="256"/>
        <v>#N/A</v>
      </c>
      <c r="I330" s="396" t="e">
        <f t="shared" si="257"/>
        <v>#N/A</v>
      </c>
      <c r="J330" s="396" t="e">
        <f t="shared" si="258"/>
        <v>#N/A</v>
      </c>
      <c r="K330" s="398" t="e">
        <f t="shared" si="259"/>
        <v>#N/A</v>
      </c>
      <c r="L330" s="396" t="e">
        <f t="shared" si="260"/>
        <v>#N/A</v>
      </c>
      <c r="M330" s="398" t="e">
        <f t="shared" si="261"/>
        <v>#N/A</v>
      </c>
      <c r="N330" s="396" t="e">
        <f t="shared" si="262"/>
        <v>#N/A</v>
      </c>
      <c r="O330" s="396" t="e">
        <f t="shared" si="263"/>
        <v>#N/A</v>
      </c>
      <c r="P330" s="396" t="e">
        <f t="shared" si="264"/>
        <v>#N/A</v>
      </c>
      <c r="Q330" s="396" t="e">
        <f t="shared" si="265"/>
        <v>#N/A</v>
      </c>
      <c r="R330" s="396" t="e">
        <f t="shared" si="266"/>
        <v>#N/A</v>
      </c>
      <c r="S330" s="396" t="e">
        <f t="shared" si="267"/>
        <v>#N/A</v>
      </c>
      <c r="T330" s="397" t="e">
        <f t="shared" si="268"/>
        <v>#N/A</v>
      </c>
      <c r="U330" s="396" t="e">
        <f t="shared" si="269"/>
        <v>#N/A</v>
      </c>
      <c r="V330" s="396" t="e">
        <f t="shared" si="270"/>
        <v>#N/A</v>
      </c>
      <c r="W330" s="206" t="e">
        <f t="shared" si="271"/>
        <v>#N/A</v>
      </c>
      <c r="X330" s="207" t="e">
        <f t="shared" si="272"/>
        <v>#N/A</v>
      </c>
      <c r="Y330" s="207" t="e">
        <f t="shared" si="273"/>
        <v>#N/A</v>
      </c>
      <c r="Z330" s="233" t="e">
        <f t="shared" si="274"/>
        <v>#N/A</v>
      </c>
      <c r="AA330" s="208" t="e">
        <f t="shared" si="254"/>
        <v>#N/A</v>
      </c>
      <c r="AB330" s="233" t="e">
        <f t="shared" si="275"/>
        <v>#N/A</v>
      </c>
      <c r="AC330" s="233" t="e">
        <f t="shared" si="276"/>
        <v>#N/A</v>
      </c>
      <c r="AD330" s="233" t="e">
        <f t="shared" si="277"/>
        <v>#N/A</v>
      </c>
      <c r="AE330" s="233" t="e">
        <f t="shared" si="278"/>
        <v>#N/A</v>
      </c>
      <c r="AF330" s="238" t="e">
        <f t="shared" si="279"/>
        <v>#N/A</v>
      </c>
      <c r="AG330" s="238" t="e">
        <f t="shared" si="280"/>
        <v>#N/A</v>
      </c>
      <c r="AH330" s="238" t="e">
        <f t="shared" si="281"/>
        <v>#N/A</v>
      </c>
      <c r="AI330" s="261" t="e">
        <f t="shared" si="282"/>
        <v>#N/A</v>
      </c>
      <c r="AJ330" s="233" t="e">
        <f t="shared" si="283"/>
        <v>#N/A</v>
      </c>
    </row>
    <row r="331" spans="5:36" s="120" customFormat="1" ht="35.25" customHeight="1" x14ac:dyDescent="0.2">
      <c r="E331" s="218" t="s">
        <v>2306</v>
      </c>
      <c r="F331" s="130"/>
      <c r="G331" s="67" t="e">
        <f t="shared" si="255"/>
        <v>#N/A</v>
      </c>
      <c r="H331" s="396" t="e">
        <f t="shared" si="256"/>
        <v>#N/A</v>
      </c>
      <c r="I331" s="396" t="e">
        <f t="shared" si="257"/>
        <v>#N/A</v>
      </c>
      <c r="J331" s="396" t="e">
        <f t="shared" si="258"/>
        <v>#N/A</v>
      </c>
      <c r="K331" s="398" t="e">
        <f t="shared" si="259"/>
        <v>#N/A</v>
      </c>
      <c r="L331" s="396" t="e">
        <f t="shared" si="260"/>
        <v>#N/A</v>
      </c>
      <c r="M331" s="398" t="e">
        <f t="shared" si="261"/>
        <v>#N/A</v>
      </c>
      <c r="N331" s="396" t="e">
        <f t="shared" si="262"/>
        <v>#N/A</v>
      </c>
      <c r="O331" s="396" t="e">
        <f t="shared" si="263"/>
        <v>#N/A</v>
      </c>
      <c r="P331" s="396" t="e">
        <f t="shared" si="264"/>
        <v>#N/A</v>
      </c>
      <c r="Q331" s="396" t="e">
        <f t="shared" si="265"/>
        <v>#N/A</v>
      </c>
      <c r="R331" s="396" t="e">
        <f t="shared" si="266"/>
        <v>#N/A</v>
      </c>
      <c r="S331" s="396" t="e">
        <f t="shared" si="267"/>
        <v>#N/A</v>
      </c>
      <c r="T331" s="397" t="e">
        <f t="shared" si="268"/>
        <v>#N/A</v>
      </c>
      <c r="U331" s="396" t="e">
        <f t="shared" si="269"/>
        <v>#N/A</v>
      </c>
      <c r="V331" s="396" t="e">
        <f t="shared" si="270"/>
        <v>#N/A</v>
      </c>
      <c r="W331" s="206" t="e">
        <f t="shared" si="271"/>
        <v>#N/A</v>
      </c>
      <c r="X331" s="207" t="e">
        <f t="shared" si="272"/>
        <v>#N/A</v>
      </c>
      <c r="Y331" s="207" t="e">
        <f t="shared" si="273"/>
        <v>#N/A</v>
      </c>
      <c r="Z331" s="233" t="e">
        <f t="shared" si="274"/>
        <v>#N/A</v>
      </c>
      <c r="AA331" s="208" t="e">
        <f t="shared" si="254"/>
        <v>#N/A</v>
      </c>
      <c r="AB331" s="233" t="e">
        <f t="shared" si="275"/>
        <v>#N/A</v>
      </c>
      <c r="AC331" s="233" t="e">
        <f t="shared" si="276"/>
        <v>#N/A</v>
      </c>
      <c r="AD331" s="233" t="e">
        <f t="shared" si="277"/>
        <v>#N/A</v>
      </c>
      <c r="AE331" s="233" t="e">
        <f t="shared" si="278"/>
        <v>#N/A</v>
      </c>
      <c r="AF331" s="238" t="e">
        <f t="shared" si="279"/>
        <v>#N/A</v>
      </c>
      <c r="AG331" s="238" t="e">
        <f t="shared" si="280"/>
        <v>#N/A</v>
      </c>
      <c r="AH331" s="238" t="e">
        <f t="shared" si="281"/>
        <v>#N/A</v>
      </c>
      <c r="AI331" s="261" t="e">
        <f t="shared" si="282"/>
        <v>#N/A</v>
      </c>
      <c r="AJ331" s="233" t="e">
        <f t="shared" si="283"/>
        <v>#N/A</v>
      </c>
    </row>
    <row r="332" spans="5:36" s="121" customFormat="1" ht="35.25" customHeight="1" x14ac:dyDescent="0.2">
      <c r="E332" s="218" t="s">
        <v>2306</v>
      </c>
      <c r="F332" s="133"/>
      <c r="G332" s="67" t="e">
        <f t="shared" si="255"/>
        <v>#N/A</v>
      </c>
      <c r="H332" s="396" t="e">
        <f t="shared" si="256"/>
        <v>#N/A</v>
      </c>
      <c r="I332" s="396" t="e">
        <f t="shared" si="257"/>
        <v>#N/A</v>
      </c>
      <c r="J332" s="396" t="e">
        <f t="shared" si="258"/>
        <v>#N/A</v>
      </c>
      <c r="K332" s="398" t="e">
        <f t="shared" si="259"/>
        <v>#N/A</v>
      </c>
      <c r="L332" s="396" t="e">
        <f t="shared" si="260"/>
        <v>#N/A</v>
      </c>
      <c r="M332" s="398" t="e">
        <f t="shared" si="261"/>
        <v>#N/A</v>
      </c>
      <c r="N332" s="396" t="e">
        <f t="shared" si="262"/>
        <v>#N/A</v>
      </c>
      <c r="O332" s="396" t="e">
        <f t="shared" si="263"/>
        <v>#N/A</v>
      </c>
      <c r="P332" s="396" t="e">
        <f t="shared" si="264"/>
        <v>#N/A</v>
      </c>
      <c r="Q332" s="396" t="e">
        <f t="shared" si="265"/>
        <v>#N/A</v>
      </c>
      <c r="R332" s="396" t="e">
        <f t="shared" si="266"/>
        <v>#N/A</v>
      </c>
      <c r="S332" s="396" t="e">
        <f t="shared" si="267"/>
        <v>#N/A</v>
      </c>
      <c r="T332" s="397" t="e">
        <f t="shared" si="268"/>
        <v>#N/A</v>
      </c>
      <c r="U332" s="396" t="e">
        <f t="shared" si="269"/>
        <v>#N/A</v>
      </c>
      <c r="V332" s="396" t="e">
        <f t="shared" si="270"/>
        <v>#N/A</v>
      </c>
      <c r="W332" s="206" t="e">
        <f t="shared" si="271"/>
        <v>#N/A</v>
      </c>
      <c r="X332" s="207" t="e">
        <f t="shared" si="272"/>
        <v>#N/A</v>
      </c>
      <c r="Y332" s="207" t="e">
        <f t="shared" si="273"/>
        <v>#N/A</v>
      </c>
      <c r="Z332" s="233" t="e">
        <f t="shared" si="274"/>
        <v>#N/A</v>
      </c>
      <c r="AA332" s="208" t="e">
        <f t="shared" si="254"/>
        <v>#N/A</v>
      </c>
      <c r="AB332" s="233" t="e">
        <f t="shared" si="275"/>
        <v>#N/A</v>
      </c>
      <c r="AC332" s="233" t="e">
        <f t="shared" si="276"/>
        <v>#N/A</v>
      </c>
      <c r="AD332" s="233" t="e">
        <f t="shared" si="277"/>
        <v>#N/A</v>
      </c>
      <c r="AE332" s="233" t="e">
        <f t="shared" si="278"/>
        <v>#N/A</v>
      </c>
      <c r="AF332" s="238" t="e">
        <f t="shared" si="279"/>
        <v>#N/A</v>
      </c>
      <c r="AG332" s="238" t="e">
        <f t="shared" si="280"/>
        <v>#N/A</v>
      </c>
      <c r="AH332" s="238" t="e">
        <f t="shared" si="281"/>
        <v>#N/A</v>
      </c>
      <c r="AI332" s="261" t="e">
        <f t="shared" si="282"/>
        <v>#N/A</v>
      </c>
      <c r="AJ332" s="233" t="e">
        <f t="shared" si="283"/>
        <v>#N/A</v>
      </c>
    </row>
    <row r="333" spans="5:36" s="120" customFormat="1" ht="35.25" customHeight="1" x14ac:dyDescent="0.2">
      <c r="E333" s="218" t="s">
        <v>2306</v>
      </c>
      <c r="F333" s="130"/>
      <c r="G333" s="67" t="e">
        <f t="shared" si="255"/>
        <v>#N/A</v>
      </c>
      <c r="H333" s="396" t="e">
        <f t="shared" si="256"/>
        <v>#N/A</v>
      </c>
      <c r="I333" s="396" t="e">
        <f t="shared" si="257"/>
        <v>#N/A</v>
      </c>
      <c r="J333" s="396" t="e">
        <f t="shared" si="258"/>
        <v>#N/A</v>
      </c>
      <c r="K333" s="398" t="e">
        <f t="shared" si="259"/>
        <v>#N/A</v>
      </c>
      <c r="L333" s="396" t="e">
        <f t="shared" si="260"/>
        <v>#N/A</v>
      </c>
      <c r="M333" s="398" t="e">
        <f t="shared" si="261"/>
        <v>#N/A</v>
      </c>
      <c r="N333" s="396" t="e">
        <f t="shared" si="262"/>
        <v>#N/A</v>
      </c>
      <c r="O333" s="396" t="e">
        <f t="shared" si="263"/>
        <v>#N/A</v>
      </c>
      <c r="P333" s="396" t="e">
        <f t="shared" si="264"/>
        <v>#N/A</v>
      </c>
      <c r="Q333" s="396" t="e">
        <f t="shared" si="265"/>
        <v>#N/A</v>
      </c>
      <c r="R333" s="396" t="e">
        <f t="shared" si="266"/>
        <v>#N/A</v>
      </c>
      <c r="S333" s="396" t="e">
        <f t="shared" si="267"/>
        <v>#N/A</v>
      </c>
      <c r="T333" s="397" t="e">
        <f t="shared" si="268"/>
        <v>#N/A</v>
      </c>
      <c r="U333" s="396" t="e">
        <f t="shared" si="269"/>
        <v>#N/A</v>
      </c>
      <c r="V333" s="396" t="e">
        <f t="shared" si="270"/>
        <v>#N/A</v>
      </c>
      <c r="W333" s="206" t="e">
        <f t="shared" si="271"/>
        <v>#N/A</v>
      </c>
      <c r="X333" s="207" t="e">
        <f t="shared" si="272"/>
        <v>#N/A</v>
      </c>
      <c r="Y333" s="207" t="e">
        <f t="shared" si="273"/>
        <v>#N/A</v>
      </c>
      <c r="Z333" s="233" t="e">
        <f t="shared" si="274"/>
        <v>#N/A</v>
      </c>
      <c r="AA333" s="208" t="e">
        <f t="shared" si="254"/>
        <v>#N/A</v>
      </c>
      <c r="AB333" s="233" t="e">
        <f t="shared" si="275"/>
        <v>#N/A</v>
      </c>
      <c r="AC333" s="233" t="e">
        <f t="shared" si="276"/>
        <v>#N/A</v>
      </c>
      <c r="AD333" s="233" t="e">
        <f t="shared" si="277"/>
        <v>#N/A</v>
      </c>
      <c r="AE333" s="233" t="e">
        <f t="shared" si="278"/>
        <v>#N/A</v>
      </c>
      <c r="AF333" s="238" t="e">
        <f t="shared" si="279"/>
        <v>#N/A</v>
      </c>
      <c r="AG333" s="238" t="e">
        <f t="shared" si="280"/>
        <v>#N/A</v>
      </c>
      <c r="AH333" s="238" t="e">
        <f t="shared" si="281"/>
        <v>#N/A</v>
      </c>
      <c r="AI333" s="261" t="e">
        <f t="shared" si="282"/>
        <v>#N/A</v>
      </c>
      <c r="AJ333" s="233" t="e">
        <f t="shared" si="283"/>
        <v>#N/A</v>
      </c>
    </row>
    <row r="334" spans="5:36" s="120" customFormat="1" ht="35.25" customHeight="1" x14ac:dyDescent="0.2">
      <c r="E334" s="218" t="s">
        <v>2306</v>
      </c>
      <c r="F334" s="130"/>
      <c r="G334" s="67" t="e">
        <f t="shared" si="255"/>
        <v>#N/A</v>
      </c>
      <c r="H334" s="396" t="e">
        <f t="shared" si="256"/>
        <v>#N/A</v>
      </c>
      <c r="I334" s="396" t="e">
        <f t="shared" si="257"/>
        <v>#N/A</v>
      </c>
      <c r="J334" s="396" t="e">
        <f t="shared" si="258"/>
        <v>#N/A</v>
      </c>
      <c r="K334" s="398" t="e">
        <f t="shared" si="259"/>
        <v>#N/A</v>
      </c>
      <c r="L334" s="396" t="e">
        <f t="shared" si="260"/>
        <v>#N/A</v>
      </c>
      <c r="M334" s="398" t="e">
        <f t="shared" si="261"/>
        <v>#N/A</v>
      </c>
      <c r="N334" s="396" t="e">
        <f t="shared" si="262"/>
        <v>#N/A</v>
      </c>
      <c r="O334" s="396" t="e">
        <f t="shared" si="263"/>
        <v>#N/A</v>
      </c>
      <c r="P334" s="396" t="e">
        <f t="shared" si="264"/>
        <v>#N/A</v>
      </c>
      <c r="Q334" s="396" t="e">
        <f t="shared" si="265"/>
        <v>#N/A</v>
      </c>
      <c r="R334" s="396" t="e">
        <f t="shared" si="266"/>
        <v>#N/A</v>
      </c>
      <c r="S334" s="396" t="e">
        <f t="shared" si="267"/>
        <v>#N/A</v>
      </c>
      <c r="T334" s="397" t="e">
        <f t="shared" si="268"/>
        <v>#N/A</v>
      </c>
      <c r="U334" s="396" t="e">
        <f t="shared" si="269"/>
        <v>#N/A</v>
      </c>
      <c r="V334" s="396" t="e">
        <f t="shared" si="270"/>
        <v>#N/A</v>
      </c>
      <c r="W334" s="206" t="e">
        <f t="shared" si="271"/>
        <v>#N/A</v>
      </c>
      <c r="X334" s="207" t="e">
        <f t="shared" si="272"/>
        <v>#N/A</v>
      </c>
      <c r="Y334" s="207" t="e">
        <f t="shared" si="273"/>
        <v>#N/A</v>
      </c>
      <c r="Z334" s="233" t="e">
        <f t="shared" si="274"/>
        <v>#N/A</v>
      </c>
      <c r="AA334" s="208" t="e">
        <f t="shared" ref="AA334:AA397" si="284">IF(2013-O334&gt;Y334,Y334,IF(2013-O334&lt;0,0,2013-O334))</f>
        <v>#N/A</v>
      </c>
      <c r="AB334" s="233" t="e">
        <f t="shared" si="275"/>
        <v>#N/A</v>
      </c>
      <c r="AC334" s="233" t="e">
        <f t="shared" si="276"/>
        <v>#N/A</v>
      </c>
      <c r="AD334" s="233" t="e">
        <f t="shared" si="277"/>
        <v>#N/A</v>
      </c>
      <c r="AE334" s="233" t="e">
        <f t="shared" si="278"/>
        <v>#N/A</v>
      </c>
      <c r="AF334" s="238" t="e">
        <f t="shared" si="279"/>
        <v>#N/A</v>
      </c>
      <c r="AG334" s="238" t="e">
        <f t="shared" si="280"/>
        <v>#N/A</v>
      </c>
      <c r="AH334" s="238" t="e">
        <f t="shared" si="281"/>
        <v>#N/A</v>
      </c>
      <c r="AI334" s="261" t="e">
        <f t="shared" si="282"/>
        <v>#N/A</v>
      </c>
      <c r="AJ334" s="233" t="e">
        <f t="shared" si="283"/>
        <v>#N/A</v>
      </c>
    </row>
    <row r="335" spans="5:36" s="121" customFormat="1" ht="35.25" customHeight="1" x14ac:dyDescent="0.2">
      <c r="E335" s="218" t="s">
        <v>2306</v>
      </c>
      <c r="F335" s="133"/>
      <c r="G335" s="67" t="e">
        <f t="shared" si="255"/>
        <v>#N/A</v>
      </c>
      <c r="H335" s="396" t="e">
        <f t="shared" si="256"/>
        <v>#N/A</v>
      </c>
      <c r="I335" s="396" t="e">
        <f t="shared" si="257"/>
        <v>#N/A</v>
      </c>
      <c r="J335" s="396" t="e">
        <f t="shared" si="258"/>
        <v>#N/A</v>
      </c>
      <c r="K335" s="398" t="e">
        <f t="shared" si="259"/>
        <v>#N/A</v>
      </c>
      <c r="L335" s="396" t="e">
        <f t="shared" si="260"/>
        <v>#N/A</v>
      </c>
      <c r="M335" s="398" t="e">
        <f t="shared" si="261"/>
        <v>#N/A</v>
      </c>
      <c r="N335" s="396" t="e">
        <f t="shared" si="262"/>
        <v>#N/A</v>
      </c>
      <c r="O335" s="396" t="e">
        <f t="shared" si="263"/>
        <v>#N/A</v>
      </c>
      <c r="P335" s="396" t="e">
        <f t="shared" si="264"/>
        <v>#N/A</v>
      </c>
      <c r="Q335" s="396" t="e">
        <f t="shared" si="265"/>
        <v>#N/A</v>
      </c>
      <c r="R335" s="396" t="e">
        <f t="shared" si="266"/>
        <v>#N/A</v>
      </c>
      <c r="S335" s="396" t="e">
        <f t="shared" si="267"/>
        <v>#N/A</v>
      </c>
      <c r="T335" s="397" t="e">
        <f t="shared" si="268"/>
        <v>#N/A</v>
      </c>
      <c r="U335" s="396" t="e">
        <f t="shared" si="269"/>
        <v>#N/A</v>
      </c>
      <c r="V335" s="396" t="e">
        <f t="shared" si="270"/>
        <v>#N/A</v>
      </c>
      <c r="W335" s="206" t="e">
        <f t="shared" si="271"/>
        <v>#N/A</v>
      </c>
      <c r="X335" s="207" t="e">
        <f t="shared" si="272"/>
        <v>#N/A</v>
      </c>
      <c r="Y335" s="207" t="e">
        <f t="shared" si="273"/>
        <v>#N/A</v>
      </c>
      <c r="Z335" s="233" t="e">
        <f t="shared" si="274"/>
        <v>#N/A</v>
      </c>
      <c r="AA335" s="208" t="e">
        <f t="shared" si="284"/>
        <v>#N/A</v>
      </c>
      <c r="AB335" s="233" t="e">
        <f t="shared" si="275"/>
        <v>#N/A</v>
      </c>
      <c r="AC335" s="233" t="e">
        <f t="shared" si="276"/>
        <v>#N/A</v>
      </c>
      <c r="AD335" s="233" t="e">
        <f t="shared" si="277"/>
        <v>#N/A</v>
      </c>
      <c r="AE335" s="233" t="e">
        <f t="shared" si="278"/>
        <v>#N/A</v>
      </c>
      <c r="AF335" s="238" t="e">
        <f t="shared" si="279"/>
        <v>#N/A</v>
      </c>
      <c r="AG335" s="238" t="e">
        <f t="shared" si="280"/>
        <v>#N/A</v>
      </c>
      <c r="AH335" s="238" t="e">
        <f t="shared" si="281"/>
        <v>#N/A</v>
      </c>
      <c r="AI335" s="261" t="e">
        <f t="shared" si="282"/>
        <v>#N/A</v>
      </c>
      <c r="AJ335" s="233" t="e">
        <f t="shared" si="283"/>
        <v>#N/A</v>
      </c>
    </row>
    <row r="336" spans="5:36" s="120" customFormat="1" ht="35.25" customHeight="1" x14ac:dyDescent="0.2">
      <c r="E336" s="218" t="s">
        <v>2306</v>
      </c>
      <c r="F336" s="130"/>
      <c r="G336" s="67" t="e">
        <f t="shared" si="255"/>
        <v>#N/A</v>
      </c>
      <c r="H336" s="396" t="e">
        <f t="shared" si="256"/>
        <v>#N/A</v>
      </c>
      <c r="I336" s="396" t="e">
        <f t="shared" si="257"/>
        <v>#N/A</v>
      </c>
      <c r="J336" s="396" t="e">
        <f t="shared" si="258"/>
        <v>#N/A</v>
      </c>
      <c r="K336" s="398" t="e">
        <f t="shared" si="259"/>
        <v>#N/A</v>
      </c>
      <c r="L336" s="396" t="e">
        <f t="shared" si="260"/>
        <v>#N/A</v>
      </c>
      <c r="M336" s="398" t="e">
        <f t="shared" si="261"/>
        <v>#N/A</v>
      </c>
      <c r="N336" s="396" t="e">
        <f t="shared" si="262"/>
        <v>#N/A</v>
      </c>
      <c r="O336" s="396" t="e">
        <f t="shared" si="263"/>
        <v>#N/A</v>
      </c>
      <c r="P336" s="396" t="e">
        <f t="shared" si="264"/>
        <v>#N/A</v>
      </c>
      <c r="Q336" s="396" t="e">
        <f t="shared" si="265"/>
        <v>#N/A</v>
      </c>
      <c r="R336" s="396" t="e">
        <f t="shared" si="266"/>
        <v>#N/A</v>
      </c>
      <c r="S336" s="396" t="e">
        <f t="shared" si="267"/>
        <v>#N/A</v>
      </c>
      <c r="T336" s="397" t="e">
        <f t="shared" si="268"/>
        <v>#N/A</v>
      </c>
      <c r="U336" s="396" t="e">
        <f t="shared" si="269"/>
        <v>#N/A</v>
      </c>
      <c r="V336" s="396" t="e">
        <f t="shared" si="270"/>
        <v>#N/A</v>
      </c>
      <c r="W336" s="206" t="e">
        <f t="shared" si="271"/>
        <v>#N/A</v>
      </c>
      <c r="X336" s="207" t="e">
        <f t="shared" si="272"/>
        <v>#N/A</v>
      </c>
      <c r="Y336" s="207" t="e">
        <f t="shared" si="273"/>
        <v>#N/A</v>
      </c>
      <c r="Z336" s="233" t="e">
        <f t="shared" si="274"/>
        <v>#N/A</v>
      </c>
      <c r="AA336" s="208" t="e">
        <f t="shared" si="284"/>
        <v>#N/A</v>
      </c>
      <c r="AB336" s="233" t="e">
        <f t="shared" si="275"/>
        <v>#N/A</v>
      </c>
      <c r="AC336" s="233" t="e">
        <f t="shared" si="276"/>
        <v>#N/A</v>
      </c>
      <c r="AD336" s="233" t="e">
        <f t="shared" si="277"/>
        <v>#N/A</v>
      </c>
      <c r="AE336" s="233" t="e">
        <f t="shared" si="278"/>
        <v>#N/A</v>
      </c>
      <c r="AF336" s="238" t="e">
        <f t="shared" si="279"/>
        <v>#N/A</v>
      </c>
      <c r="AG336" s="238" t="e">
        <f t="shared" si="280"/>
        <v>#N/A</v>
      </c>
      <c r="AH336" s="238" t="e">
        <f t="shared" si="281"/>
        <v>#N/A</v>
      </c>
      <c r="AI336" s="261" t="e">
        <f t="shared" si="282"/>
        <v>#N/A</v>
      </c>
      <c r="AJ336" s="233" t="e">
        <f t="shared" si="283"/>
        <v>#N/A</v>
      </c>
    </row>
    <row r="337" spans="5:36" s="120" customFormat="1" ht="35.25" customHeight="1" x14ac:dyDescent="0.2">
      <c r="E337" s="218" t="s">
        <v>2306</v>
      </c>
      <c r="F337" s="130"/>
      <c r="G337" s="67" t="e">
        <f t="shared" si="255"/>
        <v>#N/A</v>
      </c>
      <c r="H337" s="396" t="e">
        <f t="shared" si="256"/>
        <v>#N/A</v>
      </c>
      <c r="I337" s="396" t="e">
        <f t="shared" si="257"/>
        <v>#N/A</v>
      </c>
      <c r="J337" s="396" t="e">
        <f t="shared" si="258"/>
        <v>#N/A</v>
      </c>
      <c r="K337" s="398" t="e">
        <f t="shared" si="259"/>
        <v>#N/A</v>
      </c>
      <c r="L337" s="396" t="e">
        <f t="shared" si="260"/>
        <v>#N/A</v>
      </c>
      <c r="M337" s="398" t="e">
        <f t="shared" si="261"/>
        <v>#N/A</v>
      </c>
      <c r="N337" s="396" t="e">
        <f t="shared" si="262"/>
        <v>#N/A</v>
      </c>
      <c r="O337" s="396" t="e">
        <f t="shared" si="263"/>
        <v>#N/A</v>
      </c>
      <c r="P337" s="396" t="e">
        <f t="shared" si="264"/>
        <v>#N/A</v>
      </c>
      <c r="Q337" s="396" t="e">
        <f t="shared" si="265"/>
        <v>#N/A</v>
      </c>
      <c r="R337" s="396" t="e">
        <f t="shared" si="266"/>
        <v>#N/A</v>
      </c>
      <c r="S337" s="396" t="e">
        <f t="shared" si="267"/>
        <v>#N/A</v>
      </c>
      <c r="T337" s="397" t="e">
        <f t="shared" si="268"/>
        <v>#N/A</v>
      </c>
      <c r="U337" s="396" t="e">
        <f t="shared" si="269"/>
        <v>#N/A</v>
      </c>
      <c r="V337" s="396" t="e">
        <f t="shared" si="270"/>
        <v>#N/A</v>
      </c>
      <c r="W337" s="206" t="e">
        <f t="shared" si="271"/>
        <v>#N/A</v>
      </c>
      <c r="X337" s="207" t="e">
        <f t="shared" si="272"/>
        <v>#N/A</v>
      </c>
      <c r="Y337" s="207" t="e">
        <f t="shared" si="273"/>
        <v>#N/A</v>
      </c>
      <c r="Z337" s="233" t="e">
        <f t="shared" si="274"/>
        <v>#N/A</v>
      </c>
      <c r="AA337" s="208" t="e">
        <f t="shared" si="284"/>
        <v>#N/A</v>
      </c>
      <c r="AB337" s="233" t="e">
        <f t="shared" si="275"/>
        <v>#N/A</v>
      </c>
      <c r="AC337" s="233" t="e">
        <f t="shared" si="276"/>
        <v>#N/A</v>
      </c>
      <c r="AD337" s="233" t="e">
        <f t="shared" si="277"/>
        <v>#N/A</v>
      </c>
      <c r="AE337" s="233" t="e">
        <f t="shared" si="278"/>
        <v>#N/A</v>
      </c>
      <c r="AF337" s="238" t="e">
        <f t="shared" si="279"/>
        <v>#N/A</v>
      </c>
      <c r="AG337" s="238" t="e">
        <f t="shared" si="280"/>
        <v>#N/A</v>
      </c>
      <c r="AH337" s="238" t="e">
        <f t="shared" si="281"/>
        <v>#N/A</v>
      </c>
      <c r="AI337" s="261" t="e">
        <f t="shared" si="282"/>
        <v>#N/A</v>
      </c>
      <c r="AJ337" s="233" t="e">
        <f t="shared" si="283"/>
        <v>#N/A</v>
      </c>
    </row>
    <row r="338" spans="5:36" s="120" customFormat="1" ht="35.25" customHeight="1" x14ac:dyDescent="0.2">
      <c r="E338" s="218" t="s">
        <v>2306</v>
      </c>
      <c r="F338" s="130"/>
      <c r="G338" s="67" t="e">
        <f t="shared" si="255"/>
        <v>#N/A</v>
      </c>
      <c r="H338" s="396" t="e">
        <f t="shared" si="256"/>
        <v>#N/A</v>
      </c>
      <c r="I338" s="396" t="e">
        <f t="shared" si="257"/>
        <v>#N/A</v>
      </c>
      <c r="J338" s="396" t="e">
        <f t="shared" si="258"/>
        <v>#N/A</v>
      </c>
      <c r="K338" s="398" t="e">
        <f t="shared" si="259"/>
        <v>#N/A</v>
      </c>
      <c r="L338" s="396" t="e">
        <f t="shared" si="260"/>
        <v>#N/A</v>
      </c>
      <c r="M338" s="398" t="e">
        <f t="shared" si="261"/>
        <v>#N/A</v>
      </c>
      <c r="N338" s="396" t="e">
        <f t="shared" si="262"/>
        <v>#N/A</v>
      </c>
      <c r="O338" s="396" t="e">
        <f t="shared" si="263"/>
        <v>#N/A</v>
      </c>
      <c r="P338" s="396" t="e">
        <f t="shared" si="264"/>
        <v>#N/A</v>
      </c>
      <c r="Q338" s="396" t="e">
        <f t="shared" si="265"/>
        <v>#N/A</v>
      </c>
      <c r="R338" s="396" t="e">
        <f t="shared" si="266"/>
        <v>#N/A</v>
      </c>
      <c r="S338" s="396" t="e">
        <f t="shared" si="267"/>
        <v>#N/A</v>
      </c>
      <c r="T338" s="397" t="e">
        <f t="shared" si="268"/>
        <v>#N/A</v>
      </c>
      <c r="U338" s="396" t="e">
        <f t="shared" si="269"/>
        <v>#N/A</v>
      </c>
      <c r="V338" s="396" t="e">
        <f t="shared" si="270"/>
        <v>#N/A</v>
      </c>
      <c r="W338" s="206" t="e">
        <f t="shared" si="271"/>
        <v>#N/A</v>
      </c>
      <c r="X338" s="207" t="e">
        <f t="shared" si="272"/>
        <v>#N/A</v>
      </c>
      <c r="Y338" s="207" t="e">
        <f t="shared" si="273"/>
        <v>#N/A</v>
      </c>
      <c r="Z338" s="233" t="e">
        <f t="shared" si="274"/>
        <v>#N/A</v>
      </c>
      <c r="AA338" s="208" t="e">
        <f t="shared" si="284"/>
        <v>#N/A</v>
      </c>
      <c r="AB338" s="233" t="e">
        <f t="shared" si="275"/>
        <v>#N/A</v>
      </c>
      <c r="AC338" s="233" t="e">
        <f t="shared" si="276"/>
        <v>#N/A</v>
      </c>
      <c r="AD338" s="233" t="e">
        <f t="shared" si="277"/>
        <v>#N/A</v>
      </c>
      <c r="AE338" s="233" t="e">
        <f t="shared" si="278"/>
        <v>#N/A</v>
      </c>
      <c r="AF338" s="238" t="e">
        <f t="shared" si="279"/>
        <v>#N/A</v>
      </c>
      <c r="AG338" s="238" t="e">
        <f t="shared" si="280"/>
        <v>#N/A</v>
      </c>
      <c r="AH338" s="238" t="e">
        <f t="shared" si="281"/>
        <v>#N/A</v>
      </c>
      <c r="AI338" s="261" t="e">
        <f t="shared" si="282"/>
        <v>#N/A</v>
      </c>
      <c r="AJ338" s="233" t="e">
        <f t="shared" si="283"/>
        <v>#N/A</v>
      </c>
    </row>
    <row r="339" spans="5:36" s="120" customFormat="1" ht="35.25" customHeight="1" x14ac:dyDescent="0.2">
      <c r="E339" s="218" t="s">
        <v>2306</v>
      </c>
      <c r="F339" s="130"/>
      <c r="G339" s="67" t="e">
        <f t="shared" si="255"/>
        <v>#N/A</v>
      </c>
      <c r="H339" s="396" t="e">
        <f t="shared" si="256"/>
        <v>#N/A</v>
      </c>
      <c r="I339" s="396" t="e">
        <f t="shared" si="257"/>
        <v>#N/A</v>
      </c>
      <c r="J339" s="396" t="e">
        <f t="shared" si="258"/>
        <v>#N/A</v>
      </c>
      <c r="K339" s="398" t="e">
        <f t="shared" si="259"/>
        <v>#N/A</v>
      </c>
      <c r="L339" s="396" t="e">
        <f t="shared" si="260"/>
        <v>#N/A</v>
      </c>
      <c r="M339" s="398" t="e">
        <f t="shared" si="261"/>
        <v>#N/A</v>
      </c>
      <c r="N339" s="396" t="e">
        <f t="shared" si="262"/>
        <v>#N/A</v>
      </c>
      <c r="O339" s="396" t="e">
        <f t="shared" si="263"/>
        <v>#N/A</v>
      </c>
      <c r="P339" s="396" t="e">
        <f t="shared" si="264"/>
        <v>#N/A</v>
      </c>
      <c r="Q339" s="396" t="e">
        <f t="shared" si="265"/>
        <v>#N/A</v>
      </c>
      <c r="R339" s="396" t="e">
        <f t="shared" si="266"/>
        <v>#N/A</v>
      </c>
      <c r="S339" s="396" t="e">
        <f t="shared" si="267"/>
        <v>#N/A</v>
      </c>
      <c r="T339" s="397" t="e">
        <f t="shared" si="268"/>
        <v>#N/A</v>
      </c>
      <c r="U339" s="396" t="e">
        <f t="shared" si="269"/>
        <v>#N/A</v>
      </c>
      <c r="V339" s="396" t="e">
        <f t="shared" si="270"/>
        <v>#N/A</v>
      </c>
      <c r="W339" s="206" t="e">
        <f t="shared" si="271"/>
        <v>#N/A</v>
      </c>
      <c r="X339" s="207" t="e">
        <f t="shared" si="272"/>
        <v>#N/A</v>
      </c>
      <c r="Y339" s="207" t="e">
        <f t="shared" si="273"/>
        <v>#N/A</v>
      </c>
      <c r="Z339" s="233" t="e">
        <f t="shared" si="274"/>
        <v>#N/A</v>
      </c>
      <c r="AA339" s="208" t="e">
        <f t="shared" si="284"/>
        <v>#N/A</v>
      </c>
      <c r="AB339" s="233" t="e">
        <f t="shared" si="275"/>
        <v>#N/A</v>
      </c>
      <c r="AC339" s="233" t="e">
        <f t="shared" si="276"/>
        <v>#N/A</v>
      </c>
      <c r="AD339" s="233" t="e">
        <f t="shared" si="277"/>
        <v>#N/A</v>
      </c>
      <c r="AE339" s="233" t="e">
        <f t="shared" si="278"/>
        <v>#N/A</v>
      </c>
      <c r="AF339" s="238" t="e">
        <f t="shared" si="279"/>
        <v>#N/A</v>
      </c>
      <c r="AG339" s="238" t="e">
        <f t="shared" si="280"/>
        <v>#N/A</v>
      </c>
      <c r="AH339" s="238" t="e">
        <f t="shared" si="281"/>
        <v>#N/A</v>
      </c>
      <c r="AI339" s="261" t="e">
        <f t="shared" si="282"/>
        <v>#N/A</v>
      </c>
      <c r="AJ339" s="233" t="e">
        <f t="shared" si="283"/>
        <v>#N/A</v>
      </c>
    </row>
    <row r="340" spans="5:36" s="120" customFormat="1" ht="35.25" customHeight="1" x14ac:dyDescent="0.2">
      <c r="E340" s="218" t="s">
        <v>2306</v>
      </c>
      <c r="F340" s="130"/>
      <c r="G340" s="67" t="e">
        <f t="shared" si="255"/>
        <v>#N/A</v>
      </c>
      <c r="H340" s="396" t="e">
        <f t="shared" si="256"/>
        <v>#N/A</v>
      </c>
      <c r="I340" s="396" t="e">
        <f t="shared" si="257"/>
        <v>#N/A</v>
      </c>
      <c r="J340" s="396" t="e">
        <f t="shared" si="258"/>
        <v>#N/A</v>
      </c>
      <c r="K340" s="398" t="e">
        <f t="shared" si="259"/>
        <v>#N/A</v>
      </c>
      <c r="L340" s="396" t="e">
        <f t="shared" si="260"/>
        <v>#N/A</v>
      </c>
      <c r="M340" s="398" t="e">
        <f t="shared" si="261"/>
        <v>#N/A</v>
      </c>
      <c r="N340" s="396" t="e">
        <f t="shared" si="262"/>
        <v>#N/A</v>
      </c>
      <c r="O340" s="396" t="e">
        <f t="shared" si="263"/>
        <v>#N/A</v>
      </c>
      <c r="P340" s="396" t="e">
        <f t="shared" si="264"/>
        <v>#N/A</v>
      </c>
      <c r="Q340" s="396" t="e">
        <f t="shared" si="265"/>
        <v>#N/A</v>
      </c>
      <c r="R340" s="396" t="e">
        <f t="shared" si="266"/>
        <v>#N/A</v>
      </c>
      <c r="S340" s="396" t="e">
        <f t="shared" si="267"/>
        <v>#N/A</v>
      </c>
      <c r="T340" s="397" t="e">
        <f t="shared" si="268"/>
        <v>#N/A</v>
      </c>
      <c r="U340" s="396" t="e">
        <f t="shared" si="269"/>
        <v>#N/A</v>
      </c>
      <c r="V340" s="396" t="e">
        <f t="shared" si="270"/>
        <v>#N/A</v>
      </c>
      <c r="W340" s="206" t="e">
        <f t="shared" si="271"/>
        <v>#N/A</v>
      </c>
      <c r="X340" s="207" t="e">
        <f t="shared" si="272"/>
        <v>#N/A</v>
      </c>
      <c r="Y340" s="207" t="e">
        <f t="shared" si="273"/>
        <v>#N/A</v>
      </c>
      <c r="Z340" s="233" t="e">
        <f t="shared" si="274"/>
        <v>#N/A</v>
      </c>
      <c r="AA340" s="208" t="e">
        <f t="shared" si="284"/>
        <v>#N/A</v>
      </c>
      <c r="AB340" s="233" t="e">
        <f t="shared" si="275"/>
        <v>#N/A</v>
      </c>
      <c r="AC340" s="233" t="e">
        <f t="shared" si="276"/>
        <v>#N/A</v>
      </c>
      <c r="AD340" s="233" t="e">
        <f t="shared" si="277"/>
        <v>#N/A</v>
      </c>
      <c r="AE340" s="233" t="e">
        <f t="shared" si="278"/>
        <v>#N/A</v>
      </c>
      <c r="AF340" s="238" t="e">
        <f t="shared" si="279"/>
        <v>#N/A</v>
      </c>
      <c r="AG340" s="238" t="e">
        <f t="shared" si="280"/>
        <v>#N/A</v>
      </c>
      <c r="AH340" s="238" t="e">
        <f t="shared" si="281"/>
        <v>#N/A</v>
      </c>
      <c r="AI340" s="261" t="e">
        <f t="shared" si="282"/>
        <v>#N/A</v>
      </c>
      <c r="AJ340" s="233" t="e">
        <f t="shared" si="283"/>
        <v>#N/A</v>
      </c>
    </row>
    <row r="341" spans="5:36" s="120" customFormat="1" ht="35.25" customHeight="1" x14ac:dyDescent="0.2">
      <c r="E341" s="218" t="s">
        <v>2306</v>
      </c>
      <c r="F341" s="130"/>
      <c r="G341" s="67" t="e">
        <f t="shared" si="255"/>
        <v>#N/A</v>
      </c>
      <c r="H341" s="396" t="e">
        <f t="shared" si="256"/>
        <v>#N/A</v>
      </c>
      <c r="I341" s="396" t="e">
        <f t="shared" si="257"/>
        <v>#N/A</v>
      </c>
      <c r="J341" s="396" t="e">
        <f t="shared" si="258"/>
        <v>#N/A</v>
      </c>
      <c r="K341" s="398" t="e">
        <f t="shared" si="259"/>
        <v>#N/A</v>
      </c>
      <c r="L341" s="396" t="e">
        <f t="shared" si="260"/>
        <v>#N/A</v>
      </c>
      <c r="M341" s="398" t="e">
        <f t="shared" si="261"/>
        <v>#N/A</v>
      </c>
      <c r="N341" s="396" t="e">
        <f t="shared" si="262"/>
        <v>#N/A</v>
      </c>
      <c r="O341" s="396" t="e">
        <f t="shared" si="263"/>
        <v>#N/A</v>
      </c>
      <c r="P341" s="396" t="e">
        <f t="shared" si="264"/>
        <v>#N/A</v>
      </c>
      <c r="Q341" s="396" t="e">
        <f t="shared" si="265"/>
        <v>#N/A</v>
      </c>
      <c r="R341" s="396" t="e">
        <f t="shared" si="266"/>
        <v>#N/A</v>
      </c>
      <c r="S341" s="396" t="e">
        <f t="shared" si="267"/>
        <v>#N/A</v>
      </c>
      <c r="T341" s="397" t="e">
        <f t="shared" si="268"/>
        <v>#N/A</v>
      </c>
      <c r="U341" s="396" t="e">
        <f t="shared" si="269"/>
        <v>#N/A</v>
      </c>
      <c r="V341" s="396" t="e">
        <f t="shared" si="270"/>
        <v>#N/A</v>
      </c>
      <c r="W341" s="206" t="e">
        <f t="shared" si="271"/>
        <v>#N/A</v>
      </c>
      <c r="X341" s="207" t="e">
        <f t="shared" si="272"/>
        <v>#N/A</v>
      </c>
      <c r="Y341" s="207" t="e">
        <f t="shared" si="273"/>
        <v>#N/A</v>
      </c>
      <c r="Z341" s="233" t="e">
        <f t="shared" si="274"/>
        <v>#N/A</v>
      </c>
      <c r="AA341" s="208" t="e">
        <f t="shared" si="284"/>
        <v>#N/A</v>
      </c>
      <c r="AB341" s="233" t="e">
        <f t="shared" si="275"/>
        <v>#N/A</v>
      </c>
      <c r="AC341" s="233" t="e">
        <f t="shared" si="276"/>
        <v>#N/A</v>
      </c>
      <c r="AD341" s="233" t="e">
        <f t="shared" si="277"/>
        <v>#N/A</v>
      </c>
      <c r="AE341" s="233" t="e">
        <f t="shared" si="278"/>
        <v>#N/A</v>
      </c>
      <c r="AF341" s="238" t="e">
        <f t="shared" si="279"/>
        <v>#N/A</v>
      </c>
      <c r="AG341" s="238" t="e">
        <f t="shared" si="280"/>
        <v>#N/A</v>
      </c>
      <c r="AH341" s="238" t="e">
        <f t="shared" si="281"/>
        <v>#N/A</v>
      </c>
      <c r="AI341" s="261" t="e">
        <f t="shared" si="282"/>
        <v>#N/A</v>
      </c>
      <c r="AJ341" s="233" t="e">
        <f t="shared" si="283"/>
        <v>#N/A</v>
      </c>
    </row>
    <row r="342" spans="5:36" s="120" customFormat="1" ht="35.25" customHeight="1" x14ac:dyDescent="0.2">
      <c r="E342" s="218" t="s">
        <v>2306</v>
      </c>
      <c r="F342" s="130"/>
      <c r="G342" s="67" t="e">
        <f t="shared" si="255"/>
        <v>#N/A</v>
      </c>
      <c r="H342" s="396" t="e">
        <f t="shared" si="256"/>
        <v>#N/A</v>
      </c>
      <c r="I342" s="396" t="e">
        <f t="shared" si="257"/>
        <v>#N/A</v>
      </c>
      <c r="J342" s="396" t="e">
        <f t="shared" si="258"/>
        <v>#N/A</v>
      </c>
      <c r="K342" s="398" t="e">
        <f t="shared" si="259"/>
        <v>#N/A</v>
      </c>
      <c r="L342" s="396" t="e">
        <f t="shared" si="260"/>
        <v>#N/A</v>
      </c>
      <c r="M342" s="398" t="e">
        <f t="shared" si="261"/>
        <v>#N/A</v>
      </c>
      <c r="N342" s="396" t="e">
        <f t="shared" si="262"/>
        <v>#N/A</v>
      </c>
      <c r="O342" s="396" t="e">
        <f t="shared" si="263"/>
        <v>#N/A</v>
      </c>
      <c r="P342" s="396" t="e">
        <f t="shared" si="264"/>
        <v>#N/A</v>
      </c>
      <c r="Q342" s="396" t="e">
        <f t="shared" si="265"/>
        <v>#N/A</v>
      </c>
      <c r="R342" s="396" t="e">
        <f t="shared" si="266"/>
        <v>#N/A</v>
      </c>
      <c r="S342" s="396" t="e">
        <f t="shared" si="267"/>
        <v>#N/A</v>
      </c>
      <c r="T342" s="397" t="e">
        <f t="shared" si="268"/>
        <v>#N/A</v>
      </c>
      <c r="U342" s="396" t="e">
        <f t="shared" si="269"/>
        <v>#N/A</v>
      </c>
      <c r="V342" s="396" t="e">
        <f t="shared" si="270"/>
        <v>#N/A</v>
      </c>
      <c r="W342" s="206" t="e">
        <f t="shared" si="271"/>
        <v>#N/A</v>
      </c>
      <c r="X342" s="207" t="e">
        <f t="shared" si="272"/>
        <v>#N/A</v>
      </c>
      <c r="Y342" s="207" t="e">
        <f t="shared" si="273"/>
        <v>#N/A</v>
      </c>
      <c r="Z342" s="233" t="e">
        <f t="shared" si="274"/>
        <v>#N/A</v>
      </c>
      <c r="AA342" s="208" t="e">
        <f t="shared" si="284"/>
        <v>#N/A</v>
      </c>
      <c r="AB342" s="233" t="e">
        <f t="shared" si="275"/>
        <v>#N/A</v>
      </c>
      <c r="AC342" s="233" t="e">
        <f t="shared" si="276"/>
        <v>#N/A</v>
      </c>
      <c r="AD342" s="233" t="e">
        <f t="shared" si="277"/>
        <v>#N/A</v>
      </c>
      <c r="AE342" s="233" t="e">
        <f t="shared" si="278"/>
        <v>#N/A</v>
      </c>
      <c r="AF342" s="238" t="e">
        <f t="shared" si="279"/>
        <v>#N/A</v>
      </c>
      <c r="AG342" s="238" t="e">
        <f t="shared" si="280"/>
        <v>#N/A</v>
      </c>
      <c r="AH342" s="238" t="e">
        <f t="shared" si="281"/>
        <v>#N/A</v>
      </c>
      <c r="AI342" s="261" t="e">
        <f t="shared" si="282"/>
        <v>#N/A</v>
      </c>
      <c r="AJ342" s="233" t="e">
        <f t="shared" si="283"/>
        <v>#N/A</v>
      </c>
    </row>
    <row r="343" spans="5:36" s="120" customFormat="1" ht="35.25" customHeight="1" x14ac:dyDescent="0.2">
      <c r="E343" s="218" t="s">
        <v>2306</v>
      </c>
      <c r="F343" s="130"/>
      <c r="G343" s="67" t="e">
        <f t="shared" si="255"/>
        <v>#N/A</v>
      </c>
      <c r="H343" s="396" t="e">
        <f t="shared" si="256"/>
        <v>#N/A</v>
      </c>
      <c r="I343" s="396" t="e">
        <f t="shared" si="257"/>
        <v>#N/A</v>
      </c>
      <c r="J343" s="396" t="e">
        <f t="shared" si="258"/>
        <v>#N/A</v>
      </c>
      <c r="K343" s="398" t="e">
        <f t="shared" si="259"/>
        <v>#N/A</v>
      </c>
      <c r="L343" s="396" t="e">
        <f t="shared" si="260"/>
        <v>#N/A</v>
      </c>
      <c r="M343" s="398" t="e">
        <f t="shared" si="261"/>
        <v>#N/A</v>
      </c>
      <c r="N343" s="396" t="e">
        <f t="shared" si="262"/>
        <v>#N/A</v>
      </c>
      <c r="O343" s="396" t="e">
        <f t="shared" si="263"/>
        <v>#N/A</v>
      </c>
      <c r="P343" s="396" t="e">
        <f t="shared" si="264"/>
        <v>#N/A</v>
      </c>
      <c r="Q343" s="396" t="e">
        <f t="shared" si="265"/>
        <v>#N/A</v>
      </c>
      <c r="R343" s="396" t="e">
        <f t="shared" si="266"/>
        <v>#N/A</v>
      </c>
      <c r="S343" s="396" t="e">
        <f t="shared" si="267"/>
        <v>#N/A</v>
      </c>
      <c r="T343" s="397" t="e">
        <f t="shared" si="268"/>
        <v>#N/A</v>
      </c>
      <c r="U343" s="396" t="e">
        <f t="shared" si="269"/>
        <v>#N/A</v>
      </c>
      <c r="V343" s="396" t="e">
        <f t="shared" si="270"/>
        <v>#N/A</v>
      </c>
      <c r="W343" s="206" t="e">
        <f t="shared" si="271"/>
        <v>#N/A</v>
      </c>
      <c r="X343" s="207" t="e">
        <f t="shared" si="272"/>
        <v>#N/A</v>
      </c>
      <c r="Y343" s="207" t="e">
        <f t="shared" si="273"/>
        <v>#N/A</v>
      </c>
      <c r="Z343" s="233" t="e">
        <f t="shared" si="274"/>
        <v>#N/A</v>
      </c>
      <c r="AA343" s="208" t="e">
        <f t="shared" si="284"/>
        <v>#N/A</v>
      </c>
      <c r="AB343" s="233" t="e">
        <f t="shared" si="275"/>
        <v>#N/A</v>
      </c>
      <c r="AC343" s="233" t="e">
        <f t="shared" si="276"/>
        <v>#N/A</v>
      </c>
      <c r="AD343" s="233" t="e">
        <f t="shared" si="277"/>
        <v>#N/A</v>
      </c>
      <c r="AE343" s="233" t="e">
        <f t="shared" si="278"/>
        <v>#N/A</v>
      </c>
      <c r="AF343" s="238" t="e">
        <f t="shared" si="279"/>
        <v>#N/A</v>
      </c>
      <c r="AG343" s="238" t="e">
        <f t="shared" si="280"/>
        <v>#N/A</v>
      </c>
      <c r="AH343" s="238" t="e">
        <f t="shared" si="281"/>
        <v>#N/A</v>
      </c>
      <c r="AI343" s="261" t="e">
        <f t="shared" si="282"/>
        <v>#N/A</v>
      </c>
      <c r="AJ343" s="233" t="e">
        <f t="shared" si="283"/>
        <v>#N/A</v>
      </c>
    </row>
    <row r="344" spans="5:36" s="120" customFormat="1" ht="35.25" customHeight="1" x14ac:dyDescent="0.2">
      <c r="E344" s="218" t="s">
        <v>2306</v>
      </c>
      <c r="F344" s="130"/>
      <c r="G344" s="67" t="e">
        <f t="shared" si="255"/>
        <v>#N/A</v>
      </c>
      <c r="H344" s="396" t="e">
        <f t="shared" si="256"/>
        <v>#N/A</v>
      </c>
      <c r="I344" s="396" t="e">
        <f t="shared" si="257"/>
        <v>#N/A</v>
      </c>
      <c r="J344" s="396" t="e">
        <f t="shared" si="258"/>
        <v>#N/A</v>
      </c>
      <c r="K344" s="398" t="e">
        <f t="shared" si="259"/>
        <v>#N/A</v>
      </c>
      <c r="L344" s="396" t="e">
        <f t="shared" si="260"/>
        <v>#N/A</v>
      </c>
      <c r="M344" s="398" t="e">
        <f t="shared" si="261"/>
        <v>#N/A</v>
      </c>
      <c r="N344" s="396" t="e">
        <f t="shared" si="262"/>
        <v>#N/A</v>
      </c>
      <c r="O344" s="396" t="e">
        <f t="shared" si="263"/>
        <v>#N/A</v>
      </c>
      <c r="P344" s="396" t="e">
        <f t="shared" si="264"/>
        <v>#N/A</v>
      </c>
      <c r="Q344" s="396" t="e">
        <f t="shared" si="265"/>
        <v>#N/A</v>
      </c>
      <c r="R344" s="396" t="e">
        <f t="shared" si="266"/>
        <v>#N/A</v>
      </c>
      <c r="S344" s="396" t="e">
        <f t="shared" si="267"/>
        <v>#N/A</v>
      </c>
      <c r="T344" s="397" t="e">
        <f t="shared" si="268"/>
        <v>#N/A</v>
      </c>
      <c r="U344" s="396" t="e">
        <f t="shared" si="269"/>
        <v>#N/A</v>
      </c>
      <c r="V344" s="396" t="e">
        <f t="shared" si="270"/>
        <v>#N/A</v>
      </c>
      <c r="W344" s="206" t="e">
        <f t="shared" si="271"/>
        <v>#N/A</v>
      </c>
      <c r="X344" s="207" t="e">
        <f t="shared" si="272"/>
        <v>#N/A</v>
      </c>
      <c r="Y344" s="207" t="e">
        <f t="shared" si="273"/>
        <v>#N/A</v>
      </c>
      <c r="Z344" s="233" t="e">
        <f t="shared" si="274"/>
        <v>#N/A</v>
      </c>
      <c r="AA344" s="208" t="e">
        <f t="shared" si="284"/>
        <v>#N/A</v>
      </c>
      <c r="AB344" s="233" t="e">
        <f t="shared" si="275"/>
        <v>#N/A</v>
      </c>
      <c r="AC344" s="233" t="e">
        <f t="shared" si="276"/>
        <v>#N/A</v>
      </c>
      <c r="AD344" s="233" t="e">
        <f t="shared" si="277"/>
        <v>#N/A</v>
      </c>
      <c r="AE344" s="233" t="e">
        <f t="shared" si="278"/>
        <v>#N/A</v>
      </c>
      <c r="AF344" s="238" t="e">
        <f t="shared" si="279"/>
        <v>#N/A</v>
      </c>
      <c r="AG344" s="238" t="e">
        <f t="shared" si="280"/>
        <v>#N/A</v>
      </c>
      <c r="AH344" s="238" t="e">
        <f t="shared" si="281"/>
        <v>#N/A</v>
      </c>
      <c r="AI344" s="261" t="e">
        <f t="shared" si="282"/>
        <v>#N/A</v>
      </c>
      <c r="AJ344" s="233" t="e">
        <f t="shared" si="283"/>
        <v>#N/A</v>
      </c>
    </row>
    <row r="345" spans="5:36" s="120" customFormat="1" ht="35.25" customHeight="1" x14ac:dyDescent="0.2">
      <c r="E345" s="218" t="s">
        <v>2306</v>
      </c>
      <c r="F345" s="130"/>
      <c r="G345" s="67" t="e">
        <f t="shared" si="255"/>
        <v>#N/A</v>
      </c>
      <c r="H345" s="396" t="e">
        <f t="shared" si="256"/>
        <v>#N/A</v>
      </c>
      <c r="I345" s="396" t="e">
        <f t="shared" si="257"/>
        <v>#N/A</v>
      </c>
      <c r="J345" s="396" t="e">
        <f t="shared" si="258"/>
        <v>#N/A</v>
      </c>
      <c r="K345" s="398" t="e">
        <f t="shared" si="259"/>
        <v>#N/A</v>
      </c>
      <c r="L345" s="396" t="e">
        <f t="shared" si="260"/>
        <v>#N/A</v>
      </c>
      <c r="M345" s="398" t="e">
        <f t="shared" si="261"/>
        <v>#N/A</v>
      </c>
      <c r="N345" s="396" t="e">
        <f t="shared" si="262"/>
        <v>#N/A</v>
      </c>
      <c r="O345" s="396" t="e">
        <f t="shared" si="263"/>
        <v>#N/A</v>
      </c>
      <c r="P345" s="396" t="e">
        <f t="shared" si="264"/>
        <v>#N/A</v>
      </c>
      <c r="Q345" s="396" t="e">
        <f t="shared" si="265"/>
        <v>#N/A</v>
      </c>
      <c r="R345" s="396" t="e">
        <f t="shared" si="266"/>
        <v>#N/A</v>
      </c>
      <c r="S345" s="396" t="e">
        <f t="shared" si="267"/>
        <v>#N/A</v>
      </c>
      <c r="T345" s="397" t="e">
        <f t="shared" si="268"/>
        <v>#N/A</v>
      </c>
      <c r="U345" s="396" t="e">
        <f t="shared" si="269"/>
        <v>#N/A</v>
      </c>
      <c r="V345" s="396" t="e">
        <f t="shared" si="270"/>
        <v>#N/A</v>
      </c>
      <c r="W345" s="206" t="e">
        <f t="shared" si="271"/>
        <v>#N/A</v>
      </c>
      <c r="X345" s="207" t="e">
        <f t="shared" si="272"/>
        <v>#N/A</v>
      </c>
      <c r="Y345" s="207" t="e">
        <f t="shared" si="273"/>
        <v>#N/A</v>
      </c>
      <c r="Z345" s="233" t="e">
        <f t="shared" si="274"/>
        <v>#N/A</v>
      </c>
      <c r="AA345" s="208" t="e">
        <f t="shared" si="284"/>
        <v>#N/A</v>
      </c>
      <c r="AB345" s="233" t="e">
        <f t="shared" si="275"/>
        <v>#N/A</v>
      </c>
      <c r="AC345" s="233" t="e">
        <f t="shared" si="276"/>
        <v>#N/A</v>
      </c>
      <c r="AD345" s="233" t="e">
        <f t="shared" si="277"/>
        <v>#N/A</v>
      </c>
      <c r="AE345" s="233" t="e">
        <f t="shared" si="278"/>
        <v>#N/A</v>
      </c>
      <c r="AF345" s="238" t="e">
        <f t="shared" si="279"/>
        <v>#N/A</v>
      </c>
      <c r="AG345" s="238" t="e">
        <f t="shared" si="280"/>
        <v>#N/A</v>
      </c>
      <c r="AH345" s="238" t="e">
        <f t="shared" si="281"/>
        <v>#N/A</v>
      </c>
      <c r="AI345" s="261" t="e">
        <f t="shared" si="282"/>
        <v>#N/A</v>
      </c>
      <c r="AJ345" s="233" t="e">
        <f t="shared" si="283"/>
        <v>#N/A</v>
      </c>
    </row>
    <row r="346" spans="5:36" s="120" customFormat="1" ht="35.25" customHeight="1" x14ac:dyDescent="0.2">
      <c r="E346" s="218" t="s">
        <v>2306</v>
      </c>
      <c r="F346" s="130"/>
      <c r="G346" s="67" t="e">
        <f t="shared" si="255"/>
        <v>#N/A</v>
      </c>
      <c r="H346" s="396" t="e">
        <f t="shared" si="256"/>
        <v>#N/A</v>
      </c>
      <c r="I346" s="396" t="e">
        <f t="shared" si="257"/>
        <v>#N/A</v>
      </c>
      <c r="J346" s="396" t="e">
        <f t="shared" si="258"/>
        <v>#N/A</v>
      </c>
      <c r="K346" s="398" t="e">
        <f t="shared" si="259"/>
        <v>#N/A</v>
      </c>
      <c r="L346" s="396" t="e">
        <f t="shared" si="260"/>
        <v>#N/A</v>
      </c>
      <c r="M346" s="398" t="e">
        <f t="shared" si="261"/>
        <v>#N/A</v>
      </c>
      <c r="N346" s="396" t="e">
        <f t="shared" si="262"/>
        <v>#N/A</v>
      </c>
      <c r="O346" s="396" t="e">
        <f t="shared" si="263"/>
        <v>#N/A</v>
      </c>
      <c r="P346" s="396" t="e">
        <f t="shared" si="264"/>
        <v>#N/A</v>
      </c>
      <c r="Q346" s="396" t="e">
        <f t="shared" si="265"/>
        <v>#N/A</v>
      </c>
      <c r="R346" s="396" t="e">
        <f t="shared" si="266"/>
        <v>#N/A</v>
      </c>
      <c r="S346" s="396" t="e">
        <f t="shared" si="267"/>
        <v>#N/A</v>
      </c>
      <c r="T346" s="397" t="e">
        <f t="shared" si="268"/>
        <v>#N/A</v>
      </c>
      <c r="U346" s="396" t="e">
        <f t="shared" si="269"/>
        <v>#N/A</v>
      </c>
      <c r="V346" s="396" t="e">
        <f t="shared" si="270"/>
        <v>#N/A</v>
      </c>
      <c r="W346" s="206" t="e">
        <f t="shared" si="271"/>
        <v>#N/A</v>
      </c>
      <c r="X346" s="207" t="e">
        <f t="shared" si="272"/>
        <v>#N/A</v>
      </c>
      <c r="Y346" s="207" t="e">
        <f t="shared" si="273"/>
        <v>#N/A</v>
      </c>
      <c r="Z346" s="233" t="e">
        <f t="shared" si="274"/>
        <v>#N/A</v>
      </c>
      <c r="AA346" s="208" t="e">
        <f t="shared" si="284"/>
        <v>#N/A</v>
      </c>
      <c r="AB346" s="233" t="e">
        <f t="shared" si="275"/>
        <v>#N/A</v>
      </c>
      <c r="AC346" s="233" t="e">
        <f t="shared" si="276"/>
        <v>#N/A</v>
      </c>
      <c r="AD346" s="233" t="e">
        <f t="shared" si="277"/>
        <v>#N/A</v>
      </c>
      <c r="AE346" s="233" t="e">
        <f t="shared" si="278"/>
        <v>#N/A</v>
      </c>
      <c r="AF346" s="238" t="e">
        <f t="shared" si="279"/>
        <v>#N/A</v>
      </c>
      <c r="AG346" s="238" t="e">
        <f t="shared" si="280"/>
        <v>#N/A</v>
      </c>
      <c r="AH346" s="238" t="e">
        <f t="shared" si="281"/>
        <v>#N/A</v>
      </c>
      <c r="AI346" s="261" t="e">
        <f t="shared" si="282"/>
        <v>#N/A</v>
      </c>
      <c r="AJ346" s="233" t="e">
        <f t="shared" si="283"/>
        <v>#N/A</v>
      </c>
    </row>
    <row r="347" spans="5:36" s="120" customFormat="1" ht="35.25" customHeight="1" x14ac:dyDescent="0.2">
      <c r="E347" s="218" t="s">
        <v>2306</v>
      </c>
      <c r="F347" s="130"/>
      <c r="G347" s="67" t="e">
        <f t="shared" ref="G347:G401" si="285">VLOOKUP(D347,ACUAN,4,FALSE)</f>
        <v>#N/A</v>
      </c>
      <c r="H347" s="396" t="e">
        <f t="shared" ref="H347:H401" si="286">VLOOKUP(D347,ACUAN,5,FALSE)</f>
        <v>#N/A</v>
      </c>
      <c r="I347" s="396" t="e">
        <f t="shared" ref="I347:I401" si="287">VLOOKUP(D347,ACUAN,6,FALSE)</f>
        <v>#N/A</v>
      </c>
      <c r="J347" s="396" t="e">
        <f t="shared" ref="J347:J401" si="288">VLOOKUP(D347,ACUAN,7,FALSE)</f>
        <v>#N/A</v>
      </c>
      <c r="K347" s="398" t="e">
        <f t="shared" ref="K347:K401" si="289">VLOOKUP(D347,ACUAN,8,FALSE)</f>
        <v>#N/A</v>
      </c>
      <c r="L347" s="396" t="e">
        <f t="shared" ref="L347:L401" si="290">VLOOKUP(D347,ACUAN,9,FALSE)</f>
        <v>#N/A</v>
      </c>
      <c r="M347" s="398" t="e">
        <f t="shared" ref="M347:M401" si="291">VLOOKUP(D347,ACUAN,10,FALSE)</f>
        <v>#N/A</v>
      </c>
      <c r="N347" s="396" t="e">
        <f t="shared" ref="N347:N401" si="292">VLOOKUP(D347,ACUAN,11,FALSE)</f>
        <v>#N/A</v>
      </c>
      <c r="O347" s="396" t="e">
        <f t="shared" ref="O347:O401" si="293">VLOOKUP(D347,ACUAN,12,FALSE)</f>
        <v>#N/A</v>
      </c>
      <c r="P347" s="396" t="e">
        <f t="shared" ref="P347:P401" si="294">VLOOKUP(D347,ACUAN,13,FALSE)</f>
        <v>#N/A</v>
      </c>
      <c r="Q347" s="396" t="e">
        <f t="shared" ref="Q347:Q401" si="295">VLOOKUP(D347,ACUAN,14,FALSE)</f>
        <v>#N/A</v>
      </c>
      <c r="R347" s="396" t="e">
        <f t="shared" ref="R347:R401" si="296">VLOOKUP(D347,ACUAN,15,FALSE)</f>
        <v>#N/A</v>
      </c>
      <c r="S347" s="396" t="e">
        <f t="shared" ref="S347:S401" si="297">VLOOKUP(D347,ACUAN,16,FALSE)</f>
        <v>#N/A</v>
      </c>
      <c r="T347" s="397" t="e">
        <f t="shared" ref="T347:T401" si="298">VLOOKUP(D347,ACUAN,17,FALSE)</f>
        <v>#N/A</v>
      </c>
      <c r="U347" s="396" t="e">
        <f t="shared" ref="U347:U401" si="299">VLOOKUP(D347,ACUAN,18,FALSE)</f>
        <v>#N/A</v>
      </c>
      <c r="V347" s="396" t="e">
        <f t="shared" ref="V347:V401" si="300">VLOOKUP(D347,ACUAN,19,FALSE)</f>
        <v>#N/A</v>
      </c>
      <c r="W347" s="206" t="e">
        <f t="shared" si="271"/>
        <v>#N/A</v>
      </c>
      <c r="X347" s="207" t="e">
        <f t="shared" si="272"/>
        <v>#N/A</v>
      </c>
      <c r="Y347" s="207" t="e">
        <f t="shared" si="273"/>
        <v>#N/A</v>
      </c>
      <c r="Z347" s="233" t="e">
        <f t="shared" si="274"/>
        <v>#N/A</v>
      </c>
      <c r="AA347" s="208" t="e">
        <f t="shared" si="284"/>
        <v>#N/A</v>
      </c>
      <c r="AB347" s="233" t="e">
        <f t="shared" si="275"/>
        <v>#N/A</v>
      </c>
      <c r="AC347" s="233" t="e">
        <f t="shared" si="276"/>
        <v>#N/A</v>
      </c>
      <c r="AD347" s="233" t="e">
        <f t="shared" si="277"/>
        <v>#N/A</v>
      </c>
      <c r="AE347" s="233" t="e">
        <f t="shared" si="278"/>
        <v>#N/A</v>
      </c>
      <c r="AF347" s="238" t="e">
        <f t="shared" si="279"/>
        <v>#N/A</v>
      </c>
      <c r="AG347" s="238" t="e">
        <f t="shared" si="280"/>
        <v>#N/A</v>
      </c>
      <c r="AH347" s="238" t="e">
        <f t="shared" si="281"/>
        <v>#N/A</v>
      </c>
      <c r="AI347" s="261" t="e">
        <f t="shared" si="282"/>
        <v>#N/A</v>
      </c>
      <c r="AJ347" s="233" t="e">
        <f t="shared" si="283"/>
        <v>#N/A</v>
      </c>
    </row>
    <row r="348" spans="5:36" s="120" customFormat="1" ht="35.25" customHeight="1" x14ac:dyDescent="0.2">
      <c r="E348" s="218" t="s">
        <v>2306</v>
      </c>
      <c r="F348" s="130"/>
      <c r="G348" s="67" t="e">
        <f t="shared" si="285"/>
        <v>#N/A</v>
      </c>
      <c r="H348" s="396" t="e">
        <f t="shared" si="286"/>
        <v>#N/A</v>
      </c>
      <c r="I348" s="396" t="e">
        <f t="shared" si="287"/>
        <v>#N/A</v>
      </c>
      <c r="J348" s="396" t="e">
        <f t="shared" si="288"/>
        <v>#N/A</v>
      </c>
      <c r="K348" s="398" t="e">
        <f t="shared" si="289"/>
        <v>#N/A</v>
      </c>
      <c r="L348" s="396" t="e">
        <f t="shared" si="290"/>
        <v>#N/A</v>
      </c>
      <c r="M348" s="398" t="e">
        <f t="shared" si="291"/>
        <v>#N/A</v>
      </c>
      <c r="N348" s="396" t="e">
        <f t="shared" si="292"/>
        <v>#N/A</v>
      </c>
      <c r="O348" s="396" t="e">
        <f t="shared" si="293"/>
        <v>#N/A</v>
      </c>
      <c r="P348" s="396" t="e">
        <f t="shared" si="294"/>
        <v>#N/A</v>
      </c>
      <c r="Q348" s="396" t="e">
        <f t="shared" si="295"/>
        <v>#N/A</v>
      </c>
      <c r="R348" s="396" t="e">
        <f t="shared" si="296"/>
        <v>#N/A</v>
      </c>
      <c r="S348" s="396" t="e">
        <f t="shared" si="297"/>
        <v>#N/A</v>
      </c>
      <c r="T348" s="397" t="e">
        <f t="shared" si="298"/>
        <v>#N/A</v>
      </c>
      <c r="U348" s="396" t="e">
        <f t="shared" si="299"/>
        <v>#N/A</v>
      </c>
      <c r="V348" s="396" t="e">
        <f t="shared" si="300"/>
        <v>#N/A</v>
      </c>
      <c r="W348" s="206" t="e">
        <f t="shared" si="271"/>
        <v>#N/A</v>
      </c>
      <c r="X348" s="207" t="e">
        <f t="shared" si="272"/>
        <v>#N/A</v>
      </c>
      <c r="Y348" s="207" t="e">
        <f t="shared" si="273"/>
        <v>#N/A</v>
      </c>
      <c r="Z348" s="233" t="e">
        <f t="shared" si="274"/>
        <v>#N/A</v>
      </c>
      <c r="AA348" s="208" t="e">
        <f t="shared" si="284"/>
        <v>#N/A</v>
      </c>
      <c r="AB348" s="233" t="e">
        <f t="shared" si="275"/>
        <v>#N/A</v>
      </c>
      <c r="AC348" s="233" t="e">
        <f t="shared" si="276"/>
        <v>#N/A</v>
      </c>
      <c r="AD348" s="233" t="e">
        <f t="shared" si="277"/>
        <v>#N/A</v>
      </c>
      <c r="AE348" s="233" t="e">
        <f t="shared" si="278"/>
        <v>#N/A</v>
      </c>
      <c r="AF348" s="238" t="e">
        <f t="shared" si="279"/>
        <v>#N/A</v>
      </c>
      <c r="AG348" s="238" t="e">
        <f t="shared" si="280"/>
        <v>#N/A</v>
      </c>
      <c r="AH348" s="238" t="e">
        <f t="shared" si="281"/>
        <v>#N/A</v>
      </c>
      <c r="AI348" s="261" t="e">
        <f t="shared" si="282"/>
        <v>#N/A</v>
      </c>
      <c r="AJ348" s="233" t="e">
        <f t="shared" si="283"/>
        <v>#N/A</v>
      </c>
    </row>
    <row r="349" spans="5:36" s="120" customFormat="1" ht="35.25" customHeight="1" x14ac:dyDescent="0.2">
      <c r="E349" s="218" t="s">
        <v>2306</v>
      </c>
      <c r="F349" s="130"/>
      <c r="G349" s="67" t="e">
        <f t="shared" si="285"/>
        <v>#N/A</v>
      </c>
      <c r="H349" s="396" t="e">
        <f t="shared" si="286"/>
        <v>#N/A</v>
      </c>
      <c r="I349" s="396" t="e">
        <f t="shared" si="287"/>
        <v>#N/A</v>
      </c>
      <c r="J349" s="396" t="e">
        <f t="shared" si="288"/>
        <v>#N/A</v>
      </c>
      <c r="K349" s="398" t="e">
        <f t="shared" si="289"/>
        <v>#N/A</v>
      </c>
      <c r="L349" s="396" t="e">
        <f t="shared" si="290"/>
        <v>#N/A</v>
      </c>
      <c r="M349" s="398" t="e">
        <f t="shared" si="291"/>
        <v>#N/A</v>
      </c>
      <c r="N349" s="396" t="e">
        <f t="shared" si="292"/>
        <v>#N/A</v>
      </c>
      <c r="O349" s="396" t="e">
        <f t="shared" si="293"/>
        <v>#N/A</v>
      </c>
      <c r="P349" s="396" t="e">
        <f t="shared" si="294"/>
        <v>#N/A</v>
      </c>
      <c r="Q349" s="396" t="e">
        <f t="shared" si="295"/>
        <v>#N/A</v>
      </c>
      <c r="R349" s="396" t="e">
        <f t="shared" si="296"/>
        <v>#N/A</v>
      </c>
      <c r="S349" s="396" t="e">
        <f t="shared" si="297"/>
        <v>#N/A</v>
      </c>
      <c r="T349" s="397" t="e">
        <f t="shared" si="298"/>
        <v>#N/A</v>
      </c>
      <c r="U349" s="396" t="e">
        <f t="shared" si="299"/>
        <v>#N/A</v>
      </c>
      <c r="V349" s="396" t="e">
        <f t="shared" si="300"/>
        <v>#N/A</v>
      </c>
      <c r="W349" s="206" t="e">
        <f t="shared" si="271"/>
        <v>#N/A</v>
      </c>
      <c r="X349" s="207" t="e">
        <f t="shared" si="272"/>
        <v>#N/A</v>
      </c>
      <c r="Y349" s="207" t="e">
        <f t="shared" si="273"/>
        <v>#N/A</v>
      </c>
      <c r="Z349" s="233" t="e">
        <f t="shared" si="274"/>
        <v>#N/A</v>
      </c>
      <c r="AA349" s="208" t="e">
        <f t="shared" si="284"/>
        <v>#N/A</v>
      </c>
      <c r="AB349" s="233" t="e">
        <f t="shared" si="275"/>
        <v>#N/A</v>
      </c>
      <c r="AC349" s="233" t="e">
        <f t="shared" si="276"/>
        <v>#N/A</v>
      </c>
      <c r="AD349" s="233" t="e">
        <f t="shared" si="277"/>
        <v>#N/A</v>
      </c>
      <c r="AE349" s="233" t="e">
        <f t="shared" si="278"/>
        <v>#N/A</v>
      </c>
      <c r="AF349" s="238" t="e">
        <f t="shared" si="279"/>
        <v>#N/A</v>
      </c>
      <c r="AG349" s="238" t="e">
        <f t="shared" si="280"/>
        <v>#N/A</v>
      </c>
      <c r="AH349" s="238" t="e">
        <f t="shared" si="281"/>
        <v>#N/A</v>
      </c>
      <c r="AI349" s="261" t="e">
        <f t="shared" si="282"/>
        <v>#N/A</v>
      </c>
      <c r="AJ349" s="233" t="e">
        <f t="shared" si="283"/>
        <v>#N/A</v>
      </c>
    </row>
    <row r="350" spans="5:36" s="120" customFormat="1" ht="35.25" customHeight="1" x14ac:dyDescent="0.2">
      <c r="E350" s="218" t="s">
        <v>2306</v>
      </c>
      <c r="F350" s="130"/>
      <c r="G350" s="67" t="e">
        <f t="shared" si="285"/>
        <v>#N/A</v>
      </c>
      <c r="H350" s="396" t="e">
        <f t="shared" si="286"/>
        <v>#N/A</v>
      </c>
      <c r="I350" s="396" t="e">
        <f t="shared" si="287"/>
        <v>#N/A</v>
      </c>
      <c r="J350" s="396" t="e">
        <f t="shared" si="288"/>
        <v>#N/A</v>
      </c>
      <c r="K350" s="398" t="e">
        <f t="shared" si="289"/>
        <v>#N/A</v>
      </c>
      <c r="L350" s="396" t="e">
        <f t="shared" si="290"/>
        <v>#N/A</v>
      </c>
      <c r="M350" s="398" t="e">
        <f t="shared" si="291"/>
        <v>#N/A</v>
      </c>
      <c r="N350" s="396" t="e">
        <f t="shared" si="292"/>
        <v>#N/A</v>
      </c>
      <c r="O350" s="396" t="e">
        <f t="shared" si="293"/>
        <v>#N/A</v>
      </c>
      <c r="P350" s="396" t="e">
        <f t="shared" si="294"/>
        <v>#N/A</v>
      </c>
      <c r="Q350" s="396" t="e">
        <f t="shared" si="295"/>
        <v>#N/A</v>
      </c>
      <c r="R350" s="396" t="e">
        <f t="shared" si="296"/>
        <v>#N/A</v>
      </c>
      <c r="S350" s="396" t="e">
        <f t="shared" si="297"/>
        <v>#N/A</v>
      </c>
      <c r="T350" s="397" t="e">
        <f t="shared" si="298"/>
        <v>#N/A</v>
      </c>
      <c r="U350" s="396" t="e">
        <f t="shared" si="299"/>
        <v>#N/A</v>
      </c>
      <c r="V350" s="396" t="e">
        <f t="shared" si="300"/>
        <v>#N/A</v>
      </c>
      <c r="W350" s="206" t="e">
        <f t="shared" si="271"/>
        <v>#N/A</v>
      </c>
      <c r="X350" s="207" t="e">
        <f t="shared" si="272"/>
        <v>#N/A</v>
      </c>
      <c r="Y350" s="207" t="e">
        <f t="shared" si="273"/>
        <v>#N/A</v>
      </c>
      <c r="Z350" s="233" t="e">
        <f t="shared" si="274"/>
        <v>#N/A</v>
      </c>
      <c r="AA350" s="208" t="e">
        <f t="shared" si="284"/>
        <v>#N/A</v>
      </c>
      <c r="AB350" s="233" t="e">
        <f t="shared" si="275"/>
        <v>#N/A</v>
      </c>
      <c r="AC350" s="233" t="e">
        <f t="shared" si="276"/>
        <v>#N/A</v>
      </c>
      <c r="AD350" s="233" t="e">
        <f t="shared" si="277"/>
        <v>#N/A</v>
      </c>
      <c r="AE350" s="233" t="e">
        <f t="shared" si="278"/>
        <v>#N/A</v>
      </c>
      <c r="AF350" s="238" t="e">
        <f t="shared" si="279"/>
        <v>#N/A</v>
      </c>
      <c r="AG350" s="238" t="e">
        <f t="shared" si="280"/>
        <v>#N/A</v>
      </c>
      <c r="AH350" s="238" t="e">
        <f t="shared" si="281"/>
        <v>#N/A</v>
      </c>
      <c r="AI350" s="261" t="e">
        <f t="shared" si="282"/>
        <v>#N/A</v>
      </c>
      <c r="AJ350" s="233" t="e">
        <f t="shared" si="283"/>
        <v>#N/A</v>
      </c>
    </row>
    <row r="351" spans="5:36" s="120" customFormat="1" ht="35.25" customHeight="1" x14ac:dyDescent="0.2">
      <c r="E351" s="218" t="s">
        <v>2306</v>
      </c>
      <c r="F351" s="130"/>
      <c r="G351" s="67" t="e">
        <f t="shared" si="285"/>
        <v>#N/A</v>
      </c>
      <c r="H351" s="396" t="e">
        <f t="shared" si="286"/>
        <v>#N/A</v>
      </c>
      <c r="I351" s="396" t="e">
        <f t="shared" si="287"/>
        <v>#N/A</v>
      </c>
      <c r="J351" s="396" t="e">
        <f t="shared" si="288"/>
        <v>#N/A</v>
      </c>
      <c r="K351" s="398" t="e">
        <f t="shared" si="289"/>
        <v>#N/A</v>
      </c>
      <c r="L351" s="396" t="e">
        <f t="shared" si="290"/>
        <v>#N/A</v>
      </c>
      <c r="M351" s="398" t="e">
        <f t="shared" si="291"/>
        <v>#N/A</v>
      </c>
      <c r="N351" s="396" t="e">
        <f t="shared" si="292"/>
        <v>#N/A</v>
      </c>
      <c r="O351" s="396" t="e">
        <f t="shared" si="293"/>
        <v>#N/A</v>
      </c>
      <c r="P351" s="396" t="e">
        <f t="shared" si="294"/>
        <v>#N/A</v>
      </c>
      <c r="Q351" s="396" t="e">
        <f t="shared" si="295"/>
        <v>#N/A</v>
      </c>
      <c r="R351" s="396" t="e">
        <f t="shared" si="296"/>
        <v>#N/A</v>
      </c>
      <c r="S351" s="396" t="e">
        <f t="shared" si="297"/>
        <v>#N/A</v>
      </c>
      <c r="T351" s="397" t="e">
        <f t="shared" si="298"/>
        <v>#N/A</v>
      </c>
      <c r="U351" s="396" t="e">
        <f t="shared" si="299"/>
        <v>#N/A</v>
      </c>
      <c r="V351" s="396" t="e">
        <f t="shared" si="300"/>
        <v>#N/A</v>
      </c>
      <c r="W351" s="206" t="e">
        <f t="shared" si="271"/>
        <v>#N/A</v>
      </c>
      <c r="X351" s="207" t="e">
        <f t="shared" si="272"/>
        <v>#N/A</v>
      </c>
      <c r="Y351" s="207" t="e">
        <f t="shared" si="273"/>
        <v>#N/A</v>
      </c>
      <c r="Z351" s="233" t="e">
        <f t="shared" si="274"/>
        <v>#N/A</v>
      </c>
      <c r="AA351" s="208" t="e">
        <f t="shared" si="284"/>
        <v>#N/A</v>
      </c>
      <c r="AB351" s="233" t="e">
        <f t="shared" si="275"/>
        <v>#N/A</v>
      </c>
      <c r="AC351" s="233" t="e">
        <f t="shared" si="276"/>
        <v>#N/A</v>
      </c>
      <c r="AD351" s="233" t="e">
        <f t="shared" si="277"/>
        <v>#N/A</v>
      </c>
      <c r="AE351" s="233" t="e">
        <f t="shared" si="278"/>
        <v>#N/A</v>
      </c>
      <c r="AF351" s="238" t="e">
        <f t="shared" si="279"/>
        <v>#N/A</v>
      </c>
      <c r="AG351" s="238" t="e">
        <f t="shared" si="280"/>
        <v>#N/A</v>
      </c>
      <c r="AH351" s="238" t="e">
        <f t="shared" si="281"/>
        <v>#N/A</v>
      </c>
      <c r="AI351" s="261" t="e">
        <f t="shared" si="282"/>
        <v>#N/A</v>
      </c>
      <c r="AJ351" s="233" t="e">
        <f t="shared" si="283"/>
        <v>#N/A</v>
      </c>
    </row>
    <row r="352" spans="5:36" s="120" customFormat="1" ht="35.25" customHeight="1" x14ac:dyDescent="0.2">
      <c r="E352" s="218" t="s">
        <v>2306</v>
      </c>
      <c r="F352" s="130"/>
      <c r="G352" s="67" t="e">
        <f t="shared" si="285"/>
        <v>#N/A</v>
      </c>
      <c r="H352" s="396" t="e">
        <f t="shared" si="286"/>
        <v>#N/A</v>
      </c>
      <c r="I352" s="396" t="e">
        <f t="shared" si="287"/>
        <v>#N/A</v>
      </c>
      <c r="J352" s="396" t="e">
        <f t="shared" si="288"/>
        <v>#N/A</v>
      </c>
      <c r="K352" s="398" t="e">
        <f t="shared" si="289"/>
        <v>#N/A</v>
      </c>
      <c r="L352" s="396" t="e">
        <f t="shared" si="290"/>
        <v>#N/A</v>
      </c>
      <c r="M352" s="398" t="e">
        <f t="shared" si="291"/>
        <v>#N/A</v>
      </c>
      <c r="N352" s="396" t="e">
        <f t="shared" si="292"/>
        <v>#N/A</v>
      </c>
      <c r="O352" s="396" t="e">
        <f t="shared" si="293"/>
        <v>#N/A</v>
      </c>
      <c r="P352" s="396" t="e">
        <f t="shared" si="294"/>
        <v>#N/A</v>
      </c>
      <c r="Q352" s="396" t="e">
        <f t="shared" si="295"/>
        <v>#N/A</v>
      </c>
      <c r="R352" s="396" t="e">
        <f t="shared" si="296"/>
        <v>#N/A</v>
      </c>
      <c r="S352" s="396" t="e">
        <f t="shared" si="297"/>
        <v>#N/A</v>
      </c>
      <c r="T352" s="397" t="e">
        <f t="shared" si="298"/>
        <v>#N/A</v>
      </c>
      <c r="U352" s="396" t="e">
        <f t="shared" si="299"/>
        <v>#N/A</v>
      </c>
      <c r="V352" s="396" t="e">
        <f t="shared" si="300"/>
        <v>#N/A</v>
      </c>
      <c r="W352" s="206" t="e">
        <f t="shared" si="271"/>
        <v>#N/A</v>
      </c>
      <c r="X352" s="207" t="e">
        <f t="shared" si="272"/>
        <v>#N/A</v>
      </c>
      <c r="Y352" s="207" t="e">
        <f t="shared" si="273"/>
        <v>#N/A</v>
      </c>
      <c r="Z352" s="233" t="e">
        <f t="shared" si="274"/>
        <v>#N/A</v>
      </c>
      <c r="AA352" s="208" t="e">
        <f t="shared" si="284"/>
        <v>#N/A</v>
      </c>
      <c r="AB352" s="233" t="e">
        <f t="shared" si="275"/>
        <v>#N/A</v>
      </c>
      <c r="AC352" s="233" t="e">
        <f t="shared" si="276"/>
        <v>#N/A</v>
      </c>
      <c r="AD352" s="233" t="e">
        <f t="shared" si="277"/>
        <v>#N/A</v>
      </c>
      <c r="AE352" s="233" t="e">
        <f t="shared" si="278"/>
        <v>#N/A</v>
      </c>
      <c r="AF352" s="238" t="e">
        <f t="shared" si="279"/>
        <v>#N/A</v>
      </c>
      <c r="AG352" s="238" t="e">
        <f t="shared" si="280"/>
        <v>#N/A</v>
      </c>
      <c r="AH352" s="238" t="e">
        <f t="shared" si="281"/>
        <v>#N/A</v>
      </c>
      <c r="AI352" s="261" t="e">
        <f t="shared" si="282"/>
        <v>#N/A</v>
      </c>
      <c r="AJ352" s="233" t="e">
        <f t="shared" si="283"/>
        <v>#N/A</v>
      </c>
    </row>
    <row r="353" spans="5:36" s="120" customFormat="1" ht="35.25" customHeight="1" x14ac:dyDescent="0.2">
      <c r="E353" s="218" t="s">
        <v>2306</v>
      </c>
      <c r="F353" s="130"/>
      <c r="G353" s="67" t="e">
        <f t="shared" si="285"/>
        <v>#N/A</v>
      </c>
      <c r="H353" s="396" t="e">
        <f t="shared" si="286"/>
        <v>#N/A</v>
      </c>
      <c r="I353" s="396" t="e">
        <f t="shared" si="287"/>
        <v>#N/A</v>
      </c>
      <c r="J353" s="396" t="e">
        <f t="shared" si="288"/>
        <v>#N/A</v>
      </c>
      <c r="K353" s="398" t="e">
        <f t="shared" si="289"/>
        <v>#N/A</v>
      </c>
      <c r="L353" s="396" t="e">
        <f t="shared" si="290"/>
        <v>#N/A</v>
      </c>
      <c r="M353" s="398" t="e">
        <f t="shared" si="291"/>
        <v>#N/A</v>
      </c>
      <c r="N353" s="396" t="e">
        <f t="shared" si="292"/>
        <v>#N/A</v>
      </c>
      <c r="O353" s="396" t="e">
        <f t="shared" si="293"/>
        <v>#N/A</v>
      </c>
      <c r="P353" s="396" t="e">
        <f t="shared" si="294"/>
        <v>#N/A</v>
      </c>
      <c r="Q353" s="396" t="e">
        <f t="shared" si="295"/>
        <v>#N/A</v>
      </c>
      <c r="R353" s="396" t="e">
        <f t="shared" si="296"/>
        <v>#N/A</v>
      </c>
      <c r="S353" s="396" t="e">
        <f t="shared" si="297"/>
        <v>#N/A</v>
      </c>
      <c r="T353" s="397" t="e">
        <f t="shared" si="298"/>
        <v>#N/A</v>
      </c>
      <c r="U353" s="396" t="e">
        <f t="shared" si="299"/>
        <v>#N/A</v>
      </c>
      <c r="V353" s="396" t="e">
        <f t="shared" si="300"/>
        <v>#N/A</v>
      </c>
      <c r="W353" s="206" t="e">
        <f t="shared" si="271"/>
        <v>#N/A</v>
      </c>
      <c r="X353" s="207" t="e">
        <f t="shared" si="272"/>
        <v>#N/A</v>
      </c>
      <c r="Y353" s="207" t="e">
        <f t="shared" si="273"/>
        <v>#N/A</v>
      </c>
      <c r="Z353" s="233" t="e">
        <f t="shared" si="274"/>
        <v>#N/A</v>
      </c>
      <c r="AA353" s="208" t="e">
        <f t="shared" si="284"/>
        <v>#N/A</v>
      </c>
      <c r="AB353" s="233" t="e">
        <f t="shared" si="275"/>
        <v>#N/A</v>
      </c>
      <c r="AC353" s="233" t="e">
        <f t="shared" si="276"/>
        <v>#N/A</v>
      </c>
      <c r="AD353" s="233" t="e">
        <f t="shared" si="277"/>
        <v>#N/A</v>
      </c>
      <c r="AE353" s="233" t="e">
        <f t="shared" si="278"/>
        <v>#N/A</v>
      </c>
      <c r="AF353" s="238" t="e">
        <f t="shared" si="279"/>
        <v>#N/A</v>
      </c>
      <c r="AG353" s="238" t="e">
        <f t="shared" si="280"/>
        <v>#N/A</v>
      </c>
      <c r="AH353" s="238" t="e">
        <f t="shared" si="281"/>
        <v>#N/A</v>
      </c>
      <c r="AI353" s="261" t="e">
        <f t="shared" si="282"/>
        <v>#N/A</v>
      </c>
      <c r="AJ353" s="233" t="e">
        <f t="shared" si="283"/>
        <v>#N/A</v>
      </c>
    </row>
    <row r="354" spans="5:36" s="120" customFormat="1" ht="35.25" customHeight="1" x14ac:dyDescent="0.2">
      <c r="E354" s="218" t="s">
        <v>2306</v>
      </c>
      <c r="F354" s="130"/>
      <c r="G354" s="67" t="e">
        <f t="shared" si="285"/>
        <v>#N/A</v>
      </c>
      <c r="H354" s="396" t="e">
        <f t="shared" si="286"/>
        <v>#N/A</v>
      </c>
      <c r="I354" s="396" t="e">
        <f t="shared" si="287"/>
        <v>#N/A</v>
      </c>
      <c r="J354" s="396" t="e">
        <f t="shared" si="288"/>
        <v>#N/A</v>
      </c>
      <c r="K354" s="398" t="e">
        <f t="shared" si="289"/>
        <v>#N/A</v>
      </c>
      <c r="L354" s="396" t="e">
        <f t="shared" si="290"/>
        <v>#N/A</v>
      </c>
      <c r="M354" s="398" t="e">
        <f t="shared" si="291"/>
        <v>#N/A</v>
      </c>
      <c r="N354" s="396" t="e">
        <f t="shared" si="292"/>
        <v>#N/A</v>
      </c>
      <c r="O354" s="396" t="e">
        <f t="shared" si="293"/>
        <v>#N/A</v>
      </c>
      <c r="P354" s="396" t="e">
        <f t="shared" si="294"/>
        <v>#N/A</v>
      </c>
      <c r="Q354" s="396" t="e">
        <f t="shared" si="295"/>
        <v>#N/A</v>
      </c>
      <c r="R354" s="396" t="e">
        <f t="shared" si="296"/>
        <v>#N/A</v>
      </c>
      <c r="S354" s="396" t="e">
        <f t="shared" si="297"/>
        <v>#N/A</v>
      </c>
      <c r="T354" s="397" t="e">
        <f t="shared" si="298"/>
        <v>#N/A</v>
      </c>
      <c r="U354" s="396" t="e">
        <f t="shared" si="299"/>
        <v>#N/A</v>
      </c>
      <c r="V354" s="396" t="e">
        <f t="shared" si="300"/>
        <v>#N/A</v>
      </c>
      <c r="W354" s="206" t="e">
        <f t="shared" si="271"/>
        <v>#N/A</v>
      </c>
      <c r="X354" s="207" t="e">
        <f t="shared" si="272"/>
        <v>#N/A</v>
      </c>
      <c r="Y354" s="207" t="e">
        <f t="shared" si="273"/>
        <v>#N/A</v>
      </c>
      <c r="Z354" s="233" t="e">
        <f t="shared" si="274"/>
        <v>#N/A</v>
      </c>
      <c r="AA354" s="208" t="e">
        <f t="shared" si="284"/>
        <v>#N/A</v>
      </c>
      <c r="AB354" s="233" t="e">
        <f t="shared" si="275"/>
        <v>#N/A</v>
      </c>
      <c r="AC354" s="233" t="e">
        <f t="shared" si="276"/>
        <v>#N/A</v>
      </c>
      <c r="AD354" s="233" t="e">
        <f t="shared" si="277"/>
        <v>#N/A</v>
      </c>
      <c r="AE354" s="233" t="e">
        <f t="shared" si="278"/>
        <v>#N/A</v>
      </c>
      <c r="AF354" s="238" t="e">
        <f t="shared" si="279"/>
        <v>#N/A</v>
      </c>
      <c r="AG354" s="238" t="e">
        <f t="shared" si="280"/>
        <v>#N/A</v>
      </c>
      <c r="AH354" s="238" t="e">
        <f t="shared" si="281"/>
        <v>#N/A</v>
      </c>
      <c r="AI354" s="261" t="e">
        <f t="shared" si="282"/>
        <v>#N/A</v>
      </c>
      <c r="AJ354" s="233" t="e">
        <f t="shared" si="283"/>
        <v>#N/A</v>
      </c>
    </row>
    <row r="355" spans="5:36" s="120" customFormat="1" ht="35.25" customHeight="1" x14ac:dyDescent="0.2">
      <c r="E355" s="218" t="s">
        <v>2306</v>
      </c>
      <c r="F355" s="130"/>
      <c r="G355" s="67" t="e">
        <f t="shared" si="285"/>
        <v>#N/A</v>
      </c>
      <c r="H355" s="396" t="e">
        <f t="shared" si="286"/>
        <v>#N/A</v>
      </c>
      <c r="I355" s="396" t="e">
        <f t="shared" si="287"/>
        <v>#N/A</v>
      </c>
      <c r="J355" s="396" t="e">
        <f t="shared" si="288"/>
        <v>#N/A</v>
      </c>
      <c r="K355" s="398" t="e">
        <f t="shared" si="289"/>
        <v>#N/A</v>
      </c>
      <c r="L355" s="396" t="e">
        <f t="shared" si="290"/>
        <v>#N/A</v>
      </c>
      <c r="M355" s="398" t="e">
        <f t="shared" si="291"/>
        <v>#N/A</v>
      </c>
      <c r="N355" s="396" t="e">
        <f t="shared" si="292"/>
        <v>#N/A</v>
      </c>
      <c r="O355" s="396" t="e">
        <f t="shared" si="293"/>
        <v>#N/A</v>
      </c>
      <c r="P355" s="396" t="e">
        <f t="shared" si="294"/>
        <v>#N/A</v>
      </c>
      <c r="Q355" s="396" t="e">
        <f t="shared" si="295"/>
        <v>#N/A</v>
      </c>
      <c r="R355" s="396" t="e">
        <f t="shared" si="296"/>
        <v>#N/A</v>
      </c>
      <c r="S355" s="396" t="e">
        <f t="shared" si="297"/>
        <v>#N/A</v>
      </c>
      <c r="T355" s="397" t="e">
        <f t="shared" si="298"/>
        <v>#N/A</v>
      </c>
      <c r="U355" s="396" t="e">
        <f t="shared" si="299"/>
        <v>#N/A</v>
      </c>
      <c r="V355" s="396" t="e">
        <f t="shared" si="300"/>
        <v>#N/A</v>
      </c>
      <c r="W355" s="206" t="e">
        <f t="shared" si="271"/>
        <v>#N/A</v>
      </c>
      <c r="X355" s="207" t="e">
        <f t="shared" si="272"/>
        <v>#N/A</v>
      </c>
      <c r="Y355" s="207" t="e">
        <f t="shared" si="273"/>
        <v>#N/A</v>
      </c>
      <c r="Z355" s="233" t="e">
        <f t="shared" si="274"/>
        <v>#N/A</v>
      </c>
      <c r="AA355" s="208" t="e">
        <f t="shared" si="284"/>
        <v>#N/A</v>
      </c>
      <c r="AB355" s="233" t="e">
        <f t="shared" si="275"/>
        <v>#N/A</v>
      </c>
      <c r="AC355" s="233" t="e">
        <f t="shared" si="276"/>
        <v>#N/A</v>
      </c>
      <c r="AD355" s="233" t="e">
        <f t="shared" si="277"/>
        <v>#N/A</v>
      </c>
      <c r="AE355" s="233" t="e">
        <f t="shared" si="278"/>
        <v>#N/A</v>
      </c>
      <c r="AF355" s="238" t="e">
        <f t="shared" si="279"/>
        <v>#N/A</v>
      </c>
      <c r="AG355" s="238" t="e">
        <f t="shared" si="280"/>
        <v>#N/A</v>
      </c>
      <c r="AH355" s="238" t="e">
        <f t="shared" si="281"/>
        <v>#N/A</v>
      </c>
      <c r="AI355" s="261" t="e">
        <f t="shared" si="282"/>
        <v>#N/A</v>
      </c>
      <c r="AJ355" s="233" t="e">
        <f t="shared" si="283"/>
        <v>#N/A</v>
      </c>
    </row>
    <row r="356" spans="5:36" s="120" customFormat="1" ht="35.25" customHeight="1" x14ac:dyDescent="0.2">
      <c r="E356" s="218" t="s">
        <v>2306</v>
      </c>
      <c r="F356" s="130"/>
      <c r="G356" s="67" t="e">
        <f t="shared" si="285"/>
        <v>#N/A</v>
      </c>
      <c r="H356" s="396" t="e">
        <f t="shared" si="286"/>
        <v>#N/A</v>
      </c>
      <c r="I356" s="396" t="e">
        <f t="shared" si="287"/>
        <v>#N/A</v>
      </c>
      <c r="J356" s="396" t="e">
        <f t="shared" si="288"/>
        <v>#N/A</v>
      </c>
      <c r="K356" s="398" t="e">
        <f t="shared" si="289"/>
        <v>#N/A</v>
      </c>
      <c r="L356" s="396" t="e">
        <f t="shared" si="290"/>
        <v>#N/A</v>
      </c>
      <c r="M356" s="398" t="e">
        <f t="shared" si="291"/>
        <v>#N/A</v>
      </c>
      <c r="N356" s="396" t="e">
        <f t="shared" si="292"/>
        <v>#N/A</v>
      </c>
      <c r="O356" s="396" t="e">
        <f t="shared" si="293"/>
        <v>#N/A</v>
      </c>
      <c r="P356" s="396" t="e">
        <f t="shared" si="294"/>
        <v>#N/A</v>
      </c>
      <c r="Q356" s="396" t="e">
        <f t="shared" si="295"/>
        <v>#N/A</v>
      </c>
      <c r="R356" s="396" t="e">
        <f t="shared" si="296"/>
        <v>#N/A</v>
      </c>
      <c r="S356" s="396" t="e">
        <f t="shared" si="297"/>
        <v>#N/A</v>
      </c>
      <c r="T356" s="397" t="e">
        <f t="shared" si="298"/>
        <v>#N/A</v>
      </c>
      <c r="U356" s="396" t="e">
        <f t="shared" si="299"/>
        <v>#N/A</v>
      </c>
      <c r="V356" s="396" t="e">
        <f t="shared" si="300"/>
        <v>#N/A</v>
      </c>
      <c r="W356" s="206" t="e">
        <f t="shared" si="271"/>
        <v>#N/A</v>
      </c>
      <c r="X356" s="207" t="e">
        <f t="shared" si="272"/>
        <v>#N/A</v>
      </c>
      <c r="Y356" s="207" t="e">
        <f t="shared" si="273"/>
        <v>#N/A</v>
      </c>
      <c r="Z356" s="233" t="e">
        <f t="shared" si="274"/>
        <v>#N/A</v>
      </c>
      <c r="AA356" s="208" t="e">
        <f t="shared" si="284"/>
        <v>#N/A</v>
      </c>
      <c r="AB356" s="233" t="e">
        <f t="shared" si="275"/>
        <v>#N/A</v>
      </c>
      <c r="AC356" s="233" t="e">
        <f t="shared" si="276"/>
        <v>#N/A</v>
      </c>
      <c r="AD356" s="233" t="e">
        <f t="shared" si="277"/>
        <v>#N/A</v>
      </c>
      <c r="AE356" s="233" t="e">
        <f t="shared" si="278"/>
        <v>#N/A</v>
      </c>
      <c r="AF356" s="238" t="e">
        <f t="shared" si="279"/>
        <v>#N/A</v>
      </c>
      <c r="AG356" s="238" t="e">
        <f t="shared" si="280"/>
        <v>#N/A</v>
      </c>
      <c r="AH356" s="238" t="e">
        <f t="shared" si="281"/>
        <v>#N/A</v>
      </c>
      <c r="AI356" s="261" t="e">
        <f t="shared" si="282"/>
        <v>#N/A</v>
      </c>
      <c r="AJ356" s="233" t="e">
        <f t="shared" si="283"/>
        <v>#N/A</v>
      </c>
    </row>
    <row r="357" spans="5:36" s="120" customFormat="1" ht="35.25" customHeight="1" x14ac:dyDescent="0.2">
      <c r="E357" s="218" t="s">
        <v>2306</v>
      </c>
      <c r="F357" s="130"/>
      <c r="G357" s="67" t="e">
        <f t="shared" si="285"/>
        <v>#N/A</v>
      </c>
      <c r="H357" s="396" t="e">
        <f t="shared" si="286"/>
        <v>#N/A</v>
      </c>
      <c r="I357" s="396" t="e">
        <f t="shared" si="287"/>
        <v>#N/A</v>
      </c>
      <c r="J357" s="396" t="e">
        <f t="shared" si="288"/>
        <v>#N/A</v>
      </c>
      <c r="K357" s="398" t="e">
        <f t="shared" si="289"/>
        <v>#N/A</v>
      </c>
      <c r="L357" s="396" t="e">
        <f t="shared" si="290"/>
        <v>#N/A</v>
      </c>
      <c r="M357" s="398" t="e">
        <f t="shared" si="291"/>
        <v>#N/A</v>
      </c>
      <c r="N357" s="396" t="e">
        <f t="shared" si="292"/>
        <v>#N/A</v>
      </c>
      <c r="O357" s="396" t="e">
        <f t="shared" si="293"/>
        <v>#N/A</v>
      </c>
      <c r="P357" s="396" t="e">
        <f t="shared" si="294"/>
        <v>#N/A</v>
      </c>
      <c r="Q357" s="396" t="e">
        <f t="shared" si="295"/>
        <v>#N/A</v>
      </c>
      <c r="R357" s="396" t="e">
        <f t="shared" si="296"/>
        <v>#N/A</v>
      </c>
      <c r="S357" s="396" t="e">
        <f t="shared" si="297"/>
        <v>#N/A</v>
      </c>
      <c r="T357" s="397" t="e">
        <f t="shared" si="298"/>
        <v>#N/A</v>
      </c>
      <c r="U357" s="396" t="e">
        <f t="shared" si="299"/>
        <v>#N/A</v>
      </c>
      <c r="V357" s="396" t="e">
        <f t="shared" si="300"/>
        <v>#N/A</v>
      </c>
      <c r="W357" s="206" t="e">
        <f t="shared" si="271"/>
        <v>#N/A</v>
      </c>
      <c r="X357" s="207" t="e">
        <f t="shared" si="272"/>
        <v>#N/A</v>
      </c>
      <c r="Y357" s="207" t="e">
        <f t="shared" si="273"/>
        <v>#N/A</v>
      </c>
      <c r="Z357" s="233" t="e">
        <f t="shared" si="274"/>
        <v>#N/A</v>
      </c>
      <c r="AA357" s="208" t="e">
        <f t="shared" si="284"/>
        <v>#N/A</v>
      </c>
      <c r="AB357" s="233" t="e">
        <f t="shared" si="275"/>
        <v>#N/A</v>
      </c>
      <c r="AC357" s="233" t="e">
        <f t="shared" si="276"/>
        <v>#N/A</v>
      </c>
      <c r="AD357" s="233" t="e">
        <f t="shared" si="277"/>
        <v>#N/A</v>
      </c>
      <c r="AE357" s="233" t="e">
        <f t="shared" si="278"/>
        <v>#N/A</v>
      </c>
      <c r="AF357" s="238" t="e">
        <f t="shared" si="279"/>
        <v>#N/A</v>
      </c>
      <c r="AG357" s="238" t="e">
        <f t="shared" si="280"/>
        <v>#N/A</v>
      </c>
      <c r="AH357" s="238" t="e">
        <f t="shared" si="281"/>
        <v>#N/A</v>
      </c>
      <c r="AI357" s="261" t="e">
        <f t="shared" si="282"/>
        <v>#N/A</v>
      </c>
      <c r="AJ357" s="233" t="e">
        <f t="shared" si="283"/>
        <v>#N/A</v>
      </c>
    </row>
    <row r="358" spans="5:36" s="120" customFormat="1" ht="35.25" customHeight="1" x14ac:dyDescent="0.2">
      <c r="E358" s="218" t="s">
        <v>2306</v>
      </c>
      <c r="F358" s="130"/>
      <c r="G358" s="67" t="e">
        <f t="shared" si="285"/>
        <v>#N/A</v>
      </c>
      <c r="H358" s="396" t="e">
        <f t="shared" si="286"/>
        <v>#N/A</v>
      </c>
      <c r="I358" s="396" t="e">
        <f t="shared" si="287"/>
        <v>#N/A</v>
      </c>
      <c r="J358" s="396" t="e">
        <f t="shared" si="288"/>
        <v>#N/A</v>
      </c>
      <c r="K358" s="398" t="e">
        <f t="shared" si="289"/>
        <v>#N/A</v>
      </c>
      <c r="L358" s="396" t="e">
        <f t="shared" si="290"/>
        <v>#N/A</v>
      </c>
      <c r="M358" s="398" t="e">
        <f t="shared" si="291"/>
        <v>#N/A</v>
      </c>
      <c r="N358" s="396" t="e">
        <f t="shared" si="292"/>
        <v>#N/A</v>
      </c>
      <c r="O358" s="396" t="e">
        <f t="shared" si="293"/>
        <v>#N/A</v>
      </c>
      <c r="P358" s="396" t="e">
        <f t="shared" si="294"/>
        <v>#N/A</v>
      </c>
      <c r="Q358" s="396" t="e">
        <f t="shared" si="295"/>
        <v>#N/A</v>
      </c>
      <c r="R358" s="396" t="e">
        <f t="shared" si="296"/>
        <v>#N/A</v>
      </c>
      <c r="S358" s="396" t="e">
        <f t="shared" si="297"/>
        <v>#N/A</v>
      </c>
      <c r="T358" s="397" t="e">
        <f t="shared" si="298"/>
        <v>#N/A</v>
      </c>
      <c r="U358" s="396" t="e">
        <f t="shared" si="299"/>
        <v>#N/A</v>
      </c>
      <c r="V358" s="396" t="e">
        <f t="shared" si="300"/>
        <v>#N/A</v>
      </c>
      <c r="W358" s="206" t="e">
        <f t="shared" si="271"/>
        <v>#N/A</v>
      </c>
      <c r="X358" s="207" t="e">
        <f t="shared" si="272"/>
        <v>#N/A</v>
      </c>
      <c r="Y358" s="207" t="e">
        <f t="shared" si="273"/>
        <v>#N/A</v>
      </c>
      <c r="Z358" s="233" t="e">
        <f t="shared" si="274"/>
        <v>#N/A</v>
      </c>
      <c r="AA358" s="208" t="e">
        <f t="shared" si="284"/>
        <v>#N/A</v>
      </c>
      <c r="AB358" s="233" t="e">
        <f t="shared" si="275"/>
        <v>#N/A</v>
      </c>
      <c r="AC358" s="233" t="e">
        <f t="shared" si="276"/>
        <v>#N/A</v>
      </c>
      <c r="AD358" s="233" t="e">
        <f t="shared" si="277"/>
        <v>#N/A</v>
      </c>
      <c r="AE358" s="233" t="e">
        <f t="shared" si="278"/>
        <v>#N/A</v>
      </c>
      <c r="AF358" s="238" t="e">
        <f t="shared" si="279"/>
        <v>#N/A</v>
      </c>
      <c r="AG358" s="238" t="e">
        <f t="shared" si="280"/>
        <v>#N/A</v>
      </c>
      <c r="AH358" s="238" t="e">
        <f t="shared" si="281"/>
        <v>#N/A</v>
      </c>
      <c r="AI358" s="261" t="e">
        <f t="shared" si="282"/>
        <v>#N/A</v>
      </c>
      <c r="AJ358" s="233" t="e">
        <f t="shared" si="283"/>
        <v>#N/A</v>
      </c>
    </row>
    <row r="359" spans="5:36" s="120" customFormat="1" ht="35.25" customHeight="1" x14ac:dyDescent="0.2">
      <c r="E359" s="218" t="s">
        <v>2306</v>
      </c>
      <c r="F359" s="130"/>
      <c r="G359" s="67" t="e">
        <f t="shared" si="285"/>
        <v>#N/A</v>
      </c>
      <c r="H359" s="396" t="e">
        <f t="shared" si="286"/>
        <v>#N/A</v>
      </c>
      <c r="I359" s="396" t="e">
        <f t="shared" si="287"/>
        <v>#N/A</v>
      </c>
      <c r="J359" s="396" t="e">
        <f t="shared" si="288"/>
        <v>#N/A</v>
      </c>
      <c r="K359" s="398" t="e">
        <f t="shared" si="289"/>
        <v>#N/A</v>
      </c>
      <c r="L359" s="396" t="e">
        <f t="shared" si="290"/>
        <v>#N/A</v>
      </c>
      <c r="M359" s="398" t="e">
        <f t="shared" si="291"/>
        <v>#N/A</v>
      </c>
      <c r="N359" s="396" t="e">
        <f t="shared" si="292"/>
        <v>#N/A</v>
      </c>
      <c r="O359" s="396" t="e">
        <f t="shared" si="293"/>
        <v>#N/A</v>
      </c>
      <c r="P359" s="396" t="e">
        <f t="shared" si="294"/>
        <v>#N/A</v>
      </c>
      <c r="Q359" s="396" t="e">
        <f t="shared" si="295"/>
        <v>#N/A</v>
      </c>
      <c r="R359" s="396" t="e">
        <f t="shared" si="296"/>
        <v>#N/A</v>
      </c>
      <c r="S359" s="396" t="e">
        <f t="shared" si="297"/>
        <v>#N/A</v>
      </c>
      <c r="T359" s="397" t="e">
        <f t="shared" si="298"/>
        <v>#N/A</v>
      </c>
      <c r="U359" s="396" t="e">
        <f t="shared" si="299"/>
        <v>#N/A</v>
      </c>
      <c r="V359" s="396" t="e">
        <f t="shared" si="300"/>
        <v>#N/A</v>
      </c>
      <c r="W359" s="206" t="e">
        <f t="shared" si="271"/>
        <v>#N/A</v>
      </c>
      <c r="X359" s="207" t="e">
        <f t="shared" si="272"/>
        <v>#N/A</v>
      </c>
      <c r="Y359" s="207" t="e">
        <f t="shared" si="273"/>
        <v>#N/A</v>
      </c>
      <c r="Z359" s="233" t="e">
        <f t="shared" si="274"/>
        <v>#N/A</v>
      </c>
      <c r="AA359" s="208" t="e">
        <f t="shared" si="284"/>
        <v>#N/A</v>
      </c>
      <c r="AB359" s="233" t="e">
        <f t="shared" si="275"/>
        <v>#N/A</v>
      </c>
      <c r="AC359" s="233" t="e">
        <f t="shared" si="276"/>
        <v>#N/A</v>
      </c>
      <c r="AD359" s="233" t="e">
        <f t="shared" si="277"/>
        <v>#N/A</v>
      </c>
      <c r="AE359" s="233" t="e">
        <f t="shared" si="278"/>
        <v>#N/A</v>
      </c>
      <c r="AF359" s="238" t="e">
        <f t="shared" si="279"/>
        <v>#N/A</v>
      </c>
      <c r="AG359" s="238" t="e">
        <f t="shared" si="280"/>
        <v>#N/A</v>
      </c>
      <c r="AH359" s="238" t="e">
        <f t="shared" si="281"/>
        <v>#N/A</v>
      </c>
      <c r="AI359" s="261" t="e">
        <f t="shared" si="282"/>
        <v>#N/A</v>
      </c>
      <c r="AJ359" s="233" t="e">
        <f t="shared" si="283"/>
        <v>#N/A</v>
      </c>
    </row>
    <row r="360" spans="5:36" s="120" customFormat="1" ht="35.25" customHeight="1" x14ac:dyDescent="0.2">
      <c r="E360" s="218" t="s">
        <v>2306</v>
      </c>
      <c r="F360" s="130"/>
      <c r="G360" s="67" t="e">
        <f t="shared" si="285"/>
        <v>#N/A</v>
      </c>
      <c r="H360" s="396" t="e">
        <f t="shared" si="286"/>
        <v>#N/A</v>
      </c>
      <c r="I360" s="396" t="e">
        <f t="shared" si="287"/>
        <v>#N/A</v>
      </c>
      <c r="J360" s="396" t="e">
        <f t="shared" si="288"/>
        <v>#N/A</v>
      </c>
      <c r="K360" s="398" t="e">
        <f t="shared" si="289"/>
        <v>#N/A</v>
      </c>
      <c r="L360" s="396" t="e">
        <f t="shared" si="290"/>
        <v>#N/A</v>
      </c>
      <c r="M360" s="398" t="e">
        <f t="shared" si="291"/>
        <v>#N/A</v>
      </c>
      <c r="N360" s="396" t="e">
        <f t="shared" si="292"/>
        <v>#N/A</v>
      </c>
      <c r="O360" s="396" t="e">
        <f t="shared" si="293"/>
        <v>#N/A</v>
      </c>
      <c r="P360" s="396" t="e">
        <f t="shared" si="294"/>
        <v>#N/A</v>
      </c>
      <c r="Q360" s="396" t="e">
        <f t="shared" si="295"/>
        <v>#N/A</v>
      </c>
      <c r="R360" s="396" t="e">
        <f t="shared" si="296"/>
        <v>#N/A</v>
      </c>
      <c r="S360" s="396" t="e">
        <f t="shared" si="297"/>
        <v>#N/A</v>
      </c>
      <c r="T360" s="397" t="e">
        <f t="shared" si="298"/>
        <v>#N/A</v>
      </c>
      <c r="U360" s="396" t="e">
        <f t="shared" si="299"/>
        <v>#N/A</v>
      </c>
      <c r="V360" s="396" t="e">
        <f t="shared" si="300"/>
        <v>#N/A</v>
      </c>
      <c r="W360" s="206" t="e">
        <f t="shared" si="271"/>
        <v>#N/A</v>
      </c>
      <c r="X360" s="207" t="e">
        <f t="shared" si="272"/>
        <v>#N/A</v>
      </c>
      <c r="Y360" s="207" t="e">
        <f t="shared" si="273"/>
        <v>#N/A</v>
      </c>
      <c r="Z360" s="233" t="e">
        <f t="shared" si="274"/>
        <v>#N/A</v>
      </c>
      <c r="AA360" s="208" t="e">
        <f t="shared" si="284"/>
        <v>#N/A</v>
      </c>
      <c r="AB360" s="233" t="e">
        <f t="shared" si="275"/>
        <v>#N/A</v>
      </c>
      <c r="AC360" s="233" t="e">
        <f t="shared" si="276"/>
        <v>#N/A</v>
      </c>
      <c r="AD360" s="233" t="e">
        <f t="shared" si="277"/>
        <v>#N/A</v>
      </c>
      <c r="AE360" s="233" t="e">
        <f t="shared" si="278"/>
        <v>#N/A</v>
      </c>
      <c r="AF360" s="238" t="e">
        <f t="shared" si="279"/>
        <v>#N/A</v>
      </c>
      <c r="AG360" s="238" t="e">
        <f t="shared" si="280"/>
        <v>#N/A</v>
      </c>
      <c r="AH360" s="238" t="e">
        <f t="shared" si="281"/>
        <v>#N/A</v>
      </c>
      <c r="AI360" s="261" t="e">
        <f t="shared" si="282"/>
        <v>#N/A</v>
      </c>
      <c r="AJ360" s="233" t="e">
        <f t="shared" si="283"/>
        <v>#N/A</v>
      </c>
    </row>
    <row r="361" spans="5:36" s="120" customFormat="1" ht="35.25" customHeight="1" x14ac:dyDescent="0.2">
      <c r="E361" s="218" t="s">
        <v>2306</v>
      </c>
      <c r="F361" s="130"/>
      <c r="G361" s="67" t="e">
        <f t="shared" si="285"/>
        <v>#N/A</v>
      </c>
      <c r="H361" s="396" t="e">
        <f t="shared" si="286"/>
        <v>#N/A</v>
      </c>
      <c r="I361" s="396" t="e">
        <f t="shared" si="287"/>
        <v>#N/A</v>
      </c>
      <c r="J361" s="396" t="e">
        <f t="shared" si="288"/>
        <v>#N/A</v>
      </c>
      <c r="K361" s="398" t="e">
        <f t="shared" si="289"/>
        <v>#N/A</v>
      </c>
      <c r="L361" s="396" t="e">
        <f t="shared" si="290"/>
        <v>#N/A</v>
      </c>
      <c r="M361" s="398" t="e">
        <f t="shared" si="291"/>
        <v>#N/A</v>
      </c>
      <c r="N361" s="396" t="e">
        <f t="shared" si="292"/>
        <v>#N/A</v>
      </c>
      <c r="O361" s="396" t="e">
        <f t="shared" si="293"/>
        <v>#N/A</v>
      </c>
      <c r="P361" s="396" t="e">
        <f t="shared" si="294"/>
        <v>#N/A</v>
      </c>
      <c r="Q361" s="396" t="e">
        <f t="shared" si="295"/>
        <v>#N/A</v>
      </c>
      <c r="R361" s="396" t="e">
        <f t="shared" si="296"/>
        <v>#N/A</v>
      </c>
      <c r="S361" s="396" t="e">
        <f t="shared" si="297"/>
        <v>#N/A</v>
      </c>
      <c r="T361" s="397" t="e">
        <f t="shared" si="298"/>
        <v>#N/A</v>
      </c>
      <c r="U361" s="396" t="e">
        <f t="shared" si="299"/>
        <v>#N/A</v>
      </c>
      <c r="V361" s="396" t="e">
        <f t="shared" si="300"/>
        <v>#N/A</v>
      </c>
      <c r="W361" s="206" t="e">
        <f t="shared" si="271"/>
        <v>#N/A</v>
      </c>
      <c r="X361" s="207" t="e">
        <f t="shared" si="272"/>
        <v>#N/A</v>
      </c>
      <c r="Y361" s="207" t="e">
        <f t="shared" si="273"/>
        <v>#N/A</v>
      </c>
      <c r="Z361" s="233" t="e">
        <f t="shared" si="274"/>
        <v>#N/A</v>
      </c>
      <c r="AA361" s="208" t="e">
        <f t="shared" si="284"/>
        <v>#N/A</v>
      </c>
      <c r="AB361" s="233" t="e">
        <f t="shared" si="275"/>
        <v>#N/A</v>
      </c>
      <c r="AC361" s="233" t="e">
        <f t="shared" si="276"/>
        <v>#N/A</v>
      </c>
      <c r="AD361" s="233" t="e">
        <f t="shared" si="277"/>
        <v>#N/A</v>
      </c>
      <c r="AE361" s="233" t="e">
        <f t="shared" si="278"/>
        <v>#N/A</v>
      </c>
      <c r="AF361" s="238" t="e">
        <f t="shared" si="279"/>
        <v>#N/A</v>
      </c>
      <c r="AG361" s="238" t="e">
        <f t="shared" si="280"/>
        <v>#N/A</v>
      </c>
      <c r="AH361" s="238" t="e">
        <f t="shared" si="281"/>
        <v>#N/A</v>
      </c>
      <c r="AI361" s="261" t="e">
        <f t="shared" si="282"/>
        <v>#N/A</v>
      </c>
      <c r="AJ361" s="233" t="e">
        <f t="shared" si="283"/>
        <v>#N/A</v>
      </c>
    </row>
    <row r="362" spans="5:36" s="120" customFormat="1" ht="35.25" customHeight="1" x14ac:dyDescent="0.2">
      <c r="E362" s="218" t="s">
        <v>2306</v>
      </c>
      <c r="F362" s="130"/>
      <c r="G362" s="67" t="e">
        <f t="shared" si="285"/>
        <v>#N/A</v>
      </c>
      <c r="H362" s="396" t="e">
        <f t="shared" si="286"/>
        <v>#N/A</v>
      </c>
      <c r="I362" s="396" t="e">
        <f t="shared" si="287"/>
        <v>#N/A</v>
      </c>
      <c r="J362" s="396" t="e">
        <f t="shared" si="288"/>
        <v>#N/A</v>
      </c>
      <c r="K362" s="398" t="e">
        <f t="shared" si="289"/>
        <v>#N/A</v>
      </c>
      <c r="L362" s="396" t="e">
        <f t="shared" si="290"/>
        <v>#N/A</v>
      </c>
      <c r="M362" s="398" t="e">
        <f t="shared" si="291"/>
        <v>#N/A</v>
      </c>
      <c r="N362" s="396" t="e">
        <f t="shared" si="292"/>
        <v>#N/A</v>
      </c>
      <c r="O362" s="396" t="e">
        <f t="shared" si="293"/>
        <v>#N/A</v>
      </c>
      <c r="P362" s="396" t="e">
        <f t="shared" si="294"/>
        <v>#N/A</v>
      </c>
      <c r="Q362" s="396" t="e">
        <f t="shared" si="295"/>
        <v>#N/A</v>
      </c>
      <c r="R362" s="396" t="e">
        <f t="shared" si="296"/>
        <v>#N/A</v>
      </c>
      <c r="S362" s="396" t="e">
        <f t="shared" si="297"/>
        <v>#N/A</v>
      </c>
      <c r="T362" s="397" t="e">
        <f t="shared" si="298"/>
        <v>#N/A</v>
      </c>
      <c r="U362" s="396" t="e">
        <f t="shared" si="299"/>
        <v>#N/A</v>
      </c>
      <c r="V362" s="396" t="e">
        <f t="shared" si="300"/>
        <v>#N/A</v>
      </c>
      <c r="W362" s="206" t="e">
        <f t="shared" si="271"/>
        <v>#N/A</v>
      </c>
      <c r="X362" s="207" t="e">
        <f t="shared" si="272"/>
        <v>#N/A</v>
      </c>
      <c r="Y362" s="207" t="e">
        <f t="shared" si="273"/>
        <v>#N/A</v>
      </c>
      <c r="Z362" s="233" t="e">
        <f t="shared" si="274"/>
        <v>#N/A</v>
      </c>
      <c r="AA362" s="208" t="e">
        <f t="shared" si="284"/>
        <v>#N/A</v>
      </c>
      <c r="AB362" s="233" t="e">
        <f t="shared" si="275"/>
        <v>#N/A</v>
      </c>
      <c r="AC362" s="233" t="e">
        <f t="shared" si="276"/>
        <v>#N/A</v>
      </c>
      <c r="AD362" s="233" t="e">
        <f t="shared" si="277"/>
        <v>#N/A</v>
      </c>
      <c r="AE362" s="233" t="e">
        <f t="shared" si="278"/>
        <v>#N/A</v>
      </c>
      <c r="AF362" s="238" t="e">
        <f t="shared" si="279"/>
        <v>#N/A</v>
      </c>
      <c r="AG362" s="238" t="e">
        <f t="shared" si="280"/>
        <v>#N/A</v>
      </c>
      <c r="AH362" s="238" t="e">
        <f t="shared" si="281"/>
        <v>#N/A</v>
      </c>
      <c r="AI362" s="261" t="e">
        <f t="shared" si="282"/>
        <v>#N/A</v>
      </c>
      <c r="AJ362" s="233" t="e">
        <f t="shared" si="283"/>
        <v>#N/A</v>
      </c>
    </row>
    <row r="363" spans="5:36" s="120" customFormat="1" ht="35.25" customHeight="1" x14ac:dyDescent="0.2">
      <c r="E363" s="218" t="s">
        <v>2306</v>
      </c>
      <c r="F363" s="130"/>
      <c r="G363" s="67" t="e">
        <f t="shared" si="285"/>
        <v>#N/A</v>
      </c>
      <c r="H363" s="396" t="e">
        <f t="shared" si="286"/>
        <v>#N/A</v>
      </c>
      <c r="I363" s="396" t="e">
        <f t="shared" si="287"/>
        <v>#N/A</v>
      </c>
      <c r="J363" s="396" t="e">
        <f t="shared" si="288"/>
        <v>#N/A</v>
      </c>
      <c r="K363" s="398" t="e">
        <f t="shared" si="289"/>
        <v>#N/A</v>
      </c>
      <c r="L363" s="396" t="e">
        <f t="shared" si="290"/>
        <v>#N/A</v>
      </c>
      <c r="M363" s="398" t="e">
        <f t="shared" si="291"/>
        <v>#N/A</v>
      </c>
      <c r="N363" s="396" t="e">
        <f t="shared" si="292"/>
        <v>#N/A</v>
      </c>
      <c r="O363" s="396" t="e">
        <f t="shared" si="293"/>
        <v>#N/A</v>
      </c>
      <c r="P363" s="396" t="e">
        <f t="shared" si="294"/>
        <v>#N/A</v>
      </c>
      <c r="Q363" s="396" t="e">
        <f t="shared" si="295"/>
        <v>#N/A</v>
      </c>
      <c r="R363" s="396" t="e">
        <f t="shared" si="296"/>
        <v>#N/A</v>
      </c>
      <c r="S363" s="396" t="e">
        <f t="shared" si="297"/>
        <v>#N/A</v>
      </c>
      <c r="T363" s="397" t="e">
        <f t="shared" si="298"/>
        <v>#N/A</v>
      </c>
      <c r="U363" s="396" t="e">
        <f t="shared" si="299"/>
        <v>#N/A</v>
      </c>
      <c r="V363" s="396" t="e">
        <f t="shared" si="300"/>
        <v>#N/A</v>
      </c>
      <c r="W363" s="206" t="e">
        <f t="shared" si="271"/>
        <v>#N/A</v>
      </c>
      <c r="X363" s="207" t="e">
        <f t="shared" si="272"/>
        <v>#N/A</v>
      </c>
      <c r="Y363" s="207" t="e">
        <f t="shared" si="273"/>
        <v>#N/A</v>
      </c>
      <c r="Z363" s="233" t="e">
        <f t="shared" si="274"/>
        <v>#N/A</v>
      </c>
      <c r="AA363" s="208" t="e">
        <f t="shared" si="284"/>
        <v>#N/A</v>
      </c>
      <c r="AB363" s="233" t="e">
        <f t="shared" si="275"/>
        <v>#N/A</v>
      </c>
      <c r="AC363" s="233" t="e">
        <f t="shared" si="276"/>
        <v>#N/A</v>
      </c>
      <c r="AD363" s="233" t="e">
        <f t="shared" si="277"/>
        <v>#N/A</v>
      </c>
      <c r="AE363" s="233" t="e">
        <f t="shared" si="278"/>
        <v>#N/A</v>
      </c>
      <c r="AF363" s="238" t="e">
        <f t="shared" si="279"/>
        <v>#N/A</v>
      </c>
      <c r="AG363" s="238" t="e">
        <f t="shared" si="280"/>
        <v>#N/A</v>
      </c>
      <c r="AH363" s="238" t="e">
        <f t="shared" si="281"/>
        <v>#N/A</v>
      </c>
      <c r="AI363" s="261" t="e">
        <f t="shared" si="282"/>
        <v>#N/A</v>
      </c>
      <c r="AJ363" s="233" t="e">
        <f t="shared" si="283"/>
        <v>#N/A</v>
      </c>
    </row>
    <row r="364" spans="5:36" s="120" customFormat="1" ht="35.25" customHeight="1" x14ac:dyDescent="0.2">
      <c r="E364" s="218" t="s">
        <v>2306</v>
      </c>
      <c r="F364" s="130"/>
      <c r="G364" s="67" t="e">
        <f t="shared" si="285"/>
        <v>#N/A</v>
      </c>
      <c r="H364" s="396" t="e">
        <f t="shared" si="286"/>
        <v>#N/A</v>
      </c>
      <c r="I364" s="396" t="e">
        <f t="shared" si="287"/>
        <v>#N/A</v>
      </c>
      <c r="J364" s="396" t="e">
        <f t="shared" si="288"/>
        <v>#N/A</v>
      </c>
      <c r="K364" s="398" t="e">
        <f t="shared" si="289"/>
        <v>#N/A</v>
      </c>
      <c r="L364" s="396" t="e">
        <f t="shared" si="290"/>
        <v>#N/A</v>
      </c>
      <c r="M364" s="398" t="e">
        <f t="shared" si="291"/>
        <v>#N/A</v>
      </c>
      <c r="N364" s="396" t="e">
        <f t="shared" si="292"/>
        <v>#N/A</v>
      </c>
      <c r="O364" s="396" t="e">
        <f t="shared" si="293"/>
        <v>#N/A</v>
      </c>
      <c r="P364" s="396" t="e">
        <f t="shared" si="294"/>
        <v>#N/A</v>
      </c>
      <c r="Q364" s="396" t="e">
        <f t="shared" si="295"/>
        <v>#N/A</v>
      </c>
      <c r="R364" s="396" t="e">
        <f t="shared" si="296"/>
        <v>#N/A</v>
      </c>
      <c r="S364" s="396" t="e">
        <f t="shared" si="297"/>
        <v>#N/A</v>
      </c>
      <c r="T364" s="397" t="e">
        <f t="shared" si="298"/>
        <v>#N/A</v>
      </c>
      <c r="U364" s="396" t="e">
        <f t="shared" si="299"/>
        <v>#N/A</v>
      </c>
      <c r="V364" s="396" t="e">
        <f t="shared" si="300"/>
        <v>#N/A</v>
      </c>
      <c r="W364" s="206" t="e">
        <f t="shared" si="271"/>
        <v>#N/A</v>
      </c>
      <c r="X364" s="207" t="e">
        <f t="shared" si="272"/>
        <v>#N/A</v>
      </c>
      <c r="Y364" s="207" t="e">
        <f t="shared" si="273"/>
        <v>#N/A</v>
      </c>
      <c r="Z364" s="233" t="e">
        <f t="shared" si="274"/>
        <v>#N/A</v>
      </c>
      <c r="AA364" s="208" t="e">
        <f t="shared" si="284"/>
        <v>#N/A</v>
      </c>
      <c r="AB364" s="233" t="e">
        <f t="shared" si="275"/>
        <v>#N/A</v>
      </c>
      <c r="AC364" s="233" t="e">
        <f t="shared" si="276"/>
        <v>#N/A</v>
      </c>
      <c r="AD364" s="233" t="e">
        <f t="shared" si="277"/>
        <v>#N/A</v>
      </c>
      <c r="AE364" s="233" t="e">
        <f t="shared" si="278"/>
        <v>#N/A</v>
      </c>
      <c r="AF364" s="238" t="e">
        <f t="shared" si="279"/>
        <v>#N/A</v>
      </c>
      <c r="AG364" s="238" t="e">
        <f t="shared" si="280"/>
        <v>#N/A</v>
      </c>
      <c r="AH364" s="238" t="e">
        <f t="shared" si="281"/>
        <v>#N/A</v>
      </c>
      <c r="AI364" s="261" t="e">
        <f t="shared" si="282"/>
        <v>#N/A</v>
      </c>
      <c r="AJ364" s="233" t="e">
        <f t="shared" si="283"/>
        <v>#N/A</v>
      </c>
    </row>
    <row r="365" spans="5:36" s="120" customFormat="1" ht="35.25" customHeight="1" x14ac:dyDescent="0.2">
      <c r="E365" s="218" t="s">
        <v>2306</v>
      </c>
      <c r="F365" s="130"/>
      <c r="G365" s="67" t="e">
        <f t="shared" si="285"/>
        <v>#N/A</v>
      </c>
      <c r="H365" s="396" t="e">
        <f t="shared" si="286"/>
        <v>#N/A</v>
      </c>
      <c r="I365" s="396" t="e">
        <f t="shared" si="287"/>
        <v>#N/A</v>
      </c>
      <c r="J365" s="396" t="e">
        <f t="shared" si="288"/>
        <v>#N/A</v>
      </c>
      <c r="K365" s="398" t="e">
        <f t="shared" si="289"/>
        <v>#N/A</v>
      </c>
      <c r="L365" s="396" t="e">
        <f t="shared" si="290"/>
        <v>#N/A</v>
      </c>
      <c r="M365" s="398" t="e">
        <f t="shared" si="291"/>
        <v>#N/A</v>
      </c>
      <c r="N365" s="396" t="e">
        <f t="shared" si="292"/>
        <v>#N/A</v>
      </c>
      <c r="O365" s="396" t="e">
        <f t="shared" si="293"/>
        <v>#N/A</v>
      </c>
      <c r="P365" s="396" t="e">
        <f t="shared" si="294"/>
        <v>#N/A</v>
      </c>
      <c r="Q365" s="396" t="e">
        <f t="shared" si="295"/>
        <v>#N/A</v>
      </c>
      <c r="R365" s="396" t="e">
        <f t="shared" si="296"/>
        <v>#N/A</v>
      </c>
      <c r="S365" s="396" t="e">
        <f t="shared" si="297"/>
        <v>#N/A</v>
      </c>
      <c r="T365" s="397" t="e">
        <f t="shared" si="298"/>
        <v>#N/A</v>
      </c>
      <c r="U365" s="396" t="e">
        <f t="shared" si="299"/>
        <v>#N/A</v>
      </c>
      <c r="V365" s="396" t="e">
        <f t="shared" si="300"/>
        <v>#N/A</v>
      </c>
      <c r="W365" s="206" t="e">
        <f t="shared" si="271"/>
        <v>#N/A</v>
      </c>
      <c r="X365" s="207" t="e">
        <f t="shared" si="272"/>
        <v>#N/A</v>
      </c>
      <c r="Y365" s="207" t="e">
        <f t="shared" si="273"/>
        <v>#N/A</v>
      </c>
      <c r="Z365" s="233" t="e">
        <f t="shared" si="274"/>
        <v>#N/A</v>
      </c>
      <c r="AA365" s="208" t="e">
        <f t="shared" si="284"/>
        <v>#N/A</v>
      </c>
      <c r="AB365" s="233" t="e">
        <f t="shared" si="275"/>
        <v>#N/A</v>
      </c>
      <c r="AC365" s="233" t="e">
        <f t="shared" si="276"/>
        <v>#N/A</v>
      </c>
      <c r="AD365" s="233" t="e">
        <f t="shared" si="277"/>
        <v>#N/A</v>
      </c>
      <c r="AE365" s="233" t="e">
        <f t="shared" si="278"/>
        <v>#N/A</v>
      </c>
      <c r="AF365" s="238" t="e">
        <f t="shared" si="279"/>
        <v>#N/A</v>
      </c>
      <c r="AG365" s="238" t="e">
        <f t="shared" si="280"/>
        <v>#N/A</v>
      </c>
      <c r="AH365" s="238" t="e">
        <f t="shared" si="281"/>
        <v>#N/A</v>
      </c>
      <c r="AI365" s="261" t="e">
        <f t="shared" si="282"/>
        <v>#N/A</v>
      </c>
      <c r="AJ365" s="233" t="e">
        <f t="shared" si="283"/>
        <v>#N/A</v>
      </c>
    </row>
    <row r="366" spans="5:36" s="120" customFormat="1" ht="35.25" customHeight="1" x14ac:dyDescent="0.2">
      <c r="E366" s="218" t="s">
        <v>2306</v>
      </c>
      <c r="F366" s="130"/>
      <c r="G366" s="67" t="e">
        <f t="shared" si="285"/>
        <v>#N/A</v>
      </c>
      <c r="H366" s="396" t="e">
        <f t="shared" si="286"/>
        <v>#N/A</v>
      </c>
      <c r="I366" s="396" t="e">
        <f t="shared" si="287"/>
        <v>#N/A</v>
      </c>
      <c r="J366" s="396" t="e">
        <f t="shared" si="288"/>
        <v>#N/A</v>
      </c>
      <c r="K366" s="398" t="e">
        <f t="shared" si="289"/>
        <v>#N/A</v>
      </c>
      <c r="L366" s="396" t="e">
        <f t="shared" si="290"/>
        <v>#N/A</v>
      </c>
      <c r="M366" s="398" t="e">
        <f t="shared" si="291"/>
        <v>#N/A</v>
      </c>
      <c r="N366" s="396" t="e">
        <f t="shared" si="292"/>
        <v>#N/A</v>
      </c>
      <c r="O366" s="396" t="e">
        <f t="shared" si="293"/>
        <v>#N/A</v>
      </c>
      <c r="P366" s="396" t="e">
        <f t="shared" si="294"/>
        <v>#N/A</v>
      </c>
      <c r="Q366" s="396" t="e">
        <f t="shared" si="295"/>
        <v>#N/A</v>
      </c>
      <c r="R366" s="396" t="e">
        <f t="shared" si="296"/>
        <v>#N/A</v>
      </c>
      <c r="S366" s="396" t="e">
        <f t="shared" si="297"/>
        <v>#N/A</v>
      </c>
      <c r="T366" s="397" t="e">
        <f t="shared" si="298"/>
        <v>#N/A</v>
      </c>
      <c r="U366" s="396" t="e">
        <f t="shared" si="299"/>
        <v>#N/A</v>
      </c>
      <c r="V366" s="396" t="e">
        <f t="shared" si="300"/>
        <v>#N/A</v>
      </c>
      <c r="W366" s="206" t="e">
        <f t="shared" si="271"/>
        <v>#N/A</v>
      </c>
      <c r="X366" s="207" t="e">
        <f t="shared" si="272"/>
        <v>#N/A</v>
      </c>
      <c r="Y366" s="207" t="e">
        <f t="shared" si="273"/>
        <v>#N/A</v>
      </c>
      <c r="Z366" s="233" t="e">
        <f t="shared" si="274"/>
        <v>#N/A</v>
      </c>
      <c r="AA366" s="208" t="e">
        <f t="shared" si="284"/>
        <v>#N/A</v>
      </c>
      <c r="AB366" s="233" t="e">
        <f t="shared" si="275"/>
        <v>#N/A</v>
      </c>
      <c r="AC366" s="233" t="e">
        <f t="shared" si="276"/>
        <v>#N/A</v>
      </c>
      <c r="AD366" s="233" t="e">
        <f t="shared" si="277"/>
        <v>#N/A</v>
      </c>
      <c r="AE366" s="233" t="e">
        <f t="shared" si="278"/>
        <v>#N/A</v>
      </c>
      <c r="AF366" s="238" t="e">
        <f t="shared" si="279"/>
        <v>#N/A</v>
      </c>
      <c r="AG366" s="238" t="e">
        <f t="shared" si="280"/>
        <v>#N/A</v>
      </c>
      <c r="AH366" s="238" t="e">
        <f t="shared" si="281"/>
        <v>#N/A</v>
      </c>
      <c r="AI366" s="261" t="e">
        <f t="shared" si="282"/>
        <v>#N/A</v>
      </c>
      <c r="AJ366" s="233" t="e">
        <f t="shared" si="283"/>
        <v>#N/A</v>
      </c>
    </row>
    <row r="367" spans="5:36" s="120" customFormat="1" ht="35.25" customHeight="1" x14ac:dyDescent="0.2">
      <c r="E367" s="218" t="s">
        <v>2306</v>
      </c>
      <c r="F367" s="130"/>
      <c r="G367" s="67" t="e">
        <f t="shared" si="285"/>
        <v>#N/A</v>
      </c>
      <c r="H367" s="396" t="e">
        <f t="shared" si="286"/>
        <v>#N/A</v>
      </c>
      <c r="I367" s="396" t="e">
        <f t="shared" si="287"/>
        <v>#N/A</v>
      </c>
      <c r="J367" s="396" t="e">
        <f t="shared" si="288"/>
        <v>#N/A</v>
      </c>
      <c r="K367" s="398" t="e">
        <f t="shared" si="289"/>
        <v>#N/A</v>
      </c>
      <c r="L367" s="396" t="e">
        <f t="shared" si="290"/>
        <v>#N/A</v>
      </c>
      <c r="M367" s="398" t="e">
        <f t="shared" si="291"/>
        <v>#N/A</v>
      </c>
      <c r="N367" s="396" t="e">
        <f t="shared" si="292"/>
        <v>#N/A</v>
      </c>
      <c r="O367" s="396" t="e">
        <f t="shared" si="293"/>
        <v>#N/A</v>
      </c>
      <c r="P367" s="396" t="e">
        <f t="shared" si="294"/>
        <v>#N/A</v>
      </c>
      <c r="Q367" s="396" t="e">
        <f t="shared" si="295"/>
        <v>#N/A</v>
      </c>
      <c r="R367" s="396" t="e">
        <f t="shared" si="296"/>
        <v>#N/A</v>
      </c>
      <c r="S367" s="396" t="e">
        <f t="shared" si="297"/>
        <v>#N/A</v>
      </c>
      <c r="T367" s="397" t="e">
        <f t="shared" si="298"/>
        <v>#N/A</v>
      </c>
      <c r="U367" s="396" t="e">
        <f t="shared" si="299"/>
        <v>#N/A</v>
      </c>
      <c r="V367" s="396" t="e">
        <f t="shared" si="300"/>
        <v>#N/A</v>
      </c>
      <c r="W367" s="206" t="e">
        <f t="shared" si="271"/>
        <v>#N/A</v>
      </c>
      <c r="X367" s="207" t="e">
        <f t="shared" si="272"/>
        <v>#N/A</v>
      </c>
      <c r="Y367" s="207" t="e">
        <f t="shared" si="273"/>
        <v>#N/A</v>
      </c>
      <c r="Z367" s="233" t="e">
        <f t="shared" si="274"/>
        <v>#N/A</v>
      </c>
      <c r="AA367" s="208" t="e">
        <f t="shared" si="284"/>
        <v>#N/A</v>
      </c>
      <c r="AB367" s="233" t="e">
        <f t="shared" si="275"/>
        <v>#N/A</v>
      </c>
      <c r="AC367" s="233" t="e">
        <f t="shared" si="276"/>
        <v>#N/A</v>
      </c>
      <c r="AD367" s="233" t="e">
        <f t="shared" si="277"/>
        <v>#N/A</v>
      </c>
      <c r="AE367" s="233" t="e">
        <f t="shared" si="278"/>
        <v>#N/A</v>
      </c>
      <c r="AF367" s="238" t="e">
        <f t="shared" si="279"/>
        <v>#N/A</v>
      </c>
      <c r="AG367" s="238" t="e">
        <f t="shared" si="280"/>
        <v>#N/A</v>
      </c>
      <c r="AH367" s="238" t="e">
        <f t="shared" si="281"/>
        <v>#N/A</v>
      </c>
      <c r="AI367" s="261" t="e">
        <f t="shared" si="282"/>
        <v>#N/A</v>
      </c>
      <c r="AJ367" s="233" t="e">
        <f t="shared" si="283"/>
        <v>#N/A</v>
      </c>
    </row>
    <row r="368" spans="5:36" s="120" customFormat="1" ht="35.25" customHeight="1" x14ac:dyDescent="0.2">
      <c r="E368" s="218" t="s">
        <v>2306</v>
      </c>
      <c r="F368" s="130"/>
      <c r="G368" s="67" t="e">
        <f t="shared" si="285"/>
        <v>#N/A</v>
      </c>
      <c r="H368" s="396" t="e">
        <f t="shared" si="286"/>
        <v>#N/A</v>
      </c>
      <c r="I368" s="396" t="e">
        <f t="shared" si="287"/>
        <v>#N/A</v>
      </c>
      <c r="J368" s="396" t="e">
        <f t="shared" si="288"/>
        <v>#N/A</v>
      </c>
      <c r="K368" s="398" t="e">
        <f t="shared" si="289"/>
        <v>#N/A</v>
      </c>
      <c r="L368" s="396" t="e">
        <f t="shared" si="290"/>
        <v>#N/A</v>
      </c>
      <c r="M368" s="398" t="e">
        <f t="shared" si="291"/>
        <v>#N/A</v>
      </c>
      <c r="N368" s="396" t="e">
        <f t="shared" si="292"/>
        <v>#N/A</v>
      </c>
      <c r="O368" s="396" t="e">
        <f t="shared" si="293"/>
        <v>#N/A</v>
      </c>
      <c r="P368" s="396" t="e">
        <f t="shared" si="294"/>
        <v>#N/A</v>
      </c>
      <c r="Q368" s="396" t="e">
        <f t="shared" si="295"/>
        <v>#N/A</v>
      </c>
      <c r="R368" s="396" t="e">
        <f t="shared" si="296"/>
        <v>#N/A</v>
      </c>
      <c r="S368" s="396" t="e">
        <f t="shared" si="297"/>
        <v>#N/A</v>
      </c>
      <c r="T368" s="397" t="e">
        <f t="shared" si="298"/>
        <v>#N/A</v>
      </c>
      <c r="U368" s="396" t="e">
        <f t="shared" si="299"/>
        <v>#N/A</v>
      </c>
      <c r="V368" s="396" t="e">
        <f t="shared" si="300"/>
        <v>#N/A</v>
      </c>
      <c r="W368" s="206" t="e">
        <f t="shared" si="271"/>
        <v>#N/A</v>
      </c>
      <c r="X368" s="207" t="e">
        <f t="shared" si="272"/>
        <v>#N/A</v>
      </c>
      <c r="Y368" s="207" t="e">
        <f t="shared" si="273"/>
        <v>#N/A</v>
      </c>
      <c r="Z368" s="233" t="e">
        <f t="shared" si="274"/>
        <v>#N/A</v>
      </c>
      <c r="AA368" s="208" t="e">
        <f t="shared" si="284"/>
        <v>#N/A</v>
      </c>
      <c r="AB368" s="233" t="e">
        <f t="shared" si="275"/>
        <v>#N/A</v>
      </c>
      <c r="AC368" s="233" t="e">
        <f t="shared" si="276"/>
        <v>#N/A</v>
      </c>
      <c r="AD368" s="233" t="e">
        <f t="shared" si="277"/>
        <v>#N/A</v>
      </c>
      <c r="AE368" s="233" t="e">
        <f t="shared" si="278"/>
        <v>#N/A</v>
      </c>
      <c r="AF368" s="238" t="e">
        <f t="shared" si="279"/>
        <v>#N/A</v>
      </c>
      <c r="AG368" s="238" t="e">
        <f t="shared" si="280"/>
        <v>#N/A</v>
      </c>
      <c r="AH368" s="238" t="e">
        <f t="shared" si="281"/>
        <v>#N/A</v>
      </c>
      <c r="AI368" s="261" t="e">
        <f t="shared" si="282"/>
        <v>#N/A</v>
      </c>
      <c r="AJ368" s="233" t="e">
        <f t="shared" si="283"/>
        <v>#N/A</v>
      </c>
    </row>
    <row r="369" spans="5:36" s="120" customFormat="1" ht="35.25" customHeight="1" x14ac:dyDescent="0.2">
      <c r="E369" s="218" t="s">
        <v>2306</v>
      </c>
      <c r="F369" s="130"/>
      <c r="G369" s="67" t="e">
        <f t="shared" si="285"/>
        <v>#N/A</v>
      </c>
      <c r="H369" s="396" t="e">
        <f t="shared" si="286"/>
        <v>#N/A</v>
      </c>
      <c r="I369" s="396" t="e">
        <f t="shared" si="287"/>
        <v>#N/A</v>
      </c>
      <c r="J369" s="396" t="e">
        <f t="shared" si="288"/>
        <v>#N/A</v>
      </c>
      <c r="K369" s="398" t="e">
        <f t="shared" si="289"/>
        <v>#N/A</v>
      </c>
      <c r="L369" s="396" t="e">
        <f t="shared" si="290"/>
        <v>#N/A</v>
      </c>
      <c r="M369" s="398" t="e">
        <f t="shared" si="291"/>
        <v>#N/A</v>
      </c>
      <c r="N369" s="396" t="e">
        <f t="shared" si="292"/>
        <v>#N/A</v>
      </c>
      <c r="O369" s="396" t="e">
        <f t="shared" si="293"/>
        <v>#N/A</v>
      </c>
      <c r="P369" s="396" t="e">
        <f t="shared" si="294"/>
        <v>#N/A</v>
      </c>
      <c r="Q369" s="396" t="e">
        <f t="shared" si="295"/>
        <v>#N/A</v>
      </c>
      <c r="R369" s="396" t="e">
        <f t="shared" si="296"/>
        <v>#N/A</v>
      </c>
      <c r="S369" s="396" t="e">
        <f t="shared" si="297"/>
        <v>#N/A</v>
      </c>
      <c r="T369" s="397" t="e">
        <f t="shared" si="298"/>
        <v>#N/A</v>
      </c>
      <c r="U369" s="396" t="e">
        <f t="shared" si="299"/>
        <v>#N/A</v>
      </c>
      <c r="V369" s="396" t="e">
        <f t="shared" si="300"/>
        <v>#N/A</v>
      </c>
      <c r="W369" s="206" t="e">
        <f t="shared" si="271"/>
        <v>#N/A</v>
      </c>
      <c r="X369" s="207" t="e">
        <f t="shared" si="272"/>
        <v>#N/A</v>
      </c>
      <c r="Y369" s="207" t="e">
        <f t="shared" si="273"/>
        <v>#N/A</v>
      </c>
      <c r="Z369" s="233" t="e">
        <f t="shared" si="274"/>
        <v>#N/A</v>
      </c>
      <c r="AA369" s="208" t="e">
        <f t="shared" si="284"/>
        <v>#N/A</v>
      </c>
      <c r="AB369" s="233" t="e">
        <f t="shared" si="275"/>
        <v>#N/A</v>
      </c>
      <c r="AC369" s="233" t="e">
        <f t="shared" si="276"/>
        <v>#N/A</v>
      </c>
      <c r="AD369" s="233" t="e">
        <f t="shared" si="277"/>
        <v>#N/A</v>
      </c>
      <c r="AE369" s="233" t="e">
        <f t="shared" si="278"/>
        <v>#N/A</v>
      </c>
      <c r="AF369" s="238" t="e">
        <f t="shared" si="279"/>
        <v>#N/A</v>
      </c>
      <c r="AG369" s="238" t="e">
        <f t="shared" si="280"/>
        <v>#N/A</v>
      </c>
      <c r="AH369" s="238" t="e">
        <f t="shared" si="281"/>
        <v>#N/A</v>
      </c>
      <c r="AI369" s="261" t="e">
        <f t="shared" si="282"/>
        <v>#N/A</v>
      </c>
      <c r="AJ369" s="233" t="e">
        <f t="shared" si="283"/>
        <v>#N/A</v>
      </c>
    </row>
    <row r="370" spans="5:36" s="120" customFormat="1" ht="35.25" customHeight="1" x14ac:dyDescent="0.2">
      <c r="E370" s="218" t="s">
        <v>2306</v>
      </c>
      <c r="F370" s="130"/>
      <c r="G370" s="67" t="e">
        <f t="shared" si="285"/>
        <v>#N/A</v>
      </c>
      <c r="H370" s="396" t="e">
        <f t="shared" si="286"/>
        <v>#N/A</v>
      </c>
      <c r="I370" s="396" t="e">
        <f t="shared" si="287"/>
        <v>#N/A</v>
      </c>
      <c r="J370" s="396" t="e">
        <f t="shared" si="288"/>
        <v>#N/A</v>
      </c>
      <c r="K370" s="398" t="e">
        <f t="shared" si="289"/>
        <v>#N/A</v>
      </c>
      <c r="L370" s="396" t="e">
        <f t="shared" si="290"/>
        <v>#N/A</v>
      </c>
      <c r="M370" s="398" t="e">
        <f t="shared" si="291"/>
        <v>#N/A</v>
      </c>
      <c r="N370" s="396" t="e">
        <f t="shared" si="292"/>
        <v>#N/A</v>
      </c>
      <c r="O370" s="396" t="e">
        <f t="shared" si="293"/>
        <v>#N/A</v>
      </c>
      <c r="P370" s="396" t="e">
        <f t="shared" si="294"/>
        <v>#N/A</v>
      </c>
      <c r="Q370" s="396" t="e">
        <f t="shared" si="295"/>
        <v>#N/A</v>
      </c>
      <c r="R370" s="396" t="e">
        <f t="shared" si="296"/>
        <v>#N/A</v>
      </c>
      <c r="S370" s="396" t="e">
        <f t="shared" si="297"/>
        <v>#N/A</v>
      </c>
      <c r="T370" s="397" t="e">
        <f t="shared" si="298"/>
        <v>#N/A</v>
      </c>
      <c r="U370" s="396" t="e">
        <f t="shared" si="299"/>
        <v>#N/A</v>
      </c>
      <c r="V370" s="396" t="e">
        <f t="shared" si="300"/>
        <v>#N/A</v>
      </c>
      <c r="W370" s="206" t="e">
        <f t="shared" si="271"/>
        <v>#N/A</v>
      </c>
      <c r="X370" s="207" t="e">
        <f t="shared" si="272"/>
        <v>#N/A</v>
      </c>
      <c r="Y370" s="207" t="e">
        <f t="shared" si="273"/>
        <v>#N/A</v>
      </c>
      <c r="Z370" s="233" t="e">
        <f t="shared" si="274"/>
        <v>#N/A</v>
      </c>
      <c r="AA370" s="208" t="e">
        <f t="shared" si="284"/>
        <v>#N/A</v>
      </c>
      <c r="AB370" s="233" t="e">
        <f t="shared" si="275"/>
        <v>#N/A</v>
      </c>
      <c r="AC370" s="233" t="e">
        <f t="shared" si="276"/>
        <v>#N/A</v>
      </c>
      <c r="AD370" s="233" t="e">
        <f t="shared" si="277"/>
        <v>#N/A</v>
      </c>
      <c r="AE370" s="233" t="e">
        <f t="shared" si="278"/>
        <v>#N/A</v>
      </c>
      <c r="AF370" s="238" t="e">
        <f t="shared" si="279"/>
        <v>#N/A</v>
      </c>
      <c r="AG370" s="238" t="e">
        <f t="shared" si="280"/>
        <v>#N/A</v>
      </c>
      <c r="AH370" s="238" t="e">
        <f t="shared" si="281"/>
        <v>#N/A</v>
      </c>
      <c r="AI370" s="261" t="e">
        <f t="shared" si="282"/>
        <v>#N/A</v>
      </c>
      <c r="AJ370" s="233" t="e">
        <f t="shared" si="283"/>
        <v>#N/A</v>
      </c>
    </row>
    <row r="371" spans="5:36" s="120" customFormat="1" ht="35.25" customHeight="1" x14ac:dyDescent="0.2">
      <c r="E371" s="218" t="s">
        <v>2306</v>
      </c>
      <c r="F371" s="130"/>
      <c r="G371" s="67" t="e">
        <f t="shared" si="285"/>
        <v>#N/A</v>
      </c>
      <c r="H371" s="396" t="e">
        <f t="shared" si="286"/>
        <v>#N/A</v>
      </c>
      <c r="I371" s="396" t="e">
        <f t="shared" si="287"/>
        <v>#N/A</v>
      </c>
      <c r="J371" s="396" t="e">
        <f t="shared" si="288"/>
        <v>#N/A</v>
      </c>
      <c r="K371" s="398" t="e">
        <f t="shared" si="289"/>
        <v>#N/A</v>
      </c>
      <c r="L371" s="396" t="e">
        <f t="shared" si="290"/>
        <v>#N/A</v>
      </c>
      <c r="M371" s="398" t="e">
        <f t="shared" si="291"/>
        <v>#N/A</v>
      </c>
      <c r="N371" s="396" t="e">
        <f t="shared" si="292"/>
        <v>#N/A</v>
      </c>
      <c r="O371" s="396" t="e">
        <f t="shared" si="293"/>
        <v>#N/A</v>
      </c>
      <c r="P371" s="396" t="e">
        <f t="shared" si="294"/>
        <v>#N/A</v>
      </c>
      <c r="Q371" s="396" t="e">
        <f t="shared" si="295"/>
        <v>#N/A</v>
      </c>
      <c r="R371" s="396" t="e">
        <f t="shared" si="296"/>
        <v>#N/A</v>
      </c>
      <c r="S371" s="396" t="e">
        <f t="shared" si="297"/>
        <v>#N/A</v>
      </c>
      <c r="T371" s="397" t="e">
        <f t="shared" si="298"/>
        <v>#N/A</v>
      </c>
      <c r="U371" s="396" t="e">
        <f t="shared" si="299"/>
        <v>#N/A</v>
      </c>
      <c r="V371" s="396" t="e">
        <f t="shared" si="300"/>
        <v>#N/A</v>
      </c>
      <c r="W371" s="206" t="e">
        <f t="shared" si="271"/>
        <v>#N/A</v>
      </c>
      <c r="X371" s="207" t="e">
        <f t="shared" si="272"/>
        <v>#N/A</v>
      </c>
      <c r="Y371" s="207" t="e">
        <f t="shared" si="273"/>
        <v>#N/A</v>
      </c>
      <c r="Z371" s="233" t="e">
        <f t="shared" si="274"/>
        <v>#N/A</v>
      </c>
      <c r="AA371" s="208" t="e">
        <f t="shared" si="284"/>
        <v>#N/A</v>
      </c>
      <c r="AB371" s="233" t="e">
        <f t="shared" si="275"/>
        <v>#N/A</v>
      </c>
      <c r="AC371" s="233" t="e">
        <f t="shared" si="276"/>
        <v>#N/A</v>
      </c>
      <c r="AD371" s="233" t="e">
        <f t="shared" si="277"/>
        <v>#N/A</v>
      </c>
      <c r="AE371" s="233" t="e">
        <f t="shared" si="278"/>
        <v>#N/A</v>
      </c>
      <c r="AF371" s="238" t="e">
        <f t="shared" si="279"/>
        <v>#N/A</v>
      </c>
      <c r="AG371" s="238" t="e">
        <f t="shared" si="280"/>
        <v>#N/A</v>
      </c>
      <c r="AH371" s="238" t="e">
        <f t="shared" si="281"/>
        <v>#N/A</v>
      </c>
      <c r="AI371" s="261" t="e">
        <f t="shared" si="282"/>
        <v>#N/A</v>
      </c>
      <c r="AJ371" s="233" t="e">
        <f t="shared" si="283"/>
        <v>#N/A</v>
      </c>
    </row>
    <row r="372" spans="5:36" s="116" customFormat="1" ht="35.25" customHeight="1" x14ac:dyDescent="0.2">
      <c r="E372" s="218" t="s">
        <v>2306</v>
      </c>
      <c r="F372" s="73"/>
      <c r="G372" s="67" t="e">
        <f t="shared" si="285"/>
        <v>#N/A</v>
      </c>
      <c r="H372" s="396" t="e">
        <f t="shared" si="286"/>
        <v>#N/A</v>
      </c>
      <c r="I372" s="396" t="e">
        <f t="shared" si="287"/>
        <v>#N/A</v>
      </c>
      <c r="J372" s="396" t="e">
        <f t="shared" si="288"/>
        <v>#N/A</v>
      </c>
      <c r="K372" s="398" t="e">
        <f t="shared" si="289"/>
        <v>#N/A</v>
      </c>
      <c r="L372" s="396" t="e">
        <f t="shared" si="290"/>
        <v>#N/A</v>
      </c>
      <c r="M372" s="398" t="e">
        <f t="shared" si="291"/>
        <v>#N/A</v>
      </c>
      <c r="N372" s="396" t="e">
        <f t="shared" si="292"/>
        <v>#N/A</v>
      </c>
      <c r="O372" s="396" t="e">
        <f t="shared" si="293"/>
        <v>#N/A</v>
      </c>
      <c r="P372" s="396" t="e">
        <f t="shared" si="294"/>
        <v>#N/A</v>
      </c>
      <c r="Q372" s="396" t="e">
        <f t="shared" si="295"/>
        <v>#N/A</v>
      </c>
      <c r="R372" s="396" t="e">
        <f t="shared" si="296"/>
        <v>#N/A</v>
      </c>
      <c r="S372" s="396" t="e">
        <f t="shared" si="297"/>
        <v>#N/A</v>
      </c>
      <c r="T372" s="397" t="e">
        <f t="shared" si="298"/>
        <v>#N/A</v>
      </c>
      <c r="U372" s="396" t="e">
        <f t="shared" si="299"/>
        <v>#N/A</v>
      </c>
      <c r="V372" s="396" t="e">
        <f t="shared" si="300"/>
        <v>#N/A</v>
      </c>
      <c r="W372" s="206" t="e">
        <f t="shared" si="271"/>
        <v>#N/A</v>
      </c>
      <c r="X372" s="207" t="e">
        <f t="shared" si="272"/>
        <v>#N/A</v>
      </c>
      <c r="Y372" s="207" t="e">
        <f t="shared" si="273"/>
        <v>#N/A</v>
      </c>
      <c r="Z372" s="233" t="e">
        <f t="shared" si="274"/>
        <v>#N/A</v>
      </c>
      <c r="AA372" s="208" t="e">
        <f t="shared" si="284"/>
        <v>#N/A</v>
      </c>
      <c r="AB372" s="233" t="e">
        <f t="shared" si="275"/>
        <v>#N/A</v>
      </c>
      <c r="AC372" s="233" t="e">
        <f t="shared" si="276"/>
        <v>#N/A</v>
      </c>
      <c r="AD372" s="233" t="e">
        <f t="shared" si="277"/>
        <v>#N/A</v>
      </c>
      <c r="AE372" s="233" t="e">
        <f t="shared" si="278"/>
        <v>#N/A</v>
      </c>
      <c r="AF372" s="238" t="e">
        <f t="shared" si="279"/>
        <v>#N/A</v>
      </c>
      <c r="AG372" s="238" t="e">
        <f t="shared" si="280"/>
        <v>#N/A</v>
      </c>
      <c r="AH372" s="238" t="e">
        <f t="shared" si="281"/>
        <v>#N/A</v>
      </c>
      <c r="AI372" s="261" t="e">
        <f t="shared" si="282"/>
        <v>#N/A</v>
      </c>
      <c r="AJ372" s="233" t="e">
        <f t="shared" si="283"/>
        <v>#N/A</v>
      </c>
    </row>
    <row r="373" spans="5:36" s="116" customFormat="1" ht="35.25" customHeight="1" x14ac:dyDescent="0.2">
      <c r="E373" s="218" t="s">
        <v>2306</v>
      </c>
      <c r="F373" s="73"/>
      <c r="G373" s="67" t="e">
        <f t="shared" si="285"/>
        <v>#N/A</v>
      </c>
      <c r="H373" s="396" t="e">
        <f t="shared" si="286"/>
        <v>#N/A</v>
      </c>
      <c r="I373" s="396" t="e">
        <f t="shared" si="287"/>
        <v>#N/A</v>
      </c>
      <c r="J373" s="396" t="e">
        <f t="shared" si="288"/>
        <v>#N/A</v>
      </c>
      <c r="K373" s="398" t="e">
        <f t="shared" si="289"/>
        <v>#N/A</v>
      </c>
      <c r="L373" s="396" t="e">
        <f t="shared" si="290"/>
        <v>#N/A</v>
      </c>
      <c r="M373" s="398" t="e">
        <f t="shared" si="291"/>
        <v>#N/A</v>
      </c>
      <c r="N373" s="396" t="e">
        <f t="shared" si="292"/>
        <v>#N/A</v>
      </c>
      <c r="O373" s="396" t="e">
        <f t="shared" si="293"/>
        <v>#N/A</v>
      </c>
      <c r="P373" s="396" t="e">
        <f t="shared" si="294"/>
        <v>#N/A</v>
      </c>
      <c r="Q373" s="396" t="e">
        <f t="shared" si="295"/>
        <v>#N/A</v>
      </c>
      <c r="R373" s="396" t="e">
        <f t="shared" si="296"/>
        <v>#N/A</v>
      </c>
      <c r="S373" s="396" t="e">
        <f t="shared" si="297"/>
        <v>#N/A</v>
      </c>
      <c r="T373" s="397" t="e">
        <f t="shared" si="298"/>
        <v>#N/A</v>
      </c>
      <c r="U373" s="396" t="e">
        <f t="shared" si="299"/>
        <v>#N/A</v>
      </c>
      <c r="V373" s="396" t="e">
        <f t="shared" si="300"/>
        <v>#N/A</v>
      </c>
      <c r="W373" s="206" t="e">
        <f t="shared" si="271"/>
        <v>#N/A</v>
      </c>
      <c r="X373" s="207" t="e">
        <f t="shared" si="272"/>
        <v>#N/A</v>
      </c>
      <c r="Y373" s="207" t="e">
        <f t="shared" si="273"/>
        <v>#N/A</v>
      </c>
      <c r="Z373" s="233" t="e">
        <f t="shared" si="274"/>
        <v>#N/A</v>
      </c>
      <c r="AA373" s="208" t="e">
        <f t="shared" si="284"/>
        <v>#N/A</v>
      </c>
      <c r="AB373" s="233" t="e">
        <f t="shared" si="275"/>
        <v>#N/A</v>
      </c>
      <c r="AC373" s="233" t="e">
        <f t="shared" si="276"/>
        <v>#N/A</v>
      </c>
      <c r="AD373" s="233" t="e">
        <f t="shared" si="277"/>
        <v>#N/A</v>
      </c>
      <c r="AE373" s="233" t="e">
        <f t="shared" si="278"/>
        <v>#N/A</v>
      </c>
      <c r="AF373" s="238" t="e">
        <f t="shared" si="279"/>
        <v>#N/A</v>
      </c>
      <c r="AG373" s="238" t="e">
        <f t="shared" si="280"/>
        <v>#N/A</v>
      </c>
      <c r="AH373" s="238" t="e">
        <f t="shared" si="281"/>
        <v>#N/A</v>
      </c>
      <c r="AI373" s="261" t="e">
        <f t="shared" si="282"/>
        <v>#N/A</v>
      </c>
      <c r="AJ373" s="233" t="e">
        <f t="shared" si="283"/>
        <v>#N/A</v>
      </c>
    </row>
    <row r="374" spans="5:36" s="116" customFormat="1" ht="35.25" customHeight="1" x14ac:dyDescent="0.2">
      <c r="E374" s="218" t="s">
        <v>2306</v>
      </c>
      <c r="F374" s="73"/>
      <c r="G374" s="67" t="e">
        <f t="shared" si="285"/>
        <v>#N/A</v>
      </c>
      <c r="H374" s="396" t="e">
        <f t="shared" si="286"/>
        <v>#N/A</v>
      </c>
      <c r="I374" s="396" t="e">
        <f t="shared" si="287"/>
        <v>#N/A</v>
      </c>
      <c r="J374" s="396" t="e">
        <f t="shared" si="288"/>
        <v>#N/A</v>
      </c>
      <c r="K374" s="398" t="e">
        <f t="shared" si="289"/>
        <v>#N/A</v>
      </c>
      <c r="L374" s="396" t="e">
        <f t="shared" si="290"/>
        <v>#N/A</v>
      </c>
      <c r="M374" s="398" t="e">
        <f t="shared" si="291"/>
        <v>#N/A</v>
      </c>
      <c r="N374" s="396" t="e">
        <f t="shared" si="292"/>
        <v>#N/A</v>
      </c>
      <c r="O374" s="396" t="e">
        <f t="shared" si="293"/>
        <v>#N/A</v>
      </c>
      <c r="P374" s="396" t="e">
        <f t="shared" si="294"/>
        <v>#N/A</v>
      </c>
      <c r="Q374" s="396" t="e">
        <f t="shared" si="295"/>
        <v>#N/A</v>
      </c>
      <c r="R374" s="396" t="e">
        <f t="shared" si="296"/>
        <v>#N/A</v>
      </c>
      <c r="S374" s="396" t="e">
        <f t="shared" si="297"/>
        <v>#N/A</v>
      </c>
      <c r="T374" s="397" t="e">
        <f t="shared" si="298"/>
        <v>#N/A</v>
      </c>
      <c r="U374" s="396" t="e">
        <f t="shared" si="299"/>
        <v>#N/A</v>
      </c>
      <c r="V374" s="396" t="e">
        <f t="shared" si="300"/>
        <v>#N/A</v>
      </c>
      <c r="W374" s="206" t="e">
        <f t="shared" si="271"/>
        <v>#N/A</v>
      </c>
      <c r="X374" s="207" t="e">
        <f t="shared" si="272"/>
        <v>#N/A</v>
      </c>
      <c r="Y374" s="207" t="e">
        <f t="shared" si="273"/>
        <v>#N/A</v>
      </c>
      <c r="Z374" s="233" t="e">
        <f t="shared" si="274"/>
        <v>#N/A</v>
      </c>
      <c r="AA374" s="208" t="e">
        <f t="shared" si="284"/>
        <v>#N/A</v>
      </c>
      <c r="AB374" s="233" t="e">
        <f t="shared" si="275"/>
        <v>#N/A</v>
      </c>
      <c r="AC374" s="233" t="e">
        <f t="shared" si="276"/>
        <v>#N/A</v>
      </c>
      <c r="AD374" s="233" t="e">
        <f t="shared" si="277"/>
        <v>#N/A</v>
      </c>
      <c r="AE374" s="233" t="e">
        <f t="shared" si="278"/>
        <v>#N/A</v>
      </c>
      <c r="AF374" s="238" t="e">
        <f t="shared" si="279"/>
        <v>#N/A</v>
      </c>
      <c r="AG374" s="238" t="e">
        <f t="shared" si="280"/>
        <v>#N/A</v>
      </c>
      <c r="AH374" s="238" t="e">
        <f t="shared" si="281"/>
        <v>#N/A</v>
      </c>
      <c r="AI374" s="261" t="e">
        <f t="shared" si="282"/>
        <v>#N/A</v>
      </c>
      <c r="AJ374" s="233" t="e">
        <f t="shared" si="283"/>
        <v>#N/A</v>
      </c>
    </row>
    <row r="375" spans="5:36" s="116" customFormat="1" ht="35.25" customHeight="1" x14ac:dyDescent="0.2">
      <c r="E375" s="218" t="s">
        <v>2306</v>
      </c>
      <c r="F375" s="73"/>
      <c r="G375" s="67" t="e">
        <f t="shared" si="285"/>
        <v>#N/A</v>
      </c>
      <c r="H375" s="396" t="e">
        <f t="shared" si="286"/>
        <v>#N/A</v>
      </c>
      <c r="I375" s="396" t="e">
        <f t="shared" si="287"/>
        <v>#N/A</v>
      </c>
      <c r="J375" s="396" t="e">
        <f t="shared" si="288"/>
        <v>#N/A</v>
      </c>
      <c r="K375" s="398" t="e">
        <f t="shared" si="289"/>
        <v>#N/A</v>
      </c>
      <c r="L375" s="396" t="e">
        <f t="shared" si="290"/>
        <v>#N/A</v>
      </c>
      <c r="M375" s="398" t="e">
        <f t="shared" si="291"/>
        <v>#N/A</v>
      </c>
      <c r="N375" s="396" t="e">
        <f t="shared" si="292"/>
        <v>#N/A</v>
      </c>
      <c r="O375" s="396" t="e">
        <f t="shared" si="293"/>
        <v>#N/A</v>
      </c>
      <c r="P375" s="396" t="e">
        <f t="shared" si="294"/>
        <v>#N/A</v>
      </c>
      <c r="Q375" s="396" t="e">
        <f t="shared" si="295"/>
        <v>#N/A</v>
      </c>
      <c r="R375" s="396" t="e">
        <f t="shared" si="296"/>
        <v>#N/A</v>
      </c>
      <c r="S375" s="396" t="e">
        <f t="shared" si="297"/>
        <v>#N/A</v>
      </c>
      <c r="T375" s="397" t="e">
        <f t="shared" si="298"/>
        <v>#N/A</v>
      </c>
      <c r="U375" s="396" t="e">
        <f t="shared" si="299"/>
        <v>#N/A</v>
      </c>
      <c r="V375" s="396" t="e">
        <f t="shared" si="300"/>
        <v>#N/A</v>
      </c>
      <c r="W375" s="206" t="e">
        <f t="shared" si="271"/>
        <v>#N/A</v>
      </c>
      <c r="X375" s="207" t="e">
        <f t="shared" si="272"/>
        <v>#N/A</v>
      </c>
      <c r="Y375" s="207" t="e">
        <f t="shared" si="273"/>
        <v>#N/A</v>
      </c>
      <c r="Z375" s="233" t="e">
        <f t="shared" si="274"/>
        <v>#N/A</v>
      </c>
      <c r="AA375" s="208" t="e">
        <f t="shared" si="284"/>
        <v>#N/A</v>
      </c>
      <c r="AB375" s="233" t="e">
        <f t="shared" si="275"/>
        <v>#N/A</v>
      </c>
      <c r="AC375" s="233" t="e">
        <f t="shared" si="276"/>
        <v>#N/A</v>
      </c>
      <c r="AD375" s="233" t="e">
        <f t="shared" si="277"/>
        <v>#N/A</v>
      </c>
      <c r="AE375" s="233" t="e">
        <f t="shared" si="278"/>
        <v>#N/A</v>
      </c>
      <c r="AF375" s="238" t="e">
        <f t="shared" si="279"/>
        <v>#N/A</v>
      </c>
      <c r="AG375" s="238" t="e">
        <f t="shared" si="280"/>
        <v>#N/A</v>
      </c>
      <c r="AH375" s="238" t="e">
        <f t="shared" si="281"/>
        <v>#N/A</v>
      </c>
      <c r="AI375" s="261" t="e">
        <f t="shared" si="282"/>
        <v>#N/A</v>
      </c>
      <c r="AJ375" s="233" t="e">
        <f t="shared" si="283"/>
        <v>#N/A</v>
      </c>
    </row>
    <row r="376" spans="5:36" s="116" customFormat="1" ht="35.25" customHeight="1" x14ac:dyDescent="0.2">
      <c r="E376" s="218" t="s">
        <v>2306</v>
      </c>
      <c r="F376" s="73"/>
      <c r="G376" s="67" t="e">
        <f t="shared" si="285"/>
        <v>#N/A</v>
      </c>
      <c r="H376" s="396" t="e">
        <f t="shared" si="286"/>
        <v>#N/A</v>
      </c>
      <c r="I376" s="396" t="e">
        <f t="shared" si="287"/>
        <v>#N/A</v>
      </c>
      <c r="J376" s="396" t="e">
        <f t="shared" si="288"/>
        <v>#N/A</v>
      </c>
      <c r="K376" s="398" t="e">
        <f t="shared" si="289"/>
        <v>#N/A</v>
      </c>
      <c r="L376" s="396" t="e">
        <f t="shared" si="290"/>
        <v>#N/A</v>
      </c>
      <c r="M376" s="398" t="e">
        <f t="shared" si="291"/>
        <v>#N/A</v>
      </c>
      <c r="N376" s="396" t="e">
        <f t="shared" si="292"/>
        <v>#N/A</v>
      </c>
      <c r="O376" s="396" t="e">
        <f t="shared" si="293"/>
        <v>#N/A</v>
      </c>
      <c r="P376" s="396" t="e">
        <f t="shared" si="294"/>
        <v>#N/A</v>
      </c>
      <c r="Q376" s="396" t="e">
        <f t="shared" si="295"/>
        <v>#N/A</v>
      </c>
      <c r="R376" s="396" t="e">
        <f t="shared" si="296"/>
        <v>#N/A</v>
      </c>
      <c r="S376" s="396" t="e">
        <f t="shared" si="297"/>
        <v>#N/A</v>
      </c>
      <c r="T376" s="397" t="e">
        <f t="shared" si="298"/>
        <v>#N/A</v>
      </c>
      <c r="U376" s="396" t="e">
        <f t="shared" si="299"/>
        <v>#N/A</v>
      </c>
      <c r="V376" s="396" t="e">
        <f t="shared" si="300"/>
        <v>#N/A</v>
      </c>
      <c r="W376" s="206" t="e">
        <f t="shared" si="271"/>
        <v>#N/A</v>
      </c>
      <c r="X376" s="207" t="e">
        <f t="shared" si="272"/>
        <v>#N/A</v>
      </c>
      <c r="Y376" s="207" t="e">
        <f t="shared" si="273"/>
        <v>#N/A</v>
      </c>
      <c r="Z376" s="233" t="e">
        <f t="shared" si="274"/>
        <v>#N/A</v>
      </c>
      <c r="AA376" s="208" t="e">
        <f t="shared" si="284"/>
        <v>#N/A</v>
      </c>
      <c r="AB376" s="233" t="e">
        <f t="shared" si="275"/>
        <v>#N/A</v>
      </c>
      <c r="AC376" s="233" t="e">
        <f t="shared" si="276"/>
        <v>#N/A</v>
      </c>
      <c r="AD376" s="233" t="e">
        <f t="shared" si="277"/>
        <v>#N/A</v>
      </c>
      <c r="AE376" s="233" t="e">
        <f t="shared" si="278"/>
        <v>#N/A</v>
      </c>
      <c r="AF376" s="238" t="e">
        <f t="shared" si="279"/>
        <v>#N/A</v>
      </c>
      <c r="AG376" s="238" t="e">
        <f t="shared" si="280"/>
        <v>#N/A</v>
      </c>
      <c r="AH376" s="238" t="e">
        <f t="shared" si="281"/>
        <v>#N/A</v>
      </c>
      <c r="AI376" s="261" t="e">
        <f t="shared" si="282"/>
        <v>#N/A</v>
      </c>
      <c r="AJ376" s="233" t="e">
        <f t="shared" si="283"/>
        <v>#N/A</v>
      </c>
    </row>
    <row r="377" spans="5:36" s="116" customFormat="1" ht="35.25" customHeight="1" x14ac:dyDescent="0.2">
      <c r="E377" s="218" t="s">
        <v>2306</v>
      </c>
      <c r="F377" s="73"/>
      <c r="G377" s="67" t="e">
        <f t="shared" si="285"/>
        <v>#N/A</v>
      </c>
      <c r="H377" s="396" t="e">
        <f t="shared" si="286"/>
        <v>#N/A</v>
      </c>
      <c r="I377" s="396" t="e">
        <f t="shared" si="287"/>
        <v>#N/A</v>
      </c>
      <c r="J377" s="396" t="e">
        <f t="shared" si="288"/>
        <v>#N/A</v>
      </c>
      <c r="K377" s="398" t="e">
        <f t="shared" si="289"/>
        <v>#N/A</v>
      </c>
      <c r="L377" s="396" t="e">
        <f t="shared" si="290"/>
        <v>#N/A</v>
      </c>
      <c r="M377" s="398" t="e">
        <f t="shared" si="291"/>
        <v>#N/A</v>
      </c>
      <c r="N377" s="396" t="e">
        <f t="shared" si="292"/>
        <v>#N/A</v>
      </c>
      <c r="O377" s="396" t="e">
        <f t="shared" si="293"/>
        <v>#N/A</v>
      </c>
      <c r="P377" s="396" t="e">
        <f t="shared" si="294"/>
        <v>#N/A</v>
      </c>
      <c r="Q377" s="396" t="e">
        <f t="shared" si="295"/>
        <v>#N/A</v>
      </c>
      <c r="R377" s="396" t="e">
        <f t="shared" si="296"/>
        <v>#N/A</v>
      </c>
      <c r="S377" s="396" t="e">
        <f t="shared" si="297"/>
        <v>#N/A</v>
      </c>
      <c r="T377" s="397" t="e">
        <f t="shared" si="298"/>
        <v>#N/A</v>
      </c>
      <c r="U377" s="396" t="e">
        <f t="shared" si="299"/>
        <v>#N/A</v>
      </c>
      <c r="V377" s="396" t="e">
        <f t="shared" si="300"/>
        <v>#N/A</v>
      </c>
      <c r="W377" s="206" t="e">
        <f t="shared" si="271"/>
        <v>#N/A</v>
      </c>
      <c r="X377" s="207" t="e">
        <f t="shared" si="272"/>
        <v>#N/A</v>
      </c>
      <c r="Y377" s="207" t="e">
        <f t="shared" si="273"/>
        <v>#N/A</v>
      </c>
      <c r="Z377" s="233" t="e">
        <f t="shared" si="274"/>
        <v>#N/A</v>
      </c>
      <c r="AA377" s="208" t="e">
        <f t="shared" si="284"/>
        <v>#N/A</v>
      </c>
      <c r="AB377" s="233" t="e">
        <f t="shared" si="275"/>
        <v>#N/A</v>
      </c>
      <c r="AC377" s="233" t="e">
        <f t="shared" si="276"/>
        <v>#N/A</v>
      </c>
      <c r="AD377" s="233" t="e">
        <f t="shared" si="277"/>
        <v>#N/A</v>
      </c>
      <c r="AE377" s="233" t="e">
        <f t="shared" si="278"/>
        <v>#N/A</v>
      </c>
      <c r="AF377" s="238" t="e">
        <f t="shared" si="279"/>
        <v>#N/A</v>
      </c>
      <c r="AG377" s="238" t="e">
        <f t="shared" si="280"/>
        <v>#N/A</v>
      </c>
      <c r="AH377" s="238" t="e">
        <f t="shared" si="281"/>
        <v>#N/A</v>
      </c>
      <c r="AI377" s="261" t="e">
        <f t="shared" si="282"/>
        <v>#N/A</v>
      </c>
      <c r="AJ377" s="233" t="e">
        <f t="shared" si="283"/>
        <v>#N/A</v>
      </c>
    </row>
    <row r="378" spans="5:36" s="116" customFormat="1" ht="35.25" customHeight="1" x14ac:dyDescent="0.2">
      <c r="E378" s="218" t="s">
        <v>2306</v>
      </c>
      <c r="F378" s="73"/>
      <c r="G378" s="67" t="e">
        <f t="shared" si="285"/>
        <v>#N/A</v>
      </c>
      <c r="H378" s="396" t="e">
        <f t="shared" si="286"/>
        <v>#N/A</v>
      </c>
      <c r="I378" s="396" t="e">
        <f t="shared" si="287"/>
        <v>#N/A</v>
      </c>
      <c r="J378" s="396" t="e">
        <f t="shared" si="288"/>
        <v>#N/A</v>
      </c>
      <c r="K378" s="398" t="e">
        <f t="shared" si="289"/>
        <v>#N/A</v>
      </c>
      <c r="L378" s="396" t="e">
        <f t="shared" si="290"/>
        <v>#N/A</v>
      </c>
      <c r="M378" s="398" t="e">
        <f t="shared" si="291"/>
        <v>#N/A</v>
      </c>
      <c r="N378" s="396" t="e">
        <f t="shared" si="292"/>
        <v>#N/A</v>
      </c>
      <c r="O378" s="396" t="e">
        <f t="shared" si="293"/>
        <v>#N/A</v>
      </c>
      <c r="P378" s="396" t="e">
        <f t="shared" si="294"/>
        <v>#N/A</v>
      </c>
      <c r="Q378" s="396" t="e">
        <f t="shared" si="295"/>
        <v>#N/A</v>
      </c>
      <c r="R378" s="396" t="e">
        <f t="shared" si="296"/>
        <v>#N/A</v>
      </c>
      <c r="S378" s="396" t="e">
        <f t="shared" si="297"/>
        <v>#N/A</v>
      </c>
      <c r="T378" s="397" t="e">
        <f t="shared" si="298"/>
        <v>#N/A</v>
      </c>
      <c r="U378" s="396" t="e">
        <f t="shared" si="299"/>
        <v>#N/A</v>
      </c>
      <c r="V378" s="396" t="e">
        <f t="shared" si="300"/>
        <v>#N/A</v>
      </c>
      <c r="W378" s="206" t="e">
        <f t="shared" si="271"/>
        <v>#N/A</v>
      </c>
      <c r="X378" s="207" t="e">
        <f t="shared" si="272"/>
        <v>#N/A</v>
      </c>
      <c r="Y378" s="207" t="e">
        <f t="shared" si="273"/>
        <v>#N/A</v>
      </c>
      <c r="Z378" s="233" t="e">
        <f t="shared" si="274"/>
        <v>#N/A</v>
      </c>
      <c r="AA378" s="208" t="e">
        <f t="shared" si="284"/>
        <v>#N/A</v>
      </c>
      <c r="AB378" s="233" t="e">
        <f t="shared" si="275"/>
        <v>#N/A</v>
      </c>
      <c r="AC378" s="233" t="e">
        <f t="shared" si="276"/>
        <v>#N/A</v>
      </c>
      <c r="AD378" s="233" t="e">
        <f t="shared" si="277"/>
        <v>#N/A</v>
      </c>
      <c r="AE378" s="233" t="e">
        <f t="shared" si="278"/>
        <v>#N/A</v>
      </c>
      <c r="AF378" s="238" t="e">
        <f t="shared" si="279"/>
        <v>#N/A</v>
      </c>
      <c r="AG378" s="238" t="e">
        <f t="shared" si="280"/>
        <v>#N/A</v>
      </c>
      <c r="AH378" s="238" t="e">
        <f t="shared" si="281"/>
        <v>#N/A</v>
      </c>
      <c r="AI378" s="261" t="e">
        <f t="shared" si="282"/>
        <v>#N/A</v>
      </c>
      <c r="AJ378" s="233" t="e">
        <f t="shared" si="283"/>
        <v>#N/A</v>
      </c>
    </row>
    <row r="379" spans="5:36" s="116" customFormat="1" ht="35.25" customHeight="1" x14ac:dyDescent="0.2">
      <c r="E379" s="218" t="s">
        <v>2306</v>
      </c>
      <c r="F379" s="73"/>
      <c r="G379" s="67" t="e">
        <f t="shared" si="285"/>
        <v>#N/A</v>
      </c>
      <c r="H379" s="396" t="e">
        <f t="shared" si="286"/>
        <v>#N/A</v>
      </c>
      <c r="I379" s="396" t="e">
        <f t="shared" si="287"/>
        <v>#N/A</v>
      </c>
      <c r="J379" s="396" t="e">
        <f t="shared" si="288"/>
        <v>#N/A</v>
      </c>
      <c r="K379" s="398" t="e">
        <f t="shared" si="289"/>
        <v>#N/A</v>
      </c>
      <c r="L379" s="396" t="e">
        <f t="shared" si="290"/>
        <v>#N/A</v>
      </c>
      <c r="M379" s="398" t="e">
        <f t="shared" si="291"/>
        <v>#N/A</v>
      </c>
      <c r="N379" s="396" t="e">
        <f t="shared" si="292"/>
        <v>#N/A</v>
      </c>
      <c r="O379" s="396" t="e">
        <f t="shared" si="293"/>
        <v>#N/A</v>
      </c>
      <c r="P379" s="396" t="e">
        <f t="shared" si="294"/>
        <v>#N/A</v>
      </c>
      <c r="Q379" s="396" t="e">
        <f t="shared" si="295"/>
        <v>#N/A</v>
      </c>
      <c r="R379" s="396" t="e">
        <f t="shared" si="296"/>
        <v>#N/A</v>
      </c>
      <c r="S379" s="396" t="e">
        <f t="shared" si="297"/>
        <v>#N/A</v>
      </c>
      <c r="T379" s="397" t="e">
        <f t="shared" si="298"/>
        <v>#N/A</v>
      </c>
      <c r="U379" s="396" t="e">
        <f t="shared" si="299"/>
        <v>#N/A</v>
      </c>
      <c r="V379" s="396" t="e">
        <f t="shared" si="300"/>
        <v>#N/A</v>
      </c>
      <c r="W379" s="206" t="e">
        <f t="shared" si="271"/>
        <v>#N/A</v>
      </c>
      <c r="X379" s="207" t="e">
        <f t="shared" si="272"/>
        <v>#N/A</v>
      </c>
      <c r="Y379" s="207" t="e">
        <f t="shared" si="273"/>
        <v>#N/A</v>
      </c>
      <c r="Z379" s="233" t="e">
        <f t="shared" si="274"/>
        <v>#N/A</v>
      </c>
      <c r="AA379" s="208" t="e">
        <f t="shared" si="284"/>
        <v>#N/A</v>
      </c>
      <c r="AB379" s="233" t="e">
        <f t="shared" si="275"/>
        <v>#N/A</v>
      </c>
      <c r="AC379" s="233" t="e">
        <f t="shared" si="276"/>
        <v>#N/A</v>
      </c>
      <c r="AD379" s="233" t="e">
        <f t="shared" si="277"/>
        <v>#N/A</v>
      </c>
      <c r="AE379" s="233" t="e">
        <f t="shared" si="278"/>
        <v>#N/A</v>
      </c>
      <c r="AF379" s="238" t="e">
        <f t="shared" si="279"/>
        <v>#N/A</v>
      </c>
      <c r="AG379" s="238" t="e">
        <f t="shared" si="280"/>
        <v>#N/A</v>
      </c>
      <c r="AH379" s="238" t="e">
        <f t="shared" si="281"/>
        <v>#N/A</v>
      </c>
      <c r="AI379" s="261" t="e">
        <f t="shared" si="282"/>
        <v>#N/A</v>
      </c>
      <c r="AJ379" s="233" t="e">
        <f t="shared" si="283"/>
        <v>#N/A</v>
      </c>
    </row>
    <row r="380" spans="5:36" s="116" customFormat="1" ht="35.25" customHeight="1" x14ac:dyDescent="0.2">
      <c r="E380" s="218" t="s">
        <v>2306</v>
      </c>
      <c r="F380" s="73"/>
      <c r="G380" s="67" t="e">
        <f t="shared" si="285"/>
        <v>#N/A</v>
      </c>
      <c r="H380" s="396" t="e">
        <f t="shared" si="286"/>
        <v>#N/A</v>
      </c>
      <c r="I380" s="396" t="e">
        <f t="shared" si="287"/>
        <v>#N/A</v>
      </c>
      <c r="J380" s="396" t="e">
        <f t="shared" si="288"/>
        <v>#N/A</v>
      </c>
      <c r="K380" s="398" t="e">
        <f t="shared" si="289"/>
        <v>#N/A</v>
      </c>
      <c r="L380" s="396" t="e">
        <f t="shared" si="290"/>
        <v>#N/A</v>
      </c>
      <c r="M380" s="398" t="e">
        <f t="shared" si="291"/>
        <v>#N/A</v>
      </c>
      <c r="N380" s="396" t="e">
        <f t="shared" si="292"/>
        <v>#N/A</v>
      </c>
      <c r="O380" s="396" t="e">
        <f t="shared" si="293"/>
        <v>#N/A</v>
      </c>
      <c r="P380" s="396" t="e">
        <f t="shared" si="294"/>
        <v>#N/A</v>
      </c>
      <c r="Q380" s="396" t="e">
        <f t="shared" si="295"/>
        <v>#N/A</v>
      </c>
      <c r="R380" s="396" t="e">
        <f t="shared" si="296"/>
        <v>#N/A</v>
      </c>
      <c r="S380" s="396" t="e">
        <f t="shared" si="297"/>
        <v>#N/A</v>
      </c>
      <c r="T380" s="397" t="e">
        <f t="shared" si="298"/>
        <v>#N/A</v>
      </c>
      <c r="U380" s="396" t="e">
        <f t="shared" si="299"/>
        <v>#N/A</v>
      </c>
      <c r="V380" s="396" t="e">
        <f t="shared" si="300"/>
        <v>#N/A</v>
      </c>
      <c r="W380" s="206" t="e">
        <f t="shared" si="271"/>
        <v>#N/A</v>
      </c>
      <c r="X380" s="207" t="e">
        <f t="shared" si="272"/>
        <v>#N/A</v>
      </c>
      <c r="Y380" s="207" t="e">
        <f t="shared" si="273"/>
        <v>#N/A</v>
      </c>
      <c r="Z380" s="233" t="e">
        <f t="shared" si="274"/>
        <v>#N/A</v>
      </c>
      <c r="AA380" s="208" t="e">
        <f t="shared" si="284"/>
        <v>#N/A</v>
      </c>
      <c r="AB380" s="233" t="e">
        <f t="shared" si="275"/>
        <v>#N/A</v>
      </c>
      <c r="AC380" s="233" t="e">
        <f t="shared" si="276"/>
        <v>#N/A</v>
      </c>
      <c r="AD380" s="233" t="e">
        <f t="shared" si="277"/>
        <v>#N/A</v>
      </c>
      <c r="AE380" s="233" t="e">
        <f t="shared" si="278"/>
        <v>#N/A</v>
      </c>
      <c r="AF380" s="238" t="e">
        <f t="shared" si="279"/>
        <v>#N/A</v>
      </c>
      <c r="AG380" s="238" t="e">
        <f t="shared" si="280"/>
        <v>#N/A</v>
      </c>
      <c r="AH380" s="238" t="e">
        <f t="shared" si="281"/>
        <v>#N/A</v>
      </c>
      <c r="AI380" s="261" t="e">
        <f t="shared" si="282"/>
        <v>#N/A</v>
      </c>
      <c r="AJ380" s="233" t="e">
        <f t="shared" si="283"/>
        <v>#N/A</v>
      </c>
    </row>
    <row r="381" spans="5:36" s="116" customFormat="1" ht="35.25" customHeight="1" x14ac:dyDescent="0.2">
      <c r="E381" s="218"/>
      <c r="F381" s="73"/>
      <c r="G381" s="67" t="e">
        <f t="shared" si="285"/>
        <v>#N/A</v>
      </c>
      <c r="H381" s="396" t="e">
        <f t="shared" si="286"/>
        <v>#N/A</v>
      </c>
      <c r="I381" s="396" t="e">
        <f t="shared" si="287"/>
        <v>#N/A</v>
      </c>
      <c r="J381" s="396" t="e">
        <f t="shared" si="288"/>
        <v>#N/A</v>
      </c>
      <c r="K381" s="398" t="e">
        <f t="shared" si="289"/>
        <v>#N/A</v>
      </c>
      <c r="L381" s="396" t="e">
        <f t="shared" si="290"/>
        <v>#N/A</v>
      </c>
      <c r="M381" s="398" t="e">
        <f t="shared" si="291"/>
        <v>#N/A</v>
      </c>
      <c r="N381" s="396" t="e">
        <f t="shared" si="292"/>
        <v>#N/A</v>
      </c>
      <c r="O381" s="396" t="e">
        <f t="shared" si="293"/>
        <v>#N/A</v>
      </c>
      <c r="P381" s="396" t="e">
        <f t="shared" si="294"/>
        <v>#N/A</v>
      </c>
      <c r="Q381" s="396" t="e">
        <f t="shared" si="295"/>
        <v>#N/A</v>
      </c>
      <c r="R381" s="396" t="e">
        <f t="shared" si="296"/>
        <v>#N/A</v>
      </c>
      <c r="S381" s="396" t="e">
        <f t="shared" si="297"/>
        <v>#N/A</v>
      </c>
      <c r="T381" s="397" t="e">
        <f t="shared" si="298"/>
        <v>#N/A</v>
      </c>
      <c r="U381" s="396" t="e">
        <f t="shared" si="299"/>
        <v>#N/A</v>
      </c>
      <c r="V381" s="396" t="e">
        <f t="shared" si="300"/>
        <v>#N/A</v>
      </c>
      <c r="W381" s="206" t="e">
        <f t="shared" si="271"/>
        <v>#N/A</v>
      </c>
      <c r="X381" s="207" t="e">
        <f t="shared" si="272"/>
        <v>#N/A</v>
      </c>
      <c r="Y381" s="207" t="e">
        <f t="shared" si="273"/>
        <v>#N/A</v>
      </c>
      <c r="Z381" s="233" t="e">
        <f t="shared" si="274"/>
        <v>#N/A</v>
      </c>
      <c r="AA381" s="208" t="e">
        <f t="shared" si="284"/>
        <v>#N/A</v>
      </c>
      <c r="AB381" s="233" t="e">
        <f t="shared" si="275"/>
        <v>#N/A</v>
      </c>
      <c r="AC381" s="233" t="e">
        <f t="shared" si="276"/>
        <v>#N/A</v>
      </c>
      <c r="AD381" s="233" t="e">
        <f t="shared" si="277"/>
        <v>#N/A</v>
      </c>
      <c r="AE381" s="233" t="e">
        <f t="shared" si="278"/>
        <v>#N/A</v>
      </c>
      <c r="AF381" s="238" t="e">
        <f t="shared" si="279"/>
        <v>#N/A</v>
      </c>
      <c r="AG381" s="238" t="e">
        <f t="shared" si="280"/>
        <v>#N/A</v>
      </c>
      <c r="AH381" s="238" t="e">
        <f t="shared" si="281"/>
        <v>#N/A</v>
      </c>
      <c r="AI381" s="261" t="e">
        <f t="shared" si="282"/>
        <v>#N/A</v>
      </c>
      <c r="AJ381" s="233" t="e">
        <f t="shared" si="283"/>
        <v>#N/A</v>
      </c>
    </row>
    <row r="382" spans="5:36" s="116" customFormat="1" ht="35.25" customHeight="1" x14ac:dyDescent="0.2">
      <c r="E382" s="218"/>
      <c r="F382" s="73"/>
      <c r="G382" s="67" t="e">
        <f t="shared" si="285"/>
        <v>#N/A</v>
      </c>
      <c r="H382" s="396" t="e">
        <f t="shared" si="286"/>
        <v>#N/A</v>
      </c>
      <c r="I382" s="396" t="e">
        <f t="shared" si="287"/>
        <v>#N/A</v>
      </c>
      <c r="J382" s="396" t="e">
        <f t="shared" si="288"/>
        <v>#N/A</v>
      </c>
      <c r="K382" s="398" t="e">
        <f t="shared" si="289"/>
        <v>#N/A</v>
      </c>
      <c r="L382" s="396" t="e">
        <f t="shared" si="290"/>
        <v>#N/A</v>
      </c>
      <c r="M382" s="398" t="e">
        <f t="shared" si="291"/>
        <v>#N/A</v>
      </c>
      <c r="N382" s="396" t="e">
        <f t="shared" si="292"/>
        <v>#N/A</v>
      </c>
      <c r="O382" s="396" t="e">
        <f t="shared" si="293"/>
        <v>#N/A</v>
      </c>
      <c r="P382" s="396" t="e">
        <f t="shared" si="294"/>
        <v>#N/A</v>
      </c>
      <c r="Q382" s="396" t="e">
        <f t="shared" si="295"/>
        <v>#N/A</v>
      </c>
      <c r="R382" s="396" t="e">
        <f t="shared" si="296"/>
        <v>#N/A</v>
      </c>
      <c r="S382" s="396" t="e">
        <f t="shared" si="297"/>
        <v>#N/A</v>
      </c>
      <c r="T382" s="397" t="e">
        <f t="shared" si="298"/>
        <v>#N/A</v>
      </c>
      <c r="U382" s="396" t="e">
        <f t="shared" si="299"/>
        <v>#N/A</v>
      </c>
      <c r="V382" s="396" t="e">
        <f t="shared" si="300"/>
        <v>#N/A</v>
      </c>
      <c r="W382" s="206" t="e">
        <f t="shared" si="271"/>
        <v>#N/A</v>
      </c>
      <c r="X382" s="207" t="e">
        <f t="shared" si="272"/>
        <v>#N/A</v>
      </c>
      <c r="Y382" s="207" t="e">
        <f t="shared" si="273"/>
        <v>#N/A</v>
      </c>
      <c r="Z382" s="233" t="e">
        <f t="shared" si="274"/>
        <v>#N/A</v>
      </c>
      <c r="AA382" s="208" t="e">
        <f t="shared" si="284"/>
        <v>#N/A</v>
      </c>
      <c r="AB382" s="233" t="e">
        <f t="shared" si="275"/>
        <v>#N/A</v>
      </c>
      <c r="AC382" s="233" t="e">
        <f t="shared" si="276"/>
        <v>#N/A</v>
      </c>
      <c r="AD382" s="233" t="e">
        <f t="shared" si="277"/>
        <v>#N/A</v>
      </c>
      <c r="AE382" s="233" t="e">
        <f t="shared" si="278"/>
        <v>#N/A</v>
      </c>
      <c r="AF382" s="238" t="e">
        <f t="shared" si="279"/>
        <v>#N/A</v>
      </c>
      <c r="AG382" s="238" t="e">
        <f t="shared" si="280"/>
        <v>#N/A</v>
      </c>
      <c r="AH382" s="238" t="e">
        <f t="shared" si="281"/>
        <v>#N/A</v>
      </c>
      <c r="AI382" s="261" t="e">
        <f t="shared" si="282"/>
        <v>#N/A</v>
      </c>
      <c r="AJ382" s="233" t="e">
        <f t="shared" si="283"/>
        <v>#N/A</v>
      </c>
    </row>
    <row r="383" spans="5:36" s="116" customFormat="1" ht="35.25" customHeight="1" x14ac:dyDescent="0.2">
      <c r="E383" s="218"/>
      <c r="F383" s="73"/>
      <c r="G383" s="67" t="e">
        <f t="shared" si="285"/>
        <v>#N/A</v>
      </c>
      <c r="H383" s="396" t="e">
        <f t="shared" si="286"/>
        <v>#N/A</v>
      </c>
      <c r="I383" s="396" t="e">
        <f t="shared" si="287"/>
        <v>#N/A</v>
      </c>
      <c r="J383" s="396" t="e">
        <f t="shared" si="288"/>
        <v>#N/A</v>
      </c>
      <c r="K383" s="398" t="e">
        <f t="shared" si="289"/>
        <v>#N/A</v>
      </c>
      <c r="L383" s="396" t="e">
        <f t="shared" si="290"/>
        <v>#N/A</v>
      </c>
      <c r="M383" s="398" t="e">
        <f t="shared" si="291"/>
        <v>#N/A</v>
      </c>
      <c r="N383" s="396" t="e">
        <f t="shared" si="292"/>
        <v>#N/A</v>
      </c>
      <c r="O383" s="396" t="e">
        <f t="shared" si="293"/>
        <v>#N/A</v>
      </c>
      <c r="P383" s="396" t="e">
        <f t="shared" si="294"/>
        <v>#N/A</v>
      </c>
      <c r="Q383" s="396" t="e">
        <f t="shared" si="295"/>
        <v>#N/A</v>
      </c>
      <c r="R383" s="396" t="e">
        <f t="shared" si="296"/>
        <v>#N/A</v>
      </c>
      <c r="S383" s="396" t="e">
        <f t="shared" si="297"/>
        <v>#N/A</v>
      </c>
      <c r="T383" s="397" t="e">
        <f t="shared" si="298"/>
        <v>#N/A</v>
      </c>
      <c r="U383" s="396" t="e">
        <f t="shared" si="299"/>
        <v>#N/A</v>
      </c>
      <c r="V383" s="396" t="e">
        <f t="shared" si="300"/>
        <v>#N/A</v>
      </c>
      <c r="W383" s="206" t="e">
        <f t="shared" si="271"/>
        <v>#N/A</v>
      </c>
      <c r="X383" s="207" t="e">
        <f t="shared" si="272"/>
        <v>#N/A</v>
      </c>
      <c r="Y383" s="207" t="e">
        <f t="shared" si="273"/>
        <v>#N/A</v>
      </c>
      <c r="Z383" s="233" t="e">
        <f t="shared" si="274"/>
        <v>#N/A</v>
      </c>
      <c r="AA383" s="208" t="e">
        <f t="shared" si="284"/>
        <v>#N/A</v>
      </c>
      <c r="AB383" s="233" t="e">
        <f t="shared" si="275"/>
        <v>#N/A</v>
      </c>
      <c r="AC383" s="233" t="e">
        <f t="shared" si="276"/>
        <v>#N/A</v>
      </c>
      <c r="AD383" s="233" t="e">
        <f t="shared" si="277"/>
        <v>#N/A</v>
      </c>
      <c r="AE383" s="233" t="e">
        <f t="shared" si="278"/>
        <v>#N/A</v>
      </c>
      <c r="AF383" s="238" t="e">
        <f t="shared" si="279"/>
        <v>#N/A</v>
      </c>
      <c r="AG383" s="238" t="e">
        <f t="shared" si="280"/>
        <v>#N/A</v>
      </c>
      <c r="AH383" s="238" t="e">
        <f t="shared" si="281"/>
        <v>#N/A</v>
      </c>
      <c r="AI383" s="261" t="e">
        <f t="shared" si="282"/>
        <v>#N/A</v>
      </c>
      <c r="AJ383" s="233" t="e">
        <f t="shared" si="283"/>
        <v>#N/A</v>
      </c>
    </row>
    <row r="384" spans="5:36" s="116" customFormat="1" ht="35.25" customHeight="1" x14ac:dyDescent="0.2">
      <c r="E384" s="218"/>
      <c r="F384" s="73"/>
      <c r="G384" s="67" t="e">
        <f t="shared" si="285"/>
        <v>#N/A</v>
      </c>
      <c r="H384" s="396" t="e">
        <f t="shared" si="286"/>
        <v>#N/A</v>
      </c>
      <c r="I384" s="396" t="e">
        <f t="shared" si="287"/>
        <v>#N/A</v>
      </c>
      <c r="J384" s="396" t="e">
        <f t="shared" si="288"/>
        <v>#N/A</v>
      </c>
      <c r="K384" s="398" t="e">
        <f t="shared" si="289"/>
        <v>#N/A</v>
      </c>
      <c r="L384" s="396" t="e">
        <f t="shared" si="290"/>
        <v>#N/A</v>
      </c>
      <c r="M384" s="398" t="e">
        <f t="shared" si="291"/>
        <v>#N/A</v>
      </c>
      <c r="N384" s="396" t="e">
        <f t="shared" si="292"/>
        <v>#N/A</v>
      </c>
      <c r="O384" s="396" t="e">
        <f t="shared" si="293"/>
        <v>#N/A</v>
      </c>
      <c r="P384" s="396" t="e">
        <f t="shared" si="294"/>
        <v>#N/A</v>
      </c>
      <c r="Q384" s="396" t="e">
        <f t="shared" si="295"/>
        <v>#N/A</v>
      </c>
      <c r="R384" s="396" t="e">
        <f t="shared" si="296"/>
        <v>#N/A</v>
      </c>
      <c r="S384" s="396" t="e">
        <f t="shared" si="297"/>
        <v>#N/A</v>
      </c>
      <c r="T384" s="397" t="e">
        <f t="shared" si="298"/>
        <v>#N/A</v>
      </c>
      <c r="U384" s="396" t="e">
        <f t="shared" si="299"/>
        <v>#N/A</v>
      </c>
      <c r="V384" s="396" t="e">
        <f t="shared" si="300"/>
        <v>#N/A</v>
      </c>
      <c r="W384" s="206" t="e">
        <f t="shared" si="271"/>
        <v>#N/A</v>
      </c>
      <c r="X384" s="207" t="e">
        <f t="shared" si="272"/>
        <v>#N/A</v>
      </c>
      <c r="Y384" s="207" t="e">
        <f t="shared" si="273"/>
        <v>#N/A</v>
      </c>
      <c r="Z384" s="233" t="e">
        <f t="shared" si="274"/>
        <v>#N/A</v>
      </c>
      <c r="AA384" s="208" t="e">
        <f t="shared" si="284"/>
        <v>#N/A</v>
      </c>
      <c r="AB384" s="233" t="e">
        <f t="shared" si="275"/>
        <v>#N/A</v>
      </c>
      <c r="AC384" s="233" t="e">
        <f t="shared" si="276"/>
        <v>#N/A</v>
      </c>
      <c r="AD384" s="233" t="e">
        <f t="shared" si="277"/>
        <v>#N/A</v>
      </c>
      <c r="AE384" s="233" t="e">
        <f t="shared" si="278"/>
        <v>#N/A</v>
      </c>
      <c r="AF384" s="238" t="e">
        <f t="shared" si="279"/>
        <v>#N/A</v>
      </c>
      <c r="AG384" s="238" t="e">
        <f t="shared" si="280"/>
        <v>#N/A</v>
      </c>
      <c r="AH384" s="238" t="e">
        <f t="shared" si="281"/>
        <v>#N/A</v>
      </c>
      <c r="AI384" s="261" t="e">
        <f t="shared" si="282"/>
        <v>#N/A</v>
      </c>
      <c r="AJ384" s="233" t="e">
        <f t="shared" si="283"/>
        <v>#N/A</v>
      </c>
    </row>
    <row r="385" spans="5:36" s="116" customFormat="1" ht="35.25" customHeight="1" x14ac:dyDescent="0.2">
      <c r="E385" s="218"/>
      <c r="F385" s="73"/>
      <c r="G385" s="67" t="e">
        <f t="shared" si="285"/>
        <v>#N/A</v>
      </c>
      <c r="H385" s="396" t="e">
        <f t="shared" si="286"/>
        <v>#N/A</v>
      </c>
      <c r="I385" s="396" t="e">
        <f t="shared" si="287"/>
        <v>#N/A</v>
      </c>
      <c r="J385" s="396" t="e">
        <f t="shared" si="288"/>
        <v>#N/A</v>
      </c>
      <c r="K385" s="398" t="e">
        <f t="shared" si="289"/>
        <v>#N/A</v>
      </c>
      <c r="L385" s="396" t="e">
        <f t="shared" si="290"/>
        <v>#N/A</v>
      </c>
      <c r="M385" s="398" t="e">
        <f t="shared" si="291"/>
        <v>#N/A</v>
      </c>
      <c r="N385" s="396" t="e">
        <f t="shared" si="292"/>
        <v>#N/A</v>
      </c>
      <c r="O385" s="396" t="e">
        <f t="shared" si="293"/>
        <v>#N/A</v>
      </c>
      <c r="P385" s="396" t="e">
        <f t="shared" si="294"/>
        <v>#N/A</v>
      </c>
      <c r="Q385" s="396" t="e">
        <f t="shared" si="295"/>
        <v>#N/A</v>
      </c>
      <c r="R385" s="396" t="e">
        <f t="shared" si="296"/>
        <v>#N/A</v>
      </c>
      <c r="S385" s="396" t="e">
        <f t="shared" si="297"/>
        <v>#N/A</v>
      </c>
      <c r="T385" s="397" t="e">
        <f t="shared" si="298"/>
        <v>#N/A</v>
      </c>
      <c r="U385" s="396" t="e">
        <f t="shared" si="299"/>
        <v>#N/A</v>
      </c>
      <c r="V385" s="396" t="e">
        <f t="shared" si="300"/>
        <v>#N/A</v>
      </c>
      <c r="W385" s="206" t="e">
        <f t="shared" si="271"/>
        <v>#N/A</v>
      </c>
      <c r="X385" s="207" t="e">
        <f t="shared" si="272"/>
        <v>#N/A</v>
      </c>
      <c r="Y385" s="207" t="e">
        <f t="shared" si="273"/>
        <v>#N/A</v>
      </c>
      <c r="Z385" s="233" t="e">
        <f t="shared" si="274"/>
        <v>#N/A</v>
      </c>
      <c r="AA385" s="208" t="e">
        <f t="shared" si="284"/>
        <v>#N/A</v>
      </c>
      <c r="AB385" s="233" t="e">
        <f t="shared" si="275"/>
        <v>#N/A</v>
      </c>
      <c r="AC385" s="233" t="e">
        <f t="shared" si="276"/>
        <v>#N/A</v>
      </c>
      <c r="AD385" s="233" t="e">
        <f t="shared" si="277"/>
        <v>#N/A</v>
      </c>
      <c r="AE385" s="233" t="e">
        <f t="shared" si="278"/>
        <v>#N/A</v>
      </c>
      <c r="AF385" s="238" t="e">
        <f t="shared" si="279"/>
        <v>#N/A</v>
      </c>
      <c r="AG385" s="238" t="e">
        <f t="shared" si="280"/>
        <v>#N/A</v>
      </c>
      <c r="AH385" s="238" t="e">
        <f t="shared" si="281"/>
        <v>#N/A</v>
      </c>
      <c r="AI385" s="261" t="e">
        <f t="shared" si="282"/>
        <v>#N/A</v>
      </c>
      <c r="AJ385" s="233" t="e">
        <f t="shared" si="283"/>
        <v>#N/A</v>
      </c>
    </row>
    <row r="386" spans="5:36" s="116" customFormat="1" ht="35.25" customHeight="1" x14ac:dyDescent="0.2">
      <c r="E386" s="218"/>
      <c r="F386" s="73"/>
      <c r="G386" s="67" t="e">
        <f t="shared" si="285"/>
        <v>#N/A</v>
      </c>
      <c r="H386" s="396" t="e">
        <f t="shared" si="286"/>
        <v>#N/A</v>
      </c>
      <c r="I386" s="396" t="e">
        <f t="shared" si="287"/>
        <v>#N/A</v>
      </c>
      <c r="J386" s="396" t="e">
        <f t="shared" si="288"/>
        <v>#N/A</v>
      </c>
      <c r="K386" s="398" t="e">
        <f t="shared" si="289"/>
        <v>#N/A</v>
      </c>
      <c r="L386" s="396" t="e">
        <f t="shared" si="290"/>
        <v>#N/A</v>
      </c>
      <c r="M386" s="398" t="e">
        <f t="shared" si="291"/>
        <v>#N/A</v>
      </c>
      <c r="N386" s="396" t="e">
        <f t="shared" si="292"/>
        <v>#N/A</v>
      </c>
      <c r="O386" s="396" t="e">
        <f t="shared" si="293"/>
        <v>#N/A</v>
      </c>
      <c r="P386" s="396" t="e">
        <f t="shared" si="294"/>
        <v>#N/A</v>
      </c>
      <c r="Q386" s="396" t="e">
        <f t="shared" si="295"/>
        <v>#N/A</v>
      </c>
      <c r="R386" s="396" t="e">
        <f t="shared" si="296"/>
        <v>#N/A</v>
      </c>
      <c r="S386" s="396" t="e">
        <f t="shared" si="297"/>
        <v>#N/A</v>
      </c>
      <c r="T386" s="397" t="e">
        <f t="shared" si="298"/>
        <v>#N/A</v>
      </c>
      <c r="U386" s="396" t="e">
        <f t="shared" si="299"/>
        <v>#N/A</v>
      </c>
      <c r="V386" s="396" t="e">
        <f t="shared" si="300"/>
        <v>#N/A</v>
      </c>
      <c r="W386" s="206" t="e">
        <f t="shared" si="271"/>
        <v>#N/A</v>
      </c>
      <c r="X386" s="207" t="e">
        <f t="shared" si="272"/>
        <v>#N/A</v>
      </c>
      <c r="Y386" s="207" t="e">
        <f t="shared" si="273"/>
        <v>#N/A</v>
      </c>
      <c r="Z386" s="233" t="e">
        <f t="shared" si="274"/>
        <v>#N/A</v>
      </c>
      <c r="AA386" s="208" t="e">
        <f t="shared" si="284"/>
        <v>#N/A</v>
      </c>
      <c r="AB386" s="233" t="e">
        <f t="shared" si="275"/>
        <v>#N/A</v>
      </c>
      <c r="AC386" s="233" t="e">
        <f t="shared" si="276"/>
        <v>#N/A</v>
      </c>
      <c r="AD386" s="233" t="e">
        <f t="shared" si="277"/>
        <v>#N/A</v>
      </c>
      <c r="AE386" s="233" t="e">
        <f t="shared" si="278"/>
        <v>#N/A</v>
      </c>
      <c r="AF386" s="238" t="e">
        <f t="shared" si="279"/>
        <v>#N/A</v>
      </c>
      <c r="AG386" s="238" t="e">
        <f t="shared" si="280"/>
        <v>#N/A</v>
      </c>
      <c r="AH386" s="238" t="e">
        <f t="shared" si="281"/>
        <v>#N/A</v>
      </c>
      <c r="AI386" s="261" t="e">
        <f t="shared" si="282"/>
        <v>#N/A</v>
      </c>
      <c r="AJ386" s="233" t="e">
        <f t="shared" si="283"/>
        <v>#N/A</v>
      </c>
    </row>
    <row r="387" spans="5:36" s="116" customFormat="1" ht="35.25" customHeight="1" x14ac:dyDescent="0.2">
      <c r="E387" s="218"/>
      <c r="F387" s="73"/>
      <c r="G387" s="67" t="e">
        <f t="shared" si="285"/>
        <v>#N/A</v>
      </c>
      <c r="H387" s="396" t="e">
        <f t="shared" si="286"/>
        <v>#N/A</v>
      </c>
      <c r="I387" s="396" t="e">
        <f t="shared" si="287"/>
        <v>#N/A</v>
      </c>
      <c r="J387" s="396" t="e">
        <f t="shared" si="288"/>
        <v>#N/A</v>
      </c>
      <c r="K387" s="398" t="e">
        <f t="shared" si="289"/>
        <v>#N/A</v>
      </c>
      <c r="L387" s="396" t="e">
        <f t="shared" si="290"/>
        <v>#N/A</v>
      </c>
      <c r="M387" s="398" t="e">
        <f t="shared" si="291"/>
        <v>#N/A</v>
      </c>
      <c r="N387" s="396" t="e">
        <f t="shared" si="292"/>
        <v>#N/A</v>
      </c>
      <c r="O387" s="396" t="e">
        <f t="shared" si="293"/>
        <v>#N/A</v>
      </c>
      <c r="P387" s="396" t="e">
        <f t="shared" si="294"/>
        <v>#N/A</v>
      </c>
      <c r="Q387" s="396" t="e">
        <f t="shared" si="295"/>
        <v>#N/A</v>
      </c>
      <c r="R387" s="396" t="e">
        <f t="shared" si="296"/>
        <v>#N/A</v>
      </c>
      <c r="S387" s="396" t="e">
        <f t="shared" si="297"/>
        <v>#N/A</v>
      </c>
      <c r="T387" s="397" t="e">
        <f t="shared" si="298"/>
        <v>#N/A</v>
      </c>
      <c r="U387" s="396" t="e">
        <f t="shared" si="299"/>
        <v>#N/A</v>
      </c>
      <c r="V387" s="396" t="e">
        <f t="shared" si="300"/>
        <v>#N/A</v>
      </c>
      <c r="W387" s="206" t="e">
        <f t="shared" si="271"/>
        <v>#N/A</v>
      </c>
      <c r="X387" s="207" t="e">
        <f t="shared" si="272"/>
        <v>#N/A</v>
      </c>
      <c r="Y387" s="207" t="e">
        <f t="shared" si="273"/>
        <v>#N/A</v>
      </c>
      <c r="Z387" s="233" t="e">
        <f t="shared" si="274"/>
        <v>#N/A</v>
      </c>
      <c r="AA387" s="208" t="e">
        <f t="shared" si="284"/>
        <v>#N/A</v>
      </c>
      <c r="AB387" s="233" t="e">
        <f t="shared" si="275"/>
        <v>#N/A</v>
      </c>
      <c r="AC387" s="233" t="e">
        <f t="shared" si="276"/>
        <v>#N/A</v>
      </c>
      <c r="AD387" s="233" t="e">
        <f t="shared" si="277"/>
        <v>#N/A</v>
      </c>
      <c r="AE387" s="233" t="e">
        <f t="shared" si="278"/>
        <v>#N/A</v>
      </c>
      <c r="AF387" s="238" t="e">
        <f t="shared" si="279"/>
        <v>#N/A</v>
      </c>
      <c r="AG387" s="238" t="e">
        <f t="shared" si="280"/>
        <v>#N/A</v>
      </c>
      <c r="AH387" s="238" t="e">
        <f t="shared" si="281"/>
        <v>#N/A</v>
      </c>
      <c r="AI387" s="261" t="e">
        <f t="shared" si="282"/>
        <v>#N/A</v>
      </c>
      <c r="AJ387" s="233" t="e">
        <f t="shared" si="283"/>
        <v>#N/A</v>
      </c>
    </row>
    <row r="388" spans="5:36" s="116" customFormat="1" ht="35.25" customHeight="1" x14ac:dyDescent="0.2">
      <c r="E388" s="218"/>
      <c r="F388" s="73"/>
      <c r="G388" s="67" t="e">
        <f t="shared" si="285"/>
        <v>#N/A</v>
      </c>
      <c r="H388" s="396" t="e">
        <f t="shared" si="286"/>
        <v>#N/A</v>
      </c>
      <c r="I388" s="396" t="e">
        <f t="shared" si="287"/>
        <v>#N/A</v>
      </c>
      <c r="J388" s="396" t="e">
        <f t="shared" si="288"/>
        <v>#N/A</v>
      </c>
      <c r="K388" s="398" t="e">
        <f t="shared" si="289"/>
        <v>#N/A</v>
      </c>
      <c r="L388" s="396" t="e">
        <f t="shared" si="290"/>
        <v>#N/A</v>
      </c>
      <c r="M388" s="398" t="e">
        <f t="shared" si="291"/>
        <v>#N/A</v>
      </c>
      <c r="N388" s="396" t="e">
        <f t="shared" si="292"/>
        <v>#N/A</v>
      </c>
      <c r="O388" s="396" t="e">
        <f t="shared" si="293"/>
        <v>#N/A</v>
      </c>
      <c r="P388" s="396" t="e">
        <f t="shared" si="294"/>
        <v>#N/A</v>
      </c>
      <c r="Q388" s="396" t="e">
        <f t="shared" si="295"/>
        <v>#N/A</v>
      </c>
      <c r="R388" s="396" t="e">
        <f t="shared" si="296"/>
        <v>#N/A</v>
      </c>
      <c r="S388" s="396" t="e">
        <f t="shared" si="297"/>
        <v>#N/A</v>
      </c>
      <c r="T388" s="397" t="e">
        <f t="shared" si="298"/>
        <v>#N/A</v>
      </c>
      <c r="U388" s="396" t="e">
        <f t="shared" si="299"/>
        <v>#N/A</v>
      </c>
      <c r="V388" s="396" t="e">
        <f t="shared" si="300"/>
        <v>#N/A</v>
      </c>
      <c r="W388" s="206" t="e">
        <f t="shared" si="271"/>
        <v>#N/A</v>
      </c>
      <c r="X388" s="207" t="e">
        <f t="shared" si="272"/>
        <v>#N/A</v>
      </c>
      <c r="Y388" s="207" t="e">
        <f t="shared" si="273"/>
        <v>#N/A</v>
      </c>
      <c r="Z388" s="233" t="e">
        <f t="shared" si="274"/>
        <v>#N/A</v>
      </c>
      <c r="AA388" s="208" t="e">
        <f t="shared" si="284"/>
        <v>#N/A</v>
      </c>
      <c r="AB388" s="233" t="e">
        <f t="shared" si="275"/>
        <v>#N/A</v>
      </c>
      <c r="AC388" s="233" t="e">
        <f t="shared" si="276"/>
        <v>#N/A</v>
      </c>
      <c r="AD388" s="233" t="e">
        <f t="shared" si="277"/>
        <v>#N/A</v>
      </c>
      <c r="AE388" s="233" t="e">
        <f t="shared" si="278"/>
        <v>#N/A</v>
      </c>
      <c r="AF388" s="238" t="e">
        <f t="shared" si="279"/>
        <v>#N/A</v>
      </c>
      <c r="AG388" s="238" t="e">
        <f t="shared" si="280"/>
        <v>#N/A</v>
      </c>
      <c r="AH388" s="238" t="e">
        <f t="shared" si="281"/>
        <v>#N/A</v>
      </c>
      <c r="AI388" s="261" t="e">
        <f t="shared" si="282"/>
        <v>#N/A</v>
      </c>
      <c r="AJ388" s="233" t="e">
        <f t="shared" si="283"/>
        <v>#N/A</v>
      </c>
    </row>
    <row r="389" spans="5:36" s="116" customFormat="1" ht="35.25" customHeight="1" x14ac:dyDescent="0.2">
      <c r="E389" s="218"/>
      <c r="F389" s="73"/>
      <c r="G389" s="67" t="e">
        <f t="shared" si="285"/>
        <v>#N/A</v>
      </c>
      <c r="H389" s="396" t="e">
        <f t="shared" si="286"/>
        <v>#N/A</v>
      </c>
      <c r="I389" s="396" t="e">
        <f t="shared" si="287"/>
        <v>#N/A</v>
      </c>
      <c r="J389" s="396" t="e">
        <f t="shared" si="288"/>
        <v>#N/A</v>
      </c>
      <c r="K389" s="398" t="e">
        <f t="shared" si="289"/>
        <v>#N/A</v>
      </c>
      <c r="L389" s="396" t="e">
        <f t="shared" si="290"/>
        <v>#N/A</v>
      </c>
      <c r="M389" s="398" t="e">
        <f t="shared" si="291"/>
        <v>#N/A</v>
      </c>
      <c r="N389" s="396" t="e">
        <f t="shared" si="292"/>
        <v>#N/A</v>
      </c>
      <c r="O389" s="396" t="e">
        <f t="shared" si="293"/>
        <v>#N/A</v>
      </c>
      <c r="P389" s="396" t="e">
        <f t="shared" si="294"/>
        <v>#N/A</v>
      </c>
      <c r="Q389" s="396" t="e">
        <f t="shared" si="295"/>
        <v>#N/A</v>
      </c>
      <c r="R389" s="396" t="e">
        <f t="shared" si="296"/>
        <v>#N/A</v>
      </c>
      <c r="S389" s="396" t="e">
        <f t="shared" si="297"/>
        <v>#N/A</v>
      </c>
      <c r="T389" s="397" t="e">
        <f t="shared" si="298"/>
        <v>#N/A</v>
      </c>
      <c r="U389" s="396" t="e">
        <f t="shared" si="299"/>
        <v>#N/A</v>
      </c>
      <c r="V389" s="396" t="e">
        <f t="shared" si="300"/>
        <v>#N/A</v>
      </c>
      <c r="W389" s="206" t="e">
        <f t="shared" si="271"/>
        <v>#N/A</v>
      </c>
      <c r="X389" s="207" t="e">
        <f t="shared" si="272"/>
        <v>#N/A</v>
      </c>
      <c r="Y389" s="207" t="e">
        <f t="shared" si="273"/>
        <v>#N/A</v>
      </c>
      <c r="Z389" s="233" t="e">
        <f t="shared" si="274"/>
        <v>#N/A</v>
      </c>
      <c r="AA389" s="208" t="e">
        <f t="shared" si="284"/>
        <v>#N/A</v>
      </c>
      <c r="AB389" s="233" t="e">
        <f t="shared" si="275"/>
        <v>#N/A</v>
      </c>
      <c r="AC389" s="233" t="e">
        <f t="shared" si="276"/>
        <v>#N/A</v>
      </c>
      <c r="AD389" s="233" t="e">
        <f t="shared" si="277"/>
        <v>#N/A</v>
      </c>
      <c r="AE389" s="233" t="e">
        <f t="shared" si="278"/>
        <v>#N/A</v>
      </c>
      <c r="AF389" s="238" t="e">
        <f t="shared" si="279"/>
        <v>#N/A</v>
      </c>
      <c r="AG389" s="238" t="e">
        <f t="shared" si="280"/>
        <v>#N/A</v>
      </c>
      <c r="AH389" s="238" t="e">
        <f t="shared" si="281"/>
        <v>#N/A</v>
      </c>
      <c r="AI389" s="261" t="e">
        <f t="shared" si="282"/>
        <v>#N/A</v>
      </c>
      <c r="AJ389" s="233" t="e">
        <f t="shared" si="283"/>
        <v>#N/A</v>
      </c>
    </row>
    <row r="390" spans="5:36" s="116" customFormat="1" ht="35.25" customHeight="1" x14ac:dyDescent="0.2">
      <c r="E390" s="218"/>
      <c r="F390" s="73"/>
      <c r="G390" s="67" t="e">
        <f t="shared" si="285"/>
        <v>#N/A</v>
      </c>
      <c r="H390" s="396" t="e">
        <f t="shared" si="286"/>
        <v>#N/A</v>
      </c>
      <c r="I390" s="396" t="e">
        <f t="shared" si="287"/>
        <v>#N/A</v>
      </c>
      <c r="J390" s="396" t="e">
        <f t="shared" si="288"/>
        <v>#N/A</v>
      </c>
      <c r="K390" s="398" t="e">
        <f t="shared" si="289"/>
        <v>#N/A</v>
      </c>
      <c r="L390" s="396" t="e">
        <f t="shared" si="290"/>
        <v>#N/A</v>
      </c>
      <c r="M390" s="398" t="e">
        <f t="shared" si="291"/>
        <v>#N/A</v>
      </c>
      <c r="N390" s="396" t="e">
        <f t="shared" si="292"/>
        <v>#N/A</v>
      </c>
      <c r="O390" s="396" t="e">
        <f t="shared" si="293"/>
        <v>#N/A</v>
      </c>
      <c r="P390" s="396" t="e">
        <f t="shared" si="294"/>
        <v>#N/A</v>
      </c>
      <c r="Q390" s="396" t="e">
        <f t="shared" si="295"/>
        <v>#N/A</v>
      </c>
      <c r="R390" s="396" t="e">
        <f t="shared" si="296"/>
        <v>#N/A</v>
      </c>
      <c r="S390" s="396" t="e">
        <f t="shared" si="297"/>
        <v>#N/A</v>
      </c>
      <c r="T390" s="397" t="e">
        <f t="shared" si="298"/>
        <v>#N/A</v>
      </c>
      <c r="U390" s="396" t="e">
        <f t="shared" si="299"/>
        <v>#N/A</v>
      </c>
      <c r="V390" s="396" t="e">
        <f t="shared" si="300"/>
        <v>#N/A</v>
      </c>
      <c r="W390" s="206" t="e">
        <f t="shared" si="271"/>
        <v>#N/A</v>
      </c>
      <c r="X390" s="207" t="e">
        <f t="shared" si="272"/>
        <v>#N/A</v>
      </c>
      <c r="Y390" s="207" t="e">
        <f t="shared" si="273"/>
        <v>#N/A</v>
      </c>
      <c r="Z390" s="233" t="e">
        <f t="shared" si="274"/>
        <v>#N/A</v>
      </c>
      <c r="AA390" s="208" t="e">
        <f t="shared" si="284"/>
        <v>#N/A</v>
      </c>
      <c r="AB390" s="233" t="e">
        <f t="shared" si="275"/>
        <v>#N/A</v>
      </c>
      <c r="AC390" s="233" t="e">
        <f t="shared" si="276"/>
        <v>#N/A</v>
      </c>
      <c r="AD390" s="233" t="e">
        <f t="shared" si="277"/>
        <v>#N/A</v>
      </c>
      <c r="AE390" s="233" t="e">
        <f t="shared" si="278"/>
        <v>#N/A</v>
      </c>
      <c r="AF390" s="238" t="e">
        <f t="shared" si="279"/>
        <v>#N/A</v>
      </c>
      <c r="AG390" s="238" t="e">
        <f t="shared" si="280"/>
        <v>#N/A</v>
      </c>
      <c r="AH390" s="238" t="e">
        <f t="shared" si="281"/>
        <v>#N/A</v>
      </c>
      <c r="AI390" s="261" t="e">
        <f t="shared" si="282"/>
        <v>#N/A</v>
      </c>
      <c r="AJ390" s="233" t="e">
        <f t="shared" si="283"/>
        <v>#N/A</v>
      </c>
    </row>
    <row r="391" spans="5:36" s="116" customFormat="1" ht="35.25" customHeight="1" x14ac:dyDescent="0.2">
      <c r="E391" s="218"/>
      <c r="F391" s="73"/>
      <c r="G391" s="67" t="e">
        <f t="shared" si="285"/>
        <v>#N/A</v>
      </c>
      <c r="H391" s="396" t="e">
        <f t="shared" si="286"/>
        <v>#N/A</v>
      </c>
      <c r="I391" s="396" t="e">
        <f t="shared" si="287"/>
        <v>#N/A</v>
      </c>
      <c r="J391" s="396" t="e">
        <f t="shared" si="288"/>
        <v>#N/A</v>
      </c>
      <c r="K391" s="398" t="e">
        <f t="shared" si="289"/>
        <v>#N/A</v>
      </c>
      <c r="L391" s="396" t="e">
        <f t="shared" si="290"/>
        <v>#N/A</v>
      </c>
      <c r="M391" s="398" t="e">
        <f t="shared" si="291"/>
        <v>#N/A</v>
      </c>
      <c r="N391" s="396" t="e">
        <f t="shared" si="292"/>
        <v>#N/A</v>
      </c>
      <c r="O391" s="396" t="e">
        <f t="shared" si="293"/>
        <v>#N/A</v>
      </c>
      <c r="P391" s="396" t="e">
        <f t="shared" si="294"/>
        <v>#N/A</v>
      </c>
      <c r="Q391" s="396" t="e">
        <f t="shared" si="295"/>
        <v>#N/A</v>
      </c>
      <c r="R391" s="396" t="e">
        <f t="shared" si="296"/>
        <v>#N/A</v>
      </c>
      <c r="S391" s="396" t="e">
        <f t="shared" si="297"/>
        <v>#N/A</v>
      </c>
      <c r="T391" s="397" t="e">
        <f t="shared" si="298"/>
        <v>#N/A</v>
      </c>
      <c r="U391" s="396" t="e">
        <f t="shared" si="299"/>
        <v>#N/A</v>
      </c>
      <c r="V391" s="396" t="e">
        <f t="shared" si="300"/>
        <v>#N/A</v>
      </c>
      <c r="W391" s="206" t="e">
        <f t="shared" si="271"/>
        <v>#N/A</v>
      </c>
      <c r="X391" s="207" t="e">
        <f t="shared" si="272"/>
        <v>#N/A</v>
      </c>
      <c r="Y391" s="207" t="e">
        <f t="shared" si="273"/>
        <v>#N/A</v>
      </c>
      <c r="Z391" s="233" t="e">
        <f t="shared" si="274"/>
        <v>#N/A</v>
      </c>
      <c r="AA391" s="208" t="e">
        <f t="shared" si="284"/>
        <v>#N/A</v>
      </c>
      <c r="AB391" s="233" t="e">
        <f t="shared" si="275"/>
        <v>#N/A</v>
      </c>
      <c r="AC391" s="233" t="e">
        <f t="shared" si="276"/>
        <v>#N/A</v>
      </c>
      <c r="AD391" s="233" t="e">
        <f t="shared" si="277"/>
        <v>#N/A</v>
      </c>
      <c r="AE391" s="233" t="e">
        <f t="shared" si="278"/>
        <v>#N/A</v>
      </c>
      <c r="AF391" s="238" t="e">
        <f t="shared" si="279"/>
        <v>#N/A</v>
      </c>
      <c r="AG391" s="238" t="e">
        <f t="shared" si="280"/>
        <v>#N/A</v>
      </c>
      <c r="AH391" s="238" t="e">
        <f t="shared" si="281"/>
        <v>#N/A</v>
      </c>
      <c r="AI391" s="261" t="e">
        <f t="shared" si="282"/>
        <v>#N/A</v>
      </c>
      <c r="AJ391" s="233" t="e">
        <f t="shared" si="283"/>
        <v>#N/A</v>
      </c>
    </row>
    <row r="392" spans="5:36" s="116" customFormat="1" ht="35.25" customHeight="1" x14ac:dyDescent="0.2">
      <c r="E392" s="218"/>
      <c r="F392" s="73"/>
      <c r="G392" s="67" t="e">
        <f t="shared" si="285"/>
        <v>#N/A</v>
      </c>
      <c r="H392" s="396" t="e">
        <f t="shared" si="286"/>
        <v>#N/A</v>
      </c>
      <c r="I392" s="396" t="e">
        <f t="shared" si="287"/>
        <v>#N/A</v>
      </c>
      <c r="J392" s="396" t="e">
        <f t="shared" si="288"/>
        <v>#N/A</v>
      </c>
      <c r="K392" s="398" t="e">
        <f t="shared" si="289"/>
        <v>#N/A</v>
      </c>
      <c r="L392" s="396" t="e">
        <f t="shared" si="290"/>
        <v>#N/A</v>
      </c>
      <c r="M392" s="398" t="e">
        <f t="shared" si="291"/>
        <v>#N/A</v>
      </c>
      <c r="N392" s="396" t="e">
        <f t="shared" si="292"/>
        <v>#N/A</v>
      </c>
      <c r="O392" s="396" t="e">
        <f t="shared" si="293"/>
        <v>#N/A</v>
      </c>
      <c r="P392" s="396" t="e">
        <f t="shared" si="294"/>
        <v>#N/A</v>
      </c>
      <c r="Q392" s="396" t="e">
        <f t="shared" si="295"/>
        <v>#N/A</v>
      </c>
      <c r="R392" s="396" t="e">
        <f t="shared" si="296"/>
        <v>#N/A</v>
      </c>
      <c r="S392" s="396" t="e">
        <f t="shared" si="297"/>
        <v>#N/A</v>
      </c>
      <c r="T392" s="397" t="e">
        <f t="shared" si="298"/>
        <v>#N/A</v>
      </c>
      <c r="U392" s="396" t="e">
        <f t="shared" si="299"/>
        <v>#N/A</v>
      </c>
      <c r="V392" s="396" t="e">
        <f t="shared" si="300"/>
        <v>#N/A</v>
      </c>
      <c r="W392" s="206" t="e">
        <f t="shared" si="271"/>
        <v>#N/A</v>
      </c>
      <c r="X392" s="207" t="e">
        <f t="shared" si="272"/>
        <v>#N/A</v>
      </c>
      <c r="Y392" s="207" t="e">
        <f t="shared" si="273"/>
        <v>#N/A</v>
      </c>
      <c r="Z392" s="233" t="e">
        <f t="shared" si="274"/>
        <v>#N/A</v>
      </c>
      <c r="AA392" s="208" t="e">
        <f t="shared" si="284"/>
        <v>#N/A</v>
      </c>
      <c r="AB392" s="233" t="e">
        <f t="shared" si="275"/>
        <v>#N/A</v>
      </c>
      <c r="AC392" s="233" t="e">
        <f t="shared" si="276"/>
        <v>#N/A</v>
      </c>
      <c r="AD392" s="233" t="e">
        <f t="shared" si="277"/>
        <v>#N/A</v>
      </c>
      <c r="AE392" s="233" t="e">
        <f t="shared" si="278"/>
        <v>#N/A</v>
      </c>
      <c r="AF392" s="238" t="e">
        <f t="shared" si="279"/>
        <v>#N/A</v>
      </c>
      <c r="AG392" s="238" t="e">
        <f t="shared" si="280"/>
        <v>#N/A</v>
      </c>
      <c r="AH392" s="238" t="e">
        <f t="shared" si="281"/>
        <v>#N/A</v>
      </c>
      <c r="AI392" s="261" t="e">
        <f t="shared" si="282"/>
        <v>#N/A</v>
      </c>
      <c r="AJ392" s="233" t="e">
        <f t="shared" si="283"/>
        <v>#N/A</v>
      </c>
    </row>
    <row r="393" spans="5:36" s="116" customFormat="1" ht="35.25" customHeight="1" x14ac:dyDescent="0.2">
      <c r="E393" s="218"/>
      <c r="F393" s="73"/>
      <c r="G393" s="67" t="e">
        <f t="shared" si="285"/>
        <v>#N/A</v>
      </c>
      <c r="H393" s="396" t="e">
        <f t="shared" si="286"/>
        <v>#N/A</v>
      </c>
      <c r="I393" s="396" t="e">
        <f t="shared" si="287"/>
        <v>#N/A</v>
      </c>
      <c r="J393" s="396" t="e">
        <f t="shared" si="288"/>
        <v>#N/A</v>
      </c>
      <c r="K393" s="398" t="e">
        <f t="shared" si="289"/>
        <v>#N/A</v>
      </c>
      <c r="L393" s="396" t="e">
        <f t="shared" si="290"/>
        <v>#N/A</v>
      </c>
      <c r="M393" s="398" t="e">
        <f t="shared" si="291"/>
        <v>#N/A</v>
      </c>
      <c r="N393" s="396" t="e">
        <f t="shared" si="292"/>
        <v>#N/A</v>
      </c>
      <c r="O393" s="396" t="e">
        <f t="shared" si="293"/>
        <v>#N/A</v>
      </c>
      <c r="P393" s="396" t="e">
        <f t="shared" si="294"/>
        <v>#N/A</v>
      </c>
      <c r="Q393" s="396" t="e">
        <f t="shared" si="295"/>
        <v>#N/A</v>
      </c>
      <c r="R393" s="396" t="e">
        <f t="shared" si="296"/>
        <v>#N/A</v>
      </c>
      <c r="S393" s="396" t="e">
        <f t="shared" si="297"/>
        <v>#N/A</v>
      </c>
      <c r="T393" s="397" t="e">
        <f t="shared" si="298"/>
        <v>#N/A</v>
      </c>
      <c r="U393" s="396" t="e">
        <f t="shared" si="299"/>
        <v>#N/A</v>
      </c>
      <c r="V393" s="396" t="e">
        <f t="shared" si="300"/>
        <v>#N/A</v>
      </c>
      <c r="W393" s="206" t="e">
        <f t="shared" ref="W393:W407" si="301">LEFT(H393,8)</f>
        <v>#N/A</v>
      </c>
      <c r="X393" s="207" t="e">
        <f t="shared" ref="X393:X407" si="302">VLOOKUP(W393,UE,3,FALSE)</f>
        <v>#N/A</v>
      </c>
      <c r="Y393" s="207" t="e">
        <f t="shared" ref="Y393:Y407" si="303">VLOOKUP(W393,UE,4,FALSE)</f>
        <v>#N/A</v>
      </c>
      <c r="Z393" s="233" t="e">
        <f t="shared" ref="Z393:Z407" si="304">(T393-10)/Y393</f>
        <v>#N/A</v>
      </c>
      <c r="AA393" s="208" t="e">
        <f t="shared" si="284"/>
        <v>#N/A</v>
      </c>
      <c r="AB393" s="233" t="e">
        <f t="shared" ref="AB393:AB407" si="305">IF(AA393&gt;Y393,T393-10,Z393*AA393)</f>
        <v>#N/A</v>
      </c>
      <c r="AC393" s="233" t="e">
        <f t="shared" ref="AC393:AC407" si="306">IF(T393-10=AB393,0,Z393)</f>
        <v>#N/A</v>
      </c>
      <c r="AD393" s="233" t="e">
        <f t="shared" ref="AD393:AD407" si="307">IF(T393-10=AB393+AC393,0,Z393)</f>
        <v>#N/A</v>
      </c>
      <c r="AE393" s="233" t="e">
        <f t="shared" ref="AE393:AE407" si="308">IF(T393-10=AB393+AC393+AD393,0,Z393)</f>
        <v>#N/A</v>
      </c>
      <c r="AF393" s="238" t="e">
        <f t="shared" ref="AF393:AF407" si="309">IF(T393-10=AC393+AD393+AE393+AB393,0,Z393)</f>
        <v>#N/A</v>
      </c>
      <c r="AG393" s="238" t="e">
        <f t="shared" ref="AG393:AG407" si="310">IF(T393-10=AC393+AD393+AE393+AB393+AF393,0,Z393)</f>
        <v>#N/A</v>
      </c>
      <c r="AH393" s="238" t="e">
        <f t="shared" ref="AH393:AH407" si="311">SUM(AB393:AG393)</f>
        <v>#N/A</v>
      </c>
      <c r="AI393" s="261" t="e">
        <f t="shared" ref="AI393:AI407" si="312">O393</f>
        <v>#N/A</v>
      </c>
      <c r="AJ393" s="233" t="e">
        <f t="shared" ref="AJ393:AJ407" si="313">T393-AH393</f>
        <v>#N/A</v>
      </c>
    </row>
    <row r="394" spans="5:36" s="116" customFormat="1" ht="35.25" customHeight="1" x14ac:dyDescent="0.2">
      <c r="E394" s="218"/>
      <c r="F394" s="73"/>
      <c r="G394" s="67" t="e">
        <f t="shared" si="285"/>
        <v>#N/A</v>
      </c>
      <c r="H394" s="396" t="e">
        <f t="shared" si="286"/>
        <v>#N/A</v>
      </c>
      <c r="I394" s="396" t="e">
        <f t="shared" si="287"/>
        <v>#N/A</v>
      </c>
      <c r="J394" s="396" t="e">
        <f t="shared" si="288"/>
        <v>#N/A</v>
      </c>
      <c r="K394" s="398" t="e">
        <f t="shared" si="289"/>
        <v>#N/A</v>
      </c>
      <c r="L394" s="396" t="e">
        <f t="shared" si="290"/>
        <v>#N/A</v>
      </c>
      <c r="M394" s="398" t="e">
        <f t="shared" si="291"/>
        <v>#N/A</v>
      </c>
      <c r="N394" s="396" t="e">
        <f t="shared" si="292"/>
        <v>#N/A</v>
      </c>
      <c r="O394" s="396" t="e">
        <f t="shared" si="293"/>
        <v>#N/A</v>
      </c>
      <c r="P394" s="396" t="e">
        <f t="shared" si="294"/>
        <v>#N/A</v>
      </c>
      <c r="Q394" s="396" t="e">
        <f t="shared" si="295"/>
        <v>#N/A</v>
      </c>
      <c r="R394" s="396" t="e">
        <f t="shared" si="296"/>
        <v>#N/A</v>
      </c>
      <c r="S394" s="396" t="e">
        <f t="shared" si="297"/>
        <v>#N/A</v>
      </c>
      <c r="T394" s="397" t="e">
        <f t="shared" si="298"/>
        <v>#N/A</v>
      </c>
      <c r="U394" s="396" t="e">
        <f t="shared" si="299"/>
        <v>#N/A</v>
      </c>
      <c r="V394" s="396" t="e">
        <f t="shared" si="300"/>
        <v>#N/A</v>
      </c>
      <c r="W394" s="206" t="e">
        <f t="shared" si="301"/>
        <v>#N/A</v>
      </c>
      <c r="X394" s="207" t="e">
        <f t="shared" si="302"/>
        <v>#N/A</v>
      </c>
      <c r="Y394" s="207" t="e">
        <f t="shared" si="303"/>
        <v>#N/A</v>
      </c>
      <c r="Z394" s="233" t="e">
        <f t="shared" si="304"/>
        <v>#N/A</v>
      </c>
      <c r="AA394" s="208" t="e">
        <f t="shared" si="284"/>
        <v>#N/A</v>
      </c>
      <c r="AB394" s="233" t="e">
        <f t="shared" si="305"/>
        <v>#N/A</v>
      </c>
      <c r="AC394" s="233" t="e">
        <f t="shared" si="306"/>
        <v>#N/A</v>
      </c>
      <c r="AD394" s="233" t="e">
        <f t="shared" si="307"/>
        <v>#N/A</v>
      </c>
      <c r="AE394" s="233" t="e">
        <f t="shared" si="308"/>
        <v>#N/A</v>
      </c>
      <c r="AF394" s="238" t="e">
        <f t="shared" si="309"/>
        <v>#N/A</v>
      </c>
      <c r="AG394" s="238" t="e">
        <f t="shared" si="310"/>
        <v>#N/A</v>
      </c>
      <c r="AH394" s="238" t="e">
        <f t="shared" si="311"/>
        <v>#N/A</v>
      </c>
      <c r="AI394" s="261" t="e">
        <f t="shared" si="312"/>
        <v>#N/A</v>
      </c>
      <c r="AJ394" s="233" t="e">
        <f t="shared" si="313"/>
        <v>#N/A</v>
      </c>
    </row>
    <row r="395" spans="5:36" s="116" customFormat="1" ht="35.25" customHeight="1" x14ac:dyDescent="0.2">
      <c r="E395" s="218"/>
      <c r="F395" s="73"/>
      <c r="G395" s="67" t="e">
        <f t="shared" si="285"/>
        <v>#N/A</v>
      </c>
      <c r="H395" s="396" t="e">
        <f t="shared" si="286"/>
        <v>#N/A</v>
      </c>
      <c r="I395" s="396" t="e">
        <f t="shared" si="287"/>
        <v>#N/A</v>
      </c>
      <c r="J395" s="396" t="e">
        <f t="shared" si="288"/>
        <v>#N/A</v>
      </c>
      <c r="K395" s="398" t="e">
        <f t="shared" si="289"/>
        <v>#N/A</v>
      </c>
      <c r="L395" s="396" t="e">
        <f t="shared" si="290"/>
        <v>#N/A</v>
      </c>
      <c r="M395" s="398" t="e">
        <f t="shared" si="291"/>
        <v>#N/A</v>
      </c>
      <c r="N395" s="396" t="e">
        <f t="shared" si="292"/>
        <v>#N/A</v>
      </c>
      <c r="O395" s="396" t="e">
        <f t="shared" si="293"/>
        <v>#N/A</v>
      </c>
      <c r="P395" s="396" t="e">
        <f t="shared" si="294"/>
        <v>#N/A</v>
      </c>
      <c r="Q395" s="396" t="e">
        <f t="shared" si="295"/>
        <v>#N/A</v>
      </c>
      <c r="R395" s="396" t="e">
        <f t="shared" si="296"/>
        <v>#N/A</v>
      </c>
      <c r="S395" s="396" t="e">
        <f t="shared" si="297"/>
        <v>#N/A</v>
      </c>
      <c r="T395" s="397" t="e">
        <f t="shared" si="298"/>
        <v>#N/A</v>
      </c>
      <c r="U395" s="396" t="e">
        <f t="shared" si="299"/>
        <v>#N/A</v>
      </c>
      <c r="V395" s="396" t="e">
        <f t="shared" si="300"/>
        <v>#N/A</v>
      </c>
      <c r="W395" s="206" t="e">
        <f t="shared" si="301"/>
        <v>#N/A</v>
      </c>
      <c r="X395" s="207" t="e">
        <f t="shared" si="302"/>
        <v>#N/A</v>
      </c>
      <c r="Y395" s="207" t="e">
        <f t="shared" si="303"/>
        <v>#N/A</v>
      </c>
      <c r="Z395" s="233" t="e">
        <f t="shared" si="304"/>
        <v>#N/A</v>
      </c>
      <c r="AA395" s="208" t="e">
        <f t="shared" si="284"/>
        <v>#N/A</v>
      </c>
      <c r="AB395" s="233" t="e">
        <f t="shared" si="305"/>
        <v>#N/A</v>
      </c>
      <c r="AC395" s="233" t="e">
        <f t="shared" si="306"/>
        <v>#N/A</v>
      </c>
      <c r="AD395" s="233" t="e">
        <f t="shared" si="307"/>
        <v>#N/A</v>
      </c>
      <c r="AE395" s="233" t="e">
        <f t="shared" si="308"/>
        <v>#N/A</v>
      </c>
      <c r="AF395" s="238" t="e">
        <f t="shared" si="309"/>
        <v>#N/A</v>
      </c>
      <c r="AG395" s="238" t="e">
        <f t="shared" si="310"/>
        <v>#N/A</v>
      </c>
      <c r="AH395" s="238" t="e">
        <f t="shared" si="311"/>
        <v>#N/A</v>
      </c>
      <c r="AI395" s="261" t="e">
        <f t="shared" si="312"/>
        <v>#N/A</v>
      </c>
      <c r="AJ395" s="233" t="e">
        <f t="shared" si="313"/>
        <v>#N/A</v>
      </c>
    </row>
    <row r="396" spans="5:36" s="116" customFormat="1" ht="35.25" customHeight="1" x14ac:dyDescent="0.2">
      <c r="E396" s="218"/>
      <c r="F396" s="73"/>
      <c r="G396" s="67" t="e">
        <f t="shared" si="285"/>
        <v>#N/A</v>
      </c>
      <c r="H396" s="396" t="e">
        <f t="shared" si="286"/>
        <v>#N/A</v>
      </c>
      <c r="I396" s="396" t="e">
        <f t="shared" si="287"/>
        <v>#N/A</v>
      </c>
      <c r="J396" s="396" t="e">
        <f t="shared" si="288"/>
        <v>#N/A</v>
      </c>
      <c r="K396" s="398" t="e">
        <f t="shared" si="289"/>
        <v>#N/A</v>
      </c>
      <c r="L396" s="396" t="e">
        <f t="shared" si="290"/>
        <v>#N/A</v>
      </c>
      <c r="M396" s="398" t="e">
        <f t="shared" si="291"/>
        <v>#N/A</v>
      </c>
      <c r="N396" s="396" t="e">
        <f t="shared" si="292"/>
        <v>#N/A</v>
      </c>
      <c r="O396" s="396" t="e">
        <f t="shared" si="293"/>
        <v>#N/A</v>
      </c>
      <c r="P396" s="396" t="e">
        <f t="shared" si="294"/>
        <v>#N/A</v>
      </c>
      <c r="Q396" s="396" t="e">
        <f t="shared" si="295"/>
        <v>#N/A</v>
      </c>
      <c r="R396" s="396" t="e">
        <f t="shared" si="296"/>
        <v>#N/A</v>
      </c>
      <c r="S396" s="396" t="e">
        <f t="shared" si="297"/>
        <v>#N/A</v>
      </c>
      <c r="T396" s="397" t="e">
        <f t="shared" si="298"/>
        <v>#N/A</v>
      </c>
      <c r="U396" s="396" t="e">
        <f t="shared" si="299"/>
        <v>#N/A</v>
      </c>
      <c r="V396" s="396" t="e">
        <f t="shared" si="300"/>
        <v>#N/A</v>
      </c>
      <c r="W396" s="206" t="e">
        <f t="shared" si="301"/>
        <v>#N/A</v>
      </c>
      <c r="X396" s="207" t="e">
        <f t="shared" si="302"/>
        <v>#N/A</v>
      </c>
      <c r="Y396" s="207" t="e">
        <f t="shared" si="303"/>
        <v>#N/A</v>
      </c>
      <c r="Z396" s="233" t="e">
        <f t="shared" si="304"/>
        <v>#N/A</v>
      </c>
      <c r="AA396" s="208" t="e">
        <f t="shared" si="284"/>
        <v>#N/A</v>
      </c>
      <c r="AB396" s="233" t="e">
        <f t="shared" si="305"/>
        <v>#N/A</v>
      </c>
      <c r="AC396" s="233" t="e">
        <f t="shared" si="306"/>
        <v>#N/A</v>
      </c>
      <c r="AD396" s="233" t="e">
        <f t="shared" si="307"/>
        <v>#N/A</v>
      </c>
      <c r="AE396" s="233" t="e">
        <f t="shared" si="308"/>
        <v>#N/A</v>
      </c>
      <c r="AF396" s="238" t="e">
        <f t="shared" si="309"/>
        <v>#N/A</v>
      </c>
      <c r="AG396" s="238" t="e">
        <f t="shared" si="310"/>
        <v>#N/A</v>
      </c>
      <c r="AH396" s="238" t="e">
        <f t="shared" si="311"/>
        <v>#N/A</v>
      </c>
      <c r="AI396" s="261" t="e">
        <f t="shared" si="312"/>
        <v>#N/A</v>
      </c>
      <c r="AJ396" s="233" t="e">
        <f t="shared" si="313"/>
        <v>#N/A</v>
      </c>
    </row>
    <row r="397" spans="5:36" s="116" customFormat="1" ht="35.25" customHeight="1" x14ac:dyDescent="0.2">
      <c r="E397" s="218"/>
      <c r="F397" s="73"/>
      <c r="G397" s="67" t="e">
        <f t="shared" si="285"/>
        <v>#N/A</v>
      </c>
      <c r="H397" s="396" t="e">
        <f t="shared" si="286"/>
        <v>#N/A</v>
      </c>
      <c r="I397" s="396" t="e">
        <f t="shared" si="287"/>
        <v>#N/A</v>
      </c>
      <c r="J397" s="396" t="e">
        <f t="shared" si="288"/>
        <v>#N/A</v>
      </c>
      <c r="K397" s="398" t="e">
        <f t="shared" si="289"/>
        <v>#N/A</v>
      </c>
      <c r="L397" s="396" t="e">
        <f t="shared" si="290"/>
        <v>#N/A</v>
      </c>
      <c r="M397" s="398" t="e">
        <f t="shared" si="291"/>
        <v>#N/A</v>
      </c>
      <c r="N397" s="396" t="e">
        <f t="shared" si="292"/>
        <v>#N/A</v>
      </c>
      <c r="O397" s="396" t="e">
        <f t="shared" si="293"/>
        <v>#N/A</v>
      </c>
      <c r="P397" s="396" t="e">
        <f t="shared" si="294"/>
        <v>#N/A</v>
      </c>
      <c r="Q397" s="396" t="e">
        <f t="shared" si="295"/>
        <v>#N/A</v>
      </c>
      <c r="R397" s="396" t="e">
        <f t="shared" si="296"/>
        <v>#N/A</v>
      </c>
      <c r="S397" s="396" t="e">
        <f t="shared" si="297"/>
        <v>#N/A</v>
      </c>
      <c r="T397" s="397" t="e">
        <f t="shared" si="298"/>
        <v>#N/A</v>
      </c>
      <c r="U397" s="396" t="e">
        <f t="shared" si="299"/>
        <v>#N/A</v>
      </c>
      <c r="V397" s="396" t="e">
        <f t="shared" si="300"/>
        <v>#N/A</v>
      </c>
      <c r="W397" s="206" t="e">
        <f t="shared" si="301"/>
        <v>#N/A</v>
      </c>
      <c r="X397" s="207" t="e">
        <f t="shared" si="302"/>
        <v>#N/A</v>
      </c>
      <c r="Y397" s="207" t="e">
        <f t="shared" si="303"/>
        <v>#N/A</v>
      </c>
      <c r="Z397" s="233" t="e">
        <f t="shared" si="304"/>
        <v>#N/A</v>
      </c>
      <c r="AA397" s="208" t="e">
        <f t="shared" si="284"/>
        <v>#N/A</v>
      </c>
      <c r="AB397" s="233" t="e">
        <f t="shared" si="305"/>
        <v>#N/A</v>
      </c>
      <c r="AC397" s="233" t="e">
        <f t="shared" si="306"/>
        <v>#N/A</v>
      </c>
      <c r="AD397" s="233" t="e">
        <f t="shared" si="307"/>
        <v>#N/A</v>
      </c>
      <c r="AE397" s="233" t="e">
        <f t="shared" si="308"/>
        <v>#N/A</v>
      </c>
      <c r="AF397" s="238" t="e">
        <f t="shared" si="309"/>
        <v>#N/A</v>
      </c>
      <c r="AG397" s="238" t="e">
        <f t="shared" si="310"/>
        <v>#N/A</v>
      </c>
      <c r="AH397" s="238" t="e">
        <f t="shared" si="311"/>
        <v>#N/A</v>
      </c>
      <c r="AI397" s="261" t="e">
        <f t="shared" si="312"/>
        <v>#N/A</v>
      </c>
      <c r="AJ397" s="233" t="e">
        <f t="shared" si="313"/>
        <v>#N/A</v>
      </c>
    </row>
    <row r="398" spans="5:36" s="116" customFormat="1" ht="35.25" customHeight="1" x14ac:dyDescent="0.2">
      <c r="E398" s="218"/>
      <c r="F398" s="73"/>
      <c r="G398" s="67" t="e">
        <f t="shared" si="285"/>
        <v>#N/A</v>
      </c>
      <c r="H398" s="396" t="e">
        <f t="shared" si="286"/>
        <v>#N/A</v>
      </c>
      <c r="I398" s="396" t="e">
        <f t="shared" si="287"/>
        <v>#N/A</v>
      </c>
      <c r="J398" s="396" t="e">
        <f t="shared" si="288"/>
        <v>#N/A</v>
      </c>
      <c r="K398" s="398" t="e">
        <f t="shared" si="289"/>
        <v>#N/A</v>
      </c>
      <c r="L398" s="396" t="e">
        <f t="shared" si="290"/>
        <v>#N/A</v>
      </c>
      <c r="M398" s="398" t="e">
        <f t="shared" si="291"/>
        <v>#N/A</v>
      </c>
      <c r="N398" s="396" t="e">
        <f t="shared" si="292"/>
        <v>#N/A</v>
      </c>
      <c r="O398" s="396" t="e">
        <f t="shared" si="293"/>
        <v>#N/A</v>
      </c>
      <c r="P398" s="396" t="e">
        <f t="shared" si="294"/>
        <v>#N/A</v>
      </c>
      <c r="Q398" s="396" t="e">
        <f t="shared" si="295"/>
        <v>#N/A</v>
      </c>
      <c r="R398" s="396" t="e">
        <f t="shared" si="296"/>
        <v>#N/A</v>
      </c>
      <c r="S398" s="396" t="e">
        <f t="shared" si="297"/>
        <v>#N/A</v>
      </c>
      <c r="T398" s="397" t="e">
        <f t="shared" si="298"/>
        <v>#N/A</v>
      </c>
      <c r="U398" s="396" t="e">
        <f t="shared" si="299"/>
        <v>#N/A</v>
      </c>
      <c r="V398" s="396" t="e">
        <f t="shared" si="300"/>
        <v>#N/A</v>
      </c>
      <c r="W398" s="206" t="e">
        <f t="shared" si="301"/>
        <v>#N/A</v>
      </c>
      <c r="X398" s="207" t="e">
        <f t="shared" si="302"/>
        <v>#N/A</v>
      </c>
      <c r="Y398" s="207" t="e">
        <f t="shared" si="303"/>
        <v>#N/A</v>
      </c>
      <c r="Z398" s="233" t="e">
        <f t="shared" si="304"/>
        <v>#N/A</v>
      </c>
      <c r="AA398" s="208" t="e">
        <f t="shared" ref="AA398:AA461" si="314">IF(2013-O398&gt;Y398,Y398,IF(2013-O398&lt;0,0,2013-O398))</f>
        <v>#N/A</v>
      </c>
      <c r="AB398" s="233" t="e">
        <f t="shared" si="305"/>
        <v>#N/A</v>
      </c>
      <c r="AC398" s="233" t="e">
        <f t="shared" si="306"/>
        <v>#N/A</v>
      </c>
      <c r="AD398" s="233" t="e">
        <f t="shared" si="307"/>
        <v>#N/A</v>
      </c>
      <c r="AE398" s="233" t="e">
        <f t="shared" si="308"/>
        <v>#N/A</v>
      </c>
      <c r="AF398" s="238" t="e">
        <f t="shared" si="309"/>
        <v>#N/A</v>
      </c>
      <c r="AG398" s="238" t="e">
        <f t="shared" si="310"/>
        <v>#N/A</v>
      </c>
      <c r="AH398" s="238" t="e">
        <f t="shared" si="311"/>
        <v>#N/A</v>
      </c>
      <c r="AI398" s="261" t="e">
        <f t="shared" si="312"/>
        <v>#N/A</v>
      </c>
      <c r="AJ398" s="233" t="e">
        <f t="shared" si="313"/>
        <v>#N/A</v>
      </c>
    </row>
    <row r="399" spans="5:36" s="116" customFormat="1" ht="35.25" customHeight="1" x14ac:dyDescent="0.2">
      <c r="E399" s="218"/>
      <c r="F399" s="73"/>
      <c r="G399" s="67" t="e">
        <f t="shared" si="285"/>
        <v>#N/A</v>
      </c>
      <c r="H399" s="396" t="e">
        <f t="shared" si="286"/>
        <v>#N/A</v>
      </c>
      <c r="I399" s="396" t="e">
        <f t="shared" si="287"/>
        <v>#N/A</v>
      </c>
      <c r="J399" s="396" t="e">
        <f t="shared" si="288"/>
        <v>#N/A</v>
      </c>
      <c r="K399" s="398" t="e">
        <f t="shared" si="289"/>
        <v>#N/A</v>
      </c>
      <c r="L399" s="396" t="e">
        <f t="shared" si="290"/>
        <v>#N/A</v>
      </c>
      <c r="M399" s="398" t="e">
        <f t="shared" si="291"/>
        <v>#N/A</v>
      </c>
      <c r="N399" s="396" t="e">
        <f t="shared" si="292"/>
        <v>#N/A</v>
      </c>
      <c r="O399" s="396" t="e">
        <f t="shared" si="293"/>
        <v>#N/A</v>
      </c>
      <c r="P399" s="396" t="e">
        <f t="shared" si="294"/>
        <v>#N/A</v>
      </c>
      <c r="Q399" s="396" t="e">
        <f t="shared" si="295"/>
        <v>#N/A</v>
      </c>
      <c r="R399" s="396" t="e">
        <f t="shared" si="296"/>
        <v>#N/A</v>
      </c>
      <c r="S399" s="396" t="e">
        <f t="shared" si="297"/>
        <v>#N/A</v>
      </c>
      <c r="T399" s="397" t="e">
        <f t="shared" si="298"/>
        <v>#N/A</v>
      </c>
      <c r="U399" s="396" t="e">
        <f t="shared" si="299"/>
        <v>#N/A</v>
      </c>
      <c r="V399" s="396" t="e">
        <f t="shared" si="300"/>
        <v>#N/A</v>
      </c>
      <c r="W399" s="206" t="e">
        <f t="shared" si="301"/>
        <v>#N/A</v>
      </c>
      <c r="X399" s="207" t="e">
        <f t="shared" si="302"/>
        <v>#N/A</v>
      </c>
      <c r="Y399" s="207" t="e">
        <f t="shared" si="303"/>
        <v>#N/A</v>
      </c>
      <c r="Z399" s="233" t="e">
        <f t="shared" si="304"/>
        <v>#N/A</v>
      </c>
      <c r="AA399" s="208" t="e">
        <f t="shared" si="314"/>
        <v>#N/A</v>
      </c>
      <c r="AB399" s="233" t="e">
        <f t="shared" si="305"/>
        <v>#N/A</v>
      </c>
      <c r="AC399" s="233" t="e">
        <f t="shared" si="306"/>
        <v>#N/A</v>
      </c>
      <c r="AD399" s="233" t="e">
        <f t="shared" si="307"/>
        <v>#N/A</v>
      </c>
      <c r="AE399" s="233" t="e">
        <f t="shared" si="308"/>
        <v>#N/A</v>
      </c>
      <c r="AF399" s="238" t="e">
        <f t="shared" si="309"/>
        <v>#N/A</v>
      </c>
      <c r="AG399" s="238" t="e">
        <f t="shared" si="310"/>
        <v>#N/A</v>
      </c>
      <c r="AH399" s="238" t="e">
        <f t="shared" si="311"/>
        <v>#N/A</v>
      </c>
      <c r="AI399" s="261" t="e">
        <f t="shared" si="312"/>
        <v>#N/A</v>
      </c>
      <c r="AJ399" s="233" t="e">
        <f t="shared" si="313"/>
        <v>#N/A</v>
      </c>
    </row>
    <row r="400" spans="5:36" s="116" customFormat="1" ht="35.25" customHeight="1" x14ac:dyDescent="0.2">
      <c r="E400" s="218"/>
      <c r="F400" s="73"/>
      <c r="G400" s="67" t="e">
        <f t="shared" si="285"/>
        <v>#N/A</v>
      </c>
      <c r="H400" s="396" t="e">
        <f t="shared" si="286"/>
        <v>#N/A</v>
      </c>
      <c r="I400" s="396" t="e">
        <f t="shared" si="287"/>
        <v>#N/A</v>
      </c>
      <c r="J400" s="396" t="e">
        <f t="shared" si="288"/>
        <v>#N/A</v>
      </c>
      <c r="K400" s="398" t="e">
        <f t="shared" si="289"/>
        <v>#N/A</v>
      </c>
      <c r="L400" s="396" t="e">
        <f t="shared" si="290"/>
        <v>#N/A</v>
      </c>
      <c r="M400" s="398" t="e">
        <f t="shared" si="291"/>
        <v>#N/A</v>
      </c>
      <c r="N400" s="396" t="e">
        <f t="shared" si="292"/>
        <v>#N/A</v>
      </c>
      <c r="O400" s="396" t="e">
        <f t="shared" si="293"/>
        <v>#N/A</v>
      </c>
      <c r="P400" s="396" t="e">
        <f t="shared" si="294"/>
        <v>#N/A</v>
      </c>
      <c r="Q400" s="396" t="e">
        <f t="shared" si="295"/>
        <v>#N/A</v>
      </c>
      <c r="R400" s="396" t="e">
        <f t="shared" si="296"/>
        <v>#N/A</v>
      </c>
      <c r="S400" s="396" t="e">
        <f t="shared" si="297"/>
        <v>#N/A</v>
      </c>
      <c r="T400" s="397" t="e">
        <f t="shared" si="298"/>
        <v>#N/A</v>
      </c>
      <c r="U400" s="396" t="e">
        <f t="shared" si="299"/>
        <v>#N/A</v>
      </c>
      <c r="V400" s="396" t="e">
        <f t="shared" si="300"/>
        <v>#N/A</v>
      </c>
      <c r="W400" s="206" t="e">
        <f t="shared" si="301"/>
        <v>#N/A</v>
      </c>
      <c r="X400" s="207" t="e">
        <f t="shared" si="302"/>
        <v>#N/A</v>
      </c>
      <c r="Y400" s="207" t="e">
        <f t="shared" si="303"/>
        <v>#N/A</v>
      </c>
      <c r="Z400" s="233" t="e">
        <f t="shared" si="304"/>
        <v>#N/A</v>
      </c>
      <c r="AA400" s="208" t="e">
        <f t="shared" si="314"/>
        <v>#N/A</v>
      </c>
      <c r="AB400" s="233" t="e">
        <f t="shared" si="305"/>
        <v>#N/A</v>
      </c>
      <c r="AC400" s="233" t="e">
        <f t="shared" si="306"/>
        <v>#N/A</v>
      </c>
      <c r="AD400" s="233" t="e">
        <f t="shared" si="307"/>
        <v>#N/A</v>
      </c>
      <c r="AE400" s="233" t="e">
        <f t="shared" si="308"/>
        <v>#N/A</v>
      </c>
      <c r="AF400" s="238" t="e">
        <f t="shared" si="309"/>
        <v>#N/A</v>
      </c>
      <c r="AG400" s="238" t="e">
        <f t="shared" si="310"/>
        <v>#N/A</v>
      </c>
      <c r="AH400" s="238" t="e">
        <f t="shared" si="311"/>
        <v>#N/A</v>
      </c>
      <c r="AI400" s="261" t="e">
        <f t="shared" si="312"/>
        <v>#N/A</v>
      </c>
      <c r="AJ400" s="233" t="e">
        <f t="shared" si="313"/>
        <v>#N/A</v>
      </c>
    </row>
    <row r="401" spans="5:38" s="116" customFormat="1" ht="35.25" customHeight="1" x14ac:dyDescent="0.2">
      <c r="E401" s="218"/>
      <c r="F401" s="73"/>
      <c r="G401" s="67" t="e">
        <f t="shared" si="285"/>
        <v>#N/A</v>
      </c>
      <c r="H401" s="396" t="e">
        <f t="shared" si="286"/>
        <v>#N/A</v>
      </c>
      <c r="I401" s="396" t="e">
        <f t="shared" si="287"/>
        <v>#N/A</v>
      </c>
      <c r="J401" s="396" t="e">
        <f t="shared" si="288"/>
        <v>#N/A</v>
      </c>
      <c r="K401" s="398" t="e">
        <f t="shared" si="289"/>
        <v>#N/A</v>
      </c>
      <c r="L401" s="396" t="e">
        <f t="shared" si="290"/>
        <v>#N/A</v>
      </c>
      <c r="M401" s="398" t="e">
        <f t="shared" si="291"/>
        <v>#N/A</v>
      </c>
      <c r="N401" s="396" t="e">
        <f t="shared" si="292"/>
        <v>#N/A</v>
      </c>
      <c r="O401" s="396" t="e">
        <f t="shared" si="293"/>
        <v>#N/A</v>
      </c>
      <c r="P401" s="396" t="e">
        <f t="shared" si="294"/>
        <v>#N/A</v>
      </c>
      <c r="Q401" s="396" t="e">
        <f t="shared" si="295"/>
        <v>#N/A</v>
      </c>
      <c r="R401" s="396" t="e">
        <f t="shared" si="296"/>
        <v>#N/A</v>
      </c>
      <c r="S401" s="396" t="e">
        <f t="shared" si="297"/>
        <v>#N/A</v>
      </c>
      <c r="T401" s="397" t="e">
        <f t="shared" si="298"/>
        <v>#N/A</v>
      </c>
      <c r="U401" s="396" t="e">
        <f t="shared" si="299"/>
        <v>#N/A</v>
      </c>
      <c r="V401" s="396" t="e">
        <f t="shared" si="300"/>
        <v>#N/A</v>
      </c>
      <c r="W401" s="206" t="e">
        <f t="shared" si="301"/>
        <v>#N/A</v>
      </c>
      <c r="X401" s="207" t="e">
        <f t="shared" si="302"/>
        <v>#N/A</v>
      </c>
      <c r="Y401" s="207" t="e">
        <f t="shared" si="303"/>
        <v>#N/A</v>
      </c>
      <c r="Z401" s="233" t="e">
        <f t="shared" si="304"/>
        <v>#N/A</v>
      </c>
      <c r="AA401" s="208" t="e">
        <f t="shared" si="314"/>
        <v>#N/A</v>
      </c>
      <c r="AB401" s="233" t="e">
        <f t="shared" si="305"/>
        <v>#N/A</v>
      </c>
      <c r="AC401" s="233" t="e">
        <f t="shared" si="306"/>
        <v>#N/A</v>
      </c>
      <c r="AD401" s="233" t="e">
        <f t="shared" si="307"/>
        <v>#N/A</v>
      </c>
      <c r="AE401" s="233" t="e">
        <f t="shared" si="308"/>
        <v>#N/A</v>
      </c>
      <c r="AF401" s="238" t="e">
        <f t="shared" si="309"/>
        <v>#N/A</v>
      </c>
      <c r="AG401" s="238" t="e">
        <f t="shared" si="310"/>
        <v>#N/A</v>
      </c>
      <c r="AH401" s="238" t="e">
        <f t="shared" si="311"/>
        <v>#N/A</v>
      </c>
      <c r="AI401" s="261" t="e">
        <f t="shared" si="312"/>
        <v>#N/A</v>
      </c>
      <c r="AJ401" s="233" t="e">
        <f t="shared" si="313"/>
        <v>#N/A</v>
      </c>
    </row>
    <row r="402" spans="5:38" s="116" customFormat="1" ht="35.25" customHeight="1" x14ac:dyDescent="0.2">
      <c r="F402" s="73"/>
      <c r="G402" s="67" t="s">
        <v>52</v>
      </c>
      <c r="H402" s="32"/>
      <c r="I402" s="67"/>
      <c r="J402" s="32"/>
      <c r="K402" s="362"/>
      <c r="L402" s="67"/>
      <c r="M402" s="362"/>
      <c r="N402" s="65"/>
      <c r="O402" s="32"/>
      <c r="P402" s="67"/>
      <c r="Q402" s="67"/>
      <c r="R402" s="67"/>
      <c r="S402" s="32"/>
      <c r="T402" s="252"/>
      <c r="U402" s="32"/>
      <c r="V402" s="132"/>
      <c r="W402" s="206" t="str">
        <f t="shared" si="301"/>
        <v/>
      </c>
      <c r="X402" s="207" t="e">
        <f t="shared" si="302"/>
        <v>#N/A</v>
      </c>
      <c r="Y402" s="207" t="e">
        <f t="shared" si="303"/>
        <v>#N/A</v>
      </c>
      <c r="Z402" s="233" t="e">
        <f t="shared" si="304"/>
        <v>#N/A</v>
      </c>
      <c r="AA402" s="208" t="e">
        <f t="shared" si="314"/>
        <v>#N/A</v>
      </c>
      <c r="AB402" s="233" t="e">
        <f t="shared" si="305"/>
        <v>#N/A</v>
      </c>
      <c r="AC402" s="233" t="e">
        <f t="shared" si="306"/>
        <v>#N/A</v>
      </c>
      <c r="AD402" s="233" t="e">
        <f t="shared" si="307"/>
        <v>#N/A</v>
      </c>
      <c r="AE402" s="233" t="e">
        <f t="shared" si="308"/>
        <v>#N/A</v>
      </c>
      <c r="AF402" s="238" t="e">
        <f t="shared" si="309"/>
        <v>#N/A</v>
      </c>
      <c r="AG402" s="238" t="e">
        <f t="shared" si="310"/>
        <v>#N/A</v>
      </c>
      <c r="AH402" s="238" t="e">
        <f t="shared" si="311"/>
        <v>#N/A</v>
      </c>
      <c r="AI402" s="261">
        <f t="shared" si="312"/>
        <v>0</v>
      </c>
      <c r="AJ402" s="233" t="e">
        <f t="shared" si="313"/>
        <v>#N/A</v>
      </c>
    </row>
    <row r="403" spans="5:38" s="116" customFormat="1" ht="35.25" customHeight="1" x14ac:dyDescent="0.2">
      <c r="F403" s="153" t="s">
        <v>859</v>
      </c>
      <c r="G403" s="59" t="s">
        <v>1604</v>
      </c>
      <c r="H403" s="394"/>
      <c r="I403" s="96"/>
      <c r="J403" s="32"/>
      <c r="K403" s="362"/>
      <c r="L403" s="67"/>
      <c r="M403" s="362"/>
      <c r="N403" s="59"/>
      <c r="O403" s="394"/>
      <c r="P403" s="96"/>
      <c r="Q403" s="96"/>
      <c r="R403" s="96"/>
      <c r="S403" s="96"/>
      <c r="T403" s="237" t="e">
        <f>SUM(T404:T410)</f>
        <v>#N/A</v>
      </c>
      <c r="U403" s="394"/>
      <c r="V403" s="136"/>
      <c r="W403" s="206" t="str">
        <f t="shared" si="301"/>
        <v/>
      </c>
      <c r="X403" s="207" t="e">
        <f t="shared" si="302"/>
        <v>#N/A</v>
      </c>
      <c r="Y403" s="207" t="e">
        <f t="shared" si="303"/>
        <v>#N/A</v>
      </c>
      <c r="Z403" s="233" t="e">
        <f t="shared" si="304"/>
        <v>#N/A</v>
      </c>
      <c r="AA403" s="208" t="e">
        <f t="shared" si="314"/>
        <v>#N/A</v>
      </c>
      <c r="AB403" s="233" t="e">
        <f t="shared" si="305"/>
        <v>#N/A</v>
      </c>
      <c r="AC403" s="233" t="e">
        <f t="shared" si="306"/>
        <v>#N/A</v>
      </c>
      <c r="AD403" s="233" t="e">
        <f t="shared" si="307"/>
        <v>#N/A</v>
      </c>
      <c r="AE403" s="233" t="e">
        <f t="shared" si="308"/>
        <v>#N/A</v>
      </c>
      <c r="AF403" s="238" t="e">
        <f t="shared" si="309"/>
        <v>#N/A</v>
      </c>
      <c r="AG403" s="238" t="e">
        <f t="shared" si="310"/>
        <v>#N/A</v>
      </c>
      <c r="AH403" s="238" t="e">
        <f t="shared" si="311"/>
        <v>#N/A</v>
      </c>
      <c r="AI403" s="261">
        <f t="shared" si="312"/>
        <v>0</v>
      </c>
      <c r="AJ403" s="233" t="e">
        <f t="shared" si="313"/>
        <v>#N/A</v>
      </c>
      <c r="AK403" s="261" t="e">
        <f>AH403-AG403</f>
        <v>#N/A</v>
      </c>
      <c r="AL403" s="312" t="e">
        <f>SUM(AB403:AE403)</f>
        <v>#N/A</v>
      </c>
    </row>
    <row r="404" spans="5:38" s="116" customFormat="1" ht="35.25" customHeight="1" x14ac:dyDescent="0.2">
      <c r="E404" s="218" t="s">
        <v>2308</v>
      </c>
      <c r="F404" s="153"/>
      <c r="G404" s="67" t="e">
        <f>VLOOKUP(D404,ACUAN,4,FALSE)</f>
        <v>#N/A</v>
      </c>
      <c r="H404" s="396" t="e">
        <f>VLOOKUP(D404,ACUAN,5,FALSE)</f>
        <v>#N/A</v>
      </c>
      <c r="I404" s="396" t="e">
        <f>VLOOKUP(D404,ACUAN,6,FALSE)</f>
        <v>#N/A</v>
      </c>
      <c r="J404" s="396" t="e">
        <f>VLOOKUP(D404,ACUAN,7,FALSE)</f>
        <v>#N/A</v>
      </c>
      <c r="K404" s="398" t="e">
        <f>VLOOKUP(D404,ACUAN,8,FALSE)</f>
        <v>#N/A</v>
      </c>
      <c r="L404" s="396" t="e">
        <f>VLOOKUP(D404,ACUAN,9,FALSE)</f>
        <v>#N/A</v>
      </c>
      <c r="M404" s="398" t="e">
        <f>VLOOKUP(D404,ACUAN,10,FALSE)</f>
        <v>#N/A</v>
      </c>
      <c r="N404" s="396" t="e">
        <f>VLOOKUP(D404,ACUAN,11,FALSE)</f>
        <v>#N/A</v>
      </c>
      <c r="O404" s="396" t="e">
        <f>VLOOKUP(D404,ACUAN,12,FALSE)</f>
        <v>#N/A</v>
      </c>
      <c r="P404" s="396" t="e">
        <f>VLOOKUP(D404,ACUAN,13,FALSE)</f>
        <v>#N/A</v>
      </c>
      <c r="Q404" s="396" t="e">
        <f>VLOOKUP(D404,ACUAN,14,FALSE)</f>
        <v>#N/A</v>
      </c>
      <c r="R404" s="396" t="e">
        <f>VLOOKUP(D404,ACUAN,15,FALSE)</f>
        <v>#N/A</v>
      </c>
      <c r="S404" s="396" t="e">
        <f>VLOOKUP(D404,ACUAN,16,FALSE)</f>
        <v>#N/A</v>
      </c>
      <c r="T404" s="397" t="e">
        <f>VLOOKUP(D404,ACUAN,17,FALSE)</f>
        <v>#N/A</v>
      </c>
      <c r="U404" s="396" t="e">
        <f>VLOOKUP(D404,ACUAN,18,FALSE)</f>
        <v>#N/A</v>
      </c>
      <c r="V404" s="396" t="e">
        <f>VLOOKUP(D404,ACUAN,19,FALSE)</f>
        <v>#N/A</v>
      </c>
      <c r="W404" s="206" t="e">
        <f t="shared" si="301"/>
        <v>#N/A</v>
      </c>
      <c r="X404" s="207" t="e">
        <f t="shared" si="302"/>
        <v>#N/A</v>
      </c>
      <c r="Y404" s="207" t="e">
        <f t="shared" si="303"/>
        <v>#N/A</v>
      </c>
      <c r="Z404" s="233" t="e">
        <f t="shared" si="304"/>
        <v>#N/A</v>
      </c>
      <c r="AA404" s="208" t="e">
        <f t="shared" si="314"/>
        <v>#N/A</v>
      </c>
      <c r="AB404" s="233" t="e">
        <f t="shared" si="305"/>
        <v>#N/A</v>
      </c>
      <c r="AC404" s="233" t="e">
        <f t="shared" si="306"/>
        <v>#N/A</v>
      </c>
      <c r="AD404" s="233" t="e">
        <f t="shared" si="307"/>
        <v>#N/A</v>
      </c>
      <c r="AE404" s="233" t="e">
        <f t="shared" si="308"/>
        <v>#N/A</v>
      </c>
      <c r="AF404" s="238" t="e">
        <f t="shared" si="309"/>
        <v>#N/A</v>
      </c>
      <c r="AG404" s="238" t="e">
        <f t="shared" si="310"/>
        <v>#N/A</v>
      </c>
      <c r="AH404" s="238" t="e">
        <f t="shared" si="311"/>
        <v>#N/A</v>
      </c>
      <c r="AI404" s="261" t="e">
        <f t="shared" si="312"/>
        <v>#N/A</v>
      </c>
      <c r="AJ404" s="233" t="e">
        <f t="shared" si="313"/>
        <v>#N/A</v>
      </c>
    </row>
    <row r="405" spans="5:38" s="116" customFormat="1" ht="35.25" customHeight="1" x14ac:dyDescent="0.2">
      <c r="E405" s="218" t="s">
        <v>2308</v>
      </c>
      <c r="F405" s="153"/>
      <c r="G405" s="67" t="e">
        <f t="shared" ref="G405:G410" si="315">VLOOKUP(D405,ACUAN,4,FALSE)</f>
        <v>#N/A</v>
      </c>
      <c r="H405" s="396" t="e">
        <f t="shared" ref="H405:H410" si="316">VLOOKUP(D405,ACUAN,5,FALSE)</f>
        <v>#N/A</v>
      </c>
      <c r="I405" s="396" t="e">
        <f t="shared" ref="I405:I410" si="317">VLOOKUP(D405,ACUAN,6,FALSE)</f>
        <v>#N/A</v>
      </c>
      <c r="J405" s="396" t="e">
        <f t="shared" ref="J405:J410" si="318">VLOOKUP(D405,ACUAN,7,FALSE)</f>
        <v>#N/A</v>
      </c>
      <c r="K405" s="398" t="e">
        <f t="shared" ref="K405:K410" si="319">VLOOKUP(D405,ACUAN,8,FALSE)</f>
        <v>#N/A</v>
      </c>
      <c r="L405" s="396" t="e">
        <f t="shared" ref="L405:L410" si="320">VLOOKUP(D405,ACUAN,9,FALSE)</f>
        <v>#N/A</v>
      </c>
      <c r="M405" s="398" t="e">
        <f t="shared" ref="M405:M410" si="321">VLOOKUP(D405,ACUAN,10,FALSE)</f>
        <v>#N/A</v>
      </c>
      <c r="N405" s="396" t="e">
        <f t="shared" ref="N405:N410" si="322">VLOOKUP(D405,ACUAN,11,FALSE)</f>
        <v>#N/A</v>
      </c>
      <c r="O405" s="396" t="e">
        <f t="shared" ref="O405:O410" si="323">VLOOKUP(D405,ACUAN,12,FALSE)</f>
        <v>#N/A</v>
      </c>
      <c r="P405" s="396" t="e">
        <f t="shared" ref="P405:P410" si="324">VLOOKUP(D405,ACUAN,13,FALSE)</f>
        <v>#N/A</v>
      </c>
      <c r="Q405" s="396" t="e">
        <f t="shared" ref="Q405:Q410" si="325">VLOOKUP(D405,ACUAN,14,FALSE)</f>
        <v>#N/A</v>
      </c>
      <c r="R405" s="396" t="e">
        <f t="shared" ref="R405:R410" si="326">VLOOKUP(D405,ACUAN,15,FALSE)</f>
        <v>#N/A</v>
      </c>
      <c r="S405" s="396" t="e">
        <f t="shared" ref="S405:S410" si="327">VLOOKUP(D405,ACUAN,16,FALSE)</f>
        <v>#N/A</v>
      </c>
      <c r="T405" s="397" t="e">
        <f t="shared" ref="T405:T410" si="328">VLOOKUP(D405,ACUAN,17,FALSE)</f>
        <v>#N/A</v>
      </c>
      <c r="U405" s="396" t="e">
        <f t="shared" ref="U405:U410" si="329">VLOOKUP(D405,ACUAN,18,FALSE)</f>
        <v>#N/A</v>
      </c>
      <c r="V405" s="396" t="e">
        <f t="shared" ref="V405:V410" si="330">VLOOKUP(D405,ACUAN,19,FALSE)</f>
        <v>#N/A</v>
      </c>
      <c r="W405" s="206" t="e">
        <f t="shared" si="301"/>
        <v>#N/A</v>
      </c>
      <c r="X405" s="207" t="e">
        <f t="shared" si="302"/>
        <v>#N/A</v>
      </c>
      <c r="Y405" s="207" t="e">
        <f t="shared" si="303"/>
        <v>#N/A</v>
      </c>
      <c r="Z405" s="233" t="e">
        <f t="shared" si="304"/>
        <v>#N/A</v>
      </c>
      <c r="AA405" s="208" t="e">
        <f t="shared" si="314"/>
        <v>#N/A</v>
      </c>
      <c r="AB405" s="233" t="e">
        <f t="shared" si="305"/>
        <v>#N/A</v>
      </c>
      <c r="AC405" s="233" t="e">
        <f t="shared" si="306"/>
        <v>#N/A</v>
      </c>
      <c r="AD405" s="233" t="e">
        <f t="shared" si="307"/>
        <v>#N/A</v>
      </c>
      <c r="AE405" s="233" t="e">
        <f t="shared" si="308"/>
        <v>#N/A</v>
      </c>
      <c r="AF405" s="238" t="e">
        <f t="shared" si="309"/>
        <v>#N/A</v>
      </c>
      <c r="AG405" s="238" t="e">
        <f t="shared" si="310"/>
        <v>#N/A</v>
      </c>
      <c r="AH405" s="238" t="e">
        <f t="shared" si="311"/>
        <v>#N/A</v>
      </c>
      <c r="AI405" s="261" t="e">
        <f t="shared" si="312"/>
        <v>#N/A</v>
      </c>
      <c r="AJ405" s="233" t="e">
        <f t="shared" si="313"/>
        <v>#N/A</v>
      </c>
    </row>
    <row r="406" spans="5:38" s="116" customFormat="1" ht="35.25" customHeight="1" x14ac:dyDescent="0.2">
      <c r="E406" s="218" t="s">
        <v>2308</v>
      </c>
      <c r="F406" s="153"/>
      <c r="G406" s="67" t="e">
        <f t="shared" si="315"/>
        <v>#N/A</v>
      </c>
      <c r="H406" s="396" t="e">
        <f t="shared" si="316"/>
        <v>#N/A</v>
      </c>
      <c r="I406" s="396" t="e">
        <f t="shared" si="317"/>
        <v>#N/A</v>
      </c>
      <c r="J406" s="396" t="e">
        <f t="shared" si="318"/>
        <v>#N/A</v>
      </c>
      <c r="K406" s="398" t="e">
        <f t="shared" si="319"/>
        <v>#N/A</v>
      </c>
      <c r="L406" s="396" t="e">
        <f t="shared" si="320"/>
        <v>#N/A</v>
      </c>
      <c r="M406" s="398" t="e">
        <f t="shared" si="321"/>
        <v>#N/A</v>
      </c>
      <c r="N406" s="396" t="e">
        <f t="shared" si="322"/>
        <v>#N/A</v>
      </c>
      <c r="O406" s="396" t="e">
        <f t="shared" si="323"/>
        <v>#N/A</v>
      </c>
      <c r="P406" s="396" t="e">
        <f t="shared" si="324"/>
        <v>#N/A</v>
      </c>
      <c r="Q406" s="396" t="e">
        <f t="shared" si="325"/>
        <v>#N/A</v>
      </c>
      <c r="R406" s="396" t="e">
        <f t="shared" si="326"/>
        <v>#N/A</v>
      </c>
      <c r="S406" s="396" t="e">
        <f t="shared" si="327"/>
        <v>#N/A</v>
      </c>
      <c r="T406" s="397" t="e">
        <f t="shared" si="328"/>
        <v>#N/A</v>
      </c>
      <c r="U406" s="396" t="e">
        <f t="shared" si="329"/>
        <v>#N/A</v>
      </c>
      <c r="V406" s="396" t="e">
        <f t="shared" si="330"/>
        <v>#N/A</v>
      </c>
      <c r="W406" s="206" t="e">
        <f t="shared" si="301"/>
        <v>#N/A</v>
      </c>
      <c r="X406" s="207" t="e">
        <f t="shared" si="302"/>
        <v>#N/A</v>
      </c>
      <c r="Y406" s="207" t="e">
        <f t="shared" si="303"/>
        <v>#N/A</v>
      </c>
      <c r="Z406" s="233" t="e">
        <f t="shared" si="304"/>
        <v>#N/A</v>
      </c>
      <c r="AA406" s="208" t="e">
        <f t="shared" si="314"/>
        <v>#N/A</v>
      </c>
      <c r="AB406" s="233" t="e">
        <f t="shared" si="305"/>
        <v>#N/A</v>
      </c>
      <c r="AC406" s="233" t="e">
        <f t="shared" si="306"/>
        <v>#N/A</v>
      </c>
      <c r="AD406" s="233" t="e">
        <f t="shared" si="307"/>
        <v>#N/A</v>
      </c>
      <c r="AE406" s="233" t="e">
        <f t="shared" si="308"/>
        <v>#N/A</v>
      </c>
      <c r="AF406" s="238" t="e">
        <f t="shared" si="309"/>
        <v>#N/A</v>
      </c>
      <c r="AG406" s="238" t="e">
        <f t="shared" si="310"/>
        <v>#N/A</v>
      </c>
      <c r="AH406" s="238" t="e">
        <f t="shared" si="311"/>
        <v>#N/A</v>
      </c>
      <c r="AI406" s="261" t="e">
        <f t="shared" si="312"/>
        <v>#N/A</v>
      </c>
      <c r="AJ406" s="233" t="e">
        <f t="shared" si="313"/>
        <v>#N/A</v>
      </c>
    </row>
    <row r="407" spans="5:38" s="116" customFormat="1" ht="35.25" customHeight="1" x14ac:dyDescent="0.2">
      <c r="E407" s="218" t="s">
        <v>2308</v>
      </c>
      <c r="F407" s="153"/>
      <c r="G407" s="67" t="e">
        <f t="shared" si="315"/>
        <v>#N/A</v>
      </c>
      <c r="H407" s="396" t="e">
        <f t="shared" si="316"/>
        <v>#N/A</v>
      </c>
      <c r="I407" s="396" t="e">
        <f t="shared" si="317"/>
        <v>#N/A</v>
      </c>
      <c r="J407" s="396" t="e">
        <f t="shared" si="318"/>
        <v>#N/A</v>
      </c>
      <c r="K407" s="398" t="e">
        <f t="shared" si="319"/>
        <v>#N/A</v>
      </c>
      <c r="L407" s="396" t="e">
        <f t="shared" si="320"/>
        <v>#N/A</v>
      </c>
      <c r="M407" s="398" t="e">
        <f t="shared" si="321"/>
        <v>#N/A</v>
      </c>
      <c r="N407" s="396" t="e">
        <f t="shared" si="322"/>
        <v>#N/A</v>
      </c>
      <c r="O407" s="396" t="e">
        <f t="shared" si="323"/>
        <v>#N/A</v>
      </c>
      <c r="P407" s="396" t="e">
        <f t="shared" si="324"/>
        <v>#N/A</v>
      </c>
      <c r="Q407" s="396" t="e">
        <f t="shared" si="325"/>
        <v>#N/A</v>
      </c>
      <c r="R407" s="396" t="e">
        <f t="shared" si="326"/>
        <v>#N/A</v>
      </c>
      <c r="S407" s="396" t="e">
        <f t="shared" si="327"/>
        <v>#N/A</v>
      </c>
      <c r="T407" s="397" t="e">
        <f t="shared" si="328"/>
        <v>#N/A</v>
      </c>
      <c r="U407" s="396" t="e">
        <f t="shared" si="329"/>
        <v>#N/A</v>
      </c>
      <c r="V407" s="396" t="e">
        <f t="shared" si="330"/>
        <v>#N/A</v>
      </c>
      <c r="W407" s="206" t="e">
        <f t="shared" si="301"/>
        <v>#N/A</v>
      </c>
      <c r="X407" s="207" t="e">
        <f t="shared" si="302"/>
        <v>#N/A</v>
      </c>
      <c r="Y407" s="207" t="e">
        <f t="shared" si="303"/>
        <v>#N/A</v>
      </c>
      <c r="Z407" s="233" t="e">
        <f t="shared" si="304"/>
        <v>#N/A</v>
      </c>
      <c r="AA407" s="208" t="e">
        <f t="shared" si="314"/>
        <v>#N/A</v>
      </c>
      <c r="AB407" s="233" t="e">
        <f t="shared" si="305"/>
        <v>#N/A</v>
      </c>
      <c r="AC407" s="233" t="e">
        <f t="shared" si="306"/>
        <v>#N/A</v>
      </c>
      <c r="AD407" s="233" t="e">
        <f t="shared" si="307"/>
        <v>#N/A</v>
      </c>
      <c r="AE407" s="233" t="e">
        <f t="shared" si="308"/>
        <v>#N/A</v>
      </c>
      <c r="AF407" s="238" t="e">
        <f t="shared" si="309"/>
        <v>#N/A</v>
      </c>
      <c r="AG407" s="238" t="e">
        <f t="shared" si="310"/>
        <v>#N/A</v>
      </c>
      <c r="AH407" s="238" t="e">
        <f t="shared" si="311"/>
        <v>#N/A</v>
      </c>
      <c r="AI407" s="261" t="e">
        <f t="shared" si="312"/>
        <v>#N/A</v>
      </c>
      <c r="AJ407" s="233" t="e">
        <f t="shared" si="313"/>
        <v>#N/A</v>
      </c>
    </row>
    <row r="408" spans="5:38" s="116" customFormat="1" ht="35.25" customHeight="1" x14ac:dyDescent="0.2">
      <c r="E408" s="218" t="s">
        <v>2308</v>
      </c>
      <c r="F408" s="153"/>
      <c r="G408" s="67" t="e">
        <f t="shared" si="315"/>
        <v>#N/A</v>
      </c>
      <c r="H408" s="396" t="e">
        <f t="shared" si="316"/>
        <v>#N/A</v>
      </c>
      <c r="I408" s="396" t="e">
        <f t="shared" si="317"/>
        <v>#N/A</v>
      </c>
      <c r="J408" s="396" t="e">
        <f t="shared" si="318"/>
        <v>#N/A</v>
      </c>
      <c r="K408" s="398" t="e">
        <f t="shared" si="319"/>
        <v>#N/A</v>
      </c>
      <c r="L408" s="396" t="e">
        <f t="shared" si="320"/>
        <v>#N/A</v>
      </c>
      <c r="M408" s="398" t="e">
        <f t="shared" si="321"/>
        <v>#N/A</v>
      </c>
      <c r="N408" s="396" t="e">
        <f t="shared" si="322"/>
        <v>#N/A</v>
      </c>
      <c r="O408" s="396" t="e">
        <f t="shared" si="323"/>
        <v>#N/A</v>
      </c>
      <c r="P408" s="396" t="e">
        <f t="shared" si="324"/>
        <v>#N/A</v>
      </c>
      <c r="Q408" s="396" t="e">
        <f t="shared" si="325"/>
        <v>#N/A</v>
      </c>
      <c r="R408" s="396" t="e">
        <f t="shared" si="326"/>
        <v>#N/A</v>
      </c>
      <c r="S408" s="396" t="e">
        <f t="shared" si="327"/>
        <v>#N/A</v>
      </c>
      <c r="T408" s="397" t="e">
        <f t="shared" si="328"/>
        <v>#N/A</v>
      </c>
      <c r="U408" s="396" t="e">
        <f t="shared" si="329"/>
        <v>#N/A</v>
      </c>
      <c r="V408" s="396" t="e">
        <f t="shared" si="330"/>
        <v>#N/A</v>
      </c>
      <c r="W408" s="206" t="e">
        <f t="shared" ref="W408:W471" si="331">LEFT(H408,8)</f>
        <v>#N/A</v>
      </c>
      <c r="X408" s="207" t="e">
        <f t="shared" ref="X408:X471" si="332">VLOOKUP(W408,UE,3,FALSE)</f>
        <v>#N/A</v>
      </c>
      <c r="Y408" s="207" t="e">
        <f t="shared" ref="Y408:Y471" si="333">VLOOKUP(W408,UE,4,FALSE)</f>
        <v>#N/A</v>
      </c>
      <c r="Z408" s="233" t="e">
        <f t="shared" ref="Z408:Z471" si="334">(T408-10)/Y408</f>
        <v>#N/A</v>
      </c>
      <c r="AA408" s="208" t="e">
        <f t="shared" si="314"/>
        <v>#N/A</v>
      </c>
      <c r="AB408" s="233" t="e">
        <f t="shared" ref="AB408:AB471" si="335">IF(AA408&gt;Y408,T408-10,Z408*AA408)</f>
        <v>#N/A</v>
      </c>
      <c r="AC408" s="233" t="e">
        <f t="shared" ref="AC408:AC471" si="336">IF(T408-10=AB408,0,Z408)</f>
        <v>#N/A</v>
      </c>
      <c r="AD408" s="233" t="e">
        <f t="shared" ref="AD408:AD471" si="337">IF(T408-10=AB408+AC408,0,Z408)</f>
        <v>#N/A</v>
      </c>
      <c r="AE408" s="233" t="e">
        <f t="shared" ref="AE408:AE471" si="338">IF(T408-10=AB408+AC408+AD408,0,Z408)</f>
        <v>#N/A</v>
      </c>
      <c r="AF408" s="238" t="e">
        <f t="shared" ref="AF408:AF471" si="339">IF(T408-10=AC408+AD408+AE408+AB408,0,Z408)</f>
        <v>#N/A</v>
      </c>
      <c r="AG408" s="238" t="e">
        <f t="shared" ref="AG408:AG471" si="340">IF(T408-10=AC408+AD408+AE408+AB408+AF408,0,Z408)</f>
        <v>#N/A</v>
      </c>
      <c r="AH408" s="238" t="e">
        <f t="shared" ref="AH408:AH471" si="341">SUM(AB408:AG408)</f>
        <v>#N/A</v>
      </c>
      <c r="AI408" s="261" t="e">
        <f t="shared" ref="AI408:AI471" si="342">O408</f>
        <v>#N/A</v>
      </c>
      <c r="AJ408" s="233" t="e">
        <f t="shared" ref="AJ408:AJ471" si="343">T408-AH408</f>
        <v>#N/A</v>
      </c>
    </row>
    <row r="409" spans="5:38" s="116" customFormat="1" ht="35.25" customHeight="1" x14ac:dyDescent="0.2">
      <c r="E409" s="218" t="s">
        <v>2308</v>
      </c>
      <c r="F409" s="153"/>
      <c r="G409" s="67" t="e">
        <f t="shared" si="315"/>
        <v>#N/A</v>
      </c>
      <c r="H409" s="396" t="e">
        <f t="shared" si="316"/>
        <v>#N/A</v>
      </c>
      <c r="I409" s="396" t="e">
        <f t="shared" si="317"/>
        <v>#N/A</v>
      </c>
      <c r="J409" s="396" t="e">
        <f t="shared" si="318"/>
        <v>#N/A</v>
      </c>
      <c r="K409" s="398" t="e">
        <f t="shared" si="319"/>
        <v>#N/A</v>
      </c>
      <c r="L409" s="396" t="e">
        <f t="shared" si="320"/>
        <v>#N/A</v>
      </c>
      <c r="M409" s="398" t="e">
        <f t="shared" si="321"/>
        <v>#N/A</v>
      </c>
      <c r="N409" s="396" t="e">
        <f t="shared" si="322"/>
        <v>#N/A</v>
      </c>
      <c r="O409" s="396" t="e">
        <f t="shared" si="323"/>
        <v>#N/A</v>
      </c>
      <c r="P409" s="396" t="e">
        <f t="shared" si="324"/>
        <v>#N/A</v>
      </c>
      <c r="Q409" s="396" t="e">
        <f t="shared" si="325"/>
        <v>#N/A</v>
      </c>
      <c r="R409" s="396" t="e">
        <f t="shared" si="326"/>
        <v>#N/A</v>
      </c>
      <c r="S409" s="396" t="e">
        <f t="shared" si="327"/>
        <v>#N/A</v>
      </c>
      <c r="T409" s="397" t="e">
        <f t="shared" si="328"/>
        <v>#N/A</v>
      </c>
      <c r="U409" s="396" t="e">
        <f t="shared" si="329"/>
        <v>#N/A</v>
      </c>
      <c r="V409" s="396" t="e">
        <f t="shared" si="330"/>
        <v>#N/A</v>
      </c>
      <c r="W409" s="206" t="e">
        <f t="shared" si="331"/>
        <v>#N/A</v>
      </c>
      <c r="X409" s="207" t="e">
        <f t="shared" si="332"/>
        <v>#N/A</v>
      </c>
      <c r="Y409" s="207" t="e">
        <f t="shared" si="333"/>
        <v>#N/A</v>
      </c>
      <c r="Z409" s="233" t="e">
        <f t="shared" si="334"/>
        <v>#N/A</v>
      </c>
      <c r="AA409" s="208" t="e">
        <f t="shared" si="314"/>
        <v>#N/A</v>
      </c>
      <c r="AB409" s="233" t="e">
        <f t="shared" si="335"/>
        <v>#N/A</v>
      </c>
      <c r="AC409" s="233" t="e">
        <f t="shared" si="336"/>
        <v>#N/A</v>
      </c>
      <c r="AD409" s="233" t="e">
        <f t="shared" si="337"/>
        <v>#N/A</v>
      </c>
      <c r="AE409" s="233" t="e">
        <f t="shared" si="338"/>
        <v>#N/A</v>
      </c>
      <c r="AF409" s="238" t="e">
        <f t="shared" si="339"/>
        <v>#N/A</v>
      </c>
      <c r="AG409" s="238" t="e">
        <f t="shared" si="340"/>
        <v>#N/A</v>
      </c>
      <c r="AH409" s="238" t="e">
        <f t="shared" si="341"/>
        <v>#N/A</v>
      </c>
      <c r="AI409" s="261" t="e">
        <f t="shared" si="342"/>
        <v>#N/A</v>
      </c>
      <c r="AJ409" s="233" t="e">
        <f t="shared" si="343"/>
        <v>#N/A</v>
      </c>
    </row>
    <row r="410" spans="5:38" s="116" customFormat="1" ht="35.25" customHeight="1" x14ac:dyDescent="0.2">
      <c r="E410" s="218" t="s">
        <v>2308</v>
      </c>
      <c r="F410" s="153"/>
      <c r="G410" s="67" t="e">
        <f t="shared" si="315"/>
        <v>#N/A</v>
      </c>
      <c r="H410" s="396" t="e">
        <f t="shared" si="316"/>
        <v>#N/A</v>
      </c>
      <c r="I410" s="396" t="e">
        <f t="shared" si="317"/>
        <v>#N/A</v>
      </c>
      <c r="J410" s="396" t="e">
        <f t="shared" si="318"/>
        <v>#N/A</v>
      </c>
      <c r="K410" s="398" t="e">
        <f t="shared" si="319"/>
        <v>#N/A</v>
      </c>
      <c r="L410" s="396" t="e">
        <f t="shared" si="320"/>
        <v>#N/A</v>
      </c>
      <c r="M410" s="398" t="e">
        <f t="shared" si="321"/>
        <v>#N/A</v>
      </c>
      <c r="N410" s="396" t="e">
        <f t="shared" si="322"/>
        <v>#N/A</v>
      </c>
      <c r="O410" s="396" t="e">
        <f t="shared" si="323"/>
        <v>#N/A</v>
      </c>
      <c r="P410" s="396" t="e">
        <f t="shared" si="324"/>
        <v>#N/A</v>
      </c>
      <c r="Q410" s="396" t="e">
        <f t="shared" si="325"/>
        <v>#N/A</v>
      </c>
      <c r="R410" s="396" t="e">
        <f t="shared" si="326"/>
        <v>#N/A</v>
      </c>
      <c r="S410" s="396" t="e">
        <f t="shared" si="327"/>
        <v>#N/A</v>
      </c>
      <c r="T410" s="397" t="e">
        <f t="shared" si="328"/>
        <v>#N/A</v>
      </c>
      <c r="U410" s="396" t="e">
        <f t="shared" si="329"/>
        <v>#N/A</v>
      </c>
      <c r="V410" s="396" t="e">
        <f t="shared" si="330"/>
        <v>#N/A</v>
      </c>
      <c r="W410" s="206" t="e">
        <f t="shared" si="331"/>
        <v>#N/A</v>
      </c>
      <c r="X410" s="207" t="e">
        <f t="shared" si="332"/>
        <v>#N/A</v>
      </c>
      <c r="Y410" s="207" t="e">
        <f t="shared" si="333"/>
        <v>#N/A</v>
      </c>
      <c r="Z410" s="233" t="e">
        <f t="shared" si="334"/>
        <v>#N/A</v>
      </c>
      <c r="AA410" s="208" t="e">
        <f t="shared" si="314"/>
        <v>#N/A</v>
      </c>
      <c r="AB410" s="233" t="e">
        <f t="shared" si="335"/>
        <v>#N/A</v>
      </c>
      <c r="AC410" s="233" t="e">
        <f t="shared" si="336"/>
        <v>#N/A</v>
      </c>
      <c r="AD410" s="233" t="e">
        <f t="shared" si="337"/>
        <v>#N/A</v>
      </c>
      <c r="AE410" s="233" t="e">
        <f t="shared" si="338"/>
        <v>#N/A</v>
      </c>
      <c r="AF410" s="238" t="e">
        <f t="shared" si="339"/>
        <v>#N/A</v>
      </c>
      <c r="AG410" s="238" t="e">
        <f t="shared" si="340"/>
        <v>#N/A</v>
      </c>
      <c r="AH410" s="238" t="e">
        <f t="shared" si="341"/>
        <v>#N/A</v>
      </c>
      <c r="AI410" s="261" t="e">
        <f t="shared" si="342"/>
        <v>#N/A</v>
      </c>
      <c r="AJ410" s="233" t="e">
        <f t="shared" si="343"/>
        <v>#N/A</v>
      </c>
    </row>
    <row r="411" spans="5:38" s="116" customFormat="1" ht="35.25" customHeight="1" x14ac:dyDescent="0.2">
      <c r="F411" s="73"/>
      <c r="G411" s="394"/>
      <c r="H411" s="186"/>
      <c r="I411" s="186"/>
      <c r="J411" s="186"/>
      <c r="K411" s="365"/>
      <c r="L411" s="369"/>
      <c r="M411" s="374"/>
      <c r="N411" s="65"/>
      <c r="O411" s="32"/>
      <c r="P411" s="67"/>
      <c r="Q411" s="67"/>
      <c r="R411" s="67"/>
      <c r="S411" s="67"/>
      <c r="T411" s="252"/>
      <c r="U411" s="32"/>
      <c r="V411" s="132"/>
      <c r="W411" s="206" t="str">
        <f t="shared" si="331"/>
        <v/>
      </c>
      <c r="X411" s="207" t="e">
        <f t="shared" si="332"/>
        <v>#N/A</v>
      </c>
      <c r="Y411" s="207" t="e">
        <f t="shared" si="333"/>
        <v>#N/A</v>
      </c>
      <c r="Z411" s="233" t="e">
        <f t="shared" si="334"/>
        <v>#N/A</v>
      </c>
      <c r="AA411" s="208" t="e">
        <f t="shared" si="314"/>
        <v>#N/A</v>
      </c>
      <c r="AB411" s="233" t="e">
        <f t="shared" si="335"/>
        <v>#N/A</v>
      </c>
      <c r="AC411" s="233" t="e">
        <f t="shared" si="336"/>
        <v>#N/A</v>
      </c>
      <c r="AD411" s="233" t="e">
        <f t="shared" si="337"/>
        <v>#N/A</v>
      </c>
      <c r="AE411" s="233" t="e">
        <f t="shared" si="338"/>
        <v>#N/A</v>
      </c>
      <c r="AF411" s="238" t="e">
        <f t="shared" si="339"/>
        <v>#N/A</v>
      </c>
      <c r="AG411" s="238" t="e">
        <f t="shared" si="340"/>
        <v>#N/A</v>
      </c>
      <c r="AH411" s="238" t="e">
        <f t="shared" si="341"/>
        <v>#N/A</v>
      </c>
      <c r="AI411" s="261">
        <f t="shared" si="342"/>
        <v>0</v>
      </c>
      <c r="AJ411" s="233" t="e">
        <f t="shared" si="343"/>
        <v>#N/A</v>
      </c>
    </row>
    <row r="412" spans="5:38" s="116" customFormat="1" ht="35.25" customHeight="1" x14ac:dyDescent="0.2">
      <c r="F412" s="73"/>
      <c r="G412" s="394"/>
      <c r="H412" s="32"/>
      <c r="I412" s="67"/>
      <c r="J412" s="32"/>
      <c r="K412" s="362"/>
      <c r="L412" s="67"/>
      <c r="M412" s="362"/>
      <c r="N412" s="65"/>
      <c r="O412" s="32"/>
      <c r="P412" s="67"/>
      <c r="Q412" s="67"/>
      <c r="R412" s="67"/>
      <c r="S412" s="67"/>
      <c r="T412" s="252"/>
      <c r="U412" s="32"/>
      <c r="V412" s="132"/>
      <c r="W412" s="206" t="str">
        <f t="shared" si="331"/>
        <v/>
      </c>
      <c r="X412" s="207" t="e">
        <f t="shared" si="332"/>
        <v>#N/A</v>
      </c>
      <c r="Y412" s="207" t="e">
        <f t="shared" si="333"/>
        <v>#N/A</v>
      </c>
      <c r="Z412" s="233" t="e">
        <f t="shared" si="334"/>
        <v>#N/A</v>
      </c>
      <c r="AA412" s="208" t="e">
        <f t="shared" si="314"/>
        <v>#N/A</v>
      </c>
      <c r="AB412" s="233" t="e">
        <f t="shared" si="335"/>
        <v>#N/A</v>
      </c>
      <c r="AC412" s="233" t="e">
        <f t="shared" si="336"/>
        <v>#N/A</v>
      </c>
      <c r="AD412" s="233" t="e">
        <f t="shared" si="337"/>
        <v>#N/A</v>
      </c>
      <c r="AE412" s="233" t="e">
        <f t="shared" si="338"/>
        <v>#N/A</v>
      </c>
      <c r="AF412" s="238" t="e">
        <f t="shared" si="339"/>
        <v>#N/A</v>
      </c>
      <c r="AG412" s="238" t="e">
        <f t="shared" si="340"/>
        <v>#N/A</v>
      </c>
      <c r="AH412" s="238" t="e">
        <f t="shared" si="341"/>
        <v>#N/A</v>
      </c>
      <c r="AI412" s="261">
        <f t="shared" si="342"/>
        <v>0</v>
      </c>
      <c r="AJ412" s="233" t="e">
        <f t="shared" si="343"/>
        <v>#N/A</v>
      </c>
    </row>
    <row r="413" spans="5:38" s="116" customFormat="1" ht="35.25" customHeight="1" x14ac:dyDescent="0.2">
      <c r="F413" s="153" t="s">
        <v>861</v>
      </c>
      <c r="G413" s="96" t="s">
        <v>1605</v>
      </c>
      <c r="H413" s="394"/>
      <c r="I413" s="96"/>
      <c r="J413" s="32"/>
      <c r="K413" s="362"/>
      <c r="L413" s="67"/>
      <c r="M413" s="362"/>
      <c r="N413" s="59"/>
      <c r="O413" s="394"/>
      <c r="P413" s="96"/>
      <c r="Q413" s="96"/>
      <c r="R413" s="96"/>
      <c r="S413" s="96"/>
      <c r="T413" s="237" t="e">
        <f>SUM(T414:T506)</f>
        <v>#N/A</v>
      </c>
      <c r="U413" s="394"/>
      <c r="V413" s="136"/>
      <c r="W413" s="206" t="str">
        <f t="shared" si="331"/>
        <v/>
      </c>
      <c r="X413" s="207" t="e">
        <f t="shared" si="332"/>
        <v>#N/A</v>
      </c>
      <c r="Y413" s="207" t="e">
        <f t="shared" si="333"/>
        <v>#N/A</v>
      </c>
      <c r="Z413" s="233" t="e">
        <f t="shared" si="334"/>
        <v>#N/A</v>
      </c>
      <c r="AA413" s="208" t="e">
        <f t="shared" si="314"/>
        <v>#N/A</v>
      </c>
      <c r="AB413" s="233" t="e">
        <f t="shared" si="335"/>
        <v>#N/A</v>
      </c>
      <c r="AC413" s="233" t="e">
        <f t="shared" si="336"/>
        <v>#N/A</v>
      </c>
      <c r="AD413" s="233" t="e">
        <f t="shared" si="337"/>
        <v>#N/A</v>
      </c>
      <c r="AE413" s="233" t="e">
        <f t="shared" si="338"/>
        <v>#N/A</v>
      </c>
      <c r="AF413" s="238" t="e">
        <f t="shared" si="339"/>
        <v>#N/A</v>
      </c>
      <c r="AG413" s="238" t="e">
        <f t="shared" si="340"/>
        <v>#N/A</v>
      </c>
      <c r="AH413" s="238" t="e">
        <f t="shared" si="341"/>
        <v>#N/A</v>
      </c>
      <c r="AI413" s="261">
        <f t="shared" si="342"/>
        <v>0</v>
      </c>
      <c r="AJ413" s="233" t="e">
        <f t="shared" si="343"/>
        <v>#N/A</v>
      </c>
      <c r="AK413" s="219" t="e">
        <f>AH413-AG413</f>
        <v>#N/A</v>
      </c>
      <c r="AL413" s="312" t="e">
        <f>SUM(AB413:AE413)</f>
        <v>#N/A</v>
      </c>
    </row>
    <row r="414" spans="5:38" s="116" customFormat="1" ht="35.25" customHeight="1" x14ac:dyDescent="0.2">
      <c r="E414" s="218" t="s">
        <v>2307</v>
      </c>
      <c r="F414" s="73"/>
      <c r="G414" s="67" t="e">
        <f>VLOOKUP(D414,ACUAN,4,FALSE)</f>
        <v>#N/A</v>
      </c>
      <c r="H414" s="396" t="e">
        <f>VLOOKUP(D414,ACUAN,5,FALSE)</f>
        <v>#N/A</v>
      </c>
      <c r="I414" s="396" t="e">
        <f>VLOOKUP(D414,ACUAN,6,FALSE)</f>
        <v>#N/A</v>
      </c>
      <c r="J414" s="396" t="e">
        <f>VLOOKUP(D414,ACUAN,7,FALSE)</f>
        <v>#N/A</v>
      </c>
      <c r="K414" s="398" t="e">
        <f>VLOOKUP(D414,ACUAN,8,FALSE)</f>
        <v>#N/A</v>
      </c>
      <c r="L414" s="396" t="e">
        <f>VLOOKUP(D414,ACUAN,9,FALSE)</f>
        <v>#N/A</v>
      </c>
      <c r="M414" s="398" t="e">
        <f>VLOOKUP(D414,ACUAN,10,FALSE)</f>
        <v>#N/A</v>
      </c>
      <c r="N414" s="396" t="e">
        <f>VLOOKUP(D414,ACUAN,11,FALSE)</f>
        <v>#N/A</v>
      </c>
      <c r="O414" s="396" t="e">
        <f>VLOOKUP(D414,ACUAN,12,FALSE)</f>
        <v>#N/A</v>
      </c>
      <c r="P414" s="396" t="e">
        <f>VLOOKUP(D414,ACUAN,13,FALSE)</f>
        <v>#N/A</v>
      </c>
      <c r="Q414" s="396" t="e">
        <f>VLOOKUP(D414,ACUAN,14,FALSE)</f>
        <v>#N/A</v>
      </c>
      <c r="R414" s="396" t="e">
        <f>VLOOKUP(D414,ACUAN,15,FALSE)</f>
        <v>#N/A</v>
      </c>
      <c r="S414" s="396" t="e">
        <f>VLOOKUP(D414,ACUAN,16,FALSE)</f>
        <v>#N/A</v>
      </c>
      <c r="T414" s="397" t="e">
        <f>VLOOKUP(D414,ACUAN,17,FALSE)</f>
        <v>#N/A</v>
      </c>
      <c r="U414" s="396" t="e">
        <f>VLOOKUP(D414,ACUAN,18,FALSE)</f>
        <v>#N/A</v>
      </c>
      <c r="V414" s="396" t="e">
        <f>VLOOKUP(D414,ACUAN,19,FALSE)</f>
        <v>#N/A</v>
      </c>
      <c r="W414" s="206" t="e">
        <f t="shared" si="331"/>
        <v>#N/A</v>
      </c>
      <c r="X414" s="207" t="e">
        <f t="shared" si="332"/>
        <v>#N/A</v>
      </c>
      <c r="Y414" s="207" t="e">
        <f t="shared" si="333"/>
        <v>#N/A</v>
      </c>
      <c r="Z414" s="233" t="e">
        <f t="shared" si="334"/>
        <v>#N/A</v>
      </c>
      <c r="AA414" s="208" t="e">
        <f t="shared" si="314"/>
        <v>#N/A</v>
      </c>
      <c r="AB414" s="233" t="e">
        <f t="shared" si="335"/>
        <v>#N/A</v>
      </c>
      <c r="AC414" s="233" t="e">
        <f t="shared" si="336"/>
        <v>#N/A</v>
      </c>
      <c r="AD414" s="233" t="e">
        <f t="shared" si="337"/>
        <v>#N/A</v>
      </c>
      <c r="AE414" s="233" t="e">
        <f t="shared" si="338"/>
        <v>#N/A</v>
      </c>
      <c r="AF414" s="238" t="e">
        <f t="shared" si="339"/>
        <v>#N/A</v>
      </c>
      <c r="AG414" s="238" t="e">
        <f t="shared" si="340"/>
        <v>#N/A</v>
      </c>
      <c r="AH414" s="238" t="e">
        <f t="shared" si="341"/>
        <v>#N/A</v>
      </c>
      <c r="AI414" s="261" t="e">
        <f t="shared" si="342"/>
        <v>#N/A</v>
      </c>
      <c r="AJ414" s="233" t="e">
        <f t="shared" si="343"/>
        <v>#N/A</v>
      </c>
    </row>
    <row r="415" spans="5:38" s="116" customFormat="1" ht="35.25" customHeight="1" x14ac:dyDescent="0.2">
      <c r="E415" s="218" t="s">
        <v>2307</v>
      </c>
      <c r="F415" s="73"/>
      <c r="G415" s="67" t="e">
        <f t="shared" ref="G415:G478" si="344">VLOOKUP(D415,ACUAN,4,FALSE)</f>
        <v>#N/A</v>
      </c>
      <c r="H415" s="396" t="e">
        <f t="shared" ref="H415:H478" si="345">VLOOKUP(D415,ACUAN,5,FALSE)</f>
        <v>#N/A</v>
      </c>
      <c r="I415" s="396" t="e">
        <f t="shared" ref="I415:I478" si="346">VLOOKUP(D415,ACUAN,6,FALSE)</f>
        <v>#N/A</v>
      </c>
      <c r="J415" s="396" t="e">
        <f t="shared" ref="J415:J478" si="347">VLOOKUP(D415,ACUAN,7,FALSE)</f>
        <v>#N/A</v>
      </c>
      <c r="K415" s="398" t="e">
        <f t="shared" ref="K415:K478" si="348">VLOOKUP(D415,ACUAN,8,FALSE)</f>
        <v>#N/A</v>
      </c>
      <c r="L415" s="396" t="e">
        <f t="shared" ref="L415:L478" si="349">VLOOKUP(D415,ACUAN,9,FALSE)</f>
        <v>#N/A</v>
      </c>
      <c r="M415" s="398" t="e">
        <f t="shared" ref="M415:M478" si="350">VLOOKUP(D415,ACUAN,10,FALSE)</f>
        <v>#N/A</v>
      </c>
      <c r="N415" s="396" t="e">
        <f t="shared" ref="N415:N478" si="351">VLOOKUP(D415,ACUAN,11,FALSE)</f>
        <v>#N/A</v>
      </c>
      <c r="O415" s="396" t="e">
        <f t="shared" ref="O415:O478" si="352">VLOOKUP(D415,ACUAN,12,FALSE)</f>
        <v>#N/A</v>
      </c>
      <c r="P415" s="396" t="e">
        <f t="shared" ref="P415:P478" si="353">VLOOKUP(D415,ACUAN,13,FALSE)</f>
        <v>#N/A</v>
      </c>
      <c r="Q415" s="396" t="e">
        <f t="shared" ref="Q415:Q478" si="354">VLOOKUP(D415,ACUAN,14,FALSE)</f>
        <v>#N/A</v>
      </c>
      <c r="R415" s="396" t="e">
        <f t="shared" ref="R415:R478" si="355">VLOOKUP(D415,ACUAN,15,FALSE)</f>
        <v>#N/A</v>
      </c>
      <c r="S415" s="396" t="e">
        <f t="shared" ref="S415:S478" si="356">VLOOKUP(D415,ACUAN,16,FALSE)</f>
        <v>#N/A</v>
      </c>
      <c r="T415" s="397" t="e">
        <f t="shared" ref="T415:T478" si="357">VLOOKUP(D415,ACUAN,17,FALSE)</f>
        <v>#N/A</v>
      </c>
      <c r="U415" s="396" t="e">
        <f t="shared" ref="U415:U478" si="358">VLOOKUP(D415,ACUAN,18,FALSE)</f>
        <v>#N/A</v>
      </c>
      <c r="V415" s="396" t="e">
        <f t="shared" ref="V415:V478" si="359">VLOOKUP(D415,ACUAN,19,FALSE)</f>
        <v>#N/A</v>
      </c>
      <c r="W415" s="206" t="e">
        <f t="shared" si="331"/>
        <v>#N/A</v>
      </c>
      <c r="X415" s="207" t="e">
        <f t="shared" si="332"/>
        <v>#N/A</v>
      </c>
      <c r="Y415" s="207" t="e">
        <f t="shared" si="333"/>
        <v>#N/A</v>
      </c>
      <c r="Z415" s="233" t="e">
        <f t="shared" si="334"/>
        <v>#N/A</v>
      </c>
      <c r="AA415" s="208" t="e">
        <f t="shared" si="314"/>
        <v>#N/A</v>
      </c>
      <c r="AB415" s="233" t="e">
        <f t="shared" si="335"/>
        <v>#N/A</v>
      </c>
      <c r="AC415" s="233" t="e">
        <f t="shared" si="336"/>
        <v>#N/A</v>
      </c>
      <c r="AD415" s="233" t="e">
        <f t="shared" si="337"/>
        <v>#N/A</v>
      </c>
      <c r="AE415" s="233" t="e">
        <f t="shared" si="338"/>
        <v>#N/A</v>
      </c>
      <c r="AF415" s="238" t="e">
        <f t="shared" si="339"/>
        <v>#N/A</v>
      </c>
      <c r="AG415" s="238" t="e">
        <f t="shared" si="340"/>
        <v>#N/A</v>
      </c>
      <c r="AH415" s="238" t="e">
        <f t="shared" si="341"/>
        <v>#N/A</v>
      </c>
      <c r="AI415" s="261" t="e">
        <f t="shared" si="342"/>
        <v>#N/A</v>
      </c>
      <c r="AJ415" s="233" t="e">
        <f t="shared" si="343"/>
        <v>#N/A</v>
      </c>
    </row>
    <row r="416" spans="5:38" s="116" customFormat="1" ht="35.25" customHeight="1" x14ac:dyDescent="0.2">
      <c r="E416" s="218" t="s">
        <v>2307</v>
      </c>
      <c r="F416" s="73"/>
      <c r="G416" s="67" t="e">
        <f t="shared" si="344"/>
        <v>#N/A</v>
      </c>
      <c r="H416" s="396" t="e">
        <f t="shared" si="345"/>
        <v>#N/A</v>
      </c>
      <c r="I416" s="396" t="e">
        <f t="shared" si="346"/>
        <v>#N/A</v>
      </c>
      <c r="J416" s="396" t="e">
        <f t="shared" si="347"/>
        <v>#N/A</v>
      </c>
      <c r="K416" s="398" t="e">
        <f t="shared" si="348"/>
        <v>#N/A</v>
      </c>
      <c r="L416" s="396" t="e">
        <f t="shared" si="349"/>
        <v>#N/A</v>
      </c>
      <c r="M416" s="398" t="e">
        <f t="shared" si="350"/>
        <v>#N/A</v>
      </c>
      <c r="N416" s="396" t="e">
        <f t="shared" si="351"/>
        <v>#N/A</v>
      </c>
      <c r="O416" s="396" t="e">
        <f t="shared" si="352"/>
        <v>#N/A</v>
      </c>
      <c r="P416" s="396" t="e">
        <f t="shared" si="353"/>
        <v>#N/A</v>
      </c>
      <c r="Q416" s="396" t="e">
        <f t="shared" si="354"/>
        <v>#N/A</v>
      </c>
      <c r="R416" s="396" t="e">
        <f t="shared" si="355"/>
        <v>#N/A</v>
      </c>
      <c r="S416" s="396" t="e">
        <f t="shared" si="356"/>
        <v>#N/A</v>
      </c>
      <c r="T416" s="397" t="e">
        <f t="shared" si="357"/>
        <v>#N/A</v>
      </c>
      <c r="U416" s="396" t="e">
        <f t="shared" si="358"/>
        <v>#N/A</v>
      </c>
      <c r="V416" s="396" t="e">
        <f t="shared" si="359"/>
        <v>#N/A</v>
      </c>
      <c r="W416" s="206" t="e">
        <f t="shared" si="331"/>
        <v>#N/A</v>
      </c>
      <c r="X416" s="207" t="e">
        <f t="shared" si="332"/>
        <v>#N/A</v>
      </c>
      <c r="Y416" s="207" t="e">
        <f t="shared" si="333"/>
        <v>#N/A</v>
      </c>
      <c r="Z416" s="233" t="e">
        <f t="shared" si="334"/>
        <v>#N/A</v>
      </c>
      <c r="AA416" s="208" t="e">
        <f t="shared" si="314"/>
        <v>#N/A</v>
      </c>
      <c r="AB416" s="233" t="e">
        <f t="shared" si="335"/>
        <v>#N/A</v>
      </c>
      <c r="AC416" s="233" t="e">
        <f t="shared" si="336"/>
        <v>#N/A</v>
      </c>
      <c r="AD416" s="233" t="e">
        <f t="shared" si="337"/>
        <v>#N/A</v>
      </c>
      <c r="AE416" s="233" t="e">
        <f t="shared" si="338"/>
        <v>#N/A</v>
      </c>
      <c r="AF416" s="238" t="e">
        <f t="shared" si="339"/>
        <v>#N/A</v>
      </c>
      <c r="AG416" s="238" t="e">
        <f t="shared" si="340"/>
        <v>#N/A</v>
      </c>
      <c r="AH416" s="238" t="e">
        <f t="shared" si="341"/>
        <v>#N/A</v>
      </c>
      <c r="AI416" s="261" t="e">
        <f t="shared" si="342"/>
        <v>#N/A</v>
      </c>
      <c r="AJ416" s="233" t="e">
        <f t="shared" si="343"/>
        <v>#N/A</v>
      </c>
    </row>
    <row r="417" spans="5:36" s="116" customFormat="1" ht="62.25" customHeight="1" x14ac:dyDescent="0.2">
      <c r="E417" s="218" t="s">
        <v>2307</v>
      </c>
      <c r="F417" s="73"/>
      <c r="G417" s="67" t="e">
        <f t="shared" si="344"/>
        <v>#N/A</v>
      </c>
      <c r="H417" s="396" t="e">
        <f t="shared" si="345"/>
        <v>#N/A</v>
      </c>
      <c r="I417" s="396" t="e">
        <f t="shared" si="346"/>
        <v>#N/A</v>
      </c>
      <c r="J417" s="396" t="e">
        <f t="shared" si="347"/>
        <v>#N/A</v>
      </c>
      <c r="K417" s="398" t="e">
        <f t="shared" si="348"/>
        <v>#N/A</v>
      </c>
      <c r="L417" s="396" t="e">
        <f t="shared" si="349"/>
        <v>#N/A</v>
      </c>
      <c r="M417" s="398" t="e">
        <f t="shared" si="350"/>
        <v>#N/A</v>
      </c>
      <c r="N417" s="396" t="e">
        <f t="shared" si="351"/>
        <v>#N/A</v>
      </c>
      <c r="O417" s="396" t="e">
        <f t="shared" si="352"/>
        <v>#N/A</v>
      </c>
      <c r="P417" s="396" t="e">
        <f t="shared" si="353"/>
        <v>#N/A</v>
      </c>
      <c r="Q417" s="396" t="e">
        <f t="shared" si="354"/>
        <v>#N/A</v>
      </c>
      <c r="R417" s="396" t="e">
        <f t="shared" si="355"/>
        <v>#N/A</v>
      </c>
      <c r="S417" s="396" t="e">
        <f t="shared" si="356"/>
        <v>#N/A</v>
      </c>
      <c r="T417" s="397" t="e">
        <f t="shared" si="357"/>
        <v>#N/A</v>
      </c>
      <c r="U417" s="396" t="e">
        <f t="shared" si="358"/>
        <v>#N/A</v>
      </c>
      <c r="V417" s="396" t="e">
        <f t="shared" si="359"/>
        <v>#N/A</v>
      </c>
      <c r="W417" s="206" t="e">
        <f t="shared" si="331"/>
        <v>#N/A</v>
      </c>
      <c r="X417" s="207" t="e">
        <f t="shared" si="332"/>
        <v>#N/A</v>
      </c>
      <c r="Y417" s="207" t="e">
        <f t="shared" si="333"/>
        <v>#N/A</v>
      </c>
      <c r="Z417" s="233" t="e">
        <f t="shared" si="334"/>
        <v>#N/A</v>
      </c>
      <c r="AA417" s="208" t="e">
        <f t="shared" si="314"/>
        <v>#N/A</v>
      </c>
      <c r="AB417" s="233" t="e">
        <f t="shared" si="335"/>
        <v>#N/A</v>
      </c>
      <c r="AC417" s="233" t="e">
        <f t="shared" si="336"/>
        <v>#N/A</v>
      </c>
      <c r="AD417" s="233" t="e">
        <f t="shared" si="337"/>
        <v>#N/A</v>
      </c>
      <c r="AE417" s="233" t="e">
        <f t="shared" si="338"/>
        <v>#N/A</v>
      </c>
      <c r="AF417" s="238" t="e">
        <f t="shared" si="339"/>
        <v>#N/A</v>
      </c>
      <c r="AG417" s="238" t="e">
        <f t="shared" si="340"/>
        <v>#N/A</v>
      </c>
      <c r="AH417" s="238" t="e">
        <f t="shared" si="341"/>
        <v>#N/A</v>
      </c>
      <c r="AI417" s="261" t="e">
        <f t="shared" si="342"/>
        <v>#N/A</v>
      </c>
      <c r="AJ417" s="233" t="e">
        <f t="shared" si="343"/>
        <v>#N/A</v>
      </c>
    </row>
    <row r="418" spans="5:36" s="116" customFormat="1" ht="62.25" customHeight="1" x14ac:dyDescent="0.2">
      <c r="E418" s="218" t="s">
        <v>2307</v>
      </c>
      <c r="F418" s="73"/>
      <c r="G418" s="67" t="e">
        <f t="shared" si="344"/>
        <v>#N/A</v>
      </c>
      <c r="H418" s="396" t="e">
        <f t="shared" si="345"/>
        <v>#N/A</v>
      </c>
      <c r="I418" s="396" t="e">
        <f t="shared" si="346"/>
        <v>#N/A</v>
      </c>
      <c r="J418" s="396" t="e">
        <f t="shared" si="347"/>
        <v>#N/A</v>
      </c>
      <c r="K418" s="398" t="e">
        <f t="shared" si="348"/>
        <v>#N/A</v>
      </c>
      <c r="L418" s="396" t="e">
        <f t="shared" si="349"/>
        <v>#N/A</v>
      </c>
      <c r="M418" s="398" t="e">
        <f t="shared" si="350"/>
        <v>#N/A</v>
      </c>
      <c r="N418" s="396" t="e">
        <f t="shared" si="351"/>
        <v>#N/A</v>
      </c>
      <c r="O418" s="396" t="e">
        <f t="shared" si="352"/>
        <v>#N/A</v>
      </c>
      <c r="P418" s="396" t="e">
        <f t="shared" si="353"/>
        <v>#N/A</v>
      </c>
      <c r="Q418" s="396" t="e">
        <f t="shared" si="354"/>
        <v>#N/A</v>
      </c>
      <c r="R418" s="396" t="e">
        <f t="shared" si="355"/>
        <v>#N/A</v>
      </c>
      <c r="S418" s="396" t="e">
        <f t="shared" si="356"/>
        <v>#N/A</v>
      </c>
      <c r="T418" s="397" t="e">
        <f t="shared" si="357"/>
        <v>#N/A</v>
      </c>
      <c r="U418" s="396" t="e">
        <f t="shared" si="358"/>
        <v>#N/A</v>
      </c>
      <c r="V418" s="396" t="e">
        <f t="shared" si="359"/>
        <v>#N/A</v>
      </c>
      <c r="W418" s="206" t="e">
        <f t="shared" si="331"/>
        <v>#N/A</v>
      </c>
      <c r="X418" s="207" t="e">
        <f t="shared" si="332"/>
        <v>#N/A</v>
      </c>
      <c r="Y418" s="207" t="e">
        <f t="shared" si="333"/>
        <v>#N/A</v>
      </c>
      <c r="Z418" s="233" t="e">
        <f t="shared" si="334"/>
        <v>#N/A</v>
      </c>
      <c r="AA418" s="208" t="e">
        <f t="shared" si="314"/>
        <v>#N/A</v>
      </c>
      <c r="AB418" s="233" t="e">
        <f t="shared" si="335"/>
        <v>#N/A</v>
      </c>
      <c r="AC418" s="233" t="e">
        <f t="shared" si="336"/>
        <v>#N/A</v>
      </c>
      <c r="AD418" s="233" t="e">
        <f t="shared" si="337"/>
        <v>#N/A</v>
      </c>
      <c r="AE418" s="233" t="e">
        <f t="shared" si="338"/>
        <v>#N/A</v>
      </c>
      <c r="AF418" s="238" t="e">
        <f t="shared" si="339"/>
        <v>#N/A</v>
      </c>
      <c r="AG418" s="238" t="e">
        <f t="shared" si="340"/>
        <v>#N/A</v>
      </c>
      <c r="AH418" s="238" t="e">
        <f t="shared" si="341"/>
        <v>#N/A</v>
      </c>
      <c r="AI418" s="261" t="e">
        <f t="shared" si="342"/>
        <v>#N/A</v>
      </c>
      <c r="AJ418" s="233" t="e">
        <f t="shared" si="343"/>
        <v>#N/A</v>
      </c>
    </row>
    <row r="419" spans="5:36" s="116" customFormat="1" ht="62.25" customHeight="1" x14ac:dyDescent="0.2">
      <c r="E419" s="218" t="s">
        <v>2307</v>
      </c>
      <c r="F419" s="73"/>
      <c r="G419" s="67" t="e">
        <f t="shared" si="344"/>
        <v>#N/A</v>
      </c>
      <c r="H419" s="396" t="e">
        <f t="shared" si="345"/>
        <v>#N/A</v>
      </c>
      <c r="I419" s="396" t="e">
        <f t="shared" si="346"/>
        <v>#N/A</v>
      </c>
      <c r="J419" s="396" t="e">
        <f t="shared" si="347"/>
        <v>#N/A</v>
      </c>
      <c r="K419" s="398" t="e">
        <f t="shared" si="348"/>
        <v>#N/A</v>
      </c>
      <c r="L419" s="396" t="e">
        <f t="shared" si="349"/>
        <v>#N/A</v>
      </c>
      <c r="M419" s="398" t="e">
        <f t="shared" si="350"/>
        <v>#N/A</v>
      </c>
      <c r="N419" s="396" t="e">
        <f t="shared" si="351"/>
        <v>#N/A</v>
      </c>
      <c r="O419" s="396" t="e">
        <f t="shared" si="352"/>
        <v>#N/A</v>
      </c>
      <c r="P419" s="396" t="e">
        <f t="shared" si="353"/>
        <v>#N/A</v>
      </c>
      <c r="Q419" s="396" t="e">
        <f t="shared" si="354"/>
        <v>#N/A</v>
      </c>
      <c r="R419" s="396" t="e">
        <f t="shared" si="355"/>
        <v>#N/A</v>
      </c>
      <c r="S419" s="396" t="e">
        <f t="shared" si="356"/>
        <v>#N/A</v>
      </c>
      <c r="T419" s="397" t="e">
        <f t="shared" si="357"/>
        <v>#N/A</v>
      </c>
      <c r="U419" s="396" t="e">
        <f t="shared" si="358"/>
        <v>#N/A</v>
      </c>
      <c r="V419" s="396" t="e">
        <f t="shared" si="359"/>
        <v>#N/A</v>
      </c>
      <c r="W419" s="206" t="e">
        <f t="shared" si="331"/>
        <v>#N/A</v>
      </c>
      <c r="X419" s="207" t="e">
        <f t="shared" si="332"/>
        <v>#N/A</v>
      </c>
      <c r="Y419" s="207" t="e">
        <f t="shared" si="333"/>
        <v>#N/A</v>
      </c>
      <c r="Z419" s="233" t="e">
        <f t="shared" si="334"/>
        <v>#N/A</v>
      </c>
      <c r="AA419" s="208" t="e">
        <f t="shared" si="314"/>
        <v>#N/A</v>
      </c>
      <c r="AB419" s="233" t="e">
        <f t="shared" si="335"/>
        <v>#N/A</v>
      </c>
      <c r="AC419" s="233" t="e">
        <f t="shared" si="336"/>
        <v>#N/A</v>
      </c>
      <c r="AD419" s="233" t="e">
        <f t="shared" si="337"/>
        <v>#N/A</v>
      </c>
      <c r="AE419" s="233" t="e">
        <f t="shared" si="338"/>
        <v>#N/A</v>
      </c>
      <c r="AF419" s="238" t="e">
        <f t="shared" si="339"/>
        <v>#N/A</v>
      </c>
      <c r="AG419" s="238" t="e">
        <f t="shared" si="340"/>
        <v>#N/A</v>
      </c>
      <c r="AH419" s="238" t="e">
        <f t="shared" si="341"/>
        <v>#N/A</v>
      </c>
      <c r="AI419" s="261" t="e">
        <f t="shared" si="342"/>
        <v>#N/A</v>
      </c>
      <c r="AJ419" s="233" t="e">
        <f t="shared" si="343"/>
        <v>#N/A</v>
      </c>
    </row>
    <row r="420" spans="5:36" s="116" customFormat="1" ht="62.25" customHeight="1" x14ac:dyDescent="0.2">
      <c r="E420" s="218" t="s">
        <v>2307</v>
      </c>
      <c r="F420" s="73"/>
      <c r="G420" s="67" t="e">
        <f t="shared" si="344"/>
        <v>#N/A</v>
      </c>
      <c r="H420" s="396" t="e">
        <f t="shared" si="345"/>
        <v>#N/A</v>
      </c>
      <c r="I420" s="396" t="e">
        <f t="shared" si="346"/>
        <v>#N/A</v>
      </c>
      <c r="J420" s="396" t="e">
        <f t="shared" si="347"/>
        <v>#N/A</v>
      </c>
      <c r="K420" s="398" t="e">
        <f t="shared" si="348"/>
        <v>#N/A</v>
      </c>
      <c r="L420" s="396" t="e">
        <f t="shared" si="349"/>
        <v>#N/A</v>
      </c>
      <c r="M420" s="398" t="e">
        <f t="shared" si="350"/>
        <v>#N/A</v>
      </c>
      <c r="N420" s="396" t="e">
        <f t="shared" si="351"/>
        <v>#N/A</v>
      </c>
      <c r="O420" s="396" t="e">
        <f t="shared" si="352"/>
        <v>#N/A</v>
      </c>
      <c r="P420" s="396" t="e">
        <f t="shared" si="353"/>
        <v>#N/A</v>
      </c>
      <c r="Q420" s="396" t="e">
        <f t="shared" si="354"/>
        <v>#N/A</v>
      </c>
      <c r="R420" s="396" t="e">
        <f t="shared" si="355"/>
        <v>#N/A</v>
      </c>
      <c r="S420" s="396" t="e">
        <f t="shared" si="356"/>
        <v>#N/A</v>
      </c>
      <c r="T420" s="397" t="e">
        <f t="shared" si="357"/>
        <v>#N/A</v>
      </c>
      <c r="U420" s="396" t="e">
        <f t="shared" si="358"/>
        <v>#N/A</v>
      </c>
      <c r="V420" s="396" t="e">
        <f t="shared" si="359"/>
        <v>#N/A</v>
      </c>
      <c r="W420" s="206" t="e">
        <f t="shared" si="331"/>
        <v>#N/A</v>
      </c>
      <c r="X420" s="207" t="e">
        <f t="shared" si="332"/>
        <v>#N/A</v>
      </c>
      <c r="Y420" s="207" t="e">
        <f t="shared" si="333"/>
        <v>#N/A</v>
      </c>
      <c r="Z420" s="233" t="e">
        <f t="shared" si="334"/>
        <v>#N/A</v>
      </c>
      <c r="AA420" s="208" t="e">
        <f t="shared" si="314"/>
        <v>#N/A</v>
      </c>
      <c r="AB420" s="233" t="e">
        <f t="shared" si="335"/>
        <v>#N/A</v>
      </c>
      <c r="AC420" s="233" t="e">
        <f t="shared" si="336"/>
        <v>#N/A</v>
      </c>
      <c r="AD420" s="233" t="e">
        <f t="shared" si="337"/>
        <v>#N/A</v>
      </c>
      <c r="AE420" s="233" t="e">
        <f t="shared" si="338"/>
        <v>#N/A</v>
      </c>
      <c r="AF420" s="238" t="e">
        <f t="shared" si="339"/>
        <v>#N/A</v>
      </c>
      <c r="AG420" s="238" t="e">
        <f t="shared" si="340"/>
        <v>#N/A</v>
      </c>
      <c r="AH420" s="238" t="e">
        <f t="shared" si="341"/>
        <v>#N/A</v>
      </c>
      <c r="AI420" s="261" t="e">
        <f t="shared" si="342"/>
        <v>#N/A</v>
      </c>
      <c r="AJ420" s="233" t="e">
        <f t="shared" si="343"/>
        <v>#N/A</v>
      </c>
    </row>
    <row r="421" spans="5:36" s="116" customFormat="1" ht="62.25" customHeight="1" x14ac:dyDescent="0.2">
      <c r="E421" s="218" t="s">
        <v>2307</v>
      </c>
      <c r="F421" s="73"/>
      <c r="G421" s="67" t="e">
        <f t="shared" si="344"/>
        <v>#N/A</v>
      </c>
      <c r="H421" s="396" t="e">
        <f t="shared" si="345"/>
        <v>#N/A</v>
      </c>
      <c r="I421" s="396" t="e">
        <f t="shared" si="346"/>
        <v>#N/A</v>
      </c>
      <c r="J421" s="396" t="e">
        <f t="shared" si="347"/>
        <v>#N/A</v>
      </c>
      <c r="K421" s="398" t="e">
        <f t="shared" si="348"/>
        <v>#N/A</v>
      </c>
      <c r="L421" s="396" t="e">
        <f t="shared" si="349"/>
        <v>#N/A</v>
      </c>
      <c r="M421" s="398" t="e">
        <f t="shared" si="350"/>
        <v>#N/A</v>
      </c>
      <c r="N421" s="396" t="e">
        <f t="shared" si="351"/>
        <v>#N/A</v>
      </c>
      <c r="O421" s="396" t="e">
        <f t="shared" si="352"/>
        <v>#N/A</v>
      </c>
      <c r="P421" s="396" t="e">
        <f t="shared" si="353"/>
        <v>#N/A</v>
      </c>
      <c r="Q421" s="396" t="e">
        <f t="shared" si="354"/>
        <v>#N/A</v>
      </c>
      <c r="R421" s="396" t="e">
        <f t="shared" si="355"/>
        <v>#N/A</v>
      </c>
      <c r="S421" s="396" t="e">
        <f t="shared" si="356"/>
        <v>#N/A</v>
      </c>
      <c r="T421" s="397" t="e">
        <f t="shared" si="357"/>
        <v>#N/A</v>
      </c>
      <c r="U421" s="396" t="e">
        <f t="shared" si="358"/>
        <v>#N/A</v>
      </c>
      <c r="V421" s="396" t="e">
        <f t="shared" si="359"/>
        <v>#N/A</v>
      </c>
      <c r="W421" s="206" t="e">
        <f t="shared" si="331"/>
        <v>#N/A</v>
      </c>
      <c r="X421" s="207" t="e">
        <f t="shared" si="332"/>
        <v>#N/A</v>
      </c>
      <c r="Y421" s="207" t="e">
        <f t="shared" si="333"/>
        <v>#N/A</v>
      </c>
      <c r="Z421" s="233" t="e">
        <f t="shared" si="334"/>
        <v>#N/A</v>
      </c>
      <c r="AA421" s="208" t="e">
        <f t="shared" si="314"/>
        <v>#N/A</v>
      </c>
      <c r="AB421" s="233" t="e">
        <f t="shared" si="335"/>
        <v>#N/A</v>
      </c>
      <c r="AC421" s="233" t="e">
        <f t="shared" si="336"/>
        <v>#N/A</v>
      </c>
      <c r="AD421" s="233" t="e">
        <f t="shared" si="337"/>
        <v>#N/A</v>
      </c>
      <c r="AE421" s="233" t="e">
        <f t="shared" si="338"/>
        <v>#N/A</v>
      </c>
      <c r="AF421" s="238" t="e">
        <f t="shared" si="339"/>
        <v>#N/A</v>
      </c>
      <c r="AG421" s="238" t="e">
        <f t="shared" si="340"/>
        <v>#N/A</v>
      </c>
      <c r="AH421" s="238" t="e">
        <f t="shared" si="341"/>
        <v>#N/A</v>
      </c>
      <c r="AI421" s="261" t="e">
        <f t="shared" si="342"/>
        <v>#N/A</v>
      </c>
      <c r="AJ421" s="233" t="e">
        <f t="shared" si="343"/>
        <v>#N/A</v>
      </c>
    </row>
    <row r="422" spans="5:36" s="116" customFormat="1" ht="62.25" customHeight="1" x14ac:dyDescent="0.2">
      <c r="E422" s="218" t="s">
        <v>2307</v>
      </c>
      <c r="F422" s="73"/>
      <c r="G422" s="67" t="e">
        <f t="shared" si="344"/>
        <v>#N/A</v>
      </c>
      <c r="H422" s="396" t="e">
        <f t="shared" si="345"/>
        <v>#N/A</v>
      </c>
      <c r="I422" s="396" t="e">
        <f t="shared" si="346"/>
        <v>#N/A</v>
      </c>
      <c r="J422" s="396" t="e">
        <f t="shared" si="347"/>
        <v>#N/A</v>
      </c>
      <c r="K422" s="398" t="e">
        <f t="shared" si="348"/>
        <v>#N/A</v>
      </c>
      <c r="L422" s="396" t="e">
        <f t="shared" si="349"/>
        <v>#N/A</v>
      </c>
      <c r="M422" s="398" t="e">
        <f t="shared" si="350"/>
        <v>#N/A</v>
      </c>
      <c r="N422" s="396" t="e">
        <f t="shared" si="351"/>
        <v>#N/A</v>
      </c>
      <c r="O422" s="396" t="e">
        <f t="shared" si="352"/>
        <v>#N/A</v>
      </c>
      <c r="P422" s="396" t="e">
        <f t="shared" si="353"/>
        <v>#N/A</v>
      </c>
      <c r="Q422" s="396" t="e">
        <f t="shared" si="354"/>
        <v>#N/A</v>
      </c>
      <c r="R422" s="396" t="e">
        <f t="shared" si="355"/>
        <v>#N/A</v>
      </c>
      <c r="S422" s="396" t="e">
        <f t="shared" si="356"/>
        <v>#N/A</v>
      </c>
      <c r="T422" s="397" t="e">
        <f t="shared" si="357"/>
        <v>#N/A</v>
      </c>
      <c r="U422" s="396" t="e">
        <f t="shared" si="358"/>
        <v>#N/A</v>
      </c>
      <c r="V422" s="396" t="e">
        <f t="shared" si="359"/>
        <v>#N/A</v>
      </c>
      <c r="W422" s="206" t="e">
        <f t="shared" si="331"/>
        <v>#N/A</v>
      </c>
      <c r="X422" s="207" t="e">
        <f t="shared" si="332"/>
        <v>#N/A</v>
      </c>
      <c r="Y422" s="207" t="e">
        <f t="shared" si="333"/>
        <v>#N/A</v>
      </c>
      <c r="Z422" s="233" t="e">
        <f t="shared" si="334"/>
        <v>#N/A</v>
      </c>
      <c r="AA422" s="208" t="e">
        <f t="shared" si="314"/>
        <v>#N/A</v>
      </c>
      <c r="AB422" s="233" t="e">
        <f t="shared" si="335"/>
        <v>#N/A</v>
      </c>
      <c r="AC422" s="233" t="e">
        <f t="shared" si="336"/>
        <v>#N/A</v>
      </c>
      <c r="AD422" s="233" t="e">
        <f t="shared" si="337"/>
        <v>#N/A</v>
      </c>
      <c r="AE422" s="233" t="e">
        <f t="shared" si="338"/>
        <v>#N/A</v>
      </c>
      <c r="AF422" s="238" t="e">
        <f t="shared" si="339"/>
        <v>#N/A</v>
      </c>
      <c r="AG422" s="238" t="e">
        <f t="shared" si="340"/>
        <v>#N/A</v>
      </c>
      <c r="AH422" s="238" t="e">
        <f t="shared" si="341"/>
        <v>#N/A</v>
      </c>
      <c r="AI422" s="261" t="e">
        <f t="shared" si="342"/>
        <v>#N/A</v>
      </c>
      <c r="AJ422" s="233" t="e">
        <f t="shared" si="343"/>
        <v>#N/A</v>
      </c>
    </row>
    <row r="423" spans="5:36" s="48" customFormat="1" ht="62.25" customHeight="1" x14ac:dyDescent="0.2">
      <c r="E423" s="218" t="s">
        <v>2307</v>
      </c>
      <c r="F423" s="137"/>
      <c r="G423" s="67" t="e">
        <f t="shared" si="344"/>
        <v>#N/A</v>
      </c>
      <c r="H423" s="396" t="e">
        <f t="shared" si="345"/>
        <v>#N/A</v>
      </c>
      <c r="I423" s="396" t="e">
        <f t="shared" si="346"/>
        <v>#N/A</v>
      </c>
      <c r="J423" s="396" t="e">
        <f t="shared" si="347"/>
        <v>#N/A</v>
      </c>
      <c r="K423" s="398" t="e">
        <f t="shared" si="348"/>
        <v>#N/A</v>
      </c>
      <c r="L423" s="396" t="e">
        <f t="shared" si="349"/>
        <v>#N/A</v>
      </c>
      <c r="M423" s="398" t="e">
        <f t="shared" si="350"/>
        <v>#N/A</v>
      </c>
      <c r="N423" s="396" t="e">
        <f t="shared" si="351"/>
        <v>#N/A</v>
      </c>
      <c r="O423" s="396" t="e">
        <f t="shared" si="352"/>
        <v>#N/A</v>
      </c>
      <c r="P423" s="396" t="e">
        <f t="shared" si="353"/>
        <v>#N/A</v>
      </c>
      <c r="Q423" s="396" t="e">
        <f t="shared" si="354"/>
        <v>#N/A</v>
      </c>
      <c r="R423" s="396" t="e">
        <f t="shared" si="355"/>
        <v>#N/A</v>
      </c>
      <c r="S423" s="396" t="e">
        <f t="shared" si="356"/>
        <v>#N/A</v>
      </c>
      <c r="T423" s="397" t="e">
        <f t="shared" si="357"/>
        <v>#N/A</v>
      </c>
      <c r="U423" s="396" t="e">
        <f t="shared" si="358"/>
        <v>#N/A</v>
      </c>
      <c r="V423" s="396" t="e">
        <f t="shared" si="359"/>
        <v>#N/A</v>
      </c>
      <c r="W423" s="206" t="e">
        <f t="shared" si="331"/>
        <v>#N/A</v>
      </c>
      <c r="X423" s="207" t="e">
        <f t="shared" si="332"/>
        <v>#N/A</v>
      </c>
      <c r="Y423" s="207" t="e">
        <f t="shared" si="333"/>
        <v>#N/A</v>
      </c>
      <c r="Z423" s="233" t="e">
        <f t="shared" si="334"/>
        <v>#N/A</v>
      </c>
      <c r="AA423" s="208" t="e">
        <f t="shared" si="314"/>
        <v>#N/A</v>
      </c>
      <c r="AB423" s="233" t="e">
        <f t="shared" si="335"/>
        <v>#N/A</v>
      </c>
      <c r="AC423" s="233" t="e">
        <f t="shared" si="336"/>
        <v>#N/A</v>
      </c>
      <c r="AD423" s="233" t="e">
        <f t="shared" si="337"/>
        <v>#N/A</v>
      </c>
      <c r="AE423" s="233" t="e">
        <f t="shared" si="338"/>
        <v>#N/A</v>
      </c>
      <c r="AF423" s="238" t="e">
        <f t="shared" si="339"/>
        <v>#N/A</v>
      </c>
      <c r="AG423" s="238" t="e">
        <f t="shared" si="340"/>
        <v>#N/A</v>
      </c>
      <c r="AH423" s="238" t="e">
        <f t="shared" si="341"/>
        <v>#N/A</v>
      </c>
      <c r="AI423" s="261" t="e">
        <f t="shared" si="342"/>
        <v>#N/A</v>
      </c>
      <c r="AJ423" s="233" t="e">
        <f t="shared" si="343"/>
        <v>#N/A</v>
      </c>
    </row>
    <row r="424" spans="5:36" s="48" customFormat="1" ht="35.25" customHeight="1" x14ac:dyDescent="0.2">
      <c r="E424" s="218" t="s">
        <v>2307</v>
      </c>
      <c r="F424" s="137"/>
      <c r="G424" s="67" t="e">
        <f t="shared" si="344"/>
        <v>#N/A</v>
      </c>
      <c r="H424" s="396" t="e">
        <f t="shared" si="345"/>
        <v>#N/A</v>
      </c>
      <c r="I424" s="396" t="e">
        <f t="shared" si="346"/>
        <v>#N/A</v>
      </c>
      <c r="J424" s="396" t="e">
        <f t="shared" si="347"/>
        <v>#N/A</v>
      </c>
      <c r="K424" s="398" t="e">
        <f t="shared" si="348"/>
        <v>#N/A</v>
      </c>
      <c r="L424" s="396" t="e">
        <f t="shared" si="349"/>
        <v>#N/A</v>
      </c>
      <c r="M424" s="398" t="e">
        <f t="shared" si="350"/>
        <v>#N/A</v>
      </c>
      <c r="N424" s="396" t="e">
        <f t="shared" si="351"/>
        <v>#N/A</v>
      </c>
      <c r="O424" s="396" t="e">
        <f t="shared" si="352"/>
        <v>#N/A</v>
      </c>
      <c r="P424" s="396" t="e">
        <f t="shared" si="353"/>
        <v>#N/A</v>
      </c>
      <c r="Q424" s="396" t="e">
        <f t="shared" si="354"/>
        <v>#N/A</v>
      </c>
      <c r="R424" s="396" t="e">
        <f t="shared" si="355"/>
        <v>#N/A</v>
      </c>
      <c r="S424" s="396" t="e">
        <f t="shared" si="356"/>
        <v>#N/A</v>
      </c>
      <c r="T424" s="397" t="e">
        <f t="shared" si="357"/>
        <v>#N/A</v>
      </c>
      <c r="U424" s="396" t="e">
        <f t="shared" si="358"/>
        <v>#N/A</v>
      </c>
      <c r="V424" s="396" t="e">
        <f t="shared" si="359"/>
        <v>#N/A</v>
      </c>
      <c r="W424" s="206" t="e">
        <f t="shared" si="331"/>
        <v>#N/A</v>
      </c>
      <c r="X424" s="207" t="e">
        <f t="shared" si="332"/>
        <v>#N/A</v>
      </c>
      <c r="Y424" s="207" t="e">
        <f t="shared" si="333"/>
        <v>#N/A</v>
      </c>
      <c r="Z424" s="233" t="e">
        <f t="shared" si="334"/>
        <v>#N/A</v>
      </c>
      <c r="AA424" s="208" t="e">
        <f t="shared" si="314"/>
        <v>#N/A</v>
      </c>
      <c r="AB424" s="233" t="e">
        <f t="shared" si="335"/>
        <v>#N/A</v>
      </c>
      <c r="AC424" s="233" t="e">
        <f t="shared" si="336"/>
        <v>#N/A</v>
      </c>
      <c r="AD424" s="233" t="e">
        <f t="shared" si="337"/>
        <v>#N/A</v>
      </c>
      <c r="AE424" s="233" t="e">
        <f t="shared" si="338"/>
        <v>#N/A</v>
      </c>
      <c r="AF424" s="238" t="e">
        <f t="shared" si="339"/>
        <v>#N/A</v>
      </c>
      <c r="AG424" s="238" t="e">
        <f t="shared" si="340"/>
        <v>#N/A</v>
      </c>
      <c r="AH424" s="238" t="e">
        <f t="shared" si="341"/>
        <v>#N/A</v>
      </c>
      <c r="AI424" s="261" t="e">
        <f t="shared" si="342"/>
        <v>#N/A</v>
      </c>
      <c r="AJ424" s="233" t="e">
        <f t="shared" si="343"/>
        <v>#N/A</v>
      </c>
    </row>
    <row r="425" spans="5:36" s="48" customFormat="1" ht="35.25" customHeight="1" x14ac:dyDescent="0.2">
      <c r="E425" s="218" t="s">
        <v>2307</v>
      </c>
      <c r="F425" s="138"/>
      <c r="G425" s="67" t="e">
        <f t="shared" si="344"/>
        <v>#N/A</v>
      </c>
      <c r="H425" s="396" t="e">
        <f t="shared" si="345"/>
        <v>#N/A</v>
      </c>
      <c r="I425" s="396" t="e">
        <f t="shared" si="346"/>
        <v>#N/A</v>
      </c>
      <c r="J425" s="396" t="e">
        <f t="shared" si="347"/>
        <v>#N/A</v>
      </c>
      <c r="K425" s="398" t="e">
        <f t="shared" si="348"/>
        <v>#N/A</v>
      </c>
      <c r="L425" s="396" t="e">
        <f t="shared" si="349"/>
        <v>#N/A</v>
      </c>
      <c r="M425" s="398" t="e">
        <f t="shared" si="350"/>
        <v>#N/A</v>
      </c>
      <c r="N425" s="396" t="e">
        <f t="shared" si="351"/>
        <v>#N/A</v>
      </c>
      <c r="O425" s="396" t="e">
        <f t="shared" si="352"/>
        <v>#N/A</v>
      </c>
      <c r="P425" s="396" t="e">
        <f t="shared" si="353"/>
        <v>#N/A</v>
      </c>
      <c r="Q425" s="396" t="e">
        <f t="shared" si="354"/>
        <v>#N/A</v>
      </c>
      <c r="R425" s="396" t="e">
        <f t="shared" si="355"/>
        <v>#N/A</v>
      </c>
      <c r="S425" s="396" t="e">
        <f t="shared" si="356"/>
        <v>#N/A</v>
      </c>
      <c r="T425" s="397" t="e">
        <f t="shared" si="357"/>
        <v>#N/A</v>
      </c>
      <c r="U425" s="396" t="e">
        <f t="shared" si="358"/>
        <v>#N/A</v>
      </c>
      <c r="V425" s="396" t="e">
        <f t="shared" si="359"/>
        <v>#N/A</v>
      </c>
      <c r="W425" s="206" t="e">
        <f t="shared" si="331"/>
        <v>#N/A</v>
      </c>
      <c r="X425" s="207" t="e">
        <f t="shared" si="332"/>
        <v>#N/A</v>
      </c>
      <c r="Y425" s="207" t="e">
        <f t="shared" si="333"/>
        <v>#N/A</v>
      </c>
      <c r="Z425" s="233" t="e">
        <f t="shared" si="334"/>
        <v>#N/A</v>
      </c>
      <c r="AA425" s="208" t="e">
        <f t="shared" si="314"/>
        <v>#N/A</v>
      </c>
      <c r="AB425" s="233" t="e">
        <f t="shared" si="335"/>
        <v>#N/A</v>
      </c>
      <c r="AC425" s="233" t="e">
        <f t="shared" si="336"/>
        <v>#N/A</v>
      </c>
      <c r="AD425" s="233" t="e">
        <f t="shared" si="337"/>
        <v>#N/A</v>
      </c>
      <c r="AE425" s="233" t="e">
        <f t="shared" si="338"/>
        <v>#N/A</v>
      </c>
      <c r="AF425" s="238" t="e">
        <f t="shared" si="339"/>
        <v>#N/A</v>
      </c>
      <c r="AG425" s="238" t="e">
        <f t="shared" si="340"/>
        <v>#N/A</v>
      </c>
      <c r="AH425" s="238" t="e">
        <f t="shared" si="341"/>
        <v>#N/A</v>
      </c>
      <c r="AI425" s="261" t="e">
        <f t="shared" si="342"/>
        <v>#N/A</v>
      </c>
      <c r="AJ425" s="233" t="e">
        <f t="shared" si="343"/>
        <v>#N/A</v>
      </c>
    </row>
    <row r="426" spans="5:36" s="48" customFormat="1" ht="35.25" customHeight="1" x14ac:dyDescent="0.2">
      <c r="E426" s="218" t="s">
        <v>2307</v>
      </c>
      <c r="F426" s="138"/>
      <c r="G426" s="67" t="e">
        <f t="shared" si="344"/>
        <v>#N/A</v>
      </c>
      <c r="H426" s="396" t="e">
        <f t="shared" si="345"/>
        <v>#N/A</v>
      </c>
      <c r="I426" s="396" t="e">
        <f t="shared" si="346"/>
        <v>#N/A</v>
      </c>
      <c r="J426" s="396" t="e">
        <f t="shared" si="347"/>
        <v>#N/A</v>
      </c>
      <c r="K426" s="398" t="e">
        <f t="shared" si="348"/>
        <v>#N/A</v>
      </c>
      <c r="L426" s="396" t="e">
        <f t="shared" si="349"/>
        <v>#N/A</v>
      </c>
      <c r="M426" s="398" t="e">
        <f t="shared" si="350"/>
        <v>#N/A</v>
      </c>
      <c r="N426" s="396" t="e">
        <f t="shared" si="351"/>
        <v>#N/A</v>
      </c>
      <c r="O426" s="396" t="e">
        <f t="shared" si="352"/>
        <v>#N/A</v>
      </c>
      <c r="P426" s="396" t="e">
        <f t="shared" si="353"/>
        <v>#N/A</v>
      </c>
      <c r="Q426" s="396" t="e">
        <f t="shared" si="354"/>
        <v>#N/A</v>
      </c>
      <c r="R426" s="396" t="e">
        <f t="shared" si="355"/>
        <v>#N/A</v>
      </c>
      <c r="S426" s="396" t="e">
        <f t="shared" si="356"/>
        <v>#N/A</v>
      </c>
      <c r="T426" s="397" t="e">
        <f t="shared" si="357"/>
        <v>#N/A</v>
      </c>
      <c r="U426" s="396" t="e">
        <f t="shared" si="358"/>
        <v>#N/A</v>
      </c>
      <c r="V426" s="396" t="e">
        <f t="shared" si="359"/>
        <v>#N/A</v>
      </c>
      <c r="W426" s="206" t="e">
        <f t="shared" si="331"/>
        <v>#N/A</v>
      </c>
      <c r="X426" s="207" t="e">
        <f t="shared" si="332"/>
        <v>#N/A</v>
      </c>
      <c r="Y426" s="207" t="e">
        <f t="shared" si="333"/>
        <v>#N/A</v>
      </c>
      <c r="Z426" s="233" t="e">
        <f t="shared" si="334"/>
        <v>#N/A</v>
      </c>
      <c r="AA426" s="208" t="e">
        <f t="shared" si="314"/>
        <v>#N/A</v>
      </c>
      <c r="AB426" s="233" t="e">
        <f t="shared" si="335"/>
        <v>#N/A</v>
      </c>
      <c r="AC426" s="233" t="e">
        <f t="shared" si="336"/>
        <v>#N/A</v>
      </c>
      <c r="AD426" s="233" t="e">
        <f t="shared" si="337"/>
        <v>#N/A</v>
      </c>
      <c r="AE426" s="233" t="e">
        <f t="shared" si="338"/>
        <v>#N/A</v>
      </c>
      <c r="AF426" s="238" t="e">
        <f t="shared" si="339"/>
        <v>#N/A</v>
      </c>
      <c r="AG426" s="238" t="e">
        <f t="shared" si="340"/>
        <v>#N/A</v>
      </c>
      <c r="AH426" s="238" t="e">
        <f t="shared" si="341"/>
        <v>#N/A</v>
      </c>
      <c r="AI426" s="261" t="e">
        <f t="shared" si="342"/>
        <v>#N/A</v>
      </c>
      <c r="AJ426" s="233" t="e">
        <f t="shared" si="343"/>
        <v>#N/A</v>
      </c>
    </row>
    <row r="427" spans="5:36" s="48" customFormat="1" ht="35.25" customHeight="1" x14ac:dyDescent="0.2">
      <c r="E427" s="218" t="s">
        <v>2307</v>
      </c>
      <c r="F427" s="73"/>
      <c r="G427" s="67" t="e">
        <f t="shared" si="344"/>
        <v>#N/A</v>
      </c>
      <c r="H427" s="396" t="e">
        <f t="shared" si="345"/>
        <v>#N/A</v>
      </c>
      <c r="I427" s="396" t="e">
        <f t="shared" si="346"/>
        <v>#N/A</v>
      </c>
      <c r="J427" s="396" t="e">
        <f t="shared" si="347"/>
        <v>#N/A</v>
      </c>
      <c r="K427" s="398" t="e">
        <f t="shared" si="348"/>
        <v>#N/A</v>
      </c>
      <c r="L427" s="396" t="e">
        <f t="shared" si="349"/>
        <v>#N/A</v>
      </c>
      <c r="M427" s="398" t="e">
        <f t="shared" si="350"/>
        <v>#N/A</v>
      </c>
      <c r="N427" s="396" t="e">
        <f t="shared" si="351"/>
        <v>#N/A</v>
      </c>
      <c r="O427" s="396" t="e">
        <f t="shared" si="352"/>
        <v>#N/A</v>
      </c>
      <c r="P427" s="396" t="e">
        <f t="shared" si="353"/>
        <v>#N/A</v>
      </c>
      <c r="Q427" s="396" t="e">
        <f t="shared" si="354"/>
        <v>#N/A</v>
      </c>
      <c r="R427" s="396" t="e">
        <f t="shared" si="355"/>
        <v>#N/A</v>
      </c>
      <c r="S427" s="396" t="e">
        <f t="shared" si="356"/>
        <v>#N/A</v>
      </c>
      <c r="T427" s="397" t="e">
        <f t="shared" si="357"/>
        <v>#N/A</v>
      </c>
      <c r="U427" s="396" t="e">
        <f t="shared" si="358"/>
        <v>#N/A</v>
      </c>
      <c r="V427" s="396" t="e">
        <f t="shared" si="359"/>
        <v>#N/A</v>
      </c>
      <c r="W427" s="206" t="e">
        <f t="shared" si="331"/>
        <v>#N/A</v>
      </c>
      <c r="X427" s="207" t="e">
        <f t="shared" si="332"/>
        <v>#N/A</v>
      </c>
      <c r="Y427" s="207" t="e">
        <f t="shared" si="333"/>
        <v>#N/A</v>
      </c>
      <c r="Z427" s="233" t="e">
        <f t="shared" si="334"/>
        <v>#N/A</v>
      </c>
      <c r="AA427" s="208" t="e">
        <f t="shared" si="314"/>
        <v>#N/A</v>
      </c>
      <c r="AB427" s="233" t="e">
        <f t="shared" si="335"/>
        <v>#N/A</v>
      </c>
      <c r="AC427" s="233" t="e">
        <f t="shared" si="336"/>
        <v>#N/A</v>
      </c>
      <c r="AD427" s="233" t="e">
        <f t="shared" si="337"/>
        <v>#N/A</v>
      </c>
      <c r="AE427" s="233" t="e">
        <f t="shared" si="338"/>
        <v>#N/A</v>
      </c>
      <c r="AF427" s="238" t="e">
        <f t="shared" si="339"/>
        <v>#N/A</v>
      </c>
      <c r="AG427" s="238" t="e">
        <f t="shared" si="340"/>
        <v>#N/A</v>
      </c>
      <c r="AH427" s="238" t="e">
        <f t="shared" si="341"/>
        <v>#N/A</v>
      </c>
      <c r="AI427" s="261" t="e">
        <f t="shared" si="342"/>
        <v>#N/A</v>
      </c>
      <c r="AJ427" s="233" t="e">
        <f t="shared" si="343"/>
        <v>#N/A</v>
      </c>
    </row>
    <row r="428" spans="5:36" s="48" customFormat="1" ht="35.25" customHeight="1" x14ac:dyDescent="0.2">
      <c r="E428" s="218" t="s">
        <v>2307</v>
      </c>
      <c r="F428" s="73"/>
      <c r="G428" s="67" t="e">
        <f t="shared" si="344"/>
        <v>#N/A</v>
      </c>
      <c r="H428" s="396" t="e">
        <f t="shared" si="345"/>
        <v>#N/A</v>
      </c>
      <c r="I428" s="396" t="e">
        <f t="shared" si="346"/>
        <v>#N/A</v>
      </c>
      <c r="J428" s="396" t="e">
        <f t="shared" si="347"/>
        <v>#N/A</v>
      </c>
      <c r="K428" s="398" t="e">
        <f t="shared" si="348"/>
        <v>#N/A</v>
      </c>
      <c r="L428" s="396" t="e">
        <f t="shared" si="349"/>
        <v>#N/A</v>
      </c>
      <c r="M428" s="398" t="e">
        <f t="shared" si="350"/>
        <v>#N/A</v>
      </c>
      <c r="N428" s="396" t="e">
        <f t="shared" si="351"/>
        <v>#N/A</v>
      </c>
      <c r="O428" s="396" t="e">
        <f t="shared" si="352"/>
        <v>#N/A</v>
      </c>
      <c r="P428" s="396" t="e">
        <f t="shared" si="353"/>
        <v>#N/A</v>
      </c>
      <c r="Q428" s="396" t="e">
        <f t="shared" si="354"/>
        <v>#N/A</v>
      </c>
      <c r="R428" s="396" t="e">
        <f t="shared" si="355"/>
        <v>#N/A</v>
      </c>
      <c r="S428" s="396" t="e">
        <f t="shared" si="356"/>
        <v>#N/A</v>
      </c>
      <c r="T428" s="397" t="e">
        <f t="shared" si="357"/>
        <v>#N/A</v>
      </c>
      <c r="U428" s="396" t="e">
        <f t="shared" si="358"/>
        <v>#N/A</v>
      </c>
      <c r="V428" s="396" t="e">
        <f t="shared" si="359"/>
        <v>#N/A</v>
      </c>
      <c r="W428" s="206" t="e">
        <f t="shared" si="331"/>
        <v>#N/A</v>
      </c>
      <c r="X428" s="207" t="e">
        <f t="shared" si="332"/>
        <v>#N/A</v>
      </c>
      <c r="Y428" s="207" t="e">
        <f t="shared" si="333"/>
        <v>#N/A</v>
      </c>
      <c r="Z428" s="233" t="e">
        <f t="shared" si="334"/>
        <v>#N/A</v>
      </c>
      <c r="AA428" s="208" t="e">
        <f t="shared" si="314"/>
        <v>#N/A</v>
      </c>
      <c r="AB428" s="233" t="e">
        <f t="shared" si="335"/>
        <v>#N/A</v>
      </c>
      <c r="AC428" s="233" t="e">
        <f t="shared" si="336"/>
        <v>#N/A</v>
      </c>
      <c r="AD428" s="233" t="e">
        <f t="shared" si="337"/>
        <v>#N/A</v>
      </c>
      <c r="AE428" s="233" t="e">
        <f t="shared" si="338"/>
        <v>#N/A</v>
      </c>
      <c r="AF428" s="238" t="e">
        <f t="shared" si="339"/>
        <v>#N/A</v>
      </c>
      <c r="AG428" s="238" t="e">
        <f t="shared" si="340"/>
        <v>#N/A</v>
      </c>
      <c r="AH428" s="238" t="e">
        <f t="shared" si="341"/>
        <v>#N/A</v>
      </c>
      <c r="AI428" s="261" t="e">
        <f t="shared" si="342"/>
        <v>#N/A</v>
      </c>
      <c r="AJ428" s="233" t="e">
        <f t="shared" si="343"/>
        <v>#N/A</v>
      </c>
    </row>
    <row r="429" spans="5:36" s="48" customFormat="1" ht="35.25" customHeight="1" x14ac:dyDescent="0.2">
      <c r="E429" s="218" t="s">
        <v>2307</v>
      </c>
      <c r="F429" s="73"/>
      <c r="G429" s="67" t="e">
        <f t="shared" si="344"/>
        <v>#N/A</v>
      </c>
      <c r="H429" s="396" t="e">
        <f t="shared" si="345"/>
        <v>#N/A</v>
      </c>
      <c r="I429" s="396" t="e">
        <f t="shared" si="346"/>
        <v>#N/A</v>
      </c>
      <c r="J429" s="396" t="e">
        <f t="shared" si="347"/>
        <v>#N/A</v>
      </c>
      <c r="K429" s="398" t="e">
        <f t="shared" si="348"/>
        <v>#N/A</v>
      </c>
      <c r="L429" s="396" t="e">
        <f t="shared" si="349"/>
        <v>#N/A</v>
      </c>
      <c r="M429" s="398" t="e">
        <f t="shared" si="350"/>
        <v>#N/A</v>
      </c>
      <c r="N429" s="396" t="e">
        <f t="shared" si="351"/>
        <v>#N/A</v>
      </c>
      <c r="O429" s="396" t="e">
        <f t="shared" si="352"/>
        <v>#N/A</v>
      </c>
      <c r="P429" s="396" t="e">
        <f t="shared" si="353"/>
        <v>#N/A</v>
      </c>
      <c r="Q429" s="396" t="e">
        <f t="shared" si="354"/>
        <v>#N/A</v>
      </c>
      <c r="R429" s="396" t="e">
        <f t="shared" si="355"/>
        <v>#N/A</v>
      </c>
      <c r="S429" s="396" t="e">
        <f t="shared" si="356"/>
        <v>#N/A</v>
      </c>
      <c r="T429" s="397" t="e">
        <f t="shared" si="357"/>
        <v>#N/A</v>
      </c>
      <c r="U429" s="396" t="e">
        <f t="shared" si="358"/>
        <v>#N/A</v>
      </c>
      <c r="V429" s="396" t="e">
        <f t="shared" si="359"/>
        <v>#N/A</v>
      </c>
      <c r="W429" s="206" t="e">
        <f t="shared" si="331"/>
        <v>#N/A</v>
      </c>
      <c r="X429" s="207" t="e">
        <f t="shared" si="332"/>
        <v>#N/A</v>
      </c>
      <c r="Y429" s="207" t="e">
        <f t="shared" si="333"/>
        <v>#N/A</v>
      </c>
      <c r="Z429" s="233" t="e">
        <f t="shared" si="334"/>
        <v>#N/A</v>
      </c>
      <c r="AA429" s="208" t="e">
        <f t="shared" si="314"/>
        <v>#N/A</v>
      </c>
      <c r="AB429" s="233" t="e">
        <f t="shared" si="335"/>
        <v>#N/A</v>
      </c>
      <c r="AC429" s="233" t="e">
        <f t="shared" si="336"/>
        <v>#N/A</v>
      </c>
      <c r="AD429" s="233" t="e">
        <f t="shared" si="337"/>
        <v>#N/A</v>
      </c>
      <c r="AE429" s="233" t="e">
        <f t="shared" si="338"/>
        <v>#N/A</v>
      </c>
      <c r="AF429" s="238" t="e">
        <f t="shared" si="339"/>
        <v>#N/A</v>
      </c>
      <c r="AG429" s="238" t="e">
        <f t="shared" si="340"/>
        <v>#N/A</v>
      </c>
      <c r="AH429" s="238" t="e">
        <f t="shared" si="341"/>
        <v>#N/A</v>
      </c>
      <c r="AI429" s="261" t="e">
        <f t="shared" si="342"/>
        <v>#N/A</v>
      </c>
      <c r="AJ429" s="233" t="e">
        <f t="shared" si="343"/>
        <v>#N/A</v>
      </c>
    </row>
    <row r="430" spans="5:36" s="48" customFormat="1" ht="35.25" customHeight="1" x14ac:dyDescent="0.2">
      <c r="E430" s="218" t="s">
        <v>2307</v>
      </c>
      <c r="F430" s="73"/>
      <c r="G430" s="67" t="e">
        <f t="shared" si="344"/>
        <v>#N/A</v>
      </c>
      <c r="H430" s="396" t="e">
        <f t="shared" si="345"/>
        <v>#N/A</v>
      </c>
      <c r="I430" s="396" t="e">
        <f t="shared" si="346"/>
        <v>#N/A</v>
      </c>
      <c r="J430" s="396" t="e">
        <f t="shared" si="347"/>
        <v>#N/A</v>
      </c>
      <c r="K430" s="398" t="e">
        <f t="shared" si="348"/>
        <v>#N/A</v>
      </c>
      <c r="L430" s="396" t="e">
        <f t="shared" si="349"/>
        <v>#N/A</v>
      </c>
      <c r="M430" s="398" t="e">
        <f t="shared" si="350"/>
        <v>#N/A</v>
      </c>
      <c r="N430" s="396" t="e">
        <f t="shared" si="351"/>
        <v>#N/A</v>
      </c>
      <c r="O430" s="396" t="e">
        <f t="shared" si="352"/>
        <v>#N/A</v>
      </c>
      <c r="P430" s="396" t="e">
        <f t="shared" si="353"/>
        <v>#N/A</v>
      </c>
      <c r="Q430" s="396" t="e">
        <f t="shared" si="354"/>
        <v>#N/A</v>
      </c>
      <c r="R430" s="396" t="e">
        <f t="shared" si="355"/>
        <v>#N/A</v>
      </c>
      <c r="S430" s="396" t="e">
        <f t="shared" si="356"/>
        <v>#N/A</v>
      </c>
      <c r="T430" s="397" t="e">
        <f t="shared" si="357"/>
        <v>#N/A</v>
      </c>
      <c r="U430" s="396" t="e">
        <f t="shared" si="358"/>
        <v>#N/A</v>
      </c>
      <c r="V430" s="396" t="e">
        <f t="shared" si="359"/>
        <v>#N/A</v>
      </c>
      <c r="W430" s="206" t="e">
        <f t="shared" si="331"/>
        <v>#N/A</v>
      </c>
      <c r="X430" s="207" t="e">
        <f t="shared" si="332"/>
        <v>#N/A</v>
      </c>
      <c r="Y430" s="207" t="e">
        <f t="shared" si="333"/>
        <v>#N/A</v>
      </c>
      <c r="Z430" s="233" t="e">
        <f t="shared" si="334"/>
        <v>#N/A</v>
      </c>
      <c r="AA430" s="208" t="e">
        <f t="shared" si="314"/>
        <v>#N/A</v>
      </c>
      <c r="AB430" s="233" t="e">
        <f t="shared" si="335"/>
        <v>#N/A</v>
      </c>
      <c r="AC430" s="233" t="e">
        <f t="shared" si="336"/>
        <v>#N/A</v>
      </c>
      <c r="AD430" s="233" t="e">
        <f t="shared" si="337"/>
        <v>#N/A</v>
      </c>
      <c r="AE430" s="233" t="e">
        <f t="shared" si="338"/>
        <v>#N/A</v>
      </c>
      <c r="AF430" s="238" t="e">
        <f t="shared" si="339"/>
        <v>#N/A</v>
      </c>
      <c r="AG430" s="238" t="e">
        <f t="shared" si="340"/>
        <v>#N/A</v>
      </c>
      <c r="AH430" s="238" t="e">
        <f t="shared" si="341"/>
        <v>#N/A</v>
      </c>
      <c r="AI430" s="261" t="e">
        <f t="shared" si="342"/>
        <v>#N/A</v>
      </c>
      <c r="AJ430" s="233" t="e">
        <f t="shared" si="343"/>
        <v>#N/A</v>
      </c>
    </row>
    <row r="431" spans="5:36" s="48" customFormat="1" ht="35.25" customHeight="1" x14ac:dyDescent="0.2">
      <c r="E431" s="218" t="s">
        <v>2307</v>
      </c>
      <c r="F431" s="73"/>
      <c r="G431" s="67" t="e">
        <f t="shared" si="344"/>
        <v>#N/A</v>
      </c>
      <c r="H431" s="396" t="e">
        <f t="shared" si="345"/>
        <v>#N/A</v>
      </c>
      <c r="I431" s="396" t="e">
        <f t="shared" si="346"/>
        <v>#N/A</v>
      </c>
      <c r="J431" s="396" t="e">
        <f t="shared" si="347"/>
        <v>#N/A</v>
      </c>
      <c r="K431" s="398" t="e">
        <f t="shared" si="348"/>
        <v>#N/A</v>
      </c>
      <c r="L431" s="396" t="e">
        <f t="shared" si="349"/>
        <v>#N/A</v>
      </c>
      <c r="M431" s="398" t="e">
        <f t="shared" si="350"/>
        <v>#N/A</v>
      </c>
      <c r="N431" s="396" t="e">
        <f t="shared" si="351"/>
        <v>#N/A</v>
      </c>
      <c r="O431" s="396" t="e">
        <f t="shared" si="352"/>
        <v>#N/A</v>
      </c>
      <c r="P431" s="396" t="e">
        <f t="shared" si="353"/>
        <v>#N/A</v>
      </c>
      <c r="Q431" s="396" t="e">
        <f t="shared" si="354"/>
        <v>#N/A</v>
      </c>
      <c r="R431" s="396" t="e">
        <f t="shared" si="355"/>
        <v>#N/A</v>
      </c>
      <c r="S431" s="396" t="e">
        <f t="shared" si="356"/>
        <v>#N/A</v>
      </c>
      <c r="T431" s="397" t="e">
        <f t="shared" si="357"/>
        <v>#N/A</v>
      </c>
      <c r="U431" s="396" t="e">
        <f t="shared" si="358"/>
        <v>#N/A</v>
      </c>
      <c r="V431" s="396" t="e">
        <f t="shared" si="359"/>
        <v>#N/A</v>
      </c>
      <c r="W431" s="206" t="e">
        <f t="shared" si="331"/>
        <v>#N/A</v>
      </c>
      <c r="X431" s="207" t="e">
        <f t="shared" si="332"/>
        <v>#N/A</v>
      </c>
      <c r="Y431" s="207" t="e">
        <f t="shared" si="333"/>
        <v>#N/A</v>
      </c>
      <c r="Z431" s="233" t="e">
        <f t="shared" si="334"/>
        <v>#N/A</v>
      </c>
      <c r="AA431" s="208" t="e">
        <f t="shared" si="314"/>
        <v>#N/A</v>
      </c>
      <c r="AB431" s="233" t="e">
        <f t="shared" si="335"/>
        <v>#N/A</v>
      </c>
      <c r="AC431" s="233" t="e">
        <f t="shared" si="336"/>
        <v>#N/A</v>
      </c>
      <c r="AD431" s="233" t="e">
        <f t="shared" si="337"/>
        <v>#N/A</v>
      </c>
      <c r="AE431" s="233" t="e">
        <f t="shared" si="338"/>
        <v>#N/A</v>
      </c>
      <c r="AF431" s="238" t="e">
        <f t="shared" si="339"/>
        <v>#N/A</v>
      </c>
      <c r="AG431" s="238" t="e">
        <f t="shared" si="340"/>
        <v>#N/A</v>
      </c>
      <c r="AH431" s="238" t="e">
        <f t="shared" si="341"/>
        <v>#N/A</v>
      </c>
      <c r="AI431" s="261" t="e">
        <f t="shared" si="342"/>
        <v>#N/A</v>
      </c>
      <c r="AJ431" s="233" t="e">
        <f t="shared" si="343"/>
        <v>#N/A</v>
      </c>
    </row>
    <row r="432" spans="5:36" s="48" customFormat="1" ht="35.25" customHeight="1" x14ac:dyDescent="0.2">
      <c r="E432" s="218" t="s">
        <v>2307</v>
      </c>
      <c r="F432" s="139"/>
      <c r="G432" s="67" t="e">
        <f t="shared" si="344"/>
        <v>#N/A</v>
      </c>
      <c r="H432" s="396" t="e">
        <f t="shared" si="345"/>
        <v>#N/A</v>
      </c>
      <c r="I432" s="396" t="e">
        <f t="shared" si="346"/>
        <v>#N/A</v>
      </c>
      <c r="J432" s="396" t="e">
        <f t="shared" si="347"/>
        <v>#N/A</v>
      </c>
      <c r="K432" s="398" t="e">
        <f t="shared" si="348"/>
        <v>#N/A</v>
      </c>
      <c r="L432" s="396" t="e">
        <f t="shared" si="349"/>
        <v>#N/A</v>
      </c>
      <c r="M432" s="398" t="e">
        <f t="shared" si="350"/>
        <v>#N/A</v>
      </c>
      <c r="N432" s="396" t="e">
        <f t="shared" si="351"/>
        <v>#N/A</v>
      </c>
      <c r="O432" s="396" t="e">
        <f t="shared" si="352"/>
        <v>#N/A</v>
      </c>
      <c r="P432" s="396" t="e">
        <f t="shared" si="353"/>
        <v>#N/A</v>
      </c>
      <c r="Q432" s="396" t="e">
        <f t="shared" si="354"/>
        <v>#N/A</v>
      </c>
      <c r="R432" s="396" t="e">
        <f t="shared" si="355"/>
        <v>#N/A</v>
      </c>
      <c r="S432" s="396" t="e">
        <f t="shared" si="356"/>
        <v>#N/A</v>
      </c>
      <c r="T432" s="397" t="e">
        <f t="shared" si="357"/>
        <v>#N/A</v>
      </c>
      <c r="U432" s="396" t="e">
        <f t="shared" si="358"/>
        <v>#N/A</v>
      </c>
      <c r="V432" s="396" t="e">
        <f t="shared" si="359"/>
        <v>#N/A</v>
      </c>
      <c r="W432" s="206" t="e">
        <f t="shared" si="331"/>
        <v>#N/A</v>
      </c>
      <c r="X432" s="207" t="e">
        <f t="shared" si="332"/>
        <v>#N/A</v>
      </c>
      <c r="Y432" s="207" t="e">
        <f t="shared" si="333"/>
        <v>#N/A</v>
      </c>
      <c r="Z432" s="233" t="e">
        <f t="shared" si="334"/>
        <v>#N/A</v>
      </c>
      <c r="AA432" s="208" t="e">
        <f t="shared" si="314"/>
        <v>#N/A</v>
      </c>
      <c r="AB432" s="233" t="e">
        <f t="shared" si="335"/>
        <v>#N/A</v>
      </c>
      <c r="AC432" s="233" t="e">
        <f t="shared" si="336"/>
        <v>#N/A</v>
      </c>
      <c r="AD432" s="233" t="e">
        <f t="shared" si="337"/>
        <v>#N/A</v>
      </c>
      <c r="AE432" s="233" t="e">
        <f t="shared" si="338"/>
        <v>#N/A</v>
      </c>
      <c r="AF432" s="238" t="e">
        <f t="shared" si="339"/>
        <v>#N/A</v>
      </c>
      <c r="AG432" s="238" t="e">
        <f t="shared" si="340"/>
        <v>#N/A</v>
      </c>
      <c r="AH432" s="238" t="e">
        <f t="shared" si="341"/>
        <v>#N/A</v>
      </c>
      <c r="AI432" s="261" t="e">
        <f t="shared" si="342"/>
        <v>#N/A</v>
      </c>
      <c r="AJ432" s="233" t="e">
        <f t="shared" si="343"/>
        <v>#N/A</v>
      </c>
    </row>
    <row r="433" spans="5:36" s="48" customFormat="1" ht="35.25" customHeight="1" x14ac:dyDescent="0.2">
      <c r="E433" s="218" t="s">
        <v>2307</v>
      </c>
      <c r="F433" s="138"/>
      <c r="G433" s="67" t="e">
        <f t="shared" si="344"/>
        <v>#N/A</v>
      </c>
      <c r="H433" s="396" t="e">
        <f t="shared" si="345"/>
        <v>#N/A</v>
      </c>
      <c r="I433" s="396" t="e">
        <f t="shared" si="346"/>
        <v>#N/A</v>
      </c>
      <c r="J433" s="396" t="e">
        <f t="shared" si="347"/>
        <v>#N/A</v>
      </c>
      <c r="K433" s="398" t="e">
        <f t="shared" si="348"/>
        <v>#N/A</v>
      </c>
      <c r="L433" s="396" t="e">
        <f t="shared" si="349"/>
        <v>#N/A</v>
      </c>
      <c r="M433" s="398" t="e">
        <f t="shared" si="350"/>
        <v>#N/A</v>
      </c>
      <c r="N433" s="396" t="e">
        <f t="shared" si="351"/>
        <v>#N/A</v>
      </c>
      <c r="O433" s="396" t="e">
        <f t="shared" si="352"/>
        <v>#N/A</v>
      </c>
      <c r="P433" s="396" t="e">
        <f t="shared" si="353"/>
        <v>#N/A</v>
      </c>
      <c r="Q433" s="396" t="e">
        <f t="shared" si="354"/>
        <v>#N/A</v>
      </c>
      <c r="R433" s="396" t="e">
        <f t="shared" si="355"/>
        <v>#N/A</v>
      </c>
      <c r="S433" s="396" t="e">
        <f t="shared" si="356"/>
        <v>#N/A</v>
      </c>
      <c r="T433" s="397" t="e">
        <f t="shared" si="357"/>
        <v>#N/A</v>
      </c>
      <c r="U433" s="396" t="e">
        <f t="shared" si="358"/>
        <v>#N/A</v>
      </c>
      <c r="V433" s="396" t="e">
        <f t="shared" si="359"/>
        <v>#N/A</v>
      </c>
      <c r="W433" s="206" t="e">
        <f t="shared" si="331"/>
        <v>#N/A</v>
      </c>
      <c r="X433" s="207" t="e">
        <f t="shared" si="332"/>
        <v>#N/A</v>
      </c>
      <c r="Y433" s="207" t="e">
        <f t="shared" si="333"/>
        <v>#N/A</v>
      </c>
      <c r="Z433" s="233" t="e">
        <f t="shared" si="334"/>
        <v>#N/A</v>
      </c>
      <c r="AA433" s="208" t="e">
        <f t="shared" si="314"/>
        <v>#N/A</v>
      </c>
      <c r="AB433" s="233" t="e">
        <f t="shared" si="335"/>
        <v>#N/A</v>
      </c>
      <c r="AC433" s="233" t="e">
        <f t="shared" si="336"/>
        <v>#N/A</v>
      </c>
      <c r="AD433" s="233" t="e">
        <f t="shared" si="337"/>
        <v>#N/A</v>
      </c>
      <c r="AE433" s="233" t="e">
        <f t="shared" si="338"/>
        <v>#N/A</v>
      </c>
      <c r="AF433" s="238" t="e">
        <f t="shared" si="339"/>
        <v>#N/A</v>
      </c>
      <c r="AG433" s="238" t="e">
        <f t="shared" si="340"/>
        <v>#N/A</v>
      </c>
      <c r="AH433" s="238" t="e">
        <f t="shared" si="341"/>
        <v>#N/A</v>
      </c>
      <c r="AI433" s="261" t="e">
        <f t="shared" si="342"/>
        <v>#N/A</v>
      </c>
      <c r="AJ433" s="233" t="e">
        <f t="shared" si="343"/>
        <v>#N/A</v>
      </c>
    </row>
    <row r="434" spans="5:36" s="48" customFormat="1" ht="35.25" customHeight="1" x14ac:dyDescent="0.2">
      <c r="E434" s="218" t="s">
        <v>2307</v>
      </c>
      <c r="F434" s="137"/>
      <c r="G434" s="67" t="e">
        <f t="shared" si="344"/>
        <v>#N/A</v>
      </c>
      <c r="H434" s="396" t="e">
        <f t="shared" si="345"/>
        <v>#N/A</v>
      </c>
      <c r="I434" s="396" t="e">
        <f t="shared" si="346"/>
        <v>#N/A</v>
      </c>
      <c r="J434" s="396" t="e">
        <f t="shared" si="347"/>
        <v>#N/A</v>
      </c>
      <c r="K434" s="398" t="e">
        <f t="shared" si="348"/>
        <v>#N/A</v>
      </c>
      <c r="L434" s="396" t="e">
        <f t="shared" si="349"/>
        <v>#N/A</v>
      </c>
      <c r="M434" s="398" t="e">
        <f t="shared" si="350"/>
        <v>#N/A</v>
      </c>
      <c r="N434" s="396" t="e">
        <f t="shared" si="351"/>
        <v>#N/A</v>
      </c>
      <c r="O434" s="396" t="e">
        <f t="shared" si="352"/>
        <v>#N/A</v>
      </c>
      <c r="P434" s="396" t="e">
        <f t="shared" si="353"/>
        <v>#N/A</v>
      </c>
      <c r="Q434" s="396" t="e">
        <f t="shared" si="354"/>
        <v>#N/A</v>
      </c>
      <c r="R434" s="396" t="e">
        <f t="shared" si="355"/>
        <v>#N/A</v>
      </c>
      <c r="S434" s="396" t="e">
        <f t="shared" si="356"/>
        <v>#N/A</v>
      </c>
      <c r="T434" s="397" t="e">
        <f t="shared" si="357"/>
        <v>#N/A</v>
      </c>
      <c r="U434" s="396" t="e">
        <f t="shared" si="358"/>
        <v>#N/A</v>
      </c>
      <c r="V434" s="396" t="e">
        <f t="shared" si="359"/>
        <v>#N/A</v>
      </c>
      <c r="W434" s="206" t="e">
        <f t="shared" si="331"/>
        <v>#N/A</v>
      </c>
      <c r="X434" s="207" t="e">
        <f t="shared" si="332"/>
        <v>#N/A</v>
      </c>
      <c r="Y434" s="207" t="e">
        <f t="shared" si="333"/>
        <v>#N/A</v>
      </c>
      <c r="Z434" s="233" t="e">
        <f t="shared" si="334"/>
        <v>#N/A</v>
      </c>
      <c r="AA434" s="208" t="e">
        <f t="shared" si="314"/>
        <v>#N/A</v>
      </c>
      <c r="AB434" s="233" t="e">
        <f t="shared" si="335"/>
        <v>#N/A</v>
      </c>
      <c r="AC434" s="233" t="e">
        <f t="shared" si="336"/>
        <v>#N/A</v>
      </c>
      <c r="AD434" s="233" t="e">
        <f t="shared" si="337"/>
        <v>#N/A</v>
      </c>
      <c r="AE434" s="233" t="e">
        <f t="shared" si="338"/>
        <v>#N/A</v>
      </c>
      <c r="AF434" s="238" t="e">
        <f t="shared" si="339"/>
        <v>#N/A</v>
      </c>
      <c r="AG434" s="238" t="e">
        <f t="shared" si="340"/>
        <v>#N/A</v>
      </c>
      <c r="AH434" s="238" t="e">
        <f t="shared" si="341"/>
        <v>#N/A</v>
      </c>
      <c r="AI434" s="261" t="e">
        <f t="shared" si="342"/>
        <v>#N/A</v>
      </c>
      <c r="AJ434" s="233" t="e">
        <f t="shared" si="343"/>
        <v>#N/A</v>
      </c>
    </row>
    <row r="435" spans="5:36" s="48" customFormat="1" ht="35.25" customHeight="1" x14ac:dyDescent="0.2">
      <c r="E435" s="218" t="s">
        <v>2307</v>
      </c>
      <c r="F435" s="137"/>
      <c r="G435" s="67" t="e">
        <f t="shared" si="344"/>
        <v>#N/A</v>
      </c>
      <c r="H435" s="396" t="e">
        <f t="shared" si="345"/>
        <v>#N/A</v>
      </c>
      <c r="I435" s="396" t="e">
        <f t="shared" si="346"/>
        <v>#N/A</v>
      </c>
      <c r="J435" s="396" t="e">
        <f t="shared" si="347"/>
        <v>#N/A</v>
      </c>
      <c r="K435" s="398" t="e">
        <f t="shared" si="348"/>
        <v>#N/A</v>
      </c>
      <c r="L435" s="396" t="e">
        <f t="shared" si="349"/>
        <v>#N/A</v>
      </c>
      <c r="M435" s="398" t="e">
        <f t="shared" si="350"/>
        <v>#N/A</v>
      </c>
      <c r="N435" s="396" t="e">
        <f t="shared" si="351"/>
        <v>#N/A</v>
      </c>
      <c r="O435" s="396" t="e">
        <f t="shared" si="352"/>
        <v>#N/A</v>
      </c>
      <c r="P435" s="396" t="e">
        <f t="shared" si="353"/>
        <v>#N/A</v>
      </c>
      <c r="Q435" s="396" t="e">
        <f t="shared" si="354"/>
        <v>#N/A</v>
      </c>
      <c r="R435" s="396" t="e">
        <f t="shared" si="355"/>
        <v>#N/A</v>
      </c>
      <c r="S435" s="396" t="e">
        <f t="shared" si="356"/>
        <v>#N/A</v>
      </c>
      <c r="T435" s="397" t="e">
        <f t="shared" si="357"/>
        <v>#N/A</v>
      </c>
      <c r="U435" s="396" t="e">
        <f t="shared" si="358"/>
        <v>#N/A</v>
      </c>
      <c r="V435" s="396" t="e">
        <f t="shared" si="359"/>
        <v>#N/A</v>
      </c>
      <c r="W435" s="206" t="e">
        <f t="shared" si="331"/>
        <v>#N/A</v>
      </c>
      <c r="X435" s="207" t="e">
        <f t="shared" si="332"/>
        <v>#N/A</v>
      </c>
      <c r="Y435" s="207" t="e">
        <f t="shared" si="333"/>
        <v>#N/A</v>
      </c>
      <c r="Z435" s="233" t="e">
        <f t="shared" si="334"/>
        <v>#N/A</v>
      </c>
      <c r="AA435" s="208" t="e">
        <f t="shared" si="314"/>
        <v>#N/A</v>
      </c>
      <c r="AB435" s="233" t="e">
        <f t="shared" si="335"/>
        <v>#N/A</v>
      </c>
      <c r="AC435" s="233" t="e">
        <f t="shared" si="336"/>
        <v>#N/A</v>
      </c>
      <c r="AD435" s="233" t="e">
        <f t="shared" si="337"/>
        <v>#N/A</v>
      </c>
      <c r="AE435" s="233" t="e">
        <f t="shared" si="338"/>
        <v>#N/A</v>
      </c>
      <c r="AF435" s="238" t="e">
        <f t="shared" si="339"/>
        <v>#N/A</v>
      </c>
      <c r="AG435" s="238" t="e">
        <f t="shared" si="340"/>
        <v>#N/A</v>
      </c>
      <c r="AH435" s="238" t="e">
        <f t="shared" si="341"/>
        <v>#N/A</v>
      </c>
      <c r="AI435" s="261" t="e">
        <f t="shared" si="342"/>
        <v>#N/A</v>
      </c>
      <c r="AJ435" s="233" t="e">
        <f t="shared" si="343"/>
        <v>#N/A</v>
      </c>
    </row>
    <row r="436" spans="5:36" s="48" customFormat="1" ht="35.25" customHeight="1" x14ac:dyDescent="0.2">
      <c r="E436" s="218" t="s">
        <v>2307</v>
      </c>
      <c r="F436" s="137"/>
      <c r="G436" s="67" t="e">
        <f t="shared" si="344"/>
        <v>#N/A</v>
      </c>
      <c r="H436" s="396" t="e">
        <f t="shared" si="345"/>
        <v>#N/A</v>
      </c>
      <c r="I436" s="396" t="e">
        <f t="shared" si="346"/>
        <v>#N/A</v>
      </c>
      <c r="J436" s="396" t="e">
        <f t="shared" si="347"/>
        <v>#N/A</v>
      </c>
      <c r="K436" s="398" t="e">
        <f t="shared" si="348"/>
        <v>#N/A</v>
      </c>
      <c r="L436" s="396" t="e">
        <f t="shared" si="349"/>
        <v>#N/A</v>
      </c>
      <c r="M436" s="398" t="e">
        <f t="shared" si="350"/>
        <v>#N/A</v>
      </c>
      <c r="N436" s="396" t="e">
        <f t="shared" si="351"/>
        <v>#N/A</v>
      </c>
      <c r="O436" s="396" t="e">
        <f t="shared" si="352"/>
        <v>#N/A</v>
      </c>
      <c r="P436" s="396" t="e">
        <f t="shared" si="353"/>
        <v>#N/A</v>
      </c>
      <c r="Q436" s="396" t="e">
        <f t="shared" si="354"/>
        <v>#N/A</v>
      </c>
      <c r="R436" s="396" t="e">
        <f t="shared" si="355"/>
        <v>#N/A</v>
      </c>
      <c r="S436" s="396" t="e">
        <f t="shared" si="356"/>
        <v>#N/A</v>
      </c>
      <c r="T436" s="397" t="e">
        <f t="shared" si="357"/>
        <v>#N/A</v>
      </c>
      <c r="U436" s="396" t="e">
        <f t="shared" si="358"/>
        <v>#N/A</v>
      </c>
      <c r="V436" s="396" t="e">
        <f t="shared" si="359"/>
        <v>#N/A</v>
      </c>
      <c r="W436" s="206" t="e">
        <f t="shared" si="331"/>
        <v>#N/A</v>
      </c>
      <c r="X436" s="207" t="e">
        <f t="shared" si="332"/>
        <v>#N/A</v>
      </c>
      <c r="Y436" s="207" t="e">
        <f t="shared" si="333"/>
        <v>#N/A</v>
      </c>
      <c r="Z436" s="233" t="e">
        <f t="shared" si="334"/>
        <v>#N/A</v>
      </c>
      <c r="AA436" s="208" t="e">
        <f t="shared" si="314"/>
        <v>#N/A</v>
      </c>
      <c r="AB436" s="233" t="e">
        <f t="shared" si="335"/>
        <v>#N/A</v>
      </c>
      <c r="AC436" s="233" t="e">
        <f t="shared" si="336"/>
        <v>#N/A</v>
      </c>
      <c r="AD436" s="233" t="e">
        <f t="shared" si="337"/>
        <v>#N/A</v>
      </c>
      <c r="AE436" s="233" t="e">
        <f t="shared" si="338"/>
        <v>#N/A</v>
      </c>
      <c r="AF436" s="238" t="e">
        <f t="shared" si="339"/>
        <v>#N/A</v>
      </c>
      <c r="AG436" s="238" t="e">
        <f t="shared" si="340"/>
        <v>#N/A</v>
      </c>
      <c r="AH436" s="238" t="e">
        <f t="shared" si="341"/>
        <v>#N/A</v>
      </c>
      <c r="AI436" s="261" t="e">
        <f t="shared" si="342"/>
        <v>#N/A</v>
      </c>
      <c r="AJ436" s="233" t="e">
        <f t="shared" si="343"/>
        <v>#N/A</v>
      </c>
    </row>
    <row r="437" spans="5:36" s="48" customFormat="1" ht="35.25" customHeight="1" x14ac:dyDescent="0.2">
      <c r="E437" s="218" t="s">
        <v>2307</v>
      </c>
      <c r="F437" s="137"/>
      <c r="G437" s="67" t="e">
        <f t="shared" si="344"/>
        <v>#N/A</v>
      </c>
      <c r="H437" s="396" t="e">
        <f t="shared" si="345"/>
        <v>#N/A</v>
      </c>
      <c r="I437" s="396" t="e">
        <f t="shared" si="346"/>
        <v>#N/A</v>
      </c>
      <c r="J437" s="396" t="e">
        <f t="shared" si="347"/>
        <v>#N/A</v>
      </c>
      <c r="K437" s="398" t="e">
        <f t="shared" si="348"/>
        <v>#N/A</v>
      </c>
      <c r="L437" s="396" t="e">
        <f t="shared" si="349"/>
        <v>#N/A</v>
      </c>
      <c r="M437" s="398" t="e">
        <f t="shared" si="350"/>
        <v>#N/A</v>
      </c>
      <c r="N437" s="396" t="e">
        <f t="shared" si="351"/>
        <v>#N/A</v>
      </c>
      <c r="O437" s="396" t="e">
        <f t="shared" si="352"/>
        <v>#N/A</v>
      </c>
      <c r="P437" s="396" t="e">
        <f t="shared" si="353"/>
        <v>#N/A</v>
      </c>
      <c r="Q437" s="396" t="e">
        <f t="shared" si="354"/>
        <v>#N/A</v>
      </c>
      <c r="R437" s="396" t="e">
        <f t="shared" si="355"/>
        <v>#N/A</v>
      </c>
      <c r="S437" s="396" t="e">
        <f t="shared" si="356"/>
        <v>#N/A</v>
      </c>
      <c r="T437" s="397" t="e">
        <f t="shared" si="357"/>
        <v>#N/A</v>
      </c>
      <c r="U437" s="396" t="e">
        <f t="shared" si="358"/>
        <v>#N/A</v>
      </c>
      <c r="V437" s="396" t="e">
        <f t="shared" si="359"/>
        <v>#N/A</v>
      </c>
      <c r="W437" s="206" t="e">
        <f t="shared" si="331"/>
        <v>#N/A</v>
      </c>
      <c r="X437" s="207" t="e">
        <f t="shared" si="332"/>
        <v>#N/A</v>
      </c>
      <c r="Y437" s="207" t="e">
        <f t="shared" si="333"/>
        <v>#N/A</v>
      </c>
      <c r="Z437" s="233" t="e">
        <f t="shared" si="334"/>
        <v>#N/A</v>
      </c>
      <c r="AA437" s="208" t="e">
        <f t="shared" si="314"/>
        <v>#N/A</v>
      </c>
      <c r="AB437" s="233" t="e">
        <f t="shared" si="335"/>
        <v>#N/A</v>
      </c>
      <c r="AC437" s="233" t="e">
        <f t="shared" si="336"/>
        <v>#N/A</v>
      </c>
      <c r="AD437" s="233" t="e">
        <f t="shared" si="337"/>
        <v>#N/A</v>
      </c>
      <c r="AE437" s="233" t="e">
        <f t="shared" si="338"/>
        <v>#N/A</v>
      </c>
      <c r="AF437" s="238" t="e">
        <f t="shared" si="339"/>
        <v>#N/A</v>
      </c>
      <c r="AG437" s="238" t="e">
        <f t="shared" si="340"/>
        <v>#N/A</v>
      </c>
      <c r="AH437" s="238" t="e">
        <f t="shared" si="341"/>
        <v>#N/A</v>
      </c>
      <c r="AI437" s="261" t="e">
        <f t="shared" si="342"/>
        <v>#N/A</v>
      </c>
      <c r="AJ437" s="233" t="e">
        <f t="shared" si="343"/>
        <v>#N/A</v>
      </c>
    </row>
    <row r="438" spans="5:36" s="48" customFormat="1" ht="35.25" customHeight="1" x14ac:dyDescent="0.2">
      <c r="E438" s="218" t="s">
        <v>2307</v>
      </c>
      <c r="F438" s="137"/>
      <c r="G438" s="67" t="e">
        <f t="shared" si="344"/>
        <v>#N/A</v>
      </c>
      <c r="H438" s="396" t="e">
        <f t="shared" si="345"/>
        <v>#N/A</v>
      </c>
      <c r="I438" s="396" t="e">
        <f t="shared" si="346"/>
        <v>#N/A</v>
      </c>
      <c r="J438" s="396" t="e">
        <f t="shared" si="347"/>
        <v>#N/A</v>
      </c>
      <c r="K438" s="398" t="e">
        <f t="shared" si="348"/>
        <v>#N/A</v>
      </c>
      <c r="L438" s="396" t="e">
        <f t="shared" si="349"/>
        <v>#N/A</v>
      </c>
      <c r="M438" s="398" t="e">
        <f t="shared" si="350"/>
        <v>#N/A</v>
      </c>
      <c r="N438" s="396" t="e">
        <f t="shared" si="351"/>
        <v>#N/A</v>
      </c>
      <c r="O438" s="396" t="e">
        <f t="shared" si="352"/>
        <v>#N/A</v>
      </c>
      <c r="P438" s="396" t="e">
        <f t="shared" si="353"/>
        <v>#N/A</v>
      </c>
      <c r="Q438" s="396" t="e">
        <f t="shared" si="354"/>
        <v>#N/A</v>
      </c>
      <c r="R438" s="396" t="e">
        <f t="shared" si="355"/>
        <v>#N/A</v>
      </c>
      <c r="S438" s="396" t="e">
        <f t="shared" si="356"/>
        <v>#N/A</v>
      </c>
      <c r="T438" s="397" t="e">
        <f t="shared" si="357"/>
        <v>#N/A</v>
      </c>
      <c r="U438" s="396" t="e">
        <f t="shared" si="358"/>
        <v>#N/A</v>
      </c>
      <c r="V438" s="396" t="e">
        <f t="shared" si="359"/>
        <v>#N/A</v>
      </c>
      <c r="W438" s="206" t="e">
        <f t="shared" si="331"/>
        <v>#N/A</v>
      </c>
      <c r="X438" s="207" t="e">
        <f t="shared" si="332"/>
        <v>#N/A</v>
      </c>
      <c r="Y438" s="207" t="e">
        <f t="shared" si="333"/>
        <v>#N/A</v>
      </c>
      <c r="Z438" s="233" t="e">
        <f t="shared" si="334"/>
        <v>#N/A</v>
      </c>
      <c r="AA438" s="208" t="e">
        <f t="shared" si="314"/>
        <v>#N/A</v>
      </c>
      <c r="AB438" s="233" t="e">
        <f t="shared" si="335"/>
        <v>#N/A</v>
      </c>
      <c r="AC438" s="233" t="e">
        <f t="shared" si="336"/>
        <v>#N/A</v>
      </c>
      <c r="AD438" s="233" t="e">
        <f t="shared" si="337"/>
        <v>#N/A</v>
      </c>
      <c r="AE438" s="233" t="e">
        <f t="shared" si="338"/>
        <v>#N/A</v>
      </c>
      <c r="AF438" s="238" t="e">
        <f t="shared" si="339"/>
        <v>#N/A</v>
      </c>
      <c r="AG438" s="238" t="e">
        <f t="shared" si="340"/>
        <v>#N/A</v>
      </c>
      <c r="AH438" s="238" t="e">
        <f t="shared" si="341"/>
        <v>#N/A</v>
      </c>
      <c r="AI438" s="261" t="e">
        <f t="shared" si="342"/>
        <v>#N/A</v>
      </c>
      <c r="AJ438" s="233" t="e">
        <f t="shared" si="343"/>
        <v>#N/A</v>
      </c>
    </row>
    <row r="439" spans="5:36" s="48" customFormat="1" ht="35.25" customHeight="1" x14ac:dyDescent="0.2">
      <c r="E439" s="218" t="s">
        <v>2307</v>
      </c>
      <c r="F439" s="137"/>
      <c r="G439" s="67" t="e">
        <f t="shared" si="344"/>
        <v>#N/A</v>
      </c>
      <c r="H439" s="396" t="e">
        <f t="shared" si="345"/>
        <v>#N/A</v>
      </c>
      <c r="I439" s="396" t="e">
        <f t="shared" si="346"/>
        <v>#N/A</v>
      </c>
      <c r="J439" s="396" t="e">
        <f t="shared" si="347"/>
        <v>#N/A</v>
      </c>
      <c r="K439" s="398" t="e">
        <f t="shared" si="348"/>
        <v>#N/A</v>
      </c>
      <c r="L439" s="396" t="e">
        <f t="shared" si="349"/>
        <v>#N/A</v>
      </c>
      <c r="M439" s="398" t="e">
        <f t="shared" si="350"/>
        <v>#N/A</v>
      </c>
      <c r="N439" s="396" t="e">
        <f t="shared" si="351"/>
        <v>#N/A</v>
      </c>
      <c r="O439" s="396" t="e">
        <f t="shared" si="352"/>
        <v>#N/A</v>
      </c>
      <c r="P439" s="396" t="e">
        <f t="shared" si="353"/>
        <v>#N/A</v>
      </c>
      <c r="Q439" s="396" t="e">
        <f t="shared" si="354"/>
        <v>#N/A</v>
      </c>
      <c r="R439" s="396" t="e">
        <f t="shared" si="355"/>
        <v>#N/A</v>
      </c>
      <c r="S439" s="396" t="e">
        <f t="shared" si="356"/>
        <v>#N/A</v>
      </c>
      <c r="T439" s="397" t="e">
        <f t="shared" si="357"/>
        <v>#N/A</v>
      </c>
      <c r="U439" s="396" t="e">
        <f t="shared" si="358"/>
        <v>#N/A</v>
      </c>
      <c r="V439" s="396" t="e">
        <f t="shared" si="359"/>
        <v>#N/A</v>
      </c>
      <c r="W439" s="206" t="e">
        <f t="shared" si="331"/>
        <v>#N/A</v>
      </c>
      <c r="X439" s="207" t="e">
        <f t="shared" si="332"/>
        <v>#N/A</v>
      </c>
      <c r="Y439" s="207" t="e">
        <f t="shared" si="333"/>
        <v>#N/A</v>
      </c>
      <c r="Z439" s="233" t="e">
        <f t="shared" si="334"/>
        <v>#N/A</v>
      </c>
      <c r="AA439" s="208" t="e">
        <f t="shared" si="314"/>
        <v>#N/A</v>
      </c>
      <c r="AB439" s="233" t="e">
        <f t="shared" si="335"/>
        <v>#N/A</v>
      </c>
      <c r="AC439" s="233" t="e">
        <f t="shared" si="336"/>
        <v>#N/A</v>
      </c>
      <c r="AD439" s="233" t="e">
        <f t="shared" si="337"/>
        <v>#N/A</v>
      </c>
      <c r="AE439" s="233" t="e">
        <f t="shared" si="338"/>
        <v>#N/A</v>
      </c>
      <c r="AF439" s="238" t="e">
        <f t="shared" si="339"/>
        <v>#N/A</v>
      </c>
      <c r="AG439" s="238" t="e">
        <f t="shared" si="340"/>
        <v>#N/A</v>
      </c>
      <c r="AH439" s="238" t="e">
        <f t="shared" si="341"/>
        <v>#N/A</v>
      </c>
      <c r="AI439" s="261" t="e">
        <f t="shared" si="342"/>
        <v>#N/A</v>
      </c>
      <c r="AJ439" s="233" t="e">
        <f t="shared" si="343"/>
        <v>#N/A</v>
      </c>
    </row>
    <row r="440" spans="5:36" s="48" customFormat="1" ht="35.25" customHeight="1" x14ac:dyDescent="0.2">
      <c r="E440" s="218" t="s">
        <v>2307</v>
      </c>
      <c r="F440" s="137"/>
      <c r="G440" s="67" t="e">
        <f t="shared" si="344"/>
        <v>#N/A</v>
      </c>
      <c r="H440" s="396" t="e">
        <f t="shared" si="345"/>
        <v>#N/A</v>
      </c>
      <c r="I440" s="396" t="e">
        <f t="shared" si="346"/>
        <v>#N/A</v>
      </c>
      <c r="J440" s="396" t="e">
        <f t="shared" si="347"/>
        <v>#N/A</v>
      </c>
      <c r="K440" s="398" t="e">
        <f t="shared" si="348"/>
        <v>#N/A</v>
      </c>
      <c r="L440" s="396" t="e">
        <f t="shared" si="349"/>
        <v>#N/A</v>
      </c>
      <c r="M440" s="398" t="e">
        <f t="shared" si="350"/>
        <v>#N/A</v>
      </c>
      <c r="N440" s="396" t="e">
        <f t="shared" si="351"/>
        <v>#N/A</v>
      </c>
      <c r="O440" s="396" t="e">
        <f t="shared" si="352"/>
        <v>#N/A</v>
      </c>
      <c r="P440" s="396" t="e">
        <f t="shared" si="353"/>
        <v>#N/A</v>
      </c>
      <c r="Q440" s="396" t="e">
        <f t="shared" si="354"/>
        <v>#N/A</v>
      </c>
      <c r="R440" s="396" t="e">
        <f t="shared" si="355"/>
        <v>#N/A</v>
      </c>
      <c r="S440" s="396" t="e">
        <f t="shared" si="356"/>
        <v>#N/A</v>
      </c>
      <c r="T440" s="397" t="e">
        <f t="shared" si="357"/>
        <v>#N/A</v>
      </c>
      <c r="U440" s="396" t="e">
        <f t="shared" si="358"/>
        <v>#N/A</v>
      </c>
      <c r="V440" s="396" t="e">
        <f t="shared" si="359"/>
        <v>#N/A</v>
      </c>
      <c r="W440" s="206" t="e">
        <f t="shared" si="331"/>
        <v>#N/A</v>
      </c>
      <c r="X440" s="207" t="e">
        <f t="shared" si="332"/>
        <v>#N/A</v>
      </c>
      <c r="Y440" s="207" t="e">
        <f t="shared" si="333"/>
        <v>#N/A</v>
      </c>
      <c r="Z440" s="233" t="e">
        <f t="shared" si="334"/>
        <v>#N/A</v>
      </c>
      <c r="AA440" s="208" t="e">
        <f t="shared" si="314"/>
        <v>#N/A</v>
      </c>
      <c r="AB440" s="233" t="e">
        <f t="shared" si="335"/>
        <v>#N/A</v>
      </c>
      <c r="AC440" s="233" t="e">
        <f t="shared" si="336"/>
        <v>#N/A</v>
      </c>
      <c r="AD440" s="233" t="e">
        <f t="shared" si="337"/>
        <v>#N/A</v>
      </c>
      <c r="AE440" s="233" t="e">
        <f t="shared" si="338"/>
        <v>#N/A</v>
      </c>
      <c r="AF440" s="238" t="e">
        <f t="shared" si="339"/>
        <v>#N/A</v>
      </c>
      <c r="AG440" s="238" t="e">
        <f t="shared" si="340"/>
        <v>#N/A</v>
      </c>
      <c r="AH440" s="238" t="e">
        <f t="shared" si="341"/>
        <v>#N/A</v>
      </c>
      <c r="AI440" s="261" t="e">
        <f t="shared" si="342"/>
        <v>#N/A</v>
      </c>
      <c r="AJ440" s="233" t="e">
        <f t="shared" si="343"/>
        <v>#N/A</v>
      </c>
    </row>
    <row r="441" spans="5:36" s="48" customFormat="1" ht="35.25" customHeight="1" x14ac:dyDescent="0.2">
      <c r="E441" s="218" t="s">
        <v>2307</v>
      </c>
      <c r="F441" s="137"/>
      <c r="G441" s="67" t="e">
        <f t="shared" si="344"/>
        <v>#N/A</v>
      </c>
      <c r="H441" s="396" t="e">
        <f t="shared" si="345"/>
        <v>#N/A</v>
      </c>
      <c r="I441" s="396" t="e">
        <f t="shared" si="346"/>
        <v>#N/A</v>
      </c>
      <c r="J441" s="396" t="e">
        <f t="shared" si="347"/>
        <v>#N/A</v>
      </c>
      <c r="K441" s="398" t="e">
        <f t="shared" si="348"/>
        <v>#N/A</v>
      </c>
      <c r="L441" s="396" t="e">
        <f t="shared" si="349"/>
        <v>#N/A</v>
      </c>
      <c r="M441" s="398" t="e">
        <f t="shared" si="350"/>
        <v>#N/A</v>
      </c>
      <c r="N441" s="396" t="e">
        <f t="shared" si="351"/>
        <v>#N/A</v>
      </c>
      <c r="O441" s="396" t="e">
        <f t="shared" si="352"/>
        <v>#N/A</v>
      </c>
      <c r="P441" s="396" t="e">
        <f t="shared" si="353"/>
        <v>#N/A</v>
      </c>
      <c r="Q441" s="396" t="e">
        <f t="shared" si="354"/>
        <v>#N/A</v>
      </c>
      <c r="R441" s="396" t="e">
        <f t="shared" si="355"/>
        <v>#N/A</v>
      </c>
      <c r="S441" s="396" t="e">
        <f t="shared" si="356"/>
        <v>#N/A</v>
      </c>
      <c r="T441" s="397" t="e">
        <f t="shared" si="357"/>
        <v>#N/A</v>
      </c>
      <c r="U441" s="396" t="e">
        <f t="shared" si="358"/>
        <v>#N/A</v>
      </c>
      <c r="V441" s="396" t="e">
        <f t="shared" si="359"/>
        <v>#N/A</v>
      </c>
      <c r="W441" s="206" t="e">
        <f t="shared" si="331"/>
        <v>#N/A</v>
      </c>
      <c r="X441" s="207" t="e">
        <f t="shared" si="332"/>
        <v>#N/A</v>
      </c>
      <c r="Y441" s="207" t="e">
        <f t="shared" si="333"/>
        <v>#N/A</v>
      </c>
      <c r="Z441" s="233" t="e">
        <f t="shared" si="334"/>
        <v>#N/A</v>
      </c>
      <c r="AA441" s="208" t="e">
        <f t="shared" si="314"/>
        <v>#N/A</v>
      </c>
      <c r="AB441" s="233" t="e">
        <f t="shared" si="335"/>
        <v>#N/A</v>
      </c>
      <c r="AC441" s="233" t="e">
        <f t="shared" si="336"/>
        <v>#N/A</v>
      </c>
      <c r="AD441" s="233" t="e">
        <f t="shared" si="337"/>
        <v>#N/A</v>
      </c>
      <c r="AE441" s="233" t="e">
        <f t="shared" si="338"/>
        <v>#N/A</v>
      </c>
      <c r="AF441" s="238" t="e">
        <f t="shared" si="339"/>
        <v>#N/A</v>
      </c>
      <c r="AG441" s="238" t="e">
        <f t="shared" si="340"/>
        <v>#N/A</v>
      </c>
      <c r="AH441" s="238" t="e">
        <f t="shared" si="341"/>
        <v>#N/A</v>
      </c>
      <c r="AI441" s="261" t="e">
        <f t="shared" si="342"/>
        <v>#N/A</v>
      </c>
      <c r="AJ441" s="233" t="e">
        <f t="shared" si="343"/>
        <v>#N/A</v>
      </c>
    </row>
    <row r="442" spans="5:36" s="48" customFormat="1" ht="35.25" customHeight="1" x14ac:dyDescent="0.2">
      <c r="E442" s="218" t="s">
        <v>2307</v>
      </c>
      <c r="F442" s="137"/>
      <c r="G442" s="67" t="e">
        <f t="shared" si="344"/>
        <v>#N/A</v>
      </c>
      <c r="H442" s="396" t="e">
        <f t="shared" si="345"/>
        <v>#N/A</v>
      </c>
      <c r="I442" s="396" t="e">
        <f t="shared" si="346"/>
        <v>#N/A</v>
      </c>
      <c r="J442" s="396" t="e">
        <f t="shared" si="347"/>
        <v>#N/A</v>
      </c>
      <c r="K442" s="398" t="e">
        <f t="shared" si="348"/>
        <v>#N/A</v>
      </c>
      <c r="L442" s="396" t="e">
        <f t="shared" si="349"/>
        <v>#N/A</v>
      </c>
      <c r="M442" s="398" t="e">
        <f t="shared" si="350"/>
        <v>#N/A</v>
      </c>
      <c r="N442" s="396" t="e">
        <f t="shared" si="351"/>
        <v>#N/A</v>
      </c>
      <c r="O442" s="396" t="e">
        <f t="shared" si="352"/>
        <v>#N/A</v>
      </c>
      <c r="P442" s="396" t="e">
        <f t="shared" si="353"/>
        <v>#N/A</v>
      </c>
      <c r="Q442" s="396" t="e">
        <f t="shared" si="354"/>
        <v>#N/A</v>
      </c>
      <c r="R442" s="396" t="e">
        <f t="shared" si="355"/>
        <v>#N/A</v>
      </c>
      <c r="S442" s="396" t="e">
        <f t="shared" si="356"/>
        <v>#N/A</v>
      </c>
      <c r="T442" s="397" t="e">
        <f t="shared" si="357"/>
        <v>#N/A</v>
      </c>
      <c r="U442" s="396" t="e">
        <f t="shared" si="358"/>
        <v>#N/A</v>
      </c>
      <c r="V442" s="396" t="e">
        <f t="shared" si="359"/>
        <v>#N/A</v>
      </c>
      <c r="W442" s="206" t="e">
        <f t="shared" si="331"/>
        <v>#N/A</v>
      </c>
      <c r="X442" s="207" t="e">
        <f t="shared" si="332"/>
        <v>#N/A</v>
      </c>
      <c r="Y442" s="207" t="e">
        <f t="shared" si="333"/>
        <v>#N/A</v>
      </c>
      <c r="Z442" s="233" t="e">
        <f t="shared" si="334"/>
        <v>#N/A</v>
      </c>
      <c r="AA442" s="208" t="e">
        <f t="shared" si="314"/>
        <v>#N/A</v>
      </c>
      <c r="AB442" s="233" t="e">
        <f t="shared" si="335"/>
        <v>#N/A</v>
      </c>
      <c r="AC442" s="233" t="e">
        <f t="shared" si="336"/>
        <v>#N/A</v>
      </c>
      <c r="AD442" s="233" t="e">
        <f t="shared" si="337"/>
        <v>#N/A</v>
      </c>
      <c r="AE442" s="233" t="e">
        <f t="shared" si="338"/>
        <v>#N/A</v>
      </c>
      <c r="AF442" s="238" t="e">
        <f t="shared" si="339"/>
        <v>#N/A</v>
      </c>
      <c r="AG442" s="238" t="e">
        <f t="shared" si="340"/>
        <v>#N/A</v>
      </c>
      <c r="AH442" s="238" t="e">
        <f t="shared" si="341"/>
        <v>#N/A</v>
      </c>
      <c r="AI442" s="261" t="e">
        <f t="shared" si="342"/>
        <v>#N/A</v>
      </c>
      <c r="AJ442" s="233" t="e">
        <f t="shared" si="343"/>
        <v>#N/A</v>
      </c>
    </row>
    <row r="443" spans="5:36" s="48" customFormat="1" ht="35.25" customHeight="1" x14ac:dyDescent="0.2">
      <c r="E443" s="218" t="s">
        <v>2307</v>
      </c>
      <c r="F443" s="137"/>
      <c r="G443" s="67" t="e">
        <f t="shared" si="344"/>
        <v>#N/A</v>
      </c>
      <c r="H443" s="396" t="e">
        <f t="shared" si="345"/>
        <v>#N/A</v>
      </c>
      <c r="I443" s="396" t="e">
        <f t="shared" si="346"/>
        <v>#N/A</v>
      </c>
      <c r="J443" s="396" t="e">
        <f t="shared" si="347"/>
        <v>#N/A</v>
      </c>
      <c r="K443" s="398" t="e">
        <f t="shared" si="348"/>
        <v>#N/A</v>
      </c>
      <c r="L443" s="396" t="e">
        <f t="shared" si="349"/>
        <v>#N/A</v>
      </c>
      <c r="M443" s="398" t="e">
        <f t="shared" si="350"/>
        <v>#N/A</v>
      </c>
      <c r="N443" s="396" t="e">
        <f t="shared" si="351"/>
        <v>#N/A</v>
      </c>
      <c r="O443" s="396" t="e">
        <f t="shared" si="352"/>
        <v>#N/A</v>
      </c>
      <c r="P443" s="396" t="e">
        <f t="shared" si="353"/>
        <v>#N/A</v>
      </c>
      <c r="Q443" s="396" t="e">
        <f t="shared" si="354"/>
        <v>#N/A</v>
      </c>
      <c r="R443" s="396" t="e">
        <f t="shared" si="355"/>
        <v>#N/A</v>
      </c>
      <c r="S443" s="396" t="e">
        <f t="shared" si="356"/>
        <v>#N/A</v>
      </c>
      <c r="T443" s="397" t="e">
        <f t="shared" si="357"/>
        <v>#N/A</v>
      </c>
      <c r="U443" s="396" t="e">
        <f t="shared" si="358"/>
        <v>#N/A</v>
      </c>
      <c r="V443" s="396" t="e">
        <f t="shared" si="359"/>
        <v>#N/A</v>
      </c>
      <c r="W443" s="206" t="e">
        <f t="shared" si="331"/>
        <v>#N/A</v>
      </c>
      <c r="X443" s="207" t="e">
        <f t="shared" si="332"/>
        <v>#N/A</v>
      </c>
      <c r="Y443" s="207" t="e">
        <f t="shared" si="333"/>
        <v>#N/A</v>
      </c>
      <c r="Z443" s="233" t="e">
        <f t="shared" si="334"/>
        <v>#N/A</v>
      </c>
      <c r="AA443" s="208" t="e">
        <f t="shared" si="314"/>
        <v>#N/A</v>
      </c>
      <c r="AB443" s="233" t="e">
        <f t="shared" si="335"/>
        <v>#N/A</v>
      </c>
      <c r="AC443" s="233" t="e">
        <f t="shared" si="336"/>
        <v>#N/A</v>
      </c>
      <c r="AD443" s="233" t="e">
        <f t="shared" si="337"/>
        <v>#N/A</v>
      </c>
      <c r="AE443" s="233" t="e">
        <f t="shared" si="338"/>
        <v>#N/A</v>
      </c>
      <c r="AF443" s="238" t="e">
        <f t="shared" si="339"/>
        <v>#N/A</v>
      </c>
      <c r="AG443" s="238" t="e">
        <f t="shared" si="340"/>
        <v>#N/A</v>
      </c>
      <c r="AH443" s="238" t="e">
        <f t="shared" si="341"/>
        <v>#N/A</v>
      </c>
      <c r="AI443" s="261" t="e">
        <f t="shared" si="342"/>
        <v>#N/A</v>
      </c>
      <c r="AJ443" s="233" t="e">
        <f t="shared" si="343"/>
        <v>#N/A</v>
      </c>
    </row>
    <row r="444" spans="5:36" s="48" customFormat="1" ht="35.25" customHeight="1" x14ac:dyDescent="0.2">
      <c r="E444" s="218" t="s">
        <v>2307</v>
      </c>
      <c r="F444" s="137"/>
      <c r="G444" s="67" t="e">
        <f t="shared" si="344"/>
        <v>#N/A</v>
      </c>
      <c r="H444" s="396" t="e">
        <f t="shared" si="345"/>
        <v>#N/A</v>
      </c>
      <c r="I444" s="396" t="e">
        <f t="shared" si="346"/>
        <v>#N/A</v>
      </c>
      <c r="J444" s="396" t="e">
        <f t="shared" si="347"/>
        <v>#N/A</v>
      </c>
      <c r="K444" s="398" t="e">
        <f t="shared" si="348"/>
        <v>#N/A</v>
      </c>
      <c r="L444" s="396" t="e">
        <f t="shared" si="349"/>
        <v>#N/A</v>
      </c>
      <c r="M444" s="398" t="e">
        <f t="shared" si="350"/>
        <v>#N/A</v>
      </c>
      <c r="N444" s="396" t="e">
        <f t="shared" si="351"/>
        <v>#N/A</v>
      </c>
      <c r="O444" s="396" t="e">
        <f t="shared" si="352"/>
        <v>#N/A</v>
      </c>
      <c r="P444" s="396" t="e">
        <f t="shared" si="353"/>
        <v>#N/A</v>
      </c>
      <c r="Q444" s="396" t="e">
        <f t="shared" si="354"/>
        <v>#N/A</v>
      </c>
      <c r="R444" s="396" t="e">
        <f t="shared" si="355"/>
        <v>#N/A</v>
      </c>
      <c r="S444" s="396" t="e">
        <f t="shared" si="356"/>
        <v>#N/A</v>
      </c>
      <c r="T444" s="397" t="e">
        <f t="shared" si="357"/>
        <v>#N/A</v>
      </c>
      <c r="U444" s="396" t="e">
        <f t="shared" si="358"/>
        <v>#N/A</v>
      </c>
      <c r="V444" s="396" t="e">
        <f t="shared" si="359"/>
        <v>#N/A</v>
      </c>
      <c r="W444" s="206" t="e">
        <f t="shared" si="331"/>
        <v>#N/A</v>
      </c>
      <c r="X444" s="207" t="e">
        <f t="shared" si="332"/>
        <v>#N/A</v>
      </c>
      <c r="Y444" s="207" t="e">
        <f t="shared" si="333"/>
        <v>#N/A</v>
      </c>
      <c r="Z444" s="233" t="e">
        <f t="shared" si="334"/>
        <v>#N/A</v>
      </c>
      <c r="AA444" s="208" t="e">
        <f t="shared" si="314"/>
        <v>#N/A</v>
      </c>
      <c r="AB444" s="233" t="e">
        <f t="shared" si="335"/>
        <v>#N/A</v>
      </c>
      <c r="AC444" s="233" t="e">
        <f t="shared" si="336"/>
        <v>#N/A</v>
      </c>
      <c r="AD444" s="233" t="e">
        <f t="shared" si="337"/>
        <v>#N/A</v>
      </c>
      <c r="AE444" s="233" t="e">
        <f t="shared" si="338"/>
        <v>#N/A</v>
      </c>
      <c r="AF444" s="238" t="e">
        <f t="shared" si="339"/>
        <v>#N/A</v>
      </c>
      <c r="AG444" s="238" t="e">
        <f t="shared" si="340"/>
        <v>#N/A</v>
      </c>
      <c r="AH444" s="238" t="e">
        <f t="shared" si="341"/>
        <v>#N/A</v>
      </c>
      <c r="AI444" s="261" t="e">
        <f t="shared" si="342"/>
        <v>#N/A</v>
      </c>
      <c r="AJ444" s="233" t="e">
        <f t="shared" si="343"/>
        <v>#N/A</v>
      </c>
    </row>
    <row r="445" spans="5:36" s="48" customFormat="1" ht="35.25" customHeight="1" x14ac:dyDescent="0.2">
      <c r="E445" s="218" t="s">
        <v>2307</v>
      </c>
      <c r="F445" s="137"/>
      <c r="G445" s="67" t="e">
        <f t="shared" si="344"/>
        <v>#N/A</v>
      </c>
      <c r="H445" s="396" t="e">
        <f t="shared" si="345"/>
        <v>#N/A</v>
      </c>
      <c r="I445" s="396" t="e">
        <f t="shared" si="346"/>
        <v>#N/A</v>
      </c>
      <c r="J445" s="396" t="e">
        <f t="shared" si="347"/>
        <v>#N/A</v>
      </c>
      <c r="K445" s="398" t="e">
        <f t="shared" si="348"/>
        <v>#N/A</v>
      </c>
      <c r="L445" s="396" t="e">
        <f t="shared" si="349"/>
        <v>#N/A</v>
      </c>
      <c r="M445" s="398" t="e">
        <f t="shared" si="350"/>
        <v>#N/A</v>
      </c>
      <c r="N445" s="396" t="e">
        <f t="shared" si="351"/>
        <v>#N/A</v>
      </c>
      <c r="O445" s="396" t="e">
        <f t="shared" si="352"/>
        <v>#N/A</v>
      </c>
      <c r="P445" s="396" t="e">
        <f t="shared" si="353"/>
        <v>#N/A</v>
      </c>
      <c r="Q445" s="396" t="e">
        <f t="shared" si="354"/>
        <v>#N/A</v>
      </c>
      <c r="R445" s="396" t="e">
        <f t="shared" si="355"/>
        <v>#N/A</v>
      </c>
      <c r="S445" s="396" t="e">
        <f t="shared" si="356"/>
        <v>#N/A</v>
      </c>
      <c r="T445" s="397" t="e">
        <f t="shared" si="357"/>
        <v>#N/A</v>
      </c>
      <c r="U445" s="396" t="e">
        <f t="shared" si="358"/>
        <v>#N/A</v>
      </c>
      <c r="V445" s="396" t="e">
        <f t="shared" si="359"/>
        <v>#N/A</v>
      </c>
      <c r="W445" s="206" t="e">
        <f t="shared" si="331"/>
        <v>#N/A</v>
      </c>
      <c r="X445" s="207" t="e">
        <f t="shared" si="332"/>
        <v>#N/A</v>
      </c>
      <c r="Y445" s="207" t="e">
        <f t="shared" si="333"/>
        <v>#N/A</v>
      </c>
      <c r="Z445" s="233" t="e">
        <f t="shared" si="334"/>
        <v>#N/A</v>
      </c>
      <c r="AA445" s="208" t="e">
        <f t="shared" si="314"/>
        <v>#N/A</v>
      </c>
      <c r="AB445" s="233" t="e">
        <f t="shared" si="335"/>
        <v>#N/A</v>
      </c>
      <c r="AC445" s="233" t="e">
        <f t="shared" si="336"/>
        <v>#N/A</v>
      </c>
      <c r="AD445" s="233" t="e">
        <f t="shared" si="337"/>
        <v>#N/A</v>
      </c>
      <c r="AE445" s="233" t="e">
        <f t="shared" si="338"/>
        <v>#N/A</v>
      </c>
      <c r="AF445" s="238" t="e">
        <f t="shared" si="339"/>
        <v>#N/A</v>
      </c>
      <c r="AG445" s="238" t="e">
        <f t="shared" si="340"/>
        <v>#N/A</v>
      </c>
      <c r="AH445" s="238" t="e">
        <f t="shared" si="341"/>
        <v>#N/A</v>
      </c>
      <c r="AI445" s="261" t="e">
        <f t="shared" si="342"/>
        <v>#N/A</v>
      </c>
      <c r="AJ445" s="233" t="e">
        <f t="shared" si="343"/>
        <v>#N/A</v>
      </c>
    </row>
    <row r="446" spans="5:36" s="48" customFormat="1" ht="35.25" customHeight="1" x14ac:dyDescent="0.2">
      <c r="E446" s="218" t="s">
        <v>2307</v>
      </c>
      <c r="F446" s="137"/>
      <c r="G446" s="67" t="e">
        <f t="shared" si="344"/>
        <v>#N/A</v>
      </c>
      <c r="H446" s="396" t="e">
        <f t="shared" si="345"/>
        <v>#N/A</v>
      </c>
      <c r="I446" s="396" t="e">
        <f t="shared" si="346"/>
        <v>#N/A</v>
      </c>
      <c r="J446" s="396" t="e">
        <f t="shared" si="347"/>
        <v>#N/A</v>
      </c>
      <c r="K446" s="398" t="e">
        <f t="shared" si="348"/>
        <v>#N/A</v>
      </c>
      <c r="L446" s="396" t="e">
        <f t="shared" si="349"/>
        <v>#N/A</v>
      </c>
      <c r="M446" s="398" t="e">
        <f t="shared" si="350"/>
        <v>#N/A</v>
      </c>
      <c r="N446" s="396" t="e">
        <f t="shared" si="351"/>
        <v>#N/A</v>
      </c>
      <c r="O446" s="396" t="e">
        <f t="shared" si="352"/>
        <v>#N/A</v>
      </c>
      <c r="P446" s="396" t="e">
        <f t="shared" si="353"/>
        <v>#N/A</v>
      </c>
      <c r="Q446" s="396" t="e">
        <f t="shared" si="354"/>
        <v>#N/A</v>
      </c>
      <c r="R446" s="396" t="e">
        <f t="shared" si="355"/>
        <v>#N/A</v>
      </c>
      <c r="S446" s="396" t="e">
        <f t="shared" si="356"/>
        <v>#N/A</v>
      </c>
      <c r="T446" s="397" t="e">
        <f t="shared" si="357"/>
        <v>#N/A</v>
      </c>
      <c r="U446" s="396" t="e">
        <f t="shared" si="358"/>
        <v>#N/A</v>
      </c>
      <c r="V446" s="396" t="e">
        <f t="shared" si="359"/>
        <v>#N/A</v>
      </c>
      <c r="W446" s="206" t="e">
        <f t="shared" si="331"/>
        <v>#N/A</v>
      </c>
      <c r="X446" s="207" t="e">
        <f t="shared" si="332"/>
        <v>#N/A</v>
      </c>
      <c r="Y446" s="207" t="e">
        <f t="shared" si="333"/>
        <v>#N/A</v>
      </c>
      <c r="Z446" s="233" t="e">
        <f t="shared" si="334"/>
        <v>#N/A</v>
      </c>
      <c r="AA446" s="208" t="e">
        <f t="shared" si="314"/>
        <v>#N/A</v>
      </c>
      <c r="AB446" s="233" t="e">
        <f t="shared" si="335"/>
        <v>#N/A</v>
      </c>
      <c r="AC446" s="233" t="e">
        <f t="shared" si="336"/>
        <v>#N/A</v>
      </c>
      <c r="AD446" s="233" t="e">
        <f t="shared" si="337"/>
        <v>#N/A</v>
      </c>
      <c r="AE446" s="233" t="e">
        <f t="shared" si="338"/>
        <v>#N/A</v>
      </c>
      <c r="AF446" s="238" t="e">
        <f t="shared" si="339"/>
        <v>#N/A</v>
      </c>
      <c r="AG446" s="238" t="e">
        <f t="shared" si="340"/>
        <v>#N/A</v>
      </c>
      <c r="AH446" s="238" t="e">
        <f t="shared" si="341"/>
        <v>#N/A</v>
      </c>
      <c r="AI446" s="261" t="e">
        <f t="shared" si="342"/>
        <v>#N/A</v>
      </c>
      <c r="AJ446" s="233" t="e">
        <f t="shared" si="343"/>
        <v>#N/A</v>
      </c>
    </row>
    <row r="447" spans="5:36" s="48" customFormat="1" ht="35.25" customHeight="1" x14ac:dyDescent="0.2">
      <c r="E447" s="218" t="s">
        <v>2307</v>
      </c>
      <c r="F447" s="137"/>
      <c r="G447" s="67" t="e">
        <f t="shared" si="344"/>
        <v>#N/A</v>
      </c>
      <c r="H447" s="396" t="e">
        <f t="shared" si="345"/>
        <v>#N/A</v>
      </c>
      <c r="I447" s="396" t="e">
        <f t="shared" si="346"/>
        <v>#N/A</v>
      </c>
      <c r="J447" s="396" t="e">
        <f t="shared" si="347"/>
        <v>#N/A</v>
      </c>
      <c r="K447" s="398" t="e">
        <f t="shared" si="348"/>
        <v>#N/A</v>
      </c>
      <c r="L447" s="396" t="e">
        <f t="shared" si="349"/>
        <v>#N/A</v>
      </c>
      <c r="M447" s="398" t="e">
        <f t="shared" si="350"/>
        <v>#N/A</v>
      </c>
      <c r="N447" s="396" t="e">
        <f t="shared" si="351"/>
        <v>#N/A</v>
      </c>
      <c r="O447" s="396" t="e">
        <f t="shared" si="352"/>
        <v>#N/A</v>
      </c>
      <c r="P447" s="396" t="e">
        <f t="shared" si="353"/>
        <v>#N/A</v>
      </c>
      <c r="Q447" s="396" t="e">
        <f t="shared" si="354"/>
        <v>#N/A</v>
      </c>
      <c r="R447" s="396" t="e">
        <f t="shared" si="355"/>
        <v>#N/A</v>
      </c>
      <c r="S447" s="396" t="e">
        <f t="shared" si="356"/>
        <v>#N/A</v>
      </c>
      <c r="T447" s="397" t="e">
        <f t="shared" si="357"/>
        <v>#N/A</v>
      </c>
      <c r="U447" s="396" t="e">
        <f t="shared" si="358"/>
        <v>#N/A</v>
      </c>
      <c r="V447" s="396" t="e">
        <f t="shared" si="359"/>
        <v>#N/A</v>
      </c>
      <c r="W447" s="206" t="e">
        <f t="shared" si="331"/>
        <v>#N/A</v>
      </c>
      <c r="X447" s="207" t="e">
        <f t="shared" si="332"/>
        <v>#N/A</v>
      </c>
      <c r="Y447" s="207" t="e">
        <f t="shared" si="333"/>
        <v>#N/A</v>
      </c>
      <c r="Z447" s="233" t="e">
        <f t="shared" si="334"/>
        <v>#N/A</v>
      </c>
      <c r="AA447" s="208" t="e">
        <f t="shared" si="314"/>
        <v>#N/A</v>
      </c>
      <c r="AB447" s="233" t="e">
        <f t="shared" si="335"/>
        <v>#N/A</v>
      </c>
      <c r="AC447" s="233" t="e">
        <f t="shared" si="336"/>
        <v>#N/A</v>
      </c>
      <c r="AD447" s="233" t="e">
        <f t="shared" si="337"/>
        <v>#N/A</v>
      </c>
      <c r="AE447" s="233" t="e">
        <f t="shared" si="338"/>
        <v>#N/A</v>
      </c>
      <c r="AF447" s="238" t="e">
        <f t="shared" si="339"/>
        <v>#N/A</v>
      </c>
      <c r="AG447" s="238" t="e">
        <f t="shared" si="340"/>
        <v>#N/A</v>
      </c>
      <c r="AH447" s="238" t="e">
        <f t="shared" si="341"/>
        <v>#N/A</v>
      </c>
      <c r="AI447" s="261" t="e">
        <f t="shared" si="342"/>
        <v>#N/A</v>
      </c>
      <c r="AJ447" s="233" t="e">
        <f t="shared" si="343"/>
        <v>#N/A</v>
      </c>
    </row>
    <row r="448" spans="5:36" s="48" customFormat="1" ht="35.25" customHeight="1" x14ac:dyDescent="0.2">
      <c r="E448" s="218" t="s">
        <v>2307</v>
      </c>
      <c r="F448" s="137"/>
      <c r="G448" s="67" t="e">
        <f t="shared" si="344"/>
        <v>#N/A</v>
      </c>
      <c r="H448" s="396" t="e">
        <f t="shared" si="345"/>
        <v>#N/A</v>
      </c>
      <c r="I448" s="396" t="e">
        <f t="shared" si="346"/>
        <v>#N/A</v>
      </c>
      <c r="J448" s="396" t="e">
        <f t="shared" si="347"/>
        <v>#N/A</v>
      </c>
      <c r="K448" s="398" t="e">
        <f t="shared" si="348"/>
        <v>#N/A</v>
      </c>
      <c r="L448" s="396" t="e">
        <f t="shared" si="349"/>
        <v>#N/A</v>
      </c>
      <c r="M448" s="398" t="e">
        <f t="shared" si="350"/>
        <v>#N/A</v>
      </c>
      <c r="N448" s="396" t="e">
        <f t="shared" si="351"/>
        <v>#N/A</v>
      </c>
      <c r="O448" s="396" t="e">
        <f t="shared" si="352"/>
        <v>#N/A</v>
      </c>
      <c r="P448" s="396" t="e">
        <f t="shared" si="353"/>
        <v>#N/A</v>
      </c>
      <c r="Q448" s="396" t="e">
        <f t="shared" si="354"/>
        <v>#N/A</v>
      </c>
      <c r="R448" s="396" t="e">
        <f t="shared" si="355"/>
        <v>#N/A</v>
      </c>
      <c r="S448" s="396" t="e">
        <f t="shared" si="356"/>
        <v>#N/A</v>
      </c>
      <c r="T448" s="397" t="e">
        <f t="shared" si="357"/>
        <v>#N/A</v>
      </c>
      <c r="U448" s="396" t="e">
        <f t="shared" si="358"/>
        <v>#N/A</v>
      </c>
      <c r="V448" s="396" t="e">
        <f t="shared" si="359"/>
        <v>#N/A</v>
      </c>
      <c r="W448" s="206" t="e">
        <f t="shared" si="331"/>
        <v>#N/A</v>
      </c>
      <c r="X448" s="207" t="e">
        <f t="shared" si="332"/>
        <v>#N/A</v>
      </c>
      <c r="Y448" s="207" t="e">
        <f t="shared" si="333"/>
        <v>#N/A</v>
      </c>
      <c r="Z448" s="233" t="e">
        <f t="shared" si="334"/>
        <v>#N/A</v>
      </c>
      <c r="AA448" s="208" t="e">
        <f t="shared" si="314"/>
        <v>#N/A</v>
      </c>
      <c r="AB448" s="233" t="e">
        <f t="shared" si="335"/>
        <v>#N/A</v>
      </c>
      <c r="AC448" s="233" t="e">
        <f t="shared" si="336"/>
        <v>#N/A</v>
      </c>
      <c r="AD448" s="233" t="e">
        <f t="shared" si="337"/>
        <v>#N/A</v>
      </c>
      <c r="AE448" s="233" t="e">
        <f t="shared" si="338"/>
        <v>#N/A</v>
      </c>
      <c r="AF448" s="238" t="e">
        <f t="shared" si="339"/>
        <v>#N/A</v>
      </c>
      <c r="AG448" s="238" t="e">
        <f t="shared" si="340"/>
        <v>#N/A</v>
      </c>
      <c r="AH448" s="238" t="e">
        <f t="shared" si="341"/>
        <v>#N/A</v>
      </c>
      <c r="AI448" s="261" t="e">
        <f t="shared" si="342"/>
        <v>#N/A</v>
      </c>
      <c r="AJ448" s="233" t="e">
        <f t="shared" si="343"/>
        <v>#N/A</v>
      </c>
    </row>
    <row r="449" spans="5:36" s="48" customFormat="1" ht="35.25" customHeight="1" x14ac:dyDescent="0.2">
      <c r="E449" s="218" t="s">
        <v>2307</v>
      </c>
      <c r="F449" s="137"/>
      <c r="G449" s="67" t="e">
        <f t="shared" si="344"/>
        <v>#N/A</v>
      </c>
      <c r="H449" s="396" t="e">
        <f t="shared" si="345"/>
        <v>#N/A</v>
      </c>
      <c r="I449" s="396" t="e">
        <f t="shared" si="346"/>
        <v>#N/A</v>
      </c>
      <c r="J449" s="396" t="e">
        <f t="shared" si="347"/>
        <v>#N/A</v>
      </c>
      <c r="K449" s="398" t="e">
        <f t="shared" si="348"/>
        <v>#N/A</v>
      </c>
      <c r="L449" s="396" t="e">
        <f t="shared" si="349"/>
        <v>#N/A</v>
      </c>
      <c r="M449" s="398" t="e">
        <f t="shared" si="350"/>
        <v>#N/A</v>
      </c>
      <c r="N449" s="396" t="e">
        <f t="shared" si="351"/>
        <v>#N/A</v>
      </c>
      <c r="O449" s="396" t="e">
        <f t="shared" si="352"/>
        <v>#N/A</v>
      </c>
      <c r="P449" s="396" t="e">
        <f t="shared" si="353"/>
        <v>#N/A</v>
      </c>
      <c r="Q449" s="396" t="e">
        <f t="shared" si="354"/>
        <v>#N/A</v>
      </c>
      <c r="R449" s="396" t="e">
        <f t="shared" si="355"/>
        <v>#N/A</v>
      </c>
      <c r="S449" s="396" t="e">
        <f t="shared" si="356"/>
        <v>#N/A</v>
      </c>
      <c r="T449" s="397" t="e">
        <f t="shared" si="357"/>
        <v>#N/A</v>
      </c>
      <c r="U449" s="396" t="e">
        <f t="shared" si="358"/>
        <v>#N/A</v>
      </c>
      <c r="V449" s="396" t="e">
        <f t="shared" si="359"/>
        <v>#N/A</v>
      </c>
      <c r="W449" s="206" t="e">
        <f t="shared" si="331"/>
        <v>#N/A</v>
      </c>
      <c r="X449" s="207" t="e">
        <f t="shared" si="332"/>
        <v>#N/A</v>
      </c>
      <c r="Y449" s="207" t="e">
        <f t="shared" si="333"/>
        <v>#N/A</v>
      </c>
      <c r="Z449" s="233" t="e">
        <f t="shared" si="334"/>
        <v>#N/A</v>
      </c>
      <c r="AA449" s="208" t="e">
        <f t="shared" si="314"/>
        <v>#N/A</v>
      </c>
      <c r="AB449" s="233" t="e">
        <f t="shared" si="335"/>
        <v>#N/A</v>
      </c>
      <c r="AC449" s="233" t="e">
        <f t="shared" si="336"/>
        <v>#N/A</v>
      </c>
      <c r="AD449" s="233" t="e">
        <f t="shared" si="337"/>
        <v>#N/A</v>
      </c>
      <c r="AE449" s="233" t="e">
        <f t="shared" si="338"/>
        <v>#N/A</v>
      </c>
      <c r="AF449" s="238" t="e">
        <f t="shared" si="339"/>
        <v>#N/A</v>
      </c>
      <c r="AG449" s="238" t="e">
        <f t="shared" si="340"/>
        <v>#N/A</v>
      </c>
      <c r="AH449" s="238" t="e">
        <f t="shared" si="341"/>
        <v>#N/A</v>
      </c>
      <c r="AI449" s="261" t="e">
        <f t="shared" si="342"/>
        <v>#N/A</v>
      </c>
      <c r="AJ449" s="233" t="e">
        <f t="shared" si="343"/>
        <v>#N/A</v>
      </c>
    </row>
    <row r="450" spans="5:36" s="48" customFormat="1" ht="35.25" customHeight="1" x14ac:dyDescent="0.2">
      <c r="E450" s="218" t="s">
        <v>2307</v>
      </c>
      <c r="F450" s="137"/>
      <c r="G450" s="67" t="e">
        <f t="shared" si="344"/>
        <v>#N/A</v>
      </c>
      <c r="H450" s="396" t="e">
        <f t="shared" si="345"/>
        <v>#N/A</v>
      </c>
      <c r="I450" s="396" t="e">
        <f t="shared" si="346"/>
        <v>#N/A</v>
      </c>
      <c r="J450" s="396" t="e">
        <f t="shared" si="347"/>
        <v>#N/A</v>
      </c>
      <c r="K450" s="398" t="e">
        <f t="shared" si="348"/>
        <v>#N/A</v>
      </c>
      <c r="L450" s="396" t="e">
        <f t="shared" si="349"/>
        <v>#N/A</v>
      </c>
      <c r="M450" s="398" t="e">
        <f t="shared" si="350"/>
        <v>#N/A</v>
      </c>
      <c r="N450" s="396" t="e">
        <f t="shared" si="351"/>
        <v>#N/A</v>
      </c>
      <c r="O450" s="396" t="e">
        <f t="shared" si="352"/>
        <v>#N/A</v>
      </c>
      <c r="P450" s="396" t="e">
        <f t="shared" si="353"/>
        <v>#N/A</v>
      </c>
      <c r="Q450" s="396" t="e">
        <f t="shared" si="354"/>
        <v>#N/A</v>
      </c>
      <c r="R450" s="396" t="e">
        <f t="shared" si="355"/>
        <v>#N/A</v>
      </c>
      <c r="S450" s="396" t="e">
        <f t="shared" si="356"/>
        <v>#N/A</v>
      </c>
      <c r="T450" s="397" t="e">
        <f t="shared" si="357"/>
        <v>#N/A</v>
      </c>
      <c r="U450" s="396" t="e">
        <f t="shared" si="358"/>
        <v>#N/A</v>
      </c>
      <c r="V450" s="396" t="e">
        <f t="shared" si="359"/>
        <v>#N/A</v>
      </c>
      <c r="W450" s="206" t="e">
        <f t="shared" si="331"/>
        <v>#N/A</v>
      </c>
      <c r="X450" s="207" t="e">
        <f t="shared" si="332"/>
        <v>#N/A</v>
      </c>
      <c r="Y450" s="207" t="e">
        <f t="shared" si="333"/>
        <v>#N/A</v>
      </c>
      <c r="Z450" s="233" t="e">
        <f t="shared" si="334"/>
        <v>#N/A</v>
      </c>
      <c r="AA450" s="208" t="e">
        <f t="shared" si="314"/>
        <v>#N/A</v>
      </c>
      <c r="AB450" s="233" t="e">
        <f t="shared" si="335"/>
        <v>#N/A</v>
      </c>
      <c r="AC450" s="233" t="e">
        <f t="shared" si="336"/>
        <v>#N/A</v>
      </c>
      <c r="AD450" s="233" t="e">
        <f t="shared" si="337"/>
        <v>#N/A</v>
      </c>
      <c r="AE450" s="233" t="e">
        <f t="shared" si="338"/>
        <v>#N/A</v>
      </c>
      <c r="AF450" s="238" t="e">
        <f t="shared" si="339"/>
        <v>#N/A</v>
      </c>
      <c r="AG450" s="238" t="e">
        <f t="shared" si="340"/>
        <v>#N/A</v>
      </c>
      <c r="AH450" s="238" t="e">
        <f t="shared" si="341"/>
        <v>#N/A</v>
      </c>
      <c r="AI450" s="261" t="e">
        <f t="shared" si="342"/>
        <v>#N/A</v>
      </c>
      <c r="AJ450" s="233" t="e">
        <f t="shared" si="343"/>
        <v>#N/A</v>
      </c>
    </row>
    <row r="451" spans="5:36" s="48" customFormat="1" ht="35.25" customHeight="1" x14ac:dyDescent="0.2">
      <c r="E451" s="218" t="s">
        <v>2307</v>
      </c>
      <c r="F451" s="137"/>
      <c r="G451" s="67" t="e">
        <f t="shared" si="344"/>
        <v>#N/A</v>
      </c>
      <c r="H451" s="396" t="e">
        <f t="shared" si="345"/>
        <v>#N/A</v>
      </c>
      <c r="I451" s="396" t="e">
        <f t="shared" si="346"/>
        <v>#N/A</v>
      </c>
      <c r="J451" s="396" t="e">
        <f t="shared" si="347"/>
        <v>#N/A</v>
      </c>
      <c r="K451" s="398" t="e">
        <f t="shared" si="348"/>
        <v>#N/A</v>
      </c>
      <c r="L451" s="396" t="e">
        <f t="shared" si="349"/>
        <v>#N/A</v>
      </c>
      <c r="M451" s="398" t="e">
        <f t="shared" si="350"/>
        <v>#N/A</v>
      </c>
      <c r="N451" s="396" t="e">
        <f t="shared" si="351"/>
        <v>#N/A</v>
      </c>
      <c r="O451" s="396" t="e">
        <f t="shared" si="352"/>
        <v>#N/A</v>
      </c>
      <c r="P451" s="396" t="e">
        <f t="shared" si="353"/>
        <v>#N/A</v>
      </c>
      <c r="Q451" s="396" t="e">
        <f t="shared" si="354"/>
        <v>#N/A</v>
      </c>
      <c r="R451" s="396" t="e">
        <f t="shared" si="355"/>
        <v>#N/A</v>
      </c>
      <c r="S451" s="396" t="e">
        <f t="shared" si="356"/>
        <v>#N/A</v>
      </c>
      <c r="T451" s="397" t="e">
        <f t="shared" si="357"/>
        <v>#N/A</v>
      </c>
      <c r="U451" s="396" t="e">
        <f t="shared" si="358"/>
        <v>#N/A</v>
      </c>
      <c r="V451" s="396" t="e">
        <f t="shared" si="359"/>
        <v>#N/A</v>
      </c>
      <c r="W451" s="206" t="e">
        <f t="shared" si="331"/>
        <v>#N/A</v>
      </c>
      <c r="X451" s="207" t="e">
        <f t="shared" si="332"/>
        <v>#N/A</v>
      </c>
      <c r="Y451" s="207" t="e">
        <f t="shared" si="333"/>
        <v>#N/A</v>
      </c>
      <c r="Z451" s="233" t="e">
        <f t="shared" si="334"/>
        <v>#N/A</v>
      </c>
      <c r="AA451" s="208" t="e">
        <f t="shared" si="314"/>
        <v>#N/A</v>
      </c>
      <c r="AB451" s="233" t="e">
        <f t="shared" si="335"/>
        <v>#N/A</v>
      </c>
      <c r="AC451" s="233" t="e">
        <f t="shared" si="336"/>
        <v>#N/A</v>
      </c>
      <c r="AD451" s="233" t="e">
        <f t="shared" si="337"/>
        <v>#N/A</v>
      </c>
      <c r="AE451" s="233" t="e">
        <f t="shared" si="338"/>
        <v>#N/A</v>
      </c>
      <c r="AF451" s="238" t="e">
        <f t="shared" si="339"/>
        <v>#N/A</v>
      </c>
      <c r="AG451" s="238" t="e">
        <f t="shared" si="340"/>
        <v>#N/A</v>
      </c>
      <c r="AH451" s="238" t="e">
        <f t="shared" si="341"/>
        <v>#N/A</v>
      </c>
      <c r="AI451" s="261" t="e">
        <f t="shared" si="342"/>
        <v>#N/A</v>
      </c>
      <c r="AJ451" s="233" t="e">
        <f t="shared" si="343"/>
        <v>#N/A</v>
      </c>
    </row>
    <row r="452" spans="5:36" s="48" customFormat="1" ht="35.25" customHeight="1" x14ac:dyDescent="0.2">
      <c r="E452" s="218" t="s">
        <v>2307</v>
      </c>
      <c r="F452" s="137"/>
      <c r="G452" s="67" t="e">
        <f t="shared" si="344"/>
        <v>#N/A</v>
      </c>
      <c r="H452" s="396" t="e">
        <f t="shared" si="345"/>
        <v>#N/A</v>
      </c>
      <c r="I452" s="396" t="e">
        <f t="shared" si="346"/>
        <v>#N/A</v>
      </c>
      <c r="J452" s="396" t="e">
        <f t="shared" si="347"/>
        <v>#N/A</v>
      </c>
      <c r="K452" s="398" t="e">
        <f t="shared" si="348"/>
        <v>#N/A</v>
      </c>
      <c r="L452" s="396" t="e">
        <f t="shared" si="349"/>
        <v>#N/A</v>
      </c>
      <c r="M452" s="398" t="e">
        <f t="shared" si="350"/>
        <v>#N/A</v>
      </c>
      <c r="N452" s="396" t="e">
        <f t="shared" si="351"/>
        <v>#N/A</v>
      </c>
      <c r="O452" s="396" t="e">
        <f t="shared" si="352"/>
        <v>#N/A</v>
      </c>
      <c r="P452" s="396" t="e">
        <f t="shared" si="353"/>
        <v>#N/A</v>
      </c>
      <c r="Q452" s="396" t="e">
        <f t="shared" si="354"/>
        <v>#N/A</v>
      </c>
      <c r="R452" s="396" t="e">
        <f t="shared" si="355"/>
        <v>#N/A</v>
      </c>
      <c r="S452" s="396" t="e">
        <f t="shared" si="356"/>
        <v>#N/A</v>
      </c>
      <c r="T452" s="397" t="e">
        <f t="shared" si="357"/>
        <v>#N/A</v>
      </c>
      <c r="U452" s="396" t="e">
        <f t="shared" si="358"/>
        <v>#N/A</v>
      </c>
      <c r="V452" s="396" t="e">
        <f t="shared" si="359"/>
        <v>#N/A</v>
      </c>
      <c r="W452" s="206" t="e">
        <f t="shared" si="331"/>
        <v>#N/A</v>
      </c>
      <c r="X452" s="207" t="e">
        <f t="shared" si="332"/>
        <v>#N/A</v>
      </c>
      <c r="Y452" s="207" t="e">
        <f t="shared" si="333"/>
        <v>#N/A</v>
      </c>
      <c r="Z452" s="233" t="e">
        <f t="shared" si="334"/>
        <v>#N/A</v>
      </c>
      <c r="AA452" s="208" t="e">
        <f t="shared" si="314"/>
        <v>#N/A</v>
      </c>
      <c r="AB452" s="233" t="e">
        <f t="shared" si="335"/>
        <v>#N/A</v>
      </c>
      <c r="AC452" s="233" t="e">
        <f t="shared" si="336"/>
        <v>#N/A</v>
      </c>
      <c r="AD452" s="233" t="e">
        <f t="shared" si="337"/>
        <v>#N/A</v>
      </c>
      <c r="AE452" s="233" t="e">
        <f t="shared" si="338"/>
        <v>#N/A</v>
      </c>
      <c r="AF452" s="238" t="e">
        <f t="shared" si="339"/>
        <v>#N/A</v>
      </c>
      <c r="AG452" s="238" t="e">
        <f t="shared" si="340"/>
        <v>#N/A</v>
      </c>
      <c r="AH452" s="238" t="e">
        <f t="shared" si="341"/>
        <v>#N/A</v>
      </c>
      <c r="AI452" s="261" t="e">
        <f t="shared" si="342"/>
        <v>#N/A</v>
      </c>
      <c r="AJ452" s="233" t="e">
        <f t="shared" si="343"/>
        <v>#N/A</v>
      </c>
    </row>
    <row r="453" spans="5:36" s="48" customFormat="1" ht="35.25" customHeight="1" x14ac:dyDescent="0.2">
      <c r="E453" s="218" t="s">
        <v>2307</v>
      </c>
      <c r="F453" s="137"/>
      <c r="G453" s="67" t="e">
        <f t="shared" si="344"/>
        <v>#N/A</v>
      </c>
      <c r="H453" s="396" t="e">
        <f t="shared" si="345"/>
        <v>#N/A</v>
      </c>
      <c r="I453" s="396" t="e">
        <f t="shared" si="346"/>
        <v>#N/A</v>
      </c>
      <c r="J453" s="396" t="e">
        <f t="shared" si="347"/>
        <v>#N/A</v>
      </c>
      <c r="K453" s="398" t="e">
        <f t="shared" si="348"/>
        <v>#N/A</v>
      </c>
      <c r="L453" s="396" t="e">
        <f t="shared" si="349"/>
        <v>#N/A</v>
      </c>
      <c r="M453" s="398" t="e">
        <f t="shared" si="350"/>
        <v>#N/A</v>
      </c>
      <c r="N453" s="396" t="e">
        <f t="shared" si="351"/>
        <v>#N/A</v>
      </c>
      <c r="O453" s="396" t="e">
        <f t="shared" si="352"/>
        <v>#N/A</v>
      </c>
      <c r="P453" s="396" t="e">
        <f t="shared" si="353"/>
        <v>#N/A</v>
      </c>
      <c r="Q453" s="396" t="e">
        <f t="shared" si="354"/>
        <v>#N/A</v>
      </c>
      <c r="R453" s="396" t="e">
        <f t="shared" si="355"/>
        <v>#N/A</v>
      </c>
      <c r="S453" s="396" t="e">
        <f t="shared" si="356"/>
        <v>#N/A</v>
      </c>
      <c r="T453" s="397" t="e">
        <f t="shared" si="357"/>
        <v>#N/A</v>
      </c>
      <c r="U453" s="396" t="e">
        <f t="shared" si="358"/>
        <v>#N/A</v>
      </c>
      <c r="V453" s="396" t="e">
        <f t="shared" si="359"/>
        <v>#N/A</v>
      </c>
      <c r="W453" s="206" t="e">
        <f t="shared" si="331"/>
        <v>#N/A</v>
      </c>
      <c r="X453" s="207" t="e">
        <f t="shared" si="332"/>
        <v>#N/A</v>
      </c>
      <c r="Y453" s="207" t="e">
        <f t="shared" si="333"/>
        <v>#N/A</v>
      </c>
      <c r="Z453" s="233" t="e">
        <f t="shared" si="334"/>
        <v>#N/A</v>
      </c>
      <c r="AA453" s="208" t="e">
        <f t="shared" si="314"/>
        <v>#N/A</v>
      </c>
      <c r="AB453" s="233" t="e">
        <f t="shared" si="335"/>
        <v>#N/A</v>
      </c>
      <c r="AC453" s="233" t="e">
        <f t="shared" si="336"/>
        <v>#N/A</v>
      </c>
      <c r="AD453" s="233" t="e">
        <f t="shared" si="337"/>
        <v>#N/A</v>
      </c>
      <c r="AE453" s="233" t="e">
        <f t="shared" si="338"/>
        <v>#N/A</v>
      </c>
      <c r="AF453" s="238" t="e">
        <f t="shared" si="339"/>
        <v>#N/A</v>
      </c>
      <c r="AG453" s="238" t="e">
        <f t="shared" si="340"/>
        <v>#N/A</v>
      </c>
      <c r="AH453" s="238" t="e">
        <f t="shared" si="341"/>
        <v>#N/A</v>
      </c>
      <c r="AI453" s="261" t="e">
        <f t="shared" si="342"/>
        <v>#N/A</v>
      </c>
      <c r="AJ453" s="233" t="e">
        <f t="shared" si="343"/>
        <v>#N/A</v>
      </c>
    </row>
    <row r="454" spans="5:36" s="296" customFormat="1" ht="35.25" customHeight="1" x14ac:dyDescent="0.2">
      <c r="E454" s="218" t="s">
        <v>2307</v>
      </c>
      <c r="F454" s="137"/>
      <c r="G454" s="67" t="e">
        <f t="shared" si="344"/>
        <v>#N/A</v>
      </c>
      <c r="H454" s="396" t="e">
        <f t="shared" si="345"/>
        <v>#N/A</v>
      </c>
      <c r="I454" s="396" t="e">
        <f t="shared" si="346"/>
        <v>#N/A</v>
      </c>
      <c r="J454" s="396" t="e">
        <f t="shared" si="347"/>
        <v>#N/A</v>
      </c>
      <c r="K454" s="398" t="e">
        <f t="shared" si="348"/>
        <v>#N/A</v>
      </c>
      <c r="L454" s="396" t="e">
        <f t="shared" si="349"/>
        <v>#N/A</v>
      </c>
      <c r="M454" s="398" t="e">
        <f t="shared" si="350"/>
        <v>#N/A</v>
      </c>
      <c r="N454" s="396" t="e">
        <f t="shared" si="351"/>
        <v>#N/A</v>
      </c>
      <c r="O454" s="396" t="e">
        <f t="shared" si="352"/>
        <v>#N/A</v>
      </c>
      <c r="P454" s="396" t="e">
        <f t="shared" si="353"/>
        <v>#N/A</v>
      </c>
      <c r="Q454" s="396" t="e">
        <f t="shared" si="354"/>
        <v>#N/A</v>
      </c>
      <c r="R454" s="396" t="e">
        <f t="shared" si="355"/>
        <v>#N/A</v>
      </c>
      <c r="S454" s="396" t="e">
        <f t="shared" si="356"/>
        <v>#N/A</v>
      </c>
      <c r="T454" s="397" t="e">
        <f t="shared" si="357"/>
        <v>#N/A</v>
      </c>
      <c r="U454" s="396" t="e">
        <f t="shared" si="358"/>
        <v>#N/A</v>
      </c>
      <c r="V454" s="396" t="e">
        <f t="shared" si="359"/>
        <v>#N/A</v>
      </c>
      <c r="W454" s="206" t="e">
        <f t="shared" si="331"/>
        <v>#N/A</v>
      </c>
      <c r="X454" s="207" t="e">
        <f t="shared" si="332"/>
        <v>#N/A</v>
      </c>
      <c r="Y454" s="207" t="e">
        <f t="shared" si="333"/>
        <v>#N/A</v>
      </c>
      <c r="Z454" s="233" t="e">
        <f t="shared" si="334"/>
        <v>#N/A</v>
      </c>
      <c r="AA454" s="208" t="e">
        <f t="shared" si="314"/>
        <v>#N/A</v>
      </c>
      <c r="AB454" s="233" t="e">
        <f t="shared" si="335"/>
        <v>#N/A</v>
      </c>
      <c r="AC454" s="233" t="e">
        <f t="shared" si="336"/>
        <v>#N/A</v>
      </c>
      <c r="AD454" s="233" t="e">
        <f t="shared" si="337"/>
        <v>#N/A</v>
      </c>
      <c r="AE454" s="233" t="e">
        <f t="shared" si="338"/>
        <v>#N/A</v>
      </c>
      <c r="AF454" s="238" t="e">
        <f t="shared" si="339"/>
        <v>#N/A</v>
      </c>
      <c r="AG454" s="238" t="e">
        <f t="shared" si="340"/>
        <v>#N/A</v>
      </c>
      <c r="AH454" s="238" t="e">
        <f t="shared" si="341"/>
        <v>#N/A</v>
      </c>
      <c r="AI454" s="261" t="e">
        <f t="shared" si="342"/>
        <v>#N/A</v>
      </c>
      <c r="AJ454" s="233" t="e">
        <f t="shared" si="343"/>
        <v>#N/A</v>
      </c>
    </row>
    <row r="455" spans="5:36" s="48" customFormat="1" ht="35.25" customHeight="1" x14ac:dyDescent="0.2">
      <c r="E455" s="218" t="s">
        <v>2307</v>
      </c>
      <c r="F455" s="137"/>
      <c r="G455" s="67" t="e">
        <f t="shared" si="344"/>
        <v>#N/A</v>
      </c>
      <c r="H455" s="396" t="e">
        <f t="shared" si="345"/>
        <v>#N/A</v>
      </c>
      <c r="I455" s="396" t="e">
        <f t="shared" si="346"/>
        <v>#N/A</v>
      </c>
      <c r="J455" s="396" t="e">
        <f t="shared" si="347"/>
        <v>#N/A</v>
      </c>
      <c r="K455" s="398" t="e">
        <f t="shared" si="348"/>
        <v>#N/A</v>
      </c>
      <c r="L455" s="396" t="e">
        <f t="shared" si="349"/>
        <v>#N/A</v>
      </c>
      <c r="M455" s="398" t="e">
        <f t="shared" si="350"/>
        <v>#N/A</v>
      </c>
      <c r="N455" s="396" t="e">
        <f t="shared" si="351"/>
        <v>#N/A</v>
      </c>
      <c r="O455" s="396" t="e">
        <f t="shared" si="352"/>
        <v>#N/A</v>
      </c>
      <c r="P455" s="396" t="e">
        <f t="shared" si="353"/>
        <v>#N/A</v>
      </c>
      <c r="Q455" s="396" t="e">
        <f t="shared" si="354"/>
        <v>#N/A</v>
      </c>
      <c r="R455" s="396" t="e">
        <f t="shared" si="355"/>
        <v>#N/A</v>
      </c>
      <c r="S455" s="396" t="e">
        <f t="shared" si="356"/>
        <v>#N/A</v>
      </c>
      <c r="T455" s="397" t="e">
        <f t="shared" si="357"/>
        <v>#N/A</v>
      </c>
      <c r="U455" s="396" t="e">
        <f t="shared" si="358"/>
        <v>#N/A</v>
      </c>
      <c r="V455" s="396" t="e">
        <f t="shared" si="359"/>
        <v>#N/A</v>
      </c>
      <c r="W455" s="206" t="e">
        <f t="shared" si="331"/>
        <v>#N/A</v>
      </c>
      <c r="X455" s="207" t="e">
        <f t="shared" si="332"/>
        <v>#N/A</v>
      </c>
      <c r="Y455" s="207" t="e">
        <f t="shared" si="333"/>
        <v>#N/A</v>
      </c>
      <c r="Z455" s="233" t="e">
        <f t="shared" si="334"/>
        <v>#N/A</v>
      </c>
      <c r="AA455" s="208" t="e">
        <f t="shared" si="314"/>
        <v>#N/A</v>
      </c>
      <c r="AB455" s="233" t="e">
        <f t="shared" si="335"/>
        <v>#N/A</v>
      </c>
      <c r="AC455" s="233" t="e">
        <f t="shared" si="336"/>
        <v>#N/A</v>
      </c>
      <c r="AD455" s="233" t="e">
        <f t="shared" si="337"/>
        <v>#N/A</v>
      </c>
      <c r="AE455" s="233" t="e">
        <f t="shared" si="338"/>
        <v>#N/A</v>
      </c>
      <c r="AF455" s="238" t="e">
        <f t="shared" si="339"/>
        <v>#N/A</v>
      </c>
      <c r="AG455" s="238" t="e">
        <f t="shared" si="340"/>
        <v>#N/A</v>
      </c>
      <c r="AH455" s="238" t="e">
        <f t="shared" si="341"/>
        <v>#N/A</v>
      </c>
      <c r="AI455" s="261" t="e">
        <f t="shared" si="342"/>
        <v>#N/A</v>
      </c>
      <c r="AJ455" s="233" t="e">
        <f t="shared" si="343"/>
        <v>#N/A</v>
      </c>
    </row>
    <row r="456" spans="5:36" s="48" customFormat="1" ht="35.25" customHeight="1" x14ac:dyDescent="0.2">
      <c r="E456" s="218" t="s">
        <v>2307</v>
      </c>
      <c r="F456" s="137"/>
      <c r="G456" s="67" t="e">
        <f t="shared" si="344"/>
        <v>#N/A</v>
      </c>
      <c r="H456" s="396" t="e">
        <f t="shared" si="345"/>
        <v>#N/A</v>
      </c>
      <c r="I456" s="396" t="e">
        <f t="shared" si="346"/>
        <v>#N/A</v>
      </c>
      <c r="J456" s="396" t="e">
        <f t="shared" si="347"/>
        <v>#N/A</v>
      </c>
      <c r="K456" s="398" t="e">
        <f t="shared" si="348"/>
        <v>#N/A</v>
      </c>
      <c r="L456" s="396" t="e">
        <f t="shared" si="349"/>
        <v>#N/A</v>
      </c>
      <c r="M456" s="398" t="e">
        <f t="shared" si="350"/>
        <v>#N/A</v>
      </c>
      <c r="N456" s="396" t="e">
        <f t="shared" si="351"/>
        <v>#N/A</v>
      </c>
      <c r="O456" s="396" t="e">
        <f t="shared" si="352"/>
        <v>#N/A</v>
      </c>
      <c r="P456" s="396" t="e">
        <f t="shared" si="353"/>
        <v>#N/A</v>
      </c>
      <c r="Q456" s="396" t="e">
        <f t="shared" si="354"/>
        <v>#N/A</v>
      </c>
      <c r="R456" s="396" t="e">
        <f t="shared" si="355"/>
        <v>#N/A</v>
      </c>
      <c r="S456" s="396" t="e">
        <f t="shared" si="356"/>
        <v>#N/A</v>
      </c>
      <c r="T456" s="397" t="e">
        <f t="shared" si="357"/>
        <v>#N/A</v>
      </c>
      <c r="U456" s="396" t="e">
        <f t="shared" si="358"/>
        <v>#N/A</v>
      </c>
      <c r="V456" s="396" t="e">
        <f t="shared" si="359"/>
        <v>#N/A</v>
      </c>
      <c r="W456" s="206" t="e">
        <f t="shared" si="331"/>
        <v>#N/A</v>
      </c>
      <c r="X456" s="207" t="e">
        <f t="shared" si="332"/>
        <v>#N/A</v>
      </c>
      <c r="Y456" s="207" t="e">
        <f t="shared" si="333"/>
        <v>#N/A</v>
      </c>
      <c r="Z456" s="233" t="e">
        <f t="shared" si="334"/>
        <v>#N/A</v>
      </c>
      <c r="AA456" s="208" t="e">
        <f t="shared" si="314"/>
        <v>#N/A</v>
      </c>
      <c r="AB456" s="233" t="e">
        <f t="shared" si="335"/>
        <v>#N/A</v>
      </c>
      <c r="AC456" s="233" t="e">
        <f t="shared" si="336"/>
        <v>#N/A</v>
      </c>
      <c r="AD456" s="233" t="e">
        <f t="shared" si="337"/>
        <v>#N/A</v>
      </c>
      <c r="AE456" s="233" t="e">
        <f t="shared" si="338"/>
        <v>#N/A</v>
      </c>
      <c r="AF456" s="238" t="e">
        <f t="shared" si="339"/>
        <v>#N/A</v>
      </c>
      <c r="AG456" s="238" t="e">
        <f t="shared" si="340"/>
        <v>#N/A</v>
      </c>
      <c r="AH456" s="238" t="e">
        <f t="shared" si="341"/>
        <v>#N/A</v>
      </c>
      <c r="AI456" s="261" t="e">
        <f t="shared" si="342"/>
        <v>#N/A</v>
      </c>
      <c r="AJ456" s="233" t="e">
        <f t="shared" si="343"/>
        <v>#N/A</v>
      </c>
    </row>
    <row r="457" spans="5:36" s="48" customFormat="1" ht="35.25" customHeight="1" x14ac:dyDescent="0.2">
      <c r="E457" s="218" t="s">
        <v>2307</v>
      </c>
      <c r="F457" s="137"/>
      <c r="G457" s="67" t="e">
        <f t="shared" si="344"/>
        <v>#N/A</v>
      </c>
      <c r="H457" s="396" t="e">
        <f t="shared" si="345"/>
        <v>#N/A</v>
      </c>
      <c r="I457" s="396" t="e">
        <f t="shared" si="346"/>
        <v>#N/A</v>
      </c>
      <c r="J457" s="396" t="e">
        <f t="shared" si="347"/>
        <v>#N/A</v>
      </c>
      <c r="K457" s="398" t="e">
        <f t="shared" si="348"/>
        <v>#N/A</v>
      </c>
      <c r="L457" s="396" t="e">
        <f t="shared" si="349"/>
        <v>#N/A</v>
      </c>
      <c r="M457" s="398" t="e">
        <f t="shared" si="350"/>
        <v>#N/A</v>
      </c>
      <c r="N457" s="396" t="e">
        <f t="shared" si="351"/>
        <v>#N/A</v>
      </c>
      <c r="O457" s="396" t="e">
        <f t="shared" si="352"/>
        <v>#N/A</v>
      </c>
      <c r="P457" s="396" t="e">
        <f t="shared" si="353"/>
        <v>#N/A</v>
      </c>
      <c r="Q457" s="396" t="e">
        <f t="shared" si="354"/>
        <v>#N/A</v>
      </c>
      <c r="R457" s="396" t="e">
        <f t="shared" si="355"/>
        <v>#N/A</v>
      </c>
      <c r="S457" s="396" t="e">
        <f t="shared" si="356"/>
        <v>#N/A</v>
      </c>
      <c r="T457" s="397" t="e">
        <f t="shared" si="357"/>
        <v>#N/A</v>
      </c>
      <c r="U457" s="396" t="e">
        <f t="shared" si="358"/>
        <v>#N/A</v>
      </c>
      <c r="V457" s="396" t="e">
        <f t="shared" si="359"/>
        <v>#N/A</v>
      </c>
      <c r="W457" s="206" t="e">
        <f t="shared" si="331"/>
        <v>#N/A</v>
      </c>
      <c r="X457" s="207" t="e">
        <f t="shared" si="332"/>
        <v>#N/A</v>
      </c>
      <c r="Y457" s="207" t="e">
        <f t="shared" si="333"/>
        <v>#N/A</v>
      </c>
      <c r="Z457" s="233" t="e">
        <f t="shared" si="334"/>
        <v>#N/A</v>
      </c>
      <c r="AA457" s="208" t="e">
        <f t="shared" si="314"/>
        <v>#N/A</v>
      </c>
      <c r="AB457" s="233" t="e">
        <f t="shared" si="335"/>
        <v>#N/A</v>
      </c>
      <c r="AC457" s="233" t="e">
        <f t="shared" si="336"/>
        <v>#N/A</v>
      </c>
      <c r="AD457" s="233" t="e">
        <f t="shared" si="337"/>
        <v>#N/A</v>
      </c>
      <c r="AE457" s="233" t="e">
        <f t="shared" si="338"/>
        <v>#N/A</v>
      </c>
      <c r="AF457" s="238" t="e">
        <f t="shared" si="339"/>
        <v>#N/A</v>
      </c>
      <c r="AG457" s="238" t="e">
        <f t="shared" si="340"/>
        <v>#N/A</v>
      </c>
      <c r="AH457" s="238" t="e">
        <f t="shared" si="341"/>
        <v>#N/A</v>
      </c>
      <c r="AI457" s="261" t="e">
        <f t="shared" si="342"/>
        <v>#N/A</v>
      </c>
      <c r="AJ457" s="233" t="e">
        <f t="shared" si="343"/>
        <v>#N/A</v>
      </c>
    </row>
    <row r="458" spans="5:36" s="48" customFormat="1" ht="35.25" customHeight="1" x14ac:dyDescent="0.2">
      <c r="E458" s="218" t="s">
        <v>2307</v>
      </c>
      <c r="F458" s="137"/>
      <c r="G458" s="67" t="e">
        <f t="shared" si="344"/>
        <v>#N/A</v>
      </c>
      <c r="H458" s="396" t="e">
        <f t="shared" si="345"/>
        <v>#N/A</v>
      </c>
      <c r="I458" s="396" t="e">
        <f t="shared" si="346"/>
        <v>#N/A</v>
      </c>
      <c r="J458" s="396" t="e">
        <f t="shared" si="347"/>
        <v>#N/A</v>
      </c>
      <c r="K458" s="398" t="e">
        <f t="shared" si="348"/>
        <v>#N/A</v>
      </c>
      <c r="L458" s="396" t="e">
        <f t="shared" si="349"/>
        <v>#N/A</v>
      </c>
      <c r="M458" s="398" t="e">
        <f t="shared" si="350"/>
        <v>#N/A</v>
      </c>
      <c r="N458" s="396" t="e">
        <f t="shared" si="351"/>
        <v>#N/A</v>
      </c>
      <c r="O458" s="396" t="e">
        <f t="shared" si="352"/>
        <v>#N/A</v>
      </c>
      <c r="P458" s="396" t="e">
        <f t="shared" si="353"/>
        <v>#N/A</v>
      </c>
      <c r="Q458" s="396" t="e">
        <f t="shared" si="354"/>
        <v>#N/A</v>
      </c>
      <c r="R458" s="396" t="e">
        <f t="shared" si="355"/>
        <v>#N/A</v>
      </c>
      <c r="S458" s="396" t="e">
        <f t="shared" si="356"/>
        <v>#N/A</v>
      </c>
      <c r="T458" s="397" t="e">
        <f t="shared" si="357"/>
        <v>#N/A</v>
      </c>
      <c r="U458" s="396" t="e">
        <f t="shared" si="358"/>
        <v>#N/A</v>
      </c>
      <c r="V458" s="396" t="e">
        <f t="shared" si="359"/>
        <v>#N/A</v>
      </c>
      <c r="W458" s="206" t="e">
        <f t="shared" si="331"/>
        <v>#N/A</v>
      </c>
      <c r="X458" s="207" t="e">
        <f t="shared" si="332"/>
        <v>#N/A</v>
      </c>
      <c r="Y458" s="207" t="e">
        <f t="shared" si="333"/>
        <v>#N/A</v>
      </c>
      <c r="Z458" s="233" t="e">
        <f t="shared" si="334"/>
        <v>#N/A</v>
      </c>
      <c r="AA458" s="208" t="e">
        <f t="shared" si="314"/>
        <v>#N/A</v>
      </c>
      <c r="AB458" s="233" t="e">
        <f t="shared" si="335"/>
        <v>#N/A</v>
      </c>
      <c r="AC458" s="233" t="e">
        <f t="shared" si="336"/>
        <v>#N/A</v>
      </c>
      <c r="AD458" s="233" t="e">
        <f t="shared" si="337"/>
        <v>#N/A</v>
      </c>
      <c r="AE458" s="233" t="e">
        <f t="shared" si="338"/>
        <v>#N/A</v>
      </c>
      <c r="AF458" s="238" t="e">
        <f t="shared" si="339"/>
        <v>#N/A</v>
      </c>
      <c r="AG458" s="238" t="e">
        <f t="shared" si="340"/>
        <v>#N/A</v>
      </c>
      <c r="AH458" s="238" t="e">
        <f t="shared" si="341"/>
        <v>#N/A</v>
      </c>
      <c r="AI458" s="261" t="e">
        <f t="shared" si="342"/>
        <v>#N/A</v>
      </c>
      <c r="AJ458" s="233" t="e">
        <f t="shared" si="343"/>
        <v>#N/A</v>
      </c>
    </row>
    <row r="459" spans="5:36" s="48" customFormat="1" ht="35.25" customHeight="1" x14ac:dyDescent="0.2">
      <c r="E459" s="218" t="s">
        <v>2307</v>
      </c>
      <c r="F459" s="137"/>
      <c r="G459" s="67" t="e">
        <f t="shared" si="344"/>
        <v>#N/A</v>
      </c>
      <c r="H459" s="396" t="e">
        <f t="shared" si="345"/>
        <v>#N/A</v>
      </c>
      <c r="I459" s="396" t="e">
        <f t="shared" si="346"/>
        <v>#N/A</v>
      </c>
      <c r="J459" s="396" t="e">
        <f t="shared" si="347"/>
        <v>#N/A</v>
      </c>
      <c r="K459" s="398" t="e">
        <f t="shared" si="348"/>
        <v>#N/A</v>
      </c>
      <c r="L459" s="396" t="e">
        <f t="shared" si="349"/>
        <v>#N/A</v>
      </c>
      <c r="M459" s="398" t="e">
        <f t="shared" si="350"/>
        <v>#N/A</v>
      </c>
      <c r="N459" s="396" t="e">
        <f t="shared" si="351"/>
        <v>#N/A</v>
      </c>
      <c r="O459" s="396" t="e">
        <f t="shared" si="352"/>
        <v>#N/A</v>
      </c>
      <c r="P459" s="396" t="e">
        <f t="shared" si="353"/>
        <v>#N/A</v>
      </c>
      <c r="Q459" s="396" t="e">
        <f t="shared" si="354"/>
        <v>#N/A</v>
      </c>
      <c r="R459" s="396" t="e">
        <f t="shared" si="355"/>
        <v>#N/A</v>
      </c>
      <c r="S459" s="396" t="e">
        <f t="shared" si="356"/>
        <v>#N/A</v>
      </c>
      <c r="T459" s="397" t="e">
        <f t="shared" si="357"/>
        <v>#N/A</v>
      </c>
      <c r="U459" s="396" t="e">
        <f t="shared" si="358"/>
        <v>#N/A</v>
      </c>
      <c r="V459" s="396" t="e">
        <f t="shared" si="359"/>
        <v>#N/A</v>
      </c>
      <c r="W459" s="206" t="e">
        <f t="shared" si="331"/>
        <v>#N/A</v>
      </c>
      <c r="X459" s="207" t="e">
        <f t="shared" si="332"/>
        <v>#N/A</v>
      </c>
      <c r="Y459" s="207" t="e">
        <f t="shared" si="333"/>
        <v>#N/A</v>
      </c>
      <c r="Z459" s="233" t="e">
        <f t="shared" si="334"/>
        <v>#N/A</v>
      </c>
      <c r="AA459" s="208" t="e">
        <f t="shared" si="314"/>
        <v>#N/A</v>
      </c>
      <c r="AB459" s="233" t="e">
        <f t="shared" si="335"/>
        <v>#N/A</v>
      </c>
      <c r="AC459" s="233" t="e">
        <f t="shared" si="336"/>
        <v>#N/A</v>
      </c>
      <c r="AD459" s="233" t="e">
        <f t="shared" si="337"/>
        <v>#N/A</v>
      </c>
      <c r="AE459" s="233" t="e">
        <f t="shared" si="338"/>
        <v>#N/A</v>
      </c>
      <c r="AF459" s="238" t="e">
        <f t="shared" si="339"/>
        <v>#N/A</v>
      </c>
      <c r="AG459" s="238" t="e">
        <f t="shared" si="340"/>
        <v>#N/A</v>
      </c>
      <c r="AH459" s="238" t="e">
        <f t="shared" si="341"/>
        <v>#N/A</v>
      </c>
      <c r="AI459" s="261" t="e">
        <f t="shared" si="342"/>
        <v>#N/A</v>
      </c>
      <c r="AJ459" s="233" t="e">
        <f t="shared" si="343"/>
        <v>#N/A</v>
      </c>
    </row>
    <row r="460" spans="5:36" s="48" customFormat="1" ht="35.25" customHeight="1" x14ac:dyDescent="0.2">
      <c r="E460" s="218" t="s">
        <v>2307</v>
      </c>
      <c r="F460" s="137"/>
      <c r="G460" s="67" t="e">
        <f t="shared" si="344"/>
        <v>#N/A</v>
      </c>
      <c r="H460" s="396" t="e">
        <f t="shared" si="345"/>
        <v>#N/A</v>
      </c>
      <c r="I460" s="396" t="e">
        <f t="shared" si="346"/>
        <v>#N/A</v>
      </c>
      <c r="J460" s="396" t="e">
        <f t="shared" si="347"/>
        <v>#N/A</v>
      </c>
      <c r="K460" s="398" t="e">
        <f t="shared" si="348"/>
        <v>#N/A</v>
      </c>
      <c r="L460" s="396" t="e">
        <f t="shared" si="349"/>
        <v>#N/A</v>
      </c>
      <c r="M460" s="398" t="e">
        <f t="shared" si="350"/>
        <v>#N/A</v>
      </c>
      <c r="N460" s="396" t="e">
        <f t="shared" si="351"/>
        <v>#N/A</v>
      </c>
      <c r="O460" s="396" t="e">
        <f t="shared" si="352"/>
        <v>#N/A</v>
      </c>
      <c r="P460" s="396" t="e">
        <f t="shared" si="353"/>
        <v>#N/A</v>
      </c>
      <c r="Q460" s="396" t="e">
        <f t="shared" si="354"/>
        <v>#N/A</v>
      </c>
      <c r="R460" s="396" t="e">
        <f t="shared" si="355"/>
        <v>#N/A</v>
      </c>
      <c r="S460" s="396" t="e">
        <f t="shared" si="356"/>
        <v>#N/A</v>
      </c>
      <c r="T460" s="397" t="e">
        <f t="shared" si="357"/>
        <v>#N/A</v>
      </c>
      <c r="U460" s="396" t="e">
        <f t="shared" si="358"/>
        <v>#N/A</v>
      </c>
      <c r="V460" s="396" t="e">
        <f t="shared" si="359"/>
        <v>#N/A</v>
      </c>
      <c r="W460" s="206" t="e">
        <f t="shared" si="331"/>
        <v>#N/A</v>
      </c>
      <c r="X460" s="207" t="e">
        <f t="shared" si="332"/>
        <v>#N/A</v>
      </c>
      <c r="Y460" s="207" t="e">
        <f t="shared" si="333"/>
        <v>#N/A</v>
      </c>
      <c r="Z460" s="233" t="e">
        <f t="shared" si="334"/>
        <v>#N/A</v>
      </c>
      <c r="AA460" s="208" t="e">
        <f t="shared" si="314"/>
        <v>#N/A</v>
      </c>
      <c r="AB460" s="233" t="e">
        <f t="shared" si="335"/>
        <v>#N/A</v>
      </c>
      <c r="AC460" s="233" t="e">
        <f t="shared" si="336"/>
        <v>#N/A</v>
      </c>
      <c r="AD460" s="233" t="e">
        <f t="shared" si="337"/>
        <v>#N/A</v>
      </c>
      <c r="AE460" s="233" t="e">
        <f t="shared" si="338"/>
        <v>#N/A</v>
      </c>
      <c r="AF460" s="238" t="e">
        <f t="shared" si="339"/>
        <v>#N/A</v>
      </c>
      <c r="AG460" s="238" t="e">
        <f t="shared" si="340"/>
        <v>#N/A</v>
      </c>
      <c r="AH460" s="238" t="e">
        <f t="shared" si="341"/>
        <v>#N/A</v>
      </c>
      <c r="AI460" s="261" t="e">
        <f t="shared" si="342"/>
        <v>#N/A</v>
      </c>
      <c r="AJ460" s="233" t="e">
        <f t="shared" si="343"/>
        <v>#N/A</v>
      </c>
    </row>
    <row r="461" spans="5:36" s="48" customFormat="1" ht="35.25" customHeight="1" x14ac:dyDescent="0.2">
      <c r="E461" s="218" t="s">
        <v>2307</v>
      </c>
      <c r="F461" s="137"/>
      <c r="G461" s="67" t="e">
        <f t="shared" si="344"/>
        <v>#N/A</v>
      </c>
      <c r="H461" s="396" t="e">
        <f t="shared" si="345"/>
        <v>#N/A</v>
      </c>
      <c r="I461" s="396" t="e">
        <f t="shared" si="346"/>
        <v>#N/A</v>
      </c>
      <c r="J461" s="396" t="e">
        <f t="shared" si="347"/>
        <v>#N/A</v>
      </c>
      <c r="K461" s="398" t="e">
        <f t="shared" si="348"/>
        <v>#N/A</v>
      </c>
      <c r="L461" s="396" t="e">
        <f t="shared" si="349"/>
        <v>#N/A</v>
      </c>
      <c r="M461" s="398" t="e">
        <f t="shared" si="350"/>
        <v>#N/A</v>
      </c>
      <c r="N461" s="396" t="e">
        <f t="shared" si="351"/>
        <v>#N/A</v>
      </c>
      <c r="O461" s="396" t="e">
        <f t="shared" si="352"/>
        <v>#N/A</v>
      </c>
      <c r="P461" s="396" t="e">
        <f t="shared" si="353"/>
        <v>#N/A</v>
      </c>
      <c r="Q461" s="396" t="e">
        <f t="shared" si="354"/>
        <v>#N/A</v>
      </c>
      <c r="R461" s="396" t="e">
        <f t="shared" si="355"/>
        <v>#N/A</v>
      </c>
      <c r="S461" s="396" t="e">
        <f t="shared" si="356"/>
        <v>#N/A</v>
      </c>
      <c r="T461" s="397" t="e">
        <f t="shared" si="357"/>
        <v>#N/A</v>
      </c>
      <c r="U461" s="396" t="e">
        <f t="shared" si="358"/>
        <v>#N/A</v>
      </c>
      <c r="V461" s="396" t="e">
        <f t="shared" si="359"/>
        <v>#N/A</v>
      </c>
      <c r="W461" s="206" t="e">
        <f t="shared" si="331"/>
        <v>#N/A</v>
      </c>
      <c r="X461" s="207" t="e">
        <f t="shared" si="332"/>
        <v>#N/A</v>
      </c>
      <c r="Y461" s="207" t="e">
        <f t="shared" si="333"/>
        <v>#N/A</v>
      </c>
      <c r="Z461" s="233" t="e">
        <f t="shared" si="334"/>
        <v>#N/A</v>
      </c>
      <c r="AA461" s="208" t="e">
        <f t="shared" si="314"/>
        <v>#N/A</v>
      </c>
      <c r="AB461" s="233" t="e">
        <f t="shared" si="335"/>
        <v>#N/A</v>
      </c>
      <c r="AC461" s="233" t="e">
        <f t="shared" si="336"/>
        <v>#N/A</v>
      </c>
      <c r="AD461" s="233" t="e">
        <f t="shared" si="337"/>
        <v>#N/A</v>
      </c>
      <c r="AE461" s="233" t="e">
        <f t="shared" si="338"/>
        <v>#N/A</v>
      </c>
      <c r="AF461" s="238" t="e">
        <f t="shared" si="339"/>
        <v>#N/A</v>
      </c>
      <c r="AG461" s="238" t="e">
        <f t="shared" si="340"/>
        <v>#N/A</v>
      </c>
      <c r="AH461" s="238" t="e">
        <f t="shared" si="341"/>
        <v>#N/A</v>
      </c>
      <c r="AI461" s="261" t="e">
        <f t="shared" si="342"/>
        <v>#N/A</v>
      </c>
      <c r="AJ461" s="233" t="e">
        <f t="shared" si="343"/>
        <v>#N/A</v>
      </c>
    </row>
    <row r="462" spans="5:36" s="48" customFormat="1" ht="35.25" customHeight="1" x14ac:dyDescent="0.2">
      <c r="E462" s="218" t="s">
        <v>2307</v>
      </c>
      <c r="F462" s="137"/>
      <c r="G462" s="67" t="e">
        <f t="shared" si="344"/>
        <v>#N/A</v>
      </c>
      <c r="H462" s="396" t="e">
        <f t="shared" si="345"/>
        <v>#N/A</v>
      </c>
      <c r="I462" s="396" t="e">
        <f t="shared" si="346"/>
        <v>#N/A</v>
      </c>
      <c r="J462" s="396" t="e">
        <f t="shared" si="347"/>
        <v>#N/A</v>
      </c>
      <c r="K462" s="398" t="e">
        <f t="shared" si="348"/>
        <v>#N/A</v>
      </c>
      <c r="L462" s="396" t="e">
        <f t="shared" si="349"/>
        <v>#N/A</v>
      </c>
      <c r="M462" s="398" t="e">
        <f t="shared" si="350"/>
        <v>#N/A</v>
      </c>
      <c r="N462" s="396" t="e">
        <f t="shared" si="351"/>
        <v>#N/A</v>
      </c>
      <c r="O462" s="396" t="e">
        <f t="shared" si="352"/>
        <v>#N/A</v>
      </c>
      <c r="P462" s="396" t="e">
        <f t="shared" si="353"/>
        <v>#N/A</v>
      </c>
      <c r="Q462" s="396" t="e">
        <f t="shared" si="354"/>
        <v>#N/A</v>
      </c>
      <c r="R462" s="396" t="e">
        <f t="shared" si="355"/>
        <v>#N/A</v>
      </c>
      <c r="S462" s="396" t="e">
        <f t="shared" si="356"/>
        <v>#N/A</v>
      </c>
      <c r="T462" s="397" t="e">
        <f t="shared" si="357"/>
        <v>#N/A</v>
      </c>
      <c r="U462" s="396" t="e">
        <f t="shared" si="358"/>
        <v>#N/A</v>
      </c>
      <c r="V462" s="396" t="e">
        <f t="shared" si="359"/>
        <v>#N/A</v>
      </c>
      <c r="W462" s="206" t="e">
        <f t="shared" si="331"/>
        <v>#N/A</v>
      </c>
      <c r="X462" s="207" t="e">
        <f t="shared" si="332"/>
        <v>#N/A</v>
      </c>
      <c r="Y462" s="207" t="e">
        <f t="shared" si="333"/>
        <v>#N/A</v>
      </c>
      <c r="Z462" s="233" t="e">
        <f t="shared" si="334"/>
        <v>#N/A</v>
      </c>
      <c r="AA462" s="208" t="e">
        <f t="shared" ref="AA462:AA507" si="360">IF(2013-O462&gt;Y462,Y462,IF(2013-O462&lt;0,0,2013-O462))</f>
        <v>#N/A</v>
      </c>
      <c r="AB462" s="233" t="e">
        <f t="shared" si="335"/>
        <v>#N/A</v>
      </c>
      <c r="AC462" s="233" t="e">
        <f t="shared" si="336"/>
        <v>#N/A</v>
      </c>
      <c r="AD462" s="233" t="e">
        <f t="shared" si="337"/>
        <v>#N/A</v>
      </c>
      <c r="AE462" s="233" t="e">
        <f t="shared" si="338"/>
        <v>#N/A</v>
      </c>
      <c r="AF462" s="238" t="e">
        <f t="shared" si="339"/>
        <v>#N/A</v>
      </c>
      <c r="AG462" s="238" t="e">
        <f t="shared" si="340"/>
        <v>#N/A</v>
      </c>
      <c r="AH462" s="238" t="e">
        <f t="shared" si="341"/>
        <v>#N/A</v>
      </c>
      <c r="AI462" s="261" t="e">
        <f t="shared" si="342"/>
        <v>#N/A</v>
      </c>
      <c r="AJ462" s="233" t="e">
        <f t="shared" si="343"/>
        <v>#N/A</v>
      </c>
    </row>
    <row r="463" spans="5:36" s="48" customFormat="1" ht="35.25" customHeight="1" x14ac:dyDescent="0.2">
      <c r="E463" s="218" t="s">
        <v>2307</v>
      </c>
      <c r="F463" s="137"/>
      <c r="G463" s="67" t="e">
        <f t="shared" si="344"/>
        <v>#N/A</v>
      </c>
      <c r="H463" s="396" t="e">
        <f t="shared" si="345"/>
        <v>#N/A</v>
      </c>
      <c r="I463" s="396" t="e">
        <f t="shared" si="346"/>
        <v>#N/A</v>
      </c>
      <c r="J463" s="396" t="e">
        <f t="shared" si="347"/>
        <v>#N/A</v>
      </c>
      <c r="K463" s="398" t="e">
        <f t="shared" si="348"/>
        <v>#N/A</v>
      </c>
      <c r="L463" s="396" t="e">
        <f t="shared" si="349"/>
        <v>#N/A</v>
      </c>
      <c r="M463" s="398" t="e">
        <f t="shared" si="350"/>
        <v>#N/A</v>
      </c>
      <c r="N463" s="396" t="e">
        <f t="shared" si="351"/>
        <v>#N/A</v>
      </c>
      <c r="O463" s="396" t="e">
        <f t="shared" si="352"/>
        <v>#N/A</v>
      </c>
      <c r="P463" s="396" t="e">
        <f t="shared" si="353"/>
        <v>#N/A</v>
      </c>
      <c r="Q463" s="396" t="e">
        <f t="shared" si="354"/>
        <v>#N/A</v>
      </c>
      <c r="R463" s="396" t="e">
        <f t="shared" si="355"/>
        <v>#N/A</v>
      </c>
      <c r="S463" s="396" t="e">
        <f t="shared" si="356"/>
        <v>#N/A</v>
      </c>
      <c r="T463" s="397" t="e">
        <f t="shared" si="357"/>
        <v>#N/A</v>
      </c>
      <c r="U463" s="396" t="e">
        <f t="shared" si="358"/>
        <v>#N/A</v>
      </c>
      <c r="V463" s="396" t="e">
        <f t="shared" si="359"/>
        <v>#N/A</v>
      </c>
      <c r="W463" s="206" t="e">
        <f t="shared" si="331"/>
        <v>#N/A</v>
      </c>
      <c r="X463" s="207" t="e">
        <f t="shared" si="332"/>
        <v>#N/A</v>
      </c>
      <c r="Y463" s="207" t="e">
        <f t="shared" si="333"/>
        <v>#N/A</v>
      </c>
      <c r="Z463" s="233" t="e">
        <f t="shared" si="334"/>
        <v>#N/A</v>
      </c>
      <c r="AA463" s="208" t="e">
        <f t="shared" si="360"/>
        <v>#N/A</v>
      </c>
      <c r="AB463" s="233" t="e">
        <f t="shared" si="335"/>
        <v>#N/A</v>
      </c>
      <c r="AC463" s="233" t="e">
        <f t="shared" si="336"/>
        <v>#N/A</v>
      </c>
      <c r="AD463" s="233" t="e">
        <f t="shared" si="337"/>
        <v>#N/A</v>
      </c>
      <c r="AE463" s="233" t="e">
        <f t="shared" si="338"/>
        <v>#N/A</v>
      </c>
      <c r="AF463" s="238" t="e">
        <f t="shared" si="339"/>
        <v>#N/A</v>
      </c>
      <c r="AG463" s="238" t="e">
        <f t="shared" si="340"/>
        <v>#N/A</v>
      </c>
      <c r="AH463" s="238" t="e">
        <f t="shared" si="341"/>
        <v>#N/A</v>
      </c>
      <c r="AI463" s="261" t="e">
        <f t="shared" si="342"/>
        <v>#N/A</v>
      </c>
      <c r="AJ463" s="233" t="e">
        <f t="shared" si="343"/>
        <v>#N/A</v>
      </c>
    </row>
    <row r="464" spans="5:36" s="48" customFormat="1" ht="35.25" customHeight="1" x14ac:dyDescent="0.2">
      <c r="E464" s="218" t="s">
        <v>2307</v>
      </c>
      <c r="F464" s="137"/>
      <c r="G464" s="67" t="e">
        <f t="shared" si="344"/>
        <v>#N/A</v>
      </c>
      <c r="H464" s="396" t="e">
        <f t="shared" si="345"/>
        <v>#N/A</v>
      </c>
      <c r="I464" s="396" t="e">
        <f t="shared" si="346"/>
        <v>#N/A</v>
      </c>
      <c r="J464" s="396" t="e">
        <f t="shared" si="347"/>
        <v>#N/A</v>
      </c>
      <c r="K464" s="398" t="e">
        <f t="shared" si="348"/>
        <v>#N/A</v>
      </c>
      <c r="L464" s="396" t="e">
        <f t="shared" si="349"/>
        <v>#N/A</v>
      </c>
      <c r="M464" s="398" t="e">
        <f t="shared" si="350"/>
        <v>#N/A</v>
      </c>
      <c r="N464" s="396" t="e">
        <f t="shared" si="351"/>
        <v>#N/A</v>
      </c>
      <c r="O464" s="396" t="e">
        <f t="shared" si="352"/>
        <v>#N/A</v>
      </c>
      <c r="P464" s="396" t="e">
        <f t="shared" si="353"/>
        <v>#N/A</v>
      </c>
      <c r="Q464" s="396" t="e">
        <f t="shared" si="354"/>
        <v>#N/A</v>
      </c>
      <c r="R464" s="396" t="e">
        <f t="shared" si="355"/>
        <v>#N/A</v>
      </c>
      <c r="S464" s="396" t="e">
        <f t="shared" si="356"/>
        <v>#N/A</v>
      </c>
      <c r="T464" s="397" t="e">
        <f t="shared" si="357"/>
        <v>#N/A</v>
      </c>
      <c r="U464" s="396" t="e">
        <f t="shared" si="358"/>
        <v>#N/A</v>
      </c>
      <c r="V464" s="396" t="e">
        <f t="shared" si="359"/>
        <v>#N/A</v>
      </c>
      <c r="W464" s="206" t="e">
        <f t="shared" si="331"/>
        <v>#N/A</v>
      </c>
      <c r="X464" s="207" t="e">
        <f t="shared" si="332"/>
        <v>#N/A</v>
      </c>
      <c r="Y464" s="207" t="e">
        <f t="shared" si="333"/>
        <v>#N/A</v>
      </c>
      <c r="Z464" s="233" t="e">
        <f t="shared" si="334"/>
        <v>#N/A</v>
      </c>
      <c r="AA464" s="208" t="e">
        <f t="shared" si="360"/>
        <v>#N/A</v>
      </c>
      <c r="AB464" s="233" t="e">
        <f t="shared" si="335"/>
        <v>#N/A</v>
      </c>
      <c r="AC464" s="233" t="e">
        <f t="shared" si="336"/>
        <v>#N/A</v>
      </c>
      <c r="AD464" s="233" t="e">
        <f t="shared" si="337"/>
        <v>#N/A</v>
      </c>
      <c r="AE464" s="233" t="e">
        <f t="shared" si="338"/>
        <v>#N/A</v>
      </c>
      <c r="AF464" s="238" t="e">
        <f t="shared" si="339"/>
        <v>#N/A</v>
      </c>
      <c r="AG464" s="238" t="e">
        <f t="shared" si="340"/>
        <v>#N/A</v>
      </c>
      <c r="AH464" s="238" t="e">
        <f t="shared" si="341"/>
        <v>#N/A</v>
      </c>
      <c r="AI464" s="261" t="e">
        <f t="shared" si="342"/>
        <v>#N/A</v>
      </c>
      <c r="AJ464" s="233" t="e">
        <f t="shared" si="343"/>
        <v>#N/A</v>
      </c>
    </row>
    <row r="465" spans="5:36" s="48" customFormat="1" ht="35.25" customHeight="1" x14ac:dyDescent="0.2">
      <c r="E465" s="218" t="s">
        <v>2307</v>
      </c>
      <c r="F465" s="137"/>
      <c r="G465" s="67" t="e">
        <f t="shared" si="344"/>
        <v>#N/A</v>
      </c>
      <c r="H465" s="396" t="e">
        <f t="shared" si="345"/>
        <v>#N/A</v>
      </c>
      <c r="I465" s="396" t="e">
        <f t="shared" si="346"/>
        <v>#N/A</v>
      </c>
      <c r="J465" s="396" t="e">
        <f t="shared" si="347"/>
        <v>#N/A</v>
      </c>
      <c r="K465" s="398" t="e">
        <f t="shared" si="348"/>
        <v>#N/A</v>
      </c>
      <c r="L465" s="396" t="e">
        <f t="shared" si="349"/>
        <v>#N/A</v>
      </c>
      <c r="M465" s="398" t="e">
        <f t="shared" si="350"/>
        <v>#N/A</v>
      </c>
      <c r="N465" s="396" t="e">
        <f t="shared" si="351"/>
        <v>#N/A</v>
      </c>
      <c r="O465" s="396" t="e">
        <f t="shared" si="352"/>
        <v>#N/A</v>
      </c>
      <c r="P465" s="396" t="e">
        <f t="shared" si="353"/>
        <v>#N/A</v>
      </c>
      <c r="Q465" s="396" t="e">
        <f t="shared" si="354"/>
        <v>#N/A</v>
      </c>
      <c r="R465" s="396" t="e">
        <f t="shared" si="355"/>
        <v>#N/A</v>
      </c>
      <c r="S465" s="396" t="e">
        <f t="shared" si="356"/>
        <v>#N/A</v>
      </c>
      <c r="T465" s="397" t="e">
        <f t="shared" si="357"/>
        <v>#N/A</v>
      </c>
      <c r="U465" s="396" t="e">
        <f t="shared" si="358"/>
        <v>#N/A</v>
      </c>
      <c r="V465" s="396" t="e">
        <f t="shared" si="359"/>
        <v>#N/A</v>
      </c>
      <c r="W465" s="206" t="e">
        <f t="shared" si="331"/>
        <v>#N/A</v>
      </c>
      <c r="X465" s="207" t="e">
        <f t="shared" si="332"/>
        <v>#N/A</v>
      </c>
      <c r="Y465" s="207" t="e">
        <f t="shared" si="333"/>
        <v>#N/A</v>
      </c>
      <c r="Z465" s="233" t="e">
        <f t="shared" si="334"/>
        <v>#N/A</v>
      </c>
      <c r="AA465" s="208" t="e">
        <f t="shared" si="360"/>
        <v>#N/A</v>
      </c>
      <c r="AB465" s="233" t="e">
        <f t="shared" si="335"/>
        <v>#N/A</v>
      </c>
      <c r="AC465" s="233" t="e">
        <f t="shared" si="336"/>
        <v>#N/A</v>
      </c>
      <c r="AD465" s="233" t="e">
        <f t="shared" si="337"/>
        <v>#N/A</v>
      </c>
      <c r="AE465" s="233" t="e">
        <f t="shared" si="338"/>
        <v>#N/A</v>
      </c>
      <c r="AF465" s="238" t="e">
        <f t="shared" si="339"/>
        <v>#N/A</v>
      </c>
      <c r="AG465" s="238" t="e">
        <f t="shared" si="340"/>
        <v>#N/A</v>
      </c>
      <c r="AH465" s="238" t="e">
        <f t="shared" si="341"/>
        <v>#N/A</v>
      </c>
      <c r="AI465" s="261" t="e">
        <f t="shared" si="342"/>
        <v>#N/A</v>
      </c>
      <c r="AJ465" s="233" t="e">
        <f t="shared" si="343"/>
        <v>#N/A</v>
      </c>
    </row>
    <row r="466" spans="5:36" s="48" customFormat="1" ht="35.25" customHeight="1" x14ac:dyDescent="0.2">
      <c r="E466" s="218" t="s">
        <v>2307</v>
      </c>
      <c r="F466" s="137"/>
      <c r="G466" s="67" t="e">
        <f t="shared" si="344"/>
        <v>#N/A</v>
      </c>
      <c r="H466" s="396" t="e">
        <f t="shared" si="345"/>
        <v>#N/A</v>
      </c>
      <c r="I466" s="396" t="e">
        <f t="shared" si="346"/>
        <v>#N/A</v>
      </c>
      <c r="J466" s="396" t="e">
        <f t="shared" si="347"/>
        <v>#N/A</v>
      </c>
      <c r="K466" s="398" t="e">
        <f t="shared" si="348"/>
        <v>#N/A</v>
      </c>
      <c r="L466" s="396" t="e">
        <f t="shared" si="349"/>
        <v>#N/A</v>
      </c>
      <c r="M466" s="398" t="e">
        <f t="shared" si="350"/>
        <v>#N/A</v>
      </c>
      <c r="N466" s="396" t="e">
        <f t="shared" si="351"/>
        <v>#N/A</v>
      </c>
      <c r="O466" s="396" t="e">
        <f t="shared" si="352"/>
        <v>#N/A</v>
      </c>
      <c r="P466" s="396" t="e">
        <f t="shared" si="353"/>
        <v>#N/A</v>
      </c>
      <c r="Q466" s="396" t="e">
        <f t="shared" si="354"/>
        <v>#N/A</v>
      </c>
      <c r="R466" s="396" t="e">
        <f t="shared" si="355"/>
        <v>#N/A</v>
      </c>
      <c r="S466" s="396" t="e">
        <f t="shared" si="356"/>
        <v>#N/A</v>
      </c>
      <c r="T466" s="397" t="e">
        <f t="shared" si="357"/>
        <v>#N/A</v>
      </c>
      <c r="U466" s="396" t="e">
        <f t="shared" si="358"/>
        <v>#N/A</v>
      </c>
      <c r="V466" s="396" t="e">
        <f t="shared" si="359"/>
        <v>#N/A</v>
      </c>
      <c r="W466" s="206" t="e">
        <f t="shared" si="331"/>
        <v>#N/A</v>
      </c>
      <c r="X466" s="207" t="e">
        <f t="shared" si="332"/>
        <v>#N/A</v>
      </c>
      <c r="Y466" s="207" t="e">
        <f t="shared" si="333"/>
        <v>#N/A</v>
      </c>
      <c r="Z466" s="233" t="e">
        <f t="shared" si="334"/>
        <v>#N/A</v>
      </c>
      <c r="AA466" s="208" t="e">
        <f t="shared" si="360"/>
        <v>#N/A</v>
      </c>
      <c r="AB466" s="233" t="e">
        <f t="shared" si="335"/>
        <v>#N/A</v>
      </c>
      <c r="AC466" s="233" t="e">
        <f t="shared" si="336"/>
        <v>#N/A</v>
      </c>
      <c r="AD466" s="233" t="e">
        <f t="shared" si="337"/>
        <v>#N/A</v>
      </c>
      <c r="AE466" s="233" t="e">
        <f t="shared" si="338"/>
        <v>#N/A</v>
      </c>
      <c r="AF466" s="238" t="e">
        <f t="shared" si="339"/>
        <v>#N/A</v>
      </c>
      <c r="AG466" s="238" t="e">
        <f t="shared" si="340"/>
        <v>#N/A</v>
      </c>
      <c r="AH466" s="238" t="e">
        <f t="shared" si="341"/>
        <v>#N/A</v>
      </c>
      <c r="AI466" s="261" t="e">
        <f t="shared" si="342"/>
        <v>#N/A</v>
      </c>
      <c r="AJ466" s="233" t="e">
        <f t="shared" si="343"/>
        <v>#N/A</v>
      </c>
    </row>
    <row r="467" spans="5:36" s="48" customFormat="1" ht="35.25" customHeight="1" x14ac:dyDescent="0.2">
      <c r="E467" s="218" t="s">
        <v>2307</v>
      </c>
      <c r="F467" s="137"/>
      <c r="G467" s="67" t="e">
        <f t="shared" si="344"/>
        <v>#N/A</v>
      </c>
      <c r="H467" s="396" t="e">
        <f t="shared" si="345"/>
        <v>#N/A</v>
      </c>
      <c r="I467" s="396" t="e">
        <f t="shared" si="346"/>
        <v>#N/A</v>
      </c>
      <c r="J467" s="396" t="e">
        <f t="shared" si="347"/>
        <v>#N/A</v>
      </c>
      <c r="K467" s="398" t="e">
        <f t="shared" si="348"/>
        <v>#N/A</v>
      </c>
      <c r="L467" s="396" t="e">
        <f t="shared" si="349"/>
        <v>#N/A</v>
      </c>
      <c r="M467" s="398" t="e">
        <f t="shared" si="350"/>
        <v>#N/A</v>
      </c>
      <c r="N467" s="396" t="e">
        <f t="shared" si="351"/>
        <v>#N/A</v>
      </c>
      <c r="O467" s="396" t="e">
        <f t="shared" si="352"/>
        <v>#N/A</v>
      </c>
      <c r="P467" s="396" t="e">
        <f t="shared" si="353"/>
        <v>#N/A</v>
      </c>
      <c r="Q467" s="396" t="e">
        <f t="shared" si="354"/>
        <v>#N/A</v>
      </c>
      <c r="R467" s="396" t="e">
        <f t="shared" si="355"/>
        <v>#N/A</v>
      </c>
      <c r="S467" s="396" t="e">
        <f t="shared" si="356"/>
        <v>#N/A</v>
      </c>
      <c r="T467" s="397" t="e">
        <f t="shared" si="357"/>
        <v>#N/A</v>
      </c>
      <c r="U467" s="396" t="e">
        <f t="shared" si="358"/>
        <v>#N/A</v>
      </c>
      <c r="V467" s="396" t="e">
        <f t="shared" si="359"/>
        <v>#N/A</v>
      </c>
      <c r="W467" s="206" t="e">
        <f t="shared" si="331"/>
        <v>#N/A</v>
      </c>
      <c r="X467" s="207" t="e">
        <f t="shared" si="332"/>
        <v>#N/A</v>
      </c>
      <c r="Y467" s="207" t="e">
        <f t="shared" si="333"/>
        <v>#N/A</v>
      </c>
      <c r="Z467" s="233" t="e">
        <f t="shared" si="334"/>
        <v>#N/A</v>
      </c>
      <c r="AA467" s="208" t="e">
        <f t="shared" si="360"/>
        <v>#N/A</v>
      </c>
      <c r="AB467" s="233" t="e">
        <f t="shared" si="335"/>
        <v>#N/A</v>
      </c>
      <c r="AC467" s="233" t="e">
        <f t="shared" si="336"/>
        <v>#N/A</v>
      </c>
      <c r="AD467" s="233" t="e">
        <f t="shared" si="337"/>
        <v>#N/A</v>
      </c>
      <c r="AE467" s="233" t="e">
        <f t="shared" si="338"/>
        <v>#N/A</v>
      </c>
      <c r="AF467" s="238" t="e">
        <f t="shared" si="339"/>
        <v>#N/A</v>
      </c>
      <c r="AG467" s="238" t="e">
        <f t="shared" si="340"/>
        <v>#N/A</v>
      </c>
      <c r="AH467" s="238" t="e">
        <f t="shared" si="341"/>
        <v>#N/A</v>
      </c>
      <c r="AI467" s="261" t="e">
        <f t="shared" si="342"/>
        <v>#N/A</v>
      </c>
      <c r="AJ467" s="233" t="e">
        <f t="shared" si="343"/>
        <v>#N/A</v>
      </c>
    </row>
    <row r="468" spans="5:36" s="48" customFormat="1" ht="35.25" customHeight="1" x14ac:dyDescent="0.2">
      <c r="E468" s="218" t="s">
        <v>2307</v>
      </c>
      <c r="F468" s="137"/>
      <c r="G468" s="67" t="e">
        <f t="shared" si="344"/>
        <v>#N/A</v>
      </c>
      <c r="H468" s="396" t="e">
        <f t="shared" si="345"/>
        <v>#N/A</v>
      </c>
      <c r="I468" s="396" t="e">
        <f t="shared" si="346"/>
        <v>#N/A</v>
      </c>
      <c r="J468" s="396" t="e">
        <f t="shared" si="347"/>
        <v>#N/A</v>
      </c>
      <c r="K468" s="398" t="e">
        <f t="shared" si="348"/>
        <v>#N/A</v>
      </c>
      <c r="L468" s="396" t="e">
        <f t="shared" si="349"/>
        <v>#N/A</v>
      </c>
      <c r="M468" s="398" t="e">
        <f t="shared" si="350"/>
        <v>#N/A</v>
      </c>
      <c r="N468" s="396" t="e">
        <f t="shared" si="351"/>
        <v>#N/A</v>
      </c>
      <c r="O468" s="396" t="e">
        <f t="shared" si="352"/>
        <v>#N/A</v>
      </c>
      <c r="P468" s="396" t="e">
        <f t="shared" si="353"/>
        <v>#N/A</v>
      </c>
      <c r="Q468" s="396" t="e">
        <f t="shared" si="354"/>
        <v>#N/A</v>
      </c>
      <c r="R468" s="396" t="e">
        <f t="shared" si="355"/>
        <v>#N/A</v>
      </c>
      <c r="S468" s="396" t="e">
        <f t="shared" si="356"/>
        <v>#N/A</v>
      </c>
      <c r="T468" s="397" t="e">
        <f t="shared" si="357"/>
        <v>#N/A</v>
      </c>
      <c r="U468" s="396" t="e">
        <f t="shared" si="358"/>
        <v>#N/A</v>
      </c>
      <c r="V468" s="396" t="e">
        <f t="shared" si="359"/>
        <v>#N/A</v>
      </c>
      <c r="W468" s="206" t="e">
        <f t="shared" si="331"/>
        <v>#N/A</v>
      </c>
      <c r="X468" s="207" t="e">
        <f t="shared" si="332"/>
        <v>#N/A</v>
      </c>
      <c r="Y468" s="207" t="e">
        <f t="shared" si="333"/>
        <v>#N/A</v>
      </c>
      <c r="Z468" s="233" t="e">
        <f t="shared" si="334"/>
        <v>#N/A</v>
      </c>
      <c r="AA468" s="208" t="e">
        <f t="shared" si="360"/>
        <v>#N/A</v>
      </c>
      <c r="AB468" s="233" t="e">
        <f t="shared" si="335"/>
        <v>#N/A</v>
      </c>
      <c r="AC468" s="233" t="e">
        <f t="shared" si="336"/>
        <v>#N/A</v>
      </c>
      <c r="AD468" s="233" t="e">
        <f t="shared" si="337"/>
        <v>#N/A</v>
      </c>
      <c r="AE468" s="233" t="e">
        <f t="shared" si="338"/>
        <v>#N/A</v>
      </c>
      <c r="AF468" s="238" t="e">
        <f t="shared" si="339"/>
        <v>#N/A</v>
      </c>
      <c r="AG468" s="238" t="e">
        <f t="shared" si="340"/>
        <v>#N/A</v>
      </c>
      <c r="AH468" s="238" t="e">
        <f t="shared" si="341"/>
        <v>#N/A</v>
      </c>
      <c r="AI468" s="261" t="e">
        <f t="shared" si="342"/>
        <v>#N/A</v>
      </c>
      <c r="AJ468" s="233" t="e">
        <f t="shared" si="343"/>
        <v>#N/A</v>
      </c>
    </row>
    <row r="469" spans="5:36" s="48" customFormat="1" ht="35.25" customHeight="1" x14ac:dyDescent="0.2">
      <c r="E469" s="218" t="s">
        <v>2307</v>
      </c>
      <c r="F469" s="137"/>
      <c r="G469" s="67" t="e">
        <f t="shared" si="344"/>
        <v>#N/A</v>
      </c>
      <c r="H469" s="396" t="e">
        <f t="shared" si="345"/>
        <v>#N/A</v>
      </c>
      <c r="I469" s="396" t="e">
        <f t="shared" si="346"/>
        <v>#N/A</v>
      </c>
      <c r="J469" s="396" t="e">
        <f t="shared" si="347"/>
        <v>#N/A</v>
      </c>
      <c r="K469" s="398" t="e">
        <f t="shared" si="348"/>
        <v>#N/A</v>
      </c>
      <c r="L469" s="396" t="e">
        <f t="shared" si="349"/>
        <v>#N/A</v>
      </c>
      <c r="M469" s="398" t="e">
        <f t="shared" si="350"/>
        <v>#N/A</v>
      </c>
      <c r="N469" s="396" t="e">
        <f t="shared" si="351"/>
        <v>#N/A</v>
      </c>
      <c r="O469" s="396" t="e">
        <f t="shared" si="352"/>
        <v>#N/A</v>
      </c>
      <c r="P469" s="396" t="e">
        <f t="shared" si="353"/>
        <v>#N/A</v>
      </c>
      <c r="Q469" s="396" t="e">
        <f t="shared" si="354"/>
        <v>#N/A</v>
      </c>
      <c r="R469" s="396" t="e">
        <f t="shared" si="355"/>
        <v>#N/A</v>
      </c>
      <c r="S469" s="396" t="e">
        <f t="shared" si="356"/>
        <v>#N/A</v>
      </c>
      <c r="T469" s="397" t="e">
        <f t="shared" si="357"/>
        <v>#N/A</v>
      </c>
      <c r="U469" s="396" t="e">
        <f t="shared" si="358"/>
        <v>#N/A</v>
      </c>
      <c r="V469" s="396" t="e">
        <f t="shared" si="359"/>
        <v>#N/A</v>
      </c>
      <c r="W469" s="206" t="e">
        <f t="shared" si="331"/>
        <v>#N/A</v>
      </c>
      <c r="X469" s="207" t="e">
        <f t="shared" si="332"/>
        <v>#N/A</v>
      </c>
      <c r="Y469" s="207" t="e">
        <f t="shared" si="333"/>
        <v>#N/A</v>
      </c>
      <c r="Z469" s="233" t="e">
        <f t="shared" si="334"/>
        <v>#N/A</v>
      </c>
      <c r="AA469" s="208" t="e">
        <f t="shared" si="360"/>
        <v>#N/A</v>
      </c>
      <c r="AB469" s="233" t="e">
        <f t="shared" si="335"/>
        <v>#N/A</v>
      </c>
      <c r="AC469" s="233" t="e">
        <f t="shared" si="336"/>
        <v>#N/A</v>
      </c>
      <c r="AD469" s="233" t="e">
        <f t="shared" si="337"/>
        <v>#N/A</v>
      </c>
      <c r="AE469" s="233" t="e">
        <f t="shared" si="338"/>
        <v>#N/A</v>
      </c>
      <c r="AF469" s="238" t="e">
        <f t="shared" si="339"/>
        <v>#N/A</v>
      </c>
      <c r="AG469" s="238" t="e">
        <f t="shared" si="340"/>
        <v>#N/A</v>
      </c>
      <c r="AH469" s="238" t="e">
        <f t="shared" si="341"/>
        <v>#N/A</v>
      </c>
      <c r="AI469" s="261" t="e">
        <f t="shared" si="342"/>
        <v>#N/A</v>
      </c>
      <c r="AJ469" s="233" t="e">
        <f t="shared" si="343"/>
        <v>#N/A</v>
      </c>
    </row>
    <row r="470" spans="5:36" s="48" customFormat="1" ht="35.25" customHeight="1" x14ac:dyDescent="0.2">
      <c r="E470" s="218" t="s">
        <v>2307</v>
      </c>
      <c r="F470" s="187"/>
      <c r="G470" s="67" t="e">
        <f t="shared" si="344"/>
        <v>#N/A</v>
      </c>
      <c r="H470" s="396" t="e">
        <f t="shared" si="345"/>
        <v>#N/A</v>
      </c>
      <c r="I470" s="396" t="e">
        <f t="shared" si="346"/>
        <v>#N/A</v>
      </c>
      <c r="J470" s="396" t="e">
        <f t="shared" si="347"/>
        <v>#N/A</v>
      </c>
      <c r="K470" s="398" t="e">
        <f t="shared" si="348"/>
        <v>#N/A</v>
      </c>
      <c r="L470" s="396" t="e">
        <f t="shared" si="349"/>
        <v>#N/A</v>
      </c>
      <c r="M470" s="398" t="e">
        <f t="shared" si="350"/>
        <v>#N/A</v>
      </c>
      <c r="N470" s="396" t="e">
        <f t="shared" si="351"/>
        <v>#N/A</v>
      </c>
      <c r="O470" s="396" t="e">
        <f t="shared" si="352"/>
        <v>#N/A</v>
      </c>
      <c r="P470" s="396" t="e">
        <f t="shared" si="353"/>
        <v>#N/A</v>
      </c>
      <c r="Q470" s="396" t="e">
        <f t="shared" si="354"/>
        <v>#N/A</v>
      </c>
      <c r="R470" s="396" t="e">
        <f t="shared" si="355"/>
        <v>#N/A</v>
      </c>
      <c r="S470" s="396" t="e">
        <f t="shared" si="356"/>
        <v>#N/A</v>
      </c>
      <c r="T470" s="397" t="e">
        <f t="shared" si="357"/>
        <v>#N/A</v>
      </c>
      <c r="U470" s="396" t="e">
        <f t="shared" si="358"/>
        <v>#N/A</v>
      </c>
      <c r="V470" s="396" t="e">
        <f t="shared" si="359"/>
        <v>#N/A</v>
      </c>
      <c r="W470" s="206" t="e">
        <f t="shared" si="331"/>
        <v>#N/A</v>
      </c>
      <c r="X470" s="207" t="e">
        <f t="shared" si="332"/>
        <v>#N/A</v>
      </c>
      <c r="Y470" s="207" t="e">
        <f t="shared" si="333"/>
        <v>#N/A</v>
      </c>
      <c r="Z470" s="233" t="e">
        <f t="shared" si="334"/>
        <v>#N/A</v>
      </c>
      <c r="AA470" s="208" t="e">
        <f t="shared" si="360"/>
        <v>#N/A</v>
      </c>
      <c r="AB470" s="233" t="e">
        <f t="shared" si="335"/>
        <v>#N/A</v>
      </c>
      <c r="AC470" s="233" t="e">
        <f t="shared" si="336"/>
        <v>#N/A</v>
      </c>
      <c r="AD470" s="233" t="e">
        <f t="shared" si="337"/>
        <v>#N/A</v>
      </c>
      <c r="AE470" s="233" t="e">
        <f t="shared" si="338"/>
        <v>#N/A</v>
      </c>
      <c r="AF470" s="238" t="e">
        <f t="shared" si="339"/>
        <v>#N/A</v>
      </c>
      <c r="AG470" s="238" t="e">
        <f t="shared" si="340"/>
        <v>#N/A</v>
      </c>
      <c r="AH470" s="238" t="e">
        <f t="shared" si="341"/>
        <v>#N/A</v>
      </c>
      <c r="AI470" s="261" t="e">
        <f t="shared" si="342"/>
        <v>#N/A</v>
      </c>
      <c r="AJ470" s="233" t="e">
        <f t="shared" si="343"/>
        <v>#N/A</v>
      </c>
    </row>
    <row r="471" spans="5:36" s="48" customFormat="1" ht="35.25" customHeight="1" x14ac:dyDescent="0.2">
      <c r="E471" s="218" t="s">
        <v>2307</v>
      </c>
      <c r="F471" s="187"/>
      <c r="G471" s="67" t="e">
        <f t="shared" si="344"/>
        <v>#N/A</v>
      </c>
      <c r="H471" s="396" t="e">
        <f t="shared" si="345"/>
        <v>#N/A</v>
      </c>
      <c r="I471" s="396" t="e">
        <f t="shared" si="346"/>
        <v>#N/A</v>
      </c>
      <c r="J471" s="396" t="e">
        <f t="shared" si="347"/>
        <v>#N/A</v>
      </c>
      <c r="K471" s="398" t="e">
        <f t="shared" si="348"/>
        <v>#N/A</v>
      </c>
      <c r="L471" s="396" t="e">
        <f t="shared" si="349"/>
        <v>#N/A</v>
      </c>
      <c r="M471" s="398" t="e">
        <f t="shared" si="350"/>
        <v>#N/A</v>
      </c>
      <c r="N471" s="396" t="e">
        <f t="shared" si="351"/>
        <v>#N/A</v>
      </c>
      <c r="O471" s="396" t="e">
        <f t="shared" si="352"/>
        <v>#N/A</v>
      </c>
      <c r="P471" s="396" t="e">
        <f t="shared" si="353"/>
        <v>#N/A</v>
      </c>
      <c r="Q471" s="396" t="e">
        <f t="shared" si="354"/>
        <v>#N/A</v>
      </c>
      <c r="R471" s="396" t="e">
        <f t="shared" si="355"/>
        <v>#N/A</v>
      </c>
      <c r="S471" s="396" t="e">
        <f t="shared" si="356"/>
        <v>#N/A</v>
      </c>
      <c r="T471" s="397" t="e">
        <f t="shared" si="357"/>
        <v>#N/A</v>
      </c>
      <c r="U471" s="396" t="e">
        <f t="shared" si="358"/>
        <v>#N/A</v>
      </c>
      <c r="V471" s="396" t="e">
        <f t="shared" si="359"/>
        <v>#N/A</v>
      </c>
      <c r="W471" s="206" t="e">
        <f t="shared" si="331"/>
        <v>#N/A</v>
      </c>
      <c r="X471" s="207" t="e">
        <f t="shared" si="332"/>
        <v>#N/A</v>
      </c>
      <c r="Y471" s="207" t="e">
        <f t="shared" si="333"/>
        <v>#N/A</v>
      </c>
      <c r="Z471" s="233" t="e">
        <f t="shared" si="334"/>
        <v>#N/A</v>
      </c>
      <c r="AA471" s="208" t="e">
        <f t="shared" si="360"/>
        <v>#N/A</v>
      </c>
      <c r="AB471" s="233" t="e">
        <f t="shared" si="335"/>
        <v>#N/A</v>
      </c>
      <c r="AC471" s="233" t="e">
        <f t="shared" si="336"/>
        <v>#N/A</v>
      </c>
      <c r="AD471" s="233" t="e">
        <f t="shared" si="337"/>
        <v>#N/A</v>
      </c>
      <c r="AE471" s="233" t="e">
        <f t="shared" si="338"/>
        <v>#N/A</v>
      </c>
      <c r="AF471" s="238" t="e">
        <f t="shared" si="339"/>
        <v>#N/A</v>
      </c>
      <c r="AG471" s="238" t="e">
        <f t="shared" si="340"/>
        <v>#N/A</v>
      </c>
      <c r="AH471" s="238" t="e">
        <f t="shared" si="341"/>
        <v>#N/A</v>
      </c>
      <c r="AI471" s="261" t="e">
        <f t="shared" si="342"/>
        <v>#N/A</v>
      </c>
      <c r="AJ471" s="233" t="e">
        <f t="shared" si="343"/>
        <v>#N/A</v>
      </c>
    </row>
    <row r="472" spans="5:36" s="48" customFormat="1" ht="35.25" customHeight="1" x14ac:dyDescent="0.2">
      <c r="E472" s="218" t="s">
        <v>2307</v>
      </c>
      <c r="F472" s="187"/>
      <c r="G472" s="67" t="e">
        <f t="shared" si="344"/>
        <v>#N/A</v>
      </c>
      <c r="H472" s="396" t="e">
        <f t="shared" si="345"/>
        <v>#N/A</v>
      </c>
      <c r="I472" s="396" t="e">
        <f t="shared" si="346"/>
        <v>#N/A</v>
      </c>
      <c r="J472" s="396" t="e">
        <f t="shared" si="347"/>
        <v>#N/A</v>
      </c>
      <c r="K472" s="398" t="e">
        <f t="shared" si="348"/>
        <v>#N/A</v>
      </c>
      <c r="L472" s="396" t="e">
        <f t="shared" si="349"/>
        <v>#N/A</v>
      </c>
      <c r="M472" s="398" t="e">
        <f t="shared" si="350"/>
        <v>#N/A</v>
      </c>
      <c r="N472" s="396" t="e">
        <f t="shared" si="351"/>
        <v>#N/A</v>
      </c>
      <c r="O472" s="396" t="e">
        <f t="shared" si="352"/>
        <v>#N/A</v>
      </c>
      <c r="P472" s="396" t="e">
        <f t="shared" si="353"/>
        <v>#N/A</v>
      </c>
      <c r="Q472" s="396" t="e">
        <f t="shared" si="354"/>
        <v>#N/A</v>
      </c>
      <c r="R472" s="396" t="e">
        <f t="shared" si="355"/>
        <v>#N/A</v>
      </c>
      <c r="S472" s="396" t="e">
        <f t="shared" si="356"/>
        <v>#N/A</v>
      </c>
      <c r="T472" s="397" t="e">
        <f t="shared" si="357"/>
        <v>#N/A</v>
      </c>
      <c r="U472" s="396" t="e">
        <f t="shared" si="358"/>
        <v>#N/A</v>
      </c>
      <c r="V472" s="396" t="e">
        <f t="shared" si="359"/>
        <v>#N/A</v>
      </c>
      <c r="W472" s="206" t="e">
        <f t="shared" ref="W472:W507" si="361">LEFT(H472,8)</f>
        <v>#N/A</v>
      </c>
      <c r="X472" s="207" t="e">
        <f t="shared" ref="X472:X507" si="362">VLOOKUP(W472,UE,3,FALSE)</f>
        <v>#N/A</v>
      </c>
      <c r="Y472" s="207" t="e">
        <f t="shared" ref="Y472:Y507" si="363">VLOOKUP(W472,UE,4,FALSE)</f>
        <v>#N/A</v>
      </c>
      <c r="Z472" s="233" t="e">
        <f t="shared" ref="Z472:Z507" si="364">(T472-10)/Y472</f>
        <v>#N/A</v>
      </c>
      <c r="AA472" s="208" t="e">
        <f t="shared" si="360"/>
        <v>#N/A</v>
      </c>
      <c r="AB472" s="233" t="e">
        <f t="shared" ref="AB472:AB507" si="365">IF(AA472&gt;Y472,T472-10,Z472*AA472)</f>
        <v>#N/A</v>
      </c>
      <c r="AC472" s="233" t="e">
        <f t="shared" ref="AC472:AC507" si="366">IF(T472-10=AB472,0,Z472)</f>
        <v>#N/A</v>
      </c>
      <c r="AD472" s="233" t="e">
        <f t="shared" ref="AD472:AD507" si="367">IF(T472-10=AB472+AC472,0,Z472)</f>
        <v>#N/A</v>
      </c>
      <c r="AE472" s="233" t="e">
        <f t="shared" ref="AE472:AE507" si="368">IF(T472-10=AB472+AC472+AD472,0,Z472)</f>
        <v>#N/A</v>
      </c>
      <c r="AF472" s="238" t="e">
        <f t="shared" ref="AF472:AF507" si="369">IF(T472-10=AC472+AD472+AE472+AB472,0,Z472)</f>
        <v>#N/A</v>
      </c>
      <c r="AG472" s="238" t="e">
        <f t="shared" ref="AG472:AG507" si="370">IF(T472-10=AC472+AD472+AE472+AB472+AF472,0,Z472)</f>
        <v>#N/A</v>
      </c>
      <c r="AH472" s="238" t="e">
        <f t="shared" ref="AH472:AH507" si="371">SUM(AB472:AG472)</f>
        <v>#N/A</v>
      </c>
      <c r="AI472" s="261" t="e">
        <f t="shared" ref="AI472:AI507" si="372">O472</f>
        <v>#N/A</v>
      </c>
      <c r="AJ472" s="233" t="e">
        <f t="shared" ref="AJ472:AJ507" si="373">T472-AH472</f>
        <v>#N/A</v>
      </c>
    </row>
    <row r="473" spans="5:36" s="48" customFormat="1" ht="35.25" customHeight="1" x14ac:dyDescent="0.2">
      <c r="E473" s="218" t="s">
        <v>2307</v>
      </c>
      <c r="F473" s="187"/>
      <c r="G473" s="67" t="e">
        <f t="shared" si="344"/>
        <v>#N/A</v>
      </c>
      <c r="H473" s="396" t="e">
        <f t="shared" si="345"/>
        <v>#N/A</v>
      </c>
      <c r="I473" s="396" t="e">
        <f t="shared" si="346"/>
        <v>#N/A</v>
      </c>
      <c r="J473" s="396" t="e">
        <f t="shared" si="347"/>
        <v>#N/A</v>
      </c>
      <c r="K473" s="398" t="e">
        <f t="shared" si="348"/>
        <v>#N/A</v>
      </c>
      <c r="L473" s="396" t="e">
        <f t="shared" si="349"/>
        <v>#N/A</v>
      </c>
      <c r="M473" s="398" t="e">
        <f t="shared" si="350"/>
        <v>#N/A</v>
      </c>
      <c r="N473" s="396" t="e">
        <f t="shared" si="351"/>
        <v>#N/A</v>
      </c>
      <c r="O473" s="396" t="e">
        <f t="shared" si="352"/>
        <v>#N/A</v>
      </c>
      <c r="P473" s="396" t="e">
        <f t="shared" si="353"/>
        <v>#N/A</v>
      </c>
      <c r="Q473" s="396" t="e">
        <f t="shared" si="354"/>
        <v>#N/A</v>
      </c>
      <c r="R473" s="396" t="e">
        <f t="shared" si="355"/>
        <v>#N/A</v>
      </c>
      <c r="S473" s="396" t="e">
        <f t="shared" si="356"/>
        <v>#N/A</v>
      </c>
      <c r="T473" s="397" t="e">
        <f t="shared" si="357"/>
        <v>#N/A</v>
      </c>
      <c r="U473" s="396" t="e">
        <f t="shared" si="358"/>
        <v>#N/A</v>
      </c>
      <c r="V473" s="396" t="e">
        <f t="shared" si="359"/>
        <v>#N/A</v>
      </c>
      <c r="W473" s="206" t="e">
        <f t="shared" si="361"/>
        <v>#N/A</v>
      </c>
      <c r="X473" s="207" t="e">
        <f t="shared" si="362"/>
        <v>#N/A</v>
      </c>
      <c r="Y473" s="207" t="e">
        <f t="shared" si="363"/>
        <v>#N/A</v>
      </c>
      <c r="Z473" s="233" t="e">
        <f t="shared" si="364"/>
        <v>#N/A</v>
      </c>
      <c r="AA473" s="208" t="e">
        <f t="shared" si="360"/>
        <v>#N/A</v>
      </c>
      <c r="AB473" s="233" t="e">
        <f t="shared" si="365"/>
        <v>#N/A</v>
      </c>
      <c r="AC473" s="233" t="e">
        <f t="shared" si="366"/>
        <v>#N/A</v>
      </c>
      <c r="AD473" s="233" t="e">
        <f t="shared" si="367"/>
        <v>#N/A</v>
      </c>
      <c r="AE473" s="233" t="e">
        <f t="shared" si="368"/>
        <v>#N/A</v>
      </c>
      <c r="AF473" s="238" t="e">
        <f t="shared" si="369"/>
        <v>#N/A</v>
      </c>
      <c r="AG473" s="238" t="e">
        <f t="shared" si="370"/>
        <v>#N/A</v>
      </c>
      <c r="AH473" s="238" t="e">
        <f t="shared" si="371"/>
        <v>#N/A</v>
      </c>
      <c r="AI473" s="261" t="e">
        <f t="shared" si="372"/>
        <v>#N/A</v>
      </c>
      <c r="AJ473" s="233" t="e">
        <f t="shared" si="373"/>
        <v>#N/A</v>
      </c>
    </row>
    <row r="474" spans="5:36" s="48" customFormat="1" ht="35.25" customHeight="1" x14ac:dyDescent="0.2">
      <c r="E474" s="218" t="s">
        <v>2307</v>
      </c>
      <c r="F474" s="187"/>
      <c r="G474" s="67" t="e">
        <f t="shared" si="344"/>
        <v>#N/A</v>
      </c>
      <c r="H474" s="396" t="e">
        <f t="shared" si="345"/>
        <v>#N/A</v>
      </c>
      <c r="I474" s="396" t="e">
        <f t="shared" si="346"/>
        <v>#N/A</v>
      </c>
      <c r="J474" s="396" t="e">
        <f t="shared" si="347"/>
        <v>#N/A</v>
      </c>
      <c r="K474" s="398" t="e">
        <f t="shared" si="348"/>
        <v>#N/A</v>
      </c>
      <c r="L474" s="396" t="e">
        <f t="shared" si="349"/>
        <v>#N/A</v>
      </c>
      <c r="M474" s="398" t="e">
        <f t="shared" si="350"/>
        <v>#N/A</v>
      </c>
      <c r="N474" s="396" t="e">
        <f t="shared" si="351"/>
        <v>#N/A</v>
      </c>
      <c r="O474" s="396" t="e">
        <f t="shared" si="352"/>
        <v>#N/A</v>
      </c>
      <c r="P474" s="396" t="e">
        <f t="shared" si="353"/>
        <v>#N/A</v>
      </c>
      <c r="Q474" s="396" t="e">
        <f t="shared" si="354"/>
        <v>#N/A</v>
      </c>
      <c r="R474" s="396" t="e">
        <f t="shared" si="355"/>
        <v>#N/A</v>
      </c>
      <c r="S474" s="396" t="e">
        <f t="shared" si="356"/>
        <v>#N/A</v>
      </c>
      <c r="T474" s="397" t="e">
        <f t="shared" si="357"/>
        <v>#N/A</v>
      </c>
      <c r="U474" s="396" t="e">
        <f t="shared" si="358"/>
        <v>#N/A</v>
      </c>
      <c r="V474" s="396" t="e">
        <f t="shared" si="359"/>
        <v>#N/A</v>
      </c>
      <c r="W474" s="206" t="e">
        <f t="shared" si="361"/>
        <v>#N/A</v>
      </c>
      <c r="X474" s="207" t="e">
        <f t="shared" si="362"/>
        <v>#N/A</v>
      </c>
      <c r="Y474" s="207" t="e">
        <f t="shared" si="363"/>
        <v>#N/A</v>
      </c>
      <c r="Z474" s="233" t="e">
        <f t="shared" si="364"/>
        <v>#N/A</v>
      </c>
      <c r="AA474" s="208" t="e">
        <f t="shared" si="360"/>
        <v>#N/A</v>
      </c>
      <c r="AB474" s="233" t="e">
        <f t="shared" si="365"/>
        <v>#N/A</v>
      </c>
      <c r="AC474" s="233" t="e">
        <f t="shared" si="366"/>
        <v>#N/A</v>
      </c>
      <c r="AD474" s="233" t="e">
        <f t="shared" si="367"/>
        <v>#N/A</v>
      </c>
      <c r="AE474" s="233" t="e">
        <f t="shared" si="368"/>
        <v>#N/A</v>
      </c>
      <c r="AF474" s="238" t="e">
        <f t="shared" si="369"/>
        <v>#N/A</v>
      </c>
      <c r="AG474" s="238" t="e">
        <f t="shared" si="370"/>
        <v>#N/A</v>
      </c>
      <c r="AH474" s="238" t="e">
        <f t="shared" si="371"/>
        <v>#N/A</v>
      </c>
      <c r="AI474" s="261" t="e">
        <f t="shared" si="372"/>
        <v>#N/A</v>
      </c>
      <c r="AJ474" s="233" t="e">
        <f t="shared" si="373"/>
        <v>#N/A</v>
      </c>
    </row>
    <row r="475" spans="5:36" s="48" customFormat="1" ht="35.25" customHeight="1" x14ac:dyDescent="0.2">
      <c r="E475" s="218" t="s">
        <v>2307</v>
      </c>
      <c r="F475" s="187"/>
      <c r="G475" s="67" t="e">
        <f t="shared" si="344"/>
        <v>#N/A</v>
      </c>
      <c r="H475" s="396" t="e">
        <f t="shared" si="345"/>
        <v>#N/A</v>
      </c>
      <c r="I475" s="396" t="e">
        <f t="shared" si="346"/>
        <v>#N/A</v>
      </c>
      <c r="J475" s="396" t="e">
        <f t="shared" si="347"/>
        <v>#N/A</v>
      </c>
      <c r="K475" s="398" t="e">
        <f t="shared" si="348"/>
        <v>#N/A</v>
      </c>
      <c r="L475" s="396" t="e">
        <f t="shared" si="349"/>
        <v>#N/A</v>
      </c>
      <c r="M475" s="398" t="e">
        <f t="shared" si="350"/>
        <v>#N/A</v>
      </c>
      <c r="N475" s="396" t="e">
        <f t="shared" si="351"/>
        <v>#N/A</v>
      </c>
      <c r="O475" s="396" t="e">
        <f t="shared" si="352"/>
        <v>#N/A</v>
      </c>
      <c r="P475" s="396" t="e">
        <f t="shared" si="353"/>
        <v>#N/A</v>
      </c>
      <c r="Q475" s="396" t="e">
        <f t="shared" si="354"/>
        <v>#N/A</v>
      </c>
      <c r="R475" s="396" t="e">
        <f t="shared" si="355"/>
        <v>#N/A</v>
      </c>
      <c r="S475" s="396" t="e">
        <f t="shared" si="356"/>
        <v>#N/A</v>
      </c>
      <c r="T475" s="397" t="e">
        <f t="shared" si="357"/>
        <v>#N/A</v>
      </c>
      <c r="U475" s="396" t="e">
        <f t="shared" si="358"/>
        <v>#N/A</v>
      </c>
      <c r="V475" s="396" t="e">
        <f t="shared" si="359"/>
        <v>#N/A</v>
      </c>
      <c r="W475" s="206" t="e">
        <f t="shared" si="361"/>
        <v>#N/A</v>
      </c>
      <c r="X475" s="207" t="e">
        <f t="shared" si="362"/>
        <v>#N/A</v>
      </c>
      <c r="Y475" s="207" t="e">
        <f t="shared" si="363"/>
        <v>#N/A</v>
      </c>
      <c r="Z475" s="233" t="e">
        <f t="shared" si="364"/>
        <v>#N/A</v>
      </c>
      <c r="AA475" s="208" t="e">
        <f t="shared" si="360"/>
        <v>#N/A</v>
      </c>
      <c r="AB475" s="233" t="e">
        <f t="shared" si="365"/>
        <v>#N/A</v>
      </c>
      <c r="AC475" s="233" t="e">
        <f t="shared" si="366"/>
        <v>#N/A</v>
      </c>
      <c r="AD475" s="233" t="e">
        <f t="shared" si="367"/>
        <v>#N/A</v>
      </c>
      <c r="AE475" s="233" t="e">
        <f t="shared" si="368"/>
        <v>#N/A</v>
      </c>
      <c r="AF475" s="238" t="e">
        <f t="shared" si="369"/>
        <v>#N/A</v>
      </c>
      <c r="AG475" s="238" t="e">
        <f t="shared" si="370"/>
        <v>#N/A</v>
      </c>
      <c r="AH475" s="238" t="e">
        <f t="shared" si="371"/>
        <v>#N/A</v>
      </c>
      <c r="AI475" s="261" t="e">
        <f t="shared" si="372"/>
        <v>#N/A</v>
      </c>
      <c r="AJ475" s="233" t="e">
        <f t="shared" si="373"/>
        <v>#N/A</v>
      </c>
    </row>
    <row r="476" spans="5:36" s="48" customFormat="1" ht="35.25" customHeight="1" x14ac:dyDescent="0.2">
      <c r="E476" s="218" t="s">
        <v>2307</v>
      </c>
      <c r="F476" s="187"/>
      <c r="G476" s="67" t="e">
        <f t="shared" si="344"/>
        <v>#N/A</v>
      </c>
      <c r="H476" s="396" t="e">
        <f t="shared" si="345"/>
        <v>#N/A</v>
      </c>
      <c r="I476" s="396" t="e">
        <f t="shared" si="346"/>
        <v>#N/A</v>
      </c>
      <c r="J476" s="396" t="e">
        <f t="shared" si="347"/>
        <v>#N/A</v>
      </c>
      <c r="K476" s="398" t="e">
        <f t="shared" si="348"/>
        <v>#N/A</v>
      </c>
      <c r="L476" s="396" t="e">
        <f t="shared" si="349"/>
        <v>#N/A</v>
      </c>
      <c r="M476" s="398" t="e">
        <f t="shared" si="350"/>
        <v>#N/A</v>
      </c>
      <c r="N476" s="396" t="e">
        <f t="shared" si="351"/>
        <v>#N/A</v>
      </c>
      <c r="O476" s="396" t="e">
        <f t="shared" si="352"/>
        <v>#N/A</v>
      </c>
      <c r="P476" s="396" t="e">
        <f t="shared" si="353"/>
        <v>#N/A</v>
      </c>
      <c r="Q476" s="396" t="e">
        <f t="shared" si="354"/>
        <v>#N/A</v>
      </c>
      <c r="R476" s="396" t="e">
        <f t="shared" si="355"/>
        <v>#N/A</v>
      </c>
      <c r="S476" s="396" t="e">
        <f t="shared" si="356"/>
        <v>#N/A</v>
      </c>
      <c r="T476" s="397" t="e">
        <f t="shared" si="357"/>
        <v>#N/A</v>
      </c>
      <c r="U476" s="396" t="e">
        <f t="shared" si="358"/>
        <v>#N/A</v>
      </c>
      <c r="V476" s="396" t="e">
        <f t="shared" si="359"/>
        <v>#N/A</v>
      </c>
      <c r="W476" s="206" t="e">
        <f t="shared" si="361"/>
        <v>#N/A</v>
      </c>
      <c r="X476" s="207" t="e">
        <f t="shared" si="362"/>
        <v>#N/A</v>
      </c>
      <c r="Y476" s="207" t="e">
        <f t="shared" si="363"/>
        <v>#N/A</v>
      </c>
      <c r="Z476" s="233" t="e">
        <f t="shared" si="364"/>
        <v>#N/A</v>
      </c>
      <c r="AA476" s="208" t="e">
        <f t="shared" si="360"/>
        <v>#N/A</v>
      </c>
      <c r="AB476" s="233" t="e">
        <f t="shared" si="365"/>
        <v>#N/A</v>
      </c>
      <c r="AC476" s="233" t="e">
        <f t="shared" si="366"/>
        <v>#N/A</v>
      </c>
      <c r="AD476" s="233" t="e">
        <f t="shared" si="367"/>
        <v>#N/A</v>
      </c>
      <c r="AE476" s="233" t="e">
        <f t="shared" si="368"/>
        <v>#N/A</v>
      </c>
      <c r="AF476" s="238" t="e">
        <f t="shared" si="369"/>
        <v>#N/A</v>
      </c>
      <c r="AG476" s="238" t="e">
        <f t="shared" si="370"/>
        <v>#N/A</v>
      </c>
      <c r="AH476" s="238" t="e">
        <f t="shared" si="371"/>
        <v>#N/A</v>
      </c>
      <c r="AI476" s="261" t="e">
        <f t="shared" si="372"/>
        <v>#N/A</v>
      </c>
      <c r="AJ476" s="233" t="e">
        <f t="shared" si="373"/>
        <v>#N/A</v>
      </c>
    </row>
    <row r="477" spans="5:36" s="48" customFormat="1" ht="35.25" customHeight="1" x14ac:dyDescent="0.2">
      <c r="E477" s="218" t="s">
        <v>2307</v>
      </c>
      <c r="F477" s="187"/>
      <c r="G477" s="67" t="e">
        <f t="shared" si="344"/>
        <v>#N/A</v>
      </c>
      <c r="H477" s="396" t="e">
        <f t="shared" si="345"/>
        <v>#N/A</v>
      </c>
      <c r="I477" s="396" t="e">
        <f t="shared" si="346"/>
        <v>#N/A</v>
      </c>
      <c r="J477" s="396" t="e">
        <f t="shared" si="347"/>
        <v>#N/A</v>
      </c>
      <c r="K477" s="398" t="e">
        <f t="shared" si="348"/>
        <v>#N/A</v>
      </c>
      <c r="L477" s="396" t="e">
        <f t="shared" si="349"/>
        <v>#N/A</v>
      </c>
      <c r="M477" s="398" t="e">
        <f t="shared" si="350"/>
        <v>#N/A</v>
      </c>
      <c r="N477" s="396" t="e">
        <f t="shared" si="351"/>
        <v>#N/A</v>
      </c>
      <c r="O477" s="396" t="e">
        <f t="shared" si="352"/>
        <v>#N/A</v>
      </c>
      <c r="P477" s="396" t="e">
        <f t="shared" si="353"/>
        <v>#N/A</v>
      </c>
      <c r="Q477" s="396" t="e">
        <f t="shared" si="354"/>
        <v>#N/A</v>
      </c>
      <c r="R477" s="396" t="e">
        <f t="shared" si="355"/>
        <v>#N/A</v>
      </c>
      <c r="S477" s="396" t="e">
        <f t="shared" si="356"/>
        <v>#N/A</v>
      </c>
      <c r="T477" s="397" t="e">
        <f t="shared" si="357"/>
        <v>#N/A</v>
      </c>
      <c r="U477" s="396" t="e">
        <f t="shared" si="358"/>
        <v>#N/A</v>
      </c>
      <c r="V477" s="396" t="e">
        <f t="shared" si="359"/>
        <v>#N/A</v>
      </c>
      <c r="W477" s="206" t="e">
        <f t="shared" si="361"/>
        <v>#N/A</v>
      </c>
      <c r="X477" s="207" t="e">
        <f t="shared" si="362"/>
        <v>#N/A</v>
      </c>
      <c r="Y477" s="207" t="e">
        <f t="shared" si="363"/>
        <v>#N/A</v>
      </c>
      <c r="Z477" s="233" t="e">
        <f t="shared" si="364"/>
        <v>#N/A</v>
      </c>
      <c r="AA477" s="208" t="e">
        <f t="shared" si="360"/>
        <v>#N/A</v>
      </c>
      <c r="AB477" s="233" t="e">
        <f t="shared" si="365"/>
        <v>#N/A</v>
      </c>
      <c r="AC477" s="233" t="e">
        <f t="shared" si="366"/>
        <v>#N/A</v>
      </c>
      <c r="AD477" s="233" t="e">
        <f t="shared" si="367"/>
        <v>#N/A</v>
      </c>
      <c r="AE477" s="233" t="e">
        <f t="shared" si="368"/>
        <v>#N/A</v>
      </c>
      <c r="AF477" s="238" t="e">
        <f t="shared" si="369"/>
        <v>#N/A</v>
      </c>
      <c r="AG477" s="238" t="e">
        <f t="shared" si="370"/>
        <v>#N/A</v>
      </c>
      <c r="AH477" s="238" t="e">
        <f t="shared" si="371"/>
        <v>#N/A</v>
      </c>
      <c r="AI477" s="261" t="e">
        <f t="shared" si="372"/>
        <v>#N/A</v>
      </c>
      <c r="AJ477" s="233" t="e">
        <f t="shared" si="373"/>
        <v>#N/A</v>
      </c>
    </row>
    <row r="478" spans="5:36" s="48" customFormat="1" ht="35.25" customHeight="1" x14ac:dyDescent="0.2">
      <c r="E478" s="218" t="s">
        <v>2307</v>
      </c>
      <c r="F478" s="187"/>
      <c r="G478" s="67" t="e">
        <f t="shared" si="344"/>
        <v>#N/A</v>
      </c>
      <c r="H478" s="396" t="e">
        <f t="shared" si="345"/>
        <v>#N/A</v>
      </c>
      <c r="I478" s="396" t="e">
        <f t="shared" si="346"/>
        <v>#N/A</v>
      </c>
      <c r="J478" s="396" t="e">
        <f t="shared" si="347"/>
        <v>#N/A</v>
      </c>
      <c r="K478" s="398" t="e">
        <f t="shared" si="348"/>
        <v>#N/A</v>
      </c>
      <c r="L478" s="396" t="e">
        <f t="shared" si="349"/>
        <v>#N/A</v>
      </c>
      <c r="M478" s="398" t="e">
        <f t="shared" si="350"/>
        <v>#N/A</v>
      </c>
      <c r="N478" s="396" t="e">
        <f t="shared" si="351"/>
        <v>#N/A</v>
      </c>
      <c r="O478" s="396" t="e">
        <f t="shared" si="352"/>
        <v>#N/A</v>
      </c>
      <c r="P478" s="396" t="e">
        <f t="shared" si="353"/>
        <v>#N/A</v>
      </c>
      <c r="Q478" s="396" t="e">
        <f t="shared" si="354"/>
        <v>#N/A</v>
      </c>
      <c r="R478" s="396" t="e">
        <f t="shared" si="355"/>
        <v>#N/A</v>
      </c>
      <c r="S478" s="396" t="e">
        <f t="shared" si="356"/>
        <v>#N/A</v>
      </c>
      <c r="T478" s="397" t="e">
        <f t="shared" si="357"/>
        <v>#N/A</v>
      </c>
      <c r="U478" s="396" t="e">
        <f t="shared" si="358"/>
        <v>#N/A</v>
      </c>
      <c r="V478" s="396" t="e">
        <f t="shared" si="359"/>
        <v>#N/A</v>
      </c>
      <c r="W478" s="206" t="e">
        <f t="shared" si="361"/>
        <v>#N/A</v>
      </c>
      <c r="X478" s="207" t="e">
        <f t="shared" si="362"/>
        <v>#N/A</v>
      </c>
      <c r="Y478" s="207" t="e">
        <f t="shared" si="363"/>
        <v>#N/A</v>
      </c>
      <c r="Z478" s="233" t="e">
        <f t="shared" si="364"/>
        <v>#N/A</v>
      </c>
      <c r="AA478" s="208" t="e">
        <f t="shared" si="360"/>
        <v>#N/A</v>
      </c>
      <c r="AB478" s="233" t="e">
        <f t="shared" si="365"/>
        <v>#N/A</v>
      </c>
      <c r="AC478" s="233" t="e">
        <f t="shared" si="366"/>
        <v>#N/A</v>
      </c>
      <c r="AD478" s="233" t="e">
        <f t="shared" si="367"/>
        <v>#N/A</v>
      </c>
      <c r="AE478" s="233" t="e">
        <f t="shared" si="368"/>
        <v>#N/A</v>
      </c>
      <c r="AF478" s="238" t="e">
        <f t="shared" si="369"/>
        <v>#N/A</v>
      </c>
      <c r="AG478" s="238" t="e">
        <f t="shared" si="370"/>
        <v>#N/A</v>
      </c>
      <c r="AH478" s="238" t="e">
        <f t="shared" si="371"/>
        <v>#N/A</v>
      </c>
      <c r="AI478" s="261" t="e">
        <f t="shared" si="372"/>
        <v>#N/A</v>
      </c>
      <c r="AJ478" s="233" t="e">
        <f t="shared" si="373"/>
        <v>#N/A</v>
      </c>
    </row>
    <row r="479" spans="5:36" s="48" customFormat="1" ht="35.25" customHeight="1" x14ac:dyDescent="0.2">
      <c r="E479" s="218" t="s">
        <v>2307</v>
      </c>
      <c r="F479" s="187"/>
      <c r="G479" s="67" t="e">
        <f t="shared" ref="G479:G506" si="374">VLOOKUP(D479,ACUAN,4,FALSE)</f>
        <v>#N/A</v>
      </c>
      <c r="H479" s="396" t="e">
        <f t="shared" ref="H479:H506" si="375">VLOOKUP(D479,ACUAN,5,FALSE)</f>
        <v>#N/A</v>
      </c>
      <c r="I479" s="396" t="e">
        <f t="shared" ref="I479:I506" si="376">VLOOKUP(D479,ACUAN,6,FALSE)</f>
        <v>#N/A</v>
      </c>
      <c r="J479" s="396" t="e">
        <f t="shared" ref="J479:J506" si="377">VLOOKUP(D479,ACUAN,7,FALSE)</f>
        <v>#N/A</v>
      </c>
      <c r="K479" s="398" t="e">
        <f t="shared" ref="K479:K506" si="378">VLOOKUP(D479,ACUAN,8,FALSE)</f>
        <v>#N/A</v>
      </c>
      <c r="L479" s="396" t="e">
        <f t="shared" ref="L479:L506" si="379">VLOOKUP(D479,ACUAN,9,FALSE)</f>
        <v>#N/A</v>
      </c>
      <c r="M479" s="398" t="e">
        <f t="shared" ref="M479:M506" si="380">VLOOKUP(D479,ACUAN,10,FALSE)</f>
        <v>#N/A</v>
      </c>
      <c r="N479" s="396" t="e">
        <f t="shared" ref="N479:N506" si="381">VLOOKUP(D479,ACUAN,11,FALSE)</f>
        <v>#N/A</v>
      </c>
      <c r="O479" s="396" t="e">
        <f t="shared" ref="O479:O506" si="382">VLOOKUP(D479,ACUAN,12,FALSE)</f>
        <v>#N/A</v>
      </c>
      <c r="P479" s="396" t="e">
        <f t="shared" ref="P479:P506" si="383">VLOOKUP(D479,ACUAN,13,FALSE)</f>
        <v>#N/A</v>
      </c>
      <c r="Q479" s="396" t="e">
        <f t="shared" ref="Q479:Q506" si="384">VLOOKUP(D479,ACUAN,14,FALSE)</f>
        <v>#N/A</v>
      </c>
      <c r="R479" s="396" t="e">
        <f t="shared" ref="R479:R506" si="385">VLOOKUP(D479,ACUAN,15,FALSE)</f>
        <v>#N/A</v>
      </c>
      <c r="S479" s="396" t="e">
        <f t="shared" ref="S479:S506" si="386">VLOOKUP(D479,ACUAN,16,FALSE)</f>
        <v>#N/A</v>
      </c>
      <c r="T479" s="397" t="e">
        <f t="shared" ref="T479:T506" si="387">VLOOKUP(D479,ACUAN,17,FALSE)</f>
        <v>#N/A</v>
      </c>
      <c r="U479" s="396" t="e">
        <f t="shared" ref="U479:U506" si="388">VLOOKUP(D479,ACUAN,18,FALSE)</f>
        <v>#N/A</v>
      </c>
      <c r="V479" s="396" t="e">
        <f t="shared" ref="V479:V506" si="389">VLOOKUP(D479,ACUAN,19,FALSE)</f>
        <v>#N/A</v>
      </c>
      <c r="W479" s="206" t="e">
        <f t="shared" si="361"/>
        <v>#N/A</v>
      </c>
      <c r="X479" s="207" t="e">
        <f t="shared" si="362"/>
        <v>#N/A</v>
      </c>
      <c r="Y479" s="207" t="e">
        <f t="shared" si="363"/>
        <v>#N/A</v>
      </c>
      <c r="Z479" s="233" t="e">
        <f t="shared" si="364"/>
        <v>#N/A</v>
      </c>
      <c r="AA479" s="208" t="e">
        <f t="shared" si="360"/>
        <v>#N/A</v>
      </c>
      <c r="AB479" s="233" t="e">
        <f t="shared" si="365"/>
        <v>#N/A</v>
      </c>
      <c r="AC479" s="233" t="e">
        <f t="shared" si="366"/>
        <v>#N/A</v>
      </c>
      <c r="AD479" s="233" t="e">
        <f t="shared" si="367"/>
        <v>#N/A</v>
      </c>
      <c r="AE479" s="233" t="e">
        <f t="shared" si="368"/>
        <v>#N/A</v>
      </c>
      <c r="AF479" s="238" t="e">
        <f t="shared" si="369"/>
        <v>#N/A</v>
      </c>
      <c r="AG479" s="238" t="e">
        <f t="shared" si="370"/>
        <v>#N/A</v>
      </c>
      <c r="AH479" s="238" t="e">
        <f t="shared" si="371"/>
        <v>#N/A</v>
      </c>
      <c r="AI479" s="261" t="e">
        <f t="shared" si="372"/>
        <v>#N/A</v>
      </c>
      <c r="AJ479" s="233" t="e">
        <f t="shared" si="373"/>
        <v>#N/A</v>
      </c>
    </row>
    <row r="480" spans="5:36" s="48" customFormat="1" ht="35.25" customHeight="1" x14ac:dyDescent="0.2">
      <c r="E480" s="218" t="s">
        <v>2307</v>
      </c>
      <c r="F480" s="187"/>
      <c r="G480" s="67" t="e">
        <f t="shared" si="374"/>
        <v>#N/A</v>
      </c>
      <c r="H480" s="396" t="e">
        <f t="shared" si="375"/>
        <v>#N/A</v>
      </c>
      <c r="I480" s="396" t="e">
        <f t="shared" si="376"/>
        <v>#N/A</v>
      </c>
      <c r="J480" s="396" t="e">
        <f t="shared" si="377"/>
        <v>#N/A</v>
      </c>
      <c r="K480" s="398" t="e">
        <f t="shared" si="378"/>
        <v>#N/A</v>
      </c>
      <c r="L480" s="396" t="e">
        <f t="shared" si="379"/>
        <v>#N/A</v>
      </c>
      <c r="M480" s="398" t="e">
        <f t="shared" si="380"/>
        <v>#N/A</v>
      </c>
      <c r="N480" s="396" t="e">
        <f t="shared" si="381"/>
        <v>#N/A</v>
      </c>
      <c r="O480" s="396" t="e">
        <f t="shared" si="382"/>
        <v>#N/A</v>
      </c>
      <c r="P480" s="396" t="e">
        <f t="shared" si="383"/>
        <v>#N/A</v>
      </c>
      <c r="Q480" s="396" t="e">
        <f t="shared" si="384"/>
        <v>#N/A</v>
      </c>
      <c r="R480" s="396" t="e">
        <f t="shared" si="385"/>
        <v>#N/A</v>
      </c>
      <c r="S480" s="396" t="e">
        <f t="shared" si="386"/>
        <v>#N/A</v>
      </c>
      <c r="T480" s="397" t="e">
        <f t="shared" si="387"/>
        <v>#N/A</v>
      </c>
      <c r="U480" s="396" t="e">
        <f t="shared" si="388"/>
        <v>#N/A</v>
      </c>
      <c r="V480" s="396" t="e">
        <f t="shared" si="389"/>
        <v>#N/A</v>
      </c>
      <c r="W480" s="206" t="e">
        <f t="shared" si="361"/>
        <v>#N/A</v>
      </c>
      <c r="X480" s="207" t="e">
        <f t="shared" si="362"/>
        <v>#N/A</v>
      </c>
      <c r="Y480" s="207" t="e">
        <f t="shared" si="363"/>
        <v>#N/A</v>
      </c>
      <c r="Z480" s="233" t="e">
        <f t="shared" si="364"/>
        <v>#N/A</v>
      </c>
      <c r="AA480" s="208" t="e">
        <f t="shared" si="360"/>
        <v>#N/A</v>
      </c>
      <c r="AB480" s="233" t="e">
        <f t="shared" si="365"/>
        <v>#N/A</v>
      </c>
      <c r="AC480" s="233" t="e">
        <f t="shared" si="366"/>
        <v>#N/A</v>
      </c>
      <c r="AD480" s="233" t="e">
        <f t="shared" si="367"/>
        <v>#N/A</v>
      </c>
      <c r="AE480" s="233" t="e">
        <f t="shared" si="368"/>
        <v>#N/A</v>
      </c>
      <c r="AF480" s="238" t="e">
        <f t="shared" si="369"/>
        <v>#N/A</v>
      </c>
      <c r="AG480" s="238" t="e">
        <f t="shared" si="370"/>
        <v>#N/A</v>
      </c>
      <c r="AH480" s="238" t="e">
        <f t="shared" si="371"/>
        <v>#N/A</v>
      </c>
      <c r="AI480" s="261" t="e">
        <f t="shared" si="372"/>
        <v>#N/A</v>
      </c>
      <c r="AJ480" s="233" t="e">
        <f t="shared" si="373"/>
        <v>#N/A</v>
      </c>
    </row>
    <row r="481" spans="5:36" s="48" customFormat="1" ht="35.25" customHeight="1" x14ac:dyDescent="0.2">
      <c r="E481" s="218" t="s">
        <v>2307</v>
      </c>
      <c r="F481" s="187"/>
      <c r="G481" s="67" t="e">
        <f t="shared" si="374"/>
        <v>#N/A</v>
      </c>
      <c r="H481" s="396" t="e">
        <f t="shared" si="375"/>
        <v>#N/A</v>
      </c>
      <c r="I481" s="396" t="e">
        <f t="shared" si="376"/>
        <v>#N/A</v>
      </c>
      <c r="J481" s="396" t="e">
        <f t="shared" si="377"/>
        <v>#N/A</v>
      </c>
      <c r="K481" s="398" t="e">
        <f t="shared" si="378"/>
        <v>#N/A</v>
      </c>
      <c r="L481" s="396" t="e">
        <f t="shared" si="379"/>
        <v>#N/A</v>
      </c>
      <c r="M481" s="398" t="e">
        <f t="shared" si="380"/>
        <v>#N/A</v>
      </c>
      <c r="N481" s="396" t="e">
        <f t="shared" si="381"/>
        <v>#N/A</v>
      </c>
      <c r="O481" s="396" t="e">
        <f t="shared" si="382"/>
        <v>#N/A</v>
      </c>
      <c r="P481" s="396" t="e">
        <f t="shared" si="383"/>
        <v>#N/A</v>
      </c>
      <c r="Q481" s="396" t="e">
        <f t="shared" si="384"/>
        <v>#N/A</v>
      </c>
      <c r="R481" s="396" t="e">
        <f t="shared" si="385"/>
        <v>#N/A</v>
      </c>
      <c r="S481" s="396" t="e">
        <f t="shared" si="386"/>
        <v>#N/A</v>
      </c>
      <c r="T481" s="397" t="e">
        <f t="shared" si="387"/>
        <v>#N/A</v>
      </c>
      <c r="U481" s="396" t="e">
        <f t="shared" si="388"/>
        <v>#N/A</v>
      </c>
      <c r="V481" s="396" t="e">
        <f t="shared" si="389"/>
        <v>#N/A</v>
      </c>
      <c r="W481" s="206" t="e">
        <f t="shared" si="361"/>
        <v>#N/A</v>
      </c>
      <c r="X481" s="207" t="e">
        <f t="shared" si="362"/>
        <v>#N/A</v>
      </c>
      <c r="Y481" s="207" t="e">
        <f t="shared" si="363"/>
        <v>#N/A</v>
      </c>
      <c r="Z481" s="233" t="e">
        <f t="shared" si="364"/>
        <v>#N/A</v>
      </c>
      <c r="AA481" s="208" t="e">
        <f t="shared" si="360"/>
        <v>#N/A</v>
      </c>
      <c r="AB481" s="233" t="e">
        <f t="shared" si="365"/>
        <v>#N/A</v>
      </c>
      <c r="AC481" s="233" t="e">
        <f t="shared" si="366"/>
        <v>#N/A</v>
      </c>
      <c r="AD481" s="233" t="e">
        <f t="shared" si="367"/>
        <v>#N/A</v>
      </c>
      <c r="AE481" s="233" t="e">
        <f t="shared" si="368"/>
        <v>#N/A</v>
      </c>
      <c r="AF481" s="238" t="e">
        <f t="shared" si="369"/>
        <v>#N/A</v>
      </c>
      <c r="AG481" s="238" t="e">
        <f t="shared" si="370"/>
        <v>#N/A</v>
      </c>
      <c r="AH481" s="238" t="e">
        <f t="shared" si="371"/>
        <v>#N/A</v>
      </c>
      <c r="AI481" s="261" t="e">
        <f t="shared" si="372"/>
        <v>#N/A</v>
      </c>
      <c r="AJ481" s="233" t="e">
        <f t="shared" si="373"/>
        <v>#N/A</v>
      </c>
    </row>
    <row r="482" spans="5:36" s="48" customFormat="1" ht="35.25" customHeight="1" x14ac:dyDescent="0.2">
      <c r="E482" s="218" t="s">
        <v>2307</v>
      </c>
      <c r="F482" s="187"/>
      <c r="G482" s="67" t="e">
        <f t="shared" si="374"/>
        <v>#N/A</v>
      </c>
      <c r="H482" s="396" t="e">
        <f t="shared" si="375"/>
        <v>#N/A</v>
      </c>
      <c r="I482" s="396" t="e">
        <f t="shared" si="376"/>
        <v>#N/A</v>
      </c>
      <c r="J482" s="396" t="e">
        <f t="shared" si="377"/>
        <v>#N/A</v>
      </c>
      <c r="K482" s="398" t="e">
        <f t="shared" si="378"/>
        <v>#N/A</v>
      </c>
      <c r="L482" s="396" t="e">
        <f t="shared" si="379"/>
        <v>#N/A</v>
      </c>
      <c r="M482" s="398" t="e">
        <f t="shared" si="380"/>
        <v>#N/A</v>
      </c>
      <c r="N482" s="396" t="e">
        <f t="shared" si="381"/>
        <v>#N/A</v>
      </c>
      <c r="O482" s="396" t="e">
        <f t="shared" si="382"/>
        <v>#N/A</v>
      </c>
      <c r="P482" s="396" t="e">
        <f t="shared" si="383"/>
        <v>#N/A</v>
      </c>
      <c r="Q482" s="396" t="e">
        <f t="shared" si="384"/>
        <v>#N/A</v>
      </c>
      <c r="R482" s="396" t="e">
        <f t="shared" si="385"/>
        <v>#N/A</v>
      </c>
      <c r="S482" s="396" t="e">
        <f t="shared" si="386"/>
        <v>#N/A</v>
      </c>
      <c r="T482" s="397" t="e">
        <f t="shared" si="387"/>
        <v>#N/A</v>
      </c>
      <c r="U482" s="396" t="e">
        <f t="shared" si="388"/>
        <v>#N/A</v>
      </c>
      <c r="V482" s="396" t="e">
        <f t="shared" si="389"/>
        <v>#N/A</v>
      </c>
      <c r="W482" s="206" t="e">
        <f t="shared" si="361"/>
        <v>#N/A</v>
      </c>
      <c r="X482" s="207" t="e">
        <f t="shared" si="362"/>
        <v>#N/A</v>
      </c>
      <c r="Y482" s="207" t="e">
        <f t="shared" si="363"/>
        <v>#N/A</v>
      </c>
      <c r="Z482" s="233" t="e">
        <f t="shared" si="364"/>
        <v>#N/A</v>
      </c>
      <c r="AA482" s="208" t="e">
        <f t="shared" si="360"/>
        <v>#N/A</v>
      </c>
      <c r="AB482" s="233" t="e">
        <f t="shared" si="365"/>
        <v>#N/A</v>
      </c>
      <c r="AC482" s="233" t="e">
        <f t="shared" si="366"/>
        <v>#N/A</v>
      </c>
      <c r="AD482" s="233" t="e">
        <f t="shared" si="367"/>
        <v>#N/A</v>
      </c>
      <c r="AE482" s="233" t="e">
        <f t="shared" si="368"/>
        <v>#N/A</v>
      </c>
      <c r="AF482" s="238" t="e">
        <f t="shared" si="369"/>
        <v>#N/A</v>
      </c>
      <c r="AG482" s="238" t="e">
        <f t="shared" si="370"/>
        <v>#N/A</v>
      </c>
      <c r="AH482" s="238" t="e">
        <f t="shared" si="371"/>
        <v>#N/A</v>
      </c>
      <c r="AI482" s="261" t="e">
        <f t="shared" si="372"/>
        <v>#N/A</v>
      </c>
      <c r="AJ482" s="233" t="e">
        <f t="shared" si="373"/>
        <v>#N/A</v>
      </c>
    </row>
    <row r="483" spans="5:36" s="48" customFormat="1" ht="35.25" customHeight="1" x14ac:dyDescent="0.2">
      <c r="E483" s="218" t="s">
        <v>2307</v>
      </c>
      <c r="F483" s="187"/>
      <c r="G483" s="67" t="e">
        <f t="shared" si="374"/>
        <v>#N/A</v>
      </c>
      <c r="H483" s="396" t="e">
        <f t="shared" si="375"/>
        <v>#N/A</v>
      </c>
      <c r="I483" s="396" t="e">
        <f t="shared" si="376"/>
        <v>#N/A</v>
      </c>
      <c r="J483" s="396" t="e">
        <f t="shared" si="377"/>
        <v>#N/A</v>
      </c>
      <c r="K483" s="398" t="e">
        <f t="shared" si="378"/>
        <v>#N/A</v>
      </c>
      <c r="L483" s="396" t="e">
        <f t="shared" si="379"/>
        <v>#N/A</v>
      </c>
      <c r="M483" s="398" t="e">
        <f t="shared" si="380"/>
        <v>#N/A</v>
      </c>
      <c r="N483" s="396" t="e">
        <f t="shared" si="381"/>
        <v>#N/A</v>
      </c>
      <c r="O483" s="396" t="e">
        <f t="shared" si="382"/>
        <v>#N/A</v>
      </c>
      <c r="P483" s="396" t="e">
        <f t="shared" si="383"/>
        <v>#N/A</v>
      </c>
      <c r="Q483" s="396" t="e">
        <f t="shared" si="384"/>
        <v>#N/A</v>
      </c>
      <c r="R483" s="396" t="e">
        <f t="shared" si="385"/>
        <v>#N/A</v>
      </c>
      <c r="S483" s="396" t="e">
        <f t="shared" si="386"/>
        <v>#N/A</v>
      </c>
      <c r="T483" s="397" t="e">
        <f t="shared" si="387"/>
        <v>#N/A</v>
      </c>
      <c r="U483" s="396" t="e">
        <f t="shared" si="388"/>
        <v>#N/A</v>
      </c>
      <c r="V483" s="396" t="e">
        <f t="shared" si="389"/>
        <v>#N/A</v>
      </c>
      <c r="W483" s="206" t="e">
        <f t="shared" si="361"/>
        <v>#N/A</v>
      </c>
      <c r="X483" s="207" t="e">
        <f t="shared" si="362"/>
        <v>#N/A</v>
      </c>
      <c r="Y483" s="207" t="e">
        <f t="shared" si="363"/>
        <v>#N/A</v>
      </c>
      <c r="Z483" s="233" t="e">
        <f t="shared" si="364"/>
        <v>#N/A</v>
      </c>
      <c r="AA483" s="208" t="e">
        <f t="shared" si="360"/>
        <v>#N/A</v>
      </c>
      <c r="AB483" s="233" t="e">
        <f t="shared" si="365"/>
        <v>#N/A</v>
      </c>
      <c r="AC483" s="233" t="e">
        <f t="shared" si="366"/>
        <v>#N/A</v>
      </c>
      <c r="AD483" s="233" t="e">
        <f t="shared" si="367"/>
        <v>#N/A</v>
      </c>
      <c r="AE483" s="233" t="e">
        <f t="shared" si="368"/>
        <v>#N/A</v>
      </c>
      <c r="AF483" s="238" t="e">
        <f t="shared" si="369"/>
        <v>#N/A</v>
      </c>
      <c r="AG483" s="238" t="e">
        <f t="shared" si="370"/>
        <v>#N/A</v>
      </c>
      <c r="AH483" s="238" t="e">
        <f t="shared" si="371"/>
        <v>#N/A</v>
      </c>
      <c r="AI483" s="261" t="e">
        <f t="shared" si="372"/>
        <v>#N/A</v>
      </c>
      <c r="AJ483" s="233" t="e">
        <f t="shared" si="373"/>
        <v>#N/A</v>
      </c>
    </row>
    <row r="484" spans="5:36" s="48" customFormat="1" ht="35.25" customHeight="1" x14ac:dyDescent="0.2">
      <c r="E484" s="218" t="s">
        <v>2307</v>
      </c>
      <c r="F484" s="187"/>
      <c r="G484" s="67" t="e">
        <f t="shared" si="374"/>
        <v>#N/A</v>
      </c>
      <c r="H484" s="396" t="e">
        <f t="shared" si="375"/>
        <v>#N/A</v>
      </c>
      <c r="I484" s="396" t="e">
        <f t="shared" si="376"/>
        <v>#N/A</v>
      </c>
      <c r="J484" s="396" t="e">
        <f t="shared" si="377"/>
        <v>#N/A</v>
      </c>
      <c r="K484" s="398" t="e">
        <f t="shared" si="378"/>
        <v>#N/A</v>
      </c>
      <c r="L484" s="396" t="e">
        <f t="shared" si="379"/>
        <v>#N/A</v>
      </c>
      <c r="M484" s="398" t="e">
        <f t="shared" si="380"/>
        <v>#N/A</v>
      </c>
      <c r="N484" s="396" t="e">
        <f t="shared" si="381"/>
        <v>#N/A</v>
      </c>
      <c r="O484" s="396" t="e">
        <f t="shared" si="382"/>
        <v>#N/A</v>
      </c>
      <c r="P484" s="396" t="e">
        <f t="shared" si="383"/>
        <v>#N/A</v>
      </c>
      <c r="Q484" s="396" t="e">
        <f t="shared" si="384"/>
        <v>#N/A</v>
      </c>
      <c r="R484" s="396" t="e">
        <f t="shared" si="385"/>
        <v>#N/A</v>
      </c>
      <c r="S484" s="396" t="e">
        <f t="shared" si="386"/>
        <v>#N/A</v>
      </c>
      <c r="T484" s="397" t="e">
        <f t="shared" si="387"/>
        <v>#N/A</v>
      </c>
      <c r="U484" s="396" t="e">
        <f t="shared" si="388"/>
        <v>#N/A</v>
      </c>
      <c r="V484" s="396" t="e">
        <f t="shared" si="389"/>
        <v>#N/A</v>
      </c>
      <c r="W484" s="206" t="e">
        <f t="shared" si="361"/>
        <v>#N/A</v>
      </c>
      <c r="X484" s="207" t="e">
        <f t="shared" si="362"/>
        <v>#N/A</v>
      </c>
      <c r="Y484" s="207" t="e">
        <f t="shared" si="363"/>
        <v>#N/A</v>
      </c>
      <c r="Z484" s="233" t="e">
        <f t="shared" si="364"/>
        <v>#N/A</v>
      </c>
      <c r="AA484" s="208" t="e">
        <f t="shared" si="360"/>
        <v>#N/A</v>
      </c>
      <c r="AB484" s="233" t="e">
        <f t="shared" si="365"/>
        <v>#N/A</v>
      </c>
      <c r="AC484" s="233" t="e">
        <f t="shared" si="366"/>
        <v>#N/A</v>
      </c>
      <c r="AD484" s="233" t="e">
        <f t="shared" si="367"/>
        <v>#N/A</v>
      </c>
      <c r="AE484" s="233" t="e">
        <f t="shared" si="368"/>
        <v>#N/A</v>
      </c>
      <c r="AF484" s="238" t="e">
        <f t="shared" si="369"/>
        <v>#N/A</v>
      </c>
      <c r="AG484" s="238" t="e">
        <f t="shared" si="370"/>
        <v>#N/A</v>
      </c>
      <c r="AH484" s="238" t="e">
        <f t="shared" si="371"/>
        <v>#N/A</v>
      </c>
      <c r="AI484" s="261" t="e">
        <f t="shared" si="372"/>
        <v>#N/A</v>
      </c>
      <c r="AJ484" s="233" t="e">
        <f t="shared" si="373"/>
        <v>#N/A</v>
      </c>
    </row>
    <row r="485" spans="5:36" s="48" customFormat="1" ht="35.25" customHeight="1" x14ac:dyDescent="0.2">
      <c r="E485" s="218" t="s">
        <v>2307</v>
      </c>
      <c r="F485" s="187"/>
      <c r="G485" s="67" t="e">
        <f t="shared" si="374"/>
        <v>#N/A</v>
      </c>
      <c r="H485" s="396" t="e">
        <f t="shared" si="375"/>
        <v>#N/A</v>
      </c>
      <c r="I485" s="396" t="e">
        <f t="shared" si="376"/>
        <v>#N/A</v>
      </c>
      <c r="J485" s="396" t="e">
        <f t="shared" si="377"/>
        <v>#N/A</v>
      </c>
      <c r="K485" s="398" t="e">
        <f t="shared" si="378"/>
        <v>#N/A</v>
      </c>
      <c r="L485" s="396" t="e">
        <f t="shared" si="379"/>
        <v>#N/A</v>
      </c>
      <c r="M485" s="398" t="e">
        <f t="shared" si="380"/>
        <v>#N/A</v>
      </c>
      <c r="N485" s="396" t="e">
        <f t="shared" si="381"/>
        <v>#N/A</v>
      </c>
      <c r="O485" s="396" t="e">
        <f t="shared" si="382"/>
        <v>#N/A</v>
      </c>
      <c r="P485" s="396" t="e">
        <f t="shared" si="383"/>
        <v>#N/A</v>
      </c>
      <c r="Q485" s="396" t="e">
        <f t="shared" si="384"/>
        <v>#N/A</v>
      </c>
      <c r="R485" s="396" t="e">
        <f t="shared" si="385"/>
        <v>#N/A</v>
      </c>
      <c r="S485" s="396" t="e">
        <f t="shared" si="386"/>
        <v>#N/A</v>
      </c>
      <c r="T485" s="397" t="e">
        <f t="shared" si="387"/>
        <v>#N/A</v>
      </c>
      <c r="U485" s="396" t="e">
        <f t="shared" si="388"/>
        <v>#N/A</v>
      </c>
      <c r="V485" s="396" t="e">
        <f t="shared" si="389"/>
        <v>#N/A</v>
      </c>
      <c r="W485" s="206" t="e">
        <f t="shared" si="361"/>
        <v>#N/A</v>
      </c>
      <c r="X485" s="207" t="e">
        <f t="shared" si="362"/>
        <v>#N/A</v>
      </c>
      <c r="Y485" s="207" t="e">
        <f t="shared" si="363"/>
        <v>#N/A</v>
      </c>
      <c r="Z485" s="233" t="e">
        <f t="shared" si="364"/>
        <v>#N/A</v>
      </c>
      <c r="AA485" s="208" t="e">
        <f t="shared" si="360"/>
        <v>#N/A</v>
      </c>
      <c r="AB485" s="233" t="e">
        <f t="shared" si="365"/>
        <v>#N/A</v>
      </c>
      <c r="AC485" s="233" t="e">
        <f t="shared" si="366"/>
        <v>#N/A</v>
      </c>
      <c r="AD485" s="233" t="e">
        <f t="shared" si="367"/>
        <v>#N/A</v>
      </c>
      <c r="AE485" s="233" t="e">
        <f t="shared" si="368"/>
        <v>#N/A</v>
      </c>
      <c r="AF485" s="238" t="e">
        <f t="shared" si="369"/>
        <v>#N/A</v>
      </c>
      <c r="AG485" s="238" t="e">
        <f t="shared" si="370"/>
        <v>#N/A</v>
      </c>
      <c r="AH485" s="238" t="e">
        <f t="shared" si="371"/>
        <v>#N/A</v>
      </c>
      <c r="AI485" s="261" t="e">
        <f t="shared" si="372"/>
        <v>#N/A</v>
      </c>
      <c r="AJ485" s="233" t="e">
        <f t="shared" si="373"/>
        <v>#N/A</v>
      </c>
    </row>
    <row r="486" spans="5:36" s="48" customFormat="1" ht="35.25" customHeight="1" x14ac:dyDescent="0.2">
      <c r="E486" s="218" t="s">
        <v>2307</v>
      </c>
      <c r="F486" s="187"/>
      <c r="G486" s="67" t="e">
        <f t="shared" si="374"/>
        <v>#N/A</v>
      </c>
      <c r="H486" s="396" t="e">
        <f t="shared" si="375"/>
        <v>#N/A</v>
      </c>
      <c r="I486" s="396" t="e">
        <f t="shared" si="376"/>
        <v>#N/A</v>
      </c>
      <c r="J486" s="396" t="e">
        <f t="shared" si="377"/>
        <v>#N/A</v>
      </c>
      <c r="K486" s="398" t="e">
        <f t="shared" si="378"/>
        <v>#N/A</v>
      </c>
      <c r="L486" s="396" t="e">
        <f t="shared" si="379"/>
        <v>#N/A</v>
      </c>
      <c r="M486" s="398" t="e">
        <f t="shared" si="380"/>
        <v>#N/A</v>
      </c>
      <c r="N486" s="396" t="e">
        <f t="shared" si="381"/>
        <v>#N/A</v>
      </c>
      <c r="O486" s="396" t="e">
        <f t="shared" si="382"/>
        <v>#N/A</v>
      </c>
      <c r="P486" s="396" t="e">
        <f t="shared" si="383"/>
        <v>#N/A</v>
      </c>
      <c r="Q486" s="396" t="e">
        <f t="shared" si="384"/>
        <v>#N/A</v>
      </c>
      <c r="R486" s="396" t="e">
        <f t="shared" si="385"/>
        <v>#N/A</v>
      </c>
      <c r="S486" s="396" t="e">
        <f t="shared" si="386"/>
        <v>#N/A</v>
      </c>
      <c r="T486" s="397" t="e">
        <f t="shared" si="387"/>
        <v>#N/A</v>
      </c>
      <c r="U486" s="396" t="e">
        <f t="shared" si="388"/>
        <v>#N/A</v>
      </c>
      <c r="V486" s="396" t="e">
        <f t="shared" si="389"/>
        <v>#N/A</v>
      </c>
      <c r="W486" s="206" t="e">
        <f t="shared" si="361"/>
        <v>#N/A</v>
      </c>
      <c r="X486" s="207" t="e">
        <f t="shared" si="362"/>
        <v>#N/A</v>
      </c>
      <c r="Y486" s="207" t="e">
        <f t="shared" si="363"/>
        <v>#N/A</v>
      </c>
      <c r="Z486" s="233" t="e">
        <f t="shared" si="364"/>
        <v>#N/A</v>
      </c>
      <c r="AA486" s="208" t="e">
        <f t="shared" si="360"/>
        <v>#N/A</v>
      </c>
      <c r="AB486" s="233" t="e">
        <f t="shared" si="365"/>
        <v>#N/A</v>
      </c>
      <c r="AC486" s="233" t="e">
        <f t="shared" si="366"/>
        <v>#N/A</v>
      </c>
      <c r="AD486" s="233" t="e">
        <f t="shared" si="367"/>
        <v>#N/A</v>
      </c>
      <c r="AE486" s="233" t="e">
        <f t="shared" si="368"/>
        <v>#N/A</v>
      </c>
      <c r="AF486" s="238" t="e">
        <f t="shared" si="369"/>
        <v>#N/A</v>
      </c>
      <c r="AG486" s="238" t="e">
        <f t="shared" si="370"/>
        <v>#N/A</v>
      </c>
      <c r="AH486" s="238" t="e">
        <f t="shared" si="371"/>
        <v>#N/A</v>
      </c>
      <c r="AI486" s="261" t="e">
        <f t="shared" si="372"/>
        <v>#N/A</v>
      </c>
      <c r="AJ486" s="233" t="e">
        <f t="shared" si="373"/>
        <v>#N/A</v>
      </c>
    </row>
    <row r="487" spans="5:36" s="48" customFormat="1" ht="35.25" customHeight="1" x14ac:dyDescent="0.2">
      <c r="E487" s="218" t="s">
        <v>2307</v>
      </c>
      <c r="F487" s="187"/>
      <c r="G487" s="67" t="e">
        <f t="shared" si="374"/>
        <v>#N/A</v>
      </c>
      <c r="H487" s="396" t="e">
        <f t="shared" si="375"/>
        <v>#N/A</v>
      </c>
      <c r="I487" s="396" t="e">
        <f t="shared" si="376"/>
        <v>#N/A</v>
      </c>
      <c r="J487" s="396" t="e">
        <f t="shared" si="377"/>
        <v>#N/A</v>
      </c>
      <c r="K487" s="398" t="e">
        <f t="shared" si="378"/>
        <v>#N/A</v>
      </c>
      <c r="L487" s="396" t="e">
        <f t="shared" si="379"/>
        <v>#N/A</v>
      </c>
      <c r="M487" s="398" t="e">
        <f t="shared" si="380"/>
        <v>#N/A</v>
      </c>
      <c r="N487" s="396" t="e">
        <f t="shared" si="381"/>
        <v>#N/A</v>
      </c>
      <c r="O487" s="396" t="e">
        <f t="shared" si="382"/>
        <v>#N/A</v>
      </c>
      <c r="P487" s="396" t="e">
        <f t="shared" si="383"/>
        <v>#N/A</v>
      </c>
      <c r="Q487" s="396" t="e">
        <f t="shared" si="384"/>
        <v>#N/A</v>
      </c>
      <c r="R487" s="396" t="e">
        <f t="shared" si="385"/>
        <v>#N/A</v>
      </c>
      <c r="S487" s="396" t="e">
        <f t="shared" si="386"/>
        <v>#N/A</v>
      </c>
      <c r="T487" s="397" t="e">
        <f t="shared" si="387"/>
        <v>#N/A</v>
      </c>
      <c r="U487" s="396" t="e">
        <f t="shared" si="388"/>
        <v>#N/A</v>
      </c>
      <c r="V487" s="396" t="e">
        <f t="shared" si="389"/>
        <v>#N/A</v>
      </c>
      <c r="W487" s="206" t="e">
        <f t="shared" si="361"/>
        <v>#N/A</v>
      </c>
      <c r="X487" s="207" t="e">
        <f t="shared" si="362"/>
        <v>#N/A</v>
      </c>
      <c r="Y487" s="207" t="e">
        <f t="shared" si="363"/>
        <v>#N/A</v>
      </c>
      <c r="Z487" s="233" t="e">
        <f t="shared" si="364"/>
        <v>#N/A</v>
      </c>
      <c r="AA487" s="208" t="e">
        <f t="shared" si="360"/>
        <v>#N/A</v>
      </c>
      <c r="AB487" s="233" t="e">
        <f t="shared" si="365"/>
        <v>#N/A</v>
      </c>
      <c r="AC487" s="233" t="e">
        <f t="shared" si="366"/>
        <v>#N/A</v>
      </c>
      <c r="AD487" s="233" t="e">
        <f t="shared" si="367"/>
        <v>#N/A</v>
      </c>
      <c r="AE487" s="233" t="e">
        <f t="shared" si="368"/>
        <v>#N/A</v>
      </c>
      <c r="AF487" s="238" t="e">
        <f t="shared" si="369"/>
        <v>#N/A</v>
      </c>
      <c r="AG487" s="238" t="e">
        <f t="shared" si="370"/>
        <v>#N/A</v>
      </c>
      <c r="AH487" s="238" t="e">
        <f t="shared" si="371"/>
        <v>#N/A</v>
      </c>
      <c r="AI487" s="261" t="e">
        <f t="shared" si="372"/>
        <v>#N/A</v>
      </c>
      <c r="AJ487" s="233" t="e">
        <f t="shared" si="373"/>
        <v>#N/A</v>
      </c>
    </row>
    <row r="488" spans="5:36" s="48" customFormat="1" ht="35.25" customHeight="1" x14ac:dyDescent="0.2">
      <c r="E488" s="218" t="s">
        <v>2307</v>
      </c>
      <c r="F488" s="187"/>
      <c r="G488" s="67" t="e">
        <f t="shared" si="374"/>
        <v>#N/A</v>
      </c>
      <c r="H488" s="396" t="e">
        <f t="shared" si="375"/>
        <v>#N/A</v>
      </c>
      <c r="I488" s="396" t="e">
        <f t="shared" si="376"/>
        <v>#N/A</v>
      </c>
      <c r="J488" s="396" t="e">
        <f t="shared" si="377"/>
        <v>#N/A</v>
      </c>
      <c r="K488" s="398" t="e">
        <f t="shared" si="378"/>
        <v>#N/A</v>
      </c>
      <c r="L488" s="396" t="e">
        <f t="shared" si="379"/>
        <v>#N/A</v>
      </c>
      <c r="M488" s="398" t="e">
        <f t="shared" si="380"/>
        <v>#N/A</v>
      </c>
      <c r="N488" s="396" t="e">
        <f t="shared" si="381"/>
        <v>#N/A</v>
      </c>
      <c r="O488" s="396" t="e">
        <f t="shared" si="382"/>
        <v>#N/A</v>
      </c>
      <c r="P488" s="396" t="e">
        <f t="shared" si="383"/>
        <v>#N/A</v>
      </c>
      <c r="Q488" s="396" t="e">
        <f t="shared" si="384"/>
        <v>#N/A</v>
      </c>
      <c r="R488" s="396" t="e">
        <f t="shared" si="385"/>
        <v>#N/A</v>
      </c>
      <c r="S488" s="396" t="e">
        <f t="shared" si="386"/>
        <v>#N/A</v>
      </c>
      <c r="T488" s="397" t="e">
        <f t="shared" si="387"/>
        <v>#N/A</v>
      </c>
      <c r="U488" s="396" t="e">
        <f t="shared" si="388"/>
        <v>#N/A</v>
      </c>
      <c r="V488" s="396" t="e">
        <f t="shared" si="389"/>
        <v>#N/A</v>
      </c>
      <c r="W488" s="206" t="e">
        <f t="shared" si="361"/>
        <v>#N/A</v>
      </c>
      <c r="X488" s="207" t="e">
        <f t="shared" si="362"/>
        <v>#N/A</v>
      </c>
      <c r="Y488" s="207" t="e">
        <f t="shared" si="363"/>
        <v>#N/A</v>
      </c>
      <c r="Z488" s="233" t="e">
        <f t="shared" si="364"/>
        <v>#N/A</v>
      </c>
      <c r="AA488" s="208" t="e">
        <f t="shared" si="360"/>
        <v>#N/A</v>
      </c>
      <c r="AB488" s="233" t="e">
        <f t="shared" si="365"/>
        <v>#N/A</v>
      </c>
      <c r="AC488" s="233" t="e">
        <f t="shared" si="366"/>
        <v>#N/A</v>
      </c>
      <c r="AD488" s="233" t="e">
        <f t="shared" si="367"/>
        <v>#N/A</v>
      </c>
      <c r="AE488" s="233" t="e">
        <f t="shared" si="368"/>
        <v>#N/A</v>
      </c>
      <c r="AF488" s="238" t="e">
        <f t="shared" si="369"/>
        <v>#N/A</v>
      </c>
      <c r="AG488" s="238" t="e">
        <f t="shared" si="370"/>
        <v>#N/A</v>
      </c>
      <c r="AH488" s="238" t="e">
        <f t="shared" si="371"/>
        <v>#N/A</v>
      </c>
      <c r="AI488" s="261" t="e">
        <f t="shared" si="372"/>
        <v>#N/A</v>
      </c>
      <c r="AJ488" s="233" t="e">
        <f t="shared" si="373"/>
        <v>#N/A</v>
      </c>
    </row>
    <row r="489" spans="5:36" s="48" customFormat="1" ht="35.25" customHeight="1" x14ac:dyDescent="0.2">
      <c r="E489" s="218" t="s">
        <v>2307</v>
      </c>
      <c r="F489" s="187"/>
      <c r="G489" s="67" t="e">
        <f t="shared" si="374"/>
        <v>#N/A</v>
      </c>
      <c r="H489" s="396" t="e">
        <f t="shared" si="375"/>
        <v>#N/A</v>
      </c>
      <c r="I489" s="396" t="e">
        <f t="shared" si="376"/>
        <v>#N/A</v>
      </c>
      <c r="J489" s="396" t="e">
        <f t="shared" si="377"/>
        <v>#N/A</v>
      </c>
      <c r="K489" s="398" t="e">
        <f t="shared" si="378"/>
        <v>#N/A</v>
      </c>
      <c r="L489" s="396" t="e">
        <f t="shared" si="379"/>
        <v>#N/A</v>
      </c>
      <c r="M489" s="398" t="e">
        <f t="shared" si="380"/>
        <v>#N/A</v>
      </c>
      <c r="N489" s="396" t="e">
        <f t="shared" si="381"/>
        <v>#N/A</v>
      </c>
      <c r="O489" s="396" t="e">
        <f t="shared" si="382"/>
        <v>#N/A</v>
      </c>
      <c r="P489" s="396" t="e">
        <f t="shared" si="383"/>
        <v>#N/A</v>
      </c>
      <c r="Q489" s="396" t="e">
        <f t="shared" si="384"/>
        <v>#N/A</v>
      </c>
      <c r="R489" s="396" t="e">
        <f t="shared" si="385"/>
        <v>#N/A</v>
      </c>
      <c r="S489" s="396" t="e">
        <f t="shared" si="386"/>
        <v>#N/A</v>
      </c>
      <c r="T489" s="397" t="e">
        <f t="shared" si="387"/>
        <v>#N/A</v>
      </c>
      <c r="U489" s="396" t="e">
        <f t="shared" si="388"/>
        <v>#N/A</v>
      </c>
      <c r="V489" s="396" t="e">
        <f t="shared" si="389"/>
        <v>#N/A</v>
      </c>
      <c r="W489" s="206" t="e">
        <f t="shared" si="361"/>
        <v>#N/A</v>
      </c>
      <c r="X489" s="207" t="e">
        <f t="shared" si="362"/>
        <v>#N/A</v>
      </c>
      <c r="Y489" s="207" t="e">
        <f t="shared" si="363"/>
        <v>#N/A</v>
      </c>
      <c r="Z489" s="233" t="e">
        <f t="shared" si="364"/>
        <v>#N/A</v>
      </c>
      <c r="AA489" s="208" t="e">
        <f t="shared" si="360"/>
        <v>#N/A</v>
      </c>
      <c r="AB489" s="233" t="e">
        <f t="shared" si="365"/>
        <v>#N/A</v>
      </c>
      <c r="AC489" s="233" t="e">
        <f t="shared" si="366"/>
        <v>#N/A</v>
      </c>
      <c r="AD489" s="233" t="e">
        <f t="shared" si="367"/>
        <v>#N/A</v>
      </c>
      <c r="AE489" s="233" t="e">
        <f t="shared" si="368"/>
        <v>#N/A</v>
      </c>
      <c r="AF489" s="238" t="e">
        <f t="shared" si="369"/>
        <v>#N/A</v>
      </c>
      <c r="AG489" s="238" t="e">
        <f t="shared" si="370"/>
        <v>#N/A</v>
      </c>
      <c r="AH489" s="238" t="e">
        <f t="shared" si="371"/>
        <v>#N/A</v>
      </c>
      <c r="AI489" s="261" t="e">
        <f t="shared" si="372"/>
        <v>#N/A</v>
      </c>
      <c r="AJ489" s="233" t="e">
        <f t="shared" si="373"/>
        <v>#N/A</v>
      </c>
    </row>
    <row r="490" spans="5:36" s="48" customFormat="1" ht="35.25" customHeight="1" x14ac:dyDescent="0.2">
      <c r="E490" s="218" t="s">
        <v>2307</v>
      </c>
      <c r="F490" s="187"/>
      <c r="G490" s="67" t="e">
        <f t="shared" si="374"/>
        <v>#N/A</v>
      </c>
      <c r="H490" s="396" t="e">
        <f t="shared" si="375"/>
        <v>#N/A</v>
      </c>
      <c r="I490" s="396" t="e">
        <f t="shared" si="376"/>
        <v>#N/A</v>
      </c>
      <c r="J490" s="396" t="e">
        <f t="shared" si="377"/>
        <v>#N/A</v>
      </c>
      <c r="K490" s="398" t="e">
        <f t="shared" si="378"/>
        <v>#N/A</v>
      </c>
      <c r="L490" s="396" t="e">
        <f t="shared" si="379"/>
        <v>#N/A</v>
      </c>
      <c r="M490" s="398" t="e">
        <f t="shared" si="380"/>
        <v>#N/A</v>
      </c>
      <c r="N490" s="396" t="e">
        <f t="shared" si="381"/>
        <v>#N/A</v>
      </c>
      <c r="O490" s="396" t="e">
        <f t="shared" si="382"/>
        <v>#N/A</v>
      </c>
      <c r="P490" s="396" t="e">
        <f t="shared" si="383"/>
        <v>#N/A</v>
      </c>
      <c r="Q490" s="396" t="e">
        <f t="shared" si="384"/>
        <v>#N/A</v>
      </c>
      <c r="R490" s="396" t="e">
        <f t="shared" si="385"/>
        <v>#N/A</v>
      </c>
      <c r="S490" s="396" t="e">
        <f t="shared" si="386"/>
        <v>#N/A</v>
      </c>
      <c r="T490" s="397" t="e">
        <f t="shared" si="387"/>
        <v>#N/A</v>
      </c>
      <c r="U490" s="396" t="e">
        <f t="shared" si="388"/>
        <v>#N/A</v>
      </c>
      <c r="V490" s="396" t="e">
        <f t="shared" si="389"/>
        <v>#N/A</v>
      </c>
      <c r="W490" s="206" t="e">
        <f t="shared" si="361"/>
        <v>#N/A</v>
      </c>
      <c r="X490" s="207" t="e">
        <f t="shared" si="362"/>
        <v>#N/A</v>
      </c>
      <c r="Y490" s="207" t="e">
        <f t="shared" si="363"/>
        <v>#N/A</v>
      </c>
      <c r="Z490" s="233" t="e">
        <f t="shared" si="364"/>
        <v>#N/A</v>
      </c>
      <c r="AA490" s="208" t="e">
        <f t="shared" si="360"/>
        <v>#N/A</v>
      </c>
      <c r="AB490" s="233" t="e">
        <f t="shared" si="365"/>
        <v>#N/A</v>
      </c>
      <c r="AC490" s="233" t="e">
        <f t="shared" si="366"/>
        <v>#N/A</v>
      </c>
      <c r="AD490" s="233" t="e">
        <f t="shared" si="367"/>
        <v>#N/A</v>
      </c>
      <c r="AE490" s="233" t="e">
        <f t="shared" si="368"/>
        <v>#N/A</v>
      </c>
      <c r="AF490" s="238" t="e">
        <f t="shared" si="369"/>
        <v>#N/A</v>
      </c>
      <c r="AG490" s="238" t="e">
        <f t="shared" si="370"/>
        <v>#N/A</v>
      </c>
      <c r="AH490" s="238" t="e">
        <f t="shared" si="371"/>
        <v>#N/A</v>
      </c>
      <c r="AI490" s="261" t="e">
        <f t="shared" si="372"/>
        <v>#N/A</v>
      </c>
      <c r="AJ490" s="233" t="e">
        <f t="shared" si="373"/>
        <v>#N/A</v>
      </c>
    </row>
    <row r="491" spans="5:36" s="48" customFormat="1" ht="35.25" customHeight="1" x14ac:dyDescent="0.2">
      <c r="E491" s="218" t="s">
        <v>2307</v>
      </c>
      <c r="F491" s="187"/>
      <c r="G491" s="67" t="e">
        <f t="shared" si="374"/>
        <v>#N/A</v>
      </c>
      <c r="H491" s="396" t="e">
        <f t="shared" si="375"/>
        <v>#N/A</v>
      </c>
      <c r="I491" s="396" t="e">
        <f t="shared" si="376"/>
        <v>#N/A</v>
      </c>
      <c r="J491" s="396" t="e">
        <f t="shared" si="377"/>
        <v>#N/A</v>
      </c>
      <c r="K491" s="398" t="e">
        <f t="shared" si="378"/>
        <v>#N/A</v>
      </c>
      <c r="L491" s="396" t="e">
        <f t="shared" si="379"/>
        <v>#N/A</v>
      </c>
      <c r="M491" s="398" t="e">
        <f t="shared" si="380"/>
        <v>#N/A</v>
      </c>
      <c r="N491" s="396" t="e">
        <f t="shared" si="381"/>
        <v>#N/A</v>
      </c>
      <c r="O491" s="396" t="e">
        <f t="shared" si="382"/>
        <v>#N/A</v>
      </c>
      <c r="P491" s="396" t="e">
        <f t="shared" si="383"/>
        <v>#N/A</v>
      </c>
      <c r="Q491" s="396" t="e">
        <f t="shared" si="384"/>
        <v>#N/A</v>
      </c>
      <c r="R491" s="396" t="e">
        <f t="shared" si="385"/>
        <v>#N/A</v>
      </c>
      <c r="S491" s="396" t="e">
        <f t="shared" si="386"/>
        <v>#N/A</v>
      </c>
      <c r="T491" s="397" t="e">
        <f t="shared" si="387"/>
        <v>#N/A</v>
      </c>
      <c r="U491" s="396" t="e">
        <f t="shared" si="388"/>
        <v>#N/A</v>
      </c>
      <c r="V491" s="396" t="e">
        <f t="shared" si="389"/>
        <v>#N/A</v>
      </c>
      <c r="W491" s="206" t="e">
        <f t="shared" si="361"/>
        <v>#N/A</v>
      </c>
      <c r="X491" s="207" t="e">
        <f t="shared" si="362"/>
        <v>#N/A</v>
      </c>
      <c r="Y491" s="207" t="e">
        <f t="shared" si="363"/>
        <v>#N/A</v>
      </c>
      <c r="Z491" s="233" t="e">
        <f t="shared" si="364"/>
        <v>#N/A</v>
      </c>
      <c r="AA491" s="208" t="e">
        <f t="shared" si="360"/>
        <v>#N/A</v>
      </c>
      <c r="AB491" s="233" t="e">
        <f t="shared" si="365"/>
        <v>#N/A</v>
      </c>
      <c r="AC491" s="233" t="e">
        <f t="shared" si="366"/>
        <v>#N/A</v>
      </c>
      <c r="AD491" s="233" t="e">
        <f t="shared" si="367"/>
        <v>#N/A</v>
      </c>
      <c r="AE491" s="233" t="e">
        <f t="shared" si="368"/>
        <v>#N/A</v>
      </c>
      <c r="AF491" s="238" t="e">
        <f t="shared" si="369"/>
        <v>#N/A</v>
      </c>
      <c r="AG491" s="238" t="e">
        <f t="shared" si="370"/>
        <v>#N/A</v>
      </c>
      <c r="AH491" s="238" t="e">
        <f t="shared" si="371"/>
        <v>#N/A</v>
      </c>
      <c r="AI491" s="261" t="e">
        <f t="shared" si="372"/>
        <v>#N/A</v>
      </c>
      <c r="AJ491" s="233" t="e">
        <f t="shared" si="373"/>
        <v>#N/A</v>
      </c>
    </row>
    <row r="492" spans="5:36" s="48" customFormat="1" ht="35.25" customHeight="1" x14ac:dyDescent="0.2">
      <c r="E492" s="218" t="s">
        <v>2307</v>
      </c>
      <c r="F492" s="187"/>
      <c r="G492" s="67" t="e">
        <f t="shared" si="374"/>
        <v>#N/A</v>
      </c>
      <c r="H492" s="396" t="e">
        <f t="shared" si="375"/>
        <v>#N/A</v>
      </c>
      <c r="I492" s="396" t="e">
        <f t="shared" si="376"/>
        <v>#N/A</v>
      </c>
      <c r="J492" s="396" t="e">
        <f t="shared" si="377"/>
        <v>#N/A</v>
      </c>
      <c r="K492" s="398" t="e">
        <f t="shared" si="378"/>
        <v>#N/A</v>
      </c>
      <c r="L492" s="396" t="e">
        <f t="shared" si="379"/>
        <v>#N/A</v>
      </c>
      <c r="M492" s="398" t="e">
        <f t="shared" si="380"/>
        <v>#N/A</v>
      </c>
      <c r="N492" s="396" t="e">
        <f t="shared" si="381"/>
        <v>#N/A</v>
      </c>
      <c r="O492" s="396" t="e">
        <f t="shared" si="382"/>
        <v>#N/A</v>
      </c>
      <c r="P492" s="396" t="e">
        <f t="shared" si="383"/>
        <v>#N/A</v>
      </c>
      <c r="Q492" s="396" t="e">
        <f t="shared" si="384"/>
        <v>#N/A</v>
      </c>
      <c r="R492" s="396" t="e">
        <f t="shared" si="385"/>
        <v>#N/A</v>
      </c>
      <c r="S492" s="396" t="e">
        <f t="shared" si="386"/>
        <v>#N/A</v>
      </c>
      <c r="T492" s="397" t="e">
        <f t="shared" si="387"/>
        <v>#N/A</v>
      </c>
      <c r="U492" s="396" t="e">
        <f t="shared" si="388"/>
        <v>#N/A</v>
      </c>
      <c r="V492" s="396" t="e">
        <f t="shared" si="389"/>
        <v>#N/A</v>
      </c>
      <c r="W492" s="206" t="e">
        <f t="shared" si="361"/>
        <v>#N/A</v>
      </c>
      <c r="X492" s="207" t="e">
        <f t="shared" si="362"/>
        <v>#N/A</v>
      </c>
      <c r="Y492" s="207" t="e">
        <f t="shared" si="363"/>
        <v>#N/A</v>
      </c>
      <c r="Z492" s="233" t="e">
        <f t="shared" si="364"/>
        <v>#N/A</v>
      </c>
      <c r="AA492" s="208" t="e">
        <f t="shared" si="360"/>
        <v>#N/A</v>
      </c>
      <c r="AB492" s="233" t="e">
        <f t="shared" si="365"/>
        <v>#N/A</v>
      </c>
      <c r="AC492" s="233" t="e">
        <f t="shared" si="366"/>
        <v>#N/A</v>
      </c>
      <c r="AD492" s="233" t="e">
        <f t="shared" si="367"/>
        <v>#N/A</v>
      </c>
      <c r="AE492" s="233" t="e">
        <f t="shared" si="368"/>
        <v>#N/A</v>
      </c>
      <c r="AF492" s="238" t="e">
        <f t="shared" si="369"/>
        <v>#N/A</v>
      </c>
      <c r="AG492" s="238" t="e">
        <f t="shared" si="370"/>
        <v>#N/A</v>
      </c>
      <c r="AH492" s="238" t="e">
        <f t="shared" si="371"/>
        <v>#N/A</v>
      </c>
      <c r="AI492" s="261" t="e">
        <f t="shared" si="372"/>
        <v>#N/A</v>
      </c>
      <c r="AJ492" s="233" t="e">
        <f t="shared" si="373"/>
        <v>#N/A</v>
      </c>
    </row>
    <row r="493" spans="5:36" s="48" customFormat="1" ht="35.25" customHeight="1" x14ac:dyDescent="0.2">
      <c r="E493" s="218" t="s">
        <v>2307</v>
      </c>
      <c r="F493" s="187"/>
      <c r="G493" s="67" t="e">
        <f t="shared" si="374"/>
        <v>#N/A</v>
      </c>
      <c r="H493" s="396" t="e">
        <f t="shared" si="375"/>
        <v>#N/A</v>
      </c>
      <c r="I493" s="396" t="e">
        <f t="shared" si="376"/>
        <v>#N/A</v>
      </c>
      <c r="J493" s="396" t="e">
        <f t="shared" si="377"/>
        <v>#N/A</v>
      </c>
      <c r="K493" s="398" t="e">
        <f t="shared" si="378"/>
        <v>#N/A</v>
      </c>
      <c r="L493" s="396" t="e">
        <f t="shared" si="379"/>
        <v>#N/A</v>
      </c>
      <c r="M493" s="398" t="e">
        <f t="shared" si="380"/>
        <v>#N/A</v>
      </c>
      <c r="N493" s="396" t="e">
        <f t="shared" si="381"/>
        <v>#N/A</v>
      </c>
      <c r="O493" s="396" t="e">
        <f t="shared" si="382"/>
        <v>#N/A</v>
      </c>
      <c r="P493" s="396" t="e">
        <f t="shared" si="383"/>
        <v>#N/A</v>
      </c>
      <c r="Q493" s="396" t="e">
        <f t="shared" si="384"/>
        <v>#N/A</v>
      </c>
      <c r="R493" s="396" t="e">
        <f t="shared" si="385"/>
        <v>#N/A</v>
      </c>
      <c r="S493" s="396" t="e">
        <f t="shared" si="386"/>
        <v>#N/A</v>
      </c>
      <c r="T493" s="397" t="e">
        <f t="shared" si="387"/>
        <v>#N/A</v>
      </c>
      <c r="U493" s="396" t="e">
        <f t="shared" si="388"/>
        <v>#N/A</v>
      </c>
      <c r="V493" s="396" t="e">
        <f t="shared" si="389"/>
        <v>#N/A</v>
      </c>
      <c r="W493" s="206" t="e">
        <f t="shared" si="361"/>
        <v>#N/A</v>
      </c>
      <c r="X493" s="207" t="e">
        <f t="shared" si="362"/>
        <v>#N/A</v>
      </c>
      <c r="Y493" s="207" t="e">
        <f t="shared" si="363"/>
        <v>#N/A</v>
      </c>
      <c r="Z493" s="233" t="e">
        <f t="shared" si="364"/>
        <v>#N/A</v>
      </c>
      <c r="AA493" s="208" t="e">
        <f t="shared" si="360"/>
        <v>#N/A</v>
      </c>
      <c r="AB493" s="233" t="e">
        <f t="shared" si="365"/>
        <v>#N/A</v>
      </c>
      <c r="AC493" s="233" t="e">
        <f t="shared" si="366"/>
        <v>#N/A</v>
      </c>
      <c r="AD493" s="233" t="e">
        <f t="shared" si="367"/>
        <v>#N/A</v>
      </c>
      <c r="AE493" s="233" t="e">
        <f t="shared" si="368"/>
        <v>#N/A</v>
      </c>
      <c r="AF493" s="238" t="e">
        <f t="shared" si="369"/>
        <v>#N/A</v>
      </c>
      <c r="AG493" s="238" t="e">
        <f t="shared" si="370"/>
        <v>#N/A</v>
      </c>
      <c r="AH493" s="238" t="e">
        <f t="shared" si="371"/>
        <v>#N/A</v>
      </c>
      <c r="AI493" s="261" t="e">
        <f t="shared" si="372"/>
        <v>#N/A</v>
      </c>
      <c r="AJ493" s="233" t="e">
        <f t="shared" si="373"/>
        <v>#N/A</v>
      </c>
    </row>
    <row r="494" spans="5:36" s="48" customFormat="1" ht="35.25" customHeight="1" x14ac:dyDescent="0.2">
      <c r="E494" s="218" t="s">
        <v>2307</v>
      </c>
      <c r="F494" s="187"/>
      <c r="G494" s="67" t="e">
        <f t="shared" si="374"/>
        <v>#N/A</v>
      </c>
      <c r="H494" s="396" t="e">
        <f t="shared" si="375"/>
        <v>#N/A</v>
      </c>
      <c r="I494" s="396" t="e">
        <f t="shared" si="376"/>
        <v>#N/A</v>
      </c>
      <c r="J494" s="396" t="e">
        <f t="shared" si="377"/>
        <v>#N/A</v>
      </c>
      <c r="K494" s="398" t="e">
        <f t="shared" si="378"/>
        <v>#N/A</v>
      </c>
      <c r="L494" s="396" t="e">
        <f t="shared" si="379"/>
        <v>#N/A</v>
      </c>
      <c r="M494" s="398" t="e">
        <f t="shared" si="380"/>
        <v>#N/A</v>
      </c>
      <c r="N494" s="396" t="e">
        <f t="shared" si="381"/>
        <v>#N/A</v>
      </c>
      <c r="O494" s="396" t="e">
        <f t="shared" si="382"/>
        <v>#N/A</v>
      </c>
      <c r="P494" s="396" t="e">
        <f t="shared" si="383"/>
        <v>#N/A</v>
      </c>
      <c r="Q494" s="396" t="e">
        <f t="shared" si="384"/>
        <v>#N/A</v>
      </c>
      <c r="R494" s="396" t="e">
        <f t="shared" si="385"/>
        <v>#N/A</v>
      </c>
      <c r="S494" s="396" t="e">
        <f t="shared" si="386"/>
        <v>#N/A</v>
      </c>
      <c r="T494" s="397" t="e">
        <f t="shared" si="387"/>
        <v>#N/A</v>
      </c>
      <c r="U494" s="396" t="e">
        <f t="shared" si="388"/>
        <v>#N/A</v>
      </c>
      <c r="V494" s="396" t="e">
        <f t="shared" si="389"/>
        <v>#N/A</v>
      </c>
      <c r="W494" s="206" t="e">
        <f t="shared" si="361"/>
        <v>#N/A</v>
      </c>
      <c r="X494" s="207" t="e">
        <f t="shared" si="362"/>
        <v>#N/A</v>
      </c>
      <c r="Y494" s="207" t="e">
        <f t="shared" si="363"/>
        <v>#N/A</v>
      </c>
      <c r="Z494" s="233" t="e">
        <f t="shared" si="364"/>
        <v>#N/A</v>
      </c>
      <c r="AA494" s="208" t="e">
        <f t="shared" si="360"/>
        <v>#N/A</v>
      </c>
      <c r="AB494" s="233" t="e">
        <f t="shared" si="365"/>
        <v>#N/A</v>
      </c>
      <c r="AC494" s="233" t="e">
        <f t="shared" si="366"/>
        <v>#N/A</v>
      </c>
      <c r="AD494" s="233" t="e">
        <f t="shared" si="367"/>
        <v>#N/A</v>
      </c>
      <c r="AE494" s="233" t="e">
        <f t="shared" si="368"/>
        <v>#N/A</v>
      </c>
      <c r="AF494" s="238" t="e">
        <f t="shared" si="369"/>
        <v>#N/A</v>
      </c>
      <c r="AG494" s="238" t="e">
        <f t="shared" si="370"/>
        <v>#N/A</v>
      </c>
      <c r="AH494" s="238" t="e">
        <f t="shared" si="371"/>
        <v>#N/A</v>
      </c>
      <c r="AI494" s="261" t="e">
        <f t="shared" si="372"/>
        <v>#N/A</v>
      </c>
      <c r="AJ494" s="233" t="e">
        <f t="shared" si="373"/>
        <v>#N/A</v>
      </c>
    </row>
    <row r="495" spans="5:36" s="48" customFormat="1" ht="35.25" customHeight="1" x14ac:dyDescent="0.2">
      <c r="E495" s="218" t="s">
        <v>2307</v>
      </c>
      <c r="F495" s="187"/>
      <c r="G495" s="67" t="e">
        <f t="shared" si="374"/>
        <v>#N/A</v>
      </c>
      <c r="H495" s="396" t="e">
        <f t="shared" si="375"/>
        <v>#N/A</v>
      </c>
      <c r="I495" s="396" t="e">
        <f t="shared" si="376"/>
        <v>#N/A</v>
      </c>
      <c r="J495" s="396" t="e">
        <f t="shared" si="377"/>
        <v>#N/A</v>
      </c>
      <c r="K495" s="398" t="e">
        <f t="shared" si="378"/>
        <v>#N/A</v>
      </c>
      <c r="L495" s="396" t="e">
        <f t="shared" si="379"/>
        <v>#N/A</v>
      </c>
      <c r="M495" s="398" t="e">
        <f t="shared" si="380"/>
        <v>#N/A</v>
      </c>
      <c r="N495" s="396" t="e">
        <f t="shared" si="381"/>
        <v>#N/A</v>
      </c>
      <c r="O495" s="396" t="e">
        <f t="shared" si="382"/>
        <v>#N/A</v>
      </c>
      <c r="P495" s="396" t="e">
        <f t="shared" si="383"/>
        <v>#N/A</v>
      </c>
      <c r="Q495" s="396" t="e">
        <f t="shared" si="384"/>
        <v>#N/A</v>
      </c>
      <c r="R495" s="396" t="e">
        <f t="shared" si="385"/>
        <v>#N/A</v>
      </c>
      <c r="S495" s="396" t="e">
        <f t="shared" si="386"/>
        <v>#N/A</v>
      </c>
      <c r="T495" s="397" t="e">
        <f t="shared" si="387"/>
        <v>#N/A</v>
      </c>
      <c r="U495" s="396" t="e">
        <f t="shared" si="388"/>
        <v>#N/A</v>
      </c>
      <c r="V495" s="396" t="e">
        <f t="shared" si="389"/>
        <v>#N/A</v>
      </c>
      <c r="W495" s="206" t="e">
        <f t="shared" si="361"/>
        <v>#N/A</v>
      </c>
      <c r="X495" s="207" t="e">
        <f t="shared" si="362"/>
        <v>#N/A</v>
      </c>
      <c r="Y495" s="207" t="e">
        <f t="shared" si="363"/>
        <v>#N/A</v>
      </c>
      <c r="Z495" s="233" t="e">
        <f t="shared" si="364"/>
        <v>#N/A</v>
      </c>
      <c r="AA495" s="208" t="e">
        <f t="shared" si="360"/>
        <v>#N/A</v>
      </c>
      <c r="AB495" s="233" t="e">
        <f t="shared" si="365"/>
        <v>#N/A</v>
      </c>
      <c r="AC495" s="233" t="e">
        <f t="shared" si="366"/>
        <v>#N/A</v>
      </c>
      <c r="AD495" s="233" t="e">
        <f t="shared" si="367"/>
        <v>#N/A</v>
      </c>
      <c r="AE495" s="233" t="e">
        <f t="shared" si="368"/>
        <v>#N/A</v>
      </c>
      <c r="AF495" s="238" t="e">
        <f t="shared" si="369"/>
        <v>#N/A</v>
      </c>
      <c r="AG495" s="238" t="e">
        <f t="shared" si="370"/>
        <v>#N/A</v>
      </c>
      <c r="AH495" s="238" t="e">
        <f t="shared" si="371"/>
        <v>#N/A</v>
      </c>
      <c r="AI495" s="261" t="e">
        <f t="shared" si="372"/>
        <v>#N/A</v>
      </c>
      <c r="AJ495" s="233" t="e">
        <f t="shared" si="373"/>
        <v>#N/A</v>
      </c>
    </row>
    <row r="496" spans="5:36" s="48" customFormat="1" ht="35.25" customHeight="1" x14ac:dyDescent="0.2">
      <c r="E496" s="218" t="s">
        <v>2307</v>
      </c>
      <c r="F496" s="187"/>
      <c r="G496" s="67" t="e">
        <f t="shared" si="374"/>
        <v>#N/A</v>
      </c>
      <c r="H496" s="396" t="e">
        <f t="shared" si="375"/>
        <v>#N/A</v>
      </c>
      <c r="I496" s="396" t="e">
        <f t="shared" si="376"/>
        <v>#N/A</v>
      </c>
      <c r="J496" s="396" t="e">
        <f t="shared" si="377"/>
        <v>#N/A</v>
      </c>
      <c r="K496" s="398" t="e">
        <f t="shared" si="378"/>
        <v>#N/A</v>
      </c>
      <c r="L496" s="396" t="e">
        <f t="shared" si="379"/>
        <v>#N/A</v>
      </c>
      <c r="M496" s="398" t="e">
        <f t="shared" si="380"/>
        <v>#N/A</v>
      </c>
      <c r="N496" s="396" t="e">
        <f t="shared" si="381"/>
        <v>#N/A</v>
      </c>
      <c r="O496" s="396" t="e">
        <f t="shared" si="382"/>
        <v>#N/A</v>
      </c>
      <c r="P496" s="396" t="e">
        <f t="shared" si="383"/>
        <v>#N/A</v>
      </c>
      <c r="Q496" s="396" t="e">
        <f t="shared" si="384"/>
        <v>#N/A</v>
      </c>
      <c r="R496" s="396" t="e">
        <f t="shared" si="385"/>
        <v>#N/A</v>
      </c>
      <c r="S496" s="396" t="e">
        <f t="shared" si="386"/>
        <v>#N/A</v>
      </c>
      <c r="T496" s="397" t="e">
        <f t="shared" si="387"/>
        <v>#N/A</v>
      </c>
      <c r="U496" s="396" t="e">
        <f t="shared" si="388"/>
        <v>#N/A</v>
      </c>
      <c r="V496" s="396" t="e">
        <f t="shared" si="389"/>
        <v>#N/A</v>
      </c>
      <c r="W496" s="206" t="e">
        <f t="shared" si="361"/>
        <v>#N/A</v>
      </c>
      <c r="X496" s="207" t="e">
        <f t="shared" si="362"/>
        <v>#N/A</v>
      </c>
      <c r="Y496" s="207" t="e">
        <f t="shared" si="363"/>
        <v>#N/A</v>
      </c>
      <c r="Z496" s="233" t="e">
        <f t="shared" si="364"/>
        <v>#N/A</v>
      </c>
      <c r="AA496" s="208" t="e">
        <f t="shared" si="360"/>
        <v>#N/A</v>
      </c>
      <c r="AB496" s="233" t="e">
        <f t="shared" si="365"/>
        <v>#N/A</v>
      </c>
      <c r="AC496" s="233" t="e">
        <f t="shared" si="366"/>
        <v>#N/A</v>
      </c>
      <c r="AD496" s="233" t="e">
        <f t="shared" si="367"/>
        <v>#N/A</v>
      </c>
      <c r="AE496" s="233" t="e">
        <f t="shared" si="368"/>
        <v>#N/A</v>
      </c>
      <c r="AF496" s="238" t="e">
        <f t="shared" si="369"/>
        <v>#N/A</v>
      </c>
      <c r="AG496" s="238" t="e">
        <f t="shared" si="370"/>
        <v>#N/A</v>
      </c>
      <c r="AH496" s="238" t="e">
        <f t="shared" si="371"/>
        <v>#N/A</v>
      </c>
      <c r="AI496" s="261" t="e">
        <f t="shared" si="372"/>
        <v>#N/A</v>
      </c>
      <c r="AJ496" s="233" t="e">
        <f t="shared" si="373"/>
        <v>#N/A</v>
      </c>
    </row>
    <row r="497" spans="5:36" s="48" customFormat="1" ht="35.25" customHeight="1" x14ac:dyDescent="0.2">
      <c r="E497" s="218" t="s">
        <v>2307</v>
      </c>
      <c r="F497" s="187"/>
      <c r="G497" s="67" t="e">
        <f t="shared" si="374"/>
        <v>#N/A</v>
      </c>
      <c r="H497" s="396" t="e">
        <f t="shared" si="375"/>
        <v>#N/A</v>
      </c>
      <c r="I497" s="396" t="e">
        <f t="shared" si="376"/>
        <v>#N/A</v>
      </c>
      <c r="J497" s="396" t="e">
        <f t="shared" si="377"/>
        <v>#N/A</v>
      </c>
      <c r="K497" s="398" t="e">
        <f t="shared" si="378"/>
        <v>#N/A</v>
      </c>
      <c r="L497" s="396" t="e">
        <f t="shared" si="379"/>
        <v>#N/A</v>
      </c>
      <c r="M497" s="398" t="e">
        <f t="shared" si="380"/>
        <v>#N/A</v>
      </c>
      <c r="N497" s="396" t="e">
        <f t="shared" si="381"/>
        <v>#N/A</v>
      </c>
      <c r="O497" s="396" t="e">
        <f t="shared" si="382"/>
        <v>#N/A</v>
      </c>
      <c r="P497" s="396" t="e">
        <f t="shared" si="383"/>
        <v>#N/A</v>
      </c>
      <c r="Q497" s="396" t="e">
        <f t="shared" si="384"/>
        <v>#N/A</v>
      </c>
      <c r="R497" s="396" t="e">
        <f t="shared" si="385"/>
        <v>#N/A</v>
      </c>
      <c r="S497" s="396" t="e">
        <f t="shared" si="386"/>
        <v>#N/A</v>
      </c>
      <c r="T497" s="397" t="e">
        <f t="shared" si="387"/>
        <v>#N/A</v>
      </c>
      <c r="U497" s="396" t="e">
        <f t="shared" si="388"/>
        <v>#N/A</v>
      </c>
      <c r="V497" s="396" t="e">
        <f t="shared" si="389"/>
        <v>#N/A</v>
      </c>
      <c r="W497" s="206" t="e">
        <f t="shared" si="361"/>
        <v>#N/A</v>
      </c>
      <c r="X497" s="207" t="e">
        <f t="shared" si="362"/>
        <v>#N/A</v>
      </c>
      <c r="Y497" s="207" t="e">
        <f t="shared" si="363"/>
        <v>#N/A</v>
      </c>
      <c r="Z497" s="233" t="e">
        <f t="shared" si="364"/>
        <v>#N/A</v>
      </c>
      <c r="AA497" s="208" t="e">
        <f t="shared" si="360"/>
        <v>#N/A</v>
      </c>
      <c r="AB497" s="233" t="e">
        <f t="shared" si="365"/>
        <v>#N/A</v>
      </c>
      <c r="AC497" s="233" t="e">
        <f t="shared" si="366"/>
        <v>#N/A</v>
      </c>
      <c r="AD497" s="233" t="e">
        <f t="shared" si="367"/>
        <v>#N/A</v>
      </c>
      <c r="AE497" s="233" t="e">
        <f t="shared" si="368"/>
        <v>#N/A</v>
      </c>
      <c r="AF497" s="238" t="e">
        <f t="shared" si="369"/>
        <v>#N/A</v>
      </c>
      <c r="AG497" s="238" t="e">
        <f t="shared" si="370"/>
        <v>#N/A</v>
      </c>
      <c r="AH497" s="238" t="e">
        <f t="shared" si="371"/>
        <v>#N/A</v>
      </c>
      <c r="AI497" s="261" t="e">
        <f t="shared" si="372"/>
        <v>#N/A</v>
      </c>
      <c r="AJ497" s="233" t="e">
        <f t="shared" si="373"/>
        <v>#N/A</v>
      </c>
    </row>
    <row r="498" spans="5:36" s="48" customFormat="1" ht="35.25" customHeight="1" x14ac:dyDescent="0.2">
      <c r="E498" s="218" t="s">
        <v>2307</v>
      </c>
      <c r="F498" s="187"/>
      <c r="G498" s="67" t="e">
        <f t="shared" si="374"/>
        <v>#N/A</v>
      </c>
      <c r="H498" s="396" t="e">
        <f t="shared" si="375"/>
        <v>#N/A</v>
      </c>
      <c r="I498" s="396" t="e">
        <f t="shared" si="376"/>
        <v>#N/A</v>
      </c>
      <c r="J498" s="396" t="e">
        <f t="shared" si="377"/>
        <v>#N/A</v>
      </c>
      <c r="K498" s="398" t="e">
        <f t="shared" si="378"/>
        <v>#N/A</v>
      </c>
      <c r="L498" s="396" t="e">
        <f t="shared" si="379"/>
        <v>#N/A</v>
      </c>
      <c r="M498" s="398" t="e">
        <f t="shared" si="380"/>
        <v>#N/A</v>
      </c>
      <c r="N498" s="396" t="e">
        <f t="shared" si="381"/>
        <v>#N/A</v>
      </c>
      <c r="O498" s="396" t="e">
        <f t="shared" si="382"/>
        <v>#N/A</v>
      </c>
      <c r="P498" s="396" t="e">
        <f t="shared" si="383"/>
        <v>#N/A</v>
      </c>
      <c r="Q498" s="396" t="e">
        <f t="shared" si="384"/>
        <v>#N/A</v>
      </c>
      <c r="R498" s="396" t="e">
        <f t="shared" si="385"/>
        <v>#N/A</v>
      </c>
      <c r="S498" s="396" t="e">
        <f t="shared" si="386"/>
        <v>#N/A</v>
      </c>
      <c r="T498" s="397" t="e">
        <f t="shared" si="387"/>
        <v>#N/A</v>
      </c>
      <c r="U498" s="396" t="e">
        <f t="shared" si="388"/>
        <v>#N/A</v>
      </c>
      <c r="V498" s="396" t="e">
        <f t="shared" si="389"/>
        <v>#N/A</v>
      </c>
      <c r="W498" s="206" t="e">
        <f t="shared" si="361"/>
        <v>#N/A</v>
      </c>
      <c r="X498" s="207" t="e">
        <f t="shared" si="362"/>
        <v>#N/A</v>
      </c>
      <c r="Y498" s="207" t="e">
        <f t="shared" si="363"/>
        <v>#N/A</v>
      </c>
      <c r="Z498" s="233" t="e">
        <f t="shared" si="364"/>
        <v>#N/A</v>
      </c>
      <c r="AA498" s="208" t="e">
        <f t="shared" si="360"/>
        <v>#N/A</v>
      </c>
      <c r="AB498" s="233" t="e">
        <f t="shared" si="365"/>
        <v>#N/A</v>
      </c>
      <c r="AC498" s="233" t="e">
        <f t="shared" si="366"/>
        <v>#N/A</v>
      </c>
      <c r="AD498" s="233" t="e">
        <f t="shared" si="367"/>
        <v>#N/A</v>
      </c>
      <c r="AE498" s="233" t="e">
        <f t="shared" si="368"/>
        <v>#N/A</v>
      </c>
      <c r="AF498" s="238" t="e">
        <f t="shared" si="369"/>
        <v>#N/A</v>
      </c>
      <c r="AG498" s="238" t="e">
        <f t="shared" si="370"/>
        <v>#N/A</v>
      </c>
      <c r="AH498" s="238" t="e">
        <f t="shared" si="371"/>
        <v>#N/A</v>
      </c>
      <c r="AI498" s="261" t="e">
        <f t="shared" si="372"/>
        <v>#N/A</v>
      </c>
      <c r="AJ498" s="233" t="e">
        <f t="shared" si="373"/>
        <v>#N/A</v>
      </c>
    </row>
    <row r="499" spans="5:36" s="48" customFormat="1" ht="35.25" customHeight="1" x14ac:dyDescent="0.2">
      <c r="E499" s="218" t="s">
        <v>2307</v>
      </c>
      <c r="F499" s="187"/>
      <c r="G499" s="67" t="e">
        <f t="shared" si="374"/>
        <v>#N/A</v>
      </c>
      <c r="H499" s="396" t="e">
        <f t="shared" si="375"/>
        <v>#N/A</v>
      </c>
      <c r="I499" s="396" t="e">
        <f t="shared" si="376"/>
        <v>#N/A</v>
      </c>
      <c r="J499" s="396" t="e">
        <f t="shared" si="377"/>
        <v>#N/A</v>
      </c>
      <c r="K499" s="398" t="e">
        <f t="shared" si="378"/>
        <v>#N/A</v>
      </c>
      <c r="L499" s="396" t="e">
        <f t="shared" si="379"/>
        <v>#N/A</v>
      </c>
      <c r="M499" s="398" t="e">
        <f t="shared" si="380"/>
        <v>#N/A</v>
      </c>
      <c r="N499" s="396" t="e">
        <f t="shared" si="381"/>
        <v>#N/A</v>
      </c>
      <c r="O499" s="396" t="e">
        <f t="shared" si="382"/>
        <v>#N/A</v>
      </c>
      <c r="P499" s="396" t="e">
        <f t="shared" si="383"/>
        <v>#N/A</v>
      </c>
      <c r="Q499" s="396" t="e">
        <f t="shared" si="384"/>
        <v>#N/A</v>
      </c>
      <c r="R499" s="396" t="e">
        <f t="shared" si="385"/>
        <v>#N/A</v>
      </c>
      <c r="S499" s="396" t="e">
        <f t="shared" si="386"/>
        <v>#N/A</v>
      </c>
      <c r="T499" s="397" t="e">
        <f t="shared" si="387"/>
        <v>#N/A</v>
      </c>
      <c r="U499" s="396" t="e">
        <f t="shared" si="388"/>
        <v>#N/A</v>
      </c>
      <c r="V499" s="396" t="e">
        <f t="shared" si="389"/>
        <v>#N/A</v>
      </c>
      <c r="W499" s="206" t="e">
        <f t="shared" si="361"/>
        <v>#N/A</v>
      </c>
      <c r="X499" s="207" t="e">
        <f t="shared" si="362"/>
        <v>#N/A</v>
      </c>
      <c r="Y499" s="207" t="e">
        <f t="shared" si="363"/>
        <v>#N/A</v>
      </c>
      <c r="Z499" s="233" t="e">
        <f t="shared" si="364"/>
        <v>#N/A</v>
      </c>
      <c r="AA499" s="208" t="e">
        <f t="shared" si="360"/>
        <v>#N/A</v>
      </c>
      <c r="AB499" s="233" t="e">
        <f t="shared" si="365"/>
        <v>#N/A</v>
      </c>
      <c r="AC499" s="233" t="e">
        <f t="shared" si="366"/>
        <v>#N/A</v>
      </c>
      <c r="AD499" s="233" t="e">
        <f t="shared" si="367"/>
        <v>#N/A</v>
      </c>
      <c r="AE499" s="233" t="e">
        <f t="shared" si="368"/>
        <v>#N/A</v>
      </c>
      <c r="AF499" s="238" t="e">
        <f t="shared" si="369"/>
        <v>#N/A</v>
      </c>
      <c r="AG499" s="238" t="e">
        <f t="shared" si="370"/>
        <v>#N/A</v>
      </c>
      <c r="AH499" s="238" t="e">
        <f t="shared" si="371"/>
        <v>#N/A</v>
      </c>
      <c r="AI499" s="261" t="e">
        <f t="shared" si="372"/>
        <v>#N/A</v>
      </c>
      <c r="AJ499" s="233" t="e">
        <f t="shared" si="373"/>
        <v>#N/A</v>
      </c>
    </row>
    <row r="500" spans="5:36" s="48" customFormat="1" ht="35.25" customHeight="1" x14ac:dyDescent="0.2">
      <c r="E500" s="218" t="s">
        <v>2307</v>
      </c>
      <c r="F500" s="187"/>
      <c r="G500" s="67" t="e">
        <f t="shared" si="374"/>
        <v>#N/A</v>
      </c>
      <c r="H500" s="396" t="e">
        <f t="shared" si="375"/>
        <v>#N/A</v>
      </c>
      <c r="I500" s="396" t="e">
        <f t="shared" si="376"/>
        <v>#N/A</v>
      </c>
      <c r="J500" s="396" t="e">
        <f t="shared" si="377"/>
        <v>#N/A</v>
      </c>
      <c r="K500" s="398" t="e">
        <f t="shared" si="378"/>
        <v>#N/A</v>
      </c>
      <c r="L500" s="396" t="e">
        <f t="shared" si="379"/>
        <v>#N/A</v>
      </c>
      <c r="M500" s="398" t="e">
        <f t="shared" si="380"/>
        <v>#N/A</v>
      </c>
      <c r="N500" s="396" t="e">
        <f t="shared" si="381"/>
        <v>#N/A</v>
      </c>
      <c r="O500" s="396" t="e">
        <f t="shared" si="382"/>
        <v>#N/A</v>
      </c>
      <c r="P500" s="396" t="e">
        <f t="shared" si="383"/>
        <v>#N/A</v>
      </c>
      <c r="Q500" s="396" t="e">
        <f t="shared" si="384"/>
        <v>#N/A</v>
      </c>
      <c r="R500" s="396" t="e">
        <f t="shared" si="385"/>
        <v>#N/A</v>
      </c>
      <c r="S500" s="396" t="e">
        <f t="shared" si="386"/>
        <v>#N/A</v>
      </c>
      <c r="T500" s="397" t="e">
        <f t="shared" si="387"/>
        <v>#N/A</v>
      </c>
      <c r="U500" s="396" t="e">
        <f t="shared" si="388"/>
        <v>#N/A</v>
      </c>
      <c r="V500" s="396" t="e">
        <f t="shared" si="389"/>
        <v>#N/A</v>
      </c>
      <c r="W500" s="206" t="e">
        <f t="shared" si="361"/>
        <v>#N/A</v>
      </c>
      <c r="X500" s="207" t="e">
        <f t="shared" si="362"/>
        <v>#N/A</v>
      </c>
      <c r="Y500" s="207" t="e">
        <f t="shared" si="363"/>
        <v>#N/A</v>
      </c>
      <c r="Z500" s="233" t="e">
        <f t="shared" si="364"/>
        <v>#N/A</v>
      </c>
      <c r="AA500" s="208" t="e">
        <f t="shared" si="360"/>
        <v>#N/A</v>
      </c>
      <c r="AB500" s="233" t="e">
        <f t="shared" si="365"/>
        <v>#N/A</v>
      </c>
      <c r="AC500" s="233" t="e">
        <f t="shared" si="366"/>
        <v>#N/A</v>
      </c>
      <c r="AD500" s="233" t="e">
        <f t="shared" si="367"/>
        <v>#N/A</v>
      </c>
      <c r="AE500" s="233" t="e">
        <f t="shared" si="368"/>
        <v>#N/A</v>
      </c>
      <c r="AF500" s="238" t="e">
        <f t="shared" si="369"/>
        <v>#N/A</v>
      </c>
      <c r="AG500" s="238" t="e">
        <f t="shared" si="370"/>
        <v>#N/A</v>
      </c>
      <c r="AH500" s="238" t="e">
        <f t="shared" si="371"/>
        <v>#N/A</v>
      </c>
      <c r="AI500" s="261" t="e">
        <f t="shared" si="372"/>
        <v>#N/A</v>
      </c>
      <c r="AJ500" s="233" t="e">
        <f t="shared" si="373"/>
        <v>#N/A</v>
      </c>
    </row>
    <row r="501" spans="5:36" s="48" customFormat="1" ht="35.25" customHeight="1" x14ac:dyDescent="0.2">
      <c r="E501" s="218" t="s">
        <v>2307</v>
      </c>
      <c r="F501" s="187"/>
      <c r="G501" s="67" t="e">
        <f t="shared" si="374"/>
        <v>#N/A</v>
      </c>
      <c r="H501" s="396" t="e">
        <f t="shared" si="375"/>
        <v>#N/A</v>
      </c>
      <c r="I501" s="396" t="e">
        <f t="shared" si="376"/>
        <v>#N/A</v>
      </c>
      <c r="J501" s="396" t="e">
        <f t="shared" si="377"/>
        <v>#N/A</v>
      </c>
      <c r="K501" s="398" t="e">
        <f t="shared" si="378"/>
        <v>#N/A</v>
      </c>
      <c r="L501" s="396" t="e">
        <f t="shared" si="379"/>
        <v>#N/A</v>
      </c>
      <c r="M501" s="398" t="e">
        <f t="shared" si="380"/>
        <v>#N/A</v>
      </c>
      <c r="N501" s="396" t="e">
        <f t="shared" si="381"/>
        <v>#N/A</v>
      </c>
      <c r="O501" s="396" t="e">
        <f t="shared" si="382"/>
        <v>#N/A</v>
      </c>
      <c r="P501" s="396" t="e">
        <f t="shared" si="383"/>
        <v>#N/A</v>
      </c>
      <c r="Q501" s="396" t="e">
        <f t="shared" si="384"/>
        <v>#N/A</v>
      </c>
      <c r="R501" s="396" t="e">
        <f t="shared" si="385"/>
        <v>#N/A</v>
      </c>
      <c r="S501" s="396" t="e">
        <f t="shared" si="386"/>
        <v>#N/A</v>
      </c>
      <c r="T501" s="397" t="e">
        <f t="shared" si="387"/>
        <v>#N/A</v>
      </c>
      <c r="U501" s="396" t="e">
        <f t="shared" si="388"/>
        <v>#N/A</v>
      </c>
      <c r="V501" s="396" t="e">
        <f t="shared" si="389"/>
        <v>#N/A</v>
      </c>
      <c r="W501" s="206" t="e">
        <f t="shared" si="361"/>
        <v>#N/A</v>
      </c>
      <c r="X501" s="207" t="e">
        <f t="shared" si="362"/>
        <v>#N/A</v>
      </c>
      <c r="Y501" s="207" t="e">
        <f t="shared" si="363"/>
        <v>#N/A</v>
      </c>
      <c r="Z501" s="233" t="e">
        <f t="shared" si="364"/>
        <v>#N/A</v>
      </c>
      <c r="AA501" s="208" t="e">
        <f t="shared" si="360"/>
        <v>#N/A</v>
      </c>
      <c r="AB501" s="233" t="e">
        <f t="shared" si="365"/>
        <v>#N/A</v>
      </c>
      <c r="AC501" s="233" t="e">
        <f t="shared" si="366"/>
        <v>#N/A</v>
      </c>
      <c r="AD501" s="233" t="e">
        <f t="shared" si="367"/>
        <v>#N/A</v>
      </c>
      <c r="AE501" s="233" t="e">
        <f t="shared" si="368"/>
        <v>#N/A</v>
      </c>
      <c r="AF501" s="238" t="e">
        <f t="shared" si="369"/>
        <v>#N/A</v>
      </c>
      <c r="AG501" s="238" t="e">
        <f t="shared" si="370"/>
        <v>#N/A</v>
      </c>
      <c r="AH501" s="238" t="e">
        <f t="shared" si="371"/>
        <v>#N/A</v>
      </c>
      <c r="AI501" s="261" t="e">
        <f t="shared" si="372"/>
        <v>#N/A</v>
      </c>
      <c r="AJ501" s="233" t="e">
        <f t="shared" si="373"/>
        <v>#N/A</v>
      </c>
    </row>
    <row r="502" spans="5:36" s="48" customFormat="1" ht="35.25" customHeight="1" x14ac:dyDescent="0.2">
      <c r="E502" s="218" t="s">
        <v>2307</v>
      </c>
      <c r="F502" s="187"/>
      <c r="G502" s="67" t="e">
        <f t="shared" si="374"/>
        <v>#N/A</v>
      </c>
      <c r="H502" s="396" t="e">
        <f t="shared" si="375"/>
        <v>#N/A</v>
      </c>
      <c r="I502" s="396" t="e">
        <f t="shared" si="376"/>
        <v>#N/A</v>
      </c>
      <c r="J502" s="396" t="e">
        <f t="shared" si="377"/>
        <v>#N/A</v>
      </c>
      <c r="K502" s="398" t="e">
        <f t="shared" si="378"/>
        <v>#N/A</v>
      </c>
      <c r="L502" s="396" t="e">
        <f t="shared" si="379"/>
        <v>#N/A</v>
      </c>
      <c r="M502" s="398" t="e">
        <f t="shared" si="380"/>
        <v>#N/A</v>
      </c>
      <c r="N502" s="396" t="e">
        <f t="shared" si="381"/>
        <v>#N/A</v>
      </c>
      <c r="O502" s="396" t="e">
        <f t="shared" si="382"/>
        <v>#N/A</v>
      </c>
      <c r="P502" s="396" t="e">
        <f t="shared" si="383"/>
        <v>#N/A</v>
      </c>
      <c r="Q502" s="396" t="e">
        <f t="shared" si="384"/>
        <v>#N/A</v>
      </c>
      <c r="R502" s="396" t="e">
        <f t="shared" si="385"/>
        <v>#N/A</v>
      </c>
      <c r="S502" s="396" t="e">
        <f t="shared" si="386"/>
        <v>#N/A</v>
      </c>
      <c r="T502" s="397" t="e">
        <f t="shared" si="387"/>
        <v>#N/A</v>
      </c>
      <c r="U502" s="396" t="e">
        <f t="shared" si="388"/>
        <v>#N/A</v>
      </c>
      <c r="V502" s="396" t="e">
        <f t="shared" si="389"/>
        <v>#N/A</v>
      </c>
      <c r="W502" s="206" t="e">
        <f t="shared" si="361"/>
        <v>#N/A</v>
      </c>
      <c r="X502" s="207" t="e">
        <f t="shared" si="362"/>
        <v>#N/A</v>
      </c>
      <c r="Y502" s="207" t="e">
        <f t="shared" si="363"/>
        <v>#N/A</v>
      </c>
      <c r="Z502" s="233" t="e">
        <f t="shared" si="364"/>
        <v>#N/A</v>
      </c>
      <c r="AA502" s="208" t="e">
        <f t="shared" si="360"/>
        <v>#N/A</v>
      </c>
      <c r="AB502" s="233" t="e">
        <f t="shared" si="365"/>
        <v>#N/A</v>
      </c>
      <c r="AC502" s="233" t="e">
        <f t="shared" si="366"/>
        <v>#N/A</v>
      </c>
      <c r="AD502" s="233" t="e">
        <f t="shared" si="367"/>
        <v>#N/A</v>
      </c>
      <c r="AE502" s="233" t="e">
        <f t="shared" si="368"/>
        <v>#N/A</v>
      </c>
      <c r="AF502" s="238" t="e">
        <f t="shared" si="369"/>
        <v>#N/A</v>
      </c>
      <c r="AG502" s="238" t="e">
        <f t="shared" si="370"/>
        <v>#N/A</v>
      </c>
      <c r="AH502" s="238" t="e">
        <f t="shared" si="371"/>
        <v>#N/A</v>
      </c>
      <c r="AI502" s="261" t="e">
        <f t="shared" si="372"/>
        <v>#N/A</v>
      </c>
      <c r="AJ502" s="233" t="e">
        <f t="shared" si="373"/>
        <v>#N/A</v>
      </c>
    </row>
    <row r="503" spans="5:36" s="48" customFormat="1" ht="35.25" customHeight="1" x14ac:dyDescent="0.2">
      <c r="E503" s="218" t="s">
        <v>2307</v>
      </c>
      <c r="F503" s="187"/>
      <c r="G503" s="67" t="e">
        <f t="shared" si="374"/>
        <v>#N/A</v>
      </c>
      <c r="H503" s="396" t="e">
        <f t="shared" si="375"/>
        <v>#N/A</v>
      </c>
      <c r="I503" s="396" t="e">
        <f t="shared" si="376"/>
        <v>#N/A</v>
      </c>
      <c r="J503" s="396" t="e">
        <f t="shared" si="377"/>
        <v>#N/A</v>
      </c>
      <c r="K503" s="398" t="e">
        <f t="shared" si="378"/>
        <v>#N/A</v>
      </c>
      <c r="L503" s="396" t="e">
        <f t="shared" si="379"/>
        <v>#N/A</v>
      </c>
      <c r="M503" s="398" t="e">
        <f t="shared" si="380"/>
        <v>#N/A</v>
      </c>
      <c r="N503" s="396" t="e">
        <f t="shared" si="381"/>
        <v>#N/A</v>
      </c>
      <c r="O503" s="396" t="e">
        <f t="shared" si="382"/>
        <v>#N/A</v>
      </c>
      <c r="P503" s="396" t="e">
        <f t="shared" si="383"/>
        <v>#N/A</v>
      </c>
      <c r="Q503" s="396" t="e">
        <f t="shared" si="384"/>
        <v>#N/A</v>
      </c>
      <c r="R503" s="396" t="e">
        <f t="shared" si="385"/>
        <v>#N/A</v>
      </c>
      <c r="S503" s="396" t="e">
        <f t="shared" si="386"/>
        <v>#N/A</v>
      </c>
      <c r="T503" s="397" t="e">
        <f t="shared" si="387"/>
        <v>#N/A</v>
      </c>
      <c r="U503" s="396" t="e">
        <f t="shared" si="388"/>
        <v>#N/A</v>
      </c>
      <c r="V503" s="396" t="e">
        <f t="shared" si="389"/>
        <v>#N/A</v>
      </c>
      <c r="W503" s="206" t="e">
        <f t="shared" si="361"/>
        <v>#N/A</v>
      </c>
      <c r="X503" s="207" t="e">
        <f t="shared" si="362"/>
        <v>#N/A</v>
      </c>
      <c r="Y503" s="207" t="e">
        <f t="shared" si="363"/>
        <v>#N/A</v>
      </c>
      <c r="Z503" s="233" t="e">
        <f t="shared" si="364"/>
        <v>#N/A</v>
      </c>
      <c r="AA503" s="208" t="e">
        <f t="shared" si="360"/>
        <v>#N/A</v>
      </c>
      <c r="AB503" s="233" t="e">
        <f t="shared" si="365"/>
        <v>#N/A</v>
      </c>
      <c r="AC503" s="233" t="e">
        <f t="shared" si="366"/>
        <v>#N/A</v>
      </c>
      <c r="AD503" s="233" t="e">
        <f t="shared" si="367"/>
        <v>#N/A</v>
      </c>
      <c r="AE503" s="233" t="e">
        <f t="shared" si="368"/>
        <v>#N/A</v>
      </c>
      <c r="AF503" s="238" t="e">
        <f t="shared" si="369"/>
        <v>#N/A</v>
      </c>
      <c r="AG503" s="238" t="e">
        <f t="shared" si="370"/>
        <v>#N/A</v>
      </c>
      <c r="AH503" s="238" t="e">
        <f t="shared" si="371"/>
        <v>#N/A</v>
      </c>
      <c r="AI503" s="261" t="e">
        <f t="shared" si="372"/>
        <v>#N/A</v>
      </c>
      <c r="AJ503" s="233" t="e">
        <f t="shared" si="373"/>
        <v>#N/A</v>
      </c>
    </row>
    <row r="504" spans="5:36" s="48" customFormat="1" ht="35.25" customHeight="1" x14ac:dyDescent="0.2">
      <c r="E504" s="218"/>
      <c r="F504" s="187"/>
      <c r="G504" s="67" t="e">
        <f t="shared" si="374"/>
        <v>#N/A</v>
      </c>
      <c r="H504" s="396" t="e">
        <f t="shared" si="375"/>
        <v>#N/A</v>
      </c>
      <c r="I504" s="396" t="e">
        <f t="shared" si="376"/>
        <v>#N/A</v>
      </c>
      <c r="J504" s="396" t="e">
        <f t="shared" si="377"/>
        <v>#N/A</v>
      </c>
      <c r="K504" s="398" t="e">
        <f t="shared" si="378"/>
        <v>#N/A</v>
      </c>
      <c r="L504" s="396" t="e">
        <f t="shared" si="379"/>
        <v>#N/A</v>
      </c>
      <c r="M504" s="398" t="e">
        <f t="shared" si="380"/>
        <v>#N/A</v>
      </c>
      <c r="N504" s="396" t="e">
        <f t="shared" si="381"/>
        <v>#N/A</v>
      </c>
      <c r="O504" s="396" t="e">
        <f t="shared" si="382"/>
        <v>#N/A</v>
      </c>
      <c r="P504" s="396" t="e">
        <f t="shared" si="383"/>
        <v>#N/A</v>
      </c>
      <c r="Q504" s="396" t="e">
        <f t="shared" si="384"/>
        <v>#N/A</v>
      </c>
      <c r="R504" s="396" t="e">
        <f t="shared" si="385"/>
        <v>#N/A</v>
      </c>
      <c r="S504" s="396" t="e">
        <f t="shared" si="386"/>
        <v>#N/A</v>
      </c>
      <c r="T504" s="397" t="e">
        <f t="shared" si="387"/>
        <v>#N/A</v>
      </c>
      <c r="U504" s="396" t="e">
        <f t="shared" si="388"/>
        <v>#N/A</v>
      </c>
      <c r="V504" s="396" t="e">
        <f t="shared" si="389"/>
        <v>#N/A</v>
      </c>
      <c r="W504" s="206" t="e">
        <f t="shared" si="361"/>
        <v>#N/A</v>
      </c>
      <c r="X504" s="207" t="e">
        <f t="shared" si="362"/>
        <v>#N/A</v>
      </c>
      <c r="Y504" s="207" t="e">
        <f t="shared" si="363"/>
        <v>#N/A</v>
      </c>
      <c r="Z504" s="233" t="e">
        <f t="shared" si="364"/>
        <v>#N/A</v>
      </c>
      <c r="AA504" s="208" t="e">
        <f t="shared" si="360"/>
        <v>#N/A</v>
      </c>
      <c r="AB504" s="233" t="e">
        <f t="shared" si="365"/>
        <v>#N/A</v>
      </c>
      <c r="AC504" s="233" t="e">
        <f t="shared" si="366"/>
        <v>#N/A</v>
      </c>
      <c r="AD504" s="233" t="e">
        <f t="shared" si="367"/>
        <v>#N/A</v>
      </c>
      <c r="AE504" s="233" t="e">
        <f t="shared" si="368"/>
        <v>#N/A</v>
      </c>
      <c r="AF504" s="238" t="e">
        <f t="shared" si="369"/>
        <v>#N/A</v>
      </c>
      <c r="AG504" s="238" t="e">
        <f t="shared" si="370"/>
        <v>#N/A</v>
      </c>
      <c r="AH504" s="238" t="e">
        <f t="shared" si="371"/>
        <v>#N/A</v>
      </c>
      <c r="AI504" s="261" t="e">
        <f t="shared" si="372"/>
        <v>#N/A</v>
      </c>
      <c r="AJ504" s="233" t="e">
        <f t="shared" si="373"/>
        <v>#N/A</v>
      </c>
    </row>
    <row r="505" spans="5:36" s="48" customFormat="1" ht="35.25" customHeight="1" x14ac:dyDescent="0.2">
      <c r="E505" s="218"/>
      <c r="F505" s="187"/>
      <c r="G505" s="67" t="e">
        <f t="shared" si="374"/>
        <v>#N/A</v>
      </c>
      <c r="H505" s="396" t="e">
        <f t="shared" si="375"/>
        <v>#N/A</v>
      </c>
      <c r="I505" s="396" t="e">
        <f t="shared" si="376"/>
        <v>#N/A</v>
      </c>
      <c r="J505" s="396" t="e">
        <f t="shared" si="377"/>
        <v>#N/A</v>
      </c>
      <c r="K505" s="398" t="e">
        <f t="shared" si="378"/>
        <v>#N/A</v>
      </c>
      <c r="L505" s="396" t="e">
        <f t="shared" si="379"/>
        <v>#N/A</v>
      </c>
      <c r="M505" s="398" t="e">
        <f t="shared" si="380"/>
        <v>#N/A</v>
      </c>
      <c r="N505" s="396" t="e">
        <f t="shared" si="381"/>
        <v>#N/A</v>
      </c>
      <c r="O505" s="396" t="e">
        <f t="shared" si="382"/>
        <v>#N/A</v>
      </c>
      <c r="P505" s="396" t="e">
        <f t="shared" si="383"/>
        <v>#N/A</v>
      </c>
      <c r="Q505" s="396" t="e">
        <f t="shared" si="384"/>
        <v>#N/A</v>
      </c>
      <c r="R505" s="396" t="e">
        <f t="shared" si="385"/>
        <v>#N/A</v>
      </c>
      <c r="S505" s="396" t="e">
        <f t="shared" si="386"/>
        <v>#N/A</v>
      </c>
      <c r="T505" s="397" t="e">
        <f t="shared" si="387"/>
        <v>#N/A</v>
      </c>
      <c r="U505" s="396" t="e">
        <f t="shared" si="388"/>
        <v>#N/A</v>
      </c>
      <c r="V505" s="396" t="e">
        <f t="shared" si="389"/>
        <v>#N/A</v>
      </c>
      <c r="W505" s="206" t="e">
        <f t="shared" si="361"/>
        <v>#N/A</v>
      </c>
      <c r="X505" s="207" t="e">
        <f t="shared" si="362"/>
        <v>#N/A</v>
      </c>
      <c r="Y505" s="207" t="e">
        <f t="shared" si="363"/>
        <v>#N/A</v>
      </c>
      <c r="Z505" s="233" t="e">
        <f t="shared" si="364"/>
        <v>#N/A</v>
      </c>
      <c r="AA505" s="208" t="e">
        <f t="shared" si="360"/>
        <v>#N/A</v>
      </c>
      <c r="AB505" s="233" t="e">
        <f t="shared" si="365"/>
        <v>#N/A</v>
      </c>
      <c r="AC505" s="233" t="e">
        <f t="shared" si="366"/>
        <v>#N/A</v>
      </c>
      <c r="AD505" s="233" t="e">
        <f t="shared" si="367"/>
        <v>#N/A</v>
      </c>
      <c r="AE505" s="233" t="e">
        <f t="shared" si="368"/>
        <v>#N/A</v>
      </c>
      <c r="AF505" s="238" t="e">
        <f t="shared" si="369"/>
        <v>#N/A</v>
      </c>
      <c r="AG505" s="238" t="e">
        <f t="shared" si="370"/>
        <v>#N/A</v>
      </c>
      <c r="AH505" s="238" t="e">
        <f t="shared" si="371"/>
        <v>#N/A</v>
      </c>
      <c r="AI505" s="261" t="e">
        <f t="shared" si="372"/>
        <v>#N/A</v>
      </c>
      <c r="AJ505" s="233" t="e">
        <f t="shared" si="373"/>
        <v>#N/A</v>
      </c>
    </row>
    <row r="506" spans="5:36" s="48" customFormat="1" ht="35.25" customHeight="1" x14ac:dyDescent="0.2">
      <c r="E506" s="218"/>
      <c r="F506" s="187"/>
      <c r="G506" s="67" t="e">
        <f t="shared" si="374"/>
        <v>#N/A</v>
      </c>
      <c r="H506" s="396" t="e">
        <f t="shared" si="375"/>
        <v>#N/A</v>
      </c>
      <c r="I506" s="396" t="e">
        <f t="shared" si="376"/>
        <v>#N/A</v>
      </c>
      <c r="J506" s="396" t="e">
        <f t="shared" si="377"/>
        <v>#N/A</v>
      </c>
      <c r="K506" s="398" t="e">
        <f t="shared" si="378"/>
        <v>#N/A</v>
      </c>
      <c r="L506" s="396" t="e">
        <f t="shared" si="379"/>
        <v>#N/A</v>
      </c>
      <c r="M506" s="398" t="e">
        <f t="shared" si="380"/>
        <v>#N/A</v>
      </c>
      <c r="N506" s="396" t="e">
        <f t="shared" si="381"/>
        <v>#N/A</v>
      </c>
      <c r="O506" s="396" t="e">
        <f t="shared" si="382"/>
        <v>#N/A</v>
      </c>
      <c r="P506" s="396" t="e">
        <f t="shared" si="383"/>
        <v>#N/A</v>
      </c>
      <c r="Q506" s="396" t="e">
        <f t="shared" si="384"/>
        <v>#N/A</v>
      </c>
      <c r="R506" s="396" t="e">
        <f t="shared" si="385"/>
        <v>#N/A</v>
      </c>
      <c r="S506" s="396" t="e">
        <f t="shared" si="386"/>
        <v>#N/A</v>
      </c>
      <c r="T506" s="397" t="e">
        <f t="shared" si="387"/>
        <v>#N/A</v>
      </c>
      <c r="U506" s="396" t="e">
        <f t="shared" si="388"/>
        <v>#N/A</v>
      </c>
      <c r="V506" s="396" t="e">
        <f t="shared" si="389"/>
        <v>#N/A</v>
      </c>
      <c r="W506" s="206" t="e">
        <f t="shared" si="361"/>
        <v>#N/A</v>
      </c>
      <c r="X506" s="207" t="e">
        <f t="shared" si="362"/>
        <v>#N/A</v>
      </c>
      <c r="Y506" s="207" t="e">
        <f t="shared" si="363"/>
        <v>#N/A</v>
      </c>
      <c r="Z506" s="233" t="e">
        <f t="shared" si="364"/>
        <v>#N/A</v>
      </c>
      <c r="AA506" s="208" t="e">
        <f t="shared" si="360"/>
        <v>#N/A</v>
      </c>
      <c r="AB506" s="233" t="e">
        <f t="shared" si="365"/>
        <v>#N/A</v>
      </c>
      <c r="AC506" s="233" t="e">
        <f t="shared" si="366"/>
        <v>#N/A</v>
      </c>
      <c r="AD506" s="233" t="e">
        <f t="shared" si="367"/>
        <v>#N/A</v>
      </c>
      <c r="AE506" s="233" t="e">
        <f t="shared" si="368"/>
        <v>#N/A</v>
      </c>
      <c r="AF506" s="238" t="e">
        <f t="shared" si="369"/>
        <v>#N/A</v>
      </c>
      <c r="AG506" s="238" t="e">
        <f t="shared" si="370"/>
        <v>#N/A</v>
      </c>
      <c r="AH506" s="238" t="e">
        <f t="shared" si="371"/>
        <v>#N/A</v>
      </c>
      <c r="AI506" s="261" t="e">
        <f t="shared" si="372"/>
        <v>#N/A</v>
      </c>
      <c r="AJ506" s="233" t="e">
        <f t="shared" si="373"/>
        <v>#N/A</v>
      </c>
    </row>
    <row r="507" spans="5:36" s="48" customFormat="1" ht="35.25" customHeight="1" thickBot="1" x14ac:dyDescent="0.25">
      <c r="F507" s="140"/>
      <c r="G507" s="189"/>
      <c r="H507" s="334"/>
      <c r="I507" s="141"/>
      <c r="J507" s="142"/>
      <c r="K507" s="364"/>
      <c r="L507" s="141"/>
      <c r="M507" s="364"/>
      <c r="N507" s="143"/>
      <c r="O507" s="142"/>
      <c r="P507" s="141"/>
      <c r="Q507" s="141"/>
      <c r="R507" s="141"/>
      <c r="S507" s="32"/>
      <c r="T507" s="255"/>
      <c r="U507" s="142"/>
      <c r="V507" s="144"/>
      <c r="W507" s="206" t="str">
        <f t="shared" si="361"/>
        <v/>
      </c>
      <c r="X507" s="207" t="e">
        <f t="shared" si="362"/>
        <v>#N/A</v>
      </c>
      <c r="Y507" s="207" t="e">
        <f t="shared" si="363"/>
        <v>#N/A</v>
      </c>
      <c r="Z507" s="233" t="e">
        <f t="shared" si="364"/>
        <v>#N/A</v>
      </c>
      <c r="AA507" s="208" t="e">
        <f t="shared" si="360"/>
        <v>#N/A</v>
      </c>
      <c r="AB507" s="233" t="e">
        <f t="shared" si="365"/>
        <v>#N/A</v>
      </c>
      <c r="AC507" s="233" t="e">
        <f t="shared" si="366"/>
        <v>#N/A</v>
      </c>
      <c r="AD507" s="233" t="e">
        <f t="shared" si="367"/>
        <v>#N/A</v>
      </c>
      <c r="AE507" s="233" t="e">
        <f t="shared" si="368"/>
        <v>#N/A</v>
      </c>
      <c r="AF507" s="238" t="e">
        <f t="shared" si="369"/>
        <v>#N/A</v>
      </c>
      <c r="AG507" s="238" t="e">
        <f t="shared" si="370"/>
        <v>#N/A</v>
      </c>
      <c r="AH507" s="238" t="e">
        <f t="shared" si="371"/>
        <v>#N/A</v>
      </c>
      <c r="AI507" s="261">
        <f t="shared" si="372"/>
        <v>0</v>
      </c>
      <c r="AJ507" s="233" t="e">
        <f t="shared" si="373"/>
        <v>#N/A</v>
      </c>
    </row>
    <row r="508" spans="5:36" x14ac:dyDescent="0.2">
      <c r="T508" s="258">
        <f>SUBTOTAL(9,T13:T215)</f>
        <v>717320021817.70007</v>
      </c>
    </row>
    <row r="509" spans="5:36" x14ac:dyDescent="0.2">
      <c r="F509" s="10"/>
      <c r="G509" s="10"/>
      <c r="H509" s="10"/>
      <c r="I509" s="10"/>
      <c r="J509" s="10"/>
      <c r="L509" s="9"/>
      <c r="M509" s="375"/>
      <c r="N509" s="315"/>
      <c r="O509" s="10"/>
      <c r="P509" s="10"/>
      <c r="Q509" s="10"/>
      <c r="R509" s="10"/>
      <c r="S509" s="10"/>
      <c r="T509" s="257"/>
      <c r="U509" s="10"/>
      <c r="V509" s="10"/>
    </row>
    <row r="510" spans="5:36" x14ac:dyDescent="0.2">
      <c r="F510" s="1898" t="s">
        <v>1109</v>
      </c>
      <c r="G510" s="1898"/>
      <c r="H510" s="1898"/>
      <c r="J510" s="1"/>
      <c r="M510" s="376"/>
      <c r="N510" s="1"/>
      <c r="O510" s="1"/>
      <c r="P510" s="391"/>
      <c r="Q510" s="391"/>
      <c r="S510" s="391"/>
      <c r="U510" s="1"/>
      <c r="V510" s="10"/>
    </row>
    <row r="511" spans="5:36" x14ac:dyDescent="0.2">
      <c r="F511" s="1797" t="s">
        <v>23</v>
      </c>
      <c r="G511" s="1797"/>
      <c r="H511" s="1797"/>
      <c r="J511" s="1"/>
      <c r="M511" s="376"/>
      <c r="N511" s="1"/>
      <c r="O511" s="1"/>
      <c r="P511" s="391"/>
      <c r="Q511" s="391"/>
      <c r="R511" s="1797" t="s">
        <v>884</v>
      </c>
      <c r="S511" s="1797"/>
      <c r="T511" s="2005"/>
      <c r="U511" s="1797"/>
      <c r="V511" s="10"/>
      <c r="AH511" s="258">
        <f>SUBTOTAL(9,AH13:AH215)</f>
        <v>476566201192.24908</v>
      </c>
    </row>
    <row r="512" spans="5:36" x14ac:dyDescent="0.2">
      <c r="F512" s="1797" t="s">
        <v>25</v>
      </c>
      <c r="G512" s="1797"/>
      <c r="H512" s="1797"/>
      <c r="J512" s="1"/>
      <c r="M512" s="376"/>
      <c r="N512" s="1"/>
      <c r="O512" s="1"/>
      <c r="P512" s="391"/>
      <c r="Q512" s="391"/>
      <c r="R512" s="1797" t="s">
        <v>24</v>
      </c>
      <c r="S512" s="1797"/>
      <c r="T512" s="2005"/>
      <c r="U512" s="1797"/>
      <c r="V512" s="10"/>
    </row>
    <row r="513" spans="5:36" x14ac:dyDescent="0.2">
      <c r="F513" s="19"/>
      <c r="G513" s="19"/>
      <c r="H513" s="19"/>
      <c r="J513" s="1"/>
      <c r="M513" s="376"/>
      <c r="N513" s="1"/>
      <c r="O513" s="1"/>
      <c r="P513" s="391"/>
      <c r="Q513" s="391"/>
      <c r="R513" s="18"/>
      <c r="S513" s="18"/>
      <c r="T513" s="259"/>
      <c r="U513" s="18"/>
      <c r="V513" s="10"/>
    </row>
    <row r="514" spans="5:36" x14ac:dyDescent="0.2">
      <c r="F514" s="19"/>
      <c r="G514" s="19"/>
      <c r="H514" s="19"/>
      <c r="J514" s="1"/>
      <c r="M514" s="376"/>
      <c r="N514" s="1"/>
      <c r="O514" s="1"/>
      <c r="P514" s="391"/>
      <c r="Q514" s="391"/>
      <c r="R514" s="18"/>
      <c r="S514" s="18"/>
      <c r="T514" s="259"/>
      <c r="U514" s="18"/>
      <c r="V514" s="10"/>
    </row>
    <row r="515" spans="5:36" x14ac:dyDescent="0.2">
      <c r="F515" s="18"/>
      <c r="G515" s="18"/>
      <c r="H515" s="18"/>
      <c r="J515" s="1"/>
      <c r="M515" s="376"/>
      <c r="N515" s="1"/>
      <c r="O515" s="1"/>
      <c r="P515" s="391"/>
      <c r="Q515" s="391"/>
      <c r="R515" s="18"/>
      <c r="S515" s="18"/>
      <c r="T515" s="259"/>
      <c r="U515" s="18"/>
      <c r="V515" s="10"/>
    </row>
    <row r="516" spans="5:36" x14ac:dyDescent="0.2">
      <c r="F516" s="18"/>
      <c r="G516" s="18"/>
      <c r="H516" s="18"/>
      <c r="J516" s="1"/>
      <c r="M516" s="376"/>
      <c r="N516" s="1"/>
      <c r="O516" s="1"/>
      <c r="P516" s="391"/>
      <c r="Q516" s="391"/>
      <c r="R516" s="18"/>
      <c r="S516" s="18"/>
      <c r="T516" s="259"/>
      <c r="U516" s="18"/>
      <c r="V516" s="10"/>
    </row>
    <row r="517" spans="5:36" x14ac:dyDescent="0.2">
      <c r="F517" s="18"/>
      <c r="G517" s="18"/>
      <c r="H517" s="18"/>
      <c r="J517" s="1"/>
      <c r="M517" s="376"/>
      <c r="N517" s="1"/>
      <c r="O517" s="1"/>
      <c r="P517" s="391"/>
      <c r="Q517" s="391"/>
      <c r="R517" s="18"/>
      <c r="S517" s="18"/>
      <c r="T517" s="259"/>
      <c r="U517" s="18"/>
      <c r="V517" s="10"/>
    </row>
    <row r="518" spans="5:36" x14ac:dyDescent="0.2">
      <c r="F518" s="1795" t="s">
        <v>26</v>
      </c>
      <c r="G518" s="1795"/>
      <c r="H518" s="1795"/>
      <c r="J518" s="1"/>
      <c r="M518" s="376"/>
      <c r="N518" s="1"/>
      <c r="O518" s="1"/>
      <c r="P518" s="391"/>
      <c r="Q518" s="391"/>
      <c r="R518" s="1795" t="s">
        <v>27</v>
      </c>
      <c r="S518" s="1795"/>
      <c r="T518" s="2006"/>
      <c r="U518" s="1795"/>
      <c r="V518" s="10"/>
    </row>
    <row r="519" spans="5:36" x14ac:dyDescent="0.2">
      <c r="F519" s="1797" t="s">
        <v>28</v>
      </c>
      <c r="G519" s="1797"/>
      <c r="H519" s="1797"/>
      <c r="J519" s="1"/>
      <c r="M519" s="376"/>
      <c r="N519" s="1"/>
      <c r="O519" s="1"/>
      <c r="P519" s="391"/>
      <c r="Q519" s="391"/>
      <c r="R519" s="1797" t="s">
        <v>29</v>
      </c>
      <c r="S519" s="1797"/>
      <c r="T519" s="2005"/>
      <c r="U519" s="1797"/>
      <c r="V519" s="10"/>
    </row>
    <row r="524" spans="5:36" s="116" customFormat="1" ht="35.25" customHeight="1" x14ac:dyDescent="0.2">
      <c r="E524" s="207"/>
      <c r="F524" s="73"/>
      <c r="G524" s="67" t="s">
        <v>2509</v>
      </c>
      <c r="H524" s="32" t="s">
        <v>2510</v>
      </c>
      <c r="I524" s="67"/>
      <c r="J524" s="32"/>
      <c r="K524" s="362"/>
      <c r="L524" s="67"/>
      <c r="M524" s="362" t="s">
        <v>1776</v>
      </c>
      <c r="N524" s="65" t="s">
        <v>2576</v>
      </c>
      <c r="O524" s="32">
        <v>2017</v>
      </c>
      <c r="P524" s="67"/>
      <c r="Q524" s="67"/>
      <c r="R524" s="67"/>
      <c r="S524" s="32" t="s">
        <v>12</v>
      </c>
      <c r="T524" s="252">
        <v>919375000</v>
      </c>
      <c r="U524" s="32"/>
      <c r="V524" s="132"/>
      <c r="W524" s="206" t="str">
        <f>MID(H524,2,7)</f>
        <v>4.14.02</v>
      </c>
      <c r="X524" s="207" t="e">
        <f>VLOOKUP(W524,UE,2,0)</f>
        <v>#N/A</v>
      </c>
      <c r="Y524" s="207" t="e">
        <f>VLOOKUP(W524,UE,3,0)</f>
        <v>#N/A</v>
      </c>
      <c r="Z524" s="233" t="e">
        <f>(T524-10)/Y524</f>
        <v>#N/A</v>
      </c>
      <c r="AA524" s="208"/>
      <c r="AB524" s="233"/>
      <c r="AC524" s="233"/>
      <c r="AD524" s="233"/>
      <c r="AE524" s="233"/>
      <c r="AF524" s="233"/>
      <c r="AG524" s="238" t="e">
        <f>IF(T524-10=AC524+AD524+AE524+AB524+AF524,0,Z524)</f>
        <v>#N/A</v>
      </c>
      <c r="AH524" s="238" t="e">
        <f>SUM(AB524:AG524)</f>
        <v>#N/A</v>
      </c>
      <c r="AI524" s="261">
        <f>O524</f>
        <v>2017</v>
      </c>
      <c r="AJ524" s="233" t="e">
        <f>T524-AH524</f>
        <v>#N/A</v>
      </c>
    </row>
    <row r="525" spans="5:36" s="116" customFormat="1" ht="35.25" customHeight="1" x14ac:dyDescent="0.2">
      <c r="E525" s="207"/>
      <c r="F525" s="73"/>
      <c r="G525" s="67" t="s">
        <v>2511</v>
      </c>
      <c r="H525" s="32" t="s">
        <v>2510</v>
      </c>
      <c r="I525" s="67"/>
      <c r="J525" s="32"/>
      <c r="K525" s="362"/>
      <c r="L525" s="67"/>
      <c r="M525" s="362" t="s">
        <v>2267</v>
      </c>
      <c r="N525" s="65" t="s">
        <v>2577</v>
      </c>
      <c r="O525" s="32">
        <v>2017</v>
      </c>
      <c r="P525" s="67"/>
      <c r="Q525" s="67"/>
      <c r="R525" s="67"/>
      <c r="S525" s="32" t="s">
        <v>12</v>
      </c>
      <c r="T525" s="252">
        <v>1775636000</v>
      </c>
      <c r="U525" s="32"/>
      <c r="V525" s="132"/>
      <c r="W525" s="206" t="str">
        <f>MID(H525,2,7)</f>
        <v>4.14.02</v>
      </c>
      <c r="X525" s="207" t="e">
        <f>VLOOKUP(W525,UE,2,0)</f>
        <v>#N/A</v>
      </c>
      <c r="Y525" s="207" t="e">
        <f>VLOOKUP(W525,UE,3,0)</f>
        <v>#N/A</v>
      </c>
      <c r="Z525" s="233" t="e">
        <f>(T525-10)/Y525</f>
        <v>#N/A</v>
      </c>
      <c r="AA525" s="208"/>
      <c r="AB525" s="233"/>
      <c r="AC525" s="233"/>
      <c r="AD525" s="233"/>
      <c r="AE525" s="233"/>
      <c r="AF525" s="233"/>
      <c r="AG525" s="238" t="e">
        <f>IF(T525-10=AC525+AD525+AE525+AB525+AF525,0,Z525)</f>
        <v>#N/A</v>
      </c>
      <c r="AH525" s="238" t="e">
        <f>SUM(AB525:AG525)</f>
        <v>#N/A</v>
      </c>
      <c r="AI525" s="261">
        <f>O525</f>
        <v>2017</v>
      </c>
      <c r="AJ525" s="233" t="e">
        <f>T525-AH525</f>
        <v>#N/A</v>
      </c>
    </row>
    <row r="526" spans="5:36" s="116" customFormat="1" ht="35.25" customHeight="1" x14ac:dyDescent="0.2">
      <c r="E526" s="207"/>
      <c r="F526" s="73"/>
      <c r="G526" s="67" t="s">
        <v>2512</v>
      </c>
      <c r="H526" s="32" t="s">
        <v>2510</v>
      </c>
      <c r="I526" s="67"/>
      <c r="J526" s="32"/>
      <c r="K526" s="362"/>
      <c r="L526" s="67"/>
      <c r="M526" s="362"/>
      <c r="N526" s="65"/>
      <c r="O526" s="32">
        <v>2017</v>
      </c>
      <c r="P526" s="67"/>
      <c r="Q526" s="67"/>
      <c r="R526" s="67"/>
      <c r="S526" s="32" t="s">
        <v>12</v>
      </c>
      <c r="T526" s="252">
        <v>314300000</v>
      </c>
      <c r="U526" s="32"/>
      <c r="V526" s="132"/>
      <c r="W526" s="206" t="str">
        <f>MID(H526,2,7)</f>
        <v>4.14.02</v>
      </c>
      <c r="X526" s="207" t="e">
        <f>VLOOKUP(W526,UE,2,0)</f>
        <v>#N/A</v>
      </c>
      <c r="Y526" s="207" t="e">
        <f>VLOOKUP(W526,UE,3,0)</f>
        <v>#N/A</v>
      </c>
      <c r="Z526" s="233" t="e">
        <f>(T526-10)/Y526</f>
        <v>#N/A</v>
      </c>
      <c r="AA526" s="208"/>
      <c r="AB526" s="233"/>
      <c r="AC526" s="233"/>
      <c r="AD526" s="233"/>
      <c r="AE526" s="233"/>
      <c r="AF526" s="233"/>
      <c r="AG526" s="238" t="e">
        <f>IF(T526-10=AC526+AD526+AE526+AB526+AF526,0,Z526)</f>
        <v>#N/A</v>
      </c>
      <c r="AH526" s="238" t="e">
        <f>SUM(AB526:AG526)</f>
        <v>#N/A</v>
      </c>
      <c r="AI526" s="261">
        <f>O526</f>
        <v>2017</v>
      </c>
      <c r="AJ526" s="233" t="e">
        <f>T526-AH526</f>
        <v>#N/A</v>
      </c>
    </row>
    <row r="542" spans="20:20" x14ac:dyDescent="0.2">
      <c r="T542" s="260"/>
    </row>
  </sheetData>
  <autoFilter ref="A9:AL507" xr:uid="{00000000-0009-0000-0000-00000C000000}"/>
  <mergeCells count="48">
    <mergeCell ref="F519:H519"/>
    <mergeCell ref="R519:U519"/>
    <mergeCell ref="H6:I6"/>
    <mergeCell ref="J6:J8"/>
    <mergeCell ref="H7:H8"/>
    <mergeCell ref="I7:I8"/>
    <mergeCell ref="F510:H510"/>
    <mergeCell ref="F511:H511"/>
    <mergeCell ref="R511:U511"/>
    <mergeCell ref="F512:H512"/>
    <mergeCell ref="R512:U512"/>
    <mergeCell ref="F518:H518"/>
    <mergeCell ref="R518:U518"/>
    <mergeCell ref="Q6:Q8"/>
    <mergeCell ref="R6:R8"/>
    <mergeCell ref="S6:S8"/>
    <mergeCell ref="AI6:AI8"/>
    <mergeCell ref="AJ6:AJ8"/>
    <mergeCell ref="O7:O8"/>
    <mergeCell ref="P7:P8"/>
    <mergeCell ref="AC6:AC8"/>
    <mergeCell ref="AD6:AD8"/>
    <mergeCell ref="AE6:AE8"/>
    <mergeCell ref="AF6:AF8"/>
    <mergeCell ref="AG6:AG8"/>
    <mergeCell ref="AH6:AH8"/>
    <mergeCell ref="W6:W8"/>
    <mergeCell ref="X6:X8"/>
    <mergeCell ref="Y6:Y8"/>
    <mergeCell ref="Z6:Z8"/>
    <mergeCell ref="AA6:AA8"/>
    <mergeCell ref="AB6:AB8"/>
    <mergeCell ref="F2:V2"/>
    <mergeCell ref="F3:V3"/>
    <mergeCell ref="F5:G5"/>
    <mergeCell ref="A6:A8"/>
    <mergeCell ref="B6:B8"/>
    <mergeCell ref="C6:C8"/>
    <mergeCell ref="F6:F8"/>
    <mergeCell ref="G6:G8"/>
    <mergeCell ref="T6:T8"/>
    <mergeCell ref="U6:U8"/>
    <mergeCell ref="V6:V8"/>
    <mergeCell ref="K6:K8"/>
    <mergeCell ref="L6:L8"/>
    <mergeCell ref="M6:M8"/>
    <mergeCell ref="N6:N8"/>
    <mergeCell ref="O6:P6"/>
  </mergeCells>
  <conditionalFormatting sqref="W11">
    <cfRule type="cellIs" dxfId="4" priority="1" operator="equal">
      <formula>$T$11</formula>
    </cfRule>
  </conditionalFormatting>
  <pageMargins left="1.54" right="0.27559055118110237" top="0.65" bottom="0.63" header="0.31496062992125984" footer="0.31496062992125984"/>
  <pageSetup paperSize="5" scale="60" orientation="landscape" horizontalDpi="4294967293" vertic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AM1056"/>
  <sheetViews>
    <sheetView topLeftCell="A4" zoomScale="69" zoomScaleNormal="69" workbookViewId="0">
      <pane xSplit="10" ySplit="7" topLeftCell="R11" activePane="bottomRight" state="frozen"/>
      <selection activeCell="A4" sqref="A4"/>
      <selection pane="topRight" activeCell="K4" sqref="K4"/>
      <selection pane="bottomLeft" activeCell="A11" sqref="A11"/>
      <selection pane="bottomRight" activeCell="U12" sqref="U12"/>
    </sheetView>
  </sheetViews>
  <sheetFormatPr baseColWidth="10" defaultColWidth="9.1640625" defaultRowHeight="14" x14ac:dyDescent="0.2"/>
  <cols>
    <col min="1" max="1" width="11.5" style="946" customWidth="1"/>
    <col min="2" max="2" width="7.33203125" style="946" customWidth="1"/>
    <col min="3" max="3" width="9.1640625" style="946"/>
    <col min="4" max="4" width="7.6640625" style="946" customWidth="1"/>
    <col min="5" max="5" width="7.5" style="946" customWidth="1"/>
    <col min="6" max="6" width="7.6640625" style="946" customWidth="1"/>
    <col min="7" max="7" width="55.1640625" style="946" customWidth="1"/>
    <col min="8" max="8" width="18.5" style="958" customWidth="1"/>
    <col min="9" max="9" width="18.83203125" style="1177" customWidth="1"/>
    <col min="10" max="10" width="13" style="946" customWidth="1"/>
    <col min="11" max="11" width="18.5" style="1177" customWidth="1"/>
    <col min="12" max="12" width="9.1640625" style="843" customWidth="1"/>
    <col min="13" max="13" width="10.1640625" style="946" customWidth="1"/>
    <col min="14" max="14" width="16.33203125" style="843" customWidth="1"/>
    <col min="15" max="15" width="29" style="975" customWidth="1"/>
    <col min="16" max="16" width="14" style="1177" customWidth="1"/>
    <col min="17" max="17" width="19.6640625" style="946" customWidth="1"/>
    <col min="18" max="18" width="11.1640625" style="946" customWidth="1"/>
    <col min="19" max="19" width="17.33203125" style="946" customWidth="1"/>
    <col min="20" max="20" width="12.33203125" style="946" customWidth="1"/>
    <col min="21" max="21" width="28" style="958" customWidth="1"/>
    <col min="22" max="22" width="16.1640625" style="1177" customWidth="1"/>
    <col min="23" max="23" width="21.83203125" style="946" customWidth="1"/>
    <col min="24" max="24" width="18.5" style="946" customWidth="1"/>
    <col min="25" max="27" width="22.1640625" style="946" customWidth="1"/>
    <col min="28" max="28" width="22.1640625" style="958" customWidth="1"/>
    <col min="29" max="29" width="22.1640625" style="946" customWidth="1"/>
    <col min="30" max="34" width="22.1640625" style="958" customWidth="1"/>
    <col min="35" max="35" width="27.5" style="958" customWidth="1"/>
    <col min="36" max="36" width="22.1640625" style="958" customWidth="1"/>
    <col min="37" max="37" width="25" style="958" customWidth="1"/>
    <col min="38" max="38" width="34.83203125" style="946" customWidth="1"/>
    <col min="39" max="39" width="15.33203125" style="946" customWidth="1"/>
    <col min="40" max="16384" width="9.1640625" style="946"/>
  </cols>
  <sheetData>
    <row r="2" spans="1:38" ht="25" x14ac:dyDescent="0.2">
      <c r="F2" s="2014" t="s">
        <v>0</v>
      </c>
      <c r="G2" s="2014"/>
      <c r="H2" s="2014"/>
      <c r="I2" s="2014"/>
      <c r="J2" s="2015"/>
      <c r="K2" s="2014"/>
      <c r="L2" s="2014"/>
      <c r="M2" s="2014"/>
      <c r="N2" s="2014"/>
      <c r="O2" s="2014"/>
      <c r="P2" s="2014"/>
      <c r="Q2" s="2014"/>
      <c r="R2" s="2014"/>
      <c r="S2" s="2014"/>
      <c r="T2" s="2014"/>
      <c r="U2" s="2014"/>
      <c r="V2" s="2014"/>
      <c r="W2" s="2014"/>
      <c r="X2" s="1169"/>
    </row>
    <row r="3" spans="1:38" ht="25" x14ac:dyDescent="0.2">
      <c r="F3" s="2014" t="s">
        <v>474</v>
      </c>
      <c r="G3" s="2014"/>
      <c r="H3" s="2014"/>
      <c r="I3" s="2014"/>
      <c r="J3" s="2015"/>
      <c r="K3" s="2014"/>
      <c r="L3" s="2014"/>
      <c r="M3" s="2014"/>
      <c r="N3" s="2014"/>
      <c r="O3" s="2014"/>
      <c r="P3" s="2014"/>
      <c r="Q3" s="2014"/>
      <c r="R3" s="2014"/>
      <c r="S3" s="2014"/>
      <c r="T3" s="2014"/>
      <c r="U3" s="2014"/>
      <c r="V3" s="2014"/>
      <c r="W3" s="2014"/>
      <c r="X3" s="1169"/>
      <c r="AG3" s="958">
        <f>AD12:AG12</f>
        <v>38393426334.11145</v>
      </c>
    </row>
    <row r="4" spans="1:38" ht="12" customHeight="1" x14ac:dyDescent="0.2">
      <c r="F4" s="1169"/>
      <c r="G4" s="1169"/>
      <c r="H4" s="976"/>
      <c r="I4" s="1169"/>
      <c r="J4" s="1169"/>
      <c r="K4" s="977"/>
      <c r="L4" s="844"/>
      <c r="M4" s="977"/>
      <c r="N4" s="844"/>
      <c r="O4" s="978"/>
      <c r="P4" s="1169"/>
      <c r="Q4" s="1169"/>
      <c r="R4" s="1169"/>
      <c r="S4" s="1169"/>
      <c r="T4" s="1169"/>
      <c r="U4" s="976"/>
      <c r="V4" s="1169"/>
      <c r="W4" s="1169"/>
      <c r="X4" s="1169"/>
      <c r="AL4" s="992"/>
    </row>
    <row r="5" spans="1:38" ht="26" thickBot="1" x14ac:dyDescent="0.25">
      <c r="F5" s="2016" t="s">
        <v>32</v>
      </c>
      <c r="G5" s="2016"/>
      <c r="H5" s="979"/>
      <c r="I5" s="980" t="s">
        <v>475</v>
      </c>
      <c r="J5" s="981"/>
      <c r="K5" s="982"/>
      <c r="L5" s="845"/>
      <c r="M5" s="983"/>
      <c r="N5" s="845"/>
      <c r="O5" s="984"/>
      <c r="P5" s="985"/>
      <c r="Q5" s="981"/>
      <c r="R5" s="981"/>
      <c r="S5" s="981"/>
      <c r="T5" s="981"/>
      <c r="U5" s="986"/>
      <c r="V5" s="987"/>
      <c r="W5" s="988"/>
      <c r="X5" s="988"/>
    </row>
    <row r="6" spans="1:38" s="869" customFormat="1" ht="28.5" customHeight="1" thickTop="1" x14ac:dyDescent="0.2">
      <c r="A6" s="1906" t="s">
        <v>3573</v>
      </c>
      <c r="B6" s="1906" t="s">
        <v>3572</v>
      </c>
      <c r="C6" s="1906" t="s">
        <v>3574</v>
      </c>
      <c r="D6" s="1170"/>
      <c r="F6" s="1907" t="s">
        <v>869</v>
      </c>
      <c r="G6" s="2017" t="s">
        <v>870</v>
      </c>
      <c r="H6" s="2018"/>
      <c r="I6" s="2023" t="s">
        <v>883</v>
      </c>
      <c r="J6" s="2024"/>
      <c r="K6" s="2025" t="s">
        <v>3831</v>
      </c>
      <c r="L6" s="2026" t="s">
        <v>1110</v>
      </c>
      <c r="M6" s="1910" t="s">
        <v>1111</v>
      </c>
      <c r="N6" s="2026" t="s">
        <v>872</v>
      </c>
      <c r="O6" s="1910" t="s">
        <v>1112</v>
      </c>
      <c r="P6" s="1910" t="s">
        <v>3832</v>
      </c>
      <c r="Q6" s="1910"/>
      <c r="R6" s="1910" t="s">
        <v>875</v>
      </c>
      <c r="S6" s="1910" t="s">
        <v>1104</v>
      </c>
      <c r="T6" s="1910" t="s">
        <v>909</v>
      </c>
      <c r="U6" s="1934" t="s">
        <v>1105</v>
      </c>
      <c r="V6" s="1910" t="s">
        <v>1113</v>
      </c>
      <c r="W6" s="1937" t="s">
        <v>911</v>
      </c>
      <c r="X6" s="966"/>
      <c r="Y6" s="1920" t="s">
        <v>2279</v>
      </c>
      <c r="Z6" s="1927" t="s">
        <v>2280</v>
      </c>
      <c r="AA6" s="1927" t="s">
        <v>2281</v>
      </c>
      <c r="AB6" s="1916" t="s">
        <v>2282</v>
      </c>
      <c r="AC6" s="1920" t="s">
        <v>4778</v>
      </c>
      <c r="AD6" s="1923" t="s">
        <v>4785</v>
      </c>
      <c r="AE6" s="1923"/>
      <c r="AF6" s="1923"/>
      <c r="AG6" s="1923"/>
      <c r="AH6" s="1923"/>
      <c r="AI6" s="1923"/>
      <c r="AJ6" s="1924" t="s">
        <v>2489</v>
      </c>
      <c r="AK6" s="1924" t="s">
        <v>4786</v>
      </c>
      <c r="AL6" s="874"/>
    </row>
    <row r="7" spans="1:38" s="869" customFormat="1" ht="14.25" customHeight="1" x14ac:dyDescent="0.2">
      <c r="A7" s="1906"/>
      <c r="B7" s="1906"/>
      <c r="C7" s="1906"/>
      <c r="D7" s="1170"/>
      <c r="F7" s="1908"/>
      <c r="G7" s="2019"/>
      <c r="H7" s="2020"/>
      <c r="I7" s="2010" t="s">
        <v>877</v>
      </c>
      <c r="J7" s="2010" t="s">
        <v>3833</v>
      </c>
      <c r="K7" s="2010"/>
      <c r="L7" s="2027"/>
      <c r="M7" s="1911"/>
      <c r="N7" s="2027"/>
      <c r="O7" s="1911"/>
      <c r="P7" s="2012" t="s">
        <v>882</v>
      </c>
      <c r="Q7" s="1930" t="s">
        <v>883</v>
      </c>
      <c r="R7" s="1911"/>
      <c r="S7" s="1911"/>
      <c r="T7" s="1911"/>
      <c r="U7" s="1935"/>
      <c r="V7" s="1911"/>
      <c r="W7" s="1938"/>
      <c r="X7" s="966"/>
      <c r="Y7" s="1921"/>
      <c r="Z7" s="1928"/>
      <c r="AA7" s="1928"/>
      <c r="AB7" s="1917"/>
      <c r="AC7" s="1921"/>
      <c r="AD7" s="1932" t="s">
        <v>4779</v>
      </c>
      <c r="AE7" s="1932" t="s">
        <v>4780</v>
      </c>
      <c r="AF7" s="1932" t="s">
        <v>4781</v>
      </c>
      <c r="AG7" s="1932" t="s">
        <v>4782</v>
      </c>
      <c r="AH7" s="1932" t="s">
        <v>4783</v>
      </c>
      <c r="AI7" s="1932" t="s">
        <v>4784</v>
      </c>
      <c r="AJ7" s="1925"/>
      <c r="AK7" s="1925"/>
    </row>
    <row r="8" spans="1:38" s="869" customFormat="1" ht="12" customHeight="1" thickBot="1" x14ac:dyDescent="0.25">
      <c r="A8" s="1906"/>
      <c r="B8" s="1906"/>
      <c r="C8" s="1906"/>
      <c r="D8" s="1170"/>
      <c r="F8" s="1909"/>
      <c r="G8" s="2021"/>
      <c r="H8" s="2022"/>
      <c r="I8" s="2011"/>
      <c r="J8" s="2011"/>
      <c r="K8" s="2011"/>
      <c r="L8" s="2028"/>
      <c r="M8" s="1912"/>
      <c r="N8" s="2028"/>
      <c r="O8" s="1912"/>
      <c r="P8" s="2013"/>
      <c r="Q8" s="1931"/>
      <c r="R8" s="1912"/>
      <c r="S8" s="1912"/>
      <c r="T8" s="1912"/>
      <c r="U8" s="1936"/>
      <c r="V8" s="1912"/>
      <c r="W8" s="1939"/>
      <c r="X8" s="966"/>
      <c r="Y8" s="1922"/>
      <c r="Z8" s="1929"/>
      <c r="AA8" s="1929"/>
      <c r="AB8" s="1918"/>
      <c r="AC8" s="1922"/>
      <c r="AD8" s="1933"/>
      <c r="AE8" s="1933"/>
      <c r="AF8" s="1933"/>
      <c r="AG8" s="1933"/>
      <c r="AH8" s="1933"/>
      <c r="AI8" s="1933"/>
      <c r="AJ8" s="1926"/>
      <c r="AK8" s="1926"/>
    </row>
    <row r="9" spans="1:38" s="857" customFormat="1" thickTop="1" x14ac:dyDescent="0.2">
      <c r="F9" s="846">
        <v>1</v>
      </c>
      <c r="G9" s="847">
        <v>2</v>
      </c>
      <c r="H9" s="1171"/>
      <c r="I9" s="847">
        <v>3</v>
      </c>
      <c r="J9" s="848">
        <v>4</v>
      </c>
      <c r="K9" s="848">
        <v>6</v>
      </c>
      <c r="L9" s="849">
        <v>7</v>
      </c>
      <c r="M9" s="850">
        <v>8</v>
      </c>
      <c r="N9" s="851">
        <v>9</v>
      </c>
      <c r="O9" s="852">
        <v>10</v>
      </c>
      <c r="P9" s="847">
        <v>11</v>
      </c>
      <c r="Q9" s="847">
        <v>12</v>
      </c>
      <c r="R9" s="847">
        <v>13</v>
      </c>
      <c r="S9" s="848">
        <v>14</v>
      </c>
      <c r="T9" s="848">
        <v>15</v>
      </c>
      <c r="U9" s="1171">
        <v>16</v>
      </c>
      <c r="V9" s="848">
        <v>17</v>
      </c>
      <c r="W9" s="853">
        <v>18</v>
      </c>
      <c r="X9" s="967"/>
      <c r="Y9" s="989">
        <v>19</v>
      </c>
      <c r="Z9" s="990">
        <v>20</v>
      </c>
      <c r="AA9" s="990">
        <v>21</v>
      </c>
      <c r="AB9" s="991">
        <v>22</v>
      </c>
      <c r="AC9" s="990">
        <v>23</v>
      </c>
      <c r="AD9" s="854">
        <v>24</v>
      </c>
      <c r="AE9" s="854">
        <v>25</v>
      </c>
      <c r="AF9" s="991"/>
      <c r="AG9" s="991"/>
      <c r="AH9" s="991"/>
      <c r="AI9" s="991"/>
      <c r="AJ9" s="991"/>
      <c r="AK9" s="991">
        <v>27</v>
      </c>
      <c r="AL9" s="962"/>
    </row>
    <row r="10" spans="1:38" s="857" customFormat="1" ht="12.75" customHeight="1" x14ac:dyDescent="0.2">
      <c r="F10" s="855"/>
      <c r="G10" s="862"/>
      <c r="H10" s="899"/>
      <c r="I10" s="861"/>
      <c r="J10" s="862"/>
      <c r="K10" s="861"/>
      <c r="L10" s="856"/>
      <c r="M10" s="862"/>
      <c r="N10" s="856"/>
      <c r="O10" s="863"/>
      <c r="P10" s="861"/>
      <c r="Q10" s="862"/>
      <c r="R10" s="862"/>
      <c r="S10" s="862"/>
      <c r="T10" s="862"/>
      <c r="U10" s="864"/>
      <c r="V10" s="861"/>
      <c r="W10" s="865"/>
      <c r="X10" s="968"/>
      <c r="AB10" s="868"/>
      <c r="AD10" s="868"/>
      <c r="AE10" s="868"/>
      <c r="AF10" s="868"/>
      <c r="AG10" s="868"/>
      <c r="AH10" s="868"/>
      <c r="AI10" s="868"/>
      <c r="AJ10" s="868"/>
      <c r="AK10" s="868"/>
    </row>
    <row r="11" spans="1:38" s="857" customFormat="1" ht="35.25" customHeight="1" x14ac:dyDescent="0.2">
      <c r="F11" s="858" t="s">
        <v>476</v>
      </c>
      <c r="G11" s="859" t="s">
        <v>1130</v>
      </c>
      <c r="H11" s="860"/>
      <c r="I11" s="861"/>
      <c r="J11" s="862"/>
      <c r="K11" s="861"/>
      <c r="L11" s="856"/>
      <c r="M11" s="862"/>
      <c r="N11" s="856"/>
      <c r="O11" s="863"/>
      <c r="P11" s="861"/>
      <c r="Q11" s="862"/>
      <c r="R11" s="862"/>
      <c r="S11" s="862"/>
      <c r="T11" s="862"/>
      <c r="U11" s="864">
        <f>U12+U685+U920+U930</f>
        <v>1824296659317.1021</v>
      </c>
      <c r="V11" s="861"/>
      <c r="W11" s="865"/>
      <c r="X11" s="968"/>
      <c r="Y11" s="866"/>
      <c r="Z11" s="867"/>
      <c r="AB11" s="868"/>
      <c r="AD11" s="868">
        <f t="shared" ref="AD11:AK11" si="0">AD12+AD685+AD920+AD930</f>
        <v>464004020933.65985</v>
      </c>
      <c r="AE11" s="868">
        <f t="shared" si="0"/>
        <v>31380963935.858898</v>
      </c>
      <c r="AF11" s="868">
        <f t="shared" si="0"/>
        <v>39754817076.652672</v>
      </c>
      <c r="AG11" s="868">
        <f t="shared" si="0"/>
        <v>41413878343.271095</v>
      </c>
      <c r="AH11" s="868">
        <f t="shared" si="0"/>
        <v>38480170679.524429</v>
      </c>
      <c r="AI11" s="868">
        <f t="shared" si="0"/>
        <v>78286944421.233444</v>
      </c>
      <c r="AJ11" s="868">
        <f t="shared" si="0"/>
        <v>1320002948391.3525</v>
      </c>
      <c r="AK11" s="868">
        <f t="shared" si="0"/>
        <v>504278994025.75073</v>
      </c>
    </row>
    <row r="12" spans="1:38" s="869" customFormat="1" ht="35.25" customHeight="1" x14ac:dyDescent="0.2">
      <c r="F12" s="858" t="s">
        <v>477</v>
      </c>
      <c r="G12" s="859" t="s">
        <v>1131</v>
      </c>
      <c r="H12" s="860"/>
      <c r="I12" s="870"/>
      <c r="J12" s="871"/>
      <c r="K12" s="861"/>
      <c r="L12" s="856"/>
      <c r="M12" s="862"/>
      <c r="N12" s="856"/>
      <c r="O12" s="872"/>
      <c r="P12" s="870"/>
      <c r="Q12" s="871"/>
      <c r="R12" s="871"/>
      <c r="S12" s="871"/>
      <c r="T12" s="871"/>
      <c r="U12" s="864">
        <f>SUBTOTAL(9,U13:U683)</f>
        <v>1682392721172.9111</v>
      </c>
      <c r="V12" s="870"/>
      <c r="W12" s="873"/>
      <c r="X12" s="964"/>
      <c r="Y12" s="965"/>
      <c r="Z12" s="875"/>
      <c r="AA12" s="874"/>
      <c r="AB12" s="927"/>
      <c r="AC12" s="964"/>
      <c r="AD12" s="927">
        <f t="shared" ref="AD12:AK12" si="1">SUM(AD13:AD683)</f>
        <v>451392810539.57001</v>
      </c>
      <c r="AE12" s="927">
        <f t="shared" si="1"/>
        <v>28949182929.091633</v>
      </c>
      <c r="AF12" s="927">
        <f t="shared" si="1"/>
        <v>36996703112.592072</v>
      </c>
      <c r="AG12" s="927">
        <f t="shared" si="1"/>
        <v>38393426334.11145</v>
      </c>
      <c r="AH12" s="927">
        <f t="shared" si="1"/>
        <v>34914960814.364784</v>
      </c>
      <c r="AI12" s="927">
        <f t="shared" si="1"/>
        <v>73504559091.240463</v>
      </c>
      <c r="AJ12" s="927">
        <f t="shared" si="1"/>
        <v>1290833795822.1226</v>
      </c>
      <c r="AK12" s="927">
        <f t="shared" si="1"/>
        <v>391558925350.78973</v>
      </c>
      <c r="AL12" s="876"/>
    </row>
    <row r="13" spans="1:38" s="998" customFormat="1" ht="35.25" customHeight="1" x14ac:dyDescent="0.15">
      <c r="A13" s="998">
        <v>1</v>
      </c>
      <c r="B13" s="998" t="str">
        <f t="shared" ref="B13:B98" si="2">VLOOKUP(A13,RUAS,2,FALSE)</f>
        <v>SEB. TELUK KUANTAN - SEB. BENAI</v>
      </c>
      <c r="C13" s="998" t="s">
        <v>529</v>
      </c>
      <c r="D13" s="998" t="s">
        <v>7</v>
      </c>
      <c r="E13" s="999" t="s">
        <v>4247</v>
      </c>
      <c r="F13" s="1000"/>
      <c r="G13" s="1001" t="s">
        <v>529</v>
      </c>
      <c r="H13" s="1002"/>
      <c r="I13" s="1001" t="s">
        <v>2494</v>
      </c>
      <c r="J13" s="1001">
        <v>0</v>
      </c>
      <c r="K13" s="1001" t="s">
        <v>484</v>
      </c>
      <c r="L13" s="1003">
        <v>11700</v>
      </c>
      <c r="M13" s="1001">
        <v>8</v>
      </c>
      <c r="N13" s="1003">
        <v>93600</v>
      </c>
      <c r="O13" s="1001" t="s">
        <v>2556</v>
      </c>
      <c r="P13" s="1168">
        <v>2001</v>
      </c>
      <c r="Q13" s="1001">
        <v>0</v>
      </c>
      <c r="R13" s="1001">
        <v>0</v>
      </c>
      <c r="S13" s="1001" t="s">
        <v>482</v>
      </c>
      <c r="T13" s="1001" t="s">
        <v>12</v>
      </c>
      <c r="U13" s="1002">
        <f>4420800000+H14+H15+H16+H17+H18+H19+H20</f>
        <v>14774440966.624199</v>
      </c>
      <c r="V13" s="1001" t="s">
        <v>43</v>
      </c>
      <c r="W13" s="1001">
        <v>0</v>
      </c>
      <c r="X13" s="1004"/>
      <c r="Y13" s="1005" t="str">
        <f>LEFT(I13,8)</f>
        <v>04.13.01</v>
      </c>
      <c r="Z13" s="1006" t="str">
        <f t="shared" ref="Z13:Z75" si="3">VLOOKUP(Y13,UE,3,FALSE)</f>
        <v>Jalan</v>
      </c>
      <c r="AA13" s="1006">
        <f t="shared" ref="AA13:AA75" si="4">VLOOKUP(Y13,UE,4,FALSE)</f>
        <v>10</v>
      </c>
      <c r="AB13" s="1007"/>
      <c r="AC13" s="1008">
        <f>IF(2013-P13&gt;AA13,10,IF(2013-P13&lt;0,0,2013-P13))</f>
        <v>10</v>
      </c>
      <c r="AD13" s="1007"/>
      <c r="AE13" s="1007"/>
      <c r="AF13" s="1007"/>
      <c r="AG13" s="1007"/>
      <c r="AH13" s="1009"/>
      <c r="AI13" s="1009">
        <f>PERHITUNGAN!U27</f>
        <v>1005037802.0421612</v>
      </c>
      <c r="AJ13" s="1009">
        <f>PERHITUNGAN!U32</f>
        <v>9331203028.4271336</v>
      </c>
      <c r="AK13" s="1007">
        <f>U13-AJ13</f>
        <v>5443237938.1970654</v>
      </c>
    </row>
    <row r="14" spans="1:38" s="857" customFormat="1" ht="35.25" customHeight="1" x14ac:dyDescent="0.15">
      <c r="A14" s="857">
        <v>1</v>
      </c>
      <c r="B14" s="857" t="str">
        <f t="shared" si="2"/>
        <v>SEB. TELUK KUANTAN - SEB. BENAI</v>
      </c>
      <c r="C14" s="857" t="s">
        <v>529</v>
      </c>
      <c r="D14" s="857" t="s">
        <v>35</v>
      </c>
      <c r="E14" s="877" t="s">
        <v>4247</v>
      </c>
      <c r="F14" s="855"/>
      <c r="G14" s="878" t="s">
        <v>1186</v>
      </c>
      <c r="H14" s="879">
        <v>1606819122.6242001</v>
      </c>
      <c r="I14" s="880" t="s">
        <v>2494</v>
      </c>
      <c r="J14" s="880">
        <v>0</v>
      </c>
      <c r="K14" s="880">
        <v>0</v>
      </c>
      <c r="L14" s="881">
        <v>0</v>
      </c>
      <c r="M14" s="880">
        <v>0</v>
      </c>
      <c r="N14" s="881">
        <v>0</v>
      </c>
      <c r="O14" s="880" t="s">
        <v>2556</v>
      </c>
      <c r="P14" s="1126">
        <v>2007</v>
      </c>
      <c r="Q14" s="880">
        <v>0</v>
      </c>
      <c r="R14" s="880">
        <v>0</v>
      </c>
      <c r="S14" s="880">
        <v>0</v>
      </c>
      <c r="T14" s="880" t="s">
        <v>12</v>
      </c>
      <c r="U14" s="882"/>
      <c r="V14" s="880" t="s">
        <v>43</v>
      </c>
      <c r="W14" s="880">
        <v>0</v>
      </c>
      <c r="X14" s="969"/>
      <c r="Y14" s="883" t="str">
        <f t="shared" ref="Y14:Y83" si="5">LEFT(I14,8)</f>
        <v>04.13.01</v>
      </c>
      <c r="Z14" s="884" t="str">
        <f t="shared" si="3"/>
        <v>Jalan</v>
      </c>
      <c r="AA14" s="884">
        <f t="shared" si="4"/>
        <v>10</v>
      </c>
      <c r="AB14" s="868"/>
      <c r="AC14" s="885">
        <f t="shared" ref="AC14:AC83" si="6">IF(2013-P14&gt;AA14,10,IF(2013-P14&lt;0,0,2013-P14))</f>
        <v>6</v>
      </c>
      <c r="AD14" s="868"/>
      <c r="AE14" s="868"/>
      <c r="AF14" s="868"/>
      <c r="AG14" s="868"/>
      <c r="AH14" s="868"/>
      <c r="AI14" s="886"/>
      <c r="AJ14" s="886">
        <f>SUM(AD14:AI14)</f>
        <v>0</v>
      </c>
      <c r="AK14" s="868">
        <f>U14-AJ14</f>
        <v>0</v>
      </c>
    </row>
    <row r="15" spans="1:38" s="857" customFormat="1" ht="35.25" customHeight="1" x14ac:dyDescent="0.15">
      <c r="A15" s="857">
        <v>1</v>
      </c>
      <c r="B15" s="857" t="str">
        <f t="shared" si="2"/>
        <v>SEB. TELUK KUANTAN - SEB. BENAI</v>
      </c>
      <c r="C15" s="857" t="s">
        <v>529</v>
      </c>
      <c r="D15" s="857" t="s">
        <v>471</v>
      </c>
      <c r="E15" s="877" t="s">
        <v>4247</v>
      </c>
      <c r="F15" s="855"/>
      <c r="G15" s="878" t="s">
        <v>1365</v>
      </c>
      <c r="H15" s="879">
        <v>3147563153</v>
      </c>
      <c r="I15" s="880" t="s">
        <v>2494</v>
      </c>
      <c r="J15" s="880">
        <v>0</v>
      </c>
      <c r="K15" s="880">
        <v>0</v>
      </c>
      <c r="L15" s="881">
        <v>0</v>
      </c>
      <c r="M15" s="880">
        <v>0</v>
      </c>
      <c r="N15" s="881">
        <v>0</v>
      </c>
      <c r="O15" s="880" t="s">
        <v>2556</v>
      </c>
      <c r="P15" s="1126">
        <v>2015</v>
      </c>
      <c r="Q15" s="880">
        <v>0</v>
      </c>
      <c r="R15" s="880">
        <v>0</v>
      </c>
      <c r="S15" s="880">
        <v>0</v>
      </c>
      <c r="T15" s="880" t="s">
        <v>12</v>
      </c>
      <c r="U15" s="882"/>
      <c r="V15" s="880">
        <v>0</v>
      </c>
      <c r="W15" s="880">
        <v>0</v>
      </c>
      <c r="X15" s="969"/>
      <c r="Y15" s="883" t="str">
        <f t="shared" si="5"/>
        <v>04.13.01</v>
      </c>
      <c r="Z15" s="884" t="str">
        <f t="shared" si="3"/>
        <v>Jalan</v>
      </c>
      <c r="AA15" s="884">
        <f t="shared" si="4"/>
        <v>10</v>
      </c>
      <c r="AB15" s="868"/>
      <c r="AC15" s="885">
        <f t="shared" si="6"/>
        <v>0</v>
      </c>
      <c r="AD15" s="868"/>
      <c r="AE15" s="868"/>
      <c r="AF15" s="868"/>
      <c r="AG15" s="868"/>
      <c r="AH15" s="868"/>
      <c r="AI15" s="886"/>
      <c r="AJ15" s="886">
        <f>SUM(AD15:AI15)</f>
        <v>0</v>
      </c>
      <c r="AK15" s="868">
        <f>U15-AJ15</f>
        <v>0</v>
      </c>
      <c r="AL15" s="962">
        <f>AL12</f>
        <v>0</v>
      </c>
    </row>
    <row r="16" spans="1:38" s="857" customFormat="1" ht="35.25" customHeight="1" x14ac:dyDescent="0.15">
      <c r="A16" s="857">
        <v>1</v>
      </c>
      <c r="B16" s="857" t="str">
        <f t="shared" si="2"/>
        <v>SEB. TELUK KUANTAN - SEB. BENAI</v>
      </c>
      <c r="C16" s="857" t="s">
        <v>529</v>
      </c>
      <c r="D16" s="857" t="s">
        <v>476</v>
      </c>
      <c r="E16" s="877" t="s">
        <v>4247</v>
      </c>
      <c r="F16" s="855"/>
      <c r="G16" s="878" t="s">
        <v>1420</v>
      </c>
      <c r="H16" s="879">
        <v>194585175</v>
      </c>
      <c r="I16" s="880" t="s">
        <v>2494</v>
      </c>
      <c r="J16" s="880">
        <v>0</v>
      </c>
      <c r="K16" s="880">
        <v>0</v>
      </c>
      <c r="L16" s="881">
        <v>0</v>
      </c>
      <c r="M16" s="880">
        <v>0</v>
      </c>
      <c r="N16" s="881">
        <v>0</v>
      </c>
      <c r="O16" s="880" t="s">
        <v>2562</v>
      </c>
      <c r="P16" s="1126">
        <v>2015</v>
      </c>
      <c r="Q16" s="880">
        <v>0</v>
      </c>
      <c r="R16" s="880">
        <v>0</v>
      </c>
      <c r="S16" s="880">
        <v>0</v>
      </c>
      <c r="T16" s="880" t="s">
        <v>12</v>
      </c>
      <c r="U16" s="882"/>
      <c r="V16" s="880">
        <v>0</v>
      </c>
      <c r="W16" s="880">
        <v>0</v>
      </c>
      <c r="X16" s="969"/>
      <c r="Y16" s="883" t="str">
        <f t="shared" si="5"/>
        <v>04.13.01</v>
      </c>
      <c r="Z16" s="884" t="str">
        <f t="shared" si="3"/>
        <v>Jalan</v>
      </c>
      <c r="AA16" s="884">
        <f t="shared" si="4"/>
        <v>10</v>
      </c>
      <c r="AB16" s="868"/>
      <c r="AC16" s="885">
        <f t="shared" si="6"/>
        <v>0</v>
      </c>
      <c r="AD16" s="868"/>
      <c r="AE16" s="868"/>
      <c r="AF16" s="868"/>
      <c r="AG16" s="868"/>
      <c r="AH16" s="868"/>
      <c r="AI16" s="886"/>
      <c r="AJ16" s="886">
        <f>SUM(AD16:AI16)</f>
        <v>0</v>
      </c>
      <c r="AK16" s="868">
        <f>U16-AJ16</f>
        <v>0</v>
      </c>
    </row>
    <row r="17" spans="1:37" s="857" customFormat="1" ht="35.25" customHeight="1" x14ac:dyDescent="0.15">
      <c r="A17" s="857">
        <v>1</v>
      </c>
      <c r="B17" s="857" t="str">
        <f t="shared" si="2"/>
        <v>SEB. TELUK KUANTAN - SEB. BENAI</v>
      </c>
      <c r="C17" s="857" t="s">
        <v>529</v>
      </c>
      <c r="D17" s="857" t="s">
        <v>862</v>
      </c>
      <c r="E17" s="877" t="s">
        <v>4247</v>
      </c>
      <c r="F17" s="855"/>
      <c r="G17" s="878" t="s">
        <v>3042</v>
      </c>
      <c r="H17" s="879">
        <v>2629412299</v>
      </c>
      <c r="I17" s="880" t="s">
        <v>2494</v>
      </c>
      <c r="J17" s="880">
        <v>0</v>
      </c>
      <c r="K17" s="880">
        <v>0</v>
      </c>
      <c r="L17" s="881">
        <v>0</v>
      </c>
      <c r="M17" s="880">
        <v>0</v>
      </c>
      <c r="N17" s="881">
        <v>0</v>
      </c>
      <c r="O17" s="880" t="s">
        <v>2556</v>
      </c>
      <c r="P17" s="1126">
        <v>2017</v>
      </c>
      <c r="Q17" s="880">
        <v>0</v>
      </c>
      <c r="R17" s="880">
        <v>0</v>
      </c>
      <c r="S17" s="880">
        <v>0</v>
      </c>
      <c r="T17" s="880" t="s">
        <v>12</v>
      </c>
      <c r="U17" s="882"/>
      <c r="V17" s="880">
        <v>0</v>
      </c>
      <c r="W17" s="880">
        <v>0</v>
      </c>
      <c r="X17" s="969"/>
      <c r="Y17" s="883" t="str">
        <f t="shared" si="5"/>
        <v>04.13.01</v>
      </c>
      <c r="Z17" s="884" t="str">
        <f t="shared" si="3"/>
        <v>Jalan</v>
      </c>
      <c r="AA17" s="884">
        <f t="shared" si="4"/>
        <v>10</v>
      </c>
      <c r="AB17" s="868"/>
      <c r="AC17" s="885">
        <f t="shared" si="6"/>
        <v>0</v>
      </c>
      <c r="AD17" s="868"/>
      <c r="AE17" s="868"/>
      <c r="AF17" s="868"/>
      <c r="AG17" s="868"/>
      <c r="AH17" s="868"/>
      <c r="AI17" s="886"/>
      <c r="AJ17" s="886">
        <f>SUM(AD17:AI17)</f>
        <v>0</v>
      </c>
      <c r="AK17" s="868">
        <f>U17-AJ17</f>
        <v>0</v>
      </c>
    </row>
    <row r="18" spans="1:37" s="857" customFormat="1" ht="35.25" customHeight="1" x14ac:dyDescent="0.15">
      <c r="A18" s="857">
        <v>1</v>
      </c>
      <c r="B18" s="857" t="str">
        <f t="shared" si="2"/>
        <v>SEB. TELUK KUANTAN - SEB. BENAI</v>
      </c>
      <c r="D18" s="857" t="s">
        <v>866</v>
      </c>
      <c r="E18" s="877" t="s">
        <v>4247</v>
      </c>
      <c r="F18" s="855"/>
      <c r="G18" s="878" t="s">
        <v>2500</v>
      </c>
      <c r="H18" s="879">
        <v>191202000</v>
      </c>
      <c r="I18" s="880" t="s">
        <v>2494</v>
      </c>
      <c r="J18" s="880">
        <v>0</v>
      </c>
      <c r="K18" s="880">
        <v>0</v>
      </c>
      <c r="L18" s="881">
        <v>0</v>
      </c>
      <c r="M18" s="880">
        <v>0</v>
      </c>
      <c r="N18" s="881">
        <v>0</v>
      </c>
      <c r="O18" s="880" t="s">
        <v>2562</v>
      </c>
      <c r="P18" s="1126">
        <v>2017</v>
      </c>
      <c r="Q18" s="880">
        <v>0</v>
      </c>
      <c r="R18" s="880">
        <v>0</v>
      </c>
      <c r="S18" s="880">
        <v>0</v>
      </c>
      <c r="T18" s="880" t="s">
        <v>12</v>
      </c>
      <c r="U18" s="882"/>
      <c r="V18" s="880">
        <v>0</v>
      </c>
      <c r="W18" s="880">
        <v>0</v>
      </c>
      <c r="X18" s="969"/>
      <c r="Y18" s="883" t="str">
        <f t="shared" si="5"/>
        <v>04.13.01</v>
      </c>
      <c r="Z18" s="884" t="str">
        <f t="shared" si="3"/>
        <v>Jalan</v>
      </c>
      <c r="AA18" s="884">
        <f t="shared" si="4"/>
        <v>10</v>
      </c>
      <c r="AB18" s="868"/>
      <c r="AC18" s="885">
        <f t="shared" si="6"/>
        <v>0</v>
      </c>
      <c r="AD18" s="868"/>
      <c r="AE18" s="868"/>
      <c r="AF18" s="868"/>
      <c r="AG18" s="868"/>
      <c r="AH18" s="868"/>
      <c r="AI18" s="886"/>
      <c r="AJ18" s="886"/>
      <c r="AK18" s="868"/>
    </row>
    <row r="19" spans="1:37" s="857" customFormat="1" ht="35.25" customHeight="1" x14ac:dyDescent="0.15">
      <c r="A19" s="857">
        <v>1</v>
      </c>
      <c r="B19" s="857" t="str">
        <f t="shared" si="2"/>
        <v>SEB. TELUK KUANTAN - SEB. BENAI</v>
      </c>
      <c r="D19" s="857" t="s">
        <v>4103</v>
      </c>
      <c r="E19" s="877" t="s">
        <v>4247</v>
      </c>
      <c r="F19" s="855"/>
      <c r="G19" s="878" t="s">
        <v>3323</v>
      </c>
      <c r="H19" s="879">
        <v>2395846651</v>
      </c>
      <c r="I19" s="880" t="s">
        <v>2494</v>
      </c>
      <c r="J19" s="880">
        <v>0</v>
      </c>
      <c r="K19" s="880">
        <v>0</v>
      </c>
      <c r="L19" s="881">
        <v>0</v>
      </c>
      <c r="M19" s="880">
        <v>0</v>
      </c>
      <c r="N19" s="881">
        <v>0</v>
      </c>
      <c r="O19" s="880" t="s">
        <v>2556</v>
      </c>
      <c r="P19" s="1126">
        <v>2018</v>
      </c>
      <c r="Q19" s="880">
        <v>0</v>
      </c>
      <c r="R19" s="880">
        <v>0</v>
      </c>
      <c r="S19" s="880">
        <v>0</v>
      </c>
      <c r="T19" s="880" t="s">
        <v>12</v>
      </c>
      <c r="U19" s="882"/>
      <c r="V19" s="880">
        <v>0</v>
      </c>
      <c r="W19" s="880">
        <v>0</v>
      </c>
      <c r="X19" s="969"/>
      <c r="Y19" s="883" t="str">
        <f t="shared" si="5"/>
        <v>04.13.01</v>
      </c>
      <c r="Z19" s="884" t="str">
        <f t="shared" si="3"/>
        <v>Jalan</v>
      </c>
      <c r="AA19" s="884">
        <f t="shared" si="4"/>
        <v>10</v>
      </c>
      <c r="AB19" s="868"/>
      <c r="AC19" s="885">
        <f t="shared" si="6"/>
        <v>0</v>
      </c>
      <c r="AD19" s="868"/>
      <c r="AE19" s="868"/>
      <c r="AF19" s="868"/>
      <c r="AG19" s="868"/>
      <c r="AH19" s="868"/>
      <c r="AI19" s="886"/>
      <c r="AJ19" s="886"/>
      <c r="AK19" s="868"/>
    </row>
    <row r="20" spans="1:37" s="857" customFormat="1" ht="35.25" customHeight="1" x14ac:dyDescent="0.15">
      <c r="A20" s="857">
        <v>1</v>
      </c>
      <c r="B20" s="857" t="str">
        <f t="shared" si="2"/>
        <v>SEB. TELUK KUANTAN - SEB. BENAI</v>
      </c>
      <c r="D20" s="857" t="s">
        <v>4109</v>
      </c>
      <c r="E20" s="877" t="s">
        <v>4247</v>
      </c>
      <c r="F20" s="855"/>
      <c r="G20" s="878" t="s">
        <v>3331</v>
      </c>
      <c r="H20" s="879">
        <v>188212566</v>
      </c>
      <c r="I20" s="880" t="s">
        <v>2494</v>
      </c>
      <c r="J20" s="880">
        <v>0</v>
      </c>
      <c r="K20" s="880">
        <v>0</v>
      </c>
      <c r="L20" s="881">
        <v>0</v>
      </c>
      <c r="M20" s="880">
        <v>0</v>
      </c>
      <c r="N20" s="881">
        <v>0</v>
      </c>
      <c r="O20" s="880" t="s">
        <v>3306</v>
      </c>
      <c r="P20" s="1126">
        <v>2018</v>
      </c>
      <c r="Q20" s="880">
        <v>0</v>
      </c>
      <c r="R20" s="880">
        <v>0</v>
      </c>
      <c r="S20" s="880">
        <v>0</v>
      </c>
      <c r="T20" s="880" t="s">
        <v>12</v>
      </c>
      <c r="U20" s="882"/>
      <c r="V20" s="880">
        <v>0</v>
      </c>
      <c r="W20" s="880">
        <v>0</v>
      </c>
      <c r="X20" s="969"/>
      <c r="Y20" s="883" t="str">
        <f t="shared" si="5"/>
        <v>04.13.01</v>
      </c>
      <c r="Z20" s="884" t="str">
        <f t="shared" si="3"/>
        <v>Jalan</v>
      </c>
      <c r="AA20" s="884">
        <f t="shared" si="4"/>
        <v>10</v>
      </c>
      <c r="AB20" s="868"/>
      <c r="AC20" s="885">
        <f t="shared" si="6"/>
        <v>0</v>
      </c>
      <c r="AD20" s="868"/>
      <c r="AE20" s="868"/>
      <c r="AF20" s="868"/>
      <c r="AG20" s="868"/>
      <c r="AH20" s="868"/>
      <c r="AI20" s="886"/>
      <c r="AJ20" s="886"/>
      <c r="AK20" s="868"/>
    </row>
    <row r="21" spans="1:37" s="998" customFormat="1" ht="35.25" customHeight="1" x14ac:dyDescent="0.15">
      <c r="A21" s="998">
        <v>2</v>
      </c>
      <c r="B21" s="998" t="str">
        <f t="shared" si="2"/>
        <v>JAKE - GERINGGING BARU</v>
      </c>
      <c r="D21" s="998" t="s">
        <v>3834</v>
      </c>
      <c r="E21" s="999" t="s">
        <v>4247</v>
      </c>
      <c r="F21" s="1000"/>
      <c r="G21" s="1010" t="s">
        <v>1138</v>
      </c>
      <c r="H21" s="1011"/>
      <c r="I21" s="1001" t="s">
        <v>2494</v>
      </c>
      <c r="J21" s="1001">
        <v>0</v>
      </c>
      <c r="K21" s="1001" t="s">
        <v>492</v>
      </c>
      <c r="L21" s="1003">
        <v>13300</v>
      </c>
      <c r="M21" s="1001">
        <v>8</v>
      </c>
      <c r="N21" s="1003">
        <v>106400</v>
      </c>
      <c r="O21" s="1001" t="s">
        <v>621</v>
      </c>
      <c r="P21" s="1168">
        <v>2001</v>
      </c>
      <c r="Q21" s="1001">
        <v>0</v>
      </c>
      <c r="R21" s="1001">
        <v>0</v>
      </c>
      <c r="S21" s="1001" t="s">
        <v>482</v>
      </c>
      <c r="T21" s="1001" t="s">
        <v>12</v>
      </c>
      <c r="U21" s="1002">
        <f>20175343360+H22+H23+H24+H25+H26</f>
        <v>37920658640.407501</v>
      </c>
      <c r="V21" s="1001" t="s">
        <v>43</v>
      </c>
      <c r="W21" s="1001">
        <v>0</v>
      </c>
      <c r="X21" s="1004"/>
      <c r="Y21" s="1005" t="str">
        <f t="shared" si="5"/>
        <v>04.13.01</v>
      </c>
      <c r="Z21" s="1006" t="str">
        <f t="shared" si="3"/>
        <v>Jalan</v>
      </c>
      <c r="AA21" s="1006">
        <f t="shared" si="4"/>
        <v>10</v>
      </c>
      <c r="AB21" s="1007"/>
      <c r="AC21" s="1008">
        <f t="shared" si="6"/>
        <v>10</v>
      </c>
      <c r="AD21" s="1007"/>
      <c r="AE21" s="1007"/>
      <c r="AF21" s="1007"/>
      <c r="AG21" s="1007"/>
      <c r="AH21" s="1007"/>
      <c r="AI21" s="1009">
        <f>PERHITUNGAN!U48</f>
        <v>1595062926.0414073</v>
      </c>
      <c r="AJ21" s="1009">
        <f>PERHITUNGAN!U52</f>
        <v>25160155232.076237</v>
      </c>
      <c r="AK21" s="1007">
        <f t="shared" ref="AK21:AK33" si="7">U21-AJ21</f>
        <v>12760503408.331264</v>
      </c>
    </row>
    <row r="22" spans="1:37" s="857" customFormat="1" ht="35.25" customHeight="1" x14ac:dyDescent="0.15">
      <c r="A22" s="857">
        <v>2</v>
      </c>
      <c r="B22" s="857" t="str">
        <f t="shared" si="2"/>
        <v>JAKE - GERINGGING BARU</v>
      </c>
      <c r="D22" s="857" t="s">
        <v>3835</v>
      </c>
      <c r="E22" s="877" t="s">
        <v>4247</v>
      </c>
      <c r="F22" s="855"/>
      <c r="G22" s="878" t="s">
        <v>1411</v>
      </c>
      <c r="H22" s="879">
        <v>2125785396</v>
      </c>
      <c r="I22" s="880" t="s">
        <v>2494</v>
      </c>
      <c r="J22" s="880">
        <v>0</v>
      </c>
      <c r="K22" s="880">
        <v>0</v>
      </c>
      <c r="L22" s="881">
        <v>0</v>
      </c>
      <c r="M22" s="880">
        <v>0</v>
      </c>
      <c r="N22" s="881">
        <v>0</v>
      </c>
      <c r="O22" s="880" t="s">
        <v>621</v>
      </c>
      <c r="P22" s="1126">
        <v>2015</v>
      </c>
      <c r="Q22" s="880">
        <v>0</v>
      </c>
      <c r="R22" s="880">
        <v>0</v>
      </c>
      <c r="S22" s="880">
        <v>0</v>
      </c>
      <c r="T22" s="880" t="s">
        <v>12</v>
      </c>
      <c r="U22" s="882"/>
      <c r="V22" s="880">
        <v>0</v>
      </c>
      <c r="W22" s="880">
        <v>0</v>
      </c>
      <c r="X22" s="969"/>
      <c r="Y22" s="883" t="str">
        <f t="shared" si="5"/>
        <v>04.13.01</v>
      </c>
      <c r="Z22" s="884" t="str">
        <f t="shared" si="3"/>
        <v>Jalan</v>
      </c>
      <c r="AA22" s="884">
        <f t="shared" si="4"/>
        <v>10</v>
      </c>
      <c r="AB22" s="868"/>
      <c r="AC22" s="885">
        <f t="shared" si="6"/>
        <v>0</v>
      </c>
      <c r="AD22" s="868"/>
      <c r="AE22" s="868"/>
      <c r="AF22" s="868"/>
      <c r="AG22" s="868"/>
      <c r="AH22" s="868"/>
      <c r="AI22" s="886"/>
      <c r="AJ22" s="886">
        <f>SUM(AD22:AI22)</f>
        <v>0</v>
      </c>
      <c r="AK22" s="868">
        <f t="shared" si="7"/>
        <v>0</v>
      </c>
    </row>
    <row r="23" spans="1:37" s="857" customFormat="1" ht="35.25" customHeight="1" x14ac:dyDescent="0.15">
      <c r="A23" s="857">
        <v>2</v>
      </c>
      <c r="B23" s="857" t="str">
        <f t="shared" si="2"/>
        <v>JAKE - GERINGGING BARU</v>
      </c>
      <c r="D23" s="857" t="s">
        <v>3836</v>
      </c>
      <c r="E23" s="877" t="s">
        <v>4247</v>
      </c>
      <c r="F23" s="855"/>
      <c r="G23" s="878" t="s">
        <v>1456</v>
      </c>
      <c r="H23" s="879">
        <v>5335623040.4074984</v>
      </c>
      <c r="I23" s="880" t="s">
        <v>2494</v>
      </c>
      <c r="J23" s="880">
        <v>0</v>
      </c>
      <c r="K23" s="880">
        <v>0</v>
      </c>
      <c r="L23" s="881">
        <v>0</v>
      </c>
      <c r="M23" s="880">
        <v>0</v>
      </c>
      <c r="N23" s="881">
        <v>0</v>
      </c>
      <c r="O23" s="880" t="s">
        <v>621</v>
      </c>
      <c r="P23" s="1126">
        <v>2016</v>
      </c>
      <c r="Q23" s="880">
        <v>0</v>
      </c>
      <c r="R23" s="880">
        <v>0</v>
      </c>
      <c r="S23" s="880">
        <v>0</v>
      </c>
      <c r="T23" s="880" t="s">
        <v>12</v>
      </c>
      <c r="U23" s="882"/>
      <c r="V23" s="880">
        <v>0</v>
      </c>
      <c r="W23" s="880">
        <v>0</v>
      </c>
      <c r="X23" s="969"/>
      <c r="Y23" s="883" t="str">
        <f t="shared" si="5"/>
        <v>04.13.01</v>
      </c>
      <c r="Z23" s="884" t="str">
        <f t="shared" si="3"/>
        <v>Jalan</v>
      </c>
      <c r="AA23" s="884">
        <f t="shared" si="4"/>
        <v>10</v>
      </c>
      <c r="AB23" s="868"/>
      <c r="AC23" s="885">
        <f t="shared" si="6"/>
        <v>0</v>
      </c>
      <c r="AD23" s="868"/>
      <c r="AE23" s="868"/>
      <c r="AF23" s="868"/>
      <c r="AG23" s="868"/>
      <c r="AH23" s="868"/>
      <c r="AI23" s="886"/>
      <c r="AJ23" s="886">
        <f>SUM(AD23:AI23)</f>
        <v>0</v>
      </c>
      <c r="AK23" s="868">
        <f t="shared" si="7"/>
        <v>0</v>
      </c>
    </row>
    <row r="24" spans="1:37" s="857" customFormat="1" ht="35.25" customHeight="1" x14ac:dyDescent="0.15">
      <c r="A24" s="857">
        <v>2</v>
      </c>
      <c r="B24" s="857" t="str">
        <f t="shared" si="2"/>
        <v>JAKE - GERINGGING BARU</v>
      </c>
      <c r="D24" s="857" t="s">
        <v>3837</v>
      </c>
      <c r="E24" s="877" t="s">
        <v>4247</v>
      </c>
      <c r="F24" s="855"/>
      <c r="G24" s="878" t="s">
        <v>3062</v>
      </c>
      <c r="H24" s="879">
        <v>2048298000</v>
      </c>
      <c r="I24" s="880" t="s">
        <v>2494</v>
      </c>
      <c r="J24" s="880">
        <v>0</v>
      </c>
      <c r="K24" s="880">
        <v>0</v>
      </c>
      <c r="L24" s="881">
        <v>0</v>
      </c>
      <c r="M24" s="880">
        <v>0</v>
      </c>
      <c r="N24" s="881">
        <v>0</v>
      </c>
      <c r="O24" s="880" t="s">
        <v>621</v>
      </c>
      <c r="P24" s="1126">
        <v>2017</v>
      </c>
      <c r="Q24" s="880">
        <v>0</v>
      </c>
      <c r="R24" s="880">
        <v>0</v>
      </c>
      <c r="S24" s="880">
        <v>0</v>
      </c>
      <c r="T24" s="880" t="s">
        <v>12</v>
      </c>
      <c r="U24" s="882"/>
      <c r="V24" s="880">
        <v>0</v>
      </c>
      <c r="W24" s="880">
        <v>0</v>
      </c>
      <c r="X24" s="969"/>
      <c r="Y24" s="883" t="str">
        <f t="shared" si="5"/>
        <v>04.13.01</v>
      </c>
      <c r="Z24" s="884" t="str">
        <f t="shared" si="3"/>
        <v>Jalan</v>
      </c>
      <c r="AA24" s="884">
        <f t="shared" si="4"/>
        <v>10</v>
      </c>
      <c r="AB24" s="868"/>
      <c r="AC24" s="885">
        <f t="shared" si="6"/>
        <v>0</v>
      </c>
      <c r="AD24" s="868"/>
      <c r="AE24" s="868"/>
      <c r="AF24" s="868"/>
      <c r="AG24" s="868"/>
      <c r="AH24" s="868"/>
      <c r="AI24" s="886"/>
      <c r="AJ24" s="886">
        <f>SUM(AD24:AI24)</f>
        <v>0</v>
      </c>
      <c r="AK24" s="868">
        <f t="shared" si="7"/>
        <v>0</v>
      </c>
    </row>
    <row r="25" spans="1:37" s="857" customFormat="1" ht="35.25" customHeight="1" x14ac:dyDescent="0.15">
      <c r="A25" s="857">
        <v>2</v>
      </c>
      <c r="B25" s="857" t="str">
        <f t="shared" si="2"/>
        <v>JAKE - GERINGGING BARU</v>
      </c>
      <c r="D25" s="857" t="s">
        <v>3838</v>
      </c>
      <c r="E25" s="877" t="s">
        <v>4247</v>
      </c>
      <c r="F25" s="855"/>
      <c r="G25" s="878" t="s">
        <v>1456</v>
      </c>
      <c r="H25" s="879">
        <v>8049268344</v>
      </c>
      <c r="I25" s="880" t="s">
        <v>2494</v>
      </c>
      <c r="J25" s="880">
        <v>0</v>
      </c>
      <c r="K25" s="880">
        <v>0</v>
      </c>
      <c r="L25" s="881">
        <v>0</v>
      </c>
      <c r="M25" s="880">
        <v>0</v>
      </c>
      <c r="N25" s="881">
        <v>0</v>
      </c>
      <c r="O25" s="880" t="s">
        <v>621</v>
      </c>
      <c r="P25" s="1126">
        <v>2018</v>
      </c>
      <c r="Q25" s="880">
        <v>0</v>
      </c>
      <c r="R25" s="880">
        <v>0</v>
      </c>
      <c r="S25" s="880">
        <v>0</v>
      </c>
      <c r="T25" s="880" t="s">
        <v>12</v>
      </c>
      <c r="U25" s="882"/>
      <c r="V25" s="880">
        <v>0</v>
      </c>
      <c r="W25" s="880">
        <v>0</v>
      </c>
      <c r="X25" s="969"/>
      <c r="Y25" s="883" t="str">
        <f t="shared" si="5"/>
        <v>04.13.01</v>
      </c>
      <c r="Z25" s="884" t="str">
        <f t="shared" si="3"/>
        <v>Jalan</v>
      </c>
      <c r="AA25" s="884">
        <f t="shared" si="4"/>
        <v>10</v>
      </c>
      <c r="AB25" s="868"/>
      <c r="AC25" s="885">
        <f t="shared" si="6"/>
        <v>0</v>
      </c>
      <c r="AD25" s="868"/>
      <c r="AE25" s="868"/>
      <c r="AF25" s="868"/>
      <c r="AG25" s="868"/>
      <c r="AH25" s="868"/>
      <c r="AI25" s="886"/>
      <c r="AJ25" s="886">
        <f>SUM(AD25:AI25)</f>
        <v>0</v>
      </c>
      <c r="AK25" s="868">
        <f t="shared" si="7"/>
        <v>0</v>
      </c>
    </row>
    <row r="26" spans="1:37" s="857" customFormat="1" ht="35.25" customHeight="1" x14ac:dyDescent="0.15">
      <c r="A26" s="857">
        <v>2</v>
      </c>
      <c r="B26" s="857" t="str">
        <f t="shared" si="2"/>
        <v>JAKE - GERINGGING BARU</v>
      </c>
      <c r="D26" s="857" t="s">
        <v>3839</v>
      </c>
      <c r="E26" s="877" t="s">
        <v>4247</v>
      </c>
      <c r="F26" s="855"/>
      <c r="G26" s="878" t="s">
        <v>3341</v>
      </c>
      <c r="H26" s="879">
        <v>186340500</v>
      </c>
      <c r="I26" s="880" t="s">
        <v>2494</v>
      </c>
      <c r="J26" s="880">
        <v>0</v>
      </c>
      <c r="K26" s="880">
        <v>0</v>
      </c>
      <c r="L26" s="881">
        <v>0</v>
      </c>
      <c r="M26" s="880">
        <v>0</v>
      </c>
      <c r="N26" s="881">
        <v>0</v>
      </c>
      <c r="O26" s="880" t="s">
        <v>621</v>
      </c>
      <c r="P26" s="1126">
        <v>2018</v>
      </c>
      <c r="Q26" s="880">
        <v>0</v>
      </c>
      <c r="R26" s="880">
        <v>0</v>
      </c>
      <c r="S26" s="880">
        <v>0</v>
      </c>
      <c r="T26" s="880" t="s">
        <v>12</v>
      </c>
      <c r="U26" s="882"/>
      <c r="V26" s="880">
        <v>0</v>
      </c>
      <c r="W26" s="880">
        <v>0</v>
      </c>
      <c r="X26" s="969"/>
      <c r="Y26" s="883" t="str">
        <f t="shared" si="5"/>
        <v>04.13.01</v>
      </c>
      <c r="Z26" s="884" t="str">
        <f t="shared" si="3"/>
        <v>Jalan</v>
      </c>
      <c r="AA26" s="884">
        <f t="shared" si="4"/>
        <v>10</v>
      </c>
      <c r="AB26" s="868"/>
      <c r="AC26" s="885">
        <f t="shared" si="6"/>
        <v>0</v>
      </c>
      <c r="AD26" s="868"/>
      <c r="AE26" s="868"/>
      <c r="AF26" s="868"/>
      <c r="AG26" s="868"/>
      <c r="AH26" s="868"/>
      <c r="AI26" s="886"/>
      <c r="AJ26" s="886">
        <f>SUM(AD26:AI26)</f>
        <v>0</v>
      </c>
      <c r="AK26" s="868">
        <f t="shared" si="7"/>
        <v>0</v>
      </c>
    </row>
    <row r="27" spans="1:37" s="998" customFormat="1" ht="35.25" customHeight="1" x14ac:dyDescent="0.15">
      <c r="A27" s="998">
        <v>3</v>
      </c>
      <c r="B27" s="998" t="str">
        <f t="shared" si="2"/>
        <v>JAKE - KOTO KOMBU</v>
      </c>
      <c r="D27" s="998" t="s">
        <v>3840</v>
      </c>
      <c r="E27" s="999" t="s">
        <v>4247</v>
      </c>
      <c r="F27" s="1000"/>
      <c r="G27" s="1010" t="s">
        <v>1139</v>
      </c>
      <c r="H27" s="1011"/>
      <c r="I27" s="1001" t="s">
        <v>2494</v>
      </c>
      <c r="J27" s="1001">
        <v>0</v>
      </c>
      <c r="K27" s="1001" t="s">
        <v>479</v>
      </c>
      <c r="L27" s="1003" t="s">
        <v>622</v>
      </c>
      <c r="M27" s="1001">
        <v>0</v>
      </c>
      <c r="N27" s="1003">
        <v>0</v>
      </c>
      <c r="O27" s="1001" t="s">
        <v>3080</v>
      </c>
      <c r="P27" s="1168">
        <v>2001</v>
      </c>
      <c r="Q27" s="1001">
        <v>0</v>
      </c>
      <c r="R27" s="1001">
        <v>0</v>
      </c>
      <c r="S27" s="1001" t="s">
        <v>482</v>
      </c>
      <c r="T27" s="1001" t="s">
        <v>12</v>
      </c>
      <c r="U27" s="1002">
        <f>13778074379+H28+H29+H30+H31+H32+H33+H34+H35+H36</f>
        <v>43032401037.087883</v>
      </c>
      <c r="V27" s="1001" t="s">
        <v>43</v>
      </c>
      <c r="W27" s="1001">
        <v>0</v>
      </c>
      <c r="X27" s="1004"/>
      <c r="Y27" s="1005" t="str">
        <f t="shared" si="5"/>
        <v>04.13.01</v>
      </c>
      <c r="Z27" s="1006" t="str">
        <f t="shared" si="3"/>
        <v>Jalan</v>
      </c>
      <c r="AA27" s="1006">
        <f t="shared" si="4"/>
        <v>10</v>
      </c>
      <c r="AB27" s="1007"/>
      <c r="AC27" s="1008">
        <f t="shared" si="6"/>
        <v>10</v>
      </c>
      <c r="AD27" s="1007"/>
      <c r="AE27" s="1007"/>
      <c r="AF27" s="1007"/>
      <c r="AG27" s="1007"/>
      <c r="AH27" s="1007"/>
      <c r="AI27" s="1009">
        <f>PERHITUNGAN!U76</f>
        <v>2672298082.0710135</v>
      </c>
      <c r="AJ27" s="1009">
        <f>PERHITUNGAN!U79</f>
        <v>26505867469.898739</v>
      </c>
      <c r="AK27" s="1007">
        <f t="shared" si="7"/>
        <v>16526533567.189144</v>
      </c>
    </row>
    <row r="28" spans="1:37" s="857" customFormat="1" ht="35.25" customHeight="1" x14ac:dyDescent="0.15">
      <c r="A28" s="857">
        <v>3</v>
      </c>
      <c r="B28" s="857" t="str">
        <f t="shared" si="2"/>
        <v>JAKE - KOTO KOMBU</v>
      </c>
      <c r="D28" s="857" t="s">
        <v>3841</v>
      </c>
      <c r="E28" s="877" t="s">
        <v>4247</v>
      </c>
      <c r="F28" s="855"/>
      <c r="G28" s="878" t="s">
        <v>1177</v>
      </c>
      <c r="H28" s="879">
        <v>667654574.73438203</v>
      </c>
      <c r="I28" s="880" t="s">
        <v>2494</v>
      </c>
      <c r="J28" s="880">
        <v>0</v>
      </c>
      <c r="K28" s="880" t="s">
        <v>835</v>
      </c>
      <c r="L28" s="881">
        <v>2</v>
      </c>
      <c r="M28" s="880">
        <v>2</v>
      </c>
      <c r="N28" s="881">
        <v>4</v>
      </c>
      <c r="O28" s="880" t="s">
        <v>3584</v>
      </c>
      <c r="P28" s="1126">
        <v>2007</v>
      </c>
      <c r="Q28" s="880">
        <v>0</v>
      </c>
      <c r="R28" s="880">
        <v>0</v>
      </c>
      <c r="S28" s="880">
        <v>0</v>
      </c>
      <c r="T28" s="880" t="s">
        <v>12</v>
      </c>
      <c r="U28" s="882"/>
      <c r="V28" s="880" t="s">
        <v>43</v>
      </c>
      <c r="W28" s="880">
        <v>0</v>
      </c>
      <c r="X28" s="969"/>
      <c r="Y28" s="883" t="str">
        <f t="shared" si="5"/>
        <v>04.13.01</v>
      </c>
      <c r="Z28" s="884" t="str">
        <f t="shared" si="3"/>
        <v>Jalan</v>
      </c>
      <c r="AA28" s="884">
        <f t="shared" si="4"/>
        <v>10</v>
      </c>
      <c r="AB28" s="868"/>
      <c r="AC28" s="885">
        <f t="shared" si="6"/>
        <v>6</v>
      </c>
      <c r="AD28" s="868"/>
      <c r="AE28" s="868"/>
      <c r="AF28" s="868"/>
      <c r="AG28" s="868"/>
      <c r="AH28" s="868"/>
      <c r="AI28" s="886"/>
      <c r="AJ28" s="886">
        <f t="shared" ref="AJ28:AJ33" si="8">SUM(AD28:AI28)</f>
        <v>0</v>
      </c>
      <c r="AK28" s="868">
        <f t="shared" si="7"/>
        <v>0</v>
      </c>
    </row>
    <row r="29" spans="1:37" s="857" customFormat="1" ht="35.25" customHeight="1" x14ac:dyDescent="0.15">
      <c r="A29" s="857">
        <v>3</v>
      </c>
      <c r="B29" s="857" t="str">
        <f t="shared" si="2"/>
        <v>JAKE - KOTO KOMBU</v>
      </c>
      <c r="D29" s="857" t="s">
        <v>3842</v>
      </c>
      <c r="E29" s="877" t="s">
        <v>4247</v>
      </c>
      <c r="F29" s="855"/>
      <c r="G29" s="878" t="s">
        <v>1178</v>
      </c>
      <c r="H29" s="879">
        <v>705972610.72970796</v>
      </c>
      <c r="I29" s="880" t="s">
        <v>2494</v>
      </c>
      <c r="J29" s="880">
        <v>0</v>
      </c>
      <c r="K29" s="880" t="s">
        <v>835</v>
      </c>
      <c r="L29" s="881">
        <v>3</v>
      </c>
      <c r="M29" s="880">
        <v>4</v>
      </c>
      <c r="N29" s="881">
        <v>12</v>
      </c>
      <c r="O29" s="880" t="s">
        <v>3584</v>
      </c>
      <c r="P29" s="1126">
        <v>2007</v>
      </c>
      <c r="Q29" s="880">
        <v>0</v>
      </c>
      <c r="R29" s="880">
        <v>0</v>
      </c>
      <c r="S29" s="880">
        <v>0</v>
      </c>
      <c r="T29" s="880" t="s">
        <v>12</v>
      </c>
      <c r="U29" s="882"/>
      <c r="V29" s="880" t="s">
        <v>43</v>
      </c>
      <c r="W29" s="880">
        <v>0</v>
      </c>
      <c r="X29" s="969"/>
      <c r="Y29" s="883" t="str">
        <f t="shared" si="5"/>
        <v>04.13.01</v>
      </c>
      <c r="Z29" s="884" t="str">
        <f t="shared" si="3"/>
        <v>Jalan</v>
      </c>
      <c r="AA29" s="884">
        <f t="shared" si="4"/>
        <v>10</v>
      </c>
      <c r="AB29" s="868"/>
      <c r="AC29" s="885">
        <f t="shared" si="6"/>
        <v>6</v>
      </c>
      <c r="AD29" s="868"/>
      <c r="AE29" s="868"/>
      <c r="AF29" s="868"/>
      <c r="AG29" s="868"/>
      <c r="AH29" s="868"/>
      <c r="AI29" s="886"/>
      <c r="AJ29" s="886">
        <f t="shared" si="8"/>
        <v>0</v>
      </c>
      <c r="AK29" s="868">
        <f t="shared" si="7"/>
        <v>0</v>
      </c>
    </row>
    <row r="30" spans="1:37" s="857" customFormat="1" ht="35.25" customHeight="1" x14ac:dyDescent="0.15">
      <c r="A30" s="857">
        <v>3</v>
      </c>
      <c r="B30" s="857" t="str">
        <f t="shared" si="2"/>
        <v>JAKE - KOTO KOMBU</v>
      </c>
      <c r="D30" s="857" t="s">
        <v>3843</v>
      </c>
      <c r="E30" s="877" t="s">
        <v>4247</v>
      </c>
      <c r="F30" s="855"/>
      <c r="G30" s="878" t="s">
        <v>1234</v>
      </c>
      <c r="H30" s="879">
        <v>1722640846.3199999</v>
      </c>
      <c r="I30" s="880" t="s">
        <v>2494</v>
      </c>
      <c r="J30" s="880">
        <v>0</v>
      </c>
      <c r="K30" s="880" t="s">
        <v>519</v>
      </c>
      <c r="L30" s="881">
        <v>0</v>
      </c>
      <c r="M30" s="880">
        <v>0</v>
      </c>
      <c r="N30" s="881">
        <v>1000</v>
      </c>
      <c r="O30" s="880" t="s">
        <v>3140</v>
      </c>
      <c r="P30" s="1126">
        <v>2011</v>
      </c>
      <c r="Q30" s="880">
        <v>0</v>
      </c>
      <c r="R30" s="880">
        <v>0</v>
      </c>
      <c r="S30" s="880">
        <v>0</v>
      </c>
      <c r="T30" s="880" t="s">
        <v>12</v>
      </c>
      <c r="U30" s="882"/>
      <c r="V30" s="880" t="s">
        <v>43</v>
      </c>
      <c r="W30" s="880">
        <v>0</v>
      </c>
      <c r="X30" s="969"/>
      <c r="Y30" s="883" t="str">
        <f t="shared" si="5"/>
        <v>04.13.01</v>
      </c>
      <c r="Z30" s="884" t="str">
        <f t="shared" si="3"/>
        <v>Jalan</v>
      </c>
      <c r="AA30" s="884">
        <f t="shared" si="4"/>
        <v>10</v>
      </c>
      <c r="AB30" s="868"/>
      <c r="AC30" s="885">
        <f t="shared" si="6"/>
        <v>2</v>
      </c>
      <c r="AD30" s="868"/>
      <c r="AE30" s="868"/>
      <c r="AF30" s="868"/>
      <c r="AG30" s="868"/>
      <c r="AH30" s="868"/>
      <c r="AI30" s="886"/>
      <c r="AJ30" s="886">
        <f t="shared" si="8"/>
        <v>0</v>
      </c>
      <c r="AK30" s="868">
        <f t="shared" si="7"/>
        <v>0</v>
      </c>
    </row>
    <row r="31" spans="1:37" s="857" customFormat="1" ht="35.25" customHeight="1" x14ac:dyDescent="0.15">
      <c r="A31" s="857">
        <v>3</v>
      </c>
      <c r="B31" s="857" t="str">
        <f t="shared" si="2"/>
        <v>JAKE - KOTO KOMBU</v>
      </c>
      <c r="D31" s="857" t="s">
        <v>3844</v>
      </c>
      <c r="E31" s="877" t="s">
        <v>4247</v>
      </c>
      <c r="F31" s="855"/>
      <c r="G31" s="878" t="s">
        <v>1272</v>
      </c>
      <c r="H31" s="879">
        <v>3375384144</v>
      </c>
      <c r="I31" s="880" t="s">
        <v>2494</v>
      </c>
      <c r="J31" s="880">
        <v>0</v>
      </c>
      <c r="K31" s="880" t="s">
        <v>519</v>
      </c>
      <c r="L31" s="881">
        <v>0</v>
      </c>
      <c r="M31" s="880">
        <v>0</v>
      </c>
      <c r="N31" s="881">
        <v>0</v>
      </c>
      <c r="O31" s="880" t="s">
        <v>3165</v>
      </c>
      <c r="P31" s="1126">
        <v>2012</v>
      </c>
      <c r="Q31" s="880">
        <v>0</v>
      </c>
      <c r="R31" s="880">
        <v>0</v>
      </c>
      <c r="S31" s="880">
        <v>0</v>
      </c>
      <c r="T31" s="880" t="s">
        <v>12</v>
      </c>
      <c r="U31" s="882"/>
      <c r="V31" s="880" t="s">
        <v>43</v>
      </c>
      <c r="W31" s="880">
        <v>0</v>
      </c>
      <c r="X31" s="969"/>
      <c r="Y31" s="883" t="str">
        <f t="shared" si="5"/>
        <v>04.13.01</v>
      </c>
      <c r="Z31" s="884" t="str">
        <f t="shared" si="3"/>
        <v>Jalan</v>
      </c>
      <c r="AA31" s="884">
        <f t="shared" si="4"/>
        <v>10</v>
      </c>
      <c r="AB31" s="868"/>
      <c r="AC31" s="885">
        <f t="shared" si="6"/>
        <v>1</v>
      </c>
      <c r="AD31" s="868"/>
      <c r="AE31" s="868"/>
      <c r="AF31" s="868"/>
      <c r="AG31" s="868"/>
      <c r="AH31" s="868"/>
      <c r="AI31" s="886"/>
      <c r="AJ31" s="886">
        <f t="shared" si="8"/>
        <v>0</v>
      </c>
      <c r="AK31" s="868">
        <f t="shared" si="7"/>
        <v>0</v>
      </c>
    </row>
    <row r="32" spans="1:37" s="857" customFormat="1" ht="35.25" customHeight="1" x14ac:dyDescent="0.15">
      <c r="A32" s="857">
        <v>3</v>
      </c>
      <c r="B32" s="857" t="str">
        <f t="shared" si="2"/>
        <v>JAKE - KOTO KOMBU</v>
      </c>
      <c r="D32" s="857" t="s">
        <v>3845</v>
      </c>
      <c r="E32" s="877" t="s">
        <v>4247</v>
      </c>
      <c r="F32" s="855"/>
      <c r="G32" s="878" t="s">
        <v>1374</v>
      </c>
      <c r="H32" s="879">
        <v>2482976673</v>
      </c>
      <c r="I32" s="880" t="s">
        <v>2494</v>
      </c>
      <c r="J32" s="880">
        <v>0</v>
      </c>
      <c r="K32" s="880">
        <v>0</v>
      </c>
      <c r="L32" s="881">
        <v>20000</v>
      </c>
      <c r="M32" s="880">
        <v>8</v>
      </c>
      <c r="N32" s="881">
        <v>157100</v>
      </c>
      <c r="O32" s="880" t="s">
        <v>623</v>
      </c>
      <c r="P32" s="1126">
        <v>2015</v>
      </c>
      <c r="Q32" s="880">
        <v>0</v>
      </c>
      <c r="R32" s="880">
        <v>0</v>
      </c>
      <c r="S32" s="880">
        <v>0</v>
      </c>
      <c r="T32" s="880" t="s">
        <v>12</v>
      </c>
      <c r="U32" s="882"/>
      <c r="V32" s="880">
        <v>0</v>
      </c>
      <c r="W32" s="880">
        <v>0</v>
      </c>
      <c r="X32" s="969"/>
      <c r="Y32" s="883" t="str">
        <f t="shared" si="5"/>
        <v>04.13.01</v>
      </c>
      <c r="Z32" s="884" t="str">
        <f t="shared" si="3"/>
        <v>Jalan</v>
      </c>
      <c r="AA32" s="884">
        <f t="shared" si="4"/>
        <v>10</v>
      </c>
      <c r="AB32" s="868"/>
      <c r="AC32" s="885">
        <f t="shared" si="6"/>
        <v>0</v>
      </c>
      <c r="AD32" s="868"/>
      <c r="AE32" s="868"/>
      <c r="AF32" s="868"/>
      <c r="AG32" s="868"/>
      <c r="AH32" s="868"/>
      <c r="AI32" s="886"/>
      <c r="AJ32" s="886">
        <f t="shared" si="8"/>
        <v>0</v>
      </c>
      <c r="AK32" s="868">
        <f t="shared" si="7"/>
        <v>0</v>
      </c>
    </row>
    <row r="33" spans="1:37" s="857" customFormat="1" ht="35.25" customHeight="1" x14ac:dyDescent="0.15">
      <c r="A33" s="857">
        <v>3</v>
      </c>
      <c r="B33" s="857" t="str">
        <f t="shared" si="2"/>
        <v>JAKE - KOTO KOMBU</v>
      </c>
      <c r="D33" s="857" t="s">
        <v>3846</v>
      </c>
      <c r="E33" s="877" t="s">
        <v>4247</v>
      </c>
      <c r="F33" s="855"/>
      <c r="G33" s="878" t="s">
        <v>1386</v>
      </c>
      <c r="H33" s="879">
        <v>6993176545.3037949</v>
      </c>
      <c r="I33" s="880" t="s">
        <v>2494</v>
      </c>
      <c r="J33" s="880">
        <v>0</v>
      </c>
      <c r="K33" s="880">
        <v>0</v>
      </c>
      <c r="L33" s="881">
        <v>0</v>
      </c>
      <c r="M33" s="880">
        <v>0</v>
      </c>
      <c r="N33" s="881">
        <v>0</v>
      </c>
      <c r="O33" s="880" t="s">
        <v>3140</v>
      </c>
      <c r="P33" s="1126">
        <v>2015</v>
      </c>
      <c r="Q33" s="880">
        <v>0</v>
      </c>
      <c r="R33" s="880">
        <v>0</v>
      </c>
      <c r="S33" s="880">
        <v>0</v>
      </c>
      <c r="T33" s="880" t="s">
        <v>12</v>
      </c>
      <c r="U33" s="882"/>
      <c r="V33" s="880">
        <v>0</v>
      </c>
      <c r="W33" s="880">
        <v>0</v>
      </c>
      <c r="X33" s="969"/>
      <c r="Y33" s="883" t="str">
        <f t="shared" si="5"/>
        <v>04.13.01</v>
      </c>
      <c r="Z33" s="884" t="str">
        <f t="shared" si="3"/>
        <v>Jalan</v>
      </c>
      <c r="AA33" s="884">
        <f t="shared" si="4"/>
        <v>10</v>
      </c>
      <c r="AB33" s="868"/>
      <c r="AC33" s="885">
        <f t="shared" si="6"/>
        <v>0</v>
      </c>
      <c r="AD33" s="868"/>
      <c r="AE33" s="868"/>
      <c r="AF33" s="868"/>
      <c r="AG33" s="868"/>
      <c r="AH33" s="868"/>
      <c r="AI33" s="886"/>
      <c r="AJ33" s="886">
        <f t="shared" si="8"/>
        <v>0</v>
      </c>
      <c r="AK33" s="868">
        <f t="shared" si="7"/>
        <v>0</v>
      </c>
    </row>
    <row r="34" spans="1:37" s="857" customFormat="1" ht="35.25" customHeight="1" x14ac:dyDescent="0.15">
      <c r="A34" s="857">
        <v>3</v>
      </c>
      <c r="B34" s="857" t="str">
        <f t="shared" si="2"/>
        <v>JAKE - KOTO KOMBU</v>
      </c>
      <c r="D34" s="857" t="s">
        <v>4114</v>
      </c>
      <c r="E34" s="877" t="s">
        <v>4247</v>
      </c>
      <c r="F34" s="855"/>
      <c r="G34" s="878" t="s">
        <v>1404</v>
      </c>
      <c r="H34" s="879">
        <v>190538964</v>
      </c>
      <c r="I34" s="880" t="s">
        <v>2494</v>
      </c>
      <c r="J34" s="880">
        <v>0</v>
      </c>
      <c r="K34" s="880">
        <v>0</v>
      </c>
      <c r="L34" s="881">
        <v>0</v>
      </c>
      <c r="M34" s="880">
        <v>0</v>
      </c>
      <c r="N34" s="881">
        <v>0</v>
      </c>
      <c r="O34" s="880" t="s">
        <v>3584</v>
      </c>
      <c r="P34" s="1126">
        <v>2015</v>
      </c>
      <c r="Q34" s="880">
        <v>0</v>
      </c>
      <c r="R34" s="880">
        <v>0</v>
      </c>
      <c r="S34" s="880">
        <v>0</v>
      </c>
      <c r="T34" s="880" t="s">
        <v>12</v>
      </c>
      <c r="U34" s="882"/>
      <c r="V34" s="880">
        <v>0</v>
      </c>
      <c r="W34" s="880">
        <v>0</v>
      </c>
      <c r="X34" s="969"/>
      <c r="Y34" s="883" t="str">
        <f t="shared" si="5"/>
        <v>04.13.01</v>
      </c>
      <c r="Z34" s="884" t="str">
        <f t="shared" si="3"/>
        <v>Jalan</v>
      </c>
      <c r="AA34" s="884">
        <f t="shared" si="4"/>
        <v>10</v>
      </c>
      <c r="AB34" s="868"/>
      <c r="AC34" s="885">
        <f t="shared" si="6"/>
        <v>0</v>
      </c>
      <c r="AD34" s="868"/>
      <c r="AE34" s="868"/>
      <c r="AF34" s="868"/>
      <c r="AG34" s="868"/>
      <c r="AH34" s="868"/>
      <c r="AI34" s="886"/>
      <c r="AJ34" s="886"/>
      <c r="AK34" s="868"/>
    </row>
    <row r="35" spans="1:37" s="857" customFormat="1" ht="35.25" customHeight="1" x14ac:dyDescent="0.15">
      <c r="A35" s="857">
        <v>3</v>
      </c>
      <c r="B35" s="857" t="str">
        <f t="shared" si="2"/>
        <v>JAKE - KOTO KOMBU</v>
      </c>
      <c r="D35" s="857" t="s">
        <v>4115</v>
      </c>
      <c r="E35" s="877" t="s">
        <v>4247</v>
      </c>
      <c r="F35" s="855"/>
      <c r="G35" s="878" t="s">
        <v>3037</v>
      </c>
      <c r="H35" s="879">
        <v>12869362300</v>
      </c>
      <c r="I35" s="880" t="s">
        <v>2494</v>
      </c>
      <c r="J35" s="880">
        <v>0</v>
      </c>
      <c r="K35" s="880">
        <v>0</v>
      </c>
      <c r="L35" s="881">
        <v>0</v>
      </c>
      <c r="M35" s="880">
        <v>0</v>
      </c>
      <c r="N35" s="881">
        <v>0</v>
      </c>
      <c r="O35" s="880" t="s">
        <v>623</v>
      </c>
      <c r="P35" s="1126">
        <v>2017</v>
      </c>
      <c r="Q35" s="880">
        <v>0</v>
      </c>
      <c r="R35" s="880">
        <v>0</v>
      </c>
      <c r="S35" s="880">
        <v>0</v>
      </c>
      <c r="T35" s="880" t="s">
        <v>12</v>
      </c>
      <c r="U35" s="882"/>
      <c r="V35" s="880">
        <v>0</v>
      </c>
      <c r="W35" s="880">
        <v>0</v>
      </c>
      <c r="X35" s="969"/>
      <c r="Y35" s="883" t="str">
        <f t="shared" si="5"/>
        <v>04.13.01</v>
      </c>
      <c r="Z35" s="884" t="str">
        <f t="shared" si="3"/>
        <v>Jalan</v>
      </c>
      <c r="AA35" s="884">
        <f t="shared" si="4"/>
        <v>10</v>
      </c>
      <c r="AB35" s="868"/>
      <c r="AC35" s="885">
        <f t="shared" si="6"/>
        <v>0</v>
      </c>
      <c r="AD35" s="868"/>
      <c r="AE35" s="868"/>
      <c r="AF35" s="868"/>
      <c r="AG35" s="868"/>
      <c r="AH35" s="868"/>
      <c r="AI35" s="886"/>
      <c r="AJ35" s="886"/>
      <c r="AK35" s="868"/>
    </row>
    <row r="36" spans="1:37" s="857" customFormat="1" ht="35.25" customHeight="1" x14ac:dyDescent="0.15">
      <c r="A36" s="857">
        <v>3</v>
      </c>
      <c r="B36" s="857" t="str">
        <f t="shared" si="2"/>
        <v>JAKE - KOTO KOMBU</v>
      </c>
      <c r="D36" s="857" t="s">
        <v>4116</v>
      </c>
      <c r="E36" s="877" t="s">
        <v>4247</v>
      </c>
      <c r="F36" s="855"/>
      <c r="G36" s="878" t="s">
        <v>3038</v>
      </c>
      <c r="H36" s="879">
        <v>246620000</v>
      </c>
      <c r="I36" s="880" t="s">
        <v>2494</v>
      </c>
      <c r="J36" s="880">
        <v>0</v>
      </c>
      <c r="K36" s="880">
        <v>0</v>
      </c>
      <c r="L36" s="881">
        <v>0</v>
      </c>
      <c r="M36" s="880">
        <v>0</v>
      </c>
      <c r="N36" s="881">
        <v>0</v>
      </c>
      <c r="O36" s="880" t="s">
        <v>623</v>
      </c>
      <c r="P36" s="1126">
        <v>2017</v>
      </c>
      <c r="Q36" s="880">
        <v>0</v>
      </c>
      <c r="R36" s="880">
        <v>0</v>
      </c>
      <c r="S36" s="880">
        <v>0</v>
      </c>
      <c r="T36" s="880" t="s">
        <v>12</v>
      </c>
      <c r="U36" s="882"/>
      <c r="V36" s="880">
        <v>0</v>
      </c>
      <c r="W36" s="880">
        <v>0</v>
      </c>
      <c r="X36" s="969"/>
      <c r="Y36" s="883" t="str">
        <f t="shared" si="5"/>
        <v>04.13.01</v>
      </c>
      <c r="Z36" s="884" t="str">
        <f t="shared" si="3"/>
        <v>Jalan</v>
      </c>
      <c r="AA36" s="884">
        <f t="shared" si="4"/>
        <v>10</v>
      </c>
      <c r="AB36" s="868"/>
      <c r="AC36" s="885">
        <f t="shared" si="6"/>
        <v>0</v>
      </c>
      <c r="AD36" s="868"/>
      <c r="AE36" s="868"/>
      <c r="AF36" s="868"/>
      <c r="AG36" s="868"/>
      <c r="AH36" s="868"/>
      <c r="AI36" s="886"/>
      <c r="AJ36" s="886"/>
      <c r="AK36" s="868"/>
    </row>
    <row r="37" spans="1:37" s="998" customFormat="1" ht="35.25" customHeight="1" x14ac:dyDescent="0.15">
      <c r="A37" s="998">
        <v>4</v>
      </c>
      <c r="B37" s="998" t="str">
        <f t="shared" si="2"/>
        <v>SENTAJO - MUARA LANGSAT</v>
      </c>
      <c r="D37" s="998" t="s">
        <v>3847</v>
      </c>
      <c r="E37" s="999" t="s">
        <v>4247</v>
      </c>
      <c r="F37" s="1000"/>
      <c r="G37" s="1010" t="s">
        <v>529</v>
      </c>
      <c r="H37" s="1011"/>
      <c r="I37" s="1001" t="s">
        <v>2494</v>
      </c>
      <c r="J37" s="1001">
        <v>0</v>
      </c>
      <c r="K37" s="1001" t="s">
        <v>479</v>
      </c>
      <c r="L37" s="1003">
        <v>34000</v>
      </c>
      <c r="M37" s="1001">
        <v>0</v>
      </c>
      <c r="N37" s="1003">
        <v>289500</v>
      </c>
      <c r="O37" s="1001" t="s">
        <v>619</v>
      </c>
      <c r="P37" s="1168">
        <v>2001</v>
      </c>
      <c r="Q37" s="1001">
        <v>0</v>
      </c>
      <c r="R37" s="1001">
        <v>0</v>
      </c>
      <c r="S37" s="1001" t="s">
        <v>482</v>
      </c>
      <c r="T37" s="1001" t="s">
        <v>12</v>
      </c>
      <c r="U37" s="1002">
        <f>46812964265.48+H38+H39+H40+H41+H42+H43+H44+H45+H46+H47</f>
        <v>78657713107.216019</v>
      </c>
      <c r="V37" s="1001" t="s">
        <v>135</v>
      </c>
      <c r="W37" s="1001">
        <v>0</v>
      </c>
      <c r="X37" s="1004"/>
      <c r="Y37" s="1005" t="str">
        <f t="shared" si="5"/>
        <v>04.13.01</v>
      </c>
      <c r="Z37" s="1006" t="str">
        <f t="shared" si="3"/>
        <v>Jalan</v>
      </c>
      <c r="AA37" s="1006">
        <f t="shared" si="4"/>
        <v>10</v>
      </c>
      <c r="AB37" s="1007"/>
      <c r="AC37" s="1008">
        <f t="shared" si="6"/>
        <v>10</v>
      </c>
      <c r="AD37" s="1007"/>
      <c r="AE37" s="1007"/>
      <c r="AF37" s="1007"/>
      <c r="AG37" s="1007"/>
      <c r="AH37" s="1007"/>
      <c r="AI37" s="1009">
        <f>PERHITUNGAN!U104</f>
        <v>2596019835.5804014</v>
      </c>
      <c r="AJ37" s="1009">
        <f>PERHITUNGAN!U107</f>
        <v>60836628383.81044</v>
      </c>
      <c r="AK37" s="1007">
        <f t="shared" ref="AK37:AK43" si="9">U37-AJ37</f>
        <v>17821084723.405579</v>
      </c>
    </row>
    <row r="38" spans="1:37" s="857" customFormat="1" ht="35.25" customHeight="1" x14ac:dyDescent="0.15">
      <c r="A38" s="857">
        <v>4</v>
      </c>
      <c r="B38" s="857" t="str">
        <f t="shared" si="2"/>
        <v>SENTAJO - MUARA LANGSAT</v>
      </c>
      <c r="D38" s="857" t="s">
        <v>3848</v>
      </c>
      <c r="E38" s="877" t="s">
        <v>4247</v>
      </c>
      <c r="F38" s="855"/>
      <c r="G38" s="878" t="s">
        <v>1294</v>
      </c>
      <c r="H38" s="879">
        <v>198785526</v>
      </c>
      <c r="I38" s="880" t="s">
        <v>2494</v>
      </c>
      <c r="J38" s="880">
        <v>0</v>
      </c>
      <c r="K38" s="880" t="s">
        <v>835</v>
      </c>
      <c r="L38" s="881">
        <v>0</v>
      </c>
      <c r="M38" s="880">
        <v>0</v>
      </c>
      <c r="N38" s="881">
        <v>0</v>
      </c>
      <c r="O38" s="880" t="s">
        <v>619</v>
      </c>
      <c r="P38" s="1126">
        <v>2013</v>
      </c>
      <c r="Q38" s="880">
        <v>0</v>
      </c>
      <c r="R38" s="880">
        <v>0</v>
      </c>
      <c r="S38" s="880">
        <v>0</v>
      </c>
      <c r="T38" s="880" t="s">
        <v>12</v>
      </c>
      <c r="U38" s="882"/>
      <c r="V38" s="880">
        <v>0</v>
      </c>
      <c r="W38" s="880">
        <v>0</v>
      </c>
      <c r="X38" s="969"/>
      <c r="Y38" s="883" t="str">
        <f t="shared" si="5"/>
        <v>04.13.01</v>
      </c>
      <c r="Z38" s="884" t="str">
        <f t="shared" si="3"/>
        <v>Jalan</v>
      </c>
      <c r="AA38" s="884">
        <f t="shared" si="4"/>
        <v>10</v>
      </c>
      <c r="AB38" s="868"/>
      <c r="AC38" s="885">
        <f t="shared" si="6"/>
        <v>0</v>
      </c>
      <c r="AD38" s="868"/>
      <c r="AE38" s="868"/>
      <c r="AF38" s="868"/>
      <c r="AG38" s="868"/>
      <c r="AH38" s="868"/>
      <c r="AI38" s="886"/>
      <c r="AJ38" s="886"/>
      <c r="AK38" s="868">
        <f t="shared" si="9"/>
        <v>0</v>
      </c>
    </row>
    <row r="39" spans="1:37" s="857" customFormat="1" ht="35.25" customHeight="1" x14ac:dyDescent="0.15">
      <c r="A39" s="857">
        <v>4</v>
      </c>
      <c r="B39" s="857" t="str">
        <f t="shared" si="2"/>
        <v>SENTAJO - MUARA LANGSAT</v>
      </c>
      <c r="D39" s="857" t="s">
        <v>3849</v>
      </c>
      <c r="E39" s="877" t="s">
        <v>4247</v>
      </c>
      <c r="F39" s="855"/>
      <c r="G39" s="878" t="s">
        <v>1308</v>
      </c>
      <c r="H39" s="879">
        <v>5255870053</v>
      </c>
      <c r="I39" s="880" t="s">
        <v>2494</v>
      </c>
      <c r="J39" s="880">
        <v>0</v>
      </c>
      <c r="K39" s="880">
        <v>0</v>
      </c>
      <c r="L39" s="881">
        <v>0</v>
      </c>
      <c r="M39" s="880">
        <v>0</v>
      </c>
      <c r="N39" s="881">
        <v>0</v>
      </c>
      <c r="O39" s="880" t="s">
        <v>619</v>
      </c>
      <c r="P39" s="1126">
        <v>2014</v>
      </c>
      <c r="Q39" s="880">
        <v>0</v>
      </c>
      <c r="R39" s="880">
        <v>0</v>
      </c>
      <c r="S39" s="880">
        <v>0</v>
      </c>
      <c r="T39" s="880">
        <v>0</v>
      </c>
      <c r="U39" s="882"/>
      <c r="V39" s="880">
        <v>0</v>
      </c>
      <c r="W39" s="880">
        <v>0</v>
      </c>
      <c r="X39" s="969"/>
      <c r="Y39" s="883" t="str">
        <f t="shared" si="5"/>
        <v>04.13.01</v>
      </c>
      <c r="Z39" s="884" t="str">
        <f t="shared" si="3"/>
        <v>Jalan</v>
      </c>
      <c r="AA39" s="884">
        <f t="shared" si="4"/>
        <v>10</v>
      </c>
      <c r="AB39" s="868"/>
      <c r="AC39" s="885">
        <f t="shared" si="6"/>
        <v>0</v>
      </c>
      <c r="AD39" s="868"/>
      <c r="AE39" s="868"/>
      <c r="AF39" s="868"/>
      <c r="AG39" s="868"/>
      <c r="AH39" s="868"/>
      <c r="AI39" s="886"/>
      <c r="AJ39" s="886"/>
      <c r="AK39" s="868">
        <f t="shared" si="9"/>
        <v>0</v>
      </c>
    </row>
    <row r="40" spans="1:37" s="857" customFormat="1" ht="35.25" customHeight="1" x14ac:dyDescent="0.15">
      <c r="A40" s="857">
        <v>4</v>
      </c>
      <c r="B40" s="857" t="str">
        <f t="shared" si="2"/>
        <v>SENTAJO - MUARA LANGSAT</v>
      </c>
      <c r="D40" s="857" t="s">
        <v>3850</v>
      </c>
      <c r="E40" s="877" t="s">
        <v>4247</v>
      </c>
      <c r="F40" s="855"/>
      <c r="G40" s="878" t="s">
        <v>1309</v>
      </c>
      <c r="H40" s="879">
        <v>3769961879</v>
      </c>
      <c r="I40" s="880" t="s">
        <v>2494</v>
      </c>
      <c r="J40" s="880">
        <v>0</v>
      </c>
      <c r="K40" s="880">
        <v>0</v>
      </c>
      <c r="L40" s="881">
        <v>0</v>
      </c>
      <c r="M40" s="880">
        <v>0</v>
      </c>
      <c r="N40" s="881">
        <v>0</v>
      </c>
      <c r="O40" s="880" t="s">
        <v>619</v>
      </c>
      <c r="P40" s="1126">
        <v>2014</v>
      </c>
      <c r="Q40" s="880">
        <v>0</v>
      </c>
      <c r="R40" s="880">
        <v>0</v>
      </c>
      <c r="S40" s="880">
        <v>0</v>
      </c>
      <c r="T40" s="880">
        <v>0</v>
      </c>
      <c r="U40" s="882"/>
      <c r="V40" s="880">
        <v>0</v>
      </c>
      <c r="W40" s="880">
        <v>0</v>
      </c>
      <c r="X40" s="969"/>
      <c r="Y40" s="883" t="str">
        <f t="shared" si="5"/>
        <v>04.13.01</v>
      </c>
      <c r="Z40" s="884" t="str">
        <f t="shared" si="3"/>
        <v>Jalan</v>
      </c>
      <c r="AA40" s="884">
        <f t="shared" si="4"/>
        <v>10</v>
      </c>
      <c r="AB40" s="868"/>
      <c r="AC40" s="885">
        <f t="shared" si="6"/>
        <v>0</v>
      </c>
      <c r="AD40" s="868"/>
      <c r="AE40" s="868"/>
      <c r="AF40" s="868"/>
      <c r="AG40" s="868"/>
      <c r="AH40" s="868"/>
      <c r="AI40" s="886"/>
      <c r="AJ40" s="886"/>
      <c r="AK40" s="868">
        <f t="shared" si="9"/>
        <v>0</v>
      </c>
    </row>
    <row r="41" spans="1:37" s="857" customFormat="1" ht="35.25" customHeight="1" x14ac:dyDescent="0.15">
      <c r="A41" s="857">
        <v>4</v>
      </c>
      <c r="B41" s="857" t="str">
        <f t="shared" si="2"/>
        <v>SENTAJO - MUARA LANGSAT</v>
      </c>
      <c r="D41" s="857" t="s">
        <v>3851</v>
      </c>
      <c r="E41" s="877" t="s">
        <v>4247</v>
      </c>
      <c r="F41" s="855"/>
      <c r="G41" s="878" t="s">
        <v>1314</v>
      </c>
      <c r="H41" s="879">
        <v>197942320</v>
      </c>
      <c r="I41" s="880" t="s">
        <v>2494</v>
      </c>
      <c r="J41" s="880">
        <v>0</v>
      </c>
      <c r="K41" s="880">
        <v>0</v>
      </c>
      <c r="L41" s="881">
        <v>0</v>
      </c>
      <c r="M41" s="880">
        <v>0</v>
      </c>
      <c r="N41" s="881">
        <v>0</v>
      </c>
      <c r="O41" s="880" t="s">
        <v>619</v>
      </c>
      <c r="P41" s="1126">
        <v>2014</v>
      </c>
      <c r="Q41" s="880">
        <v>0</v>
      </c>
      <c r="R41" s="880">
        <v>0</v>
      </c>
      <c r="S41" s="880">
        <v>0</v>
      </c>
      <c r="T41" s="880">
        <v>0</v>
      </c>
      <c r="U41" s="882"/>
      <c r="V41" s="880">
        <v>0</v>
      </c>
      <c r="W41" s="880">
        <v>0</v>
      </c>
      <c r="X41" s="969"/>
      <c r="Y41" s="883" t="str">
        <f t="shared" si="5"/>
        <v>04.13.01</v>
      </c>
      <c r="Z41" s="884" t="str">
        <f t="shared" si="3"/>
        <v>Jalan</v>
      </c>
      <c r="AA41" s="884">
        <f t="shared" si="4"/>
        <v>10</v>
      </c>
      <c r="AB41" s="868"/>
      <c r="AC41" s="885">
        <f t="shared" si="6"/>
        <v>0</v>
      </c>
      <c r="AD41" s="868"/>
      <c r="AE41" s="868"/>
      <c r="AF41" s="868"/>
      <c r="AG41" s="868"/>
      <c r="AH41" s="868"/>
      <c r="AI41" s="886"/>
      <c r="AJ41" s="886"/>
      <c r="AK41" s="868">
        <f t="shared" si="9"/>
        <v>0</v>
      </c>
    </row>
    <row r="42" spans="1:37" s="857" customFormat="1" ht="35.25" customHeight="1" x14ac:dyDescent="0.15">
      <c r="A42" s="857">
        <v>4</v>
      </c>
      <c r="B42" s="857" t="str">
        <f t="shared" si="2"/>
        <v>SENTAJO - MUARA LANGSAT</v>
      </c>
      <c r="D42" s="857" t="s">
        <v>3852</v>
      </c>
      <c r="E42" s="877" t="s">
        <v>4247</v>
      </c>
      <c r="F42" s="855"/>
      <c r="G42" s="878" t="s">
        <v>1332</v>
      </c>
      <c r="H42" s="879">
        <v>197742059</v>
      </c>
      <c r="I42" s="880" t="s">
        <v>2494</v>
      </c>
      <c r="J42" s="880">
        <v>0</v>
      </c>
      <c r="K42" s="880">
        <v>0</v>
      </c>
      <c r="L42" s="881">
        <v>0</v>
      </c>
      <c r="M42" s="880">
        <v>0</v>
      </c>
      <c r="N42" s="881">
        <v>0</v>
      </c>
      <c r="O42" s="880" t="s">
        <v>619</v>
      </c>
      <c r="P42" s="1126">
        <v>2014</v>
      </c>
      <c r="Q42" s="880">
        <v>0</v>
      </c>
      <c r="R42" s="880">
        <v>0</v>
      </c>
      <c r="S42" s="880">
        <v>0</v>
      </c>
      <c r="T42" s="880">
        <v>0</v>
      </c>
      <c r="U42" s="882"/>
      <c r="V42" s="880">
        <v>0</v>
      </c>
      <c r="W42" s="880">
        <v>0</v>
      </c>
      <c r="X42" s="969"/>
      <c r="Y42" s="883" t="str">
        <f t="shared" si="5"/>
        <v>04.13.01</v>
      </c>
      <c r="Z42" s="884" t="str">
        <f t="shared" si="3"/>
        <v>Jalan</v>
      </c>
      <c r="AA42" s="884">
        <f t="shared" si="4"/>
        <v>10</v>
      </c>
      <c r="AB42" s="868"/>
      <c r="AC42" s="885">
        <f t="shared" si="6"/>
        <v>0</v>
      </c>
      <c r="AD42" s="868"/>
      <c r="AE42" s="868"/>
      <c r="AF42" s="868"/>
      <c r="AG42" s="868"/>
      <c r="AH42" s="868"/>
      <c r="AI42" s="886"/>
      <c r="AJ42" s="886"/>
      <c r="AK42" s="868">
        <f t="shared" si="9"/>
        <v>0</v>
      </c>
    </row>
    <row r="43" spans="1:37" s="857" customFormat="1" ht="35.25" customHeight="1" x14ac:dyDescent="0.15">
      <c r="A43" s="857">
        <v>4</v>
      </c>
      <c r="B43" s="857" t="str">
        <f t="shared" si="2"/>
        <v>SENTAJO - MUARA LANGSAT</v>
      </c>
      <c r="D43" s="857" t="s">
        <v>3853</v>
      </c>
      <c r="E43" s="877" t="s">
        <v>4247</v>
      </c>
      <c r="F43" s="855"/>
      <c r="G43" s="878" t="s">
        <v>1356</v>
      </c>
      <c r="H43" s="879">
        <v>4142581848.1999998</v>
      </c>
      <c r="I43" s="880" t="s">
        <v>2494</v>
      </c>
      <c r="J43" s="880">
        <v>0</v>
      </c>
      <c r="K43" s="880">
        <v>0</v>
      </c>
      <c r="L43" s="881">
        <v>0</v>
      </c>
      <c r="M43" s="880">
        <v>0</v>
      </c>
      <c r="N43" s="881">
        <v>0</v>
      </c>
      <c r="O43" s="880" t="s">
        <v>619</v>
      </c>
      <c r="P43" s="1126">
        <v>2015</v>
      </c>
      <c r="Q43" s="880">
        <v>0</v>
      </c>
      <c r="R43" s="880">
        <v>0</v>
      </c>
      <c r="S43" s="880">
        <v>0</v>
      </c>
      <c r="T43" s="880" t="s">
        <v>12</v>
      </c>
      <c r="U43" s="882"/>
      <c r="V43" s="880">
        <v>0</v>
      </c>
      <c r="W43" s="880">
        <v>0</v>
      </c>
      <c r="X43" s="969"/>
      <c r="Y43" s="883" t="str">
        <f t="shared" si="5"/>
        <v>04.13.01</v>
      </c>
      <c r="Z43" s="884" t="str">
        <f t="shared" si="3"/>
        <v>Jalan</v>
      </c>
      <c r="AA43" s="884">
        <f t="shared" si="4"/>
        <v>10</v>
      </c>
      <c r="AB43" s="868"/>
      <c r="AC43" s="885">
        <f t="shared" si="6"/>
        <v>0</v>
      </c>
      <c r="AD43" s="868"/>
      <c r="AE43" s="868"/>
      <c r="AF43" s="868"/>
      <c r="AG43" s="868"/>
      <c r="AH43" s="868"/>
      <c r="AI43" s="886"/>
      <c r="AJ43" s="886"/>
      <c r="AK43" s="868">
        <f t="shared" si="9"/>
        <v>0</v>
      </c>
    </row>
    <row r="44" spans="1:37" s="857" customFormat="1" ht="35.25" customHeight="1" x14ac:dyDescent="0.15">
      <c r="A44" s="857">
        <v>4</v>
      </c>
      <c r="B44" s="857" t="str">
        <f t="shared" si="2"/>
        <v>SENTAJO - MUARA LANGSAT</v>
      </c>
      <c r="D44" s="857" t="s">
        <v>4127</v>
      </c>
      <c r="E44" s="877" t="s">
        <v>4247</v>
      </c>
      <c r="F44" s="855"/>
      <c r="G44" s="878" t="s">
        <v>1391</v>
      </c>
      <c r="H44" s="879">
        <v>187607827</v>
      </c>
      <c r="I44" s="880" t="s">
        <v>2494</v>
      </c>
      <c r="J44" s="880">
        <v>0</v>
      </c>
      <c r="K44" s="880">
        <v>0</v>
      </c>
      <c r="L44" s="881">
        <v>0</v>
      </c>
      <c r="M44" s="880">
        <v>0</v>
      </c>
      <c r="N44" s="881">
        <v>0</v>
      </c>
      <c r="O44" s="880" t="s">
        <v>619</v>
      </c>
      <c r="P44" s="1126">
        <v>2015</v>
      </c>
      <c r="Q44" s="880">
        <v>0</v>
      </c>
      <c r="R44" s="880">
        <v>0</v>
      </c>
      <c r="S44" s="880">
        <v>0</v>
      </c>
      <c r="T44" s="880" t="s">
        <v>12</v>
      </c>
      <c r="U44" s="882"/>
      <c r="V44" s="880">
        <v>0</v>
      </c>
      <c r="W44" s="880">
        <v>0</v>
      </c>
      <c r="X44" s="969"/>
      <c r="Y44" s="883" t="str">
        <f t="shared" si="5"/>
        <v>04.13.01</v>
      </c>
      <c r="Z44" s="884" t="str">
        <f t="shared" si="3"/>
        <v>Jalan</v>
      </c>
      <c r="AA44" s="884">
        <f t="shared" si="4"/>
        <v>10</v>
      </c>
      <c r="AB44" s="868"/>
      <c r="AC44" s="885">
        <f t="shared" si="6"/>
        <v>0</v>
      </c>
      <c r="AD44" s="868"/>
      <c r="AE44" s="868"/>
      <c r="AF44" s="868"/>
      <c r="AG44" s="868"/>
      <c r="AH44" s="868"/>
      <c r="AI44" s="886"/>
      <c r="AJ44" s="886"/>
      <c r="AK44" s="868"/>
    </row>
    <row r="45" spans="1:37" s="857" customFormat="1" ht="35.25" customHeight="1" x14ac:dyDescent="0.15">
      <c r="A45" s="857">
        <v>4</v>
      </c>
      <c r="B45" s="857" t="str">
        <f t="shared" si="2"/>
        <v>SENTAJO - MUARA LANGSAT</v>
      </c>
      <c r="D45" s="857" t="s">
        <v>4128</v>
      </c>
      <c r="E45" s="877" t="s">
        <v>4247</v>
      </c>
      <c r="F45" s="855"/>
      <c r="G45" s="878" t="s">
        <v>1409</v>
      </c>
      <c r="H45" s="879">
        <v>8378965790.1999998</v>
      </c>
      <c r="I45" s="880" t="s">
        <v>2494</v>
      </c>
      <c r="J45" s="880">
        <v>0</v>
      </c>
      <c r="K45" s="880">
        <v>0</v>
      </c>
      <c r="L45" s="881">
        <v>0</v>
      </c>
      <c r="M45" s="880">
        <v>0</v>
      </c>
      <c r="N45" s="881">
        <v>0</v>
      </c>
      <c r="O45" s="880" t="s">
        <v>619</v>
      </c>
      <c r="P45" s="1126">
        <v>2015</v>
      </c>
      <c r="Q45" s="880">
        <v>0</v>
      </c>
      <c r="R45" s="880">
        <v>0</v>
      </c>
      <c r="S45" s="880">
        <v>0</v>
      </c>
      <c r="T45" s="880" t="s">
        <v>12</v>
      </c>
      <c r="U45" s="882"/>
      <c r="V45" s="880">
        <v>0</v>
      </c>
      <c r="W45" s="880">
        <v>0</v>
      </c>
      <c r="X45" s="969"/>
      <c r="Y45" s="883" t="str">
        <f t="shared" si="5"/>
        <v>04.13.01</v>
      </c>
      <c r="Z45" s="884" t="str">
        <f t="shared" si="3"/>
        <v>Jalan</v>
      </c>
      <c r="AA45" s="884">
        <f t="shared" si="4"/>
        <v>10</v>
      </c>
      <c r="AB45" s="868"/>
      <c r="AC45" s="885">
        <f t="shared" si="6"/>
        <v>0</v>
      </c>
      <c r="AD45" s="868"/>
      <c r="AE45" s="868"/>
      <c r="AF45" s="868"/>
      <c r="AG45" s="868"/>
      <c r="AH45" s="868"/>
      <c r="AI45" s="886"/>
      <c r="AJ45" s="886"/>
      <c r="AK45" s="868"/>
    </row>
    <row r="46" spans="1:37" s="857" customFormat="1" ht="35.25" customHeight="1" x14ac:dyDescent="0.15">
      <c r="A46" s="857">
        <v>4</v>
      </c>
      <c r="B46" s="857" t="str">
        <f t="shared" si="2"/>
        <v>SENTAJO - MUARA LANGSAT</v>
      </c>
      <c r="D46" s="857" t="s">
        <v>4129</v>
      </c>
      <c r="E46" s="877" t="s">
        <v>4247</v>
      </c>
      <c r="F46" s="855"/>
      <c r="G46" s="878" t="s">
        <v>1445</v>
      </c>
      <c r="H46" s="879">
        <v>8482176848.3360138</v>
      </c>
      <c r="I46" s="880" t="s">
        <v>2494</v>
      </c>
      <c r="J46" s="880">
        <v>0</v>
      </c>
      <c r="K46" s="880">
        <v>0</v>
      </c>
      <c r="L46" s="881">
        <v>0</v>
      </c>
      <c r="M46" s="880">
        <v>0</v>
      </c>
      <c r="N46" s="881">
        <v>0</v>
      </c>
      <c r="O46" s="880" t="s">
        <v>619</v>
      </c>
      <c r="P46" s="1126">
        <v>2016</v>
      </c>
      <c r="Q46" s="880">
        <v>0</v>
      </c>
      <c r="R46" s="880">
        <v>0</v>
      </c>
      <c r="S46" s="880">
        <v>0</v>
      </c>
      <c r="T46" s="880" t="s">
        <v>12</v>
      </c>
      <c r="U46" s="882"/>
      <c r="V46" s="880">
        <v>0</v>
      </c>
      <c r="W46" s="880">
        <v>0</v>
      </c>
      <c r="X46" s="969"/>
      <c r="Y46" s="883" t="str">
        <f t="shared" si="5"/>
        <v>04.13.01</v>
      </c>
      <c r="Z46" s="884" t="str">
        <f t="shared" si="3"/>
        <v>Jalan</v>
      </c>
      <c r="AA46" s="884">
        <f t="shared" si="4"/>
        <v>10</v>
      </c>
      <c r="AB46" s="868"/>
      <c r="AC46" s="885">
        <f t="shared" si="6"/>
        <v>0</v>
      </c>
      <c r="AD46" s="868"/>
      <c r="AE46" s="868"/>
      <c r="AF46" s="868"/>
      <c r="AG46" s="868"/>
      <c r="AH46" s="868"/>
      <c r="AI46" s="886"/>
      <c r="AJ46" s="886"/>
      <c r="AK46" s="868"/>
    </row>
    <row r="47" spans="1:37" s="857" customFormat="1" ht="35.25" customHeight="1" x14ac:dyDescent="0.15">
      <c r="A47" s="857">
        <v>4</v>
      </c>
      <c r="B47" s="857" t="str">
        <f t="shared" si="2"/>
        <v>SENTAJO - MUARA LANGSAT</v>
      </c>
      <c r="D47" s="857" t="s">
        <v>4130</v>
      </c>
      <c r="E47" s="877" t="s">
        <v>4247</v>
      </c>
      <c r="F47" s="855"/>
      <c r="G47" s="878" t="s">
        <v>3054</v>
      </c>
      <c r="H47" s="879">
        <v>1033114691</v>
      </c>
      <c r="I47" s="880" t="s">
        <v>2494</v>
      </c>
      <c r="J47" s="880">
        <v>0</v>
      </c>
      <c r="K47" s="880">
        <v>0</v>
      </c>
      <c r="L47" s="881">
        <v>0</v>
      </c>
      <c r="M47" s="880">
        <v>0</v>
      </c>
      <c r="N47" s="881">
        <v>0</v>
      </c>
      <c r="O47" s="880" t="s">
        <v>619</v>
      </c>
      <c r="P47" s="1126">
        <v>2017</v>
      </c>
      <c r="Q47" s="880">
        <v>0</v>
      </c>
      <c r="R47" s="880">
        <v>0</v>
      </c>
      <c r="S47" s="880">
        <v>0</v>
      </c>
      <c r="T47" s="880" t="s">
        <v>12</v>
      </c>
      <c r="U47" s="882"/>
      <c r="V47" s="880">
        <v>0</v>
      </c>
      <c r="W47" s="880">
        <v>0</v>
      </c>
      <c r="X47" s="969"/>
      <c r="Y47" s="883" t="str">
        <f t="shared" si="5"/>
        <v>04.13.01</v>
      </c>
      <c r="Z47" s="884" t="str">
        <f t="shared" si="3"/>
        <v>Jalan</v>
      </c>
      <c r="AA47" s="884">
        <f t="shared" si="4"/>
        <v>10</v>
      </c>
      <c r="AB47" s="868"/>
      <c r="AC47" s="885">
        <f t="shared" si="6"/>
        <v>0</v>
      </c>
      <c r="AD47" s="868"/>
      <c r="AE47" s="868"/>
      <c r="AF47" s="868"/>
      <c r="AG47" s="868"/>
      <c r="AH47" s="868"/>
      <c r="AI47" s="886"/>
      <c r="AJ47" s="886"/>
      <c r="AK47" s="868"/>
    </row>
    <row r="48" spans="1:37" s="857" customFormat="1" ht="35.25" customHeight="1" x14ac:dyDescent="0.2">
      <c r="A48" s="857">
        <v>5</v>
      </c>
      <c r="B48" s="857" t="str">
        <f t="shared" si="2"/>
        <v>SIMP. JAKE - TRANS SKP II PETAI</v>
      </c>
      <c r="D48" s="857" t="s">
        <v>3854</v>
      </c>
      <c r="E48" s="884" t="str">
        <f t="shared" ref="E48:E53" si="10">RIGHT(D48,1)</f>
        <v>1</v>
      </c>
      <c r="F48" s="855"/>
      <c r="G48" s="878" t="s">
        <v>529</v>
      </c>
      <c r="H48" s="879"/>
      <c r="I48" s="880" t="s">
        <v>2494</v>
      </c>
      <c r="J48" s="880">
        <v>0</v>
      </c>
      <c r="K48" s="880" t="s">
        <v>492</v>
      </c>
      <c r="L48" s="881">
        <v>15500</v>
      </c>
      <c r="M48" s="880">
        <v>8</v>
      </c>
      <c r="N48" s="881">
        <v>124000</v>
      </c>
      <c r="O48" s="880" t="s">
        <v>620</v>
      </c>
      <c r="P48" s="1126">
        <v>2001</v>
      </c>
      <c r="Q48" s="880">
        <v>0</v>
      </c>
      <c r="R48" s="880">
        <v>0</v>
      </c>
      <c r="S48" s="880" t="s">
        <v>482</v>
      </c>
      <c r="T48" s="880" t="s">
        <v>12</v>
      </c>
      <c r="U48" s="882">
        <v>6975000000</v>
      </c>
      <c r="V48" s="880" t="s">
        <v>43</v>
      </c>
      <c r="W48" s="880">
        <v>0</v>
      </c>
      <c r="X48" s="969"/>
      <c r="Y48" s="884" t="str">
        <f t="shared" si="5"/>
        <v>04.13.01</v>
      </c>
      <c r="Z48" s="884" t="str">
        <f t="shared" si="3"/>
        <v>Jalan</v>
      </c>
      <c r="AA48" s="884">
        <f t="shared" si="4"/>
        <v>10</v>
      </c>
      <c r="AB48" s="868">
        <f>U48/AA48</f>
        <v>697500000</v>
      </c>
      <c r="AC48" s="885">
        <f>IF(2013-P48+1&gt;AA48,AA48,IF(2013-P48+1&lt;0,0,2013-P48+1))</f>
        <v>10</v>
      </c>
      <c r="AD48" s="868">
        <f>IF(AC48&gt;AA48,U48,AB48*AC48)</f>
        <v>6975000000</v>
      </c>
      <c r="AE48" s="868">
        <f>IF(U48=AD48,0,AB48)</f>
        <v>0</v>
      </c>
      <c r="AF48" s="868">
        <f>IF(U48=AD48+AE48,0,AB48)</f>
        <v>0</v>
      </c>
      <c r="AG48" s="868">
        <f>IF(U48=AD48+AE48+AF48,0,AB48)</f>
        <v>0</v>
      </c>
      <c r="AH48" s="868">
        <f>IF(U48=AE48+AF48+AG48+AD48,0,AB48)</f>
        <v>0</v>
      </c>
      <c r="AI48" s="886">
        <f>IF(U48=AE48+AF48+AG48+AD48+AH48,0,AB48)</f>
        <v>0</v>
      </c>
      <c r="AJ48" s="886">
        <f>SUM(AD48:AI48)</f>
        <v>6975000000</v>
      </c>
      <c r="AK48" s="868">
        <f t="shared" ref="AK48:AK58" si="11">U48-AJ48</f>
        <v>0</v>
      </c>
    </row>
    <row r="49" spans="1:37" s="857" customFormat="1" ht="35.25" customHeight="1" x14ac:dyDescent="0.2">
      <c r="A49" s="887">
        <v>6</v>
      </c>
      <c r="B49" s="857" t="str">
        <f t="shared" si="2"/>
        <v>KOTO SENTAJO - RIMBO GAJAH MATI</v>
      </c>
      <c r="D49" s="857" t="s">
        <v>3855</v>
      </c>
      <c r="E49" s="884" t="str">
        <f t="shared" si="10"/>
        <v>1</v>
      </c>
      <c r="F49" s="855"/>
      <c r="G49" s="878" t="s">
        <v>1137</v>
      </c>
      <c r="H49" s="879"/>
      <c r="I49" s="880" t="s">
        <v>2494</v>
      </c>
      <c r="J49" s="880">
        <v>0</v>
      </c>
      <c r="K49" s="880" t="s">
        <v>484</v>
      </c>
      <c r="L49" s="881">
        <v>3000</v>
      </c>
      <c r="M49" s="880">
        <v>7</v>
      </c>
      <c r="N49" s="881">
        <v>21000</v>
      </c>
      <c r="O49" s="880" t="s">
        <v>616</v>
      </c>
      <c r="P49" s="1126">
        <v>2001</v>
      </c>
      <c r="Q49" s="880">
        <v>0</v>
      </c>
      <c r="R49" s="880">
        <v>0</v>
      </c>
      <c r="S49" s="880" t="s">
        <v>482</v>
      </c>
      <c r="T49" s="880" t="s">
        <v>12</v>
      </c>
      <c r="U49" s="882">
        <v>3273925686</v>
      </c>
      <c r="V49" s="880" t="s">
        <v>43</v>
      </c>
      <c r="W49" s="880">
        <v>0</v>
      </c>
      <c r="X49" s="969"/>
      <c r="Y49" s="884" t="str">
        <f t="shared" si="5"/>
        <v>04.13.01</v>
      </c>
      <c r="Z49" s="884" t="str">
        <f t="shared" si="3"/>
        <v>Jalan</v>
      </c>
      <c r="AA49" s="884">
        <f t="shared" si="4"/>
        <v>10</v>
      </c>
      <c r="AB49" s="868">
        <f>U49/AA49</f>
        <v>327392568.60000002</v>
      </c>
      <c r="AC49" s="885">
        <f>IF(2013-P49+1&gt;AA49,AA49,IF(2013-P49+1&lt;0,0,2013-P49+1))</f>
        <v>10</v>
      </c>
      <c r="AD49" s="868">
        <f>IF(AC49&gt;AA49,U49,AB49*AC49)</f>
        <v>3273925686</v>
      </c>
      <c r="AE49" s="868">
        <f>IF(U49=AD49,0,AB49)</f>
        <v>0</v>
      </c>
      <c r="AF49" s="868">
        <f>IF(U49=AD49+AE49,0,AB49)</f>
        <v>0</v>
      </c>
      <c r="AG49" s="868">
        <f>IF(U49=AD49+AE49+AF49,0,AB49)</f>
        <v>0</v>
      </c>
      <c r="AH49" s="868">
        <f>IF(U49=AE49+AF49+AG49+AD49,0,AB49)</f>
        <v>0</v>
      </c>
      <c r="AI49" s="886">
        <f>IF(U49=AE49+AF49+AG49+AD49+AH49,0,AB49)</f>
        <v>0</v>
      </c>
      <c r="AJ49" s="886">
        <f>SUM(AD49:AI49)</f>
        <v>3273925686</v>
      </c>
      <c r="AK49" s="868">
        <f t="shared" si="11"/>
        <v>0</v>
      </c>
    </row>
    <row r="50" spans="1:37" s="887" customFormat="1" ht="35.25" customHeight="1" x14ac:dyDescent="0.2">
      <c r="A50" s="887">
        <v>7</v>
      </c>
      <c r="B50" s="857" t="str">
        <f t="shared" si="2"/>
        <v>KP. BARU SENTAJO - TEBING TINGGI</v>
      </c>
      <c r="D50" s="887" t="s">
        <v>3856</v>
      </c>
      <c r="E50" s="884" t="str">
        <f t="shared" si="10"/>
        <v>1</v>
      </c>
      <c r="F50" s="888"/>
      <c r="G50" s="878" t="s">
        <v>529</v>
      </c>
      <c r="H50" s="879"/>
      <c r="I50" s="880" t="s">
        <v>2494</v>
      </c>
      <c r="J50" s="880">
        <v>0</v>
      </c>
      <c r="K50" s="880" t="s">
        <v>492</v>
      </c>
      <c r="L50" s="881">
        <v>5500</v>
      </c>
      <c r="M50" s="880">
        <v>7</v>
      </c>
      <c r="N50" s="881">
        <v>38500</v>
      </c>
      <c r="O50" s="880" t="s">
        <v>617</v>
      </c>
      <c r="P50" s="1126">
        <v>2001</v>
      </c>
      <c r="Q50" s="880">
        <v>0</v>
      </c>
      <c r="R50" s="880">
        <v>0</v>
      </c>
      <c r="S50" s="880" t="s">
        <v>482</v>
      </c>
      <c r="T50" s="880" t="s">
        <v>12</v>
      </c>
      <c r="U50" s="882">
        <v>2475000000</v>
      </c>
      <c r="V50" s="880" t="s">
        <v>43</v>
      </c>
      <c r="W50" s="880">
        <v>0</v>
      </c>
      <c r="X50" s="969"/>
      <c r="Y50" s="884" t="str">
        <f t="shared" si="5"/>
        <v>04.13.01</v>
      </c>
      <c r="Z50" s="884" t="str">
        <f t="shared" si="3"/>
        <v>Jalan</v>
      </c>
      <c r="AA50" s="884">
        <f t="shared" si="4"/>
        <v>10</v>
      </c>
      <c r="AB50" s="868">
        <f>U50/AA50</f>
        <v>247500000</v>
      </c>
      <c r="AC50" s="885">
        <f>IF(2013-P50+1&gt;AA50,AA50,IF(2013-P50+1&lt;0,0,2013-P50+1))</f>
        <v>10</v>
      </c>
      <c r="AD50" s="868">
        <f>IF(AC50&gt;AA50,U50,AB50*AC50)</f>
        <v>2475000000</v>
      </c>
      <c r="AE50" s="868">
        <f>IF(U50=AD50,0,AB50)</f>
        <v>0</v>
      </c>
      <c r="AF50" s="868">
        <f>IF(U50=AD50+AE50,0,AB50)</f>
        <v>0</v>
      </c>
      <c r="AG50" s="868">
        <f>IF(U50=AD50+AE50+AF50,0,AB50)</f>
        <v>0</v>
      </c>
      <c r="AH50" s="868">
        <f>IF(U50=AE50+AF50+AG50+AD50,0,AB50)</f>
        <v>0</v>
      </c>
      <c r="AI50" s="886">
        <f>IF(U50=AE50+AF50+AG50+AD50+AH50,0,AB50)</f>
        <v>0</v>
      </c>
      <c r="AJ50" s="886">
        <f>SUM(AD50:AI50)</f>
        <v>2475000000</v>
      </c>
      <c r="AK50" s="868">
        <f t="shared" si="11"/>
        <v>0</v>
      </c>
    </row>
    <row r="51" spans="1:37" s="1012" customFormat="1" ht="35.25" customHeight="1" x14ac:dyDescent="0.2">
      <c r="A51" s="1012">
        <v>8</v>
      </c>
      <c r="B51" s="998" t="str">
        <f t="shared" si="2"/>
        <v>KP. BARU SENTAJO - BENAI</v>
      </c>
      <c r="D51" s="1012" t="s">
        <v>3857</v>
      </c>
      <c r="E51" s="1006" t="str">
        <f t="shared" si="10"/>
        <v>1</v>
      </c>
      <c r="F51" s="1013"/>
      <c r="G51" s="1010" t="s">
        <v>529</v>
      </c>
      <c r="H51" s="1011"/>
      <c r="I51" s="1001" t="s">
        <v>2494</v>
      </c>
      <c r="J51" s="1001">
        <v>0</v>
      </c>
      <c r="K51" s="1001" t="s">
        <v>8</v>
      </c>
      <c r="L51" s="1003">
        <v>2000</v>
      </c>
      <c r="M51" s="1001">
        <v>7</v>
      </c>
      <c r="N51" s="1003">
        <v>14000</v>
      </c>
      <c r="O51" s="1001" t="s">
        <v>618</v>
      </c>
      <c r="P51" s="1168">
        <v>2001</v>
      </c>
      <c r="Q51" s="1001">
        <v>0</v>
      </c>
      <c r="R51" s="1001">
        <v>0</v>
      </c>
      <c r="S51" s="1001" t="s">
        <v>482</v>
      </c>
      <c r="T51" s="1001" t="s">
        <v>12</v>
      </c>
      <c r="U51" s="1002">
        <f>450000000+H52</f>
        <v>1895197841.9462903</v>
      </c>
      <c r="V51" s="1001" t="s">
        <v>43</v>
      </c>
      <c r="W51" s="1001">
        <v>0</v>
      </c>
      <c r="X51" s="1004"/>
      <c r="Y51" s="1006" t="str">
        <f t="shared" si="5"/>
        <v>04.13.01</v>
      </c>
      <c r="Z51" s="1006" t="str">
        <f t="shared" si="3"/>
        <v>Jalan</v>
      </c>
      <c r="AA51" s="1006">
        <f t="shared" si="4"/>
        <v>10</v>
      </c>
      <c r="AB51" s="1007"/>
      <c r="AC51" s="1008"/>
      <c r="AD51" s="1007"/>
      <c r="AE51" s="1007"/>
      <c r="AF51" s="1007"/>
      <c r="AG51" s="1007"/>
      <c r="AH51" s="1007"/>
      <c r="AI51" s="1009">
        <f>PERHITUNGAN!R123</f>
        <v>36101646.900000013</v>
      </c>
      <c r="AJ51" s="1009">
        <f>PERHITUNGAN!U126</f>
        <v>2003502782.6462903</v>
      </c>
      <c r="AK51" s="1007">
        <f t="shared" si="11"/>
        <v>-108304940.70000005</v>
      </c>
    </row>
    <row r="52" spans="1:37" s="857" customFormat="1" ht="35.25" customHeight="1" x14ac:dyDescent="0.2">
      <c r="A52" s="857">
        <v>8</v>
      </c>
      <c r="B52" s="857" t="str">
        <f>VLOOKUP(A52,RUAS,2,FALSE)</f>
        <v>KP. BARU SENTAJO - BENAI</v>
      </c>
      <c r="E52" s="884" t="str">
        <f t="shared" si="10"/>
        <v/>
      </c>
      <c r="F52" s="855"/>
      <c r="G52" s="878" t="s">
        <v>1153</v>
      </c>
      <c r="H52" s="879">
        <v>1445197841.9462903</v>
      </c>
      <c r="I52" s="861" t="s">
        <v>2494</v>
      </c>
      <c r="J52" s="871"/>
      <c r="K52" s="861" t="s">
        <v>519</v>
      </c>
      <c r="L52" s="856"/>
      <c r="M52" s="862"/>
      <c r="N52" s="856">
        <v>1158</v>
      </c>
      <c r="O52" s="863" t="s">
        <v>830</v>
      </c>
      <c r="P52" s="861">
        <v>2007</v>
      </c>
      <c r="Q52" s="862"/>
      <c r="R52" s="862"/>
      <c r="S52" s="862"/>
      <c r="T52" s="862" t="s">
        <v>12</v>
      </c>
      <c r="U52" s="899"/>
      <c r="V52" s="861" t="s">
        <v>43</v>
      </c>
      <c r="W52" s="865"/>
      <c r="X52" s="968"/>
      <c r="Y52" s="884" t="str">
        <f>LEFT(I52,8)</f>
        <v>04.13.01</v>
      </c>
      <c r="Z52" s="884" t="str">
        <f>VLOOKUP(Y52,UE,3,FALSE)</f>
        <v>Jalan</v>
      </c>
      <c r="AA52" s="884">
        <f>VLOOKUP(Y52,UE,4,FALSE)</f>
        <v>10</v>
      </c>
      <c r="AB52" s="868"/>
      <c r="AC52" s="885"/>
      <c r="AD52" s="868"/>
      <c r="AE52" s="868"/>
      <c r="AF52" s="868"/>
      <c r="AG52" s="868"/>
      <c r="AH52" s="868"/>
      <c r="AI52" s="886"/>
      <c r="AJ52" s="886"/>
      <c r="AK52" s="868">
        <f>U52-AJ52</f>
        <v>0</v>
      </c>
    </row>
    <row r="53" spans="1:37" s="857" customFormat="1" ht="35.25" customHeight="1" x14ac:dyDescent="0.2">
      <c r="A53" s="857">
        <v>9</v>
      </c>
      <c r="B53" s="857" t="str">
        <f t="shared" si="2"/>
        <v>CEBERLIN - PINTU GOBANG</v>
      </c>
      <c r="D53" s="857" t="s">
        <v>3858</v>
      </c>
      <c r="E53" s="884" t="str">
        <f t="shared" si="10"/>
        <v>1</v>
      </c>
      <c r="F53" s="855"/>
      <c r="G53" s="878" t="s">
        <v>529</v>
      </c>
      <c r="H53" s="879"/>
      <c r="I53" s="880" t="s">
        <v>2494</v>
      </c>
      <c r="J53" s="880">
        <v>0</v>
      </c>
      <c r="K53" s="880" t="s">
        <v>479</v>
      </c>
      <c r="L53" s="881">
        <v>4000</v>
      </c>
      <c r="M53" s="880">
        <v>7</v>
      </c>
      <c r="N53" s="881">
        <v>28000</v>
      </c>
      <c r="O53" s="880" t="s">
        <v>613</v>
      </c>
      <c r="P53" s="1126">
        <v>2001</v>
      </c>
      <c r="Q53" s="880">
        <v>0</v>
      </c>
      <c r="R53" s="880">
        <v>0</v>
      </c>
      <c r="S53" s="880" t="s">
        <v>482</v>
      </c>
      <c r="T53" s="880" t="s">
        <v>12</v>
      </c>
      <c r="U53" s="882">
        <v>3360000000</v>
      </c>
      <c r="V53" s="880" t="s">
        <v>135</v>
      </c>
      <c r="W53" s="880">
        <v>0</v>
      </c>
      <c r="X53" s="969"/>
      <c r="Y53" s="884" t="str">
        <f t="shared" si="5"/>
        <v>04.13.01</v>
      </c>
      <c r="Z53" s="884" t="str">
        <f t="shared" si="3"/>
        <v>Jalan</v>
      </c>
      <c r="AA53" s="884">
        <f t="shared" si="4"/>
        <v>10</v>
      </c>
      <c r="AB53" s="868">
        <f>U53/AA53</f>
        <v>336000000</v>
      </c>
      <c r="AC53" s="885">
        <f>IF(2013-P53+1&gt;AA53,AA53,IF(2013-P53+1&lt;0,0,2013-P53+1))</f>
        <v>10</v>
      </c>
      <c r="AD53" s="868">
        <f>IF(AC53&gt;AA53,U53,AB53*AC53)</f>
        <v>3360000000</v>
      </c>
      <c r="AE53" s="868">
        <f>IF(U53=AD53,0,AB53)</f>
        <v>0</v>
      </c>
      <c r="AF53" s="868">
        <f>IF(U53=AD53+AE53,0,AB53)</f>
        <v>0</v>
      </c>
      <c r="AG53" s="868">
        <f>IF(U53=AD53+AE53+AF53,0,AB53)</f>
        <v>0</v>
      </c>
      <c r="AH53" s="868">
        <f>IF(U53=AE53+AF53+AG53+AD53,0,AB53)</f>
        <v>0</v>
      </c>
      <c r="AI53" s="886">
        <f>IF(U53=AE53+AF53+AG53+AD53+AH53,0,AB53)</f>
        <v>0</v>
      </c>
      <c r="AJ53" s="886">
        <f>SUM(AD53:AI53)</f>
        <v>3360000000</v>
      </c>
      <c r="AK53" s="868">
        <f t="shared" si="11"/>
        <v>0</v>
      </c>
    </row>
    <row r="54" spans="1:37" s="998" customFormat="1" ht="35.25" customHeight="1" x14ac:dyDescent="0.15">
      <c r="A54" s="998">
        <v>10</v>
      </c>
      <c r="B54" s="998" t="str">
        <f t="shared" si="2"/>
        <v>SEB. TELUK KUANTAN - DUTA PALMA</v>
      </c>
      <c r="D54" s="998" t="s">
        <v>3859</v>
      </c>
      <c r="E54" s="999" t="s">
        <v>4247</v>
      </c>
      <c r="F54" s="1000"/>
      <c r="G54" s="1010" t="s">
        <v>529</v>
      </c>
      <c r="H54" s="1011"/>
      <c r="I54" s="1001" t="s">
        <v>2494</v>
      </c>
      <c r="J54" s="1001">
        <v>0</v>
      </c>
      <c r="K54" s="1001" t="s">
        <v>8</v>
      </c>
      <c r="L54" s="1003">
        <v>12000</v>
      </c>
      <c r="M54" s="1001">
        <v>7</v>
      </c>
      <c r="N54" s="1003">
        <v>84000</v>
      </c>
      <c r="O54" s="1001" t="s">
        <v>614</v>
      </c>
      <c r="P54" s="1168">
        <v>2001</v>
      </c>
      <c r="Q54" s="1001">
        <v>0</v>
      </c>
      <c r="R54" s="1001">
        <v>0</v>
      </c>
      <c r="S54" s="1001" t="s">
        <v>482</v>
      </c>
      <c r="T54" s="1001" t="s">
        <v>12</v>
      </c>
      <c r="U54" s="1002">
        <f>2700000000+H56+H55</f>
        <v>4182355629</v>
      </c>
      <c r="V54" s="1001" t="s">
        <v>43</v>
      </c>
      <c r="W54" s="1001">
        <v>0</v>
      </c>
      <c r="X54" s="1004"/>
      <c r="Y54" s="1005" t="str">
        <f t="shared" si="5"/>
        <v>04.13.01</v>
      </c>
      <c r="Z54" s="1006" t="str">
        <f t="shared" si="3"/>
        <v>Jalan</v>
      </c>
      <c r="AA54" s="1006">
        <f t="shared" si="4"/>
        <v>10</v>
      </c>
      <c r="AB54" s="1007"/>
      <c r="AC54" s="1008">
        <f t="shared" si="6"/>
        <v>10</v>
      </c>
      <c r="AD54" s="1007"/>
      <c r="AE54" s="1007"/>
      <c r="AF54" s="1007"/>
      <c r="AG54" s="1007"/>
      <c r="AH54" s="1007"/>
      <c r="AI54" s="1009">
        <f>PERHITUNGAN!U142</f>
        <v>0</v>
      </c>
      <c r="AJ54" s="1009">
        <f>PERHITUNGAN!U147</f>
        <v>3826980420.7175999</v>
      </c>
      <c r="AK54" s="1007">
        <f t="shared" si="11"/>
        <v>355375208.28240013</v>
      </c>
    </row>
    <row r="55" spans="1:37" s="857" customFormat="1" ht="35.25" customHeight="1" x14ac:dyDescent="0.2">
      <c r="A55" s="857">
        <v>10</v>
      </c>
      <c r="B55" s="857" t="str">
        <f>VLOOKUP(A55,RUAS,2,FALSE)</f>
        <v>SEB. TELUK KUANTAN - DUTA PALMA</v>
      </c>
      <c r="E55" s="884" t="str">
        <f>RIGHT(D55,1)</f>
        <v/>
      </c>
      <c r="F55" s="855"/>
      <c r="G55" s="878" t="s">
        <v>1275</v>
      </c>
      <c r="H55" s="879">
        <v>1284742209</v>
      </c>
      <c r="I55" s="861" t="s">
        <v>2494</v>
      </c>
      <c r="J55" s="871"/>
      <c r="K55" s="861" t="s">
        <v>519</v>
      </c>
      <c r="L55" s="856"/>
      <c r="M55" s="862"/>
      <c r="N55" s="856"/>
      <c r="O55" s="863" t="s">
        <v>3168</v>
      </c>
      <c r="P55" s="861">
        <v>2013</v>
      </c>
      <c r="Q55" s="862"/>
      <c r="R55" s="862"/>
      <c r="S55" s="862"/>
      <c r="T55" s="862" t="s">
        <v>12</v>
      </c>
      <c r="U55" s="899"/>
      <c r="V55" s="861"/>
      <c r="W55" s="865"/>
      <c r="X55" s="968"/>
      <c r="Y55" s="884" t="str">
        <f>LEFT(I55,8)</f>
        <v>04.13.01</v>
      </c>
      <c r="Z55" s="884" t="str">
        <f>VLOOKUP(Y55,UE,3,FALSE)</f>
        <v>Jalan</v>
      </c>
      <c r="AA55" s="884">
        <f>VLOOKUP(Y55,UE,4,FALSE)</f>
        <v>10</v>
      </c>
      <c r="AB55" s="868"/>
      <c r="AC55" s="885"/>
      <c r="AD55" s="868"/>
      <c r="AE55" s="868"/>
      <c r="AF55" s="868"/>
      <c r="AG55" s="868"/>
      <c r="AH55" s="868"/>
      <c r="AI55" s="886"/>
      <c r="AJ55" s="886"/>
      <c r="AK55" s="868">
        <f>U55-AJ55</f>
        <v>0</v>
      </c>
    </row>
    <row r="56" spans="1:37" s="857" customFormat="1" ht="35.25" customHeight="1" x14ac:dyDescent="0.15">
      <c r="A56" s="857">
        <v>10</v>
      </c>
      <c r="B56" s="857" t="str">
        <f t="shared" si="2"/>
        <v>SEB. TELUK KUANTAN - DUTA PALMA</v>
      </c>
      <c r="D56" s="857" t="s">
        <v>3860</v>
      </c>
      <c r="E56" s="877" t="s">
        <v>4247</v>
      </c>
      <c r="F56" s="855"/>
      <c r="G56" s="878" t="s">
        <v>1349</v>
      </c>
      <c r="H56" s="879">
        <v>197613420</v>
      </c>
      <c r="I56" s="880" t="s">
        <v>2494</v>
      </c>
      <c r="J56" s="880">
        <v>0</v>
      </c>
      <c r="K56" s="880">
        <v>0</v>
      </c>
      <c r="L56" s="881">
        <v>0</v>
      </c>
      <c r="M56" s="880">
        <v>0</v>
      </c>
      <c r="N56" s="881">
        <v>0</v>
      </c>
      <c r="O56" s="880" t="s">
        <v>3214</v>
      </c>
      <c r="P56" s="1126">
        <v>2014</v>
      </c>
      <c r="Q56" s="880">
        <v>0</v>
      </c>
      <c r="R56" s="880">
        <v>0</v>
      </c>
      <c r="S56" s="880">
        <v>0</v>
      </c>
      <c r="T56" s="880">
        <v>0</v>
      </c>
      <c r="U56" s="882"/>
      <c r="V56" s="880">
        <v>0</v>
      </c>
      <c r="W56" s="880">
        <v>0</v>
      </c>
      <c r="X56" s="969"/>
      <c r="Y56" s="883" t="str">
        <f t="shared" si="5"/>
        <v>04.13.01</v>
      </c>
      <c r="Z56" s="884" t="str">
        <f t="shared" si="3"/>
        <v>Jalan</v>
      </c>
      <c r="AA56" s="884">
        <f t="shared" si="4"/>
        <v>10</v>
      </c>
      <c r="AB56" s="868"/>
      <c r="AC56" s="885">
        <f t="shared" si="6"/>
        <v>0</v>
      </c>
      <c r="AD56" s="868"/>
      <c r="AE56" s="868"/>
      <c r="AF56" s="868"/>
      <c r="AG56" s="868"/>
      <c r="AH56" s="868"/>
      <c r="AI56" s="886"/>
      <c r="AJ56" s="886">
        <f>SUM(AD56:AI56)</f>
        <v>0</v>
      </c>
      <c r="AK56" s="868">
        <f t="shared" si="11"/>
        <v>0</v>
      </c>
    </row>
    <row r="57" spans="1:37" s="998" customFormat="1" ht="35.25" customHeight="1" x14ac:dyDescent="0.15">
      <c r="A57" s="998">
        <v>13</v>
      </c>
      <c r="B57" s="998" t="str">
        <f t="shared" si="2"/>
        <v>SIMP. BERINGIN - BERINGIN</v>
      </c>
      <c r="D57" s="998" t="s">
        <v>3861</v>
      </c>
      <c r="E57" s="999" t="s">
        <v>4247</v>
      </c>
      <c r="F57" s="1000"/>
      <c r="G57" s="1010" t="s">
        <v>529</v>
      </c>
      <c r="H57" s="1011"/>
      <c r="I57" s="1001" t="s">
        <v>2494</v>
      </c>
      <c r="J57" s="1001">
        <v>0</v>
      </c>
      <c r="K57" s="1001" t="s">
        <v>484</v>
      </c>
      <c r="L57" s="1003">
        <v>600</v>
      </c>
      <c r="M57" s="1001">
        <v>7</v>
      </c>
      <c r="N57" s="1003">
        <v>4200</v>
      </c>
      <c r="O57" s="1001" t="s">
        <v>615</v>
      </c>
      <c r="P57" s="1168">
        <v>2001</v>
      </c>
      <c r="Q57" s="1001">
        <v>0</v>
      </c>
      <c r="R57" s="1001">
        <v>0</v>
      </c>
      <c r="S57" s="1001" t="s">
        <v>482</v>
      </c>
      <c r="T57" s="1001" t="s">
        <v>12</v>
      </c>
      <c r="U57" s="1002">
        <f>288000000+H58+H59</f>
        <v>1387999005</v>
      </c>
      <c r="V57" s="1001" t="s">
        <v>43</v>
      </c>
      <c r="W57" s="1001">
        <v>0</v>
      </c>
      <c r="X57" s="1004"/>
      <c r="Y57" s="1005" t="str">
        <f t="shared" si="5"/>
        <v>04.13.01</v>
      </c>
      <c r="Z57" s="1006" t="str">
        <f t="shared" si="3"/>
        <v>Jalan</v>
      </c>
      <c r="AA57" s="1006">
        <f t="shared" si="4"/>
        <v>10</v>
      </c>
      <c r="AB57" s="1007"/>
      <c r="AC57" s="1008">
        <f t="shared" si="6"/>
        <v>10</v>
      </c>
      <c r="AD57" s="1007"/>
      <c r="AE57" s="1007"/>
      <c r="AF57" s="1007"/>
      <c r="AG57" s="1007"/>
      <c r="AH57" s="1007"/>
      <c r="AI57" s="1009">
        <f>PERHITUNGAN!U163</f>
        <v>121722528.08</v>
      </c>
      <c r="AJ57" s="1009">
        <f>PERHITUNGAN!U168</f>
        <v>730476704.44000006</v>
      </c>
      <c r="AK57" s="1007">
        <f t="shared" si="11"/>
        <v>657522300.55999994</v>
      </c>
    </row>
    <row r="58" spans="1:37" s="857" customFormat="1" ht="35.25" customHeight="1" x14ac:dyDescent="0.15">
      <c r="A58" s="857">
        <v>13</v>
      </c>
      <c r="B58" s="857" t="str">
        <f t="shared" si="2"/>
        <v>SIMP. BERINGIN - BERINGIN</v>
      </c>
      <c r="D58" s="857" t="s">
        <v>3862</v>
      </c>
      <c r="E58" s="877" t="s">
        <v>4247</v>
      </c>
      <c r="F58" s="855"/>
      <c r="G58" s="878" t="s">
        <v>1429</v>
      </c>
      <c r="H58" s="879">
        <v>192010205</v>
      </c>
      <c r="I58" s="880" t="s">
        <v>2494</v>
      </c>
      <c r="J58" s="880">
        <v>0</v>
      </c>
      <c r="K58" s="880">
        <v>0</v>
      </c>
      <c r="L58" s="881">
        <v>0</v>
      </c>
      <c r="M58" s="880">
        <v>0</v>
      </c>
      <c r="N58" s="881">
        <v>0</v>
      </c>
      <c r="O58" s="880" t="s">
        <v>3245</v>
      </c>
      <c r="P58" s="1126">
        <v>2015</v>
      </c>
      <c r="Q58" s="880">
        <v>0</v>
      </c>
      <c r="R58" s="880">
        <v>0</v>
      </c>
      <c r="S58" s="880">
        <v>0</v>
      </c>
      <c r="T58" s="880" t="s">
        <v>12</v>
      </c>
      <c r="U58" s="882"/>
      <c r="V58" s="880">
        <v>0</v>
      </c>
      <c r="W58" s="880">
        <v>0</v>
      </c>
      <c r="X58" s="969"/>
      <c r="Y58" s="883" t="str">
        <f t="shared" si="5"/>
        <v>04.13.01</v>
      </c>
      <c r="Z58" s="884" t="str">
        <f t="shared" si="3"/>
        <v>Jalan</v>
      </c>
      <c r="AA58" s="884">
        <f t="shared" si="4"/>
        <v>10</v>
      </c>
      <c r="AB58" s="868"/>
      <c r="AC58" s="885">
        <f t="shared" si="6"/>
        <v>0</v>
      </c>
      <c r="AD58" s="868"/>
      <c r="AE58" s="868"/>
      <c r="AF58" s="868"/>
      <c r="AG58" s="868"/>
      <c r="AH58" s="868"/>
      <c r="AI58" s="886"/>
      <c r="AJ58" s="886"/>
      <c r="AK58" s="868">
        <f t="shared" si="11"/>
        <v>0</v>
      </c>
    </row>
    <row r="59" spans="1:37" s="857" customFormat="1" ht="35.25" customHeight="1" x14ac:dyDescent="0.15">
      <c r="A59" s="857">
        <v>13</v>
      </c>
      <c r="B59" s="857" t="str">
        <f t="shared" si="2"/>
        <v>SIMP. BERINGIN - BERINGIN</v>
      </c>
      <c r="D59" s="857" t="s">
        <v>4104</v>
      </c>
      <c r="E59" s="877" t="s">
        <v>4247</v>
      </c>
      <c r="F59" s="855"/>
      <c r="G59" s="878" t="s">
        <v>3058</v>
      </c>
      <c r="H59" s="879">
        <v>907988800</v>
      </c>
      <c r="I59" s="880" t="s">
        <v>2494</v>
      </c>
      <c r="J59" s="880">
        <v>0</v>
      </c>
      <c r="K59" s="880">
        <v>0</v>
      </c>
      <c r="L59" s="881">
        <v>0</v>
      </c>
      <c r="M59" s="880">
        <v>0</v>
      </c>
      <c r="N59" s="881">
        <v>0</v>
      </c>
      <c r="O59" s="880" t="s">
        <v>615</v>
      </c>
      <c r="P59" s="1126">
        <v>2017</v>
      </c>
      <c r="Q59" s="880">
        <v>0</v>
      </c>
      <c r="R59" s="880">
        <v>0</v>
      </c>
      <c r="S59" s="880">
        <v>0</v>
      </c>
      <c r="T59" s="880" t="s">
        <v>12</v>
      </c>
      <c r="U59" s="882"/>
      <c r="V59" s="880">
        <v>0</v>
      </c>
      <c r="W59" s="880">
        <v>0</v>
      </c>
      <c r="X59" s="969"/>
      <c r="Y59" s="883" t="str">
        <f t="shared" si="5"/>
        <v>04.13.01</v>
      </c>
      <c r="Z59" s="884" t="str">
        <f t="shared" si="3"/>
        <v>Jalan</v>
      </c>
      <c r="AA59" s="884">
        <f t="shared" si="4"/>
        <v>10</v>
      </c>
      <c r="AB59" s="868"/>
      <c r="AC59" s="885">
        <f t="shared" si="6"/>
        <v>0</v>
      </c>
      <c r="AD59" s="868"/>
      <c r="AE59" s="868"/>
      <c r="AF59" s="868"/>
      <c r="AG59" s="868"/>
      <c r="AH59" s="868"/>
      <c r="AI59" s="886"/>
      <c r="AJ59" s="886"/>
      <c r="AK59" s="868"/>
    </row>
    <row r="60" spans="1:37" s="857" customFormat="1" ht="35.25" customHeight="1" x14ac:dyDescent="0.2">
      <c r="A60" s="857">
        <v>15</v>
      </c>
      <c r="B60" s="857" t="str">
        <f t="shared" si="2"/>
        <v>SIMP. CAMBAI - MUNSALO</v>
      </c>
      <c r="D60" s="857" t="s">
        <v>3863</v>
      </c>
      <c r="E60" s="884" t="str">
        <f>RIGHT(D60,1)</f>
        <v>1</v>
      </c>
      <c r="F60" s="855"/>
      <c r="G60" s="878" t="s">
        <v>529</v>
      </c>
      <c r="H60" s="879"/>
      <c r="I60" s="880" t="s">
        <v>2494</v>
      </c>
      <c r="J60" s="880">
        <v>0</v>
      </c>
      <c r="K60" s="880" t="s">
        <v>492</v>
      </c>
      <c r="L60" s="881">
        <v>2500</v>
      </c>
      <c r="M60" s="880">
        <v>7</v>
      </c>
      <c r="N60" s="881">
        <v>17500</v>
      </c>
      <c r="O60" s="880" t="s">
        <v>610</v>
      </c>
      <c r="P60" s="1126">
        <v>2001</v>
      </c>
      <c r="Q60" s="880">
        <v>0</v>
      </c>
      <c r="R60" s="880">
        <v>0</v>
      </c>
      <c r="S60" s="880" t="s">
        <v>482</v>
      </c>
      <c r="T60" s="880" t="s">
        <v>12</v>
      </c>
      <c r="U60" s="882">
        <v>900000000</v>
      </c>
      <c r="V60" s="880" t="s">
        <v>135</v>
      </c>
      <c r="W60" s="880">
        <v>0</v>
      </c>
      <c r="X60" s="969"/>
      <c r="Y60" s="884" t="str">
        <f t="shared" si="5"/>
        <v>04.13.01</v>
      </c>
      <c r="Z60" s="884" t="str">
        <f t="shared" si="3"/>
        <v>Jalan</v>
      </c>
      <c r="AA60" s="884">
        <f t="shared" si="4"/>
        <v>10</v>
      </c>
      <c r="AB60" s="868">
        <f>U60/AA60</f>
        <v>90000000</v>
      </c>
      <c r="AC60" s="885">
        <f>IF(2013-P60+1&gt;AA60,AA60,IF(2013-P60+1&lt;0,0,2013-P60+1))</f>
        <v>10</v>
      </c>
      <c r="AD60" s="868">
        <f>IF(AC60&gt;AA60,U60,AB60*AC60)</f>
        <v>900000000</v>
      </c>
      <c r="AE60" s="868">
        <f>IF(U60=AD60,0,AB60)</f>
        <v>0</v>
      </c>
      <c r="AF60" s="868">
        <f>IF(U60=AD60+AE60,0,AB60)</f>
        <v>0</v>
      </c>
      <c r="AG60" s="868">
        <f>IF(U60=AD60+AE60+AF60,0,AB60)</f>
        <v>0</v>
      </c>
      <c r="AH60" s="868">
        <f>IF(U60=AE60+AF60+AG60+AD60,0,AB60)</f>
        <v>0</v>
      </c>
      <c r="AI60" s="886">
        <f>IF(U60=AE60+AF60+AG60+AD60+AH60,0,AB60)</f>
        <v>0</v>
      </c>
      <c r="AJ60" s="886">
        <f>SUM(AD60:AI60)</f>
        <v>900000000</v>
      </c>
      <c r="AK60" s="868">
        <f>U60-AJ60</f>
        <v>0</v>
      </c>
    </row>
    <row r="61" spans="1:37" s="857" customFormat="1" ht="35.25" customHeight="1" x14ac:dyDescent="0.2">
      <c r="A61" s="857">
        <v>16</v>
      </c>
      <c r="B61" s="857" t="str">
        <f t="shared" si="2"/>
        <v>JL. DESA PL. BARU - SEI. KUANTAN</v>
      </c>
      <c r="D61" s="857" t="s">
        <v>3864</v>
      </c>
      <c r="E61" s="884" t="str">
        <f>RIGHT(D61,1)</f>
        <v>1</v>
      </c>
      <c r="F61" s="855"/>
      <c r="G61" s="878" t="s">
        <v>529</v>
      </c>
      <c r="H61" s="879"/>
      <c r="I61" s="880" t="s">
        <v>2494</v>
      </c>
      <c r="J61" s="880">
        <v>0</v>
      </c>
      <c r="K61" s="880" t="s">
        <v>8</v>
      </c>
      <c r="L61" s="881" t="s">
        <v>508</v>
      </c>
      <c r="M61" s="880">
        <v>7</v>
      </c>
      <c r="N61" s="881">
        <v>9100</v>
      </c>
      <c r="O61" s="880" t="s">
        <v>611</v>
      </c>
      <c r="P61" s="1126">
        <v>2001</v>
      </c>
      <c r="Q61" s="880">
        <v>0</v>
      </c>
      <c r="R61" s="880">
        <v>0</v>
      </c>
      <c r="S61" s="880" t="s">
        <v>482</v>
      </c>
      <c r="T61" s="880" t="s">
        <v>12</v>
      </c>
      <c r="U61" s="882">
        <v>175500000</v>
      </c>
      <c r="V61" s="880" t="s">
        <v>43</v>
      </c>
      <c r="W61" s="880">
        <v>0</v>
      </c>
      <c r="X61" s="969"/>
      <c r="Y61" s="884" t="str">
        <f t="shared" si="5"/>
        <v>04.13.01</v>
      </c>
      <c r="Z61" s="884" t="str">
        <f t="shared" si="3"/>
        <v>Jalan</v>
      </c>
      <c r="AA61" s="884">
        <f t="shared" si="4"/>
        <v>10</v>
      </c>
      <c r="AB61" s="868">
        <f>U61/AA61</f>
        <v>17550000</v>
      </c>
      <c r="AC61" s="885">
        <f>IF(2013-P61+1&gt;AA61,AA61,IF(2013-P61+1&lt;0,0,2013-P61+1))</f>
        <v>10</v>
      </c>
      <c r="AD61" s="868">
        <f>IF(AC61&gt;AA61,U61,AB61*AC61)</f>
        <v>175500000</v>
      </c>
      <c r="AE61" s="868">
        <f>IF(U61=AD61,0,AB61)</f>
        <v>0</v>
      </c>
      <c r="AF61" s="868">
        <f>IF(U61=AD61+AE61,0,AB61)</f>
        <v>0</v>
      </c>
      <c r="AG61" s="868">
        <f>IF(U61=AD61+AE61+AF61,0,AB61)</f>
        <v>0</v>
      </c>
      <c r="AH61" s="868">
        <f>IF(U61=AE61+AF61+AG61+AD61,0,AB61)</f>
        <v>0</v>
      </c>
      <c r="AI61" s="886">
        <f>IF(U61=AE61+AF61+AG61+AD61+AH61,0,AB61)</f>
        <v>0</v>
      </c>
      <c r="AJ61" s="886">
        <f>SUM(AD61:AI61)</f>
        <v>175500000</v>
      </c>
      <c r="AK61" s="868">
        <f>U61-AJ61</f>
        <v>0</v>
      </c>
    </row>
    <row r="62" spans="1:37" s="998" customFormat="1" ht="35.25" customHeight="1" x14ac:dyDescent="0.15">
      <c r="A62" s="998">
        <v>17</v>
      </c>
      <c r="B62" s="998" t="str">
        <f t="shared" si="2"/>
        <v>SINAMBEK - STADION OLAHRAGA</v>
      </c>
      <c r="D62" s="998" t="s">
        <v>3865</v>
      </c>
      <c r="E62" s="999" t="s">
        <v>4247</v>
      </c>
      <c r="F62" s="1000"/>
      <c r="G62" s="1010" t="s">
        <v>529</v>
      </c>
      <c r="H62" s="1011"/>
      <c r="I62" s="1001" t="s">
        <v>2494</v>
      </c>
      <c r="J62" s="1001">
        <v>0</v>
      </c>
      <c r="K62" s="1001" t="s">
        <v>492</v>
      </c>
      <c r="L62" s="1003" t="s">
        <v>490</v>
      </c>
      <c r="M62" s="1001">
        <v>20</v>
      </c>
      <c r="N62" s="1003">
        <v>50000</v>
      </c>
      <c r="O62" s="1001" t="s">
        <v>612</v>
      </c>
      <c r="P62" s="1168">
        <v>2001</v>
      </c>
      <c r="Q62" s="1001">
        <v>0</v>
      </c>
      <c r="R62" s="1001">
        <v>0</v>
      </c>
      <c r="S62" s="1001" t="s">
        <v>482</v>
      </c>
      <c r="T62" s="1001" t="s">
        <v>12</v>
      </c>
      <c r="U62" s="1002">
        <f>675000000+H63+H64+H65</f>
        <v>1628114860.3</v>
      </c>
      <c r="V62" s="1001" t="s">
        <v>43</v>
      </c>
      <c r="W62" s="1001">
        <v>0</v>
      </c>
      <c r="X62" s="1004"/>
      <c r="Y62" s="1005" t="str">
        <f t="shared" si="5"/>
        <v>04.13.01</v>
      </c>
      <c r="Z62" s="1006" t="str">
        <f t="shared" si="3"/>
        <v>Jalan</v>
      </c>
      <c r="AA62" s="1006">
        <f t="shared" si="4"/>
        <v>10</v>
      </c>
      <c r="AB62" s="1007"/>
      <c r="AC62" s="1008">
        <f t="shared" si="6"/>
        <v>10</v>
      </c>
      <c r="AD62" s="1007"/>
      <c r="AE62" s="1007"/>
      <c r="AF62" s="1007"/>
      <c r="AG62" s="1007"/>
      <c r="AH62" s="1007"/>
      <c r="AI62" s="1009">
        <f>PERHITUNGAN!U208</f>
        <v>676891494.6975311</v>
      </c>
      <c r="AJ62" s="1009">
        <f>PERHITUNGAN!U211</f>
        <v>8979994536.1174622</v>
      </c>
      <c r="AK62" s="1007">
        <f>U62-AJ62</f>
        <v>-7351879675.817462</v>
      </c>
    </row>
    <row r="63" spans="1:37" s="857" customFormat="1" ht="35.25" customHeight="1" x14ac:dyDescent="0.15">
      <c r="A63" s="857">
        <v>17</v>
      </c>
      <c r="B63" s="857" t="str">
        <f t="shared" si="2"/>
        <v>SINAMBEK - STADION OLAHRAGA</v>
      </c>
      <c r="D63" s="857" t="s">
        <v>3866</v>
      </c>
      <c r="E63" s="877" t="s">
        <v>4247</v>
      </c>
      <c r="F63" s="855"/>
      <c r="G63" s="878" t="s">
        <v>1227</v>
      </c>
      <c r="H63" s="879">
        <v>562181911.29999995</v>
      </c>
      <c r="I63" s="880" t="s">
        <v>2494</v>
      </c>
      <c r="J63" s="880">
        <v>0</v>
      </c>
      <c r="K63" s="880" t="s">
        <v>519</v>
      </c>
      <c r="L63" s="881">
        <v>0</v>
      </c>
      <c r="M63" s="880">
        <v>0</v>
      </c>
      <c r="N63" s="881">
        <v>1447</v>
      </c>
      <c r="O63" s="880" t="s">
        <v>3135</v>
      </c>
      <c r="P63" s="1126">
        <v>2011</v>
      </c>
      <c r="Q63" s="880">
        <v>0</v>
      </c>
      <c r="R63" s="880">
        <v>0</v>
      </c>
      <c r="S63" s="880">
        <v>0</v>
      </c>
      <c r="T63" s="880" t="s">
        <v>12</v>
      </c>
      <c r="U63" s="882"/>
      <c r="V63" s="880" t="s">
        <v>43</v>
      </c>
      <c r="W63" s="880">
        <v>0</v>
      </c>
      <c r="X63" s="969"/>
      <c r="Y63" s="883" t="str">
        <f t="shared" si="5"/>
        <v>04.13.01</v>
      </c>
      <c r="Z63" s="884" t="str">
        <f t="shared" si="3"/>
        <v>Jalan</v>
      </c>
      <c r="AA63" s="884">
        <f t="shared" si="4"/>
        <v>10</v>
      </c>
      <c r="AB63" s="868"/>
      <c r="AC63" s="885">
        <f t="shared" si="6"/>
        <v>2</v>
      </c>
      <c r="AD63" s="868"/>
      <c r="AE63" s="868"/>
      <c r="AF63" s="868"/>
      <c r="AG63" s="868"/>
      <c r="AH63" s="868"/>
      <c r="AI63" s="886"/>
      <c r="AJ63" s="886"/>
      <c r="AK63" s="868">
        <f>U63-AJ63</f>
        <v>0</v>
      </c>
    </row>
    <row r="64" spans="1:37" s="857" customFormat="1" ht="35.25" customHeight="1" x14ac:dyDescent="0.15">
      <c r="A64" s="857">
        <v>17</v>
      </c>
      <c r="B64" s="857" t="str">
        <f t="shared" si="2"/>
        <v>SINAMBEK - STADION OLAHRAGA</v>
      </c>
      <c r="D64" s="857" t="s">
        <v>4112</v>
      </c>
      <c r="E64" s="877" t="s">
        <v>4247</v>
      </c>
      <c r="F64" s="855"/>
      <c r="G64" s="878" t="s">
        <v>1302</v>
      </c>
      <c r="H64" s="879">
        <v>197719954</v>
      </c>
      <c r="I64" s="880" t="s">
        <v>2494</v>
      </c>
      <c r="J64" s="880">
        <v>0</v>
      </c>
      <c r="K64" s="880">
        <v>0</v>
      </c>
      <c r="L64" s="881">
        <v>0</v>
      </c>
      <c r="M64" s="880">
        <v>0</v>
      </c>
      <c r="N64" s="881">
        <v>0</v>
      </c>
      <c r="O64" s="880" t="s">
        <v>3181</v>
      </c>
      <c r="P64" s="1126">
        <v>2014</v>
      </c>
      <c r="Q64" s="880">
        <v>0</v>
      </c>
      <c r="R64" s="880">
        <v>0</v>
      </c>
      <c r="S64" s="880">
        <v>0</v>
      </c>
      <c r="T64" s="880">
        <v>0</v>
      </c>
      <c r="U64" s="882"/>
      <c r="V64" s="880">
        <v>0</v>
      </c>
      <c r="W64" s="880">
        <v>0</v>
      </c>
      <c r="X64" s="969"/>
      <c r="Y64" s="883" t="str">
        <f t="shared" si="5"/>
        <v>04.13.01</v>
      </c>
      <c r="Z64" s="884" t="str">
        <f t="shared" si="3"/>
        <v>Jalan</v>
      </c>
      <c r="AA64" s="884">
        <f t="shared" si="4"/>
        <v>10</v>
      </c>
      <c r="AB64" s="868"/>
      <c r="AC64" s="885">
        <f t="shared" si="6"/>
        <v>0</v>
      </c>
      <c r="AD64" s="868"/>
      <c r="AE64" s="868"/>
      <c r="AF64" s="868"/>
      <c r="AG64" s="868"/>
      <c r="AH64" s="868"/>
      <c r="AI64" s="886"/>
      <c r="AJ64" s="886"/>
      <c r="AK64" s="868"/>
    </row>
    <row r="65" spans="1:37" s="857" customFormat="1" ht="35.25" customHeight="1" x14ac:dyDescent="0.15">
      <c r="A65" s="857">
        <v>17</v>
      </c>
      <c r="B65" s="857" t="str">
        <f t="shared" si="2"/>
        <v>SINAMBEK - STADION OLAHRAGA</v>
      </c>
      <c r="D65" s="857" t="s">
        <v>4132</v>
      </c>
      <c r="E65" s="877" t="s">
        <v>4247</v>
      </c>
      <c r="F65" s="855"/>
      <c r="G65" s="878" t="s">
        <v>1401</v>
      </c>
      <c r="H65" s="879">
        <v>193212995</v>
      </c>
      <c r="I65" s="880" t="s">
        <v>2494</v>
      </c>
      <c r="J65" s="880">
        <v>0</v>
      </c>
      <c r="K65" s="880">
        <v>0</v>
      </c>
      <c r="L65" s="881">
        <v>0</v>
      </c>
      <c r="M65" s="880">
        <v>0</v>
      </c>
      <c r="N65" s="881">
        <v>0</v>
      </c>
      <c r="O65" s="880" t="s">
        <v>3238</v>
      </c>
      <c r="P65" s="1126">
        <v>2015</v>
      </c>
      <c r="Q65" s="880">
        <v>0</v>
      </c>
      <c r="R65" s="880">
        <v>0</v>
      </c>
      <c r="S65" s="880">
        <v>0</v>
      </c>
      <c r="T65" s="880" t="s">
        <v>12</v>
      </c>
      <c r="U65" s="882"/>
      <c r="V65" s="880">
        <v>0</v>
      </c>
      <c r="W65" s="880">
        <v>0</v>
      </c>
      <c r="X65" s="969"/>
      <c r="Y65" s="883" t="str">
        <f t="shared" si="5"/>
        <v>04.13.01</v>
      </c>
      <c r="Z65" s="884" t="str">
        <f t="shared" si="3"/>
        <v>Jalan</v>
      </c>
      <c r="AA65" s="884">
        <f t="shared" si="4"/>
        <v>10</v>
      </c>
      <c r="AB65" s="868"/>
      <c r="AC65" s="885">
        <f t="shared" si="6"/>
        <v>0</v>
      </c>
      <c r="AD65" s="868"/>
      <c r="AE65" s="868"/>
      <c r="AF65" s="868"/>
      <c r="AG65" s="868"/>
      <c r="AH65" s="868"/>
      <c r="AI65" s="886"/>
      <c r="AJ65" s="886"/>
      <c r="AK65" s="868"/>
    </row>
    <row r="66" spans="1:37" s="857" customFormat="1" ht="35.25" customHeight="1" x14ac:dyDescent="0.2">
      <c r="A66" s="857">
        <v>18</v>
      </c>
      <c r="B66" s="857" t="str">
        <f t="shared" si="2"/>
        <v>JL. DESA PL. KOPUNG - SEI. KUANTAN</v>
      </c>
      <c r="D66" s="857" t="s">
        <v>3867</v>
      </c>
      <c r="E66" s="884" t="str">
        <f t="shared" ref="E66:E74" si="12">RIGHT(D66,1)</f>
        <v>1</v>
      </c>
      <c r="F66" s="855"/>
      <c r="G66" s="878" t="s">
        <v>529</v>
      </c>
      <c r="H66" s="879"/>
      <c r="I66" s="880" t="s">
        <v>2494</v>
      </c>
      <c r="J66" s="880">
        <v>0</v>
      </c>
      <c r="K66" s="880" t="s">
        <v>492</v>
      </c>
      <c r="L66" s="881">
        <v>2000</v>
      </c>
      <c r="M66" s="880">
        <v>7</v>
      </c>
      <c r="N66" s="881">
        <v>14000</v>
      </c>
      <c r="O66" s="880" t="s">
        <v>606</v>
      </c>
      <c r="P66" s="1126">
        <v>2001</v>
      </c>
      <c r="Q66" s="880">
        <v>0</v>
      </c>
      <c r="R66" s="880">
        <v>0</v>
      </c>
      <c r="S66" s="880" t="s">
        <v>482</v>
      </c>
      <c r="T66" s="880" t="s">
        <v>12</v>
      </c>
      <c r="U66" s="882">
        <v>540000000</v>
      </c>
      <c r="V66" s="880" t="s">
        <v>43</v>
      </c>
      <c r="W66" s="880">
        <v>0</v>
      </c>
      <c r="X66" s="969"/>
      <c r="Y66" s="884" t="str">
        <f t="shared" si="5"/>
        <v>04.13.01</v>
      </c>
      <c r="Z66" s="884" t="str">
        <f t="shared" si="3"/>
        <v>Jalan</v>
      </c>
      <c r="AA66" s="884">
        <f t="shared" si="4"/>
        <v>10</v>
      </c>
      <c r="AB66" s="868">
        <f t="shared" ref="AB66:AB74" si="13">U66/AA66</f>
        <v>54000000</v>
      </c>
      <c r="AC66" s="885">
        <f t="shared" ref="AC66:AC74" si="14">IF(2013-P66+1&gt;AA66,AA66,IF(2013-P66+1&lt;0,0,2013-P66+1))</f>
        <v>10</v>
      </c>
      <c r="AD66" s="868">
        <f t="shared" ref="AD66:AD74" si="15">IF(AC66&gt;AA66,U66,AB66*AC66)</f>
        <v>540000000</v>
      </c>
      <c r="AE66" s="868">
        <f t="shared" ref="AE66:AE74" si="16">IF(U66=AD66,0,AB66)</f>
        <v>0</v>
      </c>
      <c r="AF66" s="868">
        <f t="shared" ref="AF66:AF74" si="17">IF(U66=AD66+AE66,0,AB66)</f>
        <v>0</v>
      </c>
      <c r="AG66" s="868">
        <f t="shared" ref="AG66:AG74" si="18">IF(U66=AD66+AE66+AF66,0,AB66)</f>
        <v>0</v>
      </c>
      <c r="AH66" s="868">
        <f t="shared" ref="AH66:AH74" si="19">IF(U66=AE66+AF66+AG66+AD66,0,AB66)</f>
        <v>0</v>
      </c>
      <c r="AI66" s="886">
        <f t="shared" ref="AI66:AI74" si="20">IF(U66=AE66+AF66+AG66+AD66+AH66,0,AB66)</f>
        <v>0</v>
      </c>
      <c r="AJ66" s="886">
        <f t="shared" ref="AJ66:AJ74" si="21">SUM(AD66:AI66)</f>
        <v>540000000</v>
      </c>
      <c r="AK66" s="868">
        <f t="shared" ref="AK66:AK129" si="22">U66-AJ66</f>
        <v>0</v>
      </c>
    </row>
    <row r="67" spans="1:37" s="857" customFormat="1" ht="35.25" customHeight="1" x14ac:dyDescent="0.2">
      <c r="A67" s="857">
        <v>19</v>
      </c>
      <c r="B67" s="857" t="str">
        <f t="shared" si="2"/>
        <v>KEBUN NENAS - PERKANTORAN PEMDA</v>
      </c>
      <c r="D67" s="857" t="s">
        <v>3868</v>
      </c>
      <c r="E67" s="884" t="str">
        <f t="shared" si="12"/>
        <v>1</v>
      </c>
      <c r="F67" s="855"/>
      <c r="G67" s="878" t="s">
        <v>529</v>
      </c>
      <c r="H67" s="879"/>
      <c r="I67" s="880" t="s">
        <v>2494</v>
      </c>
      <c r="J67" s="880">
        <v>0</v>
      </c>
      <c r="K67" s="880" t="s">
        <v>492</v>
      </c>
      <c r="L67" s="881" t="s">
        <v>522</v>
      </c>
      <c r="M67" s="880">
        <v>20</v>
      </c>
      <c r="N67" s="881">
        <v>120000</v>
      </c>
      <c r="O67" s="880" t="s">
        <v>607</v>
      </c>
      <c r="P67" s="1126">
        <v>2001</v>
      </c>
      <c r="Q67" s="880">
        <v>0</v>
      </c>
      <c r="R67" s="880">
        <v>0</v>
      </c>
      <c r="S67" s="880" t="s">
        <v>482</v>
      </c>
      <c r="T67" s="880" t="s">
        <v>12</v>
      </c>
      <c r="U67" s="882">
        <v>1620000000</v>
      </c>
      <c r="V67" s="880" t="s">
        <v>43</v>
      </c>
      <c r="W67" s="880">
        <v>0</v>
      </c>
      <c r="X67" s="969"/>
      <c r="Y67" s="884" t="str">
        <f t="shared" si="5"/>
        <v>04.13.01</v>
      </c>
      <c r="Z67" s="884" t="str">
        <f t="shared" si="3"/>
        <v>Jalan</v>
      </c>
      <c r="AA67" s="884">
        <f t="shared" si="4"/>
        <v>10</v>
      </c>
      <c r="AB67" s="868">
        <f t="shared" si="13"/>
        <v>162000000</v>
      </c>
      <c r="AC67" s="885">
        <f t="shared" si="14"/>
        <v>10</v>
      </c>
      <c r="AD67" s="868">
        <f t="shared" si="15"/>
        <v>1620000000</v>
      </c>
      <c r="AE67" s="868">
        <f t="shared" si="16"/>
        <v>0</v>
      </c>
      <c r="AF67" s="868">
        <f t="shared" si="17"/>
        <v>0</v>
      </c>
      <c r="AG67" s="868">
        <f t="shared" si="18"/>
        <v>0</v>
      </c>
      <c r="AH67" s="868">
        <f t="shared" si="19"/>
        <v>0</v>
      </c>
      <c r="AI67" s="886">
        <f t="shared" si="20"/>
        <v>0</v>
      </c>
      <c r="AJ67" s="886">
        <f t="shared" si="21"/>
        <v>1620000000</v>
      </c>
      <c r="AK67" s="868">
        <f t="shared" si="22"/>
        <v>0</v>
      </c>
    </row>
    <row r="68" spans="1:37" s="857" customFormat="1" ht="35.25" customHeight="1" x14ac:dyDescent="0.2">
      <c r="A68" s="857">
        <v>20</v>
      </c>
      <c r="B68" s="857" t="str">
        <f t="shared" si="2"/>
        <v>DESA KOTO TUO - SEI. KUANTAN</v>
      </c>
      <c r="D68" s="857" t="s">
        <v>3869</v>
      </c>
      <c r="E68" s="884" t="str">
        <f t="shared" si="12"/>
        <v>1</v>
      </c>
      <c r="F68" s="855"/>
      <c r="G68" s="878" t="s">
        <v>529</v>
      </c>
      <c r="H68" s="879"/>
      <c r="I68" s="880" t="s">
        <v>2494</v>
      </c>
      <c r="J68" s="880">
        <v>0</v>
      </c>
      <c r="K68" s="880" t="s">
        <v>492</v>
      </c>
      <c r="L68" s="881">
        <v>2000</v>
      </c>
      <c r="M68" s="880">
        <v>8</v>
      </c>
      <c r="N68" s="881">
        <v>16000</v>
      </c>
      <c r="O68" s="880" t="s">
        <v>608</v>
      </c>
      <c r="P68" s="1126">
        <v>2001</v>
      </c>
      <c r="Q68" s="880">
        <v>0</v>
      </c>
      <c r="R68" s="880">
        <v>0</v>
      </c>
      <c r="S68" s="880" t="s">
        <v>482</v>
      </c>
      <c r="T68" s="880" t="s">
        <v>12</v>
      </c>
      <c r="U68" s="882">
        <v>540000000</v>
      </c>
      <c r="V68" s="880" t="s">
        <v>43</v>
      </c>
      <c r="W68" s="880">
        <v>0</v>
      </c>
      <c r="X68" s="969"/>
      <c r="Y68" s="884" t="str">
        <f t="shared" si="5"/>
        <v>04.13.01</v>
      </c>
      <c r="Z68" s="884" t="str">
        <f t="shared" si="3"/>
        <v>Jalan</v>
      </c>
      <c r="AA68" s="884">
        <f t="shared" si="4"/>
        <v>10</v>
      </c>
      <c r="AB68" s="868">
        <f t="shared" si="13"/>
        <v>54000000</v>
      </c>
      <c r="AC68" s="885">
        <f t="shared" si="14"/>
        <v>10</v>
      </c>
      <c r="AD68" s="868">
        <f t="shared" si="15"/>
        <v>540000000</v>
      </c>
      <c r="AE68" s="868">
        <f t="shared" si="16"/>
        <v>0</v>
      </c>
      <c r="AF68" s="868">
        <f t="shared" si="17"/>
        <v>0</v>
      </c>
      <c r="AG68" s="868">
        <f t="shared" si="18"/>
        <v>0</v>
      </c>
      <c r="AH68" s="868">
        <f t="shared" si="19"/>
        <v>0</v>
      </c>
      <c r="AI68" s="886">
        <f t="shared" si="20"/>
        <v>0</v>
      </c>
      <c r="AJ68" s="886">
        <f t="shared" si="21"/>
        <v>540000000</v>
      </c>
      <c r="AK68" s="868">
        <f t="shared" si="22"/>
        <v>0</v>
      </c>
    </row>
    <row r="69" spans="1:37" s="857" customFormat="1" ht="35.25" customHeight="1" x14ac:dyDescent="0.2">
      <c r="A69" s="857">
        <v>21</v>
      </c>
      <c r="B69" s="857" t="str">
        <f t="shared" si="2"/>
        <v>SIMP. PERKANTORAN PEMDA - BUNDARAN DPRD</v>
      </c>
      <c r="D69" s="857" t="s">
        <v>3870</v>
      </c>
      <c r="E69" s="884" t="str">
        <f t="shared" si="12"/>
        <v>1</v>
      </c>
      <c r="F69" s="855"/>
      <c r="G69" s="878" t="s">
        <v>529</v>
      </c>
      <c r="H69" s="879"/>
      <c r="I69" s="880" t="s">
        <v>2494</v>
      </c>
      <c r="J69" s="880">
        <v>0</v>
      </c>
      <c r="K69" s="880" t="s">
        <v>479</v>
      </c>
      <c r="L69" s="881">
        <v>1900</v>
      </c>
      <c r="M69" s="880">
        <v>16</v>
      </c>
      <c r="N69" s="881">
        <v>30400</v>
      </c>
      <c r="O69" s="880" t="s">
        <v>603</v>
      </c>
      <c r="P69" s="1126">
        <v>2001</v>
      </c>
      <c r="Q69" s="880">
        <v>0</v>
      </c>
      <c r="R69" s="880">
        <v>0</v>
      </c>
      <c r="S69" s="880" t="s">
        <v>482</v>
      </c>
      <c r="T69" s="880" t="s">
        <v>12</v>
      </c>
      <c r="U69" s="882">
        <v>3890250000</v>
      </c>
      <c r="V69" s="880" t="s">
        <v>43</v>
      </c>
      <c r="W69" s="880">
        <v>0</v>
      </c>
      <c r="X69" s="969"/>
      <c r="Y69" s="884" t="str">
        <f t="shared" si="5"/>
        <v>04.13.01</v>
      </c>
      <c r="Z69" s="884" t="str">
        <f t="shared" si="3"/>
        <v>Jalan</v>
      </c>
      <c r="AA69" s="884">
        <f t="shared" si="4"/>
        <v>10</v>
      </c>
      <c r="AB69" s="868">
        <f t="shared" si="13"/>
        <v>389025000</v>
      </c>
      <c r="AC69" s="885">
        <f t="shared" si="14"/>
        <v>10</v>
      </c>
      <c r="AD69" s="868">
        <f t="shared" si="15"/>
        <v>3890250000</v>
      </c>
      <c r="AE69" s="868">
        <f t="shared" si="16"/>
        <v>0</v>
      </c>
      <c r="AF69" s="868">
        <f t="shared" si="17"/>
        <v>0</v>
      </c>
      <c r="AG69" s="868">
        <f t="shared" si="18"/>
        <v>0</v>
      </c>
      <c r="AH69" s="868">
        <f t="shared" si="19"/>
        <v>0</v>
      </c>
      <c r="AI69" s="886">
        <f t="shared" si="20"/>
        <v>0</v>
      </c>
      <c r="AJ69" s="886">
        <f t="shared" si="21"/>
        <v>3890250000</v>
      </c>
      <c r="AK69" s="868">
        <f t="shared" si="22"/>
        <v>0</v>
      </c>
    </row>
    <row r="70" spans="1:37" s="857" customFormat="1" ht="35.25" customHeight="1" x14ac:dyDescent="0.2">
      <c r="A70" s="857">
        <v>21</v>
      </c>
      <c r="B70" s="857" t="str">
        <f>VLOOKUP(A70,RUAS,2,FALSE)</f>
        <v>SIMP. PERKANTORAN PEMDA - BUNDARAN DPRD</v>
      </c>
      <c r="E70" s="884" t="str">
        <f t="shared" si="12"/>
        <v/>
      </c>
      <c r="F70" s="855"/>
      <c r="G70" s="878" t="s">
        <v>1239</v>
      </c>
      <c r="H70" s="879"/>
      <c r="I70" s="861" t="s">
        <v>2494</v>
      </c>
      <c r="J70" s="871"/>
      <c r="K70" s="861" t="s">
        <v>519</v>
      </c>
      <c r="L70" s="856"/>
      <c r="M70" s="862"/>
      <c r="N70" s="856"/>
      <c r="O70" s="863" t="s">
        <v>3143</v>
      </c>
      <c r="P70" s="861">
        <v>2012</v>
      </c>
      <c r="Q70" s="862"/>
      <c r="R70" s="862"/>
      <c r="S70" s="862"/>
      <c r="T70" s="862" t="s">
        <v>12</v>
      </c>
      <c r="U70" s="899">
        <v>1636229063.0043535</v>
      </c>
      <c r="V70" s="861" t="s">
        <v>43</v>
      </c>
      <c r="W70" s="865"/>
      <c r="X70" s="968"/>
      <c r="Y70" s="884" t="str">
        <f>LEFT(I70,8)</f>
        <v>04.13.01</v>
      </c>
      <c r="Z70" s="884" t="str">
        <f>VLOOKUP(Y70,UE,3,FALSE)</f>
        <v>Jalan</v>
      </c>
      <c r="AA70" s="884">
        <f>VLOOKUP(Y70,UE,4,FALSE)</f>
        <v>10</v>
      </c>
      <c r="AB70" s="868">
        <f>U70/AA70</f>
        <v>163622906.30043536</v>
      </c>
      <c r="AC70" s="885">
        <f>IF(2013-P70+1&gt;AA70,AA70,IF(2013-P70+1&lt;0,0,2013-P70+1))</f>
        <v>2</v>
      </c>
      <c r="AD70" s="868">
        <f>IF(AC70&gt;AA70,U70,AB70*AC70)</f>
        <v>327245812.60087073</v>
      </c>
      <c r="AE70" s="868">
        <f>IF(U70=AD70,0,AB70)</f>
        <v>163622906.30043536</v>
      </c>
      <c r="AF70" s="868">
        <f>IF(U70=AD70+AE70,0,AB70)</f>
        <v>163622906.30043536</v>
      </c>
      <c r="AG70" s="868">
        <f>IF(U70=AD70+AE70+AF70,0,AB70)</f>
        <v>163622906.30043536</v>
      </c>
      <c r="AH70" s="868">
        <f>IF(U70=AE70+AF70+AG70+AD70,0,AB70)</f>
        <v>163622906.30043536</v>
      </c>
      <c r="AI70" s="886">
        <f>IF(U70=AE70+AF70+AG70+AD70+AH70,0,AB70)</f>
        <v>163622906.30043536</v>
      </c>
      <c r="AJ70" s="886">
        <f>SUM(AD70:AI70)</f>
        <v>1145360344.1030474</v>
      </c>
      <c r="AK70" s="868">
        <f>U70-AJ70</f>
        <v>490868718.90130615</v>
      </c>
    </row>
    <row r="71" spans="1:37" s="857" customFormat="1" ht="35.25" customHeight="1" x14ac:dyDescent="0.2">
      <c r="A71" s="857">
        <v>24</v>
      </c>
      <c r="B71" s="857" t="str">
        <f t="shared" si="2"/>
        <v>PERUMNAS - SIMPANG PERKANTORAN PEMDA</v>
      </c>
      <c r="D71" s="857" t="s">
        <v>3871</v>
      </c>
      <c r="E71" s="884" t="str">
        <f t="shared" si="12"/>
        <v>1</v>
      </c>
      <c r="F71" s="855"/>
      <c r="G71" s="878" t="s">
        <v>529</v>
      </c>
      <c r="H71" s="879"/>
      <c r="I71" s="880" t="s">
        <v>2494</v>
      </c>
      <c r="J71" s="880">
        <v>0</v>
      </c>
      <c r="K71" s="880" t="s">
        <v>479</v>
      </c>
      <c r="L71" s="881">
        <v>1950</v>
      </c>
      <c r="M71" s="880">
        <v>10</v>
      </c>
      <c r="N71" s="881">
        <v>19500</v>
      </c>
      <c r="O71" s="880" t="s">
        <v>604</v>
      </c>
      <c r="P71" s="1126">
        <v>2001</v>
      </c>
      <c r="Q71" s="880">
        <v>0</v>
      </c>
      <c r="R71" s="880">
        <v>0</v>
      </c>
      <c r="S71" s="880" t="s">
        <v>482</v>
      </c>
      <c r="T71" s="880" t="s">
        <v>12</v>
      </c>
      <c r="U71" s="882">
        <f>4299750000+H72+H73</f>
        <v>7310174270.3834791</v>
      </c>
      <c r="V71" s="880" t="s">
        <v>43</v>
      </c>
      <c r="W71" s="880">
        <v>0</v>
      </c>
      <c r="X71" s="969"/>
      <c r="Y71" s="884" t="str">
        <f t="shared" si="5"/>
        <v>04.13.01</v>
      </c>
      <c r="Z71" s="884" t="str">
        <f t="shared" si="3"/>
        <v>Jalan</v>
      </c>
      <c r="AA71" s="884">
        <f t="shared" si="4"/>
        <v>10</v>
      </c>
      <c r="AB71" s="868"/>
      <c r="AC71" s="885"/>
      <c r="AD71" s="868"/>
      <c r="AE71" s="868"/>
      <c r="AF71" s="868"/>
      <c r="AG71" s="868"/>
      <c r="AH71" s="868"/>
      <c r="AI71" s="886">
        <f>PERHITUNGAN!R249</f>
        <v>0</v>
      </c>
      <c r="AJ71" s="886">
        <f>PERHITUNGAN!U252</f>
        <v>7310174270.383481</v>
      </c>
      <c r="AK71" s="868">
        <f t="shared" si="22"/>
        <v>0</v>
      </c>
    </row>
    <row r="72" spans="1:37" s="857" customFormat="1" ht="35.25" customHeight="1" x14ac:dyDescent="0.2">
      <c r="A72" s="857">
        <v>24</v>
      </c>
      <c r="B72" s="857" t="str">
        <f>VLOOKUP(A72,RUAS,2,FALSE)</f>
        <v>PERUMNAS - SIMPANG PERKANTORAN PEMDA</v>
      </c>
      <c r="E72" s="884" t="str">
        <f t="shared" si="12"/>
        <v/>
      </c>
      <c r="F72" s="855"/>
      <c r="G72" s="878" t="s">
        <v>1152</v>
      </c>
      <c r="H72" s="879">
        <v>1259881574.9739072</v>
      </c>
      <c r="I72" s="861" t="s">
        <v>2494</v>
      </c>
      <c r="J72" s="871"/>
      <c r="K72" s="861" t="s">
        <v>519</v>
      </c>
      <c r="L72" s="856"/>
      <c r="M72" s="862"/>
      <c r="N72" s="856">
        <v>1000</v>
      </c>
      <c r="O72" s="863" t="s">
        <v>3090</v>
      </c>
      <c r="P72" s="861">
        <v>2007</v>
      </c>
      <c r="Q72" s="862"/>
      <c r="R72" s="862"/>
      <c r="S72" s="862"/>
      <c r="T72" s="862" t="s">
        <v>12</v>
      </c>
      <c r="U72" s="899"/>
      <c r="V72" s="861" t="s">
        <v>43</v>
      </c>
      <c r="W72" s="865"/>
      <c r="X72" s="968"/>
      <c r="Y72" s="884" t="str">
        <f>LEFT(I72,8)</f>
        <v>04.13.01</v>
      </c>
      <c r="Z72" s="884" t="str">
        <f>VLOOKUP(Y72,UE,3,FALSE)</f>
        <v>Jalan</v>
      </c>
      <c r="AA72" s="884">
        <f>VLOOKUP(Y72,UE,4,FALSE)</f>
        <v>10</v>
      </c>
      <c r="AB72" s="868"/>
      <c r="AC72" s="885"/>
      <c r="AD72" s="868"/>
      <c r="AE72" s="868"/>
      <c r="AF72" s="868"/>
      <c r="AG72" s="868"/>
      <c r="AH72" s="868"/>
      <c r="AI72" s="886"/>
      <c r="AJ72" s="886"/>
      <c r="AK72" s="868">
        <f>U72-AJ72</f>
        <v>0</v>
      </c>
    </row>
    <row r="73" spans="1:37" s="857" customFormat="1" ht="35.25" customHeight="1" x14ac:dyDescent="0.2">
      <c r="A73" s="857">
        <v>24</v>
      </c>
      <c r="B73" s="857" t="str">
        <f>VLOOKUP(A73,RUAS,2,FALSE)</f>
        <v>PERUMNAS - SIMPANG PERKANTORAN PEMDA</v>
      </c>
      <c r="E73" s="884" t="str">
        <f t="shared" si="12"/>
        <v/>
      </c>
      <c r="F73" s="855"/>
      <c r="G73" s="878" t="s">
        <v>1146</v>
      </c>
      <c r="H73" s="879">
        <v>1750542695.4095719</v>
      </c>
      <c r="I73" s="861" t="s">
        <v>2494</v>
      </c>
      <c r="J73" s="871"/>
      <c r="K73" s="861" t="s">
        <v>519</v>
      </c>
      <c r="L73" s="856">
        <v>1.19</v>
      </c>
      <c r="M73" s="862"/>
      <c r="N73" s="856">
        <v>1.19</v>
      </c>
      <c r="O73" s="863" t="s">
        <v>3085</v>
      </c>
      <c r="P73" s="861">
        <v>2007</v>
      </c>
      <c r="Q73" s="862"/>
      <c r="R73" s="862"/>
      <c r="S73" s="862"/>
      <c r="T73" s="862" t="s">
        <v>12</v>
      </c>
      <c r="U73" s="899"/>
      <c r="V73" s="861" t="s">
        <v>43</v>
      </c>
      <c r="W73" s="865"/>
      <c r="X73" s="968"/>
      <c r="Y73" s="884" t="str">
        <f>LEFT(I73,8)</f>
        <v>04.13.01</v>
      </c>
      <c r="Z73" s="884" t="str">
        <f>VLOOKUP(Y73,UE,3,FALSE)</f>
        <v>Jalan</v>
      </c>
      <c r="AA73" s="884">
        <f>VLOOKUP(Y73,UE,4,FALSE)</f>
        <v>10</v>
      </c>
      <c r="AB73" s="868"/>
      <c r="AC73" s="885"/>
      <c r="AD73" s="868"/>
      <c r="AE73" s="868"/>
      <c r="AF73" s="868"/>
      <c r="AG73" s="868"/>
      <c r="AH73" s="868"/>
      <c r="AI73" s="886"/>
      <c r="AJ73" s="886"/>
      <c r="AK73" s="868">
        <f>U73-AJ73</f>
        <v>0</v>
      </c>
    </row>
    <row r="74" spans="1:37" s="857" customFormat="1" ht="35.25" customHeight="1" x14ac:dyDescent="0.2">
      <c r="A74" s="857">
        <v>25</v>
      </c>
      <c r="B74" s="857" t="str">
        <f t="shared" si="2"/>
        <v>SEI. RIMBIO - PINTU GOBANG</v>
      </c>
      <c r="D74" s="857" t="s">
        <v>3872</v>
      </c>
      <c r="E74" s="884" t="str">
        <f t="shared" si="12"/>
        <v>1</v>
      </c>
      <c r="F74" s="855"/>
      <c r="G74" s="878" t="s">
        <v>529</v>
      </c>
      <c r="H74" s="879"/>
      <c r="I74" s="880" t="s">
        <v>2494</v>
      </c>
      <c r="J74" s="880">
        <v>0</v>
      </c>
      <c r="K74" s="880" t="s">
        <v>492</v>
      </c>
      <c r="L74" s="881">
        <v>4000</v>
      </c>
      <c r="M74" s="880">
        <v>8</v>
      </c>
      <c r="N74" s="881">
        <v>32000</v>
      </c>
      <c r="O74" s="880" t="s">
        <v>605</v>
      </c>
      <c r="P74" s="1126">
        <v>2001</v>
      </c>
      <c r="Q74" s="880">
        <v>0</v>
      </c>
      <c r="R74" s="880">
        <v>0</v>
      </c>
      <c r="S74" s="880" t="s">
        <v>482</v>
      </c>
      <c r="T74" s="880" t="s">
        <v>12</v>
      </c>
      <c r="U74" s="882">
        <v>2591976598.3800001</v>
      </c>
      <c r="V74" s="880" t="s">
        <v>43</v>
      </c>
      <c r="W74" s="880">
        <v>0</v>
      </c>
      <c r="X74" s="969"/>
      <c r="Y74" s="884" t="str">
        <f t="shared" si="5"/>
        <v>04.13.01</v>
      </c>
      <c r="Z74" s="884" t="str">
        <f t="shared" si="3"/>
        <v>Jalan</v>
      </c>
      <c r="AA74" s="884">
        <f t="shared" si="4"/>
        <v>10</v>
      </c>
      <c r="AB74" s="868">
        <f t="shared" si="13"/>
        <v>259197659.838</v>
      </c>
      <c r="AC74" s="885">
        <f t="shared" si="14"/>
        <v>10</v>
      </c>
      <c r="AD74" s="868">
        <f t="shared" si="15"/>
        <v>2591976598.3800001</v>
      </c>
      <c r="AE74" s="868">
        <f t="shared" si="16"/>
        <v>0</v>
      </c>
      <c r="AF74" s="868">
        <f t="shared" si="17"/>
        <v>0</v>
      </c>
      <c r="AG74" s="868">
        <f t="shared" si="18"/>
        <v>0</v>
      </c>
      <c r="AH74" s="868">
        <f t="shared" si="19"/>
        <v>0</v>
      </c>
      <c r="AI74" s="886">
        <f t="shared" si="20"/>
        <v>0</v>
      </c>
      <c r="AJ74" s="886">
        <f t="shared" si="21"/>
        <v>2591976598.3800001</v>
      </c>
      <c r="AK74" s="868">
        <f t="shared" si="22"/>
        <v>0</v>
      </c>
    </row>
    <row r="75" spans="1:37" s="998" customFormat="1" ht="35.25" customHeight="1" x14ac:dyDescent="0.15">
      <c r="A75" s="998">
        <v>27</v>
      </c>
      <c r="B75" s="998" t="str">
        <f t="shared" si="2"/>
        <v>JL. SEB. TELUK - SIBEROBAH</v>
      </c>
      <c r="D75" s="998" t="s">
        <v>3873</v>
      </c>
      <c r="E75" s="999" t="s">
        <v>4247</v>
      </c>
      <c r="F75" s="1000"/>
      <c r="G75" s="1010" t="s">
        <v>529</v>
      </c>
      <c r="H75" s="1011"/>
      <c r="I75" s="1001" t="s">
        <v>2494</v>
      </c>
      <c r="J75" s="1001">
        <v>0</v>
      </c>
      <c r="K75" s="1001" t="s">
        <v>492</v>
      </c>
      <c r="L75" s="1003">
        <v>14000</v>
      </c>
      <c r="M75" s="1001">
        <v>8</v>
      </c>
      <c r="N75" s="1003">
        <v>112000</v>
      </c>
      <c r="O75" s="1001" t="s">
        <v>3265</v>
      </c>
      <c r="P75" s="1168">
        <v>2001</v>
      </c>
      <c r="Q75" s="1001">
        <v>0</v>
      </c>
      <c r="R75" s="1001">
        <v>0</v>
      </c>
      <c r="S75" s="1001" t="s">
        <v>482</v>
      </c>
      <c r="T75" s="1001" t="s">
        <v>12</v>
      </c>
      <c r="U75" s="1002">
        <f>9359649503.99+H76+H77+H78+H79</f>
        <v>24654824625.430679</v>
      </c>
      <c r="V75" s="1001" t="s">
        <v>43</v>
      </c>
      <c r="W75" s="1001">
        <v>0</v>
      </c>
      <c r="X75" s="1004"/>
      <c r="Y75" s="1005" t="str">
        <f t="shared" si="5"/>
        <v>04.13.01</v>
      </c>
      <c r="Z75" s="1006" t="str">
        <f t="shared" si="3"/>
        <v>Jalan</v>
      </c>
      <c r="AA75" s="1006">
        <f t="shared" si="4"/>
        <v>10</v>
      </c>
      <c r="AB75" s="1007"/>
      <c r="AC75" s="1008">
        <f t="shared" si="6"/>
        <v>10</v>
      </c>
      <c r="AD75" s="1007"/>
      <c r="AE75" s="1007"/>
      <c r="AF75" s="1007"/>
      <c r="AG75" s="1007"/>
      <c r="AH75" s="1007"/>
      <c r="AI75" s="1009">
        <f>PERHITUNGAN!U272</f>
        <v>2628239720.7808537</v>
      </c>
      <c r="AJ75" s="1009">
        <f>PERHITUNGAN!U277</f>
        <v>21808869110.953117</v>
      </c>
      <c r="AK75" s="1007">
        <f t="shared" si="22"/>
        <v>2845955514.477562</v>
      </c>
    </row>
    <row r="76" spans="1:37" s="857" customFormat="1" ht="35.25" customHeight="1" x14ac:dyDescent="0.2">
      <c r="A76" s="857">
        <v>27</v>
      </c>
      <c r="B76" s="857" t="str">
        <f>VLOOKUP(A76,RUAS,2,FALSE)</f>
        <v>JL. SEB. TELUK - SIBEROBAH</v>
      </c>
      <c r="E76" s="884" t="str">
        <f>RIGHT(D76,1)</f>
        <v/>
      </c>
      <c r="F76" s="855"/>
      <c r="G76" s="878" t="s">
        <v>1185</v>
      </c>
      <c r="H76" s="879">
        <v>1400963703.44068</v>
      </c>
      <c r="I76" s="861" t="s">
        <v>2494</v>
      </c>
      <c r="J76" s="871"/>
      <c r="K76" s="861"/>
      <c r="L76" s="856"/>
      <c r="M76" s="862"/>
      <c r="N76" s="856"/>
      <c r="O76" s="863" t="s">
        <v>3112</v>
      </c>
      <c r="P76" s="861">
        <v>2015</v>
      </c>
      <c r="Q76" s="862"/>
      <c r="R76" s="862"/>
      <c r="S76" s="862"/>
      <c r="T76" s="862" t="s">
        <v>12</v>
      </c>
      <c r="U76" s="899"/>
      <c r="V76" s="861" t="s">
        <v>43</v>
      </c>
      <c r="W76" s="865">
        <v>1</v>
      </c>
      <c r="X76" s="968"/>
      <c r="Y76" s="884" t="str">
        <f>LEFT(I76,8)</f>
        <v>04.13.01</v>
      </c>
      <c r="Z76" s="884" t="str">
        <f>VLOOKUP(Y76,UE,3,FALSE)</f>
        <v>Jalan</v>
      </c>
      <c r="AA76" s="884">
        <f>VLOOKUP(Y76,UE,4,FALSE)</f>
        <v>10</v>
      </c>
      <c r="AB76" s="868"/>
      <c r="AC76" s="885"/>
      <c r="AD76" s="868"/>
      <c r="AE76" s="868"/>
      <c r="AF76" s="868"/>
      <c r="AG76" s="868"/>
      <c r="AH76" s="868"/>
      <c r="AI76" s="886"/>
      <c r="AJ76" s="886"/>
      <c r="AK76" s="868">
        <f>U76-AJ76</f>
        <v>0</v>
      </c>
    </row>
    <row r="77" spans="1:37" s="857" customFormat="1" ht="35.25" customHeight="1" x14ac:dyDescent="0.15">
      <c r="A77" s="857">
        <v>27</v>
      </c>
      <c r="B77" s="857" t="str">
        <f t="shared" si="2"/>
        <v>JL. SEB. TELUK - SIBEROBAH</v>
      </c>
      <c r="D77" s="857" t="s">
        <v>3874</v>
      </c>
      <c r="E77" s="877" t="s">
        <v>4247</v>
      </c>
      <c r="F77" s="855"/>
      <c r="G77" s="878" t="s">
        <v>3034</v>
      </c>
      <c r="H77" s="879">
        <v>6777598368</v>
      </c>
      <c r="I77" s="880" t="s">
        <v>2494</v>
      </c>
      <c r="J77" s="880">
        <v>0</v>
      </c>
      <c r="K77" s="880">
        <v>0</v>
      </c>
      <c r="L77" s="881">
        <v>0</v>
      </c>
      <c r="M77" s="880">
        <v>0</v>
      </c>
      <c r="N77" s="881">
        <v>0</v>
      </c>
      <c r="O77" s="880" t="s">
        <v>3265</v>
      </c>
      <c r="P77" s="1126">
        <v>2017</v>
      </c>
      <c r="Q77" s="880">
        <v>0</v>
      </c>
      <c r="R77" s="880">
        <v>0</v>
      </c>
      <c r="S77" s="880">
        <v>0</v>
      </c>
      <c r="T77" s="880" t="s">
        <v>12</v>
      </c>
      <c r="U77" s="882"/>
      <c r="V77" s="880">
        <v>0</v>
      </c>
      <c r="W77" s="880">
        <v>0</v>
      </c>
      <c r="X77" s="969"/>
      <c r="Y77" s="883" t="str">
        <f t="shared" si="5"/>
        <v>04.13.01</v>
      </c>
      <c r="Z77" s="884" t="str">
        <f t="shared" ref="Z77:Z145" si="23">VLOOKUP(Y77,UE,3,FALSE)</f>
        <v>Jalan</v>
      </c>
      <c r="AA77" s="884">
        <f t="shared" ref="AA77:AA145" si="24">VLOOKUP(Y77,UE,4,FALSE)</f>
        <v>10</v>
      </c>
      <c r="AB77" s="868"/>
      <c r="AC77" s="885">
        <f t="shared" si="6"/>
        <v>0</v>
      </c>
      <c r="AD77" s="868"/>
      <c r="AE77" s="868"/>
      <c r="AF77" s="868"/>
      <c r="AG77" s="868"/>
      <c r="AH77" s="868"/>
      <c r="AI77" s="886"/>
      <c r="AJ77" s="886"/>
      <c r="AK77" s="868">
        <f t="shared" si="22"/>
        <v>0</v>
      </c>
    </row>
    <row r="78" spans="1:37" s="857" customFormat="1" ht="35.25" customHeight="1" x14ac:dyDescent="0.15">
      <c r="A78" s="857">
        <v>27</v>
      </c>
      <c r="B78" s="857" t="str">
        <f t="shared" si="2"/>
        <v>JL. SEB. TELUK - SIBEROBAH</v>
      </c>
      <c r="D78" s="857" t="s">
        <v>3875</v>
      </c>
      <c r="E78" s="877" t="s">
        <v>4247</v>
      </c>
      <c r="F78" s="855"/>
      <c r="G78" s="878" t="s">
        <v>3039</v>
      </c>
      <c r="H78" s="879">
        <v>246620000</v>
      </c>
      <c r="I78" s="880" t="s">
        <v>2494</v>
      </c>
      <c r="J78" s="880">
        <v>0</v>
      </c>
      <c r="K78" s="880">
        <v>0</v>
      </c>
      <c r="L78" s="881">
        <v>0</v>
      </c>
      <c r="M78" s="880">
        <v>0</v>
      </c>
      <c r="N78" s="881">
        <v>0</v>
      </c>
      <c r="O78" s="880" t="s">
        <v>3265</v>
      </c>
      <c r="P78" s="1126">
        <v>2017</v>
      </c>
      <c r="Q78" s="880">
        <v>0</v>
      </c>
      <c r="R78" s="880">
        <v>0</v>
      </c>
      <c r="S78" s="880">
        <v>0</v>
      </c>
      <c r="T78" s="880" t="s">
        <v>12</v>
      </c>
      <c r="U78" s="882"/>
      <c r="V78" s="880">
        <v>0</v>
      </c>
      <c r="W78" s="880">
        <v>0</v>
      </c>
      <c r="X78" s="969"/>
      <c r="Y78" s="883" t="str">
        <f t="shared" si="5"/>
        <v>04.13.01</v>
      </c>
      <c r="Z78" s="884" t="str">
        <f t="shared" si="23"/>
        <v>Jalan</v>
      </c>
      <c r="AA78" s="884">
        <f t="shared" si="24"/>
        <v>10</v>
      </c>
      <c r="AB78" s="868"/>
      <c r="AC78" s="885">
        <f t="shared" si="6"/>
        <v>0</v>
      </c>
      <c r="AD78" s="868"/>
      <c r="AE78" s="868"/>
      <c r="AF78" s="868"/>
      <c r="AG78" s="868"/>
      <c r="AH78" s="868"/>
      <c r="AI78" s="886"/>
      <c r="AJ78" s="886"/>
      <c r="AK78" s="868">
        <f t="shared" si="22"/>
        <v>0</v>
      </c>
    </row>
    <row r="79" spans="1:37" s="857" customFormat="1" ht="35.25" customHeight="1" x14ac:dyDescent="0.15">
      <c r="A79" s="857">
        <v>27</v>
      </c>
      <c r="B79" s="857" t="str">
        <f t="shared" si="2"/>
        <v>JL. SEB. TELUK - SIBEROBAH</v>
      </c>
      <c r="D79" s="857" t="s">
        <v>3876</v>
      </c>
      <c r="E79" s="877" t="s">
        <v>4247</v>
      </c>
      <c r="F79" s="855"/>
      <c r="G79" s="878" t="s">
        <v>3336</v>
      </c>
      <c r="H79" s="879">
        <v>6869993050</v>
      </c>
      <c r="I79" s="880" t="s">
        <v>2494</v>
      </c>
      <c r="J79" s="880">
        <v>0</v>
      </c>
      <c r="K79" s="880">
        <v>0</v>
      </c>
      <c r="L79" s="881">
        <v>0</v>
      </c>
      <c r="M79" s="880">
        <v>0</v>
      </c>
      <c r="N79" s="881">
        <v>0</v>
      </c>
      <c r="O79" s="880" t="s">
        <v>3265</v>
      </c>
      <c r="P79" s="1126">
        <v>2018</v>
      </c>
      <c r="Q79" s="880">
        <v>0</v>
      </c>
      <c r="R79" s="880">
        <v>0</v>
      </c>
      <c r="S79" s="880">
        <v>0</v>
      </c>
      <c r="T79" s="880" t="s">
        <v>12</v>
      </c>
      <c r="U79" s="882"/>
      <c r="V79" s="880">
        <v>0</v>
      </c>
      <c r="W79" s="880">
        <v>0</v>
      </c>
      <c r="X79" s="969"/>
      <c r="Y79" s="883" t="str">
        <f t="shared" si="5"/>
        <v>04.13.01</v>
      </c>
      <c r="Z79" s="884" t="str">
        <f t="shared" si="23"/>
        <v>Jalan</v>
      </c>
      <c r="AA79" s="884">
        <f t="shared" si="24"/>
        <v>10</v>
      </c>
      <c r="AB79" s="868"/>
      <c r="AC79" s="885">
        <f t="shared" si="6"/>
        <v>0</v>
      </c>
      <c r="AD79" s="868"/>
      <c r="AE79" s="868"/>
      <c r="AF79" s="868"/>
      <c r="AG79" s="868"/>
      <c r="AH79" s="868"/>
      <c r="AI79" s="886"/>
      <c r="AJ79" s="886"/>
      <c r="AK79" s="868">
        <f t="shared" si="22"/>
        <v>0</v>
      </c>
    </row>
    <row r="80" spans="1:37" s="998" customFormat="1" ht="35.25" customHeight="1" x14ac:dyDescent="0.15">
      <c r="A80" s="998">
        <v>28</v>
      </c>
      <c r="B80" s="998" t="str">
        <f t="shared" si="2"/>
        <v>PL. KOMANG SENTAJO - KOTO SENTAJO</v>
      </c>
      <c r="D80" s="998" t="s">
        <v>3877</v>
      </c>
      <c r="E80" s="999" t="s">
        <v>4247</v>
      </c>
      <c r="F80" s="1000"/>
      <c r="G80" s="1010" t="s">
        <v>1154</v>
      </c>
      <c r="H80" s="1011"/>
      <c r="I80" s="1001" t="s">
        <v>2494</v>
      </c>
      <c r="J80" s="1001">
        <v>0</v>
      </c>
      <c r="K80" s="1001" t="s">
        <v>519</v>
      </c>
      <c r="L80" s="1003">
        <v>6500</v>
      </c>
      <c r="M80" s="1001">
        <v>8</v>
      </c>
      <c r="N80" s="1003">
        <v>52000</v>
      </c>
      <c r="O80" s="1001" t="s">
        <v>3091</v>
      </c>
      <c r="P80" s="1168">
        <v>2007</v>
      </c>
      <c r="Q80" s="1001">
        <v>0</v>
      </c>
      <c r="R80" s="1001">
        <v>0</v>
      </c>
      <c r="S80" s="1001">
        <v>0</v>
      </c>
      <c r="T80" s="1001" t="s">
        <v>12</v>
      </c>
      <c r="U80" s="1002">
        <f>3995337645.17239+H81+H82+H83</f>
        <v>7693781453.4311686</v>
      </c>
      <c r="V80" s="1001" t="s">
        <v>43</v>
      </c>
      <c r="W80" s="1001">
        <v>0</v>
      </c>
      <c r="X80" s="1004"/>
      <c r="Y80" s="1005" t="str">
        <f t="shared" si="5"/>
        <v>04.13.01</v>
      </c>
      <c r="Z80" s="1006" t="str">
        <f t="shared" si="23"/>
        <v>Jalan</v>
      </c>
      <c r="AA80" s="1006">
        <f t="shared" si="24"/>
        <v>10</v>
      </c>
      <c r="AB80" s="1007"/>
      <c r="AC80" s="1008">
        <f t="shared" si="6"/>
        <v>6</v>
      </c>
      <c r="AD80" s="1007"/>
      <c r="AE80" s="1007"/>
      <c r="AF80" s="1007"/>
      <c r="AG80" s="1007"/>
      <c r="AH80" s="1007"/>
      <c r="AI80" s="1009">
        <f>PERHITUNGAN!U295</f>
        <v>419990118.64252394</v>
      </c>
      <c r="AJ80" s="1009">
        <f>PERHITUNGAN!U298</f>
        <v>6180038833.4403391</v>
      </c>
      <c r="AK80" s="1007">
        <f t="shared" si="22"/>
        <v>1513742619.9908295</v>
      </c>
    </row>
    <row r="81" spans="1:37" s="857" customFormat="1" ht="35.25" customHeight="1" x14ac:dyDescent="0.15">
      <c r="A81" s="857">
        <v>28</v>
      </c>
      <c r="B81" s="857" t="str">
        <f t="shared" si="2"/>
        <v>PL. KOMANG SENTAJO - KOTO SENTAJO</v>
      </c>
      <c r="D81" s="857" t="s">
        <v>3878</v>
      </c>
      <c r="E81" s="877" t="s">
        <v>4247</v>
      </c>
      <c r="F81" s="855"/>
      <c r="G81" s="878" t="s">
        <v>1181</v>
      </c>
      <c r="H81" s="879">
        <v>786272302.10877895</v>
      </c>
      <c r="I81" s="880" t="s">
        <v>2494</v>
      </c>
      <c r="J81" s="880">
        <v>0</v>
      </c>
      <c r="K81" s="880" t="s">
        <v>835</v>
      </c>
      <c r="L81" s="881">
        <v>3</v>
      </c>
      <c r="M81" s="880">
        <v>4</v>
      </c>
      <c r="N81" s="881">
        <v>12</v>
      </c>
      <c r="O81" s="880" t="s">
        <v>3091</v>
      </c>
      <c r="P81" s="1126">
        <v>2007</v>
      </c>
      <c r="Q81" s="880">
        <v>0</v>
      </c>
      <c r="R81" s="880">
        <v>0</v>
      </c>
      <c r="S81" s="880">
        <v>0</v>
      </c>
      <c r="T81" s="880" t="s">
        <v>12</v>
      </c>
      <c r="U81" s="882"/>
      <c r="V81" s="880" t="s">
        <v>43</v>
      </c>
      <c r="W81" s="880">
        <v>0</v>
      </c>
      <c r="X81" s="969"/>
      <c r="Y81" s="883" t="str">
        <f t="shared" si="5"/>
        <v>04.13.01</v>
      </c>
      <c r="Z81" s="884" t="str">
        <f t="shared" si="23"/>
        <v>Jalan</v>
      </c>
      <c r="AA81" s="884">
        <f t="shared" si="24"/>
        <v>10</v>
      </c>
      <c r="AB81" s="868"/>
      <c r="AC81" s="885">
        <f t="shared" si="6"/>
        <v>6</v>
      </c>
      <c r="AD81" s="868"/>
      <c r="AE81" s="868"/>
      <c r="AF81" s="868"/>
      <c r="AG81" s="868"/>
      <c r="AH81" s="868"/>
      <c r="AI81" s="886"/>
      <c r="AJ81" s="886"/>
      <c r="AK81" s="868">
        <f t="shared" si="22"/>
        <v>0</v>
      </c>
    </row>
    <row r="82" spans="1:37" s="857" customFormat="1" ht="35.25" customHeight="1" x14ac:dyDescent="0.15">
      <c r="A82" s="857">
        <v>28</v>
      </c>
      <c r="B82" s="857" t="str">
        <f t="shared" si="2"/>
        <v>PL. KOMANG SENTAJO - KOTO SENTAJO</v>
      </c>
      <c r="D82" s="857" t="s">
        <v>3879</v>
      </c>
      <c r="E82" s="877" t="s">
        <v>4247</v>
      </c>
      <c r="F82" s="855"/>
      <c r="G82" s="878" t="s">
        <v>1327</v>
      </c>
      <c r="H82" s="879">
        <v>1914115810</v>
      </c>
      <c r="I82" s="880" t="s">
        <v>2494</v>
      </c>
      <c r="J82" s="880">
        <v>0</v>
      </c>
      <c r="K82" s="880">
        <v>0</v>
      </c>
      <c r="L82" s="881">
        <v>0</v>
      </c>
      <c r="M82" s="880">
        <v>0</v>
      </c>
      <c r="N82" s="881">
        <v>0</v>
      </c>
      <c r="O82" s="880" t="s">
        <v>3091</v>
      </c>
      <c r="P82" s="1126">
        <v>2014</v>
      </c>
      <c r="Q82" s="880">
        <v>0</v>
      </c>
      <c r="R82" s="880">
        <v>0</v>
      </c>
      <c r="S82" s="880">
        <v>0</v>
      </c>
      <c r="T82" s="880">
        <v>0</v>
      </c>
      <c r="U82" s="882"/>
      <c r="V82" s="880">
        <v>0</v>
      </c>
      <c r="W82" s="880">
        <v>0</v>
      </c>
      <c r="X82" s="969"/>
      <c r="Y82" s="883" t="str">
        <f t="shared" si="5"/>
        <v>04.13.01</v>
      </c>
      <c r="Z82" s="884" t="str">
        <f t="shared" si="23"/>
        <v>Jalan</v>
      </c>
      <c r="AA82" s="884">
        <f t="shared" si="24"/>
        <v>10</v>
      </c>
      <c r="AB82" s="868"/>
      <c r="AC82" s="885">
        <f t="shared" si="6"/>
        <v>0</v>
      </c>
      <c r="AD82" s="868"/>
      <c r="AE82" s="868"/>
      <c r="AF82" s="868"/>
      <c r="AG82" s="868"/>
      <c r="AH82" s="868"/>
      <c r="AI82" s="886"/>
      <c r="AJ82" s="886"/>
      <c r="AK82" s="868">
        <f t="shared" si="22"/>
        <v>0</v>
      </c>
    </row>
    <row r="83" spans="1:37" s="857" customFormat="1" ht="35.25" customHeight="1" x14ac:dyDescent="0.15">
      <c r="A83" s="857">
        <v>28</v>
      </c>
      <c r="B83" s="857" t="str">
        <f t="shared" si="2"/>
        <v>PL. KOMANG SENTAJO - KOTO SENTAJO</v>
      </c>
      <c r="D83" s="857" t="s">
        <v>3880</v>
      </c>
      <c r="E83" s="877" t="s">
        <v>4247</v>
      </c>
      <c r="F83" s="855"/>
      <c r="G83" s="878" t="s">
        <v>1463</v>
      </c>
      <c r="H83" s="879">
        <v>998055696.14999998</v>
      </c>
      <c r="I83" s="880" t="s">
        <v>2494</v>
      </c>
      <c r="J83" s="880">
        <v>0</v>
      </c>
      <c r="K83" s="880">
        <v>0</v>
      </c>
      <c r="L83" s="881">
        <v>0</v>
      </c>
      <c r="M83" s="880">
        <v>0</v>
      </c>
      <c r="N83" s="881">
        <v>0</v>
      </c>
      <c r="O83" s="880" t="s">
        <v>3091</v>
      </c>
      <c r="P83" s="1126">
        <v>2016</v>
      </c>
      <c r="Q83" s="880">
        <v>0</v>
      </c>
      <c r="R83" s="880">
        <v>0</v>
      </c>
      <c r="S83" s="880">
        <v>0</v>
      </c>
      <c r="T83" s="880" t="s">
        <v>12</v>
      </c>
      <c r="U83" s="882"/>
      <c r="V83" s="880">
        <v>0</v>
      </c>
      <c r="W83" s="880">
        <v>0</v>
      </c>
      <c r="X83" s="969"/>
      <c r="Y83" s="883" t="str">
        <f t="shared" si="5"/>
        <v>04.13.01</v>
      </c>
      <c r="Z83" s="884" t="str">
        <f t="shared" si="23"/>
        <v>Jalan</v>
      </c>
      <c r="AA83" s="884">
        <f t="shared" si="24"/>
        <v>10</v>
      </c>
      <c r="AB83" s="868"/>
      <c r="AC83" s="885">
        <f t="shared" si="6"/>
        <v>0</v>
      </c>
      <c r="AD83" s="868"/>
      <c r="AE83" s="868"/>
      <c r="AF83" s="868"/>
      <c r="AG83" s="868"/>
      <c r="AH83" s="868"/>
      <c r="AI83" s="886"/>
      <c r="AJ83" s="886"/>
      <c r="AK83" s="868">
        <f t="shared" si="22"/>
        <v>0</v>
      </c>
    </row>
    <row r="84" spans="1:37" s="857" customFormat="1" ht="35.25" customHeight="1" x14ac:dyDescent="0.2">
      <c r="A84" s="857">
        <v>29</v>
      </c>
      <c r="B84" s="857" t="str">
        <f t="shared" si="2"/>
        <v>JL. STM (BELIBIS)</v>
      </c>
      <c r="D84" s="857" t="s">
        <v>3881</v>
      </c>
      <c r="E84" s="884" t="str">
        <f>RIGHT(D84,1)</f>
        <v>1</v>
      </c>
      <c r="F84" s="855"/>
      <c r="G84" s="878" t="s">
        <v>529</v>
      </c>
      <c r="H84" s="879"/>
      <c r="I84" s="880" t="s">
        <v>2494</v>
      </c>
      <c r="J84" s="880">
        <v>0</v>
      </c>
      <c r="K84" s="880" t="s">
        <v>479</v>
      </c>
      <c r="L84" s="881">
        <v>2500</v>
      </c>
      <c r="M84" s="880">
        <v>8</v>
      </c>
      <c r="N84" s="881">
        <v>20000</v>
      </c>
      <c r="O84" s="880" t="s">
        <v>601</v>
      </c>
      <c r="P84" s="1126">
        <v>2001</v>
      </c>
      <c r="Q84" s="880">
        <v>0</v>
      </c>
      <c r="R84" s="880">
        <v>0</v>
      </c>
      <c r="S84" s="880" t="s">
        <v>482</v>
      </c>
      <c r="T84" s="880" t="s">
        <v>12</v>
      </c>
      <c r="U84" s="882">
        <f>2275000000+H85</f>
        <v>4675192423</v>
      </c>
      <c r="V84" s="880" t="s">
        <v>43</v>
      </c>
      <c r="W84" s="880">
        <v>0</v>
      </c>
      <c r="X84" s="969"/>
      <c r="Y84" s="884" t="str">
        <f t="shared" ref="Y84:Y152" si="25">LEFT(I84,8)</f>
        <v>04.13.01</v>
      </c>
      <c r="Z84" s="884" t="str">
        <f t="shared" si="23"/>
        <v>Jalan</v>
      </c>
      <c r="AA84" s="884">
        <f t="shared" si="24"/>
        <v>10</v>
      </c>
      <c r="AB84" s="868"/>
      <c r="AC84" s="885"/>
      <c r="AD84" s="868"/>
      <c r="AE84" s="868"/>
      <c r="AF84" s="868"/>
      <c r="AG84" s="868"/>
      <c r="AH84" s="868"/>
      <c r="AI84" s="886">
        <f>PERHITUNGAN!R317</f>
        <v>274505131.01229793</v>
      </c>
      <c r="AJ84" s="886">
        <f>PERHITUNGAN!U320</f>
        <v>4069956072.54111</v>
      </c>
      <c r="AK84" s="868">
        <f t="shared" si="22"/>
        <v>605236350.45888996</v>
      </c>
    </row>
    <row r="85" spans="1:37" s="857" customFormat="1" ht="35.25" customHeight="1" x14ac:dyDescent="0.2">
      <c r="A85" s="857">
        <v>29</v>
      </c>
      <c r="B85" s="857" t="str">
        <f>VLOOKUP(A85,RUAS,2,FALSE)</f>
        <v>JL. STM (BELIBIS)</v>
      </c>
      <c r="E85" s="884" t="str">
        <f>RIGHT(D85,1)</f>
        <v/>
      </c>
      <c r="F85" s="890"/>
      <c r="G85" s="915" t="s">
        <v>1444</v>
      </c>
      <c r="H85" s="915">
        <v>2400192423</v>
      </c>
      <c r="I85" s="907" t="s">
        <v>2494</v>
      </c>
      <c r="J85" s="903"/>
      <c r="K85" s="862"/>
      <c r="L85" s="908"/>
      <c r="M85" s="862"/>
      <c r="N85" s="909"/>
      <c r="O85" s="861" t="s">
        <v>3258</v>
      </c>
      <c r="P85" s="903">
        <v>2016</v>
      </c>
      <c r="Q85" s="862"/>
      <c r="R85" s="862"/>
      <c r="S85" s="862"/>
      <c r="T85" s="903" t="s">
        <v>12</v>
      </c>
      <c r="U85" s="910"/>
      <c r="V85" s="905"/>
      <c r="W85" s="906"/>
      <c r="X85" s="970"/>
      <c r="Y85" s="884" t="str">
        <f>LEFT(I85,8)</f>
        <v>04.13.01</v>
      </c>
      <c r="Z85" s="884" t="str">
        <f>VLOOKUP(Y85,UE,3,FALSE)</f>
        <v>Jalan</v>
      </c>
      <c r="AA85" s="884">
        <f>VLOOKUP(Y85,UE,4,FALSE)</f>
        <v>10</v>
      </c>
      <c r="AB85" s="868"/>
      <c r="AC85" s="885"/>
      <c r="AD85" s="868"/>
      <c r="AE85" s="868"/>
      <c r="AF85" s="868"/>
      <c r="AG85" s="868"/>
      <c r="AH85" s="868"/>
      <c r="AI85" s="886"/>
      <c r="AJ85" s="886"/>
      <c r="AK85" s="868">
        <f>U85-AJ85</f>
        <v>0</v>
      </c>
    </row>
    <row r="86" spans="1:37" s="857" customFormat="1" ht="35.25" customHeight="1" x14ac:dyDescent="0.2">
      <c r="A86" s="857">
        <v>30</v>
      </c>
      <c r="B86" s="857" t="str">
        <f t="shared" si="2"/>
        <v>JL. PULAU KOMANG - PENYEBERANGAN KOPAH</v>
      </c>
      <c r="D86" s="857" t="s">
        <v>3882</v>
      </c>
      <c r="E86" s="884" t="str">
        <f t="shared" ref="E86:E148" si="26">RIGHT(D86,1)</f>
        <v>1</v>
      </c>
      <c r="F86" s="855"/>
      <c r="G86" s="878" t="s">
        <v>529</v>
      </c>
      <c r="H86" s="879"/>
      <c r="I86" s="880" t="s">
        <v>2494</v>
      </c>
      <c r="J86" s="880">
        <v>0</v>
      </c>
      <c r="K86" s="880">
        <v>0</v>
      </c>
      <c r="L86" s="881">
        <v>2000</v>
      </c>
      <c r="M86" s="880">
        <v>7</v>
      </c>
      <c r="N86" s="881">
        <v>14000</v>
      </c>
      <c r="O86" s="880" t="s">
        <v>597</v>
      </c>
      <c r="P86" s="1126">
        <v>2001</v>
      </c>
      <c r="Q86" s="880">
        <v>0</v>
      </c>
      <c r="R86" s="880">
        <v>0</v>
      </c>
      <c r="S86" s="880" t="s">
        <v>482</v>
      </c>
      <c r="T86" s="880" t="s">
        <v>12</v>
      </c>
      <c r="U86" s="882">
        <v>1650550765</v>
      </c>
      <c r="V86" s="880" t="s">
        <v>43</v>
      </c>
      <c r="W86" s="880">
        <v>0</v>
      </c>
      <c r="X86" s="969"/>
      <c r="Y86" s="884" t="str">
        <f t="shared" si="25"/>
        <v>04.13.01</v>
      </c>
      <c r="Z86" s="884" t="str">
        <f t="shared" si="23"/>
        <v>Jalan</v>
      </c>
      <c r="AA86" s="884">
        <f t="shared" si="24"/>
        <v>10</v>
      </c>
      <c r="AB86" s="868">
        <f t="shared" ref="AB86:AB109" si="27">U86/AA86</f>
        <v>165055076.5</v>
      </c>
      <c r="AC86" s="885">
        <f t="shared" ref="AC86:AC109" si="28">IF(2013-P86+1&gt;AA86,AA86,IF(2013-P86+1&lt;0,0,2013-P86+1))</f>
        <v>10</v>
      </c>
      <c r="AD86" s="868">
        <f t="shared" ref="AD86:AD109" si="29">IF(AC86&gt;AA86,U86,AB86*AC86)</f>
        <v>1650550765</v>
      </c>
      <c r="AE86" s="868">
        <f t="shared" ref="AE86:AE109" si="30">IF(U86=AD86,0,AB86)</f>
        <v>0</v>
      </c>
      <c r="AF86" s="868">
        <f t="shared" ref="AF86:AF109" si="31">IF(U86=AD86+AE86,0,AB86)</f>
        <v>0</v>
      </c>
      <c r="AG86" s="868">
        <f t="shared" ref="AG86:AG109" si="32">IF(U86=AD86+AE86+AF86,0,AB86)</f>
        <v>0</v>
      </c>
      <c r="AH86" s="868">
        <f t="shared" ref="AH86:AH109" si="33">IF(U86=AE86+AF86+AG86+AD86,0,AB86)</f>
        <v>0</v>
      </c>
      <c r="AI86" s="886">
        <f t="shared" ref="AI86:AI109" si="34">IF(U86=AE86+AF86+AG86+AD86+AH86,0,AB86)</f>
        <v>0</v>
      </c>
      <c r="AJ86" s="886">
        <f t="shared" ref="AJ86:AJ109" si="35">SUM(AD86:AI86)</f>
        <v>1650550765</v>
      </c>
      <c r="AK86" s="868">
        <f t="shared" si="22"/>
        <v>0</v>
      </c>
    </row>
    <row r="87" spans="1:37" s="857" customFormat="1" ht="35.25" customHeight="1" x14ac:dyDescent="0.2">
      <c r="A87" s="857">
        <v>31</v>
      </c>
      <c r="B87" s="857" t="str">
        <f t="shared" si="2"/>
        <v>JAO - BATANG KUANTAN</v>
      </c>
      <c r="D87" s="857" t="s">
        <v>3883</v>
      </c>
      <c r="E87" s="884" t="str">
        <f t="shared" si="26"/>
        <v>1</v>
      </c>
      <c r="F87" s="855"/>
      <c r="G87" s="878" t="s">
        <v>529</v>
      </c>
      <c r="H87" s="879"/>
      <c r="I87" s="880" t="s">
        <v>2494</v>
      </c>
      <c r="J87" s="880">
        <v>0</v>
      </c>
      <c r="K87" s="880" t="s">
        <v>479</v>
      </c>
      <c r="L87" s="881">
        <v>1000</v>
      </c>
      <c r="M87" s="880">
        <v>7</v>
      </c>
      <c r="N87" s="881">
        <v>7000</v>
      </c>
      <c r="O87" s="880" t="s">
        <v>599</v>
      </c>
      <c r="P87" s="1126">
        <v>2001</v>
      </c>
      <c r="Q87" s="880">
        <v>0</v>
      </c>
      <c r="R87" s="880">
        <v>0</v>
      </c>
      <c r="S87" s="880" t="s">
        <v>482</v>
      </c>
      <c r="T87" s="880" t="s">
        <v>12</v>
      </c>
      <c r="U87" s="882">
        <v>630000000</v>
      </c>
      <c r="V87" s="880" t="s">
        <v>43</v>
      </c>
      <c r="W87" s="880">
        <v>0</v>
      </c>
      <c r="X87" s="969"/>
      <c r="Y87" s="884" t="str">
        <f t="shared" si="25"/>
        <v>04.13.01</v>
      </c>
      <c r="Z87" s="884" t="str">
        <f t="shared" si="23"/>
        <v>Jalan</v>
      </c>
      <c r="AA87" s="884">
        <f t="shared" si="24"/>
        <v>10</v>
      </c>
      <c r="AB87" s="868">
        <f t="shared" si="27"/>
        <v>63000000</v>
      </c>
      <c r="AC87" s="885">
        <f t="shared" si="28"/>
        <v>10</v>
      </c>
      <c r="AD87" s="868">
        <f t="shared" si="29"/>
        <v>630000000</v>
      </c>
      <c r="AE87" s="868">
        <f t="shared" si="30"/>
        <v>0</v>
      </c>
      <c r="AF87" s="868">
        <f t="shared" si="31"/>
        <v>0</v>
      </c>
      <c r="AG87" s="868">
        <f t="shared" si="32"/>
        <v>0</v>
      </c>
      <c r="AH87" s="868">
        <f t="shared" si="33"/>
        <v>0</v>
      </c>
      <c r="AI87" s="886">
        <f t="shared" si="34"/>
        <v>0</v>
      </c>
      <c r="AJ87" s="886">
        <f t="shared" si="35"/>
        <v>630000000</v>
      </c>
      <c r="AK87" s="868">
        <f t="shared" si="22"/>
        <v>0</v>
      </c>
    </row>
    <row r="88" spans="1:37" s="857" customFormat="1" ht="35.25" customHeight="1" x14ac:dyDescent="0.2">
      <c r="A88" s="857">
        <v>32</v>
      </c>
      <c r="B88" s="857" t="str">
        <f>VLOOKUP(A88,RUAS,2,FALSE)</f>
        <v>JL. SUDIRMAN - JP. KM. 164 + 500</v>
      </c>
      <c r="E88" s="884" t="str">
        <f>RIGHT(D88,1)</f>
        <v/>
      </c>
      <c r="F88" s="855"/>
      <c r="G88" s="878" t="s">
        <v>529</v>
      </c>
      <c r="H88" s="879"/>
      <c r="I88" s="880" t="s">
        <v>2494</v>
      </c>
      <c r="J88" s="880"/>
      <c r="K88" s="880" t="s">
        <v>479</v>
      </c>
      <c r="L88" s="881" t="s">
        <v>653</v>
      </c>
      <c r="M88" s="880"/>
      <c r="N88" s="881"/>
      <c r="O88" s="880" t="s">
        <v>654</v>
      </c>
      <c r="P88" s="1126">
        <v>2001</v>
      </c>
      <c r="Q88" s="880"/>
      <c r="R88" s="880"/>
      <c r="S88" s="880" t="s">
        <v>482</v>
      </c>
      <c r="T88" s="880" t="s">
        <v>655</v>
      </c>
      <c r="U88" s="882">
        <v>56840000000</v>
      </c>
      <c r="V88" s="880" t="s">
        <v>43</v>
      </c>
      <c r="W88" s="880"/>
      <c r="X88" s="969"/>
      <c r="Y88" s="884" t="str">
        <f>LEFT(I88,8)</f>
        <v>04.13.01</v>
      </c>
      <c r="Z88" s="884" t="str">
        <f>VLOOKUP(Y88,UE,3,FALSE)</f>
        <v>Jalan</v>
      </c>
      <c r="AA88" s="884">
        <f>VLOOKUP(Y88,UE,4,FALSE)</f>
        <v>10</v>
      </c>
      <c r="AB88" s="868">
        <f>U88/AA88</f>
        <v>5684000000</v>
      </c>
      <c r="AC88" s="885">
        <f>IF(2013-P88+1&gt;AA88,AA88,IF(2013-P88+1&lt;0,0,2013-P88+1))</f>
        <v>10</v>
      </c>
      <c r="AD88" s="868">
        <f>IF(AC88&gt;AA88,U88,AB88*AC88)</f>
        <v>56840000000</v>
      </c>
      <c r="AE88" s="868">
        <f>IF(U88=AD88,0,AB88)</f>
        <v>0</v>
      </c>
      <c r="AF88" s="868">
        <f>IF(U88=AD88+AE88,0,AB88)</f>
        <v>0</v>
      </c>
      <c r="AG88" s="868">
        <f>IF(U88=AD88+AE88+AF88,0,AB88)</f>
        <v>0</v>
      </c>
      <c r="AH88" s="868">
        <f>IF(U88=AE88+AF88+AG88+AD88,0,AB88)</f>
        <v>0</v>
      </c>
      <c r="AI88" s="886">
        <f>IF(U88=AE88+AF88+AG88+AD88+AH88,0,AB88)</f>
        <v>0</v>
      </c>
      <c r="AJ88" s="886">
        <f>SUM(AD88:AI88)</f>
        <v>56840000000</v>
      </c>
      <c r="AK88" s="868">
        <f>U88-AJ88</f>
        <v>0</v>
      </c>
    </row>
    <row r="89" spans="1:37" s="857" customFormat="1" ht="35.25" customHeight="1" x14ac:dyDescent="0.2">
      <c r="A89" s="857">
        <v>32</v>
      </c>
      <c r="B89" s="857" t="str">
        <f>VLOOKUP(A89,RUAS,2,FALSE)</f>
        <v>JL. SUDIRMAN - JP. KM. 164 + 500</v>
      </c>
      <c r="D89" s="857" t="s">
        <v>4089</v>
      </c>
      <c r="E89" s="884" t="str">
        <f>RIGHT(D89,1)</f>
        <v>1</v>
      </c>
      <c r="F89" s="855"/>
      <c r="G89" s="878" t="s">
        <v>529</v>
      </c>
      <c r="H89" s="879"/>
      <c r="I89" s="880" t="s">
        <v>2494</v>
      </c>
      <c r="J89" s="880">
        <v>0</v>
      </c>
      <c r="K89" s="880" t="s">
        <v>479</v>
      </c>
      <c r="L89" s="881" t="s">
        <v>593</v>
      </c>
      <c r="M89" s="880">
        <v>10</v>
      </c>
      <c r="N89" s="881">
        <v>8510</v>
      </c>
      <c r="O89" s="880" t="s">
        <v>594</v>
      </c>
      <c r="P89" s="1126">
        <v>2001</v>
      </c>
      <c r="Q89" s="880">
        <v>0</v>
      </c>
      <c r="R89" s="880">
        <v>0</v>
      </c>
      <c r="S89" s="880" t="s">
        <v>482</v>
      </c>
      <c r="T89" s="880" t="s">
        <v>12</v>
      </c>
      <c r="U89" s="882">
        <v>1742422500</v>
      </c>
      <c r="V89" s="880" t="s">
        <v>43</v>
      </c>
      <c r="W89" s="880">
        <v>0</v>
      </c>
      <c r="X89" s="969"/>
      <c r="Y89" s="884" t="str">
        <f>LEFT(I89,8)</f>
        <v>04.13.01</v>
      </c>
      <c r="Z89" s="884" t="str">
        <f>VLOOKUP(Y89,UE,3,FALSE)</f>
        <v>Jalan</v>
      </c>
      <c r="AA89" s="884">
        <f>VLOOKUP(Y89,UE,4,FALSE)</f>
        <v>10</v>
      </c>
      <c r="AB89" s="868">
        <f>U89/AA89</f>
        <v>174242250</v>
      </c>
      <c r="AC89" s="885">
        <f>IF(2013-P89+1&gt;AA89,AA89,IF(2013-P89+1&lt;0,0,2013-P89+1))</f>
        <v>10</v>
      </c>
      <c r="AD89" s="868">
        <f>IF(AC89&gt;AA89,U89,AB89*AC89)</f>
        <v>1742422500</v>
      </c>
      <c r="AE89" s="868">
        <f>IF(U89=AD89,0,AB89)</f>
        <v>0</v>
      </c>
      <c r="AF89" s="868">
        <f>IF(U89=AD89+AE89,0,AB89)</f>
        <v>0</v>
      </c>
      <c r="AG89" s="868">
        <f>IF(U89=AD89+AE89+AF89,0,AB89)</f>
        <v>0</v>
      </c>
      <c r="AH89" s="868">
        <f>IF(U89=AE89+AF89+AG89+AD89,0,AB89)</f>
        <v>0</v>
      </c>
      <c r="AI89" s="886">
        <f>IF(U89=AE89+AF89+AG89+AD89+AH89,0,AB89)</f>
        <v>0</v>
      </c>
      <c r="AJ89" s="886">
        <f>SUM(AD89:AI89)</f>
        <v>1742422500</v>
      </c>
      <c r="AK89" s="868">
        <f>U89-AJ89</f>
        <v>0</v>
      </c>
    </row>
    <row r="90" spans="1:37" s="857" customFormat="1" ht="35.25" customHeight="1" x14ac:dyDescent="0.2">
      <c r="A90" s="857">
        <v>33</v>
      </c>
      <c r="B90" s="857" t="str">
        <f t="shared" si="2"/>
        <v>JL. KESEHATAN - MESJID</v>
      </c>
      <c r="D90" s="857" t="s">
        <v>3884</v>
      </c>
      <c r="E90" s="884" t="str">
        <f t="shared" si="26"/>
        <v>1</v>
      </c>
      <c r="F90" s="855"/>
      <c r="G90" s="878" t="s">
        <v>529</v>
      </c>
      <c r="H90" s="879"/>
      <c r="I90" s="880" t="s">
        <v>2494</v>
      </c>
      <c r="J90" s="880">
        <v>0</v>
      </c>
      <c r="K90" s="880" t="s">
        <v>479</v>
      </c>
      <c r="L90" s="881" t="s">
        <v>591</v>
      </c>
      <c r="M90" s="880">
        <v>8</v>
      </c>
      <c r="N90" s="881">
        <v>2232</v>
      </c>
      <c r="O90" s="880" t="s">
        <v>592</v>
      </c>
      <c r="P90" s="1126">
        <v>2001</v>
      </c>
      <c r="Q90" s="880">
        <v>0</v>
      </c>
      <c r="R90" s="880">
        <v>0</v>
      </c>
      <c r="S90" s="880" t="s">
        <v>482</v>
      </c>
      <c r="T90" s="880" t="s">
        <v>12</v>
      </c>
      <c r="U90" s="882">
        <v>317362500</v>
      </c>
      <c r="V90" s="880" t="s">
        <v>43</v>
      </c>
      <c r="W90" s="880">
        <v>0</v>
      </c>
      <c r="X90" s="969"/>
      <c r="Y90" s="884" t="str">
        <f t="shared" si="25"/>
        <v>04.13.01</v>
      </c>
      <c r="Z90" s="884" t="str">
        <f t="shared" si="23"/>
        <v>Jalan</v>
      </c>
      <c r="AA90" s="884">
        <f t="shared" si="24"/>
        <v>10</v>
      </c>
      <c r="AB90" s="868">
        <f t="shared" si="27"/>
        <v>31736250</v>
      </c>
      <c r="AC90" s="885">
        <f t="shared" si="28"/>
        <v>10</v>
      </c>
      <c r="AD90" s="868">
        <f t="shared" si="29"/>
        <v>317362500</v>
      </c>
      <c r="AE90" s="868">
        <f t="shared" si="30"/>
        <v>0</v>
      </c>
      <c r="AF90" s="868">
        <f t="shared" si="31"/>
        <v>0</v>
      </c>
      <c r="AG90" s="868">
        <f t="shared" si="32"/>
        <v>0</v>
      </c>
      <c r="AH90" s="868">
        <f t="shared" si="33"/>
        <v>0</v>
      </c>
      <c r="AI90" s="886">
        <f t="shared" si="34"/>
        <v>0</v>
      </c>
      <c r="AJ90" s="886">
        <f t="shared" si="35"/>
        <v>317362500</v>
      </c>
      <c r="AK90" s="868">
        <f t="shared" si="22"/>
        <v>0</v>
      </c>
    </row>
    <row r="91" spans="1:37" s="857" customFormat="1" ht="35.25" customHeight="1" x14ac:dyDescent="0.2">
      <c r="A91" s="857">
        <v>34</v>
      </c>
      <c r="B91" s="857" t="str">
        <f t="shared" si="2"/>
        <v>JL. TUGU BARAT - JL. SUDIRMAN</v>
      </c>
      <c r="D91" s="857" t="s">
        <v>3885</v>
      </c>
      <c r="E91" s="884" t="str">
        <f t="shared" si="26"/>
        <v>1</v>
      </c>
      <c r="F91" s="855"/>
      <c r="G91" s="878" t="s">
        <v>529</v>
      </c>
      <c r="H91" s="879"/>
      <c r="I91" s="880" t="s">
        <v>2494</v>
      </c>
      <c r="J91" s="880">
        <v>0</v>
      </c>
      <c r="K91" s="880" t="s">
        <v>479</v>
      </c>
      <c r="L91" s="881" t="s">
        <v>595</v>
      </c>
      <c r="M91" s="880">
        <v>8</v>
      </c>
      <c r="N91" s="881">
        <v>1520</v>
      </c>
      <c r="O91" s="880" t="s">
        <v>596</v>
      </c>
      <c r="P91" s="1126">
        <v>2001</v>
      </c>
      <c r="Q91" s="880">
        <v>0</v>
      </c>
      <c r="R91" s="880">
        <v>0</v>
      </c>
      <c r="S91" s="880" t="s">
        <v>482</v>
      </c>
      <c r="T91" s="880" t="s">
        <v>12</v>
      </c>
      <c r="U91" s="882">
        <v>216125000</v>
      </c>
      <c r="V91" s="880" t="s">
        <v>43</v>
      </c>
      <c r="W91" s="880">
        <v>0</v>
      </c>
      <c r="X91" s="969"/>
      <c r="Y91" s="884" t="str">
        <f t="shared" si="25"/>
        <v>04.13.01</v>
      </c>
      <c r="Z91" s="884" t="str">
        <f t="shared" si="23"/>
        <v>Jalan</v>
      </c>
      <c r="AA91" s="884">
        <f t="shared" si="24"/>
        <v>10</v>
      </c>
      <c r="AB91" s="868">
        <f t="shared" si="27"/>
        <v>21612500</v>
      </c>
      <c r="AC91" s="885">
        <f t="shared" si="28"/>
        <v>10</v>
      </c>
      <c r="AD91" s="868">
        <f t="shared" si="29"/>
        <v>216125000</v>
      </c>
      <c r="AE91" s="868">
        <f t="shared" si="30"/>
        <v>0</v>
      </c>
      <c r="AF91" s="868">
        <f t="shared" si="31"/>
        <v>0</v>
      </c>
      <c r="AG91" s="868">
        <f t="shared" si="32"/>
        <v>0</v>
      </c>
      <c r="AH91" s="868">
        <f t="shared" si="33"/>
        <v>0</v>
      </c>
      <c r="AI91" s="886">
        <f t="shared" si="34"/>
        <v>0</v>
      </c>
      <c r="AJ91" s="886">
        <f t="shared" si="35"/>
        <v>216125000</v>
      </c>
      <c r="AK91" s="868">
        <f t="shared" si="22"/>
        <v>0</v>
      </c>
    </row>
    <row r="92" spans="1:37" s="857" customFormat="1" ht="35.25" customHeight="1" x14ac:dyDescent="0.2">
      <c r="A92" s="857">
        <v>35</v>
      </c>
      <c r="B92" s="857" t="str">
        <f t="shared" si="2"/>
        <v>JL. TUGU TIMUR - JL. SUDIRMAN</v>
      </c>
      <c r="D92" s="857" t="s">
        <v>3886</v>
      </c>
      <c r="E92" s="884" t="s">
        <v>4776</v>
      </c>
      <c r="F92" s="855"/>
      <c r="G92" s="878" t="s">
        <v>529</v>
      </c>
      <c r="H92" s="879"/>
      <c r="I92" s="880" t="s">
        <v>2494</v>
      </c>
      <c r="J92" s="880">
        <v>0</v>
      </c>
      <c r="K92" s="880" t="s">
        <v>479</v>
      </c>
      <c r="L92" s="881" t="s">
        <v>588</v>
      </c>
      <c r="M92" s="880">
        <v>8</v>
      </c>
      <c r="N92" s="881">
        <v>1024</v>
      </c>
      <c r="O92" s="880" t="s">
        <v>589</v>
      </c>
      <c r="P92" s="1126">
        <v>2001</v>
      </c>
      <c r="Q92" s="880">
        <v>0</v>
      </c>
      <c r="R92" s="880">
        <v>0</v>
      </c>
      <c r="S92" s="880" t="s">
        <v>482</v>
      </c>
      <c r="T92" s="880" t="s">
        <v>12</v>
      </c>
      <c r="U92" s="882">
        <f>145600000</f>
        <v>145600000</v>
      </c>
      <c r="V92" s="880" t="s">
        <v>43</v>
      </c>
      <c r="W92" s="880" t="s">
        <v>5051</v>
      </c>
      <c r="X92" s="969"/>
      <c r="Y92" s="884" t="str">
        <f t="shared" si="25"/>
        <v>04.13.01</v>
      </c>
      <c r="Z92" s="884" t="str">
        <f t="shared" si="23"/>
        <v>Jalan</v>
      </c>
      <c r="AA92" s="884">
        <f t="shared" si="24"/>
        <v>10</v>
      </c>
      <c r="AB92" s="868">
        <f t="shared" si="27"/>
        <v>14560000</v>
      </c>
      <c r="AC92" s="885">
        <f t="shared" si="28"/>
        <v>10</v>
      </c>
      <c r="AD92" s="868">
        <f t="shared" si="29"/>
        <v>145600000</v>
      </c>
      <c r="AE92" s="868">
        <f t="shared" si="30"/>
        <v>0</v>
      </c>
      <c r="AF92" s="868">
        <f t="shared" si="31"/>
        <v>0</v>
      </c>
      <c r="AG92" s="868">
        <f t="shared" si="32"/>
        <v>0</v>
      </c>
      <c r="AH92" s="868">
        <f t="shared" si="33"/>
        <v>0</v>
      </c>
      <c r="AI92" s="886">
        <f t="shared" si="34"/>
        <v>0</v>
      </c>
      <c r="AJ92" s="886">
        <f t="shared" si="35"/>
        <v>145600000</v>
      </c>
      <c r="AK92" s="868">
        <f t="shared" si="22"/>
        <v>0</v>
      </c>
    </row>
    <row r="93" spans="1:37" s="857" customFormat="1" ht="35.25" customHeight="1" x14ac:dyDescent="0.2">
      <c r="A93" s="857">
        <v>36</v>
      </c>
      <c r="B93" s="857" t="str">
        <f t="shared" si="2"/>
        <v>JL. LINGKAR JATI 1 - JL. SUDIRMAN</v>
      </c>
      <c r="D93" s="857" t="s">
        <v>3888</v>
      </c>
      <c r="E93" s="884" t="str">
        <f t="shared" si="26"/>
        <v>1</v>
      </c>
      <c r="F93" s="855"/>
      <c r="G93" s="878" t="s">
        <v>529</v>
      </c>
      <c r="H93" s="879"/>
      <c r="I93" s="880" t="s">
        <v>2494</v>
      </c>
      <c r="J93" s="880">
        <v>0</v>
      </c>
      <c r="K93" s="880" t="s">
        <v>479</v>
      </c>
      <c r="L93" s="881" t="s">
        <v>588</v>
      </c>
      <c r="M93" s="880">
        <v>8</v>
      </c>
      <c r="N93" s="881">
        <v>1024</v>
      </c>
      <c r="O93" s="880" t="s">
        <v>590</v>
      </c>
      <c r="P93" s="1126">
        <v>2001</v>
      </c>
      <c r="Q93" s="880">
        <v>0</v>
      </c>
      <c r="R93" s="880">
        <v>0</v>
      </c>
      <c r="S93" s="880" t="s">
        <v>482</v>
      </c>
      <c r="T93" s="880" t="s">
        <v>12</v>
      </c>
      <c r="U93" s="882">
        <v>174720000</v>
      </c>
      <c r="V93" s="880" t="s">
        <v>43</v>
      </c>
      <c r="W93" s="880">
        <v>0</v>
      </c>
      <c r="X93" s="969"/>
      <c r="Y93" s="884" t="str">
        <f t="shared" si="25"/>
        <v>04.13.01</v>
      </c>
      <c r="Z93" s="884" t="str">
        <f t="shared" si="23"/>
        <v>Jalan</v>
      </c>
      <c r="AA93" s="884">
        <f t="shared" si="24"/>
        <v>10</v>
      </c>
      <c r="AB93" s="868">
        <f t="shared" si="27"/>
        <v>17472000</v>
      </c>
      <c r="AC93" s="885">
        <f t="shared" si="28"/>
        <v>10</v>
      </c>
      <c r="AD93" s="868">
        <f t="shared" si="29"/>
        <v>174720000</v>
      </c>
      <c r="AE93" s="868">
        <f t="shared" si="30"/>
        <v>0</v>
      </c>
      <c r="AF93" s="868">
        <f t="shared" si="31"/>
        <v>0</v>
      </c>
      <c r="AG93" s="868">
        <f t="shared" si="32"/>
        <v>0</v>
      </c>
      <c r="AH93" s="868">
        <f t="shared" si="33"/>
        <v>0</v>
      </c>
      <c r="AI93" s="886">
        <f t="shared" si="34"/>
        <v>0</v>
      </c>
      <c r="AJ93" s="886">
        <f t="shared" si="35"/>
        <v>174720000</v>
      </c>
      <c r="AK93" s="868">
        <f t="shared" si="22"/>
        <v>0</v>
      </c>
    </row>
    <row r="94" spans="1:37" s="857" customFormat="1" ht="35.25" customHeight="1" x14ac:dyDescent="0.2">
      <c r="A94" s="857">
        <v>37</v>
      </c>
      <c r="B94" s="857" t="str">
        <f t="shared" si="2"/>
        <v>JL. LINGKAR JATI 2 - JL. SUDIRMAN</v>
      </c>
      <c r="D94" s="857" t="s">
        <v>3889</v>
      </c>
      <c r="E94" s="884" t="str">
        <f t="shared" si="26"/>
        <v>1</v>
      </c>
      <c r="F94" s="855"/>
      <c r="G94" s="878" t="s">
        <v>529</v>
      </c>
      <c r="H94" s="879"/>
      <c r="I94" s="880" t="s">
        <v>2494</v>
      </c>
      <c r="J94" s="880">
        <v>0</v>
      </c>
      <c r="K94" s="880" t="s">
        <v>479</v>
      </c>
      <c r="L94" s="881" t="s">
        <v>582</v>
      </c>
      <c r="M94" s="880">
        <v>8</v>
      </c>
      <c r="N94" s="881">
        <v>696</v>
      </c>
      <c r="O94" s="880" t="s">
        <v>583</v>
      </c>
      <c r="P94" s="1126">
        <v>2001</v>
      </c>
      <c r="Q94" s="880">
        <v>0</v>
      </c>
      <c r="R94" s="880">
        <v>0</v>
      </c>
      <c r="S94" s="880" t="s">
        <v>482</v>
      </c>
      <c r="T94" s="880" t="s">
        <v>12</v>
      </c>
      <c r="U94" s="882">
        <v>118755000</v>
      </c>
      <c r="V94" s="880" t="s">
        <v>43</v>
      </c>
      <c r="W94" s="880">
        <v>0</v>
      </c>
      <c r="X94" s="969"/>
      <c r="Y94" s="884" t="str">
        <f t="shared" si="25"/>
        <v>04.13.01</v>
      </c>
      <c r="Z94" s="884" t="str">
        <f t="shared" si="23"/>
        <v>Jalan</v>
      </c>
      <c r="AA94" s="884">
        <f t="shared" si="24"/>
        <v>10</v>
      </c>
      <c r="AB94" s="868">
        <f t="shared" si="27"/>
        <v>11875500</v>
      </c>
      <c r="AC94" s="885">
        <f t="shared" si="28"/>
        <v>10</v>
      </c>
      <c r="AD94" s="868">
        <f t="shared" si="29"/>
        <v>118755000</v>
      </c>
      <c r="AE94" s="868">
        <f t="shared" si="30"/>
        <v>0</v>
      </c>
      <c r="AF94" s="868">
        <f t="shared" si="31"/>
        <v>0</v>
      </c>
      <c r="AG94" s="868">
        <f t="shared" si="32"/>
        <v>0</v>
      </c>
      <c r="AH94" s="868">
        <f t="shared" si="33"/>
        <v>0</v>
      </c>
      <c r="AI94" s="886">
        <f t="shared" si="34"/>
        <v>0</v>
      </c>
      <c r="AJ94" s="886">
        <f t="shared" si="35"/>
        <v>118755000</v>
      </c>
      <c r="AK94" s="868">
        <f t="shared" si="22"/>
        <v>0</v>
      </c>
    </row>
    <row r="95" spans="1:37" s="857" customFormat="1" ht="35.25" customHeight="1" x14ac:dyDescent="0.2">
      <c r="A95" s="857">
        <v>38</v>
      </c>
      <c r="B95" s="857" t="str">
        <f t="shared" si="2"/>
        <v>JL. PETAPAHAN - JL. SUDIRMAN</v>
      </c>
      <c r="D95" s="857" t="s">
        <v>3890</v>
      </c>
      <c r="E95" s="884" t="str">
        <f t="shared" si="26"/>
        <v>1</v>
      </c>
      <c r="F95" s="855"/>
      <c r="G95" s="878" t="s">
        <v>529</v>
      </c>
      <c r="H95" s="879"/>
      <c r="I95" s="880" t="s">
        <v>2494</v>
      </c>
      <c r="J95" s="880">
        <v>0</v>
      </c>
      <c r="K95" s="880" t="s">
        <v>479</v>
      </c>
      <c r="L95" s="881" t="s">
        <v>584</v>
      </c>
      <c r="M95" s="880">
        <v>8</v>
      </c>
      <c r="N95" s="881">
        <v>648</v>
      </c>
      <c r="O95" s="880" t="s">
        <v>585</v>
      </c>
      <c r="P95" s="1126">
        <v>2001</v>
      </c>
      <c r="Q95" s="880">
        <v>0</v>
      </c>
      <c r="R95" s="880">
        <v>0</v>
      </c>
      <c r="S95" s="880" t="s">
        <v>482</v>
      </c>
      <c r="T95" s="880" t="s">
        <v>12</v>
      </c>
      <c r="U95" s="882">
        <v>68040000</v>
      </c>
      <c r="V95" s="880" t="s">
        <v>43</v>
      </c>
      <c r="W95" s="880">
        <v>0</v>
      </c>
      <c r="X95" s="969"/>
      <c r="Y95" s="884" t="str">
        <f t="shared" si="25"/>
        <v>04.13.01</v>
      </c>
      <c r="Z95" s="884" t="str">
        <f t="shared" si="23"/>
        <v>Jalan</v>
      </c>
      <c r="AA95" s="884">
        <f t="shared" si="24"/>
        <v>10</v>
      </c>
      <c r="AB95" s="868">
        <f t="shared" si="27"/>
        <v>6804000</v>
      </c>
      <c r="AC95" s="885">
        <f t="shared" si="28"/>
        <v>10</v>
      </c>
      <c r="AD95" s="868">
        <f t="shared" si="29"/>
        <v>68040000</v>
      </c>
      <c r="AE95" s="868">
        <f t="shared" si="30"/>
        <v>0</v>
      </c>
      <c r="AF95" s="868">
        <f t="shared" si="31"/>
        <v>0</v>
      </c>
      <c r="AG95" s="868">
        <f t="shared" si="32"/>
        <v>0</v>
      </c>
      <c r="AH95" s="868">
        <f t="shared" si="33"/>
        <v>0</v>
      </c>
      <c r="AI95" s="886">
        <f t="shared" si="34"/>
        <v>0</v>
      </c>
      <c r="AJ95" s="886">
        <f t="shared" si="35"/>
        <v>68040000</v>
      </c>
      <c r="AK95" s="868">
        <f t="shared" si="22"/>
        <v>0</v>
      </c>
    </row>
    <row r="96" spans="1:37" s="857" customFormat="1" ht="35.25" customHeight="1" x14ac:dyDescent="0.2">
      <c r="A96" s="857">
        <v>39</v>
      </c>
      <c r="B96" s="857" t="str">
        <f t="shared" si="2"/>
        <v>JL. SAKO - JL. SUDIRMAN</v>
      </c>
      <c r="D96" s="857" t="s">
        <v>3891</v>
      </c>
      <c r="E96" s="884" t="str">
        <f t="shared" si="26"/>
        <v>1</v>
      </c>
      <c r="F96" s="855"/>
      <c r="G96" s="878" t="s">
        <v>529</v>
      </c>
      <c r="H96" s="879"/>
      <c r="I96" s="880" t="s">
        <v>2494</v>
      </c>
      <c r="J96" s="880">
        <v>0</v>
      </c>
      <c r="K96" s="880" t="s">
        <v>479</v>
      </c>
      <c r="L96" s="881" t="s">
        <v>586</v>
      </c>
      <c r="M96" s="880">
        <v>7</v>
      </c>
      <c r="N96" s="881">
        <v>532</v>
      </c>
      <c r="O96" s="880" t="s">
        <v>587</v>
      </c>
      <c r="P96" s="1126">
        <v>2001</v>
      </c>
      <c r="Q96" s="880">
        <v>0</v>
      </c>
      <c r="R96" s="880">
        <v>0</v>
      </c>
      <c r="S96" s="880" t="s">
        <v>482</v>
      </c>
      <c r="T96" s="880" t="s">
        <v>12</v>
      </c>
      <c r="U96" s="882">
        <v>86450000</v>
      </c>
      <c r="V96" s="880" t="s">
        <v>43</v>
      </c>
      <c r="W96" s="880">
        <v>0</v>
      </c>
      <c r="X96" s="969"/>
      <c r="Y96" s="884" t="str">
        <f t="shared" si="25"/>
        <v>04.13.01</v>
      </c>
      <c r="Z96" s="884" t="str">
        <f t="shared" si="23"/>
        <v>Jalan</v>
      </c>
      <c r="AA96" s="884">
        <f t="shared" si="24"/>
        <v>10</v>
      </c>
      <c r="AB96" s="868">
        <f t="shared" si="27"/>
        <v>8645000</v>
      </c>
      <c r="AC96" s="885">
        <f t="shared" si="28"/>
        <v>10</v>
      </c>
      <c r="AD96" s="868">
        <f t="shared" si="29"/>
        <v>86450000</v>
      </c>
      <c r="AE96" s="868">
        <f t="shared" si="30"/>
        <v>0</v>
      </c>
      <c r="AF96" s="868">
        <f t="shared" si="31"/>
        <v>0</v>
      </c>
      <c r="AG96" s="868">
        <f t="shared" si="32"/>
        <v>0</v>
      </c>
      <c r="AH96" s="868">
        <f t="shared" si="33"/>
        <v>0</v>
      </c>
      <c r="AI96" s="886">
        <f t="shared" si="34"/>
        <v>0</v>
      </c>
      <c r="AJ96" s="886">
        <f t="shared" si="35"/>
        <v>86450000</v>
      </c>
      <c r="AK96" s="868">
        <f t="shared" si="22"/>
        <v>0</v>
      </c>
    </row>
    <row r="97" spans="1:37" s="857" customFormat="1" ht="35.25" customHeight="1" x14ac:dyDescent="0.2">
      <c r="A97" s="857">
        <v>40</v>
      </c>
      <c r="B97" s="857" t="str">
        <f>VLOOKUP(A97,RUAS,2,FALSE)</f>
        <v>JL. GUNUNG KESIANGAN - JL. SUDIRMAN</v>
      </c>
      <c r="E97" s="884" t="str">
        <f>RIGHT(D97,1)</f>
        <v/>
      </c>
      <c r="F97" s="855"/>
      <c r="G97" s="878" t="s">
        <v>483</v>
      </c>
      <c r="H97" s="879"/>
      <c r="I97" s="880" t="s">
        <v>3820</v>
      </c>
      <c r="J97" s="880"/>
      <c r="K97" s="880" t="s">
        <v>479</v>
      </c>
      <c r="L97" s="881" t="s">
        <v>48</v>
      </c>
      <c r="M97" s="880"/>
      <c r="N97" s="881"/>
      <c r="O97" s="880" t="s">
        <v>500</v>
      </c>
      <c r="P97" s="1126">
        <v>2001</v>
      </c>
      <c r="Q97" s="880"/>
      <c r="R97" s="880"/>
      <c r="S97" s="880" t="s">
        <v>482</v>
      </c>
      <c r="T97" s="880" t="s">
        <v>12</v>
      </c>
      <c r="U97" s="882">
        <f>1680000000+H98</f>
        <v>1767587500</v>
      </c>
      <c r="V97" s="880" t="s">
        <v>43</v>
      </c>
      <c r="W97" s="880"/>
      <c r="X97" s="969"/>
      <c r="Y97" s="884" t="str">
        <f>LEFT(I97,8)</f>
        <v>04.13.01</v>
      </c>
      <c r="Z97" s="884" t="str">
        <f>VLOOKUP(Y97,UE,3,FALSE)</f>
        <v>Jalan</v>
      </c>
      <c r="AA97" s="884">
        <f>VLOOKUP(Y97,UE,4,FALSE)</f>
        <v>10</v>
      </c>
      <c r="AB97" s="868"/>
      <c r="AC97" s="885"/>
      <c r="AD97" s="868"/>
      <c r="AE97" s="868"/>
      <c r="AF97" s="868"/>
      <c r="AG97" s="868"/>
      <c r="AH97" s="868"/>
      <c r="AI97" s="886">
        <f>PERHITUNGAN!R358</f>
        <v>0</v>
      </c>
      <c r="AJ97" s="886">
        <f>PERHITUNGAN!U362</f>
        <v>1767587500</v>
      </c>
      <c r="AK97" s="868">
        <f>U97-AJ97</f>
        <v>0</v>
      </c>
    </row>
    <row r="98" spans="1:37" s="857" customFormat="1" ht="35.25" customHeight="1" x14ac:dyDescent="0.2">
      <c r="A98" s="857">
        <v>40</v>
      </c>
      <c r="B98" s="857" t="str">
        <f t="shared" si="2"/>
        <v>JL. GUNUNG KESIANGAN - JL. SUDIRMAN</v>
      </c>
      <c r="D98" s="857" t="s">
        <v>3892</v>
      </c>
      <c r="E98" s="884" t="str">
        <f t="shared" si="26"/>
        <v>1</v>
      </c>
      <c r="F98" s="855"/>
      <c r="G98" s="878" t="s">
        <v>529</v>
      </c>
      <c r="H98" s="879">
        <v>87587500</v>
      </c>
      <c r="I98" s="880" t="s">
        <v>2494</v>
      </c>
      <c r="J98" s="880">
        <v>0</v>
      </c>
      <c r="K98" s="880" t="s">
        <v>479</v>
      </c>
      <c r="L98" s="881" t="s">
        <v>576</v>
      </c>
      <c r="M98" s="880">
        <v>7</v>
      </c>
      <c r="N98" s="881">
        <v>539</v>
      </c>
      <c r="O98" s="880" t="s">
        <v>577</v>
      </c>
      <c r="P98" s="1126">
        <v>2001</v>
      </c>
      <c r="Q98" s="880">
        <v>0</v>
      </c>
      <c r="R98" s="880">
        <v>0</v>
      </c>
      <c r="S98" s="880" t="s">
        <v>482</v>
      </c>
      <c r="T98" s="880" t="s">
        <v>12</v>
      </c>
      <c r="U98" s="882"/>
      <c r="V98" s="880" t="s">
        <v>43</v>
      </c>
      <c r="W98" s="880">
        <v>0</v>
      </c>
      <c r="X98" s="969"/>
      <c r="Y98" s="884" t="str">
        <f t="shared" si="25"/>
        <v>04.13.01</v>
      </c>
      <c r="Z98" s="884" t="str">
        <f t="shared" si="23"/>
        <v>Jalan</v>
      </c>
      <c r="AA98" s="884">
        <f t="shared" si="24"/>
        <v>10</v>
      </c>
      <c r="AB98" s="868"/>
      <c r="AC98" s="885"/>
      <c r="AD98" s="868"/>
      <c r="AE98" s="868"/>
      <c r="AF98" s="868"/>
      <c r="AG98" s="868"/>
      <c r="AH98" s="868"/>
      <c r="AI98" s="886"/>
      <c r="AJ98" s="886"/>
      <c r="AK98" s="868">
        <f t="shared" si="22"/>
        <v>0</v>
      </c>
    </row>
    <row r="99" spans="1:37" s="857" customFormat="1" ht="35.25" customHeight="1" x14ac:dyDescent="0.2">
      <c r="A99" s="857">
        <v>41</v>
      </c>
      <c r="B99" s="857" t="str">
        <f t="shared" ref="B99:B174" si="36">VLOOKUP(A99,RUAS,2,FALSE)</f>
        <v>JL. IMAM BONJOL - JL. KUANTAN</v>
      </c>
      <c r="D99" s="857" t="s">
        <v>3893</v>
      </c>
      <c r="E99" s="884" t="str">
        <f t="shared" si="26"/>
        <v>1</v>
      </c>
      <c r="F99" s="855"/>
      <c r="G99" s="878" t="s">
        <v>529</v>
      </c>
      <c r="H99" s="879"/>
      <c r="I99" s="880" t="s">
        <v>2494</v>
      </c>
      <c r="J99" s="880">
        <v>0</v>
      </c>
      <c r="K99" s="880" t="s">
        <v>479</v>
      </c>
      <c r="L99" s="881" t="s">
        <v>578</v>
      </c>
      <c r="M99" s="880">
        <v>10</v>
      </c>
      <c r="N99" s="881">
        <v>2850</v>
      </c>
      <c r="O99" s="880" t="s">
        <v>579</v>
      </c>
      <c r="P99" s="1126">
        <v>2001</v>
      </c>
      <c r="Q99" s="880">
        <v>0</v>
      </c>
      <c r="R99" s="880">
        <v>0</v>
      </c>
      <c r="S99" s="880" t="s">
        <v>482</v>
      </c>
      <c r="T99" s="880" t="s">
        <v>12</v>
      </c>
      <c r="U99" s="882">
        <v>324187500</v>
      </c>
      <c r="V99" s="880" t="s">
        <v>43</v>
      </c>
      <c r="W99" s="880">
        <v>0</v>
      </c>
      <c r="X99" s="969"/>
      <c r="Y99" s="884" t="str">
        <f t="shared" si="25"/>
        <v>04.13.01</v>
      </c>
      <c r="Z99" s="884" t="str">
        <f t="shared" si="23"/>
        <v>Jalan</v>
      </c>
      <c r="AA99" s="884">
        <f t="shared" si="24"/>
        <v>10</v>
      </c>
      <c r="AB99" s="868">
        <f t="shared" si="27"/>
        <v>32418750</v>
      </c>
      <c r="AC99" s="885">
        <f t="shared" si="28"/>
        <v>10</v>
      </c>
      <c r="AD99" s="868">
        <f t="shared" si="29"/>
        <v>324187500</v>
      </c>
      <c r="AE99" s="868">
        <f t="shared" si="30"/>
        <v>0</v>
      </c>
      <c r="AF99" s="868">
        <f t="shared" si="31"/>
        <v>0</v>
      </c>
      <c r="AG99" s="868">
        <f t="shared" si="32"/>
        <v>0</v>
      </c>
      <c r="AH99" s="868">
        <f t="shared" si="33"/>
        <v>0</v>
      </c>
      <c r="AI99" s="886">
        <f t="shared" si="34"/>
        <v>0</v>
      </c>
      <c r="AJ99" s="886">
        <f t="shared" si="35"/>
        <v>324187500</v>
      </c>
      <c r="AK99" s="868">
        <f t="shared" si="22"/>
        <v>0</v>
      </c>
    </row>
    <row r="100" spans="1:37" s="857" customFormat="1" ht="35.25" customHeight="1" x14ac:dyDescent="0.2">
      <c r="A100" s="857">
        <v>42</v>
      </c>
      <c r="B100" s="857" t="str">
        <f t="shared" si="36"/>
        <v>KAMPUNG DATAR - PL. KOMANG</v>
      </c>
      <c r="D100" s="857" t="s">
        <v>3894</v>
      </c>
      <c r="E100" s="884" t="str">
        <f t="shared" si="26"/>
        <v>1</v>
      </c>
      <c r="F100" s="855"/>
      <c r="G100" s="878" t="s">
        <v>529</v>
      </c>
      <c r="H100" s="879"/>
      <c r="I100" s="880" t="s">
        <v>2494</v>
      </c>
      <c r="J100" s="880">
        <v>0</v>
      </c>
      <c r="K100" s="880" t="s">
        <v>492</v>
      </c>
      <c r="L100" s="881">
        <v>2900</v>
      </c>
      <c r="M100" s="880">
        <v>8</v>
      </c>
      <c r="N100" s="881">
        <v>23200</v>
      </c>
      <c r="O100" s="880" t="s">
        <v>581</v>
      </c>
      <c r="P100" s="1126">
        <v>2001</v>
      </c>
      <c r="Q100" s="880">
        <v>0</v>
      </c>
      <c r="R100" s="880">
        <v>0</v>
      </c>
      <c r="S100" s="880" t="s">
        <v>482</v>
      </c>
      <c r="T100" s="880" t="s">
        <v>12</v>
      </c>
      <c r="U100" s="882">
        <v>1305000000</v>
      </c>
      <c r="V100" s="880" t="s">
        <v>43</v>
      </c>
      <c r="W100" s="880">
        <v>0</v>
      </c>
      <c r="X100" s="969"/>
      <c r="Y100" s="884" t="str">
        <f t="shared" si="25"/>
        <v>04.13.01</v>
      </c>
      <c r="Z100" s="884" t="str">
        <f t="shared" si="23"/>
        <v>Jalan</v>
      </c>
      <c r="AA100" s="884">
        <f t="shared" si="24"/>
        <v>10</v>
      </c>
      <c r="AB100" s="868">
        <f t="shared" si="27"/>
        <v>130500000</v>
      </c>
      <c r="AC100" s="885">
        <f t="shared" si="28"/>
        <v>10</v>
      </c>
      <c r="AD100" s="868">
        <f t="shared" si="29"/>
        <v>1305000000</v>
      </c>
      <c r="AE100" s="868">
        <f t="shared" si="30"/>
        <v>0</v>
      </c>
      <c r="AF100" s="868">
        <f t="shared" si="31"/>
        <v>0</v>
      </c>
      <c r="AG100" s="868">
        <f t="shared" si="32"/>
        <v>0</v>
      </c>
      <c r="AH100" s="868">
        <f t="shared" si="33"/>
        <v>0</v>
      </c>
      <c r="AI100" s="886">
        <f t="shared" si="34"/>
        <v>0</v>
      </c>
      <c r="AJ100" s="886">
        <f t="shared" si="35"/>
        <v>1305000000</v>
      </c>
      <c r="AK100" s="868">
        <f t="shared" si="22"/>
        <v>0</v>
      </c>
    </row>
    <row r="101" spans="1:37" s="857" customFormat="1" ht="35.25" customHeight="1" x14ac:dyDescent="0.2">
      <c r="A101" s="857">
        <v>43</v>
      </c>
      <c r="B101" s="857" t="str">
        <f t="shared" si="36"/>
        <v xml:space="preserve">jl. M. FADILLAH - JL. SUDIRMAN </v>
      </c>
      <c r="D101" s="857" t="s">
        <v>3895</v>
      </c>
      <c r="E101" s="884" t="str">
        <f t="shared" si="26"/>
        <v>1</v>
      </c>
      <c r="F101" s="855"/>
      <c r="G101" s="878" t="s">
        <v>529</v>
      </c>
      <c r="H101" s="879"/>
      <c r="I101" s="880" t="s">
        <v>2494</v>
      </c>
      <c r="J101" s="880">
        <v>0</v>
      </c>
      <c r="K101" s="880" t="s">
        <v>479</v>
      </c>
      <c r="L101" s="881" t="s">
        <v>570</v>
      </c>
      <c r="M101" s="880">
        <v>8</v>
      </c>
      <c r="N101" s="881">
        <v>1112</v>
      </c>
      <c r="O101" s="880" t="s">
        <v>571</v>
      </c>
      <c r="P101" s="1126">
        <v>2001</v>
      </c>
      <c r="Q101" s="880">
        <v>0</v>
      </c>
      <c r="R101" s="880">
        <v>0</v>
      </c>
      <c r="S101" s="880" t="s">
        <v>482</v>
      </c>
      <c r="T101" s="880" t="s">
        <v>12</v>
      </c>
      <c r="U101" s="882">
        <v>153562500</v>
      </c>
      <c r="V101" s="880" t="s">
        <v>43</v>
      </c>
      <c r="W101" s="880">
        <v>0</v>
      </c>
      <c r="X101" s="969"/>
      <c r="Y101" s="884" t="str">
        <f t="shared" si="25"/>
        <v>04.13.01</v>
      </c>
      <c r="Z101" s="884" t="str">
        <f t="shared" si="23"/>
        <v>Jalan</v>
      </c>
      <c r="AA101" s="884">
        <f t="shared" si="24"/>
        <v>10</v>
      </c>
      <c r="AB101" s="868">
        <f t="shared" si="27"/>
        <v>15356250</v>
      </c>
      <c r="AC101" s="885">
        <f t="shared" si="28"/>
        <v>10</v>
      </c>
      <c r="AD101" s="868">
        <f t="shared" si="29"/>
        <v>153562500</v>
      </c>
      <c r="AE101" s="868">
        <f t="shared" si="30"/>
        <v>0</v>
      </c>
      <c r="AF101" s="868">
        <f t="shared" si="31"/>
        <v>0</v>
      </c>
      <c r="AG101" s="868">
        <f t="shared" si="32"/>
        <v>0</v>
      </c>
      <c r="AH101" s="868">
        <f t="shared" si="33"/>
        <v>0</v>
      </c>
      <c r="AI101" s="886">
        <f t="shared" si="34"/>
        <v>0</v>
      </c>
      <c r="AJ101" s="886">
        <f t="shared" si="35"/>
        <v>153562500</v>
      </c>
      <c r="AK101" s="868">
        <f t="shared" si="22"/>
        <v>0</v>
      </c>
    </row>
    <row r="102" spans="1:37" s="857" customFormat="1" ht="35.25" customHeight="1" x14ac:dyDescent="0.2">
      <c r="A102" s="857">
        <v>44</v>
      </c>
      <c r="B102" s="857" t="str">
        <f t="shared" si="36"/>
        <v>JL. LIMUNO - JL. SUDIRMAN</v>
      </c>
      <c r="D102" s="857" t="s">
        <v>3896</v>
      </c>
      <c r="E102" s="884" t="str">
        <f t="shared" si="26"/>
        <v>1</v>
      </c>
      <c r="F102" s="855"/>
      <c r="G102" s="878" t="s">
        <v>529</v>
      </c>
      <c r="H102" s="879"/>
      <c r="I102" s="880" t="s">
        <v>2494</v>
      </c>
      <c r="J102" s="880">
        <v>0</v>
      </c>
      <c r="K102" s="880" t="s">
        <v>479</v>
      </c>
      <c r="L102" s="881" t="s">
        <v>572</v>
      </c>
      <c r="M102" s="880">
        <v>8</v>
      </c>
      <c r="N102" s="881">
        <v>1888</v>
      </c>
      <c r="O102" s="880" t="s">
        <v>573</v>
      </c>
      <c r="P102" s="1126">
        <v>2001</v>
      </c>
      <c r="Q102" s="880">
        <v>0</v>
      </c>
      <c r="R102" s="880">
        <v>0</v>
      </c>
      <c r="S102" s="880" t="s">
        <v>482</v>
      </c>
      <c r="T102" s="880" t="s">
        <v>12</v>
      </c>
      <c r="U102" s="882">
        <v>268450000</v>
      </c>
      <c r="V102" s="880" t="s">
        <v>43</v>
      </c>
      <c r="W102" s="880">
        <v>0</v>
      </c>
      <c r="X102" s="969"/>
      <c r="Y102" s="884" t="str">
        <f t="shared" si="25"/>
        <v>04.13.01</v>
      </c>
      <c r="Z102" s="884" t="str">
        <f t="shared" si="23"/>
        <v>Jalan</v>
      </c>
      <c r="AA102" s="884">
        <f t="shared" si="24"/>
        <v>10</v>
      </c>
      <c r="AB102" s="868">
        <f t="shared" si="27"/>
        <v>26845000</v>
      </c>
      <c r="AC102" s="885">
        <f t="shared" si="28"/>
        <v>10</v>
      </c>
      <c r="AD102" s="868">
        <f t="shared" si="29"/>
        <v>268450000</v>
      </c>
      <c r="AE102" s="868">
        <f t="shared" si="30"/>
        <v>0</v>
      </c>
      <c r="AF102" s="868">
        <f t="shared" si="31"/>
        <v>0</v>
      </c>
      <c r="AG102" s="868">
        <f t="shared" si="32"/>
        <v>0</v>
      </c>
      <c r="AH102" s="868">
        <f t="shared" si="33"/>
        <v>0</v>
      </c>
      <c r="AI102" s="886">
        <f t="shared" si="34"/>
        <v>0</v>
      </c>
      <c r="AJ102" s="886">
        <f t="shared" si="35"/>
        <v>268450000</v>
      </c>
      <c r="AK102" s="868">
        <f t="shared" si="22"/>
        <v>0</v>
      </c>
    </row>
    <row r="103" spans="1:37" s="857" customFormat="1" ht="35.25" customHeight="1" x14ac:dyDescent="0.2">
      <c r="A103" s="857">
        <v>45</v>
      </c>
      <c r="B103" s="857" t="str">
        <f t="shared" si="36"/>
        <v>JL. MERDEKA - JL. KARTINI</v>
      </c>
      <c r="D103" s="857" t="s">
        <v>3897</v>
      </c>
      <c r="E103" s="884" t="str">
        <f t="shared" si="26"/>
        <v>1</v>
      </c>
      <c r="F103" s="855"/>
      <c r="G103" s="878" t="s">
        <v>529</v>
      </c>
      <c r="H103" s="879"/>
      <c r="I103" s="880" t="s">
        <v>2494</v>
      </c>
      <c r="J103" s="880">
        <v>0</v>
      </c>
      <c r="K103" s="880" t="s">
        <v>479</v>
      </c>
      <c r="L103" s="881" t="s">
        <v>574</v>
      </c>
      <c r="M103" s="880">
        <v>8</v>
      </c>
      <c r="N103" s="881">
        <v>2512</v>
      </c>
      <c r="O103" s="880" t="s">
        <v>575</v>
      </c>
      <c r="P103" s="1126">
        <v>2001</v>
      </c>
      <c r="Q103" s="880">
        <v>0</v>
      </c>
      <c r="R103" s="880">
        <v>0</v>
      </c>
      <c r="S103" s="880" t="s">
        <v>482</v>
      </c>
      <c r="T103" s="880" t="s">
        <v>12</v>
      </c>
      <c r="U103" s="882">
        <v>428610000</v>
      </c>
      <c r="V103" s="880" t="s">
        <v>43</v>
      </c>
      <c r="W103" s="880">
        <v>0</v>
      </c>
      <c r="X103" s="969"/>
      <c r="Y103" s="884" t="str">
        <f t="shared" si="25"/>
        <v>04.13.01</v>
      </c>
      <c r="Z103" s="884" t="str">
        <f t="shared" si="23"/>
        <v>Jalan</v>
      </c>
      <c r="AA103" s="884">
        <f t="shared" si="24"/>
        <v>10</v>
      </c>
      <c r="AB103" s="868">
        <f t="shared" si="27"/>
        <v>42861000</v>
      </c>
      <c r="AC103" s="885">
        <f t="shared" si="28"/>
        <v>10</v>
      </c>
      <c r="AD103" s="868">
        <f t="shared" si="29"/>
        <v>428610000</v>
      </c>
      <c r="AE103" s="868">
        <f t="shared" si="30"/>
        <v>0</v>
      </c>
      <c r="AF103" s="868">
        <f t="shared" si="31"/>
        <v>0</v>
      </c>
      <c r="AG103" s="868">
        <f t="shared" si="32"/>
        <v>0</v>
      </c>
      <c r="AH103" s="868">
        <f t="shared" si="33"/>
        <v>0</v>
      </c>
      <c r="AI103" s="886">
        <f t="shared" si="34"/>
        <v>0</v>
      </c>
      <c r="AJ103" s="886">
        <f t="shared" si="35"/>
        <v>428610000</v>
      </c>
      <c r="AK103" s="868">
        <f t="shared" si="22"/>
        <v>0</v>
      </c>
    </row>
    <row r="104" spans="1:37" s="857" customFormat="1" ht="35.25" customHeight="1" x14ac:dyDescent="0.2">
      <c r="A104" s="857">
        <v>46</v>
      </c>
      <c r="B104" s="857" t="str">
        <f t="shared" si="36"/>
        <v>JL. KARTINI - JL. DIPONEGORO</v>
      </c>
      <c r="D104" s="857" t="s">
        <v>3898</v>
      </c>
      <c r="E104" s="884" t="str">
        <f t="shared" si="26"/>
        <v>1</v>
      </c>
      <c r="F104" s="855"/>
      <c r="G104" s="878" t="s">
        <v>529</v>
      </c>
      <c r="H104" s="879"/>
      <c r="I104" s="880" t="s">
        <v>2494</v>
      </c>
      <c r="J104" s="880">
        <v>0</v>
      </c>
      <c r="K104" s="880" t="s">
        <v>479</v>
      </c>
      <c r="L104" s="881" t="s">
        <v>564</v>
      </c>
      <c r="M104" s="880">
        <v>8</v>
      </c>
      <c r="N104" s="881">
        <v>1176</v>
      </c>
      <c r="O104" s="880" t="s">
        <v>565</v>
      </c>
      <c r="P104" s="1126">
        <v>2001</v>
      </c>
      <c r="Q104" s="880">
        <v>0</v>
      </c>
      <c r="R104" s="880">
        <v>0</v>
      </c>
      <c r="S104" s="880" t="s">
        <v>482</v>
      </c>
      <c r="T104" s="880" t="s">
        <v>12</v>
      </c>
      <c r="U104" s="882">
        <v>234097500</v>
      </c>
      <c r="V104" s="880" t="s">
        <v>43</v>
      </c>
      <c r="W104" s="880">
        <v>0</v>
      </c>
      <c r="X104" s="969"/>
      <c r="Y104" s="884" t="str">
        <f t="shared" si="25"/>
        <v>04.13.01</v>
      </c>
      <c r="Z104" s="884" t="str">
        <f t="shared" si="23"/>
        <v>Jalan</v>
      </c>
      <c r="AA104" s="884">
        <f t="shared" si="24"/>
        <v>10</v>
      </c>
      <c r="AB104" s="868">
        <f t="shared" si="27"/>
        <v>23409750</v>
      </c>
      <c r="AC104" s="885">
        <f t="shared" si="28"/>
        <v>10</v>
      </c>
      <c r="AD104" s="868">
        <f t="shared" si="29"/>
        <v>234097500</v>
      </c>
      <c r="AE104" s="868">
        <f t="shared" si="30"/>
        <v>0</v>
      </c>
      <c r="AF104" s="868">
        <f t="shared" si="31"/>
        <v>0</v>
      </c>
      <c r="AG104" s="868">
        <f t="shared" si="32"/>
        <v>0</v>
      </c>
      <c r="AH104" s="868">
        <f t="shared" si="33"/>
        <v>0</v>
      </c>
      <c r="AI104" s="886">
        <f t="shared" si="34"/>
        <v>0</v>
      </c>
      <c r="AJ104" s="886">
        <f t="shared" si="35"/>
        <v>234097500</v>
      </c>
      <c r="AK104" s="868">
        <f t="shared" si="22"/>
        <v>0</v>
      </c>
    </row>
    <row r="105" spans="1:37" s="857" customFormat="1" ht="35.25" customHeight="1" x14ac:dyDescent="0.2">
      <c r="A105" s="857">
        <v>47</v>
      </c>
      <c r="B105" s="857" t="str">
        <f t="shared" si="36"/>
        <v>JL. DIPONEGORO - JL. SUDIRMAN</v>
      </c>
      <c r="D105" s="857" t="s">
        <v>3899</v>
      </c>
      <c r="E105" s="884" t="str">
        <f t="shared" si="26"/>
        <v>1</v>
      </c>
      <c r="F105" s="855"/>
      <c r="G105" s="878" t="s">
        <v>529</v>
      </c>
      <c r="H105" s="879"/>
      <c r="I105" s="880" t="s">
        <v>2494</v>
      </c>
      <c r="J105" s="880">
        <v>0</v>
      </c>
      <c r="K105" s="880" t="s">
        <v>479</v>
      </c>
      <c r="L105" s="881" t="s">
        <v>566</v>
      </c>
      <c r="M105" s="880">
        <v>8</v>
      </c>
      <c r="N105" s="881">
        <v>4768</v>
      </c>
      <c r="O105" s="880" t="s">
        <v>567</v>
      </c>
      <c r="P105" s="1126">
        <v>2001</v>
      </c>
      <c r="Q105" s="880">
        <v>0</v>
      </c>
      <c r="R105" s="880">
        <v>0</v>
      </c>
      <c r="S105" s="880" t="s">
        <v>482</v>
      </c>
      <c r="T105" s="880" t="s">
        <v>12</v>
      </c>
      <c r="U105" s="882">
        <v>949130000</v>
      </c>
      <c r="V105" s="880" t="s">
        <v>43</v>
      </c>
      <c r="W105" s="880">
        <v>0</v>
      </c>
      <c r="X105" s="969"/>
      <c r="Y105" s="884" t="str">
        <f t="shared" si="25"/>
        <v>04.13.01</v>
      </c>
      <c r="Z105" s="884" t="str">
        <f t="shared" si="23"/>
        <v>Jalan</v>
      </c>
      <c r="AA105" s="884">
        <f t="shared" si="24"/>
        <v>10</v>
      </c>
      <c r="AB105" s="868">
        <f t="shared" si="27"/>
        <v>94913000</v>
      </c>
      <c r="AC105" s="885">
        <f t="shared" si="28"/>
        <v>10</v>
      </c>
      <c r="AD105" s="868">
        <f t="shared" si="29"/>
        <v>949130000</v>
      </c>
      <c r="AE105" s="868">
        <f t="shared" si="30"/>
        <v>0</v>
      </c>
      <c r="AF105" s="868">
        <f t="shared" si="31"/>
        <v>0</v>
      </c>
      <c r="AG105" s="868">
        <f t="shared" si="32"/>
        <v>0</v>
      </c>
      <c r="AH105" s="868">
        <f t="shared" si="33"/>
        <v>0</v>
      </c>
      <c r="AI105" s="886">
        <f t="shared" si="34"/>
        <v>0</v>
      </c>
      <c r="AJ105" s="886">
        <f t="shared" si="35"/>
        <v>949130000</v>
      </c>
      <c r="AK105" s="868">
        <f t="shared" si="22"/>
        <v>0</v>
      </c>
    </row>
    <row r="106" spans="1:37" s="857" customFormat="1" ht="35.25" customHeight="1" x14ac:dyDescent="0.2">
      <c r="A106" s="857">
        <v>48</v>
      </c>
      <c r="B106" s="857" t="str">
        <f t="shared" si="36"/>
        <v>RUAS 43/43 - JL. PL. ARO</v>
      </c>
      <c r="D106" s="857" t="s">
        <v>3900</v>
      </c>
      <c r="E106" s="884" t="str">
        <f t="shared" si="26"/>
        <v>1</v>
      </c>
      <c r="F106" s="855"/>
      <c r="G106" s="878" t="s">
        <v>529</v>
      </c>
      <c r="H106" s="879"/>
      <c r="I106" s="880" t="s">
        <v>2494</v>
      </c>
      <c r="J106" s="880">
        <v>0</v>
      </c>
      <c r="K106" s="880" t="s">
        <v>479</v>
      </c>
      <c r="L106" s="881" t="s">
        <v>568</v>
      </c>
      <c r="M106" s="880">
        <v>7</v>
      </c>
      <c r="N106" s="881">
        <v>2975</v>
      </c>
      <c r="O106" s="880" t="s">
        <v>569</v>
      </c>
      <c r="P106" s="1126">
        <v>2001</v>
      </c>
      <c r="Q106" s="880">
        <v>0</v>
      </c>
      <c r="R106" s="880">
        <v>0</v>
      </c>
      <c r="S106" s="880" t="s">
        <v>482</v>
      </c>
      <c r="T106" s="880" t="s">
        <v>12</v>
      </c>
      <c r="U106" s="882">
        <v>386750000</v>
      </c>
      <c r="V106" s="880" t="s">
        <v>43</v>
      </c>
      <c r="W106" s="880">
        <v>0</v>
      </c>
      <c r="X106" s="969"/>
      <c r="Y106" s="884" t="str">
        <f t="shared" si="25"/>
        <v>04.13.01</v>
      </c>
      <c r="Z106" s="884" t="str">
        <f t="shared" si="23"/>
        <v>Jalan</v>
      </c>
      <c r="AA106" s="884">
        <f t="shared" si="24"/>
        <v>10</v>
      </c>
      <c r="AB106" s="868">
        <f t="shared" si="27"/>
        <v>38675000</v>
      </c>
      <c r="AC106" s="885">
        <f t="shared" si="28"/>
        <v>10</v>
      </c>
      <c r="AD106" s="868">
        <f t="shared" si="29"/>
        <v>386750000</v>
      </c>
      <c r="AE106" s="868">
        <f t="shared" si="30"/>
        <v>0</v>
      </c>
      <c r="AF106" s="868">
        <f t="shared" si="31"/>
        <v>0</v>
      </c>
      <c r="AG106" s="868">
        <f t="shared" si="32"/>
        <v>0</v>
      </c>
      <c r="AH106" s="868">
        <f t="shared" si="33"/>
        <v>0</v>
      </c>
      <c r="AI106" s="886">
        <f t="shared" si="34"/>
        <v>0</v>
      </c>
      <c r="AJ106" s="886">
        <f t="shared" si="35"/>
        <v>386750000</v>
      </c>
      <c r="AK106" s="868">
        <f t="shared" si="22"/>
        <v>0</v>
      </c>
    </row>
    <row r="107" spans="1:37" s="857" customFormat="1" ht="35.25" customHeight="1" x14ac:dyDescent="0.2">
      <c r="A107" s="857">
        <v>49</v>
      </c>
      <c r="B107" s="857" t="str">
        <f t="shared" si="36"/>
        <v>JL. TOPAN - RUAS 41/41</v>
      </c>
      <c r="D107" s="857" t="s">
        <v>3901</v>
      </c>
      <c r="E107" s="884" t="str">
        <f t="shared" si="26"/>
        <v>1</v>
      </c>
      <c r="F107" s="855"/>
      <c r="G107" s="878" t="s">
        <v>529</v>
      </c>
      <c r="H107" s="879"/>
      <c r="I107" s="880" t="s">
        <v>2494</v>
      </c>
      <c r="J107" s="880">
        <v>0</v>
      </c>
      <c r="K107" s="880" t="s">
        <v>479</v>
      </c>
      <c r="L107" s="881">
        <v>1350</v>
      </c>
      <c r="M107" s="880">
        <v>7</v>
      </c>
      <c r="N107" s="881">
        <v>9450</v>
      </c>
      <c r="O107" s="880" t="s">
        <v>562</v>
      </c>
      <c r="P107" s="1126">
        <v>2001</v>
      </c>
      <c r="Q107" s="880">
        <v>0</v>
      </c>
      <c r="R107" s="880">
        <v>0</v>
      </c>
      <c r="S107" s="880" t="s">
        <v>482</v>
      </c>
      <c r="T107" s="880" t="s">
        <v>12</v>
      </c>
      <c r="U107" s="882">
        <v>1134000000</v>
      </c>
      <c r="V107" s="880" t="s">
        <v>43</v>
      </c>
      <c r="W107" s="880">
        <v>0</v>
      </c>
      <c r="X107" s="969"/>
      <c r="Y107" s="884" t="str">
        <f t="shared" si="25"/>
        <v>04.13.01</v>
      </c>
      <c r="Z107" s="884" t="str">
        <f t="shared" si="23"/>
        <v>Jalan</v>
      </c>
      <c r="AA107" s="884">
        <f t="shared" si="24"/>
        <v>10</v>
      </c>
      <c r="AB107" s="868">
        <f t="shared" si="27"/>
        <v>113400000</v>
      </c>
      <c r="AC107" s="885">
        <f t="shared" si="28"/>
        <v>10</v>
      </c>
      <c r="AD107" s="868">
        <f t="shared" si="29"/>
        <v>1134000000</v>
      </c>
      <c r="AE107" s="868">
        <f t="shared" si="30"/>
        <v>0</v>
      </c>
      <c r="AF107" s="868">
        <f t="shared" si="31"/>
        <v>0</v>
      </c>
      <c r="AG107" s="868">
        <f t="shared" si="32"/>
        <v>0</v>
      </c>
      <c r="AH107" s="868">
        <f t="shared" si="33"/>
        <v>0</v>
      </c>
      <c r="AI107" s="886">
        <f t="shared" si="34"/>
        <v>0</v>
      </c>
      <c r="AJ107" s="886">
        <f t="shared" si="35"/>
        <v>1134000000</v>
      </c>
      <c r="AK107" s="868">
        <f t="shared" si="22"/>
        <v>0</v>
      </c>
    </row>
    <row r="108" spans="1:37" s="857" customFormat="1" ht="35.25" customHeight="1" x14ac:dyDescent="0.2">
      <c r="A108" s="857">
        <v>50</v>
      </c>
      <c r="B108" s="857" t="str">
        <f t="shared" si="36"/>
        <v>JL. JERING - RUAS 04/04</v>
      </c>
      <c r="D108" s="857" t="s">
        <v>3902</v>
      </c>
      <c r="E108" s="884" t="str">
        <f t="shared" si="26"/>
        <v>1</v>
      </c>
      <c r="F108" s="855"/>
      <c r="G108" s="878" t="s">
        <v>529</v>
      </c>
      <c r="H108" s="879"/>
      <c r="I108" s="880" t="s">
        <v>2494</v>
      </c>
      <c r="J108" s="880">
        <v>0</v>
      </c>
      <c r="K108" s="880" t="s">
        <v>479</v>
      </c>
      <c r="L108" s="881">
        <v>7500</v>
      </c>
      <c r="M108" s="880">
        <v>7</v>
      </c>
      <c r="N108" s="881">
        <v>45500</v>
      </c>
      <c r="O108" s="880" t="s">
        <v>563</v>
      </c>
      <c r="P108" s="1126">
        <v>2001</v>
      </c>
      <c r="Q108" s="880">
        <v>0</v>
      </c>
      <c r="R108" s="880">
        <v>0</v>
      </c>
      <c r="S108" s="880" t="s">
        <v>482</v>
      </c>
      <c r="T108" s="880" t="s">
        <v>12</v>
      </c>
      <c r="U108" s="882">
        <v>7275000000</v>
      </c>
      <c r="V108" s="880" t="s">
        <v>43</v>
      </c>
      <c r="W108" s="880">
        <v>0</v>
      </c>
      <c r="X108" s="969"/>
      <c r="Y108" s="884" t="str">
        <f t="shared" si="25"/>
        <v>04.13.01</v>
      </c>
      <c r="Z108" s="884" t="str">
        <f t="shared" si="23"/>
        <v>Jalan</v>
      </c>
      <c r="AA108" s="884">
        <f t="shared" si="24"/>
        <v>10</v>
      </c>
      <c r="AB108" s="868">
        <f t="shared" si="27"/>
        <v>727500000</v>
      </c>
      <c r="AC108" s="885">
        <f t="shared" si="28"/>
        <v>10</v>
      </c>
      <c r="AD108" s="868">
        <f t="shared" si="29"/>
        <v>7275000000</v>
      </c>
      <c r="AE108" s="868">
        <f t="shared" si="30"/>
        <v>0</v>
      </c>
      <c r="AF108" s="868">
        <f t="shared" si="31"/>
        <v>0</v>
      </c>
      <c r="AG108" s="868">
        <f t="shared" si="32"/>
        <v>0</v>
      </c>
      <c r="AH108" s="868">
        <f t="shared" si="33"/>
        <v>0</v>
      </c>
      <c r="AI108" s="886">
        <f t="shared" si="34"/>
        <v>0</v>
      </c>
      <c r="AJ108" s="886">
        <f t="shared" si="35"/>
        <v>7275000000</v>
      </c>
      <c r="AK108" s="868">
        <f t="shared" si="22"/>
        <v>0</v>
      </c>
    </row>
    <row r="109" spans="1:37" s="857" customFormat="1" ht="35.25" customHeight="1" x14ac:dyDescent="0.2">
      <c r="A109" s="857">
        <v>51</v>
      </c>
      <c r="B109" s="857" t="str">
        <f t="shared" si="36"/>
        <v>JL. BERINGIN SAWAH - BERINGIN SAWAH</v>
      </c>
      <c r="D109" s="857" t="s">
        <v>3903</v>
      </c>
      <c r="E109" s="884" t="str">
        <f t="shared" si="26"/>
        <v>1</v>
      </c>
      <c r="F109" s="855"/>
      <c r="G109" s="878" t="s">
        <v>529</v>
      </c>
      <c r="H109" s="879"/>
      <c r="I109" s="880" t="s">
        <v>2494</v>
      </c>
      <c r="J109" s="880">
        <v>0</v>
      </c>
      <c r="K109" s="880" t="s">
        <v>479</v>
      </c>
      <c r="L109" s="881">
        <v>2500</v>
      </c>
      <c r="M109" s="880">
        <v>0</v>
      </c>
      <c r="N109" s="881">
        <v>31000</v>
      </c>
      <c r="O109" s="880" t="s">
        <v>560</v>
      </c>
      <c r="P109" s="1126">
        <v>2001</v>
      </c>
      <c r="Q109" s="880">
        <v>0</v>
      </c>
      <c r="R109" s="880">
        <v>0</v>
      </c>
      <c r="S109" s="880" t="s">
        <v>482</v>
      </c>
      <c r="T109" s="880" t="s">
        <v>12</v>
      </c>
      <c r="U109" s="882">
        <v>4725000000</v>
      </c>
      <c r="V109" s="880" t="s">
        <v>43</v>
      </c>
      <c r="W109" s="880">
        <v>0</v>
      </c>
      <c r="X109" s="969"/>
      <c r="Y109" s="884" t="str">
        <f t="shared" si="25"/>
        <v>04.13.01</v>
      </c>
      <c r="Z109" s="884" t="str">
        <f t="shared" si="23"/>
        <v>Jalan</v>
      </c>
      <c r="AA109" s="884">
        <f t="shared" si="24"/>
        <v>10</v>
      </c>
      <c r="AB109" s="868">
        <f t="shared" si="27"/>
        <v>472500000</v>
      </c>
      <c r="AC109" s="885">
        <f t="shared" si="28"/>
        <v>10</v>
      </c>
      <c r="AD109" s="868">
        <f t="shared" si="29"/>
        <v>4725000000</v>
      </c>
      <c r="AE109" s="868">
        <f t="shared" si="30"/>
        <v>0</v>
      </c>
      <c r="AF109" s="868">
        <f t="shared" si="31"/>
        <v>0</v>
      </c>
      <c r="AG109" s="868">
        <f t="shared" si="32"/>
        <v>0</v>
      </c>
      <c r="AH109" s="868">
        <f t="shared" si="33"/>
        <v>0</v>
      </c>
      <c r="AI109" s="886">
        <f t="shared" si="34"/>
        <v>0</v>
      </c>
      <c r="AJ109" s="886">
        <f t="shared" si="35"/>
        <v>4725000000</v>
      </c>
      <c r="AK109" s="868">
        <f t="shared" si="22"/>
        <v>0</v>
      </c>
    </row>
    <row r="110" spans="1:37" s="998" customFormat="1" ht="35.25" customHeight="1" x14ac:dyDescent="0.15">
      <c r="A110" s="998">
        <v>52</v>
      </c>
      <c r="B110" s="998" t="str">
        <f t="shared" si="36"/>
        <v>TERMINAL - SENTAJO</v>
      </c>
      <c r="D110" s="998" t="s">
        <v>3904</v>
      </c>
      <c r="E110" s="999" t="s">
        <v>4247</v>
      </c>
      <c r="F110" s="1000"/>
      <c r="G110" s="1010" t="s">
        <v>1136</v>
      </c>
      <c r="H110" s="1011"/>
      <c r="I110" s="1001" t="s">
        <v>2494</v>
      </c>
      <c r="J110" s="1001">
        <v>0</v>
      </c>
      <c r="K110" s="1001" t="s">
        <v>479</v>
      </c>
      <c r="L110" s="1003">
        <v>8000</v>
      </c>
      <c r="M110" s="1001">
        <v>0</v>
      </c>
      <c r="N110" s="1003">
        <v>108000</v>
      </c>
      <c r="O110" s="1001" t="s">
        <v>561</v>
      </c>
      <c r="P110" s="1168">
        <v>2001</v>
      </c>
      <c r="Q110" s="1001">
        <v>0</v>
      </c>
      <c r="R110" s="1001">
        <v>0</v>
      </c>
      <c r="S110" s="1001" t="s">
        <v>482</v>
      </c>
      <c r="T110" s="1001" t="s">
        <v>12</v>
      </c>
      <c r="U110" s="1002">
        <f>31588402771.26+H111+H112+H113+H114+H115</f>
        <v>38647396467.384308</v>
      </c>
      <c r="V110" s="1001" t="s">
        <v>43</v>
      </c>
      <c r="W110" s="1001">
        <v>0</v>
      </c>
      <c r="X110" s="1004"/>
      <c r="Y110" s="1005" t="str">
        <f t="shared" si="25"/>
        <v>04.13.01</v>
      </c>
      <c r="Z110" s="1006" t="str">
        <f t="shared" si="23"/>
        <v>Jalan</v>
      </c>
      <c r="AA110" s="1006">
        <f t="shared" si="24"/>
        <v>10</v>
      </c>
      <c r="AB110" s="1007"/>
      <c r="AC110" s="1008">
        <f>IF(2013-P110&gt;AA110,10,IF(2013-P110&lt;0,0,2013-P110))</f>
        <v>10</v>
      </c>
      <c r="AD110" s="1007"/>
      <c r="AE110" s="1007"/>
      <c r="AF110" s="1007"/>
      <c r="AG110" s="1007"/>
      <c r="AH110" s="1007"/>
      <c r="AI110" s="1009">
        <f>PERHITUNGAN!U426</f>
        <v>1225216659.4931495</v>
      </c>
      <c r="AJ110" s="1009">
        <f>PERHITUNGAN!U429</f>
        <v>38250537422.658981</v>
      </c>
      <c r="AK110" s="1007">
        <f t="shared" si="22"/>
        <v>396859044.72532654</v>
      </c>
    </row>
    <row r="111" spans="1:37" s="857" customFormat="1" ht="35.25" customHeight="1" x14ac:dyDescent="0.2">
      <c r="A111" s="857">
        <v>52</v>
      </c>
      <c r="B111" s="857" t="str">
        <f>VLOOKUP(A111,RUAS,2,FALSE)</f>
        <v>TERMINAL - SENTAJO</v>
      </c>
      <c r="E111" s="884" t="str">
        <f>RIGHT(D111,1)</f>
        <v/>
      </c>
      <c r="F111" s="855"/>
      <c r="G111" s="878" t="s">
        <v>1219</v>
      </c>
      <c r="H111" s="879">
        <v>3557254334.12431</v>
      </c>
      <c r="I111" s="861" t="s">
        <v>2494</v>
      </c>
      <c r="J111" s="871"/>
      <c r="K111" s="861" t="s">
        <v>519</v>
      </c>
      <c r="L111" s="856"/>
      <c r="M111" s="862"/>
      <c r="N111" s="856">
        <v>1000</v>
      </c>
      <c r="O111" s="863" t="s">
        <v>3128</v>
      </c>
      <c r="P111" s="861">
        <v>2011</v>
      </c>
      <c r="Q111" s="862"/>
      <c r="R111" s="862"/>
      <c r="S111" s="862"/>
      <c r="T111" s="862" t="s">
        <v>12</v>
      </c>
      <c r="U111" s="899"/>
      <c r="V111" s="861" t="s">
        <v>43</v>
      </c>
      <c r="W111" s="865"/>
      <c r="X111" s="968"/>
      <c r="Y111" s="884" t="str">
        <f>LEFT(I111,8)</f>
        <v>04.13.01</v>
      </c>
      <c r="Z111" s="884" t="str">
        <f>VLOOKUP(Y111,UE,3,FALSE)</f>
        <v>Jalan</v>
      </c>
      <c r="AA111" s="884">
        <f>VLOOKUP(Y111,UE,4,FALSE)</f>
        <v>10</v>
      </c>
      <c r="AB111" s="868"/>
      <c r="AC111" s="885"/>
      <c r="AD111" s="868"/>
      <c r="AE111" s="868"/>
      <c r="AF111" s="868"/>
      <c r="AG111" s="868"/>
      <c r="AH111" s="868"/>
      <c r="AI111" s="886"/>
      <c r="AJ111" s="886"/>
      <c r="AK111" s="868">
        <f>U111-AJ111</f>
        <v>0</v>
      </c>
    </row>
    <row r="112" spans="1:37" s="857" customFormat="1" ht="35.25" customHeight="1" x14ac:dyDescent="0.2">
      <c r="A112" s="857">
        <v>52</v>
      </c>
      <c r="B112" s="857" t="str">
        <f>VLOOKUP(A112,RUAS,2,FALSE)</f>
        <v>TERMINAL - SENTAJO</v>
      </c>
      <c r="E112" s="884" t="str">
        <f>RIGHT(D112,1)</f>
        <v/>
      </c>
      <c r="F112" s="855"/>
      <c r="G112" s="878" t="s">
        <v>1274</v>
      </c>
      <c r="H112" s="879">
        <v>2219297579</v>
      </c>
      <c r="I112" s="861" t="s">
        <v>2494</v>
      </c>
      <c r="J112" s="871"/>
      <c r="K112" s="861" t="s">
        <v>519</v>
      </c>
      <c r="L112" s="856"/>
      <c r="M112" s="862"/>
      <c r="N112" s="856"/>
      <c r="O112" s="863" t="s">
        <v>3167</v>
      </c>
      <c r="P112" s="861">
        <v>2013</v>
      </c>
      <c r="Q112" s="862"/>
      <c r="R112" s="862"/>
      <c r="S112" s="862"/>
      <c r="T112" s="862" t="s">
        <v>12</v>
      </c>
      <c r="U112" s="899"/>
      <c r="V112" s="861" t="s">
        <v>43</v>
      </c>
      <c r="W112" s="865"/>
      <c r="X112" s="968"/>
      <c r="Y112" s="884" t="str">
        <f>LEFT(I112,8)</f>
        <v>04.13.01</v>
      </c>
      <c r="Z112" s="884" t="str">
        <f>VLOOKUP(Y112,UE,3,FALSE)</f>
        <v>Jalan</v>
      </c>
      <c r="AA112" s="884">
        <f>VLOOKUP(Y112,UE,4,FALSE)</f>
        <v>10</v>
      </c>
      <c r="AB112" s="868"/>
      <c r="AC112" s="885"/>
      <c r="AD112" s="868"/>
      <c r="AE112" s="868"/>
      <c r="AF112" s="868"/>
      <c r="AG112" s="868"/>
      <c r="AH112" s="868"/>
      <c r="AI112" s="886"/>
      <c r="AJ112" s="886"/>
      <c r="AK112" s="868">
        <f>U112-AJ112</f>
        <v>0</v>
      </c>
    </row>
    <row r="113" spans="1:37" s="857" customFormat="1" ht="35.25" customHeight="1" x14ac:dyDescent="0.15">
      <c r="A113" s="857">
        <v>52</v>
      </c>
      <c r="B113" s="857" t="str">
        <f t="shared" si="36"/>
        <v>TERMINAL - SENTAJO</v>
      </c>
      <c r="D113" s="857" t="s">
        <v>3905</v>
      </c>
      <c r="E113" s="877" t="s">
        <v>4247</v>
      </c>
      <c r="F113" s="855"/>
      <c r="G113" s="878" t="s">
        <v>1351</v>
      </c>
      <c r="H113" s="879">
        <v>49779000</v>
      </c>
      <c r="I113" s="880" t="s">
        <v>2494</v>
      </c>
      <c r="J113" s="880">
        <v>0</v>
      </c>
      <c r="K113" s="880">
        <v>0</v>
      </c>
      <c r="L113" s="881">
        <v>0</v>
      </c>
      <c r="M113" s="880">
        <v>0</v>
      </c>
      <c r="N113" s="881">
        <v>0</v>
      </c>
      <c r="O113" s="880" t="s">
        <v>561</v>
      </c>
      <c r="P113" s="1126">
        <v>2014</v>
      </c>
      <c r="Q113" s="880">
        <v>0</v>
      </c>
      <c r="R113" s="880">
        <v>0</v>
      </c>
      <c r="S113" s="880">
        <v>0</v>
      </c>
      <c r="T113" s="880">
        <v>0</v>
      </c>
      <c r="U113" s="882"/>
      <c r="V113" s="880">
        <v>0</v>
      </c>
      <c r="W113" s="880">
        <v>0</v>
      </c>
      <c r="X113" s="969"/>
      <c r="Y113" s="883" t="str">
        <f t="shared" si="25"/>
        <v>04.13.01</v>
      </c>
      <c r="Z113" s="884" t="str">
        <f t="shared" si="23"/>
        <v>Jalan</v>
      </c>
      <c r="AA113" s="884">
        <f t="shared" si="24"/>
        <v>10</v>
      </c>
      <c r="AB113" s="868"/>
      <c r="AC113" s="885">
        <f>IF(2013-P113&gt;AA113,10,IF(2013-P113&lt;0,0,2013-P113))</f>
        <v>0</v>
      </c>
      <c r="AD113" s="868"/>
      <c r="AE113" s="868"/>
      <c r="AF113" s="868"/>
      <c r="AG113" s="868"/>
      <c r="AH113" s="868"/>
      <c r="AI113" s="886"/>
      <c r="AJ113" s="886"/>
      <c r="AK113" s="868">
        <f t="shared" si="22"/>
        <v>0</v>
      </c>
    </row>
    <row r="114" spans="1:37" s="857" customFormat="1" ht="35.25" customHeight="1" x14ac:dyDescent="0.15">
      <c r="A114" s="857">
        <v>52</v>
      </c>
      <c r="B114" s="857" t="str">
        <f t="shared" si="36"/>
        <v>TERMINAL - SENTAJO</v>
      </c>
      <c r="D114" s="857" t="s">
        <v>3906</v>
      </c>
      <c r="E114" s="877" t="s">
        <v>4247</v>
      </c>
      <c r="F114" s="855"/>
      <c r="G114" s="878" t="s">
        <v>1359</v>
      </c>
      <c r="H114" s="879">
        <v>1038080204</v>
      </c>
      <c r="I114" s="880" t="s">
        <v>2494</v>
      </c>
      <c r="J114" s="880">
        <v>0</v>
      </c>
      <c r="K114" s="880">
        <v>0</v>
      </c>
      <c r="L114" s="881">
        <v>0</v>
      </c>
      <c r="M114" s="880">
        <v>0</v>
      </c>
      <c r="N114" s="881">
        <v>0</v>
      </c>
      <c r="O114" s="880" t="s">
        <v>561</v>
      </c>
      <c r="P114" s="1126">
        <v>2015</v>
      </c>
      <c r="Q114" s="880">
        <v>0</v>
      </c>
      <c r="R114" s="880">
        <v>0</v>
      </c>
      <c r="S114" s="880">
        <v>0</v>
      </c>
      <c r="T114" s="880" t="s">
        <v>12</v>
      </c>
      <c r="U114" s="882"/>
      <c r="V114" s="880">
        <v>0</v>
      </c>
      <c r="W114" s="880">
        <v>0</v>
      </c>
      <c r="X114" s="969"/>
      <c r="Y114" s="883" t="str">
        <f t="shared" si="25"/>
        <v>04.13.01</v>
      </c>
      <c r="Z114" s="884" t="str">
        <f t="shared" si="23"/>
        <v>Jalan</v>
      </c>
      <c r="AA114" s="884">
        <f t="shared" si="24"/>
        <v>10</v>
      </c>
      <c r="AB114" s="868"/>
      <c r="AC114" s="885">
        <f>IF(2013-P114&gt;AA114,10,IF(2013-P114&lt;0,0,2013-P114))</f>
        <v>0</v>
      </c>
      <c r="AD114" s="868"/>
      <c r="AE114" s="868"/>
      <c r="AF114" s="868"/>
      <c r="AG114" s="868"/>
      <c r="AH114" s="868"/>
      <c r="AI114" s="886"/>
      <c r="AJ114" s="886"/>
      <c r="AK114" s="868">
        <f t="shared" si="22"/>
        <v>0</v>
      </c>
    </row>
    <row r="115" spans="1:37" s="857" customFormat="1" ht="35.25" customHeight="1" x14ac:dyDescent="0.15">
      <c r="A115" s="857">
        <v>52</v>
      </c>
      <c r="B115" s="857" t="str">
        <f t="shared" si="36"/>
        <v>TERMINAL - SENTAJO</v>
      </c>
      <c r="D115" s="857" t="s">
        <v>3907</v>
      </c>
      <c r="E115" s="877" t="s">
        <v>4247</v>
      </c>
      <c r="F115" s="855"/>
      <c r="G115" s="878" t="s">
        <v>1396</v>
      </c>
      <c r="H115" s="879">
        <v>194582579</v>
      </c>
      <c r="I115" s="880" t="s">
        <v>2494</v>
      </c>
      <c r="J115" s="880">
        <v>0</v>
      </c>
      <c r="K115" s="880">
        <v>0</v>
      </c>
      <c r="L115" s="881">
        <v>0</v>
      </c>
      <c r="M115" s="880">
        <v>0</v>
      </c>
      <c r="N115" s="881">
        <v>0</v>
      </c>
      <c r="O115" s="880" t="s">
        <v>561</v>
      </c>
      <c r="P115" s="1126">
        <v>2015</v>
      </c>
      <c r="Q115" s="880">
        <v>0</v>
      </c>
      <c r="R115" s="880">
        <v>0</v>
      </c>
      <c r="S115" s="880">
        <v>0</v>
      </c>
      <c r="T115" s="880" t="s">
        <v>12</v>
      </c>
      <c r="U115" s="882"/>
      <c r="V115" s="880">
        <v>0</v>
      </c>
      <c r="W115" s="880">
        <v>0</v>
      </c>
      <c r="X115" s="969"/>
      <c r="Y115" s="883" t="str">
        <f t="shared" si="25"/>
        <v>04.13.01</v>
      </c>
      <c r="Z115" s="884" t="str">
        <f t="shared" si="23"/>
        <v>Jalan</v>
      </c>
      <c r="AA115" s="884">
        <f t="shared" si="24"/>
        <v>10</v>
      </c>
      <c r="AB115" s="868"/>
      <c r="AC115" s="885">
        <f>IF(2013-P115&gt;AA115,10,IF(2013-P115&lt;0,0,2013-P115))</f>
        <v>0</v>
      </c>
      <c r="AD115" s="868"/>
      <c r="AE115" s="868"/>
      <c r="AF115" s="868"/>
      <c r="AG115" s="868"/>
      <c r="AH115" s="868"/>
      <c r="AI115" s="886"/>
      <c r="AJ115" s="886"/>
      <c r="AK115" s="868">
        <f t="shared" si="22"/>
        <v>0</v>
      </c>
    </row>
    <row r="116" spans="1:37" s="857" customFormat="1" ht="35.25" customHeight="1" x14ac:dyDescent="0.2">
      <c r="A116" s="857">
        <v>53</v>
      </c>
      <c r="B116" s="857" t="str">
        <f t="shared" si="36"/>
        <v>JL. PL. ARO - PL. ARO</v>
      </c>
      <c r="D116" s="857" t="s">
        <v>3908</v>
      </c>
      <c r="E116" s="884" t="str">
        <f t="shared" si="26"/>
        <v>1</v>
      </c>
      <c r="F116" s="855"/>
      <c r="G116" s="878" t="s">
        <v>529</v>
      </c>
      <c r="H116" s="879"/>
      <c r="I116" s="880" t="s">
        <v>2494</v>
      </c>
      <c r="J116" s="880">
        <v>0</v>
      </c>
      <c r="K116" s="880" t="s">
        <v>479</v>
      </c>
      <c r="L116" s="881">
        <v>3400</v>
      </c>
      <c r="M116" s="880">
        <v>8</v>
      </c>
      <c r="N116" s="881">
        <v>27200</v>
      </c>
      <c r="O116" s="880" t="s">
        <v>556</v>
      </c>
      <c r="P116" s="1126">
        <v>2001</v>
      </c>
      <c r="Q116" s="880">
        <v>0</v>
      </c>
      <c r="R116" s="880">
        <v>0</v>
      </c>
      <c r="S116" s="880" t="s">
        <v>482</v>
      </c>
      <c r="T116" s="880" t="s">
        <v>12</v>
      </c>
      <c r="U116" s="882">
        <v>2856000000</v>
      </c>
      <c r="V116" s="880" t="s">
        <v>43</v>
      </c>
      <c r="W116" s="880">
        <v>0</v>
      </c>
      <c r="X116" s="969"/>
      <c r="Y116" s="884" t="str">
        <f t="shared" si="25"/>
        <v>04.13.01</v>
      </c>
      <c r="Z116" s="884" t="str">
        <f t="shared" si="23"/>
        <v>Jalan</v>
      </c>
      <c r="AA116" s="884">
        <f t="shared" si="24"/>
        <v>10</v>
      </c>
      <c r="AB116" s="868">
        <f t="shared" ref="AB116:AB127" si="37">U116/AA116</f>
        <v>285600000</v>
      </c>
      <c r="AC116" s="885">
        <f t="shared" ref="AC116:AC127" si="38">IF(2013-P116+1&gt;AA116,AA116,IF(2013-P116+1&lt;0,0,2013-P116+1))</f>
        <v>10</v>
      </c>
      <c r="AD116" s="868">
        <f t="shared" ref="AD116:AD127" si="39">IF(AC116&gt;AA116,U116,AB116*AC116)</f>
        <v>2856000000</v>
      </c>
      <c r="AE116" s="868">
        <f t="shared" ref="AE116:AE127" si="40">IF(U116=AD116,0,AB116)</f>
        <v>0</v>
      </c>
      <c r="AF116" s="868">
        <f t="shared" ref="AF116:AF127" si="41">IF(U116=AD116+AE116,0,AB116)</f>
        <v>0</v>
      </c>
      <c r="AG116" s="868">
        <f t="shared" ref="AG116:AG127" si="42">IF(U116=AD116+AE116+AF116,0,AB116)</f>
        <v>0</v>
      </c>
      <c r="AH116" s="868">
        <f t="shared" ref="AH116:AH127" si="43">IF(U116=AE116+AF116+AG116+AD116,0,AB116)</f>
        <v>0</v>
      </c>
      <c r="AI116" s="886">
        <f t="shared" ref="AI116:AI127" si="44">IF(U116=AE116+AF116+AG116+AD116+AH116,0,AB116)</f>
        <v>0</v>
      </c>
      <c r="AJ116" s="886">
        <f t="shared" ref="AJ116:AJ127" si="45">SUM(AD116:AI116)</f>
        <v>2856000000</v>
      </c>
      <c r="AK116" s="868">
        <f t="shared" si="22"/>
        <v>0</v>
      </c>
    </row>
    <row r="117" spans="1:37" s="857" customFormat="1" ht="35.25" customHeight="1" x14ac:dyDescent="0.2">
      <c r="A117" s="857">
        <v>54</v>
      </c>
      <c r="B117" s="857" t="str">
        <f t="shared" si="36"/>
        <v>JL. SAWAH - PL. KOMANG</v>
      </c>
      <c r="D117" s="857" t="s">
        <v>3909</v>
      </c>
      <c r="E117" s="884" t="str">
        <f t="shared" si="26"/>
        <v>1</v>
      </c>
      <c r="F117" s="855"/>
      <c r="G117" s="878" t="s">
        <v>529</v>
      </c>
      <c r="H117" s="879"/>
      <c r="I117" s="880" t="s">
        <v>2494</v>
      </c>
      <c r="J117" s="880">
        <v>0</v>
      </c>
      <c r="K117" s="880" t="s">
        <v>479</v>
      </c>
      <c r="L117" s="881">
        <v>3500</v>
      </c>
      <c r="M117" s="880">
        <v>8</v>
      </c>
      <c r="N117" s="881">
        <v>28000</v>
      </c>
      <c r="O117" s="880" t="s">
        <v>557</v>
      </c>
      <c r="P117" s="1126">
        <v>2001</v>
      </c>
      <c r="Q117" s="880">
        <v>0</v>
      </c>
      <c r="R117" s="880">
        <v>0</v>
      </c>
      <c r="S117" s="880" t="s">
        <v>482</v>
      </c>
      <c r="T117" s="880" t="s">
        <v>12</v>
      </c>
      <c r="U117" s="882">
        <v>2940000000</v>
      </c>
      <c r="V117" s="880" t="s">
        <v>43</v>
      </c>
      <c r="W117" s="880">
        <v>0</v>
      </c>
      <c r="X117" s="969"/>
      <c r="Y117" s="884" t="str">
        <f t="shared" si="25"/>
        <v>04.13.01</v>
      </c>
      <c r="Z117" s="884" t="str">
        <f t="shared" si="23"/>
        <v>Jalan</v>
      </c>
      <c r="AA117" s="884">
        <f t="shared" si="24"/>
        <v>10</v>
      </c>
      <c r="AB117" s="868">
        <f t="shared" si="37"/>
        <v>294000000</v>
      </c>
      <c r="AC117" s="885">
        <f t="shared" si="38"/>
        <v>10</v>
      </c>
      <c r="AD117" s="868">
        <f t="shared" si="39"/>
        <v>2940000000</v>
      </c>
      <c r="AE117" s="868">
        <f t="shared" si="40"/>
        <v>0</v>
      </c>
      <c r="AF117" s="868">
        <f t="shared" si="41"/>
        <v>0</v>
      </c>
      <c r="AG117" s="868">
        <f t="shared" si="42"/>
        <v>0</v>
      </c>
      <c r="AH117" s="868">
        <f t="shared" si="43"/>
        <v>0</v>
      </c>
      <c r="AI117" s="886">
        <f t="shared" si="44"/>
        <v>0</v>
      </c>
      <c r="AJ117" s="886">
        <f t="shared" si="45"/>
        <v>2940000000</v>
      </c>
      <c r="AK117" s="868">
        <f t="shared" si="22"/>
        <v>0</v>
      </c>
    </row>
    <row r="118" spans="1:37" s="857" customFormat="1" ht="35.25" customHeight="1" x14ac:dyDescent="0.2">
      <c r="A118" s="857">
        <v>56</v>
      </c>
      <c r="B118" s="857" t="str">
        <f t="shared" si="36"/>
        <v>JL. PDAM - DESA BERINGIN</v>
      </c>
      <c r="D118" s="857" t="s">
        <v>3910</v>
      </c>
      <c r="E118" s="884" t="str">
        <f t="shared" si="26"/>
        <v>1</v>
      </c>
      <c r="F118" s="855"/>
      <c r="G118" s="878" t="s">
        <v>529</v>
      </c>
      <c r="H118" s="879"/>
      <c r="I118" s="880" t="s">
        <v>2494</v>
      </c>
      <c r="J118" s="880">
        <v>0</v>
      </c>
      <c r="K118" s="880" t="s">
        <v>8</v>
      </c>
      <c r="L118" s="881" t="s">
        <v>558</v>
      </c>
      <c r="M118" s="880">
        <v>7</v>
      </c>
      <c r="N118" s="881">
        <v>3850</v>
      </c>
      <c r="O118" s="880" t="s">
        <v>559</v>
      </c>
      <c r="P118" s="1126">
        <v>2001</v>
      </c>
      <c r="Q118" s="880">
        <v>0</v>
      </c>
      <c r="R118" s="880">
        <v>0</v>
      </c>
      <c r="S118" s="880" t="s">
        <v>482</v>
      </c>
      <c r="T118" s="880" t="s">
        <v>12</v>
      </c>
      <c r="U118" s="882">
        <v>107250000</v>
      </c>
      <c r="V118" s="880" t="s">
        <v>43</v>
      </c>
      <c r="W118" s="880">
        <v>0</v>
      </c>
      <c r="X118" s="969"/>
      <c r="Y118" s="884" t="str">
        <f t="shared" si="25"/>
        <v>04.13.01</v>
      </c>
      <c r="Z118" s="884" t="str">
        <f t="shared" si="23"/>
        <v>Jalan</v>
      </c>
      <c r="AA118" s="884">
        <f t="shared" si="24"/>
        <v>10</v>
      </c>
      <c r="AB118" s="868">
        <f t="shared" si="37"/>
        <v>10725000</v>
      </c>
      <c r="AC118" s="885">
        <f t="shared" si="38"/>
        <v>10</v>
      </c>
      <c r="AD118" s="868">
        <f t="shared" si="39"/>
        <v>107250000</v>
      </c>
      <c r="AE118" s="868">
        <f t="shared" si="40"/>
        <v>0</v>
      </c>
      <c r="AF118" s="868">
        <f t="shared" si="41"/>
        <v>0</v>
      </c>
      <c r="AG118" s="868">
        <f t="shared" si="42"/>
        <v>0</v>
      </c>
      <c r="AH118" s="868">
        <f t="shared" si="43"/>
        <v>0</v>
      </c>
      <c r="AI118" s="886">
        <f t="shared" si="44"/>
        <v>0</v>
      </c>
      <c r="AJ118" s="886">
        <f t="shared" si="45"/>
        <v>107250000</v>
      </c>
      <c r="AK118" s="868">
        <f t="shared" si="22"/>
        <v>0</v>
      </c>
    </row>
    <row r="119" spans="1:37" s="857" customFormat="1" ht="35.25" customHeight="1" x14ac:dyDescent="0.2">
      <c r="A119" s="857">
        <v>57</v>
      </c>
      <c r="B119" s="857" t="str">
        <f t="shared" si="36"/>
        <v>JL. KERAMAT - SD BERINGIN</v>
      </c>
      <c r="D119" s="857" t="s">
        <v>3911</v>
      </c>
      <c r="E119" s="884" t="str">
        <f t="shared" si="26"/>
        <v>1</v>
      </c>
      <c r="F119" s="855"/>
      <c r="G119" s="878" t="s">
        <v>529</v>
      </c>
      <c r="H119" s="879"/>
      <c r="I119" s="880" t="s">
        <v>2494</v>
      </c>
      <c r="J119" s="880">
        <v>0</v>
      </c>
      <c r="K119" s="880" t="s">
        <v>479</v>
      </c>
      <c r="L119" s="881" t="s">
        <v>551</v>
      </c>
      <c r="M119" s="880">
        <v>7</v>
      </c>
      <c r="N119" s="881">
        <v>2800</v>
      </c>
      <c r="O119" s="880" t="s">
        <v>552</v>
      </c>
      <c r="P119" s="1126">
        <v>2001</v>
      </c>
      <c r="Q119" s="880">
        <v>0</v>
      </c>
      <c r="R119" s="880">
        <v>0</v>
      </c>
      <c r="S119" s="880" t="s">
        <v>482</v>
      </c>
      <c r="T119" s="880" t="s">
        <v>12</v>
      </c>
      <c r="U119" s="882">
        <v>336000000</v>
      </c>
      <c r="V119" s="880" t="s">
        <v>135</v>
      </c>
      <c r="W119" s="880">
        <v>0</v>
      </c>
      <c r="X119" s="969"/>
      <c r="Y119" s="884" t="str">
        <f t="shared" si="25"/>
        <v>04.13.01</v>
      </c>
      <c r="Z119" s="884" t="str">
        <f t="shared" si="23"/>
        <v>Jalan</v>
      </c>
      <c r="AA119" s="884">
        <f t="shared" si="24"/>
        <v>10</v>
      </c>
      <c r="AB119" s="868">
        <f t="shared" si="37"/>
        <v>33600000</v>
      </c>
      <c r="AC119" s="885">
        <f t="shared" si="38"/>
        <v>10</v>
      </c>
      <c r="AD119" s="868">
        <f t="shared" si="39"/>
        <v>336000000</v>
      </c>
      <c r="AE119" s="868">
        <f t="shared" si="40"/>
        <v>0</v>
      </c>
      <c r="AF119" s="868">
        <f t="shared" si="41"/>
        <v>0</v>
      </c>
      <c r="AG119" s="868">
        <f t="shared" si="42"/>
        <v>0</v>
      </c>
      <c r="AH119" s="868">
        <f t="shared" si="43"/>
        <v>0</v>
      </c>
      <c r="AI119" s="886">
        <f t="shared" si="44"/>
        <v>0</v>
      </c>
      <c r="AJ119" s="886">
        <f t="shared" si="45"/>
        <v>336000000</v>
      </c>
      <c r="AK119" s="868">
        <f t="shared" si="22"/>
        <v>0</v>
      </c>
    </row>
    <row r="120" spans="1:37" s="857" customFormat="1" ht="35.25" customHeight="1" x14ac:dyDescent="0.2">
      <c r="A120" s="857">
        <v>58</v>
      </c>
      <c r="B120" s="857" t="str">
        <f t="shared" si="36"/>
        <v>JL. BARANGAN - RUAS 041/041</v>
      </c>
      <c r="D120" s="857" t="s">
        <v>3912</v>
      </c>
      <c r="E120" s="884" t="str">
        <f t="shared" si="26"/>
        <v>1</v>
      </c>
      <c r="F120" s="855"/>
      <c r="G120" s="878" t="s">
        <v>529</v>
      </c>
      <c r="H120" s="879"/>
      <c r="I120" s="880" t="s">
        <v>2494</v>
      </c>
      <c r="J120" s="880">
        <v>0</v>
      </c>
      <c r="K120" s="880" t="s">
        <v>492</v>
      </c>
      <c r="L120" s="881">
        <v>1850</v>
      </c>
      <c r="M120" s="880">
        <v>8</v>
      </c>
      <c r="N120" s="881">
        <v>14800</v>
      </c>
      <c r="O120" s="880" t="s">
        <v>553</v>
      </c>
      <c r="P120" s="1126">
        <v>2001</v>
      </c>
      <c r="Q120" s="880">
        <v>0</v>
      </c>
      <c r="R120" s="880">
        <v>0</v>
      </c>
      <c r="S120" s="880" t="s">
        <v>482</v>
      </c>
      <c r="T120" s="880" t="s">
        <v>12</v>
      </c>
      <c r="U120" s="882">
        <v>999000000</v>
      </c>
      <c r="V120" s="880" t="s">
        <v>43</v>
      </c>
      <c r="W120" s="880">
        <v>0</v>
      </c>
      <c r="X120" s="969"/>
      <c r="Y120" s="884" t="str">
        <f t="shared" si="25"/>
        <v>04.13.01</v>
      </c>
      <c r="Z120" s="884" t="str">
        <f t="shared" si="23"/>
        <v>Jalan</v>
      </c>
      <c r="AA120" s="884">
        <f t="shared" si="24"/>
        <v>10</v>
      </c>
      <c r="AB120" s="868">
        <f t="shared" si="37"/>
        <v>99900000</v>
      </c>
      <c r="AC120" s="885">
        <f t="shared" si="38"/>
        <v>10</v>
      </c>
      <c r="AD120" s="868">
        <f t="shared" si="39"/>
        <v>999000000</v>
      </c>
      <c r="AE120" s="868">
        <f t="shared" si="40"/>
        <v>0</v>
      </c>
      <c r="AF120" s="868">
        <f t="shared" si="41"/>
        <v>0</v>
      </c>
      <c r="AG120" s="868">
        <f t="shared" si="42"/>
        <v>0</v>
      </c>
      <c r="AH120" s="868">
        <f t="shared" si="43"/>
        <v>0</v>
      </c>
      <c r="AI120" s="886">
        <f t="shared" si="44"/>
        <v>0</v>
      </c>
      <c r="AJ120" s="886">
        <f t="shared" si="45"/>
        <v>999000000</v>
      </c>
      <c r="AK120" s="868">
        <f t="shared" si="22"/>
        <v>0</v>
      </c>
    </row>
    <row r="121" spans="1:37" s="857" customFormat="1" ht="35.25" customHeight="1" x14ac:dyDescent="0.2">
      <c r="A121" s="857">
        <v>59</v>
      </c>
      <c r="B121" s="857" t="str">
        <f t="shared" si="36"/>
        <v>JL. BANGSAL - RUAS 041/041</v>
      </c>
      <c r="D121" s="857" t="s">
        <v>3913</v>
      </c>
      <c r="E121" s="884" t="str">
        <f t="shared" si="26"/>
        <v>1</v>
      </c>
      <c r="F121" s="855"/>
      <c r="G121" s="878" t="s">
        <v>529</v>
      </c>
      <c r="H121" s="879"/>
      <c r="I121" s="880" t="s">
        <v>2494</v>
      </c>
      <c r="J121" s="880">
        <v>0</v>
      </c>
      <c r="K121" s="880" t="s">
        <v>492</v>
      </c>
      <c r="L121" s="881">
        <v>1300</v>
      </c>
      <c r="M121" s="880">
        <v>7</v>
      </c>
      <c r="N121" s="881">
        <v>9100</v>
      </c>
      <c r="O121" s="880" t="s">
        <v>554</v>
      </c>
      <c r="P121" s="1126">
        <v>2001</v>
      </c>
      <c r="Q121" s="880">
        <v>0</v>
      </c>
      <c r="R121" s="880">
        <v>0</v>
      </c>
      <c r="S121" s="880" t="s">
        <v>482</v>
      </c>
      <c r="T121" s="880" t="s">
        <v>12</v>
      </c>
      <c r="U121" s="882">
        <v>468000000</v>
      </c>
      <c r="V121" s="880" t="s">
        <v>43</v>
      </c>
      <c r="W121" s="880">
        <v>0</v>
      </c>
      <c r="X121" s="969"/>
      <c r="Y121" s="884" t="str">
        <f t="shared" si="25"/>
        <v>04.13.01</v>
      </c>
      <c r="Z121" s="884" t="str">
        <f t="shared" si="23"/>
        <v>Jalan</v>
      </c>
      <c r="AA121" s="884">
        <f t="shared" si="24"/>
        <v>10</v>
      </c>
      <c r="AB121" s="868">
        <f t="shared" si="37"/>
        <v>46800000</v>
      </c>
      <c r="AC121" s="885">
        <f t="shared" si="38"/>
        <v>10</v>
      </c>
      <c r="AD121" s="868">
        <f t="shared" si="39"/>
        <v>468000000</v>
      </c>
      <c r="AE121" s="868">
        <f t="shared" si="40"/>
        <v>0</v>
      </c>
      <c r="AF121" s="868">
        <f t="shared" si="41"/>
        <v>0</v>
      </c>
      <c r="AG121" s="868">
        <f t="shared" si="42"/>
        <v>0</v>
      </c>
      <c r="AH121" s="868">
        <f t="shared" si="43"/>
        <v>0</v>
      </c>
      <c r="AI121" s="886">
        <f t="shared" si="44"/>
        <v>0</v>
      </c>
      <c r="AJ121" s="886">
        <f t="shared" si="45"/>
        <v>468000000</v>
      </c>
      <c r="AK121" s="868">
        <f t="shared" si="22"/>
        <v>0</v>
      </c>
    </row>
    <row r="122" spans="1:37" s="857" customFormat="1" ht="35.25" customHeight="1" x14ac:dyDescent="0.2">
      <c r="A122" s="857">
        <v>60</v>
      </c>
      <c r="B122" s="857" t="str">
        <f t="shared" si="36"/>
        <v>JL. PADAT KARYA I - JP. KM 162 + 300</v>
      </c>
      <c r="D122" s="857" t="s">
        <v>3914</v>
      </c>
      <c r="E122" s="884" t="str">
        <f t="shared" si="26"/>
        <v>1</v>
      </c>
      <c r="F122" s="855"/>
      <c r="G122" s="878" t="s">
        <v>529</v>
      </c>
      <c r="H122" s="879"/>
      <c r="I122" s="880" t="s">
        <v>2494</v>
      </c>
      <c r="J122" s="880">
        <v>0</v>
      </c>
      <c r="K122" s="880" t="s">
        <v>492</v>
      </c>
      <c r="L122" s="881" t="s">
        <v>541</v>
      </c>
      <c r="M122" s="880">
        <v>7</v>
      </c>
      <c r="N122" s="881">
        <v>4200</v>
      </c>
      <c r="O122" s="880" t="s">
        <v>547</v>
      </c>
      <c r="P122" s="1126">
        <v>2001</v>
      </c>
      <c r="Q122" s="880">
        <v>0</v>
      </c>
      <c r="R122" s="880">
        <v>0</v>
      </c>
      <c r="S122" s="880" t="s">
        <v>482</v>
      </c>
      <c r="T122" s="880" t="s">
        <v>12</v>
      </c>
      <c r="U122" s="882">
        <v>216000000</v>
      </c>
      <c r="V122" s="880" t="s">
        <v>43</v>
      </c>
      <c r="W122" s="880">
        <v>0</v>
      </c>
      <c r="X122" s="969"/>
      <c r="Y122" s="884" t="str">
        <f t="shared" si="25"/>
        <v>04.13.01</v>
      </c>
      <c r="Z122" s="884" t="str">
        <f t="shared" si="23"/>
        <v>Jalan</v>
      </c>
      <c r="AA122" s="884">
        <f t="shared" si="24"/>
        <v>10</v>
      </c>
      <c r="AB122" s="868">
        <f t="shared" si="37"/>
        <v>21600000</v>
      </c>
      <c r="AC122" s="885">
        <f t="shared" si="38"/>
        <v>10</v>
      </c>
      <c r="AD122" s="868">
        <f t="shared" si="39"/>
        <v>216000000</v>
      </c>
      <c r="AE122" s="868">
        <f t="shared" si="40"/>
        <v>0</v>
      </c>
      <c r="AF122" s="868">
        <f t="shared" si="41"/>
        <v>0</v>
      </c>
      <c r="AG122" s="868">
        <f t="shared" si="42"/>
        <v>0</v>
      </c>
      <c r="AH122" s="868">
        <f t="shared" si="43"/>
        <v>0</v>
      </c>
      <c r="AI122" s="886">
        <f t="shared" si="44"/>
        <v>0</v>
      </c>
      <c r="AJ122" s="886">
        <f t="shared" si="45"/>
        <v>216000000</v>
      </c>
      <c r="AK122" s="868">
        <f t="shared" si="22"/>
        <v>0</v>
      </c>
    </row>
    <row r="123" spans="1:37" s="857" customFormat="1" ht="35.25" customHeight="1" x14ac:dyDescent="0.2">
      <c r="A123" s="857">
        <v>60</v>
      </c>
      <c r="B123" s="857" t="str">
        <f>VLOOKUP(A123,RUAS,2,FALSE)</f>
        <v>JL. PADAT KARYA I - JP. KM 162 + 300</v>
      </c>
      <c r="E123" s="884" t="str">
        <f>RIGHT(D123,1)</f>
        <v/>
      </c>
      <c r="F123" s="855"/>
      <c r="G123" s="878" t="s">
        <v>529</v>
      </c>
      <c r="H123" s="879"/>
      <c r="I123" s="880" t="s">
        <v>2494</v>
      </c>
      <c r="J123" s="880"/>
      <c r="K123" s="880" t="s">
        <v>525</v>
      </c>
      <c r="L123" s="881" t="s">
        <v>649</v>
      </c>
      <c r="M123" s="880"/>
      <c r="N123" s="881"/>
      <c r="O123" s="880" t="s">
        <v>650</v>
      </c>
      <c r="P123" s="1126">
        <v>2001</v>
      </c>
      <c r="Q123" s="880"/>
      <c r="R123" s="880"/>
      <c r="S123" s="880" t="s">
        <v>482</v>
      </c>
      <c r="T123" s="880" t="s">
        <v>12</v>
      </c>
      <c r="U123" s="882">
        <v>303750000</v>
      </c>
      <c r="V123" s="880" t="s">
        <v>43</v>
      </c>
      <c r="W123" s="880"/>
      <c r="X123" s="969"/>
      <c r="Y123" s="884" t="str">
        <f>LEFT(I123,8)</f>
        <v>04.13.01</v>
      </c>
      <c r="Z123" s="884" t="str">
        <f>VLOOKUP(Y123,UE,3,FALSE)</f>
        <v>Jalan</v>
      </c>
      <c r="AA123" s="884">
        <f>VLOOKUP(Y123,UE,4,FALSE)</f>
        <v>10</v>
      </c>
      <c r="AB123" s="868">
        <f>U123/AA123</f>
        <v>30375000</v>
      </c>
      <c r="AC123" s="885">
        <f>IF(2013-P123+1&gt;AA123,AA123,IF(2013-P123+1&lt;0,0,2013-P123+1))</f>
        <v>10</v>
      </c>
      <c r="AD123" s="868">
        <f>IF(AC123&gt;AA123,U123,AB123*AC123)</f>
        <v>303750000</v>
      </c>
      <c r="AE123" s="868">
        <f>IF(U123=AD123,0,AB123)</f>
        <v>0</v>
      </c>
      <c r="AF123" s="868">
        <f>IF(U123=AD123+AE123,0,AB123)</f>
        <v>0</v>
      </c>
      <c r="AG123" s="868">
        <f>IF(U123=AD123+AE123+AF123,0,AB123)</f>
        <v>0</v>
      </c>
      <c r="AH123" s="868">
        <f>IF(U123=AE123+AF123+AG123+AD123,0,AB123)</f>
        <v>0</v>
      </c>
      <c r="AI123" s="886">
        <f>IF(U123=AE123+AF123+AG123+AD123+AH123,0,AB123)</f>
        <v>0</v>
      </c>
      <c r="AJ123" s="886">
        <f>SUM(AD123:AI123)</f>
        <v>303750000</v>
      </c>
      <c r="AK123" s="868">
        <f>U123-AJ123</f>
        <v>0</v>
      </c>
    </row>
    <row r="124" spans="1:37" s="857" customFormat="1" ht="35.25" customHeight="1" x14ac:dyDescent="0.2">
      <c r="A124" s="857">
        <v>61</v>
      </c>
      <c r="B124" s="857" t="str">
        <f t="shared" si="36"/>
        <v>JL. PADAT KARYA II - BUNTU</v>
      </c>
      <c r="D124" s="857" t="s">
        <v>3915</v>
      </c>
      <c r="E124" s="884" t="str">
        <f t="shared" si="26"/>
        <v>1</v>
      </c>
      <c r="F124" s="855"/>
      <c r="G124" s="878" t="s">
        <v>529</v>
      </c>
      <c r="H124" s="879"/>
      <c r="I124" s="880" t="s">
        <v>2494</v>
      </c>
      <c r="J124" s="880">
        <v>0</v>
      </c>
      <c r="K124" s="880" t="s">
        <v>8</v>
      </c>
      <c r="L124" s="881" t="s">
        <v>548</v>
      </c>
      <c r="M124" s="880">
        <v>7</v>
      </c>
      <c r="N124" s="881">
        <v>5250</v>
      </c>
      <c r="O124" s="880" t="s">
        <v>549</v>
      </c>
      <c r="P124" s="1126">
        <v>2001</v>
      </c>
      <c r="Q124" s="880">
        <v>0</v>
      </c>
      <c r="R124" s="880">
        <v>0</v>
      </c>
      <c r="S124" s="880" t="s">
        <v>482</v>
      </c>
      <c r="T124" s="880" t="s">
        <v>12</v>
      </c>
      <c r="U124" s="882">
        <v>168750000</v>
      </c>
      <c r="V124" s="880" t="s">
        <v>43</v>
      </c>
      <c r="W124" s="880">
        <v>0</v>
      </c>
      <c r="X124" s="969"/>
      <c r="Y124" s="884" t="str">
        <f t="shared" si="25"/>
        <v>04.13.01</v>
      </c>
      <c r="Z124" s="884" t="str">
        <f t="shared" si="23"/>
        <v>Jalan</v>
      </c>
      <c r="AA124" s="884">
        <f t="shared" si="24"/>
        <v>10</v>
      </c>
      <c r="AB124" s="868">
        <f t="shared" si="37"/>
        <v>16875000</v>
      </c>
      <c r="AC124" s="885">
        <f t="shared" si="38"/>
        <v>10</v>
      </c>
      <c r="AD124" s="868">
        <f t="shared" si="39"/>
        <v>168750000</v>
      </c>
      <c r="AE124" s="868">
        <f t="shared" si="40"/>
        <v>0</v>
      </c>
      <c r="AF124" s="868">
        <f t="shared" si="41"/>
        <v>0</v>
      </c>
      <c r="AG124" s="868">
        <f t="shared" si="42"/>
        <v>0</v>
      </c>
      <c r="AH124" s="868">
        <f t="shared" si="43"/>
        <v>0</v>
      </c>
      <c r="AI124" s="886">
        <f t="shared" si="44"/>
        <v>0</v>
      </c>
      <c r="AJ124" s="886">
        <f t="shared" si="45"/>
        <v>168750000</v>
      </c>
      <c r="AK124" s="868">
        <f t="shared" si="22"/>
        <v>0</v>
      </c>
    </row>
    <row r="125" spans="1:37" s="857" customFormat="1" ht="35.25" customHeight="1" x14ac:dyDescent="0.2">
      <c r="A125" s="857">
        <v>62</v>
      </c>
      <c r="B125" s="857" t="str">
        <f t="shared" si="36"/>
        <v>JL. PLN - JP. KM 159 + 300</v>
      </c>
      <c r="D125" s="857" t="s">
        <v>3916</v>
      </c>
      <c r="E125" s="884" t="str">
        <f t="shared" si="26"/>
        <v>1</v>
      </c>
      <c r="F125" s="855"/>
      <c r="G125" s="878" t="s">
        <v>529</v>
      </c>
      <c r="H125" s="879"/>
      <c r="I125" s="880" t="s">
        <v>2494</v>
      </c>
      <c r="J125" s="880">
        <v>0</v>
      </c>
      <c r="K125" s="880" t="s">
        <v>492</v>
      </c>
      <c r="L125" s="881" t="s">
        <v>530</v>
      </c>
      <c r="M125" s="880">
        <v>7</v>
      </c>
      <c r="N125" s="881">
        <v>3500</v>
      </c>
      <c r="O125" s="880" t="s">
        <v>550</v>
      </c>
      <c r="P125" s="1126">
        <v>2001</v>
      </c>
      <c r="Q125" s="880">
        <v>0</v>
      </c>
      <c r="R125" s="880">
        <v>0</v>
      </c>
      <c r="S125" s="880" t="s">
        <v>482</v>
      </c>
      <c r="T125" s="880" t="s">
        <v>12</v>
      </c>
      <c r="U125" s="882">
        <v>180000000</v>
      </c>
      <c r="V125" s="880" t="s">
        <v>43</v>
      </c>
      <c r="W125" s="880">
        <v>0</v>
      </c>
      <c r="X125" s="969"/>
      <c r="Y125" s="884" t="str">
        <f t="shared" si="25"/>
        <v>04.13.01</v>
      </c>
      <c r="Z125" s="884" t="str">
        <f t="shared" si="23"/>
        <v>Jalan</v>
      </c>
      <c r="AA125" s="884">
        <f t="shared" si="24"/>
        <v>10</v>
      </c>
      <c r="AB125" s="868">
        <f t="shared" si="37"/>
        <v>18000000</v>
      </c>
      <c r="AC125" s="885">
        <f t="shared" si="38"/>
        <v>10</v>
      </c>
      <c r="AD125" s="868">
        <f t="shared" si="39"/>
        <v>180000000</v>
      </c>
      <c r="AE125" s="868">
        <f t="shared" si="40"/>
        <v>0</v>
      </c>
      <c r="AF125" s="868">
        <f t="shared" si="41"/>
        <v>0</v>
      </c>
      <c r="AG125" s="868">
        <f t="shared" si="42"/>
        <v>0</v>
      </c>
      <c r="AH125" s="868">
        <f t="shared" si="43"/>
        <v>0</v>
      </c>
      <c r="AI125" s="886">
        <f t="shared" si="44"/>
        <v>0</v>
      </c>
      <c r="AJ125" s="886">
        <f t="shared" si="45"/>
        <v>180000000</v>
      </c>
      <c r="AK125" s="868">
        <f t="shared" si="22"/>
        <v>0</v>
      </c>
    </row>
    <row r="126" spans="1:37" s="857" customFormat="1" ht="35.25" customHeight="1" x14ac:dyDescent="0.2">
      <c r="A126" s="857">
        <v>63</v>
      </c>
      <c r="B126" s="857" t="str">
        <f t="shared" si="36"/>
        <v>JL. PLTA - JK. RUAS 33/33 KM 0 + 100</v>
      </c>
      <c r="D126" s="857" t="s">
        <v>3917</v>
      </c>
      <c r="E126" s="884" t="str">
        <f t="shared" si="26"/>
        <v>1</v>
      </c>
      <c r="F126" s="855"/>
      <c r="G126" s="878" t="s">
        <v>529</v>
      </c>
      <c r="H126" s="879"/>
      <c r="I126" s="880" t="s">
        <v>2494</v>
      </c>
      <c r="J126" s="880">
        <v>0</v>
      </c>
      <c r="K126" s="880" t="s">
        <v>8</v>
      </c>
      <c r="L126" s="881" t="s">
        <v>530</v>
      </c>
      <c r="M126" s="880">
        <v>7</v>
      </c>
      <c r="N126" s="881">
        <v>3500</v>
      </c>
      <c r="O126" s="880" t="s">
        <v>544</v>
      </c>
      <c r="P126" s="1126">
        <v>2001</v>
      </c>
      <c r="Q126" s="880">
        <v>0</v>
      </c>
      <c r="R126" s="880">
        <v>0</v>
      </c>
      <c r="S126" s="880" t="s">
        <v>482</v>
      </c>
      <c r="T126" s="880" t="s">
        <v>12</v>
      </c>
      <c r="U126" s="882">
        <v>90000000</v>
      </c>
      <c r="V126" s="880" t="s">
        <v>43</v>
      </c>
      <c r="W126" s="880">
        <v>0</v>
      </c>
      <c r="X126" s="969"/>
      <c r="Y126" s="884" t="str">
        <f t="shared" si="25"/>
        <v>04.13.01</v>
      </c>
      <c r="Z126" s="884" t="str">
        <f t="shared" si="23"/>
        <v>Jalan</v>
      </c>
      <c r="AA126" s="884">
        <f t="shared" si="24"/>
        <v>10</v>
      </c>
      <c r="AB126" s="868">
        <f t="shared" si="37"/>
        <v>9000000</v>
      </c>
      <c r="AC126" s="885">
        <f t="shared" si="38"/>
        <v>10</v>
      </c>
      <c r="AD126" s="868">
        <f t="shared" si="39"/>
        <v>90000000</v>
      </c>
      <c r="AE126" s="868">
        <f t="shared" si="40"/>
        <v>0</v>
      </c>
      <c r="AF126" s="868">
        <f t="shared" si="41"/>
        <v>0</v>
      </c>
      <c r="AG126" s="868">
        <f t="shared" si="42"/>
        <v>0</v>
      </c>
      <c r="AH126" s="868">
        <f t="shared" si="43"/>
        <v>0</v>
      </c>
      <c r="AI126" s="886">
        <f t="shared" si="44"/>
        <v>0</v>
      </c>
      <c r="AJ126" s="886">
        <f t="shared" si="45"/>
        <v>90000000</v>
      </c>
      <c r="AK126" s="868">
        <f t="shared" si="22"/>
        <v>0</v>
      </c>
    </row>
    <row r="127" spans="1:37" s="857" customFormat="1" ht="35.25" customHeight="1" x14ac:dyDescent="0.2">
      <c r="A127" s="857">
        <v>64</v>
      </c>
      <c r="B127" s="857" t="str">
        <f t="shared" si="36"/>
        <v>JL. SMK - SMK</v>
      </c>
      <c r="D127" s="857" t="s">
        <v>3918</v>
      </c>
      <c r="E127" s="884" t="str">
        <f t="shared" si="26"/>
        <v>1</v>
      </c>
      <c r="F127" s="855"/>
      <c r="G127" s="878" t="s">
        <v>529</v>
      </c>
      <c r="H127" s="879"/>
      <c r="I127" s="880" t="s">
        <v>2494</v>
      </c>
      <c r="J127" s="880">
        <v>0</v>
      </c>
      <c r="K127" s="880" t="s">
        <v>8</v>
      </c>
      <c r="L127" s="881" t="s">
        <v>541</v>
      </c>
      <c r="M127" s="880">
        <v>7</v>
      </c>
      <c r="N127" s="881">
        <v>4200</v>
      </c>
      <c r="O127" s="880" t="s">
        <v>545</v>
      </c>
      <c r="P127" s="1126">
        <v>2001</v>
      </c>
      <c r="Q127" s="880">
        <v>0</v>
      </c>
      <c r="R127" s="880">
        <v>0</v>
      </c>
      <c r="S127" s="880" t="s">
        <v>482</v>
      </c>
      <c r="T127" s="880" t="s">
        <v>12</v>
      </c>
      <c r="U127" s="882">
        <v>108000000</v>
      </c>
      <c r="V127" s="880" t="s">
        <v>43</v>
      </c>
      <c r="W127" s="880">
        <v>0</v>
      </c>
      <c r="X127" s="969"/>
      <c r="Y127" s="884" t="str">
        <f t="shared" si="25"/>
        <v>04.13.01</v>
      </c>
      <c r="Z127" s="884" t="str">
        <f t="shared" si="23"/>
        <v>Jalan</v>
      </c>
      <c r="AA127" s="884">
        <f t="shared" si="24"/>
        <v>10</v>
      </c>
      <c r="AB127" s="868">
        <f t="shared" si="37"/>
        <v>10800000</v>
      </c>
      <c r="AC127" s="885">
        <f t="shared" si="38"/>
        <v>10</v>
      </c>
      <c r="AD127" s="868">
        <f t="shared" si="39"/>
        <v>108000000</v>
      </c>
      <c r="AE127" s="868">
        <f t="shared" si="40"/>
        <v>0</v>
      </c>
      <c r="AF127" s="868">
        <f t="shared" si="41"/>
        <v>0</v>
      </c>
      <c r="AG127" s="868">
        <f t="shared" si="42"/>
        <v>0</v>
      </c>
      <c r="AH127" s="868">
        <f t="shared" si="43"/>
        <v>0</v>
      </c>
      <c r="AI127" s="886">
        <f t="shared" si="44"/>
        <v>0</v>
      </c>
      <c r="AJ127" s="886">
        <f t="shared" si="45"/>
        <v>108000000</v>
      </c>
      <c r="AK127" s="868">
        <f t="shared" si="22"/>
        <v>0</v>
      </c>
    </row>
    <row r="128" spans="1:37" s="998" customFormat="1" ht="35.25" customHeight="1" x14ac:dyDescent="0.15">
      <c r="A128" s="998">
        <v>65</v>
      </c>
      <c r="B128" s="998" t="str">
        <f t="shared" si="36"/>
        <v>SIMP. STM BERINGIN - SAWAH</v>
      </c>
      <c r="D128" s="998" t="s">
        <v>3919</v>
      </c>
      <c r="E128" s="999" t="s">
        <v>4247</v>
      </c>
      <c r="F128" s="1000"/>
      <c r="G128" s="1010" t="s">
        <v>529</v>
      </c>
      <c r="H128" s="1011"/>
      <c r="I128" s="1001" t="s">
        <v>2494</v>
      </c>
      <c r="J128" s="1001">
        <v>0</v>
      </c>
      <c r="K128" s="1001" t="s">
        <v>479</v>
      </c>
      <c r="L128" s="1003" t="s">
        <v>490</v>
      </c>
      <c r="M128" s="1001">
        <v>0</v>
      </c>
      <c r="N128" s="1003">
        <v>38600</v>
      </c>
      <c r="O128" s="1001" t="s">
        <v>546</v>
      </c>
      <c r="P128" s="1168">
        <v>2001</v>
      </c>
      <c r="Q128" s="1001">
        <v>0</v>
      </c>
      <c r="R128" s="1001">
        <v>0</v>
      </c>
      <c r="S128" s="1001" t="s">
        <v>482</v>
      </c>
      <c r="T128" s="1001" t="s">
        <v>12</v>
      </c>
      <c r="U128" s="1002">
        <f>4725000000+H129+H130+H131</f>
        <v>22272006869.258331</v>
      </c>
      <c r="V128" s="1001" t="s">
        <v>43</v>
      </c>
      <c r="W128" s="1001">
        <v>0</v>
      </c>
      <c r="X128" s="1004"/>
      <c r="Y128" s="1005" t="str">
        <f t="shared" si="25"/>
        <v>04.13.01</v>
      </c>
      <c r="Z128" s="1006" t="str">
        <f t="shared" si="23"/>
        <v>Jalan</v>
      </c>
      <c r="AA128" s="1006">
        <f t="shared" si="24"/>
        <v>10</v>
      </c>
      <c r="AB128" s="1007"/>
      <c r="AC128" s="1008">
        <f>IF(2013-P128&gt;AA128,10,IF(2013-P128&lt;0,0,2013-P128))</f>
        <v>10</v>
      </c>
      <c r="AD128" s="1007"/>
      <c r="AE128" s="1007"/>
      <c r="AF128" s="1007"/>
      <c r="AG128" s="1007"/>
      <c r="AH128" s="1007"/>
      <c r="AI128" s="1009">
        <f>PERHITUNGAN!U463</f>
        <v>1567822008.67065</v>
      </c>
      <c r="AJ128" s="1009">
        <f>PERHITUNGAN!U467</f>
        <v>12865074817.234432</v>
      </c>
      <c r="AK128" s="1007">
        <f t="shared" si="22"/>
        <v>9406932052.0238991</v>
      </c>
    </row>
    <row r="129" spans="1:37" s="857" customFormat="1" ht="35.25" customHeight="1" x14ac:dyDescent="0.15">
      <c r="A129" s="857">
        <v>65</v>
      </c>
      <c r="B129" s="857" t="str">
        <f t="shared" si="36"/>
        <v>SIMP. STM BERINGIN - SAWAH</v>
      </c>
      <c r="D129" s="857" t="s">
        <v>3920</v>
      </c>
      <c r="E129" s="877" t="s">
        <v>4247</v>
      </c>
      <c r="F129" s="855"/>
      <c r="G129" s="878" t="s">
        <v>1149</v>
      </c>
      <c r="H129" s="879">
        <v>1990033077.2583308</v>
      </c>
      <c r="I129" s="880" t="s">
        <v>2494</v>
      </c>
      <c r="J129" s="880">
        <v>0</v>
      </c>
      <c r="K129" s="880" t="s">
        <v>519</v>
      </c>
      <c r="L129" s="881">
        <v>0</v>
      </c>
      <c r="M129" s="880">
        <v>0</v>
      </c>
      <c r="N129" s="881">
        <v>1500</v>
      </c>
      <c r="O129" s="880" t="s">
        <v>3088</v>
      </c>
      <c r="P129" s="1126">
        <v>2007</v>
      </c>
      <c r="Q129" s="880">
        <v>0</v>
      </c>
      <c r="R129" s="880">
        <v>0</v>
      </c>
      <c r="S129" s="880">
        <v>0</v>
      </c>
      <c r="T129" s="880" t="s">
        <v>12</v>
      </c>
      <c r="U129" s="882"/>
      <c r="V129" s="880" t="s">
        <v>43</v>
      </c>
      <c r="W129" s="880">
        <v>0</v>
      </c>
      <c r="X129" s="969"/>
      <c r="Y129" s="883" t="str">
        <f t="shared" si="25"/>
        <v>04.13.01</v>
      </c>
      <c r="Z129" s="884" t="str">
        <f t="shared" si="23"/>
        <v>Jalan</v>
      </c>
      <c r="AA129" s="884">
        <f t="shared" si="24"/>
        <v>10</v>
      </c>
      <c r="AB129" s="868"/>
      <c r="AC129" s="885">
        <f>IF(2013-P129&gt;AA129,10,IF(2013-P129&lt;0,0,2013-P129))</f>
        <v>6</v>
      </c>
      <c r="AD129" s="868"/>
      <c r="AE129" s="868"/>
      <c r="AF129" s="868"/>
      <c r="AG129" s="868"/>
      <c r="AH129" s="868"/>
      <c r="AI129" s="886"/>
      <c r="AJ129" s="886"/>
      <c r="AK129" s="868">
        <f t="shared" si="22"/>
        <v>0</v>
      </c>
    </row>
    <row r="130" spans="1:37" s="857" customFormat="1" ht="35.25" customHeight="1" x14ac:dyDescent="0.15">
      <c r="A130" s="857">
        <v>65</v>
      </c>
      <c r="B130" s="857" t="str">
        <f t="shared" si="36"/>
        <v>SIMP. STM BERINGIN - SAWAH</v>
      </c>
      <c r="D130" s="857" t="s">
        <v>3921</v>
      </c>
      <c r="E130" s="877" t="s">
        <v>4247</v>
      </c>
      <c r="F130" s="855"/>
      <c r="G130" s="878" t="s">
        <v>1352</v>
      </c>
      <c r="H130" s="879">
        <v>5771596592</v>
      </c>
      <c r="I130" s="880" t="s">
        <v>2494</v>
      </c>
      <c r="J130" s="880">
        <v>0</v>
      </c>
      <c r="K130" s="880">
        <v>0</v>
      </c>
      <c r="L130" s="881">
        <v>0</v>
      </c>
      <c r="M130" s="880">
        <v>0</v>
      </c>
      <c r="N130" s="881">
        <v>0</v>
      </c>
      <c r="O130" s="880" t="s">
        <v>3216</v>
      </c>
      <c r="P130" s="1126">
        <v>2015</v>
      </c>
      <c r="Q130" s="880">
        <v>0</v>
      </c>
      <c r="R130" s="880">
        <v>0</v>
      </c>
      <c r="S130" s="880">
        <v>0</v>
      </c>
      <c r="T130" s="880" t="s">
        <v>12</v>
      </c>
      <c r="U130" s="882"/>
      <c r="V130" s="880">
        <v>0</v>
      </c>
      <c r="W130" s="880">
        <v>0</v>
      </c>
      <c r="X130" s="969"/>
      <c r="Y130" s="883" t="str">
        <f t="shared" si="25"/>
        <v>04.13.01</v>
      </c>
      <c r="Z130" s="884" t="str">
        <f t="shared" si="23"/>
        <v>Jalan</v>
      </c>
      <c r="AA130" s="884">
        <f t="shared" si="24"/>
        <v>10</v>
      </c>
      <c r="AB130" s="868"/>
      <c r="AC130" s="885">
        <f>IF(2013-P130&gt;AA130,10,IF(2013-P130&lt;0,0,2013-P130))</f>
        <v>0</v>
      </c>
      <c r="AD130" s="868"/>
      <c r="AE130" s="868"/>
      <c r="AF130" s="868"/>
      <c r="AG130" s="868"/>
      <c r="AH130" s="868"/>
      <c r="AI130" s="886"/>
      <c r="AJ130" s="886"/>
      <c r="AK130" s="868">
        <f t="shared" ref="AK130:AK151" si="46">U130-AJ130</f>
        <v>0</v>
      </c>
    </row>
    <row r="131" spans="1:37" s="857" customFormat="1" ht="35.25" customHeight="1" x14ac:dyDescent="0.15">
      <c r="A131" s="857">
        <v>65</v>
      </c>
      <c r="B131" s="857" t="str">
        <f t="shared" si="36"/>
        <v>SIMP. STM BERINGIN - SAWAH</v>
      </c>
      <c r="D131" s="857" t="s">
        <v>3922</v>
      </c>
      <c r="E131" s="877" t="s">
        <v>4247</v>
      </c>
      <c r="F131" s="855"/>
      <c r="G131" s="878" t="s">
        <v>1443</v>
      </c>
      <c r="H131" s="879">
        <v>9785377200</v>
      </c>
      <c r="I131" s="880" t="s">
        <v>2494</v>
      </c>
      <c r="J131" s="880">
        <v>0</v>
      </c>
      <c r="K131" s="880">
        <v>0</v>
      </c>
      <c r="L131" s="881">
        <v>0</v>
      </c>
      <c r="M131" s="880">
        <v>0</v>
      </c>
      <c r="N131" s="881">
        <v>0</v>
      </c>
      <c r="O131" s="880" t="s">
        <v>3216</v>
      </c>
      <c r="P131" s="1126">
        <v>2016</v>
      </c>
      <c r="Q131" s="880">
        <v>0</v>
      </c>
      <c r="R131" s="880">
        <v>0</v>
      </c>
      <c r="S131" s="880">
        <v>0</v>
      </c>
      <c r="T131" s="880" t="s">
        <v>12</v>
      </c>
      <c r="U131" s="882"/>
      <c r="V131" s="880">
        <v>0</v>
      </c>
      <c r="W131" s="880">
        <v>0</v>
      </c>
      <c r="X131" s="969"/>
      <c r="Y131" s="883" t="str">
        <f t="shared" si="25"/>
        <v>04.13.01</v>
      </c>
      <c r="Z131" s="884" t="str">
        <f t="shared" si="23"/>
        <v>Jalan</v>
      </c>
      <c r="AA131" s="884">
        <f t="shared" si="24"/>
        <v>10</v>
      </c>
      <c r="AB131" s="868"/>
      <c r="AC131" s="885">
        <f>IF(2013-P131&gt;AA131,10,IF(2013-P131&lt;0,0,2013-P131))</f>
        <v>0</v>
      </c>
      <c r="AD131" s="868"/>
      <c r="AE131" s="868"/>
      <c r="AF131" s="868"/>
      <c r="AG131" s="868"/>
      <c r="AH131" s="868"/>
      <c r="AI131" s="886"/>
      <c r="AJ131" s="886"/>
      <c r="AK131" s="868">
        <f t="shared" si="46"/>
        <v>0</v>
      </c>
    </row>
    <row r="132" spans="1:37" s="857" customFormat="1" ht="35.25" customHeight="1" x14ac:dyDescent="0.2">
      <c r="A132" s="857">
        <v>66</v>
      </c>
      <c r="B132" s="857" t="str">
        <f t="shared" si="36"/>
        <v>JL. TELKOM - JK</v>
      </c>
      <c r="D132" s="857" t="s">
        <v>3923</v>
      </c>
      <c r="E132" s="884" t="str">
        <f t="shared" si="26"/>
        <v>1</v>
      </c>
      <c r="F132" s="855"/>
      <c r="G132" s="878" t="s">
        <v>529</v>
      </c>
      <c r="H132" s="879"/>
      <c r="I132" s="880" t="s">
        <v>2494</v>
      </c>
      <c r="J132" s="880">
        <v>0</v>
      </c>
      <c r="K132" s="880" t="s">
        <v>479</v>
      </c>
      <c r="L132" s="881" t="s">
        <v>541</v>
      </c>
      <c r="M132" s="880">
        <v>7</v>
      </c>
      <c r="N132" s="881">
        <v>4200</v>
      </c>
      <c r="O132" s="880" t="s">
        <v>542</v>
      </c>
      <c r="P132" s="1126">
        <v>2001</v>
      </c>
      <c r="Q132" s="880">
        <v>0</v>
      </c>
      <c r="R132" s="880">
        <v>0</v>
      </c>
      <c r="S132" s="880" t="s">
        <v>482</v>
      </c>
      <c r="T132" s="880" t="s">
        <v>12</v>
      </c>
      <c r="U132" s="882">
        <v>756000000</v>
      </c>
      <c r="V132" s="880" t="s">
        <v>43</v>
      </c>
      <c r="W132" s="880">
        <v>0</v>
      </c>
      <c r="X132" s="969"/>
      <c r="Y132" s="884" t="str">
        <f t="shared" si="25"/>
        <v>04.13.01</v>
      </c>
      <c r="Z132" s="884" t="str">
        <f t="shared" si="23"/>
        <v>Jalan</v>
      </c>
      <c r="AA132" s="884">
        <f t="shared" si="24"/>
        <v>10</v>
      </c>
      <c r="AB132" s="868">
        <f t="shared" ref="AB132:AB140" si="47">U132/AA132</f>
        <v>75600000</v>
      </c>
      <c r="AC132" s="885">
        <f t="shared" ref="AC132:AC140" si="48">IF(2013-P132+1&gt;AA132,AA132,IF(2013-P132+1&lt;0,0,2013-P132+1))</f>
        <v>10</v>
      </c>
      <c r="AD132" s="868">
        <f t="shared" ref="AD132:AD140" si="49">IF(AC132&gt;AA132,U132,AB132*AC132)</f>
        <v>756000000</v>
      </c>
      <c r="AE132" s="868">
        <f t="shared" ref="AE132:AE140" si="50">IF(U132=AD132,0,AB132)</f>
        <v>0</v>
      </c>
      <c r="AF132" s="868">
        <f t="shared" ref="AF132:AF140" si="51">IF(U132=AD132+AE132,0,AB132)</f>
        <v>0</v>
      </c>
      <c r="AG132" s="868">
        <f t="shared" ref="AG132:AG140" si="52">IF(U132=AD132+AE132+AF132,0,AB132)</f>
        <v>0</v>
      </c>
      <c r="AH132" s="868">
        <f t="shared" ref="AH132:AH140" si="53">IF(U132=AE132+AF132+AG132+AD132,0,AB132)</f>
        <v>0</v>
      </c>
      <c r="AI132" s="886">
        <f t="shared" ref="AI132:AI140" si="54">IF(U132=AE132+AF132+AG132+AD132+AH132,0,AB132)</f>
        <v>0</v>
      </c>
      <c r="AJ132" s="886">
        <f t="shared" ref="AJ132:AJ140" si="55">SUM(AD132:AI132)</f>
        <v>756000000</v>
      </c>
      <c r="AK132" s="868">
        <f t="shared" si="46"/>
        <v>0</v>
      </c>
    </row>
    <row r="133" spans="1:37" s="857" customFormat="1" ht="35.25" customHeight="1" x14ac:dyDescent="0.2">
      <c r="A133" s="857">
        <v>67</v>
      </c>
      <c r="B133" s="857" t="str">
        <f t="shared" si="36"/>
        <v>JL. INDUSTRI - JK. RUAS 231/231</v>
      </c>
      <c r="D133" s="857" t="s">
        <v>3924</v>
      </c>
      <c r="E133" s="884" t="str">
        <f t="shared" si="26"/>
        <v>1</v>
      </c>
      <c r="F133" s="855"/>
      <c r="G133" s="878" t="s">
        <v>529</v>
      </c>
      <c r="H133" s="879"/>
      <c r="I133" s="880" t="s">
        <v>2494</v>
      </c>
      <c r="J133" s="880">
        <v>0</v>
      </c>
      <c r="K133" s="880" t="s">
        <v>8</v>
      </c>
      <c r="L133" s="881" t="s">
        <v>501</v>
      </c>
      <c r="M133" s="880">
        <v>7</v>
      </c>
      <c r="N133" s="881">
        <v>24500</v>
      </c>
      <c r="O133" s="880" t="s">
        <v>543</v>
      </c>
      <c r="P133" s="1126">
        <v>2001</v>
      </c>
      <c r="Q133" s="880">
        <v>0</v>
      </c>
      <c r="R133" s="880">
        <v>0</v>
      </c>
      <c r="S133" s="880" t="s">
        <v>482</v>
      </c>
      <c r="T133" s="880" t="s">
        <v>12</v>
      </c>
      <c r="U133" s="882">
        <v>630000000</v>
      </c>
      <c r="V133" s="880" t="s">
        <v>43</v>
      </c>
      <c r="W133" s="880">
        <v>0</v>
      </c>
      <c r="X133" s="969"/>
      <c r="Y133" s="884" t="str">
        <f t="shared" si="25"/>
        <v>04.13.01</v>
      </c>
      <c r="Z133" s="884" t="str">
        <f t="shared" si="23"/>
        <v>Jalan</v>
      </c>
      <c r="AA133" s="884">
        <f t="shared" si="24"/>
        <v>10</v>
      </c>
      <c r="AB133" s="868">
        <f t="shared" si="47"/>
        <v>63000000</v>
      </c>
      <c r="AC133" s="885">
        <f t="shared" si="48"/>
        <v>10</v>
      </c>
      <c r="AD133" s="868">
        <f t="shared" si="49"/>
        <v>630000000</v>
      </c>
      <c r="AE133" s="868">
        <f t="shared" si="50"/>
        <v>0</v>
      </c>
      <c r="AF133" s="868">
        <f t="shared" si="51"/>
        <v>0</v>
      </c>
      <c r="AG133" s="868">
        <f t="shared" si="52"/>
        <v>0</v>
      </c>
      <c r="AH133" s="868">
        <f t="shared" si="53"/>
        <v>0</v>
      </c>
      <c r="AI133" s="886">
        <f t="shared" si="54"/>
        <v>0</v>
      </c>
      <c r="AJ133" s="886">
        <f t="shared" si="55"/>
        <v>630000000</v>
      </c>
      <c r="AK133" s="868">
        <f t="shared" si="46"/>
        <v>0</v>
      </c>
    </row>
    <row r="134" spans="1:37" s="857" customFormat="1" ht="35.25" customHeight="1" x14ac:dyDescent="0.2">
      <c r="A134" s="857">
        <v>68</v>
      </c>
      <c r="B134" s="857" t="str">
        <f t="shared" si="36"/>
        <v xml:space="preserve">BUNDARAN DPRD - KANTOR  BUPATI </v>
      </c>
      <c r="D134" s="857" t="s">
        <v>3925</v>
      </c>
      <c r="E134" s="884" t="str">
        <f t="shared" si="26"/>
        <v>1</v>
      </c>
      <c r="F134" s="855"/>
      <c r="G134" s="878" t="s">
        <v>529</v>
      </c>
      <c r="H134" s="879"/>
      <c r="I134" s="880" t="s">
        <v>2494</v>
      </c>
      <c r="J134" s="880">
        <v>0</v>
      </c>
      <c r="K134" s="880" t="s">
        <v>479</v>
      </c>
      <c r="L134" s="881">
        <v>1100</v>
      </c>
      <c r="M134" s="880">
        <v>16</v>
      </c>
      <c r="N134" s="881">
        <v>17600</v>
      </c>
      <c r="O134" s="880" t="s">
        <v>3079</v>
      </c>
      <c r="P134" s="1126">
        <v>2001</v>
      </c>
      <c r="Q134" s="880">
        <v>0</v>
      </c>
      <c r="R134" s="880">
        <v>0</v>
      </c>
      <c r="S134" s="880" t="s">
        <v>482</v>
      </c>
      <c r="T134" s="880" t="s">
        <v>12</v>
      </c>
      <c r="U134" s="882">
        <v>2252250000</v>
      </c>
      <c r="V134" s="880" t="s">
        <v>43</v>
      </c>
      <c r="W134" s="880">
        <v>0</v>
      </c>
      <c r="X134" s="969"/>
      <c r="Y134" s="884" t="str">
        <f t="shared" si="25"/>
        <v>04.13.01</v>
      </c>
      <c r="Z134" s="884" t="str">
        <f t="shared" si="23"/>
        <v>Jalan</v>
      </c>
      <c r="AA134" s="884">
        <f t="shared" si="24"/>
        <v>10</v>
      </c>
      <c r="AB134" s="868">
        <f t="shared" si="47"/>
        <v>225225000</v>
      </c>
      <c r="AC134" s="885">
        <f t="shared" si="48"/>
        <v>10</v>
      </c>
      <c r="AD134" s="868">
        <f t="shared" si="49"/>
        <v>2252250000</v>
      </c>
      <c r="AE134" s="868">
        <f t="shared" si="50"/>
        <v>0</v>
      </c>
      <c r="AF134" s="868">
        <f t="shared" si="51"/>
        <v>0</v>
      </c>
      <c r="AG134" s="868">
        <f t="shared" si="52"/>
        <v>0</v>
      </c>
      <c r="AH134" s="868">
        <f t="shared" si="53"/>
        <v>0</v>
      </c>
      <c r="AI134" s="886">
        <f t="shared" si="54"/>
        <v>0</v>
      </c>
      <c r="AJ134" s="886">
        <f t="shared" si="55"/>
        <v>2252250000</v>
      </c>
      <c r="AK134" s="868">
        <f t="shared" si="46"/>
        <v>0</v>
      </c>
    </row>
    <row r="135" spans="1:37" s="857" customFormat="1" ht="35.25" customHeight="1" x14ac:dyDescent="0.2">
      <c r="A135" s="857">
        <v>69</v>
      </c>
      <c r="B135" s="857" t="str">
        <f t="shared" si="36"/>
        <v>SIMP. RSUD - RSUD</v>
      </c>
      <c r="D135" s="857" t="s">
        <v>3926</v>
      </c>
      <c r="E135" s="884" t="str">
        <f t="shared" si="26"/>
        <v>1</v>
      </c>
      <c r="F135" s="855"/>
      <c r="G135" s="878" t="s">
        <v>529</v>
      </c>
      <c r="H135" s="879"/>
      <c r="I135" s="880" t="s">
        <v>2494</v>
      </c>
      <c r="J135" s="880">
        <v>0</v>
      </c>
      <c r="K135" s="880" t="s">
        <v>479</v>
      </c>
      <c r="L135" s="881" t="s">
        <v>536</v>
      </c>
      <c r="M135" s="880">
        <v>16</v>
      </c>
      <c r="N135" s="881">
        <v>4800</v>
      </c>
      <c r="O135" s="880" t="s">
        <v>537</v>
      </c>
      <c r="P135" s="1126">
        <v>2001</v>
      </c>
      <c r="Q135" s="880">
        <v>0</v>
      </c>
      <c r="R135" s="880">
        <v>0</v>
      </c>
      <c r="S135" s="880" t="s">
        <v>482</v>
      </c>
      <c r="T135" s="880" t="s">
        <v>12</v>
      </c>
      <c r="U135" s="882">
        <v>614250000</v>
      </c>
      <c r="V135" s="880" t="s">
        <v>43</v>
      </c>
      <c r="W135" s="880">
        <v>0</v>
      </c>
      <c r="X135" s="969"/>
      <c r="Y135" s="884" t="str">
        <f t="shared" si="25"/>
        <v>04.13.01</v>
      </c>
      <c r="Z135" s="884" t="str">
        <f t="shared" si="23"/>
        <v>Jalan</v>
      </c>
      <c r="AA135" s="884">
        <f t="shared" si="24"/>
        <v>10</v>
      </c>
      <c r="AB135" s="868">
        <f t="shared" si="47"/>
        <v>61425000</v>
      </c>
      <c r="AC135" s="885">
        <f t="shared" si="48"/>
        <v>10</v>
      </c>
      <c r="AD135" s="868">
        <f t="shared" si="49"/>
        <v>614250000</v>
      </c>
      <c r="AE135" s="868">
        <f t="shared" si="50"/>
        <v>0</v>
      </c>
      <c r="AF135" s="868">
        <f t="shared" si="51"/>
        <v>0</v>
      </c>
      <c r="AG135" s="868">
        <f t="shared" si="52"/>
        <v>0</v>
      </c>
      <c r="AH135" s="868">
        <f t="shared" si="53"/>
        <v>0</v>
      </c>
      <c r="AI135" s="886">
        <f t="shared" si="54"/>
        <v>0</v>
      </c>
      <c r="AJ135" s="886">
        <f t="shared" si="55"/>
        <v>614250000</v>
      </c>
      <c r="AK135" s="868">
        <f t="shared" si="46"/>
        <v>0</v>
      </c>
    </row>
    <row r="136" spans="1:37" s="857" customFormat="1" ht="35.25" customHeight="1" x14ac:dyDescent="0.2">
      <c r="A136" s="857">
        <v>70</v>
      </c>
      <c r="B136" s="857" t="str">
        <f t="shared" si="36"/>
        <v>SP. KTR. BUPATI  - BUNDARAN DPRD(VIA DISPORA)</v>
      </c>
      <c r="D136" s="857" t="s">
        <v>3927</v>
      </c>
      <c r="E136" s="884" t="str">
        <f t="shared" si="26"/>
        <v>1</v>
      </c>
      <c r="F136" s="855"/>
      <c r="G136" s="878" t="s">
        <v>529</v>
      </c>
      <c r="H136" s="879"/>
      <c r="I136" s="880" t="s">
        <v>2494</v>
      </c>
      <c r="J136" s="880">
        <v>0</v>
      </c>
      <c r="K136" s="880" t="s">
        <v>479</v>
      </c>
      <c r="L136" s="881" t="s">
        <v>538</v>
      </c>
      <c r="M136" s="880">
        <v>20</v>
      </c>
      <c r="N136" s="881">
        <v>13440</v>
      </c>
      <c r="O136" s="880" t="s">
        <v>603</v>
      </c>
      <c r="P136" s="1126">
        <v>2001</v>
      </c>
      <c r="Q136" s="880">
        <v>0</v>
      </c>
      <c r="R136" s="880">
        <v>0</v>
      </c>
      <c r="S136" s="880" t="s">
        <v>482</v>
      </c>
      <c r="T136" s="880" t="s">
        <v>12</v>
      </c>
      <c r="U136" s="882">
        <v>1375920000</v>
      </c>
      <c r="V136" s="880" t="s">
        <v>43</v>
      </c>
      <c r="W136" s="880">
        <v>0</v>
      </c>
      <c r="X136" s="969"/>
      <c r="Y136" s="884" t="str">
        <f t="shared" si="25"/>
        <v>04.13.01</v>
      </c>
      <c r="Z136" s="884" t="str">
        <f t="shared" si="23"/>
        <v>Jalan</v>
      </c>
      <c r="AA136" s="884">
        <f t="shared" si="24"/>
        <v>10</v>
      </c>
      <c r="AB136" s="868">
        <f t="shared" si="47"/>
        <v>137592000</v>
      </c>
      <c r="AC136" s="885">
        <f t="shared" si="48"/>
        <v>10</v>
      </c>
      <c r="AD136" s="868">
        <f t="shared" si="49"/>
        <v>1375920000</v>
      </c>
      <c r="AE136" s="868">
        <f t="shared" si="50"/>
        <v>0</v>
      </c>
      <c r="AF136" s="868">
        <f t="shared" si="51"/>
        <v>0</v>
      </c>
      <c r="AG136" s="868">
        <f t="shared" si="52"/>
        <v>0</v>
      </c>
      <c r="AH136" s="868">
        <f t="shared" si="53"/>
        <v>0</v>
      </c>
      <c r="AI136" s="886">
        <f t="shared" si="54"/>
        <v>0</v>
      </c>
      <c r="AJ136" s="886">
        <f t="shared" si="55"/>
        <v>1375920000</v>
      </c>
      <c r="AK136" s="868">
        <f t="shared" si="46"/>
        <v>0</v>
      </c>
    </row>
    <row r="137" spans="1:37" s="857" customFormat="1" ht="35.25" customHeight="1" x14ac:dyDescent="0.2">
      <c r="A137" s="889">
        <v>71</v>
      </c>
      <c r="B137" s="857" t="str">
        <f t="shared" si="36"/>
        <v>JL. KUANTAN</v>
      </c>
      <c r="D137" s="857" t="s">
        <v>3928</v>
      </c>
      <c r="E137" s="884" t="str">
        <f t="shared" si="26"/>
        <v>1</v>
      </c>
      <c r="F137" s="855"/>
      <c r="G137" s="878" t="s">
        <v>529</v>
      </c>
      <c r="H137" s="879"/>
      <c r="I137" s="880" t="s">
        <v>2494</v>
      </c>
      <c r="J137" s="880">
        <v>0</v>
      </c>
      <c r="K137" s="880" t="s">
        <v>479</v>
      </c>
      <c r="L137" s="881" t="s">
        <v>539</v>
      </c>
      <c r="M137" s="880">
        <v>8</v>
      </c>
      <c r="N137" s="881">
        <v>2000</v>
      </c>
      <c r="O137" s="880" t="s">
        <v>540</v>
      </c>
      <c r="P137" s="1126">
        <v>2001</v>
      </c>
      <c r="Q137" s="880">
        <v>0</v>
      </c>
      <c r="R137" s="880">
        <v>0</v>
      </c>
      <c r="S137" s="880" t="s">
        <v>482</v>
      </c>
      <c r="T137" s="880" t="s">
        <v>12</v>
      </c>
      <c r="U137" s="882">
        <v>262500000</v>
      </c>
      <c r="V137" s="880" t="s">
        <v>43</v>
      </c>
      <c r="W137" s="880">
        <v>0</v>
      </c>
      <c r="X137" s="969"/>
      <c r="Y137" s="884" t="str">
        <f t="shared" si="25"/>
        <v>04.13.01</v>
      </c>
      <c r="Z137" s="884" t="str">
        <f t="shared" si="23"/>
        <v>Jalan</v>
      </c>
      <c r="AA137" s="884">
        <f t="shared" si="24"/>
        <v>10</v>
      </c>
      <c r="AB137" s="868">
        <f t="shared" si="47"/>
        <v>26250000</v>
      </c>
      <c r="AC137" s="885">
        <f t="shared" si="48"/>
        <v>10</v>
      </c>
      <c r="AD137" s="868">
        <f t="shared" si="49"/>
        <v>262500000</v>
      </c>
      <c r="AE137" s="868">
        <f t="shared" si="50"/>
        <v>0</v>
      </c>
      <c r="AF137" s="868">
        <f t="shared" si="51"/>
        <v>0</v>
      </c>
      <c r="AG137" s="868">
        <f t="shared" si="52"/>
        <v>0</v>
      </c>
      <c r="AH137" s="868">
        <f t="shared" si="53"/>
        <v>0</v>
      </c>
      <c r="AI137" s="886">
        <f t="shared" si="54"/>
        <v>0</v>
      </c>
      <c r="AJ137" s="886">
        <f t="shared" si="55"/>
        <v>262500000</v>
      </c>
      <c r="AK137" s="868">
        <f t="shared" si="46"/>
        <v>0</v>
      </c>
    </row>
    <row r="138" spans="1:37" s="857" customFormat="1" ht="35.25" customHeight="1" x14ac:dyDescent="0.2">
      <c r="A138" s="857">
        <v>72</v>
      </c>
      <c r="B138" s="857" t="str">
        <f t="shared" si="36"/>
        <v>JL. MENUJU SMP 2</v>
      </c>
      <c r="D138" s="857" t="s">
        <v>3929</v>
      </c>
      <c r="E138" s="884" t="str">
        <f t="shared" si="26"/>
        <v>1</v>
      </c>
      <c r="F138" s="855"/>
      <c r="G138" s="878" t="s">
        <v>529</v>
      </c>
      <c r="H138" s="879"/>
      <c r="I138" s="880" t="s">
        <v>2494</v>
      </c>
      <c r="J138" s="880">
        <v>0</v>
      </c>
      <c r="K138" s="880" t="s">
        <v>479</v>
      </c>
      <c r="L138" s="881" t="s">
        <v>530</v>
      </c>
      <c r="M138" s="880">
        <v>8</v>
      </c>
      <c r="N138" s="881">
        <v>4000</v>
      </c>
      <c r="O138" s="880" t="s">
        <v>531</v>
      </c>
      <c r="P138" s="1126">
        <v>2001</v>
      </c>
      <c r="Q138" s="880">
        <v>0</v>
      </c>
      <c r="R138" s="880">
        <v>0</v>
      </c>
      <c r="S138" s="880" t="s">
        <v>482</v>
      </c>
      <c r="T138" s="880" t="s">
        <v>12</v>
      </c>
      <c r="U138" s="882">
        <v>525000000</v>
      </c>
      <c r="V138" s="880" t="s">
        <v>43</v>
      </c>
      <c r="W138" s="880">
        <v>0</v>
      </c>
      <c r="X138" s="969"/>
      <c r="Y138" s="884" t="str">
        <f t="shared" si="25"/>
        <v>04.13.01</v>
      </c>
      <c r="Z138" s="884" t="str">
        <f t="shared" si="23"/>
        <v>Jalan</v>
      </c>
      <c r="AA138" s="884">
        <f t="shared" si="24"/>
        <v>10</v>
      </c>
      <c r="AB138" s="868">
        <f t="shared" si="47"/>
        <v>52500000</v>
      </c>
      <c r="AC138" s="885">
        <f t="shared" si="48"/>
        <v>10</v>
      </c>
      <c r="AD138" s="868">
        <f t="shared" si="49"/>
        <v>525000000</v>
      </c>
      <c r="AE138" s="868">
        <f t="shared" si="50"/>
        <v>0</v>
      </c>
      <c r="AF138" s="868">
        <f t="shared" si="51"/>
        <v>0</v>
      </c>
      <c r="AG138" s="868">
        <f t="shared" si="52"/>
        <v>0</v>
      </c>
      <c r="AH138" s="868">
        <f t="shared" si="53"/>
        <v>0</v>
      </c>
      <c r="AI138" s="886">
        <f t="shared" si="54"/>
        <v>0</v>
      </c>
      <c r="AJ138" s="886">
        <f t="shared" si="55"/>
        <v>525000000</v>
      </c>
      <c r="AK138" s="868">
        <f t="shared" si="46"/>
        <v>0</v>
      </c>
    </row>
    <row r="139" spans="1:37" s="857" customFormat="1" ht="35.25" customHeight="1" x14ac:dyDescent="0.2">
      <c r="A139" s="857">
        <v>73</v>
      </c>
      <c r="B139" s="857" t="str">
        <f t="shared" si="36"/>
        <v>JL. LIMUNO SELATAN</v>
      </c>
      <c r="D139" s="857" t="s">
        <v>3930</v>
      </c>
      <c r="E139" s="884" t="str">
        <f t="shared" si="26"/>
        <v>1</v>
      </c>
      <c r="F139" s="890"/>
      <c r="G139" s="878" t="s">
        <v>529</v>
      </c>
      <c r="H139" s="879"/>
      <c r="I139" s="880" t="s">
        <v>2494</v>
      </c>
      <c r="J139" s="880">
        <v>0</v>
      </c>
      <c r="K139" s="880" t="s">
        <v>479</v>
      </c>
      <c r="L139" s="881" t="s">
        <v>532</v>
      </c>
      <c r="M139" s="880">
        <v>8</v>
      </c>
      <c r="N139" s="881">
        <v>1104</v>
      </c>
      <c r="O139" s="880" t="s">
        <v>533</v>
      </c>
      <c r="P139" s="1126">
        <v>2001</v>
      </c>
      <c r="Q139" s="880">
        <v>0</v>
      </c>
      <c r="R139" s="880">
        <v>0</v>
      </c>
      <c r="S139" s="880" t="s">
        <v>482</v>
      </c>
      <c r="T139" s="880" t="s">
        <v>12</v>
      </c>
      <c r="U139" s="882">
        <v>173880000</v>
      </c>
      <c r="V139" s="880" t="s">
        <v>43</v>
      </c>
      <c r="W139" s="880">
        <v>0</v>
      </c>
      <c r="X139" s="969"/>
      <c r="Y139" s="884" t="str">
        <f t="shared" si="25"/>
        <v>04.13.01</v>
      </c>
      <c r="Z139" s="884" t="str">
        <f t="shared" si="23"/>
        <v>Jalan</v>
      </c>
      <c r="AA139" s="884">
        <f t="shared" si="24"/>
        <v>10</v>
      </c>
      <c r="AB139" s="868">
        <f t="shared" si="47"/>
        <v>17388000</v>
      </c>
      <c r="AC139" s="885">
        <f t="shared" si="48"/>
        <v>10</v>
      </c>
      <c r="AD139" s="868">
        <f t="shared" si="49"/>
        <v>173880000</v>
      </c>
      <c r="AE139" s="868">
        <f t="shared" si="50"/>
        <v>0</v>
      </c>
      <c r="AF139" s="868">
        <f t="shared" si="51"/>
        <v>0</v>
      </c>
      <c r="AG139" s="868">
        <f t="shared" si="52"/>
        <v>0</v>
      </c>
      <c r="AH139" s="868">
        <f t="shared" si="53"/>
        <v>0</v>
      </c>
      <c r="AI139" s="886">
        <f t="shared" si="54"/>
        <v>0</v>
      </c>
      <c r="AJ139" s="886">
        <f t="shared" si="55"/>
        <v>173880000</v>
      </c>
      <c r="AK139" s="868">
        <f t="shared" si="46"/>
        <v>0</v>
      </c>
    </row>
    <row r="140" spans="1:37" s="887" customFormat="1" ht="35.25" customHeight="1" x14ac:dyDescent="0.2">
      <c r="A140" s="857">
        <v>74</v>
      </c>
      <c r="B140" s="857" t="str">
        <f t="shared" si="36"/>
        <v>SIMP. PL. KEDUNDUNG  - PL. KEDUNDUNG</v>
      </c>
      <c r="D140" s="887" t="s">
        <v>3931</v>
      </c>
      <c r="E140" s="884" t="str">
        <f t="shared" si="26"/>
        <v>1</v>
      </c>
      <c r="F140" s="888"/>
      <c r="G140" s="878" t="s">
        <v>1310</v>
      </c>
      <c r="H140" s="879"/>
      <c r="I140" s="880" t="s">
        <v>2494</v>
      </c>
      <c r="J140" s="880">
        <v>0</v>
      </c>
      <c r="K140" s="880">
        <v>0</v>
      </c>
      <c r="L140" s="881">
        <v>1500</v>
      </c>
      <c r="M140" s="880">
        <v>7</v>
      </c>
      <c r="N140" s="881">
        <v>10500</v>
      </c>
      <c r="O140" s="880" t="s">
        <v>3185</v>
      </c>
      <c r="P140" s="1126">
        <v>2014</v>
      </c>
      <c r="Q140" s="880">
        <v>0</v>
      </c>
      <c r="R140" s="880">
        <v>0</v>
      </c>
      <c r="S140" s="880">
        <v>0</v>
      </c>
      <c r="T140" s="880">
        <v>0</v>
      </c>
      <c r="U140" s="882">
        <v>1172323688</v>
      </c>
      <c r="V140" s="880">
        <v>0</v>
      </c>
      <c r="W140" s="880">
        <v>0</v>
      </c>
      <c r="X140" s="969"/>
      <c r="Y140" s="884" t="str">
        <f t="shared" si="25"/>
        <v>04.13.01</v>
      </c>
      <c r="Z140" s="884" t="str">
        <f t="shared" si="23"/>
        <v>Jalan</v>
      </c>
      <c r="AA140" s="884">
        <f t="shared" si="24"/>
        <v>10</v>
      </c>
      <c r="AB140" s="868">
        <f t="shared" si="47"/>
        <v>117232368.8</v>
      </c>
      <c r="AC140" s="885">
        <f t="shared" si="48"/>
        <v>0</v>
      </c>
      <c r="AD140" s="868">
        <f t="shared" si="49"/>
        <v>0</v>
      </c>
      <c r="AE140" s="868">
        <f t="shared" si="50"/>
        <v>117232368.8</v>
      </c>
      <c r="AF140" s="868">
        <f t="shared" si="51"/>
        <v>117232368.8</v>
      </c>
      <c r="AG140" s="868">
        <f t="shared" si="52"/>
        <v>117232368.8</v>
      </c>
      <c r="AH140" s="868">
        <f t="shared" si="53"/>
        <v>117232368.8</v>
      </c>
      <c r="AI140" s="886">
        <f t="shared" si="54"/>
        <v>117232368.8</v>
      </c>
      <c r="AJ140" s="886">
        <f t="shared" si="55"/>
        <v>586161844</v>
      </c>
      <c r="AK140" s="868">
        <f t="shared" si="46"/>
        <v>586161844</v>
      </c>
    </row>
    <row r="141" spans="1:37" s="1012" customFormat="1" ht="35.25" customHeight="1" x14ac:dyDescent="0.15">
      <c r="A141" s="998">
        <v>75</v>
      </c>
      <c r="B141" s="998" t="str">
        <f t="shared" si="36"/>
        <v>BUNDARAN DPRD - JL. PROPINSI</v>
      </c>
      <c r="D141" s="1012" t="s">
        <v>3932</v>
      </c>
      <c r="E141" s="999" t="s">
        <v>4247</v>
      </c>
      <c r="F141" s="1013"/>
      <c r="G141" s="1010" t="s">
        <v>529</v>
      </c>
      <c r="H141" s="1011"/>
      <c r="I141" s="1001" t="s">
        <v>2494</v>
      </c>
      <c r="J141" s="1001">
        <v>0</v>
      </c>
      <c r="K141" s="1001" t="s">
        <v>479</v>
      </c>
      <c r="L141" s="1003" t="s">
        <v>534</v>
      </c>
      <c r="M141" s="1001">
        <v>30</v>
      </c>
      <c r="N141" s="1003">
        <v>45000</v>
      </c>
      <c r="O141" s="1001" t="s">
        <v>535</v>
      </c>
      <c r="P141" s="1168">
        <v>2001</v>
      </c>
      <c r="Q141" s="1001">
        <v>0</v>
      </c>
      <c r="R141" s="1001">
        <v>0</v>
      </c>
      <c r="S141" s="1001" t="s">
        <v>482</v>
      </c>
      <c r="T141" s="1001" t="s">
        <v>12</v>
      </c>
      <c r="U141" s="1002">
        <f>5670000000+H142</f>
        <v>7467674273.4540958</v>
      </c>
      <c r="V141" s="1001" t="s">
        <v>43</v>
      </c>
      <c r="W141" s="1001">
        <v>0</v>
      </c>
      <c r="X141" s="1004"/>
      <c r="Y141" s="1005" t="str">
        <f t="shared" si="25"/>
        <v>04.13.01</v>
      </c>
      <c r="Z141" s="1006" t="str">
        <f t="shared" si="23"/>
        <v>Jalan</v>
      </c>
      <c r="AA141" s="1006">
        <f t="shared" si="24"/>
        <v>10</v>
      </c>
      <c r="AB141" s="1007"/>
      <c r="AC141" s="1008">
        <f>IF(2013-P141&gt;AA141,10,IF(2013-P141&lt;0,0,2013-P141))</f>
        <v>10</v>
      </c>
      <c r="AD141" s="1007"/>
      <c r="AE141" s="1007"/>
      <c r="AF141" s="1007"/>
      <c r="AG141" s="1007"/>
      <c r="AH141" s="1007"/>
      <c r="AI141" s="1009">
        <f>PERHITUNGAN!U484</f>
        <v>0</v>
      </c>
      <c r="AJ141" s="1009">
        <f>PERHITUNGAN!U489</f>
        <v>7467674273.4540968</v>
      </c>
      <c r="AK141" s="1007">
        <f t="shared" si="46"/>
        <v>0</v>
      </c>
    </row>
    <row r="142" spans="1:37" s="887" customFormat="1" ht="35.25" customHeight="1" x14ac:dyDescent="0.15">
      <c r="A142" s="857">
        <v>75</v>
      </c>
      <c r="B142" s="857" t="str">
        <f t="shared" si="36"/>
        <v>BUNDARAN DPRD - JL. PROPINSI</v>
      </c>
      <c r="D142" s="887" t="s">
        <v>3933</v>
      </c>
      <c r="E142" s="877" t="s">
        <v>4247</v>
      </c>
      <c r="F142" s="888"/>
      <c r="G142" s="878" t="s">
        <v>1147</v>
      </c>
      <c r="H142" s="879">
        <v>1797674273.4540961</v>
      </c>
      <c r="I142" s="880" t="s">
        <v>2494</v>
      </c>
      <c r="J142" s="880">
        <v>0</v>
      </c>
      <c r="K142" s="880" t="s">
        <v>519</v>
      </c>
      <c r="L142" s="881">
        <v>0</v>
      </c>
      <c r="M142" s="880">
        <v>0</v>
      </c>
      <c r="N142" s="881">
        <v>1194</v>
      </c>
      <c r="O142" s="880" t="s">
        <v>3086</v>
      </c>
      <c r="P142" s="1126">
        <v>2007</v>
      </c>
      <c r="Q142" s="880">
        <v>0</v>
      </c>
      <c r="R142" s="880">
        <v>0</v>
      </c>
      <c r="S142" s="880">
        <v>0</v>
      </c>
      <c r="T142" s="880" t="s">
        <v>12</v>
      </c>
      <c r="U142" s="882"/>
      <c r="V142" s="880" t="s">
        <v>43</v>
      </c>
      <c r="W142" s="880">
        <v>0</v>
      </c>
      <c r="X142" s="969"/>
      <c r="Y142" s="883" t="str">
        <f t="shared" si="25"/>
        <v>04.13.01</v>
      </c>
      <c r="Z142" s="884" t="str">
        <f t="shared" si="23"/>
        <v>Jalan</v>
      </c>
      <c r="AA142" s="884">
        <f t="shared" si="24"/>
        <v>10</v>
      </c>
      <c r="AB142" s="868"/>
      <c r="AC142" s="885">
        <f>IF(2013-P142&gt;AA142,10,IF(2013-P142&lt;0,0,2013-P142))</f>
        <v>6</v>
      </c>
      <c r="AD142" s="868"/>
      <c r="AE142" s="868"/>
      <c r="AF142" s="868"/>
      <c r="AG142" s="868"/>
      <c r="AH142" s="868"/>
      <c r="AI142" s="886"/>
      <c r="AJ142" s="886">
        <f>SUM(AD142:AI142)</f>
        <v>0</v>
      </c>
      <c r="AK142" s="868">
        <f t="shared" si="46"/>
        <v>0</v>
      </c>
    </row>
    <row r="143" spans="1:37" s="857" customFormat="1" ht="35.25" customHeight="1" x14ac:dyDescent="0.2">
      <c r="A143" s="857">
        <v>76</v>
      </c>
      <c r="B143" s="857" t="str">
        <f>VLOOKUP(A143,RUAS,2,FALSE)</f>
        <v>JL. PERINDAGKOP</v>
      </c>
      <c r="E143" s="884" t="str">
        <f>RIGHT(D143,1)</f>
        <v/>
      </c>
      <c r="F143" s="855"/>
      <c r="G143" s="878" t="s">
        <v>1135</v>
      </c>
      <c r="H143" s="879"/>
      <c r="I143" s="880" t="s">
        <v>2494</v>
      </c>
      <c r="J143" s="880"/>
      <c r="K143" s="880" t="s">
        <v>479</v>
      </c>
      <c r="L143" s="881" t="s">
        <v>527</v>
      </c>
      <c r="M143" s="880"/>
      <c r="N143" s="881"/>
      <c r="O143" s="880" t="s">
        <v>3078</v>
      </c>
      <c r="P143" s="1126">
        <v>2001</v>
      </c>
      <c r="Q143" s="880"/>
      <c r="R143" s="880"/>
      <c r="S143" s="880" t="s">
        <v>482</v>
      </c>
      <c r="T143" s="880" t="s">
        <v>12</v>
      </c>
      <c r="U143" s="882">
        <v>3741417795</v>
      </c>
      <c r="V143" s="880" t="s">
        <v>43</v>
      </c>
      <c r="W143" s="880"/>
      <c r="X143" s="969"/>
      <c r="Y143" s="884" t="str">
        <f>LEFT(I143,8)</f>
        <v>04.13.01</v>
      </c>
      <c r="Z143" s="884" t="str">
        <f>VLOOKUP(Y143,UE,3,FALSE)</f>
        <v>Jalan</v>
      </c>
      <c r="AA143" s="884">
        <f>VLOOKUP(Y143,UE,4,FALSE)</f>
        <v>10</v>
      </c>
      <c r="AB143" s="868">
        <f>U143/AA143</f>
        <v>374141779.5</v>
      </c>
      <c r="AC143" s="885">
        <f>IF(2013-P143+1&gt;AA143,AA143,IF(2013-P143+1&lt;0,0,2013-P143+1))</f>
        <v>10</v>
      </c>
      <c r="AD143" s="868">
        <f>IF(AC143&gt;AA143,U143,AB143*AC143)</f>
        <v>3741417795</v>
      </c>
      <c r="AE143" s="868">
        <f>IF(U143=AD143,0,AB143)</f>
        <v>0</v>
      </c>
      <c r="AF143" s="868">
        <f>IF(U143=AD143+AE143,0,AB143)</f>
        <v>0</v>
      </c>
      <c r="AG143" s="868">
        <f>IF(U143=AD143+AE143+AF143,0,AB143)</f>
        <v>0</v>
      </c>
      <c r="AH143" s="868">
        <f>IF(U143=AE143+AF143+AG143+AD143,0,AB143)</f>
        <v>0</v>
      </c>
      <c r="AI143" s="886">
        <f>IF(U143=AE143+AF143+AG143+AD143+AH143,0,AB143)</f>
        <v>0</v>
      </c>
      <c r="AJ143" s="886">
        <f>SUM(AD143:AI143)</f>
        <v>3741417795</v>
      </c>
      <c r="AK143" s="868">
        <f>U143-AJ143</f>
        <v>0</v>
      </c>
    </row>
    <row r="144" spans="1:37" s="887" customFormat="1" ht="35.25" customHeight="1" x14ac:dyDescent="0.2">
      <c r="A144" s="857">
        <v>80</v>
      </c>
      <c r="B144" s="857" t="str">
        <f t="shared" si="36"/>
        <v>JL. MENUJU LOKASI TPA - JK. RUAS 004/004</v>
      </c>
      <c r="D144" s="887" t="s">
        <v>3934</v>
      </c>
      <c r="E144" s="884" t="str">
        <f t="shared" si="26"/>
        <v>1</v>
      </c>
      <c r="F144" s="888"/>
      <c r="G144" s="878" t="s">
        <v>1400</v>
      </c>
      <c r="H144" s="879"/>
      <c r="I144" s="880" t="s">
        <v>2494</v>
      </c>
      <c r="J144" s="880">
        <v>0</v>
      </c>
      <c r="K144" s="880">
        <v>0</v>
      </c>
      <c r="L144" s="881">
        <v>1700</v>
      </c>
      <c r="M144" s="880">
        <v>10</v>
      </c>
      <c r="N144" s="881">
        <v>17000</v>
      </c>
      <c r="O144" s="880" t="s">
        <v>3237</v>
      </c>
      <c r="P144" s="1126">
        <v>2015</v>
      </c>
      <c r="Q144" s="880">
        <v>0</v>
      </c>
      <c r="R144" s="880">
        <v>0</v>
      </c>
      <c r="S144" s="880">
        <v>0</v>
      </c>
      <c r="T144" s="880" t="s">
        <v>12</v>
      </c>
      <c r="U144" s="882">
        <v>195476550</v>
      </c>
      <c r="V144" s="880">
        <v>0</v>
      </c>
      <c r="W144" s="880">
        <v>0</v>
      </c>
      <c r="X144" s="969"/>
      <c r="Y144" s="884" t="str">
        <f t="shared" si="25"/>
        <v>04.13.01</v>
      </c>
      <c r="Z144" s="884" t="str">
        <f t="shared" si="23"/>
        <v>Jalan</v>
      </c>
      <c r="AA144" s="884">
        <f t="shared" si="24"/>
        <v>10</v>
      </c>
      <c r="AB144" s="868">
        <f>U144/AA144</f>
        <v>19547655</v>
      </c>
      <c r="AC144" s="885">
        <f>IF(2013-P144+1&gt;AA144,AA144,IF(2013-P144+1&lt;0,0,2013-P144+1))</f>
        <v>0</v>
      </c>
      <c r="AD144" s="868">
        <f>IF(AC144&gt;AA144,U144,AB144*AC144)</f>
        <v>0</v>
      </c>
      <c r="AE144" s="868">
        <v>0</v>
      </c>
      <c r="AF144" s="868">
        <f>IF(U144=AD144+AE144,0,AB144)</f>
        <v>19547655</v>
      </c>
      <c r="AG144" s="868">
        <f>IF(U144=AD144+AE144+AF144,0,AB144)</f>
        <v>19547655</v>
      </c>
      <c r="AH144" s="868">
        <f>IF(U144=AE144+AF144+AG144+AD144,0,AB144)</f>
        <v>19547655</v>
      </c>
      <c r="AI144" s="886">
        <f>IF(U144=AE144+AF144+AG144+AD144+AH144,0,AB144)</f>
        <v>19547655</v>
      </c>
      <c r="AJ144" s="886">
        <f>SUM(AD144:AI144)</f>
        <v>78190620</v>
      </c>
      <c r="AK144" s="868">
        <f t="shared" si="46"/>
        <v>117285930</v>
      </c>
    </row>
    <row r="145" spans="1:37" s="857" customFormat="1" ht="35.25" customHeight="1" x14ac:dyDescent="0.2">
      <c r="A145" s="857">
        <v>83</v>
      </c>
      <c r="B145" s="857" t="str">
        <f t="shared" si="36"/>
        <v>LUBUK JAMBI - LUBUK AMBACANG</v>
      </c>
      <c r="D145" s="857" t="s">
        <v>3935</v>
      </c>
      <c r="E145" s="884" t="str">
        <f t="shared" si="26"/>
        <v>1</v>
      </c>
      <c r="F145" s="855"/>
      <c r="G145" s="878" t="s">
        <v>1134</v>
      </c>
      <c r="H145" s="879"/>
      <c r="I145" s="880" t="s">
        <v>3820</v>
      </c>
      <c r="J145" s="880">
        <v>0</v>
      </c>
      <c r="K145" s="880" t="s">
        <v>8</v>
      </c>
      <c r="L145" s="881">
        <v>10500</v>
      </c>
      <c r="M145" s="880">
        <v>8</v>
      </c>
      <c r="N145" s="881">
        <v>84000</v>
      </c>
      <c r="O145" s="880" t="s">
        <v>3077</v>
      </c>
      <c r="P145" s="1126">
        <v>2001</v>
      </c>
      <c r="Q145" s="880">
        <v>0</v>
      </c>
      <c r="R145" s="880">
        <v>0</v>
      </c>
      <c r="S145" s="880" t="s">
        <v>384</v>
      </c>
      <c r="T145" s="880" t="s">
        <v>12</v>
      </c>
      <c r="U145" s="882">
        <f>9141204662+H146+H147</f>
        <v>18890042037.350891</v>
      </c>
      <c r="V145" s="880" t="s">
        <v>43</v>
      </c>
      <c r="W145" s="880">
        <v>0</v>
      </c>
      <c r="X145" s="969"/>
      <c r="Y145" s="884" t="str">
        <f t="shared" si="25"/>
        <v>04.13.01</v>
      </c>
      <c r="Z145" s="884" t="str">
        <f t="shared" si="23"/>
        <v>Jalan</v>
      </c>
      <c r="AA145" s="884">
        <f t="shared" si="24"/>
        <v>10</v>
      </c>
      <c r="AB145" s="868"/>
      <c r="AC145" s="885"/>
      <c r="AD145" s="868"/>
      <c r="AE145" s="868"/>
      <c r="AF145" s="868"/>
      <c r="AG145" s="868"/>
      <c r="AH145" s="868"/>
      <c r="AI145" s="886">
        <f>PERHITUNGAN!R533</f>
        <v>1838870637.5668163</v>
      </c>
      <c r="AJ145" s="886">
        <f>PERHITUNGAN!U536</f>
        <v>19554969627.576462</v>
      </c>
      <c r="AK145" s="868">
        <f t="shared" si="46"/>
        <v>-664927590.22557068</v>
      </c>
    </row>
    <row r="146" spans="1:37" s="857" customFormat="1" ht="35.25" customHeight="1" x14ac:dyDescent="0.2">
      <c r="A146" s="857">
        <v>83</v>
      </c>
      <c r="B146" s="857" t="str">
        <f>VLOOKUP(A146,RUAS,2,FALSE)</f>
        <v>LUBUK JAMBI - LUBUK AMBACANG</v>
      </c>
      <c r="E146" s="884" t="str">
        <f>RIGHT(D146,1)</f>
        <v/>
      </c>
      <c r="F146" s="855"/>
      <c r="G146" s="878" t="s">
        <v>1158</v>
      </c>
      <c r="H146" s="879">
        <v>1601590326.3398361</v>
      </c>
      <c r="I146" s="861" t="s">
        <v>2494</v>
      </c>
      <c r="J146" s="871"/>
      <c r="K146" s="861" t="s">
        <v>519</v>
      </c>
      <c r="L146" s="856"/>
      <c r="M146" s="862"/>
      <c r="N146" s="856">
        <v>210</v>
      </c>
      <c r="O146" s="863" t="s">
        <v>3095</v>
      </c>
      <c r="P146" s="861">
        <v>2007</v>
      </c>
      <c r="Q146" s="862"/>
      <c r="R146" s="862"/>
      <c r="S146" s="862"/>
      <c r="T146" s="862" t="s">
        <v>12</v>
      </c>
      <c r="U146" s="899"/>
      <c r="V146" s="861" t="s">
        <v>43</v>
      </c>
      <c r="W146" s="865"/>
      <c r="X146" s="968"/>
      <c r="Y146" s="884" t="str">
        <f>LEFT(I146,8)</f>
        <v>04.13.01</v>
      </c>
      <c r="Z146" s="884" t="str">
        <f t="shared" ref="Z146:Z152" si="56">VLOOKUP(Y146,UE,3,FALSE)</f>
        <v>Jalan</v>
      </c>
      <c r="AA146" s="884">
        <f t="shared" ref="AA146:AA152" si="57">VLOOKUP(Y146,UE,4,FALSE)</f>
        <v>10</v>
      </c>
      <c r="AB146" s="868"/>
      <c r="AC146" s="885"/>
      <c r="AD146" s="868"/>
      <c r="AE146" s="868"/>
      <c r="AF146" s="868"/>
      <c r="AG146" s="868"/>
      <c r="AH146" s="868"/>
      <c r="AI146" s="886"/>
      <c r="AJ146" s="886"/>
      <c r="AK146" s="868">
        <f>U146-AJ146</f>
        <v>0</v>
      </c>
    </row>
    <row r="147" spans="1:37" s="857" customFormat="1" ht="35.25" customHeight="1" x14ac:dyDescent="0.2">
      <c r="A147" s="857">
        <v>83</v>
      </c>
      <c r="B147" s="857" t="str">
        <f>VLOOKUP(A147,RUAS,2,FALSE)</f>
        <v>LUBUK JAMBI - LUBUK AMBACANG</v>
      </c>
      <c r="E147" s="884" t="str">
        <f>RIGHT(D147,1)</f>
        <v/>
      </c>
      <c r="F147" s="890"/>
      <c r="G147" s="915" t="s">
        <v>1437</v>
      </c>
      <c r="H147" s="915">
        <v>8147247049.011054</v>
      </c>
      <c r="I147" s="907" t="s">
        <v>2494</v>
      </c>
      <c r="J147" s="903"/>
      <c r="K147" s="862"/>
      <c r="L147" s="908"/>
      <c r="M147" s="862"/>
      <c r="N147" s="909"/>
      <c r="O147" s="861" t="s">
        <v>3191</v>
      </c>
      <c r="P147" s="903">
        <v>2016</v>
      </c>
      <c r="Q147" s="862"/>
      <c r="R147" s="862"/>
      <c r="S147" s="862"/>
      <c r="T147" s="903" t="s">
        <v>12</v>
      </c>
      <c r="U147" s="910"/>
      <c r="V147" s="905"/>
      <c r="W147" s="906"/>
      <c r="X147" s="970"/>
      <c r="Y147" s="884" t="str">
        <f>LEFT(I147,8)</f>
        <v>04.13.01</v>
      </c>
      <c r="Z147" s="884" t="str">
        <f t="shared" si="56"/>
        <v>Jalan</v>
      </c>
      <c r="AA147" s="884">
        <f t="shared" si="57"/>
        <v>10</v>
      </c>
      <c r="AB147" s="868"/>
      <c r="AC147" s="885"/>
      <c r="AD147" s="868"/>
      <c r="AE147" s="868"/>
      <c r="AF147" s="868"/>
      <c r="AG147" s="868"/>
      <c r="AH147" s="868"/>
      <c r="AI147" s="886"/>
      <c r="AJ147" s="886"/>
      <c r="AK147" s="868">
        <f>U147-AJ147</f>
        <v>0</v>
      </c>
    </row>
    <row r="148" spans="1:37" s="857" customFormat="1" ht="35.25" customHeight="1" x14ac:dyDescent="0.2">
      <c r="A148" s="857">
        <v>85</v>
      </c>
      <c r="B148" s="857" t="str">
        <f t="shared" si="36"/>
        <v>CENGAR - KOTO BENAI</v>
      </c>
      <c r="D148" s="857" t="s">
        <v>3936</v>
      </c>
      <c r="E148" s="884" t="str">
        <f t="shared" si="26"/>
        <v>1</v>
      </c>
      <c r="F148" s="855"/>
      <c r="G148" s="878" t="s">
        <v>529</v>
      </c>
      <c r="H148" s="879"/>
      <c r="I148" s="880" t="s">
        <v>2494</v>
      </c>
      <c r="J148" s="880">
        <v>0</v>
      </c>
      <c r="K148" s="880" t="s">
        <v>8</v>
      </c>
      <c r="L148" s="881">
        <v>60000</v>
      </c>
      <c r="M148" s="880">
        <v>8</v>
      </c>
      <c r="N148" s="881">
        <v>480000</v>
      </c>
      <c r="O148" s="880" t="s">
        <v>627</v>
      </c>
      <c r="P148" s="1126">
        <v>2001</v>
      </c>
      <c r="Q148" s="880">
        <v>0</v>
      </c>
      <c r="R148" s="880">
        <v>0</v>
      </c>
      <c r="S148" s="880" t="s">
        <v>482</v>
      </c>
      <c r="T148" s="880" t="s">
        <v>12</v>
      </c>
      <c r="U148" s="882">
        <v>3360000000</v>
      </c>
      <c r="V148" s="880" t="s">
        <v>43</v>
      </c>
      <c r="W148" s="880">
        <v>0</v>
      </c>
      <c r="X148" s="969"/>
      <c r="Y148" s="884" t="str">
        <f t="shared" si="25"/>
        <v>04.13.01</v>
      </c>
      <c r="Z148" s="884" t="str">
        <f t="shared" si="56"/>
        <v>Jalan</v>
      </c>
      <c r="AA148" s="884">
        <f t="shared" si="57"/>
        <v>10</v>
      </c>
      <c r="AB148" s="868">
        <f>U148/AA148</f>
        <v>336000000</v>
      </c>
      <c r="AC148" s="885">
        <f>IF(2013-P148+1&gt;AA148,AA148,IF(2013-P148+1&lt;0,0,2013-P148+1))</f>
        <v>10</v>
      </c>
      <c r="AD148" s="868">
        <f>IF(AC148&gt;AA148,U148,AB148*AC148)</f>
        <v>3360000000</v>
      </c>
      <c r="AE148" s="868">
        <f>IF(U148=AD148,0,AB148)</f>
        <v>0</v>
      </c>
      <c r="AF148" s="868">
        <f>IF(U148=AD148+AE148,0,AB148)</f>
        <v>0</v>
      </c>
      <c r="AG148" s="868">
        <f>IF(U148=AD148+AE148+AF148,0,AB148)</f>
        <v>0</v>
      </c>
      <c r="AH148" s="868">
        <f>IF(U148=AE148+AF148+AG148+AD148,0,AB148)</f>
        <v>0</v>
      </c>
      <c r="AI148" s="886">
        <f>IF(U148=AE148+AF148+AG148+AD148+AH148,0,AB148)</f>
        <v>0</v>
      </c>
      <c r="AJ148" s="886">
        <f>SUM(AD148:AI148)</f>
        <v>3360000000</v>
      </c>
      <c r="AK148" s="868">
        <f t="shared" si="46"/>
        <v>0</v>
      </c>
    </row>
    <row r="149" spans="1:37" s="998" customFormat="1" ht="35.25" customHeight="1" x14ac:dyDescent="0.15">
      <c r="A149" s="998">
        <v>86</v>
      </c>
      <c r="B149" s="998" t="str">
        <f t="shared" si="36"/>
        <v>PANTAI - AIR BULUH</v>
      </c>
      <c r="D149" s="998" t="s">
        <v>3937</v>
      </c>
      <c r="E149" s="999" t="s">
        <v>4247</v>
      </c>
      <c r="F149" s="1000"/>
      <c r="G149" s="1010" t="s">
        <v>529</v>
      </c>
      <c r="H149" s="1011"/>
      <c r="I149" s="1001" t="s">
        <v>2494</v>
      </c>
      <c r="J149" s="1001">
        <v>0</v>
      </c>
      <c r="K149" s="1001" t="s">
        <v>484</v>
      </c>
      <c r="L149" s="1003">
        <v>5000</v>
      </c>
      <c r="M149" s="1001">
        <v>7</v>
      </c>
      <c r="N149" s="1003">
        <v>35000</v>
      </c>
      <c r="O149" s="1001" t="s">
        <v>628</v>
      </c>
      <c r="P149" s="1168">
        <v>2001</v>
      </c>
      <c r="Q149" s="1001">
        <v>0</v>
      </c>
      <c r="R149" s="1001">
        <v>0</v>
      </c>
      <c r="S149" s="1001" t="s">
        <v>482</v>
      </c>
      <c r="T149" s="1001" t="s">
        <v>12</v>
      </c>
      <c r="U149" s="1002">
        <f>2080000000+H150+H151+H152</f>
        <v>8204843071.5304613</v>
      </c>
      <c r="V149" s="1001" t="s">
        <v>43</v>
      </c>
      <c r="W149" s="1001">
        <v>0</v>
      </c>
      <c r="X149" s="1004"/>
      <c r="Y149" s="1005" t="str">
        <f t="shared" si="25"/>
        <v>04.13.01</v>
      </c>
      <c r="Z149" s="1006" t="str">
        <f t="shared" si="56"/>
        <v>Jalan</v>
      </c>
      <c r="AA149" s="1006">
        <f t="shared" si="57"/>
        <v>10</v>
      </c>
      <c r="AB149" s="1007"/>
      <c r="AC149" s="1008">
        <f>IF(2013-P149&gt;AA149,10,IF(2013-P149&lt;0,0,2013-P149))</f>
        <v>10</v>
      </c>
      <c r="AD149" s="1007"/>
      <c r="AE149" s="1007"/>
      <c r="AF149" s="1007"/>
      <c r="AG149" s="1007"/>
      <c r="AH149" s="1007"/>
      <c r="AI149" s="1009">
        <f>PERHITUNGAN!U554</f>
        <v>635697397.26340163</v>
      </c>
      <c r="AJ149" s="1009">
        <f>PERHITUNGAN!U557</f>
        <v>7638943176.1442595</v>
      </c>
      <c r="AK149" s="1007">
        <f t="shared" si="46"/>
        <v>565899895.38620186</v>
      </c>
    </row>
    <row r="150" spans="1:37" s="857" customFormat="1" ht="35.25" customHeight="1" x14ac:dyDescent="0.15">
      <c r="A150" s="857">
        <v>86</v>
      </c>
      <c r="B150" s="857" t="str">
        <f t="shared" si="36"/>
        <v>PANTAI - AIR BULUH</v>
      </c>
      <c r="D150" s="857" t="s">
        <v>3938</v>
      </c>
      <c r="E150" s="877" t="s">
        <v>4247</v>
      </c>
      <c r="F150" s="855"/>
      <c r="G150" s="878" t="s">
        <v>1182</v>
      </c>
      <c r="H150" s="879">
        <v>695109994.81529498</v>
      </c>
      <c r="I150" s="880" t="s">
        <v>2494</v>
      </c>
      <c r="J150" s="880">
        <v>0</v>
      </c>
      <c r="K150" s="880" t="s">
        <v>835</v>
      </c>
      <c r="L150" s="881">
        <v>3.5</v>
      </c>
      <c r="M150" s="880">
        <v>3</v>
      </c>
      <c r="N150" s="881">
        <v>10.5</v>
      </c>
      <c r="O150" s="880" t="s">
        <v>628</v>
      </c>
      <c r="P150" s="1126">
        <v>2007</v>
      </c>
      <c r="Q150" s="880">
        <v>0</v>
      </c>
      <c r="R150" s="880">
        <v>0</v>
      </c>
      <c r="S150" s="880">
        <v>0</v>
      </c>
      <c r="T150" s="880" t="s">
        <v>12</v>
      </c>
      <c r="U150" s="882"/>
      <c r="V150" s="880" t="s">
        <v>43</v>
      </c>
      <c r="W150" s="880">
        <v>0</v>
      </c>
      <c r="X150" s="969"/>
      <c r="Y150" s="883" t="str">
        <f t="shared" si="25"/>
        <v>04.13.01</v>
      </c>
      <c r="Z150" s="884" t="str">
        <f t="shared" si="56"/>
        <v>Jalan</v>
      </c>
      <c r="AA150" s="884">
        <f t="shared" si="57"/>
        <v>10</v>
      </c>
      <c r="AB150" s="868"/>
      <c r="AC150" s="885">
        <f>IF(2013-P150&gt;AA150,10,IF(2013-P150&lt;0,0,2013-P150))</f>
        <v>6</v>
      </c>
      <c r="AD150" s="868"/>
      <c r="AE150" s="868"/>
      <c r="AF150" s="868"/>
      <c r="AG150" s="868"/>
      <c r="AH150" s="868"/>
      <c r="AI150" s="886"/>
      <c r="AJ150" s="886"/>
      <c r="AK150" s="868">
        <f t="shared" si="46"/>
        <v>0</v>
      </c>
    </row>
    <row r="151" spans="1:37" s="857" customFormat="1" ht="35.25" customHeight="1" x14ac:dyDescent="0.15">
      <c r="A151" s="857">
        <v>86</v>
      </c>
      <c r="B151" s="857" t="str">
        <f t="shared" si="36"/>
        <v>PANTAI - AIR BULUH</v>
      </c>
      <c r="D151" s="857" t="s">
        <v>3939</v>
      </c>
      <c r="E151" s="877" t="s">
        <v>4247</v>
      </c>
      <c r="F151" s="855"/>
      <c r="G151" s="878" t="s">
        <v>1233</v>
      </c>
      <c r="H151" s="879">
        <v>3830922576</v>
      </c>
      <c r="I151" s="880" t="s">
        <v>2494</v>
      </c>
      <c r="J151" s="880">
        <v>0</v>
      </c>
      <c r="K151" s="880" t="s">
        <v>519</v>
      </c>
      <c r="L151" s="881">
        <v>0</v>
      </c>
      <c r="M151" s="880">
        <v>0</v>
      </c>
      <c r="N151" s="881">
        <v>1000</v>
      </c>
      <c r="O151" s="880" t="s">
        <v>628</v>
      </c>
      <c r="P151" s="1126">
        <v>2011</v>
      </c>
      <c r="Q151" s="880">
        <v>0</v>
      </c>
      <c r="R151" s="880">
        <v>0</v>
      </c>
      <c r="S151" s="880">
        <v>0</v>
      </c>
      <c r="T151" s="880" t="s">
        <v>12</v>
      </c>
      <c r="U151" s="882"/>
      <c r="V151" s="880" t="s">
        <v>43</v>
      </c>
      <c r="W151" s="880">
        <v>0</v>
      </c>
      <c r="X151" s="969"/>
      <c r="Y151" s="883" t="str">
        <f t="shared" si="25"/>
        <v>04.13.01</v>
      </c>
      <c r="Z151" s="884" t="str">
        <f t="shared" si="56"/>
        <v>Jalan</v>
      </c>
      <c r="AA151" s="884">
        <f t="shared" si="57"/>
        <v>10</v>
      </c>
      <c r="AB151" s="868"/>
      <c r="AC151" s="885">
        <f>IF(2013-P151&gt;AA151,10,IF(2013-P151&lt;0,0,2013-P151))</f>
        <v>2</v>
      </c>
      <c r="AD151" s="868"/>
      <c r="AE151" s="868"/>
      <c r="AF151" s="868"/>
      <c r="AG151" s="868"/>
      <c r="AH151" s="868"/>
      <c r="AI151" s="886"/>
      <c r="AJ151" s="886"/>
      <c r="AK151" s="868">
        <f t="shared" si="46"/>
        <v>0</v>
      </c>
    </row>
    <row r="152" spans="1:37" s="857" customFormat="1" ht="35.25" customHeight="1" x14ac:dyDescent="0.15">
      <c r="A152" s="857">
        <v>86</v>
      </c>
      <c r="B152" s="857" t="str">
        <f t="shared" si="36"/>
        <v>PANTAI - AIR BULUH</v>
      </c>
      <c r="D152" s="857" t="s">
        <v>4122</v>
      </c>
      <c r="E152" s="877" t="s">
        <v>4247</v>
      </c>
      <c r="F152" s="855"/>
      <c r="G152" s="878" t="s">
        <v>1252</v>
      </c>
      <c r="H152" s="879">
        <v>1598810500.7151661</v>
      </c>
      <c r="I152" s="880" t="s">
        <v>2494</v>
      </c>
      <c r="J152" s="880">
        <v>0</v>
      </c>
      <c r="K152" s="880" t="s">
        <v>519</v>
      </c>
      <c r="L152" s="881">
        <v>0</v>
      </c>
      <c r="M152" s="880">
        <v>0</v>
      </c>
      <c r="N152" s="881">
        <v>0</v>
      </c>
      <c r="O152" s="880" t="s">
        <v>628</v>
      </c>
      <c r="P152" s="1126">
        <v>2012</v>
      </c>
      <c r="Q152" s="880">
        <v>0</v>
      </c>
      <c r="R152" s="880">
        <v>0</v>
      </c>
      <c r="S152" s="880">
        <v>0</v>
      </c>
      <c r="T152" s="880" t="s">
        <v>12</v>
      </c>
      <c r="U152" s="882"/>
      <c r="V152" s="880" t="s">
        <v>43</v>
      </c>
      <c r="W152" s="880">
        <v>0</v>
      </c>
      <c r="X152" s="969"/>
      <c r="Y152" s="883" t="str">
        <f t="shared" si="25"/>
        <v>04.13.01</v>
      </c>
      <c r="Z152" s="884" t="str">
        <f t="shared" si="56"/>
        <v>Jalan</v>
      </c>
      <c r="AA152" s="884">
        <f t="shared" si="57"/>
        <v>10</v>
      </c>
      <c r="AB152" s="868"/>
      <c r="AC152" s="885">
        <f>IF(2013-P152&gt;AA152,10,IF(2013-P152&lt;0,0,2013-P152))</f>
        <v>1</v>
      </c>
      <c r="AD152" s="868"/>
      <c r="AE152" s="868"/>
      <c r="AF152" s="868"/>
      <c r="AG152" s="868"/>
      <c r="AH152" s="868"/>
      <c r="AI152" s="886"/>
      <c r="AJ152" s="886"/>
      <c r="AK152" s="868"/>
    </row>
    <row r="153" spans="1:37" s="857" customFormat="1" ht="35.25" customHeight="1" x14ac:dyDescent="0.2">
      <c r="A153" s="857">
        <v>87</v>
      </c>
      <c r="B153" s="857" t="str">
        <f t="shared" ref="B153:B158" si="58">VLOOKUP(A153,RUAS,2,FALSE)</f>
        <v>SEI. BESAR - BTS. SUMBAR</v>
      </c>
      <c r="E153" s="884" t="str">
        <f>RIGHT(D153,1)</f>
        <v/>
      </c>
      <c r="F153" s="855"/>
      <c r="G153" s="878" t="s">
        <v>529</v>
      </c>
      <c r="H153" s="879"/>
      <c r="I153" s="880" t="s">
        <v>2494</v>
      </c>
      <c r="J153" s="880"/>
      <c r="K153" s="880" t="s">
        <v>525</v>
      </c>
      <c r="L153" s="881" t="s">
        <v>675</v>
      </c>
      <c r="M153" s="880"/>
      <c r="N153" s="881"/>
      <c r="O153" s="880" t="s">
        <v>3083</v>
      </c>
      <c r="P153" s="1126">
        <v>2001</v>
      </c>
      <c r="Q153" s="880"/>
      <c r="R153" s="880"/>
      <c r="S153" s="880" t="s">
        <v>482</v>
      </c>
      <c r="T153" s="880" t="s">
        <v>12</v>
      </c>
      <c r="U153" s="882">
        <f>6048000000+H154+H155+H156+H157+H158</f>
        <v>21677346530.101437</v>
      </c>
      <c r="V153" s="880" t="s">
        <v>43</v>
      </c>
      <c r="W153" s="880"/>
      <c r="X153" s="969"/>
      <c r="Y153" s="884" t="str">
        <f t="shared" ref="Y153:Y158" si="59">LEFT(I153,8)</f>
        <v>04.13.01</v>
      </c>
      <c r="Z153" s="884" t="str">
        <f t="shared" ref="Z153:Z158" si="60">VLOOKUP(Y153,UE,3,FALSE)</f>
        <v>Jalan</v>
      </c>
      <c r="AA153" s="884">
        <f t="shared" ref="AA153:AA158" si="61">VLOOKUP(Y153,UE,4,FALSE)</f>
        <v>10</v>
      </c>
      <c r="AB153" s="868"/>
      <c r="AC153" s="885"/>
      <c r="AD153" s="868"/>
      <c r="AE153" s="868"/>
      <c r="AF153" s="868"/>
      <c r="AG153" s="868"/>
      <c r="AH153" s="868"/>
      <c r="AI153" s="886">
        <f>PERHITUNGAN!R576</f>
        <v>1360011297.2443604</v>
      </c>
      <c r="AJ153" s="886">
        <f>PERHITUNGAN!U581</f>
        <v>18265436250.761982</v>
      </c>
      <c r="AK153" s="868">
        <f>U153-AJ153</f>
        <v>3411910279.3394547</v>
      </c>
    </row>
    <row r="154" spans="1:37" s="857" customFormat="1" ht="35.25" customHeight="1" x14ac:dyDescent="0.2">
      <c r="A154" s="857">
        <v>87</v>
      </c>
      <c r="B154" s="857" t="str">
        <f t="shared" si="58"/>
        <v>SEI. BESAR - BTS. SUMBAR</v>
      </c>
      <c r="E154" s="884" t="str">
        <f>RIGHT(D154,1)</f>
        <v/>
      </c>
      <c r="F154" s="855"/>
      <c r="G154" s="878" t="s">
        <v>1160</v>
      </c>
      <c r="H154" s="879">
        <v>1286184534.3929939</v>
      </c>
      <c r="I154" s="861" t="s">
        <v>2494</v>
      </c>
      <c r="J154" s="871"/>
      <c r="K154" s="861" t="s">
        <v>519</v>
      </c>
      <c r="L154" s="856"/>
      <c r="M154" s="862"/>
      <c r="N154" s="856">
        <v>1000</v>
      </c>
      <c r="O154" s="863" t="s">
        <v>3083</v>
      </c>
      <c r="P154" s="861">
        <v>2007</v>
      </c>
      <c r="Q154" s="862"/>
      <c r="R154" s="862"/>
      <c r="S154" s="862"/>
      <c r="T154" s="862" t="s">
        <v>12</v>
      </c>
      <c r="U154" s="899"/>
      <c r="V154" s="861" t="s">
        <v>43</v>
      </c>
      <c r="W154" s="865"/>
      <c r="X154" s="968"/>
      <c r="Y154" s="884" t="str">
        <f t="shared" si="59"/>
        <v>04.13.01</v>
      </c>
      <c r="Z154" s="884" t="str">
        <f t="shared" si="60"/>
        <v>Jalan</v>
      </c>
      <c r="AA154" s="884">
        <f t="shared" si="61"/>
        <v>10</v>
      </c>
      <c r="AB154" s="868"/>
      <c r="AC154" s="885"/>
      <c r="AD154" s="868"/>
      <c r="AE154" s="868"/>
      <c r="AF154" s="868"/>
      <c r="AG154" s="868"/>
      <c r="AH154" s="868"/>
      <c r="AI154" s="886"/>
      <c r="AJ154" s="886"/>
      <c r="AK154" s="868">
        <f>U154-AJ154</f>
        <v>0</v>
      </c>
    </row>
    <row r="155" spans="1:37" s="857" customFormat="1" ht="35.25" customHeight="1" x14ac:dyDescent="0.2">
      <c r="A155" s="857">
        <v>87</v>
      </c>
      <c r="B155" s="857" t="str">
        <f t="shared" si="58"/>
        <v>SEI. BESAR - BTS. SUMBAR</v>
      </c>
      <c r="E155" s="884" t="s">
        <v>4763</v>
      </c>
      <c r="F155" s="890"/>
      <c r="G155" s="878" t="s">
        <v>1236</v>
      </c>
      <c r="H155" s="879">
        <v>7667608917.5500002</v>
      </c>
      <c r="I155" s="880" t="s">
        <v>2494</v>
      </c>
      <c r="J155" s="880">
        <v>0</v>
      </c>
      <c r="K155" s="880" t="s">
        <v>519</v>
      </c>
      <c r="L155" s="881">
        <v>0</v>
      </c>
      <c r="M155" s="880">
        <v>0</v>
      </c>
      <c r="N155" s="881">
        <v>0</v>
      </c>
      <c r="O155" s="880" t="s">
        <v>3141</v>
      </c>
      <c r="P155" s="1126">
        <v>2011</v>
      </c>
      <c r="Q155" s="880">
        <v>0</v>
      </c>
      <c r="R155" s="880">
        <v>0</v>
      </c>
      <c r="S155" s="880">
        <v>0</v>
      </c>
      <c r="T155" s="880" t="s">
        <v>12</v>
      </c>
      <c r="U155" s="882"/>
      <c r="V155" s="880" t="s">
        <v>43</v>
      </c>
      <c r="W155" s="880">
        <v>0</v>
      </c>
      <c r="X155" s="969"/>
      <c r="Y155" s="884" t="str">
        <f t="shared" si="59"/>
        <v>04.13.01</v>
      </c>
      <c r="Z155" s="884" t="str">
        <f t="shared" si="60"/>
        <v>Jalan</v>
      </c>
      <c r="AA155" s="884">
        <f t="shared" si="61"/>
        <v>10</v>
      </c>
      <c r="AB155" s="868"/>
      <c r="AC155" s="885"/>
      <c r="AD155" s="868"/>
      <c r="AE155" s="868"/>
      <c r="AF155" s="868"/>
      <c r="AG155" s="868"/>
      <c r="AH155" s="868"/>
      <c r="AI155" s="886"/>
      <c r="AJ155" s="886"/>
      <c r="AK155" s="868">
        <f t="shared" ref="AK155:AK194" si="62">U155-AJ155</f>
        <v>0</v>
      </c>
    </row>
    <row r="156" spans="1:37" s="857" customFormat="1" ht="35.25" customHeight="1" x14ac:dyDescent="0.2">
      <c r="A156" s="857">
        <v>87</v>
      </c>
      <c r="B156" s="857" t="str">
        <f t="shared" si="58"/>
        <v>SEI. BESAR - BTS. SUMBAR</v>
      </c>
      <c r="E156" s="884" t="str">
        <f>RIGHT(D156,1)</f>
        <v/>
      </c>
      <c r="F156" s="855"/>
      <c r="G156" s="878" t="s">
        <v>1222</v>
      </c>
      <c r="H156" s="879">
        <v>672970829.95844185</v>
      </c>
      <c r="I156" s="861" t="s">
        <v>2494</v>
      </c>
      <c r="J156" s="871"/>
      <c r="K156" s="861" t="s">
        <v>835</v>
      </c>
      <c r="L156" s="856"/>
      <c r="M156" s="862"/>
      <c r="N156" s="856">
        <v>3.3</v>
      </c>
      <c r="O156" s="863" t="s">
        <v>3131</v>
      </c>
      <c r="P156" s="861">
        <v>2011</v>
      </c>
      <c r="Q156" s="862"/>
      <c r="R156" s="862"/>
      <c r="S156" s="862"/>
      <c r="T156" s="862" t="s">
        <v>12</v>
      </c>
      <c r="U156" s="899"/>
      <c r="V156" s="861" t="s">
        <v>43</v>
      </c>
      <c r="W156" s="865"/>
      <c r="X156" s="968"/>
      <c r="Y156" s="884" t="str">
        <f t="shared" si="59"/>
        <v>04.13.01</v>
      </c>
      <c r="Z156" s="884" t="str">
        <f t="shared" si="60"/>
        <v>Jalan</v>
      </c>
      <c r="AA156" s="884">
        <f t="shared" si="61"/>
        <v>10</v>
      </c>
      <c r="AB156" s="868">
        <f>U156/AA156</f>
        <v>0</v>
      </c>
      <c r="AC156" s="885">
        <f>IF(2013-P156+1&gt;AA156,AA156,IF(2013-P156+1&lt;0,0,2013-P156+1))</f>
        <v>3</v>
      </c>
      <c r="AD156" s="868">
        <f>IF(AC156&gt;AA156,U156,AB156*AC156)</f>
        <v>0</v>
      </c>
      <c r="AE156" s="868">
        <f>IF(U156=AD156,0,AB156)</f>
        <v>0</v>
      </c>
      <c r="AF156" s="868">
        <f>IF(U156=AD156+AE156,0,AB156)</f>
        <v>0</v>
      </c>
      <c r="AG156" s="868">
        <f>IF(U156=AD156+AE156+AF156,0,AB156)</f>
        <v>0</v>
      </c>
      <c r="AH156" s="868">
        <f>IF(U156=AE156+AF156+AG156+AD156,0,AB156)</f>
        <v>0</v>
      </c>
      <c r="AI156" s="886">
        <f>IF(U156=AE156+AF156+AG156+AD156+AH156,0,AB156)</f>
        <v>0</v>
      </c>
      <c r="AJ156" s="886">
        <f>SUM(AD156:AI156)</f>
        <v>0</v>
      </c>
      <c r="AK156" s="868">
        <f>U156-AJ156</f>
        <v>0</v>
      </c>
    </row>
    <row r="157" spans="1:37" s="857" customFormat="1" ht="35.25" customHeight="1" x14ac:dyDescent="0.2">
      <c r="A157" s="857">
        <v>87</v>
      </c>
      <c r="B157" s="857" t="str">
        <f t="shared" si="58"/>
        <v>SEI. BESAR - BTS. SUMBAR</v>
      </c>
      <c r="E157" s="884" t="s">
        <v>4763</v>
      </c>
      <c r="F157" s="890"/>
      <c r="G157" s="878" t="s">
        <v>1373</v>
      </c>
      <c r="H157" s="879">
        <v>3760564386.1999998</v>
      </c>
      <c r="I157" s="880" t="s">
        <v>2494</v>
      </c>
      <c r="J157" s="880">
        <v>0</v>
      </c>
      <c r="K157" s="880">
        <v>0</v>
      </c>
      <c r="L157" s="881">
        <v>0</v>
      </c>
      <c r="M157" s="880">
        <v>0</v>
      </c>
      <c r="N157" s="881">
        <v>0</v>
      </c>
      <c r="O157" s="880" t="s">
        <v>3141</v>
      </c>
      <c r="P157" s="1126">
        <v>2015</v>
      </c>
      <c r="Q157" s="880">
        <v>0</v>
      </c>
      <c r="R157" s="880">
        <v>0</v>
      </c>
      <c r="S157" s="880">
        <v>0</v>
      </c>
      <c r="T157" s="880" t="s">
        <v>12</v>
      </c>
      <c r="U157" s="882"/>
      <c r="V157" s="880">
        <v>0</v>
      </c>
      <c r="W157" s="880">
        <v>0</v>
      </c>
      <c r="X157" s="969"/>
      <c r="Y157" s="884" t="str">
        <f t="shared" si="59"/>
        <v>04.13.01</v>
      </c>
      <c r="Z157" s="884" t="str">
        <f t="shared" si="60"/>
        <v>Jalan</v>
      </c>
      <c r="AA157" s="884">
        <f t="shared" si="61"/>
        <v>10</v>
      </c>
      <c r="AB157" s="868"/>
      <c r="AC157" s="885"/>
      <c r="AD157" s="868"/>
      <c r="AE157" s="868"/>
      <c r="AF157" s="868"/>
      <c r="AG157" s="868"/>
      <c r="AH157" s="868"/>
      <c r="AI157" s="886"/>
      <c r="AJ157" s="886"/>
      <c r="AK157" s="868">
        <f t="shared" si="62"/>
        <v>0</v>
      </c>
    </row>
    <row r="158" spans="1:37" s="887" customFormat="1" ht="35.25" customHeight="1" x14ac:dyDescent="0.2">
      <c r="A158" s="857">
        <v>87</v>
      </c>
      <c r="B158" s="857" t="str">
        <f t="shared" si="58"/>
        <v>SEI. BESAR - BTS. SUMBAR</v>
      </c>
      <c r="E158" s="884" t="str">
        <f>RIGHT(D158,1)</f>
        <v/>
      </c>
      <c r="F158" s="888"/>
      <c r="G158" s="1147" t="s">
        <v>3334</v>
      </c>
      <c r="H158" s="879">
        <v>2242017862</v>
      </c>
      <c r="I158" s="921" t="s">
        <v>2494</v>
      </c>
      <c r="J158" s="922"/>
      <c r="K158" s="921"/>
      <c r="L158" s="923"/>
      <c r="M158" s="922"/>
      <c r="N158" s="923"/>
      <c r="O158" s="863" t="s">
        <v>3309</v>
      </c>
      <c r="P158" s="921">
        <v>2018</v>
      </c>
      <c r="Q158" s="922"/>
      <c r="R158" s="922"/>
      <c r="S158" s="922"/>
      <c r="T158" s="903" t="s">
        <v>12</v>
      </c>
      <c r="U158" s="924"/>
      <c r="V158" s="905"/>
      <c r="W158" s="906"/>
      <c r="X158" s="970"/>
      <c r="Y158" s="884" t="str">
        <f t="shared" si="59"/>
        <v>04.13.01</v>
      </c>
      <c r="Z158" s="884" t="str">
        <f t="shared" si="60"/>
        <v>Jalan</v>
      </c>
      <c r="AA158" s="884">
        <f t="shared" si="61"/>
        <v>10</v>
      </c>
      <c r="AB158" s="868"/>
      <c r="AC158" s="885"/>
      <c r="AD158" s="868"/>
      <c r="AE158" s="868"/>
      <c r="AF158" s="868"/>
      <c r="AG158" s="868"/>
      <c r="AH158" s="868"/>
      <c r="AI158" s="886"/>
      <c r="AJ158" s="886"/>
      <c r="AK158" s="868">
        <f>U158-AJ158</f>
        <v>0</v>
      </c>
    </row>
    <row r="159" spans="1:37" s="887" customFormat="1" ht="35.25" customHeight="1" x14ac:dyDescent="0.2">
      <c r="A159" s="857">
        <v>90</v>
      </c>
      <c r="B159" s="857" t="str">
        <f t="shared" si="36"/>
        <v>SANGAU - SIBEROBAH</v>
      </c>
      <c r="D159" s="887" t="s">
        <v>3941</v>
      </c>
      <c r="E159" s="884" t="str">
        <f>RIGHT(D159,1)</f>
        <v>1</v>
      </c>
      <c r="F159" s="888"/>
      <c r="G159" s="878" t="s">
        <v>1159</v>
      </c>
      <c r="H159" s="879"/>
      <c r="I159" s="880" t="s">
        <v>2494</v>
      </c>
      <c r="J159" s="880">
        <v>0</v>
      </c>
      <c r="K159" s="880" t="s">
        <v>519</v>
      </c>
      <c r="L159" s="881">
        <v>0</v>
      </c>
      <c r="M159" s="880">
        <v>0</v>
      </c>
      <c r="N159" s="881">
        <v>1000</v>
      </c>
      <c r="O159" s="880" t="s">
        <v>3096</v>
      </c>
      <c r="P159" s="1126">
        <v>2007</v>
      </c>
      <c r="Q159" s="880">
        <v>0</v>
      </c>
      <c r="R159" s="880">
        <v>0</v>
      </c>
      <c r="S159" s="880">
        <v>0</v>
      </c>
      <c r="T159" s="880" t="s">
        <v>12</v>
      </c>
      <c r="U159" s="882">
        <v>1236351311.7744997</v>
      </c>
      <c r="V159" s="880" t="s">
        <v>43</v>
      </c>
      <c r="W159" s="880">
        <v>0</v>
      </c>
      <c r="X159" s="969"/>
      <c r="Y159" s="884" t="str">
        <f t="shared" ref="Y159:Y232" si="63">LEFT(I159,8)</f>
        <v>04.13.01</v>
      </c>
      <c r="Z159" s="884" t="str">
        <f t="shared" ref="Z159:Z232" si="64">VLOOKUP(Y159,UE,3,FALSE)</f>
        <v>Jalan</v>
      </c>
      <c r="AA159" s="884">
        <f t="shared" ref="AA159:AA232" si="65">VLOOKUP(Y159,UE,4,FALSE)</f>
        <v>10</v>
      </c>
      <c r="AB159" s="868">
        <f>U159/AA159</f>
        <v>123635131.17744997</v>
      </c>
      <c r="AC159" s="885">
        <f>IF(2013-P159+1&gt;AA159,AA159,IF(2013-P159+1&lt;0,0,2013-P159+1))</f>
        <v>7</v>
      </c>
      <c r="AD159" s="868">
        <f>IF(AC159&gt;AA159,U159,AB159*AC159)</f>
        <v>865445918.24214983</v>
      </c>
      <c r="AE159" s="868">
        <f>IF(U159=AD159,0,AB159)</f>
        <v>123635131.17744997</v>
      </c>
      <c r="AF159" s="868">
        <f>IF(U159=AD159+AE159,0,AB159)</f>
        <v>123635131.17744997</v>
      </c>
      <c r="AG159" s="868">
        <f>IF(U159=AD159+AE159+AF159,0,AB159)</f>
        <v>123635131.17744997</v>
      </c>
      <c r="AH159" s="868">
        <f>IF(U159=AE159+AF159+AG159+AD159,0,AB159)</f>
        <v>0</v>
      </c>
      <c r="AI159" s="886">
        <f>IF(U159=AE159+AF159+AG159+AD159+AH159,0,AB159)</f>
        <v>0</v>
      </c>
      <c r="AJ159" s="886">
        <f>SUM(AD159:AI159)</f>
        <v>1236351311.7744997</v>
      </c>
      <c r="AK159" s="868">
        <f t="shared" si="62"/>
        <v>0</v>
      </c>
    </row>
    <row r="160" spans="1:37" s="1012" customFormat="1" ht="35.25" customHeight="1" x14ac:dyDescent="0.15">
      <c r="A160" s="998">
        <v>91</v>
      </c>
      <c r="B160" s="998" t="str">
        <f t="shared" si="36"/>
        <v>LUBUK JAMBI - SAIK</v>
      </c>
      <c r="D160" s="1012" t="s">
        <v>3942</v>
      </c>
      <c r="E160" s="999" t="s">
        <v>4247</v>
      </c>
      <c r="F160" s="1013"/>
      <c r="G160" s="1010" t="s">
        <v>1262</v>
      </c>
      <c r="H160" s="1011"/>
      <c r="I160" s="1001" t="s">
        <v>2494</v>
      </c>
      <c r="J160" s="1001">
        <v>0</v>
      </c>
      <c r="K160" s="1001" t="s">
        <v>519</v>
      </c>
      <c r="L160" s="1003">
        <v>0</v>
      </c>
      <c r="M160" s="1001">
        <v>0</v>
      </c>
      <c r="N160" s="1003">
        <v>0</v>
      </c>
      <c r="O160" s="1001" t="s">
        <v>3158</v>
      </c>
      <c r="P160" s="1168">
        <v>2012</v>
      </c>
      <c r="Q160" s="1001">
        <v>0</v>
      </c>
      <c r="R160" s="1001">
        <v>0</v>
      </c>
      <c r="S160" s="1001">
        <v>0</v>
      </c>
      <c r="T160" s="1001" t="s">
        <v>12</v>
      </c>
      <c r="U160" s="1002">
        <f>11987663158.4603+H161+H162</f>
        <v>26093064227.160301</v>
      </c>
      <c r="V160" s="1001" t="s">
        <v>43</v>
      </c>
      <c r="W160" s="1001">
        <v>0</v>
      </c>
      <c r="X160" s="1004"/>
      <c r="Y160" s="1005" t="str">
        <f t="shared" si="63"/>
        <v>04.13.01</v>
      </c>
      <c r="Z160" s="1006" t="str">
        <f t="shared" si="64"/>
        <v>Jalan</v>
      </c>
      <c r="AA160" s="1006">
        <f t="shared" si="65"/>
        <v>10</v>
      </c>
      <c r="AB160" s="1007"/>
      <c r="AC160" s="1008">
        <f t="shared" ref="AC160:AC231" si="66">IF(2013-P160&gt;AA160,10,IF(2013-P160&lt;0,0,2013-P160))</f>
        <v>1</v>
      </c>
      <c r="AD160" s="1007"/>
      <c r="AE160" s="1007"/>
      <c r="AF160" s="1007"/>
      <c r="AG160" s="1007"/>
      <c r="AH160" s="1007"/>
      <c r="AI160" s="1009">
        <f>PERHITUNGAN!U616</f>
        <v>1823116481.6220944</v>
      </c>
      <c r="AJ160" s="1009">
        <f>PERHITUNGAN!U623</f>
        <v>11508132374.183546</v>
      </c>
      <c r="AK160" s="1007">
        <f t="shared" si="62"/>
        <v>14584931852.976755</v>
      </c>
    </row>
    <row r="161" spans="1:37" s="857" customFormat="1" ht="35.25" customHeight="1" x14ac:dyDescent="0.15">
      <c r="A161" s="857">
        <v>91</v>
      </c>
      <c r="B161" s="857" t="str">
        <f t="shared" si="36"/>
        <v>LUBUK JAMBI - SAIK</v>
      </c>
      <c r="D161" s="857" t="s">
        <v>3943</v>
      </c>
      <c r="E161" s="877" t="s">
        <v>4247</v>
      </c>
      <c r="F161" s="855"/>
      <c r="G161" s="878" t="s">
        <v>1436</v>
      </c>
      <c r="H161" s="879">
        <v>8141572842.6999998</v>
      </c>
      <c r="I161" s="880" t="s">
        <v>2494</v>
      </c>
      <c r="J161" s="880">
        <v>0</v>
      </c>
      <c r="K161" s="880">
        <v>0</v>
      </c>
      <c r="L161" s="881">
        <v>0</v>
      </c>
      <c r="M161" s="880">
        <v>0</v>
      </c>
      <c r="N161" s="881">
        <v>0</v>
      </c>
      <c r="O161" s="880" t="s">
        <v>3255</v>
      </c>
      <c r="P161" s="1126">
        <v>2016</v>
      </c>
      <c r="Q161" s="880">
        <v>0</v>
      </c>
      <c r="R161" s="880">
        <v>0</v>
      </c>
      <c r="S161" s="880">
        <v>0</v>
      </c>
      <c r="T161" s="880" t="s">
        <v>12</v>
      </c>
      <c r="U161" s="882"/>
      <c r="V161" s="880">
        <v>0</v>
      </c>
      <c r="W161" s="880">
        <v>0</v>
      </c>
      <c r="X161" s="969"/>
      <c r="Y161" s="883" t="str">
        <f t="shared" si="63"/>
        <v>04.13.01</v>
      </c>
      <c r="Z161" s="884" t="str">
        <f t="shared" si="64"/>
        <v>Jalan</v>
      </c>
      <c r="AA161" s="884">
        <f t="shared" si="65"/>
        <v>10</v>
      </c>
      <c r="AB161" s="868"/>
      <c r="AC161" s="885">
        <f t="shared" si="66"/>
        <v>0</v>
      </c>
      <c r="AD161" s="868"/>
      <c r="AE161" s="868"/>
      <c r="AF161" s="868"/>
      <c r="AG161" s="868"/>
      <c r="AH161" s="868"/>
      <c r="AI161" s="886"/>
      <c r="AJ161" s="886"/>
      <c r="AK161" s="868">
        <f t="shared" si="62"/>
        <v>0</v>
      </c>
    </row>
    <row r="162" spans="1:37" s="857" customFormat="1" ht="35.25" customHeight="1" x14ac:dyDescent="0.15">
      <c r="A162" s="857">
        <v>91</v>
      </c>
      <c r="B162" s="857" t="str">
        <f t="shared" si="36"/>
        <v>LUBUK JAMBI - SAIK</v>
      </c>
      <c r="D162" s="857" t="s">
        <v>3944</v>
      </c>
      <c r="E162" s="877" t="s">
        <v>4247</v>
      </c>
      <c r="F162" s="855"/>
      <c r="G162" s="878" t="s">
        <v>3337</v>
      </c>
      <c r="H162" s="879">
        <v>5963828226</v>
      </c>
      <c r="I162" s="880" t="s">
        <v>2494</v>
      </c>
      <c r="J162" s="880">
        <v>0</v>
      </c>
      <c r="K162" s="880">
        <v>0</v>
      </c>
      <c r="L162" s="881">
        <v>0</v>
      </c>
      <c r="M162" s="880">
        <v>0</v>
      </c>
      <c r="N162" s="881">
        <v>0</v>
      </c>
      <c r="O162" s="880" t="s">
        <v>3158</v>
      </c>
      <c r="P162" s="1126">
        <v>2018</v>
      </c>
      <c r="Q162" s="880">
        <v>0</v>
      </c>
      <c r="R162" s="880">
        <v>0</v>
      </c>
      <c r="S162" s="880">
        <v>0</v>
      </c>
      <c r="T162" s="880" t="s">
        <v>12</v>
      </c>
      <c r="U162" s="882"/>
      <c r="V162" s="880">
        <v>0</v>
      </c>
      <c r="W162" s="880">
        <v>0</v>
      </c>
      <c r="X162" s="969"/>
      <c r="Y162" s="883" t="str">
        <f t="shared" si="63"/>
        <v>04.13.01</v>
      </c>
      <c r="Z162" s="884" t="str">
        <f t="shared" si="64"/>
        <v>Jalan</v>
      </c>
      <c r="AA162" s="884">
        <f t="shared" si="65"/>
        <v>10</v>
      </c>
      <c r="AB162" s="868"/>
      <c r="AC162" s="885">
        <f t="shared" si="66"/>
        <v>0</v>
      </c>
      <c r="AD162" s="868"/>
      <c r="AE162" s="868"/>
      <c r="AF162" s="868"/>
      <c r="AG162" s="868"/>
      <c r="AH162" s="868"/>
      <c r="AI162" s="886"/>
      <c r="AJ162" s="886"/>
      <c r="AK162" s="868">
        <f t="shared" si="62"/>
        <v>0</v>
      </c>
    </row>
    <row r="163" spans="1:37" s="998" customFormat="1" ht="35.25" customHeight="1" x14ac:dyDescent="0.15">
      <c r="A163" s="998">
        <v>92</v>
      </c>
      <c r="B163" s="998" t="str">
        <f t="shared" si="36"/>
        <v>SIMP. 4 PANGKALAN - MUARA PETAI</v>
      </c>
      <c r="D163" s="998" t="s">
        <v>3945</v>
      </c>
      <c r="E163" s="999" t="s">
        <v>4247</v>
      </c>
      <c r="F163" s="1014"/>
      <c r="G163" s="1010" t="s">
        <v>1283</v>
      </c>
      <c r="H163" s="1011"/>
      <c r="I163" s="1001" t="s">
        <v>2494</v>
      </c>
      <c r="J163" s="1001">
        <v>0</v>
      </c>
      <c r="K163" s="1001" t="s">
        <v>519</v>
      </c>
      <c r="L163" s="1003">
        <v>0</v>
      </c>
      <c r="M163" s="1001">
        <v>0</v>
      </c>
      <c r="N163" s="1003">
        <v>0</v>
      </c>
      <c r="O163" s="1001" t="s">
        <v>3173</v>
      </c>
      <c r="P163" s="1168">
        <v>2013</v>
      </c>
      <c r="Q163" s="1001">
        <v>0</v>
      </c>
      <c r="R163" s="1001">
        <v>0</v>
      </c>
      <c r="S163" s="1001">
        <v>0</v>
      </c>
      <c r="T163" s="1001" t="s">
        <v>12</v>
      </c>
      <c r="U163" s="1002">
        <f>3025459495+H164</f>
        <v>7707729789.1660614</v>
      </c>
      <c r="V163" s="1001">
        <v>0</v>
      </c>
      <c r="W163" s="1001">
        <v>0</v>
      </c>
      <c r="X163" s="1004"/>
      <c r="Y163" s="1005" t="str">
        <f t="shared" si="63"/>
        <v>04.13.01</v>
      </c>
      <c r="Z163" s="1006" t="str">
        <f t="shared" si="64"/>
        <v>Jalan</v>
      </c>
      <c r="AA163" s="1006">
        <f t="shared" si="65"/>
        <v>10</v>
      </c>
      <c r="AB163" s="1007"/>
      <c r="AC163" s="1008">
        <f t="shared" si="66"/>
        <v>0</v>
      </c>
      <c r="AD163" s="1007"/>
      <c r="AE163" s="1007"/>
      <c r="AF163" s="1007"/>
      <c r="AG163" s="1007"/>
      <c r="AH163" s="1007"/>
      <c r="AI163" s="1009">
        <f>PERHITUNGAN!U640</f>
        <v>891761624.44254816</v>
      </c>
      <c r="AJ163" s="1009">
        <f>PERHITUNGAN!U646</f>
        <v>4913028311.0139427</v>
      </c>
      <c r="AK163" s="1007">
        <f t="shared" si="62"/>
        <v>2794701478.1521187</v>
      </c>
    </row>
    <row r="164" spans="1:37" s="887" customFormat="1" ht="43.5" customHeight="1" x14ac:dyDescent="0.15">
      <c r="A164" s="857">
        <v>92</v>
      </c>
      <c r="B164" s="857" t="str">
        <f t="shared" si="36"/>
        <v>SIMP. 4 PANGKALAN - MUARA PETAI</v>
      </c>
      <c r="D164" s="887" t="s">
        <v>3946</v>
      </c>
      <c r="E164" s="877" t="s">
        <v>4247</v>
      </c>
      <c r="F164" s="888"/>
      <c r="G164" s="878" t="s">
        <v>1452</v>
      </c>
      <c r="H164" s="879">
        <v>4682270294.1660614</v>
      </c>
      <c r="I164" s="880" t="s">
        <v>2494</v>
      </c>
      <c r="J164" s="880">
        <v>0</v>
      </c>
      <c r="K164" s="880">
        <v>0</v>
      </c>
      <c r="L164" s="881">
        <v>0</v>
      </c>
      <c r="M164" s="880">
        <v>0</v>
      </c>
      <c r="N164" s="881">
        <v>0</v>
      </c>
      <c r="O164" s="880" t="s">
        <v>3173</v>
      </c>
      <c r="P164" s="1126">
        <v>2016</v>
      </c>
      <c r="Q164" s="880">
        <v>0</v>
      </c>
      <c r="R164" s="880">
        <v>0</v>
      </c>
      <c r="S164" s="880">
        <v>0</v>
      </c>
      <c r="T164" s="880" t="s">
        <v>12</v>
      </c>
      <c r="U164" s="882"/>
      <c r="V164" s="880">
        <v>0</v>
      </c>
      <c r="W164" s="880">
        <v>0</v>
      </c>
      <c r="X164" s="969"/>
      <c r="Y164" s="883" t="str">
        <f t="shared" si="63"/>
        <v>04.13.01</v>
      </c>
      <c r="Z164" s="884" t="str">
        <f t="shared" si="64"/>
        <v>Jalan</v>
      </c>
      <c r="AA164" s="884">
        <f t="shared" si="65"/>
        <v>10</v>
      </c>
      <c r="AB164" s="868"/>
      <c r="AC164" s="885">
        <f t="shared" si="66"/>
        <v>0</v>
      </c>
      <c r="AD164" s="868"/>
      <c r="AE164" s="868"/>
      <c r="AF164" s="868"/>
      <c r="AG164" s="868"/>
      <c r="AH164" s="868"/>
      <c r="AI164" s="886"/>
      <c r="AJ164" s="886"/>
      <c r="AK164" s="868">
        <f t="shared" si="62"/>
        <v>0</v>
      </c>
    </row>
    <row r="165" spans="1:37" s="1012" customFormat="1" ht="35.25" customHeight="1" x14ac:dyDescent="0.15">
      <c r="A165" s="998">
        <v>93</v>
      </c>
      <c r="B165" s="998" t="str">
        <f t="shared" si="36"/>
        <v>SIMP. KINALI - BUKIT KAUMAN</v>
      </c>
      <c r="D165" s="1012" t="s">
        <v>3947</v>
      </c>
      <c r="E165" s="999" t="s">
        <v>4247</v>
      </c>
      <c r="F165" s="1013"/>
      <c r="G165" s="1010" t="s">
        <v>529</v>
      </c>
      <c r="H165" s="1011"/>
      <c r="I165" s="1001" t="s">
        <v>2494</v>
      </c>
      <c r="J165" s="1001">
        <v>0</v>
      </c>
      <c r="K165" s="1001" t="s">
        <v>479</v>
      </c>
      <c r="L165" s="1003" t="s">
        <v>480</v>
      </c>
      <c r="M165" s="1001">
        <v>7</v>
      </c>
      <c r="N165" s="1003">
        <v>28000</v>
      </c>
      <c r="O165" s="1001" t="s">
        <v>681</v>
      </c>
      <c r="P165" s="1168">
        <v>2001</v>
      </c>
      <c r="Q165" s="1001">
        <v>0</v>
      </c>
      <c r="R165" s="1001">
        <v>0</v>
      </c>
      <c r="S165" s="1001" t="s">
        <v>482</v>
      </c>
      <c r="T165" s="1001" t="s">
        <v>12</v>
      </c>
      <c r="U165" s="1002">
        <f>3640000000+H166</f>
        <v>5296251100</v>
      </c>
      <c r="V165" s="1001" t="s">
        <v>43</v>
      </c>
      <c r="W165" s="1001">
        <v>0</v>
      </c>
      <c r="X165" s="1004"/>
      <c r="Y165" s="1005" t="str">
        <f t="shared" si="63"/>
        <v>04.13.01</v>
      </c>
      <c r="Z165" s="1006" t="str">
        <f t="shared" si="64"/>
        <v>Jalan</v>
      </c>
      <c r="AA165" s="1006">
        <f t="shared" si="65"/>
        <v>10</v>
      </c>
      <c r="AB165" s="1007"/>
      <c r="AC165" s="1008">
        <f t="shared" si="66"/>
        <v>10</v>
      </c>
      <c r="AD165" s="1007"/>
      <c r="AE165" s="1007"/>
      <c r="AF165" s="1007"/>
      <c r="AG165" s="1007"/>
      <c r="AH165" s="1007"/>
      <c r="AI165" s="1009">
        <f>PERHITUNGAN!U660</f>
        <v>165625110</v>
      </c>
      <c r="AJ165" s="1009">
        <f>PERHITUNGAN!U666</f>
        <v>4468125550</v>
      </c>
      <c r="AK165" s="1007">
        <f t="shared" si="62"/>
        <v>828125550</v>
      </c>
    </row>
    <row r="166" spans="1:37" s="857" customFormat="1" ht="35.25" customHeight="1" x14ac:dyDescent="0.15">
      <c r="A166" s="857">
        <v>93</v>
      </c>
      <c r="B166" s="857" t="str">
        <f t="shared" si="36"/>
        <v>SIMP. KINALI - BUKIT KAUMAN</v>
      </c>
      <c r="D166" s="857" t="s">
        <v>3948</v>
      </c>
      <c r="E166" s="877" t="s">
        <v>4247</v>
      </c>
      <c r="F166" s="855"/>
      <c r="G166" s="878" t="s">
        <v>1372</v>
      </c>
      <c r="H166" s="879">
        <v>1656251100</v>
      </c>
      <c r="I166" s="880" t="s">
        <v>2494</v>
      </c>
      <c r="J166" s="880">
        <v>0</v>
      </c>
      <c r="K166" s="880">
        <v>0</v>
      </c>
      <c r="L166" s="881">
        <v>0</v>
      </c>
      <c r="M166" s="880">
        <v>0</v>
      </c>
      <c r="N166" s="881">
        <v>0</v>
      </c>
      <c r="O166" s="880" t="s">
        <v>681</v>
      </c>
      <c r="P166" s="1126">
        <v>2015</v>
      </c>
      <c r="Q166" s="880">
        <v>0</v>
      </c>
      <c r="R166" s="880">
        <v>0</v>
      </c>
      <c r="S166" s="880">
        <v>0</v>
      </c>
      <c r="T166" s="880" t="s">
        <v>12</v>
      </c>
      <c r="U166" s="882"/>
      <c r="V166" s="880">
        <v>0</v>
      </c>
      <c r="W166" s="880">
        <v>0</v>
      </c>
      <c r="X166" s="969"/>
      <c r="Y166" s="883" t="str">
        <f t="shared" si="63"/>
        <v>04.13.01</v>
      </c>
      <c r="Z166" s="884" t="str">
        <f t="shared" si="64"/>
        <v>Jalan</v>
      </c>
      <c r="AA166" s="884">
        <f t="shared" si="65"/>
        <v>10</v>
      </c>
      <c r="AB166" s="868"/>
      <c r="AC166" s="885">
        <f t="shared" si="66"/>
        <v>0</v>
      </c>
      <c r="AD166" s="868"/>
      <c r="AE166" s="868"/>
      <c r="AF166" s="868"/>
      <c r="AG166" s="868"/>
      <c r="AH166" s="868"/>
      <c r="AI166" s="886"/>
      <c r="AJ166" s="886"/>
      <c r="AK166" s="868">
        <f t="shared" si="62"/>
        <v>0</v>
      </c>
    </row>
    <row r="167" spans="1:37" s="857" customFormat="1" ht="35.25" customHeight="1" x14ac:dyDescent="0.2">
      <c r="A167" s="857">
        <v>95</v>
      </c>
      <c r="B167" s="857" t="str">
        <f t="shared" si="36"/>
        <v>KASANG - BUKIT KAUMAN</v>
      </c>
      <c r="D167" s="857" t="s">
        <v>3949</v>
      </c>
      <c r="E167" s="884" t="str">
        <f t="shared" ref="E167:E176" si="67">RIGHT(D167,1)</f>
        <v>1</v>
      </c>
      <c r="F167" s="855"/>
      <c r="G167" s="878" t="s">
        <v>529</v>
      </c>
      <c r="H167" s="879"/>
      <c r="I167" s="880" t="s">
        <v>2494</v>
      </c>
      <c r="J167" s="880">
        <v>0</v>
      </c>
      <c r="K167" s="880" t="s">
        <v>8</v>
      </c>
      <c r="L167" s="881">
        <v>4000</v>
      </c>
      <c r="M167" s="880">
        <v>7</v>
      </c>
      <c r="N167" s="881">
        <v>28000</v>
      </c>
      <c r="O167" s="880" t="s">
        <v>677</v>
      </c>
      <c r="P167" s="1126">
        <v>2001</v>
      </c>
      <c r="Q167" s="880">
        <v>0</v>
      </c>
      <c r="R167" s="880">
        <v>0</v>
      </c>
      <c r="S167" s="880" t="s">
        <v>384</v>
      </c>
      <c r="T167" s="880" t="s">
        <v>12</v>
      </c>
      <c r="U167" s="882">
        <v>720000000</v>
      </c>
      <c r="V167" s="880" t="s">
        <v>43</v>
      </c>
      <c r="W167" s="880">
        <v>0</v>
      </c>
      <c r="X167" s="969"/>
      <c r="Y167" s="884" t="str">
        <f t="shared" si="63"/>
        <v>04.13.01</v>
      </c>
      <c r="Z167" s="884" t="str">
        <f t="shared" si="64"/>
        <v>Jalan</v>
      </c>
      <c r="AA167" s="884">
        <f t="shared" si="65"/>
        <v>10</v>
      </c>
      <c r="AB167" s="868">
        <f t="shared" ref="AB167:AB175" si="68">U167/AA167</f>
        <v>72000000</v>
      </c>
      <c r="AC167" s="885">
        <f t="shared" ref="AC167:AC175" si="69">IF(2013-P167+1&gt;AA167,AA167,IF(2013-P167+1&lt;0,0,2013-P167+1))</f>
        <v>10</v>
      </c>
      <c r="AD167" s="868">
        <f t="shared" ref="AD167:AD175" si="70">IF(AC167&gt;AA167,U167,AB167*AC167)</f>
        <v>720000000</v>
      </c>
      <c r="AE167" s="868">
        <f t="shared" ref="AE167:AE175" si="71">IF(U167=AD167,0,AB167)</f>
        <v>0</v>
      </c>
      <c r="AF167" s="868">
        <f t="shared" ref="AF167:AF175" si="72">IF(U167=AD167+AE167,0,AB167)</f>
        <v>0</v>
      </c>
      <c r="AG167" s="868">
        <f t="shared" ref="AG167:AG175" si="73">IF(U167=AD167+AE167+AF167,0,AB167)</f>
        <v>0</v>
      </c>
      <c r="AH167" s="868">
        <f t="shared" ref="AH167:AH175" si="74">IF(U167=AE167+AF167+AG167+AD167,0,AB167)</f>
        <v>0</v>
      </c>
      <c r="AI167" s="886">
        <f t="shared" ref="AI167:AI175" si="75">IF(U167=AE167+AF167+AG167+AD167+AH167,0,AB167)</f>
        <v>0</v>
      </c>
      <c r="AJ167" s="886">
        <f t="shared" ref="AJ167:AJ175" si="76">SUM(AD167:AI167)</f>
        <v>720000000</v>
      </c>
      <c r="AK167" s="868">
        <f t="shared" si="62"/>
        <v>0</v>
      </c>
    </row>
    <row r="168" spans="1:37" s="857" customFormat="1" ht="35.25" customHeight="1" x14ac:dyDescent="0.2">
      <c r="A168" s="857">
        <v>96</v>
      </c>
      <c r="B168" s="857" t="str">
        <f t="shared" si="36"/>
        <v>KASANG - SIMP. 4 CENGAR</v>
      </c>
      <c r="D168" s="857" t="s">
        <v>3950</v>
      </c>
      <c r="E168" s="884" t="str">
        <f t="shared" si="67"/>
        <v>1</v>
      </c>
      <c r="F168" s="855"/>
      <c r="G168" s="878" t="s">
        <v>529</v>
      </c>
      <c r="H168" s="879"/>
      <c r="I168" s="880" t="s">
        <v>2494</v>
      </c>
      <c r="J168" s="880">
        <v>0</v>
      </c>
      <c r="K168" s="880" t="s">
        <v>8</v>
      </c>
      <c r="L168" s="881">
        <v>4000</v>
      </c>
      <c r="M168" s="880">
        <v>10</v>
      </c>
      <c r="N168" s="881">
        <v>40000</v>
      </c>
      <c r="O168" s="880" t="s">
        <v>678</v>
      </c>
      <c r="P168" s="1126">
        <v>2001</v>
      </c>
      <c r="Q168" s="880">
        <v>0</v>
      </c>
      <c r="R168" s="880">
        <v>0</v>
      </c>
      <c r="S168" s="880" t="s">
        <v>384</v>
      </c>
      <c r="T168" s="880" t="s">
        <v>12</v>
      </c>
      <c r="U168" s="882">
        <v>1080000000</v>
      </c>
      <c r="V168" s="880" t="s">
        <v>43</v>
      </c>
      <c r="W168" s="880">
        <v>0</v>
      </c>
      <c r="X168" s="969"/>
      <c r="Y168" s="884" t="str">
        <f t="shared" si="63"/>
        <v>04.13.01</v>
      </c>
      <c r="Z168" s="884" t="str">
        <f t="shared" si="64"/>
        <v>Jalan</v>
      </c>
      <c r="AA168" s="884">
        <f t="shared" si="65"/>
        <v>10</v>
      </c>
      <c r="AB168" s="868">
        <f t="shared" si="68"/>
        <v>108000000</v>
      </c>
      <c r="AC168" s="885">
        <f t="shared" si="69"/>
        <v>10</v>
      </c>
      <c r="AD168" s="868">
        <f t="shared" si="70"/>
        <v>1080000000</v>
      </c>
      <c r="AE168" s="868">
        <f t="shared" si="71"/>
        <v>0</v>
      </c>
      <c r="AF168" s="868">
        <f t="shared" si="72"/>
        <v>0</v>
      </c>
      <c r="AG168" s="868">
        <f t="shared" si="73"/>
        <v>0</v>
      </c>
      <c r="AH168" s="868">
        <f t="shared" si="74"/>
        <v>0</v>
      </c>
      <c r="AI168" s="886">
        <f t="shared" si="75"/>
        <v>0</v>
      </c>
      <c r="AJ168" s="886">
        <f t="shared" si="76"/>
        <v>1080000000</v>
      </c>
      <c r="AK168" s="868">
        <f t="shared" si="62"/>
        <v>0</v>
      </c>
    </row>
    <row r="169" spans="1:37" s="857" customFormat="1" ht="35.25" customHeight="1" x14ac:dyDescent="0.2">
      <c r="A169" s="857">
        <v>112</v>
      </c>
      <c r="B169" s="857" t="str">
        <f t="shared" si="36"/>
        <v>KASANG - Ps LBK. JAMBI</v>
      </c>
      <c r="D169" s="857" t="s">
        <v>3951</v>
      </c>
      <c r="E169" s="884" t="str">
        <f t="shared" si="67"/>
        <v>1</v>
      </c>
      <c r="F169" s="855"/>
      <c r="G169" s="878" t="s">
        <v>529</v>
      </c>
      <c r="H169" s="879"/>
      <c r="I169" s="880" t="s">
        <v>2494</v>
      </c>
      <c r="J169" s="880">
        <v>0</v>
      </c>
      <c r="K169" s="880" t="s">
        <v>525</v>
      </c>
      <c r="L169" s="881">
        <v>3500</v>
      </c>
      <c r="M169" s="880">
        <v>7</v>
      </c>
      <c r="N169" s="881">
        <v>24500</v>
      </c>
      <c r="O169" s="880" t="s">
        <v>682</v>
      </c>
      <c r="P169" s="1126">
        <v>2001</v>
      </c>
      <c r="Q169" s="880">
        <v>0</v>
      </c>
      <c r="R169" s="880">
        <v>0</v>
      </c>
      <c r="S169" s="880" t="s">
        <v>384</v>
      </c>
      <c r="T169" s="880" t="s">
        <v>12</v>
      </c>
      <c r="U169" s="882">
        <v>3071250000</v>
      </c>
      <c r="V169" s="880" t="s">
        <v>43</v>
      </c>
      <c r="W169" s="880">
        <v>0</v>
      </c>
      <c r="X169" s="969"/>
      <c r="Y169" s="884" t="str">
        <f t="shared" si="63"/>
        <v>04.13.01</v>
      </c>
      <c r="Z169" s="884" t="str">
        <f t="shared" si="64"/>
        <v>Jalan</v>
      </c>
      <c r="AA169" s="884">
        <f t="shared" si="65"/>
        <v>10</v>
      </c>
      <c r="AB169" s="868">
        <f t="shared" si="68"/>
        <v>307125000</v>
      </c>
      <c r="AC169" s="885">
        <f t="shared" si="69"/>
        <v>10</v>
      </c>
      <c r="AD169" s="868">
        <f t="shared" si="70"/>
        <v>3071250000</v>
      </c>
      <c r="AE169" s="868">
        <f t="shared" si="71"/>
        <v>0</v>
      </c>
      <c r="AF169" s="868">
        <f t="shared" si="72"/>
        <v>0</v>
      </c>
      <c r="AG169" s="868">
        <f t="shared" si="73"/>
        <v>0</v>
      </c>
      <c r="AH169" s="868">
        <f t="shared" si="74"/>
        <v>0</v>
      </c>
      <c r="AI169" s="886">
        <f t="shared" si="75"/>
        <v>0</v>
      </c>
      <c r="AJ169" s="886">
        <f t="shared" si="76"/>
        <v>3071250000</v>
      </c>
      <c r="AK169" s="868">
        <f t="shared" si="62"/>
        <v>0</v>
      </c>
    </row>
    <row r="170" spans="1:37" s="857" customFormat="1" ht="35.25" customHeight="1" x14ac:dyDescent="0.2">
      <c r="A170" s="857">
        <v>113</v>
      </c>
      <c r="B170" s="857" t="str">
        <f>VLOOKUP(A170,RUAS,2,FALSE)</f>
        <v>JL. DALAM KOTA KP. BARU TOAR - JP. KM 178 + 000</v>
      </c>
      <c r="E170" s="884" t="str">
        <f t="shared" si="67"/>
        <v/>
      </c>
      <c r="F170" s="855"/>
      <c r="G170" s="878" t="s">
        <v>529</v>
      </c>
      <c r="H170" s="879"/>
      <c r="I170" s="880" t="s">
        <v>2494</v>
      </c>
      <c r="J170" s="880"/>
      <c r="K170" s="880" t="s">
        <v>525</v>
      </c>
      <c r="L170" s="881" t="s">
        <v>488</v>
      </c>
      <c r="M170" s="880"/>
      <c r="N170" s="881"/>
      <c r="O170" s="880" t="s">
        <v>661</v>
      </c>
      <c r="P170" s="1126">
        <v>2001</v>
      </c>
      <c r="Q170" s="880"/>
      <c r="R170" s="880"/>
      <c r="S170" s="880" t="s">
        <v>384</v>
      </c>
      <c r="T170" s="880" t="s">
        <v>12</v>
      </c>
      <c r="U170" s="882">
        <f>1755000000+1215000000+H172</f>
        <v>5716245475.7522202</v>
      </c>
      <c r="V170" s="880" t="s">
        <v>43</v>
      </c>
      <c r="W170" s="880"/>
      <c r="X170" s="969"/>
      <c r="Y170" s="884" t="str">
        <f>LEFT(I170,8)</f>
        <v>04.13.01</v>
      </c>
      <c r="Z170" s="884" t="str">
        <f>VLOOKUP(Y170,UE,3,FALSE)</f>
        <v>Jalan</v>
      </c>
      <c r="AA170" s="884">
        <f>VLOOKUP(Y170,UE,4,FALSE)</f>
        <v>10</v>
      </c>
      <c r="AB170" s="868"/>
      <c r="AC170" s="885"/>
      <c r="AD170" s="868"/>
      <c r="AE170" s="868"/>
      <c r="AF170" s="868"/>
      <c r="AG170" s="868"/>
      <c r="AH170" s="868"/>
      <c r="AI170" s="886">
        <f>PERHITUNGAN!R685</f>
        <v>0</v>
      </c>
      <c r="AJ170" s="886">
        <f>PERHITUNGAN!U688</f>
        <v>5716245475.7522202</v>
      </c>
      <c r="AK170" s="868">
        <f>U170-AJ170</f>
        <v>0</v>
      </c>
    </row>
    <row r="171" spans="1:37" s="857" customFormat="1" ht="35.25" customHeight="1" x14ac:dyDescent="0.2">
      <c r="A171" s="857">
        <v>113</v>
      </c>
      <c r="B171" s="857" t="str">
        <f t="shared" si="36"/>
        <v>JL. DALAM KOTA KP. BARU TOAR - JP. KM 178 + 000</v>
      </c>
      <c r="D171" s="857" t="s">
        <v>3952</v>
      </c>
      <c r="E171" s="884" t="str">
        <f t="shared" si="67"/>
        <v>1</v>
      </c>
      <c r="F171" s="855"/>
      <c r="G171" s="878" t="s">
        <v>529</v>
      </c>
      <c r="H171" s="879">
        <v>1215000000</v>
      </c>
      <c r="I171" s="880" t="s">
        <v>2494</v>
      </c>
      <c r="J171" s="880">
        <v>0</v>
      </c>
      <c r="K171" s="880" t="s">
        <v>525</v>
      </c>
      <c r="L171" s="881">
        <v>3000</v>
      </c>
      <c r="M171" s="880">
        <v>7</v>
      </c>
      <c r="N171" s="881">
        <v>21000</v>
      </c>
      <c r="O171" s="880" t="s">
        <v>731</v>
      </c>
      <c r="P171" s="1126">
        <v>2001</v>
      </c>
      <c r="Q171" s="880">
        <v>0</v>
      </c>
      <c r="R171" s="880">
        <v>0</v>
      </c>
      <c r="S171" s="880" t="s">
        <v>384</v>
      </c>
      <c r="T171" s="880" t="s">
        <v>12</v>
      </c>
      <c r="U171" s="882"/>
      <c r="V171" s="880" t="s">
        <v>43</v>
      </c>
      <c r="W171" s="880">
        <v>0</v>
      </c>
      <c r="X171" s="969"/>
      <c r="Y171" s="884" t="str">
        <f t="shared" si="63"/>
        <v>04.13.01</v>
      </c>
      <c r="Z171" s="884" t="str">
        <f t="shared" si="64"/>
        <v>Jalan</v>
      </c>
      <c r="AA171" s="884">
        <f t="shared" si="65"/>
        <v>10</v>
      </c>
      <c r="AB171" s="868"/>
      <c r="AC171" s="885"/>
      <c r="AD171" s="868"/>
      <c r="AE171" s="868"/>
      <c r="AF171" s="868"/>
      <c r="AG171" s="868"/>
      <c r="AH171" s="868"/>
      <c r="AI171" s="886"/>
      <c r="AJ171" s="886"/>
      <c r="AK171" s="868">
        <f t="shared" si="62"/>
        <v>0</v>
      </c>
    </row>
    <row r="172" spans="1:37" s="857" customFormat="1" ht="35.25" customHeight="1" x14ac:dyDescent="0.2">
      <c r="A172" s="857">
        <v>113</v>
      </c>
      <c r="B172" s="857" t="str">
        <f>VLOOKUP(A172,RUAS,2,FALSE)</f>
        <v>JL. DALAM KOTA KP. BARU TOAR - JP. KM 178 + 000</v>
      </c>
      <c r="E172" s="884" t="str">
        <f t="shared" si="67"/>
        <v/>
      </c>
      <c r="F172" s="855"/>
      <c r="G172" s="878" t="s">
        <v>1167</v>
      </c>
      <c r="H172" s="879">
        <v>2746245475.7522197</v>
      </c>
      <c r="I172" s="861" t="s">
        <v>2494</v>
      </c>
      <c r="J172" s="871"/>
      <c r="K172" s="861" t="s">
        <v>519</v>
      </c>
      <c r="L172" s="856"/>
      <c r="M172" s="862"/>
      <c r="N172" s="856">
        <v>1000</v>
      </c>
      <c r="O172" s="863" t="s">
        <v>3102</v>
      </c>
      <c r="P172" s="861">
        <v>2007</v>
      </c>
      <c r="Q172" s="862"/>
      <c r="R172" s="862"/>
      <c r="S172" s="862"/>
      <c r="T172" s="862" t="s">
        <v>12</v>
      </c>
      <c r="U172" s="899"/>
      <c r="V172" s="861" t="s">
        <v>43</v>
      </c>
      <c r="W172" s="865"/>
      <c r="X172" s="968"/>
      <c r="Y172" s="884" t="str">
        <f>LEFT(I172,8)</f>
        <v>04.13.01</v>
      </c>
      <c r="Z172" s="884" t="str">
        <f>VLOOKUP(Y172,UE,3,FALSE)</f>
        <v>Jalan</v>
      </c>
      <c r="AA172" s="884">
        <f>VLOOKUP(Y172,UE,4,FALSE)</f>
        <v>10</v>
      </c>
      <c r="AB172" s="868"/>
      <c r="AC172" s="885"/>
      <c r="AD172" s="868"/>
      <c r="AE172" s="868"/>
      <c r="AF172" s="868"/>
      <c r="AG172" s="868"/>
      <c r="AH172" s="868"/>
      <c r="AI172" s="886"/>
      <c r="AJ172" s="886"/>
      <c r="AK172" s="868">
        <f>U172-AJ172</f>
        <v>0</v>
      </c>
    </row>
    <row r="173" spans="1:37" s="857" customFormat="1" ht="35.25" customHeight="1" x14ac:dyDescent="0.2">
      <c r="A173" s="857">
        <v>114</v>
      </c>
      <c r="B173" s="857" t="str">
        <f t="shared" si="36"/>
        <v>KP. BARU TOAR - PENYEBERANGAN KERESEK</v>
      </c>
      <c r="D173" s="857" t="s">
        <v>3953</v>
      </c>
      <c r="E173" s="884" t="str">
        <f t="shared" si="67"/>
        <v>1</v>
      </c>
      <c r="F173" s="855"/>
      <c r="G173" s="878" t="s">
        <v>529</v>
      </c>
      <c r="H173" s="879"/>
      <c r="I173" s="880" t="s">
        <v>2494</v>
      </c>
      <c r="J173" s="880">
        <v>0</v>
      </c>
      <c r="K173" s="880" t="s">
        <v>484</v>
      </c>
      <c r="L173" s="881">
        <v>2400</v>
      </c>
      <c r="M173" s="880">
        <v>7</v>
      </c>
      <c r="N173" s="881">
        <v>16800</v>
      </c>
      <c r="O173" s="880" t="s">
        <v>663</v>
      </c>
      <c r="P173" s="1126">
        <v>2001</v>
      </c>
      <c r="Q173" s="880">
        <v>0</v>
      </c>
      <c r="R173" s="880">
        <v>0</v>
      </c>
      <c r="S173" s="880" t="s">
        <v>384</v>
      </c>
      <c r="T173" s="880" t="s">
        <v>12</v>
      </c>
      <c r="U173" s="882">
        <v>998400000</v>
      </c>
      <c r="V173" s="880" t="s">
        <v>135</v>
      </c>
      <c r="W173" s="880">
        <v>0</v>
      </c>
      <c r="X173" s="969"/>
      <c r="Y173" s="884" t="str">
        <f t="shared" si="63"/>
        <v>04.13.01</v>
      </c>
      <c r="Z173" s="884" t="str">
        <f t="shared" si="64"/>
        <v>Jalan</v>
      </c>
      <c r="AA173" s="884">
        <f t="shared" si="65"/>
        <v>10</v>
      </c>
      <c r="AB173" s="868">
        <f t="shared" si="68"/>
        <v>99840000</v>
      </c>
      <c r="AC173" s="885">
        <f t="shared" si="69"/>
        <v>10</v>
      </c>
      <c r="AD173" s="868">
        <f t="shared" si="70"/>
        <v>998400000</v>
      </c>
      <c r="AE173" s="868">
        <f t="shared" si="71"/>
        <v>0</v>
      </c>
      <c r="AF173" s="868">
        <f t="shared" si="72"/>
        <v>0</v>
      </c>
      <c r="AG173" s="868">
        <f t="shared" si="73"/>
        <v>0</v>
      </c>
      <c r="AH173" s="868">
        <f t="shared" si="74"/>
        <v>0</v>
      </c>
      <c r="AI173" s="886">
        <f t="shared" si="75"/>
        <v>0</v>
      </c>
      <c r="AJ173" s="886">
        <f t="shared" si="76"/>
        <v>998400000</v>
      </c>
      <c r="AK173" s="868">
        <f t="shared" si="62"/>
        <v>0</v>
      </c>
    </row>
    <row r="174" spans="1:37" s="857" customFormat="1" ht="35.25" customHeight="1" x14ac:dyDescent="0.2">
      <c r="A174" s="857">
        <v>115</v>
      </c>
      <c r="B174" s="857" t="str">
        <f t="shared" si="36"/>
        <v>GUNUNG - PL. MUNGKUR</v>
      </c>
      <c r="D174" s="857" t="s">
        <v>3954</v>
      </c>
      <c r="E174" s="884" t="str">
        <f t="shared" si="67"/>
        <v>1</v>
      </c>
      <c r="F174" s="855"/>
      <c r="G174" s="878" t="s">
        <v>696</v>
      </c>
      <c r="H174" s="879"/>
      <c r="I174" s="880" t="s">
        <v>3821</v>
      </c>
      <c r="J174" s="880">
        <v>0</v>
      </c>
      <c r="K174" s="880" t="s">
        <v>525</v>
      </c>
      <c r="L174" s="881">
        <v>4000</v>
      </c>
      <c r="M174" s="880">
        <v>7</v>
      </c>
      <c r="N174" s="881">
        <v>28000</v>
      </c>
      <c r="O174" s="880" t="s">
        <v>734</v>
      </c>
      <c r="P174" s="1126">
        <v>2001</v>
      </c>
      <c r="Q174" s="880">
        <v>0</v>
      </c>
      <c r="R174" s="880">
        <v>0</v>
      </c>
      <c r="S174" s="880" t="s">
        <v>482</v>
      </c>
      <c r="T174" s="880" t="s">
        <v>12</v>
      </c>
      <c r="U174" s="882">
        <v>1770000000</v>
      </c>
      <c r="V174" s="880" t="s">
        <v>43</v>
      </c>
      <c r="W174" s="880">
        <v>0</v>
      </c>
      <c r="X174" s="969"/>
      <c r="Y174" s="884" t="str">
        <f t="shared" si="63"/>
        <v>04.13.01</v>
      </c>
      <c r="Z174" s="884" t="str">
        <f t="shared" si="64"/>
        <v>Jalan</v>
      </c>
      <c r="AA174" s="884">
        <f t="shared" si="65"/>
        <v>10</v>
      </c>
      <c r="AB174" s="868">
        <f t="shared" si="68"/>
        <v>177000000</v>
      </c>
      <c r="AC174" s="885">
        <f t="shared" si="69"/>
        <v>10</v>
      </c>
      <c r="AD174" s="868">
        <f t="shared" si="70"/>
        <v>1770000000</v>
      </c>
      <c r="AE174" s="868">
        <f t="shared" si="71"/>
        <v>0</v>
      </c>
      <c r="AF174" s="868">
        <f t="shared" si="72"/>
        <v>0</v>
      </c>
      <c r="AG174" s="868">
        <f t="shared" si="73"/>
        <v>0</v>
      </c>
      <c r="AH174" s="868">
        <f t="shared" si="74"/>
        <v>0</v>
      </c>
      <c r="AI174" s="886">
        <f t="shared" si="75"/>
        <v>0</v>
      </c>
      <c r="AJ174" s="886">
        <f t="shared" si="76"/>
        <v>1770000000</v>
      </c>
      <c r="AK174" s="868">
        <f t="shared" si="62"/>
        <v>0</v>
      </c>
    </row>
    <row r="175" spans="1:37" s="857" customFormat="1" ht="35.25" customHeight="1" x14ac:dyDescent="0.2">
      <c r="A175" s="857">
        <v>116</v>
      </c>
      <c r="B175" s="857" t="str">
        <f t="shared" ref="B175:B276" si="77">VLOOKUP(A175,RUAS,2,FALSE)</f>
        <v>JL. DESA TEBERAU PANJANG - SEI. KUANTAN</v>
      </c>
      <c r="D175" s="857" t="s">
        <v>3955</v>
      </c>
      <c r="E175" s="884" t="str">
        <f t="shared" si="67"/>
        <v>1</v>
      </c>
      <c r="F175" s="855"/>
      <c r="G175" s="878" t="s">
        <v>529</v>
      </c>
      <c r="H175" s="879"/>
      <c r="I175" s="880" t="s">
        <v>2494</v>
      </c>
      <c r="J175" s="880">
        <v>0</v>
      </c>
      <c r="K175" s="880" t="s">
        <v>484</v>
      </c>
      <c r="L175" s="881">
        <v>3100</v>
      </c>
      <c r="M175" s="880">
        <v>7</v>
      </c>
      <c r="N175" s="881">
        <v>21700</v>
      </c>
      <c r="O175" s="880" t="s">
        <v>666</v>
      </c>
      <c r="P175" s="1126">
        <v>2001</v>
      </c>
      <c r="Q175" s="880">
        <v>0</v>
      </c>
      <c r="R175" s="880">
        <v>0</v>
      </c>
      <c r="S175" s="880" t="s">
        <v>384</v>
      </c>
      <c r="T175" s="880" t="s">
        <v>12</v>
      </c>
      <c r="U175" s="882">
        <v>1190400000</v>
      </c>
      <c r="V175" s="880" t="s">
        <v>43</v>
      </c>
      <c r="W175" s="880">
        <v>0</v>
      </c>
      <c r="X175" s="969"/>
      <c r="Y175" s="884" t="str">
        <f t="shared" si="63"/>
        <v>04.13.01</v>
      </c>
      <c r="Z175" s="884" t="str">
        <f t="shared" si="64"/>
        <v>Jalan</v>
      </c>
      <c r="AA175" s="884">
        <f t="shared" si="65"/>
        <v>10</v>
      </c>
      <c r="AB175" s="868">
        <f t="shared" si="68"/>
        <v>119040000</v>
      </c>
      <c r="AC175" s="885">
        <f t="shared" si="69"/>
        <v>10</v>
      </c>
      <c r="AD175" s="868">
        <f t="shared" si="70"/>
        <v>1190400000</v>
      </c>
      <c r="AE175" s="868">
        <f t="shared" si="71"/>
        <v>0</v>
      </c>
      <c r="AF175" s="868">
        <f t="shared" si="72"/>
        <v>0</v>
      </c>
      <c r="AG175" s="868">
        <f t="shared" si="73"/>
        <v>0</v>
      </c>
      <c r="AH175" s="868">
        <f t="shared" si="74"/>
        <v>0</v>
      </c>
      <c r="AI175" s="886">
        <f t="shared" si="75"/>
        <v>0</v>
      </c>
      <c r="AJ175" s="886">
        <f t="shared" si="76"/>
        <v>1190400000</v>
      </c>
      <c r="AK175" s="868">
        <f t="shared" si="62"/>
        <v>0</v>
      </c>
    </row>
    <row r="176" spans="1:37" s="857" customFormat="1" ht="35.25" customHeight="1" x14ac:dyDescent="0.2">
      <c r="A176" s="857">
        <v>116</v>
      </c>
      <c r="B176" s="857" t="str">
        <f>VLOOKUP(A176,RUAS,2,FALSE)</f>
        <v>JL. DESA TEBERAU PANJANG - SEI. KUANTAN</v>
      </c>
      <c r="E176" s="884" t="str">
        <f t="shared" si="67"/>
        <v/>
      </c>
      <c r="F176" s="855"/>
      <c r="G176" s="878" t="s">
        <v>696</v>
      </c>
      <c r="H176" s="879"/>
      <c r="I176" s="880" t="s">
        <v>3821</v>
      </c>
      <c r="J176" s="880"/>
      <c r="K176" s="880" t="s">
        <v>8</v>
      </c>
      <c r="L176" s="881" t="s">
        <v>665</v>
      </c>
      <c r="M176" s="880"/>
      <c r="N176" s="881"/>
      <c r="O176" s="880" t="s">
        <v>730</v>
      </c>
      <c r="P176" s="1126">
        <v>2001</v>
      </c>
      <c r="Q176" s="880"/>
      <c r="R176" s="880"/>
      <c r="S176" s="880" t="s">
        <v>482</v>
      </c>
      <c r="T176" s="880" t="s">
        <v>12</v>
      </c>
      <c r="U176" s="882">
        <v>453375000</v>
      </c>
      <c r="V176" s="880" t="s">
        <v>43</v>
      </c>
      <c r="W176" s="880"/>
      <c r="X176" s="969"/>
      <c r="Y176" s="884" t="str">
        <f>LEFT(I176,8)</f>
        <v>04.13.01</v>
      </c>
      <c r="Z176" s="884" t="str">
        <f>VLOOKUP(Y176,UE,3,FALSE)</f>
        <v>Jalan</v>
      </c>
      <c r="AA176" s="884">
        <f>VLOOKUP(Y176,UE,4,FALSE)</f>
        <v>10</v>
      </c>
      <c r="AB176" s="868">
        <f>U176/AA176</f>
        <v>45337500</v>
      </c>
      <c r="AC176" s="885">
        <f>IF(2013-P176+1&gt;AA176,AA176,IF(2013-P176+1&lt;0,0,2013-P176+1))</f>
        <v>10</v>
      </c>
      <c r="AD176" s="868">
        <f>IF(AC176&gt;AA176,U176,AB176*AC176)</f>
        <v>453375000</v>
      </c>
      <c r="AE176" s="868">
        <f>IF(U176=AD176,0,AB176)</f>
        <v>0</v>
      </c>
      <c r="AF176" s="868">
        <f>IF(U176=AD176+AE176,0,AB176)</f>
        <v>0</v>
      </c>
      <c r="AG176" s="868">
        <f>IF(U176=AD176+AE176+AF176,0,AB176)</f>
        <v>0</v>
      </c>
      <c r="AH176" s="868">
        <f>IF(U176=AE176+AF176+AG176+AD176,0,AB176)</f>
        <v>0</v>
      </c>
      <c r="AI176" s="886">
        <f>IF(U176=AE176+AF176+AG176+AD176+AH176,0,AB176)</f>
        <v>0</v>
      </c>
      <c r="AJ176" s="886">
        <f>SUM(AD176:AI176)</f>
        <v>453375000</v>
      </c>
      <c r="AK176" s="868">
        <f>U176-AJ176</f>
        <v>0</v>
      </c>
    </row>
    <row r="177" spans="1:37" s="998" customFormat="1" ht="35.25" customHeight="1" x14ac:dyDescent="0.15">
      <c r="A177" s="998">
        <v>117</v>
      </c>
      <c r="B177" s="998" t="str">
        <f t="shared" si="77"/>
        <v>KAMPUNG BARU TOAR - GUNUNG</v>
      </c>
      <c r="D177" s="998" t="s">
        <v>3956</v>
      </c>
      <c r="E177" s="999" t="s">
        <v>4247</v>
      </c>
      <c r="F177" s="1014"/>
      <c r="G177" s="1010" t="s">
        <v>529</v>
      </c>
      <c r="H177" s="1011"/>
      <c r="I177" s="1001" t="s">
        <v>2494</v>
      </c>
      <c r="J177" s="1001">
        <v>0</v>
      </c>
      <c r="K177" s="1001" t="s">
        <v>484</v>
      </c>
      <c r="L177" s="1003">
        <v>3000</v>
      </c>
      <c r="M177" s="1001">
        <v>7</v>
      </c>
      <c r="N177" s="1003">
        <v>21000</v>
      </c>
      <c r="O177" s="1001" t="s">
        <v>3177</v>
      </c>
      <c r="P177" s="1168">
        <v>2001</v>
      </c>
      <c r="Q177" s="1001">
        <v>0</v>
      </c>
      <c r="R177" s="1001">
        <v>0</v>
      </c>
      <c r="S177" s="1001" t="s">
        <v>384</v>
      </c>
      <c r="T177" s="1001" t="s">
        <v>12</v>
      </c>
      <c r="U177" s="1002">
        <f>1248000000+H178+H179</f>
        <v>4197051417</v>
      </c>
      <c r="V177" s="1001" t="s">
        <v>43</v>
      </c>
      <c r="W177" s="1001">
        <v>0</v>
      </c>
      <c r="X177" s="1004"/>
      <c r="Y177" s="1005" t="str">
        <f t="shared" si="63"/>
        <v>04.13.01</v>
      </c>
      <c r="Z177" s="1006" t="str">
        <f t="shared" si="64"/>
        <v>Jalan</v>
      </c>
      <c r="AA177" s="1006">
        <f t="shared" si="65"/>
        <v>10</v>
      </c>
      <c r="AB177" s="1007"/>
      <c r="AC177" s="1008">
        <f t="shared" si="66"/>
        <v>10</v>
      </c>
      <c r="AD177" s="1007"/>
      <c r="AE177" s="1007"/>
      <c r="AF177" s="1007"/>
      <c r="AG177" s="1007"/>
      <c r="AH177" s="1007"/>
      <c r="AI177" s="1009">
        <f>PERHITUNGAN!U750</f>
        <v>300957528.44999999</v>
      </c>
      <c r="AJ177" s="1009">
        <f>PERHITUNGAN!U753</f>
        <v>3948440765.3999987</v>
      </c>
      <c r="AK177" s="1007">
        <f t="shared" si="62"/>
        <v>248610651.60000134</v>
      </c>
    </row>
    <row r="178" spans="1:37" s="857" customFormat="1" ht="35.25" customHeight="1" x14ac:dyDescent="0.2">
      <c r="A178" s="857">
        <v>117</v>
      </c>
      <c r="B178" s="857" t="str">
        <f>VLOOKUP(A178,RUAS,2,FALSE)</f>
        <v>KAMPUNG BARU TOAR - GUNUNG</v>
      </c>
      <c r="E178" s="884" t="str">
        <f>RIGHT(D178,1)</f>
        <v/>
      </c>
      <c r="F178" s="855"/>
      <c r="G178" s="878" t="s">
        <v>529</v>
      </c>
      <c r="H178" s="879">
        <v>1248000000</v>
      </c>
      <c r="I178" s="880" t="s">
        <v>2494</v>
      </c>
      <c r="J178" s="880"/>
      <c r="K178" s="880" t="s">
        <v>484</v>
      </c>
      <c r="L178" s="881" t="s">
        <v>488</v>
      </c>
      <c r="M178" s="880"/>
      <c r="N178" s="881"/>
      <c r="O178" s="880" t="s">
        <v>664</v>
      </c>
      <c r="P178" s="1126">
        <v>2001</v>
      </c>
      <c r="Q178" s="880"/>
      <c r="R178" s="880"/>
      <c r="S178" s="880" t="s">
        <v>384</v>
      </c>
      <c r="T178" s="880" t="s">
        <v>12</v>
      </c>
      <c r="U178" s="882"/>
      <c r="V178" s="880" t="s">
        <v>43</v>
      </c>
      <c r="W178" s="880"/>
      <c r="X178" s="969"/>
      <c r="Y178" s="884" t="str">
        <f>LEFT(I178,8)</f>
        <v>04.13.01</v>
      </c>
      <c r="Z178" s="884" t="str">
        <f>VLOOKUP(Y178,UE,3,FALSE)</f>
        <v>Jalan</v>
      </c>
      <c r="AA178" s="884">
        <f>VLOOKUP(Y178,UE,4,FALSE)</f>
        <v>10</v>
      </c>
      <c r="AB178" s="868"/>
      <c r="AC178" s="885"/>
      <c r="AD178" s="868"/>
      <c r="AE178" s="868"/>
      <c r="AF178" s="868"/>
      <c r="AG178" s="868"/>
      <c r="AH178" s="868"/>
      <c r="AI178" s="886"/>
      <c r="AJ178" s="886"/>
      <c r="AK178" s="868">
        <f>U178-AJ178</f>
        <v>0</v>
      </c>
    </row>
    <row r="179" spans="1:37" s="857" customFormat="1" ht="35.25" customHeight="1" x14ac:dyDescent="0.15">
      <c r="A179" s="857">
        <v>117</v>
      </c>
      <c r="B179" s="857" t="str">
        <f t="shared" si="77"/>
        <v>KAMPUNG BARU TOAR - GUNUNG</v>
      </c>
      <c r="D179" s="857" t="s">
        <v>3957</v>
      </c>
      <c r="E179" s="877" t="s">
        <v>4247</v>
      </c>
      <c r="F179" s="855"/>
      <c r="G179" s="878" t="s">
        <v>1291</v>
      </c>
      <c r="H179" s="879">
        <v>1701051417</v>
      </c>
      <c r="I179" s="880" t="s">
        <v>2494</v>
      </c>
      <c r="J179" s="880">
        <v>0</v>
      </c>
      <c r="K179" s="880" t="s">
        <v>519</v>
      </c>
      <c r="L179" s="881">
        <v>0</v>
      </c>
      <c r="M179" s="880">
        <v>0</v>
      </c>
      <c r="N179" s="881">
        <v>0</v>
      </c>
      <c r="O179" s="880" t="s">
        <v>3177</v>
      </c>
      <c r="P179" s="1126">
        <v>2013</v>
      </c>
      <c r="Q179" s="880">
        <v>0</v>
      </c>
      <c r="R179" s="880">
        <v>0</v>
      </c>
      <c r="S179" s="880">
        <v>0</v>
      </c>
      <c r="T179" s="880" t="s">
        <v>12</v>
      </c>
      <c r="U179" s="882"/>
      <c r="V179" s="880">
        <v>0</v>
      </c>
      <c r="W179" s="880">
        <v>0</v>
      </c>
      <c r="X179" s="969"/>
      <c r="Y179" s="883" t="str">
        <f t="shared" si="63"/>
        <v>04.13.01</v>
      </c>
      <c r="Z179" s="884" t="str">
        <f t="shared" si="64"/>
        <v>Jalan</v>
      </c>
      <c r="AA179" s="884">
        <f t="shared" si="65"/>
        <v>10</v>
      </c>
      <c r="AB179" s="868"/>
      <c r="AC179" s="885">
        <f t="shared" si="66"/>
        <v>0</v>
      </c>
      <c r="AD179" s="868"/>
      <c r="AE179" s="868"/>
      <c r="AF179" s="868"/>
      <c r="AG179" s="868"/>
      <c r="AH179" s="868"/>
      <c r="AI179" s="886"/>
      <c r="AJ179" s="886"/>
      <c r="AK179" s="868">
        <f t="shared" si="62"/>
        <v>0</v>
      </c>
    </row>
    <row r="180" spans="1:37" s="857" customFormat="1" ht="35.25" customHeight="1" x14ac:dyDescent="0.2">
      <c r="A180" s="857">
        <v>118</v>
      </c>
      <c r="B180" s="857" t="str">
        <f t="shared" si="77"/>
        <v>LUBUK TERENTANG - PISANG BEREBUS</v>
      </c>
      <c r="D180" s="857" t="s">
        <v>3958</v>
      </c>
      <c r="E180" s="884" t="str">
        <f t="shared" ref="E180:E186" si="78">RIGHT(D180,1)</f>
        <v>1</v>
      </c>
      <c r="F180" s="890"/>
      <c r="G180" s="878" t="s">
        <v>1142</v>
      </c>
      <c r="H180" s="879"/>
      <c r="I180" s="880" t="s">
        <v>2494</v>
      </c>
      <c r="J180" s="880">
        <v>0</v>
      </c>
      <c r="K180" s="880" t="s">
        <v>519</v>
      </c>
      <c r="L180" s="881">
        <v>4000</v>
      </c>
      <c r="M180" s="880">
        <v>7</v>
      </c>
      <c r="N180" s="881">
        <v>28000</v>
      </c>
      <c r="O180" s="880" t="s">
        <v>660</v>
      </c>
      <c r="P180" s="1126">
        <v>2001</v>
      </c>
      <c r="Q180" s="880">
        <v>0</v>
      </c>
      <c r="R180" s="880">
        <v>0</v>
      </c>
      <c r="S180" s="880" t="s">
        <v>384</v>
      </c>
      <c r="T180" s="880" t="s">
        <v>12</v>
      </c>
      <c r="U180" s="882">
        <v>4302632417</v>
      </c>
      <c r="V180" s="880" t="s">
        <v>43</v>
      </c>
      <c r="W180" s="880">
        <v>0</v>
      </c>
      <c r="X180" s="969"/>
      <c r="Y180" s="884" t="str">
        <f t="shared" si="63"/>
        <v>04.13.01</v>
      </c>
      <c r="Z180" s="884" t="str">
        <f t="shared" si="64"/>
        <v>Jalan</v>
      </c>
      <c r="AA180" s="884">
        <f t="shared" si="65"/>
        <v>10</v>
      </c>
      <c r="AB180" s="868">
        <f>U180/AA180</f>
        <v>430263241.69999999</v>
      </c>
      <c r="AC180" s="885">
        <f>IF(2013-P180+1&gt;AA180,AA180,IF(2013-P180+1&lt;0,0,2013-P180+1))</f>
        <v>10</v>
      </c>
      <c r="AD180" s="868">
        <f>IF(AC180&gt;AA180,U180,AB180*AC180)</f>
        <v>4302632417</v>
      </c>
      <c r="AE180" s="868">
        <f>IF(U180=AD180,0,AB180)</f>
        <v>0</v>
      </c>
      <c r="AF180" s="868">
        <f>IF(U180=AD180+AE180,0,AB180)</f>
        <v>0</v>
      </c>
      <c r="AG180" s="868">
        <f>IF(U180=AD180+AE180+AF180,0,AB180)</f>
        <v>0</v>
      </c>
      <c r="AH180" s="868">
        <f>IF(U180=AE180+AF180+AG180+AD180,0,AB180)</f>
        <v>0</v>
      </c>
      <c r="AI180" s="886">
        <f>IF(U180=AE180+AF180+AG180+AD180+AH180,0,AB180)</f>
        <v>0</v>
      </c>
      <c r="AJ180" s="886">
        <f>SUM(AD180:AI180)</f>
        <v>4302632417</v>
      </c>
      <c r="AK180" s="868">
        <f t="shared" si="62"/>
        <v>0</v>
      </c>
    </row>
    <row r="181" spans="1:37" s="857" customFormat="1" ht="35.25" customHeight="1" x14ac:dyDescent="0.2">
      <c r="A181" s="857">
        <v>120</v>
      </c>
      <c r="B181" s="857" t="str">
        <f t="shared" si="77"/>
        <v>SEI. MANAU - SEI. KELELAWAR</v>
      </c>
      <c r="D181" s="857" t="s">
        <v>3959</v>
      </c>
      <c r="E181" s="884" t="str">
        <f t="shared" si="78"/>
        <v>1</v>
      </c>
      <c r="F181" s="890"/>
      <c r="G181" s="878" t="s">
        <v>529</v>
      </c>
      <c r="H181" s="879"/>
      <c r="I181" s="880" t="s">
        <v>2494</v>
      </c>
      <c r="J181" s="880">
        <v>0</v>
      </c>
      <c r="K181" s="880" t="s">
        <v>484</v>
      </c>
      <c r="L181" s="881">
        <v>3500</v>
      </c>
      <c r="M181" s="880">
        <v>7</v>
      </c>
      <c r="N181" s="881">
        <v>24500</v>
      </c>
      <c r="O181" s="880" t="s">
        <v>694</v>
      </c>
      <c r="P181" s="1126">
        <v>2001</v>
      </c>
      <c r="Q181" s="880">
        <v>0</v>
      </c>
      <c r="R181" s="880">
        <v>0</v>
      </c>
      <c r="S181" s="880" t="s">
        <v>384</v>
      </c>
      <c r="T181" s="880" t="s">
        <v>12</v>
      </c>
      <c r="U181" s="882">
        <v>1008000000</v>
      </c>
      <c r="V181" s="880" t="s">
        <v>43</v>
      </c>
      <c r="W181" s="880">
        <v>0</v>
      </c>
      <c r="X181" s="969"/>
      <c r="Y181" s="884" t="str">
        <f t="shared" si="63"/>
        <v>04.13.01</v>
      </c>
      <c r="Z181" s="884" t="str">
        <f t="shared" si="64"/>
        <v>Jalan</v>
      </c>
      <c r="AA181" s="884">
        <f t="shared" si="65"/>
        <v>10</v>
      </c>
      <c r="AB181" s="868">
        <f>U181/AA181</f>
        <v>100800000</v>
      </c>
      <c r="AC181" s="885">
        <f>IF(2013-P181+1&gt;AA181,AA181,IF(2013-P181+1&lt;0,0,2013-P181+1))</f>
        <v>10</v>
      </c>
      <c r="AD181" s="868">
        <f>IF(AC181&gt;AA181,U181,AB181*AC181)</f>
        <v>1008000000</v>
      </c>
      <c r="AE181" s="868">
        <f>IF(U181=AD181,0,AB181)</f>
        <v>0</v>
      </c>
      <c r="AF181" s="868">
        <f>IF(U181=AD181+AE181,0,AB181)</f>
        <v>0</v>
      </c>
      <c r="AG181" s="868">
        <f>IF(U181=AD181+AE181+AF181,0,AB181)</f>
        <v>0</v>
      </c>
      <c r="AH181" s="868">
        <f>IF(U181=AE181+AF181+AG181+AD181,0,AB181)</f>
        <v>0</v>
      </c>
      <c r="AI181" s="886">
        <f>IF(U181=AE181+AF181+AG181+AD181+AH181,0,AB181)</f>
        <v>0</v>
      </c>
      <c r="AJ181" s="886">
        <f>SUM(AD181:AI181)</f>
        <v>1008000000</v>
      </c>
      <c r="AK181" s="868">
        <f t="shared" si="62"/>
        <v>0</v>
      </c>
    </row>
    <row r="182" spans="1:37" s="857" customFormat="1" ht="35.25" customHeight="1" x14ac:dyDescent="0.2">
      <c r="A182" s="857">
        <v>121</v>
      </c>
      <c r="B182" s="857" t="str">
        <f t="shared" si="77"/>
        <v>SIMP. SEI. ALA - SEI. ALA</v>
      </c>
      <c r="D182" s="857" t="s">
        <v>3960</v>
      </c>
      <c r="E182" s="884" t="str">
        <f t="shared" si="78"/>
        <v>1</v>
      </c>
      <c r="F182" s="890"/>
      <c r="G182" s="878" t="s">
        <v>483</v>
      </c>
      <c r="H182" s="879"/>
      <c r="I182" s="880" t="s">
        <v>3820</v>
      </c>
      <c r="J182" s="880">
        <v>0</v>
      </c>
      <c r="K182" s="880" t="s">
        <v>484</v>
      </c>
      <c r="L182" s="881">
        <v>2750</v>
      </c>
      <c r="M182" s="880">
        <v>7</v>
      </c>
      <c r="N182" s="881">
        <v>19250</v>
      </c>
      <c r="O182" s="880" t="s">
        <v>524</v>
      </c>
      <c r="P182" s="1126">
        <v>2001</v>
      </c>
      <c r="Q182" s="880">
        <v>0</v>
      </c>
      <c r="R182" s="880">
        <v>0</v>
      </c>
      <c r="S182" s="880" t="s">
        <v>384</v>
      </c>
      <c r="T182" s="880" t="s">
        <v>12</v>
      </c>
      <c r="U182" s="882">
        <v>1056000000</v>
      </c>
      <c r="V182" s="880" t="s">
        <v>43</v>
      </c>
      <c r="W182" s="880">
        <v>0</v>
      </c>
      <c r="X182" s="969"/>
      <c r="Y182" s="884" t="str">
        <f t="shared" si="63"/>
        <v>04.13.01</v>
      </c>
      <c r="Z182" s="884" t="str">
        <f t="shared" si="64"/>
        <v>Jalan</v>
      </c>
      <c r="AA182" s="884">
        <f t="shared" si="65"/>
        <v>10</v>
      </c>
      <c r="AB182" s="868">
        <f>U182/AA182</f>
        <v>105600000</v>
      </c>
      <c r="AC182" s="885">
        <f>IF(2013-P182+1&gt;AA182,AA182,IF(2013-P182+1&lt;0,0,2013-P182+1))</f>
        <v>10</v>
      </c>
      <c r="AD182" s="868">
        <f>IF(AC182&gt;AA182,U182,AB182*AC182)</f>
        <v>1056000000</v>
      </c>
      <c r="AE182" s="868">
        <f>IF(U182=AD182,0,AB182)</f>
        <v>0</v>
      </c>
      <c r="AF182" s="868">
        <f>IF(U182=AD182+AE182,0,AB182)</f>
        <v>0</v>
      </c>
      <c r="AG182" s="868">
        <f>IF(U182=AD182+AE182+AF182,0,AB182)</f>
        <v>0</v>
      </c>
      <c r="AH182" s="868">
        <f>IF(U182=AE182+AF182+AG182+AD182,0,AB182)</f>
        <v>0</v>
      </c>
      <c r="AI182" s="886">
        <f>IF(U182=AE182+AF182+AG182+AD182+AH182,0,AB182)</f>
        <v>0</v>
      </c>
      <c r="AJ182" s="886">
        <f>SUM(AD182:AI182)</f>
        <v>1056000000</v>
      </c>
      <c r="AK182" s="868">
        <f t="shared" si="62"/>
        <v>0</v>
      </c>
    </row>
    <row r="183" spans="1:37" s="998" customFormat="1" ht="35.25" customHeight="1" x14ac:dyDescent="0.2">
      <c r="A183" s="998">
        <v>122</v>
      </c>
      <c r="B183" s="998" t="str">
        <f t="shared" si="77"/>
        <v>SIMP. SEI. PINANG - TANJUNG</v>
      </c>
      <c r="D183" s="998" t="s">
        <v>3961</v>
      </c>
      <c r="E183" s="1006" t="str">
        <f t="shared" si="78"/>
        <v>1</v>
      </c>
      <c r="F183" s="1000"/>
      <c r="G183" s="1010" t="s">
        <v>483</v>
      </c>
      <c r="H183" s="1011"/>
      <c r="I183" s="1001" t="s">
        <v>3820</v>
      </c>
      <c r="J183" s="1001">
        <v>0</v>
      </c>
      <c r="K183" s="1001" t="s">
        <v>525</v>
      </c>
      <c r="L183" s="1003">
        <v>5050</v>
      </c>
      <c r="M183" s="1001">
        <v>7</v>
      </c>
      <c r="N183" s="1003">
        <v>14000</v>
      </c>
      <c r="O183" s="1001" t="s">
        <v>526</v>
      </c>
      <c r="P183" s="1168">
        <v>2001</v>
      </c>
      <c r="Q183" s="1001">
        <v>0</v>
      </c>
      <c r="R183" s="1001">
        <v>0</v>
      </c>
      <c r="S183" s="1001" t="s">
        <v>384</v>
      </c>
      <c r="T183" s="1001" t="s">
        <v>12</v>
      </c>
      <c r="U183" s="1002">
        <f>4029052001.61+H184</f>
        <v>6989704855.7399998</v>
      </c>
      <c r="V183" s="1001" t="s">
        <v>43</v>
      </c>
      <c r="W183" s="1001">
        <v>0</v>
      </c>
      <c r="X183" s="1004"/>
      <c r="Y183" s="1006" t="str">
        <f t="shared" si="63"/>
        <v>04.13.01</v>
      </c>
      <c r="Z183" s="1006" t="str">
        <f t="shared" si="64"/>
        <v>Jalan</v>
      </c>
      <c r="AA183" s="1006">
        <f t="shared" si="65"/>
        <v>10</v>
      </c>
      <c r="AB183" s="1007"/>
      <c r="AC183" s="1008"/>
      <c r="AD183" s="1007"/>
      <c r="AE183" s="1007"/>
      <c r="AF183" s="1007"/>
      <c r="AG183" s="1007"/>
      <c r="AH183" s="1007"/>
      <c r="AI183" s="1009">
        <f>PERHITUNGAN!R788</f>
        <v>475273813.25440007</v>
      </c>
      <c r="AJ183" s="1009">
        <f>PERHITUNGAN!U791</f>
        <v>5642960326.7048006</v>
      </c>
      <c r="AK183" s="1007">
        <f t="shared" si="62"/>
        <v>1346744529.0351992</v>
      </c>
    </row>
    <row r="184" spans="1:37" s="869" customFormat="1" ht="35.25" customHeight="1" x14ac:dyDescent="0.2">
      <c r="A184" s="857">
        <v>122</v>
      </c>
      <c r="B184" s="857" t="str">
        <f>VLOOKUP(A184,RUAS,2,FALSE)</f>
        <v>SIMP. SEI. PINANG - TANJUNG</v>
      </c>
      <c r="E184" s="884" t="str">
        <f t="shared" si="78"/>
        <v/>
      </c>
      <c r="F184" s="858"/>
      <c r="G184" s="915" t="s">
        <v>1438</v>
      </c>
      <c r="H184" s="915">
        <v>2960652854.1300001</v>
      </c>
      <c r="I184" s="907" t="s">
        <v>2494</v>
      </c>
      <c r="J184" s="903"/>
      <c r="K184" s="862"/>
      <c r="L184" s="908"/>
      <c r="M184" s="862"/>
      <c r="N184" s="909"/>
      <c r="O184" s="861" t="s">
        <v>3215</v>
      </c>
      <c r="P184" s="903">
        <v>2016</v>
      </c>
      <c r="Q184" s="862"/>
      <c r="R184" s="862"/>
      <c r="S184" s="862"/>
      <c r="T184" s="903" t="s">
        <v>12</v>
      </c>
      <c r="U184" s="910"/>
      <c r="V184" s="905"/>
      <c r="W184" s="906"/>
      <c r="X184" s="970"/>
      <c r="Y184" s="884" t="str">
        <f>LEFT(I184,8)</f>
        <v>04.13.01</v>
      </c>
      <c r="Z184" s="884" t="str">
        <f>VLOOKUP(Y184,UE,3,FALSE)</f>
        <v>Jalan</v>
      </c>
      <c r="AA184" s="884">
        <f>VLOOKUP(Y184,UE,4,FALSE)</f>
        <v>10</v>
      </c>
      <c r="AB184" s="868"/>
      <c r="AC184" s="885"/>
      <c r="AD184" s="868"/>
      <c r="AE184" s="868"/>
      <c r="AF184" s="868"/>
      <c r="AG184" s="868"/>
      <c r="AH184" s="868"/>
      <c r="AI184" s="886"/>
      <c r="AJ184" s="886"/>
      <c r="AK184" s="868">
        <f>U184-AJ184</f>
        <v>0</v>
      </c>
    </row>
    <row r="185" spans="1:37" s="998" customFormat="1" ht="35.25" customHeight="1" x14ac:dyDescent="0.2">
      <c r="A185" s="998">
        <v>123</v>
      </c>
      <c r="B185" s="998" t="str">
        <f>VLOOKUP(A185,RUAS,2,FALSE)</f>
        <v>SAIK - KOTO KOMBU</v>
      </c>
      <c r="E185" s="1006" t="str">
        <f t="shared" si="78"/>
        <v/>
      </c>
      <c r="F185" s="1000"/>
      <c r="G185" s="1010" t="s">
        <v>529</v>
      </c>
      <c r="H185" s="1011"/>
      <c r="I185" s="1001" t="s">
        <v>2494</v>
      </c>
      <c r="J185" s="1001"/>
      <c r="K185" s="1001" t="s">
        <v>484</v>
      </c>
      <c r="L185" s="1003" t="s">
        <v>520</v>
      </c>
      <c r="M185" s="1001"/>
      <c r="N185" s="1003"/>
      <c r="O185" s="1001" t="s">
        <v>695</v>
      </c>
      <c r="P185" s="1168">
        <v>2001</v>
      </c>
      <c r="Q185" s="1001"/>
      <c r="R185" s="1001"/>
      <c r="S185" s="1001" t="s">
        <v>482</v>
      </c>
      <c r="T185" s="1001" t="s">
        <v>12</v>
      </c>
      <c r="U185" s="1002">
        <f>1440000000+H186</f>
        <v>1637462951</v>
      </c>
      <c r="V185" s="1001" t="s">
        <v>43</v>
      </c>
      <c r="W185" s="1001"/>
      <c r="X185" s="1004"/>
      <c r="Y185" s="1006" t="str">
        <f>LEFT(I185,8)</f>
        <v>04.13.01</v>
      </c>
      <c r="Z185" s="1006" t="str">
        <f>VLOOKUP(Y185,UE,3,FALSE)</f>
        <v>Jalan</v>
      </c>
      <c r="AA185" s="1006">
        <f>VLOOKUP(Y185,UE,4,FALSE)</f>
        <v>10</v>
      </c>
      <c r="AB185" s="1007"/>
      <c r="AC185" s="1008"/>
      <c r="AD185" s="1007"/>
      <c r="AE185" s="1007"/>
      <c r="AF185" s="1007"/>
      <c r="AG185" s="1007"/>
      <c r="AH185" s="1007"/>
      <c r="AI185" s="1009">
        <f>PERHITUNGAN!R807</f>
        <v>19746295.100000001</v>
      </c>
      <c r="AJ185" s="1009">
        <f>PERHITUNGAN!U810</f>
        <v>1558477770.5999994</v>
      </c>
      <c r="AK185" s="1007">
        <f>U185-AJ185</f>
        <v>78985180.400000572</v>
      </c>
    </row>
    <row r="186" spans="1:37" s="857" customFormat="1" ht="35.25" customHeight="1" x14ac:dyDescent="0.2">
      <c r="A186" s="857">
        <v>123</v>
      </c>
      <c r="B186" s="857" t="str">
        <f t="shared" si="77"/>
        <v>SAIK - KOTO KOMBU</v>
      </c>
      <c r="D186" s="857" t="s">
        <v>3962</v>
      </c>
      <c r="E186" s="884" t="str">
        <f t="shared" si="78"/>
        <v>1</v>
      </c>
      <c r="F186" s="855"/>
      <c r="G186" s="878" t="s">
        <v>1320</v>
      </c>
      <c r="H186" s="879">
        <v>197462951</v>
      </c>
      <c r="I186" s="880" t="s">
        <v>2494</v>
      </c>
      <c r="J186" s="880">
        <v>0</v>
      </c>
      <c r="K186" s="880">
        <v>0</v>
      </c>
      <c r="L186" s="881">
        <v>0</v>
      </c>
      <c r="M186" s="880">
        <v>0</v>
      </c>
      <c r="N186" s="881">
        <v>0</v>
      </c>
      <c r="O186" s="880" t="s">
        <v>3193</v>
      </c>
      <c r="P186" s="1126">
        <v>2014</v>
      </c>
      <c r="Q186" s="880">
        <v>0</v>
      </c>
      <c r="R186" s="880">
        <v>0</v>
      </c>
      <c r="S186" s="880">
        <v>0</v>
      </c>
      <c r="T186" s="880">
        <v>0</v>
      </c>
      <c r="U186" s="882"/>
      <c r="V186" s="880">
        <v>0</v>
      </c>
      <c r="W186" s="880">
        <v>0</v>
      </c>
      <c r="X186" s="969"/>
      <c r="Y186" s="884" t="str">
        <f t="shared" si="63"/>
        <v>04.13.01</v>
      </c>
      <c r="Z186" s="884" t="str">
        <f t="shared" si="64"/>
        <v>Jalan</v>
      </c>
      <c r="AA186" s="884"/>
      <c r="AB186" s="868"/>
      <c r="AC186" s="885"/>
      <c r="AD186" s="868"/>
      <c r="AE186" s="868"/>
      <c r="AF186" s="868"/>
      <c r="AG186" s="868"/>
      <c r="AH186" s="868"/>
      <c r="AI186" s="886"/>
      <c r="AJ186" s="886"/>
      <c r="AK186" s="868">
        <f t="shared" si="62"/>
        <v>0</v>
      </c>
    </row>
    <row r="187" spans="1:37" s="998" customFormat="1" ht="35.25" customHeight="1" x14ac:dyDescent="0.15">
      <c r="A187" s="998">
        <v>124</v>
      </c>
      <c r="B187" s="998" t="str">
        <f t="shared" si="77"/>
        <v>MUDIK ULO - SUMPU</v>
      </c>
      <c r="D187" s="998" t="s">
        <v>3963</v>
      </c>
      <c r="E187" s="999" t="s">
        <v>4247</v>
      </c>
      <c r="F187" s="1000"/>
      <c r="G187" s="1010" t="s">
        <v>529</v>
      </c>
      <c r="H187" s="1011"/>
      <c r="I187" s="1001" t="s">
        <v>2494</v>
      </c>
      <c r="J187" s="1001">
        <v>0</v>
      </c>
      <c r="K187" s="1001" t="s">
        <v>484</v>
      </c>
      <c r="L187" s="1003" t="s">
        <v>491</v>
      </c>
      <c r="M187" s="1001">
        <v>7</v>
      </c>
      <c r="N187" s="1003">
        <v>49000</v>
      </c>
      <c r="O187" s="1001" t="s">
        <v>3829</v>
      </c>
      <c r="P187" s="1168">
        <v>2001</v>
      </c>
      <c r="Q187" s="1001">
        <v>0</v>
      </c>
      <c r="R187" s="1001">
        <v>0</v>
      </c>
      <c r="S187" s="1001" t="s">
        <v>384</v>
      </c>
      <c r="T187" s="1001" t="s">
        <v>12</v>
      </c>
      <c r="U187" s="1002">
        <f>864000000+H188+H189+H190</f>
        <v>3793531226.8400002</v>
      </c>
      <c r="V187" s="1001" t="s">
        <v>43</v>
      </c>
      <c r="W187" s="1001">
        <v>0</v>
      </c>
      <c r="X187" s="1004"/>
      <c r="Y187" s="1005" t="str">
        <f t="shared" si="63"/>
        <v>04.13.01</v>
      </c>
      <c r="Z187" s="1006" t="str">
        <f t="shared" si="64"/>
        <v>Jalan</v>
      </c>
      <c r="AA187" s="1006">
        <f t="shared" si="65"/>
        <v>10</v>
      </c>
      <c r="AB187" s="1007"/>
      <c r="AC187" s="1008">
        <f t="shared" si="66"/>
        <v>10</v>
      </c>
      <c r="AD187" s="1007"/>
      <c r="AE187" s="1007"/>
      <c r="AF187" s="1007"/>
      <c r="AG187" s="1007"/>
      <c r="AH187" s="1007"/>
      <c r="AI187" s="1009">
        <f>PERHITUNGAN!U828</f>
        <v>219844257.39002243</v>
      </c>
      <c r="AJ187" s="1009">
        <f>PERHITUNGAN!U833</f>
        <v>3077787631.4111056</v>
      </c>
      <c r="AK187" s="1007">
        <f t="shared" si="62"/>
        <v>715743595.42889452</v>
      </c>
    </row>
    <row r="188" spans="1:37" s="857" customFormat="1" ht="35.25" customHeight="1" x14ac:dyDescent="0.15">
      <c r="A188" s="857">
        <v>124</v>
      </c>
      <c r="B188" s="857" t="str">
        <f t="shared" si="77"/>
        <v>MUDIK ULO - SUMPU</v>
      </c>
      <c r="D188" s="857" t="s">
        <v>3964</v>
      </c>
      <c r="E188" s="877" t="s">
        <v>4247</v>
      </c>
      <c r="F188" s="855"/>
      <c r="G188" s="878" t="s">
        <v>529</v>
      </c>
      <c r="H188" s="879">
        <v>540000000</v>
      </c>
      <c r="I188" s="880" t="s">
        <v>2494</v>
      </c>
      <c r="J188" s="880">
        <v>0</v>
      </c>
      <c r="K188" s="880" t="s">
        <v>8</v>
      </c>
      <c r="L188" s="881" t="s">
        <v>491</v>
      </c>
      <c r="M188" s="880">
        <v>0</v>
      </c>
      <c r="N188" s="881">
        <v>0</v>
      </c>
      <c r="O188" s="880" t="s">
        <v>3829</v>
      </c>
      <c r="P188" s="1126">
        <v>2001</v>
      </c>
      <c r="Q188" s="880">
        <v>0</v>
      </c>
      <c r="R188" s="880">
        <v>0</v>
      </c>
      <c r="S188" s="880" t="s">
        <v>384</v>
      </c>
      <c r="T188" s="880" t="s">
        <v>12</v>
      </c>
      <c r="U188" s="882"/>
      <c r="V188" s="880" t="s">
        <v>43</v>
      </c>
      <c r="W188" s="880">
        <v>0</v>
      </c>
      <c r="X188" s="969"/>
      <c r="Y188" s="883" t="str">
        <f t="shared" si="63"/>
        <v>04.13.01</v>
      </c>
      <c r="Z188" s="884" t="str">
        <f t="shared" si="64"/>
        <v>Jalan</v>
      </c>
      <c r="AA188" s="884">
        <f t="shared" si="65"/>
        <v>10</v>
      </c>
      <c r="AB188" s="868"/>
      <c r="AC188" s="885">
        <f t="shared" si="66"/>
        <v>10</v>
      </c>
      <c r="AD188" s="868"/>
      <c r="AE188" s="868"/>
      <c r="AF188" s="868"/>
      <c r="AG188" s="868"/>
      <c r="AH188" s="868"/>
      <c r="AI188" s="886"/>
      <c r="AJ188" s="886"/>
      <c r="AK188" s="868">
        <f t="shared" si="62"/>
        <v>0</v>
      </c>
    </row>
    <row r="189" spans="1:37" s="857" customFormat="1" ht="35.25" customHeight="1" x14ac:dyDescent="0.15">
      <c r="A189" s="857">
        <v>124</v>
      </c>
      <c r="B189" s="857" t="str">
        <f t="shared" si="77"/>
        <v>MUDIK ULO - SUMPU</v>
      </c>
      <c r="D189" s="857" t="s">
        <v>3965</v>
      </c>
      <c r="E189" s="877" t="s">
        <v>4247</v>
      </c>
      <c r="F189" s="855"/>
      <c r="G189" s="878" t="s">
        <v>1439</v>
      </c>
      <c r="H189" s="879">
        <v>1997824226.8399999</v>
      </c>
      <c r="I189" s="880" t="s">
        <v>2494</v>
      </c>
      <c r="J189" s="880">
        <v>0</v>
      </c>
      <c r="K189" s="880">
        <v>0</v>
      </c>
      <c r="L189" s="881">
        <v>0</v>
      </c>
      <c r="M189" s="880">
        <v>0</v>
      </c>
      <c r="N189" s="881">
        <v>0</v>
      </c>
      <c r="O189" s="880" t="s">
        <v>3256</v>
      </c>
      <c r="P189" s="1126">
        <v>2016</v>
      </c>
      <c r="Q189" s="880">
        <v>0</v>
      </c>
      <c r="R189" s="880">
        <v>0</v>
      </c>
      <c r="S189" s="880">
        <v>0</v>
      </c>
      <c r="T189" s="880" t="s">
        <v>12</v>
      </c>
      <c r="U189" s="882"/>
      <c r="V189" s="880">
        <v>0</v>
      </c>
      <c r="W189" s="880">
        <v>0</v>
      </c>
      <c r="X189" s="969"/>
      <c r="Y189" s="883" t="str">
        <f t="shared" si="63"/>
        <v>04.13.01</v>
      </c>
      <c r="Z189" s="884" t="str">
        <f t="shared" si="64"/>
        <v>Jalan</v>
      </c>
      <c r="AA189" s="884">
        <f t="shared" si="65"/>
        <v>10</v>
      </c>
      <c r="AB189" s="868"/>
      <c r="AC189" s="885">
        <f t="shared" si="66"/>
        <v>0</v>
      </c>
      <c r="AD189" s="868"/>
      <c r="AE189" s="868"/>
      <c r="AF189" s="868"/>
      <c r="AG189" s="868"/>
      <c r="AH189" s="868"/>
      <c r="AI189" s="886"/>
      <c r="AJ189" s="886"/>
      <c r="AK189" s="868">
        <f t="shared" si="62"/>
        <v>0</v>
      </c>
    </row>
    <row r="190" spans="1:37" s="857" customFormat="1" ht="35.25" customHeight="1" x14ac:dyDescent="0.15">
      <c r="A190" s="857">
        <v>124</v>
      </c>
      <c r="B190" s="857" t="str">
        <f t="shared" si="77"/>
        <v>MUDIK ULO - SUMPU</v>
      </c>
      <c r="D190" s="857" t="s">
        <v>3966</v>
      </c>
      <c r="E190" s="877" t="s">
        <v>4247</v>
      </c>
      <c r="F190" s="855"/>
      <c r="G190" s="878" t="s">
        <v>3340</v>
      </c>
      <c r="H190" s="879">
        <v>391707000</v>
      </c>
      <c r="I190" s="880" t="s">
        <v>2494</v>
      </c>
      <c r="J190" s="880">
        <v>0</v>
      </c>
      <c r="K190" s="880">
        <v>0</v>
      </c>
      <c r="L190" s="881">
        <v>0</v>
      </c>
      <c r="M190" s="880">
        <v>0</v>
      </c>
      <c r="N190" s="881">
        <v>0</v>
      </c>
      <c r="O190" s="880" t="s">
        <v>3311</v>
      </c>
      <c r="P190" s="1126">
        <v>2018</v>
      </c>
      <c r="Q190" s="880">
        <v>0</v>
      </c>
      <c r="R190" s="880">
        <v>0</v>
      </c>
      <c r="S190" s="880">
        <v>0</v>
      </c>
      <c r="T190" s="880" t="s">
        <v>12</v>
      </c>
      <c r="U190" s="882"/>
      <c r="V190" s="880">
        <v>0</v>
      </c>
      <c r="W190" s="880">
        <v>0</v>
      </c>
      <c r="X190" s="969"/>
      <c r="Y190" s="883" t="str">
        <f t="shared" si="63"/>
        <v>04.13.01</v>
      </c>
      <c r="Z190" s="884" t="str">
        <f t="shared" si="64"/>
        <v>Jalan</v>
      </c>
      <c r="AA190" s="884">
        <f t="shared" si="65"/>
        <v>10</v>
      </c>
      <c r="AB190" s="868"/>
      <c r="AC190" s="885">
        <f t="shared" si="66"/>
        <v>0</v>
      </c>
      <c r="AD190" s="868"/>
      <c r="AE190" s="868"/>
      <c r="AF190" s="868"/>
      <c r="AG190" s="868"/>
      <c r="AH190" s="868"/>
      <c r="AI190" s="886"/>
      <c r="AJ190" s="886"/>
      <c r="AK190" s="868">
        <f t="shared" si="62"/>
        <v>0</v>
      </c>
    </row>
    <row r="191" spans="1:37" s="857" customFormat="1" ht="35.25" customHeight="1" x14ac:dyDescent="0.2">
      <c r="A191" s="857">
        <v>126</v>
      </c>
      <c r="B191" s="857" t="str">
        <f t="shared" si="77"/>
        <v>MUDIK ULO - TANJUNG MEDANG</v>
      </c>
      <c r="D191" s="857" t="s">
        <v>4090</v>
      </c>
      <c r="E191" s="884" t="str">
        <f>RIGHT(D191,1)</f>
        <v>1</v>
      </c>
      <c r="F191" s="855"/>
      <c r="G191" s="878" t="s">
        <v>529</v>
      </c>
      <c r="H191" s="879"/>
      <c r="I191" s="880" t="s">
        <v>2494</v>
      </c>
      <c r="J191" s="880">
        <v>0</v>
      </c>
      <c r="K191" s="880" t="s">
        <v>484</v>
      </c>
      <c r="L191" s="881" t="s">
        <v>490</v>
      </c>
      <c r="M191" s="880">
        <v>0</v>
      </c>
      <c r="N191" s="881">
        <v>0</v>
      </c>
      <c r="O191" s="880" t="s">
        <v>693</v>
      </c>
      <c r="P191" s="1126">
        <v>2001</v>
      </c>
      <c r="Q191" s="880">
        <v>0</v>
      </c>
      <c r="R191" s="880">
        <v>0</v>
      </c>
      <c r="S191" s="880" t="s">
        <v>384</v>
      </c>
      <c r="T191" s="880" t="s">
        <v>12</v>
      </c>
      <c r="U191" s="882">
        <v>643500000</v>
      </c>
      <c r="V191" s="880" t="s">
        <v>43</v>
      </c>
      <c r="W191" s="880">
        <v>0</v>
      </c>
      <c r="X191" s="969"/>
      <c r="Y191" s="884" t="str">
        <f t="shared" si="63"/>
        <v>04.13.01</v>
      </c>
      <c r="Z191" s="884" t="str">
        <f t="shared" si="64"/>
        <v>Jalan</v>
      </c>
      <c r="AA191" s="884">
        <f t="shared" si="65"/>
        <v>10</v>
      </c>
      <c r="AB191" s="868">
        <f>U191/AA191</f>
        <v>64350000</v>
      </c>
      <c r="AC191" s="885">
        <f>IF(2013-P191+1&gt;AA191,AA191,IF(2013-P191+1&lt;0,0,2013-P191+1))</f>
        <v>10</v>
      </c>
      <c r="AD191" s="868">
        <f>IF(AC191&gt;AA191,U191,AB191*AC191)</f>
        <v>643500000</v>
      </c>
      <c r="AE191" s="868">
        <f>IF(U191=AD191,0,AB191)</f>
        <v>0</v>
      </c>
      <c r="AF191" s="868">
        <f>IF(U191=AD191+AE191,0,AB191)</f>
        <v>0</v>
      </c>
      <c r="AG191" s="868">
        <f>IF(U191=AD191+AE191+AF191,0,AB191)</f>
        <v>0</v>
      </c>
      <c r="AH191" s="868">
        <f>IF(U191=AE191+AF191+AG191+AD191,0,AB191)</f>
        <v>0</v>
      </c>
      <c r="AI191" s="886">
        <f>IF(U191=AE191+AF191+AG191+AD191+AH191,0,AB191)</f>
        <v>0</v>
      </c>
      <c r="AJ191" s="886">
        <f>SUM(AD191:AI191)</f>
        <v>643500000</v>
      </c>
      <c r="AK191" s="868">
        <f t="shared" si="62"/>
        <v>0</v>
      </c>
    </row>
    <row r="192" spans="1:37" s="998" customFormat="1" ht="35.25" customHeight="1" x14ac:dyDescent="0.2">
      <c r="A192" s="998">
        <v>129</v>
      </c>
      <c r="B192" s="998" t="str">
        <f>VLOOKUP(A192,RUAS,2,FALSE)</f>
        <v>BASERAH - PERHENTIAN LUAS</v>
      </c>
      <c r="E192" s="1006" t="str">
        <f>RIGHT(D192,1)</f>
        <v/>
      </c>
      <c r="F192" s="1000"/>
      <c r="G192" s="1010" t="s">
        <v>529</v>
      </c>
      <c r="H192" s="1011"/>
      <c r="I192" s="1001" t="s">
        <v>2494</v>
      </c>
      <c r="J192" s="1001"/>
      <c r="K192" s="1001" t="s">
        <v>525</v>
      </c>
      <c r="L192" s="1003" t="s">
        <v>670</v>
      </c>
      <c r="M192" s="1001"/>
      <c r="N192" s="1003"/>
      <c r="O192" s="1001" t="s">
        <v>671</v>
      </c>
      <c r="P192" s="1168">
        <v>2001</v>
      </c>
      <c r="Q192" s="1001"/>
      <c r="R192" s="1001"/>
      <c r="S192" s="1001" t="s">
        <v>384</v>
      </c>
      <c r="T192" s="1001" t="s">
        <v>12</v>
      </c>
      <c r="U192" s="1002">
        <f>3159000000+H193+H194+H195</f>
        <v>8612846870.7383347</v>
      </c>
      <c r="V192" s="1001" t="s">
        <v>43</v>
      </c>
      <c r="W192" s="1001"/>
      <c r="X192" s="1004"/>
      <c r="Y192" s="1006" t="str">
        <f>LEFT(I192,8)</f>
        <v>04.13.01</v>
      </c>
      <c r="Z192" s="1006" t="str">
        <f>VLOOKUP(Y192,UE,3,FALSE)</f>
        <v>Jalan</v>
      </c>
      <c r="AA192" s="1006">
        <f>VLOOKUP(Y192,UE,4,FALSE)</f>
        <v>10</v>
      </c>
      <c r="AB192" s="1007"/>
      <c r="AC192" s="1008"/>
      <c r="AD192" s="1007"/>
      <c r="AE192" s="1007"/>
      <c r="AF192" s="1007"/>
      <c r="AG192" s="1007"/>
      <c r="AH192" s="1007"/>
      <c r="AI192" s="1009">
        <f>PERHITUNGAN!R878</f>
        <v>733910987.80666173</v>
      </c>
      <c r="AJ192" s="1009">
        <f>PERHITUNGAN!U882</f>
        <v>9697536369.948431</v>
      </c>
      <c r="AK192" s="1007">
        <f>U192-AJ192</f>
        <v>-1084689499.2100964</v>
      </c>
    </row>
    <row r="193" spans="1:37" s="857" customFormat="1" ht="45.75" customHeight="1" x14ac:dyDescent="0.2">
      <c r="A193" s="857">
        <v>129</v>
      </c>
      <c r="B193" s="857" t="str">
        <f t="shared" si="77"/>
        <v>BASERAH - PERHENTIAN LUAS</v>
      </c>
      <c r="E193" s="884" t="s">
        <v>4247</v>
      </c>
      <c r="F193" s="855"/>
      <c r="G193" s="878" t="s">
        <v>1176</v>
      </c>
      <c r="H193" s="879">
        <v>659658905.78583896</v>
      </c>
      <c r="I193" s="880" t="s">
        <v>2494</v>
      </c>
      <c r="J193" s="880">
        <v>0</v>
      </c>
      <c r="K193" s="880" t="s">
        <v>835</v>
      </c>
      <c r="L193" s="881">
        <v>2</v>
      </c>
      <c r="M193" s="880">
        <v>2.5</v>
      </c>
      <c r="N193" s="881">
        <v>5</v>
      </c>
      <c r="O193" s="880" t="s">
        <v>3109</v>
      </c>
      <c r="P193" s="1126">
        <v>2007</v>
      </c>
      <c r="Q193" s="880">
        <v>0</v>
      </c>
      <c r="R193" s="880">
        <v>0</v>
      </c>
      <c r="S193" s="880">
        <v>0</v>
      </c>
      <c r="T193" s="880" t="s">
        <v>12</v>
      </c>
      <c r="U193" s="882"/>
      <c r="V193" s="880" t="s">
        <v>43</v>
      </c>
      <c r="W193" s="880">
        <v>0</v>
      </c>
      <c r="X193" s="969"/>
      <c r="Y193" s="884" t="str">
        <f t="shared" si="63"/>
        <v>04.13.01</v>
      </c>
      <c r="Z193" s="884" t="str">
        <f t="shared" si="64"/>
        <v>Jalan</v>
      </c>
      <c r="AA193" s="884">
        <f t="shared" si="65"/>
        <v>10</v>
      </c>
      <c r="AB193" s="868"/>
      <c r="AC193" s="885">
        <f>IF(2013-P193+1&gt;AA193,AA193,IF(2013-P193+1&lt;0,0,2013-P193+1))</f>
        <v>7</v>
      </c>
      <c r="AD193" s="868"/>
      <c r="AE193" s="868"/>
      <c r="AF193" s="868"/>
      <c r="AG193" s="868"/>
      <c r="AH193" s="868"/>
      <c r="AI193" s="886"/>
      <c r="AJ193" s="886"/>
      <c r="AK193" s="868">
        <f t="shared" si="62"/>
        <v>0</v>
      </c>
    </row>
    <row r="194" spans="1:37" s="857" customFormat="1" ht="35.25" customHeight="1" x14ac:dyDescent="0.15">
      <c r="A194" s="857">
        <v>129</v>
      </c>
      <c r="B194" s="857" t="str">
        <f t="shared" si="77"/>
        <v>BASERAH - PERHENTIAN LUAS</v>
      </c>
      <c r="D194" s="1015" t="s">
        <v>4195</v>
      </c>
      <c r="E194" s="877" t="s">
        <v>4247</v>
      </c>
      <c r="F194" s="855"/>
      <c r="G194" s="878" t="s">
        <v>1220</v>
      </c>
      <c r="H194" s="879">
        <v>3257404911.7154002</v>
      </c>
      <c r="I194" s="880" t="s">
        <v>2494</v>
      </c>
      <c r="J194" s="880">
        <v>0</v>
      </c>
      <c r="K194" s="880" t="s">
        <v>519</v>
      </c>
      <c r="L194" s="881">
        <v>0</v>
      </c>
      <c r="M194" s="880">
        <v>0</v>
      </c>
      <c r="N194" s="881">
        <v>1000</v>
      </c>
      <c r="O194" s="880" t="s">
        <v>3129</v>
      </c>
      <c r="P194" s="1126">
        <v>2011</v>
      </c>
      <c r="Q194" s="880">
        <v>0</v>
      </c>
      <c r="R194" s="880">
        <v>0</v>
      </c>
      <c r="S194" s="880">
        <v>0</v>
      </c>
      <c r="T194" s="880" t="s">
        <v>12</v>
      </c>
      <c r="U194" s="882"/>
      <c r="V194" s="880" t="s">
        <v>43</v>
      </c>
      <c r="W194" s="880">
        <v>0</v>
      </c>
      <c r="X194" s="969"/>
      <c r="Y194" s="883" t="str">
        <f t="shared" si="63"/>
        <v>04.13.01</v>
      </c>
      <c r="Z194" s="884" t="str">
        <f t="shared" si="64"/>
        <v>Jalan</v>
      </c>
      <c r="AA194" s="884">
        <f t="shared" si="65"/>
        <v>10</v>
      </c>
      <c r="AB194" s="868"/>
      <c r="AC194" s="885">
        <f t="shared" si="66"/>
        <v>2</v>
      </c>
      <c r="AD194" s="868"/>
      <c r="AE194" s="868"/>
      <c r="AF194" s="868"/>
      <c r="AG194" s="868"/>
      <c r="AH194" s="868"/>
      <c r="AI194" s="886"/>
      <c r="AJ194" s="886"/>
      <c r="AK194" s="868">
        <f t="shared" si="62"/>
        <v>0</v>
      </c>
    </row>
    <row r="195" spans="1:37" s="857" customFormat="1" ht="35.25" customHeight="1" x14ac:dyDescent="0.15">
      <c r="A195" s="857">
        <v>129</v>
      </c>
      <c r="B195" s="857" t="str">
        <f t="shared" si="77"/>
        <v>BASERAH - PERHENTIAN LUAS</v>
      </c>
      <c r="D195" s="1015" t="s">
        <v>3967</v>
      </c>
      <c r="E195" s="877" t="s">
        <v>4247</v>
      </c>
      <c r="F195" s="855"/>
      <c r="G195" s="878" t="s">
        <v>1260</v>
      </c>
      <c r="H195" s="879">
        <v>1536783053.2370956</v>
      </c>
      <c r="I195" s="880" t="s">
        <v>2494</v>
      </c>
      <c r="J195" s="880">
        <v>0</v>
      </c>
      <c r="K195" s="880" t="s">
        <v>519</v>
      </c>
      <c r="L195" s="881">
        <v>0</v>
      </c>
      <c r="M195" s="880">
        <v>0</v>
      </c>
      <c r="N195" s="881">
        <v>0</v>
      </c>
      <c r="O195" s="880" t="s">
        <v>3157</v>
      </c>
      <c r="P195" s="1126">
        <v>2012</v>
      </c>
      <c r="Q195" s="880">
        <v>0</v>
      </c>
      <c r="R195" s="880">
        <v>0</v>
      </c>
      <c r="S195" s="880">
        <v>0</v>
      </c>
      <c r="T195" s="880" t="s">
        <v>12</v>
      </c>
      <c r="U195" s="882"/>
      <c r="V195" s="880" t="s">
        <v>43</v>
      </c>
      <c r="W195" s="880">
        <v>0</v>
      </c>
      <c r="X195" s="969"/>
      <c r="Y195" s="883" t="str">
        <f t="shared" si="63"/>
        <v>04.13.01</v>
      </c>
      <c r="Z195" s="884" t="str">
        <f t="shared" si="64"/>
        <v>Jalan</v>
      </c>
      <c r="AA195" s="884">
        <f t="shared" si="65"/>
        <v>10</v>
      </c>
      <c r="AB195" s="868"/>
      <c r="AC195" s="885">
        <f t="shared" si="66"/>
        <v>1</v>
      </c>
      <c r="AD195" s="868"/>
      <c r="AE195" s="868"/>
      <c r="AF195" s="868"/>
      <c r="AG195" s="868"/>
      <c r="AH195" s="868"/>
      <c r="AI195" s="886"/>
      <c r="AJ195" s="886"/>
      <c r="AK195" s="868"/>
    </row>
    <row r="196" spans="1:37" s="857" customFormat="1" ht="35.25" customHeight="1" x14ac:dyDescent="0.2">
      <c r="A196" s="857">
        <v>131</v>
      </c>
      <c r="B196" s="857" t="str">
        <f t="shared" si="77"/>
        <v>SIMP. TERATAK BARU - TERATAK BARU</v>
      </c>
      <c r="D196" s="857" t="s">
        <v>3968</v>
      </c>
      <c r="E196" s="884" t="str">
        <f>RIGHT(D196,1)</f>
        <v>1</v>
      </c>
      <c r="F196" s="855"/>
      <c r="G196" s="878" t="s">
        <v>1257</v>
      </c>
      <c r="H196" s="879"/>
      <c r="I196" s="880" t="s">
        <v>2494</v>
      </c>
      <c r="J196" s="880">
        <v>0</v>
      </c>
      <c r="K196" s="880" t="s">
        <v>519</v>
      </c>
      <c r="L196" s="881">
        <v>0</v>
      </c>
      <c r="M196" s="880">
        <v>0</v>
      </c>
      <c r="N196" s="881">
        <v>0</v>
      </c>
      <c r="O196" s="880" t="s">
        <v>3155</v>
      </c>
      <c r="P196" s="1126">
        <v>2012</v>
      </c>
      <c r="Q196" s="880">
        <v>0</v>
      </c>
      <c r="R196" s="880">
        <v>0</v>
      </c>
      <c r="S196" s="880">
        <v>0</v>
      </c>
      <c r="T196" s="880" t="s">
        <v>12</v>
      </c>
      <c r="U196" s="882">
        <v>1462268233.7791154</v>
      </c>
      <c r="V196" s="880" t="s">
        <v>43</v>
      </c>
      <c r="W196" s="880">
        <v>0</v>
      </c>
      <c r="X196" s="969"/>
      <c r="Y196" s="884" t="str">
        <f t="shared" si="63"/>
        <v>04.13.01</v>
      </c>
      <c r="Z196" s="884" t="str">
        <f t="shared" si="64"/>
        <v>Jalan</v>
      </c>
      <c r="AA196" s="884">
        <f t="shared" si="65"/>
        <v>10</v>
      </c>
      <c r="AB196" s="868">
        <f>U196/AA196</f>
        <v>146226823.37791154</v>
      </c>
      <c r="AC196" s="885">
        <f>IF(2013-P196+1&gt;AA196,AA196,IF(2013-P196+1&lt;0,0,2013-P196+1))</f>
        <v>2</v>
      </c>
      <c r="AD196" s="868">
        <f>IF(AC196&gt;AA196,U196,AB196*AC196)</f>
        <v>292453646.75582308</v>
      </c>
      <c r="AE196" s="868">
        <f>IF(U196=AD196,0,AB196)</f>
        <v>146226823.37791154</v>
      </c>
      <c r="AF196" s="868">
        <f>IF(U196=AD196+AE196,0,AB196)</f>
        <v>146226823.37791154</v>
      </c>
      <c r="AG196" s="868">
        <f>IF(U196=AD196+AE196+AF196,0,AB196)</f>
        <v>146226823.37791154</v>
      </c>
      <c r="AH196" s="868">
        <f>IF(U196=AE196+AF196+AG196+AD196,0,AB196)</f>
        <v>146226823.37791154</v>
      </c>
      <c r="AI196" s="886">
        <f>IF(U196=AE196+AF196+AG196+AD196+AH196,0,AB196)</f>
        <v>146226823.37791154</v>
      </c>
      <c r="AJ196" s="886">
        <f>SUM(AD196:AI196)</f>
        <v>1023587763.6453809</v>
      </c>
      <c r="AK196" s="868">
        <f t="shared" ref="AK196:AK210" si="79">U196-AJ196</f>
        <v>438680470.13373458</v>
      </c>
    </row>
    <row r="197" spans="1:37" s="857" customFormat="1" ht="35.25" customHeight="1" x14ac:dyDescent="0.2">
      <c r="A197" s="857">
        <v>132</v>
      </c>
      <c r="B197" s="857" t="str">
        <f t="shared" si="77"/>
        <v>DUSUN TUO - GUNUNG MELINTANG</v>
      </c>
      <c r="D197" s="857" t="s">
        <v>3969</v>
      </c>
      <c r="E197" s="884" t="str">
        <f>RIGHT(D197,1)</f>
        <v>1</v>
      </c>
      <c r="F197" s="855"/>
      <c r="G197" s="878" t="s">
        <v>1312</v>
      </c>
      <c r="H197" s="879"/>
      <c r="I197" s="880" t="s">
        <v>2494</v>
      </c>
      <c r="J197" s="880">
        <v>0</v>
      </c>
      <c r="K197" s="880">
        <v>0</v>
      </c>
      <c r="L197" s="881">
        <v>0</v>
      </c>
      <c r="M197" s="880">
        <v>0</v>
      </c>
      <c r="N197" s="881">
        <v>0</v>
      </c>
      <c r="O197" s="880" t="s">
        <v>3187</v>
      </c>
      <c r="P197" s="1126">
        <v>2014</v>
      </c>
      <c r="Q197" s="880">
        <v>0</v>
      </c>
      <c r="R197" s="880">
        <v>0</v>
      </c>
      <c r="S197" s="880">
        <v>0</v>
      </c>
      <c r="T197" s="880">
        <v>0</v>
      </c>
      <c r="U197" s="882">
        <v>2410554234</v>
      </c>
      <c r="V197" s="880">
        <v>0</v>
      </c>
      <c r="W197" s="880">
        <v>0</v>
      </c>
      <c r="X197" s="969"/>
      <c r="Y197" s="884" t="str">
        <f t="shared" si="63"/>
        <v>04.13.01</v>
      </c>
      <c r="Z197" s="884" t="str">
        <f t="shared" si="64"/>
        <v>Jalan</v>
      </c>
      <c r="AA197" s="884">
        <f t="shared" si="65"/>
        <v>10</v>
      </c>
      <c r="AB197" s="868">
        <f>U197/AA197</f>
        <v>241055423.40000001</v>
      </c>
      <c r="AC197" s="885">
        <f>IF(2013-P197+1&gt;AA197,AA197,IF(2013-P197+1&lt;0,0,2013-P197+1))</f>
        <v>0</v>
      </c>
      <c r="AD197" s="868">
        <f>IF(AC197&gt;AA197,U197,AB197*AC197)</f>
        <v>0</v>
      </c>
      <c r="AE197" s="868">
        <f>IF(U197=AD197,0,AB197)</f>
        <v>241055423.40000001</v>
      </c>
      <c r="AF197" s="868">
        <f>IF(U197=AD197+AE197,0,AB197)</f>
        <v>241055423.40000001</v>
      </c>
      <c r="AG197" s="868">
        <f>IF(U197=AD197+AE197+AF197,0,AB197)</f>
        <v>241055423.40000001</v>
      </c>
      <c r="AH197" s="868">
        <f>IF(U197=AE197+AF197+AG197+AD197,0,AB197)</f>
        <v>241055423.40000001</v>
      </c>
      <c r="AI197" s="886">
        <f>IF(U197=AE197+AF197+AG197+AD197+AH197,0,AB197)</f>
        <v>241055423.40000001</v>
      </c>
      <c r="AJ197" s="886">
        <f>SUM(AD197:AI197)</f>
        <v>1205277117</v>
      </c>
      <c r="AK197" s="868">
        <f t="shared" si="79"/>
        <v>1205277117</v>
      </c>
    </row>
    <row r="198" spans="1:37" s="857" customFormat="1" ht="35.25" customHeight="1" x14ac:dyDescent="0.2">
      <c r="A198" s="857">
        <v>134</v>
      </c>
      <c r="B198" s="857" t="str">
        <f t="shared" si="77"/>
        <v>KEPALA PULAU - PULAU MADINAH</v>
      </c>
      <c r="D198" s="857" t="s">
        <v>4091</v>
      </c>
      <c r="E198" s="884" t="str">
        <f>RIGHT(D198,1)</f>
        <v>1</v>
      </c>
      <c r="F198" s="855"/>
      <c r="G198" s="878" t="s">
        <v>3319</v>
      </c>
      <c r="H198" s="879"/>
      <c r="I198" s="880" t="s">
        <v>2494</v>
      </c>
      <c r="J198" s="880">
        <v>0</v>
      </c>
      <c r="K198" s="880">
        <v>0</v>
      </c>
      <c r="L198" s="881">
        <v>0</v>
      </c>
      <c r="M198" s="880">
        <v>0</v>
      </c>
      <c r="N198" s="881">
        <v>0</v>
      </c>
      <c r="O198" s="880" t="s">
        <v>3297</v>
      </c>
      <c r="P198" s="1126">
        <v>2018</v>
      </c>
      <c r="Q198" s="880">
        <v>0</v>
      </c>
      <c r="R198" s="880">
        <v>0</v>
      </c>
      <c r="S198" s="880">
        <v>0</v>
      </c>
      <c r="T198" s="880" t="s">
        <v>12</v>
      </c>
      <c r="U198" s="882">
        <v>2217599426</v>
      </c>
      <c r="V198" s="880">
        <v>0</v>
      </c>
      <c r="W198" s="880">
        <v>0</v>
      </c>
      <c r="X198" s="969"/>
      <c r="Y198" s="884" t="str">
        <f t="shared" si="63"/>
        <v>04.13.01</v>
      </c>
      <c r="Z198" s="884" t="str">
        <f t="shared" si="64"/>
        <v>Jalan</v>
      </c>
      <c r="AA198" s="884">
        <f t="shared" si="65"/>
        <v>10</v>
      </c>
      <c r="AB198" s="868">
        <f>U198/AA198</f>
        <v>221759942.59999999</v>
      </c>
      <c r="AC198" s="885">
        <f>IF(2013-P198+1&gt;AA198,AA198,IF(2013-P198+1&lt;0,0,2013-P198+1))</f>
        <v>0</v>
      </c>
      <c r="AD198" s="868">
        <f>IF(AC198&gt;AA198,U198,AB198*AC198)</f>
        <v>0</v>
      </c>
      <c r="AE198" s="868">
        <v>0</v>
      </c>
      <c r="AF198" s="868">
        <v>0</v>
      </c>
      <c r="AG198" s="868">
        <v>0</v>
      </c>
      <c r="AH198" s="868">
        <v>0</v>
      </c>
      <c r="AI198" s="886">
        <f>IF(U198=AE198+AF198+AG198+AD198+AH198,0,AB198)</f>
        <v>221759942.59999999</v>
      </c>
      <c r="AJ198" s="886">
        <f>SUM(AD198:AI198)</f>
        <v>221759942.59999999</v>
      </c>
      <c r="AK198" s="868">
        <f t="shared" si="79"/>
        <v>1995839483.4000001</v>
      </c>
    </row>
    <row r="199" spans="1:37" s="857" customFormat="1" ht="35.25" customHeight="1" x14ac:dyDescent="0.2">
      <c r="A199" s="857">
        <v>146</v>
      </c>
      <c r="B199" s="857" t="str">
        <f>VLOOKUP(A199,RUAS,2,FALSE)</f>
        <v>JL. A. YANI - JL. RAWANG BONTO</v>
      </c>
      <c r="E199" s="884" t="str">
        <f>RIGHT(D199,1)</f>
        <v/>
      </c>
      <c r="F199" s="855"/>
      <c r="G199" s="878" t="s">
        <v>1165</v>
      </c>
      <c r="H199" s="879"/>
      <c r="I199" s="861" t="s">
        <v>2494</v>
      </c>
      <c r="J199" s="871"/>
      <c r="K199" s="861" t="s">
        <v>519</v>
      </c>
      <c r="L199" s="856"/>
      <c r="M199" s="862"/>
      <c r="N199" s="856">
        <v>1000</v>
      </c>
      <c r="O199" s="863" t="s">
        <v>3101</v>
      </c>
      <c r="P199" s="861">
        <v>2007</v>
      </c>
      <c r="Q199" s="862"/>
      <c r="R199" s="862"/>
      <c r="S199" s="862"/>
      <c r="T199" s="862" t="s">
        <v>12</v>
      </c>
      <c r="U199" s="899">
        <v>1143090531.604764</v>
      </c>
      <c r="V199" s="861" t="s">
        <v>43</v>
      </c>
      <c r="W199" s="865"/>
      <c r="X199" s="968"/>
      <c r="Y199" s="884" t="str">
        <f>LEFT(I199,8)</f>
        <v>04.13.01</v>
      </c>
      <c r="Z199" s="884" t="str">
        <f>VLOOKUP(Y199,UE,3,FALSE)</f>
        <v>Jalan</v>
      </c>
      <c r="AA199" s="884">
        <f>VLOOKUP(Y199,UE,4,FALSE)</f>
        <v>10</v>
      </c>
      <c r="AB199" s="868">
        <f>U199/AA199</f>
        <v>114309053.1604764</v>
      </c>
      <c r="AC199" s="885">
        <f>IF(2013-P199+1&gt;AA199,AA199,IF(2013-P199+1&lt;0,0,2013-P199+1))</f>
        <v>7</v>
      </c>
      <c r="AD199" s="868">
        <f>IF(AC199&gt;AA199,U199,AB199*AC199)</f>
        <v>800163372.12333477</v>
      </c>
      <c r="AE199" s="868">
        <f>IF(U199=AD199,0,AB199)</f>
        <v>114309053.1604764</v>
      </c>
      <c r="AF199" s="868">
        <f>IF(U199=AD199+AE199,0,AB199)</f>
        <v>114309053.1604764</v>
      </c>
      <c r="AG199" s="868">
        <f>IF(U199=AD199+AE199+AF199,0,AB199)</f>
        <v>114309053.1604764</v>
      </c>
      <c r="AH199" s="868">
        <f>IF(U199=AE199+AF199+AG199+AD199,0,AB199)</f>
        <v>0</v>
      </c>
      <c r="AI199" s="886">
        <f>IF(U199=AE199+AF199+AG199+AD199+AH199,0,AB199)</f>
        <v>0</v>
      </c>
      <c r="AJ199" s="886">
        <f>SUM(AD199:AI199)</f>
        <v>1143090531.604764</v>
      </c>
      <c r="AK199" s="868">
        <f>U199-AJ199</f>
        <v>0</v>
      </c>
    </row>
    <row r="200" spans="1:37" s="857" customFormat="1" ht="35.25" customHeight="1" x14ac:dyDescent="0.2">
      <c r="A200" s="857">
        <v>160</v>
      </c>
      <c r="B200" s="857" t="str">
        <f t="shared" si="77"/>
        <v>PULAU KUMPAI - PS. USANG BASERAH</v>
      </c>
      <c r="D200" s="857" t="s">
        <v>4123</v>
      </c>
      <c r="E200" s="884" t="str">
        <f>RIGHT(D200,1)</f>
        <v>1</v>
      </c>
      <c r="F200" s="855"/>
      <c r="G200" s="878" t="s">
        <v>2503</v>
      </c>
      <c r="H200" s="879"/>
      <c r="I200" s="880" t="s">
        <v>2494</v>
      </c>
      <c r="J200" s="880">
        <v>0</v>
      </c>
      <c r="K200" s="880">
        <v>0</v>
      </c>
      <c r="L200" s="881">
        <v>0</v>
      </c>
      <c r="M200" s="880">
        <v>0</v>
      </c>
      <c r="N200" s="881">
        <v>0</v>
      </c>
      <c r="O200" s="880" t="s">
        <v>2565</v>
      </c>
      <c r="P200" s="1126">
        <v>2017</v>
      </c>
      <c r="Q200" s="880">
        <v>0</v>
      </c>
      <c r="R200" s="880">
        <v>0</v>
      </c>
      <c r="S200" s="880">
        <v>0</v>
      </c>
      <c r="T200" s="880" t="s">
        <v>12</v>
      </c>
      <c r="U200" s="882">
        <v>182111000</v>
      </c>
      <c r="V200" s="880">
        <v>0</v>
      </c>
      <c r="W200" s="880">
        <v>0</v>
      </c>
      <c r="X200" s="969"/>
      <c r="Y200" s="884" t="str">
        <f t="shared" si="63"/>
        <v>04.13.01</v>
      </c>
      <c r="Z200" s="884" t="str">
        <f t="shared" si="64"/>
        <v>Jalan</v>
      </c>
      <c r="AA200" s="884">
        <f t="shared" si="65"/>
        <v>10</v>
      </c>
      <c r="AB200" s="868">
        <f>U200/AA200</f>
        <v>18211100</v>
      </c>
      <c r="AC200" s="885">
        <f>IF(2013-P200+1&gt;AA200,AA200,IF(2013-P200+1&lt;0,0,2013-P200+1))</f>
        <v>0</v>
      </c>
      <c r="AD200" s="868">
        <f>IF(AC200&gt;AA200,U200,AB200*AC200)</f>
        <v>0</v>
      </c>
      <c r="AE200" s="868">
        <v>0</v>
      </c>
      <c r="AF200" s="868">
        <v>0</v>
      </c>
      <c r="AG200" s="868">
        <v>0</v>
      </c>
      <c r="AH200" s="868">
        <f>IF(U200=AE200+AF200+AG200+AD200,0,AB200)</f>
        <v>18211100</v>
      </c>
      <c r="AI200" s="886">
        <f>IF(U200=AE200+AF200+AG200+AD200+AH200,0,AB200)</f>
        <v>18211100</v>
      </c>
      <c r="AJ200" s="886">
        <f>SUM(AD200:AI200)</f>
        <v>36422200</v>
      </c>
      <c r="AK200" s="868">
        <f t="shared" si="79"/>
        <v>145688800</v>
      </c>
    </row>
    <row r="201" spans="1:37" s="998" customFormat="1" ht="35.25" customHeight="1" x14ac:dyDescent="0.15">
      <c r="A201" s="998">
        <v>161</v>
      </c>
      <c r="B201" s="998" t="str">
        <f t="shared" si="77"/>
        <v>KOTO RAJO - PL. JAMBU</v>
      </c>
      <c r="D201" s="998" t="s">
        <v>3970</v>
      </c>
      <c r="E201" s="999" t="s">
        <v>4247</v>
      </c>
      <c r="F201" s="1000"/>
      <c r="G201" s="1010" t="s">
        <v>1140</v>
      </c>
      <c r="H201" s="1011"/>
      <c r="I201" s="1001" t="s">
        <v>2494</v>
      </c>
      <c r="J201" s="1001">
        <v>0</v>
      </c>
      <c r="K201" s="1001" t="s">
        <v>479</v>
      </c>
      <c r="L201" s="1003">
        <v>2300</v>
      </c>
      <c r="M201" s="1001">
        <v>0</v>
      </c>
      <c r="N201" s="1003">
        <v>0</v>
      </c>
      <c r="O201" s="1001" t="s">
        <v>3082</v>
      </c>
      <c r="P201" s="1168">
        <v>2001</v>
      </c>
      <c r="Q201" s="1001">
        <v>0</v>
      </c>
      <c r="R201" s="1001">
        <v>0</v>
      </c>
      <c r="S201" s="1001" t="s">
        <v>482</v>
      </c>
      <c r="T201" s="1001" t="s">
        <v>12</v>
      </c>
      <c r="U201" s="1002">
        <f>15371093732.3423+H202+H203+H204</f>
        <v>27710674959.295414</v>
      </c>
      <c r="V201" s="1001" t="s">
        <v>43</v>
      </c>
      <c r="W201" s="1001">
        <v>0</v>
      </c>
      <c r="X201" s="1004"/>
      <c r="Y201" s="1005" t="str">
        <f t="shared" si="63"/>
        <v>04.13.01</v>
      </c>
      <c r="Z201" s="1006" t="str">
        <f t="shared" si="64"/>
        <v>Jalan</v>
      </c>
      <c r="AA201" s="1006">
        <f t="shared" si="65"/>
        <v>10</v>
      </c>
      <c r="AB201" s="1007"/>
      <c r="AC201" s="1008">
        <f t="shared" si="66"/>
        <v>10</v>
      </c>
      <c r="AD201" s="1007"/>
      <c r="AE201" s="1007"/>
      <c r="AF201" s="1007"/>
      <c r="AG201" s="1007"/>
      <c r="AH201" s="1007"/>
      <c r="AI201" s="1009">
        <f>PERHITUNGAN!U949</f>
        <v>1362541060.4487331</v>
      </c>
      <c r="AJ201" s="1009">
        <f>PERHITUNGAN!U952</f>
        <v>22749212059.853016</v>
      </c>
      <c r="AK201" s="1007">
        <f t="shared" si="79"/>
        <v>4961462899.4423981</v>
      </c>
    </row>
    <row r="202" spans="1:37" s="857" customFormat="1" ht="35.25" customHeight="1" x14ac:dyDescent="0.15">
      <c r="A202" s="857">
        <v>161</v>
      </c>
      <c r="B202" s="857" t="str">
        <f t="shared" si="77"/>
        <v>KOTO RAJO - PL. JAMBU</v>
      </c>
      <c r="D202" s="857" t="s">
        <v>3971</v>
      </c>
      <c r="E202" s="877" t="s">
        <v>4247</v>
      </c>
      <c r="F202" s="855"/>
      <c r="G202" s="878" t="s">
        <v>1368</v>
      </c>
      <c r="H202" s="879">
        <v>2122086666</v>
      </c>
      <c r="I202" s="880" t="s">
        <v>2494</v>
      </c>
      <c r="J202" s="880">
        <v>0</v>
      </c>
      <c r="K202" s="880">
        <v>0</v>
      </c>
      <c r="L202" s="881">
        <v>0</v>
      </c>
      <c r="M202" s="880">
        <v>0</v>
      </c>
      <c r="N202" s="881">
        <v>0</v>
      </c>
      <c r="O202" s="880" t="s">
        <v>3082</v>
      </c>
      <c r="P202" s="1126">
        <v>2015</v>
      </c>
      <c r="Q202" s="880">
        <v>0</v>
      </c>
      <c r="R202" s="880">
        <v>0</v>
      </c>
      <c r="S202" s="880">
        <v>0</v>
      </c>
      <c r="T202" s="880" t="s">
        <v>12</v>
      </c>
      <c r="U202" s="882"/>
      <c r="V202" s="880">
        <v>0</v>
      </c>
      <c r="W202" s="880">
        <v>0</v>
      </c>
      <c r="X202" s="969"/>
      <c r="Y202" s="883" t="str">
        <f t="shared" si="63"/>
        <v>04.13.01</v>
      </c>
      <c r="Z202" s="884" t="str">
        <f t="shared" si="64"/>
        <v>Jalan</v>
      </c>
      <c r="AA202" s="884">
        <f t="shared" si="65"/>
        <v>10</v>
      </c>
      <c r="AB202" s="868"/>
      <c r="AC202" s="885">
        <f t="shared" si="66"/>
        <v>0</v>
      </c>
      <c r="AD202" s="868"/>
      <c r="AE202" s="868"/>
      <c r="AF202" s="868"/>
      <c r="AG202" s="868"/>
      <c r="AH202" s="868"/>
      <c r="AI202" s="886"/>
      <c r="AJ202" s="886"/>
      <c r="AK202" s="868">
        <f t="shared" si="79"/>
        <v>0</v>
      </c>
    </row>
    <row r="203" spans="1:37" s="857" customFormat="1" ht="35.25" customHeight="1" x14ac:dyDescent="0.15">
      <c r="A203" s="857">
        <v>161</v>
      </c>
      <c r="B203" s="857" t="str">
        <f t="shared" si="77"/>
        <v>KOTO RAJO - PL. JAMBU</v>
      </c>
      <c r="D203" s="857" t="s">
        <v>3972</v>
      </c>
      <c r="E203" s="877" t="s">
        <v>4247</v>
      </c>
      <c r="F203" s="855"/>
      <c r="G203" s="878" t="s">
        <v>1388</v>
      </c>
      <c r="H203" s="879">
        <v>6147420832.6300564</v>
      </c>
      <c r="I203" s="880" t="s">
        <v>2494</v>
      </c>
      <c r="J203" s="880">
        <v>0</v>
      </c>
      <c r="K203" s="880">
        <v>0</v>
      </c>
      <c r="L203" s="881">
        <v>0</v>
      </c>
      <c r="M203" s="880">
        <v>0</v>
      </c>
      <c r="N203" s="881">
        <v>0</v>
      </c>
      <c r="O203" s="880" t="s">
        <v>3082</v>
      </c>
      <c r="P203" s="1126">
        <v>2015</v>
      </c>
      <c r="Q203" s="880">
        <v>0</v>
      </c>
      <c r="R203" s="880">
        <v>0</v>
      </c>
      <c r="S203" s="880">
        <v>0</v>
      </c>
      <c r="T203" s="880" t="s">
        <v>12</v>
      </c>
      <c r="U203" s="882"/>
      <c r="V203" s="880">
        <v>0</v>
      </c>
      <c r="W203" s="880">
        <v>0</v>
      </c>
      <c r="X203" s="969"/>
      <c r="Y203" s="883" t="str">
        <f t="shared" si="63"/>
        <v>04.13.01</v>
      </c>
      <c r="Z203" s="884" t="str">
        <f t="shared" si="64"/>
        <v>Jalan</v>
      </c>
      <c r="AA203" s="884">
        <f t="shared" si="65"/>
        <v>10</v>
      </c>
      <c r="AB203" s="868"/>
      <c r="AC203" s="885">
        <f t="shared" si="66"/>
        <v>0</v>
      </c>
      <c r="AD203" s="868"/>
      <c r="AE203" s="868"/>
      <c r="AF203" s="868"/>
      <c r="AG203" s="868"/>
      <c r="AH203" s="868"/>
      <c r="AI203" s="886"/>
      <c r="AJ203" s="886"/>
      <c r="AK203" s="868">
        <f t="shared" si="79"/>
        <v>0</v>
      </c>
    </row>
    <row r="204" spans="1:37" s="857" customFormat="1" ht="35.25" customHeight="1" x14ac:dyDescent="0.15">
      <c r="A204" s="857">
        <v>161</v>
      </c>
      <c r="B204" s="857" t="str">
        <f t="shared" si="77"/>
        <v>KOTO RAJO - PL. JAMBU</v>
      </c>
      <c r="D204" s="857" t="s">
        <v>3973</v>
      </c>
      <c r="E204" s="877" t="s">
        <v>4247</v>
      </c>
      <c r="F204" s="855"/>
      <c r="G204" s="878" t="s">
        <v>1455</v>
      </c>
      <c r="H204" s="879">
        <v>4070073728.3230543</v>
      </c>
      <c r="I204" s="880" t="s">
        <v>2494</v>
      </c>
      <c r="J204" s="880">
        <v>0</v>
      </c>
      <c r="K204" s="880">
        <v>0</v>
      </c>
      <c r="L204" s="881">
        <v>0</v>
      </c>
      <c r="M204" s="880">
        <v>0</v>
      </c>
      <c r="N204" s="881">
        <v>0</v>
      </c>
      <c r="O204" s="880" t="s">
        <v>3082</v>
      </c>
      <c r="P204" s="1126">
        <v>2016</v>
      </c>
      <c r="Q204" s="880">
        <v>0</v>
      </c>
      <c r="R204" s="880">
        <v>0</v>
      </c>
      <c r="S204" s="880">
        <v>0</v>
      </c>
      <c r="T204" s="880" t="s">
        <v>12</v>
      </c>
      <c r="U204" s="882"/>
      <c r="V204" s="880">
        <v>0</v>
      </c>
      <c r="W204" s="880">
        <v>0</v>
      </c>
      <c r="X204" s="969"/>
      <c r="Y204" s="883" t="str">
        <f t="shared" si="63"/>
        <v>04.13.01</v>
      </c>
      <c r="Z204" s="884" t="str">
        <f t="shared" si="64"/>
        <v>Jalan</v>
      </c>
      <c r="AA204" s="884">
        <f t="shared" si="65"/>
        <v>10</v>
      </c>
      <c r="AB204" s="868"/>
      <c r="AC204" s="885">
        <f t="shared" si="66"/>
        <v>0</v>
      </c>
      <c r="AD204" s="868"/>
      <c r="AE204" s="868"/>
      <c r="AF204" s="868"/>
      <c r="AG204" s="868"/>
      <c r="AH204" s="868"/>
      <c r="AI204" s="886"/>
      <c r="AJ204" s="886"/>
      <c r="AK204" s="868">
        <f t="shared" si="79"/>
        <v>0</v>
      </c>
    </row>
    <row r="205" spans="1:37" s="857" customFormat="1" ht="35.25" customHeight="1" x14ac:dyDescent="0.2">
      <c r="A205" s="857">
        <v>162</v>
      </c>
      <c r="B205" s="857" t="str">
        <f>VLOOKUP(A205,RUAS,2,FALSE)</f>
        <v>KOTO BASERAH - BANUARAN (JBT. BASERAH)</v>
      </c>
      <c r="E205" s="884" t="str">
        <f>RIGHT(D205,1)</f>
        <v/>
      </c>
      <c r="F205" s="855"/>
      <c r="G205" s="878" t="s">
        <v>1179</v>
      </c>
      <c r="H205" s="879"/>
      <c r="I205" s="861" t="s">
        <v>3822</v>
      </c>
      <c r="J205" s="871"/>
      <c r="K205" s="861" t="s">
        <v>835</v>
      </c>
      <c r="L205" s="856"/>
      <c r="M205" s="862"/>
      <c r="N205" s="856"/>
      <c r="O205" s="863" t="s">
        <v>2986</v>
      </c>
      <c r="P205" s="861">
        <v>2007</v>
      </c>
      <c r="Q205" s="862"/>
      <c r="R205" s="862"/>
      <c r="S205" s="862"/>
      <c r="T205" s="862" t="s">
        <v>12</v>
      </c>
      <c r="U205" s="899">
        <v>779831709.96329999</v>
      </c>
      <c r="V205" s="861" t="s">
        <v>43</v>
      </c>
      <c r="W205" s="865"/>
      <c r="X205" s="968"/>
      <c r="Y205" s="884" t="str">
        <f>LEFT(I205,8)</f>
        <v>04.13.02</v>
      </c>
      <c r="Z205" s="884" t="str">
        <f>VLOOKUP(Y205,UE,3,FALSE)</f>
        <v>Jembatan</v>
      </c>
      <c r="AA205" s="884">
        <f>VLOOKUP(Y205,UE,4,FALSE)</f>
        <v>50</v>
      </c>
      <c r="AB205" s="868">
        <f>U205/AA205</f>
        <v>15596634.199266</v>
      </c>
      <c r="AC205" s="885">
        <f>IF(2013-P205+1&gt;AA205,AA205,IF(2013-P205+1&lt;0,0,2013-P205+1))</f>
        <v>7</v>
      </c>
      <c r="AD205" s="868">
        <f>IF(AC205&gt;AA205,U205,AB205*AC205)</f>
        <v>109176439.394862</v>
      </c>
      <c r="AE205" s="868">
        <f>IF(U205=AD205,0,AB205)</f>
        <v>15596634.199266</v>
      </c>
      <c r="AF205" s="868">
        <f>IF(U205=AD205+AE205,0,AB205)</f>
        <v>15596634.199266</v>
      </c>
      <c r="AG205" s="868">
        <f>IF(U205=AD205+AE205+AF205,0,AB205)</f>
        <v>15596634.199266</v>
      </c>
      <c r="AH205" s="868">
        <f>IF(U205=AE205+AF205+AG205+AD205,0,AB205)</f>
        <v>15596634.199266</v>
      </c>
      <c r="AI205" s="886">
        <f>IF(U205=AE205+AF205+AG205+AD205+AH205,0,AB205)</f>
        <v>15596634.199266</v>
      </c>
      <c r="AJ205" s="886">
        <f>SUM(AD205:AI205)</f>
        <v>187159610.39119196</v>
      </c>
      <c r="AK205" s="868">
        <f>U205-AJ205</f>
        <v>592672099.57210803</v>
      </c>
    </row>
    <row r="206" spans="1:37" s="998" customFormat="1" ht="35.25" customHeight="1" x14ac:dyDescent="0.15">
      <c r="A206" s="998">
        <v>163</v>
      </c>
      <c r="B206" s="998" t="str">
        <f t="shared" si="77"/>
        <v>PANGEAN - PL. KUMPAI</v>
      </c>
      <c r="D206" s="998" t="s">
        <v>3974</v>
      </c>
      <c r="E206" s="999" t="s">
        <v>4247</v>
      </c>
      <c r="F206" s="1000"/>
      <c r="G206" s="1010" t="s">
        <v>1144</v>
      </c>
      <c r="H206" s="1011"/>
      <c r="I206" s="1001" t="s">
        <v>3821</v>
      </c>
      <c r="J206" s="1001">
        <v>0</v>
      </c>
      <c r="K206" s="1001" t="s">
        <v>479</v>
      </c>
      <c r="L206" s="1003">
        <v>8000</v>
      </c>
      <c r="M206" s="1001">
        <v>7</v>
      </c>
      <c r="N206" s="1003">
        <v>56000</v>
      </c>
      <c r="O206" s="1001" t="s">
        <v>709</v>
      </c>
      <c r="P206" s="1168">
        <v>2001</v>
      </c>
      <c r="Q206" s="1001">
        <v>0</v>
      </c>
      <c r="R206" s="1001">
        <v>0</v>
      </c>
      <c r="S206" s="1001" t="s">
        <v>482</v>
      </c>
      <c r="T206" s="1001" t="s">
        <v>12</v>
      </c>
      <c r="U206" s="1002">
        <f>4613760526+H207+H208+H209</f>
        <v>10905987614.870594</v>
      </c>
      <c r="V206" s="1001" t="s">
        <v>43</v>
      </c>
      <c r="W206" s="1001">
        <v>0</v>
      </c>
      <c r="X206" s="1004"/>
      <c r="Y206" s="1005" t="str">
        <f t="shared" si="63"/>
        <v>04.13.01</v>
      </c>
      <c r="Z206" s="1006" t="str">
        <f t="shared" si="64"/>
        <v>Jalan</v>
      </c>
      <c r="AA206" s="1006">
        <f t="shared" si="65"/>
        <v>10</v>
      </c>
      <c r="AB206" s="1007"/>
      <c r="AC206" s="1008">
        <f t="shared" si="66"/>
        <v>10</v>
      </c>
      <c r="AD206" s="1007"/>
      <c r="AE206" s="1007"/>
      <c r="AF206" s="1007"/>
      <c r="AG206" s="1007"/>
      <c r="AH206" s="1007"/>
      <c r="AI206" s="1009">
        <f>PERHITUNGAN!U969</f>
        <v>454990052.21480691</v>
      </c>
      <c r="AJ206" s="1009">
        <f>PERHITUNGAN!U974</f>
        <v>8610000745.8143253</v>
      </c>
      <c r="AK206" s="1007">
        <f t="shared" si="79"/>
        <v>2295986869.0562687</v>
      </c>
    </row>
    <row r="207" spans="1:37" s="857" customFormat="1" ht="35.25" customHeight="1" x14ac:dyDescent="0.2">
      <c r="A207" s="857">
        <v>163</v>
      </c>
      <c r="B207" s="857" t="str">
        <f>VLOOKUP(A207,RUAS,2,FALSE)</f>
        <v>PANGEAN - PL. KUMPAI</v>
      </c>
      <c r="E207" s="884" t="str">
        <f>RIGHT(D207,1)</f>
        <v/>
      </c>
      <c r="F207" s="855"/>
      <c r="G207" s="878" t="s">
        <v>1162</v>
      </c>
      <c r="H207" s="879">
        <v>2746245475.7522197</v>
      </c>
      <c r="I207" s="861" t="s">
        <v>2494</v>
      </c>
      <c r="J207" s="871"/>
      <c r="K207" s="861" t="s">
        <v>519</v>
      </c>
      <c r="L207" s="856"/>
      <c r="M207" s="862"/>
      <c r="N207" s="856">
        <v>1000</v>
      </c>
      <c r="O207" s="863" t="s">
        <v>3098</v>
      </c>
      <c r="P207" s="861">
        <v>2007</v>
      </c>
      <c r="Q207" s="862"/>
      <c r="R207" s="862"/>
      <c r="S207" s="862"/>
      <c r="T207" s="862" t="s">
        <v>12</v>
      </c>
      <c r="U207" s="899"/>
      <c r="V207" s="861" t="s">
        <v>43</v>
      </c>
      <c r="W207" s="865"/>
      <c r="X207" s="968"/>
      <c r="Y207" s="884" t="str">
        <f>LEFT(I207,8)</f>
        <v>04.13.01</v>
      </c>
      <c r="Z207" s="884" t="str">
        <f>VLOOKUP(Y207,UE,3,FALSE)</f>
        <v>Jalan</v>
      </c>
      <c r="AA207" s="884">
        <f>VLOOKUP(Y207,UE,4,FALSE)</f>
        <v>10</v>
      </c>
      <c r="AB207" s="868"/>
      <c r="AC207" s="885"/>
      <c r="AD207" s="868"/>
      <c r="AE207" s="868"/>
      <c r="AF207" s="868"/>
      <c r="AG207" s="868"/>
      <c r="AH207" s="868"/>
      <c r="AI207" s="886"/>
      <c r="AJ207" s="886"/>
      <c r="AK207" s="868">
        <f>U207-AJ207</f>
        <v>0</v>
      </c>
    </row>
    <row r="208" spans="1:37" s="857" customFormat="1" ht="35.25" customHeight="1" x14ac:dyDescent="0.15">
      <c r="A208" s="857">
        <v>163</v>
      </c>
      <c r="B208" s="857" t="str">
        <f t="shared" si="77"/>
        <v>PANGEAN - PL. KUMPAI</v>
      </c>
      <c r="D208" s="857" t="s">
        <v>3975</v>
      </c>
      <c r="E208" s="877" t="s">
        <v>4247</v>
      </c>
      <c r="F208" s="855"/>
      <c r="G208" s="878" t="s">
        <v>1259</v>
      </c>
      <c r="H208" s="879">
        <v>1600078073.018373</v>
      </c>
      <c r="I208" s="880" t="s">
        <v>2494</v>
      </c>
      <c r="J208" s="880">
        <v>0</v>
      </c>
      <c r="K208" s="880" t="s">
        <v>519</v>
      </c>
      <c r="L208" s="881">
        <v>0</v>
      </c>
      <c r="M208" s="880">
        <v>0</v>
      </c>
      <c r="N208" s="881">
        <v>0</v>
      </c>
      <c r="O208" s="880" t="s">
        <v>709</v>
      </c>
      <c r="P208" s="1126">
        <v>2012</v>
      </c>
      <c r="Q208" s="880">
        <v>0</v>
      </c>
      <c r="R208" s="880">
        <v>0</v>
      </c>
      <c r="S208" s="880">
        <v>0</v>
      </c>
      <c r="T208" s="880" t="s">
        <v>12</v>
      </c>
      <c r="U208" s="882"/>
      <c r="V208" s="880" t="s">
        <v>43</v>
      </c>
      <c r="W208" s="880">
        <v>0</v>
      </c>
      <c r="X208" s="969"/>
      <c r="Y208" s="883" t="str">
        <f t="shared" si="63"/>
        <v>04.13.01</v>
      </c>
      <c r="Z208" s="884" t="str">
        <f t="shared" si="64"/>
        <v>Jalan</v>
      </c>
      <c r="AA208" s="884">
        <f t="shared" si="65"/>
        <v>10</v>
      </c>
      <c r="AB208" s="868"/>
      <c r="AC208" s="885">
        <f t="shared" si="66"/>
        <v>1</v>
      </c>
      <c r="AD208" s="868"/>
      <c r="AE208" s="868"/>
      <c r="AF208" s="868"/>
      <c r="AG208" s="868"/>
      <c r="AH208" s="868"/>
      <c r="AI208" s="886"/>
      <c r="AJ208" s="886"/>
      <c r="AK208" s="868">
        <f t="shared" si="79"/>
        <v>0</v>
      </c>
    </row>
    <row r="209" spans="1:37" s="857" customFormat="1" ht="35.25" customHeight="1" x14ac:dyDescent="0.15">
      <c r="A209" s="857">
        <v>163</v>
      </c>
      <c r="B209" s="857" t="str">
        <f t="shared" si="77"/>
        <v>PANGEAN - PL. KUMPAI</v>
      </c>
      <c r="D209" s="857" t="s">
        <v>3976</v>
      </c>
      <c r="E209" s="877" t="s">
        <v>4247</v>
      </c>
      <c r="F209" s="855"/>
      <c r="G209" s="878" t="s">
        <v>1441</v>
      </c>
      <c r="H209" s="879">
        <v>1945903540.0999999</v>
      </c>
      <c r="I209" s="880" t="s">
        <v>2494</v>
      </c>
      <c r="J209" s="880">
        <v>0</v>
      </c>
      <c r="K209" s="880">
        <v>0</v>
      </c>
      <c r="L209" s="881">
        <v>0</v>
      </c>
      <c r="M209" s="880">
        <v>0</v>
      </c>
      <c r="N209" s="881">
        <v>0</v>
      </c>
      <c r="O209" s="880" t="s">
        <v>709</v>
      </c>
      <c r="P209" s="1126">
        <v>2016</v>
      </c>
      <c r="Q209" s="880">
        <v>0</v>
      </c>
      <c r="R209" s="880">
        <v>0</v>
      </c>
      <c r="S209" s="880">
        <v>0</v>
      </c>
      <c r="T209" s="880" t="s">
        <v>12</v>
      </c>
      <c r="U209" s="882"/>
      <c r="V209" s="880">
        <v>0</v>
      </c>
      <c r="W209" s="880">
        <v>0</v>
      </c>
      <c r="X209" s="969"/>
      <c r="Y209" s="883" t="str">
        <f t="shared" si="63"/>
        <v>04.13.01</v>
      </c>
      <c r="Z209" s="884" t="str">
        <f t="shared" si="64"/>
        <v>Jalan</v>
      </c>
      <c r="AA209" s="884">
        <f t="shared" si="65"/>
        <v>10</v>
      </c>
      <c r="AB209" s="868"/>
      <c r="AC209" s="885">
        <f t="shared" si="66"/>
        <v>0</v>
      </c>
      <c r="AD209" s="868"/>
      <c r="AE209" s="868"/>
      <c r="AF209" s="868"/>
      <c r="AG209" s="868"/>
      <c r="AH209" s="868"/>
      <c r="AI209" s="886"/>
      <c r="AJ209" s="886"/>
      <c r="AK209" s="868">
        <f t="shared" si="79"/>
        <v>0</v>
      </c>
    </row>
    <row r="210" spans="1:37" s="998" customFormat="1" ht="35.25" customHeight="1" x14ac:dyDescent="0.15">
      <c r="A210" s="998">
        <v>164</v>
      </c>
      <c r="B210" s="998" t="str">
        <f t="shared" si="77"/>
        <v>PANGEAN - BATAS PELALAWAN</v>
      </c>
      <c r="D210" s="998" t="s">
        <v>4092</v>
      </c>
      <c r="E210" s="999" t="s">
        <v>4247</v>
      </c>
      <c r="F210" s="1000"/>
      <c r="G210" s="1010" t="s">
        <v>529</v>
      </c>
      <c r="H210" s="1011"/>
      <c r="I210" s="1001" t="s">
        <v>2494</v>
      </c>
      <c r="J210" s="1001">
        <v>0</v>
      </c>
      <c r="K210" s="1001" t="s">
        <v>479</v>
      </c>
      <c r="L210" s="1003" t="s">
        <v>637</v>
      </c>
      <c r="M210" s="1001">
        <v>0</v>
      </c>
      <c r="N210" s="1003">
        <v>0</v>
      </c>
      <c r="O210" s="1001" t="s">
        <v>4188</v>
      </c>
      <c r="P210" s="1168">
        <v>2001</v>
      </c>
      <c r="Q210" s="1001">
        <v>0</v>
      </c>
      <c r="R210" s="1001">
        <v>0</v>
      </c>
      <c r="S210" s="1001" t="s">
        <v>482</v>
      </c>
      <c r="T210" s="1001" t="s">
        <v>12</v>
      </c>
      <c r="U210" s="1002">
        <f>1848000000+H211+H212+H213+H214+H215+H216</f>
        <v>30504952496.136169</v>
      </c>
      <c r="V210" s="1001" t="s">
        <v>43</v>
      </c>
      <c r="W210" s="1001">
        <v>0</v>
      </c>
      <c r="X210" s="1004"/>
      <c r="Y210" s="1005" t="str">
        <f t="shared" si="63"/>
        <v>04.13.01</v>
      </c>
      <c r="Z210" s="1006" t="str">
        <f t="shared" si="64"/>
        <v>Jalan</v>
      </c>
      <c r="AA210" s="1006">
        <f t="shared" si="65"/>
        <v>10</v>
      </c>
      <c r="AB210" s="1007"/>
      <c r="AC210" s="1008">
        <f t="shared" si="66"/>
        <v>10</v>
      </c>
      <c r="AD210" s="1007"/>
      <c r="AE210" s="1007"/>
      <c r="AF210" s="1007"/>
      <c r="AG210" s="1007"/>
      <c r="AH210" s="1007"/>
      <c r="AI210" s="1009">
        <f>PERHITUNGAN!U996</f>
        <v>2243878652.1951437</v>
      </c>
      <c r="AJ210" s="1009">
        <f>PERHITUNGAN!U999</f>
        <v>19188599729.33453</v>
      </c>
      <c r="AK210" s="1007">
        <f t="shared" si="79"/>
        <v>11316352766.80164</v>
      </c>
    </row>
    <row r="211" spans="1:37" s="857" customFormat="1" ht="35.25" customHeight="1" x14ac:dyDescent="0.15">
      <c r="A211" s="857">
        <v>164</v>
      </c>
      <c r="B211" s="857" t="str">
        <f t="shared" si="77"/>
        <v>PANGEAN - BATAS PELALAWAN</v>
      </c>
      <c r="D211" s="857" t="s">
        <v>4093</v>
      </c>
      <c r="E211" s="877" t="s">
        <v>4247</v>
      </c>
      <c r="F211" s="855"/>
      <c r="G211" s="878" t="s">
        <v>1164</v>
      </c>
      <c r="H211" s="879">
        <v>5825831760.3196297</v>
      </c>
      <c r="I211" s="880" t="s">
        <v>2494</v>
      </c>
      <c r="J211" s="880">
        <v>0</v>
      </c>
      <c r="K211" s="880" t="s">
        <v>519</v>
      </c>
      <c r="L211" s="881">
        <v>0</v>
      </c>
      <c r="M211" s="880">
        <v>0</v>
      </c>
      <c r="N211" s="881">
        <v>0</v>
      </c>
      <c r="O211" s="880" t="s">
        <v>3100</v>
      </c>
      <c r="P211" s="1126">
        <v>2007</v>
      </c>
      <c r="Q211" s="880">
        <v>0</v>
      </c>
      <c r="R211" s="880">
        <v>0</v>
      </c>
      <c r="S211" s="880">
        <v>0</v>
      </c>
      <c r="T211" s="880" t="s">
        <v>12</v>
      </c>
      <c r="U211" s="882"/>
      <c r="V211" s="880" t="s">
        <v>43</v>
      </c>
      <c r="W211" s="880">
        <v>0</v>
      </c>
      <c r="X211" s="969"/>
      <c r="Y211" s="883" t="str">
        <f t="shared" si="63"/>
        <v>04.13.01</v>
      </c>
      <c r="Z211" s="884" t="str">
        <f t="shared" si="64"/>
        <v>Jalan</v>
      </c>
      <c r="AA211" s="884">
        <f t="shared" si="65"/>
        <v>10</v>
      </c>
      <c r="AB211" s="868"/>
      <c r="AC211" s="885">
        <f t="shared" si="66"/>
        <v>6</v>
      </c>
      <c r="AD211" s="868"/>
      <c r="AE211" s="868"/>
      <c r="AF211" s="868"/>
      <c r="AG211" s="868"/>
      <c r="AH211" s="868"/>
      <c r="AI211" s="886"/>
      <c r="AJ211" s="886"/>
      <c r="AK211" s="868"/>
    </row>
    <row r="212" spans="1:37" s="857" customFormat="1" ht="35.25" customHeight="1" x14ac:dyDescent="0.15">
      <c r="A212" s="857">
        <v>164</v>
      </c>
      <c r="B212" s="857" t="str">
        <f t="shared" si="77"/>
        <v>PANGEAN - BATAS PELALAWAN</v>
      </c>
      <c r="D212" s="857" t="s">
        <v>4094</v>
      </c>
      <c r="E212" s="877" t="s">
        <v>4247</v>
      </c>
      <c r="F212" s="855"/>
      <c r="G212" s="878" t="s">
        <v>1194</v>
      </c>
      <c r="H212" s="879">
        <v>1327353361.6165369</v>
      </c>
      <c r="I212" s="880" t="s">
        <v>2494</v>
      </c>
      <c r="J212" s="880">
        <v>0</v>
      </c>
      <c r="K212" s="880">
        <v>0</v>
      </c>
      <c r="L212" s="881">
        <v>0</v>
      </c>
      <c r="M212" s="880">
        <v>0</v>
      </c>
      <c r="N212" s="881">
        <v>0</v>
      </c>
      <c r="O212" s="880" t="s">
        <v>3100</v>
      </c>
      <c r="P212" s="1126">
        <v>2007</v>
      </c>
      <c r="Q212" s="880">
        <v>0</v>
      </c>
      <c r="R212" s="880">
        <v>0</v>
      </c>
      <c r="S212" s="880">
        <v>0</v>
      </c>
      <c r="T212" s="880" t="s">
        <v>12</v>
      </c>
      <c r="U212" s="882"/>
      <c r="V212" s="880" t="s">
        <v>43</v>
      </c>
      <c r="W212" s="880">
        <v>0</v>
      </c>
      <c r="X212" s="969"/>
      <c r="Y212" s="883" t="str">
        <f t="shared" si="63"/>
        <v>04.13.01</v>
      </c>
      <c r="Z212" s="884" t="str">
        <f t="shared" si="64"/>
        <v>Jalan</v>
      </c>
      <c r="AA212" s="884">
        <f t="shared" si="65"/>
        <v>10</v>
      </c>
      <c r="AB212" s="868"/>
      <c r="AC212" s="885">
        <f t="shared" si="66"/>
        <v>6</v>
      </c>
      <c r="AD212" s="868"/>
      <c r="AE212" s="868"/>
      <c r="AF212" s="868"/>
      <c r="AG212" s="868"/>
      <c r="AH212" s="868"/>
      <c r="AI212" s="886"/>
      <c r="AJ212" s="886"/>
      <c r="AK212" s="868"/>
    </row>
    <row r="213" spans="1:37" s="857" customFormat="1" ht="35.25" customHeight="1" x14ac:dyDescent="0.15">
      <c r="A213" s="857">
        <v>164</v>
      </c>
      <c r="B213" s="857" t="str">
        <f t="shared" si="77"/>
        <v>PANGEAN - BATAS PELALAWAN</v>
      </c>
      <c r="D213" s="857" t="s">
        <v>4095</v>
      </c>
      <c r="E213" s="877" t="s">
        <v>4247</v>
      </c>
      <c r="F213" s="855"/>
      <c r="G213" s="878" t="s">
        <v>1280</v>
      </c>
      <c r="H213" s="879">
        <v>1768063472</v>
      </c>
      <c r="I213" s="880" t="s">
        <v>2494</v>
      </c>
      <c r="J213" s="880">
        <v>0</v>
      </c>
      <c r="K213" s="880" t="s">
        <v>519</v>
      </c>
      <c r="L213" s="881">
        <v>0</v>
      </c>
      <c r="M213" s="880">
        <v>0</v>
      </c>
      <c r="N213" s="881">
        <v>0</v>
      </c>
      <c r="O213" s="880" t="s">
        <v>3100</v>
      </c>
      <c r="P213" s="1126">
        <v>2013</v>
      </c>
      <c r="Q213" s="880">
        <v>0</v>
      </c>
      <c r="R213" s="880">
        <v>0</v>
      </c>
      <c r="S213" s="880">
        <v>0</v>
      </c>
      <c r="T213" s="880" t="s">
        <v>12</v>
      </c>
      <c r="U213" s="882"/>
      <c r="V213" s="880">
        <v>0</v>
      </c>
      <c r="W213" s="880">
        <v>0</v>
      </c>
      <c r="X213" s="969"/>
      <c r="Y213" s="883" t="str">
        <f t="shared" si="63"/>
        <v>04.13.01</v>
      </c>
      <c r="Z213" s="884" t="str">
        <f t="shared" si="64"/>
        <v>Jalan</v>
      </c>
      <c r="AA213" s="884">
        <f t="shared" si="65"/>
        <v>10</v>
      </c>
      <c r="AB213" s="868"/>
      <c r="AC213" s="885">
        <f t="shared" si="66"/>
        <v>0</v>
      </c>
      <c r="AD213" s="868"/>
      <c r="AE213" s="868"/>
      <c r="AF213" s="868"/>
      <c r="AG213" s="868"/>
      <c r="AH213" s="868"/>
      <c r="AI213" s="886"/>
      <c r="AJ213" s="886"/>
      <c r="AK213" s="868"/>
    </row>
    <row r="214" spans="1:37" s="857" customFormat="1" ht="35.25" customHeight="1" x14ac:dyDescent="0.15">
      <c r="A214" s="857">
        <v>164</v>
      </c>
      <c r="B214" s="857" t="str">
        <f t="shared" si="77"/>
        <v>PANGEAN - BATAS PELALAWAN</v>
      </c>
      <c r="D214" s="857" t="s">
        <v>4096</v>
      </c>
      <c r="E214" s="877" t="s">
        <v>4247</v>
      </c>
      <c r="F214" s="855"/>
      <c r="G214" s="878" t="s">
        <v>1358</v>
      </c>
      <c r="H214" s="879">
        <v>8656542443.2000008</v>
      </c>
      <c r="I214" s="880" t="s">
        <v>2494</v>
      </c>
      <c r="J214" s="880">
        <v>0</v>
      </c>
      <c r="K214" s="880">
        <v>0</v>
      </c>
      <c r="L214" s="881">
        <v>0</v>
      </c>
      <c r="M214" s="880">
        <v>0</v>
      </c>
      <c r="N214" s="881">
        <v>0</v>
      </c>
      <c r="O214" s="880" t="s">
        <v>3100</v>
      </c>
      <c r="P214" s="1126">
        <v>2015</v>
      </c>
      <c r="Q214" s="880">
        <v>0</v>
      </c>
      <c r="R214" s="880">
        <v>0</v>
      </c>
      <c r="S214" s="880">
        <v>0</v>
      </c>
      <c r="T214" s="880" t="s">
        <v>12</v>
      </c>
      <c r="U214" s="882"/>
      <c r="V214" s="880">
        <v>0</v>
      </c>
      <c r="W214" s="880">
        <v>0</v>
      </c>
      <c r="X214" s="969"/>
      <c r="Y214" s="883" t="str">
        <f t="shared" si="63"/>
        <v>04.13.01</v>
      </c>
      <c r="Z214" s="884" t="str">
        <f t="shared" si="64"/>
        <v>Jalan</v>
      </c>
      <c r="AA214" s="884">
        <f t="shared" si="65"/>
        <v>10</v>
      </c>
      <c r="AB214" s="868"/>
      <c r="AC214" s="885">
        <f t="shared" si="66"/>
        <v>0</v>
      </c>
      <c r="AD214" s="868"/>
      <c r="AE214" s="868"/>
      <c r="AF214" s="868"/>
      <c r="AG214" s="868"/>
      <c r="AH214" s="868"/>
      <c r="AI214" s="886"/>
      <c r="AJ214" s="886"/>
      <c r="AK214" s="868"/>
    </row>
    <row r="215" spans="1:37" s="857" customFormat="1" ht="35.25" customHeight="1" x14ac:dyDescent="0.15">
      <c r="A215" s="857">
        <v>164</v>
      </c>
      <c r="B215" s="857" t="str">
        <f t="shared" si="77"/>
        <v>PANGEAN - BATAS PELALAWAN</v>
      </c>
      <c r="D215" s="857" t="s">
        <v>4097</v>
      </c>
      <c r="E215" s="877" t="s">
        <v>4247</v>
      </c>
      <c r="F215" s="855"/>
      <c r="G215" s="878" t="s">
        <v>1446</v>
      </c>
      <c r="H215" s="879">
        <v>5591436679.1599998</v>
      </c>
      <c r="I215" s="880" t="s">
        <v>2494</v>
      </c>
      <c r="J215" s="880">
        <v>0</v>
      </c>
      <c r="K215" s="880">
        <v>0</v>
      </c>
      <c r="L215" s="881">
        <v>0</v>
      </c>
      <c r="M215" s="880">
        <v>0</v>
      </c>
      <c r="N215" s="881">
        <v>0</v>
      </c>
      <c r="O215" s="880" t="s">
        <v>3100</v>
      </c>
      <c r="P215" s="1126">
        <v>2016</v>
      </c>
      <c r="Q215" s="880">
        <v>0</v>
      </c>
      <c r="R215" s="880">
        <v>0</v>
      </c>
      <c r="S215" s="880">
        <v>0</v>
      </c>
      <c r="T215" s="880" t="s">
        <v>12</v>
      </c>
      <c r="U215" s="882"/>
      <c r="V215" s="880">
        <v>0</v>
      </c>
      <c r="W215" s="880">
        <v>0</v>
      </c>
      <c r="X215" s="969"/>
      <c r="Y215" s="883" t="str">
        <f t="shared" si="63"/>
        <v>04.13.01</v>
      </c>
      <c r="Z215" s="884" t="str">
        <f t="shared" si="64"/>
        <v>Jalan</v>
      </c>
      <c r="AA215" s="884">
        <f t="shared" si="65"/>
        <v>10</v>
      </c>
      <c r="AB215" s="868"/>
      <c r="AC215" s="885">
        <f t="shared" si="66"/>
        <v>0</v>
      </c>
      <c r="AD215" s="868"/>
      <c r="AE215" s="868"/>
      <c r="AF215" s="868"/>
      <c r="AG215" s="868"/>
      <c r="AH215" s="868"/>
      <c r="AI215" s="886"/>
      <c r="AJ215" s="886"/>
      <c r="AK215" s="868"/>
    </row>
    <row r="216" spans="1:37" s="857" customFormat="1" ht="35.25" customHeight="1" x14ac:dyDescent="0.15">
      <c r="A216" s="857">
        <v>164</v>
      </c>
      <c r="B216" s="857" t="str">
        <f t="shared" si="77"/>
        <v>PANGEAN - BATAS PELALAWAN</v>
      </c>
      <c r="D216" s="857" t="s">
        <v>4098</v>
      </c>
      <c r="E216" s="877" t="s">
        <v>4247</v>
      </c>
      <c r="F216" s="855"/>
      <c r="G216" s="878" t="s">
        <v>1447</v>
      </c>
      <c r="H216" s="879">
        <v>5487724779.8400002</v>
      </c>
      <c r="I216" s="880" t="s">
        <v>2494</v>
      </c>
      <c r="J216" s="880">
        <v>0</v>
      </c>
      <c r="K216" s="880">
        <v>0</v>
      </c>
      <c r="L216" s="881">
        <v>0</v>
      </c>
      <c r="M216" s="880">
        <v>0</v>
      </c>
      <c r="N216" s="881">
        <v>0</v>
      </c>
      <c r="O216" s="880" t="s">
        <v>3100</v>
      </c>
      <c r="P216" s="1126">
        <v>2016</v>
      </c>
      <c r="Q216" s="880">
        <v>0</v>
      </c>
      <c r="R216" s="880">
        <v>0</v>
      </c>
      <c r="S216" s="880">
        <v>0</v>
      </c>
      <c r="T216" s="880" t="s">
        <v>12</v>
      </c>
      <c r="U216" s="882"/>
      <c r="V216" s="880">
        <v>0</v>
      </c>
      <c r="W216" s="880">
        <v>0</v>
      </c>
      <c r="X216" s="969"/>
      <c r="Y216" s="883" t="str">
        <f t="shared" si="63"/>
        <v>04.13.01</v>
      </c>
      <c r="Z216" s="884" t="str">
        <f t="shared" si="64"/>
        <v>Jalan</v>
      </c>
      <c r="AA216" s="884">
        <f t="shared" si="65"/>
        <v>10</v>
      </c>
      <c r="AB216" s="868"/>
      <c r="AC216" s="885">
        <f t="shared" si="66"/>
        <v>0</v>
      </c>
      <c r="AD216" s="868"/>
      <c r="AE216" s="868"/>
      <c r="AF216" s="868"/>
      <c r="AG216" s="868"/>
      <c r="AH216" s="868"/>
      <c r="AI216" s="886"/>
      <c r="AJ216" s="886"/>
      <c r="AK216" s="868"/>
    </row>
    <row r="217" spans="1:37" s="998" customFormat="1" ht="35.25" customHeight="1" x14ac:dyDescent="0.15">
      <c r="A217" s="998">
        <v>165</v>
      </c>
      <c r="B217" s="998" t="str">
        <f t="shared" si="77"/>
        <v>SAKO - TRANS SKP II</v>
      </c>
      <c r="D217" s="998" t="s">
        <v>3977</v>
      </c>
      <c r="E217" s="999" t="s">
        <v>4247</v>
      </c>
      <c r="F217" s="1000"/>
      <c r="G217" s="1010" t="s">
        <v>529</v>
      </c>
      <c r="H217" s="1011"/>
      <c r="I217" s="1001" t="s">
        <v>2494</v>
      </c>
      <c r="J217" s="1001">
        <v>0</v>
      </c>
      <c r="K217" s="1001" t="s">
        <v>479</v>
      </c>
      <c r="L217" s="1003" t="s">
        <v>639</v>
      </c>
      <c r="M217" s="1001">
        <v>0</v>
      </c>
      <c r="N217" s="1003">
        <v>0</v>
      </c>
      <c r="O217" s="1001" t="s">
        <v>640</v>
      </c>
      <c r="P217" s="1168">
        <v>2001</v>
      </c>
      <c r="Q217" s="1001">
        <v>0</v>
      </c>
      <c r="R217" s="1001">
        <v>0</v>
      </c>
      <c r="S217" s="1001" t="s">
        <v>482</v>
      </c>
      <c r="T217" s="1001" t="s">
        <v>12</v>
      </c>
      <c r="U217" s="1002">
        <f>4200000000+H218+H219+H220+H221+H222+H223+H224+H225+H226</f>
        <v>21808033833.429073</v>
      </c>
      <c r="V217" s="1001" t="s">
        <v>135</v>
      </c>
      <c r="W217" s="1001">
        <v>0</v>
      </c>
      <c r="X217" s="1004"/>
      <c r="Y217" s="1005" t="str">
        <f t="shared" si="63"/>
        <v>04.13.01</v>
      </c>
      <c r="Z217" s="1006" t="str">
        <f t="shared" si="64"/>
        <v>Jalan</v>
      </c>
      <c r="AA217" s="1006">
        <f t="shared" si="65"/>
        <v>10</v>
      </c>
      <c r="AB217" s="1007"/>
      <c r="AC217" s="1008">
        <f t="shared" si="66"/>
        <v>10</v>
      </c>
      <c r="AD217" s="1007"/>
      <c r="AE217" s="1007"/>
      <c r="AF217" s="1007"/>
      <c r="AG217" s="1007"/>
      <c r="AH217" s="1007"/>
      <c r="AI217" s="1009">
        <f>PERHITUNGAN!U1022</f>
        <v>1108818950.2516804</v>
      </c>
      <c r="AJ217" s="1009">
        <f>PERHITUNGAN!U1027</f>
        <v>15175691563.533182</v>
      </c>
      <c r="AK217" s="1007">
        <f t="shared" ref="AK217:AK224" si="80">U217-AJ217</f>
        <v>6632342269.8958912</v>
      </c>
    </row>
    <row r="218" spans="1:37" s="857" customFormat="1" ht="35.25" customHeight="1" x14ac:dyDescent="0.15">
      <c r="A218" s="857">
        <v>165</v>
      </c>
      <c r="B218" s="857" t="str">
        <f t="shared" si="77"/>
        <v>SAKO - TRANS SKP II</v>
      </c>
      <c r="D218" s="857" t="s">
        <v>3978</v>
      </c>
      <c r="E218" s="877" t="s">
        <v>4247</v>
      </c>
      <c r="F218" s="855"/>
      <c r="G218" s="878" t="s">
        <v>529</v>
      </c>
      <c r="H218" s="879">
        <v>4992000000</v>
      </c>
      <c r="I218" s="880" t="s">
        <v>2494</v>
      </c>
      <c r="J218" s="880">
        <v>0</v>
      </c>
      <c r="K218" s="880" t="s">
        <v>484</v>
      </c>
      <c r="L218" s="881" t="s">
        <v>639</v>
      </c>
      <c r="M218" s="880">
        <v>0</v>
      </c>
      <c r="N218" s="881">
        <v>0</v>
      </c>
      <c r="O218" s="880" t="s">
        <v>640</v>
      </c>
      <c r="P218" s="1126">
        <v>2001</v>
      </c>
      <c r="Q218" s="880">
        <v>0</v>
      </c>
      <c r="R218" s="880">
        <v>0</v>
      </c>
      <c r="S218" s="880" t="s">
        <v>482</v>
      </c>
      <c r="T218" s="880" t="s">
        <v>12</v>
      </c>
      <c r="U218" s="882"/>
      <c r="V218" s="880" t="s">
        <v>43</v>
      </c>
      <c r="W218" s="880">
        <v>0</v>
      </c>
      <c r="X218" s="969"/>
      <c r="Y218" s="883" t="str">
        <f t="shared" si="63"/>
        <v>04.13.01</v>
      </c>
      <c r="Z218" s="884" t="str">
        <f t="shared" si="64"/>
        <v>Jalan</v>
      </c>
      <c r="AA218" s="884">
        <f t="shared" si="65"/>
        <v>10</v>
      </c>
      <c r="AB218" s="868"/>
      <c r="AC218" s="885">
        <f t="shared" si="66"/>
        <v>10</v>
      </c>
      <c r="AD218" s="868"/>
      <c r="AE218" s="868"/>
      <c r="AF218" s="868"/>
      <c r="AG218" s="868"/>
      <c r="AH218" s="868"/>
      <c r="AI218" s="886"/>
      <c r="AJ218" s="886"/>
      <c r="AK218" s="868">
        <f t="shared" si="80"/>
        <v>0</v>
      </c>
    </row>
    <row r="219" spans="1:37" s="857" customFormat="1" ht="35.25" customHeight="1" x14ac:dyDescent="0.15">
      <c r="A219" s="857">
        <v>165</v>
      </c>
      <c r="B219" s="857" t="str">
        <f t="shared" si="77"/>
        <v>SAKO - TRANS SKP II</v>
      </c>
      <c r="D219" s="857" t="s">
        <v>3979</v>
      </c>
      <c r="E219" s="877" t="s">
        <v>4247</v>
      </c>
      <c r="F219" s="855"/>
      <c r="G219" s="878" t="s">
        <v>1172</v>
      </c>
      <c r="H219" s="879">
        <v>732909624.99453104</v>
      </c>
      <c r="I219" s="880" t="s">
        <v>2494</v>
      </c>
      <c r="J219" s="880">
        <v>0</v>
      </c>
      <c r="K219" s="880" t="s">
        <v>835</v>
      </c>
      <c r="L219" s="881">
        <v>3</v>
      </c>
      <c r="M219" s="880">
        <v>3</v>
      </c>
      <c r="N219" s="881">
        <v>9</v>
      </c>
      <c r="O219" s="880" t="s">
        <v>3106</v>
      </c>
      <c r="P219" s="1126">
        <v>2007</v>
      </c>
      <c r="Q219" s="880">
        <v>0</v>
      </c>
      <c r="R219" s="880">
        <v>0</v>
      </c>
      <c r="S219" s="880">
        <v>0</v>
      </c>
      <c r="T219" s="880" t="s">
        <v>12</v>
      </c>
      <c r="U219" s="882"/>
      <c r="V219" s="880" t="s">
        <v>43</v>
      </c>
      <c r="W219" s="880">
        <v>0</v>
      </c>
      <c r="X219" s="969"/>
      <c r="Y219" s="883" t="str">
        <f t="shared" si="63"/>
        <v>04.13.01</v>
      </c>
      <c r="Z219" s="884" t="str">
        <f t="shared" si="64"/>
        <v>Jalan</v>
      </c>
      <c r="AA219" s="884">
        <f t="shared" si="65"/>
        <v>10</v>
      </c>
      <c r="AB219" s="868"/>
      <c r="AC219" s="885">
        <f t="shared" si="66"/>
        <v>6</v>
      </c>
      <c r="AD219" s="868"/>
      <c r="AE219" s="868"/>
      <c r="AF219" s="868"/>
      <c r="AG219" s="868"/>
      <c r="AH219" s="868"/>
      <c r="AI219" s="886"/>
      <c r="AJ219" s="886"/>
      <c r="AK219" s="868">
        <f t="shared" si="80"/>
        <v>0</v>
      </c>
    </row>
    <row r="220" spans="1:37" s="857" customFormat="1" ht="35.25" customHeight="1" x14ac:dyDescent="0.15">
      <c r="A220" s="857">
        <v>165</v>
      </c>
      <c r="B220" s="857" t="str">
        <f t="shared" si="77"/>
        <v>SAKO - TRANS SKP II</v>
      </c>
      <c r="D220" s="857" t="s">
        <v>3980</v>
      </c>
      <c r="E220" s="877" t="s">
        <v>4247</v>
      </c>
      <c r="F220" s="855"/>
      <c r="G220" s="878" t="s">
        <v>1230</v>
      </c>
      <c r="H220" s="879">
        <v>56964700</v>
      </c>
      <c r="I220" s="880" t="s">
        <v>2494</v>
      </c>
      <c r="J220" s="880">
        <v>0</v>
      </c>
      <c r="K220" s="880" t="s">
        <v>519</v>
      </c>
      <c r="L220" s="881">
        <v>0</v>
      </c>
      <c r="M220" s="880">
        <v>0</v>
      </c>
      <c r="N220" s="881">
        <v>2000</v>
      </c>
      <c r="O220" s="880" t="s">
        <v>3138</v>
      </c>
      <c r="P220" s="1126">
        <v>2011</v>
      </c>
      <c r="Q220" s="880">
        <v>0</v>
      </c>
      <c r="R220" s="880">
        <v>0</v>
      </c>
      <c r="S220" s="880">
        <v>0</v>
      </c>
      <c r="T220" s="880" t="s">
        <v>12</v>
      </c>
      <c r="U220" s="882"/>
      <c r="V220" s="880" t="s">
        <v>43</v>
      </c>
      <c r="W220" s="880">
        <v>0</v>
      </c>
      <c r="X220" s="969"/>
      <c r="Y220" s="883" t="str">
        <f t="shared" si="63"/>
        <v>04.13.01</v>
      </c>
      <c r="Z220" s="884" t="str">
        <f t="shared" si="64"/>
        <v>Jalan</v>
      </c>
      <c r="AA220" s="884">
        <f t="shared" si="65"/>
        <v>10</v>
      </c>
      <c r="AB220" s="868"/>
      <c r="AC220" s="885">
        <f t="shared" si="66"/>
        <v>2</v>
      </c>
      <c r="AD220" s="868"/>
      <c r="AE220" s="868"/>
      <c r="AF220" s="868"/>
      <c r="AG220" s="868"/>
      <c r="AH220" s="868"/>
      <c r="AI220" s="886"/>
      <c r="AJ220" s="886"/>
      <c r="AK220" s="868">
        <f t="shared" si="80"/>
        <v>0</v>
      </c>
    </row>
    <row r="221" spans="1:37" s="857" customFormat="1" ht="35.25" customHeight="1" x14ac:dyDescent="0.15">
      <c r="A221" s="857">
        <v>165</v>
      </c>
      <c r="B221" s="857" t="str">
        <f t="shared" si="77"/>
        <v>SAKO - TRANS SKP II</v>
      </c>
      <c r="D221" s="857" t="s">
        <v>3981</v>
      </c>
      <c r="E221" s="877" t="s">
        <v>4247</v>
      </c>
      <c r="F221" s="855"/>
      <c r="G221" s="878" t="s">
        <v>1231</v>
      </c>
      <c r="H221" s="879">
        <v>1798246935</v>
      </c>
      <c r="I221" s="880" t="s">
        <v>2494</v>
      </c>
      <c r="J221" s="880">
        <v>0</v>
      </c>
      <c r="K221" s="880" t="s">
        <v>519</v>
      </c>
      <c r="L221" s="881">
        <v>0</v>
      </c>
      <c r="M221" s="880">
        <v>0</v>
      </c>
      <c r="N221" s="881">
        <v>670</v>
      </c>
      <c r="O221" s="880" t="s">
        <v>3139</v>
      </c>
      <c r="P221" s="1126">
        <v>2011</v>
      </c>
      <c r="Q221" s="880">
        <v>0</v>
      </c>
      <c r="R221" s="880">
        <v>0</v>
      </c>
      <c r="S221" s="880">
        <v>0</v>
      </c>
      <c r="T221" s="880" t="s">
        <v>12</v>
      </c>
      <c r="U221" s="882"/>
      <c r="V221" s="880" t="s">
        <v>43</v>
      </c>
      <c r="W221" s="880">
        <v>0</v>
      </c>
      <c r="X221" s="969"/>
      <c r="Y221" s="883" t="str">
        <f t="shared" si="63"/>
        <v>04.13.01</v>
      </c>
      <c r="Z221" s="884" t="str">
        <f t="shared" si="64"/>
        <v>Jalan</v>
      </c>
      <c r="AA221" s="884">
        <f t="shared" si="65"/>
        <v>10</v>
      </c>
      <c r="AB221" s="868"/>
      <c r="AC221" s="885">
        <f t="shared" si="66"/>
        <v>2</v>
      </c>
      <c r="AD221" s="868"/>
      <c r="AE221" s="868"/>
      <c r="AF221" s="868"/>
      <c r="AG221" s="868"/>
      <c r="AH221" s="868"/>
      <c r="AI221" s="886"/>
      <c r="AJ221" s="886"/>
      <c r="AK221" s="868">
        <f t="shared" si="80"/>
        <v>0</v>
      </c>
    </row>
    <row r="222" spans="1:37" s="857" customFormat="1" ht="35.25" customHeight="1" x14ac:dyDescent="0.15">
      <c r="A222" s="857">
        <v>165</v>
      </c>
      <c r="B222" s="857" t="str">
        <f t="shared" si="77"/>
        <v>SAKO - TRANS SKP II</v>
      </c>
      <c r="D222" s="857" t="s">
        <v>3982</v>
      </c>
      <c r="E222" s="877" t="s">
        <v>4247</v>
      </c>
      <c r="F222" s="855"/>
      <c r="G222" s="878" t="s">
        <v>1254</v>
      </c>
      <c r="H222" s="879">
        <v>1571078911.2345409</v>
      </c>
      <c r="I222" s="880" t="s">
        <v>2494</v>
      </c>
      <c r="J222" s="880">
        <v>0</v>
      </c>
      <c r="K222" s="880" t="s">
        <v>519</v>
      </c>
      <c r="L222" s="881">
        <v>0</v>
      </c>
      <c r="M222" s="880">
        <v>0</v>
      </c>
      <c r="N222" s="881">
        <v>0</v>
      </c>
      <c r="O222" s="880" t="s">
        <v>3153</v>
      </c>
      <c r="P222" s="1126">
        <v>2012</v>
      </c>
      <c r="Q222" s="880">
        <v>0</v>
      </c>
      <c r="R222" s="880">
        <v>0</v>
      </c>
      <c r="S222" s="880">
        <v>0</v>
      </c>
      <c r="T222" s="880" t="s">
        <v>12</v>
      </c>
      <c r="U222" s="882"/>
      <c r="V222" s="880" t="s">
        <v>43</v>
      </c>
      <c r="W222" s="880">
        <v>0</v>
      </c>
      <c r="X222" s="969"/>
      <c r="Y222" s="883" t="str">
        <f t="shared" si="63"/>
        <v>04.13.01</v>
      </c>
      <c r="Z222" s="884" t="str">
        <f t="shared" si="64"/>
        <v>Jalan</v>
      </c>
      <c r="AA222" s="884">
        <f t="shared" si="65"/>
        <v>10</v>
      </c>
      <c r="AB222" s="868"/>
      <c r="AC222" s="885">
        <f t="shared" si="66"/>
        <v>1</v>
      </c>
      <c r="AD222" s="868"/>
      <c r="AE222" s="868"/>
      <c r="AF222" s="868"/>
      <c r="AG222" s="868"/>
      <c r="AH222" s="868"/>
      <c r="AI222" s="886"/>
      <c r="AJ222" s="886"/>
      <c r="AK222" s="868">
        <f t="shared" si="80"/>
        <v>0</v>
      </c>
    </row>
    <row r="223" spans="1:37" s="857" customFormat="1" ht="35.25" customHeight="1" x14ac:dyDescent="0.15">
      <c r="A223" s="857">
        <v>165</v>
      </c>
      <c r="B223" s="857" t="str">
        <f t="shared" si="77"/>
        <v>SAKO - TRANS SKP II</v>
      </c>
      <c r="D223" s="857" t="s">
        <v>3983</v>
      </c>
      <c r="E223" s="877" t="s">
        <v>4247</v>
      </c>
      <c r="F223" s="855"/>
      <c r="G223" s="878" t="s">
        <v>1364</v>
      </c>
      <c r="H223" s="879">
        <v>2126653104.2</v>
      </c>
      <c r="I223" s="880" t="s">
        <v>2494</v>
      </c>
      <c r="J223" s="880">
        <v>0</v>
      </c>
      <c r="K223" s="880">
        <v>0</v>
      </c>
      <c r="L223" s="881">
        <v>0</v>
      </c>
      <c r="M223" s="880">
        <v>0</v>
      </c>
      <c r="N223" s="881">
        <v>0</v>
      </c>
      <c r="O223" s="880" t="s">
        <v>3106</v>
      </c>
      <c r="P223" s="1126">
        <v>2015</v>
      </c>
      <c r="Q223" s="880">
        <v>0</v>
      </c>
      <c r="R223" s="880">
        <v>0</v>
      </c>
      <c r="S223" s="880">
        <v>0</v>
      </c>
      <c r="T223" s="880" t="s">
        <v>12</v>
      </c>
      <c r="U223" s="882"/>
      <c r="V223" s="880">
        <v>0</v>
      </c>
      <c r="W223" s="880">
        <v>0</v>
      </c>
      <c r="X223" s="969"/>
      <c r="Y223" s="883" t="str">
        <f t="shared" si="63"/>
        <v>04.13.01</v>
      </c>
      <c r="Z223" s="884" t="str">
        <f t="shared" si="64"/>
        <v>Jalan</v>
      </c>
      <c r="AA223" s="884">
        <f t="shared" si="65"/>
        <v>10</v>
      </c>
      <c r="AB223" s="868"/>
      <c r="AC223" s="885">
        <f t="shared" si="66"/>
        <v>0</v>
      </c>
      <c r="AD223" s="868"/>
      <c r="AE223" s="868"/>
      <c r="AF223" s="868"/>
      <c r="AG223" s="868"/>
      <c r="AH223" s="868"/>
      <c r="AI223" s="886"/>
      <c r="AJ223" s="886"/>
      <c r="AK223" s="868">
        <f t="shared" si="80"/>
        <v>0</v>
      </c>
    </row>
    <row r="224" spans="1:37" s="857" customFormat="1" ht="35.25" customHeight="1" x14ac:dyDescent="0.15">
      <c r="A224" s="857">
        <v>165</v>
      </c>
      <c r="B224" s="857" t="str">
        <f t="shared" si="77"/>
        <v>SAKO - TRANS SKP II</v>
      </c>
      <c r="D224" s="857" t="s">
        <v>3984</v>
      </c>
      <c r="E224" s="877" t="s">
        <v>4247</v>
      </c>
      <c r="F224" s="855"/>
      <c r="G224" s="878" t="s">
        <v>3060</v>
      </c>
      <c r="H224" s="879">
        <v>1808380700</v>
      </c>
      <c r="I224" s="880" t="s">
        <v>2494</v>
      </c>
      <c r="J224" s="880">
        <v>0</v>
      </c>
      <c r="K224" s="880">
        <v>0</v>
      </c>
      <c r="L224" s="881">
        <v>0</v>
      </c>
      <c r="M224" s="880">
        <v>0</v>
      </c>
      <c r="N224" s="881">
        <v>0</v>
      </c>
      <c r="O224" s="880" t="s">
        <v>3280</v>
      </c>
      <c r="P224" s="1126">
        <v>2017</v>
      </c>
      <c r="Q224" s="880">
        <v>0</v>
      </c>
      <c r="R224" s="880">
        <v>0</v>
      </c>
      <c r="S224" s="880">
        <v>0</v>
      </c>
      <c r="T224" s="880" t="s">
        <v>12</v>
      </c>
      <c r="U224" s="882"/>
      <c r="V224" s="880">
        <v>0</v>
      </c>
      <c r="W224" s="880">
        <v>0</v>
      </c>
      <c r="X224" s="969"/>
      <c r="Y224" s="883" t="str">
        <f t="shared" si="63"/>
        <v>04.13.01</v>
      </c>
      <c r="Z224" s="884" t="str">
        <f t="shared" si="64"/>
        <v>Jalan</v>
      </c>
      <c r="AA224" s="884">
        <f t="shared" si="65"/>
        <v>10</v>
      </c>
      <c r="AB224" s="868"/>
      <c r="AC224" s="885">
        <f t="shared" si="66"/>
        <v>0</v>
      </c>
      <c r="AD224" s="868"/>
      <c r="AE224" s="868"/>
      <c r="AF224" s="868"/>
      <c r="AG224" s="868"/>
      <c r="AH224" s="868"/>
      <c r="AI224" s="886"/>
      <c r="AJ224" s="886"/>
      <c r="AK224" s="868">
        <f t="shared" si="80"/>
        <v>0</v>
      </c>
    </row>
    <row r="225" spans="1:37" s="857" customFormat="1" ht="35.25" customHeight="1" x14ac:dyDescent="0.15">
      <c r="A225" s="857">
        <v>165</v>
      </c>
      <c r="B225" s="857" t="str">
        <f t="shared" si="77"/>
        <v>SAKO - TRANS SKP II</v>
      </c>
      <c r="D225" s="857" t="s">
        <v>4125</v>
      </c>
      <c r="E225" s="877" t="s">
        <v>4247</v>
      </c>
      <c r="F225" s="855"/>
      <c r="G225" s="878" t="s">
        <v>3317</v>
      </c>
      <c r="H225" s="879">
        <v>2269492372</v>
      </c>
      <c r="I225" s="880" t="s">
        <v>2494</v>
      </c>
      <c r="J225" s="880">
        <v>0</v>
      </c>
      <c r="K225" s="880">
        <v>0</v>
      </c>
      <c r="L225" s="881">
        <v>0</v>
      </c>
      <c r="M225" s="880">
        <v>0</v>
      </c>
      <c r="N225" s="881">
        <v>0</v>
      </c>
      <c r="O225" s="880" t="s">
        <v>3295</v>
      </c>
      <c r="P225" s="1126">
        <v>2018</v>
      </c>
      <c r="Q225" s="880">
        <v>0</v>
      </c>
      <c r="R225" s="880">
        <v>0</v>
      </c>
      <c r="S225" s="880">
        <v>0</v>
      </c>
      <c r="T225" s="880" t="s">
        <v>12</v>
      </c>
      <c r="U225" s="882"/>
      <c r="V225" s="880">
        <v>0</v>
      </c>
      <c r="W225" s="880">
        <v>0</v>
      </c>
      <c r="X225" s="969"/>
      <c r="Y225" s="883" t="str">
        <f t="shared" si="63"/>
        <v>04.13.01</v>
      </c>
      <c r="Z225" s="884" t="str">
        <f t="shared" si="64"/>
        <v>Jalan</v>
      </c>
      <c r="AA225" s="884">
        <f t="shared" si="65"/>
        <v>10</v>
      </c>
      <c r="AB225" s="868"/>
      <c r="AC225" s="885">
        <f t="shared" si="66"/>
        <v>0</v>
      </c>
      <c r="AD225" s="868"/>
      <c r="AE225" s="868"/>
      <c r="AF225" s="868"/>
      <c r="AG225" s="868"/>
      <c r="AH225" s="868"/>
      <c r="AI225" s="886"/>
      <c r="AJ225" s="886"/>
      <c r="AK225" s="868"/>
    </row>
    <row r="226" spans="1:37" s="887" customFormat="1" ht="35.25" customHeight="1" x14ac:dyDescent="0.2">
      <c r="A226" s="887">
        <v>165</v>
      </c>
      <c r="B226" s="857" t="str">
        <f>VLOOKUP(A226,RUAS,2,FALSE)</f>
        <v>SAKO - TRANS SKP II</v>
      </c>
      <c r="E226" s="884" t="str">
        <f>RIGHT(D226,1)</f>
        <v/>
      </c>
      <c r="F226" s="888"/>
      <c r="G226" s="1147" t="s">
        <v>3333</v>
      </c>
      <c r="H226" s="879">
        <v>2252307486</v>
      </c>
      <c r="I226" s="921" t="s">
        <v>2494</v>
      </c>
      <c r="J226" s="922"/>
      <c r="K226" s="921"/>
      <c r="L226" s="923"/>
      <c r="M226" s="922"/>
      <c r="N226" s="923"/>
      <c r="O226" s="918" t="s">
        <v>3308</v>
      </c>
      <c r="P226" s="921">
        <v>2018</v>
      </c>
      <c r="Q226" s="922"/>
      <c r="R226" s="922"/>
      <c r="S226" s="922"/>
      <c r="T226" s="903" t="s">
        <v>12</v>
      </c>
      <c r="U226" s="924"/>
      <c r="V226" s="905"/>
      <c r="W226" s="906"/>
      <c r="X226" s="970"/>
      <c r="Y226" s="884" t="str">
        <f>LEFT(I226,8)</f>
        <v>04.13.01</v>
      </c>
      <c r="Z226" s="884" t="str">
        <f>VLOOKUP(Y226,UE,3,FALSE)</f>
        <v>Jalan</v>
      </c>
      <c r="AA226" s="884">
        <f>VLOOKUP(Y226,UE,4,FALSE)</f>
        <v>10</v>
      </c>
      <c r="AB226" s="868">
        <f>U226/AA226</f>
        <v>0</v>
      </c>
      <c r="AC226" s="885">
        <f>IF(2013-P226+1&gt;AA226,AA226,IF(2013-P226+1&lt;0,0,2013-P226+1))</f>
        <v>0</v>
      </c>
      <c r="AD226" s="868">
        <f>IF(AC226&gt;AA226,U226,AB226*AC226)</f>
        <v>0</v>
      </c>
      <c r="AE226" s="868">
        <v>0</v>
      </c>
      <c r="AF226" s="868">
        <v>0</v>
      </c>
      <c r="AG226" s="868">
        <v>0</v>
      </c>
      <c r="AH226" s="868">
        <v>0</v>
      </c>
      <c r="AI226" s="886">
        <f>IF(U226=AE226+AF226+AG226+AD226+AH226,0,AB226)</f>
        <v>0</v>
      </c>
      <c r="AJ226" s="886">
        <f>SUM(AD226:AI226)</f>
        <v>0</v>
      </c>
      <c r="AK226" s="868">
        <f>U226-AJ226</f>
        <v>0</v>
      </c>
    </row>
    <row r="227" spans="1:37" s="998" customFormat="1" ht="35.25" customHeight="1" x14ac:dyDescent="0.15">
      <c r="A227" s="998">
        <v>166</v>
      </c>
      <c r="B227" s="998" t="str">
        <f t="shared" si="77"/>
        <v>PAUH ANGIT - PS. USANG PANGEAN</v>
      </c>
      <c r="D227" s="998" t="s">
        <v>3985</v>
      </c>
      <c r="E227" s="999" t="s">
        <v>4247</v>
      </c>
      <c r="F227" s="1000"/>
      <c r="G227" s="1010" t="s">
        <v>696</v>
      </c>
      <c r="H227" s="1011"/>
      <c r="I227" s="1001" t="s">
        <v>3821</v>
      </c>
      <c r="J227" s="1001">
        <v>0</v>
      </c>
      <c r="K227" s="1001" t="s">
        <v>484</v>
      </c>
      <c r="L227" s="1003" t="s">
        <v>541</v>
      </c>
      <c r="M227" s="1001">
        <v>7</v>
      </c>
      <c r="N227" s="1003">
        <v>4200</v>
      </c>
      <c r="O227" s="1001" t="s">
        <v>3084</v>
      </c>
      <c r="P227" s="1168">
        <v>2001</v>
      </c>
      <c r="Q227" s="1001">
        <v>0</v>
      </c>
      <c r="R227" s="1001">
        <v>0</v>
      </c>
      <c r="S227" s="1001" t="s">
        <v>482</v>
      </c>
      <c r="T227" s="1001" t="s">
        <v>12</v>
      </c>
      <c r="U227" s="1002">
        <f>187200000+H228</f>
        <v>2246413886</v>
      </c>
      <c r="V227" s="1001" t="s">
        <v>43</v>
      </c>
      <c r="W227" s="1001">
        <v>0</v>
      </c>
      <c r="X227" s="1004"/>
      <c r="Y227" s="1005" t="str">
        <f t="shared" si="63"/>
        <v>04.13.01</v>
      </c>
      <c r="Z227" s="1006" t="str">
        <f t="shared" si="64"/>
        <v>Jalan</v>
      </c>
      <c r="AA227" s="1006">
        <f t="shared" si="65"/>
        <v>10</v>
      </c>
      <c r="AB227" s="1007"/>
      <c r="AC227" s="1008">
        <f t="shared" si="66"/>
        <v>10</v>
      </c>
      <c r="AD227" s="1007"/>
      <c r="AE227" s="1007"/>
      <c r="AF227" s="1007"/>
      <c r="AG227" s="1007"/>
      <c r="AH227" s="1007"/>
      <c r="AI227" s="1009">
        <f>PERHITUNGAN!U1042</f>
        <v>205921388.59999999</v>
      </c>
      <c r="AJ227" s="1009">
        <f>PERHITUNGAN!U1045</f>
        <v>1216806943</v>
      </c>
      <c r="AK227" s="1007">
        <f t="shared" ref="AK227:AK244" si="81">U227-AJ227</f>
        <v>1029606943</v>
      </c>
    </row>
    <row r="228" spans="1:37" s="857" customFormat="1" ht="35.25" customHeight="1" x14ac:dyDescent="0.15">
      <c r="A228" s="857">
        <v>166</v>
      </c>
      <c r="B228" s="857" t="str">
        <f t="shared" si="77"/>
        <v>PAUH ANGIT - PS. USANG PANGEAN</v>
      </c>
      <c r="D228" s="857" t="s">
        <v>3986</v>
      </c>
      <c r="E228" s="877" t="s">
        <v>4247</v>
      </c>
      <c r="F228" s="855"/>
      <c r="G228" s="878" t="s">
        <v>1410</v>
      </c>
      <c r="H228" s="879">
        <v>2059213886</v>
      </c>
      <c r="I228" s="880" t="s">
        <v>2494</v>
      </c>
      <c r="J228" s="880">
        <v>0</v>
      </c>
      <c r="K228" s="880">
        <v>0</v>
      </c>
      <c r="L228" s="881">
        <v>0</v>
      </c>
      <c r="M228" s="880">
        <v>0</v>
      </c>
      <c r="N228" s="881">
        <v>0</v>
      </c>
      <c r="O228" s="880" t="s">
        <v>3084</v>
      </c>
      <c r="P228" s="1126">
        <v>2015</v>
      </c>
      <c r="Q228" s="880">
        <v>0</v>
      </c>
      <c r="R228" s="880">
        <v>0</v>
      </c>
      <c r="S228" s="880">
        <v>0</v>
      </c>
      <c r="T228" s="880" t="s">
        <v>12</v>
      </c>
      <c r="U228" s="882"/>
      <c r="V228" s="880">
        <v>0</v>
      </c>
      <c r="W228" s="880">
        <v>0</v>
      </c>
      <c r="X228" s="969"/>
      <c r="Y228" s="883" t="str">
        <f t="shared" si="63"/>
        <v>04.13.01</v>
      </c>
      <c r="Z228" s="884" t="str">
        <f t="shared" si="64"/>
        <v>Jalan</v>
      </c>
      <c r="AA228" s="884">
        <f t="shared" si="65"/>
        <v>10</v>
      </c>
      <c r="AB228" s="868"/>
      <c r="AC228" s="885">
        <f t="shared" si="66"/>
        <v>0</v>
      </c>
      <c r="AD228" s="868"/>
      <c r="AE228" s="868"/>
      <c r="AF228" s="868"/>
      <c r="AG228" s="868"/>
      <c r="AH228" s="868"/>
      <c r="AI228" s="886"/>
      <c r="AJ228" s="886"/>
      <c r="AK228" s="868">
        <f t="shared" si="81"/>
        <v>0</v>
      </c>
    </row>
    <row r="229" spans="1:37" s="998" customFormat="1" ht="35.25" customHeight="1" x14ac:dyDescent="0.15">
      <c r="A229" s="998">
        <v>167</v>
      </c>
      <c r="B229" s="998" t="str">
        <f t="shared" si="77"/>
        <v>JK. RUAS 190/190 KM 7 + 000 - TANAH BEKALI</v>
      </c>
      <c r="D229" s="998" t="s">
        <v>3987</v>
      </c>
      <c r="E229" s="999" t="s">
        <v>4247</v>
      </c>
      <c r="F229" s="1000"/>
      <c r="G229" s="1010" t="s">
        <v>1277</v>
      </c>
      <c r="H229" s="1011"/>
      <c r="I229" s="1001" t="s">
        <v>2494</v>
      </c>
      <c r="J229" s="1001">
        <v>0</v>
      </c>
      <c r="K229" s="1001" t="s">
        <v>519</v>
      </c>
      <c r="L229" s="1003">
        <v>0</v>
      </c>
      <c r="M229" s="1001">
        <v>0</v>
      </c>
      <c r="N229" s="1003">
        <v>0</v>
      </c>
      <c r="O229" s="1001" t="s">
        <v>3170</v>
      </c>
      <c r="P229" s="1168">
        <v>2013</v>
      </c>
      <c r="Q229" s="1001">
        <v>0</v>
      </c>
      <c r="R229" s="1001">
        <v>0</v>
      </c>
      <c r="S229" s="1001">
        <v>0</v>
      </c>
      <c r="T229" s="1001" t="s">
        <v>12</v>
      </c>
      <c r="U229" s="1002">
        <f>1663779645+H230+H231</f>
        <v>5646152067.96</v>
      </c>
      <c r="V229" s="1001">
        <v>0</v>
      </c>
      <c r="W229" s="1001">
        <v>0</v>
      </c>
      <c r="X229" s="1004"/>
      <c r="Y229" s="1005" t="str">
        <f t="shared" si="63"/>
        <v>04.13.01</v>
      </c>
      <c r="Z229" s="1006" t="str">
        <f t="shared" si="64"/>
        <v>Jalan</v>
      </c>
      <c r="AA229" s="1006">
        <f t="shared" si="65"/>
        <v>10</v>
      </c>
      <c r="AB229" s="1007"/>
      <c r="AC229" s="1008">
        <f t="shared" si="66"/>
        <v>0</v>
      </c>
      <c r="AD229" s="1007"/>
      <c r="AE229" s="1007"/>
      <c r="AF229" s="1007"/>
      <c r="AG229" s="1007"/>
      <c r="AH229" s="1007"/>
      <c r="AI229" s="1009">
        <f>PERHITUNGAN!U1057</f>
        <v>497111607.15599996</v>
      </c>
      <c r="AJ229" s="1009">
        <f>PERHITUNGAN!U1061</f>
        <v>2663482425.0240002</v>
      </c>
      <c r="AK229" s="1007">
        <f t="shared" si="81"/>
        <v>2982669642.9359999</v>
      </c>
    </row>
    <row r="230" spans="1:37" s="857" customFormat="1" ht="35.25" customHeight="1" x14ac:dyDescent="0.15">
      <c r="A230" s="857">
        <v>167</v>
      </c>
      <c r="B230" s="857" t="str">
        <f t="shared" si="77"/>
        <v>JK. RUAS 190/190 KM 7 + 000 - TANAH BEKALI</v>
      </c>
      <c r="D230" s="857" t="s">
        <v>3988</v>
      </c>
      <c r="E230" s="877" t="s">
        <v>4247</v>
      </c>
      <c r="F230" s="855"/>
      <c r="G230" s="878" t="s">
        <v>1363</v>
      </c>
      <c r="H230" s="879">
        <v>2091776958</v>
      </c>
      <c r="I230" s="880" t="s">
        <v>2494</v>
      </c>
      <c r="J230" s="880">
        <v>0</v>
      </c>
      <c r="K230" s="880">
        <v>0</v>
      </c>
      <c r="L230" s="881">
        <v>0</v>
      </c>
      <c r="M230" s="880">
        <v>0</v>
      </c>
      <c r="N230" s="881">
        <v>0</v>
      </c>
      <c r="O230" s="880" t="s">
        <v>3170</v>
      </c>
      <c r="P230" s="1126">
        <v>2015</v>
      </c>
      <c r="Q230" s="880">
        <v>0</v>
      </c>
      <c r="R230" s="880">
        <v>0</v>
      </c>
      <c r="S230" s="880">
        <v>0</v>
      </c>
      <c r="T230" s="880" t="s">
        <v>12</v>
      </c>
      <c r="U230" s="882"/>
      <c r="V230" s="880">
        <v>0</v>
      </c>
      <c r="W230" s="880">
        <v>0</v>
      </c>
      <c r="X230" s="969"/>
      <c r="Y230" s="883" t="str">
        <f t="shared" si="63"/>
        <v>04.13.01</v>
      </c>
      <c r="Z230" s="884" t="str">
        <f t="shared" si="64"/>
        <v>Jalan</v>
      </c>
      <c r="AA230" s="884">
        <f t="shared" si="65"/>
        <v>10</v>
      </c>
      <c r="AB230" s="868"/>
      <c r="AC230" s="885">
        <f t="shared" si="66"/>
        <v>0</v>
      </c>
      <c r="AD230" s="868"/>
      <c r="AE230" s="868"/>
      <c r="AF230" s="868"/>
      <c r="AG230" s="868"/>
      <c r="AH230" s="868"/>
      <c r="AI230" s="886"/>
      <c r="AJ230" s="886"/>
      <c r="AK230" s="868">
        <f t="shared" si="81"/>
        <v>0</v>
      </c>
    </row>
    <row r="231" spans="1:37" s="857" customFormat="1" ht="35.25" customHeight="1" x14ac:dyDescent="0.15">
      <c r="A231" s="857">
        <v>167</v>
      </c>
      <c r="B231" s="857" t="str">
        <f t="shared" si="77"/>
        <v>JK. RUAS 190/190 KM 7 + 000 - TANAH BEKALI</v>
      </c>
      <c r="D231" s="857" t="s">
        <v>3989</v>
      </c>
      <c r="E231" s="877" t="s">
        <v>4247</v>
      </c>
      <c r="F231" s="855"/>
      <c r="G231" s="878" t="s">
        <v>1448</v>
      </c>
      <c r="H231" s="879">
        <v>1890595464.96</v>
      </c>
      <c r="I231" s="880" t="s">
        <v>2494</v>
      </c>
      <c r="J231" s="880">
        <v>0</v>
      </c>
      <c r="K231" s="880">
        <v>0</v>
      </c>
      <c r="L231" s="881">
        <v>0</v>
      </c>
      <c r="M231" s="880">
        <v>0</v>
      </c>
      <c r="N231" s="881">
        <v>0</v>
      </c>
      <c r="O231" s="880" t="s">
        <v>3170</v>
      </c>
      <c r="P231" s="1126">
        <v>2016</v>
      </c>
      <c r="Q231" s="880">
        <v>0</v>
      </c>
      <c r="R231" s="880">
        <v>0</v>
      </c>
      <c r="S231" s="880">
        <v>0</v>
      </c>
      <c r="T231" s="880" t="s">
        <v>12</v>
      </c>
      <c r="U231" s="882"/>
      <c r="V231" s="880">
        <v>0</v>
      </c>
      <c r="W231" s="880">
        <v>0</v>
      </c>
      <c r="X231" s="969"/>
      <c r="Y231" s="883" t="str">
        <f t="shared" si="63"/>
        <v>04.13.01</v>
      </c>
      <c r="Z231" s="884" t="str">
        <f t="shared" si="64"/>
        <v>Jalan</v>
      </c>
      <c r="AA231" s="884">
        <f t="shared" si="65"/>
        <v>10</v>
      </c>
      <c r="AB231" s="868"/>
      <c r="AC231" s="885">
        <f t="shared" si="66"/>
        <v>0</v>
      </c>
      <c r="AD231" s="868"/>
      <c r="AE231" s="868"/>
      <c r="AF231" s="868"/>
      <c r="AG231" s="868"/>
      <c r="AH231" s="868"/>
      <c r="AI231" s="886"/>
      <c r="AJ231" s="886"/>
      <c r="AK231" s="868">
        <f t="shared" si="81"/>
        <v>0</v>
      </c>
    </row>
    <row r="232" spans="1:37" s="857" customFormat="1" ht="35.25" customHeight="1" x14ac:dyDescent="0.2">
      <c r="A232" s="857">
        <v>171</v>
      </c>
      <c r="B232" s="857" t="str">
        <f t="shared" si="77"/>
        <v>JL. DESA TANAH BEKALI - PL. DERAS</v>
      </c>
      <c r="D232" s="857" t="s">
        <v>3990</v>
      </c>
      <c r="E232" s="884" t="str">
        <f t="shared" ref="E232:E237" si="82">RIGHT(D232,1)</f>
        <v>1</v>
      </c>
      <c r="F232" s="855"/>
      <c r="G232" s="878" t="s">
        <v>696</v>
      </c>
      <c r="H232" s="879"/>
      <c r="I232" s="880" t="s">
        <v>3821</v>
      </c>
      <c r="J232" s="880">
        <v>0</v>
      </c>
      <c r="K232" s="880" t="s">
        <v>503</v>
      </c>
      <c r="L232" s="881" t="s">
        <v>48</v>
      </c>
      <c r="M232" s="880">
        <v>7</v>
      </c>
      <c r="N232" s="881">
        <v>14000</v>
      </c>
      <c r="O232" s="880" t="s">
        <v>706</v>
      </c>
      <c r="P232" s="1126">
        <v>2001</v>
      </c>
      <c r="Q232" s="880">
        <v>0</v>
      </c>
      <c r="R232" s="880">
        <v>0</v>
      </c>
      <c r="S232" s="880" t="s">
        <v>482</v>
      </c>
      <c r="T232" s="880" t="s">
        <v>12</v>
      </c>
      <c r="U232" s="882">
        <v>600000000</v>
      </c>
      <c r="V232" s="880" t="s">
        <v>43</v>
      </c>
      <c r="W232" s="880">
        <v>0</v>
      </c>
      <c r="X232" s="969"/>
      <c r="Y232" s="884" t="str">
        <f t="shared" si="63"/>
        <v>04.13.01</v>
      </c>
      <c r="Z232" s="884" t="str">
        <f t="shared" si="64"/>
        <v>Jalan</v>
      </c>
      <c r="AA232" s="884">
        <f t="shared" si="65"/>
        <v>10</v>
      </c>
      <c r="AB232" s="868">
        <f t="shared" ref="AB232:AB237" si="83">U232/AA232</f>
        <v>60000000</v>
      </c>
      <c r="AC232" s="885">
        <f t="shared" ref="AC232:AC237" si="84">IF(2013-P232+1&gt;AA232,AA232,IF(2013-P232+1&lt;0,0,2013-P232+1))</f>
        <v>10</v>
      </c>
      <c r="AD232" s="868">
        <f t="shared" ref="AD232:AD237" si="85">IF(AC232&gt;AA232,U232,AB232*AC232)</f>
        <v>600000000</v>
      </c>
      <c r="AE232" s="868">
        <f t="shared" ref="AE232:AE237" si="86">IF(U232=AD232,0,AB232)</f>
        <v>0</v>
      </c>
      <c r="AF232" s="868">
        <f t="shared" ref="AF232:AF237" si="87">IF(U232=AD232+AE232,0,AB232)</f>
        <v>0</v>
      </c>
      <c r="AG232" s="868">
        <f t="shared" ref="AG232:AG237" si="88">IF(U232=AD232+AE232+AF232,0,AB232)</f>
        <v>0</v>
      </c>
      <c r="AH232" s="868">
        <f t="shared" ref="AH232:AH237" si="89">IF(U232=AE232+AF232+AG232+AD232,0,AB232)</f>
        <v>0</v>
      </c>
      <c r="AI232" s="886">
        <f t="shared" ref="AI232:AI237" si="90">IF(U232=AE232+AF232+AG232+AD232+AH232,0,AB232)</f>
        <v>0</v>
      </c>
      <c r="AJ232" s="886">
        <f t="shared" ref="AJ232:AJ237" si="91">SUM(AD232:AI232)</f>
        <v>600000000</v>
      </c>
      <c r="AK232" s="868">
        <f t="shared" si="81"/>
        <v>0</v>
      </c>
    </row>
    <row r="233" spans="1:37" s="857" customFormat="1" ht="35.25" customHeight="1" x14ac:dyDescent="0.2">
      <c r="A233" s="857">
        <v>172</v>
      </c>
      <c r="B233" s="857" t="str">
        <f t="shared" si="77"/>
        <v>JL. DESA PL. TENGAH - SIKAPING</v>
      </c>
      <c r="D233" s="857" t="s">
        <v>3991</v>
      </c>
      <c r="E233" s="884" t="str">
        <f t="shared" si="82"/>
        <v>1</v>
      </c>
      <c r="F233" s="855"/>
      <c r="G233" s="878" t="s">
        <v>696</v>
      </c>
      <c r="H233" s="879"/>
      <c r="I233" s="880" t="s">
        <v>3821</v>
      </c>
      <c r="J233" s="880">
        <v>0</v>
      </c>
      <c r="K233" s="880" t="s">
        <v>503</v>
      </c>
      <c r="L233" s="881" t="s">
        <v>598</v>
      </c>
      <c r="M233" s="880">
        <v>7</v>
      </c>
      <c r="N233" s="881">
        <v>7000</v>
      </c>
      <c r="O233" s="880" t="s">
        <v>707</v>
      </c>
      <c r="P233" s="1126">
        <v>2001</v>
      </c>
      <c r="Q233" s="880">
        <v>0</v>
      </c>
      <c r="R233" s="880">
        <v>0</v>
      </c>
      <c r="S233" s="880" t="s">
        <v>482</v>
      </c>
      <c r="T233" s="880" t="s">
        <v>12</v>
      </c>
      <c r="U233" s="882">
        <v>243750000</v>
      </c>
      <c r="V233" s="880" t="s">
        <v>43</v>
      </c>
      <c r="W233" s="880">
        <v>0</v>
      </c>
      <c r="X233" s="969"/>
      <c r="Y233" s="884" t="str">
        <f t="shared" ref="Y233:Y314" si="92">LEFT(I233,8)</f>
        <v>04.13.01</v>
      </c>
      <c r="Z233" s="884" t="str">
        <f t="shared" ref="Z233:Z314" si="93">VLOOKUP(Y233,UE,3,FALSE)</f>
        <v>Jalan</v>
      </c>
      <c r="AA233" s="884">
        <f t="shared" ref="AA233:AA314" si="94">VLOOKUP(Y233,UE,4,FALSE)</f>
        <v>10</v>
      </c>
      <c r="AB233" s="868">
        <f t="shared" si="83"/>
        <v>24375000</v>
      </c>
      <c r="AC233" s="885">
        <f t="shared" si="84"/>
        <v>10</v>
      </c>
      <c r="AD233" s="868">
        <f t="shared" si="85"/>
        <v>243750000</v>
      </c>
      <c r="AE233" s="868">
        <f t="shared" si="86"/>
        <v>0</v>
      </c>
      <c r="AF233" s="868">
        <f t="shared" si="87"/>
        <v>0</v>
      </c>
      <c r="AG233" s="868">
        <f t="shared" si="88"/>
        <v>0</v>
      </c>
      <c r="AH233" s="868">
        <f t="shared" si="89"/>
        <v>0</v>
      </c>
      <c r="AI233" s="886">
        <f t="shared" si="90"/>
        <v>0</v>
      </c>
      <c r="AJ233" s="886">
        <f t="shared" si="91"/>
        <v>243750000</v>
      </c>
      <c r="AK233" s="868">
        <f t="shared" si="81"/>
        <v>0</v>
      </c>
    </row>
    <row r="234" spans="1:37" s="857" customFormat="1" ht="35.25" customHeight="1" x14ac:dyDescent="0.2">
      <c r="A234" s="857">
        <v>173</v>
      </c>
      <c r="B234" s="857" t="str">
        <f t="shared" si="77"/>
        <v>JL. DESA PL. RENGAS - PEMATANG</v>
      </c>
      <c r="D234" s="857" t="s">
        <v>3992</v>
      </c>
      <c r="E234" s="884" t="str">
        <f t="shared" si="82"/>
        <v>1</v>
      </c>
      <c r="F234" s="855"/>
      <c r="G234" s="878" t="s">
        <v>696</v>
      </c>
      <c r="H234" s="879"/>
      <c r="I234" s="880" t="s">
        <v>3821</v>
      </c>
      <c r="J234" s="880">
        <v>0</v>
      </c>
      <c r="K234" s="880" t="s">
        <v>503</v>
      </c>
      <c r="L234" s="881">
        <v>3000</v>
      </c>
      <c r="M234" s="880">
        <v>7</v>
      </c>
      <c r="N234" s="881">
        <v>21000</v>
      </c>
      <c r="O234" s="880" t="s">
        <v>708</v>
      </c>
      <c r="P234" s="1126">
        <v>2001</v>
      </c>
      <c r="Q234" s="880">
        <v>0</v>
      </c>
      <c r="R234" s="880">
        <v>0</v>
      </c>
      <c r="S234" s="880" t="s">
        <v>482</v>
      </c>
      <c r="T234" s="880" t="s">
        <v>12</v>
      </c>
      <c r="U234" s="882">
        <v>787500000</v>
      </c>
      <c r="V234" s="880" t="s">
        <v>43</v>
      </c>
      <c r="W234" s="880">
        <v>0</v>
      </c>
      <c r="X234" s="969"/>
      <c r="Y234" s="884" t="str">
        <f t="shared" si="92"/>
        <v>04.13.01</v>
      </c>
      <c r="Z234" s="884" t="str">
        <f t="shared" si="93"/>
        <v>Jalan</v>
      </c>
      <c r="AA234" s="884">
        <f t="shared" si="94"/>
        <v>10</v>
      </c>
      <c r="AB234" s="868">
        <f t="shared" si="83"/>
        <v>78750000</v>
      </c>
      <c r="AC234" s="885">
        <f t="shared" si="84"/>
        <v>10</v>
      </c>
      <c r="AD234" s="868">
        <f t="shared" si="85"/>
        <v>787500000</v>
      </c>
      <c r="AE234" s="868">
        <f t="shared" si="86"/>
        <v>0</v>
      </c>
      <c r="AF234" s="868">
        <f t="shared" si="87"/>
        <v>0</v>
      </c>
      <c r="AG234" s="868">
        <f t="shared" si="88"/>
        <v>0</v>
      </c>
      <c r="AH234" s="868">
        <f t="shared" si="89"/>
        <v>0</v>
      </c>
      <c r="AI234" s="886">
        <f t="shared" si="90"/>
        <v>0</v>
      </c>
      <c r="AJ234" s="886">
        <f t="shared" si="91"/>
        <v>787500000</v>
      </c>
      <c r="AK234" s="868">
        <f t="shared" si="81"/>
        <v>0</v>
      </c>
    </row>
    <row r="235" spans="1:37" s="857" customFormat="1" ht="35.25" customHeight="1" x14ac:dyDescent="0.2">
      <c r="A235" s="857">
        <v>174</v>
      </c>
      <c r="B235" s="857" t="str">
        <f t="shared" si="77"/>
        <v>JL. DESA SIKAPING - PL. INGU</v>
      </c>
      <c r="D235" s="857" t="s">
        <v>3993</v>
      </c>
      <c r="E235" s="884" t="str">
        <f t="shared" si="82"/>
        <v>1</v>
      </c>
      <c r="F235" s="855"/>
      <c r="G235" s="878" t="s">
        <v>696</v>
      </c>
      <c r="H235" s="879"/>
      <c r="I235" s="880" t="s">
        <v>3821</v>
      </c>
      <c r="J235" s="880">
        <v>0</v>
      </c>
      <c r="K235" s="880" t="s">
        <v>503</v>
      </c>
      <c r="L235" s="881">
        <v>3000</v>
      </c>
      <c r="M235" s="880">
        <v>7</v>
      </c>
      <c r="N235" s="881">
        <v>21000</v>
      </c>
      <c r="O235" s="880" t="s">
        <v>703</v>
      </c>
      <c r="P235" s="1126">
        <v>2001</v>
      </c>
      <c r="Q235" s="880">
        <v>0</v>
      </c>
      <c r="R235" s="880">
        <v>0</v>
      </c>
      <c r="S235" s="880" t="s">
        <v>482</v>
      </c>
      <c r="T235" s="880" t="s">
        <v>12</v>
      </c>
      <c r="U235" s="882">
        <v>787500000</v>
      </c>
      <c r="V235" s="880" t="s">
        <v>135</v>
      </c>
      <c r="W235" s="880">
        <v>0</v>
      </c>
      <c r="X235" s="969"/>
      <c r="Y235" s="884" t="str">
        <f t="shared" si="92"/>
        <v>04.13.01</v>
      </c>
      <c r="Z235" s="884" t="str">
        <f t="shared" si="93"/>
        <v>Jalan</v>
      </c>
      <c r="AA235" s="884">
        <f t="shared" si="94"/>
        <v>10</v>
      </c>
      <c r="AB235" s="868">
        <f t="shared" si="83"/>
        <v>78750000</v>
      </c>
      <c r="AC235" s="885">
        <f t="shared" si="84"/>
        <v>10</v>
      </c>
      <c r="AD235" s="868">
        <f t="shared" si="85"/>
        <v>787500000</v>
      </c>
      <c r="AE235" s="868">
        <f t="shared" si="86"/>
        <v>0</v>
      </c>
      <c r="AF235" s="868">
        <f t="shared" si="87"/>
        <v>0</v>
      </c>
      <c r="AG235" s="868">
        <f t="shared" si="88"/>
        <v>0</v>
      </c>
      <c r="AH235" s="868">
        <f t="shared" si="89"/>
        <v>0</v>
      </c>
      <c r="AI235" s="886">
        <f t="shared" si="90"/>
        <v>0</v>
      </c>
      <c r="AJ235" s="886">
        <f t="shared" si="91"/>
        <v>787500000</v>
      </c>
      <c r="AK235" s="868">
        <f t="shared" si="81"/>
        <v>0</v>
      </c>
    </row>
    <row r="236" spans="1:37" s="857" customFormat="1" ht="35.25" customHeight="1" x14ac:dyDescent="0.2">
      <c r="A236" s="857">
        <v>175</v>
      </c>
      <c r="B236" s="857" t="str">
        <f t="shared" si="77"/>
        <v>JL. DESA PAUH ANGIT - TANJUNG SIMANDOLAK</v>
      </c>
      <c r="D236" s="857" t="s">
        <v>3994</v>
      </c>
      <c r="E236" s="884" t="str">
        <f t="shared" si="82"/>
        <v>1</v>
      </c>
      <c r="F236" s="855"/>
      <c r="G236" s="878" t="s">
        <v>696</v>
      </c>
      <c r="H236" s="879"/>
      <c r="I236" s="880" t="s">
        <v>3821</v>
      </c>
      <c r="J236" s="880">
        <v>0</v>
      </c>
      <c r="K236" s="880" t="s">
        <v>503</v>
      </c>
      <c r="L236" s="881">
        <v>2000</v>
      </c>
      <c r="M236" s="880">
        <v>7</v>
      </c>
      <c r="N236" s="881">
        <v>14000</v>
      </c>
      <c r="O236" s="880" t="s">
        <v>718</v>
      </c>
      <c r="P236" s="1126">
        <v>2001</v>
      </c>
      <c r="Q236" s="880">
        <v>0</v>
      </c>
      <c r="R236" s="880">
        <v>0</v>
      </c>
      <c r="S236" s="880" t="s">
        <v>482</v>
      </c>
      <c r="T236" s="880" t="s">
        <v>12</v>
      </c>
      <c r="U236" s="882">
        <v>975000000</v>
      </c>
      <c r="V236" s="880" t="s">
        <v>43</v>
      </c>
      <c r="W236" s="880">
        <v>0</v>
      </c>
      <c r="X236" s="969"/>
      <c r="Y236" s="884" t="str">
        <f t="shared" si="92"/>
        <v>04.13.01</v>
      </c>
      <c r="Z236" s="884" t="str">
        <f t="shared" si="93"/>
        <v>Jalan</v>
      </c>
      <c r="AA236" s="884">
        <f t="shared" si="94"/>
        <v>10</v>
      </c>
      <c r="AB236" s="868">
        <f t="shared" si="83"/>
        <v>97500000</v>
      </c>
      <c r="AC236" s="885">
        <f t="shared" si="84"/>
        <v>10</v>
      </c>
      <c r="AD236" s="868">
        <f t="shared" si="85"/>
        <v>975000000</v>
      </c>
      <c r="AE236" s="868">
        <f t="shared" si="86"/>
        <v>0</v>
      </c>
      <c r="AF236" s="868">
        <f t="shared" si="87"/>
        <v>0</v>
      </c>
      <c r="AG236" s="868">
        <f t="shared" si="88"/>
        <v>0</v>
      </c>
      <c r="AH236" s="868">
        <f t="shared" si="89"/>
        <v>0</v>
      </c>
      <c r="AI236" s="886">
        <f t="shared" si="90"/>
        <v>0</v>
      </c>
      <c r="AJ236" s="886">
        <f t="shared" si="91"/>
        <v>975000000</v>
      </c>
      <c r="AK236" s="868">
        <f t="shared" si="81"/>
        <v>0</v>
      </c>
    </row>
    <row r="237" spans="1:37" s="857" customFormat="1" ht="35.25" customHeight="1" x14ac:dyDescent="0.2">
      <c r="A237" s="857">
        <v>176</v>
      </c>
      <c r="B237" s="857" t="str">
        <f t="shared" si="77"/>
        <v>JL. DESA PEMATANG - PL. TENGAH</v>
      </c>
      <c r="D237" s="857" t="s">
        <v>3995</v>
      </c>
      <c r="E237" s="884" t="str">
        <f t="shared" si="82"/>
        <v>1</v>
      </c>
      <c r="F237" s="855"/>
      <c r="G237" s="878" t="s">
        <v>696</v>
      </c>
      <c r="H237" s="879"/>
      <c r="I237" s="880" t="s">
        <v>3821</v>
      </c>
      <c r="J237" s="880">
        <v>0</v>
      </c>
      <c r="K237" s="880" t="s">
        <v>503</v>
      </c>
      <c r="L237" s="881">
        <v>2000</v>
      </c>
      <c r="M237" s="880">
        <v>7</v>
      </c>
      <c r="N237" s="881">
        <v>14000</v>
      </c>
      <c r="O237" s="880" t="s">
        <v>711</v>
      </c>
      <c r="P237" s="1126">
        <v>2001</v>
      </c>
      <c r="Q237" s="880">
        <v>0</v>
      </c>
      <c r="R237" s="880">
        <v>0</v>
      </c>
      <c r="S237" s="880" t="s">
        <v>482</v>
      </c>
      <c r="T237" s="880" t="s">
        <v>12</v>
      </c>
      <c r="U237" s="882">
        <v>525000000</v>
      </c>
      <c r="V237" s="880" t="s">
        <v>43</v>
      </c>
      <c r="W237" s="880">
        <v>0</v>
      </c>
      <c r="X237" s="969"/>
      <c r="Y237" s="884" t="str">
        <f t="shared" si="92"/>
        <v>04.13.01</v>
      </c>
      <c r="Z237" s="884" t="str">
        <f t="shared" si="93"/>
        <v>Jalan</v>
      </c>
      <c r="AA237" s="884">
        <f t="shared" si="94"/>
        <v>10</v>
      </c>
      <c r="AB237" s="868">
        <f t="shared" si="83"/>
        <v>52500000</v>
      </c>
      <c r="AC237" s="885">
        <f t="shared" si="84"/>
        <v>10</v>
      </c>
      <c r="AD237" s="868">
        <f t="shared" si="85"/>
        <v>525000000</v>
      </c>
      <c r="AE237" s="868">
        <f t="shared" si="86"/>
        <v>0</v>
      </c>
      <c r="AF237" s="868">
        <f t="shared" si="87"/>
        <v>0</v>
      </c>
      <c r="AG237" s="868">
        <f t="shared" si="88"/>
        <v>0</v>
      </c>
      <c r="AH237" s="868">
        <f t="shared" si="89"/>
        <v>0</v>
      </c>
      <c r="AI237" s="886">
        <f t="shared" si="90"/>
        <v>0</v>
      </c>
      <c r="AJ237" s="886">
        <f t="shared" si="91"/>
        <v>525000000</v>
      </c>
      <c r="AK237" s="868">
        <f t="shared" si="81"/>
        <v>0</v>
      </c>
    </row>
    <row r="238" spans="1:37" s="998" customFormat="1" ht="35.25" customHeight="1" x14ac:dyDescent="0.15">
      <c r="A238" s="998">
        <v>178</v>
      </c>
      <c r="B238" s="998" t="str">
        <f t="shared" si="77"/>
        <v>PAUH ANGIT - RAWANG BINJAI</v>
      </c>
      <c r="D238" s="998" t="s">
        <v>3996</v>
      </c>
      <c r="E238" s="999" t="s">
        <v>4247</v>
      </c>
      <c r="F238" s="1000"/>
      <c r="G238" s="1010" t="s">
        <v>1145</v>
      </c>
      <c r="H238" s="1011"/>
      <c r="I238" s="1001" t="s">
        <v>3821</v>
      </c>
      <c r="J238" s="1001">
        <v>0</v>
      </c>
      <c r="K238" s="1001" t="s">
        <v>8</v>
      </c>
      <c r="L238" s="1003" t="s">
        <v>501</v>
      </c>
      <c r="M238" s="1001">
        <v>7</v>
      </c>
      <c r="N238" s="1003">
        <v>24500</v>
      </c>
      <c r="O238" s="1001" t="s">
        <v>712</v>
      </c>
      <c r="P238" s="1168">
        <v>2001</v>
      </c>
      <c r="Q238" s="1001">
        <v>0</v>
      </c>
      <c r="R238" s="1001">
        <v>0</v>
      </c>
      <c r="S238" s="1001" t="s">
        <v>482</v>
      </c>
      <c r="T238" s="1001" t="s">
        <v>12</v>
      </c>
      <c r="U238" s="1002">
        <f>1115572260+H239</f>
        <v>2882570319.23</v>
      </c>
      <c r="V238" s="1001" t="s">
        <v>43</v>
      </c>
      <c r="W238" s="1001">
        <v>0</v>
      </c>
      <c r="X238" s="1004"/>
      <c r="Y238" s="1005" t="str">
        <f t="shared" si="92"/>
        <v>04.13.01</v>
      </c>
      <c r="Z238" s="1006" t="str">
        <f t="shared" si="93"/>
        <v>Jalan</v>
      </c>
      <c r="AA238" s="1006">
        <f t="shared" si="94"/>
        <v>10</v>
      </c>
      <c r="AB238" s="1007"/>
      <c r="AC238" s="1008">
        <f>IF(2013-P238&gt;AA238,10,IF(2013-P238&lt;0,0,2013-P238))</f>
        <v>10</v>
      </c>
      <c r="AD238" s="1007"/>
      <c r="AE238" s="1007"/>
      <c r="AF238" s="1007"/>
      <c r="AG238" s="1007"/>
      <c r="AH238" s="1007"/>
      <c r="AI238" s="1009">
        <f>PERHITUNGAN!U1112</f>
        <v>176699805.92300001</v>
      </c>
      <c r="AJ238" s="1009">
        <f>PERHITUNGAN!U1116</f>
        <v>1822371483.6920004</v>
      </c>
      <c r="AK238" s="1007">
        <f t="shared" si="81"/>
        <v>1060198835.5379996</v>
      </c>
    </row>
    <row r="239" spans="1:37" s="857" customFormat="1" ht="35.25" customHeight="1" x14ac:dyDescent="0.15">
      <c r="A239" s="857">
        <v>178</v>
      </c>
      <c r="B239" s="857" t="str">
        <f t="shared" si="77"/>
        <v>PAUH ANGIT - RAWANG BINJAI</v>
      </c>
      <c r="D239" s="857" t="s">
        <v>3997</v>
      </c>
      <c r="E239" s="877" t="s">
        <v>4247</v>
      </c>
      <c r="F239" s="855"/>
      <c r="G239" s="878" t="s">
        <v>1459</v>
      </c>
      <c r="H239" s="879">
        <v>1766998059.23</v>
      </c>
      <c r="I239" s="880" t="s">
        <v>2494</v>
      </c>
      <c r="J239" s="880">
        <v>0</v>
      </c>
      <c r="K239" s="880">
        <v>0</v>
      </c>
      <c r="L239" s="881">
        <v>0</v>
      </c>
      <c r="M239" s="880">
        <v>0</v>
      </c>
      <c r="N239" s="881">
        <v>0</v>
      </c>
      <c r="O239" s="880" t="s">
        <v>712</v>
      </c>
      <c r="P239" s="1126">
        <v>2016</v>
      </c>
      <c r="Q239" s="880">
        <v>0</v>
      </c>
      <c r="R239" s="880">
        <v>0</v>
      </c>
      <c r="S239" s="880">
        <v>0</v>
      </c>
      <c r="T239" s="880" t="s">
        <v>12</v>
      </c>
      <c r="U239" s="882"/>
      <c r="V239" s="880">
        <v>0</v>
      </c>
      <c r="W239" s="880">
        <v>0</v>
      </c>
      <c r="X239" s="969"/>
      <c r="Y239" s="883" t="str">
        <f t="shared" si="92"/>
        <v>04.13.01</v>
      </c>
      <c r="Z239" s="884" t="str">
        <f t="shared" si="93"/>
        <v>Jalan</v>
      </c>
      <c r="AA239" s="884">
        <f t="shared" si="94"/>
        <v>10</v>
      </c>
      <c r="AB239" s="868"/>
      <c r="AC239" s="885">
        <f>IF(2013-P239&gt;AA239,10,IF(2013-P239&lt;0,0,2013-P239))</f>
        <v>0</v>
      </c>
      <c r="AD239" s="868"/>
      <c r="AE239" s="868"/>
      <c r="AF239" s="868"/>
      <c r="AG239" s="868"/>
      <c r="AH239" s="868"/>
      <c r="AI239" s="886"/>
      <c r="AJ239" s="886"/>
      <c r="AK239" s="868">
        <f t="shared" si="81"/>
        <v>0</v>
      </c>
    </row>
    <row r="240" spans="1:37" s="857" customFormat="1" ht="35.25" customHeight="1" x14ac:dyDescent="0.2">
      <c r="A240" s="857">
        <v>179</v>
      </c>
      <c r="B240" s="857" t="str">
        <f>VLOOKUP(A240,RUAS,2,FALSE)</f>
        <v>SAKO - LOGAS TANAH DARAT</v>
      </c>
      <c r="E240" s="884" t="str">
        <f>RIGHT(D240,1)</f>
        <v/>
      </c>
      <c r="F240" s="855"/>
      <c r="G240" s="878" t="s">
        <v>696</v>
      </c>
      <c r="H240" s="879"/>
      <c r="I240" s="880" t="s">
        <v>3821</v>
      </c>
      <c r="J240" s="880"/>
      <c r="K240" s="880" t="s">
        <v>484</v>
      </c>
      <c r="L240" s="881" t="s">
        <v>713</v>
      </c>
      <c r="M240" s="880"/>
      <c r="N240" s="881"/>
      <c r="O240" s="880" t="s">
        <v>714</v>
      </c>
      <c r="P240" s="1126">
        <v>2001</v>
      </c>
      <c r="Q240" s="880"/>
      <c r="R240" s="880"/>
      <c r="S240" s="880" t="s">
        <v>482</v>
      </c>
      <c r="T240" s="880" t="s">
        <v>12</v>
      </c>
      <c r="U240" s="882">
        <v>537600000</v>
      </c>
      <c r="V240" s="880" t="s">
        <v>43</v>
      </c>
      <c r="W240" s="880"/>
      <c r="X240" s="969"/>
      <c r="Y240" s="884" t="str">
        <f>LEFT(I240,8)</f>
        <v>04.13.01</v>
      </c>
      <c r="Z240" s="884" t="str">
        <f>VLOOKUP(Y240,UE,3,FALSE)</f>
        <v>Jalan</v>
      </c>
      <c r="AA240" s="884">
        <f>VLOOKUP(Y240,UE,4,FALSE)</f>
        <v>10</v>
      </c>
      <c r="AB240" s="868">
        <f>U240/AA240</f>
        <v>53760000</v>
      </c>
      <c r="AC240" s="885">
        <f>IF(2013-P240+1&gt;AA240,AA240,IF(2013-P240+1&lt;0,0,2013-P240+1))</f>
        <v>10</v>
      </c>
      <c r="AD240" s="868">
        <f>IF(AC240&gt;AA240,U240,AB240*AC240)</f>
        <v>537600000</v>
      </c>
      <c r="AE240" s="868">
        <f>IF(U240=AD240,0,AB240)</f>
        <v>0</v>
      </c>
      <c r="AF240" s="868">
        <f>IF(U240=AD240+AE240,0,AB240)</f>
        <v>0</v>
      </c>
      <c r="AG240" s="868">
        <f>IF(U240=AD240+AE240+AF240,0,AB240)</f>
        <v>0</v>
      </c>
      <c r="AH240" s="868">
        <f>IF(U240=AE240+AF240+AG240+AD240,0,AB240)</f>
        <v>0</v>
      </c>
      <c r="AI240" s="886">
        <f>IF(U240=AE240+AF240+AG240+AD240+AH240,0,AB240)</f>
        <v>0</v>
      </c>
      <c r="AJ240" s="886">
        <f>SUM(AD240:AI240)</f>
        <v>537600000</v>
      </c>
      <c r="AK240" s="868">
        <f>U240-AJ240</f>
        <v>0</v>
      </c>
    </row>
    <row r="241" spans="1:37" s="857" customFormat="1" ht="35.25" customHeight="1" x14ac:dyDescent="0.2">
      <c r="A241" s="857">
        <v>180</v>
      </c>
      <c r="B241" s="857" t="str">
        <f t="shared" si="77"/>
        <v>TUGU PULAI - PAUH ANGIT</v>
      </c>
      <c r="D241" s="857" t="s">
        <v>3998</v>
      </c>
      <c r="E241" s="884" t="str">
        <f>RIGHT(D241,1)</f>
        <v>1</v>
      </c>
      <c r="F241" s="855"/>
      <c r="G241" s="878" t="s">
        <v>529</v>
      </c>
      <c r="H241" s="879"/>
      <c r="I241" s="880" t="s">
        <v>2494</v>
      </c>
      <c r="J241" s="880">
        <v>0</v>
      </c>
      <c r="K241" s="880" t="s">
        <v>479</v>
      </c>
      <c r="L241" s="881">
        <v>2800</v>
      </c>
      <c r="M241" s="880">
        <v>7</v>
      </c>
      <c r="N241" s="881">
        <v>19600</v>
      </c>
      <c r="O241" s="880" t="s">
        <v>634</v>
      </c>
      <c r="P241" s="1126">
        <v>2001</v>
      </c>
      <c r="Q241" s="880">
        <v>0</v>
      </c>
      <c r="R241" s="880">
        <v>0</v>
      </c>
      <c r="S241" s="880" t="s">
        <v>482</v>
      </c>
      <c r="T241" s="880" t="s">
        <v>12</v>
      </c>
      <c r="U241" s="882">
        <v>2058000000</v>
      </c>
      <c r="V241" s="880" t="s">
        <v>43</v>
      </c>
      <c r="W241" s="880">
        <v>0</v>
      </c>
      <c r="X241" s="969"/>
      <c r="Y241" s="884" t="str">
        <f t="shared" si="92"/>
        <v>04.13.01</v>
      </c>
      <c r="Z241" s="884" t="str">
        <f t="shared" si="93"/>
        <v>Jalan</v>
      </c>
      <c r="AA241" s="884">
        <f t="shared" si="94"/>
        <v>10</v>
      </c>
      <c r="AB241" s="868">
        <f>U241/AA241</f>
        <v>205800000</v>
      </c>
      <c r="AC241" s="885">
        <f>IF(2013-P241+1&gt;AA241,AA241,IF(2013-P241+1&lt;0,0,2013-P241+1))</f>
        <v>10</v>
      </c>
      <c r="AD241" s="868">
        <f>IF(AC241&gt;AA241,U241,AB241*AC241)</f>
        <v>2058000000</v>
      </c>
      <c r="AE241" s="868">
        <f>IF(U241=AD241,0,AB241)</f>
        <v>0</v>
      </c>
      <c r="AF241" s="868">
        <f>IF(U241=AD241+AE241,0,AB241)</f>
        <v>0</v>
      </c>
      <c r="AG241" s="868">
        <f>IF(U241=AD241+AE241+AF241,0,AB241)</f>
        <v>0</v>
      </c>
      <c r="AH241" s="868">
        <f>IF(U241=AE241+AF241+AG241+AD241,0,AB241)</f>
        <v>0</v>
      </c>
      <c r="AI241" s="886">
        <f>IF(U241=AE241+AF241+AG241+AD241+AH241,0,AB241)</f>
        <v>0</v>
      </c>
      <c r="AJ241" s="886">
        <f>SUM(AD241:AI241)</f>
        <v>2058000000</v>
      </c>
      <c r="AK241" s="868">
        <f t="shared" si="81"/>
        <v>0</v>
      </c>
    </row>
    <row r="242" spans="1:37" s="998" customFormat="1" ht="35.25" customHeight="1" x14ac:dyDescent="0.15">
      <c r="A242" s="998">
        <v>181</v>
      </c>
      <c r="B242" s="998" t="str">
        <f t="shared" si="77"/>
        <v>SIMP. RAMBAHAN - RAMBAHAN</v>
      </c>
      <c r="D242" s="998" t="s">
        <v>3999</v>
      </c>
      <c r="E242" s="999" t="s">
        <v>4247</v>
      </c>
      <c r="F242" s="1000"/>
      <c r="G242" s="1010" t="s">
        <v>529</v>
      </c>
      <c r="H242" s="1011"/>
      <c r="I242" s="1001" t="s">
        <v>2494</v>
      </c>
      <c r="J242" s="1001">
        <v>0</v>
      </c>
      <c r="K242" s="1001" t="s">
        <v>8</v>
      </c>
      <c r="L242" s="1003">
        <v>4000</v>
      </c>
      <c r="M242" s="1001">
        <v>7</v>
      </c>
      <c r="N242" s="1003">
        <v>28000</v>
      </c>
      <c r="O242" s="1001" t="s">
        <v>674</v>
      </c>
      <c r="P242" s="1168">
        <v>2001</v>
      </c>
      <c r="Q242" s="1001">
        <v>0</v>
      </c>
      <c r="R242" s="1001">
        <v>0</v>
      </c>
      <c r="S242" s="1001" t="s">
        <v>384</v>
      </c>
      <c r="T242" s="1001" t="s">
        <v>12</v>
      </c>
      <c r="U242" s="1002">
        <f>765000000+261000000+H244+H245</f>
        <v>3057598859</v>
      </c>
      <c r="V242" s="1001" t="s">
        <v>43</v>
      </c>
      <c r="W242" s="1001">
        <v>0</v>
      </c>
      <c r="X242" s="1004"/>
      <c r="Y242" s="1005" t="str">
        <f t="shared" si="92"/>
        <v>04.13.01</v>
      </c>
      <c r="Z242" s="1006" t="str">
        <f t="shared" si="93"/>
        <v>Jalan</v>
      </c>
      <c r="AA242" s="1006">
        <f t="shared" si="94"/>
        <v>10</v>
      </c>
      <c r="AB242" s="1007"/>
      <c r="AC242" s="1008">
        <f>IF(2013-P242&gt;AA242,10,IF(2013-P242&lt;0,0,2013-P242))</f>
        <v>10</v>
      </c>
      <c r="AD242" s="1007"/>
      <c r="AE242" s="1007"/>
      <c r="AF242" s="1007"/>
      <c r="AG242" s="1007"/>
      <c r="AH242" s="1007"/>
      <c r="AI242" s="1009">
        <f>PERHITUNGAN!U1133</f>
        <v>365718309.20999998</v>
      </c>
      <c r="AJ242" s="1009">
        <f>PERHITUNGAN!U1137</f>
        <v>3132161874.2660003</v>
      </c>
      <c r="AK242" s="1007">
        <f t="shared" si="81"/>
        <v>-74563015.266000271</v>
      </c>
    </row>
    <row r="243" spans="1:37" s="857" customFormat="1" ht="35.25" customHeight="1" x14ac:dyDescent="0.2">
      <c r="A243" s="857">
        <v>181</v>
      </c>
      <c r="B243" s="857" t="str">
        <f>VLOOKUP(A243,RUAS,2,FALSE)</f>
        <v>SIMP. RAMBAHAN - RAMBAHAN</v>
      </c>
      <c r="E243" s="884" t="str">
        <f>RIGHT(D243,1)</f>
        <v/>
      </c>
      <c r="F243" s="855"/>
      <c r="G243" s="878" t="s">
        <v>529</v>
      </c>
      <c r="H243" s="879">
        <v>261000000</v>
      </c>
      <c r="I243" s="880" t="s">
        <v>2494</v>
      </c>
      <c r="J243" s="880"/>
      <c r="K243" s="880" t="s">
        <v>8</v>
      </c>
      <c r="L243" s="881" t="s">
        <v>580</v>
      </c>
      <c r="M243" s="880"/>
      <c r="N243" s="881"/>
      <c r="O243" s="880" t="s">
        <v>669</v>
      </c>
      <c r="P243" s="1126">
        <v>2001</v>
      </c>
      <c r="Q243" s="880"/>
      <c r="R243" s="880"/>
      <c r="S243" s="880" t="s">
        <v>384</v>
      </c>
      <c r="T243" s="880" t="s">
        <v>12</v>
      </c>
      <c r="U243" s="882"/>
      <c r="V243" s="880" t="s">
        <v>43</v>
      </c>
      <c r="W243" s="880"/>
      <c r="X243" s="969"/>
      <c r="Y243" s="884" t="str">
        <f>LEFT(I243,8)</f>
        <v>04.13.01</v>
      </c>
      <c r="Z243" s="884" t="str">
        <f>VLOOKUP(Y243,UE,3,FALSE)</f>
        <v>Jalan</v>
      </c>
      <c r="AA243" s="884">
        <f>VLOOKUP(Y243,UE,4,FALSE)</f>
        <v>10</v>
      </c>
      <c r="AB243" s="868"/>
      <c r="AC243" s="885"/>
      <c r="AD243" s="868"/>
      <c r="AE243" s="868"/>
      <c r="AF243" s="868"/>
      <c r="AG243" s="868"/>
      <c r="AH243" s="868"/>
      <c r="AI243" s="886"/>
      <c r="AJ243" s="886"/>
      <c r="AK243" s="868">
        <f>U243-AJ243</f>
        <v>0</v>
      </c>
    </row>
    <row r="244" spans="1:37" s="857" customFormat="1" ht="35.25" customHeight="1" x14ac:dyDescent="0.15">
      <c r="A244" s="857">
        <v>181</v>
      </c>
      <c r="B244" s="857" t="str">
        <f t="shared" si="77"/>
        <v>SIMP. RAMBAHAN - RAMBAHAN</v>
      </c>
      <c r="D244" s="857" t="s">
        <v>4000</v>
      </c>
      <c r="E244" s="877" t="s">
        <v>4247</v>
      </c>
      <c r="F244" s="855"/>
      <c r="G244" s="878" t="s">
        <v>1311</v>
      </c>
      <c r="H244" s="879">
        <v>254080364</v>
      </c>
      <c r="I244" s="880" t="s">
        <v>2494</v>
      </c>
      <c r="J244" s="880">
        <v>0</v>
      </c>
      <c r="K244" s="880">
        <v>0</v>
      </c>
      <c r="L244" s="881">
        <v>0</v>
      </c>
      <c r="M244" s="880">
        <v>0</v>
      </c>
      <c r="N244" s="881">
        <v>0</v>
      </c>
      <c r="O244" s="880" t="s">
        <v>3186</v>
      </c>
      <c r="P244" s="1126">
        <v>2014</v>
      </c>
      <c r="Q244" s="880">
        <v>0</v>
      </c>
      <c r="R244" s="880">
        <v>0</v>
      </c>
      <c r="S244" s="880">
        <v>0</v>
      </c>
      <c r="T244" s="880">
        <v>0</v>
      </c>
      <c r="U244" s="882"/>
      <c r="V244" s="880">
        <v>0</v>
      </c>
      <c r="W244" s="880">
        <v>0</v>
      </c>
      <c r="X244" s="969"/>
      <c r="Y244" s="883" t="str">
        <f t="shared" si="92"/>
        <v>04.13.01</v>
      </c>
      <c r="Z244" s="884" t="str">
        <f t="shared" si="93"/>
        <v>Jalan</v>
      </c>
      <c r="AA244" s="884">
        <f t="shared" si="94"/>
        <v>10</v>
      </c>
      <c r="AB244" s="868"/>
      <c r="AC244" s="885">
        <f>IF(2013-P244&gt;AA244,10,IF(2013-P244&lt;0,0,2013-P244))</f>
        <v>0</v>
      </c>
      <c r="AD244" s="868"/>
      <c r="AE244" s="868"/>
      <c r="AF244" s="868"/>
      <c r="AG244" s="868"/>
      <c r="AH244" s="868"/>
      <c r="AI244" s="886"/>
      <c r="AJ244" s="886"/>
      <c r="AK244" s="868">
        <f t="shared" si="81"/>
        <v>0</v>
      </c>
    </row>
    <row r="245" spans="1:37" s="857" customFormat="1" ht="35.25" customHeight="1" x14ac:dyDescent="0.15">
      <c r="A245" s="857">
        <v>181</v>
      </c>
      <c r="B245" s="857" t="str">
        <f t="shared" si="77"/>
        <v>SIMP. RAMBAHAN - RAMBAHAN</v>
      </c>
      <c r="D245" s="857" t="s">
        <v>4126</v>
      </c>
      <c r="E245" s="877" t="s">
        <v>4247</v>
      </c>
      <c r="F245" s="855"/>
      <c r="G245" s="878" t="s">
        <v>1423</v>
      </c>
      <c r="H245" s="879">
        <v>1777518495</v>
      </c>
      <c r="I245" s="880" t="s">
        <v>2494</v>
      </c>
      <c r="J245" s="880">
        <v>0</v>
      </c>
      <c r="K245" s="880">
        <v>0</v>
      </c>
      <c r="L245" s="881">
        <v>0</v>
      </c>
      <c r="M245" s="880">
        <v>0</v>
      </c>
      <c r="N245" s="881">
        <v>0</v>
      </c>
      <c r="O245" s="880" t="s">
        <v>674</v>
      </c>
      <c r="P245" s="1126">
        <v>2015</v>
      </c>
      <c r="Q245" s="880">
        <v>0</v>
      </c>
      <c r="R245" s="880">
        <v>0</v>
      </c>
      <c r="S245" s="880">
        <v>0</v>
      </c>
      <c r="T245" s="880" t="s">
        <v>12</v>
      </c>
      <c r="U245" s="882"/>
      <c r="V245" s="880">
        <v>0</v>
      </c>
      <c r="W245" s="880">
        <v>0</v>
      </c>
      <c r="X245" s="969"/>
      <c r="Y245" s="883" t="str">
        <f t="shared" si="92"/>
        <v>04.13.01</v>
      </c>
      <c r="Z245" s="884" t="str">
        <f t="shared" si="93"/>
        <v>Jalan</v>
      </c>
      <c r="AA245" s="884">
        <f t="shared" si="94"/>
        <v>10</v>
      </c>
      <c r="AB245" s="868"/>
      <c r="AC245" s="885">
        <f>IF(2013-P245&gt;AA245,10,IF(2013-P245&lt;0,0,2013-P245))</f>
        <v>0</v>
      </c>
      <c r="AD245" s="868"/>
      <c r="AE245" s="868"/>
      <c r="AF245" s="868"/>
      <c r="AG245" s="868"/>
      <c r="AH245" s="868"/>
      <c r="AI245" s="886"/>
      <c r="AJ245" s="886"/>
      <c r="AK245" s="868"/>
    </row>
    <row r="246" spans="1:37" s="857" customFormat="1" ht="35.25" customHeight="1" x14ac:dyDescent="0.2">
      <c r="A246" s="857">
        <v>182</v>
      </c>
      <c r="B246" s="857" t="str">
        <f t="shared" si="77"/>
        <v>LOGAS TANAH DARAT - SEI. RAMBAI</v>
      </c>
      <c r="D246" s="857" t="s">
        <v>4001</v>
      </c>
      <c r="E246" s="884" t="str">
        <f>RIGHT(D246,1)</f>
        <v>1</v>
      </c>
      <c r="F246" s="855"/>
      <c r="G246" s="878" t="s">
        <v>529</v>
      </c>
      <c r="H246" s="879"/>
      <c r="I246" s="880" t="s">
        <v>2494</v>
      </c>
      <c r="J246" s="880">
        <v>0</v>
      </c>
      <c r="K246" s="880" t="s">
        <v>525</v>
      </c>
      <c r="L246" s="881" t="s">
        <v>667</v>
      </c>
      <c r="M246" s="880">
        <v>7</v>
      </c>
      <c r="N246" s="881">
        <v>7525</v>
      </c>
      <c r="O246" s="880" t="s">
        <v>668</v>
      </c>
      <c r="P246" s="1126">
        <v>2001</v>
      </c>
      <c r="Q246" s="880">
        <v>0</v>
      </c>
      <c r="R246" s="880">
        <v>0</v>
      </c>
      <c r="S246" s="880" t="s">
        <v>384</v>
      </c>
      <c r="T246" s="880" t="s">
        <v>12</v>
      </c>
      <c r="U246" s="882">
        <v>580500000</v>
      </c>
      <c r="V246" s="880" t="s">
        <v>43</v>
      </c>
      <c r="W246" s="880">
        <v>0</v>
      </c>
      <c r="X246" s="969"/>
      <c r="Y246" s="884" t="str">
        <f t="shared" si="92"/>
        <v>04.13.01</v>
      </c>
      <c r="Z246" s="884" t="str">
        <f t="shared" si="93"/>
        <v>Jalan</v>
      </c>
      <c r="AA246" s="884">
        <f t="shared" si="94"/>
        <v>10</v>
      </c>
      <c r="AB246" s="868">
        <f>U246/AA246</f>
        <v>58050000</v>
      </c>
      <c r="AC246" s="885">
        <f>IF(2013-P246+1&gt;AA246,AA246,IF(2013-P246+1&lt;0,0,2013-P246+1))</f>
        <v>10</v>
      </c>
      <c r="AD246" s="868">
        <f>IF(AC246&gt;AA246,U246,AB246*AC246)</f>
        <v>580500000</v>
      </c>
      <c r="AE246" s="868">
        <f>IF(U246=AD246,0,AB246)</f>
        <v>0</v>
      </c>
      <c r="AF246" s="868">
        <f>IF(U246=AD246+AE246,0,AB246)</f>
        <v>0</v>
      </c>
      <c r="AG246" s="868">
        <f>IF(U246=AD246+AE246+AF246,0,AB246)</f>
        <v>0</v>
      </c>
      <c r="AH246" s="868">
        <f>IF(U246=AE246+AF246+AG246+AD246,0,AB246)</f>
        <v>0</v>
      </c>
      <c r="AI246" s="886">
        <f>IF(U246=AE246+AF246+AG246+AD246+AH246,0,AB246)</f>
        <v>0</v>
      </c>
      <c r="AJ246" s="886">
        <f>SUM(AD246:AI246)</f>
        <v>580500000</v>
      </c>
      <c r="AK246" s="868">
        <f>U246-AJ246</f>
        <v>0</v>
      </c>
    </row>
    <row r="247" spans="1:37" s="998" customFormat="1" ht="35.25" customHeight="1" x14ac:dyDescent="0.2">
      <c r="A247" s="998">
        <v>183</v>
      </c>
      <c r="B247" s="998" t="str">
        <f t="shared" si="77"/>
        <v>SUKARAJA - GIRI SAKO</v>
      </c>
      <c r="E247" s="1006" t="s">
        <v>4247</v>
      </c>
      <c r="F247" s="1000"/>
      <c r="G247" s="1010" t="s">
        <v>1168</v>
      </c>
      <c r="H247" s="1011"/>
      <c r="I247" s="1001" t="s">
        <v>3822</v>
      </c>
      <c r="J247" s="1001">
        <v>0</v>
      </c>
      <c r="K247" s="1001" t="s">
        <v>835</v>
      </c>
      <c r="L247" s="1003">
        <v>3</v>
      </c>
      <c r="M247" s="1001">
        <v>35</v>
      </c>
      <c r="N247" s="1003">
        <v>105</v>
      </c>
      <c r="O247" s="1001" t="s">
        <v>3103</v>
      </c>
      <c r="P247" s="1168">
        <v>2007</v>
      </c>
      <c r="Q247" s="1001">
        <v>0</v>
      </c>
      <c r="R247" s="1001">
        <v>0</v>
      </c>
      <c r="S247" s="1001">
        <v>0</v>
      </c>
      <c r="T247" s="1001" t="s">
        <v>12</v>
      </c>
      <c r="U247" s="1002">
        <f>789287288.455649+H248+H249+H250</f>
        <v>13073181159.878609</v>
      </c>
      <c r="V247" s="1001" t="s">
        <v>43</v>
      </c>
      <c r="W247" s="1001">
        <v>0</v>
      </c>
      <c r="X247" s="1004"/>
      <c r="Y247" s="1006" t="str">
        <f t="shared" si="92"/>
        <v>04.13.02</v>
      </c>
      <c r="Z247" s="1006" t="str">
        <f t="shared" si="93"/>
        <v>Jembatan</v>
      </c>
      <c r="AA247" s="1006">
        <f t="shared" si="94"/>
        <v>50</v>
      </c>
      <c r="AB247" s="1007"/>
      <c r="AC247" s="1008"/>
      <c r="AD247" s="1007"/>
      <c r="AE247" s="1007"/>
      <c r="AF247" s="1007"/>
      <c r="AG247" s="1007"/>
      <c r="AH247" s="1007"/>
      <c r="AI247" s="1009">
        <f>PERHITUNGAN!R1156</f>
        <v>929204069.18948519</v>
      </c>
      <c r="AJ247" s="1009">
        <f>PERHITUNGAN!U1160</f>
        <v>8009523284.2243166</v>
      </c>
      <c r="AK247" s="1007">
        <f>U247-AJ247</f>
        <v>5063657875.6542921</v>
      </c>
    </row>
    <row r="248" spans="1:37" s="857" customFormat="1" ht="35.25" customHeight="1" x14ac:dyDescent="0.15">
      <c r="A248" s="857">
        <v>183</v>
      </c>
      <c r="B248" s="857" t="str">
        <f t="shared" si="77"/>
        <v>SUKARAJA - GIRI SAKO</v>
      </c>
      <c r="D248" s="1015" t="s">
        <v>4196</v>
      </c>
      <c r="E248" s="877" t="s">
        <v>4247</v>
      </c>
      <c r="F248" s="855"/>
      <c r="G248" s="878" t="s">
        <v>1255</v>
      </c>
      <c r="H248" s="879">
        <v>8033301761.4229603</v>
      </c>
      <c r="I248" s="880" t="s">
        <v>2494</v>
      </c>
      <c r="J248" s="880">
        <v>0</v>
      </c>
      <c r="K248" s="880" t="s">
        <v>519</v>
      </c>
      <c r="L248" s="881">
        <v>0</v>
      </c>
      <c r="M248" s="880">
        <v>0</v>
      </c>
      <c r="N248" s="881">
        <v>0</v>
      </c>
      <c r="O248" s="880" t="s">
        <v>3103</v>
      </c>
      <c r="P248" s="1126">
        <v>2012</v>
      </c>
      <c r="Q248" s="880">
        <v>0</v>
      </c>
      <c r="R248" s="880">
        <v>0</v>
      </c>
      <c r="S248" s="880">
        <v>0</v>
      </c>
      <c r="T248" s="880" t="s">
        <v>12</v>
      </c>
      <c r="U248" s="882"/>
      <c r="V248" s="880" t="s">
        <v>43</v>
      </c>
      <c r="W248" s="880">
        <v>0</v>
      </c>
      <c r="X248" s="969"/>
      <c r="Y248" s="883" t="str">
        <f t="shared" si="92"/>
        <v>04.13.01</v>
      </c>
      <c r="Z248" s="884" t="str">
        <f t="shared" si="93"/>
        <v>Jalan</v>
      </c>
      <c r="AA248" s="884">
        <f t="shared" si="94"/>
        <v>10</v>
      </c>
      <c r="AB248" s="868"/>
      <c r="AC248" s="885"/>
      <c r="AD248" s="868"/>
      <c r="AE248" s="868"/>
      <c r="AF248" s="868"/>
      <c r="AG248" s="868"/>
      <c r="AH248" s="868"/>
      <c r="AI248" s="886"/>
      <c r="AJ248" s="886"/>
      <c r="AK248" s="868">
        <f>U248-AJ248</f>
        <v>0</v>
      </c>
    </row>
    <row r="249" spans="1:37" s="857" customFormat="1" ht="35.25" customHeight="1" x14ac:dyDescent="0.15">
      <c r="A249" s="857">
        <v>183</v>
      </c>
      <c r="B249" s="857" t="str">
        <f t="shared" si="77"/>
        <v>SUKARAJA - GIRI SAKO</v>
      </c>
      <c r="D249" s="1015" t="s">
        <v>4002</v>
      </c>
      <c r="E249" s="877" t="s">
        <v>4247</v>
      </c>
      <c r="F249" s="855"/>
      <c r="G249" s="878" t="s">
        <v>1354</v>
      </c>
      <c r="H249" s="879">
        <v>2127760813</v>
      </c>
      <c r="I249" s="880" t="s">
        <v>2494</v>
      </c>
      <c r="J249" s="880">
        <v>0</v>
      </c>
      <c r="K249" s="880">
        <v>0</v>
      </c>
      <c r="L249" s="881">
        <v>0</v>
      </c>
      <c r="M249" s="880">
        <v>0</v>
      </c>
      <c r="N249" s="881">
        <v>0</v>
      </c>
      <c r="O249" s="880" t="s">
        <v>3103</v>
      </c>
      <c r="P249" s="1126">
        <v>2015</v>
      </c>
      <c r="Q249" s="880">
        <v>0</v>
      </c>
      <c r="R249" s="880">
        <v>0</v>
      </c>
      <c r="S249" s="880">
        <v>0</v>
      </c>
      <c r="T249" s="880" t="s">
        <v>12</v>
      </c>
      <c r="U249" s="882"/>
      <c r="V249" s="880">
        <v>0</v>
      </c>
      <c r="W249" s="880">
        <v>0</v>
      </c>
      <c r="X249" s="969"/>
      <c r="Y249" s="883" t="str">
        <f t="shared" si="92"/>
        <v>04.13.01</v>
      </c>
      <c r="Z249" s="884" t="str">
        <f t="shared" si="93"/>
        <v>Jalan</v>
      </c>
      <c r="AA249" s="884">
        <f t="shared" si="94"/>
        <v>10</v>
      </c>
      <c r="AB249" s="868"/>
      <c r="AC249" s="885"/>
      <c r="AD249" s="868"/>
      <c r="AE249" s="868"/>
      <c r="AF249" s="868"/>
      <c r="AG249" s="868"/>
      <c r="AH249" s="868"/>
      <c r="AI249" s="886"/>
      <c r="AJ249" s="886"/>
      <c r="AK249" s="868">
        <f>U249-AJ249</f>
        <v>0</v>
      </c>
    </row>
    <row r="250" spans="1:37" s="857" customFormat="1" ht="35.25" customHeight="1" x14ac:dyDescent="0.15">
      <c r="A250" s="857">
        <v>183</v>
      </c>
      <c r="B250" s="857" t="str">
        <f t="shared" si="77"/>
        <v>SUKARAJA - GIRI SAKO</v>
      </c>
      <c r="D250" s="1015" t="s">
        <v>4003</v>
      </c>
      <c r="E250" s="877" t="s">
        <v>4247</v>
      </c>
      <c r="F250" s="855"/>
      <c r="G250" s="878" t="s">
        <v>1408</v>
      </c>
      <c r="H250" s="879">
        <v>2122831297</v>
      </c>
      <c r="I250" s="880" t="s">
        <v>2494</v>
      </c>
      <c r="J250" s="880">
        <v>0</v>
      </c>
      <c r="K250" s="880">
        <v>0</v>
      </c>
      <c r="L250" s="881">
        <v>0</v>
      </c>
      <c r="M250" s="880">
        <v>0</v>
      </c>
      <c r="N250" s="881">
        <v>0</v>
      </c>
      <c r="O250" s="880" t="s">
        <v>3103</v>
      </c>
      <c r="P250" s="1126">
        <v>2015</v>
      </c>
      <c r="Q250" s="880">
        <v>0</v>
      </c>
      <c r="R250" s="880">
        <v>0</v>
      </c>
      <c r="S250" s="880">
        <v>0</v>
      </c>
      <c r="T250" s="880" t="s">
        <v>12</v>
      </c>
      <c r="U250" s="882"/>
      <c r="V250" s="880">
        <v>0</v>
      </c>
      <c r="W250" s="880">
        <v>0</v>
      </c>
      <c r="X250" s="969"/>
      <c r="Y250" s="883" t="str">
        <f t="shared" si="92"/>
        <v>04.13.01</v>
      </c>
      <c r="Z250" s="884" t="str">
        <f t="shared" si="93"/>
        <v>Jalan</v>
      </c>
      <c r="AA250" s="884">
        <f t="shared" si="94"/>
        <v>10</v>
      </c>
      <c r="AB250" s="868"/>
      <c r="AC250" s="885"/>
      <c r="AD250" s="868"/>
      <c r="AE250" s="868"/>
      <c r="AF250" s="868"/>
      <c r="AG250" s="868"/>
      <c r="AH250" s="868"/>
      <c r="AI250" s="886"/>
      <c r="AJ250" s="886"/>
      <c r="AK250" s="868"/>
    </row>
    <row r="251" spans="1:37" s="857" customFormat="1" ht="35.25" customHeight="1" x14ac:dyDescent="0.2">
      <c r="A251" s="857">
        <v>184</v>
      </c>
      <c r="B251" s="857" t="str">
        <f t="shared" si="77"/>
        <v>LOGAS TANAH DARAT - HULU TESO</v>
      </c>
      <c r="D251" s="857" t="s">
        <v>4004</v>
      </c>
      <c r="E251" s="884" t="str">
        <f>RIGHT(D251,1)</f>
        <v>1</v>
      </c>
      <c r="F251" s="855"/>
      <c r="G251" s="878" t="s">
        <v>529</v>
      </c>
      <c r="H251" s="879"/>
      <c r="I251" s="880" t="s">
        <v>2494</v>
      </c>
      <c r="J251" s="880">
        <v>0</v>
      </c>
      <c r="K251" s="880" t="s">
        <v>525</v>
      </c>
      <c r="L251" s="881">
        <v>17300</v>
      </c>
      <c r="M251" s="880">
        <v>8</v>
      </c>
      <c r="N251" s="881">
        <v>138400</v>
      </c>
      <c r="O251" s="880" t="s">
        <v>672</v>
      </c>
      <c r="P251" s="1126">
        <v>2001</v>
      </c>
      <c r="Q251" s="880">
        <v>0</v>
      </c>
      <c r="R251" s="880">
        <v>0</v>
      </c>
      <c r="S251" s="880" t="s">
        <v>384</v>
      </c>
      <c r="T251" s="880" t="s">
        <v>12</v>
      </c>
      <c r="U251" s="882">
        <v>6552000000</v>
      </c>
      <c r="V251" s="880" t="s">
        <v>43</v>
      </c>
      <c r="W251" s="880">
        <v>0</v>
      </c>
      <c r="X251" s="969"/>
      <c r="Y251" s="884" t="str">
        <f t="shared" si="92"/>
        <v>04.13.01</v>
      </c>
      <c r="Z251" s="884" t="str">
        <f t="shared" si="93"/>
        <v>Jalan</v>
      </c>
      <c r="AA251" s="884">
        <f t="shared" si="94"/>
        <v>10</v>
      </c>
      <c r="AB251" s="868">
        <f>U251/AA251</f>
        <v>655200000</v>
      </c>
      <c r="AC251" s="885">
        <f>IF(2013-P251+1&gt;AA251,AA251,IF(2013-P251+1&lt;0,0,2013-P251+1))</f>
        <v>10</v>
      </c>
      <c r="AD251" s="868">
        <f>IF(AC251&gt;AA251,U251,AB251*AC251)</f>
        <v>6552000000</v>
      </c>
      <c r="AE251" s="868">
        <f>IF(U251=AD251,0,AB251)</f>
        <v>0</v>
      </c>
      <c r="AF251" s="868">
        <f>IF(U251=AD251+AE251,0,AB251)</f>
        <v>0</v>
      </c>
      <c r="AG251" s="868">
        <f>IF(U251=AD251+AE251+AF251,0,AB251)</f>
        <v>0</v>
      </c>
      <c r="AH251" s="868">
        <f>IF(U251=AE251+AF251+AG251+AD251,0,AB251)</f>
        <v>0</v>
      </c>
      <c r="AI251" s="886">
        <f>IF(U251=AE251+AF251+AG251+AD251+AH251,0,AB251)</f>
        <v>0</v>
      </c>
      <c r="AJ251" s="886">
        <f>SUM(AD251:AI251)</f>
        <v>6552000000</v>
      </c>
      <c r="AK251" s="868">
        <f>U251-AJ251</f>
        <v>0</v>
      </c>
    </row>
    <row r="252" spans="1:37" s="998" customFormat="1" ht="35.25" customHeight="1" x14ac:dyDescent="0.15">
      <c r="A252" s="998">
        <v>186</v>
      </c>
      <c r="B252" s="998" t="str">
        <f t="shared" si="77"/>
        <v>SAKO MARGA SARI - KUANTAN SAKO</v>
      </c>
      <c r="D252" s="998" t="s">
        <v>4005</v>
      </c>
      <c r="E252" s="999" t="s">
        <v>4247</v>
      </c>
      <c r="F252" s="1000"/>
      <c r="G252" s="1010" t="s">
        <v>529</v>
      </c>
      <c r="H252" s="1011"/>
      <c r="I252" s="1001" t="s">
        <v>2494</v>
      </c>
      <c r="J252" s="1001">
        <v>0</v>
      </c>
      <c r="K252" s="1001" t="s">
        <v>484</v>
      </c>
      <c r="L252" s="1003" t="s">
        <v>673</v>
      </c>
      <c r="M252" s="1001">
        <v>8</v>
      </c>
      <c r="N252" s="1003">
        <v>40800</v>
      </c>
      <c r="O252" s="1001" t="s">
        <v>676</v>
      </c>
      <c r="P252" s="1168">
        <v>2001</v>
      </c>
      <c r="Q252" s="1001">
        <v>0</v>
      </c>
      <c r="R252" s="1001">
        <v>0</v>
      </c>
      <c r="S252" s="1001" t="s">
        <v>482</v>
      </c>
      <c r="T252" s="1001" t="s">
        <v>12</v>
      </c>
      <c r="U252" s="1002">
        <f>2937600000+H253+H254+H255</f>
        <v>5296964886</v>
      </c>
      <c r="V252" s="1001" t="s">
        <v>43</v>
      </c>
      <c r="W252" s="1001">
        <v>0</v>
      </c>
      <c r="X252" s="1004"/>
      <c r="Y252" s="1005" t="str">
        <f t="shared" si="92"/>
        <v>04.13.01</v>
      </c>
      <c r="Z252" s="1006" t="str">
        <f t="shared" si="93"/>
        <v>Jalan</v>
      </c>
      <c r="AA252" s="1006">
        <f t="shared" si="94"/>
        <v>10</v>
      </c>
      <c r="AB252" s="1007"/>
      <c r="AC252" s="1008">
        <f>IF(2013-P252&gt;AA252,10,IF(2013-P252&lt;0,0,2013-P252))</f>
        <v>10</v>
      </c>
      <c r="AD252" s="1007"/>
      <c r="AE252" s="1007"/>
      <c r="AF252" s="1007"/>
      <c r="AG252" s="1007"/>
      <c r="AH252" s="1007"/>
      <c r="AI252" s="1009">
        <f>PERHITUNGAN!U1177</f>
        <v>214282983.70000005</v>
      </c>
      <c r="AJ252" s="1009">
        <f>PERHITUNGAN!U1180</f>
        <v>5552903329.1165361</v>
      </c>
      <c r="AK252" s="1007">
        <f>U252-AJ252</f>
        <v>-255938443.11653614</v>
      </c>
    </row>
    <row r="253" spans="1:37" s="857" customFormat="1" ht="35.25" customHeight="1" x14ac:dyDescent="0.15">
      <c r="A253" s="857">
        <v>186</v>
      </c>
      <c r="B253" s="857" t="str">
        <f t="shared" si="77"/>
        <v>SAKO MARGA SARI - KUANTAN SAKO</v>
      </c>
      <c r="D253" s="857" t="s">
        <v>4006</v>
      </c>
      <c r="E253" s="877" t="s">
        <v>4247</v>
      </c>
      <c r="F253" s="855"/>
      <c r="G253" s="878" t="s">
        <v>1297</v>
      </c>
      <c r="H253" s="879">
        <v>272429048</v>
      </c>
      <c r="I253" s="880" t="s">
        <v>2494</v>
      </c>
      <c r="J253" s="880">
        <v>0</v>
      </c>
      <c r="K253" s="880">
        <v>0</v>
      </c>
      <c r="L253" s="881">
        <v>0</v>
      </c>
      <c r="M253" s="880">
        <v>0</v>
      </c>
      <c r="N253" s="881">
        <v>0</v>
      </c>
      <c r="O253" s="880" t="s">
        <v>3180</v>
      </c>
      <c r="P253" s="1126">
        <v>2014</v>
      </c>
      <c r="Q253" s="880">
        <v>0</v>
      </c>
      <c r="R253" s="880">
        <v>0</v>
      </c>
      <c r="S253" s="880">
        <v>0</v>
      </c>
      <c r="T253" s="880">
        <v>0</v>
      </c>
      <c r="U253" s="882"/>
      <c r="V253" s="880">
        <v>0</v>
      </c>
      <c r="W253" s="880">
        <v>0</v>
      </c>
      <c r="X253" s="969"/>
      <c r="Y253" s="883" t="str">
        <f t="shared" si="92"/>
        <v>04.13.01</v>
      </c>
      <c r="Z253" s="884" t="str">
        <f t="shared" si="93"/>
        <v>Jalan</v>
      </c>
      <c r="AA253" s="884">
        <f t="shared" si="94"/>
        <v>10</v>
      </c>
      <c r="AB253" s="868"/>
      <c r="AC253" s="885"/>
      <c r="AD253" s="868"/>
      <c r="AE253" s="868"/>
      <c r="AF253" s="868"/>
      <c r="AG253" s="868"/>
      <c r="AH253" s="868"/>
      <c r="AI253" s="886"/>
      <c r="AJ253" s="886"/>
      <c r="AK253" s="868">
        <f>U253-AJ253</f>
        <v>0</v>
      </c>
    </row>
    <row r="254" spans="1:37" s="857" customFormat="1" ht="35.25" customHeight="1" x14ac:dyDescent="0.15">
      <c r="A254" s="857">
        <v>186</v>
      </c>
      <c r="B254" s="857" t="str">
        <f t="shared" si="77"/>
        <v>SAKO MARGA SARI - KUANTAN SAKO</v>
      </c>
      <c r="D254" s="857" t="s">
        <v>4007</v>
      </c>
      <c r="E254" s="877" t="s">
        <v>4247</v>
      </c>
      <c r="F254" s="855"/>
      <c r="G254" s="878" t="s">
        <v>1347</v>
      </c>
      <c r="H254" s="879">
        <v>1892921442</v>
      </c>
      <c r="I254" s="880" t="s">
        <v>2494</v>
      </c>
      <c r="J254" s="880">
        <v>0</v>
      </c>
      <c r="K254" s="880">
        <v>0</v>
      </c>
      <c r="L254" s="881">
        <v>0</v>
      </c>
      <c r="M254" s="880">
        <v>0</v>
      </c>
      <c r="N254" s="881">
        <v>0</v>
      </c>
      <c r="O254" s="880" t="s">
        <v>3213</v>
      </c>
      <c r="P254" s="1126">
        <v>2014</v>
      </c>
      <c r="Q254" s="880">
        <v>0</v>
      </c>
      <c r="R254" s="880">
        <v>0</v>
      </c>
      <c r="S254" s="880">
        <v>0</v>
      </c>
      <c r="T254" s="880">
        <v>0</v>
      </c>
      <c r="U254" s="882"/>
      <c r="V254" s="880">
        <v>0</v>
      </c>
      <c r="W254" s="880">
        <v>0</v>
      </c>
      <c r="X254" s="969"/>
      <c r="Y254" s="883" t="str">
        <f t="shared" si="92"/>
        <v>04.13.01</v>
      </c>
      <c r="Z254" s="884" t="str">
        <f t="shared" si="93"/>
        <v>Jalan</v>
      </c>
      <c r="AA254" s="884">
        <f t="shared" si="94"/>
        <v>10</v>
      </c>
      <c r="AB254" s="868"/>
      <c r="AC254" s="885"/>
      <c r="AD254" s="868"/>
      <c r="AE254" s="868"/>
      <c r="AF254" s="868"/>
      <c r="AG254" s="868"/>
      <c r="AH254" s="868"/>
      <c r="AI254" s="886"/>
      <c r="AJ254" s="886"/>
      <c r="AK254" s="868">
        <f>U254-AJ254</f>
        <v>0</v>
      </c>
    </row>
    <row r="255" spans="1:37" s="857" customFormat="1" ht="35.25" customHeight="1" x14ac:dyDescent="0.15">
      <c r="A255" s="857">
        <v>186</v>
      </c>
      <c r="B255" s="857" t="str">
        <f t="shared" si="77"/>
        <v>SAKO MARGA SARI - KUANTAN SAKO</v>
      </c>
      <c r="D255" s="857" t="s">
        <v>4118</v>
      </c>
      <c r="E255" s="877" t="s">
        <v>4247</v>
      </c>
      <c r="F255" s="855"/>
      <c r="G255" s="878" t="s">
        <v>1421</v>
      </c>
      <c r="H255" s="879">
        <v>194014396</v>
      </c>
      <c r="I255" s="880" t="s">
        <v>2494</v>
      </c>
      <c r="J255" s="880">
        <v>0</v>
      </c>
      <c r="K255" s="880">
        <v>0</v>
      </c>
      <c r="L255" s="881">
        <v>0</v>
      </c>
      <c r="M255" s="880">
        <v>0</v>
      </c>
      <c r="N255" s="881">
        <v>0</v>
      </c>
      <c r="O255" s="880" t="s">
        <v>676</v>
      </c>
      <c r="P255" s="1126">
        <v>2015</v>
      </c>
      <c r="Q255" s="880">
        <v>0</v>
      </c>
      <c r="R255" s="880">
        <v>0</v>
      </c>
      <c r="S255" s="880">
        <v>0</v>
      </c>
      <c r="T255" s="880" t="s">
        <v>12</v>
      </c>
      <c r="U255" s="882"/>
      <c r="V255" s="880">
        <v>0</v>
      </c>
      <c r="W255" s="880">
        <v>0</v>
      </c>
      <c r="X255" s="969"/>
      <c r="Y255" s="883" t="str">
        <f t="shared" si="92"/>
        <v>04.13.01</v>
      </c>
      <c r="Z255" s="884" t="str">
        <f t="shared" si="93"/>
        <v>Jalan</v>
      </c>
      <c r="AA255" s="884">
        <f t="shared" si="94"/>
        <v>10</v>
      </c>
      <c r="AB255" s="868"/>
      <c r="AC255" s="885"/>
      <c r="AD255" s="868"/>
      <c r="AE255" s="868"/>
      <c r="AF255" s="868"/>
      <c r="AG255" s="868"/>
      <c r="AH255" s="868"/>
      <c r="AI255" s="886"/>
      <c r="AJ255" s="886"/>
      <c r="AK255" s="868"/>
    </row>
    <row r="256" spans="1:37" s="857" customFormat="1" ht="35.25" customHeight="1" x14ac:dyDescent="0.2">
      <c r="A256" s="857">
        <v>189</v>
      </c>
      <c r="B256" s="857" t="str">
        <f>VLOOKUP(A256,RUAS,2,FALSE)</f>
        <v>PKL. INDARUNG - SUMPU</v>
      </c>
      <c r="E256" s="884" t="str">
        <f>RIGHT(D256,1)</f>
        <v/>
      </c>
      <c r="F256" s="855"/>
      <c r="G256" s="878" t="s">
        <v>529</v>
      </c>
      <c r="H256" s="879"/>
      <c r="I256" s="880" t="s">
        <v>2494</v>
      </c>
      <c r="J256" s="880"/>
      <c r="K256" s="880" t="s">
        <v>484</v>
      </c>
      <c r="L256" s="881" t="s">
        <v>651</v>
      </c>
      <c r="M256" s="880"/>
      <c r="N256" s="881"/>
      <c r="O256" s="880" t="s">
        <v>652</v>
      </c>
      <c r="P256" s="1126">
        <v>2001</v>
      </c>
      <c r="Q256" s="880"/>
      <c r="R256" s="880"/>
      <c r="S256" s="880" t="s">
        <v>482</v>
      </c>
      <c r="T256" s="880" t="s">
        <v>12</v>
      </c>
      <c r="U256" s="882">
        <v>17280000000</v>
      </c>
      <c r="V256" s="880" t="s">
        <v>135</v>
      </c>
      <c r="W256" s="880"/>
      <c r="X256" s="969"/>
      <c r="Y256" s="884" t="str">
        <f>LEFT(I256,8)</f>
        <v>04.13.01</v>
      </c>
      <c r="Z256" s="884" t="str">
        <f>VLOOKUP(Y256,UE,3,FALSE)</f>
        <v>Jalan</v>
      </c>
      <c r="AA256" s="884">
        <f>VLOOKUP(Y256,UE,4,FALSE)</f>
        <v>10</v>
      </c>
      <c r="AB256" s="868">
        <f>U256/AA256</f>
        <v>1728000000</v>
      </c>
      <c r="AC256" s="885">
        <f>IF(2013-P256+1&gt;AA256,AA256,IF(2013-P256+1&lt;0,0,2013-P256+1))</f>
        <v>10</v>
      </c>
      <c r="AD256" s="868">
        <f>IF(AC256&gt;AA256,U256,AB256*AC256)</f>
        <v>17280000000</v>
      </c>
      <c r="AE256" s="868">
        <f>IF(U256=AD256,0,AB256)</f>
        <v>0</v>
      </c>
      <c r="AF256" s="868">
        <f>IF(U256=AD256+AE256,0,AB256)</f>
        <v>0</v>
      </c>
      <c r="AG256" s="868">
        <f>IF(U256=AD256+AE256+AF256,0,AB256)</f>
        <v>0</v>
      </c>
      <c r="AH256" s="868">
        <f>IF(U256=AE256+AF256+AG256+AD256,0,AB256)</f>
        <v>0</v>
      </c>
      <c r="AI256" s="886">
        <f>IF(U256=AE256+AF256+AG256+AD256+AH256,0,AB256)</f>
        <v>0</v>
      </c>
      <c r="AJ256" s="886">
        <f>SUM(AD256:AI256)</f>
        <v>17280000000</v>
      </c>
      <c r="AK256" s="868">
        <f>U256-AJ256</f>
        <v>0</v>
      </c>
    </row>
    <row r="257" spans="1:37" s="857" customFormat="1" ht="35.25" customHeight="1" x14ac:dyDescent="0.2">
      <c r="A257" s="857">
        <v>189</v>
      </c>
      <c r="B257" s="857" t="str">
        <f t="shared" si="77"/>
        <v>PKL. INDARUNG - SUMPU</v>
      </c>
      <c r="E257" s="884" t="str">
        <f>RIGHT(D257,1)</f>
        <v/>
      </c>
      <c r="F257" s="855"/>
      <c r="G257" s="878" t="s">
        <v>529</v>
      </c>
      <c r="H257" s="879"/>
      <c r="I257" s="880" t="s">
        <v>2494</v>
      </c>
      <c r="J257" s="880">
        <v>0</v>
      </c>
      <c r="K257" s="880" t="s">
        <v>484</v>
      </c>
      <c r="L257" s="881">
        <v>25000</v>
      </c>
      <c r="M257" s="880">
        <v>8</v>
      </c>
      <c r="N257" s="881">
        <v>200000</v>
      </c>
      <c r="O257" s="880" t="s">
        <v>645</v>
      </c>
      <c r="P257" s="1126">
        <v>2001</v>
      </c>
      <c r="Q257" s="880">
        <v>0</v>
      </c>
      <c r="R257" s="880">
        <v>0</v>
      </c>
      <c r="S257" s="880" t="s">
        <v>482</v>
      </c>
      <c r="T257" s="880" t="s">
        <v>12</v>
      </c>
      <c r="U257" s="882">
        <v>14400000000</v>
      </c>
      <c r="V257" s="880" t="s">
        <v>43</v>
      </c>
      <c r="W257" s="880">
        <v>0</v>
      </c>
      <c r="X257" s="969"/>
      <c r="Y257" s="884" t="str">
        <f t="shared" si="92"/>
        <v>04.13.01</v>
      </c>
      <c r="Z257" s="884" t="str">
        <f t="shared" si="93"/>
        <v>Jalan</v>
      </c>
      <c r="AA257" s="884">
        <f t="shared" si="94"/>
        <v>10</v>
      </c>
      <c r="AB257" s="868">
        <f>U257/AA257</f>
        <v>1440000000</v>
      </c>
      <c r="AC257" s="885">
        <f>IF(2013-P257+1&gt;AA257,AA257,IF(2013-P257+1&lt;0,0,2013-P257+1))</f>
        <v>10</v>
      </c>
      <c r="AD257" s="868">
        <f>IF(AC257&gt;AA257,U257,AB257*AC257)</f>
        <v>14400000000</v>
      </c>
      <c r="AE257" s="868">
        <f>IF(U257=AD257,0,AB257)</f>
        <v>0</v>
      </c>
      <c r="AF257" s="868">
        <f>IF(U257=AD257+AE257,0,AB257)</f>
        <v>0</v>
      </c>
      <c r="AG257" s="868">
        <f>IF(U257=AD257+AE257+AF257,0,AB257)</f>
        <v>0</v>
      </c>
      <c r="AH257" s="868">
        <f>IF(U257=AE257+AF257+AG257+AD257,0,AB257)</f>
        <v>0</v>
      </c>
      <c r="AI257" s="886">
        <f>IF(U257=AE257+AF257+AG257+AD257+AH257,0,AB257)</f>
        <v>0</v>
      </c>
      <c r="AJ257" s="886">
        <f>SUM(AD257:AI257)</f>
        <v>14400000000</v>
      </c>
      <c r="AK257" s="868">
        <f t="shared" ref="AK257:AK263" si="95">U257-AJ257</f>
        <v>0</v>
      </c>
    </row>
    <row r="258" spans="1:37" s="998" customFormat="1" ht="35.25" customHeight="1" x14ac:dyDescent="0.2">
      <c r="A258" s="998">
        <v>190</v>
      </c>
      <c r="B258" s="998" t="str">
        <f t="shared" si="77"/>
        <v>SAMBUNG - KEBUN LADO</v>
      </c>
      <c r="E258" s="1006" t="s">
        <v>4763</v>
      </c>
      <c r="F258" s="1000"/>
      <c r="G258" s="1010" t="s">
        <v>1189</v>
      </c>
      <c r="H258" s="1011"/>
      <c r="I258" s="1001" t="s">
        <v>2494</v>
      </c>
      <c r="J258" s="1001">
        <v>0</v>
      </c>
      <c r="K258" s="1001">
        <v>0</v>
      </c>
      <c r="L258" s="1003">
        <v>0</v>
      </c>
      <c r="M258" s="1001">
        <v>0</v>
      </c>
      <c r="N258" s="1003">
        <v>0</v>
      </c>
      <c r="O258" s="1001" t="s">
        <v>3107</v>
      </c>
      <c r="P258" s="1168">
        <v>2007</v>
      </c>
      <c r="Q258" s="1001">
        <v>0</v>
      </c>
      <c r="R258" s="1001">
        <v>0</v>
      </c>
      <c r="S258" s="1001">
        <v>0</v>
      </c>
      <c r="T258" s="1001" t="s">
        <v>12</v>
      </c>
      <c r="U258" s="1002">
        <f>6847118208.58087+680558937.494922+H260+H261</f>
        <v>13532512949.617498</v>
      </c>
      <c r="V258" s="1001" t="s">
        <v>43</v>
      </c>
      <c r="W258" s="1001">
        <v>2</v>
      </c>
      <c r="X258" s="1004"/>
      <c r="Y258" s="1006" t="str">
        <f t="shared" si="92"/>
        <v>04.13.01</v>
      </c>
      <c r="Z258" s="1006" t="str">
        <f t="shared" si="93"/>
        <v>Jalan</v>
      </c>
      <c r="AA258" s="1006">
        <f t="shared" si="94"/>
        <v>10</v>
      </c>
      <c r="AB258" s="1007"/>
      <c r="AC258" s="1008"/>
      <c r="AD258" s="1007"/>
      <c r="AE258" s="1007"/>
      <c r="AF258" s="1007"/>
      <c r="AG258" s="1007"/>
      <c r="AH258" s="1007"/>
      <c r="AI258" s="1009">
        <f>PERHITUNGAN!R1199</f>
        <v>911660285.99233699</v>
      </c>
      <c r="AJ258" s="1009">
        <f>PERHITUNGAN!U1202</f>
        <v>10302957418.621035</v>
      </c>
      <c r="AK258" s="1007">
        <f t="shared" si="95"/>
        <v>3229555530.9964638</v>
      </c>
    </row>
    <row r="259" spans="1:37" s="998" customFormat="1" ht="35.25" customHeight="1" x14ac:dyDescent="0.2">
      <c r="A259" s="998">
        <v>190</v>
      </c>
      <c r="B259" s="998" t="str">
        <f>VLOOKUP(A259,RUAS,2,FALSE)</f>
        <v>SAMBUNG - KEBUN LADO</v>
      </c>
      <c r="E259" s="1006" t="s">
        <v>4763</v>
      </c>
      <c r="F259" s="1000"/>
      <c r="G259" s="1010" t="s">
        <v>1174</v>
      </c>
      <c r="H259" s="1011"/>
      <c r="I259" s="1001" t="s">
        <v>3822</v>
      </c>
      <c r="J259" s="1001">
        <v>0</v>
      </c>
      <c r="K259" s="1001" t="s">
        <v>835</v>
      </c>
      <c r="L259" s="1003">
        <v>4</v>
      </c>
      <c r="M259" s="1001">
        <v>3.5</v>
      </c>
      <c r="N259" s="1003">
        <v>14</v>
      </c>
      <c r="O259" s="1001" t="s">
        <v>3107</v>
      </c>
      <c r="P259" s="1168">
        <v>2007</v>
      </c>
      <c r="Q259" s="1001">
        <v>0</v>
      </c>
      <c r="R259" s="1001">
        <v>0</v>
      </c>
      <c r="S259" s="1001">
        <v>0</v>
      </c>
      <c r="T259" s="1001" t="s">
        <v>12</v>
      </c>
      <c r="U259" s="1002"/>
      <c r="V259" s="1001" t="s">
        <v>43</v>
      </c>
      <c r="W259" s="1001">
        <v>0</v>
      </c>
      <c r="X259" s="1004"/>
      <c r="Y259" s="1006" t="str">
        <f>LEFT(I259,8)</f>
        <v>04.13.02</v>
      </c>
      <c r="Z259" s="1006" t="str">
        <f>VLOOKUP(Y259,UE,3,FALSE)</f>
        <v>Jembatan</v>
      </c>
      <c r="AA259" s="1006">
        <f>VLOOKUP(Y259,UE,4,FALSE)</f>
        <v>50</v>
      </c>
      <c r="AB259" s="1007"/>
      <c r="AC259" s="1008"/>
      <c r="AD259" s="1007"/>
      <c r="AE259" s="1007"/>
      <c r="AF259" s="1007"/>
      <c r="AG259" s="1007"/>
      <c r="AH259" s="1007"/>
      <c r="AI259" s="1009"/>
      <c r="AJ259" s="1009"/>
      <c r="AK259" s="1007">
        <f>U259-AJ259</f>
        <v>0</v>
      </c>
    </row>
    <row r="260" spans="1:37" s="857" customFormat="1" ht="35.25" customHeight="1" x14ac:dyDescent="0.2">
      <c r="A260" s="857">
        <v>190</v>
      </c>
      <c r="B260" s="857" t="str">
        <f t="shared" si="77"/>
        <v>SAMBUNG - KEBUN LADO</v>
      </c>
      <c r="E260" s="884" t="s">
        <v>4763</v>
      </c>
      <c r="F260" s="855"/>
      <c r="G260" s="878" t="s">
        <v>1240</v>
      </c>
      <c r="H260" s="879">
        <v>1136545521.504935</v>
      </c>
      <c r="I260" s="880" t="s">
        <v>2494</v>
      </c>
      <c r="J260" s="880">
        <v>0</v>
      </c>
      <c r="K260" s="880" t="s">
        <v>519</v>
      </c>
      <c r="L260" s="881">
        <v>0</v>
      </c>
      <c r="M260" s="880">
        <v>0</v>
      </c>
      <c r="N260" s="881">
        <v>0</v>
      </c>
      <c r="O260" s="880" t="s">
        <v>3107</v>
      </c>
      <c r="P260" s="1126">
        <v>2012</v>
      </c>
      <c r="Q260" s="880">
        <v>0</v>
      </c>
      <c r="R260" s="880">
        <v>0</v>
      </c>
      <c r="S260" s="880">
        <v>0</v>
      </c>
      <c r="T260" s="880" t="s">
        <v>12</v>
      </c>
      <c r="U260" s="882"/>
      <c r="V260" s="880" t="s">
        <v>43</v>
      </c>
      <c r="W260" s="880">
        <v>2</v>
      </c>
      <c r="X260" s="969"/>
      <c r="Y260" s="884" t="str">
        <f t="shared" si="92"/>
        <v>04.13.01</v>
      </c>
      <c r="Z260" s="884" t="str">
        <f t="shared" si="93"/>
        <v>Jalan</v>
      </c>
      <c r="AA260" s="884">
        <f t="shared" si="94"/>
        <v>10</v>
      </c>
      <c r="AB260" s="868"/>
      <c r="AC260" s="885"/>
      <c r="AD260" s="868"/>
      <c r="AE260" s="868"/>
      <c r="AF260" s="868"/>
      <c r="AG260" s="868"/>
      <c r="AH260" s="868"/>
      <c r="AI260" s="886"/>
      <c r="AJ260" s="886"/>
      <c r="AK260" s="868">
        <f t="shared" si="95"/>
        <v>0</v>
      </c>
    </row>
    <row r="261" spans="1:37" s="857" customFormat="1" ht="35.25" customHeight="1" x14ac:dyDescent="0.2">
      <c r="A261" s="857">
        <v>190</v>
      </c>
      <c r="B261" s="857" t="str">
        <f t="shared" si="77"/>
        <v>SAMBUNG - KEBUN LADO</v>
      </c>
      <c r="E261" s="884" t="s">
        <v>4763</v>
      </c>
      <c r="F261" s="855"/>
      <c r="G261" s="878" t="s">
        <v>1440</v>
      </c>
      <c r="H261" s="879">
        <v>4868290282.0367718</v>
      </c>
      <c r="I261" s="880" t="s">
        <v>2494</v>
      </c>
      <c r="J261" s="880">
        <v>0</v>
      </c>
      <c r="K261" s="880">
        <v>0</v>
      </c>
      <c r="L261" s="881">
        <v>0</v>
      </c>
      <c r="M261" s="880">
        <v>0</v>
      </c>
      <c r="N261" s="881">
        <v>0</v>
      </c>
      <c r="O261" s="880" t="s">
        <v>3107</v>
      </c>
      <c r="P261" s="1126">
        <v>2016</v>
      </c>
      <c r="Q261" s="880">
        <v>0</v>
      </c>
      <c r="R261" s="880">
        <v>0</v>
      </c>
      <c r="S261" s="880">
        <v>0</v>
      </c>
      <c r="T261" s="880" t="s">
        <v>12</v>
      </c>
      <c r="U261" s="882"/>
      <c r="V261" s="880">
        <v>0</v>
      </c>
      <c r="W261" s="880">
        <v>0</v>
      </c>
      <c r="X261" s="969"/>
      <c r="Y261" s="884" t="str">
        <f t="shared" si="92"/>
        <v>04.13.01</v>
      </c>
      <c r="Z261" s="884" t="str">
        <f t="shared" si="93"/>
        <v>Jalan</v>
      </c>
      <c r="AA261" s="884">
        <f t="shared" si="94"/>
        <v>10</v>
      </c>
      <c r="AB261" s="868"/>
      <c r="AC261" s="885"/>
      <c r="AD261" s="868"/>
      <c r="AE261" s="868"/>
      <c r="AF261" s="868"/>
      <c r="AG261" s="868"/>
      <c r="AH261" s="868"/>
      <c r="AI261" s="886"/>
      <c r="AJ261" s="886"/>
      <c r="AK261" s="868">
        <f t="shared" si="95"/>
        <v>0</v>
      </c>
    </row>
    <row r="262" spans="1:37" s="857" customFormat="1" ht="35.25" customHeight="1" x14ac:dyDescent="0.2">
      <c r="A262" s="857">
        <v>191</v>
      </c>
      <c r="B262" s="857" t="str">
        <f t="shared" si="77"/>
        <v>LOGAS - MUDIK ULO</v>
      </c>
      <c r="D262" s="857" t="s">
        <v>4120</v>
      </c>
      <c r="E262" s="884" t="str">
        <f>RIGHT(D262,1)</f>
        <v>1</v>
      </c>
      <c r="F262" s="855"/>
      <c r="G262" s="878" t="s">
        <v>1383</v>
      </c>
      <c r="H262" s="879"/>
      <c r="I262" s="880" t="s">
        <v>2494</v>
      </c>
      <c r="J262" s="880">
        <v>0</v>
      </c>
      <c r="K262" s="880">
        <v>0</v>
      </c>
      <c r="L262" s="881">
        <v>0</v>
      </c>
      <c r="M262" s="880">
        <v>0</v>
      </c>
      <c r="N262" s="881">
        <v>0</v>
      </c>
      <c r="O262" s="880" t="s">
        <v>3226</v>
      </c>
      <c r="P262" s="1126">
        <v>2015</v>
      </c>
      <c r="Q262" s="880">
        <v>0</v>
      </c>
      <c r="R262" s="880">
        <v>0</v>
      </c>
      <c r="S262" s="880">
        <v>0</v>
      </c>
      <c r="T262" s="880" t="s">
        <v>12</v>
      </c>
      <c r="U262" s="882">
        <v>247494064</v>
      </c>
      <c r="V262" s="880">
        <v>0</v>
      </c>
      <c r="W262" s="880">
        <v>0</v>
      </c>
      <c r="X262" s="969"/>
      <c r="Y262" s="884" t="str">
        <f t="shared" si="92"/>
        <v>04.13.01</v>
      </c>
      <c r="Z262" s="884" t="str">
        <f t="shared" si="93"/>
        <v>Jalan</v>
      </c>
      <c r="AA262" s="884">
        <f t="shared" si="94"/>
        <v>10</v>
      </c>
      <c r="AB262" s="868">
        <f>U262/AA262</f>
        <v>24749406.399999999</v>
      </c>
      <c r="AC262" s="885">
        <f>IF(2013-P262+1&gt;AA262,AA262,IF(2013-P262+1&lt;0,0,2013-P262+1))</f>
        <v>0</v>
      </c>
      <c r="AD262" s="868">
        <f>IF(AC262&gt;AA262,U262,AB262*AC262)</f>
        <v>0</v>
      </c>
      <c r="AE262" s="868">
        <v>0</v>
      </c>
      <c r="AF262" s="868">
        <f>IF(U262=AD262+AE262,0,AB262)</f>
        <v>24749406.399999999</v>
      </c>
      <c r="AG262" s="868">
        <f>IF(U262=AD262+AE262+AF262,0,AB262)</f>
        <v>24749406.399999999</v>
      </c>
      <c r="AH262" s="868">
        <f>IF(U262=AE262+AF262+AG262+AD262,0,AB262)</f>
        <v>24749406.399999999</v>
      </c>
      <c r="AI262" s="886">
        <f>IF(U262=AE262+AF262+AG262+AD262+AH262,0,AB262)</f>
        <v>24749406.399999999</v>
      </c>
      <c r="AJ262" s="886">
        <f>SUM(AD262:AI262)</f>
        <v>98997625.599999994</v>
      </c>
      <c r="AK262" s="868">
        <f t="shared" si="95"/>
        <v>148496438.40000001</v>
      </c>
    </row>
    <row r="263" spans="1:37" s="998" customFormat="1" ht="35.25" customHeight="1" x14ac:dyDescent="0.15">
      <c r="A263" s="998">
        <v>197</v>
      </c>
      <c r="B263" s="998" t="str">
        <f t="shared" si="77"/>
        <v>LOGAS - AIR MAS</v>
      </c>
      <c r="D263" s="998" t="s">
        <v>4011</v>
      </c>
      <c r="E263" s="999" t="s">
        <v>4247</v>
      </c>
      <c r="F263" s="1000"/>
      <c r="G263" s="1010" t="s">
        <v>529</v>
      </c>
      <c r="H263" s="1011"/>
      <c r="I263" s="1001" t="s">
        <v>2494</v>
      </c>
      <c r="J263" s="1001">
        <v>0</v>
      </c>
      <c r="K263" s="1001" t="s">
        <v>479</v>
      </c>
      <c r="L263" s="1003">
        <v>14000</v>
      </c>
      <c r="M263" s="1001">
        <v>8</v>
      </c>
      <c r="N263" s="1003">
        <v>112000</v>
      </c>
      <c r="O263" s="1001" t="s">
        <v>643</v>
      </c>
      <c r="P263" s="1168">
        <v>2001</v>
      </c>
      <c r="Q263" s="1001">
        <v>0</v>
      </c>
      <c r="R263" s="1001">
        <v>0</v>
      </c>
      <c r="S263" s="1001" t="s">
        <v>482</v>
      </c>
      <c r="T263" s="1001" t="s">
        <v>12</v>
      </c>
      <c r="U263" s="1002">
        <f>12022715750+H264</f>
        <v>12669166450.572227</v>
      </c>
      <c r="V263" s="1001" t="s">
        <v>135</v>
      </c>
      <c r="W263" s="1001">
        <v>0</v>
      </c>
      <c r="X263" s="1004"/>
      <c r="Y263" s="1005" t="str">
        <f t="shared" si="92"/>
        <v>04.13.01</v>
      </c>
      <c r="Z263" s="1006" t="str">
        <f t="shared" si="93"/>
        <v>Jalan</v>
      </c>
      <c r="AA263" s="1006">
        <f t="shared" si="94"/>
        <v>10</v>
      </c>
      <c r="AB263" s="1007"/>
      <c r="AC263" s="1008">
        <f>IF(2013-P263&gt;AA263,10,IF(2013-P263&lt;0,0,2013-P263))</f>
        <v>10</v>
      </c>
      <c r="AD263" s="1007"/>
      <c r="AE263" s="1007"/>
      <c r="AF263" s="1007"/>
      <c r="AG263" s="1007"/>
      <c r="AH263" s="1007"/>
      <c r="AI263" s="1009">
        <f>PERHITUNGAN!R1219</f>
        <v>0</v>
      </c>
      <c r="AJ263" s="1009">
        <f>PERHITUNGAN!U1226</f>
        <v>12669166450.572226</v>
      </c>
      <c r="AK263" s="1007">
        <f t="shared" si="95"/>
        <v>0</v>
      </c>
    </row>
    <row r="264" spans="1:37" s="857" customFormat="1" ht="35.25" customHeight="1" x14ac:dyDescent="0.15">
      <c r="A264" s="857">
        <v>197</v>
      </c>
      <c r="B264" s="857" t="str">
        <f t="shared" si="77"/>
        <v>LOGAS - AIR MAS</v>
      </c>
      <c r="D264" s="857" t="s">
        <v>4119</v>
      </c>
      <c r="E264" s="877" t="s">
        <v>4247</v>
      </c>
      <c r="F264" s="855"/>
      <c r="G264" s="878" t="s">
        <v>1173</v>
      </c>
      <c r="H264" s="879">
        <v>646450700.572227</v>
      </c>
      <c r="I264" s="880" t="s">
        <v>2494</v>
      </c>
      <c r="J264" s="880">
        <v>0</v>
      </c>
      <c r="K264" s="880" t="s">
        <v>835</v>
      </c>
      <c r="L264" s="881">
        <v>2.5</v>
      </c>
      <c r="M264" s="880">
        <v>2.5</v>
      </c>
      <c r="N264" s="881">
        <v>6.25</v>
      </c>
      <c r="O264" s="880" t="s">
        <v>643</v>
      </c>
      <c r="P264" s="1126">
        <v>2007</v>
      </c>
      <c r="Q264" s="880">
        <v>0</v>
      </c>
      <c r="R264" s="880">
        <v>0</v>
      </c>
      <c r="S264" s="880">
        <v>0</v>
      </c>
      <c r="T264" s="880" t="s">
        <v>12</v>
      </c>
      <c r="U264" s="882"/>
      <c r="V264" s="880" t="s">
        <v>43</v>
      </c>
      <c r="W264" s="880">
        <v>0</v>
      </c>
      <c r="X264" s="969"/>
      <c r="Y264" s="883" t="str">
        <f t="shared" si="92"/>
        <v>04.13.01</v>
      </c>
      <c r="Z264" s="884" t="str">
        <f t="shared" si="93"/>
        <v>Jalan</v>
      </c>
      <c r="AA264" s="884">
        <f t="shared" si="94"/>
        <v>10</v>
      </c>
      <c r="AB264" s="868"/>
      <c r="AC264" s="885">
        <f>IF(2013-P264&gt;AA264,10,IF(2013-P264&lt;0,0,2013-P264))</f>
        <v>6</v>
      </c>
      <c r="AD264" s="868"/>
      <c r="AE264" s="868"/>
      <c r="AF264" s="868"/>
      <c r="AG264" s="868"/>
      <c r="AH264" s="868"/>
      <c r="AI264" s="886"/>
      <c r="AJ264" s="886"/>
      <c r="AK264" s="868"/>
    </row>
    <row r="265" spans="1:37" s="857" customFormat="1" ht="35.25" customHeight="1" x14ac:dyDescent="0.2">
      <c r="A265" s="857">
        <v>203</v>
      </c>
      <c r="B265" s="857" t="str">
        <f t="shared" ref="B265:B272" si="96">VLOOKUP(A265,RUAS,2,FALSE)</f>
        <v>JL. PANGAKALAN INDARUNG - JL. RUAS 189/189</v>
      </c>
      <c r="E265" s="884" t="str">
        <f>RIGHT(D265,1)</f>
        <v/>
      </c>
      <c r="F265" s="855"/>
      <c r="G265" s="878" t="s">
        <v>696</v>
      </c>
      <c r="H265" s="879"/>
      <c r="I265" s="880" t="s">
        <v>3821</v>
      </c>
      <c r="J265" s="880"/>
      <c r="K265" s="880" t="s">
        <v>8</v>
      </c>
      <c r="L265" s="881" t="s">
        <v>534</v>
      </c>
      <c r="M265" s="880"/>
      <c r="N265" s="881"/>
      <c r="O265" s="880" t="s">
        <v>724</v>
      </c>
      <c r="P265" s="1126">
        <v>2001</v>
      </c>
      <c r="Q265" s="880"/>
      <c r="R265" s="880"/>
      <c r="S265" s="880" t="s">
        <v>482</v>
      </c>
      <c r="T265" s="880" t="s">
        <v>12</v>
      </c>
      <c r="U265" s="882">
        <v>405000000</v>
      </c>
      <c r="V265" s="880" t="s">
        <v>43</v>
      </c>
      <c r="W265" s="880"/>
      <c r="X265" s="969"/>
      <c r="Y265" s="884" t="str">
        <f t="shared" ref="Y265:Y272" si="97">LEFT(I265,8)</f>
        <v>04.13.01</v>
      </c>
      <c r="Z265" s="884" t="str">
        <f t="shared" ref="Z265:Z272" si="98">VLOOKUP(Y265,UE,3,FALSE)</f>
        <v>Jalan</v>
      </c>
      <c r="AA265" s="884">
        <f t="shared" ref="AA265:AA272" si="99">VLOOKUP(Y265,UE,4,FALSE)</f>
        <v>10</v>
      </c>
      <c r="AB265" s="868">
        <f>U265/AA265</f>
        <v>40500000</v>
      </c>
      <c r="AC265" s="885">
        <f>IF(2013-P265+1&gt;AA265,AA265,IF(2013-P265+1&lt;0,0,2013-P265+1))</f>
        <v>10</v>
      </c>
      <c r="AD265" s="868">
        <f>IF(AC265&gt;AA265,U265,AB265*AC265)</f>
        <v>405000000</v>
      </c>
      <c r="AE265" s="868">
        <f>IF(U265=AD265,0,AB265)</f>
        <v>0</v>
      </c>
      <c r="AF265" s="868">
        <f>IF(U265=AD265+AE265,0,AB265)</f>
        <v>0</v>
      </c>
      <c r="AG265" s="868">
        <f>IF(U265=AD265+AE265+AF265,0,AB265)</f>
        <v>0</v>
      </c>
      <c r="AH265" s="868">
        <f>IF(U265=AE265+AF265+AG265+AD265,0,AB265)</f>
        <v>0</v>
      </c>
      <c r="AI265" s="886">
        <f>IF(U265=AE265+AF265+AG265+AD265+AH265,0,AB265)</f>
        <v>0</v>
      </c>
      <c r="AJ265" s="886">
        <f>SUM(AD265:AI265)</f>
        <v>405000000</v>
      </c>
      <c r="AK265" s="868">
        <f>U265-AJ265</f>
        <v>0</v>
      </c>
    </row>
    <row r="266" spans="1:37" s="857" customFormat="1" ht="35.25" customHeight="1" x14ac:dyDescent="0.2">
      <c r="A266" s="857">
        <v>206</v>
      </c>
      <c r="B266" s="857" t="str">
        <f t="shared" si="96"/>
        <v>JL. DIPONEGORO - JL. PASAR USANG</v>
      </c>
      <c r="E266" s="884" t="str">
        <f>RIGHT(D266,1)</f>
        <v/>
      </c>
      <c r="F266" s="855"/>
      <c r="G266" s="878" t="s">
        <v>696</v>
      </c>
      <c r="H266" s="879"/>
      <c r="I266" s="880" t="s">
        <v>3821</v>
      </c>
      <c r="J266" s="880"/>
      <c r="K266" s="880" t="s">
        <v>525</v>
      </c>
      <c r="L266" s="881" t="s">
        <v>551</v>
      </c>
      <c r="M266" s="880"/>
      <c r="N266" s="881"/>
      <c r="O266" s="880" t="s">
        <v>729</v>
      </c>
      <c r="P266" s="1126">
        <v>2001</v>
      </c>
      <c r="Q266" s="880"/>
      <c r="R266" s="880"/>
      <c r="S266" s="880" t="s">
        <v>482</v>
      </c>
      <c r="T266" s="880" t="s">
        <v>12</v>
      </c>
      <c r="U266" s="882">
        <v>270000000</v>
      </c>
      <c r="V266" s="880" t="s">
        <v>43</v>
      </c>
      <c r="W266" s="880"/>
      <c r="X266" s="969"/>
      <c r="Y266" s="884" t="str">
        <f t="shared" si="97"/>
        <v>04.13.01</v>
      </c>
      <c r="Z266" s="884" t="str">
        <f t="shared" si="98"/>
        <v>Jalan</v>
      </c>
      <c r="AA266" s="884">
        <f t="shared" si="99"/>
        <v>10</v>
      </c>
      <c r="AB266" s="868">
        <f>U266/AA266</f>
        <v>27000000</v>
      </c>
      <c r="AC266" s="885">
        <f>IF(2013-P266+1&gt;AA266,AA266,IF(2013-P266+1&lt;0,0,2013-P266+1))</f>
        <v>10</v>
      </c>
      <c r="AD266" s="868">
        <f>IF(AC266&gt;AA266,U266,AB266*AC266)</f>
        <v>270000000</v>
      </c>
      <c r="AE266" s="868">
        <f>IF(U266=AD266,0,AB266)</f>
        <v>0</v>
      </c>
      <c r="AF266" s="868">
        <f>IF(U266=AD266+AE266,0,AB266)</f>
        <v>0</v>
      </c>
      <c r="AG266" s="868">
        <f>IF(U266=AD266+AE266+AF266,0,AB266)</f>
        <v>0</v>
      </c>
      <c r="AH266" s="868">
        <f>IF(U266=AE266+AF266+AG266+AD266,0,AB266)</f>
        <v>0</v>
      </c>
      <c r="AI266" s="886">
        <f>IF(U266=AE266+AF266+AG266+AD266+AH266,0,AB266)</f>
        <v>0</v>
      </c>
      <c r="AJ266" s="886">
        <f>SUM(AD266:AI266)</f>
        <v>270000000</v>
      </c>
      <c r="AK266" s="868">
        <f>U266-AJ266</f>
        <v>0</v>
      </c>
    </row>
    <row r="267" spans="1:37" s="857" customFormat="1" ht="35.25" customHeight="1" x14ac:dyDescent="0.2">
      <c r="A267" s="857">
        <v>207</v>
      </c>
      <c r="B267" s="857" t="str">
        <f t="shared" si="96"/>
        <v>JL. IMAM BONJOL - JL. PADAT KARYA</v>
      </c>
      <c r="E267" s="884" t="str">
        <f>RIGHT(D267,1)</f>
        <v/>
      </c>
      <c r="F267" s="855"/>
      <c r="G267" s="878" t="s">
        <v>696</v>
      </c>
      <c r="H267" s="879"/>
      <c r="I267" s="880" t="s">
        <v>3821</v>
      </c>
      <c r="J267" s="880"/>
      <c r="K267" s="880" t="s">
        <v>525</v>
      </c>
      <c r="L267" s="881" t="s">
        <v>732</v>
      </c>
      <c r="M267" s="880"/>
      <c r="N267" s="881"/>
      <c r="O267" s="880" t="s">
        <v>733</v>
      </c>
      <c r="P267" s="1126">
        <v>2001</v>
      </c>
      <c r="Q267" s="880"/>
      <c r="R267" s="880"/>
      <c r="S267" s="880" t="s">
        <v>482</v>
      </c>
      <c r="T267" s="880" t="s">
        <v>12</v>
      </c>
      <c r="U267" s="882">
        <v>239400000</v>
      </c>
      <c r="V267" s="880" t="s">
        <v>43</v>
      </c>
      <c r="W267" s="880"/>
      <c r="X267" s="969"/>
      <c r="Y267" s="884" t="str">
        <f t="shared" si="97"/>
        <v>04.13.01</v>
      </c>
      <c r="Z267" s="884" t="str">
        <f t="shared" si="98"/>
        <v>Jalan</v>
      </c>
      <c r="AA267" s="884">
        <f t="shared" si="99"/>
        <v>10</v>
      </c>
      <c r="AB267" s="868">
        <f>U267/AA267</f>
        <v>23940000</v>
      </c>
      <c r="AC267" s="885">
        <f>IF(2013-P267+1&gt;AA267,AA267,IF(2013-P267+1&lt;0,0,2013-P267+1))</f>
        <v>10</v>
      </c>
      <c r="AD267" s="868">
        <f>IF(AC267&gt;AA267,U267,AB267*AC267)</f>
        <v>239400000</v>
      </c>
      <c r="AE267" s="868">
        <f>IF(U267=AD267,0,AB267)</f>
        <v>0</v>
      </c>
      <c r="AF267" s="868">
        <f>IF(U267=AD267+AE267,0,AB267)</f>
        <v>0</v>
      </c>
      <c r="AG267" s="868">
        <f>IF(U267=AD267+AE267+AF267,0,AB267)</f>
        <v>0</v>
      </c>
      <c r="AH267" s="868">
        <f>IF(U267=AE267+AF267+AG267+AD267,0,AB267)</f>
        <v>0</v>
      </c>
      <c r="AI267" s="886">
        <f>IF(U267=AE267+AF267+AG267+AD267+AH267,0,AB267)</f>
        <v>0</v>
      </c>
      <c r="AJ267" s="886">
        <f>SUM(AD267:AI267)</f>
        <v>239400000</v>
      </c>
      <c r="AK267" s="868">
        <f>U267-AJ267</f>
        <v>0</v>
      </c>
    </row>
    <row r="268" spans="1:37" s="857" customFormat="1" ht="35.25" customHeight="1" x14ac:dyDescent="0.2">
      <c r="A268" s="857">
        <v>208</v>
      </c>
      <c r="B268" s="857" t="str">
        <f t="shared" si="96"/>
        <v>JL. PERTUAN GADIS - SEI. LEMBU</v>
      </c>
      <c r="E268" s="884" t="str">
        <f>RIGHT(D268,1)</f>
        <v/>
      </c>
      <c r="F268" s="855"/>
      <c r="G268" s="878" t="s">
        <v>696</v>
      </c>
      <c r="H268" s="879"/>
      <c r="I268" s="880" t="s">
        <v>3821</v>
      </c>
      <c r="J268" s="880"/>
      <c r="K268" s="880" t="s">
        <v>525</v>
      </c>
      <c r="L268" s="881" t="s">
        <v>541</v>
      </c>
      <c r="M268" s="880"/>
      <c r="N268" s="881"/>
      <c r="O268" s="880" t="s">
        <v>728</v>
      </c>
      <c r="P268" s="1126">
        <v>2001</v>
      </c>
      <c r="Q268" s="880"/>
      <c r="R268" s="880"/>
      <c r="S268" s="880" t="s">
        <v>482</v>
      </c>
      <c r="T268" s="880" t="s">
        <v>12</v>
      </c>
      <c r="U268" s="882">
        <v>378000000</v>
      </c>
      <c r="V268" s="880" t="s">
        <v>43</v>
      </c>
      <c r="W268" s="880"/>
      <c r="X268" s="969"/>
      <c r="Y268" s="884" t="str">
        <f t="shared" si="97"/>
        <v>04.13.01</v>
      </c>
      <c r="Z268" s="884" t="str">
        <f t="shared" si="98"/>
        <v>Jalan</v>
      </c>
      <c r="AA268" s="884">
        <f t="shared" si="99"/>
        <v>10</v>
      </c>
      <c r="AB268" s="868">
        <f>U268/AA268</f>
        <v>37800000</v>
      </c>
      <c r="AC268" s="885">
        <f>IF(2013-P268+1&gt;AA268,AA268,IF(2013-P268+1&lt;0,0,2013-P268+1))</f>
        <v>10</v>
      </c>
      <c r="AD268" s="868">
        <f>IF(AC268&gt;AA268,U268,AB268*AC268)</f>
        <v>378000000</v>
      </c>
      <c r="AE268" s="868">
        <f>IF(U268=AD268,0,AB268)</f>
        <v>0</v>
      </c>
      <c r="AF268" s="868">
        <f>IF(U268=AD268+AE268,0,AB268)</f>
        <v>0</v>
      </c>
      <c r="AG268" s="868">
        <f>IF(U268=AD268+AE268+AF268,0,AB268)</f>
        <v>0</v>
      </c>
      <c r="AH268" s="868">
        <f>IF(U268=AE268+AF268+AG268+AD268,0,AB268)</f>
        <v>0</v>
      </c>
      <c r="AI268" s="886">
        <f>IF(U268=AE268+AF268+AG268+AD268+AH268,0,AB268)</f>
        <v>0</v>
      </c>
      <c r="AJ268" s="886">
        <f>SUM(AD268:AI268)</f>
        <v>378000000</v>
      </c>
      <c r="AK268" s="868">
        <f>U268-AJ268</f>
        <v>0</v>
      </c>
    </row>
    <row r="269" spans="1:37" s="857" customFormat="1" ht="35.25" customHeight="1" x14ac:dyDescent="0.2">
      <c r="A269" s="857">
        <v>208</v>
      </c>
      <c r="B269" s="857" t="str">
        <f t="shared" si="96"/>
        <v>JL. PERTUAN GADIS - SEI. LEMBU</v>
      </c>
      <c r="E269" s="884" t="str">
        <f>RIGHT(D269,1)</f>
        <v/>
      </c>
      <c r="F269" s="855"/>
      <c r="G269" s="878" t="s">
        <v>1155</v>
      </c>
      <c r="H269" s="879"/>
      <c r="I269" s="861" t="s">
        <v>2494</v>
      </c>
      <c r="J269" s="871"/>
      <c r="K269" s="861" t="s">
        <v>519</v>
      </c>
      <c r="L269" s="856"/>
      <c r="M269" s="862"/>
      <c r="N269" s="856"/>
      <c r="O269" s="863" t="s">
        <v>3092</v>
      </c>
      <c r="P269" s="861">
        <v>2007</v>
      </c>
      <c r="Q269" s="862"/>
      <c r="R269" s="862"/>
      <c r="S269" s="862"/>
      <c r="T269" s="862" t="s">
        <v>12</v>
      </c>
      <c r="U269" s="899">
        <v>92623120.774719015</v>
      </c>
      <c r="V269" s="861"/>
      <c r="W269" s="865"/>
      <c r="X269" s="968"/>
      <c r="Y269" s="884" t="str">
        <f t="shared" si="97"/>
        <v>04.13.01</v>
      </c>
      <c r="Z269" s="884" t="str">
        <f t="shared" si="98"/>
        <v>Jalan</v>
      </c>
      <c r="AA269" s="884">
        <f t="shared" si="99"/>
        <v>10</v>
      </c>
      <c r="AB269" s="868">
        <f>U269/AA269</f>
        <v>9262312.0774719007</v>
      </c>
      <c r="AC269" s="885">
        <f>IF(2013-P269+1&gt;AA269,AA269,IF(2013-P269+1&lt;0,0,2013-P269+1))</f>
        <v>7</v>
      </c>
      <c r="AD269" s="868">
        <f>IF(AC269&gt;AA269,U269,AB269*AC269)</f>
        <v>64836184.542303309</v>
      </c>
      <c r="AE269" s="868">
        <f>IF(U269=AD269,0,AB269)</f>
        <v>9262312.0774719007</v>
      </c>
      <c r="AF269" s="868">
        <f>IF(U269=AD269+AE269,0,AB269)</f>
        <v>9262312.0774719007</v>
      </c>
      <c r="AG269" s="868">
        <f>IF(U269=AD269+AE269+AF269,0,AB269)</f>
        <v>9262312.0774719007</v>
      </c>
      <c r="AH269" s="868">
        <f>IF(U269=AE269+AF269+AG269+AD269,0,AB269)</f>
        <v>0</v>
      </c>
      <c r="AI269" s="886">
        <f>IF(U269=AE269+AF269+AG269+AD269+AH269,0,AB269)</f>
        <v>0</v>
      </c>
      <c r="AJ269" s="886">
        <f>SUM(AD269:AI269)</f>
        <v>92623120.774719</v>
      </c>
      <c r="AK269" s="868">
        <f>U269-AJ269</f>
        <v>0</v>
      </c>
    </row>
    <row r="270" spans="1:37" s="998" customFormat="1" ht="35.25" customHeight="1" x14ac:dyDescent="0.15">
      <c r="A270" s="998">
        <v>229</v>
      </c>
      <c r="B270" s="998" t="str">
        <f t="shared" si="96"/>
        <v>SIMP. HANDOYO - SUMBER DATAR</v>
      </c>
      <c r="D270" s="998" t="s">
        <v>4012</v>
      </c>
      <c r="E270" s="999" t="s">
        <v>4247</v>
      </c>
      <c r="F270" s="1000"/>
      <c r="G270" s="1010" t="s">
        <v>529</v>
      </c>
      <c r="H270" s="1011"/>
      <c r="I270" s="1001" t="s">
        <v>2494</v>
      </c>
      <c r="J270" s="1001"/>
      <c r="K270" s="1001" t="s">
        <v>479</v>
      </c>
      <c r="L270" s="1003" t="s">
        <v>646</v>
      </c>
      <c r="M270" s="1001"/>
      <c r="N270" s="1003"/>
      <c r="O270" s="1001" t="s">
        <v>647</v>
      </c>
      <c r="P270" s="1168">
        <v>2001</v>
      </c>
      <c r="Q270" s="1001"/>
      <c r="R270" s="1001"/>
      <c r="S270" s="1001" t="s">
        <v>482</v>
      </c>
      <c r="T270" s="1001" t="s">
        <v>12</v>
      </c>
      <c r="U270" s="1002">
        <f>16170000000+H271+H272+H273+H274</f>
        <v>22647682560.266712</v>
      </c>
      <c r="V270" s="1001" t="s">
        <v>43</v>
      </c>
      <c r="W270" s="1001"/>
      <c r="X270" s="1004"/>
      <c r="Y270" s="1005" t="str">
        <f t="shared" si="97"/>
        <v>04.13.01</v>
      </c>
      <c r="Z270" s="1006" t="str">
        <f t="shared" si="98"/>
        <v>Jalan</v>
      </c>
      <c r="AA270" s="1006">
        <f t="shared" si="99"/>
        <v>10</v>
      </c>
      <c r="AB270" s="1007"/>
      <c r="AC270" s="1008">
        <f>IF(2013-P270&gt;AA270,10,IF(2013-P270&lt;0,0,2013-P270))</f>
        <v>10</v>
      </c>
      <c r="AD270" s="1007"/>
      <c r="AE270" s="1007"/>
      <c r="AF270" s="1007"/>
      <c r="AG270" s="1007"/>
      <c r="AH270" s="1007"/>
      <c r="AI270" s="1009">
        <f>PERHITUNGAN!R1266</f>
        <v>585317703.61495996</v>
      </c>
      <c r="AJ270" s="1009">
        <f>PERHITUNGAN!U1269</f>
        <v>19719421071.552544</v>
      </c>
      <c r="AK270" s="1007">
        <f t="shared" ref="AK270:AK280" si="100">U270-AJ270</f>
        <v>2928261488.7141685</v>
      </c>
    </row>
    <row r="271" spans="1:37" s="857" customFormat="1" ht="35.25" customHeight="1" x14ac:dyDescent="0.2">
      <c r="A271" s="857">
        <v>229</v>
      </c>
      <c r="B271" s="857" t="str">
        <f t="shared" si="96"/>
        <v>SIMP. HANDOYO - SUMBER DATAR</v>
      </c>
      <c r="E271" s="884" t="str">
        <f>RIGHT(D271,1)</f>
        <v/>
      </c>
      <c r="F271" s="855"/>
      <c r="G271" s="878" t="s">
        <v>1175</v>
      </c>
      <c r="H271" s="879">
        <v>631947584.81671309</v>
      </c>
      <c r="I271" s="861" t="s">
        <v>3822</v>
      </c>
      <c r="J271" s="871"/>
      <c r="K271" s="861" t="s">
        <v>835</v>
      </c>
      <c r="L271" s="856">
        <v>3</v>
      </c>
      <c r="M271" s="862">
        <v>3</v>
      </c>
      <c r="N271" s="856">
        <v>9</v>
      </c>
      <c r="O271" s="863" t="s">
        <v>3108</v>
      </c>
      <c r="P271" s="861">
        <v>2007</v>
      </c>
      <c r="Q271" s="862"/>
      <c r="R271" s="862"/>
      <c r="S271" s="862"/>
      <c r="T271" s="862" t="s">
        <v>12</v>
      </c>
      <c r="U271" s="899"/>
      <c r="V271" s="861" t="s">
        <v>43</v>
      </c>
      <c r="W271" s="865"/>
      <c r="X271" s="968"/>
      <c r="Y271" s="884" t="str">
        <f t="shared" si="97"/>
        <v>04.13.02</v>
      </c>
      <c r="Z271" s="884" t="str">
        <f t="shared" si="98"/>
        <v>Jembatan</v>
      </c>
      <c r="AA271" s="884">
        <f t="shared" si="99"/>
        <v>50</v>
      </c>
      <c r="AB271" s="868"/>
      <c r="AC271" s="885"/>
      <c r="AD271" s="868"/>
      <c r="AE271" s="868"/>
      <c r="AF271" s="868"/>
      <c r="AG271" s="868"/>
      <c r="AH271" s="868"/>
      <c r="AI271" s="886"/>
      <c r="AJ271" s="886"/>
      <c r="AK271" s="868">
        <f>U271-AJ271</f>
        <v>0</v>
      </c>
    </row>
    <row r="272" spans="1:37" s="857" customFormat="1" ht="35.25" customHeight="1" x14ac:dyDescent="0.2">
      <c r="A272" s="857">
        <v>229</v>
      </c>
      <c r="B272" s="857" t="str">
        <f t="shared" si="96"/>
        <v>SIMP. HANDOYO - SUMBER DATAR</v>
      </c>
      <c r="E272" s="884" t="str">
        <f>RIGHT(D272,1)</f>
        <v/>
      </c>
      <c r="F272" s="855"/>
      <c r="G272" s="878" t="s">
        <v>1226</v>
      </c>
      <c r="H272" s="879">
        <v>1650335467.45</v>
      </c>
      <c r="I272" s="861" t="s">
        <v>2494</v>
      </c>
      <c r="J272" s="871"/>
      <c r="K272" s="861" t="s">
        <v>519</v>
      </c>
      <c r="L272" s="856"/>
      <c r="M272" s="862"/>
      <c r="N272" s="856">
        <v>1000</v>
      </c>
      <c r="O272" s="863" t="s">
        <v>3134</v>
      </c>
      <c r="P272" s="861">
        <v>2011</v>
      </c>
      <c r="Q272" s="862"/>
      <c r="R272" s="862"/>
      <c r="S272" s="862"/>
      <c r="T272" s="862" t="s">
        <v>12</v>
      </c>
      <c r="U272" s="899"/>
      <c r="V272" s="861" t="s">
        <v>43</v>
      </c>
      <c r="W272" s="865"/>
      <c r="X272" s="968"/>
      <c r="Y272" s="884" t="str">
        <f t="shared" si="97"/>
        <v>04.13.01</v>
      </c>
      <c r="Z272" s="884" t="str">
        <f t="shared" si="98"/>
        <v>Jalan</v>
      </c>
      <c r="AA272" s="884">
        <f t="shared" si="99"/>
        <v>10</v>
      </c>
      <c r="AB272" s="868"/>
      <c r="AC272" s="885"/>
      <c r="AD272" s="868"/>
      <c r="AE272" s="868"/>
      <c r="AF272" s="868"/>
      <c r="AG272" s="868"/>
      <c r="AH272" s="868"/>
      <c r="AI272" s="886"/>
      <c r="AJ272" s="886"/>
      <c r="AK272" s="868">
        <f>U272-AJ272</f>
        <v>0</v>
      </c>
    </row>
    <row r="273" spans="1:37" s="857" customFormat="1" ht="35.25" customHeight="1" x14ac:dyDescent="0.15">
      <c r="A273" s="857">
        <v>229</v>
      </c>
      <c r="B273" s="857" t="str">
        <f t="shared" si="77"/>
        <v>SIMP. HANDOYO - SUMBER DATAR</v>
      </c>
      <c r="D273" s="857" t="s">
        <v>4013</v>
      </c>
      <c r="E273" s="877" t="s">
        <v>4247</v>
      </c>
      <c r="F273" s="855"/>
      <c r="G273" s="878" t="s">
        <v>1315</v>
      </c>
      <c r="H273" s="882">
        <f>1927376842</f>
        <v>1927376842</v>
      </c>
      <c r="I273" s="880" t="s">
        <v>2494</v>
      </c>
      <c r="J273" s="880">
        <v>0</v>
      </c>
      <c r="K273" s="880">
        <v>0</v>
      </c>
      <c r="L273" s="881">
        <v>0</v>
      </c>
      <c r="M273" s="880">
        <v>0</v>
      </c>
      <c r="N273" s="881">
        <v>0</v>
      </c>
      <c r="O273" s="880" t="s">
        <v>3189</v>
      </c>
      <c r="P273" s="1126">
        <v>2014</v>
      </c>
      <c r="Q273" s="880">
        <v>0</v>
      </c>
      <c r="R273" s="880">
        <v>0</v>
      </c>
      <c r="S273" s="880">
        <v>0</v>
      </c>
      <c r="T273" s="880">
        <v>0</v>
      </c>
      <c r="U273" s="882"/>
      <c r="V273" s="880">
        <v>0</v>
      </c>
      <c r="W273" s="880">
        <v>0</v>
      </c>
      <c r="X273" s="969"/>
      <c r="Y273" s="883" t="str">
        <f t="shared" si="92"/>
        <v>04.13.01</v>
      </c>
      <c r="Z273" s="884" t="str">
        <f t="shared" si="93"/>
        <v>Jalan</v>
      </c>
      <c r="AA273" s="884">
        <f t="shared" si="94"/>
        <v>10</v>
      </c>
      <c r="AB273" s="868"/>
      <c r="AC273" s="885"/>
      <c r="AD273" s="868"/>
      <c r="AE273" s="868"/>
      <c r="AF273" s="868"/>
      <c r="AG273" s="868"/>
      <c r="AH273" s="868"/>
      <c r="AI273" s="886"/>
      <c r="AJ273" s="886"/>
      <c r="AK273" s="868">
        <f t="shared" si="100"/>
        <v>0</v>
      </c>
    </row>
    <row r="274" spans="1:37" s="857" customFormat="1" ht="35.25" customHeight="1" x14ac:dyDescent="0.15">
      <c r="A274" s="857">
        <v>229</v>
      </c>
      <c r="B274" s="857" t="str">
        <f t="shared" si="77"/>
        <v>SIMP. HANDOYO - SUMBER DATAR</v>
      </c>
      <c r="D274" s="1015" t="s">
        <v>4197</v>
      </c>
      <c r="E274" s="877" t="s">
        <v>4247</v>
      </c>
      <c r="F274" s="855"/>
      <c r="G274" s="878" t="s">
        <v>3322</v>
      </c>
      <c r="H274" s="879">
        <v>2268022666</v>
      </c>
      <c r="I274" s="880" t="s">
        <v>2494</v>
      </c>
      <c r="J274" s="880">
        <v>0</v>
      </c>
      <c r="K274" s="880">
        <v>0</v>
      </c>
      <c r="L274" s="881">
        <v>0</v>
      </c>
      <c r="M274" s="880">
        <v>0</v>
      </c>
      <c r="N274" s="881">
        <v>0</v>
      </c>
      <c r="O274" s="880" t="s">
        <v>3189</v>
      </c>
      <c r="P274" s="1126">
        <v>2018</v>
      </c>
      <c r="Q274" s="880">
        <v>0</v>
      </c>
      <c r="R274" s="880">
        <v>0</v>
      </c>
      <c r="S274" s="880">
        <v>0</v>
      </c>
      <c r="T274" s="880" t="s">
        <v>12</v>
      </c>
      <c r="U274" s="882"/>
      <c r="V274" s="880">
        <v>0</v>
      </c>
      <c r="W274" s="880">
        <v>0</v>
      </c>
      <c r="X274" s="969"/>
      <c r="Y274" s="883" t="str">
        <f t="shared" si="92"/>
        <v>04.13.01</v>
      </c>
      <c r="Z274" s="884" t="str">
        <f t="shared" si="93"/>
        <v>Jalan</v>
      </c>
      <c r="AA274" s="884">
        <f t="shared" si="94"/>
        <v>10</v>
      </c>
      <c r="AB274" s="868"/>
      <c r="AC274" s="885"/>
      <c r="AD274" s="868"/>
      <c r="AE274" s="868"/>
      <c r="AF274" s="868"/>
      <c r="AG274" s="868"/>
      <c r="AH274" s="868"/>
      <c r="AI274" s="886"/>
      <c r="AJ274" s="886"/>
      <c r="AK274" s="868">
        <f t="shared" si="100"/>
        <v>0</v>
      </c>
    </row>
    <row r="275" spans="1:37" s="998" customFormat="1" ht="35.25" customHeight="1" x14ac:dyDescent="0.15">
      <c r="A275" s="998">
        <v>230</v>
      </c>
      <c r="B275" s="998" t="str">
        <f t="shared" si="77"/>
        <v>LOGAS - SUMBER DATAR</v>
      </c>
      <c r="D275" s="998" t="s">
        <v>4014</v>
      </c>
      <c r="E275" s="999" t="s">
        <v>4247</v>
      </c>
      <c r="F275" s="1000"/>
      <c r="G275" s="1010" t="s">
        <v>1285</v>
      </c>
      <c r="H275" s="1011"/>
      <c r="I275" s="1001" t="s">
        <v>2494</v>
      </c>
      <c r="J275" s="1001">
        <v>0</v>
      </c>
      <c r="K275" s="1001" t="s">
        <v>839</v>
      </c>
      <c r="L275" s="1003">
        <v>0</v>
      </c>
      <c r="M275" s="1001">
        <v>0</v>
      </c>
      <c r="N275" s="1003">
        <v>0</v>
      </c>
      <c r="O275" s="1001" t="s">
        <v>3175</v>
      </c>
      <c r="P275" s="1168">
        <v>2013</v>
      </c>
      <c r="Q275" s="1001">
        <v>0</v>
      </c>
      <c r="R275" s="1001">
        <v>0</v>
      </c>
      <c r="S275" s="1001">
        <v>0</v>
      </c>
      <c r="T275" s="1001" t="s">
        <v>12</v>
      </c>
      <c r="U275" s="1002">
        <f>716925612+H276</f>
        <v>3536253838.6399999</v>
      </c>
      <c r="V275" s="1001">
        <v>0</v>
      </c>
      <c r="W275" s="1001">
        <v>0</v>
      </c>
      <c r="X275" s="1004"/>
      <c r="Y275" s="1005" t="str">
        <f t="shared" si="92"/>
        <v>04.13.01</v>
      </c>
      <c r="Z275" s="1006" t="str">
        <f t="shared" si="93"/>
        <v>Jalan</v>
      </c>
      <c r="AA275" s="1006">
        <f t="shared" si="94"/>
        <v>10</v>
      </c>
      <c r="AB275" s="1007"/>
      <c r="AC275" s="1008"/>
      <c r="AD275" s="1007"/>
      <c r="AE275" s="1007"/>
      <c r="AF275" s="1007"/>
      <c r="AG275" s="1007"/>
      <c r="AH275" s="1007"/>
      <c r="AI275" s="1009">
        <f>PERHITUNGAN!U1281</f>
        <v>332117615.50400001</v>
      </c>
      <c r="AJ275" s="1009">
        <f>PERHITUNGAN!U1285</f>
        <v>1656405558.2758</v>
      </c>
      <c r="AK275" s="1007">
        <f t="shared" si="100"/>
        <v>1879848280.3641999</v>
      </c>
    </row>
    <row r="276" spans="1:37" s="857" customFormat="1" ht="35.25" customHeight="1" x14ac:dyDescent="0.15">
      <c r="A276" s="857">
        <v>230</v>
      </c>
      <c r="B276" s="857" t="str">
        <f t="shared" si="77"/>
        <v>LOGAS - SUMBER DATAR</v>
      </c>
      <c r="D276" s="857" t="s">
        <v>4015</v>
      </c>
      <c r="E276" s="877" t="s">
        <v>4247</v>
      </c>
      <c r="F276" s="855"/>
      <c r="G276" s="878" t="s">
        <v>1442</v>
      </c>
      <c r="H276" s="879">
        <v>2819328226.6399999</v>
      </c>
      <c r="I276" s="880" t="s">
        <v>2494</v>
      </c>
      <c r="J276" s="880">
        <v>0</v>
      </c>
      <c r="K276" s="880">
        <v>0</v>
      </c>
      <c r="L276" s="881">
        <v>0</v>
      </c>
      <c r="M276" s="880">
        <v>0</v>
      </c>
      <c r="N276" s="881">
        <v>0</v>
      </c>
      <c r="O276" s="880" t="s">
        <v>3257</v>
      </c>
      <c r="P276" s="1126">
        <v>2016</v>
      </c>
      <c r="Q276" s="880">
        <v>0</v>
      </c>
      <c r="R276" s="880">
        <v>0</v>
      </c>
      <c r="S276" s="880">
        <v>0</v>
      </c>
      <c r="T276" s="880" t="s">
        <v>12</v>
      </c>
      <c r="U276" s="882"/>
      <c r="V276" s="880">
        <v>0</v>
      </c>
      <c r="W276" s="880">
        <v>0</v>
      </c>
      <c r="X276" s="969"/>
      <c r="Y276" s="883" t="str">
        <f t="shared" si="92"/>
        <v>04.13.01</v>
      </c>
      <c r="Z276" s="884" t="str">
        <f t="shared" si="93"/>
        <v>Jalan</v>
      </c>
      <c r="AA276" s="884">
        <f t="shared" si="94"/>
        <v>10</v>
      </c>
      <c r="AB276" s="868"/>
      <c r="AC276" s="885"/>
      <c r="AD276" s="868"/>
      <c r="AE276" s="868"/>
      <c r="AF276" s="868"/>
      <c r="AG276" s="868"/>
      <c r="AH276" s="868"/>
      <c r="AI276" s="886"/>
      <c r="AJ276" s="886"/>
      <c r="AK276" s="868">
        <f t="shared" si="100"/>
        <v>0</v>
      </c>
    </row>
    <row r="277" spans="1:37" s="857" customFormat="1" ht="35.25" customHeight="1" x14ac:dyDescent="0.2">
      <c r="A277" s="857">
        <v>231</v>
      </c>
      <c r="B277" s="857" t="str">
        <f t="shared" ref="B277:B370" si="101">VLOOKUP(A277,RUAS,2,FALSE)</f>
        <v>PASIR MAS - SAKO MARGASARI</v>
      </c>
      <c r="D277" s="857" t="s">
        <v>4016</v>
      </c>
      <c r="E277" s="884" t="str">
        <f>RIGHT(D277,1)</f>
        <v>1</v>
      </c>
      <c r="F277" s="855"/>
      <c r="G277" s="878" t="s">
        <v>1377</v>
      </c>
      <c r="H277" s="879"/>
      <c r="I277" s="880" t="s">
        <v>2494</v>
      </c>
      <c r="J277" s="880">
        <v>0</v>
      </c>
      <c r="K277" s="880">
        <v>0</v>
      </c>
      <c r="L277" s="881">
        <v>0</v>
      </c>
      <c r="M277" s="880">
        <v>0</v>
      </c>
      <c r="N277" s="881">
        <v>0</v>
      </c>
      <c r="O277" s="880" t="s">
        <v>3222</v>
      </c>
      <c r="P277" s="1126">
        <v>2015</v>
      </c>
      <c r="Q277" s="880">
        <v>0</v>
      </c>
      <c r="R277" s="880">
        <v>0</v>
      </c>
      <c r="S277" s="880">
        <v>0</v>
      </c>
      <c r="T277" s="880" t="s">
        <v>12</v>
      </c>
      <c r="U277" s="882">
        <v>2066023866.2</v>
      </c>
      <c r="V277" s="880">
        <v>0</v>
      </c>
      <c r="W277" s="880">
        <v>0</v>
      </c>
      <c r="X277" s="969"/>
      <c r="Y277" s="884" t="str">
        <f t="shared" si="92"/>
        <v>04.13.01</v>
      </c>
      <c r="Z277" s="884" t="str">
        <f t="shared" si="93"/>
        <v>Jalan</v>
      </c>
      <c r="AA277" s="884">
        <f t="shared" si="94"/>
        <v>10</v>
      </c>
      <c r="AB277" s="868">
        <f>U277/AA277</f>
        <v>206602386.62</v>
      </c>
      <c r="AC277" s="885">
        <f>IF(2013-P277+1&gt;AA277,AA277,IF(2013-P277+1&lt;0,0,2013-P277+1))</f>
        <v>0</v>
      </c>
      <c r="AD277" s="868">
        <f>IF(AC277&gt;AA277,U277,AB277*AC277)</f>
        <v>0</v>
      </c>
      <c r="AE277" s="868">
        <v>0</v>
      </c>
      <c r="AF277" s="868">
        <f>IF(U277=AD277+AE277,0,AB277)</f>
        <v>206602386.62</v>
      </c>
      <c r="AG277" s="868">
        <f>IF(U277=AD277+AE277+AF277,0,AB277)</f>
        <v>206602386.62</v>
      </c>
      <c r="AH277" s="868">
        <f>IF(U277=AE277+AF277+AG277+AD277,0,AB277)</f>
        <v>206602386.62</v>
      </c>
      <c r="AI277" s="886">
        <f>IF(U277=AE277+AF277+AG277+AD277+AH277,0,AB277)</f>
        <v>206602386.62</v>
      </c>
      <c r="AJ277" s="886">
        <f>SUM(AD277:AI277)</f>
        <v>826409546.48000002</v>
      </c>
      <c r="AK277" s="868">
        <f t="shared" si="100"/>
        <v>1239614319.72</v>
      </c>
    </row>
    <row r="278" spans="1:37" s="857" customFormat="1" ht="35.25" customHeight="1" x14ac:dyDescent="0.2">
      <c r="A278" s="857">
        <v>233</v>
      </c>
      <c r="B278" s="857" t="str">
        <f t="shared" si="101"/>
        <v>SP. KEBUN LADO - SEI. SIRIH</v>
      </c>
      <c r="D278" s="857" t="s">
        <v>4017</v>
      </c>
      <c r="E278" s="884" t="str">
        <f>RIGHT(D278,1)</f>
        <v>1</v>
      </c>
      <c r="F278" s="855"/>
      <c r="G278" s="878" t="s">
        <v>529</v>
      </c>
      <c r="H278" s="879"/>
      <c r="I278" s="880" t="s">
        <v>2494</v>
      </c>
      <c r="J278" s="880">
        <v>0</v>
      </c>
      <c r="K278" s="880" t="s">
        <v>479</v>
      </c>
      <c r="L278" s="881" t="s">
        <v>641</v>
      </c>
      <c r="M278" s="880">
        <v>8</v>
      </c>
      <c r="N278" s="881">
        <v>28000</v>
      </c>
      <c r="O278" s="880" t="s">
        <v>642</v>
      </c>
      <c r="P278" s="1126">
        <v>2001</v>
      </c>
      <c r="Q278" s="880">
        <v>0</v>
      </c>
      <c r="R278" s="880">
        <v>0</v>
      </c>
      <c r="S278" s="880" t="s">
        <v>482</v>
      </c>
      <c r="T278" s="880" t="s">
        <v>12</v>
      </c>
      <c r="U278" s="882">
        <v>8400000000</v>
      </c>
      <c r="V278" s="880" t="s">
        <v>43</v>
      </c>
      <c r="W278" s="880">
        <v>0</v>
      </c>
      <c r="X278" s="969"/>
      <c r="Y278" s="884" t="str">
        <f t="shared" si="92"/>
        <v>04.13.01</v>
      </c>
      <c r="Z278" s="884" t="str">
        <f t="shared" si="93"/>
        <v>Jalan</v>
      </c>
      <c r="AA278" s="884">
        <f t="shared" si="94"/>
        <v>10</v>
      </c>
      <c r="AB278" s="868">
        <f>U278/AA278</f>
        <v>840000000</v>
      </c>
      <c r="AC278" s="885">
        <f>IF(2013-P278+1&gt;AA278,AA278,IF(2013-P278+1&lt;0,0,2013-P278+1))</f>
        <v>10</v>
      </c>
      <c r="AD278" s="868">
        <f>IF(AC278&gt;AA278,U278,AB278*AC278)</f>
        <v>8400000000</v>
      </c>
      <c r="AE278" s="868">
        <f>IF(U278=AD278,0,AB278)</f>
        <v>0</v>
      </c>
      <c r="AF278" s="868">
        <f>IF(U278=AD278+AE278,0,AB278)</f>
        <v>0</v>
      </c>
      <c r="AG278" s="868">
        <f>IF(U278=AD278+AE278+AF278,0,AB278)</f>
        <v>0</v>
      </c>
      <c r="AH278" s="868">
        <f>IF(U278=AE278+AF278+AG278+AD278,0,AB278)</f>
        <v>0</v>
      </c>
      <c r="AI278" s="886">
        <f>IF(U278=AE278+AF278+AG278+AD278+AH278,0,AB278)</f>
        <v>0</v>
      </c>
      <c r="AJ278" s="886">
        <f>SUM(AD278:AI278)</f>
        <v>8400000000</v>
      </c>
      <c r="AK278" s="868">
        <f t="shared" si="100"/>
        <v>0</v>
      </c>
    </row>
    <row r="279" spans="1:37" s="998" customFormat="1" ht="35.25" customHeight="1" x14ac:dyDescent="0.2">
      <c r="A279" s="998">
        <v>235</v>
      </c>
      <c r="B279" s="998" t="str">
        <f>VLOOKUP(A279,RUAS,2,FALSE)</f>
        <v>AIR MAS - SEI. KERANJI</v>
      </c>
      <c r="E279" s="1006" t="str">
        <f>RIGHT(D279,1)</f>
        <v/>
      </c>
      <c r="F279" s="1000"/>
      <c r="G279" s="1010" t="s">
        <v>696</v>
      </c>
      <c r="H279" s="1011"/>
      <c r="I279" s="1001" t="s">
        <v>3821</v>
      </c>
      <c r="J279" s="1001"/>
      <c r="K279" s="1001" t="s">
        <v>484</v>
      </c>
      <c r="L279" s="1003" t="s">
        <v>715</v>
      </c>
      <c r="M279" s="1001"/>
      <c r="N279" s="1003"/>
      <c r="O279" s="1001" t="s">
        <v>716</v>
      </c>
      <c r="P279" s="1168">
        <v>2001</v>
      </c>
      <c r="Q279" s="1001"/>
      <c r="R279" s="1001"/>
      <c r="S279" s="1001" t="s">
        <v>482</v>
      </c>
      <c r="T279" s="1001" t="s">
        <v>12</v>
      </c>
      <c r="U279" s="1002">
        <f>1229280000+H280+H281+H282+H283+H284</f>
        <v>7518448923.41675</v>
      </c>
      <c r="V279" s="1001" t="s">
        <v>43</v>
      </c>
      <c r="W279" s="1001"/>
      <c r="X279" s="1004"/>
      <c r="Y279" s="1006" t="str">
        <f>LEFT(I279,8)</f>
        <v>04.13.01</v>
      </c>
      <c r="Z279" s="1006" t="str">
        <f>VLOOKUP(Y279,UE,3,FALSE)</f>
        <v>Jalan</v>
      </c>
      <c r="AA279" s="1006">
        <f>VLOOKUP(Y279,UE,4,FALSE)</f>
        <v>10</v>
      </c>
      <c r="AB279" s="1007"/>
      <c r="AC279" s="1008"/>
      <c r="AD279" s="1007"/>
      <c r="AE279" s="1007"/>
      <c r="AF279" s="1007"/>
      <c r="AG279" s="1007"/>
      <c r="AH279" s="1007"/>
      <c r="AI279" s="1009">
        <f>PERHITUNGAN!R1317</f>
        <v>450655426.99504435</v>
      </c>
      <c r="AJ279" s="1009">
        <f>PERHITUNGAN!U1321</f>
        <v>3913205507.4563956</v>
      </c>
      <c r="AK279" s="1007">
        <f>U279-AJ279</f>
        <v>3605243415.9603543</v>
      </c>
    </row>
    <row r="280" spans="1:37" s="857" customFormat="1" ht="35.25" customHeight="1" x14ac:dyDescent="0.15">
      <c r="A280" s="857">
        <v>235</v>
      </c>
      <c r="B280" s="857" t="str">
        <f t="shared" si="101"/>
        <v>AIR MAS - SEI. KERANJI</v>
      </c>
      <c r="D280" s="857" t="s">
        <v>4018</v>
      </c>
      <c r="E280" s="877" t="s">
        <v>4247</v>
      </c>
      <c r="F280" s="855"/>
      <c r="G280" s="878" t="s">
        <v>1245</v>
      </c>
      <c r="H280" s="879">
        <v>3314762916.41675</v>
      </c>
      <c r="I280" s="880" t="s">
        <v>2494</v>
      </c>
      <c r="J280" s="880">
        <v>0</v>
      </c>
      <c r="K280" s="880" t="s">
        <v>519</v>
      </c>
      <c r="L280" s="881">
        <v>0</v>
      </c>
      <c r="M280" s="880">
        <v>0</v>
      </c>
      <c r="N280" s="881">
        <v>0</v>
      </c>
      <c r="O280" s="880" t="s">
        <v>3146</v>
      </c>
      <c r="P280" s="1126">
        <v>2012</v>
      </c>
      <c r="Q280" s="880">
        <v>0</v>
      </c>
      <c r="R280" s="880">
        <v>0</v>
      </c>
      <c r="S280" s="880">
        <v>0</v>
      </c>
      <c r="T280" s="880" t="s">
        <v>12</v>
      </c>
      <c r="U280" s="882"/>
      <c r="V280" s="880" t="s">
        <v>43</v>
      </c>
      <c r="W280" s="880">
        <v>0</v>
      </c>
      <c r="X280" s="969"/>
      <c r="Y280" s="883" t="str">
        <f t="shared" si="92"/>
        <v>04.13.01</v>
      </c>
      <c r="Z280" s="884" t="str">
        <f t="shared" si="93"/>
        <v>Jalan</v>
      </c>
      <c r="AA280" s="884">
        <f t="shared" si="94"/>
        <v>10</v>
      </c>
      <c r="AB280" s="868"/>
      <c r="AC280" s="885"/>
      <c r="AD280" s="868"/>
      <c r="AE280" s="868"/>
      <c r="AF280" s="868"/>
      <c r="AG280" s="868"/>
      <c r="AH280" s="868"/>
      <c r="AI280" s="886"/>
      <c r="AJ280" s="886"/>
      <c r="AK280" s="868">
        <f t="shared" si="100"/>
        <v>0</v>
      </c>
    </row>
    <row r="281" spans="1:37" s="857" customFormat="1" ht="35.25" customHeight="1" x14ac:dyDescent="0.15">
      <c r="A281" s="857">
        <v>235</v>
      </c>
      <c r="B281" s="857" t="str">
        <f t="shared" si="101"/>
        <v>AIR MAS - SEI. KERANJI</v>
      </c>
      <c r="D281" s="857" t="s">
        <v>4099</v>
      </c>
      <c r="E281" s="877" t="s">
        <v>4247</v>
      </c>
      <c r="F281" s="855"/>
      <c r="G281" s="878" t="s">
        <v>1316</v>
      </c>
      <c r="H281" s="879">
        <v>321413975</v>
      </c>
      <c r="I281" s="880" t="s">
        <v>2494</v>
      </c>
      <c r="J281" s="880">
        <v>0</v>
      </c>
      <c r="K281" s="880">
        <v>0</v>
      </c>
      <c r="L281" s="881">
        <v>0</v>
      </c>
      <c r="M281" s="880">
        <v>0</v>
      </c>
      <c r="N281" s="881">
        <v>0</v>
      </c>
      <c r="O281" s="880" t="s">
        <v>3146</v>
      </c>
      <c r="P281" s="1126">
        <v>2014</v>
      </c>
      <c r="Q281" s="880">
        <v>0</v>
      </c>
      <c r="R281" s="880">
        <v>0</v>
      </c>
      <c r="S281" s="880">
        <v>0</v>
      </c>
      <c r="T281" s="880">
        <v>0</v>
      </c>
      <c r="U281" s="882"/>
      <c r="V281" s="880">
        <v>0</v>
      </c>
      <c r="W281" s="880">
        <v>0</v>
      </c>
      <c r="X281" s="969"/>
      <c r="Y281" s="883" t="str">
        <f t="shared" si="92"/>
        <v>04.13.01</v>
      </c>
      <c r="Z281" s="884" t="str">
        <f t="shared" si="93"/>
        <v>Jalan</v>
      </c>
      <c r="AA281" s="884">
        <f t="shared" si="94"/>
        <v>10</v>
      </c>
      <c r="AB281" s="868"/>
      <c r="AC281" s="885">
        <f t="shared" ref="AC281:AC286" si="102">IF(2013-P281&gt;AA281,10,IF(2013-P281&lt;0,0,2013-P281))</f>
        <v>0</v>
      </c>
      <c r="AD281" s="868"/>
      <c r="AE281" s="868"/>
      <c r="AF281" s="868"/>
      <c r="AG281" s="868"/>
      <c r="AH281" s="868"/>
      <c r="AI281" s="886"/>
      <c r="AJ281" s="886"/>
      <c r="AK281" s="868"/>
    </row>
    <row r="282" spans="1:37" s="857" customFormat="1" ht="35.25" customHeight="1" x14ac:dyDescent="0.15">
      <c r="A282" s="857">
        <v>235</v>
      </c>
      <c r="B282" s="857" t="str">
        <f t="shared" si="101"/>
        <v>AIR MAS - SEI. KERANJI</v>
      </c>
      <c r="D282" s="857" t="s">
        <v>4100</v>
      </c>
      <c r="E282" s="877" t="s">
        <v>4247</v>
      </c>
      <c r="F282" s="855"/>
      <c r="G282" s="878" t="s">
        <v>1402</v>
      </c>
      <c r="H282" s="879">
        <v>193532549</v>
      </c>
      <c r="I282" s="880" t="s">
        <v>2494</v>
      </c>
      <c r="J282" s="880">
        <v>0</v>
      </c>
      <c r="K282" s="880">
        <v>0</v>
      </c>
      <c r="L282" s="881">
        <v>0</v>
      </c>
      <c r="M282" s="880">
        <v>0</v>
      </c>
      <c r="N282" s="881">
        <v>0</v>
      </c>
      <c r="O282" s="880" t="s">
        <v>3239</v>
      </c>
      <c r="P282" s="1126">
        <v>2015</v>
      </c>
      <c r="Q282" s="880">
        <v>0</v>
      </c>
      <c r="R282" s="880">
        <v>0</v>
      </c>
      <c r="S282" s="880">
        <v>0</v>
      </c>
      <c r="T282" s="880" t="s">
        <v>12</v>
      </c>
      <c r="U282" s="882"/>
      <c r="V282" s="880">
        <v>0</v>
      </c>
      <c r="W282" s="880">
        <v>0</v>
      </c>
      <c r="X282" s="969"/>
      <c r="Y282" s="883" t="str">
        <f t="shared" si="92"/>
        <v>04.13.01</v>
      </c>
      <c r="Z282" s="884" t="str">
        <f t="shared" si="93"/>
        <v>Jalan</v>
      </c>
      <c r="AA282" s="884">
        <f t="shared" si="94"/>
        <v>10</v>
      </c>
      <c r="AB282" s="868"/>
      <c r="AC282" s="885">
        <f t="shared" si="102"/>
        <v>0</v>
      </c>
      <c r="AD282" s="868"/>
      <c r="AE282" s="868"/>
      <c r="AF282" s="868"/>
      <c r="AG282" s="868"/>
      <c r="AH282" s="868"/>
      <c r="AI282" s="886"/>
      <c r="AJ282" s="886"/>
      <c r="AK282" s="868"/>
    </row>
    <row r="283" spans="1:37" s="857" customFormat="1" ht="35.25" customHeight="1" x14ac:dyDescent="0.15">
      <c r="A283" s="857">
        <v>235</v>
      </c>
      <c r="B283" s="857" t="str">
        <f t="shared" si="101"/>
        <v>AIR MAS - SEI. KERANJI</v>
      </c>
      <c r="D283" s="857" t="s">
        <v>4102</v>
      </c>
      <c r="E283" s="877" t="s">
        <v>4247</v>
      </c>
      <c r="F283" s="855"/>
      <c r="G283" s="878" t="s">
        <v>2496</v>
      </c>
      <c r="H283" s="879">
        <v>188980000</v>
      </c>
      <c r="I283" s="880" t="s">
        <v>2494</v>
      </c>
      <c r="J283" s="880">
        <v>0</v>
      </c>
      <c r="K283" s="880">
        <v>0</v>
      </c>
      <c r="L283" s="881">
        <v>0</v>
      </c>
      <c r="M283" s="880">
        <v>0</v>
      </c>
      <c r="N283" s="881">
        <v>0</v>
      </c>
      <c r="O283" s="880" t="s">
        <v>2558</v>
      </c>
      <c r="P283" s="1126">
        <v>2017</v>
      </c>
      <c r="Q283" s="880">
        <v>0</v>
      </c>
      <c r="R283" s="880">
        <v>0</v>
      </c>
      <c r="S283" s="880">
        <v>0</v>
      </c>
      <c r="T283" s="880" t="s">
        <v>12</v>
      </c>
      <c r="U283" s="882"/>
      <c r="V283" s="880">
        <v>0</v>
      </c>
      <c r="W283" s="880">
        <v>0</v>
      </c>
      <c r="X283" s="969"/>
      <c r="Y283" s="883" t="str">
        <f t="shared" si="92"/>
        <v>04.13.01</v>
      </c>
      <c r="Z283" s="884" t="str">
        <f t="shared" si="93"/>
        <v>Jalan</v>
      </c>
      <c r="AA283" s="884">
        <f t="shared" si="94"/>
        <v>10</v>
      </c>
      <c r="AB283" s="868"/>
      <c r="AC283" s="885">
        <f t="shared" si="102"/>
        <v>0</v>
      </c>
      <c r="AD283" s="868"/>
      <c r="AE283" s="868"/>
      <c r="AF283" s="868"/>
      <c r="AG283" s="868"/>
      <c r="AH283" s="868"/>
      <c r="AI283" s="886"/>
      <c r="AJ283" s="886"/>
      <c r="AK283" s="868"/>
    </row>
    <row r="284" spans="1:37" s="857" customFormat="1" ht="35.25" customHeight="1" x14ac:dyDescent="0.15">
      <c r="A284" s="857">
        <v>235</v>
      </c>
      <c r="B284" s="857" t="str">
        <f t="shared" si="101"/>
        <v>AIR MAS - SEI. KERANJI</v>
      </c>
      <c r="D284" s="857" t="s">
        <v>4107</v>
      </c>
      <c r="E284" s="877" t="s">
        <v>4247</v>
      </c>
      <c r="F284" s="855"/>
      <c r="G284" s="878" t="s">
        <v>3315</v>
      </c>
      <c r="H284" s="879">
        <v>2270479483</v>
      </c>
      <c r="I284" s="880" t="s">
        <v>2494</v>
      </c>
      <c r="J284" s="880">
        <v>0</v>
      </c>
      <c r="K284" s="880">
        <v>0</v>
      </c>
      <c r="L284" s="881">
        <v>0</v>
      </c>
      <c r="M284" s="880">
        <v>0</v>
      </c>
      <c r="N284" s="881">
        <v>0</v>
      </c>
      <c r="O284" s="880" t="s">
        <v>3293</v>
      </c>
      <c r="P284" s="1126">
        <v>2018</v>
      </c>
      <c r="Q284" s="880">
        <v>0</v>
      </c>
      <c r="R284" s="880">
        <v>0</v>
      </c>
      <c r="S284" s="880">
        <v>0</v>
      </c>
      <c r="T284" s="880" t="s">
        <v>12</v>
      </c>
      <c r="U284" s="882"/>
      <c r="V284" s="880">
        <v>0</v>
      </c>
      <c r="W284" s="880">
        <v>0</v>
      </c>
      <c r="X284" s="969"/>
      <c r="Y284" s="883" t="str">
        <f t="shared" si="92"/>
        <v>04.13.01</v>
      </c>
      <c r="Z284" s="884" t="str">
        <f t="shared" si="93"/>
        <v>Jalan</v>
      </c>
      <c r="AA284" s="884">
        <f t="shared" si="94"/>
        <v>10</v>
      </c>
      <c r="AB284" s="868"/>
      <c r="AC284" s="885">
        <f t="shared" si="102"/>
        <v>0</v>
      </c>
      <c r="AD284" s="868"/>
      <c r="AE284" s="868"/>
      <c r="AF284" s="868"/>
      <c r="AG284" s="868"/>
      <c r="AH284" s="868"/>
      <c r="AI284" s="886"/>
      <c r="AJ284" s="886"/>
      <c r="AK284" s="868"/>
    </row>
    <row r="285" spans="1:37" s="998" customFormat="1" ht="35.25" customHeight="1" x14ac:dyDescent="0.15">
      <c r="A285" s="998">
        <v>236</v>
      </c>
      <c r="B285" s="998" t="str">
        <f t="shared" si="101"/>
        <v>SIMP. PETAI - PABRIK PT. WANASARI</v>
      </c>
      <c r="D285" s="998" t="s">
        <v>4019</v>
      </c>
      <c r="E285" s="999" t="s">
        <v>4247</v>
      </c>
      <c r="F285" s="1000"/>
      <c r="G285" s="1010" t="s">
        <v>529</v>
      </c>
      <c r="H285" s="1011"/>
      <c r="I285" s="1001" t="s">
        <v>2494</v>
      </c>
      <c r="J285" s="1001">
        <v>0</v>
      </c>
      <c r="K285" s="1001" t="s">
        <v>479</v>
      </c>
      <c r="L285" s="1003">
        <v>16000</v>
      </c>
      <c r="M285" s="1001">
        <v>8</v>
      </c>
      <c r="N285" s="1003">
        <v>128000</v>
      </c>
      <c r="O285" s="1001" t="s">
        <v>658</v>
      </c>
      <c r="P285" s="1168">
        <v>2001</v>
      </c>
      <c r="Q285" s="1001">
        <v>0</v>
      </c>
      <c r="R285" s="1001">
        <v>0</v>
      </c>
      <c r="S285" s="1001" t="s">
        <v>482</v>
      </c>
      <c r="T285" s="1001" t="s">
        <v>12</v>
      </c>
      <c r="U285" s="1002">
        <f>15680000000+H286</f>
        <v>18544585047.966541</v>
      </c>
      <c r="V285" s="1001" t="s">
        <v>43</v>
      </c>
      <c r="W285" s="1001">
        <v>0</v>
      </c>
      <c r="X285" s="1004"/>
      <c r="Y285" s="1005" t="str">
        <f t="shared" si="92"/>
        <v>04.13.01</v>
      </c>
      <c r="Z285" s="1006" t="str">
        <f t="shared" si="93"/>
        <v>Jalan</v>
      </c>
      <c r="AA285" s="1006">
        <f t="shared" si="94"/>
        <v>10</v>
      </c>
      <c r="AB285" s="1007"/>
      <c r="AC285" s="1008">
        <f t="shared" si="102"/>
        <v>10</v>
      </c>
      <c r="AD285" s="1007"/>
      <c r="AE285" s="1007"/>
      <c r="AF285" s="1007"/>
      <c r="AG285" s="1007"/>
      <c r="AH285" s="1007"/>
      <c r="AI285" s="1009">
        <f>PERHITUNGAN!R1340</f>
        <v>890873377.85275495</v>
      </c>
      <c r="AJ285" s="1009">
        <f>PERHITUNGAN!U1345</f>
        <v>19331909894.968277</v>
      </c>
      <c r="AK285" s="1007">
        <f>U285-AJ285</f>
        <v>-787324847.00173569</v>
      </c>
    </row>
    <row r="286" spans="1:37" s="857" customFormat="1" ht="35.25" customHeight="1" x14ac:dyDescent="0.15">
      <c r="A286" s="857">
        <v>236</v>
      </c>
      <c r="B286" s="857" t="str">
        <f t="shared" si="101"/>
        <v>SIMP. PETAI - PABRIK PT. WANASARI</v>
      </c>
      <c r="D286" s="857" t="s">
        <v>4020</v>
      </c>
      <c r="E286" s="877" t="s">
        <v>4247</v>
      </c>
      <c r="F286" s="855"/>
      <c r="G286" s="878" t="s">
        <v>1190</v>
      </c>
      <c r="H286" s="879">
        <v>2864585047.9665399</v>
      </c>
      <c r="I286" s="880" t="s">
        <v>2494</v>
      </c>
      <c r="J286" s="880">
        <v>0</v>
      </c>
      <c r="K286" s="880">
        <v>0</v>
      </c>
      <c r="L286" s="881">
        <v>0</v>
      </c>
      <c r="M286" s="880">
        <v>0</v>
      </c>
      <c r="N286" s="881">
        <v>0</v>
      </c>
      <c r="O286" s="880" t="s">
        <v>658</v>
      </c>
      <c r="P286" s="1126">
        <v>2007</v>
      </c>
      <c r="Q286" s="880">
        <v>0</v>
      </c>
      <c r="R286" s="880">
        <v>0</v>
      </c>
      <c r="S286" s="880">
        <v>0</v>
      </c>
      <c r="T286" s="880" t="s">
        <v>12</v>
      </c>
      <c r="U286" s="882"/>
      <c r="V286" s="880" t="s">
        <v>43</v>
      </c>
      <c r="W286" s="880">
        <v>0</v>
      </c>
      <c r="X286" s="969"/>
      <c r="Y286" s="883" t="str">
        <f t="shared" si="92"/>
        <v>04.13.01</v>
      </c>
      <c r="Z286" s="884" t="str">
        <f t="shared" si="93"/>
        <v>Jalan</v>
      </c>
      <c r="AA286" s="884">
        <f t="shared" si="94"/>
        <v>10</v>
      </c>
      <c r="AB286" s="868"/>
      <c r="AC286" s="885">
        <f t="shared" si="102"/>
        <v>6</v>
      </c>
      <c r="AD286" s="868"/>
      <c r="AE286" s="868"/>
      <c r="AF286" s="868"/>
      <c r="AG286" s="868"/>
      <c r="AH286" s="868"/>
      <c r="AI286" s="886"/>
      <c r="AJ286" s="886"/>
      <c r="AK286" s="868">
        <f>U286-AJ286</f>
        <v>0</v>
      </c>
    </row>
    <row r="287" spans="1:37" s="857" customFormat="1" ht="35.25" customHeight="1" x14ac:dyDescent="0.2">
      <c r="A287" s="857">
        <v>237</v>
      </c>
      <c r="B287" s="857" t="str">
        <f t="shared" si="101"/>
        <v>JL. SIMPANG KORAN - SUKAMAJU</v>
      </c>
      <c r="D287" s="857" t="s">
        <v>4021</v>
      </c>
      <c r="E287" s="884" t="str">
        <f>RIGHT(D287,1)</f>
        <v>1</v>
      </c>
      <c r="F287" s="855"/>
      <c r="G287" s="878" t="s">
        <v>529</v>
      </c>
      <c r="H287" s="879"/>
      <c r="I287" s="880" t="s">
        <v>2494</v>
      </c>
      <c r="J287" s="880">
        <v>0</v>
      </c>
      <c r="K287" s="880" t="s">
        <v>484</v>
      </c>
      <c r="L287" s="881">
        <v>17000</v>
      </c>
      <c r="M287" s="880">
        <v>8</v>
      </c>
      <c r="N287" s="881">
        <v>136000</v>
      </c>
      <c r="O287" s="880" t="s">
        <v>657</v>
      </c>
      <c r="P287" s="1126">
        <v>2001</v>
      </c>
      <c r="Q287" s="880">
        <v>0</v>
      </c>
      <c r="R287" s="880">
        <v>0</v>
      </c>
      <c r="S287" s="880" t="s">
        <v>482</v>
      </c>
      <c r="T287" s="880" t="s">
        <v>12</v>
      </c>
      <c r="U287" s="882">
        <v>11424000000</v>
      </c>
      <c r="V287" s="880" t="s">
        <v>43</v>
      </c>
      <c r="W287" s="880">
        <v>0</v>
      </c>
      <c r="X287" s="969"/>
      <c r="Y287" s="884" t="str">
        <f t="shared" si="92"/>
        <v>04.13.01</v>
      </c>
      <c r="Z287" s="884" t="str">
        <f t="shared" si="93"/>
        <v>Jalan</v>
      </c>
      <c r="AA287" s="884">
        <f t="shared" si="94"/>
        <v>10</v>
      </c>
      <c r="AB287" s="868">
        <f>U287/AA287</f>
        <v>1142400000</v>
      </c>
      <c r="AC287" s="885">
        <f>IF(2013-P287+1&gt;AA287,AA287,IF(2013-P287+1&lt;0,0,2013-P287+1))</f>
        <v>10</v>
      </c>
      <c r="AD287" s="868">
        <f>IF(AC287&gt;AA287,U287,AB287*AC287)</f>
        <v>11424000000</v>
      </c>
      <c r="AE287" s="868">
        <f>IF(U287=AD287,0,AB287)</f>
        <v>0</v>
      </c>
      <c r="AF287" s="868">
        <f>IF(U287=AD287+AE287,0,AB287)</f>
        <v>0</v>
      </c>
      <c r="AG287" s="868">
        <f>IF(U287=AD287+AE287+AF287,0,AB287)</f>
        <v>0</v>
      </c>
      <c r="AH287" s="868">
        <f>IF(U287=AE287+AF287+AG287+AD287,0,AB287)</f>
        <v>0</v>
      </c>
      <c r="AI287" s="886">
        <f>IF(U287=AE287+AF287+AG287+AD287+AH287,0,AB287)</f>
        <v>0</v>
      </c>
      <c r="AJ287" s="886">
        <f>SUM(AD287:AI287)</f>
        <v>11424000000</v>
      </c>
      <c r="AK287" s="868">
        <f>U287-AJ287</f>
        <v>0</v>
      </c>
    </row>
    <row r="288" spans="1:37" s="998" customFormat="1" ht="35.25" customHeight="1" x14ac:dyDescent="0.15">
      <c r="A288" s="998">
        <v>238</v>
      </c>
      <c r="B288" s="998" t="str">
        <f t="shared" si="101"/>
        <v>SIMP. RAYA - SEI. BULUH</v>
      </c>
      <c r="D288" s="998" t="s">
        <v>4022</v>
      </c>
      <c r="E288" s="999" t="s">
        <v>4247</v>
      </c>
      <c r="F288" s="1000"/>
      <c r="G288" s="1010" t="s">
        <v>1141</v>
      </c>
      <c r="H288" s="1011"/>
      <c r="I288" s="1001" t="s">
        <v>2494</v>
      </c>
      <c r="J288" s="1001">
        <v>0</v>
      </c>
      <c r="K288" s="1001" t="s">
        <v>519</v>
      </c>
      <c r="L288" s="1003">
        <v>2000</v>
      </c>
      <c r="M288" s="1001">
        <v>8</v>
      </c>
      <c r="N288" s="1003">
        <v>16000</v>
      </c>
      <c r="O288" s="1001" t="s">
        <v>3104</v>
      </c>
      <c r="P288" s="1168">
        <v>2001</v>
      </c>
      <c r="Q288" s="1001">
        <v>0</v>
      </c>
      <c r="R288" s="1001">
        <v>0</v>
      </c>
      <c r="S288" s="1001" t="s">
        <v>482</v>
      </c>
      <c r="T288" s="1001" t="s">
        <v>12</v>
      </c>
      <c r="U288" s="1002">
        <f>3060956544+H289</f>
        <v>3738076243.4137383</v>
      </c>
      <c r="V288" s="1001" t="s">
        <v>43</v>
      </c>
      <c r="W288" s="1001">
        <v>0</v>
      </c>
      <c r="X288" s="1004"/>
      <c r="Y288" s="1005" t="str">
        <f t="shared" si="92"/>
        <v>04.13.01</v>
      </c>
      <c r="Z288" s="1006" t="str">
        <f t="shared" si="93"/>
        <v>Jalan</v>
      </c>
      <c r="AA288" s="1006">
        <f t="shared" si="94"/>
        <v>10</v>
      </c>
      <c r="AB288" s="1007"/>
      <c r="AC288" s="1008">
        <f>IF(2013-P288&gt;AA288,10,IF(2013-P288&lt;0,0,2013-P288))</f>
        <v>10</v>
      </c>
      <c r="AD288" s="1007"/>
      <c r="AE288" s="1007"/>
      <c r="AF288" s="1007"/>
      <c r="AG288" s="1007"/>
      <c r="AH288" s="1007"/>
      <c r="AI288" s="1009">
        <f>PERHITUNGAN!R1366</f>
        <v>0</v>
      </c>
      <c r="AJ288" s="1009">
        <f>PERHITUNGAN!U1370</f>
        <v>3738076243.4137383</v>
      </c>
      <c r="AK288" s="1007">
        <f>U288-AJ288</f>
        <v>0</v>
      </c>
    </row>
    <row r="289" spans="1:37" s="857" customFormat="1" ht="35.25" customHeight="1" x14ac:dyDescent="0.15">
      <c r="A289" s="857">
        <v>238</v>
      </c>
      <c r="B289" s="857" t="str">
        <f t="shared" si="101"/>
        <v>SIMP. RAYA - SEI. BULUH</v>
      </c>
      <c r="D289" s="857" t="s">
        <v>4131</v>
      </c>
      <c r="E289" s="877" t="s">
        <v>4247</v>
      </c>
      <c r="F289" s="855"/>
      <c r="G289" s="878" t="s">
        <v>1169</v>
      </c>
      <c r="H289" s="879">
        <v>677119699.41373801</v>
      </c>
      <c r="I289" s="880" t="s">
        <v>3822</v>
      </c>
      <c r="J289" s="880">
        <v>0</v>
      </c>
      <c r="K289" s="880" t="s">
        <v>835</v>
      </c>
      <c r="L289" s="881">
        <v>3</v>
      </c>
      <c r="M289" s="880">
        <v>3</v>
      </c>
      <c r="N289" s="881">
        <v>9</v>
      </c>
      <c r="O289" s="880" t="s">
        <v>3104</v>
      </c>
      <c r="P289" s="1126">
        <v>2007</v>
      </c>
      <c r="Q289" s="880">
        <v>0</v>
      </c>
      <c r="R289" s="880">
        <v>0</v>
      </c>
      <c r="S289" s="880">
        <v>0</v>
      </c>
      <c r="T289" s="880" t="s">
        <v>12</v>
      </c>
      <c r="U289" s="882"/>
      <c r="V289" s="880" t="s">
        <v>43</v>
      </c>
      <c r="W289" s="880">
        <v>0</v>
      </c>
      <c r="X289" s="969"/>
      <c r="Y289" s="883" t="str">
        <f t="shared" si="92"/>
        <v>04.13.02</v>
      </c>
      <c r="Z289" s="884" t="str">
        <f t="shared" si="93"/>
        <v>Jembatan</v>
      </c>
      <c r="AA289" s="884">
        <f t="shared" si="94"/>
        <v>50</v>
      </c>
      <c r="AB289" s="868"/>
      <c r="AC289" s="885">
        <f>IF(2013-P289&gt;AA289,10,IF(2013-P289&lt;0,0,2013-P289))</f>
        <v>6</v>
      </c>
      <c r="AD289" s="868"/>
      <c r="AE289" s="868"/>
      <c r="AF289" s="868"/>
      <c r="AG289" s="868"/>
      <c r="AH289" s="868"/>
      <c r="AI289" s="886"/>
      <c r="AJ289" s="886"/>
      <c r="AK289" s="868"/>
    </row>
    <row r="290" spans="1:37" s="998" customFormat="1" ht="35.25" customHeight="1" x14ac:dyDescent="0.15">
      <c r="A290" s="998">
        <v>244</v>
      </c>
      <c r="B290" s="998" t="str">
        <f t="shared" si="101"/>
        <v>KOTO BARU - SUKA MAJU</v>
      </c>
      <c r="D290" s="998" t="s">
        <v>4023</v>
      </c>
      <c r="E290" s="999" t="s">
        <v>4247</v>
      </c>
      <c r="F290" s="1000"/>
      <c r="G290" s="1010" t="s">
        <v>529</v>
      </c>
      <c r="H290" s="1011"/>
      <c r="I290" s="1001" t="s">
        <v>2494</v>
      </c>
      <c r="J290" s="1001">
        <v>0</v>
      </c>
      <c r="K290" s="1001" t="s">
        <v>479</v>
      </c>
      <c r="L290" s="1003">
        <v>25000</v>
      </c>
      <c r="M290" s="1001">
        <v>0</v>
      </c>
      <c r="N290" s="1003">
        <v>178300</v>
      </c>
      <c r="O290" s="1001" t="s">
        <v>656</v>
      </c>
      <c r="P290" s="1168">
        <v>2001</v>
      </c>
      <c r="Q290" s="1001">
        <v>0</v>
      </c>
      <c r="R290" s="1001">
        <v>0</v>
      </c>
      <c r="S290" s="1001" t="s">
        <v>482</v>
      </c>
      <c r="T290" s="1001" t="s">
        <v>12</v>
      </c>
      <c r="U290" s="1002">
        <f>15288000000+4900000000+H292+H293</f>
        <v>22514216483</v>
      </c>
      <c r="V290" s="1001" t="s">
        <v>43</v>
      </c>
      <c r="W290" s="1001">
        <v>0</v>
      </c>
      <c r="X290" s="1004"/>
      <c r="Y290" s="1005" t="str">
        <f t="shared" si="92"/>
        <v>04.13.01</v>
      </c>
      <c r="Z290" s="1006" t="str">
        <f t="shared" si="93"/>
        <v>Jalan</v>
      </c>
      <c r="AA290" s="1006">
        <f t="shared" si="94"/>
        <v>10</v>
      </c>
      <c r="AB290" s="1007"/>
      <c r="AC290" s="1008">
        <f>IF(2013-P290&gt;AA290,10,IF(2013-P290&lt;0,0,2013-P290))</f>
        <v>10</v>
      </c>
      <c r="AD290" s="1007"/>
      <c r="AE290" s="1007"/>
      <c r="AF290" s="1007"/>
      <c r="AG290" s="1007"/>
      <c r="AH290" s="1007"/>
      <c r="AI290" s="1009">
        <f>PERHITUNGAN!U1391</f>
        <v>463008178.86853486</v>
      </c>
      <c r="AJ290" s="1009">
        <f>PERHITUNGAN!U1395</f>
        <v>24305813208.736317</v>
      </c>
      <c r="AK290" s="1007">
        <f t="shared" ref="AK290:AK298" si="103">U290-AJ290</f>
        <v>-1791596725.7363167</v>
      </c>
    </row>
    <row r="291" spans="1:37" s="857" customFormat="1" ht="35.25" customHeight="1" x14ac:dyDescent="0.2">
      <c r="A291" s="857">
        <v>244</v>
      </c>
      <c r="B291" s="857" t="str">
        <f>VLOOKUP(A291,RUAS,2,FALSE)</f>
        <v>KOTO BARU - SUKA MAJU</v>
      </c>
      <c r="E291" s="884" t="str">
        <f>RIGHT(D291,1)</f>
        <v/>
      </c>
      <c r="F291" s="855"/>
      <c r="G291" s="878" t="s">
        <v>483</v>
      </c>
      <c r="H291" s="879">
        <v>4900000000</v>
      </c>
      <c r="I291" s="880" t="s">
        <v>3820</v>
      </c>
      <c r="J291" s="880"/>
      <c r="K291" s="880" t="s">
        <v>479</v>
      </c>
      <c r="L291" s="881" t="s">
        <v>520</v>
      </c>
      <c r="M291" s="880"/>
      <c r="N291" s="881"/>
      <c r="O291" s="880" t="s">
        <v>521</v>
      </c>
      <c r="P291" s="1126">
        <v>2001</v>
      </c>
      <c r="Q291" s="880"/>
      <c r="R291" s="880"/>
      <c r="S291" s="880" t="s">
        <v>482</v>
      </c>
      <c r="T291" s="880" t="s">
        <v>12</v>
      </c>
      <c r="U291" s="882"/>
      <c r="V291" s="880" t="s">
        <v>135</v>
      </c>
      <c r="W291" s="880"/>
      <c r="X291" s="969"/>
      <c r="Y291" s="884" t="str">
        <f>LEFT(I291,8)</f>
        <v>04.13.01</v>
      </c>
      <c r="Z291" s="884" t="str">
        <f>VLOOKUP(Y291,UE,3,FALSE)</f>
        <v>Jalan</v>
      </c>
      <c r="AA291" s="884">
        <f>VLOOKUP(Y291,UE,4,FALSE)</f>
        <v>10</v>
      </c>
      <c r="AB291" s="868"/>
      <c r="AC291" s="885"/>
      <c r="AD291" s="868"/>
      <c r="AE291" s="868"/>
      <c r="AF291" s="868"/>
      <c r="AG291" s="868"/>
      <c r="AH291" s="868"/>
      <c r="AI291" s="886"/>
      <c r="AJ291" s="886"/>
      <c r="AK291" s="868">
        <f>U291-AJ291</f>
        <v>0</v>
      </c>
    </row>
    <row r="292" spans="1:37" s="857" customFormat="1" ht="35.25" customHeight="1" x14ac:dyDescent="0.15">
      <c r="A292" s="857">
        <v>244</v>
      </c>
      <c r="B292" s="857" t="str">
        <f t="shared" si="101"/>
        <v>KOTO BARU - SUKA MAJU</v>
      </c>
      <c r="D292" s="857" t="s">
        <v>4024</v>
      </c>
      <c r="E292" s="877" t="s">
        <v>4247</v>
      </c>
      <c r="F292" s="855"/>
      <c r="G292" s="878" t="s">
        <v>1300</v>
      </c>
      <c r="H292" s="879">
        <v>1872278823</v>
      </c>
      <c r="I292" s="880" t="s">
        <v>2494</v>
      </c>
      <c r="J292" s="880">
        <v>0</v>
      </c>
      <c r="K292" s="880">
        <v>0</v>
      </c>
      <c r="L292" s="881">
        <v>0</v>
      </c>
      <c r="M292" s="880">
        <v>0</v>
      </c>
      <c r="N292" s="881">
        <v>0</v>
      </c>
      <c r="O292" s="880" t="s">
        <v>656</v>
      </c>
      <c r="P292" s="1126">
        <v>2014</v>
      </c>
      <c r="Q292" s="880">
        <v>0</v>
      </c>
      <c r="R292" s="880">
        <v>0</v>
      </c>
      <c r="S292" s="880">
        <v>0</v>
      </c>
      <c r="T292" s="880">
        <v>0</v>
      </c>
      <c r="U292" s="882"/>
      <c r="V292" s="880">
        <v>0</v>
      </c>
      <c r="W292" s="880">
        <v>0</v>
      </c>
      <c r="X292" s="969"/>
      <c r="Y292" s="883" t="str">
        <f t="shared" si="92"/>
        <v>04.13.01</v>
      </c>
      <c r="Z292" s="884" t="str">
        <f t="shared" si="93"/>
        <v>Jalan</v>
      </c>
      <c r="AA292" s="884">
        <f t="shared" si="94"/>
        <v>10</v>
      </c>
      <c r="AB292" s="868"/>
      <c r="AC292" s="885">
        <f t="shared" ref="AC292:AC299" si="104">IF(2013-P292&gt;AA292,10,IF(2013-P292&lt;0,0,2013-P292))</f>
        <v>0</v>
      </c>
      <c r="AD292" s="868"/>
      <c r="AE292" s="868"/>
      <c r="AF292" s="868"/>
      <c r="AG292" s="868"/>
      <c r="AH292" s="868"/>
      <c r="AI292" s="886"/>
      <c r="AJ292" s="886"/>
      <c r="AK292" s="868">
        <f t="shared" si="103"/>
        <v>0</v>
      </c>
    </row>
    <row r="293" spans="1:37" s="857" customFormat="1" ht="35.25" customHeight="1" x14ac:dyDescent="0.15">
      <c r="A293" s="857">
        <v>244</v>
      </c>
      <c r="B293" s="857" t="str">
        <f t="shared" si="101"/>
        <v>KOTO BARU - SUKA MAJU</v>
      </c>
      <c r="D293" s="857" t="s">
        <v>4025</v>
      </c>
      <c r="E293" s="877" t="s">
        <v>4247</v>
      </c>
      <c r="F293" s="855"/>
      <c r="G293" s="878" t="s">
        <v>3338</v>
      </c>
      <c r="H293" s="879">
        <v>453937660</v>
      </c>
      <c r="I293" s="880" t="s">
        <v>2494</v>
      </c>
      <c r="J293" s="880">
        <v>0</v>
      </c>
      <c r="K293" s="880">
        <v>0</v>
      </c>
      <c r="L293" s="881">
        <v>0</v>
      </c>
      <c r="M293" s="880">
        <v>0</v>
      </c>
      <c r="N293" s="881">
        <v>0</v>
      </c>
      <c r="O293" s="880" t="s">
        <v>656</v>
      </c>
      <c r="P293" s="1126">
        <v>2018</v>
      </c>
      <c r="Q293" s="880">
        <v>0</v>
      </c>
      <c r="R293" s="880">
        <v>0</v>
      </c>
      <c r="S293" s="880">
        <v>0</v>
      </c>
      <c r="T293" s="880" t="s">
        <v>12</v>
      </c>
      <c r="U293" s="882"/>
      <c r="V293" s="880">
        <v>0</v>
      </c>
      <c r="W293" s="880">
        <v>0</v>
      </c>
      <c r="X293" s="969"/>
      <c r="Y293" s="883" t="str">
        <f t="shared" si="92"/>
        <v>04.13.01</v>
      </c>
      <c r="Z293" s="884" t="str">
        <f t="shared" si="93"/>
        <v>Jalan</v>
      </c>
      <c r="AA293" s="884">
        <f t="shared" si="94"/>
        <v>10</v>
      </c>
      <c r="AB293" s="868"/>
      <c r="AC293" s="885">
        <f t="shared" si="104"/>
        <v>0</v>
      </c>
      <c r="AD293" s="868"/>
      <c r="AE293" s="868"/>
      <c r="AF293" s="868"/>
      <c r="AG293" s="868"/>
      <c r="AH293" s="868"/>
      <c r="AI293" s="886"/>
      <c r="AJ293" s="886"/>
      <c r="AK293" s="868">
        <f t="shared" si="103"/>
        <v>0</v>
      </c>
    </row>
    <row r="294" spans="1:37" s="998" customFormat="1" ht="35.25" customHeight="1" x14ac:dyDescent="0.15">
      <c r="A294" s="998">
        <v>245</v>
      </c>
      <c r="B294" s="998" t="str">
        <f t="shared" si="101"/>
        <v>SIMP. 4 PT. WANASARI - SUKAMAJU</v>
      </c>
      <c r="D294" s="998" t="s">
        <v>4026</v>
      </c>
      <c r="E294" s="999" t="s">
        <v>4247</v>
      </c>
      <c r="F294" s="1000"/>
      <c r="G294" s="1010" t="s">
        <v>1156</v>
      </c>
      <c r="H294" s="1011"/>
      <c r="I294" s="1001" t="s">
        <v>2494</v>
      </c>
      <c r="J294" s="1001">
        <v>0</v>
      </c>
      <c r="K294" s="1001" t="s">
        <v>519</v>
      </c>
      <c r="L294" s="1003">
        <v>0</v>
      </c>
      <c r="M294" s="1001">
        <v>0</v>
      </c>
      <c r="N294" s="1003">
        <v>0</v>
      </c>
      <c r="O294" s="1001" t="s">
        <v>3093</v>
      </c>
      <c r="P294" s="1168">
        <v>2007</v>
      </c>
      <c r="Q294" s="1001">
        <v>0</v>
      </c>
      <c r="R294" s="1001">
        <v>0</v>
      </c>
      <c r="S294" s="1001">
        <v>0</v>
      </c>
      <c r="T294" s="1001" t="s">
        <v>12</v>
      </c>
      <c r="U294" s="1002">
        <f>9470100204.32667+H295+H296+H297+H298+H299</f>
        <v>16620929107.896669</v>
      </c>
      <c r="V294" s="1001" t="s">
        <v>43</v>
      </c>
      <c r="W294" s="1001">
        <v>1858553044</v>
      </c>
      <c r="X294" s="1004"/>
      <c r="Y294" s="1005" t="str">
        <f t="shared" si="92"/>
        <v>04.13.01</v>
      </c>
      <c r="Z294" s="1006" t="str">
        <f t="shared" si="93"/>
        <v>Jalan</v>
      </c>
      <c r="AA294" s="1006">
        <f t="shared" si="94"/>
        <v>10</v>
      </c>
      <c r="AB294" s="1007"/>
      <c r="AC294" s="1008">
        <f t="shared" si="104"/>
        <v>6</v>
      </c>
      <c r="AD294" s="1007"/>
      <c r="AE294" s="1007"/>
      <c r="AF294" s="1007"/>
      <c r="AG294" s="1007"/>
      <c r="AH294" s="1007"/>
      <c r="AI294" s="1009">
        <f>PERHITUNGAN!U1415</f>
        <v>1311109102.1410801</v>
      </c>
      <c r="AJ294" s="1009">
        <f>PERHITUNGAN!U1420</f>
        <v>15966250282.592318</v>
      </c>
      <c r="AK294" s="1007">
        <f t="shared" si="103"/>
        <v>654678825.30435181</v>
      </c>
    </row>
    <row r="295" spans="1:37" s="857" customFormat="1" ht="35.25" customHeight="1" x14ac:dyDescent="0.15">
      <c r="A295" s="857">
        <v>245</v>
      </c>
      <c r="B295" s="857" t="str">
        <f t="shared" si="101"/>
        <v>SIMP. 4 PT. WANASARI - SUKAMAJU</v>
      </c>
      <c r="D295" s="857" t="s">
        <v>4027</v>
      </c>
      <c r="E295" s="877" t="s">
        <v>4247</v>
      </c>
      <c r="F295" s="855"/>
      <c r="G295" s="878" t="s">
        <v>1299</v>
      </c>
      <c r="H295" s="879">
        <v>1858553044</v>
      </c>
      <c r="I295" s="880" t="s">
        <v>2494</v>
      </c>
      <c r="J295" s="880">
        <v>0</v>
      </c>
      <c r="K295" s="880">
        <v>0</v>
      </c>
      <c r="L295" s="881">
        <v>0</v>
      </c>
      <c r="M295" s="880">
        <v>0</v>
      </c>
      <c r="N295" s="881">
        <v>0</v>
      </c>
      <c r="O295" s="880" t="s">
        <v>3093</v>
      </c>
      <c r="P295" s="1126">
        <v>2014</v>
      </c>
      <c r="Q295" s="880">
        <v>0</v>
      </c>
      <c r="R295" s="880">
        <v>0</v>
      </c>
      <c r="S295" s="880">
        <v>0</v>
      </c>
      <c r="T295" s="880">
        <v>0</v>
      </c>
      <c r="U295" s="882"/>
      <c r="V295" s="880">
        <v>0</v>
      </c>
      <c r="W295" s="880">
        <v>0</v>
      </c>
      <c r="X295" s="969"/>
      <c r="Y295" s="883" t="str">
        <f t="shared" si="92"/>
        <v>04.13.01</v>
      </c>
      <c r="Z295" s="884" t="str">
        <f t="shared" si="93"/>
        <v>Jalan</v>
      </c>
      <c r="AA295" s="884">
        <f t="shared" si="94"/>
        <v>10</v>
      </c>
      <c r="AB295" s="868"/>
      <c r="AC295" s="885">
        <f t="shared" si="104"/>
        <v>0</v>
      </c>
      <c r="AD295" s="868"/>
      <c r="AE295" s="868"/>
      <c r="AF295" s="868"/>
      <c r="AG295" s="868"/>
      <c r="AH295" s="868"/>
      <c r="AI295" s="886"/>
      <c r="AJ295" s="886"/>
      <c r="AK295" s="868">
        <f t="shared" si="103"/>
        <v>0</v>
      </c>
    </row>
    <row r="296" spans="1:37" s="857" customFormat="1" ht="35.25" customHeight="1" x14ac:dyDescent="0.15">
      <c r="A296" s="857">
        <v>245</v>
      </c>
      <c r="B296" s="857" t="str">
        <f t="shared" si="101"/>
        <v>SIMP. 4 PT. WANASARI - SUKAMAJU</v>
      </c>
      <c r="D296" s="857" t="s">
        <v>4028</v>
      </c>
      <c r="E296" s="877" t="s">
        <v>4247</v>
      </c>
      <c r="F296" s="855"/>
      <c r="G296" s="878" t="s">
        <v>1375</v>
      </c>
      <c r="H296" s="879">
        <v>2128408453</v>
      </c>
      <c r="I296" s="880" t="s">
        <v>2494</v>
      </c>
      <c r="J296" s="880">
        <v>0</v>
      </c>
      <c r="K296" s="880">
        <v>0</v>
      </c>
      <c r="L296" s="881">
        <v>0</v>
      </c>
      <c r="M296" s="880">
        <v>0</v>
      </c>
      <c r="N296" s="881">
        <v>0</v>
      </c>
      <c r="O296" s="880" t="s">
        <v>3093</v>
      </c>
      <c r="P296" s="1126">
        <v>2015</v>
      </c>
      <c r="Q296" s="880">
        <v>0</v>
      </c>
      <c r="R296" s="880">
        <v>0</v>
      </c>
      <c r="S296" s="880">
        <v>0</v>
      </c>
      <c r="T296" s="880" t="s">
        <v>12</v>
      </c>
      <c r="U296" s="882"/>
      <c r="V296" s="880">
        <v>0</v>
      </c>
      <c r="W296" s="880">
        <v>0</v>
      </c>
      <c r="X296" s="969"/>
      <c r="Y296" s="883" t="str">
        <f t="shared" si="92"/>
        <v>04.13.01</v>
      </c>
      <c r="Z296" s="884" t="str">
        <f t="shared" si="93"/>
        <v>Jalan</v>
      </c>
      <c r="AA296" s="884">
        <f t="shared" si="94"/>
        <v>10</v>
      </c>
      <c r="AB296" s="868"/>
      <c r="AC296" s="885">
        <f t="shared" si="104"/>
        <v>0</v>
      </c>
      <c r="AD296" s="868"/>
      <c r="AE296" s="868"/>
      <c r="AF296" s="868"/>
      <c r="AG296" s="868"/>
      <c r="AH296" s="868"/>
      <c r="AI296" s="886"/>
      <c r="AJ296" s="886"/>
      <c r="AK296" s="868">
        <f t="shared" si="103"/>
        <v>0</v>
      </c>
    </row>
    <row r="297" spans="1:37" s="857" customFormat="1" ht="35.25" customHeight="1" x14ac:dyDescent="0.15">
      <c r="A297" s="857">
        <v>245</v>
      </c>
      <c r="B297" s="857" t="str">
        <f t="shared" si="101"/>
        <v>SIMP. 4 PT. WANASARI - SUKAMAJU</v>
      </c>
      <c r="D297" s="857" t="s">
        <v>4029</v>
      </c>
      <c r="E297" s="877" t="s">
        <v>4247</v>
      </c>
      <c r="F297" s="855"/>
      <c r="G297" s="878" t="s">
        <v>1462</v>
      </c>
      <c r="H297" s="879">
        <v>2522478651.5700002</v>
      </c>
      <c r="I297" s="880" t="s">
        <v>2494</v>
      </c>
      <c r="J297" s="880">
        <v>0</v>
      </c>
      <c r="K297" s="880">
        <v>0</v>
      </c>
      <c r="L297" s="881">
        <v>0</v>
      </c>
      <c r="M297" s="880">
        <v>0</v>
      </c>
      <c r="N297" s="881">
        <v>0</v>
      </c>
      <c r="O297" s="880" t="s">
        <v>3093</v>
      </c>
      <c r="P297" s="1126">
        <v>2016</v>
      </c>
      <c r="Q297" s="880">
        <v>0</v>
      </c>
      <c r="R297" s="880">
        <v>0</v>
      </c>
      <c r="S297" s="880">
        <v>0</v>
      </c>
      <c r="T297" s="880" t="s">
        <v>12</v>
      </c>
      <c r="U297" s="882"/>
      <c r="V297" s="880">
        <v>0</v>
      </c>
      <c r="W297" s="880">
        <v>0</v>
      </c>
      <c r="X297" s="969"/>
      <c r="Y297" s="883" t="str">
        <f t="shared" si="92"/>
        <v>04.13.01</v>
      </c>
      <c r="Z297" s="884" t="str">
        <f t="shared" si="93"/>
        <v>Jalan</v>
      </c>
      <c r="AA297" s="884">
        <f t="shared" si="94"/>
        <v>10</v>
      </c>
      <c r="AB297" s="868"/>
      <c r="AC297" s="885">
        <f t="shared" si="104"/>
        <v>0</v>
      </c>
      <c r="AD297" s="868"/>
      <c r="AE297" s="868"/>
      <c r="AF297" s="868"/>
      <c r="AG297" s="868"/>
      <c r="AH297" s="868"/>
      <c r="AI297" s="886"/>
      <c r="AJ297" s="886"/>
      <c r="AK297" s="868">
        <f t="shared" si="103"/>
        <v>0</v>
      </c>
    </row>
    <row r="298" spans="1:37" s="857" customFormat="1" ht="35.25" customHeight="1" x14ac:dyDescent="0.15">
      <c r="A298" s="857">
        <v>245</v>
      </c>
      <c r="B298" s="857" t="str">
        <f t="shared" si="101"/>
        <v>SIMP. 4 PT. WANASARI - SUKAMAJU</v>
      </c>
      <c r="D298" s="857" t="s">
        <v>4030</v>
      </c>
      <c r="E298" s="877" t="s">
        <v>4247</v>
      </c>
      <c r="F298" s="855"/>
      <c r="G298" s="878" t="s">
        <v>2505</v>
      </c>
      <c r="H298" s="879">
        <v>188864000</v>
      </c>
      <c r="I298" s="880" t="s">
        <v>2494</v>
      </c>
      <c r="J298" s="880">
        <v>0</v>
      </c>
      <c r="K298" s="880">
        <v>0</v>
      </c>
      <c r="L298" s="881">
        <v>0</v>
      </c>
      <c r="M298" s="880">
        <v>0</v>
      </c>
      <c r="N298" s="881">
        <v>0</v>
      </c>
      <c r="O298" s="880" t="s">
        <v>2567</v>
      </c>
      <c r="P298" s="1126">
        <v>2017</v>
      </c>
      <c r="Q298" s="880">
        <v>0</v>
      </c>
      <c r="R298" s="880">
        <v>0</v>
      </c>
      <c r="S298" s="880">
        <v>0</v>
      </c>
      <c r="T298" s="880" t="s">
        <v>12</v>
      </c>
      <c r="U298" s="882"/>
      <c r="V298" s="880">
        <v>0</v>
      </c>
      <c r="W298" s="880">
        <v>0</v>
      </c>
      <c r="X298" s="969"/>
      <c r="Y298" s="883" t="str">
        <f t="shared" si="92"/>
        <v>04.13.01</v>
      </c>
      <c r="Z298" s="884" t="str">
        <f t="shared" si="93"/>
        <v>Jalan</v>
      </c>
      <c r="AA298" s="884">
        <f t="shared" si="94"/>
        <v>10</v>
      </c>
      <c r="AB298" s="868"/>
      <c r="AC298" s="885">
        <f t="shared" si="104"/>
        <v>0</v>
      </c>
      <c r="AD298" s="868"/>
      <c r="AE298" s="868"/>
      <c r="AF298" s="868"/>
      <c r="AG298" s="868"/>
      <c r="AH298" s="868"/>
      <c r="AI298" s="886"/>
      <c r="AJ298" s="886"/>
      <c r="AK298" s="868">
        <f t="shared" si="103"/>
        <v>0</v>
      </c>
    </row>
    <row r="299" spans="1:37" s="857" customFormat="1" ht="35.25" customHeight="1" x14ac:dyDescent="0.15">
      <c r="A299" s="857">
        <v>245</v>
      </c>
      <c r="B299" s="857" t="str">
        <f t="shared" si="101"/>
        <v>SIMP. 4 PT. WANASARI - SUKAMAJU</v>
      </c>
      <c r="D299" s="857" t="s">
        <v>4108</v>
      </c>
      <c r="E299" s="877" t="s">
        <v>4247</v>
      </c>
      <c r="F299" s="855"/>
      <c r="G299" s="878" t="s">
        <v>3339</v>
      </c>
      <c r="H299" s="879">
        <v>452524755</v>
      </c>
      <c r="I299" s="880" t="s">
        <v>2494</v>
      </c>
      <c r="J299" s="880">
        <v>0</v>
      </c>
      <c r="K299" s="880">
        <v>0</v>
      </c>
      <c r="L299" s="881">
        <v>0</v>
      </c>
      <c r="M299" s="880">
        <v>0</v>
      </c>
      <c r="N299" s="881">
        <v>0</v>
      </c>
      <c r="O299" s="880" t="s">
        <v>3093</v>
      </c>
      <c r="P299" s="1126">
        <v>2018</v>
      </c>
      <c r="Q299" s="880">
        <v>0</v>
      </c>
      <c r="R299" s="880">
        <v>0</v>
      </c>
      <c r="S299" s="880">
        <v>0</v>
      </c>
      <c r="T299" s="880" t="s">
        <v>12</v>
      </c>
      <c r="U299" s="882"/>
      <c r="V299" s="880">
        <v>0</v>
      </c>
      <c r="W299" s="880">
        <v>0</v>
      </c>
      <c r="X299" s="969"/>
      <c r="Y299" s="883" t="str">
        <f t="shared" si="92"/>
        <v>04.13.01</v>
      </c>
      <c r="Z299" s="884" t="str">
        <f t="shared" si="93"/>
        <v>Jalan</v>
      </c>
      <c r="AA299" s="884">
        <f t="shared" si="94"/>
        <v>10</v>
      </c>
      <c r="AB299" s="868"/>
      <c r="AC299" s="885">
        <f t="shared" si="104"/>
        <v>0</v>
      </c>
      <c r="AD299" s="868"/>
      <c r="AE299" s="868"/>
      <c r="AF299" s="868"/>
      <c r="AG299" s="868"/>
      <c r="AH299" s="868"/>
      <c r="AI299" s="886"/>
      <c r="AJ299" s="886"/>
      <c r="AK299" s="868"/>
    </row>
    <row r="300" spans="1:37" s="998" customFormat="1" ht="35.25" customHeight="1" x14ac:dyDescent="0.2">
      <c r="A300" s="998">
        <v>246</v>
      </c>
      <c r="B300" s="998" t="str">
        <f t="shared" si="101"/>
        <v>SEI. SIRIH - SIMP. 4 PT. WANASARI</v>
      </c>
      <c r="D300" s="998" t="s">
        <v>4031</v>
      </c>
      <c r="E300" s="1006" t="str">
        <f t="shared" ref="E300:E307" si="105">RIGHT(D300,1)</f>
        <v>1</v>
      </c>
      <c r="F300" s="1000"/>
      <c r="G300" s="1010" t="s">
        <v>1232</v>
      </c>
      <c r="H300" s="1011"/>
      <c r="I300" s="1001" t="s">
        <v>2494</v>
      </c>
      <c r="J300" s="1001">
        <v>0</v>
      </c>
      <c r="K300" s="1001" t="s">
        <v>519</v>
      </c>
      <c r="L300" s="1003">
        <v>0</v>
      </c>
      <c r="M300" s="1001">
        <v>0</v>
      </c>
      <c r="N300" s="1003">
        <v>1000</v>
      </c>
      <c r="O300" s="1001" t="s">
        <v>3830</v>
      </c>
      <c r="P300" s="1168">
        <v>2011</v>
      </c>
      <c r="Q300" s="1001">
        <v>0</v>
      </c>
      <c r="R300" s="1001">
        <v>0</v>
      </c>
      <c r="S300" s="1001">
        <v>0</v>
      </c>
      <c r="T300" s="1001" t="s">
        <v>12</v>
      </c>
      <c r="U300" s="1002">
        <f>84556900+H301</f>
        <v>2316631618</v>
      </c>
      <c r="V300" s="1001" t="s">
        <v>43</v>
      </c>
      <c r="W300" s="1001">
        <v>0</v>
      </c>
      <c r="X300" s="1004"/>
      <c r="Y300" s="1006" t="str">
        <f t="shared" si="92"/>
        <v>04.13.01</v>
      </c>
      <c r="Z300" s="1006" t="str">
        <f t="shared" si="93"/>
        <v>Jalan</v>
      </c>
      <c r="AA300" s="1006">
        <f t="shared" si="94"/>
        <v>10</v>
      </c>
      <c r="AB300" s="1007"/>
      <c r="AC300" s="1008"/>
      <c r="AD300" s="1007"/>
      <c r="AE300" s="1007"/>
      <c r="AF300" s="1007"/>
      <c r="AG300" s="1007"/>
      <c r="AH300" s="1007"/>
      <c r="AI300" s="1009">
        <f>PERHITUNGAN!R1437</f>
        <v>489716669.36603004</v>
      </c>
      <c r="AJ300" s="1009">
        <f>PERHITUNGAN!U1445</f>
        <v>3969471416.3818898</v>
      </c>
      <c r="AK300" s="1007">
        <f t="shared" ref="AK300:AK321" si="106">U300-AJ300</f>
        <v>-1652839798.3818898</v>
      </c>
    </row>
    <row r="301" spans="1:37" s="887" customFormat="1" ht="35.25" customHeight="1" x14ac:dyDescent="0.2">
      <c r="A301" s="887">
        <v>246</v>
      </c>
      <c r="B301" s="857" t="str">
        <f>VLOOKUP(A301,RUAS,2,FALSE)</f>
        <v>SEI. SIRIH - SIMP. 4 PT. WANASARI</v>
      </c>
      <c r="E301" s="884" t="str">
        <f t="shared" si="105"/>
        <v/>
      </c>
      <c r="F301" s="888"/>
      <c r="G301" s="1147" t="s">
        <v>3326</v>
      </c>
      <c r="H301" s="879">
        <v>2232074718</v>
      </c>
      <c r="I301" s="921" t="s">
        <v>2494</v>
      </c>
      <c r="J301" s="922"/>
      <c r="K301" s="921"/>
      <c r="L301" s="923"/>
      <c r="M301" s="922"/>
      <c r="N301" s="923"/>
      <c r="O301" s="918" t="s">
        <v>3301</v>
      </c>
      <c r="P301" s="921">
        <v>2018</v>
      </c>
      <c r="Q301" s="922"/>
      <c r="R301" s="922"/>
      <c r="S301" s="922"/>
      <c r="T301" s="903" t="s">
        <v>12</v>
      </c>
      <c r="U301" s="924"/>
      <c r="V301" s="905"/>
      <c r="W301" s="906"/>
      <c r="X301" s="970"/>
      <c r="Y301" s="884" t="str">
        <f>LEFT(I301,8)</f>
        <v>04.13.01</v>
      </c>
      <c r="Z301" s="884" t="str">
        <f>VLOOKUP(Y301,UE,3,FALSE)</f>
        <v>Jalan</v>
      </c>
      <c r="AA301" s="884">
        <f>VLOOKUP(Y301,UE,4,FALSE)</f>
        <v>10</v>
      </c>
      <c r="AB301" s="868"/>
      <c r="AC301" s="885"/>
      <c r="AD301" s="868"/>
      <c r="AE301" s="868"/>
      <c r="AF301" s="868"/>
      <c r="AG301" s="868"/>
      <c r="AH301" s="868"/>
      <c r="AI301" s="886"/>
      <c r="AJ301" s="886"/>
      <c r="AK301" s="868">
        <f>U301-AJ301</f>
        <v>0</v>
      </c>
    </row>
    <row r="302" spans="1:37" s="998" customFormat="1" ht="35.25" customHeight="1" x14ac:dyDescent="0.2">
      <c r="A302" s="998">
        <v>247</v>
      </c>
      <c r="B302" s="998" t="str">
        <f>VLOOKUP(A302,RUAS,2,FALSE)</f>
        <v>SIMP. MUARA BAHAN - MUARA BAHAN</v>
      </c>
      <c r="E302" s="1006" t="str">
        <f t="shared" si="105"/>
        <v/>
      </c>
      <c r="F302" s="1000"/>
      <c r="G302" s="1010" t="s">
        <v>529</v>
      </c>
      <c r="H302" s="1011"/>
      <c r="I302" s="1001" t="s">
        <v>2494</v>
      </c>
      <c r="J302" s="1001"/>
      <c r="K302" s="1001" t="s">
        <v>484</v>
      </c>
      <c r="L302" s="1003" t="s">
        <v>497</v>
      </c>
      <c r="M302" s="1001"/>
      <c r="N302" s="1003"/>
      <c r="O302" s="1001" t="s">
        <v>659</v>
      </c>
      <c r="P302" s="1168">
        <v>2001</v>
      </c>
      <c r="Q302" s="1001"/>
      <c r="R302" s="1001"/>
      <c r="S302" s="1001" t="s">
        <v>482</v>
      </c>
      <c r="T302" s="1001" t="s">
        <v>12</v>
      </c>
      <c r="U302" s="1002">
        <f>4992000000+H303</f>
        <v>6589174170.3423615</v>
      </c>
      <c r="V302" s="1001" t="s">
        <v>43</v>
      </c>
      <c r="W302" s="1001"/>
      <c r="X302" s="1004"/>
      <c r="Y302" s="1006" t="str">
        <f>LEFT(I302,8)</f>
        <v>04.13.01</v>
      </c>
      <c r="Z302" s="1006" t="str">
        <f>VLOOKUP(Y302,UE,3,FALSE)</f>
        <v>Jalan</v>
      </c>
      <c r="AA302" s="1006">
        <f>VLOOKUP(Y302,UE,4,FALSE)</f>
        <v>10</v>
      </c>
      <c r="AB302" s="1007"/>
      <c r="AC302" s="1008"/>
      <c r="AD302" s="1007"/>
      <c r="AE302" s="1007"/>
      <c r="AF302" s="1007"/>
      <c r="AG302" s="1007"/>
      <c r="AH302" s="1007"/>
      <c r="AI302" s="1009">
        <f>PERHITUNGAN!R1467</f>
        <v>259890353.03322268</v>
      </c>
      <c r="AJ302" s="1009">
        <f>PERHITUNGAN!U1470</f>
        <v>6806170565.1705341</v>
      </c>
      <c r="AK302" s="1007">
        <f>U302-AJ302</f>
        <v>-216996394.82817268</v>
      </c>
    </row>
    <row r="303" spans="1:37" s="857" customFormat="1" ht="35.25" customHeight="1" x14ac:dyDescent="0.2">
      <c r="A303" s="857">
        <v>247</v>
      </c>
      <c r="B303" s="857" t="str">
        <f t="shared" si="101"/>
        <v>SIMP. MUARA BAHAN - MUARA BAHAN</v>
      </c>
      <c r="D303" s="857" t="s">
        <v>4032</v>
      </c>
      <c r="E303" s="884" t="str">
        <f t="shared" si="105"/>
        <v>1</v>
      </c>
      <c r="F303" s="855"/>
      <c r="G303" s="878" t="s">
        <v>1256</v>
      </c>
      <c r="H303" s="879">
        <v>1597174170.3423619</v>
      </c>
      <c r="I303" s="880" t="s">
        <v>2494</v>
      </c>
      <c r="J303" s="880">
        <v>0</v>
      </c>
      <c r="K303" s="880" t="s">
        <v>519</v>
      </c>
      <c r="L303" s="881">
        <v>0</v>
      </c>
      <c r="M303" s="880">
        <v>0</v>
      </c>
      <c r="N303" s="881">
        <v>0</v>
      </c>
      <c r="O303" s="880" t="s">
        <v>659</v>
      </c>
      <c r="P303" s="1126">
        <v>2012</v>
      </c>
      <c r="Q303" s="880">
        <v>0</v>
      </c>
      <c r="R303" s="880">
        <v>0</v>
      </c>
      <c r="S303" s="880">
        <v>0</v>
      </c>
      <c r="T303" s="880" t="s">
        <v>12</v>
      </c>
      <c r="U303" s="882"/>
      <c r="V303" s="880" t="s">
        <v>43</v>
      </c>
      <c r="W303" s="880">
        <v>0</v>
      </c>
      <c r="X303" s="969"/>
      <c r="Y303" s="884" t="str">
        <f t="shared" si="92"/>
        <v>04.13.01</v>
      </c>
      <c r="Z303" s="884" t="str">
        <f t="shared" si="93"/>
        <v>Jalan</v>
      </c>
      <c r="AA303" s="884">
        <f t="shared" si="94"/>
        <v>10</v>
      </c>
      <c r="AB303" s="868"/>
      <c r="AC303" s="885"/>
      <c r="AD303" s="868"/>
      <c r="AE303" s="868"/>
      <c r="AF303" s="868"/>
      <c r="AG303" s="868"/>
      <c r="AH303" s="868"/>
      <c r="AI303" s="886"/>
      <c r="AJ303" s="886"/>
      <c r="AK303" s="868">
        <f t="shared" si="106"/>
        <v>0</v>
      </c>
    </row>
    <row r="304" spans="1:37" s="857" customFormat="1" ht="35.25" customHeight="1" x14ac:dyDescent="0.2">
      <c r="A304" s="857">
        <v>251</v>
      </c>
      <c r="B304" s="857" t="str">
        <f t="shared" si="101"/>
        <v>BERINGIN JAYA - SUKA MAJU</v>
      </c>
      <c r="D304" s="857" t="s">
        <v>4033</v>
      </c>
      <c r="E304" s="884" t="str">
        <f t="shared" si="105"/>
        <v>1</v>
      </c>
      <c r="F304" s="855"/>
      <c r="G304" s="878" t="s">
        <v>529</v>
      </c>
      <c r="H304" s="879"/>
      <c r="I304" s="880" t="s">
        <v>2494</v>
      </c>
      <c r="J304" s="880">
        <v>0</v>
      </c>
      <c r="K304" s="880" t="s">
        <v>484</v>
      </c>
      <c r="L304" s="881" t="s">
        <v>497</v>
      </c>
      <c r="M304" s="880">
        <v>8</v>
      </c>
      <c r="N304" s="881">
        <v>64000</v>
      </c>
      <c r="O304" s="880" t="s">
        <v>662</v>
      </c>
      <c r="P304" s="1126">
        <v>2001</v>
      </c>
      <c r="Q304" s="880">
        <v>0</v>
      </c>
      <c r="R304" s="880">
        <v>0</v>
      </c>
      <c r="S304" s="880" t="s">
        <v>482</v>
      </c>
      <c r="T304" s="880" t="s">
        <v>12</v>
      </c>
      <c r="U304" s="882">
        <v>5376000000</v>
      </c>
      <c r="V304" s="880" t="s">
        <v>43</v>
      </c>
      <c r="W304" s="880">
        <v>0</v>
      </c>
      <c r="X304" s="969"/>
      <c r="Y304" s="884" t="str">
        <f t="shared" si="92"/>
        <v>04.13.01</v>
      </c>
      <c r="Z304" s="884" t="str">
        <f t="shared" si="93"/>
        <v>Jalan</v>
      </c>
      <c r="AA304" s="884">
        <f t="shared" si="94"/>
        <v>10</v>
      </c>
      <c r="AB304" s="868">
        <f>U304/AA304</f>
        <v>537600000</v>
      </c>
      <c r="AC304" s="885">
        <f>IF(2013-P304+1&gt;AA304,AA304,IF(2013-P304+1&lt;0,0,2013-P304+1))</f>
        <v>10</v>
      </c>
      <c r="AD304" s="868">
        <f>IF(AC304&gt;AA304,U304,AB304*AC304)</f>
        <v>5376000000</v>
      </c>
      <c r="AE304" s="868">
        <f>IF(U304=AD304,0,AB304)</f>
        <v>0</v>
      </c>
      <c r="AF304" s="868">
        <f>IF(U304=AD304+AE304,0,AB304)</f>
        <v>0</v>
      </c>
      <c r="AG304" s="868">
        <f>IF(U304=AD304+AE304+AF304,0,AB304)</f>
        <v>0</v>
      </c>
      <c r="AH304" s="868">
        <f>IF(U304=AE304+AF304+AG304+AD304,0,AB304)</f>
        <v>0</v>
      </c>
      <c r="AI304" s="886">
        <f>IF(U304=AE304+AF304+AG304+AD304+AH304,0,AB304)</f>
        <v>0</v>
      </c>
      <c r="AJ304" s="886">
        <f>SUM(AD304:AI304)</f>
        <v>5376000000</v>
      </c>
      <c r="AK304" s="868">
        <f t="shared" si="106"/>
        <v>0</v>
      </c>
    </row>
    <row r="305" spans="1:37" s="857" customFormat="1" ht="35.25" customHeight="1" x14ac:dyDescent="0.2">
      <c r="A305" s="857">
        <v>255</v>
      </c>
      <c r="B305" s="857" t="e">
        <f>VLOOKUP(A305,RUAS,2,FALSE)</f>
        <v>#N/A</v>
      </c>
      <c r="E305" s="884" t="str">
        <f t="shared" si="105"/>
        <v/>
      </c>
      <c r="F305" s="855"/>
      <c r="G305" s="878" t="s">
        <v>1157</v>
      </c>
      <c r="H305" s="879"/>
      <c r="I305" s="861" t="s">
        <v>2494</v>
      </c>
      <c r="J305" s="871"/>
      <c r="K305" s="861" t="s">
        <v>519</v>
      </c>
      <c r="L305" s="856"/>
      <c r="M305" s="862"/>
      <c r="N305" s="856">
        <v>1000</v>
      </c>
      <c r="O305" s="863" t="s">
        <v>3094</v>
      </c>
      <c r="P305" s="861">
        <v>2007</v>
      </c>
      <c r="Q305" s="862"/>
      <c r="R305" s="862"/>
      <c r="S305" s="862"/>
      <c r="T305" s="862" t="s">
        <v>12</v>
      </c>
      <c r="U305" s="899">
        <v>1495355556.08446</v>
      </c>
      <c r="V305" s="861" t="s">
        <v>43</v>
      </c>
      <c r="W305" s="865"/>
      <c r="X305" s="968"/>
      <c r="Y305" s="884" t="str">
        <f>LEFT(I305,8)</f>
        <v>04.13.01</v>
      </c>
      <c r="Z305" s="884" t="str">
        <f>VLOOKUP(Y305,UE,3,FALSE)</f>
        <v>Jalan</v>
      </c>
      <c r="AA305" s="884">
        <f>VLOOKUP(Y305,UE,4,FALSE)</f>
        <v>10</v>
      </c>
      <c r="AB305" s="868">
        <f>U305/AA305</f>
        <v>149535555.608446</v>
      </c>
      <c r="AC305" s="885">
        <f>IF(2013-P305+1&gt;AA305,AA305,IF(2013-P305+1&lt;0,0,2013-P305+1))</f>
        <v>7</v>
      </c>
      <c r="AD305" s="868">
        <f>IF(AC305&gt;AA305,U305,AB305*AC305)</f>
        <v>1046748889.259122</v>
      </c>
      <c r="AE305" s="868">
        <f>IF(U305=AD305,0,AB305)</f>
        <v>149535555.608446</v>
      </c>
      <c r="AF305" s="868">
        <f>IF(U305=AD305+AE305,0,AB305)</f>
        <v>149535555.608446</v>
      </c>
      <c r="AG305" s="868">
        <f>IF(U305=AD305+AE305+AF305,0,AB305)</f>
        <v>149535555.608446</v>
      </c>
      <c r="AH305" s="868">
        <f>IF(U305=AE305+AF305+AG305+AD305,0,AB305)</f>
        <v>0</v>
      </c>
      <c r="AI305" s="886">
        <f>IF(U305=AE305+AF305+AG305+AD305+AH305,0,AB305)</f>
        <v>0</v>
      </c>
      <c r="AJ305" s="886">
        <f>SUM(AD305:AI305)</f>
        <v>1495355556.0844603</v>
      </c>
      <c r="AK305" s="868">
        <f>U305-AJ305</f>
        <v>0</v>
      </c>
    </row>
    <row r="306" spans="1:37" s="857" customFormat="1" ht="35.25" customHeight="1" x14ac:dyDescent="0.2">
      <c r="A306" s="857">
        <v>255</v>
      </c>
      <c r="B306" s="857" t="e">
        <f>VLOOKUP(A306,RUAS,2,FALSE)</f>
        <v>#N/A</v>
      </c>
      <c r="E306" s="884" t="str">
        <f t="shared" si="105"/>
        <v/>
      </c>
      <c r="F306" s="855"/>
      <c r="G306" s="878" t="s">
        <v>1170</v>
      </c>
      <c r="H306" s="879"/>
      <c r="I306" s="861" t="s">
        <v>3822</v>
      </c>
      <c r="J306" s="871"/>
      <c r="K306" s="861" t="s">
        <v>835</v>
      </c>
      <c r="L306" s="856">
        <v>2</v>
      </c>
      <c r="M306" s="862">
        <v>2.5</v>
      </c>
      <c r="N306" s="856">
        <v>5</v>
      </c>
      <c r="O306" s="863" t="s">
        <v>3094</v>
      </c>
      <c r="P306" s="861">
        <v>2007</v>
      </c>
      <c r="Q306" s="862"/>
      <c r="R306" s="862"/>
      <c r="S306" s="862"/>
      <c r="T306" s="862" t="s">
        <v>12</v>
      </c>
      <c r="U306" s="899">
        <v>789287288.44000006</v>
      </c>
      <c r="V306" s="861" t="s">
        <v>43</v>
      </c>
      <c r="W306" s="865"/>
      <c r="X306" s="968"/>
      <c r="Y306" s="884" t="str">
        <f>LEFT(I306,8)</f>
        <v>04.13.02</v>
      </c>
      <c r="Z306" s="884" t="str">
        <f>VLOOKUP(Y306,UE,3,FALSE)</f>
        <v>Jembatan</v>
      </c>
      <c r="AA306" s="884">
        <f>VLOOKUP(Y306,UE,4,FALSE)</f>
        <v>50</v>
      </c>
      <c r="AB306" s="868">
        <f>U306/AA306</f>
        <v>15785745.768800002</v>
      </c>
      <c r="AC306" s="885">
        <f>IF(2013-P306+1&gt;AA306,AA306,IF(2013-P306+1&lt;0,0,2013-P306+1))</f>
        <v>7</v>
      </c>
      <c r="AD306" s="868">
        <f>IF(AC306&gt;AA306,U306,AB306*AC306)</f>
        <v>110500220.38160001</v>
      </c>
      <c r="AE306" s="868">
        <f>IF(U306=AD306,0,AB306)</f>
        <v>15785745.768800002</v>
      </c>
      <c r="AF306" s="868">
        <f>IF(U306=AD306+AE306,0,AB306)</f>
        <v>15785745.768800002</v>
      </c>
      <c r="AG306" s="868">
        <f>IF(U306=AD306+AE306+AF306,0,AB306)</f>
        <v>15785745.768800002</v>
      </c>
      <c r="AH306" s="868">
        <f>IF(U306=AE306+AF306+AG306+AD306,0,AB306)</f>
        <v>15785745.768800002</v>
      </c>
      <c r="AI306" s="886">
        <f>IF(U306=AE306+AF306+AG306+AD306+AH306,0,AB306)</f>
        <v>15785745.768800002</v>
      </c>
      <c r="AJ306" s="886">
        <f>SUM(AD306:AI306)</f>
        <v>189428949.22559997</v>
      </c>
      <c r="AK306" s="868">
        <f>U306-AJ306</f>
        <v>599858339.21440005</v>
      </c>
    </row>
    <row r="307" spans="1:37" s="857" customFormat="1" ht="35.25" customHeight="1" x14ac:dyDescent="0.2">
      <c r="A307" s="857">
        <v>256</v>
      </c>
      <c r="B307" s="857" t="e">
        <f>VLOOKUP(A307,RUAS,2,FALSE)</f>
        <v>#N/A</v>
      </c>
      <c r="E307" s="884" t="str">
        <f t="shared" si="105"/>
        <v/>
      </c>
      <c r="F307" s="855"/>
      <c r="G307" s="878" t="s">
        <v>483</v>
      </c>
      <c r="H307" s="879"/>
      <c r="I307" s="880" t="s">
        <v>3820</v>
      </c>
      <c r="J307" s="880"/>
      <c r="K307" s="880" t="s">
        <v>479</v>
      </c>
      <c r="L307" s="881" t="s">
        <v>522</v>
      </c>
      <c r="M307" s="880"/>
      <c r="N307" s="881"/>
      <c r="O307" s="880" t="s">
        <v>523</v>
      </c>
      <c r="P307" s="1126">
        <v>2001</v>
      </c>
      <c r="Q307" s="880"/>
      <c r="R307" s="880"/>
      <c r="S307" s="880" t="s">
        <v>482</v>
      </c>
      <c r="T307" s="880" t="s">
        <v>12</v>
      </c>
      <c r="U307" s="882">
        <v>4410000000</v>
      </c>
      <c r="V307" s="880" t="s">
        <v>43</v>
      </c>
      <c r="W307" s="880"/>
      <c r="X307" s="969"/>
      <c r="Y307" s="884" t="str">
        <f>LEFT(I307,8)</f>
        <v>04.13.01</v>
      </c>
      <c r="Z307" s="884" t="str">
        <f>VLOOKUP(Y307,UE,3,FALSE)</f>
        <v>Jalan</v>
      </c>
      <c r="AA307" s="884">
        <f>VLOOKUP(Y307,UE,4,FALSE)</f>
        <v>10</v>
      </c>
      <c r="AB307" s="868">
        <f>U307/AA307</f>
        <v>441000000</v>
      </c>
      <c r="AC307" s="885">
        <f>IF(2013-P307+1&gt;AA307,AA307,IF(2013-P307+1&lt;0,0,2013-P307+1))</f>
        <v>10</v>
      </c>
      <c r="AD307" s="868">
        <f>IF(AC307&gt;AA307,U307,AB307*AC307)</f>
        <v>4410000000</v>
      </c>
      <c r="AE307" s="868">
        <f>IF(U307=AD307,0,AB307)</f>
        <v>0</v>
      </c>
      <c r="AF307" s="868">
        <f>IF(U307=AD307+AE307,0,AB307)</f>
        <v>0</v>
      </c>
      <c r="AG307" s="868">
        <f>IF(U307=AD307+AE307+AF307,0,AB307)</f>
        <v>0</v>
      </c>
      <c r="AH307" s="868">
        <f>IF(U307=AE307+AF307+AG307+AD307,0,AB307)</f>
        <v>0</v>
      </c>
      <c r="AI307" s="886">
        <f>IF(U307=AE307+AF307+AG307+AD307+AH307,0,AB307)</f>
        <v>0</v>
      </c>
      <c r="AJ307" s="886">
        <f>SUM(AD307:AI307)</f>
        <v>4410000000</v>
      </c>
      <c r="AK307" s="868">
        <f>U307-AJ307</f>
        <v>0</v>
      </c>
    </row>
    <row r="308" spans="1:37" s="998" customFormat="1" ht="35.25" customHeight="1" x14ac:dyDescent="0.15">
      <c r="A308" s="998">
        <v>257</v>
      </c>
      <c r="B308" s="998" t="str">
        <f t="shared" si="101"/>
        <v>BENAI - PL. LANCANG</v>
      </c>
      <c r="D308" s="998" t="s">
        <v>4034</v>
      </c>
      <c r="E308" s="999" t="s">
        <v>4247</v>
      </c>
      <c r="F308" s="1000"/>
      <c r="G308" s="1010" t="s">
        <v>1132</v>
      </c>
      <c r="H308" s="1011"/>
      <c r="I308" s="1001" t="s">
        <v>3820</v>
      </c>
      <c r="J308" s="1001">
        <v>0</v>
      </c>
      <c r="K308" s="1001" t="s">
        <v>479</v>
      </c>
      <c r="L308" s="1003" t="s">
        <v>487</v>
      </c>
      <c r="M308" s="1001">
        <v>7</v>
      </c>
      <c r="N308" s="1003">
        <v>59500</v>
      </c>
      <c r="O308" s="1001" t="s">
        <v>3075</v>
      </c>
      <c r="P308" s="1168">
        <v>2001</v>
      </c>
      <c r="Q308" s="1001">
        <v>0</v>
      </c>
      <c r="R308" s="1001">
        <v>0</v>
      </c>
      <c r="S308" s="1001" t="s">
        <v>482</v>
      </c>
      <c r="T308" s="1001" t="s">
        <v>12</v>
      </c>
      <c r="U308" s="1002">
        <f>9883854526+H309</f>
        <v>13050319489</v>
      </c>
      <c r="V308" s="1001" t="s">
        <v>43</v>
      </c>
      <c r="W308" s="1001">
        <v>0</v>
      </c>
      <c r="X308" s="1004"/>
      <c r="Y308" s="1005" t="str">
        <f t="shared" si="92"/>
        <v>04.13.01</v>
      </c>
      <c r="Z308" s="1006" t="str">
        <f t="shared" si="93"/>
        <v>Jalan</v>
      </c>
      <c r="AA308" s="1006">
        <f t="shared" si="94"/>
        <v>10</v>
      </c>
      <c r="AB308" s="1007"/>
      <c r="AC308" s="1008">
        <f>IF(2013-P308&gt;AA308,10,IF(2013-P308&lt;0,0,2013-P308))</f>
        <v>10</v>
      </c>
      <c r="AD308" s="1007"/>
      <c r="AE308" s="1007"/>
      <c r="AF308" s="1007"/>
      <c r="AG308" s="1007"/>
      <c r="AH308" s="1007"/>
      <c r="AI308" s="1009">
        <f>PERHITUNGAN!U1486</f>
        <v>316646496.30000001</v>
      </c>
      <c r="AJ308" s="1009">
        <f>PERHITUNGAN!U1489</f>
        <v>14937615408.979998</v>
      </c>
      <c r="AK308" s="1007">
        <f t="shared" si="106"/>
        <v>-1887295919.9799976</v>
      </c>
    </row>
    <row r="309" spans="1:37" s="857" customFormat="1" ht="35.25" customHeight="1" x14ac:dyDescent="0.15">
      <c r="A309" s="857">
        <v>257</v>
      </c>
      <c r="B309" s="857" t="str">
        <f t="shared" si="101"/>
        <v>BENAI - PL. LANCANG</v>
      </c>
      <c r="D309" s="857" t="s">
        <v>4035</v>
      </c>
      <c r="E309" s="877" t="s">
        <v>4247</v>
      </c>
      <c r="F309" s="855"/>
      <c r="G309" s="878" t="s">
        <v>1367</v>
      </c>
      <c r="H309" s="879">
        <v>3166464963</v>
      </c>
      <c r="I309" s="880" t="s">
        <v>2494</v>
      </c>
      <c r="J309" s="880">
        <v>0</v>
      </c>
      <c r="K309" s="880">
        <v>0</v>
      </c>
      <c r="L309" s="881">
        <v>0</v>
      </c>
      <c r="M309" s="880">
        <v>0</v>
      </c>
      <c r="N309" s="881">
        <v>0</v>
      </c>
      <c r="O309" s="880" t="s">
        <v>3075</v>
      </c>
      <c r="P309" s="1126">
        <v>2015</v>
      </c>
      <c r="Q309" s="880">
        <v>0</v>
      </c>
      <c r="R309" s="880">
        <v>0</v>
      </c>
      <c r="S309" s="880">
        <v>0</v>
      </c>
      <c r="T309" s="880" t="s">
        <v>12</v>
      </c>
      <c r="U309" s="882"/>
      <c r="V309" s="880">
        <v>0</v>
      </c>
      <c r="W309" s="880">
        <v>0</v>
      </c>
      <c r="X309" s="969"/>
      <c r="Y309" s="883" t="str">
        <f t="shared" si="92"/>
        <v>04.13.01</v>
      </c>
      <c r="Z309" s="884" t="str">
        <f t="shared" si="93"/>
        <v>Jalan</v>
      </c>
      <c r="AA309" s="884">
        <f t="shared" si="94"/>
        <v>10</v>
      </c>
      <c r="AB309" s="868"/>
      <c r="AC309" s="885">
        <f>IF(2013-P309&gt;AA309,10,IF(2013-P309&lt;0,0,2013-P309))</f>
        <v>0</v>
      </c>
      <c r="AD309" s="868"/>
      <c r="AE309" s="868"/>
      <c r="AF309" s="868"/>
      <c r="AG309" s="868"/>
      <c r="AH309" s="868"/>
      <c r="AI309" s="886"/>
      <c r="AJ309" s="886"/>
      <c r="AK309" s="868">
        <f t="shared" si="106"/>
        <v>0</v>
      </c>
    </row>
    <row r="310" spans="1:37" s="998" customFormat="1" ht="35.25" customHeight="1" x14ac:dyDescent="0.15">
      <c r="A310" s="998">
        <v>258</v>
      </c>
      <c r="B310" s="998" t="str">
        <f t="shared" si="101"/>
        <v>LEPAU GADING - PANGEAN</v>
      </c>
      <c r="D310" s="998" t="s">
        <v>4036</v>
      </c>
      <c r="E310" s="999" t="s">
        <v>4247</v>
      </c>
      <c r="F310" s="1000"/>
      <c r="G310" s="1010" t="s">
        <v>483</v>
      </c>
      <c r="H310" s="1011"/>
      <c r="I310" s="1001" t="s">
        <v>3820</v>
      </c>
      <c r="J310" s="1001">
        <v>0</v>
      </c>
      <c r="K310" s="1001" t="s">
        <v>479</v>
      </c>
      <c r="L310" s="1003" t="s">
        <v>517</v>
      </c>
      <c r="M310" s="1001">
        <v>7</v>
      </c>
      <c r="N310" s="1003">
        <v>81900</v>
      </c>
      <c r="O310" s="1001" t="s">
        <v>518</v>
      </c>
      <c r="P310" s="1168">
        <v>2001</v>
      </c>
      <c r="Q310" s="1001">
        <v>0</v>
      </c>
      <c r="R310" s="1001">
        <v>0</v>
      </c>
      <c r="S310" s="1001" t="s">
        <v>482</v>
      </c>
      <c r="T310" s="1001" t="s">
        <v>12</v>
      </c>
      <c r="U310" s="1002">
        <f>22932000000+H311+H312+H313+H314+H315</f>
        <v>36960222622.108337</v>
      </c>
      <c r="V310" s="1001" t="s">
        <v>135</v>
      </c>
      <c r="W310" s="1001">
        <v>0</v>
      </c>
      <c r="X310" s="1004"/>
      <c r="Y310" s="1005" t="str">
        <f t="shared" si="92"/>
        <v>04.13.01</v>
      </c>
      <c r="Z310" s="1006" t="str">
        <f t="shared" si="93"/>
        <v>Jalan</v>
      </c>
      <c r="AA310" s="1006">
        <f t="shared" si="94"/>
        <v>10</v>
      </c>
      <c r="AB310" s="1007"/>
      <c r="AC310" s="1008">
        <f>IF(2013-P310&gt;AA310,10,IF(2013-P310&lt;0,0,2013-P310))</f>
        <v>10</v>
      </c>
      <c r="AD310" s="1007"/>
      <c r="AE310" s="1007"/>
      <c r="AF310" s="1007"/>
      <c r="AG310" s="1007"/>
      <c r="AH310" s="1007"/>
      <c r="AI310" s="1009">
        <f>PERHITUNGAN!U1509</f>
        <v>1143512331.210346</v>
      </c>
      <c r="AJ310" s="1009">
        <f>PERHITUNGAN!U1512</f>
        <v>29826726425.826412</v>
      </c>
      <c r="AK310" s="1007">
        <f t="shared" si="106"/>
        <v>7133496196.2819252</v>
      </c>
    </row>
    <row r="311" spans="1:37" s="857" customFormat="1" ht="65.25" customHeight="1" x14ac:dyDescent="0.2">
      <c r="A311" s="857">
        <v>258</v>
      </c>
      <c r="B311" s="857" t="str">
        <f>VLOOKUP(A311,RUAS,2,FALSE)</f>
        <v>LEPAU GADING - PANGEAN</v>
      </c>
      <c r="E311" s="884" t="s">
        <v>4247</v>
      </c>
      <c r="F311" s="855"/>
      <c r="G311" s="878" t="s">
        <v>1192</v>
      </c>
      <c r="H311" s="879">
        <v>1327353361.6165369</v>
      </c>
      <c r="I311" s="880" t="s">
        <v>2494</v>
      </c>
      <c r="J311" s="880">
        <v>0</v>
      </c>
      <c r="K311" s="880">
        <v>0</v>
      </c>
      <c r="L311" s="881">
        <v>0</v>
      </c>
      <c r="M311" s="880">
        <v>0</v>
      </c>
      <c r="N311" s="881">
        <v>0</v>
      </c>
      <c r="O311" s="880" t="s">
        <v>518</v>
      </c>
      <c r="P311" s="1126">
        <v>2007</v>
      </c>
      <c r="Q311" s="880">
        <v>0</v>
      </c>
      <c r="R311" s="880">
        <v>0</v>
      </c>
      <c r="S311" s="880">
        <v>0</v>
      </c>
      <c r="T311" s="880" t="s">
        <v>12</v>
      </c>
      <c r="U311" s="882"/>
      <c r="V311" s="880" t="s">
        <v>43</v>
      </c>
      <c r="W311" s="880">
        <v>0</v>
      </c>
      <c r="X311" s="969"/>
      <c r="Y311" s="884" t="str">
        <f>LEFT(I311,8)</f>
        <v>04.13.01</v>
      </c>
      <c r="Z311" s="884" t="str">
        <f>VLOOKUP(Y311,UE,3,FALSE)</f>
        <v>Jalan</v>
      </c>
      <c r="AA311" s="884">
        <f>VLOOKUP(Y311,UE,4,FALSE)</f>
        <v>10</v>
      </c>
      <c r="AB311" s="868">
        <f>U311/AA311</f>
        <v>0</v>
      </c>
      <c r="AC311" s="885">
        <f>IF(2013-P311+1&gt;AA311,AA311,IF(2013-P311+1&lt;0,0,2013-P311+1))</f>
        <v>7</v>
      </c>
      <c r="AD311" s="868">
        <f>IF(AC311&gt;AA311,U311,AB311*AC311)</f>
        <v>0</v>
      </c>
      <c r="AE311" s="868">
        <f>IF(U311=AD311,0,AB311)</f>
        <v>0</v>
      </c>
      <c r="AF311" s="868">
        <f>IF(U311=AD311+AE311,0,AB311)</f>
        <v>0</v>
      </c>
      <c r="AG311" s="868">
        <f>IF(U311=AD311+AE311+AF311,0,AB311)</f>
        <v>0</v>
      </c>
      <c r="AH311" s="868">
        <f>IF(U311=AE311+AF311+AG311+AD311,0,AB311)</f>
        <v>0</v>
      </c>
      <c r="AI311" s="886">
        <f>IF(U311=AE311+AF311+AG311+AD311+AH311,0,AB311)</f>
        <v>0</v>
      </c>
      <c r="AJ311" s="886">
        <f>SUM(AD311:AI311)</f>
        <v>0</v>
      </c>
      <c r="AK311" s="868">
        <f>U311-AJ311</f>
        <v>0</v>
      </c>
    </row>
    <row r="312" spans="1:37" s="857" customFormat="1" ht="35.25" customHeight="1" x14ac:dyDescent="0.15">
      <c r="A312" s="857">
        <v>258</v>
      </c>
      <c r="B312" s="857" t="str">
        <f t="shared" si="101"/>
        <v>LEPAU GADING - PANGEAN</v>
      </c>
      <c r="D312" s="857" t="s">
        <v>4037</v>
      </c>
      <c r="E312" s="877" t="s">
        <v>4247</v>
      </c>
      <c r="F312" s="855"/>
      <c r="G312" s="878" t="s">
        <v>1389</v>
      </c>
      <c r="H312" s="879">
        <v>4424469137.1017532</v>
      </c>
      <c r="I312" s="880" t="s">
        <v>2494</v>
      </c>
      <c r="J312" s="880">
        <v>0</v>
      </c>
      <c r="K312" s="880">
        <v>0</v>
      </c>
      <c r="L312" s="881">
        <v>0</v>
      </c>
      <c r="M312" s="880">
        <v>0</v>
      </c>
      <c r="N312" s="881">
        <v>0</v>
      </c>
      <c r="O312" s="880" t="s">
        <v>518</v>
      </c>
      <c r="P312" s="1126">
        <v>2015</v>
      </c>
      <c r="Q312" s="880">
        <v>0</v>
      </c>
      <c r="R312" s="880">
        <v>0</v>
      </c>
      <c r="S312" s="880">
        <v>0</v>
      </c>
      <c r="T312" s="880" t="s">
        <v>12</v>
      </c>
      <c r="U312" s="882"/>
      <c r="V312" s="880">
        <v>0</v>
      </c>
      <c r="W312" s="880">
        <v>0</v>
      </c>
      <c r="X312" s="969"/>
      <c r="Y312" s="883" t="str">
        <f t="shared" si="92"/>
        <v>04.13.01</v>
      </c>
      <c r="Z312" s="884" t="str">
        <f t="shared" si="93"/>
        <v>Jalan</v>
      </c>
      <c r="AA312" s="884">
        <f t="shared" si="94"/>
        <v>10</v>
      </c>
      <c r="AB312" s="868"/>
      <c r="AC312" s="885">
        <f t="shared" ref="AC312:AC322" si="107">IF(2013-P312&gt;AA312,10,IF(2013-P312&lt;0,0,2013-P312))</f>
        <v>0</v>
      </c>
      <c r="AD312" s="868"/>
      <c r="AE312" s="868"/>
      <c r="AF312" s="868"/>
      <c r="AG312" s="868"/>
      <c r="AH312" s="868"/>
      <c r="AI312" s="886"/>
      <c r="AJ312" s="886"/>
      <c r="AK312" s="868">
        <f t="shared" si="106"/>
        <v>0</v>
      </c>
    </row>
    <row r="313" spans="1:37" s="857" customFormat="1" ht="35.25" customHeight="1" x14ac:dyDescent="0.15">
      <c r="A313" s="857">
        <v>258</v>
      </c>
      <c r="B313" s="857" t="str">
        <f t="shared" si="101"/>
        <v>LEPAU GADING - PANGEAN</v>
      </c>
      <c r="D313" s="857" t="s">
        <v>4038</v>
      </c>
      <c r="E313" s="877" t="s">
        <v>4247</v>
      </c>
      <c r="F313" s="855"/>
      <c r="G313" s="878" t="s">
        <v>1450</v>
      </c>
      <c r="H313" s="879">
        <v>4250968123.3900442</v>
      </c>
      <c r="I313" s="880" t="s">
        <v>2494</v>
      </c>
      <c r="J313" s="880">
        <v>0</v>
      </c>
      <c r="K313" s="880">
        <v>0</v>
      </c>
      <c r="L313" s="881">
        <v>0</v>
      </c>
      <c r="M313" s="880">
        <v>0</v>
      </c>
      <c r="N313" s="881">
        <v>0</v>
      </c>
      <c r="O313" s="880" t="s">
        <v>518</v>
      </c>
      <c r="P313" s="1126">
        <v>2016</v>
      </c>
      <c r="Q313" s="880">
        <v>0</v>
      </c>
      <c r="R313" s="880">
        <v>0</v>
      </c>
      <c r="S313" s="880">
        <v>0</v>
      </c>
      <c r="T313" s="880" t="s">
        <v>12</v>
      </c>
      <c r="U313" s="882"/>
      <c r="V313" s="880">
        <v>0</v>
      </c>
      <c r="W313" s="880">
        <v>0</v>
      </c>
      <c r="X313" s="969"/>
      <c r="Y313" s="883" t="str">
        <f t="shared" si="92"/>
        <v>04.13.01</v>
      </c>
      <c r="Z313" s="884" t="str">
        <f t="shared" si="93"/>
        <v>Jalan</v>
      </c>
      <c r="AA313" s="884">
        <f t="shared" si="94"/>
        <v>10</v>
      </c>
      <c r="AB313" s="868"/>
      <c r="AC313" s="885">
        <f t="shared" si="107"/>
        <v>0</v>
      </c>
      <c r="AD313" s="868"/>
      <c r="AE313" s="868"/>
      <c r="AF313" s="868"/>
      <c r="AG313" s="868"/>
      <c r="AH313" s="868"/>
      <c r="AI313" s="886"/>
      <c r="AJ313" s="886"/>
      <c r="AK313" s="868">
        <f t="shared" si="106"/>
        <v>0</v>
      </c>
    </row>
    <row r="314" spans="1:37" s="857" customFormat="1" ht="35.25" customHeight="1" x14ac:dyDescent="0.15">
      <c r="A314" s="857">
        <v>258</v>
      </c>
      <c r="B314" s="857" t="str">
        <f t="shared" si="101"/>
        <v>LEPAU GADING - PANGEAN</v>
      </c>
      <c r="D314" s="857" t="s">
        <v>4039</v>
      </c>
      <c r="E314" s="877" t="s">
        <v>4247</v>
      </c>
      <c r="F314" s="855"/>
      <c r="G314" s="878" t="s">
        <v>3036</v>
      </c>
      <c r="H314" s="879">
        <v>3776832000</v>
      </c>
      <c r="I314" s="880" t="s">
        <v>2494</v>
      </c>
      <c r="J314" s="880">
        <v>0</v>
      </c>
      <c r="K314" s="880">
        <v>0</v>
      </c>
      <c r="L314" s="881">
        <v>0</v>
      </c>
      <c r="M314" s="880">
        <v>0</v>
      </c>
      <c r="N314" s="881">
        <v>0</v>
      </c>
      <c r="O314" s="880" t="s">
        <v>518</v>
      </c>
      <c r="P314" s="1126">
        <v>2017</v>
      </c>
      <c r="Q314" s="880">
        <v>0</v>
      </c>
      <c r="R314" s="880">
        <v>0</v>
      </c>
      <c r="S314" s="880">
        <v>0</v>
      </c>
      <c r="T314" s="880" t="s">
        <v>12</v>
      </c>
      <c r="U314" s="882"/>
      <c r="V314" s="880">
        <v>0</v>
      </c>
      <c r="W314" s="880">
        <v>0</v>
      </c>
      <c r="X314" s="969"/>
      <c r="Y314" s="883" t="str">
        <f t="shared" si="92"/>
        <v>04.13.01</v>
      </c>
      <c r="Z314" s="884" t="str">
        <f t="shared" si="93"/>
        <v>Jalan</v>
      </c>
      <c r="AA314" s="884">
        <f t="shared" si="94"/>
        <v>10</v>
      </c>
      <c r="AB314" s="868"/>
      <c r="AC314" s="885">
        <f t="shared" si="107"/>
        <v>0</v>
      </c>
      <c r="AD314" s="868"/>
      <c r="AE314" s="868"/>
      <c r="AF314" s="868"/>
      <c r="AG314" s="868"/>
      <c r="AH314" s="868"/>
      <c r="AI314" s="886"/>
      <c r="AJ314" s="886"/>
      <c r="AK314" s="868">
        <f t="shared" si="106"/>
        <v>0</v>
      </c>
    </row>
    <row r="315" spans="1:37" s="857" customFormat="1" ht="35.25" customHeight="1" x14ac:dyDescent="0.15">
      <c r="A315" s="857">
        <v>258</v>
      </c>
      <c r="B315" s="857" t="str">
        <f t="shared" si="101"/>
        <v>LEPAU GADING - PANGEAN</v>
      </c>
      <c r="D315" s="857" t="s">
        <v>4040</v>
      </c>
      <c r="E315" s="877" t="s">
        <v>4247</v>
      </c>
      <c r="F315" s="855"/>
      <c r="G315" s="878" t="s">
        <v>3041</v>
      </c>
      <c r="H315" s="879">
        <v>248600000</v>
      </c>
      <c r="I315" s="880" t="s">
        <v>2494</v>
      </c>
      <c r="J315" s="880">
        <v>0</v>
      </c>
      <c r="K315" s="880">
        <v>0</v>
      </c>
      <c r="L315" s="881">
        <v>0</v>
      </c>
      <c r="M315" s="880">
        <v>0</v>
      </c>
      <c r="N315" s="881">
        <v>0</v>
      </c>
      <c r="O315" s="880" t="s">
        <v>518</v>
      </c>
      <c r="P315" s="1126">
        <v>2017</v>
      </c>
      <c r="Q315" s="880">
        <v>0</v>
      </c>
      <c r="R315" s="880">
        <v>0</v>
      </c>
      <c r="S315" s="880">
        <v>0</v>
      </c>
      <c r="T315" s="880" t="s">
        <v>12</v>
      </c>
      <c r="U315" s="882"/>
      <c r="V315" s="880">
        <v>0</v>
      </c>
      <c r="W315" s="880">
        <v>0</v>
      </c>
      <c r="X315" s="969"/>
      <c r="Y315" s="883" t="str">
        <f t="shared" ref="Y315:Y391" si="108">LEFT(I315,8)</f>
        <v>04.13.01</v>
      </c>
      <c r="Z315" s="884" t="str">
        <f t="shared" ref="Z315:Z391" si="109">VLOOKUP(Y315,UE,3,FALSE)</f>
        <v>Jalan</v>
      </c>
      <c r="AA315" s="884">
        <f t="shared" ref="AA315:AA391" si="110">VLOOKUP(Y315,UE,4,FALSE)</f>
        <v>10</v>
      </c>
      <c r="AB315" s="868"/>
      <c r="AC315" s="885">
        <f t="shared" si="107"/>
        <v>0</v>
      </c>
      <c r="AD315" s="868"/>
      <c r="AE315" s="868"/>
      <c r="AF315" s="868"/>
      <c r="AG315" s="868"/>
      <c r="AH315" s="868"/>
      <c r="AI315" s="886"/>
      <c r="AJ315" s="886"/>
      <c r="AK315" s="868">
        <f t="shared" si="106"/>
        <v>0</v>
      </c>
    </row>
    <row r="316" spans="1:37" s="998" customFormat="1" ht="35.25" customHeight="1" x14ac:dyDescent="0.15">
      <c r="A316" s="998">
        <v>259</v>
      </c>
      <c r="B316" s="998" t="str">
        <f t="shared" si="101"/>
        <v>SENTAJO - TERATAK AIR HITAM</v>
      </c>
      <c r="D316" s="998" t="s">
        <v>4041</v>
      </c>
      <c r="E316" s="999" t="s">
        <v>4763</v>
      </c>
      <c r="F316" s="1000"/>
      <c r="G316" s="1010" t="s">
        <v>4762</v>
      </c>
      <c r="H316" s="1011"/>
      <c r="I316" s="1001" t="s">
        <v>3820</v>
      </c>
      <c r="J316" s="1001">
        <v>0</v>
      </c>
      <c r="K316" s="1001" t="s">
        <v>519</v>
      </c>
      <c r="L316" s="1003">
        <v>0</v>
      </c>
      <c r="M316" s="1001">
        <v>0</v>
      </c>
      <c r="N316" s="1003">
        <v>1000</v>
      </c>
      <c r="O316" s="1001" t="s">
        <v>3076</v>
      </c>
      <c r="P316" s="1168">
        <v>2001</v>
      </c>
      <c r="Q316" s="1001">
        <v>0</v>
      </c>
      <c r="R316" s="1001">
        <v>0</v>
      </c>
      <c r="S316" s="1001" t="s">
        <v>384</v>
      </c>
      <c r="T316" s="1001" t="s">
        <v>12</v>
      </c>
      <c r="U316" s="1002">
        <f>14883166858.823+H317+H318</f>
        <v>17764663923.822998</v>
      </c>
      <c r="V316" s="1001" t="s">
        <v>43</v>
      </c>
      <c r="W316" s="1001">
        <v>0</v>
      </c>
      <c r="X316" s="1004"/>
      <c r="Y316" s="1005" t="str">
        <f t="shared" si="108"/>
        <v>04.13.01</v>
      </c>
      <c r="Z316" s="1006" t="str">
        <f t="shared" si="109"/>
        <v>Jalan</v>
      </c>
      <c r="AA316" s="1006">
        <f t="shared" si="110"/>
        <v>10</v>
      </c>
      <c r="AB316" s="1007"/>
      <c r="AC316" s="1008">
        <f t="shared" si="107"/>
        <v>10</v>
      </c>
      <c r="AD316" s="1007"/>
      <c r="AE316" s="1007"/>
      <c r="AF316" s="1007"/>
      <c r="AG316" s="1007"/>
      <c r="AH316" s="1007"/>
      <c r="AI316" s="1009">
        <f>PERHITUNGAN!R1530</f>
        <v>292894821.5</v>
      </c>
      <c r="AJ316" s="1009">
        <f>PERHITUNGAN!U1534</f>
        <v>19473344333.6465</v>
      </c>
      <c r="AK316" s="1007">
        <f t="shared" si="106"/>
        <v>-1708680409.8235016</v>
      </c>
    </row>
    <row r="317" spans="1:37" s="857" customFormat="1" ht="35.25" customHeight="1" x14ac:dyDescent="0.15">
      <c r="A317" s="857">
        <v>259</v>
      </c>
      <c r="B317" s="857" t="str">
        <f t="shared" si="101"/>
        <v>SENTAJO - TERATAK AIR HITAM</v>
      </c>
      <c r="D317" s="857" t="s">
        <v>4042</v>
      </c>
      <c r="E317" s="877" t="s">
        <v>4763</v>
      </c>
      <c r="F317" s="855"/>
      <c r="G317" s="878" t="s">
        <v>1357</v>
      </c>
      <c r="H317" s="879">
        <v>2691692465</v>
      </c>
      <c r="I317" s="880" t="s">
        <v>2494</v>
      </c>
      <c r="J317" s="880">
        <v>0</v>
      </c>
      <c r="K317" s="880">
        <v>0</v>
      </c>
      <c r="L317" s="881">
        <v>0</v>
      </c>
      <c r="M317" s="880">
        <v>0</v>
      </c>
      <c r="N317" s="881">
        <v>0</v>
      </c>
      <c r="O317" s="880" t="s">
        <v>3076</v>
      </c>
      <c r="P317" s="1126">
        <v>2015</v>
      </c>
      <c r="Q317" s="880">
        <v>0</v>
      </c>
      <c r="R317" s="880">
        <v>0</v>
      </c>
      <c r="S317" s="880">
        <v>0</v>
      </c>
      <c r="T317" s="880" t="s">
        <v>12</v>
      </c>
      <c r="U317" s="882"/>
      <c r="V317" s="880">
        <v>0</v>
      </c>
      <c r="W317" s="880">
        <v>0</v>
      </c>
      <c r="X317" s="969"/>
      <c r="Y317" s="883" t="str">
        <f t="shared" si="108"/>
        <v>04.13.01</v>
      </c>
      <c r="Z317" s="884" t="str">
        <f t="shared" si="109"/>
        <v>Jalan</v>
      </c>
      <c r="AA317" s="884">
        <f t="shared" si="110"/>
        <v>10</v>
      </c>
      <c r="AB317" s="868"/>
      <c r="AC317" s="885">
        <f t="shared" si="107"/>
        <v>0</v>
      </c>
      <c r="AD317" s="868"/>
      <c r="AE317" s="868"/>
      <c r="AF317" s="868"/>
      <c r="AG317" s="868"/>
      <c r="AH317" s="868"/>
      <c r="AI317" s="886"/>
      <c r="AJ317" s="886"/>
      <c r="AK317" s="868">
        <f t="shared" si="106"/>
        <v>0</v>
      </c>
    </row>
    <row r="318" spans="1:37" s="857" customFormat="1" ht="35.25" customHeight="1" x14ac:dyDescent="0.15">
      <c r="A318" s="857">
        <v>259</v>
      </c>
      <c r="B318" s="857" t="str">
        <f t="shared" si="101"/>
        <v>SENTAJO - TERATAK AIR HITAM</v>
      </c>
      <c r="D318" s="857" t="s">
        <v>4105</v>
      </c>
      <c r="E318" s="877" t="s">
        <v>4763</v>
      </c>
      <c r="F318" s="855"/>
      <c r="G318" s="878" t="s">
        <v>2508</v>
      </c>
      <c r="H318" s="879">
        <v>189804600</v>
      </c>
      <c r="I318" s="880" t="s">
        <v>2494</v>
      </c>
      <c r="J318" s="880">
        <v>0</v>
      </c>
      <c r="K318" s="880">
        <v>0</v>
      </c>
      <c r="L318" s="881">
        <v>0</v>
      </c>
      <c r="M318" s="880">
        <v>0</v>
      </c>
      <c r="N318" s="881">
        <v>0</v>
      </c>
      <c r="O318" s="880" t="s">
        <v>2570</v>
      </c>
      <c r="P318" s="1126">
        <v>2017</v>
      </c>
      <c r="Q318" s="880">
        <v>0</v>
      </c>
      <c r="R318" s="880">
        <v>0</v>
      </c>
      <c r="S318" s="880">
        <v>0</v>
      </c>
      <c r="T318" s="880" t="s">
        <v>12</v>
      </c>
      <c r="U318" s="882"/>
      <c r="V318" s="880">
        <v>0</v>
      </c>
      <c r="W318" s="880">
        <v>0</v>
      </c>
      <c r="X318" s="969"/>
      <c r="Y318" s="883" t="str">
        <f t="shared" si="108"/>
        <v>04.13.01</v>
      </c>
      <c r="Z318" s="884" t="str">
        <f t="shared" si="109"/>
        <v>Jalan</v>
      </c>
      <c r="AA318" s="884">
        <f t="shared" si="110"/>
        <v>10</v>
      </c>
      <c r="AB318" s="868"/>
      <c r="AC318" s="885">
        <f t="shared" si="107"/>
        <v>0</v>
      </c>
      <c r="AD318" s="868"/>
      <c r="AE318" s="868"/>
      <c r="AF318" s="868"/>
      <c r="AG318" s="868"/>
      <c r="AH318" s="868"/>
      <c r="AI318" s="886"/>
      <c r="AJ318" s="886"/>
      <c r="AK318" s="868">
        <f t="shared" si="106"/>
        <v>0</v>
      </c>
    </row>
    <row r="319" spans="1:37" s="998" customFormat="1" ht="35.25" customHeight="1" x14ac:dyDescent="0.15">
      <c r="A319" s="998">
        <v>260</v>
      </c>
      <c r="B319" s="998" t="str">
        <f t="shared" si="101"/>
        <v>BENAI - KOTO RAJO</v>
      </c>
      <c r="D319" s="998" t="s">
        <v>4043</v>
      </c>
      <c r="E319" s="999" t="s">
        <v>4247</v>
      </c>
      <c r="F319" s="1000"/>
      <c r="G319" s="1010" t="s">
        <v>483</v>
      </c>
      <c r="H319" s="1011"/>
      <c r="I319" s="1001" t="s">
        <v>3820</v>
      </c>
      <c r="J319" s="1001">
        <v>0</v>
      </c>
      <c r="K319" s="1001" t="s">
        <v>484</v>
      </c>
      <c r="L319" s="1003">
        <v>11000</v>
      </c>
      <c r="M319" s="1001">
        <v>0</v>
      </c>
      <c r="N319" s="1003">
        <v>0</v>
      </c>
      <c r="O319" s="1001" t="s">
        <v>3105</v>
      </c>
      <c r="P319" s="1168">
        <v>2001</v>
      </c>
      <c r="Q319" s="1001">
        <v>0</v>
      </c>
      <c r="R319" s="1001">
        <v>0</v>
      </c>
      <c r="S319" s="1001" t="s">
        <v>384</v>
      </c>
      <c r="T319" s="1001" t="s">
        <v>12</v>
      </c>
      <c r="U319" s="1002">
        <f>7982951762.61+H320+H321+H322</f>
        <v>15734527392.225519</v>
      </c>
      <c r="V319" s="1001" t="s">
        <v>43</v>
      </c>
      <c r="W319" s="1001">
        <v>0</v>
      </c>
      <c r="X319" s="1004"/>
      <c r="Y319" s="1005" t="str">
        <f t="shared" si="108"/>
        <v>04.13.01</v>
      </c>
      <c r="Z319" s="1006" t="str">
        <f t="shared" si="109"/>
        <v>Jalan</v>
      </c>
      <c r="AA319" s="1006">
        <f t="shared" si="110"/>
        <v>10</v>
      </c>
      <c r="AB319" s="1007"/>
      <c r="AC319" s="1008">
        <f t="shared" si="107"/>
        <v>10</v>
      </c>
      <c r="AD319" s="1007"/>
      <c r="AE319" s="1007"/>
      <c r="AF319" s="1007"/>
      <c r="AG319" s="1007"/>
      <c r="AH319" s="1007"/>
      <c r="AI319" s="1009">
        <f>PERHITUNGAN!U1556</f>
        <v>1014438447.4530554</v>
      </c>
      <c r="AJ319" s="1009">
        <f>PERHITUNGAN!U1560</f>
        <v>13777375731.304134</v>
      </c>
      <c r="AK319" s="1007">
        <f t="shared" si="106"/>
        <v>1957151660.9213848</v>
      </c>
    </row>
    <row r="320" spans="1:37" s="857" customFormat="1" ht="35.25" customHeight="1" x14ac:dyDescent="0.15">
      <c r="A320" s="857">
        <v>260</v>
      </c>
      <c r="B320" s="857" t="str">
        <f t="shared" si="101"/>
        <v>BENAI - KOTO RAJO</v>
      </c>
      <c r="D320" s="857" t="s">
        <v>4101</v>
      </c>
      <c r="E320" s="877" t="s">
        <v>4247</v>
      </c>
      <c r="F320" s="855"/>
      <c r="G320" s="878" t="s">
        <v>1171</v>
      </c>
      <c r="H320" s="879">
        <v>786808471.61551905</v>
      </c>
      <c r="I320" s="880" t="s">
        <v>3822</v>
      </c>
      <c r="J320" s="880">
        <v>0</v>
      </c>
      <c r="K320" s="880" t="s">
        <v>835</v>
      </c>
      <c r="L320" s="881">
        <v>2</v>
      </c>
      <c r="M320" s="880">
        <v>2.5</v>
      </c>
      <c r="N320" s="881">
        <v>5</v>
      </c>
      <c r="O320" s="880" t="s">
        <v>3105</v>
      </c>
      <c r="P320" s="1126">
        <v>2007</v>
      </c>
      <c r="Q320" s="880">
        <v>0</v>
      </c>
      <c r="R320" s="880">
        <v>0</v>
      </c>
      <c r="S320" s="880">
        <v>0</v>
      </c>
      <c r="T320" s="880" t="s">
        <v>12</v>
      </c>
      <c r="U320" s="882"/>
      <c r="V320" s="880" t="s">
        <v>43</v>
      </c>
      <c r="W320" s="880">
        <v>0</v>
      </c>
      <c r="X320" s="969"/>
      <c r="Y320" s="883" t="str">
        <f t="shared" si="108"/>
        <v>04.13.02</v>
      </c>
      <c r="Z320" s="884" t="str">
        <f t="shared" si="109"/>
        <v>Jembatan</v>
      </c>
      <c r="AA320" s="884">
        <f t="shared" si="110"/>
        <v>50</v>
      </c>
      <c r="AB320" s="868"/>
      <c r="AC320" s="885">
        <f t="shared" si="107"/>
        <v>6</v>
      </c>
      <c r="AD320" s="868"/>
      <c r="AE320" s="868"/>
      <c r="AF320" s="868"/>
      <c r="AG320" s="868"/>
      <c r="AH320" s="868"/>
      <c r="AI320" s="886"/>
      <c r="AJ320" s="886"/>
      <c r="AK320" s="868">
        <f t="shared" si="106"/>
        <v>0</v>
      </c>
    </row>
    <row r="321" spans="1:37" s="857" customFormat="1" ht="35.25" customHeight="1" x14ac:dyDescent="0.15">
      <c r="A321" s="857">
        <v>260</v>
      </c>
      <c r="B321" s="857" t="str">
        <f t="shared" si="101"/>
        <v>BENAI - KOTO RAJO</v>
      </c>
      <c r="D321" s="857" t="s">
        <v>4044</v>
      </c>
      <c r="E321" s="877" t="s">
        <v>4247</v>
      </c>
      <c r="F321" s="855"/>
      <c r="G321" s="878" t="s">
        <v>3035</v>
      </c>
      <c r="H321" s="879">
        <v>6716002158</v>
      </c>
      <c r="I321" s="880" t="s">
        <v>2494</v>
      </c>
      <c r="J321" s="880">
        <v>0</v>
      </c>
      <c r="K321" s="880">
        <v>0</v>
      </c>
      <c r="L321" s="881">
        <v>0</v>
      </c>
      <c r="M321" s="880">
        <v>0</v>
      </c>
      <c r="N321" s="881">
        <v>0</v>
      </c>
      <c r="O321" s="880" t="s">
        <v>3105</v>
      </c>
      <c r="P321" s="1126">
        <v>2017</v>
      </c>
      <c r="Q321" s="880">
        <v>0</v>
      </c>
      <c r="R321" s="880">
        <v>0</v>
      </c>
      <c r="S321" s="880">
        <v>0</v>
      </c>
      <c r="T321" s="880" t="s">
        <v>12</v>
      </c>
      <c r="U321" s="882"/>
      <c r="V321" s="880">
        <v>0</v>
      </c>
      <c r="W321" s="880">
        <v>0</v>
      </c>
      <c r="X321" s="969"/>
      <c r="Y321" s="883" t="str">
        <f t="shared" si="108"/>
        <v>04.13.01</v>
      </c>
      <c r="Z321" s="884" t="str">
        <f t="shared" si="109"/>
        <v>Jalan</v>
      </c>
      <c r="AA321" s="884">
        <f t="shared" si="110"/>
        <v>10</v>
      </c>
      <c r="AB321" s="868"/>
      <c r="AC321" s="885">
        <f t="shared" si="107"/>
        <v>0</v>
      </c>
      <c r="AD321" s="868"/>
      <c r="AE321" s="868"/>
      <c r="AF321" s="868"/>
      <c r="AG321" s="868"/>
      <c r="AH321" s="868"/>
      <c r="AI321" s="886"/>
      <c r="AJ321" s="886"/>
      <c r="AK321" s="868">
        <f t="shared" si="106"/>
        <v>0</v>
      </c>
    </row>
    <row r="322" spans="1:37" s="857" customFormat="1" ht="35.25" customHeight="1" x14ac:dyDescent="0.15">
      <c r="A322" s="857">
        <v>260</v>
      </c>
      <c r="B322" s="857" t="str">
        <f t="shared" si="101"/>
        <v>BENAI - KOTO RAJO</v>
      </c>
      <c r="D322" s="857" t="s">
        <v>4045</v>
      </c>
      <c r="E322" s="877" t="s">
        <v>4247</v>
      </c>
      <c r="F322" s="855"/>
      <c r="G322" s="878" t="s">
        <v>3040</v>
      </c>
      <c r="H322" s="879">
        <v>248765000</v>
      </c>
      <c r="I322" s="880" t="s">
        <v>2494</v>
      </c>
      <c r="J322" s="880">
        <v>0</v>
      </c>
      <c r="K322" s="880">
        <v>0</v>
      </c>
      <c r="L322" s="881">
        <v>0</v>
      </c>
      <c r="M322" s="880">
        <v>0</v>
      </c>
      <c r="N322" s="881">
        <v>0</v>
      </c>
      <c r="O322" s="880" t="s">
        <v>3105</v>
      </c>
      <c r="P322" s="1126">
        <v>2017</v>
      </c>
      <c r="Q322" s="880">
        <v>0</v>
      </c>
      <c r="R322" s="880">
        <v>0</v>
      </c>
      <c r="S322" s="880">
        <v>0</v>
      </c>
      <c r="T322" s="880" t="s">
        <v>12</v>
      </c>
      <c r="U322" s="882"/>
      <c r="V322" s="880">
        <v>0</v>
      </c>
      <c r="W322" s="880">
        <v>0</v>
      </c>
      <c r="X322" s="969"/>
      <c r="Y322" s="883" t="str">
        <f t="shared" si="108"/>
        <v>04.13.01</v>
      </c>
      <c r="Z322" s="884" t="str">
        <f t="shared" si="109"/>
        <v>Jalan</v>
      </c>
      <c r="AA322" s="884">
        <f t="shared" si="110"/>
        <v>10</v>
      </c>
      <c r="AB322" s="868"/>
      <c r="AC322" s="885">
        <f t="shared" si="107"/>
        <v>0</v>
      </c>
      <c r="AD322" s="868"/>
      <c r="AE322" s="868"/>
      <c r="AF322" s="868"/>
      <c r="AG322" s="868"/>
      <c r="AH322" s="868"/>
      <c r="AI322" s="886"/>
      <c r="AJ322" s="886"/>
      <c r="AK322" s="868"/>
    </row>
    <row r="323" spans="1:37" s="857" customFormat="1" ht="35.25" customHeight="1" x14ac:dyDescent="0.2">
      <c r="A323" s="857">
        <v>263</v>
      </c>
      <c r="B323" s="857" t="str">
        <f>VLOOKUP(A323,RUAS,2,FALSE)</f>
        <v>JK RUAS 85/85 - BANJAR LOPAK</v>
      </c>
      <c r="E323" s="884" t="str">
        <f t="shared" ref="E323:E328" si="111">RIGHT(D323,1)</f>
        <v/>
      </c>
      <c r="F323" s="855"/>
      <c r="G323" s="878" t="s">
        <v>483</v>
      </c>
      <c r="H323" s="879"/>
      <c r="I323" s="880" t="s">
        <v>3820</v>
      </c>
      <c r="J323" s="880"/>
      <c r="K323" s="880" t="s">
        <v>484</v>
      </c>
      <c r="L323" s="881" t="s">
        <v>476</v>
      </c>
      <c r="M323" s="880"/>
      <c r="N323" s="881"/>
      <c r="O323" s="880" t="s">
        <v>516</v>
      </c>
      <c r="P323" s="1126">
        <v>2001</v>
      </c>
      <c r="Q323" s="880"/>
      <c r="R323" s="880"/>
      <c r="S323" s="880" t="s">
        <v>384</v>
      </c>
      <c r="T323" s="880" t="s">
        <v>12</v>
      </c>
      <c r="U323" s="882">
        <v>470400000</v>
      </c>
      <c r="V323" s="880" t="s">
        <v>43</v>
      </c>
      <c r="W323" s="880"/>
      <c r="X323" s="969"/>
      <c r="Y323" s="884" t="str">
        <f>LEFT(I323,8)</f>
        <v>04.13.01</v>
      </c>
      <c r="Z323" s="884" t="str">
        <f>VLOOKUP(Y323,UE,3,FALSE)</f>
        <v>Jalan</v>
      </c>
      <c r="AA323" s="884">
        <f>VLOOKUP(Y323,UE,4,FALSE)</f>
        <v>10</v>
      </c>
      <c r="AB323" s="868">
        <f>U323/AA323</f>
        <v>47040000</v>
      </c>
      <c r="AC323" s="885">
        <f>IF(2013-P323+1&gt;AA323,AA323,IF(2013-P323+1&lt;0,0,2013-P323+1))</f>
        <v>10</v>
      </c>
      <c r="AD323" s="868">
        <f>IF(AC323&gt;AA323,U323,AB323*AC323)</f>
        <v>470400000</v>
      </c>
      <c r="AE323" s="868">
        <f>IF(U323=AD323,0,AB323)</f>
        <v>0</v>
      </c>
      <c r="AF323" s="868">
        <f>IF(U323=AD323+AE323,0,AB323)</f>
        <v>0</v>
      </c>
      <c r="AG323" s="868">
        <f>IF(U323=AD323+AE323+AF323,0,AB323)</f>
        <v>0</v>
      </c>
      <c r="AH323" s="868">
        <f>IF(U323=AE323+AF323+AG323+AD323,0,AB323)</f>
        <v>0</v>
      </c>
      <c r="AI323" s="886">
        <f>IF(U323=AE323+AF323+AG323+AD323+AH323,0,AB323)</f>
        <v>0</v>
      </c>
      <c r="AJ323" s="886">
        <f>SUM(AD323:AI323)</f>
        <v>470400000</v>
      </c>
      <c r="AK323" s="868">
        <f>U323-AJ323</f>
        <v>0</v>
      </c>
    </row>
    <row r="324" spans="1:37" s="857" customFormat="1" ht="35.25" customHeight="1" x14ac:dyDescent="0.2">
      <c r="A324" s="857">
        <v>264</v>
      </c>
      <c r="B324" s="857" t="str">
        <f t="shared" si="101"/>
        <v>SIMP. DUTA PALMA - MUARA PETAI</v>
      </c>
      <c r="D324" s="857" t="s">
        <v>4046</v>
      </c>
      <c r="E324" s="884" t="str">
        <f t="shared" si="111"/>
        <v>1</v>
      </c>
      <c r="F324" s="855"/>
      <c r="G324" s="878" t="s">
        <v>483</v>
      </c>
      <c r="H324" s="879"/>
      <c r="I324" s="880" t="s">
        <v>3820</v>
      </c>
      <c r="J324" s="880">
        <v>0</v>
      </c>
      <c r="K324" s="880" t="s">
        <v>484</v>
      </c>
      <c r="L324" s="881" t="s">
        <v>501</v>
      </c>
      <c r="M324" s="880">
        <v>8</v>
      </c>
      <c r="N324" s="881">
        <v>280000</v>
      </c>
      <c r="O324" s="880" t="s">
        <v>511</v>
      </c>
      <c r="P324" s="1126">
        <v>2001</v>
      </c>
      <c r="Q324" s="880">
        <v>0</v>
      </c>
      <c r="R324" s="880">
        <v>0</v>
      </c>
      <c r="S324" s="880" t="s">
        <v>482</v>
      </c>
      <c r="T324" s="880" t="s">
        <v>12</v>
      </c>
      <c r="U324" s="882">
        <v>1568000000</v>
      </c>
      <c r="V324" s="880" t="s">
        <v>43</v>
      </c>
      <c r="W324" s="880">
        <v>0</v>
      </c>
      <c r="X324" s="969"/>
      <c r="Y324" s="884" t="str">
        <f t="shared" si="108"/>
        <v>04.13.01</v>
      </c>
      <c r="Z324" s="884" t="str">
        <f t="shared" si="109"/>
        <v>Jalan</v>
      </c>
      <c r="AA324" s="884">
        <f t="shared" si="110"/>
        <v>10</v>
      </c>
      <c r="AB324" s="868">
        <f t="shared" ref="AB324:AB338" si="112">U324/AA324</f>
        <v>156800000</v>
      </c>
      <c r="AC324" s="885">
        <f t="shared" ref="AC324:AC338" si="113">IF(2013-P324+1&gt;AA324,AA324,IF(2013-P324+1&lt;0,0,2013-P324+1))</f>
        <v>10</v>
      </c>
      <c r="AD324" s="868">
        <f t="shared" ref="AD324:AD338" si="114">IF(AC324&gt;AA324,U324,AB324*AC324)</f>
        <v>1568000000</v>
      </c>
      <c r="AE324" s="868">
        <f t="shared" ref="AE324:AE338" si="115">IF(U324=AD324,0,AB324)</f>
        <v>0</v>
      </c>
      <c r="AF324" s="868">
        <f t="shared" ref="AF324:AF338" si="116">IF(U324=AD324+AE324,0,AB324)</f>
        <v>0</v>
      </c>
      <c r="AG324" s="868">
        <f t="shared" ref="AG324:AG338" si="117">IF(U324=AD324+AE324+AF324,0,AB324)</f>
        <v>0</v>
      </c>
      <c r="AH324" s="868">
        <f t="shared" ref="AH324:AH338" si="118">IF(U324=AE324+AF324+AG324+AD324,0,AB324)</f>
        <v>0</v>
      </c>
      <c r="AI324" s="886">
        <f t="shared" ref="AI324:AI338" si="119">IF(U324=AE324+AF324+AG324+AD324+AH324,0,AB324)</f>
        <v>0</v>
      </c>
      <c r="AJ324" s="886">
        <f t="shared" ref="AJ324:AJ338" si="120">SUM(AD324:AI324)</f>
        <v>1568000000</v>
      </c>
      <c r="AK324" s="868">
        <f t="shared" ref="AK324:AK352" si="121">U324-AJ324</f>
        <v>0</v>
      </c>
    </row>
    <row r="325" spans="1:37" s="857" customFormat="1" ht="35.25" customHeight="1" x14ac:dyDescent="0.2">
      <c r="A325" s="857">
        <v>265</v>
      </c>
      <c r="B325" s="857" t="str">
        <f t="shared" si="101"/>
        <v>SIMP. DUTA PALMA - BATAS INHU</v>
      </c>
      <c r="D325" s="857" t="s">
        <v>4047</v>
      </c>
      <c r="E325" s="884" t="str">
        <f t="shared" si="111"/>
        <v>1</v>
      </c>
      <c r="F325" s="855"/>
      <c r="G325" s="878" t="s">
        <v>483</v>
      </c>
      <c r="H325" s="879"/>
      <c r="I325" s="880" t="s">
        <v>3820</v>
      </c>
      <c r="J325" s="880">
        <v>0</v>
      </c>
      <c r="K325" s="880" t="s">
        <v>484</v>
      </c>
      <c r="L325" s="881">
        <v>40000</v>
      </c>
      <c r="M325" s="880">
        <v>8</v>
      </c>
      <c r="N325" s="881">
        <v>320000</v>
      </c>
      <c r="O325" s="880" t="s">
        <v>512</v>
      </c>
      <c r="P325" s="1126">
        <v>2001</v>
      </c>
      <c r="Q325" s="880">
        <v>0</v>
      </c>
      <c r="R325" s="880">
        <v>0</v>
      </c>
      <c r="S325" s="880" t="s">
        <v>482</v>
      </c>
      <c r="T325" s="880" t="s">
        <v>12</v>
      </c>
      <c r="U325" s="882">
        <v>1792000000</v>
      </c>
      <c r="V325" s="880" t="s">
        <v>43</v>
      </c>
      <c r="W325" s="880">
        <v>0</v>
      </c>
      <c r="X325" s="969"/>
      <c r="Y325" s="884" t="str">
        <f t="shared" si="108"/>
        <v>04.13.01</v>
      </c>
      <c r="Z325" s="884" t="str">
        <f t="shared" si="109"/>
        <v>Jalan</v>
      </c>
      <c r="AA325" s="884">
        <f t="shared" si="110"/>
        <v>10</v>
      </c>
      <c r="AB325" s="868">
        <f t="shared" si="112"/>
        <v>179200000</v>
      </c>
      <c r="AC325" s="885">
        <f t="shared" si="113"/>
        <v>10</v>
      </c>
      <c r="AD325" s="868">
        <f t="shared" si="114"/>
        <v>1792000000</v>
      </c>
      <c r="AE325" s="868">
        <f t="shared" si="115"/>
        <v>0</v>
      </c>
      <c r="AF325" s="868">
        <f t="shared" si="116"/>
        <v>0</v>
      </c>
      <c r="AG325" s="868">
        <f t="shared" si="117"/>
        <v>0</v>
      </c>
      <c r="AH325" s="868">
        <f t="shared" si="118"/>
        <v>0</v>
      </c>
      <c r="AI325" s="886">
        <f t="shared" si="119"/>
        <v>0</v>
      </c>
      <c r="AJ325" s="886">
        <f t="shared" si="120"/>
        <v>1792000000</v>
      </c>
      <c r="AK325" s="868">
        <f t="shared" si="121"/>
        <v>0</v>
      </c>
    </row>
    <row r="326" spans="1:37" s="998" customFormat="1" ht="35.25" customHeight="1" x14ac:dyDescent="0.2">
      <c r="A326" s="998">
        <v>267</v>
      </c>
      <c r="B326" s="998" t="str">
        <f>VLOOKUP(A326,RUAS,2,FALSE)</f>
        <v>JL. DESA UJUNG TANJUNG - JK 189/189</v>
      </c>
      <c r="E326" s="1006" t="str">
        <f t="shared" si="111"/>
        <v/>
      </c>
      <c r="F326" s="1000"/>
      <c r="G326" s="1010" t="s">
        <v>529</v>
      </c>
      <c r="H326" s="1011"/>
      <c r="I326" s="1001" t="s">
        <v>2494</v>
      </c>
      <c r="J326" s="1001"/>
      <c r="K326" s="1001" t="s">
        <v>503</v>
      </c>
      <c r="L326" s="1003" t="s">
        <v>48</v>
      </c>
      <c r="M326" s="1001"/>
      <c r="N326" s="1003"/>
      <c r="O326" s="1001" t="s">
        <v>644</v>
      </c>
      <c r="P326" s="1168">
        <v>2001</v>
      </c>
      <c r="Q326" s="1001"/>
      <c r="R326" s="1001"/>
      <c r="S326" s="1001" t="s">
        <v>482</v>
      </c>
      <c r="T326" s="1001" t="s">
        <v>12</v>
      </c>
      <c r="U326" s="1002">
        <v>1300000000</v>
      </c>
      <c r="V326" s="1001" t="s">
        <v>43</v>
      </c>
      <c r="W326" s="1001"/>
      <c r="X326" s="1004"/>
      <c r="Y326" s="1006" t="str">
        <f>LEFT(I326,8)</f>
        <v>04.13.01</v>
      </c>
      <c r="Z326" s="1006" t="str">
        <f>VLOOKUP(Y326,UE,3,FALSE)</f>
        <v>Jalan</v>
      </c>
      <c r="AA326" s="1006">
        <f>VLOOKUP(Y326,UE,4,FALSE)</f>
        <v>10</v>
      </c>
      <c r="AB326" s="1007">
        <f>U326/AA326</f>
        <v>130000000</v>
      </c>
      <c r="AC326" s="1008">
        <f>IF(2013-P326+1&gt;AA326,AA326,IF(2013-P326+1&lt;0,0,2013-P326+1))</f>
        <v>10</v>
      </c>
      <c r="AD326" s="1007">
        <f>IF(AC326&gt;AA326,U326,AB326*AC326)</f>
        <v>1300000000</v>
      </c>
      <c r="AE326" s="1007">
        <f>IF(U326=AD326,0,AB326)</f>
        <v>0</v>
      </c>
      <c r="AF326" s="1007">
        <f>IF(U326=AD326+AE326,0,AB326)</f>
        <v>0</v>
      </c>
      <c r="AG326" s="1007">
        <f>IF(U326=AD326+AE326+AF326,0,AB326)</f>
        <v>0</v>
      </c>
      <c r="AH326" s="1007">
        <f>IF(U326=AE326+AF326+AG326+AD326,0,AB326)</f>
        <v>0</v>
      </c>
      <c r="AI326" s="1009">
        <f>IF(U326=AE326+AF326+AG326+AD326+AH326,0,AB326)</f>
        <v>0</v>
      </c>
      <c r="AJ326" s="1009">
        <f>SUM(AD326:AI326)</f>
        <v>1300000000</v>
      </c>
      <c r="AK326" s="1007">
        <f>U326-AJ326</f>
        <v>0</v>
      </c>
    </row>
    <row r="327" spans="1:37" s="857" customFormat="1" ht="35.25" customHeight="1" x14ac:dyDescent="0.2">
      <c r="A327" s="857">
        <v>267</v>
      </c>
      <c r="B327" s="857" t="str">
        <f>VLOOKUP(A327,RUAS,2,FALSE)</f>
        <v>JL. DESA UJUNG TANJUNG - JK 189/189</v>
      </c>
      <c r="E327" s="884" t="str">
        <f t="shared" si="111"/>
        <v/>
      </c>
      <c r="F327" s="855"/>
      <c r="G327" s="878" t="s">
        <v>483</v>
      </c>
      <c r="H327" s="879"/>
      <c r="I327" s="880" t="s">
        <v>3820</v>
      </c>
      <c r="J327" s="880"/>
      <c r="K327" s="880" t="s">
        <v>8</v>
      </c>
      <c r="L327" s="881" t="s">
        <v>494</v>
      </c>
      <c r="M327" s="880"/>
      <c r="N327" s="881"/>
      <c r="O327" s="880" t="s">
        <v>495</v>
      </c>
      <c r="P327" s="1126">
        <v>2001</v>
      </c>
      <c r="Q327" s="880"/>
      <c r="R327" s="880"/>
      <c r="S327" s="880" t="s">
        <v>482</v>
      </c>
      <c r="T327" s="880" t="s">
        <v>12</v>
      </c>
      <c r="U327" s="882">
        <v>378000000</v>
      </c>
      <c r="V327" s="880" t="s">
        <v>43</v>
      </c>
      <c r="W327" s="880"/>
      <c r="X327" s="969"/>
      <c r="Y327" s="884" t="str">
        <f>LEFT(I327,8)</f>
        <v>04.13.01</v>
      </c>
      <c r="Z327" s="884" t="str">
        <f>VLOOKUP(Y327,UE,3,FALSE)</f>
        <v>Jalan</v>
      </c>
      <c r="AA327" s="884">
        <f>VLOOKUP(Y327,UE,4,FALSE)</f>
        <v>10</v>
      </c>
      <c r="AB327" s="868">
        <f>U327/AA327</f>
        <v>37800000</v>
      </c>
      <c r="AC327" s="885">
        <f>IF(2013-P327+1&gt;AA327,AA327,IF(2013-P327+1&lt;0,0,2013-P327+1))</f>
        <v>10</v>
      </c>
      <c r="AD327" s="868">
        <f>IF(AC327&gt;AA327,U327,AB327*AC327)</f>
        <v>378000000</v>
      </c>
      <c r="AE327" s="868">
        <f>IF(U327=AD327,0,AB327)</f>
        <v>0</v>
      </c>
      <c r="AF327" s="868">
        <f>IF(U327=AD327+AE327,0,AB327)</f>
        <v>0</v>
      </c>
      <c r="AG327" s="868">
        <f>IF(U327=AD327+AE327+AF327,0,AB327)</f>
        <v>0</v>
      </c>
      <c r="AH327" s="868">
        <f>IF(U327=AE327+AF327+AG327+AD327,0,AB327)</f>
        <v>0</v>
      </c>
      <c r="AI327" s="886">
        <f>IF(U327=AE327+AF327+AG327+AD327+AH327,0,AB327)</f>
        <v>0</v>
      </c>
      <c r="AJ327" s="886">
        <f>SUM(AD327:AI327)</f>
        <v>378000000</v>
      </c>
      <c r="AK327" s="868">
        <f>U327-AJ327</f>
        <v>0</v>
      </c>
    </row>
    <row r="328" spans="1:37" s="857" customFormat="1" ht="35.25" customHeight="1" x14ac:dyDescent="0.2">
      <c r="A328" s="857">
        <v>269</v>
      </c>
      <c r="B328" s="857" t="str">
        <f t="shared" si="101"/>
        <v>JL. DESA GUNUNG KESIANGAN - JL. UJUNG TANJUNG</v>
      </c>
      <c r="D328" s="857" t="s">
        <v>4048</v>
      </c>
      <c r="E328" s="884" t="str">
        <f t="shared" si="111"/>
        <v>1</v>
      </c>
      <c r="F328" s="855"/>
      <c r="G328" s="878" t="s">
        <v>483</v>
      </c>
      <c r="H328" s="879"/>
      <c r="I328" s="880" t="s">
        <v>3820</v>
      </c>
      <c r="J328" s="880">
        <v>0</v>
      </c>
      <c r="K328" s="880" t="s">
        <v>8</v>
      </c>
      <c r="L328" s="881" t="s">
        <v>48</v>
      </c>
      <c r="M328" s="880">
        <v>7</v>
      </c>
      <c r="N328" s="881">
        <v>14000</v>
      </c>
      <c r="O328" s="880" t="s">
        <v>510</v>
      </c>
      <c r="P328" s="1126">
        <v>2001</v>
      </c>
      <c r="Q328" s="880">
        <v>0</v>
      </c>
      <c r="R328" s="880">
        <v>0</v>
      </c>
      <c r="S328" s="880" t="s">
        <v>482</v>
      </c>
      <c r="T328" s="880" t="s">
        <v>12</v>
      </c>
      <c r="U328" s="882">
        <v>292500000</v>
      </c>
      <c r="V328" s="880" t="s">
        <v>135</v>
      </c>
      <c r="W328" s="880">
        <v>0</v>
      </c>
      <c r="X328" s="969"/>
      <c r="Y328" s="884" t="str">
        <f t="shared" si="108"/>
        <v>04.13.01</v>
      </c>
      <c r="Z328" s="884" t="str">
        <f t="shared" si="109"/>
        <v>Jalan</v>
      </c>
      <c r="AA328" s="884">
        <f t="shared" si="110"/>
        <v>10</v>
      </c>
      <c r="AB328" s="868">
        <f t="shared" si="112"/>
        <v>29250000</v>
      </c>
      <c r="AC328" s="885">
        <f t="shared" si="113"/>
        <v>10</v>
      </c>
      <c r="AD328" s="868">
        <f t="shared" si="114"/>
        <v>292500000</v>
      </c>
      <c r="AE328" s="868">
        <f t="shared" si="115"/>
        <v>0</v>
      </c>
      <c r="AF328" s="868">
        <f t="shared" si="116"/>
        <v>0</v>
      </c>
      <c r="AG328" s="868">
        <f t="shared" si="117"/>
        <v>0</v>
      </c>
      <c r="AH328" s="868">
        <f t="shared" si="118"/>
        <v>0</v>
      </c>
      <c r="AI328" s="886">
        <f t="shared" si="119"/>
        <v>0</v>
      </c>
      <c r="AJ328" s="886">
        <f t="shared" si="120"/>
        <v>292500000</v>
      </c>
      <c r="AK328" s="868">
        <f t="shared" si="121"/>
        <v>0</v>
      </c>
    </row>
    <row r="329" spans="1:37" s="857" customFormat="1" ht="35.25" customHeight="1" x14ac:dyDescent="0.2">
      <c r="A329" s="857">
        <v>272</v>
      </c>
      <c r="B329" s="857" t="str">
        <f t="shared" si="101"/>
        <v>JL. DESA TALONTAM - PL. KOPUNG</v>
      </c>
      <c r="D329" s="857" t="s">
        <v>4049</v>
      </c>
      <c r="E329" s="884" t="s">
        <v>421</v>
      </c>
      <c r="F329" s="855"/>
      <c r="G329" s="878" t="s">
        <v>483</v>
      </c>
      <c r="H329" s="879"/>
      <c r="I329" s="880" t="s">
        <v>3820</v>
      </c>
      <c r="J329" s="880">
        <v>0</v>
      </c>
      <c r="K329" s="880" t="s">
        <v>484</v>
      </c>
      <c r="L329" s="881" t="s">
        <v>501</v>
      </c>
      <c r="M329" s="880">
        <v>7</v>
      </c>
      <c r="N329" s="881">
        <v>24500</v>
      </c>
      <c r="O329" s="880" t="s">
        <v>502</v>
      </c>
      <c r="P329" s="1126">
        <v>2001</v>
      </c>
      <c r="Q329" s="880">
        <v>0</v>
      </c>
      <c r="R329" s="880">
        <v>0</v>
      </c>
      <c r="S329" s="880" t="s">
        <v>482</v>
      </c>
      <c r="T329" s="880" t="s">
        <v>12</v>
      </c>
      <c r="U329" s="882">
        <v>1456000000</v>
      </c>
      <c r="V329" s="880" t="s">
        <v>43</v>
      </c>
      <c r="W329" s="880">
        <v>0</v>
      </c>
      <c r="X329" s="969"/>
      <c r="Y329" s="884" t="str">
        <f t="shared" si="108"/>
        <v>04.13.01</v>
      </c>
      <c r="Z329" s="884" t="str">
        <f t="shared" si="109"/>
        <v>Jalan</v>
      </c>
      <c r="AA329" s="884">
        <f t="shared" si="110"/>
        <v>10</v>
      </c>
      <c r="AB329" s="868">
        <f t="shared" si="112"/>
        <v>145600000</v>
      </c>
      <c r="AC329" s="885">
        <f t="shared" si="113"/>
        <v>10</v>
      </c>
      <c r="AD329" s="868">
        <f t="shared" si="114"/>
        <v>1456000000</v>
      </c>
      <c r="AE329" s="868">
        <f t="shared" si="115"/>
        <v>0</v>
      </c>
      <c r="AF329" s="868">
        <f t="shared" si="116"/>
        <v>0</v>
      </c>
      <c r="AG329" s="868">
        <f t="shared" si="117"/>
        <v>0</v>
      </c>
      <c r="AH329" s="868">
        <f t="shared" si="118"/>
        <v>0</v>
      </c>
      <c r="AI329" s="886">
        <f t="shared" si="119"/>
        <v>0</v>
      </c>
      <c r="AJ329" s="886">
        <f t="shared" si="120"/>
        <v>1456000000</v>
      </c>
      <c r="AK329" s="868">
        <f t="shared" si="121"/>
        <v>0</v>
      </c>
    </row>
    <row r="330" spans="1:37" s="857" customFormat="1" ht="35.25" customHeight="1" x14ac:dyDescent="0.2">
      <c r="A330" s="857">
        <v>272</v>
      </c>
      <c r="B330" s="857" t="str">
        <f>VLOOKUP(A330,RUAS,2,FALSE)</f>
        <v>JL. DESA TALONTAM - PL. KOPUNG</v>
      </c>
      <c r="E330" s="884" t="s">
        <v>421</v>
      </c>
      <c r="F330" s="855"/>
      <c r="G330" s="878" t="s">
        <v>1258</v>
      </c>
      <c r="H330" s="879"/>
      <c r="I330" s="861" t="s">
        <v>2494</v>
      </c>
      <c r="J330" s="871"/>
      <c r="K330" s="861" t="s">
        <v>519</v>
      </c>
      <c r="L330" s="856"/>
      <c r="M330" s="862"/>
      <c r="N330" s="856"/>
      <c r="O330" s="863" t="s">
        <v>3156</v>
      </c>
      <c r="P330" s="861">
        <v>2012</v>
      </c>
      <c r="Q330" s="862"/>
      <c r="R330" s="862"/>
      <c r="S330" s="862"/>
      <c r="T330" s="862" t="s">
        <v>12</v>
      </c>
      <c r="U330" s="899">
        <v>1593664584.2917645</v>
      </c>
      <c r="V330" s="861" t="s">
        <v>43</v>
      </c>
      <c r="W330" s="865"/>
      <c r="X330" s="968"/>
      <c r="Y330" s="884" t="str">
        <f>LEFT(I330,8)</f>
        <v>04.13.01</v>
      </c>
      <c r="Z330" s="884" t="str">
        <f>VLOOKUP(Y330,UE,3,FALSE)</f>
        <v>Jalan</v>
      </c>
      <c r="AA330" s="884">
        <f>VLOOKUP(Y330,UE,4,FALSE)</f>
        <v>10</v>
      </c>
      <c r="AB330" s="868">
        <f>U330/AA330</f>
        <v>159366458.42917645</v>
      </c>
      <c r="AC330" s="885">
        <f>IF(2013-P330+1&gt;AA330,AA330,IF(2013-P330+1&lt;0,0,2013-P330+1))</f>
        <v>2</v>
      </c>
      <c r="AD330" s="868">
        <f>IF(AC330&gt;AA330,U330,AB330*AC330)</f>
        <v>318732916.8583529</v>
      </c>
      <c r="AE330" s="868">
        <f>IF(U330=AD330,0,AB330)</f>
        <v>159366458.42917645</v>
      </c>
      <c r="AF330" s="868">
        <f>IF(U330=AD330+AE330,0,AB330)</f>
        <v>159366458.42917645</v>
      </c>
      <c r="AG330" s="868">
        <f>IF(U330=AD330+AE330+AF330,0,AB330)</f>
        <v>159366458.42917645</v>
      </c>
      <c r="AH330" s="868">
        <f>IF(U330=AE330+AF330+AG330+AD330,0,AB330)</f>
        <v>159366458.42917645</v>
      </c>
      <c r="AI330" s="886">
        <f>IF(U330=AE330+AF330+AG330+AD330+AH330,0,AB330)</f>
        <v>159366458.42917645</v>
      </c>
      <c r="AJ330" s="886">
        <f>SUM(AD330:AI330)</f>
        <v>1115565209.0042353</v>
      </c>
      <c r="AK330" s="868">
        <f>U330-AJ330</f>
        <v>478099375.28752923</v>
      </c>
    </row>
    <row r="331" spans="1:37" s="998" customFormat="1" ht="35.25" customHeight="1" x14ac:dyDescent="0.2">
      <c r="A331" s="998">
        <v>273</v>
      </c>
      <c r="B331" s="998" t="str">
        <f t="shared" si="101"/>
        <v>SIMANDOLAK - PENYEBERANGAN TANJUNG</v>
      </c>
      <c r="D331" s="998" t="s">
        <v>4050</v>
      </c>
      <c r="E331" s="1006" t="str">
        <f t="shared" ref="E331:E338" si="122">RIGHT(D331,1)</f>
        <v>1</v>
      </c>
      <c r="F331" s="1000"/>
      <c r="G331" s="1010" t="s">
        <v>483</v>
      </c>
      <c r="H331" s="1011"/>
      <c r="I331" s="1001" t="s">
        <v>3820</v>
      </c>
      <c r="J331" s="1001">
        <v>0</v>
      </c>
      <c r="K331" s="1001" t="s">
        <v>503</v>
      </c>
      <c r="L331" s="1003" t="s">
        <v>48</v>
      </c>
      <c r="M331" s="1001">
        <v>0</v>
      </c>
      <c r="N331" s="1003">
        <v>0</v>
      </c>
      <c r="O331" s="1001" t="s">
        <v>504</v>
      </c>
      <c r="P331" s="1168">
        <v>2001</v>
      </c>
      <c r="Q331" s="1001">
        <v>0</v>
      </c>
      <c r="R331" s="1001">
        <v>0</v>
      </c>
      <c r="S331" s="1001" t="s">
        <v>482</v>
      </c>
      <c r="T331" s="1001" t="s">
        <v>12</v>
      </c>
      <c r="U331" s="1002">
        <v>1050000000</v>
      </c>
      <c r="V331" s="1001" t="s">
        <v>135</v>
      </c>
      <c r="W331" s="1001">
        <v>0</v>
      </c>
      <c r="X331" s="1004"/>
      <c r="Y331" s="1006" t="str">
        <f t="shared" si="108"/>
        <v>04.13.01</v>
      </c>
      <c r="Z331" s="1006" t="str">
        <f t="shared" si="109"/>
        <v>Jalan</v>
      </c>
      <c r="AA331" s="1006">
        <f t="shared" si="110"/>
        <v>10</v>
      </c>
      <c r="AB331" s="1007">
        <f t="shared" si="112"/>
        <v>105000000</v>
      </c>
      <c r="AC331" s="1008">
        <f t="shared" si="113"/>
        <v>10</v>
      </c>
      <c r="AD331" s="1007">
        <f t="shared" si="114"/>
        <v>1050000000</v>
      </c>
      <c r="AE331" s="1007">
        <f t="shared" si="115"/>
        <v>0</v>
      </c>
      <c r="AF331" s="1007">
        <f t="shared" si="116"/>
        <v>0</v>
      </c>
      <c r="AG331" s="1007">
        <f t="shared" si="117"/>
        <v>0</v>
      </c>
      <c r="AH331" s="1007">
        <f t="shared" si="118"/>
        <v>0</v>
      </c>
      <c r="AI331" s="1009">
        <f t="shared" si="119"/>
        <v>0</v>
      </c>
      <c r="AJ331" s="1009">
        <f t="shared" si="120"/>
        <v>1050000000</v>
      </c>
      <c r="AK331" s="1007">
        <f t="shared" si="121"/>
        <v>0</v>
      </c>
    </row>
    <row r="332" spans="1:37" s="857" customFormat="1" ht="35.25" customHeight="1" x14ac:dyDescent="0.2">
      <c r="A332" s="857">
        <v>273</v>
      </c>
      <c r="B332" s="857" t="str">
        <f t="shared" si="101"/>
        <v>SIMANDOLAK - PENYEBERANGAN TANJUNG</v>
      </c>
      <c r="D332" s="857" t="s">
        <v>4113</v>
      </c>
      <c r="E332" s="884" t="str">
        <f t="shared" si="122"/>
        <v>2</v>
      </c>
      <c r="F332" s="855"/>
      <c r="G332" s="878" t="s">
        <v>1333</v>
      </c>
      <c r="H332" s="879"/>
      <c r="I332" s="880" t="s">
        <v>2494</v>
      </c>
      <c r="J332" s="880">
        <v>0</v>
      </c>
      <c r="K332" s="880">
        <v>0</v>
      </c>
      <c r="L332" s="881">
        <v>0</v>
      </c>
      <c r="M332" s="880">
        <v>0</v>
      </c>
      <c r="N332" s="881">
        <v>0</v>
      </c>
      <c r="O332" s="880" t="s">
        <v>2575</v>
      </c>
      <c r="P332" s="1126">
        <v>2014</v>
      </c>
      <c r="Q332" s="880">
        <v>0</v>
      </c>
      <c r="R332" s="880">
        <v>0</v>
      </c>
      <c r="S332" s="880">
        <v>0</v>
      </c>
      <c r="T332" s="880">
        <v>0</v>
      </c>
      <c r="U332" s="882">
        <v>197566438</v>
      </c>
      <c r="V332" s="880">
        <v>0</v>
      </c>
      <c r="W332" s="880">
        <v>0</v>
      </c>
      <c r="X332" s="969"/>
      <c r="Y332" s="884" t="str">
        <f t="shared" si="108"/>
        <v>04.13.01</v>
      </c>
      <c r="Z332" s="884" t="str">
        <f t="shared" si="109"/>
        <v>Jalan</v>
      </c>
      <c r="AA332" s="884">
        <f t="shared" si="110"/>
        <v>10</v>
      </c>
      <c r="AB332" s="868">
        <f t="shared" si="112"/>
        <v>19756643.800000001</v>
      </c>
      <c r="AC332" s="885">
        <f t="shared" si="113"/>
        <v>0</v>
      </c>
      <c r="AD332" s="868">
        <f t="shared" si="114"/>
        <v>0</v>
      </c>
      <c r="AE332" s="868">
        <f t="shared" si="115"/>
        <v>19756643.800000001</v>
      </c>
      <c r="AF332" s="868">
        <f t="shared" si="116"/>
        <v>19756643.800000001</v>
      </c>
      <c r="AG332" s="868">
        <f t="shared" si="117"/>
        <v>19756643.800000001</v>
      </c>
      <c r="AH332" s="868">
        <f t="shared" si="118"/>
        <v>19756643.800000001</v>
      </c>
      <c r="AI332" s="886">
        <f t="shared" si="119"/>
        <v>19756643.800000001</v>
      </c>
      <c r="AJ332" s="886">
        <f t="shared" si="120"/>
        <v>98783219</v>
      </c>
      <c r="AK332" s="868">
        <f t="shared" si="121"/>
        <v>98783219</v>
      </c>
    </row>
    <row r="333" spans="1:37" s="857" customFormat="1" ht="35.25" customHeight="1" x14ac:dyDescent="0.2">
      <c r="A333" s="857">
        <v>274</v>
      </c>
      <c r="B333" s="857" t="str">
        <f t="shared" si="101"/>
        <v>BENAI - RAPP</v>
      </c>
      <c r="D333" s="857" t="s">
        <v>4051</v>
      </c>
      <c r="E333" s="884" t="str">
        <f t="shared" si="122"/>
        <v>1</v>
      </c>
      <c r="F333" s="855"/>
      <c r="G333" s="878" t="s">
        <v>483</v>
      </c>
      <c r="H333" s="879"/>
      <c r="I333" s="880" t="s">
        <v>3820</v>
      </c>
      <c r="J333" s="880">
        <v>0</v>
      </c>
      <c r="K333" s="880" t="s">
        <v>484</v>
      </c>
      <c r="L333" s="881" t="s">
        <v>513</v>
      </c>
      <c r="M333" s="880">
        <v>0</v>
      </c>
      <c r="N333" s="881">
        <v>0</v>
      </c>
      <c r="O333" s="880" t="s">
        <v>514</v>
      </c>
      <c r="P333" s="1126">
        <v>2001</v>
      </c>
      <c r="Q333" s="880">
        <v>0</v>
      </c>
      <c r="R333" s="880">
        <v>0</v>
      </c>
      <c r="S333" s="880" t="s">
        <v>384</v>
      </c>
      <c r="T333" s="880" t="s">
        <v>12</v>
      </c>
      <c r="U333" s="882">
        <v>15680000000</v>
      </c>
      <c r="V333" s="880" t="s">
        <v>43</v>
      </c>
      <c r="W333" s="880">
        <v>0</v>
      </c>
      <c r="X333" s="969"/>
      <c r="Y333" s="884" t="str">
        <f t="shared" si="108"/>
        <v>04.13.01</v>
      </c>
      <c r="Z333" s="884" t="str">
        <f t="shared" si="109"/>
        <v>Jalan</v>
      </c>
      <c r="AA333" s="884">
        <f t="shared" si="110"/>
        <v>10</v>
      </c>
      <c r="AB333" s="868">
        <f t="shared" si="112"/>
        <v>1568000000</v>
      </c>
      <c r="AC333" s="885">
        <f t="shared" si="113"/>
        <v>10</v>
      </c>
      <c r="AD333" s="868">
        <f t="shared" si="114"/>
        <v>15680000000</v>
      </c>
      <c r="AE333" s="868">
        <f t="shared" si="115"/>
        <v>0</v>
      </c>
      <c r="AF333" s="868">
        <f t="shared" si="116"/>
        <v>0</v>
      </c>
      <c r="AG333" s="868">
        <f t="shared" si="117"/>
        <v>0</v>
      </c>
      <c r="AH333" s="868">
        <f t="shared" si="118"/>
        <v>0</v>
      </c>
      <c r="AI333" s="886">
        <f t="shared" si="119"/>
        <v>0</v>
      </c>
      <c r="AJ333" s="886">
        <f t="shared" si="120"/>
        <v>15680000000</v>
      </c>
      <c r="AK333" s="868">
        <f t="shared" si="121"/>
        <v>0</v>
      </c>
    </row>
    <row r="334" spans="1:37" s="857" customFormat="1" ht="35.25" customHeight="1" x14ac:dyDescent="0.2">
      <c r="A334" s="857">
        <v>275</v>
      </c>
      <c r="B334" s="857" t="str">
        <f t="shared" si="101"/>
        <v>BERINGIN JAYA - BINJAI</v>
      </c>
      <c r="D334" s="857" t="s">
        <v>4052</v>
      </c>
      <c r="E334" s="884" t="str">
        <f t="shared" si="122"/>
        <v>1</v>
      </c>
      <c r="F334" s="855"/>
      <c r="G334" s="878" t="s">
        <v>696</v>
      </c>
      <c r="H334" s="879"/>
      <c r="I334" s="880" t="s">
        <v>3821</v>
      </c>
      <c r="J334" s="880">
        <v>0</v>
      </c>
      <c r="K334" s="880" t="s">
        <v>484</v>
      </c>
      <c r="L334" s="881" t="s">
        <v>480</v>
      </c>
      <c r="M334" s="880">
        <v>7</v>
      </c>
      <c r="N334" s="881">
        <v>28000</v>
      </c>
      <c r="O334" s="880" t="s">
        <v>710</v>
      </c>
      <c r="P334" s="1126">
        <v>2001</v>
      </c>
      <c r="Q334" s="880">
        <v>0</v>
      </c>
      <c r="R334" s="880">
        <v>0</v>
      </c>
      <c r="S334" s="880" t="s">
        <v>482</v>
      </c>
      <c r="T334" s="880" t="s">
        <v>12</v>
      </c>
      <c r="U334" s="882">
        <v>832000000</v>
      </c>
      <c r="V334" s="880" t="s">
        <v>43</v>
      </c>
      <c r="W334" s="880">
        <v>0</v>
      </c>
      <c r="X334" s="969"/>
      <c r="Y334" s="884" t="str">
        <f t="shared" si="108"/>
        <v>04.13.01</v>
      </c>
      <c r="Z334" s="884" t="str">
        <f t="shared" si="109"/>
        <v>Jalan</v>
      </c>
      <c r="AA334" s="884">
        <f t="shared" si="110"/>
        <v>10</v>
      </c>
      <c r="AB334" s="868">
        <f t="shared" si="112"/>
        <v>83200000</v>
      </c>
      <c r="AC334" s="885">
        <f t="shared" si="113"/>
        <v>10</v>
      </c>
      <c r="AD334" s="868">
        <f t="shared" si="114"/>
        <v>832000000</v>
      </c>
      <c r="AE334" s="868">
        <f t="shared" si="115"/>
        <v>0</v>
      </c>
      <c r="AF334" s="868">
        <f t="shared" si="116"/>
        <v>0</v>
      </c>
      <c r="AG334" s="868">
        <f t="shared" si="117"/>
        <v>0</v>
      </c>
      <c r="AH334" s="868">
        <f t="shared" si="118"/>
        <v>0</v>
      </c>
      <c r="AI334" s="886">
        <f t="shared" si="119"/>
        <v>0</v>
      </c>
      <c r="AJ334" s="886">
        <f t="shared" si="120"/>
        <v>832000000</v>
      </c>
      <c r="AK334" s="868">
        <f t="shared" si="121"/>
        <v>0</v>
      </c>
    </row>
    <row r="335" spans="1:37" s="857" customFormat="1" ht="35.25" customHeight="1" x14ac:dyDescent="0.2">
      <c r="A335" s="857">
        <v>276</v>
      </c>
      <c r="B335" s="857" t="str">
        <f t="shared" si="101"/>
        <v>BENAI - TEBING TINGGI</v>
      </c>
      <c r="D335" s="857" t="s">
        <v>4053</v>
      </c>
      <c r="E335" s="884" t="str">
        <f t="shared" si="122"/>
        <v>1</v>
      </c>
      <c r="F335" s="855"/>
      <c r="G335" s="878" t="s">
        <v>483</v>
      </c>
      <c r="H335" s="879"/>
      <c r="I335" s="880" t="s">
        <v>3820</v>
      </c>
      <c r="J335" s="880">
        <v>0</v>
      </c>
      <c r="K335" s="880" t="s">
        <v>479</v>
      </c>
      <c r="L335" s="881" t="s">
        <v>506</v>
      </c>
      <c r="M335" s="880">
        <v>0</v>
      </c>
      <c r="N335" s="881">
        <v>0</v>
      </c>
      <c r="O335" s="880" t="s">
        <v>507</v>
      </c>
      <c r="P335" s="1126">
        <v>2001</v>
      </c>
      <c r="Q335" s="880">
        <v>0</v>
      </c>
      <c r="R335" s="880">
        <v>0</v>
      </c>
      <c r="S335" s="880" t="s">
        <v>384</v>
      </c>
      <c r="T335" s="880" t="s">
        <v>12</v>
      </c>
      <c r="U335" s="882">
        <v>2940000000</v>
      </c>
      <c r="V335" s="880" t="s">
        <v>43</v>
      </c>
      <c r="W335" s="880">
        <v>0</v>
      </c>
      <c r="X335" s="969"/>
      <c r="Y335" s="884" t="str">
        <f t="shared" si="108"/>
        <v>04.13.01</v>
      </c>
      <c r="Z335" s="884" t="str">
        <f t="shared" si="109"/>
        <v>Jalan</v>
      </c>
      <c r="AA335" s="884">
        <f t="shared" si="110"/>
        <v>10</v>
      </c>
      <c r="AB335" s="868">
        <f t="shared" si="112"/>
        <v>294000000</v>
      </c>
      <c r="AC335" s="885">
        <f t="shared" si="113"/>
        <v>10</v>
      </c>
      <c r="AD335" s="868">
        <f t="shared" si="114"/>
        <v>2940000000</v>
      </c>
      <c r="AE335" s="868">
        <f t="shared" si="115"/>
        <v>0</v>
      </c>
      <c r="AF335" s="868">
        <f t="shared" si="116"/>
        <v>0</v>
      </c>
      <c r="AG335" s="868">
        <f t="shared" si="117"/>
        <v>0</v>
      </c>
      <c r="AH335" s="868">
        <f t="shared" si="118"/>
        <v>0</v>
      </c>
      <c r="AI335" s="886">
        <f t="shared" si="119"/>
        <v>0</v>
      </c>
      <c r="AJ335" s="886">
        <f t="shared" si="120"/>
        <v>2940000000</v>
      </c>
      <c r="AK335" s="868">
        <f t="shared" si="121"/>
        <v>0</v>
      </c>
    </row>
    <row r="336" spans="1:37" s="998" customFormat="1" ht="35.25" customHeight="1" x14ac:dyDescent="0.2">
      <c r="A336" s="998">
        <v>277</v>
      </c>
      <c r="B336" s="998" t="str">
        <f>VLOOKUP(A336,RUAS,2,FALSE)</f>
        <v>GUNUNG KESIANGAN - PL. KALIMANTING</v>
      </c>
      <c r="E336" s="1006" t="str">
        <f t="shared" si="122"/>
        <v/>
      </c>
      <c r="F336" s="1000"/>
      <c r="G336" s="1010" t="s">
        <v>483</v>
      </c>
      <c r="H336" s="1011"/>
      <c r="I336" s="1001" t="s">
        <v>3820</v>
      </c>
      <c r="J336" s="1001"/>
      <c r="K336" s="1001" t="s">
        <v>479</v>
      </c>
      <c r="L336" s="1003" t="s">
        <v>48</v>
      </c>
      <c r="M336" s="1001"/>
      <c r="N336" s="1003"/>
      <c r="O336" s="1001" t="s">
        <v>505</v>
      </c>
      <c r="P336" s="1168">
        <v>2001</v>
      </c>
      <c r="Q336" s="1001"/>
      <c r="R336" s="1001"/>
      <c r="S336" s="1001" t="s">
        <v>482</v>
      </c>
      <c r="T336" s="1001" t="s">
        <v>12</v>
      </c>
      <c r="U336" s="1002">
        <f>1575000000+H337</f>
        <v>1767368982</v>
      </c>
      <c r="V336" s="1001" t="s">
        <v>43</v>
      </c>
      <c r="W336" s="1001"/>
      <c r="X336" s="1004"/>
      <c r="Y336" s="1006" t="str">
        <f>LEFT(I336,8)</f>
        <v>04.13.01</v>
      </c>
      <c r="Z336" s="1006" t="str">
        <f>VLOOKUP(Y336,UE,3,FALSE)</f>
        <v>Jalan</v>
      </c>
      <c r="AA336" s="1006">
        <f>VLOOKUP(Y336,UE,4,FALSE)</f>
        <v>10</v>
      </c>
      <c r="AB336" s="1007"/>
      <c r="AC336" s="1008"/>
      <c r="AD336" s="1007"/>
      <c r="AE336" s="1007"/>
      <c r="AF336" s="1007"/>
      <c r="AG336" s="1007"/>
      <c r="AH336" s="1007"/>
      <c r="AI336" s="1009">
        <f>PERHITUNGAN!R1668</f>
        <v>414528562.09000003</v>
      </c>
      <c r="AJ336" s="1009">
        <f>PERHITUNGAN!U1672</f>
        <v>2794572833.0710001</v>
      </c>
      <c r="AK336" s="1007">
        <f>U336-AJ336</f>
        <v>-1027203851.0710001</v>
      </c>
    </row>
    <row r="337" spans="1:37" s="857" customFormat="1" ht="35.25" customHeight="1" x14ac:dyDescent="0.2">
      <c r="A337" s="857">
        <v>277</v>
      </c>
      <c r="B337" s="857" t="str">
        <f t="shared" si="101"/>
        <v>GUNUNG KESIANGAN - PL. KALIMANTING</v>
      </c>
      <c r="D337" s="857" t="s">
        <v>4054</v>
      </c>
      <c r="E337" s="884" t="str">
        <f t="shared" si="122"/>
        <v>1</v>
      </c>
      <c r="F337" s="855"/>
      <c r="G337" s="878" t="s">
        <v>3072</v>
      </c>
      <c r="H337" s="879">
        <v>192368982</v>
      </c>
      <c r="I337" s="880" t="s">
        <v>2494</v>
      </c>
      <c r="J337" s="880">
        <v>0</v>
      </c>
      <c r="K337" s="880">
        <v>0</v>
      </c>
      <c r="L337" s="881">
        <v>0</v>
      </c>
      <c r="M337" s="880">
        <v>0</v>
      </c>
      <c r="N337" s="881">
        <v>0</v>
      </c>
      <c r="O337" s="880" t="s">
        <v>3287</v>
      </c>
      <c r="P337" s="1126">
        <v>2017</v>
      </c>
      <c r="Q337" s="880">
        <v>0</v>
      </c>
      <c r="R337" s="880">
        <v>0</v>
      </c>
      <c r="S337" s="880">
        <v>0</v>
      </c>
      <c r="T337" s="880" t="s">
        <v>12</v>
      </c>
      <c r="U337" s="882"/>
      <c r="V337" s="880">
        <v>0</v>
      </c>
      <c r="W337" s="880">
        <v>0</v>
      </c>
      <c r="X337" s="969"/>
      <c r="Y337" s="884" t="str">
        <f t="shared" si="108"/>
        <v>04.13.01</v>
      </c>
      <c r="Z337" s="884" t="str">
        <f t="shared" si="109"/>
        <v>Jalan</v>
      </c>
      <c r="AA337" s="884">
        <f t="shared" si="110"/>
        <v>10</v>
      </c>
      <c r="AB337" s="868"/>
      <c r="AC337" s="885"/>
      <c r="AD337" s="868"/>
      <c r="AE337" s="868"/>
      <c r="AF337" s="868"/>
      <c r="AG337" s="868"/>
      <c r="AH337" s="868"/>
      <c r="AI337" s="886"/>
      <c r="AJ337" s="886"/>
      <c r="AK337" s="868">
        <f t="shared" si="121"/>
        <v>0</v>
      </c>
    </row>
    <row r="338" spans="1:37" s="857" customFormat="1" ht="35.25" customHeight="1" x14ac:dyDescent="0.2">
      <c r="A338" s="857">
        <v>278</v>
      </c>
      <c r="B338" s="857" t="str">
        <f t="shared" si="101"/>
        <v>JALUR PATAH - LANGSAT HULU</v>
      </c>
      <c r="D338" s="857" t="s">
        <v>4055</v>
      </c>
      <c r="E338" s="884" t="str">
        <f t="shared" si="122"/>
        <v>1</v>
      </c>
      <c r="F338" s="855"/>
      <c r="G338" s="878" t="s">
        <v>483</v>
      </c>
      <c r="H338" s="879"/>
      <c r="I338" s="880" t="s">
        <v>3820</v>
      </c>
      <c r="J338" s="880">
        <v>0</v>
      </c>
      <c r="K338" s="880" t="s">
        <v>484</v>
      </c>
      <c r="L338" s="881" t="s">
        <v>497</v>
      </c>
      <c r="M338" s="880">
        <v>7</v>
      </c>
      <c r="N338" s="881">
        <v>56000</v>
      </c>
      <c r="O338" s="880" t="s">
        <v>498</v>
      </c>
      <c r="P338" s="1126">
        <v>2001</v>
      </c>
      <c r="Q338" s="880">
        <v>0</v>
      </c>
      <c r="R338" s="880">
        <v>0</v>
      </c>
      <c r="S338" s="880" t="s">
        <v>482</v>
      </c>
      <c r="T338" s="880" t="s">
        <v>12</v>
      </c>
      <c r="U338" s="882">
        <v>3584000000</v>
      </c>
      <c r="V338" s="880" t="s">
        <v>43</v>
      </c>
      <c r="W338" s="880">
        <v>0</v>
      </c>
      <c r="X338" s="969"/>
      <c r="Y338" s="884" t="str">
        <f t="shared" si="108"/>
        <v>04.13.01</v>
      </c>
      <c r="Z338" s="884" t="str">
        <f t="shared" si="109"/>
        <v>Jalan</v>
      </c>
      <c r="AA338" s="884">
        <f t="shared" si="110"/>
        <v>10</v>
      </c>
      <c r="AB338" s="868">
        <f t="shared" si="112"/>
        <v>358400000</v>
      </c>
      <c r="AC338" s="885">
        <f t="shared" si="113"/>
        <v>10</v>
      </c>
      <c r="AD338" s="868">
        <f t="shared" si="114"/>
        <v>3584000000</v>
      </c>
      <c r="AE338" s="868">
        <f t="shared" si="115"/>
        <v>0</v>
      </c>
      <c r="AF338" s="868">
        <f t="shared" si="116"/>
        <v>0</v>
      </c>
      <c r="AG338" s="868">
        <f t="shared" si="117"/>
        <v>0</v>
      </c>
      <c r="AH338" s="868">
        <f t="shared" si="118"/>
        <v>0</v>
      </c>
      <c r="AI338" s="886">
        <f t="shared" si="119"/>
        <v>0</v>
      </c>
      <c r="AJ338" s="886">
        <f t="shared" si="120"/>
        <v>3584000000</v>
      </c>
      <c r="AK338" s="868">
        <f t="shared" si="121"/>
        <v>0</v>
      </c>
    </row>
    <row r="339" spans="1:37" s="998" customFormat="1" ht="35.25" customHeight="1" x14ac:dyDescent="0.15">
      <c r="A339" s="998">
        <v>279</v>
      </c>
      <c r="B339" s="998" t="str">
        <f t="shared" si="101"/>
        <v>TALONTAM - BANJAR BENAI</v>
      </c>
      <c r="D339" s="998" t="s">
        <v>4056</v>
      </c>
      <c r="E339" s="999" t="s">
        <v>4247</v>
      </c>
      <c r="F339" s="1000"/>
      <c r="G339" s="1010" t="s">
        <v>483</v>
      </c>
      <c r="H339" s="1011"/>
      <c r="I339" s="1001" t="s">
        <v>3820</v>
      </c>
      <c r="J339" s="1001">
        <v>0</v>
      </c>
      <c r="K339" s="1001" t="s">
        <v>479</v>
      </c>
      <c r="L339" s="1003" t="s">
        <v>488</v>
      </c>
      <c r="M339" s="1001">
        <v>7</v>
      </c>
      <c r="N339" s="1003">
        <v>21000</v>
      </c>
      <c r="O339" s="1001" t="s">
        <v>499</v>
      </c>
      <c r="P339" s="1168">
        <v>2001</v>
      </c>
      <c r="Q339" s="1001">
        <v>0</v>
      </c>
      <c r="R339" s="1001">
        <v>0</v>
      </c>
      <c r="S339" s="1001" t="s">
        <v>482</v>
      </c>
      <c r="T339" s="1001" t="s">
        <v>12</v>
      </c>
      <c r="U339" s="1002">
        <f>2520000000+190125000+H341</f>
        <v>5059942980</v>
      </c>
      <c r="V339" s="1001" t="s">
        <v>43</v>
      </c>
      <c r="W339" s="1001">
        <v>0</v>
      </c>
      <c r="X339" s="1004"/>
      <c r="Y339" s="1005" t="str">
        <f t="shared" si="108"/>
        <v>04.13.01</v>
      </c>
      <c r="Z339" s="1006" t="str">
        <f t="shared" si="109"/>
        <v>Jalan</v>
      </c>
      <c r="AA339" s="1006">
        <f t="shared" si="110"/>
        <v>10</v>
      </c>
      <c r="AB339" s="1007"/>
      <c r="AC339" s="1008">
        <f>IF(2013-P339&gt;AA339,10,IF(2013-P339&lt;0,0,2013-P339))</f>
        <v>10</v>
      </c>
      <c r="AD339" s="1007"/>
      <c r="AE339" s="1007"/>
      <c r="AF339" s="1007"/>
      <c r="AG339" s="1007"/>
      <c r="AH339" s="1007"/>
      <c r="AI339" s="1009">
        <f>PERHITUNGAN!R1690</f>
        <v>234981798</v>
      </c>
      <c r="AJ339" s="1009">
        <f>PERHITUNGAN!U1693</f>
        <v>3885033990</v>
      </c>
      <c r="AK339" s="1007">
        <f t="shared" si="121"/>
        <v>1174908990</v>
      </c>
    </row>
    <row r="340" spans="1:37" s="857" customFormat="1" ht="35.25" customHeight="1" x14ac:dyDescent="0.2">
      <c r="A340" s="857">
        <v>279</v>
      </c>
      <c r="B340" s="857" t="str">
        <f>VLOOKUP(A340,RUAS,2,FALSE)</f>
        <v>TALONTAM - BANJAR BENAI</v>
      </c>
      <c r="E340" s="884" t="str">
        <f>RIGHT(D340,1)</f>
        <v/>
      </c>
      <c r="F340" s="855"/>
      <c r="G340" s="878" t="s">
        <v>483</v>
      </c>
      <c r="H340" s="879">
        <v>190125000</v>
      </c>
      <c r="I340" s="880" t="s">
        <v>3820</v>
      </c>
      <c r="J340" s="880"/>
      <c r="K340" s="880" t="s">
        <v>8</v>
      </c>
      <c r="L340" s="881" t="s">
        <v>508</v>
      </c>
      <c r="M340" s="880"/>
      <c r="N340" s="881"/>
      <c r="O340" s="880" t="s">
        <v>509</v>
      </c>
      <c r="P340" s="1126">
        <v>2001</v>
      </c>
      <c r="Q340" s="880"/>
      <c r="R340" s="880"/>
      <c r="S340" s="880" t="s">
        <v>482</v>
      </c>
      <c r="T340" s="880" t="s">
        <v>12</v>
      </c>
      <c r="U340" s="882"/>
      <c r="V340" s="880" t="s">
        <v>43</v>
      </c>
      <c r="W340" s="880"/>
      <c r="X340" s="969"/>
      <c r="Y340" s="884" t="str">
        <f>LEFT(I340,8)</f>
        <v>04.13.01</v>
      </c>
      <c r="Z340" s="884" t="str">
        <f>VLOOKUP(Y340,UE,3,FALSE)</f>
        <v>Jalan</v>
      </c>
      <c r="AA340" s="884">
        <f>VLOOKUP(Y340,UE,4,FALSE)</f>
        <v>10</v>
      </c>
      <c r="AB340" s="868">
        <f>U340/AA340</f>
        <v>0</v>
      </c>
      <c r="AC340" s="885"/>
      <c r="AD340" s="868"/>
      <c r="AE340" s="868"/>
      <c r="AF340" s="868"/>
      <c r="AG340" s="868"/>
      <c r="AH340" s="868"/>
      <c r="AI340" s="886"/>
      <c r="AJ340" s="886"/>
      <c r="AK340" s="868">
        <f>U340-AJ340</f>
        <v>0</v>
      </c>
    </row>
    <row r="341" spans="1:37" s="857" customFormat="1" ht="35.25" customHeight="1" x14ac:dyDescent="0.15">
      <c r="A341" s="857">
        <v>279</v>
      </c>
      <c r="B341" s="857" t="str">
        <f t="shared" si="101"/>
        <v>TALONTAM - BANJAR BENAI</v>
      </c>
      <c r="D341" s="857" t="s">
        <v>4057</v>
      </c>
      <c r="E341" s="877" t="s">
        <v>4247</v>
      </c>
      <c r="F341" s="855"/>
      <c r="G341" s="878" t="s">
        <v>1382</v>
      </c>
      <c r="H341" s="879">
        <v>2349817980</v>
      </c>
      <c r="I341" s="880" t="s">
        <v>2494</v>
      </c>
      <c r="J341" s="880">
        <v>0</v>
      </c>
      <c r="K341" s="880">
        <v>0</v>
      </c>
      <c r="L341" s="881">
        <v>0</v>
      </c>
      <c r="M341" s="880">
        <v>0</v>
      </c>
      <c r="N341" s="881">
        <v>0</v>
      </c>
      <c r="O341" s="880" t="s">
        <v>499</v>
      </c>
      <c r="P341" s="1126">
        <v>2015</v>
      </c>
      <c r="Q341" s="880">
        <v>0</v>
      </c>
      <c r="R341" s="880">
        <v>0</v>
      </c>
      <c r="S341" s="880">
        <v>0</v>
      </c>
      <c r="T341" s="880" t="s">
        <v>12</v>
      </c>
      <c r="U341" s="882"/>
      <c r="V341" s="880">
        <v>0</v>
      </c>
      <c r="W341" s="880">
        <v>0</v>
      </c>
      <c r="X341" s="969"/>
      <c r="Y341" s="883" t="str">
        <f t="shared" si="108"/>
        <v>04.13.01</v>
      </c>
      <c r="Z341" s="884" t="str">
        <f t="shared" si="109"/>
        <v>Jalan</v>
      </c>
      <c r="AA341" s="884">
        <f t="shared" si="110"/>
        <v>10</v>
      </c>
      <c r="AB341" s="868"/>
      <c r="AC341" s="885">
        <f>IF(2013-P341&gt;AA341,10,IF(2013-P341&lt;0,0,2013-P341))</f>
        <v>0</v>
      </c>
      <c r="AD341" s="868"/>
      <c r="AE341" s="868"/>
      <c r="AF341" s="868"/>
      <c r="AG341" s="868"/>
      <c r="AH341" s="868"/>
      <c r="AI341" s="886"/>
      <c r="AJ341" s="886"/>
      <c r="AK341" s="868">
        <f t="shared" si="121"/>
        <v>0</v>
      </c>
    </row>
    <row r="342" spans="1:37" s="857" customFormat="1" ht="35.25" customHeight="1" x14ac:dyDescent="0.2">
      <c r="A342" s="857">
        <v>280</v>
      </c>
      <c r="B342" s="857" t="str">
        <f t="shared" si="101"/>
        <v>GUNUNG KESIANGAN - RESETLEMEN PENDUDUK</v>
      </c>
      <c r="D342" s="857" t="s">
        <v>4058</v>
      </c>
      <c r="E342" s="884" t="str">
        <f t="shared" ref="E342:E348" si="123">RIGHT(D342,1)</f>
        <v>1</v>
      </c>
      <c r="F342" s="855"/>
      <c r="G342" s="878" t="s">
        <v>3071</v>
      </c>
      <c r="H342" s="879"/>
      <c r="I342" s="880" t="s">
        <v>2494</v>
      </c>
      <c r="J342" s="880">
        <v>0</v>
      </c>
      <c r="K342" s="880">
        <v>0</v>
      </c>
      <c r="L342" s="881">
        <v>0</v>
      </c>
      <c r="M342" s="880">
        <v>0</v>
      </c>
      <c r="N342" s="881">
        <v>0</v>
      </c>
      <c r="O342" s="880" t="s">
        <v>2575</v>
      </c>
      <c r="P342" s="1126">
        <v>2017</v>
      </c>
      <c r="Q342" s="880">
        <v>0</v>
      </c>
      <c r="R342" s="880">
        <v>0</v>
      </c>
      <c r="S342" s="880">
        <v>0</v>
      </c>
      <c r="T342" s="880" t="s">
        <v>12</v>
      </c>
      <c r="U342" s="882">
        <v>181501000</v>
      </c>
      <c r="V342" s="880">
        <v>0</v>
      </c>
      <c r="W342" s="880">
        <v>0</v>
      </c>
      <c r="X342" s="969"/>
      <c r="Y342" s="884" t="str">
        <f t="shared" si="108"/>
        <v>04.13.01</v>
      </c>
      <c r="Z342" s="884" t="str">
        <f t="shared" si="109"/>
        <v>Jalan</v>
      </c>
      <c r="AA342" s="884">
        <f t="shared" si="110"/>
        <v>10</v>
      </c>
      <c r="AB342" s="868">
        <f t="shared" ref="AB342:AB348" si="124">U342/AA342</f>
        <v>18150100</v>
      </c>
      <c r="AC342" s="885">
        <f t="shared" ref="AC342:AC348" si="125">IF(2013-P342+1&gt;AA342,AA342,IF(2013-P342+1&lt;0,0,2013-P342+1))</f>
        <v>0</v>
      </c>
      <c r="AD342" s="868">
        <f t="shared" ref="AD342:AD348" si="126">IF(AC342&gt;AA342,U342,AB342*AC342)</f>
        <v>0</v>
      </c>
      <c r="AE342" s="868">
        <v>0</v>
      </c>
      <c r="AF342" s="868">
        <v>0</v>
      </c>
      <c r="AG342" s="868">
        <v>0</v>
      </c>
      <c r="AH342" s="868">
        <f t="shared" ref="AH342:AH348" si="127">IF(U342=AE342+AF342+AG342+AD342,0,AB342)</f>
        <v>18150100</v>
      </c>
      <c r="AI342" s="886">
        <f t="shared" ref="AI342:AI348" si="128">IF(U342=AE342+AF342+AG342+AD342+AH342,0,AB342)</f>
        <v>18150100</v>
      </c>
      <c r="AJ342" s="886">
        <f t="shared" ref="AJ342:AJ348" si="129">SUM(AD342:AI342)</f>
        <v>36300200</v>
      </c>
      <c r="AK342" s="868">
        <f t="shared" si="121"/>
        <v>145200800</v>
      </c>
    </row>
    <row r="343" spans="1:37" s="998" customFormat="1" ht="35.25" customHeight="1" x14ac:dyDescent="0.2">
      <c r="A343" s="998">
        <v>281</v>
      </c>
      <c r="B343" s="998" t="str">
        <f t="shared" si="101"/>
        <v>KOMPE BERANGIN - KP. BARU CERENTI</v>
      </c>
      <c r="D343" s="998" t="s">
        <v>4059</v>
      </c>
      <c r="E343" s="1006" t="str">
        <f t="shared" si="123"/>
        <v>1</v>
      </c>
      <c r="F343" s="1000"/>
      <c r="G343" s="1010" t="s">
        <v>529</v>
      </c>
      <c r="H343" s="1011"/>
      <c r="I343" s="1001" t="s">
        <v>3820</v>
      </c>
      <c r="J343" s="1001">
        <v>0</v>
      </c>
      <c r="K343" s="1001" t="s">
        <v>484</v>
      </c>
      <c r="L343" s="1003" t="s">
        <v>485</v>
      </c>
      <c r="M343" s="1001">
        <v>7</v>
      </c>
      <c r="N343" s="1003">
        <v>46200</v>
      </c>
      <c r="O343" s="1001" t="s">
        <v>486</v>
      </c>
      <c r="P343" s="1168">
        <v>2001</v>
      </c>
      <c r="Q343" s="1001">
        <v>0</v>
      </c>
      <c r="R343" s="1001">
        <v>0</v>
      </c>
      <c r="S343" s="1001" t="s">
        <v>482</v>
      </c>
      <c r="T343" s="1001" t="s">
        <v>12</v>
      </c>
      <c r="U343" s="1002">
        <f>9504000000+1011456000+H345</f>
        <v>10880336737.00996</v>
      </c>
      <c r="V343" s="1001" t="s">
        <v>43</v>
      </c>
      <c r="W343" s="1001">
        <v>0</v>
      </c>
      <c r="X343" s="1004"/>
      <c r="Y343" s="1006" t="str">
        <f t="shared" si="108"/>
        <v>04.13.01</v>
      </c>
      <c r="Z343" s="1006" t="str">
        <f t="shared" si="109"/>
        <v>Jalan</v>
      </c>
      <c r="AA343" s="1006">
        <f t="shared" si="110"/>
        <v>10</v>
      </c>
      <c r="AB343" s="1007"/>
      <c r="AC343" s="1008"/>
      <c r="AD343" s="1007"/>
      <c r="AE343" s="1007"/>
      <c r="AF343" s="1007"/>
      <c r="AG343" s="1007"/>
      <c r="AH343" s="1007"/>
      <c r="AI343" s="1009">
        <f>PERHITUNGAN!R1712</f>
        <v>0</v>
      </c>
      <c r="AJ343" s="1009">
        <f>PERHITUNGAN!U1717</f>
        <v>11697123119.531216</v>
      </c>
      <c r="AK343" s="1007">
        <f t="shared" si="121"/>
        <v>-816786382.52125549</v>
      </c>
    </row>
    <row r="344" spans="1:37" s="857" customFormat="1" ht="35.25" customHeight="1" x14ac:dyDescent="0.2">
      <c r="A344" s="857">
        <v>281</v>
      </c>
      <c r="B344" s="857" t="str">
        <f>VLOOKUP(A344,RUAS,2,FALSE)</f>
        <v>KOMPE BERANGIN - KP. BARU CERENTI</v>
      </c>
      <c r="E344" s="884" t="str">
        <f t="shared" si="123"/>
        <v/>
      </c>
      <c r="F344" s="855"/>
      <c r="G344" s="878" t="s">
        <v>529</v>
      </c>
      <c r="H344" s="879"/>
      <c r="I344" s="880" t="s">
        <v>2494</v>
      </c>
      <c r="J344" s="880"/>
      <c r="K344" s="880" t="s">
        <v>484</v>
      </c>
      <c r="L344" s="881" t="s">
        <v>679</v>
      </c>
      <c r="M344" s="880"/>
      <c r="N344" s="881"/>
      <c r="O344" s="880" t="s">
        <v>680</v>
      </c>
      <c r="P344" s="1126">
        <v>2001</v>
      </c>
      <c r="Q344" s="880"/>
      <c r="R344" s="880"/>
      <c r="S344" s="880" t="s">
        <v>482</v>
      </c>
      <c r="T344" s="880" t="s">
        <v>12</v>
      </c>
      <c r="U344" s="882"/>
      <c r="V344" s="880" t="s">
        <v>43</v>
      </c>
      <c r="W344" s="880"/>
      <c r="X344" s="969"/>
      <c r="Y344" s="884" t="str">
        <f>LEFT(I344,8)</f>
        <v>04.13.01</v>
      </c>
      <c r="Z344" s="884" t="str">
        <f>VLOOKUP(Y344,UE,3,FALSE)</f>
        <v>Jalan</v>
      </c>
      <c r="AA344" s="884">
        <f>VLOOKUP(Y344,UE,4,FALSE)</f>
        <v>10</v>
      </c>
      <c r="AB344" s="868"/>
      <c r="AC344" s="885"/>
      <c r="AD344" s="868"/>
      <c r="AE344" s="868"/>
      <c r="AF344" s="868"/>
      <c r="AG344" s="868"/>
      <c r="AH344" s="868"/>
      <c r="AI344" s="886"/>
      <c r="AJ344" s="886"/>
      <c r="AK344" s="868">
        <f>U344-AJ344</f>
        <v>0</v>
      </c>
    </row>
    <row r="345" spans="1:37" s="857" customFormat="1" ht="35.25" customHeight="1" x14ac:dyDescent="0.2">
      <c r="A345" s="857">
        <v>281</v>
      </c>
      <c r="B345" s="857" t="str">
        <f>VLOOKUP(A345,RUAS,2,FALSE)</f>
        <v>KOMPE BERANGIN - KP. BARU CERENTI</v>
      </c>
      <c r="E345" s="884" t="str">
        <f t="shared" si="123"/>
        <v/>
      </c>
      <c r="F345" s="855"/>
      <c r="G345" s="878" t="s">
        <v>1166</v>
      </c>
      <c r="H345" s="879">
        <v>364880737.00996</v>
      </c>
      <c r="I345" s="861" t="s">
        <v>2494</v>
      </c>
      <c r="J345" s="871"/>
      <c r="K345" s="861" t="s">
        <v>519</v>
      </c>
      <c r="L345" s="856"/>
      <c r="M345" s="862"/>
      <c r="N345" s="856">
        <v>1700</v>
      </c>
      <c r="O345" s="863" t="s">
        <v>680</v>
      </c>
      <c r="P345" s="861">
        <v>2007</v>
      </c>
      <c r="Q345" s="862"/>
      <c r="R345" s="862"/>
      <c r="S345" s="862"/>
      <c r="T345" s="862" t="s">
        <v>12</v>
      </c>
      <c r="U345" s="899"/>
      <c r="V345" s="861" t="s">
        <v>43</v>
      </c>
      <c r="W345" s="865"/>
      <c r="X345" s="968"/>
      <c r="Y345" s="884" t="str">
        <f>LEFT(I345,8)</f>
        <v>04.13.01</v>
      </c>
      <c r="Z345" s="884" t="str">
        <f>VLOOKUP(Y345,UE,3,FALSE)</f>
        <v>Jalan</v>
      </c>
      <c r="AA345" s="884">
        <f>VLOOKUP(Y345,UE,4,FALSE)</f>
        <v>10</v>
      </c>
      <c r="AB345" s="868"/>
      <c r="AC345" s="885"/>
      <c r="AD345" s="868"/>
      <c r="AE345" s="868"/>
      <c r="AF345" s="868"/>
      <c r="AG345" s="868"/>
      <c r="AH345" s="868"/>
      <c r="AI345" s="886"/>
      <c r="AJ345" s="886"/>
      <c r="AK345" s="868">
        <f>U345-AJ345</f>
        <v>0</v>
      </c>
    </row>
    <row r="346" spans="1:37" s="857" customFormat="1" ht="35.25" customHeight="1" x14ac:dyDescent="0.2">
      <c r="A346" s="857">
        <v>282</v>
      </c>
      <c r="B346" s="857" t="str">
        <f t="shared" si="101"/>
        <v>NEES II CERENTI - KOMPE BERANGIN</v>
      </c>
      <c r="D346" s="857" t="s">
        <v>4060</v>
      </c>
      <c r="E346" s="884" t="str">
        <f t="shared" si="123"/>
        <v>1</v>
      </c>
      <c r="F346" s="855"/>
      <c r="G346" s="878" t="s">
        <v>529</v>
      </c>
      <c r="H346" s="879"/>
      <c r="I346" s="880" t="s">
        <v>2494</v>
      </c>
      <c r="J346" s="880">
        <v>0</v>
      </c>
      <c r="K346" s="880" t="s">
        <v>484</v>
      </c>
      <c r="L346" s="881" t="s">
        <v>690</v>
      </c>
      <c r="M346" s="880">
        <v>7</v>
      </c>
      <c r="N346" s="881">
        <v>55300</v>
      </c>
      <c r="O346" s="880" t="s">
        <v>691</v>
      </c>
      <c r="P346" s="1126">
        <v>2001</v>
      </c>
      <c r="Q346" s="880">
        <v>0</v>
      </c>
      <c r="R346" s="880">
        <v>0</v>
      </c>
      <c r="S346" s="880" t="s">
        <v>482</v>
      </c>
      <c r="T346" s="880" t="s">
        <v>12</v>
      </c>
      <c r="U346" s="882">
        <v>5119353361.6199999</v>
      </c>
      <c r="V346" s="880" t="s">
        <v>43</v>
      </c>
      <c r="W346" s="880">
        <v>0</v>
      </c>
      <c r="X346" s="969"/>
      <c r="Y346" s="884" t="str">
        <f t="shared" si="108"/>
        <v>04.13.01</v>
      </c>
      <c r="Z346" s="884" t="str">
        <f t="shared" si="109"/>
        <v>Jalan</v>
      </c>
      <c r="AA346" s="884">
        <f t="shared" si="110"/>
        <v>10</v>
      </c>
      <c r="AB346" s="868">
        <f t="shared" si="124"/>
        <v>511935336.162</v>
      </c>
      <c r="AC346" s="885">
        <f t="shared" si="125"/>
        <v>10</v>
      </c>
      <c r="AD346" s="868">
        <f t="shared" si="126"/>
        <v>5119353361.6199999</v>
      </c>
      <c r="AE346" s="868">
        <f>IF(U346=AD346,0,AB346)</f>
        <v>0</v>
      </c>
      <c r="AF346" s="868">
        <f>IF(U346=AD346+AE346,0,AB346)</f>
        <v>0</v>
      </c>
      <c r="AG346" s="868">
        <f>IF(U346=AD346+AE346+AF346,0,AB346)</f>
        <v>0</v>
      </c>
      <c r="AH346" s="868">
        <f t="shared" si="127"/>
        <v>0</v>
      </c>
      <c r="AI346" s="886">
        <f t="shared" si="128"/>
        <v>0</v>
      </c>
      <c r="AJ346" s="886">
        <f t="shared" si="129"/>
        <v>5119353361.6199999</v>
      </c>
      <c r="AK346" s="868">
        <f t="shared" si="121"/>
        <v>0</v>
      </c>
    </row>
    <row r="347" spans="1:37" s="857" customFormat="1" ht="35.25" customHeight="1" x14ac:dyDescent="0.2">
      <c r="A347" s="857">
        <v>283</v>
      </c>
      <c r="B347" s="857" t="str">
        <f t="shared" si="101"/>
        <v>KOTO CERENTI - PULAU BAYUR</v>
      </c>
      <c r="D347" s="857" t="s">
        <v>4061</v>
      </c>
      <c r="E347" s="884" t="str">
        <f t="shared" si="123"/>
        <v>1</v>
      </c>
      <c r="F347" s="855"/>
      <c r="G347" s="878" t="s">
        <v>529</v>
      </c>
      <c r="H347" s="879"/>
      <c r="I347" s="880" t="s">
        <v>2494</v>
      </c>
      <c r="J347" s="880">
        <v>0</v>
      </c>
      <c r="K347" s="880" t="s">
        <v>484</v>
      </c>
      <c r="L347" s="881" t="s">
        <v>488</v>
      </c>
      <c r="M347" s="880">
        <v>7</v>
      </c>
      <c r="N347" s="881">
        <v>21000</v>
      </c>
      <c r="O347" s="880" t="s">
        <v>692</v>
      </c>
      <c r="P347" s="1126">
        <v>2001</v>
      </c>
      <c r="Q347" s="880">
        <v>0</v>
      </c>
      <c r="R347" s="880">
        <v>0</v>
      </c>
      <c r="S347" s="880" t="s">
        <v>482</v>
      </c>
      <c r="T347" s="880" t="s">
        <v>12</v>
      </c>
      <c r="U347" s="882">
        <v>2304000000</v>
      </c>
      <c r="V347" s="880" t="s">
        <v>43</v>
      </c>
      <c r="W347" s="880">
        <v>0</v>
      </c>
      <c r="X347" s="969"/>
      <c r="Y347" s="884" t="str">
        <f t="shared" si="108"/>
        <v>04.13.01</v>
      </c>
      <c r="Z347" s="884" t="str">
        <f t="shared" si="109"/>
        <v>Jalan</v>
      </c>
      <c r="AA347" s="884">
        <f t="shared" si="110"/>
        <v>10</v>
      </c>
      <c r="AB347" s="868">
        <f t="shared" si="124"/>
        <v>230400000</v>
      </c>
      <c r="AC347" s="885">
        <f t="shared" si="125"/>
        <v>10</v>
      </c>
      <c r="AD347" s="868">
        <f t="shared" si="126"/>
        <v>2304000000</v>
      </c>
      <c r="AE347" s="868">
        <f>IF(U347=AD347,0,AB347)</f>
        <v>0</v>
      </c>
      <c r="AF347" s="868">
        <f>IF(U347=AD347+AE347,0,AB347)</f>
        <v>0</v>
      </c>
      <c r="AG347" s="868">
        <f>IF(U347=AD347+AE347+AF347,0,AB347)</f>
        <v>0</v>
      </c>
      <c r="AH347" s="868">
        <f t="shared" si="127"/>
        <v>0</v>
      </c>
      <c r="AI347" s="886">
        <f t="shared" si="128"/>
        <v>0</v>
      </c>
      <c r="AJ347" s="886">
        <f t="shared" si="129"/>
        <v>2304000000</v>
      </c>
      <c r="AK347" s="868">
        <f t="shared" si="121"/>
        <v>0</v>
      </c>
    </row>
    <row r="348" spans="1:37" s="857" customFormat="1" ht="35.25" customHeight="1" x14ac:dyDescent="0.2">
      <c r="A348" s="857">
        <v>284</v>
      </c>
      <c r="B348" s="857" t="str">
        <f t="shared" si="101"/>
        <v>SIKURAN - BANJAR NAN TIGO</v>
      </c>
      <c r="D348" s="857" t="s">
        <v>4062</v>
      </c>
      <c r="E348" s="884" t="str">
        <f t="shared" si="123"/>
        <v>1</v>
      </c>
      <c r="F348" s="855"/>
      <c r="G348" s="878" t="s">
        <v>696</v>
      </c>
      <c r="H348" s="879"/>
      <c r="I348" s="880" t="s">
        <v>3821</v>
      </c>
      <c r="J348" s="880">
        <v>0</v>
      </c>
      <c r="K348" s="880" t="s">
        <v>479</v>
      </c>
      <c r="L348" s="881" t="s">
        <v>697</v>
      </c>
      <c r="M348" s="880">
        <v>7</v>
      </c>
      <c r="N348" s="881">
        <v>30100</v>
      </c>
      <c r="O348" s="880" t="s">
        <v>698</v>
      </c>
      <c r="P348" s="1126">
        <v>2001</v>
      </c>
      <c r="Q348" s="880">
        <v>0</v>
      </c>
      <c r="R348" s="880">
        <v>0</v>
      </c>
      <c r="S348" s="880" t="s">
        <v>482</v>
      </c>
      <c r="T348" s="880" t="s">
        <v>12</v>
      </c>
      <c r="U348" s="882">
        <v>3160500000</v>
      </c>
      <c r="V348" s="880" t="s">
        <v>135</v>
      </c>
      <c r="W348" s="880">
        <v>0</v>
      </c>
      <c r="X348" s="969"/>
      <c r="Y348" s="884" t="str">
        <f t="shared" si="108"/>
        <v>04.13.01</v>
      </c>
      <c r="Z348" s="884" t="str">
        <f t="shared" si="109"/>
        <v>Jalan</v>
      </c>
      <c r="AA348" s="884">
        <f t="shared" si="110"/>
        <v>10</v>
      </c>
      <c r="AB348" s="868">
        <f t="shared" si="124"/>
        <v>316050000</v>
      </c>
      <c r="AC348" s="885">
        <f t="shared" si="125"/>
        <v>10</v>
      </c>
      <c r="AD348" s="868">
        <f t="shared" si="126"/>
        <v>3160500000</v>
      </c>
      <c r="AE348" s="868">
        <f>IF(U348=AD348,0,AB348)</f>
        <v>0</v>
      </c>
      <c r="AF348" s="868">
        <f>IF(U348=AD348+AE348,0,AB348)</f>
        <v>0</v>
      </c>
      <c r="AG348" s="868">
        <f>IF(U348=AD348+AE348+AF348,0,AB348)</f>
        <v>0</v>
      </c>
      <c r="AH348" s="868">
        <f t="shared" si="127"/>
        <v>0</v>
      </c>
      <c r="AI348" s="886">
        <f t="shared" si="128"/>
        <v>0</v>
      </c>
      <c r="AJ348" s="886">
        <f t="shared" si="129"/>
        <v>3160500000</v>
      </c>
      <c r="AK348" s="868">
        <f t="shared" si="121"/>
        <v>0</v>
      </c>
    </row>
    <row r="349" spans="1:37" s="998" customFormat="1" ht="35.25" customHeight="1" x14ac:dyDescent="0.15">
      <c r="A349" s="998">
        <v>285</v>
      </c>
      <c r="B349" s="998" t="str">
        <f t="shared" si="101"/>
        <v>SEI. PERUPUK - TELUK PAUH</v>
      </c>
      <c r="D349" s="998" t="s">
        <v>4063</v>
      </c>
      <c r="E349" s="999" t="s">
        <v>4247</v>
      </c>
      <c r="F349" s="1000"/>
      <c r="G349" s="1010" t="s">
        <v>529</v>
      </c>
      <c r="H349" s="1011"/>
      <c r="I349" s="1001" t="s">
        <v>2494</v>
      </c>
      <c r="J349" s="1001">
        <v>0</v>
      </c>
      <c r="K349" s="1001" t="s">
        <v>525</v>
      </c>
      <c r="L349" s="1003" t="s">
        <v>501</v>
      </c>
      <c r="M349" s="1001">
        <v>7</v>
      </c>
      <c r="N349" s="1003">
        <v>24500</v>
      </c>
      <c r="O349" s="1001" t="s">
        <v>687</v>
      </c>
      <c r="P349" s="1168">
        <v>2001</v>
      </c>
      <c r="Q349" s="1001">
        <v>0</v>
      </c>
      <c r="R349" s="1001">
        <v>0</v>
      </c>
      <c r="S349" s="1001" t="s">
        <v>482</v>
      </c>
      <c r="T349" s="1001" t="s">
        <v>12</v>
      </c>
      <c r="U349" s="1002">
        <f>2835000000+H350+H351+H352+H353</f>
        <v>7928003272.4109097</v>
      </c>
      <c r="V349" s="1001" t="s">
        <v>43</v>
      </c>
      <c r="W349" s="1001">
        <v>0</v>
      </c>
      <c r="X349" s="1004"/>
      <c r="Y349" s="1005" t="str">
        <f t="shared" si="108"/>
        <v>04.13.01</v>
      </c>
      <c r="Z349" s="1006" t="str">
        <f t="shared" si="109"/>
        <v>Jalan</v>
      </c>
      <c r="AA349" s="1006">
        <f t="shared" si="110"/>
        <v>10</v>
      </c>
      <c r="AB349" s="1007"/>
      <c r="AC349" s="1008">
        <f>IF(2013-P349&gt;AA349,10,IF(2013-P349&lt;0,0,2013-P349))</f>
        <v>10</v>
      </c>
      <c r="AD349" s="1007"/>
      <c r="AE349" s="1007"/>
      <c r="AF349" s="1007"/>
      <c r="AG349" s="1007"/>
      <c r="AH349" s="1007"/>
      <c r="AI349" s="1009">
        <f>PERHITUNGAN!U1762</f>
        <v>358307953.38937169</v>
      </c>
      <c r="AJ349" s="1009">
        <f>PERHITUNGAN!U1765</f>
        <v>6083552361.1248674</v>
      </c>
      <c r="AK349" s="1007">
        <f t="shared" si="121"/>
        <v>1844450911.2860422</v>
      </c>
    </row>
    <row r="350" spans="1:37" s="857" customFormat="1" ht="35.25" customHeight="1" x14ac:dyDescent="0.2">
      <c r="A350" s="857">
        <v>285</v>
      </c>
      <c r="B350" s="857" t="str">
        <f>VLOOKUP(A350,RUAS,2,FALSE)</f>
        <v>SEI. PERUPUK - TELUK PAUH</v>
      </c>
      <c r="E350" s="884" t="str">
        <f>RIGHT(D350,1)</f>
        <v/>
      </c>
      <c r="F350" s="855"/>
      <c r="G350" s="878" t="s">
        <v>1211</v>
      </c>
      <c r="H350" s="879">
        <v>711641781</v>
      </c>
      <c r="I350" s="861" t="s">
        <v>2494</v>
      </c>
      <c r="J350" s="871"/>
      <c r="K350" s="861"/>
      <c r="L350" s="856"/>
      <c r="M350" s="862"/>
      <c r="N350" s="856"/>
      <c r="O350" s="863" t="s">
        <v>3125</v>
      </c>
      <c r="P350" s="861">
        <v>2008</v>
      </c>
      <c r="Q350" s="862"/>
      <c r="R350" s="862"/>
      <c r="S350" s="862"/>
      <c r="T350" s="862" t="s">
        <v>12</v>
      </c>
      <c r="U350" s="899"/>
      <c r="V350" s="861" t="s">
        <v>43</v>
      </c>
      <c r="W350" s="865"/>
      <c r="X350" s="968"/>
      <c r="Y350" s="884" t="str">
        <f>LEFT(I350,8)</f>
        <v>04.13.01</v>
      </c>
      <c r="Z350" s="884" t="str">
        <f>VLOOKUP(Y350,UE,3,FALSE)</f>
        <v>Jalan</v>
      </c>
      <c r="AA350" s="884">
        <f>VLOOKUP(Y350,UE,4,FALSE)</f>
        <v>10</v>
      </c>
      <c r="AB350" s="868"/>
      <c r="AC350" s="885"/>
      <c r="AD350" s="868"/>
      <c r="AE350" s="868"/>
      <c r="AF350" s="868"/>
      <c r="AG350" s="868"/>
      <c r="AH350" s="868"/>
      <c r="AI350" s="886"/>
      <c r="AJ350" s="886"/>
      <c r="AK350" s="868">
        <f>U350-AJ350</f>
        <v>0</v>
      </c>
    </row>
    <row r="351" spans="1:37" s="857" customFormat="1" ht="35.25" customHeight="1" x14ac:dyDescent="0.15">
      <c r="A351" s="857">
        <v>285</v>
      </c>
      <c r="B351" s="857" t="str">
        <f t="shared" si="101"/>
        <v>SEI. PERUPUK - TELUK PAUH</v>
      </c>
      <c r="D351" s="857" t="s">
        <v>4064</v>
      </c>
      <c r="E351" s="877" t="s">
        <v>4247</v>
      </c>
      <c r="F351" s="855"/>
      <c r="G351" s="878" t="s">
        <v>1216</v>
      </c>
      <c r="H351" s="879">
        <v>2978274268.4109097</v>
      </c>
      <c r="I351" s="880" t="s">
        <v>2494</v>
      </c>
      <c r="J351" s="880">
        <v>0</v>
      </c>
      <c r="K351" s="880" t="s">
        <v>519</v>
      </c>
      <c r="L351" s="881">
        <v>0</v>
      </c>
      <c r="M351" s="880">
        <v>0</v>
      </c>
      <c r="N351" s="881">
        <v>1000</v>
      </c>
      <c r="O351" s="880" t="s">
        <v>687</v>
      </c>
      <c r="P351" s="1126">
        <v>2011</v>
      </c>
      <c r="Q351" s="880">
        <v>0</v>
      </c>
      <c r="R351" s="880">
        <v>0</v>
      </c>
      <c r="S351" s="880">
        <v>0</v>
      </c>
      <c r="T351" s="880" t="s">
        <v>12</v>
      </c>
      <c r="U351" s="882"/>
      <c r="V351" s="880" t="s">
        <v>43</v>
      </c>
      <c r="W351" s="880">
        <v>0</v>
      </c>
      <c r="X351" s="969"/>
      <c r="Y351" s="883" t="str">
        <f t="shared" si="108"/>
        <v>04.13.01</v>
      </c>
      <c r="Z351" s="884" t="str">
        <f t="shared" si="109"/>
        <v>Jalan</v>
      </c>
      <c r="AA351" s="884">
        <f t="shared" si="110"/>
        <v>10</v>
      </c>
      <c r="AB351" s="868"/>
      <c r="AC351" s="885">
        <f>IF(2013-P351&gt;AA351,10,IF(2013-P351&lt;0,0,2013-P351))</f>
        <v>2</v>
      </c>
      <c r="AD351" s="868"/>
      <c r="AE351" s="868"/>
      <c r="AF351" s="868"/>
      <c r="AG351" s="868"/>
      <c r="AH351" s="868"/>
      <c r="AI351" s="886"/>
      <c r="AJ351" s="886"/>
      <c r="AK351" s="868">
        <f t="shared" si="121"/>
        <v>0</v>
      </c>
    </row>
    <row r="352" spans="1:37" s="857" customFormat="1" ht="35.25" customHeight="1" x14ac:dyDescent="0.15">
      <c r="A352" s="857">
        <v>285</v>
      </c>
      <c r="B352" s="857" t="str">
        <f t="shared" si="101"/>
        <v>SEI. PERUPUK - TELUK PAUH</v>
      </c>
      <c r="D352" s="857" t="s">
        <v>4065</v>
      </c>
      <c r="E352" s="877" t="s">
        <v>4247</v>
      </c>
      <c r="F352" s="855"/>
      <c r="G352" s="878" t="s">
        <v>1301</v>
      </c>
      <c r="H352" s="879">
        <v>1212803223</v>
      </c>
      <c r="I352" s="880" t="s">
        <v>2494</v>
      </c>
      <c r="J352" s="880">
        <v>0</v>
      </c>
      <c r="K352" s="880">
        <v>0</v>
      </c>
      <c r="L352" s="881">
        <v>0</v>
      </c>
      <c r="M352" s="880">
        <v>0</v>
      </c>
      <c r="N352" s="881">
        <v>0</v>
      </c>
      <c r="O352" s="880" t="s">
        <v>687</v>
      </c>
      <c r="P352" s="1126">
        <v>2014</v>
      </c>
      <c r="Q352" s="880">
        <v>0</v>
      </c>
      <c r="R352" s="880">
        <v>0</v>
      </c>
      <c r="S352" s="880">
        <v>0</v>
      </c>
      <c r="T352" s="880">
        <v>0</v>
      </c>
      <c r="U352" s="882"/>
      <c r="V352" s="880">
        <v>0</v>
      </c>
      <c r="W352" s="880">
        <v>0</v>
      </c>
      <c r="X352" s="969"/>
      <c r="Y352" s="883" t="str">
        <f t="shared" si="108"/>
        <v>04.13.01</v>
      </c>
      <c r="Z352" s="884" t="str">
        <f t="shared" si="109"/>
        <v>Jalan</v>
      </c>
      <c r="AA352" s="884">
        <f t="shared" si="110"/>
        <v>10</v>
      </c>
      <c r="AB352" s="868"/>
      <c r="AC352" s="885">
        <f>IF(2013-P352&gt;AA352,10,IF(2013-P352&lt;0,0,2013-P352))</f>
        <v>0</v>
      </c>
      <c r="AD352" s="868"/>
      <c r="AE352" s="868"/>
      <c r="AF352" s="868"/>
      <c r="AG352" s="868"/>
      <c r="AH352" s="868"/>
      <c r="AI352" s="886"/>
      <c r="AJ352" s="886"/>
      <c r="AK352" s="868">
        <f t="shared" si="121"/>
        <v>0</v>
      </c>
    </row>
    <row r="353" spans="1:37" s="857" customFormat="1" ht="35.25" customHeight="1" x14ac:dyDescent="0.15">
      <c r="A353" s="857">
        <v>285</v>
      </c>
      <c r="B353" s="857" t="str">
        <f t="shared" si="101"/>
        <v>SEI. PERUPUK - TELUK PAUH</v>
      </c>
      <c r="D353" s="857" t="s">
        <v>4111</v>
      </c>
      <c r="E353" s="877" t="s">
        <v>4247</v>
      </c>
      <c r="F353" s="855"/>
      <c r="G353" s="878" t="s">
        <v>2506</v>
      </c>
      <c r="H353" s="879">
        <v>190284000</v>
      </c>
      <c r="I353" s="880" t="s">
        <v>2494</v>
      </c>
      <c r="J353" s="880">
        <v>0</v>
      </c>
      <c r="K353" s="880">
        <v>0</v>
      </c>
      <c r="L353" s="881">
        <v>0</v>
      </c>
      <c r="M353" s="880">
        <v>0</v>
      </c>
      <c r="N353" s="881">
        <v>0</v>
      </c>
      <c r="O353" s="880" t="s">
        <v>2568</v>
      </c>
      <c r="P353" s="1126">
        <v>2017</v>
      </c>
      <c r="Q353" s="880">
        <v>0</v>
      </c>
      <c r="R353" s="880">
        <v>0</v>
      </c>
      <c r="S353" s="880">
        <v>0</v>
      </c>
      <c r="T353" s="880" t="s">
        <v>12</v>
      </c>
      <c r="U353" s="882"/>
      <c r="V353" s="880">
        <v>0</v>
      </c>
      <c r="W353" s="880">
        <v>0</v>
      </c>
      <c r="X353" s="969"/>
      <c r="Y353" s="883" t="str">
        <f t="shared" si="108"/>
        <v>04.13.01</v>
      </c>
      <c r="Z353" s="884" t="str">
        <f t="shared" si="109"/>
        <v>Jalan</v>
      </c>
      <c r="AA353" s="884">
        <f t="shared" si="110"/>
        <v>10</v>
      </c>
      <c r="AB353" s="868"/>
      <c r="AC353" s="885">
        <f>IF(2013-P353&gt;AA353,10,IF(2013-P353&lt;0,0,2013-P353))</f>
        <v>0</v>
      </c>
      <c r="AD353" s="868"/>
      <c r="AE353" s="868"/>
      <c r="AF353" s="868"/>
      <c r="AG353" s="868"/>
      <c r="AH353" s="868"/>
      <c r="AI353" s="886"/>
      <c r="AJ353" s="886"/>
      <c r="AK353" s="868"/>
    </row>
    <row r="354" spans="1:37" s="857" customFormat="1" ht="35.25" customHeight="1" x14ac:dyDescent="0.2">
      <c r="A354" s="857">
        <v>286</v>
      </c>
      <c r="B354" s="857" t="str">
        <f t="shared" si="101"/>
        <v>PULAU JAMBU TELUK PAUH</v>
      </c>
      <c r="D354" s="857" t="s">
        <v>4066</v>
      </c>
      <c r="E354" s="884" t="str">
        <f t="shared" ref="E354:E359" si="130">RIGHT(D354,1)</f>
        <v>1</v>
      </c>
      <c r="F354" s="855"/>
      <c r="G354" s="878" t="s">
        <v>529</v>
      </c>
      <c r="H354" s="879"/>
      <c r="I354" s="880" t="s">
        <v>2494</v>
      </c>
      <c r="J354" s="880">
        <v>0</v>
      </c>
      <c r="K354" s="880" t="s">
        <v>503</v>
      </c>
      <c r="L354" s="881" t="s">
        <v>641</v>
      </c>
      <c r="M354" s="880">
        <v>7</v>
      </c>
      <c r="N354" s="881">
        <v>70000</v>
      </c>
      <c r="O354" s="880" t="s">
        <v>688</v>
      </c>
      <c r="P354" s="1126">
        <v>2001</v>
      </c>
      <c r="Q354" s="880">
        <v>0</v>
      </c>
      <c r="R354" s="880">
        <v>0</v>
      </c>
      <c r="S354" s="880" t="s">
        <v>482</v>
      </c>
      <c r="T354" s="880" t="s">
        <v>12</v>
      </c>
      <c r="U354" s="882">
        <v>3000000000</v>
      </c>
      <c r="V354" s="880" t="s">
        <v>43</v>
      </c>
      <c r="W354" s="880">
        <v>0</v>
      </c>
      <c r="X354" s="969"/>
      <c r="Y354" s="884" t="str">
        <f t="shared" si="108"/>
        <v>04.13.01</v>
      </c>
      <c r="Z354" s="884" t="str">
        <f t="shared" si="109"/>
        <v>Jalan</v>
      </c>
      <c r="AA354" s="884">
        <f t="shared" si="110"/>
        <v>10</v>
      </c>
      <c r="AB354" s="868">
        <f>U354/AA354</f>
        <v>300000000</v>
      </c>
      <c r="AC354" s="885">
        <f>IF(2013-P354+1&gt;AA354,AA354,IF(2013-P354+1&lt;0,0,2013-P354+1))</f>
        <v>10</v>
      </c>
      <c r="AD354" s="868">
        <f>IF(AC354&gt;AA354,U354,AB354*AC354)</f>
        <v>3000000000</v>
      </c>
      <c r="AE354" s="868">
        <f>IF(U354=AD354,0,AB354)</f>
        <v>0</v>
      </c>
      <c r="AF354" s="868">
        <f>IF(U354=AD354+AE354,0,AB354)</f>
        <v>0</v>
      </c>
      <c r="AG354" s="868">
        <f>IF(U354=AD354+AE354+AF354,0,AB354)</f>
        <v>0</v>
      </c>
      <c r="AH354" s="868">
        <f>IF(U354=AE354+AF354+AG354+AD354,0,AB354)</f>
        <v>0</v>
      </c>
      <c r="AI354" s="886">
        <f>IF(U354=AE354+AF354+AG354+AD354+AH354,0,AB354)</f>
        <v>0</v>
      </c>
      <c r="AJ354" s="886">
        <f>SUM(AD354:AI354)</f>
        <v>3000000000</v>
      </c>
      <c r="AK354" s="868">
        <f t="shared" ref="AK354:AK366" si="131">U354-AJ354</f>
        <v>0</v>
      </c>
    </row>
    <row r="355" spans="1:37" s="857" customFormat="1" ht="35.25" customHeight="1" x14ac:dyDescent="0.2">
      <c r="A355" s="857">
        <v>287</v>
      </c>
      <c r="B355" s="857" t="str">
        <f>VLOOKUP(A355,RUAS,2,FALSE)</f>
        <v>JL. DIPONEGORO  - JL. YOS SUDARSO</v>
      </c>
      <c r="E355" s="884" t="str">
        <f t="shared" si="130"/>
        <v/>
      </c>
      <c r="F355" s="855"/>
      <c r="G355" s="878" t="s">
        <v>529</v>
      </c>
      <c r="H355" s="879"/>
      <c r="I355" s="880" t="s">
        <v>2494</v>
      </c>
      <c r="J355" s="880"/>
      <c r="K355" s="880" t="s">
        <v>525</v>
      </c>
      <c r="L355" s="881" t="s">
        <v>536</v>
      </c>
      <c r="M355" s="880"/>
      <c r="N355" s="881"/>
      <c r="O355" s="880" t="s">
        <v>689</v>
      </c>
      <c r="P355" s="1126">
        <v>2001</v>
      </c>
      <c r="Q355" s="880"/>
      <c r="R355" s="880"/>
      <c r="S355" s="880" t="s">
        <v>482</v>
      </c>
      <c r="T355" s="880" t="s">
        <v>12</v>
      </c>
      <c r="U355" s="882">
        <v>263250000</v>
      </c>
      <c r="V355" s="880" t="s">
        <v>43</v>
      </c>
      <c r="W355" s="880"/>
      <c r="X355" s="969"/>
      <c r="Y355" s="884" t="str">
        <f>LEFT(I355,8)</f>
        <v>04.13.01</v>
      </c>
      <c r="Z355" s="884" t="str">
        <f>VLOOKUP(Y355,UE,3,FALSE)</f>
        <v>Jalan</v>
      </c>
      <c r="AA355" s="884">
        <f>VLOOKUP(Y355,UE,4,FALSE)</f>
        <v>10</v>
      </c>
      <c r="AB355" s="868">
        <f>U355/AA355</f>
        <v>26325000</v>
      </c>
      <c r="AC355" s="885">
        <f>IF(2013-P355+1&gt;AA355,AA355,IF(2013-P355+1&lt;0,0,2013-P355+1))</f>
        <v>10</v>
      </c>
      <c r="AD355" s="868">
        <f>IF(AC355&gt;AA355,U355,AB355*AC355)</f>
        <v>263250000</v>
      </c>
      <c r="AE355" s="868">
        <f>IF(U355=AD355,0,AB355)</f>
        <v>0</v>
      </c>
      <c r="AF355" s="868">
        <f>IF(U355=AD355+AE355,0,AB355)</f>
        <v>0</v>
      </c>
      <c r="AG355" s="868">
        <f>IF(U355=AD355+AE355+AF355,0,AB355)</f>
        <v>0</v>
      </c>
      <c r="AH355" s="868">
        <f>IF(U355=AE355+AF355+AG355+AD355,0,AB355)</f>
        <v>0</v>
      </c>
      <c r="AI355" s="886">
        <f>IF(U355=AE355+AF355+AG355+AD355+AH355,0,AB355)</f>
        <v>0</v>
      </c>
      <c r="AJ355" s="886">
        <f>SUM(AD355:AI355)</f>
        <v>263250000</v>
      </c>
      <c r="AK355" s="868">
        <f>U355-AJ355</f>
        <v>0</v>
      </c>
    </row>
    <row r="356" spans="1:37" s="857" customFormat="1" ht="35.25" customHeight="1" x14ac:dyDescent="0.2">
      <c r="A356" s="857">
        <v>288</v>
      </c>
      <c r="B356" s="857" t="str">
        <f>VLOOKUP(A356,RUAS,2,FALSE)</f>
        <v>JL. IMAM BONJOL -  JP KM 220 + 000</v>
      </c>
      <c r="E356" s="884" t="str">
        <f t="shared" si="130"/>
        <v/>
      </c>
      <c r="F356" s="855"/>
      <c r="G356" s="878" t="s">
        <v>529</v>
      </c>
      <c r="H356" s="879"/>
      <c r="I356" s="880" t="s">
        <v>2494</v>
      </c>
      <c r="J356" s="880"/>
      <c r="K356" s="880" t="s">
        <v>525</v>
      </c>
      <c r="L356" s="881" t="s">
        <v>625</v>
      </c>
      <c r="M356" s="880"/>
      <c r="N356" s="881"/>
      <c r="O356" s="880" t="s">
        <v>626</v>
      </c>
      <c r="P356" s="1126">
        <v>2001</v>
      </c>
      <c r="Q356" s="880"/>
      <c r="R356" s="880"/>
      <c r="S356" s="880" t="s">
        <v>482</v>
      </c>
      <c r="T356" s="880" t="s">
        <v>12</v>
      </c>
      <c r="U356" s="882">
        <v>175500000</v>
      </c>
      <c r="V356" s="880" t="s">
        <v>43</v>
      </c>
      <c r="W356" s="880"/>
      <c r="X356" s="969"/>
      <c r="Y356" s="884" t="str">
        <f>LEFT(I356,8)</f>
        <v>04.13.01</v>
      </c>
      <c r="Z356" s="884" t="str">
        <f>VLOOKUP(Y356,UE,3,FALSE)</f>
        <v>Jalan</v>
      </c>
      <c r="AA356" s="884">
        <f>VLOOKUP(Y356,UE,4,FALSE)</f>
        <v>10</v>
      </c>
      <c r="AB356" s="868">
        <f>U356/AA356</f>
        <v>17550000</v>
      </c>
      <c r="AC356" s="885">
        <f>IF(2013-P356+1&gt;AA356,AA356,IF(2013-P356+1&lt;0,0,2013-P356+1))</f>
        <v>10</v>
      </c>
      <c r="AD356" s="868">
        <f>IF(AC356&gt;AA356,U356,AB356*AC356)</f>
        <v>175500000</v>
      </c>
      <c r="AE356" s="868">
        <f>IF(U356=AD356,0,AB356)</f>
        <v>0</v>
      </c>
      <c r="AF356" s="868">
        <f>IF(U356=AD356+AE356,0,AB356)</f>
        <v>0</v>
      </c>
      <c r="AG356" s="868">
        <f>IF(U356=AD356+AE356+AF356,0,AB356)</f>
        <v>0</v>
      </c>
      <c r="AH356" s="868">
        <f>IF(U356=AE356+AF356+AG356+AD356,0,AB356)</f>
        <v>0</v>
      </c>
      <c r="AI356" s="886">
        <f>IF(U356=AE356+AF356+AG356+AD356+AH356,0,AB356)</f>
        <v>0</v>
      </c>
      <c r="AJ356" s="886">
        <f>SUM(AD356:AI356)</f>
        <v>175500000</v>
      </c>
      <c r="AK356" s="868">
        <f>U356-AJ356</f>
        <v>0</v>
      </c>
    </row>
    <row r="357" spans="1:37" s="857" customFormat="1" ht="35.25" customHeight="1" x14ac:dyDescent="0.2">
      <c r="A357" s="857">
        <v>293</v>
      </c>
      <c r="B357" s="857" t="str">
        <f t="shared" si="101"/>
        <v>TELUK PAUH - BATAS INHU</v>
      </c>
      <c r="D357" s="857" t="s">
        <v>4067</v>
      </c>
      <c r="E357" s="884" t="str">
        <f t="shared" si="130"/>
        <v>1</v>
      </c>
      <c r="F357" s="855"/>
      <c r="G357" s="878" t="s">
        <v>529</v>
      </c>
      <c r="H357" s="879"/>
      <c r="I357" s="880" t="s">
        <v>2494</v>
      </c>
      <c r="J357" s="880">
        <v>0</v>
      </c>
      <c r="K357" s="880" t="s">
        <v>525</v>
      </c>
      <c r="L357" s="881" t="s">
        <v>522</v>
      </c>
      <c r="M357" s="880">
        <v>7</v>
      </c>
      <c r="N357" s="881">
        <v>42000</v>
      </c>
      <c r="O357" s="880" t="s">
        <v>683</v>
      </c>
      <c r="P357" s="1126">
        <v>2001</v>
      </c>
      <c r="Q357" s="880">
        <v>0</v>
      </c>
      <c r="R357" s="880">
        <v>0</v>
      </c>
      <c r="S357" s="880" t="s">
        <v>384</v>
      </c>
      <c r="T357" s="880" t="s">
        <v>12</v>
      </c>
      <c r="U357" s="882">
        <v>3240000000</v>
      </c>
      <c r="V357" s="880" t="s">
        <v>43</v>
      </c>
      <c r="W357" s="880">
        <v>0</v>
      </c>
      <c r="X357" s="969"/>
      <c r="Y357" s="884" t="str">
        <f t="shared" si="108"/>
        <v>04.13.01</v>
      </c>
      <c r="Z357" s="884" t="str">
        <f t="shared" si="109"/>
        <v>Jalan</v>
      </c>
      <c r="AA357" s="884">
        <f t="shared" si="110"/>
        <v>10</v>
      </c>
      <c r="AB357" s="868">
        <f>U357/AA357</f>
        <v>324000000</v>
      </c>
      <c r="AC357" s="885">
        <f>IF(2013-P357+1&gt;AA357,AA357,IF(2013-P357+1&lt;0,0,2013-P357+1))</f>
        <v>10</v>
      </c>
      <c r="AD357" s="868">
        <f>IF(AC357&gt;AA357,U357,AB357*AC357)</f>
        <v>3240000000</v>
      </c>
      <c r="AE357" s="868">
        <f>IF(U357=AD357,0,AB357)</f>
        <v>0</v>
      </c>
      <c r="AF357" s="868">
        <f>IF(U357=AD357+AE357,0,AB357)</f>
        <v>0</v>
      </c>
      <c r="AG357" s="868">
        <f>IF(U357=AD357+AE357+AF357,0,AB357)</f>
        <v>0</v>
      </c>
      <c r="AH357" s="868">
        <f>IF(U357=AE357+AF357+AG357+AD357,0,AB357)</f>
        <v>0</v>
      </c>
      <c r="AI357" s="886">
        <f>IF(U357=AE357+AF357+AG357+AD357+AH357,0,AB357)</f>
        <v>0</v>
      </c>
      <c r="AJ357" s="886">
        <f>SUM(AD357:AI357)</f>
        <v>3240000000</v>
      </c>
      <c r="AK357" s="868">
        <f t="shared" si="131"/>
        <v>0</v>
      </c>
    </row>
    <row r="358" spans="1:37" s="998" customFormat="1" ht="35.25" customHeight="1" x14ac:dyDescent="0.2">
      <c r="A358" s="998">
        <v>294</v>
      </c>
      <c r="B358" s="998" t="str">
        <f>VLOOKUP(A358,RUAS,2,FALSE)</f>
        <v>TELUK PAUH - PESIKAIAN</v>
      </c>
      <c r="E358" s="1006" t="str">
        <f t="shared" si="130"/>
        <v/>
      </c>
      <c r="F358" s="1000"/>
      <c r="G358" s="1010" t="s">
        <v>529</v>
      </c>
      <c r="H358" s="1011"/>
      <c r="I358" s="1001" t="s">
        <v>2494</v>
      </c>
      <c r="J358" s="1001"/>
      <c r="K358" s="1001" t="s">
        <v>525</v>
      </c>
      <c r="L358" s="1003" t="s">
        <v>501</v>
      </c>
      <c r="M358" s="1001"/>
      <c r="N358" s="1003"/>
      <c r="O358" s="1001" t="s">
        <v>4799</v>
      </c>
      <c r="P358" s="1168">
        <v>2001</v>
      </c>
      <c r="Q358" s="1001"/>
      <c r="R358" s="1001"/>
      <c r="S358" s="1001" t="s">
        <v>482</v>
      </c>
      <c r="T358" s="1001" t="s">
        <v>12</v>
      </c>
      <c r="U358" s="1002">
        <f>2835000000+H359</f>
        <v>3024466188</v>
      </c>
      <c r="V358" s="1001" t="s">
        <v>43</v>
      </c>
      <c r="W358" s="1001"/>
      <c r="X358" s="1004"/>
      <c r="Y358" s="1006" t="str">
        <f>LEFT(I358,8)</f>
        <v>04.13.01</v>
      </c>
      <c r="Z358" s="1006" t="str">
        <f>VLOOKUP(Y358,UE,3,FALSE)</f>
        <v>Jalan</v>
      </c>
      <c r="AA358" s="1006">
        <f>VLOOKUP(Y358,UE,4,FALSE)</f>
        <v>10</v>
      </c>
      <c r="AB358" s="1007"/>
      <c r="AC358" s="1008"/>
      <c r="AD358" s="1007"/>
      <c r="AE358" s="1007"/>
      <c r="AF358" s="1007"/>
      <c r="AG358" s="1007"/>
      <c r="AH358" s="1007"/>
      <c r="AI358" s="1009">
        <f>PERHITUNGAN!R1781</f>
        <v>18946618.800000001</v>
      </c>
      <c r="AJ358" s="1009">
        <f>PERHITUNGAN!U1784</f>
        <v>2872893237.6000004</v>
      </c>
      <c r="AK358" s="1007">
        <f>U358-AJ358</f>
        <v>151572950.39999962</v>
      </c>
    </row>
    <row r="359" spans="1:37" s="857" customFormat="1" ht="35.25" customHeight="1" x14ac:dyDescent="0.2">
      <c r="A359" s="857">
        <v>294</v>
      </c>
      <c r="B359" s="857" t="str">
        <f t="shared" si="101"/>
        <v>TELUK PAUH - PESIKAIAN</v>
      </c>
      <c r="D359" s="857" t="s">
        <v>4068</v>
      </c>
      <c r="E359" s="884" t="str">
        <f t="shared" si="130"/>
        <v>1</v>
      </c>
      <c r="F359" s="855"/>
      <c r="G359" s="878" t="s">
        <v>3329</v>
      </c>
      <c r="H359" s="879">
        <v>189466188</v>
      </c>
      <c r="I359" s="880" t="s">
        <v>2494</v>
      </c>
      <c r="J359" s="880">
        <v>0</v>
      </c>
      <c r="K359" s="880">
        <v>0</v>
      </c>
      <c r="L359" s="881">
        <v>0</v>
      </c>
      <c r="M359" s="880">
        <v>0</v>
      </c>
      <c r="N359" s="881">
        <v>0</v>
      </c>
      <c r="O359" s="880" t="s">
        <v>3304</v>
      </c>
      <c r="P359" s="1126">
        <v>2018</v>
      </c>
      <c r="Q359" s="880">
        <v>0</v>
      </c>
      <c r="R359" s="880">
        <v>0</v>
      </c>
      <c r="S359" s="880">
        <v>0</v>
      </c>
      <c r="T359" s="880" t="s">
        <v>12</v>
      </c>
      <c r="U359" s="882"/>
      <c r="V359" s="880">
        <v>0</v>
      </c>
      <c r="W359" s="880">
        <v>0</v>
      </c>
      <c r="X359" s="969"/>
      <c r="Y359" s="884" t="str">
        <f t="shared" si="108"/>
        <v>04.13.01</v>
      </c>
      <c r="Z359" s="884" t="str">
        <f t="shared" si="109"/>
        <v>Jalan</v>
      </c>
      <c r="AA359" s="884">
        <f t="shared" si="110"/>
        <v>10</v>
      </c>
      <c r="AB359" s="868"/>
      <c r="AC359" s="885"/>
      <c r="AD359" s="868"/>
      <c r="AE359" s="868"/>
      <c r="AF359" s="868"/>
      <c r="AG359" s="868"/>
      <c r="AH359" s="868"/>
      <c r="AI359" s="886"/>
      <c r="AJ359" s="886"/>
      <c r="AK359" s="868">
        <f t="shared" si="131"/>
        <v>0</v>
      </c>
    </row>
    <row r="360" spans="1:37" s="998" customFormat="1" ht="35.25" customHeight="1" x14ac:dyDescent="0.15">
      <c r="A360" s="998">
        <v>295</v>
      </c>
      <c r="B360" s="998" t="str">
        <f t="shared" si="101"/>
        <v>SEI. PERUPUK - PULAU BAYUR</v>
      </c>
      <c r="D360" s="998" t="s">
        <v>4069</v>
      </c>
      <c r="E360" s="999" t="s">
        <v>4247</v>
      </c>
      <c r="F360" s="1000"/>
      <c r="G360" s="1010" t="s">
        <v>529</v>
      </c>
      <c r="H360" s="1011"/>
      <c r="I360" s="1001" t="s">
        <v>2494</v>
      </c>
      <c r="J360" s="1001">
        <v>0</v>
      </c>
      <c r="K360" s="1001" t="s">
        <v>8</v>
      </c>
      <c r="L360" s="1003" t="s">
        <v>685</v>
      </c>
      <c r="M360" s="1001">
        <v>7</v>
      </c>
      <c r="N360" s="1003">
        <v>31500</v>
      </c>
      <c r="O360" s="1001" t="s">
        <v>686</v>
      </c>
      <c r="P360" s="1168">
        <v>2001</v>
      </c>
      <c r="Q360" s="1001">
        <v>0</v>
      </c>
      <c r="R360" s="1001">
        <v>0</v>
      </c>
      <c r="S360" s="1001" t="s">
        <v>482</v>
      </c>
      <c r="T360" s="1001" t="s">
        <v>12</v>
      </c>
      <c r="U360" s="1002">
        <f>1215000000+H361+H362+H363</f>
        <v>10183195799.77</v>
      </c>
      <c r="V360" s="1001" t="s">
        <v>43</v>
      </c>
      <c r="W360" s="1001">
        <v>0</v>
      </c>
      <c r="X360" s="1004"/>
      <c r="Y360" s="1005" t="str">
        <f t="shared" si="108"/>
        <v>04.13.01</v>
      </c>
      <c r="Z360" s="1006" t="str">
        <f t="shared" si="109"/>
        <v>Jalan</v>
      </c>
      <c r="AA360" s="1006">
        <f t="shared" si="110"/>
        <v>10</v>
      </c>
      <c r="AB360" s="1007"/>
      <c r="AC360" s="1008">
        <f>IF(2013-P360&gt;AA360,10,IF(2013-P360&lt;0,0,2013-P360))</f>
        <v>10</v>
      </c>
      <c r="AD360" s="1007"/>
      <c r="AE360" s="1007"/>
      <c r="AF360" s="1007"/>
      <c r="AG360" s="1007"/>
      <c r="AH360" s="1007"/>
      <c r="AI360" s="1009">
        <f>PERHITUNGAN!U1805</f>
        <v>563423968.38928008</v>
      </c>
      <c r="AJ360" s="1009">
        <f>PERHITUNGAN!U1808</f>
        <v>7498470344.6557598</v>
      </c>
      <c r="AK360" s="1007">
        <f t="shared" si="131"/>
        <v>2684725455.1142406</v>
      </c>
    </row>
    <row r="361" spans="1:37" s="857" customFormat="1" ht="35.25" customHeight="1" x14ac:dyDescent="0.2">
      <c r="A361" s="857">
        <v>295</v>
      </c>
      <c r="B361" s="857" t="str">
        <f>VLOOKUP(A361,RUAS,2,FALSE)</f>
        <v>SEI. PERUPUK - PULAU BAYUR</v>
      </c>
      <c r="E361" s="884" t="str">
        <f>RIGHT(D361,1)</f>
        <v/>
      </c>
      <c r="F361" s="855"/>
      <c r="G361" s="878" t="s">
        <v>1199</v>
      </c>
      <c r="H361" s="879">
        <v>4984557066.1999998</v>
      </c>
      <c r="I361" s="861" t="s">
        <v>2494</v>
      </c>
      <c r="J361" s="871"/>
      <c r="K361" s="861"/>
      <c r="L361" s="856"/>
      <c r="M361" s="862"/>
      <c r="N361" s="856"/>
      <c r="O361" s="863" t="s">
        <v>3121</v>
      </c>
      <c r="P361" s="861">
        <v>2007</v>
      </c>
      <c r="Q361" s="862"/>
      <c r="R361" s="862"/>
      <c r="S361" s="862"/>
      <c r="T361" s="862" t="s">
        <v>12</v>
      </c>
      <c r="U361" s="899"/>
      <c r="V361" s="861" t="s">
        <v>43</v>
      </c>
      <c r="W361" s="865"/>
      <c r="X361" s="968"/>
      <c r="Y361" s="884" t="str">
        <f>LEFT(I361,8)</f>
        <v>04.13.01</v>
      </c>
      <c r="Z361" s="884" t="str">
        <f>VLOOKUP(Y361,UE,3,FALSE)</f>
        <v>Jalan</v>
      </c>
      <c r="AA361" s="884">
        <f>VLOOKUP(Y361,UE,4,FALSE)</f>
        <v>10</v>
      </c>
      <c r="AB361" s="868"/>
      <c r="AC361" s="885"/>
      <c r="AD361" s="868"/>
      <c r="AE361" s="868"/>
      <c r="AF361" s="868"/>
      <c r="AG361" s="868"/>
      <c r="AH361" s="868"/>
      <c r="AI361" s="886"/>
      <c r="AJ361" s="886"/>
      <c r="AK361" s="868">
        <f>U361-AJ361</f>
        <v>0</v>
      </c>
    </row>
    <row r="362" spans="1:37" s="857" customFormat="1" ht="35.25" customHeight="1" x14ac:dyDescent="0.15">
      <c r="A362" s="857">
        <v>295</v>
      </c>
      <c r="B362" s="857" t="str">
        <f t="shared" si="101"/>
        <v>SEI. PERUPUK - PULAU BAYUR</v>
      </c>
      <c r="D362" s="857" t="s">
        <v>4070</v>
      </c>
      <c r="E362" s="877" t="s">
        <v>4247</v>
      </c>
      <c r="F362" s="855"/>
      <c r="G362" s="878" t="s">
        <v>1371</v>
      </c>
      <c r="H362" s="879">
        <v>2038722656.2</v>
      </c>
      <c r="I362" s="880" t="s">
        <v>2494</v>
      </c>
      <c r="J362" s="880">
        <v>0</v>
      </c>
      <c r="K362" s="880">
        <v>0</v>
      </c>
      <c r="L362" s="881">
        <v>0</v>
      </c>
      <c r="M362" s="880">
        <v>0</v>
      </c>
      <c r="N362" s="881">
        <v>0</v>
      </c>
      <c r="O362" s="880" t="s">
        <v>3449</v>
      </c>
      <c r="P362" s="1126">
        <v>2015</v>
      </c>
      <c r="Q362" s="880">
        <v>0</v>
      </c>
      <c r="R362" s="880">
        <v>0</v>
      </c>
      <c r="S362" s="880">
        <v>0</v>
      </c>
      <c r="T362" s="880" t="s">
        <v>12</v>
      </c>
      <c r="U362" s="882"/>
      <c r="V362" s="880">
        <v>0</v>
      </c>
      <c r="W362" s="880">
        <v>0</v>
      </c>
      <c r="X362" s="969"/>
      <c r="Y362" s="883" t="str">
        <f t="shared" si="108"/>
        <v>04.13.01</v>
      </c>
      <c r="Z362" s="884" t="str">
        <f t="shared" si="109"/>
        <v>Jalan</v>
      </c>
      <c r="AA362" s="884">
        <f t="shared" si="110"/>
        <v>10</v>
      </c>
      <c r="AB362" s="868"/>
      <c r="AC362" s="885">
        <f t="shared" ref="AC362:AC367" si="132">IF(2013-P362&gt;AA362,10,IF(2013-P362&lt;0,0,2013-P362))</f>
        <v>0</v>
      </c>
      <c r="AD362" s="868"/>
      <c r="AE362" s="868"/>
      <c r="AF362" s="868"/>
      <c r="AG362" s="868"/>
      <c r="AH362" s="868"/>
      <c r="AI362" s="886"/>
      <c r="AJ362" s="886"/>
      <c r="AK362" s="868">
        <f t="shared" si="131"/>
        <v>0</v>
      </c>
    </row>
    <row r="363" spans="1:37" s="857" customFormat="1" ht="35.25" customHeight="1" x14ac:dyDescent="0.15">
      <c r="A363" s="857">
        <v>295</v>
      </c>
      <c r="B363" s="857" t="str">
        <f t="shared" si="101"/>
        <v>SEI. PERUPUK - PULAU BAYUR</v>
      </c>
      <c r="D363" s="857" t="s">
        <v>4071</v>
      </c>
      <c r="E363" s="877" t="s">
        <v>4247</v>
      </c>
      <c r="F363" s="855"/>
      <c r="G363" s="878" t="s">
        <v>1460</v>
      </c>
      <c r="H363" s="879">
        <v>1944916077.3699999</v>
      </c>
      <c r="I363" s="880" t="s">
        <v>2494</v>
      </c>
      <c r="J363" s="880">
        <v>0</v>
      </c>
      <c r="K363" s="880">
        <v>0</v>
      </c>
      <c r="L363" s="881">
        <v>0</v>
      </c>
      <c r="M363" s="880">
        <v>0</v>
      </c>
      <c r="N363" s="881">
        <v>0</v>
      </c>
      <c r="O363" s="880" t="s">
        <v>3449</v>
      </c>
      <c r="P363" s="1126">
        <v>2016</v>
      </c>
      <c r="Q363" s="880">
        <v>0</v>
      </c>
      <c r="R363" s="880">
        <v>0</v>
      </c>
      <c r="S363" s="880">
        <v>0</v>
      </c>
      <c r="T363" s="880" t="s">
        <v>12</v>
      </c>
      <c r="U363" s="882"/>
      <c r="V363" s="880">
        <v>0</v>
      </c>
      <c r="W363" s="880">
        <v>0</v>
      </c>
      <c r="X363" s="969"/>
      <c r="Y363" s="883" t="str">
        <f t="shared" si="108"/>
        <v>04.13.01</v>
      </c>
      <c r="Z363" s="884" t="str">
        <f t="shared" si="109"/>
        <v>Jalan</v>
      </c>
      <c r="AA363" s="884">
        <f t="shared" si="110"/>
        <v>10</v>
      </c>
      <c r="AB363" s="868"/>
      <c r="AC363" s="885">
        <f t="shared" si="132"/>
        <v>0</v>
      </c>
      <c r="AD363" s="868"/>
      <c r="AE363" s="868"/>
      <c r="AF363" s="868"/>
      <c r="AG363" s="868"/>
      <c r="AH363" s="868"/>
      <c r="AI363" s="886"/>
      <c r="AJ363" s="886"/>
      <c r="AK363" s="868">
        <f t="shared" si="131"/>
        <v>0</v>
      </c>
    </row>
    <row r="364" spans="1:37" s="998" customFormat="1" ht="35.25" customHeight="1" x14ac:dyDescent="0.15">
      <c r="A364" s="998">
        <v>296</v>
      </c>
      <c r="B364" s="998" t="str">
        <f t="shared" si="101"/>
        <v>INUMAN - PULAU BUSUK</v>
      </c>
      <c r="D364" s="998" t="s">
        <v>4072</v>
      </c>
      <c r="E364" s="999" t="s">
        <v>4247</v>
      </c>
      <c r="F364" s="1000"/>
      <c r="G364" s="1010" t="s">
        <v>529</v>
      </c>
      <c r="H364" s="1011"/>
      <c r="I364" s="1001" t="s">
        <v>2494</v>
      </c>
      <c r="J364" s="1001">
        <v>0</v>
      </c>
      <c r="K364" s="1001" t="s">
        <v>484</v>
      </c>
      <c r="L364" s="1003">
        <v>3300</v>
      </c>
      <c r="M364" s="1001">
        <v>0</v>
      </c>
      <c r="N364" s="1003">
        <v>0</v>
      </c>
      <c r="O364" s="1001" t="s">
        <v>3081</v>
      </c>
      <c r="P364" s="1168">
        <v>2001</v>
      </c>
      <c r="Q364" s="1001">
        <v>0</v>
      </c>
      <c r="R364" s="1001">
        <v>0</v>
      </c>
      <c r="S364" s="1001" t="s">
        <v>482</v>
      </c>
      <c r="T364" s="1001" t="s">
        <v>12</v>
      </c>
      <c r="U364" s="1002">
        <f>1108800000+H365+H366+H367</f>
        <v>5484259682</v>
      </c>
      <c r="V364" s="1001" t="s">
        <v>43</v>
      </c>
      <c r="W364" s="1001">
        <v>0</v>
      </c>
      <c r="X364" s="1004"/>
      <c r="Y364" s="1005" t="str">
        <f t="shared" si="108"/>
        <v>04.13.01</v>
      </c>
      <c r="Z364" s="1006" t="str">
        <f t="shared" si="109"/>
        <v>Jalan</v>
      </c>
      <c r="AA364" s="1006">
        <f t="shared" si="110"/>
        <v>10</v>
      </c>
      <c r="AB364" s="1007"/>
      <c r="AC364" s="1008">
        <f t="shared" si="132"/>
        <v>10</v>
      </c>
      <c r="AD364" s="1007"/>
      <c r="AE364" s="1007"/>
      <c r="AF364" s="1007"/>
      <c r="AG364" s="1007"/>
      <c r="AH364" s="1007"/>
      <c r="AI364" s="1009">
        <f>PERHITUNGAN!U1824</f>
        <v>378968653.49599999</v>
      </c>
      <c r="AJ364" s="1009">
        <f>PERHITUNGAN!U1828</f>
        <v>2452510454.0320001</v>
      </c>
      <c r="AK364" s="1007">
        <f t="shared" si="131"/>
        <v>3031749227.9679999</v>
      </c>
    </row>
    <row r="365" spans="1:37" s="857" customFormat="1" ht="35.25" customHeight="1" x14ac:dyDescent="0.15">
      <c r="A365" s="857">
        <v>296</v>
      </c>
      <c r="B365" s="857" t="str">
        <f t="shared" si="101"/>
        <v>INUMAN - PULAU BUSUK</v>
      </c>
      <c r="D365" s="857" t="s">
        <v>4073</v>
      </c>
      <c r="E365" s="877" t="s">
        <v>4247</v>
      </c>
      <c r="F365" s="855"/>
      <c r="G365" s="878" t="s">
        <v>1369</v>
      </c>
      <c r="H365" s="879">
        <v>2025740168</v>
      </c>
      <c r="I365" s="880" t="s">
        <v>2494</v>
      </c>
      <c r="J365" s="880">
        <v>0</v>
      </c>
      <c r="K365" s="880">
        <v>0</v>
      </c>
      <c r="L365" s="881">
        <v>0</v>
      </c>
      <c r="M365" s="880">
        <v>0</v>
      </c>
      <c r="N365" s="881">
        <v>0</v>
      </c>
      <c r="O365" s="880" t="s">
        <v>3081</v>
      </c>
      <c r="P365" s="1126">
        <v>2015</v>
      </c>
      <c r="Q365" s="880">
        <v>0</v>
      </c>
      <c r="R365" s="880">
        <v>0</v>
      </c>
      <c r="S365" s="880">
        <v>0</v>
      </c>
      <c r="T365" s="880" t="s">
        <v>12</v>
      </c>
      <c r="U365" s="882"/>
      <c r="V365" s="880">
        <v>0</v>
      </c>
      <c r="W365" s="880">
        <v>0</v>
      </c>
      <c r="X365" s="969"/>
      <c r="Y365" s="883" t="str">
        <f t="shared" si="108"/>
        <v>04.13.01</v>
      </c>
      <c r="Z365" s="884" t="str">
        <f t="shared" si="109"/>
        <v>Jalan</v>
      </c>
      <c r="AA365" s="884">
        <f t="shared" si="110"/>
        <v>10</v>
      </c>
      <c r="AB365" s="868"/>
      <c r="AC365" s="885">
        <f t="shared" si="132"/>
        <v>0</v>
      </c>
      <c r="AD365" s="868"/>
      <c r="AE365" s="868"/>
      <c r="AF365" s="868"/>
      <c r="AG365" s="868"/>
      <c r="AH365" s="868"/>
      <c r="AI365" s="886"/>
      <c r="AJ365" s="886"/>
      <c r="AK365" s="868">
        <f t="shared" si="131"/>
        <v>0</v>
      </c>
    </row>
    <row r="366" spans="1:37" s="857" customFormat="1" ht="35.25" customHeight="1" x14ac:dyDescent="0.15">
      <c r="A366" s="857">
        <v>296</v>
      </c>
      <c r="B366" s="857" t="str">
        <f t="shared" si="101"/>
        <v>INUMAN - PULAU BUSUK</v>
      </c>
      <c r="D366" s="857" t="s">
        <v>4074</v>
      </c>
      <c r="E366" s="877" t="s">
        <v>4247</v>
      </c>
      <c r="F366" s="855"/>
      <c r="G366" s="878" t="s">
        <v>2495</v>
      </c>
      <c r="H366" s="879">
        <v>185659000</v>
      </c>
      <c r="I366" s="880" t="s">
        <v>2494</v>
      </c>
      <c r="J366" s="880">
        <v>0</v>
      </c>
      <c r="K366" s="880">
        <v>0</v>
      </c>
      <c r="L366" s="881">
        <v>0</v>
      </c>
      <c r="M366" s="880">
        <v>0</v>
      </c>
      <c r="N366" s="881">
        <v>0</v>
      </c>
      <c r="O366" s="880" t="s">
        <v>2557</v>
      </c>
      <c r="P366" s="1126">
        <v>2017</v>
      </c>
      <c r="Q366" s="880">
        <v>0</v>
      </c>
      <c r="R366" s="880">
        <v>0</v>
      </c>
      <c r="S366" s="880">
        <v>0</v>
      </c>
      <c r="T366" s="880" t="s">
        <v>12</v>
      </c>
      <c r="U366" s="882"/>
      <c r="V366" s="880">
        <v>0</v>
      </c>
      <c r="W366" s="880">
        <v>0</v>
      </c>
      <c r="X366" s="969"/>
      <c r="Y366" s="883" t="str">
        <f t="shared" si="108"/>
        <v>04.13.01</v>
      </c>
      <c r="Z366" s="884" t="str">
        <f t="shared" si="109"/>
        <v>Jalan</v>
      </c>
      <c r="AA366" s="884">
        <f t="shared" si="110"/>
        <v>10</v>
      </c>
      <c r="AB366" s="868"/>
      <c r="AC366" s="885">
        <f t="shared" si="132"/>
        <v>0</v>
      </c>
      <c r="AD366" s="868"/>
      <c r="AE366" s="868"/>
      <c r="AF366" s="868"/>
      <c r="AG366" s="868"/>
      <c r="AH366" s="868"/>
      <c r="AI366" s="886"/>
      <c r="AJ366" s="886"/>
      <c r="AK366" s="868">
        <f t="shared" si="131"/>
        <v>0</v>
      </c>
    </row>
    <row r="367" spans="1:37" s="857" customFormat="1" ht="35.25" customHeight="1" x14ac:dyDescent="0.15">
      <c r="A367" s="857">
        <v>296</v>
      </c>
      <c r="B367" s="857" t="str">
        <f t="shared" si="101"/>
        <v>INUMAN - PULAU BUSUK</v>
      </c>
      <c r="D367" s="857" t="s">
        <v>4106</v>
      </c>
      <c r="E367" s="877" t="s">
        <v>4247</v>
      </c>
      <c r="F367" s="855"/>
      <c r="G367" s="878" t="s">
        <v>3320</v>
      </c>
      <c r="H367" s="879">
        <v>2164060514</v>
      </c>
      <c r="I367" s="880" t="s">
        <v>2494</v>
      </c>
      <c r="J367" s="880">
        <v>0</v>
      </c>
      <c r="K367" s="880">
        <v>0</v>
      </c>
      <c r="L367" s="881">
        <v>0</v>
      </c>
      <c r="M367" s="880">
        <v>0</v>
      </c>
      <c r="N367" s="881">
        <v>0</v>
      </c>
      <c r="O367" s="880" t="s">
        <v>3081</v>
      </c>
      <c r="P367" s="1126">
        <v>2018</v>
      </c>
      <c r="Q367" s="880">
        <v>0</v>
      </c>
      <c r="R367" s="880">
        <v>0</v>
      </c>
      <c r="S367" s="880">
        <v>0</v>
      </c>
      <c r="T367" s="880" t="s">
        <v>12</v>
      </c>
      <c r="U367" s="882"/>
      <c r="V367" s="880">
        <v>0</v>
      </c>
      <c r="W367" s="880">
        <v>0</v>
      </c>
      <c r="X367" s="969"/>
      <c r="Y367" s="883" t="str">
        <f t="shared" si="108"/>
        <v>04.13.01</v>
      </c>
      <c r="Z367" s="884" t="str">
        <f t="shared" si="109"/>
        <v>Jalan</v>
      </c>
      <c r="AA367" s="884">
        <f t="shared" si="110"/>
        <v>10</v>
      </c>
      <c r="AB367" s="868"/>
      <c r="AC367" s="885">
        <f t="shared" si="132"/>
        <v>0</v>
      </c>
      <c r="AD367" s="868"/>
      <c r="AE367" s="868"/>
      <c r="AF367" s="868"/>
      <c r="AG367" s="868"/>
      <c r="AH367" s="868"/>
      <c r="AI367" s="886"/>
      <c r="AJ367" s="886"/>
      <c r="AK367" s="868"/>
    </row>
    <row r="368" spans="1:37" s="857" customFormat="1" ht="35.25" customHeight="1" x14ac:dyDescent="0.2">
      <c r="A368" s="857">
        <v>298</v>
      </c>
      <c r="B368" s="857" t="str">
        <f t="shared" si="101"/>
        <v>INUMAN - PULAU KIJANG</v>
      </c>
      <c r="D368" s="857" t="s">
        <v>4075</v>
      </c>
      <c r="E368" s="884" t="str">
        <f>RIGHT(D368,1)</f>
        <v>1</v>
      </c>
      <c r="F368" s="855"/>
      <c r="G368" s="878" t="s">
        <v>696</v>
      </c>
      <c r="H368" s="879"/>
      <c r="I368" s="880" t="s">
        <v>3821</v>
      </c>
      <c r="J368" s="880">
        <v>0</v>
      </c>
      <c r="K368" s="880" t="s">
        <v>484</v>
      </c>
      <c r="L368" s="881" t="s">
        <v>699</v>
      </c>
      <c r="M368" s="880">
        <v>7</v>
      </c>
      <c r="N368" s="881">
        <v>12600</v>
      </c>
      <c r="O368" s="880" t="s">
        <v>700</v>
      </c>
      <c r="P368" s="1126">
        <v>2001</v>
      </c>
      <c r="Q368" s="880">
        <v>0</v>
      </c>
      <c r="R368" s="880">
        <v>0</v>
      </c>
      <c r="S368" s="880" t="s">
        <v>482</v>
      </c>
      <c r="T368" s="880" t="s">
        <v>12</v>
      </c>
      <c r="U368" s="882">
        <v>1323000000</v>
      </c>
      <c r="V368" s="880" t="s">
        <v>43</v>
      </c>
      <c r="W368" s="880">
        <v>0</v>
      </c>
      <c r="X368" s="969"/>
      <c r="Y368" s="884" t="str">
        <f t="shared" si="108"/>
        <v>04.13.01</v>
      </c>
      <c r="Z368" s="884" t="str">
        <f t="shared" si="109"/>
        <v>Jalan</v>
      </c>
      <c r="AA368" s="884">
        <f t="shared" si="110"/>
        <v>10</v>
      </c>
      <c r="AB368" s="868">
        <f>U368/AA368</f>
        <v>132300000</v>
      </c>
      <c r="AC368" s="885">
        <f>IF(2013-P368+1&gt;AA368,AA368,IF(2013-P368+1&lt;0,0,2013-P368+1))</f>
        <v>10</v>
      </c>
      <c r="AD368" s="868">
        <f>IF(AC368&gt;AA368,U368,AB368*AC368)</f>
        <v>1323000000</v>
      </c>
      <c r="AE368" s="868">
        <f>IF(U368=AD368,0,AB368)</f>
        <v>0</v>
      </c>
      <c r="AF368" s="868">
        <f>IF(U368=AD368+AE368,0,AB368)</f>
        <v>0</v>
      </c>
      <c r="AG368" s="868">
        <f>IF(U368=AD368+AE368+AF368,0,AB368)</f>
        <v>0</v>
      </c>
      <c r="AH368" s="868">
        <f>IF(U368=AE368+AF368+AG368+AD368,0,AB368)</f>
        <v>0</v>
      </c>
      <c r="AI368" s="886">
        <f>IF(U368=AE368+AF368+AG368+AD368+AH368,0,AB368)</f>
        <v>0</v>
      </c>
      <c r="AJ368" s="886">
        <f>SUM(AD368:AI368)</f>
        <v>1323000000</v>
      </c>
      <c r="AK368" s="868">
        <f t="shared" ref="AK368:AK396" si="133">U368-AJ368</f>
        <v>0</v>
      </c>
    </row>
    <row r="369" spans="1:37" s="857" customFormat="1" ht="35.25" customHeight="1" x14ac:dyDescent="0.2">
      <c r="A369" s="857">
        <v>299</v>
      </c>
      <c r="B369" s="857" t="str">
        <f t="shared" si="101"/>
        <v>BANJAR NAN TIGO - PASAR INUMAN</v>
      </c>
      <c r="D369" s="857" t="s">
        <v>4076</v>
      </c>
      <c r="E369" s="884" t="str">
        <f>RIGHT(D369,1)</f>
        <v>1</v>
      </c>
      <c r="F369" s="855"/>
      <c r="G369" s="878" t="s">
        <v>529</v>
      </c>
      <c r="H369" s="879"/>
      <c r="I369" s="880" t="s">
        <v>2494</v>
      </c>
      <c r="J369" s="880">
        <v>0</v>
      </c>
      <c r="K369" s="880" t="s">
        <v>484</v>
      </c>
      <c r="L369" s="881" t="s">
        <v>508</v>
      </c>
      <c r="M369" s="880">
        <v>7</v>
      </c>
      <c r="N369" s="881">
        <v>9100</v>
      </c>
      <c r="O369" s="880" t="s">
        <v>629</v>
      </c>
      <c r="P369" s="1126">
        <v>2001</v>
      </c>
      <c r="Q369" s="880">
        <v>0</v>
      </c>
      <c r="R369" s="880">
        <v>0</v>
      </c>
      <c r="S369" s="880" t="s">
        <v>482</v>
      </c>
      <c r="T369" s="880" t="s">
        <v>12</v>
      </c>
      <c r="U369" s="882">
        <v>980850000</v>
      </c>
      <c r="V369" s="880" t="s">
        <v>43</v>
      </c>
      <c r="W369" s="880">
        <v>0</v>
      </c>
      <c r="X369" s="969"/>
      <c r="Y369" s="884" t="str">
        <f t="shared" si="108"/>
        <v>04.13.01</v>
      </c>
      <c r="Z369" s="884" t="str">
        <f t="shared" si="109"/>
        <v>Jalan</v>
      </c>
      <c r="AA369" s="884">
        <f t="shared" si="110"/>
        <v>10</v>
      </c>
      <c r="AB369" s="868">
        <f>U369/AA369</f>
        <v>98085000</v>
      </c>
      <c r="AC369" s="885">
        <f>IF(2013-P369+1&gt;AA369,AA369,IF(2013-P369+1&lt;0,0,2013-P369+1))</f>
        <v>10</v>
      </c>
      <c r="AD369" s="868">
        <f>IF(AC369&gt;AA369,U369,AB369*AC369)</f>
        <v>980850000</v>
      </c>
      <c r="AE369" s="868">
        <f>IF(U369=AD369,0,AB369)</f>
        <v>0</v>
      </c>
      <c r="AF369" s="868">
        <f>IF(U369=AD369+AE369,0,AB369)</f>
        <v>0</v>
      </c>
      <c r="AG369" s="868">
        <f>IF(U369=AD369+AE369+AF369,0,AB369)</f>
        <v>0</v>
      </c>
      <c r="AH369" s="868">
        <f>IF(U369=AE369+AF369+AG369+AD369,0,AB369)</f>
        <v>0</v>
      </c>
      <c r="AI369" s="886">
        <f>IF(U369=AE369+AF369+AG369+AD369+AH369,0,AB369)</f>
        <v>0</v>
      </c>
      <c r="AJ369" s="886">
        <f>SUM(AD369:AI369)</f>
        <v>980850000</v>
      </c>
      <c r="AK369" s="868">
        <f t="shared" si="133"/>
        <v>0</v>
      </c>
    </row>
    <row r="370" spans="1:37" s="857" customFormat="1" ht="35.25" customHeight="1" x14ac:dyDescent="0.2">
      <c r="A370" s="857">
        <v>301</v>
      </c>
      <c r="B370" s="857" t="str">
        <f t="shared" si="101"/>
        <v>INUMAN - BEDENG</v>
      </c>
      <c r="D370" s="857" t="s">
        <v>4077</v>
      </c>
      <c r="E370" s="884" t="str">
        <f>RIGHT(D370,1)</f>
        <v>1</v>
      </c>
      <c r="F370" s="855"/>
      <c r="G370" s="878" t="s">
        <v>529</v>
      </c>
      <c r="H370" s="879"/>
      <c r="I370" s="880" t="s">
        <v>2494</v>
      </c>
      <c r="J370" s="880">
        <v>0</v>
      </c>
      <c r="K370" s="880" t="s">
        <v>8</v>
      </c>
      <c r="L370" s="881" t="s">
        <v>488</v>
      </c>
      <c r="M370" s="880">
        <v>0</v>
      </c>
      <c r="N370" s="881">
        <v>0</v>
      </c>
      <c r="O370" s="880" t="s">
        <v>630</v>
      </c>
      <c r="P370" s="1126">
        <v>2001</v>
      </c>
      <c r="Q370" s="880">
        <v>0</v>
      </c>
      <c r="R370" s="880">
        <v>0</v>
      </c>
      <c r="S370" s="880" t="s">
        <v>482</v>
      </c>
      <c r="T370" s="880" t="s">
        <v>12</v>
      </c>
      <c r="U370" s="882">
        <v>506250000</v>
      </c>
      <c r="V370" s="880" t="s">
        <v>135</v>
      </c>
      <c r="W370" s="880">
        <v>0</v>
      </c>
      <c r="X370" s="969"/>
      <c r="Y370" s="884" t="str">
        <f t="shared" si="108"/>
        <v>04.13.01</v>
      </c>
      <c r="Z370" s="884" t="str">
        <f t="shared" si="109"/>
        <v>Jalan</v>
      </c>
      <c r="AA370" s="884">
        <f t="shared" si="110"/>
        <v>10</v>
      </c>
      <c r="AB370" s="868">
        <f>U370/AA370</f>
        <v>50625000</v>
      </c>
      <c r="AC370" s="885">
        <f>IF(2013-P370+1&gt;AA370,AA370,IF(2013-P370+1&lt;0,0,2013-P370+1))</f>
        <v>10</v>
      </c>
      <c r="AD370" s="868">
        <f>IF(AC370&gt;AA370,U370,AB370*AC370)</f>
        <v>506250000</v>
      </c>
      <c r="AE370" s="868">
        <f>IF(U370=AD370,0,AB370)</f>
        <v>0</v>
      </c>
      <c r="AF370" s="868">
        <f>IF(U370=AD370+AE370,0,AB370)</f>
        <v>0</v>
      </c>
      <c r="AG370" s="868">
        <f>IF(U370=AD370+AE370+AF370,0,AB370)</f>
        <v>0</v>
      </c>
      <c r="AH370" s="868">
        <f>IF(U370=AE370+AF370+AG370+AD370,0,AB370)</f>
        <v>0</v>
      </c>
      <c r="AI370" s="886">
        <f>IF(U370=AE370+AF370+AG370+AD370+AH370,0,AB370)</f>
        <v>0</v>
      </c>
      <c r="AJ370" s="886">
        <f>SUM(AD370:AI370)</f>
        <v>506250000</v>
      </c>
      <c r="AK370" s="868">
        <f t="shared" si="133"/>
        <v>0</v>
      </c>
    </row>
    <row r="371" spans="1:37" s="998" customFormat="1" ht="35.25" customHeight="1" x14ac:dyDescent="0.15">
      <c r="A371" s="998">
        <v>302</v>
      </c>
      <c r="B371" s="998" t="str">
        <f t="shared" ref="B371:B450" si="134">VLOOKUP(A371,RUAS,2,FALSE)</f>
        <v>PULAU BUSUK - KOTO INUMAN</v>
      </c>
      <c r="D371" s="998" t="s">
        <v>4078</v>
      </c>
      <c r="E371" s="999" t="s">
        <v>4247</v>
      </c>
      <c r="F371" s="1000"/>
      <c r="G371" s="1010" t="s">
        <v>696</v>
      </c>
      <c r="H371" s="1011"/>
      <c r="I371" s="1001" t="s">
        <v>3821</v>
      </c>
      <c r="J371" s="1001">
        <v>0</v>
      </c>
      <c r="K371" s="1001" t="s">
        <v>484</v>
      </c>
      <c r="L371" s="1003">
        <v>4000</v>
      </c>
      <c r="M371" s="1001">
        <v>7</v>
      </c>
      <c r="N371" s="1003">
        <v>28000</v>
      </c>
      <c r="O371" s="1001" t="s">
        <v>702</v>
      </c>
      <c r="P371" s="1168">
        <v>2001</v>
      </c>
      <c r="Q371" s="1001">
        <v>0</v>
      </c>
      <c r="R371" s="1001">
        <v>0</v>
      </c>
      <c r="S371" s="1001" t="s">
        <v>482</v>
      </c>
      <c r="T371" s="1001" t="s">
        <v>12</v>
      </c>
      <c r="U371" s="1002">
        <f>1440000000+H372+H373+H374</f>
        <v>8738056735.7903404</v>
      </c>
      <c r="V371" s="1001" t="s">
        <v>43</v>
      </c>
      <c r="W371" s="1001">
        <v>0</v>
      </c>
      <c r="X371" s="1004"/>
      <c r="Y371" s="1005" t="str">
        <f t="shared" si="108"/>
        <v>04.13.01</v>
      </c>
      <c r="Z371" s="1006" t="str">
        <f t="shared" si="109"/>
        <v>Jalan</v>
      </c>
      <c r="AA371" s="1006">
        <f t="shared" si="110"/>
        <v>10</v>
      </c>
      <c r="AB371" s="1007"/>
      <c r="AC371" s="1008">
        <f>IF(2013-P371&gt;AA371,10,IF(2013-P371&lt;0,0,2013-P371))</f>
        <v>10</v>
      </c>
      <c r="AD371" s="1007"/>
      <c r="AE371" s="1007"/>
      <c r="AF371" s="1007"/>
      <c r="AG371" s="1007"/>
      <c r="AH371" s="1007"/>
      <c r="AI371" s="1009">
        <f>PERHITUNGAN!U1849</f>
        <v>531770318.50588608</v>
      </c>
      <c r="AJ371" s="1009">
        <f>PERHITUNGAN!U1852</f>
        <v>5547434824.755024</v>
      </c>
      <c r="AK371" s="1007">
        <f t="shared" si="133"/>
        <v>3190621911.0353165</v>
      </c>
    </row>
    <row r="372" spans="1:37" s="857" customFormat="1" ht="35.25" customHeight="1" x14ac:dyDescent="0.15">
      <c r="A372" s="857">
        <v>302</v>
      </c>
      <c r="B372" s="857" t="str">
        <f t="shared" si="134"/>
        <v>PULAU BUSUK - KOTO INUMAN</v>
      </c>
      <c r="D372" s="857" t="s">
        <v>4079</v>
      </c>
      <c r="E372" s="877" t="s">
        <v>4247</v>
      </c>
      <c r="F372" s="855"/>
      <c r="G372" s="878" t="s">
        <v>1163</v>
      </c>
      <c r="H372" s="879">
        <v>2013774833.48155</v>
      </c>
      <c r="I372" s="880" t="s">
        <v>2494</v>
      </c>
      <c r="J372" s="880">
        <v>0</v>
      </c>
      <c r="K372" s="880" t="s">
        <v>519</v>
      </c>
      <c r="L372" s="881">
        <v>0</v>
      </c>
      <c r="M372" s="880">
        <v>0</v>
      </c>
      <c r="N372" s="881">
        <v>1000</v>
      </c>
      <c r="O372" s="880" t="s">
        <v>3099</v>
      </c>
      <c r="P372" s="1126">
        <v>2007</v>
      </c>
      <c r="Q372" s="880">
        <v>0</v>
      </c>
      <c r="R372" s="880">
        <v>0</v>
      </c>
      <c r="S372" s="880">
        <v>0</v>
      </c>
      <c r="T372" s="880" t="s">
        <v>12</v>
      </c>
      <c r="U372" s="882"/>
      <c r="V372" s="880" t="s">
        <v>43</v>
      </c>
      <c r="W372" s="880">
        <v>0</v>
      </c>
      <c r="X372" s="969"/>
      <c r="Y372" s="883" t="str">
        <f t="shared" si="108"/>
        <v>04.13.01</v>
      </c>
      <c r="Z372" s="884" t="str">
        <f t="shared" si="109"/>
        <v>Jalan</v>
      </c>
      <c r="AA372" s="884">
        <f t="shared" si="110"/>
        <v>10</v>
      </c>
      <c r="AB372" s="868"/>
      <c r="AC372" s="885">
        <f>IF(2013-P372&gt;AA372,10,IF(2013-P372&lt;0,0,2013-P372))</f>
        <v>6</v>
      </c>
      <c r="AD372" s="868"/>
      <c r="AE372" s="868"/>
      <c r="AF372" s="868"/>
      <c r="AG372" s="868"/>
      <c r="AH372" s="868"/>
      <c r="AI372" s="886"/>
      <c r="AJ372" s="886"/>
      <c r="AK372" s="868">
        <f t="shared" si="133"/>
        <v>0</v>
      </c>
    </row>
    <row r="373" spans="1:37" s="857" customFormat="1" ht="35.25" customHeight="1" x14ac:dyDescent="0.15">
      <c r="A373" s="857">
        <v>302</v>
      </c>
      <c r="B373" s="857" t="str">
        <f t="shared" si="134"/>
        <v>PULAU BUSUK - KOTO INUMAN</v>
      </c>
      <c r="D373" s="857" t="s">
        <v>4080</v>
      </c>
      <c r="E373" s="877" t="s">
        <v>4247</v>
      </c>
      <c r="F373" s="855"/>
      <c r="G373" s="878" t="s">
        <v>1218</v>
      </c>
      <c r="H373" s="879">
        <v>1487022334.5887914</v>
      </c>
      <c r="I373" s="880" t="s">
        <v>2494</v>
      </c>
      <c r="J373" s="880">
        <v>0</v>
      </c>
      <c r="K373" s="880" t="s">
        <v>519</v>
      </c>
      <c r="L373" s="881">
        <v>0</v>
      </c>
      <c r="M373" s="880">
        <v>0</v>
      </c>
      <c r="N373" s="881">
        <v>1150</v>
      </c>
      <c r="O373" s="880" t="s">
        <v>3099</v>
      </c>
      <c r="P373" s="1126">
        <v>2011</v>
      </c>
      <c r="Q373" s="880">
        <v>0</v>
      </c>
      <c r="R373" s="880">
        <v>0</v>
      </c>
      <c r="S373" s="880">
        <v>0</v>
      </c>
      <c r="T373" s="880" t="s">
        <v>12</v>
      </c>
      <c r="U373" s="882"/>
      <c r="V373" s="880" t="s">
        <v>43</v>
      </c>
      <c r="W373" s="880">
        <v>0</v>
      </c>
      <c r="X373" s="969"/>
      <c r="Y373" s="883" t="str">
        <f t="shared" si="108"/>
        <v>04.13.01</v>
      </c>
      <c r="Z373" s="884" t="str">
        <f t="shared" si="109"/>
        <v>Jalan</v>
      </c>
      <c r="AA373" s="884">
        <f t="shared" si="110"/>
        <v>10</v>
      </c>
      <c r="AB373" s="868"/>
      <c r="AC373" s="885">
        <f>IF(2013-P373&gt;AA373,10,IF(2013-P373&lt;0,0,2013-P373))</f>
        <v>2</v>
      </c>
      <c r="AD373" s="868"/>
      <c r="AE373" s="868"/>
      <c r="AF373" s="868"/>
      <c r="AG373" s="868"/>
      <c r="AH373" s="868"/>
      <c r="AI373" s="886"/>
      <c r="AJ373" s="886"/>
      <c r="AK373" s="868">
        <f t="shared" si="133"/>
        <v>0</v>
      </c>
    </row>
    <row r="374" spans="1:37" s="857" customFormat="1" ht="35.25" customHeight="1" x14ac:dyDescent="0.15">
      <c r="A374" s="857">
        <v>302</v>
      </c>
      <c r="B374" s="857" t="str">
        <f t="shared" si="134"/>
        <v>PULAU BUSUK - KOTO INUMAN</v>
      </c>
      <c r="D374" s="857" t="s">
        <v>4081</v>
      </c>
      <c r="E374" s="877" t="s">
        <v>4247</v>
      </c>
      <c r="F374" s="855"/>
      <c r="G374" s="878" t="s">
        <v>1453</v>
      </c>
      <c r="H374" s="879">
        <v>3797259567.7199998</v>
      </c>
      <c r="I374" s="880" t="s">
        <v>2494</v>
      </c>
      <c r="J374" s="880">
        <v>0</v>
      </c>
      <c r="K374" s="880">
        <v>0</v>
      </c>
      <c r="L374" s="881">
        <v>0</v>
      </c>
      <c r="M374" s="880">
        <v>0</v>
      </c>
      <c r="N374" s="881">
        <v>0</v>
      </c>
      <c r="O374" s="880" t="s">
        <v>3099</v>
      </c>
      <c r="P374" s="1126">
        <v>2016</v>
      </c>
      <c r="Q374" s="880">
        <v>0</v>
      </c>
      <c r="R374" s="880">
        <v>0</v>
      </c>
      <c r="S374" s="880">
        <v>0</v>
      </c>
      <c r="T374" s="880" t="s">
        <v>12</v>
      </c>
      <c r="U374" s="882"/>
      <c r="V374" s="880">
        <v>0</v>
      </c>
      <c r="W374" s="880">
        <v>0</v>
      </c>
      <c r="X374" s="969"/>
      <c r="Y374" s="883" t="str">
        <f t="shared" si="108"/>
        <v>04.13.01</v>
      </c>
      <c r="Z374" s="884" t="str">
        <f t="shared" si="109"/>
        <v>Jalan</v>
      </c>
      <c r="AA374" s="884">
        <f t="shared" si="110"/>
        <v>10</v>
      </c>
      <c r="AB374" s="868"/>
      <c r="AC374" s="885">
        <f>IF(2013-P374&gt;AA374,10,IF(2013-P374&lt;0,0,2013-P374))</f>
        <v>0</v>
      </c>
      <c r="AD374" s="868"/>
      <c r="AE374" s="868"/>
      <c r="AF374" s="868"/>
      <c r="AG374" s="868"/>
      <c r="AH374" s="868"/>
      <c r="AI374" s="886"/>
      <c r="AJ374" s="886"/>
      <c r="AK374" s="868">
        <f t="shared" si="133"/>
        <v>0</v>
      </c>
    </row>
    <row r="375" spans="1:37" s="857" customFormat="1" ht="35.25" customHeight="1" x14ac:dyDescent="0.2">
      <c r="A375" s="857">
        <v>303</v>
      </c>
      <c r="B375" s="857" t="str">
        <f>VLOOKUP(A375,RUAS,2,FALSE)</f>
        <v>JL. LINGKAR KOTO INUMAN</v>
      </c>
      <c r="E375" s="884" t="str">
        <f>RIGHT(D375,1)</f>
        <v/>
      </c>
      <c r="F375" s="855"/>
      <c r="G375" s="878" t="s">
        <v>1143</v>
      </c>
      <c r="H375" s="879"/>
      <c r="I375" s="880" t="s">
        <v>3821</v>
      </c>
      <c r="J375" s="880"/>
      <c r="K375" s="880" t="s">
        <v>8</v>
      </c>
      <c r="L375" s="881" t="s">
        <v>602</v>
      </c>
      <c r="M375" s="880"/>
      <c r="N375" s="881"/>
      <c r="O375" s="880" t="s">
        <v>705</v>
      </c>
      <c r="P375" s="1126">
        <v>2001</v>
      </c>
      <c r="Q375" s="880"/>
      <c r="R375" s="880"/>
      <c r="S375" s="880" t="s">
        <v>482</v>
      </c>
      <c r="T375" s="880" t="s">
        <v>12</v>
      </c>
      <c r="U375" s="882">
        <v>536747180</v>
      </c>
      <c r="V375" s="880" t="s">
        <v>43</v>
      </c>
      <c r="W375" s="880"/>
      <c r="X375" s="969"/>
      <c r="Y375" s="884" t="str">
        <f>LEFT(I375,8)</f>
        <v>04.13.01</v>
      </c>
      <c r="Z375" s="884" t="str">
        <f>VLOOKUP(Y375,UE,3,FALSE)</f>
        <v>Jalan</v>
      </c>
      <c r="AA375" s="884">
        <f>VLOOKUP(Y375,UE,4,FALSE)</f>
        <v>10</v>
      </c>
      <c r="AB375" s="868">
        <f>U375/AA375</f>
        <v>53674718</v>
      </c>
      <c r="AC375" s="885">
        <f>IF(2013-P375+1&gt;AA375,AA375,IF(2013-P375+1&lt;0,0,2013-P375+1))</f>
        <v>10</v>
      </c>
      <c r="AD375" s="868">
        <f>IF(AC375&gt;AA375,U375,AB375*AC375)</f>
        <v>536747180</v>
      </c>
      <c r="AE375" s="868">
        <f>IF(U375=AD375,0,AB375)</f>
        <v>0</v>
      </c>
      <c r="AF375" s="868">
        <f>IF(U375=AD375+AE375,0,AB375)</f>
        <v>0</v>
      </c>
      <c r="AG375" s="868">
        <f>IF(U375=AD375+AE375+AF375,0,AB375)</f>
        <v>0</v>
      </c>
      <c r="AH375" s="868">
        <f>IF(U375=AE375+AF375+AG375+AD375,0,AB375)</f>
        <v>0</v>
      </c>
      <c r="AI375" s="886">
        <f>IF(U375=AE375+AF375+AG375+AD375+AH375,0,AB375)</f>
        <v>0</v>
      </c>
      <c r="AJ375" s="886">
        <f>SUM(AD375:AI375)</f>
        <v>536747180</v>
      </c>
      <c r="AK375" s="868">
        <f t="shared" si="133"/>
        <v>0</v>
      </c>
    </row>
    <row r="376" spans="1:37" s="857" customFormat="1" ht="35.25" customHeight="1" x14ac:dyDescent="0.2">
      <c r="A376" s="857">
        <v>304</v>
      </c>
      <c r="B376" s="857" t="str">
        <f t="shared" si="134"/>
        <v>BEDENG SIKURAN - PENYEB. PULAU PANJANG</v>
      </c>
      <c r="D376" s="857" t="s">
        <v>4082</v>
      </c>
      <c r="E376" s="884" t="str">
        <f>RIGHT(D376,1)</f>
        <v>1</v>
      </c>
      <c r="F376" s="855"/>
      <c r="G376" s="878" t="s">
        <v>696</v>
      </c>
      <c r="H376" s="879"/>
      <c r="I376" s="880" t="s">
        <v>3821</v>
      </c>
      <c r="J376" s="880">
        <v>0</v>
      </c>
      <c r="K376" s="880" t="s">
        <v>503</v>
      </c>
      <c r="L376" s="881" t="s">
        <v>48</v>
      </c>
      <c r="M376" s="880">
        <v>7</v>
      </c>
      <c r="N376" s="881">
        <v>14000</v>
      </c>
      <c r="O376" s="880" t="s">
        <v>704</v>
      </c>
      <c r="P376" s="1126">
        <v>2001</v>
      </c>
      <c r="Q376" s="880">
        <v>0</v>
      </c>
      <c r="R376" s="880">
        <v>0</v>
      </c>
      <c r="S376" s="880" t="s">
        <v>482</v>
      </c>
      <c r="T376" s="880" t="s">
        <v>12</v>
      </c>
      <c r="U376" s="882">
        <v>700000000</v>
      </c>
      <c r="V376" s="880" t="s">
        <v>43</v>
      </c>
      <c r="W376" s="880">
        <v>0</v>
      </c>
      <c r="X376" s="969"/>
      <c r="Y376" s="884" t="str">
        <f t="shared" si="108"/>
        <v>04.13.01</v>
      </c>
      <c r="Z376" s="884" t="str">
        <f t="shared" si="109"/>
        <v>Jalan</v>
      </c>
      <c r="AA376" s="884">
        <f t="shared" si="110"/>
        <v>10</v>
      </c>
      <c r="AB376" s="868">
        <f>U376/AA376</f>
        <v>70000000</v>
      </c>
      <c r="AC376" s="885">
        <f>IF(2013-P376+1&gt;AA376,AA376,IF(2013-P376+1&lt;0,0,2013-P376+1))</f>
        <v>10</v>
      </c>
      <c r="AD376" s="868">
        <f>IF(AC376&gt;AA376,U376,AB376*AC376)</f>
        <v>700000000</v>
      </c>
      <c r="AE376" s="868">
        <f>IF(U376=AD376,0,AB376)</f>
        <v>0</v>
      </c>
      <c r="AF376" s="868">
        <f>IF(U376=AD376+AE376,0,AB376)</f>
        <v>0</v>
      </c>
      <c r="AG376" s="868">
        <f>IF(U376=AD376+AE376+AF376,0,AB376)</f>
        <v>0</v>
      </c>
      <c r="AH376" s="868">
        <f>IF(U376=AE376+AF376+AG376+AD376,0,AB376)</f>
        <v>0</v>
      </c>
      <c r="AI376" s="886">
        <f>IF(U376=AE376+AF376+AG376+AD376+AH376,0,AB376)</f>
        <v>0</v>
      </c>
      <c r="AJ376" s="886">
        <f>SUM(AD376:AI376)</f>
        <v>700000000</v>
      </c>
      <c r="AK376" s="868">
        <f t="shared" si="133"/>
        <v>0</v>
      </c>
    </row>
    <row r="377" spans="1:37" s="857" customFormat="1" ht="35.25" customHeight="1" x14ac:dyDescent="0.2">
      <c r="A377" s="857">
        <v>305</v>
      </c>
      <c r="B377" s="857" t="str">
        <f t="shared" si="134"/>
        <v>INUMAN - PULAU PANJANG</v>
      </c>
      <c r="D377" s="857" t="s">
        <v>4083</v>
      </c>
      <c r="E377" s="884" t="str">
        <f>RIGHT(D377,1)</f>
        <v>1</v>
      </c>
      <c r="F377" s="855"/>
      <c r="G377" s="878" t="s">
        <v>696</v>
      </c>
      <c r="H377" s="879"/>
      <c r="I377" s="880" t="s">
        <v>3821</v>
      </c>
      <c r="J377" s="880">
        <v>0</v>
      </c>
      <c r="K377" s="880" t="s">
        <v>484</v>
      </c>
      <c r="L377" s="881" t="s">
        <v>699</v>
      </c>
      <c r="M377" s="880">
        <v>0</v>
      </c>
      <c r="N377" s="881">
        <v>0</v>
      </c>
      <c r="O377" s="880" t="s">
        <v>701</v>
      </c>
      <c r="P377" s="1126">
        <v>2001</v>
      </c>
      <c r="Q377" s="880">
        <v>0</v>
      </c>
      <c r="R377" s="880">
        <v>0</v>
      </c>
      <c r="S377" s="880" t="s">
        <v>482</v>
      </c>
      <c r="T377" s="880" t="s">
        <v>12</v>
      </c>
      <c r="U377" s="882">
        <v>648000000</v>
      </c>
      <c r="V377" s="880" t="s">
        <v>43</v>
      </c>
      <c r="W377" s="880">
        <v>0</v>
      </c>
      <c r="X377" s="969"/>
      <c r="Y377" s="884" t="str">
        <f t="shared" si="108"/>
        <v>04.13.01</v>
      </c>
      <c r="Z377" s="884" t="str">
        <f t="shared" si="109"/>
        <v>Jalan</v>
      </c>
      <c r="AA377" s="884">
        <f t="shared" si="110"/>
        <v>10</v>
      </c>
      <c r="AB377" s="868">
        <f>U377/AA377</f>
        <v>64800000</v>
      </c>
      <c r="AC377" s="885">
        <f>IF(2013-P377+1&gt;AA377,AA377,IF(2013-P377+1&lt;0,0,2013-P377+1))</f>
        <v>10</v>
      </c>
      <c r="AD377" s="868">
        <f>IF(AC377&gt;AA377,U377,AB377*AC377)</f>
        <v>648000000</v>
      </c>
      <c r="AE377" s="868">
        <f>IF(U377=AD377,0,AB377)</f>
        <v>0</v>
      </c>
      <c r="AF377" s="868">
        <f>IF(U377=AD377+AE377,0,AB377)</f>
        <v>0</v>
      </c>
      <c r="AG377" s="868">
        <f>IF(U377=AD377+AE377+AF377,0,AB377)</f>
        <v>0</v>
      </c>
      <c r="AH377" s="868">
        <f>IF(U377=AE377+AF377+AG377+AD377,0,AB377)</f>
        <v>0</v>
      </c>
      <c r="AI377" s="886">
        <f>IF(U377=AE377+AF377+AG377+AD377+AH377,0,AB377)</f>
        <v>0</v>
      </c>
      <c r="AJ377" s="886">
        <f>SUM(AD377:AI377)</f>
        <v>648000000</v>
      </c>
      <c r="AK377" s="868">
        <f t="shared" si="133"/>
        <v>0</v>
      </c>
    </row>
    <row r="378" spans="1:37" s="998" customFormat="1" ht="35.25" customHeight="1" x14ac:dyDescent="0.15">
      <c r="A378" s="998">
        <v>307</v>
      </c>
      <c r="B378" s="998" t="str">
        <f t="shared" si="134"/>
        <v>JL. DESA PL. PANJANG - PL. PANJANG HILIR</v>
      </c>
      <c r="D378" s="998" t="s">
        <v>4084</v>
      </c>
      <c r="E378" s="999" t="s">
        <v>4247</v>
      </c>
      <c r="F378" s="1000"/>
      <c r="G378" s="1010" t="s">
        <v>529</v>
      </c>
      <c r="H378" s="1011"/>
      <c r="I378" s="1001" t="s">
        <v>2494</v>
      </c>
      <c r="J378" s="1001">
        <v>0</v>
      </c>
      <c r="K378" s="1001" t="s">
        <v>8</v>
      </c>
      <c r="L378" s="1003" t="s">
        <v>632</v>
      </c>
      <c r="M378" s="1001">
        <v>7</v>
      </c>
      <c r="N378" s="1003">
        <v>16800</v>
      </c>
      <c r="O378" s="1001" t="s">
        <v>633</v>
      </c>
      <c r="P378" s="1168">
        <v>2001</v>
      </c>
      <c r="Q378" s="1001">
        <v>0</v>
      </c>
      <c r="R378" s="1001">
        <v>0</v>
      </c>
      <c r="S378" s="1001" t="s">
        <v>482</v>
      </c>
      <c r="T378" s="1001" t="s">
        <v>12</v>
      </c>
      <c r="U378" s="1002">
        <f>913733028+H379</f>
        <v>1105372708</v>
      </c>
      <c r="V378" s="1001" t="s">
        <v>43</v>
      </c>
      <c r="W378" s="1001">
        <v>0</v>
      </c>
      <c r="X378" s="1004"/>
      <c r="Y378" s="1005" t="str">
        <f t="shared" si="108"/>
        <v>04.13.01</v>
      </c>
      <c r="Z378" s="1006" t="str">
        <f t="shared" si="109"/>
        <v>Jalan</v>
      </c>
      <c r="AA378" s="1006">
        <f t="shared" si="110"/>
        <v>10</v>
      </c>
      <c r="AB378" s="1007"/>
      <c r="AC378" s="1008">
        <f>IF(2013-P378&gt;AA378,10,IF(2013-P378&lt;0,0,2013-P378))</f>
        <v>10</v>
      </c>
      <c r="AD378" s="1007"/>
      <c r="AE378" s="1007"/>
      <c r="AF378" s="1007"/>
      <c r="AG378" s="1007"/>
      <c r="AH378" s="1007"/>
      <c r="AI378" s="1009">
        <f>PERHITUNGAN!U1868</f>
        <v>19163968.000000011</v>
      </c>
      <c r="AJ378" s="1009">
        <f>PERHITUNGAN!U1871</f>
        <v>1009552867.9999999</v>
      </c>
      <c r="AK378" s="1007">
        <f t="shared" si="133"/>
        <v>95819840.000000119</v>
      </c>
    </row>
    <row r="379" spans="1:37" s="857" customFormat="1" ht="35.25" customHeight="1" x14ac:dyDescent="0.15">
      <c r="A379" s="857">
        <v>307</v>
      </c>
      <c r="B379" s="857" t="str">
        <f t="shared" si="134"/>
        <v>JL. DESA PL. PANJANG - PL. PANJANG HILIR</v>
      </c>
      <c r="D379" s="857" t="s">
        <v>4085</v>
      </c>
      <c r="E379" s="877" t="s">
        <v>4247</v>
      </c>
      <c r="F379" s="855"/>
      <c r="G379" s="878" t="s">
        <v>1428</v>
      </c>
      <c r="H379" s="879">
        <v>191639680</v>
      </c>
      <c r="I379" s="880" t="s">
        <v>2494</v>
      </c>
      <c r="J379" s="880">
        <v>0</v>
      </c>
      <c r="K379" s="880">
        <v>0</v>
      </c>
      <c r="L379" s="881">
        <v>0</v>
      </c>
      <c r="M379" s="880">
        <v>0</v>
      </c>
      <c r="N379" s="881">
        <v>0</v>
      </c>
      <c r="O379" s="880" t="s">
        <v>3251</v>
      </c>
      <c r="P379" s="1126">
        <v>2015</v>
      </c>
      <c r="Q379" s="880">
        <v>0</v>
      </c>
      <c r="R379" s="880">
        <v>0</v>
      </c>
      <c r="S379" s="880">
        <v>0</v>
      </c>
      <c r="T379" s="880" t="s">
        <v>12</v>
      </c>
      <c r="U379" s="882"/>
      <c r="V379" s="880">
        <v>0</v>
      </c>
      <c r="W379" s="880">
        <v>0</v>
      </c>
      <c r="X379" s="969"/>
      <c r="Y379" s="883" t="str">
        <f t="shared" si="108"/>
        <v>04.13.01</v>
      </c>
      <c r="Z379" s="884" t="str">
        <f t="shared" si="109"/>
        <v>Jalan</v>
      </c>
      <c r="AA379" s="884">
        <f t="shared" si="110"/>
        <v>10</v>
      </c>
      <c r="AB379" s="868"/>
      <c r="AC379" s="885">
        <f>IF(2013-P379&gt;AA379,10,IF(2013-P379&lt;0,0,2013-P379))</f>
        <v>0</v>
      </c>
      <c r="AD379" s="868"/>
      <c r="AE379" s="868"/>
      <c r="AF379" s="868"/>
      <c r="AG379" s="868"/>
      <c r="AH379" s="868"/>
      <c r="AI379" s="886"/>
      <c r="AJ379" s="886"/>
      <c r="AK379" s="868">
        <f t="shared" si="133"/>
        <v>0</v>
      </c>
    </row>
    <row r="380" spans="1:37" s="857" customFormat="1" ht="35.25" customHeight="1" x14ac:dyDescent="0.2">
      <c r="A380" s="857">
        <v>308</v>
      </c>
      <c r="B380" s="857" t="str">
        <f t="shared" si="134"/>
        <v>JL. DESA PULAU SIPAN - PL. PANJANG HULU</v>
      </c>
      <c r="D380" s="857" t="s">
        <v>4086</v>
      </c>
      <c r="E380" s="884" t="str">
        <f>RIGHT(D380,1)</f>
        <v>1</v>
      </c>
      <c r="F380" s="855"/>
      <c r="G380" s="878" t="s">
        <v>529</v>
      </c>
      <c r="H380" s="879"/>
      <c r="I380" s="880" t="s">
        <v>2494</v>
      </c>
      <c r="J380" s="880">
        <v>0</v>
      </c>
      <c r="K380" s="880" t="s">
        <v>484</v>
      </c>
      <c r="L380" s="881" t="s">
        <v>555</v>
      </c>
      <c r="M380" s="880">
        <v>7</v>
      </c>
      <c r="N380" s="881">
        <v>23800</v>
      </c>
      <c r="O380" s="880" t="s">
        <v>631</v>
      </c>
      <c r="P380" s="1126">
        <v>2001</v>
      </c>
      <c r="Q380" s="880">
        <v>0</v>
      </c>
      <c r="R380" s="880">
        <v>0</v>
      </c>
      <c r="S380" s="880" t="s">
        <v>482</v>
      </c>
      <c r="T380" s="880" t="s">
        <v>12</v>
      </c>
      <c r="U380" s="882">
        <v>1142400000</v>
      </c>
      <c r="V380" s="880" t="s">
        <v>43</v>
      </c>
      <c r="W380" s="880">
        <v>0</v>
      </c>
      <c r="X380" s="969"/>
      <c r="Y380" s="884" t="str">
        <f t="shared" si="108"/>
        <v>04.13.01</v>
      </c>
      <c r="Z380" s="884" t="str">
        <f t="shared" si="109"/>
        <v>Jalan</v>
      </c>
      <c r="AA380" s="884">
        <f t="shared" si="110"/>
        <v>10</v>
      </c>
      <c r="AB380" s="868">
        <f>U380/AA380</f>
        <v>114240000</v>
      </c>
      <c r="AC380" s="885">
        <f>IF(2013-P380+1&gt;AA380,AA380,IF(2013-P380+1&lt;0,0,2013-P380+1))</f>
        <v>10</v>
      </c>
      <c r="AD380" s="868">
        <f>IF(AC380&gt;AA380,U380,AB380*AC380)</f>
        <v>1142400000</v>
      </c>
      <c r="AE380" s="868">
        <f>IF(U380=AD380,0,AB380)</f>
        <v>0</v>
      </c>
      <c r="AF380" s="868">
        <f>IF(U380=AD380+AE380,0,AB380)</f>
        <v>0</v>
      </c>
      <c r="AG380" s="868">
        <f>IF(U380=AD380+AE380+AF380,0,AB380)</f>
        <v>0</v>
      </c>
      <c r="AH380" s="868">
        <f>IF(U380=AE380+AF380+AG380+AD380,0,AB380)</f>
        <v>0</v>
      </c>
      <c r="AI380" s="886">
        <f>IF(U380=AE380+AF380+AG380+AD380+AH380,0,AB380)</f>
        <v>0</v>
      </c>
      <c r="AJ380" s="886">
        <f>SUM(AD380:AI380)</f>
        <v>1142400000</v>
      </c>
      <c r="AK380" s="868">
        <f t="shared" si="133"/>
        <v>0</v>
      </c>
    </row>
    <row r="381" spans="1:37" s="857" customFormat="1" ht="35.25" customHeight="1" x14ac:dyDescent="0.2">
      <c r="A381" s="857">
        <v>309</v>
      </c>
      <c r="B381" s="857" t="str">
        <f t="shared" si="134"/>
        <v>JL. DESA SIGARUNTANG - JK RUAS 208/208</v>
      </c>
      <c r="D381" s="857" t="s">
        <v>4087</v>
      </c>
      <c r="E381" s="884" t="str">
        <f>RIGHT(D381,1)</f>
        <v>1</v>
      </c>
      <c r="F381" s="855"/>
      <c r="G381" s="878" t="s">
        <v>529</v>
      </c>
      <c r="H381" s="879"/>
      <c r="I381" s="880" t="s">
        <v>2494</v>
      </c>
      <c r="J381" s="880">
        <v>0</v>
      </c>
      <c r="K381" s="880" t="s">
        <v>484</v>
      </c>
      <c r="L381" s="881" t="s">
        <v>501</v>
      </c>
      <c r="M381" s="880">
        <v>7</v>
      </c>
      <c r="N381" s="881">
        <v>24500</v>
      </c>
      <c r="O381" s="880" t="s">
        <v>636</v>
      </c>
      <c r="P381" s="1126">
        <v>2001</v>
      </c>
      <c r="Q381" s="880">
        <v>0</v>
      </c>
      <c r="R381" s="880">
        <v>0</v>
      </c>
      <c r="S381" s="880" t="s">
        <v>482</v>
      </c>
      <c r="T381" s="880" t="s">
        <v>12</v>
      </c>
      <c r="U381" s="882">
        <v>1176000000</v>
      </c>
      <c r="V381" s="880" t="s">
        <v>43</v>
      </c>
      <c r="W381" s="880">
        <v>0</v>
      </c>
      <c r="X381" s="969"/>
      <c r="Y381" s="884" t="str">
        <f t="shared" si="108"/>
        <v>04.13.01</v>
      </c>
      <c r="Z381" s="884" t="str">
        <f t="shared" si="109"/>
        <v>Jalan</v>
      </c>
      <c r="AA381" s="884">
        <f t="shared" si="110"/>
        <v>10</v>
      </c>
      <c r="AB381" s="868">
        <f>U381/AA381</f>
        <v>117600000</v>
      </c>
      <c r="AC381" s="885">
        <f>IF(2013-P381+1&gt;AA381,AA381,IF(2013-P381+1&lt;0,0,2013-P381+1))</f>
        <v>10</v>
      </c>
      <c r="AD381" s="868">
        <f>IF(AC381&gt;AA381,U381,AB381*AC381)</f>
        <v>1176000000</v>
      </c>
      <c r="AE381" s="868">
        <f>IF(U381=AD381,0,AB381)</f>
        <v>0</v>
      </c>
      <c r="AF381" s="868">
        <f>IF(U381=AD381+AE381,0,AB381)</f>
        <v>0</v>
      </c>
      <c r="AG381" s="868">
        <f>IF(U381=AD381+AE381+AF381,0,AB381)</f>
        <v>0</v>
      </c>
      <c r="AH381" s="868">
        <f>IF(U381=AE381+AF381+AG381+AD381,0,AB381)</f>
        <v>0</v>
      </c>
      <c r="AI381" s="886">
        <f>IF(U381=AE381+AF381+AG381+AD381+AH381,0,AB381)</f>
        <v>0</v>
      </c>
      <c r="AJ381" s="886">
        <f>SUM(AD381:AI381)</f>
        <v>1176000000</v>
      </c>
      <c r="AK381" s="868">
        <f t="shared" si="133"/>
        <v>0</v>
      </c>
    </row>
    <row r="382" spans="1:37" s="857" customFormat="1" ht="35.25" customHeight="1" x14ac:dyDescent="0.2">
      <c r="A382" s="857">
        <v>310</v>
      </c>
      <c r="B382" s="857" t="str">
        <f t="shared" si="134"/>
        <v>INUMAN (JL. RAPP) - SITUGAL</v>
      </c>
      <c r="D382" s="857" t="s">
        <v>4088</v>
      </c>
      <c r="E382" s="884" t="str">
        <f>RIGHT(D382,1)</f>
        <v>1</v>
      </c>
      <c r="F382" s="855"/>
      <c r="G382" s="878" t="s">
        <v>529</v>
      </c>
      <c r="H382" s="879"/>
      <c r="I382" s="880" t="s">
        <v>2494</v>
      </c>
      <c r="J382" s="880">
        <v>0</v>
      </c>
      <c r="K382" s="880" t="s">
        <v>484</v>
      </c>
      <c r="L382" s="881">
        <v>65000</v>
      </c>
      <c r="M382" s="880">
        <v>7</v>
      </c>
      <c r="N382" s="881">
        <v>455000</v>
      </c>
      <c r="O382" s="880" t="s">
        <v>635</v>
      </c>
      <c r="P382" s="1126">
        <v>2001</v>
      </c>
      <c r="Q382" s="880">
        <v>0</v>
      </c>
      <c r="R382" s="880">
        <v>0</v>
      </c>
      <c r="S382" s="880" t="s">
        <v>482</v>
      </c>
      <c r="T382" s="880" t="s">
        <v>12</v>
      </c>
      <c r="U382" s="882">
        <v>2016000000</v>
      </c>
      <c r="V382" s="880" t="s">
        <v>135</v>
      </c>
      <c r="W382" s="880">
        <v>0</v>
      </c>
      <c r="X382" s="969"/>
      <c r="Y382" s="884" t="str">
        <f t="shared" si="108"/>
        <v>04.13.01</v>
      </c>
      <c r="Z382" s="884" t="str">
        <f t="shared" si="109"/>
        <v>Jalan</v>
      </c>
      <c r="AA382" s="884">
        <f t="shared" si="110"/>
        <v>10</v>
      </c>
      <c r="AB382" s="868">
        <f>U382/AA382</f>
        <v>201600000</v>
      </c>
      <c r="AC382" s="885">
        <f>IF(2013-P382+1&gt;AA382,AA382,IF(2013-P382+1&lt;0,0,2013-P382+1))</f>
        <v>10</v>
      </c>
      <c r="AD382" s="868">
        <f>IF(AC382&gt;AA382,U382,AB382*AC382)</f>
        <v>2016000000</v>
      </c>
      <c r="AE382" s="868">
        <f>IF(U382=AD382,0,AB382)</f>
        <v>0</v>
      </c>
      <c r="AF382" s="868">
        <f>IF(U382=AD382+AE382,0,AB382)</f>
        <v>0</v>
      </c>
      <c r="AG382" s="868">
        <f>IF(U382=AD382+AE382+AF382,0,AB382)</f>
        <v>0</v>
      </c>
      <c r="AH382" s="868">
        <f>IF(U382=AE382+AF382+AG382+AD382,0,AB382)</f>
        <v>0</v>
      </c>
      <c r="AI382" s="886">
        <f>IF(U382=AE382+AF382+AG382+AD382+AH382,0,AB382)</f>
        <v>0</v>
      </c>
      <c r="AJ382" s="886">
        <f>SUM(AD382:AI382)</f>
        <v>2016000000</v>
      </c>
      <c r="AK382" s="868">
        <f t="shared" si="133"/>
        <v>0</v>
      </c>
    </row>
    <row r="383" spans="1:37" s="998" customFormat="1" ht="35.25" customHeight="1" x14ac:dyDescent="0.15">
      <c r="A383" s="998" t="s">
        <v>4134</v>
      </c>
      <c r="B383" s="998" t="e">
        <f t="shared" si="134"/>
        <v>#N/A</v>
      </c>
      <c r="C383" s="998" t="s">
        <v>4146</v>
      </c>
      <c r="D383" s="998" t="s">
        <v>4140</v>
      </c>
      <c r="E383" s="999" t="s">
        <v>4247</v>
      </c>
      <c r="F383" s="1000"/>
      <c r="G383" s="1010" t="s">
        <v>1221</v>
      </c>
      <c r="H383" s="1011"/>
      <c r="I383" s="1001" t="s">
        <v>3824</v>
      </c>
      <c r="J383" s="1001">
        <v>0</v>
      </c>
      <c r="K383" s="1001" t="s">
        <v>835</v>
      </c>
      <c r="L383" s="1003">
        <v>0</v>
      </c>
      <c r="M383" s="1001">
        <v>0</v>
      </c>
      <c r="N383" s="1003">
        <v>40</v>
      </c>
      <c r="O383" s="1001" t="s">
        <v>3130</v>
      </c>
      <c r="P383" s="1168">
        <v>2011</v>
      </c>
      <c r="Q383" s="1001">
        <v>0</v>
      </c>
      <c r="R383" s="1001">
        <v>0</v>
      </c>
      <c r="S383" s="1001">
        <v>0</v>
      </c>
      <c r="T383" s="1001" t="s">
        <v>12</v>
      </c>
      <c r="U383" s="1002">
        <f>3841002466.55446+H384+H385+H386+H387+H388</f>
        <v>12008944039.724461</v>
      </c>
      <c r="V383" s="1001" t="s">
        <v>43</v>
      </c>
      <c r="W383" s="1001">
        <v>0</v>
      </c>
      <c r="X383" s="1004"/>
      <c r="Y383" s="1005" t="str">
        <f t="shared" si="108"/>
        <v>04.13.02</v>
      </c>
      <c r="Z383" s="1006" t="str">
        <f t="shared" si="109"/>
        <v>Jembatan</v>
      </c>
      <c r="AA383" s="1006">
        <f t="shared" si="110"/>
        <v>50</v>
      </c>
      <c r="AB383" s="1007"/>
      <c r="AC383" s="1008">
        <f>IF(2013-P383&gt;AA383,AA383,IF(2013-P383&lt;0,0,2013-P383))</f>
        <v>2</v>
      </c>
      <c r="AD383" s="1007"/>
      <c r="AE383" s="1007"/>
      <c r="AF383" s="1007"/>
      <c r="AG383" s="1007"/>
      <c r="AH383" s="1007"/>
      <c r="AI383" s="1009">
        <f>PERHITUNGAN!U1907</f>
        <v>231263584.85017747</v>
      </c>
      <c r="AJ383" s="1009">
        <f>PERHITUNGAN!U1910</f>
        <v>1370819136.6162977</v>
      </c>
      <c r="AK383" s="1007">
        <f t="shared" si="133"/>
        <v>10638124903.108162</v>
      </c>
    </row>
    <row r="384" spans="1:37" s="857" customFormat="1" ht="35.25" customHeight="1" x14ac:dyDescent="0.2">
      <c r="A384" s="857" t="s">
        <v>4134</v>
      </c>
      <c r="B384" s="857" t="e">
        <f t="shared" si="134"/>
        <v>#N/A</v>
      </c>
      <c r="C384" s="857" t="s">
        <v>4146</v>
      </c>
      <c r="D384" s="857" t="s">
        <v>4141</v>
      </c>
      <c r="E384" s="884" t="str">
        <f>RIGHT(D384,1)</f>
        <v>2</v>
      </c>
      <c r="F384" s="855"/>
      <c r="G384" s="878" t="s">
        <v>1648</v>
      </c>
      <c r="H384" s="879">
        <v>49212500</v>
      </c>
      <c r="I384" s="880" t="s">
        <v>3824</v>
      </c>
      <c r="J384" s="880">
        <v>0</v>
      </c>
      <c r="K384" s="880">
        <v>0</v>
      </c>
      <c r="L384" s="881">
        <v>0</v>
      </c>
      <c r="M384" s="880">
        <v>0</v>
      </c>
      <c r="N384" s="881">
        <v>0</v>
      </c>
      <c r="O384" s="880" t="s">
        <v>3130</v>
      </c>
      <c r="P384" s="1126">
        <v>2013</v>
      </c>
      <c r="Q384" s="880">
        <v>0</v>
      </c>
      <c r="R384" s="880">
        <v>0</v>
      </c>
      <c r="S384" s="880">
        <v>0</v>
      </c>
      <c r="T384" s="880" t="s">
        <v>12</v>
      </c>
      <c r="U384" s="882"/>
      <c r="V384" s="880">
        <v>0</v>
      </c>
      <c r="W384" s="880">
        <v>0</v>
      </c>
      <c r="X384" s="969"/>
      <c r="Y384" s="884" t="str">
        <f t="shared" si="108"/>
        <v>04.13.02</v>
      </c>
      <c r="Z384" s="884" t="str">
        <f t="shared" si="109"/>
        <v>Jembatan</v>
      </c>
      <c r="AA384" s="884">
        <f t="shared" si="110"/>
        <v>50</v>
      </c>
      <c r="AB384" s="868">
        <f>U384/AA384</f>
        <v>0</v>
      </c>
      <c r="AC384" s="885">
        <f>IF(2013-P384+1&gt;AA384,AA384,IF(2013-P384+1&lt;0,0,2013-P384+1))</f>
        <v>1</v>
      </c>
      <c r="AD384" s="868">
        <f>IF(AC384&gt;AA384,U384,AB384*AC384)</f>
        <v>0</v>
      </c>
      <c r="AE384" s="868">
        <f>IF(U384=AD384,0,AB384)</f>
        <v>0</v>
      </c>
      <c r="AF384" s="868">
        <f>IF(U384=AD384+AE384,0,AB384)</f>
        <v>0</v>
      </c>
      <c r="AG384" s="868">
        <f>IF(U384=AD384+AE384+AF384,0,AB384)</f>
        <v>0</v>
      </c>
      <c r="AH384" s="868">
        <f>IF(U384=AE384+AF384+AG384+AD384,0,AB384)</f>
        <v>0</v>
      </c>
      <c r="AI384" s="886">
        <f>IF(U384=AE384+AF384+AG384+AD384+AH384,0,AB384)</f>
        <v>0</v>
      </c>
      <c r="AJ384" s="886">
        <f>SUM(AD384:AI384)</f>
        <v>0</v>
      </c>
      <c r="AK384" s="868">
        <f t="shared" si="133"/>
        <v>0</v>
      </c>
    </row>
    <row r="385" spans="1:38" s="857" customFormat="1" ht="35.25" customHeight="1" x14ac:dyDescent="0.2">
      <c r="A385" s="857" t="s">
        <v>4134</v>
      </c>
      <c r="B385" s="857" t="e">
        <f t="shared" si="134"/>
        <v>#N/A</v>
      </c>
      <c r="C385" s="857" t="s">
        <v>4146</v>
      </c>
      <c r="D385" s="857" t="s">
        <v>4142</v>
      </c>
      <c r="E385" s="884" t="str">
        <f>RIGHT(D385,1)</f>
        <v>3</v>
      </c>
      <c r="F385" s="855"/>
      <c r="G385" s="878" t="s">
        <v>1649</v>
      </c>
      <c r="H385" s="879">
        <v>1578446994</v>
      </c>
      <c r="I385" s="880" t="s">
        <v>3824</v>
      </c>
      <c r="J385" s="880">
        <v>0</v>
      </c>
      <c r="K385" s="880">
        <v>0</v>
      </c>
      <c r="L385" s="881">
        <v>0</v>
      </c>
      <c r="M385" s="880">
        <v>0</v>
      </c>
      <c r="N385" s="881">
        <v>0</v>
      </c>
      <c r="O385" s="880" t="s">
        <v>3130</v>
      </c>
      <c r="P385" s="1126">
        <v>2014</v>
      </c>
      <c r="Q385" s="880">
        <v>0</v>
      </c>
      <c r="R385" s="880">
        <v>0</v>
      </c>
      <c r="S385" s="880">
        <v>0</v>
      </c>
      <c r="T385" s="880" t="s">
        <v>12</v>
      </c>
      <c r="U385" s="882"/>
      <c r="V385" s="880">
        <v>0</v>
      </c>
      <c r="W385" s="880">
        <v>0</v>
      </c>
      <c r="X385" s="969"/>
      <c r="Y385" s="884" t="str">
        <f t="shared" si="108"/>
        <v>04.13.02</v>
      </c>
      <c r="Z385" s="884" t="str">
        <f t="shared" si="109"/>
        <v>Jembatan</v>
      </c>
      <c r="AA385" s="884">
        <f t="shared" si="110"/>
        <v>50</v>
      </c>
      <c r="AB385" s="868">
        <f>U385/AA385</f>
        <v>0</v>
      </c>
      <c r="AC385" s="885">
        <f>IF(2013-P385+1&gt;AA385,AA385,IF(2013-P385+1&lt;0,0,2013-P385+1))</f>
        <v>0</v>
      </c>
      <c r="AD385" s="868">
        <f>IF(AC385&gt;AA385,U385,AB385*AC385)</f>
        <v>0</v>
      </c>
      <c r="AE385" s="868">
        <f>IF(U385=AD385,0,AB385)</f>
        <v>0</v>
      </c>
      <c r="AF385" s="868">
        <f>IF(U385=AD385+AE385,0,AB385)</f>
        <v>0</v>
      </c>
      <c r="AG385" s="868">
        <f>IF(U385=AD385+AE385+AF385,0,AB385)</f>
        <v>0</v>
      </c>
      <c r="AH385" s="868">
        <f>IF(U385=AE385+AF385+AG385+AD385,0,AB385)</f>
        <v>0</v>
      </c>
      <c r="AI385" s="886">
        <f>IF(U385=AE385+AF385+AG385+AD385+AH385,0,AB385)</f>
        <v>0</v>
      </c>
      <c r="AJ385" s="886">
        <f>SUM(AD385:AI385)</f>
        <v>0</v>
      </c>
      <c r="AK385" s="868">
        <f t="shared" si="133"/>
        <v>0</v>
      </c>
    </row>
    <row r="386" spans="1:38" s="857" customFormat="1" ht="35.25" customHeight="1" x14ac:dyDescent="0.2">
      <c r="A386" s="857" t="s">
        <v>4134</v>
      </c>
      <c r="B386" s="857" t="e">
        <f t="shared" si="134"/>
        <v>#N/A</v>
      </c>
      <c r="C386" s="857" t="s">
        <v>4146</v>
      </c>
      <c r="D386" s="857" t="s">
        <v>4143</v>
      </c>
      <c r="E386" s="884" t="str">
        <f>RIGHT(D386,1)</f>
        <v>4</v>
      </c>
      <c r="F386" s="855"/>
      <c r="G386" s="878" t="s">
        <v>1425</v>
      </c>
      <c r="H386" s="879">
        <v>246942569</v>
      </c>
      <c r="I386" s="880" t="s">
        <v>3824</v>
      </c>
      <c r="J386" s="880">
        <v>0</v>
      </c>
      <c r="K386" s="880">
        <v>0</v>
      </c>
      <c r="L386" s="881">
        <v>0</v>
      </c>
      <c r="M386" s="880">
        <v>0</v>
      </c>
      <c r="N386" s="881">
        <v>0</v>
      </c>
      <c r="O386" s="880" t="s">
        <v>3130</v>
      </c>
      <c r="P386" s="1126">
        <v>2015</v>
      </c>
      <c r="Q386" s="880">
        <v>0</v>
      </c>
      <c r="R386" s="880">
        <v>0</v>
      </c>
      <c r="S386" s="880">
        <v>0</v>
      </c>
      <c r="T386" s="880" t="s">
        <v>12</v>
      </c>
      <c r="U386" s="882"/>
      <c r="V386" s="880">
        <v>0</v>
      </c>
      <c r="W386" s="880">
        <v>0</v>
      </c>
      <c r="X386" s="969"/>
      <c r="Y386" s="884" t="str">
        <f t="shared" si="108"/>
        <v>04.13.02</v>
      </c>
      <c r="Z386" s="884" t="str">
        <f t="shared" si="109"/>
        <v>Jembatan</v>
      </c>
      <c r="AA386" s="884">
        <f t="shared" si="110"/>
        <v>50</v>
      </c>
      <c r="AB386" s="868">
        <f>U386/AA386</f>
        <v>0</v>
      </c>
      <c r="AC386" s="885">
        <f>IF(2013-P386+1&gt;AA386,AA386,IF(2013-P386+1&lt;0,0,2013-P386+1))</f>
        <v>0</v>
      </c>
      <c r="AD386" s="868">
        <f>IF(AC386&gt;AA386,U386,AB386*AC386)</f>
        <v>0</v>
      </c>
      <c r="AE386" s="868">
        <v>0</v>
      </c>
      <c r="AF386" s="868">
        <f>IF(U386=AD386+AE386,0,AB386)</f>
        <v>0</v>
      </c>
      <c r="AG386" s="868">
        <f>IF(U386=AD386+AE386+AF386,0,AB386)</f>
        <v>0</v>
      </c>
      <c r="AH386" s="868">
        <f>IF(U386=AE386+AF386+AG386+AD386,0,AB386)</f>
        <v>0</v>
      </c>
      <c r="AI386" s="886">
        <f>IF(U386=AE386+AF386+AG386+AD386+AH386,0,AB386)</f>
        <v>0</v>
      </c>
      <c r="AJ386" s="886">
        <f>SUM(AD386:AI386)</f>
        <v>0</v>
      </c>
      <c r="AK386" s="868">
        <f t="shared" si="133"/>
        <v>0</v>
      </c>
    </row>
    <row r="387" spans="1:38" s="857" customFormat="1" ht="35.25" customHeight="1" x14ac:dyDescent="0.2">
      <c r="A387" s="857" t="s">
        <v>4134</v>
      </c>
      <c r="B387" s="857" t="e">
        <f t="shared" si="134"/>
        <v>#N/A</v>
      </c>
      <c r="C387" s="857" t="s">
        <v>4146</v>
      </c>
      <c r="D387" s="857" t="s">
        <v>4144</v>
      </c>
      <c r="E387" s="884" t="str">
        <f>RIGHT(D387,1)</f>
        <v>5</v>
      </c>
      <c r="F387" s="855"/>
      <c r="G387" s="878" t="s">
        <v>1650</v>
      </c>
      <c r="H387" s="879">
        <v>246942569</v>
      </c>
      <c r="I387" s="880" t="s">
        <v>3824</v>
      </c>
      <c r="J387" s="880">
        <v>0</v>
      </c>
      <c r="K387" s="880">
        <v>0</v>
      </c>
      <c r="L387" s="881">
        <v>0</v>
      </c>
      <c r="M387" s="880">
        <v>0</v>
      </c>
      <c r="N387" s="881">
        <v>0</v>
      </c>
      <c r="O387" s="880" t="s">
        <v>3130</v>
      </c>
      <c r="P387" s="1126">
        <v>2015</v>
      </c>
      <c r="Q387" s="880">
        <v>0</v>
      </c>
      <c r="R387" s="880">
        <v>0</v>
      </c>
      <c r="S387" s="880">
        <v>0</v>
      </c>
      <c r="T387" s="880" t="s">
        <v>12</v>
      </c>
      <c r="U387" s="882"/>
      <c r="V387" s="880">
        <v>0</v>
      </c>
      <c r="W387" s="880">
        <v>0</v>
      </c>
      <c r="X387" s="969"/>
      <c r="Y387" s="884" t="str">
        <f t="shared" si="108"/>
        <v>04.13.02</v>
      </c>
      <c r="Z387" s="884" t="str">
        <f t="shared" si="109"/>
        <v>Jembatan</v>
      </c>
      <c r="AA387" s="884">
        <f t="shared" si="110"/>
        <v>50</v>
      </c>
      <c r="AB387" s="868">
        <f>U387/AA387</f>
        <v>0</v>
      </c>
      <c r="AC387" s="885">
        <f>IF(2013-P387+1&gt;AA387,AA387,IF(2013-P387+1&lt;0,0,2013-P387+1))</f>
        <v>0</v>
      </c>
      <c r="AD387" s="868">
        <f>IF(AC387&gt;AA387,U387,AB387*AC387)</f>
        <v>0</v>
      </c>
      <c r="AE387" s="868">
        <v>0</v>
      </c>
      <c r="AF387" s="868">
        <f>IF(U387=AD387+AE387,0,AB387)</f>
        <v>0</v>
      </c>
      <c r="AG387" s="868">
        <f>IF(U387=AD387+AE387+AF387,0,AB387)</f>
        <v>0</v>
      </c>
      <c r="AH387" s="868">
        <f>IF(U387=AE387+AF387+AG387+AD387,0,AB387)</f>
        <v>0</v>
      </c>
      <c r="AI387" s="886">
        <f>IF(U387=AE387+AF387+AG387+AD387+AH387,0,AB387)</f>
        <v>0</v>
      </c>
      <c r="AJ387" s="886">
        <f>SUM(AD387:AI387)</f>
        <v>0</v>
      </c>
      <c r="AK387" s="868">
        <f t="shared" si="133"/>
        <v>0</v>
      </c>
    </row>
    <row r="388" spans="1:38" s="857" customFormat="1" ht="35.25" customHeight="1" x14ac:dyDescent="0.2">
      <c r="A388" s="857" t="s">
        <v>4134</v>
      </c>
      <c r="B388" s="857" t="e">
        <f t="shared" si="134"/>
        <v>#N/A</v>
      </c>
      <c r="C388" s="857" t="s">
        <v>4146</v>
      </c>
      <c r="D388" s="857" t="s">
        <v>4145</v>
      </c>
      <c r="E388" s="884" t="str">
        <f>RIGHT(D388,1)</f>
        <v>6</v>
      </c>
      <c r="F388" s="855"/>
      <c r="G388" s="878" t="s">
        <v>1458</v>
      </c>
      <c r="H388" s="879">
        <v>6046396941.1700001</v>
      </c>
      <c r="I388" s="880" t="s">
        <v>3824</v>
      </c>
      <c r="J388" s="880">
        <v>0</v>
      </c>
      <c r="K388" s="880">
        <v>0</v>
      </c>
      <c r="L388" s="881">
        <v>0</v>
      </c>
      <c r="M388" s="880">
        <v>0</v>
      </c>
      <c r="N388" s="881">
        <v>0</v>
      </c>
      <c r="O388" s="880" t="s">
        <v>3130</v>
      </c>
      <c r="P388" s="1126">
        <v>2016</v>
      </c>
      <c r="Q388" s="880">
        <v>0</v>
      </c>
      <c r="R388" s="880">
        <v>0</v>
      </c>
      <c r="S388" s="880">
        <v>0</v>
      </c>
      <c r="T388" s="880" t="s">
        <v>12</v>
      </c>
      <c r="U388" s="882"/>
      <c r="V388" s="880">
        <v>0</v>
      </c>
      <c r="W388" s="880">
        <v>0</v>
      </c>
      <c r="X388" s="969"/>
      <c r="Y388" s="884" t="str">
        <f t="shared" si="108"/>
        <v>04.13.02</v>
      </c>
      <c r="Z388" s="884" t="str">
        <f t="shared" si="109"/>
        <v>Jembatan</v>
      </c>
      <c r="AA388" s="884">
        <f t="shared" si="110"/>
        <v>50</v>
      </c>
      <c r="AB388" s="868">
        <f>U388/AA388</f>
        <v>0</v>
      </c>
      <c r="AC388" s="885">
        <f>IF(2013-P388+1&gt;AA388,AA388,IF(2013-P388+1&lt;0,0,2013-P388+1))</f>
        <v>0</v>
      </c>
      <c r="AD388" s="868">
        <f>IF(AC388&gt;AA388,U388,AB388*AC388)</f>
        <v>0</v>
      </c>
      <c r="AE388" s="868">
        <v>0</v>
      </c>
      <c r="AF388" s="868">
        <v>0</v>
      </c>
      <c r="AG388" s="868">
        <f>IF(U388=AD388+AE388+AF388,0,AB388)</f>
        <v>0</v>
      </c>
      <c r="AH388" s="868">
        <f>IF(U388=AE388+AF388+AG388+AD388,0,AB388)</f>
        <v>0</v>
      </c>
      <c r="AI388" s="886">
        <f>IF(U388=AE388+AF388+AG388+AD388+AH388,0,AB388)</f>
        <v>0</v>
      </c>
      <c r="AJ388" s="886">
        <f>SUM(AD388:AI388)</f>
        <v>0</v>
      </c>
      <c r="AK388" s="868">
        <f t="shared" si="133"/>
        <v>0</v>
      </c>
    </row>
    <row r="389" spans="1:38" s="998" customFormat="1" ht="35.25" customHeight="1" x14ac:dyDescent="0.15">
      <c r="A389" s="998" t="s">
        <v>4135</v>
      </c>
      <c r="B389" s="998" t="e">
        <f t="shared" si="134"/>
        <v>#N/A</v>
      </c>
      <c r="C389" s="998" t="s">
        <v>4146</v>
      </c>
      <c r="D389" s="998" t="s">
        <v>4147</v>
      </c>
      <c r="E389" s="999" t="s">
        <v>4247</v>
      </c>
      <c r="F389" s="1000"/>
      <c r="G389" s="1010" t="s">
        <v>1209</v>
      </c>
      <c r="H389" s="1011"/>
      <c r="I389" s="1001" t="s">
        <v>3827</v>
      </c>
      <c r="J389" s="1001">
        <v>0</v>
      </c>
      <c r="K389" s="1001">
        <v>0</v>
      </c>
      <c r="L389" s="1003">
        <v>0</v>
      </c>
      <c r="M389" s="1001">
        <v>0</v>
      </c>
      <c r="N389" s="1003">
        <v>0</v>
      </c>
      <c r="O389" s="1001" t="s">
        <v>3124</v>
      </c>
      <c r="P389" s="1168">
        <v>2008</v>
      </c>
      <c r="Q389" s="1001">
        <v>0</v>
      </c>
      <c r="R389" s="1001">
        <v>0</v>
      </c>
      <c r="S389" s="1001">
        <v>0</v>
      </c>
      <c r="T389" s="1001" t="s">
        <v>12</v>
      </c>
      <c r="U389" s="1002">
        <f>1685204437+H390</f>
        <v>8889866622.0902042</v>
      </c>
      <c r="V389" s="1001" t="s">
        <v>43</v>
      </c>
      <c r="W389" s="1001">
        <v>0</v>
      </c>
      <c r="X389" s="1004"/>
      <c r="Y389" s="1005" t="str">
        <f t="shared" si="108"/>
        <v>04.13.02</v>
      </c>
      <c r="Z389" s="1006" t="str">
        <f t="shared" si="109"/>
        <v>Jembatan</v>
      </c>
      <c r="AA389" s="1006">
        <f t="shared" si="110"/>
        <v>50</v>
      </c>
      <c r="AB389" s="1007"/>
      <c r="AC389" s="1008">
        <f>IF(2013-P389&gt;AA389,AA389,IF(2013-P389&lt;0,0,2013-P389))</f>
        <v>5</v>
      </c>
      <c r="AD389" s="1007"/>
      <c r="AE389" s="1007"/>
      <c r="AF389" s="1007"/>
      <c r="AG389" s="1007"/>
      <c r="AH389" s="1007"/>
      <c r="AI389" s="1009">
        <f>PERHITUNGAN!U1927</f>
        <v>175101005.34260407</v>
      </c>
      <c r="AJ389" s="1009">
        <f>PERHITUNGAN!U1931</f>
        <v>1535624397.7008326</v>
      </c>
      <c r="AK389" s="1007">
        <f t="shared" si="133"/>
        <v>7354242224.3893719</v>
      </c>
    </row>
    <row r="390" spans="1:38" s="857" customFormat="1" ht="35.25" customHeight="1" x14ac:dyDescent="0.2">
      <c r="A390" s="857" t="s">
        <v>4135</v>
      </c>
      <c r="B390" s="857" t="e">
        <f t="shared" si="134"/>
        <v>#N/A</v>
      </c>
      <c r="C390" s="857" t="s">
        <v>4146</v>
      </c>
      <c r="D390" s="857" t="s">
        <v>4148</v>
      </c>
      <c r="E390" s="884" t="str">
        <f>RIGHT(D390,1)</f>
        <v>2</v>
      </c>
      <c r="F390" s="855"/>
      <c r="G390" s="878" t="s">
        <v>1264</v>
      </c>
      <c r="H390" s="879">
        <v>7204662185.0902042</v>
      </c>
      <c r="I390" s="880" t="s">
        <v>3827</v>
      </c>
      <c r="J390" s="880">
        <v>0</v>
      </c>
      <c r="K390" s="880" t="s">
        <v>835</v>
      </c>
      <c r="L390" s="881">
        <v>0</v>
      </c>
      <c r="M390" s="880">
        <v>0</v>
      </c>
      <c r="N390" s="881">
        <v>0</v>
      </c>
      <c r="O390" s="880" t="s">
        <v>3124</v>
      </c>
      <c r="P390" s="1126">
        <v>2012</v>
      </c>
      <c r="Q390" s="880">
        <v>0</v>
      </c>
      <c r="R390" s="880">
        <v>0</v>
      </c>
      <c r="S390" s="880">
        <v>0</v>
      </c>
      <c r="T390" s="880" t="s">
        <v>12</v>
      </c>
      <c r="U390" s="882"/>
      <c r="V390" s="880" t="s">
        <v>43</v>
      </c>
      <c r="W390" s="880">
        <v>0</v>
      </c>
      <c r="X390" s="969"/>
      <c r="Y390" s="884" t="str">
        <f t="shared" si="108"/>
        <v>04.13.02</v>
      </c>
      <c r="Z390" s="884" t="str">
        <f t="shared" si="109"/>
        <v>Jembatan</v>
      </c>
      <c r="AA390" s="884">
        <f t="shared" si="110"/>
        <v>50</v>
      </c>
      <c r="AB390" s="868">
        <f>U390/AA390</f>
        <v>0</v>
      </c>
      <c r="AC390" s="885">
        <f>IF(2013-P390+1&gt;AA390,AA390,IF(2013-P390+1&lt;0,0,2013-P390+1))</f>
        <v>2</v>
      </c>
      <c r="AD390" s="868">
        <f>IF(AC390&gt;AA390,U390,AB390*AC390)</f>
        <v>0</v>
      </c>
      <c r="AE390" s="868">
        <f>IF(U390=AD390,0,AB390)</f>
        <v>0</v>
      </c>
      <c r="AF390" s="868">
        <f>IF(U390=AD390+AE390,0,AB390)</f>
        <v>0</v>
      </c>
      <c r="AG390" s="868">
        <f>IF(U390=AD390+AE390+AF390,0,AB390)</f>
        <v>0</v>
      </c>
      <c r="AH390" s="868">
        <f>IF(U390=AE390+AF390+AG390+AD390,0,AB390)</f>
        <v>0</v>
      </c>
      <c r="AI390" s="886">
        <f>IF(U390=AE390+AF390+AG390+AD390+AH390,0,AB390)</f>
        <v>0</v>
      </c>
      <c r="AJ390" s="886">
        <f>SUM(AD390:AI390)</f>
        <v>0</v>
      </c>
      <c r="AK390" s="868">
        <f t="shared" si="133"/>
        <v>0</v>
      </c>
    </row>
    <row r="391" spans="1:38" s="857" customFormat="1" ht="35.25" customHeight="1" x14ac:dyDescent="0.2">
      <c r="A391" s="857" t="s">
        <v>4136</v>
      </c>
      <c r="B391" s="857" t="e">
        <f t="shared" si="134"/>
        <v>#N/A</v>
      </c>
      <c r="C391" s="857" t="s">
        <v>4146</v>
      </c>
      <c r="D391" s="857" t="s">
        <v>4149</v>
      </c>
      <c r="E391" s="884" t="s">
        <v>4776</v>
      </c>
      <c r="F391" s="855"/>
      <c r="G391" s="878" t="s">
        <v>764</v>
      </c>
      <c r="H391" s="879"/>
      <c r="I391" s="880" t="s">
        <v>3824</v>
      </c>
      <c r="J391" s="880">
        <v>0</v>
      </c>
      <c r="K391" s="880" t="s">
        <v>736</v>
      </c>
      <c r="L391" s="881" t="s">
        <v>739</v>
      </c>
      <c r="M391" s="880">
        <v>6</v>
      </c>
      <c r="N391" s="881">
        <v>102</v>
      </c>
      <c r="O391" s="880" t="s">
        <v>822</v>
      </c>
      <c r="P391" s="1126">
        <v>2004</v>
      </c>
      <c r="Q391" s="880">
        <v>0</v>
      </c>
      <c r="R391" s="880">
        <v>0</v>
      </c>
      <c r="S391" s="880" t="s">
        <v>738</v>
      </c>
      <c r="T391" s="880" t="s">
        <v>12</v>
      </c>
      <c r="U391" s="882">
        <v>841500000</v>
      </c>
      <c r="V391" s="880" t="s">
        <v>43</v>
      </c>
      <c r="W391" s="880">
        <v>0</v>
      </c>
      <c r="X391" s="969"/>
      <c r="Y391" s="884" t="str">
        <f t="shared" si="108"/>
        <v>04.13.02</v>
      </c>
      <c r="Z391" s="884" t="str">
        <f t="shared" si="109"/>
        <v>Jembatan</v>
      </c>
      <c r="AA391" s="884">
        <f t="shared" si="110"/>
        <v>50</v>
      </c>
      <c r="AB391" s="868">
        <f>U391/AA391</f>
        <v>16830000</v>
      </c>
      <c r="AC391" s="885">
        <f>IF(2013-P391+1&gt;AA391,AA391,IF(2013-P391+1&lt;0,0,2013-P391+1))</f>
        <v>10</v>
      </c>
      <c r="AD391" s="868">
        <f>IF(AC391&gt;AA391,U391,AB391*AC391)</f>
        <v>168300000</v>
      </c>
      <c r="AE391" s="868">
        <f>IF(U391=AD391,0,AB391)</f>
        <v>16830000</v>
      </c>
      <c r="AF391" s="868">
        <f>IF(U391=AD391+AE391,0,AB391)</f>
        <v>16830000</v>
      </c>
      <c r="AG391" s="868">
        <f>IF(U391=AD391+AE391+AF391,0,AB391)</f>
        <v>16830000</v>
      </c>
      <c r="AH391" s="868">
        <f>IF(U391=AE391+AF391+AG391+AD391,0,AB391)</f>
        <v>16830000</v>
      </c>
      <c r="AI391" s="886">
        <f>IF(U391=AE391+AF391+AG391+AD391+AH391,0,AB391)</f>
        <v>16830000</v>
      </c>
      <c r="AJ391" s="886">
        <f>SUM(AD391:AI391)</f>
        <v>252450000</v>
      </c>
      <c r="AK391" s="868">
        <f t="shared" si="133"/>
        <v>589050000</v>
      </c>
      <c r="AL391" s="898"/>
    </row>
    <row r="392" spans="1:38" s="857" customFormat="1" ht="35.25" customHeight="1" x14ac:dyDescent="0.2">
      <c r="A392" s="857" t="s">
        <v>4137</v>
      </c>
      <c r="B392" s="857" t="e">
        <f t="shared" si="134"/>
        <v>#N/A</v>
      </c>
      <c r="C392" s="857" t="s">
        <v>4146</v>
      </c>
      <c r="D392" s="857" t="s">
        <v>4151</v>
      </c>
      <c r="E392" s="884" t="s">
        <v>4776</v>
      </c>
      <c r="F392" s="855"/>
      <c r="G392" s="878" t="s">
        <v>764</v>
      </c>
      <c r="H392" s="879"/>
      <c r="I392" s="880" t="s">
        <v>3824</v>
      </c>
      <c r="J392" s="880">
        <v>0</v>
      </c>
      <c r="K392" s="880" t="s">
        <v>238</v>
      </c>
      <c r="L392" s="881" t="s">
        <v>751</v>
      </c>
      <c r="M392" s="880">
        <v>5</v>
      </c>
      <c r="N392" s="881">
        <v>50</v>
      </c>
      <c r="O392" s="880" t="s">
        <v>765</v>
      </c>
      <c r="P392" s="1126">
        <v>2006</v>
      </c>
      <c r="Q392" s="880">
        <v>0</v>
      </c>
      <c r="R392" s="880">
        <v>0</v>
      </c>
      <c r="S392" s="880" t="s">
        <v>741</v>
      </c>
      <c r="T392" s="880" t="s">
        <v>12</v>
      </c>
      <c r="U392" s="882">
        <v>150000000</v>
      </c>
      <c r="V392" s="880" t="s">
        <v>43</v>
      </c>
      <c r="W392" s="880">
        <v>0</v>
      </c>
      <c r="X392" s="969"/>
      <c r="Y392" s="884" t="str">
        <f>LEFT(I392,8)</f>
        <v>04.13.02</v>
      </c>
      <c r="Z392" s="884" t="str">
        <f>VLOOKUP(Y392,UE,3,FALSE)</f>
        <v>Jembatan</v>
      </c>
      <c r="AA392" s="884">
        <f>VLOOKUP(Y392,UE,4,FALSE)</f>
        <v>50</v>
      </c>
      <c r="AB392" s="868">
        <f>U392/AA392</f>
        <v>3000000</v>
      </c>
      <c r="AC392" s="885">
        <f>IF(2013-P392+1&gt;AA392,AA392,IF(2013-P392+1&lt;0,0,2013-P392+1))</f>
        <v>8</v>
      </c>
      <c r="AD392" s="868">
        <f>IF(AC392&gt;AA392,U392,AB392*AC392)</f>
        <v>24000000</v>
      </c>
      <c r="AE392" s="868">
        <f>IF(U392=AD392,0,AB392)</f>
        <v>3000000</v>
      </c>
      <c r="AF392" s="868">
        <f>IF(U392=AD392+AE392,0,AB392)</f>
        <v>3000000</v>
      </c>
      <c r="AG392" s="868">
        <f>IF(U392=AD392+AE392+AF392,0,AB392)</f>
        <v>3000000</v>
      </c>
      <c r="AH392" s="868">
        <f>IF(U392=AE392+AF392+AG392+AD392,0,AB392)</f>
        <v>3000000</v>
      </c>
      <c r="AI392" s="886">
        <f>IF(U392=AE392+AF392+AG392+AD392+AH392,0,AB392)</f>
        <v>3000000</v>
      </c>
      <c r="AJ392" s="886">
        <f>SUM(AD392:AI392)</f>
        <v>39000000</v>
      </c>
      <c r="AK392" s="868">
        <f t="shared" si="133"/>
        <v>111000000</v>
      </c>
      <c r="AL392" s="898"/>
    </row>
    <row r="393" spans="1:38" s="998" customFormat="1" ht="35.25" customHeight="1" x14ac:dyDescent="0.15">
      <c r="A393" s="998" t="s">
        <v>4138</v>
      </c>
      <c r="B393" s="998" t="e">
        <f t="shared" si="134"/>
        <v>#N/A</v>
      </c>
      <c r="C393" s="998" t="s">
        <v>4146</v>
      </c>
      <c r="D393" s="998" t="s">
        <v>4153</v>
      </c>
      <c r="E393" s="999" t="s">
        <v>4247</v>
      </c>
      <c r="F393" s="1000"/>
      <c r="G393" s="1010" t="s">
        <v>1295</v>
      </c>
      <c r="H393" s="1011"/>
      <c r="I393" s="1001" t="s">
        <v>3824</v>
      </c>
      <c r="J393" s="1001">
        <v>0</v>
      </c>
      <c r="K393" s="1001" t="s">
        <v>840</v>
      </c>
      <c r="L393" s="1003">
        <v>0</v>
      </c>
      <c r="M393" s="1001">
        <v>0</v>
      </c>
      <c r="N393" s="1003">
        <v>0</v>
      </c>
      <c r="O393" s="1001" t="s">
        <v>3179</v>
      </c>
      <c r="P393" s="1168">
        <v>2013</v>
      </c>
      <c r="Q393" s="1001">
        <v>0</v>
      </c>
      <c r="R393" s="1001">
        <v>0</v>
      </c>
      <c r="S393" s="1001">
        <v>0</v>
      </c>
      <c r="T393" s="1001" t="s">
        <v>12</v>
      </c>
      <c r="U393" s="1002">
        <f>2229465896+H394</f>
        <v>2921910708</v>
      </c>
      <c r="V393" s="1001">
        <v>0</v>
      </c>
      <c r="W393" s="1001">
        <v>0</v>
      </c>
      <c r="X393" s="1004"/>
      <c r="Y393" s="1005" t="str">
        <f>LEFT(I393,8)</f>
        <v>04.13.02</v>
      </c>
      <c r="Z393" s="1006" t="str">
        <f>VLOOKUP(Y393,UE,3,FALSE)</f>
        <v>Jembatan</v>
      </c>
      <c r="AA393" s="1006">
        <f>VLOOKUP(Y393,UE,4,FALSE)</f>
        <v>50</v>
      </c>
      <c r="AB393" s="1007"/>
      <c r="AC393" s="1008">
        <f>IF(2013-P393&gt;AA393,10,IF(2013-P393&lt;0,0,2013-P393))</f>
        <v>0</v>
      </c>
      <c r="AD393" s="1007"/>
      <c r="AE393" s="1007"/>
      <c r="AF393" s="1007"/>
      <c r="AG393" s="1007"/>
      <c r="AH393" s="1007"/>
      <c r="AI393" s="1009">
        <f>PERHITUNGAN!U1943</f>
        <v>57546427.801600002</v>
      </c>
      <c r="AJ393" s="1009">
        <f>PERHITUNGAN!U1947</f>
        <v>389867884.72959995</v>
      </c>
      <c r="AK393" s="1007">
        <f t="shared" si="133"/>
        <v>2532042823.2704</v>
      </c>
    </row>
    <row r="394" spans="1:38" s="857" customFormat="1" ht="35.25" customHeight="1" x14ac:dyDescent="0.2">
      <c r="A394" s="857" t="s">
        <v>4138</v>
      </c>
      <c r="B394" s="857" t="e">
        <f t="shared" si="134"/>
        <v>#N/A</v>
      </c>
      <c r="C394" s="857" t="s">
        <v>4146</v>
      </c>
      <c r="D394" s="857" t="s">
        <v>4154</v>
      </c>
      <c r="E394" s="884" t="str">
        <f>RIGHT(D394,1)</f>
        <v>2</v>
      </c>
      <c r="F394" s="855"/>
      <c r="G394" s="878" t="s">
        <v>1306</v>
      </c>
      <c r="H394" s="879">
        <v>692444812</v>
      </c>
      <c r="I394" s="880" t="s">
        <v>2494</v>
      </c>
      <c r="J394" s="880">
        <v>0</v>
      </c>
      <c r="K394" s="880">
        <v>0</v>
      </c>
      <c r="L394" s="881">
        <v>0</v>
      </c>
      <c r="M394" s="880">
        <v>0</v>
      </c>
      <c r="N394" s="881">
        <v>0</v>
      </c>
      <c r="O394" s="880" t="s">
        <v>3179</v>
      </c>
      <c r="P394" s="1126">
        <v>2014</v>
      </c>
      <c r="Q394" s="880">
        <v>0</v>
      </c>
      <c r="R394" s="880">
        <v>0</v>
      </c>
      <c r="S394" s="880">
        <v>0</v>
      </c>
      <c r="T394" s="880">
        <v>0</v>
      </c>
      <c r="U394" s="882"/>
      <c r="V394" s="880">
        <v>0</v>
      </c>
      <c r="W394" s="880">
        <v>0</v>
      </c>
      <c r="X394" s="969"/>
      <c r="Y394" s="884" t="str">
        <f>LEFT(I394,8)</f>
        <v>04.13.01</v>
      </c>
      <c r="Z394" s="884" t="str">
        <f>VLOOKUP(Y394,UE,3,FALSE)</f>
        <v>Jalan</v>
      </c>
      <c r="AA394" s="884">
        <f>VLOOKUP(Y394,UE,4,FALSE)</f>
        <v>10</v>
      </c>
      <c r="AB394" s="868">
        <f>U394/AA394</f>
        <v>0</v>
      </c>
      <c r="AC394" s="885">
        <f>IF(2013-P394+1&gt;AA394,AA394,IF(2013-P394+1&lt;0,0,2013-P394+1))</f>
        <v>0</v>
      </c>
      <c r="AD394" s="868">
        <f>IF(AC394&gt;AA394,U394,AB394*AC394)</f>
        <v>0</v>
      </c>
      <c r="AE394" s="868">
        <f>IF(U394=AD394,0,AB394)</f>
        <v>0</v>
      </c>
      <c r="AF394" s="868">
        <f>IF(U394=AD394+AE394,0,AB394)</f>
        <v>0</v>
      </c>
      <c r="AG394" s="868">
        <f>IF(U394=AD394+AE394+AF394,0,AB394)</f>
        <v>0</v>
      </c>
      <c r="AH394" s="868">
        <f>IF(U394=AE394+AF394+AG394+AD394,0,AB394)</f>
        <v>0</v>
      </c>
      <c r="AI394" s="886">
        <f>IF(U394=AE394+AF394+AG394+AD394+AH394,0,AB394)</f>
        <v>0</v>
      </c>
      <c r="AJ394" s="886">
        <f>SUM(AD394:AI394)</f>
        <v>0</v>
      </c>
      <c r="AK394" s="868">
        <f t="shared" si="133"/>
        <v>0</v>
      </c>
    </row>
    <row r="395" spans="1:38" s="998" customFormat="1" ht="35.25" customHeight="1" x14ac:dyDescent="0.15">
      <c r="A395" s="998" t="s">
        <v>4139</v>
      </c>
      <c r="B395" s="998" t="e">
        <f t="shared" si="134"/>
        <v>#N/A</v>
      </c>
      <c r="C395" s="998" t="s">
        <v>4146</v>
      </c>
      <c r="D395" s="998" t="s">
        <v>4155</v>
      </c>
      <c r="E395" s="999" t="s">
        <v>4247</v>
      </c>
      <c r="F395" s="1000"/>
      <c r="G395" s="1010" t="s">
        <v>1267</v>
      </c>
      <c r="H395" s="1011"/>
      <c r="I395" s="1001" t="s">
        <v>3826</v>
      </c>
      <c r="J395" s="1001">
        <v>0</v>
      </c>
      <c r="K395" s="1001" t="s">
        <v>272</v>
      </c>
      <c r="L395" s="1003">
        <v>0</v>
      </c>
      <c r="M395" s="1001">
        <v>0</v>
      </c>
      <c r="N395" s="1003">
        <v>0</v>
      </c>
      <c r="O395" s="1001" t="s">
        <v>3160</v>
      </c>
      <c r="P395" s="1168">
        <v>2012</v>
      </c>
      <c r="Q395" s="1001">
        <v>0</v>
      </c>
      <c r="R395" s="1001">
        <v>0</v>
      </c>
      <c r="S395" s="1001">
        <v>0</v>
      </c>
      <c r="T395" s="1001" t="s">
        <v>12</v>
      </c>
      <c r="U395" s="1002">
        <f>76019206.0299978+H396</f>
        <v>2312273458.0299978</v>
      </c>
      <c r="V395" s="1001" t="s">
        <v>43</v>
      </c>
      <c r="W395" s="1001">
        <v>0</v>
      </c>
      <c r="X395" s="1004"/>
      <c r="Y395" s="1005" t="str">
        <f>LEFT(I395,8)</f>
        <v>04.13.02</v>
      </c>
      <c r="Z395" s="1006" t="str">
        <f>VLOOKUP(Y395,UE,3,FALSE)</f>
        <v>Jembatan</v>
      </c>
      <c r="AA395" s="1006">
        <f>VLOOKUP(Y395,UE,4,FALSE)</f>
        <v>50</v>
      </c>
      <c r="AB395" s="1007"/>
      <c r="AC395" s="1008">
        <f>IF(2013-P395&gt;AA395,10,IF(2013-P395&lt;0,0,2013-P395))</f>
        <v>1</v>
      </c>
      <c r="AD395" s="1007"/>
      <c r="AE395" s="1007"/>
      <c r="AF395" s="1007"/>
      <c r="AG395" s="1007"/>
      <c r="AH395" s="1007"/>
      <c r="AI395" s="1009">
        <f>PERHITUNGAN!U1960</f>
        <v>46184653.795775957</v>
      </c>
      <c r="AJ395" s="1009">
        <f>PERHITUNGAN!U1964</f>
        <v>280148691.01585567</v>
      </c>
      <c r="AK395" s="1007">
        <f t="shared" si="133"/>
        <v>2032124767.014142</v>
      </c>
    </row>
    <row r="396" spans="1:38" s="857" customFormat="1" ht="35.25" customHeight="1" x14ac:dyDescent="0.2">
      <c r="A396" s="857" t="s">
        <v>4139</v>
      </c>
      <c r="B396" s="857" t="e">
        <f t="shared" si="134"/>
        <v>#N/A</v>
      </c>
      <c r="C396" s="857" t="s">
        <v>4146</v>
      </c>
      <c r="D396" s="857" t="s">
        <v>4156</v>
      </c>
      <c r="E396" s="884" t="str">
        <f>RIGHT(D396,1)</f>
        <v>2</v>
      </c>
      <c r="F396" s="855"/>
      <c r="G396" s="878" t="s">
        <v>1298</v>
      </c>
      <c r="H396" s="879">
        <v>2236254252</v>
      </c>
      <c r="I396" s="880" t="s">
        <v>3824</v>
      </c>
      <c r="J396" s="880">
        <v>0</v>
      </c>
      <c r="K396" s="880">
        <v>0</v>
      </c>
      <c r="L396" s="881">
        <v>0</v>
      </c>
      <c r="M396" s="880">
        <v>0</v>
      </c>
      <c r="N396" s="881">
        <v>0</v>
      </c>
      <c r="O396" s="880" t="s">
        <v>3160</v>
      </c>
      <c r="P396" s="1126">
        <v>2014</v>
      </c>
      <c r="Q396" s="880">
        <v>0</v>
      </c>
      <c r="R396" s="880">
        <v>0</v>
      </c>
      <c r="S396" s="880">
        <v>0</v>
      </c>
      <c r="T396" s="880">
        <v>0</v>
      </c>
      <c r="U396" s="882"/>
      <c r="V396" s="880">
        <v>0</v>
      </c>
      <c r="W396" s="880">
        <v>0</v>
      </c>
      <c r="X396" s="969"/>
      <c r="Y396" s="884" t="str">
        <f>LEFT(I396,8)</f>
        <v>04.13.02</v>
      </c>
      <c r="Z396" s="884" t="str">
        <f>VLOOKUP(Y396,UE,3,FALSE)</f>
        <v>Jembatan</v>
      </c>
      <c r="AA396" s="884">
        <f>VLOOKUP(Y396,UE,4,FALSE)</f>
        <v>50</v>
      </c>
      <c r="AB396" s="868">
        <f>U396/AA396</f>
        <v>0</v>
      </c>
      <c r="AC396" s="885">
        <f>IF(2013-P396+1&gt;AA396,AA396,IF(2013-P396+1&lt;0,0,2013-P396+1))</f>
        <v>0</v>
      </c>
      <c r="AD396" s="868">
        <f>IF(AC396&gt;AA396,U396,AB396*AC396)</f>
        <v>0</v>
      </c>
      <c r="AE396" s="868">
        <f>IF(U396=AD396,0,AB396)</f>
        <v>0</v>
      </c>
      <c r="AF396" s="868">
        <f>IF(U396=AD396+AE396,0,AB396)</f>
        <v>0</v>
      </c>
      <c r="AG396" s="868">
        <f>IF(U396=AD396+AE396+AF396,0,AB396)</f>
        <v>0</v>
      </c>
      <c r="AH396" s="868">
        <f>IF(U396=AE396+AF396+AG396+AD396,0,AB396)</f>
        <v>0</v>
      </c>
      <c r="AI396" s="886">
        <f>IF(U396=AE396+AF396+AG396+AD396+AH396,0,AB396)</f>
        <v>0</v>
      </c>
      <c r="AJ396" s="886">
        <f>SUM(AD396:AI396)</f>
        <v>0</v>
      </c>
      <c r="AK396" s="868">
        <f t="shared" si="133"/>
        <v>0</v>
      </c>
    </row>
    <row r="397" spans="1:38" s="857" customFormat="1" ht="35.25" customHeight="1" x14ac:dyDescent="0.2">
      <c r="A397" s="857">
        <v>2</v>
      </c>
      <c r="B397" s="857" t="str">
        <f t="shared" ref="B397:B412" si="135">VLOOKUP(A397,RUAS,2,FALSE)</f>
        <v>JAKE - GERINGGING BARU</v>
      </c>
      <c r="E397" s="884" t="str">
        <f t="shared" ref="E397:E412" si="136">RIGHT(D397,1)</f>
        <v/>
      </c>
      <c r="F397" s="855"/>
      <c r="G397" s="878" t="s">
        <v>1266</v>
      </c>
      <c r="H397" s="879"/>
      <c r="I397" s="880" t="s">
        <v>3824</v>
      </c>
      <c r="J397" s="880"/>
      <c r="K397" s="880" t="s">
        <v>835</v>
      </c>
      <c r="L397" s="881"/>
      <c r="M397" s="880"/>
      <c r="N397" s="881"/>
      <c r="O397" s="880" t="s">
        <v>621</v>
      </c>
      <c r="P397" s="1126">
        <v>2012</v>
      </c>
      <c r="Q397" s="880"/>
      <c r="R397" s="880"/>
      <c r="S397" s="880"/>
      <c r="T397" s="880" t="s">
        <v>12</v>
      </c>
      <c r="U397" s="882">
        <v>1145248023.880646</v>
      </c>
      <c r="V397" s="880" t="s">
        <v>43</v>
      </c>
      <c r="W397" s="880"/>
      <c r="X397" s="969"/>
      <c r="Y397" s="884" t="str">
        <f t="shared" ref="Y397:Y435" si="137">LEFT(I397,8)</f>
        <v>04.13.02</v>
      </c>
      <c r="Z397" s="884" t="str">
        <f t="shared" ref="Z397:Z435" si="138">VLOOKUP(Y397,UE,3,FALSE)</f>
        <v>Jembatan</v>
      </c>
      <c r="AA397" s="884">
        <f t="shared" ref="AA397:AA435" si="139">VLOOKUP(Y397,UE,4,FALSE)</f>
        <v>50</v>
      </c>
      <c r="AB397" s="868">
        <f t="shared" ref="AB397:AB435" si="140">U397/AA397</f>
        <v>22904960.47761292</v>
      </c>
      <c r="AC397" s="885">
        <f t="shared" ref="AC397:AC435" si="141">IF(2013-P397+1&gt;AA397,AA397,IF(2013-P397+1&lt;0,0,2013-P397+1))</f>
        <v>2</v>
      </c>
      <c r="AD397" s="868">
        <f t="shared" ref="AD397:AD435" si="142">IF(AC397&gt;AA397,U397,AB397*AC397)</f>
        <v>45809920.95522584</v>
      </c>
      <c r="AE397" s="868">
        <f t="shared" ref="AE397:AE435" si="143">IF(U397=AD397,0,AB397)</f>
        <v>22904960.47761292</v>
      </c>
      <c r="AF397" s="868">
        <f t="shared" ref="AF397:AF435" si="144">IF(U397=AD397+AE397,0,AB397)</f>
        <v>22904960.47761292</v>
      </c>
      <c r="AG397" s="868">
        <f t="shared" ref="AG397:AG435" si="145">IF(U397=AD397+AE397+AF397,0,AB397)</f>
        <v>22904960.47761292</v>
      </c>
      <c r="AH397" s="868">
        <f t="shared" ref="AH397:AH435" si="146">IF(U397=AE397+AF397+AG397+AD397,0,AB397)</f>
        <v>22904960.47761292</v>
      </c>
      <c r="AI397" s="886">
        <f t="shared" ref="AI397:AI435" si="147">IF(U397=AE397+AF397+AG397+AD397+AH397,0,AB397)</f>
        <v>22904960.47761292</v>
      </c>
      <c r="AJ397" s="886">
        <f t="shared" ref="AJ397:AJ435" si="148">SUM(AD397:AI397)</f>
        <v>160334723.34329042</v>
      </c>
      <c r="AK397" s="868">
        <f t="shared" ref="AK397:AK435" si="149">U397-AJ397</f>
        <v>984913300.53735554</v>
      </c>
    </row>
    <row r="398" spans="1:38" s="857" customFormat="1" ht="35.25" customHeight="1" x14ac:dyDescent="0.2">
      <c r="A398" s="857">
        <v>3</v>
      </c>
      <c r="B398" s="857" t="str">
        <f t="shared" si="135"/>
        <v>JAKE - KOTO KOMBU</v>
      </c>
      <c r="E398" s="884" t="str">
        <f t="shared" si="136"/>
        <v/>
      </c>
      <c r="F398" s="855"/>
      <c r="G398" s="878" t="s">
        <v>742</v>
      </c>
      <c r="H398" s="879"/>
      <c r="I398" s="880" t="s">
        <v>3823</v>
      </c>
      <c r="J398" s="880"/>
      <c r="K398" s="880" t="s">
        <v>736</v>
      </c>
      <c r="L398" s="881" t="s">
        <v>745</v>
      </c>
      <c r="M398" s="880">
        <v>6</v>
      </c>
      <c r="N398" s="881">
        <v>360</v>
      </c>
      <c r="O398" s="880" t="s">
        <v>746</v>
      </c>
      <c r="P398" s="1126">
        <v>1996</v>
      </c>
      <c r="Q398" s="880"/>
      <c r="R398" s="880"/>
      <c r="S398" s="880" t="s">
        <v>747</v>
      </c>
      <c r="T398" s="880" t="s">
        <v>12</v>
      </c>
      <c r="U398" s="882">
        <v>945000000</v>
      </c>
      <c r="V398" s="880" t="s">
        <v>135</v>
      </c>
      <c r="W398" s="880"/>
      <c r="X398" s="969"/>
      <c r="Y398" s="884" t="str">
        <f t="shared" si="137"/>
        <v>04.13.02</v>
      </c>
      <c r="Z398" s="884" t="str">
        <f t="shared" si="138"/>
        <v>Jembatan</v>
      </c>
      <c r="AA398" s="884">
        <f t="shared" si="139"/>
        <v>50</v>
      </c>
      <c r="AB398" s="868">
        <f t="shared" si="140"/>
        <v>18900000</v>
      </c>
      <c r="AC398" s="885">
        <f t="shared" si="141"/>
        <v>18</v>
      </c>
      <c r="AD398" s="868">
        <f t="shared" si="142"/>
        <v>340200000</v>
      </c>
      <c r="AE398" s="868">
        <f t="shared" si="143"/>
        <v>18900000</v>
      </c>
      <c r="AF398" s="868">
        <f t="shared" si="144"/>
        <v>18900000</v>
      </c>
      <c r="AG398" s="868">
        <f t="shared" si="145"/>
        <v>18900000</v>
      </c>
      <c r="AH398" s="868">
        <f t="shared" si="146"/>
        <v>18900000</v>
      </c>
      <c r="AI398" s="886">
        <f t="shared" si="147"/>
        <v>18900000</v>
      </c>
      <c r="AJ398" s="886">
        <f t="shared" si="148"/>
        <v>434700000</v>
      </c>
      <c r="AK398" s="868">
        <f t="shared" si="149"/>
        <v>510300000</v>
      </c>
    </row>
    <row r="399" spans="1:38" s="887" customFormat="1" ht="35.25" customHeight="1" x14ac:dyDescent="0.2">
      <c r="A399" s="887">
        <v>3</v>
      </c>
      <c r="B399" s="857" t="str">
        <f t="shared" si="135"/>
        <v>JAKE - KOTO KOMBU</v>
      </c>
      <c r="E399" s="884" t="str">
        <f t="shared" si="136"/>
        <v/>
      </c>
      <c r="F399" s="888"/>
      <c r="G399" s="919" t="s">
        <v>764</v>
      </c>
      <c r="H399" s="920"/>
      <c r="I399" s="900" t="s">
        <v>3824</v>
      </c>
      <c r="J399" s="901"/>
      <c r="K399" s="900" t="s">
        <v>736</v>
      </c>
      <c r="L399" s="902" t="s">
        <v>796</v>
      </c>
      <c r="M399" s="901">
        <v>6</v>
      </c>
      <c r="N399" s="902">
        <v>24</v>
      </c>
      <c r="O399" s="863" t="s">
        <v>800</v>
      </c>
      <c r="P399" s="861">
        <v>2004</v>
      </c>
      <c r="Q399" s="901"/>
      <c r="R399" s="901"/>
      <c r="S399" s="901" t="s">
        <v>738</v>
      </c>
      <c r="T399" s="903" t="s">
        <v>12</v>
      </c>
      <c r="U399" s="904">
        <v>140400000</v>
      </c>
      <c r="V399" s="905" t="s">
        <v>43</v>
      </c>
      <c r="W399" s="906"/>
      <c r="X399" s="970"/>
      <c r="Y399" s="884" t="str">
        <f t="shared" si="137"/>
        <v>04.13.02</v>
      </c>
      <c r="Z399" s="884" t="str">
        <f t="shared" si="138"/>
        <v>Jembatan</v>
      </c>
      <c r="AA399" s="884">
        <f t="shared" si="139"/>
        <v>50</v>
      </c>
      <c r="AB399" s="868">
        <f t="shared" si="140"/>
        <v>2808000</v>
      </c>
      <c r="AC399" s="885">
        <f t="shared" si="141"/>
        <v>10</v>
      </c>
      <c r="AD399" s="868">
        <f t="shared" si="142"/>
        <v>28080000</v>
      </c>
      <c r="AE399" s="868">
        <f t="shared" si="143"/>
        <v>2808000</v>
      </c>
      <c r="AF399" s="868">
        <f t="shared" si="144"/>
        <v>2808000</v>
      </c>
      <c r="AG399" s="868">
        <f t="shared" si="145"/>
        <v>2808000</v>
      </c>
      <c r="AH399" s="868">
        <f t="shared" si="146"/>
        <v>2808000</v>
      </c>
      <c r="AI399" s="886">
        <f t="shared" si="147"/>
        <v>2808000</v>
      </c>
      <c r="AJ399" s="886">
        <f t="shared" si="148"/>
        <v>42120000</v>
      </c>
      <c r="AK399" s="868">
        <f t="shared" si="149"/>
        <v>98280000</v>
      </c>
    </row>
    <row r="400" spans="1:38" s="857" customFormat="1" ht="35.25" customHeight="1" x14ac:dyDescent="0.2">
      <c r="A400" s="857">
        <v>3</v>
      </c>
      <c r="B400" s="857" t="str">
        <f t="shared" si="135"/>
        <v>JAKE - KOTO KOMBU</v>
      </c>
      <c r="E400" s="884" t="str">
        <f t="shared" si="136"/>
        <v/>
      </c>
      <c r="F400" s="855"/>
      <c r="G400" s="878" t="s">
        <v>764</v>
      </c>
      <c r="H400" s="879"/>
      <c r="I400" s="861" t="s">
        <v>3824</v>
      </c>
      <c r="J400" s="871"/>
      <c r="K400" s="861" t="s">
        <v>736</v>
      </c>
      <c r="L400" s="856" t="s">
        <v>796</v>
      </c>
      <c r="M400" s="862">
        <v>6</v>
      </c>
      <c r="N400" s="856">
        <v>24</v>
      </c>
      <c r="O400" s="863" t="s">
        <v>797</v>
      </c>
      <c r="P400" s="861">
        <v>2004</v>
      </c>
      <c r="Q400" s="862"/>
      <c r="R400" s="862"/>
      <c r="S400" s="862" t="s">
        <v>738</v>
      </c>
      <c r="T400" s="862" t="s">
        <v>12</v>
      </c>
      <c r="U400" s="899">
        <v>140400000</v>
      </c>
      <c r="V400" s="861" t="s">
        <v>43</v>
      </c>
      <c r="W400" s="865"/>
      <c r="X400" s="968"/>
      <c r="Y400" s="884" t="str">
        <f t="shared" si="137"/>
        <v>04.13.02</v>
      </c>
      <c r="Z400" s="884" t="str">
        <f t="shared" si="138"/>
        <v>Jembatan</v>
      </c>
      <c r="AA400" s="884">
        <f t="shared" si="139"/>
        <v>50</v>
      </c>
      <c r="AB400" s="868">
        <f t="shared" si="140"/>
        <v>2808000</v>
      </c>
      <c r="AC400" s="885">
        <f t="shared" si="141"/>
        <v>10</v>
      </c>
      <c r="AD400" s="868">
        <f t="shared" si="142"/>
        <v>28080000</v>
      </c>
      <c r="AE400" s="868">
        <f t="shared" si="143"/>
        <v>2808000</v>
      </c>
      <c r="AF400" s="868">
        <f t="shared" si="144"/>
        <v>2808000</v>
      </c>
      <c r="AG400" s="868">
        <f t="shared" si="145"/>
        <v>2808000</v>
      </c>
      <c r="AH400" s="868">
        <f t="shared" si="146"/>
        <v>2808000</v>
      </c>
      <c r="AI400" s="886">
        <f t="shared" si="147"/>
        <v>2808000</v>
      </c>
      <c r="AJ400" s="886">
        <f t="shared" si="148"/>
        <v>42120000</v>
      </c>
      <c r="AK400" s="868">
        <f t="shared" si="149"/>
        <v>98280000</v>
      </c>
    </row>
    <row r="401" spans="1:37" s="857" customFormat="1" ht="35.25" customHeight="1" x14ac:dyDescent="0.2">
      <c r="A401" s="857">
        <v>3</v>
      </c>
      <c r="B401" s="857" t="str">
        <f t="shared" si="135"/>
        <v>JAKE - KOTO KOMBU</v>
      </c>
      <c r="E401" s="884" t="str">
        <f t="shared" si="136"/>
        <v/>
      </c>
      <c r="F401" s="855"/>
      <c r="G401" s="878" t="s">
        <v>742</v>
      </c>
      <c r="H401" s="879"/>
      <c r="I401" s="880" t="s">
        <v>3823</v>
      </c>
      <c r="J401" s="880"/>
      <c r="K401" s="880" t="s">
        <v>736</v>
      </c>
      <c r="L401" s="881" t="s">
        <v>756</v>
      </c>
      <c r="M401" s="880">
        <v>6</v>
      </c>
      <c r="N401" s="881">
        <v>870</v>
      </c>
      <c r="O401" s="880" t="s">
        <v>757</v>
      </c>
      <c r="P401" s="1126">
        <v>2005</v>
      </c>
      <c r="Q401" s="880"/>
      <c r="R401" s="880"/>
      <c r="S401" s="880" t="s">
        <v>758</v>
      </c>
      <c r="T401" s="880" t="s">
        <v>12</v>
      </c>
      <c r="U401" s="882">
        <v>7177500000</v>
      </c>
      <c r="V401" s="880" t="s">
        <v>43</v>
      </c>
      <c r="W401" s="880"/>
      <c r="X401" s="969"/>
      <c r="Y401" s="884" t="str">
        <f t="shared" si="137"/>
        <v>04.13.02</v>
      </c>
      <c r="Z401" s="884" t="str">
        <f t="shared" si="138"/>
        <v>Jembatan</v>
      </c>
      <c r="AA401" s="884">
        <f t="shared" si="139"/>
        <v>50</v>
      </c>
      <c r="AB401" s="868">
        <f t="shared" si="140"/>
        <v>143550000</v>
      </c>
      <c r="AC401" s="885">
        <f t="shared" si="141"/>
        <v>9</v>
      </c>
      <c r="AD401" s="868">
        <f t="shared" si="142"/>
        <v>1291950000</v>
      </c>
      <c r="AE401" s="868">
        <f t="shared" si="143"/>
        <v>143550000</v>
      </c>
      <c r="AF401" s="868">
        <f t="shared" si="144"/>
        <v>143550000</v>
      </c>
      <c r="AG401" s="868">
        <f t="shared" si="145"/>
        <v>143550000</v>
      </c>
      <c r="AH401" s="868">
        <f t="shared" si="146"/>
        <v>143550000</v>
      </c>
      <c r="AI401" s="886">
        <f t="shared" si="147"/>
        <v>143550000</v>
      </c>
      <c r="AJ401" s="886">
        <f t="shared" si="148"/>
        <v>2009700000</v>
      </c>
      <c r="AK401" s="868">
        <f t="shared" si="149"/>
        <v>5167800000</v>
      </c>
    </row>
    <row r="402" spans="1:37" s="857" customFormat="1" ht="35.25" customHeight="1" x14ac:dyDescent="0.2">
      <c r="A402" s="857">
        <v>4</v>
      </c>
      <c r="B402" s="857" t="str">
        <f t="shared" si="135"/>
        <v>SENTAJO - MUARA LANGSAT</v>
      </c>
      <c r="E402" s="884" t="str">
        <f t="shared" si="136"/>
        <v/>
      </c>
      <c r="F402" s="855"/>
      <c r="G402" s="878" t="s">
        <v>742</v>
      </c>
      <c r="H402" s="879"/>
      <c r="I402" s="880" t="s">
        <v>3823</v>
      </c>
      <c r="J402" s="880"/>
      <c r="K402" s="880" t="s">
        <v>736</v>
      </c>
      <c r="L402" s="881" t="s">
        <v>759</v>
      </c>
      <c r="M402" s="880">
        <v>7</v>
      </c>
      <c r="N402" s="881">
        <v>42</v>
      </c>
      <c r="O402" s="880" t="s">
        <v>760</v>
      </c>
      <c r="P402" s="1126">
        <v>2006</v>
      </c>
      <c r="Q402" s="880"/>
      <c r="R402" s="880"/>
      <c r="S402" s="880" t="s">
        <v>741</v>
      </c>
      <c r="T402" s="880" t="s">
        <v>12</v>
      </c>
      <c r="U402" s="882">
        <v>336000000</v>
      </c>
      <c r="V402" s="880" t="s">
        <v>43</v>
      </c>
      <c r="W402" s="880"/>
      <c r="X402" s="969"/>
      <c r="Y402" s="884" t="str">
        <f t="shared" si="137"/>
        <v>04.13.02</v>
      </c>
      <c r="Z402" s="884" t="str">
        <f t="shared" si="138"/>
        <v>Jembatan</v>
      </c>
      <c r="AA402" s="884">
        <f t="shared" si="139"/>
        <v>50</v>
      </c>
      <c r="AB402" s="868">
        <f t="shared" si="140"/>
        <v>6720000</v>
      </c>
      <c r="AC402" s="885">
        <f t="shared" si="141"/>
        <v>8</v>
      </c>
      <c r="AD402" s="868">
        <f t="shared" si="142"/>
        <v>53760000</v>
      </c>
      <c r="AE402" s="868">
        <f t="shared" si="143"/>
        <v>6720000</v>
      </c>
      <c r="AF402" s="868">
        <f t="shared" si="144"/>
        <v>6720000</v>
      </c>
      <c r="AG402" s="868">
        <f t="shared" si="145"/>
        <v>6720000</v>
      </c>
      <c r="AH402" s="868">
        <f t="shared" si="146"/>
        <v>6720000</v>
      </c>
      <c r="AI402" s="886">
        <f t="shared" si="147"/>
        <v>6720000</v>
      </c>
      <c r="AJ402" s="886">
        <f t="shared" si="148"/>
        <v>87360000</v>
      </c>
      <c r="AK402" s="868">
        <f t="shared" si="149"/>
        <v>248640000</v>
      </c>
    </row>
    <row r="403" spans="1:37" s="857" customFormat="1" ht="35.25" customHeight="1" x14ac:dyDescent="0.2">
      <c r="A403" s="857">
        <v>27</v>
      </c>
      <c r="B403" s="857" t="str">
        <f t="shared" si="135"/>
        <v>JL. SEB. TELUK - SIBEROBAH</v>
      </c>
      <c r="E403" s="884" t="str">
        <f t="shared" si="136"/>
        <v/>
      </c>
      <c r="F403" s="855"/>
      <c r="G403" s="878" t="s">
        <v>764</v>
      </c>
      <c r="H403" s="879"/>
      <c r="I403" s="861" t="s">
        <v>3824</v>
      </c>
      <c r="J403" s="871"/>
      <c r="K403" s="861" t="s">
        <v>736</v>
      </c>
      <c r="L403" s="856" t="s">
        <v>766</v>
      </c>
      <c r="M403" s="862">
        <v>6</v>
      </c>
      <c r="N403" s="856">
        <v>90</v>
      </c>
      <c r="O403" s="863" t="s">
        <v>823</v>
      </c>
      <c r="P403" s="861">
        <v>2001</v>
      </c>
      <c r="Q403" s="862"/>
      <c r="R403" s="862"/>
      <c r="S403" s="862" t="s">
        <v>824</v>
      </c>
      <c r="T403" s="862" t="s">
        <v>12</v>
      </c>
      <c r="U403" s="899">
        <v>495000000</v>
      </c>
      <c r="V403" s="861" t="s">
        <v>43</v>
      </c>
      <c r="W403" s="865"/>
      <c r="X403" s="968"/>
      <c r="Y403" s="884" t="str">
        <f t="shared" si="137"/>
        <v>04.13.02</v>
      </c>
      <c r="Z403" s="884" t="str">
        <f t="shared" si="138"/>
        <v>Jembatan</v>
      </c>
      <c r="AA403" s="884">
        <f t="shared" si="139"/>
        <v>50</v>
      </c>
      <c r="AB403" s="868">
        <f t="shared" si="140"/>
        <v>9900000</v>
      </c>
      <c r="AC403" s="885">
        <f t="shared" si="141"/>
        <v>13</v>
      </c>
      <c r="AD403" s="868">
        <f t="shared" si="142"/>
        <v>128700000</v>
      </c>
      <c r="AE403" s="868">
        <f t="shared" si="143"/>
        <v>9900000</v>
      </c>
      <c r="AF403" s="868">
        <f t="shared" si="144"/>
        <v>9900000</v>
      </c>
      <c r="AG403" s="868">
        <f t="shared" si="145"/>
        <v>9900000</v>
      </c>
      <c r="AH403" s="868">
        <f t="shared" si="146"/>
        <v>9900000</v>
      </c>
      <c r="AI403" s="886">
        <f t="shared" si="147"/>
        <v>9900000</v>
      </c>
      <c r="AJ403" s="886">
        <f t="shared" si="148"/>
        <v>178200000</v>
      </c>
      <c r="AK403" s="868">
        <f t="shared" si="149"/>
        <v>316800000</v>
      </c>
    </row>
    <row r="404" spans="1:37" s="857" customFormat="1" ht="35.25" customHeight="1" x14ac:dyDescent="0.2">
      <c r="A404" s="857">
        <v>27</v>
      </c>
      <c r="B404" s="857" t="str">
        <f t="shared" si="135"/>
        <v>JL. SEB. TELUK - SIBEROBAH</v>
      </c>
      <c r="E404" s="884" t="str">
        <f t="shared" si="136"/>
        <v/>
      </c>
      <c r="F404" s="855"/>
      <c r="G404" s="878" t="s">
        <v>735</v>
      </c>
      <c r="H404" s="879"/>
      <c r="I404" s="861" t="s">
        <v>3825</v>
      </c>
      <c r="J404" s="871"/>
      <c r="K404" s="861" t="s">
        <v>736</v>
      </c>
      <c r="L404" s="856" t="s">
        <v>766</v>
      </c>
      <c r="M404" s="862">
        <v>6</v>
      </c>
      <c r="N404" s="856">
        <v>90</v>
      </c>
      <c r="O404" s="863" t="s">
        <v>827</v>
      </c>
      <c r="P404" s="861">
        <v>2001</v>
      </c>
      <c r="Q404" s="862"/>
      <c r="R404" s="862"/>
      <c r="S404" s="862" t="s">
        <v>824</v>
      </c>
      <c r="T404" s="862" t="s">
        <v>12</v>
      </c>
      <c r="U404" s="899">
        <v>495000000</v>
      </c>
      <c r="V404" s="861" t="s">
        <v>43</v>
      </c>
      <c r="W404" s="865"/>
      <c r="X404" s="968"/>
      <c r="Y404" s="884" t="str">
        <f t="shared" si="137"/>
        <v>04.13.02</v>
      </c>
      <c r="Z404" s="884" t="str">
        <f t="shared" si="138"/>
        <v>Jembatan</v>
      </c>
      <c r="AA404" s="884">
        <f t="shared" si="139"/>
        <v>50</v>
      </c>
      <c r="AB404" s="868">
        <f t="shared" si="140"/>
        <v>9900000</v>
      </c>
      <c r="AC404" s="885">
        <f t="shared" si="141"/>
        <v>13</v>
      </c>
      <c r="AD404" s="868">
        <f t="shared" si="142"/>
        <v>128700000</v>
      </c>
      <c r="AE404" s="868">
        <f t="shared" si="143"/>
        <v>9900000</v>
      </c>
      <c r="AF404" s="868">
        <f t="shared" si="144"/>
        <v>9900000</v>
      </c>
      <c r="AG404" s="868">
        <f t="shared" si="145"/>
        <v>9900000</v>
      </c>
      <c r="AH404" s="868">
        <f t="shared" si="146"/>
        <v>9900000</v>
      </c>
      <c r="AI404" s="886">
        <f t="shared" si="147"/>
        <v>9900000</v>
      </c>
      <c r="AJ404" s="886">
        <f t="shared" si="148"/>
        <v>178200000</v>
      </c>
      <c r="AK404" s="868">
        <f t="shared" si="149"/>
        <v>316800000</v>
      </c>
    </row>
    <row r="405" spans="1:37" s="857" customFormat="1" ht="35.25" customHeight="1" x14ac:dyDescent="0.2">
      <c r="A405" s="857">
        <v>27</v>
      </c>
      <c r="B405" s="857" t="str">
        <f t="shared" si="135"/>
        <v>JL. SEB. TELUK - SIBEROBAH</v>
      </c>
      <c r="E405" s="884" t="str">
        <f t="shared" si="136"/>
        <v/>
      </c>
      <c r="F405" s="855"/>
      <c r="G405" s="878" t="s">
        <v>1180</v>
      </c>
      <c r="H405" s="879"/>
      <c r="I405" s="861" t="s">
        <v>3822</v>
      </c>
      <c r="J405" s="871"/>
      <c r="K405" s="861" t="s">
        <v>835</v>
      </c>
      <c r="L405" s="856"/>
      <c r="M405" s="862"/>
      <c r="N405" s="856">
        <v>40</v>
      </c>
      <c r="O405" s="863" t="s">
        <v>3110</v>
      </c>
      <c r="P405" s="861">
        <v>2007</v>
      </c>
      <c r="Q405" s="862"/>
      <c r="R405" s="862"/>
      <c r="S405" s="862"/>
      <c r="T405" s="862" t="s">
        <v>12</v>
      </c>
      <c r="U405" s="899">
        <v>890878662.61464095</v>
      </c>
      <c r="V405" s="861" t="s">
        <v>43</v>
      </c>
      <c r="W405" s="865"/>
      <c r="X405" s="968"/>
      <c r="Y405" s="884" t="str">
        <f t="shared" si="137"/>
        <v>04.13.02</v>
      </c>
      <c r="Z405" s="884" t="str">
        <f t="shared" si="138"/>
        <v>Jembatan</v>
      </c>
      <c r="AA405" s="884">
        <f t="shared" si="139"/>
        <v>50</v>
      </c>
      <c r="AB405" s="868">
        <f t="shared" si="140"/>
        <v>17817573.252292819</v>
      </c>
      <c r="AC405" s="885">
        <f t="shared" si="141"/>
        <v>7</v>
      </c>
      <c r="AD405" s="868">
        <f t="shared" si="142"/>
        <v>124723012.76604974</v>
      </c>
      <c r="AE405" s="868">
        <f t="shared" si="143"/>
        <v>17817573.252292819</v>
      </c>
      <c r="AF405" s="868">
        <f t="shared" si="144"/>
        <v>17817573.252292819</v>
      </c>
      <c r="AG405" s="868">
        <f t="shared" si="145"/>
        <v>17817573.252292819</v>
      </c>
      <c r="AH405" s="868">
        <f t="shared" si="146"/>
        <v>17817573.252292819</v>
      </c>
      <c r="AI405" s="886">
        <f t="shared" si="147"/>
        <v>17817573.252292819</v>
      </c>
      <c r="AJ405" s="886">
        <f t="shared" si="148"/>
        <v>213810879.0275138</v>
      </c>
      <c r="AK405" s="868">
        <f t="shared" si="149"/>
        <v>677067783.58712721</v>
      </c>
    </row>
    <row r="406" spans="1:37" s="857" customFormat="1" ht="35.25" customHeight="1" x14ac:dyDescent="0.2">
      <c r="A406" s="857">
        <v>83</v>
      </c>
      <c r="B406" s="857" t="str">
        <f t="shared" si="135"/>
        <v>LUBUK JAMBI - LUBUK AMBACANG</v>
      </c>
      <c r="E406" s="884" t="str">
        <f t="shared" si="136"/>
        <v/>
      </c>
      <c r="F406" s="855"/>
      <c r="G406" s="878" t="s">
        <v>764</v>
      </c>
      <c r="H406" s="879"/>
      <c r="I406" s="861" t="s">
        <v>3824</v>
      </c>
      <c r="J406" s="871"/>
      <c r="K406" s="861" t="s">
        <v>736</v>
      </c>
      <c r="L406" s="856" t="s">
        <v>745</v>
      </c>
      <c r="M406" s="862">
        <v>8</v>
      </c>
      <c r="N406" s="856">
        <v>480</v>
      </c>
      <c r="O406" s="863" t="s">
        <v>780</v>
      </c>
      <c r="P406" s="861">
        <v>1999</v>
      </c>
      <c r="Q406" s="862"/>
      <c r="R406" s="862"/>
      <c r="S406" s="862" t="s">
        <v>768</v>
      </c>
      <c r="T406" s="862" t="s">
        <v>12</v>
      </c>
      <c r="U406" s="899">
        <v>3168000000</v>
      </c>
      <c r="V406" s="861" t="s">
        <v>43</v>
      </c>
      <c r="W406" s="865"/>
      <c r="X406" s="968"/>
      <c r="Y406" s="884" t="str">
        <f t="shared" si="137"/>
        <v>04.13.02</v>
      </c>
      <c r="Z406" s="884" t="str">
        <f t="shared" si="138"/>
        <v>Jembatan</v>
      </c>
      <c r="AA406" s="884">
        <f t="shared" si="139"/>
        <v>50</v>
      </c>
      <c r="AB406" s="868">
        <f t="shared" si="140"/>
        <v>63360000</v>
      </c>
      <c r="AC406" s="885">
        <f t="shared" si="141"/>
        <v>15</v>
      </c>
      <c r="AD406" s="868">
        <f t="shared" si="142"/>
        <v>950400000</v>
      </c>
      <c r="AE406" s="868">
        <f t="shared" si="143"/>
        <v>63360000</v>
      </c>
      <c r="AF406" s="868">
        <f t="shared" si="144"/>
        <v>63360000</v>
      </c>
      <c r="AG406" s="868">
        <f t="shared" si="145"/>
        <v>63360000</v>
      </c>
      <c r="AH406" s="868">
        <f t="shared" si="146"/>
        <v>63360000</v>
      </c>
      <c r="AI406" s="886">
        <f t="shared" si="147"/>
        <v>63360000</v>
      </c>
      <c r="AJ406" s="886">
        <f t="shared" si="148"/>
        <v>1267200000</v>
      </c>
      <c r="AK406" s="868">
        <f t="shared" si="149"/>
        <v>1900800000</v>
      </c>
    </row>
    <row r="407" spans="1:37" s="857" customFormat="1" ht="35.25" customHeight="1" x14ac:dyDescent="0.2">
      <c r="A407" s="857">
        <v>83</v>
      </c>
      <c r="B407" s="857" t="str">
        <f t="shared" si="135"/>
        <v>LUBUK JAMBI - LUBUK AMBACANG</v>
      </c>
      <c r="E407" s="884" t="str">
        <f t="shared" si="136"/>
        <v/>
      </c>
      <c r="F407" s="855"/>
      <c r="G407" s="878" t="s">
        <v>764</v>
      </c>
      <c r="H407" s="879"/>
      <c r="I407" s="861" t="s">
        <v>3824</v>
      </c>
      <c r="J407" s="871"/>
      <c r="K407" s="861" t="s">
        <v>736</v>
      </c>
      <c r="L407" s="856" t="s">
        <v>772</v>
      </c>
      <c r="M407" s="862">
        <v>6</v>
      </c>
      <c r="N407" s="856">
        <v>150</v>
      </c>
      <c r="O407" s="863" t="s">
        <v>773</v>
      </c>
      <c r="P407" s="861">
        <v>2003</v>
      </c>
      <c r="Q407" s="862"/>
      <c r="R407" s="862"/>
      <c r="S407" s="862" t="s">
        <v>774</v>
      </c>
      <c r="T407" s="862" t="s">
        <v>12</v>
      </c>
      <c r="U407" s="899">
        <v>1155000000</v>
      </c>
      <c r="V407" s="861" t="s">
        <v>43</v>
      </c>
      <c r="W407" s="865"/>
      <c r="X407" s="968"/>
      <c r="Y407" s="884" t="str">
        <f t="shared" si="137"/>
        <v>04.13.02</v>
      </c>
      <c r="Z407" s="884" t="str">
        <f t="shared" si="138"/>
        <v>Jembatan</v>
      </c>
      <c r="AA407" s="884">
        <f t="shared" si="139"/>
        <v>50</v>
      </c>
      <c r="AB407" s="868">
        <f t="shared" si="140"/>
        <v>23100000</v>
      </c>
      <c r="AC407" s="885">
        <f t="shared" si="141"/>
        <v>11</v>
      </c>
      <c r="AD407" s="868">
        <f t="shared" si="142"/>
        <v>254100000</v>
      </c>
      <c r="AE407" s="868">
        <f t="shared" si="143"/>
        <v>23100000</v>
      </c>
      <c r="AF407" s="868">
        <f t="shared" si="144"/>
        <v>23100000</v>
      </c>
      <c r="AG407" s="868">
        <f t="shared" si="145"/>
        <v>23100000</v>
      </c>
      <c r="AH407" s="868">
        <f t="shared" si="146"/>
        <v>23100000</v>
      </c>
      <c r="AI407" s="886">
        <f t="shared" si="147"/>
        <v>23100000</v>
      </c>
      <c r="AJ407" s="886">
        <f t="shared" si="148"/>
        <v>369600000</v>
      </c>
      <c r="AK407" s="868">
        <f t="shared" si="149"/>
        <v>785400000</v>
      </c>
    </row>
    <row r="408" spans="1:37" s="857" customFormat="1" ht="35.25" customHeight="1" x14ac:dyDescent="0.2">
      <c r="A408" s="857">
        <v>90</v>
      </c>
      <c r="B408" s="857" t="str">
        <f t="shared" si="135"/>
        <v>SANGAU - SIBEROBAH</v>
      </c>
      <c r="E408" s="884" t="str">
        <f t="shared" si="136"/>
        <v/>
      </c>
      <c r="F408" s="855"/>
      <c r="G408" s="878" t="s">
        <v>1184</v>
      </c>
      <c r="H408" s="879"/>
      <c r="I408" s="861" t="s">
        <v>3822</v>
      </c>
      <c r="J408" s="871"/>
      <c r="K408" s="861" t="s">
        <v>835</v>
      </c>
      <c r="L408" s="856"/>
      <c r="M408" s="862"/>
      <c r="N408" s="856">
        <v>15</v>
      </c>
      <c r="O408" s="863" t="s">
        <v>3111</v>
      </c>
      <c r="P408" s="861">
        <v>2007</v>
      </c>
      <c r="Q408" s="862"/>
      <c r="R408" s="862"/>
      <c r="S408" s="862"/>
      <c r="T408" s="862" t="s">
        <v>12</v>
      </c>
      <c r="U408" s="899">
        <v>738816590.76175904</v>
      </c>
      <c r="V408" s="861" t="s">
        <v>43</v>
      </c>
      <c r="W408" s="865"/>
      <c r="X408" s="968"/>
      <c r="Y408" s="884" t="str">
        <f t="shared" si="137"/>
        <v>04.13.02</v>
      </c>
      <c r="Z408" s="884" t="str">
        <f t="shared" si="138"/>
        <v>Jembatan</v>
      </c>
      <c r="AA408" s="884">
        <f t="shared" si="139"/>
        <v>50</v>
      </c>
      <c r="AB408" s="868">
        <f t="shared" si="140"/>
        <v>14776331.815235181</v>
      </c>
      <c r="AC408" s="885">
        <f t="shared" si="141"/>
        <v>7</v>
      </c>
      <c r="AD408" s="868">
        <f t="shared" si="142"/>
        <v>103434322.70664626</v>
      </c>
      <c r="AE408" s="868">
        <f t="shared" si="143"/>
        <v>14776331.815235181</v>
      </c>
      <c r="AF408" s="868">
        <f t="shared" si="144"/>
        <v>14776331.815235181</v>
      </c>
      <c r="AG408" s="868">
        <f t="shared" si="145"/>
        <v>14776331.815235181</v>
      </c>
      <c r="AH408" s="868">
        <f t="shared" si="146"/>
        <v>14776331.815235181</v>
      </c>
      <c r="AI408" s="886">
        <f t="shared" si="147"/>
        <v>14776331.815235181</v>
      </c>
      <c r="AJ408" s="886">
        <f t="shared" si="148"/>
        <v>177315981.78282213</v>
      </c>
      <c r="AK408" s="868">
        <f t="shared" si="149"/>
        <v>561500608.97893691</v>
      </c>
    </row>
    <row r="409" spans="1:37" s="857" customFormat="1" ht="35.25" customHeight="1" x14ac:dyDescent="0.2">
      <c r="A409" s="857">
        <v>92</v>
      </c>
      <c r="B409" s="857" t="str">
        <f t="shared" si="135"/>
        <v>SIMP. 4 PANGKALAN - MUARA PETAI</v>
      </c>
      <c r="E409" s="884" t="str">
        <f t="shared" si="136"/>
        <v/>
      </c>
      <c r="F409" s="855"/>
      <c r="G409" s="878" t="s">
        <v>1265</v>
      </c>
      <c r="H409" s="879"/>
      <c r="I409" s="861" t="s">
        <v>3824</v>
      </c>
      <c r="J409" s="871"/>
      <c r="K409" s="861" t="s">
        <v>835</v>
      </c>
      <c r="L409" s="856"/>
      <c r="M409" s="862"/>
      <c r="N409" s="856"/>
      <c r="O409" s="863" t="s">
        <v>3159</v>
      </c>
      <c r="P409" s="861">
        <v>2012</v>
      </c>
      <c r="Q409" s="862"/>
      <c r="R409" s="862"/>
      <c r="S409" s="862"/>
      <c r="T409" s="862" t="s">
        <v>12</v>
      </c>
      <c r="U409" s="899">
        <v>1032348746.5314332</v>
      </c>
      <c r="V409" s="861" t="s">
        <v>43</v>
      </c>
      <c r="W409" s="865"/>
      <c r="X409" s="968"/>
      <c r="Y409" s="884" t="str">
        <f t="shared" si="137"/>
        <v>04.13.02</v>
      </c>
      <c r="Z409" s="884" t="str">
        <f t="shared" si="138"/>
        <v>Jembatan</v>
      </c>
      <c r="AA409" s="884">
        <f t="shared" si="139"/>
        <v>50</v>
      </c>
      <c r="AB409" s="868">
        <f t="shared" si="140"/>
        <v>20646974.930628665</v>
      </c>
      <c r="AC409" s="885">
        <f t="shared" si="141"/>
        <v>2</v>
      </c>
      <c r="AD409" s="868">
        <f t="shared" si="142"/>
        <v>41293949.86125733</v>
      </c>
      <c r="AE409" s="868">
        <f t="shared" si="143"/>
        <v>20646974.930628665</v>
      </c>
      <c r="AF409" s="868">
        <f t="shared" si="144"/>
        <v>20646974.930628665</v>
      </c>
      <c r="AG409" s="868">
        <f t="shared" si="145"/>
        <v>20646974.930628665</v>
      </c>
      <c r="AH409" s="868">
        <f t="shared" si="146"/>
        <v>20646974.930628665</v>
      </c>
      <c r="AI409" s="886">
        <f t="shared" si="147"/>
        <v>20646974.930628665</v>
      </c>
      <c r="AJ409" s="886">
        <f t="shared" si="148"/>
        <v>144528824.51440063</v>
      </c>
      <c r="AK409" s="868">
        <f t="shared" si="149"/>
        <v>887819922.01703262</v>
      </c>
    </row>
    <row r="410" spans="1:37" s="857" customFormat="1" ht="35.25" customHeight="1" x14ac:dyDescent="0.2">
      <c r="A410" s="857">
        <v>98</v>
      </c>
      <c r="B410" s="857" t="str">
        <f t="shared" si="135"/>
        <v>JL. DESA TANJUNG - JK. RUAS 083/083</v>
      </c>
      <c r="E410" s="884" t="str">
        <f t="shared" si="136"/>
        <v/>
      </c>
      <c r="F410" s="855"/>
      <c r="G410" s="878" t="s">
        <v>764</v>
      </c>
      <c r="H410" s="879"/>
      <c r="I410" s="861" t="s">
        <v>3824</v>
      </c>
      <c r="J410" s="871"/>
      <c r="K410" s="861" t="s">
        <v>736</v>
      </c>
      <c r="L410" s="856" t="s">
        <v>775</v>
      </c>
      <c r="M410" s="862">
        <v>6</v>
      </c>
      <c r="N410" s="856">
        <v>48</v>
      </c>
      <c r="O410" s="863" t="s">
        <v>795</v>
      </c>
      <c r="P410" s="861">
        <v>2006</v>
      </c>
      <c r="Q410" s="862"/>
      <c r="R410" s="862"/>
      <c r="S410" s="862" t="s">
        <v>741</v>
      </c>
      <c r="T410" s="862" t="s">
        <v>12</v>
      </c>
      <c r="U410" s="899">
        <v>324000000</v>
      </c>
      <c r="V410" s="861" t="s">
        <v>43</v>
      </c>
      <c r="W410" s="865"/>
      <c r="X410" s="968"/>
      <c r="Y410" s="884" t="str">
        <f t="shared" si="137"/>
        <v>04.13.02</v>
      </c>
      <c r="Z410" s="884" t="str">
        <f t="shared" si="138"/>
        <v>Jembatan</v>
      </c>
      <c r="AA410" s="884">
        <f t="shared" si="139"/>
        <v>50</v>
      </c>
      <c r="AB410" s="868">
        <f t="shared" si="140"/>
        <v>6480000</v>
      </c>
      <c r="AC410" s="885">
        <f t="shared" si="141"/>
        <v>8</v>
      </c>
      <c r="AD410" s="868">
        <f t="shared" si="142"/>
        <v>51840000</v>
      </c>
      <c r="AE410" s="868">
        <f t="shared" si="143"/>
        <v>6480000</v>
      </c>
      <c r="AF410" s="868">
        <f t="shared" si="144"/>
        <v>6480000</v>
      </c>
      <c r="AG410" s="868">
        <f t="shared" si="145"/>
        <v>6480000</v>
      </c>
      <c r="AH410" s="868">
        <f t="shared" si="146"/>
        <v>6480000</v>
      </c>
      <c r="AI410" s="886">
        <f t="shared" si="147"/>
        <v>6480000</v>
      </c>
      <c r="AJ410" s="886">
        <f t="shared" si="148"/>
        <v>84240000</v>
      </c>
      <c r="AK410" s="868">
        <f t="shared" si="149"/>
        <v>239760000</v>
      </c>
    </row>
    <row r="411" spans="1:37" s="857" customFormat="1" ht="35.25" customHeight="1" x14ac:dyDescent="0.2">
      <c r="A411" s="857">
        <v>102</v>
      </c>
      <c r="B411" s="857" t="str">
        <f t="shared" si="135"/>
        <v>JL. DESA PETAPAHAN - JK. RUAS 106/106</v>
      </c>
      <c r="E411" s="884" t="str">
        <f t="shared" si="136"/>
        <v/>
      </c>
      <c r="F411" s="855"/>
      <c r="G411" s="878" t="s">
        <v>764</v>
      </c>
      <c r="H411" s="879"/>
      <c r="I411" s="861" t="s">
        <v>3824</v>
      </c>
      <c r="J411" s="871"/>
      <c r="K411" s="861" t="s">
        <v>736</v>
      </c>
      <c r="L411" s="856" t="s">
        <v>775</v>
      </c>
      <c r="M411" s="862">
        <v>8</v>
      </c>
      <c r="N411" s="856">
        <v>64</v>
      </c>
      <c r="O411" s="863" t="s">
        <v>819</v>
      </c>
      <c r="P411" s="861">
        <v>2006</v>
      </c>
      <c r="Q411" s="862"/>
      <c r="R411" s="862"/>
      <c r="S411" s="862" t="s">
        <v>741</v>
      </c>
      <c r="T411" s="862" t="s">
        <v>12</v>
      </c>
      <c r="U411" s="899">
        <v>528000000</v>
      </c>
      <c r="V411" s="861" t="s">
        <v>43</v>
      </c>
      <c r="W411" s="865"/>
      <c r="X411" s="968"/>
      <c r="Y411" s="884" t="str">
        <f t="shared" si="137"/>
        <v>04.13.02</v>
      </c>
      <c r="Z411" s="884" t="str">
        <f t="shared" si="138"/>
        <v>Jembatan</v>
      </c>
      <c r="AA411" s="884">
        <f t="shared" si="139"/>
        <v>50</v>
      </c>
      <c r="AB411" s="868">
        <f t="shared" si="140"/>
        <v>10560000</v>
      </c>
      <c r="AC411" s="885">
        <f t="shared" si="141"/>
        <v>8</v>
      </c>
      <c r="AD411" s="868">
        <f t="shared" si="142"/>
        <v>84480000</v>
      </c>
      <c r="AE411" s="868">
        <f t="shared" si="143"/>
        <v>10560000</v>
      </c>
      <c r="AF411" s="868">
        <f t="shared" si="144"/>
        <v>10560000</v>
      </c>
      <c r="AG411" s="868">
        <f t="shared" si="145"/>
        <v>10560000</v>
      </c>
      <c r="AH411" s="868">
        <f t="shared" si="146"/>
        <v>10560000</v>
      </c>
      <c r="AI411" s="886">
        <f t="shared" si="147"/>
        <v>10560000</v>
      </c>
      <c r="AJ411" s="886">
        <f t="shared" si="148"/>
        <v>137280000</v>
      </c>
      <c r="AK411" s="868">
        <f t="shared" si="149"/>
        <v>390720000</v>
      </c>
    </row>
    <row r="412" spans="1:37" s="857" customFormat="1" ht="35.25" customHeight="1" x14ac:dyDescent="0.2">
      <c r="A412" s="857">
        <v>111</v>
      </c>
      <c r="B412" s="857" t="str">
        <f t="shared" si="135"/>
        <v>MUARA PETAI - SETIANG</v>
      </c>
      <c r="E412" s="884" t="str">
        <f t="shared" si="136"/>
        <v/>
      </c>
      <c r="F412" s="855"/>
      <c r="G412" s="878" t="s">
        <v>764</v>
      </c>
      <c r="H412" s="879"/>
      <c r="I412" s="861" t="s">
        <v>3824</v>
      </c>
      <c r="J412" s="871"/>
      <c r="K412" s="861" t="s">
        <v>238</v>
      </c>
      <c r="L412" s="856" t="s">
        <v>766</v>
      </c>
      <c r="M412" s="862">
        <v>4.5</v>
      </c>
      <c r="N412" s="856">
        <v>67.5</v>
      </c>
      <c r="O412" s="863" t="s">
        <v>767</v>
      </c>
      <c r="P412" s="861">
        <v>1999</v>
      </c>
      <c r="Q412" s="862"/>
      <c r="R412" s="862"/>
      <c r="S412" s="862" t="s">
        <v>768</v>
      </c>
      <c r="T412" s="862" t="s">
        <v>12</v>
      </c>
      <c r="U412" s="899">
        <v>162000000</v>
      </c>
      <c r="V412" s="861" t="s">
        <v>43</v>
      </c>
      <c r="W412" s="865"/>
      <c r="X412" s="968"/>
      <c r="Y412" s="884" t="str">
        <f t="shared" si="137"/>
        <v>04.13.02</v>
      </c>
      <c r="Z412" s="884" t="str">
        <f t="shared" si="138"/>
        <v>Jembatan</v>
      </c>
      <c r="AA412" s="884">
        <f t="shared" si="139"/>
        <v>50</v>
      </c>
      <c r="AB412" s="868">
        <f t="shared" si="140"/>
        <v>3240000</v>
      </c>
      <c r="AC412" s="885">
        <f t="shared" si="141"/>
        <v>15</v>
      </c>
      <c r="AD412" s="868">
        <f t="shared" si="142"/>
        <v>48600000</v>
      </c>
      <c r="AE412" s="868">
        <f t="shared" si="143"/>
        <v>3240000</v>
      </c>
      <c r="AF412" s="868">
        <f t="shared" si="144"/>
        <v>3240000</v>
      </c>
      <c r="AG412" s="868">
        <f t="shared" si="145"/>
        <v>3240000</v>
      </c>
      <c r="AH412" s="868">
        <f t="shared" si="146"/>
        <v>3240000</v>
      </c>
      <c r="AI412" s="886">
        <f t="shared" si="147"/>
        <v>3240000</v>
      </c>
      <c r="AJ412" s="886">
        <f t="shared" si="148"/>
        <v>64800000</v>
      </c>
      <c r="AK412" s="868">
        <f t="shared" si="149"/>
        <v>97200000</v>
      </c>
    </row>
    <row r="413" spans="1:37" s="891" customFormat="1" ht="35.25" customHeight="1" x14ac:dyDescent="0.15">
      <c r="A413" s="891">
        <v>117</v>
      </c>
      <c r="B413" s="891" t="str">
        <f>VLOOKUP(A413,RUAS,2,FALSE)</f>
        <v>KAMPUNG BARU TOAR - GUNUNG</v>
      </c>
      <c r="E413" s="1016" t="s">
        <v>4777</v>
      </c>
      <c r="F413" s="897"/>
      <c r="G413" s="893" t="s">
        <v>764</v>
      </c>
      <c r="H413" s="894"/>
      <c r="I413" s="1020" t="s">
        <v>3824</v>
      </c>
      <c r="J413" s="1021"/>
      <c r="K413" s="1020" t="s">
        <v>736</v>
      </c>
      <c r="L413" s="1022" t="s">
        <v>739</v>
      </c>
      <c r="M413" s="1023">
        <v>6</v>
      </c>
      <c r="N413" s="1022">
        <v>102</v>
      </c>
      <c r="O413" s="1024" t="s">
        <v>664</v>
      </c>
      <c r="P413" s="1020">
        <v>2006</v>
      </c>
      <c r="Q413" s="1023"/>
      <c r="R413" s="1023"/>
      <c r="S413" s="1023" t="s">
        <v>741</v>
      </c>
      <c r="T413" s="1023" t="s">
        <v>12</v>
      </c>
      <c r="U413" s="1025">
        <v>841500000</v>
      </c>
      <c r="V413" s="1020" t="s">
        <v>43</v>
      </c>
      <c r="W413" s="1026"/>
      <c r="X413" s="1027"/>
      <c r="Y413" s="895" t="str">
        <f t="shared" si="137"/>
        <v>04.13.02</v>
      </c>
      <c r="Z413" s="896" t="str">
        <f t="shared" si="138"/>
        <v>Jembatan</v>
      </c>
      <c r="AA413" s="896">
        <f t="shared" si="139"/>
        <v>50</v>
      </c>
      <c r="AB413" s="1017">
        <f t="shared" si="140"/>
        <v>16830000</v>
      </c>
      <c r="AC413" s="1018">
        <f t="shared" si="141"/>
        <v>8</v>
      </c>
      <c r="AD413" s="1017">
        <f t="shared" si="142"/>
        <v>134640000</v>
      </c>
      <c r="AE413" s="1017">
        <f t="shared" si="143"/>
        <v>16830000</v>
      </c>
      <c r="AF413" s="1017">
        <f t="shared" si="144"/>
        <v>16830000</v>
      </c>
      <c r="AG413" s="1017">
        <f t="shared" si="145"/>
        <v>16830000</v>
      </c>
      <c r="AH413" s="1017">
        <f t="shared" si="146"/>
        <v>16830000</v>
      </c>
      <c r="AI413" s="1019">
        <f t="shared" si="147"/>
        <v>16830000</v>
      </c>
      <c r="AJ413" s="1019">
        <f t="shared" si="148"/>
        <v>218790000</v>
      </c>
      <c r="AK413" s="1017">
        <f t="shared" si="149"/>
        <v>622710000</v>
      </c>
    </row>
    <row r="414" spans="1:37" s="857" customFormat="1" ht="35.25" customHeight="1" x14ac:dyDescent="0.2">
      <c r="A414" s="857">
        <v>129</v>
      </c>
      <c r="B414" s="857" t="str">
        <f t="shared" ref="B414:B435" si="150">VLOOKUP(A414,RUAS,2,FALSE)</f>
        <v>BASERAH - PERHENTIAN LUAS</v>
      </c>
      <c r="E414" s="884" t="str">
        <f t="shared" ref="E414:E435" si="151">RIGHT(D414,1)</f>
        <v/>
      </c>
      <c r="F414" s="855"/>
      <c r="G414" s="878" t="s">
        <v>764</v>
      </c>
      <c r="H414" s="879"/>
      <c r="I414" s="861" t="s">
        <v>3824</v>
      </c>
      <c r="J414" s="871"/>
      <c r="K414" s="861" t="s">
        <v>736</v>
      </c>
      <c r="L414" s="856" t="s">
        <v>759</v>
      </c>
      <c r="M414" s="862">
        <v>10</v>
      </c>
      <c r="N414" s="856">
        <v>60</v>
      </c>
      <c r="O414" s="863" t="s">
        <v>792</v>
      </c>
      <c r="P414" s="861">
        <v>2006</v>
      </c>
      <c r="Q414" s="862"/>
      <c r="R414" s="862"/>
      <c r="S414" s="862" t="s">
        <v>741</v>
      </c>
      <c r="T414" s="862" t="s">
        <v>655</v>
      </c>
      <c r="U414" s="899">
        <v>432000000</v>
      </c>
      <c r="V414" s="861" t="s">
        <v>43</v>
      </c>
      <c r="W414" s="865"/>
      <c r="X414" s="968"/>
      <c r="Y414" s="884" t="str">
        <f t="shared" si="137"/>
        <v>04.13.02</v>
      </c>
      <c r="Z414" s="884" t="str">
        <f t="shared" si="138"/>
        <v>Jembatan</v>
      </c>
      <c r="AA414" s="884">
        <f t="shared" si="139"/>
        <v>50</v>
      </c>
      <c r="AB414" s="868">
        <f t="shared" si="140"/>
        <v>8640000</v>
      </c>
      <c r="AC414" s="885">
        <f t="shared" si="141"/>
        <v>8</v>
      </c>
      <c r="AD414" s="868">
        <f t="shared" si="142"/>
        <v>69120000</v>
      </c>
      <c r="AE414" s="868">
        <f t="shared" si="143"/>
        <v>8640000</v>
      </c>
      <c r="AF414" s="868">
        <f t="shared" si="144"/>
        <v>8640000</v>
      </c>
      <c r="AG414" s="868">
        <f t="shared" si="145"/>
        <v>8640000</v>
      </c>
      <c r="AH414" s="868">
        <f t="shared" si="146"/>
        <v>8640000</v>
      </c>
      <c r="AI414" s="886">
        <f t="shared" si="147"/>
        <v>8640000</v>
      </c>
      <c r="AJ414" s="886">
        <f t="shared" si="148"/>
        <v>112320000</v>
      </c>
      <c r="AK414" s="868">
        <f t="shared" si="149"/>
        <v>319680000</v>
      </c>
    </row>
    <row r="415" spans="1:37" s="857" customFormat="1" ht="35.25" customHeight="1" x14ac:dyDescent="0.2">
      <c r="A415" s="857">
        <v>131</v>
      </c>
      <c r="B415" s="857" t="str">
        <f t="shared" si="150"/>
        <v>SIMP. TERATAK BARU - TERATAK BARU</v>
      </c>
      <c r="E415" s="884" t="str">
        <f t="shared" si="151"/>
        <v/>
      </c>
      <c r="F415" s="855"/>
      <c r="G415" s="878" t="s">
        <v>764</v>
      </c>
      <c r="H415" s="879"/>
      <c r="I415" s="861" t="s">
        <v>3824</v>
      </c>
      <c r="J415" s="871"/>
      <c r="K415" s="861" t="s">
        <v>736</v>
      </c>
      <c r="L415" s="856" t="s">
        <v>820</v>
      </c>
      <c r="M415" s="862">
        <v>6</v>
      </c>
      <c r="N415" s="856">
        <v>276</v>
      </c>
      <c r="O415" s="863" t="s">
        <v>821</v>
      </c>
      <c r="P415" s="861">
        <v>1987</v>
      </c>
      <c r="Q415" s="862"/>
      <c r="R415" s="862"/>
      <c r="S415" s="862" t="s">
        <v>770</v>
      </c>
      <c r="T415" s="862" t="s">
        <v>655</v>
      </c>
      <c r="U415" s="899">
        <v>2125200000</v>
      </c>
      <c r="V415" s="861" t="s">
        <v>43</v>
      </c>
      <c r="W415" s="865"/>
      <c r="X415" s="968"/>
      <c r="Y415" s="884" t="str">
        <f t="shared" si="137"/>
        <v>04.13.02</v>
      </c>
      <c r="Z415" s="884" t="str">
        <f t="shared" si="138"/>
        <v>Jembatan</v>
      </c>
      <c r="AA415" s="884">
        <f t="shared" si="139"/>
        <v>50</v>
      </c>
      <c r="AB415" s="868">
        <f t="shared" si="140"/>
        <v>42504000</v>
      </c>
      <c r="AC415" s="885">
        <f t="shared" si="141"/>
        <v>27</v>
      </c>
      <c r="AD415" s="868">
        <f t="shared" si="142"/>
        <v>1147608000</v>
      </c>
      <c r="AE415" s="868">
        <f t="shared" si="143"/>
        <v>42504000</v>
      </c>
      <c r="AF415" s="868">
        <f t="shared" si="144"/>
        <v>42504000</v>
      </c>
      <c r="AG415" s="868">
        <f t="shared" si="145"/>
        <v>42504000</v>
      </c>
      <c r="AH415" s="868">
        <f t="shared" si="146"/>
        <v>42504000</v>
      </c>
      <c r="AI415" s="886">
        <f t="shared" si="147"/>
        <v>42504000</v>
      </c>
      <c r="AJ415" s="886">
        <f t="shared" si="148"/>
        <v>1360128000</v>
      </c>
      <c r="AK415" s="868">
        <f t="shared" si="149"/>
        <v>765072000</v>
      </c>
    </row>
    <row r="416" spans="1:37" s="857" customFormat="1" ht="35.25" customHeight="1" x14ac:dyDescent="0.2">
      <c r="A416" s="857">
        <v>132</v>
      </c>
      <c r="B416" s="857" t="str">
        <f t="shared" si="150"/>
        <v>DUSUN TUO - GUNUNG MELINTANG</v>
      </c>
      <c r="E416" s="884" t="str">
        <f t="shared" si="151"/>
        <v/>
      </c>
      <c r="F416" s="855"/>
      <c r="G416" s="878" t="s">
        <v>764</v>
      </c>
      <c r="H416" s="879"/>
      <c r="I416" s="861" t="s">
        <v>3824</v>
      </c>
      <c r="J416" s="871"/>
      <c r="K416" s="861" t="s">
        <v>736</v>
      </c>
      <c r="L416" s="856" t="s">
        <v>759</v>
      </c>
      <c r="M416" s="862">
        <v>6</v>
      </c>
      <c r="N416" s="856">
        <v>36</v>
      </c>
      <c r="O416" s="863" t="s">
        <v>793</v>
      </c>
      <c r="P416" s="861">
        <v>1992</v>
      </c>
      <c r="Q416" s="862"/>
      <c r="R416" s="862"/>
      <c r="S416" s="862" t="s">
        <v>794</v>
      </c>
      <c r="T416" s="862" t="s">
        <v>655</v>
      </c>
      <c r="U416" s="899">
        <v>226800000</v>
      </c>
      <c r="V416" s="861" t="s">
        <v>43</v>
      </c>
      <c r="W416" s="865"/>
      <c r="X416" s="968"/>
      <c r="Y416" s="884" t="str">
        <f t="shared" si="137"/>
        <v>04.13.02</v>
      </c>
      <c r="Z416" s="884" t="str">
        <f t="shared" si="138"/>
        <v>Jembatan</v>
      </c>
      <c r="AA416" s="884">
        <f t="shared" si="139"/>
        <v>50</v>
      </c>
      <c r="AB416" s="868">
        <f t="shared" si="140"/>
        <v>4536000</v>
      </c>
      <c r="AC416" s="885">
        <f t="shared" si="141"/>
        <v>22</v>
      </c>
      <c r="AD416" s="868">
        <f t="shared" si="142"/>
        <v>99792000</v>
      </c>
      <c r="AE416" s="868">
        <f t="shared" si="143"/>
        <v>4536000</v>
      </c>
      <c r="AF416" s="868">
        <f t="shared" si="144"/>
        <v>4536000</v>
      </c>
      <c r="AG416" s="868">
        <f t="shared" si="145"/>
        <v>4536000</v>
      </c>
      <c r="AH416" s="868">
        <f t="shared" si="146"/>
        <v>4536000</v>
      </c>
      <c r="AI416" s="886">
        <f t="shared" si="147"/>
        <v>4536000</v>
      </c>
      <c r="AJ416" s="886">
        <f t="shared" si="148"/>
        <v>122472000</v>
      </c>
      <c r="AK416" s="868">
        <f t="shared" si="149"/>
        <v>104328000</v>
      </c>
    </row>
    <row r="417" spans="1:37" s="857" customFormat="1" ht="35.25" customHeight="1" x14ac:dyDescent="0.2">
      <c r="A417" s="857">
        <v>153</v>
      </c>
      <c r="B417" s="857" t="str">
        <f t="shared" si="150"/>
        <v>JL. LINGKAR PASAR 2 - JL. PELAJAR 2</v>
      </c>
      <c r="E417" s="884" t="str">
        <f t="shared" si="151"/>
        <v/>
      </c>
      <c r="F417" s="855"/>
      <c r="G417" s="878" t="s">
        <v>764</v>
      </c>
      <c r="H417" s="879"/>
      <c r="I417" s="861" t="s">
        <v>3824</v>
      </c>
      <c r="J417" s="871"/>
      <c r="K417" s="861" t="s">
        <v>736</v>
      </c>
      <c r="L417" s="856" t="s">
        <v>759</v>
      </c>
      <c r="M417" s="862">
        <v>6</v>
      </c>
      <c r="N417" s="856">
        <v>36</v>
      </c>
      <c r="O417" s="863" t="s">
        <v>805</v>
      </c>
      <c r="P417" s="861">
        <v>1995</v>
      </c>
      <c r="Q417" s="862"/>
      <c r="R417" s="862"/>
      <c r="S417" s="862" t="s">
        <v>806</v>
      </c>
      <c r="T417" s="862" t="s">
        <v>655</v>
      </c>
      <c r="U417" s="899">
        <v>252000000</v>
      </c>
      <c r="V417" s="861" t="s">
        <v>43</v>
      </c>
      <c r="W417" s="865"/>
      <c r="X417" s="968"/>
      <c r="Y417" s="884" t="str">
        <f t="shared" si="137"/>
        <v>04.13.02</v>
      </c>
      <c r="Z417" s="884" t="str">
        <f t="shared" si="138"/>
        <v>Jembatan</v>
      </c>
      <c r="AA417" s="884">
        <f t="shared" si="139"/>
        <v>50</v>
      </c>
      <c r="AB417" s="868">
        <f t="shared" si="140"/>
        <v>5040000</v>
      </c>
      <c r="AC417" s="885">
        <f t="shared" si="141"/>
        <v>19</v>
      </c>
      <c r="AD417" s="868">
        <f t="shared" si="142"/>
        <v>95760000</v>
      </c>
      <c r="AE417" s="868">
        <f t="shared" si="143"/>
        <v>5040000</v>
      </c>
      <c r="AF417" s="868">
        <f t="shared" si="144"/>
        <v>5040000</v>
      </c>
      <c r="AG417" s="868">
        <f t="shared" si="145"/>
        <v>5040000</v>
      </c>
      <c r="AH417" s="868">
        <f t="shared" si="146"/>
        <v>5040000</v>
      </c>
      <c r="AI417" s="886">
        <f t="shared" si="147"/>
        <v>5040000</v>
      </c>
      <c r="AJ417" s="886">
        <f t="shared" si="148"/>
        <v>120960000</v>
      </c>
      <c r="AK417" s="868">
        <f t="shared" si="149"/>
        <v>131040000</v>
      </c>
    </row>
    <row r="418" spans="1:37" s="857" customFormat="1" ht="35.25" customHeight="1" x14ac:dyDescent="0.2">
      <c r="A418" s="857">
        <v>161</v>
      </c>
      <c r="B418" s="857" t="str">
        <f t="shared" si="150"/>
        <v>KOTO RAJO - PL. JAMBU</v>
      </c>
      <c r="E418" s="884" t="str">
        <f t="shared" si="151"/>
        <v/>
      </c>
      <c r="F418" s="890"/>
      <c r="G418" s="862" t="s">
        <v>764</v>
      </c>
      <c r="H418" s="899"/>
      <c r="I418" s="907" t="s">
        <v>3824</v>
      </c>
      <c r="J418" s="903"/>
      <c r="K418" s="862" t="s">
        <v>736</v>
      </c>
      <c r="L418" s="908" t="s">
        <v>775</v>
      </c>
      <c r="M418" s="862">
        <v>6</v>
      </c>
      <c r="N418" s="909">
        <v>48</v>
      </c>
      <c r="O418" s="863" t="s">
        <v>802</v>
      </c>
      <c r="P418" s="903">
        <v>2005</v>
      </c>
      <c r="Q418" s="862"/>
      <c r="R418" s="862"/>
      <c r="S418" s="862" t="s">
        <v>758</v>
      </c>
      <c r="T418" s="903" t="s">
        <v>12</v>
      </c>
      <c r="U418" s="910">
        <v>384000000</v>
      </c>
      <c r="V418" s="905" t="s">
        <v>43</v>
      </c>
      <c r="W418" s="906"/>
      <c r="X418" s="970"/>
      <c r="Y418" s="884" t="str">
        <f t="shared" si="137"/>
        <v>04.13.02</v>
      </c>
      <c r="Z418" s="884" t="str">
        <f t="shared" si="138"/>
        <v>Jembatan</v>
      </c>
      <c r="AA418" s="884">
        <f t="shared" si="139"/>
        <v>50</v>
      </c>
      <c r="AB418" s="868">
        <f t="shared" si="140"/>
        <v>7680000</v>
      </c>
      <c r="AC418" s="885">
        <f t="shared" si="141"/>
        <v>9</v>
      </c>
      <c r="AD418" s="868">
        <f t="shared" si="142"/>
        <v>69120000</v>
      </c>
      <c r="AE418" s="868">
        <f t="shared" si="143"/>
        <v>7680000</v>
      </c>
      <c r="AF418" s="868">
        <f t="shared" si="144"/>
        <v>7680000</v>
      </c>
      <c r="AG418" s="868">
        <f t="shared" si="145"/>
        <v>7680000</v>
      </c>
      <c r="AH418" s="868">
        <f t="shared" si="146"/>
        <v>7680000</v>
      </c>
      <c r="AI418" s="886">
        <f t="shared" si="147"/>
        <v>7680000</v>
      </c>
      <c r="AJ418" s="886">
        <f t="shared" si="148"/>
        <v>107520000</v>
      </c>
      <c r="AK418" s="868">
        <f t="shared" si="149"/>
        <v>276480000</v>
      </c>
    </row>
    <row r="419" spans="1:37" s="887" customFormat="1" ht="35.25" customHeight="1" x14ac:dyDescent="0.2">
      <c r="A419" s="887">
        <v>161</v>
      </c>
      <c r="B419" s="857" t="str">
        <f t="shared" si="150"/>
        <v>KOTO RAJO - PL. JAMBU</v>
      </c>
      <c r="E419" s="884" t="str">
        <f t="shared" si="151"/>
        <v/>
      </c>
      <c r="F419" s="888"/>
      <c r="G419" s="919" t="s">
        <v>764</v>
      </c>
      <c r="H419" s="920"/>
      <c r="I419" s="900" t="s">
        <v>3824</v>
      </c>
      <c r="J419" s="901"/>
      <c r="K419" s="900" t="s">
        <v>736</v>
      </c>
      <c r="L419" s="902" t="s">
        <v>513</v>
      </c>
      <c r="M419" s="901">
        <v>6</v>
      </c>
      <c r="N419" s="902">
        <v>96</v>
      </c>
      <c r="O419" s="863" t="s">
        <v>801</v>
      </c>
      <c r="P419" s="900">
        <v>2006</v>
      </c>
      <c r="Q419" s="901"/>
      <c r="R419" s="901"/>
      <c r="S419" s="901" t="s">
        <v>741</v>
      </c>
      <c r="T419" s="903" t="s">
        <v>12</v>
      </c>
      <c r="U419" s="904">
        <v>720000000</v>
      </c>
      <c r="V419" s="905" t="s">
        <v>43</v>
      </c>
      <c r="W419" s="906"/>
      <c r="X419" s="970"/>
      <c r="Y419" s="884" t="str">
        <f t="shared" si="137"/>
        <v>04.13.02</v>
      </c>
      <c r="Z419" s="884" t="str">
        <f t="shared" si="138"/>
        <v>Jembatan</v>
      </c>
      <c r="AA419" s="884">
        <f t="shared" si="139"/>
        <v>50</v>
      </c>
      <c r="AB419" s="868">
        <f t="shared" si="140"/>
        <v>14400000</v>
      </c>
      <c r="AC419" s="885">
        <f t="shared" si="141"/>
        <v>8</v>
      </c>
      <c r="AD419" s="868">
        <f t="shared" si="142"/>
        <v>115200000</v>
      </c>
      <c r="AE419" s="868">
        <f t="shared" si="143"/>
        <v>14400000</v>
      </c>
      <c r="AF419" s="868">
        <f t="shared" si="144"/>
        <v>14400000</v>
      </c>
      <c r="AG419" s="868">
        <f t="shared" si="145"/>
        <v>14400000</v>
      </c>
      <c r="AH419" s="868">
        <f t="shared" si="146"/>
        <v>14400000</v>
      </c>
      <c r="AI419" s="886">
        <f t="shared" si="147"/>
        <v>14400000</v>
      </c>
      <c r="AJ419" s="886">
        <f t="shared" si="148"/>
        <v>187200000</v>
      </c>
      <c r="AK419" s="868">
        <f t="shared" si="149"/>
        <v>532800000</v>
      </c>
    </row>
    <row r="420" spans="1:37" s="857" customFormat="1" ht="35.25" customHeight="1" x14ac:dyDescent="0.2">
      <c r="A420" s="857">
        <v>161</v>
      </c>
      <c r="B420" s="857" t="str">
        <f t="shared" si="150"/>
        <v>KOTO RAJO - PL. JAMBU</v>
      </c>
      <c r="E420" s="884" t="str">
        <f t="shared" si="151"/>
        <v/>
      </c>
      <c r="F420" s="855"/>
      <c r="G420" s="878" t="s">
        <v>764</v>
      </c>
      <c r="H420" s="879"/>
      <c r="I420" s="861" t="s">
        <v>3824</v>
      </c>
      <c r="J420" s="871"/>
      <c r="K420" s="861" t="s">
        <v>736</v>
      </c>
      <c r="L420" s="856" t="s">
        <v>772</v>
      </c>
      <c r="M420" s="862">
        <v>6</v>
      </c>
      <c r="N420" s="856">
        <v>150</v>
      </c>
      <c r="O420" s="863" t="s">
        <v>818</v>
      </c>
      <c r="P420" s="861">
        <v>2006</v>
      </c>
      <c r="Q420" s="862"/>
      <c r="R420" s="862"/>
      <c r="S420" s="862" t="s">
        <v>741</v>
      </c>
      <c r="T420" s="862" t="s">
        <v>12</v>
      </c>
      <c r="U420" s="899">
        <v>1320000000</v>
      </c>
      <c r="V420" s="861" t="s">
        <v>43</v>
      </c>
      <c r="W420" s="865"/>
      <c r="X420" s="968"/>
      <c r="Y420" s="884" t="str">
        <f t="shared" si="137"/>
        <v>04.13.02</v>
      </c>
      <c r="Z420" s="884" t="str">
        <f t="shared" si="138"/>
        <v>Jembatan</v>
      </c>
      <c r="AA420" s="884">
        <f t="shared" si="139"/>
        <v>50</v>
      </c>
      <c r="AB420" s="868">
        <f t="shared" si="140"/>
        <v>26400000</v>
      </c>
      <c r="AC420" s="885">
        <f t="shared" si="141"/>
        <v>8</v>
      </c>
      <c r="AD420" s="868">
        <f t="shared" si="142"/>
        <v>211200000</v>
      </c>
      <c r="AE420" s="868">
        <f t="shared" si="143"/>
        <v>26400000</v>
      </c>
      <c r="AF420" s="868">
        <f t="shared" si="144"/>
        <v>26400000</v>
      </c>
      <c r="AG420" s="868">
        <f t="shared" si="145"/>
        <v>26400000</v>
      </c>
      <c r="AH420" s="868">
        <f t="shared" si="146"/>
        <v>26400000</v>
      </c>
      <c r="AI420" s="886">
        <f t="shared" si="147"/>
        <v>26400000</v>
      </c>
      <c r="AJ420" s="886">
        <f t="shared" si="148"/>
        <v>343200000</v>
      </c>
      <c r="AK420" s="868">
        <f t="shared" si="149"/>
        <v>976800000</v>
      </c>
    </row>
    <row r="421" spans="1:37" s="857" customFormat="1" ht="35.25" customHeight="1" x14ac:dyDescent="0.2">
      <c r="A421" s="857" t="s">
        <v>4897</v>
      </c>
      <c r="B421" s="857" t="e">
        <f t="shared" si="150"/>
        <v>#N/A</v>
      </c>
      <c r="E421" s="884" t="str">
        <f t="shared" si="151"/>
        <v/>
      </c>
      <c r="F421" s="855"/>
      <c r="G421" s="878" t="s">
        <v>764</v>
      </c>
      <c r="H421" s="879"/>
      <c r="I421" s="861" t="s">
        <v>3824</v>
      </c>
      <c r="J421" s="871"/>
      <c r="K421" s="861" t="s">
        <v>736</v>
      </c>
      <c r="L421" s="856" t="s">
        <v>814</v>
      </c>
      <c r="M421" s="862">
        <v>6</v>
      </c>
      <c r="N421" s="856">
        <v>240</v>
      </c>
      <c r="O421" s="863" t="s">
        <v>815</v>
      </c>
      <c r="P421" s="861">
        <v>1988</v>
      </c>
      <c r="Q421" s="862"/>
      <c r="R421" s="862"/>
      <c r="S421" s="862" t="s">
        <v>816</v>
      </c>
      <c r="T421" s="862" t="s">
        <v>655</v>
      </c>
      <c r="U421" s="899">
        <v>1848000000</v>
      </c>
      <c r="V421" s="861" t="s">
        <v>43</v>
      </c>
      <c r="W421" s="865"/>
      <c r="X421" s="968"/>
      <c r="Y421" s="884" t="str">
        <f t="shared" si="137"/>
        <v>04.13.02</v>
      </c>
      <c r="Z421" s="884" t="str">
        <f t="shared" si="138"/>
        <v>Jembatan</v>
      </c>
      <c r="AA421" s="884">
        <f t="shared" si="139"/>
        <v>50</v>
      </c>
      <c r="AB421" s="868">
        <f t="shared" si="140"/>
        <v>36960000</v>
      </c>
      <c r="AC421" s="885">
        <f t="shared" si="141"/>
        <v>26</v>
      </c>
      <c r="AD421" s="868">
        <f t="shared" si="142"/>
        <v>960960000</v>
      </c>
      <c r="AE421" s="868">
        <f t="shared" si="143"/>
        <v>36960000</v>
      </c>
      <c r="AF421" s="868">
        <f t="shared" si="144"/>
        <v>36960000</v>
      </c>
      <c r="AG421" s="868">
        <f t="shared" si="145"/>
        <v>36960000</v>
      </c>
      <c r="AH421" s="868">
        <f t="shared" si="146"/>
        <v>36960000</v>
      </c>
      <c r="AI421" s="886">
        <f t="shared" si="147"/>
        <v>36960000</v>
      </c>
      <c r="AJ421" s="886">
        <f t="shared" si="148"/>
        <v>1145760000</v>
      </c>
      <c r="AK421" s="868">
        <f t="shared" si="149"/>
        <v>702240000</v>
      </c>
    </row>
    <row r="422" spans="1:37" s="887" customFormat="1" ht="35.25" customHeight="1" thickBot="1" x14ac:dyDescent="0.25">
      <c r="A422" s="887">
        <v>165</v>
      </c>
      <c r="B422" s="857" t="str">
        <f t="shared" si="150"/>
        <v>SAKO - TRANS SKP II</v>
      </c>
      <c r="E422" s="884" t="str">
        <f t="shared" si="151"/>
        <v/>
      </c>
      <c r="F422" s="888"/>
      <c r="G422" s="919" t="s">
        <v>764</v>
      </c>
      <c r="H422" s="920"/>
      <c r="I422" s="911" t="s">
        <v>3824</v>
      </c>
      <c r="J422" s="912"/>
      <c r="K422" s="911" t="s">
        <v>736</v>
      </c>
      <c r="L422" s="913" t="s">
        <v>796</v>
      </c>
      <c r="M422" s="912">
        <v>6</v>
      </c>
      <c r="N422" s="913">
        <v>24</v>
      </c>
      <c r="O422" s="863" t="s">
        <v>803</v>
      </c>
      <c r="P422" s="911">
        <v>2004</v>
      </c>
      <c r="Q422" s="912"/>
      <c r="R422" s="912"/>
      <c r="S422" s="912" t="s">
        <v>738</v>
      </c>
      <c r="T422" s="903" t="s">
        <v>12</v>
      </c>
      <c r="U422" s="914">
        <v>140400000</v>
      </c>
      <c r="V422" s="905" t="s">
        <v>43</v>
      </c>
      <c r="W422" s="906"/>
      <c r="X422" s="970"/>
      <c r="Y422" s="884" t="str">
        <f t="shared" si="137"/>
        <v>04.13.02</v>
      </c>
      <c r="Z422" s="884" t="str">
        <f t="shared" si="138"/>
        <v>Jembatan</v>
      </c>
      <c r="AA422" s="884">
        <f t="shared" si="139"/>
        <v>50</v>
      </c>
      <c r="AB422" s="868">
        <f t="shared" si="140"/>
        <v>2808000</v>
      </c>
      <c r="AC422" s="885">
        <f t="shared" si="141"/>
        <v>10</v>
      </c>
      <c r="AD422" s="868">
        <f t="shared" si="142"/>
        <v>28080000</v>
      </c>
      <c r="AE422" s="868">
        <f t="shared" si="143"/>
        <v>2808000</v>
      </c>
      <c r="AF422" s="868">
        <f t="shared" si="144"/>
        <v>2808000</v>
      </c>
      <c r="AG422" s="868">
        <f t="shared" si="145"/>
        <v>2808000</v>
      </c>
      <c r="AH422" s="868">
        <f t="shared" si="146"/>
        <v>2808000</v>
      </c>
      <c r="AI422" s="886">
        <f t="shared" si="147"/>
        <v>2808000</v>
      </c>
      <c r="AJ422" s="886">
        <f t="shared" si="148"/>
        <v>42120000</v>
      </c>
      <c r="AK422" s="868">
        <f t="shared" si="149"/>
        <v>98280000</v>
      </c>
    </row>
    <row r="423" spans="1:37" s="857" customFormat="1" ht="35.25" customHeight="1" x14ac:dyDescent="0.2">
      <c r="A423" s="857">
        <v>183</v>
      </c>
      <c r="B423" s="857" t="str">
        <f t="shared" si="150"/>
        <v>SUKARAJA - GIRI SAKO</v>
      </c>
      <c r="E423" s="884" t="str">
        <f t="shared" si="151"/>
        <v/>
      </c>
      <c r="F423" s="855"/>
      <c r="G423" s="878" t="s">
        <v>1224</v>
      </c>
      <c r="H423" s="879"/>
      <c r="I423" s="861" t="s">
        <v>2494</v>
      </c>
      <c r="J423" s="871"/>
      <c r="K423" s="861" t="s">
        <v>835</v>
      </c>
      <c r="L423" s="856"/>
      <c r="M423" s="862"/>
      <c r="N423" s="856">
        <v>40</v>
      </c>
      <c r="O423" s="863" t="s">
        <v>3133</v>
      </c>
      <c r="P423" s="861">
        <v>2011</v>
      </c>
      <c r="Q423" s="862"/>
      <c r="R423" s="862"/>
      <c r="S423" s="862"/>
      <c r="T423" s="862" t="s">
        <v>12</v>
      </c>
      <c r="U423" s="899">
        <v>4609392818.7695818</v>
      </c>
      <c r="V423" s="861" t="s">
        <v>43</v>
      </c>
      <c r="W423" s="865"/>
      <c r="X423" s="968"/>
      <c r="Y423" s="884" t="str">
        <f t="shared" si="137"/>
        <v>04.13.01</v>
      </c>
      <c r="Z423" s="884" t="str">
        <f t="shared" si="138"/>
        <v>Jalan</v>
      </c>
      <c r="AA423" s="884">
        <f t="shared" si="139"/>
        <v>10</v>
      </c>
      <c r="AB423" s="868">
        <f t="shared" si="140"/>
        <v>460939281.87695819</v>
      </c>
      <c r="AC423" s="885">
        <f t="shared" si="141"/>
        <v>3</v>
      </c>
      <c r="AD423" s="868">
        <f t="shared" si="142"/>
        <v>1382817845.6308746</v>
      </c>
      <c r="AE423" s="868">
        <f t="shared" si="143"/>
        <v>460939281.87695819</v>
      </c>
      <c r="AF423" s="868">
        <f t="shared" si="144"/>
        <v>460939281.87695819</v>
      </c>
      <c r="AG423" s="868">
        <f t="shared" si="145"/>
        <v>460939281.87695819</v>
      </c>
      <c r="AH423" s="868">
        <f t="shared" si="146"/>
        <v>460939281.87695819</v>
      </c>
      <c r="AI423" s="886">
        <f t="shared" si="147"/>
        <v>460939281.87695819</v>
      </c>
      <c r="AJ423" s="886">
        <f t="shared" si="148"/>
        <v>3687514255.015666</v>
      </c>
      <c r="AK423" s="868">
        <f t="shared" si="149"/>
        <v>921878563.75391579</v>
      </c>
    </row>
    <row r="424" spans="1:37" s="857" customFormat="1" ht="35.25" customHeight="1" x14ac:dyDescent="0.2">
      <c r="A424" s="857">
        <v>189</v>
      </c>
      <c r="B424" s="857" t="str">
        <f t="shared" si="150"/>
        <v>PKL. INDARUNG - SUMPU</v>
      </c>
      <c r="E424" s="884" t="str">
        <f t="shared" si="151"/>
        <v/>
      </c>
      <c r="F424" s="855"/>
      <c r="G424" s="878" t="s">
        <v>764</v>
      </c>
      <c r="H424" s="879"/>
      <c r="I424" s="861" t="s">
        <v>3824</v>
      </c>
      <c r="J424" s="871"/>
      <c r="K424" s="861" t="s">
        <v>119</v>
      </c>
      <c r="L424" s="856" t="s">
        <v>762</v>
      </c>
      <c r="M424" s="862">
        <v>5</v>
      </c>
      <c r="N424" s="856">
        <v>60</v>
      </c>
      <c r="O424" s="863" t="s">
        <v>798</v>
      </c>
      <c r="P424" s="861">
        <v>1982</v>
      </c>
      <c r="Q424" s="862"/>
      <c r="R424" s="862"/>
      <c r="S424" s="862" t="s">
        <v>799</v>
      </c>
      <c r="T424" s="862" t="s">
        <v>12</v>
      </c>
      <c r="U424" s="899">
        <v>396000000</v>
      </c>
      <c r="V424" s="861" t="s">
        <v>43</v>
      </c>
      <c r="W424" s="865"/>
      <c r="X424" s="968"/>
      <c r="Y424" s="884" t="str">
        <f t="shared" si="137"/>
        <v>04.13.02</v>
      </c>
      <c r="Z424" s="884" t="str">
        <f t="shared" si="138"/>
        <v>Jembatan</v>
      </c>
      <c r="AA424" s="884">
        <f t="shared" si="139"/>
        <v>50</v>
      </c>
      <c r="AB424" s="868">
        <f t="shared" si="140"/>
        <v>7920000</v>
      </c>
      <c r="AC424" s="885">
        <f t="shared" si="141"/>
        <v>32</v>
      </c>
      <c r="AD424" s="868">
        <f t="shared" si="142"/>
        <v>253440000</v>
      </c>
      <c r="AE424" s="868">
        <f t="shared" si="143"/>
        <v>7920000</v>
      </c>
      <c r="AF424" s="868">
        <f t="shared" si="144"/>
        <v>7920000</v>
      </c>
      <c r="AG424" s="868">
        <f t="shared" si="145"/>
        <v>7920000</v>
      </c>
      <c r="AH424" s="868">
        <f t="shared" si="146"/>
        <v>7920000</v>
      </c>
      <c r="AI424" s="886">
        <f t="shared" si="147"/>
        <v>7920000</v>
      </c>
      <c r="AJ424" s="886">
        <f t="shared" si="148"/>
        <v>293040000</v>
      </c>
      <c r="AK424" s="868">
        <f t="shared" si="149"/>
        <v>102960000</v>
      </c>
    </row>
    <row r="425" spans="1:37" s="857" customFormat="1" ht="35.25" customHeight="1" x14ac:dyDescent="0.2">
      <c r="A425" s="857">
        <v>190</v>
      </c>
      <c r="B425" s="857" t="str">
        <f t="shared" si="150"/>
        <v>SAMBUNG - KEBUN LADO</v>
      </c>
      <c r="E425" s="884" t="str">
        <f t="shared" si="151"/>
        <v/>
      </c>
      <c r="F425" s="855"/>
      <c r="G425" s="878" t="s">
        <v>764</v>
      </c>
      <c r="H425" s="879"/>
      <c r="I425" s="861" t="s">
        <v>3824</v>
      </c>
      <c r="J425" s="871"/>
      <c r="K425" s="861" t="s">
        <v>119</v>
      </c>
      <c r="L425" s="856" t="s">
        <v>751</v>
      </c>
      <c r="M425" s="862">
        <v>8</v>
      </c>
      <c r="N425" s="856">
        <v>80</v>
      </c>
      <c r="O425" s="863" t="s">
        <v>809</v>
      </c>
      <c r="P425" s="861">
        <v>1990</v>
      </c>
      <c r="Q425" s="862"/>
      <c r="R425" s="862"/>
      <c r="S425" s="862" t="s">
        <v>782</v>
      </c>
      <c r="T425" s="862" t="s">
        <v>12</v>
      </c>
      <c r="U425" s="899">
        <v>528000000</v>
      </c>
      <c r="V425" s="861" t="s">
        <v>43</v>
      </c>
      <c r="W425" s="865"/>
      <c r="X425" s="968"/>
      <c r="Y425" s="884" t="str">
        <f t="shared" si="137"/>
        <v>04.13.02</v>
      </c>
      <c r="Z425" s="884" t="str">
        <f t="shared" si="138"/>
        <v>Jembatan</v>
      </c>
      <c r="AA425" s="884">
        <f t="shared" si="139"/>
        <v>50</v>
      </c>
      <c r="AB425" s="868">
        <f t="shared" si="140"/>
        <v>10560000</v>
      </c>
      <c r="AC425" s="885">
        <f t="shared" si="141"/>
        <v>24</v>
      </c>
      <c r="AD425" s="868">
        <f t="shared" si="142"/>
        <v>253440000</v>
      </c>
      <c r="AE425" s="868">
        <f t="shared" si="143"/>
        <v>10560000</v>
      </c>
      <c r="AF425" s="868">
        <f t="shared" si="144"/>
        <v>10560000</v>
      </c>
      <c r="AG425" s="868">
        <f t="shared" si="145"/>
        <v>10560000</v>
      </c>
      <c r="AH425" s="868">
        <f t="shared" si="146"/>
        <v>10560000</v>
      </c>
      <c r="AI425" s="886">
        <f t="shared" si="147"/>
        <v>10560000</v>
      </c>
      <c r="AJ425" s="886">
        <f t="shared" si="148"/>
        <v>306240000</v>
      </c>
      <c r="AK425" s="868">
        <f t="shared" si="149"/>
        <v>221760000</v>
      </c>
    </row>
    <row r="426" spans="1:37" s="857" customFormat="1" ht="35.25" customHeight="1" x14ac:dyDescent="0.2">
      <c r="A426" s="857">
        <v>190</v>
      </c>
      <c r="B426" s="857" t="str">
        <f t="shared" si="150"/>
        <v>SAMBUNG - KEBUN LADO</v>
      </c>
      <c r="E426" s="884" t="str">
        <f t="shared" si="151"/>
        <v/>
      </c>
      <c r="F426" s="855"/>
      <c r="G426" s="878" t="s">
        <v>764</v>
      </c>
      <c r="H426" s="879"/>
      <c r="I426" s="861" t="s">
        <v>3824</v>
      </c>
      <c r="J426" s="871"/>
      <c r="K426" s="861" t="s">
        <v>119</v>
      </c>
      <c r="L426" s="856" t="s">
        <v>775</v>
      </c>
      <c r="M426" s="862">
        <v>5</v>
      </c>
      <c r="N426" s="856">
        <v>40</v>
      </c>
      <c r="O426" s="863" t="s">
        <v>810</v>
      </c>
      <c r="P426" s="861">
        <v>1990</v>
      </c>
      <c r="Q426" s="862"/>
      <c r="R426" s="862"/>
      <c r="S426" s="862" t="s">
        <v>782</v>
      </c>
      <c r="T426" s="862" t="s">
        <v>12</v>
      </c>
      <c r="U426" s="899">
        <v>180000000</v>
      </c>
      <c r="V426" s="861" t="s">
        <v>135</v>
      </c>
      <c r="W426" s="865"/>
      <c r="X426" s="968"/>
      <c r="Y426" s="884" t="str">
        <f t="shared" si="137"/>
        <v>04.13.02</v>
      </c>
      <c r="Z426" s="884" t="str">
        <f t="shared" si="138"/>
        <v>Jembatan</v>
      </c>
      <c r="AA426" s="884">
        <f t="shared" si="139"/>
        <v>50</v>
      </c>
      <c r="AB426" s="868">
        <f t="shared" si="140"/>
        <v>3600000</v>
      </c>
      <c r="AC426" s="885">
        <f t="shared" si="141"/>
        <v>24</v>
      </c>
      <c r="AD426" s="868">
        <f t="shared" si="142"/>
        <v>86400000</v>
      </c>
      <c r="AE426" s="868">
        <f t="shared" si="143"/>
        <v>3600000</v>
      </c>
      <c r="AF426" s="868">
        <f t="shared" si="144"/>
        <v>3600000</v>
      </c>
      <c r="AG426" s="868">
        <f t="shared" si="145"/>
        <v>3600000</v>
      </c>
      <c r="AH426" s="868">
        <f t="shared" si="146"/>
        <v>3600000</v>
      </c>
      <c r="AI426" s="886">
        <f t="shared" si="147"/>
        <v>3600000</v>
      </c>
      <c r="AJ426" s="886">
        <f t="shared" si="148"/>
        <v>104400000</v>
      </c>
      <c r="AK426" s="868">
        <f t="shared" si="149"/>
        <v>75600000</v>
      </c>
    </row>
    <row r="427" spans="1:37" s="857" customFormat="1" ht="35.25" customHeight="1" x14ac:dyDescent="0.2">
      <c r="A427" s="857">
        <v>229</v>
      </c>
      <c r="B427" s="857" t="str">
        <f t="shared" si="150"/>
        <v>SIMP. HANDOYO - SUMBER DATAR</v>
      </c>
      <c r="E427" s="884" t="str">
        <f t="shared" si="151"/>
        <v/>
      </c>
      <c r="F427" s="855"/>
      <c r="G427" s="878" t="s">
        <v>1270</v>
      </c>
      <c r="H427" s="879"/>
      <c r="I427" s="861" t="s">
        <v>3826</v>
      </c>
      <c r="J427" s="871"/>
      <c r="K427" s="861" t="s">
        <v>272</v>
      </c>
      <c r="L427" s="856"/>
      <c r="M427" s="862"/>
      <c r="N427" s="856"/>
      <c r="O427" s="863" t="s">
        <v>3163</v>
      </c>
      <c r="P427" s="861">
        <v>2012</v>
      </c>
      <c r="Q427" s="862"/>
      <c r="R427" s="862"/>
      <c r="S427" s="862"/>
      <c r="T427" s="862" t="s">
        <v>12</v>
      </c>
      <c r="U427" s="899">
        <v>83626402.271583661</v>
      </c>
      <c r="V427" s="861" t="s">
        <v>43</v>
      </c>
      <c r="W427" s="865"/>
      <c r="X427" s="968"/>
      <c r="Y427" s="884" t="str">
        <f t="shared" si="137"/>
        <v>04.13.02</v>
      </c>
      <c r="Z427" s="884" t="str">
        <f t="shared" si="138"/>
        <v>Jembatan</v>
      </c>
      <c r="AA427" s="884">
        <f t="shared" si="139"/>
        <v>50</v>
      </c>
      <c r="AB427" s="868">
        <f t="shared" si="140"/>
        <v>1672528.0454316733</v>
      </c>
      <c r="AC427" s="885">
        <f t="shared" si="141"/>
        <v>2</v>
      </c>
      <c r="AD427" s="868">
        <f t="shared" si="142"/>
        <v>3345056.0908633466</v>
      </c>
      <c r="AE427" s="868">
        <f t="shared" si="143"/>
        <v>1672528.0454316733</v>
      </c>
      <c r="AF427" s="868">
        <f t="shared" si="144"/>
        <v>1672528.0454316733</v>
      </c>
      <c r="AG427" s="868">
        <f t="shared" si="145"/>
        <v>1672528.0454316733</v>
      </c>
      <c r="AH427" s="868">
        <f t="shared" si="146"/>
        <v>1672528.0454316733</v>
      </c>
      <c r="AI427" s="886">
        <f t="shared" si="147"/>
        <v>1672528.0454316733</v>
      </c>
      <c r="AJ427" s="886">
        <f t="shared" si="148"/>
        <v>11707696.318021713</v>
      </c>
      <c r="AK427" s="868">
        <f t="shared" si="149"/>
        <v>71918705.953561947</v>
      </c>
    </row>
    <row r="428" spans="1:37" s="857" customFormat="1" ht="35.25" customHeight="1" x14ac:dyDescent="0.2">
      <c r="A428" s="857">
        <v>235</v>
      </c>
      <c r="B428" s="857" t="str">
        <f t="shared" si="150"/>
        <v>AIR MAS - SEI. KERANJI</v>
      </c>
      <c r="E428" s="884" t="str">
        <f t="shared" si="151"/>
        <v/>
      </c>
      <c r="F428" s="855"/>
      <c r="G428" s="878" t="s">
        <v>1268</v>
      </c>
      <c r="H428" s="879"/>
      <c r="I428" s="861" t="s">
        <v>3826</v>
      </c>
      <c r="J428" s="871"/>
      <c r="K428" s="861" t="s">
        <v>272</v>
      </c>
      <c r="L428" s="856"/>
      <c r="M428" s="862"/>
      <c r="N428" s="856"/>
      <c r="O428" s="863" t="s">
        <v>3161</v>
      </c>
      <c r="P428" s="861">
        <v>2012</v>
      </c>
      <c r="Q428" s="862"/>
      <c r="R428" s="862"/>
      <c r="S428" s="862"/>
      <c r="T428" s="862" t="s">
        <v>12</v>
      </c>
      <c r="U428" s="899">
        <v>76115535.321222559</v>
      </c>
      <c r="V428" s="861" t="s">
        <v>43</v>
      </c>
      <c r="W428" s="865"/>
      <c r="X428" s="968"/>
      <c r="Y428" s="884" t="str">
        <f t="shared" si="137"/>
        <v>04.13.02</v>
      </c>
      <c r="Z428" s="884" t="str">
        <f t="shared" si="138"/>
        <v>Jembatan</v>
      </c>
      <c r="AA428" s="884">
        <f t="shared" si="139"/>
        <v>50</v>
      </c>
      <c r="AB428" s="868">
        <f t="shared" si="140"/>
        <v>1522310.7064244512</v>
      </c>
      <c r="AC428" s="885">
        <f t="shared" si="141"/>
        <v>2</v>
      </c>
      <c r="AD428" s="868">
        <f t="shared" si="142"/>
        <v>3044621.4128489024</v>
      </c>
      <c r="AE428" s="868">
        <f t="shared" si="143"/>
        <v>1522310.7064244512</v>
      </c>
      <c r="AF428" s="868">
        <f t="shared" si="144"/>
        <v>1522310.7064244512</v>
      </c>
      <c r="AG428" s="868">
        <f t="shared" si="145"/>
        <v>1522310.7064244512</v>
      </c>
      <c r="AH428" s="868">
        <f t="shared" si="146"/>
        <v>1522310.7064244512</v>
      </c>
      <c r="AI428" s="886">
        <f t="shared" si="147"/>
        <v>1522310.7064244512</v>
      </c>
      <c r="AJ428" s="886">
        <f t="shared" si="148"/>
        <v>10656174.944971157</v>
      </c>
      <c r="AK428" s="868">
        <f t="shared" si="149"/>
        <v>65459360.3762514</v>
      </c>
    </row>
    <row r="429" spans="1:37" s="857" customFormat="1" ht="35.25" customHeight="1" x14ac:dyDescent="0.2">
      <c r="A429" s="857">
        <v>257</v>
      </c>
      <c r="B429" s="857" t="str">
        <f t="shared" si="150"/>
        <v>BENAI - PL. LANCANG</v>
      </c>
      <c r="E429" s="884" t="str">
        <f t="shared" si="151"/>
        <v/>
      </c>
      <c r="F429" s="855"/>
      <c r="G429" s="878" t="s">
        <v>742</v>
      </c>
      <c r="H429" s="879"/>
      <c r="I429" s="861" t="s">
        <v>3823</v>
      </c>
      <c r="J429" s="871"/>
      <c r="K429" s="861" t="s">
        <v>736</v>
      </c>
      <c r="L429" s="856" t="s">
        <v>762</v>
      </c>
      <c r="M429" s="862">
        <v>6</v>
      </c>
      <c r="N429" s="856">
        <v>72</v>
      </c>
      <c r="O429" s="863" t="s">
        <v>763</v>
      </c>
      <c r="P429" s="861">
        <v>1980</v>
      </c>
      <c r="Q429" s="862"/>
      <c r="R429" s="862"/>
      <c r="S429" s="862" t="s">
        <v>753</v>
      </c>
      <c r="T429" s="862" t="s">
        <v>12</v>
      </c>
      <c r="U429" s="899">
        <v>504000000</v>
      </c>
      <c r="V429" s="861" t="s">
        <v>43</v>
      </c>
      <c r="W429" s="865"/>
      <c r="X429" s="968"/>
      <c r="Y429" s="884" t="str">
        <f t="shared" si="137"/>
        <v>04.13.02</v>
      </c>
      <c r="Z429" s="884" t="str">
        <f t="shared" si="138"/>
        <v>Jembatan</v>
      </c>
      <c r="AA429" s="884">
        <f t="shared" si="139"/>
        <v>50</v>
      </c>
      <c r="AB429" s="868">
        <f t="shared" si="140"/>
        <v>10080000</v>
      </c>
      <c r="AC429" s="885">
        <f t="shared" si="141"/>
        <v>34</v>
      </c>
      <c r="AD429" s="868">
        <f t="shared" si="142"/>
        <v>342720000</v>
      </c>
      <c r="AE429" s="868">
        <f t="shared" si="143"/>
        <v>10080000</v>
      </c>
      <c r="AF429" s="868">
        <f t="shared" si="144"/>
        <v>10080000</v>
      </c>
      <c r="AG429" s="868">
        <f t="shared" si="145"/>
        <v>10080000</v>
      </c>
      <c r="AH429" s="868">
        <f t="shared" si="146"/>
        <v>10080000</v>
      </c>
      <c r="AI429" s="886">
        <f t="shared" si="147"/>
        <v>10080000</v>
      </c>
      <c r="AJ429" s="886">
        <f t="shared" si="148"/>
        <v>393120000</v>
      </c>
      <c r="AK429" s="868">
        <f t="shared" si="149"/>
        <v>110880000</v>
      </c>
    </row>
    <row r="430" spans="1:37" s="857" customFormat="1" ht="35.25" customHeight="1" x14ac:dyDescent="0.2">
      <c r="A430" s="857">
        <v>258</v>
      </c>
      <c r="B430" s="857" t="str">
        <f t="shared" si="150"/>
        <v>LEPAU GADING - PANGEAN</v>
      </c>
      <c r="E430" s="884" t="str">
        <f t="shared" si="151"/>
        <v/>
      </c>
      <c r="F430" s="855"/>
      <c r="G430" s="878" t="s">
        <v>742</v>
      </c>
      <c r="H430" s="879"/>
      <c r="I430" s="880" t="s">
        <v>3823</v>
      </c>
      <c r="J430" s="880"/>
      <c r="K430" s="880" t="s">
        <v>736</v>
      </c>
      <c r="L430" s="881" t="s">
        <v>751</v>
      </c>
      <c r="M430" s="880">
        <v>6</v>
      </c>
      <c r="N430" s="881">
        <v>60</v>
      </c>
      <c r="O430" s="880" t="s">
        <v>752</v>
      </c>
      <c r="P430" s="1126">
        <v>1980</v>
      </c>
      <c r="Q430" s="880"/>
      <c r="R430" s="880"/>
      <c r="S430" s="880" t="s">
        <v>753</v>
      </c>
      <c r="T430" s="880" t="s">
        <v>12</v>
      </c>
      <c r="U430" s="882">
        <v>420000000</v>
      </c>
      <c r="V430" s="880" t="s">
        <v>43</v>
      </c>
      <c r="W430" s="880"/>
      <c r="X430" s="969"/>
      <c r="Y430" s="884" t="str">
        <f t="shared" si="137"/>
        <v>04.13.02</v>
      </c>
      <c r="Z430" s="884" t="str">
        <f t="shared" si="138"/>
        <v>Jembatan</v>
      </c>
      <c r="AA430" s="884">
        <f t="shared" si="139"/>
        <v>50</v>
      </c>
      <c r="AB430" s="868">
        <f t="shared" si="140"/>
        <v>8400000</v>
      </c>
      <c r="AC430" s="885">
        <f t="shared" si="141"/>
        <v>34</v>
      </c>
      <c r="AD430" s="868">
        <f t="shared" si="142"/>
        <v>285600000</v>
      </c>
      <c r="AE430" s="868">
        <f t="shared" si="143"/>
        <v>8400000</v>
      </c>
      <c r="AF430" s="868">
        <f t="shared" si="144"/>
        <v>8400000</v>
      </c>
      <c r="AG430" s="868">
        <f t="shared" si="145"/>
        <v>8400000</v>
      </c>
      <c r="AH430" s="868">
        <f t="shared" si="146"/>
        <v>8400000</v>
      </c>
      <c r="AI430" s="886">
        <f t="shared" si="147"/>
        <v>8400000</v>
      </c>
      <c r="AJ430" s="886">
        <f t="shared" si="148"/>
        <v>327600000</v>
      </c>
      <c r="AK430" s="868">
        <f t="shared" si="149"/>
        <v>92400000</v>
      </c>
    </row>
    <row r="431" spans="1:37" s="857" customFormat="1" ht="35.25" customHeight="1" x14ac:dyDescent="0.2">
      <c r="A431" s="857">
        <v>258</v>
      </c>
      <c r="B431" s="857" t="str">
        <f t="shared" si="150"/>
        <v>LEPAU GADING - PANGEAN</v>
      </c>
      <c r="E431" s="884" t="str">
        <f t="shared" si="151"/>
        <v/>
      </c>
      <c r="F431" s="855"/>
      <c r="G431" s="878" t="s">
        <v>742</v>
      </c>
      <c r="H431" s="879"/>
      <c r="I431" s="880" t="s">
        <v>3823</v>
      </c>
      <c r="J431" s="880"/>
      <c r="K431" s="880" t="s">
        <v>736</v>
      </c>
      <c r="L431" s="881" t="s">
        <v>759</v>
      </c>
      <c r="M431" s="880">
        <v>7</v>
      </c>
      <c r="N431" s="881">
        <v>42</v>
      </c>
      <c r="O431" s="880" t="s">
        <v>761</v>
      </c>
      <c r="P431" s="1126">
        <v>1942</v>
      </c>
      <c r="Q431" s="880"/>
      <c r="R431" s="880"/>
      <c r="S431" s="880" t="s">
        <v>750</v>
      </c>
      <c r="T431" s="880" t="s">
        <v>12</v>
      </c>
      <c r="U431" s="882">
        <v>294000000</v>
      </c>
      <c r="V431" s="880" t="s">
        <v>43</v>
      </c>
      <c r="W431" s="880"/>
      <c r="X431" s="969"/>
      <c r="Y431" s="884" t="str">
        <f t="shared" si="137"/>
        <v>04.13.02</v>
      </c>
      <c r="Z431" s="884" t="str">
        <f t="shared" si="138"/>
        <v>Jembatan</v>
      </c>
      <c r="AA431" s="884">
        <f t="shared" si="139"/>
        <v>50</v>
      </c>
      <c r="AB431" s="868">
        <f t="shared" si="140"/>
        <v>5880000</v>
      </c>
      <c r="AC431" s="885">
        <f t="shared" si="141"/>
        <v>50</v>
      </c>
      <c r="AD431" s="868">
        <f t="shared" si="142"/>
        <v>294000000</v>
      </c>
      <c r="AE431" s="868">
        <f t="shared" si="143"/>
        <v>0</v>
      </c>
      <c r="AF431" s="868">
        <f t="shared" si="144"/>
        <v>0</v>
      </c>
      <c r="AG431" s="868">
        <f t="shared" si="145"/>
        <v>0</v>
      </c>
      <c r="AH431" s="868">
        <f t="shared" si="146"/>
        <v>0</v>
      </c>
      <c r="AI431" s="886">
        <f t="shared" si="147"/>
        <v>0</v>
      </c>
      <c r="AJ431" s="886">
        <f t="shared" si="148"/>
        <v>294000000</v>
      </c>
      <c r="AK431" s="868">
        <f t="shared" si="149"/>
        <v>0</v>
      </c>
    </row>
    <row r="432" spans="1:37" s="857" customFormat="1" ht="35.25" customHeight="1" x14ac:dyDescent="0.2">
      <c r="A432" s="857">
        <v>259</v>
      </c>
      <c r="B432" s="857" t="str">
        <f t="shared" si="150"/>
        <v>SENTAJO - TERATAK AIR HITAM</v>
      </c>
      <c r="E432" s="884" t="str">
        <f t="shared" si="151"/>
        <v/>
      </c>
      <c r="F432" s="855"/>
      <c r="G432" s="878" t="s">
        <v>742</v>
      </c>
      <c r="H432" s="879"/>
      <c r="I432" s="880" t="s">
        <v>3823</v>
      </c>
      <c r="J432" s="880"/>
      <c r="K432" s="880" t="s">
        <v>736</v>
      </c>
      <c r="L432" s="881" t="s">
        <v>754</v>
      </c>
      <c r="M432" s="880">
        <v>8</v>
      </c>
      <c r="N432" s="881">
        <v>16</v>
      </c>
      <c r="O432" s="880" t="s">
        <v>755</v>
      </c>
      <c r="P432" s="1126">
        <v>2006</v>
      </c>
      <c r="Q432" s="880"/>
      <c r="R432" s="880"/>
      <c r="S432" s="880" t="s">
        <v>741</v>
      </c>
      <c r="T432" s="880" t="s">
        <v>12</v>
      </c>
      <c r="U432" s="882">
        <v>128000000</v>
      </c>
      <c r="V432" s="880" t="s">
        <v>43</v>
      </c>
      <c r="W432" s="880"/>
      <c r="X432" s="969"/>
      <c r="Y432" s="884" t="str">
        <f t="shared" si="137"/>
        <v>04.13.02</v>
      </c>
      <c r="Z432" s="884" t="str">
        <f t="shared" si="138"/>
        <v>Jembatan</v>
      </c>
      <c r="AA432" s="884">
        <f t="shared" si="139"/>
        <v>50</v>
      </c>
      <c r="AB432" s="868">
        <f t="shared" si="140"/>
        <v>2560000</v>
      </c>
      <c r="AC432" s="885">
        <f t="shared" si="141"/>
        <v>8</v>
      </c>
      <c r="AD432" s="868">
        <f t="shared" si="142"/>
        <v>20480000</v>
      </c>
      <c r="AE432" s="868">
        <f t="shared" si="143"/>
        <v>2560000</v>
      </c>
      <c r="AF432" s="868">
        <f t="shared" si="144"/>
        <v>2560000</v>
      </c>
      <c r="AG432" s="868">
        <f t="shared" si="145"/>
        <v>2560000</v>
      </c>
      <c r="AH432" s="868">
        <f t="shared" si="146"/>
        <v>2560000</v>
      </c>
      <c r="AI432" s="886">
        <f t="shared" si="147"/>
        <v>2560000</v>
      </c>
      <c r="AJ432" s="886">
        <f t="shared" si="148"/>
        <v>33280000</v>
      </c>
      <c r="AK432" s="868">
        <f t="shared" si="149"/>
        <v>94720000</v>
      </c>
    </row>
    <row r="433" spans="1:37" s="857" customFormat="1" ht="35.25" customHeight="1" x14ac:dyDescent="0.2">
      <c r="A433" s="857">
        <v>260</v>
      </c>
      <c r="B433" s="857" t="str">
        <f t="shared" si="150"/>
        <v>BENAI - KOTO RAJO</v>
      </c>
      <c r="E433" s="884" t="str">
        <f t="shared" si="151"/>
        <v/>
      </c>
      <c r="F433" s="855"/>
      <c r="G433" s="878" t="s">
        <v>764</v>
      </c>
      <c r="H433" s="879"/>
      <c r="I433" s="861" t="s">
        <v>3824</v>
      </c>
      <c r="J433" s="871"/>
      <c r="K433" s="861" t="s">
        <v>736</v>
      </c>
      <c r="L433" s="856" t="s">
        <v>751</v>
      </c>
      <c r="M433" s="862">
        <v>4</v>
      </c>
      <c r="N433" s="856">
        <v>40</v>
      </c>
      <c r="O433" s="863" t="s">
        <v>771</v>
      </c>
      <c r="P433" s="861">
        <v>1999</v>
      </c>
      <c r="Q433" s="862"/>
      <c r="R433" s="862"/>
      <c r="S433" s="862" t="s">
        <v>768</v>
      </c>
      <c r="T433" s="862" t="s">
        <v>12</v>
      </c>
      <c r="U433" s="899">
        <v>308000000</v>
      </c>
      <c r="V433" s="861" t="s">
        <v>43</v>
      </c>
      <c r="W433" s="865"/>
      <c r="X433" s="968"/>
      <c r="Y433" s="884" t="str">
        <f t="shared" si="137"/>
        <v>04.13.02</v>
      </c>
      <c r="Z433" s="884" t="str">
        <f t="shared" si="138"/>
        <v>Jembatan</v>
      </c>
      <c r="AA433" s="884">
        <f t="shared" si="139"/>
        <v>50</v>
      </c>
      <c r="AB433" s="868">
        <f t="shared" si="140"/>
        <v>6160000</v>
      </c>
      <c r="AC433" s="885">
        <f t="shared" si="141"/>
        <v>15</v>
      </c>
      <c r="AD433" s="868">
        <f t="shared" si="142"/>
        <v>92400000</v>
      </c>
      <c r="AE433" s="868">
        <f t="shared" si="143"/>
        <v>6160000</v>
      </c>
      <c r="AF433" s="868">
        <f t="shared" si="144"/>
        <v>6160000</v>
      </c>
      <c r="AG433" s="868">
        <f t="shared" si="145"/>
        <v>6160000</v>
      </c>
      <c r="AH433" s="868">
        <f t="shared" si="146"/>
        <v>6160000</v>
      </c>
      <c r="AI433" s="886">
        <f t="shared" si="147"/>
        <v>6160000</v>
      </c>
      <c r="AJ433" s="886">
        <f t="shared" si="148"/>
        <v>123200000</v>
      </c>
      <c r="AK433" s="868">
        <f t="shared" si="149"/>
        <v>184800000</v>
      </c>
    </row>
    <row r="434" spans="1:37" s="857" customFormat="1" ht="35.25" customHeight="1" x14ac:dyDescent="0.2">
      <c r="A434" s="857">
        <v>274</v>
      </c>
      <c r="B434" s="857" t="str">
        <f t="shared" si="150"/>
        <v>BENAI - RAPP</v>
      </c>
      <c r="E434" s="884" t="str">
        <f t="shared" si="151"/>
        <v/>
      </c>
      <c r="F434" s="855"/>
      <c r="G434" s="878" t="s">
        <v>742</v>
      </c>
      <c r="H434" s="879"/>
      <c r="I434" s="880" t="s">
        <v>3823</v>
      </c>
      <c r="J434" s="880"/>
      <c r="K434" s="880" t="s">
        <v>736</v>
      </c>
      <c r="L434" s="881" t="s">
        <v>625</v>
      </c>
      <c r="M434" s="880">
        <v>6</v>
      </c>
      <c r="N434" s="881">
        <v>1200</v>
      </c>
      <c r="O434" s="880" t="s">
        <v>743</v>
      </c>
      <c r="P434" s="1126">
        <v>1993</v>
      </c>
      <c r="Q434" s="880"/>
      <c r="R434" s="880"/>
      <c r="S434" s="880" t="s">
        <v>744</v>
      </c>
      <c r="T434" s="880" t="s">
        <v>12</v>
      </c>
      <c r="U434" s="882">
        <v>7560000000</v>
      </c>
      <c r="V434" s="880" t="s">
        <v>43</v>
      </c>
      <c r="W434" s="880"/>
      <c r="X434" s="969"/>
      <c r="Y434" s="884" t="str">
        <f t="shared" si="137"/>
        <v>04.13.02</v>
      </c>
      <c r="Z434" s="884" t="str">
        <f t="shared" si="138"/>
        <v>Jembatan</v>
      </c>
      <c r="AA434" s="884">
        <f t="shared" si="139"/>
        <v>50</v>
      </c>
      <c r="AB434" s="868">
        <f t="shared" si="140"/>
        <v>151200000</v>
      </c>
      <c r="AC434" s="885">
        <f t="shared" si="141"/>
        <v>21</v>
      </c>
      <c r="AD434" s="868">
        <f t="shared" si="142"/>
        <v>3175200000</v>
      </c>
      <c r="AE434" s="868">
        <f t="shared" si="143"/>
        <v>151200000</v>
      </c>
      <c r="AF434" s="868">
        <f t="shared" si="144"/>
        <v>151200000</v>
      </c>
      <c r="AG434" s="868">
        <f t="shared" si="145"/>
        <v>151200000</v>
      </c>
      <c r="AH434" s="868">
        <f t="shared" si="146"/>
        <v>151200000</v>
      </c>
      <c r="AI434" s="886">
        <f t="shared" si="147"/>
        <v>151200000</v>
      </c>
      <c r="AJ434" s="886">
        <f t="shared" si="148"/>
        <v>3931200000</v>
      </c>
      <c r="AK434" s="868">
        <f t="shared" si="149"/>
        <v>3628800000</v>
      </c>
    </row>
    <row r="435" spans="1:37" s="857" customFormat="1" ht="35.25" customHeight="1" x14ac:dyDescent="0.2">
      <c r="A435" s="857">
        <v>291</v>
      </c>
      <c r="B435" s="857" t="str">
        <f t="shared" si="150"/>
        <v>JL. PADAT KARYA 1 - JK RUAS 220 + 300</v>
      </c>
      <c r="E435" s="884" t="str">
        <f t="shared" si="151"/>
        <v/>
      </c>
      <c r="F435" s="855"/>
      <c r="G435" s="878" t="s">
        <v>764</v>
      </c>
      <c r="H435" s="879"/>
      <c r="I435" s="861" t="s">
        <v>3824</v>
      </c>
      <c r="J435" s="871"/>
      <c r="K435" s="861" t="s">
        <v>736</v>
      </c>
      <c r="L435" s="856" t="s">
        <v>775</v>
      </c>
      <c r="M435" s="862">
        <v>8</v>
      </c>
      <c r="N435" s="856">
        <v>64</v>
      </c>
      <c r="O435" s="863" t="s">
        <v>784</v>
      </c>
      <c r="P435" s="861">
        <v>2000</v>
      </c>
      <c r="Q435" s="862"/>
      <c r="R435" s="862"/>
      <c r="S435" s="862" t="s">
        <v>777</v>
      </c>
      <c r="T435" s="862" t="s">
        <v>12</v>
      </c>
      <c r="U435" s="899">
        <v>374400000</v>
      </c>
      <c r="V435" s="861" t="s">
        <v>43</v>
      </c>
      <c r="W435" s="865"/>
      <c r="X435" s="968"/>
      <c r="Y435" s="884" t="str">
        <f t="shared" si="137"/>
        <v>04.13.02</v>
      </c>
      <c r="Z435" s="884" t="str">
        <f t="shared" si="138"/>
        <v>Jembatan</v>
      </c>
      <c r="AA435" s="884">
        <f t="shared" si="139"/>
        <v>50</v>
      </c>
      <c r="AB435" s="868">
        <f t="shared" si="140"/>
        <v>7488000</v>
      </c>
      <c r="AC435" s="885">
        <f t="shared" si="141"/>
        <v>14</v>
      </c>
      <c r="AD435" s="868">
        <f t="shared" si="142"/>
        <v>104832000</v>
      </c>
      <c r="AE435" s="868">
        <f t="shared" si="143"/>
        <v>7488000</v>
      </c>
      <c r="AF435" s="868">
        <f t="shared" si="144"/>
        <v>7488000</v>
      </c>
      <c r="AG435" s="868">
        <f t="shared" si="145"/>
        <v>7488000</v>
      </c>
      <c r="AH435" s="868">
        <f t="shared" si="146"/>
        <v>7488000</v>
      </c>
      <c r="AI435" s="886">
        <f t="shared" si="147"/>
        <v>7488000</v>
      </c>
      <c r="AJ435" s="886">
        <f t="shared" si="148"/>
        <v>142272000</v>
      </c>
      <c r="AK435" s="868">
        <f t="shared" si="149"/>
        <v>232128000</v>
      </c>
    </row>
    <row r="436" spans="1:37" s="857" customFormat="1" ht="35.25" customHeight="1" x14ac:dyDescent="0.2">
      <c r="A436" s="857" t="s">
        <v>4895</v>
      </c>
      <c r="B436" s="857" t="e">
        <f t="shared" si="134"/>
        <v>#N/A</v>
      </c>
      <c r="E436" s="884" t="str">
        <f t="shared" ref="E436:E450" si="152">RIGHT(D436,1)</f>
        <v/>
      </c>
      <c r="F436" s="855"/>
      <c r="G436" s="878" t="s">
        <v>478</v>
      </c>
      <c r="H436" s="879"/>
      <c r="I436" s="880" t="s">
        <v>3819</v>
      </c>
      <c r="J436" s="880"/>
      <c r="K436" s="880" t="s">
        <v>479</v>
      </c>
      <c r="L436" s="881" t="s">
        <v>480</v>
      </c>
      <c r="M436" s="880"/>
      <c r="N436" s="881"/>
      <c r="O436" s="880" t="s">
        <v>481</v>
      </c>
      <c r="P436" s="1126">
        <v>2001</v>
      </c>
      <c r="Q436" s="880"/>
      <c r="R436" s="880"/>
      <c r="S436" s="880" t="s">
        <v>482</v>
      </c>
      <c r="T436" s="880" t="s">
        <v>12</v>
      </c>
      <c r="U436" s="882">
        <v>9520000000</v>
      </c>
      <c r="V436" s="880" t="s">
        <v>43</v>
      </c>
      <c r="W436" s="880"/>
      <c r="X436" s="969"/>
      <c r="Y436" s="884" t="str">
        <f t="shared" ref="Y436:Y455" si="153">LEFT(I436,8)</f>
        <v>04.13.01</v>
      </c>
      <c r="Z436" s="884" t="str">
        <f t="shared" ref="Z436:Z455" si="154">VLOOKUP(Y436,UE,3,FALSE)</f>
        <v>Jalan</v>
      </c>
      <c r="AA436" s="884">
        <f t="shared" ref="AA436:AA455" si="155">VLOOKUP(Y436,UE,4,FALSE)</f>
        <v>10</v>
      </c>
      <c r="AB436" s="868">
        <f t="shared" ref="AB436:AB459" si="156">U436/AA436</f>
        <v>952000000</v>
      </c>
      <c r="AC436" s="885">
        <f t="shared" ref="AC436:AC459" si="157">IF(2013-P436+1&gt;AA436,AA436,IF(2013-P436+1&lt;0,0,2013-P436+1))</f>
        <v>10</v>
      </c>
      <c r="AD436" s="868">
        <f t="shared" ref="AD436:AD459" si="158">IF(AC436&gt;AA436,U436,AB436*AC436)</f>
        <v>9520000000</v>
      </c>
      <c r="AE436" s="868">
        <f t="shared" ref="AE436:AE459" si="159">IF(U436=AD436,0,AB436)</f>
        <v>0</v>
      </c>
      <c r="AF436" s="868">
        <f t="shared" ref="AF436:AF459" si="160">IF(U436=AD436+AE436,0,AB436)</f>
        <v>0</v>
      </c>
      <c r="AG436" s="868">
        <f t="shared" ref="AG436:AG459" si="161">IF(U436=AD436+AE436+AF436,0,AB436)</f>
        <v>0</v>
      </c>
      <c r="AH436" s="868">
        <f t="shared" ref="AH436:AH459" si="162">IF(U436=AE436+AF436+AG436+AD436,0,AB436)</f>
        <v>0</v>
      </c>
      <c r="AI436" s="886">
        <f t="shared" ref="AI436:AI459" si="163">IF(U436=AE436+AF436+AG436+AD436+AH436,0,AB436)</f>
        <v>0</v>
      </c>
      <c r="AJ436" s="886">
        <f t="shared" ref="AJ436:AJ459" si="164">SUM(AD436:AI436)</f>
        <v>9520000000</v>
      </c>
      <c r="AK436" s="868">
        <f t="shared" ref="AK436:AK444" si="165">U436-AJ436</f>
        <v>0</v>
      </c>
    </row>
    <row r="437" spans="1:37" s="857" customFormat="1" ht="35.25" customHeight="1" x14ac:dyDescent="0.2">
      <c r="A437" s="857" t="s">
        <v>4890</v>
      </c>
      <c r="B437" s="857" t="e">
        <f t="shared" si="134"/>
        <v>#N/A</v>
      </c>
      <c r="E437" s="884" t="str">
        <f t="shared" si="152"/>
        <v/>
      </c>
      <c r="F437" s="855"/>
      <c r="G437" s="878" t="s">
        <v>483</v>
      </c>
      <c r="H437" s="879"/>
      <c r="I437" s="880" t="s">
        <v>3820</v>
      </c>
      <c r="J437" s="880"/>
      <c r="K437" s="880" t="s">
        <v>484</v>
      </c>
      <c r="L437" s="881" t="s">
        <v>488</v>
      </c>
      <c r="M437" s="880"/>
      <c r="N437" s="881"/>
      <c r="O437" s="880" t="s">
        <v>489</v>
      </c>
      <c r="P437" s="1126">
        <v>2001</v>
      </c>
      <c r="Q437" s="880"/>
      <c r="R437" s="880"/>
      <c r="S437" s="880" t="s">
        <v>482</v>
      </c>
      <c r="T437" s="880" t="s">
        <v>12</v>
      </c>
      <c r="U437" s="882">
        <v>1008000000</v>
      </c>
      <c r="V437" s="880" t="s">
        <v>135</v>
      </c>
      <c r="W437" s="880"/>
      <c r="X437" s="969"/>
      <c r="Y437" s="884" t="str">
        <f t="shared" si="153"/>
        <v>04.13.01</v>
      </c>
      <c r="Z437" s="884" t="str">
        <f t="shared" si="154"/>
        <v>Jalan</v>
      </c>
      <c r="AA437" s="884">
        <f t="shared" si="155"/>
        <v>10</v>
      </c>
      <c r="AB437" s="868">
        <f t="shared" si="156"/>
        <v>100800000</v>
      </c>
      <c r="AC437" s="885">
        <f t="shared" si="157"/>
        <v>10</v>
      </c>
      <c r="AD437" s="868">
        <f t="shared" si="158"/>
        <v>1008000000</v>
      </c>
      <c r="AE437" s="868">
        <f t="shared" si="159"/>
        <v>0</v>
      </c>
      <c r="AF437" s="868">
        <f t="shared" si="160"/>
        <v>0</v>
      </c>
      <c r="AG437" s="868">
        <f t="shared" si="161"/>
        <v>0</v>
      </c>
      <c r="AH437" s="868">
        <f t="shared" si="162"/>
        <v>0</v>
      </c>
      <c r="AI437" s="886">
        <f t="shared" si="163"/>
        <v>0</v>
      </c>
      <c r="AJ437" s="886">
        <f t="shared" si="164"/>
        <v>1008000000</v>
      </c>
      <c r="AK437" s="868">
        <f t="shared" si="165"/>
        <v>0</v>
      </c>
    </row>
    <row r="438" spans="1:37" s="857" customFormat="1" ht="35.25" customHeight="1" x14ac:dyDescent="0.2">
      <c r="A438" s="857" t="s">
        <v>4890</v>
      </c>
      <c r="B438" s="857" t="e">
        <f t="shared" si="134"/>
        <v>#N/A</v>
      </c>
      <c r="E438" s="884" t="str">
        <f t="shared" si="152"/>
        <v/>
      </c>
      <c r="F438" s="855"/>
      <c r="G438" s="878" t="s">
        <v>483</v>
      </c>
      <c r="H438" s="879"/>
      <c r="I438" s="880" t="s">
        <v>3820</v>
      </c>
      <c r="J438" s="880"/>
      <c r="K438" s="880" t="s">
        <v>479</v>
      </c>
      <c r="L438" s="881" t="s">
        <v>491</v>
      </c>
      <c r="M438" s="880"/>
      <c r="N438" s="881"/>
      <c r="O438" s="880" t="s">
        <v>4110</v>
      </c>
      <c r="P438" s="1126">
        <v>2001</v>
      </c>
      <c r="Q438" s="880"/>
      <c r="R438" s="880"/>
      <c r="S438" s="880" t="s">
        <v>482</v>
      </c>
      <c r="T438" s="880" t="s">
        <v>12</v>
      </c>
      <c r="U438" s="882">
        <v>5145000000</v>
      </c>
      <c r="V438" s="880" t="s">
        <v>43</v>
      </c>
      <c r="W438" s="880"/>
      <c r="X438" s="969"/>
      <c r="Y438" s="884" t="str">
        <f t="shared" si="153"/>
        <v>04.13.01</v>
      </c>
      <c r="Z438" s="884" t="str">
        <f t="shared" si="154"/>
        <v>Jalan</v>
      </c>
      <c r="AA438" s="884">
        <f t="shared" si="155"/>
        <v>10</v>
      </c>
      <c r="AB438" s="868">
        <f t="shared" si="156"/>
        <v>514500000</v>
      </c>
      <c r="AC438" s="885">
        <f t="shared" si="157"/>
        <v>10</v>
      </c>
      <c r="AD438" s="868">
        <f t="shared" si="158"/>
        <v>5145000000</v>
      </c>
      <c r="AE438" s="868">
        <f t="shared" si="159"/>
        <v>0</v>
      </c>
      <c r="AF438" s="868">
        <f t="shared" si="160"/>
        <v>0</v>
      </c>
      <c r="AG438" s="868">
        <f t="shared" si="161"/>
        <v>0</v>
      </c>
      <c r="AH438" s="868">
        <f t="shared" si="162"/>
        <v>0</v>
      </c>
      <c r="AI438" s="886">
        <f t="shared" si="163"/>
        <v>0</v>
      </c>
      <c r="AJ438" s="886">
        <f t="shared" si="164"/>
        <v>5145000000</v>
      </c>
      <c r="AK438" s="868">
        <f t="shared" si="165"/>
        <v>0</v>
      </c>
    </row>
    <row r="439" spans="1:37" s="857" customFormat="1" ht="35.25" customHeight="1" x14ac:dyDescent="0.2">
      <c r="B439" s="857" t="e">
        <f t="shared" si="134"/>
        <v>#N/A</v>
      </c>
      <c r="E439" s="884" t="str">
        <f t="shared" si="152"/>
        <v/>
      </c>
      <c r="F439" s="855"/>
      <c r="G439" s="878" t="s">
        <v>483</v>
      </c>
      <c r="H439" s="879"/>
      <c r="I439" s="880" t="s">
        <v>3820</v>
      </c>
      <c r="J439" s="880"/>
      <c r="K439" s="880" t="s">
        <v>492</v>
      </c>
      <c r="L439" s="881" t="s">
        <v>488</v>
      </c>
      <c r="M439" s="880"/>
      <c r="N439" s="881"/>
      <c r="O439" s="880" t="s">
        <v>493</v>
      </c>
      <c r="P439" s="1126">
        <v>2001</v>
      </c>
      <c r="Q439" s="880"/>
      <c r="R439" s="880"/>
      <c r="S439" s="880" t="s">
        <v>482</v>
      </c>
      <c r="T439" s="880" t="s">
        <v>12</v>
      </c>
      <c r="U439" s="882">
        <v>16253400000</v>
      </c>
      <c r="V439" s="880" t="s">
        <v>135</v>
      </c>
      <c r="W439" s="880"/>
      <c r="X439" s="969"/>
      <c r="Y439" s="884" t="str">
        <f t="shared" si="153"/>
        <v>04.13.01</v>
      </c>
      <c r="Z439" s="884" t="str">
        <f t="shared" si="154"/>
        <v>Jalan</v>
      </c>
      <c r="AA439" s="884">
        <f t="shared" si="155"/>
        <v>10</v>
      </c>
      <c r="AB439" s="868">
        <f t="shared" si="156"/>
        <v>1625340000</v>
      </c>
      <c r="AC439" s="885">
        <f t="shared" si="157"/>
        <v>10</v>
      </c>
      <c r="AD439" s="868">
        <f t="shared" si="158"/>
        <v>16253400000</v>
      </c>
      <c r="AE439" s="868">
        <f t="shared" si="159"/>
        <v>0</v>
      </c>
      <c r="AF439" s="868">
        <f t="shared" si="160"/>
        <v>0</v>
      </c>
      <c r="AG439" s="868">
        <f t="shared" si="161"/>
        <v>0</v>
      </c>
      <c r="AH439" s="868">
        <f t="shared" si="162"/>
        <v>0</v>
      </c>
      <c r="AI439" s="886">
        <f t="shared" si="163"/>
        <v>0</v>
      </c>
      <c r="AJ439" s="886">
        <f t="shared" si="164"/>
        <v>16253400000</v>
      </c>
      <c r="AK439" s="868">
        <f t="shared" si="165"/>
        <v>0</v>
      </c>
    </row>
    <row r="440" spans="1:37" s="857" customFormat="1" ht="35.25" customHeight="1" x14ac:dyDescent="0.2">
      <c r="B440" s="857" t="e">
        <f t="shared" si="134"/>
        <v>#N/A</v>
      </c>
      <c r="E440" s="884" t="str">
        <f t="shared" si="152"/>
        <v/>
      </c>
      <c r="F440" s="855"/>
      <c r="G440" s="878" t="s">
        <v>483</v>
      </c>
      <c r="H440" s="879"/>
      <c r="I440" s="880" t="s">
        <v>3820</v>
      </c>
      <c r="J440" s="880"/>
      <c r="K440" s="880" t="s">
        <v>479</v>
      </c>
      <c r="L440" s="881" t="s">
        <v>490</v>
      </c>
      <c r="M440" s="880"/>
      <c r="N440" s="881"/>
      <c r="O440" s="880" t="s">
        <v>496</v>
      </c>
      <c r="P440" s="1126">
        <v>2001</v>
      </c>
      <c r="Q440" s="880"/>
      <c r="R440" s="880"/>
      <c r="S440" s="880" t="s">
        <v>482</v>
      </c>
      <c r="T440" s="880" t="s">
        <v>12</v>
      </c>
      <c r="U440" s="882">
        <v>2275000000</v>
      </c>
      <c r="V440" s="880" t="s">
        <v>43</v>
      </c>
      <c r="W440" s="880"/>
      <c r="X440" s="969"/>
      <c r="Y440" s="884" t="str">
        <f t="shared" si="153"/>
        <v>04.13.01</v>
      </c>
      <c r="Z440" s="884" t="str">
        <f t="shared" si="154"/>
        <v>Jalan</v>
      </c>
      <c r="AA440" s="884">
        <f t="shared" si="155"/>
        <v>10</v>
      </c>
      <c r="AB440" s="868">
        <f t="shared" si="156"/>
        <v>227500000</v>
      </c>
      <c r="AC440" s="885">
        <f t="shared" si="157"/>
        <v>10</v>
      </c>
      <c r="AD440" s="868">
        <f t="shared" si="158"/>
        <v>2275000000</v>
      </c>
      <c r="AE440" s="868">
        <f t="shared" si="159"/>
        <v>0</v>
      </c>
      <c r="AF440" s="868">
        <f t="shared" si="160"/>
        <v>0</v>
      </c>
      <c r="AG440" s="868">
        <f t="shared" si="161"/>
        <v>0</v>
      </c>
      <c r="AH440" s="868">
        <f t="shared" si="162"/>
        <v>0</v>
      </c>
      <c r="AI440" s="886">
        <f t="shared" si="163"/>
        <v>0</v>
      </c>
      <c r="AJ440" s="886">
        <f t="shared" si="164"/>
        <v>2275000000</v>
      </c>
      <c r="AK440" s="868">
        <f t="shared" si="165"/>
        <v>0</v>
      </c>
    </row>
    <row r="441" spans="1:37" s="857" customFormat="1" ht="35.25" customHeight="1" x14ac:dyDescent="0.2">
      <c r="A441" s="857" t="s">
        <v>4890</v>
      </c>
      <c r="B441" s="857" t="e">
        <f t="shared" si="134"/>
        <v>#N/A</v>
      </c>
      <c r="E441" s="884" t="str">
        <f t="shared" si="152"/>
        <v/>
      </c>
      <c r="F441" s="855"/>
      <c r="G441" s="878" t="s">
        <v>483</v>
      </c>
      <c r="H441" s="879"/>
      <c r="I441" s="880" t="s">
        <v>3820</v>
      </c>
      <c r="J441" s="880"/>
      <c r="K441" s="880" t="s">
        <v>479</v>
      </c>
      <c r="L441" s="881" t="s">
        <v>506</v>
      </c>
      <c r="M441" s="880"/>
      <c r="N441" s="881"/>
      <c r="O441" s="880" t="s">
        <v>515</v>
      </c>
      <c r="P441" s="1126">
        <v>2001</v>
      </c>
      <c r="Q441" s="880"/>
      <c r="R441" s="880"/>
      <c r="S441" s="880" t="s">
        <v>384</v>
      </c>
      <c r="T441" s="880" t="s">
        <v>12</v>
      </c>
      <c r="U441" s="882">
        <v>2362500000</v>
      </c>
      <c r="V441" s="880" t="s">
        <v>43</v>
      </c>
      <c r="W441" s="880"/>
      <c r="X441" s="969"/>
      <c r="Y441" s="884" t="str">
        <f t="shared" si="153"/>
        <v>04.13.01</v>
      </c>
      <c r="Z441" s="884" t="str">
        <f t="shared" si="154"/>
        <v>Jalan</v>
      </c>
      <c r="AA441" s="884">
        <f t="shared" si="155"/>
        <v>10</v>
      </c>
      <c r="AB441" s="868">
        <f t="shared" si="156"/>
        <v>236250000</v>
      </c>
      <c r="AC441" s="885">
        <f t="shared" si="157"/>
        <v>10</v>
      </c>
      <c r="AD441" s="868">
        <f t="shared" si="158"/>
        <v>2362500000</v>
      </c>
      <c r="AE441" s="868">
        <f t="shared" si="159"/>
        <v>0</v>
      </c>
      <c r="AF441" s="868">
        <f t="shared" si="160"/>
        <v>0</v>
      </c>
      <c r="AG441" s="868">
        <f t="shared" si="161"/>
        <v>0</v>
      </c>
      <c r="AH441" s="868">
        <f t="shared" si="162"/>
        <v>0</v>
      </c>
      <c r="AI441" s="886">
        <f t="shared" si="163"/>
        <v>0</v>
      </c>
      <c r="AJ441" s="886">
        <f t="shared" si="164"/>
        <v>2362500000</v>
      </c>
      <c r="AK441" s="868">
        <f t="shared" si="165"/>
        <v>0</v>
      </c>
    </row>
    <row r="442" spans="1:37" s="857" customFormat="1" ht="35.25" customHeight="1" x14ac:dyDescent="0.2">
      <c r="A442" s="857" t="s">
        <v>4890</v>
      </c>
      <c r="B442" s="857" t="e">
        <f t="shared" si="134"/>
        <v>#N/A</v>
      </c>
      <c r="E442" s="884" t="str">
        <f t="shared" si="152"/>
        <v/>
      </c>
      <c r="F442" s="855"/>
      <c r="G442" s="878" t="s">
        <v>529</v>
      </c>
      <c r="H442" s="879"/>
      <c r="I442" s="880" t="s">
        <v>2494</v>
      </c>
      <c r="J442" s="880"/>
      <c r="K442" s="880" t="s">
        <v>525</v>
      </c>
      <c r="L442" s="881" t="s">
        <v>508</v>
      </c>
      <c r="M442" s="880"/>
      <c r="N442" s="881"/>
      <c r="O442" s="880" t="s">
        <v>648</v>
      </c>
      <c r="P442" s="1126">
        <v>2001</v>
      </c>
      <c r="Q442" s="880"/>
      <c r="R442" s="880"/>
      <c r="S442" s="880" t="s">
        <v>482</v>
      </c>
      <c r="T442" s="880" t="s">
        <v>12</v>
      </c>
      <c r="U442" s="882">
        <v>819000000</v>
      </c>
      <c r="V442" s="880" t="s">
        <v>135</v>
      </c>
      <c r="W442" s="880"/>
      <c r="X442" s="969"/>
      <c r="Y442" s="884" t="str">
        <f t="shared" si="153"/>
        <v>04.13.01</v>
      </c>
      <c r="Z442" s="884" t="str">
        <f t="shared" si="154"/>
        <v>Jalan</v>
      </c>
      <c r="AA442" s="884">
        <f t="shared" si="155"/>
        <v>10</v>
      </c>
      <c r="AB442" s="868">
        <f t="shared" si="156"/>
        <v>81900000</v>
      </c>
      <c r="AC442" s="885">
        <f t="shared" si="157"/>
        <v>10</v>
      </c>
      <c r="AD442" s="868">
        <f t="shared" si="158"/>
        <v>819000000</v>
      </c>
      <c r="AE442" s="868">
        <f t="shared" si="159"/>
        <v>0</v>
      </c>
      <c r="AF442" s="868">
        <f t="shared" si="160"/>
        <v>0</v>
      </c>
      <c r="AG442" s="868">
        <f t="shared" si="161"/>
        <v>0</v>
      </c>
      <c r="AH442" s="868">
        <f t="shared" si="162"/>
        <v>0</v>
      </c>
      <c r="AI442" s="886">
        <f t="shared" si="163"/>
        <v>0</v>
      </c>
      <c r="AJ442" s="886">
        <f t="shared" si="164"/>
        <v>819000000</v>
      </c>
      <c r="AK442" s="868">
        <f t="shared" si="165"/>
        <v>0</v>
      </c>
    </row>
    <row r="443" spans="1:37" s="857" customFormat="1" ht="35.25" customHeight="1" x14ac:dyDescent="0.2">
      <c r="A443" s="857" t="s">
        <v>4890</v>
      </c>
      <c r="B443" s="857" t="e">
        <f t="shared" si="134"/>
        <v>#N/A</v>
      </c>
      <c r="E443" s="884" t="str">
        <f t="shared" si="152"/>
        <v/>
      </c>
      <c r="F443" s="855"/>
      <c r="G443" s="878" t="s">
        <v>696</v>
      </c>
      <c r="H443" s="879"/>
      <c r="I443" s="880" t="s">
        <v>3821</v>
      </c>
      <c r="J443" s="880"/>
      <c r="K443" s="880" t="s">
        <v>8</v>
      </c>
      <c r="L443" s="881" t="s">
        <v>598</v>
      </c>
      <c r="M443" s="880"/>
      <c r="N443" s="881"/>
      <c r="O443" s="880" t="s">
        <v>717</v>
      </c>
      <c r="P443" s="1126">
        <v>2001</v>
      </c>
      <c r="Q443" s="880"/>
      <c r="R443" s="880"/>
      <c r="S443" s="880" t="s">
        <v>482</v>
      </c>
      <c r="T443" s="880" t="s">
        <v>12</v>
      </c>
      <c r="U443" s="882">
        <v>180000000</v>
      </c>
      <c r="V443" s="880" t="s">
        <v>43</v>
      </c>
      <c r="W443" s="880"/>
      <c r="X443" s="969"/>
      <c r="Y443" s="884" t="str">
        <f t="shared" si="153"/>
        <v>04.13.01</v>
      </c>
      <c r="Z443" s="884" t="str">
        <f t="shared" si="154"/>
        <v>Jalan</v>
      </c>
      <c r="AA443" s="884">
        <f t="shared" si="155"/>
        <v>10</v>
      </c>
      <c r="AB443" s="868">
        <f t="shared" si="156"/>
        <v>18000000</v>
      </c>
      <c r="AC443" s="885">
        <f t="shared" si="157"/>
        <v>10</v>
      </c>
      <c r="AD443" s="868">
        <f t="shared" si="158"/>
        <v>180000000</v>
      </c>
      <c r="AE443" s="868">
        <f t="shared" si="159"/>
        <v>0</v>
      </c>
      <c r="AF443" s="868">
        <f t="shared" si="160"/>
        <v>0</v>
      </c>
      <c r="AG443" s="868">
        <f t="shared" si="161"/>
        <v>0</v>
      </c>
      <c r="AH443" s="868">
        <f t="shared" si="162"/>
        <v>0</v>
      </c>
      <c r="AI443" s="886">
        <f t="shared" si="163"/>
        <v>0</v>
      </c>
      <c r="AJ443" s="886">
        <f t="shared" si="164"/>
        <v>180000000</v>
      </c>
      <c r="AK443" s="868">
        <f t="shared" si="165"/>
        <v>0</v>
      </c>
    </row>
    <row r="444" spans="1:37" s="857" customFormat="1" ht="35.25" customHeight="1" x14ac:dyDescent="0.2">
      <c r="A444" s="857" t="s">
        <v>4890</v>
      </c>
      <c r="B444" s="857" t="e">
        <f t="shared" si="134"/>
        <v>#N/A</v>
      </c>
      <c r="E444" s="884" t="str">
        <f t="shared" si="152"/>
        <v/>
      </c>
      <c r="F444" s="855"/>
      <c r="G444" s="878" t="s">
        <v>696</v>
      </c>
      <c r="H444" s="879"/>
      <c r="I444" s="880" t="s">
        <v>3821</v>
      </c>
      <c r="J444" s="880"/>
      <c r="K444" s="880" t="s">
        <v>525</v>
      </c>
      <c r="L444" s="881" t="s">
        <v>719</v>
      </c>
      <c r="M444" s="880"/>
      <c r="N444" s="881"/>
      <c r="O444" s="880" t="s">
        <v>720</v>
      </c>
      <c r="P444" s="1126">
        <v>2001</v>
      </c>
      <c r="Q444" s="880"/>
      <c r="R444" s="880"/>
      <c r="S444" s="880" t="s">
        <v>482</v>
      </c>
      <c r="T444" s="880" t="s">
        <v>12</v>
      </c>
      <c r="U444" s="882">
        <v>472500000</v>
      </c>
      <c r="V444" s="880" t="s">
        <v>43</v>
      </c>
      <c r="W444" s="880"/>
      <c r="X444" s="969"/>
      <c r="Y444" s="884" t="str">
        <f t="shared" si="153"/>
        <v>04.13.01</v>
      </c>
      <c r="Z444" s="884" t="str">
        <f t="shared" si="154"/>
        <v>Jalan</v>
      </c>
      <c r="AA444" s="884">
        <f t="shared" si="155"/>
        <v>10</v>
      </c>
      <c r="AB444" s="868">
        <f t="shared" si="156"/>
        <v>47250000</v>
      </c>
      <c r="AC444" s="885">
        <f t="shared" si="157"/>
        <v>10</v>
      </c>
      <c r="AD444" s="868">
        <f t="shared" si="158"/>
        <v>472500000</v>
      </c>
      <c r="AE444" s="868">
        <f t="shared" si="159"/>
        <v>0</v>
      </c>
      <c r="AF444" s="868">
        <f t="shared" si="160"/>
        <v>0</v>
      </c>
      <c r="AG444" s="868">
        <f t="shared" si="161"/>
        <v>0</v>
      </c>
      <c r="AH444" s="868">
        <f t="shared" si="162"/>
        <v>0</v>
      </c>
      <c r="AI444" s="886">
        <f t="shared" si="163"/>
        <v>0</v>
      </c>
      <c r="AJ444" s="886">
        <f t="shared" si="164"/>
        <v>472500000</v>
      </c>
      <c r="AK444" s="868">
        <f t="shared" si="165"/>
        <v>0</v>
      </c>
    </row>
    <row r="445" spans="1:37" s="857" customFormat="1" ht="35.25" customHeight="1" x14ac:dyDescent="0.2">
      <c r="A445" s="857" t="s">
        <v>4890</v>
      </c>
      <c r="B445" s="857" t="e">
        <f t="shared" si="134"/>
        <v>#N/A</v>
      </c>
      <c r="E445" s="884" t="str">
        <f t="shared" si="152"/>
        <v/>
      </c>
      <c r="F445" s="855"/>
      <c r="G445" s="878" t="s">
        <v>696</v>
      </c>
      <c r="H445" s="879"/>
      <c r="I445" s="880" t="s">
        <v>3821</v>
      </c>
      <c r="J445" s="880"/>
      <c r="K445" s="880" t="s">
        <v>525</v>
      </c>
      <c r="L445" s="881" t="s">
        <v>530</v>
      </c>
      <c r="M445" s="880"/>
      <c r="N445" s="881"/>
      <c r="O445" s="880" t="s">
        <v>721</v>
      </c>
      <c r="P445" s="1126">
        <v>2001</v>
      </c>
      <c r="Q445" s="880"/>
      <c r="R445" s="880"/>
      <c r="S445" s="880" t="s">
        <v>482</v>
      </c>
      <c r="T445" s="880" t="s">
        <v>12</v>
      </c>
      <c r="U445" s="882">
        <v>337500000</v>
      </c>
      <c r="V445" s="880" t="s">
        <v>43</v>
      </c>
      <c r="W445" s="880"/>
      <c r="X445" s="969"/>
      <c r="Y445" s="884" t="str">
        <f t="shared" si="153"/>
        <v>04.13.01</v>
      </c>
      <c r="Z445" s="884" t="str">
        <f t="shared" si="154"/>
        <v>Jalan</v>
      </c>
      <c r="AA445" s="884">
        <f t="shared" si="155"/>
        <v>10</v>
      </c>
      <c r="AB445" s="868">
        <f t="shared" si="156"/>
        <v>33750000</v>
      </c>
      <c r="AC445" s="885">
        <f t="shared" si="157"/>
        <v>10</v>
      </c>
      <c r="AD445" s="868">
        <f t="shared" si="158"/>
        <v>337500000</v>
      </c>
      <c r="AE445" s="868">
        <f t="shared" si="159"/>
        <v>0</v>
      </c>
      <c r="AF445" s="868">
        <f t="shared" si="160"/>
        <v>0</v>
      </c>
      <c r="AG445" s="868">
        <f t="shared" si="161"/>
        <v>0</v>
      </c>
      <c r="AH445" s="868">
        <f t="shared" si="162"/>
        <v>0</v>
      </c>
      <c r="AI445" s="886">
        <f t="shared" si="163"/>
        <v>0</v>
      </c>
      <c r="AJ445" s="886">
        <f t="shared" si="164"/>
        <v>337500000</v>
      </c>
      <c r="AK445" s="868">
        <f t="shared" ref="AK445:AK508" si="166">U445-AJ445</f>
        <v>0</v>
      </c>
    </row>
    <row r="446" spans="1:37" s="857" customFormat="1" ht="35.25" customHeight="1" x14ac:dyDescent="0.2">
      <c r="A446" s="857" t="s">
        <v>4890</v>
      </c>
      <c r="B446" s="857" t="e">
        <f t="shared" si="134"/>
        <v>#N/A</v>
      </c>
      <c r="E446" s="884" t="str">
        <f t="shared" si="152"/>
        <v/>
      </c>
      <c r="F446" s="855"/>
      <c r="G446" s="878" t="s">
        <v>696</v>
      </c>
      <c r="H446" s="879"/>
      <c r="I446" s="880" t="s">
        <v>3821</v>
      </c>
      <c r="J446" s="880"/>
      <c r="K446" s="880" t="s">
        <v>525</v>
      </c>
      <c r="L446" s="881" t="s">
        <v>719</v>
      </c>
      <c r="M446" s="880"/>
      <c r="N446" s="881"/>
      <c r="O446" s="880" t="s">
        <v>722</v>
      </c>
      <c r="P446" s="1126">
        <v>2001</v>
      </c>
      <c r="Q446" s="880"/>
      <c r="R446" s="880"/>
      <c r="S446" s="880" t="s">
        <v>482</v>
      </c>
      <c r="T446" s="880" t="s">
        <v>12</v>
      </c>
      <c r="U446" s="882">
        <v>441000000</v>
      </c>
      <c r="V446" s="880" t="s">
        <v>43</v>
      </c>
      <c r="W446" s="880"/>
      <c r="X446" s="969"/>
      <c r="Y446" s="884" t="str">
        <f t="shared" si="153"/>
        <v>04.13.01</v>
      </c>
      <c r="Z446" s="884" t="str">
        <f t="shared" si="154"/>
        <v>Jalan</v>
      </c>
      <c r="AA446" s="884">
        <f t="shared" si="155"/>
        <v>10</v>
      </c>
      <c r="AB446" s="868">
        <f t="shared" si="156"/>
        <v>44100000</v>
      </c>
      <c r="AC446" s="885">
        <f t="shared" si="157"/>
        <v>10</v>
      </c>
      <c r="AD446" s="868">
        <f t="shared" si="158"/>
        <v>441000000</v>
      </c>
      <c r="AE446" s="868">
        <f t="shared" si="159"/>
        <v>0</v>
      </c>
      <c r="AF446" s="868">
        <f t="shared" si="160"/>
        <v>0</v>
      </c>
      <c r="AG446" s="868">
        <f t="shared" si="161"/>
        <v>0</v>
      </c>
      <c r="AH446" s="868">
        <f t="shared" si="162"/>
        <v>0</v>
      </c>
      <c r="AI446" s="886">
        <f t="shared" si="163"/>
        <v>0</v>
      </c>
      <c r="AJ446" s="886">
        <f t="shared" si="164"/>
        <v>441000000</v>
      </c>
      <c r="AK446" s="868">
        <f t="shared" si="166"/>
        <v>0</v>
      </c>
    </row>
    <row r="447" spans="1:37" s="857" customFormat="1" ht="35.25" customHeight="1" x14ac:dyDescent="0.2">
      <c r="A447" s="857" t="s">
        <v>4890</v>
      </c>
      <c r="B447" s="857" t="e">
        <f t="shared" si="134"/>
        <v>#N/A</v>
      </c>
      <c r="E447" s="884" t="str">
        <f t="shared" si="152"/>
        <v/>
      </c>
      <c r="F447" s="855"/>
      <c r="G447" s="878" t="s">
        <v>696</v>
      </c>
      <c r="H447" s="879"/>
      <c r="I447" s="880" t="s">
        <v>3821</v>
      </c>
      <c r="J447" s="880"/>
      <c r="K447" s="880" t="s">
        <v>525</v>
      </c>
      <c r="L447" s="881" t="s">
        <v>719</v>
      </c>
      <c r="M447" s="880"/>
      <c r="N447" s="881"/>
      <c r="O447" s="880" t="s">
        <v>723</v>
      </c>
      <c r="P447" s="1126">
        <v>2001</v>
      </c>
      <c r="Q447" s="880"/>
      <c r="R447" s="880"/>
      <c r="S447" s="880" t="s">
        <v>482</v>
      </c>
      <c r="T447" s="880" t="s">
        <v>12</v>
      </c>
      <c r="U447" s="882">
        <v>472500000</v>
      </c>
      <c r="V447" s="880" t="s">
        <v>43</v>
      </c>
      <c r="W447" s="880"/>
      <c r="X447" s="969"/>
      <c r="Y447" s="884" t="str">
        <f t="shared" si="153"/>
        <v>04.13.01</v>
      </c>
      <c r="Z447" s="884" t="str">
        <f t="shared" si="154"/>
        <v>Jalan</v>
      </c>
      <c r="AA447" s="884">
        <f t="shared" si="155"/>
        <v>10</v>
      </c>
      <c r="AB447" s="868">
        <f t="shared" si="156"/>
        <v>47250000</v>
      </c>
      <c r="AC447" s="885">
        <f t="shared" si="157"/>
        <v>10</v>
      </c>
      <c r="AD447" s="868">
        <f t="shared" si="158"/>
        <v>472500000</v>
      </c>
      <c r="AE447" s="868">
        <f t="shared" si="159"/>
        <v>0</v>
      </c>
      <c r="AF447" s="868">
        <f t="shared" si="160"/>
        <v>0</v>
      </c>
      <c r="AG447" s="868">
        <f t="shared" si="161"/>
        <v>0</v>
      </c>
      <c r="AH447" s="868">
        <f t="shared" si="162"/>
        <v>0</v>
      </c>
      <c r="AI447" s="886">
        <f t="shared" si="163"/>
        <v>0</v>
      </c>
      <c r="AJ447" s="886">
        <f t="shared" si="164"/>
        <v>472500000</v>
      </c>
      <c r="AK447" s="868">
        <f t="shared" si="166"/>
        <v>0</v>
      </c>
    </row>
    <row r="448" spans="1:37" s="857" customFormat="1" ht="35.25" customHeight="1" x14ac:dyDescent="0.2">
      <c r="A448" s="857" t="s">
        <v>4890</v>
      </c>
      <c r="B448" s="857" t="e">
        <f t="shared" si="134"/>
        <v>#N/A</v>
      </c>
      <c r="E448" s="884" t="str">
        <f t="shared" si="152"/>
        <v/>
      </c>
      <c r="F448" s="855"/>
      <c r="G448" s="878" t="s">
        <v>696</v>
      </c>
      <c r="H448" s="879"/>
      <c r="I448" s="880" t="s">
        <v>3821</v>
      </c>
      <c r="J448" s="880"/>
      <c r="K448" s="880" t="s">
        <v>525</v>
      </c>
      <c r="L448" s="881" t="s">
        <v>609</v>
      </c>
      <c r="M448" s="880"/>
      <c r="N448" s="881"/>
      <c r="O448" s="880" t="s">
        <v>725</v>
      </c>
      <c r="P448" s="1126">
        <v>2001</v>
      </c>
      <c r="Q448" s="880"/>
      <c r="R448" s="880"/>
      <c r="S448" s="880" t="s">
        <v>482</v>
      </c>
      <c r="T448" s="880" t="s">
        <v>12</v>
      </c>
      <c r="U448" s="882">
        <v>810000000</v>
      </c>
      <c r="V448" s="880" t="s">
        <v>43</v>
      </c>
      <c r="W448" s="880"/>
      <c r="X448" s="969"/>
      <c r="Y448" s="884" t="str">
        <f t="shared" si="153"/>
        <v>04.13.01</v>
      </c>
      <c r="Z448" s="884" t="str">
        <f t="shared" si="154"/>
        <v>Jalan</v>
      </c>
      <c r="AA448" s="884">
        <f t="shared" si="155"/>
        <v>10</v>
      </c>
      <c r="AB448" s="868">
        <f t="shared" si="156"/>
        <v>81000000</v>
      </c>
      <c r="AC448" s="885">
        <f t="shared" si="157"/>
        <v>10</v>
      </c>
      <c r="AD448" s="868">
        <f t="shared" si="158"/>
        <v>810000000</v>
      </c>
      <c r="AE448" s="868">
        <f t="shared" si="159"/>
        <v>0</v>
      </c>
      <c r="AF448" s="868">
        <f t="shared" si="160"/>
        <v>0</v>
      </c>
      <c r="AG448" s="868">
        <f t="shared" si="161"/>
        <v>0</v>
      </c>
      <c r="AH448" s="868">
        <f t="shared" si="162"/>
        <v>0</v>
      </c>
      <c r="AI448" s="886">
        <f t="shared" si="163"/>
        <v>0</v>
      </c>
      <c r="AJ448" s="886">
        <f t="shared" si="164"/>
        <v>810000000</v>
      </c>
      <c r="AK448" s="868">
        <f t="shared" si="166"/>
        <v>0</v>
      </c>
    </row>
    <row r="449" spans="1:39" s="857" customFormat="1" ht="35.25" customHeight="1" x14ac:dyDescent="0.2">
      <c r="A449" s="857" t="s">
        <v>4890</v>
      </c>
      <c r="B449" s="857" t="e">
        <f t="shared" si="134"/>
        <v>#N/A</v>
      </c>
      <c r="E449" s="884" t="str">
        <f t="shared" si="152"/>
        <v/>
      </c>
      <c r="F449" s="855"/>
      <c r="G449" s="878" t="s">
        <v>696</v>
      </c>
      <c r="H449" s="879"/>
      <c r="I449" s="880" t="s">
        <v>3821</v>
      </c>
      <c r="J449" s="880"/>
      <c r="K449" s="880" t="s">
        <v>525</v>
      </c>
      <c r="L449" s="881" t="s">
        <v>726</v>
      </c>
      <c r="M449" s="880"/>
      <c r="N449" s="881"/>
      <c r="O449" s="880" t="s">
        <v>727</v>
      </c>
      <c r="P449" s="1126">
        <v>2001</v>
      </c>
      <c r="Q449" s="880"/>
      <c r="R449" s="880"/>
      <c r="S449" s="880" t="s">
        <v>482</v>
      </c>
      <c r="T449" s="880" t="s">
        <v>12</v>
      </c>
      <c r="U449" s="882">
        <v>47250000</v>
      </c>
      <c r="V449" s="880" t="s">
        <v>43</v>
      </c>
      <c r="W449" s="880"/>
      <c r="X449" s="969"/>
      <c r="Y449" s="884" t="str">
        <f t="shared" si="153"/>
        <v>04.13.01</v>
      </c>
      <c r="Z449" s="884" t="str">
        <f t="shared" si="154"/>
        <v>Jalan</v>
      </c>
      <c r="AA449" s="884">
        <f t="shared" si="155"/>
        <v>10</v>
      </c>
      <c r="AB449" s="868">
        <f t="shared" si="156"/>
        <v>4725000</v>
      </c>
      <c r="AC449" s="885">
        <f t="shared" si="157"/>
        <v>10</v>
      </c>
      <c r="AD449" s="868">
        <f t="shared" si="158"/>
        <v>47250000</v>
      </c>
      <c r="AE449" s="868">
        <f t="shared" si="159"/>
        <v>0</v>
      </c>
      <c r="AF449" s="868">
        <f t="shared" si="160"/>
        <v>0</v>
      </c>
      <c r="AG449" s="868">
        <f t="shared" si="161"/>
        <v>0</v>
      </c>
      <c r="AH449" s="868">
        <f t="shared" si="162"/>
        <v>0</v>
      </c>
      <c r="AI449" s="886">
        <f t="shared" si="163"/>
        <v>0</v>
      </c>
      <c r="AJ449" s="886">
        <f t="shared" si="164"/>
        <v>47250000</v>
      </c>
      <c r="AK449" s="868">
        <f t="shared" si="166"/>
        <v>0</v>
      </c>
    </row>
    <row r="450" spans="1:39" s="857" customFormat="1" ht="35.25" customHeight="1" x14ac:dyDescent="0.2">
      <c r="A450" s="857" t="s">
        <v>4890</v>
      </c>
      <c r="B450" s="857" t="e">
        <f t="shared" si="134"/>
        <v>#N/A</v>
      </c>
      <c r="E450" s="884" t="str">
        <f t="shared" si="152"/>
        <v/>
      </c>
      <c r="F450" s="855"/>
      <c r="G450" s="878" t="s">
        <v>735</v>
      </c>
      <c r="H450" s="879"/>
      <c r="I450" s="880" t="s">
        <v>3822</v>
      </c>
      <c r="J450" s="880"/>
      <c r="K450" s="880" t="s">
        <v>736</v>
      </c>
      <c r="L450" s="881" t="s">
        <v>625</v>
      </c>
      <c r="M450" s="880">
        <v>6</v>
      </c>
      <c r="N450" s="881">
        <v>1200</v>
      </c>
      <c r="O450" s="880" t="s">
        <v>737</v>
      </c>
      <c r="P450" s="1126">
        <v>2004</v>
      </c>
      <c r="Q450" s="880"/>
      <c r="R450" s="880"/>
      <c r="S450" s="880" t="s">
        <v>738</v>
      </c>
      <c r="T450" s="880" t="s">
        <v>12</v>
      </c>
      <c r="U450" s="882">
        <v>6600000000</v>
      </c>
      <c r="V450" s="880" t="s">
        <v>43</v>
      </c>
      <c r="W450" s="880"/>
      <c r="X450" s="969"/>
      <c r="Y450" s="884" t="str">
        <f t="shared" si="153"/>
        <v>04.13.02</v>
      </c>
      <c r="Z450" s="884" t="str">
        <f t="shared" si="154"/>
        <v>Jembatan</v>
      </c>
      <c r="AA450" s="884">
        <f t="shared" si="155"/>
        <v>50</v>
      </c>
      <c r="AB450" s="868">
        <f t="shared" si="156"/>
        <v>132000000</v>
      </c>
      <c r="AC450" s="885">
        <f t="shared" si="157"/>
        <v>10</v>
      </c>
      <c r="AD450" s="868">
        <f t="shared" si="158"/>
        <v>1320000000</v>
      </c>
      <c r="AE450" s="868">
        <f t="shared" si="159"/>
        <v>132000000</v>
      </c>
      <c r="AF450" s="868">
        <f t="shared" si="160"/>
        <v>132000000</v>
      </c>
      <c r="AG450" s="868">
        <f t="shared" si="161"/>
        <v>132000000</v>
      </c>
      <c r="AH450" s="868">
        <f t="shared" si="162"/>
        <v>132000000</v>
      </c>
      <c r="AI450" s="886">
        <f t="shared" si="163"/>
        <v>132000000</v>
      </c>
      <c r="AJ450" s="886">
        <f t="shared" si="164"/>
        <v>1980000000</v>
      </c>
      <c r="AK450" s="868">
        <f t="shared" si="166"/>
        <v>4620000000</v>
      </c>
    </row>
    <row r="451" spans="1:39" s="857" customFormat="1" ht="35.25" customHeight="1" x14ac:dyDescent="0.15">
      <c r="A451" s="857" t="s">
        <v>4890</v>
      </c>
      <c r="B451" s="857" t="e">
        <f>VLOOKUP(A451,RUAS,2,FALSE)</f>
        <v>#N/A</v>
      </c>
      <c r="E451" s="877" t="s">
        <v>4777</v>
      </c>
      <c r="F451" s="855"/>
      <c r="G451" s="878" t="s">
        <v>735</v>
      </c>
      <c r="H451" s="879"/>
      <c r="I451" s="880" t="s">
        <v>3822</v>
      </c>
      <c r="J451" s="880"/>
      <c r="K451" s="880" t="s">
        <v>736</v>
      </c>
      <c r="L451" s="881" t="s">
        <v>739</v>
      </c>
      <c r="M451" s="880">
        <v>6</v>
      </c>
      <c r="N451" s="881">
        <v>102</v>
      </c>
      <c r="O451" s="880" t="s">
        <v>740</v>
      </c>
      <c r="P451" s="1126">
        <v>2006</v>
      </c>
      <c r="Q451" s="880"/>
      <c r="R451" s="880"/>
      <c r="S451" s="880" t="s">
        <v>741</v>
      </c>
      <c r="T451" s="880" t="s">
        <v>12</v>
      </c>
      <c r="U451" s="882">
        <v>841500000</v>
      </c>
      <c r="V451" s="880" t="s">
        <v>43</v>
      </c>
      <c r="W451" s="880"/>
      <c r="X451" s="969"/>
      <c r="Y451" s="883" t="str">
        <f t="shared" si="153"/>
        <v>04.13.02</v>
      </c>
      <c r="Z451" s="884" t="str">
        <f t="shared" si="154"/>
        <v>Jembatan</v>
      </c>
      <c r="AA451" s="884">
        <f t="shared" si="155"/>
        <v>50</v>
      </c>
      <c r="AB451" s="868">
        <f t="shared" si="156"/>
        <v>16830000</v>
      </c>
      <c r="AC451" s="885">
        <f t="shared" si="157"/>
        <v>8</v>
      </c>
      <c r="AD451" s="868">
        <f t="shared" si="158"/>
        <v>134640000</v>
      </c>
      <c r="AE451" s="868">
        <f t="shared" si="159"/>
        <v>16830000</v>
      </c>
      <c r="AF451" s="868">
        <f t="shared" si="160"/>
        <v>16830000</v>
      </c>
      <c r="AG451" s="868">
        <f t="shared" si="161"/>
        <v>16830000</v>
      </c>
      <c r="AH451" s="868">
        <f t="shared" si="162"/>
        <v>16830000</v>
      </c>
      <c r="AI451" s="886">
        <f t="shared" si="163"/>
        <v>16830000</v>
      </c>
      <c r="AJ451" s="886">
        <f t="shared" si="164"/>
        <v>218790000</v>
      </c>
      <c r="AK451" s="868">
        <f t="shared" si="166"/>
        <v>622710000</v>
      </c>
    </row>
    <row r="452" spans="1:39" s="857" customFormat="1" ht="35.25" customHeight="1" x14ac:dyDescent="0.2">
      <c r="A452" s="857" t="s">
        <v>4896</v>
      </c>
      <c r="B452" s="857" t="e">
        <f>VLOOKUP(A452,RUAS,2,FALSE)</f>
        <v>#N/A</v>
      </c>
      <c r="E452" s="884" t="str">
        <f t="shared" ref="E452:E457" si="167">RIGHT(D452,1)</f>
        <v/>
      </c>
      <c r="F452" s="855"/>
      <c r="G452" s="878" t="s">
        <v>742</v>
      </c>
      <c r="H452" s="879"/>
      <c r="I452" s="880" t="s">
        <v>3823</v>
      </c>
      <c r="J452" s="880"/>
      <c r="K452" s="880" t="s">
        <v>736</v>
      </c>
      <c r="L452" s="881" t="s">
        <v>748</v>
      </c>
      <c r="M452" s="880">
        <v>7</v>
      </c>
      <c r="N452" s="881">
        <v>49</v>
      </c>
      <c r="O452" s="880" t="s">
        <v>749</v>
      </c>
      <c r="P452" s="1126">
        <v>1942</v>
      </c>
      <c r="Q452" s="880"/>
      <c r="R452" s="880"/>
      <c r="S452" s="880" t="s">
        <v>750</v>
      </c>
      <c r="T452" s="880" t="s">
        <v>12</v>
      </c>
      <c r="U452" s="882">
        <v>286650000</v>
      </c>
      <c r="V452" s="880" t="s">
        <v>43</v>
      </c>
      <c r="W452" s="880"/>
      <c r="X452" s="969"/>
      <c r="Y452" s="884" t="str">
        <f t="shared" si="153"/>
        <v>04.13.02</v>
      </c>
      <c r="Z452" s="884" t="str">
        <f t="shared" si="154"/>
        <v>Jembatan</v>
      </c>
      <c r="AA452" s="884">
        <f t="shared" si="155"/>
        <v>50</v>
      </c>
      <c r="AB452" s="868">
        <f t="shared" si="156"/>
        <v>5733000</v>
      </c>
      <c r="AC452" s="885">
        <f t="shared" si="157"/>
        <v>50</v>
      </c>
      <c r="AD452" s="868">
        <f t="shared" si="158"/>
        <v>286650000</v>
      </c>
      <c r="AE452" s="868">
        <f t="shared" si="159"/>
        <v>0</v>
      </c>
      <c r="AF452" s="868">
        <f t="shared" si="160"/>
        <v>0</v>
      </c>
      <c r="AG452" s="868">
        <f t="shared" si="161"/>
        <v>0</v>
      </c>
      <c r="AH452" s="868">
        <f t="shared" si="162"/>
        <v>0</v>
      </c>
      <c r="AI452" s="886">
        <f t="shared" si="163"/>
        <v>0</v>
      </c>
      <c r="AJ452" s="886">
        <f t="shared" si="164"/>
        <v>286650000</v>
      </c>
      <c r="AK452" s="868">
        <f t="shared" si="166"/>
        <v>0</v>
      </c>
    </row>
    <row r="453" spans="1:39" s="857" customFormat="1" ht="35.25" customHeight="1" x14ac:dyDescent="0.2">
      <c r="A453" s="857" t="s">
        <v>4895</v>
      </c>
      <c r="E453" s="884" t="str">
        <f t="shared" si="167"/>
        <v/>
      </c>
      <c r="F453" s="855"/>
      <c r="G453" s="878" t="s">
        <v>764</v>
      </c>
      <c r="H453" s="879"/>
      <c r="I453" s="861" t="s">
        <v>3824</v>
      </c>
      <c r="J453" s="871"/>
      <c r="K453" s="861" t="s">
        <v>736</v>
      </c>
      <c r="L453" s="856" t="s">
        <v>745</v>
      </c>
      <c r="M453" s="862">
        <v>6</v>
      </c>
      <c r="N453" s="856">
        <v>360</v>
      </c>
      <c r="O453" s="863" t="s">
        <v>769</v>
      </c>
      <c r="P453" s="861">
        <v>1987</v>
      </c>
      <c r="Q453" s="862"/>
      <c r="R453" s="862"/>
      <c r="S453" s="862" t="s">
        <v>770</v>
      </c>
      <c r="T453" s="862" t="s">
        <v>12</v>
      </c>
      <c r="U453" s="899">
        <v>2772000000</v>
      </c>
      <c r="V453" s="861" t="s">
        <v>135</v>
      </c>
      <c r="W453" s="865"/>
      <c r="X453" s="968"/>
      <c r="Y453" s="884" t="str">
        <f t="shared" si="153"/>
        <v>04.13.02</v>
      </c>
      <c r="Z453" s="884" t="str">
        <f t="shared" si="154"/>
        <v>Jembatan</v>
      </c>
      <c r="AA453" s="884">
        <f t="shared" si="155"/>
        <v>50</v>
      </c>
      <c r="AB453" s="868">
        <f t="shared" si="156"/>
        <v>55440000</v>
      </c>
      <c r="AC453" s="885">
        <f t="shared" si="157"/>
        <v>27</v>
      </c>
      <c r="AD453" s="868">
        <f t="shared" si="158"/>
        <v>1496880000</v>
      </c>
      <c r="AE453" s="868">
        <f t="shared" si="159"/>
        <v>55440000</v>
      </c>
      <c r="AF453" s="868">
        <f t="shared" si="160"/>
        <v>55440000</v>
      </c>
      <c r="AG453" s="868">
        <f t="shared" si="161"/>
        <v>55440000</v>
      </c>
      <c r="AH453" s="868">
        <f t="shared" si="162"/>
        <v>55440000</v>
      </c>
      <c r="AI453" s="886">
        <f t="shared" si="163"/>
        <v>55440000</v>
      </c>
      <c r="AJ453" s="886">
        <f t="shared" si="164"/>
        <v>1774080000</v>
      </c>
      <c r="AK453" s="868">
        <f t="shared" si="166"/>
        <v>997920000</v>
      </c>
    </row>
    <row r="454" spans="1:39" s="857" customFormat="1" ht="35.25" customHeight="1" x14ac:dyDescent="0.2">
      <c r="A454" s="857" t="s">
        <v>4890</v>
      </c>
      <c r="B454" s="857" t="e">
        <f t="shared" ref="B454:B486" si="168">VLOOKUP(A454,RUAS,2,FALSE)</f>
        <v>#N/A</v>
      </c>
      <c r="E454" s="884" t="str">
        <f t="shared" si="167"/>
        <v/>
      </c>
      <c r="F454" s="855"/>
      <c r="G454" s="878" t="s">
        <v>764</v>
      </c>
      <c r="H454" s="879"/>
      <c r="I454" s="861" t="s">
        <v>3824</v>
      </c>
      <c r="J454" s="871"/>
      <c r="K454" s="861" t="s">
        <v>736</v>
      </c>
      <c r="L454" s="856" t="s">
        <v>775</v>
      </c>
      <c r="M454" s="862">
        <v>8</v>
      </c>
      <c r="N454" s="856">
        <v>64</v>
      </c>
      <c r="O454" s="863" t="s">
        <v>776</v>
      </c>
      <c r="P454" s="861">
        <v>2000</v>
      </c>
      <c r="Q454" s="862"/>
      <c r="R454" s="862"/>
      <c r="S454" s="862" t="s">
        <v>777</v>
      </c>
      <c r="T454" s="862" t="s">
        <v>12</v>
      </c>
      <c r="U454" s="899">
        <v>374400000</v>
      </c>
      <c r="V454" s="861" t="s">
        <v>43</v>
      </c>
      <c r="W454" s="865"/>
      <c r="X454" s="968"/>
      <c r="Y454" s="884" t="str">
        <f t="shared" si="153"/>
        <v>04.13.02</v>
      </c>
      <c r="Z454" s="884" t="str">
        <f t="shared" si="154"/>
        <v>Jembatan</v>
      </c>
      <c r="AA454" s="884">
        <f t="shared" si="155"/>
        <v>50</v>
      </c>
      <c r="AB454" s="868">
        <f t="shared" si="156"/>
        <v>7488000</v>
      </c>
      <c r="AC454" s="885">
        <f t="shared" si="157"/>
        <v>14</v>
      </c>
      <c r="AD454" s="868">
        <f t="shared" si="158"/>
        <v>104832000</v>
      </c>
      <c r="AE454" s="868">
        <f t="shared" si="159"/>
        <v>7488000</v>
      </c>
      <c r="AF454" s="868">
        <f t="shared" si="160"/>
        <v>7488000</v>
      </c>
      <c r="AG454" s="868">
        <f t="shared" si="161"/>
        <v>7488000</v>
      </c>
      <c r="AH454" s="868">
        <f t="shared" si="162"/>
        <v>7488000</v>
      </c>
      <c r="AI454" s="886">
        <f t="shared" si="163"/>
        <v>7488000</v>
      </c>
      <c r="AJ454" s="886">
        <f t="shared" si="164"/>
        <v>142272000</v>
      </c>
      <c r="AK454" s="868">
        <f t="shared" si="166"/>
        <v>232128000</v>
      </c>
    </row>
    <row r="455" spans="1:39" s="857" customFormat="1" ht="35.25" customHeight="1" x14ac:dyDescent="0.2">
      <c r="A455" s="857" t="s">
        <v>4890</v>
      </c>
      <c r="B455" s="857" t="e">
        <f t="shared" si="168"/>
        <v>#N/A</v>
      </c>
      <c r="E455" s="884" t="str">
        <f t="shared" si="167"/>
        <v/>
      </c>
      <c r="F455" s="855"/>
      <c r="G455" s="878" t="s">
        <v>764</v>
      </c>
      <c r="H455" s="879"/>
      <c r="I455" s="861" t="s">
        <v>3824</v>
      </c>
      <c r="J455" s="871"/>
      <c r="K455" s="861" t="s">
        <v>736</v>
      </c>
      <c r="L455" s="856" t="s">
        <v>775</v>
      </c>
      <c r="M455" s="862">
        <v>8</v>
      </c>
      <c r="N455" s="856">
        <v>64</v>
      </c>
      <c r="O455" s="863" t="s">
        <v>778</v>
      </c>
      <c r="P455" s="861">
        <v>1981</v>
      </c>
      <c r="Q455" s="862"/>
      <c r="R455" s="862"/>
      <c r="S455" s="862" t="s">
        <v>779</v>
      </c>
      <c r="T455" s="862" t="s">
        <v>12</v>
      </c>
      <c r="U455" s="899">
        <v>345600000</v>
      </c>
      <c r="V455" s="861" t="s">
        <v>43</v>
      </c>
      <c r="W455" s="865"/>
      <c r="X455" s="968"/>
      <c r="Y455" s="884" t="str">
        <f t="shared" si="153"/>
        <v>04.13.02</v>
      </c>
      <c r="Z455" s="884" t="str">
        <f t="shared" si="154"/>
        <v>Jembatan</v>
      </c>
      <c r="AA455" s="884">
        <f t="shared" si="155"/>
        <v>50</v>
      </c>
      <c r="AB455" s="868">
        <f t="shared" si="156"/>
        <v>6912000</v>
      </c>
      <c r="AC455" s="885">
        <f t="shared" si="157"/>
        <v>33</v>
      </c>
      <c r="AD455" s="868">
        <f t="shared" si="158"/>
        <v>228096000</v>
      </c>
      <c r="AE455" s="868">
        <f t="shared" si="159"/>
        <v>6912000</v>
      </c>
      <c r="AF455" s="868">
        <f t="shared" si="160"/>
        <v>6912000</v>
      </c>
      <c r="AG455" s="868">
        <f t="shared" si="161"/>
        <v>6912000</v>
      </c>
      <c r="AH455" s="868">
        <f t="shared" si="162"/>
        <v>6912000</v>
      </c>
      <c r="AI455" s="886">
        <f t="shared" si="163"/>
        <v>6912000</v>
      </c>
      <c r="AJ455" s="886">
        <f t="shared" si="164"/>
        <v>262656000</v>
      </c>
      <c r="AK455" s="868">
        <f t="shared" si="166"/>
        <v>82944000</v>
      </c>
    </row>
    <row r="456" spans="1:39" s="857" customFormat="1" ht="35.25" customHeight="1" x14ac:dyDescent="0.2">
      <c r="A456" s="857" t="s">
        <v>4890</v>
      </c>
      <c r="B456" s="857" t="e">
        <f t="shared" si="168"/>
        <v>#N/A</v>
      </c>
      <c r="E456" s="884" t="str">
        <f t="shared" si="167"/>
        <v/>
      </c>
      <c r="F456" s="855"/>
      <c r="G456" s="878" t="s">
        <v>764</v>
      </c>
      <c r="H456" s="879"/>
      <c r="I456" s="861" t="s">
        <v>3824</v>
      </c>
      <c r="J456" s="871"/>
      <c r="K456" s="861" t="s">
        <v>736</v>
      </c>
      <c r="L456" s="856" t="s">
        <v>762</v>
      </c>
      <c r="M456" s="862">
        <v>6</v>
      </c>
      <c r="N456" s="856">
        <v>72</v>
      </c>
      <c r="O456" s="863" t="s">
        <v>781</v>
      </c>
      <c r="P456" s="861">
        <v>1990</v>
      </c>
      <c r="Q456" s="862"/>
      <c r="R456" s="862"/>
      <c r="S456" s="862" t="s">
        <v>782</v>
      </c>
      <c r="T456" s="862" t="s">
        <v>12</v>
      </c>
      <c r="U456" s="899">
        <v>388800000</v>
      </c>
      <c r="V456" s="861" t="s">
        <v>43</v>
      </c>
      <c r="W456" s="865"/>
      <c r="X456" s="968"/>
      <c r="Y456" s="884" t="str">
        <f t="shared" ref="Y456:Y519" si="169">LEFT(I456,8)</f>
        <v>04.13.02</v>
      </c>
      <c r="Z456" s="884" t="str">
        <f t="shared" ref="Z456:Z519" si="170">VLOOKUP(Y456,UE,3,FALSE)</f>
        <v>Jembatan</v>
      </c>
      <c r="AA456" s="884">
        <f t="shared" ref="AA456:AA519" si="171">VLOOKUP(Y456,UE,4,FALSE)</f>
        <v>50</v>
      </c>
      <c r="AB456" s="868">
        <f t="shared" si="156"/>
        <v>7776000</v>
      </c>
      <c r="AC456" s="885">
        <f t="shared" si="157"/>
        <v>24</v>
      </c>
      <c r="AD456" s="868">
        <f t="shared" si="158"/>
        <v>186624000</v>
      </c>
      <c r="AE456" s="868">
        <f t="shared" si="159"/>
        <v>7776000</v>
      </c>
      <c r="AF456" s="868">
        <f t="shared" si="160"/>
        <v>7776000</v>
      </c>
      <c r="AG456" s="868">
        <f t="shared" si="161"/>
        <v>7776000</v>
      </c>
      <c r="AH456" s="868">
        <f t="shared" si="162"/>
        <v>7776000</v>
      </c>
      <c r="AI456" s="886">
        <f t="shared" si="163"/>
        <v>7776000</v>
      </c>
      <c r="AJ456" s="886">
        <f t="shared" si="164"/>
        <v>225504000</v>
      </c>
      <c r="AK456" s="868">
        <f t="shared" si="166"/>
        <v>163296000</v>
      </c>
    </row>
    <row r="457" spans="1:39" s="857" customFormat="1" ht="35.25" customHeight="1" x14ac:dyDescent="0.2">
      <c r="B457" s="857" t="e">
        <f t="shared" si="168"/>
        <v>#N/A</v>
      </c>
      <c r="E457" s="884" t="str">
        <f t="shared" si="167"/>
        <v/>
      </c>
      <c r="F457" s="855"/>
      <c r="G457" s="878" t="s">
        <v>764</v>
      </c>
      <c r="H457" s="879"/>
      <c r="I457" s="861" t="s">
        <v>3824</v>
      </c>
      <c r="J457" s="871"/>
      <c r="K457" s="861" t="s">
        <v>736</v>
      </c>
      <c r="L457" s="856" t="s">
        <v>766</v>
      </c>
      <c r="M457" s="862">
        <v>8</v>
      </c>
      <c r="N457" s="856">
        <v>120</v>
      </c>
      <c r="O457" s="863" t="s">
        <v>783</v>
      </c>
      <c r="P457" s="861">
        <v>1990</v>
      </c>
      <c r="Q457" s="862"/>
      <c r="R457" s="862"/>
      <c r="S457" s="862" t="s">
        <v>782</v>
      </c>
      <c r="T457" s="862" t="s">
        <v>12</v>
      </c>
      <c r="U457" s="899">
        <v>648000000</v>
      </c>
      <c r="V457" s="861" t="s">
        <v>43</v>
      </c>
      <c r="W457" s="865"/>
      <c r="X457" s="968"/>
      <c r="Y457" s="884" t="str">
        <f t="shared" si="169"/>
        <v>04.13.02</v>
      </c>
      <c r="Z457" s="884" t="str">
        <f t="shared" si="170"/>
        <v>Jembatan</v>
      </c>
      <c r="AA457" s="884">
        <f t="shared" si="171"/>
        <v>50</v>
      </c>
      <c r="AB457" s="868">
        <f t="shared" si="156"/>
        <v>12960000</v>
      </c>
      <c r="AC457" s="885">
        <f t="shared" si="157"/>
        <v>24</v>
      </c>
      <c r="AD457" s="868">
        <f t="shared" si="158"/>
        <v>311040000</v>
      </c>
      <c r="AE457" s="868">
        <f t="shared" si="159"/>
        <v>12960000</v>
      </c>
      <c r="AF457" s="868">
        <f t="shared" si="160"/>
        <v>12960000</v>
      </c>
      <c r="AG457" s="868">
        <f t="shared" si="161"/>
        <v>12960000</v>
      </c>
      <c r="AH457" s="868">
        <f t="shared" si="162"/>
        <v>12960000</v>
      </c>
      <c r="AI457" s="886">
        <f t="shared" si="163"/>
        <v>12960000</v>
      </c>
      <c r="AJ457" s="886">
        <f t="shared" si="164"/>
        <v>375840000</v>
      </c>
      <c r="AK457" s="868">
        <f t="shared" si="166"/>
        <v>272160000</v>
      </c>
    </row>
    <row r="458" spans="1:39" s="857" customFormat="1" ht="35.25" customHeight="1" x14ac:dyDescent="0.2">
      <c r="A458" s="857" t="s">
        <v>4895</v>
      </c>
      <c r="B458" s="857" t="e">
        <f t="shared" si="168"/>
        <v>#N/A</v>
      </c>
      <c r="E458" s="884" t="str">
        <f t="shared" ref="E458:E521" si="172">RIGHT(D458,1)</f>
        <v/>
      </c>
      <c r="F458" s="855"/>
      <c r="G458" s="878" t="s">
        <v>764</v>
      </c>
      <c r="H458" s="879"/>
      <c r="I458" s="861" t="s">
        <v>3824</v>
      </c>
      <c r="J458" s="871"/>
      <c r="K458" s="861" t="s">
        <v>736</v>
      </c>
      <c r="L458" s="856" t="s">
        <v>762</v>
      </c>
      <c r="M458" s="862">
        <v>6</v>
      </c>
      <c r="N458" s="856">
        <v>72</v>
      </c>
      <c r="O458" s="863" t="s">
        <v>785</v>
      </c>
      <c r="P458" s="861">
        <v>1990</v>
      </c>
      <c r="Q458" s="862"/>
      <c r="R458" s="862"/>
      <c r="S458" s="862" t="s">
        <v>782</v>
      </c>
      <c r="T458" s="862" t="s">
        <v>12</v>
      </c>
      <c r="U458" s="899">
        <v>388800000</v>
      </c>
      <c r="V458" s="861" t="s">
        <v>43</v>
      </c>
      <c r="W458" s="865"/>
      <c r="X458" s="968"/>
      <c r="Y458" s="884" t="str">
        <f t="shared" si="169"/>
        <v>04.13.02</v>
      </c>
      <c r="Z458" s="884" t="str">
        <f t="shared" si="170"/>
        <v>Jembatan</v>
      </c>
      <c r="AA458" s="884">
        <f t="shared" si="171"/>
        <v>50</v>
      </c>
      <c r="AB458" s="868">
        <f t="shared" si="156"/>
        <v>7776000</v>
      </c>
      <c r="AC458" s="885">
        <f t="shared" si="157"/>
        <v>24</v>
      </c>
      <c r="AD458" s="868">
        <f t="shared" si="158"/>
        <v>186624000</v>
      </c>
      <c r="AE458" s="868">
        <f t="shared" si="159"/>
        <v>7776000</v>
      </c>
      <c r="AF458" s="868">
        <f t="shared" si="160"/>
        <v>7776000</v>
      </c>
      <c r="AG458" s="868">
        <f t="shared" si="161"/>
        <v>7776000</v>
      </c>
      <c r="AH458" s="868">
        <f t="shared" si="162"/>
        <v>7776000</v>
      </c>
      <c r="AI458" s="886">
        <f t="shared" si="163"/>
        <v>7776000</v>
      </c>
      <c r="AJ458" s="886">
        <f t="shared" si="164"/>
        <v>225504000</v>
      </c>
      <c r="AK458" s="868">
        <f t="shared" si="166"/>
        <v>163296000</v>
      </c>
    </row>
    <row r="459" spans="1:39" s="857" customFormat="1" ht="35.25" customHeight="1" x14ac:dyDescent="0.2">
      <c r="B459" s="857" t="e">
        <f t="shared" si="168"/>
        <v>#N/A</v>
      </c>
      <c r="E459" s="884" t="str">
        <f t="shared" si="172"/>
        <v/>
      </c>
      <c r="F459" s="855"/>
      <c r="G459" s="878" t="s">
        <v>764</v>
      </c>
      <c r="H459" s="879"/>
      <c r="I459" s="861" t="s">
        <v>3824</v>
      </c>
      <c r="J459" s="871"/>
      <c r="K459" s="861" t="s">
        <v>736</v>
      </c>
      <c r="L459" s="856" t="s">
        <v>775</v>
      </c>
      <c r="M459" s="862">
        <v>8</v>
      </c>
      <c r="N459" s="856">
        <v>64</v>
      </c>
      <c r="O459" s="863" t="s">
        <v>786</v>
      </c>
      <c r="P459" s="861">
        <v>1987</v>
      </c>
      <c r="Q459" s="862"/>
      <c r="R459" s="862"/>
      <c r="S459" s="862" t="s">
        <v>770</v>
      </c>
      <c r="T459" s="862" t="s">
        <v>12</v>
      </c>
      <c r="U459" s="899">
        <v>345600000</v>
      </c>
      <c r="V459" s="861" t="s">
        <v>43</v>
      </c>
      <c r="W459" s="865"/>
      <c r="X459" s="968"/>
      <c r="Y459" s="884" t="str">
        <f t="shared" si="169"/>
        <v>04.13.02</v>
      </c>
      <c r="Z459" s="884" t="str">
        <f t="shared" si="170"/>
        <v>Jembatan</v>
      </c>
      <c r="AA459" s="884">
        <f t="shared" si="171"/>
        <v>50</v>
      </c>
      <c r="AB459" s="868">
        <f t="shared" si="156"/>
        <v>6912000</v>
      </c>
      <c r="AC459" s="885">
        <f t="shared" si="157"/>
        <v>27</v>
      </c>
      <c r="AD459" s="868">
        <f t="shared" si="158"/>
        <v>186624000</v>
      </c>
      <c r="AE459" s="868">
        <f t="shared" si="159"/>
        <v>6912000</v>
      </c>
      <c r="AF459" s="868">
        <f t="shared" si="160"/>
        <v>6912000</v>
      </c>
      <c r="AG459" s="868">
        <f t="shared" si="161"/>
        <v>6912000</v>
      </c>
      <c r="AH459" s="868">
        <f t="shared" si="162"/>
        <v>6912000</v>
      </c>
      <c r="AI459" s="886">
        <f t="shared" si="163"/>
        <v>6912000</v>
      </c>
      <c r="AJ459" s="886">
        <f t="shared" si="164"/>
        <v>221184000</v>
      </c>
      <c r="AK459" s="868">
        <f t="shared" si="166"/>
        <v>124416000</v>
      </c>
    </row>
    <row r="460" spans="1:39" s="857" customFormat="1" ht="35.25" customHeight="1" x14ac:dyDescent="0.2">
      <c r="B460" s="857" t="e">
        <f t="shared" si="168"/>
        <v>#N/A</v>
      </c>
      <c r="E460" s="884" t="str">
        <f t="shared" si="172"/>
        <v/>
      </c>
      <c r="F460" s="855"/>
      <c r="G460" s="878" t="s">
        <v>764</v>
      </c>
      <c r="H460" s="879"/>
      <c r="I460" s="861" t="s">
        <v>3824</v>
      </c>
      <c r="J460" s="871"/>
      <c r="K460" s="861" t="s">
        <v>736</v>
      </c>
      <c r="L460" s="856" t="s">
        <v>766</v>
      </c>
      <c r="M460" s="862">
        <v>6</v>
      </c>
      <c r="N460" s="856">
        <v>90</v>
      </c>
      <c r="O460" s="863" t="s">
        <v>787</v>
      </c>
      <c r="P460" s="861">
        <v>1991</v>
      </c>
      <c r="Q460" s="862"/>
      <c r="R460" s="862"/>
      <c r="S460" s="862" t="s">
        <v>788</v>
      </c>
      <c r="T460" s="862" t="s">
        <v>12</v>
      </c>
      <c r="U460" s="899">
        <v>486000000</v>
      </c>
      <c r="V460" s="861" t="s">
        <v>43</v>
      </c>
      <c r="W460" s="865"/>
      <c r="X460" s="968"/>
      <c r="Y460" s="884" t="str">
        <f t="shared" si="169"/>
        <v>04.13.02</v>
      </c>
      <c r="Z460" s="884" t="str">
        <f t="shared" si="170"/>
        <v>Jembatan</v>
      </c>
      <c r="AA460" s="884">
        <f t="shared" si="171"/>
        <v>50</v>
      </c>
      <c r="AB460" s="868">
        <f t="shared" ref="AB460:AB523" si="173">U460/AA460</f>
        <v>9720000</v>
      </c>
      <c r="AC460" s="885">
        <f t="shared" ref="AC460:AC523" si="174">IF(2013-P460+1&gt;AA460,AA460,IF(2013-P460+1&lt;0,0,2013-P460+1))</f>
        <v>23</v>
      </c>
      <c r="AD460" s="868">
        <f t="shared" ref="AD460:AD523" si="175">IF(AC460&gt;AA460,U460,AB460*AC460)</f>
        <v>223560000</v>
      </c>
      <c r="AE460" s="868">
        <f t="shared" ref="AE460:AE523" si="176">IF(U460=AD460,0,AB460)</f>
        <v>9720000</v>
      </c>
      <c r="AF460" s="868">
        <f t="shared" ref="AF460:AF523" si="177">IF(U460=AD460+AE460,0,AB460)</f>
        <v>9720000</v>
      </c>
      <c r="AG460" s="868">
        <f t="shared" ref="AG460:AG523" si="178">IF(U460=AD460+AE460+AF460,0,AB460)</f>
        <v>9720000</v>
      </c>
      <c r="AH460" s="868">
        <f t="shared" ref="AH460:AH523" si="179">IF(U460=AE460+AF460+AG460+AD460,0,AB460)</f>
        <v>9720000</v>
      </c>
      <c r="AI460" s="886">
        <f t="shared" ref="AI460:AI523" si="180">IF(U460=AE460+AF460+AG460+AD460+AH460,0,AB460)</f>
        <v>9720000</v>
      </c>
      <c r="AJ460" s="886">
        <f t="shared" ref="AJ460:AJ523" si="181">SUM(AD460:AI460)</f>
        <v>272160000</v>
      </c>
      <c r="AK460" s="868">
        <f t="shared" si="166"/>
        <v>213840000</v>
      </c>
    </row>
    <row r="461" spans="1:39" s="857" customFormat="1" ht="35.25" customHeight="1" x14ac:dyDescent="0.2">
      <c r="B461" s="857" t="e">
        <f t="shared" si="168"/>
        <v>#N/A</v>
      </c>
      <c r="E461" s="884" t="str">
        <f t="shared" si="172"/>
        <v/>
      </c>
      <c r="F461" s="855"/>
      <c r="G461" s="878" t="s">
        <v>764</v>
      </c>
      <c r="H461" s="879"/>
      <c r="I461" s="861" t="s">
        <v>3824</v>
      </c>
      <c r="J461" s="871"/>
      <c r="K461" s="861" t="s">
        <v>736</v>
      </c>
      <c r="L461" s="856" t="s">
        <v>775</v>
      </c>
      <c r="M461" s="862">
        <v>4</v>
      </c>
      <c r="N461" s="856">
        <v>32</v>
      </c>
      <c r="O461" s="863" t="s">
        <v>789</v>
      </c>
      <c r="P461" s="861">
        <v>2006</v>
      </c>
      <c r="Q461" s="862"/>
      <c r="R461" s="862"/>
      <c r="S461" s="862" t="s">
        <v>741</v>
      </c>
      <c r="T461" s="862" t="s">
        <v>12</v>
      </c>
      <c r="U461" s="899">
        <v>230400000</v>
      </c>
      <c r="V461" s="861" t="s">
        <v>43</v>
      </c>
      <c r="W461" s="865"/>
      <c r="X461" s="968"/>
      <c r="Y461" s="884" t="str">
        <f t="shared" si="169"/>
        <v>04.13.02</v>
      </c>
      <c r="Z461" s="884" t="str">
        <f t="shared" si="170"/>
        <v>Jembatan</v>
      </c>
      <c r="AA461" s="884">
        <f t="shared" si="171"/>
        <v>50</v>
      </c>
      <c r="AB461" s="868">
        <f t="shared" si="173"/>
        <v>4608000</v>
      </c>
      <c r="AC461" s="885">
        <f t="shared" si="174"/>
        <v>8</v>
      </c>
      <c r="AD461" s="868">
        <f t="shared" si="175"/>
        <v>36864000</v>
      </c>
      <c r="AE461" s="868">
        <f t="shared" si="176"/>
        <v>4608000</v>
      </c>
      <c r="AF461" s="868">
        <f t="shared" si="177"/>
        <v>4608000</v>
      </c>
      <c r="AG461" s="868">
        <f t="shared" si="178"/>
        <v>4608000</v>
      </c>
      <c r="AH461" s="868">
        <f t="shared" si="179"/>
        <v>4608000</v>
      </c>
      <c r="AI461" s="886">
        <f t="shared" si="180"/>
        <v>4608000</v>
      </c>
      <c r="AJ461" s="886">
        <f t="shared" si="181"/>
        <v>59904000</v>
      </c>
      <c r="AK461" s="868">
        <f t="shared" si="166"/>
        <v>170496000</v>
      </c>
    </row>
    <row r="462" spans="1:39" s="857" customFormat="1" ht="35.25" customHeight="1" x14ac:dyDescent="0.2">
      <c r="B462" s="857" t="e">
        <f t="shared" si="168"/>
        <v>#N/A</v>
      </c>
      <c r="E462" s="884" t="str">
        <f t="shared" si="172"/>
        <v/>
      </c>
      <c r="F462" s="855"/>
      <c r="G462" s="878" t="s">
        <v>764</v>
      </c>
      <c r="H462" s="879"/>
      <c r="I462" s="861" t="s">
        <v>3824</v>
      </c>
      <c r="J462" s="871"/>
      <c r="K462" s="861" t="s">
        <v>736</v>
      </c>
      <c r="L462" s="856" t="s">
        <v>751</v>
      </c>
      <c r="M462" s="862">
        <v>6</v>
      </c>
      <c r="N462" s="856">
        <v>60</v>
      </c>
      <c r="O462" s="863" t="s">
        <v>790</v>
      </c>
      <c r="P462" s="861">
        <v>1990</v>
      </c>
      <c r="Q462" s="862"/>
      <c r="R462" s="862"/>
      <c r="S462" s="862" t="s">
        <v>782</v>
      </c>
      <c r="T462" s="862" t="s">
        <v>12</v>
      </c>
      <c r="U462" s="899">
        <v>378000000</v>
      </c>
      <c r="V462" s="861" t="s">
        <v>43</v>
      </c>
      <c r="W462" s="865"/>
      <c r="X462" s="968"/>
      <c r="Y462" s="884" t="str">
        <f t="shared" si="169"/>
        <v>04.13.02</v>
      </c>
      <c r="Z462" s="884" t="str">
        <f t="shared" si="170"/>
        <v>Jembatan</v>
      </c>
      <c r="AA462" s="884">
        <f t="shared" si="171"/>
        <v>50</v>
      </c>
      <c r="AB462" s="868">
        <f t="shared" si="173"/>
        <v>7560000</v>
      </c>
      <c r="AC462" s="885">
        <f t="shared" si="174"/>
        <v>24</v>
      </c>
      <c r="AD462" s="868">
        <f t="shared" si="175"/>
        <v>181440000</v>
      </c>
      <c r="AE462" s="868">
        <f t="shared" si="176"/>
        <v>7560000</v>
      </c>
      <c r="AF462" s="868">
        <f t="shared" si="177"/>
        <v>7560000</v>
      </c>
      <c r="AG462" s="868">
        <f t="shared" si="178"/>
        <v>7560000</v>
      </c>
      <c r="AH462" s="868">
        <f t="shared" si="179"/>
        <v>7560000</v>
      </c>
      <c r="AI462" s="886">
        <f t="shared" si="180"/>
        <v>7560000</v>
      </c>
      <c r="AJ462" s="886">
        <f t="shared" si="181"/>
        <v>219240000</v>
      </c>
      <c r="AK462" s="868">
        <f t="shared" si="166"/>
        <v>158760000</v>
      </c>
    </row>
    <row r="463" spans="1:39" s="857" customFormat="1" ht="35.25" customHeight="1" x14ac:dyDescent="0.2">
      <c r="B463" s="857" t="e">
        <f t="shared" si="168"/>
        <v>#N/A</v>
      </c>
      <c r="E463" s="884" t="str">
        <f t="shared" si="172"/>
        <v/>
      </c>
      <c r="F463" s="855"/>
      <c r="G463" s="878" t="s">
        <v>764</v>
      </c>
      <c r="H463" s="879"/>
      <c r="I463" s="861" t="s">
        <v>3824</v>
      </c>
      <c r="J463" s="871"/>
      <c r="K463" s="861" t="s">
        <v>736</v>
      </c>
      <c r="L463" s="856" t="s">
        <v>751</v>
      </c>
      <c r="M463" s="862">
        <v>8</v>
      </c>
      <c r="N463" s="856">
        <v>80</v>
      </c>
      <c r="O463" s="863" t="s">
        <v>791</v>
      </c>
      <c r="P463" s="861">
        <v>1987</v>
      </c>
      <c r="Q463" s="862"/>
      <c r="R463" s="862"/>
      <c r="S463" s="862" t="s">
        <v>770</v>
      </c>
      <c r="T463" s="862" t="s">
        <v>12</v>
      </c>
      <c r="U463" s="899">
        <v>576000000</v>
      </c>
      <c r="V463" s="861" t="s">
        <v>43</v>
      </c>
      <c r="W463" s="865"/>
      <c r="X463" s="968"/>
      <c r="Y463" s="884" t="str">
        <f t="shared" si="169"/>
        <v>04.13.02</v>
      </c>
      <c r="Z463" s="884" t="str">
        <f t="shared" si="170"/>
        <v>Jembatan</v>
      </c>
      <c r="AA463" s="884">
        <f t="shared" si="171"/>
        <v>50</v>
      </c>
      <c r="AB463" s="868">
        <f t="shared" si="173"/>
        <v>11520000</v>
      </c>
      <c r="AC463" s="885">
        <f t="shared" si="174"/>
        <v>27</v>
      </c>
      <c r="AD463" s="868">
        <f t="shared" si="175"/>
        <v>311040000</v>
      </c>
      <c r="AE463" s="868">
        <f t="shared" si="176"/>
        <v>11520000</v>
      </c>
      <c r="AF463" s="868">
        <f t="shared" si="177"/>
        <v>11520000</v>
      </c>
      <c r="AG463" s="868">
        <f t="shared" si="178"/>
        <v>11520000</v>
      </c>
      <c r="AH463" s="868">
        <f t="shared" si="179"/>
        <v>11520000</v>
      </c>
      <c r="AI463" s="886">
        <f t="shared" si="180"/>
        <v>11520000</v>
      </c>
      <c r="AJ463" s="886">
        <f t="shared" si="181"/>
        <v>368640000</v>
      </c>
      <c r="AK463" s="868">
        <f t="shared" si="166"/>
        <v>207360000</v>
      </c>
    </row>
    <row r="464" spans="1:39" s="887" customFormat="1" ht="35.25" customHeight="1" x14ac:dyDescent="0.2">
      <c r="A464" s="857"/>
      <c r="B464" s="857" t="e">
        <f t="shared" si="168"/>
        <v>#N/A</v>
      </c>
      <c r="E464" s="884" t="str">
        <f t="shared" si="172"/>
        <v/>
      </c>
      <c r="F464" s="888"/>
      <c r="G464" s="915" t="s">
        <v>764</v>
      </c>
      <c r="H464" s="915"/>
      <c r="I464" s="907" t="s">
        <v>3824</v>
      </c>
      <c r="J464" s="903"/>
      <c r="K464" s="862" t="s">
        <v>736</v>
      </c>
      <c r="L464" s="908" t="s">
        <v>759</v>
      </c>
      <c r="M464" s="862">
        <v>6</v>
      </c>
      <c r="N464" s="909">
        <v>36</v>
      </c>
      <c r="O464" s="863" t="s">
        <v>804</v>
      </c>
      <c r="P464" s="903">
        <v>1996</v>
      </c>
      <c r="Q464" s="862"/>
      <c r="R464" s="862"/>
      <c r="S464" s="862" t="s">
        <v>747</v>
      </c>
      <c r="T464" s="903" t="s">
        <v>655</v>
      </c>
      <c r="U464" s="910">
        <v>135000000</v>
      </c>
      <c r="V464" s="905" t="s">
        <v>43</v>
      </c>
      <c r="W464" s="906"/>
      <c r="X464" s="970"/>
      <c r="Y464" s="884" t="str">
        <f t="shared" si="169"/>
        <v>04.13.02</v>
      </c>
      <c r="Z464" s="884" t="str">
        <f t="shared" si="170"/>
        <v>Jembatan</v>
      </c>
      <c r="AA464" s="884">
        <f t="shared" si="171"/>
        <v>50</v>
      </c>
      <c r="AB464" s="868">
        <f t="shared" si="173"/>
        <v>2700000</v>
      </c>
      <c r="AC464" s="885">
        <f t="shared" si="174"/>
        <v>18</v>
      </c>
      <c r="AD464" s="868">
        <f t="shared" si="175"/>
        <v>48600000</v>
      </c>
      <c r="AE464" s="868">
        <f t="shared" si="176"/>
        <v>2700000</v>
      </c>
      <c r="AF464" s="868">
        <f t="shared" si="177"/>
        <v>2700000</v>
      </c>
      <c r="AG464" s="868">
        <f t="shared" si="178"/>
        <v>2700000</v>
      </c>
      <c r="AH464" s="868">
        <f t="shared" si="179"/>
        <v>2700000</v>
      </c>
      <c r="AI464" s="886">
        <f t="shared" si="180"/>
        <v>2700000</v>
      </c>
      <c r="AJ464" s="886">
        <f t="shared" si="181"/>
        <v>62100000</v>
      </c>
      <c r="AK464" s="868">
        <f t="shared" si="166"/>
        <v>72900000</v>
      </c>
      <c r="AM464" s="887">
        <f>2018-1996</f>
        <v>22</v>
      </c>
    </row>
    <row r="465" spans="1:37" s="857" customFormat="1" ht="35.25" customHeight="1" x14ac:dyDescent="0.2">
      <c r="A465" s="857" t="s">
        <v>4895</v>
      </c>
      <c r="B465" s="857" t="e">
        <f t="shared" si="168"/>
        <v>#N/A</v>
      </c>
      <c r="E465" s="884" t="str">
        <f t="shared" si="172"/>
        <v/>
      </c>
      <c r="F465" s="855"/>
      <c r="G465" s="878" t="s">
        <v>764</v>
      </c>
      <c r="H465" s="879"/>
      <c r="I465" s="861" t="s">
        <v>3824</v>
      </c>
      <c r="J465" s="871"/>
      <c r="K465" s="861" t="s">
        <v>736</v>
      </c>
      <c r="L465" s="856" t="s">
        <v>775</v>
      </c>
      <c r="M465" s="862">
        <v>6</v>
      </c>
      <c r="N465" s="856">
        <v>48</v>
      </c>
      <c r="O465" s="863" t="s">
        <v>807</v>
      </c>
      <c r="P465" s="861">
        <v>1978</v>
      </c>
      <c r="Q465" s="862"/>
      <c r="R465" s="862"/>
      <c r="S465" s="862" t="s">
        <v>808</v>
      </c>
      <c r="T465" s="862" t="s">
        <v>655</v>
      </c>
      <c r="U465" s="899">
        <v>336000000</v>
      </c>
      <c r="V465" s="861" t="s">
        <v>43</v>
      </c>
      <c r="W465" s="865"/>
      <c r="X465" s="968"/>
      <c r="Y465" s="884" t="str">
        <f t="shared" si="169"/>
        <v>04.13.02</v>
      </c>
      <c r="Z465" s="884" t="str">
        <f t="shared" si="170"/>
        <v>Jembatan</v>
      </c>
      <c r="AA465" s="884">
        <f t="shared" si="171"/>
        <v>50</v>
      </c>
      <c r="AB465" s="868">
        <f t="shared" si="173"/>
        <v>6720000</v>
      </c>
      <c r="AC465" s="885">
        <f t="shared" si="174"/>
        <v>36</v>
      </c>
      <c r="AD465" s="868">
        <f t="shared" si="175"/>
        <v>241920000</v>
      </c>
      <c r="AE465" s="868">
        <f t="shared" si="176"/>
        <v>6720000</v>
      </c>
      <c r="AF465" s="868">
        <f t="shared" si="177"/>
        <v>6720000</v>
      </c>
      <c r="AG465" s="868">
        <f t="shared" si="178"/>
        <v>6720000</v>
      </c>
      <c r="AH465" s="868">
        <f t="shared" si="179"/>
        <v>6720000</v>
      </c>
      <c r="AI465" s="886">
        <f t="shared" si="180"/>
        <v>6720000</v>
      </c>
      <c r="AJ465" s="886">
        <f t="shared" si="181"/>
        <v>275520000</v>
      </c>
      <c r="AK465" s="868">
        <f t="shared" si="166"/>
        <v>60480000</v>
      </c>
    </row>
    <row r="466" spans="1:37" s="857" customFormat="1" ht="35.25" customHeight="1" x14ac:dyDescent="0.2">
      <c r="B466" s="857" t="e">
        <f t="shared" si="168"/>
        <v>#N/A</v>
      </c>
      <c r="E466" s="884" t="str">
        <f t="shared" si="172"/>
        <v/>
      </c>
      <c r="F466" s="855"/>
      <c r="G466" s="878" t="s">
        <v>764</v>
      </c>
      <c r="H466" s="879"/>
      <c r="I466" s="861" t="s">
        <v>3824</v>
      </c>
      <c r="J466" s="871"/>
      <c r="K466" s="861" t="s">
        <v>736</v>
      </c>
      <c r="L466" s="856" t="s">
        <v>759</v>
      </c>
      <c r="M466" s="862">
        <v>6</v>
      </c>
      <c r="N466" s="856">
        <v>36</v>
      </c>
      <c r="O466" s="863" t="s">
        <v>804</v>
      </c>
      <c r="P466" s="861">
        <v>1984</v>
      </c>
      <c r="Q466" s="862"/>
      <c r="R466" s="862"/>
      <c r="S466" s="862" t="s">
        <v>811</v>
      </c>
      <c r="T466" s="862" t="s">
        <v>655</v>
      </c>
      <c r="U466" s="899">
        <v>252000000</v>
      </c>
      <c r="V466" s="861" t="s">
        <v>43</v>
      </c>
      <c r="W466" s="865"/>
      <c r="X466" s="968"/>
      <c r="Y466" s="884" t="str">
        <f t="shared" si="169"/>
        <v>04.13.02</v>
      </c>
      <c r="Z466" s="884" t="str">
        <f t="shared" si="170"/>
        <v>Jembatan</v>
      </c>
      <c r="AA466" s="884">
        <f t="shared" si="171"/>
        <v>50</v>
      </c>
      <c r="AB466" s="868">
        <f t="shared" si="173"/>
        <v>5040000</v>
      </c>
      <c r="AC466" s="885">
        <f t="shared" si="174"/>
        <v>30</v>
      </c>
      <c r="AD466" s="868">
        <f t="shared" si="175"/>
        <v>151200000</v>
      </c>
      <c r="AE466" s="868">
        <f t="shared" si="176"/>
        <v>5040000</v>
      </c>
      <c r="AF466" s="868">
        <f t="shared" si="177"/>
        <v>5040000</v>
      </c>
      <c r="AG466" s="868">
        <f t="shared" si="178"/>
        <v>5040000</v>
      </c>
      <c r="AH466" s="868">
        <f t="shared" si="179"/>
        <v>5040000</v>
      </c>
      <c r="AI466" s="886">
        <f t="shared" si="180"/>
        <v>5040000</v>
      </c>
      <c r="AJ466" s="886">
        <f t="shared" si="181"/>
        <v>176400000</v>
      </c>
      <c r="AK466" s="868">
        <f t="shared" si="166"/>
        <v>75600000</v>
      </c>
    </row>
    <row r="467" spans="1:37" s="857" customFormat="1" ht="35.25" customHeight="1" x14ac:dyDescent="0.2">
      <c r="B467" s="857" t="e">
        <f t="shared" si="168"/>
        <v>#N/A</v>
      </c>
      <c r="E467" s="884" t="str">
        <f t="shared" si="172"/>
        <v/>
      </c>
      <c r="F467" s="855"/>
      <c r="G467" s="878" t="s">
        <v>764</v>
      </c>
      <c r="H467" s="879"/>
      <c r="I467" s="861" t="s">
        <v>3824</v>
      </c>
      <c r="J467" s="871"/>
      <c r="K467" s="861" t="s">
        <v>119</v>
      </c>
      <c r="L467" s="856" t="s">
        <v>766</v>
      </c>
      <c r="M467" s="862">
        <v>6</v>
      </c>
      <c r="N467" s="856">
        <v>90</v>
      </c>
      <c r="O467" s="863" t="s">
        <v>812</v>
      </c>
      <c r="P467" s="861">
        <v>1986</v>
      </c>
      <c r="Q467" s="862"/>
      <c r="R467" s="862"/>
      <c r="S467" s="862" t="s">
        <v>813</v>
      </c>
      <c r="T467" s="862" t="s">
        <v>12</v>
      </c>
      <c r="U467" s="899">
        <v>486000000</v>
      </c>
      <c r="V467" s="861" t="s">
        <v>43</v>
      </c>
      <c r="W467" s="865"/>
      <c r="X467" s="968"/>
      <c r="Y467" s="884" t="str">
        <f t="shared" si="169"/>
        <v>04.13.02</v>
      </c>
      <c r="Z467" s="884" t="str">
        <f t="shared" si="170"/>
        <v>Jembatan</v>
      </c>
      <c r="AA467" s="884">
        <f t="shared" si="171"/>
        <v>50</v>
      </c>
      <c r="AB467" s="868">
        <f t="shared" si="173"/>
        <v>9720000</v>
      </c>
      <c r="AC467" s="885">
        <f t="shared" si="174"/>
        <v>28</v>
      </c>
      <c r="AD467" s="868">
        <f t="shared" si="175"/>
        <v>272160000</v>
      </c>
      <c r="AE467" s="868">
        <f t="shared" si="176"/>
        <v>9720000</v>
      </c>
      <c r="AF467" s="868">
        <f t="shared" si="177"/>
        <v>9720000</v>
      </c>
      <c r="AG467" s="868">
        <f t="shared" si="178"/>
        <v>9720000</v>
      </c>
      <c r="AH467" s="868">
        <f t="shared" si="179"/>
        <v>9720000</v>
      </c>
      <c r="AI467" s="886">
        <f t="shared" si="180"/>
        <v>9720000</v>
      </c>
      <c r="AJ467" s="886">
        <f t="shared" si="181"/>
        <v>320760000</v>
      </c>
      <c r="AK467" s="868">
        <f t="shared" si="166"/>
        <v>165240000</v>
      </c>
    </row>
    <row r="468" spans="1:37" s="857" customFormat="1" ht="35.25" customHeight="1" x14ac:dyDescent="0.2">
      <c r="B468" s="857" t="e">
        <f t="shared" si="168"/>
        <v>#N/A</v>
      </c>
      <c r="E468" s="884" t="str">
        <f t="shared" si="172"/>
        <v/>
      </c>
      <c r="F468" s="855"/>
      <c r="G468" s="878" t="s">
        <v>764</v>
      </c>
      <c r="H468" s="879"/>
      <c r="I468" s="861" t="s">
        <v>3824</v>
      </c>
      <c r="J468" s="871"/>
      <c r="K468" s="861" t="s">
        <v>119</v>
      </c>
      <c r="L468" s="856" t="s">
        <v>775</v>
      </c>
      <c r="M468" s="862">
        <v>8</v>
      </c>
      <c r="N468" s="856">
        <v>64</v>
      </c>
      <c r="O468" s="863" t="s">
        <v>817</v>
      </c>
      <c r="P468" s="861">
        <v>1981</v>
      </c>
      <c r="Q468" s="862"/>
      <c r="R468" s="862"/>
      <c r="S468" s="862" t="s">
        <v>779</v>
      </c>
      <c r="T468" s="862" t="s">
        <v>12</v>
      </c>
      <c r="U468" s="899">
        <v>422400000</v>
      </c>
      <c r="V468" s="861" t="s">
        <v>43</v>
      </c>
      <c r="W468" s="865"/>
      <c r="X468" s="968"/>
      <c r="Y468" s="884" t="str">
        <f t="shared" si="169"/>
        <v>04.13.02</v>
      </c>
      <c r="Z468" s="884" t="str">
        <f t="shared" si="170"/>
        <v>Jembatan</v>
      </c>
      <c r="AA468" s="884">
        <f t="shared" si="171"/>
        <v>50</v>
      </c>
      <c r="AB468" s="868">
        <f t="shared" si="173"/>
        <v>8448000</v>
      </c>
      <c r="AC468" s="885">
        <f t="shared" si="174"/>
        <v>33</v>
      </c>
      <c r="AD468" s="868">
        <f t="shared" si="175"/>
        <v>278784000</v>
      </c>
      <c r="AE468" s="868">
        <f t="shared" si="176"/>
        <v>8448000</v>
      </c>
      <c r="AF468" s="868">
        <f t="shared" si="177"/>
        <v>8448000</v>
      </c>
      <c r="AG468" s="868">
        <f t="shared" si="178"/>
        <v>8448000</v>
      </c>
      <c r="AH468" s="868">
        <f t="shared" si="179"/>
        <v>8448000</v>
      </c>
      <c r="AI468" s="886">
        <f t="shared" si="180"/>
        <v>8448000</v>
      </c>
      <c r="AJ468" s="886">
        <f t="shared" si="181"/>
        <v>321024000</v>
      </c>
      <c r="AK468" s="868">
        <f t="shared" si="166"/>
        <v>101376000</v>
      </c>
    </row>
    <row r="469" spans="1:37" s="857" customFormat="1" ht="35.25" customHeight="1" x14ac:dyDescent="0.2">
      <c r="A469" s="857" t="s">
        <v>4890</v>
      </c>
      <c r="B469" s="857" t="e">
        <f t="shared" si="168"/>
        <v>#N/A</v>
      </c>
      <c r="E469" s="884" t="str">
        <f t="shared" si="172"/>
        <v/>
      </c>
      <c r="F469" s="855"/>
      <c r="G469" s="878" t="s">
        <v>764</v>
      </c>
      <c r="H469" s="879"/>
      <c r="I469" s="861" t="s">
        <v>3824</v>
      </c>
      <c r="J469" s="871"/>
      <c r="K469" s="861" t="s">
        <v>736</v>
      </c>
      <c r="L469" s="856" t="s">
        <v>825</v>
      </c>
      <c r="M469" s="862">
        <v>8</v>
      </c>
      <c r="N469" s="856">
        <v>288</v>
      </c>
      <c r="O469" s="863" t="s">
        <v>826</v>
      </c>
      <c r="P469" s="861">
        <v>2004</v>
      </c>
      <c r="Q469" s="862"/>
      <c r="R469" s="862"/>
      <c r="S469" s="862" t="s">
        <v>738</v>
      </c>
      <c r="T469" s="862" t="s">
        <v>12</v>
      </c>
      <c r="U469" s="899">
        <v>2059200000</v>
      </c>
      <c r="V469" s="861" t="s">
        <v>43</v>
      </c>
      <c r="W469" s="865"/>
      <c r="X469" s="968"/>
      <c r="Y469" s="884" t="str">
        <f t="shared" si="169"/>
        <v>04.13.02</v>
      </c>
      <c r="Z469" s="884" t="str">
        <f t="shared" si="170"/>
        <v>Jembatan</v>
      </c>
      <c r="AA469" s="884">
        <f t="shared" si="171"/>
        <v>50</v>
      </c>
      <c r="AB469" s="868">
        <f t="shared" si="173"/>
        <v>41184000</v>
      </c>
      <c r="AC469" s="885">
        <f t="shared" si="174"/>
        <v>10</v>
      </c>
      <c r="AD469" s="868">
        <f t="shared" si="175"/>
        <v>411840000</v>
      </c>
      <c r="AE469" s="868">
        <f t="shared" si="176"/>
        <v>41184000</v>
      </c>
      <c r="AF469" s="868">
        <f t="shared" si="177"/>
        <v>41184000</v>
      </c>
      <c r="AG469" s="868">
        <f t="shared" si="178"/>
        <v>41184000</v>
      </c>
      <c r="AH469" s="868">
        <f t="shared" si="179"/>
        <v>41184000</v>
      </c>
      <c r="AI469" s="886">
        <f t="shared" si="180"/>
        <v>41184000</v>
      </c>
      <c r="AJ469" s="886">
        <f t="shared" si="181"/>
        <v>617760000</v>
      </c>
      <c r="AK469" s="868">
        <f t="shared" si="166"/>
        <v>1441440000</v>
      </c>
    </row>
    <row r="470" spans="1:37" s="857" customFormat="1" ht="35.25" customHeight="1" x14ac:dyDescent="0.2">
      <c r="A470" s="857" t="s">
        <v>4896</v>
      </c>
      <c r="B470" s="857" t="e">
        <f t="shared" si="168"/>
        <v>#N/A</v>
      </c>
      <c r="E470" s="884" t="str">
        <f t="shared" si="172"/>
        <v/>
      </c>
      <c r="F470" s="855"/>
      <c r="G470" s="878" t="s">
        <v>1148</v>
      </c>
      <c r="H470" s="879"/>
      <c r="I470" s="861" t="s">
        <v>2494</v>
      </c>
      <c r="J470" s="871"/>
      <c r="K470" s="861" t="s">
        <v>519</v>
      </c>
      <c r="L470" s="856"/>
      <c r="M470" s="862"/>
      <c r="N470" s="856">
        <v>3000</v>
      </c>
      <c r="O470" s="863" t="s">
        <v>3087</v>
      </c>
      <c r="P470" s="861">
        <v>2007</v>
      </c>
      <c r="Q470" s="862"/>
      <c r="R470" s="862"/>
      <c r="S470" s="862"/>
      <c r="T470" s="862" t="s">
        <v>12</v>
      </c>
      <c r="U470" s="899">
        <v>2826398290.872139</v>
      </c>
      <c r="V470" s="861" t="s">
        <v>43</v>
      </c>
      <c r="W470" s="865"/>
      <c r="X470" s="968"/>
      <c r="Y470" s="884" t="str">
        <f t="shared" si="169"/>
        <v>04.13.01</v>
      </c>
      <c r="Z470" s="884" t="str">
        <f t="shared" si="170"/>
        <v>Jalan</v>
      </c>
      <c r="AA470" s="884">
        <f t="shared" si="171"/>
        <v>10</v>
      </c>
      <c r="AB470" s="868">
        <f t="shared" si="173"/>
        <v>282639829.08721387</v>
      </c>
      <c r="AC470" s="885">
        <f t="shared" si="174"/>
        <v>7</v>
      </c>
      <c r="AD470" s="868">
        <f t="shared" si="175"/>
        <v>1978478803.610497</v>
      </c>
      <c r="AE470" s="868">
        <f t="shared" si="176"/>
        <v>282639829.08721387</v>
      </c>
      <c r="AF470" s="868">
        <f t="shared" si="177"/>
        <v>282639829.08721387</v>
      </c>
      <c r="AG470" s="868">
        <f t="shared" si="178"/>
        <v>282639829.08721387</v>
      </c>
      <c r="AH470" s="868">
        <f t="shared" si="179"/>
        <v>0</v>
      </c>
      <c r="AI470" s="886">
        <f t="shared" si="180"/>
        <v>0</v>
      </c>
      <c r="AJ470" s="886">
        <f t="shared" si="181"/>
        <v>2826398290.872139</v>
      </c>
      <c r="AK470" s="868">
        <f t="shared" si="166"/>
        <v>0</v>
      </c>
    </row>
    <row r="471" spans="1:37" s="857" customFormat="1" ht="35.25" customHeight="1" x14ac:dyDescent="0.2">
      <c r="A471" s="857" t="s">
        <v>4896</v>
      </c>
      <c r="B471" s="857" t="e">
        <f t="shared" si="168"/>
        <v>#N/A</v>
      </c>
      <c r="E471" s="884" t="str">
        <f t="shared" si="172"/>
        <v/>
      </c>
      <c r="F471" s="855"/>
      <c r="G471" s="878" t="s">
        <v>1150</v>
      </c>
      <c r="H471" s="879"/>
      <c r="I471" s="861" t="s">
        <v>2494</v>
      </c>
      <c r="J471" s="871"/>
      <c r="K471" s="861" t="s">
        <v>519</v>
      </c>
      <c r="L471" s="856"/>
      <c r="M471" s="862"/>
      <c r="N471" s="856">
        <v>2275</v>
      </c>
      <c r="O471" s="863" t="s">
        <v>3087</v>
      </c>
      <c r="P471" s="861">
        <v>2007</v>
      </c>
      <c r="Q471" s="862"/>
      <c r="R471" s="862"/>
      <c r="S471" s="862"/>
      <c r="T471" s="862" t="s">
        <v>12</v>
      </c>
      <c r="U471" s="899">
        <v>2194386304.3273997</v>
      </c>
      <c r="V471" s="861" t="s">
        <v>43</v>
      </c>
      <c r="W471" s="865"/>
      <c r="X471" s="968"/>
      <c r="Y471" s="884" t="str">
        <f t="shared" si="169"/>
        <v>04.13.01</v>
      </c>
      <c r="Z471" s="884" t="str">
        <f t="shared" si="170"/>
        <v>Jalan</v>
      </c>
      <c r="AA471" s="884">
        <f t="shared" si="171"/>
        <v>10</v>
      </c>
      <c r="AB471" s="868">
        <f t="shared" si="173"/>
        <v>219438630.43273997</v>
      </c>
      <c r="AC471" s="885">
        <f t="shared" si="174"/>
        <v>7</v>
      </c>
      <c r="AD471" s="868">
        <f t="shared" si="175"/>
        <v>1536070413.0291798</v>
      </c>
      <c r="AE471" s="868">
        <f t="shared" si="176"/>
        <v>219438630.43273997</v>
      </c>
      <c r="AF471" s="868">
        <f t="shared" si="177"/>
        <v>219438630.43273997</v>
      </c>
      <c r="AG471" s="868">
        <f t="shared" si="178"/>
        <v>219438630.43273997</v>
      </c>
      <c r="AH471" s="868">
        <f t="shared" si="179"/>
        <v>0</v>
      </c>
      <c r="AI471" s="886">
        <f t="shared" si="180"/>
        <v>0</v>
      </c>
      <c r="AJ471" s="886">
        <f t="shared" si="181"/>
        <v>2194386304.3273997</v>
      </c>
      <c r="AK471" s="868">
        <f t="shared" si="166"/>
        <v>0</v>
      </c>
    </row>
    <row r="472" spans="1:37" s="857" customFormat="1" ht="35.25" customHeight="1" x14ac:dyDescent="0.2">
      <c r="A472" s="857" t="s">
        <v>4895</v>
      </c>
      <c r="B472" s="857" t="e">
        <f t="shared" si="168"/>
        <v>#N/A</v>
      </c>
      <c r="E472" s="884" t="str">
        <f t="shared" si="172"/>
        <v/>
      </c>
      <c r="F472" s="855"/>
      <c r="G472" s="878" t="s">
        <v>1151</v>
      </c>
      <c r="H472" s="879"/>
      <c r="I472" s="861" t="s">
        <v>2494</v>
      </c>
      <c r="J472" s="871"/>
      <c r="K472" s="861" t="s">
        <v>519</v>
      </c>
      <c r="L472" s="856"/>
      <c r="M472" s="862"/>
      <c r="N472" s="856"/>
      <c r="O472" s="863" t="s">
        <v>3089</v>
      </c>
      <c r="P472" s="861">
        <v>2007</v>
      </c>
      <c r="Q472" s="862"/>
      <c r="R472" s="862"/>
      <c r="S472" s="862"/>
      <c r="T472" s="862" t="s">
        <v>12</v>
      </c>
      <c r="U472" s="899">
        <v>5037798091.3787003</v>
      </c>
      <c r="V472" s="861" t="s">
        <v>43</v>
      </c>
      <c r="W472" s="865"/>
      <c r="X472" s="968"/>
      <c r="Y472" s="884" t="str">
        <f t="shared" si="169"/>
        <v>04.13.01</v>
      </c>
      <c r="Z472" s="884" t="str">
        <f t="shared" si="170"/>
        <v>Jalan</v>
      </c>
      <c r="AA472" s="884">
        <f t="shared" si="171"/>
        <v>10</v>
      </c>
      <c r="AB472" s="868">
        <f t="shared" si="173"/>
        <v>503779809.13787001</v>
      </c>
      <c r="AC472" s="885">
        <f t="shared" si="174"/>
        <v>7</v>
      </c>
      <c r="AD472" s="868">
        <f t="shared" si="175"/>
        <v>3526458663.9650903</v>
      </c>
      <c r="AE472" s="868">
        <f t="shared" si="176"/>
        <v>503779809.13787001</v>
      </c>
      <c r="AF472" s="868">
        <f t="shared" si="177"/>
        <v>503779809.13787001</v>
      </c>
      <c r="AG472" s="868">
        <f t="shared" si="178"/>
        <v>503779809.13787001</v>
      </c>
      <c r="AH472" s="868">
        <f t="shared" si="179"/>
        <v>0</v>
      </c>
      <c r="AI472" s="886">
        <f t="shared" si="180"/>
        <v>0</v>
      </c>
      <c r="AJ472" s="886">
        <f t="shared" si="181"/>
        <v>5037798091.3787003</v>
      </c>
      <c r="AK472" s="868">
        <f t="shared" si="166"/>
        <v>0</v>
      </c>
    </row>
    <row r="473" spans="1:37" s="857" customFormat="1" ht="35.25" customHeight="1" x14ac:dyDescent="0.2">
      <c r="A473" s="857" t="s">
        <v>4890</v>
      </c>
      <c r="B473" s="857" t="e">
        <f t="shared" si="168"/>
        <v>#N/A</v>
      </c>
      <c r="E473" s="884" t="str">
        <f t="shared" si="172"/>
        <v/>
      </c>
      <c r="F473" s="855"/>
      <c r="G473" s="878" t="s">
        <v>1161</v>
      </c>
      <c r="H473" s="879"/>
      <c r="I473" s="861" t="s">
        <v>2494</v>
      </c>
      <c r="J473" s="871"/>
      <c r="K473" s="861" t="s">
        <v>519</v>
      </c>
      <c r="L473" s="856"/>
      <c r="M473" s="862"/>
      <c r="N473" s="856">
        <v>2000</v>
      </c>
      <c r="O473" s="863" t="s">
        <v>3097</v>
      </c>
      <c r="P473" s="861">
        <v>2007</v>
      </c>
      <c r="Q473" s="862"/>
      <c r="R473" s="862"/>
      <c r="S473" s="862"/>
      <c r="T473" s="862" t="s">
        <v>12</v>
      </c>
      <c r="U473" s="899">
        <v>3309782443.4143963</v>
      </c>
      <c r="V473" s="861" t="s">
        <v>43</v>
      </c>
      <c r="W473" s="865"/>
      <c r="X473" s="968"/>
      <c r="Y473" s="884" t="str">
        <f t="shared" si="169"/>
        <v>04.13.01</v>
      </c>
      <c r="Z473" s="884" t="str">
        <f t="shared" si="170"/>
        <v>Jalan</v>
      </c>
      <c r="AA473" s="884">
        <f t="shared" si="171"/>
        <v>10</v>
      </c>
      <c r="AB473" s="868">
        <f t="shared" si="173"/>
        <v>330978244.3414396</v>
      </c>
      <c r="AC473" s="885">
        <f t="shared" si="174"/>
        <v>7</v>
      </c>
      <c r="AD473" s="868">
        <f t="shared" si="175"/>
        <v>2316847710.3900771</v>
      </c>
      <c r="AE473" s="868">
        <f t="shared" si="176"/>
        <v>330978244.3414396</v>
      </c>
      <c r="AF473" s="868">
        <f t="shared" si="177"/>
        <v>330978244.3414396</v>
      </c>
      <c r="AG473" s="868">
        <f t="shared" si="178"/>
        <v>330978244.3414396</v>
      </c>
      <c r="AH473" s="868">
        <f t="shared" si="179"/>
        <v>0</v>
      </c>
      <c r="AI473" s="886">
        <f t="shared" si="180"/>
        <v>0</v>
      </c>
      <c r="AJ473" s="886">
        <f t="shared" si="181"/>
        <v>3309782443.4143963</v>
      </c>
      <c r="AK473" s="868">
        <f t="shared" si="166"/>
        <v>0</v>
      </c>
    </row>
    <row r="474" spans="1:37" s="857" customFormat="1" ht="35.25" customHeight="1" x14ac:dyDescent="0.2">
      <c r="A474" s="857" t="s">
        <v>4890</v>
      </c>
      <c r="B474" s="857" t="e">
        <f t="shared" si="168"/>
        <v>#N/A</v>
      </c>
      <c r="E474" s="884" t="str">
        <f t="shared" si="172"/>
        <v/>
      </c>
      <c r="F474" s="855"/>
      <c r="G474" s="878" t="s">
        <v>1187</v>
      </c>
      <c r="H474" s="879"/>
      <c r="I474" s="861" t="s">
        <v>2494</v>
      </c>
      <c r="J474" s="871"/>
      <c r="K474" s="861"/>
      <c r="L474" s="856"/>
      <c r="M474" s="862"/>
      <c r="N474" s="856"/>
      <c r="O474" s="863" t="s">
        <v>3113</v>
      </c>
      <c r="P474" s="861">
        <v>2007</v>
      </c>
      <c r="Q474" s="862"/>
      <c r="R474" s="862"/>
      <c r="S474" s="862"/>
      <c r="T474" s="862" t="s">
        <v>12</v>
      </c>
      <c r="U474" s="899">
        <v>966122240.69814003</v>
      </c>
      <c r="V474" s="861" t="s">
        <v>43</v>
      </c>
      <c r="W474" s="865"/>
      <c r="X474" s="968"/>
      <c r="Y474" s="884" t="str">
        <f t="shared" si="169"/>
        <v>04.13.01</v>
      </c>
      <c r="Z474" s="884" t="str">
        <f t="shared" si="170"/>
        <v>Jalan</v>
      </c>
      <c r="AA474" s="884">
        <f t="shared" si="171"/>
        <v>10</v>
      </c>
      <c r="AB474" s="868">
        <f t="shared" si="173"/>
        <v>96612224.069813997</v>
      </c>
      <c r="AC474" s="885">
        <f t="shared" si="174"/>
        <v>7</v>
      </c>
      <c r="AD474" s="868">
        <f t="shared" si="175"/>
        <v>676285568.48869801</v>
      </c>
      <c r="AE474" s="868">
        <f t="shared" si="176"/>
        <v>96612224.069813997</v>
      </c>
      <c r="AF474" s="868">
        <f t="shared" si="177"/>
        <v>96612224.069813997</v>
      </c>
      <c r="AG474" s="868">
        <f t="shared" si="178"/>
        <v>96612224.069813997</v>
      </c>
      <c r="AH474" s="868">
        <f t="shared" si="179"/>
        <v>0</v>
      </c>
      <c r="AI474" s="886">
        <f t="shared" si="180"/>
        <v>0</v>
      </c>
      <c r="AJ474" s="886">
        <f t="shared" si="181"/>
        <v>966122240.69813991</v>
      </c>
      <c r="AK474" s="868">
        <f t="shared" si="166"/>
        <v>0</v>
      </c>
    </row>
    <row r="475" spans="1:37" s="857" customFormat="1" ht="35.25" customHeight="1" x14ac:dyDescent="0.2">
      <c r="B475" s="857" t="e">
        <f t="shared" si="168"/>
        <v>#N/A</v>
      </c>
      <c r="E475" s="884" t="str">
        <f t="shared" si="172"/>
        <v/>
      </c>
      <c r="F475" s="855"/>
      <c r="G475" s="878" t="s">
        <v>1188</v>
      </c>
      <c r="H475" s="879"/>
      <c r="I475" s="861" t="s">
        <v>2494</v>
      </c>
      <c r="J475" s="871"/>
      <c r="K475" s="861"/>
      <c r="L475" s="856"/>
      <c r="M475" s="862"/>
      <c r="N475" s="856"/>
      <c r="O475" s="863" t="s">
        <v>3114</v>
      </c>
      <c r="P475" s="861">
        <v>2007</v>
      </c>
      <c r="Q475" s="862"/>
      <c r="R475" s="862"/>
      <c r="S475" s="862"/>
      <c r="T475" s="862" t="s">
        <v>12</v>
      </c>
      <c r="U475" s="899">
        <v>1327353361.6165369</v>
      </c>
      <c r="V475" s="861" t="s">
        <v>43</v>
      </c>
      <c r="W475" s="865"/>
      <c r="X475" s="968"/>
      <c r="Y475" s="884" t="str">
        <f t="shared" si="169"/>
        <v>04.13.01</v>
      </c>
      <c r="Z475" s="884" t="str">
        <f t="shared" si="170"/>
        <v>Jalan</v>
      </c>
      <c r="AA475" s="884">
        <f t="shared" si="171"/>
        <v>10</v>
      </c>
      <c r="AB475" s="868">
        <f t="shared" si="173"/>
        <v>132735336.16165368</v>
      </c>
      <c r="AC475" s="885">
        <f t="shared" si="174"/>
        <v>7</v>
      </c>
      <c r="AD475" s="868">
        <f t="shared" si="175"/>
        <v>929147353.13157582</v>
      </c>
      <c r="AE475" s="868">
        <f t="shared" si="176"/>
        <v>132735336.16165368</v>
      </c>
      <c r="AF475" s="868">
        <f t="shared" si="177"/>
        <v>132735336.16165368</v>
      </c>
      <c r="AG475" s="868">
        <f t="shared" si="178"/>
        <v>132735336.16165368</v>
      </c>
      <c r="AH475" s="868">
        <f t="shared" si="179"/>
        <v>0</v>
      </c>
      <c r="AI475" s="886">
        <f t="shared" si="180"/>
        <v>0</v>
      </c>
      <c r="AJ475" s="886">
        <f t="shared" si="181"/>
        <v>1327353361.6165369</v>
      </c>
      <c r="AK475" s="868">
        <f t="shared" si="166"/>
        <v>0</v>
      </c>
    </row>
    <row r="476" spans="1:37" s="857" customFormat="1" ht="35.25" customHeight="1" x14ac:dyDescent="0.2">
      <c r="B476" s="857" t="e">
        <f t="shared" si="168"/>
        <v>#N/A</v>
      </c>
      <c r="E476" s="884" t="str">
        <f t="shared" si="172"/>
        <v/>
      </c>
      <c r="F476" s="855"/>
      <c r="G476" s="878" t="s">
        <v>1191</v>
      </c>
      <c r="H476" s="879"/>
      <c r="I476" s="861" t="s">
        <v>2494</v>
      </c>
      <c r="J476" s="871"/>
      <c r="K476" s="861"/>
      <c r="L476" s="856"/>
      <c r="M476" s="862"/>
      <c r="N476" s="856"/>
      <c r="O476" s="863" t="s">
        <v>3115</v>
      </c>
      <c r="P476" s="861">
        <v>2007</v>
      </c>
      <c r="Q476" s="862"/>
      <c r="R476" s="862"/>
      <c r="S476" s="862"/>
      <c r="T476" s="862" t="s">
        <v>12</v>
      </c>
      <c r="U476" s="899">
        <v>1327353361.6165369</v>
      </c>
      <c r="V476" s="861" t="s">
        <v>43</v>
      </c>
      <c r="W476" s="865"/>
      <c r="X476" s="968"/>
      <c r="Y476" s="884" t="str">
        <f t="shared" si="169"/>
        <v>04.13.01</v>
      </c>
      <c r="Z476" s="884" t="str">
        <f t="shared" si="170"/>
        <v>Jalan</v>
      </c>
      <c r="AA476" s="884">
        <f t="shared" si="171"/>
        <v>10</v>
      </c>
      <c r="AB476" s="868">
        <f t="shared" si="173"/>
        <v>132735336.16165368</v>
      </c>
      <c r="AC476" s="885">
        <f t="shared" si="174"/>
        <v>7</v>
      </c>
      <c r="AD476" s="868">
        <f t="shared" si="175"/>
        <v>929147353.13157582</v>
      </c>
      <c r="AE476" s="868">
        <f t="shared" si="176"/>
        <v>132735336.16165368</v>
      </c>
      <c r="AF476" s="868">
        <f t="shared" si="177"/>
        <v>132735336.16165368</v>
      </c>
      <c r="AG476" s="868">
        <f t="shared" si="178"/>
        <v>132735336.16165368</v>
      </c>
      <c r="AH476" s="868">
        <f t="shared" si="179"/>
        <v>0</v>
      </c>
      <c r="AI476" s="886">
        <f t="shared" si="180"/>
        <v>0</v>
      </c>
      <c r="AJ476" s="886">
        <f t="shared" si="181"/>
        <v>1327353361.6165369</v>
      </c>
      <c r="AK476" s="868">
        <f t="shared" si="166"/>
        <v>0</v>
      </c>
    </row>
    <row r="477" spans="1:37" s="857" customFormat="1" ht="35.25" customHeight="1" x14ac:dyDescent="0.2">
      <c r="B477" s="857" t="e">
        <f t="shared" si="168"/>
        <v>#N/A</v>
      </c>
      <c r="E477" s="884" t="str">
        <f t="shared" si="172"/>
        <v/>
      </c>
      <c r="F477" s="855"/>
      <c r="G477" s="878" t="s">
        <v>1193</v>
      </c>
      <c r="H477" s="879"/>
      <c r="I477" s="861" t="s">
        <v>2494</v>
      </c>
      <c r="J477" s="871"/>
      <c r="K477" s="861"/>
      <c r="L477" s="856"/>
      <c r="M477" s="862"/>
      <c r="N477" s="856"/>
      <c r="O477" s="863" t="s">
        <v>3116</v>
      </c>
      <c r="P477" s="861">
        <v>2007</v>
      </c>
      <c r="Q477" s="862"/>
      <c r="R477" s="862"/>
      <c r="S477" s="862"/>
      <c r="T477" s="862" t="s">
        <v>12</v>
      </c>
      <c r="U477" s="899">
        <v>1327353361.6165369</v>
      </c>
      <c r="V477" s="861" t="s">
        <v>43</v>
      </c>
      <c r="W477" s="865"/>
      <c r="X477" s="968"/>
      <c r="Y477" s="884" t="str">
        <f t="shared" si="169"/>
        <v>04.13.01</v>
      </c>
      <c r="Z477" s="884" t="str">
        <f t="shared" si="170"/>
        <v>Jalan</v>
      </c>
      <c r="AA477" s="884">
        <f t="shared" si="171"/>
        <v>10</v>
      </c>
      <c r="AB477" s="868">
        <f t="shared" si="173"/>
        <v>132735336.16165368</v>
      </c>
      <c r="AC477" s="885">
        <f t="shared" si="174"/>
        <v>7</v>
      </c>
      <c r="AD477" s="868">
        <f t="shared" si="175"/>
        <v>929147353.13157582</v>
      </c>
      <c r="AE477" s="868">
        <f t="shared" si="176"/>
        <v>132735336.16165368</v>
      </c>
      <c r="AF477" s="868">
        <f t="shared" si="177"/>
        <v>132735336.16165368</v>
      </c>
      <c r="AG477" s="868">
        <f t="shared" si="178"/>
        <v>132735336.16165368</v>
      </c>
      <c r="AH477" s="868">
        <f t="shared" si="179"/>
        <v>0</v>
      </c>
      <c r="AI477" s="886">
        <f t="shared" si="180"/>
        <v>0</v>
      </c>
      <c r="AJ477" s="886">
        <f t="shared" si="181"/>
        <v>1327353361.6165369</v>
      </c>
      <c r="AK477" s="868">
        <f t="shared" si="166"/>
        <v>0</v>
      </c>
    </row>
    <row r="478" spans="1:37" s="857" customFormat="1" ht="35.25" customHeight="1" x14ac:dyDescent="0.2">
      <c r="B478" s="857" t="e">
        <f t="shared" si="168"/>
        <v>#N/A</v>
      </c>
      <c r="E478" s="884" t="str">
        <f t="shared" si="172"/>
        <v/>
      </c>
      <c r="F478" s="855"/>
      <c r="G478" s="878" t="s">
        <v>1195</v>
      </c>
      <c r="H478" s="879"/>
      <c r="I478" s="861" t="s">
        <v>2494</v>
      </c>
      <c r="J478" s="871"/>
      <c r="K478" s="861"/>
      <c r="L478" s="856"/>
      <c r="M478" s="862"/>
      <c r="N478" s="856"/>
      <c r="O478" s="863" t="s">
        <v>3117</v>
      </c>
      <c r="P478" s="861">
        <v>2007</v>
      </c>
      <c r="Q478" s="862"/>
      <c r="R478" s="862"/>
      <c r="S478" s="862"/>
      <c r="T478" s="862" t="s">
        <v>12</v>
      </c>
      <c r="U478" s="899">
        <v>1110059695.6493311</v>
      </c>
      <c r="V478" s="861" t="s">
        <v>43</v>
      </c>
      <c r="W478" s="865"/>
      <c r="X478" s="968"/>
      <c r="Y478" s="884" t="str">
        <f t="shared" si="169"/>
        <v>04.13.01</v>
      </c>
      <c r="Z478" s="884" t="str">
        <f t="shared" si="170"/>
        <v>Jalan</v>
      </c>
      <c r="AA478" s="884">
        <f t="shared" si="171"/>
        <v>10</v>
      </c>
      <c r="AB478" s="868">
        <f t="shared" si="173"/>
        <v>111005969.56493311</v>
      </c>
      <c r="AC478" s="885">
        <f t="shared" si="174"/>
        <v>7</v>
      </c>
      <c r="AD478" s="868">
        <f t="shared" si="175"/>
        <v>777041786.95453179</v>
      </c>
      <c r="AE478" s="868">
        <f t="shared" si="176"/>
        <v>111005969.56493311</v>
      </c>
      <c r="AF478" s="868">
        <f t="shared" si="177"/>
        <v>111005969.56493311</v>
      </c>
      <c r="AG478" s="868">
        <f t="shared" si="178"/>
        <v>111005969.56493311</v>
      </c>
      <c r="AH478" s="868">
        <f t="shared" si="179"/>
        <v>0</v>
      </c>
      <c r="AI478" s="886">
        <f t="shared" si="180"/>
        <v>0</v>
      </c>
      <c r="AJ478" s="886">
        <f t="shared" si="181"/>
        <v>1110059695.6493311</v>
      </c>
      <c r="AK478" s="868">
        <f t="shared" si="166"/>
        <v>0</v>
      </c>
    </row>
    <row r="479" spans="1:37" s="857" customFormat="1" ht="35.25" customHeight="1" x14ac:dyDescent="0.2">
      <c r="B479" s="857" t="e">
        <f t="shared" si="168"/>
        <v>#N/A</v>
      </c>
      <c r="E479" s="884" t="str">
        <f t="shared" si="172"/>
        <v/>
      </c>
      <c r="F479" s="855"/>
      <c r="G479" s="878" t="s">
        <v>1196</v>
      </c>
      <c r="H479" s="879"/>
      <c r="I479" s="861" t="s">
        <v>2494</v>
      </c>
      <c r="J479" s="871"/>
      <c r="K479" s="861"/>
      <c r="L479" s="856"/>
      <c r="M479" s="862"/>
      <c r="N479" s="856"/>
      <c r="O479" s="863" t="s">
        <v>3118</v>
      </c>
      <c r="P479" s="861">
        <v>2007</v>
      </c>
      <c r="Q479" s="862"/>
      <c r="R479" s="862"/>
      <c r="S479" s="862"/>
      <c r="T479" s="862" t="s">
        <v>12</v>
      </c>
      <c r="U479" s="899">
        <v>1327353361.6165369</v>
      </c>
      <c r="V479" s="861" t="s">
        <v>43</v>
      </c>
      <c r="W479" s="865"/>
      <c r="X479" s="968"/>
      <c r="Y479" s="884" t="str">
        <f t="shared" si="169"/>
        <v>04.13.01</v>
      </c>
      <c r="Z479" s="884" t="str">
        <f t="shared" si="170"/>
        <v>Jalan</v>
      </c>
      <c r="AA479" s="884">
        <f t="shared" si="171"/>
        <v>10</v>
      </c>
      <c r="AB479" s="868">
        <f t="shared" si="173"/>
        <v>132735336.16165368</v>
      </c>
      <c r="AC479" s="885">
        <f t="shared" si="174"/>
        <v>7</v>
      </c>
      <c r="AD479" s="868">
        <f t="shared" si="175"/>
        <v>929147353.13157582</v>
      </c>
      <c r="AE479" s="868">
        <f t="shared" si="176"/>
        <v>132735336.16165368</v>
      </c>
      <c r="AF479" s="868">
        <f t="shared" si="177"/>
        <v>132735336.16165368</v>
      </c>
      <c r="AG479" s="868">
        <f t="shared" si="178"/>
        <v>132735336.16165368</v>
      </c>
      <c r="AH479" s="868">
        <f t="shared" si="179"/>
        <v>0</v>
      </c>
      <c r="AI479" s="886">
        <f t="shared" si="180"/>
        <v>0</v>
      </c>
      <c r="AJ479" s="886">
        <f t="shared" si="181"/>
        <v>1327353361.6165369</v>
      </c>
      <c r="AK479" s="868">
        <f t="shared" si="166"/>
        <v>0</v>
      </c>
    </row>
    <row r="480" spans="1:37" s="857" customFormat="1" ht="35.25" customHeight="1" x14ac:dyDescent="0.2">
      <c r="A480" s="857" t="s">
        <v>4890</v>
      </c>
      <c r="B480" s="857" t="e">
        <f t="shared" si="168"/>
        <v>#N/A</v>
      </c>
      <c r="E480" s="884" t="str">
        <f t="shared" si="172"/>
        <v/>
      </c>
      <c r="F480" s="855"/>
      <c r="G480" s="878" t="s">
        <v>1198</v>
      </c>
      <c r="H480" s="879"/>
      <c r="I480" s="861" t="s">
        <v>2494</v>
      </c>
      <c r="J480" s="871"/>
      <c r="K480" s="861"/>
      <c r="L480" s="856"/>
      <c r="M480" s="862"/>
      <c r="N480" s="856"/>
      <c r="O480" s="863" t="s">
        <v>3120</v>
      </c>
      <c r="P480" s="861">
        <v>2007</v>
      </c>
      <c r="Q480" s="862"/>
      <c r="R480" s="862"/>
      <c r="S480" s="862"/>
      <c r="T480" s="862" t="s">
        <v>12</v>
      </c>
      <c r="U480" s="899">
        <v>837379143.13253343</v>
      </c>
      <c r="V480" s="861" t="s">
        <v>43</v>
      </c>
      <c r="W480" s="865"/>
      <c r="X480" s="968"/>
      <c r="Y480" s="884" t="str">
        <f t="shared" si="169"/>
        <v>04.13.01</v>
      </c>
      <c r="Z480" s="884" t="str">
        <f t="shared" si="170"/>
        <v>Jalan</v>
      </c>
      <c r="AA480" s="884">
        <f t="shared" si="171"/>
        <v>10</v>
      </c>
      <c r="AB480" s="868">
        <f t="shared" si="173"/>
        <v>83737914.313253343</v>
      </c>
      <c r="AC480" s="885">
        <f t="shared" si="174"/>
        <v>7</v>
      </c>
      <c r="AD480" s="868">
        <f t="shared" si="175"/>
        <v>586165400.19277334</v>
      </c>
      <c r="AE480" s="868">
        <f t="shared" si="176"/>
        <v>83737914.313253343</v>
      </c>
      <c r="AF480" s="868">
        <f t="shared" si="177"/>
        <v>83737914.313253343</v>
      </c>
      <c r="AG480" s="868">
        <f t="shared" si="178"/>
        <v>83737914.313253343</v>
      </c>
      <c r="AH480" s="868">
        <f t="shared" si="179"/>
        <v>0</v>
      </c>
      <c r="AI480" s="886">
        <f t="shared" si="180"/>
        <v>0</v>
      </c>
      <c r="AJ480" s="886">
        <f t="shared" si="181"/>
        <v>837379143.13253355</v>
      </c>
      <c r="AK480" s="868">
        <f t="shared" si="166"/>
        <v>0</v>
      </c>
    </row>
    <row r="481" spans="1:37" s="857" customFormat="1" ht="35.25" customHeight="1" x14ac:dyDescent="0.2">
      <c r="B481" s="857" t="e">
        <f t="shared" si="168"/>
        <v>#N/A</v>
      </c>
      <c r="E481" s="884" t="str">
        <f t="shared" si="172"/>
        <v/>
      </c>
      <c r="F481" s="855"/>
      <c r="G481" s="878" t="s">
        <v>1200</v>
      </c>
      <c r="H481" s="879"/>
      <c r="I481" s="861" t="s">
        <v>2494</v>
      </c>
      <c r="J481" s="871"/>
      <c r="K481" s="861"/>
      <c r="L481" s="856"/>
      <c r="M481" s="862"/>
      <c r="N481" s="856"/>
      <c r="O481" s="863" t="s">
        <v>3122</v>
      </c>
      <c r="P481" s="861">
        <v>2007</v>
      </c>
      <c r="Q481" s="862"/>
      <c r="R481" s="862"/>
      <c r="S481" s="862"/>
      <c r="T481" s="862" t="s">
        <v>12</v>
      </c>
      <c r="U481" s="899">
        <v>3783819547.1500001</v>
      </c>
      <c r="V481" s="861" t="s">
        <v>43</v>
      </c>
      <c r="W481" s="865"/>
      <c r="X481" s="968"/>
      <c r="Y481" s="884" t="str">
        <f t="shared" si="169"/>
        <v>04.13.01</v>
      </c>
      <c r="Z481" s="884" t="str">
        <f t="shared" si="170"/>
        <v>Jalan</v>
      </c>
      <c r="AA481" s="884">
        <f t="shared" si="171"/>
        <v>10</v>
      </c>
      <c r="AB481" s="868">
        <f t="shared" si="173"/>
        <v>378381954.71500003</v>
      </c>
      <c r="AC481" s="885">
        <f t="shared" si="174"/>
        <v>7</v>
      </c>
      <c r="AD481" s="868">
        <f t="shared" si="175"/>
        <v>2648673683.0050001</v>
      </c>
      <c r="AE481" s="868">
        <f t="shared" si="176"/>
        <v>378381954.71500003</v>
      </c>
      <c r="AF481" s="868">
        <f t="shared" si="177"/>
        <v>378381954.71500003</v>
      </c>
      <c r="AG481" s="868">
        <f t="shared" si="178"/>
        <v>378381954.71500003</v>
      </c>
      <c r="AH481" s="868">
        <f t="shared" si="179"/>
        <v>0</v>
      </c>
      <c r="AI481" s="886">
        <f t="shared" si="180"/>
        <v>0</v>
      </c>
      <c r="AJ481" s="886">
        <f t="shared" si="181"/>
        <v>3783819547.1500006</v>
      </c>
      <c r="AK481" s="868">
        <f t="shared" si="166"/>
        <v>0</v>
      </c>
    </row>
    <row r="482" spans="1:37" s="857" customFormat="1" ht="35.25" customHeight="1" x14ac:dyDescent="0.2">
      <c r="B482" s="857" t="e">
        <f t="shared" si="168"/>
        <v>#N/A</v>
      </c>
      <c r="E482" s="884" t="str">
        <f t="shared" si="172"/>
        <v/>
      </c>
      <c r="F482" s="855"/>
      <c r="G482" s="878" t="s">
        <v>1201</v>
      </c>
      <c r="H482" s="879"/>
      <c r="I482" s="861" t="s">
        <v>3822</v>
      </c>
      <c r="J482" s="871"/>
      <c r="K482" s="861"/>
      <c r="L482" s="856"/>
      <c r="M482" s="862"/>
      <c r="N482" s="856"/>
      <c r="O482" s="863" t="s">
        <v>3122</v>
      </c>
      <c r="P482" s="861">
        <v>2007</v>
      </c>
      <c r="Q482" s="862"/>
      <c r="R482" s="862"/>
      <c r="S482" s="862"/>
      <c r="T482" s="862" t="s">
        <v>12</v>
      </c>
      <c r="U482" s="899">
        <v>749497417.32000005</v>
      </c>
      <c r="V482" s="861" t="s">
        <v>43</v>
      </c>
      <c r="W482" s="865"/>
      <c r="X482" s="968"/>
      <c r="Y482" s="884" t="str">
        <f t="shared" si="169"/>
        <v>04.13.02</v>
      </c>
      <c r="Z482" s="884" t="str">
        <f t="shared" si="170"/>
        <v>Jembatan</v>
      </c>
      <c r="AA482" s="884">
        <f t="shared" si="171"/>
        <v>50</v>
      </c>
      <c r="AB482" s="868">
        <f t="shared" si="173"/>
        <v>14989948.3464</v>
      </c>
      <c r="AC482" s="885">
        <f t="shared" si="174"/>
        <v>7</v>
      </c>
      <c r="AD482" s="868">
        <f t="shared" si="175"/>
        <v>104929638.42480001</v>
      </c>
      <c r="AE482" s="868">
        <f t="shared" si="176"/>
        <v>14989948.3464</v>
      </c>
      <c r="AF482" s="868">
        <f t="shared" si="177"/>
        <v>14989948.3464</v>
      </c>
      <c r="AG482" s="868">
        <f t="shared" si="178"/>
        <v>14989948.3464</v>
      </c>
      <c r="AH482" s="868">
        <f t="shared" si="179"/>
        <v>14989948.3464</v>
      </c>
      <c r="AI482" s="886">
        <f t="shared" si="180"/>
        <v>14989948.3464</v>
      </c>
      <c r="AJ482" s="886">
        <f t="shared" si="181"/>
        <v>179879380.15679997</v>
      </c>
      <c r="AK482" s="868">
        <f t="shared" si="166"/>
        <v>569618037.16320014</v>
      </c>
    </row>
    <row r="483" spans="1:37" s="857" customFormat="1" ht="35.25" customHeight="1" x14ac:dyDescent="0.2">
      <c r="B483" s="857" t="e">
        <f t="shared" si="168"/>
        <v>#N/A</v>
      </c>
      <c r="E483" s="884" t="str">
        <f t="shared" si="172"/>
        <v/>
      </c>
      <c r="F483" s="855"/>
      <c r="G483" s="878" t="s">
        <v>1202</v>
      </c>
      <c r="H483" s="879"/>
      <c r="I483" s="861" t="s">
        <v>2494</v>
      </c>
      <c r="J483" s="871"/>
      <c r="K483" s="861"/>
      <c r="L483" s="856"/>
      <c r="M483" s="862"/>
      <c r="N483" s="856"/>
      <c r="O483" s="863" t="s">
        <v>3122</v>
      </c>
      <c r="P483" s="861">
        <v>2007</v>
      </c>
      <c r="Q483" s="862"/>
      <c r="R483" s="862"/>
      <c r="S483" s="862"/>
      <c r="T483" s="862" t="s">
        <v>12</v>
      </c>
      <c r="U483" s="899">
        <v>1012401500</v>
      </c>
      <c r="V483" s="861" t="s">
        <v>43</v>
      </c>
      <c r="W483" s="865"/>
      <c r="X483" s="968"/>
      <c r="Y483" s="884" t="str">
        <f t="shared" si="169"/>
        <v>04.13.01</v>
      </c>
      <c r="Z483" s="884" t="str">
        <f t="shared" si="170"/>
        <v>Jalan</v>
      </c>
      <c r="AA483" s="884">
        <f t="shared" si="171"/>
        <v>10</v>
      </c>
      <c r="AB483" s="868">
        <f t="shared" si="173"/>
        <v>101240150</v>
      </c>
      <c r="AC483" s="885">
        <f t="shared" si="174"/>
        <v>7</v>
      </c>
      <c r="AD483" s="868">
        <f t="shared" si="175"/>
        <v>708681050</v>
      </c>
      <c r="AE483" s="868">
        <f t="shared" si="176"/>
        <v>101240150</v>
      </c>
      <c r="AF483" s="868">
        <f t="shared" si="177"/>
        <v>101240150</v>
      </c>
      <c r="AG483" s="868">
        <f t="shared" si="178"/>
        <v>101240150</v>
      </c>
      <c r="AH483" s="868">
        <f t="shared" si="179"/>
        <v>0</v>
      </c>
      <c r="AI483" s="886">
        <f t="shared" si="180"/>
        <v>0</v>
      </c>
      <c r="AJ483" s="886">
        <f t="shared" si="181"/>
        <v>1012401500</v>
      </c>
      <c r="AK483" s="868">
        <f t="shared" si="166"/>
        <v>0</v>
      </c>
    </row>
    <row r="484" spans="1:37" s="857" customFormat="1" ht="35.25" customHeight="1" x14ac:dyDescent="0.2">
      <c r="B484" s="857" t="e">
        <f t="shared" si="168"/>
        <v>#N/A</v>
      </c>
      <c r="E484" s="884" t="str">
        <f t="shared" si="172"/>
        <v/>
      </c>
      <c r="F484" s="855"/>
      <c r="G484" s="878" t="s">
        <v>1203</v>
      </c>
      <c r="H484" s="879"/>
      <c r="I484" s="861" t="s">
        <v>2494</v>
      </c>
      <c r="J484" s="871"/>
      <c r="K484" s="861"/>
      <c r="L484" s="856"/>
      <c r="M484" s="862"/>
      <c r="N484" s="856"/>
      <c r="O484" s="863" t="s">
        <v>3122</v>
      </c>
      <c r="P484" s="861">
        <v>2007</v>
      </c>
      <c r="Q484" s="862"/>
      <c r="R484" s="862"/>
      <c r="S484" s="862"/>
      <c r="T484" s="862" t="s">
        <v>12</v>
      </c>
      <c r="U484" s="899">
        <v>14991856876.784245</v>
      </c>
      <c r="V484" s="861" t="s">
        <v>43</v>
      </c>
      <c r="W484" s="865"/>
      <c r="X484" s="968"/>
      <c r="Y484" s="884" t="str">
        <f t="shared" si="169"/>
        <v>04.13.01</v>
      </c>
      <c r="Z484" s="884" t="str">
        <f t="shared" si="170"/>
        <v>Jalan</v>
      </c>
      <c r="AA484" s="884">
        <f t="shared" si="171"/>
        <v>10</v>
      </c>
      <c r="AB484" s="868">
        <f t="shared" si="173"/>
        <v>1499185687.6784244</v>
      </c>
      <c r="AC484" s="885">
        <f t="shared" si="174"/>
        <v>7</v>
      </c>
      <c r="AD484" s="868">
        <f t="shared" si="175"/>
        <v>10494299813.74897</v>
      </c>
      <c r="AE484" s="868">
        <f t="shared" si="176"/>
        <v>1499185687.6784244</v>
      </c>
      <c r="AF484" s="868">
        <f t="shared" si="177"/>
        <v>1499185687.6784244</v>
      </c>
      <c r="AG484" s="868">
        <f t="shared" si="178"/>
        <v>1499185687.6784244</v>
      </c>
      <c r="AH484" s="868">
        <f t="shared" si="179"/>
        <v>0</v>
      </c>
      <c r="AI484" s="886">
        <f t="shared" si="180"/>
        <v>0</v>
      </c>
      <c r="AJ484" s="886">
        <f t="shared" si="181"/>
        <v>14991856876.784245</v>
      </c>
      <c r="AK484" s="868">
        <f t="shared" si="166"/>
        <v>0</v>
      </c>
    </row>
    <row r="485" spans="1:37" s="857" customFormat="1" ht="35.25" customHeight="1" x14ac:dyDescent="0.2">
      <c r="B485" s="857" t="e">
        <f t="shared" si="168"/>
        <v>#N/A</v>
      </c>
      <c r="E485" s="884" t="str">
        <f t="shared" si="172"/>
        <v/>
      </c>
      <c r="F485" s="855"/>
      <c r="G485" s="878" t="s">
        <v>1204</v>
      </c>
      <c r="H485" s="879"/>
      <c r="I485" s="861" t="s">
        <v>3827</v>
      </c>
      <c r="J485" s="871"/>
      <c r="K485" s="861"/>
      <c r="L485" s="856"/>
      <c r="M485" s="862"/>
      <c r="N485" s="856"/>
      <c r="O485" s="863" t="s">
        <v>3122</v>
      </c>
      <c r="P485" s="861">
        <v>2007</v>
      </c>
      <c r="Q485" s="862"/>
      <c r="R485" s="862"/>
      <c r="S485" s="862"/>
      <c r="T485" s="862" t="s">
        <v>12</v>
      </c>
      <c r="U485" s="899">
        <v>1004635245.0665743</v>
      </c>
      <c r="V485" s="861" t="s">
        <v>43</v>
      </c>
      <c r="W485" s="865"/>
      <c r="X485" s="968"/>
      <c r="Y485" s="884" t="str">
        <f t="shared" si="169"/>
        <v>04.13.02</v>
      </c>
      <c r="Z485" s="884" t="str">
        <f t="shared" si="170"/>
        <v>Jembatan</v>
      </c>
      <c r="AA485" s="884">
        <f t="shared" si="171"/>
        <v>50</v>
      </c>
      <c r="AB485" s="868">
        <f t="shared" si="173"/>
        <v>20092704.901331488</v>
      </c>
      <c r="AC485" s="885">
        <f t="shared" si="174"/>
        <v>7</v>
      </c>
      <c r="AD485" s="868">
        <f t="shared" si="175"/>
        <v>140648934.30932042</v>
      </c>
      <c r="AE485" s="868">
        <f t="shared" si="176"/>
        <v>20092704.901331488</v>
      </c>
      <c r="AF485" s="868">
        <f t="shared" si="177"/>
        <v>20092704.901331488</v>
      </c>
      <c r="AG485" s="868">
        <f t="shared" si="178"/>
        <v>20092704.901331488</v>
      </c>
      <c r="AH485" s="868">
        <f t="shared" si="179"/>
        <v>20092704.901331488</v>
      </c>
      <c r="AI485" s="886">
        <f t="shared" si="180"/>
        <v>20092704.901331488</v>
      </c>
      <c r="AJ485" s="886">
        <f t="shared" si="181"/>
        <v>241112458.81597784</v>
      </c>
      <c r="AK485" s="868">
        <f t="shared" si="166"/>
        <v>763522786.25059652</v>
      </c>
    </row>
    <row r="486" spans="1:37" s="857" customFormat="1" ht="35.25" customHeight="1" x14ac:dyDescent="0.2">
      <c r="B486" s="857" t="e">
        <f t="shared" si="168"/>
        <v>#N/A</v>
      </c>
      <c r="E486" s="884" t="str">
        <f t="shared" si="172"/>
        <v/>
      </c>
      <c r="F486" s="855"/>
      <c r="G486" s="878" t="s">
        <v>1205</v>
      </c>
      <c r="H486" s="879"/>
      <c r="I486" s="861" t="s">
        <v>3822</v>
      </c>
      <c r="J486" s="871"/>
      <c r="K486" s="861"/>
      <c r="L486" s="856"/>
      <c r="M486" s="862"/>
      <c r="N486" s="856"/>
      <c r="O486" s="863" t="s">
        <v>3122</v>
      </c>
      <c r="P486" s="861">
        <v>2007</v>
      </c>
      <c r="Q486" s="862"/>
      <c r="R486" s="862"/>
      <c r="S486" s="862"/>
      <c r="T486" s="862" t="s">
        <v>12</v>
      </c>
      <c r="U486" s="899">
        <v>3087425688.1593609</v>
      </c>
      <c r="V486" s="861" t="s">
        <v>43</v>
      </c>
      <c r="W486" s="865"/>
      <c r="X486" s="968"/>
      <c r="Y486" s="884" t="str">
        <f t="shared" si="169"/>
        <v>04.13.02</v>
      </c>
      <c r="Z486" s="884" t="str">
        <f t="shared" si="170"/>
        <v>Jembatan</v>
      </c>
      <c r="AA486" s="884">
        <f t="shared" si="171"/>
        <v>50</v>
      </c>
      <c r="AB486" s="868">
        <f t="shared" si="173"/>
        <v>61748513.763187215</v>
      </c>
      <c r="AC486" s="885">
        <f t="shared" si="174"/>
        <v>7</v>
      </c>
      <c r="AD486" s="868">
        <f t="shared" si="175"/>
        <v>432239596.34231049</v>
      </c>
      <c r="AE486" s="868">
        <f t="shared" si="176"/>
        <v>61748513.763187215</v>
      </c>
      <c r="AF486" s="868">
        <f t="shared" si="177"/>
        <v>61748513.763187215</v>
      </c>
      <c r="AG486" s="868">
        <f t="shared" si="178"/>
        <v>61748513.763187215</v>
      </c>
      <c r="AH486" s="868">
        <f t="shared" si="179"/>
        <v>61748513.763187215</v>
      </c>
      <c r="AI486" s="886">
        <f t="shared" si="180"/>
        <v>61748513.763187215</v>
      </c>
      <c r="AJ486" s="886">
        <f t="shared" si="181"/>
        <v>740982165.1582464</v>
      </c>
      <c r="AK486" s="868">
        <f t="shared" si="166"/>
        <v>2346443523.0011144</v>
      </c>
    </row>
    <row r="487" spans="1:37" s="857" customFormat="1" ht="35.25" customHeight="1" x14ac:dyDescent="0.2">
      <c r="A487" s="1184">
        <v>167</v>
      </c>
      <c r="B487" s="857" t="str">
        <f>VLOOKUP(A487,RUAS,2,FALSE)</f>
        <v>JK. RUAS 190/190 KM 7 + 000 - TANAH BEKALI</v>
      </c>
      <c r="E487" s="884" t="str">
        <f>RIGHT(D487,1)</f>
        <v/>
      </c>
      <c r="F487" s="855"/>
      <c r="G487" s="878" t="s">
        <v>1206</v>
      </c>
      <c r="H487" s="879"/>
      <c r="I487" s="861" t="s">
        <v>2494</v>
      </c>
      <c r="J487" s="871"/>
      <c r="K487" s="861"/>
      <c r="L487" s="856"/>
      <c r="M487" s="862"/>
      <c r="N487" s="856"/>
      <c r="O487" s="863" t="s">
        <v>3122</v>
      </c>
      <c r="P487" s="861">
        <v>2007</v>
      </c>
      <c r="Q487" s="862"/>
      <c r="R487" s="862"/>
      <c r="S487" s="862"/>
      <c r="T487" s="862" t="s">
        <v>12</v>
      </c>
      <c r="U487" s="899">
        <v>2113731899.5999999</v>
      </c>
      <c r="V487" s="861" t="s">
        <v>43</v>
      </c>
      <c r="W487" s="865"/>
      <c r="X487" s="968"/>
      <c r="Y487" s="884" t="str">
        <f>LEFT(I487,8)</f>
        <v>04.13.01</v>
      </c>
      <c r="Z487" s="884" t="str">
        <f>VLOOKUP(Y487,UE,3,FALSE)</f>
        <v>Jalan</v>
      </c>
      <c r="AA487" s="884">
        <f>VLOOKUP(Y487,UE,4,FALSE)</f>
        <v>10</v>
      </c>
      <c r="AB487" s="868">
        <f>U487/AA487</f>
        <v>211373189.95999998</v>
      </c>
      <c r="AC487" s="885">
        <f>IF(2013-P487+1&gt;AA487,AA487,IF(2013-P487+1&lt;0,0,2013-P487+1))</f>
        <v>7</v>
      </c>
      <c r="AD487" s="868">
        <f>IF(AC487&gt;AA487,U487,AB487*AC487)</f>
        <v>1479612329.7199998</v>
      </c>
      <c r="AE487" s="868">
        <f>IF(U487=AD487,0,AB487)</f>
        <v>211373189.95999998</v>
      </c>
      <c r="AF487" s="868">
        <f>IF(U487=AD487+AE487,0,AB487)</f>
        <v>211373189.95999998</v>
      </c>
      <c r="AG487" s="868">
        <f>IF(U487=AD487+AE487+AF487,0,AB487)</f>
        <v>211373189.95999998</v>
      </c>
      <c r="AH487" s="868">
        <f>IF(U487=AE487+AF487+AG487+AD487,0,AB487)</f>
        <v>0</v>
      </c>
      <c r="AI487" s="886">
        <f>IF(U487=AE487+AF487+AG487+AD487+AH487,0,AB487)</f>
        <v>0</v>
      </c>
      <c r="AJ487" s="886">
        <f>SUM(AD487:AI487)</f>
        <v>2113731899.5999999</v>
      </c>
      <c r="AK487" s="868">
        <f>U487-AJ487</f>
        <v>0</v>
      </c>
    </row>
    <row r="488" spans="1:37" s="857" customFormat="1" ht="35.25" customHeight="1" x14ac:dyDescent="0.2">
      <c r="A488" s="857" t="s">
        <v>4895</v>
      </c>
      <c r="B488" s="857" t="e">
        <f t="shared" ref="B488:B551" si="182">VLOOKUP(A488,RUAS,2,FALSE)</f>
        <v>#N/A</v>
      </c>
      <c r="E488" s="884" t="str">
        <f>RIGHT(D488,1)</f>
        <v/>
      </c>
      <c r="F488" s="890"/>
      <c r="G488" s="878" t="s">
        <v>1183</v>
      </c>
      <c r="H488" s="879"/>
      <c r="I488" s="880" t="s">
        <v>2494</v>
      </c>
      <c r="J488" s="880">
        <v>0</v>
      </c>
      <c r="K488" s="880" t="s">
        <v>835</v>
      </c>
      <c r="L488" s="881">
        <v>4</v>
      </c>
      <c r="M488" s="880">
        <v>3.5</v>
      </c>
      <c r="N488" s="881">
        <v>14</v>
      </c>
      <c r="O488" s="880" t="s">
        <v>3083</v>
      </c>
      <c r="P488" s="1126">
        <v>2007</v>
      </c>
      <c r="Q488" s="880">
        <v>0</v>
      </c>
      <c r="R488" s="880">
        <v>0</v>
      </c>
      <c r="S488" s="880">
        <v>0</v>
      </c>
      <c r="T488" s="880" t="s">
        <v>12</v>
      </c>
      <c r="U488" s="882">
        <v>929480817.58420205</v>
      </c>
      <c r="V488" s="880" t="s">
        <v>43</v>
      </c>
      <c r="W488" s="880">
        <v>0</v>
      </c>
      <c r="X488" s="969"/>
      <c r="Y488" s="884" t="str">
        <f>LEFT(I488,8)</f>
        <v>04.13.01</v>
      </c>
      <c r="Z488" s="884" t="str">
        <f>VLOOKUP(Y488,UE,3,FALSE)</f>
        <v>Jalan</v>
      </c>
      <c r="AA488" s="884">
        <f>VLOOKUP(Y488,UE,4,FALSE)</f>
        <v>10</v>
      </c>
      <c r="AB488" s="868">
        <f t="shared" si="173"/>
        <v>92948081.758420199</v>
      </c>
      <c r="AC488" s="885">
        <f t="shared" si="174"/>
        <v>7</v>
      </c>
      <c r="AD488" s="868">
        <f t="shared" si="175"/>
        <v>650636572.30894136</v>
      </c>
      <c r="AE488" s="868">
        <f t="shared" si="176"/>
        <v>92948081.758420199</v>
      </c>
      <c r="AF488" s="868">
        <f t="shared" si="177"/>
        <v>92948081.758420199</v>
      </c>
      <c r="AG488" s="868">
        <f t="shared" si="178"/>
        <v>92948081.758420199</v>
      </c>
      <c r="AH488" s="868">
        <f t="shared" si="179"/>
        <v>0</v>
      </c>
      <c r="AI488" s="886">
        <f t="shared" si="180"/>
        <v>0</v>
      </c>
      <c r="AJ488" s="886">
        <f t="shared" si="181"/>
        <v>929480817.58420205</v>
      </c>
      <c r="AK488" s="868">
        <f t="shared" si="166"/>
        <v>0</v>
      </c>
    </row>
    <row r="489" spans="1:37" s="857" customFormat="1" ht="35.25" customHeight="1" x14ac:dyDescent="0.2">
      <c r="A489" s="1184">
        <v>87</v>
      </c>
      <c r="B489" s="857" t="str">
        <f t="shared" si="182"/>
        <v>SEI. BESAR - BTS. SUMBAR</v>
      </c>
      <c r="E489" s="884" t="str">
        <f>RIGHT(D489,1)</f>
        <v/>
      </c>
      <c r="F489" s="890"/>
      <c r="G489" s="878" t="s">
        <v>1197</v>
      </c>
      <c r="H489" s="879"/>
      <c r="I489" s="880" t="s">
        <v>2494</v>
      </c>
      <c r="J489" s="880">
        <v>0</v>
      </c>
      <c r="K489" s="880">
        <v>0</v>
      </c>
      <c r="L489" s="881">
        <v>0</v>
      </c>
      <c r="M489" s="880">
        <v>0</v>
      </c>
      <c r="N489" s="881">
        <v>0</v>
      </c>
      <c r="O489" s="880" t="s">
        <v>3119</v>
      </c>
      <c r="P489" s="1126">
        <v>2007</v>
      </c>
      <c r="Q489" s="880">
        <v>0</v>
      </c>
      <c r="R489" s="880">
        <v>0</v>
      </c>
      <c r="S489" s="880">
        <v>0</v>
      </c>
      <c r="T489" s="880" t="s">
        <v>12</v>
      </c>
      <c r="U489" s="882">
        <v>636337766.08424675</v>
      </c>
      <c r="V489" s="880" t="s">
        <v>43</v>
      </c>
      <c r="W489" s="880">
        <v>0</v>
      </c>
      <c r="X489" s="969"/>
      <c r="Y489" s="884" t="str">
        <f>LEFT(I489,8)</f>
        <v>04.13.01</v>
      </c>
      <c r="Z489" s="884" t="str">
        <f>VLOOKUP(Y489,UE,3,FALSE)</f>
        <v>Jalan</v>
      </c>
      <c r="AA489" s="884">
        <f>VLOOKUP(Y489,UE,4,FALSE)</f>
        <v>10</v>
      </c>
      <c r="AB489" s="868">
        <f t="shared" si="173"/>
        <v>63633776.608424678</v>
      </c>
      <c r="AC489" s="885">
        <f t="shared" si="174"/>
        <v>7</v>
      </c>
      <c r="AD489" s="868">
        <f t="shared" si="175"/>
        <v>445436436.25897276</v>
      </c>
      <c r="AE489" s="868">
        <f t="shared" si="176"/>
        <v>63633776.608424678</v>
      </c>
      <c r="AF489" s="868">
        <f t="shared" si="177"/>
        <v>63633776.608424678</v>
      </c>
      <c r="AG489" s="868">
        <f t="shared" si="178"/>
        <v>63633776.608424678</v>
      </c>
      <c r="AH489" s="868">
        <f t="shared" si="179"/>
        <v>0</v>
      </c>
      <c r="AI489" s="886">
        <f t="shared" si="180"/>
        <v>0</v>
      </c>
      <c r="AJ489" s="886">
        <f t="shared" si="181"/>
        <v>636337766.08424675</v>
      </c>
      <c r="AK489" s="868">
        <f t="shared" si="166"/>
        <v>0</v>
      </c>
    </row>
    <row r="490" spans="1:37" s="857" customFormat="1" ht="35.25" customHeight="1" x14ac:dyDescent="0.2">
      <c r="B490" s="857" t="e">
        <f t="shared" si="182"/>
        <v>#N/A</v>
      </c>
      <c r="E490" s="884" t="str">
        <f t="shared" si="172"/>
        <v/>
      </c>
      <c r="F490" s="855"/>
      <c r="G490" s="878" t="s">
        <v>1203</v>
      </c>
      <c r="H490" s="879"/>
      <c r="I490" s="861" t="s">
        <v>2494</v>
      </c>
      <c r="J490" s="871"/>
      <c r="K490" s="861"/>
      <c r="L490" s="856"/>
      <c r="M490" s="862"/>
      <c r="N490" s="856"/>
      <c r="O490" s="863" t="s">
        <v>3122</v>
      </c>
      <c r="P490" s="861">
        <v>2008</v>
      </c>
      <c r="Q490" s="862"/>
      <c r="R490" s="862"/>
      <c r="S490" s="862"/>
      <c r="T490" s="862" t="s">
        <v>12</v>
      </c>
      <c r="U490" s="899">
        <v>29986611460</v>
      </c>
      <c r="V490" s="861" t="s">
        <v>43</v>
      </c>
      <c r="W490" s="865"/>
      <c r="X490" s="968"/>
      <c r="Y490" s="884" t="str">
        <f t="shared" si="169"/>
        <v>04.13.01</v>
      </c>
      <c r="Z490" s="884" t="str">
        <f t="shared" si="170"/>
        <v>Jalan</v>
      </c>
      <c r="AA490" s="884">
        <f t="shared" si="171"/>
        <v>10</v>
      </c>
      <c r="AB490" s="868">
        <f t="shared" si="173"/>
        <v>2998661146</v>
      </c>
      <c r="AC490" s="885">
        <f t="shared" si="174"/>
        <v>6</v>
      </c>
      <c r="AD490" s="868">
        <f t="shared" si="175"/>
        <v>17991966876</v>
      </c>
      <c r="AE490" s="868">
        <f t="shared" si="176"/>
        <v>2998661146</v>
      </c>
      <c r="AF490" s="868">
        <f t="shared" si="177"/>
        <v>2998661146</v>
      </c>
      <c r="AG490" s="868">
        <f t="shared" si="178"/>
        <v>2998661146</v>
      </c>
      <c r="AH490" s="868">
        <f t="shared" si="179"/>
        <v>2998661146</v>
      </c>
      <c r="AI490" s="886">
        <f t="shared" si="180"/>
        <v>0</v>
      </c>
      <c r="AJ490" s="886">
        <f t="shared" si="181"/>
        <v>29986611460</v>
      </c>
      <c r="AK490" s="868">
        <f t="shared" si="166"/>
        <v>0</v>
      </c>
    </row>
    <row r="491" spans="1:37" s="857" customFormat="1" ht="35.25" customHeight="1" x14ac:dyDescent="0.2">
      <c r="B491" s="857" t="e">
        <f t="shared" si="182"/>
        <v>#N/A</v>
      </c>
      <c r="E491" s="884" t="str">
        <f t="shared" si="172"/>
        <v/>
      </c>
      <c r="F491" s="855"/>
      <c r="G491" s="878" t="s">
        <v>1207</v>
      </c>
      <c r="H491" s="879"/>
      <c r="I491" s="861" t="s">
        <v>3822</v>
      </c>
      <c r="J491" s="871"/>
      <c r="K491" s="861"/>
      <c r="L491" s="856"/>
      <c r="M491" s="862"/>
      <c r="N491" s="856"/>
      <c r="O491" s="863" t="s">
        <v>3122</v>
      </c>
      <c r="P491" s="861">
        <v>2008</v>
      </c>
      <c r="Q491" s="862"/>
      <c r="R491" s="862"/>
      <c r="S491" s="862"/>
      <c r="T491" s="862" t="s">
        <v>12</v>
      </c>
      <c r="U491" s="899">
        <v>8726284111.1459866</v>
      </c>
      <c r="V491" s="861" t="s">
        <v>43</v>
      </c>
      <c r="W491" s="865"/>
      <c r="X491" s="968"/>
      <c r="Y491" s="884" t="str">
        <f t="shared" si="169"/>
        <v>04.13.02</v>
      </c>
      <c r="Z491" s="884" t="str">
        <f t="shared" si="170"/>
        <v>Jembatan</v>
      </c>
      <c r="AA491" s="884">
        <f t="shared" si="171"/>
        <v>50</v>
      </c>
      <c r="AB491" s="868">
        <f t="shared" si="173"/>
        <v>174525682.22291973</v>
      </c>
      <c r="AC491" s="885">
        <f t="shared" si="174"/>
        <v>6</v>
      </c>
      <c r="AD491" s="868">
        <f t="shared" si="175"/>
        <v>1047154093.3375185</v>
      </c>
      <c r="AE491" s="868">
        <f t="shared" si="176"/>
        <v>174525682.22291973</v>
      </c>
      <c r="AF491" s="868">
        <f t="shared" si="177"/>
        <v>174525682.22291973</v>
      </c>
      <c r="AG491" s="868">
        <f t="shared" si="178"/>
        <v>174525682.22291973</v>
      </c>
      <c r="AH491" s="868">
        <f t="shared" si="179"/>
        <v>174525682.22291973</v>
      </c>
      <c r="AI491" s="886">
        <f t="shared" si="180"/>
        <v>174525682.22291973</v>
      </c>
      <c r="AJ491" s="886">
        <f t="shared" si="181"/>
        <v>1919782504.452117</v>
      </c>
      <c r="AK491" s="868">
        <f t="shared" si="166"/>
        <v>6806501606.6938696</v>
      </c>
    </row>
    <row r="492" spans="1:37" s="857" customFormat="1" ht="35.25" customHeight="1" x14ac:dyDescent="0.2">
      <c r="B492" s="857" t="e">
        <f t="shared" si="182"/>
        <v>#N/A</v>
      </c>
      <c r="E492" s="884" t="str">
        <f t="shared" si="172"/>
        <v/>
      </c>
      <c r="F492" s="855"/>
      <c r="G492" s="878" t="s">
        <v>1208</v>
      </c>
      <c r="H492" s="879"/>
      <c r="I492" s="861" t="s">
        <v>2494</v>
      </c>
      <c r="J492" s="871"/>
      <c r="K492" s="861"/>
      <c r="L492" s="856"/>
      <c r="M492" s="862"/>
      <c r="N492" s="856"/>
      <c r="O492" s="863" t="s">
        <v>3123</v>
      </c>
      <c r="P492" s="861">
        <v>2008</v>
      </c>
      <c r="Q492" s="862"/>
      <c r="R492" s="862"/>
      <c r="S492" s="862"/>
      <c r="T492" s="862" t="s">
        <v>12</v>
      </c>
      <c r="U492" s="899">
        <v>5674612893</v>
      </c>
      <c r="V492" s="861" t="s">
        <v>43</v>
      </c>
      <c r="W492" s="865"/>
      <c r="X492" s="968"/>
      <c r="Y492" s="884" t="str">
        <f t="shared" si="169"/>
        <v>04.13.01</v>
      </c>
      <c r="Z492" s="884" t="str">
        <f t="shared" si="170"/>
        <v>Jalan</v>
      </c>
      <c r="AA492" s="884">
        <f t="shared" si="171"/>
        <v>10</v>
      </c>
      <c r="AB492" s="868">
        <f t="shared" si="173"/>
        <v>567461289.29999995</v>
      </c>
      <c r="AC492" s="885">
        <f t="shared" si="174"/>
        <v>6</v>
      </c>
      <c r="AD492" s="868">
        <f t="shared" si="175"/>
        <v>3404767735.7999997</v>
      </c>
      <c r="AE492" s="868">
        <f t="shared" si="176"/>
        <v>567461289.29999995</v>
      </c>
      <c r="AF492" s="868">
        <f t="shared" si="177"/>
        <v>567461289.29999995</v>
      </c>
      <c r="AG492" s="868">
        <f t="shared" si="178"/>
        <v>567461289.29999995</v>
      </c>
      <c r="AH492" s="868">
        <f t="shared" si="179"/>
        <v>567461289.29999995</v>
      </c>
      <c r="AI492" s="886">
        <f t="shared" si="180"/>
        <v>0</v>
      </c>
      <c r="AJ492" s="886">
        <f t="shared" si="181"/>
        <v>5674612893</v>
      </c>
      <c r="AK492" s="868">
        <f t="shared" si="166"/>
        <v>0</v>
      </c>
    </row>
    <row r="493" spans="1:37" s="857" customFormat="1" ht="35.25" customHeight="1" x14ac:dyDescent="0.2">
      <c r="B493" s="857" t="e">
        <f t="shared" si="182"/>
        <v>#N/A</v>
      </c>
      <c r="E493" s="884" t="str">
        <f t="shared" si="172"/>
        <v/>
      </c>
      <c r="F493" s="855"/>
      <c r="G493" s="878" t="s">
        <v>1179</v>
      </c>
      <c r="H493" s="879"/>
      <c r="I493" s="861" t="s">
        <v>3822</v>
      </c>
      <c r="J493" s="871"/>
      <c r="K493" s="861"/>
      <c r="L493" s="856"/>
      <c r="M493" s="862"/>
      <c r="N493" s="856"/>
      <c r="O493" s="863" t="s">
        <v>2986</v>
      </c>
      <c r="P493" s="861">
        <v>2008</v>
      </c>
      <c r="Q493" s="862"/>
      <c r="R493" s="862"/>
      <c r="S493" s="862"/>
      <c r="T493" s="862" t="s">
        <v>12</v>
      </c>
      <c r="U493" s="899">
        <v>1969256837</v>
      </c>
      <c r="V493" s="861" t="s">
        <v>43</v>
      </c>
      <c r="W493" s="865"/>
      <c r="X493" s="968"/>
      <c r="Y493" s="884" t="str">
        <f t="shared" si="169"/>
        <v>04.13.02</v>
      </c>
      <c r="Z493" s="884" t="str">
        <f t="shared" si="170"/>
        <v>Jembatan</v>
      </c>
      <c r="AA493" s="884">
        <f t="shared" si="171"/>
        <v>50</v>
      </c>
      <c r="AB493" s="868">
        <f t="shared" si="173"/>
        <v>39385136.740000002</v>
      </c>
      <c r="AC493" s="885">
        <f t="shared" si="174"/>
        <v>6</v>
      </c>
      <c r="AD493" s="868">
        <f t="shared" si="175"/>
        <v>236310820.44</v>
      </c>
      <c r="AE493" s="868">
        <f t="shared" si="176"/>
        <v>39385136.740000002</v>
      </c>
      <c r="AF493" s="868">
        <f t="shared" si="177"/>
        <v>39385136.740000002</v>
      </c>
      <c r="AG493" s="868">
        <f t="shared" si="178"/>
        <v>39385136.740000002</v>
      </c>
      <c r="AH493" s="868">
        <f t="shared" si="179"/>
        <v>39385136.740000002</v>
      </c>
      <c r="AI493" s="886">
        <f t="shared" si="180"/>
        <v>39385136.740000002</v>
      </c>
      <c r="AJ493" s="886">
        <f t="shared" si="181"/>
        <v>433236504.14000005</v>
      </c>
      <c r="AK493" s="868">
        <f t="shared" si="166"/>
        <v>1536020332.8599999</v>
      </c>
    </row>
    <row r="494" spans="1:37" s="857" customFormat="1" ht="35.25" customHeight="1" x14ac:dyDescent="0.2">
      <c r="B494" s="857" t="e">
        <f t="shared" si="182"/>
        <v>#N/A</v>
      </c>
      <c r="E494" s="884" t="str">
        <f t="shared" si="172"/>
        <v/>
      </c>
      <c r="F494" s="855"/>
      <c r="G494" s="878" t="s">
        <v>1203</v>
      </c>
      <c r="H494" s="879"/>
      <c r="I494" s="861" t="s">
        <v>2494</v>
      </c>
      <c r="J494" s="871"/>
      <c r="K494" s="861"/>
      <c r="L494" s="856"/>
      <c r="M494" s="862"/>
      <c r="N494" s="856"/>
      <c r="O494" s="863"/>
      <c r="P494" s="861">
        <v>2008</v>
      </c>
      <c r="Q494" s="862"/>
      <c r="R494" s="862"/>
      <c r="S494" s="862"/>
      <c r="T494" s="862" t="s">
        <v>12</v>
      </c>
      <c r="U494" s="899">
        <v>10544570566</v>
      </c>
      <c r="V494" s="861"/>
      <c r="W494" s="865"/>
      <c r="X494" s="968"/>
      <c r="Y494" s="884" t="str">
        <f t="shared" si="169"/>
        <v>04.13.01</v>
      </c>
      <c r="Z494" s="884" t="str">
        <f t="shared" si="170"/>
        <v>Jalan</v>
      </c>
      <c r="AA494" s="884">
        <f t="shared" si="171"/>
        <v>10</v>
      </c>
      <c r="AB494" s="868">
        <f t="shared" si="173"/>
        <v>1054457056.6</v>
      </c>
      <c r="AC494" s="885">
        <f t="shared" si="174"/>
        <v>6</v>
      </c>
      <c r="AD494" s="868">
        <f t="shared" si="175"/>
        <v>6326742339.6000004</v>
      </c>
      <c r="AE494" s="868">
        <f t="shared" si="176"/>
        <v>1054457056.6</v>
      </c>
      <c r="AF494" s="868">
        <f t="shared" si="177"/>
        <v>1054457056.6</v>
      </c>
      <c r="AG494" s="868">
        <f t="shared" si="178"/>
        <v>1054457056.6</v>
      </c>
      <c r="AH494" s="868">
        <f t="shared" si="179"/>
        <v>1054457056.6</v>
      </c>
      <c r="AI494" s="886">
        <f t="shared" si="180"/>
        <v>0</v>
      </c>
      <c r="AJ494" s="886">
        <f t="shared" si="181"/>
        <v>10544570566.000002</v>
      </c>
      <c r="AK494" s="868">
        <f t="shared" si="166"/>
        <v>0</v>
      </c>
    </row>
    <row r="495" spans="1:37" s="857" customFormat="1" ht="35.25" customHeight="1" x14ac:dyDescent="0.2">
      <c r="B495" s="857" t="e">
        <f t="shared" si="182"/>
        <v>#N/A</v>
      </c>
      <c r="E495" s="884" t="str">
        <f t="shared" si="172"/>
        <v/>
      </c>
      <c r="F495" s="855"/>
      <c r="G495" s="878" t="s">
        <v>1210</v>
      </c>
      <c r="H495" s="879"/>
      <c r="I495" s="861" t="s">
        <v>2494</v>
      </c>
      <c r="J495" s="871"/>
      <c r="K495" s="861"/>
      <c r="L495" s="856"/>
      <c r="M495" s="862"/>
      <c r="N495" s="856"/>
      <c r="O495" s="863" t="s">
        <v>3123</v>
      </c>
      <c r="P495" s="861">
        <v>2008</v>
      </c>
      <c r="Q495" s="862"/>
      <c r="R495" s="862"/>
      <c r="S495" s="862"/>
      <c r="T495" s="862" t="s">
        <v>12</v>
      </c>
      <c r="U495" s="899">
        <v>5288983329</v>
      </c>
      <c r="V495" s="861" t="s">
        <v>43</v>
      </c>
      <c r="W495" s="865"/>
      <c r="X495" s="968"/>
      <c r="Y495" s="884" t="str">
        <f t="shared" si="169"/>
        <v>04.13.01</v>
      </c>
      <c r="Z495" s="884" t="str">
        <f t="shared" si="170"/>
        <v>Jalan</v>
      </c>
      <c r="AA495" s="884">
        <f t="shared" si="171"/>
        <v>10</v>
      </c>
      <c r="AB495" s="868">
        <f t="shared" si="173"/>
        <v>528898332.89999998</v>
      </c>
      <c r="AC495" s="885">
        <f t="shared" si="174"/>
        <v>6</v>
      </c>
      <c r="AD495" s="868">
        <f t="shared" si="175"/>
        <v>3173389997.3999996</v>
      </c>
      <c r="AE495" s="868">
        <f t="shared" si="176"/>
        <v>528898332.89999998</v>
      </c>
      <c r="AF495" s="868">
        <f t="shared" si="177"/>
        <v>528898332.89999998</v>
      </c>
      <c r="AG495" s="868">
        <f t="shared" si="178"/>
        <v>528898332.89999998</v>
      </c>
      <c r="AH495" s="868">
        <f t="shared" si="179"/>
        <v>528898332.89999998</v>
      </c>
      <c r="AI495" s="886">
        <f t="shared" si="180"/>
        <v>0</v>
      </c>
      <c r="AJ495" s="886">
        <f t="shared" si="181"/>
        <v>5288983328.999999</v>
      </c>
      <c r="AK495" s="868">
        <f t="shared" si="166"/>
        <v>0</v>
      </c>
    </row>
    <row r="496" spans="1:37" s="857" customFormat="1" ht="35.25" customHeight="1" x14ac:dyDescent="0.2">
      <c r="B496" s="857" t="e">
        <f t="shared" si="182"/>
        <v>#N/A</v>
      </c>
      <c r="E496" s="884" t="str">
        <f t="shared" si="172"/>
        <v/>
      </c>
      <c r="F496" s="855"/>
      <c r="G496" s="878" t="s">
        <v>1200</v>
      </c>
      <c r="H496" s="879"/>
      <c r="I496" s="861" t="s">
        <v>2494</v>
      </c>
      <c r="J496" s="871"/>
      <c r="K496" s="861"/>
      <c r="L496" s="856"/>
      <c r="M496" s="862"/>
      <c r="N496" s="856"/>
      <c r="O496" s="863" t="s">
        <v>3122</v>
      </c>
      <c r="P496" s="861">
        <v>2008</v>
      </c>
      <c r="Q496" s="862"/>
      <c r="R496" s="862"/>
      <c r="S496" s="862"/>
      <c r="T496" s="862" t="s">
        <v>12</v>
      </c>
      <c r="U496" s="899">
        <v>4998589477</v>
      </c>
      <c r="V496" s="861" t="s">
        <v>43</v>
      </c>
      <c r="W496" s="865"/>
      <c r="X496" s="968"/>
      <c r="Y496" s="884" t="str">
        <f t="shared" si="169"/>
        <v>04.13.01</v>
      </c>
      <c r="Z496" s="884" t="str">
        <f t="shared" si="170"/>
        <v>Jalan</v>
      </c>
      <c r="AA496" s="884">
        <f t="shared" si="171"/>
        <v>10</v>
      </c>
      <c r="AB496" s="868">
        <f t="shared" si="173"/>
        <v>499858947.69999999</v>
      </c>
      <c r="AC496" s="885">
        <f t="shared" si="174"/>
        <v>6</v>
      </c>
      <c r="AD496" s="868">
        <f t="shared" si="175"/>
        <v>2999153686.1999998</v>
      </c>
      <c r="AE496" s="868">
        <f t="shared" si="176"/>
        <v>499858947.69999999</v>
      </c>
      <c r="AF496" s="868">
        <f t="shared" si="177"/>
        <v>499858947.69999999</v>
      </c>
      <c r="AG496" s="868">
        <f t="shared" si="178"/>
        <v>499858947.69999999</v>
      </c>
      <c r="AH496" s="868">
        <f t="shared" si="179"/>
        <v>499858947.69999999</v>
      </c>
      <c r="AI496" s="886">
        <f t="shared" si="180"/>
        <v>0</v>
      </c>
      <c r="AJ496" s="886">
        <f t="shared" si="181"/>
        <v>4998589476.999999</v>
      </c>
      <c r="AK496" s="868">
        <f t="shared" si="166"/>
        <v>0</v>
      </c>
    </row>
    <row r="497" spans="1:37" s="857" customFormat="1" ht="35.25" customHeight="1" x14ac:dyDescent="0.2">
      <c r="B497" s="857" t="e">
        <f t="shared" si="182"/>
        <v>#N/A</v>
      </c>
      <c r="E497" s="884" t="str">
        <f t="shared" si="172"/>
        <v/>
      </c>
      <c r="F497" s="855"/>
      <c r="G497" s="878" t="s">
        <v>1201</v>
      </c>
      <c r="H497" s="879"/>
      <c r="I497" s="861" t="s">
        <v>3822</v>
      </c>
      <c r="J497" s="871"/>
      <c r="K497" s="861"/>
      <c r="L497" s="856"/>
      <c r="M497" s="862"/>
      <c r="N497" s="856"/>
      <c r="O497" s="863" t="s">
        <v>3122</v>
      </c>
      <c r="P497" s="861">
        <v>2008</v>
      </c>
      <c r="Q497" s="862"/>
      <c r="R497" s="862"/>
      <c r="S497" s="862"/>
      <c r="T497" s="862" t="s">
        <v>12</v>
      </c>
      <c r="U497" s="899">
        <v>829088158</v>
      </c>
      <c r="V497" s="861" t="s">
        <v>43</v>
      </c>
      <c r="W497" s="865"/>
      <c r="X497" s="968"/>
      <c r="Y497" s="884" t="str">
        <f t="shared" si="169"/>
        <v>04.13.02</v>
      </c>
      <c r="Z497" s="884" t="str">
        <f t="shared" si="170"/>
        <v>Jembatan</v>
      </c>
      <c r="AA497" s="884">
        <f t="shared" si="171"/>
        <v>50</v>
      </c>
      <c r="AB497" s="868">
        <f t="shared" si="173"/>
        <v>16581763.16</v>
      </c>
      <c r="AC497" s="885">
        <f t="shared" si="174"/>
        <v>6</v>
      </c>
      <c r="AD497" s="868">
        <f t="shared" si="175"/>
        <v>99490578.960000008</v>
      </c>
      <c r="AE497" s="868">
        <f t="shared" si="176"/>
        <v>16581763.16</v>
      </c>
      <c r="AF497" s="868">
        <f t="shared" si="177"/>
        <v>16581763.16</v>
      </c>
      <c r="AG497" s="868">
        <f t="shared" si="178"/>
        <v>16581763.16</v>
      </c>
      <c r="AH497" s="868">
        <f t="shared" si="179"/>
        <v>16581763.16</v>
      </c>
      <c r="AI497" s="886">
        <f t="shared" si="180"/>
        <v>16581763.16</v>
      </c>
      <c r="AJ497" s="886">
        <f t="shared" si="181"/>
        <v>182399394.75999999</v>
      </c>
      <c r="AK497" s="868">
        <f t="shared" si="166"/>
        <v>646688763.24000001</v>
      </c>
    </row>
    <row r="498" spans="1:37" s="857" customFormat="1" ht="35.25" customHeight="1" x14ac:dyDescent="0.2">
      <c r="B498" s="857" t="e">
        <f t="shared" si="182"/>
        <v>#N/A</v>
      </c>
      <c r="E498" s="884" t="str">
        <f t="shared" si="172"/>
        <v/>
      </c>
      <c r="F498" s="855"/>
      <c r="G498" s="878" t="s">
        <v>1203</v>
      </c>
      <c r="H498" s="879"/>
      <c r="I498" s="861" t="s">
        <v>2494</v>
      </c>
      <c r="J498" s="871"/>
      <c r="K498" s="861"/>
      <c r="L498" s="856"/>
      <c r="M498" s="862"/>
      <c r="N498" s="856"/>
      <c r="O498" s="863" t="s">
        <v>3122</v>
      </c>
      <c r="P498" s="861">
        <v>2008</v>
      </c>
      <c r="Q498" s="862"/>
      <c r="R498" s="862"/>
      <c r="S498" s="862"/>
      <c r="T498" s="862" t="s">
        <v>12</v>
      </c>
      <c r="U498" s="899">
        <v>250000000</v>
      </c>
      <c r="V498" s="861" t="s">
        <v>43</v>
      </c>
      <c r="W498" s="865"/>
      <c r="X498" s="968"/>
      <c r="Y498" s="884" t="str">
        <f t="shared" si="169"/>
        <v>04.13.01</v>
      </c>
      <c r="Z498" s="884" t="str">
        <f t="shared" si="170"/>
        <v>Jalan</v>
      </c>
      <c r="AA498" s="884">
        <f t="shared" si="171"/>
        <v>10</v>
      </c>
      <c r="AB498" s="868">
        <f t="shared" si="173"/>
        <v>25000000</v>
      </c>
      <c r="AC498" s="885">
        <f t="shared" si="174"/>
        <v>6</v>
      </c>
      <c r="AD498" s="868">
        <f t="shared" si="175"/>
        <v>150000000</v>
      </c>
      <c r="AE498" s="868">
        <f t="shared" si="176"/>
        <v>25000000</v>
      </c>
      <c r="AF498" s="868">
        <f t="shared" si="177"/>
        <v>25000000</v>
      </c>
      <c r="AG498" s="868">
        <f t="shared" si="178"/>
        <v>25000000</v>
      </c>
      <c r="AH498" s="868">
        <f t="shared" si="179"/>
        <v>25000000</v>
      </c>
      <c r="AI498" s="886">
        <f t="shared" si="180"/>
        <v>0</v>
      </c>
      <c r="AJ498" s="886">
        <f t="shared" si="181"/>
        <v>250000000</v>
      </c>
      <c r="AK498" s="868">
        <f t="shared" si="166"/>
        <v>0</v>
      </c>
    </row>
    <row r="499" spans="1:37" s="857" customFormat="1" ht="35.25" customHeight="1" x14ac:dyDescent="0.2">
      <c r="B499" s="857" t="e">
        <f t="shared" si="182"/>
        <v>#N/A</v>
      </c>
      <c r="E499" s="884" t="str">
        <f t="shared" si="172"/>
        <v/>
      </c>
      <c r="F499" s="855"/>
      <c r="G499" s="878" t="s">
        <v>1203</v>
      </c>
      <c r="H499" s="879"/>
      <c r="I499" s="861" t="s">
        <v>2494</v>
      </c>
      <c r="J499" s="871"/>
      <c r="K499" s="861"/>
      <c r="L499" s="856"/>
      <c r="M499" s="862"/>
      <c r="N499" s="856"/>
      <c r="O499" s="863" t="s">
        <v>3122</v>
      </c>
      <c r="P499" s="861">
        <v>2008</v>
      </c>
      <c r="Q499" s="862"/>
      <c r="R499" s="862"/>
      <c r="S499" s="862"/>
      <c r="T499" s="862" t="s">
        <v>12</v>
      </c>
      <c r="U499" s="899">
        <v>5108967559.5763826</v>
      </c>
      <c r="V499" s="861" t="s">
        <v>43</v>
      </c>
      <c r="W499" s="865"/>
      <c r="X499" s="968"/>
      <c r="Y499" s="884" t="str">
        <f t="shared" si="169"/>
        <v>04.13.01</v>
      </c>
      <c r="Z499" s="884" t="str">
        <f t="shared" si="170"/>
        <v>Jalan</v>
      </c>
      <c r="AA499" s="884">
        <f t="shared" si="171"/>
        <v>10</v>
      </c>
      <c r="AB499" s="868">
        <f t="shared" si="173"/>
        <v>510896755.95763826</v>
      </c>
      <c r="AC499" s="885">
        <f t="shared" si="174"/>
        <v>6</v>
      </c>
      <c r="AD499" s="868">
        <f t="shared" si="175"/>
        <v>3065380535.7458296</v>
      </c>
      <c r="AE499" s="868">
        <f t="shared" si="176"/>
        <v>510896755.95763826</v>
      </c>
      <c r="AF499" s="868">
        <f t="shared" si="177"/>
        <v>510896755.95763826</v>
      </c>
      <c r="AG499" s="868">
        <f t="shared" si="178"/>
        <v>510896755.95763826</v>
      </c>
      <c r="AH499" s="868">
        <f t="shared" si="179"/>
        <v>510896755.95763826</v>
      </c>
      <c r="AI499" s="886">
        <f t="shared" si="180"/>
        <v>0</v>
      </c>
      <c r="AJ499" s="886">
        <f t="shared" si="181"/>
        <v>5108967559.5763817</v>
      </c>
      <c r="AK499" s="868">
        <f t="shared" si="166"/>
        <v>0</v>
      </c>
    </row>
    <row r="500" spans="1:37" s="857" customFormat="1" ht="35.25" customHeight="1" x14ac:dyDescent="0.2">
      <c r="B500" s="857" t="e">
        <f t="shared" si="182"/>
        <v>#N/A</v>
      </c>
      <c r="E500" s="884" t="str">
        <f t="shared" si="172"/>
        <v/>
      </c>
      <c r="F500" s="855"/>
      <c r="G500" s="878" t="s">
        <v>1207</v>
      </c>
      <c r="H500" s="879"/>
      <c r="I500" s="861" t="s">
        <v>3822</v>
      </c>
      <c r="J500" s="871"/>
      <c r="K500" s="861"/>
      <c r="L500" s="856"/>
      <c r="M500" s="862"/>
      <c r="N500" s="856"/>
      <c r="O500" s="863" t="s">
        <v>3122</v>
      </c>
      <c r="P500" s="861">
        <v>2008</v>
      </c>
      <c r="Q500" s="862"/>
      <c r="R500" s="862"/>
      <c r="S500" s="862"/>
      <c r="T500" s="862" t="s">
        <v>12</v>
      </c>
      <c r="U500" s="899">
        <v>2130596812.9205101</v>
      </c>
      <c r="V500" s="861" t="s">
        <v>43</v>
      </c>
      <c r="W500" s="865"/>
      <c r="X500" s="968"/>
      <c r="Y500" s="884" t="str">
        <f t="shared" si="169"/>
        <v>04.13.02</v>
      </c>
      <c r="Z500" s="884" t="str">
        <f t="shared" si="170"/>
        <v>Jembatan</v>
      </c>
      <c r="AA500" s="884">
        <f t="shared" si="171"/>
        <v>50</v>
      </c>
      <c r="AB500" s="868">
        <f t="shared" si="173"/>
        <v>42611936.2584102</v>
      </c>
      <c r="AC500" s="885">
        <f t="shared" si="174"/>
        <v>6</v>
      </c>
      <c r="AD500" s="868">
        <f t="shared" si="175"/>
        <v>255671617.5504612</v>
      </c>
      <c r="AE500" s="868">
        <f t="shared" si="176"/>
        <v>42611936.2584102</v>
      </c>
      <c r="AF500" s="868">
        <f t="shared" si="177"/>
        <v>42611936.2584102</v>
      </c>
      <c r="AG500" s="868">
        <f t="shared" si="178"/>
        <v>42611936.2584102</v>
      </c>
      <c r="AH500" s="868">
        <f t="shared" si="179"/>
        <v>42611936.2584102</v>
      </c>
      <c r="AI500" s="886">
        <f t="shared" si="180"/>
        <v>42611936.2584102</v>
      </c>
      <c r="AJ500" s="886">
        <f t="shared" si="181"/>
        <v>468731298.84251225</v>
      </c>
      <c r="AK500" s="868">
        <f t="shared" si="166"/>
        <v>1661865514.0779977</v>
      </c>
    </row>
    <row r="501" spans="1:37" s="857" customFormat="1" ht="35.25" customHeight="1" x14ac:dyDescent="0.2">
      <c r="B501" s="857" t="e">
        <f t="shared" si="182"/>
        <v>#N/A</v>
      </c>
      <c r="E501" s="884" t="str">
        <f t="shared" si="172"/>
        <v/>
      </c>
      <c r="F501" s="855"/>
      <c r="G501" s="878" t="s">
        <v>1203</v>
      </c>
      <c r="H501" s="879"/>
      <c r="I501" s="861" t="s">
        <v>2494</v>
      </c>
      <c r="J501" s="871"/>
      <c r="K501" s="861"/>
      <c r="L501" s="856"/>
      <c r="M501" s="862"/>
      <c r="N501" s="856"/>
      <c r="O501" s="863" t="s">
        <v>3122</v>
      </c>
      <c r="P501" s="861">
        <v>2008</v>
      </c>
      <c r="Q501" s="862"/>
      <c r="R501" s="862"/>
      <c r="S501" s="862"/>
      <c r="T501" s="862" t="s">
        <v>12</v>
      </c>
      <c r="U501" s="899">
        <v>837796595</v>
      </c>
      <c r="V501" s="861" t="s">
        <v>43</v>
      </c>
      <c r="W501" s="865"/>
      <c r="X501" s="968"/>
      <c r="Y501" s="884" t="str">
        <f t="shared" si="169"/>
        <v>04.13.01</v>
      </c>
      <c r="Z501" s="884" t="str">
        <f t="shared" si="170"/>
        <v>Jalan</v>
      </c>
      <c r="AA501" s="884">
        <f t="shared" si="171"/>
        <v>10</v>
      </c>
      <c r="AB501" s="868">
        <f t="shared" si="173"/>
        <v>83779659.5</v>
      </c>
      <c r="AC501" s="885">
        <f t="shared" si="174"/>
        <v>6</v>
      </c>
      <c r="AD501" s="868">
        <f t="shared" si="175"/>
        <v>502677957</v>
      </c>
      <c r="AE501" s="868">
        <f t="shared" si="176"/>
        <v>83779659.5</v>
      </c>
      <c r="AF501" s="868">
        <f t="shared" si="177"/>
        <v>83779659.5</v>
      </c>
      <c r="AG501" s="868">
        <f t="shared" si="178"/>
        <v>83779659.5</v>
      </c>
      <c r="AH501" s="868">
        <f t="shared" si="179"/>
        <v>83779659.5</v>
      </c>
      <c r="AI501" s="886">
        <f t="shared" si="180"/>
        <v>0</v>
      </c>
      <c r="AJ501" s="886">
        <f t="shared" si="181"/>
        <v>837796595</v>
      </c>
      <c r="AK501" s="868">
        <f t="shared" si="166"/>
        <v>0</v>
      </c>
    </row>
    <row r="502" spans="1:37" s="857" customFormat="1" ht="35.25" customHeight="1" x14ac:dyDescent="0.2">
      <c r="B502" s="857" t="e">
        <f t="shared" si="182"/>
        <v>#N/A</v>
      </c>
      <c r="E502" s="884" t="str">
        <f t="shared" si="172"/>
        <v/>
      </c>
      <c r="F502" s="855"/>
      <c r="G502" s="878" t="s">
        <v>1203</v>
      </c>
      <c r="H502" s="879"/>
      <c r="I502" s="861" t="s">
        <v>2494</v>
      </c>
      <c r="J502" s="871"/>
      <c r="K502" s="861"/>
      <c r="L502" s="856"/>
      <c r="M502" s="862"/>
      <c r="N502" s="856"/>
      <c r="O502" s="863" t="s">
        <v>3122</v>
      </c>
      <c r="P502" s="861">
        <v>2008</v>
      </c>
      <c r="Q502" s="862"/>
      <c r="R502" s="862"/>
      <c r="S502" s="862"/>
      <c r="T502" s="862" t="s">
        <v>12</v>
      </c>
      <c r="U502" s="899">
        <v>523294499</v>
      </c>
      <c r="V502" s="861" t="s">
        <v>43</v>
      </c>
      <c r="W502" s="865"/>
      <c r="X502" s="968"/>
      <c r="Y502" s="884" t="str">
        <f t="shared" si="169"/>
        <v>04.13.01</v>
      </c>
      <c r="Z502" s="884" t="str">
        <f t="shared" si="170"/>
        <v>Jalan</v>
      </c>
      <c r="AA502" s="884">
        <f t="shared" si="171"/>
        <v>10</v>
      </c>
      <c r="AB502" s="868">
        <f t="shared" si="173"/>
        <v>52329449.899999999</v>
      </c>
      <c r="AC502" s="885">
        <f t="shared" si="174"/>
        <v>6</v>
      </c>
      <c r="AD502" s="868">
        <f t="shared" si="175"/>
        <v>313976699.39999998</v>
      </c>
      <c r="AE502" s="868">
        <f t="shared" si="176"/>
        <v>52329449.899999999</v>
      </c>
      <c r="AF502" s="868">
        <f t="shared" si="177"/>
        <v>52329449.899999999</v>
      </c>
      <c r="AG502" s="868">
        <f t="shared" si="178"/>
        <v>52329449.899999999</v>
      </c>
      <c r="AH502" s="868">
        <f t="shared" si="179"/>
        <v>52329449.899999999</v>
      </c>
      <c r="AI502" s="886">
        <f t="shared" si="180"/>
        <v>0</v>
      </c>
      <c r="AJ502" s="886">
        <f t="shared" si="181"/>
        <v>523294498.99999988</v>
      </c>
      <c r="AK502" s="868">
        <f t="shared" si="166"/>
        <v>0</v>
      </c>
    </row>
    <row r="503" spans="1:37" s="857" customFormat="1" ht="35.25" customHeight="1" x14ac:dyDescent="0.2">
      <c r="B503" s="857" t="e">
        <f t="shared" si="182"/>
        <v>#N/A</v>
      </c>
      <c r="E503" s="884" t="str">
        <f t="shared" si="172"/>
        <v/>
      </c>
      <c r="F503" s="855"/>
      <c r="G503" s="878" t="s">
        <v>1212</v>
      </c>
      <c r="H503" s="879"/>
      <c r="I503" s="861" t="s">
        <v>3827</v>
      </c>
      <c r="J503" s="871"/>
      <c r="K503" s="861"/>
      <c r="L503" s="856"/>
      <c r="M503" s="862"/>
      <c r="N503" s="856"/>
      <c r="O503" s="863" t="s">
        <v>3122</v>
      </c>
      <c r="P503" s="861">
        <v>2008</v>
      </c>
      <c r="Q503" s="862"/>
      <c r="R503" s="862"/>
      <c r="S503" s="862"/>
      <c r="T503" s="862" t="s">
        <v>12</v>
      </c>
      <c r="U503" s="899">
        <v>498235979.05180186</v>
      </c>
      <c r="V503" s="861" t="s">
        <v>43</v>
      </c>
      <c r="W503" s="865"/>
      <c r="X503" s="968"/>
      <c r="Y503" s="884" t="str">
        <f t="shared" si="169"/>
        <v>04.13.02</v>
      </c>
      <c r="Z503" s="884" t="str">
        <f t="shared" si="170"/>
        <v>Jembatan</v>
      </c>
      <c r="AA503" s="884">
        <f t="shared" si="171"/>
        <v>50</v>
      </c>
      <c r="AB503" s="868">
        <f t="shared" si="173"/>
        <v>9964719.5810360368</v>
      </c>
      <c r="AC503" s="885">
        <f t="shared" si="174"/>
        <v>6</v>
      </c>
      <c r="AD503" s="868">
        <f t="shared" si="175"/>
        <v>59788317.486216217</v>
      </c>
      <c r="AE503" s="868">
        <f t="shared" si="176"/>
        <v>9964719.5810360368</v>
      </c>
      <c r="AF503" s="868">
        <f t="shared" si="177"/>
        <v>9964719.5810360368</v>
      </c>
      <c r="AG503" s="868">
        <f t="shared" si="178"/>
        <v>9964719.5810360368</v>
      </c>
      <c r="AH503" s="868">
        <f t="shared" si="179"/>
        <v>9964719.5810360368</v>
      </c>
      <c r="AI503" s="886">
        <f t="shared" si="180"/>
        <v>9964719.5810360368</v>
      </c>
      <c r="AJ503" s="886">
        <f t="shared" si="181"/>
        <v>109611915.39139637</v>
      </c>
      <c r="AK503" s="868">
        <f t="shared" si="166"/>
        <v>388624063.66040552</v>
      </c>
    </row>
    <row r="504" spans="1:37" s="857" customFormat="1" ht="35.25" customHeight="1" x14ac:dyDescent="0.2">
      <c r="B504" s="857" t="e">
        <f t="shared" si="182"/>
        <v>#N/A</v>
      </c>
      <c r="E504" s="884" t="str">
        <f t="shared" si="172"/>
        <v/>
      </c>
      <c r="F504" s="855"/>
      <c r="G504" s="878" t="s">
        <v>1207</v>
      </c>
      <c r="H504" s="879"/>
      <c r="I504" s="861" t="s">
        <v>3822</v>
      </c>
      <c r="J504" s="871"/>
      <c r="K504" s="861"/>
      <c r="L504" s="856"/>
      <c r="M504" s="862"/>
      <c r="N504" s="856"/>
      <c r="O504" s="863" t="s">
        <v>3122</v>
      </c>
      <c r="P504" s="861">
        <v>2008</v>
      </c>
      <c r="Q504" s="862"/>
      <c r="R504" s="862"/>
      <c r="S504" s="862"/>
      <c r="T504" s="862" t="s">
        <v>12</v>
      </c>
      <c r="U504" s="899">
        <v>400080843</v>
      </c>
      <c r="V504" s="861" t="s">
        <v>43</v>
      </c>
      <c r="W504" s="865"/>
      <c r="X504" s="968"/>
      <c r="Y504" s="884" t="str">
        <f t="shared" si="169"/>
        <v>04.13.02</v>
      </c>
      <c r="Z504" s="884" t="str">
        <f t="shared" si="170"/>
        <v>Jembatan</v>
      </c>
      <c r="AA504" s="884">
        <f t="shared" si="171"/>
        <v>50</v>
      </c>
      <c r="AB504" s="868">
        <f t="shared" si="173"/>
        <v>8001616.8600000003</v>
      </c>
      <c r="AC504" s="885">
        <f t="shared" si="174"/>
        <v>6</v>
      </c>
      <c r="AD504" s="868">
        <f t="shared" si="175"/>
        <v>48009701.160000004</v>
      </c>
      <c r="AE504" s="868">
        <f t="shared" si="176"/>
        <v>8001616.8600000003</v>
      </c>
      <c r="AF504" s="868">
        <f t="shared" si="177"/>
        <v>8001616.8600000003</v>
      </c>
      <c r="AG504" s="868">
        <f t="shared" si="178"/>
        <v>8001616.8600000003</v>
      </c>
      <c r="AH504" s="868">
        <f t="shared" si="179"/>
        <v>8001616.8600000003</v>
      </c>
      <c r="AI504" s="886">
        <f t="shared" si="180"/>
        <v>8001616.8600000003</v>
      </c>
      <c r="AJ504" s="886">
        <f t="shared" si="181"/>
        <v>88017785.460000008</v>
      </c>
      <c r="AK504" s="868">
        <f t="shared" si="166"/>
        <v>312063057.53999996</v>
      </c>
    </row>
    <row r="505" spans="1:37" s="857" customFormat="1" ht="35.25" customHeight="1" x14ac:dyDescent="0.2">
      <c r="B505" s="857" t="e">
        <f t="shared" si="182"/>
        <v>#N/A</v>
      </c>
      <c r="E505" s="884" t="str">
        <f t="shared" si="172"/>
        <v/>
      </c>
      <c r="F505" s="855"/>
      <c r="G505" s="878" t="s">
        <v>1203</v>
      </c>
      <c r="H505" s="879"/>
      <c r="I505" s="861" t="s">
        <v>2494</v>
      </c>
      <c r="J505" s="871"/>
      <c r="K505" s="861"/>
      <c r="L505" s="856"/>
      <c r="M505" s="862"/>
      <c r="N505" s="856"/>
      <c r="O505" s="863" t="s">
        <v>3122</v>
      </c>
      <c r="P505" s="861">
        <v>2008</v>
      </c>
      <c r="Q505" s="862"/>
      <c r="R505" s="862"/>
      <c r="S505" s="862"/>
      <c r="T505" s="862" t="s">
        <v>12</v>
      </c>
      <c r="U505" s="899">
        <v>326364200</v>
      </c>
      <c r="V505" s="861" t="s">
        <v>43</v>
      </c>
      <c r="W505" s="865"/>
      <c r="X505" s="968"/>
      <c r="Y505" s="884" t="str">
        <f t="shared" si="169"/>
        <v>04.13.01</v>
      </c>
      <c r="Z505" s="884" t="str">
        <f t="shared" si="170"/>
        <v>Jalan</v>
      </c>
      <c r="AA505" s="884">
        <f t="shared" si="171"/>
        <v>10</v>
      </c>
      <c r="AB505" s="868">
        <f t="shared" si="173"/>
        <v>32636420</v>
      </c>
      <c r="AC505" s="885">
        <f t="shared" si="174"/>
        <v>6</v>
      </c>
      <c r="AD505" s="868">
        <f t="shared" si="175"/>
        <v>195818520</v>
      </c>
      <c r="AE505" s="868">
        <f t="shared" si="176"/>
        <v>32636420</v>
      </c>
      <c r="AF505" s="868">
        <f t="shared" si="177"/>
        <v>32636420</v>
      </c>
      <c r="AG505" s="868">
        <f t="shared" si="178"/>
        <v>32636420</v>
      </c>
      <c r="AH505" s="868">
        <f t="shared" si="179"/>
        <v>32636420</v>
      </c>
      <c r="AI505" s="886">
        <f t="shared" si="180"/>
        <v>0</v>
      </c>
      <c r="AJ505" s="886">
        <f t="shared" si="181"/>
        <v>326364200</v>
      </c>
      <c r="AK505" s="868">
        <f t="shared" si="166"/>
        <v>0</v>
      </c>
    </row>
    <row r="506" spans="1:37" s="857" customFormat="1" ht="35.25" customHeight="1" x14ac:dyDescent="0.2">
      <c r="B506" s="857" t="e">
        <f t="shared" si="182"/>
        <v>#N/A</v>
      </c>
      <c r="E506" s="884" t="str">
        <f t="shared" si="172"/>
        <v/>
      </c>
      <c r="F506" s="855"/>
      <c r="G506" s="878" t="s">
        <v>1203</v>
      </c>
      <c r="H506" s="879"/>
      <c r="I506" s="861" t="s">
        <v>2494</v>
      </c>
      <c r="J506" s="871"/>
      <c r="K506" s="861"/>
      <c r="L506" s="856"/>
      <c r="M506" s="862"/>
      <c r="N506" s="856"/>
      <c r="O506" s="863" t="s">
        <v>3122</v>
      </c>
      <c r="P506" s="861">
        <v>2009</v>
      </c>
      <c r="Q506" s="862"/>
      <c r="R506" s="862"/>
      <c r="S506" s="862"/>
      <c r="T506" s="862" t="s">
        <v>12</v>
      </c>
      <c r="U506" s="899">
        <v>22133964474</v>
      </c>
      <c r="V506" s="861" t="s">
        <v>43</v>
      </c>
      <c r="W506" s="865"/>
      <c r="X506" s="968"/>
      <c r="Y506" s="884" t="str">
        <f t="shared" si="169"/>
        <v>04.13.01</v>
      </c>
      <c r="Z506" s="884" t="str">
        <f t="shared" si="170"/>
        <v>Jalan</v>
      </c>
      <c r="AA506" s="884">
        <f t="shared" si="171"/>
        <v>10</v>
      </c>
      <c r="AB506" s="868">
        <f t="shared" si="173"/>
        <v>2213396447.4000001</v>
      </c>
      <c r="AC506" s="885">
        <f t="shared" si="174"/>
        <v>5</v>
      </c>
      <c r="AD506" s="868">
        <f t="shared" si="175"/>
        <v>11066982237</v>
      </c>
      <c r="AE506" s="868">
        <f t="shared" si="176"/>
        <v>2213396447.4000001</v>
      </c>
      <c r="AF506" s="868">
        <f t="shared" si="177"/>
        <v>2213396447.4000001</v>
      </c>
      <c r="AG506" s="868">
        <f t="shared" si="178"/>
        <v>2213396447.4000001</v>
      </c>
      <c r="AH506" s="868">
        <f t="shared" si="179"/>
        <v>2213396447.4000001</v>
      </c>
      <c r="AI506" s="886">
        <f t="shared" si="180"/>
        <v>2213396447.4000001</v>
      </c>
      <c r="AJ506" s="886">
        <f t="shared" si="181"/>
        <v>22133964474.000004</v>
      </c>
      <c r="AK506" s="868">
        <f t="shared" si="166"/>
        <v>0</v>
      </c>
    </row>
    <row r="507" spans="1:37" s="857" customFormat="1" ht="35.25" customHeight="1" x14ac:dyDescent="0.2">
      <c r="B507" s="857" t="e">
        <f t="shared" si="182"/>
        <v>#N/A</v>
      </c>
      <c r="E507" s="884" t="str">
        <f t="shared" si="172"/>
        <v/>
      </c>
      <c r="F507" s="855"/>
      <c r="G507" s="878" t="s">
        <v>1213</v>
      </c>
      <c r="H507" s="879"/>
      <c r="I507" s="861" t="s">
        <v>3822</v>
      </c>
      <c r="J507" s="871"/>
      <c r="K507" s="861"/>
      <c r="L507" s="856"/>
      <c r="M507" s="862"/>
      <c r="N507" s="856"/>
      <c r="O507" s="863" t="s">
        <v>3122</v>
      </c>
      <c r="P507" s="861">
        <v>2009</v>
      </c>
      <c r="Q507" s="862"/>
      <c r="R507" s="862"/>
      <c r="S507" s="862"/>
      <c r="T507" s="862" t="s">
        <v>12</v>
      </c>
      <c r="U507" s="899">
        <v>22007615819</v>
      </c>
      <c r="V507" s="861" t="s">
        <v>43</v>
      </c>
      <c r="W507" s="865"/>
      <c r="X507" s="968"/>
      <c r="Y507" s="884" t="str">
        <f t="shared" si="169"/>
        <v>04.13.02</v>
      </c>
      <c r="Z507" s="884" t="str">
        <f t="shared" si="170"/>
        <v>Jembatan</v>
      </c>
      <c r="AA507" s="884">
        <f t="shared" si="171"/>
        <v>50</v>
      </c>
      <c r="AB507" s="868">
        <f t="shared" si="173"/>
        <v>440152316.38</v>
      </c>
      <c r="AC507" s="885">
        <f t="shared" si="174"/>
        <v>5</v>
      </c>
      <c r="AD507" s="868">
        <f t="shared" si="175"/>
        <v>2200761581.9000001</v>
      </c>
      <c r="AE507" s="868">
        <f t="shared" si="176"/>
        <v>440152316.38</v>
      </c>
      <c r="AF507" s="868">
        <f t="shared" si="177"/>
        <v>440152316.38</v>
      </c>
      <c r="AG507" s="868">
        <f t="shared" si="178"/>
        <v>440152316.38</v>
      </c>
      <c r="AH507" s="868">
        <f t="shared" si="179"/>
        <v>440152316.38</v>
      </c>
      <c r="AI507" s="886">
        <f t="shared" si="180"/>
        <v>440152316.38</v>
      </c>
      <c r="AJ507" s="886">
        <f t="shared" si="181"/>
        <v>4401523163.8000002</v>
      </c>
      <c r="AK507" s="868">
        <f t="shared" si="166"/>
        <v>17606092655.200001</v>
      </c>
    </row>
    <row r="508" spans="1:37" s="857" customFormat="1" ht="35.25" customHeight="1" x14ac:dyDescent="0.2">
      <c r="B508" s="857" t="e">
        <f t="shared" si="182"/>
        <v>#N/A</v>
      </c>
      <c r="E508" s="884" t="str">
        <f t="shared" si="172"/>
        <v/>
      </c>
      <c r="F508" s="855"/>
      <c r="G508" s="878" t="s">
        <v>1203</v>
      </c>
      <c r="H508" s="879"/>
      <c r="I508" s="861" t="s">
        <v>2494</v>
      </c>
      <c r="J508" s="871"/>
      <c r="K508" s="861"/>
      <c r="L508" s="856"/>
      <c r="M508" s="862"/>
      <c r="N508" s="856"/>
      <c r="O508" s="863" t="s">
        <v>3122</v>
      </c>
      <c r="P508" s="861">
        <v>2009</v>
      </c>
      <c r="Q508" s="862"/>
      <c r="R508" s="862"/>
      <c r="S508" s="862"/>
      <c r="T508" s="862" t="s">
        <v>12</v>
      </c>
      <c r="U508" s="899">
        <v>530573293</v>
      </c>
      <c r="V508" s="861" t="s">
        <v>43</v>
      </c>
      <c r="W508" s="865"/>
      <c r="X508" s="968"/>
      <c r="Y508" s="884" t="str">
        <f t="shared" si="169"/>
        <v>04.13.01</v>
      </c>
      <c r="Z508" s="884" t="str">
        <f t="shared" si="170"/>
        <v>Jalan</v>
      </c>
      <c r="AA508" s="884">
        <f t="shared" si="171"/>
        <v>10</v>
      </c>
      <c r="AB508" s="868">
        <f t="shared" si="173"/>
        <v>53057329.299999997</v>
      </c>
      <c r="AC508" s="885">
        <f t="shared" si="174"/>
        <v>5</v>
      </c>
      <c r="AD508" s="868">
        <f t="shared" si="175"/>
        <v>265286646.5</v>
      </c>
      <c r="AE508" s="868">
        <f t="shared" si="176"/>
        <v>53057329.299999997</v>
      </c>
      <c r="AF508" s="868">
        <f t="shared" si="177"/>
        <v>53057329.299999997</v>
      </c>
      <c r="AG508" s="868">
        <f t="shared" si="178"/>
        <v>53057329.299999997</v>
      </c>
      <c r="AH508" s="868">
        <f t="shared" si="179"/>
        <v>53057329.299999997</v>
      </c>
      <c r="AI508" s="886">
        <f t="shared" si="180"/>
        <v>53057329.299999997</v>
      </c>
      <c r="AJ508" s="886">
        <f t="shared" si="181"/>
        <v>530573293.00000006</v>
      </c>
      <c r="AK508" s="868">
        <f t="shared" si="166"/>
        <v>0</v>
      </c>
    </row>
    <row r="509" spans="1:37" s="857" customFormat="1" ht="35.25" customHeight="1" x14ac:dyDescent="0.2">
      <c r="A509" s="1184">
        <v>126</v>
      </c>
      <c r="B509" s="857" t="str">
        <f t="shared" si="182"/>
        <v>MUDIK ULO - TANJUNG MEDANG</v>
      </c>
      <c r="E509" s="884" t="str">
        <f t="shared" si="172"/>
        <v/>
      </c>
      <c r="F509" s="855"/>
      <c r="G509" s="878" t="s">
        <v>1214</v>
      </c>
      <c r="H509" s="879"/>
      <c r="I509" s="861" t="s">
        <v>2494</v>
      </c>
      <c r="J509" s="871"/>
      <c r="K509" s="861"/>
      <c r="L509" s="856"/>
      <c r="M509" s="862"/>
      <c r="N509" s="856"/>
      <c r="O509" s="863" t="s">
        <v>3126</v>
      </c>
      <c r="P509" s="861">
        <v>2009</v>
      </c>
      <c r="Q509" s="862"/>
      <c r="R509" s="862"/>
      <c r="S509" s="862"/>
      <c r="T509" s="862" t="s">
        <v>12</v>
      </c>
      <c r="U509" s="899">
        <v>3574205433</v>
      </c>
      <c r="V509" s="861" t="s">
        <v>43</v>
      </c>
      <c r="W509" s="865"/>
      <c r="X509" s="968"/>
      <c r="Y509" s="884" t="str">
        <f t="shared" si="169"/>
        <v>04.13.01</v>
      </c>
      <c r="Z509" s="884" t="str">
        <f t="shared" si="170"/>
        <v>Jalan</v>
      </c>
      <c r="AA509" s="884">
        <f t="shared" si="171"/>
        <v>10</v>
      </c>
      <c r="AB509" s="868">
        <f t="shared" si="173"/>
        <v>357420543.30000001</v>
      </c>
      <c r="AC509" s="885">
        <f t="shared" si="174"/>
        <v>5</v>
      </c>
      <c r="AD509" s="868">
        <f t="shared" si="175"/>
        <v>1787102716.5</v>
      </c>
      <c r="AE509" s="868">
        <f t="shared" si="176"/>
        <v>357420543.30000001</v>
      </c>
      <c r="AF509" s="868">
        <f t="shared" si="177"/>
        <v>357420543.30000001</v>
      </c>
      <c r="AG509" s="868">
        <f t="shared" si="178"/>
        <v>357420543.30000001</v>
      </c>
      <c r="AH509" s="868">
        <f t="shared" si="179"/>
        <v>357420543.30000001</v>
      </c>
      <c r="AI509" s="886">
        <f t="shared" si="180"/>
        <v>357420543.30000001</v>
      </c>
      <c r="AJ509" s="886">
        <f t="shared" si="181"/>
        <v>3574205433.0000005</v>
      </c>
      <c r="AK509" s="868">
        <f t="shared" ref="AK509:AK572" si="183">U509-AJ509</f>
        <v>0</v>
      </c>
    </row>
    <row r="510" spans="1:37" s="857" customFormat="1" ht="35.25" customHeight="1" x14ac:dyDescent="0.2">
      <c r="B510" s="857" t="e">
        <f t="shared" si="182"/>
        <v>#N/A</v>
      </c>
      <c r="E510" s="884" t="str">
        <f t="shared" si="172"/>
        <v/>
      </c>
      <c r="F510" s="855"/>
      <c r="G510" s="878" t="s">
        <v>1215</v>
      </c>
      <c r="H510" s="879"/>
      <c r="I510" s="861" t="s">
        <v>3822</v>
      </c>
      <c r="J510" s="871"/>
      <c r="K510" s="861"/>
      <c r="L510" s="856"/>
      <c r="M510" s="862"/>
      <c r="N510" s="856"/>
      <c r="O510" s="863" t="s">
        <v>3122</v>
      </c>
      <c r="P510" s="861">
        <v>2009</v>
      </c>
      <c r="Q510" s="862"/>
      <c r="R510" s="862"/>
      <c r="S510" s="862"/>
      <c r="T510" s="862" t="s">
        <v>12</v>
      </c>
      <c r="U510" s="899">
        <v>1200224056</v>
      </c>
      <c r="V510" s="861" t="s">
        <v>43</v>
      </c>
      <c r="W510" s="865"/>
      <c r="X510" s="968"/>
      <c r="Y510" s="884" t="str">
        <f t="shared" si="169"/>
        <v>04.13.02</v>
      </c>
      <c r="Z510" s="884" t="str">
        <f t="shared" si="170"/>
        <v>Jembatan</v>
      </c>
      <c r="AA510" s="884">
        <f t="shared" si="171"/>
        <v>50</v>
      </c>
      <c r="AB510" s="868">
        <f t="shared" si="173"/>
        <v>24004481.120000001</v>
      </c>
      <c r="AC510" s="885">
        <f t="shared" si="174"/>
        <v>5</v>
      </c>
      <c r="AD510" s="868">
        <f t="shared" si="175"/>
        <v>120022405.60000001</v>
      </c>
      <c r="AE510" s="868">
        <f t="shared" si="176"/>
        <v>24004481.120000001</v>
      </c>
      <c r="AF510" s="868">
        <f t="shared" si="177"/>
        <v>24004481.120000001</v>
      </c>
      <c r="AG510" s="868">
        <f t="shared" si="178"/>
        <v>24004481.120000001</v>
      </c>
      <c r="AH510" s="868">
        <f t="shared" si="179"/>
        <v>24004481.120000001</v>
      </c>
      <c r="AI510" s="886">
        <f t="shared" si="180"/>
        <v>24004481.120000001</v>
      </c>
      <c r="AJ510" s="886">
        <f t="shared" si="181"/>
        <v>240044811.20000002</v>
      </c>
      <c r="AK510" s="868">
        <f t="shared" si="183"/>
        <v>960179244.79999995</v>
      </c>
    </row>
    <row r="511" spans="1:37" s="857" customFormat="1" ht="35.25" customHeight="1" x14ac:dyDescent="0.2">
      <c r="B511" s="857" t="e">
        <f t="shared" si="182"/>
        <v>#N/A</v>
      </c>
      <c r="E511" s="884" t="str">
        <f t="shared" si="172"/>
        <v/>
      </c>
      <c r="F511" s="855"/>
      <c r="G511" s="878" t="s">
        <v>1203</v>
      </c>
      <c r="H511" s="879"/>
      <c r="I511" s="861" t="s">
        <v>2494</v>
      </c>
      <c r="J511" s="871"/>
      <c r="K511" s="861"/>
      <c r="L511" s="856"/>
      <c r="M511" s="862"/>
      <c r="N511" s="856"/>
      <c r="O511" s="863" t="s">
        <v>3122</v>
      </c>
      <c r="P511" s="861">
        <v>2010</v>
      </c>
      <c r="Q511" s="862"/>
      <c r="R511" s="862"/>
      <c r="S511" s="862"/>
      <c r="T511" s="862" t="s">
        <v>12</v>
      </c>
      <c r="U511" s="899">
        <v>20917123303</v>
      </c>
      <c r="V511" s="861" t="s">
        <v>43</v>
      </c>
      <c r="W511" s="865"/>
      <c r="X511" s="968"/>
      <c r="Y511" s="884" t="str">
        <f t="shared" si="169"/>
        <v>04.13.01</v>
      </c>
      <c r="Z511" s="884" t="str">
        <f t="shared" si="170"/>
        <v>Jalan</v>
      </c>
      <c r="AA511" s="884">
        <f t="shared" si="171"/>
        <v>10</v>
      </c>
      <c r="AB511" s="868">
        <f t="shared" si="173"/>
        <v>2091712330.3</v>
      </c>
      <c r="AC511" s="885">
        <f t="shared" si="174"/>
        <v>4</v>
      </c>
      <c r="AD511" s="868">
        <f t="shared" si="175"/>
        <v>8366849321.1999998</v>
      </c>
      <c r="AE511" s="868">
        <f t="shared" si="176"/>
        <v>2091712330.3</v>
      </c>
      <c r="AF511" s="868">
        <f t="shared" si="177"/>
        <v>2091712330.3</v>
      </c>
      <c r="AG511" s="868">
        <f t="shared" si="178"/>
        <v>2091712330.3</v>
      </c>
      <c r="AH511" s="868">
        <f t="shared" si="179"/>
        <v>2091712330.3</v>
      </c>
      <c r="AI511" s="886">
        <f t="shared" si="180"/>
        <v>2091712330.3</v>
      </c>
      <c r="AJ511" s="886">
        <f t="shared" si="181"/>
        <v>18825410972.699997</v>
      </c>
      <c r="AK511" s="868">
        <f t="shared" si="183"/>
        <v>2091712330.3000031</v>
      </c>
    </row>
    <row r="512" spans="1:37" s="857" customFormat="1" ht="35.25" customHeight="1" x14ac:dyDescent="0.2">
      <c r="B512" s="857" t="e">
        <f t="shared" si="182"/>
        <v>#N/A</v>
      </c>
      <c r="E512" s="884" t="str">
        <f t="shared" si="172"/>
        <v/>
      </c>
      <c r="F512" s="855"/>
      <c r="G512" s="878" t="s">
        <v>1203</v>
      </c>
      <c r="H512" s="879"/>
      <c r="I512" s="861" t="s">
        <v>2494</v>
      </c>
      <c r="J512" s="871"/>
      <c r="K512" s="861"/>
      <c r="L512" s="856"/>
      <c r="M512" s="862"/>
      <c r="N512" s="856"/>
      <c r="O512" s="863" t="s">
        <v>3122</v>
      </c>
      <c r="P512" s="861">
        <v>2010</v>
      </c>
      <c r="Q512" s="862"/>
      <c r="R512" s="862"/>
      <c r="S512" s="862"/>
      <c r="T512" s="862" t="s">
        <v>12</v>
      </c>
      <c r="U512" s="899">
        <v>1977632629</v>
      </c>
      <c r="V512" s="861" t="s">
        <v>43</v>
      </c>
      <c r="W512" s="865"/>
      <c r="X512" s="968"/>
      <c r="Y512" s="884" t="str">
        <f t="shared" si="169"/>
        <v>04.13.01</v>
      </c>
      <c r="Z512" s="884" t="str">
        <f t="shared" si="170"/>
        <v>Jalan</v>
      </c>
      <c r="AA512" s="884">
        <f t="shared" si="171"/>
        <v>10</v>
      </c>
      <c r="AB512" s="868">
        <f t="shared" si="173"/>
        <v>197763262.90000001</v>
      </c>
      <c r="AC512" s="885">
        <f t="shared" si="174"/>
        <v>4</v>
      </c>
      <c r="AD512" s="868">
        <f t="shared" si="175"/>
        <v>791053051.60000002</v>
      </c>
      <c r="AE512" s="868">
        <f t="shared" si="176"/>
        <v>197763262.90000001</v>
      </c>
      <c r="AF512" s="868">
        <f t="shared" si="177"/>
        <v>197763262.90000001</v>
      </c>
      <c r="AG512" s="868">
        <f t="shared" si="178"/>
        <v>197763262.90000001</v>
      </c>
      <c r="AH512" s="868">
        <f t="shared" si="179"/>
        <v>197763262.90000001</v>
      </c>
      <c r="AI512" s="886">
        <f t="shared" si="180"/>
        <v>197763262.90000001</v>
      </c>
      <c r="AJ512" s="886">
        <f t="shared" si="181"/>
        <v>1779869366.1000004</v>
      </c>
      <c r="AK512" s="868">
        <f t="shared" si="183"/>
        <v>197763262.89999962</v>
      </c>
    </row>
    <row r="513" spans="1:37" s="857" customFormat="1" ht="35.25" customHeight="1" x14ac:dyDescent="0.2">
      <c r="B513" s="857" t="e">
        <f t="shared" si="182"/>
        <v>#N/A</v>
      </c>
      <c r="E513" s="884" t="str">
        <f t="shared" si="172"/>
        <v/>
      </c>
      <c r="F513" s="855"/>
      <c r="G513" s="878" t="s">
        <v>1213</v>
      </c>
      <c r="H513" s="879"/>
      <c r="I513" s="861" t="s">
        <v>3822</v>
      </c>
      <c r="J513" s="871"/>
      <c r="K513" s="861"/>
      <c r="L513" s="856"/>
      <c r="M513" s="862"/>
      <c r="N513" s="856"/>
      <c r="O513" s="863" t="s">
        <v>3122</v>
      </c>
      <c r="P513" s="861">
        <v>2010</v>
      </c>
      <c r="Q513" s="862"/>
      <c r="R513" s="862"/>
      <c r="S513" s="862"/>
      <c r="T513" s="862" t="s">
        <v>12</v>
      </c>
      <c r="U513" s="899">
        <v>1192070199</v>
      </c>
      <c r="V513" s="861" t="s">
        <v>43</v>
      </c>
      <c r="W513" s="865"/>
      <c r="X513" s="968"/>
      <c r="Y513" s="884" t="str">
        <f t="shared" si="169"/>
        <v>04.13.02</v>
      </c>
      <c r="Z513" s="884" t="str">
        <f t="shared" si="170"/>
        <v>Jembatan</v>
      </c>
      <c r="AA513" s="884">
        <f t="shared" si="171"/>
        <v>50</v>
      </c>
      <c r="AB513" s="868">
        <f t="shared" si="173"/>
        <v>23841403.98</v>
      </c>
      <c r="AC513" s="885">
        <f t="shared" si="174"/>
        <v>4</v>
      </c>
      <c r="AD513" s="868">
        <f t="shared" si="175"/>
        <v>95365615.920000002</v>
      </c>
      <c r="AE513" s="868">
        <f t="shared" si="176"/>
        <v>23841403.98</v>
      </c>
      <c r="AF513" s="868">
        <f t="shared" si="177"/>
        <v>23841403.98</v>
      </c>
      <c r="AG513" s="868">
        <f t="shared" si="178"/>
        <v>23841403.98</v>
      </c>
      <c r="AH513" s="868">
        <f t="shared" si="179"/>
        <v>23841403.98</v>
      </c>
      <c r="AI513" s="886">
        <f t="shared" si="180"/>
        <v>23841403.98</v>
      </c>
      <c r="AJ513" s="886">
        <f t="shared" si="181"/>
        <v>214572635.81999996</v>
      </c>
      <c r="AK513" s="868">
        <f t="shared" si="183"/>
        <v>977497563.18000007</v>
      </c>
    </row>
    <row r="514" spans="1:37" s="857" customFormat="1" ht="35.25" customHeight="1" x14ac:dyDescent="0.2">
      <c r="A514" s="857" t="s">
        <v>4890</v>
      </c>
      <c r="B514" s="857" t="e">
        <f t="shared" si="182"/>
        <v>#N/A</v>
      </c>
      <c r="E514" s="884" t="str">
        <f t="shared" si="172"/>
        <v/>
      </c>
      <c r="F514" s="855"/>
      <c r="G514" s="878" t="s">
        <v>1217</v>
      </c>
      <c r="H514" s="879"/>
      <c r="I514" s="861" t="s">
        <v>2494</v>
      </c>
      <c r="J514" s="871"/>
      <c r="K514" s="861" t="s">
        <v>519</v>
      </c>
      <c r="L514" s="856"/>
      <c r="M514" s="862"/>
      <c r="N514" s="856">
        <v>1000</v>
      </c>
      <c r="O514" s="863" t="s">
        <v>3127</v>
      </c>
      <c r="P514" s="861">
        <v>2011</v>
      </c>
      <c r="Q514" s="862"/>
      <c r="R514" s="862"/>
      <c r="S514" s="862"/>
      <c r="T514" s="862" t="s">
        <v>12</v>
      </c>
      <c r="U514" s="899">
        <v>1759387701.9008303</v>
      </c>
      <c r="V514" s="861" t="s">
        <v>43</v>
      </c>
      <c r="W514" s="865"/>
      <c r="X514" s="968"/>
      <c r="Y514" s="884" t="str">
        <f t="shared" si="169"/>
        <v>04.13.01</v>
      </c>
      <c r="Z514" s="884" t="str">
        <f t="shared" si="170"/>
        <v>Jalan</v>
      </c>
      <c r="AA514" s="884">
        <f t="shared" si="171"/>
        <v>10</v>
      </c>
      <c r="AB514" s="868">
        <f t="shared" si="173"/>
        <v>175938770.19008303</v>
      </c>
      <c r="AC514" s="885">
        <f t="shared" si="174"/>
        <v>3</v>
      </c>
      <c r="AD514" s="868">
        <f t="shared" si="175"/>
        <v>527816310.57024908</v>
      </c>
      <c r="AE514" s="868">
        <f t="shared" si="176"/>
        <v>175938770.19008303</v>
      </c>
      <c r="AF514" s="868">
        <f t="shared" si="177"/>
        <v>175938770.19008303</v>
      </c>
      <c r="AG514" s="868">
        <f t="shared" si="178"/>
        <v>175938770.19008303</v>
      </c>
      <c r="AH514" s="868">
        <f t="shared" si="179"/>
        <v>175938770.19008303</v>
      </c>
      <c r="AI514" s="886">
        <f t="shared" si="180"/>
        <v>175938770.19008303</v>
      </c>
      <c r="AJ514" s="886">
        <f t="shared" si="181"/>
        <v>1407510161.5206642</v>
      </c>
      <c r="AK514" s="868">
        <f t="shared" si="183"/>
        <v>351877540.38016605</v>
      </c>
    </row>
    <row r="515" spans="1:37" s="857" customFormat="1" ht="35.25" customHeight="1" x14ac:dyDescent="0.2">
      <c r="B515" s="857" t="e">
        <f t="shared" si="182"/>
        <v>#N/A</v>
      </c>
      <c r="E515" s="884" t="str">
        <f t="shared" si="172"/>
        <v/>
      </c>
      <c r="F515" s="855"/>
      <c r="G515" s="878" t="s">
        <v>1223</v>
      </c>
      <c r="H515" s="879"/>
      <c r="I515" s="861" t="s">
        <v>3824</v>
      </c>
      <c r="J515" s="871"/>
      <c r="K515" s="861" t="s">
        <v>835</v>
      </c>
      <c r="L515" s="856"/>
      <c r="M515" s="862"/>
      <c r="N515" s="856">
        <v>50</v>
      </c>
      <c r="O515" s="863" t="s">
        <v>3132</v>
      </c>
      <c r="P515" s="861">
        <v>2011</v>
      </c>
      <c r="Q515" s="862"/>
      <c r="R515" s="862"/>
      <c r="S515" s="862"/>
      <c r="T515" s="862" t="s">
        <v>12</v>
      </c>
      <c r="U515" s="899">
        <v>720415026.35516441</v>
      </c>
      <c r="V515" s="861" t="s">
        <v>43</v>
      </c>
      <c r="W515" s="865"/>
      <c r="X515" s="968"/>
      <c r="Y515" s="884" t="str">
        <f t="shared" si="169"/>
        <v>04.13.02</v>
      </c>
      <c r="Z515" s="884" t="str">
        <f t="shared" si="170"/>
        <v>Jembatan</v>
      </c>
      <c r="AA515" s="884">
        <f t="shared" si="171"/>
        <v>50</v>
      </c>
      <c r="AB515" s="868">
        <f t="shared" si="173"/>
        <v>14408300.527103288</v>
      </c>
      <c r="AC515" s="885">
        <f t="shared" si="174"/>
        <v>3</v>
      </c>
      <c r="AD515" s="868">
        <f t="shared" si="175"/>
        <v>43224901.581309862</v>
      </c>
      <c r="AE515" s="868">
        <f t="shared" si="176"/>
        <v>14408300.527103288</v>
      </c>
      <c r="AF515" s="868">
        <f t="shared" si="177"/>
        <v>14408300.527103288</v>
      </c>
      <c r="AG515" s="868">
        <f t="shared" si="178"/>
        <v>14408300.527103288</v>
      </c>
      <c r="AH515" s="868">
        <f t="shared" si="179"/>
        <v>14408300.527103288</v>
      </c>
      <c r="AI515" s="886">
        <f t="shared" si="180"/>
        <v>14408300.527103288</v>
      </c>
      <c r="AJ515" s="886">
        <f t="shared" si="181"/>
        <v>115266404.2168263</v>
      </c>
      <c r="AK515" s="868">
        <f t="shared" si="183"/>
        <v>605148622.13833809</v>
      </c>
    </row>
    <row r="516" spans="1:37" s="857" customFormat="1" ht="35.25" customHeight="1" x14ac:dyDescent="0.2">
      <c r="B516" s="857" t="e">
        <f t="shared" si="182"/>
        <v>#N/A</v>
      </c>
      <c r="E516" s="884" t="str">
        <f t="shared" si="172"/>
        <v/>
      </c>
      <c r="F516" s="855"/>
      <c r="G516" s="878" t="s">
        <v>1225</v>
      </c>
      <c r="H516" s="879"/>
      <c r="I516" s="861" t="s">
        <v>3822</v>
      </c>
      <c r="J516" s="871"/>
      <c r="K516" s="861"/>
      <c r="L516" s="856"/>
      <c r="M516" s="862"/>
      <c r="N516" s="856"/>
      <c r="O516" s="863" t="s">
        <v>420</v>
      </c>
      <c r="P516" s="861">
        <v>2011</v>
      </c>
      <c r="Q516" s="862"/>
      <c r="R516" s="862"/>
      <c r="S516" s="862"/>
      <c r="T516" s="862" t="s">
        <v>12</v>
      </c>
      <c r="U516" s="899">
        <v>666142171.96289265</v>
      </c>
      <c r="V516" s="861" t="s">
        <v>43</v>
      </c>
      <c r="W516" s="865"/>
      <c r="X516" s="968"/>
      <c r="Y516" s="884" t="str">
        <f t="shared" si="169"/>
        <v>04.13.02</v>
      </c>
      <c r="Z516" s="884" t="str">
        <f t="shared" si="170"/>
        <v>Jembatan</v>
      </c>
      <c r="AA516" s="884">
        <f t="shared" si="171"/>
        <v>50</v>
      </c>
      <c r="AB516" s="868">
        <f t="shared" si="173"/>
        <v>13322843.439257853</v>
      </c>
      <c r="AC516" s="885">
        <f t="shared" si="174"/>
        <v>3</v>
      </c>
      <c r="AD516" s="868">
        <f t="shared" si="175"/>
        <v>39968530.317773558</v>
      </c>
      <c r="AE516" s="868">
        <f t="shared" si="176"/>
        <v>13322843.439257853</v>
      </c>
      <c r="AF516" s="868">
        <f t="shared" si="177"/>
        <v>13322843.439257853</v>
      </c>
      <c r="AG516" s="868">
        <f t="shared" si="178"/>
        <v>13322843.439257853</v>
      </c>
      <c r="AH516" s="868">
        <f t="shared" si="179"/>
        <v>13322843.439257853</v>
      </c>
      <c r="AI516" s="886">
        <f t="shared" si="180"/>
        <v>13322843.439257853</v>
      </c>
      <c r="AJ516" s="886">
        <f t="shared" si="181"/>
        <v>106582747.51406282</v>
      </c>
      <c r="AK516" s="868">
        <f t="shared" si="183"/>
        <v>559559424.44882989</v>
      </c>
    </row>
    <row r="517" spans="1:37" s="857" customFormat="1" ht="35.25" customHeight="1" x14ac:dyDescent="0.2">
      <c r="A517" s="857" t="s">
        <v>4890</v>
      </c>
      <c r="B517" s="857" t="e">
        <f t="shared" si="182"/>
        <v>#N/A</v>
      </c>
      <c r="E517" s="884" t="str">
        <f t="shared" si="172"/>
        <v/>
      </c>
      <c r="F517" s="855"/>
      <c r="G517" s="878" t="s">
        <v>1228</v>
      </c>
      <c r="H517" s="879"/>
      <c r="I517" s="861" t="s">
        <v>2494</v>
      </c>
      <c r="J517" s="871"/>
      <c r="K517" s="861" t="s">
        <v>519</v>
      </c>
      <c r="L517" s="856"/>
      <c r="M517" s="862"/>
      <c r="N517" s="856"/>
      <c r="O517" s="863" t="s">
        <v>3136</v>
      </c>
      <c r="P517" s="861">
        <v>2011</v>
      </c>
      <c r="Q517" s="862"/>
      <c r="R517" s="862"/>
      <c r="S517" s="862"/>
      <c r="T517" s="862" t="s">
        <v>12</v>
      </c>
      <c r="U517" s="899">
        <v>16031900</v>
      </c>
      <c r="V517" s="861" t="s">
        <v>43</v>
      </c>
      <c r="W517" s="865"/>
      <c r="X517" s="968"/>
      <c r="Y517" s="884" t="str">
        <f t="shared" si="169"/>
        <v>04.13.01</v>
      </c>
      <c r="Z517" s="884" t="str">
        <f t="shared" si="170"/>
        <v>Jalan</v>
      </c>
      <c r="AA517" s="884">
        <f t="shared" si="171"/>
        <v>10</v>
      </c>
      <c r="AB517" s="868">
        <f t="shared" si="173"/>
        <v>1603190</v>
      </c>
      <c r="AC517" s="885">
        <f t="shared" si="174"/>
        <v>3</v>
      </c>
      <c r="AD517" s="868">
        <f t="shared" si="175"/>
        <v>4809570</v>
      </c>
      <c r="AE517" s="868">
        <f t="shared" si="176"/>
        <v>1603190</v>
      </c>
      <c r="AF517" s="868">
        <f t="shared" si="177"/>
        <v>1603190</v>
      </c>
      <c r="AG517" s="868">
        <f t="shared" si="178"/>
        <v>1603190</v>
      </c>
      <c r="AH517" s="868">
        <f t="shared" si="179"/>
        <v>1603190</v>
      </c>
      <c r="AI517" s="886">
        <f t="shared" si="180"/>
        <v>1603190</v>
      </c>
      <c r="AJ517" s="886">
        <f t="shared" si="181"/>
        <v>12825520</v>
      </c>
      <c r="AK517" s="868">
        <f t="shared" si="183"/>
        <v>3206380</v>
      </c>
    </row>
    <row r="518" spans="1:37" s="857" customFormat="1" ht="35.25" customHeight="1" x14ac:dyDescent="0.2">
      <c r="A518" s="857" t="s">
        <v>4890</v>
      </c>
      <c r="B518" s="857" t="e">
        <f t="shared" si="182"/>
        <v>#N/A</v>
      </c>
      <c r="E518" s="884" t="str">
        <f t="shared" si="172"/>
        <v/>
      </c>
      <c r="F518" s="855"/>
      <c r="G518" s="878" t="s">
        <v>1229</v>
      </c>
      <c r="H518" s="879"/>
      <c r="I518" s="861" t="s">
        <v>2494</v>
      </c>
      <c r="J518" s="871"/>
      <c r="K518" s="861" t="s">
        <v>519</v>
      </c>
      <c r="L518" s="856"/>
      <c r="M518" s="862"/>
      <c r="N518" s="856"/>
      <c r="O518" s="863" t="s">
        <v>3137</v>
      </c>
      <c r="P518" s="861">
        <v>2011</v>
      </c>
      <c r="Q518" s="862"/>
      <c r="R518" s="862"/>
      <c r="S518" s="862"/>
      <c r="T518" s="862" t="s">
        <v>12</v>
      </c>
      <c r="U518" s="899">
        <v>56100500</v>
      </c>
      <c r="V518" s="861" t="s">
        <v>43</v>
      </c>
      <c r="W518" s="865"/>
      <c r="X518" s="968"/>
      <c r="Y518" s="884" t="str">
        <f t="shared" si="169"/>
        <v>04.13.01</v>
      </c>
      <c r="Z518" s="884" t="str">
        <f t="shared" si="170"/>
        <v>Jalan</v>
      </c>
      <c r="AA518" s="884">
        <f t="shared" si="171"/>
        <v>10</v>
      </c>
      <c r="AB518" s="868">
        <f t="shared" si="173"/>
        <v>5610050</v>
      </c>
      <c r="AC518" s="885">
        <f t="shared" si="174"/>
        <v>3</v>
      </c>
      <c r="AD518" s="868">
        <f t="shared" si="175"/>
        <v>16830150</v>
      </c>
      <c r="AE518" s="868">
        <f t="shared" si="176"/>
        <v>5610050</v>
      </c>
      <c r="AF518" s="868">
        <f t="shared" si="177"/>
        <v>5610050</v>
      </c>
      <c r="AG518" s="868">
        <f t="shared" si="178"/>
        <v>5610050</v>
      </c>
      <c r="AH518" s="868">
        <f t="shared" si="179"/>
        <v>5610050</v>
      </c>
      <c r="AI518" s="886">
        <f t="shared" si="180"/>
        <v>5610050</v>
      </c>
      <c r="AJ518" s="886">
        <f t="shared" si="181"/>
        <v>44880400</v>
      </c>
      <c r="AK518" s="868">
        <f t="shared" si="183"/>
        <v>11220100</v>
      </c>
    </row>
    <row r="519" spans="1:37" s="857" customFormat="1" ht="35.25" customHeight="1" x14ac:dyDescent="0.2">
      <c r="B519" s="857" t="e">
        <f t="shared" si="182"/>
        <v>#N/A</v>
      </c>
      <c r="E519" s="884" t="str">
        <f t="shared" si="172"/>
        <v/>
      </c>
      <c r="F519" s="855"/>
      <c r="G519" s="878" t="s">
        <v>1235</v>
      </c>
      <c r="H519" s="879"/>
      <c r="I519" s="861" t="s">
        <v>2494</v>
      </c>
      <c r="J519" s="871"/>
      <c r="K519" s="861" t="s">
        <v>519</v>
      </c>
      <c r="L519" s="856"/>
      <c r="M519" s="862"/>
      <c r="N519" s="856"/>
      <c r="O519" s="863" t="s">
        <v>3112</v>
      </c>
      <c r="P519" s="861">
        <v>2011</v>
      </c>
      <c r="Q519" s="862"/>
      <c r="R519" s="862"/>
      <c r="S519" s="862"/>
      <c r="T519" s="862" t="s">
        <v>12</v>
      </c>
      <c r="U519" s="899">
        <v>6948665692.3699999</v>
      </c>
      <c r="V519" s="861" t="s">
        <v>43</v>
      </c>
      <c r="W519" s="865">
        <v>1</v>
      </c>
      <c r="X519" s="968"/>
      <c r="Y519" s="884" t="str">
        <f t="shared" si="169"/>
        <v>04.13.01</v>
      </c>
      <c r="Z519" s="884" t="str">
        <f t="shared" si="170"/>
        <v>Jalan</v>
      </c>
      <c r="AA519" s="884">
        <f t="shared" si="171"/>
        <v>10</v>
      </c>
      <c r="AB519" s="868">
        <f t="shared" si="173"/>
        <v>694866569.23699999</v>
      </c>
      <c r="AC519" s="885">
        <f t="shared" si="174"/>
        <v>3</v>
      </c>
      <c r="AD519" s="868">
        <f t="shared" si="175"/>
        <v>2084599707.711</v>
      </c>
      <c r="AE519" s="868">
        <f t="shared" si="176"/>
        <v>694866569.23699999</v>
      </c>
      <c r="AF519" s="868">
        <f t="shared" si="177"/>
        <v>694866569.23699999</v>
      </c>
      <c r="AG519" s="868">
        <f t="shared" si="178"/>
        <v>694866569.23699999</v>
      </c>
      <c r="AH519" s="868">
        <f t="shared" si="179"/>
        <v>694866569.23699999</v>
      </c>
      <c r="AI519" s="886">
        <f t="shared" si="180"/>
        <v>694866569.23699999</v>
      </c>
      <c r="AJ519" s="886">
        <f t="shared" si="181"/>
        <v>5558932553.8959999</v>
      </c>
      <c r="AK519" s="868">
        <f t="shared" si="183"/>
        <v>1389733138.474</v>
      </c>
    </row>
    <row r="520" spans="1:37" s="857" customFormat="1" ht="35.25" customHeight="1" x14ac:dyDescent="0.2">
      <c r="B520" s="857" t="e">
        <f t="shared" si="182"/>
        <v>#N/A</v>
      </c>
      <c r="E520" s="884" t="str">
        <f t="shared" si="172"/>
        <v/>
      </c>
      <c r="F520" s="855"/>
      <c r="G520" s="878" t="s">
        <v>1237</v>
      </c>
      <c r="H520" s="879"/>
      <c r="I520" s="861" t="s">
        <v>3824</v>
      </c>
      <c r="J520" s="871"/>
      <c r="K520" s="861" t="s">
        <v>835</v>
      </c>
      <c r="L520" s="856"/>
      <c r="M520" s="862"/>
      <c r="N520" s="856"/>
      <c r="O520" s="863" t="s">
        <v>3142</v>
      </c>
      <c r="P520" s="861">
        <v>2012</v>
      </c>
      <c r="Q520" s="862"/>
      <c r="R520" s="862"/>
      <c r="S520" s="862"/>
      <c r="T520" s="862" t="s">
        <v>12</v>
      </c>
      <c r="U520" s="899">
        <v>8087400</v>
      </c>
      <c r="V520" s="861" t="s">
        <v>43</v>
      </c>
      <c r="W520" s="865"/>
      <c r="X520" s="968"/>
      <c r="Y520" s="884" t="str">
        <f t="shared" ref="Y520:Y583" si="184">LEFT(I520,8)</f>
        <v>04.13.02</v>
      </c>
      <c r="Z520" s="884" t="str">
        <f t="shared" ref="Z520:Z583" si="185">VLOOKUP(Y520,UE,3,FALSE)</f>
        <v>Jembatan</v>
      </c>
      <c r="AA520" s="884">
        <f t="shared" ref="AA520:AA583" si="186">VLOOKUP(Y520,UE,4,FALSE)</f>
        <v>50</v>
      </c>
      <c r="AB520" s="868">
        <f t="shared" si="173"/>
        <v>161748</v>
      </c>
      <c r="AC520" s="885">
        <f t="shared" si="174"/>
        <v>2</v>
      </c>
      <c r="AD520" s="868">
        <f t="shared" si="175"/>
        <v>323496</v>
      </c>
      <c r="AE520" s="868">
        <f t="shared" si="176"/>
        <v>161748</v>
      </c>
      <c r="AF520" s="868">
        <f t="shared" si="177"/>
        <v>161748</v>
      </c>
      <c r="AG520" s="868">
        <f t="shared" si="178"/>
        <v>161748</v>
      </c>
      <c r="AH520" s="868">
        <f t="shared" si="179"/>
        <v>161748</v>
      </c>
      <c r="AI520" s="886">
        <f t="shared" si="180"/>
        <v>161748</v>
      </c>
      <c r="AJ520" s="886">
        <f t="shared" si="181"/>
        <v>1132236</v>
      </c>
      <c r="AK520" s="868">
        <f t="shared" si="183"/>
        <v>6955164</v>
      </c>
    </row>
    <row r="521" spans="1:37" s="857" customFormat="1" ht="35.25" customHeight="1" x14ac:dyDescent="0.2">
      <c r="B521" s="857" t="e">
        <f t="shared" si="182"/>
        <v>#N/A</v>
      </c>
      <c r="E521" s="884" t="str">
        <f t="shared" si="172"/>
        <v/>
      </c>
      <c r="F521" s="855"/>
      <c r="G521" s="878" t="s">
        <v>1238</v>
      </c>
      <c r="H521" s="879"/>
      <c r="I521" s="861" t="s">
        <v>3824</v>
      </c>
      <c r="J521" s="871"/>
      <c r="K521" s="861" t="s">
        <v>835</v>
      </c>
      <c r="L521" s="856"/>
      <c r="M521" s="862"/>
      <c r="N521" s="856"/>
      <c r="O521" s="863" t="s">
        <v>2565</v>
      </c>
      <c r="P521" s="861">
        <v>2012</v>
      </c>
      <c r="Q521" s="862"/>
      <c r="R521" s="862"/>
      <c r="S521" s="862"/>
      <c r="T521" s="862" t="s">
        <v>12</v>
      </c>
      <c r="U521" s="899">
        <v>1131370695.543797</v>
      </c>
      <c r="V521" s="861" t="s">
        <v>43</v>
      </c>
      <c r="W521" s="865"/>
      <c r="X521" s="968"/>
      <c r="Y521" s="884" t="str">
        <f t="shared" si="184"/>
        <v>04.13.02</v>
      </c>
      <c r="Z521" s="884" t="str">
        <f t="shared" si="185"/>
        <v>Jembatan</v>
      </c>
      <c r="AA521" s="884">
        <f t="shared" si="186"/>
        <v>50</v>
      </c>
      <c r="AB521" s="868">
        <f t="shared" si="173"/>
        <v>22627413.910875939</v>
      </c>
      <c r="AC521" s="885">
        <f t="shared" si="174"/>
        <v>2</v>
      </c>
      <c r="AD521" s="868">
        <f t="shared" si="175"/>
        <v>45254827.821751878</v>
      </c>
      <c r="AE521" s="868">
        <f t="shared" si="176"/>
        <v>22627413.910875939</v>
      </c>
      <c r="AF521" s="868">
        <f t="shared" si="177"/>
        <v>22627413.910875939</v>
      </c>
      <c r="AG521" s="868">
        <f t="shared" si="178"/>
        <v>22627413.910875939</v>
      </c>
      <c r="AH521" s="868">
        <f t="shared" si="179"/>
        <v>22627413.910875939</v>
      </c>
      <c r="AI521" s="886">
        <f t="shared" si="180"/>
        <v>22627413.910875939</v>
      </c>
      <c r="AJ521" s="886">
        <f t="shared" si="181"/>
        <v>158391897.37613159</v>
      </c>
      <c r="AK521" s="868">
        <f t="shared" si="183"/>
        <v>972978798.16766548</v>
      </c>
    </row>
    <row r="522" spans="1:37" s="857" customFormat="1" ht="35.25" customHeight="1" x14ac:dyDescent="0.2">
      <c r="A522" s="857" t="s">
        <v>4890</v>
      </c>
      <c r="B522" s="857" t="e">
        <f t="shared" si="182"/>
        <v>#N/A</v>
      </c>
      <c r="E522" s="884" t="str">
        <f t="shared" ref="E522:E585" si="187">RIGHT(D522,1)</f>
        <v/>
      </c>
      <c r="F522" s="855"/>
      <c r="G522" s="878" t="s">
        <v>1241</v>
      </c>
      <c r="H522" s="879"/>
      <c r="I522" s="861" t="s">
        <v>2494</v>
      </c>
      <c r="J522" s="871"/>
      <c r="K522" s="861" t="s">
        <v>519</v>
      </c>
      <c r="L522" s="856"/>
      <c r="M522" s="862"/>
      <c r="N522" s="856"/>
      <c r="O522" s="863" t="s">
        <v>3144</v>
      </c>
      <c r="P522" s="861">
        <v>2012</v>
      </c>
      <c r="Q522" s="862"/>
      <c r="R522" s="862"/>
      <c r="S522" s="862"/>
      <c r="T522" s="862" t="s">
        <v>12</v>
      </c>
      <c r="U522" s="899">
        <v>1244781279.9893248</v>
      </c>
      <c r="V522" s="861" t="s">
        <v>43</v>
      </c>
      <c r="W522" s="865"/>
      <c r="X522" s="968"/>
      <c r="Y522" s="884" t="str">
        <f t="shared" si="184"/>
        <v>04.13.01</v>
      </c>
      <c r="Z522" s="884" t="str">
        <f t="shared" si="185"/>
        <v>Jalan</v>
      </c>
      <c r="AA522" s="884">
        <f t="shared" si="186"/>
        <v>10</v>
      </c>
      <c r="AB522" s="868">
        <f t="shared" si="173"/>
        <v>124478127.99893248</v>
      </c>
      <c r="AC522" s="885">
        <f t="shared" si="174"/>
        <v>2</v>
      </c>
      <c r="AD522" s="868">
        <f t="shared" si="175"/>
        <v>248956255.99786496</v>
      </c>
      <c r="AE522" s="868">
        <f t="shared" si="176"/>
        <v>124478127.99893248</v>
      </c>
      <c r="AF522" s="868">
        <f t="shared" si="177"/>
        <v>124478127.99893248</v>
      </c>
      <c r="AG522" s="868">
        <f t="shared" si="178"/>
        <v>124478127.99893248</v>
      </c>
      <c r="AH522" s="868">
        <f t="shared" si="179"/>
        <v>124478127.99893248</v>
      </c>
      <c r="AI522" s="886">
        <f t="shared" si="180"/>
        <v>124478127.99893248</v>
      </c>
      <c r="AJ522" s="886">
        <f t="shared" si="181"/>
        <v>871346895.99252737</v>
      </c>
      <c r="AK522" s="868">
        <f t="shared" si="183"/>
        <v>373434383.99679744</v>
      </c>
    </row>
    <row r="523" spans="1:37" s="857" customFormat="1" ht="35.25" customHeight="1" x14ac:dyDescent="0.2">
      <c r="B523" s="857" t="e">
        <f t="shared" si="182"/>
        <v>#N/A</v>
      </c>
      <c r="E523" s="884" t="str">
        <f t="shared" si="187"/>
        <v/>
      </c>
      <c r="F523" s="855"/>
      <c r="G523" s="878" t="s">
        <v>1242</v>
      </c>
      <c r="H523" s="879"/>
      <c r="I523" s="861" t="s">
        <v>2494</v>
      </c>
      <c r="J523" s="871"/>
      <c r="K523" s="861" t="s">
        <v>519</v>
      </c>
      <c r="L523" s="856"/>
      <c r="M523" s="862"/>
      <c r="N523" s="856"/>
      <c r="O523" s="863" t="s">
        <v>680</v>
      </c>
      <c r="P523" s="861">
        <v>2012</v>
      </c>
      <c r="Q523" s="862"/>
      <c r="R523" s="862"/>
      <c r="S523" s="862"/>
      <c r="T523" s="862" t="s">
        <v>12</v>
      </c>
      <c r="U523" s="899">
        <v>2776676476.1366801</v>
      </c>
      <c r="V523" s="861" t="s">
        <v>43</v>
      </c>
      <c r="W523" s="865"/>
      <c r="X523" s="968"/>
      <c r="Y523" s="884" t="str">
        <f t="shared" si="184"/>
        <v>04.13.01</v>
      </c>
      <c r="Z523" s="884" t="str">
        <f t="shared" si="185"/>
        <v>Jalan</v>
      </c>
      <c r="AA523" s="884">
        <f t="shared" si="186"/>
        <v>10</v>
      </c>
      <c r="AB523" s="868">
        <f t="shared" si="173"/>
        <v>277667647.61366802</v>
      </c>
      <c r="AC523" s="885">
        <f t="shared" si="174"/>
        <v>2</v>
      </c>
      <c r="AD523" s="868">
        <f t="shared" si="175"/>
        <v>555335295.22733605</v>
      </c>
      <c r="AE523" s="868">
        <f t="shared" si="176"/>
        <v>277667647.61366802</v>
      </c>
      <c r="AF523" s="868">
        <f t="shared" si="177"/>
        <v>277667647.61366802</v>
      </c>
      <c r="AG523" s="868">
        <f t="shared" si="178"/>
        <v>277667647.61366802</v>
      </c>
      <c r="AH523" s="868">
        <f t="shared" si="179"/>
        <v>277667647.61366802</v>
      </c>
      <c r="AI523" s="886">
        <f t="shared" si="180"/>
        <v>277667647.61366802</v>
      </c>
      <c r="AJ523" s="886">
        <f t="shared" si="181"/>
        <v>1943673533.295676</v>
      </c>
      <c r="AK523" s="868">
        <f t="shared" si="183"/>
        <v>833002942.84100413</v>
      </c>
    </row>
    <row r="524" spans="1:37" s="857" customFormat="1" ht="35.25" customHeight="1" x14ac:dyDescent="0.2">
      <c r="A524" s="857" t="s">
        <v>4890</v>
      </c>
      <c r="B524" s="857" t="e">
        <f t="shared" si="182"/>
        <v>#N/A</v>
      </c>
      <c r="E524" s="884" t="str">
        <f t="shared" si="187"/>
        <v/>
      </c>
      <c r="F524" s="855"/>
      <c r="G524" s="878" t="s">
        <v>1243</v>
      </c>
      <c r="H524" s="879"/>
      <c r="I524" s="861" t="s">
        <v>2494</v>
      </c>
      <c r="J524" s="871"/>
      <c r="K524" s="861" t="s">
        <v>519</v>
      </c>
      <c r="L524" s="856"/>
      <c r="M524" s="862"/>
      <c r="N524" s="856"/>
      <c r="O524" s="863" t="s">
        <v>2573</v>
      </c>
      <c r="P524" s="861">
        <v>2012</v>
      </c>
      <c r="Q524" s="862"/>
      <c r="R524" s="862"/>
      <c r="S524" s="862"/>
      <c r="T524" s="862" t="s">
        <v>12</v>
      </c>
      <c r="U524" s="899">
        <v>1560463250.3707366</v>
      </c>
      <c r="V524" s="861" t="s">
        <v>43</v>
      </c>
      <c r="W524" s="865"/>
      <c r="X524" s="968"/>
      <c r="Y524" s="884" t="str">
        <f t="shared" si="184"/>
        <v>04.13.01</v>
      </c>
      <c r="Z524" s="884" t="str">
        <f t="shared" si="185"/>
        <v>Jalan</v>
      </c>
      <c r="AA524" s="884">
        <f t="shared" si="186"/>
        <v>10</v>
      </c>
      <c r="AB524" s="868">
        <f t="shared" ref="AB524:AB587" si="188">U524/AA524</f>
        <v>156046325.03707367</v>
      </c>
      <c r="AC524" s="885">
        <f t="shared" ref="AC524:AC587" si="189">IF(2013-P524+1&gt;AA524,AA524,IF(2013-P524+1&lt;0,0,2013-P524+1))</f>
        <v>2</v>
      </c>
      <c r="AD524" s="868">
        <f t="shared" ref="AD524:AD587" si="190">IF(AC524&gt;AA524,U524,AB524*AC524)</f>
        <v>312092650.07414734</v>
      </c>
      <c r="AE524" s="868">
        <f t="shared" ref="AE524:AE584" si="191">IF(U524=AD524,0,AB524)</f>
        <v>156046325.03707367</v>
      </c>
      <c r="AF524" s="868">
        <f t="shared" ref="AF524:AF587" si="192">IF(U524=AD524+AE524,0,AB524)</f>
        <v>156046325.03707367</v>
      </c>
      <c r="AG524" s="868">
        <f t="shared" ref="AG524:AG587" si="193">IF(U524=AD524+AE524+AF524,0,AB524)</f>
        <v>156046325.03707367</v>
      </c>
      <c r="AH524" s="868">
        <f t="shared" ref="AH524:AH587" si="194">IF(U524=AE524+AF524+AG524+AD524,0,AB524)</f>
        <v>156046325.03707367</v>
      </c>
      <c r="AI524" s="886">
        <f t="shared" ref="AI524:AI587" si="195">IF(U524=AE524+AF524+AG524+AD524+AH524,0,AB524)</f>
        <v>156046325.03707367</v>
      </c>
      <c r="AJ524" s="886">
        <f t="shared" ref="AJ524:AJ587" si="196">SUM(AD524:AI524)</f>
        <v>1092324275.2595155</v>
      </c>
      <c r="AK524" s="868">
        <f t="shared" si="183"/>
        <v>468138975.11122108</v>
      </c>
    </row>
    <row r="525" spans="1:37" s="857" customFormat="1" ht="35.25" customHeight="1" x14ac:dyDescent="0.2">
      <c r="A525" s="857" t="s">
        <v>4890</v>
      </c>
      <c r="B525" s="857" t="e">
        <f t="shared" si="182"/>
        <v>#N/A</v>
      </c>
      <c r="E525" s="884" t="str">
        <f t="shared" si="187"/>
        <v/>
      </c>
      <c r="F525" s="855"/>
      <c r="G525" s="878" t="s">
        <v>1244</v>
      </c>
      <c r="H525" s="879"/>
      <c r="I525" s="861" t="s">
        <v>2494</v>
      </c>
      <c r="J525" s="871"/>
      <c r="K525" s="861" t="s">
        <v>519</v>
      </c>
      <c r="L525" s="856"/>
      <c r="M525" s="862"/>
      <c r="N525" s="856"/>
      <c r="O525" s="863" t="s">
        <v>3145</v>
      </c>
      <c r="P525" s="861">
        <v>2012</v>
      </c>
      <c r="Q525" s="862"/>
      <c r="R525" s="862"/>
      <c r="S525" s="862"/>
      <c r="T525" s="862" t="s">
        <v>12</v>
      </c>
      <c r="U525" s="899">
        <v>410267652.64856702</v>
      </c>
      <c r="V525" s="861" t="s">
        <v>43</v>
      </c>
      <c r="W525" s="865"/>
      <c r="X525" s="968"/>
      <c r="Y525" s="884" t="str">
        <f t="shared" si="184"/>
        <v>04.13.01</v>
      </c>
      <c r="Z525" s="884" t="str">
        <f t="shared" si="185"/>
        <v>Jalan</v>
      </c>
      <c r="AA525" s="884">
        <f t="shared" si="186"/>
        <v>10</v>
      </c>
      <c r="AB525" s="868">
        <f t="shared" si="188"/>
        <v>41026765.264856704</v>
      </c>
      <c r="AC525" s="885">
        <f t="shared" si="189"/>
        <v>2</v>
      </c>
      <c r="AD525" s="868">
        <f t="shared" si="190"/>
        <v>82053530.529713407</v>
      </c>
      <c r="AE525" s="868">
        <f t="shared" si="191"/>
        <v>41026765.264856704</v>
      </c>
      <c r="AF525" s="868">
        <f t="shared" si="192"/>
        <v>41026765.264856704</v>
      </c>
      <c r="AG525" s="868">
        <f t="shared" si="193"/>
        <v>41026765.264856704</v>
      </c>
      <c r="AH525" s="868">
        <f t="shared" si="194"/>
        <v>41026765.264856704</v>
      </c>
      <c r="AI525" s="886">
        <f t="shared" si="195"/>
        <v>41026765.264856704</v>
      </c>
      <c r="AJ525" s="886">
        <f t="shared" si="196"/>
        <v>287187356.85399693</v>
      </c>
      <c r="AK525" s="868">
        <f t="shared" si="183"/>
        <v>123080295.79457009</v>
      </c>
    </row>
    <row r="526" spans="1:37" s="857" customFormat="1" ht="35.25" customHeight="1" x14ac:dyDescent="0.2">
      <c r="A526" s="857" t="s">
        <v>4895</v>
      </c>
      <c r="B526" s="857" t="e">
        <f t="shared" si="182"/>
        <v>#N/A</v>
      </c>
      <c r="E526" s="884" t="str">
        <f t="shared" si="187"/>
        <v/>
      </c>
      <c r="F526" s="855"/>
      <c r="G526" s="878" t="s">
        <v>1246</v>
      </c>
      <c r="H526" s="879"/>
      <c r="I526" s="861" t="s">
        <v>2494</v>
      </c>
      <c r="J526" s="871"/>
      <c r="K526" s="861" t="s">
        <v>519</v>
      </c>
      <c r="L526" s="856"/>
      <c r="M526" s="862"/>
      <c r="N526" s="856"/>
      <c r="O526" s="863" t="s">
        <v>3147</v>
      </c>
      <c r="P526" s="861">
        <v>2012</v>
      </c>
      <c r="Q526" s="862"/>
      <c r="R526" s="862"/>
      <c r="S526" s="862"/>
      <c r="T526" s="862" t="s">
        <v>12</v>
      </c>
      <c r="U526" s="899">
        <v>3138518318.2668023</v>
      </c>
      <c r="V526" s="861" t="s">
        <v>43</v>
      </c>
      <c r="W526" s="865"/>
      <c r="X526" s="968"/>
      <c r="Y526" s="884" t="str">
        <f t="shared" si="184"/>
        <v>04.13.01</v>
      </c>
      <c r="Z526" s="884" t="str">
        <f t="shared" si="185"/>
        <v>Jalan</v>
      </c>
      <c r="AA526" s="884">
        <f t="shared" si="186"/>
        <v>10</v>
      </c>
      <c r="AB526" s="868">
        <f t="shared" si="188"/>
        <v>313851831.82668024</v>
      </c>
      <c r="AC526" s="885">
        <f t="shared" si="189"/>
        <v>2</v>
      </c>
      <c r="AD526" s="868">
        <f t="shared" si="190"/>
        <v>627703663.65336049</v>
      </c>
      <c r="AE526" s="868">
        <f t="shared" si="191"/>
        <v>313851831.82668024</v>
      </c>
      <c r="AF526" s="868">
        <f t="shared" si="192"/>
        <v>313851831.82668024</v>
      </c>
      <c r="AG526" s="868">
        <f t="shared" si="193"/>
        <v>313851831.82668024</v>
      </c>
      <c r="AH526" s="868">
        <f t="shared" si="194"/>
        <v>313851831.82668024</v>
      </c>
      <c r="AI526" s="886">
        <f t="shared" si="195"/>
        <v>313851831.82668024</v>
      </c>
      <c r="AJ526" s="886">
        <f t="shared" si="196"/>
        <v>2196962822.7867618</v>
      </c>
      <c r="AK526" s="868">
        <f t="shared" si="183"/>
        <v>941555495.48004055</v>
      </c>
    </row>
    <row r="527" spans="1:37" s="857" customFormat="1" ht="35.25" customHeight="1" x14ac:dyDescent="0.2">
      <c r="A527" s="857" t="s">
        <v>4890</v>
      </c>
      <c r="B527" s="857" t="e">
        <f t="shared" si="182"/>
        <v>#N/A</v>
      </c>
      <c r="E527" s="884" t="str">
        <f t="shared" si="187"/>
        <v/>
      </c>
      <c r="F527" s="855"/>
      <c r="G527" s="878" t="s">
        <v>1247</v>
      </c>
      <c r="H527" s="879"/>
      <c r="I527" s="861" t="s">
        <v>2494</v>
      </c>
      <c r="J527" s="871"/>
      <c r="K527" s="861" t="s">
        <v>519</v>
      </c>
      <c r="L527" s="856"/>
      <c r="M527" s="862"/>
      <c r="N527" s="856"/>
      <c r="O527" s="863" t="s">
        <v>3148</v>
      </c>
      <c r="P527" s="861">
        <v>2012</v>
      </c>
      <c r="Q527" s="862"/>
      <c r="R527" s="862"/>
      <c r="S527" s="862"/>
      <c r="T527" s="862" t="s">
        <v>12</v>
      </c>
      <c r="U527" s="899">
        <v>3248767238.5415602</v>
      </c>
      <c r="V527" s="861" t="s">
        <v>43</v>
      </c>
      <c r="W527" s="865"/>
      <c r="X527" s="968"/>
      <c r="Y527" s="884" t="str">
        <f t="shared" si="184"/>
        <v>04.13.01</v>
      </c>
      <c r="Z527" s="884" t="str">
        <f t="shared" si="185"/>
        <v>Jalan</v>
      </c>
      <c r="AA527" s="884">
        <f t="shared" si="186"/>
        <v>10</v>
      </c>
      <c r="AB527" s="868">
        <f t="shared" si="188"/>
        <v>324876723.85415602</v>
      </c>
      <c r="AC527" s="885">
        <f t="shared" si="189"/>
        <v>2</v>
      </c>
      <c r="AD527" s="868">
        <f t="shared" si="190"/>
        <v>649753447.70831203</v>
      </c>
      <c r="AE527" s="868">
        <f t="shared" si="191"/>
        <v>324876723.85415602</v>
      </c>
      <c r="AF527" s="868">
        <f t="shared" si="192"/>
        <v>324876723.85415602</v>
      </c>
      <c r="AG527" s="868">
        <f t="shared" si="193"/>
        <v>324876723.85415602</v>
      </c>
      <c r="AH527" s="868">
        <f t="shared" si="194"/>
        <v>324876723.85415602</v>
      </c>
      <c r="AI527" s="886">
        <f t="shared" si="195"/>
        <v>324876723.85415602</v>
      </c>
      <c r="AJ527" s="886">
        <f t="shared" si="196"/>
        <v>2274137066.9790921</v>
      </c>
      <c r="AK527" s="868">
        <f t="shared" si="183"/>
        <v>974630171.56246805</v>
      </c>
    </row>
    <row r="528" spans="1:37" s="857" customFormat="1" ht="35.25" customHeight="1" x14ac:dyDescent="0.2">
      <c r="A528" s="857" t="s">
        <v>4890</v>
      </c>
      <c r="B528" s="857" t="e">
        <f t="shared" si="182"/>
        <v>#N/A</v>
      </c>
      <c r="E528" s="884" t="str">
        <f t="shared" si="187"/>
        <v/>
      </c>
      <c r="F528" s="855"/>
      <c r="G528" s="878" t="s">
        <v>1248</v>
      </c>
      <c r="H528" s="879"/>
      <c r="I528" s="861" t="s">
        <v>2494</v>
      </c>
      <c r="J528" s="871"/>
      <c r="K528" s="861" t="s">
        <v>519</v>
      </c>
      <c r="L528" s="856"/>
      <c r="M528" s="862"/>
      <c r="N528" s="856"/>
      <c r="O528" s="863" t="s">
        <v>3149</v>
      </c>
      <c r="P528" s="861">
        <v>2012</v>
      </c>
      <c r="Q528" s="862"/>
      <c r="R528" s="862"/>
      <c r="S528" s="862"/>
      <c r="T528" s="862" t="s">
        <v>12</v>
      </c>
      <c r="U528" s="899">
        <v>1467969946.0446103</v>
      </c>
      <c r="V528" s="861" t="s">
        <v>43</v>
      </c>
      <c r="W528" s="865"/>
      <c r="X528" s="968"/>
      <c r="Y528" s="884" t="str">
        <f t="shared" si="184"/>
        <v>04.13.01</v>
      </c>
      <c r="Z528" s="884" t="str">
        <f t="shared" si="185"/>
        <v>Jalan</v>
      </c>
      <c r="AA528" s="884">
        <f t="shared" si="186"/>
        <v>10</v>
      </c>
      <c r="AB528" s="868">
        <f t="shared" si="188"/>
        <v>146796994.60446101</v>
      </c>
      <c r="AC528" s="885">
        <f t="shared" si="189"/>
        <v>2</v>
      </c>
      <c r="AD528" s="868">
        <f t="shared" si="190"/>
        <v>293593989.20892203</v>
      </c>
      <c r="AE528" s="868">
        <f t="shared" si="191"/>
        <v>146796994.60446101</v>
      </c>
      <c r="AF528" s="868">
        <f t="shared" si="192"/>
        <v>146796994.60446101</v>
      </c>
      <c r="AG528" s="868">
        <f t="shared" si="193"/>
        <v>146796994.60446101</v>
      </c>
      <c r="AH528" s="868">
        <f t="shared" si="194"/>
        <v>146796994.60446101</v>
      </c>
      <c r="AI528" s="886">
        <f t="shared" si="195"/>
        <v>146796994.60446101</v>
      </c>
      <c r="AJ528" s="886">
        <f t="shared" si="196"/>
        <v>1027578962.2312269</v>
      </c>
      <c r="AK528" s="868">
        <f t="shared" si="183"/>
        <v>440390983.81338334</v>
      </c>
    </row>
    <row r="529" spans="1:37" s="857" customFormat="1" ht="35.25" customHeight="1" x14ac:dyDescent="0.2">
      <c r="A529" s="857" t="s">
        <v>4896</v>
      </c>
      <c r="B529" s="857" t="e">
        <f t="shared" si="182"/>
        <v>#N/A</v>
      </c>
      <c r="E529" s="884" t="str">
        <f t="shared" si="187"/>
        <v/>
      </c>
      <c r="F529" s="855"/>
      <c r="G529" s="878" t="s">
        <v>1249</v>
      </c>
      <c r="H529" s="879"/>
      <c r="I529" s="861" t="s">
        <v>2494</v>
      </c>
      <c r="J529" s="871"/>
      <c r="K529" s="861" t="s">
        <v>519</v>
      </c>
      <c r="L529" s="856"/>
      <c r="M529" s="862"/>
      <c r="N529" s="856"/>
      <c r="O529" s="863" t="s">
        <v>3087</v>
      </c>
      <c r="P529" s="861">
        <v>2012</v>
      </c>
      <c r="Q529" s="862"/>
      <c r="R529" s="862"/>
      <c r="S529" s="862"/>
      <c r="T529" s="862" t="s">
        <v>12</v>
      </c>
      <c r="U529" s="899">
        <v>3429496091.4810162</v>
      </c>
      <c r="V529" s="861" t="s">
        <v>43</v>
      </c>
      <c r="W529" s="865"/>
      <c r="X529" s="968"/>
      <c r="Y529" s="884" t="str">
        <f t="shared" si="184"/>
        <v>04.13.01</v>
      </c>
      <c r="Z529" s="884" t="str">
        <f t="shared" si="185"/>
        <v>Jalan</v>
      </c>
      <c r="AA529" s="884">
        <f t="shared" si="186"/>
        <v>10</v>
      </c>
      <c r="AB529" s="868">
        <f t="shared" si="188"/>
        <v>342949609.14810163</v>
      </c>
      <c r="AC529" s="885">
        <f t="shared" si="189"/>
        <v>2</v>
      </c>
      <c r="AD529" s="868">
        <f t="shared" si="190"/>
        <v>685899218.29620326</v>
      </c>
      <c r="AE529" s="868">
        <f t="shared" si="191"/>
        <v>342949609.14810163</v>
      </c>
      <c r="AF529" s="868">
        <f t="shared" si="192"/>
        <v>342949609.14810163</v>
      </c>
      <c r="AG529" s="868">
        <f t="shared" si="193"/>
        <v>342949609.14810163</v>
      </c>
      <c r="AH529" s="868">
        <f t="shared" si="194"/>
        <v>342949609.14810163</v>
      </c>
      <c r="AI529" s="886">
        <f t="shared" si="195"/>
        <v>342949609.14810163</v>
      </c>
      <c r="AJ529" s="886">
        <f t="shared" si="196"/>
        <v>2400647264.0367112</v>
      </c>
      <c r="AK529" s="868">
        <f t="shared" si="183"/>
        <v>1028848827.4443049</v>
      </c>
    </row>
    <row r="530" spans="1:37" s="857" customFormat="1" ht="35.25" customHeight="1" x14ac:dyDescent="0.2">
      <c r="A530" s="857" t="s">
        <v>4896</v>
      </c>
      <c r="B530" s="857" t="e">
        <f t="shared" si="182"/>
        <v>#N/A</v>
      </c>
      <c r="E530" s="884" t="str">
        <f t="shared" si="187"/>
        <v/>
      </c>
      <c r="F530" s="855"/>
      <c r="G530" s="878" t="s">
        <v>1250</v>
      </c>
      <c r="H530" s="879"/>
      <c r="I530" s="861" t="s">
        <v>2494</v>
      </c>
      <c r="J530" s="871"/>
      <c r="K530" s="861" t="s">
        <v>519</v>
      </c>
      <c r="L530" s="856"/>
      <c r="M530" s="862"/>
      <c r="N530" s="856"/>
      <c r="O530" s="863" t="s">
        <v>3150</v>
      </c>
      <c r="P530" s="861">
        <v>2012</v>
      </c>
      <c r="Q530" s="862"/>
      <c r="R530" s="862"/>
      <c r="S530" s="862"/>
      <c r="T530" s="862" t="s">
        <v>12</v>
      </c>
      <c r="U530" s="899">
        <v>2671864502.9721117</v>
      </c>
      <c r="V530" s="861" t="s">
        <v>43</v>
      </c>
      <c r="W530" s="865"/>
      <c r="X530" s="968"/>
      <c r="Y530" s="884" t="str">
        <f t="shared" si="184"/>
        <v>04.13.01</v>
      </c>
      <c r="Z530" s="884" t="str">
        <f t="shared" si="185"/>
        <v>Jalan</v>
      </c>
      <c r="AA530" s="884">
        <f t="shared" si="186"/>
        <v>10</v>
      </c>
      <c r="AB530" s="868">
        <f t="shared" si="188"/>
        <v>267186450.29721117</v>
      </c>
      <c r="AC530" s="885">
        <f t="shared" si="189"/>
        <v>2</v>
      </c>
      <c r="AD530" s="868">
        <f t="shared" si="190"/>
        <v>534372900.59442234</v>
      </c>
      <c r="AE530" s="868">
        <f t="shared" si="191"/>
        <v>267186450.29721117</v>
      </c>
      <c r="AF530" s="868">
        <f t="shared" si="192"/>
        <v>267186450.29721117</v>
      </c>
      <c r="AG530" s="868">
        <f t="shared" si="193"/>
        <v>267186450.29721117</v>
      </c>
      <c r="AH530" s="868">
        <f t="shared" si="194"/>
        <v>267186450.29721117</v>
      </c>
      <c r="AI530" s="886">
        <f t="shared" si="195"/>
        <v>267186450.29721117</v>
      </c>
      <c r="AJ530" s="886">
        <f t="shared" si="196"/>
        <v>1870305152.0804782</v>
      </c>
      <c r="AK530" s="868">
        <f t="shared" si="183"/>
        <v>801559350.89163351</v>
      </c>
    </row>
    <row r="531" spans="1:37" s="857" customFormat="1" ht="35.25" customHeight="1" x14ac:dyDescent="0.2">
      <c r="A531" s="857" t="s">
        <v>4890</v>
      </c>
      <c r="B531" s="857" t="e">
        <f t="shared" si="182"/>
        <v>#N/A</v>
      </c>
      <c r="E531" s="884" t="str">
        <f t="shared" si="187"/>
        <v/>
      </c>
      <c r="F531" s="855"/>
      <c r="G531" s="878" t="s">
        <v>1251</v>
      </c>
      <c r="H531" s="879"/>
      <c r="I531" s="861" t="s">
        <v>2494</v>
      </c>
      <c r="J531" s="871"/>
      <c r="K531" s="861" t="s">
        <v>519</v>
      </c>
      <c r="L531" s="856"/>
      <c r="M531" s="862"/>
      <c r="N531" s="856"/>
      <c r="O531" s="863" t="s">
        <v>3151</v>
      </c>
      <c r="P531" s="861">
        <v>2012</v>
      </c>
      <c r="Q531" s="862"/>
      <c r="R531" s="862"/>
      <c r="S531" s="862"/>
      <c r="T531" s="862" t="s">
        <v>12</v>
      </c>
      <c r="U531" s="899">
        <v>4766925638.6591597</v>
      </c>
      <c r="V531" s="861" t="s">
        <v>43</v>
      </c>
      <c r="W531" s="865"/>
      <c r="X531" s="968"/>
      <c r="Y531" s="884" t="str">
        <f t="shared" si="184"/>
        <v>04.13.01</v>
      </c>
      <c r="Z531" s="884" t="str">
        <f t="shared" si="185"/>
        <v>Jalan</v>
      </c>
      <c r="AA531" s="884">
        <f t="shared" si="186"/>
        <v>10</v>
      </c>
      <c r="AB531" s="868">
        <f t="shared" si="188"/>
        <v>476692563.86591595</v>
      </c>
      <c r="AC531" s="885">
        <f t="shared" si="189"/>
        <v>2</v>
      </c>
      <c r="AD531" s="868">
        <f t="shared" si="190"/>
        <v>953385127.73183191</v>
      </c>
      <c r="AE531" s="868">
        <f t="shared" si="191"/>
        <v>476692563.86591595</v>
      </c>
      <c r="AF531" s="868">
        <f t="shared" si="192"/>
        <v>476692563.86591595</v>
      </c>
      <c r="AG531" s="868">
        <f t="shared" si="193"/>
        <v>476692563.86591595</v>
      </c>
      <c r="AH531" s="868">
        <f t="shared" si="194"/>
        <v>476692563.86591595</v>
      </c>
      <c r="AI531" s="886">
        <f t="shared" si="195"/>
        <v>476692563.86591595</v>
      </c>
      <c r="AJ531" s="886">
        <f t="shared" si="196"/>
        <v>3336847947.0614114</v>
      </c>
      <c r="AK531" s="868">
        <f t="shared" si="183"/>
        <v>1430077691.5977483</v>
      </c>
    </row>
    <row r="532" spans="1:37" s="857" customFormat="1" ht="35.25" customHeight="1" x14ac:dyDescent="0.2">
      <c r="A532" s="857" t="s">
        <v>4890</v>
      </c>
      <c r="B532" s="857" t="e">
        <f t="shared" si="182"/>
        <v>#N/A</v>
      </c>
      <c r="E532" s="884" t="str">
        <f t="shared" si="187"/>
        <v/>
      </c>
      <c r="F532" s="855"/>
      <c r="G532" s="878" t="s">
        <v>1253</v>
      </c>
      <c r="H532" s="879"/>
      <c r="I532" s="861" t="s">
        <v>2494</v>
      </c>
      <c r="J532" s="871"/>
      <c r="K532" s="861" t="s">
        <v>519</v>
      </c>
      <c r="L532" s="856"/>
      <c r="M532" s="862"/>
      <c r="N532" s="856"/>
      <c r="O532" s="863" t="s">
        <v>3152</v>
      </c>
      <c r="P532" s="861">
        <v>2012</v>
      </c>
      <c r="Q532" s="862"/>
      <c r="R532" s="862"/>
      <c r="S532" s="862"/>
      <c r="T532" s="862" t="s">
        <v>12</v>
      </c>
      <c r="U532" s="899">
        <v>1899132200.4191258</v>
      </c>
      <c r="V532" s="861" t="s">
        <v>43</v>
      </c>
      <c r="W532" s="865"/>
      <c r="X532" s="968"/>
      <c r="Y532" s="884" t="str">
        <f t="shared" si="184"/>
        <v>04.13.01</v>
      </c>
      <c r="Z532" s="884" t="str">
        <f t="shared" si="185"/>
        <v>Jalan</v>
      </c>
      <c r="AA532" s="884">
        <f t="shared" si="186"/>
        <v>10</v>
      </c>
      <c r="AB532" s="868">
        <f t="shared" si="188"/>
        <v>189913220.04191259</v>
      </c>
      <c r="AC532" s="885">
        <f t="shared" si="189"/>
        <v>2</v>
      </c>
      <c r="AD532" s="868">
        <f t="shared" si="190"/>
        <v>379826440.08382517</v>
      </c>
      <c r="AE532" s="868">
        <f t="shared" si="191"/>
        <v>189913220.04191259</v>
      </c>
      <c r="AF532" s="868">
        <f t="shared" si="192"/>
        <v>189913220.04191259</v>
      </c>
      <c r="AG532" s="868">
        <f t="shared" si="193"/>
        <v>189913220.04191259</v>
      </c>
      <c r="AH532" s="868">
        <f t="shared" si="194"/>
        <v>189913220.04191259</v>
      </c>
      <c r="AI532" s="886">
        <f t="shared" si="195"/>
        <v>189913220.04191259</v>
      </c>
      <c r="AJ532" s="886">
        <f t="shared" si="196"/>
        <v>1329392540.2933881</v>
      </c>
      <c r="AK532" s="868">
        <f t="shared" si="183"/>
        <v>569739660.12573767</v>
      </c>
    </row>
    <row r="533" spans="1:37" s="857" customFormat="1" ht="35.25" customHeight="1" x14ac:dyDescent="0.2">
      <c r="A533" s="857" t="s">
        <v>4895</v>
      </c>
      <c r="B533" s="857" t="e">
        <f t="shared" si="182"/>
        <v>#N/A</v>
      </c>
      <c r="E533" s="884" t="str">
        <f t="shared" si="187"/>
        <v/>
      </c>
      <c r="F533" s="855"/>
      <c r="G533" s="878" t="s">
        <v>1261</v>
      </c>
      <c r="H533" s="879"/>
      <c r="I533" s="861" t="s">
        <v>2494</v>
      </c>
      <c r="J533" s="871"/>
      <c r="K533" s="861" t="s">
        <v>519</v>
      </c>
      <c r="L533" s="856"/>
      <c r="M533" s="862"/>
      <c r="N533" s="856"/>
      <c r="O533" s="863" t="s">
        <v>836</v>
      </c>
      <c r="P533" s="861">
        <v>2012</v>
      </c>
      <c r="Q533" s="862"/>
      <c r="R533" s="862"/>
      <c r="S533" s="862"/>
      <c r="T533" s="862" t="s">
        <v>12</v>
      </c>
      <c r="U533" s="899">
        <v>3289380516.7796202</v>
      </c>
      <c r="V533" s="861" t="s">
        <v>43</v>
      </c>
      <c r="W533" s="865"/>
      <c r="X533" s="968"/>
      <c r="Y533" s="884" t="str">
        <f t="shared" si="184"/>
        <v>04.13.01</v>
      </c>
      <c r="Z533" s="884" t="str">
        <f t="shared" si="185"/>
        <v>Jalan</v>
      </c>
      <c r="AA533" s="884">
        <f t="shared" si="186"/>
        <v>10</v>
      </c>
      <c r="AB533" s="868">
        <f t="shared" si="188"/>
        <v>328938051.67796201</v>
      </c>
      <c r="AC533" s="885">
        <f t="shared" si="189"/>
        <v>2</v>
      </c>
      <c r="AD533" s="868">
        <f t="shared" si="190"/>
        <v>657876103.35592401</v>
      </c>
      <c r="AE533" s="868">
        <f t="shared" si="191"/>
        <v>328938051.67796201</v>
      </c>
      <c r="AF533" s="868">
        <f t="shared" si="192"/>
        <v>328938051.67796201</v>
      </c>
      <c r="AG533" s="868">
        <f t="shared" si="193"/>
        <v>328938051.67796201</v>
      </c>
      <c r="AH533" s="868">
        <f t="shared" si="194"/>
        <v>328938051.67796201</v>
      </c>
      <c r="AI533" s="886">
        <f t="shared" si="195"/>
        <v>328938051.67796201</v>
      </c>
      <c r="AJ533" s="886">
        <f t="shared" si="196"/>
        <v>2302566361.7457342</v>
      </c>
      <c r="AK533" s="868">
        <f t="shared" si="183"/>
        <v>986814155.03388596</v>
      </c>
    </row>
    <row r="534" spans="1:37" s="857" customFormat="1" ht="35.25" customHeight="1" x14ac:dyDescent="0.2">
      <c r="A534" s="857" t="s">
        <v>4890</v>
      </c>
      <c r="B534" s="857" t="e">
        <f t="shared" si="182"/>
        <v>#N/A</v>
      </c>
      <c r="E534" s="884" t="str">
        <f t="shared" si="187"/>
        <v/>
      </c>
      <c r="F534" s="855"/>
      <c r="G534" s="878" t="s">
        <v>1263</v>
      </c>
      <c r="H534" s="879"/>
      <c r="I534" s="861" t="s">
        <v>2494</v>
      </c>
      <c r="J534" s="871"/>
      <c r="K534" s="861" t="s">
        <v>519</v>
      </c>
      <c r="L534" s="856"/>
      <c r="M534" s="862"/>
      <c r="N534" s="856"/>
      <c r="O534" s="863" t="s">
        <v>2574</v>
      </c>
      <c r="P534" s="861">
        <v>2012</v>
      </c>
      <c r="Q534" s="862"/>
      <c r="R534" s="862"/>
      <c r="S534" s="862"/>
      <c r="T534" s="862" t="s">
        <v>12</v>
      </c>
      <c r="U534" s="899">
        <v>3331381781.9313898</v>
      </c>
      <c r="V534" s="861" t="s">
        <v>43</v>
      </c>
      <c r="W534" s="865"/>
      <c r="X534" s="968"/>
      <c r="Y534" s="884" t="str">
        <f t="shared" si="184"/>
        <v>04.13.01</v>
      </c>
      <c r="Z534" s="884" t="str">
        <f t="shared" si="185"/>
        <v>Jalan</v>
      </c>
      <c r="AA534" s="884">
        <f t="shared" si="186"/>
        <v>10</v>
      </c>
      <c r="AB534" s="868">
        <f t="shared" si="188"/>
        <v>333138178.19313896</v>
      </c>
      <c r="AC534" s="885">
        <f t="shared" si="189"/>
        <v>2</v>
      </c>
      <c r="AD534" s="868">
        <f t="shared" si="190"/>
        <v>666276356.38627791</v>
      </c>
      <c r="AE534" s="868">
        <f t="shared" si="191"/>
        <v>333138178.19313896</v>
      </c>
      <c r="AF534" s="868">
        <f t="shared" si="192"/>
        <v>333138178.19313896</v>
      </c>
      <c r="AG534" s="868">
        <f t="shared" si="193"/>
        <v>333138178.19313896</v>
      </c>
      <c r="AH534" s="868">
        <f t="shared" si="194"/>
        <v>333138178.19313896</v>
      </c>
      <c r="AI534" s="886">
        <f t="shared" si="195"/>
        <v>333138178.19313896</v>
      </c>
      <c r="AJ534" s="886">
        <f t="shared" si="196"/>
        <v>2331967247.3519731</v>
      </c>
      <c r="AK534" s="868">
        <f t="shared" si="183"/>
        <v>999414534.57941675</v>
      </c>
    </row>
    <row r="535" spans="1:37" s="857" customFormat="1" ht="35.25" customHeight="1" x14ac:dyDescent="0.2">
      <c r="B535" s="857" t="e">
        <f t="shared" si="182"/>
        <v>#N/A</v>
      </c>
      <c r="E535" s="884" t="str">
        <f t="shared" si="187"/>
        <v/>
      </c>
      <c r="F535" s="855"/>
      <c r="G535" s="878" t="s">
        <v>1269</v>
      </c>
      <c r="H535" s="879"/>
      <c r="I535" s="861" t="s">
        <v>3826</v>
      </c>
      <c r="J535" s="871"/>
      <c r="K535" s="861" t="s">
        <v>272</v>
      </c>
      <c r="L535" s="856"/>
      <c r="M535" s="862"/>
      <c r="N535" s="856"/>
      <c r="O535" s="863" t="s">
        <v>3162</v>
      </c>
      <c r="P535" s="861">
        <v>2012</v>
      </c>
      <c r="Q535" s="862"/>
      <c r="R535" s="862"/>
      <c r="S535" s="862"/>
      <c r="T535" s="862" t="s">
        <v>12</v>
      </c>
      <c r="U535" s="899">
        <v>102755972.83967289</v>
      </c>
      <c r="V535" s="861" t="s">
        <v>43</v>
      </c>
      <c r="W535" s="865"/>
      <c r="X535" s="968"/>
      <c r="Y535" s="884" t="str">
        <f t="shared" si="184"/>
        <v>04.13.02</v>
      </c>
      <c r="Z535" s="884" t="str">
        <f t="shared" si="185"/>
        <v>Jembatan</v>
      </c>
      <c r="AA535" s="884">
        <f t="shared" si="186"/>
        <v>50</v>
      </c>
      <c r="AB535" s="868">
        <f t="shared" si="188"/>
        <v>2055119.456793458</v>
      </c>
      <c r="AC535" s="885">
        <f t="shared" si="189"/>
        <v>2</v>
      </c>
      <c r="AD535" s="868">
        <f t="shared" si="190"/>
        <v>4110238.9135869159</v>
      </c>
      <c r="AE535" s="868">
        <f t="shared" si="191"/>
        <v>2055119.456793458</v>
      </c>
      <c r="AF535" s="868">
        <f t="shared" si="192"/>
        <v>2055119.456793458</v>
      </c>
      <c r="AG535" s="868">
        <f t="shared" si="193"/>
        <v>2055119.456793458</v>
      </c>
      <c r="AH535" s="868">
        <f t="shared" si="194"/>
        <v>2055119.456793458</v>
      </c>
      <c r="AI535" s="886">
        <f t="shared" si="195"/>
        <v>2055119.456793458</v>
      </c>
      <c r="AJ535" s="886">
        <f t="shared" si="196"/>
        <v>14385836.197554205</v>
      </c>
      <c r="AK535" s="868">
        <f t="shared" si="183"/>
        <v>88370136.642118692</v>
      </c>
    </row>
    <row r="536" spans="1:37" s="857" customFormat="1" ht="35.25" customHeight="1" x14ac:dyDescent="0.2">
      <c r="B536" s="857" t="e">
        <f t="shared" si="182"/>
        <v>#N/A</v>
      </c>
      <c r="E536" s="884" t="str">
        <f t="shared" si="187"/>
        <v/>
      </c>
      <c r="F536" s="855"/>
      <c r="G536" s="878" t="s">
        <v>1271</v>
      </c>
      <c r="H536" s="879"/>
      <c r="I536" s="861" t="s">
        <v>3824</v>
      </c>
      <c r="J536" s="871"/>
      <c r="K536" s="861" t="s">
        <v>835</v>
      </c>
      <c r="L536" s="856"/>
      <c r="M536" s="862"/>
      <c r="N536" s="856"/>
      <c r="O536" s="863" t="s">
        <v>3164</v>
      </c>
      <c r="P536" s="861">
        <v>2012</v>
      </c>
      <c r="Q536" s="862"/>
      <c r="R536" s="862"/>
      <c r="S536" s="862"/>
      <c r="T536" s="862" t="s">
        <v>12</v>
      </c>
      <c r="U536" s="899">
        <v>61843579.711400554</v>
      </c>
      <c r="V536" s="861" t="s">
        <v>43</v>
      </c>
      <c r="W536" s="865"/>
      <c r="X536" s="968"/>
      <c r="Y536" s="884" t="str">
        <f t="shared" si="184"/>
        <v>04.13.02</v>
      </c>
      <c r="Z536" s="884" t="str">
        <f t="shared" si="185"/>
        <v>Jembatan</v>
      </c>
      <c r="AA536" s="884">
        <f t="shared" si="186"/>
        <v>50</v>
      </c>
      <c r="AB536" s="868">
        <f t="shared" si="188"/>
        <v>1236871.5942280111</v>
      </c>
      <c r="AC536" s="885">
        <f t="shared" si="189"/>
        <v>2</v>
      </c>
      <c r="AD536" s="868">
        <f t="shared" si="190"/>
        <v>2473743.1884560222</v>
      </c>
      <c r="AE536" s="868">
        <f t="shared" si="191"/>
        <v>1236871.5942280111</v>
      </c>
      <c r="AF536" s="868">
        <f t="shared" si="192"/>
        <v>1236871.5942280111</v>
      </c>
      <c r="AG536" s="868">
        <f t="shared" si="193"/>
        <v>1236871.5942280111</v>
      </c>
      <c r="AH536" s="868">
        <f t="shared" si="194"/>
        <v>1236871.5942280111</v>
      </c>
      <c r="AI536" s="886">
        <f t="shared" si="195"/>
        <v>1236871.5942280111</v>
      </c>
      <c r="AJ536" s="886">
        <f t="shared" si="196"/>
        <v>8658101.1595960762</v>
      </c>
      <c r="AK536" s="868">
        <f t="shared" si="183"/>
        <v>53185478.551804475</v>
      </c>
    </row>
    <row r="537" spans="1:37" s="857" customFormat="1" ht="35.25" customHeight="1" x14ac:dyDescent="0.2">
      <c r="B537" s="857" t="e">
        <f t="shared" si="182"/>
        <v>#N/A</v>
      </c>
      <c r="E537" s="884" t="str">
        <f t="shared" si="187"/>
        <v/>
      </c>
      <c r="F537" s="855"/>
      <c r="G537" s="878" t="s">
        <v>1273</v>
      </c>
      <c r="H537" s="879"/>
      <c r="I537" s="861" t="s">
        <v>2494</v>
      </c>
      <c r="J537" s="871"/>
      <c r="K537" s="861" t="s">
        <v>519</v>
      </c>
      <c r="L537" s="856"/>
      <c r="M537" s="862"/>
      <c r="N537" s="856"/>
      <c r="O537" s="863" t="s">
        <v>3166</v>
      </c>
      <c r="P537" s="861">
        <v>2012</v>
      </c>
      <c r="Q537" s="862"/>
      <c r="R537" s="862"/>
      <c r="S537" s="862"/>
      <c r="T537" s="862" t="s">
        <v>12</v>
      </c>
      <c r="U537" s="899">
        <v>3935487059</v>
      </c>
      <c r="V537" s="861" t="s">
        <v>43</v>
      </c>
      <c r="W537" s="865"/>
      <c r="X537" s="968"/>
      <c r="Y537" s="884" t="str">
        <f t="shared" si="184"/>
        <v>04.13.01</v>
      </c>
      <c r="Z537" s="884" t="str">
        <f t="shared" si="185"/>
        <v>Jalan</v>
      </c>
      <c r="AA537" s="884">
        <f t="shared" si="186"/>
        <v>10</v>
      </c>
      <c r="AB537" s="868">
        <f t="shared" si="188"/>
        <v>393548705.89999998</v>
      </c>
      <c r="AC537" s="885">
        <f t="shared" si="189"/>
        <v>2</v>
      </c>
      <c r="AD537" s="868">
        <f t="shared" si="190"/>
        <v>787097411.79999995</v>
      </c>
      <c r="AE537" s="868">
        <f t="shared" si="191"/>
        <v>393548705.89999998</v>
      </c>
      <c r="AF537" s="868">
        <f t="shared" si="192"/>
        <v>393548705.89999998</v>
      </c>
      <c r="AG537" s="868">
        <f t="shared" si="193"/>
        <v>393548705.89999998</v>
      </c>
      <c r="AH537" s="868">
        <f t="shared" si="194"/>
        <v>393548705.89999998</v>
      </c>
      <c r="AI537" s="886">
        <f t="shared" si="195"/>
        <v>393548705.89999998</v>
      </c>
      <c r="AJ537" s="886">
        <f t="shared" si="196"/>
        <v>2754840941.3000002</v>
      </c>
      <c r="AK537" s="868">
        <f t="shared" si="183"/>
        <v>1180646117.6999998</v>
      </c>
    </row>
    <row r="538" spans="1:37" s="857" customFormat="1" ht="35.25" customHeight="1" x14ac:dyDescent="0.2">
      <c r="A538" s="857">
        <v>72</v>
      </c>
      <c r="B538" s="857" t="str">
        <f t="shared" si="182"/>
        <v>JL. MENUJU SMP 2</v>
      </c>
      <c r="E538" s="884" t="str">
        <f t="shared" si="187"/>
        <v/>
      </c>
      <c r="F538" s="855"/>
      <c r="G538" s="878" t="s">
        <v>1276</v>
      </c>
      <c r="H538" s="879"/>
      <c r="I538" s="861" t="s">
        <v>2494</v>
      </c>
      <c r="J538" s="871"/>
      <c r="K538" s="861" t="s">
        <v>519</v>
      </c>
      <c r="L538" s="856"/>
      <c r="M538" s="862"/>
      <c r="N538" s="856"/>
      <c r="O538" s="863" t="s">
        <v>3169</v>
      </c>
      <c r="P538" s="861">
        <v>2013</v>
      </c>
      <c r="Q538" s="862"/>
      <c r="R538" s="862"/>
      <c r="S538" s="862"/>
      <c r="T538" s="862" t="s">
        <v>12</v>
      </c>
      <c r="U538" s="899">
        <v>1749736768</v>
      </c>
      <c r="V538" s="861"/>
      <c r="W538" s="865"/>
      <c r="X538" s="968"/>
      <c r="Y538" s="884" t="str">
        <f t="shared" si="184"/>
        <v>04.13.01</v>
      </c>
      <c r="Z538" s="884" t="str">
        <f t="shared" si="185"/>
        <v>Jalan</v>
      </c>
      <c r="AA538" s="884">
        <f t="shared" si="186"/>
        <v>10</v>
      </c>
      <c r="AB538" s="868">
        <f t="shared" si="188"/>
        <v>174973676.80000001</v>
      </c>
      <c r="AC538" s="885">
        <f t="shared" si="189"/>
        <v>1</v>
      </c>
      <c r="AD538" s="868">
        <f t="shared" si="190"/>
        <v>174973676.80000001</v>
      </c>
      <c r="AE538" s="868">
        <f t="shared" si="191"/>
        <v>174973676.80000001</v>
      </c>
      <c r="AF538" s="868">
        <f t="shared" si="192"/>
        <v>174973676.80000001</v>
      </c>
      <c r="AG538" s="868">
        <f t="shared" si="193"/>
        <v>174973676.80000001</v>
      </c>
      <c r="AH538" s="868">
        <f t="shared" si="194"/>
        <v>174973676.80000001</v>
      </c>
      <c r="AI538" s="886">
        <f t="shared" si="195"/>
        <v>174973676.80000001</v>
      </c>
      <c r="AJ538" s="886">
        <f t="shared" si="196"/>
        <v>1049842060.8</v>
      </c>
      <c r="AK538" s="868">
        <f t="shared" si="183"/>
        <v>699894707.20000005</v>
      </c>
    </row>
    <row r="539" spans="1:37" s="857" customFormat="1" ht="35.25" customHeight="1" x14ac:dyDescent="0.2">
      <c r="B539" s="857" t="e">
        <f t="shared" si="182"/>
        <v>#N/A</v>
      </c>
      <c r="E539" s="884" t="str">
        <f t="shared" si="187"/>
        <v/>
      </c>
      <c r="F539" s="855"/>
      <c r="G539" s="878" t="s">
        <v>1278</v>
      </c>
      <c r="H539" s="879"/>
      <c r="I539" s="861" t="s">
        <v>2494</v>
      </c>
      <c r="J539" s="871"/>
      <c r="K539" s="861" t="s">
        <v>519</v>
      </c>
      <c r="L539" s="856"/>
      <c r="M539" s="862"/>
      <c r="N539" s="856"/>
      <c r="O539" s="863" t="s">
        <v>3171</v>
      </c>
      <c r="P539" s="861">
        <v>2013</v>
      </c>
      <c r="Q539" s="862"/>
      <c r="R539" s="862"/>
      <c r="S539" s="862"/>
      <c r="T539" s="862" t="s">
        <v>12</v>
      </c>
      <c r="U539" s="899">
        <v>5337508027</v>
      </c>
      <c r="V539" s="861"/>
      <c r="W539" s="865"/>
      <c r="X539" s="968"/>
      <c r="Y539" s="884" t="str">
        <f t="shared" si="184"/>
        <v>04.13.01</v>
      </c>
      <c r="Z539" s="884" t="str">
        <f t="shared" si="185"/>
        <v>Jalan</v>
      </c>
      <c r="AA539" s="884">
        <f t="shared" si="186"/>
        <v>10</v>
      </c>
      <c r="AB539" s="868">
        <f t="shared" si="188"/>
        <v>533750802.69999999</v>
      </c>
      <c r="AC539" s="885">
        <f t="shared" si="189"/>
        <v>1</v>
      </c>
      <c r="AD539" s="868">
        <f t="shared" si="190"/>
        <v>533750802.69999999</v>
      </c>
      <c r="AE539" s="868">
        <f t="shared" si="191"/>
        <v>533750802.69999999</v>
      </c>
      <c r="AF539" s="868">
        <f t="shared" si="192"/>
        <v>533750802.69999999</v>
      </c>
      <c r="AG539" s="868">
        <f t="shared" si="193"/>
        <v>533750802.69999999</v>
      </c>
      <c r="AH539" s="868">
        <f t="shared" si="194"/>
        <v>533750802.69999999</v>
      </c>
      <c r="AI539" s="886">
        <f t="shared" si="195"/>
        <v>533750802.69999999</v>
      </c>
      <c r="AJ539" s="886">
        <f t="shared" si="196"/>
        <v>3202504816.1999998</v>
      </c>
      <c r="AK539" s="868">
        <f t="shared" si="183"/>
        <v>2135003210.8000002</v>
      </c>
    </row>
    <row r="540" spans="1:37" s="857" customFormat="1" ht="35.25" customHeight="1" x14ac:dyDescent="0.2">
      <c r="A540" s="857">
        <v>263</v>
      </c>
      <c r="B540" s="857" t="str">
        <f t="shared" si="182"/>
        <v>JK RUAS 85/85 - BANJAR LOPAK</v>
      </c>
      <c r="E540" s="884" t="str">
        <f t="shared" si="187"/>
        <v/>
      </c>
      <c r="F540" s="855"/>
      <c r="G540" s="878" t="s">
        <v>1279</v>
      </c>
      <c r="H540" s="879"/>
      <c r="I540" s="861" t="s">
        <v>2494</v>
      </c>
      <c r="J540" s="871"/>
      <c r="K540" s="861" t="s">
        <v>519</v>
      </c>
      <c r="L540" s="856"/>
      <c r="M540" s="862"/>
      <c r="N540" s="856"/>
      <c r="O540" s="863" t="s">
        <v>3172</v>
      </c>
      <c r="P540" s="861">
        <v>2013</v>
      </c>
      <c r="Q540" s="862"/>
      <c r="R540" s="862"/>
      <c r="S540" s="862"/>
      <c r="T540" s="862" t="s">
        <v>12</v>
      </c>
      <c r="U540" s="899">
        <v>3623464863</v>
      </c>
      <c r="V540" s="861"/>
      <c r="W540" s="865"/>
      <c r="X540" s="968"/>
      <c r="Y540" s="884" t="str">
        <f t="shared" si="184"/>
        <v>04.13.01</v>
      </c>
      <c r="Z540" s="884" t="str">
        <f t="shared" si="185"/>
        <v>Jalan</v>
      </c>
      <c r="AA540" s="884">
        <f t="shared" si="186"/>
        <v>10</v>
      </c>
      <c r="AB540" s="868">
        <f t="shared" si="188"/>
        <v>362346486.30000001</v>
      </c>
      <c r="AC540" s="885">
        <f t="shared" si="189"/>
        <v>1</v>
      </c>
      <c r="AD540" s="868">
        <f t="shared" si="190"/>
        <v>362346486.30000001</v>
      </c>
      <c r="AE540" s="868">
        <f t="shared" si="191"/>
        <v>362346486.30000001</v>
      </c>
      <c r="AF540" s="868">
        <f t="shared" si="192"/>
        <v>362346486.30000001</v>
      </c>
      <c r="AG540" s="868">
        <f t="shared" si="193"/>
        <v>362346486.30000001</v>
      </c>
      <c r="AH540" s="868">
        <f t="shared" si="194"/>
        <v>362346486.30000001</v>
      </c>
      <c r="AI540" s="886">
        <f t="shared" si="195"/>
        <v>362346486.30000001</v>
      </c>
      <c r="AJ540" s="886">
        <f t="shared" si="196"/>
        <v>2174078917.8000002</v>
      </c>
      <c r="AK540" s="868">
        <f t="shared" si="183"/>
        <v>1449385945.1999998</v>
      </c>
    </row>
    <row r="541" spans="1:37" s="857" customFormat="1" ht="35.25" customHeight="1" x14ac:dyDescent="0.2">
      <c r="A541" s="857" t="s">
        <v>4890</v>
      </c>
      <c r="B541" s="857" t="e">
        <f t="shared" si="182"/>
        <v>#N/A</v>
      </c>
      <c r="E541" s="884" t="str">
        <f t="shared" si="187"/>
        <v/>
      </c>
      <c r="F541" s="855"/>
      <c r="G541" s="878" t="s">
        <v>1281</v>
      </c>
      <c r="H541" s="879"/>
      <c r="I541" s="861" t="s">
        <v>3822</v>
      </c>
      <c r="J541" s="871"/>
      <c r="K541" s="861" t="s">
        <v>519</v>
      </c>
      <c r="L541" s="856"/>
      <c r="M541" s="862"/>
      <c r="N541" s="856"/>
      <c r="O541" s="863" t="s">
        <v>2986</v>
      </c>
      <c r="P541" s="861">
        <v>2013</v>
      </c>
      <c r="Q541" s="862"/>
      <c r="R541" s="862"/>
      <c r="S541" s="862"/>
      <c r="T541" s="862" t="s">
        <v>12</v>
      </c>
      <c r="U541" s="899">
        <v>1780990624</v>
      </c>
      <c r="V541" s="861"/>
      <c r="W541" s="865"/>
      <c r="X541" s="968"/>
      <c r="Y541" s="884" t="str">
        <f t="shared" si="184"/>
        <v>04.13.02</v>
      </c>
      <c r="Z541" s="884" t="str">
        <f t="shared" si="185"/>
        <v>Jembatan</v>
      </c>
      <c r="AA541" s="884">
        <f t="shared" si="186"/>
        <v>50</v>
      </c>
      <c r="AB541" s="868">
        <f t="shared" si="188"/>
        <v>35619812.479999997</v>
      </c>
      <c r="AC541" s="885">
        <f t="shared" si="189"/>
        <v>1</v>
      </c>
      <c r="AD541" s="868">
        <f t="shared" si="190"/>
        <v>35619812.479999997</v>
      </c>
      <c r="AE541" s="868">
        <f t="shared" si="191"/>
        <v>35619812.479999997</v>
      </c>
      <c r="AF541" s="868">
        <f t="shared" si="192"/>
        <v>35619812.479999997</v>
      </c>
      <c r="AG541" s="868">
        <f t="shared" si="193"/>
        <v>35619812.479999997</v>
      </c>
      <c r="AH541" s="868">
        <f t="shared" si="194"/>
        <v>35619812.479999997</v>
      </c>
      <c r="AI541" s="886">
        <f t="shared" si="195"/>
        <v>35619812.479999997</v>
      </c>
      <c r="AJ541" s="886">
        <f t="shared" si="196"/>
        <v>213718874.87999997</v>
      </c>
      <c r="AK541" s="868">
        <f t="shared" si="183"/>
        <v>1567271749.1200001</v>
      </c>
    </row>
    <row r="542" spans="1:37" s="857" customFormat="1" ht="35.25" customHeight="1" x14ac:dyDescent="0.2">
      <c r="A542" s="857" t="s">
        <v>4890</v>
      </c>
      <c r="B542" s="857" t="e">
        <f t="shared" si="182"/>
        <v>#N/A</v>
      </c>
      <c r="E542" s="884" t="str">
        <f t="shared" si="187"/>
        <v/>
      </c>
      <c r="F542" s="855"/>
      <c r="G542" s="878" t="s">
        <v>1282</v>
      </c>
      <c r="H542" s="879"/>
      <c r="I542" s="861" t="s">
        <v>3822</v>
      </c>
      <c r="J542" s="871"/>
      <c r="K542" s="861" t="s">
        <v>519</v>
      </c>
      <c r="L542" s="856"/>
      <c r="M542" s="862"/>
      <c r="N542" s="856"/>
      <c r="O542" s="863" t="s">
        <v>2973</v>
      </c>
      <c r="P542" s="861">
        <v>2013</v>
      </c>
      <c r="Q542" s="862"/>
      <c r="R542" s="862"/>
      <c r="S542" s="862"/>
      <c r="T542" s="862" t="s">
        <v>12</v>
      </c>
      <c r="U542" s="899">
        <v>1721445175</v>
      </c>
      <c r="V542" s="861"/>
      <c r="W542" s="865"/>
      <c r="X542" s="968"/>
      <c r="Y542" s="884" t="str">
        <f t="shared" si="184"/>
        <v>04.13.02</v>
      </c>
      <c r="Z542" s="884" t="str">
        <f t="shared" si="185"/>
        <v>Jembatan</v>
      </c>
      <c r="AA542" s="884">
        <f t="shared" si="186"/>
        <v>50</v>
      </c>
      <c r="AB542" s="868">
        <f t="shared" si="188"/>
        <v>34428903.5</v>
      </c>
      <c r="AC542" s="885">
        <f t="shared" si="189"/>
        <v>1</v>
      </c>
      <c r="AD542" s="868">
        <f t="shared" si="190"/>
        <v>34428903.5</v>
      </c>
      <c r="AE542" s="868">
        <f t="shared" si="191"/>
        <v>34428903.5</v>
      </c>
      <c r="AF542" s="868">
        <f t="shared" si="192"/>
        <v>34428903.5</v>
      </c>
      <c r="AG542" s="868">
        <f t="shared" si="193"/>
        <v>34428903.5</v>
      </c>
      <c r="AH542" s="868">
        <f t="shared" si="194"/>
        <v>34428903.5</v>
      </c>
      <c r="AI542" s="886">
        <f t="shared" si="195"/>
        <v>34428903.5</v>
      </c>
      <c r="AJ542" s="886">
        <f t="shared" si="196"/>
        <v>206573421</v>
      </c>
      <c r="AK542" s="868">
        <f t="shared" si="183"/>
        <v>1514871754</v>
      </c>
    </row>
    <row r="543" spans="1:37" s="857" customFormat="1" ht="35.25" customHeight="1" x14ac:dyDescent="0.2">
      <c r="A543" s="857" t="s">
        <v>4895</v>
      </c>
      <c r="B543" s="857" t="e">
        <f t="shared" si="182"/>
        <v>#N/A</v>
      </c>
      <c r="E543" s="884" t="str">
        <f t="shared" si="187"/>
        <v/>
      </c>
      <c r="F543" s="855"/>
      <c r="G543" s="878" t="s">
        <v>1284</v>
      </c>
      <c r="H543" s="879"/>
      <c r="I543" s="861" t="s">
        <v>2494</v>
      </c>
      <c r="J543" s="871"/>
      <c r="K543" s="861"/>
      <c r="L543" s="856"/>
      <c r="M543" s="862"/>
      <c r="N543" s="856"/>
      <c r="O543" s="863" t="s">
        <v>3174</v>
      </c>
      <c r="P543" s="861">
        <v>2013</v>
      </c>
      <c r="Q543" s="862"/>
      <c r="R543" s="862"/>
      <c r="S543" s="862"/>
      <c r="T543" s="862" t="s">
        <v>12</v>
      </c>
      <c r="U543" s="899">
        <v>5749727762</v>
      </c>
      <c r="V543" s="861"/>
      <c r="W543" s="865"/>
      <c r="X543" s="968"/>
      <c r="Y543" s="884" t="str">
        <f t="shared" si="184"/>
        <v>04.13.01</v>
      </c>
      <c r="Z543" s="884" t="str">
        <f t="shared" si="185"/>
        <v>Jalan</v>
      </c>
      <c r="AA543" s="884">
        <f t="shared" si="186"/>
        <v>10</v>
      </c>
      <c r="AB543" s="868">
        <f t="shared" si="188"/>
        <v>574972776.20000005</v>
      </c>
      <c r="AC543" s="885">
        <f t="shared" si="189"/>
        <v>1</v>
      </c>
      <c r="AD543" s="868">
        <f t="shared" si="190"/>
        <v>574972776.20000005</v>
      </c>
      <c r="AE543" s="868">
        <f t="shared" si="191"/>
        <v>574972776.20000005</v>
      </c>
      <c r="AF543" s="868">
        <f t="shared" si="192"/>
        <v>574972776.20000005</v>
      </c>
      <c r="AG543" s="868">
        <f t="shared" si="193"/>
        <v>574972776.20000005</v>
      </c>
      <c r="AH543" s="868">
        <f t="shared" si="194"/>
        <v>574972776.20000005</v>
      </c>
      <c r="AI543" s="886">
        <f t="shared" si="195"/>
        <v>574972776.20000005</v>
      </c>
      <c r="AJ543" s="886">
        <f t="shared" si="196"/>
        <v>3449836657.1999998</v>
      </c>
      <c r="AK543" s="868">
        <f t="shared" si="183"/>
        <v>2299891104.8000002</v>
      </c>
    </row>
    <row r="544" spans="1:37" s="857" customFormat="1" ht="35.25" customHeight="1" x14ac:dyDescent="0.2">
      <c r="A544" s="857">
        <v>183</v>
      </c>
      <c r="B544" s="857" t="str">
        <f t="shared" si="182"/>
        <v>SUKARAJA - GIRI SAKO</v>
      </c>
      <c r="E544" s="884" t="str">
        <f t="shared" si="187"/>
        <v/>
      </c>
      <c r="F544" s="855"/>
      <c r="G544" s="878" t="s">
        <v>1286</v>
      </c>
      <c r="H544" s="879"/>
      <c r="I544" s="861" t="s">
        <v>2494</v>
      </c>
      <c r="J544" s="871"/>
      <c r="K544" s="861"/>
      <c r="L544" s="856"/>
      <c r="M544" s="862"/>
      <c r="N544" s="856"/>
      <c r="O544" s="863" t="s">
        <v>3103</v>
      </c>
      <c r="P544" s="861">
        <v>2013</v>
      </c>
      <c r="Q544" s="862"/>
      <c r="R544" s="862"/>
      <c r="S544" s="862"/>
      <c r="T544" s="862" t="s">
        <v>12</v>
      </c>
      <c r="U544" s="899">
        <v>1027221016</v>
      </c>
      <c r="V544" s="861"/>
      <c r="W544" s="865"/>
      <c r="X544" s="968"/>
      <c r="Y544" s="884" t="str">
        <f t="shared" si="184"/>
        <v>04.13.01</v>
      </c>
      <c r="Z544" s="884" t="str">
        <f t="shared" si="185"/>
        <v>Jalan</v>
      </c>
      <c r="AA544" s="884">
        <f t="shared" si="186"/>
        <v>10</v>
      </c>
      <c r="AB544" s="868">
        <f t="shared" si="188"/>
        <v>102722101.59999999</v>
      </c>
      <c r="AC544" s="885">
        <f t="shared" si="189"/>
        <v>1</v>
      </c>
      <c r="AD544" s="868">
        <f t="shared" si="190"/>
        <v>102722101.59999999</v>
      </c>
      <c r="AE544" s="868">
        <f t="shared" si="191"/>
        <v>102722101.59999999</v>
      </c>
      <c r="AF544" s="868">
        <f t="shared" si="192"/>
        <v>102722101.59999999</v>
      </c>
      <c r="AG544" s="868">
        <f t="shared" si="193"/>
        <v>102722101.59999999</v>
      </c>
      <c r="AH544" s="868">
        <f t="shared" si="194"/>
        <v>102722101.59999999</v>
      </c>
      <c r="AI544" s="886">
        <f t="shared" si="195"/>
        <v>102722101.59999999</v>
      </c>
      <c r="AJ544" s="886">
        <f t="shared" si="196"/>
        <v>616332609.60000002</v>
      </c>
      <c r="AK544" s="868">
        <f t="shared" si="183"/>
        <v>410888406.39999998</v>
      </c>
    </row>
    <row r="545" spans="1:37" s="857" customFormat="1" ht="35.25" customHeight="1" x14ac:dyDescent="0.2">
      <c r="A545" s="857">
        <v>3</v>
      </c>
      <c r="B545" s="857" t="str">
        <f t="shared" si="182"/>
        <v>JAKE - KOTO KOMBU</v>
      </c>
      <c r="E545" s="884" t="str">
        <f t="shared" si="187"/>
        <v/>
      </c>
      <c r="F545" s="855"/>
      <c r="G545" s="878" t="s">
        <v>1287</v>
      </c>
      <c r="H545" s="879"/>
      <c r="I545" s="861" t="s">
        <v>3824</v>
      </c>
      <c r="J545" s="871"/>
      <c r="K545" s="861" t="s">
        <v>840</v>
      </c>
      <c r="L545" s="856"/>
      <c r="M545" s="862"/>
      <c r="N545" s="856"/>
      <c r="O545" s="863" t="s">
        <v>746</v>
      </c>
      <c r="P545" s="861">
        <v>2013</v>
      </c>
      <c r="Q545" s="862"/>
      <c r="R545" s="862"/>
      <c r="S545" s="862"/>
      <c r="T545" s="862" t="s">
        <v>12</v>
      </c>
      <c r="U545" s="899">
        <v>8623468047</v>
      </c>
      <c r="V545" s="861"/>
      <c r="W545" s="865"/>
      <c r="X545" s="968"/>
      <c r="Y545" s="884" t="str">
        <f t="shared" si="184"/>
        <v>04.13.02</v>
      </c>
      <c r="Z545" s="884" t="str">
        <f t="shared" si="185"/>
        <v>Jembatan</v>
      </c>
      <c r="AA545" s="884">
        <f t="shared" si="186"/>
        <v>50</v>
      </c>
      <c r="AB545" s="868">
        <f t="shared" si="188"/>
        <v>172469360.94</v>
      </c>
      <c r="AC545" s="885">
        <f t="shared" si="189"/>
        <v>1</v>
      </c>
      <c r="AD545" s="868">
        <f t="shared" si="190"/>
        <v>172469360.94</v>
      </c>
      <c r="AE545" s="868">
        <f t="shared" si="191"/>
        <v>172469360.94</v>
      </c>
      <c r="AF545" s="868">
        <f t="shared" si="192"/>
        <v>172469360.94</v>
      </c>
      <c r="AG545" s="868">
        <f t="shared" si="193"/>
        <v>172469360.94</v>
      </c>
      <c r="AH545" s="868">
        <f t="shared" si="194"/>
        <v>172469360.94</v>
      </c>
      <c r="AI545" s="886">
        <f t="shared" si="195"/>
        <v>172469360.94</v>
      </c>
      <c r="AJ545" s="886">
        <f t="shared" si="196"/>
        <v>1034816165.6400001</v>
      </c>
      <c r="AK545" s="868">
        <f t="shared" si="183"/>
        <v>7588651881.3599997</v>
      </c>
    </row>
    <row r="546" spans="1:37" s="857" customFormat="1" ht="35.25" customHeight="1" x14ac:dyDescent="0.2">
      <c r="B546" s="857" t="e">
        <f t="shared" si="182"/>
        <v>#N/A</v>
      </c>
      <c r="E546" s="884" t="str">
        <f t="shared" si="187"/>
        <v/>
      </c>
      <c r="F546" s="855"/>
      <c r="G546" s="878" t="s">
        <v>1288</v>
      </c>
      <c r="H546" s="879"/>
      <c r="I546" s="861" t="s">
        <v>3824</v>
      </c>
      <c r="J546" s="871"/>
      <c r="K546" s="861" t="s">
        <v>840</v>
      </c>
      <c r="L546" s="856"/>
      <c r="M546" s="862"/>
      <c r="N546" s="856"/>
      <c r="O546" s="863" t="s">
        <v>3176</v>
      </c>
      <c r="P546" s="861">
        <v>2013</v>
      </c>
      <c r="Q546" s="862"/>
      <c r="R546" s="862"/>
      <c r="S546" s="862"/>
      <c r="T546" s="862" t="s">
        <v>12</v>
      </c>
      <c r="U546" s="899">
        <v>2280941691</v>
      </c>
      <c r="V546" s="861"/>
      <c r="W546" s="865"/>
      <c r="X546" s="968"/>
      <c r="Y546" s="884" t="str">
        <f t="shared" si="184"/>
        <v>04.13.02</v>
      </c>
      <c r="Z546" s="884" t="str">
        <f t="shared" si="185"/>
        <v>Jembatan</v>
      </c>
      <c r="AA546" s="884">
        <f t="shared" si="186"/>
        <v>50</v>
      </c>
      <c r="AB546" s="868">
        <f t="shared" si="188"/>
        <v>45618833.82</v>
      </c>
      <c r="AC546" s="885">
        <f t="shared" si="189"/>
        <v>1</v>
      </c>
      <c r="AD546" s="868">
        <f t="shared" si="190"/>
        <v>45618833.82</v>
      </c>
      <c r="AE546" s="868">
        <f t="shared" si="191"/>
        <v>45618833.82</v>
      </c>
      <c r="AF546" s="868">
        <f t="shared" si="192"/>
        <v>45618833.82</v>
      </c>
      <c r="AG546" s="868">
        <f t="shared" si="193"/>
        <v>45618833.82</v>
      </c>
      <c r="AH546" s="868">
        <f t="shared" si="194"/>
        <v>45618833.82</v>
      </c>
      <c r="AI546" s="886">
        <f t="shared" si="195"/>
        <v>45618833.82</v>
      </c>
      <c r="AJ546" s="886">
        <f t="shared" si="196"/>
        <v>273713002.92000002</v>
      </c>
      <c r="AK546" s="868">
        <f t="shared" si="183"/>
        <v>2007228688.0799999</v>
      </c>
    </row>
    <row r="547" spans="1:37" s="857" customFormat="1" ht="35.25" customHeight="1" x14ac:dyDescent="0.2">
      <c r="B547" s="857" t="e">
        <f t="shared" si="182"/>
        <v>#N/A</v>
      </c>
      <c r="E547" s="884" t="str">
        <f t="shared" si="187"/>
        <v/>
      </c>
      <c r="F547" s="855"/>
      <c r="G547" s="878" t="s">
        <v>1289</v>
      </c>
      <c r="H547" s="879"/>
      <c r="I547" s="861" t="s">
        <v>3824</v>
      </c>
      <c r="J547" s="871"/>
      <c r="K547" s="861" t="s">
        <v>840</v>
      </c>
      <c r="L547" s="856"/>
      <c r="M547" s="862"/>
      <c r="N547" s="856"/>
      <c r="O547" s="863" t="s">
        <v>3014</v>
      </c>
      <c r="P547" s="861">
        <v>2013</v>
      </c>
      <c r="Q547" s="862"/>
      <c r="R547" s="862"/>
      <c r="S547" s="862"/>
      <c r="T547" s="862" t="s">
        <v>12</v>
      </c>
      <c r="U547" s="899">
        <v>2104052688</v>
      </c>
      <c r="V547" s="861"/>
      <c r="W547" s="865"/>
      <c r="X547" s="968"/>
      <c r="Y547" s="884" t="str">
        <f t="shared" si="184"/>
        <v>04.13.02</v>
      </c>
      <c r="Z547" s="884" t="str">
        <f t="shared" si="185"/>
        <v>Jembatan</v>
      </c>
      <c r="AA547" s="884">
        <f t="shared" si="186"/>
        <v>50</v>
      </c>
      <c r="AB547" s="868">
        <f t="shared" si="188"/>
        <v>42081053.759999998</v>
      </c>
      <c r="AC547" s="885">
        <f t="shared" si="189"/>
        <v>1</v>
      </c>
      <c r="AD547" s="868">
        <f t="shared" si="190"/>
        <v>42081053.759999998</v>
      </c>
      <c r="AE547" s="868">
        <f t="shared" si="191"/>
        <v>42081053.759999998</v>
      </c>
      <c r="AF547" s="868">
        <f t="shared" si="192"/>
        <v>42081053.759999998</v>
      </c>
      <c r="AG547" s="868">
        <f t="shared" si="193"/>
        <v>42081053.759999998</v>
      </c>
      <c r="AH547" s="868">
        <f t="shared" si="194"/>
        <v>42081053.759999998</v>
      </c>
      <c r="AI547" s="886">
        <f t="shared" si="195"/>
        <v>42081053.759999998</v>
      </c>
      <c r="AJ547" s="886">
        <f t="shared" si="196"/>
        <v>252486322.55999997</v>
      </c>
      <c r="AK547" s="868">
        <f t="shared" si="183"/>
        <v>1851566365.4400001</v>
      </c>
    </row>
    <row r="548" spans="1:37" s="857" customFormat="1" ht="35.25" customHeight="1" x14ac:dyDescent="0.2">
      <c r="A548" s="857" t="s">
        <v>4890</v>
      </c>
      <c r="B548" s="857" t="e">
        <f t="shared" si="182"/>
        <v>#N/A</v>
      </c>
      <c r="E548" s="884" t="str">
        <f t="shared" si="187"/>
        <v/>
      </c>
      <c r="F548" s="855"/>
      <c r="G548" s="878" t="s">
        <v>1290</v>
      </c>
      <c r="H548" s="879"/>
      <c r="I548" s="861" t="s">
        <v>3828</v>
      </c>
      <c r="J548" s="871"/>
      <c r="K548" s="861" t="s">
        <v>835</v>
      </c>
      <c r="L548" s="856"/>
      <c r="M548" s="862"/>
      <c r="N548" s="856"/>
      <c r="O548" s="863" t="s">
        <v>417</v>
      </c>
      <c r="P548" s="861">
        <v>2013</v>
      </c>
      <c r="Q548" s="862"/>
      <c r="R548" s="862"/>
      <c r="S548" s="862"/>
      <c r="T548" s="862" t="s">
        <v>12</v>
      </c>
      <c r="U548" s="899">
        <v>1827236217</v>
      </c>
      <c r="V548" s="861"/>
      <c r="W548" s="865"/>
      <c r="X548" s="968"/>
      <c r="Y548" s="884" t="str">
        <f t="shared" si="184"/>
        <v>04.13.01</v>
      </c>
      <c r="Z548" s="884" t="str">
        <f t="shared" si="185"/>
        <v>Jalan</v>
      </c>
      <c r="AA548" s="884">
        <f t="shared" si="186"/>
        <v>10</v>
      </c>
      <c r="AB548" s="868">
        <f t="shared" si="188"/>
        <v>182723621.69999999</v>
      </c>
      <c r="AC548" s="885">
        <f t="shared" si="189"/>
        <v>1</v>
      </c>
      <c r="AD548" s="868">
        <f t="shared" si="190"/>
        <v>182723621.69999999</v>
      </c>
      <c r="AE548" s="868">
        <f t="shared" si="191"/>
        <v>182723621.69999999</v>
      </c>
      <c r="AF548" s="868">
        <f t="shared" si="192"/>
        <v>182723621.69999999</v>
      </c>
      <c r="AG548" s="868">
        <f t="shared" si="193"/>
        <v>182723621.69999999</v>
      </c>
      <c r="AH548" s="868">
        <f t="shared" si="194"/>
        <v>182723621.69999999</v>
      </c>
      <c r="AI548" s="886">
        <f t="shared" si="195"/>
        <v>182723621.69999999</v>
      </c>
      <c r="AJ548" s="886">
        <f t="shared" si="196"/>
        <v>1096341730.2</v>
      </c>
      <c r="AK548" s="868">
        <f t="shared" si="183"/>
        <v>730894486.79999995</v>
      </c>
    </row>
    <row r="549" spans="1:37" s="857" customFormat="1" ht="35.25" customHeight="1" x14ac:dyDescent="0.2">
      <c r="B549" s="857" t="e">
        <f t="shared" si="182"/>
        <v>#N/A</v>
      </c>
      <c r="E549" s="884" t="str">
        <f t="shared" si="187"/>
        <v/>
      </c>
      <c r="F549" s="855"/>
      <c r="G549" s="878" t="s">
        <v>1292</v>
      </c>
      <c r="H549" s="879"/>
      <c r="I549" s="861" t="s">
        <v>2494</v>
      </c>
      <c r="J549" s="871"/>
      <c r="K549" s="861" t="s">
        <v>519</v>
      </c>
      <c r="L549" s="856"/>
      <c r="M549" s="862"/>
      <c r="N549" s="856"/>
      <c r="O549" s="863" t="s">
        <v>900</v>
      </c>
      <c r="P549" s="861">
        <v>2013</v>
      </c>
      <c r="Q549" s="862"/>
      <c r="R549" s="862"/>
      <c r="S549" s="862"/>
      <c r="T549" s="862" t="s">
        <v>12</v>
      </c>
      <c r="U549" s="899">
        <v>1684357399</v>
      </c>
      <c r="V549" s="861"/>
      <c r="W549" s="865"/>
      <c r="X549" s="968"/>
      <c r="Y549" s="884" t="str">
        <f t="shared" si="184"/>
        <v>04.13.01</v>
      </c>
      <c r="Z549" s="884" t="str">
        <f t="shared" si="185"/>
        <v>Jalan</v>
      </c>
      <c r="AA549" s="884">
        <f t="shared" si="186"/>
        <v>10</v>
      </c>
      <c r="AB549" s="868">
        <f t="shared" si="188"/>
        <v>168435739.90000001</v>
      </c>
      <c r="AC549" s="885">
        <f t="shared" si="189"/>
        <v>1</v>
      </c>
      <c r="AD549" s="868">
        <f t="shared" si="190"/>
        <v>168435739.90000001</v>
      </c>
      <c r="AE549" s="868">
        <f t="shared" si="191"/>
        <v>168435739.90000001</v>
      </c>
      <c r="AF549" s="868">
        <f t="shared" si="192"/>
        <v>168435739.90000001</v>
      </c>
      <c r="AG549" s="868">
        <f t="shared" si="193"/>
        <v>168435739.90000001</v>
      </c>
      <c r="AH549" s="868">
        <f t="shared" si="194"/>
        <v>168435739.90000001</v>
      </c>
      <c r="AI549" s="886">
        <f t="shared" si="195"/>
        <v>168435739.90000001</v>
      </c>
      <c r="AJ549" s="886">
        <f t="shared" si="196"/>
        <v>1010614439.4</v>
      </c>
      <c r="AK549" s="868">
        <f t="shared" si="183"/>
        <v>673742959.60000002</v>
      </c>
    </row>
    <row r="550" spans="1:37" s="857" customFormat="1" ht="35.25" customHeight="1" x14ac:dyDescent="0.2">
      <c r="A550" s="857" t="s">
        <v>4890</v>
      </c>
      <c r="B550" s="857" t="e">
        <f t="shared" si="182"/>
        <v>#N/A</v>
      </c>
      <c r="E550" s="884" t="str">
        <f t="shared" si="187"/>
        <v/>
      </c>
      <c r="F550" s="855"/>
      <c r="G550" s="878" t="s">
        <v>1293</v>
      </c>
      <c r="H550" s="879"/>
      <c r="I550" s="861" t="s">
        <v>3822</v>
      </c>
      <c r="J550" s="871"/>
      <c r="K550" s="861"/>
      <c r="L550" s="856"/>
      <c r="M550" s="862"/>
      <c r="N550" s="856"/>
      <c r="O550" s="863" t="s">
        <v>3178</v>
      </c>
      <c r="P550" s="861">
        <v>2013</v>
      </c>
      <c r="Q550" s="862"/>
      <c r="R550" s="862"/>
      <c r="S550" s="862"/>
      <c r="T550" s="862" t="s">
        <v>12</v>
      </c>
      <c r="U550" s="899">
        <v>783907728</v>
      </c>
      <c r="V550" s="861"/>
      <c r="W550" s="865"/>
      <c r="X550" s="968"/>
      <c r="Y550" s="884" t="str">
        <f t="shared" si="184"/>
        <v>04.13.02</v>
      </c>
      <c r="Z550" s="884" t="str">
        <f t="shared" si="185"/>
        <v>Jembatan</v>
      </c>
      <c r="AA550" s="884">
        <f t="shared" si="186"/>
        <v>50</v>
      </c>
      <c r="AB550" s="868">
        <f t="shared" si="188"/>
        <v>15678154.560000001</v>
      </c>
      <c r="AC550" s="885">
        <f t="shared" si="189"/>
        <v>1</v>
      </c>
      <c r="AD550" s="868">
        <f t="shared" si="190"/>
        <v>15678154.560000001</v>
      </c>
      <c r="AE550" s="868">
        <f t="shared" si="191"/>
        <v>15678154.560000001</v>
      </c>
      <c r="AF550" s="868">
        <f t="shared" si="192"/>
        <v>15678154.560000001</v>
      </c>
      <c r="AG550" s="868">
        <f t="shared" si="193"/>
        <v>15678154.560000001</v>
      </c>
      <c r="AH550" s="868">
        <f t="shared" si="194"/>
        <v>15678154.560000001</v>
      </c>
      <c r="AI550" s="886">
        <f t="shared" si="195"/>
        <v>15678154.560000001</v>
      </c>
      <c r="AJ550" s="886">
        <f t="shared" si="196"/>
        <v>94068927.359999999</v>
      </c>
      <c r="AK550" s="868">
        <f t="shared" si="183"/>
        <v>689838800.63999999</v>
      </c>
    </row>
    <row r="551" spans="1:37" s="857" customFormat="1" ht="35.25" customHeight="1" x14ac:dyDescent="0.2">
      <c r="A551" s="857">
        <v>64</v>
      </c>
      <c r="B551" s="857" t="str">
        <f t="shared" si="182"/>
        <v>JL. SMK - SMK</v>
      </c>
      <c r="E551" s="884" t="str">
        <f t="shared" si="187"/>
        <v/>
      </c>
      <c r="F551" s="855"/>
      <c r="G551" s="878" t="s">
        <v>1296</v>
      </c>
      <c r="H551" s="879"/>
      <c r="I551" s="861" t="s">
        <v>3828</v>
      </c>
      <c r="J551" s="871"/>
      <c r="K551" s="861" t="s">
        <v>835</v>
      </c>
      <c r="L551" s="856"/>
      <c r="M551" s="862"/>
      <c r="N551" s="856"/>
      <c r="O551" s="863" t="s">
        <v>619</v>
      </c>
      <c r="P551" s="861">
        <v>2013</v>
      </c>
      <c r="Q551" s="862"/>
      <c r="R551" s="862"/>
      <c r="S551" s="862"/>
      <c r="T551" s="862" t="s">
        <v>12</v>
      </c>
      <c r="U551" s="899">
        <v>195230504</v>
      </c>
      <c r="V551" s="861"/>
      <c r="W551" s="865"/>
      <c r="X551" s="968"/>
      <c r="Y551" s="884" t="str">
        <f t="shared" si="184"/>
        <v>04.13.01</v>
      </c>
      <c r="Z551" s="884" t="str">
        <f t="shared" si="185"/>
        <v>Jalan</v>
      </c>
      <c r="AA551" s="884">
        <f t="shared" si="186"/>
        <v>10</v>
      </c>
      <c r="AB551" s="868">
        <f t="shared" si="188"/>
        <v>19523050.399999999</v>
      </c>
      <c r="AC551" s="885">
        <f t="shared" si="189"/>
        <v>1</v>
      </c>
      <c r="AD551" s="868">
        <f t="shared" si="190"/>
        <v>19523050.399999999</v>
      </c>
      <c r="AE551" s="868">
        <f t="shared" si="191"/>
        <v>19523050.399999999</v>
      </c>
      <c r="AF551" s="868">
        <f t="shared" si="192"/>
        <v>19523050.399999999</v>
      </c>
      <c r="AG551" s="868">
        <f t="shared" si="193"/>
        <v>19523050.399999999</v>
      </c>
      <c r="AH551" s="868">
        <f t="shared" si="194"/>
        <v>19523050.399999999</v>
      </c>
      <c r="AI551" s="886">
        <f t="shared" si="195"/>
        <v>19523050.399999999</v>
      </c>
      <c r="AJ551" s="886">
        <f t="shared" si="196"/>
        <v>117138302.40000001</v>
      </c>
      <c r="AK551" s="868">
        <f t="shared" si="183"/>
        <v>78092201.599999994</v>
      </c>
    </row>
    <row r="552" spans="1:37" s="857" customFormat="1" ht="35.25" customHeight="1" x14ac:dyDescent="0.2">
      <c r="A552" s="857" t="s">
        <v>4890</v>
      </c>
      <c r="B552" s="857" t="e">
        <f t="shared" ref="B552:B615" si="197">VLOOKUP(A552,RUAS,2,FALSE)</f>
        <v>#N/A</v>
      </c>
      <c r="E552" s="884" t="str">
        <f t="shared" si="187"/>
        <v/>
      </c>
      <c r="F552" s="855"/>
      <c r="G552" s="878" t="s">
        <v>1303</v>
      </c>
      <c r="H552" s="879"/>
      <c r="I552" s="861" t="s">
        <v>2494</v>
      </c>
      <c r="J552" s="871"/>
      <c r="K552" s="861"/>
      <c r="L552" s="856"/>
      <c r="M552" s="862"/>
      <c r="N552" s="856"/>
      <c r="O552" s="863" t="s">
        <v>3151</v>
      </c>
      <c r="P552" s="861">
        <v>2014</v>
      </c>
      <c r="Q552" s="862"/>
      <c r="R552" s="862"/>
      <c r="S552" s="862"/>
      <c r="T552" s="862"/>
      <c r="U552" s="899">
        <v>197994103</v>
      </c>
      <c r="V552" s="861"/>
      <c r="W552" s="865"/>
      <c r="X552" s="968"/>
      <c r="Y552" s="884" t="str">
        <f t="shared" si="184"/>
        <v>04.13.01</v>
      </c>
      <c r="Z552" s="884" t="str">
        <f t="shared" si="185"/>
        <v>Jalan</v>
      </c>
      <c r="AA552" s="884">
        <f t="shared" si="186"/>
        <v>10</v>
      </c>
      <c r="AB552" s="868">
        <f t="shared" si="188"/>
        <v>19799410.300000001</v>
      </c>
      <c r="AC552" s="885">
        <f t="shared" si="189"/>
        <v>0</v>
      </c>
      <c r="AD552" s="868">
        <f t="shared" si="190"/>
        <v>0</v>
      </c>
      <c r="AE552" s="868">
        <f t="shared" si="191"/>
        <v>19799410.300000001</v>
      </c>
      <c r="AF552" s="868">
        <f t="shared" si="192"/>
        <v>19799410.300000001</v>
      </c>
      <c r="AG552" s="868">
        <f t="shared" si="193"/>
        <v>19799410.300000001</v>
      </c>
      <c r="AH552" s="868">
        <f t="shared" si="194"/>
        <v>19799410.300000001</v>
      </c>
      <c r="AI552" s="886">
        <f t="shared" si="195"/>
        <v>19799410.300000001</v>
      </c>
      <c r="AJ552" s="886">
        <f t="shared" si="196"/>
        <v>98997051.5</v>
      </c>
      <c r="AK552" s="868">
        <f t="shared" si="183"/>
        <v>98997051.5</v>
      </c>
    </row>
    <row r="553" spans="1:37" s="857" customFormat="1" ht="35.25" customHeight="1" x14ac:dyDescent="0.2">
      <c r="A553" s="857">
        <v>160</v>
      </c>
      <c r="B553" s="857" t="str">
        <f t="shared" si="197"/>
        <v>PULAU KUMPAI - PS. USANG BASERAH</v>
      </c>
      <c r="E553" s="884" t="str">
        <f t="shared" si="187"/>
        <v/>
      </c>
      <c r="F553" s="855"/>
      <c r="G553" s="878" t="s">
        <v>1304</v>
      </c>
      <c r="H553" s="879"/>
      <c r="I553" s="861" t="s">
        <v>3827</v>
      </c>
      <c r="J553" s="871"/>
      <c r="K553" s="861"/>
      <c r="L553" s="856"/>
      <c r="M553" s="862"/>
      <c r="N553" s="856"/>
      <c r="O553" s="863" t="s">
        <v>3182</v>
      </c>
      <c r="P553" s="861">
        <v>2014</v>
      </c>
      <c r="Q553" s="862"/>
      <c r="R553" s="862"/>
      <c r="S553" s="862"/>
      <c r="T553" s="862"/>
      <c r="U553" s="899">
        <v>187443170</v>
      </c>
      <c r="V553" s="861"/>
      <c r="W553" s="865"/>
      <c r="X553" s="968"/>
      <c r="Y553" s="884" t="str">
        <f t="shared" si="184"/>
        <v>04.13.02</v>
      </c>
      <c r="Z553" s="884" t="str">
        <f t="shared" si="185"/>
        <v>Jembatan</v>
      </c>
      <c r="AA553" s="884">
        <f t="shared" si="186"/>
        <v>50</v>
      </c>
      <c r="AB553" s="868">
        <f t="shared" si="188"/>
        <v>3748863.4</v>
      </c>
      <c r="AC553" s="885">
        <f t="shared" si="189"/>
        <v>0</v>
      </c>
      <c r="AD553" s="868">
        <f t="shared" si="190"/>
        <v>0</v>
      </c>
      <c r="AE553" s="868">
        <f t="shared" si="191"/>
        <v>3748863.4</v>
      </c>
      <c r="AF553" s="868">
        <f t="shared" si="192"/>
        <v>3748863.4</v>
      </c>
      <c r="AG553" s="868">
        <f t="shared" si="193"/>
        <v>3748863.4</v>
      </c>
      <c r="AH553" s="868">
        <f t="shared" si="194"/>
        <v>3748863.4</v>
      </c>
      <c r="AI553" s="886">
        <f t="shared" si="195"/>
        <v>3748863.4</v>
      </c>
      <c r="AJ553" s="886">
        <f t="shared" si="196"/>
        <v>18744317</v>
      </c>
      <c r="AK553" s="868">
        <f t="shared" si="183"/>
        <v>168698853</v>
      </c>
    </row>
    <row r="554" spans="1:37" s="857" customFormat="1" ht="35.25" customHeight="1" x14ac:dyDescent="0.2">
      <c r="A554" s="857">
        <v>181</v>
      </c>
      <c r="B554" s="857" t="str">
        <f t="shared" si="197"/>
        <v>SIMP. RAMBAHAN - RAMBAHAN</v>
      </c>
      <c r="E554" s="884" t="str">
        <f t="shared" si="187"/>
        <v/>
      </c>
      <c r="F554" s="890"/>
      <c r="G554" s="916" t="s">
        <v>1305</v>
      </c>
      <c r="H554" s="917"/>
      <c r="I554" s="903" t="s">
        <v>3822</v>
      </c>
      <c r="J554" s="862"/>
      <c r="K554" s="903"/>
      <c r="L554" s="908"/>
      <c r="M554" s="862"/>
      <c r="N554" s="908"/>
      <c r="O554" s="863" t="s">
        <v>3183</v>
      </c>
      <c r="P554" s="861">
        <v>2014</v>
      </c>
      <c r="Q554" s="862"/>
      <c r="R554" s="862"/>
      <c r="S554" s="907"/>
      <c r="T554" s="903"/>
      <c r="U554" s="879">
        <v>1834435855</v>
      </c>
      <c r="V554" s="861"/>
      <c r="W554" s="865"/>
      <c r="X554" s="968"/>
      <c r="Y554" s="884" t="str">
        <f t="shared" si="184"/>
        <v>04.13.02</v>
      </c>
      <c r="Z554" s="884" t="str">
        <f t="shared" si="185"/>
        <v>Jembatan</v>
      </c>
      <c r="AA554" s="884">
        <f t="shared" si="186"/>
        <v>50</v>
      </c>
      <c r="AB554" s="868">
        <f t="shared" si="188"/>
        <v>36688717.100000001</v>
      </c>
      <c r="AC554" s="885">
        <f t="shared" si="189"/>
        <v>0</v>
      </c>
      <c r="AD554" s="868">
        <f t="shared" si="190"/>
        <v>0</v>
      </c>
      <c r="AE554" s="868">
        <f t="shared" si="191"/>
        <v>36688717.100000001</v>
      </c>
      <c r="AF554" s="868">
        <f t="shared" si="192"/>
        <v>36688717.100000001</v>
      </c>
      <c r="AG554" s="868">
        <f t="shared" si="193"/>
        <v>36688717.100000001</v>
      </c>
      <c r="AH554" s="868">
        <f t="shared" si="194"/>
        <v>36688717.100000001</v>
      </c>
      <c r="AI554" s="886">
        <f t="shared" si="195"/>
        <v>36688717.100000001</v>
      </c>
      <c r="AJ554" s="886">
        <f t="shared" si="196"/>
        <v>183443585.5</v>
      </c>
      <c r="AK554" s="868">
        <f t="shared" si="183"/>
        <v>1650992269.5</v>
      </c>
    </row>
    <row r="555" spans="1:37" s="857" customFormat="1" ht="35.25" customHeight="1" x14ac:dyDescent="0.2">
      <c r="A555" s="857">
        <v>1</v>
      </c>
      <c r="B555" s="857" t="str">
        <f t="shared" si="197"/>
        <v>SEB. TELUK KUANTAN - SEB. BENAI</v>
      </c>
      <c r="E555" s="884" t="str">
        <f t="shared" si="187"/>
        <v/>
      </c>
      <c r="F555" s="890"/>
      <c r="G555" s="862" t="s">
        <v>1307</v>
      </c>
      <c r="H555" s="899"/>
      <c r="I555" s="907" t="s">
        <v>2494</v>
      </c>
      <c r="J555" s="903"/>
      <c r="K555" s="862"/>
      <c r="L555" s="908"/>
      <c r="M555" s="862"/>
      <c r="N555" s="909"/>
      <c r="O555" s="861" t="s">
        <v>3184</v>
      </c>
      <c r="P555" s="903">
        <v>2014</v>
      </c>
      <c r="Q555" s="862"/>
      <c r="R555" s="862"/>
      <c r="S555" s="862"/>
      <c r="T555" s="903"/>
      <c r="U555" s="910">
        <v>1894172066</v>
      </c>
      <c r="V555" s="905"/>
      <c r="W555" s="906"/>
      <c r="X555" s="970"/>
      <c r="Y555" s="884" t="str">
        <f t="shared" si="184"/>
        <v>04.13.01</v>
      </c>
      <c r="Z555" s="884" t="str">
        <f t="shared" si="185"/>
        <v>Jalan</v>
      </c>
      <c r="AA555" s="884">
        <f t="shared" si="186"/>
        <v>10</v>
      </c>
      <c r="AB555" s="868">
        <f t="shared" si="188"/>
        <v>189417206.59999999</v>
      </c>
      <c r="AC555" s="885">
        <f t="shared" si="189"/>
        <v>0</v>
      </c>
      <c r="AD555" s="868">
        <f t="shared" si="190"/>
        <v>0</v>
      </c>
      <c r="AE555" s="868">
        <f t="shared" si="191"/>
        <v>189417206.59999999</v>
      </c>
      <c r="AF555" s="868">
        <f t="shared" si="192"/>
        <v>189417206.59999999</v>
      </c>
      <c r="AG555" s="868">
        <f t="shared" si="193"/>
        <v>189417206.59999999</v>
      </c>
      <c r="AH555" s="868">
        <f t="shared" si="194"/>
        <v>189417206.59999999</v>
      </c>
      <c r="AI555" s="886">
        <f t="shared" si="195"/>
        <v>189417206.59999999</v>
      </c>
      <c r="AJ555" s="886">
        <f t="shared" si="196"/>
        <v>947086033</v>
      </c>
      <c r="AK555" s="868">
        <f t="shared" si="183"/>
        <v>947086033</v>
      </c>
    </row>
    <row r="556" spans="1:37" s="857" customFormat="1" ht="35.25" customHeight="1" x14ac:dyDescent="0.2">
      <c r="A556" s="857">
        <v>260</v>
      </c>
      <c r="B556" s="857" t="str">
        <f t="shared" si="197"/>
        <v>BENAI - KOTO RAJO</v>
      </c>
      <c r="E556" s="884" t="str">
        <f t="shared" si="187"/>
        <v/>
      </c>
      <c r="F556" s="890"/>
      <c r="G556" s="862" t="s">
        <v>1313</v>
      </c>
      <c r="H556" s="899"/>
      <c r="I556" s="907" t="s">
        <v>2494</v>
      </c>
      <c r="J556" s="903"/>
      <c r="K556" s="862"/>
      <c r="L556" s="908"/>
      <c r="M556" s="862"/>
      <c r="N556" s="909"/>
      <c r="O556" s="861" t="s">
        <v>3188</v>
      </c>
      <c r="P556" s="903">
        <v>2014</v>
      </c>
      <c r="Q556" s="862"/>
      <c r="R556" s="862"/>
      <c r="S556" s="862"/>
      <c r="T556" s="903"/>
      <c r="U556" s="910">
        <v>1930134008</v>
      </c>
      <c r="V556" s="905"/>
      <c r="W556" s="906"/>
      <c r="X556" s="970"/>
      <c r="Y556" s="884" t="str">
        <f t="shared" si="184"/>
        <v>04.13.01</v>
      </c>
      <c r="Z556" s="884" t="str">
        <f t="shared" si="185"/>
        <v>Jalan</v>
      </c>
      <c r="AA556" s="884">
        <f t="shared" si="186"/>
        <v>10</v>
      </c>
      <c r="AB556" s="868">
        <f t="shared" si="188"/>
        <v>193013400.80000001</v>
      </c>
      <c r="AC556" s="885">
        <f t="shared" si="189"/>
        <v>0</v>
      </c>
      <c r="AD556" s="868">
        <f t="shared" si="190"/>
        <v>0</v>
      </c>
      <c r="AE556" s="868">
        <f t="shared" si="191"/>
        <v>193013400.80000001</v>
      </c>
      <c r="AF556" s="868">
        <f t="shared" si="192"/>
        <v>193013400.80000001</v>
      </c>
      <c r="AG556" s="868">
        <f t="shared" si="193"/>
        <v>193013400.80000001</v>
      </c>
      <c r="AH556" s="868">
        <f t="shared" si="194"/>
        <v>193013400.80000001</v>
      </c>
      <c r="AI556" s="886">
        <f t="shared" si="195"/>
        <v>193013400.80000001</v>
      </c>
      <c r="AJ556" s="886">
        <f t="shared" si="196"/>
        <v>965067004</v>
      </c>
      <c r="AK556" s="868">
        <f t="shared" si="183"/>
        <v>965067004</v>
      </c>
    </row>
    <row r="557" spans="1:37" s="857" customFormat="1" ht="35.25" customHeight="1" x14ac:dyDescent="0.2">
      <c r="A557" s="857">
        <v>231</v>
      </c>
      <c r="B557" s="857" t="str">
        <f t="shared" si="197"/>
        <v>PASIR MAS - SAKO MARGASARI</v>
      </c>
      <c r="E557" s="884" t="str">
        <f t="shared" si="187"/>
        <v/>
      </c>
      <c r="F557" s="890"/>
      <c r="G557" s="862" t="s">
        <v>1317</v>
      </c>
      <c r="H557" s="899"/>
      <c r="I557" s="907" t="s">
        <v>2494</v>
      </c>
      <c r="J557" s="903"/>
      <c r="K557" s="862"/>
      <c r="L557" s="908"/>
      <c r="M557" s="862"/>
      <c r="N557" s="909"/>
      <c r="O557" s="863" t="s">
        <v>3190</v>
      </c>
      <c r="P557" s="903">
        <v>2014</v>
      </c>
      <c r="Q557" s="862"/>
      <c r="R557" s="862"/>
      <c r="S557" s="862"/>
      <c r="T557" s="903"/>
      <c r="U557" s="910">
        <v>1913817758</v>
      </c>
      <c r="V557" s="905"/>
      <c r="W557" s="906"/>
      <c r="X557" s="970"/>
      <c r="Y557" s="884" t="str">
        <f t="shared" si="184"/>
        <v>04.13.01</v>
      </c>
      <c r="Z557" s="884" t="str">
        <f t="shared" si="185"/>
        <v>Jalan</v>
      </c>
      <c r="AA557" s="884">
        <f t="shared" si="186"/>
        <v>10</v>
      </c>
      <c r="AB557" s="868">
        <f t="shared" si="188"/>
        <v>191381775.80000001</v>
      </c>
      <c r="AC557" s="885">
        <f t="shared" si="189"/>
        <v>0</v>
      </c>
      <c r="AD557" s="868">
        <f t="shared" si="190"/>
        <v>0</v>
      </c>
      <c r="AE557" s="868">
        <f t="shared" si="191"/>
        <v>191381775.80000001</v>
      </c>
      <c r="AF557" s="868">
        <f t="shared" si="192"/>
        <v>191381775.80000001</v>
      </c>
      <c r="AG557" s="868">
        <f t="shared" si="193"/>
        <v>191381775.80000001</v>
      </c>
      <c r="AH557" s="868">
        <f t="shared" si="194"/>
        <v>191381775.80000001</v>
      </c>
      <c r="AI557" s="886">
        <f t="shared" si="195"/>
        <v>191381775.80000001</v>
      </c>
      <c r="AJ557" s="886">
        <f t="shared" si="196"/>
        <v>956908879</v>
      </c>
      <c r="AK557" s="868">
        <f t="shared" si="183"/>
        <v>956908879</v>
      </c>
    </row>
    <row r="558" spans="1:37" s="857" customFormat="1" ht="35.25" customHeight="1" x14ac:dyDescent="0.2">
      <c r="A558" s="857">
        <v>83</v>
      </c>
      <c r="B558" s="857" t="str">
        <f t="shared" si="197"/>
        <v>LUBUK JAMBI - LUBUK AMBACANG</v>
      </c>
      <c r="E558" s="884" t="str">
        <f t="shared" si="187"/>
        <v/>
      </c>
      <c r="F558" s="890"/>
      <c r="G558" s="862" t="s">
        <v>1318</v>
      </c>
      <c r="H558" s="899"/>
      <c r="I558" s="907" t="s">
        <v>2494</v>
      </c>
      <c r="J558" s="903"/>
      <c r="K558" s="862"/>
      <c r="L558" s="908"/>
      <c r="M558" s="862"/>
      <c r="N558" s="909"/>
      <c r="O558" s="861" t="s">
        <v>3191</v>
      </c>
      <c r="P558" s="903">
        <v>2014</v>
      </c>
      <c r="Q558" s="862"/>
      <c r="R558" s="862"/>
      <c r="S558" s="862"/>
      <c r="T558" s="903"/>
      <c r="U558" s="910">
        <v>9827462391.6313477</v>
      </c>
      <c r="V558" s="905"/>
      <c r="W558" s="906"/>
      <c r="X558" s="970"/>
      <c r="Y558" s="884" t="str">
        <f t="shared" si="184"/>
        <v>04.13.01</v>
      </c>
      <c r="Z558" s="884" t="str">
        <f t="shared" si="185"/>
        <v>Jalan</v>
      </c>
      <c r="AA558" s="884">
        <f t="shared" si="186"/>
        <v>10</v>
      </c>
      <c r="AB558" s="868">
        <f t="shared" si="188"/>
        <v>982746239.16313481</v>
      </c>
      <c r="AC558" s="885">
        <f t="shared" si="189"/>
        <v>0</v>
      </c>
      <c r="AD558" s="868">
        <f t="shared" si="190"/>
        <v>0</v>
      </c>
      <c r="AE558" s="868">
        <f t="shared" si="191"/>
        <v>982746239.16313481</v>
      </c>
      <c r="AF558" s="868">
        <f t="shared" si="192"/>
        <v>982746239.16313481</v>
      </c>
      <c r="AG558" s="868">
        <f t="shared" si="193"/>
        <v>982746239.16313481</v>
      </c>
      <c r="AH558" s="868">
        <f t="shared" si="194"/>
        <v>982746239.16313481</v>
      </c>
      <c r="AI558" s="886">
        <f t="shared" si="195"/>
        <v>982746239.16313481</v>
      </c>
      <c r="AJ558" s="886">
        <f t="shared" si="196"/>
        <v>4913731195.8156738</v>
      </c>
      <c r="AK558" s="868">
        <f t="shared" si="183"/>
        <v>4913731195.8156738</v>
      </c>
    </row>
    <row r="559" spans="1:37" s="857" customFormat="1" ht="35.25" customHeight="1" x14ac:dyDescent="0.2">
      <c r="A559" s="857" t="s">
        <v>4890</v>
      </c>
      <c r="B559" s="857" t="e">
        <f t="shared" si="197"/>
        <v>#N/A</v>
      </c>
      <c r="E559" s="884" t="str">
        <f t="shared" si="187"/>
        <v/>
      </c>
      <c r="F559" s="890"/>
      <c r="G559" s="862" t="s">
        <v>1319</v>
      </c>
      <c r="H559" s="899"/>
      <c r="I559" s="907" t="s">
        <v>2494</v>
      </c>
      <c r="J559" s="903"/>
      <c r="K559" s="862"/>
      <c r="L559" s="908"/>
      <c r="M559" s="862"/>
      <c r="N559" s="909"/>
      <c r="O559" s="863" t="s">
        <v>3192</v>
      </c>
      <c r="P559" s="903">
        <v>2014</v>
      </c>
      <c r="Q559" s="862"/>
      <c r="R559" s="862"/>
      <c r="S559" s="862"/>
      <c r="T559" s="903"/>
      <c r="U559" s="910">
        <v>1947872840</v>
      </c>
      <c r="V559" s="905"/>
      <c r="W559" s="906"/>
      <c r="X559" s="970"/>
      <c r="Y559" s="884" t="str">
        <f t="shared" si="184"/>
        <v>04.13.01</v>
      </c>
      <c r="Z559" s="884" t="str">
        <f t="shared" si="185"/>
        <v>Jalan</v>
      </c>
      <c r="AA559" s="884">
        <f t="shared" si="186"/>
        <v>10</v>
      </c>
      <c r="AB559" s="868">
        <f t="shared" si="188"/>
        <v>194787284</v>
      </c>
      <c r="AC559" s="885">
        <f t="shared" si="189"/>
        <v>0</v>
      </c>
      <c r="AD559" s="868">
        <f t="shared" si="190"/>
        <v>0</v>
      </c>
      <c r="AE559" s="868">
        <f t="shared" si="191"/>
        <v>194787284</v>
      </c>
      <c r="AF559" s="868">
        <f t="shared" si="192"/>
        <v>194787284</v>
      </c>
      <c r="AG559" s="868">
        <f t="shared" si="193"/>
        <v>194787284</v>
      </c>
      <c r="AH559" s="868">
        <f t="shared" si="194"/>
        <v>194787284</v>
      </c>
      <c r="AI559" s="886">
        <f t="shared" si="195"/>
        <v>194787284</v>
      </c>
      <c r="AJ559" s="886">
        <f t="shared" si="196"/>
        <v>973936420</v>
      </c>
      <c r="AK559" s="868">
        <f t="shared" si="183"/>
        <v>973936420</v>
      </c>
    </row>
    <row r="560" spans="1:37" s="857" customFormat="1" ht="35.25" customHeight="1" x14ac:dyDescent="0.2">
      <c r="A560" s="857" t="s">
        <v>4890</v>
      </c>
      <c r="B560" s="857" t="e">
        <f t="shared" si="197"/>
        <v>#N/A</v>
      </c>
      <c r="E560" s="884" t="str">
        <f t="shared" si="187"/>
        <v/>
      </c>
      <c r="F560" s="890"/>
      <c r="G560" s="862" t="s">
        <v>1321</v>
      </c>
      <c r="H560" s="899"/>
      <c r="I560" s="907" t="s">
        <v>2494</v>
      </c>
      <c r="J560" s="903"/>
      <c r="K560" s="862"/>
      <c r="L560" s="908"/>
      <c r="M560" s="862"/>
      <c r="N560" s="909"/>
      <c r="O560" s="863" t="s">
        <v>2562</v>
      </c>
      <c r="P560" s="903">
        <v>2014</v>
      </c>
      <c r="Q560" s="862"/>
      <c r="R560" s="862"/>
      <c r="S560" s="862"/>
      <c r="T560" s="903"/>
      <c r="U560" s="910">
        <v>198146512</v>
      </c>
      <c r="V560" s="905"/>
      <c r="W560" s="906"/>
      <c r="X560" s="970"/>
      <c r="Y560" s="884" t="str">
        <f t="shared" si="184"/>
        <v>04.13.01</v>
      </c>
      <c r="Z560" s="884" t="str">
        <f t="shared" si="185"/>
        <v>Jalan</v>
      </c>
      <c r="AA560" s="884">
        <f t="shared" si="186"/>
        <v>10</v>
      </c>
      <c r="AB560" s="868">
        <f t="shared" si="188"/>
        <v>19814651.199999999</v>
      </c>
      <c r="AC560" s="885">
        <f t="shared" si="189"/>
        <v>0</v>
      </c>
      <c r="AD560" s="868">
        <f t="shared" si="190"/>
        <v>0</v>
      </c>
      <c r="AE560" s="868">
        <f t="shared" si="191"/>
        <v>19814651.199999999</v>
      </c>
      <c r="AF560" s="868">
        <f t="shared" si="192"/>
        <v>19814651.199999999</v>
      </c>
      <c r="AG560" s="868">
        <f t="shared" si="193"/>
        <v>19814651.199999999</v>
      </c>
      <c r="AH560" s="868">
        <f t="shared" si="194"/>
        <v>19814651.199999999</v>
      </c>
      <c r="AI560" s="886">
        <f t="shared" si="195"/>
        <v>19814651.199999999</v>
      </c>
      <c r="AJ560" s="886">
        <f t="shared" si="196"/>
        <v>99073256</v>
      </c>
      <c r="AK560" s="868">
        <f t="shared" si="183"/>
        <v>99073256</v>
      </c>
    </row>
    <row r="561" spans="1:37" s="857" customFormat="1" ht="35.25" customHeight="1" x14ac:dyDescent="0.2">
      <c r="A561" s="857" t="s">
        <v>4890</v>
      </c>
      <c r="B561" s="857" t="e">
        <f t="shared" si="197"/>
        <v>#N/A</v>
      </c>
      <c r="E561" s="884" t="str">
        <f t="shared" si="187"/>
        <v/>
      </c>
      <c r="F561" s="890"/>
      <c r="G561" s="862" t="s">
        <v>1322</v>
      </c>
      <c r="H561" s="899"/>
      <c r="I561" s="907" t="s">
        <v>2494</v>
      </c>
      <c r="J561" s="903"/>
      <c r="K561" s="862"/>
      <c r="L561" s="908"/>
      <c r="M561" s="862"/>
      <c r="N561" s="909"/>
      <c r="O561" s="863" t="s">
        <v>3194</v>
      </c>
      <c r="P561" s="903">
        <v>2014</v>
      </c>
      <c r="Q561" s="862"/>
      <c r="R561" s="862"/>
      <c r="S561" s="862"/>
      <c r="T561" s="903"/>
      <c r="U561" s="910">
        <v>197600820</v>
      </c>
      <c r="V561" s="905"/>
      <c r="W561" s="906"/>
      <c r="X561" s="970"/>
      <c r="Y561" s="884" t="str">
        <f t="shared" si="184"/>
        <v>04.13.01</v>
      </c>
      <c r="Z561" s="884" t="str">
        <f t="shared" si="185"/>
        <v>Jalan</v>
      </c>
      <c r="AA561" s="884">
        <f t="shared" si="186"/>
        <v>10</v>
      </c>
      <c r="AB561" s="868">
        <f t="shared" si="188"/>
        <v>19760082</v>
      </c>
      <c r="AC561" s="885">
        <f t="shared" si="189"/>
        <v>0</v>
      </c>
      <c r="AD561" s="868">
        <f t="shared" si="190"/>
        <v>0</v>
      </c>
      <c r="AE561" s="868">
        <f t="shared" si="191"/>
        <v>19760082</v>
      </c>
      <c r="AF561" s="868">
        <f t="shared" si="192"/>
        <v>19760082</v>
      </c>
      <c r="AG561" s="868">
        <f t="shared" si="193"/>
        <v>19760082</v>
      </c>
      <c r="AH561" s="868">
        <f t="shared" si="194"/>
        <v>19760082</v>
      </c>
      <c r="AI561" s="886">
        <f t="shared" si="195"/>
        <v>19760082</v>
      </c>
      <c r="AJ561" s="886">
        <f t="shared" si="196"/>
        <v>98800410</v>
      </c>
      <c r="AK561" s="868">
        <f t="shared" si="183"/>
        <v>98800410</v>
      </c>
    </row>
    <row r="562" spans="1:37" s="857" customFormat="1" ht="35.25" customHeight="1" x14ac:dyDescent="0.2">
      <c r="A562" s="857" t="s">
        <v>4890</v>
      </c>
      <c r="B562" s="857" t="e">
        <f t="shared" si="197"/>
        <v>#N/A</v>
      </c>
      <c r="E562" s="884" t="str">
        <f t="shared" si="187"/>
        <v/>
      </c>
      <c r="F562" s="890"/>
      <c r="G562" s="862" t="s">
        <v>1323</v>
      </c>
      <c r="H562" s="899"/>
      <c r="I562" s="907" t="s">
        <v>2514</v>
      </c>
      <c r="J562" s="903"/>
      <c r="K562" s="862"/>
      <c r="L562" s="908"/>
      <c r="M562" s="862"/>
      <c r="N562" s="909"/>
      <c r="O562" s="863" t="s">
        <v>2574</v>
      </c>
      <c r="P562" s="903">
        <v>2014</v>
      </c>
      <c r="Q562" s="862"/>
      <c r="R562" s="862"/>
      <c r="S562" s="862"/>
      <c r="T562" s="903"/>
      <c r="U562" s="910">
        <v>198334296</v>
      </c>
      <c r="V562" s="905"/>
      <c r="W562" s="906"/>
      <c r="X562" s="970"/>
      <c r="Y562" s="884" t="str">
        <f t="shared" si="184"/>
        <v>04.14.02</v>
      </c>
      <c r="Z562" s="884" t="str">
        <f t="shared" si="185"/>
        <v>Bangunan Air Pasang Surut</v>
      </c>
      <c r="AA562" s="884">
        <f t="shared" si="186"/>
        <v>50</v>
      </c>
      <c r="AB562" s="868">
        <f t="shared" si="188"/>
        <v>3966685.92</v>
      </c>
      <c r="AC562" s="885">
        <f t="shared" si="189"/>
        <v>0</v>
      </c>
      <c r="AD562" s="868">
        <f t="shared" si="190"/>
        <v>0</v>
      </c>
      <c r="AE562" s="868">
        <f t="shared" si="191"/>
        <v>3966685.92</v>
      </c>
      <c r="AF562" s="868">
        <f t="shared" si="192"/>
        <v>3966685.92</v>
      </c>
      <c r="AG562" s="868">
        <f t="shared" si="193"/>
        <v>3966685.92</v>
      </c>
      <c r="AH562" s="868">
        <f t="shared" si="194"/>
        <v>3966685.92</v>
      </c>
      <c r="AI562" s="886">
        <f t="shared" si="195"/>
        <v>3966685.92</v>
      </c>
      <c r="AJ562" s="886">
        <f t="shared" si="196"/>
        <v>19833429.600000001</v>
      </c>
      <c r="AK562" s="868">
        <f t="shared" si="183"/>
        <v>178500866.40000001</v>
      </c>
    </row>
    <row r="563" spans="1:37" s="857" customFormat="1" ht="35.25" customHeight="1" x14ac:dyDescent="0.2">
      <c r="A563" s="857">
        <v>65</v>
      </c>
      <c r="B563" s="857" t="str">
        <f t="shared" si="197"/>
        <v>SIMP. STM BERINGIN - SAWAH</v>
      </c>
      <c r="E563" s="884" t="str">
        <f t="shared" si="187"/>
        <v/>
      </c>
      <c r="F563" s="890"/>
      <c r="G563" s="862" t="s">
        <v>1324</v>
      </c>
      <c r="H563" s="899"/>
      <c r="I563" s="907" t="s">
        <v>2514</v>
      </c>
      <c r="J563" s="903"/>
      <c r="K563" s="862"/>
      <c r="L563" s="908"/>
      <c r="M563" s="862"/>
      <c r="N563" s="909"/>
      <c r="O563" s="861" t="s">
        <v>3195</v>
      </c>
      <c r="P563" s="903">
        <v>2014</v>
      </c>
      <c r="Q563" s="862"/>
      <c r="R563" s="862"/>
      <c r="S563" s="862"/>
      <c r="T563" s="903"/>
      <c r="U563" s="910">
        <v>197935199</v>
      </c>
      <c r="V563" s="905"/>
      <c r="W563" s="906"/>
      <c r="X563" s="970"/>
      <c r="Y563" s="884" t="str">
        <f t="shared" si="184"/>
        <v>04.14.02</v>
      </c>
      <c r="Z563" s="884" t="str">
        <f t="shared" si="185"/>
        <v>Bangunan Air Pasang Surut</v>
      </c>
      <c r="AA563" s="884">
        <f t="shared" si="186"/>
        <v>50</v>
      </c>
      <c r="AB563" s="868">
        <f t="shared" si="188"/>
        <v>3958703.98</v>
      </c>
      <c r="AC563" s="885">
        <f t="shared" si="189"/>
        <v>0</v>
      </c>
      <c r="AD563" s="868">
        <f t="shared" si="190"/>
        <v>0</v>
      </c>
      <c r="AE563" s="868">
        <f t="shared" si="191"/>
        <v>3958703.98</v>
      </c>
      <c r="AF563" s="868">
        <f t="shared" si="192"/>
        <v>3958703.98</v>
      </c>
      <c r="AG563" s="868">
        <f t="shared" si="193"/>
        <v>3958703.98</v>
      </c>
      <c r="AH563" s="868">
        <f t="shared" si="194"/>
        <v>3958703.98</v>
      </c>
      <c r="AI563" s="886">
        <f t="shared" si="195"/>
        <v>3958703.98</v>
      </c>
      <c r="AJ563" s="886">
        <f t="shared" si="196"/>
        <v>19793519.899999999</v>
      </c>
      <c r="AK563" s="868">
        <f t="shared" si="183"/>
        <v>178141679.09999999</v>
      </c>
    </row>
    <row r="564" spans="1:37" s="857" customFormat="1" ht="35.25" customHeight="1" x14ac:dyDescent="0.2">
      <c r="A564" s="857" t="s">
        <v>4890</v>
      </c>
      <c r="B564" s="857" t="e">
        <f t="shared" si="197"/>
        <v>#N/A</v>
      </c>
      <c r="E564" s="884" t="str">
        <f t="shared" si="187"/>
        <v/>
      </c>
      <c r="F564" s="890"/>
      <c r="G564" s="862" t="s">
        <v>1325</v>
      </c>
      <c r="H564" s="899"/>
      <c r="I564" s="907" t="s">
        <v>2494</v>
      </c>
      <c r="J564" s="903"/>
      <c r="K564" s="862"/>
      <c r="L564" s="908"/>
      <c r="M564" s="862"/>
      <c r="N564" s="909"/>
      <c r="O564" s="861" t="s">
        <v>3196</v>
      </c>
      <c r="P564" s="903">
        <v>2014</v>
      </c>
      <c r="Q564" s="862"/>
      <c r="R564" s="862"/>
      <c r="S564" s="862"/>
      <c r="T564" s="903"/>
      <c r="U564" s="910">
        <v>197798349</v>
      </c>
      <c r="V564" s="905"/>
      <c r="W564" s="906"/>
      <c r="X564" s="970"/>
      <c r="Y564" s="884" t="str">
        <f t="shared" si="184"/>
        <v>04.13.01</v>
      </c>
      <c r="Z564" s="884" t="str">
        <f t="shared" si="185"/>
        <v>Jalan</v>
      </c>
      <c r="AA564" s="884">
        <f t="shared" si="186"/>
        <v>10</v>
      </c>
      <c r="AB564" s="868">
        <f t="shared" si="188"/>
        <v>19779834.899999999</v>
      </c>
      <c r="AC564" s="885">
        <f t="shared" si="189"/>
        <v>0</v>
      </c>
      <c r="AD564" s="868">
        <f t="shared" si="190"/>
        <v>0</v>
      </c>
      <c r="AE564" s="868">
        <f t="shared" si="191"/>
        <v>19779834.899999999</v>
      </c>
      <c r="AF564" s="868">
        <f t="shared" si="192"/>
        <v>19779834.899999999</v>
      </c>
      <c r="AG564" s="868">
        <f t="shared" si="193"/>
        <v>19779834.899999999</v>
      </c>
      <c r="AH564" s="868">
        <f t="shared" si="194"/>
        <v>19779834.899999999</v>
      </c>
      <c r="AI564" s="886">
        <f t="shared" si="195"/>
        <v>19779834.899999999</v>
      </c>
      <c r="AJ564" s="886">
        <f t="shared" si="196"/>
        <v>98899174.5</v>
      </c>
      <c r="AK564" s="868">
        <f t="shared" si="183"/>
        <v>98899174.5</v>
      </c>
    </row>
    <row r="565" spans="1:37" s="857" customFormat="1" ht="35.25" customHeight="1" x14ac:dyDescent="0.2">
      <c r="A565" s="857" t="s">
        <v>4890</v>
      </c>
      <c r="B565" s="857" t="e">
        <f t="shared" si="197"/>
        <v>#N/A</v>
      </c>
      <c r="E565" s="884" t="str">
        <f t="shared" si="187"/>
        <v/>
      </c>
      <c r="F565" s="890"/>
      <c r="G565" s="862" t="s">
        <v>1326</v>
      </c>
      <c r="H565" s="899"/>
      <c r="I565" s="907" t="s">
        <v>2494</v>
      </c>
      <c r="J565" s="903"/>
      <c r="K565" s="862"/>
      <c r="L565" s="908"/>
      <c r="M565" s="862"/>
      <c r="N565" s="909"/>
      <c r="O565" s="861" t="s">
        <v>3197</v>
      </c>
      <c r="P565" s="903">
        <v>2014</v>
      </c>
      <c r="Q565" s="862"/>
      <c r="R565" s="862"/>
      <c r="S565" s="862"/>
      <c r="T565" s="903"/>
      <c r="U565" s="910">
        <v>197815874</v>
      </c>
      <c r="V565" s="905"/>
      <c r="W565" s="906"/>
      <c r="X565" s="970"/>
      <c r="Y565" s="884" t="str">
        <f t="shared" si="184"/>
        <v>04.13.01</v>
      </c>
      <c r="Z565" s="884" t="str">
        <f t="shared" si="185"/>
        <v>Jalan</v>
      </c>
      <c r="AA565" s="884">
        <f t="shared" si="186"/>
        <v>10</v>
      </c>
      <c r="AB565" s="868">
        <f t="shared" si="188"/>
        <v>19781587.399999999</v>
      </c>
      <c r="AC565" s="885">
        <f t="shared" si="189"/>
        <v>0</v>
      </c>
      <c r="AD565" s="868">
        <f t="shared" si="190"/>
        <v>0</v>
      </c>
      <c r="AE565" s="868">
        <f t="shared" si="191"/>
        <v>19781587.399999999</v>
      </c>
      <c r="AF565" s="868">
        <f t="shared" si="192"/>
        <v>19781587.399999999</v>
      </c>
      <c r="AG565" s="868">
        <f t="shared" si="193"/>
        <v>19781587.399999999</v>
      </c>
      <c r="AH565" s="868">
        <f t="shared" si="194"/>
        <v>19781587.399999999</v>
      </c>
      <c r="AI565" s="886">
        <f t="shared" si="195"/>
        <v>19781587.399999999</v>
      </c>
      <c r="AJ565" s="886">
        <f t="shared" si="196"/>
        <v>98907937</v>
      </c>
      <c r="AK565" s="868">
        <f t="shared" si="183"/>
        <v>98907937</v>
      </c>
    </row>
    <row r="566" spans="1:37" s="857" customFormat="1" ht="35.25" customHeight="1" x14ac:dyDescent="0.2">
      <c r="A566" s="857" t="s">
        <v>4890</v>
      </c>
      <c r="B566" s="857" t="e">
        <f t="shared" si="197"/>
        <v>#N/A</v>
      </c>
      <c r="E566" s="884" t="str">
        <f t="shared" si="187"/>
        <v/>
      </c>
      <c r="F566" s="890"/>
      <c r="G566" s="862" t="s">
        <v>1328</v>
      </c>
      <c r="H566" s="899"/>
      <c r="I566" s="907" t="s">
        <v>2494</v>
      </c>
      <c r="J566" s="903"/>
      <c r="K566" s="862"/>
      <c r="L566" s="908"/>
      <c r="M566" s="862"/>
      <c r="N566" s="909"/>
      <c r="O566" s="863" t="s">
        <v>3198</v>
      </c>
      <c r="P566" s="903">
        <v>2014</v>
      </c>
      <c r="Q566" s="862"/>
      <c r="R566" s="862"/>
      <c r="S566" s="862"/>
      <c r="T566" s="903"/>
      <c r="U566" s="910">
        <v>446302277</v>
      </c>
      <c r="V566" s="905"/>
      <c r="W566" s="906"/>
      <c r="X566" s="970"/>
      <c r="Y566" s="884" t="str">
        <f t="shared" si="184"/>
        <v>04.13.01</v>
      </c>
      <c r="Z566" s="884" t="str">
        <f t="shared" si="185"/>
        <v>Jalan</v>
      </c>
      <c r="AA566" s="884">
        <f t="shared" si="186"/>
        <v>10</v>
      </c>
      <c r="AB566" s="868">
        <f t="shared" si="188"/>
        <v>44630227.700000003</v>
      </c>
      <c r="AC566" s="885">
        <f t="shared" si="189"/>
        <v>0</v>
      </c>
      <c r="AD566" s="868">
        <f t="shared" si="190"/>
        <v>0</v>
      </c>
      <c r="AE566" s="868">
        <f t="shared" si="191"/>
        <v>44630227.700000003</v>
      </c>
      <c r="AF566" s="868">
        <f t="shared" si="192"/>
        <v>44630227.700000003</v>
      </c>
      <c r="AG566" s="868">
        <f t="shared" si="193"/>
        <v>44630227.700000003</v>
      </c>
      <c r="AH566" s="868">
        <f t="shared" si="194"/>
        <v>44630227.700000003</v>
      </c>
      <c r="AI566" s="886">
        <f t="shared" si="195"/>
        <v>44630227.700000003</v>
      </c>
      <c r="AJ566" s="886">
        <f t="shared" si="196"/>
        <v>223151138.5</v>
      </c>
      <c r="AK566" s="868">
        <f t="shared" si="183"/>
        <v>223151138.5</v>
      </c>
    </row>
    <row r="567" spans="1:37" s="857" customFormat="1" ht="35.25" customHeight="1" x14ac:dyDescent="0.2">
      <c r="A567" s="857" t="s">
        <v>4890</v>
      </c>
      <c r="B567" s="857" t="e">
        <f t="shared" si="197"/>
        <v>#N/A</v>
      </c>
      <c r="E567" s="884" t="str">
        <f t="shared" si="187"/>
        <v/>
      </c>
      <c r="F567" s="890"/>
      <c r="G567" s="862" t="s">
        <v>1329</v>
      </c>
      <c r="H567" s="899"/>
      <c r="I567" s="907" t="s">
        <v>2494</v>
      </c>
      <c r="J567" s="903"/>
      <c r="K567" s="862"/>
      <c r="L567" s="908"/>
      <c r="M567" s="862"/>
      <c r="N567" s="909"/>
      <c r="O567" s="863" t="s">
        <v>3199</v>
      </c>
      <c r="P567" s="903">
        <v>2014</v>
      </c>
      <c r="Q567" s="862"/>
      <c r="R567" s="862"/>
      <c r="S567" s="862"/>
      <c r="T567" s="903"/>
      <c r="U567" s="910">
        <v>371814177</v>
      </c>
      <c r="V567" s="905"/>
      <c r="W567" s="906"/>
      <c r="X567" s="970"/>
      <c r="Y567" s="884" t="str">
        <f t="shared" si="184"/>
        <v>04.13.01</v>
      </c>
      <c r="Z567" s="884" t="str">
        <f t="shared" si="185"/>
        <v>Jalan</v>
      </c>
      <c r="AA567" s="884">
        <f t="shared" si="186"/>
        <v>10</v>
      </c>
      <c r="AB567" s="868">
        <f t="shared" si="188"/>
        <v>37181417.700000003</v>
      </c>
      <c r="AC567" s="885">
        <f t="shared" si="189"/>
        <v>0</v>
      </c>
      <c r="AD567" s="868">
        <f t="shared" si="190"/>
        <v>0</v>
      </c>
      <c r="AE567" s="868">
        <f t="shared" si="191"/>
        <v>37181417.700000003</v>
      </c>
      <c r="AF567" s="868">
        <f t="shared" si="192"/>
        <v>37181417.700000003</v>
      </c>
      <c r="AG567" s="868">
        <f t="shared" si="193"/>
        <v>37181417.700000003</v>
      </c>
      <c r="AH567" s="868">
        <f t="shared" si="194"/>
        <v>37181417.700000003</v>
      </c>
      <c r="AI567" s="886">
        <f t="shared" si="195"/>
        <v>37181417.700000003</v>
      </c>
      <c r="AJ567" s="886">
        <f t="shared" si="196"/>
        <v>185907088.5</v>
      </c>
      <c r="AK567" s="868">
        <f t="shared" si="183"/>
        <v>185907088.5</v>
      </c>
    </row>
    <row r="568" spans="1:37" s="857" customFormat="1" ht="35.25" customHeight="1" x14ac:dyDescent="0.2">
      <c r="A568" s="857" t="s">
        <v>4890</v>
      </c>
      <c r="B568" s="857" t="e">
        <f t="shared" si="197"/>
        <v>#N/A</v>
      </c>
      <c r="E568" s="884" t="str">
        <f t="shared" si="187"/>
        <v/>
      </c>
      <c r="F568" s="890"/>
      <c r="G568" s="862" t="s">
        <v>1330</v>
      </c>
      <c r="H568" s="899"/>
      <c r="I568" s="907" t="s">
        <v>2494</v>
      </c>
      <c r="J568" s="903"/>
      <c r="K568" s="862"/>
      <c r="L568" s="908"/>
      <c r="M568" s="862"/>
      <c r="N568" s="909"/>
      <c r="O568" s="861" t="s">
        <v>3200</v>
      </c>
      <c r="P568" s="903">
        <v>2014</v>
      </c>
      <c r="Q568" s="862"/>
      <c r="R568" s="862"/>
      <c r="S568" s="862"/>
      <c r="T568" s="903"/>
      <c r="U568" s="910">
        <v>197910872</v>
      </c>
      <c r="V568" s="905"/>
      <c r="W568" s="906"/>
      <c r="X568" s="970"/>
      <c r="Y568" s="884" t="str">
        <f t="shared" si="184"/>
        <v>04.13.01</v>
      </c>
      <c r="Z568" s="884" t="str">
        <f t="shared" si="185"/>
        <v>Jalan</v>
      </c>
      <c r="AA568" s="884">
        <f t="shared" si="186"/>
        <v>10</v>
      </c>
      <c r="AB568" s="868">
        <f t="shared" si="188"/>
        <v>19791087.199999999</v>
      </c>
      <c r="AC568" s="885">
        <f t="shared" si="189"/>
        <v>0</v>
      </c>
      <c r="AD568" s="868">
        <f t="shared" si="190"/>
        <v>0</v>
      </c>
      <c r="AE568" s="868">
        <f t="shared" si="191"/>
        <v>19791087.199999999</v>
      </c>
      <c r="AF568" s="868">
        <f t="shared" si="192"/>
        <v>19791087.199999999</v>
      </c>
      <c r="AG568" s="868">
        <f t="shared" si="193"/>
        <v>19791087.199999999</v>
      </c>
      <c r="AH568" s="868">
        <f t="shared" si="194"/>
        <v>19791087.199999999</v>
      </c>
      <c r="AI568" s="886">
        <f t="shared" si="195"/>
        <v>19791087.199999999</v>
      </c>
      <c r="AJ568" s="886">
        <f t="shared" si="196"/>
        <v>98955436</v>
      </c>
      <c r="AK568" s="868">
        <f t="shared" si="183"/>
        <v>98955436</v>
      </c>
    </row>
    <row r="569" spans="1:37" s="857" customFormat="1" ht="35.25" customHeight="1" x14ac:dyDescent="0.2">
      <c r="A569" s="857" t="s">
        <v>4890</v>
      </c>
      <c r="B569" s="857" t="e">
        <f t="shared" si="197"/>
        <v>#N/A</v>
      </c>
      <c r="E569" s="884" t="str">
        <f t="shared" si="187"/>
        <v/>
      </c>
      <c r="F569" s="890"/>
      <c r="G569" s="862" t="s">
        <v>1331</v>
      </c>
      <c r="H569" s="899"/>
      <c r="I569" s="907" t="s">
        <v>2494</v>
      </c>
      <c r="J569" s="903"/>
      <c r="K569" s="862"/>
      <c r="L569" s="908"/>
      <c r="M569" s="862"/>
      <c r="N569" s="909"/>
      <c r="O569" s="863" t="s">
        <v>3201</v>
      </c>
      <c r="P569" s="903">
        <v>2014</v>
      </c>
      <c r="Q569" s="862"/>
      <c r="R569" s="862"/>
      <c r="S569" s="862"/>
      <c r="T569" s="903"/>
      <c r="U569" s="910">
        <v>197392348</v>
      </c>
      <c r="V569" s="905"/>
      <c r="W569" s="906"/>
      <c r="X569" s="970"/>
      <c r="Y569" s="884" t="str">
        <f t="shared" si="184"/>
        <v>04.13.01</v>
      </c>
      <c r="Z569" s="884" t="str">
        <f t="shared" si="185"/>
        <v>Jalan</v>
      </c>
      <c r="AA569" s="884">
        <f t="shared" si="186"/>
        <v>10</v>
      </c>
      <c r="AB569" s="868">
        <f t="shared" si="188"/>
        <v>19739234.800000001</v>
      </c>
      <c r="AC569" s="885">
        <f t="shared" si="189"/>
        <v>0</v>
      </c>
      <c r="AD569" s="868">
        <f t="shared" si="190"/>
        <v>0</v>
      </c>
      <c r="AE569" s="868">
        <f t="shared" si="191"/>
        <v>19739234.800000001</v>
      </c>
      <c r="AF569" s="868">
        <f t="shared" si="192"/>
        <v>19739234.800000001</v>
      </c>
      <c r="AG569" s="868">
        <f t="shared" si="193"/>
        <v>19739234.800000001</v>
      </c>
      <c r="AH569" s="868">
        <f t="shared" si="194"/>
        <v>19739234.800000001</v>
      </c>
      <c r="AI569" s="886">
        <f t="shared" si="195"/>
        <v>19739234.800000001</v>
      </c>
      <c r="AJ569" s="886">
        <f t="shared" si="196"/>
        <v>98696174</v>
      </c>
      <c r="AK569" s="868">
        <f t="shared" si="183"/>
        <v>98696174</v>
      </c>
    </row>
    <row r="570" spans="1:37" s="857" customFormat="1" ht="35.25" customHeight="1" x14ac:dyDescent="0.2">
      <c r="A570" s="857">
        <v>163</v>
      </c>
      <c r="B570" s="857" t="str">
        <f t="shared" si="197"/>
        <v>PANGEAN - PL. KUMPAI</v>
      </c>
      <c r="E570" s="884" t="str">
        <f t="shared" si="187"/>
        <v/>
      </c>
      <c r="F570" s="890"/>
      <c r="G570" s="862" t="s">
        <v>1334</v>
      </c>
      <c r="H570" s="899"/>
      <c r="I570" s="907" t="s">
        <v>3828</v>
      </c>
      <c r="J570" s="903"/>
      <c r="K570" s="862"/>
      <c r="L570" s="908"/>
      <c r="M570" s="862"/>
      <c r="N570" s="909"/>
      <c r="O570" s="863" t="s">
        <v>709</v>
      </c>
      <c r="P570" s="903">
        <v>2014</v>
      </c>
      <c r="Q570" s="862"/>
      <c r="R570" s="862"/>
      <c r="S570" s="862"/>
      <c r="T570" s="903"/>
      <c r="U570" s="910">
        <v>197650648</v>
      </c>
      <c r="V570" s="905"/>
      <c r="W570" s="906"/>
      <c r="X570" s="970"/>
      <c r="Y570" s="884" t="str">
        <f t="shared" si="184"/>
        <v>04.13.01</v>
      </c>
      <c r="Z570" s="884" t="str">
        <f t="shared" si="185"/>
        <v>Jalan</v>
      </c>
      <c r="AA570" s="884">
        <f t="shared" si="186"/>
        <v>10</v>
      </c>
      <c r="AB570" s="868">
        <f t="shared" si="188"/>
        <v>19765064.800000001</v>
      </c>
      <c r="AC570" s="885">
        <f t="shared" si="189"/>
        <v>0</v>
      </c>
      <c r="AD570" s="868">
        <f t="shared" si="190"/>
        <v>0</v>
      </c>
      <c r="AE570" s="868">
        <f t="shared" si="191"/>
        <v>19765064.800000001</v>
      </c>
      <c r="AF570" s="868">
        <f t="shared" si="192"/>
        <v>19765064.800000001</v>
      </c>
      <c r="AG570" s="868">
        <f t="shared" si="193"/>
        <v>19765064.800000001</v>
      </c>
      <c r="AH570" s="868">
        <f t="shared" si="194"/>
        <v>19765064.800000001</v>
      </c>
      <c r="AI570" s="886">
        <f t="shared" si="195"/>
        <v>19765064.800000001</v>
      </c>
      <c r="AJ570" s="886">
        <f t="shared" si="196"/>
        <v>98825324</v>
      </c>
      <c r="AK570" s="868">
        <f t="shared" si="183"/>
        <v>98825324</v>
      </c>
    </row>
    <row r="571" spans="1:37" s="857" customFormat="1" ht="35.25" customHeight="1" x14ac:dyDescent="0.2">
      <c r="A571" s="857">
        <v>258</v>
      </c>
      <c r="B571" s="857" t="str">
        <f t="shared" si="197"/>
        <v>LEPAU GADING - PANGEAN</v>
      </c>
      <c r="E571" s="884" t="str">
        <f t="shared" si="187"/>
        <v/>
      </c>
      <c r="F571" s="890"/>
      <c r="G571" s="862" t="s">
        <v>1335</v>
      </c>
      <c r="H571" s="899"/>
      <c r="I571" s="907" t="s">
        <v>3828</v>
      </c>
      <c r="J571" s="903"/>
      <c r="K571" s="862"/>
      <c r="L571" s="908"/>
      <c r="M571" s="862"/>
      <c r="N571" s="909"/>
      <c r="O571" s="861" t="s">
        <v>518</v>
      </c>
      <c r="P571" s="903">
        <v>2014</v>
      </c>
      <c r="Q571" s="862"/>
      <c r="R571" s="862"/>
      <c r="S571" s="862"/>
      <c r="T571" s="903"/>
      <c r="U571" s="910">
        <v>197626838</v>
      </c>
      <c r="V571" s="905"/>
      <c r="W571" s="906"/>
      <c r="X571" s="970"/>
      <c r="Y571" s="884" t="str">
        <f t="shared" si="184"/>
        <v>04.13.01</v>
      </c>
      <c r="Z571" s="884" t="str">
        <f t="shared" si="185"/>
        <v>Jalan</v>
      </c>
      <c r="AA571" s="884">
        <f t="shared" si="186"/>
        <v>10</v>
      </c>
      <c r="AB571" s="868">
        <f t="shared" si="188"/>
        <v>19762683.800000001</v>
      </c>
      <c r="AC571" s="885">
        <f t="shared" si="189"/>
        <v>0</v>
      </c>
      <c r="AD571" s="868">
        <f t="shared" si="190"/>
        <v>0</v>
      </c>
      <c r="AE571" s="868">
        <f t="shared" si="191"/>
        <v>19762683.800000001</v>
      </c>
      <c r="AF571" s="868">
        <f t="shared" si="192"/>
        <v>19762683.800000001</v>
      </c>
      <c r="AG571" s="868">
        <f t="shared" si="193"/>
        <v>19762683.800000001</v>
      </c>
      <c r="AH571" s="868">
        <f t="shared" si="194"/>
        <v>19762683.800000001</v>
      </c>
      <c r="AI571" s="886">
        <f t="shared" si="195"/>
        <v>19762683.800000001</v>
      </c>
      <c r="AJ571" s="886">
        <f t="shared" si="196"/>
        <v>98813419</v>
      </c>
      <c r="AK571" s="868">
        <f t="shared" si="183"/>
        <v>98813419</v>
      </c>
    </row>
    <row r="572" spans="1:37" s="857" customFormat="1" ht="35.25" customHeight="1" x14ac:dyDescent="0.2">
      <c r="A572" s="857" t="s">
        <v>4890</v>
      </c>
      <c r="B572" s="857" t="e">
        <f t="shared" si="197"/>
        <v>#N/A</v>
      </c>
      <c r="E572" s="884" t="str">
        <f t="shared" si="187"/>
        <v/>
      </c>
      <c r="F572" s="890"/>
      <c r="G572" s="862" t="s">
        <v>1336</v>
      </c>
      <c r="H572" s="899"/>
      <c r="I572" s="907" t="s">
        <v>3828</v>
      </c>
      <c r="J572" s="903"/>
      <c r="K572" s="862"/>
      <c r="L572" s="908"/>
      <c r="M572" s="862"/>
      <c r="N572" s="909"/>
      <c r="O572" s="907" t="s">
        <v>3203</v>
      </c>
      <c r="P572" s="903">
        <v>2014</v>
      </c>
      <c r="Q572" s="862"/>
      <c r="R572" s="862"/>
      <c r="S572" s="862"/>
      <c r="T572" s="903"/>
      <c r="U572" s="910">
        <v>196879677</v>
      </c>
      <c r="V572" s="905"/>
      <c r="W572" s="906"/>
      <c r="X572" s="970"/>
      <c r="Y572" s="884" t="str">
        <f t="shared" si="184"/>
        <v>04.13.01</v>
      </c>
      <c r="Z572" s="884" t="str">
        <f t="shared" si="185"/>
        <v>Jalan</v>
      </c>
      <c r="AA572" s="884">
        <f t="shared" si="186"/>
        <v>10</v>
      </c>
      <c r="AB572" s="868">
        <f t="shared" si="188"/>
        <v>19687967.699999999</v>
      </c>
      <c r="AC572" s="885">
        <f t="shared" si="189"/>
        <v>0</v>
      </c>
      <c r="AD572" s="868">
        <f t="shared" si="190"/>
        <v>0</v>
      </c>
      <c r="AE572" s="868">
        <f t="shared" si="191"/>
        <v>19687967.699999999</v>
      </c>
      <c r="AF572" s="868">
        <f t="shared" si="192"/>
        <v>19687967.699999999</v>
      </c>
      <c r="AG572" s="868">
        <f t="shared" si="193"/>
        <v>19687967.699999999</v>
      </c>
      <c r="AH572" s="868">
        <f t="shared" si="194"/>
        <v>19687967.699999999</v>
      </c>
      <c r="AI572" s="886">
        <f t="shared" si="195"/>
        <v>19687967.699999999</v>
      </c>
      <c r="AJ572" s="886">
        <f t="shared" si="196"/>
        <v>98439838.5</v>
      </c>
      <c r="AK572" s="868">
        <f t="shared" si="183"/>
        <v>98439838.5</v>
      </c>
    </row>
    <row r="573" spans="1:37" s="857" customFormat="1" ht="35.25" customHeight="1" x14ac:dyDescent="0.2">
      <c r="A573" s="857">
        <v>33</v>
      </c>
      <c r="B573" s="857" t="str">
        <f t="shared" si="197"/>
        <v>JL. KESEHATAN - MESJID</v>
      </c>
      <c r="E573" s="884" t="str">
        <f t="shared" si="187"/>
        <v/>
      </c>
      <c r="F573" s="890"/>
      <c r="G573" s="862" t="s">
        <v>1337</v>
      </c>
      <c r="H573" s="899"/>
      <c r="I573" s="907" t="s">
        <v>3828</v>
      </c>
      <c r="J573" s="903"/>
      <c r="K573" s="862"/>
      <c r="L573" s="908"/>
      <c r="M573" s="862"/>
      <c r="N573" s="909"/>
      <c r="O573" s="863" t="s">
        <v>3204</v>
      </c>
      <c r="P573" s="903">
        <v>2014</v>
      </c>
      <c r="Q573" s="862"/>
      <c r="R573" s="862"/>
      <c r="S573" s="862"/>
      <c r="T573" s="903"/>
      <c r="U573" s="910">
        <v>197078483</v>
      </c>
      <c r="V573" s="905"/>
      <c r="W573" s="906"/>
      <c r="X573" s="970"/>
      <c r="Y573" s="884" t="str">
        <f t="shared" si="184"/>
        <v>04.13.01</v>
      </c>
      <c r="Z573" s="884" t="str">
        <f t="shared" si="185"/>
        <v>Jalan</v>
      </c>
      <c r="AA573" s="884">
        <f t="shared" si="186"/>
        <v>10</v>
      </c>
      <c r="AB573" s="868">
        <f t="shared" si="188"/>
        <v>19707848.300000001</v>
      </c>
      <c r="AC573" s="885">
        <f t="shared" si="189"/>
        <v>0</v>
      </c>
      <c r="AD573" s="868">
        <f t="shared" si="190"/>
        <v>0</v>
      </c>
      <c r="AE573" s="868">
        <f t="shared" si="191"/>
        <v>19707848.300000001</v>
      </c>
      <c r="AF573" s="868">
        <f t="shared" si="192"/>
        <v>19707848.300000001</v>
      </c>
      <c r="AG573" s="868">
        <f t="shared" si="193"/>
        <v>19707848.300000001</v>
      </c>
      <c r="AH573" s="868">
        <f t="shared" si="194"/>
        <v>19707848.300000001</v>
      </c>
      <c r="AI573" s="886">
        <f t="shared" si="195"/>
        <v>19707848.300000001</v>
      </c>
      <c r="AJ573" s="886">
        <f t="shared" si="196"/>
        <v>98539241.5</v>
      </c>
      <c r="AK573" s="868">
        <f t="shared" ref="AK573:AK636" si="198">U573-AJ573</f>
        <v>98539241.5</v>
      </c>
    </row>
    <row r="574" spans="1:37" s="857" customFormat="1" ht="35.25" customHeight="1" x14ac:dyDescent="0.2">
      <c r="A574" s="857">
        <v>52</v>
      </c>
      <c r="B574" s="857" t="str">
        <f t="shared" si="197"/>
        <v>TERMINAL - SENTAJO</v>
      </c>
      <c r="E574" s="884" t="str">
        <f t="shared" si="187"/>
        <v/>
      </c>
      <c r="F574" s="890"/>
      <c r="G574" s="862" t="s">
        <v>1338</v>
      </c>
      <c r="H574" s="899"/>
      <c r="I574" s="907" t="s">
        <v>2494</v>
      </c>
      <c r="J574" s="903"/>
      <c r="K574" s="862"/>
      <c r="L574" s="908"/>
      <c r="M574" s="862"/>
      <c r="N574" s="909"/>
      <c r="O574" s="863" t="s">
        <v>3205</v>
      </c>
      <c r="P574" s="903">
        <v>2014</v>
      </c>
      <c r="Q574" s="862"/>
      <c r="R574" s="862"/>
      <c r="S574" s="862"/>
      <c r="T574" s="903"/>
      <c r="U574" s="910">
        <v>197436525</v>
      </c>
      <c r="V574" s="905"/>
      <c r="W574" s="906"/>
      <c r="X574" s="970"/>
      <c r="Y574" s="884" t="str">
        <f t="shared" si="184"/>
        <v>04.13.01</v>
      </c>
      <c r="Z574" s="884" t="str">
        <f t="shared" si="185"/>
        <v>Jalan</v>
      </c>
      <c r="AA574" s="884">
        <f t="shared" si="186"/>
        <v>10</v>
      </c>
      <c r="AB574" s="868">
        <f t="shared" si="188"/>
        <v>19743652.5</v>
      </c>
      <c r="AC574" s="885">
        <f t="shared" si="189"/>
        <v>0</v>
      </c>
      <c r="AD574" s="868">
        <f t="shared" si="190"/>
        <v>0</v>
      </c>
      <c r="AE574" s="868">
        <f t="shared" si="191"/>
        <v>19743652.5</v>
      </c>
      <c r="AF574" s="868">
        <f t="shared" si="192"/>
        <v>19743652.5</v>
      </c>
      <c r="AG574" s="868">
        <f t="shared" si="193"/>
        <v>19743652.5</v>
      </c>
      <c r="AH574" s="868">
        <f t="shared" si="194"/>
        <v>19743652.5</v>
      </c>
      <c r="AI574" s="886">
        <f t="shared" si="195"/>
        <v>19743652.5</v>
      </c>
      <c r="AJ574" s="886">
        <f t="shared" si="196"/>
        <v>98718262.5</v>
      </c>
      <c r="AK574" s="868">
        <f t="shared" si="198"/>
        <v>98718262.5</v>
      </c>
    </row>
    <row r="575" spans="1:37" s="857" customFormat="1" ht="35.25" customHeight="1" x14ac:dyDescent="0.2">
      <c r="A575" s="857" t="s">
        <v>4890</v>
      </c>
      <c r="B575" s="857" t="e">
        <f t="shared" si="197"/>
        <v>#N/A</v>
      </c>
      <c r="E575" s="884" t="str">
        <f t="shared" si="187"/>
        <v/>
      </c>
      <c r="F575" s="890"/>
      <c r="G575" s="862" t="s">
        <v>1339</v>
      </c>
      <c r="H575" s="899"/>
      <c r="I575" s="907" t="s">
        <v>2494</v>
      </c>
      <c r="J575" s="903"/>
      <c r="K575" s="862"/>
      <c r="L575" s="908"/>
      <c r="M575" s="862"/>
      <c r="N575" s="909"/>
      <c r="O575" s="863" t="s">
        <v>2572</v>
      </c>
      <c r="P575" s="903">
        <v>2014</v>
      </c>
      <c r="Q575" s="862"/>
      <c r="R575" s="862"/>
      <c r="S575" s="862"/>
      <c r="T575" s="903"/>
      <c r="U575" s="910">
        <v>197544440</v>
      </c>
      <c r="V575" s="905"/>
      <c r="W575" s="906"/>
      <c r="X575" s="970"/>
      <c r="Y575" s="884" t="str">
        <f t="shared" si="184"/>
        <v>04.13.01</v>
      </c>
      <c r="Z575" s="884" t="str">
        <f t="shared" si="185"/>
        <v>Jalan</v>
      </c>
      <c r="AA575" s="884">
        <f t="shared" si="186"/>
        <v>10</v>
      </c>
      <c r="AB575" s="868">
        <f t="shared" si="188"/>
        <v>19754444</v>
      </c>
      <c r="AC575" s="885">
        <f t="shared" si="189"/>
        <v>0</v>
      </c>
      <c r="AD575" s="868">
        <f t="shared" si="190"/>
        <v>0</v>
      </c>
      <c r="AE575" s="868">
        <f t="shared" si="191"/>
        <v>19754444</v>
      </c>
      <c r="AF575" s="868">
        <f t="shared" si="192"/>
        <v>19754444</v>
      </c>
      <c r="AG575" s="868">
        <f t="shared" si="193"/>
        <v>19754444</v>
      </c>
      <c r="AH575" s="868">
        <f t="shared" si="194"/>
        <v>19754444</v>
      </c>
      <c r="AI575" s="886">
        <f t="shared" si="195"/>
        <v>19754444</v>
      </c>
      <c r="AJ575" s="886">
        <f t="shared" si="196"/>
        <v>98772220</v>
      </c>
      <c r="AK575" s="868">
        <f t="shared" si="198"/>
        <v>98772220</v>
      </c>
    </row>
    <row r="576" spans="1:37" s="857" customFormat="1" ht="35.25" customHeight="1" x14ac:dyDescent="0.2">
      <c r="A576" s="857" t="s">
        <v>4890</v>
      </c>
      <c r="B576" s="857" t="e">
        <f t="shared" si="197"/>
        <v>#N/A</v>
      </c>
      <c r="E576" s="884" t="str">
        <f t="shared" si="187"/>
        <v/>
      </c>
      <c r="F576" s="890"/>
      <c r="G576" s="862" t="s">
        <v>1340</v>
      </c>
      <c r="H576" s="899"/>
      <c r="I576" s="907" t="s">
        <v>2494</v>
      </c>
      <c r="J576" s="903"/>
      <c r="K576" s="862"/>
      <c r="L576" s="908"/>
      <c r="M576" s="862"/>
      <c r="N576" s="909"/>
      <c r="O576" s="861" t="s">
        <v>3206</v>
      </c>
      <c r="P576" s="903">
        <v>2014</v>
      </c>
      <c r="Q576" s="862"/>
      <c r="R576" s="862"/>
      <c r="S576" s="862"/>
      <c r="T576" s="903"/>
      <c r="U576" s="910">
        <v>192182044</v>
      </c>
      <c r="V576" s="905"/>
      <c r="W576" s="906"/>
      <c r="X576" s="970"/>
      <c r="Y576" s="884" t="str">
        <f t="shared" si="184"/>
        <v>04.13.01</v>
      </c>
      <c r="Z576" s="884" t="str">
        <f t="shared" si="185"/>
        <v>Jalan</v>
      </c>
      <c r="AA576" s="884">
        <f t="shared" si="186"/>
        <v>10</v>
      </c>
      <c r="AB576" s="868">
        <f t="shared" si="188"/>
        <v>19218204.399999999</v>
      </c>
      <c r="AC576" s="885">
        <f t="shared" si="189"/>
        <v>0</v>
      </c>
      <c r="AD576" s="868">
        <f t="shared" si="190"/>
        <v>0</v>
      </c>
      <c r="AE576" s="868">
        <f t="shared" si="191"/>
        <v>19218204.399999999</v>
      </c>
      <c r="AF576" s="868">
        <f t="shared" si="192"/>
        <v>19218204.399999999</v>
      </c>
      <c r="AG576" s="868">
        <f t="shared" si="193"/>
        <v>19218204.399999999</v>
      </c>
      <c r="AH576" s="868">
        <f t="shared" si="194"/>
        <v>19218204.399999999</v>
      </c>
      <c r="AI576" s="886">
        <f t="shared" si="195"/>
        <v>19218204.399999999</v>
      </c>
      <c r="AJ576" s="886">
        <f t="shared" si="196"/>
        <v>96091022</v>
      </c>
      <c r="AK576" s="868">
        <f t="shared" si="198"/>
        <v>96091022</v>
      </c>
    </row>
    <row r="577" spans="1:37" s="857" customFormat="1" ht="35.25" customHeight="1" x14ac:dyDescent="0.2">
      <c r="B577" s="857" t="e">
        <f t="shared" si="197"/>
        <v>#N/A</v>
      </c>
      <c r="E577" s="884" t="str">
        <f t="shared" si="187"/>
        <v/>
      </c>
      <c r="F577" s="890"/>
      <c r="G577" s="862" t="s">
        <v>1341</v>
      </c>
      <c r="H577" s="899"/>
      <c r="I577" s="907" t="s">
        <v>2494</v>
      </c>
      <c r="J577" s="903"/>
      <c r="K577" s="862"/>
      <c r="L577" s="908"/>
      <c r="M577" s="862"/>
      <c r="N577" s="909"/>
      <c r="O577" s="861" t="s">
        <v>3207</v>
      </c>
      <c r="P577" s="903">
        <v>2014</v>
      </c>
      <c r="Q577" s="862"/>
      <c r="R577" s="862"/>
      <c r="S577" s="862"/>
      <c r="T577" s="903"/>
      <c r="U577" s="910">
        <v>187069610</v>
      </c>
      <c r="V577" s="905"/>
      <c r="W577" s="906"/>
      <c r="X577" s="970"/>
      <c r="Y577" s="884" t="str">
        <f t="shared" si="184"/>
        <v>04.13.01</v>
      </c>
      <c r="Z577" s="884" t="str">
        <f t="shared" si="185"/>
        <v>Jalan</v>
      </c>
      <c r="AA577" s="884">
        <f t="shared" si="186"/>
        <v>10</v>
      </c>
      <c r="AB577" s="868">
        <f t="shared" si="188"/>
        <v>18706961</v>
      </c>
      <c r="AC577" s="885">
        <f t="shared" si="189"/>
        <v>0</v>
      </c>
      <c r="AD577" s="868">
        <f t="shared" si="190"/>
        <v>0</v>
      </c>
      <c r="AE577" s="868">
        <f t="shared" si="191"/>
        <v>18706961</v>
      </c>
      <c r="AF577" s="868">
        <f t="shared" si="192"/>
        <v>18706961</v>
      </c>
      <c r="AG577" s="868">
        <f t="shared" si="193"/>
        <v>18706961</v>
      </c>
      <c r="AH577" s="868">
        <f t="shared" si="194"/>
        <v>18706961</v>
      </c>
      <c r="AI577" s="886">
        <f t="shared" si="195"/>
        <v>18706961</v>
      </c>
      <c r="AJ577" s="886">
        <f t="shared" si="196"/>
        <v>93534805</v>
      </c>
      <c r="AK577" s="868">
        <f t="shared" si="198"/>
        <v>93534805</v>
      </c>
    </row>
    <row r="578" spans="1:37" s="857" customFormat="1" ht="35.25" customHeight="1" x14ac:dyDescent="0.2">
      <c r="A578" s="857">
        <v>42</v>
      </c>
      <c r="B578" s="857" t="str">
        <f t="shared" si="197"/>
        <v>KAMPUNG DATAR - PL. KOMANG</v>
      </c>
      <c r="E578" s="884" t="str">
        <f t="shared" si="187"/>
        <v/>
      </c>
      <c r="F578" s="890"/>
      <c r="G578" s="862" t="s">
        <v>1342</v>
      </c>
      <c r="H578" s="899"/>
      <c r="I578" s="907" t="s">
        <v>2494</v>
      </c>
      <c r="J578" s="903"/>
      <c r="K578" s="862"/>
      <c r="L578" s="908"/>
      <c r="M578" s="862"/>
      <c r="N578" s="909"/>
      <c r="O578" s="861" t="s">
        <v>3208</v>
      </c>
      <c r="P578" s="903">
        <v>2014</v>
      </c>
      <c r="Q578" s="862"/>
      <c r="R578" s="862"/>
      <c r="S578" s="862"/>
      <c r="T578" s="903"/>
      <c r="U578" s="910">
        <v>197659444</v>
      </c>
      <c r="V578" s="905"/>
      <c r="W578" s="906"/>
      <c r="X578" s="970"/>
      <c r="Y578" s="884" t="str">
        <f t="shared" si="184"/>
        <v>04.13.01</v>
      </c>
      <c r="Z578" s="884" t="str">
        <f t="shared" si="185"/>
        <v>Jalan</v>
      </c>
      <c r="AA578" s="884">
        <f t="shared" si="186"/>
        <v>10</v>
      </c>
      <c r="AB578" s="868">
        <f t="shared" si="188"/>
        <v>19765944.399999999</v>
      </c>
      <c r="AC578" s="885">
        <f t="shared" si="189"/>
        <v>0</v>
      </c>
      <c r="AD578" s="868">
        <f t="shared" si="190"/>
        <v>0</v>
      </c>
      <c r="AE578" s="868">
        <f t="shared" si="191"/>
        <v>19765944.399999999</v>
      </c>
      <c r="AF578" s="868">
        <f t="shared" si="192"/>
        <v>19765944.399999999</v>
      </c>
      <c r="AG578" s="868">
        <f t="shared" si="193"/>
        <v>19765944.399999999</v>
      </c>
      <c r="AH578" s="868">
        <f t="shared" si="194"/>
        <v>19765944.399999999</v>
      </c>
      <c r="AI578" s="886">
        <f t="shared" si="195"/>
        <v>19765944.399999999</v>
      </c>
      <c r="AJ578" s="886">
        <f t="shared" si="196"/>
        <v>98829722</v>
      </c>
      <c r="AK578" s="868">
        <f t="shared" si="198"/>
        <v>98829722</v>
      </c>
    </row>
    <row r="579" spans="1:37" s="857" customFormat="1" ht="35.25" customHeight="1" x14ac:dyDescent="0.2">
      <c r="A579" s="857" t="s">
        <v>4890</v>
      </c>
      <c r="B579" s="857" t="e">
        <f t="shared" si="197"/>
        <v>#N/A</v>
      </c>
      <c r="E579" s="884" t="str">
        <f t="shared" si="187"/>
        <v/>
      </c>
      <c r="F579" s="890"/>
      <c r="G579" s="862" t="s">
        <v>1343</v>
      </c>
      <c r="H579" s="899"/>
      <c r="I579" s="907" t="s">
        <v>2494</v>
      </c>
      <c r="J579" s="903"/>
      <c r="K579" s="862"/>
      <c r="L579" s="908"/>
      <c r="M579" s="862"/>
      <c r="N579" s="909"/>
      <c r="O579" s="861" t="s">
        <v>3209</v>
      </c>
      <c r="P579" s="903">
        <v>2014</v>
      </c>
      <c r="Q579" s="862"/>
      <c r="R579" s="862"/>
      <c r="S579" s="862"/>
      <c r="T579" s="903"/>
      <c r="U579" s="910">
        <v>196939048</v>
      </c>
      <c r="V579" s="905"/>
      <c r="W579" s="906"/>
      <c r="X579" s="970"/>
      <c r="Y579" s="884" t="str">
        <f t="shared" si="184"/>
        <v>04.13.01</v>
      </c>
      <c r="Z579" s="884" t="str">
        <f t="shared" si="185"/>
        <v>Jalan</v>
      </c>
      <c r="AA579" s="884">
        <f t="shared" si="186"/>
        <v>10</v>
      </c>
      <c r="AB579" s="868">
        <f t="shared" si="188"/>
        <v>19693904.800000001</v>
      </c>
      <c r="AC579" s="885">
        <f t="shared" si="189"/>
        <v>0</v>
      </c>
      <c r="AD579" s="868">
        <f t="shared" si="190"/>
        <v>0</v>
      </c>
      <c r="AE579" s="868">
        <f t="shared" si="191"/>
        <v>19693904.800000001</v>
      </c>
      <c r="AF579" s="868">
        <f t="shared" si="192"/>
        <v>19693904.800000001</v>
      </c>
      <c r="AG579" s="868">
        <f t="shared" si="193"/>
        <v>19693904.800000001</v>
      </c>
      <c r="AH579" s="868">
        <f t="shared" si="194"/>
        <v>19693904.800000001</v>
      </c>
      <c r="AI579" s="886">
        <f t="shared" si="195"/>
        <v>19693904.800000001</v>
      </c>
      <c r="AJ579" s="886">
        <f t="shared" si="196"/>
        <v>98469524</v>
      </c>
      <c r="AK579" s="868">
        <f t="shared" si="198"/>
        <v>98469524</v>
      </c>
    </row>
    <row r="580" spans="1:37" s="857" customFormat="1" ht="35.25" customHeight="1" x14ac:dyDescent="0.2">
      <c r="A580" s="857" t="s">
        <v>4890</v>
      </c>
      <c r="B580" s="857" t="e">
        <f t="shared" si="197"/>
        <v>#N/A</v>
      </c>
      <c r="E580" s="884" t="str">
        <f t="shared" si="187"/>
        <v/>
      </c>
      <c r="F580" s="890"/>
      <c r="G580" s="862" t="s">
        <v>1344</v>
      </c>
      <c r="H580" s="899"/>
      <c r="I580" s="907" t="s">
        <v>3828</v>
      </c>
      <c r="J580" s="903"/>
      <c r="K580" s="862"/>
      <c r="L580" s="908"/>
      <c r="M580" s="862"/>
      <c r="N580" s="909"/>
      <c r="O580" s="861" t="s">
        <v>3210</v>
      </c>
      <c r="P580" s="903">
        <v>2014</v>
      </c>
      <c r="Q580" s="862"/>
      <c r="R580" s="862"/>
      <c r="S580" s="862"/>
      <c r="T580" s="903"/>
      <c r="U580" s="910">
        <v>198230943</v>
      </c>
      <c r="V580" s="905"/>
      <c r="W580" s="906"/>
      <c r="X580" s="970"/>
      <c r="Y580" s="884" t="str">
        <f t="shared" si="184"/>
        <v>04.13.01</v>
      </c>
      <c r="Z580" s="884" t="str">
        <f t="shared" si="185"/>
        <v>Jalan</v>
      </c>
      <c r="AA580" s="884">
        <f t="shared" si="186"/>
        <v>10</v>
      </c>
      <c r="AB580" s="868">
        <f t="shared" si="188"/>
        <v>19823094.300000001</v>
      </c>
      <c r="AC580" s="885">
        <f t="shared" si="189"/>
        <v>0</v>
      </c>
      <c r="AD580" s="868">
        <f t="shared" si="190"/>
        <v>0</v>
      </c>
      <c r="AE580" s="868">
        <f t="shared" si="191"/>
        <v>19823094.300000001</v>
      </c>
      <c r="AF580" s="868">
        <f t="shared" si="192"/>
        <v>19823094.300000001</v>
      </c>
      <c r="AG580" s="868">
        <f t="shared" si="193"/>
        <v>19823094.300000001</v>
      </c>
      <c r="AH580" s="868">
        <f t="shared" si="194"/>
        <v>19823094.300000001</v>
      </c>
      <c r="AI580" s="886">
        <f t="shared" si="195"/>
        <v>19823094.300000001</v>
      </c>
      <c r="AJ580" s="886">
        <f t="shared" si="196"/>
        <v>99115471.5</v>
      </c>
      <c r="AK580" s="868">
        <f t="shared" si="198"/>
        <v>99115471.5</v>
      </c>
    </row>
    <row r="581" spans="1:37" s="857" customFormat="1" ht="35.25" customHeight="1" x14ac:dyDescent="0.2">
      <c r="A581" s="857">
        <v>90</v>
      </c>
      <c r="B581" s="857" t="str">
        <f t="shared" si="197"/>
        <v>SANGAU - SIBEROBAH</v>
      </c>
      <c r="E581" s="884" t="str">
        <f t="shared" si="187"/>
        <v/>
      </c>
      <c r="F581" s="890"/>
      <c r="G581" s="862" t="s">
        <v>1345</v>
      </c>
      <c r="H581" s="899"/>
      <c r="I581" s="907" t="s">
        <v>3828</v>
      </c>
      <c r="J581" s="903"/>
      <c r="K581" s="862"/>
      <c r="L581" s="908"/>
      <c r="M581" s="862"/>
      <c r="N581" s="909"/>
      <c r="O581" s="861" t="s">
        <v>3211</v>
      </c>
      <c r="P581" s="903">
        <v>2014</v>
      </c>
      <c r="Q581" s="862"/>
      <c r="R581" s="862"/>
      <c r="S581" s="862"/>
      <c r="T581" s="903"/>
      <c r="U581" s="910">
        <v>197782386</v>
      </c>
      <c r="V581" s="905"/>
      <c r="W581" s="906"/>
      <c r="X581" s="970"/>
      <c r="Y581" s="884" t="str">
        <f t="shared" si="184"/>
        <v>04.13.01</v>
      </c>
      <c r="Z581" s="884" t="str">
        <f t="shared" si="185"/>
        <v>Jalan</v>
      </c>
      <c r="AA581" s="884">
        <f t="shared" si="186"/>
        <v>10</v>
      </c>
      <c r="AB581" s="868">
        <f t="shared" si="188"/>
        <v>19778238.600000001</v>
      </c>
      <c r="AC581" s="885">
        <f t="shared" si="189"/>
        <v>0</v>
      </c>
      <c r="AD581" s="868">
        <f t="shared" si="190"/>
        <v>0</v>
      </c>
      <c r="AE581" s="868">
        <f t="shared" si="191"/>
        <v>19778238.600000001</v>
      </c>
      <c r="AF581" s="868">
        <f t="shared" si="192"/>
        <v>19778238.600000001</v>
      </c>
      <c r="AG581" s="868">
        <f t="shared" si="193"/>
        <v>19778238.600000001</v>
      </c>
      <c r="AH581" s="868">
        <f t="shared" si="194"/>
        <v>19778238.600000001</v>
      </c>
      <c r="AI581" s="886">
        <f t="shared" si="195"/>
        <v>19778238.600000001</v>
      </c>
      <c r="AJ581" s="886">
        <f t="shared" si="196"/>
        <v>98891193</v>
      </c>
      <c r="AK581" s="868">
        <f t="shared" si="198"/>
        <v>98891193</v>
      </c>
    </row>
    <row r="582" spans="1:37" s="857" customFormat="1" ht="35.25" customHeight="1" x14ac:dyDescent="0.2">
      <c r="A582" s="857">
        <v>82</v>
      </c>
      <c r="B582" s="857" t="str">
        <f t="shared" si="197"/>
        <v>JL. PL. BUNGIN - JP. KM 163 + 750 PBR(HASANAH)</v>
      </c>
      <c r="E582" s="884" t="str">
        <f t="shared" si="187"/>
        <v/>
      </c>
      <c r="F582" s="890"/>
      <c r="G582" s="862" t="s">
        <v>1346</v>
      </c>
      <c r="H582" s="899"/>
      <c r="I582" s="907" t="s">
        <v>3828</v>
      </c>
      <c r="J582" s="903"/>
      <c r="K582" s="862"/>
      <c r="L582" s="908"/>
      <c r="M582" s="862"/>
      <c r="N582" s="909"/>
      <c r="O582" s="863" t="s">
        <v>3212</v>
      </c>
      <c r="P582" s="903">
        <v>2014</v>
      </c>
      <c r="Q582" s="862"/>
      <c r="R582" s="862"/>
      <c r="S582" s="862"/>
      <c r="T582" s="903"/>
      <c r="U582" s="910">
        <v>197436838</v>
      </c>
      <c r="V582" s="905"/>
      <c r="W582" s="906"/>
      <c r="X582" s="970"/>
      <c r="Y582" s="884" t="str">
        <f t="shared" si="184"/>
        <v>04.13.01</v>
      </c>
      <c r="Z582" s="884" t="str">
        <f t="shared" si="185"/>
        <v>Jalan</v>
      </c>
      <c r="AA582" s="884">
        <f t="shared" si="186"/>
        <v>10</v>
      </c>
      <c r="AB582" s="868">
        <f t="shared" si="188"/>
        <v>19743683.800000001</v>
      </c>
      <c r="AC582" s="885">
        <f t="shared" si="189"/>
        <v>0</v>
      </c>
      <c r="AD582" s="868">
        <f t="shared" si="190"/>
        <v>0</v>
      </c>
      <c r="AE582" s="868">
        <f t="shared" si="191"/>
        <v>19743683.800000001</v>
      </c>
      <c r="AF582" s="868">
        <f t="shared" si="192"/>
        <v>19743683.800000001</v>
      </c>
      <c r="AG582" s="868">
        <f t="shared" si="193"/>
        <v>19743683.800000001</v>
      </c>
      <c r="AH582" s="868">
        <f t="shared" si="194"/>
        <v>19743683.800000001</v>
      </c>
      <c r="AI582" s="886">
        <f t="shared" si="195"/>
        <v>19743683.800000001</v>
      </c>
      <c r="AJ582" s="886">
        <f t="shared" si="196"/>
        <v>98718419</v>
      </c>
      <c r="AK582" s="868">
        <f t="shared" si="198"/>
        <v>98718419</v>
      </c>
    </row>
    <row r="583" spans="1:37" s="857" customFormat="1" ht="35.25" customHeight="1" x14ac:dyDescent="0.2">
      <c r="A583" s="857" t="s">
        <v>4890</v>
      </c>
      <c r="B583" s="857" t="e">
        <f t="shared" si="197"/>
        <v>#N/A</v>
      </c>
      <c r="E583" s="884" t="str">
        <f t="shared" si="187"/>
        <v/>
      </c>
      <c r="F583" s="890"/>
      <c r="G583" s="862" t="s">
        <v>1348</v>
      </c>
      <c r="H583" s="899"/>
      <c r="I583" s="907" t="s">
        <v>2494</v>
      </c>
      <c r="J583" s="903"/>
      <c r="K583" s="862"/>
      <c r="L583" s="908"/>
      <c r="M583" s="862"/>
      <c r="N583" s="909"/>
      <c r="O583" s="861" t="s">
        <v>2573</v>
      </c>
      <c r="P583" s="903">
        <v>2014</v>
      </c>
      <c r="Q583" s="862"/>
      <c r="R583" s="862"/>
      <c r="S583" s="862"/>
      <c r="T583" s="903"/>
      <c r="U583" s="910">
        <v>189452159</v>
      </c>
      <c r="V583" s="905"/>
      <c r="W583" s="906"/>
      <c r="X583" s="970"/>
      <c r="Y583" s="884" t="str">
        <f t="shared" si="184"/>
        <v>04.13.01</v>
      </c>
      <c r="Z583" s="884" t="str">
        <f t="shared" si="185"/>
        <v>Jalan</v>
      </c>
      <c r="AA583" s="884">
        <f t="shared" si="186"/>
        <v>10</v>
      </c>
      <c r="AB583" s="868">
        <f t="shared" si="188"/>
        <v>18945215.899999999</v>
      </c>
      <c r="AC583" s="885">
        <f t="shared" si="189"/>
        <v>0</v>
      </c>
      <c r="AD583" s="868">
        <f t="shared" si="190"/>
        <v>0</v>
      </c>
      <c r="AE583" s="868">
        <f t="shared" si="191"/>
        <v>18945215.899999999</v>
      </c>
      <c r="AF583" s="868">
        <f t="shared" si="192"/>
        <v>18945215.899999999</v>
      </c>
      <c r="AG583" s="868">
        <f t="shared" si="193"/>
        <v>18945215.899999999</v>
      </c>
      <c r="AH583" s="868">
        <f t="shared" si="194"/>
        <v>18945215.899999999</v>
      </c>
      <c r="AI583" s="886">
        <f t="shared" si="195"/>
        <v>18945215.899999999</v>
      </c>
      <c r="AJ583" s="886">
        <f t="shared" si="196"/>
        <v>94726079.5</v>
      </c>
      <c r="AK583" s="868">
        <f t="shared" si="198"/>
        <v>94726079.5</v>
      </c>
    </row>
    <row r="584" spans="1:37" s="857" customFormat="1" ht="35.25" customHeight="1" x14ac:dyDescent="0.2">
      <c r="A584" s="857">
        <v>122</v>
      </c>
      <c r="B584" s="857" t="str">
        <f t="shared" si="197"/>
        <v>SIMP. SEI. PINANG - TANJUNG</v>
      </c>
      <c r="E584" s="884" t="str">
        <f t="shared" si="187"/>
        <v/>
      </c>
      <c r="F584" s="890"/>
      <c r="G584" s="862" t="s">
        <v>1350</v>
      </c>
      <c r="H584" s="899"/>
      <c r="I584" s="907" t="s">
        <v>2494</v>
      </c>
      <c r="J584" s="903"/>
      <c r="K584" s="862"/>
      <c r="L584" s="908"/>
      <c r="M584" s="862"/>
      <c r="N584" s="909"/>
      <c r="O584" s="861" t="s">
        <v>3215</v>
      </c>
      <c r="P584" s="903">
        <v>2014</v>
      </c>
      <c r="Q584" s="862"/>
      <c r="R584" s="862"/>
      <c r="S584" s="862"/>
      <c r="T584" s="903"/>
      <c r="U584" s="910">
        <v>197861466</v>
      </c>
      <c r="V584" s="905"/>
      <c r="W584" s="906"/>
      <c r="X584" s="970"/>
      <c r="Y584" s="884" t="str">
        <f t="shared" ref="Y584:Y647" si="199">LEFT(I584,8)</f>
        <v>04.13.01</v>
      </c>
      <c r="Z584" s="884" t="str">
        <f t="shared" ref="Z584:Z647" si="200">VLOOKUP(Y584,UE,3,FALSE)</f>
        <v>Jalan</v>
      </c>
      <c r="AA584" s="884">
        <f t="shared" ref="AA584:AA647" si="201">VLOOKUP(Y584,UE,4,FALSE)</f>
        <v>10</v>
      </c>
      <c r="AB584" s="868">
        <f t="shared" si="188"/>
        <v>19786146.600000001</v>
      </c>
      <c r="AC584" s="885">
        <f t="shared" si="189"/>
        <v>0</v>
      </c>
      <c r="AD584" s="868">
        <f t="shared" si="190"/>
        <v>0</v>
      </c>
      <c r="AE584" s="868">
        <f t="shared" si="191"/>
        <v>19786146.600000001</v>
      </c>
      <c r="AF584" s="868">
        <f t="shared" si="192"/>
        <v>19786146.600000001</v>
      </c>
      <c r="AG584" s="868">
        <f t="shared" si="193"/>
        <v>19786146.600000001</v>
      </c>
      <c r="AH584" s="868">
        <f t="shared" si="194"/>
        <v>19786146.600000001</v>
      </c>
      <c r="AI584" s="886">
        <f t="shared" si="195"/>
        <v>19786146.600000001</v>
      </c>
      <c r="AJ584" s="886">
        <f t="shared" si="196"/>
        <v>98930733</v>
      </c>
      <c r="AK584" s="868">
        <f t="shared" si="198"/>
        <v>98930733</v>
      </c>
    </row>
    <row r="585" spans="1:37" s="857" customFormat="1" ht="35.25" customHeight="1" x14ac:dyDescent="0.2">
      <c r="A585" s="857" t="s">
        <v>4890</v>
      </c>
      <c r="B585" s="857" t="e">
        <f t="shared" si="197"/>
        <v>#N/A</v>
      </c>
      <c r="E585" s="884" t="str">
        <f t="shared" si="187"/>
        <v/>
      </c>
      <c r="F585" s="890"/>
      <c r="G585" s="862" t="s">
        <v>1353</v>
      </c>
      <c r="H585" s="899"/>
      <c r="I585" s="907" t="s">
        <v>2494</v>
      </c>
      <c r="J585" s="903"/>
      <c r="K585" s="862"/>
      <c r="L585" s="908"/>
      <c r="M585" s="862"/>
      <c r="N585" s="909"/>
      <c r="O585" s="861" t="s">
        <v>3217</v>
      </c>
      <c r="P585" s="903">
        <v>2015</v>
      </c>
      <c r="Q585" s="862"/>
      <c r="R585" s="862"/>
      <c r="S585" s="862"/>
      <c r="T585" s="903" t="s">
        <v>12</v>
      </c>
      <c r="U585" s="910">
        <v>3199037978</v>
      </c>
      <c r="V585" s="905"/>
      <c r="W585" s="906"/>
      <c r="X585" s="970"/>
      <c r="Y585" s="884" t="str">
        <f t="shared" si="199"/>
        <v>04.13.01</v>
      </c>
      <c r="Z585" s="884" t="str">
        <f t="shared" si="200"/>
        <v>Jalan</v>
      </c>
      <c r="AA585" s="884">
        <f t="shared" si="201"/>
        <v>10</v>
      </c>
      <c r="AB585" s="868">
        <f t="shared" si="188"/>
        <v>319903797.80000001</v>
      </c>
      <c r="AC585" s="885">
        <f t="shared" si="189"/>
        <v>0</v>
      </c>
      <c r="AD585" s="868">
        <f t="shared" si="190"/>
        <v>0</v>
      </c>
      <c r="AE585" s="868">
        <v>0</v>
      </c>
      <c r="AF585" s="868">
        <f t="shared" si="192"/>
        <v>319903797.80000001</v>
      </c>
      <c r="AG585" s="868">
        <f t="shared" si="193"/>
        <v>319903797.80000001</v>
      </c>
      <c r="AH585" s="868">
        <f t="shared" si="194"/>
        <v>319903797.80000001</v>
      </c>
      <c r="AI585" s="886">
        <f t="shared" si="195"/>
        <v>319903797.80000001</v>
      </c>
      <c r="AJ585" s="886">
        <f t="shared" si="196"/>
        <v>1279615191.2</v>
      </c>
      <c r="AK585" s="868">
        <f t="shared" si="198"/>
        <v>1919422786.8</v>
      </c>
    </row>
    <row r="586" spans="1:37" s="857" customFormat="1" ht="35.25" customHeight="1" x14ac:dyDescent="0.2">
      <c r="A586" s="857">
        <v>81</v>
      </c>
      <c r="B586" s="857" t="str">
        <f t="shared" si="197"/>
        <v>JL. LOKASI RUMAH ADAT - JP. KM 164 + 250</v>
      </c>
      <c r="E586" s="884" t="str">
        <f t="shared" ref="E586:E649" si="202">RIGHT(D586,1)</f>
        <v/>
      </c>
      <c r="F586" s="890"/>
      <c r="G586" s="862" t="s">
        <v>1355</v>
      </c>
      <c r="H586" s="899"/>
      <c r="I586" s="907" t="s">
        <v>2494</v>
      </c>
      <c r="J586" s="903"/>
      <c r="K586" s="862"/>
      <c r="L586" s="908"/>
      <c r="M586" s="862"/>
      <c r="N586" s="909"/>
      <c r="O586" s="861" t="s">
        <v>3218</v>
      </c>
      <c r="P586" s="903">
        <v>2015</v>
      </c>
      <c r="Q586" s="862"/>
      <c r="R586" s="862"/>
      <c r="S586" s="862"/>
      <c r="T586" s="903" t="s">
        <v>12</v>
      </c>
      <c r="U586" s="910">
        <v>1931170394</v>
      </c>
      <c r="V586" s="905"/>
      <c r="W586" s="906"/>
      <c r="X586" s="970"/>
      <c r="Y586" s="884" t="str">
        <f t="shared" si="199"/>
        <v>04.13.01</v>
      </c>
      <c r="Z586" s="884" t="str">
        <f t="shared" si="200"/>
        <v>Jalan</v>
      </c>
      <c r="AA586" s="884">
        <f t="shared" si="201"/>
        <v>10</v>
      </c>
      <c r="AB586" s="868">
        <f t="shared" si="188"/>
        <v>193117039.40000001</v>
      </c>
      <c r="AC586" s="885">
        <f t="shared" si="189"/>
        <v>0</v>
      </c>
      <c r="AD586" s="868">
        <f t="shared" si="190"/>
        <v>0</v>
      </c>
      <c r="AE586" s="868">
        <v>0</v>
      </c>
      <c r="AF586" s="868">
        <f t="shared" si="192"/>
        <v>193117039.40000001</v>
      </c>
      <c r="AG586" s="868">
        <f t="shared" si="193"/>
        <v>193117039.40000001</v>
      </c>
      <c r="AH586" s="868">
        <f t="shared" si="194"/>
        <v>193117039.40000001</v>
      </c>
      <c r="AI586" s="886">
        <f t="shared" si="195"/>
        <v>193117039.40000001</v>
      </c>
      <c r="AJ586" s="886">
        <f t="shared" si="196"/>
        <v>772468157.60000002</v>
      </c>
      <c r="AK586" s="868">
        <f t="shared" si="198"/>
        <v>1158702236.4000001</v>
      </c>
    </row>
    <row r="587" spans="1:37" s="857" customFormat="1" ht="35.25" customHeight="1" x14ac:dyDescent="0.2">
      <c r="A587" s="857">
        <v>272</v>
      </c>
      <c r="B587" s="857" t="str">
        <f t="shared" si="197"/>
        <v>JL. DESA TALONTAM - PL. KOPUNG</v>
      </c>
      <c r="E587" s="884" t="str">
        <f t="shared" si="202"/>
        <v/>
      </c>
      <c r="F587" s="890"/>
      <c r="G587" s="862" t="s">
        <v>1360</v>
      </c>
      <c r="H587" s="899"/>
      <c r="I587" s="907" t="s">
        <v>2494</v>
      </c>
      <c r="J587" s="903"/>
      <c r="K587" s="862"/>
      <c r="L587" s="908"/>
      <c r="M587" s="862"/>
      <c r="N587" s="909"/>
      <c r="O587" s="863" t="s">
        <v>3169</v>
      </c>
      <c r="P587" s="903">
        <v>2015</v>
      </c>
      <c r="Q587" s="862"/>
      <c r="R587" s="862"/>
      <c r="S587" s="862"/>
      <c r="T587" s="903" t="s">
        <v>12</v>
      </c>
      <c r="U587" s="910">
        <v>3131158428</v>
      </c>
      <c r="V587" s="905"/>
      <c r="W587" s="906"/>
      <c r="X587" s="970"/>
      <c r="Y587" s="884" t="str">
        <f t="shared" si="199"/>
        <v>04.13.01</v>
      </c>
      <c r="Z587" s="884" t="str">
        <f t="shared" si="200"/>
        <v>Jalan</v>
      </c>
      <c r="AA587" s="884">
        <f t="shared" si="201"/>
        <v>10</v>
      </c>
      <c r="AB587" s="868">
        <f t="shared" si="188"/>
        <v>313115842.80000001</v>
      </c>
      <c r="AC587" s="885">
        <f t="shared" si="189"/>
        <v>0</v>
      </c>
      <c r="AD587" s="868">
        <f t="shared" si="190"/>
        <v>0</v>
      </c>
      <c r="AE587" s="868">
        <v>0</v>
      </c>
      <c r="AF587" s="868">
        <f t="shared" si="192"/>
        <v>313115842.80000001</v>
      </c>
      <c r="AG587" s="868">
        <f t="shared" si="193"/>
        <v>313115842.80000001</v>
      </c>
      <c r="AH587" s="868">
        <f t="shared" si="194"/>
        <v>313115842.80000001</v>
      </c>
      <c r="AI587" s="886">
        <f t="shared" si="195"/>
        <v>313115842.80000001</v>
      </c>
      <c r="AJ587" s="886">
        <f t="shared" si="196"/>
        <v>1252463371.2</v>
      </c>
      <c r="AK587" s="868">
        <f t="shared" si="198"/>
        <v>1878695056.8</v>
      </c>
    </row>
    <row r="588" spans="1:37" s="857" customFormat="1" ht="35.25" customHeight="1" x14ac:dyDescent="0.2">
      <c r="A588" s="857">
        <v>263</v>
      </c>
      <c r="B588" s="857" t="str">
        <f t="shared" si="197"/>
        <v>JK RUAS 85/85 - BANJAR LOPAK</v>
      </c>
      <c r="E588" s="884" t="str">
        <f t="shared" si="202"/>
        <v/>
      </c>
      <c r="F588" s="890"/>
      <c r="G588" s="862" t="s">
        <v>1361</v>
      </c>
      <c r="H588" s="899"/>
      <c r="I588" s="907" t="s">
        <v>2494</v>
      </c>
      <c r="J588" s="903"/>
      <c r="K588" s="862"/>
      <c r="L588" s="908"/>
      <c r="M588" s="862"/>
      <c r="N588" s="909"/>
      <c r="O588" s="863" t="s">
        <v>3172</v>
      </c>
      <c r="P588" s="903">
        <v>2015</v>
      </c>
      <c r="Q588" s="862"/>
      <c r="R588" s="862"/>
      <c r="S588" s="862"/>
      <c r="T588" s="903" t="s">
        <v>12</v>
      </c>
      <c r="U588" s="910">
        <v>2128040770</v>
      </c>
      <c r="V588" s="905"/>
      <c r="W588" s="906"/>
      <c r="X588" s="970"/>
      <c r="Y588" s="884" t="str">
        <f t="shared" si="199"/>
        <v>04.13.01</v>
      </c>
      <c r="Z588" s="884" t="str">
        <f t="shared" si="200"/>
        <v>Jalan</v>
      </c>
      <c r="AA588" s="884">
        <f t="shared" si="201"/>
        <v>10</v>
      </c>
      <c r="AB588" s="868">
        <f t="shared" ref="AB588:AB651" si="203">U588/AA588</f>
        <v>212804077</v>
      </c>
      <c r="AC588" s="885">
        <f t="shared" ref="AC588:AC651" si="204">IF(2013-P588+1&gt;AA588,AA588,IF(2013-P588+1&lt;0,0,2013-P588+1))</f>
        <v>0</v>
      </c>
      <c r="AD588" s="868">
        <f t="shared" ref="AD588:AD651" si="205">IF(AC588&gt;AA588,U588,AB588*AC588)</f>
        <v>0</v>
      </c>
      <c r="AE588" s="868">
        <v>0</v>
      </c>
      <c r="AF588" s="868">
        <f t="shared" ref="AF588:AF629" si="206">IF(U588=AD588+AE588,0,AB588)</f>
        <v>212804077</v>
      </c>
      <c r="AG588" s="868">
        <f t="shared" ref="AG588:AG636" si="207">IF(U588=AD588+AE588+AF588,0,AB588)</f>
        <v>212804077</v>
      </c>
      <c r="AH588" s="868">
        <f t="shared" ref="AH588:AH651" si="208">IF(U588=AE588+AF588+AG588+AD588,0,AB588)</f>
        <v>212804077</v>
      </c>
      <c r="AI588" s="886">
        <f t="shared" ref="AI588:AI651" si="209">IF(U588=AE588+AF588+AG588+AD588+AH588,0,AB588)</f>
        <v>212804077</v>
      </c>
      <c r="AJ588" s="886">
        <f t="shared" ref="AJ588:AJ651" si="210">SUM(AD588:AI588)</f>
        <v>851216308</v>
      </c>
      <c r="AK588" s="868">
        <f t="shared" si="198"/>
        <v>1276824462</v>
      </c>
    </row>
    <row r="589" spans="1:37" s="857" customFormat="1" ht="35.25" customHeight="1" x14ac:dyDescent="0.2">
      <c r="A589" s="857" t="s">
        <v>4890</v>
      </c>
      <c r="B589" s="857" t="e">
        <f t="shared" si="197"/>
        <v>#N/A</v>
      </c>
      <c r="E589" s="884" t="str">
        <f t="shared" si="202"/>
        <v/>
      </c>
      <c r="F589" s="890"/>
      <c r="G589" s="862" t="s">
        <v>1362</v>
      </c>
      <c r="H589" s="899"/>
      <c r="I589" s="907" t="s">
        <v>2494</v>
      </c>
      <c r="J589" s="903"/>
      <c r="K589" s="862"/>
      <c r="L589" s="908"/>
      <c r="M589" s="862"/>
      <c r="N589" s="909"/>
      <c r="O589" s="863" t="s">
        <v>3219</v>
      </c>
      <c r="P589" s="903">
        <v>2015</v>
      </c>
      <c r="Q589" s="862"/>
      <c r="R589" s="862"/>
      <c r="S589" s="862"/>
      <c r="T589" s="903" t="s">
        <v>12</v>
      </c>
      <c r="U589" s="910">
        <v>1990157144</v>
      </c>
      <c r="V589" s="905"/>
      <c r="W589" s="906"/>
      <c r="X589" s="970"/>
      <c r="Y589" s="884" t="str">
        <f t="shared" si="199"/>
        <v>04.13.01</v>
      </c>
      <c r="Z589" s="884" t="str">
        <f t="shared" si="200"/>
        <v>Jalan</v>
      </c>
      <c r="AA589" s="884">
        <f t="shared" si="201"/>
        <v>10</v>
      </c>
      <c r="AB589" s="868">
        <f t="shared" si="203"/>
        <v>199015714.40000001</v>
      </c>
      <c r="AC589" s="885">
        <f t="shared" si="204"/>
        <v>0</v>
      </c>
      <c r="AD589" s="868">
        <f t="shared" si="205"/>
        <v>0</v>
      </c>
      <c r="AE589" s="868">
        <v>0</v>
      </c>
      <c r="AF589" s="868">
        <f t="shared" si="206"/>
        <v>199015714.40000001</v>
      </c>
      <c r="AG589" s="868">
        <f t="shared" si="207"/>
        <v>199015714.40000001</v>
      </c>
      <c r="AH589" s="868">
        <f t="shared" si="208"/>
        <v>199015714.40000001</v>
      </c>
      <c r="AI589" s="886">
        <f t="shared" si="209"/>
        <v>199015714.40000001</v>
      </c>
      <c r="AJ589" s="886">
        <f t="shared" si="210"/>
        <v>796062857.60000002</v>
      </c>
      <c r="AK589" s="868">
        <f t="shared" si="198"/>
        <v>1194094286.4000001</v>
      </c>
    </row>
    <row r="590" spans="1:37" s="857" customFormat="1" ht="35.25" customHeight="1" x14ac:dyDescent="0.2">
      <c r="B590" s="857" t="e">
        <f t="shared" si="197"/>
        <v>#N/A</v>
      </c>
      <c r="E590" s="884" t="str">
        <f t="shared" si="202"/>
        <v/>
      </c>
      <c r="F590" s="890"/>
      <c r="G590" s="862" t="s">
        <v>1366</v>
      </c>
      <c r="H590" s="899"/>
      <c r="I590" s="907" t="s">
        <v>2494</v>
      </c>
      <c r="J590" s="903"/>
      <c r="K590" s="862"/>
      <c r="L590" s="908"/>
      <c r="M590" s="862"/>
      <c r="N590" s="909"/>
      <c r="O590" s="861" t="s">
        <v>3220</v>
      </c>
      <c r="P590" s="903">
        <v>2015</v>
      </c>
      <c r="Q590" s="862"/>
      <c r="R590" s="862"/>
      <c r="S590" s="862"/>
      <c r="T590" s="903" t="s">
        <v>12</v>
      </c>
      <c r="U590" s="910">
        <v>3073451038</v>
      </c>
      <c r="V590" s="905"/>
      <c r="W590" s="906"/>
      <c r="X590" s="970"/>
      <c r="Y590" s="884" t="str">
        <f t="shared" si="199"/>
        <v>04.13.01</v>
      </c>
      <c r="Z590" s="884" t="str">
        <f t="shared" si="200"/>
        <v>Jalan</v>
      </c>
      <c r="AA590" s="884">
        <f t="shared" si="201"/>
        <v>10</v>
      </c>
      <c r="AB590" s="868">
        <f t="shared" si="203"/>
        <v>307345103.80000001</v>
      </c>
      <c r="AC590" s="885">
        <f t="shared" si="204"/>
        <v>0</v>
      </c>
      <c r="AD590" s="868">
        <f t="shared" si="205"/>
        <v>0</v>
      </c>
      <c r="AE590" s="868">
        <v>0</v>
      </c>
      <c r="AF590" s="868">
        <f t="shared" si="206"/>
        <v>307345103.80000001</v>
      </c>
      <c r="AG590" s="868">
        <f t="shared" si="207"/>
        <v>307345103.80000001</v>
      </c>
      <c r="AH590" s="868">
        <f t="shared" si="208"/>
        <v>307345103.80000001</v>
      </c>
      <c r="AI590" s="886">
        <f t="shared" si="209"/>
        <v>307345103.80000001</v>
      </c>
      <c r="AJ590" s="886">
        <f t="shared" si="210"/>
        <v>1229380415.2</v>
      </c>
      <c r="AK590" s="868">
        <f t="shared" si="198"/>
        <v>1844070622.8</v>
      </c>
    </row>
    <row r="591" spans="1:37" s="857" customFormat="1" ht="35.25" customHeight="1" x14ac:dyDescent="0.2">
      <c r="A591" s="857">
        <v>246</v>
      </c>
      <c r="B591" s="857" t="str">
        <f t="shared" si="197"/>
        <v>SEI. SIRIH - SIMP. 4 PT. WANASARI</v>
      </c>
      <c r="E591" s="884" t="str">
        <f t="shared" si="202"/>
        <v/>
      </c>
      <c r="F591" s="890"/>
      <c r="G591" s="862" t="s">
        <v>1370</v>
      </c>
      <c r="H591" s="899"/>
      <c r="I591" s="907" t="s">
        <v>2494</v>
      </c>
      <c r="J591" s="903"/>
      <c r="K591" s="862"/>
      <c r="L591" s="908"/>
      <c r="M591" s="862"/>
      <c r="N591" s="909"/>
      <c r="O591" s="918" t="s">
        <v>3221</v>
      </c>
      <c r="P591" s="903">
        <v>2015</v>
      </c>
      <c r="Q591" s="862"/>
      <c r="R591" s="862"/>
      <c r="S591" s="862"/>
      <c r="T591" s="903" t="s">
        <v>12</v>
      </c>
      <c r="U591" s="910">
        <v>2153193000</v>
      </c>
      <c r="V591" s="905"/>
      <c r="W591" s="906"/>
      <c r="X591" s="970"/>
      <c r="Y591" s="884" t="str">
        <f t="shared" si="199"/>
        <v>04.13.01</v>
      </c>
      <c r="Z591" s="884" t="str">
        <f t="shared" si="200"/>
        <v>Jalan</v>
      </c>
      <c r="AA591" s="884">
        <f t="shared" si="201"/>
        <v>10</v>
      </c>
      <c r="AB591" s="868">
        <f t="shared" si="203"/>
        <v>215319300</v>
      </c>
      <c r="AC591" s="885">
        <f t="shared" si="204"/>
        <v>0</v>
      </c>
      <c r="AD591" s="868">
        <f t="shared" si="205"/>
        <v>0</v>
      </c>
      <c r="AE591" s="868">
        <v>0</v>
      </c>
      <c r="AF591" s="868">
        <f t="shared" si="206"/>
        <v>215319300</v>
      </c>
      <c r="AG591" s="868">
        <f t="shared" si="207"/>
        <v>215319300</v>
      </c>
      <c r="AH591" s="868">
        <f t="shared" si="208"/>
        <v>215319300</v>
      </c>
      <c r="AI591" s="886">
        <f t="shared" si="209"/>
        <v>215319300</v>
      </c>
      <c r="AJ591" s="886">
        <f t="shared" si="210"/>
        <v>861277200</v>
      </c>
      <c r="AK591" s="868">
        <f t="shared" si="198"/>
        <v>1291915800</v>
      </c>
    </row>
    <row r="592" spans="1:37" s="857" customFormat="1" ht="35.25" customHeight="1" x14ac:dyDescent="0.2">
      <c r="A592" s="857" t="s">
        <v>4890</v>
      </c>
      <c r="B592" s="857" t="e">
        <f t="shared" si="197"/>
        <v>#N/A</v>
      </c>
      <c r="E592" s="884" t="str">
        <f t="shared" si="202"/>
        <v/>
      </c>
      <c r="F592" s="890"/>
      <c r="G592" s="862" t="s">
        <v>1376</v>
      </c>
      <c r="H592" s="899"/>
      <c r="I592" s="907" t="s">
        <v>2494</v>
      </c>
      <c r="J592" s="903"/>
      <c r="K592" s="862"/>
      <c r="L592" s="908"/>
      <c r="M592" s="862"/>
      <c r="N592" s="909"/>
      <c r="O592" s="861" t="s">
        <v>3127</v>
      </c>
      <c r="P592" s="903">
        <v>2015</v>
      </c>
      <c r="Q592" s="862"/>
      <c r="R592" s="862"/>
      <c r="S592" s="862"/>
      <c r="T592" s="903" t="s">
        <v>12</v>
      </c>
      <c r="U592" s="910">
        <v>2132575732</v>
      </c>
      <c r="V592" s="905"/>
      <c r="W592" s="906"/>
      <c r="X592" s="970"/>
      <c r="Y592" s="884" t="str">
        <f t="shared" si="199"/>
        <v>04.13.01</v>
      </c>
      <c r="Z592" s="884" t="str">
        <f t="shared" si="200"/>
        <v>Jalan</v>
      </c>
      <c r="AA592" s="884">
        <f t="shared" si="201"/>
        <v>10</v>
      </c>
      <c r="AB592" s="868">
        <f t="shared" si="203"/>
        <v>213257573.19999999</v>
      </c>
      <c r="AC592" s="885">
        <f t="shared" si="204"/>
        <v>0</v>
      </c>
      <c r="AD592" s="868">
        <f t="shared" si="205"/>
        <v>0</v>
      </c>
      <c r="AE592" s="868">
        <v>0</v>
      </c>
      <c r="AF592" s="868">
        <f t="shared" si="206"/>
        <v>213257573.19999999</v>
      </c>
      <c r="AG592" s="868">
        <f t="shared" si="207"/>
        <v>213257573.19999999</v>
      </c>
      <c r="AH592" s="868">
        <f t="shared" si="208"/>
        <v>213257573.19999999</v>
      </c>
      <c r="AI592" s="886">
        <f t="shared" si="209"/>
        <v>213257573.19999999</v>
      </c>
      <c r="AJ592" s="886">
        <f t="shared" si="210"/>
        <v>853030292.79999995</v>
      </c>
      <c r="AK592" s="868">
        <f t="shared" si="198"/>
        <v>1279545439.2</v>
      </c>
    </row>
    <row r="593" spans="1:37" s="857" customFormat="1" ht="35.25" customHeight="1" x14ac:dyDescent="0.2">
      <c r="A593" s="857" t="s">
        <v>4890</v>
      </c>
      <c r="B593" s="857" t="e">
        <f t="shared" si="197"/>
        <v>#N/A</v>
      </c>
      <c r="E593" s="884" t="str">
        <f t="shared" si="202"/>
        <v/>
      </c>
      <c r="F593" s="890"/>
      <c r="G593" s="862" t="s">
        <v>1378</v>
      </c>
      <c r="H593" s="899"/>
      <c r="I593" s="907" t="s">
        <v>2494</v>
      </c>
      <c r="J593" s="903"/>
      <c r="K593" s="862"/>
      <c r="L593" s="908"/>
      <c r="M593" s="862"/>
      <c r="N593" s="909"/>
      <c r="O593" s="861" t="s">
        <v>3223</v>
      </c>
      <c r="P593" s="903">
        <v>2015</v>
      </c>
      <c r="Q593" s="862"/>
      <c r="R593" s="862"/>
      <c r="S593" s="862"/>
      <c r="T593" s="903" t="s">
        <v>12</v>
      </c>
      <c r="U593" s="910">
        <v>1212664598</v>
      </c>
      <c r="V593" s="905"/>
      <c r="W593" s="906"/>
      <c r="X593" s="970"/>
      <c r="Y593" s="884" t="str">
        <f t="shared" si="199"/>
        <v>04.13.01</v>
      </c>
      <c r="Z593" s="884" t="str">
        <f t="shared" si="200"/>
        <v>Jalan</v>
      </c>
      <c r="AA593" s="884">
        <f t="shared" si="201"/>
        <v>10</v>
      </c>
      <c r="AB593" s="868">
        <f t="shared" si="203"/>
        <v>121266459.8</v>
      </c>
      <c r="AC593" s="885">
        <f t="shared" si="204"/>
        <v>0</v>
      </c>
      <c r="AD593" s="868">
        <f t="shared" si="205"/>
        <v>0</v>
      </c>
      <c r="AE593" s="868">
        <v>0</v>
      </c>
      <c r="AF593" s="868">
        <f t="shared" si="206"/>
        <v>121266459.8</v>
      </c>
      <c r="AG593" s="868">
        <f t="shared" si="207"/>
        <v>121266459.8</v>
      </c>
      <c r="AH593" s="868">
        <f t="shared" si="208"/>
        <v>121266459.8</v>
      </c>
      <c r="AI593" s="886">
        <f t="shared" si="209"/>
        <v>121266459.8</v>
      </c>
      <c r="AJ593" s="886">
        <f t="shared" si="210"/>
        <v>485065839.19999999</v>
      </c>
      <c r="AK593" s="868">
        <f t="shared" si="198"/>
        <v>727598758.79999995</v>
      </c>
    </row>
    <row r="594" spans="1:37" s="857" customFormat="1" ht="35.25" customHeight="1" x14ac:dyDescent="0.2">
      <c r="A594" s="857">
        <v>160</v>
      </c>
      <c r="B594" s="857" t="str">
        <f t="shared" si="197"/>
        <v>PULAU KUMPAI - PS. USANG BASERAH</v>
      </c>
      <c r="E594" s="884" t="str">
        <f t="shared" si="202"/>
        <v/>
      </c>
      <c r="F594" s="890"/>
      <c r="G594" s="862" t="s">
        <v>1379</v>
      </c>
      <c r="H594" s="899"/>
      <c r="I594" s="907" t="s">
        <v>3824</v>
      </c>
      <c r="J594" s="903"/>
      <c r="K594" s="862"/>
      <c r="L594" s="908"/>
      <c r="M594" s="862"/>
      <c r="N594" s="909"/>
      <c r="O594" s="863" t="s">
        <v>3224</v>
      </c>
      <c r="P594" s="903">
        <v>2015</v>
      </c>
      <c r="Q594" s="862"/>
      <c r="R594" s="862"/>
      <c r="S594" s="862"/>
      <c r="T594" s="903" t="s">
        <v>12</v>
      </c>
      <c r="U594" s="910">
        <v>2361312163</v>
      </c>
      <c r="V594" s="905"/>
      <c r="W594" s="906"/>
      <c r="X594" s="970"/>
      <c r="Y594" s="884" t="str">
        <f t="shared" si="199"/>
        <v>04.13.02</v>
      </c>
      <c r="Z594" s="884" t="str">
        <f t="shared" si="200"/>
        <v>Jembatan</v>
      </c>
      <c r="AA594" s="884">
        <f t="shared" si="201"/>
        <v>50</v>
      </c>
      <c r="AB594" s="868">
        <f t="shared" si="203"/>
        <v>47226243.259999998</v>
      </c>
      <c r="AC594" s="885">
        <f t="shared" si="204"/>
        <v>0</v>
      </c>
      <c r="AD594" s="868">
        <f t="shared" si="205"/>
        <v>0</v>
      </c>
      <c r="AE594" s="868">
        <v>0</v>
      </c>
      <c r="AF594" s="868">
        <f t="shared" si="206"/>
        <v>47226243.259999998</v>
      </c>
      <c r="AG594" s="868">
        <f t="shared" si="207"/>
        <v>47226243.259999998</v>
      </c>
      <c r="AH594" s="868">
        <f t="shared" si="208"/>
        <v>47226243.259999998</v>
      </c>
      <c r="AI594" s="886">
        <f t="shared" si="209"/>
        <v>47226243.259999998</v>
      </c>
      <c r="AJ594" s="886">
        <f t="shared" si="210"/>
        <v>188904973.03999999</v>
      </c>
      <c r="AK594" s="868">
        <f t="shared" si="198"/>
        <v>2172407189.96</v>
      </c>
    </row>
    <row r="595" spans="1:37" s="857" customFormat="1" ht="35.25" customHeight="1" x14ac:dyDescent="0.2">
      <c r="A595" s="857">
        <v>5</v>
      </c>
      <c r="B595" s="857" t="str">
        <f t="shared" si="197"/>
        <v>SIMP. JAKE - TRANS SKP II PETAI</v>
      </c>
      <c r="E595" s="884" t="str">
        <f t="shared" si="202"/>
        <v/>
      </c>
      <c r="F595" s="890"/>
      <c r="G595" s="862" t="s">
        <v>1380</v>
      </c>
      <c r="H595" s="899"/>
      <c r="I595" s="907" t="s">
        <v>3824</v>
      </c>
      <c r="J595" s="903"/>
      <c r="K595" s="862"/>
      <c r="L595" s="908"/>
      <c r="M595" s="862"/>
      <c r="N595" s="909"/>
      <c r="O595" s="861" t="s">
        <v>3225</v>
      </c>
      <c r="P595" s="903">
        <v>2015</v>
      </c>
      <c r="Q595" s="862"/>
      <c r="R595" s="862"/>
      <c r="S595" s="862"/>
      <c r="T595" s="903" t="s">
        <v>12</v>
      </c>
      <c r="U595" s="910">
        <v>1855632664.2</v>
      </c>
      <c r="V595" s="905"/>
      <c r="W595" s="906"/>
      <c r="X595" s="970"/>
      <c r="Y595" s="884" t="str">
        <f t="shared" si="199"/>
        <v>04.13.02</v>
      </c>
      <c r="Z595" s="884" t="str">
        <f t="shared" si="200"/>
        <v>Jembatan</v>
      </c>
      <c r="AA595" s="884">
        <f t="shared" si="201"/>
        <v>50</v>
      </c>
      <c r="AB595" s="868">
        <f t="shared" si="203"/>
        <v>37112653.284000002</v>
      </c>
      <c r="AC595" s="885">
        <f t="shared" si="204"/>
        <v>0</v>
      </c>
      <c r="AD595" s="868">
        <f t="shared" si="205"/>
        <v>0</v>
      </c>
      <c r="AE595" s="868">
        <v>0</v>
      </c>
      <c r="AF595" s="868">
        <f t="shared" si="206"/>
        <v>37112653.284000002</v>
      </c>
      <c r="AG595" s="868">
        <f t="shared" si="207"/>
        <v>37112653.284000002</v>
      </c>
      <c r="AH595" s="868">
        <f t="shared" si="208"/>
        <v>37112653.284000002</v>
      </c>
      <c r="AI595" s="886">
        <f t="shared" si="209"/>
        <v>37112653.284000002</v>
      </c>
      <c r="AJ595" s="886">
        <f t="shared" si="210"/>
        <v>148450613.13600001</v>
      </c>
      <c r="AK595" s="868">
        <f t="shared" si="198"/>
        <v>1707182051.0640001</v>
      </c>
    </row>
    <row r="596" spans="1:37" s="857" customFormat="1" ht="35.25" customHeight="1" x14ac:dyDescent="0.2">
      <c r="A596" s="857">
        <v>92</v>
      </c>
      <c r="B596" s="857" t="str">
        <f t="shared" si="197"/>
        <v>SIMP. 4 PANGKALAN - MUARA PETAI</v>
      </c>
      <c r="E596" s="884" t="str">
        <f t="shared" si="202"/>
        <v/>
      </c>
      <c r="F596" s="890"/>
      <c r="G596" s="862" t="s">
        <v>1381</v>
      </c>
      <c r="H596" s="899"/>
      <c r="I596" s="907" t="s">
        <v>2494</v>
      </c>
      <c r="J596" s="903"/>
      <c r="K596" s="862"/>
      <c r="L596" s="908"/>
      <c r="M596" s="862"/>
      <c r="N596" s="909"/>
      <c r="O596" s="861" t="s">
        <v>3194</v>
      </c>
      <c r="P596" s="903">
        <v>2015</v>
      </c>
      <c r="Q596" s="862"/>
      <c r="R596" s="862"/>
      <c r="S596" s="862"/>
      <c r="T596" s="903" t="s">
        <v>12</v>
      </c>
      <c r="U596" s="910">
        <v>2083405986.2</v>
      </c>
      <c r="V596" s="905"/>
      <c r="W596" s="906"/>
      <c r="X596" s="970"/>
      <c r="Y596" s="884" t="str">
        <f t="shared" si="199"/>
        <v>04.13.01</v>
      </c>
      <c r="Z596" s="884" t="str">
        <f t="shared" si="200"/>
        <v>Jalan</v>
      </c>
      <c r="AA596" s="884">
        <f t="shared" si="201"/>
        <v>10</v>
      </c>
      <c r="AB596" s="868">
        <f t="shared" si="203"/>
        <v>208340598.62</v>
      </c>
      <c r="AC596" s="885">
        <f t="shared" si="204"/>
        <v>0</v>
      </c>
      <c r="AD596" s="868">
        <f t="shared" si="205"/>
        <v>0</v>
      </c>
      <c r="AE596" s="868">
        <v>0</v>
      </c>
      <c r="AF596" s="868">
        <f t="shared" si="206"/>
        <v>208340598.62</v>
      </c>
      <c r="AG596" s="868">
        <f t="shared" si="207"/>
        <v>208340598.62</v>
      </c>
      <c r="AH596" s="868">
        <f t="shared" si="208"/>
        <v>208340598.62</v>
      </c>
      <c r="AI596" s="886">
        <f t="shared" si="209"/>
        <v>208340598.62</v>
      </c>
      <c r="AJ596" s="886">
        <f t="shared" si="210"/>
        <v>833362394.48000002</v>
      </c>
      <c r="AK596" s="868">
        <f t="shared" si="198"/>
        <v>1250043591.72</v>
      </c>
    </row>
    <row r="597" spans="1:37" s="857" customFormat="1" ht="35.25" customHeight="1" x14ac:dyDescent="0.2">
      <c r="A597" s="857">
        <v>235</v>
      </c>
      <c r="B597" s="857" t="str">
        <f t="shared" si="197"/>
        <v>AIR MAS - SEI. KERANJI</v>
      </c>
      <c r="E597" s="884" t="str">
        <f t="shared" si="202"/>
        <v/>
      </c>
      <c r="F597" s="890"/>
      <c r="G597" s="862" t="s">
        <v>1384</v>
      </c>
      <c r="H597" s="899"/>
      <c r="I597" s="907" t="s">
        <v>2494</v>
      </c>
      <c r="J597" s="903"/>
      <c r="K597" s="862"/>
      <c r="L597" s="908"/>
      <c r="M597" s="862"/>
      <c r="N597" s="909"/>
      <c r="O597" s="861" t="s">
        <v>3227</v>
      </c>
      <c r="P597" s="903">
        <v>2015</v>
      </c>
      <c r="Q597" s="862"/>
      <c r="R597" s="862"/>
      <c r="S597" s="862"/>
      <c r="T597" s="903" t="s">
        <v>12</v>
      </c>
      <c r="U597" s="910">
        <v>2801026132</v>
      </c>
      <c r="V597" s="905"/>
      <c r="W597" s="906"/>
      <c r="X597" s="970"/>
      <c r="Y597" s="884" t="str">
        <f t="shared" si="199"/>
        <v>04.13.01</v>
      </c>
      <c r="Z597" s="884" t="str">
        <f t="shared" si="200"/>
        <v>Jalan</v>
      </c>
      <c r="AA597" s="884">
        <f t="shared" si="201"/>
        <v>10</v>
      </c>
      <c r="AB597" s="868">
        <f t="shared" si="203"/>
        <v>280102613.19999999</v>
      </c>
      <c r="AC597" s="885">
        <f t="shared" si="204"/>
        <v>0</v>
      </c>
      <c r="AD597" s="868">
        <f t="shared" si="205"/>
        <v>0</v>
      </c>
      <c r="AE597" s="868">
        <v>0</v>
      </c>
      <c r="AF597" s="868">
        <f t="shared" si="206"/>
        <v>280102613.19999999</v>
      </c>
      <c r="AG597" s="868">
        <f t="shared" si="207"/>
        <v>280102613.19999999</v>
      </c>
      <c r="AH597" s="868">
        <f t="shared" si="208"/>
        <v>280102613.19999999</v>
      </c>
      <c r="AI597" s="886">
        <f t="shared" si="209"/>
        <v>280102613.19999999</v>
      </c>
      <c r="AJ597" s="886">
        <f t="shared" si="210"/>
        <v>1120410452.8</v>
      </c>
      <c r="AK597" s="868">
        <f t="shared" si="198"/>
        <v>1680615679.2</v>
      </c>
    </row>
    <row r="598" spans="1:37" s="857" customFormat="1" ht="35.25" customHeight="1" x14ac:dyDescent="0.2">
      <c r="A598" s="857">
        <v>5</v>
      </c>
      <c r="B598" s="857" t="str">
        <f t="shared" si="197"/>
        <v>SIMP. JAKE - TRANS SKP II PETAI</v>
      </c>
      <c r="E598" s="884" t="str">
        <f t="shared" si="202"/>
        <v/>
      </c>
      <c r="F598" s="890"/>
      <c r="G598" s="862" t="s">
        <v>1385</v>
      </c>
      <c r="H598" s="899"/>
      <c r="I598" s="907" t="s">
        <v>2494</v>
      </c>
      <c r="J598" s="903"/>
      <c r="K598" s="862"/>
      <c r="L598" s="908"/>
      <c r="M598" s="862"/>
      <c r="N598" s="909"/>
      <c r="O598" s="861" t="s">
        <v>3228</v>
      </c>
      <c r="P598" s="903">
        <v>2015</v>
      </c>
      <c r="Q598" s="862"/>
      <c r="R598" s="862"/>
      <c r="S598" s="862"/>
      <c r="T598" s="903" t="s">
        <v>12</v>
      </c>
      <c r="U598" s="910">
        <v>2023879506</v>
      </c>
      <c r="V598" s="905"/>
      <c r="W598" s="906"/>
      <c r="X598" s="970"/>
      <c r="Y598" s="884" t="str">
        <f t="shared" si="199"/>
        <v>04.13.01</v>
      </c>
      <c r="Z598" s="884" t="str">
        <f t="shared" si="200"/>
        <v>Jalan</v>
      </c>
      <c r="AA598" s="884">
        <f t="shared" si="201"/>
        <v>10</v>
      </c>
      <c r="AB598" s="868">
        <f t="shared" si="203"/>
        <v>202387950.59999999</v>
      </c>
      <c r="AC598" s="885">
        <f t="shared" si="204"/>
        <v>0</v>
      </c>
      <c r="AD598" s="868">
        <f t="shared" si="205"/>
        <v>0</v>
      </c>
      <c r="AE598" s="868">
        <v>0</v>
      </c>
      <c r="AF598" s="868">
        <f t="shared" si="206"/>
        <v>202387950.59999999</v>
      </c>
      <c r="AG598" s="868">
        <f t="shared" si="207"/>
        <v>202387950.59999999</v>
      </c>
      <c r="AH598" s="868">
        <f t="shared" si="208"/>
        <v>202387950.59999999</v>
      </c>
      <c r="AI598" s="886">
        <f t="shared" si="209"/>
        <v>202387950.59999999</v>
      </c>
      <c r="AJ598" s="886">
        <f t="shared" si="210"/>
        <v>809551802.39999998</v>
      </c>
      <c r="AK598" s="868">
        <f t="shared" si="198"/>
        <v>1214327703.5999999</v>
      </c>
    </row>
    <row r="599" spans="1:37" s="857" customFormat="1" ht="35.25" customHeight="1" x14ac:dyDescent="0.2">
      <c r="A599" s="857">
        <v>27</v>
      </c>
      <c r="B599" s="857" t="str">
        <f t="shared" si="197"/>
        <v>JL. SEB. TELUK - SIBEROBAH</v>
      </c>
      <c r="E599" s="884" t="str">
        <f t="shared" si="202"/>
        <v/>
      </c>
      <c r="F599" s="890"/>
      <c r="G599" s="862" t="s">
        <v>1387</v>
      </c>
      <c r="H599" s="899"/>
      <c r="I599" s="907" t="s">
        <v>2494</v>
      </c>
      <c r="J599" s="903"/>
      <c r="K599" s="862"/>
      <c r="L599" s="908"/>
      <c r="M599" s="862"/>
      <c r="N599" s="909"/>
      <c r="O599" s="861" t="s">
        <v>3229</v>
      </c>
      <c r="P599" s="903">
        <v>2015</v>
      </c>
      <c r="Q599" s="862"/>
      <c r="R599" s="862"/>
      <c r="S599" s="862"/>
      <c r="T599" s="903" t="s">
        <v>12</v>
      </c>
      <c r="U599" s="910">
        <v>5113308736.9644003</v>
      </c>
      <c r="V599" s="905"/>
      <c r="W599" s="906"/>
      <c r="X599" s="970"/>
      <c r="Y599" s="884" t="str">
        <f t="shared" si="199"/>
        <v>04.13.01</v>
      </c>
      <c r="Z599" s="884" t="str">
        <f t="shared" si="200"/>
        <v>Jalan</v>
      </c>
      <c r="AA599" s="884">
        <f t="shared" si="201"/>
        <v>10</v>
      </c>
      <c r="AB599" s="868">
        <f t="shared" si="203"/>
        <v>511330873.69644004</v>
      </c>
      <c r="AC599" s="885">
        <f t="shared" si="204"/>
        <v>0</v>
      </c>
      <c r="AD599" s="868">
        <f t="shared" si="205"/>
        <v>0</v>
      </c>
      <c r="AE599" s="868">
        <v>0</v>
      </c>
      <c r="AF599" s="868">
        <f t="shared" si="206"/>
        <v>511330873.69644004</v>
      </c>
      <c r="AG599" s="868">
        <f t="shared" si="207"/>
        <v>511330873.69644004</v>
      </c>
      <c r="AH599" s="868">
        <f t="shared" si="208"/>
        <v>511330873.69644004</v>
      </c>
      <c r="AI599" s="886">
        <f t="shared" si="209"/>
        <v>511330873.69644004</v>
      </c>
      <c r="AJ599" s="886">
        <f t="shared" si="210"/>
        <v>2045323494.7857602</v>
      </c>
      <c r="AK599" s="868">
        <f t="shared" si="198"/>
        <v>3067985242.1786404</v>
      </c>
    </row>
    <row r="600" spans="1:37" s="857" customFormat="1" ht="35.25" customHeight="1" x14ac:dyDescent="0.2">
      <c r="A600" s="857">
        <v>18</v>
      </c>
      <c r="B600" s="857" t="str">
        <f t="shared" si="197"/>
        <v>JL. DESA PL. KOPUNG - SEI. KUANTAN</v>
      </c>
      <c r="E600" s="884" t="str">
        <f t="shared" si="202"/>
        <v/>
      </c>
      <c r="F600" s="890"/>
      <c r="G600" s="862" t="s">
        <v>1390</v>
      </c>
      <c r="H600" s="899"/>
      <c r="I600" s="907" t="s">
        <v>2494</v>
      </c>
      <c r="J600" s="903"/>
      <c r="K600" s="862"/>
      <c r="L600" s="908"/>
      <c r="M600" s="862"/>
      <c r="N600" s="909"/>
      <c r="O600" s="861" t="s">
        <v>3230</v>
      </c>
      <c r="P600" s="903">
        <v>2015</v>
      </c>
      <c r="Q600" s="862"/>
      <c r="R600" s="862"/>
      <c r="S600" s="862"/>
      <c r="T600" s="903" t="s">
        <v>12</v>
      </c>
      <c r="U600" s="910">
        <v>194299755</v>
      </c>
      <c r="V600" s="905"/>
      <c r="W600" s="906"/>
      <c r="X600" s="970"/>
      <c r="Y600" s="884" t="str">
        <f t="shared" si="199"/>
        <v>04.13.01</v>
      </c>
      <c r="Z600" s="884" t="str">
        <f t="shared" si="200"/>
        <v>Jalan</v>
      </c>
      <c r="AA600" s="884">
        <f t="shared" si="201"/>
        <v>10</v>
      </c>
      <c r="AB600" s="868">
        <f t="shared" si="203"/>
        <v>19429975.5</v>
      </c>
      <c r="AC600" s="885">
        <f t="shared" si="204"/>
        <v>0</v>
      </c>
      <c r="AD600" s="868">
        <f t="shared" si="205"/>
        <v>0</v>
      </c>
      <c r="AE600" s="868">
        <v>0</v>
      </c>
      <c r="AF600" s="868">
        <f t="shared" si="206"/>
        <v>19429975.5</v>
      </c>
      <c r="AG600" s="868">
        <f t="shared" si="207"/>
        <v>19429975.5</v>
      </c>
      <c r="AH600" s="868">
        <f t="shared" si="208"/>
        <v>19429975.5</v>
      </c>
      <c r="AI600" s="886">
        <f t="shared" si="209"/>
        <v>19429975.5</v>
      </c>
      <c r="AJ600" s="886">
        <f t="shared" si="210"/>
        <v>77719902</v>
      </c>
      <c r="AK600" s="868">
        <f t="shared" si="198"/>
        <v>116579853</v>
      </c>
    </row>
    <row r="601" spans="1:37" s="857" customFormat="1" ht="35.25" customHeight="1" x14ac:dyDescent="0.2">
      <c r="A601" s="857" t="s">
        <v>4895</v>
      </c>
      <c r="B601" s="857" t="e">
        <f t="shared" si="197"/>
        <v>#N/A</v>
      </c>
      <c r="E601" s="884" t="str">
        <f t="shared" si="202"/>
        <v/>
      </c>
      <c r="F601" s="890"/>
      <c r="G601" s="862" t="s">
        <v>1392</v>
      </c>
      <c r="H601" s="899"/>
      <c r="I601" s="907" t="s">
        <v>2494</v>
      </c>
      <c r="J601" s="903"/>
      <c r="K601" s="862"/>
      <c r="L601" s="908"/>
      <c r="M601" s="862"/>
      <c r="N601" s="909"/>
      <c r="O601" s="861" t="s">
        <v>3113</v>
      </c>
      <c r="P601" s="903">
        <v>2015</v>
      </c>
      <c r="Q601" s="862"/>
      <c r="R601" s="862"/>
      <c r="S601" s="862"/>
      <c r="T601" s="903" t="s">
        <v>12</v>
      </c>
      <c r="U601" s="910">
        <v>1976709313</v>
      </c>
      <c r="V601" s="905"/>
      <c r="W601" s="906"/>
      <c r="X601" s="970"/>
      <c r="Y601" s="884" t="str">
        <f t="shared" si="199"/>
        <v>04.13.01</v>
      </c>
      <c r="Z601" s="884" t="str">
        <f t="shared" si="200"/>
        <v>Jalan</v>
      </c>
      <c r="AA601" s="884">
        <f t="shared" si="201"/>
        <v>10</v>
      </c>
      <c r="AB601" s="868">
        <f t="shared" si="203"/>
        <v>197670931.30000001</v>
      </c>
      <c r="AC601" s="885">
        <f t="shared" si="204"/>
        <v>0</v>
      </c>
      <c r="AD601" s="868">
        <f t="shared" si="205"/>
        <v>0</v>
      </c>
      <c r="AE601" s="868">
        <v>0</v>
      </c>
      <c r="AF601" s="868">
        <f t="shared" si="206"/>
        <v>197670931.30000001</v>
      </c>
      <c r="AG601" s="868">
        <f t="shared" si="207"/>
        <v>197670931.30000001</v>
      </c>
      <c r="AH601" s="868">
        <f t="shared" si="208"/>
        <v>197670931.30000001</v>
      </c>
      <c r="AI601" s="886">
        <f t="shared" si="209"/>
        <v>197670931.30000001</v>
      </c>
      <c r="AJ601" s="886">
        <f t="shared" si="210"/>
        <v>790683725.20000005</v>
      </c>
      <c r="AK601" s="868">
        <f t="shared" si="198"/>
        <v>1186025587.8</v>
      </c>
    </row>
    <row r="602" spans="1:37" s="857" customFormat="1" ht="35.25" customHeight="1" x14ac:dyDescent="0.2">
      <c r="A602" s="857">
        <v>115</v>
      </c>
      <c r="B602" s="857" t="str">
        <f t="shared" si="197"/>
        <v>GUNUNG - PL. MUNGKUR</v>
      </c>
      <c r="E602" s="884" t="str">
        <f t="shared" si="202"/>
        <v/>
      </c>
      <c r="F602" s="890"/>
      <c r="G602" s="862" t="s">
        <v>1393</v>
      </c>
      <c r="H602" s="899"/>
      <c r="I602" s="907" t="s">
        <v>2494</v>
      </c>
      <c r="J602" s="903"/>
      <c r="K602" s="862"/>
      <c r="L602" s="908"/>
      <c r="M602" s="862"/>
      <c r="N602" s="909"/>
      <c r="O602" s="861" t="s">
        <v>3231</v>
      </c>
      <c r="P602" s="903">
        <v>2015</v>
      </c>
      <c r="Q602" s="862"/>
      <c r="R602" s="862"/>
      <c r="S602" s="862"/>
      <c r="T602" s="903" t="s">
        <v>12</v>
      </c>
      <c r="U602" s="910">
        <v>1945562821</v>
      </c>
      <c r="V602" s="905"/>
      <c r="W602" s="906"/>
      <c r="X602" s="970"/>
      <c r="Y602" s="884" t="str">
        <f t="shared" si="199"/>
        <v>04.13.01</v>
      </c>
      <c r="Z602" s="884" t="str">
        <f t="shared" si="200"/>
        <v>Jalan</v>
      </c>
      <c r="AA602" s="884">
        <f t="shared" si="201"/>
        <v>10</v>
      </c>
      <c r="AB602" s="868">
        <f t="shared" si="203"/>
        <v>194556282.09999999</v>
      </c>
      <c r="AC602" s="885">
        <f t="shared" si="204"/>
        <v>0</v>
      </c>
      <c r="AD602" s="868">
        <f t="shared" si="205"/>
        <v>0</v>
      </c>
      <c r="AE602" s="868">
        <v>0</v>
      </c>
      <c r="AF602" s="868">
        <f t="shared" si="206"/>
        <v>194556282.09999999</v>
      </c>
      <c r="AG602" s="868">
        <f t="shared" si="207"/>
        <v>194556282.09999999</v>
      </c>
      <c r="AH602" s="868">
        <f t="shared" si="208"/>
        <v>194556282.09999999</v>
      </c>
      <c r="AI602" s="886">
        <f t="shared" si="209"/>
        <v>194556282.09999999</v>
      </c>
      <c r="AJ602" s="886">
        <f t="shared" si="210"/>
        <v>778225128.39999998</v>
      </c>
      <c r="AK602" s="868">
        <f t="shared" si="198"/>
        <v>1167337692.5999999</v>
      </c>
    </row>
    <row r="603" spans="1:37" s="857" customFormat="1" ht="35.25" customHeight="1" x14ac:dyDescent="0.2">
      <c r="A603" s="857" t="s">
        <v>4890</v>
      </c>
      <c r="B603" s="857" t="e">
        <f t="shared" si="197"/>
        <v>#N/A</v>
      </c>
      <c r="E603" s="884" t="str">
        <f t="shared" si="202"/>
        <v/>
      </c>
      <c r="F603" s="890"/>
      <c r="G603" s="862" t="s">
        <v>1394</v>
      </c>
      <c r="H603" s="899"/>
      <c r="I603" s="907" t="s">
        <v>2494</v>
      </c>
      <c r="J603" s="903"/>
      <c r="K603" s="862"/>
      <c r="L603" s="908"/>
      <c r="M603" s="862"/>
      <c r="N603" s="909"/>
      <c r="O603" s="861" t="s">
        <v>3232</v>
      </c>
      <c r="P603" s="903">
        <v>2015</v>
      </c>
      <c r="Q603" s="862"/>
      <c r="R603" s="862"/>
      <c r="S603" s="862"/>
      <c r="T603" s="903" t="s">
        <v>12</v>
      </c>
      <c r="U603" s="910">
        <v>194273678</v>
      </c>
      <c r="V603" s="905"/>
      <c r="W603" s="906"/>
      <c r="X603" s="970"/>
      <c r="Y603" s="884" t="str">
        <f t="shared" si="199"/>
        <v>04.13.01</v>
      </c>
      <c r="Z603" s="884" t="str">
        <f t="shared" si="200"/>
        <v>Jalan</v>
      </c>
      <c r="AA603" s="884">
        <f t="shared" si="201"/>
        <v>10</v>
      </c>
      <c r="AB603" s="868">
        <f t="shared" si="203"/>
        <v>19427367.800000001</v>
      </c>
      <c r="AC603" s="885">
        <f t="shared" si="204"/>
        <v>0</v>
      </c>
      <c r="AD603" s="868">
        <f t="shared" si="205"/>
        <v>0</v>
      </c>
      <c r="AE603" s="868">
        <v>0</v>
      </c>
      <c r="AF603" s="868">
        <f t="shared" si="206"/>
        <v>19427367.800000001</v>
      </c>
      <c r="AG603" s="868">
        <f t="shared" si="207"/>
        <v>19427367.800000001</v>
      </c>
      <c r="AH603" s="868">
        <f t="shared" si="208"/>
        <v>19427367.800000001</v>
      </c>
      <c r="AI603" s="886">
        <f t="shared" si="209"/>
        <v>19427367.800000001</v>
      </c>
      <c r="AJ603" s="886">
        <f t="shared" si="210"/>
        <v>77709471.200000003</v>
      </c>
      <c r="AK603" s="868">
        <f t="shared" si="198"/>
        <v>116564206.8</v>
      </c>
    </row>
    <row r="604" spans="1:37" s="857" customFormat="1" ht="35.25" customHeight="1" x14ac:dyDescent="0.2">
      <c r="A604" s="857" t="s">
        <v>4890</v>
      </c>
      <c r="B604" s="857" t="e">
        <f t="shared" si="197"/>
        <v>#N/A</v>
      </c>
      <c r="E604" s="884" t="str">
        <f t="shared" si="202"/>
        <v/>
      </c>
      <c r="F604" s="890"/>
      <c r="G604" s="862" t="s">
        <v>1395</v>
      </c>
      <c r="H604" s="899"/>
      <c r="I604" s="907" t="s">
        <v>2494</v>
      </c>
      <c r="J604" s="903"/>
      <c r="K604" s="862"/>
      <c r="L604" s="908"/>
      <c r="M604" s="862"/>
      <c r="N604" s="909"/>
      <c r="O604" s="861" t="s">
        <v>3233</v>
      </c>
      <c r="P604" s="903">
        <v>2015</v>
      </c>
      <c r="Q604" s="862"/>
      <c r="R604" s="862"/>
      <c r="S604" s="862"/>
      <c r="T604" s="903" t="s">
        <v>12</v>
      </c>
      <c r="U604" s="910">
        <v>469897527</v>
      </c>
      <c r="V604" s="905"/>
      <c r="W604" s="906"/>
      <c r="X604" s="970"/>
      <c r="Y604" s="884" t="str">
        <f t="shared" si="199"/>
        <v>04.13.01</v>
      </c>
      <c r="Z604" s="884" t="str">
        <f t="shared" si="200"/>
        <v>Jalan</v>
      </c>
      <c r="AA604" s="884">
        <f t="shared" si="201"/>
        <v>10</v>
      </c>
      <c r="AB604" s="868">
        <f t="shared" si="203"/>
        <v>46989752.700000003</v>
      </c>
      <c r="AC604" s="885">
        <f t="shared" si="204"/>
        <v>0</v>
      </c>
      <c r="AD604" s="868">
        <f t="shared" si="205"/>
        <v>0</v>
      </c>
      <c r="AE604" s="868">
        <v>0</v>
      </c>
      <c r="AF604" s="868">
        <f t="shared" si="206"/>
        <v>46989752.700000003</v>
      </c>
      <c r="AG604" s="868">
        <f t="shared" si="207"/>
        <v>46989752.700000003</v>
      </c>
      <c r="AH604" s="868">
        <f t="shared" si="208"/>
        <v>46989752.700000003</v>
      </c>
      <c r="AI604" s="886">
        <f t="shared" si="209"/>
        <v>46989752.700000003</v>
      </c>
      <c r="AJ604" s="886">
        <f t="shared" si="210"/>
        <v>187959010.80000001</v>
      </c>
      <c r="AK604" s="868">
        <f t="shared" si="198"/>
        <v>281938516.19999999</v>
      </c>
    </row>
    <row r="605" spans="1:37" s="857" customFormat="1" ht="35.25" customHeight="1" x14ac:dyDescent="0.2">
      <c r="A605" s="857" t="s">
        <v>4890</v>
      </c>
      <c r="B605" s="857" t="e">
        <f t="shared" si="197"/>
        <v>#N/A</v>
      </c>
      <c r="E605" s="884" t="str">
        <f t="shared" si="202"/>
        <v/>
      </c>
      <c r="F605" s="890"/>
      <c r="G605" s="862" t="s">
        <v>1397</v>
      </c>
      <c r="H605" s="899"/>
      <c r="I605" s="907" t="s">
        <v>2494</v>
      </c>
      <c r="J605" s="903"/>
      <c r="K605" s="862"/>
      <c r="L605" s="908"/>
      <c r="M605" s="862"/>
      <c r="N605" s="909"/>
      <c r="O605" s="863" t="s">
        <v>3234</v>
      </c>
      <c r="P605" s="903">
        <v>2015</v>
      </c>
      <c r="Q605" s="862"/>
      <c r="R605" s="862"/>
      <c r="S605" s="862"/>
      <c r="T605" s="903" t="s">
        <v>12</v>
      </c>
      <c r="U605" s="910">
        <v>194304755</v>
      </c>
      <c r="V605" s="905"/>
      <c r="W605" s="906"/>
      <c r="X605" s="970"/>
      <c r="Y605" s="884" t="str">
        <f t="shared" si="199"/>
        <v>04.13.01</v>
      </c>
      <c r="Z605" s="884" t="str">
        <f t="shared" si="200"/>
        <v>Jalan</v>
      </c>
      <c r="AA605" s="884">
        <f t="shared" si="201"/>
        <v>10</v>
      </c>
      <c r="AB605" s="868">
        <f t="shared" si="203"/>
        <v>19430475.5</v>
      </c>
      <c r="AC605" s="885">
        <f t="shared" si="204"/>
        <v>0</v>
      </c>
      <c r="AD605" s="868">
        <f t="shared" si="205"/>
        <v>0</v>
      </c>
      <c r="AE605" s="868">
        <v>0</v>
      </c>
      <c r="AF605" s="868">
        <f t="shared" si="206"/>
        <v>19430475.5</v>
      </c>
      <c r="AG605" s="868">
        <f t="shared" si="207"/>
        <v>19430475.5</v>
      </c>
      <c r="AH605" s="868">
        <f t="shared" si="208"/>
        <v>19430475.5</v>
      </c>
      <c r="AI605" s="886">
        <f t="shared" si="209"/>
        <v>19430475.5</v>
      </c>
      <c r="AJ605" s="886">
        <f t="shared" si="210"/>
        <v>77721902</v>
      </c>
      <c r="AK605" s="868">
        <f t="shared" si="198"/>
        <v>116582853</v>
      </c>
    </row>
    <row r="606" spans="1:37" s="857" customFormat="1" ht="35.25" customHeight="1" x14ac:dyDescent="0.2">
      <c r="A606" s="857">
        <v>49</v>
      </c>
      <c r="B606" s="857" t="str">
        <f t="shared" si="197"/>
        <v>JL. TOPAN - RUAS 41/41</v>
      </c>
      <c r="E606" s="884" t="str">
        <f t="shared" si="202"/>
        <v/>
      </c>
      <c r="F606" s="890"/>
      <c r="G606" s="862" t="s">
        <v>1398</v>
      </c>
      <c r="H606" s="899"/>
      <c r="I606" s="907" t="s">
        <v>2494</v>
      </c>
      <c r="J606" s="903"/>
      <c r="K606" s="862"/>
      <c r="L606" s="908"/>
      <c r="M606" s="862"/>
      <c r="N606" s="909"/>
      <c r="O606" s="863" t="s">
        <v>3235</v>
      </c>
      <c r="P606" s="903">
        <v>2015</v>
      </c>
      <c r="Q606" s="862"/>
      <c r="R606" s="862"/>
      <c r="S606" s="862"/>
      <c r="T606" s="903" t="s">
        <v>12</v>
      </c>
      <c r="U606" s="910">
        <v>194194110</v>
      </c>
      <c r="V606" s="905"/>
      <c r="W606" s="906"/>
      <c r="X606" s="970"/>
      <c r="Y606" s="884" t="str">
        <f t="shared" si="199"/>
        <v>04.13.01</v>
      </c>
      <c r="Z606" s="884" t="str">
        <f t="shared" si="200"/>
        <v>Jalan</v>
      </c>
      <c r="AA606" s="884">
        <f t="shared" si="201"/>
        <v>10</v>
      </c>
      <c r="AB606" s="868">
        <f t="shared" si="203"/>
        <v>19419411</v>
      </c>
      <c r="AC606" s="885">
        <f t="shared" si="204"/>
        <v>0</v>
      </c>
      <c r="AD606" s="868">
        <f t="shared" si="205"/>
        <v>0</v>
      </c>
      <c r="AE606" s="868">
        <v>0</v>
      </c>
      <c r="AF606" s="868">
        <f t="shared" si="206"/>
        <v>19419411</v>
      </c>
      <c r="AG606" s="868">
        <f t="shared" si="207"/>
        <v>19419411</v>
      </c>
      <c r="AH606" s="868">
        <f t="shared" si="208"/>
        <v>19419411</v>
      </c>
      <c r="AI606" s="886">
        <f t="shared" si="209"/>
        <v>19419411</v>
      </c>
      <c r="AJ606" s="886">
        <f t="shared" si="210"/>
        <v>77677644</v>
      </c>
      <c r="AK606" s="868">
        <f t="shared" si="198"/>
        <v>116516466</v>
      </c>
    </row>
    <row r="607" spans="1:37" s="857" customFormat="1" ht="35.25" customHeight="1" x14ac:dyDescent="0.2">
      <c r="A607" s="857">
        <v>245</v>
      </c>
      <c r="B607" s="857" t="str">
        <f t="shared" si="197"/>
        <v>SIMP. 4 PT. WANASARI - SUKAMAJU</v>
      </c>
      <c r="E607" s="884" t="str">
        <f t="shared" si="202"/>
        <v/>
      </c>
      <c r="F607" s="890"/>
      <c r="G607" s="862" t="s">
        <v>1399</v>
      </c>
      <c r="H607" s="899"/>
      <c r="I607" s="907" t="s">
        <v>3828</v>
      </c>
      <c r="J607" s="903"/>
      <c r="K607" s="862"/>
      <c r="L607" s="908"/>
      <c r="M607" s="862"/>
      <c r="N607" s="909"/>
      <c r="O607" s="863" t="s">
        <v>3236</v>
      </c>
      <c r="P607" s="903">
        <v>2015</v>
      </c>
      <c r="Q607" s="862"/>
      <c r="R607" s="862"/>
      <c r="S607" s="862"/>
      <c r="T607" s="903" t="s">
        <v>12</v>
      </c>
      <c r="U607" s="910">
        <v>191295534</v>
      </c>
      <c r="V607" s="905"/>
      <c r="W607" s="906"/>
      <c r="X607" s="970"/>
      <c r="Y607" s="884" t="str">
        <f t="shared" si="199"/>
        <v>04.13.01</v>
      </c>
      <c r="Z607" s="884" t="str">
        <f t="shared" si="200"/>
        <v>Jalan</v>
      </c>
      <c r="AA607" s="884">
        <f t="shared" si="201"/>
        <v>10</v>
      </c>
      <c r="AB607" s="868">
        <f t="shared" si="203"/>
        <v>19129553.399999999</v>
      </c>
      <c r="AC607" s="885">
        <f t="shared" si="204"/>
        <v>0</v>
      </c>
      <c r="AD607" s="868">
        <f t="shared" si="205"/>
        <v>0</v>
      </c>
      <c r="AE607" s="868">
        <v>0</v>
      </c>
      <c r="AF607" s="868">
        <f t="shared" si="206"/>
        <v>19129553.399999999</v>
      </c>
      <c r="AG607" s="868">
        <f t="shared" si="207"/>
        <v>19129553.399999999</v>
      </c>
      <c r="AH607" s="868">
        <f t="shared" si="208"/>
        <v>19129553.399999999</v>
      </c>
      <c r="AI607" s="886">
        <f t="shared" si="209"/>
        <v>19129553.399999999</v>
      </c>
      <c r="AJ607" s="886">
        <f t="shared" si="210"/>
        <v>76518213.599999994</v>
      </c>
      <c r="AK607" s="868">
        <f t="shared" si="198"/>
        <v>114777320.40000001</v>
      </c>
    </row>
    <row r="608" spans="1:37" s="857" customFormat="1" ht="35.25" customHeight="1" x14ac:dyDescent="0.2">
      <c r="A608" s="857" t="s">
        <v>4890</v>
      </c>
      <c r="B608" s="857" t="e">
        <f t="shared" si="197"/>
        <v>#N/A</v>
      </c>
      <c r="E608" s="884" t="str">
        <f t="shared" si="202"/>
        <v/>
      </c>
      <c r="F608" s="890"/>
      <c r="G608" s="862" t="s">
        <v>1403</v>
      </c>
      <c r="H608" s="899"/>
      <c r="I608" s="907" t="s">
        <v>2494</v>
      </c>
      <c r="J608" s="903"/>
      <c r="K608" s="862"/>
      <c r="L608" s="908"/>
      <c r="M608" s="862"/>
      <c r="N608" s="909"/>
      <c r="O608" s="861" t="s">
        <v>3201</v>
      </c>
      <c r="P608" s="903">
        <v>2015</v>
      </c>
      <c r="Q608" s="862"/>
      <c r="R608" s="862"/>
      <c r="S608" s="862"/>
      <c r="T608" s="903" t="s">
        <v>12</v>
      </c>
      <c r="U608" s="910">
        <v>192293177</v>
      </c>
      <c r="V608" s="905"/>
      <c r="W608" s="906"/>
      <c r="X608" s="970"/>
      <c r="Y608" s="884" t="str">
        <f t="shared" si="199"/>
        <v>04.13.01</v>
      </c>
      <c r="Z608" s="884" t="str">
        <f t="shared" si="200"/>
        <v>Jalan</v>
      </c>
      <c r="AA608" s="884">
        <f t="shared" si="201"/>
        <v>10</v>
      </c>
      <c r="AB608" s="868">
        <f t="shared" si="203"/>
        <v>19229317.699999999</v>
      </c>
      <c r="AC608" s="885">
        <f t="shared" si="204"/>
        <v>0</v>
      </c>
      <c r="AD608" s="868">
        <f t="shared" si="205"/>
        <v>0</v>
      </c>
      <c r="AE608" s="868">
        <v>0</v>
      </c>
      <c r="AF608" s="868">
        <f t="shared" si="206"/>
        <v>19229317.699999999</v>
      </c>
      <c r="AG608" s="868">
        <f t="shared" si="207"/>
        <v>19229317.699999999</v>
      </c>
      <c r="AH608" s="868">
        <f t="shared" si="208"/>
        <v>19229317.699999999</v>
      </c>
      <c r="AI608" s="886">
        <f t="shared" si="209"/>
        <v>19229317.699999999</v>
      </c>
      <c r="AJ608" s="886">
        <f t="shared" si="210"/>
        <v>76917270.799999997</v>
      </c>
      <c r="AK608" s="868">
        <f t="shared" si="198"/>
        <v>115375906.2</v>
      </c>
    </row>
    <row r="609" spans="1:37" s="857" customFormat="1" ht="35.25" customHeight="1" x14ac:dyDescent="0.2">
      <c r="B609" s="857" t="e">
        <f t="shared" si="197"/>
        <v>#N/A</v>
      </c>
      <c r="E609" s="884" t="str">
        <f t="shared" si="202"/>
        <v/>
      </c>
      <c r="F609" s="890"/>
      <c r="G609" s="862" t="s">
        <v>1405</v>
      </c>
      <c r="H609" s="899"/>
      <c r="I609" s="907" t="s">
        <v>2494</v>
      </c>
      <c r="J609" s="903"/>
      <c r="K609" s="862"/>
      <c r="L609" s="908"/>
      <c r="M609" s="862"/>
      <c r="N609" s="909"/>
      <c r="O609" s="861" t="s">
        <v>3101</v>
      </c>
      <c r="P609" s="903">
        <v>2015</v>
      </c>
      <c r="Q609" s="862"/>
      <c r="R609" s="862"/>
      <c r="S609" s="862"/>
      <c r="T609" s="903" t="s">
        <v>12</v>
      </c>
      <c r="U609" s="910">
        <v>121648894</v>
      </c>
      <c r="V609" s="905"/>
      <c r="W609" s="906"/>
      <c r="X609" s="970"/>
      <c r="Y609" s="884" t="str">
        <f t="shared" si="199"/>
        <v>04.13.01</v>
      </c>
      <c r="Z609" s="884" t="str">
        <f t="shared" si="200"/>
        <v>Jalan</v>
      </c>
      <c r="AA609" s="884">
        <f t="shared" si="201"/>
        <v>10</v>
      </c>
      <c r="AB609" s="868">
        <f t="shared" si="203"/>
        <v>12164889.4</v>
      </c>
      <c r="AC609" s="885">
        <f t="shared" si="204"/>
        <v>0</v>
      </c>
      <c r="AD609" s="868">
        <f t="shared" si="205"/>
        <v>0</v>
      </c>
      <c r="AE609" s="868">
        <v>0</v>
      </c>
      <c r="AF609" s="868">
        <f t="shared" si="206"/>
        <v>12164889.4</v>
      </c>
      <c r="AG609" s="868">
        <f t="shared" si="207"/>
        <v>12164889.4</v>
      </c>
      <c r="AH609" s="868">
        <f t="shared" si="208"/>
        <v>12164889.4</v>
      </c>
      <c r="AI609" s="886">
        <f t="shared" si="209"/>
        <v>12164889.4</v>
      </c>
      <c r="AJ609" s="886">
        <f t="shared" si="210"/>
        <v>48659557.600000001</v>
      </c>
      <c r="AK609" s="868">
        <f t="shared" si="198"/>
        <v>72989336.400000006</v>
      </c>
    </row>
    <row r="610" spans="1:37" s="857" customFormat="1" ht="35.25" customHeight="1" x14ac:dyDescent="0.2">
      <c r="A610" s="857" t="s">
        <v>4890</v>
      </c>
      <c r="B610" s="857" t="e">
        <f t="shared" si="197"/>
        <v>#N/A</v>
      </c>
      <c r="E610" s="884" t="str">
        <f t="shared" si="202"/>
        <v/>
      </c>
      <c r="F610" s="890"/>
      <c r="G610" s="862" t="s">
        <v>1406</v>
      </c>
      <c r="H610" s="899"/>
      <c r="I610" s="907" t="s">
        <v>2494</v>
      </c>
      <c r="J610" s="903"/>
      <c r="K610" s="862"/>
      <c r="L610" s="908"/>
      <c r="M610" s="862"/>
      <c r="N610" s="909"/>
      <c r="O610" s="861" t="s">
        <v>3240</v>
      </c>
      <c r="P610" s="903">
        <v>2015</v>
      </c>
      <c r="Q610" s="862"/>
      <c r="R610" s="862"/>
      <c r="S610" s="862"/>
      <c r="T610" s="903" t="s">
        <v>12</v>
      </c>
      <c r="U610" s="910">
        <v>1945177628</v>
      </c>
      <c r="V610" s="905"/>
      <c r="W610" s="906"/>
      <c r="X610" s="970"/>
      <c r="Y610" s="884" t="str">
        <f t="shared" si="199"/>
        <v>04.13.01</v>
      </c>
      <c r="Z610" s="884" t="str">
        <f t="shared" si="200"/>
        <v>Jalan</v>
      </c>
      <c r="AA610" s="884">
        <f t="shared" si="201"/>
        <v>10</v>
      </c>
      <c r="AB610" s="868">
        <f t="shared" si="203"/>
        <v>194517762.80000001</v>
      </c>
      <c r="AC610" s="885">
        <f t="shared" si="204"/>
        <v>0</v>
      </c>
      <c r="AD610" s="868">
        <f t="shared" si="205"/>
        <v>0</v>
      </c>
      <c r="AE610" s="868">
        <v>0</v>
      </c>
      <c r="AF610" s="868">
        <f t="shared" si="206"/>
        <v>194517762.80000001</v>
      </c>
      <c r="AG610" s="868">
        <f t="shared" si="207"/>
        <v>194517762.80000001</v>
      </c>
      <c r="AH610" s="868">
        <f t="shared" si="208"/>
        <v>194517762.80000001</v>
      </c>
      <c r="AI610" s="886">
        <f t="shared" si="209"/>
        <v>194517762.80000001</v>
      </c>
      <c r="AJ610" s="886">
        <f t="shared" si="210"/>
        <v>778071051.20000005</v>
      </c>
      <c r="AK610" s="868">
        <f t="shared" si="198"/>
        <v>1167106576.8</v>
      </c>
    </row>
    <row r="611" spans="1:37" s="857" customFormat="1" ht="35.25" customHeight="1" x14ac:dyDescent="0.2">
      <c r="A611" s="857" t="s">
        <v>4890</v>
      </c>
      <c r="B611" s="857" t="e">
        <f t="shared" si="197"/>
        <v>#N/A</v>
      </c>
      <c r="E611" s="884" t="str">
        <f t="shared" si="202"/>
        <v/>
      </c>
      <c r="F611" s="890"/>
      <c r="G611" s="862" t="s">
        <v>1407</v>
      </c>
      <c r="H611" s="899"/>
      <c r="I611" s="907" t="s">
        <v>2494</v>
      </c>
      <c r="J611" s="903"/>
      <c r="K611" s="862"/>
      <c r="L611" s="908"/>
      <c r="M611" s="862"/>
      <c r="N611" s="909"/>
      <c r="O611" s="861" t="s">
        <v>3241</v>
      </c>
      <c r="P611" s="903">
        <v>2015</v>
      </c>
      <c r="Q611" s="862"/>
      <c r="R611" s="862"/>
      <c r="S611" s="862"/>
      <c r="T611" s="903" t="s">
        <v>12</v>
      </c>
      <c r="U611" s="910">
        <v>2197200060</v>
      </c>
      <c r="V611" s="905"/>
      <c r="W611" s="906"/>
      <c r="X611" s="970"/>
      <c r="Y611" s="884" t="str">
        <f t="shared" si="199"/>
        <v>04.13.01</v>
      </c>
      <c r="Z611" s="884" t="str">
        <f t="shared" si="200"/>
        <v>Jalan</v>
      </c>
      <c r="AA611" s="884">
        <f t="shared" si="201"/>
        <v>10</v>
      </c>
      <c r="AB611" s="868">
        <f t="shared" si="203"/>
        <v>219720006</v>
      </c>
      <c r="AC611" s="885">
        <f t="shared" si="204"/>
        <v>0</v>
      </c>
      <c r="AD611" s="868">
        <f t="shared" si="205"/>
        <v>0</v>
      </c>
      <c r="AE611" s="868">
        <v>0</v>
      </c>
      <c r="AF611" s="868">
        <f t="shared" si="206"/>
        <v>219720006</v>
      </c>
      <c r="AG611" s="868">
        <f t="shared" si="207"/>
        <v>219720006</v>
      </c>
      <c r="AH611" s="868">
        <f t="shared" si="208"/>
        <v>219720006</v>
      </c>
      <c r="AI611" s="886">
        <f t="shared" si="209"/>
        <v>219720006</v>
      </c>
      <c r="AJ611" s="886">
        <f t="shared" si="210"/>
        <v>878880024</v>
      </c>
      <c r="AK611" s="868">
        <f t="shared" si="198"/>
        <v>1318320036</v>
      </c>
    </row>
    <row r="612" spans="1:37" s="857" customFormat="1" ht="35.25" customHeight="1" x14ac:dyDescent="0.2">
      <c r="A612" s="857">
        <v>53</v>
      </c>
      <c r="B612" s="857" t="str">
        <f t="shared" si="197"/>
        <v>JL. PL. ARO - PL. ARO</v>
      </c>
      <c r="E612" s="884" t="str">
        <f t="shared" si="202"/>
        <v/>
      </c>
      <c r="F612" s="890"/>
      <c r="G612" s="862" t="s">
        <v>1412</v>
      </c>
      <c r="H612" s="899"/>
      <c r="I612" s="907" t="s">
        <v>3828</v>
      </c>
      <c r="J612" s="903"/>
      <c r="K612" s="862"/>
      <c r="L612" s="908"/>
      <c r="M612" s="862"/>
      <c r="N612" s="909"/>
      <c r="O612" s="861" t="s">
        <v>3242</v>
      </c>
      <c r="P612" s="903">
        <v>2015</v>
      </c>
      <c r="Q612" s="862"/>
      <c r="R612" s="862"/>
      <c r="S612" s="862"/>
      <c r="T612" s="903" t="s">
        <v>12</v>
      </c>
      <c r="U612" s="910">
        <v>191142383</v>
      </c>
      <c r="V612" s="905"/>
      <c r="W612" s="906"/>
      <c r="X612" s="970"/>
      <c r="Y612" s="884" t="str">
        <f t="shared" si="199"/>
        <v>04.13.01</v>
      </c>
      <c r="Z612" s="884" t="str">
        <f t="shared" si="200"/>
        <v>Jalan</v>
      </c>
      <c r="AA612" s="884">
        <f t="shared" si="201"/>
        <v>10</v>
      </c>
      <c r="AB612" s="868">
        <f t="shared" si="203"/>
        <v>19114238.300000001</v>
      </c>
      <c r="AC612" s="885">
        <f t="shared" si="204"/>
        <v>0</v>
      </c>
      <c r="AD612" s="868">
        <f t="shared" si="205"/>
        <v>0</v>
      </c>
      <c r="AE612" s="868">
        <v>0</v>
      </c>
      <c r="AF612" s="868">
        <f t="shared" si="206"/>
        <v>19114238.300000001</v>
      </c>
      <c r="AG612" s="868">
        <f t="shared" si="207"/>
        <v>19114238.300000001</v>
      </c>
      <c r="AH612" s="868">
        <f t="shared" si="208"/>
        <v>19114238.300000001</v>
      </c>
      <c r="AI612" s="886">
        <f t="shared" si="209"/>
        <v>19114238.300000001</v>
      </c>
      <c r="AJ612" s="886">
        <f t="shared" si="210"/>
        <v>76456953.200000003</v>
      </c>
      <c r="AK612" s="868">
        <f t="shared" si="198"/>
        <v>114685429.8</v>
      </c>
    </row>
    <row r="613" spans="1:37" s="857" customFormat="1" ht="35.25" customHeight="1" x14ac:dyDescent="0.2">
      <c r="A613" s="857" t="s">
        <v>4890</v>
      </c>
      <c r="B613" s="857" t="e">
        <f t="shared" si="197"/>
        <v>#N/A</v>
      </c>
      <c r="E613" s="884" t="str">
        <f t="shared" si="202"/>
        <v/>
      </c>
      <c r="F613" s="890"/>
      <c r="G613" s="862" t="s">
        <v>1413</v>
      </c>
      <c r="H613" s="899"/>
      <c r="I613" s="907" t="s">
        <v>2494</v>
      </c>
      <c r="J613" s="903"/>
      <c r="K613" s="862"/>
      <c r="L613" s="908"/>
      <c r="M613" s="862"/>
      <c r="N613" s="909"/>
      <c r="O613" s="861" t="s">
        <v>3243</v>
      </c>
      <c r="P613" s="903">
        <v>2015</v>
      </c>
      <c r="Q613" s="862"/>
      <c r="R613" s="862"/>
      <c r="S613" s="862"/>
      <c r="T613" s="903" t="s">
        <v>12</v>
      </c>
      <c r="U613" s="910">
        <v>190265603</v>
      </c>
      <c r="V613" s="905"/>
      <c r="W613" s="906"/>
      <c r="X613" s="970"/>
      <c r="Y613" s="884" t="str">
        <f t="shared" si="199"/>
        <v>04.13.01</v>
      </c>
      <c r="Z613" s="884" t="str">
        <f t="shared" si="200"/>
        <v>Jalan</v>
      </c>
      <c r="AA613" s="884">
        <f t="shared" si="201"/>
        <v>10</v>
      </c>
      <c r="AB613" s="868">
        <f t="shared" si="203"/>
        <v>19026560.300000001</v>
      </c>
      <c r="AC613" s="885">
        <f t="shared" si="204"/>
        <v>0</v>
      </c>
      <c r="AD613" s="868">
        <f t="shared" si="205"/>
        <v>0</v>
      </c>
      <c r="AE613" s="868">
        <v>0</v>
      </c>
      <c r="AF613" s="868">
        <f t="shared" si="206"/>
        <v>19026560.300000001</v>
      </c>
      <c r="AG613" s="868">
        <f t="shared" si="207"/>
        <v>19026560.300000001</v>
      </c>
      <c r="AH613" s="868">
        <f t="shared" si="208"/>
        <v>19026560.300000001</v>
      </c>
      <c r="AI613" s="886">
        <f t="shared" si="209"/>
        <v>19026560.300000001</v>
      </c>
      <c r="AJ613" s="886">
        <f t="shared" si="210"/>
        <v>76106241.200000003</v>
      </c>
      <c r="AK613" s="868">
        <f t="shared" si="198"/>
        <v>114159361.8</v>
      </c>
    </row>
    <row r="614" spans="1:37" s="857" customFormat="1" ht="35.25" customHeight="1" x14ac:dyDescent="0.2">
      <c r="A614" s="857" t="s">
        <v>4890</v>
      </c>
      <c r="B614" s="857" t="e">
        <f t="shared" si="197"/>
        <v>#N/A</v>
      </c>
      <c r="E614" s="884" t="str">
        <f t="shared" si="202"/>
        <v/>
      </c>
      <c r="F614" s="890"/>
      <c r="G614" s="862" t="s">
        <v>1414</v>
      </c>
      <c r="H614" s="899"/>
      <c r="I614" s="907" t="s">
        <v>2494</v>
      </c>
      <c r="J614" s="903"/>
      <c r="K614" s="862"/>
      <c r="L614" s="908"/>
      <c r="M614" s="862"/>
      <c r="N614" s="909"/>
      <c r="O614" s="861" t="s">
        <v>3244</v>
      </c>
      <c r="P614" s="903">
        <v>2015</v>
      </c>
      <c r="Q614" s="862"/>
      <c r="R614" s="862"/>
      <c r="S614" s="862"/>
      <c r="T614" s="903" t="s">
        <v>12</v>
      </c>
      <c r="U614" s="910">
        <v>741801931</v>
      </c>
      <c r="V614" s="905"/>
      <c r="W614" s="906"/>
      <c r="X614" s="970"/>
      <c r="Y614" s="884" t="str">
        <f t="shared" si="199"/>
        <v>04.13.01</v>
      </c>
      <c r="Z614" s="884" t="str">
        <f t="shared" si="200"/>
        <v>Jalan</v>
      </c>
      <c r="AA614" s="884">
        <f t="shared" si="201"/>
        <v>10</v>
      </c>
      <c r="AB614" s="868">
        <f t="shared" si="203"/>
        <v>74180193.099999994</v>
      </c>
      <c r="AC614" s="885">
        <f t="shared" si="204"/>
        <v>0</v>
      </c>
      <c r="AD614" s="868">
        <f t="shared" si="205"/>
        <v>0</v>
      </c>
      <c r="AE614" s="868">
        <v>0</v>
      </c>
      <c r="AF614" s="868">
        <f t="shared" si="206"/>
        <v>74180193.099999994</v>
      </c>
      <c r="AG614" s="868">
        <f t="shared" si="207"/>
        <v>74180193.099999994</v>
      </c>
      <c r="AH614" s="868">
        <f t="shared" si="208"/>
        <v>74180193.099999994</v>
      </c>
      <c r="AI614" s="886">
        <f t="shared" si="209"/>
        <v>74180193.099999994</v>
      </c>
      <c r="AJ614" s="886">
        <f t="shared" si="210"/>
        <v>296720772.39999998</v>
      </c>
      <c r="AK614" s="868">
        <f t="shared" si="198"/>
        <v>445081158.60000002</v>
      </c>
    </row>
    <row r="615" spans="1:37" s="857" customFormat="1" ht="35.25" customHeight="1" x14ac:dyDescent="0.2">
      <c r="A615" s="857">
        <v>13</v>
      </c>
      <c r="B615" s="857" t="str">
        <f t="shared" si="197"/>
        <v>SIMP. BERINGIN - BERINGIN</v>
      </c>
      <c r="E615" s="884" t="str">
        <f t="shared" si="202"/>
        <v/>
      </c>
      <c r="F615" s="890"/>
      <c r="G615" s="862" t="s">
        <v>1415</v>
      </c>
      <c r="H615" s="899"/>
      <c r="I615" s="907" t="s">
        <v>2494</v>
      </c>
      <c r="J615" s="903"/>
      <c r="K615" s="862"/>
      <c r="L615" s="908"/>
      <c r="M615" s="862"/>
      <c r="N615" s="909"/>
      <c r="O615" s="861" t="s">
        <v>3245</v>
      </c>
      <c r="P615" s="903">
        <v>2015</v>
      </c>
      <c r="Q615" s="862"/>
      <c r="R615" s="862"/>
      <c r="S615" s="862"/>
      <c r="T615" s="903" t="s">
        <v>12</v>
      </c>
      <c r="U615" s="910">
        <v>194535396</v>
      </c>
      <c r="V615" s="905"/>
      <c r="W615" s="906"/>
      <c r="X615" s="970"/>
      <c r="Y615" s="884" t="str">
        <f t="shared" si="199"/>
        <v>04.13.01</v>
      </c>
      <c r="Z615" s="884" t="str">
        <f t="shared" si="200"/>
        <v>Jalan</v>
      </c>
      <c r="AA615" s="884">
        <f t="shared" si="201"/>
        <v>10</v>
      </c>
      <c r="AB615" s="868">
        <f t="shared" si="203"/>
        <v>19453539.600000001</v>
      </c>
      <c r="AC615" s="885">
        <f t="shared" si="204"/>
        <v>0</v>
      </c>
      <c r="AD615" s="868">
        <f t="shared" si="205"/>
        <v>0</v>
      </c>
      <c r="AE615" s="868">
        <v>0</v>
      </c>
      <c r="AF615" s="868">
        <f t="shared" si="206"/>
        <v>19453539.600000001</v>
      </c>
      <c r="AG615" s="868">
        <f t="shared" si="207"/>
        <v>19453539.600000001</v>
      </c>
      <c r="AH615" s="868">
        <f t="shared" si="208"/>
        <v>19453539.600000001</v>
      </c>
      <c r="AI615" s="886">
        <f t="shared" si="209"/>
        <v>19453539.600000001</v>
      </c>
      <c r="AJ615" s="886">
        <f t="shared" si="210"/>
        <v>77814158.400000006</v>
      </c>
      <c r="AK615" s="868">
        <f t="shared" si="198"/>
        <v>116721237.59999999</v>
      </c>
    </row>
    <row r="616" spans="1:37" s="857" customFormat="1" ht="35.25" customHeight="1" x14ac:dyDescent="0.2">
      <c r="A616" s="857" t="s">
        <v>4890</v>
      </c>
      <c r="B616" s="857" t="e">
        <f t="shared" ref="B616:B679" si="211">VLOOKUP(A616,RUAS,2,FALSE)</f>
        <v>#N/A</v>
      </c>
      <c r="E616" s="884" t="str">
        <f t="shared" si="202"/>
        <v/>
      </c>
      <c r="F616" s="890"/>
      <c r="G616" s="862" t="s">
        <v>1416</v>
      </c>
      <c r="H616" s="899"/>
      <c r="I616" s="907" t="s">
        <v>2494</v>
      </c>
      <c r="J616" s="903"/>
      <c r="K616" s="862"/>
      <c r="L616" s="908"/>
      <c r="M616" s="862"/>
      <c r="N616" s="909"/>
      <c r="O616" s="861" t="s">
        <v>2562</v>
      </c>
      <c r="P616" s="903">
        <v>2015</v>
      </c>
      <c r="Q616" s="862"/>
      <c r="R616" s="862"/>
      <c r="S616" s="862"/>
      <c r="T616" s="903" t="s">
        <v>12</v>
      </c>
      <c r="U616" s="910">
        <v>194109943</v>
      </c>
      <c r="V616" s="905"/>
      <c r="W616" s="906"/>
      <c r="X616" s="970"/>
      <c r="Y616" s="884" t="str">
        <f t="shared" si="199"/>
        <v>04.13.01</v>
      </c>
      <c r="Z616" s="884" t="str">
        <f t="shared" si="200"/>
        <v>Jalan</v>
      </c>
      <c r="AA616" s="884">
        <f t="shared" si="201"/>
        <v>10</v>
      </c>
      <c r="AB616" s="868">
        <f t="shared" si="203"/>
        <v>19410994.300000001</v>
      </c>
      <c r="AC616" s="885">
        <f t="shared" si="204"/>
        <v>0</v>
      </c>
      <c r="AD616" s="868">
        <f t="shared" si="205"/>
        <v>0</v>
      </c>
      <c r="AE616" s="868">
        <v>0</v>
      </c>
      <c r="AF616" s="868">
        <f t="shared" si="206"/>
        <v>19410994.300000001</v>
      </c>
      <c r="AG616" s="868">
        <f t="shared" si="207"/>
        <v>19410994.300000001</v>
      </c>
      <c r="AH616" s="868">
        <f t="shared" si="208"/>
        <v>19410994.300000001</v>
      </c>
      <c r="AI616" s="886">
        <f t="shared" si="209"/>
        <v>19410994.300000001</v>
      </c>
      <c r="AJ616" s="886">
        <f t="shared" si="210"/>
        <v>77643977.200000003</v>
      </c>
      <c r="AK616" s="868">
        <f t="shared" si="198"/>
        <v>116465965.8</v>
      </c>
    </row>
    <row r="617" spans="1:37" s="857" customFormat="1" ht="35.25" customHeight="1" x14ac:dyDescent="0.2">
      <c r="A617" s="857" t="s">
        <v>4890</v>
      </c>
      <c r="B617" s="857" t="e">
        <f t="shared" si="211"/>
        <v>#N/A</v>
      </c>
      <c r="E617" s="884" t="str">
        <f t="shared" si="202"/>
        <v/>
      </c>
      <c r="F617" s="890"/>
      <c r="G617" s="862" t="s">
        <v>1417</v>
      </c>
      <c r="H617" s="899"/>
      <c r="I617" s="907" t="s">
        <v>2494</v>
      </c>
      <c r="J617" s="903"/>
      <c r="K617" s="862"/>
      <c r="L617" s="908"/>
      <c r="M617" s="862"/>
      <c r="N617" s="909"/>
      <c r="O617" s="863" t="s">
        <v>3246</v>
      </c>
      <c r="P617" s="903">
        <v>2015</v>
      </c>
      <c r="Q617" s="862"/>
      <c r="R617" s="862"/>
      <c r="S617" s="862"/>
      <c r="T617" s="903" t="s">
        <v>12</v>
      </c>
      <c r="U617" s="910">
        <v>194305774</v>
      </c>
      <c r="V617" s="905"/>
      <c r="W617" s="906"/>
      <c r="X617" s="970"/>
      <c r="Y617" s="884" t="str">
        <f t="shared" si="199"/>
        <v>04.13.01</v>
      </c>
      <c r="Z617" s="884" t="str">
        <f t="shared" si="200"/>
        <v>Jalan</v>
      </c>
      <c r="AA617" s="884">
        <f t="shared" si="201"/>
        <v>10</v>
      </c>
      <c r="AB617" s="868">
        <f t="shared" si="203"/>
        <v>19430577.399999999</v>
      </c>
      <c r="AC617" s="885">
        <f t="shared" si="204"/>
        <v>0</v>
      </c>
      <c r="AD617" s="868">
        <f t="shared" si="205"/>
        <v>0</v>
      </c>
      <c r="AE617" s="868">
        <v>0</v>
      </c>
      <c r="AF617" s="868">
        <f t="shared" si="206"/>
        <v>19430577.399999999</v>
      </c>
      <c r="AG617" s="868">
        <f t="shared" si="207"/>
        <v>19430577.399999999</v>
      </c>
      <c r="AH617" s="868">
        <f t="shared" si="208"/>
        <v>19430577.399999999</v>
      </c>
      <c r="AI617" s="886">
        <f t="shared" si="209"/>
        <v>19430577.399999999</v>
      </c>
      <c r="AJ617" s="886">
        <f t="shared" si="210"/>
        <v>77722309.599999994</v>
      </c>
      <c r="AK617" s="868">
        <f t="shared" si="198"/>
        <v>116583464.40000001</v>
      </c>
    </row>
    <row r="618" spans="1:37" s="857" customFormat="1" ht="35.25" customHeight="1" x14ac:dyDescent="0.2">
      <c r="A618" s="857" t="s">
        <v>4890</v>
      </c>
      <c r="B618" s="857" t="e">
        <f t="shared" si="211"/>
        <v>#N/A</v>
      </c>
      <c r="E618" s="884" t="str">
        <f t="shared" si="202"/>
        <v/>
      </c>
      <c r="F618" s="890"/>
      <c r="G618" s="862" t="s">
        <v>1418</v>
      </c>
      <c r="H618" s="899"/>
      <c r="I618" s="907" t="s">
        <v>2494</v>
      </c>
      <c r="J618" s="903"/>
      <c r="K618" s="862"/>
      <c r="L618" s="908"/>
      <c r="M618" s="862"/>
      <c r="N618" s="909"/>
      <c r="O618" s="861" t="s">
        <v>3247</v>
      </c>
      <c r="P618" s="903">
        <v>2015</v>
      </c>
      <c r="Q618" s="862"/>
      <c r="R618" s="862"/>
      <c r="S618" s="862"/>
      <c r="T618" s="903" t="s">
        <v>12</v>
      </c>
      <c r="U618" s="910">
        <v>192442791</v>
      </c>
      <c r="V618" s="905"/>
      <c r="W618" s="906"/>
      <c r="X618" s="970"/>
      <c r="Y618" s="884" t="str">
        <f t="shared" si="199"/>
        <v>04.13.01</v>
      </c>
      <c r="Z618" s="884" t="str">
        <f t="shared" si="200"/>
        <v>Jalan</v>
      </c>
      <c r="AA618" s="884">
        <f t="shared" si="201"/>
        <v>10</v>
      </c>
      <c r="AB618" s="868">
        <f t="shared" si="203"/>
        <v>19244279.100000001</v>
      </c>
      <c r="AC618" s="885">
        <f t="shared" si="204"/>
        <v>0</v>
      </c>
      <c r="AD618" s="868">
        <f t="shared" si="205"/>
        <v>0</v>
      </c>
      <c r="AE618" s="868">
        <v>0</v>
      </c>
      <c r="AF618" s="868">
        <f t="shared" si="206"/>
        <v>19244279.100000001</v>
      </c>
      <c r="AG618" s="868">
        <f t="shared" si="207"/>
        <v>19244279.100000001</v>
      </c>
      <c r="AH618" s="868">
        <f t="shared" si="208"/>
        <v>19244279.100000001</v>
      </c>
      <c r="AI618" s="886">
        <f t="shared" si="209"/>
        <v>19244279.100000001</v>
      </c>
      <c r="AJ618" s="886">
        <f t="shared" si="210"/>
        <v>76977116.400000006</v>
      </c>
      <c r="AK618" s="868">
        <f t="shared" si="198"/>
        <v>115465674.59999999</v>
      </c>
    </row>
    <row r="619" spans="1:37" s="857" customFormat="1" ht="35.25" customHeight="1" x14ac:dyDescent="0.2">
      <c r="A619" s="857" t="s">
        <v>4890</v>
      </c>
      <c r="B619" s="857" t="e">
        <f t="shared" si="211"/>
        <v>#N/A</v>
      </c>
      <c r="E619" s="884" t="str">
        <f t="shared" si="202"/>
        <v/>
      </c>
      <c r="F619" s="890"/>
      <c r="G619" s="862" t="s">
        <v>1419</v>
      </c>
      <c r="H619" s="899"/>
      <c r="I619" s="907" t="s">
        <v>2494</v>
      </c>
      <c r="J619" s="903"/>
      <c r="K619" s="862"/>
      <c r="L619" s="908"/>
      <c r="M619" s="862"/>
      <c r="N619" s="909"/>
      <c r="O619" s="863" t="s">
        <v>3248</v>
      </c>
      <c r="P619" s="903">
        <v>2015</v>
      </c>
      <c r="Q619" s="862"/>
      <c r="R619" s="862"/>
      <c r="S619" s="862"/>
      <c r="T619" s="903" t="s">
        <v>12</v>
      </c>
      <c r="U619" s="910">
        <v>195564131</v>
      </c>
      <c r="V619" s="905"/>
      <c r="W619" s="906"/>
      <c r="X619" s="970"/>
      <c r="Y619" s="884" t="str">
        <f t="shared" si="199"/>
        <v>04.13.01</v>
      </c>
      <c r="Z619" s="884" t="str">
        <f t="shared" si="200"/>
        <v>Jalan</v>
      </c>
      <c r="AA619" s="884">
        <f t="shared" si="201"/>
        <v>10</v>
      </c>
      <c r="AB619" s="868">
        <f t="shared" si="203"/>
        <v>19556413.100000001</v>
      </c>
      <c r="AC619" s="885">
        <f t="shared" si="204"/>
        <v>0</v>
      </c>
      <c r="AD619" s="868">
        <f t="shared" si="205"/>
        <v>0</v>
      </c>
      <c r="AE619" s="868">
        <v>0</v>
      </c>
      <c r="AF619" s="868">
        <f t="shared" si="206"/>
        <v>19556413.100000001</v>
      </c>
      <c r="AG619" s="868">
        <f t="shared" si="207"/>
        <v>19556413.100000001</v>
      </c>
      <c r="AH619" s="868">
        <f t="shared" si="208"/>
        <v>19556413.100000001</v>
      </c>
      <c r="AI619" s="886">
        <f t="shared" si="209"/>
        <v>19556413.100000001</v>
      </c>
      <c r="AJ619" s="886">
        <f t="shared" si="210"/>
        <v>78225652.400000006</v>
      </c>
      <c r="AK619" s="868">
        <f t="shared" si="198"/>
        <v>117338478.59999999</v>
      </c>
    </row>
    <row r="620" spans="1:37" s="857" customFormat="1" ht="35.25" customHeight="1" x14ac:dyDescent="0.2">
      <c r="A620" s="857" t="s">
        <v>4896</v>
      </c>
      <c r="B620" s="857" t="e">
        <f t="shared" si="211"/>
        <v>#N/A</v>
      </c>
      <c r="E620" s="884" t="str">
        <f t="shared" si="202"/>
        <v/>
      </c>
      <c r="F620" s="890"/>
      <c r="G620" s="862" t="s">
        <v>1422</v>
      </c>
      <c r="H620" s="899"/>
      <c r="I620" s="907" t="s">
        <v>2494</v>
      </c>
      <c r="J620" s="903"/>
      <c r="K620" s="862"/>
      <c r="L620" s="908"/>
      <c r="M620" s="862"/>
      <c r="N620" s="909"/>
      <c r="O620" s="861" t="s">
        <v>3087</v>
      </c>
      <c r="P620" s="903">
        <v>2015</v>
      </c>
      <c r="Q620" s="862"/>
      <c r="R620" s="862"/>
      <c r="S620" s="862"/>
      <c r="T620" s="903" t="s">
        <v>12</v>
      </c>
      <c r="U620" s="910">
        <v>28270054450.200001</v>
      </c>
      <c r="V620" s="905"/>
      <c r="W620" s="906"/>
      <c r="X620" s="970"/>
      <c r="Y620" s="884" t="str">
        <f t="shared" si="199"/>
        <v>04.13.01</v>
      </c>
      <c r="Z620" s="884" t="str">
        <f t="shared" si="200"/>
        <v>Jalan</v>
      </c>
      <c r="AA620" s="884">
        <f t="shared" si="201"/>
        <v>10</v>
      </c>
      <c r="AB620" s="868">
        <f t="shared" si="203"/>
        <v>2827005445.02</v>
      </c>
      <c r="AC620" s="885">
        <f t="shared" si="204"/>
        <v>0</v>
      </c>
      <c r="AD620" s="868">
        <f t="shared" si="205"/>
        <v>0</v>
      </c>
      <c r="AE620" s="868">
        <v>0</v>
      </c>
      <c r="AF620" s="868">
        <f t="shared" si="206"/>
        <v>2827005445.02</v>
      </c>
      <c r="AG620" s="868">
        <f t="shared" si="207"/>
        <v>2827005445.02</v>
      </c>
      <c r="AH620" s="868">
        <f t="shared" si="208"/>
        <v>2827005445.02</v>
      </c>
      <c r="AI620" s="886">
        <f t="shared" si="209"/>
        <v>2827005445.02</v>
      </c>
      <c r="AJ620" s="886">
        <f t="shared" si="210"/>
        <v>11308021780.08</v>
      </c>
      <c r="AK620" s="868">
        <f t="shared" si="198"/>
        <v>16962032670.120001</v>
      </c>
    </row>
    <row r="621" spans="1:37" s="857" customFormat="1" ht="35.25" customHeight="1" x14ac:dyDescent="0.2">
      <c r="A621" s="857">
        <v>3</v>
      </c>
      <c r="B621" s="857" t="str">
        <f t="shared" si="211"/>
        <v>JAKE - KOTO KOMBU</v>
      </c>
      <c r="E621" s="884" t="str">
        <f t="shared" si="202"/>
        <v/>
      </c>
      <c r="F621" s="890"/>
      <c r="G621" s="862" t="s">
        <v>1424</v>
      </c>
      <c r="H621" s="899"/>
      <c r="I621" s="907" t="s">
        <v>2494</v>
      </c>
      <c r="J621" s="903"/>
      <c r="K621" s="862"/>
      <c r="L621" s="908"/>
      <c r="M621" s="862"/>
      <c r="N621" s="909"/>
      <c r="O621" s="861" t="s">
        <v>3249</v>
      </c>
      <c r="P621" s="903">
        <v>2015</v>
      </c>
      <c r="Q621" s="862"/>
      <c r="R621" s="862"/>
      <c r="S621" s="862"/>
      <c r="T621" s="903" t="s">
        <v>12</v>
      </c>
      <c r="U621" s="910">
        <v>2539770681</v>
      </c>
      <c r="V621" s="905"/>
      <c r="W621" s="906"/>
      <c r="X621" s="970"/>
      <c r="Y621" s="884" t="str">
        <f t="shared" si="199"/>
        <v>04.13.01</v>
      </c>
      <c r="Z621" s="884" t="str">
        <f t="shared" si="200"/>
        <v>Jalan</v>
      </c>
      <c r="AA621" s="884">
        <f t="shared" si="201"/>
        <v>10</v>
      </c>
      <c r="AB621" s="868">
        <f t="shared" si="203"/>
        <v>253977068.09999999</v>
      </c>
      <c r="AC621" s="885">
        <f t="shared" si="204"/>
        <v>0</v>
      </c>
      <c r="AD621" s="868">
        <f t="shared" si="205"/>
        <v>0</v>
      </c>
      <c r="AE621" s="868">
        <v>0</v>
      </c>
      <c r="AF621" s="868">
        <f t="shared" si="206"/>
        <v>253977068.09999999</v>
      </c>
      <c r="AG621" s="868">
        <f t="shared" si="207"/>
        <v>253977068.09999999</v>
      </c>
      <c r="AH621" s="868">
        <f t="shared" si="208"/>
        <v>253977068.09999999</v>
      </c>
      <c r="AI621" s="886">
        <f t="shared" si="209"/>
        <v>253977068.09999999</v>
      </c>
      <c r="AJ621" s="886">
        <f t="shared" si="210"/>
        <v>1015908272.4</v>
      </c>
      <c r="AK621" s="868">
        <f t="shared" si="198"/>
        <v>1523862408.5999999</v>
      </c>
    </row>
    <row r="622" spans="1:37" s="857" customFormat="1" ht="35.25" customHeight="1" x14ac:dyDescent="0.2">
      <c r="A622" s="857" t="s">
        <v>4890</v>
      </c>
      <c r="B622" s="857" t="e">
        <f t="shared" si="211"/>
        <v>#N/A</v>
      </c>
      <c r="E622" s="884" t="str">
        <f t="shared" si="202"/>
        <v/>
      </c>
      <c r="F622" s="890"/>
      <c r="G622" s="862" t="s">
        <v>1426</v>
      </c>
      <c r="H622" s="899"/>
      <c r="I622" s="907" t="s">
        <v>2494</v>
      </c>
      <c r="J622" s="903"/>
      <c r="K622" s="862"/>
      <c r="L622" s="908"/>
      <c r="M622" s="862"/>
      <c r="N622" s="909"/>
      <c r="O622" s="861" t="s">
        <v>3250</v>
      </c>
      <c r="P622" s="903">
        <v>2015</v>
      </c>
      <c r="Q622" s="862"/>
      <c r="R622" s="862"/>
      <c r="S622" s="862"/>
      <c r="T622" s="903" t="s">
        <v>12</v>
      </c>
      <c r="U622" s="910">
        <v>191714919</v>
      </c>
      <c r="V622" s="905"/>
      <c r="W622" s="906"/>
      <c r="X622" s="970"/>
      <c r="Y622" s="884" t="str">
        <f t="shared" si="199"/>
        <v>04.13.01</v>
      </c>
      <c r="Z622" s="884" t="str">
        <f t="shared" si="200"/>
        <v>Jalan</v>
      </c>
      <c r="AA622" s="884">
        <f t="shared" si="201"/>
        <v>10</v>
      </c>
      <c r="AB622" s="868">
        <f t="shared" si="203"/>
        <v>19171491.899999999</v>
      </c>
      <c r="AC622" s="885">
        <f t="shared" si="204"/>
        <v>0</v>
      </c>
      <c r="AD622" s="868">
        <f t="shared" si="205"/>
        <v>0</v>
      </c>
      <c r="AE622" s="868">
        <v>0</v>
      </c>
      <c r="AF622" s="868">
        <f t="shared" si="206"/>
        <v>19171491.899999999</v>
      </c>
      <c r="AG622" s="868">
        <f t="shared" si="207"/>
        <v>19171491.899999999</v>
      </c>
      <c r="AH622" s="868">
        <f t="shared" si="208"/>
        <v>19171491.899999999</v>
      </c>
      <c r="AI622" s="886">
        <f t="shared" si="209"/>
        <v>19171491.899999999</v>
      </c>
      <c r="AJ622" s="886">
        <f t="shared" si="210"/>
        <v>76685967.599999994</v>
      </c>
      <c r="AK622" s="868">
        <f t="shared" si="198"/>
        <v>115028951.40000001</v>
      </c>
    </row>
    <row r="623" spans="1:37" s="857" customFormat="1" ht="35.25" customHeight="1" x14ac:dyDescent="0.2">
      <c r="A623" s="857" t="s">
        <v>4890</v>
      </c>
      <c r="B623" s="857" t="e">
        <f t="shared" si="211"/>
        <v>#N/A</v>
      </c>
      <c r="E623" s="884" t="str">
        <f t="shared" si="202"/>
        <v/>
      </c>
      <c r="F623" s="890"/>
      <c r="G623" s="862" t="s">
        <v>1427</v>
      </c>
      <c r="H623" s="899"/>
      <c r="I623" s="907" t="s">
        <v>2494</v>
      </c>
      <c r="J623" s="903"/>
      <c r="K623" s="862"/>
      <c r="L623" s="908"/>
      <c r="M623" s="862"/>
      <c r="N623" s="909"/>
      <c r="O623" s="861" t="s">
        <v>3247</v>
      </c>
      <c r="P623" s="903">
        <v>2015</v>
      </c>
      <c r="Q623" s="862"/>
      <c r="R623" s="862"/>
      <c r="S623" s="862"/>
      <c r="T623" s="903" t="s">
        <v>12</v>
      </c>
      <c r="U623" s="910">
        <v>133925703</v>
      </c>
      <c r="V623" s="905"/>
      <c r="W623" s="906"/>
      <c r="X623" s="970"/>
      <c r="Y623" s="884" t="str">
        <f t="shared" si="199"/>
        <v>04.13.01</v>
      </c>
      <c r="Z623" s="884" t="str">
        <f t="shared" si="200"/>
        <v>Jalan</v>
      </c>
      <c r="AA623" s="884">
        <f t="shared" si="201"/>
        <v>10</v>
      </c>
      <c r="AB623" s="868">
        <f t="shared" si="203"/>
        <v>13392570.300000001</v>
      </c>
      <c r="AC623" s="885">
        <f t="shared" si="204"/>
        <v>0</v>
      </c>
      <c r="AD623" s="868">
        <f t="shared" si="205"/>
        <v>0</v>
      </c>
      <c r="AE623" s="868">
        <v>0</v>
      </c>
      <c r="AF623" s="868">
        <f t="shared" si="206"/>
        <v>13392570.300000001</v>
      </c>
      <c r="AG623" s="868">
        <f t="shared" si="207"/>
        <v>13392570.300000001</v>
      </c>
      <c r="AH623" s="868">
        <f t="shared" si="208"/>
        <v>13392570.300000001</v>
      </c>
      <c r="AI623" s="886">
        <f t="shared" si="209"/>
        <v>13392570.300000001</v>
      </c>
      <c r="AJ623" s="886">
        <f t="shared" si="210"/>
        <v>53570281.200000003</v>
      </c>
      <c r="AK623" s="868">
        <f t="shared" si="198"/>
        <v>80355421.799999997</v>
      </c>
    </row>
    <row r="624" spans="1:37" s="857" customFormat="1" ht="35.25" customHeight="1" x14ac:dyDescent="0.2">
      <c r="A624" s="857" t="s">
        <v>4890</v>
      </c>
      <c r="B624" s="857" t="e">
        <f t="shared" si="211"/>
        <v>#N/A</v>
      </c>
      <c r="E624" s="884" t="str">
        <f t="shared" si="202"/>
        <v/>
      </c>
      <c r="F624" s="890"/>
      <c r="G624" s="862" t="s">
        <v>1430</v>
      </c>
      <c r="H624" s="899"/>
      <c r="I624" s="907" t="s">
        <v>2494</v>
      </c>
      <c r="J624" s="903"/>
      <c r="K624" s="862"/>
      <c r="L624" s="908"/>
      <c r="M624" s="862"/>
      <c r="N624" s="909"/>
      <c r="O624" s="861" t="s">
        <v>2571</v>
      </c>
      <c r="P624" s="903">
        <v>2015</v>
      </c>
      <c r="Q624" s="862"/>
      <c r="R624" s="862"/>
      <c r="S624" s="862"/>
      <c r="T624" s="903" t="s">
        <v>12</v>
      </c>
      <c r="U624" s="910">
        <v>190930494</v>
      </c>
      <c r="V624" s="905"/>
      <c r="W624" s="906"/>
      <c r="X624" s="970"/>
      <c r="Y624" s="884" t="str">
        <f t="shared" si="199"/>
        <v>04.13.01</v>
      </c>
      <c r="Z624" s="884" t="str">
        <f t="shared" si="200"/>
        <v>Jalan</v>
      </c>
      <c r="AA624" s="884">
        <f t="shared" si="201"/>
        <v>10</v>
      </c>
      <c r="AB624" s="868">
        <f t="shared" si="203"/>
        <v>19093049.399999999</v>
      </c>
      <c r="AC624" s="885">
        <f t="shared" si="204"/>
        <v>0</v>
      </c>
      <c r="AD624" s="868">
        <f t="shared" si="205"/>
        <v>0</v>
      </c>
      <c r="AE624" s="868">
        <v>0</v>
      </c>
      <c r="AF624" s="868">
        <f t="shared" si="206"/>
        <v>19093049.399999999</v>
      </c>
      <c r="AG624" s="868">
        <f t="shared" si="207"/>
        <v>19093049.399999999</v>
      </c>
      <c r="AH624" s="868">
        <f t="shared" si="208"/>
        <v>19093049.399999999</v>
      </c>
      <c r="AI624" s="886">
        <f t="shared" si="209"/>
        <v>19093049.399999999</v>
      </c>
      <c r="AJ624" s="886">
        <f t="shared" si="210"/>
        <v>76372197.599999994</v>
      </c>
      <c r="AK624" s="868">
        <f t="shared" si="198"/>
        <v>114558296.40000001</v>
      </c>
    </row>
    <row r="625" spans="1:37" s="857" customFormat="1" ht="35.25" customHeight="1" x14ac:dyDescent="0.2">
      <c r="A625" s="857">
        <v>161</v>
      </c>
      <c r="B625" s="857" t="str">
        <f t="shared" si="211"/>
        <v>KOTO RAJO - PL. JAMBU</v>
      </c>
      <c r="E625" s="884" t="str">
        <f t="shared" si="202"/>
        <v/>
      </c>
      <c r="F625" s="890"/>
      <c r="G625" s="862" t="s">
        <v>1431</v>
      </c>
      <c r="H625" s="899"/>
      <c r="I625" s="907" t="s">
        <v>3824</v>
      </c>
      <c r="J625" s="903"/>
      <c r="K625" s="862"/>
      <c r="L625" s="908"/>
      <c r="M625" s="862"/>
      <c r="N625" s="909"/>
      <c r="O625" s="861" t="s">
        <v>3252</v>
      </c>
      <c r="P625" s="903">
        <v>2015</v>
      </c>
      <c r="Q625" s="862"/>
      <c r="R625" s="862"/>
      <c r="S625" s="862"/>
      <c r="T625" s="903" t="s">
        <v>12</v>
      </c>
      <c r="U625" s="910">
        <v>674055175</v>
      </c>
      <c r="V625" s="905"/>
      <c r="W625" s="906"/>
      <c r="X625" s="970"/>
      <c r="Y625" s="884" t="str">
        <f t="shared" si="199"/>
        <v>04.13.02</v>
      </c>
      <c r="Z625" s="884" t="str">
        <f t="shared" si="200"/>
        <v>Jembatan</v>
      </c>
      <c r="AA625" s="884">
        <f t="shared" si="201"/>
        <v>50</v>
      </c>
      <c r="AB625" s="868">
        <f t="shared" si="203"/>
        <v>13481103.5</v>
      </c>
      <c r="AC625" s="885">
        <f t="shared" si="204"/>
        <v>0</v>
      </c>
      <c r="AD625" s="868">
        <f t="shared" si="205"/>
        <v>0</v>
      </c>
      <c r="AE625" s="868">
        <v>0</v>
      </c>
      <c r="AF625" s="868">
        <f t="shared" si="206"/>
        <v>13481103.5</v>
      </c>
      <c r="AG625" s="868">
        <f t="shared" si="207"/>
        <v>13481103.5</v>
      </c>
      <c r="AH625" s="868">
        <f t="shared" si="208"/>
        <v>13481103.5</v>
      </c>
      <c r="AI625" s="886">
        <f t="shared" si="209"/>
        <v>13481103.5</v>
      </c>
      <c r="AJ625" s="886">
        <f t="shared" si="210"/>
        <v>53924414</v>
      </c>
      <c r="AK625" s="868">
        <f t="shared" si="198"/>
        <v>620130761</v>
      </c>
    </row>
    <row r="626" spans="1:37" s="857" customFormat="1" ht="35.25" customHeight="1" x14ac:dyDescent="0.2">
      <c r="A626" s="857">
        <v>102</v>
      </c>
      <c r="B626" s="857" t="str">
        <f t="shared" si="211"/>
        <v>JL. DESA PETAPAHAN - JK. RUAS 106/106</v>
      </c>
      <c r="E626" s="884" t="str">
        <f t="shared" si="202"/>
        <v/>
      </c>
      <c r="F626" s="890"/>
      <c r="G626" s="862" t="s">
        <v>1432</v>
      </c>
      <c r="H626" s="899"/>
      <c r="I626" s="907" t="s">
        <v>3828</v>
      </c>
      <c r="J626" s="903"/>
      <c r="K626" s="862"/>
      <c r="L626" s="908"/>
      <c r="M626" s="862"/>
      <c r="N626" s="909"/>
      <c r="O626" s="861" t="s">
        <v>3203</v>
      </c>
      <c r="P626" s="903">
        <v>2015</v>
      </c>
      <c r="Q626" s="862"/>
      <c r="R626" s="862"/>
      <c r="S626" s="862"/>
      <c r="T626" s="903" t="s">
        <v>12</v>
      </c>
      <c r="U626" s="910">
        <v>194413644</v>
      </c>
      <c r="V626" s="905"/>
      <c r="W626" s="906"/>
      <c r="X626" s="970"/>
      <c r="Y626" s="884" t="str">
        <f t="shared" si="199"/>
        <v>04.13.01</v>
      </c>
      <c r="Z626" s="884" t="str">
        <f t="shared" si="200"/>
        <v>Jalan</v>
      </c>
      <c r="AA626" s="884">
        <f t="shared" si="201"/>
        <v>10</v>
      </c>
      <c r="AB626" s="868">
        <f t="shared" si="203"/>
        <v>19441364.399999999</v>
      </c>
      <c r="AC626" s="885">
        <f t="shared" si="204"/>
        <v>0</v>
      </c>
      <c r="AD626" s="868">
        <f t="shared" si="205"/>
        <v>0</v>
      </c>
      <c r="AE626" s="868">
        <v>0</v>
      </c>
      <c r="AF626" s="868">
        <f t="shared" si="206"/>
        <v>19441364.399999999</v>
      </c>
      <c r="AG626" s="868">
        <f t="shared" si="207"/>
        <v>19441364.399999999</v>
      </c>
      <c r="AH626" s="868">
        <f t="shared" si="208"/>
        <v>19441364.399999999</v>
      </c>
      <c r="AI626" s="886">
        <f t="shared" si="209"/>
        <v>19441364.399999999</v>
      </c>
      <c r="AJ626" s="886">
        <f t="shared" si="210"/>
        <v>77765457.599999994</v>
      </c>
      <c r="AK626" s="868">
        <f t="shared" si="198"/>
        <v>116648186.40000001</v>
      </c>
    </row>
    <row r="627" spans="1:37" s="857" customFormat="1" ht="35.25" customHeight="1" x14ac:dyDescent="0.2">
      <c r="A627" s="857" t="s">
        <v>4890</v>
      </c>
      <c r="B627" s="857" t="e">
        <f t="shared" si="211"/>
        <v>#N/A</v>
      </c>
      <c r="E627" s="884" t="str">
        <f t="shared" si="202"/>
        <v/>
      </c>
      <c r="F627" s="890"/>
      <c r="G627" s="862" t="s">
        <v>1433</v>
      </c>
      <c r="H627" s="899"/>
      <c r="I627" s="907" t="s">
        <v>3828</v>
      </c>
      <c r="J627" s="903"/>
      <c r="K627" s="862"/>
      <c r="L627" s="908"/>
      <c r="M627" s="862"/>
      <c r="N627" s="909"/>
      <c r="O627" s="861" t="s">
        <v>3253</v>
      </c>
      <c r="P627" s="903">
        <v>2015</v>
      </c>
      <c r="Q627" s="862"/>
      <c r="R627" s="862"/>
      <c r="S627" s="862"/>
      <c r="T627" s="903" t="s">
        <v>12</v>
      </c>
      <c r="U627" s="910">
        <v>194508025</v>
      </c>
      <c r="V627" s="905"/>
      <c r="W627" s="906"/>
      <c r="X627" s="970"/>
      <c r="Y627" s="884" t="str">
        <f t="shared" si="199"/>
        <v>04.13.01</v>
      </c>
      <c r="Z627" s="884" t="str">
        <f t="shared" si="200"/>
        <v>Jalan</v>
      </c>
      <c r="AA627" s="884">
        <f t="shared" si="201"/>
        <v>10</v>
      </c>
      <c r="AB627" s="868">
        <f t="shared" si="203"/>
        <v>19450802.5</v>
      </c>
      <c r="AC627" s="885">
        <f t="shared" si="204"/>
        <v>0</v>
      </c>
      <c r="AD627" s="868">
        <f t="shared" si="205"/>
        <v>0</v>
      </c>
      <c r="AE627" s="868">
        <v>0</v>
      </c>
      <c r="AF627" s="868">
        <f t="shared" si="206"/>
        <v>19450802.5</v>
      </c>
      <c r="AG627" s="868">
        <f t="shared" si="207"/>
        <v>19450802.5</v>
      </c>
      <c r="AH627" s="868">
        <f t="shared" si="208"/>
        <v>19450802.5</v>
      </c>
      <c r="AI627" s="886">
        <f t="shared" si="209"/>
        <v>19450802.5</v>
      </c>
      <c r="AJ627" s="886">
        <f t="shared" si="210"/>
        <v>77803210</v>
      </c>
      <c r="AK627" s="868">
        <f t="shared" si="198"/>
        <v>116704815</v>
      </c>
    </row>
    <row r="628" spans="1:37" s="857" customFormat="1" ht="35.25" customHeight="1" x14ac:dyDescent="0.2">
      <c r="A628" s="857">
        <v>163</v>
      </c>
      <c r="B628" s="857" t="str">
        <f t="shared" si="211"/>
        <v>PANGEAN - PL. KUMPAI</v>
      </c>
      <c r="E628" s="884" t="str">
        <f t="shared" si="202"/>
        <v/>
      </c>
      <c r="F628" s="890"/>
      <c r="G628" s="862" t="s">
        <v>1434</v>
      </c>
      <c r="H628" s="899"/>
      <c r="I628" s="907" t="s">
        <v>3828</v>
      </c>
      <c r="J628" s="903"/>
      <c r="K628" s="862"/>
      <c r="L628" s="908"/>
      <c r="M628" s="862"/>
      <c r="N628" s="909"/>
      <c r="O628" s="863" t="s">
        <v>709</v>
      </c>
      <c r="P628" s="903">
        <v>2015</v>
      </c>
      <c r="Q628" s="862"/>
      <c r="R628" s="862"/>
      <c r="S628" s="862"/>
      <c r="T628" s="903" t="s">
        <v>12</v>
      </c>
      <c r="U628" s="910">
        <v>194125619</v>
      </c>
      <c r="V628" s="905"/>
      <c r="W628" s="906"/>
      <c r="X628" s="970"/>
      <c r="Y628" s="884" t="str">
        <f t="shared" si="199"/>
        <v>04.13.01</v>
      </c>
      <c r="Z628" s="884" t="str">
        <f t="shared" si="200"/>
        <v>Jalan</v>
      </c>
      <c r="AA628" s="884">
        <f t="shared" si="201"/>
        <v>10</v>
      </c>
      <c r="AB628" s="868">
        <f t="shared" si="203"/>
        <v>19412561.899999999</v>
      </c>
      <c r="AC628" s="885">
        <f t="shared" si="204"/>
        <v>0</v>
      </c>
      <c r="AD628" s="868">
        <f t="shared" si="205"/>
        <v>0</v>
      </c>
      <c r="AE628" s="868">
        <v>0</v>
      </c>
      <c r="AF628" s="868">
        <f t="shared" si="206"/>
        <v>19412561.899999999</v>
      </c>
      <c r="AG628" s="868">
        <f t="shared" si="207"/>
        <v>19412561.899999999</v>
      </c>
      <c r="AH628" s="868">
        <f t="shared" si="208"/>
        <v>19412561.899999999</v>
      </c>
      <c r="AI628" s="886">
        <f t="shared" si="209"/>
        <v>19412561.899999999</v>
      </c>
      <c r="AJ628" s="886">
        <f t="shared" si="210"/>
        <v>77650247.599999994</v>
      </c>
      <c r="AK628" s="868">
        <f t="shared" si="198"/>
        <v>116475371.40000001</v>
      </c>
    </row>
    <row r="629" spans="1:37" s="857" customFormat="1" ht="35.25" customHeight="1" x14ac:dyDescent="0.2">
      <c r="A629" s="857">
        <v>229</v>
      </c>
      <c r="B629" s="857" t="str">
        <f t="shared" si="211"/>
        <v>SIMP. HANDOYO - SUMBER DATAR</v>
      </c>
      <c r="E629" s="884" t="str">
        <f t="shared" si="202"/>
        <v/>
      </c>
      <c r="F629" s="890"/>
      <c r="G629" s="862" t="s">
        <v>1435</v>
      </c>
      <c r="H629" s="899"/>
      <c r="I629" s="907" t="s">
        <v>2494</v>
      </c>
      <c r="J629" s="903"/>
      <c r="K629" s="862"/>
      <c r="L629" s="908"/>
      <c r="M629" s="862"/>
      <c r="N629" s="909"/>
      <c r="O629" s="861" t="s">
        <v>3254</v>
      </c>
      <c r="P629" s="903">
        <v>2015</v>
      </c>
      <c r="Q629" s="862"/>
      <c r="R629" s="862"/>
      <c r="S629" s="862"/>
      <c r="T629" s="903" t="s">
        <v>12</v>
      </c>
      <c r="U629" s="910">
        <v>194469172</v>
      </c>
      <c r="V629" s="905"/>
      <c r="W629" s="906"/>
      <c r="X629" s="970"/>
      <c r="Y629" s="884" t="str">
        <f t="shared" si="199"/>
        <v>04.13.01</v>
      </c>
      <c r="Z629" s="884" t="str">
        <f t="shared" si="200"/>
        <v>Jalan</v>
      </c>
      <c r="AA629" s="884">
        <f t="shared" si="201"/>
        <v>10</v>
      </c>
      <c r="AB629" s="868">
        <f t="shared" si="203"/>
        <v>19446917.199999999</v>
      </c>
      <c r="AC629" s="885">
        <f t="shared" si="204"/>
        <v>0</v>
      </c>
      <c r="AD629" s="868">
        <f t="shared" si="205"/>
        <v>0</v>
      </c>
      <c r="AE629" s="868">
        <v>0</v>
      </c>
      <c r="AF629" s="868">
        <f t="shared" si="206"/>
        <v>19446917.199999999</v>
      </c>
      <c r="AG629" s="868">
        <f t="shared" si="207"/>
        <v>19446917.199999999</v>
      </c>
      <c r="AH629" s="868">
        <f t="shared" si="208"/>
        <v>19446917.199999999</v>
      </c>
      <c r="AI629" s="886">
        <f t="shared" si="209"/>
        <v>19446917.199999999</v>
      </c>
      <c r="AJ629" s="886">
        <f t="shared" si="210"/>
        <v>77787668.799999997</v>
      </c>
      <c r="AK629" s="868">
        <f t="shared" si="198"/>
        <v>116681503.2</v>
      </c>
    </row>
    <row r="630" spans="1:37" s="857" customFormat="1" ht="35.25" customHeight="1" x14ac:dyDescent="0.2">
      <c r="A630" s="857">
        <v>170</v>
      </c>
      <c r="B630" s="857" t="str">
        <f t="shared" si="211"/>
        <v>JK. RUAS 190/190 - PADANG KUNYIT</v>
      </c>
      <c r="E630" s="884" t="str">
        <f t="shared" si="202"/>
        <v/>
      </c>
      <c r="F630" s="890"/>
      <c r="G630" s="915" t="s">
        <v>1449</v>
      </c>
      <c r="H630" s="915"/>
      <c r="I630" s="907" t="s">
        <v>2494</v>
      </c>
      <c r="J630" s="903"/>
      <c r="K630" s="862"/>
      <c r="L630" s="908"/>
      <c r="M630" s="862"/>
      <c r="N630" s="909"/>
      <c r="O630" s="861" t="s">
        <v>3259</v>
      </c>
      <c r="P630" s="903">
        <v>2016</v>
      </c>
      <c r="Q630" s="862"/>
      <c r="R630" s="862"/>
      <c r="S630" s="862"/>
      <c r="T630" s="903" t="s">
        <v>12</v>
      </c>
      <c r="U630" s="910">
        <v>2933446349.48</v>
      </c>
      <c r="V630" s="905"/>
      <c r="W630" s="906"/>
      <c r="X630" s="970"/>
      <c r="Y630" s="884" t="str">
        <f t="shared" si="199"/>
        <v>04.13.01</v>
      </c>
      <c r="Z630" s="884" t="str">
        <f t="shared" si="200"/>
        <v>Jalan</v>
      </c>
      <c r="AA630" s="884">
        <f t="shared" si="201"/>
        <v>10</v>
      </c>
      <c r="AB630" s="868">
        <f t="shared" si="203"/>
        <v>293344634.94800001</v>
      </c>
      <c r="AC630" s="885">
        <f t="shared" si="204"/>
        <v>0</v>
      </c>
      <c r="AD630" s="868">
        <f t="shared" si="205"/>
        <v>0</v>
      </c>
      <c r="AE630" s="868">
        <v>0</v>
      </c>
      <c r="AF630" s="868">
        <v>0</v>
      </c>
      <c r="AG630" s="868">
        <f t="shared" si="207"/>
        <v>293344634.94800001</v>
      </c>
      <c r="AH630" s="868">
        <f t="shared" si="208"/>
        <v>293344634.94800001</v>
      </c>
      <c r="AI630" s="886">
        <f t="shared" si="209"/>
        <v>293344634.94800001</v>
      </c>
      <c r="AJ630" s="886">
        <f t="shared" si="210"/>
        <v>880033904.8440001</v>
      </c>
      <c r="AK630" s="868">
        <f t="shared" si="198"/>
        <v>2053412444.6359999</v>
      </c>
    </row>
    <row r="631" spans="1:37" s="857" customFormat="1" ht="35.25" customHeight="1" x14ac:dyDescent="0.2">
      <c r="A631" s="857">
        <v>87</v>
      </c>
      <c r="B631" s="857" t="str">
        <f t="shared" si="211"/>
        <v>SEI. BESAR - BTS. SUMBAR</v>
      </c>
      <c r="E631" s="884" t="str">
        <f t="shared" si="202"/>
        <v/>
      </c>
      <c r="F631" s="890"/>
      <c r="G631" s="915" t="s">
        <v>1451</v>
      </c>
      <c r="H631" s="915"/>
      <c r="I631" s="907" t="s">
        <v>2494</v>
      </c>
      <c r="J631" s="903"/>
      <c r="K631" s="862"/>
      <c r="L631" s="908"/>
      <c r="M631" s="862"/>
      <c r="N631" s="909"/>
      <c r="O631" s="863" t="s">
        <v>3260</v>
      </c>
      <c r="P631" s="903">
        <v>2016</v>
      </c>
      <c r="Q631" s="862"/>
      <c r="R631" s="862"/>
      <c r="S631" s="862"/>
      <c r="T631" s="903" t="s">
        <v>12</v>
      </c>
      <c r="U631" s="910">
        <v>2398001772.73</v>
      </c>
      <c r="V631" s="905"/>
      <c r="W631" s="906"/>
      <c r="X631" s="970"/>
      <c r="Y631" s="884" t="str">
        <f t="shared" si="199"/>
        <v>04.13.01</v>
      </c>
      <c r="Z631" s="884" t="str">
        <f t="shared" si="200"/>
        <v>Jalan</v>
      </c>
      <c r="AA631" s="884">
        <f t="shared" si="201"/>
        <v>10</v>
      </c>
      <c r="AB631" s="868">
        <f t="shared" si="203"/>
        <v>239800177.273</v>
      </c>
      <c r="AC631" s="885">
        <f t="shared" si="204"/>
        <v>0</v>
      </c>
      <c r="AD631" s="868">
        <f t="shared" si="205"/>
        <v>0</v>
      </c>
      <c r="AE631" s="868">
        <v>0</v>
      </c>
      <c r="AF631" s="868">
        <v>0</v>
      </c>
      <c r="AG631" s="868">
        <f t="shared" si="207"/>
        <v>239800177.273</v>
      </c>
      <c r="AH631" s="868">
        <f t="shared" si="208"/>
        <v>239800177.273</v>
      </c>
      <c r="AI631" s="886">
        <f t="shared" si="209"/>
        <v>239800177.273</v>
      </c>
      <c r="AJ631" s="886">
        <f t="shared" si="210"/>
        <v>719400531.81900001</v>
      </c>
      <c r="AK631" s="868">
        <f t="shared" si="198"/>
        <v>1678601240.911</v>
      </c>
    </row>
    <row r="632" spans="1:37" s="857" customFormat="1" ht="35.25" customHeight="1" x14ac:dyDescent="0.2">
      <c r="A632" s="857">
        <v>27</v>
      </c>
      <c r="B632" s="857" t="str">
        <f t="shared" si="211"/>
        <v>JL. SEB. TELUK - SIBEROBAH</v>
      </c>
      <c r="E632" s="884" t="str">
        <f t="shared" si="202"/>
        <v/>
      </c>
      <c r="F632" s="890"/>
      <c r="G632" s="915" t="s">
        <v>1454</v>
      </c>
      <c r="H632" s="915"/>
      <c r="I632" s="907" t="s">
        <v>2494</v>
      </c>
      <c r="J632" s="903"/>
      <c r="K632" s="862"/>
      <c r="L632" s="908"/>
      <c r="M632" s="862"/>
      <c r="N632" s="909"/>
      <c r="O632" s="863" t="s">
        <v>3112</v>
      </c>
      <c r="P632" s="903">
        <v>2016</v>
      </c>
      <c r="Q632" s="862"/>
      <c r="R632" s="862"/>
      <c r="S632" s="862"/>
      <c r="T632" s="903" t="s">
        <v>12</v>
      </c>
      <c r="U632" s="910">
        <v>5854757832.3698645</v>
      </c>
      <c r="V632" s="905"/>
      <c r="W632" s="906"/>
      <c r="X632" s="970"/>
      <c r="Y632" s="884" t="str">
        <f t="shared" si="199"/>
        <v>04.13.01</v>
      </c>
      <c r="Z632" s="884" t="str">
        <f t="shared" si="200"/>
        <v>Jalan</v>
      </c>
      <c r="AA632" s="884">
        <f t="shared" si="201"/>
        <v>10</v>
      </c>
      <c r="AB632" s="868">
        <f t="shared" si="203"/>
        <v>585475783.2369864</v>
      </c>
      <c r="AC632" s="885">
        <f t="shared" si="204"/>
        <v>0</v>
      </c>
      <c r="AD632" s="868">
        <f t="shared" si="205"/>
        <v>0</v>
      </c>
      <c r="AE632" s="868">
        <v>0</v>
      </c>
      <c r="AF632" s="868">
        <v>0</v>
      </c>
      <c r="AG632" s="868">
        <f t="shared" si="207"/>
        <v>585475783.2369864</v>
      </c>
      <c r="AH632" s="868">
        <f t="shared" si="208"/>
        <v>585475783.2369864</v>
      </c>
      <c r="AI632" s="886">
        <f t="shared" si="209"/>
        <v>585475783.2369864</v>
      </c>
      <c r="AJ632" s="886">
        <f t="shared" si="210"/>
        <v>1756427349.7109592</v>
      </c>
      <c r="AK632" s="868">
        <f t="shared" si="198"/>
        <v>4098330482.658905</v>
      </c>
    </row>
    <row r="633" spans="1:37" s="857" customFormat="1" ht="35.25" customHeight="1" x14ac:dyDescent="0.2">
      <c r="A633" s="857">
        <v>161</v>
      </c>
      <c r="B633" s="857" t="str">
        <f t="shared" si="211"/>
        <v>KOTO RAJO - PL. JAMBU</v>
      </c>
      <c r="E633" s="884" t="str">
        <f t="shared" si="202"/>
        <v/>
      </c>
      <c r="F633" s="890"/>
      <c r="G633" s="915" t="s">
        <v>1457</v>
      </c>
      <c r="H633" s="915"/>
      <c r="I633" s="907" t="s">
        <v>3824</v>
      </c>
      <c r="J633" s="903"/>
      <c r="K633" s="862"/>
      <c r="L633" s="908"/>
      <c r="M633" s="862"/>
      <c r="N633" s="909"/>
      <c r="O633" s="861" t="s">
        <v>3261</v>
      </c>
      <c r="P633" s="903">
        <v>2016</v>
      </c>
      <c r="Q633" s="862"/>
      <c r="R633" s="862"/>
      <c r="S633" s="862"/>
      <c r="T633" s="903" t="s">
        <v>12</v>
      </c>
      <c r="U633" s="910">
        <v>2201551942.5196371</v>
      </c>
      <c r="V633" s="905"/>
      <c r="W633" s="906"/>
      <c r="X633" s="970"/>
      <c r="Y633" s="884" t="str">
        <f t="shared" si="199"/>
        <v>04.13.02</v>
      </c>
      <c r="Z633" s="884" t="str">
        <f t="shared" si="200"/>
        <v>Jembatan</v>
      </c>
      <c r="AA633" s="884">
        <f t="shared" si="201"/>
        <v>50</v>
      </c>
      <c r="AB633" s="868">
        <f t="shared" si="203"/>
        <v>44031038.850392744</v>
      </c>
      <c r="AC633" s="885">
        <f t="shared" si="204"/>
        <v>0</v>
      </c>
      <c r="AD633" s="868">
        <f t="shared" si="205"/>
        <v>0</v>
      </c>
      <c r="AE633" s="868">
        <v>0</v>
      </c>
      <c r="AF633" s="868">
        <v>0</v>
      </c>
      <c r="AG633" s="868">
        <f t="shared" si="207"/>
        <v>44031038.850392744</v>
      </c>
      <c r="AH633" s="868">
        <f t="shared" si="208"/>
        <v>44031038.850392744</v>
      </c>
      <c r="AI633" s="886">
        <f t="shared" si="209"/>
        <v>44031038.850392744</v>
      </c>
      <c r="AJ633" s="886">
        <f t="shared" si="210"/>
        <v>132093116.55117823</v>
      </c>
      <c r="AK633" s="868">
        <f t="shared" si="198"/>
        <v>2069458825.9684589</v>
      </c>
    </row>
    <row r="634" spans="1:37" s="857" customFormat="1" ht="35.25" customHeight="1" x14ac:dyDescent="0.2">
      <c r="A634" s="857" t="s">
        <v>4890</v>
      </c>
      <c r="B634" s="857" t="e">
        <f t="shared" si="211"/>
        <v>#N/A</v>
      </c>
      <c r="E634" s="884" t="str">
        <f t="shared" si="202"/>
        <v/>
      </c>
      <c r="F634" s="890"/>
      <c r="G634" s="915" t="s">
        <v>1461</v>
      </c>
      <c r="H634" s="915"/>
      <c r="I634" s="907" t="s">
        <v>2494</v>
      </c>
      <c r="J634" s="903"/>
      <c r="K634" s="862"/>
      <c r="L634" s="908"/>
      <c r="M634" s="862"/>
      <c r="N634" s="909"/>
      <c r="O634" s="861" t="s">
        <v>3262</v>
      </c>
      <c r="P634" s="903">
        <v>2016</v>
      </c>
      <c r="Q634" s="862"/>
      <c r="R634" s="862"/>
      <c r="S634" s="862"/>
      <c r="T634" s="903" t="s">
        <v>12</v>
      </c>
      <c r="U634" s="910">
        <v>1944689998.1099999</v>
      </c>
      <c r="V634" s="905"/>
      <c r="W634" s="906"/>
      <c r="X634" s="970"/>
      <c r="Y634" s="884" t="str">
        <f t="shared" si="199"/>
        <v>04.13.01</v>
      </c>
      <c r="Z634" s="884" t="str">
        <f t="shared" si="200"/>
        <v>Jalan</v>
      </c>
      <c r="AA634" s="884">
        <f t="shared" si="201"/>
        <v>10</v>
      </c>
      <c r="AB634" s="868">
        <f t="shared" si="203"/>
        <v>194468999.81099999</v>
      </c>
      <c r="AC634" s="885">
        <f t="shared" si="204"/>
        <v>0</v>
      </c>
      <c r="AD634" s="868">
        <f t="shared" si="205"/>
        <v>0</v>
      </c>
      <c r="AE634" s="868">
        <v>0</v>
      </c>
      <c r="AF634" s="868">
        <v>0</v>
      </c>
      <c r="AG634" s="868">
        <f t="shared" si="207"/>
        <v>194468999.81099999</v>
      </c>
      <c r="AH634" s="868">
        <f t="shared" si="208"/>
        <v>194468999.81099999</v>
      </c>
      <c r="AI634" s="886">
        <f t="shared" si="209"/>
        <v>194468999.81099999</v>
      </c>
      <c r="AJ634" s="886">
        <f t="shared" si="210"/>
        <v>583406999.43299997</v>
      </c>
      <c r="AK634" s="868">
        <f t="shared" si="198"/>
        <v>1361282998.677</v>
      </c>
    </row>
    <row r="635" spans="1:37" s="857" customFormat="1" ht="35.25" customHeight="1" x14ac:dyDescent="0.2">
      <c r="A635" s="857" t="s">
        <v>4890</v>
      </c>
      <c r="B635" s="857" t="e">
        <f t="shared" si="211"/>
        <v>#N/A</v>
      </c>
      <c r="E635" s="884" t="str">
        <f t="shared" si="202"/>
        <v/>
      </c>
      <c r="F635" s="890"/>
      <c r="G635" s="915" t="s">
        <v>1464</v>
      </c>
      <c r="H635" s="915"/>
      <c r="I635" s="907" t="s">
        <v>2494</v>
      </c>
      <c r="J635" s="903"/>
      <c r="K635" s="862"/>
      <c r="L635" s="908"/>
      <c r="M635" s="862"/>
      <c r="N635" s="909"/>
      <c r="O635" s="861" t="s">
        <v>3263</v>
      </c>
      <c r="P635" s="903">
        <v>2016</v>
      </c>
      <c r="Q635" s="862"/>
      <c r="R635" s="862"/>
      <c r="S635" s="862"/>
      <c r="T635" s="903" t="s">
        <v>12</v>
      </c>
      <c r="U635" s="910">
        <v>198356308</v>
      </c>
      <c r="V635" s="905"/>
      <c r="W635" s="906"/>
      <c r="X635" s="970"/>
      <c r="Y635" s="884" t="str">
        <f t="shared" si="199"/>
        <v>04.13.01</v>
      </c>
      <c r="Z635" s="884" t="str">
        <f t="shared" si="200"/>
        <v>Jalan</v>
      </c>
      <c r="AA635" s="884">
        <f t="shared" si="201"/>
        <v>10</v>
      </c>
      <c r="AB635" s="868">
        <f t="shared" si="203"/>
        <v>19835630.800000001</v>
      </c>
      <c r="AC635" s="885">
        <f t="shared" si="204"/>
        <v>0</v>
      </c>
      <c r="AD635" s="868">
        <f t="shared" si="205"/>
        <v>0</v>
      </c>
      <c r="AE635" s="868">
        <v>0</v>
      </c>
      <c r="AF635" s="868">
        <v>0</v>
      </c>
      <c r="AG635" s="868">
        <f t="shared" si="207"/>
        <v>19835630.800000001</v>
      </c>
      <c r="AH635" s="868">
        <f t="shared" si="208"/>
        <v>19835630.800000001</v>
      </c>
      <c r="AI635" s="886">
        <f t="shared" si="209"/>
        <v>19835630.800000001</v>
      </c>
      <c r="AJ635" s="886">
        <f t="shared" si="210"/>
        <v>59506892.400000006</v>
      </c>
      <c r="AK635" s="868">
        <f t="shared" si="198"/>
        <v>138849415.59999999</v>
      </c>
    </row>
    <row r="636" spans="1:37" s="857" customFormat="1" ht="35.25" customHeight="1" x14ac:dyDescent="0.2">
      <c r="A636" s="857">
        <v>131</v>
      </c>
      <c r="B636" s="857" t="str">
        <f t="shared" si="211"/>
        <v>SIMP. TERATAK BARU - TERATAK BARU</v>
      </c>
      <c r="E636" s="884" t="str">
        <f t="shared" si="202"/>
        <v/>
      </c>
      <c r="F636" s="890"/>
      <c r="G636" s="915" t="s">
        <v>1465</v>
      </c>
      <c r="H636" s="915"/>
      <c r="I636" s="907" t="s">
        <v>2494</v>
      </c>
      <c r="J636" s="903"/>
      <c r="K636" s="862"/>
      <c r="L636" s="908"/>
      <c r="M636" s="862"/>
      <c r="N636" s="909"/>
      <c r="O636" s="863" t="s">
        <v>3264</v>
      </c>
      <c r="P636" s="903">
        <v>2016</v>
      </c>
      <c r="Q636" s="862"/>
      <c r="R636" s="862"/>
      <c r="S636" s="862"/>
      <c r="T636" s="903" t="s">
        <v>12</v>
      </c>
      <c r="U636" s="910">
        <v>197669566</v>
      </c>
      <c r="V636" s="905"/>
      <c r="W636" s="906"/>
      <c r="X636" s="970"/>
      <c r="Y636" s="884" t="str">
        <f t="shared" si="199"/>
        <v>04.13.01</v>
      </c>
      <c r="Z636" s="884" t="str">
        <f t="shared" si="200"/>
        <v>Jalan</v>
      </c>
      <c r="AA636" s="884">
        <f t="shared" si="201"/>
        <v>10</v>
      </c>
      <c r="AB636" s="868">
        <f t="shared" si="203"/>
        <v>19766956.600000001</v>
      </c>
      <c r="AC636" s="885">
        <f t="shared" si="204"/>
        <v>0</v>
      </c>
      <c r="AD636" s="868">
        <f t="shared" si="205"/>
        <v>0</v>
      </c>
      <c r="AE636" s="868">
        <v>0</v>
      </c>
      <c r="AF636" s="868">
        <v>0</v>
      </c>
      <c r="AG636" s="868">
        <f t="shared" si="207"/>
        <v>19766956.600000001</v>
      </c>
      <c r="AH636" s="868">
        <f t="shared" si="208"/>
        <v>19766956.600000001</v>
      </c>
      <c r="AI636" s="886">
        <f t="shared" si="209"/>
        <v>19766956.600000001</v>
      </c>
      <c r="AJ636" s="886">
        <f t="shared" si="210"/>
        <v>59300869.800000004</v>
      </c>
      <c r="AK636" s="868">
        <f t="shared" si="198"/>
        <v>138368696.19999999</v>
      </c>
    </row>
    <row r="637" spans="1:37" s="857" customFormat="1" ht="35.25" customHeight="1" x14ac:dyDescent="0.2">
      <c r="A637" s="857">
        <v>277</v>
      </c>
      <c r="B637" s="857" t="str">
        <f t="shared" si="211"/>
        <v>GUNUNG KESIANGAN - PL. KALIMANTING</v>
      </c>
      <c r="E637" s="884" t="str">
        <f t="shared" si="202"/>
        <v/>
      </c>
      <c r="F637" s="890"/>
      <c r="G637" s="915" t="s">
        <v>3043</v>
      </c>
      <c r="H637" s="915"/>
      <c r="I637" s="907" t="s">
        <v>2494</v>
      </c>
      <c r="J637" s="903"/>
      <c r="K637" s="862"/>
      <c r="L637" s="908"/>
      <c r="M637" s="862"/>
      <c r="N637" s="909"/>
      <c r="O637" s="863" t="s">
        <v>3266</v>
      </c>
      <c r="P637" s="903">
        <v>2017</v>
      </c>
      <c r="Q637" s="862"/>
      <c r="R637" s="862"/>
      <c r="S637" s="862"/>
      <c r="T637" s="903" t="s">
        <v>12</v>
      </c>
      <c r="U637" s="910">
        <v>1877489539</v>
      </c>
      <c r="V637" s="905"/>
      <c r="W637" s="906"/>
      <c r="X637" s="970"/>
      <c r="Y637" s="884" t="str">
        <f t="shared" si="199"/>
        <v>04.13.01</v>
      </c>
      <c r="Z637" s="884" t="str">
        <f t="shared" si="200"/>
        <v>Jalan</v>
      </c>
      <c r="AA637" s="884">
        <f t="shared" si="201"/>
        <v>10</v>
      </c>
      <c r="AB637" s="868">
        <f t="shared" si="203"/>
        <v>187748953.90000001</v>
      </c>
      <c r="AC637" s="885">
        <f t="shared" si="204"/>
        <v>0</v>
      </c>
      <c r="AD637" s="868">
        <f t="shared" si="205"/>
        <v>0</v>
      </c>
      <c r="AE637" s="868">
        <v>0</v>
      </c>
      <c r="AF637" s="868">
        <v>0</v>
      </c>
      <c r="AG637" s="868">
        <v>0</v>
      </c>
      <c r="AH637" s="868">
        <f t="shared" si="208"/>
        <v>187748953.90000001</v>
      </c>
      <c r="AI637" s="886">
        <f t="shared" si="209"/>
        <v>187748953.90000001</v>
      </c>
      <c r="AJ637" s="886">
        <f t="shared" si="210"/>
        <v>375497907.80000001</v>
      </c>
      <c r="AK637" s="868">
        <f t="shared" ref="AK637:AK683" si="212">U637-AJ637</f>
        <v>1501991631.2</v>
      </c>
    </row>
    <row r="638" spans="1:37" s="857" customFormat="1" ht="35.25" customHeight="1" x14ac:dyDescent="0.2">
      <c r="A638" s="857" t="s">
        <v>4890</v>
      </c>
      <c r="B638" s="857" t="e">
        <f t="shared" si="211"/>
        <v>#N/A</v>
      </c>
      <c r="E638" s="884" t="str">
        <f t="shared" si="202"/>
        <v/>
      </c>
      <c r="F638" s="890"/>
      <c r="G638" s="915" t="s">
        <v>3044</v>
      </c>
      <c r="H638" s="915"/>
      <c r="I638" s="907" t="s">
        <v>2494</v>
      </c>
      <c r="J638" s="903"/>
      <c r="K638" s="862"/>
      <c r="L638" s="908"/>
      <c r="M638" s="862"/>
      <c r="N638" s="909"/>
      <c r="O638" s="863" t="s">
        <v>3267</v>
      </c>
      <c r="P638" s="903">
        <v>2017</v>
      </c>
      <c r="Q638" s="862"/>
      <c r="R638" s="862"/>
      <c r="S638" s="862"/>
      <c r="T638" s="903" t="s">
        <v>12</v>
      </c>
      <c r="U638" s="910">
        <v>2279380200</v>
      </c>
      <c r="V638" s="905"/>
      <c r="W638" s="906"/>
      <c r="X638" s="970"/>
      <c r="Y638" s="884" t="str">
        <f t="shared" si="199"/>
        <v>04.13.01</v>
      </c>
      <c r="Z638" s="884" t="str">
        <f t="shared" si="200"/>
        <v>Jalan</v>
      </c>
      <c r="AA638" s="884">
        <f t="shared" si="201"/>
        <v>10</v>
      </c>
      <c r="AB638" s="868">
        <f t="shared" si="203"/>
        <v>227938020</v>
      </c>
      <c r="AC638" s="885">
        <f t="shared" si="204"/>
        <v>0</v>
      </c>
      <c r="AD638" s="868">
        <f t="shared" si="205"/>
        <v>0</v>
      </c>
      <c r="AE638" s="868">
        <v>0</v>
      </c>
      <c r="AF638" s="868">
        <v>0</v>
      </c>
      <c r="AG638" s="868">
        <v>0</v>
      </c>
      <c r="AH638" s="868">
        <f t="shared" si="208"/>
        <v>227938020</v>
      </c>
      <c r="AI638" s="886">
        <f t="shared" si="209"/>
        <v>227938020</v>
      </c>
      <c r="AJ638" s="886">
        <f t="shared" si="210"/>
        <v>455876040</v>
      </c>
      <c r="AK638" s="868">
        <f t="shared" si="212"/>
        <v>1823504160</v>
      </c>
    </row>
    <row r="639" spans="1:37" s="857" customFormat="1" ht="35.25" customHeight="1" x14ac:dyDescent="0.2">
      <c r="A639" s="857" t="s">
        <v>4890</v>
      </c>
      <c r="B639" s="857" t="e">
        <f t="shared" si="211"/>
        <v>#N/A</v>
      </c>
      <c r="E639" s="884" t="str">
        <f t="shared" si="202"/>
        <v/>
      </c>
      <c r="F639" s="890"/>
      <c r="G639" s="915" t="s">
        <v>3045</v>
      </c>
      <c r="H639" s="915"/>
      <c r="I639" s="907" t="s">
        <v>2494</v>
      </c>
      <c r="J639" s="903"/>
      <c r="K639" s="862"/>
      <c r="L639" s="908"/>
      <c r="M639" s="862"/>
      <c r="N639" s="909"/>
      <c r="O639" s="863" t="s">
        <v>3268</v>
      </c>
      <c r="P639" s="903">
        <v>2017</v>
      </c>
      <c r="Q639" s="862"/>
      <c r="R639" s="862"/>
      <c r="S639" s="862"/>
      <c r="T639" s="903" t="s">
        <v>12</v>
      </c>
      <c r="U639" s="910">
        <v>240781700</v>
      </c>
      <c r="V639" s="905"/>
      <c r="W639" s="906"/>
      <c r="X639" s="970"/>
      <c r="Y639" s="884" t="str">
        <f t="shared" si="199"/>
        <v>04.13.01</v>
      </c>
      <c r="Z639" s="884" t="str">
        <f t="shared" si="200"/>
        <v>Jalan</v>
      </c>
      <c r="AA639" s="884">
        <f t="shared" si="201"/>
        <v>10</v>
      </c>
      <c r="AB639" s="868">
        <f t="shared" si="203"/>
        <v>24078170</v>
      </c>
      <c r="AC639" s="885">
        <f t="shared" si="204"/>
        <v>0</v>
      </c>
      <c r="AD639" s="868">
        <f t="shared" si="205"/>
        <v>0</v>
      </c>
      <c r="AE639" s="868">
        <v>0</v>
      </c>
      <c r="AF639" s="868">
        <v>0</v>
      </c>
      <c r="AG639" s="868">
        <v>0</v>
      </c>
      <c r="AH639" s="868">
        <f t="shared" si="208"/>
        <v>24078170</v>
      </c>
      <c r="AI639" s="886">
        <f t="shared" si="209"/>
        <v>24078170</v>
      </c>
      <c r="AJ639" s="886">
        <f t="shared" si="210"/>
        <v>48156340</v>
      </c>
      <c r="AK639" s="868">
        <f t="shared" si="212"/>
        <v>192625360</v>
      </c>
    </row>
    <row r="640" spans="1:37" s="857" customFormat="1" ht="35.25" customHeight="1" x14ac:dyDescent="0.2">
      <c r="A640" s="857">
        <v>10</v>
      </c>
      <c r="B640" s="857" t="str">
        <f t="shared" si="211"/>
        <v>SEB. TELUK KUANTAN - DUTA PALMA</v>
      </c>
      <c r="E640" s="884" t="str">
        <f t="shared" si="202"/>
        <v/>
      </c>
      <c r="F640" s="890"/>
      <c r="G640" s="915" t="s">
        <v>3046</v>
      </c>
      <c r="H640" s="915"/>
      <c r="I640" s="907" t="s">
        <v>2494</v>
      </c>
      <c r="J640" s="903"/>
      <c r="K640" s="862"/>
      <c r="L640" s="908"/>
      <c r="M640" s="862"/>
      <c r="N640" s="909"/>
      <c r="O640" s="861" t="s">
        <v>3269</v>
      </c>
      <c r="P640" s="903">
        <v>2017</v>
      </c>
      <c r="Q640" s="862"/>
      <c r="R640" s="862"/>
      <c r="S640" s="862"/>
      <c r="T640" s="903" t="s">
        <v>12</v>
      </c>
      <c r="U640" s="910">
        <v>191062300</v>
      </c>
      <c r="V640" s="905"/>
      <c r="W640" s="906"/>
      <c r="X640" s="970"/>
      <c r="Y640" s="884" t="str">
        <f t="shared" si="199"/>
        <v>04.13.01</v>
      </c>
      <c r="Z640" s="884" t="str">
        <f t="shared" si="200"/>
        <v>Jalan</v>
      </c>
      <c r="AA640" s="884">
        <f t="shared" si="201"/>
        <v>10</v>
      </c>
      <c r="AB640" s="868">
        <f t="shared" si="203"/>
        <v>19106230</v>
      </c>
      <c r="AC640" s="885">
        <f t="shared" si="204"/>
        <v>0</v>
      </c>
      <c r="AD640" s="868">
        <f t="shared" si="205"/>
        <v>0</v>
      </c>
      <c r="AE640" s="868">
        <v>0</v>
      </c>
      <c r="AF640" s="868">
        <v>0</v>
      </c>
      <c r="AG640" s="868">
        <v>0</v>
      </c>
      <c r="AH640" s="868">
        <f t="shared" si="208"/>
        <v>19106230</v>
      </c>
      <c r="AI640" s="886">
        <f t="shared" si="209"/>
        <v>19106230</v>
      </c>
      <c r="AJ640" s="886">
        <f t="shared" si="210"/>
        <v>38212460</v>
      </c>
      <c r="AK640" s="868">
        <f t="shared" si="212"/>
        <v>152849840</v>
      </c>
    </row>
    <row r="641" spans="1:37" s="857" customFormat="1" ht="35.25" customHeight="1" x14ac:dyDescent="0.2">
      <c r="A641" s="857" t="s">
        <v>4890</v>
      </c>
      <c r="B641" s="857" t="e">
        <f t="shared" si="211"/>
        <v>#N/A</v>
      </c>
      <c r="E641" s="884" t="str">
        <f t="shared" si="202"/>
        <v/>
      </c>
      <c r="F641" s="890"/>
      <c r="G641" s="915" t="s">
        <v>3047</v>
      </c>
      <c r="H641" s="915"/>
      <c r="I641" s="907" t="s">
        <v>2494</v>
      </c>
      <c r="J641" s="903"/>
      <c r="K641" s="862"/>
      <c r="L641" s="908"/>
      <c r="M641" s="862"/>
      <c r="N641" s="909"/>
      <c r="O641" s="863" t="s">
        <v>3270</v>
      </c>
      <c r="P641" s="903">
        <v>2017</v>
      </c>
      <c r="Q641" s="862"/>
      <c r="R641" s="862"/>
      <c r="S641" s="862"/>
      <c r="T641" s="903" t="s">
        <v>12</v>
      </c>
      <c r="U641" s="910">
        <v>191876653</v>
      </c>
      <c r="V641" s="905"/>
      <c r="W641" s="906"/>
      <c r="X641" s="970"/>
      <c r="Y641" s="884" t="str">
        <f t="shared" si="199"/>
        <v>04.13.01</v>
      </c>
      <c r="Z641" s="884" t="str">
        <f t="shared" si="200"/>
        <v>Jalan</v>
      </c>
      <c r="AA641" s="884">
        <f t="shared" si="201"/>
        <v>10</v>
      </c>
      <c r="AB641" s="868">
        <f t="shared" si="203"/>
        <v>19187665.300000001</v>
      </c>
      <c r="AC641" s="885">
        <f t="shared" si="204"/>
        <v>0</v>
      </c>
      <c r="AD641" s="868">
        <f t="shared" si="205"/>
        <v>0</v>
      </c>
      <c r="AE641" s="868">
        <v>0</v>
      </c>
      <c r="AF641" s="868">
        <v>0</v>
      </c>
      <c r="AG641" s="868">
        <v>0</v>
      </c>
      <c r="AH641" s="868">
        <f t="shared" si="208"/>
        <v>19187665.300000001</v>
      </c>
      <c r="AI641" s="886">
        <f t="shared" si="209"/>
        <v>19187665.300000001</v>
      </c>
      <c r="AJ641" s="886">
        <f t="shared" si="210"/>
        <v>38375330.600000001</v>
      </c>
      <c r="AK641" s="868">
        <f t="shared" si="212"/>
        <v>153501322.40000001</v>
      </c>
    </row>
    <row r="642" spans="1:37" s="857" customFormat="1" ht="35.25" customHeight="1" x14ac:dyDescent="0.2">
      <c r="A642" s="857">
        <v>245</v>
      </c>
      <c r="B642" s="857" t="str">
        <f t="shared" si="211"/>
        <v>SIMP. 4 PT. WANASARI - SUKAMAJU</v>
      </c>
      <c r="E642" s="884" t="str">
        <f t="shared" si="202"/>
        <v/>
      </c>
      <c r="F642" s="890"/>
      <c r="G642" s="915" t="s">
        <v>2497</v>
      </c>
      <c r="H642" s="915"/>
      <c r="I642" s="907" t="s">
        <v>2494</v>
      </c>
      <c r="J642" s="903"/>
      <c r="K642" s="862"/>
      <c r="L642" s="908"/>
      <c r="M642" s="862"/>
      <c r="N642" s="909"/>
      <c r="O642" s="861" t="s">
        <v>2559</v>
      </c>
      <c r="P642" s="903">
        <v>2017</v>
      </c>
      <c r="Q642" s="862"/>
      <c r="R642" s="862"/>
      <c r="S642" s="862"/>
      <c r="T642" s="903" t="s">
        <v>12</v>
      </c>
      <c r="U642" s="910">
        <v>190632000</v>
      </c>
      <c r="V642" s="905"/>
      <c r="W642" s="906"/>
      <c r="X642" s="970"/>
      <c r="Y642" s="884" t="str">
        <f t="shared" si="199"/>
        <v>04.13.01</v>
      </c>
      <c r="Z642" s="884" t="str">
        <f t="shared" si="200"/>
        <v>Jalan</v>
      </c>
      <c r="AA642" s="884">
        <f t="shared" si="201"/>
        <v>10</v>
      </c>
      <c r="AB642" s="868">
        <f t="shared" si="203"/>
        <v>19063200</v>
      </c>
      <c r="AC642" s="885">
        <f t="shared" si="204"/>
        <v>0</v>
      </c>
      <c r="AD642" s="868">
        <f t="shared" si="205"/>
        <v>0</v>
      </c>
      <c r="AE642" s="868">
        <v>0</v>
      </c>
      <c r="AF642" s="868">
        <v>0</v>
      </c>
      <c r="AG642" s="868">
        <v>0</v>
      </c>
      <c r="AH642" s="868">
        <f t="shared" si="208"/>
        <v>19063200</v>
      </c>
      <c r="AI642" s="886">
        <f t="shared" si="209"/>
        <v>19063200</v>
      </c>
      <c r="AJ642" s="886">
        <f t="shared" si="210"/>
        <v>38126400</v>
      </c>
      <c r="AK642" s="868">
        <f t="shared" si="212"/>
        <v>152505600</v>
      </c>
    </row>
    <row r="643" spans="1:37" s="857" customFormat="1" ht="35.25" customHeight="1" x14ac:dyDescent="0.2">
      <c r="A643" s="857">
        <v>247</v>
      </c>
      <c r="B643" s="857" t="str">
        <f t="shared" si="211"/>
        <v>SIMP. MUARA BAHAN - MUARA BAHAN</v>
      </c>
      <c r="E643" s="884" t="str">
        <f t="shared" si="202"/>
        <v/>
      </c>
      <c r="F643" s="890"/>
      <c r="G643" s="915" t="s">
        <v>2498</v>
      </c>
      <c r="H643" s="915"/>
      <c r="I643" s="907" t="s">
        <v>2494</v>
      </c>
      <c r="J643" s="903"/>
      <c r="K643" s="862"/>
      <c r="L643" s="908"/>
      <c r="M643" s="862"/>
      <c r="N643" s="909"/>
      <c r="O643" s="861" t="s">
        <v>2560</v>
      </c>
      <c r="P643" s="903">
        <v>2017</v>
      </c>
      <c r="Q643" s="862"/>
      <c r="R643" s="862"/>
      <c r="S643" s="862"/>
      <c r="T643" s="903" t="s">
        <v>12</v>
      </c>
      <c r="U643" s="910">
        <v>190458000</v>
      </c>
      <c r="V643" s="905"/>
      <c r="W643" s="906"/>
      <c r="X643" s="970"/>
      <c r="Y643" s="884" t="str">
        <f t="shared" si="199"/>
        <v>04.13.01</v>
      </c>
      <c r="Z643" s="884" t="str">
        <f t="shared" si="200"/>
        <v>Jalan</v>
      </c>
      <c r="AA643" s="884">
        <f t="shared" si="201"/>
        <v>10</v>
      </c>
      <c r="AB643" s="868">
        <f t="shared" si="203"/>
        <v>19045800</v>
      </c>
      <c r="AC643" s="885">
        <f t="shared" si="204"/>
        <v>0</v>
      </c>
      <c r="AD643" s="868">
        <f t="shared" si="205"/>
        <v>0</v>
      </c>
      <c r="AE643" s="868">
        <v>0</v>
      </c>
      <c r="AF643" s="868">
        <v>0</v>
      </c>
      <c r="AG643" s="868">
        <v>0</v>
      </c>
      <c r="AH643" s="868">
        <f t="shared" si="208"/>
        <v>19045800</v>
      </c>
      <c r="AI643" s="886">
        <f t="shared" si="209"/>
        <v>19045800</v>
      </c>
      <c r="AJ643" s="886">
        <f t="shared" si="210"/>
        <v>38091600</v>
      </c>
      <c r="AK643" s="868">
        <f t="shared" si="212"/>
        <v>152366400</v>
      </c>
    </row>
    <row r="644" spans="1:37" s="857" customFormat="1" ht="35.25" customHeight="1" x14ac:dyDescent="0.2">
      <c r="A644" s="857">
        <v>183</v>
      </c>
      <c r="B644" s="857" t="str">
        <f t="shared" si="211"/>
        <v>SUKARAJA - GIRI SAKO</v>
      </c>
      <c r="E644" s="884" t="str">
        <f t="shared" si="202"/>
        <v/>
      </c>
      <c r="F644" s="890"/>
      <c r="G644" s="915" t="s">
        <v>2499</v>
      </c>
      <c r="H644" s="915"/>
      <c r="I644" s="907" t="s">
        <v>2494</v>
      </c>
      <c r="J644" s="903"/>
      <c r="K644" s="862"/>
      <c r="L644" s="908"/>
      <c r="M644" s="862"/>
      <c r="N644" s="909"/>
      <c r="O644" s="861" t="s">
        <v>2561</v>
      </c>
      <c r="P644" s="903">
        <v>2017</v>
      </c>
      <c r="Q644" s="862"/>
      <c r="R644" s="862"/>
      <c r="S644" s="862"/>
      <c r="T644" s="903" t="s">
        <v>12</v>
      </c>
      <c r="U644" s="910">
        <v>190288000</v>
      </c>
      <c r="V644" s="905"/>
      <c r="W644" s="906"/>
      <c r="X644" s="970"/>
      <c r="Y644" s="884" t="str">
        <f t="shared" si="199"/>
        <v>04.13.01</v>
      </c>
      <c r="Z644" s="884" t="str">
        <f t="shared" si="200"/>
        <v>Jalan</v>
      </c>
      <c r="AA644" s="884">
        <f t="shared" si="201"/>
        <v>10</v>
      </c>
      <c r="AB644" s="868">
        <f t="shared" si="203"/>
        <v>19028800</v>
      </c>
      <c r="AC644" s="885">
        <f t="shared" si="204"/>
        <v>0</v>
      </c>
      <c r="AD644" s="868">
        <f t="shared" si="205"/>
        <v>0</v>
      </c>
      <c r="AE644" s="868">
        <v>0</v>
      </c>
      <c r="AF644" s="868">
        <v>0</v>
      </c>
      <c r="AG644" s="868">
        <v>0</v>
      </c>
      <c r="AH644" s="868">
        <f t="shared" si="208"/>
        <v>19028800</v>
      </c>
      <c r="AI644" s="886">
        <f t="shared" si="209"/>
        <v>19028800</v>
      </c>
      <c r="AJ644" s="886">
        <f t="shared" si="210"/>
        <v>38057600</v>
      </c>
      <c r="AK644" s="868">
        <f t="shared" si="212"/>
        <v>152230400</v>
      </c>
    </row>
    <row r="645" spans="1:37" s="857" customFormat="1" ht="35.25" customHeight="1" x14ac:dyDescent="0.2">
      <c r="A645" s="857">
        <v>183</v>
      </c>
      <c r="B645" s="857" t="str">
        <f t="shared" si="211"/>
        <v>SUKARAJA - GIRI SAKO</v>
      </c>
      <c r="E645" s="884" t="str">
        <f t="shared" si="202"/>
        <v/>
      </c>
      <c r="F645" s="890"/>
      <c r="G645" s="915" t="s">
        <v>3048</v>
      </c>
      <c r="H645" s="915"/>
      <c r="I645" s="907" t="s">
        <v>2494</v>
      </c>
      <c r="J645" s="903"/>
      <c r="K645" s="862"/>
      <c r="L645" s="908"/>
      <c r="M645" s="862"/>
      <c r="N645" s="909"/>
      <c r="O645" s="861" t="s">
        <v>2561</v>
      </c>
      <c r="P645" s="903">
        <v>2017</v>
      </c>
      <c r="Q645" s="862"/>
      <c r="R645" s="862"/>
      <c r="S645" s="862"/>
      <c r="T645" s="903" t="s">
        <v>12</v>
      </c>
      <c r="U645" s="910">
        <v>189361000</v>
      </c>
      <c r="V645" s="905"/>
      <c r="W645" s="906"/>
      <c r="X645" s="970"/>
      <c r="Y645" s="884" t="str">
        <f t="shared" si="199"/>
        <v>04.13.01</v>
      </c>
      <c r="Z645" s="884" t="str">
        <f t="shared" si="200"/>
        <v>Jalan</v>
      </c>
      <c r="AA645" s="884">
        <f t="shared" si="201"/>
        <v>10</v>
      </c>
      <c r="AB645" s="868">
        <f t="shared" si="203"/>
        <v>18936100</v>
      </c>
      <c r="AC645" s="885">
        <f t="shared" si="204"/>
        <v>0</v>
      </c>
      <c r="AD645" s="868">
        <f t="shared" si="205"/>
        <v>0</v>
      </c>
      <c r="AE645" s="868">
        <v>0</v>
      </c>
      <c r="AF645" s="868">
        <v>0</v>
      </c>
      <c r="AG645" s="868">
        <v>0</v>
      </c>
      <c r="AH645" s="868">
        <f t="shared" si="208"/>
        <v>18936100</v>
      </c>
      <c r="AI645" s="886">
        <f t="shared" si="209"/>
        <v>18936100</v>
      </c>
      <c r="AJ645" s="886">
        <f t="shared" si="210"/>
        <v>37872200</v>
      </c>
      <c r="AK645" s="868">
        <f t="shared" si="212"/>
        <v>151488800</v>
      </c>
    </row>
    <row r="646" spans="1:37" s="887" customFormat="1" ht="35.25" customHeight="1" x14ac:dyDescent="0.2">
      <c r="A646" s="887">
        <v>10</v>
      </c>
      <c r="B646" s="857" t="str">
        <f t="shared" si="211"/>
        <v>SEB. TELUK KUANTAN - DUTA PALMA</v>
      </c>
      <c r="E646" s="884" t="str">
        <f t="shared" si="202"/>
        <v/>
      </c>
      <c r="F646" s="888"/>
      <c r="G646" s="915" t="s">
        <v>2501</v>
      </c>
      <c r="H646" s="915"/>
      <c r="I646" s="907" t="s">
        <v>2494</v>
      </c>
      <c r="J646" s="903"/>
      <c r="K646" s="862"/>
      <c r="L646" s="908"/>
      <c r="M646" s="862"/>
      <c r="N646" s="909"/>
      <c r="O646" s="861" t="s">
        <v>2563</v>
      </c>
      <c r="P646" s="903">
        <v>2017</v>
      </c>
      <c r="Q646" s="862"/>
      <c r="R646" s="862"/>
      <c r="S646" s="862"/>
      <c r="T646" s="903" t="s">
        <v>12</v>
      </c>
      <c r="U646" s="910">
        <v>189549000</v>
      </c>
      <c r="V646" s="905"/>
      <c r="W646" s="906"/>
      <c r="X646" s="970"/>
      <c r="Y646" s="884" t="str">
        <f t="shared" si="199"/>
        <v>04.13.01</v>
      </c>
      <c r="Z646" s="884" t="str">
        <f t="shared" si="200"/>
        <v>Jalan</v>
      </c>
      <c r="AA646" s="884">
        <f t="shared" si="201"/>
        <v>10</v>
      </c>
      <c r="AB646" s="868">
        <f t="shared" si="203"/>
        <v>18954900</v>
      </c>
      <c r="AC646" s="885">
        <f t="shared" si="204"/>
        <v>0</v>
      </c>
      <c r="AD646" s="868">
        <f t="shared" si="205"/>
        <v>0</v>
      </c>
      <c r="AE646" s="868">
        <v>0</v>
      </c>
      <c r="AF646" s="868">
        <v>0</v>
      </c>
      <c r="AG646" s="868">
        <v>0</v>
      </c>
      <c r="AH646" s="868">
        <f t="shared" si="208"/>
        <v>18954900</v>
      </c>
      <c r="AI646" s="886">
        <f t="shared" si="209"/>
        <v>18954900</v>
      </c>
      <c r="AJ646" s="886">
        <f t="shared" si="210"/>
        <v>37909800</v>
      </c>
      <c r="AK646" s="868">
        <f t="shared" si="212"/>
        <v>151639200</v>
      </c>
    </row>
    <row r="647" spans="1:37" s="887" customFormat="1" ht="35.25" customHeight="1" x14ac:dyDescent="0.2">
      <c r="A647" s="857" t="s">
        <v>4890</v>
      </c>
      <c r="B647" s="857" t="e">
        <f t="shared" si="211"/>
        <v>#N/A</v>
      </c>
      <c r="E647" s="884" t="str">
        <f t="shared" si="202"/>
        <v/>
      </c>
      <c r="F647" s="888"/>
      <c r="G647" s="915" t="s">
        <v>3049</v>
      </c>
      <c r="H647" s="915"/>
      <c r="I647" s="907" t="s">
        <v>2494</v>
      </c>
      <c r="J647" s="903"/>
      <c r="K647" s="862"/>
      <c r="L647" s="908"/>
      <c r="M647" s="862"/>
      <c r="N647" s="909"/>
      <c r="O647" s="863" t="s">
        <v>3271</v>
      </c>
      <c r="P647" s="903">
        <v>2017</v>
      </c>
      <c r="Q647" s="862"/>
      <c r="R647" s="862"/>
      <c r="S647" s="862"/>
      <c r="T647" s="903" t="s">
        <v>12</v>
      </c>
      <c r="U647" s="910">
        <v>190848000</v>
      </c>
      <c r="V647" s="905"/>
      <c r="W647" s="906"/>
      <c r="X647" s="970"/>
      <c r="Y647" s="884" t="str">
        <f t="shared" si="199"/>
        <v>04.13.01</v>
      </c>
      <c r="Z647" s="884" t="str">
        <f t="shared" si="200"/>
        <v>Jalan</v>
      </c>
      <c r="AA647" s="884">
        <f t="shared" si="201"/>
        <v>10</v>
      </c>
      <c r="AB647" s="868">
        <f t="shared" si="203"/>
        <v>19084800</v>
      </c>
      <c r="AC647" s="885">
        <f t="shared" si="204"/>
        <v>0</v>
      </c>
      <c r="AD647" s="868">
        <f t="shared" si="205"/>
        <v>0</v>
      </c>
      <c r="AE647" s="868">
        <v>0</v>
      </c>
      <c r="AF647" s="868">
        <v>0</v>
      </c>
      <c r="AG647" s="868">
        <v>0</v>
      </c>
      <c r="AH647" s="868">
        <f t="shared" si="208"/>
        <v>19084800</v>
      </c>
      <c r="AI647" s="886">
        <f t="shared" si="209"/>
        <v>19084800</v>
      </c>
      <c r="AJ647" s="886">
        <f t="shared" si="210"/>
        <v>38169600</v>
      </c>
      <c r="AK647" s="868">
        <f t="shared" si="212"/>
        <v>152678400</v>
      </c>
    </row>
    <row r="648" spans="1:37" s="887" customFormat="1" ht="35.25" customHeight="1" x14ac:dyDescent="0.2">
      <c r="A648" s="857" t="s">
        <v>4890</v>
      </c>
      <c r="B648" s="857" t="e">
        <f t="shared" si="211"/>
        <v>#N/A</v>
      </c>
      <c r="E648" s="884" t="str">
        <f t="shared" si="202"/>
        <v/>
      </c>
      <c r="F648" s="888"/>
      <c r="G648" s="915" t="s">
        <v>3050</v>
      </c>
      <c r="H648" s="915"/>
      <c r="I648" s="907" t="s">
        <v>2494</v>
      </c>
      <c r="J648" s="903"/>
      <c r="K648" s="862"/>
      <c r="L648" s="908"/>
      <c r="M648" s="862"/>
      <c r="N648" s="909"/>
      <c r="O648" s="907" t="s">
        <v>3272</v>
      </c>
      <c r="P648" s="903">
        <v>2017</v>
      </c>
      <c r="Q648" s="862"/>
      <c r="R648" s="862"/>
      <c r="S648" s="862"/>
      <c r="T648" s="903" t="s">
        <v>12</v>
      </c>
      <c r="U648" s="910">
        <v>190661000</v>
      </c>
      <c r="V648" s="905"/>
      <c r="W648" s="906"/>
      <c r="X648" s="970"/>
      <c r="Y648" s="884" t="str">
        <f t="shared" ref="Y648:Y683" si="213">LEFT(I648,8)</f>
        <v>04.13.01</v>
      </c>
      <c r="Z648" s="884" t="str">
        <f t="shared" ref="Z648:Z683" si="214">VLOOKUP(Y648,UE,3,FALSE)</f>
        <v>Jalan</v>
      </c>
      <c r="AA648" s="884">
        <f t="shared" ref="AA648:AA683" si="215">VLOOKUP(Y648,UE,4,FALSE)</f>
        <v>10</v>
      </c>
      <c r="AB648" s="868">
        <f t="shared" si="203"/>
        <v>19066100</v>
      </c>
      <c r="AC648" s="885">
        <f t="shared" si="204"/>
        <v>0</v>
      </c>
      <c r="AD648" s="868">
        <f t="shared" si="205"/>
        <v>0</v>
      </c>
      <c r="AE648" s="868">
        <v>0</v>
      </c>
      <c r="AF648" s="868">
        <v>0</v>
      </c>
      <c r="AG648" s="868">
        <v>0</v>
      </c>
      <c r="AH648" s="868">
        <f t="shared" si="208"/>
        <v>19066100</v>
      </c>
      <c r="AI648" s="886">
        <f t="shared" si="209"/>
        <v>19066100</v>
      </c>
      <c r="AJ648" s="886">
        <f t="shared" si="210"/>
        <v>38132200</v>
      </c>
      <c r="AK648" s="868">
        <f t="shared" si="212"/>
        <v>152528800</v>
      </c>
    </row>
    <row r="649" spans="1:37" s="887" customFormat="1" ht="35.25" customHeight="1" x14ac:dyDescent="0.2">
      <c r="A649" s="887">
        <v>164</v>
      </c>
      <c r="B649" s="857" t="str">
        <f t="shared" si="211"/>
        <v>PANGEAN - BATAS PELALAWAN</v>
      </c>
      <c r="E649" s="884" t="str">
        <f t="shared" si="202"/>
        <v/>
      </c>
      <c r="F649" s="888"/>
      <c r="G649" s="915" t="s">
        <v>3051</v>
      </c>
      <c r="H649" s="915"/>
      <c r="I649" s="907" t="s">
        <v>2494</v>
      </c>
      <c r="J649" s="903"/>
      <c r="K649" s="862"/>
      <c r="L649" s="908"/>
      <c r="M649" s="862"/>
      <c r="N649" s="909"/>
      <c r="O649" s="861" t="s">
        <v>3273</v>
      </c>
      <c r="P649" s="903">
        <v>2017</v>
      </c>
      <c r="Q649" s="862"/>
      <c r="R649" s="862"/>
      <c r="S649" s="862"/>
      <c r="T649" s="903" t="s">
        <v>12</v>
      </c>
      <c r="U649" s="910">
        <v>130352000</v>
      </c>
      <c r="V649" s="905"/>
      <c r="W649" s="906"/>
      <c r="X649" s="970"/>
      <c r="Y649" s="884" t="str">
        <f t="shared" si="213"/>
        <v>04.13.01</v>
      </c>
      <c r="Z649" s="884" t="str">
        <f t="shared" si="214"/>
        <v>Jalan</v>
      </c>
      <c r="AA649" s="884">
        <f t="shared" si="215"/>
        <v>10</v>
      </c>
      <c r="AB649" s="868">
        <f t="shared" si="203"/>
        <v>13035200</v>
      </c>
      <c r="AC649" s="885">
        <f t="shared" si="204"/>
        <v>0</v>
      </c>
      <c r="AD649" s="868">
        <f t="shared" si="205"/>
        <v>0</v>
      </c>
      <c r="AE649" s="868">
        <v>0</v>
      </c>
      <c r="AF649" s="868">
        <v>0</v>
      </c>
      <c r="AG649" s="868">
        <v>0</v>
      </c>
      <c r="AH649" s="868">
        <f t="shared" si="208"/>
        <v>13035200</v>
      </c>
      <c r="AI649" s="886">
        <f t="shared" si="209"/>
        <v>13035200</v>
      </c>
      <c r="AJ649" s="886">
        <f t="shared" si="210"/>
        <v>26070400</v>
      </c>
      <c r="AK649" s="868">
        <f t="shared" si="212"/>
        <v>104281600</v>
      </c>
    </row>
    <row r="650" spans="1:37" s="887" customFormat="1" ht="35.25" customHeight="1" x14ac:dyDescent="0.2">
      <c r="A650" s="857" t="s">
        <v>4890</v>
      </c>
      <c r="B650" s="857" t="e">
        <f t="shared" si="211"/>
        <v>#N/A</v>
      </c>
      <c r="E650" s="884" t="str">
        <f t="shared" ref="E650:E683" si="216">RIGHT(D650,1)</f>
        <v/>
      </c>
      <c r="F650" s="888"/>
      <c r="G650" s="915" t="s">
        <v>3052</v>
      </c>
      <c r="H650" s="915"/>
      <c r="I650" s="907" t="s">
        <v>2494</v>
      </c>
      <c r="J650" s="903"/>
      <c r="K650" s="862"/>
      <c r="L650" s="908"/>
      <c r="M650" s="862"/>
      <c r="N650" s="909"/>
      <c r="O650" s="863" t="s">
        <v>3274</v>
      </c>
      <c r="P650" s="903">
        <v>2017</v>
      </c>
      <c r="Q650" s="862"/>
      <c r="R650" s="862"/>
      <c r="S650" s="862"/>
      <c r="T650" s="903" t="s">
        <v>12</v>
      </c>
      <c r="U650" s="910">
        <v>190002000</v>
      </c>
      <c r="V650" s="905"/>
      <c r="W650" s="906"/>
      <c r="X650" s="970"/>
      <c r="Y650" s="884" t="str">
        <f t="shared" si="213"/>
        <v>04.13.01</v>
      </c>
      <c r="Z650" s="884" t="str">
        <f t="shared" si="214"/>
        <v>Jalan</v>
      </c>
      <c r="AA650" s="884">
        <f t="shared" si="215"/>
        <v>10</v>
      </c>
      <c r="AB650" s="868">
        <f t="shared" si="203"/>
        <v>19000200</v>
      </c>
      <c r="AC650" s="885">
        <f t="shared" si="204"/>
        <v>0</v>
      </c>
      <c r="AD650" s="868">
        <f t="shared" si="205"/>
        <v>0</v>
      </c>
      <c r="AE650" s="868">
        <v>0</v>
      </c>
      <c r="AF650" s="868">
        <v>0</v>
      </c>
      <c r="AG650" s="868">
        <v>0</v>
      </c>
      <c r="AH650" s="868">
        <f t="shared" si="208"/>
        <v>19000200</v>
      </c>
      <c r="AI650" s="886">
        <f t="shared" si="209"/>
        <v>19000200</v>
      </c>
      <c r="AJ650" s="886">
        <f t="shared" si="210"/>
        <v>38000400</v>
      </c>
      <c r="AK650" s="868">
        <f t="shared" si="212"/>
        <v>152001600</v>
      </c>
    </row>
    <row r="651" spans="1:37" s="887" customFormat="1" ht="35.25" customHeight="1" x14ac:dyDescent="0.2">
      <c r="A651" s="857" t="s">
        <v>4890</v>
      </c>
      <c r="B651" s="857" t="e">
        <f t="shared" si="211"/>
        <v>#N/A</v>
      </c>
      <c r="E651" s="884" t="str">
        <f t="shared" si="216"/>
        <v/>
      </c>
      <c r="F651" s="888"/>
      <c r="G651" s="915" t="s">
        <v>2502</v>
      </c>
      <c r="H651" s="915"/>
      <c r="I651" s="907" t="s">
        <v>2494</v>
      </c>
      <c r="J651" s="903"/>
      <c r="K651" s="862"/>
      <c r="L651" s="908"/>
      <c r="M651" s="862"/>
      <c r="N651" s="909"/>
      <c r="O651" s="863" t="s">
        <v>2564</v>
      </c>
      <c r="P651" s="903">
        <v>2017</v>
      </c>
      <c r="Q651" s="862"/>
      <c r="R651" s="862"/>
      <c r="S651" s="862"/>
      <c r="T651" s="903" t="s">
        <v>12</v>
      </c>
      <c r="U651" s="910">
        <v>180541000</v>
      </c>
      <c r="V651" s="905"/>
      <c r="W651" s="906"/>
      <c r="X651" s="970"/>
      <c r="Y651" s="884" t="str">
        <f t="shared" si="213"/>
        <v>04.13.01</v>
      </c>
      <c r="Z651" s="884" t="str">
        <f t="shared" si="214"/>
        <v>Jalan</v>
      </c>
      <c r="AA651" s="884">
        <f t="shared" si="215"/>
        <v>10</v>
      </c>
      <c r="AB651" s="868">
        <f t="shared" si="203"/>
        <v>18054100</v>
      </c>
      <c r="AC651" s="885">
        <f t="shared" si="204"/>
        <v>0</v>
      </c>
      <c r="AD651" s="868">
        <f t="shared" si="205"/>
        <v>0</v>
      </c>
      <c r="AE651" s="868">
        <v>0</v>
      </c>
      <c r="AF651" s="868">
        <v>0</v>
      </c>
      <c r="AG651" s="868">
        <v>0</v>
      </c>
      <c r="AH651" s="868">
        <f t="shared" si="208"/>
        <v>18054100</v>
      </c>
      <c r="AI651" s="886">
        <f t="shared" si="209"/>
        <v>18054100</v>
      </c>
      <c r="AJ651" s="886">
        <f t="shared" si="210"/>
        <v>36108200</v>
      </c>
      <c r="AK651" s="868">
        <f t="shared" si="212"/>
        <v>144432800</v>
      </c>
    </row>
    <row r="652" spans="1:37" s="887" customFormat="1" ht="35.25" customHeight="1" x14ac:dyDescent="0.2">
      <c r="A652" s="887">
        <v>152</v>
      </c>
      <c r="B652" s="857" t="str">
        <f t="shared" si="211"/>
        <v>JL. DR. SUTOMO 2</v>
      </c>
      <c r="E652" s="884" t="str">
        <f t="shared" si="216"/>
        <v/>
      </c>
      <c r="F652" s="888"/>
      <c r="G652" s="915" t="s">
        <v>2504</v>
      </c>
      <c r="H652" s="915"/>
      <c r="I652" s="907" t="s">
        <v>2494</v>
      </c>
      <c r="J652" s="903"/>
      <c r="K652" s="862"/>
      <c r="L652" s="908"/>
      <c r="M652" s="862"/>
      <c r="N652" s="909"/>
      <c r="O652" s="861" t="s">
        <v>2566</v>
      </c>
      <c r="P652" s="903">
        <v>2017</v>
      </c>
      <c r="Q652" s="862"/>
      <c r="R652" s="862"/>
      <c r="S652" s="862"/>
      <c r="T652" s="903" t="s">
        <v>12</v>
      </c>
      <c r="U652" s="910">
        <v>174287000</v>
      </c>
      <c r="V652" s="905"/>
      <c r="W652" s="906"/>
      <c r="X652" s="970"/>
      <c r="Y652" s="884" t="str">
        <f t="shared" si="213"/>
        <v>04.13.01</v>
      </c>
      <c r="Z652" s="884" t="str">
        <f t="shared" si="214"/>
        <v>Jalan</v>
      </c>
      <c r="AA652" s="884">
        <f t="shared" si="215"/>
        <v>10</v>
      </c>
      <c r="AB652" s="868">
        <f t="shared" ref="AB652:AB683" si="217">U652/AA652</f>
        <v>17428700</v>
      </c>
      <c r="AC652" s="885">
        <f t="shared" ref="AC652:AC683" si="218">IF(2013-P652+1&gt;AA652,AA652,IF(2013-P652+1&lt;0,0,2013-P652+1))</f>
        <v>0</v>
      </c>
      <c r="AD652" s="868">
        <f t="shared" ref="AD652:AD683" si="219">IF(AC652&gt;AA652,U652,AB652*AC652)</f>
        <v>0</v>
      </c>
      <c r="AE652" s="868">
        <v>0</v>
      </c>
      <c r="AF652" s="868">
        <v>0</v>
      </c>
      <c r="AG652" s="868">
        <v>0</v>
      </c>
      <c r="AH652" s="868">
        <f t="shared" ref="AH652:AH670" si="220">IF(U652=AE652+AF652+AG652+AD652,0,AB652)</f>
        <v>17428700</v>
      </c>
      <c r="AI652" s="886">
        <f t="shared" ref="AI652:AI683" si="221">IF(U652=AE652+AF652+AG652+AD652+AH652,0,AB652)</f>
        <v>17428700</v>
      </c>
      <c r="AJ652" s="886">
        <f t="shared" ref="AJ652:AJ683" si="222">SUM(AD652:AI652)</f>
        <v>34857400</v>
      </c>
      <c r="AK652" s="868">
        <f t="shared" si="212"/>
        <v>139429600</v>
      </c>
    </row>
    <row r="653" spans="1:37" s="887" customFormat="1" ht="35.25" customHeight="1" x14ac:dyDescent="0.2">
      <c r="A653" s="887">
        <v>244</v>
      </c>
      <c r="B653" s="857" t="str">
        <f t="shared" si="211"/>
        <v>KOTO BARU - SUKA MAJU</v>
      </c>
      <c r="E653" s="884" t="str">
        <f t="shared" si="216"/>
        <v/>
      </c>
      <c r="F653" s="888"/>
      <c r="G653" s="915" t="s">
        <v>3053</v>
      </c>
      <c r="H653" s="915"/>
      <c r="I653" s="907" t="s">
        <v>2494</v>
      </c>
      <c r="J653" s="903"/>
      <c r="K653" s="862"/>
      <c r="L653" s="908"/>
      <c r="M653" s="862"/>
      <c r="N653" s="909"/>
      <c r="O653" s="861" t="s">
        <v>3275</v>
      </c>
      <c r="P653" s="903">
        <v>2017</v>
      </c>
      <c r="Q653" s="862"/>
      <c r="R653" s="862"/>
      <c r="S653" s="862"/>
      <c r="T653" s="903" t="s">
        <v>12</v>
      </c>
      <c r="U653" s="910">
        <v>190547391</v>
      </c>
      <c r="V653" s="905"/>
      <c r="W653" s="906"/>
      <c r="X653" s="970"/>
      <c r="Y653" s="884" t="str">
        <f t="shared" si="213"/>
        <v>04.13.01</v>
      </c>
      <c r="Z653" s="884" t="str">
        <f t="shared" si="214"/>
        <v>Jalan</v>
      </c>
      <c r="AA653" s="884">
        <f t="shared" si="215"/>
        <v>10</v>
      </c>
      <c r="AB653" s="868">
        <f t="shared" si="217"/>
        <v>19054739.100000001</v>
      </c>
      <c r="AC653" s="885">
        <f t="shared" si="218"/>
        <v>0</v>
      </c>
      <c r="AD653" s="868">
        <f t="shared" si="219"/>
        <v>0</v>
      </c>
      <c r="AE653" s="868">
        <v>0</v>
      </c>
      <c r="AF653" s="868">
        <v>0</v>
      </c>
      <c r="AG653" s="868">
        <v>0</v>
      </c>
      <c r="AH653" s="868">
        <f t="shared" si="220"/>
        <v>19054739.100000001</v>
      </c>
      <c r="AI653" s="886">
        <f t="shared" si="221"/>
        <v>19054739.100000001</v>
      </c>
      <c r="AJ653" s="886">
        <f t="shared" si="222"/>
        <v>38109478.200000003</v>
      </c>
      <c r="AK653" s="868">
        <f t="shared" si="212"/>
        <v>152437912.80000001</v>
      </c>
    </row>
    <row r="654" spans="1:37" s="887" customFormat="1" ht="35.25" customHeight="1" x14ac:dyDescent="0.2">
      <c r="A654" s="857" t="s">
        <v>4890</v>
      </c>
      <c r="B654" s="857" t="e">
        <f t="shared" si="211"/>
        <v>#N/A</v>
      </c>
      <c r="E654" s="884" t="str">
        <f t="shared" si="216"/>
        <v/>
      </c>
      <c r="F654" s="888"/>
      <c r="G654" s="919" t="s">
        <v>3055</v>
      </c>
      <c r="H654" s="920"/>
      <c r="I654" s="921" t="s">
        <v>2494</v>
      </c>
      <c r="J654" s="922"/>
      <c r="K654" s="921"/>
      <c r="L654" s="923"/>
      <c r="M654" s="922"/>
      <c r="N654" s="923"/>
      <c r="O654" s="918" t="s">
        <v>3276</v>
      </c>
      <c r="P654" s="921">
        <v>2017</v>
      </c>
      <c r="Q654" s="922"/>
      <c r="R654" s="922"/>
      <c r="S654" s="922"/>
      <c r="T654" s="903" t="s">
        <v>12</v>
      </c>
      <c r="U654" s="924">
        <v>1826207613.623291</v>
      </c>
      <c r="V654" s="905"/>
      <c r="W654" s="906"/>
      <c r="X654" s="970"/>
      <c r="Y654" s="884" t="str">
        <f t="shared" si="213"/>
        <v>04.13.01</v>
      </c>
      <c r="Z654" s="884" t="str">
        <f t="shared" si="214"/>
        <v>Jalan</v>
      </c>
      <c r="AA654" s="884">
        <f t="shared" si="215"/>
        <v>10</v>
      </c>
      <c r="AB654" s="868">
        <f t="shared" si="217"/>
        <v>182620761.3623291</v>
      </c>
      <c r="AC654" s="885">
        <f t="shared" si="218"/>
        <v>0</v>
      </c>
      <c r="AD654" s="868">
        <f t="shared" si="219"/>
        <v>0</v>
      </c>
      <c r="AE654" s="868">
        <v>0</v>
      </c>
      <c r="AF654" s="868">
        <v>0</v>
      </c>
      <c r="AG654" s="868">
        <v>0</v>
      </c>
      <c r="AH654" s="868">
        <f t="shared" si="220"/>
        <v>182620761.3623291</v>
      </c>
      <c r="AI654" s="886">
        <f t="shared" si="221"/>
        <v>182620761.3623291</v>
      </c>
      <c r="AJ654" s="886">
        <f t="shared" si="222"/>
        <v>365241522.72465819</v>
      </c>
      <c r="AK654" s="868">
        <f t="shared" si="212"/>
        <v>1460966090.8986328</v>
      </c>
    </row>
    <row r="655" spans="1:37" s="887" customFormat="1" ht="35.25" customHeight="1" x14ac:dyDescent="0.2">
      <c r="A655" s="857" t="s">
        <v>4890</v>
      </c>
      <c r="B655" s="857" t="e">
        <f t="shared" si="211"/>
        <v>#N/A</v>
      </c>
      <c r="E655" s="884" t="str">
        <f t="shared" si="216"/>
        <v/>
      </c>
      <c r="F655" s="888"/>
      <c r="G655" s="1147" t="s">
        <v>3056</v>
      </c>
      <c r="H655" s="879"/>
      <c r="I655" s="921" t="s">
        <v>2494</v>
      </c>
      <c r="J655" s="922"/>
      <c r="K655" s="921"/>
      <c r="L655" s="923"/>
      <c r="M655" s="922"/>
      <c r="N655" s="923"/>
      <c r="O655" s="863" t="s">
        <v>3277</v>
      </c>
      <c r="P655" s="921">
        <v>2017</v>
      </c>
      <c r="Q655" s="922"/>
      <c r="R655" s="922"/>
      <c r="S655" s="922"/>
      <c r="T655" s="903" t="s">
        <v>12</v>
      </c>
      <c r="U655" s="924">
        <v>190204148</v>
      </c>
      <c r="V655" s="905"/>
      <c r="W655" s="906"/>
      <c r="X655" s="970"/>
      <c r="Y655" s="884" t="str">
        <f t="shared" si="213"/>
        <v>04.13.01</v>
      </c>
      <c r="Z655" s="884" t="str">
        <f t="shared" si="214"/>
        <v>Jalan</v>
      </c>
      <c r="AA655" s="884">
        <f t="shared" si="215"/>
        <v>10</v>
      </c>
      <c r="AB655" s="868">
        <f t="shared" si="217"/>
        <v>19020414.800000001</v>
      </c>
      <c r="AC655" s="885">
        <f t="shared" si="218"/>
        <v>0</v>
      </c>
      <c r="AD655" s="868">
        <f t="shared" si="219"/>
        <v>0</v>
      </c>
      <c r="AE655" s="868">
        <v>0</v>
      </c>
      <c r="AF655" s="868">
        <v>0</v>
      </c>
      <c r="AG655" s="868">
        <v>0</v>
      </c>
      <c r="AH655" s="868">
        <f t="shared" si="220"/>
        <v>19020414.800000001</v>
      </c>
      <c r="AI655" s="886">
        <f t="shared" si="221"/>
        <v>19020414.800000001</v>
      </c>
      <c r="AJ655" s="886">
        <f t="shared" si="222"/>
        <v>38040829.600000001</v>
      </c>
      <c r="AK655" s="868">
        <f t="shared" si="212"/>
        <v>152163318.40000001</v>
      </c>
    </row>
    <row r="656" spans="1:37" s="887" customFormat="1" ht="35.25" customHeight="1" x14ac:dyDescent="0.2">
      <c r="A656" s="857" t="s">
        <v>4890</v>
      </c>
      <c r="B656" s="857" t="e">
        <f t="shared" si="211"/>
        <v>#N/A</v>
      </c>
      <c r="E656" s="884" t="str">
        <f t="shared" si="216"/>
        <v/>
      </c>
      <c r="F656" s="888"/>
      <c r="G656" s="1147" t="s">
        <v>3057</v>
      </c>
      <c r="H656" s="879"/>
      <c r="I656" s="921" t="s">
        <v>2494</v>
      </c>
      <c r="J656" s="922"/>
      <c r="K656" s="921"/>
      <c r="L656" s="923"/>
      <c r="M656" s="922"/>
      <c r="N656" s="923"/>
      <c r="O656" s="918" t="s">
        <v>3278</v>
      </c>
      <c r="P656" s="921">
        <v>2017</v>
      </c>
      <c r="Q656" s="922"/>
      <c r="R656" s="922"/>
      <c r="S656" s="922"/>
      <c r="T656" s="903" t="s">
        <v>12</v>
      </c>
      <c r="U656" s="924">
        <v>190111000</v>
      </c>
      <c r="V656" s="905"/>
      <c r="W656" s="906"/>
      <c r="X656" s="970"/>
      <c r="Y656" s="884" t="str">
        <f t="shared" si="213"/>
        <v>04.13.01</v>
      </c>
      <c r="Z656" s="884" t="str">
        <f t="shared" si="214"/>
        <v>Jalan</v>
      </c>
      <c r="AA656" s="884">
        <f t="shared" si="215"/>
        <v>10</v>
      </c>
      <c r="AB656" s="868">
        <f t="shared" si="217"/>
        <v>19011100</v>
      </c>
      <c r="AC656" s="885">
        <f t="shared" si="218"/>
        <v>0</v>
      </c>
      <c r="AD656" s="868">
        <f t="shared" si="219"/>
        <v>0</v>
      </c>
      <c r="AE656" s="868">
        <v>0</v>
      </c>
      <c r="AF656" s="868">
        <v>0</v>
      </c>
      <c r="AG656" s="868">
        <v>0</v>
      </c>
      <c r="AH656" s="868">
        <f t="shared" si="220"/>
        <v>19011100</v>
      </c>
      <c r="AI656" s="886">
        <f t="shared" si="221"/>
        <v>19011100</v>
      </c>
      <c r="AJ656" s="886">
        <f t="shared" si="222"/>
        <v>38022200</v>
      </c>
      <c r="AK656" s="868">
        <f t="shared" si="212"/>
        <v>152088800</v>
      </c>
    </row>
    <row r="657" spans="1:37" s="887" customFormat="1" ht="35.25" customHeight="1" x14ac:dyDescent="0.2">
      <c r="A657" s="857" t="s">
        <v>4890</v>
      </c>
      <c r="B657" s="857" t="e">
        <f t="shared" si="211"/>
        <v>#N/A</v>
      </c>
      <c r="E657" s="884" t="str">
        <f t="shared" si="216"/>
        <v/>
      </c>
      <c r="F657" s="888"/>
      <c r="G657" s="1147" t="s">
        <v>3059</v>
      </c>
      <c r="H657" s="879"/>
      <c r="I657" s="921" t="s">
        <v>2494</v>
      </c>
      <c r="J657" s="922"/>
      <c r="K657" s="921"/>
      <c r="L657" s="923"/>
      <c r="M657" s="922"/>
      <c r="N657" s="923"/>
      <c r="O657" s="863" t="s">
        <v>3279</v>
      </c>
      <c r="P657" s="921">
        <v>2017</v>
      </c>
      <c r="Q657" s="922"/>
      <c r="R657" s="922"/>
      <c r="S657" s="922"/>
      <c r="T657" s="903" t="s">
        <v>12</v>
      </c>
      <c r="U657" s="924">
        <v>191284600</v>
      </c>
      <c r="V657" s="905"/>
      <c r="W657" s="906"/>
      <c r="X657" s="970"/>
      <c r="Y657" s="884" t="str">
        <f t="shared" si="213"/>
        <v>04.13.01</v>
      </c>
      <c r="Z657" s="884" t="str">
        <f t="shared" si="214"/>
        <v>Jalan</v>
      </c>
      <c r="AA657" s="884">
        <f t="shared" si="215"/>
        <v>10</v>
      </c>
      <c r="AB657" s="868">
        <f t="shared" si="217"/>
        <v>19128460</v>
      </c>
      <c r="AC657" s="885">
        <f t="shared" si="218"/>
        <v>0</v>
      </c>
      <c r="AD657" s="868">
        <f t="shared" si="219"/>
        <v>0</v>
      </c>
      <c r="AE657" s="868">
        <v>0</v>
      </c>
      <c r="AF657" s="868">
        <v>0</v>
      </c>
      <c r="AG657" s="868">
        <v>0</v>
      </c>
      <c r="AH657" s="868">
        <f t="shared" si="220"/>
        <v>19128460</v>
      </c>
      <c r="AI657" s="886">
        <f t="shared" si="221"/>
        <v>19128460</v>
      </c>
      <c r="AJ657" s="886">
        <f t="shared" si="222"/>
        <v>38256920</v>
      </c>
      <c r="AK657" s="868">
        <f t="shared" si="212"/>
        <v>153027680</v>
      </c>
    </row>
    <row r="658" spans="1:37" s="887" customFormat="1" ht="35.25" customHeight="1" x14ac:dyDescent="0.2">
      <c r="A658" s="857" t="s">
        <v>4890</v>
      </c>
      <c r="B658" s="857" t="e">
        <f t="shared" si="211"/>
        <v>#N/A</v>
      </c>
      <c r="E658" s="884" t="str">
        <f t="shared" si="216"/>
        <v/>
      </c>
      <c r="F658" s="888"/>
      <c r="G658" s="1147" t="s">
        <v>2507</v>
      </c>
      <c r="H658" s="879"/>
      <c r="I658" s="921" t="s">
        <v>2494</v>
      </c>
      <c r="J658" s="922"/>
      <c r="K658" s="921"/>
      <c r="L658" s="923"/>
      <c r="M658" s="922"/>
      <c r="N658" s="923"/>
      <c r="O658" s="918" t="s">
        <v>2569</v>
      </c>
      <c r="P658" s="921">
        <v>2017</v>
      </c>
      <c r="Q658" s="922"/>
      <c r="R658" s="922"/>
      <c r="S658" s="922"/>
      <c r="T658" s="903" t="s">
        <v>12</v>
      </c>
      <c r="U658" s="924">
        <v>190132000</v>
      </c>
      <c r="V658" s="905"/>
      <c r="W658" s="906"/>
      <c r="X658" s="970"/>
      <c r="Y658" s="884" t="str">
        <f t="shared" si="213"/>
        <v>04.13.01</v>
      </c>
      <c r="Z658" s="884" t="str">
        <f t="shared" si="214"/>
        <v>Jalan</v>
      </c>
      <c r="AA658" s="884">
        <f t="shared" si="215"/>
        <v>10</v>
      </c>
      <c r="AB658" s="868">
        <f t="shared" si="217"/>
        <v>19013200</v>
      </c>
      <c r="AC658" s="885">
        <f t="shared" si="218"/>
        <v>0</v>
      </c>
      <c r="AD658" s="868">
        <f t="shared" si="219"/>
        <v>0</v>
      </c>
      <c r="AE658" s="868">
        <v>0</v>
      </c>
      <c r="AF658" s="868">
        <v>0</v>
      </c>
      <c r="AG658" s="868">
        <v>0</v>
      </c>
      <c r="AH658" s="868">
        <f t="shared" si="220"/>
        <v>19013200</v>
      </c>
      <c r="AI658" s="886">
        <f t="shared" si="221"/>
        <v>19013200</v>
      </c>
      <c r="AJ658" s="886">
        <f t="shared" si="222"/>
        <v>38026400</v>
      </c>
      <c r="AK658" s="868">
        <f t="shared" si="212"/>
        <v>152105600</v>
      </c>
    </row>
    <row r="659" spans="1:37" s="887" customFormat="1" ht="35.25" customHeight="1" x14ac:dyDescent="0.2">
      <c r="A659" s="857" t="s">
        <v>4890</v>
      </c>
      <c r="B659" s="857" t="e">
        <f t="shared" si="211"/>
        <v>#N/A</v>
      </c>
      <c r="E659" s="884" t="str">
        <f t="shared" si="216"/>
        <v/>
      </c>
      <c r="F659" s="888"/>
      <c r="G659" s="1147" t="s">
        <v>3061</v>
      </c>
      <c r="H659" s="879"/>
      <c r="I659" s="921" t="s">
        <v>2494</v>
      </c>
      <c r="J659" s="922"/>
      <c r="K659" s="921"/>
      <c r="L659" s="923"/>
      <c r="M659" s="922"/>
      <c r="N659" s="923"/>
      <c r="O659" s="918" t="s">
        <v>2571</v>
      </c>
      <c r="P659" s="921">
        <v>2017</v>
      </c>
      <c r="Q659" s="922"/>
      <c r="R659" s="922"/>
      <c r="S659" s="922"/>
      <c r="T659" s="903" t="s">
        <v>12</v>
      </c>
      <c r="U659" s="924">
        <v>629019200</v>
      </c>
      <c r="V659" s="905"/>
      <c r="W659" s="906"/>
      <c r="X659" s="970"/>
      <c r="Y659" s="884" t="str">
        <f t="shared" si="213"/>
        <v>04.13.01</v>
      </c>
      <c r="Z659" s="884" t="str">
        <f t="shared" si="214"/>
        <v>Jalan</v>
      </c>
      <c r="AA659" s="884">
        <f t="shared" si="215"/>
        <v>10</v>
      </c>
      <c r="AB659" s="868">
        <f t="shared" si="217"/>
        <v>62901920</v>
      </c>
      <c r="AC659" s="885">
        <f t="shared" si="218"/>
        <v>0</v>
      </c>
      <c r="AD659" s="868">
        <f t="shared" si="219"/>
        <v>0</v>
      </c>
      <c r="AE659" s="868">
        <v>0</v>
      </c>
      <c r="AF659" s="868">
        <v>0</v>
      </c>
      <c r="AG659" s="868">
        <v>0</v>
      </c>
      <c r="AH659" s="868">
        <f t="shared" si="220"/>
        <v>62901920</v>
      </c>
      <c r="AI659" s="886">
        <f t="shared" si="221"/>
        <v>62901920</v>
      </c>
      <c r="AJ659" s="886">
        <f t="shared" si="222"/>
        <v>125803840</v>
      </c>
      <c r="AK659" s="868">
        <f t="shared" si="212"/>
        <v>503215360</v>
      </c>
    </row>
    <row r="660" spans="1:37" s="887" customFormat="1" ht="35.25" customHeight="1" x14ac:dyDescent="0.2">
      <c r="A660" s="887">
        <v>285</v>
      </c>
      <c r="B660" s="857" t="str">
        <f t="shared" si="211"/>
        <v>SEI. PERUPUK - TELUK PAUH</v>
      </c>
      <c r="E660" s="884" t="str">
        <f t="shared" si="216"/>
        <v/>
      </c>
      <c r="F660" s="888"/>
      <c r="G660" s="1147" t="s">
        <v>3063</v>
      </c>
      <c r="H660" s="879"/>
      <c r="I660" s="921" t="s">
        <v>2494</v>
      </c>
      <c r="J660" s="922"/>
      <c r="K660" s="921"/>
      <c r="L660" s="923"/>
      <c r="M660" s="922"/>
      <c r="N660" s="923"/>
      <c r="O660" s="918" t="s">
        <v>3281</v>
      </c>
      <c r="P660" s="921">
        <v>2017</v>
      </c>
      <c r="Q660" s="922"/>
      <c r="R660" s="922"/>
      <c r="S660" s="922"/>
      <c r="T660" s="903" t="s">
        <v>12</v>
      </c>
      <c r="U660" s="924">
        <v>190356302</v>
      </c>
      <c r="V660" s="905"/>
      <c r="W660" s="906"/>
      <c r="X660" s="970"/>
      <c r="Y660" s="884" t="str">
        <f t="shared" si="213"/>
        <v>04.13.01</v>
      </c>
      <c r="Z660" s="884" t="str">
        <f t="shared" si="214"/>
        <v>Jalan</v>
      </c>
      <c r="AA660" s="884">
        <f t="shared" si="215"/>
        <v>10</v>
      </c>
      <c r="AB660" s="868">
        <f t="shared" si="217"/>
        <v>19035630.199999999</v>
      </c>
      <c r="AC660" s="885">
        <f t="shared" si="218"/>
        <v>0</v>
      </c>
      <c r="AD660" s="868">
        <f t="shared" si="219"/>
        <v>0</v>
      </c>
      <c r="AE660" s="868">
        <v>0</v>
      </c>
      <c r="AF660" s="868">
        <v>0</v>
      </c>
      <c r="AG660" s="868">
        <v>0</v>
      </c>
      <c r="AH660" s="868">
        <f t="shared" si="220"/>
        <v>19035630.199999999</v>
      </c>
      <c r="AI660" s="886">
        <f t="shared" si="221"/>
        <v>19035630.199999999</v>
      </c>
      <c r="AJ660" s="886">
        <f t="shared" si="222"/>
        <v>38071260.399999999</v>
      </c>
      <c r="AK660" s="868">
        <f t="shared" si="212"/>
        <v>152285041.59999999</v>
      </c>
    </row>
    <row r="661" spans="1:37" s="887" customFormat="1" ht="35.25" customHeight="1" x14ac:dyDescent="0.2">
      <c r="A661" s="857" t="s">
        <v>4890</v>
      </c>
      <c r="B661" s="857" t="e">
        <f t="shared" si="211"/>
        <v>#N/A</v>
      </c>
      <c r="E661" s="884" t="str">
        <f t="shared" si="216"/>
        <v/>
      </c>
      <c r="F661" s="888"/>
      <c r="G661" s="1147" t="s">
        <v>3064</v>
      </c>
      <c r="H661" s="879"/>
      <c r="I661" s="921" t="s">
        <v>2494</v>
      </c>
      <c r="J661" s="922"/>
      <c r="K661" s="921"/>
      <c r="L661" s="923"/>
      <c r="M661" s="922"/>
      <c r="N661" s="923"/>
      <c r="O661" s="918" t="s">
        <v>3282</v>
      </c>
      <c r="P661" s="921">
        <v>2017</v>
      </c>
      <c r="Q661" s="922"/>
      <c r="R661" s="922"/>
      <c r="S661" s="922"/>
      <c r="T661" s="903" t="s">
        <v>12</v>
      </c>
      <c r="U661" s="924">
        <v>147108400.29000002</v>
      </c>
      <c r="V661" s="905"/>
      <c r="W661" s="906"/>
      <c r="X661" s="970"/>
      <c r="Y661" s="884" t="str">
        <f t="shared" si="213"/>
        <v>04.13.01</v>
      </c>
      <c r="Z661" s="884" t="str">
        <f t="shared" si="214"/>
        <v>Jalan</v>
      </c>
      <c r="AA661" s="884">
        <f t="shared" si="215"/>
        <v>10</v>
      </c>
      <c r="AB661" s="868">
        <f t="shared" si="217"/>
        <v>14710840.029000003</v>
      </c>
      <c r="AC661" s="885">
        <f t="shared" si="218"/>
        <v>0</v>
      </c>
      <c r="AD661" s="868">
        <f t="shared" si="219"/>
        <v>0</v>
      </c>
      <c r="AE661" s="868">
        <v>0</v>
      </c>
      <c r="AF661" s="868">
        <v>0</v>
      </c>
      <c r="AG661" s="868">
        <v>0</v>
      </c>
      <c r="AH661" s="868">
        <f t="shared" si="220"/>
        <v>14710840.029000003</v>
      </c>
      <c r="AI661" s="886">
        <f t="shared" si="221"/>
        <v>14710840.029000003</v>
      </c>
      <c r="AJ661" s="886">
        <f t="shared" si="222"/>
        <v>29421680.058000006</v>
      </c>
      <c r="AK661" s="868">
        <f t="shared" si="212"/>
        <v>117686720.23200002</v>
      </c>
    </row>
    <row r="662" spans="1:37" s="887" customFormat="1" ht="35.25" customHeight="1" x14ac:dyDescent="0.2">
      <c r="A662" s="857" t="s">
        <v>4890</v>
      </c>
      <c r="B662" s="857" t="e">
        <f t="shared" si="211"/>
        <v>#N/A</v>
      </c>
      <c r="E662" s="884" t="str">
        <f t="shared" si="216"/>
        <v/>
      </c>
      <c r="F662" s="888"/>
      <c r="G662" s="1147" t="s">
        <v>3065</v>
      </c>
      <c r="H662" s="879"/>
      <c r="I662" s="921" t="s">
        <v>2494</v>
      </c>
      <c r="J662" s="922"/>
      <c r="K662" s="921"/>
      <c r="L662" s="923"/>
      <c r="M662" s="922"/>
      <c r="N662" s="923"/>
      <c r="O662" s="918" t="s">
        <v>3283</v>
      </c>
      <c r="P662" s="921">
        <v>2017</v>
      </c>
      <c r="Q662" s="922"/>
      <c r="R662" s="922"/>
      <c r="S662" s="922"/>
      <c r="T662" s="903" t="s">
        <v>12</v>
      </c>
      <c r="U662" s="924">
        <v>196256600</v>
      </c>
      <c r="V662" s="905"/>
      <c r="W662" s="906"/>
      <c r="X662" s="970"/>
      <c r="Y662" s="884" t="str">
        <f t="shared" si="213"/>
        <v>04.13.01</v>
      </c>
      <c r="Z662" s="884" t="str">
        <f t="shared" si="214"/>
        <v>Jalan</v>
      </c>
      <c r="AA662" s="884">
        <f t="shared" si="215"/>
        <v>10</v>
      </c>
      <c r="AB662" s="868">
        <f t="shared" si="217"/>
        <v>19625660</v>
      </c>
      <c r="AC662" s="885">
        <f t="shared" si="218"/>
        <v>0</v>
      </c>
      <c r="AD662" s="868">
        <f t="shared" si="219"/>
        <v>0</v>
      </c>
      <c r="AE662" s="868">
        <v>0</v>
      </c>
      <c r="AF662" s="868">
        <v>0</v>
      </c>
      <c r="AG662" s="868">
        <v>0</v>
      </c>
      <c r="AH662" s="868">
        <f t="shared" si="220"/>
        <v>19625660</v>
      </c>
      <c r="AI662" s="886">
        <f t="shared" si="221"/>
        <v>19625660</v>
      </c>
      <c r="AJ662" s="886">
        <f t="shared" si="222"/>
        <v>39251320</v>
      </c>
      <c r="AK662" s="868">
        <f t="shared" si="212"/>
        <v>157005280</v>
      </c>
    </row>
    <row r="663" spans="1:37" s="887" customFormat="1" ht="35.25" customHeight="1" x14ac:dyDescent="0.2">
      <c r="A663" s="857" t="s">
        <v>4890</v>
      </c>
      <c r="B663" s="857" t="e">
        <f t="shared" si="211"/>
        <v>#N/A</v>
      </c>
      <c r="E663" s="884" t="str">
        <f t="shared" si="216"/>
        <v/>
      </c>
      <c r="F663" s="888"/>
      <c r="G663" s="1147" t="s">
        <v>3066</v>
      </c>
      <c r="H663" s="879"/>
      <c r="I663" s="921" t="s">
        <v>2494</v>
      </c>
      <c r="J663" s="922"/>
      <c r="K663" s="921"/>
      <c r="L663" s="923"/>
      <c r="M663" s="922"/>
      <c r="N663" s="923"/>
      <c r="O663" s="918" t="s">
        <v>2572</v>
      </c>
      <c r="P663" s="921">
        <v>2017</v>
      </c>
      <c r="Q663" s="922"/>
      <c r="R663" s="922"/>
      <c r="S663" s="922"/>
      <c r="T663" s="903" t="s">
        <v>12</v>
      </c>
      <c r="U663" s="924">
        <v>196507244</v>
      </c>
      <c r="V663" s="905"/>
      <c r="W663" s="906"/>
      <c r="X663" s="970"/>
      <c r="Y663" s="884" t="str">
        <f t="shared" si="213"/>
        <v>04.13.01</v>
      </c>
      <c r="Z663" s="884" t="str">
        <f t="shared" si="214"/>
        <v>Jalan</v>
      </c>
      <c r="AA663" s="884">
        <f t="shared" si="215"/>
        <v>10</v>
      </c>
      <c r="AB663" s="868">
        <f t="shared" si="217"/>
        <v>19650724.399999999</v>
      </c>
      <c r="AC663" s="885">
        <f t="shared" si="218"/>
        <v>0</v>
      </c>
      <c r="AD663" s="868">
        <f t="shared" si="219"/>
        <v>0</v>
      </c>
      <c r="AE663" s="868">
        <v>0</v>
      </c>
      <c r="AF663" s="868">
        <v>0</v>
      </c>
      <c r="AG663" s="868">
        <v>0</v>
      </c>
      <c r="AH663" s="868">
        <f t="shared" si="220"/>
        <v>19650724.399999999</v>
      </c>
      <c r="AI663" s="886">
        <f t="shared" si="221"/>
        <v>19650724.399999999</v>
      </c>
      <c r="AJ663" s="886">
        <f t="shared" si="222"/>
        <v>39301448.799999997</v>
      </c>
      <c r="AK663" s="868">
        <f t="shared" si="212"/>
        <v>157205795.19999999</v>
      </c>
    </row>
    <row r="664" spans="1:37" s="887" customFormat="1" ht="35.25" customHeight="1" x14ac:dyDescent="0.2">
      <c r="A664" s="857" t="s">
        <v>4890</v>
      </c>
      <c r="B664" s="857" t="e">
        <f t="shared" si="211"/>
        <v>#N/A</v>
      </c>
      <c r="E664" s="884" t="str">
        <f t="shared" si="216"/>
        <v/>
      </c>
      <c r="F664" s="888"/>
      <c r="G664" s="1147" t="s">
        <v>3067</v>
      </c>
      <c r="H664" s="879"/>
      <c r="I664" s="921" t="s">
        <v>2494</v>
      </c>
      <c r="J664" s="922"/>
      <c r="K664" s="921"/>
      <c r="L664" s="923"/>
      <c r="M664" s="922"/>
      <c r="N664" s="923"/>
      <c r="O664" s="918" t="s">
        <v>3284</v>
      </c>
      <c r="P664" s="921">
        <v>2017</v>
      </c>
      <c r="Q664" s="922"/>
      <c r="R664" s="922"/>
      <c r="S664" s="922"/>
      <c r="T664" s="903" t="s">
        <v>12</v>
      </c>
      <c r="U664" s="924">
        <v>196517180</v>
      </c>
      <c r="V664" s="905"/>
      <c r="W664" s="906"/>
      <c r="X664" s="970"/>
      <c r="Y664" s="884" t="str">
        <f t="shared" si="213"/>
        <v>04.13.01</v>
      </c>
      <c r="Z664" s="884" t="str">
        <f t="shared" si="214"/>
        <v>Jalan</v>
      </c>
      <c r="AA664" s="884">
        <f t="shared" si="215"/>
        <v>10</v>
      </c>
      <c r="AB664" s="868">
        <f t="shared" si="217"/>
        <v>19651718</v>
      </c>
      <c r="AC664" s="885">
        <f t="shared" si="218"/>
        <v>0</v>
      </c>
      <c r="AD664" s="868">
        <f t="shared" si="219"/>
        <v>0</v>
      </c>
      <c r="AE664" s="868">
        <v>0</v>
      </c>
      <c r="AF664" s="868">
        <v>0</v>
      </c>
      <c r="AG664" s="868">
        <v>0</v>
      </c>
      <c r="AH664" s="868">
        <f t="shared" si="220"/>
        <v>19651718</v>
      </c>
      <c r="AI664" s="886">
        <f t="shared" si="221"/>
        <v>19651718</v>
      </c>
      <c r="AJ664" s="886">
        <f t="shared" si="222"/>
        <v>39303436</v>
      </c>
      <c r="AK664" s="868">
        <f t="shared" si="212"/>
        <v>157213744</v>
      </c>
    </row>
    <row r="665" spans="1:37" s="887" customFormat="1" ht="35.25" customHeight="1" x14ac:dyDescent="0.2">
      <c r="A665" s="887">
        <v>269</v>
      </c>
      <c r="B665" s="857" t="str">
        <f t="shared" si="211"/>
        <v>JL. DESA GUNUNG KESIANGAN - JL. UJUNG TANJUNG</v>
      </c>
      <c r="E665" s="884" t="str">
        <f t="shared" si="216"/>
        <v/>
      </c>
      <c r="F665" s="888"/>
      <c r="G665" s="1147" t="s">
        <v>3068</v>
      </c>
      <c r="H665" s="879"/>
      <c r="I665" s="921" t="s">
        <v>2494</v>
      </c>
      <c r="J665" s="922"/>
      <c r="K665" s="921"/>
      <c r="L665" s="923"/>
      <c r="M665" s="922"/>
      <c r="N665" s="923"/>
      <c r="O665" s="918" t="s">
        <v>3285</v>
      </c>
      <c r="P665" s="921">
        <v>2017</v>
      </c>
      <c r="Q665" s="922"/>
      <c r="R665" s="922"/>
      <c r="S665" s="922"/>
      <c r="T665" s="903" t="s">
        <v>12</v>
      </c>
      <c r="U665" s="924">
        <v>196729600</v>
      </c>
      <c r="V665" s="905"/>
      <c r="W665" s="906"/>
      <c r="X665" s="970"/>
      <c r="Y665" s="884" t="str">
        <f t="shared" si="213"/>
        <v>04.13.01</v>
      </c>
      <c r="Z665" s="884" t="str">
        <f t="shared" si="214"/>
        <v>Jalan</v>
      </c>
      <c r="AA665" s="884">
        <f t="shared" si="215"/>
        <v>10</v>
      </c>
      <c r="AB665" s="868">
        <f t="shared" si="217"/>
        <v>19672960</v>
      </c>
      <c r="AC665" s="885">
        <f t="shared" si="218"/>
        <v>0</v>
      </c>
      <c r="AD665" s="868">
        <f t="shared" si="219"/>
        <v>0</v>
      </c>
      <c r="AE665" s="868">
        <v>0</v>
      </c>
      <c r="AF665" s="868">
        <v>0</v>
      </c>
      <c r="AG665" s="868">
        <v>0</v>
      </c>
      <c r="AH665" s="868">
        <f t="shared" si="220"/>
        <v>19672960</v>
      </c>
      <c r="AI665" s="886">
        <f t="shared" si="221"/>
        <v>19672960</v>
      </c>
      <c r="AJ665" s="886">
        <f t="shared" si="222"/>
        <v>39345920</v>
      </c>
      <c r="AK665" s="868">
        <f t="shared" si="212"/>
        <v>157383680</v>
      </c>
    </row>
    <row r="666" spans="1:37" s="887" customFormat="1" ht="35.25" customHeight="1" x14ac:dyDescent="0.2">
      <c r="A666" s="857" t="s">
        <v>4890</v>
      </c>
      <c r="B666" s="857" t="e">
        <f t="shared" si="211"/>
        <v>#N/A</v>
      </c>
      <c r="E666" s="884" t="str">
        <f t="shared" si="216"/>
        <v/>
      </c>
      <c r="F666" s="888"/>
      <c r="G666" s="1147" t="s">
        <v>3069</v>
      </c>
      <c r="H666" s="879"/>
      <c r="I666" s="921" t="s">
        <v>2494</v>
      </c>
      <c r="J666" s="922"/>
      <c r="K666" s="921"/>
      <c r="L666" s="923"/>
      <c r="M666" s="922"/>
      <c r="N666" s="923"/>
      <c r="O666" s="918" t="s">
        <v>2573</v>
      </c>
      <c r="P666" s="921">
        <v>2017</v>
      </c>
      <c r="Q666" s="922"/>
      <c r="R666" s="922"/>
      <c r="S666" s="922"/>
      <c r="T666" s="903" t="s">
        <v>12</v>
      </c>
      <c r="U666" s="924">
        <v>181275065</v>
      </c>
      <c r="V666" s="905"/>
      <c r="W666" s="906"/>
      <c r="X666" s="970"/>
      <c r="Y666" s="884" t="str">
        <f t="shared" si="213"/>
        <v>04.13.01</v>
      </c>
      <c r="Z666" s="884" t="str">
        <f t="shared" si="214"/>
        <v>Jalan</v>
      </c>
      <c r="AA666" s="884">
        <f t="shared" si="215"/>
        <v>10</v>
      </c>
      <c r="AB666" s="868">
        <f t="shared" si="217"/>
        <v>18127506.5</v>
      </c>
      <c r="AC666" s="885">
        <f t="shared" si="218"/>
        <v>0</v>
      </c>
      <c r="AD666" s="868">
        <f t="shared" si="219"/>
        <v>0</v>
      </c>
      <c r="AE666" s="868">
        <v>0</v>
      </c>
      <c r="AF666" s="868">
        <v>0</v>
      </c>
      <c r="AG666" s="868">
        <v>0</v>
      </c>
      <c r="AH666" s="868">
        <f t="shared" si="220"/>
        <v>18127506.5</v>
      </c>
      <c r="AI666" s="886">
        <f t="shared" si="221"/>
        <v>18127506.5</v>
      </c>
      <c r="AJ666" s="886">
        <f t="shared" si="222"/>
        <v>36255013</v>
      </c>
      <c r="AK666" s="868">
        <f t="shared" si="212"/>
        <v>145020052</v>
      </c>
    </row>
    <row r="667" spans="1:37" s="887" customFormat="1" ht="35.25" customHeight="1" x14ac:dyDescent="0.2">
      <c r="A667" s="887">
        <v>7</v>
      </c>
      <c r="B667" s="857" t="str">
        <f t="shared" si="211"/>
        <v>KP. BARU SENTAJO - TEBING TINGGI</v>
      </c>
      <c r="E667" s="884" t="str">
        <f t="shared" si="216"/>
        <v/>
      </c>
      <c r="F667" s="888"/>
      <c r="G667" s="1147" t="s">
        <v>3070</v>
      </c>
      <c r="H667" s="879"/>
      <c r="I667" s="921" t="s">
        <v>2494</v>
      </c>
      <c r="J667" s="922"/>
      <c r="K667" s="921"/>
      <c r="L667" s="923"/>
      <c r="M667" s="922"/>
      <c r="N667" s="923"/>
      <c r="O667" s="918" t="s">
        <v>3286</v>
      </c>
      <c r="P667" s="921">
        <v>2017</v>
      </c>
      <c r="Q667" s="922"/>
      <c r="R667" s="922"/>
      <c r="S667" s="922"/>
      <c r="T667" s="903" t="s">
        <v>12</v>
      </c>
      <c r="U667" s="924">
        <v>180048469</v>
      </c>
      <c r="V667" s="905"/>
      <c r="W667" s="906"/>
      <c r="X667" s="970"/>
      <c r="Y667" s="884" t="str">
        <f t="shared" si="213"/>
        <v>04.13.01</v>
      </c>
      <c r="Z667" s="884" t="str">
        <f t="shared" si="214"/>
        <v>Jalan</v>
      </c>
      <c r="AA667" s="884">
        <f t="shared" si="215"/>
        <v>10</v>
      </c>
      <c r="AB667" s="868">
        <f t="shared" si="217"/>
        <v>18004846.899999999</v>
      </c>
      <c r="AC667" s="885">
        <f t="shared" si="218"/>
        <v>0</v>
      </c>
      <c r="AD667" s="868">
        <f t="shared" si="219"/>
        <v>0</v>
      </c>
      <c r="AE667" s="868">
        <v>0</v>
      </c>
      <c r="AF667" s="868">
        <v>0</v>
      </c>
      <c r="AG667" s="868">
        <v>0</v>
      </c>
      <c r="AH667" s="868">
        <f t="shared" si="220"/>
        <v>18004846.899999999</v>
      </c>
      <c r="AI667" s="886">
        <f t="shared" si="221"/>
        <v>18004846.899999999</v>
      </c>
      <c r="AJ667" s="886">
        <f t="shared" si="222"/>
        <v>36009693.799999997</v>
      </c>
      <c r="AK667" s="868">
        <f t="shared" si="212"/>
        <v>144038775.19999999</v>
      </c>
    </row>
    <row r="668" spans="1:37" s="887" customFormat="1" ht="35.25" customHeight="1" x14ac:dyDescent="0.2">
      <c r="A668" s="887">
        <v>8</v>
      </c>
      <c r="B668" s="857" t="str">
        <f t="shared" si="211"/>
        <v>KP. BARU SENTAJO - BENAI</v>
      </c>
      <c r="E668" s="884" t="str">
        <f t="shared" si="216"/>
        <v/>
      </c>
      <c r="F668" s="888"/>
      <c r="G668" s="1147" t="s">
        <v>3070</v>
      </c>
      <c r="H668" s="879"/>
      <c r="I668" s="921" t="s">
        <v>2494</v>
      </c>
      <c r="J668" s="922"/>
      <c r="K668" s="921"/>
      <c r="L668" s="923"/>
      <c r="M668" s="922"/>
      <c r="N668" s="923"/>
      <c r="O668" s="918" t="s">
        <v>3286</v>
      </c>
      <c r="P668" s="921">
        <v>2017</v>
      </c>
      <c r="Q668" s="922"/>
      <c r="R668" s="922"/>
      <c r="S668" s="922"/>
      <c r="T668" s="903" t="s">
        <v>12</v>
      </c>
      <c r="U668" s="924">
        <v>180968000</v>
      </c>
      <c r="V668" s="905"/>
      <c r="W668" s="906"/>
      <c r="X668" s="970"/>
      <c r="Y668" s="884" t="str">
        <f t="shared" si="213"/>
        <v>04.13.01</v>
      </c>
      <c r="Z668" s="884" t="str">
        <f t="shared" si="214"/>
        <v>Jalan</v>
      </c>
      <c r="AA668" s="884">
        <f t="shared" si="215"/>
        <v>10</v>
      </c>
      <c r="AB668" s="868">
        <f t="shared" si="217"/>
        <v>18096800</v>
      </c>
      <c r="AC668" s="885">
        <f t="shared" si="218"/>
        <v>0</v>
      </c>
      <c r="AD668" s="868">
        <f t="shared" si="219"/>
        <v>0</v>
      </c>
      <c r="AE668" s="868">
        <v>0</v>
      </c>
      <c r="AF668" s="868">
        <v>0</v>
      </c>
      <c r="AG668" s="868">
        <v>0</v>
      </c>
      <c r="AH668" s="868">
        <f t="shared" si="220"/>
        <v>18096800</v>
      </c>
      <c r="AI668" s="886">
        <f t="shared" si="221"/>
        <v>18096800</v>
      </c>
      <c r="AJ668" s="886">
        <f t="shared" si="222"/>
        <v>36193600</v>
      </c>
      <c r="AK668" s="868">
        <f t="shared" si="212"/>
        <v>144774400</v>
      </c>
    </row>
    <row r="669" spans="1:37" s="887" customFormat="1" ht="35.25" customHeight="1" x14ac:dyDescent="0.2">
      <c r="A669" s="887">
        <v>53</v>
      </c>
      <c r="B669" s="857" t="str">
        <f t="shared" si="211"/>
        <v>JL. PL. ARO - PL. ARO</v>
      </c>
      <c r="E669" s="884" t="str">
        <f t="shared" si="216"/>
        <v/>
      </c>
      <c r="F669" s="888"/>
      <c r="G669" s="1147" t="s">
        <v>3073</v>
      </c>
      <c r="H669" s="879"/>
      <c r="I669" s="921" t="s">
        <v>2494</v>
      </c>
      <c r="J669" s="922"/>
      <c r="K669" s="921"/>
      <c r="L669" s="923"/>
      <c r="M669" s="922"/>
      <c r="N669" s="923"/>
      <c r="O669" s="918" t="s">
        <v>3288</v>
      </c>
      <c r="P669" s="921">
        <v>2017</v>
      </c>
      <c r="Q669" s="922"/>
      <c r="R669" s="922"/>
      <c r="S669" s="922"/>
      <c r="T669" s="903" t="s">
        <v>12</v>
      </c>
      <c r="U669" s="924">
        <v>1819666181</v>
      </c>
      <c r="V669" s="905"/>
      <c r="W669" s="906"/>
      <c r="X669" s="970"/>
      <c r="Y669" s="884" t="str">
        <f t="shared" si="213"/>
        <v>04.13.01</v>
      </c>
      <c r="Z669" s="884" t="str">
        <f t="shared" si="214"/>
        <v>Jalan</v>
      </c>
      <c r="AA669" s="884">
        <f t="shared" si="215"/>
        <v>10</v>
      </c>
      <c r="AB669" s="868">
        <f t="shared" si="217"/>
        <v>181966618.09999999</v>
      </c>
      <c r="AC669" s="885">
        <f t="shared" si="218"/>
        <v>0</v>
      </c>
      <c r="AD669" s="868">
        <f t="shared" si="219"/>
        <v>0</v>
      </c>
      <c r="AE669" s="868">
        <v>0</v>
      </c>
      <c r="AF669" s="868">
        <v>0</v>
      </c>
      <c r="AG669" s="868">
        <v>0</v>
      </c>
      <c r="AH669" s="868">
        <f t="shared" si="220"/>
        <v>181966618.09999999</v>
      </c>
      <c r="AI669" s="886">
        <f t="shared" si="221"/>
        <v>181966618.09999999</v>
      </c>
      <c r="AJ669" s="886">
        <f t="shared" si="222"/>
        <v>363933236.19999999</v>
      </c>
      <c r="AK669" s="868">
        <f t="shared" si="212"/>
        <v>1455732944.8</v>
      </c>
    </row>
    <row r="670" spans="1:37" s="887" customFormat="1" ht="35.25" customHeight="1" x14ac:dyDescent="0.2">
      <c r="A670" s="857" t="s">
        <v>4890</v>
      </c>
      <c r="B670" s="857" t="e">
        <f t="shared" si="211"/>
        <v>#N/A</v>
      </c>
      <c r="E670" s="884" t="str">
        <f t="shared" si="216"/>
        <v/>
      </c>
      <c r="F670" s="888"/>
      <c r="G670" s="1147" t="s">
        <v>3074</v>
      </c>
      <c r="H670" s="879"/>
      <c r="I670" s="921" t="s">
        <v>2494</v>
      </c>
      <c r="J670" s="922"/>
      <c r="K670" s="921"/>
      <c r="L670" s="923"/>
      <c r="M670" s="922"/>
      <c r="N670" s="923"/>
      <c r="O670" s="918" t="s">
        <v>3289</v>
      </c>
      <c r="P670" s="921">
        <v>2017</v>
      </c>
      <c r="Q670" s="922"/>
      <c r="R670" s="922"/>
      <c r="S670" s="922"/>
      <c r="T670" s="903" t="s">
        <v>12</v>
      </c>
      <c r="U670" s="924">
        <v>197613000</v>
      </c>
      <c r="V670" s="905"/>
      <c r="W670" s="906"/>
      <c r="X670" s="970"/>
      <c r="Y670" s="884" t="str">
        <f t="shared" si="213"/>
        <v>04.13.01</v>
      </c>
      <c r="Z670" s="884" t="str">
        <f t="shared" si="214"/>
        <v>Jalan</v>
      </c>
      <c r="AA670" s="884">
        <f t="shared" si="215"/>
        <v>10</v>
      </c>
      <c r="AB670" s="868">
        <f t="shared" si="217"/>
        <v>19761300</v>
      </c>
      <c r="AC670" s="885">
        <f t="shared" si="218"/>
        <v>0</v>
      </c>
      <c r="AD670" s="868">
        <f t="shared" si="219"/>
        <v>0</v>
      </c>
      <c r="AE670" s="868">
        <v>0</v>
      </c>
      <c r="AF670" s="868">
        <v>0</v>
      </c>
      <c r="AG670" s="868">
        <v>0</v>
      </c>
      <c r="AH670" s="868">
        <f t="shared" si="220"/>
        <v>19761300</v>
      </c>
      <c r="AI670" s="886">
        <f t="shared" si="221"/>
        <v>19761300</v>
      </c>
      <c r="AJ670" s="886">
        <f t="shared" si="222"/>
        <v>39522600</v>
      </c>
      <c r="AK670" s="868">
        <f t="shared" si="212"/>
        <v>158090400</v>
      </c>
    </row>
    <row r="671" spans="1:37" s="887" customFormat="1" ht="35.25" customHeight="1" x14ac:dyDescent="0.2">
      <c r="A671" s="887">
        <v>117</v>
      </c>
      <c r="B671" s="857" t="str">
        <f t="shared" si="211"/>
        <v>KAMPUNG BARU TOAR - GUNUNG</v>
      </c>
      <c r="E671" s="884" t="str">
        <f t="shared" si="216"/>
        <v/>
      </c>
      <c r="F671" s="888"/>
      <c r="G671" s="1147" t="s">
        <v>3312</v>
      </c>
      <c r="H671" s="879"/>
      <c r="I671" s="921" t="s">
        <v>2494</v>
      </c>
      <c r="J671" s="922"/>
      <c r="K671" s="921"/>
      <c r="L671" s="923"/>
      <c r="M671" s="922"/>
      <c r="N671" s="923"/>
      <c r="O671" s="918" t="s">
        <v>3290</v>
      </c>
      <c r="P671" s="921">
        <v>2018</v>
      </c>
      <c r="Q671" s="922"/>
      <c r="R671" s="922"/>
      <c r="S671" s="922"/>
      <c r="T671" s="903" t="s">
        <v>12</v>
      </c>
      <c r="U671" s="924">
        <v>2159049576</v>
      </c>
      <c r="V671" s="905"/>
      <c r="W671" s="906"/>
      <c r="X671" s="970"/>
      <c r="Y671" s="884" t="str">
        <f t="shared" si="213"/>
        <v>04.13.01</v>
      </c>
      <c r="Z671" s="884" t="str">
        <f t="shared" si="214"/>
        <v>Jalan</v>
      </c>
      <c r="AA671" s="884">
        <f t="shared" si="215"/>
        <v>10</v>
      </c>
      <c r="AB671" s="868">
        <f t="shared" si="217"/>
        <v>215904957.59999999</v>
      </c>
      <c r="AC671" s="885">
        <f t="shared" si="218"/>
        <v>0</v>
      </c>
      <c r="AD671" s="868">
        <f t="shared" si="219"/>
        <v>0</v>
      </c>
      <c r="AE671" s="868">
        <v>0</v>
      </c>
      <c r="AF671" s="868">
        <v>0</v>
      </c>
      <c r="AG671" s="868">
        <v>0</v>
      </c>
      <c r="AH671" s="868">
        <v>0</v>
      </c>
      <c r="AI671" s="886">
        <f t="shared" si="221"/>
        <v>215904957.59999999</v>
      </c>
      <c r="AJ671" s="886">
        <f t="shared" si="222"/>
        <v>215904957.59999999</v>
      </c>
      <c r="AK671" s="868">
        <f t="shared" si="212"/>
        <v>1943144618.4000001</v>
      </c>
    </row>
    <row r="672" spans="1:37" s="887" customFormat="1" ht="35.25" customHeight="1" x14ac:dyDescent="0.2">
      <c r="A672" s="887">
        <v>277</v>
      </c>
      <c r="B672" s="857" t="str">
        <f t="shared" si="211"/>
        <v>GUNUNG KESIANGAN - PL. KALIMANTING</v>
      </c>
      <c r="E672" s="884" t="str">
        <f t="shared" si="216"/>
        <v/>
      </c>
      <c r="F672" s="888"/>
      <c r="G672" s="1147" t="s">
        <v>3313</v>
      </c>
      <c r="H672" s="879"/>
      <c r="I672" s="921" t="s">
        <v>2494</v>
      </c>
      <c r="J672" s="922"/>
      <c r="K672" s="921"/>
      <c r="L672" s="923"/>
      <c r="M672" s="922"/>
      <c r="N672" s="923"/>
      <c r="O672" s="918" t="s">
        <v>3291</v>
      </c>
      <c r="P672" s="921">
        <v>2018</v>
      </c>
      <c r="Q672" s="922"/>
      <c r="R672" s="922"/>
      <c r="S672" s="922"/>
      <c r="T672" s="903" t="s">
        <v>12</v>
      </c>
      <c r="U672" s="924">
        <v>2282412952</v>
      </c>
      <c r="V672" s="905"/>
      <c r="W672" s="906"/>
      <c r="X672" s="970"/>
      <c r="Y672" s="884" t="str">
        <f t="shared" si="213"/>
        <v>04.13.01</v>
      </c>
      <c r="Z672" s="884" t="str">
        <f t="shared" si="214"/>
        <v>Jalan</v>
      </c>
      <c r="AA672" s="884">
        <f t="shared" si="215"/>
        <v>10</v>
      </c>
      <c r="AB672" s="868">
        <f t="shared" si="217"/>
        <v>228241295.19999999</v>
      </c>
      <c r="AC672" s="885">
        <f t="shared" si="218"/>
        <v>0</v>
      </c>
      <c r="AD672" s="868">
        <f t="shared" si="219"/>
        <v>0</v>
      </c>
      <c r="AE672" s="868">
        <v>0</v>
      </c>
      <c r="AF672" s="868">
        <v>0</v>
      </c>
      <c r="AG672" s="868">
        <v>0</v>
      </c>
      <c r="AH672" s="868">
        <v>0</v>
      </c>
      <c r="AI672" s="886">
        <f t="shared" si="221"/>
        <v>228241295.19999999</v>
      </c>
      <c r="AJ672" s="886">
        <f t="shared" si="222"/>
        <v>228241295.19999999</v>
      </c>
      <c r="AK672" s="868">
        <f t="shared" si="212"/>
        <v>2054171656.8</v>
      </c>
    </row>
    <row r="673" spans="1:38" s="887" customFormat="1" ht="35.25" customHeight="1" x14ac:dyDescent="0.2">
      <c r="A673" s="857" t="s">
        <v>4890</v>
      </c>
      <c r="B673" s="857" t="e">
        <f t="shared" si="211"/>
        <v>#N/A</v>
      </c>
      <c r="E673" s="884" t="str">
        <f t="shared" si="216"/>
        <v/>
      </c>
      <c r="F673" s="888"/>
      <c r="G673" s="1147" t="s">
        <v>3314</v>
      </c>
      <c r="H673" s="879"/>
      <c r="I673" s="921" t="s">
        <v>2494</v>
      </c>
      <c r="J673" s="922"/>
      <c r="K673" s="921"/>
      <c r="L673" s="923"/>
      <c r="M673" s="922"/>
      <c r="N673" s="923"/>
      <c r="O673" s="918" t="s">
        <v>3292</v>
      </c>
      <c r="P673" s="921">
        <v>2018</v>
      </c>
      <c r="Q673" s="922"/>
      <c r="R673" s="922"/>
      <c r="S673" s="922"/>
      <c r="T673" s="903" t="s">
        <v>12</v>
      </c>
      <c r="U673" s="924">
        <v>2896710698</v>
      </c>
      <c r="V673" s="905"/>
      <c r="W673" s="906"/>
      <c r="X673" s="970"/>
      <c r="Y673" s="884" t="str">
        <f t="shared" si="213"/>
        <v>04.13.01</v>
      </c>
      <c r="Z673" s="884" t="str">
        <f t="shared" si="214"/>
        <v>Jalan</v>
      </c>
      <c r="AA673" s="884">
        <f t="shared" si="215"/>
        <v>10</v>
      </c>
      <c r="AB673" s="868">
        <f t="shared" si="217"/>
        <v>289671069.80000001</v>
      </c>
      <c r="AC673" s="885">
        <f t="shared" si="218"/>
        <v>0</v>
      </c>
      <c r="AD673" s="868">
        <f t="shared" si="219"/>
        <v>0</v>
      </c>
      <c r="AE673" s="868">
        <v>0</v>
      </c>
      <c r="AF673" s="868">
        <v>0</v>
      </c>
      <c r="AG673" s="868">
        <v>0</v>
      </c>
      <c r="AH673" s="868">
        <v>0</v>
      </c>
      <c r="AI673" s="886">
        <f t="shared" si="221"/>
        <v>289671069.80000001</v>
      </c>
      <c r="AJ673" s="886">
        <f t="shared" si="222"/>
        <v>289671069.80000001</v>
      </c>
      <c r="AK673" s="868">
        <f t="shared" si="212"/>
        <v>2607039628.1999998</v>
      </c>
    </row>
    <row r="674" spans="1:38" s="887" customFormat="1" ht="35.25" customHeight="1" x14ac:dyDescent="0.2">
      <c r="A674" s="887">
        <v>245</v>
      </c>
      <c r="B674" s="857" t="str">
        <f t="shared" si="211"/>
        <v>SIMP. 4 PT. WANASARI - SUKAMAJU</v>
      </c>
      <c r="E674" s="884" t="str">
        <f t="shared" si="216"/>
        <v/>
      </c>
      <c r="F674" s="888"/>
      <c r="G674" s="1147" t="s">
        <v>3316</v>
      </c>
      <c r="H674" s="879"/>
      <c r="I674" s="921" t="s">
        <v>2494</v>
      </c>
      <c r="J674" s="922"/>
      <c r="K674" s="921"/>
      <c r="L674" s="923"/>
      <c r="M674" s="922"/>
      <c r="N674" s="923"/>
      <c r="O674" s="918" t="s">
        <v>3294</v>
      </c>
      <c r="P674" s="921">
        <v>2018</v>
      </c>
      <c r="Q674" s="922"/>
      <c r="R674" s="922"/>
      <c r="S674" s="922"/>
      <c r="T674" s="903" t="s">
        <v>12</v>
      </c>
      <c r="U674" s="924">
        <v>2159457861</v>
      </c>
      <c r="V674" s="905"/>
      <c r="W674" s="906"/>
      <c r="X674" s="970"/>
      <c r="Y674" s="884" t="str">
        <f t="shared" si="213"/>
        <v>04.13.01</v>
      </c>
      <c r="Z674" s="884" t="str">
        <f t="shared" si="214"/>
        <v>Jalan</v>
      </c>
      <c r="AA674" s="884">
        <f t="shared" si="215"/>
        <v>10</v>
      </c>
      <c r="AB674" s="868">
        <f t="shared" si="217"/>
        <v>215945786.09999999</v>
      </c>
      <c r="AC674" s="885">
        <f t="shared" si="218"/>
        <v>0</v>
      </c>
      <c r="AD674" s="868">
        <f t="shared" si="219"/>
        <v>0</v>
      </c>
      <c r="AE674" s="868">
        <v>0</v>
      </c>
      <c r="AF674" s="868">
        <v>0</v>
      </c>
      <c r="AG674" s="868">
        <v>0</v>
      </c>
      <c r="AH674" s="868">
        <v>0</v>
      </c>
      <c r="AI674" s="886">
        <f t="shared" si="221"/>
        <v>215945786.09999999</v>
      </c>
      <c r="AJ674" s="886">
        <f t="shared" si="222"/>
        <v>215945786.09999999</v>
      </c>
      <c r="AK674" s="868">
        <f t="shared" si="212"/>
        <v>1943512074.9000001</v>
      </c>
    </row>
    <row r="675" spans="1:38" s="887" customFormat="1" ht="35.25" customHeight="1" x14ac:dyDescent="0.2">
      <c r="A675" s="887">
        <v>122</v>
      </c>
      <c r="B675" s="857" t="str">
        <f t="shared" si="211"/>
        <v>SIMP. SEI. PINANG - TANJUNG</v>
      </c>
      <c r="E675" s="884" t="str">
        <f t="shared" si="216"/>
        <v/>
      </c>
      <c r="F675" s="888"/>
      <c r="G675" s="1147" t="s">
        <v>3318</v>
      </c>
      <c r="H675" s="879"/>
      <c r="I675" s="921" t="s">
        <v>2494</v>
      </c>
      <c r="J675" s="922"/>
      <c r="K675" s="921"/>
      <c r="L675" s="923"/>
      <c r="M675" s="922"/>
      <c r="N675" s="923"/>
      <c r="O675" s="918" t="s">
        <v>3296</v>
      </c>
      <c r="P675" s="921">
        <v>2018</v>
      </c>
      <c r="Q675" s="922"/>
      <c r="R675" s="922"/>
      <c r="S675" s="922"/>
      <c r="T675" s="903" t="s">
        <v>12</v>
      </c>
      <c r="U675" s="924">
        <v>2257584511</v>
      </c>
      <c r="V675" s="905"/>
      <c r="W675" s="906"/>
      <c r="X675" s="970"/>
      <c r="Y675" s="884" t="str">
        <f t="shared" si="213"/>
        <v>04.13.01</v>
      </c>
      <c r="Z675" s="884" t="str">
        <f t="shared" si="214"/>
        <v>Jalan</v>
      </c>
      <c r="AA675" s="884">
        <f t="shared" si="215"/>
        <v>10</v>
      </c>
      <c r="AB675" s="868">
        <f t="shared" si="217"/>
        <v>225758451.09999999</v>
      </c>
      <c r="AC675" s="885">
        <f t="shared" si="218"/>
        <v>0</v>
      </c>
      <c r="AD675" s="868">
        <f t="shared" si="219"/>
        <v>0</v>
      </c>
      <c r="AE675" s="868">
        <v>0</v>
      </c>
      <c r="AF675" s="868">
        <v>0</v>
      </c>
      <c r="AG675" s="868">
        <v>0</v>
      </c>
      <c r="AH675" s="868">
        <v>0</v>
      </c>
      <c r="AI675" s="886">
        <f t="shared" si="221"/>
        <v>225758451.09999999</v>
      </c>
      <c r="AJ675" s="886">
        <f t="shared" si="222"/>
        <v>225758451.09999999</v>
      </c>
      <c r="AK675" s="868">
        <f t="shared" si="212"/>
        <v>2031826059.9000001</v>
      </c>
    </row>
    <row r="676" spans="1:38" s="887" customFormat="1" ht="35.25" customHeight="1" x14ac:dyDescent="0.2">
      <c r="A676" s="857" t="s">
        <v>4890</v>
      </c>
      <c r="B676" s="857" t="e">
        <f t="shared" si="211"/>
        <v>#N/A</v>
      </c>
      <c r="E676" s="884" t="str">
        <f t="shared" si="216"/>
        <v/>
      </c>
      <c r="F676" s="888"/>
      <c r="G676" s="1147" t="s">
        <v>3321</v>
      </c>
      <c r="H676" s="879"/>
      <c r="I676" s="921" t="s">
        <v>2494</v>
      </c>
      <c r="J676" s="922"/>
      <c r="K676" s="921"/>
      <c r="L676" s="923"/>
      <c r="M676" s="922"/>
      <c r="N676" s="923"/>
      <c r="O676" s="918" t="s">
        <v>3299</v>
      </c>
      <c r="P676" s="921">
        <v>2018</v>
      </c>
      <c r="Q676" s="922"/>
      <c r="R676" s="922"/>
      <c r="S676" s="922"/>
      <c r="T676" s="903" t="s">
        <v>12</v>
      </c>
      <c r="U676" s="924">
        <v>2153501620</v>
      </c>
      <c r="V676" s="905"/>
      <c r="W676" s="906"/>
      <c r="X676" s="970"/>
      <c r="Y676" s="884" t="str">
        <f t="shared" si="213"/>
        <v>04.13.01</v>
      </c>
      <c r="Z676" s="884" t="str">
        <f t="shared" si="214"/>
        <v>Jalan</v>
      </c>
      <c r="AA676" s="884">
        <f t="shared" si="215"/>
        <v>10</v>
      </c>
      <c r="AB676" s="868">
        <f t="shared" si="217"/>
        <v>215350162</v>
      </c>
      <c r="AC676" s="885">
        <f t="shared" si="218"/>
        <v>0</v>
      </c>
      <c r="AD676" s="868">
        <f t="shared" si="219"/>
        <v>0</v>
      </c>
      <c r="AE676" s="868">
        <v>0</v>
      </c>
      <c r="AF676" s="868">
        <v>0</v>
      </c>
      <c r="AG676" s="868">
        <v>0</v>
      </c>
      <c r="AH676" s="868">
        <v>0</v>
      </c>
      <c r="AI676" s="886">
        <f t="shared" si="221"/>
        <v>215350162</v>
      </c>
      <c r="AJ676" s="886">
        <f t="shared" si="222"/>
        <v>215350162</v>
      </c>
      <c r="AK676" s="868">
        <f t="shared" si="212"/>
        <v>1938151458</v>
      </c>
    </row>
    <row r="677" spans="1:38" s="887" customFormat="1" ht="35.25" customHeight="1" x14ac:dyDescent="0.2">
      <c r="A677" s="887">
        <v>172</v>
      </c>
      <c r="B677" s="857" t="str">
        <f t="shared" si="211"/>
        <v>JL. DESA PL. TENGAH - SIKAPING</v>
      </c>
      <c r="E677" s="884" t="str">
        <f t="shared" si="216"/>
        <v/>
      </c>
      <c r="F677" s="888"/>
      <c r="G677" s="1147" t="s">
        <v>3324</v>
      </c>
      <c r="H677" s="879"/>
      <c r="I677" s="921" t="s">
        <v>2494</v>
      </c>
      <c r="J677" s="922"/>
      <c r="K677" s="921"/>
      <c r="L677" s="923"/>
      <c r="M677" s="922"/>
      <c r="N677" s="923"/>
      <c r="O677" s="918" t="s">
        <v>3300</v>
      </c>
      <c r="P677" s="921">
        <v>2018</v>
      </c>
      <c r="Q677" s="922"/>
      <c r="R677" s="922"/>
      <c r="S677" s="922"/>
      <c r="T677" s="903" t="s">
        <v>12</v>
      </c>
      <c r="U677" s="924">
        <v>2298079202</v>
      </c>
      <c r="V677" s="905"/>
      <c r="W677" s="906"/>
      <c r="X677" s="970"/>
      <c r="Y677" s="884" t="str">
        <f t="shared" si="213"/>
        <v>04.13.01</v>
      </c>
      <c r="Z677" s="884" t="str">
        <f t="shared" si="214"/>
        <v>Jalan</v>
      </c>
      <c r="AA677" s="884">
        <f t="shared" si="215"/>
        <v>10</v>
      </c>
      <c r="AB677" s="868">
        <f t="shared" si="217"/>
        <v>229807920.19999999</v>
      </c>
      <c r="AC677" s="885">
        <f t="shared" si="218"/>
        <v>0</v>
      </c>
      <c r="AD677" s="868">
        <f t="shared" si="219"/>
        <v>0</v>
      </c>
      <c r="AE677" s="868">
        <v>0</v>
      </c>
      <c r="AF677" s="868">
        <v>0</v>
      </c>
      <c r="AG677" s="868">
        <v>0</v>
      </c>
      <c r="AH677" s="868">
        <v>0</v>
      </c>
      <c r="AI677" s="886">
        <f t="shared" si="221"/>
        <v>229807920.19999999</v>
      </c>
      <c r="AJ677" s="886">
        <f t="shared" si="222"/>
        <v>229807920.19999999</v>
      </c>
      <c r="AK677" s="868">
        <f t="shared" si="212"/>
        <v>2068271281.8</v>
      </c>
    </row>
    <row r="678" spans="1:38" s="887" customFormat="1" ht="35.25" customHeight="1" x14ac:dyDescent="0.2">
      <c r="A678" s="887">
        <v>115</v>
      </c>
      <c r="B678" s="857" t="str">
        <f t="shared" si="211"/>
        <v>GUNUNG - PL. MUNGKUR</v>
      </c>
      <c r="E678" s="884" t="str">
        <f t="shared" si="216"/>
        <v/>
      </c>
      <c r="F678" s="888"/>
      <c r="G678" s="1147" t="s">
        <v>3325</v>
      </c>
      <c r="H678" s="879"/>
      <c r="I678" s="921" t="s">
        <v>2494</v>
      </c>
      <c r="J678" s="922"/>
      <c r="K678" s="921"/>
      <c r="L678" s="923"/>
      <c r="M678" s="922"/>
      <c r="N678" s="923"/>
      <c r="O678" s="918" t="s">
        <v>3231</v>
      </c>
      <c r="P678" s="921">
        <v>2018</v>
      </c>
      <c r="Q678" s="922"/>
      <c r="R678" s="922"/>
      <c r="S678" s="922"/>
      <c r="T678" s="903" t="s">
        <v>12</v>
      </c>
      <c r="U678" s="924">
        <v>2256762096</v>
      </c>
      <c r="V678" s="905"/>
      <c r="W678" s="906"/>
      <c r="X678" s="970"/>
      <c r="Y678" s="884" t="str">
        <f t="shared" si="213"/>
        <v>04.13.01</v>
      </c>
      <c r="Z678" s="884" t="str">
        <f t="shared" si="214"/>
        <v>Jalan</v>
      </c>
      <c r="AA678" s="884">
        <f t="shared" si="215"/>
        <v>10</v>
      </c>
      <c r="AB678" s="868">
        <f t="shared" si="217"/>
        <v>225676209.59999999</v>
      </c>
      <c r="AC678" s="885">
        <f t="shared" si="218"/>
        <v>0</v>
      </c>
      <c r="AD678" s="868">
        <f t="shared" si="219"/>
        <v>0</v>
      </c>
      <c r="AE678" s="868">
        <v>0</v>
      </c>
      <c r="AF678" s="868">
        <v>0</v>
      </c>
      <c r="AG678" s="868">
        <v>0</v>
      </c>
      <c r="AH678" s="868">
        <v>0</v>
      </c>
      <c r="AI678" s="886">
        <f t="shared" si="221"/>
        <v>225676209.59999999</v>
      </c>
      <c r="AJ678" s="886">
        <f t="shared" si="222"/>
        <v>225676209.59999999</v>
      </c>
      <c r="AK678" s="868">
        <f t="shared" si="212"/>
        <v>2031085886.4000001</v>
      </c>
    </row>
    <row r="679" spans="1:38" s="887" customFormat="1" ht="35.25" customHeight="1" x14ac:dyDescent="0.2">
      <c r="A679" s="857" t="s">
        <v>4890</v>
      </c>
      <c r="B679" s="857" t="e">
        <f t="shared" si="211"/>
        <v>#N/A</v>
      </c>
      <c r="E679" s="884" t="str">
        <f t="shared" si="216"/>
        <v/>
      </c>
      <c r="F679" s="888"/>
      <c r="G679" s="1147" t="s">
        <v>3327</v>
      </c>
      <c r="H679" s="879"/>
      <c r="I679" s="921" t="s">
        <v>2494</v>
      </c>
      <c r="J679" s="922"/>
      <c r="K679" s="921"/>
      <c r="L679" s="923"/>
      <c r="M679" s="922"/>
      <c r="N679" s="923"/>
      <c r="O679" s="863" t="s">
        <v>3302</v>
      </c>
      <c r="P679" s="921">
        <v>2018</v>
      </c>
      <c r="Q679" s="922"/>
      <c r="R679" s="922"/>
      <c r="S679" s="922"/>
      <c r="T679" s="903" t="s">
        <v>12</v>
      </c>
      <c r="U679" s="924">
        <v>647774900</v>
      </c>
      <c r="V679" s="905"/>
      <c r="W679" s="906"/>
      <c r="X679" s="970"/>
      <c r="Y679" s="884" t="str">
        <f t="shared" si="213"/>
        <v>04.13.01</v>
      </c>
      <c r="Z679" s="884" t="str">
        <f t="shared" si="214"/>
        <v>Jalan</v>
      </c>
      <c r="AA679" s="884">
        <f t="shared" si="215"/>
        <v>10</v>
      </c>
      <c r="AB679" s="868">
        <f t="shared" si="217"/>
        <v>64777490</v>
      </c>
      <c r="AC679" s="885">
        <f t="shared" si="218"/>
        <v>0</v>
      </c>
      <c r="AD679" s="868">
        <f t="shared" si="219"/>
        <v>0</v>
      </c>
      <c r="AE679" s="868">
        <v>0</v>
      </c>
      <c r="AF679" s="868">
        <v>0</v>
      </c>
      <c r="AG679" s="868">
        <v>0</v>
      </c>
      <c r="AH679" s="868">
        <v>0</v>
      </c>
      <c r="AI679" s="886">
        <f t="shared" si="221"/>
        <v>64777490</v>
      </c>
      <c r="AJ679" s="886">
        <f t="shared" si="222"/>
        <v>64777490</v>
      </c>
      <c r="AK679" s="868">
        <f t="shared" si="212"/>
        <v>582997410</v>
      </c>
    </row>
    <row r="680" spans="1:38" s="887" customFormat="1" ht="35.25" customHeight="1" x14ac:dyDescent="0.2">
      <c r="A680" s="887" t="s">
        <v>261</v>
      </c>
      <c r="B680" s="857" t="e">
        <f>VLOOKUP(A680,RUAS,2,FALSE)</f>
        <v>#N/A</v>
      </c>
      <c r="E680" s="884" t="str">
        <f t="shared" si="216"/>
        <v/>
      </c>
      <c r="F680" s="888"/>
      <c r="G680" s="1147" t="s">
        <v>3328</v>
      </c>
      <c r="H680" s="879"/>
      <c r="I680" s="921" t="s">
        <v>2494</v>
      </c>
      <c r="J680" s="922"/>
      <c r="K680" s="921"/>
      <c r="L680" s="923"/>
      <c r="M680" s="922"/>
      <c r="N680" s="923"/>
      <c r="O680" s="918" t="s">
        <v>3303</v>
      </c>
      <c r="P680" s="921">
        <v>2018</v>
      </c>
      <c r="Q680" s="922"/>
      <c r="R680" s="922"/>
      <c r="S680" s="922"/>
      <c r="T680" s="903" t="s">
        <v>12</v>
      </c>
      <c r="U680" s="924">
        <v>478118536</v>
      </c>
      <c r="V680" s="905"/>
      <c r="W680" s="906"/>
      <c r="X680" s="970"/>
      <c r="Y680" s="884" t="str">
        <f t="shared" si="213"/>
        <v>04.13.01</v>
      </c>
      <c r="Z680" s="884" t="str">
        <f t="shared" si="214"/>
        <v>Jalan</v>
      </c>
      <c r="AA680" s="884">
        <f t="shared" si="215"/>
        <v>10</v>
      </c>
      <c r="AB680" s="868">
        <f t="shared" si="217"/>
        <v>47811853.600000001</v>
      </c>
      <c r="AC680" s="885">
        <f t="shared" si="218"/>
        <v>0</v>
      </c>
      <c r="AD680" s="868">
        <f t="shared" si="219"/>
        <v>0</v>
      </c>
      <c r="AE680" s="868">
        <v>0</v>
      </c>
      <c r="AF680" s="868">
        <v>0</v>
      </c>
      <c r="AG680" s="868">
        <v>0</v>
      </c>
      <c r="AH680" s="868">
        <v>0</v>
      </c>
      <c r="AI680" s="886">
        <f t="shared" si="221"/>
        <v>47811853.600000001</v>
      </c>
      <c r="AJ680" s="886">
        <f t="shared" si="222"/>
        <v>47811853.600000001</v>
      </c>
      <c r="AK680" s="868">
        <f t="shared" si="212"/>
        <v>430306682.39999998</v>
      </c>
    </row>
    <row r="681" spans="1:38" s="887" customFormat="1" ht="35.25" customHeight="1" x14ac:dyDescent="0.2">
      <c r="A681" s="857" t="s">
        <v>4890</v>
      </c>
      <c r="B681" s="857" t="e">
        <f>VLOOKUP(A681,RUAS,2,FALSE)</f>
        <v>#N/A</v>
      </c>
      <c r="E681" s="884" t="str">
        <f t="shared" si="216"/>
        <v/>
      </c>
      <c r="F681" s="888"/>
      <c r="G681" s="1147" t="s">
        <v>3330</v>
      </c>
      <c r="H681" s="879"/>
      <c r="I681" s="921" t="s">
        <v>2494</v>
      </c>
      <c r="J681" s="922"/>
      <c r="K681" s="921"/>
      <c r="L681" s="923"/>
      <c r="M681" s="922"/>
      <c r="N681" s="923"/>
      <c r="O681" s="918" t="s">
        <v>3305</v>
      </c>
      <c r="P681" s="921">
        <v>2018</v>
      </c>
      <c r="Q681" s="922"/>
      <c r="R681" s="922"/>
      <c r="S681" s="922"/>
      <c r="T681" s="903" t="s">
        <v>12</v>
      </c>
      <c r="U681" s="924">
        <v>189359000</v>
      </c>
      <c r="V681" s="905"/>
      <c r="W681" s="906"/>
      <c r="X681" s="970"/>
      <c r="Y681" s="884" t="str">
        <f t="shared" si="213"/>
        <v>04.13.01</v>
      </c>
      <c r="Z681" s="884" t="str">
        <f t="shared" si="214"/>
        <v>Jalan</v>
      </c>
      <c r="AA681" s="884">
        <f t="shared" si="215"/>
        <v>10</v>
      </c>
      <c r="AB681" s="868">
        <f t="shared" si="217"/>
        <v>18935900</v>
      </c>
      <c r="AC681" s="885">
        <f t="shared" si="218"/>
        <v>0</v>
      </c>
      <c r="AD681" s="868">
        <f t="shared" si="219"/>
        <v>0</v>
      </c>
      <c r="AE681" s="868">
        <v>0</v>
      </c>
      <c r="AF681" s="868">
        <v>0</v>
      </c>
      <c r="AG681" s="868">
        <v>0</v>
      </c>
      <c r="AH681" s="868">
        <v>0</v>
      </c>
      <c r="AI681" s="886">
        <f t="shared" si="221"/>
        <v>18935900</v>
      </c>
      <c r="AJ681" s="886">
        <f t="shared" si="222"/>
        <v>18935900</v>
      </c>
      <c r="AK681" s="868">
        <f t="shared" si="212"/>
        <v>170423100</v>
      </c>
    </row>
    <row r="682" spans="1:38" s="887" customFormat="1" ht="35.25" customHeight="1" x14ac:dyDescent="0.2">
      <c r="A682" s="857" t="s">
        <v>4890</v>
      </c>
      <c r="B682" s="857" t="e">
        <f>VLOOKUP(A682,RUAS,2,FALSE)</f>
        <v>#N/A</v>
      </c>
      <c r="E682" s="884" t="str">
        <f t="shared" si="216"/>
        <v/>
      </c>
      <c r="F682" s="888"/>
      <c r="G682" s="1147" t="s">
        <v>3332</v>
      </c>
      <c r="H682" s="879"/>
      <c r="I682" s="921" t="s">
        <v>2494</v>
      </c>
      <c r="J682" s="922"/>
      <c r="K682" s="921"/>
      <c r="L682" s="923"/>
      <c r="M682" s="922"/>
      <c r="N682" s="923"/>
      <c r="O682" s="918" t="s">
        <v>3307</v>
      </c>
      <c r="P682" s="921">
        <v>2018</v>
      </c>
      <c r="Q682" s="922"/>
      <c r="R682" s="922"/>
      <c r="S682" s="922"/>
      <c r="T682" s="903" t="s">
        <v>12</v>
      </c>
      <c r="U682" s="924">
        <v>2267510824</v>
      </c>
      <c r="V682" s="905"/>
      <c r="W682" s="906"/>
      <c r="X682" s="970"/>
      <c r="Y682" s="884" t="str">
        <f t="shared" si="213"/>
        <v>04.13.01</v>
      </c>
      <c r="Z682" s="884" t="str">
        <f t="shared" si="214"/>
        <v>Jalan</v>
      </c>
      <c r="AA682" s="884">
        <f t="shared" si="215"/>
        <v>10</v>
      </c>
      <c r="AB682" s="868">
        <f t="shared" si="217"/>
        <v>226751082.40000001</v>
      </c>
      <c r="AC682" s="885">
        <f t="shared" si="218"/>
        <v>0</v>
      </c>
      <c r="AD682" s="868">
        <f t="shared" si="219"/>
        <v>0</v>
      </c>
      <c r="AE682" s="868">
        <v>0</v>
      </c>
      <c r="AF682" s="868">
        <v>0</v>
      </c>
      <c r="AG682" s="868">
        <v>0</v>
      </c>
      <c r="AH682" s="868">
        <v>0</v>
      </c>
      <c r="AI682" s="886">
        <f t="shared" si="221"/>
        <v>226751082.40000001</v>
      </c>
      <c r="AJ682" s="886">
        <f t="shared" si="222"/>
        <v>226751082.40000001</v>
      </c>
      <c r="AK682" s="868">
        <f t="shared" si="212"/>
        <v>2040759741.5999999</v>
      </c>
    </row>
    <row r="683" spans="1:38" s="887" customFormat="1" ht="35.25" customHeight="1" x14ac:dyDescent="0.2">
      <c r="A683" s="857" t="s">
        <v>4890</v>
      </c>
      <c r="B683" s="857" t="e">
        <f>VLOOKUP(A683,RUAS,2,FALSE)</f>
        <v>#N/A</v>
      </c>
      <c r="E683" s="884" t="str">
        <f t="shared" si="216"/>
        <v/>
      </c>
      <c r="F683" s="888"/>
      <c r="G683" s="919" t="s">
        <v>3335</v>
      </c>
      <c r="H683" s="920"/>
      <c r="I683" s="921" t="s">
        <v>2494</v>
      </c>
      <c r="J683" s="922"/>
      <c r="K683" s="921"/>
      <c r="L683" s="923"/>
      <c r="M683" s="922"/>
      <c r="N683" s="923"/>
      <c r="O683" s="918" t="s">
        <v>3310</v>
      </c>
      <c r="P683" s="921">
        <v>2018</v>
      </c>
      <c r="Q683" s="922"/>
      <c r="R683" s="922"/>
      <c r="S683" s="922"/>
      <c r="T683" s="903" t="s">
        <v>12</v>
      </c>
      <c r="U683" s="924">
        <v>1822666292</v>
      </c>
      <c r="V683" s="905"/>
      <c r="W683" s="906"/>
      <c r="X683" s="970"/>
      <c r="Y683" s="884" t="str">
        <f t="shared" si="213"/>
        <v>04.13.01</v>
      </c>
      <c r="Z683" s="884" t="str">
        <f t="shared" si="214"/>
        <v>Jalan</v>
      </c>
      <c r="AA683" s="884">
        <f t="shared" si="215"/>
        <v>10</v>
      </c>
      <c r="AB683" s="868">
        <f t="shared" si="217"/>
        <v>182266629.19999999</v>
      </c>
      <c r="AC683" s="885">
        <f t="shared" si="218"/>
        <v>0</v>
      </c>
      <c r="AD683" s="868">
        <f t="shared" si="219"/>
        <v>0</v>
      </c>
      <c r="AE683" s="868">
        <v>0</v>
      </c>
      <c r="AF683" s="868">
        <v>0</v>
      </c>
      <c r="AG683" s="868">
        <v>0</v>
      </c>
      <c r="AH683" s="868">
        <v>0</v>
      </c>
      <c r="AI683" s="886">
        <f t="shared" si="221"/>
        <v>182266629.19999999</v>
      </c>
      <c r="AJ683" s="886">
        <f t="shared" si="222"/>
        <v>182266629.19999999</v>
      </c>
      <c r="AK683" s="868">
        <f t="shared" si="212"/>
        <v>1640399662.8</v>
      </c>
    </row>
    <row r="684" spans="1:38" s="887" customFormat="1" ht="35.25" customHeight="1" x14ac:dyDescent="0.2">
      <c r="F684" s="888"/>
      <c r="G684" s="862"/>
      <c r="H684" s="899"/>
      <c r="I684" s="907"/>
      <c r="J684" s="903"/>
      <c r="K684" s="862"/>
      <c r="L684" s="908"/>
      <c r="M684" s="862"/>
      <c r="N684" s="909"/>
      <c r="O684" s="861"/>
      <c r="P684" s="903"/>
      <c r="Q684" s="862"/>
      <c r="R684" s="862"/>
      <c r="S684" s="862"/>
      <c r="T684" s="862"/>
      <c r="U684" s="910"/>
      <c r="V684" s="905"/>
      <c r="W684" s="906"/>
      <c r="X684" s="970"/>
      <c r="Y684" s="884"/>
      <c r="Z684" s="884"/>
      <c r="AA684" s="884"/>
      <c r="AB684" s="868"/>
      <c r="AC684" s="885"/>
      <c r="AD684" s="925"/>
      <c r="AE684" s="925"/>
      <c r="AF684" s="925"/>
      <c r="AG684" s="925"/>
      <c r="AH684" s="925"/>
      <c r="AI684" s="925"/>
      <c r="AJ684" s="886">
        <f t="shared" ref="AJ684:AJ747" si="223">SUM(AD684:AI684)</f>
        <v>0</v>
      </c>
      <c r="AK684" s="925"/>
    </row>
    <row r="685" spans="1:38" s="887" customFormat="1" ht="35.25" customHeight="1" x14ac:dyDescent="0.2">
      <c r="F685" s="926" t="s">
        <v>842</v>
      </c>
      <c r="G685" s="859" t="s">
        <v>1466</v>
      </c>
      <c r="H685" s="860"/>
      <c r="I685" s="870"/>
      <c r="J685" s="871"/>
      <c r="K685" s="861"/>
      <c r="L685" s="856"/>
      <c r="M685" s="862"/>
      <c r="N685" s="856"/>
      <c r="O685" s="872"/>
      <c r="P685" s="870"/>
      <c r="Q685" s="871"/>
      <c r="R685" s="871"/>
      <c r="S685" s="871"/>
      <c r="T685" s="871"/>
      <c r="U685" s="864">
        <f>SUM(U686:U918)</f>
        <v>86023466537.014771</v>
      </c>
      <c r="V685" s="870"/>
      <c r="W685" s="873"/>
      <c r="X685" s="964"/>
      <c r="Y685" s="884" t="str">
        <f t="shared" ref="Y685:Y748" si="224">LEFT(I685,8)</f>
        <v/>
      </c>
      <c r="Z685" s="884"/>
      <c r="AA685" s="884"/>
      <c r="AB685" s="868"/>
      <c r="AC685" s="885"/>
      <c r="AD685" s="927">
        <f t="shared" ref="AD685:AI685" si="225">SUM(AD686:AD918)</f>
        <v>2364177059.8720794</v>
      </c>
      <c r="AE685" s="927">
        <f t="shared" si="225"/>
        <v>682755292.10124624</v>
      </c>
      <c r="AF685" s="927">
        <f t="shared" si="225"/>
        <v>994621616.06124628</v>
      </c>
      <c r="AG685" s="927">
        <f t="shared" si="225"/>
        <v>1207033761.1602962</v>
      </c>
      <c r="AH685" s="927">
        <f t="shared" si="225"/>
        <v>1751791617.1602962</v>
      </c>
      <c r="AI685" s="927">
        <f t="shared" si="225"/>
        <v>2932263148.660296</v>
      </c>
      <c r="AJ685" s="886">
        <f t="shared" si="223"/>
        <v>9932642495.015461</v>
      </c>
      <c r="AK685" s="927">
        <f>SUM(AK686:AK918)</f>
        <v>76090824041.999329</v>
      </c>
      <c r="AL685" s="960"/>
    </row>
    <row r="686" spans="1:38" s="887" customFormat="1" ht="35.25" customHeight="1" x14ac:dyDescent="0.2">
      <c r="E686" s="884" t="s">
        <v>2306</v>
      </c>
      <c r="F686" s="888"/>
      <c r="G686" s="928" t="s">
        <v>843</v>
      </c>
      <c r="H686" s="929"/>
      <c r="I686" s="903" t="s">
        <v>844</v>
      </c>
      <c r="J686" s="862"/>
      <c r="K686" s="903" t="s">
        <v>736</v>
      </c>
      <c r="L686" s="856"/>
      <c r="M686" s="862"/>
      <c r="N686" s="856"/>
      <c r="O686" s="863"/>
      <c r="P686" s="861">
        <v>1980</v>
      </c>
      <c r="Q686" s="862"/>
      <c r="R686" s="862"/>
      <c r="S686" s="862"/>
      <c r="T686" s="903" t="s">
        <v>12</v>
      </c>
      <c r="U686" s="879">
        <v>10200000</v>
      </c>
      <c r="V686" s="861"/>
      <c r="W686" s="865"/>
      <c r="X686" s="968"/>
      <c r="Y686" s="884" t="str">
        <f t="shared" si="224"/>
        <v>04.14.01</v>
      </c>
      <c r="Z686" s="884" t="str">
        <f t="shared" ref="Z686:Z749" si="226">VLOOKUP(Y686,UE,3,FALSE)</f>
        <v>Bangunan Air Irigasi</v>
      </c>
      <c r="AA686" s="884">
        <f t="shared" ref="AA686:AA749" si="227">VLOOKUP(Y686,UE,4,FALSE)</f>
        <v>50</v>
      </c>
      <c r="AB686" s="868">
        <f t="shared" ref="AB686:AB749" si="228">U686/AA686</f>
        <v>204000</v>
      </c>
      <c r="AC686" s="885">
        <f t="shared" ref="AC686:AC749" si="229">IF(2013-P686+1&gt;AA686,AA686,IF(2013-P686+1&lt;0,0,2013-P686+1))</f>
        <v>34</v>
      </c>
      <c r="AD686" s="868">
        <f t="shared" ref="AD686:AD749" si="230">IF(AC686&gt;AA686,U686,AB686*AC686)</f>
        <v>6936000</v>
      </c>
      <c r="AE686" s="868">
        <f t="shared" ref="AE686:AE749" si="231">IF(U686=AD686,0,AB686)</f>
        <v>204000</v>
      </c>
      <c r="AF686" s="868">
        <f t="shared" ref="AF686:AF749" si="232">IF(U686=AD686+AE686,0,AB686)</f>
        <v>204000</v>
      </c>
      <c r="AG686" s="868">
        <f t="shared" ref="AG686:AG749" si="233">IF(U686=AD686+AE686+AF686,0,AB686)</f>
        <v>204000</v>
      </c>
      <c r="AH686" s="868">
        <f t="shared" ref="AH686:AH749" si="234">IF(U686=AE686+AF686+AG686+AD686,0,AB686)</f>
        <v>204000</v>
      </c>
      <c r="AI686" s="886">
        <f t="shared" ref="AI686:AI749" si="235">IF(U686=AE686+AF686+AG686+AD686+AH686,0,AB686)</f>
        <v>204000</v>
      </c>
      <c r="AJ686" s="886">
        <f t="shared" si="223"/>
        <v>7956000</v>
      </c>
      <c r="AK686" s="868">
        <f t="shared" ref="AK686:AK749" si="236">U686-AJ686</f>
        <v>2244000</v>
      </c>
    </row>
    <row r="687" spans="1:38" s="887" customFormat="1" ht="35.25" customHeight="1" x14ac:dyDescent="0.2">
      <c r="E687" s="884" t="s">
        <v>2306</v>
      </c>
      <c r="F687" s="888"/>
      <c r="G687" s="928" t="s">
        <v>843</v>
      </c>
      <c r="H687" s="929"/>
      <c r="I687" s="903" t="s">
        <v>844</v>
      </c>
      <c r="J687" s="862"/>
      <c r="K687" s="903" t="s">
        <v>736</v>
      </c>
      <c r="L687" s="856"/>
      <c r="M687" s="862"/>
      <c r="N687" s="856"/>
      <c r="O687" s="863"/>
      <c r="P687" s="861">
        <v>2004</v>
      </c>
      <c r="Q687" s="862"/>
      <c r="R687" s="862"/>
      <c r="S687" s="862"/>
      <c r="T687" s="903" t="s">
        <v>12</v>
      </c>
      <c r="U687" s="879">
        <v>33150000</v>
      </c>
      <c r="V687" s="861"/>
      <c r="W687" s="865"/>
      <c r="X687" s="968"/>
      <c r="Y687" s="884" t="str">
        <f t="shared" si="224"/>
        <v>04.14.01</v>
      </c>
      <c r="Z687" s="884" t="str">
        <f t="shared" si="226"/>
        <v>Bangunan Air Irigasi</v>
      </c>
      <c r="AA687" s="884">
        <f t="shared" si="227"/>
        <v>50</v>
      </c>
      <c r="AB687" s="868">
        <f t="shared" si="228"/>
        <v>663000</v>
      </c>
      <c r="AC687" s="885">
        <f t="shared" si="229"/>
        <v>10</v>
      </c>
      <c r="AD687" s="868">
        <f t="shared" si="230"/>
        <v>6630000</v>
      </c>
      <c r="AE687" s="868">
        <f t="shared" si="231"/>
        <v>663000</v>
      </c>
      <c r="AF687" s="868">
        <f t="shared" si="232"/>
        <v>663000</v>
      </c>
      <c r="AG687" s="868">
        <f t="shared" si="233"/>
        <v>663000</v>
      </c>
      <c r="AH687" s="868">
        <f t="shared" si="234"/>
        <v>663000</v>
      </c>
      <c r="AI687" s="886">
        <f t="shared" si="235"/>
        <v>663000</v>
      </c>
      <c r="AJ687" s="886">
        <f t="shared" si="223"/>
        <v>9945000</v>
      </c>
      <c r="AK687" s="868">
        <f t="shared" si="236"/>
        <v>23205000</v>
      </c>
    </row>
    <row r="688" spans="1:38" s="887" customFormat="1" ht="35.25" customHeight="1" x14ac:dyDescent="0.2">
      <c r="E688" s="884" t="s">
        <v>2306</v>
      </c>
      <c r="F688" s="888"/>
      <c r="G688" s="928" t="s">
        <v>843</v>
      </c>
      <c r="H688" s="929"/>
      <c r="I688" s="903" t="s">
        <v>844</v>
      </c>
      <c r="J688" s="862"/>
      <c r="K688" s="903" t="s">
        <v>736</v>
      </c>
      <c r="L688" s="856"/>
      <c r="M688" s="862"/>
      <c r="N688" s="856"/>
      <c r="O688" s="863"/>
      <c r="P688" s="861">
        <v>1975</v>
      </c>
      <c r="Q688" s="862"/>
      <c r="R688" s="862"/>
      <c r="S688" s="862"/>
      <c r="T688" s="903" t="s">
        <v>12</v>
      </c>
      <c r="U688" s="879">
        <v>19337500</v>
      </c>
      <c r="V688" s="861"/>
      <c r="W688" s="865"/>
      <c r="X688" s="968"/>
      <c r="Y688" s="884" t="str">
        <f t="shared" si="224"/>
        <v>04.14.01</v>
      </c>
      <c r="Z688" s="884" t="str">
        <f t="shared" si="226"/>
        <v>Bangunan Air Irigasi</v>
      </c>
      <c r="AA688" s="884">
        <f t="shared" si="227"/>
        <v>50</v>
      </c>
      <c r="AB688" s="868">
        <f t="shared" si="228"/>
        <v>386750</v>
      </c>
      <c r="AC688" s="885">
        <f t="shared" si="229"/>
        <v>39</v>
      </c>
      <c r="AD688" s="868">
        <f t="shared" si="230"/>
        <v>15083250</v>
      </c>
      <c r="AE688" s="868">
        <f t="shared" si="231"/>
        <v>386750</v>
      </c>
      <c r="AF688" s="868">
        <f t="shared" si="232"/>
        <v>386750</v>
      </c>
      <c r="AG688" s="868">
        <f t="shared" si="233"/>
        <v>386750</v>
      </c>
      <c r="AH688" s="868">
        <f t="shared" si="234"/>
        <v>386750</v>
      </c>
      <c r="AI688" s="886">
        <f t="shared" si="235"/>
        <v>386750</v>
      </c>
      <c r="AJ688" s="886">
        <f t="shared" si="223"/>
        <v>17017000</v>
      </c>
      <c r="AK688" s="868">
        <f t="shared" si="236"/>
        <v>2320500</v>
      </c>
    </row>
    <row r="689" spans="5:37" s="887" customFormat="1" ht="35.25" customHeight="1" x14ac:dyDescent="0.2">
      <c r="E689" s="884" t="s">
        <v>2306</v>
      </c>
      <c r="F689" s="888"/>
      <c r="G689" s="928" t="s">
        <v>845</v>
      </c>
      <c r="H689" s="929"/>
      <c r="I689" s="903" t="s">
        <v>844</v>
      </c>
      <c r="J689" s="862"/>
      <c r="K689" s="903" t="s">
        <v>736</v>
      </c>
      <c r="L689" s="856"/>
      <c r="M689" s="862"/>
      <c r="N689" s="856"/>
      <c r="O689" s="863"/>
      <c r="P689" s="861">
        <v>1975</v>
      </c>
      <c r="Q689" s="862"/>
      <c r="R689" s="862"/>
      <c r="S689" s="862"/>
      <c r="T689" s="903" t="s">
        <v>12</v>
      </c>
      <c r="U689" s="879">
        <v>19337500</v>
      </c>
      <c r="V689" s="861"/>
      <c r="W689" s="865"/>
      <c r="X689" s="968"/>
      <c r="Y689" s="884" t="str">
        <f t="shared" si="224"/>
        <v>04.14.01</v>
      </c>
      <c r="Z689" s="884" t="str">
        <f t="shared" si="226"/>
        <v>Bangunan Air Irigasi</v>
      </c>
      <c r="AA689" s="884">
        <f t="shared" si="227"/>
        <v>50</v>
      </c>
      <c r="AB689" s="868">
        <f t="shared" si="228"/>
        <v>386750</v>
      </c>
      <c r="AC689" s="885">
        <f t="shared" si="229"/>
        <v>39</v>
      </c>
      <c r="AD689" s="868">
        <f t="shared" si="230"/>
        <v>15083250</v>
      </c>
      <c r="AE689" s="868">
        <f t="shared" si="231"/>
        <v>386750</v>
      </c>
      <c r="AF689" s="868">
        <f t="shared" si="232"/>
        <v>386750</v>
      </c>
      <c r="AG689" s="868">
        <f t="shared" si="233"/>
        <v>386750</v>
      </c>
      <c r="AH689" s="868">
        <f t="shared" si="234"/>
        <v>386750</v>
      </c>
      <c r="AI689" s="886">
        <f t="shared" si="235"/>
        <v>386750</v>
      </c>
      <c r="AJ689" s="886">
        <f t="shared" si="223"/>
        <v>17017000</v>
      </c>
      <c r="AK689" s="868">
        <f t="shared" si="236"/>
        <v>2320500</v>
      </c>
    </row>
    <row r="690" spans="5:37" s="887" customFormat="1" ht="35.25" customHeight="1" x14ac:dyDescent="0.2">
      <c r="E690" s="884" t="s">
        <v>2306</v>
      </c>
      <c r="F690" s="888"/>
      <c r="G690" s="928" t="s">
        <v>843</v>
      </c>
      <c r="H690" s="929"/>
      <c r="I690" s="903" t="s">
        <v>844</v>
      </c>
      <c r="J690" s="862"/>
      <c r="K690" s="903" t="s">
        <v>736</v>
      </c>
      <c r="L690" s="856"/>
      <c r="M690" s="862"/>
      <c r="N690" s="856"/>
      <c r="O690" s="863"/>
      <c r="P690" s="861">
        <v>1999</v>
      </c>
      <c r="Q690" s="862"/>
      <c r="R690" s="862"/>
      <c r="S690" s="862"/>
      <c r="T690" s="903" t="s">
        <v>12</v>
      </c>
      <c r="U690" s="879">
        <v>382500000</v>
      </c>
      <c r="V690" s="861"/>
      <c r="W690" s="865"/>
      <c r="X690" s="968"/>
      <c r="Y690" s="884" t="str">
        <f t="shared" si="224"/>
        <v>04.14.01</v>
      </c>
      <c r="Z690" s="884" t="str">
        <f t="shared" si="226"/>
        <v>Bangunan Air Irigasi</v>
      </c>
      <c r="AA690" s="884">
        <f t="shared" si="227"/>
        <v>50</v>
      </c>
      <c r="AB690" s="868">
        <f t="shared" si="228"/>
        <v>7650000</v>
      </c>
      <c r="AC690" s="885">
        <f t="shared" si="229"/>
        <v>15</v>
      </c>
      <c r="AD690" s="868">
        <f t="shared" si="230"/>
        <v>114750000</v>
      </c>
      <c r="AE690" s="868">
        <f t="shared" si="231"/>
        <v>7650000</v>
      </c>
      <c r="AF690" s="868">
        <f t="shared" si="232"/>
        <v>7650000</v>
      </c>
      <c r="AG690" s="868">
        <f t="shared" si="233"/>
        <v>7650000</v>
      </c>
      <c r="AH690" s="868">
        <f t="shared" si="234"/>
        <v>7650000</v>
      </c>
      <c r="AI690" s="886">
        <f t="shared" si="235"/>
        <v>7650000</v>
      </c>
      <c r="AJ690" s="886">
        <f t="shared" si="223"/>
        <v>153000000</v>
      </c>
      <c r="AK690" s="868">
        <f t="shared" si="236"/>
        <v>229500000</v>
      </c>
    </row>
    <row r="691" spans="5:37" s="887" customFormat="1" ht="35.25" customHeight="1" x14ac:dyDescent="0.2">
      <c r="E691" s="884" t="s">
        <v>2306</v>
      </c>
      <c r="F691" s="888"/>
      <c r="G691" s="928" t="s">
        <v>843</v>
      </c>
      <c r="H691" s="929"/>
      <c r="I691" s="903" t="s">
        <v>844</v>
      </c>
      <c r="J691" s="862"/>
      <c r="K691" s="903" t="s">
        <v>736</v>
      </c>
      <c r="L691" s="856"/>
      <c r="M691" s="862"/>
      <c r="N691" s="856"/>
      <c r="O691" s="863"/>
      <c r="P691" s="861">
        <v>1986</v>
      </c>
      <c r="Q691" s="862"/>
      <c r="R691" s="862"/>
      <c r="S691" s="862"/>
      <c r="T691" s="903" t="s">
        <v>12</v>
      </c>
      <c r="U691" s="879">
        <v>17680000</v>
      </c>
      <c r="V691" s="861"/>
      <c r="W691" s="865"/>
      <c r="X691" s="968"/>
      <c r="Y691" s="884" t="str">
        <f t="shared" si="224"/>
        <v>04.14.01</v>
      </c>
      <c r="Z691" s="884" t="str">
        <f t="shared" si="226"/>
        <v>Bangunan Air Irigasi</v>
      </c>
      <c r="AA691" s="884">
        <f t="shared" si="227"/>
        <v>50</v>
      </c>
      <c r="AB691" s="868">
        <f t="shared" si="228"/>
        <v>353600</v>
      </c>
      <c r="AC691" s="885">
        <f t="shared" si="229"/>
        <v>28</v>
      </c>
      <c r="AD691" s="868">
        <f t="shared" si="230"/>
        <v>9900800</v>
      </c>
      <c r="AE691" s="868">
        <f t="shared" si="231"/>
        <v>353600</v>
      </c>
      <c r="AF691" s="868">
        <f t="shared" si="232"/>
        <v>353600</v>
      </c>
      <c r="AG691" s="868">
        <f t="shared" si="233"/>
        <v>353600</v>
      </c>
      <c r="AH691" s="868">
        <f t="shared" si="234"/>
        <v>353600</v>
      </c>
      <c r="AI691" s="886">
        <f t="shared" si="235"/>
        <v>353600</v>
      </c>
      <c r="AJ691" s="886">
        <f t="shared" si="223"/>
        <v>11668800</v>
      </c>
      <c r="AK691" s="868">
        <f t="shared" si="236"/>
        <v>6011200</v>
      </c>
    </row>
    <row r="692" spans="5:37" s="887" customFormat="1" ht="35.25" customHeight="1" x14ac:dyDescent="0.2">
      <c r="E692" s="884" t="s">
        <v>2306</v>
      </c>
      <c r="F692" s="888"/>
      <c r="G692" s="928" t="s">
        <v>846</v>
      </c>
      <c r="H692" s="929"/>
      <c r="I692" s="903" t="s">
        <v>844</v>
      </c>
      <c r="J692" s="862"/>
      <c r="K692" s="903" t="s">
        <v>736</v>
      </c>
      <c r="L692" s="856"/>
      <c r="M692" s="862"/>
      <c r="N692" s="856"/>
      <c r="O692" s="863" t="s">
        <v>3379</v>
      </c>
      <c r="P692" s="861">
        <v>1981</v>
      </c>
      <c r="Q692" s="862"/>
      <c r="R692" s="862"/>
      <c r="S692" s="862"/>
      <c r="T692" s="903" t="s">
        <v>12</v>
      </c>
      <c r="U692" s="879">
        <v>20825000</v>
      </c>
      <c r="V692" s="861" t="s">
        <v>43</v>
      </c>
      <c r="W692" s="865"/>
      <c r="X692" s="968"/>
      <c r="Y692" s="884" t="str">
        <f t="shared" si="224"/>
        <v>04.14.01</v>
      </c>
      <c r="Z692" s="884" t="str">
        <f t="shared" si="226"/>
        <v>Bangunan Air Irigasi</v>
      </c>
      <c r="AA692" s="884">
        <f t="shared" si="227"/>
        <v>50</v>
      </c>
      <c r="AB692" s="868">
        <f t="shared" si="228"/>
        <v>416500</v>
      </c>
      <c r="AC692" s="885">
        <f t="shared" si="229"/>
        <v>33</v>
      </c>
      <c r="AD692" s="868">
        <f t="shared" si="230"/>
        <v>13744500</v>
      </c>
      <c r="AE692" s="868">
        <f t="shared" si="231"/>
        <v>416500</v>
      </c>
      <c r="AF692" s="868">
        <f t="shared" si="232"/>
        <v>416500</v>
      </c>
      <c r="AG692" s="868">
        <f t="shared" si="233"/>
        <v>416500</v>
      </c>
      <c r="AH692" s="868">
        <f t="shared" si="234"/>
        <v>416500</v>
      </c>
      <c r="AI692" s="886">
        <f t="shared" si="235"/>
        <v>416500</v>
      </c>
      <c r="AJ692" s="886">
        <f t="shared" si="223"/>
        <v>15827000</v>
      </c>
      <c r="AK692" s="868">
        <f t="shared" si="236"/>
        <v>4998000</v>
      </c>
    </row>
    <row r="693" spans="5:37" s="887" customFormat="1" ht="35.25" customHeight="1" x14ac:dyDescent="0.2">
      <c r="E693" s="884" t="s">
        <v>2306</v>
      </c>
      <c r="F693" s="888"/>
      <c r="G693" s="928" t="s">
        <v>847</v>
      </c>
      <c r="H693" s="929"/>
      <c r="I693" s="903" t="s">
        <v>844</v>
      </c>
      <c r="J693" s="862"/>
      <c r="K693" s="903" t="s">
        <v>736</v>
      </c>
      <c r="L693" s="856"/>
      <c r="M693" s="862"/>
      <c r="N693" s="856"/>
      <c r="O693" s="863" t="s">
        <v>847</v>
      </c>
      <c r="P693" s="861">
        <v>1978</v>
      </c>
      <c r="Q693" s="862"/>
      <c r="R693" s="862"/>
      <c r="S693" s="862"/>
      <c r="T693" s="903" t="s">
        <v>12</v>
      </c>
      <c r="U693" s="879">
        <v>20825000</v>
      </c>
      <c r="V693" s="861" t="s">
        <v>43</v>
      </c>
      <c r="W693" s="865"/>
      <c r="X693" s="968"/>
      <c r="Y693" s="884" t="str">
        <f t="shared" si="224"/>
        <v>04.14.01</v>
      </c>
      <c r="Z693" s="884" t="str">
        <f t="shared" si="226"/>
        <v>Bangunan Air Irigasi</v>
      </c>
      <c r="AA693" s="884">
        <f t="shared" si="227"/>
        <v>50</v>
      </c>
      <c r="AB693" s="868">
        <f t="shared" si="228"/>
        <v>416500</v>
      </c>
      <c r="AC693" s="885">
        <f t="shared" si="229"/>
        <v>36</v>
      </c>
      <c r="AD693" s="868">
        <f t="shared" si="230"/>
        <v>14994000</v>
      </c>
      <c r="AE693" s="868">
        <f t="shared" si="231"/>
        <v>416500</v>
      </c>
      <c r="AF693" s="868">
        <f t="shared" si="232"/>
        <v>416500</v>
      </c>
      <c r="AG693" s="868">
        <f t="shared" si="233"/>
        <v>416500</v>
      </c>
      <c r="AH693" s="868">
        <f t="shared" si="234"/>
        <v>416500</v>
      </c>
      <c r="AI693" s="886">
        <f t="shared" si="235"/>
        <v>416500</v>
      </c>
      <c r="AJ693" s="886">
        <f t="shared" si="223"/>
        <v>17076500</v>
      </c>
      <c r="AK693" s="868">
        <f t="shared" si="236"/>
        <v>3748500</v>
      </c>
    </row>
    <row r="694" spans="5:37" s="887" customFormat="1" ht="35.25" customHeight="1" x14ac:dyDescent="0.2">
      <c r="E694" s="884" t="s">
        <v>2306</v>
      </c>
      <c r="F694" s="888"/>
      <c r="G694" s="928" t="s">
        <v>848</v>
      </c>
      <c r="H694" s="929"/>
      <c r="I694" s="903" t="s">
        <v>844</v>
      </c>
      <c r="J694" s="862"/>
      <c r="K694" s="903" t="s">
        <v>736</v>
      </c>
      <c r="L694" s="856"/>
      <c r="M694" s="862"/>
      <c r="N694" s="856"/>
      <c r="O694" s="863" t="s">
        <v>848</v>
      </c>
      <c r="P694" s="861">
        <v>1985</v>
      </c>
      <c r="Q694" s="862"/>
      <c r="R694" s="862"/>
      <c r="S694" s="862"/>
      <c r="T694" s="903" t="s">
        <v>12</v>
      </c>
      <c r="U694" s="879">
        <v>9520000</v>
      </c>
      <c r="V694" s="861" t="s">
        <v>43</v>
      </c>
      <c r="W694" s="865"/>
      <c r="X694" s="968"/>
      <c r="Y694" s="884" t="str">
        <f t="shared" si="224"/>
        <v>04.14.01</v>
      </c>
      <c r="Z694" s="884" t="str">
        <f t="shared" si="226"/>
        <v>Bangunan Air Irigasi</v>
      </c>
      <c r="AA694" s="884">
        <f t="shared" si="227"/>
        <v>50</v>
      </c>
      <c r="AB694" s="868">
        <f t="shared" si="228"/>
        <v>190400</v>
      </c>
      <c r="AC694" s="885">
        <f t="shared" si="229"/>
        <v>29</v>
      </c>
      <c r="AD694" s="868">
        <f t="shared" si="230"/>
        <v>5521600</v>
      </c>
      <c r="AE694" s="868">
        <f t="shared" si="231"/>
        <v>190400</v>
      </c>
      <c r="AF694" s="868">
        <f t="shared" si="232"/>
        <v>190400</v>
      </c>
      <c r="AG694" s="868">
        <f t="shared" si="233"/>
        <v>190400</v>
      </c>
      <c r="AH694" s="868">
        <f t="shared" si="234"/>
        <v>190400</v>
      </c>
      <c r="AI694" s="886">
        <f t="shared" si="235"/>
        <v>190400</v>
      </c>
      <c r="AJ694" s="886">
        <f t="shared" si="223"/>
        <v>6473600</v>
      </c>
      <c r="AK694" s="868">
        <f t="shared" si="236"/>
        <v>3046400</v>
      </c>
    </row>
    <row r="695" spans="5:37" s="887" customFormat="1" ht="35.25" customHeight="1" x14ac:dyDescent="0.2">
      <c r="E695" s="884" t="s">
        <v>2306</v>
      </c>
      <c r="F695" s="888"/>
      <c r="G695" s="928" t="s">
        <v>849</v>
      </c>
      <c r="H695" s="929"/>
      <c r="I695" s="903" t="s">
        <v>844</v>
      </c>
      <c r="J695" s="862"/>
      <c r="K695" s="903" t="s">
        <v>736</v>
      </c>
      <c r="L695" s="856"/>
      <c r="M695" s="862"/>
      <c r="N695" s="856"/>
      <c r="O695" s="863" t="s">
        <v>849</v>
      </c>
      <c r="P695" s="861">
        <v>1970</v>
      </c>
      <c r="Q695" s="862"/>
      <c r="R695" s="862"/>
      <c r="S695" s="862"/>
      <c r="T695" s="903" t="s">
        <v>12</v>
      </c>
      <c r="U695" s="879">
        <v>74850000</v>
      </c>
      <c r="V695" s="861" t="s">
        <v>43</v>
      </c>
      <c r="W695" s="865"/>
      <c r="X695" s="968"/>
      <c r="Y695" s="884" t="str">
        <f t="shared" si="224"/>
        <v>04.14.01</v>
      </c>
      <c r="Z695" s="884" t="str">
        <f t="shared" si="226"/>
        <v>Bangunan Air Irigasi</v>
      </c>
      <c r="AA695" s="884">
        <f t="shared" si="227"/>
        <v>50</v>
      </c>
      <c r="AB695" s="868">
        <f t="shared" si="228"/>
        <v>1497000</v>
      </c>
      <c r="AC695" s="885">
        <f t="shared" si="229"/>
        <v>44</v>
      </c>
      <c r="AD695" s="868">
        <f t="shared" si="230"/>
        <v>65868000</v>
      </c>
      <c r="AE695" s="868">
        <f t="shared" si="231"/>
        <v>1497000</v>
      </c>
      <c r="AF695" s="868">
        <f t="shared" si="232"/>
        <v>1497000</v>
      </c>
      <c r="AG695" s="868">
        <f t="shared" si="233"/>
        <v>1497000</v>
      </c>
      <c r="AH695" s="868">
        <f t="shared" si="234"/>
        <v>1497000</v>
      </c>
      <c r="AI695" s="886">
        <f t="shared" si="235"/>
        <v>1497000</v>
      </c>
      <c r="AJ695" s="886">
        <f t="shared" si="223"/>
        <v>73353000</v>
      </c>
      <c r="AK695" s="868">
        <f t="shared" si="236"/>
        <v>1497000</v>
      </c>
    </row>
    <row r="696" spans="5:37" s="887" customFormat="1" ht="35.25" customHeight="1" x14ac:dyDescent="0.2">
      <c r="E696" s="884" t="s">
        <v>2306</v>
      </c>
      <c r="F696" s="888"/>
      <c r="G696" s="928" t="s">
        <v>850</v>
      </c>
      <c r="H696" s="929"/>
      <c r="I696" s="903" t="s">
        <v>844</v>
      </c>
      <c r="J696" s="862"/>
      <c r="K696" s="903" t="s">
        <v>736</v>
      </c>
      <c r="L696" s="856"/>
      <c r="M696" s="862"/>
      <c r="N696" s="856"/>
      <c r="O696" s="863" t="s">
        <v>3380</v>
      </c>
      <c r="P696" s="861">
        <v>1992</v>
      </c>
      <c r="Q696" s="862"/>
      <c r="R696" s="862"/>
      <c r="S696" s="862"/>
      <c r="T696" s="903" t="s">
        <v>12</v>
      </c>
      <c r="U696" s="879">
        <v>408000000</v>
      </c>
      <c r="V696" s="861" t="s">
        <v>43</v>
      </c>
      <c r="W696" s="865"/>
      <c r="X696" s="968"/>
      <c r="Y696" s="884" t="str">
        <f t="shared" si="224"/>
        <v>04.14.01</v>
      </c>
      <c r="Z696" s="884" t="str">
        <f t="shared" si="226"/>
        <v>Bangunan Air Irigasi</v>
      </c>
      <c r="AA696" s="884">
        <f t="shared" si="227"/>
        <v>50</v>
      </c>
      <c r="AB696" s="868">
        <f t="shared" si="228"/>
        <v>8160000</v>
      </c>
      <c r="AC696" s="885">
        <f t="shared" si="229"/>
        <v>22</v>
      </c>
      <c r="AD696" s="868">
        <f t="shared" si="230"/>
        <v>179520000</v>
      </c>
      <c r="AE696" s="868">
        <f t="shared" si="231"/>
        <v>8160000</v>
      </c>
      <c r="AF696" s="868">
        <f t="shared" si="232"/>
        <v>8160000</v>
      </c>
      <c r="AG696" s="868">
        <f t="shared" si="233"/>
        <v>8160000</v>
      </c>
      <c r="AH696" s="868">
        <f t="shared" si="234"/>
        <v>8160000</v>
      </c>
      <c r="AI696" s="886">
        <f t="shared" si="235"/>
        <v>8160000</v>
      </c>
      <c r="AJ696" s="886">
        <f t="shared" si="223"/>
        <v>220320000</v>
      </c>
      <c r="AK696" s="868">
        <f t="shared" si="236"/>
        <v>187680000</v>
      </c>
    </row>
    <row r="697" spans="5:37" s="887" customFormat="1" ht="35.25" customHeight="1" x14ac:dyDescent="0.2">
      <c r="E697" s="884" t="s">
        <v>2306</v>
      </c>
      <c r="F697" s="888"/>
      <c r="G697" s="928" t="s">
        <v>851</v>
      </c>
      <c r="H697" s="929"/>
      <c r="I697" s="903" t="s">
        <v>852</v>
      </c>
      <c r="J697" s="862"/>
      <c r="K697" s="903" t="s">
        <v>853</v>
      </c>
      <c r="L697" s="856"/>
      <c r="M697" s="862"/>
      <c r="N697" s="856"/>
      <c r="O697" s="863"/>
      <c r="P697" s="861">
        <v>1986</v>
      </c>
      <c r="Q697" s="862"/>
      <c r="R697" s="862"/>
      <c r="S697" s="862"/>
      <c r="T697" s="903" t="s">
        <v>12</v>
      </c>
      <c r="U697" s="879">
        <v>28000000</v>
      </c>
      <c r="V697" s="861"/>
      <c r="W697" s="865"/>
      <c r="X697" s="968"/>
      <c r="Y697" s="884" t="str">
        <f t="shared" si="224"/>
        <v>04.14.06</v>
      </c>
      <c r="Z697" s="884" t="str">
        <f t="shared" si="226"/>
        <v>Bangunan Air Bersih/Baku</v>
      </c>
      <c r="AA697" s="884">
        <f t="shared" si="227"/>
        <v>40</v>
      </c>
      <c r="AB697" s="868">
        <f t="shared" si="228"/>
        <v>700000</v>
      </c>
      <c r="AC697" s="885">
        <f t="shared" si="229"/>
        <v>28</v>
      </c>
      <c r="AD697" s="868">
        <f t="shared" si="230"/>
        <v>19600000</v>
      </c>
      <c r="AE697" s="868">
        <f t="shared" si="231"/>
        <v>700000</v>
      </c>
      <c r="AF697" s="868">
        <f t="shared" si="232"/>
        <v>700000</v>
      </c>
      <c r="AG697" s="868">
        <f t="shared" si="233"/>
        <v>700000</v>
      </c>
      <c r="AH697" s="868">
        <f t="shared" si="234"/>
        <v>700000</v>
      </c>
      <c r="AI697" s="886">
        <f t="shared" si="235"/>
        <v>700000</v>
      </c>
      <c r="AJ697" s="886">
        <f t="shared" si="223"/>
        <v>23100000</v>
      </c>
      <c r="AK697" s="868">
        <f t="shared" si="236"/>
        <v>4900000</v>
      </c>
    </row>
    <row r="698" spans="5:37" s="887" customFormat="1" ht="35.25" customHeight="1" x14ac:dyDescent="0.2">
      <c r="E698" s="884" t="s">
        <v>2306</v>
      </c>
      <c r="F698" s="888"/>
      <c r="G698" s="928" t="s">
        <v>851</v>
      </c>
      <c r="H698" s="929"/>
      <c r="I698" s="903" t="s">
        <v>852</v>
      </c>
      <c r="J698" s="862"/>
      <c r="K698" s="903" t="s">
        <v>853</v>
      </c>
      <c r="L698" s="856"/>
      <c r="M698" s="862"/>
      <c r="N698" s="856"/>
      <c r="O698" s="863"/>
      <c r="P698" s="861">
        <v>2000</v>
      </c>
      <c r="Q698" s="862"/>
      <c r="R698" s="862"/>
      <c r="S698" s="862"/>
      <c r="T698" s="903" t="s">
        <v>12</v>
      </c>
      <c r="U698" s="879">
        <v>16800000</v>
      </c>
      <c r="V698" s="861" t="s">
        <v>43</v>
      </c>
      <c r="W698" s="865"/>
      <c r="X698" s="968"/>
      <c r="Y698" s="884" t="str">
        <f t="shared" si="224"/>
        <v>04.14.06</v>
      </c>
      <c r="Z698" s="884" t="str">
        <f t="shared" si="226"/>
        <v>Bangunan Air Bersih/Baku</v>
      </c>
      <c r="AA698" s="884">
        <f t="shared" si="227"/>
        <v>40</v>
      </c>
      <c r="AB698" s="868">
        <f t="shared" si="228"/>
        <v>420000</v>
      </c>
      <c r="AC698" s="885">
        <f t="shared" si="229"/>
        <v>14</v>
      </c>
      <c r="AD698" s="868">
        <f t="shared" si="230"/>
        <v>5880000</v>
      </c>
      <c r="AE698" s="868">
        <f t="shared" si="231"/>
        <v>420000</v>
      </c>
      <c r="AF698" s="868">
        <f t="shared" si="232"/>
        <v>420000</v>
      </c>
      <c r="AG698" s="868">
        <f t="shared" si="233"/>
        <v>420000</v>
      </c>
      <c r="AH698" s="868">
        <f t="shared" si="234"/>
        <v>420000</v>
      </c>
      <c r="AI698" s="886">
        <f t="shared" si="235"/>
        <v>420000</v>
      </c>
      <c r="AJ698" s="886">
        <f t="shared" si="223"/>
        <v>7980000</v>
      </c>
      <c r="AK698" s="868">
        <f t="shared" si="236"/>
        <v>8820000</v>
      </c>
    </row>
    <row r="699" spans="5:37" s="887" customFormat="1" ht="35.25" customHeight="1" x14ac:dyDescent="0.2">
      <c r="E699" s="884" t="s">
        <v>2306</v>
      </c>
      <c r="F699" s="888"/>
      <c r="G699" s="928" t="s">
        <v>851</v>
      </c>
      <c r="H699" s="929"/>
      <c r="I699" s="903" t="s">
        <v>852</v>
      </c>
      <c r="J699" s="862"/>
      <c r="K699" s="903" t="s">
        <v>736</v>
      </c>
      <c r="L699" s="856"/>
      <c r="M699" s="862"/>
      <c r="N699" s="856"/>
      <c r="O699" s="863"/>
      <c r="P699" s="861">
        <v>2000</v>
      </c>
      <c r="Q699" s="862"/>
      <c r="R699" s="862"/>
      <c r="S699" s="862"/>
      <c r="T699" s="903" t="s">
        <v>12</v>
      </c>
      <c r="U699" s="879">
        <v>88200000</v>
      </c>
      <c r="V699" s="861" t="s">
        <v>43</v>
      </c>
      <c r="W699" s="865"/>
      <c r="X699" s="968"/>
      <c r="Y699" s="884" t="str">
        <f t="shared" si="224"/>
        <v>04.14.06</v>
      </c>
      <c r="Z699" s="884" t="str">
        <f t="shared" si="226"/>
        <v>Bangunan Air Bersih/Baku</v>
      </c>
      <c r="AA699" s="884">
        <f t="shared" si="227"/>
        <v>40</v>
      </c>
      <c r="AB699" s="868">
        <f t="shared" si="228"/>
        <v>2205000</v>
      </c>
      <c r="AC699" s="885">
        <f t="shared" si="229"/>
        <v>14</v>
      </c>
      <c r="AD699" s="868">
        <f t="shared" si="230"/>
        <v>30870000</v>
      </c>
      <c r="AE699" s="868">
        <f t="shared" si="231"/>
        <v>2205000</v>
      </c>
      <c r="AF699" s="868">
        <f t="shared" si="232"/>
        <v>2205000</v>
      </c>
      <c r="AG699" s="868">
        <f t="shared" si="233"/>
        <v>2205000</v>
      </c>
      <c r="AH699" s="868">
        <f t="shared" si="234"/>
        <v>2205000</v>
      </c>
      <c r="AI699" s="886">
        <f t="shared" si="235"/>
        <v>2205000</v>
      </c>
      <c r="AJ699" s="886">
        <f t="shared" si="223"/>
        <v>41895000</v>
      </c>
      <c r="AK699" s="868">
        <f t="shared" si="236"/>
        <v>46305000</v>
      </c>
    </row>
    <row r="700" spans="5:37" s="887" customFormat="1" ht="35.25" customHeight="1" x14ac:dyDescent="0.2">
      <c r="E700" s="884" t="s">
        <v>2306</v>
      </c>
      <c r="F700" s="888"/>
      <c r="G700" s="928" t="s">
        <v>854</v>
      </c>
      <c r="H700" s="929"/>
      <c r="I700" s="903" t="s">
        <v>855</v>
      </c>
      <c r="J700" s="862"/>
      <c r="K700" s="903" t="s">
        <v>736</v>
      </c>
      <c r="L700" s="856"/>
      <c r="M700" s="862"/>
      <c r="N700" s="856"/>
      <c r="O700" s="863"/>
      <c r="P700" s="861">
        <v>2000</v>
      </c>
      <c r="Q700" s="862"/>
      <c r="R700" s="862"/>
      <c r="S700" s="862"/>
      <c r="T700" s="903" t="s">
        <v>12</v>
      </c>
      <c r="U700" s="879">
        <v>72800000</v>
      </c>
      <c r="V700" s="861" t="s">
        <v>43</v>
      </c>
      <c r="W700" s="865"/>
      <c r="X700" s="968"/>
      <c r="Y700" s="884" t="str">
        <f t="shared" si="224"/>
        <v>04.14.07</v>
      </c>
      <c r="Z700" s="884" t="str">
        <f t="shared" si="226"/>
        <v>Bangunan Air Kotor</v>
      </c>
      <c r="AA700" s="884">
        <f t="shared" si="227"/>
        <v>40</v>
      </c>
      <c r="AB700" s="868">
        <f t="shared" si="228"/>
        <v>1820000</v>
      </c>
      <c r="AC700" s="885">
        <f t="shared" si="229"/>
        <v>14</v>
      </c>
      <c r="AD700" s="868">
        <f t="shared" si="230"/>
        <v>25480000</v>
      </c>
      <c r="AE700" s="868">
        <f t="shared" si="231"/>
        <v>1820000</v>
      </c>
      <c r="AF700" s="868">
        <f t="shared" si="232"/>
        <v>1820000</v>
      </c>
      <c r="AG700" s="868">
        <f t="shared" si="233"/>
        <v>1820000</v>
      </c>
      <c r="AH700" s="868">
        <f t="shared" si="234"/>
        <v>1820000</v>
      </c>
      <c r="AI700" s="886">
        <f t="shared" si="235"/>
        <v>1820000</v>
      </c>
      <c r="AJ700" s="886">
        <f t="shared" si="223"/>
        <v>34580000</v>
      </c>
      <c r="AK700" s="868">
        <f t="shared" si="236"/>
        <v>38220000</v>
      </c>
    </row>
    <row r="701" spans="5:37" s="887" customFormat="1" ht="35.25" customHeight="1" x14ac:dyDescent="0.2">
      <c r="E701" s="884" t="s">
        <v>2306</v>
      </c>
      <c r="F701" s="888"/>
      <c r="G701" s="928" t="s">
        <v>856</v>
      </c>
      <c r="H701" s="929"/>
      <c r="I701" s="903" t="s">
        <v>855</v>
      </c>
      <c r="J701" s="862"/>
      <c r="K701" s="903" t="s">
        <v>736</v>
      </c>
      <c r="L701" s="856"/>
      <c r="M701" s="862"/>
      <c r="N701" s="856"/>
      <c r="O701" s="863"/>
      <c r="P701" s="861">
        <v>2000</v>
      </c>
      <c r="Q701" s="862"/>
      <c r="R701" s="862"/>
      <c r="S701" s="862"/>
      <c r="T701" s="903" t="s">
        <v>12</v>
      </c>
      <c r="U701" s="879">
        <v>72800000</v>
      </c>
      <c r="V701" s="861" t="s">
        <v>43</v>
      </c>
      <c r="W701" s="865"/>
      <c r="X701" s="968"/>
      <c r="Y701" s="884" t="str">
        <f t="shared" si="224"/>
        <v>04.14.07</v>
      </c>
      <c r="Z701" s="884" t="str">
        <f t="shared" si="226"/>
        <v>Bangunan Air Kotor</v>
      </c>
      <c r="AA701" s="884">
        <f t="shared" si="227"/>
        <v>40</v>
      </c>
      <c r="AB701" s="868">
        <f t="shared" si="228"/>
        <v>1820000</v>
      </c>
      <c r="AC701" s="885">
        <f t="shared" si="229"/>
        <v>14</v>
      </c>
      <c r="AD701" s="868">
        <f t="shared" si="230"/>
        <v>25480000</v>
      </c>
      <c r="AE701" s="868">
        <f t="shared" si="231"/>
        <v>1820000</v>
      </c>
      <c r="AF701" s="868">
        <f t="shared" si="232"/>
        <v>1820000</v>
      </c>
      <c r="AG701" s="868">
        <f t="shared" si="233"/>
        <v>1820000</v>
      </c>
      <c r="AH701" s="868">
        <f t="shared" si="234"/>
        <v>1820000</v>
      </c>
      <c r="AI701" s="886">
        <f t="shared" si="235"/>
        <v>1820000</v>
      </c>
      <c r="AJ701" s="886">
        <f t="shared" si="223"/>
        <v>34580000</v>
      </c>
      <c r="AK701" s="868">
        <f t="shared" si="236"/>
        <v>38220000</v>
      </c>
    </row>
    <row r="702" spans="5:37" s="887" customFormat="1" ht="35.25" customHeight="1" x14ac:dyDescent="0.2">
      <c r="E702" s="884" t="s">
        <v>2306</v>
      </c>
      <c r="F702" s="888"/>
      <c r="G702" s="928" t="s">
        <v>857</v>
      </c>
      <c r="H702" s="929"/>
      <c r="I702" s="903" t="s">
        <v>855</v>
      </c>
      <c r="J702" s="862"/>
      <c r="K702" s="903" t="s">
        <v>736</v>
      </c>
      <c r="L702" s="856"/>
      <c r="M702" s="862"/>
      <c r="N702" s="856"/>
      <c r="O702" s="863"/>
      <c r="P702" s="861">
        <v>2000</v>
      </c>
      <c r="Q702" s="862"/>
      <c r="R702" s="862"/>
      <c r="S702" s="862"/>
      <c r="T702" s="903" t="s">
        <v>12</v>
      </c>
      <c r="U702" s="879">
        <v>72800000</v>
      </c>
      <c r="V702" s="861" t="s">
        <v>43</v>
      </c>
      <c r="W702" s="865"/>
      <c r="X702" s="968"/>
      <c r="Y702" s="884" t="str">
        <f t="shared" si="224"/>
        <v>04.14.07</v>
      </c>
      <c r="Z702" s="884" t="str">
        <f t="shared" si="226"/>
        <v>Bangunan Air Kotor</v>
      </c>
      <c r="AA702" s="884">
        <f t="shared" si="227"/>
        <v>40</v>
      </c>
      <c r="AB702" s="868">
        <f t="shared" si="228"/>
        <v>1820000</v>
      </c>
      <c r="AC702" s="885">
        <f t="shared" si="229"/>
        <v>14</v>
      </c>
      <c r="AD702" s="868">
        <f t="shared" si="230"/>
        <v>25480000</v>
      </c>
      <c r="AE702" s="868">
        <f t="shared" si="231"/>
        <v>1820000</v>
      </c>
      <c r="AF702" s="868">
        <f t="shared" si="232"/>
        <v>1820000</v>
      </c>
      <c r="AG702" s="868">
        <f t="shared" si="233"/>
        <v>1820000</v>
      </c>
      <c r="AH702" s="868">
        <f t="shared" si="234"/>
        <v>1820000</v>
      </c>
      <c r="AI702" s="886">
        <f t="shared" si="235"/>
        <v>1820000</v>
      </c>
      <c r="AJ702" s="886">
        <f t="shared" si="223"/>
        <v>34580000</v>
      </c>
      <c r="AK702" s="868">
        <f t="shared" si="236"/>
        <v>38220000</v>
      </c>
    </row>
    <row r="703" spans="5:37" s="887" customFormat="1" ht="35.25" customHeight="1" x14ac:dyDescent="0.2">
      <c r="E703" s="884" t="s">
        <v>2306</v>
      </c>
      <c r="F703" s="888"/>
      <c r="G703" s="928" t="s">
        <v>858</v>
      </c>
      <c r="H703" s="929"/>
      <c r="I703" s="903" t="s">
        <v>855</v>
      </c>
      <c r="J703" s="862"/>
      <c r="K703" s="903" t="s">
        <v>736</v>
      </c>
      <c r="L703" s="856"/>
      <c r="M703" s="862"/>
      <c r="N703" s="856"/>
      <c r="O703" s="863"/>
      <c r="P703" s="861">
        <v>2000</v>
      </c>
      <c r="Q703" s="862"/>
      <c r="R703" s="862"/>
      <c r="S703" s="862"/>
      <c r="T703" s="903" t="s">
        <v>12</v>
      </c>
      <c r="U703" s="879">
        <v>210000000</v>
      </c>
      <c r="V703" s="861" t="s">
        <v>43</v>
      </c>
      <c r="W703" s="865"/>
      <c r="X703" s="968"/>
      <c r="Y703" s="884" t="str">
        <f t="shared" si="224"/>
        <v>04.14.07</v>
      </c>
      <c r="Z703" s="884" t="str">
        <f t="shared" si="226"/>
        <v>Bangunan Air Kotor</v>
      </c>
      <c r="AA703" s="884">
        <f t="shared" si="227"/>
        <v>40</v>
      </c>
      <c r="AB703" s="868">
        <f t="shared" si="228"/>
        <v>5250000</v>
      </c>
      <c r="AC703" s="885">
        <f t="shared" si="229"/>
        <v>14</v>
      </c>
      <c r="AD703" s="868">
        <f t="shared" si="230"/>
        <v>73500000</v>
      </c>
      <c r="AE703" s="868">
        <f t="shared" si="231"/>
        <v>5250000</v>
      </c>
      <c r="AF703" s="868">
        <f t="shared" si="232"/>
        <v>5250000</v>
      </c>
      <c r="AG703" s="868">
        <f t="shared" si="233"/>
        <v>5250000</v>
      </c>
      <c r="AH703" s="868">
        <f t="shared" si="234"/>
        <v>5250000</v>
      </c>
      <c r="AI703" s="886">
        <f t="shared" si="235"/>
        <v>5250000</v>
      </c>
      <c r="AJ703" s="886">
        <f t="shared" si="223"/>
        <v>99750000</v>
      </c>
      <c r="AK703" s="868">
        <f t="shared" si="236"/>
        <v>110250000</v>
      </c>
    </row>
    <row r="704" spans="5:37" s="887" customFormat="1" ht="35.25" customHeight="1" x14ac:dyDescent="0.2">
      <c r="E704" s="884" t="s">
        <v>2306</v>
      </c>
      <c r="F704" s="888"/>
      <c r="G704" s="907" t="s">
        <v>1467</v>
      </c>
      <c r="H704" s="917"/>
      <c r="I704" s="930" t="s">
        <v>4199</v>
      </c>
      <c r="J704" s="878"/>
      <c r="K704" s="903"/>
      <c r="L704" s="908"/>
      <c r="M704" s="878"/>
      <c r="N704" s="908"/>
      <c r="O704" s="907" t="s">
        <v>3381</v>
      </c>
      <c r="P704" s="903">
        <v>2007</v>
      </c>
      <c r="Q704" s="878"/>
      <c r="R704" s="878"/>
      <c r="S704" s="878"/>
      <c r="T704" s="903" t="s">
        <v>12</v>
      </c>
      <c r="U704" s="879">
        <v>2779648000</v>
      </c>
      <c r="V704" s="903" t="s">
        <v>43</v>
      </c>
      <c r="W704" s="931"/>
      <c r="X704" s="971"/>
      <c r="Y704" s="884" t="str">
        <f t="shared" si="224"/>
        <v>04.14.01</v>
      </c>
      <c r="Z704" s="884" t="str">
        <f t="shared" si="226"/>
        <v>Bangunan Air Irigasi</v>
      </c>
      <c r="AA704" s="884">
        <f t="shared" si="227"/>
        <v>50</v>
      </c>
      <c r="AB704" s="868">
        <f t="shared" si="228"/>
        <v>55592960</v>
      </c>
      <c r="AC704" s="885">
        <f t="shared" si="229"/>
        <v>7</v>
      </c>
      <c r="AD704" s="868">
        <f t="shared" si="230"/>
        <v>389150720</v>
      </c>
      <c r="AE704" s="868">
        <f t="shared" si="231"/>
        <v>55592960</v>
      </c>
      <c r="AF704" s="868">
        <f t="shared" si="232"/>
        <v>55592960</v>
      </c>
      <c r="AG704" s="868">
        <f t="shared" si="233"/>
        <v>55592960</v>
      </c>
      <c r="AH704" s="868">
        <f t="shared" si="234"/>
        <v>55592960</v>
      </c>
      <c r="AI704" s="886">
        <f t="shared" si="235"/>
        <v>55592960</v>
      </c>
      <c r="AJ704" s="886">
        <f t="shared" si="223"/>
        <v>667115520</v>
      </c>
      <c r="AK704" s="868">
        <f t="shared" si="236"/>
        <v>2112532480</v>
      </c>
    </row>
    <row r="705" spans="5:37" s="887" customFormat="1" ht="35.25" customHeight="1" x14ac:dyDescent="0.2">
      <c r="E705" s="884" t="s">
        <v>2306</v>
      </c>
      <c r="F705" s="888"/>
      <c r="G705" s="907" t="s">
        <v>1467</v>
      </c>
      <c r="H705" s="917"/>
      <c r="I705" s="930" t="s">
        <v>4199</v>
      </c>
      <c r="J705" s="878"/>
      <c r="K705" s="903"/>
      <c r="L705" s="908"/>
      <c r="M705" s="878"/>
      <c r="N705" s="908"/>
      <c r="O705" s="907" t="s">
        <v>3381</v>
      </c>
      <c r="P705" s="903">
        <v>2007</v>
      </c>
      <c r="Q705" s="878"/>
      <c r="R705" s="878"/>
      <c r="S705" s="878"/>
      <c r="T705" s="903" t="s">
        <v>12</v>
      </c>
      <c r="U705" s="879">
        <v>282200000</v>
      </c>
      <c r="V705" s="903" t="s">
        <v>43</v>
      </c>
      <c r="W705" s="931"/>
      <c r="X705" s="971"/>
      <c r="Y705" s="884" t="str">
        <f t="shared" si="224"/>
        <v>04.14.01</v>
      </c>
      <c r="Z705" s="884" t="str">
        <f t="shared" si="226"/>
        <v>Bangunan Air Irigasi</v>
      </c>
      <c r="AA705" s="884">
        <f t="shared" si="227"/>
        <v>50</v>
      </c>
      <c r="AB705" s="868">
        <f t="shared" si="228"/>
        <v>5644000</v>
      </c>
      <c r="AC705" s="885">
        <f t="shared" si="229"/>
        <v>7</v>
      </c>
      <c r="AD705" s="868">
        <f t="shared" si="230"/>
        <v>39508000</v>
      </c>
      <c r="AE705" s="868">
        <f t="shared" si="231"/>
        <v>5644000</v>
      </c>
      <c r="AF705" s="868">
        <f t="shared" si="232"/>
        <v>5644000</v>
      </c>
      <c r="AG705" s="868">
        <f t="shared" si="233"/>
        <v>5644000</v>
      </c>
      <c r="AH705" s="868">
        <f t="shared" si="234"/>
        <v>5644000</v>
      </c>
      <c r="AI705" s="886">
        <f t="shared" si="235"/>
        <v>5644000</v>
      </c>
      <c r="AJ705" s="886">
        <f t="shared" si="223"/>
        <v>67728000</v>
      </c>
      <c r="AK705" s="868">
        <f t="shared" si="236"/>
        <v>214472000</v>
      </c>
    </row>
    <row r="706" spans="5:37" s="887" customFormat="1" ht="35.25" customHeight="1" x14ac:dyDescent="0.2">
      <c r="E706" s="884" t="s">
        <v>2306</v>
      </c>
      <c r="F706" s="888"/>
      <c r="G706" s="907" t="s">
        <v>1468</v>
      </c>
      <c r="H706" s="917"/>
      <c r="I706" s="930" t="s">
        <v>4199</v>
      </c>
      <c r="J706" s="878"/>
      <c r="K706" s="903"/>
      <c r="L706" s="908"/>
      <c r="M706" s="878"/>
      <c r="N706" s="908"/>
      <c r="O706" s="907"/>
      <c r="P706" s="903">
        <v>2008</v>
      </c>
      <c r="Q706" s="878"/>
      <c r="R706" s="878"/>
      <c r="S706" s="878"/>
      <c r="T706" s="903" t="s">
        <v>12</v>
      </c>
      <c r="U706" s="879">
        <v>220000000</v>
      </c>
      <c r="V706" s="903" t="s">
        <v>43</v>
      </c>
      <c r="W706" s="931"/>
      <c r="X706" s="971"/>
      <c r="Y706" s="884" t="str">
        <f t="shared" si="224"/>
        <v>04.14.01</v>
      </c>
      <c r="Z706" s="884" t="str">
        <f t="shared" si="226"/>
        <v>Bangunan Air Irigasi</v>
      </c>
      <c r="AA706" s="884">
        <f t="shared" si="227"/>
        <v>50</v>
      </c>
      <c r="AB706" s="868">
        <f t="shared" si="228"/>
        <v>4400000</v>
      </c>
      <c r="AC706" s="885">
        <f t="shared" si="229"/>
        <v>6</v>
      </c>
      <c r="AD706" s="868">
        <f t="shared" si="230"/>
        <v>26400000</v>
      </c>
      <c r="AE706" s="868">
        <f t="shared" si="231"/>
        <v>4400000</v>
      </c>
      <c r="AF706" s="868">
        <f t="shared" si="232"/>
        <v>4400000</v>
      </c>
      <c r="AG706" s="868">
        <f t="shared" si="233"/>
        <v>4400000</v>
      </c>
      <c r="AH706" s="868">
        <f t="shared" si="234"/>
        <v>4400000</v>
      </c>
      <c r="AI706" s="886">
        <f t="shared" si="235"/>
        <v>4400000</v>
      </c>
      <c r="AJ706" s="886">
        <f t="shared" si="223"/>
        <v>48400000</v>
      </c>
      <c r="AK706" s="868">
        <f t="shared" si="236"/>
        <v>171600000</v>
      </c>
    </row>
    <row r="707" spans="5:37" s="887" customFormat="1" ht="35.25" customHeight="1" x14ac:dyDescent="0.2">
      <c r="E707" s="884" t="s">
        <v>2306</v>
      </c>
      <c r="F707" s="888"/>
      <c r="G707" s="907" t="s">
        <v>1469</v>
      </c>
      <c r="H707" s="917"/>
      <c r="I707" s="930" t="s">
        <v>4199</v>
      </c>
      <c r="J707" s="878"/>
      <c r="K707" s="903"/>
      <c r="L707" s="908"/>
      <c r="M707" s="878"/>
      <c r="N707" s="908"/>
      <c r="O707" s="907"/>
      <c r="P707" s="903">
        <v>2009</v>
      </c>
      <c r="Q707" s="878"/>
      <c r="R707" s="878"/>
      <c r="S707" s="878"/>
      <c r="T707" s="903" t="s">
        <v>12</v>
      </c>
      <c r="U707" s="879">
        <v>6440797062</v>
      </c>
      <c r="V707" s="903" t="s">
        <v>43</v>
      </c>
      <c r="W707" s="931"/>
      <c r="X707" s="971"/>
      <c r="Y707" s="884" t="str">
        <f t="shared" si="224"/>
        <v>04.14.01</v>
      </c>
      <c r="Z707" s="884" t="str">
        <f t="shared" si="226"/>
        <v>Bangunan Air Irigasi</v>
      </c>
      <c r="AA707" s="884">
        <f t="shared" si="227"/>
        <v>50</v>
      </c>
      <c r="AB707" s="868">
        <f t="shared" si="228"/>
        <v>128815941.23999999</v>
      </c>
      <c r="AC707" s="885">
        <f t="shared" si="229"/>
        <v>5</v>
      </c>
      <c r="AD707" s="868">
        <f t="shared" si="230"/>
        <v>644079706.19999993</v>
      </c>
      <c r="AE707" s="868">
        <f t="shared" si="231"/>
        <v>128815941.23999999</v>
      </c>
      <c r="AF707" s="868">
        <f t="shared" si="232"/>
        <v>128815941.23999999</v>
      </c>
      <c r="AG707" s="868">
        <f t="shared" si="233"/>
        <v>128815941.23999999</v>
      </c>
      <c r="AH707" s="868">
        <f t="shared" si="234"/>
        <v>128815941.23999999</v>
      </c>
      <c r="AI707" s="886">
        <f t="shared" si="235"/>
        <v>128815941.23999999</v>
      </c>
      <c r="AJ707" s="886">
        <f t="shared" si="223"/>
        <v>1288159412.3999999</v>
      </c>
      <c r="AK707" s="868">
        <f t="shared" si="236"/>
        <v>5152637649.6000004</v>
      </c>
    </row>
    <row r="708" spans="5:37" s="887" customFormat="1" ht="35.25" customHeight="1" x14ac:dyDescent="0.2">
      <c r="E708" s="884" t="s">
        <v>2306</v>
      </c>
      <c r="F708" s="888"/>
      <c r="G708" s="907" t="s">
        <v>1470</v>
      </c>
      <c r="H708" s="917"/>
      <c r="I708" s="930" t="s">
        <v>4199</v>
      </c>
      <c r="J708" s="878"/>
      <c r="K708" s="903"/>
      <c r="L708" s="908"/>
      <c r="M708" s="878"/>
      <c r="N708" s="908"/>
      <c r="O708" s="907"/>
      <c r="P708" s="903">
        <v>2010</v>
      </c>
      <c r="Q708" s="878"/>
      <c r="R708" s="878"/>
      <c r="S708" s="878"/>
      <c r="T708" s="903" t="s">
        <v>12</v>
      </c>
      <c r="U708" s="879">
        <v>49222000</v>
      </c>
      <c r="V708" s="903" t="s">
        <v>43</v>
      </c>
      <c r="W708" s="931"/>
      <c r="X708" s="971"/>
      <c r="Y708" s="884" t="str">
        <f t="shared" si="224"/>
        <v>04.14.01</v>
      </c>
      <c r="Z708" s="884" t="str">
        <f t="shared" si="226"/>
        <v>Bangunan Air Irigasi</v>
      </c>
      <c r="AA708" s="884">
        <f t="shared" si="227"/>
        <v>50</v>
      </c>
      <c r="AB708" s="868">
        <f t="shared" si="228"/>
        <v>984440</v>
      </c>
      <c r="AC708" s="885">
        <f t="shared" si="229"/>
        <v>4</v>
      </c>
      <c r="AD708" s="868">
        <f t="shared" si="230"/>
        <v>3937760</v>
      </c>
      <c r="AE708" s="868">
        <f t="shared" si="231"/>
        <v>984440</v>
      </c>
      <c r="AF708" s="868">
        <f t="shared" si="232"/>
        <v>984440</v>
      </c>
      <c r="AG708" s="868">
        <f t="shared" si="233"/>
        <v>984440</v>
      </c>
      <c r="AH708" s="868">
        <f t="shared" si="234"/>
        <v>984440</v>
      </c>
      <c r="AI708" s="886">
        <f t="shared" si="235"/>
        <v>984440</v>
      </c>
      <c r="AJ708" s="886">
        <f t="shared" si="223"/>
        <v>8859960</v>
      </c>
      <c r="AK708" s="868">
        <f t="shared" si="236"/>
        <v>40362040</v>
      </c>
    </row>
    <row r="709" spans="5:37" s="887" customFormat="1" ht="35.25" customHeight="1" x14ac:dyDescent="0.2">
      <c r="E709" s="884" t="s">
        <v>2306</v>
      </c>
      <c r="F709" s="888"/>
      <c r="G709" s="907" t="s">
        <v>1470</v>
      </c>
      <c r="H709" s="917"/>
      <c r="I709" s="930" t="s">
        <v>4199</v>
      </c>
      <c r="J709" s="878"/>
      <c r="K709" s="903"/>
      <c r="L709" s="908"/>
      <c r="M709" s="878"/>
      <c r="N709" s="908"/>
      <c r="O709" s="907"/>
      <c r="P709" s="903">
        <v>2010</v>
      </c>
      <c r="Q709" s="878"/>
      <c r="R709" s="878"/>
      <c r="S709" s="878"/>
      <c r="T709" s="903" t="s">
        <v>12</v>
      </c>
      <c r="U709" s="879">
        <v>2566886647</v>
      </c>
      <c r="V709" s="903" t="s">
        <v>43</v>
      </c>
      <c r="W709" s="931"/>
      <c r="X709" s="971"/>
      <c r="Y709" s="884" t="str">
        <f t="shared" si="224"/>
        <v>04.14.01</v>
      </c>
      <c r="Z709" s="884" t="str">
        <f t="shared" si="226"/>
        <v>Bangunan Air Irigasi</v>
      </c>
      <c r="AA709" s="884">
        <f t="shared" si="227"/>
        <v>50</v>
      </c>
      <c r="AB709" s="868">
        <f t="shared" si="228"/>
        <v>51337732.939999998</v>
      </c>
      <c r="AC709" s="885">
        <f t="shared" si="229"/>
        <v>4</v>
      </c>
      <c r="AD709" s="868">
        <f t="shared" si="230"/>
        <v>205350931.75999999</v>
      </c>
      <c r="AE709" s="868">
        <f t="shared" si="231"/>
        <v>51337732.939999998</v>
      </c>
      <c r="AF709" s="868">
        <f t="shared" si="232"/>
        <v>51337732.939999998</v>
      </c>
      <c r="AG709" s="868">
        <f t="shared" si="233"/>
        <v>51337732.939999998</v>
      </c>
      <c r="AH709" s="868">
        <f t="shared" si="234"/>
        <v>51337732.939999998</v>
      </c>
      <c r="AI709" s="886">
        <f t="shared" si="235"/>
        <v>51337732.939999998</v>
      </c>
      <c r="AJ709" s="886">
        <f t="shared" si="223"/>
        <v>462039596.45999998</v>
      </c>
      <c r="AK709" s="868">
        <f t="shared" si="236"/>
        <v>2104847050.54</v>
      </c>
    </row>
    <row r="710" spans="5:37" s="887" customFormat="1" ht="35.25" customHeight="1" x14ac:dyDescent="0.2">
      <c r="E710" s="884" t="s">
        <v>2306</v>
      </c>
      <c r="F710" s="888"/>
      <c r="G710" s="907" t="s">
        <v>1470</v>
      </c>
      <c r="H710" s="917"/>
      <c r="I710" s="930" t="s">
        <v>4199</v>
      </c>
      <c r="J710" s="878"/>
      <c r="K710" s="903"/>
      <c r="L710" s="908"/>
      <c r="M710" s="878"/>
      <c r="N710" s="908"/>
      <c r="O710" s="907"/>
      <c r="P710" s="903">
        <v>2010</v>
      </c>
      <c r="Q710" s="878"/>
      <c r="R710" s="878"/>
      <c r="S710" s="878"/>
      <c r="T710" s="903" t="s">
        <v>12</v>
      </c>
      <c r="U710" s="879">
        <v>1283493564</v>
      </c>
      <c r="V710" s="903" t="s">
        <v>43</v>
      </c>
      <c r="W710" s="931"/>
      <c r="X710" s="971"/>
      <c r="Y710" s="884" t="str">
        <f t="shared" si="224"/>
        <v>04.14.01</v>
      </c>
      <c r="Z710" s="884" t="str">
        <f t="shared" si="226"/>
        <v>Bangunan Air Irigasi</v>
      </c>
      <c r="AA710" s="884">
        <f t="shared" si="227"/>
        <v>50</v>
      </c>
      <c r="AB710" s="868">
        <f t="shared" si="228"/>
        <v>25669871.280000001</v>
      </c>
      <c r="AC710" s="885">
        <f t="shared" si="229"/>
        <v>4</v>
      </c>
      <c r="AD710" s="868">
        <f t="shared" si="230"/>
        <v>102679485.12</v>
      </c>
      <c r="AE710" s="868">
        <f t="shared" si="231"/>
        <v>25669871.280000001</v>
      </c>
      <c r="AF710" s="868">
        <f t="shared" si="232"/>
        <v>25669871.280000001</v>
      </c>
      <c r="AG710" s="868">
        <f t="shared" si="233"/>
        <v>25669871.280000001</v>
      </c>
      <c r="AH710" s="868">
        <f t="shared" si="234"/>
        <v>25669871.280000001</v>
      </c>
      <c r="AI710" s="886">
        <f t="shared" si="235"/>
        <v>25669871.280000001</v>
      </c>
      <c r="AJ710" s="886">
        <f t="shared" si="223"/>
        <v>231028841.52000001</v>
      </c>
      <c r="AK710" s="868">
        <f t="shared" si="236"/>
        <v>1052464722.48</v>
      </c>
    </row>
    <row r="711" spans="5:37" s="887" customFormat="1" ht="35.25" customHeight="1" x14ac:dyDescent="0.2">
      <c r="E711" s="884" t="s">
        <v>2306</v>
      </c>
      <c r="F711" s="888"/>
      <c r="G711" s="907" t="s">
        <v>1471</v>
      </c>
      <c r="H711" s="917"/>
      <c r="I711" s="930" t="s">
        <v>4199</v>
      </c>
      <c r="J711" s="878"/>
      <c r="K711" s="903" t="s">
        <v>835</v>
      </c>
      <c r="L711" s="908"/>
      <c r="M711" s="878"/>
      <c r="N711" s="908"/>
      <c r="O711" s="907" t="s">
        <v>3382</v>
      </c>
      <c r="P711" s="903">
        <v>2011</v>
      </c>
      <c r="Q711" s="878"/>
      <c r="R711" s="878"/>
      <c r="S711" s="878"/>
      <c r="T711" s="903" t="s">
        <v>12</v>
      </c>
      <c r="U711" s="879">
        <v>563256690.27361846</v>
      </c>
      <c r="V711" s="903" t="s">
        <v>43</v>
      </c>
      <c r="W711" s="931"/>
      <c r="X711" s="971"/>
      <c r="Y711" s="884" t="str">
        <f t="shared" si="224"/>
        <v>04.14.01</v>
      </c>
      <c r="Z711" s="884" t="str">
        <f t="shared" si="226"/>
        <v>Bangunan Air Irigasi</v>
      </c>
      <c r="AA711" s="884">
        <f t="shared" si="227"/>
        <v>50</v>
      </c>
      <c r="AB711" s="868">
        <f t="shared" si="228"/>
        <v>11265133.805472368</v>
      </c>
      <c r="AC711" s="885">
        <f t="shared" si="229"/>
        <v>3</v>
      </c>
      <c r="AD711" s="868">
        <f t="shared" si="230"/>
        <v>33795401.416417107</v>
      </c>
      <c r="AE711" s="868">
        <f t="shared" si="231"/>
        <v>11265133.805472368</v>
      </c>
      <c r="AF711" s="868">
        <f t="shared" si="232"/>
        <v>11265133.805472368</v>
      </c>
      <c r="AG711" s="868">
        <f t="shared" si="233"/>
        <v>11265133.805472368</v>
      </c>
      <c r="AH711" s="868">
        <f t="shared" si="234"/>
        <v>11265133.805472368</v>
      </c>
      <c r="AI711" s="886">
        <f t="shared" si="235"/>
        <v>11265133.805472368</v>
      </c>
      <c r="AJ711" s="886">
        <f t="shared" si="223"/>
        <v>90121070.443778962</v>
      </c>
      <c r="AK711" s="868">
        <f t="shared" si="236"/>
        <v>473135619.82983947</v>
      </c>
    </row>
    <row r="712" spans="5:37" s="887" customFormat="1" ht="35.25" customHeight="1" x14ac:dyDescent="0.2">
      <c r="E712" s="884" t="s">
        <v>2306</v>
      </c>
      <c r="F712" s="888"/>
      <c r="G712" s="907" t="s">
        <v>1472</v>
      </c>
      <c r="H712" s="917"/>
      <c r="I712" s="930" t="s">
        <v>4199</v>
      </c>
      <c r="J712" s="878"/>
      <c r="K712" s="903" t="s">
        <v>835</v>
      </c>
      <c r="L712" s="908"/>
      <c r="M712" s="878"/>
      <c r="N712" s="908"/>
      <c r="O712" s="907" t="s">
        <v>3383</v>
      </c>
      <c r="P712" s="903">
        <v>2011</v>
      </c>
      <c r="Q712" s="878"/>
      <c r="R712" s="878"/>
      <c r="S712" s="878"/>
      <c r="T712" s="903" t="s">
        <v>12</v>
      </c>
      <c r="U712" s="879">
        <v>364211928.3288675</v>
      </c>
      <c r="V712" s="903" t="s">
        <v>43</v>
      </c>
      <c r="W712" s="931"/>
      <c r="X712" s="971"/>
      <c r="Y712" s="884" t="str">
        <f t="shared" si="224"/>
        <v>04.14.01</v>
      </c>
      <c r="Z712" s="884" t="str">
        <f t="shared" si="226"/>
        <v>Bangunan Air Irigasi</v>
      </c>
      <c r="AA712" s="884">
        <f t="shared" si="227"/>
        <v>50</v>
      </c>
      <c r="AB712" s="868">
        <f t="shared" si="228"/>
        <v>7284238.5665773498</v>
      </c>
      <c r="AC712" s="885">
        <f t="shared" si="229"/>
        <v>3</v>
      </c>
      <c r="AD712" s="868">
        <f t="shared" si="230"/>
        <v>21852715.69973205</v>
      </c>
      <c r="AE712" s="868">
        <f t="shared" si="231"/>
        <v>7284238.5665773498</v>
      </c>
      <c r="AF712" s="868">
        <f t="shared" si="232"/>
        <v>7284238.5665773498</v>
      </c>
      <c r="AG712" s="868">
        <f t="shared" si="233"/>
        <v>7284238.5665773498</v>
      </c>
      <c r="AH712" s="868">
        <f t="shared" si="234"/>
        <v>7284238.5665773498</v>
      </c>
      <c r="AI712" s="886">
        <f t="shared" si="235"/>
        <v>7284238.5665773498</v>
      </c>
      <c r="AJ712" s="886">
        <f t="shared" si="223"/>
        <v>58273908.532618806</v>
      </c>
      <c r="AK712" s="868">
        <f t="shared" si="236"/>
        <v>305938019.79624867</v>
      </c>
    </row>
    <row r="713" spans="5:37" s="887" customFormat="1" ht="35.25" customHeight="1" x14ac:dyDescent="0.2">
      <c r="E713" s="884" t="s">
        <v>2306</v>
      </c>
      <c r="F713" s="888"/>
      <c r="G713" s="907" t="s">
        <v>1473</v>
      </c>
      <c r="H713" s="917"/>
      <c r="I713" s="930" t="s">
        <v>4199</v>
      </c>
      <c r="J713" s="878"/>
      <c r="K713" s="903" t="s">
        <v>835</v>
      </c>
      <c r="L713" s="908"/>
      <c r="M713" s="878"/>
      <c r="N713" s="908"/>
      <c r="O713" s="907" t="s">
        <v>3384</v>
      </c>
      <c r="P713" s="903">
        <v>2011</v>
      </c>
      <c r="Q713" s="878"/>
      <c r="R713" s="878"/>
      <c r="S713" s="878"/>
      <c r="T713" s="903" t="s">
        <v>12</v>
      </c>
      <c r="U713" s="879">
        <v>365047601.72667986</v>
      </c>
      <c r="V713" s="903" t="s">
        <v>43</v>
      </c>
      <c r="W713" s="931"/>
      <c r="X713" s="971"/>
      <c r="Y713" s="884" t="str">
        <f t="shared" si="224"/>
        <v>04.14.01</v>
      </c>
      <c r="Z713" s="884" t="str">
        <f t="shared" si="226"/>
        <v>Bangunan Air Irigasi</v>
      </c>
      <c r="AA713" s="884">
        <f t="shared" si="227"/>
        <v>50</v>
      </c>
      <c r="AB713" s="868">
        <f t="shared" si="228"/>
        <v>7300952.0345335975</v>
      </c>
      <c r="AC713" s="885">
        <f t="shared" si="229"/>
        <v>3</v>
      </c>
      <c r="AD713" s="868">
        <f t="shared" si="230"/>
        <v>21902856.103600793</v>
      </c>
      <c r="AE713" s="868">
        <f t="shared" si="231"/>
        <v>7300952.0345335975</v>
      </c>
      <c r="AF713" s="868">
        <f t="shared" si="232"/>
        <v>7300952.0345335975</v>
      </c>
      <c r="AG713" s="868">
        <f t="shared" si="233"/>
        <v>7300952.0345335975</v>
      </c>
      <c r="AH713" s="868">
        <f t="shared" si="234"/>
        <v>7300952.0345335975</v>
      </c>
      <c r="AI713" s="886">
        <f t="shared" si="235"/>
        <v>7300952.0345335975</v>
      </c>
      <c r="AJ713" s="886">
        <f t="shared" si="223"/>
        <v>58407616.27626878</v>
      </c>
      <c r="AK713" s="868">
        <f t="shared" si="236"/>
        <v>306639985.45041108</v>
      </c>
    </row>
    <row r="714" spans="5:37" s="887" customFormat="1" ht="35.25" customHeight="1" x14ac:dyDescent="0.2">
      <c r="E714" s="884" t="s">
        <v>2306</v>
      </c>
      <c r="F714" s="888"/>
      <c r="G714" s="907" t="s">
        <v>1474</v>
      </c>
      <c r="H714" s="917"/>
      <c r="I714" s="930" t="s">
        <v>4199</v>
      </c>
      <c r="J714" s="878"/>
      <c r="K714" s="903" t="s">
        <v>835</v>
      </c>
      <c r="L714" s="908"/>
      <c r="M714" s="878"/>
      <c r="N714" s="908"/>
      <c r="O714" s="907" t="s">
        <v>3385</v>
      </c>
      <c r="P714" s="903">
        <v>2011</v>
      </c>
      <c r="Q714" s="878"/>
      <c r="R714" s="878"/>
      <c r="S714" s="878"/>
      <c r="T714" s="903" t="s">
        <v>12</v>
      </c>
      <c r="U714" s="879">
        <v>620888795.27332008</v>
      </c>
      <c r="V714" s="903" t="s">
        <v>43</v>
      </c>
      <c r="W714" s="931"/>
      <c r="X714" s="971"/>
      <c r="Y714" s="884" t="str">
        <f t="shared" si="224"/>
        <v>04.14.01</v>
      </c>
      <c r="Z714" s="884" t="str">
        <f t="shared" si="226"/>
        <v>Bangunan Air Irigasi</v>
      </c>
      <c r="AA714" s="884">
        <f t="shared" si="227"/>
        <v>50</v>
      </c>
      <c r="AB714" s="868">
        <f t="shared" si="228"/>
        <v>12417775.905466402</v>
      </c>
      <c r="AC714" s="885">
        <f t="shared" si="229"/>
        <v>3</v>
      </c>
      <c r="AD714" s="868">
        <f t="shared" si="230"/>
        <v>37253327.716399208</v>
      </c>
      <c r="AE714" s="868">
        <f t="shared" si="231"/>
        <v>12417775.905466402</v>
      </c>
      <c r="AF714" s="868">
        <f t="shared" si="232"/>
        <v>12417775.905466402</v>
      </c>
      <c r="AG714" s="868">
        <f t="shared" si="233"/>
        <v>12417775.905466402</v>
      </c>
      <c r="AH714" s="868">
        <f t="shared" si="234"/>
        <v>12417775.905466402</v>
      </c>
      <c r="AI714" s="886">
        <f t="shared" si="235"/>
        <v>12417775.905466402</v>
      </c>
      <c r="AJ714" s="886">
        <f t="shared" si="223"/>
        <v>99342207.24373123</v>
      </c>
      <c r="AK714" s="868">
        <f t="shared" si="236"/>
        <v>521546588.02958882</v>
      </c>
    </row>
    <row r="715" spans="5:37" s="887" customFormat="1" ht="35.25" customHeight="1" x14ac:dyDescent="0.2">
      <c r="E715" s="884" t="s">
        <v>2306</v>
      </c>
      <c r="F715" s="888"/>
      <c r="G715" s="907" t="s">
        <v>1475</v>
      </c>
      <c r="H715" s="917"/>
      <c r="I715" s="930" t="s">
        <v>4199</v>
      </c>
      <c r="J715" s="878"/>
      <c r="K715" s="903" t="s">
        <v>835</v>
      </c>
      <c r="L715" s="908"/>
      <c r="M715" s="878"/>
      <c r="N715" s="908"/>
      <c r="O715" s="907" t="s">
        <v>3386</v>
      </c>
      <c r="P715" s="903">
        <v>2011</v>
      </c>
      <c r="Q715" s="878"/>
      <c r="R715" s="878"/>
      <c r="S715" s="878"/>
      <c r="T715" s="903" t="s">
        <v>12</v>
      </c>
      <c r="U715" s="879">
        <v>9859150</v>
      </c>
      <c r="V715" s="903" t="s">
        <v>43</v>
      </c>
      <c r="W715" s="931"/>
      <c r="X715" s="971"/>
      <c r="Y715" s="884" t="str">
        <f t="shared" si="224"/>
        <v>04.14.01</v>
      </c>
      <c r="Z715" s="884" t="str">
        <f t="shared" si="226"/>
        <v>Bangunan Air Irigasi</v>
      </c>
      <c r="AA715" s="884">
        <f t="shared" si="227"/>
        <v>50</v>
      </c>
      <c r="AB715" s="868">
        <f t="shared" si="228"/>
        <v>197183</v>
      </c>
      <c r="AC715" s="885">
        <f t="shared" si="229"/>
        <v>3</v>
      </c>
      <c r="AD715" s="868">
        <f t="shared" si="230"/>
        <v>591549</v>
      </c>
      <c r="AE715" s="868">
        <f t="shared" si="231"/>
        <v>197183</v>
      </c>
      <c r="AF715" s="868">
        <f t="shared" si="232"/>
        <v>197183</v>
      </c>
      <c r="AG715" s="868">
        <f t="shared" si="233"/>
        <v>197183</v>
      </c>
      <c r="AH715" s="868">
        <f t="shared" si="234"/>
        <v>197183</v>
      </c>
      <c r="AI715" s="886">
        <f t="shared" si="235"/>
        <v>197183</v>
      </c>
      <c r="AJ715" s="886">
        <f t="shared" si="223"/>
        <v>1577464</v>
      </c>
      <c r="AK715" s="868">
        <f t="shared" si="236"/>
        <v>8281686</v>
      </c>
    </row>
    <row r="716" spans="5:37" s="887" customFormat="1" ht="35.25" customHeight="1" x14ac:dyDescent="0.2">
      <c r="E716" s="884" t="s">
        <v>2306</v>
      </c>
      <c r="F716" s="888"/>
      <c r="G716" s="907" t="s">
        <v>1476</v>
      </c>
      <c r="H716" s="917"/>
      <c r="I716" s="930" t="s">
        <v>4199</v>
      </c>
      <c r="J716" s="878"/>
      <c r="K716" s="903" t="s">
        <v>835</v>
      </c>
      <c r="L716" s="908"/>
      <c r="M716" s="878"/>
      <c r="N716" s="908"/>
      <c r="O716" s="907" t="s">
        <v>3387</v>
      </c>
      <c r="P716" s="903">
        <v>2011</v>
      </c>
      <c r="Q716" s="878"/>
      <c r="R716" s="878"/>
      <c r="S716" s="878"/>
      <c r="T716" s="903" t="s">
        <v>12</v>
      </c>
      <c r="U716" s="879">
        <v>16524015</v>
      </c>
      <c r="V716" s="903" t="s">
        <v>43</v>
      </c>
      <c r="W716" s="931"/>
      <c r="X716" s="971"/>
      <c r="Y716" s="884" t="str">
        <f t="shared" si="224"/>
        <v>04.14.01</v>
      </c>
      <c r="Z716" s="884" t="str">
        <f t="shared" si="226"/>
        <v>Bangunan Air Irigasi</v>
      </c>
      <c r="AA716" s="884">
        <f t="shared" si="227"/>
        <v>50</v>
      </c>
      <c r="AB716" s="868">
        <f t="shared" si="228"/>
        <v>330480.3</v>
      </c>
      <c r="AC716" s="885">
        <f t="shared" si="229"/>
        <v>3</v>
      </c>
      <c r="AD716" s="868">
        <f t="shared" si="230"/>
        <v>991440.89999999991</v>
      </c>
      <c r="AE716" s="868">
        <f t="shared" si="231"/>
        <v>330480.3</v>
      </c>
      <c r="AF716" s="868">
        <f t="shared" si="232"/>
        <v>330480.3</v>
      </c>
      <c r="AG716" s="868">
        <f t="shared" si="233"/>
        <v>330480.3</v>
      </c>
      <c r="AH716" s="868">
        <f t="shared" si="234"/>
        <v>330480.3</v>
      </c>
      <c r="AI716" s="886">
        <f t="shared" si="235"/>
        <v>330480.3</v>
      </c>
      <c r="AJ716" s="886">
        <f t="shared" si="223"/>
        <v>2643842.4</v>
      </c>
      <c r="AK716" s="868">
        <f t="shared" si="236"/>
        <v>13880172.6</v>
      </c>
    </row>
    <row r="717" spans="5:37" s="887" customFormat="1" ht="35.25" customHeight="1" x14ac:dyDescent="0.2">
      <c r="E717" s="884" t="s">
        <v>2306</v>
      </c>
      <c r="F717" s="888"/>
      <c r="G717" s="907" t="s">
        <v>1477</v>
      </c>
      <c r="H717" s="917"/>
      <c r="I717" s="930" t="s">
        <v>4199</v>
      </c>
      <c r="J717" s="878"/>
      <c r="K717" s="903" t="s">
        <v>835</v>
      </c>
      <c r="L717" s="908"/>
      <c r="M717" s="878"/>
      <c r="N717" s="908"/>
      <c r="O717" s="907" t="s">
        <v>2588</v>
      </c>
      <c r="P717" s="903">
        <v>2011</v>
      </c>
      <c r="Q717" s="878"/>
      <c r="R717" s="878"/>
      <c r="S717" s="878"/>
      <c r="T717" s="903" t="s">
        <v>12</v>
      </c>
      <c r="U717" s="879">
        <v>39305670</v>
      </c>
      <c r="V717" s="903" t="s">
        <v>43</v>
      </c>
      <c r="W717" s="931"/>
      <c r="X717" s="971"/>
      <c r="Y717" s="884" t="str">
        <f t="shared" si="224"/>
        <v>04.14.01</v>
      </c>
      <c r="Z717" s="884" t="str">
        <f t="shared" si="226"/>
        <v>Bangunan Air Irigasi</v>
      </c>
      <c r="AA717" s="884">
        <f t="shared" si="227"/>
        <v>50</v>
      </c>
      <c r="AB717" s="868">
        <f t="shared" si="228"/>
        <v>786113.4</v>
      </c>
      <c r="AC717" s="885">
        <f t="shared" si="229"/>
        <v>3</v>
      </c>
      <c r="AD717" s="868">
        <f t="shared" si="230"/>
        <v>2358340.2000000002</v>
      </c>
      <c r="AE717" s="868">
        <f t="shared" si="231"/>
        <v>786113.4</v>
      </c>
      <c r="AF717" s="868">
        <f t="shared" si="232"/>
        <v>786113.4</v>
      </c>
      <c r="AG717" s="868">
        <f t="shared" si="233"/>
        <v>786113.4</v>
      </c>
      <c r="AH717" s="868">
        <f t="shared" si="234"/>
        <v>786113.4</v>
      </c>
      <c r="AI717" s="886">
        <f t="shared" si="235"/>
        <v>786113.4</v>
      </c>
      <c r="AJ717" s="886">
        <f t="shared" si="223"/>
        <v>6288907.2000000011</v>
      </c>
      <c r="AK717" s="868">
        <f t="shared" si="236"/>
        <v>33016762.799999997</v>
      </c>
    </row>
    <row r="718" spans="5:37" s="887" customFormat="1" ht="35.25" customHeight="1" x14ac:dyDescent="0.2">
      <c r="E718" s="884" t="s">
        <v>2306</v>
      </c>
      <c r="F718" s="888"/>
      <c r="G718" s="916" t="s">
        <v>1478</v>
      </c>
      <c r="H718" s="917"/>
      <c r="I718" s="930" t="s">
        <v>4199</v>
      </c>
      <c r="J718" s="878"/>
      <c r="K718" s="903" t="s">
        <v>835</v>
      </c>
      <c r="L718" s="908"/>
      <c r="M718" s="878"/>
      <c r="N718" s="908"/>
      <c r="O718" s="907" t="s">
        <v>3388</v>
      </c>
      <c r="P718" s="903">
        <v>2011</v>
      </c>
      <c r="Q718" s="878"/>
      <c r="R718" s="878"/>
      <c r="S718" s="878"/>
      <c r="T718" s="903" t="s">
        <v>12</v>
      </c>
      <c r="U718" s="879">
        <v>132520350</v>
      </c>
      <c r="V718" s="903" t="s">
        <v>43</v>
      </c>
      <c r="W718" s="931"/>
      <c r="X718" s="971"/>
      <c r="Y718" s="884" t="str">
        <f t="shared" si="224"/>
        <v>04.14.01</v>
      </c>
      <c r="Z718" s="884" t="str">
        <f t="shared" si="226"/>
        <v>Bangunan Air Irigasi</v>
      </c>
      <c r="AA718" s="884">
        <f t="shared" si="227"/>
        <v>50</v>
      </c>
      <c r="AB718" s="868">
        <f t="shared" si="228"/>
        <v>2650407</v>
      </c>
      <c r="AC718" s="885">
        <f t="shared" si="229"/>
        <v>3</v>
      </c>
      <c r="AD718" s="868">
        <f t="shared" si="230"/>
        <v>7951221</v>
      </c>
      <c r="AE718" s="868">
        <f t="shared" si="231"/>
        <v>2650407</v>
      </c>
      <c r="AF718" s="868">
        <f t="shared" si="232"/>
        <v>2650407</v>
      </c>
      <c r="AG718" s="868">
        <f t="shared" si="233"/>
        <v>2650407</v>
      </c>
      <c r="AH718" s="868">
        <f t="shared" si="234"/>
        <v>2650407</v>
      </c>
      <c r="AI718" s="886">
        <f t="shared" si="235"/>
        <v>2650407</v>
      </c>
      <c r="AJ718" s="886">
        <f t="shared" si="223"/>
        <v>21203256</v>
      </c>
      <c r="AK718" s="868">
        <f t="shared" si="236"/>
        <v>111317094</v>
      </c>
    </row>
    <row r="719" spans="5:37" s="887" customFormat="1" ht="35.25" customHeight="1" x14ac:dyDescent="0.2">
      <c r="E719" s="884" t="s">
        <v>2306</v>
      </c>
      <c r="F719" s="888"/>
      <c r="G719" s="916" t="s">
        <v>1479</v>
      </c>
      <c r="H719" s="917"/>
      <c r="I719" s="930" t="s">
        <v>4199</v>
      </c>
      <c r="J719" s="878"/>
      <c r="K719" s="903"/>
      <c r="L719" s="908"/>
      <c r="M719" s="878"/>
      <c r="N719" s="908"/>
      <c r="O719" s="907" t="s">
        <v>3389</v>
      </c>
      <c r="P719" s="903">
        <v>2012</v>
      </c>
      <c r="Q719" s="878"/>
      <c r="R719" s="878"/>
      <c r="S719" s="878"/>
      <c r="T719" s="903" t="s">
        <v>12</v>
      </c>
      <c r="U719" s="879">
        <v>431293227.73232901</v>
      </c>
      <c r="V719" s="903"/>
      <c r="W719" s="931"/>
      <c r="X719" s="971"/>
      <c r="Y719" s="884" t="str">
        <f t="shared" si="224"/>
        <v>04.14.01</v>
      </c>
      <c r="Z719" s="884" t="str">
        <f t="shared" si="226"/>
        <v>Bangunan Air Irigasi</v>
      </c>
      <c r="AA719" s="884">
        <f t="shared" si="227"/>
        <v>50</v>
      </c>
      <c r="AB719" s="868">
        <f t="shared" si="228"/>
        <v>8625864.5546465795</v>
      </c>
      <c r="AC719" s="885">
        <f t="shared" si="229"/>
        <v>2</v>
      </c>
      <c r="AD719" s="868">
        <f t="shared" si="230"/>
        <v>17251729.109293159</v>
      </c>
      <c r="AE719" s="868">
        <f t="shared" si="231"/>
        <v>8625864.5546465795</v>
      </c>
      <c r="AF719" s="868">
        <f t="shared" si="232"/>
        <v>8625864.5546465795</v>
      </c>
      <c r="AG719" s="868">
        <f t="shared" si="233"/>
        <v>8625864.5546465795</v>
      </c>
      <c r="AH719" s="868">
        <f t="shared" si="234"/>
        <v>8625864.5546465795</v>
      </c>
      <c r="AI719" s="886">
        <f t="shared" si="235"/>
        <v>8625864.5546465795</v>
      </c>
      <c r="AJ719" s="886">
        <f t="shared" si="223"/>
        <v>60381051.882526062</v>
      </c>
      <c r="AK719" s="868">
        <f t="shared" si="236"/>
        <v>370912175.84980297</v>
      </c>
    </row>
    <row r="720" spans="5:37" s="887" customFormat="1" ht="35.25" customHeight="1" x14ac:dyDescent="0.2">
      <c r="E720" s="884" t="s">
        <v>2306</v>
      </c>
      <c r="F720" s="888"/>
      <c r="G720" s="916" t="s">
        <v>1480</v>
      </c>
      <c r="H720" s="917"/>
      <c r="I720" s="930" t="s">
        <v>4199</v>
      </c>
      <c r="J720" s="878"/>
      <c r="K720" s="903"/>
      <c r="L720" s="908"/>
      <c r="M720" s="878"/>
      <c r="N720" s="908"/>
      <c r="O720" s="907" t="s">
        <v>3390</v>
      </c>
      <c r="P720" s="903">
        <v>2012</v>
      </c>
      <c r="Q720" s="878"/>
      <c r="R720" s="878"/>
      <c r="S720" s="878"/>
      <c r="T720" s="903" t="s">
        <v>12</v>
      </c>
      <c r="U720" s="879">
        <v>274556745.46946824</v>
      </c>
      <c r="V720" s="903"/>
      <c r="W720" s="931"/>
      <c r="X720" s="971"/>
      <c r="Y720" s="884" t="str">
        <f t="shared" si="224"/>
        <v>04.14.01</v>
      </c>
      <c r="Z720" s="884" t="str">
        <f t="shared" si="226"/>
        <v>Bangunan Air Irigasi</v>
      </c>
      <c r="AA720" s="884">
        <f t="shared" si="227"/>
        <v>50</v>
      </c>
      <c r="AB720" s="868">
        <f t="shared" si="228"/>
        <v>5491134.9093893645</v>
      </c>
      <c r="AC720" s="885">
        <f t="shared" si="229"/>
        <v>2</v>
      </c>
      <c r="AD720" s="868">
        <f t="shared" si="230"/>
        <v>10982269.818778729</v>
      </c>
      <c r="AE720" s="868">
        <f t="shared" si="231"/>
        <v>5491134.9093893645</v>
      </c>
      <c r="AF720" s="868">
        <f t="shared" si="232"/>
        <v>5491134.9093893645</v>
      </c>
      <c r="AG720" s="868">
        <f t="shared" si="233"/>
        <v>5491134.9093893645</v>
      </c>
      <c r="AH720" s="868">
        <f t="shared" si="234"/>
        <v>5491134.9093893645</v>
      </c>
      <c r="AI720" s="886">
        <f t="shared" si="235"/>
        <v>5491134.9093893645</v>
      </c>
      <c r="AJ720" s="886">
        <f t="shared" si="223"/>
        <v>38437944.365725555</v>
      </c>
      <c r="AK720" s="868">
        <f t="shared" si="236"/>
        <v>236118801.10374269</v>
      </c>
    </row>
    <row r="721" spans="5:37" s="887" customFormat="1" ht="35.25" customHeight="1" x14ac:dyDescent="0.2">
      <c r="E721" s="884" t="s">
        <v>2306</v>
      </c>
      <c r="F721" s="888"/>
      <c r="G721" s="916" t="s">
        <v>1481</v>
      </c>
      <c r="H721" s="917"/>
      <c r="I721" s="930" t="s">
        <v>4199</v>
      </c>
      <c r="J721" s="878"/>
      <c r="K721" s="903"/>
      <c r="L721" s="908"/>
      <c r="M721" s="878"/>
      <c r="N721" s="908"/>
      <c r="O721" s="907" t="s">
        <v>3391</v>
      </c>
      <c r="P721" s="903">
        <v>2012</v>
      </c>
      <c r="Q721" s="878"/>
      <c r="R721" s="878"/>
      <c r="S721" s="878"/>
      <c r="T721" s="903" t="s">
        <v>12</v>
      </c>
      <c r="U721" s="879">
        <v>387796432.0453642</v>
      </c>
      <c r="V721" s="903"/>
      <c r="W721" s="931"/>
      <c r="X721" s="971"/>
      <c r="Y721" s="884" t="str">
        <f t="shared" si="224"/>
        <v>04.14.01</v>
      </c>
      <c r="Z721" s="884" t="str">
        <f t="shared" si="226"/>
        <v>Bangunan Air Irigasi</v>
      </c>
      <c r="AA721" s="884">
        <f t="shared" si="227"/>
        <v>50</v>
      </c>
      <c r="AB721" s="868">
        <f t="shared" si="228"/>
        <v>7755928.6409072839</v>
      </c>
      <c r="AC721" s="885">
        <f t="shared" si="229"/>
        <v>2</v>
      </c>
      <c r="AD721" s="868">
        <f t="shared" si="230"/>
        <v>15511857.281814568</v>
      </c>
      <c r="AE721" s="868">
        <f t="shared" si="231"/>
        <v>7755928.6409072839</v>
      </c>
      <c r="AF721" s="868">
        <f t="shared" si="232"/>
        <v>7755928.6409072839</v>
      </c>
      <c r="AG721" s="868">
        <f t="shared" si="233"/>
        <v>7755928.6409072839</v>
      </c>
      <c r="AH721" s="868">
        <f t="shared" si="234"/>
        <v>7755928.6409072839</v>
      </c>
      <c r="AI721" s="886">
        <f t="shared" si="235"/>
        <v>7755928.6409072839</v>
      </c>
      <c r="AJ721" s="886">
        <f t="shared" si="223"/>
        <v>54291500.486350998</v>
      </c>
      <c r="AK721" s="868">
        <f t="shared" si="236"/>
        <v>333504931.55901319</v>
      </c>
    </row>
    <row r="722" spans="5:37" s="887" customFormat="1" ht="35.25" customHeight="1" x14ac:dyDescent="0.2">
      <c r="E722" s="884" t="s">
        <v>2306</v>
      </c>
      <c r="F722" s="888"/>
      <c r="G722" s="916" t="s">
        <v>1482</v>
      </c>
      <c r="H722" s="917"/>
      <c r="I722" s="930" t="s">
        <v>4199</v>
      </c>
      <c r="J722" s="878"/>
      <c r="K722" s="903"/>
      <c r="L722" s="908"/>
      <c r="M722" s="878"/>
      <c r="N722" s="908"/>
      <c r="O722" s="907" t="s">
        <v>3392</v>
      </c>
      <c r="P722" s="903">
        <v>2012</v>
      </c>
      <c r="Q722" s="878"/>
      <c r="R722" s="878"/>
      <c r="S722" s="878"/>
      <c r="T722" s="903" t="s">
        <v>12</v>
      </c>
      <c r="U722" s="879">
        <v>90837130.90006797</v>
      </c>
      <c r="V722" s="903"/>
      <c r="W722" s="931"/>
      <c r="X722" s="971"/>
      <c r="Y722" s="884" t="str">
        <f t="shared" si="224"/>
        <v>04.14.01</v>
      </c>
      <c r="Z722" s="884" t="str">
        <f t="shared" si="226"/>
        <v>Bangunan Air Irigasi</v>
      </c>
      <c r="AA722" s="884">
        <f t="shared" si="227"/>
        <v>50</v>
      </c>
      <c r="AB722" s="868">
        <f t="shared" si="228"/>
        <v>1816742.6180013595</v>
      </c>
      <c r="AC722" s="885">
        <f t="shared" si="229"/>
        <v>2</v>
      </c>
      <c r="AD722" s="868">
        <f t="shared" si="230"/>
        <v>3633485.236002719</v>
      </c>
      <c r="AE722" s="868">
        <f t="shared" si="231"/>
        <v>1816742.6180013595</v>
      </c>
      <c r="AF722" s="868">
        <f t="shared" si="232"/>
        <v>1816742.6180013595</v>
      </c>
      <c r="AG722" s="868">
        <f t="shared" si="233"/>
        <v>1816742.6180013595</v>
      </c>
      <c r="AH722" s="868">
        <f t="shared" si="234"/>
        <v>1816742.6180013595</v>
      </c>
      <c r="AI722" s="886">
        <f t="shared" si="235"/>
        <v>1816742.6180013595</v>
      </c>
      <c r="AJ722" s="886">
        <f t="shared" si="223"/>
        <v>12717198.326009519</v>
      </c>
      <c r="AK722" s="868">
        <f t="shared" si="236"/>
        <v>78119932.574058443</v>
      </c>
    </row>
    <row r="723" spans="5:37" s="887" customFormat="1" ht="35.25" customHeight="1" x14ac:dyDescent="0.2">
      <c r="E723" s="884" t="s">
        <v>2306</v>
      </c>
      <c r="F723" s="888"/>
      <c r="G723" s="916" t="s">
        <v>1483</v>
      </c>
      <c r="H723" s="917"/>
      <c r="I723" s="930" t="s">
        <v>4199</v>
      </c>
      <c r="J723" s="878"/>
      <c r="K723" s="903"/>
      <c r="L723" s="908"/>
      <c r="M723" s="878"/>
      <c r="N723" s="908"/>
      <c r="O723" s="907" t="s">
        <v>3393</v>
      </c>
      <c r="P723" s="903">
        <v>2012</v>
      </c>
      <c r="Q723" s="878"/>
      <c r="R723" s="878"/>
      <c r="S723" s="878"/>
      <c r="T723" s="903" t="s">
        <v>12</v>
      </c>
      <c r="U723" s="879">
        <v>100902046.8516902</v>
      </c>
      <c r="V723" s="903"/>
      <c r="W723" s="931"/>
      <c r="X723" s="971"/>
      <c r="Y723" s="884" t="str">
        <f t="shared" si="224"/>
        <v>04.14.01</v>
      </c>
      <c r="Z723" s="884" t="str">
        <f t="shared" si="226"/>
        <v>Bangunan Air Irigasi</v>
      </c>
      <c r="AA723" s="884">
        <f t="shared" si="227"/>
        <v>50</v>
      </c>
      <c r="AB723" s="868">
        <f t="shared" si="228"/>
        <v>2018040.9370338041</v>
      </c>
      <c r="AC723" s="885">
        <f t="shared" si="229"/>
        <v>2</v>
      </c>
      <c r="AD723" s="868">
        <f t="shared" si="230"/>
        <v>4036081.8740676083</v>
      </c>
      <c r="AE723" s="868">
        <f t="shared" si="231"/>
        <v>2018040.9370338041</v>
      </c>
      <c r="AF723" s="868">
        <f t="shared" si="232"/>
        <v>2018040.9370338041</v>
      </c>
      <c r="AG723" s="868">
        <f t="shared" si="233"/>
        <v>2018040.9370338041</v>
      </c>
      <c r="AH723" s="868">
        <f t="shared" si="234"/>
        <v>2018040.9370338041</v>
      </c>
      <c r="AI723" s="886">
        <f t="shared" si="235"/>
        <v>2018040.9370338041</v>
      </c>
      <c r="AJ723" s="886">
        <f t="shared" si="223"/>
        <v>14126286.559236629</v>
      </c>
      <c r="AK723" s="868">
        <f t="shared" si="236"/>
        <v>86775760.292453572</v>
      </c>
    </row>
    <row r="724" spans="5:37" s="887" customFormat="1" ht="35.25" customHeight="1" x14ac:dyDescent="0.2">
      <c r="E724" s="884" t="s">
        <v>2306</v>
      </c>
      <c r="F724" s="888"/>
      <c r="G724" s="916" t="s">
        <v>1484</v>
      </c>
      <c r="H724" s="917"/>
      <c r="I724" s="930" t="s">
        <v>4199</v>
      </c>
      <c r="J724" s="878"/>
      <c r="K724" s="903"/>
      <c r="L724" s="908"/>
      <c r="M724" s="878"/>
      <c r="N724" s="908"/>
      <c r="O724" s="907" t="s">
        <v>3385</v>
      </c>
      <c r="P724" s="903">
        <v>2012</v>
      </c>
      <c r="Q724" s="878"/>
      <c r="R724" s="878"/>
      <c r="S724" s="878"/>
      <c r="T724" s="903" t="s">
        <v>12</v>
      </c>
      <c r="U724" s="879">
        <v>462808554.4462983</v>
      </c>
      <c r="V724" s="903"/>
      <c r="W724" s="931"/>
      <c r="X724" s="971"/>
      <c r="Y724" s="884" t="str">
        <f t="shared" si="224"/>
        <v>04.14.01</v>
      </c>
      <c r="Z724" s="884" t="str">
        <f t="shared" si="226"/>
        <v>Bangunan Air Irigasi</v>
      </c>
      <c r="AA724" s="884">
        <f t="shared" si="227"/>
        <v>50</v>
      </c>
      <c r="AB724" s="868">
        <f t="shared" si="228"/>
        <v>9256171.0889259651</v>
      </c>
      <c r="AC724" s="885">
        <f t="shared" si="229"/>
        <v>2</v>
      </c>
      <c r="AD724" s="868">
        <f t="shared" si="230"/>
        <v>18512342.17785193</v>
      </c>
      <c r="AE724" s="868">
        <f t="shared" si="231"/>
        <v>9256171.0889259651</v>
      </c>
      <c r="AF724" s="868">
        <f t="shared" si="232"/>
        <v>9256171.0889259651</v>
      </c>
      <c r="AG724" s="868">
        <f t="shared" si="233"/>
        <v>9256171.0889259651</v>
      </c>
      <c r="AH724" s="868">
        <f t="shared" si="234"/>
        <v>9256171.0889259651</v>
      </c>
      <c r="AI724" s="886">
        <f t="shared" si="235"/>
        <v>9256171.0889259651</v>
      </c>
      <c r="AJ724" s="886">
        <f t="shared" si="223"/>
        <v>64793197.622481756</v>
      </c>
      <c r="AK724" s="868">
        <f t="shared" si="236"/>
        <v>398015356.82381654</v>
      </c>
    </row>
    <row r="725" spans="5:37" s="887" customFormat="1" ht="35.25" customHeight="1" x14ac:dyDescent="0.2">
      <c r="E725" s="884" t="s">
        <v>2306</v>
      </c>
      <c r="F725" s="888"/>
      <c r="G725" s="916" t="s">
        <v>1485</v>
      </c>
      <c r="H725" s="917"/>
      <c r="I725" s="930" t="s">
        <v>4199</v>
      </c>
      <c r="J725" s="878"/>
      <c r="K725" s="903"/>
      <c r="L725" s="908"/>
      <c r="M725" s="878"/>
      <c r="N725" s="908"/>
      <c r="O725" s="907" t="s">
        <v>3394</v>
      </c>
      <c r="P725" s="903">
        <v>2012</v>
      </c>
      <c r="Q725" s="878"/>
      <c r="R725" s="878"/>
      <c r="S725" s="878"/>
      <c r="T725" s="903" t="s">
        <v>12</v>
      </c>
      <c r="U725" s="879">
        <v>303731994.89147037</v>
      </c>
      <c r="V725" s="903"/>
      <c r="W725" s="931"/>
      <c r="X725" s="971"/>
      <c r="Y725" s="884" t="str">
        <f t="shared" si="224"/>
        <v>04.14.01</v>
      </c>
      <c r="Z725" s="884" t="str">
        <f t="shared" si="226"/>
        <v>Bangunan Air Irigasi</v>
      </c>
      <c r="AA725" s="884">
        <f t="shared" si="227"/>
        <v>50</v>
      </c>
      <c r="AB725" s="868">
        <f t="shared" si="228"/>
        <v>6074639.8978294078</v>
      </c>
      <c r="AC725" s="885">
        <f t="shared" si="229"/>
        <v>2</v>
      </c>
      <c r="AD725" s="868">
        <f t="shared" si="230"/>
        <v>12149279.795658816</v>
      </c>
      <c r="AE725" s="868">
        <f t="shared" si="231"/>
        <v>6074639.8978294078</v>
      </c>
      <c r="AF725" s="868">
        <f t="shared" si="232"/>
        <v>6074639.8978294078</v>
      </c>
      <c r="AG725" s="868">
        <f t="shared" si="233"/>
        <v>6074639.8978294078</v>
      </c>
      <c r="AH725" s="868">
        <f t="shared" si="234"/>
        <v>6074639.8978294078</v>
      </c>
      <c r="AI725" s="886">
        <f t="shared" si="235"/>
        <v>6074639.8978294078</v>
      </c>
      <c r="AJ725" s="886">
        <f t="shared" si="223"/>
        <v>42522479.284805849</v>
      </c>
      <c r="AK725" s="868">
        <f t="shared" si="236"/>
        <v>261209515.60666454</v>
      </c>
    </row>
    <row r="726" spans="5:37" s="887" customFormat="1" ht="35.25" customHeight="1" x14ac:dyDescent="0.2">
      <c r="E726" s="884" t="s">
        <v>2306</v>
      </c>
      <c r="F726" s="888"/>
      <c r="G726" s="878" t="s">
        <v>1486</v>
      </c>
      <c r="H726" s="879"/>
      <c r="I726" s="930" t="s">
        <v>4199</v>
      </c>
      <c r="J726" s="878"/>
      <c r="K726" s="903" t="s">
        <v>835</v>
      </c>
      <c r="L726" s="908"/>
      <c r="M726" s="878"/>
      <c r="N726" s="908"/>
      <c r="O726" s="907" t="s">
        <v>3395</v>
      </c>
      <c r="P726" s="903">
        <v>2013</v>
      </c>
      <c r="Q726" s="878"/>
      <c r="R726" s="878"/>
      <c r="S726" s="878"/>
      <c r="T726" s="903" t="s">
        <v>12</v>
      </c>
      <c r="U726" s="879">
        <v>311209754.13048106</v>
      </c>
      <c r="V726" s="903"/>
      <c r="W726" s="931"/>
      <c r="X726" s="971"/>
      <c r="Y726" s="884" t="str">
        <f t="shared" si="224"/>
        <v>04.14.01</v>
      </c>
      <c r="Z726" s="884" t="str">
        <f t="shared" si="226"/>
        <v>Bangunan Air Irigasi</v>
      </c>
      <c r="AA726" s="884">
        <f t="shared" si="227"/>
        <v>50</v>
      </c>
      <c r="AB726" s="868">
        <f t="shared" si="228"/>
        <v>6224195.0826096209</v>
      </c>
      <c r="AC726" s="885">
        <f t="shared" si="229"/>
        <v>1</v>
      </c>
      <c r="AD726" s="868">
        <f t="shared" si="230"/>
        <v>6224195.0826096209</v>
      </c>
      <c r="AE726" s="868">
        <f t="shared" si="231"/>
        <v>6224195.0826096209</v>
      </c>
      <c r="AF726" s="868">
        <f t="shared" si="232"/>
        <v>6224195.0826096209</v>
      </c>
      <c r="AG726" s="868">
        <f t="shared" si="233"/>
        <v>6224195.0826096209</v>
      </c>
      <c r="AH726" s="868">
        <f t="shared" si="234"/>
        <v>6224195.0826096209</v>
      </c>
      <c r="AI726" s="886">
        <f t="shared" si="235"/>
        <v>6224195.0826096209</v>
      </c>
      <c r="AJ726" s="886">
        <f t="shared" si="223"/>
        <v>37345170.495657727</v>
      </c>
      <c r="AK726" s="868">
        <f t="shared" si="236"/>
        <v>273864583.63482332</v>
      </c>
    </row>
    <row r="727" spans="5:37" s="887" customFormat="1" ht="35.25" customHeight="1" x14ac:dyDescent="0.2">
      <c r="E727" s="884" t="s">
        <v>2306</v>
      </c>
      <c r="F727" s="888"/>
      <c r="G727" s="878" t="s">
        <v>1487</v>
      </c>
      <c r="H727" s="879"/>
      <c r="I727" s="930" t="s">
        <v>4199</v>
      </c>
      <c r="J727" s="878"/>
      <c r="K727" s="903" t="s">
        <v>835</v>
      </c>
      <c r="L727" s="908"/>
      <c r="M727" s="878"/>
      <c r="N727" s="908"/>
      <c r="O727" s="907" t="s">
        <v>3396</v>
      </c>
      <c r="P727" s="903">
        <v>2013</v>
      </c>
      <c r="Q727" s="878"/>
      <c r="R727" s="878"/>
      <c r="S727" s="878"/>
      <c r="T727" s="903" t="s">
        <v>12</v>
      </c>
      <c r="U727" s="879">
        <v>306191245.86951894</v>
      </c>
      <c r="V727" s="903"/>
      <c r="W727" s="931"/>
      <c r="X727" s="971"/>
      <c r="Y727" s="884" t="str">
        <f t="shared" si="224"/>
        <v>04.14.01</v>
      </c>
      <c r="Z727" s="884" t="str">
        <f t="shared" si="226"/>
        <v>Bangunan Air Irigasi</v>
      </c>
      <c r="AA727" s="884">
        <f t="shared" si="227"/>
        <v>50</v>
      </c>
      <c r="AB727" s="868">
        <f t="shared" si="228"/>
        <v>6123824.9173903791</v>
      </c>
      <c r="AC727" s="885">
        <f t="shared" si="229"/>
        <v>1</v>
      </c>
      <c r="AD727" s="868">
        <f t="shared" si="230"/>
        <v>6123824.9173903791</v>
      </c>
      <c r="AE727" s="868">
        <f t="shared" si="231"/>
        <v>6123824.9173903791</v>
      </c>
      <c r="AF727" s="868">
        <f t="shared" si="232"/>
        <v>6123824.9173903791</v>
      </c>
      <c r="AG727" s="868">
        <f t="shared" si="233"/>
        <v>6123824.9173903791</v>
      </c>
      <c r="AH727" s="868">
        <f t="shared" si="234"/>
        <v>6123824.9173903791</v>
      </c>
      <c r="AI727" s="886">
        <f t="shared" si="235"/>
        <v>6123824.9173903791</v>
      </c>
      <c r="AJ727" s="886">
        <f t="shared" si="223"/>
        <v>36742949.504342273</v>
      </c>
      <c r="AK727" s="868">
        <f t="shared" si="236"/>
        <v>269448296.36517668</v>
      </c>
    </row>
    <row r="728" spans="5:37" s="887" customFormat="1" ht="35.25" customHeight="1" x14ac:dyDescent="0.2">
      <c r="E728" s="884" t="s">
        <v>2306</v>
      </c>
      <c r="F728" s="888"/>
      <c r="G728" s="878" t="s">
        <v>1488</v>
      </c>
      <c r="H728" s="879"/>
      <c r="I728" s="930" t="s">
        <v>4199</v>
      </c>
      <c r="J728" s="878"/>
      <c r="K728" s="903" t="s">
        <v>835</v>
      </c>
      <c r="L728" s="908"/>
      <c r="M728" s="878"/>
      <c r="N728" s="908"/>
      <c r="O728" s="907" t="s">
        <v>3397</v>
      </c>
      <c r="P728" s="903">
        <v>2013</v>
      </c>
      <c r="Q728" s="878"/>
      <c r="R728" s="878"/>
      <c r="S728" s="878"/>
      <c r="T728" s="903" t="s">
        <v>12</v>
      </c>
      <c r="U728" s="879">
        <f>280973000+147058998.813119</f>
        <v>428031998.81311899</v>
      </c>
      <c r="V728" s="903"/>
      <c r="W728" s="931"/>
      <c r="X728" s="971"/>
      <c r="Y728" s="884" t="str">
        <f t="shared" si="224"/>
        <v>04.14.01</v>
      </c>
      <c r="Z728" s="884" t="str">
        <f t="shared" si="226"/>
        <v>Bangunan Air Irigasi</v>
      </c>
      <c r="AA728" s="884">
        <f t="shared" si="227"/>
        <v>50</v>
      </c>
      <c r="AB728" s="868">
        <f t="shared" si="228"/>
        <v>8560639.9762623794</v>
      </c>
      <c r="AC728" s="885">
        <f t="shared" si="229"/>
        <v>1</v>
      </c>
      <c r="AD728" s="868">
        <f t="shared" si="230"/>
        <v>8560639.9762623794</v>
      </c>
      <c r="AE728" s="868">
        <f t="shared" si="231"/>
        <v>8560639.9762623794</v>
      </c>
      <c r="AF728" s="868">
        <f t="shared" si="232"/>
        <v>8560639.9762623794</v>
      </c>
      <c r="AG728" s="868">
        <f t="shared" si="233"/>
        <v>8560639.9762623794</v>
      </c>
      <c r="AH728" s="868">
        <f t="shared" si="234"/>
        <v>8560639.9762623794</v>
      </c>
      <c r="AI728" s="886">
        <f t="shared" si="235"/>
        <v>8560639.9762623794</v>
      </c>
      <c r="AJ728" s="886">
        <f t="shared" si="223"/>
        <v>51363839.857574269</v>
      </c>
      <c r="AK728" s="868">
        <f t="shared" si="236"/>
        <v>376668158.95554471</v>
      </c>
    </row>
    <row r="729" spans="5:37" s="887" customFormat="1" ht="35.25" customHeight="1" x14ac:dyDescent="0.2">
      <c r="E729" s="884" t="s">
        <v>2306</v>
      </c>
      <c r="F729" s="888"/>
      <c r="G729" s="878" t="s">
        <v>1489</v>
      </c>
      <c r="H729" s="879"/>
      <c r="I729" s="930" t="s">
        <v>4199</v>
      </c>
      <c r="J729" s="878"/>
      <c r="K729" s="903" t="s">
        <v>835</v>
      </c>
      <c r="L729" s="908"/>
      <c r="M729" s="878"/>
      <c r="N729" s="908"/>
      <c r="O729" s="907" t="s">
        <v>3398</v>
      </c>
      <c r="P729" s="903">
        <v>2013</v>
      </c>
      <c r="Q729" s="878"/>
      <c r="R729" s="878"/>
      <c r="S729" s="878"/>
      <c r="T729" s="903" t="s">
        <v>12</v>
      </c>
      <c r="U729" s="879">
        <v>461923046.19</v>
      </c>
      <c r="V729" s="903"/>
      <c r="W729" s="931"/>
      <c r="X729" s="971"/>
      <c r="Y729" s="884" t="str">
        <f t="shared" si="224"/>
        <v>04.14.01</v>
      </c>
      <c r="Z729" s="884" t="str">
        <f t="shared" si="226"/>
        <v>Bangunan Air Irigasi</v>
      </c>
      <c r="AA729" s="884">
        <f t="shared" si="227"/>
        <v>50</v>
      </c>
      <c r="AB729" s="868">
        <f t="shared" si="228"/>
        <v>9238460.9237999991</v>
      </c>
      <c r="AC729" s="885">
        <f t="shared" si="229"/>
        <v>1</v>
      </c>
      <c r="AD729" s="868">
        <f t="shared" si="230"/>
        <v>9238460.9237999991</v>
      </c>
      <c r="AE729" s="868">
        <f t="shared" si="231"/>
        <v>9238460.9237999991</v>
      </c>
      <c r="AF729" s="868">
        <f t="shared" si="232"/>
        <v>9238460.9237999991</v>
      </c>
      <c r="AG729" s="868">
        <f t="shared" si="233"/>
        <v>9238460.9237999991</v>
      </c>
      <c r="AH729" s="868">
        <f t="shared" si="234"/>
        <v>9238460.9237999991</v>
      </c>
      <c r="AI729" s="886">
        <f t="shared" si="235"/>
        <v>9238460.9237999991</v>
      </c>
      <c r="AJ729" s="886">
        <f t="shared" si="223"/>
        <v>55430765.542799994</v>
      </c>
      <c r="AK729" s="868">
        <f t="shared" si="236"/>
        <v>406492280.64719999</v>
      </c>
    </row>
    <row r="730" spans="5:37" s="887" customFormat="1" ht="35.25" customHeight="1" x14ac:dyDescent="0.2">
      <c r="E730" s="884" t="s">
        <v>2306</v>
      </c>
      <c r="F730" s="888"/>
      <c r="G730" s="878" t="s">
        <v>1490</v>
      </c>
      <c r="H730" s="879"/>
      <c r="I730" s="930" t="s">
        <v>4199</v>
      </c>
      <c r="J730" s="878"/>
      <c r="K730" s="903" t="s">
        <v>835</v>
      </c>
      <c r="L730" s="908"/>
      <c r="M730" s="878"/>
      <c r="N730" s="908"/>
      <c r="O730" s="907" t="s">
        <v>3399</v>
      </c>
      <c r="P730" s="903">
        <v>2013</v>
      </c>
      <c r="Q730" s="878"/>
      <c r="R730" s="878"/>
      <c r="S730" s="878"/>
      <c r="T730" s="903" t="s">
        <v>12</v>
      </c>
      <c r="U730" s="879">
        <v>364356538.12</v>
      </c>
      <c r="V730" s="903"/>
      <c r="W730" s="931"/>
      <c r="X730" s="971"/>
      <c r="Y730" s="884" t="str">
        <f t="shared" si="224"/>
        <v>04.14.01</v>
      </c>
      <c r="Z730" s="884" t="str">
        <f t="shared" si="226"/>
        <v>Bangunan Air Irigasi</v>
      </c>
      <c r="AA730" s="884">
        <f t="shared" si="227"/>
        <v>50</v>
      </c>
      <c r="AB730" s="868">
        <f t="shared" si="228"/>
        <v>7287130.7624000004</v>
      </c>
      <c r="AC730" s="885">
        <f t="shared" si="229"/>
        <v>1</v>
      </c>
      <c r="AD730" s="868">
        <f t="shared" si="230"/>
        <v>7287130.7624000004</v>
      </c>
      <c r="AE730" s="868">
        <f t="shared" si="231"/>
        <v>7287130.7624000004</v>
      </c>
      <c r="AF730" s="868">
        <f t="shared" si="232"/>
        <v>7287130.7624000004</v>
      </c>
      <c r="AG730" s="868">
        <f t="shared" si="233"/>
        <v>7287130.7624000004</v>
      </c>
      <c r="AH730" s="868">
        <f t="shared" si="234"/>
        <v>7287130.7624000004</v>
      </c>
      <c r="AI730" s="886">
        <f t="shared" si="235"/>
        <v>7287130.7624000004</v>
      </c>
      <c r="AJ730" s="886">
        <f t="shared" si="223"/>
        <v>43722784.5744</v>
      </c>
      <c r="AK730" s="868">
        <f t="shared" si="236"/>
        <v>320633753.5456</v>
      </c>
    </row>
    <row r="731" spans="5:37" s="887" customFormat="1" ht="35.25" customHeight="1" x14ac:dyDescent="0.2">
      <c r="E731" s="884" t="s">
        <v>2306</v>
      </c>
      <c r="F731" s="888"/>
      <c r="G731" s="878" t="s">
        <v>1491</v>
      </c>
      <c r="H731" s="879"/>
      <c r="I731" s="930" t="s">
        <v>4199</v>
      </c>
      <c r="J731" s="878"/>
      <c r="K731" s="903" t="s">
        <v>835</v>
      </c>
      <c r="L731" s="908"/>
      <c r="M731" s="878"/>
      <c r="N731" s="908"/>
      <c r="O731" s="907" t="s">
        <v>3400</v>
      </c>
      <c r="P731" s="903">
        <v>2013</v>
      </c>
      <c r="Q731" s="878"/>
      <c r="R731" s="878"/>
      <c r="S731" s="878"/>
      <c r="T731" s="903" t="s">
        <v>12</v>
      </c>
      <c r="U731" s="879">
        <v>1203700390</v>
      </c>
      <c r="V731" s="903"/>
      <c r="W731" s="931"/>
      <c r="X731" s="971"/>
      <c r="Y731" s="884" t="str">
        <f t="shared" si="224"/>
        <v>04.14.01</v>
      </c>
      <c r="Z731" s="884" t="str">
        <f t="shared" si="226"/>
        <v>Bangunan Air Irigasi</v>
      </c>
      <c r="AA731" s="884">
        <f t="shared" si="227"/>
        <v>50</v>
      </c>
      <c r="AB731" s="868">
        <f t="shared" si="228"/>
        <v>24074007.800000001</v>
      </c>
      <c r="AC731" s="885">
        <f t="shared" si="229"/>
        <v>1</v>
      </c>
      <c r="AD731" s="868">
        <f t="shared" si="230"/>
        <v>24074007.800000001</v>
      </c>
      <c r="AE731" s="868">
        <f t="shared" si="231"/>
        <v>24074007.800000001</v>
      </c>
      <c r="AF731" s="868">
        <f t="shared" si="232"/>
        <v>24074007.800000001</v>
      </c>
      <c r="AG731" s="868">
        <f t="shared" si="233"/>
        <v>24074007.800000001</v>
      </c>
      <c r="AH731" s="868">
        <f t="shared" si="234"/>
        <v>24074007.800000001</v>
      </c>
      <c r="AI731" s="886">
        <f t="shared" si="235"/>
        <v>24074007.800000001</v>
      </c>
      <c r="AJ731" s="886">
        <f t="shared" si="223"/>
        <v>144444046.80000001</v>
      </c>
      <c r="AK731" s="868">
        <f t="shared" si="236"/>
        <v>1059256343.2</v>
      </c>
    </row>
    <row r="732" spans="5:37" s="887" customFormat="1" ht="35.25" customHeight="1" x14ac:dyDescent="0.2">
      <c r="E732" s="884" t="s">
        <v>2306</v>
      </c>
      <c r="F732" s="888"/>
      <c r="G732" s="878" t="s">
        <v>1492</v>
      </c>
      <c r="H732" s="879"/>
      <c r="I732" s="930" t="s">
        <v>4199</v>
      </c>
      <c r="J732" s="878"/>
      <c r="K732" s="903" t="s">
        <v>835</v>
      </c>
      <c r="L732" s="908"/>
      <c r="M732" s="878"/>
      <c r="N732" s="908"/>
      <c r="O732" s="907" t="s">
        <v>3401</v>
      </c>
      <c r="P732" s="903">
        <v>2013</v>
      </c>
      <c r="Q732" s="878"/>
      <c r="R732" s="878"/>
      <c r="S732" s="878"/>
      <c r="T732" s="903" t="s">
        <v>12</v>
      </c>
      <c r="U732" s="879">
        <v>199750000</v>
      </c>
      <c r="V732" s="903"/>
      <c r="W732" s="931"/>
      <c r="X732" s="971"/>
      <c r="Y732" s="884" t="str">
        <f t="shared" si="224"/>
        <v>04.14.01</v>
      </c>
      <c r="Z732" s="884" t="str">
        <f t="shared" si="226"/>
        <v>Bangunan Air Irigasi</v>
      </c>
      <c r="AA732" s="884">
        <f t="shared" si="227"/>
        <v>50</v>
      </c>
      <c r="AB732" s="868">
        <f t="shared" si="228"/>
        <v>3995000</v>
      </c>
      <c r="AC732" s="885">
        <f t="shared" si="229"/>
        <v>1</v>
      </c>
      <c r="AD732" s="868">
        <f t="shared" si="230"/>
        <v>3995000</v>
      </c>
      <c r="AE732" s="868">
        <f t="shared" si="231"/>
        <v>3995000</v>
      </c>
      <c r="AF732" s="868">
        <f t="shared" si="232"/>
        <v>3995000</v>
      </c>
      <c r="AG732" s="868">
        <f t="shared" si="233"/>
        <v>3995000</v>
      </c>
      <c r="AH732" s="868">
        <f t="shared" si="234"/>
        <v>3995000</v>
      </c>
      <c r="AI732" s="886">
        <f t="shared" si="235"/>
        <v>3995000</v>
      </c>
      <c r="AJ732" s="886">
        <f t="shared" si="223"/>
        <v>23970000</v>
      </c>
      <c r="AK732" s="868">
        <f t="shared" si="236"/>
        <v>175780000</v>
      </c>
    </row>
    <row r="733" spans="5:37" s="887" customFormat="1" ht="35.25" customHeight="1" x14ac:dyDescent="0.2">
      <c r="E733" s="884" t="s">
        <v>2306</v>
      </c>
      <c r="F733" s="888"/>
      <c r="G733" s="878" t="s">
        <v>1493</v>
      </c>
      <c r="H733" s="879"/>
      <c r="I733" s="930" t="s">
        <v>4199</v>
      </c>
      <c r="J733" s="878"/>
      <c r="K733" s="903" t="s">
        <v>835</v>
      </c>
      <c r="L733" s="908"/>
      <c r="M733" s="878"/>
      <c r="N733" s="908"/>
      <c r="O733" s="907" t="s">
        <v>3402</v>
      </c>
      <c r="P733" s="903">
        <v>2013</v>
      </c>
      <c r="Q733" s="878"/>
      <c r="R733" s="878"/>
      <c r="S733" s="878"/>
      <c r="T733" s="903" t="s">
        <v>12</v>
      </c>
      <c r="U733" s="879">
        <v>199750000</v>
      </c>
      <c r="V733" s="903"/>
      <c r="W733" s="931"/>
      <c r="X733" s="971"/>
      <c r="Y733" s="884" t="str">
        <f t="shared" si="224"/>
        <v>04.14.01</v>
      </c>
      <c r="Z733" s="884" t="str">
        <f t="shared" si="226"/>
        <v>Bangunan Air Irigasi</v>
      </c>
      <c r="AA733" s="884">
        <f t="shared" si="227"/>
        <v>50</v>
      </c>
      <c r="AB733" s="868">
        <f t="shared" si="228"/>
        <v>3995000</v>
      </c>
      <c r="AC733" s="885">
        <f t="shared" si="229"/>
        <v>1</v>
      </c>
      <c r="AD733" s="868">
        <f t="shared" si="230"/>
        <v>3995000</v>
      </c>
      <c r="AE733" s="868">
        <f t="shared" si="231"/>
        <v>3995000</v>
      </c>
      <c r="AF733" s="868">
        <f t="shared" si="232"/>
        <v>3995000</v>
      </c>
      <c r="AG733" s="868">
        <f t="shared" si="233"/>
        <v>3995000</v>
      </c>
      <c r="AH733" s="868">
        <f t="shared" si="234"/>
        <v>3995000</v>
      </c>
      <c r="AI733" s="886">
        <f t="shared" si="235"/>
        <v>3995000</v>
      </c>
      <c r="AJ733" s="886">
        <f t="shared" si="223"/>
        <v>23970000</v>
      </c>
      <c r="AK733" s="868">
        <f t="shared" si="236"/>
        <v>175780000</v>
      </c>
    </row>
    <row r="734" spans="5:37" s="887" customFormat="1" ht="35.25" customHeight="1" x14ac:dyDescent="0.2">
      <c r="E734" s="884" t="s">
        <v>2306</v>
      </c>
      <c r="F734" s="888"/>
      <c r="G734" s="878" t="s">
        <v>1494</v>
      </c>
      <c r="H734" s="879"/>
      <c r="I734" s="930" t="s">
        <v>4199</v>
      </c>
      <c r="J734" s="878"/>
      <c r="K734" s="903" t="s">
        <v>835</v>
      </c>
      <c r="L734" s="908"/>
      <c r="M734" s="878"/>
      <c r="N734" s="908"/>
      <c r="O734" s="907" t="s">
        <v>3403</v>
      </c>
      <c r="P734" s="903">
        <v>2013</v>
      </c>
      <c r="Q734" s="878"/>
      <c r="R734" s="878"/>
      <c r="S734" s="878"/>
      <c r="T734" s="903" t="s">
        <v>12</v>
      </c>
      <c r="U734" s="879">
        <v>99750000</v>
      </c>
      <c r="V734" s="903"/>
      <c r="W734" s="931"/>
      <c r="X734" s="971"/>
      <c r="Y734" s="884" t="str">
        <f t="shared" si="224"/>
        <v>04.14.01</v>
      </c>
      <c r="Z734" s="884" t="str">
        <f t="shared" si="226"/>
        <v>Bangunan Air Irigasi</v>
      </c>
      <c r="AA734" s="884">
        <f t="shared" si="227"/>
        <v>50</v>
      </c>
      <c r="AB734" s="868">
        <f t="shared" si="228"/>
        <v>1995000</v>
      </c>
      <c r="AC734" s="885">
        <f t="shared" si="229"/>
        <v>1</v>
      </c>
      <c r="AD734" s="868">
        <f t="shared" si="230"/>
        <v>1995000</v>
      </c>
      <c r="AE734" s="868">
        <f t="shared" si="231"/>
        <v>1995000</v>
      </c>
      <c r="AF734" s="868">
        <f t="shared" si="232"/>
        <v>1995000</v>
      </c>
      <c r="AG734" s="868">
        <f t="shared" si="233"/>
        <v>1995000</v>
      </c>
      <c r="AH734" s="868">
        <f t="shared" si="234"/>
        <v>1995000</v>
      </c>
      <c r="AI734" s="886">
        <f t="shared" si="235"/>
        <v>1995000</v>
      </c>
      <c r="AJ734" s="886">
        <f t="shared" si="223"/>
        <v>11970000</v>
      </c>
      <c r="AK734" s="868">
        <f t="shared" si="236"/>
        <v>87780000</v>
      </c>
    </row>
    <row r="735" spans="5:37" s="887" customFormat="1" ht="35.25" customHeight="1" x14ac:dyDescent="0.2">
      <c r="E735" s="884" t="s">
        <v>2306</v>
      </c>
      <c r="F735" s="888"/>
      <c r="G735" s="878" t="s">
        <v>1495</v>
      </c>
      <c r="H735" s="879"/>
      <c r="I735" s="930" t="s">
        <v>4199</v>
      </c>
      <c r="J735" s="878"/>
      <c r="K735" s="903" t="s">
        <v>835</v>
      </c>
      <c r="L735" s="908"/>
      <c r="M735" s="878"/>
      <c r="N735" s="908"/>
      <c r="O735" s="907" t="s">
        <v>3404</v>
      </c>
      <c r="P735" s="903">
        <v>2013</v>
      </c>
      <c r="Q735" s="878"/>
      <c r="R735" s="878"/>
      <c r="S735" s="878"/>
      <c r="T735" s="903" t="s">
        <v>12</v>
      </c>
      <c r="U735" s="879">
        <v>199870000</v>
      </c>
      <c r="V735" s="903"/>
      <c r="W735" s="931"/>
      <c r="X735" s="971"/>
      <c r="Y735" s="884" t="str">
        <f t="shared" si="224"/>
        <v>04.14.01</v>
      </c>
      <c r="Z735" s="884" t="str">
        <f t="shared" si="226"/>
        <v>Bangunan Air Irigasi</v>
      </c>
      <c r="AA735" s="884">
        <f t="shared" si="227"/>
        <v>50</v>
      </c>
      <c r="AB735" s="868">
        <f t="shared" si="228"/>
        <v>3997400</v>
      </c>
      <c r="AC735" s="885">
        <f t="shared" si="229"/>
        <v>1</v>
      </c>
      <c r="AD735" s="868">
        <f t="shared" si="230"/>
        <v>3997400</v>
      </c>
      <c r="AE735" s="868">
        <f t="shared" si="231"/>
        <v>3997400</v>
      </c>
      <c r="AF735" s="868">
        <f t="shared" si="232"/>
        <v>3997400</v>
      </c>
      <c r="AG735" s="868">
        <f t="shared" si="233"/>
        <v>3997400</v>
      </c>
      <c r="AH735" s="868">
        <f t="shared" si="234"/>
        <v>3997400</v>
      </c>
      <c r="AI735" s="886">
        <f t="shared" si="235"/>
        <v>3997400</v>
      </c>
      <c r="AJ735" s="886">
        <f t="shared" si="223"/>
        <v>23984400</v>
      </c>
      <c r="AK735" s="868">
        <f t="shared" si="236"/>
        <v>175885600</v>
      </c>
    </row>
    <row r="736" spans="5:37" s="887" customFormat="1" ht="35.25" customHeight="1" x14ac:dyDescent="0.2">
      <c r="E736" s="884" t="s">
        <v>2306</v>
      </c>
      <c r="F736" s="888"/>
      <c r="G736" s="878" t="s">
        <v>1496</v>
      </c>
      <c r="H736" s="879"/>
      <c r="I736" s="930" t="s">
        <v>4199</v>
      </c>
      <c r="J736" s="878"/>
      <c r="K736" s="903" t="s">
        <v>835</v>
      </c>
      <c r="L736" s="908"/>
      <c r="M736" s="878"/>
      <c r="N736" s="908"/>
      <c r="O736" s="907" t="s">
        <v>3190</v>
      </c>
      <c r="P736" s="903">
        <v>2013</v>
      </c>
      <c r="Q736" s="878"/>
      <c r="R736" s="878"/>
      <c r="S736" s="878"/>
      <c r="T736" s="903" t="s">
        <v>12</v>
      </c>
      <c r="U736" s="879">
        <v>199850000</v>
      </c>
      <c r="V736" s="903"/>
      <c r="W736" s="931"/>
      <c r="X736" s="971"/>
      <c r="Y736" s="884" t="str">
        <f t="shared" si="224"/>
        <v>04.14.01</v>
      </c>
      <c r="Z736" s="884" t="str">
        <f t="shared" si="226"/>
        <v>Bangunan Air Irigasi</v>
      </c>
      <c r="AA736" s="884">
        <f t="shared" si="227"/>
        <v>50</v>
      </c>
      <c r="AB736" s="868">
        <f t="shared" si="228"/>
        <v>3997000</v>
      </c>
      <c r="AC736" s="885">
        <f t="shared" si="229"/>
        <v>1</v>
      </c>
      <c r="AD736" s="868">
        <f t="shared" si="230"/>
        <v>3997000</v>
      </c>
      <c r="AE736" s="868">
        <f t="shared" si="231"/>
        <v>3997000</v>
      </c>
      <c r="AF736" s="868">
        <f t="shared" si="232"/>
        <v>3997000</v>
      </c>
      <c r="AG736" s="868">
        <f t="shared" si="233"/>
        <v>3997000</v>
      </c>
      <c r="AH736" s="868">
        <f t="shared" si="234"/>
        <v>3997000</v>
      </c>
      <c r="AI736" s="886">
        <f t="shared" si="235"/>
        <v>3997000</v>
      </c>
      <c r="AJ736" s="886">
        <f t="shared" si="223"/>
        <v>23982000</v>
      </c>
      <c r="AK736" s="868">
        <f t="shared" si="236"/>
        <v>175868000</v>
      </c>
    </row>
    <row r="737" spans="5:37" s="887" customFormat="1" ht="35.25" customHeight="1" x14ac:dyDescent="0.2">
      <c r="E737" s="884" t="s">
        <v>2306</v>
      </c>
      <c r="F737" s="888"/>
      <c r="G737" s="878" t="s">
        <v>1497</v>
      </c>
      <c r="H737" s="879"/>
      <c r="I737" s="930" t="s">
        <v>4199</v>
      </c>
      <c r="J737" s="878"/>
      <c r="K737" s="903" t="s">
        <v>835</v>
      </c>
      <c r="L737" s="908"/>
      <c r="M737" s="878"/>
      <c r="N737" s="908"/>
      <c r="O737" s="907" t="s">
        <v>3405</v>
      </c>
      <c r="P737" s="903">
        <v>2013</v>
      </c>
      <c r="Q737" s="878"/>
      <c r="R737" s="878"/>
      <c r="S737" s="878"/>
      <c r="T737" s="903" t="s">
        <v>12</v>
      </c>
      <c r="U737" s="879">
        <v>199875000</v>
      </c>
      <c r="V737" s="903"/>
      <c r="W737" s="931"/>
      <c r="X737" s="971"/>
      <c r="Y737" s="884" t="str">
        <f t="shared" si="224"/>
        <v>04.14.01</v>
      </c>
      <c r="Z737" s="884" t="str">
        <f t="shared" si="226"/>
        <v>Bangunan Air Irigasi</v>
      </c>
      <c r="AA737" s="884">
        <f t="shared" si="227"/>
        <v>50</v>
      </c>
      <c r="AB737" s="868">
        <f t="shared" si="228"/>
        <v>3997500</v>
      </c>
      <c r="AC737" s="885">
        <f t="shared" si="229"/>
        <v>1</v>
      </c>
      <c r="AD737" s="868">
        <f t="shared" si="230"/>
        <v>3997500</v>
      </c>
      <c r="AE737" s="868">
        <f t="shared" si="231"/>
        <v>3997500</v>
      </c>
      <c r="AF737" s="868">
        <f t="shared" si="232"/>
        <v>3997500</v>
      </c>
      <c r="AG737" s="868">
        <f t="shared" si="233"/>
        <v>3997500</v>
      </c>
      <c r="AH737" s="868">
        <f t="shared" si="234"/>
        <v>3997500</v>
      </c>
      <c r="AI737" s="886">
        <f t="shared" si="235"/>
        <v>3997500</v>
      </c>
      <c r="AJ737" s="886">
        <f t="shared" si="223"/>
        <v>23985000</v>
      </c>
      <c r="AK737" s="868">
        <f t="shared" si="236"/>
        <v>175890000</v>
      </c>
    </row>
    <row r="738" spans="5:37" s="887" customFormat="1" ht="35.25" customHeight="1" x14ac:dyDescent="0.2">
      <c r="E738" s="884" t="s">
        <v>2306</v>
      </c>
      <c r="F738" s="888"/>
      <c r="G738" s="878" t="s">
        <v>1498</v>
      </c>
      <c r="H738" s="879"/>
      <c r="I738" s="930" t="s">
        <v>4199</v>
      </c>
      <c r="J738" s="878"/>
      <c r="K738" s="903" t="s">
        <v>835</v>
      </c>
      <c r="L738" s="908"/>
      <c r="M738" s="878"/>
      <c r="N738" s="908"/>
      <c r="O738" s="907" t="s">
        <v>3406</v>
      </c>
      <c r="P738" s="903">
        <v>2013</v>
      </c>
      <c r="Q738" s="878"/>
      <c r="R738" s="878"/>
      <c r="S738" s="878"/>
      <c r="T738" s="903" t="s">
        <v>12</v>
      </c>
      <c r="U738" s="879">
        <v>124750000</v>
      </c>
      <c r="V738" s="903"/>
      <c r="W738" s="931"/>
      <c r="X738" s="971"/>
      <c r="Y738" s="884" t="str">
        <f t="shared" si="224"/>
        <v>04.14.01</v>
      </c>
      <c r="Z738" s="884" t="str">
        <f t="shared" si="226"/>
        <v>Bangunan Air Irigasi</v>
      </c>
      <c r="AA738" s="884">
        <f t="shared" si="227"/>
        <v>50</v>
      </c>
      <c r="AB738" s="868">
        <f t="shared" si="228"/>
        <v>2495000</v>
      </c>
      <c r="AC738" s="885">
        <f t="shared" si="229"/>
        <v>1</v>
      </c>
      <c r="AD738" s="868">
        <f t="shared" si="230"/>
        <v>2495000</v>
      </c>
      <c r="AE738" s="868">
        <f t="shared" si="231"/>
        <v>2495000</v>
      </c>
      <c r="AF738" s="868">
        <f t="shared" si="232"/>
        <v>2495000</v>
      </c>
      <c r="AG738" s="868">
        <f t="shared" si="233"/>
        <v>2495000</v>
      </c>
      <c r="AH738" s="868">
        <f t="shared" si="234"/>
        <v>2495000</v>
      </c>
      <c r="AI738" s="886">
        <f t="shared" si="235"/>
        <v>2495000</v>
      </c>
      <c r="AJ738" s="886">
        <f t="shared" si="223"/>
        <v>14970000</v>
      </c>
      <c r="AK738" s="868">
        <f t="shared" si="236"/>
        <v>109780000</v>
      </c>
    </row>
    <row r="739" spans="5:37" s="887" customFormat="1" ht="35.25" customHeight="1" x14ac:dyDescent="0.2">
      <c r="E739" s="884" t="s">
        <v>2306</v>
      </c>
      <c r="F739" s="888"/>
      <c r="G739" s="878" t="s">
        <v>1499</v>
      </c>
      <c r="H739" s="879"/>
      <c r="I739" s="930" t="s">
        <v>4199</v>
      </c>
      <c r="J739" s="878"/>
      <c r="K739" s="903" t="s">
        <v>835</v>
      </c>
      <c r="L739" s="908"/>
      <c r="M739" s="878"/>
      <c r="N739" s="908"/>
      <c r="O739" s="907" t="s">
        <v>3407</v>
      </c>
      <c r="P739" s="903">
        <v>2013</v>
      </c>
      <c r="Q739" s="878"/>
      <c r="R739" s="878"/>
      <c r="S739" s="878"/>
      <c r="T739" s="903" t="s">
        <v>12</v>
      </c>
      <c r="U739" s="879">
        <v>199750000</v>
      </c>
      <c r="V739" s="903"/>
      <c r="W739" s="931"/>
      <c r="X739" s="971"/>
      <c r="Y739" s="884" t="str">
        <f t="shared" si="224"/>
        <v>04.14.01</v>
      </c>
      <c r="Z739" s="884" t="str">
        <f t="shared" si="226"/>
        <v>Bangunan Air Irigasi</v>
      </c>
      <c r="AA739" s="884">
        <f t="shared" si="227"/>
        <v>50</v>
      </c>
      <c r="AB739" s="868">
        <f t="shared" si="228"/>
        <v>3995000</v>
      </c>
      <c r="AC739" s="885">
        <f t="shared" si="229"/>
        <v>1</v>
      </c>
      <c r="AD739" s="868">
        <f t="shared" si="230"/>
        <v>3995000</v>
      </c>
      <c r="AE739" s="868">
        <f t="shared" si="231"/>
        <v>3995000</v>
      </c>
      <c r="AF739" s="868">
        <f t="shared" si="232"/>
        <v>3995000</v>
      </c>
      <c r="AG739" s="868">
        <f t="shared" si="233"/>
        <v>3995000</v>
      </c>
      <c r="AH739" s="868">
        <f t="shared" si="234"/>
        <v>3995000</v>
      </c>
      <c r="AI739" s="886">
        <f t="shared" si="235"/>
        <v>3995000</v>
      </c>
      <c r="AJ739" s="886">
        <f t="shared" si="223"/>
        <v>23970000</v>
      </c>
      <c r="AK739" s="868">
        <f t="shared" si="236"/>
        <v>175780000</v>
      </c>
    </row>
    <row r="740" spans="5:37" s="887" customFormat="1" ht="35.25" customHeight="1" x14ac:dyDescent="0.2">
      <c r="E740" s="884" t="s">
        <v>2306</v>
      </c>
      <c r="F740" s="888"/>
      <c r="G740" s="878" t="s">
        <v>1500</v>
      </c>
      <c r="H740" s="879"/>
      <c r="I740" s="930" t="s">
        <v>4199</v>
      </c>
      <c r="J740" s="878"/>
      <c r="K740" s="903"/>
      <c r="L740" s="908"/>
      <c r="M740" s="878"/>
      <c r="N740" s="908"/>
      <c r="O740" s="863" t="s">
        <v>603</v>
      </c>
      <c r="P740" s="903">
        <v>2014</v>
      </c>
      <c r="Q740" s="878"/>
      <c r="R740" s="878"/>
      <c r="S740" s="878"/>
      <c r="T740" s="903" t="s">
        <v>12</v>
      </c>
      <c r="U740" s="879">
        <v>197739968</v>
      </c>
      <c r="V740" s="903"/>
      <c r="W740" s="931"/>
      <c r="X740" s="971"/>
      <c r="Y740" s="884" t="str">
        <f t="shared" si="224"/>
        <v>04.14.01</v>
      </c>
      <c r="Z740" s="884" t="str">
        <f t="shared" si="226"/>
        <v>Bangunan Air Irigasi</v>
      </c>
      <c r="AA740" s="884">
        <f t="shared" si="227"/>
        <v>50</v>
      </c>
      <c r="AB740" s="868">
        <f t="shared" si="228"/>
        <v>3954799.36</v>
      </c>
      <c r="AC740" s="885">
        <f t="shared" si="229"/>
        <v>0</v>
      </c>
      <c r="AD740" s="868">
        <f t="shared" si="230"/>
        <v>0</v>
      </c>
      <c r="AE740" s="868">
        <f t="shared" si="231"/>
        <v>3954799.36</v>
      </c>
      <c r="AF740" s="868">
        <f t="shared" si="232"/>
        <v>3954799.36</v>
      </c>
      <c r="AG740" s="868">
        <f t="shared" si="233"/>
        <v>3954799.36</v>
      </c>
      <c r="AH740" s="868">
        <f t="shared" si="234"/>
        <v>3954799.36</v>
      </c>
      <c r="AI740" s="886">
        <f t="shared" si="235"/>
        <v>3954799.36</v>
      </c>
      <c r="AJ740" s="886">
        <f t="shared" si="223"/>
        <v>19773996.800000001</v>
      </c>
      <c r="AK740" s="868">
        <f t="shared" si="236"/>
        <v>177965971.19999999</v>
      </c>
    </row>
    <row r="741" spans="5:37" s="887" customFormat="1" ht="35.25" customHeight="1" x14ac:dyDescent="0.2">
      <c r="E741" s="884" t="s">
        <v>2306</v>
      </c>
      <c r="F741" s="888"/>
      <c r="G741" s="878" t="s">
        <v>1501</v>
      </c>
      <c r="H741" s="879"/>
      <c r="I741" s="930" t="s">
        <v>4199</v>
      </c>
      <c r="J741" s="878"/>
      <c r="K741" s="903"/>
      <c r="L741" s="908"/>
      <c r="M741" s="878"/>
      <c r="N741" s="908"/>
      <c r="O741" s="907" t="s">
        <v>3408</v>
      </c>
      <c r="P741" s="903">
        <v>2014</v>
      </c>
      <c r="Q741" s="878"/>
      <c r="R741" s="878"/>
      <c r="S741" s="878"/>
      <c r="T741" s="903" t="s">
        <v>12</v>
      </c>
      <c r="U741" s="879">
        <v>197918604</v>
      </c>
      <c r="V741" s="903"/>
      <c r="W741" s="931"/>
      <c r="X741" s="971"/>
      <c r="Y741" s="884" t="str">
        <f t="shared" si="224"/>
        <v>04.14.01</v>
      </c>
      <c r="Z741" s="884" t="str">
        <f t="shared" si="226"/>
        <v>Bangunan Air Irigasi</v>
      </c>
      <c r="AA741" s="884">
        <f t="shared" si="227"/>
        <v>50</v>
      </c>
      <c r="AB741" s="868">
        <f t="shared" si="228"/>
        <v>3958372.08</v>
      </c>
      <c r="AC741" s="885">
        <f t="shared" si="229"/>
        <v>0</v>
      </c>
      <c r="AD741" s="868">
        <f t="shared" si="230"/>
        <v>0</v>
      </c>
      <c r="AE741" s="868">
        <f t="shared" si="231"/>
        <v>3958372.08</v>
      </c>
      <c r="AF741" s="868">
        <f t="shared" si="232"/>
        <v>3958372.08</v>
      </c>
      <c r="AG741" s="868">
        <f t="shared" si="233"/>
        <v>3958372.08</v>
      </c>
      <c r="AH741" s="868">
        <f t="shared" si="234"/>
        <v>3958372.08</v>
      </c>
      <c r="AI741" s="886">
        <f t="shared" si="235"/>
        <v>3958372.08</v>
      </c>
      <c r="AJ741" s="886">
        <f t="shared" si="223"/>
        <v>19791860.399999999</v>
      </c>
      <c r="AK741" s="868">
        <f t="shared" si="236"/>
        <v>178126743.59999999</v>
      </c>
    </row>
    <row r="742" spans="5:37" s="887" customFormat="1" ht="35.25" customHeight="1" x14ac:dyDescent="0.2">
      <c r="E742" s="884" t="s">
        <v>2306</v>
      </c>
      <c r="F742" s="888"/>
      <c r="G742" s="878" t="s">
        <v>1502</v>
      </c>
      <c r="H742" s="879"/>
      <c r="I742" s="930" t="s">
        <v>4199</v>
      </c>
      <c r="J742" s="878"/>
      <c r="K742" s="903"/>
      <c r="L742" s="908"/>
      <c r="M742" s="878"/>
      <c r="N742" s="908"/>
      <c r="O742" s="907" t="s">
        <v>3088</v>
      </c>
      <c r="P742" s="903">
        <v>2014</v>
      </c>
      <c r="Q742" s="878"/>
      <c r="R742" s="878"/>
      <c r="S742" s="878"/>
      <c r="T742" s="903" t="s">
        <v>12</v>
      </c>
      <c r="U742" s="879">
        <v>197925372</v>
      </c>
      <c r="V742" s="903"/>
      <c r="W742" s="931"/>
      <c r="X742" s="971"/>
      <c r="Y742" s="884" t="str">
        <f t="shared" si="224"/>
        <v>04.14.01</v>
      </c>
      <c r="Z742" s="884" t="str">
        <f t="shared" si="226"/>
        <v>Bangunan Air Irigasi</v>
      </c>
      <c r="AA742" s="884">
        <f t="shared" si="227"/>
        <v>50</v>
      </c>
      <c r="AB742" s="868">
        <f t="shared" si="228"/>
        <v>3958507.44</v>
      </c>
      <c r="AC742" s="885">
        <f t="shared" si="229"/>
        <v>0</v>
      </c>
      <c r="AD742" s="868">
        <f t="shared" si="230"/>
        <v>0</v>
      </c>
      <c r="AE742" s="868">
        <f t="shared" si="231"/>
        <v>3958507.44</v>
      </c>
      <c r="AF742" s="868">
        <f t="shared" si="232"/>
        <v>3958507.44</v>
      </c>
      <c r="AG742" s="868">
        <f t="shared" si="233"/>
        <v>3958507.44</v>
      </c>
      <c r="AH742" s="868">
        <f t="shared" si="234"/>
        <v>3958507.44</v>
      </c>
      <c r="AI742" s="886">
        <f t="shared" si="235"/>
        <v>3958507.44</v>
      </c>
      <c r="AJ742" s="886">
        <f t="shared" si="223"/>
        <v>19792537.199999999</v>
      </c>
      <c r="AK742" s="868">
        <f t="shared" si="236"/>
        <v>178132834.80000001</v>
      </c>
    </row>
    <row r="743" spans="5:37" s="887" customFormat="1" ht="35.25" customHeight="1" x14ac:dyDescent="0.2">
      <c r="E743" s="884" t="s">
        <v>2306</v>
      </c>
      <c r="F743" s="888"/>
      <c r="G743" s="878" t="s">
        <v>1503</v>
      </c>
      <c r="H743" s="879"/>
      <c r="I743" s="930" t="s">
        <v>4199</v>
      </c>
      <c r="J743" s="878"/>
      <c r="K743" s="903"/>
      <c r="L743" s="908"/>
      <c r="M743" s="878"/>
      <c r="N743" s="908"/>
      <c r="O743" s="907" t="s">
        <v>3409</v>
      </c>
      <c r="P743" s="903">
        <v>2014</v>
      </c>
      <c r="Q743" s="878"/>
      <c r="R743" s="878"/>
      <c r="S743" s="878"/>
      <c r="T743" s="903" t="s">
        <v>12</v>
      </c>
      <c r="U743" s="879">
        <v>197626366</v>
      </c>
      <c r="V743" s="903"/>
      <c r="W743" s="931"/>
      <c r="X743" s="971"/>
      <c r="Y743" s="884" t="str">
        <f t="shared" si="224"/>
        <v>04.14.01</v>
      </c>
      <c r="Z743" s="884" t="str">
        <f t="shared" si="226"/>
        <v>Bangunan Air Irigasi</v>
      </c>
      <c r="AA743" s="884">
        <f t="shared" si="227"/>
        <v>50</v>
      </c>
      <c r="AB743" s="868">
        <f t="shared" si="228"/>
        <v>3952527.32</v>
      </c>
      <c r="AC743" s="885">
        <f t="shared" si="229"/>
        <v>0</v>
      </c>
      <c r="AD743" s="868">
        <f t="shared" si="230"/>
        <v>0</v>
      </c>
      <c r="AE743" s="868">
        <f t="shared" si="231"/>
        <v>3952527.32</v>
      </c>
      <c r="AF743" s="868">
        <f t="shared" si="232"/>
        <v>3952527.32</v>
      </c>
      <c r="AG743" s="868">
        <f t="shared" si="233"/>
        <v>3952527.32</v>
      </c>
      <c r="AH743" s="868">
        <f t="shared" si="234"/>
        <v>3952527.32</v>
      </c>
      <c r="AI743" s="886">
        <f t="shared" si="235"/>
        <v>3952527.32</v>
      </c>
      <c r="AJ743" s="886">
        <f t="shared" si="223"/>
        <v>19762636.599999998</v>
      </c>
      <c r="AK743" s="868">
        <f t="shared" si="236"/>
        <v>177863729.40000001</v>
      </c>
    </row>
    <row r="744" spans="5:37" s="887" customFormat="1" ht="35.25" customHeight="1" x14ac:dyDescent="0.2">
      <c r="E744" s="884" t="s">
        <v>2306</v>
      </c>
      <c r="F744" s="888"/>
      <c r="G744" s="878" t="s">
        <v>1504</v>
      </c>
      <c r="H744" s="879"/>
      <c r="I744" s="930" t="s">
        <v>4199</v>
      </c>
      <c r="J744" s="878"/>
      <c r="K744" s="903"/>
      <c r="L744" s="908"/>
      <c r="M744" s="878"/>
      <c r="N744" s="908"/>
      <c r="O744" s="907" t="s">
        <v>3410</v>
      </c>
      <c r="P744" s="903">
        <v>2014</v>
      </c>
      <c r="Q744" s="878"/>
      <c r="R744" s="878"/>
      <c r="S744" s="878"/>
      <c r="T744" s="903" t="s">
        <v>12</v>
      </c>
      <c r="U744" s="879">
        <v>904050000</v>
      </c>
      <c r="V744" s="903"/>
      <c r="W744" s="931"/>
      <c r="X744" s="971"/>
      <c r="Y744" s="884" t="str">
        <f t="shared" si="224"/>
        <v>04.14.01</v>
      </c>
      <c r="Z744" s="884" t="str">
        <f t="shared" si="226"/>
        <v>Bangunan Air Irigasi</v>
      </c>
      <c r="AA744" s="884">
        <f t="shared" si="227"/>
        <v>50</v>
      </c>
      <c r="AB744" s="868">
        <f t="shared" si="228"/>
        <v>18081000</v>
      </c>
      <c r="AC744" s="885">
        <f t="shared" si="229"/>
        <v>0</v>
      </c>
      <c r="AD744" s="868">
        <f t="shared" si="230"/>
        <v>0</v>
      </c>
      <c r="AE744" s="868">
        <f t="shared" si="231"/>
        <v>18081000</v>
      </c>
      <c r="AF744" s="868">
        <f t="shared" si="232"/>
        <v>18081000</v>
      </c>
      <c r="AG744" s="868">
        <f t="shared" si="233"/>
        <v>18081000</v>
      </c>
      <c r="AH744" s="868">
        <f t="shared" si="234"/>
        <v>18081000</v>
      </c>
      <c r="AI744" s="886">
        <f t="shared" si="235"/>
        <v>18081000</v>
      </c>
      <c r="AJ744" s="886">
        <f t="shared" si="223"/>
        <v>90405000</v>
      </c>
      <c r="AK744" s="868">
        <f t="shared" si="236"/>
        <v>813645000</v>
      </c>
    </row>
    <row r="745" spans="5:37" s="887" customFormat="1" ht="35.25" customHeight="1" x14ac:dyDescent="0.2">
      <c r="E745" s="884" t="s">
        <v>2306</v>
      </c>
      <c r="F745" s="888"/>
      <c r="G745" s="878" t="s">
        <v>1505</v>
      </c>
      <c r="H745" s="879"/>
      <c r="I745" s="930" t="s">
        <v>4199</v>
      </c>
      <c r="J745" s="878"/>
      <c r="K745" s="903"/>
      <c r="L745" s="908"/>
      <c r="M745" s="878"/>
      <c r="N745" s="908"/>
      <c r="O745" s="907" t="s">
        <v>3411</v>
      </c>
      <c r="P745" s="903">
        <v>2014</v>
      </c>
      <c r="Q745" s="878"/>
      <c r="R745" s="878"/>
      <c r="S745" s="878"/>
      <c r="T745" s="903" t="s">
        <v>12</v>
      </c>
      <c r="U745" s="879">
        <v>173287568.5703457</v>
      </c>
      <c r="V745" s="903"/>
      <c r="W745" s="931"/>
      <c r="X745" s="971"/>
      <c r="Y745" s="884" t="str">
        <f t="shared" si="224"/>
        <v>04.14.01</v>
      </c>
      <c r="Z745" s="884" t="str">
        <f t="shared" si="226"/>
        <v>Bangunan Air Irigasi</v>
      </c>
      <c r="AA745" s="884">
        <f t="shared" si="227"/>
        <v>50</v>
      </c>
      <c r="AB745" s="868">
        <f t="shared" si="228"/>
        <v>3465751.3714069142</v>
      </c>
      <c r="AC745" s="885">
        <f t="shared" si="229"/>
        <v>0</v>
      </c>
      <c r="AD745" s="868">
        <f t="shared" si="230"/>
        <v>0</v>
      </c>
      <c r="AE745" s="868">
        <f t="shared" si="231"/>
        <v>3465751.3714069142</v>
      </c>
      <c r="AF745" s="868">
        <f t="shared" si="232"/>
        <v>3465751.3714069142</v>
      </c>
      <c r="AG745" s="868">
        <f t="shared" si="233"/>
        <v>3465751.3714069142</v>
      </c>
      <c r="AH745" s="868">
        <f t="shared" si="234"/>
        <v>3465751.3714069142</v>
      </c>
      <c r="AI745" s="886">
        <f t="shared" si="235"/>
        <v>3465751.3714069142</v>
      </c>
      <c r="AJ745" s="886">
        <f t="shared" si="223"/>
        <v>17328756.857034571</v>
      </c>
      <c r="AK745" s="868">
        <f t="shared" si="236"/>
        <v>155958811.71331114</v>
      </c>
    </row>
    <row r="746" spans="5:37" s="887" customFormat="1" ht="35.25" customHeight="1" x14ac:dyDescent="0.2">
      <c r="E746" s="884" t="s">
        <v>2306</v>
      </c>
      <c r="F746" s="888"/>
      <c r="G746" s="878" t="s">
        <v>1506</v>
      </c>
      <c r="H746" s="879"/>
      <c r="I746" s="930" t="s">
        <v>4199</v>
      </c>
      <c r="J746" s="878"/>
      <c r="K746" s="903"/>
      <c r="L746" s="908"/>
      <c r="M746" s="878"/>
      <c r="N746" s="908"/>
      <c r="O746" s="907" t="s">
        <v>3412</v>
      </c>
      <c r="P746" s="903">
        <v>2014</v>
      </c>
      <c r="Q746" s="878"/>
      <c r="R746" s="878"/>
      <c r="S746" s="878"/>
      <c r="T746" s="903" t="s">
        <v>12</v>
      </c>
      <c r="U746" s="879">
        <v>194364451.48156792</v>
      </c>
      <c r="V746" s="903"/>
      <c r="W746" s="931"/>
      <c r="X746" s="971"/>
      <c r="Y746" s="884" t="str">
        <f t="shared" si="224"/>
        <v>04.14.01</v>
      </c>
      <c r="Z746" s="884" t="str">
        <f t="shared" si="226"/>
        <v>Bangunan Air Irigasi</v>
      </c>
      <c r="AA746" s="884">
        <f t="shared" si="227"/>
        <v>50</v>
      </c>
      <c r="AB746" s="868">
        <f t="shared" si="228"/>
        <v>3887289.0296313586</v>
      </c>
      <c r="AC746" s="885">
        <f t="shared" si="229"/>
        <v>0</v>
      </c>
      <c r="AD746" s="868">
        <f t="shared" si="230"/>
        <v>0</v>
      </c>
      <c r="AE746" s="868">
        <f t="shared" si="231"/>
        <v>3887289.0296313586</v>
      </c>
      <c r="AF746" s="868">
        <f t="shared" si="232"/>
        <v>3887289.0296313586</v>
      </c>
      <c r="AG746" s="868">
        <f t="shared" si="233"/>
        <v>3887289.0296313586</v>
      </c>
      <c r="AH746" s="868">
        <f t="shared" si="234"/>
        <v>3887289.0296313586</v>
      </c>
      <c r="AI746" s="886">
        <f t="shared" si="235"/>
        <v>3887289.0296313586</v>
      </c>
      <c r="AJ746" s="886">
        <f t="shared" si="223"/>
        <v>19436445.148156792</v>
      </c>
      <c r="AK746" s="868">
        <f t="shared" si="236"/>
        <v>174928006.33341113</v>
      </c>
    </row>
    <row r="747" spans="5:37" s="887" customFormat="1" ht="35.25" customHeight="1" x14ac:dyDescent="0.2">
      <c r="E747" s="884" t="s">
        <v>2306</v>
      </c>
      <c r="F747" s="888"/>
      <c r="G747" s="878" t="s">
        <v>1507</v>
      </c>
      <c r="H747" s="879"/>
      <c r="I747" s="930" t="s">
        <v>4199</v>
      </c>
      <c r="J747" s="878"/>
      <c r="K747" s="903"/>
      <c r="L747" s="908"/>
      <c r="M747" s="878"/>
      <c r="N747" s="908"/>
      <c r="O747" s="907" t="s">
        <v>3413</v>
      </c>
      <c r="P747" s="903">
        <v>2014</v>
      </c>
      <c r="Q747" s="878"/>
      <c r="R747" s="878"/>
      <c r="S747" s="878"/>
      <c r="T747" s="903" t="s">
        <v>12</v>
      </c>
      <c r="U747" s="879">
        <v>194266334.13678473</v>
      </c>
      <c r="V747" s="903"/>
      <c r="W747" s="931"/>
      <c r="X747" s="971"/>
      <c r="Y747" s="884" t="str">
        <f t="shared" si="224"/>
        <v>04.14.01</v>
      </c>
      <c r="Z747" s="884" t="str">
        <f t="shared" si="226"/>
        <v>Bangunan Air Irigasi</v>
      </c>
      <c r="AA747" s="884">
        <f t="shared" si="227"/>
        <v>50</v>
      </c>
      <c r="AB747" s="868">
        <f t="shared" si="228"/>
        <v>3885326.6827356946</v>
      </c>
      <c r="AC747" s="885">
        <f t="shared" si="229"/>
        <v>0</v>
      </c>
      <c r="AD747" s="868">
        <f t="shared" si="230"/>
        <v>0</v>
      </c>
      <c r="AE747" s="868">
        <f t="shared" si="231"/>
        <v>3885326.6827356946</v>
      </c>
      <c r="AF747" s="868">
        <f t="shared" si="232"/>
        <v>3885326.6827356946</v>
      </c>
      <c r="AG747" s="868">
        <f t="shared" si="233"/>
        <v>3885326.6827356946</v>
      </c>
      <c r="AH747" s="868">
        <f t="shared" si="234"/>
        <v>3885326.6827356946</v>
      </c>
      <c r="AI747" s="886">
        <f t="shared" si="235"/>
        <v>3885326.6827356946</v>
      </c>
      <c r="AJ747" s="886">
        <f t="shared" si="223"/>
        <v>19426633.413678475</v>
      </c>
      <c r="AK747" s="868">
        <f t="shared" si="236"/>
        <v>174839700.72310627</v>
      </c>
    </row>
    <row r="748" spans="5:37" s="887" customFormat="1" ht="35.25" customHeight="1" x14ac:dyDescent="0.2">
      <c r="E748" s="884" t="s">
        <v>2306</v>
      </c>
      <c r="F748" s="888"/>
      <c r="G748" s="878" t="s">
        <v>1508</v>
      </c>
      <c r="H748" s="879"/>
      <c r="I748" s="930" t="s">
        <v>4199</v>
      </c>
      <c r="J748" s="878"/>
      <c r="K748" s="903"/>
      <c r="L748" s="908"/>
      <c r="M748" s="878"/>
      <c r="N748" s="908"/>
      <c r="O748" s="907" t="s">
        <v>3090</v>
      </c>
      <c r="P748" s="903">
        <v>2014</v>
      </c>
      <c r="Q748" s="878"/>
      <c r="R748" s="878"/>
      <c r="S748" s="878"/>
      <c r="T748" s="903" t="s">
        <v>12</v>
      </c>
      <c r="U748" s="879">
        <v>194205094.58212945</v>
      </c>
      <c r="V748" s="903"/>
      <c r="W748" s="931"/>
      <c r="X748" s="971"/>
      <c r="Y748" s="884" t="str">
        <f t="shared" si="224"/>
        <v>04.14.01</v>
      </c>
      <c r="Z748" s="884" t="str">
        <f t="shared" si="226"/>
        <v>Bangunan Air Irigasi</v>
      </c>
      <c r="AA748" s="884">
        <f t="shared" si="227"/>
        <v>50</v>
      </c>
      <c r="AB748" s="868">
        <f t="shared" si="228"/>
        <v>3884101.8916425891</v>
      </c>
      <c r="AC748" s="885">
        <f t="shared" si="229"/>
        <v>0</v>
      </c>
      <c r="AD748" s="868">
        <f t="shared" si="230"/>
        <v>0</v>
      </c>
      <c r="AE748" s="868">
        <f t="shared" si="231"/>
        <v>3884101.8916425891</v>
      </c>
      <c r="AF748" s="868">
        <f t="shared" si="232"/>
        <v>3884101.8916425891</v>
      </c>
      <c r="AG748" s="868">
        <f t="shared" si="233"/>
        <v>3884101.8916425891</v>
      </c>
      <c r="AH748" s="868">
        <f t="shared" si="234"/>
        <v>3884101.8916425891</v>
      </c>
      <c r="AI748" s="886">
        <f t="shared" si="235"/>
        <v>3884101.8916425891</v>
      </c>
      <c r="AJ748" s="886">
        <f t="shared" ref="AJ748:AJ811" si="237">SUM(AD748:AI748)</f>
        <v>19420509.458212946</v>
      </c>
      <c r="AK748" s="868">
        <f t="shared" si="236"/>
        <v>174784585.12391651</v>
      </c>
    </row>
    <row r="749" spans="5:37" s="887" customFormat="1" ht="35.25" customHeight="1" x14ac:dyDescent="0.2">
      <c r="E749" s="884" t="s">
        <v>2306</v>
      </c>
      <c r="F749" s="888"/>
      <c r="G749" s="878" t="s">
        <v>1509</v>
      </c>
      <c r="H749" s="879"/>
      <c r="I749" s="930" t="s">
        <v>4199</v>
      </c>
      <c r="J749" s="878"/>
      <c r="K749" s="903"/>
      <c r="L749" s="908"/>
      <c r="M749" s="878"/>
      <c r="N749" s="908"/>
      <c r="O749" s="907" t="s">
        <v>3414</v>
      </c>
      <c r="P749" s="903">
        <v>2014</v>
      </c>
      <c r="Q749" s="878"/>
      <c r="R749" s="878"/>
      <c r="S749" s="878"/>
      <c r="T749" s="903" t="s">
        <v>12</v>
      </c>
      <c r="U749" s="879">
        <v>186951267.2291722</v>
      </c>
      <c r="V749" s="903"/>
      <c r="W749" s="931"/>
      <c r="X749" s="971"/>
      <c r="Y749" s="884" t="str">
        <f t="shared" ref="Y749:Y812" si="238">LEFT(I749,8)</f>
        <v>04.14.01</v>
      </c>
      <c r="Z749" s="884" t="str">
        <f t="shared" si="226"/>
        <v>Bangunan Air Irigasi</v>
      </c>
      <c r="AA749" s="884">
        <f t="shared" si="227"/>
        <v>50</v>
      </c>
      <c r="AB749" s="868">
        <f t="shared" si="228"/>
        <v>3739025.3445834438</v>
      </c>
      <c r="AC749" s="885">
        <f t="shared" si="229"/>
        <v>0</v>
      </c>
      <c r="AD749" s="868">
        <f t="shared" si="230"/>
        <v>0</v>
      </c>
      <c r="AE749" s="868">
        <f t="shared" si="231"/>
        <v>3739025.3445834438</v>
      </c>
      <c r="AF749" s="868">
        <f t="shared" si="232"/>
        <v>3739025.3445834438</v>
      </c>
      <c r="AG749" s="868">
        <f t="shared" si="233"/>
        <v>3739025.3445834438</v>
      </c>
      <c r="AH749" s="868">
        <f t="shared" si="234"/>
        <v>3739025.3445834438</v>
      </c>
      <c r="AI749" s="886">
        <f t="shared" si="235"/>
        <v>3739025.3445834438</v>
      </c>
      <c r="AJ749" s="886">
        <f t="shared" si="237"/>
        <v>18695126.722917218</v>
      </c>
      <c r="AK749" s="868">
        <f t="shared" si="236"/>
        <v>168256140.50625497</v>
      </c>
    </row>
    <row r="750" spans="5:37" s="887" customFormat="1" ht="35.25" customHeight="1" x14ac:dyDescent="0.2">
      <c r="E750" s="884" t="s">
        <v>2306</v>
      </c>
      <c r="F750" s="888"/>
      <c r="G750" s="878" t="s">
        <v>1510</v>
      </c>
      <c r="H750" s="879"/>
      <c r="I750" s="930" t="s">
        <v>4199</v>
      </c>
      <c r="J750" s="878"/>
      <c r="K750" s="903"/>
      <c r="L750" s="908"/>
      <c r="M750" s="878"/>
      <c r="N750" s="908"/>
      <c r="O750" s="907" t="s">
        <v>3415</v>
      </c>
      <c r="P750" s="903">
        <v>2014</v>
      </c>
      <c r="Q750" s="878"/>
      <c r="R750" s="878"/>
      <c r="S750" s="878"/>
      <c r="T750" s="903" t="s">
        <v>12</v>
      </c>
      <c r="U750" s="879">
        <v>1101649000</v>
      </c>
      <c r="V750" s="903"/>
      <c r="W750" s="931"/>
      <c r="X750" s="971"/>
      <c r="Y750" s="884" t="str">
        <f t="shared" si="238"/>
        <v>04.14.01</v>
      </c>
      <c r="Z750" s="884" t="str">
        <f t="shared" ref="Z750:Z813" si="239">VLOOKUP(Y750,UE,3,FALSE)</f>
        <v>Bangunan Air Irigasi</v>
      </c>
      <c r="AA750" s="884">
        <f t="shared" ref="AA750:AA813" si="240">VLOOKUP(Y750,UE,4,FALSE)</f>
        <v>50</v>
      </c>
      <c r="AB750" s="868">
        <f t="shared" ref="AB750:AB813" si="241">U750/AA750</f>
        <v>22032980</v>
      </c>
      <c r="AC750" s="885">
        <f t="shared" ref="AC750:AC813" si="242">IF(2013-P750+1&gt;AA750,AA750,IF(2013-P750+1&lt;0,0,2013-P750+1))</f>
        <v>0</v>
      </c>
      <c r="AD750" s="868">
        <f t="shared" ref="AD750:AD813" si="243">IF(AC750&gt;AA750,U750,AB750*AC750)</f>
        <v>0</v>
      </c>
      <c r="AE750" s="868">
        <f t="shared" ref="AE750:AE783" si="244">IF(U750=AD750,0,AB750)</f>
        <v>22032980</v>
      </c>
      <c r="AF750" s="868">
        <f t="shared" ref="AF750:AF813" si="245">IF(U750=AD750+AE750,0,AB750)</f>
        <v>22032980</v>
      </c>
      <c r="AG750" s="868">
        <f t="shared" ref="AG750:AG813" si="246">IF(U750=AD750+AE750+AF750,0,AB750)</f>
        <v>22032980</v>
      </c>
      <c r="AH750" s="868">
        <f t="shared" ref="AH750:AH813" si="247">IF(U750=AE750+AF750+AG750+AD750,0,AB750)</f>
        <v>22032980</v>
      </c>
      <c r="AI750" s="886">
        <f t="shared" ref="AI750:AI813" si="248">IF(U750=AE750+AF750+AG750+AD750+AH750,0,AB750)</f>
        <v>22032980</v>
      </c>
      <c r="AJ750" s="886">
        <f t="shared" si="237"/>
        <v>110164900</v>
      </c>
      <c r="AK750" s="868">
        <f t="shared" ref="AK750:AK813" si="249">U750-AJ750</f>
        <v>991484100</v>
      </c>
    </row>
    <row r="751" spans="5:37" s="887" customFormat="1" ht="35.25" customHeight="1" x14ac:dyDescent="0.2">
      <c r="E751" s="884" t="s">
        <v>2306</v>
      </c>
      <c r="F751" s="888"/>
      <c r="G751" s="878" t="s">
        <v>1511</v>
      </c>
      <c r="H751" s="879"/>
      <c r="I751" s="930" t="s">
        <v>4199</v>
      </c>
      <c r="J751" s="878"/>
      <c r="K751" s="903"/>
      <c r="L751" s="908"/>
      <c r="M751" s="878"/>
      <c r="N751" s="908"/>
      <c r="O751" s="907" t="s">
        <v>3416</v>
      </c>
      <c r="P751" s="903">
        <v>2014</v>
      </c>
      <c r="Q751" s="878"/>
      <c r="R751" s="878"/>
      <c r="S751" s="878"/>
      <c r="T751" s="903" t="s">
        <v>12</v>
      </c>
      <c r="U751" s="879">
        <v>201132000</v>
      </c>
      <c r="V751" s="903"/>
      <c r="W751" s="931"/>
      <c r="X751" s="971"/>
      <c r="Y751" s="884" t="str">
        <f t="shared" si="238"/>
        <v>04.14.01</v>
      </c>
      <c r="Z751" s="884" t="str">
        <f t="shared" si="239"/>
        <v>Bangunan Air Irigasi</v>
      </c>
      <c r="AA751" s="884">
        <f t="shared" si="240"/>
        <v>50</v>
      </c>
      <c r="AB751" s="868">
        <f t="shared" si="241"/>
        <v>4022640</v>
      </c>
      <c r="AC751" s="885">
        <f t="shared" si="242"/>
        <v>0</v>
      </c>
      <c r="AD751" s="868">
        <f t="shared" si="243"/>
        <v>0</v>
      </c>
      <c r="AE751" s="868">
        <f t="shared" si="244"/>
        <v>4022640</v>
      </c>
      <c r="AF751" s="868">
        <f t="shared" si="245"/>
        <v>4022640</v>
      </c>
      <c r="AG751" s="868">
        <f t="shared" si="246"/>
        <v>4022640</v>
      </c>
      <c r="AH751" s="868">
        <f t="shared" si="247"/>
        <v>4022640</v>
      </c>
      <c r="AI751" s="886">
        <f t="shared" si="248"/>
        <v>4022640</v>
      </c>
      <c r="AJ751" s="886">
        <f t="shared" si="237"/>
        <v>20113200</v>
      </c>
      <c r="AK751" s="868">
        <f t="shared" si="249"/>
        <v>181018800</v>
      </c>
    </row>
    <row r="752" spans="5:37" s="887" customFormat="1" ht="35.25" customHeight="1" x14ac:dyDescent="0.2">
      <c r="E752" s="884" t="s">
        <v>2306</v>
      </c>
      <c r="F752" s="888"/>
      <c r="G752" s="878" t="s">
        <v>1512</v>
      </c>
      <c r="H752" s="879"/>
      <c r="I752" s="930" t="s">
        <v>4199</v>
      </c>
      <c r="J752" s="878"/>
      <c r="K752" s="903"/>
      <c r="L752" s="908"/>
      <c r="M752" s="878"/>
      <c r="N752" s="908"/>
      <c r="O752" s="907" t="s">
        <v>3417</v>
      </c>
      <c r="P752" s="903">
        <v>2014</v>
      </c>
      <c r="Q752" s="878"/>
      <c r="R752" s="878"/>
      <c r="S752" s="878"/>
      <c r="T752" s="903" t="s">
        <v>12</v>
      </c>
      <c r="U752" s="879">
        <v>150472353.22522232</v>
      </c>
      <c r="V752" s="903"/>
      <c r="W752" s="931"/>
      <c r="X752" s="971"/>
      <c r="Y752" s="884" t="str">
        <f t="shared" si="238"/>
        <v>04.14.01</v>
      </c>
      <c r="Z752" s="884" t="str">
        <f t="shared" si="239"/>
        <v>Bangunan Air Irigasi</v>
      </c>
      <c r="AA752" s="884">
        <f t="shared" si="240"/>
        <v>50</v>
      </c>
      <c r="AB752" s="868">
        <f t="shared" si="241"/>
        <v>3009447.0645044465</v>
      </c>
      <c r="AC752" s="885">
        <f t="shared" si="242"/>
        <v>0</v>
      </c>
      <c r="AD752" s="868">
        <f t="shared" si="243"/>
        <v>0</v>
      </c>
      <c r="AE752" s="868">
        <f t="shared" si="244"/>
        <v>3009447.0645044465</v>
      </c>
      <c r="AF752" s="868">
        <f t="shared" si="245"/>
        <v>3009447.0645044465</v>
      </c>
      <c r="AG752" s="868">
        <f t="shared" si="246"/>
        <v>3009447.0645044465</v>
      </c>
      <c r="AH752" s="868">
        <f t="shared" si="247"/>
        <v>3009447.0645044465</v>
      </c>
      <c r="AI752" s="886">
        <f t="shared" si="248"/>
        <v>3009447.0645044465</v>
      </c>
      <c r="AJ752" s="886">
        <f t="shared" si="237"/>
        <v>15047235.322522232</v>
      </c>
      <c r="AK752" s="868">
        <f t="shared" si="249"/>
        <v>135425117.9027001</v>
      </c>
    </row>
    <row r="753" spans="5:37" s="887" customFormat="1" ht="35.25" customHeight="1" x14ac:dyDescent="0.2">
      <c r="E753" s="884" t="s">
        <v>2306</v>
      </c>
      <c r="F753" s="888"/>
      <c r="G753" s="878" t="s">
        <v>1513</v>
      </c>
      <c r="H753" s="879"/>
      <c r="I753" s="930" t="s">
        <v>4199</v>
      </c>
      <c r="J753" s="878"/>
      <c r="K753" s="903"/>
      <c r="L753" s="908"/>
      <c r="M753" s="878"/>
      <c r="N753" s="908"/>
      <c r="O753" s="907" t="s">
        <v>3418</v>
      </c>
      <c r="P753" s="903">
        <v>2014</v>
      </c>
      <c r="Q753" s="878"/>
      <c r="R753" s="878"/>
      <c r="S753" s="878"/>
      <c r="T753" s="903" t="s">
        <v>12</v>
      </c>
      <c r="U753" s="879">
        <v>150140095.77079391</v>
      </c>
      <c r="V753" s="903"/>
      <c r="W753" s="931"/>
      <c r="X753" s="971"/>
      <c r="Y753" s="884" t="str">
        <f t="shared" si="238"/>
        <v>04.14.01</v>
      </c>
      <c r="Z753" s="884" t="str">
        <f t="shared" si="239"/>
        <v>Bangunan Air Irigasi</v>
      </c>
      <c r="AA753" s="884">
        <f t="shared" si="240"/>
        <v>50</v>
      </c>
      <c r="AB753" s="868">
        <f t="shared" si="241"/>
        <v>3002801.9154158784</v>
      </c>
      <c r="AC753" s="885">
        <f t="shared" si="242"/>
        <v>0</v>
      </c>
      <c r="AD753" s="868">
        <f t="shared" si="243"/>
        <v>0</v>
      </c>
      <c r="AE753" s="868">
        <f t="shared" si="244"/>
        <v>3002801.9154158784</v>
      </c>
      <c r="AF753" s="868">
        <f t="shared" si="245"/>
        <v>3002801.9154158784</v>
      </c>
      <c r="AG753" s="868">
        <f t="shared" si="246"/>
        <v>3002801.9154158784</v>
      </c>
      <c r="AH753" s="868">
        <f t="shared" si="247"/>
        <v>3002801.9154158784</v>
      </c>
      <c r="AI753" s="886">
        <f t="shared" si="248"/>
        <v>3002801.9154158784</v>
      </c>
      <c r="AJ753" s="886">
        <f t="shared" si="237"/>
        <v>15014009.577079393</v>
      </c>
      <c r="AK753" s="868">
        <f t="shared" si="249"/>
        <v>135126086.19371453</v>
      </c>
    </row>
    <row r="754" spans="5:37" s="887" customFormat="1" ht="35.25" customHeight="1" x14ac:dyDescent="0.2">
      <c r="E754" s="884" t="s">
        <v>2306</v>
      </c>
      <c r="F754" s="888"/>
      <c r="G754" s="878" t="s">
        <v>1514</v>
      </c>
      <c r="H754" s="879"/>
      <c r="I754" s="930" t="s">
        <v>4199</v>
      </c>
      <c r="J754" s="878"/>
      <c r="K754" s="903"/>
      <c r="L754" s="908"/>
      <c r="M754" s="878"/>
      <c r="N754" s="908"/>
      <c r="O754" s="907" t="s">
        <v>3419</v>
      </c>
      <c r="P754" s="903">
        <v>2014</v>
      </c>
      <c r="Q754" s="878"/>
      <c r="R754" s="878"/>
      <c r="S754" s="878"/>
      <c r="T754" s="903" t="s">
        <v>12</v>
      </c>
      <c r="U754" s="879">
        <v>199807551.00398377</v>
      </c>
      <c r="V754" s="903"/>
      <c r="W754" s="931"/>
      <c r="X754" s="971"/>
      <c r="Y754" s="884" t="str">
        <f t="shared" si="238"/>
        <v>04.14.01</v>
      </c>
      <c r="Z754" s="884" t="str">
        <f t="shared" si="239"/>
        <v>Bangunan Air Irigasi</v>
      </c>
      <c r="AA754" s="884">
        <f t="shared" si="240"/>
        <v>50</v>
      </c>
      <c r="AB754" s="868">
        <f t="shared" si="241"/>
        <v>3996151.0200796751</v>
      </c>
      <c r="AC754" s="885">
        <f t="shared" si="242"/>
        <v>0</v>
      </c>
      <c r="AD754" s="868">
        <f t="shared" si="243"/>
        <v>0</v>
      </c>
      <c r="AE754" s="868">
        <f t="shared" si="244"/>
        <v>3996151.0200796751</v>
      </c>
      <c r="AF754" s="868">
        <f t="shared" si="245"/>
        <v>3996151.0200796751</v>
      </c>
      <c r="AG754" s="868">
        <f t="shared" si="246"/>
        <v>3996151.0200796751</v>
      </c>
      <c r="AH754" s="868">
        <f t="shared" si="247"/>
        <v>3996151.0200796751</v>
      </c>
      <c r="AI754" s="886">
        <f t="shared" si="248"/>
        <v>3996151.0200796751</v>
      </c>
      <c r="AJ754" s="886">
        <f t="shared" si="237"/>
        <v>19980755.100398377</v>
      </c>
      <c r="AK754" s="868">
        <f t="shared" si="249"/>
        <v>179826795.90358537</v>
      </c>
    </row>
    <row r="755" spans="5:37" s="887" customFormat="1" ht="35.25" customHeight="1" x14ac:dyDescent="0.2">
      <c r="E755" s="884" t="s">
        <v>2306</v>
      </c>
      <c r="F755" s="888"/>
      <c r="G755" s="878" t="s">
        <v>1515</v>
      </c>
      <c r="H755" s="879"/>
      <c r="I755" s="930" t="s">
        <v>4199</v>
      </c>
      <c r="J755" s="878"/>
      <c r="K755" s="903"/>
      <c r="L755" s="908"/>
      <c r="M755" s="878"/>
      <c r="N755" s="908"/>
      <c r="O755" s="907" t="s">
        <v>3420</v>
      </c>
      <c r="P755" s="903">
        <v>2014</v>
      </c>
      <c r="Q755" s="878"/>
      <c r="R755" s="878"/>
      <c r="S755" s="878"/>
      <c r="T755" s="903" t="s">
        <v>12</v>
      </c>
      <c r="U755" s="879">
        <v>199202385.13592538</v>
      </c>
      <c r="V755" s="903"/>
      <c r="W755" s="931"/>
      <c r="X755" s="971"/>
      <c r="Y755" s="884" t="str">
        <f t="shared" si="238"/>
        <v>04.14.01</v>
      </c>
      <c r="Z755" s="884" t="str">
        <f t="shared" si="239"/>
        <v>Bangunan Air Irigasi</v>
      </c>
      <c r="AA755" s="884">
        <f t="shared" si="240"/>
        <v>50</v>
      </c>
      <c r="AB755" s="868">
        <f t="shared" si="241"/>
        <v>3984047.7027185075</v>
      </c>
      <c r="AC755" s="885">
        <f t="shared" si="242"/>
        <v>0</v>
      </c>
      <c r="AD755" s="868">
        <f t="shared" si="243"/>
        <v>0</v>
      </c>
      <c r="AE755" s="868">
        <f t="shared" si="244"/>
        <v>3984047.7027185075</v>
      </c>
      <c r="AF755" s="868">
        <f t="shared" si="245"/>
        <v>3984047.7027185075</v>
      </c>
      <c r="AG755" s="868">
        <f t="shared" si="246"/>
        <v>3984047.7027185075</v>
      </c>
      <c r="AH755" s="868">
        <f t="shared" si="247"/>
        <v>3984047.7027185075</v>
      </c>
      <c r="AI755" s="886">
        <f t="shared" si="248"/>
        <v>3984047.7027185075</v>
      </c>
      <c r="AJ755" s="886">
        <f t="shared" si="237"/>
        <v>19920238.513592537</v>
      </c>
      <c r="AK755" s="868">
        <f t="shared" si="249"/>
        <v>179282146.62233284</v>
      </c>
    </row>
    <row r="756" spans="5:37" s="887" customFormat="1" ht="35.25" customHeight="1" x14ac:dyDescent="0.2">
      <c r="E756" s="884" t="s">
        <v>2306</v>
      </c>
      <c r="F756" s="888"/>
      <c r="G756" s="878" t="s">
        <v>1516</v>
      </c>
      <c r="H756" s="879"/>
      <c r="I756" s="930" t="s">
        <v>4199</v>
      </c>
      <c r="J756" s="878"/>
      <c r="K756" s="903"/>
      <c r="L756" s="908"/>
      <c r="M756" s="878"/>
      <c r="N756" s="908"/>
      <c r="O756" s="907" t="s">
        <v>3421</v>
      </c>
      <c r="P756" s="903">
        <v>2014</v>
      </c>
      <c r="Q756" s="878"/>
      <c r="R756" s="878"/>
      <c r="S756" s="878"/>
      <c r="T756" s="903" t="s">
        <v>12</v>
      </c>
      <c r="U756" s="879">
        <v>199168358.08113036</v>
      </c>
      <c r="V756" s="903"/>
      <c r="W756" s="931"/>
      <c r="X756" s="971"/>
      <c r="Y756" s="884" t="str">
        <f t="shared" si="238"/>
        <v>04.14.01</v>
      </c>
      <c r="Z756" s="884" t="str">
        <f t="shared" si="239"/>
        <v>Bangunan Air Irigasi</v>
      </c>
      <c r="AA756" s="884">
        <f t="shared" si="240"/>
        <v>50</v>
      </c>
      <c r="AB756" s="868">
        <f t="shared" si="241"/>
        <v>3983367.1616226071</v>
      </c>
      <c r="AC756" s="885">
        <f t="shared" si="242"/>
        <v>0</v>
      </c>
      <c r="AD756" s="868">
        <f t="shared" si="243"/>
        <v>0</v>
      </c>
      <c r="AE756" s="868">
        <f t="shared" si="244"/>
        <v>3983367.1616226071</v>
      </c>
      <c r="AF756" s="868">
        <f t="shared" si="245"/>
        <v>3983367.1616226071</v>
      </c>
      <c r="AG756" s="868">
        <f t="shared" si="246"/>
        <v>3983367.1616226071</v>
      </c>
      <c r="AH756" s="868">
        <f t="shared" si="247"/>
        <v>3983367.1616226071</v>
      </c>
      <c r="AI756" s="886">
        <f t="shared" si="248"/>
        <v>3983367.1616226071</v>
      </c>
      <c r="AJ756" s="886">
        <f t="shared" si="237"/>
        <v>19916835.808113035</v>
      </c>
      <c r="AK756" s="868">
        <f t="shared" si="249"/>
        <v>179251522.27301732</v>
      </c>
    </row>
    <row r="757" spans="5:37" s="887" customFormat="1" ht="35.25" customHeight="1" x14ac:dyDescent="0.2">
      <c r="E757" s="884" t="s">
        <v>2306</v>
      </c>
      <c r="F757" s="888"/>
      <c r="G757" s="878" t="s">
        <v>1517</v>
      </c>
      <c r="H757" s="879"/>
      <c r="I757" s="930" t="s">
        <v>4199</v>
      </c>
      <c r="J757" s="878"/>
      <c r="K757" s="903"/>
      <c r="L757" s="908"/>
      <c r="M757" s="878"/>
      <c r="N757" s="908"/>
      <c r="O757" s="907" t="s">
        <v>3422</v>
      </c>
      <c r="P757" s="903">
        <v>2014</v>
      </c>
      <c r="Q757" s="878"/>
      <c r="R757" s="878"/>
      <c r="S757" s="878"/>
      <c r="T757" s="903" t="s">
        <v>12</v>
      </c>
      <c r="U757" s="879">
        <v>149118563.66056189</v>
      </c>
      <c r="V757" s="903"/>
      <c r="W757" s="931"/>
      <c r="X757" s="971"/>
      <c r="Y757" s="884" t="str">
        <f t="shared" si="238"/>
        <v>04.14.01</v>
      </c>
      <c r="Z757" s="884" t="str">
        <f t="shared" si="239"/>
        <v>Bangunan Air Irigasi</v>
      </c>
      <c r="AA757" s="884">
        <f t="shared" si="240"/>
        <v>50</v>
      </c>
      <c r="AB757" s="868">
        <f t="shared" si="241"/>
        <v>2982371.273211238</v>
      </c>
      <c r="AC757" s="885">
        <f t="shared" si="242"/>
        <v>0</v>
      </c>
      <c r="AD757" s="868">
        <f t="shared" si="243"/>
        <v>0</v>
      </c>
      <c r="AE757" s="868">
        <f t="shared" si="244"/>
        <v>2982371.273211238</v>
      </c>
      <c r="AF757" s="868">
        <f t="shared" si="245"/>
        <v>2982371.273211238</v>
      </c>
      <c r="AG757" s="868">
        <f t="shared" si="246"/>
        <v>2982371.273211238</v>
      </c>
      <c r="AH757" s="868">
        <f t="shared" si="247"/>
        <v>2982371.273211238</v>
      </c>
      <c r="AI757" s="886">
        <f t="shared" si="248"/>
        <v>2982371.273211238</v>
      </c>
      <c r="AJ757" s="886">
        <f t="shared" si="237"/>
        <v>14911856.366056189</v>
      </c>
      <c r="AK757" s="868">
        <f t="shared" si="249"/>
        <v>134206707.2945057</v>
      </c>
    </row>
    <row r="758" spans="5:37" s="887" customFormat="1" ht="35.25" customHeight="1" x14ac:dyDescent="0.2">
      <c r="E758" s="884" t="s">
        <v>2306</v>
      </c>
      <c r="F758" s="888"/>
      <c r="G758" s="878" t="s">
        <v>1518</v>
      </c>
      <c r="H758" s="879"/>
      <c r="I758" s="930" t="s">
        <v>4199</v>
      </c>
      <c r="J758" s="878"/>
      <c r="K758" s="903"/>
      <c r="L758" s="908"/>
      <c r="M758" s="878"/>
      <c r="N758" s="908"/>
      <c r="O758" s="907" t="s">
        <v>3423</v>
      </c>
      <c r="P758" s="903">
        <v>2014</v>
      </c>
      <c r="Q758" s="878"/>
      <c r="R758" s="878"/>
      <c r="S758" s="878"/>
      <c r="T758" s="903" t="s">
        <v>12</v>
      </c>
      <c r="U758" s="879">
        <v>199192377.17863271</v>
      </c>
      <c r="V758" s="903"/>
      <c r="W758" s="931"/>
      <c r="X758" s="971"/>
      <c r="Y758" s="884" t="str">
        <f t="shared" si="238"/>
        <v>04.14.01</v>
      </c>
      <c r="Z758" s="884" t="str">
        <f t="shared" si="239"/>
        <v>Bangunan Air Irigasi</v>
      </c>
      <c r="AA758" s="884">
        <f t="shared" si="240"/>
        <v>50</v>
      </c>
      <c r="AB758" s="868">
        <f t="shared" si="241"/>
        <v>3983847.543572654</v>
      </c>
      <c r="AC758" s="885">
        <f t="shared" si="242"/>
        <v>0</v>
      </c>
      <c r="AD758" s="868">
        <f t="shared" si="243"/>
        <v>0</v>
      </c>
      <c r="AE758" s="868">
        <f t="shared" si="244"/>
        <v>3983847.543572654</v>
      </c>
      <c r="AF758" s="868">
        <f t="shared" si="245"/>
        <v>3983847.543572654</v>
      </c>
      <c r="AG758" s="868">
        <f t="shared" si="246"/>
        <v>3983847.543572654</v>
      </c>
      <c r="AH758" s="868">
        <f t="shared" si="247"/>
        <v>3983847.543572654</v>
      </c>
      <c r="AI758" s="886">
        <f t="shared" si="248"/>
        <v>3983847.543572654</v>
      </c>
      <c r="AJ758" s="886">
        <f t="shared" si="237"/>
        <v>19919237.717863269</v>
      </c>
      <c r="AK758" s="868">
        <f t="shared" si="249"/>
        <v>179273139.46076944</v>
      </c>
    </row>
    <row r="759" spans="5:37" s="887" customFormat="1" ht="35.25" customHeight="1" x14ac:dyDescent="0.2">
      <c r="E759" s="884" t="s">
        <v>2306</v>
      </c>
      <c r="F759" s="888"/>
      <c r="G759" s="878" t="s">
        <v>1519</v>
      </c>
      <c r="H759" s="879"/>
      <c r="I759" s="930" t="s">
        <v>4199</v>
      </c>
      <c r="J759" s="878"/>
      <c r="K759" s="903"/>
      <c r="L759" s="908"/>
      <c r="M759" s="878"/>
      <c r="N759" s="908"/>
      <c r="O759" s="907" t="s">
        <v>3424</v>
      </c>
      <c r="P759" s="903">
        <v>2014</v>
      </c>
      <c r="Q759" s="878"/>
      <c r="R759" s="878"/>
      <c r="S759" s="878"/>
      <c r="T759" s="903" t="s">
        <v>12</v>
      </c>
      <c r="U759" s="879">
        <v>199293457.54728854</v>
      </c>
      <c r="V759" s="903"/>
      <c r="W759" s="931"/>
      <c r="X759" s="971"/>
      <c r="Y759" s="884" t="str">
        <f t="shared" si="238"/>
        <v>04.14.01</v>
      </c>
      <c r="Z759" s="884" t="str">
        <f t="shared" si="239"/>
        <v>Bangunan Air Irigasi</v>
      </c>
      <c r="AA759" s="884">
        <f t="shared" si="240"/>
        <v>50</v>
      </c>
      <c r="AB759" s="868">
        <f t="shared" si="241"/>
        <v>3985869.1509457706</v>
      </c>
      <c r="AC759" s="885">
        <f t="shared" si="242"/>
        <v>0</v>
      </c>
      <c r="AD759" s="868">
        <f t="shared" si="243"/>
        <v>0</v>
      </c>
      <c r="AE759" s="868">
        <f t="shared" si="244"/>
        <v>3985869.1509457706</v>
      </c>
      <c r="AF759" s="868">
        <f t="shared" si="245"/>
        <v>3985869.1509457706</v>
      </c>
      <c r="AG759" s="868">
        <f t="shared" si="246"/>
        <v>3985869.1509457706</v>
      </c>
      <c r="AH759" s="868">
        <f t="shared" si="247"/>
        <v>3985869.1509457706</v>
      </c>
      <c r="AI759" s="886">
        <f t="shared" si="248"/>
        <v>3985869.1509457706</v>
      </c>
      <c r="AJ759" s="886">
        <f t="shared" si="237"/>
        <v>19929345.754728854</v>
      </c>
      <c r="AK759" s="868">
        <f t="shared" si="249"/>
        <v>179364111.79255968</v>
      </c>
    </row>
    <row r="760" spans="5:37" s="887" customFormat="1" ht="35.25" customHeight="1" x14ac:dyDescent="0.2">
      <c r="E760" s="884" t="s">
        <v>2306</v>
      </c>
      <c r="F760" s="888"/>
      <c r="G760" s="878" t="s">
        <v>1520</v>
      </c>
      <c r="H760" s="879"/>
      <c r="I760" s="930" t="s">
        <v>4199</v>
      </c>
      <c r="J760" s="878"/>
      <c r="K760" s="903"/>
      <c r="L760" s="908"/>
      <c r="M760" s="878"/>
      <c r="N760" s="908"/>
      <c r="O760" s="907" t="s">
        <v>3425</v>
      </c>
      <c r="P760" s="903">
        <v>2014</v>
      </c>
      <c r="Q760" s="878"/>
      <c r="R760" s="878"/>
      <c r="S760" s="878"/>
      <c r="T760" s="903" t="s">
        <v>12</v>
      </c>
      <c r="U760" s="879">
        <v>199223401.84623992</v>
      </c>
      <c r="V760" s="903"/>
      <c r="W760" s="931"/>
      <c r="X760" s="971"/>
      <c r="Y760" s="884" t="str">
        <f t="shared" si="238"/>
        <v>04.14.01</v>
      </c>
      <c r="Z760" s="884" t="str">
        <f t="shared" si="239"/>
        <v>Bangunan Air Irigasi</v>
      </c>
      <c r="AA760" s="884">
        <f t="shared" si="240"/>
        <v>50</v>
      </c>
      <c r="AB760" s="868">
        <f t="shared" si="241"/>
        <v>3984468.0369247985</v>
      </c>
      <c r="AC760" s="885">
        <f t="shared" si="242"/>
        <v>0</v>
      </c>
      <c r="AD760" s="868">
        <f t="shared" si="243"/>
        <v>0</v>
      </c>
      <c r="AE760" s="868">
        <f t="shared" si="244"/>
        <v>3984468.0369247985</v>
      </c>
      <c r="AF760" s="868">
        <f t="shared" si="245"/>
        <v>3984468.0369247985</v>
      </c>
      <c r="AG760" s="868">
        <f t="shared" si="246"/>
        <v>3984468.0369247985</v>
      </c>
      <c r="AH760" s="868">
        <f t="shared" si="247"/>
        <v>3984468.0369247985</v>
      </c>
      <c r="AI760" s="886">
        <f t="shared" si="248"/>
        <v>3984468.0369247985</v>
      </c>
      <c r="AJ760" s="886">
        <f t="shared" si="237"/>
        <v>19922340.184623994</v>
      </c>
      <c r="AK760" s="868">
        <f t="shared" si="249"/>
        <v>179301061.66161594</v>
      </c>
    </row>
    <row r="761" spans="5:37" s="887" customFormat="1" ht="35.25" customHeight="1" x14ac:dyDescent="0.2">
      <c r="E761" s="884" t="s">
        <v>2306</v>
      </c>
      <c r="F761" s="888"/>
      <c r="G761" s="878" t="s">
        <v>1521</v>
      </c>
      <c r="H761" s="879"/>
      <c r="I761" s="930" t="s">
        <v>4199</v>
      </c>
      <c r="J761" s="878"/>
      <c r="K761" s="903"/>
      <c r="L761" s="908"/>
      <c r="M761" s="878"/>
      <c r="N761" s="908"/>
      <c r="O761" s="907" t="s">
        <v>3426</v>
      </c>
      <c r="P761" s="903">
        <v>2014</v>
      </c>
      <c r="Q761" s="878"/>
      <c r="R761" s="878"/>
      <c r="S761" s="878"/>
      <c r="T761" s="903" t="s">
        <v>12</v>
      </c>
      <c r="U761" s="879">
        <v>199256428.1053057</v>
      </c>
      <c r="V761" s="903"/>
      <c r="W761" s="931"/>
      <c r="X761" s="971"/>
      <c r="Y761" s="884" t="str">
        <f t="shared" si="238"/>
        <v>04.14.01</v>
      </c>
      <c r="Z761" s="884" t="str">
        <f t="shared" si="239"/>
        <v>Bangunan Air Irigasi</v>
      </c>
      <c r="AA761" s="884">
        <f t="shared" si="240"/>
        <v>50</v>
      </c>
      <c r="AB761" s="868">
        <f t="shared" si="241"/>
        <v>3985128.5621061139</v>
      </c>
      <c r="AC761" s="885">
        <f t="shared" si="242"/>
        <v>0</v>
      </c>
      <c r="AD761" s="868">
        <f t="shared" si="243"/>
        <v>0</v>
      </c>
      <c r="AE761" s="868">
        <f t="shared" si="244"/>
        <v>3985128.5621061139</v>
      </c>
      <c r="AF761" s="868">
        <f t="shared" si="245"/>
        <v>3985128.5621061139</v>
      </c>
      <c r="AG761" s="868">
        <f t="shared" si="246"/>
        <v>3985128.5621061139</v>
      </c>
      <c r="AH761" s="868">
        <f t="shared" si="247"/>
        <v>3985128.5621061139</v>
      </c>
      <c r="AI761" s="886">
        <f t="shared" si="248"/>
        <v>3985128.5621061139</v>
      </c>
      <c r="AJ761" s="886">
        <f t="shared" si="237"/>
        <v>19925642.810530569</v>
      </c>
      <c r="AK761" s="868">
        <f t="shared" si="249"/>
        <v>179330785.29477513</v>
      </c>
    </row>
    <row r="762" spans="5:37" s="887" customFormat="1" ht="35.25" customHeight="1" x14ac:dyDescent="0.2">
      <c r="E762" s="884" t="s">
        <v>2306</v>
      </c>
      <c r="F762" s="888"/>
      <c r="G762" s="878" t="s">
        <v>1522</v>
      </c>
      <c r="H762" s="879"/>
      <c r="I762" s="930" t="s">
        <v>4199</v>
      </c>
      <c r="J762" s="878"/>
      <c r="K762" s="903"/>
      <c r="L762" s="908"/>
      <c r="M762" s="878"/>
      <c r="N762" s="908"/>
      <c r="O762" s="907" t="s">
        <v>3427</v>
      </c>
      <c r="P762" s="903">
        <v>2014</v>
      </c>
      <c r="Q762" s="878"/>
      <c r="R762" s="878"/>
      <c r="S762" s="878"/>
      <c r="T762" s="903" t="s">
        <v>12</v>
      </c>
      <c r="U762" s="879">
        <v>199240415.37363744</v>
      </c>
      <c r="V762" s="903"/>
      <c r="W762" s="931"/>
      <c r="X762" s="971"/>
      <c r="Y762" s="884" t="str">
        <f t="shared" si="238"/>
        <v>04.14.01</v>
      </c>
      <c r="Z762" s="884" t="str">
        <f t="shared" si="239"/>
        <v>Bangunan Air Irigasi</v>
      </c>
      <c r="AA762" s="884">
        <f t="shared" si="240"/>
        <v>50</v>
      </c>
      <c r="AB762" s="868">
        <f t="shared" si="241"/>
        <v>3984808.3074727487</v>
      </c>
      <c r="AC762" s="885">
        <f t="shared" si="242"/>
        <v>0</v>
      </c>
      <c r="AD762" s="868">
        <f t="shared" si="243"/>
        <v>0</v>
      </c>
      <c r="AE762" s="868">
        <f t="shared" si="244"/>
        <v>3984808.3074727487</v>
      </c>
      <c r="AF762" s="868">
        <f t="shared" si="245"/>
        <v>3984808.3074727487</v>
      </c>
      <c r="AG762" s="868">
        <f t="shared" si="246"/>
        <v>3984808.3074727487</v>
      </c>
      <c r="AH762" s="868">
        <f t="shared" si="247"/>
        <v>3984808.3074727487</v>
      </c>
      <c r="AI762" s="886">
        <f t="shared" si="248"/>
        <v>3984808.3074727487</v>
      </c>
      <c r="AJ762" s="886">
        <f t="shared" si="237"/>
        <v>19924041.537363745</v>
      </c>
      <c r="AK762" s="868">
        <f t="shared" si="249"/>
        <v>179316373.8362737</v>
      </c>
    </row>
    <row r="763" spans="5:37" s="887" customFormat="1" ht="35.25" customHeight="1" x14ac:dyDescent="0.2">
      <c r="E763" s="884" t="s">
        <v>2306</v>
      </c>
      <c r="F763" s="888"/>
      <c r="G763" s="878" t="s">
        <v>1523</v>
      </c>
      <c r="H763" s="879"/>
      <c r="I763" s="930" t="s">
        <v>4199</v>
      </c>
      <c r="J763" s="878"/>
      <c r="K763" s="903"/>
      <c r="L763" s="908"/>
      <c r="M763" s="878"/>
      <c r="N763" s="908"/>
      <c r="O763" s="907" t="s">
        <v>3428</v>
      </c>
      <c r="P763" s="903">
        <v>2014</v>
      </c>
      <c r="Q763" s="878"/>
      <c r="R763" s="878"/>
      <c r="S763" s="878"/>
      <c r="T763" s="903" t="s">
        <v>12</v>
      </c>
      <c r="U763" s="879">
        <v>199287452.77291292</v>
      </c>
      <c r="V763" s="903"/>
      <c r="W763" s="931"/>
      <c r="X763" s="971"/>
      <c r="Y763" s="884" t="str">
        <f t="shared" si="238"/>
        <v>04.14.01</v>
      </c>
      <c r="Z763" s="884" t="str">
        <f t="shared" si="239"/>
        <v>Bangunan Air Irigasi</v>
      </c>
      <c r="AA763" s="884">
        <f t="shared" si="240"/>
        <v>50</v>
      </c>
      <c r="AB763" s="868">
        <f t="shared" si="241"/>
        <v>3985749.0554582584</v>
      </c>
      <c r="AC763" s="885">
        <f t="shared" si="242"/>
        <v>0</v>
      </c>
      <c r="AD763" s="868">
        <f t="shared" si="243"/>
        <v>0</v>
      </c>
      <c r="AE763" s="868">
        <f t="shared" si="244"/>
        <v>3985749.0554582584</v>
      </c>
      <c r="AF763" s="868">
        <f t="shared" si="245"/>
        <v>3985749.0554582584</v>
      </c>
      <c r="AG763" s="868">
        <f t="shared" si="246"/>
        <v>3985749.0554582584</v>
      </c>
      <c r="AH763" s="868">
        <f t="shared" si="247"/>
        <v>3985749.0554582584</v>
      </c>
      <c r="AI763" s="886">
        <f t="shared" si="248"/>
        <v>3985749.0554582584</v>
      </c>
      <c r="AJ763" s="886">
        <f t="shared" si="237"/>
        <v>19928745.27729129</v>
      </c>
      <c r="AK763" s="868">
        <f t="shared" si="249"/>
        <v>179358707.49562162</v>
      </c>
    </row>
    <row r="764" spans="5:37" s="887" customFormat="1" ht="35.25" customHeight="1" x14ac:dyDescent="0.2">
      <c r="E764" s="884" t="s">
        <v>2306</v>
      </c>
      <c r="F764" s="888"/>
      <c r="G764" s="878" t="s">
        <v>1524</v>
      </c>
      <c r="H764" s="879"/>
      <c r="I764" s="930" t="s">
        <v>4199</v>
      </c>
      <c r="J764" s="878"/>
      <c r="K764" s="903"/>
      <c r="L764" s="908"/>
      <c r="M764" s="878"/>
      <c r="N764" s="908"/>
      <c r="O764" s="907" t="s">
        <v>3429</v>
      </c>
      <c r="P764" s="903">
        <v>2014</v>
      </c>
      <c r="Q764" s="878"/>
      <c r="R764" s="878"/>
      <c r="S764" s="878"/>
      <c r="T764" s="903" t="s">
        <v>12</v>
      </c>
      <c r="U764" s="879">
        <v>199229406.62061554</v>
      </c>
      <c r="V764" s="903"/>
      <c r="W764" s="931"/>
      <c r="X764" s="971"/>
      <c r="Y764" s="884" t="str">
        <f t="shared" si="238"/>
        <v>04.14.01</v>
      </c>
      <c r="Z764" s="884" t="str">
        <f t="shared" si="239"/>
        <v>Bangunan Air Irigasi</v>
      </c>
      <c r="AA764" s="884">
        <f t="shared" si="240"/>
        <v>50</v>
      </c>
      <c r="AB764" s="868">
        <f t="shared" si="241"/>
        <v>3984588.1324123107</v>
      </c>
      <c r="AC764" s="885">
        <f t="shared" si="242"/>
        <v>0</v>
      </c>
      <c r="AD764" s="868">
        <f t="shared" si="243"/>
        <v>0</v>
      </c>
      <c r="AE764" s="868">
        <f t="shared" si="244"/>
        <v>3984588.1324123107</v>
      </c>
      <c r="AF764" s="868">
        <f t="shared" si="245"/>
        <v>3984588.1324123107</v>
      </c>
      <c r="AG764" s="868">
        <f t="shared" si="246"/>
        <v>3984588.1324123107</v>
      </c>
      <c r="AH764" s="868">
        <f t="shared" si="247"/>
        <v>3984588.1324123107</v>
      </c>
      <c r="AI764" s="886">
        <f t="shared" si="248"/>
        <v>3984588.1324123107</v>
      </c>
      <c r="AJ764" s="886">
        <f t="shared" si="237"/>
        <v>19922940.662061553</v>
      </c>
      <c r="AK764" s="868">
        <f t="shared" si="249"/>
        <v>179306465.958554</v>
      </c>
    </row>
    <row r="765" spans="5:37" s="887" customFormat="1" ht="35.25" customHeight="1" x14ac:dyDescent="0.2">
      <c r="E765" s="884" t="s">
        <v>2306</v>
      </c>
      <c r="F765" s="888"/>
      <c r="G765" s="878" t="s">
        <v>1525</v>
      </c>
      <c r="H765" s="879"/>
      <c r="I765" s="930" t="s">
        <v>4199</v>
      </c>
      <c r="J765" s="878"/>
      <c r="K765" s="903"/>
      <c r="L765" s="908"/>
      <c r="M765" s="878"/>
      <c r="N765" s="908"/>
      <c r="O765" s="907" t="s">
        <v>3430</v>
      </c>
      <c r="P765" s="903">
        <v>2014</v>
      </c>
      <c r="Q765" s="878"/>
      <c r="R765" s="878"/>
      <c r="S765" s="878"/>
      <c r="T765" s="903" t="s">
        <v>12</v>
      </c>
      <c r="U765" s="879">
        <v>164213565.64507365</v>
      </c>
      <c r="V765" s="903"/>
      <c r="W765" s="931"/>
      <c r="X765" s="971"/>
      <c r="Y765" s="884" t="str">
        <f t="shared" si="238"/>
        <v>04.14.01</v>
      </c>
      <c r="Z765" s="884" t="str">
        <f t="shared" si="239"/>
        <v>Bangunan Air Irigasi</v>
      </c>
      <c r="AA765" s="884">
        <f t="shared" si="240"/>
        <v>50</v>
      </c>
      <c r="AB765" s="868">
        <f t="shared" si="241"/>
        <v>3284271.3129014731</v>
      </c>
      <c r="AC765" s="885">
        <f t="shared" si="242"/>
        <v>0</v>
      </c>
      <c r="AD765" s="868">
        <f t="shared" si="243"/>
        <v>0</v>
      </c>
      <c r="AE765" s="868">
        <f t="shared" si="244"/>
        <v>3284271.3129014731</v>
      </c>
      <c r="AF765" s="868">
        <f t="shared" si="245"/>
        <v>3284271.3129014731</v>
      </c>
      <c r="AG765" s="868">
        <f t="shared" si="246"/>
        <v>3284271.3129014731</v>
      </c>
      <c r="AH765" s="868">
        <f t="shared" si="247"/>
        <v>3284271.3129014731</v>
      </c>
      <c r="AI765" s="886">
        <f t="shared" si="248"/>
        <v>3284271.3129014731</v>
      </c>
      <c r="AJ765" s="886">
        <f t="shared" si="237"/>
        <v>16421356.564507365</v>
      </c>
      <c r="AK765" s="868">
        <f t="shared" si="249"/>
        <v>147792209.08056629</v>
      </c>
    </row>
    <row r="766" spans="5:37" s="887" customFormat="1" ht="35.25" customHeight="1" x14ac:dyDescent="0.2">
      <c r="E766" s="884" t="s">
        <v>2306</v>
      </c>
      <c r="F766" s="888"/>
      <c r="G766" s="878" t="s">
        <v>1526</v>
      </c>
      <c r="H766" s="879"/>
      <c r="I766" s="930" t="s">
        <v>4199</v>
      </c>
      <c r="J766" s="878"/>
      <c r="K766" s="903"/>
      <c r="L766" s="908"/>
      <c r="M766" s="878"/>
      <c r="N766" s="908"/>
      <c r="O766" s="907" t="s">
        <v>3431</v>
      </c>
      <c r="P766" s="903">
        <v>2014</v>
      </c>
      <c r="Q766" s="878"/>
      <c r="R766" s="878"/>
      <c r="S766" s="878"/>
      <c r="T766" s="903" t="s">
        <v>12</v>
      </c>
      <c r="U766" s="879">
        <v>199158350.12383768</v>
      </c>
      <c r="V766" s="903"/>
      <c r="W766" s="931"/>
      <c r="X766" s="971"/>
      <c r="Y766" s="884" t="str">
        <f t="shared" si="238"/>
        <v>04.14.01</v>
      </c>
      <c r="Z766" s="884" t="str">
        <f t="shared" si="239"/>
        <v>Bangunan Air Irigasi</v>
      </c>
      <c r="AA766" s="884">
        <f t="shared" si="240"/>
        <v>50</v>
      </c>
      <c r="AB766" s="868">
        <f t="shared" si="241"/>
        <v>3983167.0024767537</v>
      </c>
      <c r="AC766" s="885">
        <f t="shared" si="242"/>
        <v>0</v>
      </c>
      <c r="AD766" s="868">
        <f t="shared" si="243"/>
        <v>0</v>
      </c>
      <c r="AE766" s="868">
        <f t="shared" si="244"/>
        <v>3983167.0024767537</v>
      </c>
      <c r="AF766" s="868">
        <f t="shared" si="245"/>
        <v>3983167.0024767537</v>
      </c>
      <c r="AG766" s="868">
        <f t="shared" si="246"/>
        <v>3983167.0024767537</v>
      </c>
      <c r="AH766" s="868">
        <f t="shared" si="247"/>
        <v>3983167.0024767537</v>
      </c>
      <c r="AI766" s="886">
        <f t="shared" si="248"/>
        <v>3983167.0024767537</v>
      </c>
      <c r="AJ766" s="886">
        <f t="shared" si="237"/>
        <v>19915835.012383766</v>
      </c>
      <c r="AK766" s="868">
        <f t="shared" si="249"/>
        <v>179242515.11145392</v>
      </c>
    </row>
    <row r="767" spans="5:37" s="887" customFormat="1" ht="35.25" customHeight="1" x14ac:dyDescent="0.2">
      <c r="E767" s="884" t="s">
        <v>2306</v>
      </c>
      <c r="F767" s="888"/>
      <c r="G767" s="878" t="s">
        <v>1527</v>
      </c>
      <c r="H767" s="879"/>
      <c r="I767" s="930" t="s">
        <v>4199</v>
      </c>
      <c r="J767" s="878"/>
      <c r="K767" s="903"/>
      <c r="L767" s="908"/>
      <c r="M767" s="878"/>
      <c r="N767" s="908"/>
      <c r="O767" s="907" t="s">
        <v>3432</v>
      </c>
      <c r="P767" s="903">
        <v>2014</v>
      </c>
      <c r="Q767" s="878"/>
      <c r="R767" s="878"/>
      <c r="S767" s="878"/>
      <c r="T767" s="903" t="s">
        <v>12</v>
      </c>
      <c r="U767" s="879">
        <v>199310471.07468602</v>
      </c>
      <c r="V767" s="903"/>
      <c r="W767" s="931"/>
      <c r="X767" s="971"/>
      <c r="Y767" s="884" t="str">
        <f t="shared" si="238"/>
        <v>04.14.01</v>
      </c>
      <c r="Z767" s="884" t="str">
        <f t="shared" si="239"/>
        <v>Bangunan Air Irigasi</v>
      </c>
      <c r="AA767" s="884">
        <f t="shared" si="240"/>
        <v>50</v>
      </c>
      <c r="AB767" s="868">
        <f t="shared" si="241"/>
        <v>3986209.4214937203</v>
      </c>
      <c r="AC767" s="885">
        <f t="shared" si="242"/>
        <v>0</v>
      </c>
      <c r="AD767" s="868">
        <f t="shared" si="243"/>
        <v>0</v>
      </c>
      <c r="AE767" s="868">
        <f t="shared" si="244"/>
        <v>3986209.4214937203</v>
      </c>
      <c r="AF767" s="868">
        <f t="shared" si="245"/>
        <v>3986209.4214937203</v>
      </c>
      <c r="AG767" s="868">
        <f t="shared" si="246"/>
        <v>3986209.4214937203</v>
      </c>
      <c r="AH767" s="868">
        <f t="shared" si="247"/>
        <v>3986209.4214937203</v>
      </c>
      <c r="AI767" s="886">
        <f t="shared" si="248"/>
        <v>3986209.4214937203</v>
      </c>
      <c r="AJ767" s="886">
        <f t="shared" si="237"/>
        <v>19931047.107468601</v>
      </c>
      <c r="AK767" s="868">
        <f t="shared" si="249"/>
        <v>179379423.96721742</v>
      </c>
    </row>
    <row r="768" spans="5:37" s="887" customFormat="1" ht="35.25" customHeight="1" x14ac:dyDescent="0.2">
      <c r="E768" s="884" t="s">
        <v>2306</v>
      </c>
      <c r="F768" s="888"/>
      <c r="G768" s="878" t="s">
        <v>1528</v>
      </c>
      <c r="H768" s="879"/>
      <c r="I768" s="930" t="s">
        <v>4199</v>
      </c>
      <c r="J768" s="878"/>
      <c r="K768" s="903"/>
      <c r="L768" s="908"/>
      <c r="M768" s="878"/>
      <c r="N768" s="908"/>
      <c r="O768" s="907" t="s">
        <v>3246</v>
      </c>
      <c r="P768" s="903">
        <v>2014</v>
      </c>
      <c r="Q768" s="878"/>
      <c r="R768" s="878"/>
      <c r="S768" s="878"/>
      <c r="T768" s="903" t="s">
        <v>12</v>
      </c>
      <c r="U768" s="879">
        <v>199179366.83415228</v>
      </c>
      <c r="V768" s="903"/>
      <c r="W768" s="931"/>
      <c r="X768" s="971"/>
      <c r="Y768" s="884" t="str">
        <f t="shared" si="238"/>
        <v>04.14.01</v>
      </c>
      <c r="Z768" s="884" t="str">
        <f t="shared" si="239"/>
        <v>Bangunan Air Irigasi</v>
      </c>
      <c r="AA768" s="884">
        <f t="shared" si="240"/>
        <v>50</v>
      </c>
      <c r="AB768" s="868">
        <f t="shared" si="241"/>
        <v>3983587.3366830456</v>
      </c>
      <c r="AC768" s="885">
        <f t="shared" si="242"/>
        <v>0</v>
      </c>
      <c r="AD768" s="868">
        <f t="shared" si="243"/>
        <v>0</v>
      </c>
      <c r="AE768" s="868">
        <f t="shared" si="244"/>
        <v>3983587.3366830456</v>
      </c>
      <c r="AF768" s="868">
        <f t="shared" si="245"/>
        <v>3983587.3366830456</v>
      </c>
      <c r="AG768" s="868">
        <f t="shared" si="246"/>
        <v>3983587.3366830456</v>
      </c>
      <c r="AH768" s="868">
        <f t="shared" si="247"/>
        <v>3983587.3366830456</v>
      </c>
      <c r="AI768" s="886">
        <f t="shared" si="248"/>
        <v>3983587.3366830456</v>
      </c>
      <c r="AJ768" s="886">
        <f t="shared" si="237"/>
        <v>19917936.683415227</v>
      </c>
      <c r="AK768" s="868">
        <f t="shared" si="249"/>
        <v>179261430.15073705</v>
      </c>
    </row>
    <row r="769" spans="5:37" s="887" customFormat="1" ht="35.25" customHeight="1" x14ac:dyDescent="0.2">
      <c r="E769" s="884" t="s">
        <v>2306</v>
      </c>
      <c r="F769" s="888"/>
      <c r="G769" s="878" t="s">
        <v>1529</v>
      </c>
      <c r="H769" s="879"/>
      <c r="I769" s="930" t="s">
        <v>4199</v>
      </c>
      <c r="J769" s="878"/>
      <c r="K769" s="903"/>
      <c r="L769" s="908"/>
      <c r="M769" s="878"/>
      <c r="N769" s="908"/>
      <c r="O769" s="907" t="s">
        <v>3433</v>
      </c>
      <c r="P769" s="903">
        <v>2014</v>
      </c>
      <c r="Q769" s="878"/>
      <c r="R769" s="878"/>
      <c r="S769" s="878"/>
      <c r="T769" s="903" t="s">
        <v>12</v>
      </c>
      <c r="U769" s="879">
        <v>200305000</v>
      </c>
      <c r="V769" s="903"/>
      <c r="W769" s="931"/>
      <c r="X769" s="971"/>
      <c r="Y769" s="884" t="str">
        <f t="shared" si="238"/>
        <v>04.14.01</v>
      </c>
      <c r="Z769" s="884" t="str">
        <f t="shared" si="239"/>
        <v>Bangunan Air Irigasi</v>
      </c>
      <c r="AA769" s="884">
        <f t="shared" si="240"/>
        <v>50</v>
      </c>
      <c r="AB769" s="868">
        <f t="shared" si="241"/>
        <v>4006100</v>
      </c>
      <c r="AC769" s="885">
        <f t="shared" si="242"/>
        <v>0</v>
      </c>
      <c r="AD769" s="868">
        <f t="shared" si="243"/>
        <v>0</v>
      </c>
      <c r="AE769" s="868">
        <f t="shared" si="244"/>
        <v>4006100</v>
      </c>
      <c r="AF769" s="868">
        <f t="shared" si="245"/>
        <v>4006100</v>
      </c>
      <c r="AG769" s="868">
        <f t="shared" si="246"/>
        <v>4006100</v>
      </c>
      <c r="AH769" s="868">
        <f t="shared" si="247"/>
        <v>4006100</v>
      </c>
      <c r="AI769" s="886">
        <f t="shared" si="248"/>
        <v>4006100</v>
      </c>
      <c r="AJ769" s="886">
        <f t="shared" si="237"/>
        <v>20030500</v>
      </c>
      <c r="AK769" s="868">
        <f t="shared" si="249"/>
        <v>180274500</v>
      </c>
    </row>
    <row r="770" spans="5:37" s="887" customFormat="1" ht="35.25" customHeight="1" x14ac:dyDescent="0.2">
      <c r="E770" s="884" t="s">
        <v>2306</v>
      </c>
      <c r="F770" s="888"/>
      <c r="G770" s="878" t="s">
        <v>1530</v>
      </c>
      <c r="H770" s="879"/>
      <c r="I770" s="930" t="s">
        <v>4199</v>
      </c>
      <c r="J770" s="878"/>
      <c r="K770" s="903"/>
      <c r="L770" s="908"/>
      <c r="M770" s="878"/>
      <c r="N770" s="908"/>
      <c r="O770" s="907" t="s">
        <v>3434</v>
      </c>
      <c r="P770" s="903">
        <v>2014</v>
      </c>
      <c r="Q770" s="878"/>
      <c r="R770" s="878"/>
      <c r="S770" s="878"/>
      <c r="T770" s="903" t="s">
        <v>12</v>
      </c>
      <c r="U770" s="879">
        <v>198265000</v>
      </c>
      <c r="V770" s="903"/>
      <c r="W770" s="931"/>
      <c r="X770" s="971"/>
      <c r="Y770" s="884" t="str">
        <f t="shared" si="238"/>
        <v>04.14.01</v>
      </c>
      <c r="Z770" s="884" t="str">
        <f t="shared" si="239"/>
        <v>Bangunan Air Irigasi</v>
      </c>
      <c r="AA770" s="884">
        <f t="shared" si="240"/>
        <v>50</v>
      </c>
      <c r="AB770" s="868">
        <f t="shared" si="241"/>
        <v>3965300</v>
      </c>
      <c r="AC770" s="885">
        <f t="shared" si="242"/>
        <v>0</v>
      </c>
      <c r="AD770" s="868">
        <f t="shared" si="243"/>
        <v>0</v>
      </c>
      <c r="AE770" s="868">
        <f t="shared" si="244"/>
        <v>3965300</v>
      </c>
      <c r="AF770" s="868">
        <f t="shared" si="245"/>
        <v>3965300</v>
      </c>
      <c r="AG770" s="868">
        <f t="shared" si="246"/>
        <v>3965300</v>
      </c>
      <c r="AH770" s="868">
        <f t="shared" si="247"/>
        <v>3965300</v>
      </c>
      <c r="AI770" s="886">
        <f t="shared" si="248"/>
        <v>3965300</v>
      </c>
      <c r="AJ770" s="886">
        <f t="shared" si="237"/>
        <v>19826500</v>
      </c>
      <c r="AK770" s="868">
        <f t="shared" si="249"/>
        <v>178438500</v>
      </c>
    </row>
    <row r="771" spans="5:37" s="887" customFormat="1" ht="35.25" customHeight="1" x14ac:dyDescent="0.2">
      <c r="E771" s="884" t="s">
        <v>2306</v>
      </c>
      <c r="F771" s="888"/>
      <c r="G771" s="878" t="s">
        <v>1531</v>
      </c>
      <c r="H771" s="879"/>
      <c r="I771" s="930" t="s">
        <v>4199</v>
      </c>
      <c r="J771" s="878"/>
      <c r="K771" s="903"/>
      <c r="L771" s="908"/>
      <c r="M771" s="878"/>
      <c r="N771" s="908"/>
      <c r="O771" s="907" t="s">
        <v>3435</v>
      </c>
      <c r="P771" s="903">
        <v>2014</v>
      </c>
      <c r="Q771" s="878"/>
      <c r="R771" s="878"/>
      <c r="S771" s="878"/>
      <c r="T771" s="903" t="s">
        <v>12</v>
      </c>
      <c r="U771" s="879">
        <v>199600000</v>
      </c>
      <c r="V771" s="903"/>
      <c r="W771" s="931"/>
      <c r="X771" s="971"/>
      <c r="Y771" s="884" t="str">
        <f t="shared" si="238"/>
        <v>04.14.01</v>
      </c>
      <c r="Z771" s="884" t="str">
        <f t="shared" si="239"/>
        <v>Bangunan Air Irigasi</v>
      </c>
      <c r="AA771" s="884">
        <f t="shared" si="240"/>
        <v>50</v>
      </c>
      <c r="AB771" s="868">
        <f t="shared" si="241"/>
        <v>3992000</v>
      </c>
      <c r="AC771" s="885">
        <f t="shared" si="242"/>
        <v>0</v>
      </c>
      <c r="AD771" s="868">
        <f t="shared" si="243"/>
        <v>0</v>
      </c>
      <c r="AE771" s="868">
        <f t="shared" si="244"/>
        <v>3992000</v>
      </c>
      <c r="AF771" s="868">
        <f t="shared" si="245"/>
        <v>3992000</v>
      </c>
      <c r="AG771" s="868">
        <f t="shared" si="246"/>
        <v>3992000</v>
      </c>
      <c r="AH771" s="868">
        <f t="shared" si="247"/>
        <v>3992000</v>
      </c>
      <c r="AI771" s="886">
        <f t="shared" si="248"/>
        <v>3992000</v>
      </c>
      <c r="AJ771" s="886">
        <f t="shared" si="237"/>
        <v>19960000</v>
      </c>
      <c r="AK771" s="868">
        <f t="shared" si="249"/>
        <v>179640000</v>
      </c>
    </row>
    <row r="772" spans="5:37" s="887" customFormat="1" ht="35.25" customHeight="1" x14ac:dyDescent="0.2">
      <c r="E772" s="884" t="s">
        <v>2306</v>
      </c>
      <c r="F772" s="888"/>
      <c r="G772" s="878" t="s">
        <v>1532</v>
      </c>
      <c r="H772" s="879"/>
      <c r="I772" s="930" t="s">
        <v>4199</v>
      </c>
      <c r="J772" s="878"/>
      <c r="K772" s="903"/>
      <c r="L772" s="908"/>
      <c r="M772" s="878"/>
      <c r="N772" s="908"/>
      <c r="O772" s="907" t="s">
        <v>3436</v>
      </c>
      <c r="P772" s="903">
        <v>2014</v>
      </c>
      <c r="Q772" s="878"/>
      <c r="R772" s="878"/>
      <c r="S772" s="878"/>
      <c r="T772" s="903" t="s">
        <v>12</v>
      </c>
      <c r="U772" s="879">
        <v>199532000</v>
      </c>
      <c r="V772" s="903"/>
      <c r="W772" s="931"/>
      <c r="X772" s="971"/>
      <c r="Y772" s="884" t="str">
        <f t="shared" si="238"/>
        <v>04.14.01</v>
      </c>
      <c r="Z772" s="884" t="str">
        <f t="shared" si="239"/>
        <v>Bangunan Air Irigasi</v>
      </c>
      <c r="AA772" s="884">
        <f t="shared" si="240"/>
        <v>50</v>
      </c>
      <c r="AB772" s="868">
        <f t="shared" si="241"/>
        <v>3990640</v>
      </c>
      <c r="AC772" s="885">
        <f t="shared" si="242"/>
        <v>0</v>
      </c>
      <c r="AD772" s="868">
        <f t="shared" si="243"/>
        <v>0</v>
      </c>
      <c r="AE772" s="868">
        <f t="shared" si="244"/>
        <v>3990640</v>
      </c>
      <c r="AF772" s="868">
        <f t="shared" si="245"/>
        <v>3990640</v>
      </c>
      <c r="AG772" s="868">
        <f t="shared" si="246"/>
        <v>3990640</v>
      </c>
      <c r="AH772" s="868">
        <f t="shared" si="247"/>
        <v>3990640</v>
      </c>
      <c r="AI772" s="886">
        <f t="shared" si="248"/>
        <v>3990640</v>
      </c>
      <c r="AJ772" s="886">
        <f t="shared" si="237"/>
        <v>19953200</v>
      </c>
      <c r="AK772" s="868">
        <f t="shared" si="249"/>
        <v>179578800</v>
      </c>
    </row>
    <row r="773" spans="5:37" s="887" customFormat="1" ht="35.25" customHeight="1" x14ac:dyDescent="0.2">
      <c r="E773" s="884" t="s">
        <v>2306</v>
      </c>
      <c r="F773" s="888"/>
      <c r="G773" s="878" t="s">
        <v>1533</v>
      </c>
      <c r="H773" s="879"/>
      <c r="I773" s="930" t="s">
        <v>4199</v>
      </c>
      <c r="J773" s="878"/>
      <c r="K773" s="903"/>
      <c r="L773" s="908"/>
      <c r="M773" s="878"/>
      <c r="N773" s="908"/>
      <c r="O773" s="907" t="s">
        <v>3437</v>
      </c>
      <c r="P773" s="903">
        <v>2014</v>
      </c>
      <c r="Q773" s="878"/>
      <c r="R773" s="878"/>
      <c r="S773" s="878"/>
      <c r="T773" s="903" t="s">
        <v>12</v>
      </c>
      <c r="U773" s="879">
        <v>200050000</v>
      </c>
      <c r="V773" s="903"/>
      <c r="W773" s="931"/>
      <c r="X773" s="971"/>
      <c r="Y773" s="884" t="str">
        <f t="shared" si="238"/>
        <v>04.14.01</v>
      </c>
      <c r="Z773" s="884" t="str">
        <f t="shared" si="239"/>
        <v>Bangunan Air Irigasi</v>
      </c>
      <c r="AA773" s="884">
        <f t="shared" si="240"/>
        <v>50</v>
      </c>
      <c r="AB773" s="868">
        <f t="shared" si="241"/>
        <v>4001000</v>
      </c>
      <c r="AC773" s="885">
        <f t="shared" si="242"/>
        <v>0</v>
      </c>
      <c r="AD773" s="868">
        <f t="shared" si="243"/>
        <v>0</v>
      </c>
      <c r="AE773" s="868">
        <f t="shared" si="244"/>
        <v>4001000</v>
      </c>
      <c r="AF773" s="868">
        <f t="shared" si="245"/>
        <v>4001000</v>
      </c>
      <c r="AG773" s="868">
        <f t="shared" si="246"/>
        <v>4001000</v>
      </c>
      <c r="AH773" s="868">
        <f t="shared" si="247"/>
        <v>4001000</v>
      </c>
      <c r="AI773" s="886">
        <f t="shared" si="248"/>
        <v>4001000</v>
      </c>
      <c r="AJ773" s="886">
        <f t="shared" si="237"/>
        <v>20005000</v>
      </c>
      <c r="AK773" s="868">
        <f t="shared" si="249"/>
        <v>180045000</v>
      </c>
    </row>
    <row r="774" spans="5:37" s="887" customFormat="1" ht="35.25" customHeight="1" x14ac:dyDescent="0.2">
      <c r="E774" s="884" t="s">
        <v>2306</v>
      </c>
      <c r="F774" s="888"/>
      <c r="G774" s="878" t="s">
        <v>1534</v>
      </c>
      <c r="H774" s="879"/>
      <c r="I774" s="930" t="s">
        <v>4199</v>
      </c>
      <c r="J774" s="878"/>
      <c r="K774" s="903"/>
      <c r="L774" s="908"/>
      <c r="M774" s="878"/>
      <c r="N774" s="908"/>
      <c r="O774" s="907" t="s">
        <v>3438</v>
      </c>
      <c r="P774" s="903">
        <v>2014</v>
      </c>
      <c r="Q774" s="878"/>
      <c r="R774" s="878"/>
      <c r="S774" s="878"/>
      <c r="T774" s="903" t="s">
        <v>12</v>
      </c>
      <c r="U774" s="879">
        <v>200200000</v>
      </c>
      <c r="V774" s="903"/>
      <c r="W774" s="931"/>
      <c r="X774" s="971"/>
      <c r="Y774" s="884" t="str">
        <f t="shared" si="238"/>
        <v>04.14.01</v>
      </c>
      <c r="Z774" s="884" t="str">
        <f t="shared" si="239"/>
        <v>Bangunan Air Irigasi</v>
      </c>
      <c r="AA774" s="884">
        <f t="shared" si="240"/>
        <v>50</v>
      </c>
      <c r="AB774" s="868">
        <f t="shared" si="241"/>
        <v>4004000</v>
      </c>
      <c r="AC774" s="885">
        <f t="shared" si="242"/>
        <v>0</v>
      </c>
      <c r="AD774" s="868">
        <f t="shared" si="243"/>
        <v>0</v>
      </c>
      <c r="AE774" s="868">
        <f t="shared" si="244"/>
        <v>4004000</v>
      </c>
      <c r="AF774" s="868">
        <f t="shared" si="245"/>
        <v>4004000</v>
      </c>
      <c r="AG774" s="868">
        <f t="shared" si="246"/>
        <v>4004000</v>
      </c>
      <c r="AH774" s="868">
        <f t="shared" si="247"/>
        <v>4004000</v>
      </c>
      <c r="AI774" s="886">
        <f t="shared" si="248"/>
        <v>4004000</v>
      </c>
      <c r="AJ774" s="886">
        <f t="shared" si="237"/>
        <v>20020000</v>
      </c>
      <c r="AK774" s="868">
        <f t="shared" si="249"/>
        <v>180180000</v>
      </c>
    </row>
    <row r="775" spans="5:37" s="887" customFormat="1" ht="35.25" customHeight="1" x14ac:dyDescent="0.2">
      <c r="E775" s="884" t="s">
        <v>2306</v>
      </c>
      <c r="F775" s="888"/>
      <c r="G775" s="878" t="s">
        <v>1535</v>
      </c>
      <c r="H775" s="879"/>
      <c r="I775" s="930" t="s">
        <v>4199</v>
      </c>
      <c r="J775" s="878"/>
      <c r="K775" s="903"/>
      <c r="L775" s="908"/>
      <c r="M775" s="878"/>
      <c r="N775" s="908"/>
      <c r="O775" s="907" t="s">
        <v>3439</v>
      </c>
      <c r="P775" s="903">
        <v>2014</v>
      </c>
      <c r="Q775" s="878"/>
      <c r="R775" s="878"/>
      <c r="S775" s="878"/>
      <c r="T775" s="903" t="s">
        <v>12</v>
      </c>
      <c r="U775" s="879">
        <v>199710000</v>
      </c>
      <c r="V775" s="903"/>
      <c r="W775" s="931"/>
      <c r="X775" s="971"/>
      <c r="Y775" s="884" t="str">
        <f t="shared" si="238"/>
        <v>04.14.01</v>
      </c>
      <c r="Z775" s="884" t="str">
        <f t="shared" si="239"/>
        <v>Bangunan Air Irigasi</v>
      </c>
      <c r="AA775" s="884">
        <f t="shared" si="240"/>
        <v>50</v>
      </c>
      <c r="AB775" s="868">
        <f t="shared" si="241"/>
        <v>3994200</v>
      </c>
      <c r="AC775" s="885">
        <f t="shared" si="242"/>
        <v>0</v>
      </c>
      <c r="AD775" s="868">
        <f t="shared" si="243"/>
        <v>0</v>
      </c>
      <c r="AE775" s="868">
        <f t="shared" si="244"/>
        <v>3994200</v>
      </c>
      <c r="AF775" s="868">
        <f t="shared" si="245"/>
        <v>3994200</v>
      </c>
      <c r="AG775" s="868">
        <f t="shared" si="246"/>
        <v>3994200</v>
      </c>
      <c r="AH775" s="868">
        <f t="shared" si="247"/>
        <v>3994200</v>
      </c>
      <c r="AI775" s="886">
        <f t="shared" si="248"/>
        <v>3994200</v>
      </c>
      <c r="AJ775" s="886">
        <f t="shared" si="237"/>
        <v>19971000</v>
      </c>
      <c r="AK775" s="868">
        <f t="shared" si="249"/>
        <v>179739000</v>
      </c>
    </row>
    <row r="776" spans="5:37" s="887" customFormat="1" ht="35.25" customHeight="1" x14ac:dyDescent="0.2">
      <c r="E776" s="884" t="s">
        <v>2306</v>
      </c>
      <c r="F776" s="888"/>
      <c r="G776" s="878" t="s">
        <v>1536</v>
      </c>
      <c r="H776" s="879"/>
      <c r="I776" s="930" t="s">
        <v>4199</v>
      </c>
      <c r="J776" s="878"/>
      <c r="K776" s="903"/>
      <c r="L776" s="908"/>
      <c r="M776" s="878"/>
      <c r="N776" s="908"/>
      <c r="O776" s="907" t="s">
        <v>3440</v>
      </c>
      <c r="P776" s="903">
        <v>2014</v>
      </c>
      <c r="Q776" s="878"/>
      <c r="R776" s="878"/>
      <c r="S776" s="878"/>
      <c r="T776" s="903" t="s">
        <v>12</v>
      </c>
      <c r="U776" s="879">
        <v>199750000</v>
      </c>
      <c r="V776" s="903"/>
      <c r="W776" s="931"/>
      <c r="X776" s="971"/>
      <c r="Y776" s="884" t="str">
        <f t="shared" si="238"/>
        <v>04.14.01</v>
      </c>
      <c r="Z776" s="884" t="str">
        <f t="shared" si="239"/>
        <v>Bangunan Air Irigasi</v>
      </c>
      <c r="AA776" s="884">
        <f t="shared" si="240"/>
        <v>50</v>
      </c>
      <c r="AB776" s="868">
        <f t="shared" si="241"/>
        <v>3995000</v>
      </c>
      <c r="AC776" s="885">
        <f t="shared" si="242"/>
        <v>0</v>
      </c>
      <c r="AD776" s="868">
        <f t="shared" si="243"/>
        <v>0</v>
      </c>
      <c r="AE776" s="868">
        <f t="shared" si="244"/>
        <v>3995000</v>
      </c>
      <c r="AF776" s="868">
        <f t="shared" si="245"/>
        <v>3995000</v>
      </c>
      <c r="AG776" s="868">
        <f t="shared" si="246"/>
        <v>3995000</v>
      </c>
      <c r="AH776" s="868">
        <f t="shared" si="247"/>
        <v>3995000</v>
      </c>
      <c r="AI776" s="886">
        <f t="shared" si="248"/>
        <v>3995000</v>
      </c>
      <c r="AJ776" s="886">
        <f t="shared" si="237"/>
        <v>19975000</v>
      </c>
      <c r="AK776" s="868">
        <f t="shared" si="249"/>
        <v>179775000</v>
      </c>
    </row>
    <row r="777" spans="5:37" s="887" customFormat="1" ht="35.25" customHeight="1" x14ac:dyDescent="0.2">
      <c r="E777" s="884" t="s">
        <v>2306</v>
      </c>
      <c r="F777" s="888"/>
      <c r="G777" s="878" t="s">
        <v>1537</v>
      </c>
      <c r="H777" s="879"/>
      <c r="I777" s="930" t="s">
        <v>4199</v>
      </c>
      <c r="J777" s="878"/>
      <c r="K777" s="903"/>
      <c r="L777" s="908"/>
      <c r="M777" s="878"/>
      <c r="N777" s="908"/>
      <c r="O777" s="907" t="s">
        <v>3441</v>
      </c>
      <c r="P777" s="903">
        <v>2014</v>
      </c>
      <c r="Q777" s="878"/>
      <c r="R777" s="878"/>
      <c r="S777" s="878"/>
      <c r="T777" s="903" t="s">
        <v>12</v>
      </c>
      <c r="U777" s="879">
        <v>200025000</v>
      </c>
      <c r="V777" s="903"/>
      <c r="W777" s="931"/>
      <c r="X777" s="971"/>
      <c r="Y777" s="884" t="str">
        <f t="shared" si="238"/>
        <v>04.14.01</v>
      </c>
      <c r="Z777" s="884" t="str">
        <f t="shared" si="239"/>
        <v>Bangunan Air Irigasi</v>
      </c>
      <c r="AA777" s="884">
        <f t="shared" si="240"/>
        <v>50</v>
      </c>
      <c r="AB777" s="868">
        <f t="shared" si="241"/>
        <v>4000500</v>
      </c>
      <c r="AC777" s="885">
        <f t="shared" si="242"/>
        <v>0</v>
      </c>
      <c r="AD777" s="868">
        <f t="shared" si="243"/>
        <v>0</v>
      </c>
      <c r="AE777" s="868">
        <f t="shared" si="244"/>
        <v>4000500</v>
      </c>
      <c r="AF777" s="868">
        <f t="shared" si="245"/>
        <v>4000500</v>
      </c>
      <c r="AG777" s="868">
        <f t="shared" si="246"/>
        <v>4000500</v>
      </c>
      <c r="AH777" s="868">
        <f t="shared" si="247"/>
        <v>4000500</v>
      </c>
      <c r="AI777" s="886">
        <f t="shared" si="248"/>
        <v>4000500</v>
      </c>
      <c r="AJ777" s="886">
        <f t="shared" si="237"/>
        <v>20002500</v>
      </c>
      <c r="AK777" s="868">
        <f t="shared" si="249"/>
        <v>180022500</v>
      </c>
    </row>
    <row r="778" spans="5:37" s="887" customFormat="1" ht="35.25" customHeight="1" x14ac:dyDescent="0.2">
      <c r="E778" s="884" t="s">
        <v>2306</v>
      </c>
      <c r="F778" s="888"/>
      <c r="G778" s="878" t="s">
        <v>1538</v>
      </c>
      <c r="H778" s="879"/>
      <c r="I778" s="930" t="s">
        <v>4199</v>
      </c>
      <c r="J778" s="878"/>
      <c r="K778" s="903"/>
      <c r="L778" s="908"/>
      <c r="M778" s="878"/>
      <c r="N778" s="908"/>
      <c r="O778" s="907" t="s">
        <v>3442</v>
      </c>
      <c r="P778" s="903">
        <v>2014</v>
      </c>
      <c r="Q778" s="878"/>
      <c r="R778" s="878"/>
      <c r="S778" s="878"/>
      <c r="T778" s="903" t="s">
        <v>12</v>
      </c>
      <c r="U778" s="879">
        <v>199930000</v>
      </c>
      <c r="V778" s="903"/>
      <c r="W778" s="931"/>
      <c r="X778" s="971"/>
      <c r="Y778" s="884" t="str">
        <f t="shared" si="238"/>
        <v>04.14.01</v>
      </c>
      <c r="Z778" s="884" t="str">
        <f t="shared" si="239"/>
        <v>Bangunan Air Irigasi</v>
      </c>
      <c r="AA778" s="884">
        <f t="shared" si="240"/>
        <v>50</v>
      </c>
      <c r="AB778" s="868">
        <f t="shared" si="241"/>
        <v>3998600</v>
      </c>
      <c r="AC778" s="885">
        <f t="shared" si="242"/>
        <v>0</v>
      </c>
      <c r="AD778" s="868">
        <f t="shared" si="243"/>
        <v>0</v>
      </c>
      <c r="AE778" s="868">
        <f t="shared" si="244"/>
        <v>3998600</v>
      </c>
      <c r="AF778" s="868">
        <f t="shared" si="245"/>
        <v>3998600</v>
      </c>
      <c r="AG778" s="868">
        <f t="shared" si="246"/>
        <v>3998600</v>
      </c>
      <c r="AH778" s="868">
        <f t="shared" si="247"/>
        <v>3998600</v>
      </c>
      <c r="AI778" s="886">
        <f t="shared" si="248"/>
        <v>3998600</v>
      </c>
      <c r="AJ778" s="886">
        <f t="shared" si="237"/>
        <v>19993000</v>
      </c>
      <c r="AK778" s="868">
        <f t="shared" si="249"/>
        <v>179937000</v>
      </c>
    </row>
    <row r="779" spans="5:37" s="887" customFormat="1" ht="35.25" customHeight="1" x14ac:dyDescent="0.2">
      <c r="E779" s="884" t="s">
        <v>2306</v>
      </c>
      <c r="F779" s="888"/>
      <c r="G779" s="878" t="s">
        <v>1539</v>
      </c>
      <c r="H779" s="879"/>
      <c r="I779" s="930" t="s">
        <v>4199</v>
      </c>
      <c r="J779" s="878"/>
      <c r="K779" s="903"/>
      <c r="L779" s="908"/>
      <c r="M779" s="878"/>
      <c r="N779" s="908"/>
      <c r="O779" s="907" t="s">
        <v>3443</v>
      </c>
      <c r="P779" s="903">
        <v>2014</v>
      </c>
      <c r="Q779" s="878"/>
      <c r="R779" s="878"/>
      <c r="S779" s="878"/>
      <c r="T779" s="903" t="s">
        <v>12</v>
      </c>
      <c r="U779" s="879">
        <v>199000000</v>
      </c>
      <c r="V779" s="903"/>
      <c r="W779" s="931"/>
      <c r="X779" s="971"/>
      <c r="Y779" s="884" t="str">
        <f t="shared" si="238"/>
        <v>04.14.01</v>
      </c>
      <c r="Z779" s="884" t="str">
        <f t="shared" si="239"/>
        <v>Bangunan Air Irigasi</v>
      </c>
      <c r="AA779" s="884">
        <f t="shared" si="240"/>
        <v>50</v>
      </c>
      <c r="AB779" s="868">
        <f t="shared" si="241"/>
        <v>3980000</v>
      </c>
      <c r="AC779" s="885">
        <f t="shared" si="242"/>
        <v>0</v>
      </c>
      <c r="AD779" s="868">
        <f t="shared" si="243"/>
        <v>0</v>
      </c>
      <c r="AE779" s="868">
        <f t="shared" si="244"/>
        <v>3980000</v>
      </c>
      <c r="AF779" s="868">
        <f t="shared" si="245"/>
        <v>3980000</v>
      </c>
      <c r="AG779" s="868">
        <f t="shared" si="246"/>
        <v>3980000</v>
      </c>
      <c r="AH779" s="868">
        <f t="shared" si="247"/>
        <v>3980000</v>
      </c>
      <c r="AI779" s="886">
        <f t="shared" si="248"/>
        <v>3980000</v>
      </c>
      <c r="AJ779" s="886">
        <f t="shared" si="237"/>
        <v>19900000</v>
      </c>
      <c r="AK779" s="868">
        <f t="shared" si="249"/>
        <v>179100000</v>
      </c>
    </row>
    <row r="780" spans="5:37" s="887" customFormat="1" ht="35.25" customHeight="1" x14ac:dyDescent="0.2">
      <c r="E780" s="884" t="s">
        <v>2306</v>
      </c>
      <c r="F780" s="888"/>
      <c r="G780" s="878" t="s">
        <v>1540</v>
      </c>
      <c r="H780" s="879"/>
      <c r="I780" s="930" t="s">
        <v>4199</v>
      </c>
      <c r="J780" s="878"/>
      <c r="K780" s="903"/>
      <c r="L780" s="908"/>
      <c r="M780" s="878"/>
      <c r="N780" s="908"/>
      <c r="O780" s="907"/>
      <c r="P780" s="903">
        <v>2014</v>
      </c>
      <c r="Q780" s="878"/>
      <c r="R780" s="878"/>
      <c r="S780" s="878"/>
      <c r="T780" s="903" t="s">
        <v>12</v>
      </c>
      <c r="U780" s="879">
        <v>199167000</v>
      </c>
      <c r="V780" s="903"/>
      <c r="W780" s="931"/>
      <c r="X780" s="971"/>
      <c r="Y780" s="884" t="str">
        <f t="shared" si="238"/>
        <v>04.14.01</v>
      </c>
      <c r="Z780" s="884" t="str">
        <f t="shared" si="239"/>
        <v>Bangunan Air Irigasi</v>
      </c>
      <c r="AA780" s="884">
        <f t="shared" si="240"/>
        <v>50</v>
      </c>
      <c r="AB780" s="868">
        <f t="shared" si="241"/>
        <v>3983340</v>
      </c>
      <c r="AC780" s="885">
        <f t="shared" si="242"/>
        <v>0</v>
      </c>
      <c r="AD780" s="868">
        <f t="shared" si="243"/>
        <v>0</v>
      </c>
      <c r="AE780" s="868">
        <f t="shared" si="244"/>
        <v>3983340</v>
      </c>
      <c r="AF780" s="868">
        <f t="shared" si="245"/>
        <v>3983340</v>
      </c>
      <c r="AG780" s="868">
        <f t="shared" si="246"/>
        <v>3983340</v>
      </c>
      <c r="AH780" s="868">
        <f t="shared" si="247"/>
        <v>3983340</v>
      </c>
      <c r="AI780" s="886">
        <f t="shared" si="248"/>
        <v>3983340</v>
      </c>
      <c r="AJ780" s="886">
        <f t="shared" si="237"/>
        <v>19916700</v>
      </c>
      <c r="AK780" s="868">
        <f t="shared" si="249"/>
        <v>179250300</v>
      </c>
    </row>
    <row r="781" spans="5:37" s="887" customFormat="1" ht="35.25" customHeight="1" x14ac:dyDescent="0.2">
      <c r="E781" s="884" t="s">
        <v>2306</v>
      </c>
      <c r="F781" s="888"/>
      <c r="G781" s="878" t="s">
        <v>1541</v>
      </c>
      <c r="H781" s="879"/>
      <c r="I781" s="930" t="s">
        <v>4199</v>
      </c>
      <c r="J781" s="878"/>
      <c r="K781" s="903"/>
      <c r="L781" s="908"/>
      <c r="M781" s="878"/>
      <c r="N781" s="908"/>
      <c r="O781" s="907" t="s">
        <v>3444</v>
      </c>
      <c r="P781" s="903">
        <v>2014</v>
      </c>
      <c r="Q781" s="878"/>
      <c r="R781" s="878"/>
      <c r="S781" s="878"/>
      <c r="T781" s="903" t="s">
        <v>12</v>
      </c>
      <c r="U781" s="879">
        <v>198300000</v>
      </c>
      <c r="V781" s="903"/>
      <c r="W781" s="931"/>
      <c r="X781" s="971"/>
      <c r="Y781" s="884" t="str">
        <f t="shared" si="238"/>
        <v>04.14.01</v>
      </c>
      <c r="Z781" s="884" t="str">
        <f t="shared" si="239"/>
        <v>Bangunan Air Irigasi</v>
      </c>
      <c r="AA781" s="884">
        <f t="shared" si="240"/>
        <v>50</v>
      </c>
      <c r="AB781" s="868">
        <f t="shared" si="241"/>
        <v>3966000</v>
      </c>
      <c r="AC781" s="885">
        <f t="shared" si="242"/>
        <v>0</v>
      </c>
      <c r="AD781" s="868">
        <f t="shared" si="243"/>
        <v>0</v>
      </c>
      <c r="AE781" s="868">
        <f t="shared" si="244"/>
        <v>3966000</v>
      </c>
      <c r="AF781" s="868">
        <f t="shared" si="245"/>
        <v>3966000</v>
      </c>
      <c r="AG781" s="868">
        <f t="shared" si="246"/>
        <v>3966000</v>
      </c>
      <c r="AH781" s="868">
        <f t="shared" si="247"/>
        <v>3966000</v>
      </c>
      <c r="AI781" s="886">
        <f t="shared" si="248"/>
        <v>3966000</v>
      </c>
      <c r="AJ781" s="886">
        <f t="shared" si="237"/>
        <v>19830000</v>
      </c>
      <c r="AK781" s="868">
        <f t="shared" si="249"/>
        <v>178470000</v>
      </c>
    </row>
    <row r="782" spans="5:37" s="887" customFormat="1" ht="35.25" customHeight="1" x14ac:dyDescent="0.2">
      <c r="E782" s="884" t="s">
        <v>2306</v>
      </c>
      <c r="F782" s="888"/>
      <c r="G782" s="878" t="s">
        <v>1542</v>
      </c>
      <c r="H782" s="879"/>
      <c r="I782" s="930" t="s">
        <v>4199</v>
      </c>
      <c r="J782" s="878"/>
      <c r="K782" s="903"/>
      <c r="L782" s="908"/>
      <c r="M782" s="878"/>
      <c r="N782" s="908"/>
      <c r="O782" s="907" t="s">
        <v>3445</v>
      </c>
      <c r="P782" s="903">
        <v>2014</v>
      </c>
      <c r="Q782" s="878"/>
      <c r="R782" s="878"/>
      <c r="S782" s="878"/>
      <c r="T782" s="903" t="s">
        <v>12</v>
      </c>
      <c r="U782" s="879">
        <v>197650000</v>
      </c>
      <c r="V782" s="903"/>
      <c r="W782" s="931"/>
      <c r="X782" s="971"/>
      <c r="Y782" s="884" t="str">
        <f t="shared" si="238"/>
        <v>04.14.01</v>
      </c>
      <c r="Z782" s="884" t="str">
        <f t="shared" si="239"/>
        <v>Bangunan Air Irigasi</v>
      </c>
      <c r="AA782" s="884">
        <f t="shared" si="240"/>
        <v>50</v>
      </c>
      <c r="AB782" s="868">
        <f t="shared" si="241"/>
        <v>3953000</v>
      </c>
      <c r="AC782" s="885">
        <f t="shared" si="242"/>
        <v>0</v>
      </c>
      <c r="AD782" s="868">
        <f t="shared" si="243"/>
        <v>0</v>
      </c>
      <c r="AE782" s="868">
        <f t="shared" si="244"/>
        <v>3953000</v>
      </c>
      <c r="AF782" s="868">
        <f t="shared" si="245"/>
        <v>3953000</v>
      </c>
      <c r="AG782" s="868">
        <f t="shared" si="246"/>
        <v>3953000</v>
      </c>
      <c r="AH782" s="868">
        <f t="shared" si="247"/>
        <v>3953000</v>
      </c>
      <c r="AI782" s="886">
        <f t="shared" si="248"/>
        <v>3953000</v>
      </c>
      <c r="AJ782" s="886">
        <f t="shared" si="237"/>
        <v>19765000</v>
      </c>
      <c r="AK782" s="868">
        <f t="shared" si="249"/>
        <v>177885000</v>
      </c>
    </row>
    <row r="783" spans="5:37" s="887" customFormat="1" ht="35.25" customHeight="1" x14ac:dyDescent="0.2">
      <c r="E783" s="884" t="s">
        <v>2306</v>
      </c>
      <c r="F783" s="888"/>
      <c r="G783" s="878" t="s">
        <v>1543</v>
      </c>
      <c r="H783" s="879"/>
      <c r="I783" s="930" t="s">
        <v>4199</v>
      </c>
      <c r="J783" s="878"/>
      <c r="K783" s="903"/>
      <c r="L783" s="908"/>
      <c r="M783" s="878"/>
      <c r="N783" s="908"/>
      <c r="O783" s="907" t="s">
        <v>3446</v>
      </c>
      <c r="P783" s="903">
        <v>2014</v>
      </c>
      <c r="Q783" s="878"/>
      <c r="R783" s="878"/>
      <c r="S783" s="878"/>
      <c r="T783" s="903" t="s">
        <v>12</v>
      </c>
      <c r="U783" s="879">
        <v>198150000</v>
      </c>
      <c r="V783" s="903"/>
      <c r="W783" s="931"/>
      <c r="X783" s="971"/>
      <c r="Y783" s="884" t="str">
        <f t="shared" si="238"/>
        <v>04.14.01</v>
      </c>
      <c r="Z783" s="884" t="str">
        <f t="shared" si="239"/>
        <v>Bangunan Air Irigasi</v>
      </c>
      <c r="AA783" s="884">
        <f t="shared" si="240"/>
        <v>50</v>
      </c>
      <c r="AB783" s="868">
        <f t="shared" si="241"/>
        <v>3963000</v>
      </c>
      <c r="AC783" s="885">
        <f t="shared" si="242"/>
        <v>0</v>
      </c>
      <c r="AD783" s="868">
        <f t="shared" si="243"/>
        <v>0</v>
      </c>
      <c r="AE783" s="868">
        <f t="shared" si="244"/>
        <v>3963000</v>
      </c>
      <c r="AF783" s="868">
        <f t="shared" si="245"/>
        <v>3963000</v>
      </c>
      <c r="AG783" s="868">
        <f t="shared" si="246"/>
        <v>3963000</v>
      </c>
      <c r="AH783" s="868">
        <f t="shared" si="247"/>
        <v>3963000</v>
      </c>
      <c r="AI783" s="886">
        <f t="shared" si="248"/>
        <v>3963000</v>
      </c>
      <c r="AJ783" s="886">
        <f t="shared" si="237"/>
        <v>19815000</v>
      </c>
      <c r="AK783" s="868">
        <f t="shared" si="249"/>
        <v>178335000</v>
      </c>
    </row>
    <row r="784" spans="5:37" s="887" customFormat="1" ht="35.25" customHeight="1" x14ac:dyDescent="0.2">
      <c r="E784" s="884" t="s">
        <v>2306</v>
      </c>
      <c r="F784" s="888"/>
      <c r="G784" s="878" t="s">
        <v>1544</v>
      </c>
      <c r="H784" s="879"/>
      <c r="I784" s="930" t="s">
        <v>4199</v>
      </c>
      <c r="J784" s="878"/>
      <c r="K784" s="903"/>
      <c r="L784" s="908"/>
      <c r="M784" s="878"/>
      <c r="N784" s="908"/>
      <c r="O784" s="907" t="s">
        <v>3447</v>
      </c>
      <c r="P784" s="903">
        <v>2015</v>
      </c>
      <c r="Q784" s="878"/>
      <c r="R784" s="878"/>
      <c r="S784" s="878"/>
      <c r="T784" s="903" t="s">
        <v>12</v>
      </c>
      <c r="U784" s="879">
        <v>195475522</v>
      </c>
      <c r="V784" s="903"/>
      <c r="W784" s="931"/>
      <c r="X784" s="971"/>
      <c r="Y784" s="884" t="str">
        <f t="shared" si="238"/>
        <v>04.14.01</v>
      </c>
      <c r="Z784" s="884" t="str">
        <f t="shared" si="239"/>
        <v>Bangunan Air Irigasi</v>
      </c>
      <c r="AA784" s="884">
        <f t="shared" si="240"/>
        <v>50</v>
      </c>
      <c r="AB784" s="868">
        <f t="shared" si="241"/>
        <v>3909510.44</v>
      </c>
      <c r="AC784" s="885">
        <f t="shared" si="242"/>
        <v>0</v>
      </c>
      <c r="AD784" s="868">
        <f t="shared" si="243"/>
        <v>0</v>
      </c>
      <c r="AE784" s="868">
        <v>0</v>
      </c>
      <c r="AF784" s="868">
        <f t="shared" si="245"/>
        <v>3909510.44</v>
      </c>
      <c r="AG784" s="868">
        <f t="shared" si="246"/>
        <v>3909510.44</v>
      </c>
      <c r="AH784" s="868">
        <f t="shared" si="247"/>
        <v>3909510.44</v>
      </c>
      <c r="AI784" s="886">
        <f t="shared" si="248"/>
        <v>3909510.44</v>
      </c>
      <c r="AJ784" s="886">
        <f t="shared" si="237"/>
        <v>15638041.76</v>
      </c>
      <c r="AK784" s="868">
        <f t="shared" si="249"/>
        <v>179837480.24000001</v>
      </c>
    </row>
    <row r="785" spans="1:37" s="887" customFormat="1" ht="35.25" customHeight="1" x14ac:dyDescent="0.2">
      <c r="E785" s="884" t="s">
        <v>2306</v>
      </c>
      <c r="F785" s="888"/>
      <c r="G785" s="878" t="s">
        <v>1545</v>
      </c>
      <c r="H785" s="879"/>
      <c r="I785" s="930" t="s">
        <v>4199</v>
      </c>
      <c r="J785" s="878"/>
      <c r="K785" s="903"/>
      <c r="L785" s="908"/>
      <c r="M785" s="878"/>
      <c r="N785" s="908"/>
      <c r="O785" s="907" t="s">
        <v>3448</v>
      </c>
      <c r="P785" s="903">
        <v>2015</v>
      </c>
      <c r="Q785" s="878"/>
      <c r="R785" s="878"/>
      <c r="S785" s="878"/>
      <c r="T785" s="903" t="s">
        <v>12</v>
      </c>
      <c r="U785" s="879">
        <v>193579751</v>
      </c>
      <c r="V785" s="903"/>
      <c r="W785" s="931"/>
      <c r="X785" s="971"/>
      <c r="Y785" s="884" t="str">
        <f t="shared" si="238"/>
        <v>04.14.01</v>
      </c>
      <c r="Z785" s="884" t="str">
        <f t="shared" si="239"/>
        <v>Bangunan Air Irigasi</v>
      </c>
      <c r="AA785" s="884">
        <f t="shared" si="240"/>
        <v>50</v>
      </c>
      <c r="AB785" s="868">
        <f t="shared" si="241"/>
        <v>3871595.02</v>
      </c>
      <c r="AC785" s="885">
        <f t="shared" si="242"/>
        <v>0</v>
      </c>
      <c r="AD785" s="868">
        <f t="shared" si="243"/>
        <v>0</v>
      </c>
      <c r="AE785" s="868">
        <v>0</v>
      </c>
      <c r="AF785" s="868">
        <f t="shared" si="245"/>
        <v>3871595.02</v>
      </c>
      <c r="AG785" s="868">
        <f t="shared" si="246"/>
        <v>3871595.02</v>
      </c>
      <c r="AH785" s="868">
        <f t="shared" si="247"/>
        <v>3871595.02</v>
      </c>
      <c r="AI785" s="886">
        <f t="shared" si="248"/>
        <v>3871595.02</v>
      </c>
      <c r="AJ785" s="886">
        <f t="shared" si="237"/>
        <v>15486380.08</v>
      </c>
      <c r="AK785" s="868">
        <f t="shared" si="249"/>
        <v>178093370.91999999</v>
      </c>
    </row>
    <row r="786" spans="1:37" s="887" customFormat="1" ht="35.25" customHeight="1" x14ac:dyDescent="0.2">
      <c r="A786" s="857"/>
      <c r="E786" s="884" t="s">
        <v>2306</v>
      </c>
      <c r="F786" s="888"/>
      <c r="G786" s="878" t="s">
        <v>1546</v>
      </c>
      <c r="H786" s="879"/>
      <c r="I786" s="930" t="s">
        <v>4199</v>
      </c>
      <c r="J786" s="878"/>
      <c r="K786" s="903"/>
      <c r="L786" s="908"/>
      <c r="M786" s="878"/>
      <c r="N786" s="908"/>
      <c r="O786" s="907" t="s">
        <v>3449</v>
      </c>
      <c r="P786" s="903">
        <v>2015</v>
      </c>
      <c r="Q786" s="878"/>
      <c r="R786" s="878"/>
      <c r="S786" s="878"/>
      <c r="T786" s="903" t="s">
        <v>12</v>
      </c>
      <c r="U786" s="879">
        <v>194854327</v>
      </c>
      <c r="V786" s="903"/>
      <c r="W786" s="931"/>
      <c r="X786" s="971"/>
      <c r="Y786" s="884" t="str">
        <f t="shared" si="238"/>
        <v>04.14.01</v>
      </c>
      <c r="Z786" s="884" t="str">
        <f t="shared" si="239"/>
        <v>Bangunan Air Irigasi</v>
      </c>
      <c r="AA786" s="884">
        <f t="shared" si="240"/>
        <v>50</v>
      </c>
      <c r="AB786" s="868">
        <f t="shared" si="241"/>
        <v>3897086.54</v>
      </c>
      <c r="AC786" s="885">
        <f t="shared" si="242"/>
        <v>0</v>
      </c>
      <c r="AD786" s="868">
        <f t="shared" si="243"/>
        <v>0</v>
      </c>
      <c r="AE786" s="868">
        <v>0</v>
      </c>
      <c r="AF786" s="868">
        <f t="shared" si="245"/>
        <v>3897086.54</v>
      </c>
      <c r="AG786" s="868">
        <f t="shared" si="246"/>
        <v>3897086.54</v>
      </c>
      <c r="AH786" s="868">
        <f t="shared" si="247"/>
        <v>3897086.54</v>
      </c>
      <c r="AI786" s="886">
        <f t="shared" si="248"/>
        <v>3897086.54</v>
      </c>
      <c r="AJ786" s="886">
        <f t="shared" si="237"/>
        <v>15588346.16</v>
      </c>
      <c r="AK786" s="868">
        <f t="shared" si="249"/>
        <v>179265980.84</v>
      </c>
    </row>
    <row r="787" spans="1:37" s="887" customFormat="1" ht="35.25" customHeight="1" x14ac:dyDescent="0.2">
      <c r="E787" s="884" t="s">
        <v>2306</v>
      </c>
      <c r="F787" s="888"/>
      <c r="G787" s="878" t="s">
        <v>1547</v>
      </c>
      <c r="H787" s="879"/>
      <c r="I787" s="930" t="s">
        <v>4199</v>
      </c>
      <c r="J787" s="878"/>
      <c r="K787" s="903"/>
      <c r="L787" s="908"/>
      <c r="M787" s="878"/>
      <c r="N787" s="908"/>
      <c r="O787" s="907" t="s">
        <v>3450</v>
      </c>
      <c r="P787" s="903">
        <v>2015</v>
      </c>
      <c r="Q787" s="878"/>
      <c r="R787" s="878"/>
      <c r="S787" s="878"/>
      <c r="T787" s="903" t="s">
        <v>12</v>
      </c>
      <c r="U787" s="879">
        <v>194008286</v>
      </c>
      <c r="V787" s="903"/>
      <c r="W787" s="931"/>
      <c r="X787" s="971"/>
      <c r="Y787" s="884" t="str">
        <f t="shared" si="238"/>
        <v>04.14.01</v>
      </c>
      <c r="Z787" s="884" t="str">
        <f t="shared" si="239"/>
        <v>Bangunan Air Irigasi</v>
      </c>
      <c r="AA787" s="884">
        <f t="shared" si="240"/>
        <v>50</v>
      </c>
      <c r="AB787" s="868">
        <f t="shared" si="241"/>
        <v>3880165.72</v>
      </c>
      <c r="AC787" s="885">
        <f t="shared" si="242"/>
        <v>0</v>
      </c>
      <c r="AD787" s="868">
        <f t="shared" si="243"/>
        <v>0</v>
      </c>
      <c r="AE787" s="868">
        <v>0</v>
      </c>
      <c r="AF787" s="868">
        <f t="shared" si="245"/>
        <v>3880165.72</v>
      </c>
      <c r="AG787" s="868">
        <f t="shared" si="246"/>
        <v>3880165.72</v>
      </c>
      <c r="AH787" s="868">
        <f t="shared" si="247"/>
        <v>3880165.72</v>
      </c>
      <c r="AI787" s="886">
        <f t="shared" si="248"/>
        <v>3880165.72</v>
      </c>
      <c r="AJ787" s="886">
        <f t="shared" si="237"/>
        <v>15520662.880000001</v>
      </c>
      <c r="AK787" s="868">
        <f t="shared" si="249"/>
        <v>178487623.12</v>
      </c>
    </row>
    <row r="788" spans="1:37" s="887" customFormat="1" ht="35.25" customHeight="1" x14ac:dyDescent="0.2">
      <c r="E788" s="884" t="s">
        <v>2306</v>
      </c>
      <c r="F788" s="888"/>
      <c r="G788" s="878" t="s">
        <v>1548</v>
      </c>
      <c r="H788" s="879"/>
      <c r="I788" s="930" t="s">
        <v>4199</v>
      </c>
      <c r="J788" s="878"/>
      <c r="K788" s="903"/>
      <c r="L788" s="908"/>
      <c r="M788" s="878"/>
      <c r="N788" s="908"/>
      <c r="O788" s="907" t="s">
        <v>3090</v>
      </c>
      <c r="P788" s="903">
        <v>2015</v>
      </c>
      <c r="Q788" s="878"/>
      <c r="R788" s="878"/>
      <c r="S788" s="878"/>
      <c r="T788" s="903" t="s">
        <v>12</v>
      </c>
      <c r="U788" s="879">
        <v>194273613</v>
      </c>
      <c r="V788" s="903"/>
      <c r="W788" s="931"/>
      <c r="X788" s="971"/>
      <c r="Y788" s="884" t="str">
        <f t="shared" si="238"/>
        <v>04.14.01</v>
      </c>
      <c r="Z788" s="884" t="str">
        <f t="shared" si="239"/>
        <v>Bangunan Air Irigasi</v>
      </c>
      <c r="AA788" s="884">
        <f t="shared" si="240"/>
        <v>50</v>
      </c>
      <c r="AB788" s="868">
        <f t="shared" si="241"/>
        <v>3885472.26</v>
      </c>
      <c r="AC788" s="885">
        <f t="shared" si="242"/>
        <v>0</v>
      </c>
      <c r="AD788" s="868">
        <f t="shared" si="243"/>
        <v>0</v>
      </c>
      <c r="AE788" s="868">
        <v>0</v>
      </c>
      <c r="AF788" s="868">
        <f t="shared" si="245"/>
        <v>3885472.26</v>
      </c>
      <c r="AG788" s="868">
        <f t="shared" si="246"/>
        <v>3885472.26</v>
      </c>
      <c r="AH788" s="868">
        <f t="shared" si="247"/>
        <v>3885472.26</v>
      </c>
      <c r="AI788" s="886">
        <f t="shared" si="248"/>
        <v>3885472.26</v>
      </c>
      <c r="AJ788" s="886">
        <f t="shared" si="237"/>
        <v>15541889.039999999</v>
      </c>
      <c r="AK788" s="868">
        <f t="shared" si="249"/>
        <v>178731723.96000001</v>
      </c>
    </row>
    <row r="789" spans="1:37" s="887" customFormat="1" ht="35.25" customHeight="1" x14ac:dyDescent="0.2">
      <c r="E789" s="884" t="s">
        <v>2306</v>
      </c>
      <c r="F789" s="888"/>
      <c r="G789" s="878" t="s">
        <v>1549</v>
      </c>
      <c r="H789" s="879"/>
      <c r="I789" s="930" t="s">
        <v>4199</v>
      </c>
      <c r="J789" s="878"/>
      <c r="K789" s="903"/>
      <c r="L789" s="908"/>
      <c r="M789" s="878"/>
      <c r="N789" s="908"/>
      <c r="O789" s="907" t="s">
        <v>3445</v>
      </c>
      <c r="P789" s="903">
        <v>2015</v>
      </c>
      <c r="Q789" s="878"/>
      <c r="R789" s="878"/>
      <c r="S789" s="878"/>
      <c r="T789" s="903" t="s">
        <v>12</v>
      </c>
      <c r="U789" s="879">
        <v>193725722</v>
      </c>
      <c r="V789" s="903"/>
      <c r="W789" s="931"/>
      <c r="X789" s="971"/>
      <c r="Y789" s="884" t="str">
        <f t="shared" si="238"/>
        <v>04.14.01</v>
      </c>
      <c r="Z789" s="884" t="str">
        <f t="shared" si="239"/>
        <v>Bangunan Air Irigasi</v>
      </c>
      <c r="AA789" s="884">
        <f t="shared" si="240"/>
        <v>50</v>
      </c>
      <c r="AB789" s="868">
        <f t="shared" si="241"/>
        <v>3874514.44</v>
      </c>
      <c r="AC789" s="885">
        <f t="shared" si="242"/>
        <v>0</v>
      </c>
      <c r="AD789" s="868">
        <f t="shared" si="243"/>
        <v>0</v>
      </c>
      <c r="AE789" s="868">
        <v>0</v>
      </c>
      <c r="AF789" s="868">
        <f t="shared" si="245"/>
        <v>3874514.44</v>
      </c>
      <c r="AG789" s="868">
        <f t="shared" si="246"/>
        <v>3874514.44</v>
      </c>
      <c r="AH789" s="868">
        <f t="shared" si="247"/>
        <v>3874514.44</v>
      </c>
      <c r="AI789" s="886">
        <f t="shared" si="248"/>
        <v>3874514.44</v>
      </c>
      <c r="AJ789" s="886">
        <f t="shared" si="237"/>
        <v>15498057.76</v>
      </c>
      <c r="AK789" s="868">
        <f t="shared" si="249"/>
        <v>178227664.24000001</v>
      </c>
    </row>
    <row r="790" spans="1:37" s="887" customFormat="1" ht="35.25" customHeight="1" x14ac:dyDescent="0.2">
      <c r="E790" s="884" t="s">
        <v>2306</v>
      </c>
      <c r="F790" s="888"/>
      <c r="G790" s="878" t="s">
        <v>1550</v>
      </c>
      <c r="H790" s="879"/>
      <c r="I790" s="930" t="s">
        <v>4199</v>
      </c>
      <c r="J790" s="878"/>
      <c r="K790" s="903"/>
      <c r="L790" s="908"/>
      <c r="M790" s="878"/>
      <c r="N790" s="908"/>
      <c r="O790" s="907" t="s">
        <v>3088</v>
      </c>
      <c r="P790" s="903">
        <v>2015</v>
      </c>
      <c r="Q790" s="878"/>
      <c r="R790" s="878"/>
      <c r="S790" s="878"/>
      <c r="T790" s="903" t="s">
        <v>12</v>
      </c>
      <c r="U790" s="879">
        <v>194683613</v>
      </c>
      <c r="V790" s="903"/>
      <c r="W790" s="931"/>
      <c r="X790" s="971"/>
      <c r="Y790" s="884" t="str">
        <f t="shared" si="238"/>
        <v>04.14.01</v>
      </c>
      <c r="Z790" s="884" t="str">
        <f t="shared" si="239"/>
        <v>Bangunan Air Irigasi</v>
      </c>
      <c r="AA790" s="884">
        <f t="shared" si="240"/>
        <v>50</v>
      </c>
      <c r="AB790" s="868">
        <f t="shared" si="241"/>
        <v>3893672.26</v>
      </c>
      <c r="AC790" s="885">
        <f t="shared" si="242"/>
        <v>0</v>
      </c>
      <c r="AD790" s="868">
        <f t="shared" si="243"/>
        <v>0</v>
      </c>
      <c r="AE790" s="868">
        <v>0</v>
      </c>
      <c r="AF790" s="868">
        <f t="shared" si="245"/>
        <v>3893672.26</v>
      </c>
      <c r="AG790" s="868">
        <f t="shared" si="246"/>
        <v>3893672.26</v>
      </c>
      <c r="AH790" s="868">
        <f t="shared" si="247"/>
        <v>3893672.26</v>
      </c>
      <c r="AI790" s="886">
        <f t="shared" si="248"/>
        <v>3893672.26</v>
      </c>
      <c r="AJ790" s="886">
        <f t="shared" si="237"/>
        <v>15574689.039999999</v>
      </c>
      <c r="AK790" s="868">
        <f t="shared" si="249"/>
        <v>179108923.96000001</v>
      </c>
    </row>
    <row r="791" spans="1:37" s="887" customFormat="1" ht="35.25" customHeight="1" x14ac:dyDescent="0.2">
      <c r="E791" s="884" t="s">
        <v>2306</v>
      </c>
      <c r="F791" s="888"/>
      <c r="G791" s="878" t="s">
        <v>1551</v>
      </c>
      <c r="H791" s="879"/>
      <c r="I791" s="930" t="s">
        <v>4199</v>
      </c>
      <c r="J791" s="878"/>
      <c r="K791" s="903"/>
      <c r="L791" s="908"/>
      <c r="M791" s="878"/>
      <c r="N791" s="908"/>
      <c r="O791" s="907" t="s">
        <v>3408</v>
      </c>
      <c r="P791" s="903">
        <v>2015</v>
      </c>
      <c r="Q791" s="878"/>
      <c r="R791" s="878"/>
      <c r="S791" s="878"/>
      <c r="T791" s="903" t="s">
        <v>12</v>
      </c>
      <c r="U791" s="879">
        <v>193951280</v>
      </c>
      <c r="V791" s="903"/>
      <c r="W791" s="931"/>
      <c r="X791" s="971"/>
      <c r="Y791" s="884" t="str">
        <f t="shared" si="238"/>
        <v>04.14.01</v>
      </c>
      <c r="Z791" s="884" t="str">
        <f t="shared" si="239"/>
        <v>Bangunan Air Irigasi</v>
      </c>
      <c r="AA791" s="884">
        <f t="shared" si="240"/>
        <v>50</v>
      </c>
      <c r="AB791" s="868">
        <f t="shared" si="241"/>
        <v>3879025.6</v>
      </c>
      <c r="AC791" s="885">
        <f t="shared" si="242"/>
        <v>0</v>
      </c>
      <c r="AD791" s="868">
        <f t="shared" si="243"/>
        <v>0</v>
      </c>
      <c r="AE791" s="868">
        <v>0</v>
      </c>
      <c r="AF791" s="868">
        <f t="shared" si="245"/>
        <v>3879025.6</v>
      </c>
      <c r="AG791" s="868">
        <f t="shared" si="246"/>
        <v>3879025.6</v>
      </c>
      <c r="AH791" s="868">
        <f t="shared" si="247"/>
        <v>3879025.6</v>
      </c>
      <c r="AI791" s="886">
        <f t="shared" si="248"/>
        <v>3879025.6</v>
      </c>
      <c r="AJ791" s="886">
        <f t="shared" si="237"/>
        <v>15516102.4</v>
      </c>
      <c r="AK791" s="868">
        <f t="shared" si="249"/>
        <v>178435177.59999999</v>
      </c>
    </row>
    <row r="792" spans="1:37" s="887" customFormat="1" ht="35.25" customHeight="1" x14ac:dyDescent="0.2">
      <c r="E792" s="884" t="s">
        <v>2306</v>
      </c>
      <c r="F792" s="888"/>
      <c r="G792" s="878" t="s">
        <v>1552</v>
      </c>
      <c r="H792" s="879"/>
      <c r="I792" s="930" t="s">
        <v>4199</v>
      </c>
      <c r="J792" s="878"/>
      <c r="K792" s="903"/>
      <c r="L792" s="908"/>
      <c r="M792" s="878"/>
      <c r="N792" s="908"/>
      <c r="O792" s="907" t="s">
        <v>3078</v>
      </c>
      <c r="P792" s="903">
        <v>2015</v>
      </c>
      <c r="Q792" s="878"/>
      <c r="R792" s="878"/>
      <c r="S792" s="878"/>
      <c r="T792" s="903" t="s">
        <v>12</v>
      </c>
      <c r="U792" s="879">
        <v>184030734</v>
      </c>
      <c r="V792" s="903"/>
      <c r="W792" s="931"/>
      <c r="X792" s="971"/>
      <c r="Y792" s="884" t="str">
        <f t="shared" si="238"/>
        <v>04.14.01</v>
      </c>
      <c r="Z792" s="884" t="str">
        <f t="shared" si="239"/>
        <v>Bangunan Air Irigasi</v>
      </c>
      <c r="AA792" s="884">
        <f t="shared" si="240"/>
        <v>50</v>
      </c>
      <c r="AB792" s="868">
        <f t="shared" si="241"/>
        <v>3680614.68</v>
      </c>
      <c r="AC792" s="885">
        <f t="shared" si="242"/>
        <v>0</v>
      </c>
      <c r="AD792" s="868">
        <f t="shared" si="243"/>
        <v>0</v>
      </c>
      <c r="AE792" s="868">
        <v>0</v>
      </c>
      <c r="AF792" s="868">
        <f t="shared" si="245"/>
        <v>3680614.68</v>
      </c>
      <c r="AG792" s="868">
        <f t="shared" si="246"/>
        <v>3680614.68</v>
      </c>
      <c r="AH792" s="868">
        <f t="shared" si="247"/>
        <v>3680614.68</v>
      </c>
      <c r="AI792" s="886">
        <f t="shared" si="248"/>
        <v>3680614.68</v>
      </c>
      <c r="AJ792" s="886">
        <f t="shared" si="237"/>
        <v>14722458.720000001</v>
      </c>
      <c r="AK792" s="868">
        <f t="shared" si="249"/>
        <v>169308275.28</v>
      </c>
    </row>
    <row r="793" spans="1:37" s="887" customFormat="1" ht="35.25" customHeight="1" x14ac:dyDescent="0.2">
      <c r="E793" s="884" t="s">
        <v>2306</v>
      </c>
      <c r="F793" s="888"/>
      <c r="G793" s="878" t="s">
        <v>1553</v>
      </c>
      <c r="H793" s="879"/>
      <c r="I793" s="930" t="s">
        <v>4199</v>
      </c>
      <c r="J793" s="878"/>
      <c r="K793" s="903"/>
      <c r="L793" s="908"/>
      <c r="M793" s="878"/>
      <c r="N793" s="908"/>
      <c r="O793" s="907" t="s">
        <v>3178</v>
      </c>
      <c r="P793" s="903">
        <v>2015</v>
      </c>
      <c r="Q793" s="878"/>
      <c r="R793" s="878"/>
      <c r="S793" s="878"/>
      <c r="T793" s="903" t="s">
        <v>12</v>
      </c>
      <c r="U793" s="879">
        <v>194469852</v>
      </c>
      <c r="V793" s="903"/>
      <c r="W793" s="931"/>
      <c r="X793" s="971"/>
      <c r="Y793" s="884" t="str">
        <f t="shared" si="238"/>
        <v>04.14.01</v>
      </c>
      <c r="Z793" s="884" t="str">
        <f t="shared" si="239"/>
        <v>Bangunan Air Irigasi</v>
      </c>
      <c r="AA793" s="884">
        <f t="shared" si="240"/>
        <v>50</v>
      </c>
      <c r="AB793" s="868">
        <f t="shared" si="241"/>
        <v>3889397.04</v>
      </c>
      <c r="AC793" s="885">
        <f t="shared" si="242"/>
        <v>0</v>
      </c>
      <c r="AD793" s="868">
        <f t="shared" si="243"/>
        <v>0</v>
      </c>
      <c r="AE793" s="868">
        <v>0</v>
      </c>
      <c r="AF793" s="868">
        <f t="shared" si="245"/>
        <v>3889397.04</v>
      </c>
      <c r="AG793" s="868">
        <f t="shared" si="246"/>
        <v>3889397.04</v>
      </c>
      <c r="AH793" s="868">
        <f t="shared" si="247"/>
        <v>3889397.04</v>
      </c>
      <c r="AI793" s="886">
        <f t="shared" si="248"/>
        <v>3889397.04</v>
      </c>
      <c r="AJ793" s="886">
        <f t="shared" si="237"/>
        <v>15557588.16</v>
      </c>
      <c r="AK793" s="868">
        <f t="shared" si="249"/>
        <v>178912263.84</v>
      </c>
    </row>
    <row r="794" spans="1:37" s="887" customFormat="1" ht="35.25" customHeight="1" x14ac:dyDescent="0.2">
      <c r="E794" s="884" t="s">
        <v>2306</v>
      </c>
      <c r="F794" s="888"/>
      <c r="G794" s="878" t="s">
        <v>1554</v>
      </c>
      <c r="H794" s="879"/>
      <c r="I794" s="930" t="s">
        <v>4199</v>
      </c>
      <c r="J794" s="878"/>
      <c r="K794" s="903"/>
      <c r="L794" s="908"/>
      <c r="M794" s="878"/>
      <c r="N794" s="908"/>
      <c r="O794" s="907" t="s">
        <v>3451</v>
      </c>
      <c r="P794" s="903">
        <v>2015</v>
      </c>
      <c r="Q794" s="878"/>
      <c r="R794" s="878"/>
      <c r="S794" s="878"/>
      <c r="T794" s="903" t="s">
        <v>12</v>
      </c>
      <c r="U794" s="879">
        <v>188897648</v>
      </c>
      <c r="V794" s="903"/>
      <c r="W794" s="931"/>
      <c r="X794" s="971"/>
      <c r="Y794" s="884" t="str">
        <f t="shared" si="238"/>
        <v>04.14.01</v>
      </c>
      <c r="Z794" s="884" t="str">
        <f t="shared" si="239"/>
        <v>Bangunan Air Irigasi</v>
      </c>
      <c r="AA794" s="884">
        <f t="shared" si="240"/>
        <v>50</v>
      </c>
      <c r="AB794" s="868">
        <f t="shared" si="241"/>
        <v>3777952.96</v>
      </c>
      <c r="AC794" s="885">
        <f t="shared" si="242"/>
        <v>0</v>
      </c>
      <c r="AD794" s="868">
        <f t="shared" si="243"/>
        <v>0</v>
      </c>
      <c r="AE794" s="868">
        <v>0</v>
      </c>
      <c r="AF794" s="868">
        <f t="shared" si="245"/>
        <v>3777952.96</v>
      </c>
      <c r="AG794" s="868">
        <f t="shared" si="246"/>
        <v>3777952.96</v>
      </c>
      <c r="AH794" s="868">
        <f t="shared" si="247"/>
        <v>3777952.96</v>
      </c>
      <c r="AI794" s="886">
        <f t="shared" si="248"/>
        <v>3777952.96</v>
      </c>
      <c r="AJ794" s="886">
        <f t="shared" si="237"/>
        <v>15111811.84</v>
      </c>
      <c r="AK794" s="868">
        <f t="shared" si="249"/>
        <v>173785836.16</v>
      </c>
    </row>
    <row r="795" spans="1:37" s="887" customFormat="1" ht="35.25" customHeight="1" x14ac:dyDescent="0.2">
      <c r="E795" s="884" t="s">
        <v>2306</v>
      </c>
      <c r="F795" s="888"/>
      <c r="G795" s="878" t="s">
        <v>1555</v>
      </c>
      <c r="H795" s="879"/>
      <c r="I795" s="930" t="s">
        <v>4199</v>
      </c>
      <c r="J795" s="878"/>
      <c r="K795" s="903"/>
      <c r="L795" s="908"/>
      <c r="M795" s="878"/>
      <c r="N795" s="908"/>
      <c r="O795" s="907" t="s">
        <v>3415</v>
      </c>
      <c r="P795" s="903">
        <v>2015</v>
      </c>
      <c r="Q795" s="878"/>
      <c r="R795" s="878"/>
      <c r="S795" s="878"/>
      <c r="T795" s="903" t="s">
        <v>12</v>
      </c>
      <c r="U795" s="879">
        <f>1383975000-9160000</f>
        <v>1374815000</v>
      </c>
      <c r="V795" s="903"/>
      <c r="W795" s="931"/>
      <c r="X795" s="971"/>
      <c r="Y795" s="884" t="str">
        <f t="shared" si="238"/>
        <v>04.14.01</v>
      </c>
      <c r="Z795" s="884" t="str">
        <f t="shared" si="239"/>
        <v>Bangunan Air Irigasi</v>
      </c>
      <c r="AA795" s="884">
        <f t="shared" si="240"/>
        <v>50</v>
      </c>
      <c r="AB795" s="868">
        <f t="shared" si="241"/>
        <v>27496300</v>
      </c>
      <c r="AC795" s="885">
        <f t="shared" si="242"/>
        <v>0</v>
      </c>
      <c r="AD795" s="868">
        <f t="shared" si="243"/>
        <v>0</v>
      </c>
      <c r="AE795" s="868">
        <v>0</v>
      </c>
      <c r="AF795" s="868">
        <f t="shared" si="245"/>
        <v>27496300</v>
      </c>
      <c r="AG795" s="868">
        <f t="shared" si="246"/>
        <v>27496300</v>
      </c>
      <c r="AH795" s="868">
        <f t="shared" si="247"/>
        <v>27496300</v>
      </c>
      <c r="AI795" s="886">
        <f t="shared" si="248"/>
        <v>27496300</v>
      </c>
      <c r="AJ795" s="886">
        <f t="shared" si="237"/>
        <v>109985200</v>
      </c>
      <c r="AK795" s="868">
        <f t="shared" si="249"/>
        <v>1264829800</v>
      </c>
    </row>
    <row r="796" spans="1:37" s="887" customFormat="1" ht="35.25" customHeight="1" x14ac:dyDescent="0.2">
      <c r="E796" s="884" t="s">
        <v>2306</v>
      </c>
      <c r="F796" s="888"/>
      <c r="G796" s="878" t="s">
        <v>1556</v>
      </c>
      <c r="H796" s="879"/>
      <c r="I796" s="930" t="s">
        <v>4199</v>
      </c>
      <c r="J796" s="878"/>
      <c r="K796" s="903"/>
      <c r="L796" s="908"/>
      <c r="M796" s="878"/>
      <c r="N796" s="908"/>
      <c r="O796" s="907" t="s">
        <v>3441</v>
      </c>
      <c r="P796" s="903">
        <v>2015</v>
      </c>
      <c r="Q796" s="878"/>
      <c r="R796" s="878"/>
      <c r="S796" s="878"/>
      <c r="T796" s="903" t="s">
        <v>12</v>
      </c>
      <c r="U796" s="879">
        <f>1022650000-9160000</f>
        <v>1013490000</v>
      </c>
      <c r="V796" s="903"/>
      <c r="W796" s="931"/>
      <c r="X796" s="971"/>
      <c r="Y796" s="884" t="str">
        <f t="shared" si="238"/>
        <v>04.14.01</v>
      </c>
      <c r="Z796" s="884" t="str">
        <f t="shared" si="239"/>
        <v>Bangunan Air Irigasi</v>
      </c>
      <c r="AA796" s="884">
        <f t="shared" si="240"/>
        <v>50</v>
      </c>
      <c r="AB796" s="868">
        <f t="shared" si="241"/>
        <v>20269800</v>
      </c>
      <c r="AC796" s="885">
        <f t="shared" si="242"/>
        <v>0</v>
      </c>
      <c r="AD796" s="868">
        <f t="shared" si="243"/>
        <v>0</v>
      </c>
      <c r="AE796" s="868">
        <v>0</v>
      </c>
      <c r="AF796" s="868">
        <f t="shared" si="245"/>
        <v>20269800</v>
      </c>
      <c r="AG796" s="868">
        <f t="shared" si="246"/>
        <v>20269800</v>
      </c>
      <c r="AH796" s="868">
        <f t="shared" si="247"/>
        <v>20269800</v>
      </c>
      <c r="AI796" s="886">
        <f t="shared" si="248"/>
        <v>20269800</v>
      </c>
      <c r="AJ796" s="886">
        <f t="shared" si="237"/>
        <v>81079200</v>
      </c>
      <c r="AK796" s="868">
        <f t="shared" si="249"/>
        <v>932410800</v>
      </c>
    </row>
    <row r="797" spans="1:37" s="887" customFormat="1" ht="35.25" customHeight="1" x14ac:dyDescent="0.2">
      <c r="E797" s="884" t="s">
        <v>2306</v>
      </c>
      <c r="F797" s="888"/>
      <c r="G797" s="878" t="s">
        <v>1557</v>
      </c>
      <c r="H797" s="879"/>
      <c r="I797" s="930" t="s">
        <v>4199</v>
      </c>
      <c r="J797" s="878"/>
      <c r="K797" s="903"/>
      <c r="L797" s="908"/>
      <c r="M797" s="878"/>
      <c r="N797" s="908"/>
      <c r="O797" s="907" t="s">
        <v>3452</v>
      </c>
      <c r="P797" s="903">
        <v>2015</v>
      </c>
      <c r="Q797" s="878"/>
      <c r="R797" s="878"/>
      <c r="S797" s="878"/>
      <c r="T797" s="903" t="s">
        <v>12</v>
      </c>
      <c r="U797" s="879">
        <f>191800000-9160000</f>
        <v>182640000</v>
      </c>
      <c r="V797" s="903"/>
      <c r="W797" s="931"/>
      <c r="X797" s="971"/>
      <c r="Y797" s="884" t="str">
        <f t="shared" si="238"/>
        <v>04.14.01</v>
      </c>
      <c r="Z797" s="884" t="str">
        <f t="shared" si="239"/>
        <v>Bangunan Air Irigasi</v>
      </c>
      <c r="AA797" s="884">
        <f t="shared" si="240"/>
        <v>50</v>
      </c>
      <c r="AB797" s="868">
        <f t="shared" si="241"/>
        <v>3652800</v>
      </c>
      <c r="AC797" s="885">
        <f t="shared" si="242"/>
        <v>0</v>
      </c>
      <c r="AD797" s="868">
        <f t="shared" si="243"/>
        <v>0</v>
      </c>
      <c r="AE797" s="868">
        <v>0</v>
      </c>
      <c r="AF797" s="868">
        <f t="shared" si="245"/>
        <v>3652800</v>
      </c>
      <c r="AG797" s="868">
        <f t="shared" si="246"/>
        <v>3652800</v>
      </c>
      <c r="AH797" s="868">
        <f t="shared" si="247"/>
        <v>3652800</v>
      </c>
      <c r="AI797" s="886">
        <f t="shared" si="248"/>
        <v>3652800</v>
      </c>
      <c r="AJ797" s="886">
        <f t="shared" si="237"/>
        <v>14611200</v>
      </c>
      <c r="AK797" s="868">
        <f t="shared" si="249"/>
        <v>168028800</v>
      </c>
    </row>
    <row r="798" spans="1:37" s="887" customFormat="1" ht="35.25" customHeight="1" x14ac:dyDescent="0.2">
      <c r="E798" s="884" t="s">
        <v>2306</v>
      </c>
      <c r="F798" s="888"/>
      <c r="G798" s="878" t="s">
        <v>1558</v>
      </c>
      <c r="H798" s="879"/>
      <c r="I798" s="930" t="s">
        <v>4199</v>
      </c>
      <c r="J798" s="878"/>
      <c r="K798" s="903"/>
      <c r="L798" s="908"/>
      <c r="M798" s="878"/>
      <c r="N798" s="908"/>
      <c r="O798" s="907" t="s">
        <v>3453</v>
      </c>
      <c r="P798" s="903">
        <v>2015</v>
      </c>
      <c r="Q798" s="878"/>
      <c r="R798" s="878"/>
      <c r="S798" s="878"/>
      <c r="T798" s="903" t="s">
        <v>12</v>
      </c>
      <c r="U798" s="879">
        <f>190950000-9160000</f>
        <v>181790000</v>
      </c>
      <c r="V798" s="903"/>
      <c r="W798" s="931"/>
      <c r="X798" s="971"/>
      <c r="Y798" s="884" t="str">
        <f t="shared" si="238"/>
        <v>04.14.01</v>
      </c>
      <c r="Z798" s="884" t="str">
        <f t="shared" si="239"/>
        <v>Bangunan Air Irigasi</v>
      </c>
      <c r="AA798" s="884">
        <f t="shared" si="240"/>
        <v>50</v>
      </c>
      <c r="AB798" s="868">
        <f t="shared" si="241"/>
        <v>3635800</v>
      </c>
      <c r="AC798" s="885">
        <f t="shared" si="242"/>
        <v>0</v>
      </c>
      <c r="AD798" s="868">
        <f t="shared" si="243"/>
        <v>0</v>
      </c>
      <c r="AE798" s="868">
        <v>0</v>
      </c>
      <c r="AF798" s="868">
        <f t="shared" si="245"/>
        <v>3635800</v>
      </c>
      <c r="AG798" s="868">
        <f t="shared" si="246"/>
        <v>3635800</v>
      </c>
      <c r="AH798" s="868">
        <f t="shared" si="247"/>
        <v>3635800</v>
      </c>
      <c r="AI798" s="886">
        <f t="shared" si="248"/>
        <v>3635800</v>
      </c>
      <c r="AJ798" s="886">
        <f t="shared" si="237"/>
        <v>14543200</v>
      </c>
      <c r="AK798" s="868">
        <f t="shared" si="249"/>
        <v>167246800</v>
      </c>
    </row>
    <row r="799" spans="1:37" s="887" customFormat="1" ht="35.25" customHeight="1" x14ac:dyDescent="0.2">
      <c r="E799" s="884" t="s">
        <v>2306</v>
      </c>
      <c r="F799" s="888"/>
      <c r="G799" s="878" t="s">
        <v>1559</v>
      </c>
      <c r="H799" s="879"/>
      <c r="I799" s="930" t="s">
        <v>4199</v>
      </c>
      <c r="J799" s="878"/>
      <c r="K799" s="903"/>
      <c r="L799" s="908"/>
      <c r="M799" s="878"/>
      <c r="N799" s="908"/>
      <c r="O799" s="907" t="s">
        <v>3454</v>
      </c>
      <c r="P799" s="903">
        <v>2015</v>
      </c>
      <c r="Q799" s="878"/>
      <c r="R799" s="878"/>
      <c r="S799" s="878"/>
      <c r="T799" s="903" t="s">
        <v>12</v>
      </c>
      <c r="U799" s="879">
        <f>190115000-9160000</f>
        <v>180955000</v>
      </c>
      <c r="V799" s="903"/>
      <c r="W799" s="931"/>
      <c r="X799" s="971"/>
      <c r="Y799" s="884" t="str">
        <f t="shared" si="238"/>
        <v>04.14.01</v>
      </c>
      <c r="Z799" s="884" t="str">
        <f t="shared" si="239"/>
        <v>Bangunan Air Irigasi</v>
      </c>
      <c r="AA799" s="884">
        <f t="shared" si="240"/>
        <v>50</v>
      </c>
      <c r="AB799" s="868">
        <f t="shared" si="241"/>
        <v>3619100</v>
      </c>
      <c r="AC799" s="885">
        <f t="shared" si="242"/>
        <v>0</v>
      </c>
      <c r="AD799" s="868">
        <f t="shared" si="243"/>
        <v>0</v>
      </c>
      <c r="AE799" s="868">
        <v>0</v>
      </c>
      <c r="AF799" s="868">
        <f t="shared" si="245"/>
        <v>3619100</v>
      </c>
      <c r="AG799" s="868">
        <f t="shared" si="246"/>
        <v>3619100</v>
      </c>
      <c r="AH799" s="868">
        <f t="shared" si="247"/>
        <v>3619100</v>
      </c>
      <c r="AI799" s="886">
        <f t="shared" si="248"/>
        <v>3619100</v>
      </c>
      <c r="AJ799" s="886">
        <f t="shared" si="237"/>
        <v>14476400</v>
      </c>
      <c r="AK799" s="868">
        <f t="shared" si="249"/>
        <v>166478600</v>
      </c>
    </row>
    <row r="800" spans="1:37" s="932" customFormat="1" ht="35.25" customHeight="1" x14ac:dyDescent="0.2">
      <c r="E800" s="884" t="s">
        <v>2306</v>
      </c>
      <c r="F800" s="933"/>
      <c r="G800" s="878" t="s">
        <v>1560</v>
      </c>
      <c r="H800" s="879"/>
      <c r="I800" s="930" t="s">
        <v>4199</v>
      </c>
      <c r="J800" s="878"/>
      <c r="K800" s="903"/>
      <c r="L800" s="908"/>
      <c r="M800" s="878"/>
      <c r="N800" s="908"/>
      <c r="O800" s="907" t="s">
        <v>3455</v>
      </c>
      <c r="P800" s="903">
        <v>2015</v>
      </c>
      <c r="Q800" s="878"/>
      <c r="R800" s="878"/>
      <c r="S800" s="878"/>
      <c r="T800" s="903" t="s">
        <v>12</v>
      </c>
      <c r="U800" s="879">
        <f>191500000-9160000</f>
        <v>182340000</v>
      </c>
      <c r="V800" s="903"/>
      <c r="W800" s="931"/>
      <c r="X800" s="971"/>
      <c r="Y800" s="884" t="str">
        <f t="shared" si="238"/>
        <v>04.14.01</v>
      </c>
      <c r="Z800" s="884" t="str">
        <f t="shared" si="239"/>
        <v>Bangunan Air Irigasi</v>
      </c>
      <c r="AA800" s="884">
        <f t="shared" si="240"/>
        <v>50</v>
      </c>
      <c r="AB800" s="868">
        <f t="shared" si="241"/>
        <v>3646800</v>
      </c>
      <c r="AC800" s="885">
        <f t="shared" si="242"/>
        <v>0</v>
      </c>
      <c r="AD800" s="868">
        <f t="shared" si="243"/>
        <v>0</v>
      </c>
      <c r="AE800" s="868">
        <v>0</v>
      </c>
      <c r="AF800" s="868">
        <f t="shared" si="245"/>
        <v>3646800</v>
      </c>
      <c r="AG800" s="868">
        <f t="shared" si="246"/>
        <v>3646800</v>
      </c>
      <c r="AH800" s="868">
        <f t="shared" si="247"/>
        <v>3646800</v>
      </c>
      <c r="AI800" s="886">
        <f t="shared" si="248"/>
        <v>3646800</v>
      </c>
      <c r="AJ800" s="886">
        <f t="shared" si="237"/>
        <v>14587200</v>
      </c>
      <c r="AK800" s="868">
        <f t="shared" si="249"/>
        <v>167752800</v>
      </c>
    </row>
    <row r="801" spans="5:37" s="887" customFormat="1" ht="35.25" customHeight="1" x14ac:dyDescent="0.2">
      <c r="E801" s="884" t="s">
        <v>2306</v>
      </c>
      <c r="F801" s="888"/>
      <c r="G801" s="878" t="s">
        <v>1561</v>
      </c>
      <c r="H801" s="879"/>
      <c r="I801" s="930" t="s">
        <v>4199</v>
      </c>
      <c r="J801" s="878"/>
      <c r="K801" s="903"/>
      <c r="L801" s="908"/>
      <c r="M801" s="878"/>
      <c r="N801" s="908"/>
      <c r="O801" s="907" t="s">
        <v>3456</v>
      </c>
      <c r="P801" s="903">
        <v>2015</v>
      </c>
      <c r="Q801" s="878"/>
      <c r="R801" s="878"/>
      <c r="S801" s="878"/>
      <c r="T801" s="903" t="s">
        <v>12</v>
      </c>
      <c r="U801" s="879">
        <f>191300000-9160000</f>
        <v>182140000</v>
      </c>
      <c r="V801" s="903"/>
      <c r="W801" s="931"/>
      <c r="X801" s="971"/>
      <c r="Y801" s="884" t="str">
        <f t="shared" si="238"/>
        <v>04.14.01</v>
      </c>
      <c r="Z801" s="884" t="str">
        <f t="shared" si="239"/>
        <v>Bangunan Air Irigasi</v>
      </c>
      <c r="AA801" s="884">
        <f t="shared" si="240"/>
        <v>50</v>
      </c>
      <c r="AB801" s="868">
        <f t="shared" si="241"/>
        <v>3642800</v>
      </c>
      <c r="AC801" s="885">
        <f t="shared" si="242"/>
        <v>0</v>
      </c>
      <c r="AD801" s="868">
        <f t="shared" si="243"/>
        <v>0</v>
      </c>
      <c r="AE801" s="868">
        <v>0</v>
      </c>
      <c r="AF801" s="868">
        <f t="shared" si="245"/>
        <v>3642800</v>
      </c>
      <c r="AG801" s="868">
        <f t="shared" si="246"/>
        <v>3642800</v>
      </c>
      <c r="AH801" s="868">
        <f t="shared" si="247"/>
        <v>3642800</v>
      </c>
      <c r="AI801" s="886">
        <f t="shared" si="248"/>
        <v>3642800</v>
      </c>
      <c r="AJ801" s="886">
        <f t="shared" si="237"/>
        <v>14571200</v>
      </c>
      <c r="AK801" s="868">
        <f t="shared" si="249"/>
        <v>167568800</v>
      </c>
    </row>
    <row r="802" spans="5:37" s="887" customFormat="1" ht="35.25" customHeight="1" x14ac:dyDescent="0.2">
      <c r="E802" s="884" t="s">
        <v>2306</v>
      </c>
      <c r="F802" s="888"/>
      <c r="G802" s="878" t="s">
        <v>1562</v>
      </c>
      <c r="H802" s="879"/>
      <c r="I802" s="930" t="s">
        <v>4199</v>
      </c>
      <c r="J802" s="878"/>
      <c r="K802" s="903"/>
      <c r="L802" s="908"/>
      <c r="M802" s="878"/>
      <c r="N802" s="908"/>
      <c r="O802" s="907" t="s">
        <v>3457</v>
      </c>
      <c r="P802" s="903">
        <v>2015</v>
      </c>
      <c r="Q802" s="878"/>
      <c r="R802" s="878"/>
      <c r="S802" s="878"/>
      <c r="T802" s="903" t="s">
        <v>12</v>
      </c>
      <c r="U802" s="879">
        <f>190464000-9160000</f>
        <v>181304000</v>
      </c>
      <c r="V802" s="903"/>
      <c r="W802" s="931"/>
      <c r="X802" s="971"/>
      <c r="Y802" s="884" t="str">
        <f t="shared" si="238"/>
        <v>04.14.01</v>
      </c>
      <c r="Z802" s="884" t="str">
        <f t="shared" si="239"/>
        <v>Bangunan Air Irigasi</v>
      </c>
      <c r="AA802" s="884">
        <f t="shared" si="240"/>
        <v>50</v>
      </c>
      <c r="AB802" s="868">
        <f t="shared" si="241"/>
        <v>3626080</v>
      </c>
      <c r="AC802" s="885">
        <f t="shared" si="242"/>
        <v>0</v>
      </c>
      <c r="AD802" s="868">
        <f t="shared" si="243"/>
        <v>0</v>
      </c>
      <c r="AE802" s="868">
        <v>0</v>
      </c>
      <c r="AF802" s="868">
        <f t="shared" si="245"/>
        <v>3626080</v>
      </c>
      <c r="AG802" s="868">
        <f t="shared" si="246"/>
        <v>3626080</v>
      </c>
      <c r="AH802" s="868">
        <f t="shared" si="247"/>
        <v>3626080</v>
      </c>
      <c r="AI802" s="886">
        <f t="shared" si="248"/>
        <v>3626080</v>
      </c>
      <c r="AJ802" s="886">
        <f t="shared" si="237"/>
        <v>14504320</v>
      </c>
      <c r="AK802" s="868">
        <f t="shared" si="249"/>
        <v>166799680</v>
      </c>
    </row>
    <row r="803" spans="5:37" s="932" customFormat="1" ht="35.25" customHeight="1" x14ac:dyDescent="0.2">
      <c r="E803" s="884" t="s">
        <v>2306</v>
      </c>
      <c r="F803" s="933"/>
      <c r="G803" s="878" t="s">
        <v>1563</v>
      </c>
      <c r="H803" s="879"/>
      <c r="I803" s="930" t="s">
        <v>4199</v>
      </c>
      <c r="J803" s="878"/>
      <c r="K803" s="903"/>
      <c r="L803" s="908"/>
      <c r="M803" s="878"/>
      <c r="N803" s="908"/>
      <c r="O803" s="907" t="s">
        <v>3458</v>
      </c>
      <c r="P803" s="903">
        <v>2015</v>
      </c>
      <c r="Q803" s="878"/>
      <c r="R803" s="878"/>
      <c r="S803" s="878"/>
      <c r="T803" s="903" t="s">
        <v>12</v>
      </c>
      <c r="U803" s="879">
        <f>191684000-9160000</f>
        <v>182524000</v>
      </c>
      <c r="V803" s="903"/>
      <c r="W803" s="931"/>
      <c r="X803" s="971"/>
      <c r="Y803" s="884" t="str">
        <f t="shared" si="238"/>
        <v>04.14.01</v>
      </c>
      <c r="Z803" s="884" t="str">
        <f t="shared" si="239"/>
        <v>Bangunan Air Irigasi</v>
      </c>
      <c r="AA803" s="884">
        <f t="shared" si="240"/>
        <v>50</v>
      </c>
      <c r="AB803" s="868">
        <f t="shared" si="241"/>
        <v>3650480</v>
      </c>
      <c r="AC803" s="885">
        <f t="shared" si="242"/>
        <v>0</v>
      </c>
      <c r="AD803" s="868">
        <f t="shared" si="243"/>
        <v>0</v>
      </c>
      <c r="AE803" s="868">
        <v>0</v>
      </c>
      <c r="AF803" s="868">
        <f t="shared" si="245"/>
        <v>3650480</v>
      </c>
      <c r="AG803" s="868">
        <f t="shared" si="246"/>
        <v>3650480</v>
      </c>
      <c r="AH803" s="868">
        <f t="shared" si="247"/>
        <v>3650480</v>
      </c>
      <c r="AI803" s="886">
        <f t="shared" si="248"/>
        <v>3650480</v>
      </c>
      <c r="AJ803" s="886">
        <f t="shared" si="237"/>
        <v>14601920</v>
      </c>
      <c r="AK803" s="868">
        <f t="shared" si="249"/>
        <v>167922080</v>
      </c>
    </row>
    <row r="804" spans="5:37" s="887" customFormat="1" ht="35.25" customHeight="1" x14ac:dyDescent="0.2">
      <c r="E804" s="884" t="s">
        <v>2306</v>
      </c>
      <c r="F804" s="888"/>
      <c r="G804" s="878" t="s">
        <v>1564</v>
      </c>
      <c r="H804" s="879"/>
      <c r="I804" s="930" t="s">
        <v>4199</v>
      </c>
      <c r="J804" s="878"/>
      <c r="K804" s="903"/>
      <c r="L804" s="908"/>
      <c r="M804" s="878"/>
      <c r="N804" s="908"/>
      <c r="O804" s="907" t="s">
        <v>3459</v>
      </c>
      <c r="P804" s="903">
        <v>2015</v>
      </c>
      <c r="Q804" s="878"/>
      <c r="R804" s="878"/>
      <c r="S804" s="878"/>
      <c r="T804" s="903" t="s">
        <v>12</v>
      </c>
      <c r="U804" s="879">
        <f>192092000-9160000</f>
        <v>182932000</v>
      </c>
      <c r="V804" s="903"/>
      <c r="W804" s="931"/>
      <c r="X804" s="971"/>
      <c r="Y804" s="884" t="str">
        <f t="shared" si="238"/>
        <v>04.14.01</v>
      </c>
      <c r="Z804" s="884" t="str">
        <f t="shared" si="239"/>
        <v>Bangunan Air Irigasi</v>
      </c>
      <c r="AA804" s="884">
        <f t="shared" si="240"/>
        <v>50</v>
      </c>
      <c r="AB804" s="868">
        <f t="shared" si="241"/>
        <v>3658640</v>
      </c>
      <c r="AC804" s="885">
        <f t="shared" si="242"/>
        <v>0</v>
      </c>
      <c r="AD804" s="868">
        <f t="shared" si="243"/>
        <v>0</v>
      </c>
      <c r="AE804" s="868">
        <v>0</v>
      </c>
      <c r="AF804" s="868">
        <f t="shared" si="245"/>
        <v>3658640</v>
      </c>
      <c r="AG804" s="868">
        <f t="shared" si="246"/>
        <v>3658640</v>
      </c>
      <c r="AH804" s="868">
        <f t="shared" si="247"/>
        <v>3658640</v>
      </c>
      <c r="AI804" s="886">
        <f t="shared" si="248"/>
        <v>3658640</v>
      </c>
      <c r="AJ804" s="886">
        <f t="shared" si="237"/>
        <v>14634560</v>
      </c>
      <c r="AK804" s="868">
        <f t="shared" si="249"/>
        <v>168297440</v>
      </c>
    </row>
    <row r="805" spans="5:37" s="887" customFormat="1" ht="35.25" customHeight="1" x14ac:dyDescent="0.2">
      <c r="E805" s="884" t="s">
        <v>2306</v>
      </c>
      <c r="F805" s="888"/>
      <c r="G805" s="878" t="s">
        <v>1565</v>
      </c>
      <c r="H805" s="879"/>
      <c r="I805" s="930" t="s">
        <v>4199</v>
      </c>
      <c r="J805" s="878"/>
      <c r="K805" s="903"/>
      <c r="L805" s="908"/>
      <c r="M805" s="878"/>
      <c r="N805" s="908"/>
      <c r="O805" s="907" t="s">
        <v>3460</v>
      </c>
      <c r="P805" s="903">
        <v>2015</v>
      </c>
      <c r="Q805" s="878"/>
      <c r="R805" s="878"/>
      <c r="S805" s="878"/>
      <c r="T805" s="903" t="s">
        <v>12</v>
      </c>
      <c r="U805" s="879">
        <f>190122000-9160000</f>
        <v>180962000</v>
      </c>
      <c r="V805" s="903"/>
      <c r="W805" s="931"/>
      <c r="X805" s="971"/>
      <c r="Y805" s="884" t="str">
        <f t="shared" si="238"/>
        <v>04.14.01</v>
      </c>
      <c r="Z805" s="884" t="str">
        <f t="shared" si="239"/>
        <v>Bangunan Air Irigasi</v>
      </c>
      <c r="AA805" s="884">
        <f t="shared" si="240"/>
        <v>50</v>
      </c>
      <c r="AB805" s="868">
        <f t="shared" si="241"/>
        <v>3619240</v>
      </c>
      <c r="AC805" s="885">
        <f t="shared" si="242"/>
        <v>0</v>
      </c>
      <c r="AD805" s="868">
        <f t="shared" si="243"/>
        <v>0</v>
      </c>
      <c r="AE805" s="868">
        <v>0</v>
      </c>
      <c r="AF805" s="868">
        <f t="shared" si="245"/>
        <v>3619240</v>
      </c>
      <c r="AG805" s="868">
        <f t="shared" si="246"/>
        <v>3619240</v>
      </c>
      <c r="AH805" s="868">
        <f t="shared" si="247"/>
        <v>3619240</v>
      </c>
      <c r="AI805" s="886">
        <f t="shared" si="248"/>
        <v>3619240</v>
      </c>
      <c r="AJ805" s="886">
        <f t="shared" si="237"/>
        <v>14476960</v>
      </c>
      <c r="AK805" s="868">
        <f t="shared" si="249"/>
        <v>166485040</v>
      </c>
    </row>
    <row r="806" spans="5:37" s="887" customFormat="1" ht="35.25" customHeight="1" x14ac:dyDescent="0.2">
      <c r="E806" s="884" t="s">
        <v>2306</v>
      </c>
      <c r="F806" s="888"/>
      <c r="G806" s="878" t="s">
        <v>1566</v>
      </c>
      <c r="H806" s="879"/>
      <c r="I806" s="930" t="s">
        <v>4199</v>
      </c>
      <c r="J806" s="878"/>
      <c r="K806" s="903"/>
      <c r="L806" s="908"/>
      <c r="M806" s="878"/>
      <c r="N806" s="908"/>
      <c r="O806" s="907" t="s">
        <v>3461</v>
      </c>
      <c r="P806" s="903">
        <v>2015</v>
      </c>
      <c r="Q806" s="878"/>
      <c r="R806" s="878"/>
      <c r="S806" s="878"/>
      <c r="T806" s="903" t="s">
        <v>12</v>
      </c>
      <c r="U806" s="879">
        <f>190121000-9160000</f>
        <v>180961000</v>
      </c>
      <c r="V806" s="903"/>
      <c r="W806" s="931"/>
      <c r="X806" s="971"/>
      <c r="Y806" s="884" t="str">
        <f t="shared" si="238"/>
        <v>04.14.01</v>
      </c>
      <c r="Z806" s="884" t="str">
        <f t="shared" si="239"/>
        <v>Bangunan Air Irigasi</v>
      </c>
      <c r="AA806" s="884">
        <f t="shared" si="240"/>
        <v>50</v>
      </c>
      <c r="AB806" s="868">
        <f t="shared" si="241"/>
        <v>3619220</v>
      </c>
      <c r="AC806" s="885">
        <f t="shared" si="242"/>
        <v>0</v>
      </c>
      <c r="AD806" s="868">
        <f t="shared" si="243"/>
        <v>0</v>
      </c>
      <c r="AE806" s="868">
        <v>0</v>
      </c>
      <c r="AF806" s="868">
        <f t="shared" si="245"/>
        <v>3619220</v>
      </c>
      <c r="AG806" s="868">
        <f t="shared" si="246"/>
        <v>3619220</v>
      </c>
      <c r="AH806" s="868">
        <f t="shared" si="247"/>
        <v>3619220</v>
      </c>
      <c r="AI806" s="886">
        <f t="shared" si="248"/>
        <v>3619220</v>
      </c>
      <c r="AJ806" s="886">
        <f t="shared" si="237"/>
        <v>14476880</v>
      </c>
      <c r="AK806" s="868">
        <f t="shared" si="249"/>
        <v>166484120</v>
      </c>
    </row>
    <row r="807" spans="5:37" s="887" customFormat="1" ht="35.25" customHeight="1" x14ac:dyDescent="0.2">
      <c r="E807" s="884" t="s">
        <v>2306</v>
      </c>
      <c r="F807" s="888"/>
      <c r="G807" s="878" t="s">
        <v>1567</v>
      </c>
      <c r="H807" s="879"/>
      <c r="I807" s="930" t="s">
        <v>4199</v>
      </c>
      <c r="J807" s="878"/>
      <c r="K807" s="903"/>
      <c r="L807" s="908"/>
      <c r="M807" s="878"/>
      <c r="N807" s="908"/>
      <c r="O807" s="907" t="s">
        <v>3385</v>
      </c>
      <c r="P807" s="903">
        <v>2015</v>
      </c>
      <c r="Q807" s="878"/>
      <c r="R807" s="878"/>
      <c r="S807" s="878"/>
      <c r="T807" s="903" t="s">
        <v>12</v>
      </c>
      <c r="U807" s="879">
        <f>190750000-9160000</f>
        <v>181590000</v>
      </c>
      <c r="V807" s="903"/>
      <c r="W807" s="931"/>
      <c r="X807" s="971"/>
      <c r="Y807" s="884" t="str">
        <f t="shared" si="238"/>
        <v>04.14.01</v>
      </c>
      <c r="Z807" s="884" t="str">
        <f t="shared" si="239"/>
        <v>Bangunan Air Irigasi</v>
      </c>
      <c r="AA807" s="884">
        <f t="shared" si="240"/>
        <v>50</v>
      </c>
      <c r="AB807" s="868">
        <f t="shared" si="241"/>
        <v>3631800</v>
      </c>
      <c r="AC807" s="885">
        <f t="shared" si="242"/>
        <v>0</v>
      </c>
      <c r="AD807" s="868">
        <f t="shared" si="243"/>
        <v>0</v>
      </c>
      <c r="AE807" s="868">
        <v>0</v>
      </c>
      <c r="AF807" s="868">
        <f t="shared" si="245"/>
        <v>3631800</v>
      </c>
      <c r="AG807" s="868">
        <f t="shared" si="246"/>
        <v>3631800</v>
      </c>
      <c r="AH807" s="868">
        <f t="shared" si="247"/>
        <v>3631800</v>
      </c>
      <c r="AI807" s="886">
        <f t="shared" si="248"/>
        <v>3631800</v>
      </c>
      <c r="AJ807" s="886">
        <f t="shared" si="237"/>
        <v>14527200</v>
      </c>
      <c r="AK807" s="868">
        <f t="shared" si="249"/>
        <v>167062800</v>
      </c>
    </row>
    <row r="808" spans="5:37" s="887" customFormat="1" ht="35.25" customHeight="1" x14ac:dyDescent="0.2">
      <c r="E808" s="884" t="s">
        <v>2306</v>
      </c>
      <c r="F808" s="888"/>
      <c r="G808" s="878" t="s">
        <v>1568</v>
      </c>
      <c r="H808" s="879"/>
      <c r="I808" s="930" t="s">
        <v>4199</v>
      </c>
      <c r="J808" s="878"/>
      <c r="K808" s="903"/>
      <c r="L808" s="908"/>
      <c r="M808" s="878"/>
      <c r="N808" s="908"/>
      <c r="O808" s="907" t="s">
        <v>3462</v>
      </c>
      <c r="P808" s="903">
        <v>2015</v>
      </c>
      <c r="Q808" s="878"/>
      <c r="R808" s="878"/>
      <c r="S808" s="878"/>
      <c r="T808" s="903" t="s">
        <v>12</v>
      </c>
      <c r="U808" s="879">
        <f>189305000-9160000</f>
        <v>180145000</v>
      </c>
      <c r="V808" s="903"/>
      <c r="W808" s="931"/>
      <c r="X808" s="971"/>
      <c r="Y808" s="884" t="str">
        <f t="shared" si="238"/>
        <v>04.14.01</v>
      </c>
      <c r="Z808" s="884" t="str">
        <f t="shared" si="239"/>
        <v>Bangunan Air Irigasi</v>
      </c>
      <c r="AA808" s="884">
        <f t="shared" si="240"/>
        <v>50</v>
      </c>
      <c r="AB808" s="868">
        <f t="shared" si="241"/>
        <v>3602900</v>
      </c>
      <c r="AC808" s="885">
        <f t="shared" si="242"/>
        <v>0</v>
      </c>
      <c r="AD808" s="868">
        <f t="shared" si="243"/>
        <v>0</v>
      </c>
      <c r="AE808" s="868">
        <v>0</v>
      </c>
      <c r="AF808" s="868">
        <f t="shared" si="245"/>
        <v>3602900</v>
      </c>
      <c r="AG808" s="868">
        <f t="shared" si="246"/>
        <v>3602900</v>
      </c>
      <c r="AH808" s="868">
        <f t="shared" si="247"/>
        <v>3602900</v>
      </c>
      <c r="AI808" s="886">
        <f t="shared" si="248"/>
        <v>3602900</v>
      </c>
      <c r="AJ808" s="886">
        <f t="shared" si="237"/>
        <v>14411600</v>
      </c>
      <c r="AK808" s="868">
        <f t="shared" si="249"/>
        <v>165733400</v>
      </c>
    </row>
    <row r="809" spans="5:37" s="887" customFormat="1" ht="35.25" customHeight="1" x14ac:dyDescent="0.2">
      <c r="E809" s="884" t="s">
        <v>2306</v>
      </c>
      <c r="F809" s="888"/>
      <c r="G809" s="878" t="s">
        <v>1569</v>
      </c>
      <c r="H809" s="879"/>
      <c r="I809" s="930" t="s">
        <v>4199</v>
      </c>
      <c r="J809" s="878"/>
      <c r="K809" s="903"/>
      <c r="L809" s="908"/>
      <c r="M809" s="878"/>
      <c r="N809" s="908"/>
      <c r="O809" s="907" t="s">
        <v>3463</v>
      </c>
      <c r="P809" s="903">
        <v>2015</v>
      </c>
      <c r="Q809" s="878"/>
      <c r="R809" s="878"/>
      <c r="S809" s="878"/>
      <c r="T809" s="903" t="s">
        <v>12</v>
      </c>
      <c r="U809" s="879">
        <f>190564000-9160000</f>
        <v>181404000</v>
      </c>
      <c r="V809" s="903"/>
      <c r="W809" s="931"/>
      <c r="X809" s="971"/>
      <c r="Y809" s="884" t="str">
        <f t="shared" si="238"/>
        <v>04.14.01</v>
      </c>
      <c r="Z809" s="884" t="str">
        <f t="shared" si="239"/>
        <v>Bangunan Air Irigasi</v>
      </c>
      <c r="AA809" s="884">
        <f t="shared" si="240"/>
        <v>50</v>
      </c>
      <c r="AB809" s="868">
        <f t="shared" si="241"/>
        <v>3628080</v>
      </c>
      <c r="AC809" s="885">
        <f t="shared" si="242"/>
        <v>0</v>
      </c>
      <c r="AD809" s="868">
        <f t="shared" si="243"/>
        <v>0</v>
      </c>
      <c r="AE809" s="868">
        <v>0</v>
      </c>
      <c r="AF809" s="868">
        <f t="shared" si="245"/>
        <v>3628080</v>
      </c>
      <c r="AG809" s="868">
        <f t="shared" si="246"/>
        <v>3628080</v>
      </c>
      <c r="AH809" s="868">
        <f t="shared" si="247"/>
        <v>3628080</v>
      </c>
      <c r="AI809" s="886">
        <f t="shared" si="248"/>
        <v>3628080</v>
      </c>
      <c r="AJ809" s="886">
        <f t="shared" si="237"/>
        <v>14512320</v>
      </c>
      <c r="AK809" s="868">
        <f t="shared" si="249"/>
        <v>166891680</v>
      </c>
    </row>
    <row r="810" spans="5:37" s="887" customFormat="1" ht="35.25" customHeight="1" x14ac:dyDescent="0.2">
      <c r="E810" s="884" t="s">
        <v>2306</v>
      </c>
      <c r="F810" s="888"/>
      <c r="G810" s="878" t="s">
        <v>1570</v>
      </c>
      <c r="H810" s="879"/>
      <c r="I810" s="930" t="s">
        <v>4199</v>
      </c>
      <c r="J810" s="878"/>
      <c r="K810" s="903"/>
      <c r="L810" s="908"/>
      <c r="M810" s="878"/>
      <c r="N810" s="908"/>
      <c r="O810" s="907" t="s">
        <v>3464</v>
      </c>
      <c r="P810" s="903">
        <v>2015</v>
      </c>
      <c r="Q810" s="878"/>
      <c r="R810" s="878"/>
      <c r="S810" s="878"/>
      <c r="T810" s="903" t="s">
        <v>12</v>
      </c>
      <c r="U810" s="879">
        <f>189931000-9160000</f>
        <v>180771000</v>
      </c>
      <c r="V810" s="903"/>
      <c r="W810" s="931"/>
      <c r="X810" s="971"/>
      <c r="Y810" s="884" t="str">
        <f t="shared" si="238"/>
        <v>04.14.01</v>
      </c>
      <c r="Z810" s="884" t="str">
        <f t="shared" si="239"/>
        <v>Bangunan Air Irigasi</v>
      </c>
      <c r="AA810" s="884">
        <f t="shared" si="240"/>
        <v>50</v>
      </c>
      <c r="AB810" s="868">
        <f t="shared" si="241"/>
        <v>3615420</v>
      </c>
      <c r="AC810" s="885">
        <f t="shared" si="242"/>
        <v>0</v>
      </c>
      <c r="AD810" s="868">
        <f t="shared" si="243"/>
        <v>0</v>
      </c>
      <c r="AE810" s="868">
        <v>0</v>
      </c>
      <c r="AF810" s="868">
        <f t="shared" si="245"/>
        <v>3615420</v>
      </c>
      <c r="AG810" s="868">
        <f t="shared" si="246"/>
        <v>3615420</v>
      </c>
      <c r="AH810" s="868">
        <f t="shared" si="247"/>
        <v>3615420</v>
      </c>
      <c r="AI810" s="886">
        <f t="shared" si="248"/>
        <v>3615420</v>
      </c>
      <c r="AJ810" s="886">
        <f t="shared" si="237"/>
        <v>14461680</v>
      </c>
      <c r="AK810" s="868">
        <f t="shared" si="249"/>
        <v>166309320</v>
      </c>
    </row>
    <row r="811" spans="5:37" s="887" customFormat="1" ht="35.25" customHeight="1" x14ac:dyDescent="0.2">
      <c r="E811" s="884" t="s">
        <v>2306</v>
      </c>
      <c r="F811" s="888"/>
      <c r="G811" s="878" t="s">
        <v>1571</v>
      </c>
      <c r="H811" s="879"/>
      <c r="I811" s="930" t="s">
        <v>4199</v>
      </c>
      <c r="J811" s="878"/>
      <c r="K811" s="903"/>
      <c r="L811" s="908"/>
      <c r="M811" s="878"/>
      <c r="N811" s="908"/>
      <c r="O811" s="907" t="s">
        <v>2610</v>
      </c>
      <c r="P811" s="903">
        <v>2015</v>
      </c>
      <c r="Q811" s="878"/>
      <c r="R811" s="878"/>
      <c r="S811" s="878"/>
      <c r="T811" s="903" t="s">
        <v>12</v>
      </c>
      <c r="U811" s="879">
        <f>183200000-9160000</f>
        <v>174040000</v>
      </c>
      <c r="V811" s="903"/>
      <c r="W811" s="931"/>
      <c r="X811" s="971"/>
      <c r="Y811" s="884" t="str">
        <f t="shared" si="238"/>
        <v>04.14.01</v>
      </c>
      <c r="Z811" s="884" t="str">
        <f t="shared" si="239"/>
        <v>Bangunan Air Irigasi</v>
      </c>
      <c r="AA811" s="884">
        <f t="shared" si="240"/>
        <v>50</v>
      </c>
      <c r="AB811" s="868">
        <f t="shared" si="241"/>
        <v>3480800</v>
      </c>
      <c r="AC811" s="885">
        <f t="shared" si="242"/>
        <v>0</v>
      </c>
      <c r="AD811" s="868">
        <f t="shared" si="243"/>
        <v>0</v>
      </c>
      <c r="AE811" s="868">
        <v>0</v>
      </c>
      <c r="AF811" s="868">
        <f t="shared" si="245"/>
        <v>3480800</v>
      </c>
      <c r="AG811" s="868">
        <f t="shared" si="246"/>
        <v>3480800</v>
      </c>
      <c r="AH811" s="868">
        <f t="shared" si="247"/>
        <v>3480800</v>
      </c>
      <c r="AI811" s="886">
        <f t="shared" si="248"/>
        <v>3480800</v>
      </c>
      <c r="AJ811" s="886">
        <f t="shared" si="237"/>
        <v>13923200</v>
      </c>
      <c r="AK811" s="868">
        <f t="shared" si="249"/>
        <v>160116800</v>
      </c>
    </row>
    <row r="812" spans="5:37" s="887" customFormat="1" ht="35.25" customHeight="1" x14ac:dyDescent="0.2">
      <c r="E812" s="884" t="s">
        <v>2306</v>
      </c>
      <c r="F812" s="888"/>
      <c r="G812" s="878" t="s">
        <v>1572</v>
      </c>
      <c r="H812" s="879"/>
      <c r="I812" s="930" t="s">
        <v>4199</v>
      </c>
      <c r="J812" s="878"/>
      <c r="K812" s="903"/>
      <c r="L812" s="908"/>
      <c r="M812" s="878"/>
      <c r="N812" s="908"/>
      <c r="O812" s="907" t="s">
        <v>3465</v>
      </c>
      <c r="P812" s="903">
        <v>2015</v>
      </c>
      <c r="Q812" s="878"/>
      <c r="R812" s="878"/>
      <c r="S812" s="878"/>
      <c r="T812" s="903" t="s">
        <v>12</v>
      </c>
      <c r="U812" s="879">
        <f>189000000-9160000</f>
        <v>179840000</v>
      </c>
      <c r="V812" s="903"/>
      <c r="W812" s="931"/>
      <c r="X812" s="971"/>
      <c r="Y812" s="884" t="str">
        <f t="shared" si="238"/>
        <v>04.14.01</v>
      </c>
      <c r="Z812" s="884" t="str">
        <f t="shared" si="239"/>
        <v>Bangunan Air Irigasi</v>
      </c>
      <c r="AA812" s="884">
        <f t="shared" si="240"/>
        <v>50</v>
      </c>
      <c r="AB812" s="868">
        <f t="shared" si="241"/>
        <v>3596800</v>
      </c>
      <c r="AC812" s="885">
        <f t="shared" si="242"/>
        <v>0</v>
      </c>
      <c r="AD812" s="868">
        <f t="shared" si="243"/>
        <v>0</v>
      </c>
      <c r="AE812" s="868">
        <v>0</v>
      </c>
      <c r="AF812" s="868">
        <f t="shared" si="245"/>
        <v>3596800</v>
      </c>
      <c r="AG812" s="868">
        <f t="shared" si="246"/>
        <v>3596800</v>
      </c>
      <c r="AH812" s="868">
        <f t="shared" si="247"/>
        <v>3596800</v>
      </c>
      <c r="AI812" s="886">
        <f t="shared" si="248"/>
        <v>3596800</v>
      </c>
      <c r="AJ812" s="886">
        <f t="shared" ref="AJ812:AJ875" si="250">SUM(AD812:AI812)</f>
        <v>14387200</v>
      </c>
      <c r="AK812" s="868">
        <f t="shared" si="249"/>
        <v>165452800</v>
      </c>
    </row>
    <row r="813" spans="5:37" s="887" customFormat="1" ht="35.25" customHeight="1" x14ac:dyDescent="0.2">
      <c r="E813" s="884" t="s">
        <v>2306</v>
      </c>
      <c r="F813" s="888"/>
      <c r="G813" s="878" t="s">
        <v>1573</v>
      </c>
      <c r="H813" s="879"/>
      <c r="I813" s="930" t="s">
        <v>4199</v>
      </c>
      <c r="J813" s="878"/>
      <c r="K813" s="903"/>
      <c r="L813" s="908"/>
      <c r="M813" s="878"/>
      <c r="N813" s="908"/>
      <c r="O813" s="907" t="s">
        <v>3466</v>
      </c>
      <c r="P813" s="903">
        <v>2015</v>
      </c>
      <c r="Q813" s="878"/>
      <c r="R813" s="878"/>
      <c r="S813" s="878"/>
      <c r="T813" s="903" t="s">
        <v>12</v>
      </c>
      <c r="U813" s="879">
        <f>189300000-9160000</f>
        <v>180140000</v>
      </c>
      <c r="V813" s="903"/>
      <c r="W813" s="931"/>
      <c r="X813" s="971"/>
      <c r="Y813" s="884" t="str">
        <f t="shared" ref="Y813:Y876" si="251">LEFT(I813,8)</f>
        <v>04.14.01</v>
      </c>
      <c r="Z813" s="884" t="str">
        <f t="shared" si="239"/>
        <v>Bangunan Air Irigasi</v>
      </c>
      <c r="AA813" s="884">
        <f t="shared" si="240"/>
        <v>50</v>
      </c>
      <c r="AB813" s="868">
        <f t="shared" si="241"/>
        <v>3602800</v>
      </c>
      <c r="AC813" s="885">
        <f t="shared" si="242"/>
        <v>0</v>
      </c>
      <c r="AD813" s="868">
        <f t="shared" si="243"/>
        <v>0</v>
      </c>
      <c r="AE813" s="868">
        <v>0</v>
      </c>
      <c r="AF813" s="868">
        <f t="shared" si="245"/>
        <v>3602800</v>
      </c>
      <c r="AG813" s="868">
        <f t="shared" si="246"/>
        <v>3602800</v>
      </c>
      <c r="AH813" s="868">
        <f t="shared" si="247"/>
        <v>3602800</v>
      </c>
      <c r="AI813" s="886">
        <f t="shared" si="248"/>
        <v>3602800</v>
      </c>
      <c r="AJ813" s="886">
        <f t="shared" si="250"/>
        <v>14411200</v>
      </c>
      <c r="AK813" s="868">
        <f t="shared" si="249"/>
        <v>165728800</v>
      </c>
    </row>
    <row r="814" spans="5:37" s="887" customFormat="1" ht="35.25" customHeight="1" x14ac:dyDescent="0.2">
      <c r="E814" s="884" t="s">
        <v>2306</v>
      </c>
      <c r="F814" s="888"/>
      <c r="G814" s="878" t="s">
        <v>1574</v>
      </c>
      <c r="H814" s="879"/>
      <c r="I814" s="930" t="s">
        <v>4199</v>
      </c>
      <c r="J814" s="878"/>
      <c r="K814" s="903"/>
      <c r="L814" s="908"/>
      <c r="M814" s="878"/>
      <c r="N814" s="908"/>
      <c r="O814" s="907" t="s">
        <v>3467</v>
      </c>
      <c r="P814" s="903">
        <v>2015</v>
      </c>
      <c r="Q814" s="878"/>
      <c r="R814" s="878"/>
      <c r="S814" s="878"/>
      <c r="T814" s="903" t="s">
        <v>12</v>
      </c>
      <c r="U814" s="879">
        <f>189200000-9160000</f>
        <v>180040000</v>
      </c>
      <c r="V814" s="903"/>
      <c r="W814" s="931"/>
      <c r="X814" s="971"/>
      <c r="Y814" s="884" t="str">
        <f t="shared" si="251"/>
        <v>04.14.01</v>
      </c>
      <c r="Z814" s="884" t="str">
        <f t="shared" ref="Z814:Z877" si="252">VLOOKUP(Y814,UE,3,FALSE)</f>
        <v>Bangunan Air Irigasi</v>
      </c>
      <c r="AA814" s="884">
        <f t="shared" ref="AA814:AA877" si="253">VLOOKUP(Y814,UE,4,FALSE)</f>
        <v>50</v>
      </c>
      <c r="AB814" s="868">
        <f t="shared" ref="AB814:AB877" si="254">U814/AA814</f>
        <v>3600800</v>
      </c>
      <c r="AC814" s="885">
        <f t="shared" ref="AC814:AC877" si="255">IF(2013-P814+1&gt;AA814,AA814,IF(2013-P814+1&lt;0,0,2013-P814+1))</f>
        <v>0</v>
      </c>
      <c r="AD814" s="868">
        <f t="shared" ref="AD814:AD877" si="256">IF(AC814&gt;AA814,U814,AB814*AC814)</f>
        <v>0</v>
      </c>
      <c r="AE814" s="868">
        <v>0</v>
      </c>
      <c r="AF814" s="868">
        <f t="shared" ref="AF814:AF848" si="257">IF(U814=AD814+AE814,0,AB814)</f>
        <v>3600800</v>
      </c>
      <c r="AG814" s="868">
        <f t="shared" ref="AG814:AG848" si="258">IF(U814=AD814+AE814+AF814,0,AB814)</f>
        <v>3600800</v>
      </c>
      <c r="AH814" s="868">
        <f t="shared" ref="AH814:AH877" si="259">IF(U814=AE814+AF814+AG814+AD814,0,AB814)</f>
        <v>3600800</v>
      </c>
      <c r="AI814" s="886">
        <f t="shared" ref="AI814:AI877" si="260">IF(U814=AE814+AF814+AG814+AD814+AH814,0,AB814)</f>
        <v>3600800</v>
      </c>
      <c r="AJ814" s="886">
        <f t="shared" si="250"/>
        <v>14403200</v>
      </c>
      <c r="AK814" s="868">
        <f t="shared" ref="AK814:AK877" si="261">U814-AJ814</f>
        <v>165636800</v>
      </c>
    </row>
    <row r="815" spans="5:37" s="887" customFormat="1" ht="35.25" customHeight="1" x14ac:dyDescent="0.2">
      <c r="E815" s="884" t="s">
        <v>2306</v>
      </c>
      <c r="F815" s="888"/>
      <c r="G815" s="878" t="s">
        <v>1575</v>
      </c>
      <c r="H815" s="879"/>
      <c r="I815" s="930" t="s">
        <v>4199</v>
      </c>
      <c r="J815" s="878"/>
      <c r="K815" s="903"/>
      <c r="L815" s="908"/>
      <c r="M815" s="878"/>
      <c r="N815" s="908"/>
      <c r="O815" s="907" t="s">
        <v>737</v>
      </c>
      <c r="P815" s="903">
        <v>2015</v>
      </c>
      <c r="Q815" s="878"/>
      <c r="R815" s="878"/>
      <c r="S815" s="878"/>
      <c r="T815" s="903" t="s">
        <v>12</v>
      </c>
      <c r="U815" s="879">
        <v>189350000</v>
      </c>
      <c r="V815" s="903"/>
      <c r="W815" s="931"/>
      <c r="X815" s="971"/>
      <c r="Y815" s="884" t="str">
        <f t="shared" si="251"/>
        <v>04.14.01</v>
      </c>
      <c r="Z815" s="884" t="str">
        <f t="shared" si="252"/>
        <v>Bangunan Air Irigasi</v>
      </c>
      <c r="AA815" s="884">
        <f t="shared" si="253"/>
        <v>50</v>
      </c>
      <c r="AB815" s="868">
        <f t="shared" si="254"/>
        <v>3787000</v>
      </c>
      <c r="AC815" s="885">
        <f t="shared" si="255"/>
        <v>0</v>
      </c>
      <c r="AD815" s="868">
        <f t="shared" si="256"/>
        <v>0</v>
      </c>
      <c r="AE815" s="868">
        <v>0</v>
      </c>
      <c r="AF815" s="868">
        <f t="shared" si="257"/>
        <v>3787000</v>
      </c>
      <c r="AG815" s="868">
        <f t="shared" si="258"/>
        <v>3787000</v>
      </c>
      <c r="AH815" s="868">
        <f t="shared" si="259"/>
        <v>3787000</v>
      </c>
      <c r="AI815" s="886">
        <f t="shared" si="260"/>
        <v>3787000</v>
      </c>
      <c r="AJ815" s="886">
        <f t="shared" si="250"/>
        <v>15148000</v>
      </c>
      <c r="AK815" s="868">
        <f t="shared" si="261"/>
        <v>174202000</v>
      </c>
    </row>
    <row r="816" spans="5:37" s="887" customFormat="1" ht="35.25" customHeight="1" x14ac:dyDescent="0.2">
      <c r="E816" s="884" t="s">
        <v>2306</v>
      </c>
      <c r="F816" s="888"/>
      <c r="G816" s="878" t="s">
        <v>1576</v>
      </c>
      <c r="H816" s="879"/>
      <c r="I816" s="930" t="s">
        <v>4199</v>
      </c>
      <c r="J816" s="903"/>
      <c r="K816" s="878"/>
      <c r="L816" s="908"/>
      <c r="M816" s="878"/>
      <c r="N816" s="934"/>
      <c r="O816" s="903" t="s">
        <v>3468</v>
      </c>
      <c r="P816" s="903">
        <v>2015</v>
      </c>
      <c r="Q816" s="878"/>
      <c r="R816" s="878"/>
      <c r="S816" s="878"/>
      <c r="T816" s="903" t="s">
        <v>12</v>
      </c>
      <c r="U816" s="910">
        <v>809566000</v>
      </c>
      <c r="V816" s="905"/>
      <c r="W816" s="935"/>
      <c r="X816" s="972"/>
      <c r="Y816" s="884" t="str">
        <f t="shared" si="251"/>
        <v>04.14.01</v>
      </c>
      <c r="Z816" s="884" t="str">
        <f t="shared" si="252"/>
        <v>Bangunan Air Irigasi</v>
      </c>
      <c r="AA816" s="884">
        <f t="shared" si="253"/>
        <v>50</v>
      </c>
      <c r="AB816" s="868">
        <f t="shared" si="254"/>
        <v>16191320</v>
      </c>
      <c r="AC816" s="885">
        <f t="shared" si="255"/>
        <v>0</v>
      </c>
      <c r="AD816" s="868">
        <f t="shared" si="256"/>
        <v>0</v>
      </c>
      <c r="AE816" s="868">
        <v>0</v>
      </c>
      <c r="AF816" s="868">
        <f t="shared" si="257"/>
        <v>16191320</v>
      </c>
      <c r="AG816" s="868">
        <f t="shared" si="258"/>
        <v>16191320</v>
      </c>
      <c r="AH816" s="868">
        <f t="shared" si="259"/>
        <v>16191320</v>
      </c>
      <c r="AI816" s="886">
        <f t="shared" si="260"/>
        <v>16191320</v>
      </c>
      <c r="AJ816" s="886">
        <f t="shared" si="250"/>
        <v>64765280</v>
      </c>
      <c r="AK816" s="868">
        <f t="shared" si="261"/>
        <v>744800720</v>
      </c>
    </row>
    <row r="817" spans="5:37" s="887" customFormat="1" ht="35.25" customHeight="1" x14ac:dyDescent="0.2">
      <c r="E817" s="884" t="s">
        <v>2306</v>
      </c>
      <c r="F817" s="888"/>
      <c r="G817" s="878" t="s">
        <v>1577</v>
      </c>
      <c r="H817" s="879"/>
      <c r="I817" s="930" t="s">
        <v>4199</v>
      </c>
      <c r="J817" s="903"/>
      <c r="K817" s="878"/>
      <c r="L817" s="908"/>
      <c r="M817" s="878"/>
      <c r="N817" s="934"/>
      <c r="O817" s="903" t="s">
        <v>3469</v>
      </c>
      <c r="P817" s="903">
        <v>2015</v>
      </c>
      <c r="Q817" s="878"/>
      <c r="R817" s="878"/>
      <c r="S817" s="878"/>
      <c r="T817" s="903" t="s">
        <v>12</v>
      </c>
      <c r="U817" s="910">
        <v>391901000</v>
      </c>
      <c r="V817" s="905"/>
      <c r="W817" s="935"/>
      <c r="X817" s="972"/>
      <c r="Y817" s="884" t="str">
        <f t="shared" si="251"/>
        <v>04.14.01</v>
      </c>
      <c r="Z817" s="884" t="str">
        <f t="shared" si="252"/>
        <v>Bangunan Air Irigasi</v>
      </c>
      <c r="AA817" s="884">
        <f t="shared" si="253"/>
        <v>50</v>
      </c>
      <c r="AB817" s="868">
        <f t="shared" si="254"/>
        <v>7838020</v>
      </c>
      <c r="AC817" s="885">
        <f t="shared" si="255"/>
        <v>0</v>
      </c>
      <c r="AD817" s="868">
        <f t="shared" si="256"/>
        <v>0</v>
      </c>
      <c r="AE817" s="868">
        <v>0</v>
      </c>
      <c r="AF817" s="868">
        <f t="shared" si="257"/>
        <v>7838020</v>
      </c>
      <c r="AG817" s="868">
        <f t="shared" si="258"/>
        <v>7838020</v>
      </c>
      <c r="AH817" s="868">
        <f t="shared" si="259"/>
        <v>7838020</v>
      </c>
      <c r="AI817" s="886">
        <f t="shared" si="260"/>
        <v>7838020</v>
      </c>
      <c r="AJ817" s="886">
        <f t="shared" si="250"/>
        <v>31352080</v>
      </c>
      <c r="AK817" s="868">
        <f t="shared" si="261"/>
        <v>360548920</v>
      </c>
    </row>
    <row r="818" spans="5:37" s="887" customFormat="1" ht="35.25" customHeight="1" x14ac:dyDescent="0.2">
      <c r="E818" s="884" t="s">
        <v>2306</v>
      </c>
      <c r="F818" s="888"/>
      <c r="G818" s="878" t="s">
        <v>1578</v>
      </c>
      <c r="H818" s="879"/>
      <c r="I818" s="930" t="s">
        <v>4199</v>
      </c>
      <c r="J818" s="903"/>
      <c r="K818" s="878"/>
      <c r="L818" s="908"/>
      <c r="M818" s="878"/>
      <c r="N818" s="934"/>
      <c r="O818" s="903" t="s">
        <v>3470</v>
      </c>
      <c r="P818" s="903">
        <v>2015</v>
      </c>
      <c r="Q818" s="878"/>
      <c r="R818" s="878"/>
      <c r="S818" s="878"/>
      <c r="T818" s="903" t="s">
        <v>12</v>
      </c>
      <c r="U818" s="910">
        <v>464259700</v>
      </c>
      <c r="V818" s="905"/>
      <c r="W818" s="935"/>
      <c r="X818" s="972"/>
      <c r="Y818" s="884" t="str">
        <f t="shared" si="251"/>
        <v>04.14.01</v>
      </c>
      <c r="Z818" s="884" t="str">
        <f t="shared" si="252"/>
        <v>Bangunan Air Irigasi</v>
      </c>
      <c r="AA818" s="884">
        <f t="shared" si="253"/>
        <v>50</v>
      </c>
      <c r="AB818" s="868">
        <f t="shared" si="254"/>
        <v>9285194</v>
      </c>
      <c r="AC818" s="885">
        <f t="shared" si="255"/>
        <v>0</v>
      </c>
      <c r="AD818" s="868">
        <f t="shared" si="256"/>
        <v>0</v>
      </c>
      <c r="AE818" s="868">
        <v>0</v>
      </c>
      <c r="AF818" s="868">
        <f t="shared" si="257"/>
        <v>9285194</v>
      </c>
      <c r="AG818" s="868">
        <f t="shared" si="258"/>
        <v>9285194</v>
      </c>
      <c r="AH818" s="868">
        <f t="shared" si="259"/>
        <v>9285194</v>
      </c>
      <c r="AI818" s="886">
        <f t="shared" si="260"/>
        <v>9285194</v>
      </c>
      <c r="AJ818" s="886">
        <f t="shared" si="250"/>
        <v>37140776</v>
      </c>
      <c r="AK818" s="868">
        <f t="shared" si="261"/>
        <v>427118924</v>
      </c>
    </row>
    <row r="819" spans="5:37" s="887" customFormat="1" ht="35.25" customHeight="1" x14ac:dyDescent="0.2">
      <c r="E819" s="884" t="s">
        <v>2306</v>
      </c>
      <c r="F819" s="888"/>
      <c r="G819" s="878" t="s">
        <v>1579</v>
      </c>
      <c r="H819" s="879"/>
      <c r="I819" s="930" t="s">
        <v>4199</v>
      </c>
      <c r="J819" s="903"/>
      <c r="K819" s="878"/>
      <c r="L819" s="908"/>
      <c r="M819" s="878"/>
      <c r="N819" s="934"/>
      <c r="O819" s="903" t="s">
        <v>3471</v>
      </c>
      <c r="P819" s="903">
        <v>2015</v>
      </c>
      <c r="Q819" s="878"/>
      <c r="R819" s="878"/>
      <c r="S819" s="878"/>
      <c r="T819" s="903" t="s">
        <v>12</v>
      </c>
      <c r="U819" s="910">
        <v>191981000</v>
      </c>
      <c r="V819" s="905"/>
      <c r="W819" s="935"/>
      <c r="X819" s="972"/>
      <c r="Y819" s="884" t="str">
        <f t="shared" si="251"/>
        <v>04.14.01</v>
      </c>
      <c r="Z819" s="884" t="str">
        <f t="shared" si="252"/>
        <v>Bangunan Air Irigasi</v>
      </c>
      <c r="AA819" s="884">
        <f t="shared" si="253"/>
        <v>50</v>
      </c>
      <c r="AB819" s="868">
        <f t="shared" si="254"/>
        <v>3839620</v>
      </c>
      <c r="AC819" s="885">
        <f t="shared" si="255"/>
        <v>0</v>
      </c>
      <c r="AD819" s="868">
        <f t="shared" si="256"/>
        <v>0</v>
      </c>
      <c r="AE819" s="868">
        <v>0</v>
      </c>
      <c r="AF819" s="868">
        <f t="shared" si="257"/>
        <v>3839620</v>
      </c>
      <c r="AG819" s="868">
        <f t="shared" si="258"/>
        <v>3839620</v>
      </c>
      <c r="AH819" s="868">
        <f t="shared" si="259"/>
        <v>3839620</v>
      </c>
      <c r="AI819" s="886">
        <f t="shared" si="260"/>
        <v>3839620</v>
      </c>
      <c r="AJ819" s="886">
        <f t="shared" si="250"/>
        <v>15358480</v>
      </c>
      <c r="AK819" s="868">
        <f t="shared" si="261"/>
        <v>176622520</v>
      </c>
    </row>
    <row r="820" spans="5:37" s="887" customFormat="1" ht="35.25" customHeight="1" x14ac:dyDescent="0.2">
      <c r="E820" s="884" t="s">
        <v>2306</v>
      </c>
      <c r="F820" s="888"/>
      <c r="G820" s="878" t="s">
        <v>1580</v>
      </c>
      <c r="H820" s="879"/>
      <c r="I820" s="930" t="s">
        <v>4199</v>
      </c>
      <c r="J820" s="878"/>
      <c r="K820" s="903"/>
      <c r="L820" s="908"/>
      <c r="M820" s="878"/>
      <c r="N820" s="908"/>
      <c r="O820" s="907" t="s">
        <v>3472</v>
      </c>
      <c r="P820" s="903">
        <v>2015</v>
      </c>
      <c r="Q820" s="878"/>
      <c r="R820" s="878"/>
      <c r="S820" s="878"/>
      <c r="T820" s="903" t="s">
        <v>12</v>
      </c>
      <c r="U820" s="879">
        <v>190936000</v>
      </c>
      <c r="V820" s="903"/>
      <c r="W820" s="931"/>
      <c r="X820" s="971"/>
      <c r="Y820" s="884" t="str">
        <f t="shared" si="251"/>
        <v>04.14.01</v>
      </c>
      <c r="Z820" s="884" t="str">
        <f t="shared" si="252"/>
        <v>Bangunan Air Irigasi</v>
      </c>
      <c r="AA820" s="884">
        <f t="shared" si="253"/>
        <v>50</v>
      </c>
      <c r="AB820" s="868">
        <f t="shared" si="254"/>
        <v>3818720</v>
      </c>
      <c r="AC820" s="885">
        <f t="shared" si="255"/>
        <v>0</v>
      </c>
      <c r="AD820" s="868">
        <f t="shared" si="256"/>
        <v>0</v>
      </c>
      <c r="AE820" s="868">
        <v>0</v>
      </c>
      <c r="AF820" s="868">
        <f t="shared" si="257"/>
        <v>3818720</v>
      </c>
      <c r="AG820" s="868">
        <f t="shared" si="258"/>
        <v>3818720</v>
      </c>
      <c r="AH820" s="868">
        <f t="shared" si="259"/>
        <v>3818720</v>
      </c>
      <c r="AI820" s="886">
        <f t="shared" si="260"/>
        <v>3818720</v>
      </c>
      <c r="AJ820" s="886">
        <f t="shared" si="250"/>
        <v>15274880</v>
      </c>
      <c r="AK820" s="868">
        <f t="shared" si="261"/>
        <v>175661120</v>
      </c>
    </row>
    <row r="821" spans="5:37" s="887" customFormat="1" ht="35.25" customHeight="1" x14ac:dyDescent="0.2">
      <c r="E821" s="884" t="s">
        <v>2306</v>
      </c>
      <c r="F821" s="888"/>
      <c r="G821" s="878" t="s">
        <v>1581</v>
      </c>
      <c r="H821" s="879"/>
      <c r="I821" s="930" t="s">
        <v>4199</v>
      </c>
      <c r="J821" s="878"/>
      <c r="K821" s="903"/>
      <c r="L821" s="908"/>
      <c r="M821" s="878"/>
      <c r="N821" s="908"/>
      <c r="O821" s="907" t="s">
        <v>3473</v>
      </c>
      <c r="P821" s="903">
        <v>2015</v>
      </c>
      <c r="Q821" s="878"/>
      <c r="R821" s="878"/>
      <c r="S821" s="878"/>
      <c r="T821" s="903" t="s">
        <v>12</v>
      </c>
      <c r="U821" s="879">
        <v>191500000</v>
      </c>
      <c r="V821" s="903"/>
      <c r="W821" s="931"/>
      <c r="X821" s="971"/>
      <c r="Y821" s="884" t="str">
        <f t="shared" si="251"/>
        <v>04.14.01</v>
      </c>
      <c r="Z821" s="884" t="str">
        <f t="shared" si="252"/>
        <v>Bangunan Air Irigasi</v>
      </c>
      <c r="AA821" s="884">
        <f t="shared" si="253"/>
        <v>50</v>
      </c>
      <c r="AB821" s="868">
        <f t="shared" si="254"/>
        <v>3830000</v>
      </c>
      <c r="AC821" s="885">
        <f t="shared" si="255"/>
        <v>0</v>
      </c>
      <c r="AD821" s="868">
        <f t="shared" si="256"/>
        <v>0</v>
      </c>
      <c r="AE821" s="868">
        <v>0</v>
      </c>
      <c r="AF821" s="868">
        <f t="shared" si="257"/>
        <v>3830000</v>
      </c>
      <c r="AG821" s="868">
        <f t="shared" si="258"/>
        <v>3830000</v>
      </c>
      <c r="AH821" s="868">
        <f t="shared" si="259"/>
        <v>3830000</v>
      </c>
      <c r="AI821" s="886">
        <f t="shared" si="260"/>
        <v>3830000</v>
      </c>
      <c r="AJ821" s="886">
        <f t="shared" si="250"/>
        <v>15320000</v>
      </c>
      <c r="AK821" s="868">
        <f t="shared" si="261"/>
        <v>176180000</v>
      </c>
    </row>
    <row r="822" spans="5:37" s="887" customFormat="1" ht="35.25" customHeight="1" x14ac:dyDescent="0.2">
      <c r="E822" s="884" t="s">
        <v>2306</v>
      </c>
      <c r="F822" s="888"/>
      <c r="G822" s="878" t="s">
        <v>1582</v>
      </c>
      <c r="H822" s="879"/>
      <c r="I822" s="930" t="s">
        <v>4199</v>
      </c>
      <c r="J822" s="878"/>
      <c r="K822" s="903"/>
      <c r="L822" s="908"/>
      <c r="M822" s="878"/>
      <c r="N822" s="908"/>
      <c r="O822" s="907" t="s">
        <v>3474</v>
      </c>
      <c r="P822" s="903">
        <v>2015</v>
      </c>
      <c r="Q822" s="878"/>
      <c r="R822" s="878"/>
      <c r="S822" s="878"/>
      <c r="T822" s="903" t="s">
        <v>12</v>
      </c>
      <c r="U822" s="879">
        <v>191200000</v>
      </c>
      <c r="V822" s="903"/>
      <c r="W822" s="931"/>
      <c r="X822" s="971"/>
      <c r="Y822" s="884" t="str">
        <f t="shared" si="251"/>
        <v>04.14.01</v>
      </c>
      <c r="Z822" s="884" t="str">
        <f t="shared" si="252"/>
        <v>Bangunan Air Irigasi</v>
      </c>
      <c r="AA822" s="884">
        <f t="shared" si="253"/>
        <v>50</v>
      </c>
      <c r="AB822" s="868">
        <f t="shared" si="254"/>
        <v>3824000</v>
      </c>
      <c r="AC822" s="885">
        <f t="shared" si="255"/>
        <v>0</v>
      </c>
      <c r="AD822" s="868">
        <f t="shared" si="256"/>
        <v>0</v>
      </c>
      <c r="AE822" s="868">
        <v>0</v>
      </c>
      <c r="AF822" s="868">
        <f t="shared" si="257"/>
        <v>3824000</v>
      </c>
      <c r="AG822" s="868">
        <f t="shared" si="258"/>
        <v>3824000</v>
      </c>
      <c r="AH822" s="868">
        <f t="shared" si="259"/>
        <v>3824000</v>
      </c>
      <c r="AI822" s="886">
        <f t="shared" si="260"/>
        <v>3824000</v>
      </c>
      <c r="AJ822" s="886">
        <f t="shared" si="250"/>
        <v>15296000</v>
      </c>
      <c r="AK822" s="868">
        <f t="shared" si="261"/>
        <v>175904000</v>
      </c>
    </row>
    <row r="823" spans="5:37" s="887" customFormat="1" ht="35.25" customHeight="1" x14ac:dyDescent="0.2">
      <c r="E823" s="884" t="s">
        <v>2306</v>
      </c>
      <c r="F823" s="888"/>
      <c r="G823" s="878" t="s">
        <v>1583</v>
      </c>
      <c r="H823" s="879"/>
      <c r="I823" s="930" t="s">
        <v>4199</v>
      </c>
      <c r="J823" s="878"/>
      <c r="K823" s="903"/>
      <c r="L823" s="908"/>
      <c r="M823" s="878"/>
      <c r="N823" s="908"/>
      <c r="O823" s="907" t="s">
        <v>3475</v>
      </c>
      <c r="P823" s="903">
        <v>2015</v>
      </c>
      <c r="Q823" s="878"/>
      <c r="R823" s="878"/>
      <c r="S823" s="878"/>
      <c r="T823" s="903" t="s">
        <v>12</v>
      </c>
      <c r="U823" s="879">
        <v>190820000</v>
      </c>
      <c r="V823" s="903"/>
      <c r="W823" s="931"/>
      <c r="X823" s="971"/>
      <c r="Y823" s="884" t="str">
        <f t="shared" si="251"/>
        <v>04.14.01</v>
      </c>
      <c r="Z823" s="884" t="str">
        <f t="shared" si="252"/>
        <v>Bangunan Air Irigasi</v>
      </c>
      <c r="AA823" s="884">
        <f t="shared" si="253"/>
        <v>50</v>
      </c>
      <c r="AB823" s="868">
        <f t="shared" si="254"/>
        <v>3816400</v>
      </c>
      <c r="AC823" s="885">
        <f t="shared" si="255"/>
        <v>0</v>
      </c>
      <c r="AD823" s="868">
        <f t="shared" si="256"/>
        <v>0</v>
      </c>
      <c r="AE823" s="868">
        <v>0</v>
      </c>
      <c r="AF823" s="868">
        <f t="shared" si="257"/>
        <v>3816400</v>
      </c>
      <c r="AG823" s="868">
        <f t="shared" si="258"/>
        <v>3816400</v>
      </c>
      <c r="AH823" s="868">
        <f t="shared" si="259"/>
        <v>3816400</v>
      </c>
      <c r="AI823" s="886">
        <f t="shared" si="260"/>
        <v>3816400</v>
      </c>
      <c r="AJ823" s="886">
        <f t="shared" si="250"/>
        <v>15265600</v>
      </c>
      <c r="AK823" s="868">
        <f t="shared" si="261"/>
        <v>175554400</v>
      </c>
    </row>
    <row r="824" spans="5:37" s="887" customFormat="1" ht="35.25" customHeight="1" x14ac:dyDescent="0.2">
      <c r="E824" s="884" t="s">
        <v>2306</v>
      </c>
      <c r="F824" s="888"/>
      <c r="G824" s="878" t="s">
        <v>1584</v>
      </c>
      <c r="H824" s="879"/>
      <c r="I824" s="930" t="s">
        <v>4199</v>
      </c>
      <c r="J824" s="878"/>
      <c r="K824" s="903"/>
      <c r="L824" s="908"/>
      <c r="M824" s="878"/>
      <c r="N824" s="908"/>
      <c r="O824" s="907" t="s">
        <v>3476</v>
      </c>
      <c r="P824" s="903">
        <v>2015</v>
      </c>
      <c r="Q824" s="878"/>
      <c r="R824" s="878"/>
      <c r="S824" s="878"/>
      <c r="T824" s="903" t="s">
        <v>12</v>
      </c>
      <c r="U824" s="879">
        <v>190360000</v>
      </c>
      <c r="V824" s="903"/>
      <c r="W824" s="931"/>
      <c r="X824" s="971"/>
      <c r="Y824" s="884" t="str">
        <f t="shared" si="251"/>
        <v>04.14.01</v>
      </c>
      <c r="Z824" s="884" t="str">
        <f t="shared" si="252"/>
        <v>Bangunan Air Irigasi</v>
      </c>
      <c r="AA824" s="884">
        <f t="shared" si="253"/>
        <v>50</v>
      </c>
      <c r="AB824" s="868">
        <f t="shared" si="254"/>
        <v>3807200</v>
      </c>
      <c r="AC824" s="885">
        <f t="shared" si="255"/>
        <v>0</v>
      </c>
      <c r="AD824" s="868">
        <f t="shared" si="256"/>
        <v>0</v>
      </c>
      <c r="AE824" s="868">
        <v>0</v>
      </c>
      <c r="AF824" s="868">
        <f t="shared" si="257"/>
        <v>3807200</v>
      </c>
      <c r="AG824" s="868">
        <f t="shared" si="258"/>
        <v>3807200</v>
      </c>
      <c r="AH824" s="868">
        <f t="shared" si="259"/>
        <v>3807200</v>
      </c>
      <c r="AI824" s="886">
        <f t="shared" si="260"/>
        <v>3807200</v>
      </c>
      <c r="AJ824" s="886">
        <f t="shared" si="250"/>
        <v>15228800</v>
      </c>
      <c r="AK824" s="868">
        <f t="shared" si="261"/>
        <v>175131200</v>
      </c>
    </row>
    <row r="825" spans="5:37" s="887" customFormat="1" ht="35.25" customHeight="1" x14ac:dyDescent="0.2">
      <c r="E825" s="884" t="s">
        <v>2306</v>
      </c>
      <c r="F825" s="888"/>
      <c r="G825" s="878" t="s">
        <v>1585</v>
      </c>
      <c r="H825" s="879"/>
      <c r="I825" s="930" t="s">
        <v>4199</v>
      </c>
      <c r="J825" s="878"/>
      <c r="K825" s="903"/>
      <c r="L825" s="908"/>
      <c r="M825" s="878"/>
      <c r="N825" s="908"/>
      <c r="O825" s="907" t="s">
        <v>3477</v>
      </c>
      <c r="P825" s="903">
        <v>2015</v>
      </c>
      <c r="Q825" s="878"/>
      <c r="R825" s="878"/>
      <c r="S825" s="878"/>
      <c r="T825" s="903" t="s">
        <v>12</v>
      </c>
      <c r="U825" s="879">
        <v>191477000</v>
      </c>
      <c r="V825" s="903"/>
      <c r="W825" s="931"/>
      <c r="X825" s="971"/>
      <c r="Y825" s="884" t="str">
        <f t="shared" si="251"/>
        <v>04.14.01</v>
      </c>
      <c r="Z825" s="884" t="str">
        <f t="shared" si="252"/>
        <v>Bangunan Air Irigasi</v>
      </c>
      <c r="AA825" s="884">
        <f t="shared" si="253"/>
        <v>50</v>
      </c>
      <c r="AB825" s="868">
        <f t="shared" si="254"/>
        <v>3829540</v>
      </c>
      <c r="AC825" s="885">
        <f t="shared" si="255"/>
        <v>0</v>
      </c>
      <c r="AD825" s="868">
        <f t="shared" si="256"/>
        <v>0</v>
      </c>
      <c r="AE825" s="868">
        <v>0</v>
      </c>
      <c r="AF825" s="868">
        <f t="shared" si="257"/>
        <v>3829540</v>
      </c>
      <c r="AG825" s="868">
        <f t="shared" si="258"/>
        <v>3829540</v>
      </c>
      <c r="AH825" s="868">
        <f t="shared" si="259"/>
        <v>3829540</v>
      </c>
      <c r="AI825" s="886">
        <f t="shared" si="260"/>
        <v>3829540</v>
      </c>
      <c r="AJ825" s="886">
        <f t="shared" si="250"/>
        <v>15318160</v>
      </c>
      <c r="AK825" s="868">
        <f t="shared" si="261"/>
        <v>176158840</v>
      </c>
    </row>
    <row r="826" spans="5:37" s="887" customFormat="1" ht="35.25" customHeight="1" x14ac:dyDescent="0.2">
      <c r="E826" s="884" t="s">
        <v>2306</v>
      </c>
      <c r="F826" s="888"/>
      <c r="G826" s="878" t="s">
        <v>1586</v>
      </c>
      <c r="H826" s="879"/>
      <c r="I826" s="930" t="s">
        <v>4199</v>
      </c>
      <c r="J826" s="878"/>
      <c r="K826" s="903"/>
      <c r="L826" s="908"/>
      <c r="M826" s="878"/>
      <c r="N826" s="908"/>
      <c r="O826" s="907" t="s">
        <v>3478</v>
      </c>
      <c r="P826" s="903">
        <v>2015</v>
      </c>
      <c r="Q826" s="878"/>
      <c r="R826" s="878"/>
      <c r="S826" s="878"/>
      <c r="T826" s="903" t="s">
        <v>12</v>
      </c>
      <c r="U826" s="879">
        <v>190690000</v>
      </c>
      <c r="V826" s="903"/>
      <c r="W826" s="931"/>
      <c r="X826" s="971"/>
      <c r="Y826" s="884" t="str">
        <f t="shared" si="251"/>
        <v>04.14.01</v>
      </c>
      <c r="Z826" s="884" t="str">
        <f t="shared" si="252"/>
        <v>Bangunan Air Irigasi</v>
      </c>
      <c r="AA826" s="884">
        <f t="shared" si="253"/>
        <v>50</v>
      </c>
      <c r="AB826" s="868">
        <f t="shared" si="254"/>
        <v>3813800</v>
      </c>
      <c r="AC826" s="885">
        <f t="shared" si="255"/>
        <v>0</v>
      </c>
      <c r="AD826" s="868">
        <f t="shared" si="256"/>
        <v>0</v>
      </c>
      <c r="AE826" s="868">
        <v>0</v>
      </c>
      <c r="AF826" s="868">
        <f t="shared" si="257"/>
        <v>3813800</v>
      </c>
      <c r="AG826" s="868">
        <f t="shared" si="258"/>
        <v>3813800</v>
      </c>
      <c r="AH826" s="868">
        <f t="shared" si="259"/>
        <v>3813800</v>
      </c>
      <c r="AI826" s="886">
        <f t="shared" si="260"/>
        <v>3813800</v>
      </c>
      <c r="AJ826" s="886">
        <f t="shared" si="250"/>
        <v>15255200</v>
      </c>
      <c r="AK826" s="868">
        <f t="shared" si="261"/>
        <v>175434800</v>
      </c>
    </row>
    <row r="827" spans="5:37" s="887" customFormat="1" ht="35.25" customHeight="1" x14ac:dyDescent="0.2">
      <c r="E827" s="884" t="s">
        <v>2306</v>
      </c>
      <c r="F827" s="888"/>
      <c r="G827" s="878" t="s">
        <v>1587</v>
      </c>
      <c r="H827" s="879"/>
      <c r="I827" s="930" t="s">
        <v>4199</v>
      </c>
      <c r="J827" s="878"/>
      <c r="K827" s="903"/>
      <c r="L827" s="908"/>
      <c r="M827" s="878"/>
      <c r="N827" s="908"/>
      <c r="O827" s="907" t="s">
        <v>3450</v>
      </c>
      <c r="P827" s="903">
        <v>2015</v>
      </c>
      <c r="Q827" s="878"/>
      <c r="R827" s="878"/>
      <c r="S827" s="878"/>
      <c r="T827" s="903" t="s">
        <v>12</v>
      </c>
      <c r="U827" s="879">
        <v>191846000</v>
      </c>
      <c r="V827" s="903"/>
      <c r="W827" s="931"/>
      <c r="X827" s="971"/>
      <c r="Y827" s="884" t="str">
        <f t="shared" si="251"/>
        <v>04.14.01</v>
      </c>
      <c r="Z827" s="884" t="str">
        <f t="shared" si="252"/>
        <v>Bangunan Air Irigasi</v>
      </c>
      <c r="AA827" s="884">
        <f t="shared" si="253"/>
        <v>50</v>
      </c>
      <c r="AB827" s="868">
        <f t="shared" si="254"/>
        <v>3836920</v>
      </c>
      <c r="AC827" s="885">
        <f t="shared" si="255"/>
        <v>0</v>
      </c>
      <c r="AD827" s="868">
        <f t="shared" si="256"/>
        <v>0</v>
      </c>
      <c r="AE827" s="868">
        <v>0</v>
      </c>
      <c r="AF827" s="868">
        <f t="shared" si="257"/>
        <v>3836920</v>
      </c>
      <c r="AG827" s="868">
        <f t="shared" si="258"/>
        <v>3836920</v>
      </c>
      <c r="AH827" s="868">
        <f t="shared" si="259"/>
        <v>3836920</v>
      </c>
      <c r="AI827" s="886">
        <f t="shared" si="260"/>
        <v>3836920</v>
      </c>
      <c r="AJ827" s="886">
        <f t="shared" si="250"/>
        <v>15347680</v>
      </c>
      <c r="AK827" s="868">
        <f t="shared" si="261"/>
        <v>176498320</v>
      </c>
    </row>
    <row r="828" spans="5:37" s="887" customFormat="1" ht="35.25" customHeight="1" x14ac:dyDescent="0.2">
      <c r="E828" s="884" t="s">
        <v>2306</v>
      </c>
      <c r="F828" s="888"/>
      <c r="G828" s="878" t="s">
        <v>1588</v>
      </c>
      <c r="H828" s="879"/>
      <c r="I828" s="930" t="s">
        <v>4199</v>
      </c>
      <c r="J828" s="878"/>
      <c r="K828" s="903"/>
      <c r="L828" s="908"/>
      <c r="M828" s="878"/>
      <c r="N828" s="908"/>
      <c r="O828" s="907" t="s">
        <v>3479</v>
      </c>
      <c r="P828" s="903">
        <v>2015</v>
      </c>
      <c r="Q828" s="878"/>
      <c r="R828" s="878"/>
      <c r="S828" s="878"/>
      <c r="T828" s="903" t="s">
        <v>12</v>
      </c>
      <c r="U828" s="879">
        <v>1241345150</v>
      </c>
      <c r="V828" s="903"/>
      <c r="W828" s="931"/>
      <c r="X828" s="971"/>
      <c r="Y828" s="884" t="str">
        <f t="shared" si="251"/>
        <v>04.14.01</v>
      </c>
      <c r="Z828" s="884" t="str">
        <f t="shared" si="252"/>
        <v>Bangunan Air Irigasi</v>
      </c>
      <c r="AA828" s="884">
        <f t="shared" si="253"/>
        <v>50</v>
      </c>
      <c r="AB828" s="868">
        <f t="shared" si="254"/>
        <v>24826903</v>
      </c>
      <c r="AC828" s="885">
        <f t="shared" si="255"/>
        <v>0</v>
      </c>
      <c r="AD828" s="868">
        <f t="shared" si="256"/>
        <v>0</v>
      </c>
      <c r="AE828" s="868">
        <v>0</v>
      </c>
      <c r="AF828" s="868">
        <f t="shared" si="257"/>
        <v>24826903</v>
      </c>
      <c r="AG828" s="868">
        <f t="shared" si="258"/>
        <v>24826903</v>
      </c>
      <c r="AH828" s="868">
        <f t="shared" si="259"/>
        <v>24826903</v>
      </c>
      <c r="AI828" s="886">
        <f t="shared" si="260"/>
        <v>24826903</v>
      </c>
      <c r="AJ828" s="886">
        <f t="shared" si="250"/>
        <v>99307612</v>
      </c>
      <c r="AK828" s="868">
        <f t="shared" si="261"/>
        <v>1142037538</v>
      </c>
    </row>
    <row r="829" spans="5:37" s="887" customFormat="1" ht="35.25" customHeight="1" x14ac:dyDescent="0.2">
      <c r="E829" s="884" t="s">
        <v>2306</v>
      </c>
      <c r="F829" s="888"/>
      <c r="G829" s="936" t="s">
        <v>3342</v>
      </c>
      <c r="H829" s="915"/>
      <c r="I829" s="930" t="s">
        <v>4199</v>
      </c>
      <c r="J829" s="878"/>
      <c r="K829" s="903"/>
      <c r="L829" s="908"/>
      <c r="M829" s="878"/>
      <c r="N829" s="908"/>
      <c r="O829" s="907"/>
      <c r="P829" s="903">
        <v>2016</v>
      </c>
      <c r="Q829" s="878"/>
      <c r="R829" s="878"/>
      <c r="S829" s="878"/>
      <c r="T829" s="903" t="s">
        <v>12</v>
      </c>
      <c r="U829" s="879">
        <v>34650000</v>
      </c>
      <c r="V829" s="903"/>
      <c r="W829" s="931"/>
      <c r="X829" s="971"/>
      <c r="Y829" s="884" t="str">
        <f t="shared" si="251"/>
        <v>04.14.01</v>
      </c>
      <c r="Z829" s="884" t="str">
        <f t="shared" si="252"/>
        <v>Bangunan Air Irigasi</v>
      </c>
      <c r="AA829" s="884">
        <f t="shared" si="253"/>
        <v>50</v>
      </c>
      <c r="AB829" s="868">
        <f t="shared" si="254"/>
        <v>693000</v>
      </c>
      <c r="AC829" s="885">
        <f t="shared" si="255"/>
        <v>0</v>
      </c>
      <c r="AD829" s="868">
        <f t="shared" si="256"/>
        <v>0</v>
      </c>
      <c r="AE829" s="868">
        <v>0</v>
      </c>
      <c r="AF829" s="868">
        <v>0</v>
      </c>
      <c r="AG829" s="868">
        <f t="shared" si="258"/>
        <v>693000</v>
      </c>
      <c r="AH829" s="868">
        <f t="shared" si="259"/>
        <v>693000</v>
      </c>
      <c r="AI829" s="886">
        <f t="shared" si="260"/>
        <v>693000</v>
      </c>
      <c r="AJ829" s="886">
        <f t="shared" si="250"/>
        <v>2079000</v>
      </c>
      <c r="AK829" s="868">
        <f t="shared" si="261"/>
        <v>32571000</v>
      </c>
    </row>
    <row r="830" spans="5:37" s="887" customFormat="1" ht="35.25" customHeight="1" x14ac:dyDescent="0.2">
      <c r="E830" s="884" t="s">
        <v>2306</v>
      </c>
      <c r="F830" s="888"/>
      <c r="G830" s="936" t="s">
        <v>1589</v>
      </c>
      <c r="H830" s="915"/>
      <c r="I830" s="930" t="s">
        <v>4199</v>
      </c>
      <c r="J830" s="878"/>
      <c r="K830" s="903"/>
      <c r="L830" s="908"/>
      <c r="M830" s="878"/>
      <c r="N830" s="908"/>
      <c r="O830" s="907" t="s">
        <v>3480</v>
      </c>
      <c r="P830" s="903">
        <v>2016</v>
      </c>
      <c r="Q830" s="878"/>
      <c r="R830" s="878"/>
      <c r="S830" s="878"/>
      <c r="T830" s="903" t="s">
        <v>12</v>
      </c>
      <c r="U830" s="879">
        <v>1436621000</v>
      </c>
      <c r="V830" s="903"/>
      <c r="W830" s="931"/>
      <c r="X830" s="971"/>
      <c r="Y830" s="884" t="str">
        <f t="shared" si="251"/>
        <v>04.14.01</v>
      </c>
      <c r="Z830" s="884" t="str">
        <f t="shared" si="252"/>
        <v>Bangunan Air Irigasi</v>
      </c>
      <c r="AA830" s="884">
        <f t="shared" si="253"/>
        <v>50</v>
      </c>
      <c r="AB830" s="868">
        <f t="shared" si="254"/>
        <v>28732420</v>
      </c>
      <c r="AC830" s="885">
        <f t="shared" si="255"/>
        <v>0</v>
      </c>
      <c r="AD830" s="868">
        <f t="shared" si="256"/>
        <v>0</v>
      </c>
      <c r="AE830" s="868">
        <v>0</v>
      </c>
      <c r="AF830" s="868">
        <v>0</v>
      </c>
      <c r="AG830" s="868">
        <f t="shared" si="258"/>
        <v>28732420</v>
      </c>
      <c r="AH830" s="868">
        <f t="shared" si="259"/>
        <v>28732420</v>
      </c>
      <c r="AI830" s="886">
        <f t="shared" si="260"/>
        <v>28732420</v>
      </c>
      <c r="AJ830" s="886">
        <f t="shared" si="250"/>
        <v>86197260</v>
      </c>
      <c r="AK830" s="868">
        <f t="shared" si="261"/>
        <v>1350423740</v>
      </c>
    </row>
    <row r="831" spans="5:37" s="887" customFormat="1" ht="35.25" customHeight="1" x14ac:dyDescent="0.2">
      <c r="E831" s="884" t="s">
        <v>2306</v>
      </c>
      <c r="F831" s="888"/>
      <c r="G831" s="936" t="s">
        <v>1590</v>
      </c>
      <c r="H831" s="915"/>
      <c r="I831" s="930" t="s">
        <v>4199</v>
      </c>
      <c r="J831" s="878"/>
      <c r="K831" s="903"/>
      <c r="L831" s="908"/>
      <c r="M831" s="878"/>
      <c r="N831" s="908"/>
      <c r="O831" s="907" t="s">
        <v>3401</v>
      </c>
      <c r="P831" s="903">
        <v>2016</v>
      </c>
      <c r="Q831" s="878"/>
      <c r="R831" s="878"/>
      <c r="S831" s="878"/>
      <c r="T831" s="903" t="s">
        <v>12</v>
      </c>
      <c r="U831" s="879">
        <v>1469936000</v>
      </c>
      <c r="V831" s="903"/>
      <c r="W831" s="931"/>
      <c r="X831" s="971"/>
      <c r="Y831" s="884" t="str">
        <f t="shared" si="251"/>
        <v>04.14.01</v>
      </c>
      <c r="Z831" s="884" t="str">
        <f t="shared" si="252"/>
        <v>Bangunan Air Irigasi</v>
      </c>
      <c r="AA831" s="884">
        <f t="shared" si="253"/>
        <v>50</v>
      </c>
      <c r="AB831" s="868">
        <f t="shared" si="254"/>
        <v>29398720</v>
      </c>
      <c r="AC831" s="885">
        <f t="shared" si="255"/>
        <v>0</v>
      </c>
      <c r="AD831" s="868">
        <f t="shared" si="256"/>
        <v>0</v>
      </c>
      <c r="AE831" s="868">
        <v>0</v>
      </c>
      <c r="AF831" s="868">
        <v>0</v>
      </c>
      <c r="AG831" s="868">
        <f t="shared" si="258"/>
        <v>29398720</v>
      </c>
      <c r="AH831" s="868">
        <f t="shared" si="259"/>
        <v>29398720</v>
      </c>
      <c r="AI831" s="886">
        <f t="shared" si="260"/>
        <v>29398720</v>
      </c>
      <c r="AJ831" s="886">
        <f t="shared" si="250"/>
        <v>88196160</v>
      </c>
      <c r="AK831" s="868">
        <f t="shared" si="261"/>
        <v>1381739840</v>
      </c>
    </row>
    <row r="832" spans="5:37" s="887" customFormat="1" ht="35.25" customHeight="1" x14ac:dyDescent="0.2">
      <c r="E832" s="884" t="s">
        <v>2306</v>
      </c>
      <c r="F832" s="888"/>
      <c r="G832" s="936" t="s">
        <v>1591</v>
      </c>
      <c r="H832" s="915"/>
      <c r="I832" s="930" t="s">
        <v>4199</v>
      </c>
      <c r="J832" s="878"/>
      <c r="K832" s="903"/>
      <c r="L832" s="908"/>
      <c r="M832" s="878"/>
      <c r="N832" s="908"/>
      <c r="O832" s="907" t="s">
        <v>3481</v>
      </c>
      <c r="P832" s="903">
        <v>2016</v>
      </c>
      <c r="Q832" s="878"/>
      <c r="R832" s="878"/>
      <c r="S832" s="878"/>
      <c r="T832" s="903" t="s">
        <v>12</v>
      </c>
      <c r="U832" s="879">
        <v>343248700</v>
      </c>
      <c r="V832" s="903"/>
      <c r="W832" s="931"/>
      <c r="X832" s="971"/>
      <c r="Y832" s="884" t="str">
        <f t="shared" si="251"/>
        <v>04.14.01</v>
      </c>
      <c r="Z832" s="884" t="str">
        <f t="shared" si="252"/>
        <v>Bangunan Air Irigasi</v>
      </c>
      <c r="AA832" s="884">
        <f t="shared" si="253"/>
        <v>50</v>
      </c>
      <c r="AB832" s="868">
        <f t="shared" si="254"/>
        <v>6864974</v>
      </c>
      <c r="AC832" s="885">
        <f t="shared" si="255"/>
        <v>0</v>
      </c>
      <c r="AD832" s="868">
        <f t="shared" si="256"/>
        <v>0</v>
      </c>
      <c r="AE832" s="868">
        <v>0</v>
      </c>
      <c r="AF832" s="868">
        <v>0</v>
      </c>
      <c r="AG832" s="868">
        <f t="shared" si="258"/>
        <v>6864974</v>
      </c>
      <c r="AH832" s="868">
        <f t="shared" si="259"/>
        <v>6864974</v>
      </c>
      <c r="AI832" s="886">
        <f t="shared" si="260"/>
        <v>6864974</v>
      </c>
      <c r="AJ832" s="886">
        <f t="shared" si="250"/>
        <v>20594922</v>
      </c>
      <c r="AK832" s="868">
        <f t="shared" si="261"/>
        <v>322653778</v>
      </c>
    </row>
    <row r="833" spans="5:37" s="887" customFormat="1" ht="35.25" customHeight="1" x14ac:dyDescent="0.2">
      <c r="E833" s="884" t="s">
        <v>2306</v>
      </c>
      <c r="F833" s="888"/>
      <c r="G833" s="936" t="s">
        <v>1592</v>
      </c>
      <c r="H833" s="915"/>
      <c r="I833" s="930" t="s">
        <v>4199</v>
      </c>
      <c r="J833" s="878"/>
      <c r="K833" s="903"/>
      <c r="L833" s="908"/>
      <c r="M833" s="878"/>
      <c r="N833" s="908"/>
      <c r="O833" s="907" t="s">
        <v>3482</v>
      </c>
      <c r="P833" s="903">
        <v>2016</v>
      </c>
      <c r="Q833" s="878"/>
      <c r="R833" s="878"/>
      <c r="S833" s="878"/>
      <c r="T833" s="903" t="s">
        <v>12</v>
      </c>
      <c r="U833" s="879">
        <v>671012000</v>
      </c>
      <c r="V833" s="903"/>
      <c r="W833" s="931"/>
      <c r="X833" s="971"/>
      <c r="Y833" s="884" t="str">
        <f t="shared" si="251"/>
        <v>04.14.01</v>
      </c>
      <c r="Z833" s="884" t="str">
        <f t="shared" si="252"/>
        <v>Bangunan Air Irigasi</v>
      </c>
      <c r="AA833" s="884">
        <f t="shared" si="253"/>
        <v>50</v>
      </c>
      <c r="AB833" s="868">
        <f t="shared" si="254"/>
        <v>13420240</v>
      </c>
      <c r="AC833" s="885">
        <f t="shared" si="255"/>
        <v>0</v>
      </c>
      <c r="AD833" s="868">
        <f t="shared" si="256"/>
        <v>0</v>
      </c>
      <c r="AE833" s="868">
        <v>0</v>
      </c>
      <c r="AF833" s="868">
        <v>0</v>
      </c>
      <c r="AG833" s="868">
        <f t="shared" si="258"/>
        <v>13420240</v>
      </c>
      <c r="AH833" s="868">
        <f t="shared" si="259"/>
        <v>13420240</v>
      </c>
      <c r="AI833" s="886">
        <f t="shared" si="260"/>
        <v>13420240</v>
      </c>
      <c r="AJ833" s="886">
        <f t="shared" si="250"/>
        <v>40260720</v>
      </c>
      <c r="AK833" s="868">
        <f t="shared" si="261"/>
        <v>630751280</v>
      </c>
    </row>
    <row r="834" spans="5:37" s="887" customFormat="1" ht="35.25" customHeight="1" x14ac:dyDescent="0.2">
      <c r="E834" s="884" t="s">
        <v>2306</v>
      </c>
      <c r="F834" s="888"/>
      <c r="G834" s="936" t="s">
        <v>1593</v>
      </c>
      <c r="H834" s="915"/>
      <c r="I834" s="930" t="s">
        <v>4199</v>
      </c>
      <c r="J834" s="878"/>
      <c r="K834" s="903"/>
      <c r="L834" s="908"/>
      <c r="M834" s="878"/>
      <c r="N834" s="908"/>
      <c r="O834" s="907" t="s">
        <v>3483</v>
      </c>
      <c r="P834" s="903">
        <v>2016</v>
      </c>
      <c r="Q834" s="878"/>
      <c r="R834" s="878"/>
      <c r="S834" s="878"/>
      <c r="T834" s="903" t="s">
        <v>12</v>
      </c>
      <c r="U834" s="879">
        <v>604876000</v>
      </c>
      <c r="V834" s="903"/>
      <c r="W834" s="931"/>
      <c r="X834" s="971"/>
      <c r="Y834" s="884" t="str">
        <f t="shared" si="251"/>
        <v>04.14.01</v>
      </c>
      <c r="Z834" s="884" t="str">
        <f t="shared" si="252"/>
        <v>Bangunan Air Irigasi</v>
      </c>
      <c r="AA834" s="884">
        <f t="shared" si="253"/>
        <v>50</v>
      </c>
      <c r="AB834" s="868">
        <f t="shared" si="254"/>
        <v>12097520</v>
      </c>
      <c r="AC834" s="885">
        <f t="shared" si="255"/>
        <v>0</v>
      </c>
      <c r="AD834" s="868">
        <f t="shared" si="256"/>
        <v>0</v>
      </c>
      <c r="AE834" s="868">
        <v>0</v>
      </c>
      <c r="AF834" s="868">
        <v>0</v>
      </c>
      <c r="AG834" s="868">
        <f t="shared" si="258"/>
        <v>12097520</v>
      </c>
      <c r="AH834" s="868">
        <f t="shared" si="259"/>
        <v>12097520</v>
      </c>
      <c r="AI834" s="886">
        <f t="shared" si="260"/>
        <v>12097520</v>
      </c>
      <c r="AJ834" s="886">
        <f t="shared" si="250"/>
        <v>36292560</v>
      </c>
      <c r="AK834" s="868">
        <f t="shared" si="261"/>
        <v>568583440</v>
      </c>
    </row>
    <row r="835" spans="5:37" s="887" customFormat="1" ht="35.25" customHeight="1" x14ac:dyDescent="0.2">
      <c r="E835" s="884" t="s">
        <v>2306</v>
      </c>
      <c r="F835" s="888"/>
      <c r="G835" s="936" t="s">
        <v>1594</v>
      </c>
      <c r="H835" s="915"/>
      <c r="I835" s="930" t="s">
        <v>4199</v>
      </c>
      <c r="J835" s="878"/>
      <c r="K835" s="903"/>
      <c r="L835" s="908"/>
      <c r="M835" s="878"/>
      <c r="N835" s="908"/>
      <c r="O835" s="907" t="s">
        <v>3405</v>
      </c>
      <c r="P835" s="903">
        <v>2016</v>
      </c>
      <c r="Q835" s="878"/>
      <c r="R835" s="878"/>
      <c r="S835" s="878"/>
      <c r="T835" s="903" t="s">
        <v>12</v>
      </c>
      <c r="U835" s="879">
        <v>198750000</v>
      </c>
      <c r="V835" s="903"/>
      <c r="W835" s="931"/>
      <c r="X835" s="971"/>
      <c r="Y835" s="884" t="str">
        <f t="shared" si="251"/>
        <v>04.14.01</v>
      </c>
      <c r="Z835" s="884" t="str">
        <f t="shared" si="252"/>
        <v>Bangunan Air Irigasi</v>
      </c>
      <c r="AA835" s="884">
        <f t="shared" si="253"/>
        <v>50</v>
      </c>
      <c r="AB835" s="868">
        <f t="shared" si="254"/>
        <v>3975000</v>
      </c>
      <c r="AC835" s="885">
        <f t="shared" si="255"/>
        <v>0</v>
      </c>
      <c r="AD835" s="868">
        <f t="shared" si="256"/>
        <v>0</v>
      </c>
      <c r="AE835" s="868">
        <v>0</v>
      </c>
      <c r="AF835" s="868">
        <v>0</v>
      </c>
      <c r="AG835" s="868">
        <f t="shared" si="258"/>
        <v>3975000</v>
      </c>
      <c r="AH835" s="868">
        <f t="shared" si="259"/>
        <v>3975000</v>
      </c>
      <c r="AI835" s="886">
        <f t="shared" si="260"/>
        <v>3975000</v>
      </c>
      <c r="AJ835" s="886">
        <f t="shared" si="250"/>
        <v>11925000</v>
      </c>
      <c r="AK835" s="868">
        <f t="shared" si="261"/>
        <v>186825000</v>
      </c>
    </row>
    <row r="836" spans="5:37" s="887" customFormat="1" ht="35.25" customHeight="1" x14ac:dyDescent="0.2">
      <c r="E836" s="884" t="s">
        <v>2306</v>
      </c>
      <c r="F836" s="888"/>
      <c r="G836" s="936" t="s">
        <v>1595</v>
      </c>
      <c r="H836" s="915"/>
      <c r="I836" s="930" t="s">
        <v>4199</v>
      </c>
      <c r="J836" s="878"/>
      <c r="K836" s="903"/>
      <c r="L836" s="908"/>
      <c r="M836" s="878"/>
      <c r="N836" s="908"/>
      <c r="O836" s="907" t="s">
        <v>3484</v>
      </c>
      <c r="P836" s="903">
        <v>2016</v>
      </c>
      <c r="Q836" s="878"/>
      <c r="R836" s="878"/>
      <c r="S836" s="878"/>
      <c r="T836" s="903" t="s">
        <v>12</v>
      </c>
      <c r="U836" s="879">
        <v>956331940.60419047</v>
      </c>
      <c r="V836" s="903"/>
      <c r="W836" s="931"/>
      <c r="X836" s="971"/>
      <c r="Y836" s="884" t="str">
        <f t="shared" si="251"/>
        <v>04.14.01</v>
      </c>
      <c r="Z836" s="884" t="str">
        <f t="shared" si="252"/>
        <v>Bangunan Air Irigasi</v>
      </c>
      <c r="AA836" s="884">
        <f t="shared" si="253"/>
        <v>50</v>
      </c>
      <c r="AB836" s="868">
        <f t="shared" si="254"/>
        <v>19126638.812083811</v>
      </c>
      <c r="AC836" s="885">
        <f t="shared" si="255"/>
        <v>0</v>
      </c>
      <c r="AD836" s="868">
        <f t="shared" si="256"/>
        <v>0</v>
      </c>
      <c r="AE836" s="868">
        <v>0</v>
      </c>
      <c r="AF836" s="868">
        <v>0</v>
      </c>
      <c r="AG836" s="868">
        <f t="shared" si="258"/>
        <v>19126638.812083811</v>
      </c>
      <c r="AH836" s="868">
        <f t="shared" si="259"/>
        <v>19126638.812083811</v>
      </c>
      <c r="AI836" s="886">
        <f t="shared" si="260"/>
        <v>19126638.812083811</v>
      </c>
      <c r="AJ836" s="886">
        <f t="shared" si="250"/>
        <v>57379916.436251432</v>
      </c>
      <c r="AK836" s="868">
        <f t="shared" si="261"/>
        <v>898952024.16793907</v>
      </c>
    </row>
    <row r="837" spans="5:37" s="887" customFormat="1" ht="35.25" customHeight="1" x14ac:dyDescent="0.2">
      <c r="E837" s="884" t="s">
        <v>2306</v>
      </c>
      <c r="F837" s="888"/>
      <c r="G837" s="936" t="s">
        <v>1596</v>
      </c>
      <c r="H837" s="915"/>
      <c r="I837" s="930" t="s">
        <v>4199</v>
      </c>
      <c r="J837" s="878"/>
      <c r="K837" s="903"/>
      <c r="L837" s="908"/>
      <c r="M837" s="878"/>
      <c r="N837" s="908"/>
      <c r="O837" s="907" t="s">
        <v>3409</v>
      </c>
      <c r="P837" s="903">
        <v>2016</v>
      </c>
      <c r="Q837" s="878"/>
      <c r="R837" s="878"/>
      <c r="S837" s="878"/>
      <c r="T837" s="903" t="s">
        <v>12</v>
      </c>
      <c r="U837" s="879">
        <v>336929357.28234023</v>
      </c>
      <c r="V837" s="903"/>
      <c r="W837" s="931"/>
      <c r="X837" s="971"/>
      <c r="Y837" s="884" t="str">
        <f t="shared" si="251"/>
        <v>04.14.01</v>
      </c>
      <c r="Z837" s="884" t="str">
        <f t="shared" si="252"/>
        <v>Bangunan Air Irigasi</v>
      </c>
      <c r="AA837" s="884">
        <f t="shared" si="253"/>
        <v>50</v>
      </c>
      <c r="AB837" s="868">
        <f t="shared" si="254"/>
        <v>6738587.1456468049</v>
      </c>
      <c r="AC837" s="885">
        <f t="shared" si="255"/>
        <v>0</v>
      </c>
      <c r="AD837" s="868">
        <f t="shared" si="256"/>
        <v>0</v>
      </c>
      <c r="AE837" s="868">
        <v>0</v>
      </c>
      <c r="AF837" s="868">
        <v>0</v>
      </c>
      <c r="AG837" s="868">
        <f t="shared" si="258"/>
        <v>6738587.1456468049</v>
      </c>
      <c r="AH837" s="868">
        <f t="shared" si="259"/>
        <v>6738587.1456468049</v>
      </c>
      <c r="AI837" s="886">
        <f t="shared" si="260"/>
        <v>6738587.1456468049</v>
      </c>
      <c r="AJ837" s="886">
        <f t="shared" si="250"/>
        <v>20215761.436940417</v>
      </c>
      <c r="AK837" s="868">
        <f t="shared" si="261"/>
        <v>316713595.8453998</v>
      </c>
    </row>
    <row r="838" spans="5:37" s="887" customFormat="1" ht="35.25" customHeight="1" x14ac:dyDescent="0.2">
      <c r="E838" s="884" t="s">
        <v>2306</v>
      </c>
      <c r="F838" s="888"/>
      <c r="G838" s="936" t="s">
        <v>1597</v>
      </c>
      <c r="H838" s="915"/>
      <c r="I838" s="930" t="s">
        <v>4199</v>
      </c>
      <c r="J838" s="878"/>
      <c r="K838" s="903"/>
      <c r="L838" s="908"/>
      <c r="M838" s="878"/>
      <c r="N838" s="908"/>
      <c r="O838" s="907" t="s">
        <v>3440</v>
      </c>
      <c r="P838" s="903">
        <v>2016</v>
      </c>
      <c r="Q838" s="878"/>
      <c r="R838" s="878"/>
      <c r="S838" s="878"/>
      <c r="T838" s="903" t="s">
        <v>12</v>
      </c>
      <c r="U838" s="879">
        <v>1135941291.9377246</v>
      </c>
      <c r="V838" s="903"/>
      <c r="W838" s="931"/>
      <c r="X838" s="971"/>
      <c r="Y838" s="884" t="str">
        <f t="shared" si="251"/>
        <v>04.14.01</v>
      </c>
      <c r="Z838" s="884" t="str">
        <f t="shared" si="252"/>
        <v>Bangunan Air Irigasi</v>
      </c>
      <c r="AA838" s="884">
        <f t="shared" si="253"/>
        <v>50</v>
      </c>
      <c r="AB838" s="868">
        <f t="shared" si="254"/>
        <v>22718825.83875449</v>
      </c>
      <c r="AC838" s="885">
        <f t="shared" si="255"/>
        <v>0</v>
      </c>
      <c r="AD838" s="868">
        <f t="shared" si="256"/>
        <v>0</v>
      </c>
      <c r="AE838" s="868">
        <v>0</v>
      </c>
      <c r="AF838" s="868">
        <v>0</v>
      </c>
      <c r="AG838" s="868">
        <f t="shared" si="258"/>
        <v>22718825.83875449</v>
      </c>
      <c r="AH838" s="868">
        <f t="shared" si="259"/>
        <v>22718825.83875449</v>
      </c>
      <c r="AI838" s="886">
        <f t="shared" si="260"/>
        <v>22718825.83875449</v>
      </c>
      <c r="AJ838" s="886">
        <f t="shared" si="250"/>
        <v>68156477.51626347</v>
      </c>
      <c r="AK838" s="868">
        <f t="shared" si="261"/>
        <v>1067784814.4214611</v>
      </c>
    </row>
    <row r="839" spans="5:37" s="887" customFormat="1" ht="35.25" customHeight="1" x14ac:dyDescent="0.2">
      <c r="E839" s="884" t="s">
        <v>2306</v>
      </c>
      <c r="F839" s="888"/>
      <c r="G839" s="936" t="s">
        <v>1598</v>
      </c>
      <c r="H839" s="915"/>
      <c r="I839" s="930" t="s">
        <v>4199</v>
      </c>
      <c r="J839" s="878"/>
      <c r="K839" s="903"/>
      <c r="L839" s="908"/>
      <c r="M839" s="878"/>
      <c r="N839" s="908"/>
      <c r="O839" s="907" t="s">
        <v>3471</v>
      </c>
      <c r="P839" s="903">
        <v>2016</v>
      </c>
      <c r="Q839" s="878"/>
      <c r="R839" s="878"/>
      <c r="S839" s="878"/>
      <c r="T839" s="903" t="s">
        <v>12</v>
      </c>
      <c r="U839" s="879">
        <v>362743119.08185184</v>
      </c>
      <c r="V839" s="903"/>
      <c r="W839" s="931"/>
      <c r="X839" s="971"/>
      <c r="Y839" s="884" t="str">
        <f t="shared" si="251"/>
        <v>04.14.01</v>
      </c>
      <c r="Z839" s="884" t="str">
        <f t="shared" si="252"/>
        <v>Bangunan Air Irigasi</v>
      </c>
      <c r="AA839" s="884">
        <f t="shared" si="253"/>
        <v>50</v>
      </c>
      <c r="AB839" s="868">
        <f t="shared" si="254"/>
        <v>7254862.3816370368</v>
      </c>
      <c r="AC839" s="885">
        <f t="shared" si="255"/>
        <v>0</v>
      </c>
      <c r="AD839" s="868">
        <f t="shared" si="256"/>
        <v>0</v>
      </c>
      <c r="AE839" s="868">
        <v>0</v>
      </c>
      <c r="AF839" s="868">
        <v>0</v>
      </c>
      <c r="AG839" s="868">
        <f t="shared" si="258"/>
        <v>7254862.3816370368</v>
      </c>
      <c r="AH839" s="868">
        <f t="shared" si="259"/>
        <v>7254862.3816370368</v>
      </c>
      <c r="AI839" s="886">
        <f t="shared" si="260"/>
        <v>7254862.3816370368</v>
      </c>
      <c r="AJ839" s="886">
        <f t="shared" si="250"/>
        <v>21764587.14491111</v>
      </c>
      <c r="AK839" s="868">
        <f t="shared" si="261"/>
        <v>340978531.93694073</v>
      </c>
    </row>
    <row r="840" spans="5:37" s="857" customFormat="1" ht="35.25" customHeight="1" x14ac:dyDescent="0.2">
      <c r="E840" s="884" t="s">
        <v>2306</v>
      </c>
      <c r="F840" s="890"/>
      <c r="G840" s="936" t="s">
        <v>1599</v>
      </c>
      <c r="H840" s="915"/>
      <c r="I840" s="930" t="s">
        <v>4199</v>
      </c>
      <c r="J840" s="878"/>
      <c r="K840" s="903"/>
      <c r="L840" s="908"/>
      <c r="M840" s="878"/>
      <c r="N840" s="908"/>
      <c r="O840" s="907" t="s">
        <v>3485</v>
      </c>
      <c r="P840" s="903">
        <v>2016</v>
      </c>
      <c r="Q840" s="878"/>
      <c r="R840" s="878"/>
      <c r="S840" s="878"/>
      <c r="T840" s="903" t="s">
        <v>12</v>
      </c>
      <c r="U840" s="879">
        <v>718915413.7353797</v>
      </c>
      <c r="V840" s="903"/>
      <c r="W840" s="931"/>
      <c r="X840" s="971"/>
      <c r="Y840" s="884" t="str">
        <f t="shared" si="251"/>
        <v>04.14.01</v>
      </c>
      <c r="Z840" s="884" t="str">
        <f t="shared" si="252"/>
        <v>Bangunan Air Irigasi</v>
      </c>
      <c r="AA840" s="884">
        <f t="shared" si="253"/>
        <v>50</v>
      </c>
      <c r="AB840" s="868">
        <f t="shared" si="254"/>
        <v>14378308.274707593</v>
      </c>
      <c r="AC840" s="885">
        <f t="shared" si="255"/>
        <v>0</v>
      </c>
      <c r="AD840" s="868">
        <f t="shared" si="256"/>
        <v>0</v>
      </c>
      <c r="AE840" s="868">
        <v>0</v>
      </c>
      <c r="AF840" s="868">
        <v>0</v>
      </c>
      <c r="AG840" s="868">
        <f t="shared" si="258"/>
        <v>14378308.274707593</v>
      </c>
      <c r="AH840" s="868">
        <f t="shared" si="259"/>
        <v>14378308.274707593</v>
      </c>
      <c r="AI840" s="886">
        <f t="shared" si="260"/>
        <v>14378308.274707593</v>
      </c>
      <c r="AJ840" s="886">
        <f t="shared" si="250"/>
        <v>43134924.824122779</v>
      </c>
      <c r="AK840" s="868">
        <f t="shared" si="261"/>
        <v>675780488.91125691</v>
      </c>
    </row>
    <row r="841" spans="5:37" s="857" customFormat="1" ht="35.25" customHeight="1" x14ac:dyDescent="0.2">
      <c r="E841" s="884" t="s">
        <v>2306</v>
      </c>
      <c r="F841" s="890"/>
      <c r="G841" s="936" t="s">
        <v>1600</v>
      </c>
      <c r="H841" s="915"/>
      <c r="I841" s="930" t="s">
        <v>4199</v>
      </c>
      <c r="J841" s="878"/>
      <c r="K841" s="903"/>
      <c r="L841" s="908"/>
      <c r="M841" s="878"/>
      <c r="N841" s="908"/>
      <c r="O841" s="907" t="s">
        <v>3486</v>
      </c>
      <c r="P841" s="903">
        <v>2016</v>
      </c>
      <c r="Q841" s="878"/>
      <c r="R841" s="878"/>
      <c r="S841" s="878"/>
      <c r="T841" s="903" t="s">
        <v>12</v>
      </c>
      <c r="U841" s="879">
        <v>790283293.48653066</v>
      </c>
      <c r="V841" s="903"/>
      <c r="W841" s="931"/>
      <c r="X841" s="971"/>
      <c r="Y841" s="884" t="str">
        <f t="shared" si="251"/>
        <v>04.14.01</v>
      </c>
      <c r="Z841" s="884" t="str">
        <f t="shared" si="252"/>
        <v>Bangunan Air Irigasi</v>
      </c>
      <c r="AA841" s="884">
        <f t="shared" si="253"/>
        <v>50</v>
      </c>
      <c r="AB841" s="868">
        <f t="shared" si="254"/>
        <v>15805665.869730614</v>
      </c>
      <c r="AC841" s="885">
        <f t="shared" si="255"/>
        <v>0</v>
      </c>
      <c r="AD841" s="868">
        <f t="shared" si="256"/>
        <v>0</v>
      </c>
      <c r="AE841" s="868">
        <v>0</v>
      </c>
      <c r="AF841" s="868">
        <v>0</v>
      </c>
      <c r="AG841" s="868">
        <f t="shared" si="258"/>
        <v>15805665.869730614</v>
      </c>
      <c r="AH841" s="868">
        <f t="shared" si="259"/>
        <v>15805665.869730614</v>
      </c>
      <c r="AI841" s="886">
        <f t="shared" si="260"/>
        <v>15805665.869730614</v>
      </c>
      <c r="AJ841" s="886">
        <f t="shared" si="250"/>
        <v>47416997.609191842</v>
      </c>
      <c r="AK841" s="868">
        <f t="shared" si="261"/>
        <v>742866295.87733877</v>
      </c>
    </row>
    <row r="842" spans="5:37" s="857" customFormat="1" ht="35.25" customHeight="1" x14ac:dyDescent="0.2">
      <c r="E842" s="884" t="s">
        <v>2306</v>
      </c>
      <c r="F842" s="890"/>
      <c r="G842" s="936" t="s">
        <v>1601</v>
      </c>
      <c r="H842" s="915"/>
      <c r="I842" s="930" t="s">
        <v>4199</v>
      </c>
      <c r="J842" s="878"/>
      <c r="K842" s="903"/>
      <c r="L842" s="908"/>
      <c r="M842" s="878"/>
      <c r="N842" s="908"/>
      <c r="O842" s="907" t="s">
        <v>2610</v>
      </c>
      <c r="P842" s="903">
        <v>2016</v>
      </c>
      <c r="Q842" s="878"/>
      <c r="R842" s="878"/>
      <c r="S842" s="878"/>
      <c r="T842" s="903" t="s">
        <v>12</v>
      </c>
      <c r="U842" s="879">
        <v>340989191.43586475</v>
      </c>
      <c r="V842" s="903"/>
      <c r="W842" s="931"/>
      <c r="X842" s="971"/>
      <c r="Y842" s="884" t="str">
        <f t="shared" si="251"/>
        <v>04.14.01</v>
      </c>
      <c r="Z842" s="884" t="str">
        <f t="shared" si="252"/>
        <v>Bangunan Air Irigasi</v>
      </c>
      <c r="AA842" s="884">
        <f t="shared" si="253"/>
        <v>50</v>
      </c>
      <c r="AB842" s="868">
        <f t="shared" si="254"/>
        <v>6819783.8287172951</v>
      </c>
      <c r="AC842" s="885">
        <f t="shared" si="255"/>
        <v>0</v>
      </c>
      <c r="AD842" s="868">
        <f t="shared" si="256"/>
        <v>0</v>
      </c>
      <c r="AE842" s="868">
        <v>0</v>
      </c>
      <c r="AF842" s="868">
        <v>0</v>
      </c>
      <c r="AG842" s="868">
        <f t="shared" si="258"/>
        <v>6819783.8287172951</v>
      </c>
      <c r="AH842" s="868">
        <f t="shared" si="259"/>
        <v>6819783.8287172951</v>
      </c>
      <c r="AI842" s="886">
        <f t="shared" si="260"/>
        <v>6819783.8287172951</v>
      </c>
      <c r="AJ842" s="886">
        <f t="shared" si="250"/>
        <v>20459351.486151885</v>
      </c>
      <c r="AK842" s="868">
        <f t="shared" si="261"/>
        <v>320529839.94971287</v>
      </c>
    </row>
    <row r="843" spans="5:37" s="857" customFormat="1" ht="35.25" customHeight="1" x14ac:dyDescent="0.2">
      <c r="E843" s="884" t="s">
        <v>2306</v>
      </c>
      <c r="F843" s="890"/>
      <c r="G843" s="936" t="s">
        <v>1602</v>
      </c>
      <c r="H843" s="915"/>
      <c r="I843" s="930" t="s">
        <v>4199</v>
      </c>
      <c r="J843" s="878"/>
      <c r="K843" s="903"/>
      <c r="L843" s="908"/>
      <c r="M843" s="878"/>
      <c r="N843" s="908"/>
      <c r="O843" s="907" t="s">
        <v>3476</v>
      </c>
      <c r="P843" s="903">
        <v>2016</v>
      </c>
      <c r="Q843" s="878"/>
      <c r="R843" s="878"/>
      <c r="S843" s="878"/>
      <c r="T843" s="903" t="s">
        <v>12</v>
      </c>
      <c r="U843" s="879">
        <v>708347994.3886112</v>
      </c>
      <c r="V843" s="903"/>
      <c r="W843" s="931"/>
      <c r="X843" s="971"/>
      <c r="Y843" s="884" t="str">
        <f t="shared" si="251"/>
        <v>04.14.01</v>
      </c>
      <c r="Z843" s="884" t="str">
        <f t="shared" si="252"/>
        <v>Bangunan Air Irigasi</v>
      </c>
      <c r="AA843" s="884">
        <f t="shared" si="253"/>
        <v>50</v>
      </c>
      <c r="AB843" s="868">
        <f t="shared" si="254"/>
        <v>14166959.887772225</v>
      </c>
      <c r="AC843" s="885">
        <f t="shared" si="255"/>
        <v>0</v>
      </c>
      <c r="AD843" s="868">
        <f t="shared" si="256"/>
        <v>0</v>
      </c>
      <c r="AE843" s="868">
        <v>0</v>
      </c>
      <c r="AF843" s="868">
        <v>0</v>
      </c>
      <c r="AG843" s="868">
        <f t="shared" si="258"/>
        <v>14166959.887772225</v>
      </c>
      <c r="AH843" s="868">
        <f t="shared" si="259"/>
        <v>14166959.887772225</v>
      </c>
      <c r="AI843" s="886">
        <f t="shared" si="260"/>
        <v>14166959.887772225</v>
      </c>
      <c r="AJ843" s="886">
        <f t="shared" si="250"/>
        <v>42500879.663316675</v>
      </c>
      <c r="AK843" s="868">
        <f t="shared" si="261"/>
        <v>665847114.72529447</v>
      </c>
    </row>
    <row r="844" spans="5:37" s="857" customFormat="1" ht="35.25" customHeight="1" x14ac:dyDescent="0.2">
      <c r="E844" s="884" t="s">
        <v>2306</v>
      </c>
      <c r="F844" s="890"/>
      <c r="G844" s="936" t="s">
        <v>1549</v>
      </c>
      <c r="H844" s="915"/>
      <c r="I844" s="930" t="s">
        <v>4199</v>
      </c>
      <c r="J844" s="878"/>
      <c r="K844" s="903"/>
      <c r="L844" s="908"/>
      <c r="M844" s="878"/>
      <c r="N844" s="908"/>
      <c r="O844" s="907" t="s">
        <v>3445</v>
      </c>
      <c r="P844" s="903">
        <v>2016</v>
      </c>
      <c r="Q844" s="878"/>
      <c r="R844" s="878"/>
      <c r="S844" s="878"/>
      <c r="T844" s="903" t="s">
        <v>12</v>
      </c>
      <c r="U844" s="879">
        <v>190702953</v>
      </c>
      <c r="V844" s="903"/>
      <c r="W844" s="931"/>
      <c r="X844" s="971"/>
      <c r="Y844" s="884" t="str">
        <f t="shared" si="251"/>
        <v>04.14.01</v>
      </c>
      <c r="Z844" s="884" t="str">
        <f t="shared" si="252"/>
        <v>Bangunan Air Irigasi</v>
      </c>
      <c r="AA844" s="884">
        <f t="shared" si="253"/>
        <v>50</v>
      </c>
      <c r="AB844" s="868">
        <f t="shared" si="254"/>
        <v>3814059.06</v>
      </c>
      <c r="AC844" s="885">
        <f t="shared" si="255"/>
        <v>0</v>
      </c>
      <c r="AD844" s="868">
        <f t="shared" si="256"/>
        <v>0</v>
      </c>
      <c r="AE844" s="868">
        <v>0</v>
      </c>
      <c r="AF844" s="868">
        <v>0</v>
      </c>
      <c r="AG844" s="868">
        <f t="shared" si="258"/>
        <v>3814059.06</v>
      </c>
      <c r="AH844" s="868">
        <f t="shared" si="259"/>
        <v>3814059.06</v>
      </c>
      <c r="AI844" s="886">
        <f t="shared" si="260"/>
        <v>3814059.06</v>
      </c>
      <c r="AJ844" s="886">
        <f t="shared" si="250"/>
        <v>11442177.18</v>
      </c>
      <c r="AK844" s="868">
        <f t="shared" si="261"/>
        <v>179260775.81999999</v>
      </c>
    </row>
    <row r="845" spans="5:37" s="857" customFormat="1" ht="35.25" customHeight="1" x14ac:dyDescent="0.2">
      <c r="E845" s="884" t="s">
        <v>2306</v>
      </c>
      <c r="F845" s="890"/>
      <c r="G845" s="936" t="s">
        <v>1603</v>
      </c>
      <c r="H845" s="915"/>
      <c r="I845" s="930" t="s">
        <v>4199</v>
      </c>
      <c r="J845" s="878"/>
      <c r="K845" s="903"/>
      <c r="L845" s="908"/>
      <c r="M845" s="878"/>
      <c r="N845" s="908"/>
      <c r="O845" s="907" t="s">
        <v>3450</v>
      </c>
      <c r="P845" s="903">
        <v>2016</v>
      </c>
      <c r="Q845" s="878"/>
      <c r="R845" s="878"/>
      <c r="S845" s="878"/>
      <c r="T845" s="903" t="s">
        <v>12</v>
      </c>
      <c r="U845" s="879">
        <v>320329000</v>
      </c>
      <c r="V845" s="903"/>
      <c r="W845" s="931"/>
      <c r="X845" s="971"/>
      <c r="Y845" s="884" t="str">
        <f t="shared" si="251"/>
        <v>04.14.01</v>
      </c>
      <c r="Z845" s="884" t="str">
        <f t="shared" si="252"/>
        <v>Bangunan Air Irigasi</v>
      </c>
      <c r="AA845" s="884">
        <f t="shared" si="253"/>
        <v>50</v>
      </c>
      <c r="AB845" s="868">
        <f t="shared" si="254"/>
        <v>6406580</v>
      </c>
      <c r="AC845" s="885">
        <f t="shared" si="255"/>
        <v>0</v>
      </c>
      <c r="AD845" s="868">
        <f t="shared" si="256"/>
        <v>0</v>
      </c>
      <c r="AE845" s="868">
        <v>0</v>
      </c>
      <c r="AF845" s="868">
        <v>0</v>
      </c>
      <c r="AG845" s="868">
        <f t="shared" si="258"/>
        <v>6406580</v>
      </c>
      <c r="AH845" s="868">
        <f t="shared" si="259"/>
        <v>6406580</v>
      </c>
      <c r="AI845" s="886">
        <f t="shared" si="260"/>
        <v>6406580</v>
      </c>
      <c r="AJ845" s="886">
        <f t="shared" si="250"/>
        <v>19219740</v>
      </c>
      <c r="AK845" s="868">
        <f t="shared" si="261"/>
        <v>301109260</v>
      </c>
    </row>
    <row r="846" spans="5:37" s="857" customFormat="1" ht="35.25" customHeight="1" x14ac:dyDescent="0.2">
      <c r="E846" s="884" t="s">
        <v>2306</v>
      </c>
      <c r="F846" s="890"/>
      <c r="G846" s="936" t="s">
        <v>2509</v>
      </c>
      <c r="H846" s="915"/>
      <c r="I846" s="903" t="s">
        <v>2510</v>
      </c>
      <c r="J846" s="878"/>
      <c r="K846" s="903"/>
      <c r="L846" s="908"/>
      <c r="M846" s="878"/>
      <c r="N846" s="908" t="s">
        <v>1776</v>
      </c>
      <c r="O846" s="907" t="s">
        <v>2576</v>
      </c>
      <c r="P846" s="903">
        <v>2015</v>
      </c>
      <c r="Q846" s="878"/>
      <c r="R846" s="878"/>
      <c r="S846" s="878"/>
      <c r="T846" s="903" t="s">
        <v>12</v>
      </c>
      <c r="U846" s="879">
        <v>919375000</v>
      </c>
      <c r="V846" s="903"/>
      <c r="W846" s="931"/>
      <c r="X846" s="971"/>
      <c r="Y846" s="884" t="str">
        <f t="shared" si="251"/>
        <v>04.14.02</v>
      </c>
      <c r="Z846" s="884" t="str">
        <f t="shared" si="252"/>
        <v>Bangunan Air Pasang Surut</v>
      </c>
      <c r="AA846" s="884">
        <f t="shared" si="253"/>
        <v>50</v>
      </c>
      <c r="AB846" s="868">
        <f t="shared" si="254"/>
        <v>18387500</v>
      </c>
      <c r="AC846" s="885">
        <f t="shared" si="255"/>
        <v>0</v>
      </c>
      <c r="AD846" s="868">
        <f t="shared" si="256"/>
        <v>0</v>
      </c>
      <c r="AE846" s="868">
        <v>0</v>
      </c>
      <c r="AF846" s="868">
        <f t="shared" si="257"/>
        <v>18387500</v>
      </c>
      <c r="AG846" s="868">
        <f t="shared" si="258"/>
        <v>18387500</v>
      </c>
      <c r="AH846" s="868">
        <f t="shared" si="259"/>
        <v>18387500</v>
      </c>
      <c r="AI846" s="886">
        <f t="shared" si="260"/>
        <v>18387500</v>
      </c>
      <c r="AJ846" s="886">
        <f t="shared" si="250"/>
        <v>73550000</v>
      </c>
      <c r="AK846" s="868">
        <f t="shared" si="261"/>
        <v>845825000</v>
      </c>
    </row>
    <row r="847" spans="5:37" s="857" customFormat="1" ht="35.25" customHeight="1" x14ac:dyDescent="0.2">
      <c r="E847" s="884" t="s">
        <v>2306</v>
      </c>
      <c r="F847" s="890"/>
      <c r="G847" s="936" t="s">
        <v>2511</v>
      </c>
      <c r="H847" s="915"/>
      <c r="I847" s="903" t="s">
        <v>2510</v>
      </c>
      <c r="J847" s="878"/>
      <c r="K847" s="903"/>
      <c r="L847" s="908"/>
      <c r="M847" s="878"/>
      <c r="N847" s="908" t="s">
        <v>2267</v>
      </c>
      <c r="O847" s="907" t="s">
        <v>2577</v>
      </c>
      <c r="P847" s="903">
        <v>2015</v>
      </c>
      <c r="Q847" s="878"/>
      <c r="R847" s="878"/>
      <c r="S847" s="878"/>
      <c r="T847" s="903" t="s">
        <v>12</v>
      </c>
      <c r="U847" s="879">
        <v>1775636000</v>
      </c>
      <c r="V847" s="903"/>
      <c r="W847" s="931"/>
      <c r="X847" s="971"/>
      <c r="Y847" s="884" t="str">
        <f t="shared" si="251"/>
        <v>04.14.02</v>
      </c>
      <c r="Z847" s="884" t="str">
        <f t="shared" si="252"/>
        <v>Bangunan Air Pasang Surut</v>
      </c>
      <c r="AA847" s="884">
        <f t="shared" si="253"/>
        <v>50</v>
      </c>
      <c r="AB847" s="868">
        <f t="shared" si="254"/>
        <v>35512720</v>
      </c>
      <c r="AC847" s="885">
        <f t="shared" si="255"/>
        <v>0</v>
      </c>
      <c r="AD847" s="868">
        <f t="shared" si="256"/>
        <v>0</v>
      </c>
      <c r="AE847" s="868">
        <v>0</v>
      </c>
      <c r="AF847" s="868">
        <f t="shared" si="257"/>
        <v>35512720</v>
      </c>
      <c r="AG847" s="868">
        <f t="shared" si="258"/>
        <v>35512720</v>
      </c>
      <c r="AH847" s="868">
        <f t="shared" si="259"/>
        <v>35512720</v>
      </c>
      <c r="AI847" s="886">
        <f t="shared" si="260"/>
        <v>35512720</v>
      </c>
      <c r="AJ847" s="886">
        <f t="shared" si="250"/>
        <v>142050880</v>
      </c>
      <c r="AK847" s="868">
        <f t="shared" si="261"/>
        <v>1633585120</v>
      </c>
    </row>
    <row r="848" spans="5:37" s="857" customFormat="1" ht="35.25" customHeight="1" x14ac:dyDescent="0.2">
      <c r="E848" s="884" t="s">
        <v>2306</v>
      </c>
      <c r="F848" s="890"/>
      <c r="G848" s="878" t="s">
        <v>2512</v>
      </c>
      <c r="H848" s="879"/>
      <c r="I848" s="903" t="s">
        <v>2510</v>
      </c>
      <c r="J848" s="878"/>
      <c r="K848" s="903"/>
      <c r="L848" s="908"/>
      <c r="M848" s="878"/>
      <c r="N848" s="908"/>
      <c r="O848" s="907"/>
      <c r="P848" s="903">
        <v>2015</v>
      </c>
      <c r="Q848" s="878"/>
      <c r="R848" s="878"/>
      <c r="S848" s="878"/>
      <c r="T848" s="903" t="s">
        <v>12</v>
      </c>
      <c r="U848" s="879">
        <v>314300000</v>
      </c>
      <c r="V848" s="903"/>
      <c r="W848" s="931"/>
      <c r="X848" s="971"/>
      <c r="Y848" s="884" t="str">
        <f t="shared" si="251"/>
        <v>04.14.02</v>
      </c>
      <c r="Z848" s="884" t="str">
        <f t="shared" si="252"/>
        <v>Bangunan Air Pasang Surut</v>
      </c>
      <c r="AA848" s="884">
        <f t="shared" si="253"/>
        <v>50</v>
      </c>
      <c r="AB848" s="868">
        <f t="shared" si="254"/>
        <v>6286000</v>
      </c>
      <c r="AC848" s="885">
        <f t="shared" si="255"/>
        <v>0</v>
      </c>
      <c r="AD848" s="868">
        <f t="shared" si="256"/>
        <v>0</v>
      </c>
      <c r="AE848" s="868">
        <v>0</v>
      </c>
      <c r="AF848" s="868">
        <f t="shared" si="257"/>
        <v>6286000</v>
      </c>
      <c r="AG848" s="868">
        <f t="shared" si="258"/>
        <v>6286000</v>
      </c>
      <c r="AH848" s="868">
        <f t="shared" si="259"/>
        <v>6286000</v>
      </c>
      <c r="AI848" s="886">
        <f t="shared" si="260"/>
        <v>6286000</v>
      </c>
      <c r="AJ848" s="886">
        <f t="shared" si="250"/>
        <v>25144000</v>
      </c>
      <c r="AK848" s="868">
        <f t="shared" si="261"/>
        <v>289156000</v>
      </c>
    </row>
    <row r="849" spans="5:37" s="857" customFormat="1" ht="35.25" customHeight="1" x14ac:dyDescent="0.2">
      <c r="E849" s="884"/>
      <c r="F849" s="890"/>
      <c r="G849" s="878" t="s">
        <v>2513</v>
      </c>
      <c r="H849" s="879"/>
      <c r="I849" s="903" t="s">
        <v>2514</v>
      </c>
      <c r="J849" s="878"/>
      <c r="K849" s="903"/>
      <c r="L849" s="908"/>
      <c r="M849" s="878"/>
      <c r="N849" s="908"/>
      <c r="O849" s="907" t="s">
        <v>2578</v>
      </c>
      <c r="P849" s="903">
        <v>2017</v>
      </c>
      <c r="Q849" s="878"/>
      <c r="R849" s="878"/>
      <c r="S849" s="878"/>
      <c r="T849" s="903" t="s">
        <v>12</v>
      </c>
      <c r="U849" s="879">
        <v>381279000</v>
      </c>
      <c r="V849" s="903"/>
      <c r="W849" s="931"/>
      <c r="X849" s="971"/>
      <c r="Y849" s="884" t="str">
        <f t="shared" si="251"/>
        <v>04.14.02</v>
      </c>
      <c r="Z849" s="884" t="str">
        <f t="shared" si="252"/>
        <v>Bangunan Air Pasang Surut</v>
      </c>
      <c r="AA849" s="884">
        <f t="shared" si="253"/>
        <v>50</v>
      </c>
      <c r="AB849" s="868">
        <f t="shared" si="254"/>
        <v>7625580</v>
      </c>
      <c r="AC849" s="885">
        <f t="shared" si="255"/>
        <v>0</v>
      </c>
      <c r="AD849" s="868">
        <f t="shared" si="256"/>
        <v>0</v>
      </c>
      <c r="AE849" s="868">
        <v>0</v>
      </c>
      <c r="AF849" s="868">
        <v>0</v>
      </c>
      <c r="AG849" s="868">
        <v>0</v>
      </c>
      <c r="AH849" s="868">
        <f t="shared" si="259"/>
        <v>7625580</v>
      </c>
      <c r="AI849" s="886">
        <f t="shared" si="260"/>
        <v>7625580</v>
      </c>
      <c r="AJ849" s="886">
        <f t="shared" si="250"/>
        <v>15251160</v>
      </c>
      <c r="AK849" s="868">
        <f t="shared" si="261"/>
        <v>366027840</v>
      </c>
    </row>
    <row r="850" spans="5:37" s="857" customFormat="1" ht="35.25" customHeight="1" x14ac:dyDescent="0.2">
      <c r="E850" s="884"/>
      <c r="F850" s="890"/>
      <c r="G850" s="878" t="s">
        <v>2515</v>
      </c>
      <c r="H850" s="879"/>
      <c r="I850" s="903" t="s">
        <v>2514</v>
      </c>
      <c r="J850" s="878"/>
      <c r="K850" s="903"/>
      <c r="L850" s="908"/>
      <c r="M850" s="878"/>
      <c r="N850" s="908"/>
      <c r="O850" s="907" t="s">
        <v>2579</v>
      </c>
      <c r="P850" s="903">
        <v>2017</v>
      </c>
      <c r="Q850" s="878"/>
      <c r="R850" s="878"/>
      <c r="S850" s="878"/>
      <c r="T850" s="903" t="s">
        <v>12</v>
      </c>
      <c r="U850" s="879">
        <v>199532000</v>
      </c>
      <c r="V850" s="903"/>
      <c r="W850" s="931"/>
      <c r="X850" s="971"/>
      <c r="Y850" s="884" t="str">
        <f t="shared" si="251"/>
        <v>04.14.02</v>
      </c>
      <c r="Z850" s="884" t="str">
        <f t="shared" si="252"/>
        <v>Bangunan Air Pasang Surut</v>
      </c>
      <c r="AA850" s="884">
        <f t="shared" si="253"/>
        <v>50</v>
      </c>
      <c r="AB850" s="868">
        <f t="shared" si="254"/>
        <v>3990640</v>
      </c>
      <c r="AC850" s="885">
        <f t="shared" si="255"/>
        <v>0</v>
      </c>
      <c r="AD850" s="868">
        <f t="shared" si="256"/>
        <v>0</v>
      </c>
      <c r="AE850" s="868">
        <v>0</v>
      </c>
      <c r="AF850" s="868">
        <v>0</v>
      </c>
      <c r="AG850" s="868">
        <v>0</v>
      </c>
      <c r="AH850" s="868">
        <f t="shared" si="259"/>
        <v>3990640</v>
      </c>
      <c r="AI850" s="886">
        <f t="shared" si="260"/>
        <v>3990640</v>
      </c>
      <c r="AJ850" s="886">
        <f t="shared" si="250"/>
        <v>7981280</v>
      </c>
      <c r="AK850" s="868">
        <f t="shared" si="261"/>
        <v>191550720</v>
      </c>
    </row>
    <row r="851" spans="5:37" s="857" customFormat="1" ht="35.25" customHeight="1" x14ac:dyDescent="0.2">
      <c r="E851" s="884"/>
      <c r="F851" s="890"/>
      <c r="G851" s="878" t="s">
        <v>2516</v>
      </c>
      <c r="H851" s="879"/>
      <c r="I851" s="903" t="s">
        <v>2514</v>
      </c>
      <c r="J851" s="878"/>
      <c r="K851" s="903"/>
      <c r="L851" s="908"/>
      <c r="M851" s="878"/>
      <c r="N851" s="908"/>
      <c r="O851" s="907" t="s">
        <v>2580</v>
      </c>
      <c r="P851" s="903">
        <v>2017</v>
      </c>
      <c r="Q851" s="878"/>
      <c r="R851" s="878"/>
      <c r="S851" s="878"/>
      <c r="T851" s="903" t="s">
        <v>12</v>
      </c>
      <c r="U851" s="879">
        <v>199380000</v>
      </c>
      <c r="V851" s="903"/>
      <c r="W851" s="931"/>
      <c r="X851" s="971"/>
      <c r="Y851" s="884" t="str">
        <f t="shared" si="251"/>
        <v>04.14.02</v>
      </c>
      <c r="Z851" s="884" t="str">
        <f t="shared" si="252"/>
        <v>Bangunan Air Pasang Surut</v>
      </c>
      <c r="AA851" s="884">
        <f t="shared" si="253"/>
        <v>50</v>
      </c>
      <c r="AB851" s="868">
        <f t="shared" si="254"/>
        <v>3987600</v>
      </c>
      <c r="AC851" s="885">
        <f t="shared" si="255"/>
        <v>0</v>
      </c>
      <c r="AD851" s="868">
        <f t="shared" si="256"/>
        <v>0</v>
      </c>
      <c r="AE851" s="868">
        <v>0</v>
      </c>
      <c r="AF851" s="868">
        <v>0</v>
      </c>
      <c r="AG851" s="868">
        <v>0</v>
      </c>
      <c r="AH851" s="868">
        <f t="shared" si="259"/>
        <v>3987600</v>
      </c>
      <c r="AI851" s="886">
        <f t="shared" si="260"/>
        <v>3987600</v>
      </c>
      <c r="AJ851" s="886">
        <f t="shared" si="250"/>
        <v>7975200</v>
      </c>
      <c r="AK851" s="868">
        <f t="shared" si="261"/>
        <v>191404800</v>
      </c>
    </row>
    <row r="852" spans="5:37" s="857" customFormat="1" ht="35.25" customHeight="1" x14ac:dyDescent="0.2">
      <c r="E852" s="884"/>
      <c r="F852" s="890"/>
      <c r="G852" s="878" t="s">
        <v>2517</v>
      </c>
      <c r="H852" s="879"/>
      <c r="I852" s="903" t="s">
        <v>2514</v>
      </c>
      <c r="J852" s="878"/>
      <c r="K852" s="903"/>
      <c r="L852" s="908"/>
      <c r="M852" s="878"/>
      <c r="N852" s="908"/>
      <c r="O852" s="907" t="s">
        <v>2581</v>
      </c>
      <c r="P852" s="903">
        <v>2017</v>
      </c>
      <c r="Q852" s="878"/>
      <c r="R852" s="878"/>
      <c r="S852" s="878"/>
      <c r="T852" s="903" t="s">
        <v>12</v>
      </c>
      <c r="U852" s="879">
        <v>199258000</v>
      </c>
      <c r="V852" s="903"/>
      <c r="W852" s="931"/>
      <c r="X852" s="971"/>
      <c r="Y852" s="884" t="str">
        <f t="shared" si="251"/>
        <v>04.14.02</v>
      </c>
      <c r="Z852" s="884" t="str">
        <f t="shared" si="252"/>
        <v>Bangunan Air Pasang Surut</v>
      </c>
      <c r="AA852" s="884">
        <f t="shared" si="253"/>
        <v>50</v>
      </c>
      <c r="AB852" s="868">
        <f t="shared" si="254"/>
        <v>3985160</v>
      </c>
      <c r="AC852" s="885">
        <f t="shared" si="255"/>
        <v>0</v>
      </c>
      <c r="AD852" s="868">
        <f t="shared" si="256"/>
        <v>0</v>
      </c>
      <c r="AE852" s="868">
        <v>0</v>
      </c>
      <c r="AF852" s="868">
        <v>0</v>
      </c>
      <c r="AG852" s="868">
        <v>0</v>
      </c>
      <c r="AH852" s="868">
        <f t="shared" si="259"/>
        <v>3985160</v>
      </c>
      <c r="AI852" s="886">
        <f t="shared" si="260"/>
        <v>3985160</v>
      </c>
      <c r="AJ852" s="886">
        <f t="shared" si="250"/>
        <v>7970320</v>
      </c>
      <c r="AK852" s="868">
        <f t="shared" si="261"/>
        <v>191287680</v>
      </c>
    </row>
    <row r="853" spans="5:37" s="857" customFormat="1" ht="35.25" customHeight="1" x14ac:dyDescent="0.2">
      <c r="E853" s="884"/>
      <c r="F853" s="890"/>
      <c r="G853" s="878" t="s">
        <v>2518</v>
      </c>
      <c r="H853" s="879"/>
      <c r="I853" s="903" t="s">
        <v>2514</v>
      </c>
      <c r="J853" s="878"/>
      <c r="K853" s="903"/>
      <c r="L853" s="908"/>
      <c r="M853" s="878"/>
      <c r="N853" s="908"/>
      <c r="O853" s="907" t="s">
        <v>2582</v>
      </c>
      <c r="P853" s="903">
        <v>2017</v>
      </c>
      <c r="Q853" s="878"/>
      <c r="R853" s="878"/>
      <c r="S853" s="878"/>
      <c r="T853" s="903" t="s">
        <v>12</v>
      </c>
      <c r="U853" s="879">
        <v>199383000</v>
      </c>
      <c r="V853" s="903"/>
      <c r="W853" s="931"/>
      <c r="X853" s="971"/>
      <c r="Y853" s="884" t="str">
        <f t="shared" si="251"/>
        <v>04.14.02</v>
      </c>
      <c r="Z853" s="884" t="str">
        <f t="shared" si="252"/>
        <v>Bangunan Air Pasang Surut</v>
      </c>
      <c r="AA853" s="884">
        <f t="shared" si="253"/>
        <v>50</v>
      </c>
      <c r="AB853" s="868">
        <f t="shared" si="254"/>
        <v>3987660</v>
      </c>
      <c r="AC853" s="885">
        <f t="shared" si="255"/>
        <v>0</v>
      </c>
      <c r="AD853" s="868">
        <f t="shared" si="256"/>
        <v>0</v>
      </c>
      <c r="AE853" s="868">
        <v>0</v>
      </c>
      <c r="AF853" s="868">
        <v>0</v>
      </c>
      <c r="AG853" s="868">
        <v>0</v>
      </c>
      <c r="AH853" s="868">
        <f t="shared" si="259"/>
        <v>3987660</v>
      </c>
      <c r="AI853" s="886">
        <f t="shared" si="260"/>
        <v>3987660</v>
      </c>
      <c r="AJ853" s="886">
        <f t="shared" si="250"/>
        <v>7975320</v>
      </c>
      <c r="AK853" s="868">
        <f t="shared" si="261"/>
        <v>191407680</v>
      </c>
    </row>
    <row r="854" spans="5:37" s="857" customFormat="1" ht="35.25" customHeight="1" x14ac:dyDescent="0.2">
      <c r="E854" s="884"/>
      <c r="F854" s="890"/>
      <c r="G854" s="878" t="s">
        <v>2519</v>
      </c>
      <c r="H854" s="879"/>
      <c r="I854" s="903" t="s">
        <v>2514</v>
      </c>
      <c r="J854" s="878"/>
      <c r="K854" s="903"/>
      <c r="L854" s="908"/>
      <c r="M854" s="878"/>
      <c r="N854" s="908"/>
      <c r="O854" s="907" t="s">
        <v>2583</v>
      </c>
      <c r="P854" s="903">
        <v>2017</v>
      </c>
      <c r="Q854" s="878"/>
      <c r="R854" s="878"/>
      <c r="S854" s="878"/>
      <c r="T854" s="903" t="s">
        <v>12</v>
      </c>
      <c r="U854" s="879">
        <v>192786800</v>
      </c>
      <c r="V854" s="903"/>
      <c r="W854" s="931"/>
      <c r="X854" s="971"/>
      <c r="Y854" s="884" t="str">
        <f t="shared" si="251"/>
        <v>04.14.02</v>
      </c>
      <c r="Z854" s="884" t="str">
        <f t="shared" si="252"/>
        <v>Bangunan Air Pasang Surut</v>
      </c>
      <c r="AA854" s="884">
        <f t="shared" si="253"/>
        <v>50</v>
      </c>
      <c r="AB854" s="868">
        <f t="shared" si="254"/>
        <v>3855736</v>
      </c>
      <c r="AC854" s="885">
        <f t="shared" si="255"/>
        <v>0</v>
      </c>
      <c r="AD854" s="868">
        <f t="shared" si="256"/>
        <v>0</v>
      </c>
      <c r="AE854" s="868">
        <v>0</v>
      </c>
      <c r="AF854" s="868">
        <v>0</v>
      </c>
      <c r="AG854" s="868">
        <v>0</v>
      </c>
      <c r="AH854" s="868">
        <f t="shared" si="259"/>
        <v>3855736</v>
      </c>
      <c r="AI854" s="886">
        <f t="shared" si="260"/>
        <v>3855736</v>
      </c>
      <c r="AJ854" s="886">
        <f t="shared" si="250"/>
        <v>7711472</v>
      </c>
      <c r="AK854" s="868">
        <f t="shared" si="261"/>
        <v>185075328</v>
      </c>
    </row>
    <row r="855" spans="5:37" s="857" customFormat="1" ht="35.25" customHeight="1" x14ac:dyDescent="0.2">
      <c r="E855" s="884"/>
      <c r="F855" s="890"/>
      <c r="G855" s="878" t="s">
        <v>2520</v>
      </c>
      <c r="H855" s="879"/>
      <c r="I855" s="903" t="s">
        <v>2514</v>
      </c>
      <c r="J855" s="878"/>
      <c r="K855" s="903"/>
      <c r="L855" s="908"/>
      <c r="M855" s="878"/>
      <c r="N855" s="908"/>
      <c r="O855" s="907" t="s">
        <v>2584</v>
      </c>
      <c r="P855" s="903">
        <v>2017</v>
      </c>
      <c r="Q855" s="878"/>
      <c r="R855" s="878"/>
      <c r="S855" s="878"/>
      <c r="T855" s="903" t="s">
        <v>12</v>
      </c>
      <c r="U855" s="879">
        <v>187810000</v>
      </c>
      <c r="V855" s="903"/>
      <c r="W855" s="931"/>
      <c r="X855" s="971"/>
      <c r="Y855" s="884" t="str">
        <f t="shared" si="251"/>
        <v>04.14.02</v>
      </c>
      <c r="Z855" s="884" t="str">
        <f t="shared" si="252"/>
        <v>Bangunan Air Pasang Surut</v>
      </c>
      <c r="AA855" s="884">
        <f t="shared" si="253"/>
        <v>50</v>
      </c>
      <c r="AB855" s="868">
        <f t="shared" si="254"/>
        <v>3756200</v>
      </c>
      <c r="AC855" s="885">
        <f t="shared" si="255"/>
        <v>0</v>
      </c>
      <c r="AD855" s="868">
        <f t="shared" si="256"/>
        <v>0</v>
      </c>
      <c r="AE855" s="868">
        <v>0</v>
      </c>
      <c r="AF855" s="868">
        <v>0</v>
      </c>
      <c r="AG855" s="868">
        <v>0</v>
      </c>
      <c r="AH855" s="868">
        <f t="shared" si="259"/>
        <v>3756200</v>
      </c>
      <c r="AI855" s="886">
        <f t="shared" si="260"/>
        <v>3756200</v>
      </c>
      <c r="AJ855" s="886">
        <f t="shared" si="250"/>
        <v>7512400</v>
      </c>
      <c r="AK855" s="868">
        <f t="shared" si="261"/>
        <v>180297600</v>
      </c>
    </row>
    <row r="856" spans="5:37" s="857" customFormat="1" ht="35.25" customHeight="1" x14ac:dyDescent="0.2">
      <c r="E856" s="884"/>
      <c r="F856" s="890"/>
      <c r="G856" s="878" t="s">
        <v>2521</v>
      </c>
      <c r="H856" s="879"/>
      <c r="I856" s="903" t="s">
        <v>2514</v>
      </c>
      <c r="J856" s="878"/>
      <c r="K856" s="903"/>
      <c r="L856" s="908"/>
      <c r="M856" s="878"/>
      <c r="N856" s="908"/>
      <c r="O856" s="907" t="s">
        <v>2585</v>
      </c>
      <c r="P856" s="903">
        <v>2017</v>
      </c>
      <c r="Q856" s="878"/>
      <c r="R856" s="878"/>
      <c r="S856" s="878"/>
      <c r="T856" s="903" t="s">
        <v>12</v>
      </c>
      <c r="U856" s="879">
        <v>199345000</v>
      </c>
      <c r="V856" s="903"/>
      <c r="W856" s="931"/>
      <c r="X856" s="971"/>
      <c r="Y856" s="884" t="str">
        <f t="shared" si="251"/>
        <v>04.14.02</v>
      </c>
      <c r="Z856" s="884" t="str">
        <f t="shared" si="252"/>
        <v>Bangunan Air Pasang Surut</v>
      </c>
      <c r="AA856" s="884">
        <f t="shared" si="253"/>
        <v>50</v>
      </c>
      <c r="AB856" s="868">
        <f t="shared" si="254"/>
        <v>3986900</v>
      </c>
      <c r="AC856" s="885">
        <f t="shared" si="255"/>
        <v>0</v>
      </c>
      <c r="AD856" s="868">
        <f t="shared" si="256"/>
        <v>0</v>
      </c>
      <c r="AE856" s="868">
        <v>0</v>
      </c>
      <c r="AF856" s="868">
        <v>0</v>
      </c>
      <c r="AG856" s="868">
        <v>0</v>
      </c>
      <c r="AH856" s="868">
        <f t="shared" si="259"/>
        <v>3986900</v>
      </c>
      <c r="AI856" s="886">
        <f t="shared" si="260"/>
        <v>3986900</v>
      </c>
      <c r="AJ856" s="886">
        <f t="shared" si="250"/>
        <v>7973800</v>
      </c>
      <c r="AK856" s="868">
        <f t="shared" si="261"/>
        <v>191371200</v>
      </c>
    </row>
    <row r="857" spans="5:37" s="857" customFormat="1" ht="35.25" customHeight="1" x14ac:dyDescent="0.2">
      <c r="E857" s="884"/>
      <c r="F857" s="890"/>
      <c r="G857" s="878" t="s">
        <v>2522</v>
      </c>
      <c r="H857" s="879"/>
      <c r="I857" s="903" t="s">
        <v>2514</v>
      </c>
      <c r="J857" s="878"/>
      <c r="K857" s="903"/>
      <c r="L857" s="908"/>
      <c r="M857" s="878"/>
      <c r="N857" s="908"/>
      <c r="O857" s="907" t="s">
        <v>2586</v>
      </c>
      <c r="P857" s="903">
        <v>2017</v>
      </c>
      <c r="Q857" s="878"/>
      <c r="R857" s="878"/>
      <c r="S857" s="878"/>
      <c r="T857" s="903" t="s">
        <v>12</v>
      </c>
      <c r="U857" s="879">
        <v>199750000</v>
      </c>
      <c r="V857" s="903"/>
      <c r="W857" s="931"/>
      <c r="X857" s="971"/>
      <c r="Y857" s="884" t="str">
        <f t="shared" si="251"/>
        <v>04.14.02</v>
      </c>
      <c r="Z857" s="884" t="str">
        <f t="shared" si="252"/>
        <v>Bangunan Air Pasang Surut</v>
      </c>
      <c r="AA857" s="884">
        <f t="shared" si="253"/>
        <v>50</v>
      </c>
      <c r="AB857" s="868">
        <f t="shared" si="254"/>
        <v>3995000</v>
      </c>
      <c r="AC857" s="885">
        <f t="shared" si="255"/>
        <v>0</v>
      </c>
      <c r="AD857" s="868">
        <f t="shared" si="256"/>
        <v>0</v>
      </c>
      <c r="AE857" s="868">
        <v>0</v>
      </c>
      <c r="AF857" s="868">
        <v>0</v>
      </c>
      <c r="AG857" s="868">
        <v>0</v>
      </c>
      <c r="AH857" s="868">
        <f t="shared" si="259"/>
        <v>3995000</v>
      </c>
      <c r="AI857" s="886">
        <f t="shared" si="260"/>
        <v>3995000</v>
      </c>
      <c r="AJ857" s="886">
        <f t="shared" si="250"/>
        <v>7990000</v>
      </c>
      <c r="AK857" s="868">
        <f t="shared" si="261"/>
        <v>191760000</v>
      </c>
    </row>
    <row r="858" spans="5:37" s="857" customFormat="1" ht="35.25" customHeight="1" x14ac:dyDescent="0.2">
      <c r="E858" s="884"/>
      <c r="F858" s="890"/>
      <c r="G858" s="878" t="s">
        <v>2523</v>
      </c>
      <c r="H858" s="879"/>
      <c r="I858" s="903" t="s">
        <v>2514</v>
      </c>
      <c r="J858" s="878"/>
      <c r="K858" s="903"/>
      <c r="L858" s="908"/>
      <c r="M858" s="878"/>
      <c r="N858" s="908"/>
      <c r="O858" s="907" t="s">
        <v>2587</v>
      </c>
      <c r="P858" s="903">
        <v>2017</v>
      </c>
      <c r="Q858" s="878"/>
      <c r="R858" s="878"/>
      <c r="S858" s="878"/>
      <c r="T858" s="903" t="s">
        <v>12</v>
      </c>
      <c r="U858" s="879">
        <v>199353000</v>
      </c>
      <c r="V858" s="903"/>
      <c r="W858" s="931"/>
      <c r="X858" s="971"/>
      <c r="Y858" s="884" t="str">
        <f t="shared" si="251"/>
        <v>04.14.02</v>
      </c>
      <c r="Z858" s="884" t="str">
        <f t="shared" si="252"/>
        <v>Bangunan Air Pasang Surut</v>
      </c>
      <c r="AA858" s="884">
        <f t="shared" si="253"/>
        <v>50</v>
      </c>
      <c r="AB858" s="868">
        <f t="shared" si="254"/>
        <v>3987060</v>
      </c>
      <c r="AC858" s="885">
        <f t="shared" si="255"/>
        <v>0</v>
      </c>
      <c r="AD858" s="868">
        <f t="shared" si="256"/>
        <v>0</v>
      </c>
      <c r="AE858" s="868">
        <v>0</v>
      </c>
      <c r="AF858" s="868">
        <v>0</v>
      </c>
      <c r="AG858" s="868">
        <v>0</v>
      </c>
      <c r="AH858" s="868">
        <f t="shared" si="259"/>
        <v>3987060</v>
      </c>
      <c r="AI858" s="886">
        <f t="shared" si="260"/>
        <v>3987060</v>
      </c>
      <c r="AJ858" s="886">
        <f t="shared" si="250"/>
        <v>7974120</v>
      </c>
      <c r="AK858" s="868">
        <f t="shared" si="261"/>
        <v>191378880</v>
      </c>
    </row>
    <row r="859" spans="5:37" s="857" customFormat="1" ht="35.25" customHeight="1" x14ac:dyDescent="0.2">
      <c r="E859" s="884"/>
      <c r="F859" s="890"/>
      <c r="G859" s="878" t="s">
        <v>2524</v>
      </c>
      <c r="H859" s="879"/>
      <c r="I859" s="903" t="s">
        <v>2525</v>
      </c>
      <c r="J859" s="878"/>
      <c r="K859" s="903"/>
      <c r="L859" s="908"/>
      <c r="M859" s="878"/>
      <c r="N859" s="908"/>
      <c r="O859" s="907" t="s">
        <v>2588</v>
      </c>
      <c r="P859" s="903">
        <v>2017</v>
      </c>
      <c r="Q859" s="878"/>
      <c r="R859" s="878"/>
      <c r="S859" s="878"/>
      <c r="T859" s="903" t="s">
        <v>12</v>
      </c>
      <c r="U859" s="879">
        <v>1530321000</v>
      </c>
      <c r="V859" s="903"/>
      <c r="W859" s="931"/>
      <c r="X859" s="971"/>
      <c r="Y859" s="884" t="str">
        <f t="shared" si="251"/>
        <v>04.14.04</v>
      </c>
      <c r="Z859" s="884" t="str">
        <f t="shared" si="252"/>
        <v>Bangunan Pengaman Sungai dan Penanggulangan Bencana Alam</v>
      </c>
      <c r="AA859" s="884">
        <f t="shared" si="253"/>
        <v>10</v>
      </c>
      <c r="AB859" s="868">
        <f t="shared" si="254"/>
        <v>153032100</v>
      </c>
      <c r="AC859" s="885">
        <f t="shared" si="255"/>
        <v>0</v>
      </c>
      <c r="AD859" s="868">
        <f t="shared" si="256"/>
        <v>0</v>
      </c>
      <c r="AE859" s="868">
        <v>0</v>
      </c>
      <c r="AF859" s="868">
        <v>0</v>
      </c>
      <c r="AG859" s="868">
        <v>0</v>
      </c>
      <c r="AH859" s="868">
        <f t="shared" si="259"/>
        <v>153032100</v>
      </c>
      <c r="AI859" s="886">
        <f t="shared" si="260"/>
        <v>153032100</v>
      </c>
      <c r="AJ859" s="886">
        <f t="shared" si="250"/>
        <v>306064200</v>
      </c>
      <c r="AK859" s="868">
        <f t="shared" si="261"/>
        <v>1224256800</v>
      </c>
    </row>
    <row r="860" spans="5:37" s="857" customFormat="1" ht="35.25" customHeight="1" x14ac:dyDescent="0.2">
      <c r="E860" s="884"/>
      <c r="F860" s="890"/>
      <c r="G860" s="878" t="s">
        <v>2526</v>
      </c>
      <c r="H860" s="879"/>
      <c r="I860" s="903" t="s">
        <v>2525</v>
      </c>
      <c r="J860" s="878"/>
      <c r="K860" s="903"/>
      <c r="L860" s="908"/>
      <c r="M860" s="878"/>
      <c r="N860" s="908"/>
      <c r="O860" s="907" t="s">
        <v>2589</v>
      </c>
      <c r="P860" s="903">
        <v>2017</v>
      </c>
      <c r="Q860" s="878"/>
      <c r="R860" s="878"/>
      <c r="S860" s="878"/>
      <c r="T860" s="903" t="s">
        <v>12</v>
      </c>
      <c r="U860" s="879">
        <v>549746000</v>
      </c>
      <c r="V860" s="903"/>
      <c r="W860" s="931"/>
      <c r="X860" s="971"/>
      <c r="Y860" s="884" t="str">
        <f t="shared" si="251"/>
        <v>04.14.04</v>
      </c>
      <c r="Z860" s="884" t="str">
        <f t="shared" si="252"/>
        <v>Bangunan Pengaman Sungai dan Penanggulangan Bencana Alam</v>
      </c>
      <c r="AA860" s="884">
        <f t="shared" si="253"/>
        <v>10</v>
      </c>
      <c r="AB860" s="868">
        <f t="shared" si="254"/>
        <v>54974600</v>
      </c>
      <c r="AC860" s="885">
        <f t="shared" si="255"/>
        <v>0</v>
      </c>
      <c r="AD860" s="868">
        <f t="shared" si="256"/>
        <v>0</v>
      </c>
      <c r="AE860" s="868">
        <v>0</v>
      </c>
      <c r="AF860" s="868">
        <v>0</v>
      </c>
      <c r="AG860" s="868">
        <v>0</v>
      </c>
      <c r="AH860" s="868">
        <f t="shared" si="259"/>
        <v>54974600</v>
      </c>
      <c r="AI860" s="886">
        <f t="shared" si="260"/>
        <v>54974600</v>
      </c>
      <c r="AJ860" s="886">
        <f t="shared" si="250"/>
        <v>109949200</v>
      </c>
      <c r="AK860" s="868">
        <f t="shared" si="261"/>
        <v>439796800</v>
      </c>
    </row>
    <row r="861" spans="5:37" s="857" customFormat="1" ht="35.25" customHeight="1" x14ac:dyDescent="0.2">
      <c r="E861" s="884"/>
      <c r="F861" s="890"/>
      <c r="G861" s="878" t="s">
        <v>2527</v>
      </c>
      <c r="H861" s="879"/>
      <c r="I861" s="903" t="s">
        <v>2525</v>
      </c>
      <c r="J861" s="878"/>
      <c r="K861" s="903"/>
      <c r="L861" s="908"/>
      <c r="M861" s="878"/>
      <c r="N861" s="908"/>
      <c r="O861" s="907" t="s">
        <v>2590</v>
      </c>
      <c r="P861" s="903">
        <v>2017</v>
      </c>
      <c r="Q861" s="878"/>
      <c r="R861" s="878"/>
      <c r="S861" s="878"/>
      <c r="T861" s="903" t="s">
        <v>12</v>
      </c>
      <c r="U861" s="879">
        <v>199395000</v>
      </c>
      <c r="V861" s="903"/>
      <c r="W861" s="931"/>
      <c r="X861" s="971"/>
      <c r="Y861" s="884" t="str">
        <f t="shared" si="251"/>
        <v>04.14.04</v>
      </c>
      <c r="Z861" s="884" t="str">
        <f t="shared" si="252"/>
        <v>Bangunan Pengaman Sungai dan Penanggulangan Bencana Alam</v>
      </c>
      <c r="AA861" s="884">
        <f t="shared" si="253"/>
        <v>10</v>
      </c>
      <c r="AB861" s="868">
        <f t="shared" si="254"/>
        <v>19939500</v>
      </c>
      <c r="AC861" s="885">
        <f t="shared" si="255"/>
        <v>0</v>
      </c>
      <c r="AD861" s="868">
        <f t="shared" si="256"/>
        <v>0</v>
      </c>
      <c r="AE861" s="868">
        <v>0</v>
      </c>
      <c r="AF861" s="868">
        <v>0</v>
      </c>
      <c r="AG861" s="868">
        <v>0</v>
      </c>
      <c r="AH861" s="868">
        <f t="shared" si="259"/>
        <v>19939500</v>
      </c>
      <c r="AI861" s="886">
        <f t="shared" si="260"/>
        <v>19939500</v>
      </c>
      <c r="AJ861" s="886">
        <f t="shared" si="250"/>
        <v>39879000</v>
      </c>
      <c r="AK861" s="868">
        <f t="shared" si="261"/>
        <v>159516000</v>
      </c>
    </row>
    <row r="862" spans="5:37" s="857" customFormat="1" ht="35.25" customHeight="1" x14ac:dyDescent="0.2">
      <c r="E862" s="884"/>
      <c r="F862" s="890"/>
      <c r="G862" s="878" t="s">
        <v>2528</v>
      </c>
      <c r="H862" s="879"/>
      <c r="I862" s="903" t="s">
        <v>2514</v>
      </c>
      <c r="J862" s="878"/>
      <c r="K862" s="903"/>
      <c r="L862" s="908"/>
      <c r="M862" s="878"/>
      <c r="N862" s="908"/>
      <c r="O862" s="907" t="s">
        <v>2591</v>
      </c>
      <c r="P862" s="903">
        <v>2017</v>
      </c>
      <c r="Q862" s="878"/>
      <c r="R862" s="878"/>
      <c r="S862" s="878"/>
      <c r="T862" s="903" t="s">
        <v>12</v>
      </c>
      <c r="U862" s="879">
        <v>149780000</v>
      </c>
      <c r="V862" s="903"/>
      <c r="W862" s="931"/>
      <c r="X862" s="971"/>
      <c r="Y862" s="884" t="str">
        <f t="shared" si="251"/>
        <v>04.14.02</v>
      </c>
      <c r="Z862" s="884" t="str">
        <f t="shared" si="252"/>
        <v>Bangunan Air Pasang Surut</v>
      </c>
      <c r="AA862" s="884">
        <f t="shared" si="253"/>
        <v>50</v>
      </c>
      <c r="AB862" s="868">
        <f t="shared" si="254"/>
        <v>2995600</v>
      </c>
      <c r="AC862" s="885">
        <f t="shared" si="255"/>
        <v>0</v>
      </c>
      <c r="AD862" s="868">
        <f t="shared" si="256"/>
        <v>0</v>
      </c>
      <c r="AE862" s="868">
        <v>0</v>
      </c>
      <c r="AF862" s="868">
        <v>0</v>
      </c>
      <c r="AG862" s="868">
        <v>0</v>
      </c>
      <c r="AH862" s="868">
        <f t="shared" si="259"/>
        <v>2995600</v>
      </c>
      <c r="AI862" s="886">
        <f t="shared" si="260"/>
        <v>2995600</v>
      </c>
      <c r="AJ862" s="886">
        <f t="shared" si="250"/>
        <v>5991200</v>
      </c>
      <c r="AK862" s="868">
        <f t="shared" si="261"/>
        <v>143788800</v>
      </c>
    </row>
    <row r="863" spans="5:37" s="857" customFormat="1" ht="35.25" customHeight="1" x14ac:dyDescent="0.2">
      <c r="E863" s="884"/>
      <c r="F863" s="890"/>
      <c r="G863" s="878" t="s">
        <v>2529</v>
      </c>
      <c r="H863" s="879"/>
      <c r="I863" s="903" t="s">
        <v>2525</v>
      </c>
      <c r="J863" s="878"/>
      <c r="K863" s="903"/>
      <c r="L863" s="908"/>
      <c r="M863" s="878"/>
      <c r="N863" s="908"/>
      <c r="O863" s="907" t="s">
        <v>2592</v>
      </c>
      <c r="P863" s="903">
        <v>2017</v>
      </c>
      <c r="Q863" s="878"/>
      <c r="R863" s="878"/>
      <c r="S863" s="878"/>
      <c r="T863" s="903" t="s">
        <v>12</v>
      </c>
      <c r="U863" s="879">
        <v>199003000</v>
      </c>
      <c r="V863" s="903"/>
      <c r="W863" s="931"/>
      <c r="X863" s="971"/>
      <c r="Y863" s="884" t="str">
        <f t="shared" si="251"/>
        <v>04.14.04</v>
      </c>
      <c r="Z863" s="884" t="str">
        <f t="shared" si="252"/>
        <v>Bangunan Pengaman Sungai dan Penanggulangan Bencana Alam</v>
      </c>
      <c r="AA863" s="884">
        <f t="shared" si="253"/>
        <v>10</v>
      </c>
      <c r="AB863" s="868">
        <f t="shared" si="254"/>
        <v>19900300</v>
      </c>
      <c r="AC863" s="885">
        <f t="shared" si="255"/>
        <v>0</v>
      </c>
      <c r="AD863" s="868">
        <f t="shared" si="256"/>
        <v>0</v>
      </c>
      <c r="AE863" s="868">
        <v>0</v>
      </c>
      <c r="AF863" s="868">
        <v>0</v>
      </c>
      <c r="AG863" s="868">
        <v>0</v>
      </c>
      <c r="AH863" s="868">
        <f t="shared" si="259"/>
        <v>19900300</v>
      </c>
      <c r="AI863" s="886">
        <f t="shared" si="260"/>
        <v>19900300</v>
      </c>
      <c r="AJ863" s="886">
        <f t="shared" si="250"/>
        <v>39800600</v>
      </c>
      <c r="AK863" s="868">
        <f t="shared" si="261"/>
        <v>159202400</v>
      </c>
    </row>
    <row r="864" spans="5:37" s="857" customFormat="1" ht="35.25" customHeight="1" x14ac:dyDescent="0.2">
      <c r="E864" s="884"/>
      <c r="F864" s="890"/>
      <c r="G864" s="878" t="s">
        <v>2530</v>
      </c>
      <c r="H864" s="879"/>
      <c r="I864" s="903" t="s">
        <v>2525</v>
      </c>
      <c r="J864" s="878"/>
      <c r="K864" s="903"/>
      <c r="L864" s="908"/>
      <c r="M864" s="878"/>
      <c r="N864" s="908"/>
      <c r="O864" s="907" t="s">
        <v>2593</v>
      </c>
      <c r="P864" s="903">
        <v>2017</v>
      </c>
      <c r="Q864" s="878"/>
      <c r="R864" s="878"/>
      <c r="S864" s="878"/>
      <c r="T864" s="903" t="s">
        <v>12</v>
      </c>
      <c r="U864" s="879">
        <v>199491000</v>
      </c>
      <c r="V864" s="903"/>
      <c r="W864" s="931"/>
      <c r="X864" s="971"/>
      <c r="Y864" s="884" t="str">
        <f t="shared" si="251"/>
        <v>04.14.04</v>
      </c>
      <c r="Z864" s="884" t="str">
        <f t="shared" si="252"/>
        <v>Bangunan Pengaman Sungai dan Penanggulangan Bencana Alam</v>
      </c>
      <c r="AA864" s="884">
        <f t="shared" si="253"/>
        <v>10</v>
      </c>
      <c r="AB864" s="868">
        <f t="shared" si="254"/>
        <v>19949100</v>
      </c>
      <c r="AC864" s="885">
        <f t="shared" si="255"/>
        <v>0</v>
      </c>
      <c r="AD864" s="868">
        <f t="shared" si="256"/>
        <v>0</v>
      </c>
      <c r="AE864" s="868">
        <v>0</v>
      </c>
      <c r="AF864" s="868">
        <v>0</v>
      </c>
      <c r="AG864" s="868">
        <v>0</v>
      </c>
      <c r="AH864" s="868">
        <f t="shared" si="259"/>
        <v>19949100</v>
      </c>
      <c r="AI864" s="886">
        <f t="shared" si="260"/>
        <v>19949100</v>
      </c>
      <c r="AJ864" s="886">
        <f t="shared" si="250"/>
        <v>39898200</v>
      </c>
      <c r="AK864" s="868">
        <f t="shared" si="261"/>
        <v>159592800</v>
      </c>
    </row>
    <row r="865" spans="5:37" s="857" customFormat="1" ht="35.25" customHeight="1" x14ac:dyDescent="0.2">
      <c r="E865" s="884"/>
      <c r="F865" s="890"/>
      <c r="G865" s="878" t="s">
        <v>2531</v>
      </c>
      <c r="H865" s="879"/>
      <c r="I865" s="903" t="s">
        <v>2525</v>
      </c>
      <c r="J865" s="878"/>
      <c r="K865" s="903"/>
      <c r="L865" s="908"/>
      <c r="M865" s="878"/>
      <c r="N865" s="908"/>
      <c r="O865" s="907" t="s">
        <v>2594</v>
      </c>
      <c r="P865" s="903">
        <v>2017</v>
      </c>
      <c r="Q865" s="878"/>
      <c r="R865" s="878"/>
      <c r="S865" s="878"/>
      <c r="T865" s="903" t="s">
        <v>12</v>
      </c>
      <c r="U865" s="879">
        <v>199433000</v>
      </c>
      <c r="V865" s="903"/>
      <c r="W865" s="931"/>
      <c r="X865" s="971"/>
      <c r="Y865" s="884" t="str">
        <f t="shared" si="251"/>
        <v>04.14.04</v>
      </c>
      <c r="Z865" s="884" t="str">
        <f t="shared" si="252"/>
        <v>Bangunan Pengaman Sungai dan Penanggulangan Bencana Alam</v>
      </c>
      <c r="AA865" s="884">
        <f t="shared" si="253"/>
        <v>10</v>
      </c>
      <c r="AB865" s="868">
        <f t="shared" si="254"/>
        <v>19943300</v>
      </c>
      <c r="AC865" s="885">
        <f t="shared" si="255"/>
        <v>0</v>
      </c>
      <c r="AD865" s="868">
        <f t="shared" si="256"/>
        <v>0</v>
      </c>
      <c r="AE865" s="868">
        <v>0</v>
      </c>
      <c r="AF865" s="868">
        <v>0</v>
      </c>
      <c r="AG865" s="868">
        <v>0</v>
      </c>
      <c r="AH865" s="868">
        <f t="shared" si="259"/>
        <v>19943300</v>
      </c>
      <c r="AI865" s="886">
        <f t="shared" si="260"/>
        <v>19943300</v>
      </c>
      <c r="AJ865" s="886">
        <f t="shared" si="250"/>
        <v>39886600</v>
      </c>
      <c r="AK865" s="868">
        <f t="shared" si="261"/>
        <v>159546400</v>
      </c>
    </row>
    <row r="866" spans="5:37" s="857" customFormat="1" ht="35.25" customHeight="1" x14ac:dyDescent="0.2">
      <c r="E866" s="884"/>
      <c r="F866" s="890"/>
      <c r="G866" s="878" t="s">
        <v>2532</v>
      </c>
      <c r="H866" s="879"/>
      <c r="I866" s="903" t="s">
        <v>2525</v>
      </c>
      <c r="J866" s="878"/>
      <c r="K866" s="903"/>
      <c r="L866" s="908"/>
      <c r="M866" s="878"/>
      <c r="N866" s="908"/>
      <c r="O866" s="907" t="s">
        <v>2595</v>
      </c>
      <c r="P866" s="903">
        <v>2017</v>
      </c>
      <c r="Q866" s="878"/>
      <c r="R866" s="878"/>
      <c r="S866" s="878"/>
      <c r="T866" s="903" t="s">
        <v>12</v>
      </c>
      <c r="U866" s="879">
        <v>199382000</v>
      </c>
      <c r="V866" s="903"/>
      <c r="W866" s="931"/>
      <c r="X866" s="971"/>
      <c r="Y866" s="884" t="str">
        <f t="shared" si="251"/>
        <v>04.14.04</v>
      </c>
      <c r="Z866" s="884" t="str">
        <f t="shared" si="252"/>
        <v>Bangunan Pengaman Sungai dan Penanggulangan Bencana Alam</v>
      </c>
      <c r="AA866" s="884">
        <f t="shared" si="253"/>
        <v>10</v>
      </c>
      <c r="AB866" s="868">
        <f t="shared" si="254"/>
        <v>19938200</v>
      </c>
      <c r="AC866" s="885">
        <f t="shared" si="255"/>
        <v>0</v>
      </c>
      <c r="AD866" s="868">
        <f t="shared" si="256"/>
        <v>0</v>
      </c>
      <c r="AE866" s="868">
        <v>0</v>
      </c>
      <c r="AF866" s="868">
        <v>0</v>
      </c>
      <c r="AG866" s="868">
        <v>0</v>
      </c>
      <c r="AH866" s="868">
        <f t="shared" si="259"/>
        <v>19938200</v>
      </c>
      <c r="AI866" s="886">
        <f t="shared" si="260"/>
        <v>19938200</v>
      </c>
      <c r="AJ866" s="886">
        <f t="shared" si="250"/>
        <v>39876400</v>
      </c>
      <c r="AK866" s="868">
        <f t="shared" si="261"/>
        <v>159505600</v>
      </c>
    </row>
    <row r="867" spans="5:37" s="857" customFormat="1" ht="35.25" customHeight="1" x14ac:dyDescent="0.2">
      <c r="E867" s="884"/>
      <c r="F867" s="890"/>
      <c r="G867" s="878" t="s">
        <v>2533</v>
      </c>
      <c r="H867" s="879"/>
      <c r="I867" s="903" t="s">
        <v>2525</v>
      </c>
      <c r="J867" s="878"/>
      <c r="K867" s="903"/>
      <c r="L867" s="908"/>
      <c r="M867" s="878"/>
      <c r="N867" s="908"/>
      <c r="O867" s="907" t="s">
        <v>2596</v>
      </c>
      <c r="P867" s="903">
        <v>2017</v>
      </c>
      <c r="Q867" s="878"/>
      <c r="R867" s="878"/>
      <c r="S867" s="878"/>
      <c r="T867" s="903" t="s">
        <v>12</v>
      </c>
      <c r="U867" s="879">
        <v>199359000</v>
      </c>
      <c r="V867" s="903"/>
      <c r="W867" s="931"/>
      <c r="X867" s="971"/>
      <c r="Y867" s="884" t="str">
        <f t="shared" si="251"/>
        <v>04.14.04</v>
      </c>
      <c r="Z867" s="884" t="str">
        <f t="shared" si="252"/>
        <v>Bangunan Pengaman Sungai dan Penanggulangan Bencana Alam</v>
      </c>
      <c r="AA867" s="884">
        <f t="shared" si="253"/>
        <v>10</v>
      </c>
      <c r="AB867" s="868">
        <f t="shared" si="254"/>
        <v>19935900</v>
      </c>
      <c r="AC867" s="885">
        <f t="shared" si="255"/>
        <v>0</v>
      </c>
      <c r="AD867" s="868">
        <f t="shared" si="256"/>
        <v>0</v>
      </c>
      <c r="AE867" s="868">
        <v>0</v>
      </c>
      <c r="AF867" s="868">
        <v>0</v>
      </c>
      <c r="AG867" s="868">
        <v>0</v>
      </c>
      <c r="AH867" s="868">
        <f t="shared" si="259"/>
        <v>19935900</v>
      </c>
      <c r="AI867" s="886">
        <f t="shared" si="260"/>
        <v>19935900</v>
      </c>
      <c r="AJ867" s="886">
        <f t="shared" si="250"/>
        <v>39871800</v>
      </c>
      <c r="AK867" s="868">
        <f t="shared" si="261"/>
        <v>159487200</v>
      </c>
    </row>
    <row r="868" spans="5:37" s="857" customFormat="1" ht="35.25" customHeight="1" x14ac:dyDescent="0.2">
      <c r="E868" s="884"/>
      <c r="F868" s="890"/>
      <c r="G868" s="878" t="s">
        <v>2534</v>
      </c>
      <c r="H868" s="879"/>
      <c r="I868" s="903" t="s">
        <v>2525</v>
      </c>
      <c r="J868" s="878"/>
      <c r="K868" s="903"/>
      <c r="L868" s="908"/>
      <c r="M868" s="878"/>
      <c r="N868" s="908"/>
      <c r="O868" s="907" t="s">
        <v>2597</v>
      </c>
      <c r="P868" s="903">
        <v>2017</v>
      </c>
      <c r="Q868" s="878"/>
      <c r="R868" s="878"/>
      <c r="S868" s="878"/>
      <c r="T868" s="903" t="s">
        <v>12</v>
      </c>
      <c r="U868" s="879">
        <v>199385000</v>
      </c>
      <c r="V868" s="903"/>
      <c r="W868" s="931"/>
      <c r="X868" s="971"/>
      <c r="Y868" s="884" t="str">
        <f t="shared" si="251"/>
        <v>04.14.04</v>
      </c>
      <c r="Z868" s="884" t="str">
        <f t="shared" si="252"/>
        <v>Bangunan Pengaman Sungai dan Penanggulangan Bencana Alam</v>
      </c>
      <c r="AA868" s="884">
        <f t="shared" si="253"/>
        <v>10</v>
      </c>
      <c r="AB868" s="868">
        <f t="shared" si="254"/>
        <v>19938500</v>
      </c>
      <c r="AC868" s="885">
        <f t="shared" si="255"/>
        <v>0</v>
      </c>
      <c r="AD868" s="868">
        <f t="shared" si="256"/>
        <v>0</v>
      </c>
      <c r="AE868" s="868">
        <v>0</v>
      </c>
      <c r="AF868" s="868">
        <v>0</v>
      </c>
      <c r="AG868" s="868">
        <v>0</v>
      </c>
      <c r="AH868" s="868">
        <f t="shared" si="259"/>
        <v>19938500</v>
      </c>
      <c r="AI868" s="886">
        <f t="shared" si="260"/>
        <v>19938500</v>
      </c>
      <c r="AJ868" s="886">
        <f t="shared" si="250"/>
        <v>39877000</v>
      </c>
      <c r="AK868" s="868">
        <f t="shared" si="261"/>
        <v>159508000</v>
      </c>
    </row>
    <row r="869" spans="5:37" s="857" customFormat="1" ht="35.25" customHeight="1" x14ac:dyDescent="0.2">
      <c r="E869" s="884"/>
      <c r="F869" s="890"/>
      <c r="G869" s="878" t="s">
        <v>2535</v>
      </c>
      <c r="H869" s="879"/>
      <c r="I869" s="903" t="s">
        <v>2514</v>
      </c>
      <c r="J869" s="878"/>
      <c r="K869" s="903"/>
      <c r="L869" s="908"/>
      <c r="M869" s="878"/>
      <c r="N869" s="908"/>
      <c r="O869" s="907" t="s">
        <v>2598</v>
      </c>
      <c r="P869" s="903">
        <v>2017</v>
      </c>
      <c r="Q869" s="878"/>
      <c r="R869" s="878"/>
      <c r="S869" s="878"/>
      <c r="T869" s="903" t="s">
        <v>12</v>
      </c>
      <c r="U869" s="879">
        <v>199296000</v>
      </c>
      <c r="V869" s="903"/>
      <c r="W869" s="931"/>
      <c r="X869" s="971"/>
      <c r="Y869" s="884" t="str">
        <f t="shared" si="251"/>
        <v>04.14.02</v>
      </c>
      <c r="Z869" s="884" t="str">
        <f t="shared" si="252"/>
        <v>Bangunan Air Pasang Surut</v>
      </c>
      <c r="AA869" s="884">
        <f t="shared" si="253"/>
        <v>50</v>
      </c>
      <c r="AB869" s="868">
        <f t="shared" si="254"/>
        <v>3985920</v>
      </c>
      <c r="AC869" s="885">
        <f t="shared" si="255"/>
        <v>0</v>
      </c>
      <c r="AD869" s="868">
        <f t="shared" si="256"/>
        <v>0</v>
      </c>
      <c r="AE869" s="868">
        <v>0</v>
      </c>
      <c r="AF869" s="868">
        <v>0</v>
      </c>
      <c r="AG869" s="868">
        <v>0</v>
      </c>
      <c r="AH869" s="868">
        <f t="shared" si="259"/>
        <v>3985920</v>
      </c>
      <c r="AI869" s="886">
        <f t="shared" si="260"/>
        <v>3985920</v>
      </c>
      <c r="AJ869" s="886">
        <f t="shared" si="250"/>
        <v>7971840</v>
      </c>
      <c r="AK869" s="868">
        <f t="shared" si="261"/>
        <v>191324160</v>
      </c>
    </row>
    <row r="870" spans="5:37" s="857" customFormat="1" ht="35.25" customHeight="1" x14ac:dyDescent="0.2">
      <c r="E870" s="884"/>
      <c r="F870" s="890"/>
      <c r="G870" s="878" t="s">
        <v>2536</v>
      </c>
      <c r="H870" s="879"/>
      <c r="I870" s="903" t="s">
        <v>2514</v>
      </c>
      <c r="J870" s="878"/>
      <c r="K870" s="903"/>
      <c r="L870" s="908"/>
      <c r="M870" s="878"/>
      <c r="N870" s="908"/>
      <c r="O870" s="907" t="s">
        <v>2599</v>
      </c>
      <c r="P870" s="903">
        <v>2017</v>
      </c>
      <c r="Q870" s="878"/>
      <c r="R870" s="878"/>
      <c r="S870" s="878"/>
      <c r="T870" s="903" t="s">
        <v>12</v>
      </c>
      <c r="U870" s="879">
        <v>199770000</v>
      </c>
      <c r="V870" s="903"/>
      <c r="W870" s="931"/>
      <c r="X870" s="971"/>
      <c r="Y870" s="884" t="str">
        <f t="shared" si="251"/>
        <v>04.14.02</v>
      </c>
      <c r="Z870" s="884" t="str">
        <f t="shared" si="252"/>
        <v>Bangunan Air Pasang Surut</v>
      </c>
      <c r="AA870" s="884">
        <f t="shared" si="253"/>
        <v>50</v>
      </c>
      <c r="AB870" s="868">
        <f t="shared" si="254"/>
        <v>3995400</v>
      </c>
      <c r="AC870" s="885">
        <f t="shared" si="255"/>
        <v>0</v>
      </c>
      <c r="AD870" s="868">
        <f t="shared" si="256"/>
        <v>0</v>
      </c>
      <c r="AE870" s="868">
        <v>0</v>
      </c>
      <c r="AF870" s="868">
        <v>0</v>
      </c>
      <c r="AG870" s="868">
        <v>0</v>
      </c>
      <c r="AH870" s="868">
        <f t="shared" si="259"/>
        <v>3995400</v>
      </c>
      <c r="AI870" s="886">
        <f t="shared" si="260"/>
        <v>3995400</v>
      </c>
      <c r="AJ870" s="886">
        <f t="shared" si="250"/>
        <v>7990800</v>
      </c>
      <c r="AK870" s="868">
        <f t="shared" si="261"/>
        <v>191779200</v>
      </c>
    </row>
    <row r="871" spans="5:37" s="857" customFormat="1" ht="35.25" customHeight="1" x14ac:dyDescent="0.2">
      <c r="E871" s="884"/>
      <c r="F871" s="890"/>
      <c r="G871" s="878" t="s">
        <v>2537</v>
      </c>
      <c r="H871" s="879"/>
      <c r="I871" s="903" t="s">
        <v>2525</v>
      </c>
      <c r="J871" s="878"/>
      <c r="K871" s="903"/>
      <c r="L871" s="908"/>
      <c r="M871" s="878"/>
      <c r="N871" s="908"/>
      <c r="O871" s="907" t="s">
        <v>2600</v>
      </c>
      <c r="P871" s="903">
        <v>2017</v>
      </c>
      <c r="Q871" s="878"/>
      <c r="R871" s="878"/>
      <c r="S871" s="878"/>
      <c r="T871" s="903" t="s">
        <v>12</v>
      </c>
      <c r="U871" s="879">
        <v>186862000</v>
      </c>
      <c r="V871" s="903"/>
      <c r="W871" s="931"/>
      <c r="X871" s="971"/>
      <c r="Y871" s="884" t="str">
        <f t="shared" si="251"/>
        <v>04.14.04</v>
      </c>
      <c r="Z871" s="884" t="str">
        <f t="shared" si="252"/>
        <v>Bangunan Pengaman Sungai dan Penanggulangan Bencana Alam</v>
      </c>
      <c r="AA871" s="884">
        <f t="shared" si="253"/>
        <v>10</v>
      </c>
      <c r="AB871" s="868">
        <f t="shared" si="254"/>
        <v>18686200</v>
      </c>
      <c r="AC871" s="885">
        <f t="shared" si="255"/>
        <v>0</v>
      </c>
      <c r="AD871" s="868">
        <f t="shared" si="256"/>
        <v>0</v>
      </c>
      <c r="AE871" s="868">
        <v>0</v>
      </c>
      <c r="AF871" s="868">
        <v>0</v>
      </c>
      <c r="AG871" s="868">
        <v>0</v>
      </c>
      <c r="AH871" s="868">
        <f t="shared" si="259"/>
        <v>18686200</v>
      </c>
      <c r="AI871" s="886">
        <f t="shared" si="260"/>
        <v>18686200</v>
      </c>
      <c r="AJ871" s="886">
        <f t="shared" si="250"/>
        <v>37372400</v>
      </c>
      <c r="AK871" s="868">
        <f t="shared" si="261"/>
        <v>149489600</v>
      </c>
    </row>
    <row r="872" spans="5:37" s="857" customFormat="1" ht="35.25" customHeight="1" x14ac:dyDescent="0.2">
      <c r="E872" s="884"/>
      <c r="F872" s="890"/>
      <c r="G872" s="878" t="s">
        <v>2538</v>
      </c>
      <c r="H872" s="879"/>
      <c r="I872" s="903" t="s">
        <v>2525</v>
      </c>
      <c r="J872" s="878"/>
      <c r="K872" s="903"/>
      <c r="L872" s="908"/>
      <c r="M872" s="878"/>
      <c r="N872" s="908"/>
      <c r="O872" s="907" t="s">
        <v>2601</v>
      </c>
      <c r="P872" s="903">
        <v>2017</v>
      </c>
      <c r="Q872" s="878"/>
      <c r="R872" s="878"/>
      <c r="S872" s="878"/>
      <c r="T872" s="903" t="s">
        <v>12</v>
      </c>
      <c r="U872" s="879">
        <v>199700000</v>
      </c>
      <c r="V872" s="903"/>
      <c r="W872" s="931"/>
      <c r="X872" s="971"/>
      <c r="Y872" s="884" t="str">
        <f t="shared" si="251"/>
        <v>04.14.04</v>
      </c>
      <c r="Z872" s="884" t="str">
        <f t="shared" si="252"/>
        <v>Bangunan Pengaman Sungai dan Penanggulangan Bencana Alam</v>
      </c>
      <c r="AA872" s="884">
        <f t="shared" si="253"/>
        <v>10</v>
      </c>
      <c r="AB872" s="868">
        <f t="shared" si="254"/>
        <v>19970000</v>
      </c>
      <c r="AC872" s="885">
        <f t="shared" si="255"/>
        <v>0</v>
      </c>
      <c r="AD872" s="868">
        <f t="shared" si="256"/>
        <v>0</v>
      </c>
      <c r="AE872" s="868">
        <v>0</v>
      </c>
      <c r="AF872" s="868">
        <v>0</v>
      </c>
      <c r="AG872" s="868">
        <v>0</v>
      </c>
      <c r="AH872" s="868">
        <f t="shared" si="259"/>
        <v>19970000</v>
      </c>
      <c r="AI872" s="886">
        <f t="shared" si="260"/>
        <v>19970000</v>
      </c>
      <c r="AJ872" s="886">
        <f t="shared" si="250"/>
        <v>39940000</v>
      </c>
      <c r="AK872" s="868">
        <f t="shared" si="261"/>
        <v>159760000</v>
      </c>
    </row>
    <row r="873" spans="5:37" s="857" customFormat="1" ht="35.25" customHeight="1" x14ac:dyDescent="0.2">
      <c r="E873" s="884"/>
      <c r="F873" s="890"/>
      <c r="G873" s="878" t="s">
        <v>2539</v>
      </c>
      <c r="H873" s="879"/>
      <c r="I873" s="903" t="s">
        <v>2525</v>
      </c>
      <c r="J873" s="878"/>
      <c r="K873" s="903"/>
      <c r="L873" s="908"/>
      <c r="M873" s="878"/>
      <c r="N873" s="908"/>
      <c r="O873" s="907" t="s">
        <v>2602</v>
      </c>
      <c r="P873" s="903">
        <v>2017</v>
      </c>
      <c r="Q873" s="878"/>
      <c r="R873" s="878"/>
      <c r="S873" s="878"/>
      <c r="T873" s="903" t="s">
        <v>12</v>
      </c>
      <c r="U873" s="879">
        <v>199750000</v>
      </c>
      <c r="V873" s="903"/>
      <c r="W873" s="931"/>
      <c r="X873" s="971"/>
      <c r="Y873" s="884" t="str">
        <f t="shared" si="251"/>
        <v>04.14.04</v>
      </c>
      <c r="Z873" s="884" t="str">
        <f t="shared" si="252"/>
        <v>Bangunan Pengaman Sungai dan Penanggulangan Bencana Alam</v>
      </c>
      <c r="AA873" s="884">
        <f t="shared" si="253"/>
        <v>10</v>
      </c>
      <c r="AB873" s="868">
        <f t="shared" si="254"/>
        <v>19975000</v>
      </c>
      <c r="AC873" s="885">
        <f t="shared" si="255"/>
        <v>0</v>
      </c>
      <c r="AD873" s="868">
        <f t="shared" si="256"/>
        <v>0</v>
      </c>
      <c r="AE873" s="868">
        <v>0</v>
      </c>
      <c r="AF873" s="868">
        <v>0</v>
      </c>
      <c r="AG873" s="868">
        <v>0</v>
      </c>
      <c r="AH873" s="868">
        <f t="shared" si="259"/>
        <v>19975000</v>
      </c>
      <c r="AI873" s="886">
        <f t="shared" si="260"/>
        <v>19975000</v>
      </c>
      <c r="AJ873" s="886">
        <f t="shared" si="250"/>
        <v>39950000</v>
      </c>
      <c r="AK873" s="868">
        <f t="shared" si="261"/>
        <v>159800000</v>
      </c>
    </row>
    <row r="874" spans="5:37" s="857" customFormat="1" ht="35.25" customHeight="1" x14ac:dyDescent="0.2">
      <c r="E874" s="884"/>
      <c r="F874" s="890"/>
      <c r="G874" s="878" t="s">
        <v>2540</v>
      </c>
      <c r="H874" s="879"/>
      <c r="I874" s="903" t="s">
        <v>2525</v>
      </c>
      <c r="J874" s="878"/>
      <c r="K874" s="903"/>
      <c r="L874" s="908"/>
      <c r="M874" s="878"/>
      <c r="N874" s="908"/>
      <c r="O874" s="907" t="s">
        <v>2603</v>
      </c>
      <c r="P874" s="903">
        <v>2017</v>
      </c>
      <c r="Q874" s="878"/>
      <c r="R874" s="878"/>
      <c r="S874" s="878"/>
      <c r="T874" s="903" t="s">
        <v>12</v>
      </c>
      <c r="U874" s="879">
        <v>49539000</v>
      </c>
      <c r="V874" s="903"/>
      <c r="W874" s="931"/>
      <c r="X874" s="971"/>
      <c r="Y874" s="884" t="str">
        <f t="shared" si="251"/>
        <v>04.14.04</v>
      </c>
      <c r="Z874" s="884" t="str">
        <f t="shared" si="252"/>
        <v>Bangunan Pengaman Sungai dan Penanggulangan Bencana Alam</v>
      </c>
      <c r="AA874" s="884">
        <f t="shared" si="253"/>
        <v>10</v>
      </c>
      <c r="AB874" s="868">
        <f t="shared" si="254"/>
        <v>4953900</v>
      </c>
      <c r="AC874" s="885">
        <f t="shared" si="255"/>
        <v>0</v>
      </c>
      <c r="AD874" s="868">
        <f t="shared" si="256"/>
        <v>0</v>
      </c>
      <c r="AE874" s="868">
        <v>0</v>
      </c>
      <c r="AF874" s="868">
        <v>0</v>
      </c>
      <c r="AG874" s="868">
        <v>0</v>
      </c>
      <c r="AH874" s="868">
        <f t="shared" si="259"/>
        <v>4953900</v>
      </c>
      <c r="AI874" s="886">
        <f t="shared" si="260"/>
        <v>4953900</v>
      </c>
      <c r="AJ874" s="886">
        <f t="shared" si="250"/>
        <v>9907800</v>
      </c>
      <c r="AK874" s="868">
        <f t="shared" si="261"/>
        <v>39631200</v>
      </c>
    </row>
    <row r="875" spans="5:37" s="857" customFormat="1" ht="35.25" customHeight="1" x14ac:dyDescent="0.2">
      <c r="E875" s="884"/>
      <c r="F875" s="890"/>
      <c r="G875" s="878" t="s">
        <v>2541</v>
      </c>
      <c r="H875" s="879"/>
      <c r="I875" s="903" t="s">
        <v>2525</v>
      </c>
      <c r="J875" s="878"/>
      <c r="K875" s="903"/>
      <c r="L875" s="908"/>
      <c r="M875" s="878"/>
      <c r="N875" s="908"/>
      <c r="O875" s="907" t="s">
        <v>2604</v>
      </c>
      <c r="P875" s="903">
        <v>2017</v>
      </c>
      <c r="Q875" s="878"/>
      <c r="R875" s="878"/>
      <c r="S875" s="878"/>
      <c r="T875" s="903" t="s">
        <v>12</v>
      </c>
      <c r="U875" s="879">
        <v>199650000</v>
      </c>
      <c r="V875" s="903"/>
      <c r="W875" s="931"/>
      <c r="X875" s="971"/>
      <c r="Y875" s="884" t="str">
        <f t="shared" si="251"/>
        <v>04.14.04</v>
      </c>
      <c r="Z875" s="884" t="str">
        <f t="shared" si="252"/>
        <v>Bangunan Pengaman Sungai dan Penanggulangan Bencana Alam</v>
      </c>
      <c r="AA875" s="884">
        <f t="shared" si="253"/>
        <v>10</v>
      </c>
      <c r="AB875" s="868">
        <f t="shared" si="254"/>
        <v>19965000</v>
      </c>
      <c r="AC875" s="885">
        <f t="shared" si="255"/>
        <v>0</v>
      </c>
      <c r="AD875" s="868">
        <f t="shared" si="256"/>
        <v>0</v>
      </c>
      <c r="AE875" s="868">
        <v>0</v>
      </c>
      <c r="AF875" s="868">
        <v>0</v>
      </c>
      <c r="AG875" s="868">
        <v>0</v>
      </c>
      <c r="AH875" s="868">
        <f t="shared" si="259"/>
        <v>19965000</v>
      </c>
      <c r="AI875" s="886">
        <f t="shared" si="260"/>
        <v>19965000</v>
      </c>
      <c r="AJ875" s="886">
        <f t="shared" si="250"/>
        <v>39930000</v>
      </c>
      <c r="AK875" s="868">
        <f t="shared" si="261"/>
        <v>159720000</v>
      </c>
    </row>
    <row r="876" spans="5:37" s="857" customFormat="1" ht="35.25" customHeight="1" x14ac:dyDescent="0.2">
      <c r="E876" s="884"/>
      <c r="F876" s="890"/>
      <c r="G876" s="878" t="s">
        <v>2542</v>
      </c>
      <c r="H876" s="879"/>
      <c r="I876" s="903" t="s">
        <v>2525</v>
      </c>
      <c r="J876" s="878"/>
      <c r="K876" s="903"/>
      <c r="L876" s="908"/>
      <c r="M876" s="878"/>
      <c r="N876" s="908"/>
      <c r="O876" s="907" t="s">
        <v>2605</v>
      </c>
      <c r="P876" s="903">
        <v>2017</v>
      </c>
      <c r="Q876" s="878"/>
      <c r="R876" s="878"/>
      <c r="S876" s="878"/>
      <c r="T876" s="903" t="s">
        <v>12</v>
      </c>
      <c r="U876" s="879">
        <v>199650000</v>
      </c>
      <c r="V876" s="903"/>
      <c r="W876" s="931"/>
      <c r="X876" s="971"/>
      <c r="Y876" s="884" t="str">
        <f t="shared" si="251"/>
        <v>04.14.04</v>
      </c>
      <c r="Z876" s="884" t="str">
        <f t="shared" si="252"/>
        <v>Bangunan Pengaman Sungai dan Penanggulangan Bencana Alam</v>
      </c>
      <c r="AA876" s="884">
        <f t="shared" si="253"/>
        <v>10</v>
      </c>
      <c r="AB876" s="868">
        <f t="shared" si="254"/>
        <v>19965000</v>
      </c>
      <c r="AC876" s="885">
        <f t="shared" si="255"/>
        <v>0</v>
      </c>
      <c r="AD876" s="868">
        <f t="shared" si="256"/>
        <v>0</v>
      </c>
      <c r="AE876" s="868">
        <v>0</v>
      </c>
      <c r="AF876" s="868">
        <v>0</v>
      </c>
      <c r="AG876" s="868">
        <v>0</v>
      </c>
      <c r="AH876" s="868">
        <f t="shared" si="259"/>
        <v>19965000</v>
      </c>
      <c r="AI876" s="886">
        <f t="shared" si="260"/>
        <v>19965000</v>
      </c>
      <c r="AJ876" s="886">
        <f t="shared" ref="AJ876:AJ939" si="262">SUM(AD876:AI876)</f>
        <v>39930000</v>
      </c>
      <c r="AK876" s="868">
        <f t="shared" si="261"/>
        <v>159720000</v>
      </c>
    </row>
    <row r="877" spans="5:37" s="857" customFormat="1" ht="35.25" customHeight="1" x14ac:dyDescent="0.2">
      <c r="E877" s="884"/>
      <c r="F877" s="890"/>
      <c r="G877" s="878" t="s">
        <v>2543</v>
      </c>
      <c r="H877" s="879"/>
      <c r="I877" s="903" t="s">
        <v>2544</v>
      </c>
      <c r="J877" s="878"/>
      <c r="K877" s="903"/>
      <c r="L877" s="908"/>
      <c r="M877" s="878"/>
      <c r="N877" s="908"/>
      <c r="O877" s="907" t="s">
        <v>2606</v>
      </c>
      <c r="P877" s="903">
        <v>2017</v>
      </c>
      <c r="Q877" s="878"/>
      <c r="R877" s="878"/>
      <c r="S877" s="878"/>
      <c r="T877" s="903" t="s">
        <v>12</v>
      </c>
      <c r="U877" s="879">
        <v>194627000</v>
      </c>
      <c r="V877" s="903"/>
      <c r="W877" s="931"/>
      <c r="X877" s="971"/>
      <c r="Y877" s="884" t="str">
        <f t="shared" ref="Y877:Y940" si="263">LEFT(I877,8)</f>
        <v>04.14.01</v>
      </c>
      <c r="Z877" s="884" t="str">
        <f t="shared" si="252"/>
        <v>Bangunan Air Irigasi</v>
      </c>
      <c r="AA877" s="884">
        <f t="shared" si="253"/>
        <v>50</v>
      </c>
      <c r="AB877" s="868">
        <f t="shared" si="254"/>
        <v>3892540</v>
      </c>
      <c r="AC877" s="885">
        <f t="shared" si="255"/>
        <v>0</v>
      </c>
      <c r="AD877" s="868">
        <f t="shared" si="256"/>
        <v>0</v>
      </c>
      <c r="AE877" s="868">
        <v>0</v>
      </c>
      <c r="AF877" s="868">
        <v>0</v>
      </c>
      <c r="AG877" s="868">
        <v>0</v>
      </c>
      <c r="AH877" s="868">
        <f t="shared" si="259"/>
        <v>3892540</v>
      </c>
      <c r="AI877" s="886">
        <f t="shared" si="260"/>
        <v>3892540</v>
      </c>
      <c r="AJ877" s="886">
        <f t="shared" si="262"/>
        <v>7785080</v>
      </c>
      <c r="AK877" s="868">
        <f t="shared" si="261"/>
        <v>186841920</v>
      </c>
    </row>
    <row r="878" spans="5:37" s="857" customFormat="1" ht="35.25" customHeight="1" x14ac:dyDescent="0.2">
      <c r="E878" s="884"/>
      <c r="F878" s="890"/>
      <c r="G878" s="878" t="s">
        <v>2545</v>
      </c>
      <c r="H878" s="879"/>
      <c r="I878" s="903" t="s">
        <v>2544</v>
      </c>
      <c r="J878" s="878"/>
      <c r="K878" s="903"/>
      <c r="L878" s="908"/>
      <c r="M878" s="878"/>
      <c r="N878" s="908"/>
      <c r="O878" s="907" t="s">
        <v>2607</v>
      </c>
      <c r="P878" s="903">
        <v>2017</v>
      </c>
      <c r="Q878" s="878"/>
      <c r="R878" s="878"/>
      <c r="S878" s="878"/>
      <c r="T878" s="903" t="s">
        <v>12</v>
      </c>
      <c r="U878" s="879">
        <v>197270000</v>
      </c>
      <c r="V878" s="903"/>
      <c r="W878" s="931"/>
      <c r="X878" s="971"/>
      <c r="Y878" s="884" t="str">
        <f t="shared" si="263"/>
        <v>04.14.01</v>
      </c>
      <c r="Z878" s="884" t="str">
        <f t="shared" ref="Z878:Z918" si="264">VLOOKUP(Y878,UE,3,FALSE)</f>
        <v>Bangunan Air Irigasi</v>
      </c>
      <c r="AA878" s="884">
        <f t="shared" ref="AA878:AA918" si="265">VLOOKUP(Y878,UE,4,FALSE)</f>
        <v>50</v>
      </c>
      <c r="AB878" s="868">
        <f t="shared" ref="AB878:AB918" si="266">U878/AA878</f>
        <v>3945400</v>
      </c>
      <c r="AC878" s="885">
        <f t="shared" ref="AC878:AC918" si="267">IF(2013-P878+1&gt;AA878,AA878,IF(2013-P878+1&lt;0,0,2013-P878+1))</f>
        <v>0</v>
      </c>
      <c r="AD878" s="868">
        <f t="shared" ref="AD878:AD918" si="268">IF(AC878&gt;AA878,U878,AB878*AC878)</f>
        <v>0</v>
      </c>
      <c r="AE878" s="868">
        <v>0</v>
      </c>
      <c r="AF878" s="868">
        <v>0</v>
      </c>
      <c r="AG878" s="868">
        <v>0</v>
      </c>
      <c r="AH878" s="868">
        <f>IF(U878=AE878+AF878+AG878+AD878,0,AB878)</f>
        <v>3945400</v>
      </c>
      <c r="AI878" s="886">
        <f t="shared" ref="AI878:AI918" si="269">IF(U878=AE878+AF878+AG878+AD878+AH878,0,AB878)</f>
        <v>3945400</v>
      </c>
      <c r="AJ878" s="886">
        <f t="shared" si="262"/>
        <v>7890800</v>
      </c>
      <c r="AK878" s="868">
        <f t="shared" ref="AK878:AK918" si="270">U878-AJ878</f>
        <v>189379200</v>
      </c>
    </row>
    <row r="879" spans="5:37" s="857" customFormat="1" ht="35.25" customHeight="1" x14ac:dyDescent="0.2">
      <c r="E879" s="884"/>
      <c r="F879" s="890"/>
      <c r="G879" s="878" t="s">
        <v>2546</v>
      </c>
      <c r="H879" s="879"/>
      <c r="I879" s="903" t="s">
        <v>2544</v>
      </c>
      <c r="J879" s="878"/>
      <c r="K879" s="903"/>
      <c r="L879" s="908"/>
      <c r="M879" s="878"/>
      <c r="N879" s="908"/>
      <c r="O879" s="907" t="s">
        <v>2608</v>
      </c>
      <c r="P879" s="903">
        <v>2017</v>
      </c>
      <c r="Q879" s="878"/>
      <c r="R879" s="878"/>
      <c r="S879" s="878"/>
      <c r="T879" s="903" t="s">
        <v>12</v>
      </c>
      <c r="U879" s="879">
        <v>197290000</v>
      </c>
      <c r="V879" s="903"/>
      <c r="W879" s="931"/>
      <c r="X879" s="971"/>
      <c r="Y879" s="884" t="str">
        <f t="shared" si="263"/>
        <v>04.14.01</v>
      </c>
      <c r="Z879" s="884" t="str">
        <f t="shared" si="264"/>
        <v>Bangunan Air Irigasi</v>
      </c>
      <c r="AA879" s="884">
        <f t="shared" si="265"/>
        <v>50</v>
      </c>
      <c r="AB879" s="868">
        <f t="shared" si="266"/>
        <v>3945800</v>
      </c>
      <c r="AC879" s="885">
        <f t="shared" si="267"/>
        <v>0</v>
      </c>
      <c r="AD879" s="868">
        <f t="shared" si="268"/>
        <v>0</v>
      </c>
      <c r="AE879" s="868">
        <v>0</v>
      </c>
      <c r="AF879" s="868">
        <v>0</v>
      </c>
      <c r="AG879" s="868">
        <v>0</v>
      </c>
      <c r="AH879" s="868">
        <f>IF(U879=AE879+AF879+AG879+AD879,0,AB879)</f>
        <v>3945800</v>
      </c>
      <c r="AI879" s="886">
        <f t="shared" si="269"/>
        <v>3945800</v>
      </c>
      <c r="AJ879" s="886">
        <f t="shared" si="262"/>
        <v>7891600</v>
      </c>
      <c r="AK879" s="868">
        <f t="shared" si="270"/>
        <v>189398400</v>
      </c>
    </row>
    <row r="880" spans="5:37" s="857" customFormat="1" ht="35.25" customHeight="1" x14ac:dyDescent="0.2">
      <c r="E880" s="884"/>
      <c r="F880" s="890"/>
      <c r="G880" s="878" t="s">
        <v>2547</v>
      </c>
      <c r="H880" s="879"/>
      <c r="I880" s="903" t="s">
        <v>2544</v>
      </c>
      <c r="J880" s="878"/>
      <c r="K880" s="903"/>
      <c r="L880" s="908"/>
      <c r="M880" s="878"/>
      <c r="N880" s="908"/>
      <c r="O880" s="907" t="s">
        <v>2609</v>
      </c>
      <c r="P880" s="903">
        <v>2017</v>
      </c>
      <c r="Q880" s="878"/>
      <c r="R880" s="878"/>
      <c r="S880" s="878"/>
      <c r="T880" s="903" t="s">
        <v>12</v>
      </c>
      <c r="U880" s="879">
        <v>192452000</v>
      </c>
      <c r="V880" s="903"/>
      <c r="W880" s="931"/>
      <c r="X880" s="971"/>
      <c r="Y880" s="884" t="str">
        <f t="shared" si="263"/>
        <v>04.14.01</v>
      </c>
      <c r="Z880" s="884" t="str">
        <f t="shared" si="264"/>
        <v>Bangunan Air Irigasi</v>
      </c>
      <c r="AA880" s="884">
        <f t="shared" si="265"/>
        <v>50</v>
      </c>
      <c r="AB880" s="868">
        <f t="shared" si="266"/>
        <v>3849040</v>
      </c>
      <c r="AC880" s="885">
        <f t="shared" si="267"/>
        <v>0</v>
      </c>
      <c r="AD880" s="868">
        <f t="shared" si="268"/>
        <v>0</v>
      </c>
      <c r="AE880" s="868">
        <v>0</v>
      </c>
      <c r="AF880" s="868">
        <v>0</v>
      </c>
      <c r="AG880" s="868">
        <v>0</v>
      </c>
      <c r="AH880" s="868">
        <f>IF(U880=AE880+AF880+AG880+AD880,0,AB880)</f>
        <v>3849040</v>
      </c>
      <c r="AI880" s="886">
        <f t="shared" si="269"/>
        <v>3849040</v>
      </c>
      <c r="AJ880" s="886">
        <f t="shared" si="262"/>
        <v>7698080</v>
      </c>
      <c r="AK880" s="868">
        <f t="shared" si="270"/>
        <v>184753920</v>
      </c>
    </row>
    <row r="881" spans="5:37" s="857" customFormat="1" ht="35.25" customHeight="1" x14ac:dyDescent="0.2">
      <c r="E881" s="884"/>
      <c r="F881" s="890"/>
      <c r="G881" s="878" t="s">
        <v>2548</v>
      </c>
      <c r="H881" s="879"/>
      <c r="I881" s="903" t="s">
        <v>2514</v>
      </c>
      <c r="J881" s="878"/>
      <c r="K881" s="903"/>
      <c r="L881" s="908"/>
      <c r="M881" s="878"/>
      <c r="N881" s="908"/>
      <c r="O881" s="907" t="s">
        <v>2610</v>
      </c>
      <c r="P881" s="903">
        <v>2017</v>
      </c>
      <c r="Q881" s="878"/>
      <c r="R881" s="878"/>
      <c r="S881" s="878"/>
      <c r="T881" s="903" t="s">
        <v>12</v>
      </c>
      <c r="U881" s="879">
        <v>199341000</v>
      </c>
      <c r="V881" s="903"/>
      <c r="W881" s="931"/>
      <c r="X881" s="971"/>
      <c r="Y881" s="884" t="str">
        <f t="shared" si="263"/>
        <v>04.14.02</v>
      </c>
      <c r="Z881" s="884" t="str">
        <f t="shared" si="264"/>
        <v>Bangunan Air Pasang Surut</v>
      </c>
      <c r="AA881" s="884">
        <f t="shared" si="265"/>
        <v>50</v>
      </c>
      <c r="AB881" s="868">
        <f t="shared" si="266"/>
        <v>3986820</v>
      </c>
      <c r="AC881" s="885">
        <f t="shared" si="267"/>
        <v>0</v>
      </c>
      <c r="AD881" s="868">
        <f t="shared" si="268"/>
        <v>0</v>
      </c>
      <c r="AE881" s="868">
        <v>0</v>
      </c>
      <c r="AF881" s="868">
        <v>0</v>
      </c>
      <c r="AG881" s="868">
        <v>0</v>
      </c>
      <c r="AH881" s="868">
        <f>IF(U881=AE881+AF881+AG881+AD881,0,AB881)</f>
        <v>3986820</v>
      </c>
      <c r="AI881" s="886">
        <f t="shared" si="269"/>
        <v>3986820</v>
      </c>
      <c r="AJ881" s="886">
        <f t="shared" si="262"/>
        <v>7973640</v>
      </c>
      <c r="AK881" s="868">
        <f t="shared" si="270"/>
        <v>191367360</v>
      </c>
    </row>
    <row r="882" spans="5:37" s="857" customFormat="1" ht="35.25" customHeight="1" x14ac:dyDescent="0.2">
      <c r="E882" s="884"/>
      <c r="F882" s="890"/>
      <c r="G882" s="878" t="s">
        <v>2549</v>
      </c>
      <c r="H882" s="879"/>
      <c r="I882" s="903" t="s">
        <v>2550</v>
      </c>
      <c r="J882" s="878"/>
      <c r="K882" s="903"/>
      <c r="L882" s="908"/>
      <c r="M882" s="878"/>
      <c r="N882" s="908"/>
      <c r="O882" s="907" t="s">
        <v>2611</v>
      </c>
      <c r="P882" s="903">
        <v>2017</v>
      </c>
      <c r="Q882" s="878"/>
      <c r="R882" s="878"/>
      <c r="S882" s="878"/>
      <c r="T882" s="903" t="s">
        <v>12</v>
      </c>
      <c r="U882" s="879">
        <v>199372000</v>
      </c>
      <c r="V882" s="903"/>
      <c r="W882" s="931"/>
      <c r="X882" s="971"/>
      <c r="Y882" s="884" t="str">
        <f t="shared" si="263"/>
        <v>04.14.04</v>
      </c>
      <c r="Z882" s="884" t="str">
        <f t="shared" si="264"/>
        <v>Bangunan Pengaman Sungai dan Penanggulangan Bencana Alam</v>
      </c>
      <c r="AA882" s="884">
        <f t="shared" si="265"/>
        <v>10</v>
      </c>
      <c r="AB882" s="868">
        <f t="shared" si="266"/>
        <v>19937200</v>
      </c>
      <c r="AC882" s="885">
        <f t="shared" si="267"/>
        <v>0</v>
      </c>
      <c r="AD882" s="868">
        <f t="shared" si="268"/>
        <v>0</v>
      </c>
      <c r="AE882" s="868">
        <v>0</v>
      </c>
      <c r="AF882" s="868">
        <v>0</v>
      </c>
      <c r="AG882" s="868">
        <v>0</v>
      </c>
      <c r="AH882" s="868">
        <f>IF(U882=AE882+AF882+AG882+AD882,0,AB882)</f>
        <v>19937200</v>
      </c>
      <c r="AI882" s="886">
        <f t="shared" si="269"/>
        <v>19937200</v>
      </c>
      <c r="AJ882" s="886">
        <f t="shared" si="262"/>
        <v>39874400</v>
      </c>
      <c r="AK882" s="868">
        <f t="shared" si="270"/>
        <v>159497600</v>
      </c>
    </row>
    <row r="883" spans="5:37" s="857" customFormat="1" ht="35.25" customHeight="1" x14ac:dyDescent="0.2">
      <c r="E883" s="884"/>
      <c r="F883" s="890"/>
      <c r="G883" s="878" t="s">
        <v>3343</v>
      </c>
      <c r="H883" s="879"/>
      <c r="I883" s="903" t="s">
        <v>2514</v>
      </c>
      <c r="J883" s="878"/>
      <c r="K883" s="903"/>
      <c r="L883" s="908"/>
      <c r="M883" s="878"/>
      <c r="N883" s="908"/>
      <c r="O883" s="907" t="s">
        <v>2610</v>
      </c>
      <c r="P883" s="903">
        <v>2018</v>
      </c>
      <c r="Q883" s="878"/>
      <c r="R883" s="878"/>
      <c r="S883" s="878"/>
      <c r="T883" s="903" t="s">
        <v>12</v>
      </c>
      <c r="U883" s="879">
        <v>306438000</v>
      </c>
      <c r="V883" s="903"/>
      <c r="W883" s="931"/>
      <c r="X883" s="971"/>
      <c r="Y883" s="884" t="str">
        <f t="shared" si="263"/>
        <v>04.14.02</v>
      </c>
      <c r="Z883" s="884" t="str">
        <f t="shared" si="264"/>
        <v>Bangunan Air Pasang Surut</v>
      </c>
      <c r="AA883" s="884">
        <f t="shared" si="265"/>
        <v>50</v>
      </c>
      <c r="AB883" s="868">
        <f t="shared" si="266"/>
        <v>6128760</v>
      </c>
      <c r="AC883" s="885">
        <f t="shared" si="267"/>
        <v>0</v>
      </c>
      <c r="AD883" s="868">
        <f t="shared" si="268"/>
        <v>0</v>
      </c>
      <c r="AE883" s="868">
        <v>0</v>
      </c>
      <c r="AF883" s="868">
        <v>0</v>
      </c>
      <c r="AG883" s="868">
        <v>0</v>
      </c>
      <c r="AH883" s="868">
        <v>0</v>
      </c>
      <c r="AI883" s="886">
        <f t="shared" si="269"/>
        <v>6128760</v>
      </c>
      <c r="AJ883" s="886">
        <f t="shared" si="262"/>
        <v>6128760</v>
      </c>
      <c r="AK883" s="868">
        <f t="shared" si="270"/>
        <v>300309240</v>
      </c>
    </row>
    <row r="884" spans="5:37" s="857" customFormat="1" ht="35.25" customHeight="1" x14ac:dyDescent="0.2">
      <c r="E884" s="884"/>
      <c r="F884" s="890"/>
      <c r="G884" s="878" t="s">
        <v>3344</v>
      </c>
      <c r="H884" s="879"/>
      <c r="I884" s="903" t="s">
        <v>2514</v>
      </c>
      <c r="J884" s="878"/>
      <c r="K884" s="903"/>
      <c r="L884" s="908"/>
      <c r="M884" s="878"/>
      <c r="N884" s="908"/>
      <c r="O884" s="907" t="s">
        <v>2864</v>
      </c>
      <c r="P884" s="903">
        <v>2018</v>
      </c>
      <c r="Q884" s="878"/>
      <c r="R884" s="878"/>
      <c r="S884" s="878"/>
      <c r="T884" s="903" t="s">
        <v>12</v>
      </c>
      <c r="U884" s="879">
        <v>195017900</v>
      </c>
      <c r="V884" s="903"/>
      <c r="W884" s="931"/>
      <c r="X884" s="971"/>
      <c r="Y884" s="884" t="str">
        <f t="shared" si="263"/>
        <v>04.14.02</v>
      </c>
      <c r="Z884" s="884" t="str">
        <f t="shared" si="264"/>
        <v>Bangunan Air Pasang Surut</v>
      </c>
      <c r="AA884" s="884">
        <f t="shared" si="265"/>
        <v>50</v>
      </c>
      <c r="AB884" s="868">
        <f t="shared" si="266"/>
        <v>3900358</v>
      </c>
      <c r="AC884" s="885">
        <f t="shared" si="267"/>
        <v>0</v>
      </c>
      <c r="AD884" s="868">
        <f t="shared" si="268"/>
        <v>0</v>
      </c>
      <c r="AE884" s="868">
        <v>0</v>
      </c>
      <c r="AF884" s="868">
        <v>0</v>
      </c>
      <c r="AG884" s="868">
        <v>0</v>
      </c>
      <c r="AH884" s="868">
        <v>0</v>
      </c>
      <c r="AI884" s="886">
        <f t="shared" si="269"/>
        <v>3900358</v>
      </c>
      <c r="AJ884" s="886">
        <f t="shared" si="262"/>
        <v>3900358</v>
      </c>
      <c r="AK884" s="868">
        <f t="shared" si="270"/>
        <v>191117542</v>
      </c>
    </row>
    <row r="885" spans="5:37" s="857" customFormat="1" ht="35.25" customHeight="1" x14ac:dyDescent="0.2">
      <c r="E885" s="884"/>
      <c r="F885" s="890"/>
      <c r="G885" s="878" t="s">
        <v>3345</v>
      </c>
      <c r="H885" s="879"/>
      <c r="I885" s="903" t="s">
        <v>2514</v>
      </c>
      <c r="J885" s="878"/>
      <c r="K885" s="903"/>
      <c r="L885" s="908"/>
      <c r="M885" s="878"/>
      <c r="N885" s="908"/>
      <c r="O885" s="907" t="s">
        <v>3487</v>
      </c>
      <c r="P885" s="903">
        <v>2018</v>
      </c>
      <c r="Q885" s="878"/>
      <c r="R885" s="878"/>
      <c r="S885" s="878"/>
      <c r="T885" s="903" t="s">
        <v>12</v>
      </c>
      <c r="U885" s="879">
        <v>194877555</v>
      </c>
      <c r="V885" s="903"/>
      <c r="W885" s="931"/>
      <c r="X885" s="971"/>
      <c r="Y885" s="884" t="str">
        <f t="shared" si="263"/>
        <v>04.14.02</v>
      </c>
      <c r="Z885" s="884" t="str">
        <f t="shared" si="264"/>
        <v>Bangunan Air Pasang Surut</v>
      </c>
      <c r="AA885" s="884">
        <f t="shared" si="265"/>
        <v>50</v>
      </c>
      <c r="AB885" s="868">
        <f t="shared" si="266"/>
        <v>3897551.1</v>
      </c>
      <c r="AC885" s="885">
        <f t="shared" si="267"/>
        <v>0</v>
      </c>
      <c r="AD885" s="868">
        <f t="shared" si="268"/>
        <v>0</v>
      </c>
      <c r="AE885" s="868">
        <v>0</v>
      </c>
      <c r="AF885" s="868">
        <v>0</v>
      </c>
      <c r="AG885" s="868">
        <v>0</v>
      </c>
      <c r="AH885" s="868">
        <v>0</v>
      </c>
      <c r="AI885" s="886">
        <f t="shared" si="269"/>
        <v>3897551.1</v>
      </c>
      <c r="AJ885" s="886">
        <f t="shared" si="262"/>
        <v>3897551.1</v>
      </c>
      <c r="AK885" s="868">
        <f t="shared" si="270"/>
        <v>190980003.90000001</v>
      </c>
    </row>
    <row r="886" spans="5:37" s="857" customFormat="1" ht="35.25" customHeight="1" x14ac:dyDescent="0.2">
      <c r="E886" s="884"/>
      <c r="F886" s="890"/>
      <c r="G886" s="878" t="s">
        <v>3346</v>
      </c>
      <c r="H886" s="879"/>
      <c r="I886" s="903" t="s">
        <v>2514</v>
      </c>
      <c r="J886" s="878"/>
      <c r="K886" s="903"/>
      <c r="L886" s="908"/>
      <c r="M886" s="878"/>
      <c r="N886" s="908"/>
      <c r="O886" s="907" t="s">
        <v>3488</v>
      </c>
      <c r="P886" s="903">
        <v>2018</v>
      </c>
      <c r="Q886" s="878"/>
      <c r="R886" s="878"/>
      <c r="S886" s="878"/>
      <c r="T886" s="903" t="s">
        <v>12</v>
      </c>
      <c r="U886" s="879">
        <v>196750000</v>
      </c>
      <c r="V886" s="903"/>
      <c r="W886" s="931"/>
      <c r="X886" s="971"/>
      <c r="Y886" s="884" t="str">
        <f t="shared" si="263"/>
        <v>04.14.02</v>
      </c>
      <c r="Z886" s="884" t="str">
        <f t="shared" si="264"/>
        <v>Bangunan Air Pasang Surut</v>
      </c>
      <c r="AA886" s="884">
        <f t="shared" si="265"/>
        <v>50</v>
      </c>
      <c r="AB886" s="868">
        <f t="shared" si="266"/>
        <v>3935000</v>
      </c>
      <c r="AC886" s="885">
        <f t="shared" si="267"/>
        <v>0</v>
      </c>
      <c r="AD886" s="868">
        <f t="shared" si="268"/>
        <v>0</v>
      </c>
      <c r="AE886" s="868">
        <v>0</v>
      </c>
      <c r="AF886" s="868">
        <v>0</v>
      </c>
      <c r="AG886" s="868">
        <v>0</v>
      </c>
      <c r="AH886" s="868">
        <v>0</v>
      </c>
      <c r="AI886" s="886">
        <f t="shared" si="269"/>
        <v>3935000</v>
      </c>
      <c r="AJ886" s="886">
        <f t="shared" si="262"/>
        <v>3935000</v>
      </c>
      <c r="AK886" s="868">
        <f t="shared" si="270"/>
        <v>192815000</v>
      </c>
    </row>
    <row r="887" spans="5:37" s="857" customFormat="1" ht="35.25" customHeight="1" x14ac:dyDescent="0.2">
      <c r="E887" s="884"/>
      <c r="F887" s="890"/>
      <c r="G887" s="878" t="s">
        <v>3347</v>
      </c>
      <c r="H887" s="879"/>
      <c r="I887" s="903" t="s">
        <v>2514</v>
      </c>
      <c r="J887" s="878"/>
      <c r="K887" s="903"/>
      <c r="L887" s="908"/>
      <c r="M887" s="878"/>
      <c r="N887" s="908"/>
      <c r="O887" s="907" t="s">
        <v>3489</v>
      </c>
      <c r="P887" s="903">
        <v>2018</v>
      </c>
      <c r="Q887" s="878"/>
      <c r="R887" s="878"/>
      <c r="S887" s="878"/>
      <c r="T887" s="903" t="s">
        <v>12</v>
      </c>
      <c r="U887" s="879">
        <v>197460000</v>
      </c>
      <c r="V887" s="903"/>
      <c r="W887" s="931"/>
      <c r="X887" s="971"/>
      <c r="Y887" s="884" t="str">
        <f t="shared" si="263"/>
        <v>04.14.02</v>
      </c>
      <c r="Z887" s="884" t="str">
        <f t="shared" si="264"/>
        <v>Bangunan Air Pasang Surut</v>
      </c>
      <c r="AA887" s="884">
        <f t="shared" si="265"/>
        <v>50</v>
      </c>
      <c r="AB887" s="868">
        <f t="shared" si="266"/>
        <v>3949200</v>
      </c>
      <c r="AC887" s="885">
        <f t="shared" si="267"/>
        <v>0</v>
      </c>
      <c r="AD887" s="868">
        <f t="shared" si="268"/>
        <v>0</v>
      </c>
      <c r="AE887" s="868">
        <v>0</v>
      </c>
      <c r="AF887" s="868">
        <v>0</v>
      </c>
      <c r="AG887" s="868">
        <v>0</v>
      </c>
      <c r="AH887" s="868">
        <v>0</v>
      </c>
      <c r="AI887" s="886">
        <f t="shared" si="269"/>
        <v>3949200</v>
      </c>
      <c r="AJ887" s="886">
        <f t="shared" si="262"/>
        <v>3949200</v>
      </c>
      <c r="AK887" s="868">
        <f t="shared" si="270"/>
        <v>193510800</v>
      </c>
    </row>
    <row r="888" spans="5:37" s="857" customFormat="1" ht="35.25" customHeight="1" x14ac:dyDescent="0.2">
      <c r="E888" s="884"/>
      <c r="F888" s="890"/>
      <c r="G888" s="878" t="s">
        <v>3348</v>
      </c>
      <c r="H888" s="879"/>
      <c r="I888" s="903" t="s">
        <v>2551</v>
      </c>
      <c r="J888" s="878"/>
      <c r="K888" s="903"/>
      <c r="L888" s="908"/>
      <c r="M888" s="878"/>
      <c r="N888" s="908"/>
      <c r="O888" s="907" t="s">
        <v>3490</v>
      </c>
      <c r="P888" s="903">
        <v>2018</v>
      </c>
      <c r="Q888" s="878"/>
      <c r="R888" s="878"/>
      <c r="S888" s="878"/>
      <c r="T888" s="903" t="s">
        <v>12</v>
      </c>
      <c r="U888" s="879">
        <v>197590000</v>
      </c>
      <c r="V888" s="903"/>
      <c r="W888" s="931"/>
      <c r="X888" s="971"/>
      <c r="Y888" s="884" t="str">
        <f t="shared" si="263"/>
        <v>04.14.04</v>
      </c>
      <c r="Z888" s="884" t="str">
        <f t="shared" si="264"/>
        <v>Bangunan Pengaman Sungai dan Penanggulangan Bencana Alam</v>
      </c>
      <c r="AA888" s="884">
        <f t="shared" si="265"/>
        <v>10</v>
      </c>
      <c r="AB888" s="868">
        <f t="shared" si="266"/>
        <v>19759000</v>
      </c>
      <c r="AC888" s="885">
        <f t="shared" si="267"/>
        <v>0</v>
      </c>
      <c r="AD888" s="868">
        <f t="shared" si="268"/>
        <v>0</v>
      </c>
      <c r="AE888" s="868">
        <v>0</v>
      </c>
      <c r="AF888" s="868">
        <v>0</v>
      </c>
      <c r="AG888" s="868">
        <v>0</v>
      </c>
      <c r="AH888" s="868">
        <v>0</v>
      </c>
      <c r="AI888" s="886">
        <f t="shared" si="269"/>
        <v>19759000</v>
      </c>
      <c r="AJ888" s="886">
        <f t="shared" si="262"/>
        <v>19759000</v>
      </c>
      <c r="AK888" s="868">
        <f t="shared" si="270"/>
        <v>177831000</v>
      </c>
    </row>
    <row r="889" spans="5:37" s="857" customFormat="1" ht="35.25" customHeight="1" x14ac:dyDescent="0.2">
      <c r="E889" s="884"/>
      <c r="F889" s="890"/>
      <c r="G889" s="878" t="s">
        <v>3349</v>
      </c>
      <c r="H889" s="879"/>
      <c r="I889" s="903" t="s">
        <v>2551</v>
      </c>
      <c r="J889" s="878"/>
      <c r="K889" s="903"/>
      <c r="L889" s="908"/>
      <c r="M889" s="878"/>
      <c r="N889" s="908"/>
      <c r="O889" s="907" t="s">
        <v>3491</v>
      </c>
      <c r="P889" s="903">
        <v>2018</v>
      </c>
      <c r="Q889" s="878"/>
      <c r="R889" s="878"/>
      <c r="S889" s="878"/>
      <c r="T889" s="903" t="s">
        <v>12</v>
      </c>
      <c r="U889" s="879">
        <v>197585000</v>
      </c>
      <c r="V889" s="903"/>
      <c r="W889" s="931"/>
      <c r="X889" s="971"/>
      <c r="Y889" s="884" t="str">
        <f t="shared" si="263"/>
        <v>04.14.04</v>
      </c>
      <c r="Z889" s="884" t="str">
        <f t="shared" si="264"/>
        <v>Bangunan Pengaman Sungai dan Penanggulangan Bencana Alam</v>
      </c>
      <c r="AA889" s="884">
        <f t="shared" si="265"/>
        <v>10</v>
      </c>
      <c r="AB889" s="868">
        <f t="shared" si="266"/>
        <v>19758500</v>
      </c>
      <c r="AC889" s="885">
        <f t="shared" si="267"/>
        <v>0</v>
      </c>
      <c r="AD889" s="868">
        <f t="shared" si="268"/>
        <v>0</v>
      </c>
      <c r="AE889" s="868">
        <v>0</v>
      </c>
      <c r="AF889" s="868">
        <v>0</v>
      </c>
      <c r="AG889" s="868">
        <v>0</v>
      </c>
      <c r="AH889" s="868">
        <v>0</v>
      </c>
      <c r="AI889" s="886">
        <f t="shared" si="269"/>
        <v>19758500</v>
      </c>
      <c r="AJ889" s="886">
        <f t="shared" si="262"/>
        <v>19758500</v>
      </c>
      <c r="AK889" s="868">
        <f t="shared" si="270"/>
        <v>177826500</v>
      </c>
    </row>
    <row r="890" spans="5:37" s="857" customFormat="1" ht="35.25" customHeight="1" x14ac:dyDescent="0.2">
      <c r="E890" s="884"/>
      <c r="F890" s="890"/>
      <c r="G890" s="878" t="s">
        <v>3350</v>
      </c>
      <c r="H890" s="879"/>
      <c r="I890" s="903" t="s">
        <v>2551</v>
      </c>
      <c r="J890" s="878"/>
      <c r="K890" s="903"/>
      <c r="L890" s="908"/>
      <c r="M890" s="878"/>
      <c r="N890" s="908"/>
      <c r="O890" s="907" t="s">
        <v>3492</v>
      </c>
      <c r="P890" s="903">
        <v>2018</v>
      </c>
      <c r="Q890" s="878"/>
      <c r="R890" s="878"/>
      <c r="S890" s="878"/>
      <c r="T890" s="903" t="s">
        <v>12</v>
      </c>
      <c r="U890" s="879">
        <v>197620000</v>
      </c>
      <c r="V890" s="903"/>
      <c r="W890" s="931"/>
      <c r="X890" s="971"/>
      <c r="Y890" s="884" t="str">
        <f t="shared" si="263"/>
        <v>04.14.04</v>
      </c>
      <c r="Z890" s="884" t="str">
        <f t="shared" si="264"/>
        <v>Bangunan Pengaman Sungai dan Penanggulangan Bencana Alam</v>
      </c>
      <c r="AA890" s="884">
        <f t="shared" si="265"/>
        <v>10</v>
      </c>
      <c r="AB890" s="868">
        <f t="shared" si="266"/>
        <v>19762000</v>
      </c>
      <c r="AC890" s="885">
        <f t="shared" si="267"/>
        <v>0</v>
      </c>
      <c r="AD890" s="868">
        <f t="shared" si="268"/>
        <v>0</v>
      </c>
      <c r="AE890" s="868">
        <v>0</v>
      </c>
      <c r="AF890" s="868">
        <v>0</v>
      </c>
      <c r="AG890" s="868">
        <v>0</v>
      </c>
      <c r="AH890" s="868">
        <v>0</v>
      </c>
      <c r="AI890" s="886">
        <f t="shared" si="269"/>
        <v>19762000</v>
      </c>
      <c r="AJ890" s="886">
        <f t="shared" si="262"/>
        <v>19762000</v>
      </c>
      <c r="AK890" s="868">
        <f t="shared" si="270"/>
        <v>177858000</v>
      </c>
    </row>
    <row r="891" spans="5:37" s="857" customFormat="1" ht="35.25" customHeight="1" x14ac:dyDescent="0.2">
      <c r="E891" s="884"/>
      <c r="F891" s="890"/>
      <c r="G891" s="878" t="s">
        <v>3351</v>
      </c>
      <c r="H891" s="879"/>
      <c r="I891" s="903" t="s">
        <v>2551</v>
      </c>
      <c r="J891" s="878"/>
      <c r="K891" s="903"/>
      <c r="L891" s="908"/>
      <c r="M891" s="878"/>
      <c r="N891" s="908"/>
      <c r="O891" s="907" t="s">
        <v>3454</v>
      </c>
      <c r="P891" s="903">
        <v>2018</v>
      </c>
      <c r="Q891" s="878"/>
      <c r="R891" s="878"/>
      <c r="S891" s="878"/>
      <c r="T891" s="903" t="s">
        <v>12</v>
      </c>
      <c r="U891" s="879">
        <v>197600000</v>
      </c>
      <c r="V891" s="903"/>
      <c r="W891" s="931"/>
      <c r="X891" s="971"/>
      <c r="Y891" s="884" t="str">
        <f t="shared" si="263"/>
        <v>04.14.04</v>
      </c>
      <c r="Z891" s="884" t="str">
        <f t="shared" si="264"/>
        <v>Bangunan Pengaman Sungai dan Penanggulangan Bencana Alam</v>
      </c>
      <c r="AA891" s="884">
        <f t="shared" si="265"/>
        <v>10</v>
      </c>
      <c r="AB891" s="868">
        <f t="shared" si="266"/>
        <v>19760000</v>
      </c>
      <c r="AC891" s="885">
        <f t="shared" si="267"/>
        <v>0</v>
      </c>
      <c r="AD891" s="868">
        <f t="shared" si="268"/>
        <v>0</v>
      </c>
      <c r="AE891" s="868">
        <v>0</v>
      </c>
      <c r="AF891" s="868">
        <v>0</v>
      </c>
      <c r="AG891" s="868">
        <v>0</v>
      </c>
      <c r="AH891" s="868">
        <v>0</v>
      </c>
      <c r="AI891" s="886">
        <f t="shared" si="269"/>
        <v>19760000</v>
      </c>
      <c r="AJ891" s="886">
        <f t="shared" si="262"/>
        <v>19760000</v>
      </c>
      <c r="AK891" s="868">
        <f t="shared" si="270"/>
        <v>177840000</v>
      </c>
    </row>
    <row r="892" spans="5:37" s="857" customFormat="1" ht="35.25" customHeight="1" x14ac:dyDescent="0.2">
      <c r="E892" s="884"/>
      <c r="F892" s="890"/>
      <c r="G892" s="878" t="s">
        <v>3352</v>
      </c>
      <c r="H892" s="879"/>
      <c r="I892" s="903" t="s">
        <v>2551</v>
      </c>
      <c r="J892" s="878"/>
      <c r="K892" s="903"/>
      <c r="L892" s="908"/>
      <c r="M892" s="878"/>
      <c r="N892" s="908"/>
      <c r="O892" s="907" t="s">
        <v>3493</v>
      </c>
      <c r="P892" s="903">
        <v>2018</v>
      </c>
      <c r="Q892" s="878"/>
      <c r="R892" s="878"/>
      <c r="S892" s="878"/>
      <c r="T892" s="903" t="s">
        <v>12</v>
      </c>
      <c r="U892" s="879">
        <v>197150000</v>
      </c>
      <c r="V892" s="903"/>
      <c r="W892" s="931"/>
      <c r="X892" s="971"/>
      <c r="Y892" s="884" t="str">
        <f t="shared" si="263"/>
        <v>04.14.04</v>
      </c>
      <c r="Z892" s="884" t="str">
        <f t="shared" si="264"/>
        <v>Bangunan Pengaman Sungai dan Penanggulangan Bencana Alam</v>
      </c>
      <c r="AA892" s="884">
        <f t="shared" si="265"/>
        <v>10</v>
      </c>
      <c r="AB892" s="868">
        <f t="shared" si="266"/>
        <v>19715000</v>
      </c>
      <c r="AC892" s="885">
        <f t="shared" si="267"/>
        <v>0</v>
      </c>
      <c r="AD892" s="868">
        <f t="shared" si="268"/>
        <v>0</v>
      </c>
      <c r="AE892" s="868">
        <v>0</v>
      </c>
      <c r="AF892" s="868">
        <v>0</v>
      </c>
      <c r="AG892" s="868">
        <v>0</v>
      </c>
      <c r="AH892" s="868">
        <v>0</v>
      </c>
      <c r="AI892" s="886">
        <f t="shared" si="269"/>
        <v>19715000</v>
      </c>
      <c r="AJ892" s="886">
        <f t="shared" si="262"/>
        <v>19715000</v>
      </c>
      <c r="AK892" s="868">
        <f t="shared" si="270"/>
        <v>177435000</v>
      </c>
    </row>
    <row r="893" spans="5:37" s="857" customFormat="1" ht="35.25" customHeight="1" x14ac:dyDescent="0.2">
      <c r="E893" s="884"/>
      <c r="F893" s="890"/>
      <c r="G893" s="878" t="s">
        <v>3353</v>
      </c>
      <c r="H893" s="879"/>
      <c r="I893" s="903" t="s">
        <v>2525</v>
      </c>
      <c r="J893" s="878"/>
      <c r="K893" s="903"/>
      <c r="L893" s="908"/>
      <c r="M893" s="878"/>
      <c r="N893" s="908"/>
      <c r="O893" s="907" t="s">
        <v>3494</v>
      </c>
      <c r="P893" s="903">
        <v>2018</v>
      </c>
      <c r="Q893" s="878"/>
      <c r="R893" s="878"/>
      <c r="S893" s="878"/>
      <c r="T893" s="903" t="s">
        <v>12</v>
      </c>
      <c r="U893" s="879">
        <v>1765249000</v>
      </c>
      <c r="V893" s="903"/>
      <c r="W893" s="931"/>
      <c r="X893" s="971"/>
      <c r="Y893" s="884" t="str">
        <f t="shared" si="263"/>
        <v>04.14.04</v>
      </c>
      <c r="Z893" s="884" t="str">
        <f t="shared" si="264"/>
        <v>Bangunan Pengaman Sungai dan Penanggulangan Bencana Alam</v>
      </c>
      <c r="AA893" s="884">
        <f t="shared" si="265"/>
        <v>10</v>
      </c>
      <c r="AB893" s="868">
        <f t="shared" si="266"/>
        <v>176524900</v>
      </c>
      <c r="AC893" s="885">
        <f t="shared" si="267"/>
        <v>0</v>
      </c>
      <c r="AD893" s="868">
        <f t="shared" si="268"/>
        <v>0</v>
      </c>
      <c r="AE893" s="868">
        <v>0</v>
      </c>
      <c r="AF893" s="868">
        <v>0</v>
      </c>
      <c r="AG893" s="868">
        <v>0</v>
      </c>
      <c r="AH893" s="868">
        <v>0</v>
      </c>
      <c r="AI893" s="886">
        <f t="shared" si="269"/>
        <v>176524900</v>
      </c>
      <c r="AJ893" s="886">
        <f t="shared" si="262"/>
        <v>176524900</v>
      </c>
      <c r="AK893" s="868">
        <f t="shared" si="270"/>
        <v>1588724100</v>
      </c>
    </row>
    <row r="894" spans="5:37" s="857" customFormat="1" ht="35.25" customHeight="1" x14ac:dyDescent="0.2">
      <c r="E894" s="884"/>
      <c r="F894" s="890"/>
      <c r="G894" s="878" t="s">
        <v>3354</v>
      </c>
      <c r="H894" s="879"/>
      <c r="I894" s="903" t="s">
        <v>2525</v>
      </c>
      <c r="J894" s="878"/>
      <c r="K894" s="903"/>
      <c r="L894" s="908"/>
      <c r="M894" s="878"/>
      <c r="N894" s="908"/>
      <c r="O894" s="907" t="s">
        <v>3495</v>
      </c>
      <c r="P894" s="903">
        <v>2018</v>
      </c>
      <c r="Q894" s="878"/>
      <c r="R894" s="878"/>
      <c r="S894" s="878"/>
      <c r="T894" s="903" t="s">
        <v>12</v>
      </c>
      <c r="U894" s="879">
        <v>1906019000</v>
      </c>
      <c r="V894" s="903"/>
      <c r="W894" s="931"/>
      <c r="X894" s="971"/>
      <c r="Y894" s="884" t="str">
        <f t="shared" si="263"/>
        <v>04.14.04</v>
      </c>
      <c r="Z894" s="884" t="str">
        <f t="shared" si="264"/>
        <v>Bangunan Pengaman Sungai dan Penanggulangan Bencana Alam</v>
      </c>
      <c r="AA894" s="884">
        <f t="shared" si="265"/>
        <v>10</v>
      </c>
      <c r="AB894" s="868">
        <f t="shared" si="266"/>
        <v>190601900</v>
      </c>
      <c r="AC894" s="885">
        <f t="shared" si="267"/>
        <v>0</v>
      </c>
      <c r="AD894" s="868">
        <f t="shared" si="268"/>
        <v>0</v>
      </c>
      <c r="AE894" s="868">
        <v>0</v>
      </c>
      <c r="AF894" s="868">
        <v>0</v>
      </c>
      <c r="AG894" s="868">
        <v>0</v>
      </c>
      <c r="AH894" s="868">
        <v>0</v>
      </c>
      <c r="AI894" s="886">
        <f t="shared" si="269"/>
        <v>190601900</v>
      </c>
      <c r="AJ894" s="886">
        <f t="shared" si="262"/>
        <v>190601900</v>
      </c>
      <c r="AK894" s="868">
        <f t="shared" si="270"/>
        <v>1715417100</v>
      </c>
    </row>
    <row r="895" spans="5:37" s="857" customFormat="1" ht="35.25" customHeight="1" x14ac:dyDescent="0.2">
      <c r="E895" s="884"/>
      <c r="F895" s="890"/>
      <c r="G895" s="878" t="s">
        <v>3355</v>
      </c>
      <c r="H895" s="879"/>
      <c r="I895" s="903" t="s">
        <v>2525</v>
      </c>
      <c r="J895" s="878"/>
      <c r="K895" s="903"/>
      <c r="L895" s="908"/>
      <c r="M895" s="878"/>
      <c r="N895" s="908"/>
      <c r="O895" s="907" t="s">
        <v>3496</v>
      </c>
      <c r="P895" s="903">
        <v>2018</v>
      </c>
      <c r="Q895" s="878"/>
      <c r="R895" s="878"/>
      <c r="S895" s="878"/>
      <c r="T895" s="903" t="s">
        <v>12</v>
      </c>
      <c r="U895" s="879">
        <v>1667398225</v>
      </c>
      <c r="V895" s="903"/>
      <c r="W895" s="931"/>
      <c r="X895" s="971"/>
      <c r="Y895" s="884" t="str">
        <f t="shared" si="263"/>
        <v>04.14.04</v>
      </c>
      <c r="Z895" s="884" t="str">
        <f t="shared" si="264"/>
        <v>Bangunan Pengaman Sungai dan Penanggulangan Bencana Alam</v>
      </c>
      <c r="AA895" s="884">
        <f t="shared" si="265"/>
        <v>10</v>
      </c>
      <c r="AB895" s="868">
        <f t="shared" si="266"/>
        <v>166739822.5</v>
      </c>
      <c r="AC895" s="885">
        <f t="shared" si="267"/>
        <v>0</v>
      </c>
      <c r="AD895" s="868">
        <f t="shared" si="268"/>
        <v>0</v>
      </c>
      <c r="AE895" s="868">
        <v>0</v>
      </c>
      <c r="AF895" s="868">
        <v>0</v>
      </c>
      <c r="AG895" s="868">
        <v>0</v>
      </c>
      <c r="AH895" s="868">
        <v>0</v>
      </c>
      <c r="AI895" s="886">
        <f t="shared" si="269"/>
        <v>166739822.5</v>
      </c>
      <c r="AJ895" s="886">
        <f t="shared" si="262"/>
        <v>166739822.5</v>
      </c>
      <c r="AK895" s="868">
        <f t="shared" si="270"/>
        <v>1500658402.5</v>
      </c>
    </row>
    <row r="896" spans="5:37" s="857" customFormat="1" ht="35.25" customHeight="1" x14ac:dyDescent="0.2">
      <c r="E896" s="884"/>
      <c r="F896" s="890"/>
      <c r="G896" s="878" t="s">
        <v>3356</v>
      </c>
      <c r="H896" s="879"/>
      <c r="I896" s="903" t="s">
        <v>2525</v>
      </c>
      <c r="J896" s="878"/>
      <c r="K896" s="903"/>
      <c r="L896" s="908"/>
      <c r="M896" s="878"/>
      <c r="N896" s="908"/>
      <c r="O896" s="907" t="s">
        <v>2566</v>
      </c>
      <c r="P896" s="903">
        <v>2018</v>
      </c>
      <c r="Q896" s="878"/>
      <c r="R896" s="878"/>
      <c r="S896" s="878"/>
      <c r="T896" s="903" t="s">
        <v>12</v>
      </c>
      <c r="U896" s="879">
        <v>197475000</v>
      </c>
      <c r="V896" s="903"/>
      <c r="W896" s="931"/>
      <c r="X896" s="971"/>
      <c r="Y896" s="884" t="str">
        <f t="shared" si="263"/>
        <v>04.14.04</v>
      </c>
      <c r="Z896" s="884" t="str">
        <f t="shared" si="264"/>
        <v>Bangunan Pengaman Sungai dan Penanggulangan Bencana Alam</v>
      </c>
      <c r="AA896" s="884">
        <f t="shared" si="265"/>
        <v>10</v>
      </c>
      <c r="AB896" s="868">
        <f t="shared" si="266"/>
        <v>19747500</v>
      </c>
      <c r="AC896" s="885">
        <f t="shared" si="267"/>
        <v>0</v>
      </c>
      <c r="AD896" s="868">
        <f t="shared" si="268"/>
        <v>0</v>
      </c>
      <c r="AE896" s="868">
        <v>0</v>
      </c>
      <c r="AF896" s="868">
        <v>0</v>
      </c>
      <c r="AG896" s="868">
        <v>0</v>
      </c>
      <c r="AH896" s="868">
        <v>0</v>
      </c>
      <c r="AI896" s="886">
        <f t="shared" si="269"/>
        <v>19747500</v>
      </c>
      <c r="AJ896" s="886">
        <f t="shared" si="262"/>
        <v>19747500</v>
      </c>
      <c r="AK896" s="868">
        <f t="shared" si="270"/>
        <v>177727500</v>
      </c>
    </row>
    <row r="897" spans="5:37" s="857" customFormat="1" ht="35.25" customHeight="1" x14ac:dyDescent="0.2">
      <c r="E897" s="884"/>
      <c r="F897" s="890"/>
      <c r="G897" s="878" t="s">
        <v>3357</v>
      </c>
      <c r="H897" s="879"/>
      <c r="I897" s="903" t="s">
        <v>2525</v>
      </c>
      <c r="J897" s="878"/>
      <c r="K897" s="903"/>
      <c r="L897" s="908"/>
      <c r="M897" s="878"/>
      <c r="N897" s="908"/>
      <c r="O897" s="907" t="s">
        <v>3497</v>
      </c>
      <c r="P897" s="903">
        <v>2018</v>
      </c>
      <c r="Q897" s="878"/>
      <c r="R897" s="878"/>
      <c r="S897" s="878"/>
      <c r="T897" s="903" t="s">
        <v>12</v>
      </c>
      <c r="U897" s="879">
        <v>197500000</v>
      </c>
      <c r="V897" s="903"/>
      <c r="W897" s="931"/>
      <c r="X897" s="971"/>
      <c r="Y897" s="884" t="str">
        <f t="shared" si="263"/>
        <v>04.14.04</v>
      </c>
      <c r="Z897" s="884" t="str">
        <f t="shared" si="264"/>
        <v>Bangunan Pengaman Sungai dan Penanggulangan Bencana Alam</v>
      </c>
      <c r="AA897" s="884">
        <f t="shared" si="265"/>
        <v>10</v>
      </c>
      <c r="AB897" s="868">
        <f t="shared" si="266"/>
        <v>19750000</v>
      </c>
      <c r="AC897" s="885">
        <f t="shared" si="267"/>
        <v>0</v>
      </c>
      <c r="AD897" s="868">
        <f t="shared" si="268"/>
        <v>0</v>
      </c>
      <c r="AE897" s="868">
        <v>0</v>
      </c>
      <c r="AF897" s="868">
        <v>0</v>
      </c>
      <c r="AG897" s="868">
        <v>0</v>
      </c>
      <c r="AH897" s="868">
        <v>0</v>
      </c>
      <c r="AI897" s="886">
        <f t="shared" si="269"/>
        <v>19750000</v>
      </c>
      <c r="AJ897" s="886">
        <f t="shared" si="262"/>
        <v>19750000</v>
      </c>
      <c r="AK897" s="868">
        <f t="shared" si="270"/>
        <v>177750000</v>
      </c>
    </row>
    <row r="898" spans="5:37" s="857" customFormat="1" ht="35.25" customHeight="1" x14ac:dyDescent="0.2">
      <c r="E898" s="884"/>
      <c r="F898" s="890"/>
      <c r="G898" s="878" t="s">
        <v>3358</v>
      </c>
      <c r="H898" s="879"/>
      <c r="I898" s="903" t="s">
        <v>2525</v>
      </c>
      <c r="J898" s="878"/>
      <c r="K898" s="903"/>
      <c r="L898" s="908"/>
      <c r="M898" s="878"/>
      <c r="N898" s="908"/>
      <c r="O898" s="907" t="s">
        <v>3498</v>
      </c>
      <c r="P898" s="903">
        <v>2018</v>
      </c>
      <c r="Q898" s="878"/>
      <c r="R898" s="878"/>
      <c r="S898" s="878"/>
      <c r="T898" s="903" t="s">
        <v>12</v>
      </c>
      <c r="U898" s="879">
        <v>197525000</v>
      </c>
      <c r="V898" s="903"/>
      <c r="W898" s="931"/>
      <c r="X898" s="971"/>
      <c r="Y898" s="884" t="str">
        <f t="shared" si="263"/>
        <v>04.14.04</v>
      </c>
      <c r="Z898" s="884" t="str">
        <f t="shared" si="264"/>
        <v>Bangunan Pengaman Sungai dan Penanggulangan Bencana Alam</v>
      </c>
      <c r="AA898" s="884">
        <f t="shared" si="265"/>
        <v>10</v>
      </c>
      <c r="AB898" s="868">
        <f t="shared" si="266"/>
        <v>19752500</v>
      </c>
      <c r="AC898" s="885">
        <f t="shared" si="267"/>
        <v>0</v>
      </c>
      <c r="AD898" s="868">
        <f t="shared" si="268"/>
        <v>0</v>
      </c>
      <c r="AE898" s="868">
        <v>0</v>
      </c>
      <c r="AF898" s="868">
        <v>0</v>
      </c>
      <c r="AG898" s="868">
        <v>0</v>
      </c>
      <c r="AH898" s="868">
        <v>0</v>
      </c>
      <c r="AI898" s="886">
        <f t="shared" si="269"/>
        <v>19752500</v>
      </c>
      <c r="AJ898" s="886">
        <f t="shared" si="262"/>
        <v>19752500</v>
      </c>
      <c r="AK898" s="868">
        <f t="shared" si="270"/>
        <v>177772500</v>
      </c>
    </row>
    <row r="899" spans="5:37" s="857" customFormat="1" ht="35.25" customHeight="1" x14ac:dyDescent="0.2">
      <c r="E899" s="884"/>
      <c r="F899" s="890"/>
      <c r="G899" s="878" t="s">
        <v>3359</v>
      </c>
      <c r="H899" s="879"/>
      <c r="I899" s="903" t="s">
        <v>2525</v>
      </c>
      <c r="J899" s="878"/>
      <c r="K899" s="903"/>
      <c r="L899" s="908"/>
      <c r="M899" s="878"/>
      <c r="N899" s="908"/>
      <c r="O899" s="907" t="s">
        <v>3499</v>
      </c>
      <c r="P899" s="903">
        <v>2018</v>
      </c>
      <c r="Q899" s="878"/>
      <c r="R899" s="878"/>
      <c r="S899" s="878"/>
      <c r="T899" s="903" t="s">
        <v>12</v>
      </c>
      <c r="U899" s="879">
        <v>197450000</v>
      </c>
      <c r="V899" s="903"/>
      <c r="W899" s="931"/>
      <c r="X899" s="971"/>
      <c r="Y899" s="884" t="str">
        <f t="shared" si="263"/>
        <v>04.14.04</v>
      </c>
      <c r="Z899" s="884" t="str">
        <f t="shared" si="264"/>
        <v>Bangunan Pengaman Sungai dan Penanggulangan Bencana Alam</v>
      </c>
      <c r="AA899" s="884">
        <f t="shared" si="265"/>
        <v>10</v>
      </c>
      <c r="AB899" s="868">
        <f t="shared" si="266"/>
        <v>19745000</v>
      </c>
      <c r="AC899" s="885">
        <f t="shared" si="267"/>
        <v>0</v>
      </c>
      <c r="AD899" s="868">
        <f t="shared" si="268"/>
        <v>0</v>
      </c>
      <c r="AE899" s="868">
        <v>0</v>
      </c>
      <c r="AF899" s="868">
        <v>0</v>
      </c>
      <c r="AG899" s="868">
        <v>0</v>
      </c>
      <c r="AH899" s="868">
        <v>0</v>
      </c>
      <c r="AI899" s="886">
        <f t="shared" si="269"/>
        <v>19745000</v>
      </c>
      <c r="AJ899" s="886">
        <f t="shared" si="262"/>
        <v>19745000</v>
      </c>
      <c r="AK899" s="868">
        <f t="shared" si="270"/>
        <v>177705000</v>
      </c>
    </row>
    <row r="900" spans="5:37" s="857" customFormat="1" ht="35.25" customHeight="1" x14ac:dyDescent="0.2">
      <c r="E900" s="884"/>
      <c r="F900" s="890"/>
      <c r="G900" s="878" t="s">
        <v>3360</v>
      </c>
      <c r="H900" s="879"/>
      <c r="I900" s="903" t="s">
        <v>2525</v>
      </c>
      <c r="J900" s="878"/>
      <c r="K900" s="903"/>
      <c r="L900" s="908"/>
      <c r="M900" s="878"/>
      <c r="N900" s="908"/>
      <c r="O900" s="907" t="s">
        <v>3500</v>
      </c>
      <c r="P900" s="903">
        <v>2018</v>
      </c>
      <c r="Q900" s="878"/>
      <c r="R900" s="878"/>
      <c r="S900" s="878"/>
      <c r="T900" s="903" t="s">
        <v>12</v>
      </c>
      <c r="U900" s="879">
        <v>197620000</v>
      </c>
      <c r="V900" s="903"/>
      <c r="W900" s="931"/>
      <c r="X900" s="971"/>
      <c r="Y900" s="884" t="str">
        <f t="shared" si="263"/>
        <v>04.14.04</v>
      </c>
      <c r="Z900" s="884" t="str">
        <f t="shared" si="264"/>
        <v>Bangunan Pengaman Sungai dan Penanggulangan Bencana Alam</v>
      </c>
      <c r="AA900" s="884">
        <f t="shared" si="265"/>
        <v>10</v>
      </c>
      <c r="AB900" s="868">
        <f t="shared" si="266"/>
        <v>19762000</v>
      </c>
      <c r="AC900" s="885">
        <f t="shared" si="267"/>
        <v>0</v>
      </c>
      <c r="AD900" s="868">
        <f t="shared" si="268"/>
        <v>0</v>
      </c>
      <c r="AE900" s="868">
        <v>0</v>
      </c>
      <c r="AF900" s="868">
        <v>0</v>
      </c>
      <c r="AG900" s="868">
        <v>0</v>
      </c>
      <c r="AH900" s="868">
        <v>0</v>
      </c>
      <c r="AI900" s="886">
        <f t="shared" si="269"/>
        <v>19762000</v>
      </c>
      <c r="AJ900" s="886">
        <f t="shared" si="262"/>
        <v>19762000</v>
      </c>
      <c r="AK900" s="868">
        <f t="shared" si="270"/>
        <v>177858000</v>
      </c>
    </row>
    <row r="901" spans="5:37" s="857" customFormat="1" ht="35.25" customHeight="1" x14ac:dyDescent="0.2">
      <c r="E901" s="884"/>
      <c r="F901" s="890"/>
      <c r="G901" s="878" t="s">
        <v>3361</v>
      </c>
      <c r="H901" s="879"/>
      <c r="I901" s="903" t="s">
        <v>2525</v>
      </c>
      <c r="J901" s="878"/>
      <c r="K901" s="903"/>
      <c r="L901" s="908"/>
      <c r="M901" s="878"/>
      <c r="N901" s="908"/>
      <c r="O901" s="907" t="s">
        <v>3501</v>
      </c>
      <c r="P901" s="903">
        <v>2018</v>
      </c>
      <c r="Q901" s="878"/>
      <c r="R901" s="878"/>
      <c r="S901" s="878"/>
      <c r="T901" s="903" t="s">
        <v>12</v>
      </c>
      <c r="U901" s="879">
        <v>197450000</v>
      </c>
      <c r="V901" s="903"/>
      <c r="W901" s="931"/>
      <c r="X901" s="971"/>
      <c r="Y901" s="884" t="str">
        <f t="shared" si="263"/>
        <v>04.14.04</v>
      </c>
      <c r="Z901" s="884" t="str">
        <f t="shared" si="264"/>
        <v>Bangunan Pengaman Sungai dan Penanggulangan Bencana Alam</v>
      </c>
      <c r="AA901" s="884">
        <f t="shared" si="265"/>
        <v>10</v>
      </c>
      <c r="AB901" s="868">
        <f t="shared" si="266"/>
        <v>19745000</v>
      </c>
      <c r="AC901" s="885">
        <f t="shared" si="267"/>
        <v>0</v>
      </c>
      <c r="AD901" s="868">
        <f t="shared" si="268"/>
        <v>0</v>
      </c>
      <c r="AE901" s="868">
        <v>0</v>
      </c>
      <c r="AF901" s="868">
        <v>0</v>
      </c>
      <c r="AG901" s="868">
        <v>0</v>
      </c>
      <c r="AH901" s="868">
        <v>0</v>
      </c>
      <c r="AI901" s="886">
        <f t="shared" si="269"/>
        <v>19745000</v>
      </c>
      <c r="AJ901" s="886">
        <f t="shared" si="262"/>
        <v>19745000</v>
      </c>
      <c r="AK901" s="868">
        <f t="shared" si="270"/>
        <v>177705000</v>
      </c>
    </row>
    <row r="902" spans="5:37" s="857" customFormat="1" ht="35.25" customHeight="1" x14ac:dyDescent="0.2">
      <c r="E902" s="884"/>
      <c r="F902" s="890"/>
      <c r="G902" s="878" t="s">
        <v>3362</v>
      </c>
      <c r="H902" s="879"/>
      <c r="I902" s="903" t="s">
        <v>2525</v>
      </c>
      <c r="J902" s="878"/>
      <c r="K902" s="903"/>
      <c r="L902" s="908"/>
      <c r="M902" s="878"/>
      <c r="N902" s="908"/>
      <c r="O902" s="907" t="s">
        <v>3502</v>
      </c>
      <c r="P902" s="903">
        <v>2018</v>
      </c>
      <c r="Q902" s="878"/>
      <c r="R902" s="878"/>
      <c r="S902" s="878"/>
      <c r="T902" s="903" t="s">
        <v>12</v>
      </c>
      <c r="U902" s="879">
        <v>1904605999</v>
      </c>
      <c r="V902" s="903"/>
      <c r="W902" s="931"/>
      <c r="X902" s="971"/>
      <c r="Y902" s="884" t="str">
        <f t="shared" si="263"/>
        <v>04.14.04</v>
      </c>
      <c r="Z902" s="884" t="str">
        <f t="shared" si="264"/>
        <v>Bangunan Pengaman Sungai dan Penanggulangan Bencana Alam</v>
      </c>
      <c r="AA902" s="884">
        <f t="shared" si="265"/>
        <v>10</v>
      </c>
      <c r="AB902" s="868">
        <f t="shared" si="266"/>
        <v>190460599.90000001</v>
      </c>
      <c r="AC902" s="885">
        <f t="shared" si="267"/>
        <v>0</v>
      </c>
      <c r="AD902" s="868">
        <f t="shared" si="268"/>
        <v>0</v>
      </c>
      <c r="AE902" s="868">
        <v>0</v>
      </c>
      <c r="AF902" s="868">
        <v>0</v>
      </c>
      <c r="AG902" s="868">
        <v>0</v>
      </c>
      <c r="AH902" s="868">
        <v>0</v>
      </c>
      <c r="AI902" s="886">
        <f t="shared" si="269"/>
        <v>190460599.90000001</v>
      </c>
      <c r="AJ902" s="886">
        <f t="shared" si="262"/>
        <v>190460599.90000001</v>
      </c>
      <c r="AK902" s="868">
        <f t="shared" si="270"/>
        <v>1714145399.0999999</v>
      </c>
    </row>
    <row r="903" spans="5:37" s="857" customFormat="1" ht="35.25" customHeight="1" x14ac:dyDescent="0.2">
      <c r="E903" s="884"/>
      <c r="F903" s="890"/>
      <c r="G903" s="878" t="s">
        <v>3363</v>
      </c>
      <c r="H903" s="879"/>
      <c r="I903" s="903" t="s">
        <v>2525</v>
      </c>
      <c r="J903" s="878"/>
      <c r="K903" s="903"/>
      <c r="L903" s="908"/>
      <c r="M903" s="878"/>
      <c r="N903" s="908"/>
      <c r="O903" s="907" t="s">
        <v>3503</v>
      </c>
      <c r="P903" s="903">
        <v>2018</v>
      </c>
      <c r="Q903" s="878"/>
      <c r="R903" s="878"/>
      <c r="S903" s="878"/>
      <c r="T903" s="903" t="s">
        <v>12</v>
      </c>
      <c r="U903" s="879">
        <v>197400000</v>
      </c>
      <c r="V903" s="903"/>
      <c r="W903" s="931"/>
      <c r="X903" s="971"/>
      <c r="Y903" s="884" t="str">
        <f t="shared" si="263"/>
        <v>04.14.04</v>
      </c>
      <c r="Z903" s="884" t="str">
        <f t="shared" si="264"/>
        <v>Bangunan Pengaman Sungai dan Penanggulangan Bencana Alam</v>
      </c>
      <c r="AA903" s="884">
        <f t="shared" si="265"/>
        <v>10</v>
      </c>
      <c r="AB903" s="868">
        <f t="shared" si="266"/>
        <v>19740000</v>
      </c>
      <c r="AC903" s="885">
        <f t="shared" si="267"/>
        <v>0</v>
      </c>
      <c r="AD903" s="868">
        <f t="shared" si="268"/>
        <v>0</v>
      </c>
      <c r="AE903" s="868">
        <v>0</v>
      </c>
      <c r="AF903" s="868">
        <v>0</v>
      </c>
      <c r="AG903" s="868">
        <v>0</v>
      </c>
      <c r="AH903" s="868">
        <v>0</v>
      </c>
      <c r="AI903" s="886">
        <f t="shared" si="269"/>
        <v>19740000</v>
      </c>
      <c r="AJ903" s="886">
        <f t="shared" si="262"/>
        <v>19740000</v>
      </c>
      <c r="AK903" s="868">
        <f t="shared" si="270"/>
        <v>177660000</v>
      </c>
    </row>
    <row r="904" spans="5:37" s="857" customFormat="1" ht="35.25" customHeight="1" x14ac:dyDescent="0.2">
      <c r="E904" s="884"/>
      <c r="F904" s="890"/>
      <c r="G904" s="878" t="s">
        <v>3364</v>
      </c>
      <c r="H904" s="879"/>
      <c r="I904" s="903" t="s">
        <v>2525</v>
      </c>
      <c r="J904" s="878"/>
      <c r="K904" s="903"/>
      <c r="L904" s="908"/>
      <c r="M904" s="878"/>
      <c r="N904" s="908"/>
      <c r="O904" s="907" t="s">
        <v>3504</v>
      </c>
      <c r="P904" s="903">
        <v>2018</v>
      </c>
      <c r="Q904" s="878"/>
      <c r="R904" s="878"/>
      <c r="S904" s="878"/>
      <c r="T904" s="903" t="s">
        <v>12</v>
      </c>
      <c r="U904" s="879">
        <v>197050000</v>
      </c>
      <c r="V904" s="903"/>
      <c r="W904" s="931"/>
      <c r="X904" s="971"/>
      <c r="Y904" s="884" t="str">
        <f t="shared" si="263"/>
        <v>04.14.04</v>
      </c>
      <c r="Z904" s="884" t="str">
        <f t="shared" si="264"/>
        <v>Bangunan Pengaman Sungai dan Penanggulangan Bencana Alam</v>
      </c>
      <c r="AA904" s="884">
        <f t="shared" si="265"/>
        <v>10</v>
      </c>
      <c r="AB904" s="868">
        <f t="shared" si="266"/>
        <v>19705000</v>
      </c>
      <c r="AC904" s="885">
        <f t="shared" si="267"/>
        <v>0</v>
      </c>
      <c r="AD904" s="868">
        <f t="shared" si="268"/>
        <v>0</v>
      </c>
      <c r="AE904" s="868">
        <v>0</v>
      </c>
      <c r="AF904" s="868">
        <v>0</v>
      </c>
      <c r="AG904" s="868">
        <v>0</v>
      </c>
      <c r="AH904" s="868">
        <v>0</v>
      </c>
      <c r="AI904" s="886">
        <f t="shared" si="269"/>
        <v>19705000</v>
      </c>
      <c r="AJ904" s="886">
        <f t="shared" si="262"/>
        <v>19705000</v>
      </c>
      <c r="AK904" s="868">
        <f t="shared" si="270"/>
        <v>177345000</v>
      </c>
    </row>
    <row r="905" spans="5:37" s="857" customFormat="1" ht="35.25" customHeight="1" x14ac:dyDescent="0.2">
      <c r="E905" s="884"/>
      <c r="F905" s="890"/>
      <c r="G905" s="878" t="s">
        <v>3365</v>
      </c>
      <c r="H905" s="879"/>
      <c r="I905" s="903" t="s">
        <v>2552</v>
      </c>
      <c r="J905" s="878"/>
      <c r="K905" s="903"/>
      <c r="L905" s="908"/>
      <c r="M905" s="878"/>
      <c r="N905" s="908"/>
      <c r="O905" s="907" t="s">
        <v>847</v>
      </c>
      <c r="P905" s="903">
        <v>2018</v>
      </c>
      <c r="Q905" s="878"/>
      <c r="R905" s="878"/>
      <c r="S905" s="878"/>
      <c r="T905" s="903" t="s">
        <v>12</v>
      </c>
      <c r="U905" s="879">
        <v>394503000</v>
      </c>
      <c r="V905" s="903"/>
      <c r="W905" s="931"/>
      <c r="X905" s="971"/>
      <c r="Y905" s="884" t="str">
        <f t="shared" si="263"/>
        <v>04.14.01</v>
      </c>
      <c r="Z905" s="884" t="str">
        <f t="shared" si="264"/>
        <v>Bangunan Air Irigasi</v>
      </c>
      <c r="AA905" s="884">
        <f t="shared" si="265"/>
        <v>50</v>
      </c>
      <c r="AB905" s="868">
        <f t="shared" si="266"/>
        <v>7890060</v>
      </c>
      <c r="AC905" s="885">
        <f t="shared" si="267"/>
        <v>0</v>
      </c>
      <c r="AD905" s="868">
        <f t="shared" si="268"/>
        <v>0</v>
      </c>
      <c r="AE905" s="868">
        <v>0</v>
      </c>
      <c r="AF905" s="868">
        <v>0</v>
      </c>
      <c r="AG905" s="868">
        <v>0</v>
      </c>
      <c r="AH905" s="868">
        <v>0</v>
      </c>
      <c r="AI905" s="886">
        <f t="shared" si="269"/>
        <v>7890060</v>
      </c>
      <c r="AJ905" s="886">
        <f t="shared" si="262"/>
        <v>7890060</v>
      </c>
      <c r="AK905" s="868">
        <f t="shared" si="270"/>
        <v>386612940</v>
      </c>
    </row>
    <row r="906" spans="5:37" s="857" customFormat="1" ht="35.25" customHeight="1" x14ac:dyDescent="0.2">
      <c r="E906" s="884"/>
      <c r="F906" s="890"/>
      <c r="G906" s="878" t="s">
        <v>3366</v>
      </c>
      <c r="H906" s="879"/>
      <c r="I906" s="903" t="s">
        <v>2552</v>
      </c>
      <c r="J906" s="878"/>
      <c r="K906" s="903"/>
      <c r="L906" s="908"/>
      <c r="M906" s="878"/>
      <c r="N906" s="908"/>
      <c r="O906" s="907" t="s">
        <v>3438</v>
      </c>
      <c r="P906" s="903">
        <v>2018</v>
      </c>
      <c r="Q906" s="878"/>
      <c r="R906" s="878"/>
      <c r="S906" s="878"/>
      <c r="T906" s="903" t="s">
        <v>12</v>
      </c>
      <c r="U906" s="879">
        <v>395751000</v>
      </c>
      <c r="V906" s="903"/>
      <c r="W906" s="931"/>
      <c r="X906" s="971"/>
      <c r="Y906" s="884" t="str">
        <f t="shared" si="263"/>
        <v>04.14.01</v>
      </c>
      <c r="Z906" s="884" t="str">
        <f t="shared" si="264"/>
        <v>Bangunan Air Irigasi</v>
      </c>
      <c r="AA906" s="884">
        <f t="shared" si="265"/>
        <v>50</v>
      </c>
      <c r="AB906" s="868">
        <f t="shared" si="266"/>
        <v>7915020</v>
      </c>
      <c r="AC906" s="885">
        <f t="shared" si="267"/>
        <v>0</v>
      </c>
      <c r="AD906" s="868">
        <f t="shared" si="268"/>
        <v>0</v>
      </c>
      <c r="AE906" s="868">
        <v>0</v>
      </c>
      <c r="AF906" s="868">
        <v>0</v>
      </c>
      <c r="AG906" s="868">
        <v>0</v>
      </c>
      <c r="AH906" s="868">
        <v>0</v>
      </c>
      <c r="AI906" s="886">
        <f t="shared" si="269"/>
        <v>7915020</v>
      </c>
      <c r="AJ906" s="886">
        <f t="shared" si="262"/>
        <v>7915020</v>
      </c>
      <c r="AK906" s="868">
        <f t="shared" si="270"/>
        <v>387835980</v>
      </c>
    </row>
    <row r="907" spans="5:37" s="857" customFormat="1" ht="35.25" customHeight="1" x14ac:dyDescent="0.2">
      <c r="E907" s="884"/>
      <c r="F907" s="890"/>
      <c r="G907" s="878" t="s">
        <v>3367</v>
      </c>
      <c r="H907" s="879"/>
      <c r="I907" s="903" t="s">
        <v>2553</v>
      </c>
      <c r="J907" s="878"/>
      <c r="K907" s="903"/>
      <c r="L907" s="908"/>
      <c r="M907" s="878"/>
      <c r="N907" s="908"/>
      <c r="O907" s="907" t="s">
        <v>2579</v>
      </c>
      <c r="P907" s="903">
        <v>2018</v>
      </c>
      <c r="Q907" s="878"/>
      <c r="R907" s="878"/>
      <c r="S907" s="878"/>
      <c r="T907" s="903" t="s">
        <v>12</v>
      </c>
      <c r="U907" s="879">
        <v>477488000</v>
      </c>
      <c r="V907" s="903"/>
      <c r="W907" s="931"/>
      <c r="X907" s="971"/>
      <c r="Y907" s="884" t="str">
        <f t="shared" si="263"/>
        <v>04.14.01</v>
      </c>
      <c r="Z907" s="884" t="str">
        <f t="shared" si="264"/>
        <v>Bangunan Air Irigasi</v>
      </c>
      <c r="AA907" s="884">
        <f t="shared" si="265"/>
        <v>50</v>
      </c>
      <c r="AB907" s="868">
        <f t="shared" si="266"/>
        <v>9549760</v>
      </c>
      <c r="AC907" s="885">
        <f t="shared" si="267"/>
        <v>0</v>
      </c>
      <c r="AD907" s="868">
        <f t="shared" si="268"/>
        <v>0</v>
      </c>
      <c r="AE907" s="868">
        <v>0</v>
      </c>
      <c r="AF907" s="868">
        <v>0</v>
      </c>
      <c r="AG907" s="868">
        <v>0</v>
      </c>
      <c r="AH907" s="868">
        <v>0</v>
      </c>
      <c r="AI907" s="886">
        <f t="shared" si="269"/>
        <v>9549760</v>
      </c>
      <c r="AJ907" s="886">
        <f t="shared" si="262"/>
        <v>9549760</v>
      </c>
      <c r="AK907" s="868">
        <f t="shared" si="270"/>
        <v>467938240</v>
      </c>
    </row>
    <row r="908" spans="5:37" s="857" customFormat="1" ht="35.25" customHeight="1" x14ac:dyDescent="0.2">
      <c r="E908" s="884"/>
      <c r="F908" s="890"/>
      <c r="G908" s="878" t="s">
        <v>3368</v>
      </c>
      <c r="H908" s="879"/>
      <c r="I908" s="903" t="s">
        <v>2553</v>
      </c>
      <c r="J908" s="878"/>
      <c r="K908" s="903"/>
      <c r="L908" s="908"/>
      <c r="M908" s="878"/>
      <c r="N908" s="908"/>
      <c r="O908" s="907" t="s">
        <v>3505</v>
      </c>
      <c r="P908" s="903">
        <v>2018</v>
      </c>
      <c r="Q908" s="878"/>
      <c r="R908" s="878"/>
      <c r="S908" s="878"/>
      <c r="T908" s="903" t="s">
        <v>12</v>
      </c>
      <c r="U908" s="879">
        <v>197625000</v>
      </c>
      <c r="V908" s="903"/>
      <c r="W908" s="931"/>
      <c r="X908" s="971"/>
      <c r="Y908" s="884" t="str">
        <f t="shared" si="263"/>
        <v>04.14.01</v>
      </c>
      <c r="Z908" s="884" t="str">
        <f t="shared" si="264"/>
        <v>Bangunan Air Irigasi</v>
      </c>
      <c r="AA908" s="884">
        <f t="shared" si="265"/>
        <v>50</v>
      </c>
      <c r="AB908" s="868">
        <f t="shared" si="266"/>
        <v>3952500</v>
      </c>
      <c r="AC908" s="885">
        <f t="shared" si="267"/>
        <v>0</v>
      </c>
      <c r="AD908" s="868">
        <f t="shared" si="268"/>
        <v>0</v>
      </c>
      <c r="AE908" s="868">
        <v>0</v>
      </c>
      <c r="AF908" s="868">
        <v>0</v>
      </c>
      <c r="AG908" s="868">
        <v>0</v>
      </c>
      <c r="AH908" s="868">
        <v>0</v>
      </c>
      <c r="AI908" s="886">
        <f t="shared" si="269"/>
        <v>3952500</v>
      </c>
      <c r="AJ908" s="886">
        <f t="shared" si="262"/>
        <v>3952500</v>
      </c>
      <c r="AK908" s="868">
        <f t="shared" si="270"/>
        <v>193672500</v>
      </c>
    </row>
    <row r="909" spans="5:37" s="857" customFormat="1" ht="35.25" customHeight="1" x14ac:dyDescent="0.2">
      <c r="E909" s="884"/>
      <c r="F909" s="890"/>
      <c r="G909" s="878" t="s">
        <v>3369</v>
      </c>
      <c r="H909" s="879"/>
      <c r="I909" s="903" t="s">
        <v>2553</v>
      </c>
      <c r="J909" s="878"/>
      <c r="K909" s="903"/>
      <c r="L909" s="908"/>
      <c r="M909" s="878"/>
      <c r="N909" s="908"/>
      <c r="O909" s="907" t="s">
        <v>765</v>
      </c>
      <c r="P909" s="903">
        <v>2018</v>
      </c>
      <c r="Q909" s="878"/>
      <c r="R909" s="878"/>
      <c r="S909" s="878"/>
      <c r="T909" s="903" t="s">
        <v>12</v>
      </c>
      <c r="U909" s="879">
        <v>197580000</v>
      </c>
      <c r="V909" s="903"/>
      <c r="W909" s="931"/>
      <c r="X909" s="971"/>
      <c r="Y909" s="884" t="str">
        <f t="shared" si="263"/>
        <v>04.14.01</v>
      </c>
      <c r="Z909" s="884" t="str">
        <f t="shared" si="264"/>
        <v>Bangunan Air Irigasi</v>
      </c>
      <c r="AA909" s="884">
        <f t="shared" si="265"/>
        <v>50</v>
      </c>
      <c r="AB909" s="868">
        <f t="shared" si="266"/>
        <v>3951600</v>
      </c>
      <c r="AC909" s="885">
        <f t="shared" si="267"/>
        <v>0</v>
      </c>
      <c r="AD909" s="868">
        <f t="shared" si="268"/>
        <v>0</v>
      </c>
      <c r="AE909" s="868">
        <v>0</v>
      </c>
      <c r="AF909" s="868">
        <v>0</v>
      </c>
      <c r="AG909" s="868">
        <v>0</v>
      </c>
      <c r="AH909" s="868">
        <v>0</v>
      </c>
      <c r="AI909" s="886">
        <f t="shared" si="269"/>
        <v>3951600</v>
      </c>
      <c r="AJ909" s="886">
        <f t="shared" si="262"/>
        <v>3951600</v>
      </c>
      <c r="AK909" s="868">
        <f t="shared" si="270"/>
        <v>193628400</v>
      </c>
    </row>
    <row r="910" spans="5:37" s="857" customFormat="1" ht="35.25" customHeight="1" x14ac:dyDescent="0.2">
      <c r="E910" s="884"/>
      <c r="F910" s="890"/>
      <c r="G910" s="878" t="s">
        <v>3370</v>
      </c>
      <c r="H910" s="879"/>
      <c r="I910" s="903" t="s">
        <v>2552</v>
      </c>
      <c r="J910" s="878"/>
      <c r="K910" s="903"/>
      <c r="L910" s="908"/>
      <c r="M910" s="878"/>
      <c r="N910" s="908"/>
      <c r="O910" s="907" t="s">
        <v>3506</v>
      </c>
      <c r="P910" s="903">
        <v>2018</v>
      </c>
      <c r="Q910" s="878"/>
      <c r="R910" s="878"/>
      <c r="S910" s="878"/>
      <c r="T910" s="903" t="s">
        <v>12</v>
      </c>
      <c r="U910" s="879">
        <v>197550000</v>
      </c>
      <c r="V910" s="903"/>
      <c r="W910" s="931"/>
      <c r="X910" s="971"/>
      <c r="Y910" s="884" t="str">
        <f t="shared" si="263"/>
        <v>04.14.01</v>
      </c>
      <c r="Z910" s="884" t="str">
        <f t="shared" si="264"/>
        <v>Bangunan Air Irigasi</v>
      </c>
      <c r="AA910" s="884">
        <f t="shared" si="265"/>
        <v>50</v>
      </c>
      <c r="AB910" s="868">
        <f t="shared" si="266"/>
        <v>3951000</v>
      </c>
      <c r="AC910" s="885">
        <f t="shared" si="267"/>
        <v>0</v>
      </c>
      <c r="AD910" s="868">
        <f t="shared" si="268"/>
        <v>0</v>
      </c>
      <c r="AE910" s="868">
        <v>0</v>
      </c>
      <c r="AF910" s="868">
        <v>0</v>
      </c>
      <c r="AG910" s="868">
        <v>0</v>
      </c>
      <c r="AH910" s="868">
        <v>0</v>
      </c>
      <c r="AI910" s="886">
        <f t="shared" si="269"/>
        <v>3951000</v>
      </c>
      <c r="AJ910" s="886">
        <f t="shared" si="262"/>
        <v>3951000</v>
      </c>
      <c r="AK910" s="868">
        <f t="shared" si="270"/>
        <v>193599000</v>
      </c>
    </row>
    <row r="911" spans="5:37" s="857" customFormat="1" ht="35.25" customHeight="1" x14ac:dyDescent="0.2">
      <c r="E911" s="884"/>
      <c r="F911" s="890"/>
      <c r="G911" s="878" t="s">
        <v>3371</v>
      </c>
      <c r="H911" s="879"/>
      <c r="I911" s="903" t="s">
        <v>2552</v>
      </c>
      <c r="J911" s="878"/>
      <c r="K911" s="903"/>
      <c r="L911" s="908"/>
      <c r="M911" s="878"/>
      <c r="N911" s="908"/>
      <c r="O911" s="907" t="s">
        <v>3471</v>
      </c>
      <c r="P911" s="903">
        <v>2018</v>
      </c>
      <c r="Q911" s="878"/>
      <c r="R911" s="878"/>
      <c r="S911" s="878"/>
      <c r="T911" s="903" t="s">
        <v>12</v>
      </c>
      <c r="U911" s="879">
        <v>197050000</v>
      </c>
      <c r="V911" s="903"/>
      <c r="W911" s="931"/>
      <c r="X911" s="971"/>
      <c r="Y911" s="884" t="str">
        <f t="shared" si="263"/>
        <v>04.14.01</v>
      </c>
      <c r="Z911" s="884" t="str">
        <f t="shared" si="264"/>
        <v>Bangunan Air Irigasi</v>
      </c>
      <c r="AA911" s="884">
        <f t="shared" si="265"/>
        <v>50</v>
      </c>
      <c r="AB911" s="868">
        <f t="shared" si="266"/>
        <v>3941000</v>
      </c>
      <c r="AC911" s="885">
        <f t="shared" si="267"/>
        <v>0</v>
      </c>
      <c r="AD911" s="868">
        <f t="shared" si="268"/>
        <v>0</v>
      </c>
      <c r="AE911" s="868">
        <v>0</v>
      </c>
      <c r="AF911" s="868">
        <v>0</v>
      </c>
      <c r="AG911" s="868">
        <v>0</v>
      </c>
      <c r="AH911" s="868">
        <v>0</v>
      </c>
      <c r="AI911" s="886">
        <f t="shared" si="269"/>
        <v>3941000</v>
      </c>
      <c r="AJ911" s="886">
        <f t="shared" si="262"/>
        <v>3941000</v>
      </c>
      <c r="AK911" s="868">
        <f t="shared" si="270"/>
        <v>193109000</v>
      </c>
    </row>
    <row r="912" spans="5:37" s="857" customFormat="1" ht="35.25" customHeight="1" x14ac:dyDescent="0.2">
      <c r="E912" s="884"/>
      <c r="F912" s="890"/>
      <c r="G912" s="878" t="s">
        <v>3372</v>
      </c>
      <c r="H912" s="879"/>
      <c r="I912" s="903" t="s">
        <v>2552</v>
      </c>
      <c r="J912" s="878"/>
      <c r="K912" s="903"/>
      <c r="L912" s="908"/>
      <c r="M912" s="878"/>
      <c r="N912" s="908"/>
      <c r="O912" s="907" t="s">
        <v>2608</v>
      </c>
      <c r="P912" s="903">
        <v>2018</v>
      </c>
      <c r="Q912" s="878"/>
      <c r="R912" s="878"/>
      <c r="S912" s="878"/>
      <c r="T912" s="903" t="s">
        <v>12</v>
      </c>
      <c r="U912" s="879">
        <v>196450000</v>
      </c>
      <c r="V912" s="903"/>
      <c r="W912" s="931"/>
      <c r="X912" s="971"/>
      <c r="Y912" s="884" t="str">
        <f t="shared" si="263"/>
        <v>04.14.01</v>
      </c>
      <c r="Z912" s="884" t="str">
        <f t="shared" si="264"/>
        <v>Bangunan Air Irigasi</v>
      </c>
      <c r="AA912" s="884">
        <f t="shared" si="265"/>
        <v>50</v>
      </c>
      <c r="AB912" s="868">
        <f t="shared" si="266"/>
        <v>3929000</v>
      </c>
      <c r="AC912" s="885">
        <f t="shared" si="267"/>
        <v>0</v>
      </c>
      <c r="AD912" s="868">
        <f t="shared" si="268"/>
        <v>0</v>
      </c>
      <c r="AE912" s="868">
        <v>0</v>
      </c>
      <c r="AF912" s="868">
        <v>0</v>
      </c>
      <c r="AG912" s="868">
        <v>0</v>
      </c>
      <c r="AH912" s="868">
        <v>0</v>
      </c>
      <c r="AI912" s="886">
        <f t="shared" si="269"/>
        <v>3929000</v>
      </c>
      <c r="AJ912" s="886">
        <f t="shared" si="262"/>
        <v>3929000</v>
      </c>
      <c r="AK912" s="868">
        <f t="shared" si="270"/>
        <v>192521000</v>
      </c>
    </row>
    <row r="913" spans="5:39" s="857" customFormat="1" ht="35.25" customHeight="1" x14ac:dyDescent="0.2">
      <c r="E913" s="884"/>
      <c r="F913" s="890"/>
      <c r="G913" s="878" t="s">
        <v>3373</v>
      </c>
      <c r="H913" s="879"/>
      <c r="I913" s="903" t="s">
        <v>2552</v>
      </c>
      <c r="J913" s="878"/>
      <c r="K913" s="903"/>
      <c r="L913" s="908"/>
      <c r="M913" s="878"/>
      <c r="N913" s="908"/>
      <c r="O913" s="907" t="s">
        <v>3476</v>
      </c>
      <c r="P913" s="903">
        <v>2018</v>
      </c>
      <c r="Q913" s="878"/>
      <c r="R913" s="878"/>
      <c r="S913" s="878"/>
      <c r="T913" s="903" t="s">
        <v>12</v>
      </c>
      <c r="U913" s="879">
        <v>197550000</v>
      </c>
      <c r="V913" s="903"/>
      <c r="W913" s="931"/>
      <c r="X913" s="971"/>
      <c r="Y913" s="884" t="str">
        <f t="shared" si="263"/>
        <v>04.14.01</v>
      </c>
      <c r="Z913" s="884" t="str">
        <f t="shared" si="264"/>
        <v>Bangunan Air Irigasi</v>
      </c>
      <c r="AA913" s="884">
        <f t="shared" si="265"/>
        <v>50</v>
      </c>
      <c r="AB913" s="868">
        <f t="shared" si="266"/>
        <v>3951000</v>
      </c>
      <c r="AC913" s="885">
        <f t="shared" si="267"/>
        <v>0</v>
      </c>
      <c r="AD913" s="868">
        <f t="shared" si="268"/>
        <v>0</v>
      </c>
      <c r="AE913" s="868">
        <v>0</v>
      </c>
      <c r="AF913" s="868">
        <v>0</v>
      </c>
      <c r="AG913" s="868">
        <v>0</v>
      </c>
      <c r="AH913" s="868">
        <v>0</v>
      </c>
      <c r="AI913" s="886">
        <f t="shared" si="269"/>
        <v>3951000</v>
      </c>
      <c r="AJ913" s="886">
        <f t="shared" si="262"/>
        <v>3951000</v>
      </c>
      <c r="AK913" s="868">
        <f t="shared" si="270"/>
        <v>193599000</v>
      </c>
    </row>
    <row r="914" spans="5:39" s="857" customFormat="1" ht="35.25" customHeight="1" x14ac:dyDescent="0.2">
      <c r="E914" s="884"/>
      <c r="F914" s="890"/>
      <c r="G914" s="878" t="s">
        <v>3374</v>
      </c>
      <c r="H914" s="879"/>
      <c r="I914" s="903" t="s">
        <v>2552</v>
      </c>
      <c r="J914" s="878"/>
      <c r="K914" s="903"/>
      <c r="L914" s="908"/>
      <c r="M914" s="878"/>
      <c r="N914" s="908"/>
      <c r="O914" s="907" t="s">
        <v>3507</v>
      </c>
      <c r="P914" s="903">
        <v>2018</v>
      </c>
      <c r="Q914" s="878"/>
      <c r="R914" s="878"/>
      <c r="S914" s="878"/>
      <c r="T914" s="903" t="s">
        <v>12</v>
      </c>
      <c r="U914" s="879">
        <v>197625000</v>
      </c>
      <c r="V914" s="903"/>
      <c r="W914" s="931"/>
      <c r="X914" s="971"/>
      <c r="Y914" s="884" t="str">
        <f t="shared" si="263"/>
        <v>04.14.01</v>
      </c>
      <c r="Z914" s="884" t="str">
        <f t="shared" si="264"/>
        <v>Bangunan Air Irigasi</v>
      </c>
      <c r="AA914" s="884">
        <f t="shared" si="265"/>
        <v>50</v>
      </c>
      <c r="AB914" s="868">
        <f t="shared" si="266"/>
        <v>3952500</v>
      </c>
      <c r="AC914" s="885">
        <f t="shared" si="267"/>
        <v>0</v>
      </c>
      <c r="AD914" s="868">
        <f t="shared" si="268"/>
        <v>0</v>
      </c>
      <c r="AE914" s="868">
        <v>0</v>
      </c>
      <c r="AF914" s="868">
        <v>0</v>
      </c>
      <c r="AG914" s="868">
        <v>0</v>
      </c>
      <c r="AH914" s="868">
        <v>0</v>
      </c>
      <c r="AI914" s="886">
        <f t="shared" si="269"/>
        <v>3952500</v>
      </c>
      <c r="AJ914" s="886">
        <f t="shared" si="262"/>
        <v>3952500</v>
      </c>
      <c r="AK914" s="868">
        <f t="shared" si="270"/>
        <v>193672500</v>
      </c>
    </row>
    <row r="915" spans="5:39" s="857" customFormat="1" ht="35.25" customHeight="1" x14ac:dyDescent="0.2">
      <c r="E915" s="884"/>
      <c r="F915" s="890"/>
      <c r="G915" s="878" t="s">
        <v>3375</v>
      </c>
      <c r="H915" s="879"/>
      <c r="I915" s="903" t="s">
        <v>2552</v>
      </c>
      <c r="J915" s="878"/>
      <c r="K915" s="903"/>
      <c r="L915" s="908"/>
      <c r="M915" s="878"/>
      <c r="N915" s="908"/>
      <c r="O915" s="907" t="s">
        <v>3508</v>
      </c>
      <c r="P915" s="903">
        <v>2018</v>
      </c>
      <c r="Q915" s="878"/>
      <c r="R915" s="878"/>
      <c r="S915" s="878"/>
      <c r="T915" s="903" t="s">
        <v>12</v>
      </c>
      <c r="U915" s="879">
        <v>3272375000</v>
      </c>
      <c r="V915" s="903"/>
      <c r="W915" s="931"/>
      <c r="X915" s="971"/>
      <c r="Y915" s="884" t="str">
        <f t="shared" si="263"/>
        <v>04.14.01</v>
      </c>
      <c r="Z915" s="884" t="str">
        <f t="shared" si="264"/>
        <v>Bangunan Air Irigasi</v>
      </c>
      <c r="AA915" s="884">
        <f t="shared" si="265"/>
        <v>50</v>
      </c>
      <c r="AB915" s="868">
        <f t="shared" si="266"/>
        <v>65447500</v>
      </c>
      <c r="AC915" s="885">
        <f t="shared" si="267"/>
        <v>0</v>
      </c>
      <c r="AD915" s="868">
        <f t="shared" si="268"/>
        <v>0</v>
      </c>
      <c r="AE915" s="868">
        <v>0</v>
      </c>
      <c r="AF915" s="868">
        <v>0</v>
      </c>
      <c r="AG915" s="868">
        <v>0</v>
      </c>
      <c r="AH915" s="868">
        <v>0</v>
      </c>
      <c r="AI915" s="886">
        <f t="shared" si="269"/>
        <v>65447500</v>
      </c>
      <c r="AJ915" s="886">
        <f t="shared" si="262"/>
        <v>65447500</v>
      </c>
      <c r="AK915" s="868">
        <f t="shared" si="270"/>
        <v>3206927500</v>
      </c>
    </row>
    <row r="916" spans="5:39" s="857" customFormat="1" ht="35.25" customHeight="1" x14ac:dyDescent="0.2">
      <c r="E916" s="884"/>
      <c r="F916" s="890"/>
      <c r="G916" s="878" t="s">
        <v>3376</v>
      </c>
      <c r="H916" s="879"/>
      <c r="I916" s="903" t="s">
        <v>2550</v>
      </c>
      <c r="J916" s="878"/>
      <c r="K916" s="903"/>
      <c r="L916" s="908"/>
      <c r="M916" s="878"/>
      <c r="N916" s="908"/>
      <c r="O916" s="907" t="s">
        <v>3509</v>
      </c>
      <c r="P916" s="903">
        <v>2018</v>
      </c>
      <c r="Q916" s="878"/>
      <c r="R916" s="878"/>
      <c r="S916" s="878"/>
      <c r="T916" s="903" t="s">
        <v>12</v>
      </c>
      <c r="U916" s="879">
        <v>197590000</v>
      </c>
      <c r="V916" s="903"/>
      <c r="W916" s="931"/>
      <c r="X916" s="971"/>
      <c r="Y916" s="884" t="str">
        <f t="shared" si="263"/>
        <v>04.14.04</v>
      </c>
      <c r="Z916" s="884" t="str">
        <f t="shared" si="264"/>
        <v>Bangunan Pengaman Sungai dan Penanggulangan Bencana Alam</v>
      </c>
      <c r="AA916" s="884">
        <f t="shared" si="265"/>
        <v>10</v>
      </c>
      <c r="AB916" s="868">
        <f t="shared" si="266"/>
        <v>19759000</v>
      </c>
      <c r="AC916" s="885">
        <f t="shared" si="267"/>
        <v>0</v>
      </c>
      <c r="AD916" s="868">
        <f t="shared" si="268"/>
        <v>0</v>
      </c>
      <c r="AE916" s="868">
        <v>0</v>
      </c>
      <c r="AF916" s="868">
        <v>0</v>
      </c>
      <c r="AG916" s="868">
        <v>0</v>
      </c>
      <c r="AH916" s="868">
        <v>0</v>
      </c>
      <c r="AI916" s="886">
        <f t="shared" si="269"/>
        <v>19759000</v>
      </c>
      <c r="AJ916" s="886">
        <f t="shared" si="262"/>
        <v>19759000</v>
      </c>
      <c r="AK916" s="868">
        <f t="shared" si="270"/>
        <v>177831000</v>
      </c>
    </row>
    <row r="917" spans="5:39" s="857" customFormat="1" ht="35.25" customHeight="1" x14ac:dyDescent="0.2">
      <c r="E917" s="884"/>
      <c r="F917" s="890"/>
      <c r="G917" s="878" t="s">
        <v>3377</v>
      </c>
      <c r="H917" s="879"/>
      <c r="I917" s="903" t="s">
        <v>2525</v>
      </c>
      <c r="J917" s="878"/>
      <c r="K917" s="903"/>
      <c r="L917" s="908"/>
      <c r="M917" s="878"/>
      <c r="N917" s="908"/>
      <c r="O917" s="907" t="s">
        <v>3510</v>
      </c>
      <c r="P917" s="903">
        <v>2018</v>
      </c>
      <c r="Q917" s="878"/>
      <c r="R917" s="878"/>
      <c r="S917" s="878"/>
      <c r="T917" s="903" t="s">
        <v>12</v>
      </c>
      <c r="U917" s="879">
        <v>197570000</v>
      </c>
      <c r="V917" s="903"/>
      <c r="W917" s="931"/>
      <c r="X917" s="971"/>
      <c r="Y917" s="884" t="str">
        <f t="shared" si="263"/>
        <v>04.14.04</v>
      </c>
      <c r="Z917" s="884" t="str">
        <f t="shared" si="264"/>
        <v>Bangunan Pengaman Sungai dan Penanggulangan Bencana Alam</v>
      </c>
      <c r="AA917" s="884">
        <f t="shared" si="265"/>
        <v>10</v>
      </c>
      <c r="AB917" s="868">
        <f t="shared" si="266"/>
        <v>19757000</v>
      </c>
      <c r="AC917" s="885">
        <f t="shared" si="267"/>
        <v>0</v>
      </c>
      <c r="AD917" s="868">
        <f t="shared" si="268"/>
        <v>0</v>
      </c>
      <c r="AE917" s="868">
        <v>0</v>
      </c>
      <c r="AF917" s="868">
        <v>0</v>
      </c>
      <c r="AG917" s="868">
        <v>0</v>
      </c>
      <c r="AH917" s="868">
        <v>0</v>
      </c>
      <c r="AI917" s="886">
        <f t="shared" si="269"/>
        <v>19757000</v>
      </c>
      <c r="AJ917" s="886">
        <f t="shared" si="262"/>
        <v>19757000</v>
      </c>
      <c r="AK917" s="868">
        <f t="shared" si="270"/>
        <v>177813000</v>
      </c>
    </row>
    <row r="918" spans="5:39" s="857" customFormat="1" ht="35.25" customHeight="1" x14ac:dyDescent="0.2">
      <c r="E918" s="884"/>
      <c r="F918" s="890"/>
      <c r="G918" s="878" t="s">
        <v>3378</v>
      </c>
      <c r="H918" s="879"/>
      <c r="I918" s="903" t="s">
        <v>2554</v>
      </c>
      <c r="J918" s="878"/>
      <c r="K918" s="903"/>
      <c r="L918" s="908"/>
      <c r="M918" s="878"/>
      <c r="N918" s="908"/>
      <c r="O918" s="907" t="s">
        <v>3511</v>
      </c>
      <c r="P918" s="903">
        <v>2018</v>
      </c>
      <c r="Q918" s="878"/>
      <c r="R918" s="878"/>
      <c r="S918" s="878"/>
      <c r="T918" s="903" t="s">
        <v>12</v>
      </c>
      <c r="U918" s="879">
        <v>196850000</v>
      </c>
      <c r="V918" s="903"/>
      <c r="W918" s="931"/>
      <c r="X918" s="971"/>
      <c r="Y918" s="884" t="str">
        <f t="shared" si="263"/>
        <v>04.14.04</v>
      </c>
      <c r="Z918" s="884" t="str">
        <f t="shared" si="264"/>
        <v>Bangunan Pengaman Sungai dan Penanggulangan Bencana Alam</v>
      </c>
      <c r="AA918" s="884">
        <f t="shared" si="265"/>
        <v>10</v>
      </c>
      <c r="AB918" s="868">
        <f t="shared" si="266"/>
        <v>19685000</v>
      </c>
      <c r="AC918" s="885">
        <f t="shared" si="267"/>
        <v>0</v>
      </c>
      <c r="AD918" s="868">
        <f t="shared" si="268"/>
        <v>0</v>
      </c>
      <c r="AE918" s="868">
        <v>0</v>
      </c>
      <c r="AF918" s="868">
        <v>0</v>
      </c>
      <c r="AG918" s="868">
        <v>0</v>
      </c>
      <c r="AH918" s="868">
        <v>0</v>
      </c>
      <c r="AI918" s="886">
        <f t="shared" si="269"/>
        <v>19685000</v>
      </c>
      <c r="AJ918" s="886">
        <f t="shared" si="262"/>
        <v>19685000</v>
      </c>
      <c r="AK918" s="868">
        <f t="shared" si="270"/>
        <v>177165000</v>
      </c>
    </row>
    <row r="919" spans="5:39" s="857" customFormat="1" ht="35.25" customHeight="1" x14ac:dyDescent="0.2">
      <c r="F919" s="890"/>
      <c r="G919" s="878" t="s">
        <v>52</v>
      </c>
      <c r="H919" s="879"/>
      <c r="I919" s="903"/>
      <c r="J919" s="878"/>
      <c r="K919" s="903"/>
      <c r="L919" s="908"/>
      <c r="M919" s="878"/>
      <c r="N919" s="908"/>
      <c r="O919" s="907"/>
      <c r="P919" s="903"/>
      <c r="Q919" s="878"/>
      <c r="R919" s="878"/>
      <c r="S919" s="878"/>
      <c r="T919" s="903"/>
      <c r="U919" s="879"/>
      <c r="V919" s="903"/>
      <c r="W919" s="931"/>
      <c r="X919" s="971"/>
      <c r="Y919" s="884" t="str">
        <f t="shared" si="263"/>
        <v/>
      </c>
      <c r="Z919" s="884"/>
      <c r="AA919" s="884"/>
      <c r="AB919" s="868"/>
      <c r="AC919" s="885"/>
      <c r="AD919" s="868"/>
      <c r="AE919" s="868"/>
      <c r="AF919" s="868"/>
      <c r="AG919" s="868"/>
      <c r="AH919" s="868"/>
      <c r="AI919" s="868"/>
      <c r="AJ919" s="886">
        <f t="shared" si="262"/>
        <v>0</v>
      </c>
      <c r="AK919" s="868"/>
    </row>
    <row r="920" spans="5:39" s="857" customFormat="1" ht="35.25" customHeight="1" x14ac:dyDescent="0.2">
      <c r="F920" s="926" t="s">
        <v>859</v>
      </c>
      <c r="G920" s="937" t="s">
        <v>1604</v>
      </c>
      <c r="H920" s="938"/>
      <c r="I920" s="939"/>
      <c r="J920" s="859"/>
      <c r="K920" s="903"/>
      <c r="L920" s="908"/>
      <c r="M920" s="878"/>
      <c r="N920" s="908"/>
      <c r="O920" s="937"/>
      <c r="P920" s="939"/>
      <c r="Q920" s="859"/>
      <c r="R920" s="859"/>
      <c r="S920" s="859"/>
      <c r="T920" s="859"/>
      <c r="U920" s="860">
        <f>SUM(U921:U927)</f>
        <v>889466700.18037653</v>
      </c>
      <c r="V920" s="939"/>
      <c r="W920" s="940"/>
      <c r="X920" s="973"/>
      <c r="Y920" s="884" t="str">
        <f t="shared" si="263"/>
        <v/>
      </c>
      <c r="Z920" s="884"/>
      <c r="AA920" s="884"/>
      <c r="AB920" s="868"/>
      <c r="AC920" s="885"/>
      <c r="AD920" s="860">
        <f t="shared" ref="AD920:AK920" si="271">SUM(AD921:AD927)</f>
        <v>22970042.504509412</v>
      </c>
      <c r="AE920" s="860">
        <f t="shared" si="271"/>
        <v>12364467.504509414</v>
      </c>
      <c r="AF920" s="860">
        <f t="shared" si="271"/>
        <v>22236667.504509412</v>
      </c>
      <c r="AG920" s="860">
        <f t="shared" si="271"/>
        <v>22236667.504509412</v>
      </c>
      <c r="AH920" s="860">
        <f t="shared" si="271"/>
        <v>22236667.504509412</v>
      </c>
      <c r="AI920" s="860">
        <f t="shared" si="271"/>
        <v>22236667.504509412</v>
      </c>
      <c r="AJ920" s="886">
        <f t="shared" si="262"/>
        <v>124281180.02705649</v>
      </c>
      <c r="AK920" s="860">
        <f t="shared" si="271"/>
        <v>765185520.15332007</v>
      </c>
      <c r="AL920" s="961"/>
      <c r="AM920" s="962">
        <f>SUM(AD920:AG920)</f>
        <v>79807845.018037647</v>
      </c>
    </row>
    <row r="921" spans="5:39" s="857" customFormat="1" ht="35.25" customHeight="1" x14ac:dyDescent="0.2">
      <c r="E921" s="884" t="s">
        <v>2308</v>
      </c>
      <c r="F921" s="926"/>
      <c r="G921" s="907" t="s">
        <v>3512</v>
      </c>
      <c r="H921" s="917"/>
      <c r="I921" s="903" t="s">
        <v>4198</v>
      </c>
      <c r="J921" s="859"/>
      <c r="K921" s="903"/>
      <c r="L921" s="908"/>
      <c r="M921" s="878"/>
      <c r="N921" s="908"/>
      <c r="O921" s="937"/>
      <c r="P921" s="939">
        <v>2011</v>
      </c>
      <c r="Q921" s="859"/>
      <c r="R921" s="859"/>
      <c r="S921" s="859"/>
      <c r="T921" s="859" t="s">
        <v>12</v>
      </c>
      <c r="U921" s="860">
        <v>14872500</v>
      </c>
      <c r="V921" s="939"/>
      <c r="W921" s="940"/>
      <c r="X921" s="973"/>
      <c r="Y921" s="884" t="str">
        <f t="shared" si="263"/>
        <v>04.15.06</v>
      </c>
      <c r="Z921" s="884" t="str">
        <f t="shared" ref="Z921:Z927" si="272">VLOOKUP(Y921,UE,3,FALSE)</f>
        <v>Instalasi Gardu Listrik</v>
      </c>
      <c r="AA921" s="884">
        <f t="shared" ref="AA921:AA927" si="273">VLOOKUP(Y921,UE,4,FALSE)</f>
        <v>40</v>
      </c>
      <c r="AB921" s="868">
        <f t="shared" ref="AB921:AB927" si="274">U921/AA921</f>
        <v>371812.5</v>
      </c>
      <c r="AC921" s="885">
        <f t="shared" ref="AC921:AC927" si="275">IF(2013-P921+1&gt;AA921,AA921,IF(2013-P921+1&lt;0,0,2013-P921+1))</f>
        <v>3</v>
      </c>
      <c r="AD921" s="868">
        <f t="shared" ref="AD921:AD927" si="276">IF(AC921&gt;AA921,U921,AB921*AC921)</f>
        <v>1115437.5</v>
      </c>
      <c r="AE921" s="868">
        <f t="shared" ref="AE921:AE926" si="277">IF(U921=AD921,0,AB921)</f>
        <v>371812.5</v>
      </c>
      <c r="AF921" s="868">
        <f t="shared" ref="AF921:AF927" si="278">IF(U921=AD921+AE921,0,AB921)</f>
        <v>371812.5</v>
      </c>
      <c r="AG921" s="868">
        <f t="shared" ref="AG921:AG927" si="279">IF(U921=AD921+AE921+AF921,0,AB921)</f>
        <v>371812.5</v>
      </c>
      <c r="AH921" s="868">
        <f t="shared" ref="AH921:AH927" si="280">IF(U921=AE921+AF921+AG921+AD921,0,AB921)</f>
        <v>371812.5</v>
      </c>
      <c r="AI921" s="886">
        <f t="shared" ref="AI921:AI927" si="281">IF(U921=AE921+AF921+AG921+AD921+AH921,0,AB921)</f>
        <v>371812.5</v>
      </c>
      <c r="AJ921" s="886">
        <f t="shared" si="262"/>
        <v>2974500</v>
      </c>
      <c r="AK921" s="868">
        <f t="shared" ref="AK921:AK927" si="282">U921-AJ921</f>
        <v>11898000</v>
      </c>
    </row>
    <row r="922" spans="5:39" s="857" customFormat="1" ht="35.25" customHeight="1" x14ac:dyDescent="0.2">
      <c r="E922" s="884" t="s">
        <v>2308</v>
      </c>
      <c r="F922" s="926"/>
      <c r="G922" s="907" t="s">
        <v>3512</v>
      </c>
      <c r="H922" s="917"/>
      <c r="I922" s="903" t="s">
        <v>4198</v>
      </c>
      <c r="J922" s="859"/>
      <c r="K922" s="903"/>
      <c r="L922" s="908"/>
      <c r="M922" s="878"/>
      <c r="N922" s="908"/>
      <c r="O922" s="937"/>
      <c r="P922" s="939">
        <v>2012</v>
      </c>
      <c r="Q922" s="859"/>
      <c r="R922" s="859"/>
      <c r="S922" s="859"/>
      <c r="T922" s="859" t="s">
        <v>12</v>
      </c>
      <c r="U922" s="860">
        <v>97700000</v>
      </c>
      <c r="V922" s="939"/>
      <c r="W922" s="940"/>
      <c r="X922" s="973"/>
      <c r="Y922" s="884" t="str">
        <f t="shared" si="263"/>
        <v>04.15.06</v>
      </c>
      <c r="Z922" s="884" t="str">
        <f t="shared" si="272"/>
        <v>Instalasi Gardu Listrik</v>
      </c>
      <c r="AA922" s="884">
        <f t="shared" si="273"/>
        <v>40</v>
      </c>
      <c r="AB922" s="868">
        <f t="shared" si="274"/>
        <v>2442500</v>
      </c>
      <c r="AC922" s="885">
        <f t="shared" si="275"/>
        <v>2</v>
      </c>
      <c r="AD922" s="868">
        <f t="shared" si="276"/>
        <v>4885000</v>
      </c>
      <c r="AE922" s="868">
        <f t="shared" si="277"/>
        <v>2442500</v>
      </c>
      <c r="AF922" s="868">
        <f t="shared" si="278"/>
        <v>2442500</v>
      </c>
      <c r="AG922" s="868">
        <f t="shared" si="279"/>
        <v>2442500</v>
      </c>
      <c r="AH922" s="868">
        <f t="shared" si="280"/>
        <v>2442500</v>
      </c>
      <c r="AI922" s="886">
        <f t="shared" si="281"/>
        <v>2442500</v>
      </c>
      <c r="AJ922" s="886">
        <f t="shared" si="262"/>
        <v>17097500</v>
      </c>
      <c r="AK922" s="868">
        <f t="shared" si="282"/>
        <v>80602500</v>
      </c>
    </row>
    <row r="923" spans="5:39" s="857" customFormat="1" ht="35.25" customHeight="1" x14ac:dyDescent="0.2">
      <c r="E923" s="884" t="s">
        <v>2308</v>
      </c>
      <c r="F923" s="926"/>
      <c r="G923" s="907" t="s">
        <v>3512</v>
      </c>
      <c r="H923" s="917"/>
      <c r="I923" s="903" t="s">
        <v>4198</v>
      </c>
      <c r="J923" s="859"/>
      <c r="K923" s="903"/>
      <c r="L923" s="908"/>
      <c r="M923" s="878"/>
      <c r="N923" s="908"/>
      <c r="O923" s="937"/>
      <c r="P923" s="939">
        <v>2012</v>
      </c>
      <c r="Q923" s="859"/>
      <c r="R923" s="859"/>
      <c r="S923" s="859"/>
      <c r="T923" s="859" t="s">
        <v>12</v>
      </c>
      <c r="U923" s="860">
        <v>98837000</v>
      </c>
      <c r="V923" s="939"/>
      <c r="W923" s="940"/>
      <c r="X923" s="973"/>
      <c r="Y923" s="884" t="str">
        <f t="shared" si="263"/>
        <v>04.15.06</v>
      </c>
      <c r="Z923" s="884" t="str">
        <f t="shared" si="272"/>
        <v>Instalasi Gardu Listrik</v>
      </c>
      <c r="AA923" s="884">
        <f t="shared" si="273"/>
        <v>40</v>
      </c>
      <c r="AB923" s="868">
        <f t="shared" si="274"/>
        <v>2470925</v>
      </c>
      <c r="AC923" s="885">
        <f t="shared" si="275"/>
        <v>2</v>
      </c>
      <c r="AD923" s="868">
        <f t="shared" si="276"/>
        <v>4941850</v>
      </c>
      <c r="AE923" s="868">
        <f t="shared" si="277"/>
        <v>2470925</v>
      </c>
      <c r="AF923" s="868">
        <f t="shared" si="278"/>
        <v>2470925</v>
      </c>
      <c r="AG923" s="868">
        <f t="shared" si="279"/>
        <v>2470925</v>
      </c>
      <c r="AH923" s="868">
        <f t="shared" si="280"/>
        <v>2470925</v>
      </c>
      <c r="AI923" s="886">
        <f t="shared" si="281"/>
        <v>2470925</v>
      </c>
      <c r="AJ923" s="886">
        <f t="shared" si="262"/>
        <v>17296475</v>
      </c>
      <c r="AK923" s="868">
        <f t="shared" si="282"/>
        <v>81540525</v>
      </c>
    </row>
    <row r="924" spans="5:39" s="857" customFormat="1" ht="35.25" customHeight="1" x14ac:dyDescent="0.2">
      <c r="E924" s="884" t="s">
        <v>2308</v>
      </c>
      <c r="F924" s="926"/>
      <c r="G924" s="907" t="s">
        <v>3512</v>
      </c>
      <c r="H924" s="917"/>
      <c r="I924" s="903" t="s">
        <v>4198</v>
      </c>
      <c r="J924" s="859"/>
      <c r="K924" s="903"/>
      <c r="L924" s="908"/>
      <c r="M924" s="878"/>
      <c r="N924" s="908"/>
      <c r="O924" s="937"/>
      <c r="P924" s="939">
        <v>2012</v>
      </c>
      <c r="Q924" s="859"/>
      <c r="R924" s="859"/>
      <c r="S924" s="859"/>
      <c r="T924" s="859" t="s">
        <v>12</v>
      </c>
      <c r="U924" s="860">
        <v>98808000</v>
      </c>
      <c r="V924" s="939"/>
      <c r="W924" s="940"/>
      <c r="X924" s="973"/>
      <c r="Y924" s="884" t="str">
        <f t="shared" si="263"/>
        <v>04.15.06</v>
      </c>
      <c r="Z924" s="884" t="str">
        <f t="shared" si="272"/>
        <v>Instalasi Gardu Listrik</v>
      </c>
      <c r="AA924" s="884">
        <f t="shared" si="273"/>
        <v>40</v>
      </c>
      <c r="AB924" s="868">
        <f t="shared" si="274"/>
        <v>2470200</v>
      </c>
      <c r="AC924" s="885">
        <f t="shared" si="275"/>
        <v>2</v>
      </c>
      <c r="AD924" s="868">
        <f t="shared" si="276"/>
        <v>4940400</v>
      </c>
      <c r="AE924" s="868">
        <f t="shared" si="277"/>
        <v>2470200</v>
      </c>
      <c r="AF924" s="868">
        <f t="shared" si="278"/>
        <v>2470200</v>
      </c>
      <c r="AG924" s="868">
        <f t="shared" si="279"/>
        <v>2470200</v>
      </c>
      <c r="AH924" s="868">
        <f t="shared" si="280"/>
        <v>2470200</v>
      </c>
      <c r="AI924" s="886">
        <f t="shared" si="281"/>
        <v>2470200</v>
      </c>
      <c r="AJ924" s="886">
        <f t="shared" si="262"/>
        <v>17291400</v>
      </c>
      <c r="AK924" s="868">
        <f t="shared" si="282"/>
        <v>81516600</v>
      </c>
    </row>
    <row r="925" spans="5:39" s="857" customFormat="1" ht="35.25" customHeight="1" x14ac:dyDescent="0.2">
      <c r="E925" s="884" t="s">
        <v>2308</v>
      </c>
      <c r="F925" s="926"/>
      <c r="G925" s="907" t="s">
        <v>3512</v>
      </c>
      <c r="H925" s="917"/>
      <c r="I925" s="903" t="s">
        <v>4198</v>
      </c>
      <c r="J925" s="859"/>
      <c r="K925" s="903"/>
      <c r="L925" s="908"/>
      <c r="M925" s="878"/>
      <c r="N925" s="908"/>
      <c r="O925" s="937"/>
      <c r="P925" s="939">
        <v>2012</v>
      </c>
      <c r="Q925" s="859"/>
      <c r="R925" s="859"/>
      <c r="S925" s="859"/>
      <c r="T925" s="859" t="s">
        <v>12</v>
      </c>
      <c r="U925" s="860">
        <v>99133000</v>
      </c>
      <c r="V925" s="939"/>
      <c r="W925" s="940"/>
      <c r="X925" s="973"/>
      <c r="Y925" s="884" t="str">
        <f t="shared" si="263"/>
        <v>04.15.06</v>
      </c>
      <c r="Z925" s="884" t="str">
        <f t="shared" si="272"/>
        <v>Instalasi Gardu Listrik</v>
      </c>
      <c r="AA925" s="884">
        <f t="shared" si="273"/>
        <v>40</v>
      </c>
      <c r="AB925" s="868">
        <f t="shared" si="274"/>
        <v>2478325</v>
      </c>
      <c r="AC925" s="885">
        <f t="shared" si="275"/>
        <v>2</v>
      </c>
      <c r="AD925" s="868">
        <f t="shared" si="276"/>
        <v>4956650</v>
      </c>
      <c r="AE925" s="868">
        <f t="shared" si="277"/>
        <v>2478325</v>
      </c>
      <c r="AF925" s="868">
        <f t="shared" si="278"/>
        <v>2478325</v>
      </c>
      <c r="AG925" s="868">
        <f t="shared" si="279"/>
        <v>2478325</v>
      </c>
      <c r="AH925" s="868">
        <f t="shared" si="280"/>
        <v>2478325</v>
      </c>
      <c r="AI925" s="886">
        <f t="shared" si="281"/>
        <v>2478325</v>
      </c>
      <c r="AJ925" s="886">
        <f t="shared" si="262"/>
        <v>17348275</v>
      </c>
      <c r="AK925" s="868">
        <f t="shared" si="282"/>
        <v>81784725</v>
      </c>
    </row>
    <row r="926" spans="5:39" s="857" customFormat="1" ht="35.25" customHeight="1" x14ac:dyDescent="0.2">
      <c r="E926" s="884" t="s">
        <v>2308</v>
      </c>
      <c r="F926" s="926"/>
      <c r="G926" s="907" t="s">
        <v>3512</v>
      </c>
      <c r="H926" s="917"/>
      <c r="I926" s="903" t="s">
        <v>4198</v>
      </c>
      <c r="J926" s="859"/>
      <c r="K926" s="903"/>
      <c r="L926" s="908"/>
      <c r="M926" s="878"/>
      <c r="N926" s="908"/>
      <c r="O926" s="937"/>
      <c r="P926" s="939">
        <v>2013</v>
      </c>
      <c r="Q926" s="859"/>
      <c r="R926" s="859"/>
      <c r="S926" s="859"/>
      <c r="T926" s="859" t="s">
        <v>12</v>
      </c>
      <c r="U926" s="860">
        <v>85228200.18037653</v>
      </c>
      <c r="V926" s="939"/>
      <c r="W926" s="940"/>
      <c r="X926" s="973"/>
      <c r="Y926" s="884" t="str">
        <f t="shared" si="263"/>
        <v>04.15.06</v>
      </c>
      <c r="Z926" s="884" t="str">
        <f t="shared" si="272"/>
        <v>Instalasi Gardu Listrik</v>
      </c>
      <c r="AA926" s="884">
        <f t="shared" si="273"/>
        <v>40</v>
      </c>
      <c r="AB926" s="868">
        <f t="shared" si="274"/>
        <v>2130705.0045094131</v>
      </c>
      <c r="AC926" s="885">
        <f t="shared" si="275"/>
        <v>1</v>
      </c>
      <c r="AD926" s="868">
        <f t="shared" si="276"/>
        <v>2130705.0045094131</v>
      </c>
      <c r="AE926" s="868">
        <f t="shared" si="277"/>
        <v>2130705.0045094131</v>
      </c>
      <c r="AF926" s="868">
        <f t="shared" si="278"/>
        <v>2130705.0045094131</v>
      </c>
      <c r="AG926" s="868">
        <f t="shared" si="279"/>
        <v>2130705.0045094131</v>
      </c>
      <c r="AH926" s="868">
        <f t="shared" si="280"/>
        <v>2130705.0045094131</v>
      </c>
      <c r="AI926" s="886">
        <f t="shared" si="281"/>
        <v>2130705.0045094131</v>
      </c>
      <c r="AJ926" s="886">
        <f t="shared" si="262"/>
        <v>12784230.02705648</v>
      </c>
      <c r="AK926" s="868">
        <f t="shared" si="282"/>
        <v>72443970.153320044</v>
      </c>
    </row>
    <row r="927" spans="5:39" s="857" customFormat="1" ht="35.25" customHeight="1" x14ac:dyDescent="0.2">
      <c r="E927" s="884" t="s">
        <v>2308</v>
      </c>
      <c r="F927" s="926"/>
      <c r="G927" s="907" t="s">
        <v>3513</v>
      </c>
      <c r="H927" s="917"/>
      <c r="I927" s="903" t="s">
        <v>4198</v>
      </c>
      <c r="J927" s="859"/>
      <c r="K927" s="903"/>
      <c r="L927" s="908"/>
      <c r="M927" s="878"/>
      <c r="N927" s="908"/>
      <c r="O927" s="937"/>
      <c r="P927" s="939">
        <v>2015</v>
      </c>
      <c r="Q927" s="859"/>
      <c r="R927" s="859"/>
      <c r="S927" s="859"/>
      <c r="T927" s="859" t="s">
        <v>12</v>
      </c>
      <c r="U927" s="860">
        <v>394888000</v>
      </c>
      <c r="V927" s="939"/>
      <c r="W927" s="940"/>
      <c r="X927" s="973"/>
      <c r="Y927" s="884" t="str">
        <f t="shared" si="263"/>
        <v>04.15.06</v>
      </c>
      <c r="Z927" s="884" t="str">
        <f t="shared" si="272"/>
        <v>Instalasi Gardu Listrik</v>
      </c>
      <c r="AA927" s="884">
        <f t="shared" si="273"/>
        <v>40</v>
      </c>
      <c r="AB927" s="868">
        <f t="shared" si="274"/>
        <v>9872200</v>
      </c>
      <c r="AC927" s="885">
        <f t="shared" si="275"/>
        <v>0</v>
      </c>
      <c r="AD927" s="868">
        <f t="shared" si="276"/>
        <v>0</v>
      </c>
      <c r="AE927" s="868">
        <v>0</v>
      </c>
      <c r="AF927" s="868">
        <f t="shared" si="278"/>
        <v>9872200</v>
      </c>
      <c r="AG927" s="868">
        <f t="shared" si="279"/>
        <v>9872200</v>
      </c>
      <c r="AH927" s="868">
        <f t="shared" si="280"/>
        <v>9872200</v>
      </c>
      <c r="AI927" s="886">
        <f t="shared" si="281"/>
        <v>9872200</v>
      </c>
      <c r="AJ927" s="886">
        <f t="shared" si="262"/>
        <v>39488800</v>
      </c>
      <c r="AK927" s="868">
        <f t="shared" si="282"/>
        <v>355399200</v>
      </c>
    </row>
    <row r="928" spans="5:39" s="857" customFormat="1" ht="35.25" customHeight="1" x14ac:dyDescent="0.2">
      <c r="F928" s="890"/>
      <c r="G928" s="939"/>
      <c r="H928" s="941"/>
      <c r="I928" s="942"/>
      <c r="J928" s="942"/>
      <c r="K928" s="942"/>
      <c r="L928" s="943"/>
      <c r="M928" s="944"/>
      <c r="N928" s="945"/>
      <c r="O928" s="907"/>
      <c r="P928" s="903"/>
      <c r="Q928" s="878"/>
      <c r="R928" s="878"/>
      <c r="S928" s="878"/>
      <c r="T928" s="878"/>
      <c r="U928" s="879"/>
      <c r="V928" s="903"/>
      <c r="W928" s="931"/>
      <c r="X928" s="971"/>
      <c r="Y928" s="884" t="str">
        <f t="shared" si="263"/>
        <v/>
      </c>
      <c r="Z928" s="884"/>
      <c r="AA928" s="884"/>
      <c r="AB928" s="868"/>
      <c r="AC928" s="885"/>
      <c r="AD928" s="868"/>
      <c r="AE928" s="868"/>
      <c r="AF928" s="868"/>
      <c r="AG928" s="868"/>
      <c r="AH928" s="868"/>
      <c r="AI928" s="868"/>
      <c r="AJ928" s="886">
        <f t="shared" si="262"/>
        <v>0</v>
      </c>
      <c r="AK928" s="868"/>
    </row>
    <row r="929" spans="5:39" s="857" customFormat="1" ht="35.25" customHeight="1" x14ac:dyDescent="0.2">
      <c r="F929" s="890"/>
      <c r="G929" s="939"/>
      <c r="H929" s="941"/>
      <c r="I929" s="903"/>
      <c r="J929" s="878"/>
      <c r="K929" s="903"/>
      <c r="L929" s="908"/>
      <c r="M929" s="878"/>
      <c r="N929" s="908"/>
      <c r="O929" s="907"/>
      <c r="P929" s="903"/>
      <c r="Q929" s="878"/>
      <c r="R929" s="878"/>
      <c r="S929" s="878"/>
      <c r="T929" s="878"/>
      <c r="U929" s="879"/>
      <c r="V929" s="903"/>
      <c r="W929" s="931"/>
      <c r="X929" s="971"/>
      <c r="Y929" s="884" t="str">
        <f t="shared" si="263"/>
        <v/>
      </c>
      <c r="Z929" s="884"/>
      <c r="AA929" s="884"/>
      <c r="AB929" s="868"/>
      <c r="AC929" s="885"/>
      <c r="AD929" s="868"/>
      <c r="AE929" s="868"/>
      <c r="AF929" s="868"/>
      <c r="AG929" s="868"/>
      <c r="AH929" s="868"/>
      <c r="AI929" s="868"/>
      <c r="AJ929" s="886">
        <f t="shared" si="262"/>
        <v>0</v>
      </c>
      <c r="AK929" s="868"/>
    </row>
    <row r="930" spans="5:39" s="857" customFormat="1" ht="35.25" customHeight="1" x14ac:dyDescent="0.2">
      <c r="F930" s="926" t="s">
        <v>861</v>
      </c>
      <c r="G930" s="859" t="s">
        <v>1605</v>
      </c>
      <c r="H930" s="860"/>
      <c r="I930" s="939"/>
      <c r="J930" s="859"/>
      <c r="K930" s="903"/>
      <c r="L930" s="908"/>
      <c r="M930" s="878"/>
      <c r="N930" s="908"/>
      <c r="O930" s="937"/>
      <c r="P930" s="939"/>
      <c r="Q930" s="859"/>
      <c r="R930" s="859"/>
      <c r="S930" s="859"/>
      <c r="T930" s="859"/>
      <c r="U930" s="860">
        <f>SUM(U931:U1023)</f>
        <v>54991004906.995781</v>
      </c>
      <c r="V930" s="939"/>
      <c r="W930" s="940"/>
      <c r="X930" s="973"/>
      <c r="Y930" s="884" t="str">
        <f t="shared" si="263"/>
        <v/>
      </c>
      <c r="Z930" s="884"/>
      <c r="AA930" s="884"/>
      <c r="AB930" s="868"/>
      <c r="AC930" s="885"/>
      <c r="AD930" s="860">
        <f>SUM(AD931:AD1020)</f>
        <v>10224063291.713255</v>
      </c>
      <c r="AE930" s="860">
        <f>SUM(AE931:AE1020)</f>
        <v>1736661247.1615098</v>
      </c>
      <c r="AF930" s="860">
        <f>SUM(AF931:AF1020)</f>
        <v>1741255680.494843</v>
      </c>
      <c r="AG930" s="860">
        <f>SUM(AG931:AG1020)</f>
        <v>1791181580.494843</v>
      </c>
      <c r="AH930" s="860">
        <f>SUM(AH931:AH1020)</f>
        <v>1791181580.494843</v>
      </c>
      <c r="AI930" s="860">
        <f>SUM(AI931:AI1023)</f>
        <v>1827885513.8281765</v>
      </c>
      <c r="AJ930" s="886">
        <f t="shared" si="262"/>
        <v>19112228894.187469</v>
      </c>
      <c r="AK930" s="860">
        <f>SUM(AK931:AK1023)</f>
        <v>35864059112.808327</v>
      </c>
      <c r="AL930" s="963"/>
      <c r="AM930" s="962">
        <f>SUM(AD930:AG930)</f>
        <v>15493161799.86445</v>
      </c>
    </row>
    <row r="931" spans="5:39" s="857" customFormat="1" ht="35.25" customHeight="1" x14ac:dyDescent="0.2">
      <c r="E931" s="884" t="s">
        <v>2307</v>
      </c>
      <c r="F931" s="890"/>
      <c r="G931" s="907" t="s">
        <v>1470</v>
      </c>
      <c r="H931" s="917"/>
      <c r="I931" s="903" t="s">
        <v>3565</v>
      </c>
      <c r="J931" s="878"/>
      <c r="K931" s="903"/>
      <c r="L931" s="908"/>
      <c r="M931" s="878"/>
      <c r="N931" s="908"/>
      <c r="O931" s="907" t="s">
        <v>3549</v>
      </c>
      <c r="P931" s="903">
        <v>2007</v>
      </c>
      <c r="Q931" s="878"/>
      <c r="R931" s="878"/>
      <c r="S931" s="878"/>
      <c r="T931" s="903" t="s">
        <v>12</v>
      </c>
      <c r="U931" s="879">
        <v>10790891754</v>
      </c>
      <c r="V931" s="903" t="s">
        <v>43</v>
      </c>
      <c r="W931" s="931"/>
      <c r="X931" s="971"/>
      <c r="Y931" s="884" t="str">
        <f t="shared" si="263"/>
        <v>04.16.01</v>
      </c>
      <c r="Z931" s="884" t="str">
        <f t="shared" ref="Z931:Z994" si="283">VLOOKUP(Y931,UE,3,FALSE)</f>
        <v>Jaringan Air Minum</v>
      </c>
      <c r="AA931" s="884">
        <f t="shared" ref="AA931:AA994" si="284">VLOOKUP(Y931,UE,4,FALSE)</f>
        <v>30</v>
      </c>
      <c r="AB931" s="868">
        <f t="shared" ref="AB931:AB994" si="285">U931/AA931</f>
        <v>359696391.80000001</v>
      </c>
      <c r="AC931" s="885">
        <f t="shared" ref="AC931:AC994" si="286">IF(2013-P931+1&gt;AA931,AA931,IF(2013-P931+1&lt;0,0,2013-P931+1))</f>
        <v>7</v>
      </c>
      <c r="AD931" s="868">
        <f t="shared" ref="AD931:AD994" si="287">IF(AC931&gt;AA931,U931,AB931*AC931)</f>
        <v>2517874742.5999999</v>
      </c>
      <c r="AE931" s="868">
        <f t="shared" ref="AE931:AE994" si="288">IF(U931=AD931,0,AB931)</f>
        <v>359696391.80000001</v>
      </c>
      <c r="AF931" s="868">
        <f t="shared" ref="AF931:AF994" si="289">IF(U931=AD931+AE931,0,AB931)</f>
        <v>359696391.80000001</v>
      </c>
      <c r="AG931" s="868">
        <f t="shared" ref="AG931:AG994" si="290">IF(U931=AD931+AE931+AF931,0,AB931)</f>
        <v>359696391.80000001</v>
      </c>
      <c r="AH931" s="868">
        <f t="shared" ref="AH931:AH994" si="291">IF(U931=AE931+AF931+AG931+AD931,0,AB931)</f>
        <v>359696391.80000001</v>
      </c>
      <c r="AI931" s="886">
        <f t="shared" ref="AI931:AI994" si="292">IF(U931=AE931+AF931+AG931+AD931+AH931,0,AB931)</f>
        <v>359696391.80000001</v>
      </c>
      <c r="AJ931" s="886">
        <f t="shared" si="262"/>
        <v>4316356701.6000004</v>
      </c>
      <c r="AK931" s="868">
        <f t="shared" ref="AK931:AK994" si="293">U931-AJ931</f>
        <v>6474535052.3999996</v>
      </c>
    </row>
    <row r="932" spans="5:39" s="857" customFormat="1" ht="35.25" customHeight="1" x14ac:dyDescent="0.2">
      <c r="E932" s="884" t="s">
        <v>2307</v>
      </c>
      <c r="F932" s="890"/>
      <c r="G932" s="907" t="s">
        <v>1606</v>
      </c>
      <c r="H932" s="917"/>
      <c r="I932" s="903" t="s">
        <v>3565</v>
      </c>
      <c r="J932" s="878"/>
      <c r="K932" s="903"/>
      <c r="L932" s="908"/>
      <c r="M932" s="878"/>
      <c r="N932" s="908"/>
      <c r="O932" s="907" t="s">
        <v>3549</v>
      </c>
      <c r="P932" s="903">
        <v>2007</v>
      </c>
      <c r="Q932" s="878"/>
      <c r="R932" s="878"/>
      <c r="S932" s="878"/>
      <c r="T932" s="903" t="s">
        <v>12</v>
      </c>
      <c r="U932" s="879">
        <v>1519697850</v>
      </c>
      <c r="V932" s="903" t="s">
        <v>43</v>
      </c>
      <c r="W932" s="931"/>
      <c r="X932" s="971"/>
      <c r="Y932" s="884" t="str">
        <f t="shared" si="263"/>
        <v>04.16.01</v>
      </c>
      <c r="Z932" s="884" t="str">
        <f t="shared" si="283"/>
        <v>Jaringan Air Minum</v>
      </c>
      <c r="AA932" s="884">
        <f t="shared" si="284"/>
        <v>30</v>
      </c>
      <c r="AB932" s="868">
        <f t="shared" si="285"/>
        <v>50656595</v>
      </c>
      <c r="AC932" s="885">
        <f t="shared" si="286"/>
        <v>7</v>
      </c>
      <c r="AD932" s="868">
        <f t="shared" si="287"/>
        <v>354596165</v>
      </c>
      <c r="AE932" s="868">
        <f t="shared" si="288"/>
        <v>50656595</v>
      </c>
      <c r="AF932" s="868">
        <f t="shared" si="289"/>
        <v>50656595</v>
      </c>
      <c r="AG932" s="868">
        <f t="shared" si="290"/>
        <v>50656595</v>
      </c>
      <c r="AH932" s="868">
        <f t="shared" si="291"/>
        <v>50656595</v>
      </c>
      <c r="AI932" s="886">
        <f t="shared" si="292"/>
        <v>50656595</v>
      </c>
      <c r="AJ932" s="886">
        <f t="shared" si="262"/>
        <v>607879140</v>
      </c>
      <c r="AK932" s="868">
        <f t="shared" si="293"/>
        <v>911818710</v>
      </c>
    </row>
    <row r="933" spans="5:39" s="857" customFormat="1" ht="35.25" customHeight="1" x14ac:dyDescent="0.2">
      <c r="E933" s="884" t="s">
        <v>2307</v>
      </c>
      <c r="F933" s="890"/>
      <c r="G933" s="907" t="s">
        <v>1607</v>
      </c>
      <c r="H933" s="917"/>
      <c r="I933" s="903" t="s">
        <v>3565</v>
      </c>
      <c r="J933" s="878"/>
      <c r="K933" s="903"/>
      <c r="L933" s="908"/>
      <c r="M933" s="878"/>
      <c r="N933" s="908"/>
      <c r="O933" s="907" t="s">
        <v>3549</v>
      </c>
      <c r="P933" s="903">
        <v>2007</v>
      </c>
      <c r="Q933" s="878"/>
      <c r="R933" s="878"/>
      <c r="S933" s="878"/>
      <c r="T933" s="903" t="s">
        <v>12</v>
      </c>
      <c r="U933" s="879">
        <v>9817024325</v>
      </c>
      <c r="V933" s="903" t="s">
        <v>43</v>
      </c>
      <c r="W933" s="931"/>
      <c r="X933" s="971"/>
      <c r="Y933" s="884" t="str">
        <f t="shared" si="263"/>
        <v>04.16.01</v>
      </c>
      <c r="Z933" s="884" t="str">
        <f t="shared" si="283"/>
        <v>Jaringan Air Minum</v>
      </c>
      <c r="AA933" s="884">
        <f t="shared" si="284"/>
        <v>30</v>
      </c>
      <c r="AB933" s="868">
        <f t="shared" si="285"/>
        <v>327234144.16666669</v>
      </c>
      <c r="AC933" s="885">
        <f t="shared" si="286"/>
        <v>7</v>
      </c>
      <c r="AD933" s="868">
        <f t="shared" si="287"/>
        <v>2290639009.166667</v>
      </c>
      <c r="AE933" s="868">
        <f t="shared" si="288"/>
        <v>327234144.16666669</v>
      </c>
      <c r="AF933" s="868">
        <f t="shared" si="289"/>
        <v>327234144.16666669</v>
      </c>
      <c r="AG933" s="868">
        <f t="shared" si="290"/>
        <v>327234144.16666669</v>
      </c>
      <c r="AH933" s="868">
        <f t="shared" si="291"/>
        <v>327234144.16666669</v>
      </c>
      <c r="AI933" s="886">
        <f t="shared" si="292"/>
        <v>327234144.16666669</v>
      </c>
      <c r="AJ933" s="886">
        <f t="shared" si="262"/>
        <v>3926809729.9999995</v>
      </c>
      <c r="AK933" s="868">
        <f t="shared" si="293"/>
        <v>5890214595</v>
      </c>
    </row>
    <row r="934" spans="5:39" s="857" customFormat="1" ht="62.25" customHeight="1" x14ac:dyDescent="0.2">
      <c r="E934" s="884" t="s">
        <v>2307</v>
      </c>
      <c r="F934" s="890"/>
      <c r="G934" s="907" t="s">
        <v>1608</v>
      </c>
      <c r="H934" s="917"/>
      <c r="I934" s="903" t="s">
        <v>3565</v>
      </c>
      <c r="J934" s="878"/>
      <c r="K934" s="903"/>
      <c r="L934" s="908"/>
      <c r="M934" s="878"/>
      <c r="N934" s="908"/>
      <c r="O934" s="907" t="s">
        <v>3549</v>
      </c>
      <c r="P934" s="903">
        <v>2007</v>
      </c>
      <c r="Q934" s="878"/>
      <c r="R934" s="878"/>
      <c r="S934" s="878"/>
      <c r="T934" s="903" t="s">
        <v>12</v>
      </c>
      <c r="U934" s="879">
        <v>2336767000</v>
      </c>
      <c r="V934" s="903" t="s">
        <v>43</v>
      </c>
      <c r="W934" s="931"/>
      <c r="X934" s="971"/>
      <c r="Y934" s="884" t="str">
        <f t="shared" si="263"/>
        <v>04.16.01</v>
      </c>
      <c r="Z934" s="884" t="str">
        <f t="shared" si="283"/>
        <v>Jaringan Air Minum</v>
      </c>
      <c r="AA934" s="884">
        <f t="shared" si="284"/>
        <v>30</v>
      </c>
      <c r="AB934" s="868">
        <f t="shared" si="285"/>
        <v>77892233.333333328</v>
      </c>
      <c r="AC934" s="885">
        <f t="shared" si="286"/>
        <v>7</v>
      </c>
      <c r="AD934" s="868">
        <f t="shared" si="287"/>
        <v>545245633.33333325</v>
      </c>
      <c r="AE934" s="868">
        <f t="shared" si="288"/>
        <v>77892233.333333328</v>
      </c>
      <c r="AF934" s="868">
        <f t="shared" si="289"/>
        <v>77892233.333333328</v>
      </c>
      <c r="AG934" s="868">
        <f t="shared" si="290"/>
        <v>77892233.333333328</v>
      </c>
      <c r="AH934" s="868">
        <f t="shared" si="291"/>
        <v>77892233.333333328</v>
      </c>
      <c r="AI934" s="886">
        <f t="shared" si="292"/>
        <v>77892233.333333328</v>
      </c>
      <c r="AJ934" s="886">
        <f t="shared" si="262"/>
        <v>934706800.00000012</v>
      </c>
      <c r="AK934" s="868">
        <f t="shared" si="293"/>
        <v>1402060200</v>
      </c>
    </row>
    <row r="935" spans="5:39" s="857" customFormat="1" ht="62.25" customHeight="1" x14ac:dyDescent="0.2">
      <c r="E935" s="884" t="s">
        <v>2307</v>
      </c>
      <c r="F935" s="890"/>
      <c r="G935" s="907" t="s">
        <v>1609</v>
      </c>
      <c r="H935" s="917"/>
      <c r="I935" s="903" t="s">
        <v>3565</v>
      </c>
      <c r="J935" s="878"/>
      <c r="K935" s="903"/>
      <c r="L935" s="908"/>
      <c r="M935" s="878"/>
      <c r="N935" s="908"/>
      <c r="O935" s="907" t="s">
        <v>3549</v>
      </c>
      <c r="P935" s="903">
        <v>2007</v>
      </c>
      <c r="Q935" s="878"/>
      <c r="R935" s="878"/>
      <c r="S935" s="878"/>
      <c r="T935" s="903" t="s">
        <v>12</v>
      </c>
      <c r="U935" s="879">
        <v>1300003636.4000001</v>
      </c>
      <c r="V935" s="903" t="s">
        <v>43</v>
      </c>
      <c r="W935" s="931"/>
      <c r="X935" s="971"/>
      <c r="Y935" s="884" t="str">
        <f t="shared" si="263"/>
        <v>04.16.01</v>
      </c>
      <c r="Z935" s="884" t="str">
        <f t="shared" si="283"/>
        <v>Jaringan Air Minum</v>
      </c>
      <c r="AA935" s="884">
        <f t="shared" si="284"/>
        <v>30</v>
      </c>
      <c r="AB935" s="868">
        <f t="shared" si="285"/>
        <v>43333454.546666667</v>
      </c>
      <c r="AC935" s="885">
        <f t="shared" si="286"/>
        <v>7</v>
      </c>
      <c r="AD935" s="868">
        <f t="shared" si="287"/>
        <v>303334181.82666665</v>
      </c>
      <c r="AE935" s="868">
        <f t="shared" si="288"/>
        <v>43333454.546666667</v>
      </c>
      <c r="AF935" s="868">
        <f t="shared" si="289"/>
        <v>43333454.546666667</v>
      </c>
      <c r="AG935" s="868">
        <f t="shared" si="290"/>
        <v>43333454.546666667</v>
      </c>
      <c r="AH935" s="868">
        <f t="shared" si="291"/>
        <v>43333454.546666667</v>
      </c>
      <c r="AI935" s="886">
        <f t="shared" si="292"/>
        <v>43333454.546666667</v>
      </c>
      <c r="AJ935" s="886">
        <f t="shared" si="262"/>
        <v>520001454.56000006</v>
      </c>
      <c r="AK935" s="868">
        <f t="shared" si="293"/>
        <v>780002181.84000003</v>
      </c>
    </row>
    <row r="936" spans="5:39" s="857" customFormat="1" ht="62.25" customHeight="1" x14ac:dyDescent="0.2">
      <c r="E936" s="884" t="s">
        <v>2307</v>
      </c>
      <c r="F936" s="890"/>
      <c r="G936" s="907" t="s">
        <v>1609</v>
      </c>
      <c r="H936" s="917"/>
      <c r="I936" s="903" t="s">
        <v>3565</v>
      </c>
      <c r="J936" s="878"/>
      <c r="K936" s="903"/>
      <c r="L936" s="908"/>
      <c r="M936" s="878"/>
      <c r="N936" s="908"/>
      <c r="O936" s="907" t="s">
        <v>3549</v>
      </c>
      <c r="P936" s="903">
        <v>2007</v>
      </c>
      <c r="Q936" s="878"/>
      <c r="R936" s="878"/>
      <c r="S936" s="878"/>
      <c r="T936" s="903" t="s">
        <v>12</v>
      </c>
      <c r="U936" s="879">
        <v>130000363.59999999</v>
      </c>
      <c r="V936" s="903" t="s">
        <v>43</v>
      </c>
      <c r="W936" s="931"/>
      <c r="X936" s="971"/>
      <c r="Y936" s="884" t="str">
        <f t="shared" si="263"/>
        <v>04.16.01</v>
      </c>
      <c r="Z936" s="884" t="str">
        <f t="shared" si="283"/>
        <v>Jaringan Air Minum</v>
      </c>
      <c r="AA936" s="884">
        <f t="shared" si="284"/>
        <v>30</v>
      </c>
      <c r="AB936" s="868">
        <f t="shared" si="285"/>
        <v>4333345.4533333331</v>
      </c>
      <c r="AC936" s="885">
        <f t="shared" si="286"/>
        <v>7</v>
      </c>
      <c r="AD936" s="868">
        <f t="shared" si="287"/>
        <v>30333418.173333332</v>
      </c>
      <c r="AE936" s="868">
        <f t="shared" si="288"/>
        <v>4333345.4533333331</v>
      </c>
      <c r="AF936" s="868">
        <f t="shared" si="289"/>
        <v>4333345.4533333331</v>
      </c>
      <c r="AG936" s="868">
        <f t="shared" si="290"/>
        <v>4333345.4533333331</v>
      </c>
      <c r="AH936" s="868">
        <f t="shared" si="291"/>
        <v>4333345.4533333331</v>
      </c>
      <c r="AI936" s="886">
        <f t="shared" si="292"/>
        <v>4333345.4533333331</v>
      </c>
      <c r="AJ936" s="886">
        <f t="shared" si="262"/>
        <v>52000145.439999998</v>
      </c>
      <c r="AK936" s="868">
        <f t="shared" si="293"/>
        <v>78000218.159999996</v>
      </c>
    </row>
    <row r="937" spans="5:39" s="857" customFormat="1" ht="62.25" customHeight="1" x14ac:dyDescent="0.2">
      <c r="E937" s="884" t="s">
        <v>2307</v>
      </c>
      <c r="F937" s="890"/>
      <c r="G937" s="907" t="s">
        <v>1610</v>
      </c>
      <c r="H937" s="917"/>
      <c r="I937" s="903" t="s">
        <v>3565</v>
      </c>
      <c r="J937" s="878"/>
      <c r="K937" s="903"/>
      <c r="L937" s="908"/>
      <c r="M937" s="878"/>
      <c r="N937" s="908"/>
      <c r="O937" s="907" t="s">
        <v>3549</v>
      </c>
      <c r="P937" s="903">
        <v>2007</v>
      </c>
      <c r="Q937" s="878"/>
      <c r="R937" s="878"/>
      <c r="S937" s="878"/>
      <c r="T937" s="903" t="s">
        <v>12</v>
      </c>
      <c r="U937" s="879">
        <v>993901000</v>
      </c>
      <c r="V937" s="903" t="s">
        <v>43</v>
      </c>
      <c r="W937" s="931"/>
      <c r="X937" s="971"/>
      <c r="Y937" s="884" t="str">
        <f t="shared" si="263"/>
        <v>04.16.01</v>
      </c>
      <c r="Z937" s="884" t="str">
        <f t="shared" si="283"/>
        <v>Jaringan Air Minum</v>
      </c>
      <c r="AA937" s="884">
        <f t="shared" si="284"/>
        <v>30</v>
      </c>
      <c r="AB937" s="868">
        <f t="shared" si="285"/>
        <v>33130033.333333332</v>
      </c>
      <c r="AC937" s="885">
        <f t="shared" si="286"/>
        <v>7</v>
      </c>
      <c r="AD937" s="868">
        <f t="shared" si="287"/>
        <v>231910233.33333331</v>
      </c>
      <c r="AE937" s="868">
        <f t="shared" si="288"/>
        <v>33130033.333333332</v>
      </c>
      <c r="AF937" s="868">
        <f t="shared" si="289"/>
        <v>33130033.333333332</v>
      </c>
      <c r="AG937" s="868">
        <f t="shared" si="290"/>
        <v>33130033.333333332</v>
      </c>
      <c r="AH937" s="868">
        <f t="shared" si="291"/>
        <v>33130033.333333332</v>
      </c>
      <c r="AI937" s="886">
        <f t="shared" si="292"/>
        <v>33130033.333333332</v>
      </c>
      <c r="AJ937" s="886">
        <f t="shared" si="262"/>
        <v>397560399.99999994</v>
      </c>
      <c r="AK937" s="868">
        <f t="shared" si="293"/>
        <v>596340600</v>
      </c>
    </row>
    <row r="938" spans="5:39" s="857" customFormat="1" ht="62.25" customHeight="1" x14ac:dyDescent="0.2">
      <c r="E938" s="884" t="s">
        <v>2307</v>
      </c>
      <c r="F938" s="890"/>
      <c r="G938" s="907" t="s">
        <v>1611</v>
      </c>
      <c r="H938" s="917"/>
      <c r="I938" s="903" t="s">
        <v>3566</v>
      </c>
      <c r="J938" s="878"/>
      <c r="K938" s="903"/>
      <c r="L938" s="908"/>
      <c r="M938" s="878"/>
      <c r="N938" s="908"/>
      <c r="O938" s="907" t="s">
        <v>3549</v>
      </c>
      <c r="P938" s="903">
        <v>2007</v>
      </c>
      <c r="Q938" s="878"/>
      <c r="R938" s="878"/>
      <c r="S938" s="878"/>
      <c r="T938" s="903" t="s">
        <v>12</v>
      </c>
      <c r="U938" s="879">
        <v>474381180</v>
      </c>
      <c r="V938" s="903" t="s">
        <v>43</v>
      </c>
      <c r="W938" s="931"/>
      <c r="X938" s="971"/>
      <c r="Y938" s="884" t="str">
        <f t="shared" si="263"/>
        <v>04.16.01</v>
      </c>
      <c r="Z938" s="884" t="str">
        <f t="shared" si="283"/>
        <v>Jaringan Air Minum</v>
      </c>
      <c r="AA938" s="884">
        <f t="shared" si="284"/>
        <v>30</v>
      </c>
      <c r="AB938" s="868">
        <f t="shared" si="285"/>
        <v>15812706</v>
      </c>
      <c r="AC938" s="885">
        <f t="shared" si="286"/>
        <v>7</v>
      </c>
      <c r="AD938" s="868">
        <f t="shared" si="287"/>
        <v>110688942</v>
      </c>
      <c r="AE938" s="868">
        <f t="shared" si="288"/>
        <v>15812706</v>
      </c>
      <c r="AF938" s="868">
        <f t="shared" si="289"/>
        <v>15812706</v>
      </c>
      <c r="AG938" s="868">
        <f t="shared" si="290"/>
        <v>15812706</v>
      </c>
      <c r="AH938" s="868">
        <f t="shared" si="291"/>
        <v>15812706</v>
      </c>
      <c r="AI938" s="886">
        <f t="shared" si="292"/>
        <v>15812706</v>
      </c>
      <c r="AJ938" s="886">
        <f t="shared" si="262"/>
        <v>189752472</v>
      </c>
      <c r="AK938" s="868">
        <f t="shared" si="293"/>
        <v>284628708</v>
      </c>
    </row>
    <row r="939" spans="5:39" s="857" customFormat="1" ht="62.25" customHeight="1" x14ac:dyDescent="0.2">
      <c r="E939" s="884" t="s">
        <v>2307</v>
      </c>
      <c r="F939" s="890"/>
      <c r="G939" s="907" t="s">
        <v>1612</v>
      </c>
      <c r="H939" s="917"/>
      <c r="I939" s="903" t="s">
        <v>3566</v>
      </c>
      <c r="J939" s="878"/>
      <c r="K939" s="903"/>
      <c r="L939" s="908"/>
      <c r="M939" s="878"/>
      <c r="N939" s="908"/>
      <c r="O939" s="907" t="s">
        <v>3549</v>
      </c>
      <c r="P939" s="903">
        <v>2007</v>
      </c>
      <c r="Q939" s="878"/>
      <c r="R939" s="878"/>
      <c r="S939" s="878"/>
      <c r="T939" s="903" t="s">
        <v>12</v>
      </c>
      <c r="U939" s="879">
        <v>2703573800</v>
      </c>
      <c r="V939" s="903" t="s">
        <v>43</v>
      </c>
      <c r="W939" s="931"/>
      <c r="X939" s="971"/>
      <c r="Y939" s="884" t="str">
        <f t="shared" si="263"/>
        <v>04.16.01</v>
      </c>
      <c r="Z939" s="884" t="str">
        <f t="shared" si="283"/>
        <v>Jaringan Air Minum</v>
      </c>
      <c r="AA939" s="884">
        <f t="shared" si="284"/>
        <v>30</v>
      </c>
      <c r="AB939" s="868">
        <f t="shared" si="285"/>
        <v>90119126.666666672</v>
      </c>
      <c r="AC939" s="885">
        <f t="shared" si="286"/>
        <v>7</v>
      </c>
      <c r="AD939" s="868">
        <f t="shared" si="287"/>
        <v>630833886.66666675</v>
      </c>
      <c r="AE939" s="868">
        <f t="shared" si="288"/>
        <v>90119126.666666672</v>
      </c>
      <c r="AF939" s="868">
        <f t="shared" si="289"/>
        <v>90119126.666666672</v>
      </c>
      <c r="AG939" s="868">
        <f t="shared" si="290"/>
        <v>90119126.666666672</v>
      </c>
      <c r="AH939" s="868">
        <f t="shared" si="291"/>
        <v>90119126.666666672</v>
      </c>
      <c r="AI939" s="886">
        <f t="shared" si="292"/>
        <v>90119126.666666672</v>
      </c>
      <c r="AJ939" s="886">
        <f t="shared" si="262"/>
        <v>1081429520</v>
      </c>
      <c r="AK939" s="868">
        <f t="shared" si="293"/>
        <v>1622144280</v>
      </c>
    </row>
    <row r="940" spans="5:39" ht="62.25" customHeight="1" x14ac:dyDescent="0.2">
      <c r="E940" s="884" t="s">
        <v>2307</v>
      </c>
      <c r="F940" s="947"/>
      <c r="G940" s="907" t="s">
        <v>1613</v>
      </c>
      <c r="H940" s="917"/>
      <c r="I940" s="903" t="s">
        <v>3565</v>
      </c>
      <c r="J940" s="878"/>
      <c r="K940" s="903"/>
      <c r="L940" s="908"/>
      <c r="M940" s="878"/>
      <c r="N940" s="908"/>
      <c r="O940" s="907" t="s">
        <v>3549</v>
      </c>
      <c r="P940" s="903">
        <v>2007</v>
      </c>
      <c r="Q940" s="878"/>
      <c r="R940" s="878"/>
      <c r="S940" s="878"/>
      <c r="T940" s="903" t="s">
        <v>12</v>
      </c>
      <c r="U940" s="879">
        <v>44799000</v>
      </c>
      <c r="V940" s="903" t="s">
        <v>43</v>
      </c>
      <c r="W940" s="931"/>
      <c r="X940" s="971"/>
      <c r="Y940" s="884" t="str">
        <f t="shared" si="263"/>
        <v>04.16.01</v>
      </c>
      <c r="Z940" s="884" t="str">
        <f t="shared" si="283"/>
        <v>Jaringan Air Minum</v>
      </c>
      <c r="AA940" s="884">
        <f t="shared" si="284"/>
        <v>30</v>
      </c>
      <c r="AB940" s="868">
        <f t="shared" si="285"/>
        <v>1493300</v>
      </c>
      <c r="AC940" s="885">
        <f t="shared" si="286"/>
        <v>7</v>
      </c>
      <c r="AD940" s="868">
        <f t="shared" si="287"/>
        <v>10453100</v>
      </c>
      <c r="AE940" s="868">
        <f t="shared" si="288"/>
        <v>1493300</v>
      </c>
      <c r="AF940" s="868">
        <f t="shared" si="289"/>
        <v>1493300</v>
      </c>
      <c r="AG940" s="868">
        <f t="shared" si="290"/>
        <v>1493300</v>
      </c>
      <c r="AH940" s="868">
        <f t="shared" si="291"/>
        <v>1493300</v>
      </c>
      <c r="AI940" s="886">
        <f t="shared" si="292"/>
        <v>1493300</v>
      </c>
      <c r="AJ940" s="886">
        <f t="shared" ref="AJ940:AJ1003" si="294">SUM(AD940:AI940)</f>
        <v>17919600</v>
      </c>
      <c r="AK940" s="868">
        <f t="shared" si="293"/>
        <v>26879400</v>
      </c>
    </row>
    <row r="941" spans="5:39" ht="35.25" customHeight="1" x14ac:dyDescent="0.2">
      <c r="E941" s="884" t="s">
        <v>2307</v>
      </c>
      <c r="F941" s="947"/>
      <c r="G941" s="907" t="s">
        <v>1614</v>
      </c>
      <c r="H941" s="917"/>
      <c r="I941" s="903" t="s">
        <v>3566</v>
      </c>
      <c r="J941" s="878"/>
      <c r="K941" s="903"/>
      <c r="L941" s="908"/>
      <c r="M941" s="878"/>
      <c r="N941" s="908"/>
      <c r="O941" s="907" t="s">
        <v>3549</v>
      </c>
      <c r="P941" s="903">
        <v>2008</v>
      </c>
      <c r="Q941" s="878"/>
      <c r="R941" s="878"/>
      <c r="S941" s="878"/>
      <c r="T941" s="903" t="s">
        <v>12</v>
      </c>
      <c r="U941" s="879">
        <v>387073802.91121233</v>
      </c>
      <c r="V941" s="903" t="s">
        <v>43</v>
      </c>
      <c r="W941" s="931"/>
      <c r="X941" s="971"/>
      <c r="Y941" s="884" t="str">
        <f t="shared" ref="Y941:Y1004" si="295">LEFT(I941,8)</f>
        <v>04.16.01</v>
      </c>
      <c r="Z941" s="884" t="str">
        <f t="shared" si="283"/>
        <v>Jaringan Air Minum</v>
      </c>
      <c r="AA941" s="884">
        <f t="shared" si="284"/>
        <v>30</v>
      </c>
      <c r="AB941" s="868">
        <f t="shared" si="285"/>
        <v>12902460.097040411</v>
      </c>
      <c r="AC941" s="885">
        <f t="shared" si="286"/>
        <v>6</v>
      </c>
      <c r="AD941" s="868">
        <f t="shared" si="287"/>
        <v>77414760.582242459</v>
      </c>
      <c r="AE941" s="868">
        <f t="shared" si="288"/>
        <v>12902460.097040411</v>
      </c>
      <c r="AF941" s="868">
        <f t="shared" si="289"/>
        <v>12902460.097040411</v>
      </c>
      <c r="AG941" s="868">
        <f t="shared" si="290"/>
        <v>12902460.097040411</v>
      </c>
      <c r="AH941" s="868">
        <f t="shared" si="291"/>
        <v>12902460.097040411</v>
      </c>
      <c r="AI941" s="886">
        <f t="shared" si="292"/>
        <v>12902460.097040411</v>
      </c>
      <c r="AJ941" s="886">
        <f t="shared" si="294"/>
        <v>141927061.06744453</v>
      </c>
      <c r="AK941" s="868">
        <f t="shared" si="293"/>
        <v>245146741.84376779</v>
      </c>
    </row>
    <row r="942" spans="5:39" ht="35.25" customHeight="1" x14ac:dyDescent="0.2">
      <c r="E942" s="884" t="s">
        <v>2307</v>
      </c>
      <c r="F942" s="948"/>
      <c r="G942" s="907" t="s">
        <v>1615</v>
      </c>
      <c r="H942" s="917"/>
      <c r="I942" s="903" t="s">
        <v>3566</v>
      </c>
      <c r="J942" s="878"/>
      <c r="K942" s="903"/>
      <c r="L942" s="908"/>
      <c r="M942" s="878"/>
      <c r="N942" s="908"/>
      <c r="O942" s="907" t="s">
        <v>3549</v>
      </c>
      <c r="P942" s="903">
        <v>2008</v>
      </c>
      <c r="Q942" s="878"/>
      <c r="R942" s="878"/>
      <c r="S942" s="878"/>
      <c r="T942" s="903" t="s">
        <v>12</v>
      </c>
      <c r="U942" s="879">
        <v>993199090.17379224</v>
      </c>
      <c r="V942" s="903" t="s">
        <v>43</v>
      </c>
      <c r="W942" s="931"/>
      <c r="X942" s="971"/>
      <c r="Y942" s="884" t="str">
        <f t="shared" si="295"/>
        <v>04.16.01</v>
      </c>
      <c r="Z942" s="884" t="str">
        <f t="shared" si="283"/>
        <v>Jaringan Air Minum</v>
      </c>
      <c r="AA942" s="884">
        <f t="shared" si="284"/>
        <v>30</v>
      </c>
      <c r="AB942" s="868">
        <f t="shared" si="285"/>
        <v>33106636.339126408</v>
      </c>
      <c r="AC942" s="885">
        <f t="shared" si="286"/>
        <v>6</v>
      </c>
      <c r="AD942" s="868">
        <f t="shared" si="287"/>
        <v>198639818.03475845</v>
      </c>
      <c r="AE942" s="868">
        <f t="shared" si="288"/>
        <v>33106636.339126408</v>
      </c>
      <c r="AF942" s="868">
        <f t="shared" si="289"/>
        <v>33106636.339126408</v>
      </c>
      <c r="AG942" s="868">
        <f t="shared" si="290"/>
        <v>33106636.339126408</v>
      </c>
      <c r="AH942" s="868">
        <f t="shared" si="291"/>
        <v>33106636.339126408</v>
      </c>
      <c r="AI942" s="886">
        <f t="shared" si="292"/>
        <v>33106636.339126408</v>
      </c>
      <c r="AJ942" s="886">
        <f t="shared" si="294"/>
        <v>364172999.73039049</v>
      </c>
      <c r="AK942" s="868">
        <f t="shared" si="293"/>
        <v>629026090.44340181</v>
      </c>
    </row>
    <row r="943" spans="5:39" ht="35.25" customHeight="1" x14ac:dyDescent="0.2">
      <c r="E943" s="884" t="s">
        <v>2307</v>
      </c>
      <c r="F943" s="948"/>
      <c r="G943" s="907" t="s">
        <v>1616</v>
      </c>
      <c r="H943" s="917"/>
      <c r="I943" s="903" t="s">
        <v>3566</v>
      </c>
      <c r="J943" s="878"/>
      <c r="K943" s="903"/>
      <c r="L943" s="908"/>
      <c r="M943" s="878"/>
      <c r="N943" s="908"/>
      <c r="O943" s="907" t="s">
        <v>3549</v>
      </c>
      <c r="P943" s="903">
        <v>2008</v>
      </c>
      <c r="Q943" s="878"/>
      <c r="R943" s="878"/>
      <c r="S943" s="878"/>
      <c r="T943" s="903" t="s">
        <v>12</v>
      </c>
      <c r="U943" s="879">
        <v>254393659.82620782</v>
      </c>
      <c r="V943" s="903" t="s">
        <v>43</v>
      </c>
      <c r="W943" s="931"/>
      <c r="X943" s="971"/>
      <c r="Y943" s="884" t="str">
        <f t="shared" si="295"/>
        <v>04.16.01</v>
      </c>
      <c r="Z943" s="884" t="str">
        <f t="shared" si="283"/>
        <v>Jaringan Air Minum</v>
      </c>
      <c r="AA943" s="884">
        <f t="shared" si="284"/>
        <v>30</v>
      </c>
      <c r="AB943" s="868">
        <f t="shared" si="285"/>
        <v>8479788.6608735938</v>
      </c>
      <c r="AC943" s="885">
        <f t="shared" si="286"/>
        <v>6</v>
      </c>
      <c r="AD943" s="868">
        <f t="shared" si="287"/>
        <v>50878731.965241566</v>
      </c>
      <c r="AE943" s="868">
        <f t="shared" si="288"/>
        <v>8479788.6608735938</v>
      </c>
      <c r="AF943" s="868">
        <f t="shared" si="289"/>
        <v>8479788.6608735938</v>
      </c>
      <c r="AG943" s="868">
        <f t="shared" si="290"/>
        <v>8479788.6608735938</v>
      </c>
      <c r="AH943" s="868">
        <f t="shared" si="291"/>
        <v>8479788.6608735938</v>
      </c>
      <c r="AI943" s="886">
        <f t="shared" si="292"/>
        <v>8479788.6608735938</v>
      </c>
      <c r="AJ943" s="886">
        <f t="shared" si="294"/>
        <v>93277675.269609526</v>
      </c>
      <c r="AK943" s="868">
        <f t="shared" si="293"/>
        <v>161115984.55659831</v>
      </c>
    </row>
    <row r="944" spans="5:39" ht="35.25" customHeight="1" x14ac:dyDescent="0.2">
      <c r="E944" s="884" t="s">
        <v>2307</v>
      </c>
      <c r="F944" s="890"/>
      <c r="G944" s="907" t="s">
        <v>1617</v>
      </c>
      <c r="H944" s="917"/>
      <c r="I944" s="903" t="s">
        <v>3566</v>
      </c>
      <c r="J944" s="878"/>
      <c r="K944" s="903"/>
      <c r="L944" s="908"/>
      <c r="M944" s="878"/>
      <c r="N944" s="908"/>
      <c r="O944" s="907" t="s">
        <v>3549</v>
      </c>
      <c r="P944" s="903">
        <v>2008</v>
      </c>
      <c r="Q944" s="878"/>
      <c r="R944" s="878"/>
      <c r="S944" s="878"/>
      <c r="T944" s="903" t="s">
        <v>12</v>
      </c>
      <c r="U944" s="879">
        <v>240015540</v>
      </c>
      <c r="V944" s="903" t="s">
        <v>43</v>
      </c>
      <c r="W944" s="931"/>
      <c r="X944" s="971"/>
      <c r="Y944" s="884" t="str">
        <f t="shared" si="295"/>
        <v>04.16.01</v>
      </c>
      <c r="Z944" s="884" t="str">
        <f t="shared" si="283"/>
        <v>Jaringan Air Minum</v>
      </c>
      <c r="AA944" s="884">
        <f t="shared" si="284"/>
        <v>30</v>
      </c>
      <c r="AB944" s="868">
        <f t="shared" si="285"/>
        <v>8000518</v>
      </c>
      <c r="AC944" s="885">
        <f t="shared" si="286"/>
        <v>6</v>
      </c>
      <c r="AD944" s="868">
        <f t="shared" si="287"/>
        <v>48003108</v>
      </c>
      <c r="AE944" s="868">
        <f t="shared" si="288"/>
        <v>8000518</v>
      </c>
      <c r="AF944" s="868">
        <f t="shared" si="289"/>
        <v>8000518</v>
      </c>
      <c r="AG944" s="868">
        <f t="shared" si="290"/>
        <v>8000518</v>
      </c>
      <c r="AH944" s="868">
        <f t="shared" si="291"/>
        <v>8000518</v>
      </c>
      <c r="AI944" s="886">
        <f t="shared" si="292"/>
        <v>8000518</v>
      </c>
      <c r="AJ944" s="886">
        <f t="shared" si="294"/>
        <v>88005698</v>
      </c>
      <c r="AK944" s="868">
        <f t="shared" si="293"/>
        <v>152009842</v>
      </c>
    </row>
    <row r="945" spans="5:37" ht="35.25" customHeight="1" x14ac:dyDescent="0.2">
      <c r="E945" s="884" t="s">
        <v>2307</v>
      </c>
      <c r="F945" s="890"/>
      <c r="G945" s="907" t="s">
        <v>1618</v>
      </c>
      <c r="H945" s="917"/>
      <c r="I945" s="903" t="s">
        <v>3566</v>
      </c>
      <c r="J945" s="878"/>
      <c r="K945" s="903"/>
      <c r="L945" s="908"/>
      <c r="M945" s="878"/>
      <c r="N945" s="908"/>
      <c r="O945" s="907" t="s">
        <v>3549</v>
      </c>
      <c r="P945" s="903">
        <v>2008</v>
      </c>
      <c r="Q945" s="878"/>
      <c r="R945" s="878"/>
      <c r="S945" s="878"/>
      <c r="T945" s="903" t="s">
        <v>12</v>
      </c>
      <c r="U945" s="879">
        <v>162000000</v>
      </c>
      <c r="V945" s="903" t="s">
        <v>43</v>
      </c>
      <c r="W945" s="931"/>
      <c r="X945" s="971"/>
      <c r="Y945" s="884" t="str">
        <f t="shared" si="295"/>
        <v>04.16.01</v>
      </c>
      <c r="Z945" s="884" t="str">
        <f t="shared" si="283"/>
        <v>Jaringan Air Minum</v>
      </c>
      <c r="AA945" s="884">
        <f t="shared" si="284"/>
        <v>30</v>
      </c>
      <c r="AB945" s="868">
        <f t="shared" si="285"/>
        <v>5400000</v>
      </c>
      <c r="AC945" s="885">
        <f t="shared" si="286"/>
        <v>6</v>
      </c>
      <c r="AD945" s="868">
        <f t="shared" si="287"/>
        <v>32400000</v>
      </c>
      <c r="AE945" s="868">
        <f t="shared" si="288"/>
        <v>5400000</v>
      </c>
      <c r="AF945" s="868">
        <f t="shared" si="289"/>
        <v>5400000</v>
      </c>
      <c r="AG945" s="868">
        <f t="shared" si="290"/>
        <v>5400000</v>
      </c>
      <c r="AH945" s="868">
        <f t="shared" si="291"/>
        <v>5400000</v>
      </c>
      <c r="AI945" s="886">
        <f t="shared" si="292"/>
        <v>5400000</v>
      </c>
      <c r="AJ945" s="886">
        <f t="shared" si="294"/>
        <v>59400000</v>
      </c>
      <c r="AK945" s="868">
        <f t="shared" si="293"/>
        <v>102600000</v>
      </c>
    </row>
    <row r="946" spans="5:37" ht="35.25" customHeight="1" x14ac:dyDescent="0.2">
      <c r="E946" s="884" t="s">
        <v>2307</v>
      </c>
      <c r="F946" s="890"/>
      <c r="G946" s="907" t="s">
        <v>1619</v>
      </c>
      <c r="H946" s="917"/>
      <c r="I946" s="903" t="s">
        <v>3565</v>
      </c>
      <c r="J946" s="878"/>
      <c r="K946" s="903"/>
      <c r="L946" s="908"/>
      <c r="M946" s="878"/>
      <c r="N946" s="908"/>
      <c r="O946" s="907" t="s">
        <v>1081</v>
      </c>
      <c r="P946" s="903">
        <v>2008</v>
      </c>
      <c r="Q946" s="878"/>
      <c r="R946" s="878"/>
      <c r="S946" s="878"/>
      <c r="T946" s="903" t="s">
        <v>12</v>
      </c>
      <c r="U946" s="879">
        <v>133560660.74659312</v>
      </c>
      <c r="V946" s="903" t="s">
        <v>43</v>
      </c>
      <c r="W946" s="931"/>
      <c r="X946" s="971"/>
      <c r="Y946" s="884" t="str">
        <f t="shared" si="295"/>
        <v>04.16.01</v>
      </c>
      <c r="Z946" s="884" t="str">
        <f t="shared" si="283"/>
        <v>Jaringan Air Minum</v>
      </c>
      <c r="AA946" s="884">
        <f t="shared" si="284"/>
        <v>30</v>
      </c>
      <c r="AB946" s="868">
        <f t="shared" si="285"/>
        <v>4452022.0248864377</v>
      </c>
      <c r="AC946" s="885">
        <f t="shared" si="286"/>
        <v>6</v>
      </c>
      <c r="AD946" s="868">
        <f t="shared" si="287"/>
        <v>26712132.149318628</v>
      </c>
      <c r="AE946" s="868">
        <f t="shared" si="288"/>
        <v>4452022.0248864377</v>
      </c>
      <c r="AF946" s="868">
        <f t="shared" si="289"/>
        <v>4452022.0248864377</v>
      </c>
      <c r="AG946" s="868">
        <f t="shared" si="290"/>
        <v>4452022.0248864377</v>
      </c>
      <c r="AH946" s="868">
        <f t="shared" si="291"/>
        <v>4452022.0248864377</v>
      </c>
      <c r="AI946" s="886">
        <f t="shared" si="292"/>
        <v>4452022.0248864377</v>
      </c>
      <c r="AJ946" s="886">
        <f t="shared" si="294"/>
        <v>48972242.273750812</v>
      </c>
      <c r="AK946" s="868">
        <f t="shared" si="293"/>
        <v>84588418.472842306</v>
      </c>
    </row>
    <row r="947" spans="5:37" ht="35.25" customHeight="1" x14ac:dyDescent="0.2">
      <c r="E947" s="884" t="s">
        <v>2307</v>
      </c>
      <c r="F947" s="890"/>
      <c r="G947" s="907" t="s">
        <v>1620</v>
      </c>
      <c r="H947" s="917"/>
      <c r="I947" s="903" t="s">
        <v>3565</v>
      </c>
      <c r="J947" s="878"/>
      <c r="K947" s="903"/>
      <c r="L947" s="908"/>
      <c r="M947" s="878"/>
      <c r="N947" s="908"/>
      <c r="O947" s="907" t="s">
        <v>2856</v>
      </c>
      <c r="P947" s="903">
        <v>2008</v>
      </c>
      <c r="Q947" s="878"/>
      <c r="R947" s="878"/>
      <c r="S947" s="878"/>
      <c r="T947" s="903" t="s">
        <v>12</v>
      </c>
      <c r="U947" s="879">
        <v>133367239.25340688</v>
      </c>
      <c r="V947" s="903" t="s">
        <v>43</v>
      </c>
      <c r="W947" s="931"/>
      <c r="X947" s="971"/>
      <c r="Y947" s="884" t="str">
        <f t="shared" si="295"/>
        <v>04.16.01</v>
      </c>
      <c r="Z947" s="884" t="str">
        <f t="shared" si="283"/>
        <v>Jaringan Air Minum</v>
      </c>
      <c r="AA947" s="884">
        <f t="shared" si="284"/>
        <v>30</v>
      </c>
      <c r="AB947" s="868">
        <f t="shared" si="285"/>
        <v>4445574.6417802293</v>
      </c>
      <c r="AC947" s="885">
        <f t="shared" si="286"/>
        <v>6</v>
      </c>
      <c r="AD947" s="868">
        <f t="shared" si="287"/>
        <v>26673447.850681376</v>
      </c>
      <c r="AE947" s="868">
        <f t="shared" si="288"/>
        <v>4445574.6417802293</v>
      </c>
      <c r="AF947" s="868">
        <f t="shared" si="289"/>
        <v>4445574.6417802293</v>
      </c>
      <c r="AG947" s="868">
        <f t="shared" si="290"/>
        <v>4445574.6417802293</v>
      </c>
      <c r="AH947" s="868">
        <f t="shared" si="291"/>
        <v>4445574.6417802293</v>
      </c>
      <c r="AI947" s="886">
        <f t="shared" si="292"/>
        <v>4445574.6417802293</v>
      </c>
      <c r="AJ947" s="886">
        <f t="shared" si="294"/>
        <v>48901321.059582517</v>
      </c>
      <c r="AK947" s="868">
        <f t="shared" si="293"/>
        <v>84465918.193824366</v>
      </c>
    </row>
    <row r="948" spans="5:37" ht="35.25" customHeight="1" x14ac:dyDescent="0.2">
      <c r="E948" s="884" t="s">
        <v>2307</v>
      </c>
      <c r="F948" s="890"/>
      <c r="G948" s="907" t="s">
        <v>1621</v>
      </c>
      <c r="H948" s="917"/>
      <c r="I948" s="903" t="s">
        <v>3565</v>
      </c>
      <c r="J948" s="878"/>
      <c r="K948" s="903"/>
      <c r="L948" s="908"/>
      <c r="M948" s="878"/>
      <c r="N948" s="908"/>
      <c r="O948" s="907" t="s">
        <v>1095</v>
      </c>
      <c r="P948" s="903">
        <v>2008</v>
      </c>
      <c r="Q948" s="878"/>
      <c r="R948" s="878"/>
      <c r="S948" s="878"/>
      <c r="T948" s="903" t="s">
        <v>12</v>
      </c>
      <c r="U948" s="879">
        <v>266240349.76335436</v>
      </c>
      <c r="V948" s="903" t="s">
        <v>43</v>
      </c>
      <c r="W948" s="931"/>
      <c r="X948" s="971"/>
      <c r="Y948" s="884" t="str">
        <f t="shared" si="295"/>
        <v>04.16.01</v>
      </c>
      <c r="Z948" s="884" t="str">
        <f t="shared" si="283"/>
        <v>Jaringan Air Minum</v>
      </c>
      <c r="AA948" s="884">
        <f t="shared" si="284"/>
        <v>30</v>
      </c>
      <c r="AB948" s="868">
        <f t="shared" si="285"/>
        <v>8874678.3254451454</v>
      </c>
      <c r="AC948" s="885">
        <f t="shared" si="286"/>
        <v>6</v>
      </c>
      <c r="AD948" s="868">
        <f t="shared" si="287"/>
        <v>53248069.952670872</v>
      </c>
      <c r="AE948" s="868">
        <f t="shared" si="288"/>
        <v>8874678.3254451454</v>
      </c>
      <c r="AF948" s="868">
        <f t="shared" si="289"/>
        <v>8874678.3254451454</v>
      </c>
      <c r="AG948" s="868">
        <f t="shared" si="290"/>
        <v>8874678.3254451454</v>
      </c>
      <c r="AH948" s="868">
        <f t="shared" si="291"/>
        <v>8874678.3254451454</v>
      </c>
      <c r="AI948" s="886">
        <f t="shared" si="292"/>
        <v>8874678.3254451454</v>
      </c>
      <c r="AJ948" s="886">
        <f t="shared" si="294"/>
        <v>97621461.579896599</v>
      </c>
      <c r="AK948" s="868">
        <f t="shared" si="293"/>
        <v>168618888.18345776</v>
      </c>
    </row>
    <row r="949" spans="5:37" ht="35.25" customHeight="1" x14ac:dyDescent="0.2">
      <c r="E949" s="884" t="s">
        <v>2307</v>
      </c>
      <c r="F949" s="949"/>
      <c r="G949" s="907" t="s">
        <v>1622</v>
      </c>
      <c r="H949" s="917"/>
      <c r="I949" s="903" t="s">
        <v>3565</v>
      </c>
      <c r="J949" s="878"/>
      <c r="K949" s="903"/>
      <c r="L949" s="908"/>
      <c r="M949" s="878"/>
      <c r="N949" s="908"/>
      <c r="O949" s="907" t="s">
        <v>1081</v>
      </c>
      <c r="P949" s="903">
        <v>2008</v>
      </c>
      <c r="Q949" s="878"/>
      <c r="R949" s="878"/>
      <c r="S949" s="878"/>
      <c r="T949" s="903" t="s">
        <v>12</v>
      </c>
      <c r="U949" s="879">
        <v>391678610.4209711</v>
      </c>
      <c r="V949" s="903" t="s">
        <v>43</v>
      </c>
      <c r="W949" s="931"/>
      <c r="X949" s="971"/>
      <c r="Y949" s="884" t="str">
        <f t="shared" si="295"/>
        <v>04.16.01</v>
      </c>
      <c r="Z949" s="884" t="str">
        <f t="shared" si="283"/>
        <v>Jaringan Air Minum</v>
      </c>
      <c r="AA949" s="884">
        <f t="shared" si="284"/>
        <v>30</v>
      </c>
      <c r="AB949" s="868">
        <f t="shared" si="285"/>
        <v>13055953.680699037</v>
      </c>
      <c r="AC949" s="885">
        <f t="shared" si="286"/>
        <v>6</v>
      </c>
      <c r="AD949" s="868">
        <f t="shared" si="287"/>
        <v>78335722.084194228</v>
      </c>
      <c r="AE949" s="868">
        <f t="shared" si="288"/>
        <v>13055953.680699037</v>
      </c>
      <c r="AF949" s="868">
        <f t="shared" si="289"/>
        <v>13055953.680699037</v>
      </c>
      <c r="AG949" s="868">
        <f t="shared" si="290"/>
        <v>13055953.680699037</v>
      </c>
      <c r="AH949" s="868">
        <f t="shared" si="291"/>
        <v>13055953.680699037</v>
      </c>
      <c r="AI949" s="886">
        <f t="shared" si="292"/>
        <v>13055953.680699037</v>
      </c>
      <c r="AJ949" s="886">
        <f t="shared" si="294"/>
        <v>143615490.48768941</v>
      </c>
      <c r="AK949" s="868">
        <f t="shared" si="293"/>
        <v>248063119.93328169</v>
      </c>
    </row>
    <row r="950" spans="5:37" ht="35.25" customHeight="1" x14ac:dyDescent="0.2">
      <c r="E950" s="884" t="s">
        <v>2307</v>
      </c>
      <c r="F950" s="948"/>
      <c r="G950" s="907" t="s">
        <v>1623</v>
      </c>
      <c r="H950" s="917"/>
      <c r="I950" s="903" t="s">
        <v>3565</v>
      </c>
      <c r="J950" s="878"/>
      <c r="K950" s="903"/>
      <c r="L950" s="908"/>
      <c r="M950" s="878"/>
      <c r="N950" s="908"/>
      <c r="O950" s="907" t="s">
        <v>1082</v>
      </c>
      <c r="P950" s="903">
        <v>2008</v>
      </c>
      <c r="Q950" s="878"/>
      <c r="R950" s="878"/>
      <c r="S950" s="878"/>
      <c r="T950" s="903" t="s">
        <v>12</v>
      </c>
      <c r="U950" s="879">
        <v>78630016.685688838</v>
      </c>
      <c r="V950" s="903" t="s">
        <v>43</v>
      </c>
      <c r="W950" s="931"/>
      <c r="X950" s="971"/>
      <c r="Y950" s="884" t="str">
        <f t="shared" si="295"/>
        <v>04.16.01</v>
      </c>
      <c r="Z950" s="884" t="str">
        <f t="shared" si="283"/>
        <v>Jaringan Air Minum</v>
      </c>
      <c r="AA950" s="884">
        <f t="shared" si="284"/>
        <v>30</v>
      </c>
      <c r="AB950" s="868">
        <f t="shared" si="285"/>
        <v>2621000.5561896279</v>
      </c>
      <c r="AC950" s="885">
        <f t="shared" si="286"/>
        <v>6</v>
      </c>
      <c r="AD950" s="868">
        <f t="shared" si="287"/>
        <v>15726003.337137766</v>
      </c>
      <c r="AE950" s="868">
        <f t="shared" si="288"/>
        <v>2621000.5561896279</v>
      </c>
      <c r="AF950" s="868">
        <f t="shared" si="289"/>
        <v>2621000.5561896279</v>
      </c>
      <c r="AG950" s="868">
        <f t="shared" si="290"/>
        <v>2621000.5561896279</v>
      </c>
      <c r="AH950" s="868">
        <f t="shared" si="291"/>
        <v>2621000.5561896279</v>
      </c>
      <c r="AI950" s="886">
        <f t="shared" si="292"/>
        <v>2621000.5561896279</v>
      </c>
      <c r="AJ950" s="886">
        <f t="shared" si="294"/>
        <v>28831006.118085898</v>
      </c>
      <c r="AK950" s="868">
        <f t="shared" si="293"/>
        <v>49799010.56760294</v>
      </c>
    </row>
    <row r="951" spans="5:37" ht="35.25" customHeight="1" x14ac:dyDescent="0.2">
      <c r="E951" s="884" t="s">
        <v>2307</v>
      </c>
      <c r="F951" s="947"/>
      <c r="G951" s="907" t="s">
        <v>1624</v>
      </c>
      <c r="H951" s="917"/>
      <c r="I951" s="903" t="s">
        <v>3565</v>
      </c>
      <c r="J951" s="878"/>
      <c r="K951" s="903"/>
      <c r="L951" s="908"/>
      <c r="M951" s="878"/>
      <c r="N951" s="908"/>
      <c r="O951" s="907" t="s">
        <v>3550</v>
      </c>
      <c r="P951" s="903">
        <v>2008</v>
      </c>
      <c r="Q951" s="878"/>
      <c r="R951" s="878"/>
      <c r="S951" s="878"/>
      <c r="T951" s="903" t="s">
        <v>12</v>
      </c>
      <c r="U951" s="879">
        <v>162801023.12998566</v>
      </c>
      <c r="V951" s="903" t="s">
        <v>43</v>
      </c>
      <c r="W951" s="931"/>
      <c r="X951" s="971"/>
      <c r="Y951" s="884" t="str">
        <f t="shared" si="295"/>
        <v>04.16.01</v>
      </c>
      <c r="Z951" s="884" t="str">
        <f t="shared" si="283"/>
        <v>Jaringan Air Minum</v>
      </c>
      <c r="AA951" s="884">
        <f t="shared" si="284"/>
        <v>30</v>
      </c>
      <c r="AB951" s="868">
        <f t="shared" si="285"/>
        <v>5426700.7709995219</v>
      </c>
      <c r="AC951" s="885">
        <f t="shared" si="286"/>
        <v>6</v>
      </c>
      <c r="AD951" s="868">
        <f t="shared" si="287"/>
        <v>32560204.625997134</v>
      </c>
      <c r="AE951" s="868">
        <f t="shared" si="288"/>
        <v>5426700.7709995219</v>
      </c>
      <c r="AF951" s="868">
        <f t="shared" si="289"/>
        <v>5426700.7709995219</v>
      </c>
      <c r="AG951" s="868">
        <f t="shared" si="290"/>
        <v>5426700.7709995219</v>
      </c>
      <c r="AH951" s="868">
        <f t="shared" si="291"/>
        <v>5426700.7709995219</v>
      </c>
      <c r="AI951" s="886">
        <f t="shared" si="292"/>
        <v>5426700.7709995219</v>
      </c>
      <c r="AJ951" s="886">
        <f t="shared" si="294"/>
        <v>59693708.480994739</v>
      </c>
      <c r="AK951" s="868">
        <f t="shared" si="293"/>
        <v>103107314.64899093</v>
      </c>
    </row>
    <row r="952" spans="5:37" ht="35.25" customHeight="1" x14ac:dyDescent="0.2">
      <c r="E952" s="884" t="s">
        <v>2307</v>
      </c>
      <c r="F952" s="947"/>
      <c r="G952" s="907" t="s">
        <v>1607</v>
      </c>
      <c r="H952" s="917"/>
      <c r="I952" s="903" t="s">
        <v>3565</v>
      </c>
      <c r="J952" s="878"/>
      <c r="K952" s="903"/>
      <c r="L952" s="908"/>
      <c r="M952" s="878"/>
      <c r="N952" s="908"/>
      <c r="O952" s="907" t="s">
        <v>52</v>
      </c>
      <c r="P952" s="903">
        <v>2008</v>
      </c>
      <c r="Q952" s="878"/>
      <c r="R952" s="878"/>
      <c r="S952" s="878"/>
      <c r="T952" s="903" t="s">
        <v>12</v>
      </c>
      <c r="U952" s="879">
        <v>1346900000</v>
      </c>
      <c r="V952" s="903"/>
      <c r="W952" s="931"/>
      <c r="X952" s="971"/>
      <c r="Y952" s="884" t="str">
        <f t="shared" si="295"/>
        <v>04.16.01</v>
      </c>
      <c r="Z952" s="884" t="str">
        <f t="shared" si="283"/>
        <v>Jaringan Air Minum</v>
      </c>
      <c r="AA952" s="884">
        <f t="shared" si="284"/>
        <v>30</v>
      </c>
      <c r="AB952" s="868">
        <f t="shared" si="285"/>
        <v>44896666.666666664</v>
      </c>
      <c r="AC952" s="885">
        <f t="shared" si="286"/>
        <v>6</v>
      </c>
      <c r="AD952" s="868">
        <f t="shared" si="287"/>
        <v>269380000</v>
      </c>
      <c r="AE952" s="868">
        <f t="shared" si="288"/>
        <v>44896666.666666664</v>
      </c>
      <c r="AF952" s="868">
        <f t="shared" si="289"/>
        <v>44896666.666666664</v>
      </c>
      <c r="AG952" s="868">
        <f t="shared" si="290"/>
        <v>44896666.666666664</v>
      </c>
      <c r="AH952" s="868">
        <f t="shared" si="291"/>
        <v>44896666.666666664</v>
      </c>
      <c r="AI952" s="886">
        <f t="shared" si="292"/>
        <v>44896666.666666664</v>
      </c>
      <c r="AJ952" s="886">
        <f t="shared" si="294"/>
        <v>493863333.33333343</v>
      </c>
      <c r="AK952" s="868">
        <f t="shared" si="293"/>
        <v>853036666.66666651</v>
      </c>
    </row>
    <row r="953" spans="5:37" ht="35.25" customHeight="1" x14ac:dyDescent="0.2">
      <c r="E953" s="884" t="s">
        <v>2307</v>
      </c>
      <c r="F953" s="947"/>
      <c r="G953" s="907" t="s">
        <v>1625</v>
      </c>
      <c r="H953" s="917"/>
      <c r="I953" s="903" t="s">
        <v>3565</v>
      </c>
      <c r="J953" s="878"/>
      <c r="K953" s="903"/>
      <c r="L953" s="908"/>
      <c r="M953" s="878"/>
      <c r="N953" s="908"/>
      <c r="O953" s="907" t="s">
        <v>2942</v>
      </c>
      <c r="P953" s="903">
        <v>2008</v>
      </c>
      <c r="Q953" s="878"/>
      <c r="R953" s="878"/>
      <c r="S953" s="878"/>
      <c r="T953" s="903" t="s">
        <v>12</v>
      </c>
      <c r="U953" s="879">
        <v>103501800</v>
      </c>
      <c r="V953" s="903" t="s">
        <v>43</v>
      </c>
      <c r="W953" s="931"/>
      <c r="X953" s="971"/>
      <c r="Y953" s="884" t="str">
        <f t="shared" si="295"/>
        <v>04.16.01</v>
      </c>
      <c r="Z953" s="884" t="str">
        <f t="shared" si="283"/>
        <v>Jaringan Air Minum</v>
      </c>
      <c r="AA953" s="884">
        <f t="shared" si="284"/>
        <v>30</v>
      </c>
      <c r="AB953" s="868">
        <f t="shared" si="285"/>
        <v>3450060</v>
      </c>
      <c r="AC953" s="885">
        <f t="shared" si="286"/>
        <v>6</v>
      </c>
      <c r="AD953" s="868">
        <f t="shared" si="287"/>
        <v>20700360</v>
      </c>
      <c r="AE953" s="868">
        <f t="shared" si="288"/>
        <v>3450060</v>
      </c>
      <c r="AF953" s="868">
        <f t="shared" si="289"/>
        <v>3450060</v>
      </c>
      <c r="AG953" s="868">
        <f t="shared" si="290"/>
        <v>3450060</v>
      </c>
      <c r="AH953" s="868">
        <f t="shared" si="291"/>
        <v>3450060</v>
      </c>
      <c r="AI953" s="886">
        <f t="shared" si="292"/>
        <v>3450060</v>
      </c>
      <c r="AJ953" s="886">
        <f t="shared" si="294"/>
        <v>37950660</v>
      </c>
      <c r="AK953" s="868">
        <f t="shared" si="293"/>
        <v>65551140</v>
      </c>
    </row>
    <row r="954" spans="5:37" ht="35.25" customHeight="1" x14ac:dyDescent="0.2">
      <c r="E954" s="884" t="s">
        <v>2307</v>
      </c>
      <c r="F954" s="947"/>
      <c r="G954" s="907" t="s">
        <v>1626</v>
      </c>
      <c r="H954" s="917"/>
      <c r="I954" s="903" t="s">
        <v>3565</v>
      </c>
      <c r="J954" s="878"/>
      <c r="K954" s="903"/>
      <c r="L954" s="908"/>
      <c r="M954" s="878"/>
      <c r="N954" s="908"/>
      <c r="O954" s="907" t="s">
        <v>2883</v>
      </c>
      <c r="P954" s="903">
        <v>2008</v>
      </c>
      <c r="Q954" s="878"/>
      <c r="R954" s="878"/>
      <c r="S954" s="878"/>
      <c r="T954" s="903" t="s">
        <v>12</v>
      </c>
      <c r="U954" s="879">
        <v>126169200</v>
      </c>
      <c r="V954" s="903" t="s">
        <v>43</v>
      </c>
      <c r="W954" s="931"/>
      <c r="X954" s="971"/>
      <c r="Y954" s="884" t="str">
        <f t="shared" si="295"/>
        <v>04.16.01</v>
      </c>
      <c r="Z954" s="884" t="str">
        <f t="shared" si="283"/>
        <v>Jaringan Air Minum</v>
      </c>
      <c r="AA954" s="884">
        <f t="shared" si="284"/>
        <v>30</v>
      </c>
      <c r="AB954" s="868">
        <f t="shared" si="285"/>
        <v>4205640</v>
      </c>
      <c r="AC954" s="885">
        <f t="shared" si="286"/>
        <v>6</v>
      </c>
      <c r="AD954" s="868">
        <f t="shared" si="287"/>
        <v>25233840</v>
      </c>
      <c r="AE954" s="868">
        <f t="shared" si="288"/>
        <v>4205640</v>
      </c>
      <c r="AF954" s="868">
        <f t="shared" si="289"/>
        <v>4205640</v>
      </c>
      <c r="AG954" s="868">
        <f t="shared" si="290"/>
        <v>4205640</v>
      </c>
      <c r="AH954" s="868">
        <f t="shared" si="291"/>
        <v>4205640</v>
      </c>
      <c r="AI954" s="886">
        <f t="shared" si="292"/>
        <v>4205640</v>
      </c>
      <c r="AJ954" s="886">
        <f t="shared" si="294"/>
        <v>46262040</v>
      </c>
      <c r="AK954" s="868">
        <f t="shared" si="293"/>
        <v>79907160</v>
      </c>
    </row>
    <row r="955" spans="5:37" ht="35.25" customHeight="1" x14ac:dyDescent="0.2">
      <c r="E955" s="884" t="s">
        <v>2307</v>
      </c>
      <c r="F955" s="947"/>
      <c r="G955" s="907" t="s">
        <v>1627</v>
      </c>
      <c r="H955" s="917"/>
      <c r="I955" s="903" t="s">
        <v>3565</v>
      </c>
      <c r="J955" s="878"/>
      <c r="K955" s="903"/>
      <c r="L955" s="908"/>
      <c r="M955" s="878"/>
      <c r="N955" s="908"/>
      <c r="O955" s="907" t="s">
        <v>1082</v>
      </c>
      <c r="P955" s="903">
        <v>2008</v>
      </c>
      <c r="Q955" s="878"/>
      <c r="R955" s="878"/>
      <c r="S955" s="878"/>
      <c r="T955" s="903" t="s">
        <v>12</v>
      </c>
      <c r="U955" s="879">
        <v>166466700</v>
      </c>
      <c r="V955" s="903" t="s">
        <v>43</v>
      </c>
      <c r="W955" s="931"/>
      <c r="X955" s="971"/>
      <c r="Y955" s="884" t="str">
        <f t="shared" si="295"/>
        <v>04.16.01</v>
      </c>
      <c r="Z955" s="884" t="str">
        <f t="shared" si="283"/>
        <v>Jaringan Air Minum</v>
      </c>
      <c r="AA955" s="884">
        <f t="shared" si="284"/>
        <v>30</v>
      </c>
      <c r="AB955" s="868">
        <f t="shared" si="285"/>
        <v>5548890</v>
      </c>
      <c r="AC955" s="885">
        <f t="shared" si="286"/>
        <v>6</v>
      </c>
      <c r="AD955" s="868">
        <f t="shared" si="287"/>
        <v>33293340</v>
      </c>
      <c r="AE955" s="868">
        <f t="shared" si="288"/>
        <v>5548890</v>
      </c>
      <c r="AF955" s="868">
        <f t="shared" si="289"/>
        <v>5548890</v>
      </c>
      <c r="AG955" s="868">
        <f t="shared" si="290"/>
        <v>5548890</v>
      </c>
      <c r="AH955" s="868">
        <f t="shared" si="291"/>
        <v>5548890</v>
      </c>
      <c r="AI955" s="886">
        <f t="shared" si="292"/>
        <v>5548890</v>
      </c>
      <c r="AJ955" s="886">
        <f t="shared" si="294"/>
        <v>61037790</v>
      </c>
      <c r="AK955" s="868">
        <f t="shared" si="293"/>
        <v>105428910</v>
      </c>
    </row>
    <row r="956" spans="5:37" ht="35.25" customHeight="1" x14ac:dyDescent="0.2">
      <c r="E956" s="884" t="s">
        <v>2307</v>
      </c>
      <c r="F956" s="947"/>
      <c r="G956" s="907" t="s">
        <v>1628</v>
      </c>
      <c r="H956" s="917"/>
      <c r="I956" s="903" t="s">
        <v>3565</v>
      </c>
      <c r="J956" s="878"/>
      <c r="K956" s="903"/>
      <c r="L956" s="908"/>
      <c r="M956" s="878"/>
      <c r="N956" s="908"/>
      <c r="O956" s="907" t="s">
        <v>2883</v>
      </c>
      <c r="P956" s="903">
        <v>2008</v>
      </c>
      <c r="Q956" s="878"/>
      <c r="R956" s="878"/>
      <c r="S956" s="878"/>
      <c r="T956" s="903" t="s">
        <v>12</v>
      </c>
      <c r="U956" s="879">
        <v>103188000</v>
      </c>
      <c r="V956" s="903" t="s">
        <v>43</v>
      </c>
      <c r="W956" s="931"/>
      <c r="X956" s="971"/>
      <c r="Y956" s="884" t="str">
        <f t="shared" si="295"/>
        <v>04.16.01</v>
      </c>
      <c r="Z956" s="884" t="str">
        <f t="shared" si="283"/>
        <v>Jaringan Air Minum</v>
      </c>
      <c r="AA956" s="884">
        <f t="shared" si="284"/>
        <v>30</v>
      </c>
      <c r="AB956" s="868">
        <f t="shared" si="285"/>
        <v>3439600</v>
      </c>
      <c r="AC956" s="885">
        <f t="shared" si="286"/>
        <v>6</v>
      </c>
      <c r="AD956" s="868">
        <f t="shared" si="287"/>
        <v>20637600</v>
      </c>
      <c r="AE956" s="868">
        <f t="shared" si="288"/>
        <v>3439600</v>
      </c>
      <c r="AF956" s="868">
        <f t="shared" si="289"/>
        <v>3439600</v>
      </c>
      <c r="AG956" s="868">
        <f t="shared" si="290"/>
        <v>3439600</v>
      </c>
      <c r="AH956" s="868">
        <f t="shared" si="291"/>
        <v>3439600</v>
      </c>
      <c r="AI956" s="886">
        <f t="shared" si="292"/>
        <v>3439600</v>
      </c>
      <c r="AJ956" s="886">
        <f t="shared" si="294"/>
        <v>37835600</v>
      </c>
      <c r="AK956" s="868">
        <f t="shared" si="293"/>
        <v>65352400</v>
      </c>
    </row>
    <row r="957" spans="5:37" ht="35.25" customHeight="1" x14ac:dyDescent="0.2">
      <c r="E957" s="884" t="s">
        <v>2307</v>
      </c>
      <c r="F957" s="947"/>
      <c r="G957" s="907" t="s">
        <v>1629</v>
      </c>
      <c r="H957" s="917"/>
      <c r="I957" s="903" t="s">
        <v>3565</v>
      </c>
      <c r="J957" s="878"/>
      <c r="K957" s="903"/>
      <c r="L957" s="908"/>
      <c r="M957" s="878"/>
      <c r="N957" s="908"/>
      <c r="O957" s="907" t="s">
        <v>3551</v>
      </c>
      <c r="P957" s="903">
        <v>2008</v>
      </c>
      <c r="Q957" s="878"/>
      <c r="R957" s="878"/>
      <c r="S957" s="878"/>
      <c r="T957" s="903" t="s">
        <v>12</v>
      </c>
      <c r="U957" s="879">
        <v>170169300</v>
      </c>
      <c r="V957" s="903" t="s">
        <v>43</v>
      </c>
      <c r="W957" s="931"/>
      <c r="X957" s="971"/>
      <c r="Y957" s="884" t="str">
        <f t="shared" si="295"/>
        <v>04.16.01</v>
      </c>
      <c r="Z957" s="884" t="str">
        <f t="shared" si="283"/>
        <v>Jaringan Air Minum</v>
      </c>
      <c r="AA957" s="884">
        <f t="shared" si="284"/>
        <v>30</v>
      </c>
      <c r="AB957" s="868">
        <f t="shared" si="285"/>
        <v>5672310</v>
      </c>
      <c r="AC957" s="885">
        <f t="shared" si="286"/>
        <v>6</v>
      </c>
      <c r="AD957" s="868">
        <f t="shared" si="287"/>
        <v>34033860</v>
      </c>
      <c r="AE957" s="868">
        <f t="shared" si="288"/>
        <v>5672310</v>
      </c>
      <c r="AF957" s="868">
        <f t="shared" si="289"/>
        <v>5672310</v>
      </c>
      <c r="AG957" s="868">
        <f t="shared" si="290"/>
        <v>5672310</v>
      </c>
      <c r="AH957" s="868">
        <f t="shared" si="291"/>
        <v>5672310</v>
      </c>
      <c r="AI957" s="886">
        <f t="shared" si="292"/>
        <v>5672310</v>
      </c>
      <c r="AJ957" s="886">
        <f t="shared" si="294"/>
        <v>62395410</v>
      </c>
      <c r="AK957" s="868">
        <f t="shared" si="293"/>
        <v>107773890</v>
      </c>
    </row>
    <row r="958" spans="5:37" ht="35.25" customHeight="1" x14ac:dyDescent="0.2">
      <c r="E958" s="884" t="s">
        <v>2307</v>
      </c>
      <c r="F958" s="947"/>
      <c r="G958" s="907" t="s">
        <v>1630</v>
      </c>
      <c r="H958" s="917"/>
      <c r="I958" s="903" t="s">
        <v>3565</v>
      </c>
      <c r="J958" s="878"/>
      <c r="K958" s="903"/>
      <c r="L958" s="908"/>
      <c r="M958" s="878"/>
      <c r="N958" s="908"/>
      <c r="O958" s="907" t="s">
        <v>2856</v>
      </c>
      <c r="P958" s="903">
        <v>2008</v>
      </c>
      <c r="Q958" s="878"/>
      <c r="R958" s="878"/>
      <c r="S958" s="878"/>
      <c r="T958" s="903" t="s">
        <v>12</v>
      </c>
      <c r="U958" s="879">
        <v>88200000</v>
      </c>
      <c r="V958" s="903" t="s">
        <v>43</v>
      </c>
      <c r="W958" s="931"/>
      <c r="X958" s="971"/>
      <c r="Y958" s="884" t="str">
        <f t="shared" si="295"/>
        <v>04.16.01</v>
      </c>
      <c r="Z958" s="884" t="str">
        <f t="shared" si="283"/>
        <v>Jaringan Air Minum</v>
      </c>
      <c r="AA958" s="884">
        <f t="shared" si="284"/>
        <v>30</v>
      </c>
      <c r="AB958" s="868">
        <f t="shared" si="285"/>
        <v>2940000</v>
      </c>
      <c r="AC958" s="885">
        <f t="shared" si="286"/>
        <v>6</v>
      </c>
      <c r="AD958" s="868">
        <f t="shared" si="287"/>
        <v>17640000</v>
      </c>
      <c r="AE958" s="868">
        <f t="shared" si="288"/>
        <v>2940000</v>
      </c>
      <c r="AF958" s="868">
        <f t="shared" si="289"/>
        <v>2940000</v>
      </c>
      <c r="AG958" s="868">
        <f t="shared" si="290"/>
        <v>2940000</v>
      </c>
      <c r="AH958" s="868">
        <f t="shared" si="291"/>
        <v>2940000</v>
      </c>
      <c r="AI958" s="886">
        <f t="shared" si="292"/>
        <v>2940000</v>
      </c>
      <c r="AJ958" s="886">
        <f t="shared" si="294"/>
        <v>32340000</v>
      </c>
      <c r="AK958" s="868">
        <f t="shared" si="293"/>
        <v>55860000</v>
      </c>
    </row>
    <row r="959" spans="5:37" ht="35.25" customHeight="1" x14ac:dyDescent="0.2">
      <c r="E959" s="884" t="s">
        <v>2307</v>
      </c>
      <c r="F959" s="947"/>
      <c r="G959" s="907" t="s">
        <v>1631</v>
      </c>
      <c r="H959" s="917"/>
      <c r="I959" s="903" t="s">
        <v>3565</v>
      </c>
      <c r="J959" s="878"/>
      <c r="K959" s="903"/>
      <c r="L959" s="908"/>
      <c r="M959" s="878"/>
      <c r="N959" s="908"/>
      <c r="O959" s="907" t="s">
        <v>1095</v>
      </c>
      <c r="P959" s="903">
        <v>2008</v>
      </c>
      <c r="Q959" s="878"/>
      <c r="R959" s="878"/>
      <c r="S959" s="878"/>
      <c r="T959" s="903" t="s">
        <v>12</v>
      </c>
      <c r="U959" s="879">
        <v>103501800</v>
      </c>
      <c r="V959" s="903" t="s">
        <v>43</v>
      </c>
      <c r="W959" s="931"/>
      <c r="X959" s="971"/>
      <c r="Y959" s="884" t="str">
        <f t="shared" si="295"/>
        <v>04.16.01</v>
      </c>
      <c r="Z959" s="884" t="str">
        <f t="shared" si="283"/>
        <v>Jaringan Air Minum</v>
      </c>
      <c r="AA959" s="884">
        <f t="shared" si="284"/>
        <v>30</v>
      </c>
      <c r="AB959" s="868">
        <f t="shared" si="285"/>
        <v>3450060</v>
      </c>
      <c r="AC959" s="885">
        <f t="shared" si="286"/>
        <v>6</v>
      </c>
      <c r="AD959" s="868">
        <f t="shared" si="287"/>
        <v>20700360</v>
      </c>
      <c r="AE959" s="868">
        <f t="shared" si="288"/>
        <v>3450060</v>
      </c>
      <c r="AF959" s="868">
        <f t="shared" si="289"/>
        <v>3450060</v>
      </c>
      <c r="AG959" s="868">
        <f t="shared" si="290"/>
        <v>3450060</v>
      </c>
      <c r="AH959" s="868">
        <f t="shared" si="291"/>
        <v>3450060</v>
      </c>
      <c r="AI959" s="886">
        <f t="shared" si="292"/>
        <v>3450060</v>
      </c>
      <c r="AJ959" s="886">
        <f t="shared" si="294"/>
        <v>37950660</v>
      </c>
      <c r="AK959" s="868">
        <f t="shared" si="293"/>
        <v>65551140</v>
      </c>
    </row>
    <row r="960" spans="5:37" ht="35.25" customHeight="1" x14ac:dyDescent="0.2">
      <c r="E960" s="884" t="s">
        <v>2307</v>
      </c>
      <c r="F960" s="947"/>
      <c r="G960" s="907" t="s">
        <v>1632</v>
      </c>
      <c r="H960" s="917"/>
      <c r="I960" s="903" t="s">
        <v>3565</v>
      </c>
      <c r="J960" s="878"/>
      <c r="K960" s="903"/>
      <c r="L960" s="908"/>
      <c r="M960" s="878"/>
      <c r="N960" s="908"/>
      <c r="O960" s="907" t="s">
        <v>3551</v>
      </c>
      <c r="P960" s="903">
        <v>2008</v>
      </c>
      <c r="Q960" s="878"/>
      <c r="R960" s="878"/>
      <c r="S960" s="878"/>
      <c r="T960" s="903" t="s">
        <v>12</v>
      </c>
      <c r="U960" s="879">
        <v>100798200</v>
      </c>
      <c r="V960" s="903" t="s">
        <v>43</v>
      </c>
      <c r="W960" s="931"/>
      <c r="X960" s="971"/>
      <c r="Y960" s="884" t="str">
        <f t="shared" si="295"/>
        <v>04.16.01</v>
      </c>
      <c r="Z960" s="884" t="str">
        <f t="shared" si="283"/>
        <v>Jaringan Air Minum</v>
      </c>
      <c r="AA960" s="884">
        <f t="shared" si="284"/>
        <v>30</v>
      </c>
      <c r="AB960" s="868">
        <f t="shared" si="285"/>
        <v>3359940</v>
      </c>
      <c r="AC960" s="885">
        <f t="shared" si="286"/>
        <v>6</v>
      </c>
      <c r="AD960" s="868">
        <f t="shared" si="287"/>
        <v>20159640</v>
      </c>
      <c r="AE960" s="868">
        <f t="shared" si="288"/>
        <v>3359940</v>
      </c>
      <c r="AF960" s="868">
        <f t="shared" si="289"/>
        <v>3359940</v>
      </c>
      <c r="AG960" s="868">
        <f t="shared" si="290"/>
        <v>3359940</v>
      </c>
      <c r="AH960" s="868">
        <f t="shared" si="291"/>
        <v>3359940</v>
      </c>
      <c r="AI960" s="886">
        <f t="shared" si="292"/>
        <v>3359940</v>
      </c>
      <c r="AJ960" s="886">
        <f t="shared" si="294"/>
        <v>36959340</v>
      </c>
      <c r="AK960" s="868">
        <f t="shared" si="293"/>
        <v>63838860</v>
      </c>
    </row>
    <row r="961" spans="5:37" ht="35.25" customHeight="1" x14ac:dyDescent="0.2">
      <c r="E961" s="884" t="s">
        <v>2307</v>
      </c>
      <c r="F961" s="947"/>
      <c r="G961" s="907" t="s">
        <v>1633</v>
      </c>
      <c r="H961" s="917"/>
      <c r="I961" s="903" t="s">
        <v>3565</v>
      </c>
      <c r="J961" s="878"/>
      <c r="K961" s="903"/>
      <c r="L961" s="908"/>
      <c r="M961" s="878"/>
      <c r="N961" s="908"/>
      <c r="O961" s="907" t="s">
        <v>2883</v>
      </c>
      <c r="P961" s="903">
        <v>2008</v>
      </c>
      <c r="Q961" s="878"/>
      <c r="R961" s="878"/>
      <c r="S961" s="878"/>
      <c r="T961" s="903" t="s">
        <v>12</v>
      </c>
      <c r="U961" s="879">
        <v>99850500</v>
      </c>
      <c r="V961" s="903" t="s">
        <v>43</v>
      </c>
      <c r="W961" s="931"/>
      <c r="X961" s="971"/>
      <c r="Y961" s="884" t="str">
        <f t="shared" si="295"/>
        <v>04.16.01</v>
      </c>
      <c r="Z961" s="884" t="str">
        <f t="shared" si="283"/>
        <v>Jaringan Air Minum</v>
      </c>
      <c r="AA961" s="884">
        <f t="shared" si="284"/>
        <v>30</v>
      </c>
      <c r="AB961" s="868">
        <f t="shared" si="285"/>
        <v>3328350</v>
      </c>
      <c r="AC961" s="885">
        <f t="shared" si="286"/>
        <v>6</v>
      </c>
      <c r="AD961" s="868">
        <f t="shared" si="287"/>
        <v>19970100</v>
      </c>
      <c r="AE961" s="868">
        <f t="shared" si="288"/>
        <v>3328350</v>
      </c>
      <c r="AF961" s="868">
        <f t="shared" si="289"/>
        <v>3328350</v>
      </c>
      <c r="AG961" s="868">
        <f t="shared" si="290"/>
        <v>3328350</v>
      </c>
      <c r="AH961" s="868">
        <f t="shared" si="291"/>
        <v>3328350</v>
      </c>
      <c r="AI961" s="886">
        <f t="shared" si="292"/>
        <v>3328350</v>
      </c>
      <c r="AJ961" s="886">
        <f t="shared" si="294"/>
        <v>36611850</v>
      </c>
      <c r="AK961" s="868">
        <f t="shared" si="293"/>
        <v>63238650</v>
      </c>
    </row>
    <row r="962" spans="5:37" ht="35.25" customHeight="1" x14ac:dyDescent="0.2">
      <c r="E962" s="884" t="s">
        <v>2307</v>
      </c>
      <c r="F962" s="947"/>
      <c r="G962" s="907" t="s">
        <v>1634</v>
      </c>
      <c r="H962" s="917"/>
      <c r="I962" s="903" t="s">
        <v>3565</v>
      </c>
      <c r="J962" s="878"/>
      <c r="K962" s="903"/>
      <c r="L962" s="908"/>
      <c r="M962" s="878"/>
      <c r="N962" s="908"/>
      <c r="O962" s="907" t="s">
        <v>1082</v>
      </c>
      <c r="P962" s="903">
        <v>2008</v>
      </c>
      <c r="Q962" s="878"/>
      <c r="R962" s="878"/>
      <c r="S962" s="878"/>
      <c r="T962" s="903" t="s">
        <v>12</v>
      </c>
      <c r="U962" s="879">
        <v>155017800</v>
      </c>
      <c r="V962" s="903" t="s">
        <v>43</v>
      </c>
      <c r="W962" s="931"/>
      <c r="X962" s="971"/>
      <c r="Y962" s="884" t="str">
        <f t="shared" si="295"/>
        <v>04.16.01</v>
      </c>
      <c r="Z962" s="884" t="str">
        <f t="shared" si="283"/>
        <v>Jaringan Air Minum</v>
      </c>
      <c r="AA962" s="884">
        <f t="shared" si="284"/>
        <v>30</v>
      </c>
      <c r="AB962" s="868">
        <f t="shared" si="285"/>
        <v>5167260</v>
      </c>
      <c r="AC962" s="885">
        <f t="shared" si="286"/>
        <v>6</v>
      </c>
      <c r="AD962" s="868">
        <f t="shared" si="287"/>
        <v>31003560</v>
      </c>
      <c r="AE962" s="868">
        <f t="shared" si="288"/>
        <v>5167260</v>
      </c>
      <c r="AF962" s="868">
        <f t="shared" si="289"/>
        <v>5167260</v>
      </c>
      <c r="AG962" s="868">
        <f t="shared" si="290"/>
        <v>5167260</v>
      </c>
      <c r="AH962" s="868">
        <f t="shared" si="291"/>
        <v>5167260</v>
      </c>
      <c r="AI962" s="886">
        <f t="shared" si="292"/>
        <v>5167260</v>
      </c>
      <c r="AJ962" s="886">
        <f t="shared" si="294"/>
        <v>56839860</v>
      </c>
      <c r="AK962" s="868">
        <f t="shared" si="293"/>
        <v>98177940</v>
      </c>
    </row>
    <row r="963" spans="5:37" ht="35.25" customHeight="1" x14ac:dyDescent="0.2">
      <c r="E963" s="884" t="s">
        <v>2307</v>
      </c>
      <c r="F963" s="947"/>
      <c r="G963" s="907" t="s">
        <v>1625</v>
      </c>
      <c r="H963" s="917"/>
      <c r="I963" s="903" t="s">
        <v>3565</v>
      </c>
      <c r="J963" s="878"/>
      <c r="K963" s="903"/>
      <c r="L963" s="908"/>
      <c r="M963" s="878"/>
      <c r="N963" s="908"/>
      <c r="O963" s="907" t="s">
        <v>2942</v>
      </c>
      <c r="P963" s="903">
        <v>2008</v>
      </c>
      <c r="Q963" s="878"/>
      <c r="R963" s="878"/>
      <c r="S963" s="878"/>
      <c r="T963" s="903" t="s">
        <v>12</v>
      </c>
      <c r="U963" s="879">
        <v>11500000</v>
      </c>
      <c r="V963" s="903" t="s">
        <v>43</v>
      </c>
      <c r="W963" s="931"/>
      <c r="X963" s="971"/>
      <c r="Y963" s="884" t="str">
        <f t="shared" si="295"/>
        <v>04.16.01</v>
      </c>
      <c r="Z963" s="884" t="str">
        <f t="shared" si="283"/>
        <v>Jaringan Air Minum</v>
      </c>
      <c r="AA963" s="884">
        <f t="shared" si="284"/>
        <v>30</v>
      </c>
      <c r="AB963" s="868">
        <f t="shared" si="285"/>
        <v>383333.33333333331</v>
      </c>
      <c r="AC963" s="885">
        <f t="shared" si="286"/>
        <v>6</v>
      </c>
      <c r="AD963" s="868">
        <f t="shared" si="287"/>
        <v>2300000</v>
      </c>
      <c r="AE963" s="868">
        <f t="shared" si="288"/>
        <v>383333.33333333331</v>
      </c>
      <c r="AF963" s="868">
        <f t="shared" si="289"/>
        <v>383333.33333333331</v>
      </c>
      <c r="AG963" s="868">
        <f t="shared" si="290"/>
        <v>383333.33333333331</v>
      </c>
      <c r="AH963" s="868">
        <f t="shared" si="291"/>
        <v>383333.33333333331</v>
      </c>
      <c r="AI963" s="886">
        <f t="shared" si="292"/>
        <v>383333.33333333331</v>
      </c>
      <c r="AJ963" s="886">
        <f t="shared" si="294"/>
        <v>4216666.666666667</v>
      </c>
      <c r="AK963" s="868">
        <f t="shared" si="293"/>
        <v>7283333.333333333</v>
      </c>
    </row>
    <row r="964" spans="5:37" ht="35.25" customHeight="1" x14ac:dyDescent="0.2">
      <c r="E964" s="884" t="s">
        <v>2307</v>
      </c>
      <c r="F964" s="947"/>
      <c r="G964" s="907" t="s">
        <v>1626</v>
      </c>
      <c r="H964" s="917"/>
      <c r="I964" s="903" t="s">
        <v>3565</v>
      </c>
      <c r="J964" s="878"/>
      <c r="K964" s="903"/>
      <c r="L964" s="908"/>
      <c r="M964" s="878"/>
      <c r="N964" s="908"/>
      <c r="O964" s="907" t="s">
        <v>2883</v>
      </c>
      <c r="P964" s="903">
        <v>2008</v>
      </c>
      <c r="Q964" s="878"/>
      <c r="R964" s="878"/>
      <c r="S964" s="878"/>
      <c r="T964" s="903" t="s">
        <v>12</v>
      </c>
      <c r="U964" s="879">
        <v>14018800</v>
      </c>
      <c r="V964" s="903" t="s">
        <v>43</v>
      </c>
      <c r="W964" s="931"/>
      <c r="X964" s="971"/>
      <c r="Y964" s="884" t="str">
        <f t="shared" si="295"/>
        <v>04.16.01</v>
      </c>
      <c r="Z964" s="884" t="str">
        <f t="shared" si="283"/>
        <v>Jaringan Air Minum</v>
      </c>
      <c r="AA964" s="884">
        <f t="shared" si="284"/>
        <v>30</v>
      </c>
      <c r="AB964" s="868">
        <f t="shared" si="285"/>
        <v>467293.33333333331</v>
      </c>
      <c r="AC964" s="885">
        <f t="shared" si="286"/>
        <v>6</v>
      </c>
      <c r="AD964" s="868">
        <f t="shared" si="287"/>
        <v>2803760</v>
      </c>
      <c r="AE964" s="868">
        <f t="shared" si="288"/>
        <v>467293.33333333331</v>
      </c>
      <c r="AF964" s="868">
        <f t="shared" si="289"/>
        <v>467293.33333333331</v>
      </c>
      <c r="AG964" s="868">
        <f t="shared" si="290"/>
        <v>467293.33333333331</v>
      </c>
      <c r="AH964" s="868">
        <f t="shared" si="291"/>
        <v>467293.33333333331</v>
      </c>
      <c r="AI964" s="886">
        <f t="shared" si="292"/>
        <v>467293.33333333331</v>
      </c>
      <c r="AJ964" s="886">
        <f t="shared" si="294"/>
        <v>5140226.666666666</v>
      </c>
      <c r="AK964" s="868">
        <f t="shared" si="293"/>
        <v>8878573.333333334</v>
      </c>
    </row>
    <row r="965" spans="5:37" ht="35.25" customHeight="1" x14ac:dyDescent="0.2">
      <c r="E965" s="884" t="s">
        <v>2307</v>
      </c>
      <c r="F965" s="947"/>
      <c r="G965" s="907" t="s">
        <v>1627</v>
      </c>
      <c r="H965" s="917"/>
      <c r="I965" s="903" t="s">
        <v>3565</v>
      </c>
      <c r="J965" s="878"/>
      <c r="K965" s="903"/>
      <c r="L965" s="908"/>
      <c r="M965" s="878"/>
      <c r="N965" s="908"/>
      <c r="O965" s="907" t="s">
        <v>1082</v>
      </c>
      <c r="P965" s="903">
        <v>2008</v>
      </c>
      <c r="Q965" s="878"/>
      <c r="R965" s="878"/>
      <c r="S965" s="878"/>
      <c r="T965" s="903" t="s">
        <v>12</v>
      </c>
      <c r="U965" s="879">
        <v>18496300</v>
      </c>
      <c r="V965" s="903" t="s">
        <v>43</v>
      </c>
      <c r="W965" s="931"/>
      <c r="X965" s="971"/>
      <c r="Y965" s="884" t="str">
        <f t="shared" si="295"/>
        <v>04.16.01</v>
      </c>
      <c r="Z965" s="884" t="str">
        <f t="shared" si="283"/>
        <v>Jaringan Air Minum</v>
      </c>
      <c r="AA965" s="884">
        <f t="shared" si="284"/>
        <v>30</v>
      </c>
      <c r="AB965" s="868">
        <f t="shared" si="285"/>
        <v>616543.33333333337</v>
      </c>
      <c r="AC965" s="885">
        <f t="shared" si="286"/>
        <v>6</v>
      </c>
      <c r="AD965" s="868">
        <f t="shared" si="287"/>
        <v>3699260</v>
      </c>
      <c r="AE965" s="868">
        <f t="shared" si="288"/>
        <v>616543.33333333337</v>
      </c>
      <c r="AF965" s="868">
        <f t="shared" si="289"/>
        <v>616543.33333333337</v>
      </c>
      <c r="AG965" s="868">
        <f t="shared" si="290"/>
        <v>616543.33333333337</v>
      </c>
      <c r="AH965" s="868">
        <f t="shared" si="291"/>
        <v>616543.33333333337</v>
      </c>
      <c r="AI965" s="886">
        <f t="shared" si="292"/>
        <v>616543.33333333337</v>
      </c>
      <c r="AJ965" s="886">
        <f t="shared" si="294"/>
        <v>6781976.6666666651</v>
      </c>
      <c r="AK965" s="868">
        <f t="shared" si="293"/>
        <v>11714323.333333336</v>
      </c>
    </row>
    <row r="966" spans="5:37" ht="35.25" customHeight="1" x14ac:dyDescent="0.2">
      <c r="E966" s="884" t="s">
        <v>2307</v>
      </c>
      <c r="F966" s="947"/>
      <c r="G966" s="907" t="s">
        <v>1628</v>
      </c>
      <c r="H966" s="917"/>
      <c r="I966" s="903" t="s">
        <v>3565</v>
      </c>
      <c r="J966" s="878"/>
      <c r="K966" s="903"/>
      <c r="L966" s="908"/>
      <c r="M966" s="878"/>
      <c r="N966" s="908"/>
      <c r="O966" s="907" t="s">
        <v>2883</v>
      </c>
      <c r="P966" s="903">
        <v>2008</v>
      </c>
      <c r="Q966" s="878"/>
      <c r="R966" s="878"/>
      <c r="S966" s="878"/>
      <c r="T966" s="903" t="s">
        <v>12</v>
      </c>
      <c r="U966" s="879">
        <v>11250000</v>
      </c>
      <c r="V966" s="903" t="s">
        <v>43</v>
      </c>
      <c r="W966" s="931"/>
      <c r="X966" s="971"/>
      <c r="Y966" s="884" t="str">
        <f t="shared" si="295"/>
        <v>04.16.01</v>
      </c>
      <c r="Z966" s="884" t="str">
        <f t="shared" si="283"/>
        <v>Jaringan Air Minum</v>
      </c>
      <c r="AA966" s="884">
        <f t="shared" si="284"/>
        <v>30</v>
      </c>
      <c r="AB966" s="868">
        <f t="shared" si="285"/>
        <v>375000</v>
      </c>
      <c r="AC966" s="885">
        <f t="shared" si="286"/>
        <v>6</v>
      </c>
      <c r="AD966" s="868">
        <f t="shared" si="287"/>
        <v>2250000</v>
      </c>
      <c r="AE966" s="868">
        <f t="shared" si="288"/>
        <v>375000</v>
      </c>
      <c r="AF966" s="868">
        <f t="shared" si="289"/>
        <v>375000</v>
      </c>
      <c r="AG966" s="868">
        <f t="shared" si="290"/>
        <v>375000</v>
      </c>
      <c r="AH966" s="868">
        <f t="shared" si="291"/>
        <v>375000</v>
      </c>
      <c r="AI966" s="886">
        <f t="shared" si="292"/>
        <v>375000</v>
      </c>
      <c r="AJ966" s="886">
        <f t="shared" si="294"/>
        <v>4125000</v>
      </c>
      <c r="AK966" s="868">
        <f t="shared" si="293"/>
        <v>7125000</v>
      </c>
    </row>
    <row r="967" spans="5:37" ht="35.25" customHeight="1" x14ac:dyDescent="0.2">
      <c r="E967" s="884" t="s">
        <v>2307</v>
      </c>
      <c r="F967" s="947"/>
      <c r="G967" s="907" t="s">
        <v>1629</v>
      </c>
      <c r="H967" s="917"/>
      <c r="I967" s="861" t="s">
        <v>3565</v>
      </c>
      <c r="J967" s="862"/>
      <c r="K967" s="861"/>
      <c r="L967" s="856"/>
      <c r="M967" s="862"/>
      <c r="N967" s="856"/>
      <c r="O967" s="907" t="s">
        <v>3551</v>
      </c>
      <c r="P967" s="861">
        <v>2008</v>
      </c>
      <c r="Q967" s="862"/>
      <c r="R967" s="862"/>
      <c r="S967" s="862"/>
      <c r="T967" s="903" t="s">
        <v>12</v>
      </c>
      <c r="U967" s="879">
        <v>18907700</v>
      </c>
      <c r="V967" s="861" t="s">
        <v>43</v>
      </c>
      <c r="W967" s="865"/>
      <c r="X967" s="968"/>
      <c r="Y967" s="884" t="str">
        <f t="shared" si="295"/>
        <v>04.16.01</v>
      </c>
      <c r="Z967" s="884" t="str">
        <f t="shared" si="283"/>
        <v>Jaringan Air Minum</v>
      </c>
      <c r="AA967" s="884">
        <f t="shared" si="284"/>
        <v>30</v>
      </c>
      <c r="AB967" s="868">
        <f t="shared" si="285"/>
        <v>630256.66666666663</v>
      </c>
      <c r="AC967" s="885">
        <f t="shared" si="286"/>
        <v>6</v>
      </c>
      <c r="AD967" s="868">
        <f t="shared" si="287"/>
        <v>3781540</v>
      </c>
      <c r="AE967" s="868">
        <f t="shared" si="288"/>
        <v>630256.66666666663</v>
      </c>
      <c r="AF967" s="868">
        <f t="shared" si="289"/>
        <v>630256.66666666663</v>
      </c>
      <c r="AG967" s="868">
        <f t="shared" si="290"/>
        <v>630256.66666666663</v>
      </c>
      <c r="AH967" s="868">
        <f t="shared" si="291"/>
        <v>630256.66666666663</v>
      </c>
      <c r="AI967" s="886">
        <f t="shared" si="292"/>
        <v>630256.66666666663</v>
      </c>
      <c r="AJ967" s="886">
        <f t="shared" si="294"/>
        <v>6932823.3333333349</v>
      </c>
      <c r="AK967" s="868">
        <f t="shared" si="293"/>
        <v>11974876.666666664</v>
      </c>
    </row>
    <row r="968" spans="5:37" ht="35.25" customHeight="1" x14ac:dyDescent="0.2">
      <c r="E968" s="884" t="s">
        <v>2307</v>
      </c>
      <c r="F968" s="947"/>
      <c r="G968" s="907" t="s">
        <v>1630</v>
      </c>
      <c r="H968" s="917"/>
      <c r="I968" s="861" t="s">
        <v>3565</v>
      </c>
      <c r="J968" s="862"/>
      <c r="K968" s="861"/>
      <c r="L968" s="856"/>
      <c r="M968" s="862"/>
      <c r="N968" s="856"/>
      <c r="O968" s="907" t="s">
        <v>2856</v>
      </c>
      <c r="P968" s="861">
        <v>2008</v>
      </c>
      <c r="Q968" s="862"/>
      <c r="R968" s="862"/>
      <c r="S968" s="862"/>
      <c r="T968" s="903" t="s">
        <v>12</v>
      </c>
      <c r="U968" s="879">
        <v>9800000</v>
      </c>
      <c r="V968" s="861" t="s">
        <v>43</v>
      </c>
      <c r="W968" s="865"/>
      <c r="X968" s="968"/>
      <c r="Y968" s="884" t="str">
        <f t="shared" si="295"/>
        <v>04.16.01</v>
      </c>
      <c r="Z968" s="884" t="str">
        <f t="shared" si="283"/>
        <v>Jaringan Air Minum</v>
      </c>
      <c r="AA968" s="884">
        <f t="shared" si="284"/>
        <v>30</v>
      </c>
      <c r="AB968" s="868">
        <f t="shared" si="285"/>
        <v>326666.66666666669</v>
      </c>
      <c r="AC968" s="885">
        <f t="shared" si="286"/>
        <v>6</v>
      </c>
      <c r="AD968" s="868">
        <f t="shared" si="287"/>
        <v>1960000</v>
      </c>
      <c r="AE968" s="868">
        <f t="shared" si="288"/>
        <v>326666.66666666669</v>
      </c>
      <c r="AF968" s="868">
        <f t="shared" si="289"/>
        <v>326666.66666666669</v>
      </c>
      <c r="AG968" s="868">
        <f t="shared" si="290"/>
        <v>326666.66666666669</v>
      </c>
      <c r="AH968" s="868">
        <f t="shared" si="291"/>
        <v>326666.66666666669</v>
      </c>
      <c r="AI968" s="886">
        <f t="shared" si="292"/>
        <v>326666.66666666669</v>
      </c>
      <c r="AJ968" s="886">
        <f t="shared" si="294"/>
        <v>3593333.3333333326</v>
      </c>
      <c r="AK968" s="868">
        <f t="shared" si="293"/>
        <v>6206666.6666666679</v>
      </c>
    </row>
    <row r="969" spans="5:37" ht="35.25" customHeight="1" x14ac:dyDescent="0.2">
      <c r="E969" s="884" t="s">
        <v>2307</v>
      </c>
      <c r="F969" s="947"/>
      <c r="G969" s="907" t="s">
        <v>1631</v>
      </c>
      <c r="H969" s="917"/>
      <c r="I969" s="861" t="s">
        <v>3565</v>
      </c>
      <c r="J969" s="862"/>
      <c r="K969" s="861"/>
      <c r="L969" s="856"/>
      <c r="M969" s="862"/>
      <c r="N969" s="856"/>
      <c r="O969" s="907" t="s">
        <v>1095</v>
      </c>
      <c r="P969" s="861">
        <v>2008</v>
      </c>
      <c r="Q969" s="862"/>
      <c r="R969" s="862"/>
      <c r="S969" s="862"/>
      <c r="T969" s="903" t="s">
        <v>12</v>
      </c>
      <c r="U969" s="879">
        <v>11700000</v>
      </c>
      <c r="V969" s="861" t="s">
        <v>43</v>
      </c>
      <c r="W969" s="865"/>
      <c r="X969" s="968"/>
      <c r="Y969" s="884" t="str">
        <f t="shared" si="295"/>
        <v>04.16.01</v>
      </c>
      <c r="Z969" s="884" t="str">
        <f t="shared" si="283"/>
        <v>Jaringan Air Minum</v>
      </c>
      <c r="AA969" s="884">
        <f t="shared" si="284"/>
        <v>30</v>
      </c>
      <c r="AB969" s="868">
        <f t="shared" si="285"/>
        <v>390000</v>
      </c>
      <c r="AC969" s="885">
        <f t="shared" si="286"/>
        <v>6</v>
      </c>
      <c r="AD969" s="868">
        <f t="shared" si="287"/>
        <v>2340000</v>
      </c>
      <c r="AE969" s="868">
        <f t="shared" si="288"/>
        <v>390000</v>
      </c>
      <c r="AF969" s="868">
        <f t="shared" si="289"/>
        <v>390000</v>
      </c>
      <c r="AG969" s="868">
        <f t="shared" si="290"/>
        <v>390000</v>
      </c>
      <c r="AH969" s="868">
        <f t="shared" si="291"/>
        <v>390000</v>
      </c>
      <c r="AI969" s="886">
        <f t="shared" si="292"/>
        <v>390000</v>
      </c>
      <c r="AJ969" s="886">
        <f t="shared" si="294"/>
        <v>4290000</v>
      </c>
      <c r="AK969" s="868">
        <f t="shared" si="293"/>
        <v>7410000</v>
      </c>
    </row>
    <row r="970" spans="5:37" ht="35.25" customHeight="1" x14ac:dyDescent="0.2">
      <c r="E970" s="884" t="s">
        <v>2307</v>
      </c>
      <c r="F970" s="947"/>
      <c r="G970" s="907" t="s">
        <v>1632</v>
      </c>
      <c r="H970" s="917"/>
      <c r="I970" s="861" t="s">
        <v>3565</v>
      </c>
      <c r="J970" s="862"/>
      <c r="K970" s="861"/>
      <c r="L970" s="856"/>
      <c r="M970" s="862"/>
      <c r="N970" s="856"/>
      <c r="O970" s="907" t="s">
        <v>3551</v>
      </c>
      <c r="P970" s="861">
        <v>2008</v>
      </c>
      <c r="Q970" s="862"/>
      <c r="R970" s="862"/>
      <c r="S970" s="862"/>
      <c r="T970" s="903" t="s">
        <v>12</v>
      </c>
      <c r="U970" s="879">
        <v>11000000</v>
      </c>
      <c r="V970" s="861" t="s">
        <v>43</v>
      </c>
      <c r="W970" s="865"/>
      <c r="X970" s="968"/>
      <c r="Y970" s="884" t="str">
        <f t="shared" si="295"/>
        <v>04.16.01</v>
      </c>
      <c r="Z970" s="884" t="str">
        <f t="shared" si="283"/>
        <v>Jaringan Air Minum</v>
      </c>
      <c r="AA970" s="884">
        <f t="shared" si="284"/>
        <v>30</v>
      </c>
      <c r="AB970" s="868">
        <f t="shared" si="285"/>
        <v>366666.66666666669</v>
      </c>
      <c r="AC970" s="885">
        <f t="shared" si="286"/>
        <v>6</v>
      </c>
      <c r="AD970" s="868">
        <f t="shared" si="287"/>
        <v>2200000</v>
      </c>
      <c r="AE970" s="868">
        <f t="shared" si="288"/>
        <v>366666.66666666669</v>
      </c>
      <c r="AF970" s="868">
        <f t="shared" si="289"/>
        <v>366666.66666666669</v>
      </c>
      <c r="AG970" s="868">
        <f t="shared" si="290"/>
        <v>366666.66666666669</v>
      </c>
      <c r="AH970" s="868">
        <f t="shared" si="291"/>
        <v>366666.66666666669</v>
      </c>
      <c r="AI970" s="886">
        <f t="shared" si="292"/>
        <v>366666.66666666669</v>
      </c>
      <c r="AJ970" s="886">
        <f t="shared" si="294"/>
        <v>4033333.3333333326</v>
      </c>
      <c r="AK970" s="868">
        <f t="shared" si="293"/>
        <v>6966666.6666666679</v>
      </c>
    </row>
    <row r="971" spans="5:37" s="1177" customFormat="1" ht="35.25" customHeight="1" x14ac:dyDescent="0.2">
      <c r="E971" s="884" t="s">
        <v>2307</v>
      </c>
      <c r="F971" s="947"/>
      <c r="G971" s="907" t="s">
        <v>1633</v>
      </c>
      <c r="H971" s="917"/>
      <c r="I971" s="861" t="s">
        <v>3565</v>
      </c>
      <c r="J971" s="862"/>
      <c r="K971" s="861"/>
      <c r="L971" s="856"/>
      <c r="M971" s="862"/>
      <c r="N971" s="856"/>
      <c r="O971" s="907" t="s">
        <v>2883</v>
      </c>
      <c r="P971" s="861">
        <v>2008</v>
      </c>
      <c r="Q971" s="862"/>
      <c r="R971" s="862"/>
      <c r="S971" s="862"/>
      <c r="T971" s="903" t="s">
        <v>12</v>
      </c>
      <c r="U971" s="879">
        <v>11094500</v>
      </c>
      <c r="V971" s="861" t="s">
        <v>43</v>
      </c>
      <c r="W971" s="865"/>
      <c r="X971" s="968"/>
      <c r="Y971" s="884" t="str">
        <f t="shared" si="295"/>
        <v>04.16.01</v>
      </c>
      <c r="Z971" s="884" t="str">
        <f t="shared" si="283"/>
        <v>Jaringan Air Minum</v>
      </c>
      <c r="AA971" s="884">
        <f t="shared" si="284"/>
        <v>30</v>
      </c>
      <c r="AB971" s="868">
        <f t="shared" si="285"/>
        <v>369816.66666666669</v>
      </c>
      <c r="AC971" s="885">
        <f t="shared" si="286"/>
        <v>6</v>
      </c>
      <c r="AD971" s="868">
        <f t="shared" si="287"/>
        <v>2218900</v>
      </c>
      <c r="AE971" s="868">
        <f t="shared" si="288"/>
        <v>369816.66666666669</v>
      </c>
      <c r="AF971" s="868">
        <f t="shared" si="289"/>
        <v>369816.66666666669</v>
      </c>
      <c r="AG971" s="868">
        <f t="shared" si="290"/>
        <v>369816.66666666669</v>
      </c>
      <c r="AH971" s="868">
        <f t="shared" si="291"/>
        <v>369816.66666666669</v>
      </c>
      <c r="AI971" s="886">
        <f t="shared" si="292"/>
        <v>369816.66666666669</v>
      </c>
      <c r="AJ971" s="886">
        <f t="shared" si="294"/>
        <v>4067983.3333333326</v>
      </c>
      <c r="AK971" s="868">
        <f t="shared" si="293"/>
        <v>7026516.6666666679</v>
      </c>
    </row>
    <row r="972" spans="5:37" ht="35.25" customHeight="1" x14ac:dyDescent="0.2">
      <c r="E972" s="884" t="s">
        <v>2307</v>
      </c>
      <c r="F972" s="947"/>
      <c r="G972" s="907" t="s">
        <v>1634</v>
      </c>
      <c r="H972" s="917"/>
      <c r="I972" s="861" t="s">
        <v>3565</v>
      </c>
      <c r="J972" s="862"/>
      <c r="K972" s="861"/>
      <c r="L972" s="856"/>
      <c r="M972" s="862"/>
      <c r="N972" s="856"/>
      <c r="O972" s="907" t="s">
        <v>1082</v>
      </c>
      <c r="P972" s="861">
        <v>2008</v>
      </c>
      <c r="Q972" s="862"/>
      <c r="R972" s="862"/>
      <c r="S972" s="862"/>
      <c r="T972" s="903" t="s">
        <v>12</v>
      </c>
      <c r="U972" s="879">
        <v>17224400</v>
      </c>
      <c r="V972" s="861" t="s">
        <v>43</v>
      </c>
      <c r="W972" s="865"/>
      <c r="X972" s="968"/>
      <c r="Y972" s="884" t="str">
        <f t="shared" si="295"/>
        <v>04.16.01</v>
      </c>
      <c r="Z972" s="884" t="str">
        <f t="shared" si="283"/>
        <v>Jaringan Air Minum</v>
      </c>
      <c r="AA972" s="884">
        <f t="shared" si="284"/>
        <v>30</v>
      </c>
      <c r="AB972" s="868">
        <f t="shared" si="285"/>
        <v>574146.66666666663</v>
      </c>
      <c r="AC972" s="885">
        <f t="shared" si="286"/>
        <v>6</v>
      </c>
      <c r="AD972" s="868">
        <f t="shared" si="287"/>
        <v>3444880</v>
      </c>
      <c r="AE972" s="868">
        <f t="shared" si="288"/>
        <v>574146.66666666663</v>
      </c>
      <c r="AF972" s="868">
        <f t="shared" si="289"/>
        <v>574146.66666666663</v>
      </c>
      <c r="AG972" s="868">
        <f t="shared" si="290"/>
        <v>574146.66666666663</v>
      </c>
      <c r="AH972" s="868">
        <f t="shared" si="291"/>
        <v>574146.66666666663</v>
      </c>
      <c r="AI972" s="886">
        <f t="shared" si="292"/>
        <v>574146.66666666663</v>
      </c>
      <c r="AJ972" s="886">
        <f t="shared" si="294"/>
        <v>6315613.333333334</v>
      </c>
      <c r="AK972" s="868">
        <f t="shared" si="293"/>
        <v>10908786.666666666</v>
      </c>
    </row>
    <row r="973" spans="5:37" ht="35.25" customHeight="1" x14ac:dyDescent="0.2">
      <c r="E973" s="884" t="s">
        <v>2307</v>
      </c>
      <c r="F973" s="947"/>
      <c r="G973" s="907" t="s">
        <v>1635</v>
      </c>
      <c r="H973" s="917"/>
      <c r="I973" s="861" t="s">
        <v>3565</v>
      </c>
      <c r="J973" s="862"/>
      <c r="K973" s="861"/>
      <c r="L973" s="856"/>
      <c r="M973" s="862"/>
      <c r="N973" s="856"/>
      <c r="O973" s="907" t="s">
        <v>52</v>
      </c>
      <c r="P973" s="861">
        <v>2008</v>
      </c>
      <c r="Q973" s="862"/>
      <c r="R973" s="862"/>
      <c r="S973" s="862"/>
      <c r="T973" s="903" t="s">
        <v>12</v>
      </c>
      <c r="U973" s="879">
        <v>487790000</v>
      </c>
      <c r="V973" s="861"/>
      <c r="W973" s="865"/>
      <c r="X973" s="968"/>
      <c r="Y973" s="884" t="str">
        <f t="shared" si="295"/>
        <v>04.16.01</v>
      </c>
      <c r="Z973" s="884" t="str">
        <f t="shared" si="283"/>
        <v>Jaringan Air Minum</v>
      </c>
      <c r="AA973" s="884">
        <f t="shared" si="284"/>
        <v>30</v>
      </c>
      <c r="AB973" s="868">
        <f t="shared" si="285"/>
        <v>16259666.666666666</v>
      </c>
      <c r="AC973" s="885">
        <f t="shared" si="286"/>
        <v>6</v>
      </c>
      <c r="AD973" s="868">
        <f t="shared" si="287"/>
        <v>97558000</v>
      </c>
      <c r="AE973" s="868">
        <f t="shared" si="288"/>
        <v>16259666.666666666</v>
      </c>
      <c r="AF973" s="868">
        <f t="shared" si="289"/>
        <v>16259666.666666666</v>
      </c>
      <c r="AG973" s="868">
        <f t="shared" si="290"/>
        <v>16259666.666666666</v>
      </c>
      <c r="AH973" s="868">
        <f t="shared" si="291"/>
        <v>16259666.666666666</v>
      </c>
      <c r="AI973" s="886">
        <f t="shared" si="292"/>
        <v>16259666.666666666</v>
      </c>
      <c r="AJ973" s="886">
        <f t="shared" si="294"/>
        <v>178856333.33333331</v>
      </c>
      <c r="AK973" s="868">
        <f t="shared" si="293"/>
        <v>308933666.66666669</v>
      </c>
    </row>
    <row r="974" spans="5:37" ht="35.25" customHeight="1" x14ac:dyDescent="0.2">
      <c r="E974" s="884" t="s">
        <v>2307</v>
      </c>
      <c r="F974" s="947"/>
      <c r="G974" s="907" t="s">
        <v>1636</v>
      </c>
      <c r="H974" s="917"/>
      <c r="I974" s="861" t="s">
        <v>3565</v>
      </c>
      <c r="J974" s="862"/>
      <c r="K974" s="861"/>
      <c r="L974" s="856"/>
      <c r="M974" s="862"/>
      <c r="N974" s="856"/>
      <c r="O974" s="907" t="s">
        <v>52</v>
      </c>
      <c r="P974" s="861">
        <v>2008</v>
      </c>
      <c r="Q974" s="862"/>
      <c r="R974" s="862"/>
      <c r="S974" s="862"/>
      <c r="T974" s="903" t="s">
        <v>12</v>
      </c>
      <c r="U974" s="879">
        <v>2611532728</v>
      </c>
      <c r="V974" s="861"/>
      <c r="W974" s="865"/>
      <c r="X974" s="968"/>
      <c r="Y974" s="884" t="str">
        <f t="shared" si="295"/>
        <v>04.16.01</v>
      </c>
      <c r="Z974" s="884" t="str">
        <f t="shared" si="283"/>
        <v>Jaringan Air Minum</v>
      </c>
      <c r="AA974" s="884">
        <f t="shared" si="284"/>
        <v>30</v>
      </c>
      <c r="AB974" s="868">
        <f t="shared" si="285"/>
        <v>87051090.933333337</v>
      </c>
      <c r="AC974" s="885">
        <f t="shared" si="286"/>
        <v>6</v>
      </c>
      <c r="AD974" s="868">
        <f t="shared" si="287"/>
        <v>522306545.60000002</v>
      </c>
      <c r="AE974" s="868">
        <f t="shared" si="288"/>
        <v>87051090.933333337</v>
      </c>
      <c r="AF974" s="868">
        <f t="shared" si="289"/>
        <v>87051090.933333337</v>
      </c>
      <c r="AG974" s="868">
        <f t="shared" si="290"/>
        <v>87051090.933333337</v>
      </c>
      <c r="AH974" s="868">
        <f t="shared" si="291"/>
        <v>87051090.933333337</v>
      </c>
      <c r="AI974" s="886">
        <f t="shared" si="292"/>
        <v>87051090.933333337</v>
      </c>
      <c r="AJ974" s="886">
        <f t="shared" si="294"/>
        <v>957562000.26666689</v>
      </c>
      <c r="AK974" s="868">
        <f t="shared" si="293"/>
        <v>1653970727.7333331</v>
      </c>
    </row>
    <row r="975" spans="5:37" ht="35.25" customHeight="1" x14ac:dyDescent="0.2">
      <c r="E975" s="884" t="s">
        <v>2307</v>
      </c>
      <c r="F975" s="947"/>
      <c r="G975" s="907" t="s">
        <v>1637</v>
      </c>
      <c r="H975" s="917"/>
      <c r="I975" s="861" t="s">
        <v>3565</v>
      </c>
      <c r="J975" s="862"/>
      <c r="K975" s="861"/>
      <c r="L975" s="856"/>
      <c r="M975" s="862"/>
      <c r="N975" s="856"/>
      <c r="O975" s="907" t="s">
        <v>737</v>
      </c>
      <c r="P975" s="861">
        <v>2008</v>
      </c>
      <c r="Q975" s="862"/>
      <c r="R975" s="862"/>
      <c r="S975" s="862"/>
      <c r="T975" s="903" t="s">
        <v>12</v>
      </c>
      <c r="U975" s="879">
        <v>278070909</v>
      </c>
      <c r="V975" s="861" t="s">
        <v>43</v>
      </c>
      <c r="W975" s="865"/>
      <c r="X975" s="968"/>
      <c r="Y975" s="884" t="str">
        <f t="shared" si="295"/>
        <v>04.16.01</v>
      </c>
      <c r="Z975" s="884" t="str">
        <f t="shared" si="283"/>
        <v>Jaringan Air Minum</v>
      </c>
      <c r="AA975" s="884">
        <f t="shared" si="284"/>
        <v>30</v>
      </c>
      <c r="AB975" s="868">
        <f t="shared" si="285"/>
        <v>9269030.3000000007</v>
      </c>
      <c r="AC975" s="885">
        <f t="shared" si="286"/>
        <v>6</v>
      </c>
      <c r="AD975" s="868">
        <f t="shared" si="287"/>
        <v>55614181.800000004</v>
      </c>
      <c r="AE975" s="868">
        <f t="shared" si="288"/>
        <v>9269030.3000000007</v>
      </c>
      <c r="AF975" s="868">
        <f t="shared" si="289"/>
        <v>9269030.3000000007</v>
      </c>
      <c r="AG975" s="868">
        <f t="shared" si="290"/>
        <v>9269030.3000000007</v>
      </c>
      <c r="AH975" s="868">
        <f t="shared" si="291"/>
        <v>9269030.3000000007</v>
      </c>
      <c r="AI975" s="886">
        <f t="shared" si="292"/>
        <v>9269030.3000000007</v>
      </c>
      <c r="AJ975" s="886">
        <f t="shared" si="294"/>
        <v>101959333.3</v>
      </c>
      <c r="AK975" s="868">
        <f t="shared" si="293"/>
        <v>176111575.69999999</v>
      </c>
    </row>
    <row r="976" spans="5:37" ht="35.25" customHeight="1" x14ac:dyDescent="0.2">
      <c r="E976" s="884" t="s">
        <v>2307</v>
      </c>
      <c r="F976" s="947"/>
      <c r="G976" s="907" t="s">
        <v>1638</v>
      </c>
      <c r="H976" s="917"/>
      <c r="I976" s="861" t="s">
        <v>3565</v>
      </c>
      <c r="J976" s="862"/>
      <c r="K976" s="861"/>
      <c r="L976" s="856"/>
      <c r="M976" s="862"/>
      <c r="N976" s="856"/>
      <c r="O976" s="907" t="s">
        <v>737</v>
      </c>
      <c r="P976" s="861">
        <v>2008</v>
      </c>
      <c r="Q976" s="862"/>
      <c r="R976" s="862"/>
      <c r="S976" s="862"/>
      <c r="T976" s="903" t="s">
        <v>12</v>
      </c>
      <c r="U976" s="879">
        <v>261153272</v>
      </c>
      <c r="V976" s="861" t="s">
        <v>43</v>
      </c>
      <c r="W976" s="865"/>
      <c r="X976" s="968"/>
      <c r="Y976" s="884" t="str">
        <f t="shared" si="295"/>
        <v>04.16.01</v>
      </c>
      <c r="Z976" s="884" t="str">
        <f t="shared" si="283"/>
        <v>Jaringan Air Minum</v>
      </c>
      <c r="AA976" s="884">
        <f t="shared" si="284"/>
        <v>30</v>
      </c>
      <c r="AB976" s="868">
        <f t="shared" si="285"/>
        <v>8705109.0666666664</v>
      </c>
      <c r="AC976" s="885">
        <f t="shared" si="286"/>
        <v>6</v>
      </c>
      <c r="AD976" s="868">
        <f t="shared" si="287"/>
        <v>52230654.399999999</v>
      </c>
      <c r="AE976" s="868">
        <f t="shared" si="288"/>
        <v>8705109.0666666664</v>
      </c>
      <c r="AF976" s="868">
        <f t="shared" si="289"/>
        <v>8705109.0666666664</v>
      </c>
      <c r="AG976" s="868">
        <f t="shared" si="290"/>
        <v>8705109.0666666664</v>
      </c>
      <c r="AH976" s="868">
        <f t="shared" si="291"/>
        <v>8705109.0666666664</v>
      </c>
      <c r="AI976" s="886">
        <f t="shared" si="292"/>
        <v>8705109.0666666664</v>
      </c>
      <c r="AJ976" s="886">
        <f t="shared" si="294"/>
        <v>95756199.733333319</v>
      </c>
      <c r="AK976" s="868">
        <f t="shared" si="293"/>
        <v>165397072.26666668</v>
      </c>
    </row>
    <row r="977" spans="5:37" ht="35.25" customHeight="1" x14ac:dyDescent="0.2">
      <c r="E977" s="884" t="s">
        <v>2307</v>
      </c>
      <c r="F977" s="947"/>
      <c r="G977" s="907" t="s">
        <v>1639</v>
      </c>
      <c r="H977" s="917"/>
      <c r="I977" s="861" t="s">
        <v>3565</v>
      </c>
      <c r="J977" s="862"/>
      <c r="K977" s="861"/>
      <c r="L977" s="856"/>
      <c r="M977" s="862"/>
      <c r="N977" s="856"/>
      <c r="O977" s="907" t="s">
        <v>737</v>
      </c>
      <c r="P977" s="861">
        <v>2008</v>
      </c>
      <c r="Q977" s="862"/>
      <c r="R977" s="862"/>
      <c r="S977" s="862"/>
      <c r="T977" s="903" t="s">
        <v>12</v>
      </c>
      <c r="U977" s="879">
        <v>27807091</v>
      </c>
      <c r="V977" s="861" t="s">
        <v>43</v>
      </c>
      <c r="W977" s="865"/>
      <c r="X977" s="968"/>
      <c r="Y977" s="884" t="str">
        <f t="shared" si="295"/>
        <v>04.16.01</v>
      </c>
      <c r="Z977" s="884" t="str">
        <f t="shared" si="283"/>
        <v>Jaringan Air Minum</v>
      </c>
      <c r="AA977" s="884">
        <f t="shared" si="284"/>
        <v>30</v>
      </c>
      <c r="AB977" s="868">
        <f t="shared" si="285"/>
        <v>926903.03333333333</v>
      </c>
      <c r="AC977" s="885">
        <f t="shared" si="286"/>
        <v>6</v>
      </c>
      <c r="AD977" s="868">
        <f t="shared" si="287"/>
        <v>5561418.2000000002</v>
      </c>
      <c r="AE977" s="868">
        <f t="shared" si="288"/>
        <v>926903.03333333333</v>
      </c>
      <c r="AF977" s="868">
        <f t="shared" si="289"/>
        <v>926903.03333333333</v>
      </c>
      <c r="AG977" s="868">
        <f t="shared" si="290"/>
        <v>926903.03333333333</v>
      </c>
      <c r="AH977" s="868">
        <f t="shared" si="291"/>
        <v>926903.03333333333</v>
      </c>
      <c r="AI977" s="886">
        <f t="shared" si="292"/>
        <v>926903.03333333333</v>
      </c>
      <c r="AJ977" s="886">
        <f t="shared" si="294"/>
        <v>10195933.366666667</v>
      </c>
      <c r="AK977" s="868">
        <f t="shared" si="293"/>
        <v>17611157.633333333</v>
      </c>
    </row>
    <row r="978" spans="5:37" ht="35.25" customHeight="1" x14ac:dyDescent="0.2">
      <c r="E978" s="884" t="s">
        <v>2307</v>
      </c>
      <c r="F978" s="947"/>
      <c r="G978" s="907" t="s">
        <v>1640</v>
      </c>
      <c r="H978" s="917"/>
      <c r="I978" s="861" t="s">
        <v>3565</v>
      </c>
      <c r="J978" s="862"/>
      <c r="K978" s="861"/>
      <c r="L978" s="856"/>
      <c r="M978" s="862"/>
      <c r="N978" s="856"/>
      <c r="O978" s="863" t="s">
        <v>52</v>
      </c>
      <c r="P978" s="861">
        <v>2008</v>
      </c>
      <c r="Q978" s="862"/>
      <c r="R978" s="862"/>
      <c r="S978" s="862"/>
      <c r="T978" s="903" t="s">
        <v>12</v>
      </c>
      <c r="U978" s="879">
        <v>1208559000</v>
      </c>
      <c r="V978" s="861"/>
      <c r="W978" s="865"/>
      <c r="X978" s="968"/>
      <c r="Y978" s="884" t="str">
        <f t="shared" si="295"/>
        <v>04.16.01</v>
      </c>
      <c r="Z978" s="884" t="str">
        <f t="shared" si="283"/>
        <v>Jaringan Air Minum</v>
      </c>
      <c r="AA978" s="884">
        <f t="shared" si="284"/>
        <v>30</v>
      </c>
      <c r="AB978" s="868">
        <f t="shared" si="285"/>
        <v>40285300</v>
      </c>
      <c r="AC978" s="885">
        <f t="shared" si="286"/>
        <v>6</v>
      </c>
      <c r="AD978" s="868">
        <f t="shared" si="287"/>
        <v>241711800</v>
      </c>
      <c r="AE978" s="868">
        <f t="shared" si="288"/>
        <v>40285300</v>
      </c>
      <c r="AF978" s="868">
        <f t="shared" si="289"/>
        <v>40285300</v>
      </c>
      <c r="AG978" s="868">
        <f t="shared" si="290"/>
        <v>40285300</v>
      </c>
      <c r="AH978" s="868">
        <f t="shared" si="291"/>
        <v>40285300</v>
      </c>
      <c r="AI978" s="886">
        <f t="shared" si="292"/>
        <v>40285300</v>
      </c>
      <c r="AJ978" s="886">
        <f t="shared" si="294"/>
        <v>443138300</v>
      </c>
      <c r="AK978" s="868">
        <f t="shared" si="293"/>
        <v>765420700</v>
      </c>
    </row>
    <row r="979" spans="5:37" ht="35.25" customHeight="1" x14ac:dyDescent="0.2">
      <c r="E979" s="884" t="s">
        <v>2307</v>
      </c>
      <c r="F979" s="947"/>
      <c r="G979" s="907" t="s">
        <v>1641</v>
      </c>
      <c r="H979" s="917"/>
      <c r="I979" s="861" t="s">
        <v>3565</v>
      </c>
      <c r="J979" s="862"/>
      <c r="K979" s="861"/>
      <c r="L979" s="856"/>
      <c r="M979" s="862"/>
      <c r="N979" s="856"/>
      <c r="O979" s="907" t="s">
        <v>52</v>
      </c>
      <c r="P979" s="861">
        <v>2008</v>
      </c>
      <c r="Q979" s="862"/>
      <c r="R979" s="862"/>
      <c r="S979" s="862"/>
      <c r="T979" s="903" t="s">
        <v>12</v>
      </c>
      <c r="U979" s="879">
        <v>278624000</v>
      </c>
      <c r="V979" s="861" t="s">
        <v>43</v>
      </c>
      <c r="W979" s="865"/>
      <c r="X979" s="968"/>
      <c r="Y979" s="884" t="str">
        <f t="shared" si="295"/>
        <v>04.16.01</v>
      </c>
      <c r="Z979" s="884" t="str">
        <f t="shared" si="283"/>
        <v>Jaringan Air Minum</v>
      </c>
      <c r="AA979" s="884">
        <f t="shared" si="284"/>
        <v>30</v>
      </c>
      <c r="AB979" s="868">
        <f t="shared" si="285"/>
        <v>9287466.666666666</v>
      </c>
      <c r="AC979" s="885">
        <f t="shared" si="286"/>
        <v>6</v>
      </c>
      <c r="AD979" s="868">
        <f t="shared" si="287"/>
        <v>55724800</v>
      </c>
      <c r="AE979" s="868">
        <f t="shared" si="288"/>
        <v>9287466.666666666</v>
      </c>
      <c r="AF979" s="868">
        <f t="shared" si="289"/>
        <v>9287466.666666666</v>
      </c>
      <c r="AG979" s="868">
        <f t="shared" si="290"/>
        <v>9287466.666666666</v>
      </c>
      <c r="AH979" s="868">
        <f t="shared" si="291"/>
        <v>9287466.666666666</v>
      </c>
      <c r="AI979" s="886">
        <f t="shared" si="292"/>
        <v>9287466.666666666</v>
      </c>
      <c r="AJ979" s="886">
        <f t="shared" si="294"/>
        <v>102162133.33333334</v>
      </c>
      <c r="AK979" s="868">
        <f t="shared" si="293"/>
        <v>176461866.66666666</v>
      </c>
    </row>
    <row r="980" spans="5:37" ht="35.25" customHeight="1" x14ac:dyDescent="0.2">
      <c r="E980" s="884" t="s">
        <v>2307</v>
      </c>
      <c r="F980" s="947"/>
      <c r="G980" s="907" t="s">
        <v>1642</v>
      </c>
      <c r="H980" s="917"/>
      <c r="I980" s="861" t="s">
        <v>3565</v>
      </c>
      <c r="J980" s="862"/>
      <c r="K980" s="861"/>
      <c r="L980" s="856"/>
      <c r="M980" s="862"/>
      <c r="N980" s="856"/>
      <c r="O980" s="907" t="s">
        <v>52</v>
      </c>
      <c r="P980" s="861">
        <v>2008</v>
      </c>
      <c r="Q980" s="862"/>
      <c r="R980" s="862"/>
      <c r="S980" s="862"/>
      <c r="T980" s="903" t="s">
        <v>12</v>
      </c>
      <c r="U980" s="879">
        <v>58546000</v>
      </c>
      <c r="V980" s="861"/>
      <c r="W980" s="865"/>
      <c r="X980" s="968"/>
      <c r="Y980" s="884" t="str">
        <f t="shared" si="295"/>
        <v>04.16.01</v>
      </c>
      <c r="Z980" s="884" t="str">
        <f t="shared" si="283"/>
        <v>Jaringan Air Minum</v>
      </c>
      <c r="AA980" s="884">
        <f t="shared" si="284"/>
        <v>30</v>
      </c>
      <c r="AB980" s="868">
        <f t="shared" si="285"/>
        <v>1951533.3333333333</v>
      </c>
      <c r="AC980" s="885">
        <f t="shared" si="286"/>
        <v>6</v>
      </c>
      <c r="AD980" s="868">
        <f t="shared" si="287"/>
        <v>11709200</v>
      </c>
      <c r="AE980" s="868">
        <f t="shared" si="288"/>
        <v>1951533.3333333333</v>
      </c>
      <c r="AF980" s="868">
        <f t="shared" si="289"/>
        <v>1951533.3333333333</v>
      </c>
      <c r="AG980" s="868">
        <f t="shared" si="290"/>
        <v>1951533.3333333333</v>
      </c>
      <c r="AH980" s="868">
        <f t="shared" si="291"/>
        <v>1951533.3333333333</v>
      </c>
      <c r="AI980" s="886">
        <f t="shared" si="292"/>
        <v>1951533.3333333333</v>
      </c>
      <c r="AJ980" s="886">
        <f t="shared" si="294"/>
        <v>21466866.666666664</v>
      </c>
      <c r="AK980" s="868">
        <f t="shared" si="293"/>
        <v>37079133.333333336</v>
      </c>
    </row>
    <row r="981" spans="5:37" ht="35.25" customHeight="1" x14ac:dyDescent="0.2">
      <c r="E981" s="884" t="s">
        <v>2307</v>
      </c>
      <c r="F981" s="947"/>
      <c r="G981" s="907" t="s">
        <v>1642</v>
      </c>
      <c r="H981" s="917"/>
      <c r="I981" s="861" t="s">
        <v>3565</v>
      </c>
      <c r="J981" s="862"/>
      <c r="K981" s="861"/>
      <c r="L981" s="856"/>
      <c r="M981" s="862"/>
      <c r="N981" s="856"/>
      <c r="O981" s="863" t="s">
        <v>52</v>
      </c>
      <c r="P981" s="861">
        <v>2008</v>
      </c>
      <c r="Q981" s="862"/>
      <c r="R981" s="862"/>
      <c r="S981" s="862"/>
      <c r="T981" s="903" t="s">
        <v>12</v>
      </c>
      <c r="U981" s="879">
        <v>962466046.16631413</v>
      </c>
      <c r="V981" s="861" t="s">
        <v>43</v>
      </c>
      <c r="W981" s="865"/>
      <c r="X981" s="968"/>
      <c r="Y981" s="884" t="str">
        <f t="shared" si="295"/>
        <v>04.16.01</v>
      </c>
      <c r="Z981" s="884" t="str">
        <f t="shared" si="283"/>
        <v>Jaringan Air Minum</v>
      </c>
      <c r="AA981" s="884">
        <f t="shared" si="284"/>
        <v>30</v>
      </c>
      <c r="AB981" s="868">
        <f t="shared" si="285"/>
        <v>32082201.538877137</v>
      </c>
      <c r="AC981" s="885">
        <f t="shared" si="286"/>
        <v>6</v>
      </c>
      <c r="AD981" s="868">
        <f t="shared" si="287"/>
        <v>192493209.23326284</v>
      </c>
      <c r="AE981" s="868">
        <f t="shared" si="288"/>
        <v>32082201.538877137</v>
      </c>
      <c r="AF981" s="868">
        <f t="shared" si="289"/>
        <v>32082201.538877137</v>
      </c>
      <c r="AG981" s="868">
        <f t="shared" si="290"/>
        <v>32082201.538877137</v>
      </c>
      <c r="AH981" s="868">
        <f t="shared" si="291"/>
        <v>32082201.538877137</v>
      </c>
      <c r="AI981" s="886">
        <f t="shared" si="292"/>
        <v>32082201.538877137</v>
      </c>
      <c r="AJ981" s="886">
        <f t="shared" si="294"/>
        <v>352904216.92764848</v>
      </c>
      <c r="AK981" s="868">
        <f t="shared" si="293"/>
        <v>609561829.23866558</v>
      </c>
    </row>
    <row r="982" spans="5:37" ht="35.25" customHeight="1" x14ac:dyDescent="0.2">
      <c r="E982" s="884" t="s">
        <v>2307</v>
      </c>
      <c r="F982" s="947"/>
      <c r="G982" s="907" t="s">
        <v>1643</v>
      </c>
      <c r="H982" s="917"/>
      <c r="I982" s="861" t="s">
        <v>3565</v>
      </c>
      <c r="J982" s="862"/>
      <c r="K982" s="861"/>
      <c r="L982" s="856"/>
      <c r="M982" s="862"/>
      <c r="N982" s="856"/>
      <c r="O982" s="863" t="s">
        <v>798</v>
      </c>
      <c r="P982" s="861">
        <v>2013</v>
      </c>
      <c r="Q982" s="862"/>
      <c r="R982" s="862"/>
      <c r="S982" s="862"/>
      <c r="T982" s="903" t="s">
        <v>12</v>
      </c>
      <c r="U982" s="879">
        <v>188000000</v>
      </c>
      <c r="V982" s="861"/>
      <c r="W982" s="865"/>
      <c r="X982" s="968"/>
      <c r="Y982" s="884" t="str">
        <f t="shared" si="295"/>
        <v>04.16.01</v>
      </c>
      <c r="Z982" s="884" t="str">
        <f t="shared" si="283"/>
        <v>Jaringan Air Minum</v>
      </c>
      <c r="AA982" s="884">
        <f t="shared" si="284"/>
        <v>30</v>
      </c>
      <c r="AB982" s="868">
        <f t="shared" si="285"/>
        <v>6266666.666666667</v>
      </c>
      <c r="AC982" s="885">
        <f t="shared" si="286"/>
        <v>1</v>
      </c>
      <c r="AD982" s="868">
        <f t="shared" si="287"/>
        <v>6266666.666666667</v>
      </c>
      <c r="AE982" s="868">
        <f t="shared" si="288"/>
        <v>6266666.666666667</v>
      </c>
      <c r="AF982" s="868">
        <f t="shared" si="289"/>
        <v>6266666.666666667</v>
      </c>
      <c r="AG982" s="868">
        <f t="shared" si="290"/>
        <v>6266666.666666667</v>
      </c>
      <c r="AH982" s="868">
        <f t="shared" si="291"/>
        <v>6266666.666666667</v>
      </c>
      <c r="AI982" s="886">
        <f t="shared" si="292"/>
        <v>6266666.666666667</v>
      </c>
      <c r="AJ982" s="886">
        <f t="shared" si="294"/>
        <v>37600000</v>
      </c>
      <c r="AK982" s="868">
        <f t="shared" si="293"/>
        <v>150400000</v>
      </c>
    </row>
    <row r="983" spans="5:37" ht="35.25" customHeight="1" x14ac:dyDescent="0.2">
      <c r="E983" s="884" t="s">
        <v>2307</v>
      </c>
      <c r="F983" s="947"/>
      <c r="G983" s="907" t="s">
        <v>1644</v>
      </c>
      <c r="H983" s="917"/>
      <c r="I983" s="861" t="s">
        <v>3565</v>
      </c>
      <c r="J983" s="862"/>
      <c r="K983" s="861"/>
      <c r="L983" s="856"/>
      <c r="M983" s="862"/>
      <c r="N983" s="856"/>
      <c r="O983" s="863" t="s">
        <v>3552</v>
      </c>
      <c r="P983" s="861">
        <v>2013</v>
      </c>
      <c r="Q983" s="862"/>
      <c r="R983" s="862"/>
      <c r="S983" s="862"/>
      <c r="T983" s="903" t="s">
        <v>12</v>
      </c>
      <c r="U983" s="879">
        <v>390003200</v>
      </c>
      <c r="V983" s="861"/>
      <c r="W983" s="865"/>
      <c r="X983" s="968"/>
      <c r="Y983" s="884" t="str">
        <f t="shared" si="295"/>
        <v>04.16.01</v>
      </c>
      <c r="Z983" s="884" t="str">
        <f t="shared" si="283"/>
        <v>Jaringan Air Minum</v>
      </c>
      <c r="AA983" s="884">
        <f t="shared" si="284"/>
        <v>30</v>
      </c>
      <c r="AB983" s="868">
        <f t="shared" si="285"/>
        <v>13000106.666666666</v>
      </c>
      <c r="AC983" s="885">
        <f t="shared" si="286"/>
        <v>1</v>
      </c>
      <c r="AD983" s="868">
        <f t="shared" si="287"/>
        <v>13000106.666666666</v>
      </c>
      <c r="AE983" s="868">
        <f t="shared" si="288"/>
        <v>13000106.666666666</v>
      </c>
      <c r="AF983" s="868">
        <f t="shared" si="289"/>
        <v>13000106.666666666</v>
      </c>
      <c r="AG983" s="868">
        <f t="shared" si="290"/>
        <v>13000106.666666666</v>
      </c>
      <c r="AH983" s="868">
        <f t="shared" si="291"/>
        <v>13000106.666666666</v>
      </c>
      <c r="AI983" s="886">
        <f t="shared" si="292"/>
        <v>13000106.666666666</v>
      </c>
      <c r="AJ983" s="886">
        <f t="shared" si="294"/>
        <v>78000640</v>
      </c>
      <c r="AK983" s="868">
        <f t="shared" si="293"/>
        <v>312002560</v>
      </c>
    </row>
    <row r="984" spans="5:37" ht="35.25" customHeight="1" x14ac:dyDescent="0.2">
      <c r="E984" s="884" t="s">
        <v>2307</v>
      </c>
      <c r="F984" s="947"/>
      <c r="G984" s="907" t="s">
        <v>1645</v>
      </c>
      <c r="H984" s="917"/>
      <c r="I984" s="861" t="s">
        <v>3565</v>
      </c>
      <c r="J984" s="862"/>
      <c r="K984" s="861"/>
      <c r="L984" s="856"/>
      <c r="M984" s="862"/>
      <c r="N984" s="856"/>
      <c r="O984" s="863" t="s">
        <v>3553</v>
      </c>
      <c r="P984" s="861">
        <v>2013</v>
      </c>
      <c r="Q984" s="862"/>
      <c r="R984" s="862"/>
      <c r="S984" s="862"/>
      <c r="T984" s="903" t="s">
        <v>12</v>
      </c>
      <c r="U984" s="879">
        <v>94800000</v>
      </c>
      <c r="V984" s="861"/>
      <c r="W984" s="865"/>
      <c r="X984" s="968"/>
      <c r="Y984" s="884" t="str">
        <f t="shared" si="295"/>
        <v>04.16.01</v>
      </c>
      <c r="Z984" s="884" t="str">
        <f t="shared" si="283"/>
        <v>Jaringan Air Minum</v>
      </c>
      <c r="AA984" s="884">
        <f t="shared" si="284"/>
        <v>30</v>
      </c>
      <c r="AB984" s="868">
        <f t="shared" si="285"/>
        <v>3160000</v>
      </c>
      <c r="AC984" s="885">
        <f t="shared" si="286"/>
        <v>1</v>
      </c>
      <c r="AD984" s="868">
        <f t="shared" si="287"/>
        <v>3160000</v>
      </c>
      <c r="AE984" s="868">
        <f t="shared" si="288"/>
        <v>3160000</v>
      </c>
      <c r="AF984" s="868">
        <f t="shared" si="289"/>
        <v>3160000</v>
      </c>
      <c r="AG984" s="868">
        <f t="shared" si="290"/>
        <v>3160000</v>
      </c>
      <c r="AH984" s="868">
        <f t="shared" si="291"/>
        <v>3160000</v>
      </c>
      <c r="AI984" s="886">
        <f t="shared" si="292"/>
        <v>3160000</v>
      </c>
      <c r="AJ984" s="886">
        <f t="shared" si="294"/>
        <v>18960000</v>
      </c>
      <c r="AK984" s="868">
        <f t="shared" si="293"/>
        <v>75840000</v>
      </c>
    </row>
    <row r="985" spans="5:37" ht="35.25" customHeight="1" x14ac:dyDescent="0.2">
      <c r="E985" s="884" t="s">
        <v>2307</v>
      </c>
      <c r="F985" s="947"/>
      <c r="G985" s="907" t="s">
        <v>1646</v>
      </c>
      <c r="H985" s="917"/>
      <c r="I985" s="861" t="s">
        <v>3565</v>
      </c>
      <c r="J985" s="862"/>
      <c r="K985" s="861"/>
      <c r="L985" s="856"/>
      <c r="M985" s="862"/>
      <c r="N985" s="856"/>
      <c r="O985" s="863" t="s">
        <v>3554</v>
      </c>
      <c r="P985" s="861">
        <v>2013</v>
      </c>
      <c r="Q985" s="862"/>
      <c r="R985" s="862"/>
      <c r="S985" s="862"/>
      <c r="T985" s="903" t="s">
        <v>12</v>
      </c>
      <c r="U985" s="879">
        <v>369945000</v>
      </c>
      <c r="V985" s="861"/>
      <c r="W985" s="865"/>
      <c r="X985" s="968"/>
      <c r="Y985" s="884" t="str">
        <f t="shared" si="295"/>
        <v>04.16.01</v>
      </c>
      <c r="Z985" s="884" t="str">
        <f t="shared" si="283"/>
        <v>Jaringan Air Minum</v>
      </c>
      <c r="AA985" s="884">
        <f t="shared" si="284"/>
        <v>30</v>
      </c>
      <c r="AB985" s="868">
        <f t="shared" si="285"/>
        <v>12331500</v>
      </c>
      <c r="AC985" s="885">
        <f t="shared" si="286"/>
        <v>1</v>
      </c>
      <c r="AD985" s="868">
        <f t="shared" si="287"/>
        <v>12331500</v>
      </c>
      <c r="AE985" s="868">
        <f t="shared" si="288"/>
        <v>12331500</v>
      </c>
      <c r="AF985" s="868">
        <f t="shared" si="289"/>
        <v>12331500</v>
      </c>
      <c r="AG985" s="868">
        <f t="shared" si="290"/>
        <v>12331500</v>
      </c>
      <c r="AH985" s="868">
        <f t="shared" si="291"/>
        <v>12331500</v>
      </c>
      <c r="AI985" s="886">
        <f t="shared" si="292"/>
        <v>12331500</v>
      </c>
      <c r="AJ985" s="886">
        <f t="shared" si="294"/>
        <v>73989000</v>
      </c>
      <c r="AK985" s="868">
        <f t="shared" si="293"/>
        <v>295956000</v>
      </c>
    </row>
    <row r="986" spans="5:37" ht="35.25" customHeight="1" x14ac:dyDescent="0.2">
      <c r="E986" s="884" t="s">
        <v>2307</v>
      </c>
      <c r="F986" s="947"/>
      <c r="G986" s="907" t="s">
        <v>1647</v>
      </c>
      <c r="H986" s="917"/>
      <c r="I986" s="861" t="s">
        <v>3565</v>
      </c>
      <c r="J986" s="862"/>
      <c r="K986" s="861"/>
      <c r="L986" s="856"/>
      <c r="M986" s="862"/>
      <c r="N986" s="856"/>
      <c r="O986" s="863" t="s">
        <v>798</v>
      </c>
      <c r="P986" s="861">
        <v>2013</v>
      </c>
      <c r="Q986" s="862"/>
      <c r="R986" s="862"/>
      <c r="S986" s="862"/>
      <c r="T986" s="903" t="s">
        <v>12</v>
      </c>
      <c r="U986" s="879">
        <v>156828000</v>
      </c>
      <c r="V986" s="861"/>
      <c r="W986" s="865"/>
      <c r="X986" s="968"/>
      <c r="Y986" s="884" t="str">
        <f t="shared" si="295"/>
        <v>04.16.01</v>
      </c>
      <c r="Z986" s="884" t="str">
        <f t="shared" si="283"/>
        <v>Jaringan Air Minum</v>
      </c>
      <c r="AA986" s="884">
        <f t="shared" si="284"/>
        <v>30</v>
      </c>
      <c r="AB986" s="868">
        <f t="shared" si="285"/>
        <v>5227600</v>
      </c>
      <c r="AC986" s="885">
        <f t="shared" si="286"/>
        <v>1</v>
      </c>
      <c r="AD986" s="868">
        <f t="shared" si="287"/>
        <v>5227600</v>
      </c>
      <c r="AE986" s="868">
        <f t="shared" si="288"/>
        <v>5227600</v>
      </c>
      <c r="AF986" s="868">
        <f t="shared" si="289"/>
        <v>5227600</v>
      </c>
      <c r="AG986" s="868">
        <f t="shared" si="290"/>
        <v>5227600</v>
      </c>
      <c r="AH986" s="868">
        <f t="shared" si="291"/>
        <v>5227600</v>
      </c>
      <c r="AI986" s="886">
        <f t="shared" si="292"/>
        <v>5227600</v>
      </c>
      <c r="AJ986" s="886">
        <f t="shared" si="294"/>
        <v>31365600</v>
      </c>
      <c r="AK986" s="868">
        <f t="shared" si="293"/>
        <v>125462400</v>
      </c>
    </row>
    <row r="987" spans="5:37" ht="35.25" customHeight="1" x14ac:dyDescent="0.2">
      <c r="E987" s="884" t="s">
        <v>2307</v>
      </c>
      <c r="F987" s="951"/>
      <c r="G987" s="907" t="s">
        <v>3514</v>
      </c>
      <c r="H987" s="917"/>
      <c r="I987" s="861" t="s">
        <v>3565</v>
      </c>
      <c r="J987" s="901"/>
      <c r="K987" s="900"/>
      <c r="L987" s="902"/>
      <c r="M987" s="901"/>
      <c r="N987" s="902"/>
      <c r="O987" s="952" t="s">
        <v>3555</v>
      </c>
      <c r="P987" s="900">
        <v>2009</v>
      </c>
      <c r="Q987" s="901"/>
      <c r="R987" s="901"/>
      <c r="S987" s="901"/>
      <c r="T987" s="903" t="s">
        <v>12</v>
      </c>
      <c r="U987" s="904">
        <v>766949312.29735994</v>
      </c>
      <c r="V987" s="900"/>
      <c r="W987" s="953"/>
      <c r="X987" s="968"/>
      <c r="Y987" s="884" t="str">
        <f t="shared" si="295"/>
        <v>04.16.01</v>
      </c>
      <c r="Z987" s="884" t="str">
        <f t="shared" si="283"/>
        <v>Jaringan Air Minum</v>
      </c>
      <c r="AA987" s="884">
        <f t="shared" si="284"/>
        <v>30</v>
      </c>
      <c r="AB987" s="868">
        <f t="shared" si="285"/>
        <v>25564977.076578666</v>
      </c>
      <c r="AC987" s="885">
        <f t="shared" si="286"/>
        <v>5</v>
      </c>
      <c r="AD987" s="868">
        <f t="shared" si="287"/>
        <v>127824885.38289332</v>
      </c>
      <c r="AE987" s="868">
        <f t="shared" si="288"/>
        <v>25564977.076578666</v>
      </c>
      <c r="AF987" s="868">
        <f t="shared" si="289"/>
        <v>25564977.076578666</v>
      </c>
      <c r="AG987" s="868">
        <f t="shared" si="290"/>
        <v>25564977.076578666</v>
      </c>
      <c r="AH987" s="868">
        <f t="shared" si="291"/>
        <v>25564977.076578666</v>
      </c>
      <c r="AI987" s="886">
        <f t="shared" si="292"/>
        <v>25564977.076578666</v>
      </c>
      <c r="AJ987" s="886">
        <f t="shared" si="294"/>
        <v>255649770.76578671</v>
      </c>
      <c r="AK987" s="868">
        <f t="shared" si="293"/>
        <v>511299541.53157324</v>
      </c>
    </row>
    <row r="988" spans="5:37" ht="35.25" customHeight="1" x14ac:dyDescent="0.2">
      <c r="E988" s="884" t="s">
        <v>2307</v>
      </c>
      <c r="F988" s="951"/>
      <c r="G988" s="907" t="s">
        <v>3515</v>
      </c>
      <c r="H988" s="917"/>
      <c r="I988" s="861" t="s">
        <v>3565</v>
      </c>
      <c r="J988" s="901"/>
      <c r="K988" s="900"/>
      <c r="L988" s="902"/>
      <c r="M988" s="901"/>
      <c r="N988" s="902"/>
      <c r="O988" s="952" t="s">
        <v>2986</v>
      </c>
      <c r="P988" s="900">
        <v>2009</v>
      </c>
      <c r="Q988" s="901"/>
      <c r="R988" s="901"/>
      <c r="S988" s="901"/>
      <c r="T988" s="903" t="s">
        <v>12</v>
      </c>
      <c r="U988" s="904">
        <v>1568052481.3917563</v>
      </c>
      <c r="V988" s="900"/>
      <c r="W988" s="953"/>
      <c r="X988" s="968"/>
      <c r="Y988" s="884" t="str">
        <f t="shared" si="295"/>
        <v>04.16.01</v>
      </c>
      <c r="Z988" s="884" t="str">
        <f t="shared" si="283"/>
        <v>Jaringan Air Minum</v>
      </c>
      <c r="AA988" s="884">
        <f t="shared" si="284"/>
        <v>30</v>
      </c>
      <c r="AB988" s="868">
        <f t="shared" si="285"/>
        <v>52268416.046391875</v>
      </c>
      <c r="AC988" s="885">
        <f t="shared" si="286"/>
        <v>5</v>
      </c>
      <c r="AD988" s="868">
        <f t="shared" si="287"/>
        <v>261342080.23195937</v>
      </c>
      <c r="AE988" s="868">
        <f t="shared" si="288"/>
        <v>52268416.046391875</v>
      </c>
      <c r="AF988" s="868">
        <f t="shared" si="289"/>
        <v>52268416.046391875</v>
      </c>
      <c r="AG988" s="868">
        <f t="shared" si="290"/>
        <v>52268416.046391875</v>
      </c>
      <c r="AH988" s="868">
        <f t="shared" si="291"/>
        <v>52268416.046391875</v>
      </c>
      <c r="AI988" s="886">
        <f t="shared" si="292"/>
        <v>52268416.046391875</v>
      </c>
      <c r="AJ988" s="886">
        <f t="shared" si="294"/>
        <v>522684160.46391869</v>
      </c>
      <c r="AK988" s="868">
        <f t="shared" si="293"/>
        <v>1045368320.9278376</v>
      </c>
    </row>
    <row r="989" spans="5:37" ht="35.25" customHeight="1" x14ac:dyDescent="0.2">
      <c r="E989" s="884" t="s">
        <v>2307</v>
      </c>
      <c r="F989" s="951"/>
      <c r="G989" s="907" t="s">
        <v>3516</v>
      </c>
      <c r="H989" s="917"/>
      <c r="I989" s="861" t="s">
        <v>3566</v>
      </c>
      <c r="J989" s="901"/>
      <c r="K989" s="900"/>
      <c r="L989" s="902"/>
      <c r="M989" s="901"/>
      <c r="N989" s="902"/>
      <c r="O989" s="952" t="s">
        <v>52</v>
      </c>
      <c r="P989" s="900">
        <v>2010</v>
      </c>
      <c r="Q989" s="901"/>
      <c r="R989" s="901"/>
      <c r="S989" s="901"/>
      <c r="T989" s="903" t="s">
        <v>12</v>
      </c>
      <c r="U989" s="904">
        <v>474869332.85883301</v>
      </c>
      <c r="V989" s="900"/>
      <c r="W989" s="953"/>
      <c r="X989" s="968"/>
      <c r="Y989" s="884" t="str">
        <f t="shared" si="295"/>
        <v>04.16.01</v>
      </c>
      <c r="Z989" s="884" t="str">
        <f t="shared" si="283"/>
        <v>Jaringan Air Minum</v>
      </c>
      <c r="AA989" s="884">
        <f t="shared" si="284"/>
        <v>30</v>
      </c>
      <c r="AB989" s="868">
        <f t="shared" si="285"/>
        <v>15828977.761961101</v>
      </c>
      <c r="AC989" s="885">
        <f t="shared" si="286"/>
        <v>4</v>
      </c>
      <c r="AD989" s="868">
        <f t="shared" si="287"/>
        <v>63315911.047844402</v>
      </c>
      <c r="AE989" s="868">
        <f t="shared" si="288"/>
        <v>15828977.761961101</v>
      </c>
      <c r="AF989" s="868">
        <f t="shared" si="289"/>
        <v>15828977.761961101</v>
      </c>
      <c r="AG989" s="868">
        <f t="shared" si="290"/>
        <v>15828977.761961101</v>
      </c>
      <c r="AH989" s="868">
        <f t="shared" si="291"/>
        <v>15828977.761961101</v>
      </c>
      <c r="AI989" s="886">
        <f t="shared" si="292"/>
        <v>15828977.761961101</v>
      </c>
      <c r="AJ989" s="886">
        <f t="shared" si="294"/>
        <v>142460799.85764989</v>
      </c>
      <c r="AK989" s="868">
        <f t="shared" si="293"/>
        <v>332408533.00118315</v>
      </c>
    </row>
    <row r="990" spans="5:37" ht="35.25" customHeight="1" x14ac:dyDescent="0.2">
      <c r="E990" s="884" t="s">
        <v>2307</v>
      </c>
      <c r="F990" s="951"/>
      <c r="G990" s="907" t="s">
        <v>3517</v>
      </c>
      <c r="H990" s="917"/>
      <c r="I990" s="861" t="s">
        <v>3566</v>
      </c>
      <c r="J990" s="901"/>
      <c r="K990" s="900"/>
      <c r="L990" s="902"/>
      <c r="M990" s="901"/>
      <c r="N990" s="902"/>
      <c r="O990" s="952" t="s">
        <v>52</v>
      </c>
      <c r="P990" s="900">
        <v>2010</v>
      </c>
      <c r="Q990" s="901"/>
      <c r="R990" s="901"/>
      <c r="S990" s="901"/>
      <c r="T990" s="903" t="s">
        <v>12</v>
      </c>
      <c r="U990" s="904">
        <v>406454267.44035602</v>
      </c>
      <c r="V990" s="900"/>
      <c r="W990" s="953"/>
      <c r="X990" s="968"/>
      <c r="Y990" s="884" t="str">
        <f t="shared" si="295"/>
        <v>04.16.01</v>
      </c>
      <c r="Z990" s="884" t="str">
        <f t="shared" si="283"/>
        <v>Jaringan Air Minum</v>
      </c>
      <c r="AA990" s="884">
        <f t="shared" si="284"/>
        <v>30</v>
      </c>
      <c r="AB990" s="868">
        <f t="shared" si="285"/>
        <v>13548475.581345201</v>
      </c>
      <c r="AC990" s="885">
        <f t="shared" si="286"/>
        <v>4</v>
      </c>
      <c r="AD990" s="868">
        <f t="shared" si="287"/>
        <v>54193902.325380802</v>
      </c>
      <c r="AE990" s="868">
        <f t="shared" si="288"/>
        <v>13548475.581345201</v>
      </c>
      <c r="AF990" s="868">
        <f t="shared" si="289"/>
        <v>13548475.581345201</v>
      </c>
      <c r="AG990" s="868">
        <f t="shared" si="290"/>
        <v>13548475.581345201</v>
      </c>
      <c r="AH990" s="868">
        <f t="shared" si="291"/>
        <v>13548475.581345201</v>
      </c>
      <c r="AI990" s="886">
        <f t="shared" si="292"/>
        <v>13548475.581345201</v>
      </c>
      <c r="AJ990" s="886">
        <f t="shared" si="294"/>
        <v>121936280.2321068</v>
      </c>
      <c r="AK990" s="868">
        <f t="shared" si="293"/>
        <v>284517987.20824921</v>
      </c>
    </row>
    <row r="991" spans="5:37" ht="35.25" customHeight="1" x14ac:dyDescent="0.2">
      <c r="E991" s="884" t="s">
        <v>2307</v>
      </c>
      <c r="F991" s="951"/>
      <c r="G991" s="907" t="s">
        <v>3518</v>
      </c>
      <c r="H991" s="917"/>
      <c r="I991" s="861" t="s">
        <v>3567</v>
      </c>
      <c r="J991" s="901"/>
      <c r="K991" s="900"/>
      <c r="L991" s="902"/>
      <c r="M991" s="901"/>
      <c r="N991" s="902"/>
      <c r="O991" s="952" t="s">
        <v>52</v>
      </c>
      <c r="P991" s="900">
        <v>2011</v>
      </c>
      <c r="Q991" s="901"/>
      <c r="R991" s="901"/>
      <c r="S991" s="901"/>
      <c r="T991" s="903"/>
      <c r="U991" s="904">
        <v>49225000</v>
      </c>
      <c r="V991" s="900"/>
      <c r="W991" s="953"/>
      <c r="X991" s="968"/>
      <c r="Y991" s="884" t="str">
        <f t="shared" si="295"/>
        <v>04.16.01</v>
      </c>
      <c r="Z991" s="884" t="str">
        <f t="shared" si="283"/>
        <v>Jaringan Air Minum</v>
      </c>
      <c r="AA991" s="884">
        <f t="shared" si="284"/>
        <v>30</v>
      </c>
      <c r="AB991" s="868">
        <f t="shared" si="285"/>
        <v>1640833.3333333333</v>
      </c>
      <c r="AC991" s="885">
        <f t="shared" si="286"/>
        <v>3</v>
      </c>
      <c r="AD991" s="868">
        <f t="shared" si="287"/>
        <v>4922500</v>
      </c>
      <c r="AE991" s="868">
        <f t="shared" si="288"/>
        <v>1640833.3333333333</v>
      </c>
      <c r="AF991" s="868">
        <f t="shared" si="289"/>
        <v>1640833.3333333333</v>
      </c>
      <c r="AG991" s="868">
        <f t="shared" si="290"/>
        <v>1640833.3333333333</v>
      </c>
      <c r="AH991" s="868">
        <f t="shared" si="291"/>
        <v>1640833.3333333333</v>
      </c>
      <c r="AI991" s="886">
        <f t="shared" si="292"/>
        <v>1640833.3333333333</v>
      </c>
      <c r="AJ991" s="886">
        <f t="shared" si="294"/>
        <v>13126666.666666668</v>
      </c>
      <c r="AK991" s="868">
        <f t="shared" si="293"/>
        <v>36098333.333333328</v>
      </c>
    </row>
    <row r="992" spans="5:37" ht="35.25" customHeight="1" x14ac:dyDescent="0.2">
      <c r="E992" s="884" t="s">
        <v>2307</v>
      </c>
      <c r="F992" s="951"/>
      <c r="G992" s="907" t="s">
        <v>3519</v>
      </c>
      <c r="H992" s="917"/>
      <c r="I992" s="861" t="s">
        <v>3566</v>
      </c>
      <c r="J992" s="901" t="s">
        <v>39</v>
      </c>
      <c r="K992" s="900"/>
      <c r="L992" s="902"/>
      <c r="M992" s="901"/>
      <c r="N992" s="902"/>
      <c r="O992" s="952" t="s">
        <v>2614</v>
      </c>
      <c r="P992" s="900">
        <v>2011</v>
      </c>
      <c r="Q992" s="901"/>
      <c r="R992" s="901"/>
      <c r="S992" s="901"/>
      <c r="T992" s="903" t="s">
        <v>12</v>
      </c>
      <c r="U992" s="904">
        <v>360271116.84319699</v>
      </c>
      <c r="V992" s="900"/>
      <c r="W992" s="953"/>
      <c r="X992" s="968"/>
      <c r="Y992" s="884" t="str">
        <f t="shared" si="295"/>
        <v>04.16.01</v>
      </c>
      <c r="Z992" s="884" t="str">
        <f t="shared" si="283"/>
        <v>Jaringan Air Minum</v>
      </c>
      <c r="AA992" s="884">
        <f t="shared" si="284"/>
        <v>30</v>
      </c>
      <c r="AB992" s="868">
        <f t="shared" si="285"/>
        <v>12009037.228106566</v>
      </c>
      <c r="AC992" s="885">
        <f t="shared" si="286"/>
        <v>3</v>
      </c>
      <c r="AD992" s="868">
        <f t="shared" si="287"/>
        <v>36027111.684319697</v>
      </c>
      <c r="AE992" s="868">
        <f t="shared" si="288"/>
        <v>12009037.228106566</v>
      </c>
      <c r="AF992" s="868">
        <f t="shared" si="289"/>
        <v>12009037.228106566</v>
      </c>
      <c r="AG992" s="868">
        <f t="shared" si="290"/>
        <v>12009037.228106566</v>
      </c>
      <c r="AH992" s="868">
        <f t="shared" si="291"/>
        <v>12009037.228106566</v>
      </c>
      <c r="AI992" s="886">
        <f t="shared" si="292"/>
        <v>12009037.228106566</v>
      </c>
      <c r="AJ992" s="886">
        <f t="shared" si="294"/>
        <v>96072297.824852526</v>
      </c>
      <c r="AK992" s="868">
        <f t="shared" si="293"/>
        <v>264198819.01834446</v>
      </c>
    </row>
    <row r="993" spans="5:37" ht="35.25" customHeight="1" x14ac:dyDescent="0.2">
      <c r="E993" s="884" t="s">
        <v>2307</v>
      </c>
      <c r="F993" s="951"/>
      <c r="G993" s="907" t="s">
        <v>3520</v>
      </c>
      <c r="H993" s="917"/>
      <c r="I993" s="861" t="s">
        <v>3567</v>
      </c>
      <c r="J993" s="901" t="s">
        <v>39</v>
      </c>
      <c r="K993" s="900"/>
      <c r="L993" s="902"/>
      <c r="M993" s="901"/>
      <c r="N993" s="902"/>
      <c r="O993" s="952" t="s">
        <v>2614</v>
      </c>
      <c r="P993" s="900">
        <v>2011</v>
      </c>
      <c r="Q993" s="901"/>
      <c r="R993" s="901"/>
      <c r="S993" s="901"/>
      <c r="T993" s="903" t="s">
        <v>12</v>
      </c>
      <c r="U993" s="904">
        <v>105422055.34248437</v>
      </c>
      <c r="V993" s="900"/>
      <c r="W993" s="953"/>
      <c r="X993" s="968"/>
      <c r="Y993" s="884" t="str">
        <f t="shared" si="295"/>
        <v>04.16.01</v>
      </c>
      <c r="Z993" s="884" t="str">
        <f t="shared" si="283"/>
        <v>Jaringan Air Minum</v>
      </c>
      <c r="AA993" s="884">
        <f t="shared" si="284"/>
        <v>30</v>
      </c>
      <c r="AB993" s="868">
        <f t="shared" si="285"/>
        <v>3514068.5114161456</v>
      </c>
      <c r="AC993" s="885">
        <f t="shared" si="286"/>
        <v>3</v>
      </c>
      <c r="AD993" s="868">
        <f t="shared" si="287"/>
        <v>10542205.534248438</v>
      </c>
      <c r="AE993" s="868">
        <f t="shared" si="288"/>
        <v>3514068.5114161456</v>
      </c>
      <c r="AF993" s="868">
        <f t="shared" si="289"/>
        <v>3514068.5114161456</v>
      </c>
      <c r="AG993" s="868">
        <f t="shared" si="290"/>
        <v>3514068.5114161456</v>
      </c>
      <c r="AH993" s="868">
        <f t="shared" si="291"/>
        <v>3514068.5114161456</v>
      </c>
      <c r="AI993" s="886">
        <f t="shared" si="292"/>
        <v>3514068.5114161456</v>
      </c>
      <c r="AJ993" s="886">
        <f t="shared" si="294"/>
        <v>28112548.091329161</v>
      </c>
      <c r="AK993" s="868">
        <f t="shared" si="293"/>
        <v>77309507.251155213</v>
      </c>
    </row>
    <row r="994" spans="5:37" ht="35.25" customHeight="1" x14ac:dyDescent="0.2">
      <c r="E994" s="884" t="s">
        <v>2307</v>
      </c>
      <c r="F994" s="951"/>
      <c r="G994" s="907" t="s">
        <v>3521</v>
      </c>
      <c r="H994" s="917"/>
      <c r="I994" s="861" t="s">
        <v>3567</v>
      </c>
      <c r="J994" s="901" t="s">
        <v>68</v>
      </c>
      <c r="K994" s="900"/>
      <c r="L994" s="902"/>
      <c r="M994" s="901"/>
      <c r="N994" s="902"/>
      <c r="O994" s="952" t="s">
        <v>2614</v>
      </c>
      <c r="P994" s="900">
        <v>2011</v>
      </c>
      <c r="Q994" s="901"/>
      <c r="R994" s="901"/>
      <c r="S994" s="901"/>
      <c r="T994" s="903" t="s">
        <v>12</v>
      </c>
      <c r="U994" s="904">
        <v>82118232.582566783</v>
      </c>
      <c r="V994" s="900"/>
      <c r="W994" s="953"/>
      <c r="X994" s="968"/>
      <c r="Y994" s="884" t="str">
        <f t="shared" si="295"/>
        <v>04.16.01</v>
      </c>
      <c r="Z994" s="884" t="str">
        <f t="shared" si="283"/>
        <v>Jaringan Air Minum</v>
      </c>
      <c r="AA994" s="884">
        <f t="shared" si="284"/>
        <v>30</v>
      </c>
      <c r="AB994" s="868">
        <f t="shared" si="285"/>
        <v>2737274.4194188928</v>
      </c>
      <c r="AC994" s="885">
        <f t="shared" si="286"/>
        <v>3</v>
      </c>
      <c r="AD994" s="868">
        <f t="shared" si="287"/>
        <v>8211823.2582566785</v>
      </c>
      <c r="AE994" s="868">
        <f t="shared" si="288"/>
        <v>2737274.4194188928</v>
      </c>
      <c r="AF994" s="868">
        <f t="shared" si="289"/>
        <v>2737274.4194188928</v>
      </c>
      <c r="AG994" s="868">
        <f t="shared" si="290"/>
        <v>2737274.4194188928</v>
      </c>
      <c r="AH994" s="868">
        <f t="shared" si="291"/>
        <v>2737274.4194188928</v>
      </c>
      <c r="AI994" s="886">
        <f t="shared" si="292"/>
        <v>2737274.4194188928</v>
      </c>
      <c r="AJ994" s="886">
        <f t="shared" si="294"/>
        <v>21898195.355351146</v>
      </c>
      <c r="AK994" s="868">
        <f t="shared" si="293"/>
        <v>60220037.227215633</v>
      </c>
    </row>
    <row r="995" spans="5:37" ht="35.25" customHeight="1" x14ac:dyDescent="0.2">
      <c r="E995" s="884" t="s">
        <v>2307</v>
      </c>
      <c r="F995" s="951"/>
      <c r="G995" s="907" t="s">
        <v>3522</v>
      </c>
      <c r="H995" s="917"/>
      <c r="I995" s="861" t="s">
        <v>3567</v>
      </c>
      <c r="J995" s="901" t="s">
        <v>1765</v>
      </c>
      <c r="K995" s="900"/>
      <c r="L995" s="902"/>
      <c r="M995" s="901"/>
      <c r="N995" s="902"/>
      <c r="O995" s="952" t="s">
        <v>2614</v>
      </c>
      <c r="P995" s="900">
        <v>2011</v>
      </c>
      <c r="Q995" s="901"/>
      <c r="R995" s="901"/>
      <c r="S995" s="901"/>
      <c r="T995" s="903" t="s">
        <v>12</v>
      </c>
      <c r="U995" s="904">
        <v>162793847.5657101</v>
      </c>
      <c r="V995" s="900"/>
      <c r="W995" s="953"/>
      <c r="X995" s="968"/>
      <c r="Y995" s="884" t="str">
        <f t="shared" si="295"/>
        <v>04.16.01</v>
      </c>
      <c r="Z995" s="884" t="str">
        <f t="shared" ref="Z995:Z1023" si="296">VLOOKUP(Y995,UE,3,FALSE)</f>
        <v>Jaringan Air Minum</v>
      </c>
      <c r="AA995" s="884">
        <f t="shared" ref="AA995:AA1023" si="297">VLOOKUP(Y995,UE,4,FALSE)</f>
        <v>30</v>
      </c>
      <c r="AB995" s="868">
        <f t="shared" ref="AB995:AB1023" si="298">U995/AA995</f>
        <v>5426461.5855236696</v>
      </c>
      <c r="AC995" s="885">
        <f t="shared" ref="AC995:AC1023" si="299">IF(2013-P995+1&gt;AA995,AA995,IF(2013-P995+1&lt;0,0,2013-P995+1))</f>
        <v>3</v>
      </c>
      <c r="AD995" s="868">
        <f t="shared" ref="AD995:AD1023" si="300">IF(AC995&gt;AA995,U995,AB995*AC995)</f>
        <v>16279384.75657101</v>
      </c>
      <c r="AE995" s="868">
        <f t="shared" ref="AE995:AE1016" si="301">IF(U995=AD995,0,AB995)</f>
        <v>5426461.5855236696</v>
      </c>
      <c r="AF995" s="868">
        <f t="shared" ref="AF995:AF1017" si="302">IF(U995=AD995+AE995,0,AB995)</f>
        <v>5426461.5855236696</v>
      </c>
      <c r="AG995" s="868">
        <f t="shared" ref="AG995:AG1020" si="303">IF(U995=AD995+AE995+AF995,0,AB995)</f>
        <v>5426461.5855236696</v>
      </c>
      <c r="AH995" s="868">
        <f t="shared" ref="AH995:AH1021" si="304">IF(U995=AE995+AF995+AG995+AD995,0,AB995)</f>
        <v>5426461.5855236696</v>
      </c>
      <c r="AI995" s="886">
        <f t="shared" ref="AI995:AI1023" si="305">IF(U995=AE995+AF995+AG995+AD995+AH995,0,AB995)</f>
        <v>5426461.5855236696</v>
      </c>
      <c r="AJ995" s="886">
        <f t="shared" si="294"/>
        <v>43411692.684189357</v>
      </c>
      <c r="AK995" s="868">
        <f t="shared" ref="AK995:AK1023" si="306">U995-AJ995</f>
        <v>119382154.88152075</v>
      </c>
    </row>
    <row r="996" spans="5:37" ht="35.25" customHeight="1" x14ac:dyDescent="0.2">
      <c r="E996" s="884" t="s">
        <v>2307</v>
      </c>
      <c r="F996" s="951"/>
      <c r="G996" s="907" t="s">
        <v>3523</v>
      </c>
      <c r="H996" s="917"/>
      <c r="I996" s="861" t="s">
        <v>3567</v>
      </c>
      <c r="J996" s="901" t="s">
        <v>1768</v>
      </c>
      <c r="K996" s="900"/>
      <c r="L996" s="902"/>
      <c r="M996" s="901"/>
      <c r="N996" s="902"/>
      <c r="O996" s="952" t="s">
        <v>2614</v>
      </c>
      <c r="P996" s="900">
        <v>2011</v>
      </c>
      <c r="Q996" s="901"/>
      <c r="R996" s="901"/>
      <c r="S996" s="901"/>
      <c r="T996" s="903" t="s">
        <v>12</v>
      </c>
      <c r="U996" s="904">
        <v>45039631.159846455</v>
      </c>
      <c r="V996" s="900"/>
      <c r="W996" s="953"/>
      <c r="X996" s="968"/>
      <c r="Y996" s="884" t="str">
        <f t="shared" si="295"/>
        <v>04.16.01</v>
      </c>
      <c r="Z996" s="884" t="str">
        <f t="shared" si="296"/>
        <v>Jaringan Air Minum</v>
      </c>
      <c r="AA996" s="884">
        <f t="shared" si="297"/>
        <v>30</v>
      </c>
      <c r="AB996" s="868">
        <f t="shared" si="298"/>
        <v>1501321.0386615484</v>
      </c>
      <c r="AC996" s="885">
        <f t="shared" si="299"/>
        <v>3</v>
      </c>
      <c r="AD996" s="868">
        <f t="shared" si="300"/>
        <v>4503963.1159846447</v>
      </c>
      <c r="AE996" s="868">
        <f t="shared" si="301"/>
        <v>1501321.0386615484</v>
      </c>
      <c r="AF996" s="868">
        <f t="shared" si="302"/>
        <v>1501321.0386615484</v>
      </c>
      <c r="AG996" s="868">
        <f t="shared" si="303"/>
        <v>1501321.0386615484</v>
      </c>
      <c r="AH996" s="868">
        <f t="shared" si="304"/>
        <v>1501321.0386615484</v>
      </c>
      <c r="AI996" s="886">
        <f t="shared" si="305"/>
        <v>1501321.0386615484</v>
      </c>
      <c r="AJ996" s="886">
        <f t="shared" si="294"/>
        <v>12010568.309292389</v>
      </c>
      <c r="AK996" s="868">
        <f t="shared" si="306"/>
        <v>33029062.850554064</v>
      </c>
    </row>
    <row r="997" spans="5:37" ht="35.25" customHeight="1" x14ac:dyDescent="0.2">
      <c r="E997" s="884" t="s">
        <v>2307</v>
      </c>
      <c r="F997" s="951"/>
      <c r="G997" s="907" t="s">
        <v>3524</v>
      </c>
      <c r="H997" s="917"/>
      <c r="I997" s="861" t="s">
        <v>3567</v>
      </c>
      <c r="J997" s="901" t="s">
        <v>1855</v>
      </c>
      <c r="K997" s="900"/>
      <c r="L997" s="902"/>
      <c r="M997" s="901"/>
      <c r="N997" s="902"/>
      <c r="O997" s="952" t="s">
        <v>2614</v>
      </c>
      <c r="P997" s="900">
        <v>2011</v>
      </c>
      <c r="Q997" s="901"/>
      <c r="R997" s="901"/>
      <c r="S997" s="901"/>
      <c r="T997" s="903" t="s">
        <v>12</v>
      </c>
      <c r="U997" s="904">
        <v>38395822.261578523</v>
      </c>
      <c r="V997" s="900"/>
      <c r="W997" s="953"/>
      <c r="X997" s="968"/>
      <c r="Y997" s="884" t="str">
        <f t="shared" si="295"/>
        <v>04.16.01</v>
      </c>
      <c r="Z997" s="884" t="str">
        <f t="shared" si="296"/>
        <v>Jaringan Air Minum</v>
      </c>
      <c r="AA997" s="884">
        <f t="shared" si="297"/>
        <v>30</v>
      </c>
      <c r="AB997" s="868">
        <f t="shared" si="298"/>
        <v>1279860.7420526175</v>
      </c>
      <c r="AC997" s="885">
        <f t="shared" si="299"/>
        <v>3</v>
      </c>
      <c r="AD997" s="868">
        <f t="shared" si="300"/>
        <v>3839582.2261578524</v>
      </c>
      <c r="AE997" s="868">
        <f t="shared" si="301"/>
        <v>1279860.7420526175</v>
      </c>
      <c r="AF997" s="868">
        <f t="shared" si="302"/>
        <v>1279860.7420526175</v>
      </c>
      <c r="AG997" s="868">
        <f t="shared" si="303"/>
        <v>1279860.7420526175</v>
      </c>
      <c r="AH997" s="868">
        <f t="shared" si="304"/>
        <v>1279860.7420526175</v>
      </c>
      <c r="AI997" s="886">
        <f t="shared" si="305"/>
        <v>1279860.7420526175</v>
      </c>
      <c r="AJ997" s="886">
        <f t="shared" si="294"/>
        <v>10238885.93642094</v>
      </c>
      <c r="AK997" s="868">
        <f t="shared" si="306"/>
        <v>28156936.325157583</v>
      </c>
    </row>
    <row r="998" spans="5:37" ht="35.25" customHeight="1" x14ac:dyDescent="0.2">
      <c r="E998" s="884" t="s">
        <v>2307</v>
      </c>
      <c r="F998" s="951"/>
      <c r="G998" s="907" t="s">
        <v>3525</v>
      </c>
      <c r="H998" s="917"/>
      <c r="I998" s="861" t="s">
        <v>2555</v>
      </c>
      <c r="J998" s="901" t="s">
        <v>39</v>
      </c>
      <c r="K998" s="900"/>
      <c r="L998" s="902"/>
      <c r="M998" s="901"/>
      <c r="N998" s="902"/>
      <c r="O998" s="952" t="s">
        <v>2940</v>
      </c>
      <c r="P998" s="900">
        <v>2012</v>
      </c>
      <c r="Q998" s="901"/>
      <c r="R998" s="901"/>
      <c r="S998" s="901"/>
      <c r="T998" s="903" t="s">
        <v>12</v>
      </c>
      <c r="U998" s="904">
        <v>493388676.94870102</v>
      </c>
      <c r="V998" s="900"/>
      <c r="W998" s="953"/>
      <c r="X998" s="968"/>
      <c r="Y998" s="884" t="str">
        <f t="shared" si="295"/>
        <v>04.16.01</v>
      </c>
      <c r="Z998" s="884" t="str">
        <f t="shared" si="296"/>
        <v>Jaringan Air Minum</v>
      </c>
      <c r="AA998" s="884">
        <f t="shared" si="297"/>
        <v>30</v>
      </c>
      <c r="AB998" s="868">
        <f t="shared" si="298"/>
        <v>16446289.231623368</v>
      </c>
      <c r="AC998" s="885">
        <f t="shared" si="299"/>
        <v>2</v>
      </c>
      <c r="AD998" s="868">
        <f t="shared" si="300"/>
        <v>32892578.463246737</v>
      </c>
      <c r="AE998" s="868">
        <f t="shared" si="301"/>
        <v>16446289.231623368</v>
      </c>
      <c r="AF998" s="868">
        <f t="shared" si="302"/>
        <v>16446289.231623368</v>
      </c>
      <c r="AG998" s="868">
        <f t="shared" si="303"/>
        <v>16446289.231623368</v>
      </c>
      <c r="AH998" s="868">
        <f t="shared" si="304"/>
        <v>16446289.231623368</v>
      </c>
      <c r="AI998" s="886">
        <f t="shared" si="305"/>
        <v>16446289.231623368</v>
      </c>
      <c r="AJ998" s="886">
        <f t="shared" si="294"/>
        <v>115124024.62136358</v>
      </c>
      <c r="AK998" s="868">
        <f t="shared" si="306"/>
        <v>378264652.32733744</v>
      </c>
    </row>
    <row r="999" spans="5:37" ht="35.25" customHeight="1" x14ac:dyDescent="0.2">
      <c r="E999" s="884" t="s">
        <v>2307</v>
      </c>
      <c r="F999" s="951"/>
      <c r="G999" s="907" t="s">
        <v>3526</v>
      </c>
      <c r="H999" s="917"/>
      <c r="I999" s="861" t="s">
        <v>3568</v>
      </c>
      <c r="J999" s="901" t="s">
        <v>68</v>
      </c>
      <c r="K999" s="900"/>
      <c r="L999" s="902"/>
      <c r="M999" s="901"/>
      <c r="N999" s="902"/>
      <c r="O999" s="952" t="s">
        <v>2937</v>
      </c>
      <c r="P999" s="900">
        <v>2012</v>
      </c>
      <c r="Q999" s="901"/>
      <c r="R999" s="901"/>
      <c r="S999" s="901"/>
      <c r="T999" s="903" t="s">
        <v>12</v>
      </c>
      <c r="U999" s="904">
        <v>388878394.88692087</v>
      </c>
      <c r="V999" s="900"/>
      <c r="W999" s="953"/>
      <c r="X999" s="968"/>
      <c r="Y999" s="884" t="str">
        <f t="shared" si="295"/>
        <v>04.16.01</v>
      </c>
      <c r="Z999" s="884" t="str">
        <f t="shared" si="296"/>
        <v>Jaringan Air Minum</v>
      </c>
      <c r="AA999" s="884">
        <f t="shared" si="297"/>
        <v>30</v>
      </c>
      <c r="AB999" s="868">
        <f t="shared" si="298"/>
        <v>12962613.162897361</v>
      </c>
      <c r="AC999" s="885">
        <f t="shared" si="299"/>
        <v>2</v>
      </c>
      <c r="AD999" s="868">
        <f t="shared" si="300"/>
        <v>25925226.325794723</v>
      </c>
      <c r="AE999" s="868">
        <f t="shared" si="301"/>
        <v>12962613.162897361</v>
      </c>
      <c r="AF999" s="868">
        <f t="shared" si="302"/>
        <v>12962613.162897361</v>
      </c>
      <c r="AG999" s="868">
        <f t="shared" si="303"/>
        <v>12962613.162897361</v>
      </c>
      <c r="AH999" s="868">
        <f t="shared" si="304"/>
        <v>12962613.162897361</v>
      </c>
      <c r="AI999" s="886">
        <f t="shared" si="305"/>
        <v>12962613.162897361</v>
      </c>
      <c r="AJ999" s="886">
        <f t="shared" si="294"/>
        <v>90738292.140281528</v>
      </c>
      <c r="AK999" s="868">
        <f t="shared" si="306"/>
        <v>298140102.74663937</v>
      </c>
    </row>
    <row r="1000" spans="5:37" ht="35.25" customHeight="1" x14ac:dyDescent="0.2">
      <c r="E1000" s="884" t="s">
        <v>2307</v>
      </c>
      <c r="F1000" s="951"/>
      <c r="G1000" s="907" t="s">
        <v>3527</v>
      </c>
      <c r="H1000" s="917"/>
      <c r="I1000" s="861" t="s">
        <v>3568</v>
      </c>
      <c r="J1000" s="901" t="s">
        <v>1765</v>
      </c>
      <c r="K1000" s="900"/>
      <c r="L1000" s="902"/>
      <c r="M1000" s="901"/>
      <c r="N1000" s="902"/>
      <c r="O1000" s="952" t="s">
        <v>2945</v>
      </c>
      <c r="P1000" s="900">
        <v>2012</v>
      </c>
      <c r="Q1000" s="901"/>
      <c r="R1000" s="901"/>
      <c r="S1000" s="901"/>
      <c r="T1000" s="903" t="s">
        <v>12</v>
      </c>
      <c r="U1000" s="904">
        <v>30012703.490769427</v>
      </c>
      <c r="V1000" s="900"/>
      <c r="W1000" s="953"/>
      <c r="X1000" s="968"/>
      <c r="Y1000" s="884" t="str">
        <f t="shared" si="295"/>
        <v>04.16.01</v>
      </c>
      <c r="Z1000" s="884" t="str">
        <f t="shared" si="296"/>
        <v>Jaringan Air Minum</v>
      </c>
      <c r="AA1000" s="884">
        <f t="shared" si="297"/>
        <v>30</v>
      </c>
      <c r="AB1000" s="868">
        <f t="shared" si="298"/>
        <v>1000423.4496923143</v>
      </c>
      <c r="AC1000" s="885">
        <f t="shared" si="299"/>
        <v>2</v>
      </c>
      <c r="AD1000" s="868">
        <f t="shared" si="300"/>
        <v>2000846.8993846285</v>
      </c>
      <c r="AE1000" s="868">
        <f t="shared" si="301"/>
        <v>1000423.4496923143</v>
      </c>
      <c r="AF1000" s="868">
        <f t="shared" si="302"/>
        <v>1000423.4496923143</v>
      </c>
      <c r="AG1000" s="868">
        <f t="shared" si="303"/>
        <v>1000423.4496923143</v>
      </c>
      <c r="AH1000" s="868">
        <f t="shared" si="304"/>
        <v>1000423.4496923143</v>
      </c>
      <c r="AI1000" s="886">
        <f t="shared" si="305"/>
        <v>1000423.4496923143</v>
      </c>
      <c r="AJ1000" s="886">
        <f t="shared" si="294"/>
        <v>7002964.1478462005</v>
      </c>
      <c r="AK1000" s="868">
        <f t="shared" si="306"/>
        <v>23009739.342923228</v>
      </c>
    </row>
    <row r="1001" spans="5:37" ht="35.25" customHeight="1" x14ac:dyDescent="0.2">
      <c r="E1001" s="884" t="s">
        <v>2307</v>
      </c>
      <c r="F1001" s="951"/>
      <c r="G1001" s="907" t="s">
        <v>3528</v>
      </c>
      <c r="H1001" s="917"/>
      <c r="I1001" s="861" t="s">
        <v>3568</v>
      </c>
      <c r="J1001" s="901" t="s">
        <v>1768</v>
      </c>
      <c r="K1001" s="900"/>
      <c r="L1001" s="902"/>
      <c r="M1001" s="901"/>
      <c r="N1001" s="902"/>
      <c r="O1001" s="952" t="s">
        <v>2936</v>
      </c>
      <c r="P1001" s="900">
        <v>2012</v>
      </c>
      <c r="Q1001" s="901"/>
      <c r="R1001" s="901"/>
      <c r="S1001" s="901"/>
      <c r="T1001" s="903" t="s">
        <v>12</v>
      </c>
      <c r="U1001" s="904">
        <v>49449125.880956002</v>
      </c>
      <c r="V1001" s="900"/>
      <c r="W1001" s="953"/>
      <c r="X1001" s="968"/>
      <c r="Y1001" s="884" t="str">
        <f t="shared" si="295"/>
        <v>04.16.01</v>
      </c>
      <c r="Z1001" s="884" t="str">
        <f t="shared" si="296"/>
        <v>Jaringan Air Minum</v>
      </c>
      <c r="AA1001" s="884">
        <f t="shared" si="297"/>
        <v>30</v>
      </c>
      <c r="AB1001" s="868">
        <f t="shared" si="298"/>
        <v>1648304.1960318668</v>
      </c>
      <c r="AC1001" s="885">
        <f t="shared" si="299"/>
        <v>2</v>
      </c>
      <c r="AD1001" s="868">
        <f t="shared" si="300"/>
        <v>3296608.3920637337</v>
      </c>
      <c r="AE1001" s="868">
        <f t="shared" si="301"/>
        <v>1648304.1960318668</v>
      </c>
      <c r="AF1001" s="868">
        <f t="shared" si="302"/>
        <v>1648304.1960318668</v>
      </c>
      <c r="AG1001" s="868">
        <f t="shared" si="303"/>
        <v>1648304.1960318668</v>
      </c>
      <c r="AH1001" s="868">
        <f t="shared" si="304"/>
        <v>1648304.1960318668</v>
      </c>
      <c r="AI1001" s="886">
        <f t="shared" si="305"/>
        <v>1648304.1960318668</v>
      </c>
      <c r="AJ1001" s="886">
        <f t="shared" si="294"/>
        <v>11538129.372223068</v>
      </c>
      <c r="AK1001" s="868">
        <f t="shared" si="306"/>
        <v>37910996.50873293</v>
      </c>
    </row>
    <row r="1002" spans="5:37" ht="35.25" customHeight="1" x14ac:dyDescent="0.2">
      <c r="E1002" s="884" t="s">
        <v>2307</v>
      </c>
      <c r="F1002" s="951"/>
      <c r="G1002" s="907" t="s">
        <v>3526</v>
      </c>
      <c r="H1002" s="917"/>
      <c r="I1002" s="861" t="s">
        <v>3568</v>
      </c>
      <c r="J1002" s="901" t="s">
        <v>1855</v>
      </c>
      <c r="K1002" s="900"/>
      <c r="L1002" s="902"/>
      <c r="M1002" s="901"/>
      <c r="N1002" s="902"/>
      <c r="O1002" s="952" t="s">
        <v>2936</v>
      </c>
      <c r="P1002" s="900">
        <v>2012</v>
      </c>
      <c r="Q1002" s="901"/>
      <c r="R1002" s="901"/>
      <c r="S1002" s="901"/>
      <c r="T1002" s="903" t="s">
        <v>12</v>
      </c>
      <c r="U1002" s="904">
        <v>482796398.79265285</v>
      </c>
      <c r="V1002" s="900"/>
      <c r="W1002" s="953"/>
      <c r="X1002" s="968"/>
      <c r="Y1002" s="884" t="str">
        <f t="shared" si="295"/>
        <v>04.16.01</v>
      </c>
      <c r="Z1002" s="884" t="str">
        <f t="shared" si="296"/>
        <v>Jaringan Air Minum</v>
      </c>
      <c r="AA1002" s="884">
        <f t="shared" si="297"/>
        <v>30</v>
      </c>
      <c r="AB1002" s="868">
        <f t="shared" si="298"/>
        <v>16093213.293088429</v>
      </c>
      <c r="AC1002" s="885">
        <f t="shared" si="299"/>
        <v>2</v>
      </c>
      <c r="AD1002" s="868">
        <f t="shared" si="300"/>
        <v>32186426.586176857</v>
      </c>
      <c r="AE1002" s="868">
        <f t="shared" si="301"/>
        <v>16093213.293088429</v>
      </c>
      <c r="AF1002" s="868">
        <f t="shared" si="302"/>
        <v>16093213.293088429</v>
      </c>
      <c r="AG1002" s="868">
        <f t="shared" si="303"/>
        <v>16093213.293088429</v>
      </c>
      <c r="AH1002" s="868">
        <f t="shared" si="304"/>
        <v>16093213.293088429</v>
      </c>
      <c r="AI1002" s="886">
        <f t="shared" si="305"/>
        <v>16093213.293088429</v>
      </c>
      <c r="AJ1002" s="886">
        <f t="shared" si="294"/>
        <v>112652493.05161902</v>
      </c>
      <c r="AK1002" s="868">
        <f t="shared" si="306"/>
        <v>370143905.74103379</v>
      </c>
    </row>
    <row r="1003" spans="5:37" ht="35.25" customHeight="1" x14ac:dyDescent="0.2">
      <c r="E1003" s="884" t="s">
        <v>2307</v>
      </c>
      <c r="F1003" s="951"/>
      <c r="G1003" s="907" t="s">
        <v>3529</v>
      </c>
      <c r="H1003" s="917"/>
      <c r="I1003" s="861" t="s">
        <v>3569</v>
      </c>
      <c r="J1003" s="901" t="s">
        <v>39</v>
      </c>
      <c r="K1003" s="900"/>
      <c r="L1003" s="902"/>
      <c r="M1003" s="901"/>
      <c r="N1003" s="902"/>
      <c r="O1003" s="952" t="s">
        <v>423</v>
      </c>
      <c r="P1003" s="900">
        <v>2013</v>
      </c>
      <c r="Q1003" s="901"/>
      <c r="R1003" s="901"/>
      <c r="S1003" s="901"/>
      <c r="T1003" s="903" t="s">
        <v>12</v>
      </c>
      <c r="U1003" s="904">
        <v>198265000</v>
      </c>
      <c r="V1003" s="900"/>
      <c r="W1003" s="953"/>
      <c r="X1003" s="968"/>
      <c r="Y1003" s="884" t="str">
        <f t="shared" si="295"/>
        <v>04.16.02</v>
      </c>
      <c r="Z1003" s="884" t="str">
        <f t="shared" si="296"/>
        <v>Jaringan Listrik</v>
      </c>
      <c r="AA1003" s="884">
        <f t="shared" si="297"/>
        <v>40</v>
      </c>
      <c r="AB1003" s="868">
        <f t="shared" si="298"/>
        <v>4956625</v>
      </c>
      <c r="AC1003" s="885">
        <f t="shared" si="299"/>
        <v>1</v>
      </c>
      <c r="AD1003" s="868">
        <f t="shared" si="300"/>
        <v>4956625</v>
      </c>
      <c r="AE1003" s="868">
        <f t="shared" si="301"/>
        <v>4956625</v>
      </c>
      <c r="AF1003" s="868">
        <f t="shared" si="302"/>
        <v>4956625</v>
      </c>
      <c r="AG1003" s="868">
        <f t="shared" si="303"/>
        <v>4956625</v>
      </c>
      <c r="AH1003" s="868">
        <f t="shared" si="304"/>
        <v>4956625</v>
      </c>
      <c r="AI1003" s="886">
        <f t="shared" si="305"/>
        <v>4956625</v>
      </c>
      <c r="AJ1003" s="886">
        <f t="shared" si="294"/>
        <v>29739750</v>
      </c>
      <c r="AK1003" s="868">
        <f t="shared" si="306"/>
        <v>168525250</v>
      </c>
    </row>
    <row r="1004" spans="5:37" ht="35.25" customHeight="1" x14ac:dyDescent="0.2">
      <c r="E1004" s="884" t="s">
        <v>2307</v>
      </c>
      <c r="F1004" s="951"/>
      <c r="G1004" s="907" t="s">
        <v>3530</v>
      </c>
      <c r="H1004" s="917"/>
      <c r="I1004" s="861" t="s">
        <v>3569</v>
      </c>
      <c r="J1004" s="901" t="s">
        <v>68</v>
      </c>
      <c r="K1004" s="900"/>
      <c r="L1004" s="902"/>
      <c r="M1004" s="901"/>
      <c r="N1004" s="902"/>
      <c r="O1004" s="952" t="s">
        <v>2891</v>
      </c>
      <c r="P1004" s="900">
        <v>2013</v>
      </c>
      <c r="Q1004" s="901"/>
      <c r="R1004" s="901"/>
      <c r="S1004" s="901"/>
      <c r="T1004" s="903" t="s">
        <v>12</v>
      </c>
      <c r="U1004" s="904">
        <v>198168000</v>
      </c>
      <c r="V1004" s="900"/>
      <c r="W1004" s="953"/>
      <c r="X1004" s="968"/>
      <c r="Y1004" s="884" t="str">
        <f t="shared" si="295"/>
        <v>04.16.02</v>
      </c>
      <c r="Z1004" s="884" t="str">
        <f t="shared" si="296"/>
        <v>Jaringan Listrik</v>
      </c>
      <c r="AA1004" s="884">
        <f t="shared" si="297"/>
        <v>40</v>
      </c>
      <c r="AB1004" s="868">
        <f t="shared" si="298"/>
        <v>4954200</v>
      </c>
      <c r="AC1004" s="885">
        <f t="shared" si="299"/>
        <v>1</v>
      </c>
      <c r="AD1004" s="868">
        <f t="shared" si="300"/>
        <v>4954200</v>
      </c>
      <c r="AE1004" s="868">
        <f t="shared" si="301"/>
        <v>4954200</v>
      </c>
      <c r="AF1004" s="868">
        <f t="shared" si="302"/>
        <v>4954200</v>
      </c>
      <c r="AG1004" s="868">
        <f t="shared" si="303"/>
        <v>4954200</v>
      </c>
      <c r="AH1004" s="868">
        <f t="shared" si="304"/>
        <v>4954200</v>
      </c>
      <c r="AI1004" s="886">
        <f t="shared" si="305"/>
        <v>4954200</v>
      </c>
      <c r="AJ1004" s="886">
        <f t="shared" ref="AJ1004:AJ1023" si="307">SUM(AD1004:AI1004)</f>
        <v>29725200</v>
      </c>
      <c r="AK1004" s="868">
        <f t="shared" si="306"/>
        <v>168442800</v>
      </c>
    </row>
    <row r="1005" spans="5:37" ht="35.25" customHeight="1" x14ac:dyDescent="0.2">
      <c r="E1005" s="884" t="s">
        <v>2307</v>
      </c>
      <c r="F1005" s="951"/>
      <c r="G1005" s="907" t="s">
        <v>3531</v>
      </c>
      <c r="H1005" s="917"/>
      <c r="I1005" s="861" t="s">
        <v>3570</v>
      </c>
      <c r="J1005" s="901" t="s">
        <v>39</v>
      </c>
      <c r="K1005" s="900"/>
      <c r="L1005" s="902"/>
      <c r="M1005" s="901"/>
      <c r="N1005" s="902"/>
      <c r="O1005" s="952" t="s">
        <v>417</v>
      </c>
      <c r="P1005" s="900">
        <v>2013</v>
      </c>
      <c r="Q1005" s="901"/>
      <c r="R1005" s="901"/>
      <c r="S1005" s="901"/>
      <c r="T1005" s="903" t="s">
        <v>12</v>
      </c>
      <c r="U1005" s="904">
        <v>74529390.572603837</v>
      </c>
      <c r="V1005" s="900"/>
      <c r="W1005" s="953"/>
      <c r="X1005" s="968"/>
      <c r="Y1005" s="884" t="str">
        <f t="shared" ref="Y1005:Y1023" si="308">LEFT(I1005,8)</f>
        <v>04.16.01</v>
      </c>
      <c r="Z1005" s="884" t="str">
        <f t="shared" si="296"/>
        <v>Jaringan Air Minum</v>
      </c>
      <c r="AA1005" s="884">
        <f t="shared" si="297"/>
        <v>30</v>
      </c>
      <c r="AB1005" s="868">
        <f t="shared" si="298"/>
        <v>2484313.0190867945</v>
      </c>
      <c r="AC1005" s="885">
        <f t="shared" si="299"/>
        <v>1</v>
      </c>
      <c r="AD1005" s="868">
        <f t="shared" si="300"/>
        <v>2484313.0190867945</v>
      </c>
      <c r="AE1005" s="868">
        <f t="shared" si="301"/>
        <v>2484313.0190867945</v>
      </c>
      <c r="AF1005" s="868">
        <f t="shared" si="302"/>
        <v>2484313.0190867945</v>
      </c>
      <c r="AG1005" s="868">
        <f t="shared" si="303"/>
        <v>2484313.0190867945</v>
      </c>
      <c r="AH1005" s="868">
        <f t="shared" si="304"/>
        <v>2484313.0190867945</v>
      </c>
      <c r="AI1005" s="886">
        <f t="shared" si="305"/>
        <v>2484313.0190867945</v>
      </c>
      <c r="AJ1005" s="886">
        <f t="shared" si="307"/>
        <v>14905878.114520768</v>
      </c>
      <c r="AK1005" s="868">
        <f t="shared" si="306"/>
        <v>59623512.458083071</v>
      </c>
    </row>
    <row r="1006" spans="5:37" ht="35.25" customHeight="1" x14ac:dyDescent="0.2">
      <c r="E1006" s="884" t="s">
        <v>2307</v>
      </c>
      <c r="F1006" s="951"/>
      <c r="G1006" s="907" t="s">
        <v>3532</v>
      </c>
      <c r="H1006" s="917"/>
      <c r="I1006" s="861" t="s">
        <v>2555</v>
      </c>
      <c r="J1006" s="901" t="s">
        <v>39</v>
      </c>
      <c r="K1006" s="900"/>
      <c r="L1006" s="902"/>
      <c r="M1006" s="901"/>
      <c r="N1006" s="902"/>
      <c r="O1006" s="952" t="s">
        <v>737</v>
      </c>
      <c r="P1006" s="900">
        <v>2013</v>
      </c>
      <c r="Q1006" s="901"/>
      <c r="R1006" s="901"/>
      <c r="S1006" s="901"/>
      <c r="T1006" s="903" t="s">
        <v>12</v>
      </c>
      <c r="U1006" s="904">
        <v>412452000</v>
      </c>
      <c r="V1006" s="900"/>
      <c r="W1006" s="953"/>
      <c r="X1006" s="968"/>
      <c r="Y1006" s="884" t="str">
        <f t="shared" si="308"/>
        <v>04.16.01</v>
      </c>
      <c r="Z1006" s="884" t="str">
        <f t="shared" si="296"/>
        <v>Jaringan Air Minum</v>
      </c>
      <c r="AA1006" s="884">
        <f t="shared" si="297"/>
        <v>30</v>
      </c>
      <c r="AB1006" s="868">
        <f t="shared" si="298"/>
        <v>13748400</v>
      </c>
      <c r="AC1006" s="885">
        <f t="shared" si="299"/>
        <v>1</v>
      </c>
      <c r="AD1006" s="868">
        <f t="shared" si="300"/>
        <v>13748400</v>
      </c>
      <c r="AE1006" s="868">
        <f t="shared" si="301"/>
        <v>13748400</v>
      </c>
      <c r="AF1006" s="868">
        <f t="shared" si="302"/>
        <v>13748400</v>
      </c>
      <c r="AG1006" s="868">
        <f t="shared" si="303"/>
        <v>13748400</v>
      </c>
      <c r="AH1006" s="868">
        <f t="shared" si="304"/>
        <v>13748400</v>
      </c>
      <c r="AI1006" s="886">
        <f t="shared" si="305"/>
        <v>13748400</v>
      </c>
      <c r="AJ1006" s="886">
        <f t="shared" si="307"/>
        <v>82490400</v>
      </c>
      <c r="AK1006" s="868">
        <f t="shared" si="306"/>
        <v>329961600</v>
      </c>
    </row>
    <row r="1007" spans="5:37" ht="35.25" customHeight="1" x14ac:dyDescent="0.2">
      <c r="E1007" s="884" t="s">
        <v>2307</v>
      </c>
      <c r="F1007" s="951"/>
      <c r="G1007" s="907" t="s">
        <v>3533</v>
      </c>
      <c r="H1007" s="917"/>
      <c r="I1007" s="861" t="s">
        <v>3566</v>
      </c>
      <c r="J1007" s="901" t="s">
        <v>39</v>
      </c>
      <c r="K1007" s="900"/>
      <c r="L1007" s="902"/>
      <c r="M1007" s="901"/>
      <c r="N1007" s="902"/>
      <c r="O1007" s="952" t="s">
        <v>417</v>
      </c>
      <c r="P1007" s="900">
        <v>2013</v>
      </c>
      <c r="Q1007" s="901"/>
      <c r="R1007" s="901"/>
      <c r="S1007" s="901"/>
      <c r="T1007" s="903" t="s">
        <v>12</v>
      </c>
      <c r="U1007" s="904">
        <v>718008000</v>
      </c>
      <c r="V1007" s="900"/>
      <c r="W1007" s="953"/>
      <c r="X1007" s="968"/>
      <c r="Y1007" s="884" t="str">
        <f t="shared" si="308"/>
        <v>04.16.01</v>
      </c>
      <c r="Z1007" s="884" t="str">
        <f t="shared" si="296"/>
        <v>Jaringan Air Minum</v>
      </c>
      <c r="AA1007" s="884">
        <f t="shared" si="297"/>
        <v>30</v>
      </c>
      <c r="AB1007" s="868">
        <f t="shared" si="298"/>
        <v>23933600</v>
      </c>
      <c r="AC1007" s="885">
        <f t="shared" si="299"/>
        <v>1</v>
      </c>
      <c r="AD1007" s="868">
        <f t="shared" si="300"/>
        <v>23933600</v>
      </c>
      <c r="AE1007" s="868">
        <f t="shared" si="301"/>
        <v>23933600</v>
      </c>
      <c r="AF1007" s="868">
        <f t="shared" si="302"/>
        <v>23933600</v>
      </c>
      <c r="AG1007" s="868">
        <f t="shared" si="303"/>
        <v>23933600</v>
      </c>
      <c r="AH1007" s="868">
        <f t="shared" si="304"/>
        <v>23933600</v>
      </c>
      <c r="AI1007" s="886">
        <f t="shared" si="305"/>
        <v>23933600</v>
      </c>
      <c r="AJ1007" s="886">
        <f t="shared" si="307"/>
        <v>143601600</v>
      </c>
      <c r="AK1007" s="868">
        <f t="shared" si="306"/>
        <v>574406400</v>
      </c>
    </row>
    <row r="1008" spans="5:37" ht="35.25" customHeight="1" x14ac:dyDescent="0.2">
      <c r="E1008" s="884" t="s">
        <v>2307</v>
      </c>
      <c r="F1008" s="951"/>
      <c r="G1008" s="907" t="s">
        <v>3534</v>
      </c>
      <c r="H1008" s="917"/>
      <c r="I1008" s="861" t="s">
        <v>3571</v>
      </c>
      <c r="J1008" s="901" t="s">
        <v>39</v>
      </c>
      <c r="K1008" s="900"/>
      <c r="L1008" s="902"/>
      <c r="M1008" s="901"/>
      <c r="N1008" s="902"/>
      <c r="O1008" s="952" t="s">
        <v>52</v>
      </c>
      <c r="P1008" s="900">
        <v>2013</v>
      </c>
      <c r="Q1008" s="901"/>
      <c r="R1008" s="901"/>
      <c r="S1008" s="901"/>
      <c r="T1008" s="903" t="s">
        <v>12</v>
      </c>
      <c r="U1008" s="904">
        <v>221324968.6019634</v>
      </c>
      <c r="V1008" s="900"/>
      <c r="W1008" s="953"/>
      <c r="X1008" s="968"/>
      <c r="Y1008" s="884" t="str">
        <f t="shared" si="308"/>
        <v>04.16.02</v>
      </c>
      <c r="Z1008" s="884" t="str">
        <f t="shared" si="296"/>
        <v>Jaringan Listrik</v>
      </c>
      <c r="AA1008" s="884">
        <f t="shared" si="297"/>
        <v>40</v>
      </c>
      <c r="AB1008" s="868">
        <f t="shared" si="298"/>
        <v>5533124.2150490852</v>
      </c>
      <c r="AC1008" s="885">
        <f t="shared" si="299"/>
        <v>1</v>
      </c>
      <c r="AD1008" s="868">
        <f t="shared" si="300"/>
        <v>5533124.2150490852</v>
      </c>
      <c r="AE1008" s="868">
        <f t="shared" si="301"/>
        <v>5533124.2150490852</v>
      </c>
      <c r="AF1008" s="868">
        <f t="shared" si="302"/>
        <v>5533124.2150490852</v>
      </c>
      <c r="AG1008" s="868">
        <f t="shared" si="303"/>
        <v>5533124.2150490852</v>
      </c>
      <c r="AH1008" s="868">
        <f t="shared" si="304"/>
        <v>5533124.2150490852</v>
      </c>
      <c r="AI1008" s="886">
        <f t="shared" si="305"/>
        <v>5533124.2150490852</v>
      </c>
      <c r="AJ1008" s="886">
        <f t="shared" si="307"/>
        <v>33198745.290294509</v>
      </c>
      <c r="AK1008" s="868">
        <f t="shared" si="306"/>
        <v>188126223.3116689</v>
      </c>
    </row>
    <row r="1009" spans="5:37" ht="35.25" customHeight="1" x14ac:dyDescent="0.2">
      <c r="E1009" s="884" t="s">
        <v>2307</v>
      </c>
      <c r="F1009" s="951"/>
      <c r="G1009" s="907" t="s">
        <v>3535</v>
      </c>
      <c r="H1009" s="917"/>
      <c r="I1009" s="861" t="s">
        <v>3567</v>
      </c>
      <c r="J1009" s="901" t="s">
        <v>39</v>
      </c>
      <c r="K1009" s="900"/>
      <c r="L1009" s="902"/>
      <c r="M1009" s="901"/>
      <c r="N1009" s="902"/>
      <c r="O1009" s="952" t="s">
        <v>3556</v>
      </c>
      <c r="P1009" s="900">
        <v>2014</v>
      </c>
      <c r="Q1009" s="901"/>
      <c r="R1009" s="901"/>
      <c r="S1009" s="901"/>
      <c r="T1009" s="903" t="s">
        <v>12</v>
      </c>
      <c r="U1009" s="904">
        <v>246003000</v>
      </c>
      <c r="V1009" s="900"/>
      <c r="W1009" s="953"/>
      <c r="X1009" s="968"/>
      <c r="Y1009" s="884" t="str">
        <f t="shared" si="308"/>
        <v>04.16.01</v>
      </c>
      <c r="Z1009" s="884" t="str">
        <f t="shared" si="296"/>
        <v>Jaringan Air Minum</v>
      </c>
      <c r="AA1009" s="884">
        <f t="shared" si="297"/>
        <v>30</v>
      </c>
      <c r="AB1009" s="868">
        <f t="shared" si="298"/>
        <v>8200100</v>
      </c>
      <c r="AC1009" s="885">
        <f t="shared" si="299"/>
        <v>0</v>
      </c>
      <c r="AD1009" s="868">
        <f t="shared" si="300"/>
        <v>0</v>
      </c>
      <c r="AE1009" s="868">
        <f t="shared" si="301"/>
        <v>8200100</v>
      </c>
      <c r="AF1009" s="868">
        <f t="shared" si="302"/>
        <v>8200100</v>
      </c>
      <c r="AG1009" s="868">
        <f t="shared" si="303"/>
        <v>8200100</v>
      </c>
      <c r="AH1009" s="868">
        <f t="shared" si="304"/>
        <v>8200100</v>
      </c>
      <c r="AI1009" s="886">
        <f t="shared" si="305"/>
        <v>8200100</v>
      </c>
      <c r="AJ1009" s="886">
        <f t="shared" si="307"/>
        <v>41000500</v>
      </c>
      <c r="AK1009" s="868">
        <f t="shared" si="306"/>
        <v>205002500</v>
      </c>
    </row>
    <row r="1010" spans="5:37" ht="35.25" customHeight="1" x14ac:dyDescent="0.2">
      <c r="E1010" s="884" t="s">
        <v>2307</v>
      </c>
      <c r="F1010" s="951"/>
      <c r="G1010" s="907" t="s">
        <v>3536</v>
      </c>
      <c r="H1010" s="917"/>
      <c r="I1010" s="861" t="s">
        <v>3567</v>
      </c>
      <c r="J1010" s="901" t="s">
        <v>68</v>
      </c>
      <c r="K1010" s="900"/>
      <c r="L1010" s="902"/>
      <c r="M1010" s="901"/>
      <c r="N1010" s="902"/>
      <c r="O1010" s="952" t="s">
        <v>3557</v>
      </c>
      <c r="P1010" s="900">
        <v>2014</v>
      </c>
      <c r="Q1010" s="901"/>
      <c r="R1010" s="901"/>
      <c r="S1010" s="901"/>
      <c r="T1010" s="903" t="s">
        <v>12</v>
      </c>
      <c r="U1010" s="904">
        <v>601050000</v>
      </c>
      <c r="V1010" s="900"/>
      <c r="W1010" s="953"/>
      <c r="X1010" s="968"/>
      <c r="Y1010" s="884" t="str">
        <f t="shared" si="308"/>
        <v>04.16.01</v>
      </c>
      <c r="Z1010" s="884" t="str">
        <f t="shared" si="296"/>
        <v>Jaringan Air Minum</v>
      </c>
      <c r="AA1010" s="884">
        <f t="shared" si="297"/>
        <v>30</v>
      </c>
      <c r="AB1010" s="868">
        <f t="shared" si="298"/>
        <v>20035000</v>
      </c>
      <c r="AC1010" s="885">
        <f t="shared" si="299"/>
        <v>0</v>
      </c>
      <c r="AD1010" s="868">
        <f t="shared" si="300"/>
        <v>0</v>
      </c>
      <c r="AE1010" s="868">
        <f t="shared" si="301"/>
        <v>20035000</v>
      </c>
      <c r="AF1010" s="868">
        <f t="shared" si="302"/>
        <v>20035000</v>
      </c>
      <c r="AG1010" s="868">
        <f t="shared" si="303"/>
        <v>20035000</v>
      </c>
      <c r="AH1010" s="868">
        <f t="shared" si="304"/>
        <v>20035000</v>
      </c>
      <c r="AI1010" s="886">
        <f t="shared" si="305"/>
        <v>20035000</v>
      </c>
      <c r="AJ1010" s="886">
        <f t="shared" si="307"/>
        <v>100175000</v>
      </c>
      <c r="AK1010" s="868">
        <f t="shared" si="306"/>
        <v>500875000</v>
      </c>
    </row>
    <row r="1011" spans="5:37" ht="35.25" customHeight="1" x14ac:dyDescent="0.2">
      <c r="E1011" s="884" t="s">
        <v>2307</v>
      </c>
      <c r="F1011" s="951"/>
      <c r="G1011" s="907" t="s">
        <v>3537</v>
      </c>
      <c r="H1011" s="917"/>
      <c r="I1011" s="861" t="s">
        <v>3567</v>
      </c>
      <c r="J1011" s="901" t="s">
        <v>1765</v>
      </c>
      <c r="K1011" s="900"/>
      <c r="L1011" s="902"/>
      <c r="M1011" s="901"/>
      <c r="N1011" s="902"/>
      <c r="O1011" s="952" t="s">
        <v>3558</v>
      </c>
      <c r="P1011" s="900">
        <v>2014</v>
      </c>
      <c r="Q1011" s="901"/>
      <c r="R1011" s="901"/>
      <c r="S1011" s="901"/>
      <c r="T1011" s="903" t="s">
        <v>12</v>
      </c>
      <c r="U1011" s="904">
        <v>198898000</v>
      </c>
      <c r="V1011" s="900"/>
      <c r="W1011" s="953"/>
      <c r="X1011" s="968"/>
      <c r="Y1011" s="884" t="str">
        <f t="shared" si="308"/>
        <v>04.16.01</v>
      </c>
      <c r="Z1011" s="884" t="str">
        <f t="shared" si="296"/>
        <v>Jaringan Air Minum</v>
      </c>
      <c r="AA1011" s="884">
        <f t="shared" si="297"/>
        <v>30</v>
      </c>
      <c r="AB1011" s="868">
        <f t="shared" si="298"/>
        <v>6629933.333333333</v>
      </c>
      <c r="AC1011" s="885">
        <f t="shared" si="299"/>
        <v>0</v>
      </c>
      <c r="AD1011" s="868">
        <f t="shared" si="300"/>
        <v>0</v>
      </c>
      <c r="AE1011" s="868">
        <f t="shared" si="301"/>
        <v>6629933.333333333</v>
      </c>
      <c r="AF1011" s="868">
        <f t="shared" si="302"/>
        <v>6629933.333333333</v>
      </c>
      <c r="AG1011" s="868">
        <f t="shared" si="303"/>
        <v>6629933.333333333</v>
      </c>
      <c r="AH1011" s="868">
        <f t="shared" si="304"/>
        <v>6629933.333333333</v>
      </c>
      <c r="AI1011" s="886">
        <f t="shared" si="305"/>
        <v>6629933.333333333</v>
      </c>
      <c r="AJ1011" s="886">
        <f t="shared" si="307"/>
        <v>33149666.666666664</v>
      </c>
      <c r="AK1011" s="868">
        <f t="shared" si="306"/>
        <v>165748333.33333334</v>
      </c>
    </row>
    <row r="1012" spans="5:37" ht="35.25" customHeight="1" x14ac:dyDescent="0.2">
      <c r="E1012" s="884" t="s">
        <v>2307</v>
      </c>
      <c r="F1012" s="951"/>
      <c r="G1012" s="907" t="s">
        <v>3538</v>
      </c>
      <c r="H1012" s="917"/>
      <c r="I1012" s="861" t="s">
        <v>3567</v>
      </c>
      <c r="J1012" s="901" t="s">
        <v>1768</v>
      </c>
      <c r="K1012" s="900"/>
      <c r="L1012" s="902"/>
      <c r="M1012" s="901"/>
      <c r="N1012" s="902"/>
      <c r="O1012" s="952" t="s">
        <v>3558</v>
      </c>
      <c r="P1012" s="900">
        <v>2014</v>
      </c>
      <c r="Q1012" s="901"/>
      <c r="R1012" s="901"/>
      <c r="S1012" s="901"/>
      <c r="T1012" s="903" t="s">
        <v>12</v>
      </c>
      <c r="U1012" s="904">
        <v>142292000</v>
      </c>
      <c r="V1012" s="900"/>
      <c r="W1012" s="953"/>
      <c r="X1012" s="968"/>
      <c r="Y1012" s="884" t="str">
        <f t="shared" si="308"/>
        <v>04.16.01</v>
      </c>
      <c r="Z1012" s="884" t="str">
        <f t="shared" si="296"/>
        <v>Jaringan Air Minum</v>
      </c>
      <c r="AA1012" s="884">
        <f t="shared" si="297"/>
        <v>30</v>
      </c>
      <c r="AB1012" s="868">
        <f t="shared" si="298"/>
        <v>4743066.666666667</v>
      </c>
      <c r="AC1012" s="885">
        <f t="shared" si="299"/>
        <v>0</v>
      </c>
      <c r="AD1012" s="868">
        <f t="shared" si="300"/>
        <v>0</v>
      </c>
      <c r="AE1012" s="868">
        <f t="shared" si="301"/>
        <v>4743066.666666667</v>
      </c>
      <c r="AF1012" s="868">
        <f t="shared" si="302"/>
        <v>4743066.666666667</v>
      </c>
      <c r="AG1012" s="868">
        <f t="shared" si="303"/>
        <v>4743066.666666667</v>
      </c>
      <c r="AH1012" s="868">
        <f t="shared" si="304"/>
        <v>4743066.666666667</v>
      </c>
      <c r="AI1012" s="886">
        <f t="shared" si="305"/>
        <v>4743066.666666667</v>
      </c>
      <c r="AJ1012" s="886">
        <f t="shared" si="307"/>
        <v>23715333.333333336</v>
      </c>
      <c r="AK1012" s="868">
        <f t="shared" si="306"/>
        <v>118576666.66666666</v>
      </c>
    </row>
    <row r="1013" spans="5:37" ht="35.25" customHeight="1" x14ac:dyDescent="0.2">
      <c r="E1013" s="884" t="s">
        <v>2307</v>
      </c>
      <c r="F1013" s="951"/>
      <c r="G1013" s="907" t="s">
        <v>3539</v>
      </c>
      <c r="H1013" s="917"/>
      <c r="I1013" s="861" t="s">
        <v>3567</v>
      </c>
      <c r="J1013" s="901" t="s">
        <v>1855</v>
      </c>
      <c r="K1013" s="900"/>
      <c r="L1013" s="902"/>
      <c r="M1013" s="901"/>
      <c r="N1013" s="902"/>
      <c r="O1013" s="952" t="s">
        <v>3558</v>
      </c>
      <c r="P1013" s="900">
        <v>2014</v>
      </c>
      <c r="Q1013" s="901"/>
      <c r="R1013" s="901"/>
      <c r="S1013" s="901"/>
      <c r="T1013" s="903" t="s">
        <v>12</v>
      </c>
      <c r="U1013" s="904">
        <v>144231000</v>
      </c>
      <c r="V1013" s="900"/>
      <c r="W1013" s="953"/>
      <c r="X1013" s="968"/>
      <c r="Y1013" s="884" t="str">
        <f t="shared" si="308"/>
        <v>04.16.01</v>
      </c>
      <c r="Z1013" s="884" t="str">
        <f t="shared" si="296"/>
        <v>Jaringan Air Minum</v>
      </c>
      <c r="AA1013" s="884">
        <f t="shared" si="297"/>
        <v>30</v>
      </c>
      <c r="AB1013" s="868">
        <f t="shared" si="298"/>
        <v>4807700</v>
      </c>
      <c r="AC1013" s="885">
        <f t="shared" si="299"/>
        <v>0</v>
      </c>
      <c r="AD1013" s="868">
        <f t="shared" si="300"/>
        <v>0</v>
      </c>
      <c r="AE1013" s="868">
        <f t="shared" si="301"/>
        <v>4807700</v>
      </c>
      <c r="AF1013" s="868">
        <f t="shared" si="302"/>
        <v>4807700</v>
      </c>
      <c r="AG1013" s="868">
        <f t="shared" si="303"/>
        <v>4807700</v>
      </c>
      <c r="AH1013" s="868">
        <f t="shared" si="304"/>
        <v>4807700</v>
      </c>
      <c r="AI1013" s="886">
        <f t="shared" si="305"/>
        <v>4807700</v>
      </c>
      <c r="AJ1013" s="886">
        <f t="shared" si="307"/>
        <v>24038500</v>
      </c>
      <c r="AK1013" s="868">
        <f t="shared" si="306"/>
        <v>120192500</v>
      </c>
    </row>
    <row r="1014" spans="5:37" ht="35.25" customHeight="1" x14ac:dyDescent="0.2">
      <c r="E1014" s="884" t="s">
        <v>2307</v>
      </c>
      <c r="F1014" s="951"/>
      <c r="G1014" s="907" t="s">
        <v>3540</v>
      </c>
      <c r="H1014" s="917"/>
      <c r="I1014" s="861" t="s">
        <v>3567</v>
      </c>
      <c r="J1014" s="901" t="s">
        <v>39</v>
      </c>
      <c r="K1014" s="900"/>
      <c r="L1014" s="902"/>
      <c r="M1014" s="901"/>
      <c r="N1014" s="902"/>
      <c r="O1014" s="952" t="s">
        <v>3558</v>
      </c>
      <c r="P1014" s="900">
        <v>2014</v>
      </c>
      <c r="Q1014" s="901"/>
      <c r="R1014" s="901"/>
      <c r="S1014" s="901"/>
      <c r="T1014" s="903" t="s">
        <v>12</v>
      </c>
      <c r="U1014" s="904">
        <v>114261885.15693964</v>
      </c>
      <c r="V1014" s="900"/>
      <c r="W1014" s="953"/>
      <c r="X1014" s="968"/>
      <c r="Y1014" s="884" t="str">
        <f t="shared" si="308"/>
        <v>04.16.01</v>
      </c>
      <c r="Z1014" s="884" t="str">
        <f t="shared" si="296"/>
        <v>Jaringan Air Minum</v>
      </c>
      <c r="AA1014" s="884">
        <f t="shared" si="297"/>
        <v>30</v>
      </c>
      <c r="AB1014" s="868">
        <f t="shared" si="298"/>
        <v>3808729.5052313213</v>
      </c>
      <c r="AC1014" s="885">
        <f t="shared" si="299"/>
        <v>0</v>
      </c>
      <c r="AD1014" s="868">
        <f t="shared" si="300"/>
        <v>0</v>
      </c>
      <c r="AE1014" s="868">
        <f t="shared" si="301"/>
        <v>3808729.5052313213</v>
      </c>
      <c r="AF1014" s="868">
        <f t="shared" si="302"/>
        <v>3808729.5052313213</v>
      </c>
      <c r="AG1014" s="868">
        <f t="shared" si="303"/>
        <v>3808729.5052313213</v>
      </c>
      <c r="AH1014" s="868">
        <f t="shared" si="304"/>
        <v>3808729.5052313213</v>
      </c>
      <c r="AI1014" s="886">
        <f t="shared" si="305"/>
        <v>3808729.5052313213</v>
      </c>
      <c r="AJ1014" s="886">
        <f t="shared" si="307"/>
        <v>19043647.526156608</v>
      </c>
      <c r="AK1014" s="868">
        <f t="shared" si="306"/>
        <v>95218237.630783036</v>
      </c>
    </row>
    <row r="1015" spans="5:37" ht="35.25" customHeight="1" x14ac:dyDescent="0.2">
      <c r="E1015" s="884" t="s">
        <v>2307</v>
      </c>
      <c r="F1015" s="951"/>
      <c r="G1015" s="907" t="s">
        <v>3541</v>
      </c>
      <c r="H1015" s="917"/>
      <c r="I1015" s="861" t="s">
        <v>3567</v>
      </c>
      <c r="J1015" s="901" t="s">
        <v>68</v>
      </c>
      <c r="K1015" s="900"/>
      <c r="L1015" s="902"/>
      <c r="M1015" s="901"/>
      <c r="N1015" s="902"/>
      <c r="O1015" s="952" t="s">
        <v>3558</v>
      </c>
      <c r="P1015" s="900">
        <v>2014</v>
      </c>
      <c r="Q1015" s="901"/>
      <c r="R1015" s="901"/>
      <c r="S1015" s="901"/>
      <c r="T1015" s="903" t="s">
        <v>12</v>
      </c>
      <c r="U1015" s="904">
        <v>74728376.872205257</v>
      </c>
      <c r="V1015" s="900"/>
      <c r="W1015" s="953"/>
      <c r="X1015" s="968"/>
      <c r="Y1015" s="884" t="str">
        <f t="shared" si="308"/>
        <v>04.16.01</v>
      </c>
      <c r="Z1015" s="884" t="str">
        <f t="shared" si="296"/>
        <v>Jaringan Air Minum</v>
      </c>
      <c r="AA1015" s="884">
        <f t="shared" si="297"/>
        <v>30</v>
      </c>
      <c r="AB1015" s="868">
        <f t="shared" si="298"/>
        <v>2490945.8957401752</v>
      </c>
      <c r="AC1015" s="885">
        <f t="shared" si="299"/>
        <v>0</v>
      </c>
      <c r="AD1015" s="868">
        <f t="shared" si="300"/>
        <v>0</v>
      </c>
      <c r="AE1015" s="868">
        <f t="shared" si="301"/>
        <v>2490945.8957401752</v>
      </c>
      <c r="AF1015" s="868">
        <f t="shared" si="302"/>
        <v>2490945.8957401752</v>
      </c>
      <c r="AG1015" s="868">
        <f t="shared" si="303"/>
        <v>2490945.8957401752</v>
      </c>
      <c r="AH1015" s="868">
        <f t="shared" si="304"/>
        <v>2490945.8957401752</v>
      </c>
      <c r="AI1015" s="886">
        <f t="shared" si="305"/>
        <v>2490945.8957401752</v>
      </c>
      <c r="AJ1015" s="886">
        <f t="shared" si="307"/>
        <v>12454729.478700876</v>
      </c>
      <c r="AK1015" s="868">
        <f t="shared" si="306"/>
        <v>62273647.393504381</v>
      </c>
    </row>
    <row r="1016" spans="5:37" ht="35.25" customHeight="1" x14ac:dyDescent="0.2">
      <c r="E1016" s="884" t="s">
        <v>2307</v>
      </c>
      <c r="F1016" s="951"/>
      <c r="G1016" s="907" t="s">
        <v>3542</v>
      </c>
      <c r="H1016" s="917"/>
      <c r="I1016" s="861" t="s">
        <v>3567</v>
      </c>
      <c r="J1016" s="901" t="s">
        <v>39</v>
      </c>
      <c r="K1016" s="900"/>
      <c r="L1016" s="902"/>
      <c r="M1016" s="901"/>
      <c r="N1016" s="902"/>
      <c r="O1016" s="952" t="s">
        <v>3558</v>
      </c>
      <c r="P1016" s="900">
        <v>2014</v>
      </c>
      <c r="Q1016" s="901"/>
      <c r="R1016" s="901"/>
      <c r="S1016" s="901"/>
      <c r="T1016" s="903" t="s">
        <v>12</v>
      </c>
      <c r="U1016" s="904">
        <v>19068737.970855102</v>
      </c>
      <c r="V1016" s="900"/>
      <c r="W1016" s="953"/>
      <c r="X1016" s="968"/>
      <c r="Y1016" s="884" t="str">
        <f t="shared" si="308"/>
        <v>04.16.01</v>
      </c>
      <c r="Z1016" s="884" t="str">
        <f t="shared" si="296"/>
        <v>Jaringan Air Minum</v>
      </c>
      <c r="AA1016" s="884">
        <f t="shared" si="297"/>
        <v>30</v>
      </c>
      <c r="AB1016" s="868">
        <f t="shared" si="298"/>
        <v>635624.59902850341</v>
      </c>
      <c r="AC1016" s="885">
        <f t="shared" si="299"/>
        <v>0</v>
      </c>
      <c r="AD1016" s="868">
        <f t="shared" si="300"/>
        <v>0</v>
      </c>
      <c r="AE1016" s="868">
        <f t="shared" si="301"/>
        <v>635624.59902850341</v>
      </c>
      <c r="AF1016" s="868">
        <f t="shared" si="302"/>
        <v>635624.59902850341</v>
      </c>
      <c r="AG1016" s="868">
        <f t="shared" si="303"/>
        <v>635624.59902850341</v>
      </c>
      <c r="AH1016" s="868">
        <f t="shared" si="304"/>
        <v>635624.59902850341</v>
      </c>
      <c r="AI1016" s="886">
        <f t="shared" si="305"/>
        <v>635624.59902850341</v>
      </c>
      <c r="AJ1016" s="886">
        <f t="shared" si="307"/>
        <v>3178122.9951425171</v>
      </c>
      <c r="AK1016" s="868">
        <f t="shared" si="306"/>
        <v>15890614.975712584</v>
      </c>
    </row>
    <row r="1017" spans="5:37" ht="35.25" customHeight="1" x14ac:dyDescent="0.2">
      <c r="E1017" s="884" t="s">
        <v>2307</v>
      </c>
      <c r="F1017" s="951"/>
      <c r="G1017" s="907" t="s">
        <v>3543</v>
      </c>
      <c r="H1017" s="917"/>
      <c r="I1017" s="861" t="s">
        <v>2555</v>
      </c>
      <c r="J1017" s="901" t="s">
        <v>39</v>
      </c>
      <c r="K1017" s="900"/>
      <c r="L1017" s="902"/>
      <c r="M1017" s="901"/>
      <c r="N1017" s="902"/>
      <c r="O1017" s="952" t="s">
        <v>2957</v>
      </c>
      <c r="P1017" s="900">
        <v>2015</v>
      </c>
      <c r="Q1017" s="901"/>
      <c r="R1017" s="901"/>
      <c r="S1017" s="901"/>
      <c r="T1017" s="903" t="s">
        <v>12</v>
      </c>
      <c r="U1017" s="904">
        <v>137833000</v>
      </c>
      <c r="V1017" s="900"/>
      <c r="W1017" s="953"/>
      <c r="X1017" s="968"/>
      <c r="Y1017" s="884" t="str">
        <f t="shared" si="308"/>
        <v>04.16.01</v>
      </c>
      <c r="Z1017" s="884" t="str">
        <f t="shared" si="296"/>
        <v>Jaringan Air Minum</v>
      </c>
      <c r="AA1017" s="884">
        <f t="shared" si="297"/>
        <v>30</v>
      </c>
      <c r="AB1017" s="868">
        <f t="shared" si="298"/>
        <v>4594433.333333333</v>
      </c>
      <c r="AC1017" s="885">
        <f t="shared" si="299"/>
        <v>0</v>
      </c>
      <c r="AD1017" s="868">
        <f t="shared" si="300"/>
        <v>0</v>
      </c>
      <c r="AE1017" s="868">
        <v>0</v>
      </c>
      <c r="AF1017" s="868">
        <f t="shared" si="302"/>
        <v>4594433.333333333</v>
      </c>
      <c r="AG1017" s="868">
        <f t="shared" si="303"/>
        <v>4594433.333333333</v>
      </c>
      <c r="AH1017" s="868">
        <f t="shared" si="304"/>
        <v>4594433.333333333</v>
      </c>
      <c r="AI1017" s="886">
        <f t="shared" si="305"/>
        <v>4594433.333333333</v>
      </c>
      <c r="AJ1017" s="886">
        <f t="shared" si="307"/>
        <v>18377733.333333332</v>
      </c>
      <c r="AK1017" s="868">
        <f t="shared" si="306"/>
        <v>119455266.66666667</v>
      </c>
    </row>
    <row r="1018" spans="5:37" ht="35.25" customHeight="1" x14ac:dyDescent="0.2">
      <c r="E1018" s="884" t="s">
        <v>2307</v>
      </c>
      <c r="F1018" s="951"/>
      <c r="G1018" s="907" t="s">
        <v>3544</v>
      </c>
      <c r="H1018" s="917"/>
      <c r="I1018" s="861" t="s">
        <v>2555</v>
      </c>
      <c r="J1018" s="901" t="s">
        <v>68</v>
      </c>
      <c r="K1018" s="900"/>
      <c r="L1018" s="902"/>
      <c r="M1018" s="901"/>
      <c r="N1018" s="902"/>
      <c r="O1018" s="952" t="s">
        <v>3559</v>
      </c>
      <c r="P1018" s="900">
        <v>2016</v>
      </c>
      <c r="Q1018" s="901"/>
      <c r="R1018" s="901"/>
      <c r="S1018" s="901"/>
      <c r="T1018" s="903" t="s">
        <v>12</v>
      </c>
      <c r="U1018" s="904">
        <v>365000000</v>
      </c>
      <c r="V1018" s="900"/>
      <c r="W1018" s="953"/>
      <c r="X1018" s="968"/>
      <c r="Y1018" s="884" t="str">
        <f t="shared" si="308"/>
        <v>04.16.01</v>
      </c>
      <c r="Z1018" s="884" t="str">
        <f t="shared" si="296"/>
        <v>Jaringan Air Minum</v>
      </c>
      <c r="AA1018" s="884">
        <f t="shared" si="297"/>
        <v>30</v>
      </c>
      <c r="AB1018" s="868">
        <f t="shared" si="298"/>
        <v>12166666.666666666</v>
      </c>
      <c r="AC1018" s="885">
        <f t="shared" si="299"/>
        <v>0</v>
      </c>
      <c r="AD1018" s="868">
        <f t="shared" si="300"/>
        <v>0</v>
      </c>
      <c r="AE1018" s="868">
        <v>0</v>
      </c>
      <c r="AF1018" s="868">
        <v>0</v>
      </c>
      <c r="AG1018" s="868">
        <f t="shared" si="303"/>
        <v>12166666.666666666</v>
      </c>
      <c r="AH1018" s="868">
        <f t="shared" si="304"/>
        <v>12166666.666666666</v>
      </c>
      <c r="AI1018" s="886">
        <f t="shared" si="305"/>
        <v>12166666.666666666</v>
      </c>
      <c r="AJ1018" s="886">
        <f t="shared" si="307"/>
        <v>36500000</v>
      </c>
      <c r="AK1018" s="868">
        <f t="shared" si="306"/>
        <v>328500000</v>
      </c>
    </row>
    <row r="1019" spans="5:37" ht="35.25" customHeight="1" x14ac:dyDescent="0.2">
      <c r="E1019" s="884" t="s">
        <v>2307</v>
      </c>
      <c r="F1019" s="951"/>
      <c r="G1019" s="907" t="s">
        <v>3545</v>
      </c>
      <c r="H1019" s="917"/>
      <c r="I1019" s="861" t="s">
        <v>2555</v>
      </c>
      <c r="J1019" s="901" t="s">
        <v>1765</v>
      </c>
      <c r="K1019" s="900"/>
      <c r="L1019" s="902"/>
      <c r="M1019" s="901"/>
      <c r="N1019" s="902"/>
      <c r="O1019" s="952" t="s">
        <v>3560</v>
      </c>
      <c r="P1019" s="900">
        <v>2016</v>
      </c>
      <c r="Q1019" s="901"/>
      <c r="R1019" s="901"/>
      <c r="S1019" s="901"/>
      <c r="T1019" s="903" t="s">
        <v>12</v>
      </c>
      <c r="U1019" s="904">
        <v>577777000</v>
      </c>
      <c r="V1019" s="900"/>
      <c r="W1019" s="953"/>
      <c r="X1019" s="968"/>
      <c r="Y1019" s="884" t="str">
        <f t="shared" si="308"/>
        <v>04.16.01</v>
      </c>
      <c r="Z1019" s="884" t="str">
        <f t="shared" si="296"/>
        <v>Jaringan Air Minum</v>
      </c>
      <c r="AA1019" s="884">
        <f t="shared" si="297"/>
        <v>30</v>
      </c>
      <c r="AB1019" s="868">
        <f t="shared" si="298"/>
        <v>19259233.333333332</v>
      </c>
      <c r="AC1019" s="885">
        <f t="shared" si="299"/>
        <v>0</v>
      </c>
      <c r="AD1019" s="868">
        <f t="shared" si="300"/>
        <v>0</v>
      </c>
      <c r="AE1019" s="868">
        <v>0</v>
      </c>
      <c r="AF1019" s="868">
        <v>0</v>
      </c>
      <c r="AG1019" s="868">
        <f t="shared" si="303"/>
        <v>19259233.333333332</v>
      </c>
      <c r="AH1019" s="868">
        <f t="shared" si="304"/>
        <v>19259233.333333332</v>
      </c>
      <c r="AI1019" s="886">
        <f t="shared" si="305"/>
        <v>19259233.333333332</v>
      </c>
      <c r="AJ1019" s="886">
        <f t="shared" si="307"/>
        <v>57777700</v>
      </c>
      <c r="AK1019" s="868">
        <f t="shared" si="306"/>
        <v>519999300</v>
      </c>
    </row>
    <row r="1020" spans="5:37" ht="35.25" customHeight="1" x14ac:dyDescent="0.2">
      <c r="E1020" s="884" t="s">
        <v>2307</v>
      </c>
      <c r="F1020" s="951"/>
      <c r="G1020" s="907" t="s">
        <v>3546</v>
      </c>
      <c r="H1020" s="917"/>
      <c r="I1020" s="861" t="s">
        <v>2555</v>
      </c>
      <c r="J1020" s="901" t="s">
        <v>1768</v>
      </c>
      <c r="K1020" s="900"/>
      <c r="L1020" s="902"/>
      <c r="M1020" s="901"/>
      <c r="N1020" s="902"/>
      <c r="O1020" s="952" t="s">
        <v>3561</v>
      </c>
      <c r="P1020" s="900">
        <v>2016</v>
      </c>
      <c r="Q1020" s="901"/>
      <c r="R1020" s="901"/>
      <c r="S1020" s="901"/>
      <c r="T1020" s="903" t="s">
        <v>12</v>
      </c>
      <c r="U1020" s="904">
        <v>555000000</v>
      </c>
      <c r="V1020" s="900"/>
      <c r="W1020" s="953"/>
      <c r="X1020" s="968"/>
      <c r="Y1020" s="884" t="str">
        <f t="shared" si="308"/>
        <v>04.16.01</v>
      </c>
      <c r="Z1020" s="884" t="str">
        <f t="shared" si="296"/>
        <v>Jaringan Air Minum</v>
      </c>
      <c r="AA1020" s="884">
        <f t="shared" si="297"/>
        <v>30</v>
      </c>
      <c r="AB1020" s="868">
        <f t="shared" si="298"/>
        <v>18500000</v>
      </c>
      <c r="AC1020" s="885">
        <f t="shared" si="299"/>
        <v>0</v>
      </c>
      <c r="AD1020" s="868">
        <f t="shared" si="300"/>
        <v>0</v>
      </c>
      <c r="AE1020" s="868">
        <v>0</v>
      </c>
      <c r="AF1020" s="868">
        <v>0</v>
      </c>
      <c r="AG1020" s="868">
        <f t="shared" si="303"/>
        <v>18500000</v>
      </c>
      <c r="AH1020" s="868">
        <f t="shared" si="304"/>
        <v>18500000</v>
      </c>
      <c r="AI1020" s="886">
        <f t="shared" si="305"/>
        <v>18500000</v>
      </c>
      <c r="AJ1020" s="886">
        <f t="shared" si="307"/>
        <v>55500000</v>
      </c>
      <c r="AK1020" s="868">
        <f t="shared" si="306"/>
        <v>499500000</v>
      </c>
    </row>
    <row r="1021" spans="5:37" ht="35.25" customHeight="1" x14ac:dyDescent="0.2">
      <c r="E1021" s="884"/>
      <c r="F1021" s="951"/>
      <c r="G1021" s="907" t="s">
        <v>3547</v>
      </c>
      <c r="H1021" s="917"/>
      <c r="I1021" s="861" t="s">
        <v>2555</v>
      </c>
      <c r="J1021" s="901"/>
      <c r="K1021" s="900"/>
      <c r="L1021" s="902"/>
      <c r="M1021" s="901"/>
      <c r="N1021" s="902"/>
      <c r="O1021" s="952" t="s">
        <v>3562</v>
      </c>
      <c r="P1021" s="900">
        <v>2017</v>
      </c>
      <c r="Q1021" s="901"/>
      <c r="R1021" s="901"/>
      <c r="S1021" s="901"/>
      <c r="T1021" s="903" t="s">
        <v>12</v>
      </c>
      <c r="U1021" s="904">
        <v>441507000</v>
      </c>
      <c r="V1021" s="900"/>
      <c r="W1021" s="953"/>
      <c r="X1021" s="968"/>
      <c r="Y1021" s="884" t="str">
        <f t="shared" si="308"/>
        <v>04.16.01</v>
      </c>
      <c r="Z1021" s="884" t="str">
        <f t="shared" si="296"/>
        <v>Jaringan Air Minum</v>
      </c>
      <c r="AA1021" s="884">
        <f t="shared" si="297"/>
        <v>30</v>
      </c>
      <c r="AB1021" s="868">
        <f t="shared" si="298"/>
        <v>14716900</v>
      </c>
      <c r="AC1021" s="885">
        <f t="shared" si="299"/>
        <v>0</v>
      </c>
      <c r="AD1021" s="868">
        <f t="shared" si="300"/>
        <v>0</v>
      </c>
      <c r="AE1021" s="868">
        <v>0</v>
      </c>
      <c r="AF1021" s="868">
        <v>0</v>
      </c>
      <c r="AG1021" s="868">
        <v>0</v>
      </c>
      <c r="AH1021" s="868">
        <f t="shared" si="304"/>
        <v>14716900</v>
      </c>
      <c r="AI1021" s="886">
        <f t="shared" si="305"/>
        <v>14716900</v>
      </c>
      <c r="AJ1021" s="886">
        <f t="shared" si="307"/>
        <v>29433800</v>
      </c>
      <c r="AK1021" s="868">
        <f t="shared" si="306"/>
        <v>412073200</v>
      </c>
    </row>
    <row r="1022" spans="5:37" ht="35.25" customHeight="1" x14ac:dyDescent="0.2">
      <c r="E1022" s="884"/>
      <c r="F1022" s="951"/>
      <c r="G1022" s="907" t="s">
        <v>3548</v>
      </c>
      <c r="H1022" s="917"/>
      <c r="I1022" s="861" t="s">
        <v>2555</v>
      </c>
      <c r="J1022" s="901"/>
      <c r="K1022" s="900"/>
      <c r="L1022" s="902"/>
      <c r="M1022" s="901"/>
      <c r="N1022" s="902"/>
      <c r="O1022" s="952" t="s">
        <v>3563</v>
      </c>
      <c r="P1022" s="900">
        <v>2018</v>
      </c>
      <c r="Q1022" s="901"/>
      <c r="R1022" s="901"/>
      <c r="S1022" s="901"/>
      <c r="T1022" s="903" t="s">
        <v>12</v>
      </c>
      <c r="U1022" s="904">
        <v>329615000</v>
      </c>
      <c r="V1022" s="900" t="s">
        <v>43</v>
      </c>
      <c r="W1022" s="953"/>
      <c r="X1022" s="968"/>
      <c r="Y1022" s="884" t="str">
        <f t="shared" si="308"/>
        <v>04.16.01</v>
      </c>
      <c r="Z1022" s="884" t="str">
        <f t="shared" si="296"/>
        <v>Jaringan Air Minum</v>
      </c>
      <c r="AA1022" s="884">
        <f t="shared" si="297"/>
        <v>30</v>
      </c>
      <c r="AB1022" s="868">
        <f t="shared" si="298"/>
        <v>10987166.666666666</v>
      </c>
      <c r="AC1022" s="885">
        <f t="shared" si="299"/>
        <v>0</v>
      </c>
      <c r="AD1022" s="868">
        <f t="shared" si="300"/>
        <v>0</v>
      </c>
      <c r="AE1022" s="868">
        <v>0</v>
      </c>
      <c r="AF1022" s="868">
        <v>0</v>
      </c>
      <c r="AG1022" s="868">
        <v>0</v>
      </c>
      <c r="AH1022" s="868">
        <v>0</v>
      </c>
      <c r="AI1022" s="886">
        <f t="shared" si="305"/>
        <v>10987166.666666666</v>
      </c>
      <c r="AJ1022" s="886">
        <f t="shared" si="307"/>
        <v>10987166.666666666</v>
      </c>
      <c r="AK1022" s="868">
        <f t="shared" si="306"/>
        <v>318627833.33333331</v>
      </c>
    </row>
    <row r="1023" spans="5:37" ht="35.25" customHeight="1" x14ac:dyDescent="0.2">
      <c r="E1023" s="884"/>
      <c r="F1023" s="951"/>
      <c r="G1023" s="907" t="s">
        <v>3548</v>
      </c>
      <c r="H1023" s="917"/>
      <c r="I1023" s="861" t="s">
        <v>2555</v>
      </c>
      <c r="J1023" s="901"/>
      <c r="K1023" s="900"/>
      <c r="L1023" s="902"/>
      <c r="M1023" s="901"/>
      <c r="N1023" s="902"/>
      <c r="O1023" s="952" t="s">
        <v>3564</v>
      </c>
      <c r="P1023" s="900">
        <v>2018</v>
      </c>
      <c r="Q1023" s="901"/>
      <c r="R1023" s="901"/>
      <c r="S1023" s="901"/>
      <c r="T1023" s="903" t="s">
        <v>12</v>
      </c>
      <c r="U1023" s="904">
        <v>329996000</v>
      </c>
      <c r="V1023" s="900" t="s">
        <v>43</v>
      </c>
      <c r="W1023" s="953"/>
      <c r="X1023" s="968"/>
      <c r="Y1023" s="884" t="str">
        <f t="shared" si="308"/>
        <v>04.16.01</v>
      </c>
      <c r="Z1023" s="884" t="str">
        <f t="shared" si="296"/>
        <v>Jaringan Air Minum</v>
      </c>
      <c r="AA1023" s="884">
        <f t="shared" si="297"/>
        <v>30</v>
      </c>
      <c r="AB1023" s="868">
        <f t="shared" si="298"/>
        <v>10999866.666666666</v>
      </c>
      <c r="AC1023" s="885">
        <f t="shared" si="299"/>
        <v>0</v>
      </c>
      <c r="AD1023" s="868">
        <f t="shared" si="300"/>
        <v>0</v>
      </c>
      <c r="AE1023" s="868">
        <v>0</v>
      </c>
      <c r="AF1023" s="868">
        <v>0</v>
      </c>
      <c r="AG1023" s="868">
        <v>0</v>
      </c>
      <c r="AH1023" s="868">
        <v>0</v>
      </c>
      <c r="AI1023" s="886">
        <f t="shared" si="305"/>
        <v>10999866.666666666</v>
      </c>
      <c r="AJ1023" s="886">
        <f t="shared" si="307"/>
        <v>10999866.666666666</v>
      </c>
      <c r="AK1023" s="868">
        <f t="shared" si="306"/>
        <v>318996133.33333331</v>
      </c>
    </row>
    <row r="1024" spans="5:37" ht="35.25" customHeight="1" thickBot="1" x14ac:dyDescent="0.25">
      <c r="F1024" s="954"/>
      <c r="G1024" s="993"/>
      <c r="H1024" s="920"/>
      <c r="I1024" s="955"/>
      <c r="J1024" s="912"/>
      <c r="K1024" s="911"/>
      <c r="L1024" s="913"/>
      <c r="M1024" s="912"/>
      <c r="N1024" s="913"/>
      <c r="O1024" s="956"/>
      <c r="P1024" s="911"/>
      <c r="Q1024" s="912"/>
      <c r="R1024" s="912"/>
      <c r="S1024" s="912"/>
      <c r="T1024" s="903"/>
      <c r="U1024" s="914"/>
      <c r="V1024" s="911"/>
      <c r="W1024" s="957"/>
      <c r="X1024" s="974"/>
    </row>
    <row r="1025" spans="6:36" x14ac:dyDescent="0.2">
      <c r="AJ1025" s="958">
        <f>SUBTOTAL(9,AJ13:AJ395)</f>
        <v>958262337600.77246</v>
      </c>
    </row>
    <row r="1026" spans="6:36" x14ac:dyDescent="0.2">
      <c r="I1026" s="946"/>
      <c r="K1026" s="946"/>
      <c r="N1026" s="994"/>
      <c r="O1026" s="946"/>
      <c r="U1026" s="958">
        <f>SUBTOTAL(9,U13:U489)</f>
        <v>1283206973499.9734</v>
      </c>
      <c r="V1026" s="946"/>
    </row>
    <row r="1027" spans="6:36" x14ac:dyDescent="0.2">
      <c r="F1027" s="2008" t="s">
        <v>1109</v>
      </c>
      <c r="G1027" s="2008"/>
      <c r="H1027" s="2008"/>
      <c r="I1027" s="2008"/>
      <c r="K1027" s="946"/>
      <c r="N1027" s="996"/>
      <c r="O1027" s="946"/>
      <c r="Q1027" s="1177"/>
      <c r="R1027" s="1177"/>
      <c r="T1027" s="1177"/>
      <c r="U1027" s="958">
        <v>672320471640.50964</v>
      </c>
      <c r="V1027" s="946"/>
    </row>
    <row r="1028" spans="6:36" x14ac:dyDescent="0.2">
      <c r="F1028" s="2007" t="s">
        <v>23</v>
      </c>
      <c r="G1028" s="2007"/>
      <c r="H1028" s="2007"/>
      <c r="I1028" s="2007"/>
      <c r="K1028" s="946"/>
      <c r="N1028" s="996"/>
      <c r="O1028" s="946"/>
      <c r="Q1028" s="1177"/>
      <c r="R1028" s="1177"/>
      <c r="S1028" s="2007" t="s">
        <v>884</v>
      </c>
      <c r="T1028" s="2007"/>
      <c r="U1028" s="2007"/>
      <c r="V1028" s="2007"/>
    </row>
    <row r="1029" spans="6:36" x14ac:dyDescent="0.2">
      <c r="F1029" s="2007" t="s">
        <v>25</v>
      </c>
      <c r="G1029" s="2007"/>
      <c r="H1029" s="2007"/>
      <c r="I1029" s="2007"/>
      <c r="K1029" s="946"/>
      <c r="N1029" s="996"/>
      <c r="O1029" s="946"/>
      <c r="Q1029" s="1177"/>
      <c r="R1029" s="1177"/>
      <c r="S1029" s="2007" t="s">
        <v>24</v>
      </c>
      <c r="T1029" s="2007"/>
      <c r="U1029" s="2007"/>
      <c r="V1029" s="2007"/>
    </row>
    <row r="1030" spans="6:36" x14ac:dyDescent="0.2">
      <c r="F1030" s="857"/>
      <c r="G1030" s="857"/>
      <c r="H1030" s="868"/>
      <c r="I1030" s="857"/>
      <c r="K1030" s="946"/>
      <c r="N1030" s="996"/>
      <c r="O1030" s="946"/>
      <c r="Q1030" s="1177"/>
      <c r="R1030" s="1177"/>
      <c r="S1030" s="857"/>
      <c r="T1030" s="857"/>
      <c r="U1030" s="868"/>
      <c r="V1030" s="857"/>
    </row>
    <row r="1031" spans="6:36" x14ac:dyDescent="0.2">
      <c r="F1031" s="857"/>
      <c r="G1031" s="857"/>
      <c r="H1031" s="868"/>
      <c r="I1031" s="857"/>
      <c r="K1031" s="946"/>
      <c r="N1031" s="996"/>
      <c r="O1031" s="946"/>
      <c r="Q1031" s="1177"/>
      <c r="R1031" s="1177"/>
      <c r="S1031" s="857"/>
      <c r="T1031" s="857"/>
      <c r="U1031" s="868"/>
      <c r="V1031" s="857"/>
    </row>
    <row r="1032" spans="6:36" x14ac:dyDescent="0.2">
      <c r="F1032" s="857"/>
      <c r="G1032" s="857"/>
      <c r="H1032" s="868"/>
      <c r="I1032" s="857"/>
      <c r="K1032" s="946"/>
      <c r="N1032" s="996"/>
      <c r="O1032" s="946"/>
      <c r="Q1032" s="1177"/>
      <c r="R1032" s="1177"/>
      <c r="S1032" s="857"/>
      <c r="T1032" s="857"/>
      <c r="U1032" s="868"/>
      <c r="V1032" s="857"/>
    </row>
    <row r="1033" spans="6:36" x14ac:dyDescent="0.2">
      <c r="F1033" s="857"/>
      <c r="G1033" s="857"/>
      <c r="H1033" s="868"/>
      <c r="I1033" s="857"/>
      <c r="K1033" s="946"/>
      <c r="N1033" s="996"/>
      <c r="O1033" s="946"/>
      <c r="Q1033" s="1177"/>
      <c r="R1033" s="1177"/>
      <c r="S1033" s="857"/>
      <c r="T1033" s="857"/>
      <c r="U1033" s="868"/>
      <c r="V1033" s="857"/>
    </row>
    <row r="1034" spans="6:36" x14ac:dyDescent="0.2">
      <c r="F1034" s="857"/>
      <c r="G1034" s="857"/>
      <c r="H1034" s="868"/>
      <c r="I1034" s="857"/>
      <c r="K1034" s="946"/>
      <c r="N1034" s="996"/>
      <c r="O1034" s="946"/>
      <c r="Q1034" s="1177"/>
      <c r="R1034" s="1177"/>
      <c r="S1034" s="857"/>
      <c r="T1034" s="857"/>
      <c r="U1034" s="868"/>
      <c r="V1034" s="857"/>
    </row>
    <row r="1035" spans="6:36" x14ac:dyDescent="0.2">
      <c r="F1035" s="2009" t="s">
        <v>26</v>
      </c>
      <c r="G1035" s="2009"/>
      <c r="H1035" s="2009"/>
      <c r="I1035" s="2009"/>
      <c r="K1035" s="946"/>
      <c r="N1035" s="996"/>
      <c r="O1035" s="946"/>
      <c r="Q1035" s="1177"/>
      <c r="R1035" s="1177"/>
      <c r="S1035" s="2009" t="s">
        <v>27</v>
      </c>
      <c r="T1035" s="2009"/>
      <c r="U1035" s="2009"/>
      <c r="V1035" s="2009"/>
    </row>
    <row r="1036" spans="6:36" x14ac:dyDescent="0.2">
      <c r="F1036" s="2007" t="s">
        <v>28</v>
      </c>
      <c r="G1036" s="2007"/>
      <c r="H1036" s="2007"/>
      <c r="I1036" s="2007"/>
      <c r="K1036" s="946"/>
      <c r="N1036" s="996"/>
      <c r="O1036" s="946"/>
      <c r="Q1036" s="1177"/>
      <c r="R1036" s="1177"/>
      <c r="S1036" s="2007" t="s">
        <v>29</v>
      </c>
      <c r="T1036" s="2007"/>
      <c r="U1036" s="2007"/>
      <c r="V1036" s="2007"/>
    </row>
    <row r="1056" spans="1:39" s="1177" customFormat="1" x14ac:dyDescent="0.2">
      <c r="A1056" s="946"/>
      <c r="B1056" s="946"/>
      <c r="C1056" s="946"/>
      <c r="D1056" s="946"/>
      <c r="E1056" s="946"/>
      <c r="F1056" s="946"/>
      <c r="G1056" s="946"/>
      <c r="H1056" s="958"/>
      <c r="J1056" s="946"/>
      <c r="L1056" s="843"/>
      <c r="M1056" s="946"/>
      <c r="N1056" s="843"/>
      <c r="O1056" s="975"/>
      <c r="Q1056" s="946"/>
      <c r="R1056" s="946"/>
      <c r="S1056" s="946"/>
      <c r="T1056" s="946"/>
      <c r="U1056" s="959"/>
      <c r="W1056" s="946"/>
      <c r="X1056" s="946"/>
      <c r="Y1056" s="946"/>
      <c r="Z1056" s="946"/>
      <c r="AA1056" s="946"/>
      <c r="AB1056" s="958"/>
      <c r="AC1056" s="946"/>
      <c r="AD1056" s="958"/>
      <c r="AE1056" s="958"/>
      <c r="AF1056" s="958"/>
      <c r="AG1056" s="958"/>
      <c r="AH1056" s="958"/>
      <c r="AI1056" s="958"/>
      <c r="AJ1056" s="958"/>
      <c r="AK1056" s="958"/>
      <c r="AL1056" s="946"/>
      <c r="AM1056" s="946"/>
    </row>
  </sheetData>
  <autoFilter ref="A9:AM1024" xr:uid="{00000000-0009-0000-0000-00000D000000}"/>
  <mergeCells count="48">
    <mergeCell ref="R6:R8"/>
    <mergeCell ref="F2:W2"/>
    <mergeCell ref="F3:W3"/>
    <mergeCell ref="F5:G5"/>
    <mergeCell ref="A6:A8"/>
    <mergeCell ref="B6:B8"/>
    <mergeCell ref="C6:C8"/>
    <mergeCell ref="F6:F8"/>
    <mergeCell ref="G6:H8"/>
    <mergeCell ref="I6:J6"/>
    <mergeCell ref="K6:K8"/>
    <mergeCell ref="L6:L8"/>
    <mergeCell ref="M6:M8"/>
    <mergeCell ref="N6:N8"/>
    <mergeCell ref="O6:O8"/>
    <mergeCell ref="P6:Q6"/>
    <mergeCell ref="AI7:AI8"/>
    <mergeCell ref="S6:S8"/>
    <mergeCell ref="T6:T8"/>
    <mergeCell ref="U6:U8"/>
    <mergeCell ref="V6:V8"/>
    <mergeCell ref="W6:W8"/>
    <mergeCell ref="Y6:Y8"/>
    <mergeCell ref="AK6:AK8"/>
    <mergeCell ref="I7:I8"/>
    <mergeCell ref="J7:J8"/>
    <mergeCell ref="P7:P8"/>
    <mergeCell ref="Q7:Q8"/>
    <mergeCell ref="AD7:AD8"/>
    <mergeCell ref="AE7:AE8"/>
    <mergeCell ref="AF7:AF8"/>
    <mergeCell ref="AG7:AG8"/>
    <mergeCell ref="AH7:AH8"/>
    <mergeCell ref="Z6:Z8"/>
    <mergeCell ref="AA6:AA8"/>
    <mergeCell ref="AB6:AB8"/>
    <mergeCell ref="AC6:AC8"/>
    <mergeCell ref="AD6:AI6"/>
    <mergeCell ref="AJ6:AJ8"/>
    <mergeCell ref="F1036:I1036"/>
    <mergeCell ref="S1036:V1036"/>
    <mergeCell ref="F1027:I1027"/>
    <mergeCell ref="F1028:I1028"/>
    <mergeCell ref="S1028:V1028"/>
    <mergeCell ref="F1029:I1029"/>
    <mergeCell ref="S1029:V1029"/>
    <mergeCell ref="F1035:I1035"/>
    <mergeCell ref="S1035:V1035"/>
  </mergeCells>
  <conditionalFormatting sqref="Y11">
    <cfRule type="cellIs" dxfId="3" priority="1" operator="equal">
      <formula>$U$11</formula>
    </cfRule>
  </conditionalFormatting>
  <pageMargins left="1.54" right="0.27559055118110237" top="0.65" bottom="0.63" header="0.31496062992125984" footer="0.31496062992125984"/>
  <pageSetup paperSize="5" scale="60" orientation="landscape" horizontalDpi="4294967293" verticalDpi="4294967293"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AL1168"/>
  <sheetViews>
    <sheetView tabSelected="1" view="pageBreakPreview" topLeftCell="G1056" zoomScale="80" zoomScaleNormal="75" zoomScaleSheetLayoutView="80" workbookViewId="0">
      <selection activeCell="J1068" sqref="J1068"/>
    </sheetView>
  </sheetViews>
  <sheetFormatPr baseColWidth="10" defaultColWidth="9.1640625" defaultRowHeight="14" x14ac:dyDescent="0.2"/>
  <cols>
    <col min="1" max="1" width="4.33203125" style="946" hidden="1" customWidth="1"/>
    <col min="2" max="2" width="8" style="1349" hidden="1" customWidth="1"/>
    <col min="3" max="3" width="7.5" style="946" hidden="1" customWidth="1"/>
    <col min="4" max="4" width="7.6640625" style="1346" customWidth="1"/>
    <col min="5" max="5" width="59.5" style="1349" customWidth="1"/>
    <col min="6" max="6" width="21.5" style="958" customWidth="1"/>
    <col min="7" max="7" width="18.33203125" style="1346" customWidth="1"/>
    <col min="8" max="8" width="12.5" style="946" customWidth="1"/>
    <col min="9" max="9" width="16.83203125" style="950" customWidth="1"/>
    <col min="10" max="10" width="11.33203125" style="996" customWidth="1"/>
    <col min="11" max="11" width="10.1640625" style="1346" customWidth="1"/>
    <col min="12" max="12" width="10.6640625" style="843" customWidth="1"/>
    <col min="13" max="13" width="36.5" style="1349" customWidth="1"/>
    <col min="14" max="14" width="11.83203125" style="1161" customWidth="1"/>
    <col min="15" max="15" width="18.33203125" style="946" customWidth="1"/>
    <col min="16" max="16" width="12.1640625" style="946" customWidth="1"/>
    <col min="17" max="17" width="16.6640625" style="946" customWidth="1"/>
    <col min="18" max="18" width="12.6640625" style="1190" customWidth="1"/>
    <col min="19" max="19" width="25" style="958" customWidth="1"/>
    <col min="20" max="20" width="14" style="1346" customWidth="1"/>
    <col min="21" max="21" width="14.1640625" style="946" customWidth="1"/>
    <col min="22" max="22" width="18.5" style="946" customWidth="1"/>
    <col min="23" max="23" width="22.1640625" style="946" customWidth="1"/>
    <col min="24" max="24" width="35.1640625" style="946" customWidth="1"/>
    <col min="25" max="25" width="10" style="946" customWidth="1"/>
    <col min="26" max="26" width="18.83203125" style="958" customWidth="1"/>
    <col min="27" max="27" width="22.1640625" style="946" customWidth="1"/>
    <col min="28" max="32" width="22.1640625" style="958" customWidth="1"/>
    <col min="33" max="34" width="27.5" style="958" customWidth="1"/>
    <col min="35" max="35" width="28.6640625" style="958" customWidth="1"/>
    <col min="36" max="36" width="27.33203125" style="958" customWidth="1"/>
    <col min="37" max="37" width="34.83203125" style="946" customWidth="1"/>
    <col min="38" max="38" width="20.5" style="946" customWidth="1"/>
    <col min="39" max="16384" width="9.1640625" style="946"/>
  </cols>
  <sheetData>
    <row r="2" spans="1:38" s="1390" customFormat="1" ht="36" customHeight="1" x14ac:dyDescent="0.2">
      <c r="B2" s="1472"/>
      <c r="D2" s="1859" t="s">
        <v>0</v>
      </c>
      <c r="E2" s="1859"/>
      <c r="F2" s="1859"/>
      <c r="G2" s="1859"/>
      <c r="H2" s="2029"/>
      <c r="I2" s="1859"/>
      <c r="J2" s="2030"/>
      <c r="K2" s="1859"/>
      <c r="L2" s="1859"/>
      <c r="M2" s="1859"/>
      <c r="N2" s="1859"/>
      <c r="O2" s="1859"/>
      <c r="P2" s="1859"/>
      <c r="Q2" s="1859"/>
      <c r="R2" s="1859"/>
      <c r="S2" s="1859"/>
      <c r="T2" s="1859"/>
      <c r="U2" s="1859"/>
      <c r="V2" s="1424"/>
      <c r="Z2" s="1401"/>
      <c r="AB2" s="1401"/>
      <c r="AC2" s="1401"/>
      <c r="AD2" s="1401"/>
      <c r="AE2" s="1401"/>
      <c r="AF2" s="1401"/>
      <c r="AG2" s="1401"/>
      <c r="AH2" s="1401"/>
      <c r="AI2" s="1401"/>
      <c r="AJ2" s="1401"/>
    </row>
    <row r="3" spans="1:38" s="1390" customFormat="1" ht="36" customHeight="1" x14ac:dyDescent="0.2">
      <c r="B3" s="1472"/>
      <c r="D3" s="1859" t="s">
        <v>474</v>
      </c>
      <c r="E3" s="1859"/>
      <c r="F3" s="1859"/>
      <c r="G3" s="1859"/>
      <c r="H3" s="2029"/>
      <c r="I3" s="1859"/>
      <c r="J3" s="2030"/>
      <c r="K3" s="1859"/>
      <c r="L3" s="1859"/>
      <c r="M3" s="1859"/>
      <c r="N3" s="1859"/>
      <c r="O3" s="1859"/>
      <c r="P3" s="1859"/>
      <c r="Q3" s="1859"/>
      <c r="R3" s="1859"/>
      <c r="S3" s="1859"/>
      <c r="T3" s="1859"/>
      <c r="U3" s="1859"/>
      <c r="V3" s="1424"/>
      <c r="Z3" s="1401"/>
      <c r="AB3" s="1401"/>
      <c r="AC3" s="1401"/>
      <c r="AD3" s="1401"/>
      <c r="AE3" s="1401">
        <f>AB11:AE11</f>
        <v>56812541644.23439</v>
      </c>
      <c r="AF3" s="1401"/>
      <c r="AG3" s="1401"/>
      <c r="AH3" s="1401"/>
      <c r="AI3" s="1401"/>
      <c r="AJ3" s="1401"/>
    </row>
    <row r="4" spans="1:38" s="1390" customFormat="1" ht="21" customHeight="1" x14ac:dyDescent="0.2">
      <c r="B4" s="1472"/>
      <c r="D4" s="1424"/>
      <c r="E4" s="1486"/>
      <c r="F4" s="1487"/>
      <c r="G4" s="1424"/>
      <c r="H4" s="1424"/>
      <c r="I4" s="1391"/>
      <c r="J4" s="1482"/>
      <c r="K4" s="1391"/>
      <c r="L4" s="1483"/>
      <c r="M4" s="1488"/>
      <c r="N4" s="1424"/>
      <c r="O4" s="1424"/>
      <c r="P4" s="1424"/>
      <c r="Q4" s="1424"/>
      <c r="R4" s="1424"/>
      <c r="S4" s="1481"/>
      <c r="T4" s="1424"/>
      <c r="U4" s="1424"/>
      <c r="V4" s="1424"/>
      <c r="W4" s="1481">
        <v>1828621088790.5652</v>
      </c>
      <c r="Z4" s="1401"/>
      <c r="AB4" s="1401"/>
      <c r="AC4" s="1401"/>
      <c r="AD4" s="1401"/>
      <c r="AE4" s="1401"/>
      <c r="AF4" s="1401"/>
      <c r="AG4" s="1401"/>
      <c r="AH4" s="1401"/>
      <c r="AI4" s="1401"/>
      <c r="AJ4" s="1401"/>
      <c r="AK4" s="1397"/>
    </row>
    <row r="5" spans="1:38" s="1390" customFormat="1" ht="23" customHeight="1" thickBot="1" x14ac:dyDescent="0.25">
      <c r="B5" s="1472"/>
      <c r="D5" s="1856" t="s">
        <v>32</v>
      </c>
      <c r="E5" s="1856"/>
      <c r="F5" s="1489"/>
      <c r="G5" s="1489"/>
      <c r="H5" s="1489"/>
      <c r="I5" s="1490"/>
      <c r="J5" s="1491"/>
      <c r="K5" s="1490"/>
      <c r="L5" s="1492"/>
      <c r="M5" s="1493"/>
      <c r="N5" s="1494"/>
      <c r="O5" s="1489"/>
      <c r="P5" s="1489"/>
      <c r="Q5" s="1489"/>
      <c r="R5" s="1494"/>
      <c r="S5" s="1473"/>
      <c r="T5" s="1495"/>
      <c r="U5" s="1474"/>
      <c r="V5" s="1474"/>
      <c r="W5" s="1473">
        <v>1668081852161.3743</v>
      </c>
      <c r="Z5" s="1401"/>
      <c r="AB5" s="1401"/>
      <c r="AC5" s="1401"/>
      <c r="AD5" s="1401"/>
      <c r="AE5" s="1401"/>
      <c r="AF5" s="1401"/>
      <c r="AG5" s="1401"/>
      <c r="AH5" s="1401"/>
      <c r="AI5" s="1401"/>
      <c r="AJ5" s="1401"/>
    </row>
    <row r="6" spans="1:38" s="1407" customFormat="1" ht="31" customHeight="1" x14ac:dyDescent="0.2">
      <c r="A6" s="2033" t="s">
        <v>3573</v>
      </c>
      <c r="B6" s="2033" t="s">
        <v>3572</v>
      </c>
      <c r="D6" s="1844" t="s">
        <v>869</v>
      </c>
      <c r="E6" s="1847" t="s">
        <v>3574</v>
      </c>
      <c r="F6" s="1847"/>
      <c r="G6" s="1847" t="s">
        <v>883</v>
      </c>
      <c r="H6" s="1847"/>
      <c r="I6" s="1847" t="s">
        <v>3831</v>
      </c>
      <c r="J6" s="1848" t="s">
        <v>1110</v>
      </c>
      <c r="K6" s="1847" t="s">
        <v>1111</v>
      </c>
      <c r="L6" s="1848" t="s">
        <v>872</v>
      </c>
      <c r="M6" s="1847" t="s">
        <v>1112</v>
      </c>
      <c r="N6" s="1847" t="s">
        <v>3832</v>
      </c>
      <c r="O6" s="1847"/>
      <c r="P6" s="1847" t="s">
        <v>875</v>
      </c>
      <c r="Q6" s="1847" t="s">
        <v>1104</v>
      </c>
      <c r="R6" s="1847" t="s">
        <v>909</v>
      </c>
      <c r="S6" s="1863" t="s">
        <v>1105</v>
      </c>
      <c r="T6" s="1847" t="s">
        <v>1113</v>
      </c>
      <c r="U6" s="1943" t="s">
        <v>911</v>
      </c>
      <c r="V6" s="1496"/>
      <c r="W6" s="1952" t="s">
        <v>2279</v>
      </c>
      <c r="X6" s="1945" t="s">
        <v>2280</v>
      </c>
      <c r="Y6" s="1952" t="s">
        <v>2281</v>
      </c>
      <c r="Z6" s="1947" t="s">
        <v>2282</v>
      </c>
      <c r="AA6" s="1952" t="s">
        <v>4778</v>
      </c>
      <c r="AB6" s="2031" t="s">
        <v>4785</v>
      </c>
      <c r="AC6" s="1877"/>
      <c r="AD6" s="1877"/>
      <c r="AE6" s="1877"/>
      <c r="AF6" s="1877"/>
      <c r="AG6" s="1877"/>
      <c r="AH6" s="2032"/>
      <c r="AI6" s="1947" t="s">
        <v>5548</v>
      </c>
      <c r="AJ6" s="1947" t="s">
        <v>4786</v>
      </c>
      <c r="AK6" s="1497"/>
    </row>
    <row r="7" spans="1:38" s="1407" customFormat="1" ht="36" customHeight="1" thickBot="1" x14ac:dyDescent="0.25">
      <c r="A7" s="2033"/>
      <c r="B7" s="2033"/>
      <c r="D7" s="1846"/>
      <c r="E7" s="1839"/>
      <c r="F7" s="1839"/>
      <c r="G7" s="1623" t="s">
        <v>877</v>
      </c>
      <c r="H7" s="1623" t="s">
        <v>3833</v>
      </c>
      <c r="I7" s="1839"/>
      <c r="J7" s="1850"/>
      <c r="K7" s="1839"/>
      <c r="L7" s="1850"/>
      <c r="M7" s="1839"/>
      <c r="N7" s="1624" t="s">
        <v>882</v>
      </c>
      <c r="O7" s="1609" t="s">
        <v>883</v>
      </c>
      <c r="P7" s="1839"/>
      <c r="Q7" s="1839"/>
      <c r="R7" s="1839"/>
      <c r="S7" s="1865"/>
      <c r="T7" s="1839"/>
      <c r="U7" s="1944"/>
      <c r="V7" s="1496"/>
      <c r="W7" s="2035"/>
      <c r="X7" s="2034"/>
      <c r="Y7" s="2035"/>
      <c r="Z7" s="2036"/>
      <c r="AA7" s="2035"/>
      <c r="AB7" s="1475" t="s">
        <v>4779</v>
      </c>
      <c r="AC7" s="1476">
        <v>2014</v>
      </c>
      <c r="AD7" s="1476">
        <v>2015</v>
      </c>
      <c r="AE7" s="1476">
        <v>2016</v>
      </c>
      <c r="AF7" s="1476">
        <v>2017</v>
      </c>
      <c r="AG7" s="1476">
        <v>2018</v>
      </c>
      <c r="AH7" s="1476">
        <v>2019</v>
      </c>
      <c r="AI7" s="2036"/>
      <c r="AJ7" s="2036"/>
    </row>
    <row r="8" spans="1:38" s="1390" customFormat="1" ht="27" customHeight="1" thickBot="1" x14ac:dyDescent="0.25">
      <c r="A8" s="1390" t="s">
        <v>4244</v>
      </c>
      <c r="B8" s="1472" t="s">
        <v>4244</v>
      </c>
      <c r="D8" s="1438">
        <v>1</v>
      </c>
      <c r="E8" s="1439">
        <v>2</v>
      </c>
      <c r="F8" s="1616"/>
      <c r="G8" s="1439">
        <v>3</v>
      </c>
      <c r="H8" s="1617">
        <v>4</v>
      </c>
      <c r="I8" s="1617">
        <v>6</v>
      </c>
      <c r="J8" s="1617">
        <v>7</v>
      </c>
      <c r="K8" s="1618">
        <v>8</v>
      </c>
      <c r="L8" s="1617">
        <v>9</v>
      </c>
      <c r="M8" s="1619">
        <v>10</v>
      </c>
      <c r="N8" s="1439">
        <v>11</v>
      </c>
      <c r="O8" s="1439">
        <v>12</v>
      </c>
      <c r="P8" s="1439">
        <v>13</v>
      </c>
      <c r="Q8" s="1617">
        <v>14</v>
      </c>
      <c r="R8" s="1617">
        <v>15</v>
      </c>
      <c r="S8" s="1620">
        <v>16</v>
      </c>
      <c r="T8" s="1617">
        <v>17</v>
      </c>
      <c r="U8" s="1440">
        <v>18</v>
      </c>
      <c r="V8" s="1503"/>
      <c r="W8" s="1504">
        <v>19</v>
      </c>
      <c r="X8" s="1505">
        <v>20</v>
      </c>
      <c r="Y8" s="1505">
        <v>21</v>
      </c>
      <c r="Z8" s="1506">
        <v>22</v>
      </c>
      <c r="AA8" s="1505">
        <v>23</v>
      </c>
      <c r="AB8" s="1502">
        <v>24</v>
      </c>
      <c r="AC8" s="1502">
        <v>25</v>
      </c>
      <c r="AD8" s="1506"/>
      <c r="AE8" s="1506"/>
      <c r="AF8" s="1506"/>
      <c r="AG8" s="1506"/>
      <c r="AH8" s="1506"/>
      <c r="AI8" s="1506"/>
      <c r="AJ8" s="1506">
        <v>27</v>
      </c>
      <c r="AK8" s="1397"/>
    </row>
    <row r="9" spans="1:38" s="1390" customFormat="1" ht="36" customHeight="1" thickTop="1" x14ac:dyDescent="0.2">
      <c r="B9" s="1472"/>
      <c r="D9" s="1610"/>
      <c r="E9" s="1611"/>
      <c r="F9" s="1612"/>
      <c r="G9" s="1607"/>
      <c r="H9" s="1613"/>
      <c r="I9" s="1607"/>
      <c r="J9" s="1608"/>
      <c r="K9" s="1607"/>
      <c r="L9" s="1608"/>
      <c r="M9" s="1611"/>
      <c r="N9" s="1607"/>
      <c r="O9" s="1613"/>
      <c r="P9" s="1613"/>
      <c r="Q9" s="1613"/>
      <c r="R9" s="1607"/>
      <c r="S9" s="1614"/>
      <c r="T9" s="1607"/>
      <c r="U9" s="1615"/>
      <c r="V9" s="1477"/>
      <c r="Z9" s="1401"/>
      <c r="AB9" s="1401"/>
      <c r="AC9" s="1401"/>
      <c r="AD9" s="1401"/>
      <c r="AE9" s="1401"/>
      <c r="AF9" s="1401"/>
      <c r="AG9" s="1401"/>
      <c r="AH9" s="1401"/>
      <c r="AI9" s="1401"/>
      <c r="AJ9" s="1401"/>
    </row>
    <row r="10" spans="1:38" s="1407" customFormat="1" ht="35.25" customHeight="1" x14ac:dyDescent="0.2">
      <c r="B10" s="1488"/>
      <c r="D10" s="1441" t="s">
        <v>476</v>
      </c>
      <c r="E10" s="1410" t="s">
        <v>1130</v>
      </c>
      <c r="F10" s="1564"/>
      <c r="G10" s="1469"/>
      <c r="H10" s="1508"/>
      <c r="I10" s="1469"/>
      <c r="J10" s="1499"/>
      <c r="K10" s="1469"/>
      <c r="L10" s="1509"/>
      <c r="M10" s="1410"/>
      <c r="N10" s="1469"/>
      <c r="O10" s="1508"/>
      <c r="P10" s="1508"/>
      <c r="Q10" s="1508"/>
      <c r="R10" s="1469"/>
      <c r="S10" s="1506">
        <f>S11+S754+S1056+S1065</f>
        <v>1828621088790.5652</v>
      </c>
      <c r="T10" s="1469"/>
      <c r="U10" s="1571"/>
      <c r="V10" s="1489"/>
      <c r="W10" s="1510"/>
      <c r="X10" s="1511"/>
      <c r="Z10" s="1446"/>
      <c r="AB10" s="1446">
        <f>AB11+AB754+AB1056+AB1065</f>
        <v>837446532680.9397</v>
      </c>
      <c r="AC10" s="1446">
        <f>AC11+AC754+AC1056+AC1065</f>
        <v>47164856683.989044</v>
      </c>
      <c r="AD10" s="1446">
        <f>AD11+AD754+AD1056+AD1065</f>
        <v>55377421331.75856</v>
      </c>
      <c r="AE10" s="1446">
        <f>AE11+AE754+AE1056+AE1065</f>
        <v>62951514435.730858</v>
      </c>
      <c r="AF10" s="1446">
        <f>AF11+AF754+AF1056+AF1065</f>
        <v>62287287923.866066</v>
      </c>
      <c r="AG10" s="1446">
        <f>AG11+AG754+AG1056+AG1065</f>
        <v>64110163791.409538</v>
      </c>
      <c r="AH10" s="1446">
        <f>AH11+AH754+AH1056+AH1065</f>
        <v>69669567526.239441</v>
      </c>
      <c r="AI10" s="1446">
        <f>AI11+AI754+AI1056+AI1065</f>
        <v>1199007344373.9331</v>
      </c>
      <c r="AJ10" s="1446">
        <f>AJ11+AJ754+AJ1056+AJ1065</f>
        <v>629516768776.63281</v>
      </c>
    </row>
    <row r="11" spans="1:38" s="1407" customFormat="1" ht="35.25" customHeight="1" x14ac:dyDescent="0.2">
      <c r="B11" s="1488"/>
      <c r="D11" s="1441" t="s">
        <v>477</v>
      </c>
      <c r="E11" s="1410" t="s">
        <v>1131</v>
      </c>
      <c r="F11" s="1564"/>
      <c r="G11" s="1469"/>
      <c r="H11" s="1508"/>
      <c r="I11" s="1416"/>
      <c r="J11" s="1512"/>
      <c r="K11" s="1416"/>
      <c r="L11" s="1500"/>
      <c r="M11" s="1410"/>
      <c r="N11" s="1469"/>
      <c r="O11" s="1508"/>
      <c r="P11" s="1508"/>
      <c r="Q11" s="1508"/>
      <c r="R11" s="1469"/>
      <c r="S11" s="1506">
        <f>SUM(S12:S752)</f>
        <v>1668081852161.3743</v>
      </c>
      <c r="T11" s="1469"/>
      <c r="U11" s="1571"/>
      <c r="V11" s="1489"/>
      <c r="W11" s="1513"/>
      <c r="X11" s="1510"/>
      <c r="Y11" s="1497"/>
      <c r="Z11" s="1514"/>
      <c r="AA11" s="1489"/>
      <c r="AB11" s="1506">
        <f>SUM(AB12:AB752)</f>
        <v>821626147771.90222</v>
      </c>
      <c r="AC11" s="1506">
        <f>SUM(AC12:AC752)</f>
        <v>42556098878.464958</v>
      </c>
      <c r="AD11" s="1506">
        <f>SUM(AD12:AD752)</f>
        <v>49628968937.601143</v>
      </c>
      <c r="AE11" s="1506">
        <f>SUM(AE12:AE752)</f>
        <v>56812541644.23439</v>
      </c>
      <c r="AF11" s="1506">
        <f>SUM(AF12:AF752)</f>
        <v>55843550432.369598</v>
      </c>
      <c r="AG11" s="1506">
        <f>SUM(AG12:AG752)</f>
        <v>57002924591.162354</v>
      </c>
      <c r="AH11" s="1506">
        <f>SUM(AH12:AH752)</f>
        <v>61759415857.925591</v>
      </c>
      <c r="AI11" s="1506">
        <f>SUM(AI12:AI752)</f>
        <v>1145229648113.6604</v>
      </c>
      <c r="AJ11" s="1506">
        <f>SUM(AJ12:AJ752)</f>
        <v>522852204047.71472</v>
      </c>
      <c r="AK11" s="1447">
        <v>1144947101193.02</v>
      </c>
      <c r="AL11" s="1515">
        <f>AI11-AK11</f>
        <v>282546920.64038086</v>
      </c>
    </row>
    <row r="12" spans="1:38" s="1390" customFormat="1" ht="37" customHeight="1" x14ac:dyDescent="0.15">
      <c r="A12" s="1390">
        <v>1</v>
      </c>
      <c r="B12" s="1472" t="str">
        <f t="shared" ref="B12:B75" si="0">VLOOKUP(A12,RUAS,2,FALSE)</f>
        <v>SEB. TELUK KUANTAN - SEB. BENAI</v>
      </c>
      <c r="C12" s="1516" t="s">
        <v>4247</v>
      </c>
      <c r="D12" s="1426">
        <v>1</v>
      </c>
      <c r="E12" s="1518" t="s">
        <v>5811</v>
      </c>
      <c r="F12" s="1520"/>
      <c r="G12" s="1517" t="s">
        <v>2494</v>
      </c>
      <c r="H12" s="1518"/>
      <c r="I12" s="1518" t="s">
        <v>484</v>
      </c>
      <c r="J12" s="1533">
        <v>11700</v>
      </c>
      <c r="K12" s="1517">
        <v>8</v>
      </c>
      <c r="L12" s="1519">
        <v>93600</v>
      </c>
      <c r="M12" s="1518" t="s">
        <v>2556</v>
      </c>
      <c r="N12" s="1517">
        <v>2001</v>
      </c>
      <c r="O12" s="1518"/>
      <c r="P12" s="1518" t="s">
        <v>5435</v>
      </c>
      <c r="Q12" s="1518" t="s">
        <v>482</v>
      </c>
      <c r="R12" s="1517" t="s">
        <v>12</v>
      </c>
      <c r="S12" s="1520">
        <f>4420800000+F13+F15+F16+F17+F18+F19+F20+F21+F22+F14+F23</f>
        <v>19409068935.268639</v>
      </c>
      <c r="T12" s="1517" t="s">
        <v>43</v>
      </c>
      <c r="U12" s="1572"/>
      <c r="V12" s="1521"/>
      <c r="W12" s="1522" t="str">
        <f>LEFT(G12,8)</f>
        <v>04.13.01</v>
      </c>
      <c r="X12" s="1478" t="str">
        <f>VLOOKUP(W12,UE,3,FALSE)</f>
        <v>Jalan</v>
      </c>
      <c r="Y12" s="1478">
        <f>VLOOKUP(W12,UE,4,FALSE)</f>
        <v>10</v>
      </c>
      <c r="Z12" s="1401"/>
      <c r="AA12" s="1444">
        <f>IF(2013-N12+1&gt;Y12,Y12,IF(2013-N12+1&lt;0,0,2013-N12+1))</f>
        <v>10</v>
      </c>
      <c r="AB12" s="1401">
        <f>SUM(PERHITUNGAN!U8:U20)</f>
        <v>4878598318.2661514</v>
      </c>
      <c r="AC12" s="1479">
        <f>SUMIF(PERHITUNGAN!A:A,'KIB D'!B12&amp;'KIB D'!$AC$7,PERHITUNGAN!U:U)</f>
        <v>315324167.00024885</v>
      </c>
      <c r="AD12" s="1479">
        <f>SUMIF(PERHITUNGAN!A:A,'KIB D'!B12&amp;'KIB D'!$AD$7,PERHITUNGAN!U:U)</f>
        <v>618006583.1002239</v>
      </c>
      <c r="AE12" s="1479">
        <f>SUMIF(PERHITUNGAN!A:A,'KIB D'!B12&amp;'KIB D'!$AE$7,PERHITUNGAN!U:U)</f>
        <v>618006583.1002239</v>
      </c>
      <c r="AF12" s="1479">
        <f>SUMIF(PERHITUNGAN!A:A,'KIB D'!B12&amp;'KIB D'!$AF$7,PERHITUNGAN!U:U)</f>
        <v>776466696.38017917</v>
      </c>
      <c r="AG12" s="1479">
        <f>SUMIF(PERHITUNGAN!A:A,'KIB D'!B12&amp;'KIB D'!$AG$7,PERHITUNGAN!U:U)</f>
        <v>1005037802.0421612</v>
      </c>
      <c r="AH12" s="1479">
        <f>SUMIF(PERHITUNGAN!A:A,'KIB D'!B12&amp;'KIB D'!$AH$7,PERHITUNGAN!U:U)</f>
        <v>1119762878.537945</v>
      </c>
      <c r="AI12" s="1479">
        <f>SUM(AB12:AH12)</f>
        <v>9331203028.4271336</v>
      </c>
      <c r="AJ12" s="1401">
        <f>S12-AI12</f>
        <v>10077865906.841505</v>
      </c>
    </row>
    <row r="13" spans="1:38" s="1390" customFormat="1" ht="37" customHeight="1" x14ac:dyDescent="0.15">
      <c r="A13" s="1390">
        <v>1</v>
      </c>
      <c r="B13" s="1472" t="str">
        <f t="shared" si="0"/>
        <v>SEB. TELUK KUANTAN - SEB. BENAI</v>
      </c>
      <c r="C13" s="1516" t="s">
        <v>4247</v>
      </c>
      <c r="D13" s="1426"/>
      <c r="E13" s="1429" t="s">
        <v>1186</v>
      </c>
      <c r="F13" s="1539">
        <v>1606819122.6242001</v>
      </c>
      <c r="G13" s="1517" t="s">
        <v>2494</v>
      </c>
      <c r="H13" s="1518"/>
      <c r="I13" s="1518"/>
      <c r="J13" s="1519">
        <v>0</v>
      </c>
      <c r="K13" s="1517"/>
      <c r="L13" s="1519">
        <v>0</v>
      </c>
      <c r="M13" s="1518" t="s">
        <v>2556</v>
      </c>
      <c r="N13" s="1517">
        <v>2007</v>
      </c>
      <c r="O13" s="1518"/>
      <c r="P13" s="1518"/>
      <c r="Q13" s="1518"/>
      <c r="R13" s="1517" t="s">
        <v>12</v>
      </c>
      <c r="S13" s="1520"/>
      <c r="T13" s="1517" t="s">
        <v>43</v>
      </c>
      <c r="U13" s="1572"/>
      <c r="V13" s="1521"/>
      <c r="W13" s="1522" t="str">
        <f>LEFT(G13,8)</f>
        <v>04.13.01</v>
      </c>
      <c r="X13" s="1478" t="str">
        <f>VLOOKUP(W13,UE,3,FALSE)</f>
        <v>Jalan</v>
      </c>
      <c r="Y13" s="1478">
        <f>VLOOKUP(W13,UE,4,FALSE)</f>
        <v>10</v>
      </c>
      <c r="Z13" s="1401"/>
      <c r="AA13" s="1444">
        <f>IF(2013-N13&gt;Y13,10,IF(2013-N13&lt;0,0,2013-N13))</f>
        <v>6</v>
      </c>
      <c r="AB13" s="1401"/>
      <c r="AC13" s="1401"/>
      <c r="AD13" s="1401"/>
      <c r="AE13" s="1401"/>
      <c r="AF13" s="1401"/>
      <c r="AG13" s="1479"/>
      <c r="AH13" s="1479"/>
      <c r="AI13" s="1479">
        <f>SUM(AB13:AG13)</f>
        <v>0</v>
      </c>
      <c r="AJ13" s="1401">
        <f>S13-AI13</f>
        <v>0</v>
      </c>
    </row>
    <row r="14" spans="1:38" s="1390" customFormat="1" ht="37" customHeight="1" x14ac:dyDescent="0.2">
      <c r="A14" s="1390">
        <v>1</v>
      </c>
      <c r="B14" s="1472" t="str">
        <f t="shared" si="0"/>
        <v>SEB. TELUK KUANTAN - SEB. BENAI</v>
      </c>
      <c r="C14" s="1478"/>
      <c r="D14" s="1426"/>
      <c r="E14" s="1573" t="s">
        <v>5087</v>
      </c>
      <c r="F14" s="1539">
        <v>110048799.64443959</v>
      </c>
      <c r="G14" s="1416" t="s">
        <v>2494</v>
      </c>
      <c r="H14" s="1508"/>
      <c r="I14" s="1416"/>
      <c r="J14" s="1500"/>
      <c r="K14" s="1416"/>
      <c r="L14" s="1500"/>
      <c r="M14" s="1518" t="s">
        <v>2556</v>
      </c>
      <c r="N14" s="1416">
        <v>2008</v>
      </c>
      <c r="O14" s="1414"/>
      <c r="P14" s="1523" t="s">
        <v>5084</v>
      </c>
      <c r="Q14" s="1523"/>
      <c r="R14" s="1517" t="s">
        <v>12</v>
      </c>
      <c r="S14" s="1524"/>
      <c r="T14" s="1525" t="s">
        <v>43</v>
      </c>
      <c r="U14" s="1574"/>
      <c r="V14" s="1477"/>
      <c r="W14" s="1478"/>
      <c r="X14" s="1478"/>
      <c r="Y14" s="1478"/>
      <c r="Z14" s="1401"/>
      <c r="AA14" s="1444"/>
      <c r="AB14" s="1401"/>
      <c r="AC14" s="1401"/>
      <c r="AD14" s="1401"/>
      <c r="AE14" s="1401"/>
      <c r="AF14" s="1401"/>
      <c r="AG14" s="1479"/>
      <c r="AH14" s="1479"/>
      <c r="AI14" s="1479"/>
      <c r="AJ14" s="1401"/>
    </row>
    <row r="15" spans="1:38" s="1390" customFormat="1" ht="37" customHeight="1" x14ac:dyDescent="0.2">
      <c r="A15" s="1390">
        <v>1</v>
      </c>
      <c r="B15" s="1472" t="str">
        <f t="shared" si="0"/>
        <v>SEB. TELUK KUANTAN - SEB. BENAI</v>
      </c>
      <c r="C15" s="1478" t="e">
        <f>RIGHT(#REF!,1)</f>
        <v>#REF!</v>
      </c>
      <c r="D15" s="1426"/>
      <c r="E15" s="1429" t="s">
        <v>1307</v>
      </c>
      <c r="F15" s="1529">
        <v>1894172066</v>
      </c>
      <c r="G15" s="1501" t="s">
        <v>2494</v>
      </c>
      <c r="H15" s="1501"/>
      <c r="I15" s="1414"/>
      <c r="J15" s="1526"/>
      <c r="K15" s="1416"/>
      <c r="L15" s="1430"/>
      <c r="M15" s="1429" t="s">
        <v>3184</v>
      </c>
      <c r="N15" s="1501">
        <v>2014</v>
      </c>
      <c r="O15" s="1414"/>
      <c r="P15" s="1414"/>
      <c r="Q15" s="1414"/>
      <c r="R15" s="1517" t="s">
        <v>12</v>
      </c>
      <c r="S15" s="1527"/>
      <c r="T15" s="1528"/>
      <c r="U15" s="1575"/>
      <c r="V15" s="1490"/>
      <c r="W15" s="1478" t="str">
        <f t="shared" ref="W15:W32" si="1">LEFT(G15,8)</f>
        <v>04.13.01</v>
      </c>
      <c r="X15" s="1478" t="str">
        <f t="shared" ref="X15:X32" si="2">VLOOKUP(W15,UE,3,FALSE)</f>
        <v>Jalan</v>
      </c>
      <c r="Y15" s="1478">
        <f t="shared" ref="Y15:Y32" si="3">VLOOKUP(W15,UE,4,FALSE)</f>
        <v>10</v>
      </c>
      <c r="Z15" s="1401"/>
      <c r="AA15" s="1444"/>
      <c r="AB15" s="1401"/>
      <c r="AC15" s="1401"/>
      <c r="AD15" s="1401"/>
      <c r="AE15" s="1401"/>
      <c r="AF15" s="1401"/>
      <c r="AG15" s="1479"/>
      <c r="AH15" s="1479"/>
      <c r="AI15" s="1479"/>
      <c r="AJ15" s="1401">
        <f>S15-AI15</f>
        <v>0</v>
      </c>
    </row>
    <row r="16" spans="1:38" s="1390" customFormat="1" ht="37" customHeight="1" x14ac:dyDescent="0.15">
      <c r="A16" s="1390">
        <v>1</v>
      </c>
      <c r="B16" s="1472" t="str">
        <f t="shared" si="0"/>
        <v>SEB. TELUK KUANTAN - SEB. BENAI</v>
      </c>
      <c r="C16" s="1516" t="s">
        <v>4247</v>
      </c>
      <c r="D16" s="1426"/>
      <c r="E16" s="1429" t="s">
        <v>1365</v>
      </c>
      <c r="F16" s="1539">
        <v>3147563153</v>
      </c>
      <c r="G16" s="1517" t="s">
        <v>2494</v>
      </c>
      <c r="H16" s="1518"/>
      <c r="I16" s="1518"/>
      <c r="J16" s="1519">
        <v>0</v>
      </c>
      <c r="K16" s="1517"/>
      <c r="L16" s="1519">
        <v>0</v>
      </c>
      <c r="M16" s="1518" t="s">
        <v>2556</v>
      </c>
      <c r="N16" s="1517">
        <v>2015</v>
      </c>
      <c r="O16" s="1518"/>
      <c r="P16" s="1518"/>
      <c r="Q16" s="1518"/>
      <c r="R16" s="1517" t="s">
        <v>12</v>
      </c>
      <c r="S16" s="1520"/>
      <c r="T16" s="1518"/>
      <c r="U16" s="1572"/>
      <c r="V16" s="1521"/>
      <c r="W16" s="1522" t="str">
        <f t="shared" si="1"/>
        <v>04.13.01</v>
      </c>
      <c r="X16" s="1478" t="str">
        <f t="shared" si="2"/>
        <v>Jalan</v>
      </c>
      <c r="Y16" s="1478">
        <f t="shared" si="3"/>
        <v>10</v>
      </c>
      <c r="Z16" s="1401"/>
      <c r="AA16" s="1444">
        <f t="shared" ref="AA16:AA21" si="4">IF(2013-N16&gt;Y16,10,IF(2013-N16&lt;0,0,2013-N16))</f>
        <v>0</v>
      </c>
      <c r="AB16" s="1401"/>
      <c r="AC16" s="1401"/>
      <c r="AD16" s="1401"/>
      <c r="AE16" s="1401"/>
      <c r="AF16" s="1401"/>
      <c r="AG16" s="1479"/>
      <c r="AH16" s="1479"/>
      <c r="AI16" s="1479">
        <f>SUM(AB16:AG16)</f>
        <v>0</v>
      </c>
      <c r="AJ16" s="1401">
        <f>S16-AI16</f>
        <v>0</v>
      </c>
      <c r="AK16" s="1397">
        <f>AK11</f>
        <v>1144947101193.02</v>
      </c>
    </row>
    <row r="17" spans="1:36" s="1390" customFormat="1" ht="37" customHeight="1" x14ac:dyDescent="0.15">
      <c r="A17" s="1390">
        <v>1</v>
      </c>
      <c r="B17" s="1472" t="str">
        <f t="shared" si="0"/>
        <v>SEB. TELUK KUANTAN - SEB. BENAI</v>
      </c>
      <c r="C17" s="1516" t="s">
        <v>4247</v>
      </c>
      <c r="D17" s="1426"/>
      <c r="E17" s="1429" t="s">
        <v>1420</v>
      </c>
      <c r="F17" s="1539">
        <v>194585175</v>
      </c>
      <c r="G17" s="1517" t="s">
        <v>2494</v>
      </c>
      <c r="H17" s="1518"/>
      <c r="I17" s="1518"/>
      <c r="J17" s="1519">
        <v>0</v>
      </c>
      <c r="K17" s="1517"/>
      <c r="L17" s="1519">
        <v>0</v>
      </c>
      <c r="M17" s="1518" t="s">
        <v>2562</v>
      </c>
      <c r="N17" s="1517">
        <v>2015</v>
      </c>
      <c r="O17" s="1518"/>
      <c r="P17" s="1518"/>
      <c r="Q17" s="1518"/>
      <c r="R17" s="1517" t="s">
        <v>12</v>
      </c>
      <c r="S17" s="1520"/>
      <c r="T17" s="1518"/>
      <c r="U17" s="1572"/>
      <c r="V17" s="1521"/>
      <c r="W17" s="1522" t="str">
        <f t="shared" si="1"/>
        <v>04.13.01</v>
      </c>
      <c r="X17" s="1478" t="str">
        <f t="shared" si="2"/>
        <v>Jalan</v>
      </c>
      <c r="Y17" s="1478">
        <f t="shared" si="3"/>
        <v>10</v>
      </c>
      <c r="Z17" s="1401"/>
      <c r="AA17" s="1444">
        <f t="shared" si="4"/>
        <v>0</v>
      </c>
      <c r="AB17" s="1401"/>
      <c r="AC17" s="1401"/>
      <c r="AD17" s="1401"/>
      <c r="AE17" s="1401"/>
      <c r="AF17" s="1401"/>
      <c r="AG17" s="1479"/>
      <c r="AH17" s="1479"/>
      <c r="AI17" s="1479">
        <f>SUM(AB17:AG17)</f>
        <v>0</v>
      </c>
      <c r="AJ17" s="1401">
        <f>S17-AI17</f>
        <v>0</v>
      </c>
    </row>
    <row r="18" spans="1:36" s="1390" customFormat="1" ht="37" customHeight="1" x14ac:dyDescent="0.15">
      <c r="A18" s="1390">
        <v>1</v>
      </c>
      <c r="B18" s="1472" t="str">
        <f t="shared" si="0"/>
        <v>SEB. TELUK KUANTAN - SEB. BENAI</v>
      </c>
      <c r="C18" s="1516" t="s">
        <v>4247</v>
      </c>
      <c r="D18" s="1426"/>
      <c r="E18" s="1429" t="s">
        <v>3042</v>
      </c>
      <c r="F18" s="1539">
        <v>2629412299</v>
      </c>
      <c r="G18" s="1517" t="s">
        <v>2494</v>
      </c>
      <c r="H18" s="1518"/>
      <c r="I18" s="1518"/>
      <c r="J18" s="1519">
        <v>0</v>
      </c>
      <c r="K18" s="1517"/>
      <c r="L18" s="1519">
        <v>0</v>
      </c>
      <c r="M18" s="1518" t="s">
        <v>2556</v>
      </c>
      <c r="N18" s="1517">
        <v>2017</v>
      </c>
      <c r="O18" s="1518"/>
      <c r="P18" s="1518"/>
      <c r="Q18" s="1518"/>
      <c r="R18" s="1517" t="s">
        <v>12</v>
      </c>
      <c r="S18" s="1520"/>
      <c r="T18" s="1518"/>
      <c r="U18" s="1572"/>
      <c r="V18" s="1521"/>
      <c r="W18" s="1522" t="str">
        <f t="shared" si="1"/>
        <v>04.13.01</v>
      </c>
      <c r="X18" s="1478" t="str">
        <f t="shared" si="2"/>
        <v>Jalan</v>
      </c>
      <c r="Y18" s="1478">
        <f t="shared" si="3"/>
        <v>10</v>
      </c>
      <c r="Z18" s="1401"/>
      <c r="AA18" s="1444">
        <f t="shared" si="4"/>
        <v>0</v>
      </c>
      <c r="AB18" s="1401"/>
      <c r="AC18" s="1401"/>
      <c r="AD18" s="1401"/>
      <c r="AE18" s="1401"/>
      <c r="AF18" s="1401"/>
      <c r="AG18" s="1479"/>
      <c r="AH18" s="1479"/>
      <c r="AI18" s="1479">
        <f>SUM(AB18:AG18)</f>
        <v>0</v>
      </c>
      <c r="AJ18" s="1401">
        <f>S18-AI18</f>
        <v>0</v>
      </c>
    </row>
    <row r="19" spans="1:36" s="1390" customFormat="1" ht="37" customHeight="1" x14ac:dyDescent="0.15">
      <c r="A19" s="1390">
        <v>1</v>
      </c>
      <c r="B19" s="1472" t="str">
        <f t="shared" si="0"/>
        <v>SEB. TELUK KUANTAN - SEB. BENAI</v>
      </c>
      <c r="C19" s="1516" t="s">
        <v>4247</v>
      </c>
      <c r="D19" s="1426"/>
      <c r="E19" s="1429" t="s">
        <v>2500</v>
      </c>
      <c r="F19" s="1539">
        <v>191202000</v>
      </c>
      <c r="G19" s="1517" t="s">
        <v>2494</v>
      </c>
      <c r="H19" s="1518"/>
      <c r="I19" s="1518"/>
      <c r="J19" s="1519">
        <v>0</v>
      </c>
      <c r="K19" s="1517"/>
      <c r="L19" s="1519">
        <v>0</v>
      </c>
      <c r="M19" s="1518" t="s">
        <v>2562</v>
      </c>
      <c r="N19" s="1517">
        <v>2017</v>
      </c>
      <c r="O19" s="1518"/>
      <c r="P19" s="1518"/>
      <c r="Q19" s="1518"/>
      <c r="R19" s="1517" t="s">
        <v>12</v>
      </c>
      <c r="S19" s="1520"/>
      <c r="T19" s="1518"/>
      <c r="U19" s="1572"/>
      <c r="V19" s="1521"/>
      <c r="W19" s="1522" t="str">
        <f t="shared" si="1"/>
        <v>04.13.01</v>
      </c>
      <c r="X19" s="1478" t="str">
        <f t="shared" si="2"/>
        <v>Jalan</v>
      </c>
      <c r="Y19" s="1478">
        <f t="shared" si="3"/>
        <v>10</v>
      </c>
      <c r="Z19" s="1401"/>
      <c r="AA19" s="1444">
        <f t="shared" si="4"/>
        <v>0</v>
      </c>
      <c r="AB19" s="1401"/>
      <c r="AC19" s="1401"/>
      <c r="AD19" s="1401"/>
      <c r="AE19" s="1401"/>
      <c r="AF19" s="1401"/>
      <c r="AG19" s="1479"/>
      <c r="AH19" s="1479"/>
      <c r="AI19" s="1479"/>
      <c r="AJ19" s="1401"/>
    </row>
    <row r="20" spans="1:36" s="1390" customFormat="1" ht="37" customHeight="1" x14ac:dyDescent="0.15">
      <c r="A20" s="1390">
        <v>1</v>
      </c>
      <c r="B20" s="1472" t="str">
        <f t="shared" si="0"/>
        <v>SEB. TELUK KUANTAN - SEB. BENAI</v>
      </c>
      <c r="C20" s="1516" t="s">
        <v>4247</v>
      </c>
      <c r="D20" s="1426"/>
      <c r="E20" s="1429" t="s">
        <v>3323</v>
      </c>
      <c r="F20" s="1539">
        <v>2395846651</v>
      </c>
      <c r="G20" s="1517" t="s">
        <v>2494</v>
      </c>
      <c r="H20" s="1518"/>
      <c r="I20" s="1518"/>
      <c r="J20" s="1519">
        <v>0</v>
      </c>
      <c r="K20" s="1517"/>
      <c r="L20" s="1519">
        <v>0</v>
      </c>
      <c r="M20" s="1518" t="s">
        <v>2556</v>
      </c>
      <c r="N20" s="1517">
        <v>2018</v>
      </c>
      <c r="O20" s="1518"/>
      <c r="P20" s="1518"/>
      <c r="Q20" s="1518"/>
      <c r="R20" s="1517" t="s">
        <v>12</v>
      </c>
      <c r="S20" s="1520"/>
      <c r="T20" s="1518"/>
      <c r="U20" s="1572"/>
      <c r="V20" s="1521"/>
      <c r="W20" s="1522" t="str">
        <f t="shared" si="1"/>
        <v>04.13.01</v>
      </c>
      <c r="X20" s="1478" t="str">
        <f t="shared" si="2"/>
        <v>Jalan</v>
      </c>
      <c r="Y20" s="1478">
        <f t="shared" si="3"/>
        <v>10</v>
      </c>
      <c r="Z20" s="1401"/>
      <c r="AA20" s="1444">
        <f t="shared" si="4"/>
        <v>0</v>
      </c>
      <c r="AB20" s="1401"/>
      <c r="AC20" s="1401"/>
      <c r="AD20" s="1401"/>
      <c r="AE20" s="1401"/>
      <c r="AF20" s="1401"/>
      <c r="AG20" s="1479"/>
      <c r="AH20" s="1479"/>
      <c r="AI20" s="1479"/>
      <c r="AJ20" s="1401"/>
    </row>
    <row r="21" spans="1:36" s="1390" customFormat="1" ht="37" customHeight="1" x14ac:dyDescent="0.15">
      <c r="A21" s="1390">
        <v>1</v>
      </c>
      <c r="B21" s="1472" t="str">
        <f t="shared" si="0"/>
        <v>SEB. TELUK KUANTAN - SEB. BENAI</v>
      </c>
      <c r="C21" s="1516" t="s">
        <v>4247</v>
      </c>
      <c r="D21" s="1426"/>
      <c r="E21" s="1429" t="s">
        <v>3331</v>
      </c>
      <c r="F21" s="1539">
        <v>188212566</v>
      </c>
      <c r="G21" s="1517" t="s">
        <v>2494</v>
      </c>
      <c r="H21" s="1518"/>
      <c r="I21" s="1518"/>
      <c r="J21" s="1519">
        <v>0</v>
      </c>
      <c r="K21" s="1517"/>
      <c r="L21" s="1519">
        <v>0</v>
      </c>
      <c r="M21" s="1518" t="s">
        <v>3306</v>
      </c>
      <c r="N21" s="1517">
        <v>2018</v>
      </c>
      <c r="O21" s="1518"/>
      <c r="P21" s="1518"/>
      <c r="Q21" s="1518"/>
      <c r="R21" s="1517" t="s">
        <v>12</v>
      </c>
      <c r="S21" s="1520"/>
      <c r="T21" s="1518"/>
      <c r="U21" s="1572"/>
      <c r="V21" s="1521"/>
      <c r="W21" s="1522" t="str">
        <f t="shared" si="1"/>
        <v>04.13.01</v>
      </c>
      <c r="X21" s="1478" t="str">
        <f t="shared" si="2"/>
        <v>Jalan</v>
      </c>
      <c r="Y21" s="1478">
        <f t="shared" si="3"/>
        <v>10</v>
      </c>
      <c r="Z21" s="1401"/>
      <c r="AA21" s="1444">
        <f t="shared" si="4"/>
        <v>0</v>
      </c>
      <c r="AB21" s="1401"/>
      <c r="AC21" s="1401"/>
      <c r="AD21" s="1401"/>
      <c r="AE21" s="1401"/>
      <c r="AF21" s="1401"/>
      <c r="AG21" s="1479"/>
      <c r="AH21" s="1479"/>
      <c r="AI21" s="1479"/>
      <c r="AJ21" s="1401"/>
    </row>
    <row r="22" spans="1:36" s="1472" customFormat="1" ht="37" customHeight="1" x14ac:dyDescent="0.2">
      <c r="A22" s="1472">
        <v>1</v>
      </c>
      <c r="B22" s="1472" t="str">
        <f t="shared" si="0"/>
        <v>SEB. TELUK KUANTAN - SEB. BENAI</v>
      </c>
      <c r="C22" s="1478" t="e">
        <f>RIGHT(#REF!,1)</f>
        <v>#REF!</v>
      </c>
      <c r="D22" s="1576"/>
      <c r="E22" s="1413" t="s">
        <v>3328</v>
      </c>
      <c r="F22" s="1539">
        <v>478118536</v>
      </c>
      <c r="G22" s="1416" t="s">
        <v>2494</v>
      </c>
      <c r="H22" s="1414"/>
      <c r="I22" s="1416"/>
      <c r="J22" s="1500"/>
      <c r="K22" s="1416"/>
      <c r="L22" s="1500"/>
      <c r="M22" s="1429" t="s">
        <v>3303</v>
      </c>
      <c r="N22" s="1416">
        <v>2018</v>
      </c>
      <c r="O22" s="1414"/>
      <c r="P22" s="1414"/>
      <c r="Q22" s="1414"/>
      <c r="R22" s="1501" t="s">
        <v>12</v>
      </c>
      <c r="S22" s="1529"/>
      <c r="T22" s="1528"/>
      <c r="U22" s="1575"/>
      <c r="V22" s="1490"/>
      <c r="W22" s="1478" t="str">
        <f t="shared" si="1"/>
        <v>04.13.01</v>
      </c>
      <c r="X22" s="1478" t="str">
        <f t="shared" si="2"/>
        <v>Jalan</v>
      </c>
      <c r="Y22" s="1478">
        <f t="shared" si="3"/>
        <v>10</v>
      </c>
      <c r="Z22" s="1401"/>
      <c r="AA22" s="1444"/>
      <c r="AB22" s="1401"/>
      <c r="AC22" s="1401"/>
      <c r="AD22" s="1401"/>
      <c r="AE22" s="1401"/>
      <c r="AF22" s="1401"/>
      <c r="AG22" s="1479"/>
      <c r="AH22" s="1479"/>
      <c r="AI22" s="1479"/>
      <c r="AJ22" s="1401">
        <f t="shared" ref="AJ22:AJ32" si="5">S22-AI22</f>
        <v>0</v>
      </c>
    </row>
    <row r="23" spans="1:36" s="1472" customFormat="1" ht="37" customHeight="1" x14ac:dyDescent="0.2">
      <c r="A23" s="1390">
        <v>1</v>
      </c>
      <c r="B23" s="1472" t="str">
        <f t="shared" si="0"/>
        <v>SEB. TELUK KUANTAN - SEB. BENAI</v>
      </c>
      <c r="C23" s="1478"/>
      <c r="D23" s="1576"/>
      <c r="E23" s="1413" t="s">
        <v>5693</v>
      </c>
      <c r="F23" s="1539">
        <v>2152288567</v>
      </c>
      <c r="G23" s="1416" t="s">
        <v>3821</v>
      </c>
      <c r="H23" s="1414"/>
      <c r="I23" s="1416" t="s">
        <v>5532</v>
      </c>
      <c r="J23" s="1512">
        <v>1000</v>
      </c>
      <c r="K23" s="1416">
        <v>4</v>
      </c>
      <c r="L23" s="1500">
        <f>J23*K23</f>
        <v>4000</v>
      </c>
      <c r="M23" s="1429" t="s">
        <v>5515</v>
      </c>
      <c r="N23" s="1530">
        <v>2019</v>
      </c>
      <c r="O23" s="1429" t="s">
        <v>5514</v>
      </c>
      <c r="P23" s="1414" t="s">
        <v>433</v>
      </c>
      <c r="Q23" s="1414"/>
      <c r="R23" s="1501" t="s">
        <v>12</v>
      </c>
      <c r="S23" s="1529"/>
      <c r="T23" s="1528"/>
      <c r="U23" s="1575"/>
      <c r="V23" s="1490"/>
      <c r="W23" s="1478" t="str">
        <f t="shared" si="1"/>
        <v>04.13.01</v>
      </c>
      <c r="X23" s="1478" t="str">
        <f t="shared" si="2"/>
        <v>Jalan</v>
      </c>
      <c r="Y23" s="1478">
        <f t="shared" si="3"/>
        <v>10</v>
      </c>
      <c r="Z23" s="1401">
        <f>S23/Y23</f>
        <v>0</v>
      </c>
      <c r="AA23" s="1444">
        <f>IF(2013-N23+1&gt;Y23,Y23,IF(2013-N23+1&lt;0,0,2013-N23+1))</f>
        <v>0</v>
      </c>
      <c r="AB23" s="1401">
        <f>IF(AA23&gt;Y23,S23,Z23*AA23)</f>
        <v>0</v>
      </c>
      <c r="AC23" s="1401">
        <v>0</v>
      </c>
      <c r="AD23" s="1401">
        <v>0</v>
      </c>
      <c r="AE23" s="1401">
        <v>0</v>
      </c>
      <c r="AF23" s="1401">
        <v>0</v>
      </c>
      <c r="AG23" s="1479">
        <v>0</v>
      </c>
      <c r="AH23" s="1479">
        <f>IF(S23=AC23+AD23+AE23+AB23+AF23+AG23,0,Z23)</f>
        <v>0</v>
      </c>
      <c r="AI23" s="1479">
        <f>SUM(AB23:AH23)</f>
        <v>0</v>
      </c>
      <c r="AJ23" s="1401">
        <f t="shared" si="5"/>
        <v>0</v>
      </c>
    </row>
    <row r="24" spans="1:36" s="1390" customFormat="1" ht="37" customHeight="1" x14ac:dyDescent="0.15">
      <c r="A24" s="1390">
        <v>2</v>
      </c>
      <c r="B24" s="1472" t="str">
        <f t="shared" si="0"/>
        <v>JAKE - GERINGGING BARU</v>
      </c>
      <c r="C24" s="1516" t="s">
        <v>4247</v>
      </c>
      <c r="D24" s="1426">
        <v>2</v>
      </c>
      <c r="E24" s="1429" t="s">
        <v>1138</v>
      </c>
      <c r="F24" s="1539"/>
      <c r="G24" s="1517" t="s">
        <v>2494</v>
      </c>
      <c r="H24" s="1518"/>
      <c r="I24" s="1518" t="s">
        <v>492</v>
      </c>
      <c r="J24" s="1533">
        <v>13300</v>
      </c>
      <c r="K24" s="1517">
        <v>8</v>
      </c>
      <c r="L24" s="1519">
        <v>106400</v>
      </c>
      <c r="M24" s="1518" t="s">
        <v>621</v>
      </c>
      <c r="N24" s="1517">
        <v>2001</v>
      </c>
      <c r="O24" s="1518"/>
      <c r="P24" s="1518"/>
      <c r="Q24" s="1518" t="s">
        <v>482</v>
      </c>
      <c r="R24" s="1517" t="s">
        <v>12</v>
      </c>
      <c r="S24" s="1520">
        <f>20175343360+F25+F26+F27+F28+F29</f>
        <v>37920658640.407501</v>
      </c>
      <c r="T24" s="1517" t="s">
        <v>43</v>
      </c>
      <c r="U24" s="1572"/>
      <c r="V24" s="1521"/>
      <c r="W24" s="1522" t="str">
        <f t="shared" si="1"/>
        <v>04.13.01</v>
      </c>
      <c r="X24" s="1478" t="str">
        <f t="shared" si="2"/>
        <v>Jalan</v>
      </c>
      <c r="Y24" s="1478">
        <f t="shared" si="3"/>
        <v>10</v>
      </c>
      <c r="Z24" s="1401"/>
      <c r="AA24" s="1444">
        <f>IF(2013-N24&gt;Y24,10,IF(2013-N24&lt;0,0,2013-N24))</f>
        <v>10</v>
      </c>
      <c r="AB24" s="1401">
        <f>SUM(PERHITUNGAN!U39:U43)</f>
        <v>20175343360</v>
      </c>
      <c r="AC24" s="1479">
        <f>SUMIF(PERHITUNGAN!A:A,'KIB D'!B24&amp;'KIB D'!$AC$7,PERHITUNGAN!U:U)</f>
        <v>0</v>
      </c>
      <c r="AD24" s="1479">
        <f>SUMIF(PERHITUNGAN!A:A,'KIB D'!B24&amp;'KIB D'!$AD$7,PERHITUNGAN!U:U)</f>
        <v>212578539.59999999</v>
      </c>
      <c r="AE24" s="1479">
        <f>SUMIF(PERHITUNGAN!A:A,'KIB D'!B24&amp;'KIB D'!$AE$7,PERHITUNGAN!U:U)</f>
        <v>724882989.68074989</v>
      </c>
      <c r="AF24" s="1479">
        <f>SUMIF(PERHITUNGAN!A:A,'KIB D'!B24&amp;'KIB D'!$AF$7,PERHITUNGAN!U:U)</f>
        <v>857224490.71267486</v>
      </c>
      <c r="AG24" s="1479">
        <f>SUMIF(PERHITUNGAN!A:A,'KIB D'!B24&amp;'KIB D'!$AG$7,PERHITUNGAN!U:U)</f>
        <v>1595062926.0414073</v>
      </c>
      <c r="AH24" s="1479">
        <f>SUMIF(PERHITUNGAN!A:A,'KIB D'!B24&amp;'KIB D'!$AH$7,PERHITUNGAN!U:U)</f>
        <v>1595062926.0414073</v>
      </c>
      <c r="AI24" s="1479">
        <f>SUM(AB24:AH24)</f>
        <v>25160155232.076237</v>
      </c>
      <c r="AJ24" s="1401">
        <f t="shared" si="5"/>
        <v>12760503408.331264</v>
      </c>
    </row>
    <row r="25" spans="1:36" s="1390" customFormat="1" ht="37" customHeight="1" x14ac:dyDescent="0.15">
      <c r="A25" s="1390">
        <v>2</v>
      </c>
      <c r="B25" s="1472" t="str">
        <f t="shared" si="0"/>
        <v>JAKE - GERINGGING BARU</v>
      </c>
      <c r="C25" s="1516" t="s">
        <v>4247</v>
      </c>
      <c r="D25" s="1426"/>
      <c r="E25" s="1429" t="s">
        <v>1411</v>
      </c>
      <c r="F25" s="1539">
        <v>2125785396</v>
      </c>
      <c r="G25" s="1517" t="s">
        <v>2494</v>
      </c>
      <c r="H25" s="1518"/>
      <c r="I25" s="1518"/>
      <c r="J25" s="1519">
        <v>0</v>
      </c>
      <c r="K25" s="1517"/>
      <c r="L25" s="1519">
        <v>0</v>
      </c>
      <c r="M25" s="1518" t="s">
        <v>621</v>
      </c>
      <c r="N25" s="1517">
        <v>2015</v>
      </c>
      <c r="O25" s="1518"/>
      <c r="P25" s="1518"/>
      <c r="Q25" s="1518"/>
      <c r="R25" s="1517" t="s">
        <v>12</v>
      </c>
      <c r="S25" s="1520"/>
      <c r="T25" s="1518"/>
      <c r="U25" s="1572"/>
      <c r="V25" s="1521"/>
      <c r="W25" s="1522" t="str">
        <f t="shared" si="1"/>
        <v>04.13.01</v>
      </c>
      <c r="X25" s="1478" t="str">
        <f t="shared" si="2"/>
        <v>Jalan</v>
      </c>
      <c r="Y25" s="1478">
        <f t="shared" si="3"/>
        <v>10</v>
      </c>
      <c r="Z25" s="1401"/>
      <c r="AA25" s="1444">
        <f t="shared" ref="AA25:AA32" si="6">IF(2013-N25&gt;Y25,10,IF(2013-N25&lt;0,0,2013-N25))</f>
        <v>0</v>
      </c>
      <c r="AB25" s="1401"/>
      <c r="AC25" s="1401"/>
      <c r="AD25" s="1401"/>
      <c r="AE25" s="1401"/>
      <c r="AF25" s="1401"/>
      <c r="AG25" s="1479"/>
      <c r="AH25" s="1479"/>
      <c r="AI25" s="1479">
        <f>SUM(AB25:AG25)</f>
        <v>0</v>
      </c>
      <c r="AJ25" s="1401">
        <f t="shared" si="5"/>
        <v>0</v>
      </c>
    </row>
    <row r="26" spans="1:36" s="1390" customFormat="1" ht="37" customHeight="1" x14ac:dyDescent="0.15">
      <c r="A26" s="1390">
        <v>2</v>
      </c>
      <c r="B26" s="1472" t="str">
        <f t="shared" si="0"/>
        <v>JAKE - GERINGGING BARU</v>
      </c>
      <c r="C26" s="1516" t="s">
        <v>4247</v>
      </c>
      <c r="D26" s="1426"/>
      <c r="E26" s="1429" t="s">
        <v>1456</v>
      </c>
      <c r="F26" s="1539">
        <v>5335623040.4074984</v>
      </c>
      <c r="G26" s="1517" t="s">
        <v>2494</v>
      </c>
      <c r="H26" s="1518"/>
      <c r="I26" s="1518"/>
      <c r="J26" s="1519">
        <v>0</v>
      </c>
      <c r="K26" s="1517"/>
      <c r="L26" s="1519">
        <v>0</v>
      </c>
      <c r="M26" s="1518" t="s">
        <v>621</v>
      </c>
      <c r="N26" s="1517">
        <v>2016</v>
      </c>
      <c r="O26" s="1518"/>
      <c r="P26" s="1518"/>
      <c r="Q26" s="1518"/>
      <c r="R26" s="1517" t="s">
        <v>12</v>
      </c>
      <c r="S26" s="1520"/>
      <c r="T26" s="1518"/>
      <c r="U26" s="1572"/>
      <c r="V26" s="1521"/>
      <c r="W26" s="1522" t="str">
        <f t="shared" si="1"/>
        <v>04.13.01</v>
      </c>
      <c r="X26" s="1478" t="str">
        <f t="shared" si="2"/>
        <v>Jalan</v>
      </c>
      <c r="Y26" s="1478">
        <f t="shared" si="3"/>
        <v>10</v>
      </c>
      <c r="Z26" s="1401"/>
      <c r="AA26" s="1444">
        <f t="shared" si="6"/>
        <v>0</v>
      </c>
      <c r="AB26" s="1401"/>
      <c r="AC26" s="1401"/>
      <c r="AD26" s="1401"/>
      <c r="AE26" s="1401"/>
      <c r="AF26" s="1401"/>
      <c r="AG26" s="1479"/>
      <c r="AH26" s="1479"/>
      <c r="AI26" s="1479">
        <f>SUM(AB26:AG26)</f>
        <v>0</v>
      </c>
      <c r="AJ26" s="1401">
        <f t="shared" si="5"/>
        <v>0</v>
      </c>
    </row>
    <row r="27" spans="1:36" s="1390" customFormat="1" ht="37" customHeight="1" x14ac:dyDescent="0.15">
      <c r="A27" s="1390">
        <v>2</v>
      </c>
      <c r="B27" s="1472" t="str">
        <f t="shared" si="0"/>
        <v>JAKE - GERINGGING BARU</v>
      </c>
      <c r="C27" s="1516" t="s">
        <v>4247</v>
      </c>
      <c r="D27" s="1426"/>
      <c r="E27" s="1429" t="s">
        <v>3062</v>
      </c>
      <c r="F27" s="1539">
        <v>2048298000</v>
      </c>
      <c r="G27" s="1517" t="s">
        <v>2494</v>
      </c>
      <c r="H27" s="1518"/>
      <c r="I27" s="1518"/>
      <c r="J27" s="1519">
        <v>0</v>
      </c>
      <c r="K27" s="1517"/>
      <c r="L27" s="1519">
        <v>0</v>
      </c>
      <c r="M27" s="1518" t="s">
        <v>621</v>
      </c>
      <c r="N27" s="1517">
        <v>2017</v>
      </c>
      <c r="O27" s="1518"/>
      <c r="P27" s="1518"/>
      <c r="Q27" s="1518"/>
      <c r="R27" s="1517" t="s">
        <v>12</v>
      </c>
      <c r="S27" s="1520"/>
      <c r="T27" s="1518"/>
      <c r="U27" s="1572"/>
      <c r="V27" s="1521"/>
      <c r="W27" s="1522" t="str">
        <f t="shared" si="1"/>
        <v>04.13.01</v>
      </c>
      <c r="X27" s="1478" t="str">
        <f t="shared" si="2"/>
        <v>Jalan</v>
      </c>
      <c r="Y27" s="1478">
        <f t="shared" si="3"/>
        <v>10</v>
      </c>
      <c r="Z27" s="1401"/>
      <c r="AA27" s="1444">
        <f t="shared" si="6"/>
        <v>0</v>
      </c>
      <c r="AB27" s="1401"/>
      <c r="AC27" s="1401"/>
      <c r="AD27" s="1401"/>
      <c r="AE27" s="1401"/>
      <c r="AF27" s="1401"/>
      <c r="AG27" s="1479"/>
      <c r="AH27" s="1479"/>
      <c r="AI27" s="1479">
        <f>SUM(AB27:AG27)</f>
        <v>0</v>
      </c>
      <c r="AJ27" s="1401">
        <f t="shared" si="5"/>
        <v>0</v>
      </c>
    </row>
    <row r="28" spans="1:36" s="1390" customFormat="1" ht="37" customHeight="1" x14ac:dyDescent="0.15">
      <c r="A28" s="1390">
        <v>2</v>
      </c>
      <c r="B28" s="1472" t="str">
        <f t="shared" si="0"/>
        <v>JAKE - GERINGGING BARU</v>
      </c>
      <c r="C28" s="1516" t="s">
        <v>4247</v>
      </c>
      <c r="D28" s="1426"/>
      <c r="E28" s="1429" t="s">
        <v>1456</v>
      </c>
      <c r="F28" s="1539">
        <v>8049268344</v>
      </c>
      <c r="G28" s="1517" t="s">
        <v>2494</v>
      </c>
      <c r="H28" s="1518"/>
      <c r="I28" s="1518"/>
      <c r="J28" s="1519">
        <v>0</v>
      </c>
      <c r="K28" s="1517"/>
      <c r="L28" s="1519">
        <v>0</v>
      </c>
      <c r="M28" s="1518" t="s">
        <v>621</v>
      </c>
      <c r="N28" s="1517">
        <v>2018</v>
      </c>
      <c r="O28" s="1518"/>
      <c r="P28" s="1518"/>
      <c r="Q28" s="1518"/>
      <c r="R28" s="1517" t="s">
        <v>12</v>
      </c>
      <c r="S28" s="1520"/>
      <c r="T28" s="1518"/>
      <c r="U28" s="1572"/>
      <c r="V28" s="1521"/>
      <c r="W28" s="1522" t="str">
        <f t="shared" si="1"/>
        <v>04.13.01</v>
      </c>
      <c r="X28" s="1478" t="str">
        <f t="shared" si="2"/>
        <v>Jalan</v>
      </c>
      <c r="Y28" s="1478">
        <f t="shared" si="3"/>
        <v>10</v>
      </c>
      <c r="Z28" s="1401"/>
      <c r="AA28" s="1444">
        <f t="shared" si="6"/>
        <v>0</v>
      </c>
      <c r="AB28" s="1401"/>
      <c r="AC28" s="1401"/>
      <c r="AD28" s="1401"/>
      <c r="AE28" s="1401"/>
      <c r="AF28" s="1401"/>
      <c r="AG28" s="1479"/>
      <c r="AH28" s="1479"/>
      <c r="AI28" s="1479">
        <f>SUM(AB28:AG28)</f>
        <v>0</v>
      </c>
      <c r="AJ28" s="1401">
        <f t="shared" si="5"/>
        <v>0</v>
      </c>
    </row>
    <row r="29" spans="1:36" s="1390" customFormat="1" ht="37" customHeight="1" x14ac:dyDescent="0.15">
      <c r="A29" s="1390">
        <v>2</v>
      </c>
      <c r="B29" s="1472" t="str">
        <f t="shared" si="0"/>
        <v>JAKE - GERINGGING BARU</v>
      </c>
      <c r="C29" s="1516" t="s">
        <v>4247</v>
      </c>
      <c r="D29" s="1426"/>
      <c r="E29" s="1429" t="s">
        <v>3341</v>
      </c>
      <c r="F29" s="1539">
        <v>186340500</v>
      </c>
      <c r="G29" s="1517" t="s">
        <v>2494</v>
      </c>
      <c r="H29" s="1518"/>
      <c r="I29" s="1518"/>
      <c r="J29" s="1519">
        <v>0</v>
      </c>
      <c r="K29" s="1517"/>
      <c r="L29" s="1519">
        <v>0</v>
      </c>
      <c r="M29" s="1518" t="s">
        <v>621</v>
      </c>
      <c r="N29" s="1517">
        <v>2018</v>
      </c>
      <c r="O29" s="1518"/>
      <c r="P29" s="1518"/>
      <c r="Q29" s="1518"/>
      <c r="R29" s="1517" t="s">
        <v>12</v>
      </c>
      <c r="S29" s="1520"/>
      <c r="T29" s="1518"/>
      <c r="U29" s="1572"/>
      <c r="V29" s="1521"/>
      <c r="W29" s="1522" t="str">
        <f t="shared" si="1"/>
        <v>04.13.01</v>
      </c>
      <c r="X29" s="1478" t="str">
        <f t="shared" si="2"/>
        <v>Jalan</v>
      </c>
      <c r="Y29" s="1478">
        <f t="shared" si="3"/>
        <v>10</v>
      </c>
      <c r="Z29" s="1401"/>
      <c r="AA29" s="1444">
        <f t="shared" si="6"/>
        <v>0</v>
      </c>
      <c r="AB29" s="1401"/>
      <c r="AC29" s="1401"/>
      <c r="AD29" s="1401"/>
      <c r="AE29" s="1401"/>
      <c r="AF29" s="1401"/>
      <c r="AG29" s="1479"/>
      <c r="AH29" s="1479"/>
      <c r="AI29" s="1479">
        <f>SUM(AB29:AG29)</f>
        <v>0</v>
      </c>
      <c r="AJ29" s="1401">
        <f t="shared" si="5"/>
        <v>0</v>
      </c>
    </row>
    <row r="30" spans="1:36" s="1390" customFormat="1" ht="37" customHeight="1" x14ac:dyDescent="0.15">
      <c r="A30" s="1390">
        <v>3</v>
      </c>
      <c r="B30" s="1472" t="str">
        <f t="shared" si="0"/>
        <v>JAKE - KOTO KOMBU</v>
      </c>
      <c r="C30" s="1516" t="s">
        <v>4247</v>
      </c>
      <c r="D30" s="1426">
        <v>3</v>
      </c>
      <c r="E30" s="1429" t="s">
        <v>5812</v>
      </c>
      <c r="F30" s="1539"/>
      <c r="G30" s="1517" t="s">
        <v>2494</v>
      </c>
      <c r="H30" s="1518"/>
      <c r="I30" s="1518" t="s">
        <v>479</v>
      </c>
      <c r="J30" s="1533" t="s">
        <v>622</v>
      </c>
      <c r="K30" s="1517"/>
      <c r="L30" s="1519">
        <v>0</v>
      </c>
      <c r="M30" s="1518" t="s">
        <v>3080</v>
      </c>
      <c r="N30" s="1517">
        <v>2001</v>
      </c>
      <c r="O30" s="1518"/>
      <c r="P30" s="1518"/>
      <c r="Q30" s="1518" t="s">
        <v>482</v>
      </c>
      <c r="R30" s="1517" t="s">
        <v>12</v>
      </c>
      <c r="S30" s="1520">
        <f>13778074379+F31+F32+F33+F36+F37+F38+F39+F40+F41+F42+F34+F35</f>
        <v>45211954044.395836</v>
      </c>
      <c r="T30" s="1517" t="s">
        <v>43</v>
      </c>
      <c r="U30" s="1572"/>
      <c r="V30" s="1521"/>
      <c r="W30" s="1522" t="str">
        <f t="shared" si="1"/>
        <v>04.13.01</v>
      </c>
      <c r="X30" s="1478" t="str">
        <f t="shared" si="2"/>
        <v>Jalan</v>
      </c>
      <c r="Y30" s="1478">
        <f t="shared" si="3"/>
        <v>10</v>
      </c>
      <c r="Z30" s="1401"/>
      <c r="AA30" s="1444">
        <f>IF(2013-N30&gt;Y30,10,IF(2013-N30&lt;0,0,2013-N30))</f>
        <v>10</v>
      </c>
      <c r="AB30" s="1401">
        <f>SUM(PERHITUNGAN!U59:U68)</f>
        <v>14038358455.139038</v>
      </c>
      <c r="AC30" s="1479">
        <f>SUMIF(PERHITUNGAN!A:A,'KIB D'!B30&amp;'KIB D'!$AC$7,PERHITUNGAN!U:U)</f>
        <v>1048865138.3691248</v>
      </c>
      <c r="AD30" s="1479">
        <f>SUMIF(PERHITUNGAN!A:A,'KIB D'!B30&amp;'KIB D'!$AD$7,PERHITUNGAN!U:U)</f>
        <v>1700874815.0887666</v>
      </c>
      <c r="AE30" s="1479">
        <f>SUMIF(PERHITUNGAN!A:A,'KIB D'!B30&amp;'KIB D'!$AE$7,PERHITUNGAN!U:U)</f>
        <v>1700874815.0887666</v>
      </c>
      <c r="AF30" s="1479">
        <f>SUMIF(PERHITUNGAN!A:A,'KIB D'!B30&amp;'KIB D'!$AF$7,PERHITUNGAN!U:U)</f>
        <v>2672298082.0710135</v>
      </c>
      <c r="AG30" s="1479">
        <f>SUMIF(PERHITUNGAN!A:A,'KIB D'!B30&amp;'KIB D'!$AG$7,PERHITUNGAN!U:U)</f>
        <v>2672298082.0710135</v>
      </c>
      <c r="AH30" s="1479">
        <f>SUMIF(PERHITUNGAN!A:A,'KIB D'!B30&amp;'KIB D'!$AH$7,PERHITUNGAN!U:U)</f>
        <v>2672298082.0710135</v>
      </c>
      <c r="AI30" s="1479">
        <f>SUM(AB30:AH30)</f>
        <v>26505867469.898739</v>
      </c>
      <c r="AJ30" s="1401">
        <f t="shared" si="5"/>
        <v>18706086574.497097</v>
      </c>
    </row>
    <row r="31" spans="1:36" s="1390" customFormat="1" ht="37" customHeight="1" x14ac:dyDescent="0.15">
      <c r="A31" s="1390">
        <v>3</v>
      </c>
      <c r="B31" s="1472" t="str">
        <f t="shared" si="0"/>
        <v>JAKE - KOTO KOMBU</v>
      </c>
      <c r="C31" s="1516" t="s">
        <v>4247</v>
      </c>
      <c r="D31" s="1426"/>
      <c r="E31" s="1429" t="s">
        <v>1177</v>
      </c>
      <c r="F31" s="1539">
        <v>667654574.73438203</v>
      </c>
      <c r="G31" s="1517" t="s">
        <v>2494</v>
      </c>
      <c r="H31" s="1518"/>
      <c r="I31" s="1518" t="s">
        <v>835</v>
      </c>
      <c r="J31" s="1519">
        <v>2</v>
      </c>
      <c r="K31" s="1517">
        <v>2</v>
      </c>
      <c r="L31" s="1519">
        <v>4</v>
      </c>
      <c r="M31" s="1518" t="s">
        <v>3584</v>
      </c>
      <c r="N31" s="1517">
        <v>2007</v>
      </c>
      <c r="O31" s="1518"/>
      <c r="P31" s="1518"/>
      <c r="Q31" s="1518"/>
      <c r="R31" s="1517" t="s">
        <v>12</v>
      </c>
      <c r="S31" s="1520"/>
      <c r="T31" s="1517" t="s">
        <v>43</v>
      </c>
      <c r="U31" s="1572"/>
      <c r="V31" s="1521"/>
      <c r="W31" s="1522" t="str">
        <f t="shared" si="1"/>
        <v>04.13.01</v>
      </c>
      <c r="X31" s="1478" t="str">
        <f t="shared" si="2"/>
        <v>Jalan</v>
      </c>
      <c r="Y31" s="1478">
        <f t="shared" si="3"/>
        <v>10</v>
      </c>
      <c r="Z31" s="1401"/>
      <c r="AA31" s="1444">
        <f t="shared" si="6"/>
        <v>6</v>
      </c>
      <c r="AB31" s="1401"/>
      <c r="AC31" s="1401"/>
      <c r="AD31" s="1401"/>
      <c r="AE31" s="1401"/>
      <c r="AF31" s="1401"/>
      <c r="AG31" s="1479"/>
      <c r="AH31" s="1479"/>
      <c r="AI31" s="1479">
        <f>SUM(AB31:AG31)</f>
        <v>0</v>
      </c>
      <c r="AJ31" s="1401">
        <f t="shared" si="5"/>
        <v>0</v>
      </c>
    </row>
    <row r="32" spans="1:36" s="1390" customFormat="1" ht="37" customHeight="1" x14ac:dyDescent="0.15">
      <c r="A32" s="1390">
        <v>3</v>
      </c>
      <c r="B32" s="1472" t="str">
        <f t="shared" si="0"/>
        <v>JAKE - KOTO KOMBU</v>
      </c>
      <c r="C32" s="1516" t="s">
        <v>4247</v>
      </c>
      <c r="D32" s="1426"/>
      <c r="E32" s="1429" t="s">
        <v>1178</v>
      </c>
      <c r="F32" s="1539">
        <v>705972610.72970796</v>
      </c>
      <c r="G32" s="1517" t="s">
        <v>2494</v>
      </c>
      <c r="H32" s="1518"/>
      <c r="I32" s="1518" t="s">
        <v>835</v>
      </c>
      <c r="J32" s="1519">
        <v>3</v>
      </c>
      <c r="K32" s="1517">
        <v>4</v>
      </c>
      <c r="L32" s="1519">
        <v>12</v>
      </c>
      <c r="M32" s="1518" t="s">
        <v>3584</v>
      </c>
      <c r="N32" s="1517">
        <v>2007</v>
      </c>
      <c r="O32" s="1518"/>
      <c r="P32" s="1518"/>
      <c r="Q32" s="1518"/>
      <c r="R32" s="1517" t="s">
        <v>12</v>
      </c>
      <c r="S32" s="1520"/>
      <c r="T32" s="1517" t="s">
        <v>43</v>
      </c>
      <c r="U32" s="1572"/>
      <c r="V32" s="1521"/>
      <c r="W32" s="1522" t="str">
        <f t="shared" si="1"/>
        <v>04.13.01</v>
      </c>
      <c r="X32" s="1478" t="str">
        <f t="shared" si="2"/>
        <v>Jalan</v>
      </c>
      <c r="Y32" s="1478">
        <f t="shared" si="3"/>
        <v>10</v>
      </c>
      <c r="Z32" s="1401"/>
      <c r="AA32" s="1444">
        <f t="shared" si="6"/>
        <v>6</v>
      </c>
      <c r="AB32" s="1401"/>
      <c r="AC32" s="1401"/>
      <c r="AD32" s="1401"/>
      <c r="AE32" s="1401"/>
      <c r="AF32" s="1401"/>
      <c r="AG32" s="1479"/>
      <c r="AH32" s="1479"/>
      <c r="AI32" s="1479">
        <f>SUM(AB32:AG32)</f>
        <v>0</v>
      </c>
      <c r="AJ32" s="1401">
        <f t="shared" si="5"/>
        <v>0</v>
      </c>
    </row>
    <row r="33" spans="1:36" s="1390" customFormat="1" ht="37" customHeight="1" x14ac:dyDescent="0.2">
      <c r="A33" s="1390">
        <v>3</v>
      </c>
      <c r="B33" s="1472" t="str">
        <f t="shared" si="0"/>
        <v>JAKE - KOTO KOMBU</v>
      </c>
      <c r="C33" s="1478"/>
      <c r="D33" s="1426"/>
      <c r="E33" s="1429" t="s">
        <v>5055</v>
      </c>
      <c r="F33" s="1539">
        <v>442451120.5388456</v>
      </c>
      <c r="G33" s="1416" t="s">
        <v>2494</v>
      </c>
      <c r="H33" s="1508"/>
      <c r="I33" s="1416"/>
      <c r="J33" s="1500"/>
      <c r="K33" s="1416"/>
      <c r="L33" s="1500"/>
      <c r="M33" s="1429" t="s">
        <v>3118</v>
      </c>
      <c r="N33" s="1416">
        <v>2007</v>
      </c>
      <c r="O33" s="1414"/>
      <c r="P33" s="1414"/>
      <c r="Q33" s="1414"/>
      <c r="R33" s="1416" t="s">
        <v>12</v>
      </c>
      <c r="S33" s="1529"/>
      <c r="T33" s="1416" t="s">
        <v>43</v>
      </c>
      <c r="U33" s="1427"/>
      <c r="V33" s="1477"/>
      <c r="W33" s="1478"/>
      <c r="X33" s="1478"/>
      <c r="Y33" s="1478"/>
      <c r="Z33" s="1401"/>
      <c r="AA33" s="1444"/>
      <c r="AB33" s="1401"/>
      <c r="AC33" s="1401"/>
      <c r="AD33" s="1401"/>
      <c r="AE33" s="1401"/>
      <c r="AF33" s="1401"/>
      <c r="AG33" s="1479"/>
      <c r="AH33" s="1479"/>
      <c r="AI33" s="1479"/>
      <c r="AJ33" s="1401"/>
    </row>
    <row r="34" spans="1:36" s="1390" customFormat="1" ht="37" customHeight="1" x14ac:dyDescent="0.2">
      <c r="A34" s="1390">
        <v>3</v>
      </c>
      <c r="B34" s="1472" t="str">
        <f t="shared" si="0"/>
        <v>JAKE - KOTO KOMBU</v>
      </c>
      <c r="C34" s="1478"/>
      <c r="D34" s="1426"/>
      <c r="E34" s="1577" t="s">
        <v>5088</v>
      </c>
      <c r="F34" s="1539">
        <v>399330194.19144249</v>
      </c>
      <c r="G34" s="1416" t="s">
        <v>2494</v>
      </c>
      <c r="H34" s="1508"/>
      <c r="I34" s="1416"/>
      <c r="J34" s="1500"/>
      <c r="K34" s="1416"/>
      <c r="L34" s="1500"/>
      <c r="M34" s="1523" t="s">
        <v>3584</v>
      </c>
      <c r="N34" s="1416">
        <v>2008</v>
      </c>
      <c r="O34" s="1414"/>
      <c r="P34" s="1523" t="s">
        <v>5084</v>
      </c>
      <c r="Q34" s="1523"/>
      <c r="R34" s="1523" t="s">
        <v>12</v>
      </c>
      <c r="S34" s="1524"/>
      <c r="T34" s="1525" t="s">
        <v>43</v>
      </c>
      <c r="U34" s="1574"/>
      <c r="V34" s="1477"/>
      <c r="W34" s="1478"/>
      <c r="X34" s="1478"/>
      <c r="Y34" s="1478"/>
      <c r="Z34" s="1401"/>
      <c r="AA34" s="1444"/>
      <c r="AB34" s="1401"/>
      <c r="AC34" s="1401"/>
      <c r="AD34" s="1401"/>
      <c r="AE34" s="1401"/>
      <c r="AF34" s="1401"/>
      <c r="AG34" s="1479"/>
      <c r="AH34" s="1479"/>
      <c r="AI34" s="1479"/>
      <c r="AJ34" s="1401"/>
    </row>
    <row r="35" spans="1:36" s="1390" customFormat="1" ht="37" customHeight="1" x14ac:dyDescent="0.2">
      <c r="A35" s="1390">
        <v>3</v>
      </c>
      <c r="B35" s="1472" t="str">
        <f t="shared" si="0"/>
        <v>JAKE - KOTO KOMBU</v>
      </c>
      <c r="C35" s="1478"/>
      <c r="D35" s="1426"/>
      <c r="E35" s="1578" t="s">
        <v>5089</v>
      </c>
      <c r="F35" s="1539">
        <v>1337771692.5776577</v>
      </c>
      <c r="G35" s="1416" t="s">
        <v>2494</v>
      </c>
      <c r="H35" s="1508"/>
      <c r="I35" s="1531" t="s">
        <v>519</v>
      </c>
      <c r="J35" s="1531">
        <v>1000</v>
      </c>
      <c r="K35" s="1532"/>
      <c r="L35" s="1531"/>
      <c r="M35" s="1532" t="s">
        <v>5090</v>
      </c>
      <c r="N35" s="1416">
        <v>2010</v>
      </c>
      <c r="O35" s="1414"/>
      <c r="P35" s="1414" t="s">
        <v>5084</v>
      </c>
      <c r="Q35" s="1414"/>
      <c r="R35" s="1523" t="s">
        <v>12</v>
      </c>
      <c r="S35" s="1529"/>
      <c r="T35" s="1416" t="s">
        <v>43</v>
      </c>
      <c r="U35" s="1427"/>
      <c r="V35" s="1477"/>
      <c r="W35" s="1478"/>
      <c r="X35" s="1478"/>
      <c r="Y35" s="1478"/>
      <c r="Z35" s="1401"/>
      <c r="AA35" s="1444"/>
      <c r="AB35" s="1401"/>
      <c r="AC35" s="1401"/>
      <c r="AD35" s="1401"/>
      <c r="AE35" s="1401"/>
      <c r="AF35" s="1401"/>
      <c r="AG35" s="1479"/>
      <c r="AH35" s="1479"/>
      <c r="AI35" s="1479"/>
      <c r="AJ35" s="1401"/>
    </row>
    <row r="36" spans="1:36" s="1390" customFormat="1" ht="37" customHeight="1" x14ac:dyDescent="0.15">
      <c r="A36" s="1390">
        <v>3</v>
      </c>
      <c r="B36" s="1472" t="str">
        <f t="shared" si="0"/>
        <v>JAKE - KOTO KOMBU</v>
      </c>
      <c r="C36" s="1516" t="s">
        <v>4247</v>
      </c>
      <c r="D36" s="1426"/>
      <c r="E36" s="1429" t="s">
        <v>1234</v>
      </c>
      <c r="F36" s="1539">
        <v>1722640846.3199999</v>
      </c>
      <c r="G36" s="1517" t="s">
        <v>2494</v>
      </c>
      <c r="H36" s="1518"/>
      <c r="I36" s="1518" t="s">
        <v>519</v>
      </c>
      <c r="J36" s="1519">
        <v>0</v>
      </c>
      <c r="K36" s="1517"/>
      <c r="L36" s="1519">
        <v>1000</v>
      </c>
      <c r="M36" s="1518" t="s">
        <v>3140</v>
      </c>
      <c r="N36" s="1517">
        <v>2011</v>
      </c>
      <c r="O36" s="1518"/>
      <c r="P36" s="1518"/>
      <c r="Q36" s="1518"/>
      <c r="R36" s="1517" t="s">
        <v>12</v>
      </c>
      <c r="S36" s="1520"/>
      <c r="T36" s="1517" t="s">
        <v>43</v>
      </c>
      <c r="U36" s="1572"/>
      <c r="V36" s="1521"/>
      <c r="W36" s="1522" t="str">
        <f t="shared" ref="W36:W43" si="7">LEFT(G36,8)</f>
        <v>04.13.01</v>
      </c>
      <c r="X36" s="1478" t="str">
        <f t="shared" ref="X36:X43" si="8">VLOOKUP(W36,UE,3,FALSE)</f>
        <v>Jalan</v>
      </c>
      <c r="Y36" s="1478">
        <f t="shared" ref="Y36:Y43" si="9">VLOOKUP(W36,UE,4,FALSE)</f>
        <v>10</v>
      </c>
      <c r="Z36" s="1401"/>
      <c r="AA36" s="1444">
        <f t="shared" ref="AA36:AA42" si="10">IF(2013-N36&gt;Y36,10,IF(2013-N36&lt;0,0,2013-N36))</f>
        <v>2</v>
      </c>
      <c r="AB36" s="1401"/>
      <c r="AC36" s="1401"/>
      <c r="AD36" s="1401"/>
      <c r="AE36" s="1401"/>
      <c r="AF36" s="1401"/>
      <c r="AG36" s="1479"/>
      <c r="AH36" s="1479"/>
      <c r="AI36" s="1479">
        <f>SUM(AB36:AG36)</f>
        <v>0</v>
      </c>
      <c r="AJ36" s="1401">
        <f>S36-AI36</f>
        <v>0</v>
      </c>
    </row>
    <row r="37" spans="1:36" s="1390" customFormat="1" ht="37" customHeight="1" x14ac:dyDescent="0.15">
      <c r="A37" s="1390">
        <v>3</v>
      </c>
      <c r="B37" s="1472" t="str">
        <f t="shared" si="0"/>
        <v>JAKE - KOTO KOMBU</v>
      </c>
      <c r="C37" s="1516" t="s">
        <v>4247</v>
      </c>
      <c r="D37" s="1426"/>
      <c r="E37" s="1429" t="s">
        <v>1272</v>
      </c>
      <c r="F37" s="1539">
        <v>3375384144</v>
      </c>
      <c r="G37" s="1517" t="s">
        <v>2494</v>
      </c>
      <c r="H37" s="1518"/>
      <c r="I37" s="1518" t="s">
        <v>519</v>
      </c>
      <c r="J37" s="1519">
        <v>0</v>
      </c>
      <c r="K37" s="1517"/>
      <c r="L37" s="1519">
        <v>0</v>
      </c>
      <c r="M37" s="1518" t="s">
        <v>3165</v>
      </c>
      <c r="N37" s="1517">
        <v>2012</v>
      </c>
      <c r="O37" s="1518"/>
      <c r="P37" s="1518"/>
      <c r="Q37" s="1518"/>
      <c r="R37" s="1517" t="s">
        <v>12</v>
      </c>
      <c r="S37" s="1520"/>
      <c r="T37" s="1517" t="s">
        <v>43</v>
      </c>
      <c r="U37" s="1572"/>
      <c r="V37" s="1521"/>
      <c r="W37" s="1522" t="str">
        <f t="shared" si="7"/>
        <v>04.13.01</v>
      </c>
      <c r="X37" s="1478" t="str">
        <f t="shared" si="8"/>
        <v>Jalan</v>
      </c>
      <c r="Y37" s="1478">
        <f t="shared" si="9"/>
        <v>10</v>
      </c>
      <c r="Z37" s="1401"/>
      <c r="AA37" s="1444">
        <f t="shared" si="10"/>
        <v>1</v>
      </c>
      <c r="AB37" s="1401"/>
      <c r="AC37" s="1401"/>
      <c r="AD37" s="1401"/>
      <c r="AE37" s="1401"/>
      <c r="AF37" s="1401"/>
      <c r="AG37" s="1479"/>
      <c r="AH37" s="1479"/>
      <c r="AI37" s="1479">
        <f>SUM(AB37:AG37)</f>
        <v>0</v>
      </c>
      <c r="AJ37" s="1401">
        <f>S37-AI37</f>
        <v>0</v>
      </c>
    </row>
    <row r="38" spans="1:36" s="1390" customFormat="1" ht="37" customHeight="1" x14ac:dyDescent="0.15">
      <c r="A38" s="1390">
        <v>3</v>
      </c>
      <c r="B38" s="1472" t="str">
        <f t="shared" si="0"/>
        <v>JAKE - KOTO KOMBU</v>
      </c>
      <c r="C38" s="1516" t="s">
        <v>4247</v>
      </c>
      <c r="D38" s="1426"/>
      <c r="E38" s="1429" t="s">
        <v>1374</v>
      </c>
      <c r="F38" s="1539">
        <v>2482976673</v>
      </c>
      <c r="G38" s="1517" t="s">
        <v>2494</v>
      </c>
      <c r="H38" s="1518"/>
      <c r="I38" s="1518"/>
      <c r="J38" s="1519">
        <v>20000</v>
      </c>
      <c r="K38" s="1517">
        <v>8</v>
      </c>
      <c r="L38" s="1519">
        <v>157100</v>
      </c>
      <c r="M38" s="1518" t="s">
        <v>623</v>
      </c>
      <c r="N38" s="1517">
        <v>2015</v>
      </c>
      <c r="O38" s="1518"/>
      <c r="P38" s="1518"/>
      <c r="Q38" s="1518"/>
      <c r="R38" s="1517" t="s">
        <v>12</v>
      </c>
      <c r="S38" s="1520"/>
      <c r="T38" s="1518"/>
      <c r="U38" s="1572"/>
      <c r="V38" s="1521"/>
      <c r="W38" s="1522" t="str">
        <f t="shared" si="7"/>
        <v>04.13.01</v>
      </c>
      <c r="X38" s="1478" t="str">
        <f t="shared" si="8"/>
        <v>Jalan</v>
      </c>
      <c r="Y38" s="1478">
        <f t="shared" si="9"/>
        <v>10</v>
      </c>
      <c r="Z38" s="1401"/>
      <c r="AA38" s="1444">
        <f t="shared" si="10"/>
        <v>0</v>
      </c>
      <c r="AB38" s="1401"/>
      <c r="AC38" s="1401"/>
      <c r="AD38" s="1401"/>
      <c r="AE38" s="1401"/>
      <c r="AF38" s="1401"/>
      <c r="AG38" s="1479"/>
      <c r="AH38" s="1479"/>
      <c r="AI38" s="1479">
        <f>SUM(AB38:AG38)</f>
        <v>0</v>
      </c>
      <c r="AJ38" s="1401">
        <f>S38-AI38</f>
        <v>0</v>
      </c>
    </row>
    <row r="39" spans="1:36" s="1390" customFormat="1" ht="37" customHeight="1" x14ac:dyDescent="0.15">
      <c r="A39" s="1390">
        <v>3</v>
      </c>
      <c r="B39" s="1472" t="str">
        <f t="shared" si="0"/>
        <v>JAKE - KOTO KOMBU</v>
      </c>
      <c r="C39" s="1516" t="s">
        <v>4247</v>
      </c>
      <c r="D39" s="1426"/>
      <c r="E39" s="1429" t="s">
        <v>1386</v>
      </c>
      <c r="F39" s="1539">
        <v>6993176545.3037949</v>
      </c>
      <c r="G39" s="1517" t="s">
        <v>2494</v>
      </c>
      <c r="H39" s="1518"/>
      <c r="I39" s="1518"/>
      <c r="J39" s="1519">
        <v>0</v>
      </c>
      <c r="K39" s="1517"/>
      <c r="L39" s="1519">
        <v>0</v>
      </c>
      <c r="M39" s="1518" t="s">
        <v>3140</v>
      </c>
      <c r="N39" s="1517">
        <v>2015</v>
      </c>
      <c r="O39" s="1518"/>
      <c r="P39" s="1518"/>
      <c r="Q39" s="1518"/>
      <c r="R39" s="1517" t="s">
        <v>12</v>
      </c>
      <c r="S39" s="1520"/>
      <c r="T39" s="1518"/>
      <c r="U39" s="1572"/>
      <c r="V39" s="1521"/>
      <c r="W39" s="1522" t="str">
        <f t="shared" si="7"/>
        <v>04.13.01</v>
      </c>
      <c r="X39" s="1478" t="str">
        <f t="shared" si="8"/>
        <v>Jalan</v>
      </c>
      <c r="Y39" s="1478">
        <f t="shared" si="9"/>
        <v>10</v>
      </c>
      <c r="Z39" s="1401"/>
      <c r="AA39" s="1444">
        <f t="shared" si="10"/>
        <v>0</v>
      </c>
      <c r="AB39" s="1401"/>
      <c r="AC39" s="1401"/>
      <c r="AD39" s="1401"/>
      <c r="AE39" s="1401"/>
      <c r="AF39" s="1401"/>
      <c r="AG39" s="1479"/>
      <c r="AH39" s="1479"/>
      <c r="AI39" s="1479">
        <f>SUM(AB39:AG39)</f>
        <v>0</v>
      </c>
      <c r="AJ39" s="1401">
        <f>S39-AI39</f>
        <v>0</v>
      </c>
    </row>
    <row r="40" spans="1:36" s="1390" customFormat="1" ht="37" customHeight="1" x14ac:dyDescent="0.15">
      <c r="A40" s="1390">
        <v>3</v>
      </c>
      <c r="B40" s="1472" t="str">
        <f t="shared" si="0"/>
        <v>JAKE - KOTO KOMBU</v>
      </c>
      <c r="C40" s="1516" t="s">
        <v>4247</v>
      </c>
      <c r="D40" s="1426"/>
      <c r="E40" s="1429" t="s">
        <v>1404</v>
      </c>
      <c r="F40" s="1539">
        <v>190538964</v>
      </c>
      <c r="G40" s="1517" t="s">
        <v>2494</v>
      </c>
      <c r="H40" s="1518"/>
      <c r="I40" s="1518"/>
      <c r="J40" s="1519">
        <v>0</v>
      </c>
      <c r="K40" s="1517"/>
      <c r="L40" s="1519">
        <v>0</v>
      </c>
      <c r="M40" s="1518" t="s">
        <v>3584</v>
      </c>
      <c r="N40" s="1517">
        <v>2015</v>
      </c>
      <c r="O40" s="1518"/>
      <c r="P40" s="1518"/>
      <c r="Q40" s="1518"/>
      <c r="R40" s="1517" t="s">
        <v>12</v>
      </c>
      <c r="S40" s="1520"/>
      <c r="T40" s="1518"/>
      <c r="U40" s="1572"/>
      <c r="V40" s="1521"/>
      <c r="W40" s="1522" t="str">
        <f t="shared" si="7"/>
        <v>04.13.01</v>
      </c>
      <c r="X40" s="1478" t="str">
        <f t="shared" si="8"/>
        <v>Jalan</v>
      </c>
      <c r="Y40" s="1478">
        <f t="shared" si="9"/>
        <v>10</v>
      </c>
      <c r="Z40" s="1401"/>
      <c r="AA40" s="1444">
        <f t="shared" si="10"/>
        <v>0</v>
      </c>
      <c r="AB40" s="1401"/>
      <c r="AC40" s="1401"/>
      <c r="AD40" s="1401"/>
      <c r="AE40" s="1401"/>
      <c r="AF40" s="1401"/>
      <c r="AG40" s="1479"/>
      <c r="AH40" s="1479"/>
      <c r="AI40" s="1479"/>
      <c r="AJ40" s="1401"/>
    </row>
    <row r="41" spans="1:36" s="1390" customFormat="1" ht="37" customHeight="1" x14ac:dyDescent="0.15">
      <c r="A41" s="1390">
        <v>3</v>
      </c>
      <c r="B41" s="1472" t="str">
        <f t="shared" si="0"/>
        <v>JAKE - KOTO KOMBU</v>
      </c>
      <c r="C41" s="1516" t="s">
        <v>4247</v>
      </c>
      <c r="D41" s="1426"/>
      <c r="E41" s="1429" t="s">
        <v>3037</v>
      </c>
      <c r="F41" s="1539">
        <v>12869362300</v>
      </c>
      <c r="G41" s="1517" t="s">
        <v>2494</v>
      </c>
      <c r="H41" s="1518"/>
      <c r="I41" s="1518"/>
      <c r="J41" s="1519">
        <v>0</v>
      </c>
      <c r="K41" s="1517"/>
      <c r="L41" s="1519">
        <v>0</v>
      </c>
      <c r="M41" s="1518" t="s">
        <v>623</v>
      </c>
      <c r="N41" s="1517">
        <v>2017</v>
      </c>
      <c r="O41" s="1518"/>
      <c r="P41" s="1518"/>
      <c r="Q41" s="1518"/>
      <c r="R41" s="1517" t="s">
        <v>12</v>
      </c>
      <c r="S41" s="1520"/>
      <c r="T41" s="1518"/>
      <c r="U41" s="1572"/>
      <c r="V41" s="1521"/>
      <c r="W41" s="1522" t="str">
        <f t="shared" si="7"/>
        <v>04.13.01</v>
      </c>
      <c r="X41" s="1478" t="str">
        <f t="shared" si="8"/>
        <v>Jalan</v>
      </c>
      <c r="Y41" s="1478">
        <f t="shared" si="9"/>
        <v>10</v>
      </c>
      <c r="Z41" s="1401"/>
      <c r="AA41" s="1444">
        <f t="shared" si="10"/>
        <v>0</v>
      </c>
      <c r="AB41" s="1401"/>
      <c r="AC41" s="1401"/>
      <c r="AD41" s="1401"/>
      <c r="AE41" s="1401"/>
      <c r="AF41" s="1401"/>
      <c r="AG41" s="1479"/>
      <c r="AH41" s="1479"/>
      <c r="AI41" s="1479"/>
      <c r="AJ41" s="1401"/>
    </row>
    <row r="42" spans="1:36" s="1390" customFormat="1" ht="37" customHeight="1" x14ac:dyDescent="0.15">
      <c r="A42" s="1390">
        <v>3</v>
      </c>
      <c r="B42" s="1472" t="str">
        <f t="shared" si="0"/>
        <v>JAKE - KOTO KOMBU</v>
      </c>
      <c r="C42" s="1516" t="s">
        <v>4247</v>
      </c>
      <c r="D42" s="1426"/>
      <c r="E42" s="1429" t="s">
        <v>3038</v>
      </c>
      <c r="F42" s="1539">
        <v>246620000</v>
      </c>
      <c r="G42" s="1517" t="s">
        <v>2494</v>
      </c>
      <c r="H42" s="1518"/>
      <c r="I42" s="1518"/>
      <c r="J42" s="1519">
        <v>0</v>
      </c>
      <c r="K42" s="1517"/>
      <c r="L42" s="1519">
        <v>0</v>
      </c>
      <c r="M42" s="1518" t="s">
        <v>623</v>
      </c>
      <c r="N42" s="1517">
        <v>2017</v>
      </c>
      <c r="O42" s="1518"/>
      <c r="P42" s="1518"/>
      <c r="Q42" s="1518"/>
      <c r="R42" s="1517" t="s">
        <v>12</v>
      </c>
      <c r="S42" s="1520"/>
      <c r="T42" s="1518"/>
      <c r="U42" s="1572"/>
      <c r="V42" s="1521"/>
      <c r="W42" s="1522" t="str">
        <f t="shared" si="7"/>
        <v>04.13.01</v>
      </c>
      <c r="X42" s="1478" t="str">
        <f t="shared" si="8"/>
        <v>Jalan</v>
      </c>
      <c r="Y42" s="1478">
        <f t="shared" si="9"/>
        <v>10</v>
      </c>
      <c r="Z42" s="1401"/>
      <c r="AA42" s="1444">
        <f t="shared" si="10"/>
        <v>0</v>
      </c>
      <c r="AB42" s="1401"/>
      <c r="AC42" s="1401"/>
      <c r="AD42" s="1401"/>
      <c r="AE42" s="1401"/>
      <c r="AF42" s="1401"/>
      <c r="AG42" s="1479"/>
      <c r="AH42" s="1479"/>
      <c r="AI42" s="1479"/>
      <c r="AJ42" s="1401"/>
    </row>
    <row r="43" spans="1:36" s="1390" customFormat="1" ht="37" customHeight="1" x14ac:dyDescent="0.15">
      <c r="A43" s="1390">
        <v>4</v>
      </c>
      <c r="B43" s="1472" t="str">
        <f t="shared" si="0"/>
        <v>SENTAJO - MUARA LANGSAT</v>
      </c>
      <c r="C43" s="1516" t="s">
        <v>4247</v>
      </c>
      <c r="D43" s="1426">
        <v>4</v>
      </c>
      <c r="E43" s="1429" t="s">
        <v>5813</v>
      </c>
      <c r="F43" s="1539"/>
      <c r="G43" s="1517" t="s">
        <v>2494</v>
      </c>
      <c r="H43" s="1518"/>
      <c r="I43" s="1518" t="s">
        <v>479</v>
      </c>
      <c r="J43" s="1533">
        <v>34000</v>
      </c>
      <c r="K43" s="1517"/>
      <c r="L43" s="1519">
        <v>289500</v>
      </c>
      <c r="M43" s="1518" t="s">
        <v>619</v>
      </c>
      <c r="N43" s="1517">
        <v>2001</v>
      </c>
      <c r="O43" s="1518"/>
      <c r="P43" s="1518"/>
      <c r="Q43" s="1518" t="s">
        <v>482</v>
      </c>
      <c r="R43" s="1517" t="s">
        <v>12</v>
      </c>
      <c r="S43" s="1520">
        <f>46812964265.48+F45+F46+F47+F48+F49+F50+F51+F52+F53+F54+F44+F55</f>
        <v>81514333550.189331</v>
      </c>
      <c r="T43" s="1517" t="s">
        <v>135</v>
      </c>
      <c r="U43" s="1572"/>
      <c r="V43" s="1521"/>
      <c r="W43" s="1522" t="str">
        <f t="shared" si="7"/>
        <v>04.13.01</v>
      </c>
      <c r="X43" s="1478" t="str">
        <f t="shared" si="8"/>
        <v>Jalan</v>
      </c>
      <c r="Y43" s="1478">
        <f t="shared" si="9"/>
        <v>10</v>
      </c>
      <c r="Z43" s="1401"/>
      <c r="AA43" s="1444">
        <f>IF(2013-N43&gt;Y43,10,IF(2013-N43&lt;0,0,2013-N43))</f>
        <v>10</v>
      </c>
      <c r="AB43" s="1401">
        <f>SUM(PERHITUNGAN!U86:U94)</f>
        <v>47482393983.053314</v>
      </c>
      <c r="AC43" s="1479">
        <f>SUMIF(PERHITUNGAN!A:A,'KIB D'!B43&amp;'KIB D'!$AC$7,PERHITUNGAN!U:U)</f>
        <v>960042328.44000018</v>
      </c>
      <c r="AD43" s="1479">
        <f>SUMIF(PERHITUNGAN!A:A,'KIB D'!B43&amp;'KIB D'!$AD$7,PERHITUNGAN!U:U)</f>
        <v>2134953642.1360002</v>
      </c>
      <c r="AE43" s="1479">
        <f>SUMIF(PERHITUNGAN!A:A,'KIB D'!B43&amp;'KIB D'!$AE$7,PERHITUNGAN!U:U)</f>
        <v>2769675962.7560015</v>
      </c>
      <c r="AF43" s="1479">
        <f>SUMIF(PERHITUNGAN!A:A,'KIB D'!B43&amp;'KIB D'!$AF$7,PERHITUNGAN!U:U)</f>
        <v>2596019835.5804014</v>
      </c>
      <c r="AG43" s="1479">
        <f>SUMIF(PERHITUNGAN!A:A,'KIB D'!B43&amp;'KIB D'!$AG$7,PERHITUNGAN!U:U)</f>
        <v>2596019835.5804014</v>
      </c>
      <c r="AH43" s="1479">
        <f>SUMIF(PERHITUNGAN!A:A,'KIB D'!B43&amp;'KIB D'!$AH$7,PERHITUNGAN!U:U)</f>
        <v>2297522796.2643209</v>
      </c>
      <c r="AI43" s="1479">
        <f>SUM(AB43:AH43)</f>
        <v>60836628383.81044</v>
      </c>
      <c r="AJ43" s="1401">
        <f>S43-AI43</f>
        <v>20677705166.378891</v>
      </c>
    </row>
    <row r="44" spans="1:36" s="1390" customFormat="1" ht="37" customHeight="1" x14ac:dyDescent="0.2">
      <c r="A44" s="1390">
        <v>4</v>
      </c>
      <c r="B44" s="1472" t="str">
        <f t="shared" si="0"/>
        <v>SENTAJO - MUARA LANGSAT</v>
      </c>
      <c r="C44" s="1478"/>
      <c r="D44" s="1426"/>
      <c r="E44" s="1573" t="s">
        <v>5091</v>
      </c>
      <c r="F44" s="1539">
        <v>649551164.97330594</v>
      </c>
      <c r="G44" s="1416" t="s">
        <v>2494</v>
      </c>
      <c r="H44" s="1508"/>
      <c r="I44" s="1416"/>
      <c r="J44" s="1500"/>
      <c r="K44" s="1416"/>
      <c r="L44" s="1525">
        <v>3700</v>
      </c>
      <c r="M44" s="1518" t="s">
        <v>619</v>
      </c>
      <c r="N44" s="1416">
        <v>2008</v>
      </c>
      <c r="O44" s="1414"/>
      <c r="P44" s="1523" t="s">
        <v>5084</v>
      </c>
      <c r="Q44" s="1523"/>
      <c r="R44" s="1523" t="s">
        <v>12</v>
      </c>
      <c r="S44" s="1524"/>
      <c r="T44" s="1525" t="s">
        <v>43</v>
      </c>
      <c r="U44" s="1574"/>
      <c r="V44" s="1477"/>
      <c r="W44" s="1478"/>
      <c r="X44" s="1478"/>
      <c r="Y44" s="1478"/>
      <c r="Z44" s="1401"/>
      <c r="AA44" s="1444"/>
      <c r="AB44" s="1401"/>
      <c r="AC44" s="1401"/>
      <c r="AD44" s="1401"/>
      <c r="AE44" s="1401"/>
      <c r="AF44" s="1401"/>
      <c r="AG44" s="1479"/>
      <c r="AH44" s="1479"/>
      <c r="AI44" s="1479"/>
      <c r="AJ44" s="1401"/>
    </row>
    <row r="45" spans="1:36" s="1390" customFormat="1" ht="37" customHeight="1" x14ac:dyDescent="0.15">
      <c r="A45" s="1390">
        <v>4</v>
      </c>
      <c r="B45" s="1472" t="str">
        <f t="shared" si="0"/>
        <v>SENTAJO - MUARA LANGSAT</v>
      </c>
      <c r="C45" s="1516" t="s">
        <v>4247</v>
      </c>
      <c r="D45" s="1426"/>
      <c r="E45" s="1429" t="s">
        <v>1294</v>
      </c>
      <c r="F45" s="1539">
        <v>198785526</v>
      </c>
      <c r="G45" s="1517" t="s">
        <v>2494</v>
      </c>
      <c r="H45" s="1518"/>
      <c r="I45" s="1518" t="s">
        <v>835</v>
      </c>
      <c r="J45" s="1519">
        <v>0</v>
      </c>
      <c r="K45" s="1517"/>
      <c r="L45" s="1519">
        <v>0</v>
      </c>
      <c r="M45" s="1518" t="s">
        <v>619</v>
      </c>
      <c r="N45" s="1517">
        <v>2013</v>
      </c>
      <c r="O45" s="1518"/>
      <c r="P45" s="1518"/>
      <c r="Q45" s="1518"/>
      <c r="R45" s="1517" t="s">
        <v>12</v>
      </c>
      <c r="S45" s="1520"/>
      <c r="T45" s="1518"/>
      <c r="U45" s="1572"/>
      <c r="V45" s="1521"/>
      <c r="W45" s="1522" t="str">
        <f t="shared" ref="W45:W54" si="11">LEFT(G45,8)</f>
        <v>04.13.01</v>
      </c>
      <c r="X45" s="1478" t="str">
        <f t="shared" ref="X45:X54" si="12">VLOOKUP(W45,UE,3,FALSE)</f>
        <v>Jalan</v>
      </c>
      <c r="Y45" s="1478">
        <f t="shared" ref="Y45:Y54" si="13">VLOOKUP(W45,UE,4,FALSE)</f>
        <v>10</v>
      </c>
      <c r="Z45" s="1401"/>
      <c r="AA45" s="1444">
        <f t="shared" ref="AA45:AA54" si="14">IF(2013-N45&gt;Y45,10,IF(2013-N45&lt;0,0,2013-N45))</f>
        <v>0</v>
      </c>
      <c r="AB45" s="1401"/>
      <c r="AC45" s="1401"/>
      <c r="AD45" s="1401"/>
      <c r="AE45" s="1401"/>
      <c r="AF45" s="1401"/>
      <c r="AG45" s="1479"/>
      <c r="AH45" s="1479"/>
      <c r="AI45" s="1479"/>
      <c r="AJ45" s="1401">
        <f t="shared" ref="AJ45:AJ50" si="15">S45-AI45</f>
        <v>0</v>
      </c>
    </row>
    <row r="46" spans="1:36" s="1390" customFormat="1" ht="37" customHeight="1" x14ac:dyDescent="0.15">
      <c r="A46" s="1390">
        <v>4</v>
      </c>
      <c r="B46" s="1472" t="str">
        <f t="shared" si="0"/>
        <v>SENTAJO - MUARA LANGSAT</v>
      </c>
      <c r="C46" s="1516" t="s">
        <v>4247</v>
      </c>
      <c r="D46" s="1426"/>
      <c r="E46" s="1429" t="s">
        <v>1308</v>
      </c>
      <c r="F46" s="1539">
        <v>5255870053</v>
      </c>
      <c r="G46" s="1517" t="s">
        <v>2494</v>
      </c>
      <c r="H46" s="1518"/>
      <c r="I46" s="1518"/>
      <c r="J46" s="1519">
        <v>0</v>
      </c>
      <c r="K46" s="1517"/>
      <c r="L46" s="1519">
        <v>0</v>
      </c>
      <c r="M46" s="1518" t="s">
        <v>619</v>
      </c>
      <c r="N46" s="1517">
        <v>2014</v>
      </c>
      <c r="O46" s="1518"/>
      <c r="P46" s="1518"/>
      <c r="Q46" s="1518"/>
      <c r="R46" s="1517" t="s">
        <v>12</v>
      </c>
      <c r="S46" s="1520"/>
      <c r="T46" s="1518"/>
      <c r="U46" s="1572"/>
      <c r="V46" s="1521"/>
      <c r="W46" s="1522" t="str">
        <f t="shared" si="11"/>
        <v>04.13.01</v>
      </c>
      <c r="X46" s="1478" t="str">
        <f t="shared" si="12"/>
        <v>Jalan</v>
      </c>
      <c r="Y46" s="1478">
        <f t="shared" si="13"/>
        <v>10</v>
      </c>
      <c r="Z46" s="1401"/>
      <c r="AA46" s="1444">
        <f t="shared" si="14"/>
        <v>0</v>
      </c>
      <c r="AB46" s="1401"/>
      <c r="AC46" s="1401"/>
      <c r="AD46" s="1401"/>
      <c r="AE46" s="1401"/>
      <c r="AF46" s="1401"/>
      <c r="AG46" s="1479"/>
      <c r="AH46" s="1479"/>
      <c r="AI46" s="1479"/>
      <c r="AJ46" s="1401">
        <f t="shared" si="15"/>
        <v>0</v>
      </c>
    </row>
    <row r="47" spans="1:36" s="1390" customFormat="1" ht="37" customHeight="1" x14ac:dyDescent="0.15">
      <c r="A47" s="1390">
        <v>4</v>
      </c>
      <c r="B47" s="1472" t="str">
        <f t="shared" si="0"/>
        <v>SENTAJO - MUARA LANGSAT</v>
      </c>
      <c r="C47" s="1516" t="s">
        <v>4247</v>
      </c>
      <c r="D47" s="1426"/>
      <c r="E47" s="1429" t="s">
        <v>1309</v>
      </c>
      <c r="F47" s="1539">
        <v>3769961879</v>
      </c>
      <c r="G47" s="1517" t="s">
        <v>2494</v>
      </c>
      <c r="H47" s="1518"/>
      <c r="I47" s="1518"/>
      <c r="J47" s="1519">
        <v>0</v>
      </c>
      <c r="K47" s="1517"/>
      <c r="L47" s="1519">
        <v>0</v>
      </c>
      <c r="M47" s="1518" t="s">
        <v>619</v>
      </c>
      <c r="N47" s="1517">
        <v>2014</v>
      </c>
      <c r="O47" s="1518"/>
      <c r="P47" s="1518"/>
      <c r="Q47" s="1518"/>
      <c r="R47" s="1517" t="s">
        <v>12</v>
      </c>
      <c r="S47" s="1520"/>
      <c r="T47" s="1518"/>
      <c r="U47" s="1572"/>
      <c r="V47" s="1521"/>
      <c r="W47" s="1522" t="str">
        <f t="shared" si="11"/>
        <v>04.13.01</v>
      </c>
      <c r="X47" s="1478" t="str">
        <f t="shared" si="12"/>
        <v>Jalan</v>
      </c>
      <c r="Y47" s="1478">
        <f t="shared" si="13"/>
        <v>10</v>
      </c>
      <c r="Z47" s="1401"/>
      <c r="AA47" s="1444">
        <f t="shared" si="14"/>
        <v>0</v>
      </c>
      <c r="AB47" s="1401"/>
      <c r="AC47" s="1401"/>
      <c r="AD47" s="1401"/>
      <c r="AE47" s="1401"/>
      <c r="AF47" s="1401"/>
      <c r="AG47" s="1479"/>
      <c r="AH47" s="1479"/>
      <c r="AI47" s="1479"/>
      <c r="AJ47" s="1401">
        <f t="shared" si="15"/>
        <v>0</v>
      </c>
    </row>
    <row r="48" spans="1:36" s="1390" customFormat="1" ht="37" customHeight="1" x14ac:dyDescent="0.15">
      <c r="A48" s="1390">
        <v>4</v>
      </c>
      <c r="B48" s="1472" t="str">
        <f t="shared" si="0"/>
        <v>SENTAJO - MUARA LANGSAT</v>
      </c>
      <c r="C48" s="1516" t="s">
        <v>4247</v>
      </c>
      <c r="D48" s="1426"/>
      <c r="E48" s="1429" t="s">
        <v>1314</v>
      </c>
      <c r="F48" s="1539">
        <v>197942320</v>
      </c>
      <c r="G48" s="1517" t="s">
        <v>2494</v>
      </c>
      <c r="H48" s="1518"/>
      <c r="I48" s="1518"/>
      <c r="J48" s="1519">
        <v>0</v>
      </c>
      <c r="K48" s="1517"/>
      <c r="L48" s="1519">
        <v>0</v>
      </c>
      <c r="M48" s="1518" t="s">
        <v>619</v>
      </c>
      <c r="N48" s="1517">
        <v>2014</v>
      </c>
      <c r="O48" s="1518"/>
      <c r="P48" s="1518"/>
      <c r="Q48" s="1518"/>
      <c r="R48" s="1517" t="s">
        <v>12</v>
      </c>
      <c r="S48" s="1520"/>
      <c r="T48" s="1518"/>
      <c r="U48" s="1572"/>
      <c r="V48" s="1521"/>
      <c r="W48" s="1522" t="str">
        <f t="shared" si="11"/>
        <v>04.13.01</v>
      </c>
      <c r="X48" s="1478" t="str">
        <f t="shared" si="12"/>
        <v>Jalan</v>
      </c>
      <c r="Y48" s="1478">
        <f t="shared" si="13"/>
        <v>10</v>
      </c>
      <c r="Z48" s="1401"/>
      <c r="AA48" s="1444">
        <f t="shared" si="14"/>
        <v>0</v>
      </c>
      <c r="AB48" s="1401"/>
      <c r="AC48" s="1401"/>
      <c r="AD48" s="1401"/>
      <c r="AE48" s="1401"/>
      <c r="AF48" s="1401"/>
      <c r="AG48" s="1479"/>
      <c r="AH48" s="1479"/>
      <c r="AI48" s="1479"/>
      <c r="AJ48" s="1401">
        <f t="shared" si="15"/>
        <v>0</v>
      </c>
    </row>
    <row r="49" spans="1:36" s="1390" customFormat="1" ht="37" customHeight="1" x14ac:dyDescent="0.15">
      <c r="A49" s="1390">
        <v>4</v>
      </c>
      <c r="B49" s="1472" t="str">
        <f t="shared" si="0"/>
        <v>SENTAJO - MUARA LANGSAT</v>
      </c>
      <c r="C49" s="1516" t="s">
        <v>4247</v>
      </c>
      <c r="D49" s="1426"/>
      <c r="E49" s="1429" t="s">
        <v>1332</v>
      </c>
      <c r="F49" s="1539">
        <v>197742059</v>
      </c>
      <c r="G49" s="1517" t="s">
        <v>2494</v>
      </c>
      <c r="H49" s="1518"/>
      <c r="I49" s="1518"/>
      <c r="J49" s="1519">
        <v>0</v>
      </c>
      <c r="K49" s="1517"/>
      <c r="L49" s="1519">
        <v>0</v>
      </c>
      <c r="M49" s="1518" t="s">
        <v>619</v>
      </c>
      <c r="N49" s="1517">
        <v>2014</v>
      </c>
      <c r="O49" s="1518"/>
      <c r="P49" s="1518"/>
      <c r="Q49" s="1518"/>
      <c r="R49" s="1517" t="s">
        <v>12</v>
      </c>
      <c r="S49" s="1520"/>
      <c r="T49" s="1518"/>
      <c r="U49" s="1572"/>
      <c r="V49" s="1521"/>
      <c r="W49" s="1522" t="str">
        <f t="shared" si="11"/>
        <v>04.13.01</v>
      </c>
      <c r="X49" s="1478" t="str">
        <f t="shared" si="12"/>
        <v>Jalan</v>
      </c>
      <c r="Y49" s="1478">
        <f t="shared" si="13"/>
        <v>10</v>
      </c>
      <c r="Z49" s="1401"/>
      <c r="AA49" s="1444">
        <f t="shared" si="14"/>
        <v>0</v>
      </c>
      <c r="AB49" s="1401"/>
      <c r="AC49" s="1401"/>
      <c r="AD49" s="1401"/>
      <c r="AE49" s="1401"/>
      <c r="AF49" s="1401"/>
      <c r="AG49" s="1479"/>
      <c r="AH49" s="1479"/>
      <c r="AI49" s="1479"/>
      <c r="AJ49" s="1401">
        <f t="shared" si="15"/>
        <v>0</v>
      </c>
    </row>
    <row r="50" spans="1:36" s="1390" customFormat="1" ht="37" customHeight="1" x14ac:dyDescent="0.15">
      <c r="A50" s="1390">
        <v>4</v>
      </c>
      <c r="B50" s="1472" t="str">
        <f t="shared" si="0"/>
        <v>SENTAJO - MUARA LANGSAT</v>
      </c>
      <c r="C50" s="1516" t="s">
        <v>4247</v>
      </c>
      <c r="D50" s="1426"/>
      <c r="E50" s="1429" t="s">
        <v>1356</v>
      </c>
      <c r="F50" s="1539">
        <v>4142581848.1999998</v>
      </c>
      <c r="G50" s="1517" t="s">
        <v>2494</v>
      </c>
      <c r="H50" s="1518"/>
      <c r="I50" s="1518"/>
      <c r="J50" s="1519">
        <v>0</v>
      </c>
      <c r="K50" s="1517"/>
      <c r="L50" s="1519">
        <v>0</v>
      </c>
      <c r="M50" s="1518" t="s">
        <v>619</v>
      </c>
      <c r="N50" s="1517">
        <v>2015</v>
      </c>
      <c r="O50" s="1518"/>
      <c r="P50" s="1518"/>
      <c r="Q50" s="1518"/>
      <c r="R50" s="1517" t="s">
        <v>12</v>
      </c>
      <c r="S50" s="1520"/>
      <c r="T50" s="1518"/>
      <c r="U50" s="1572"/>
      <c r="V50" s="1521"/>
      <c r="W50" s="1522" t="str">
        <f t="shared" si="11"/>
        <v>04.13.01</v>
      </c>
      <c r="X50" s="1478" t="str">
        <f t="shared" si="12"/>
        <v>Jalan</v>
      </c>
      <c r="Y50" s="1478">
        <f t="shared" si="13"/>
        <v>10</v>
      </c>
      <c r="Z50" s="1401"/>
      <c r="AA50" s="1444">
        <f t="shared" si="14"/>
        <v>0</v>
      </c>
      <c r="AB50" s="1401"/>
      <c r="AC50" s="1401"/>
      <c r="AD50" s="1401"/>
      <c r="AE50" s="1401"/>
      <c r="AF50" s="1401"/>
      <c r="AG50" s="1479"/>
      <c r="AH50" s="1479"/>
      <c r="AI50" s="1479"/>
      <c r="AJ50" s="1401">
        <f t="shared" si="15"/>
        <v>0</v>
      </c>
    </row>
    <row r="51" spans="1:36" s="1390" customFormat="1" ht="37" customHeight="1" x14ac:dyDescent="0.15">
      <c r="A51" s="1390">
        <v>4</v>
      </c>
      <c r="B51" s="1472" t="str">
        <f t="shared" si="0"/>
        <v>SENTAJO - MUARA LANGSAT</v>
      </c>
      <c r="C51" s="1516" t="s">
        <v>4247</v>
      </c>
      <c r="D51" s="1426"/>
      <c r="E51" s="1429" t="s">
        <v>1391</v>
      </c>
      <c r="F51" s="1539">
        <v>187607827</v>
      </c>
      <c r="G51" s="1517" t="s">
        <v>2494</v>
      </c>
      <c r="H51" s="1518"/>
      <c r="I51" s="1518"/>
      <c r="J51" s="1519">
        <v>0</v>
      </c>
      <c r="K51" s="1517"/>
      <c r="L51" s="1519">
        <v>0</v>
      </c>
      <c r="M51" s="1518" t="s">
        <v>619</v>
      </c>
      <c r="N51" s="1517">
        <v>2015</v>
      </c>
      <c r="O51" s="1518"/>
      <c r="P51" s="1518"/>
      <c r="Q51" s="1518"/>
      <c r="R51" s="1517" t="s">
        <v>12</v>
      </c>
      <c r="S51" s="1520"/>
      <c r="T51" s="1518"/>
      <c r="U51" s="1572"/>
      <c r="V51" s="1521"/>
      <c r="W51" s="1522" t="str">
        <f t="shared" si="11"/>
        <v>04.13.01</v>
      </c>
      <c r="X51" s="1478" t="str">
        <f t="shared" si="12"/>
        <v>Jalan</v>
      </c>
      <c r="Y51" s="1478">
        <f t="shared" si="13"/>
        <v>10</v>
      </c>
      <c r="Z51" s="1401"/>
      <c r="AA51" s="1444">
        <f t="shared" si="14"/>
        <v>0</v>
      </c>
      <c r="AB51" s="1401"/>
      <c r="AC51" s="1401"/>
      <c r="AD51" s="1401"/>
      <c r="AE51" s="1401"/>
      <c r="AF51" s="1401"/>
      <c r="AG51" s="1479"/>
      <c r="AH51" s="1479"/>
      <c r="AI51" s="1479"/>
      <c r="AJ51" s="1401"/>
    </row>
    <row r="52" spans="1:36" s="1390" customFormat="1" ht="37" customHeight="1" x14ac:dyDescent="0.15">
      <c r="A52" s="1390">
        <v>4</v>
      </c>
      <c r="B52" s="1472" t="str">
        <f t="shared" si="0"/>
        <v>SENTAJO - MUARA LANGSAT</v>
      </c>
      <c r="C52" s="1516" t="s">
        <v>4247</v>
      </c>
      <c r="D52" s="1426"/>
      <c r="E52" s="1429" t="s">
        <v>1409</v>
      </c>
      <c r="F52" s="1539">
        <v>8378965790.1999998</v>
      </c>
      <c r="G52" s="1517" t="s">
        <v>2494</v>
      </c>
      <c r="H52" s="1518"/>
      <c r="I52" s="1518"/>
      <c r="J52" s="1519">
        <v>0</v>
      </c>
      <c r="K52" s="1517"/>
      <c r="L52" s="1519">
        <v>0</v>
      </c>
      <c r="M52" s="1518" t="s">
        <v>619</v>
      </c>
      <c r="N52" s="1517">
        <v>2015</v>
      </c>
      <c r="O52" s="1518"/>
      <c r="P52" s="1518"/>
      <c r="Q52" s="1518"/>
      <c r="R52" s="1517" t="s">
        <v>12</v>
      </c>
      <c r="S52" s="1520"/>
      <c r="T52" s="1518"/>
      <c r="U52" s="1572"/>
      <c r="V52" s="1521"/>
      <c r="W52" s="1522" t="str">
        <f t="shared" si="11"/>
        <v>04.13.01</v>
      </c>
      <c r="X52" s="1478" t="str">
        <f t="shared" si="12"/>
        <v>Jalan</v>
      </c>
      <c r="Y52" s="1478">
        <f t="shared" si="13"/>
        <v>10</v>
      </c>
      <c r="Z52" s="1401"/>
      <c r="AA52" s="1444">
        <f t="shared" si="14"/>
        <v>0</v>
      </c>
      <c r="AB52" s="1401"/>
      <c r="AC52" s="1401"/>
      <c r="AD52" s="1401"/>
      <c r="AE52" s="1401"/>
      <c r="AF52" s="1401"/>
      <c r="AG52" s="1479"/>
      <c r="AH52" s="1479"/>
      <c r="AI52" s="1479"/>
      <c r="AJ52" s="1401"/>
    </row>
    <row r="53" spans="1:36" s="1390" customFormat="1" ht="37" customHeight="1" x14ac:dyDescent="0.15">
      <c r="A53" s="1390">
        <v>4</v>
      </c>
      <c r="B53" s="1472" t="str">
        <f t="shared" si="0"/>
        <v>SENTAJO - MUARA LANGSAT</v>
      </c>
      <c r="C53" s="1516" t="s">
        <v>4247</v>
      </c>
      <c r="D53" s="1426"/>
      <c r="E53" s="1429" t="s">
        <v>1445</v>
      </c>
      <c r="F53" s="1539">
        <v>8482176848.3360138</v>
      </c>
      <c r="G53" s="1517" t="s">
        <v>2494</v>
      </c>
      <c r="H53" s="1518"/>
      <c r="I53" s="1518"/>
      <c r="J53" s="1519">
        <v>0</v>
      </c>
      <c r="K53" s="1517"/>
      <c r="L53" s="1519">
        <v>0</v>
      </c>
      <c r="M53" s="1518" t="s">
        <v>619</v>
      </c>
      <c r="N53" s="1517">
        <v>2016</v>
      </c>
      <c r="O53" s="1518"/>
      <c r="P53" s="1518"/>
      <c r="Q53" s="1518"/>
      <c r="R53" s="1517" t="s">
        <v>12</v>
      </c>
      <c r="S53" s="1520"/>
      <c r="T53" s="1518"/>
      <c r="U53" s="1572"/>
      <c r="V53" s="1521"/>
      <c r="W53" s="1522" t="str">
        <f t="shared" si="11"/>
        <v>04.13.01</v>
      </c>
      <c r="X53" s="1478" t="str">
        <f t="shared" si="12"/>
        <v>Jalan</v>
      </c>
      <c r="Y53" s="1478">
        <f t="shared" si="13"/>
        <v>10</v>
      </c>
      <c r="Z53" s="1401"/>
      <c r="AA53" s="1444">
        <f t="shared" si="14"/>
        <v>0</v>
      </c>
      <c r="AB53" s="1401"/>
      <c r="AC53" s="1401"/>
      <c r="AD53" s="1401"/>
      <c r="AE53" s="1401"/>
      <c r="AF53" s="1401"/>
      <c r="AG53" s="1479"/>
      <c r="AH53" s="1479"/>
      <c r="AI53" s="1479"/>
      <c r="AJ53" s="1401"/>
    </row>
    <row r="54" spans="1:36" s="1390" customFormat="1" ht="37" customHeight="1" x14ac:dyDescent="0.15">
      <c r="A54" s="1390">
        <v>4</v>
      </c>
      <c r="B54" s="1472" t="str">
        <f t="shared" si="0"/>
        <v>SENTAJO - MUARA LANGSAT</v>
      </c>
      <c r="C54" s="1516" t="s">
        <v>4247</v>
      </c>
      <c r="D54" s="1426"/>
      <c r="E54" s="1429" t="s">
        <v>3054</v>
      </c>
      <c r="F54" s="1539">
        <v>1033114691</v>
      </c>
      <c r="G54" s="1517" t="s">
        <v>2494</v>
      </c>
      <c r="H54" s="1518"/>
      <c r="I54" s="1518"/>
      <c r="J54" s="1519">
        <v>0</v>
      </c>
      <c r="K54" s="1517"/>
      <c r="L54" s="1519">
        <v>0</v>
      </c>
      <c r="M54" s="1518" t="s">
        <v>619</v>
      </c>
      <c r="N54" s="1517">
        <v>2017</v>
      </c>
      <c r="O54" s="1518"/>
      <c r="P54" s="1518"/>
      <c r="Q54" s="1518"/>
      <c r="R54" s="1517" t="s">
        <v>12</v>
      </c>
      <c r="S54" s="1520"/>
      <c r="T54" s="1518"/>
      <c r="U54" s="1572"/>
      <c r="V54" s="1521"/>
      <c r="W54" s="1522" t="str">
        <f t="shared" si="11"/>
        <v>04.13.01</v>
      </c>
      <c r="X54" s="1478" t="str">
        <f t="shared" si="12"/>
        <v>Jalan</v>
      </c>
      <c r="Y54" s="1478">
        <f t="shared" si="13"/>
        <v>10</v>
      </c>
      <c r="Z54" s="1401"/>
      <c r="AA54" s="1444">
        <f t="shared" si="14"/>
        <v>0</v>
      </c>
      <c r="AB54" s="1401"/>
      <c r="AC54" s="1401"/>
      <c r="AD54" s="1401"/>
      <c r="AE54" s="1401"/>
      <c r="AF54" s="1401"/>
      <c r="AG54" s="1479"/>
      <c r="AH54" s="1479"/>
      <c r="AI54" s="1479"/>
      <c r="AJ54" s="1401"/>
    </row>
    <row r="55" spans="1:36" s="1390" customFormat="1" ht="37" customHeight="1" x14ac:dyDescent="0.15">
      <c r="A55" s="1390">
        <v>4</v>
      </c>
      <c r="B55" s="1472" t="str">
        <f t="shared" si="0"/>
        <v>SENTAJO - MUARA LANGSAT</v>
      </c>
      <c r="C55" s="1516"/>
      <c r="D55" s="1426"/>
      <c r="E55" s="1429" t="s">
        <v>1409</v>
      </c>
      <c r="F55" s="1539">
        <v>2207069278</v>
      </c>
      <c r="G55" s="1517" t="s">
        <v>2494</v>
      </c>
      <c r="H55" s="1518"/>
      <c r="I55" s="1518" t="s">
        <v>5532</v>
      </c>
      <c r="J55" s="1519">
        <v>1000</v>
      </c>
      <c r="K55" s="1517">
        <v>4</v>
      </c>
      <c r="L55" s="1519">
        <f>J55*K55</f>
        <v>4000</v>
      </c>
      <c r="M55" s="1518" t="s">
        <v>619</v>
      </c>
      <c r="N55" s="1517">
        <v>2019</v>
      </c>
      <c r="O55" s="1518" t="s">
        <v>5485</v>
      </c>
      <c r="P55" s="1518" t="s">
        <v>433</v>
      </c>
      <c r="Q55" s="1518"/>
      <c r="R55" s="1517" t="s">
        <v>12</v>
      </c>
      <c r="S55" s="1520"/>
      <c r="T55" s="1518"/>
      <c r="U55" s="1572"/>
      <c r="V55" s="1521"/>
      <c r="W55" s="1522"/>
      <c r="X55" s="1478"/>
      <c r="Y55" s="1478"/>
      <c r="Z55" s="1401"/>
      <c r="AA55" s="1444"/>
      <c r="AB55" s="1401"/>
      <c r="AC55" s="1401"/>
      <c r="AD55" s="1401"/>
      <c r="AE55" s="1401"/>
      <c r="AF55" s="1401"/>
      <c r="AG55" s="1479"/>
      <c r="AH55" s="1479"/>
      <c r="AI55" s="1479"/>
      <c r="AJ55" s="1401"/>
    </row>
    <row r="56" spans="1:36" s="1390" customFormat="1" ht="37" customHeight="1" x14ac:dyDescent="0.2">
      <c r="A56" s="1390">
        <v>5</v>
      </c>
      <c r="B56" s="1472" t="str">
        <f t="shared" si="0"/>
        <v>SIMP. JAKE - TRANS SKP II PETAI</v>
      </c>
      <c r="C56" s="1478" t="e">
        <f>RIGHT(#REF!,1)</f>
        <v>#REF!</v>
      </c>
      <c r="D56" s="1426">
        <v>5</v>
      </c>
      <c r="E56" s="1429" t="s">
        <v>529</v>
      </c>
      <c r="F56" s="1539"/>
      <c r="G56" s="1517" t="s">
        <v>2494</v>
      </c>
      <c r="H56" s="1518"/>
      <c r="I56" s="1518" t="s">
        <v>492</v>
      </c>
      <c r="J56" s="1533">
        <v>15500</v>
      </c>
      <c r="K56" s="1517">
        <v>8</v>
      </c>
      <c r="L56" s="1519">
        <v>124000</v>
      </c>
      <c r="M56" s="1518" t="s">
        <v>620</v>
      </c>
      <c r="N56" s="1517">
        <v>2001</v>
      </c>
      <c r="O56" s="1518"/>
      <c r="P56" s="1518"/>
      <c r="Q56" s="1518" t="s">
        <v>482</v>
      </c>
      <c r="R56" s="1517" t="s">
        <v>12</v>
      </c>
      <c r="S56" s="1520">
        <v>6975000000</v>
      </c>
      <c r="T56" s="1517" t="s">
        <v>43</v>
      </c>
      <c r="U56" s="1572"/>
      <c r="V56" s="1521"/>
      <c r="W56" s="1478" t="str">
        <f t="shared" ref="W56:W68" si="16">LEFT(G56,8)</f>
        <v>04.13.01</v>
      </c>
      <c r="X56" s="1478" t="str">
        <f t="shared" ref="X56:X68" si="17">VLOOKUP(W56,UE,3,FALSE)</f>
        <v>Jalan</v>
      </c>
      <c r="Y56" s="1478">
        <f t="shared" ref="Y56:Y68" si="18">VLOOKUP(W56,UE,4,FALSE)</f>
        <v>10</v>
      </c>
      <c r="Z56" s="1401">
        <f>S56/Y56</f>
        <v>697500000</v>
      </c>
      <c r="AA56" s="1444">
        <f>IF(2013-N56+1&gt;Y56,Y56,IF(2013-N56+1&lt;0,0,2013-N56+1))</f>
        <v>10</v>
      </c>
      <c r="AB56" s="1401">
        <f>IF(AA56&gt;Y56,S56,Z56*AA56)</f>
        <v>6975000000</v>
      </c>
      <c r="AC56" s="1401">
        <f>IF(S56=AB56,0,Z56)</f>
        <v>0</v>
      </c>
      <c r="AD56" s="1401">
        <f>IF(S56=AB56+AC56,0,Z56)</f>
        <v>0</v>
      </c>
      <c r="AE56" s="1401">
        <f>IF(S56=AB56+AC56+AD56,0,Z56)</f>
        <v>0</v>
      </c>
      <c r="AF56" s="1401">
        <f>IF(S56=AC56+AD56+AE56+AB56,0,Z56)</f>
        <v>0</v>
      </c>
      <c r="AG56" s="1479">
        <f>IF(S56=AC56+AD56+AE56+AB56+AF56,0,Z56)</f>
        <v>0</v>
      </c>
      <c r="AH56" s="1479">
        <f>IF(S56=AC56+AD56+AE56+AB56+AF56+AG56,0,Z56)</f>
        <v>0</v>
      </c>
      <c r="AI56" s="1479">
        <f>SUM(AB56:AH56)</f>
        <v>6975000000</v>
      </c>
      <c r="AJ56" s="1401">
        <f t="shared" ref="AJ56:AJ66" si="19">S56-AI56</f>
        <v>0</v>
      </c>
    </row>
    <row r="57" spans="1:36" s="1390" customFormat="1" ht="37" customHeight="1" x14ac:dyDescent="0.2">
      <c r="A57" s="1472">
        <v>6</v>
      </c>
      <c r="B57" s="1472" t="str">
        <f t="shared" si="0"/>
        <v>KOTO SENTAJO - RIMBO GAJAH MATI</v>
      </c>
      <c r="C57" s="1478" t="e">
        <f>RIGHT(#REF!,1)</f>
        <v>#REF!</v>
      </c>
      <c r="D57" s="1426">
        <v>6</v>
      </c>
      <c r="E57" s="1429" t="s">
        <v>1137</v>
      </c>
      <c r="F57" s="1539"/>
      <c r="G57" s="1517" t="s">
        <v>2494</v>
      </c>
      <c r="H57" s="1518"/>
      <c r="I57" s="1518" t="s">
        <v>484</v>
      </c>
      <c r="J57" s="1533">
        <v>3000</v>
      </c>
      <c r="K57" s="1517">
        <v>7</v>
      </c>
      <c r="L57" s="1519">
        <v>21000</v>
      </c>
      <c r="M57" s="1518" t="s">
        <v>616</v>
      </c>
      <c r="N57" s="1517">
        <v>2001</v>
      </c>
      <c r="O57" s="1518"/>
      <c r="P57" s="1518"/>
      <c r="Q57" s="1518" t="s">
        <v>482</v>
      </c>
      <c r="R57" s="1517" t="s">
        <v>12</v>
      </c>
      <c r="S57" s="1520">
        <v>3273925686</v>
      </c>
      <c r="T57" s="1517" t="s">
        <v>43</v>
      </c>
      <c r="U57" s="1572"/>
      <c r="V57" s="1521"/>
      <c r="W57" s="1478" t="str">
        <f>LEFT(G57,8)</f>
        <v>04.13.01</v>
      </c>
      <c r="X57" s="1478" t="str">
        <f>VLOOKUP(W57,UE,3,FALSE)</f>
        <v>Jalan</v>
      </c>
      <c r="Y57" s="1478">
        <f>VLOOKUP(W57,UE,4,FALSE)</f>
        <v>10</v>
      </c>
      <c r="Z57" s="1401">
        <f>S57/Y57</f>
        <v>327392568.60000002</v>
      </c>
      <c r="AA57" s="1444">
        <f>IF(2013-N57+1&gt;Y57,Y57,IF(2013-N57+1&lt;0,0,2013-N57+1))</f>
        <v>10</v>
      </c>
      <c r="AB57" s="1401">
        <f>IF(AA57&gt;Y57,S57,Z57*AA57)</f>
        <v>3273925686</v>
      </c>
      <c r="AC57" s="1401">
        <f>IF(S57=AB57,0,Z57)</f>
        <v>0</v>
      </c>
      <c r="AD57" s="1401">
        <f>IF(S57=AB57+AC57,0,Z57)</f>
        <v>0</v>
      </c>
      <c r="AE57" s="1401">
        <f>IF(S57=AB57+AC57+AD57,0,Z57)</f>
        <v>0</v>
      </c>
      <c r="AF57" s="1401">
        <f>IF(S57=AC57+AD57+AE57+AB57,0,Z57)</f>
        <v>0</v>
      </c>
      <c r="AG57" s="1479">
        <f>IF(S57=AC57+AD57+AE57+AB57+AF57,0,Z57)</f>
        <v>0</v>
      </c>
      <c r="AH57" s="1479">
        <f>IF(S57=AC57+AD57+AE57+AB57+AF57+AG57,0,Z57)</f>
        <v>0</v>
      </c>
      <c r="AI57" s="1479">
        <f>SUM(AB57:AH57)</f>
        <v>3273925686</v>
      </c>
      <c r="AJ57" s="1401">
        <f>S57-AI57</f>
        <v>0</v>
      </c>
    </row>
    <row r="58" spans="1:36" s="1472" customFormat="1" ht="37" customHeight="1" x14ac:dyDescent="0.2">
      <c r="A58" s="1472">
        <v>7</v>
      </c>
      <c r="B58" s="1472" t="str">
        <f t="shared" si="0"/>
        <v>KP. BARU SENTAJO - TEBING TINGGI</v>
      </c>
      <c r="C58" s="1478" t="e">
        <f>RIGHT(#REF!,1)</f>
        <v>#REF!</v>
      </c>
      <c r="D58" s="1576">
        <v>7</v>
      </c>
      <c r="E58" s="1429" t="s">
        <v>529</v>
      </c>
      <c r="F58" s="1539"/>
      <c r="G58" s="1517" t="s">
        <v>2494</v>
      </c>
      <c r="H58" s="1518"/>
      <c r="I58" s="1518" t="s">
        <v>492</v>
      </c>
      <c r="J58" s="1533">
        <v>5500</v>
      </c>
      <c r="K58" s="1517">
        <v>7</v>
      </c>
      <c r="L58" s="1519">
        <v>38500</v>
      </c>
      <c r="M58" s="1518" t="s">
        <v>617</v>
      </c>
      <c r="N58" s="1517">
        <v>2001</v>
      </c>
      <c r="O58" s="1518"/>
      <c r="P58" s="1518"/>
      <c r="Q58" s="1518" t="s">
        <v>482</v>
      </c>
      <c r="R58" s="1517" t="s">
        <v>12</v>
      </c>
      <c r="S58" s="1520">
        <v>2475000000</v>
      </c>
      <c r="T58" s="1517" t="s">
        <v>43</v>
      </c>
      <c r="U58" s="1572"/>
      <c r="V58" s="1521"/>
      <c r="W58" s="1478" t="str">
        <f>LEFT(G58,8)</f>
        <v>04.13.01</v>
      </c>
      <c r="X58" s="1478" t="str">
        <f>VLOOKUP(W58,UE,3,FALSE)</f>
        <v>Jalan</v>
      </c>
      <c r="Y58" s="1478">
        <f>VLOOKUP(W58,UE,4,FALSE)</f>
        <v>10</v>
      </c>
      <c r="Z58" s="1401">
        <f>S58/Y58</f>
        <v>247500000</v>
      </c>
      <c r="AA58" s="1444">
        <f>IF(2013-N58+1&gt;Y58,Y58,IF(2013-N58+1&lt;0,0,2013-N58+1))</f>
        <v>10</v>
      </c>
      <c r="AB58" s="1401">
        <f>IF(AA58&gt;Y58,S58,Z58*AA58)</f>
        <v>2475000000</v>
      </c>
      <c r="AC58" s="1401">
        <f>IF(S58=AB58,0,Z58)</f>
        <v>0</v>
      </c>
      <c r="AD58" s="1401">
        <f>IF(S58=AB58+AC58,0,Z58)</f>
        <v>0</v>
      </c>
      <c r="AE58" s="1401">
        <f>IF(S58=AB58+AC58+AD58,0,Z58)</f>
        <v>0</v>
      </c>
      <c r="AF58" s="1401">
        <f>IF(S58=AC58+AD58+AE58+AB58,0,Z58)</f>
        <v>0</v>
      </c>
      <c r="AG58" s="1479">
        <f>IF(S58=AC58+AD58+AE58+AB58+AF58,0,Z58)</f>
        <v>0</v>
      </c>
      <c r="AH58" s="1479">
        <f>IF(S58=AC58+AD58+AE58+AB58+AF58+AG58,0,Z58)</f>
        <v>0</v>
      </c>
      <c r="AI58" s="1479">
        <f>SUM(AB58:AH58)</f>
        <v>2475000000</v>
      </c>
      <c r="AJ58" s="1401">
        <f>S58-AI58</f>
        <v>0</v>
      </c>
    </row>
    <row r="59" spans="1:36" s="1472" customFormat="1" ht="37" customHeight="1" x14ac:dyDescent="0.2">
      <c r="A59" s="1472">
        <v>8</v>
      </c>
      <c r="B59" s="1472" t="str">
        <f t="shared" si="0"/>
        <v>KP. BARU SENTAJO - BENAI</v>
      </c>
      <c r="C59" s="1478" t="e">
        <f>RIGHT(#REF!,1)</f>
        <v>#REF!</v>
      </c>
      <c r="D59" s="1576">
        <v>8</v>
      </c>
      <c r="E59" s="1429" t="s">
        <v>5814</v>
      </c>
      <c r="F59" s="1539"/>
      <c r="G59" s="1517" t="s">
        <v>2494</v>
      </c>
      <c r="H59" s="1518"/>
      <c r="I59" s="1518" t="s">
        <v>8</v>
      </c>
      <c r="J59" s="1533">
        <v>2000</v>
      </c>
      <c r="K59" s="1517">
        <v>7</v>
      </c>
      <c r="L59" s="1519">
        <v>14000</v>
      </c>
      <c r="M59" s="1518" t="s">
        <v>618</v>
      </c>
      <c r="N59" s="1517">
        <v>2001</v>
      </c>
      <c r="O59" s="1518"/>
      <c r="P59" s="1518"/>
      <c r="Q59" s="1518" t="s">
        <v>482</v>
      </c>
      <c r="R59" s="1517" t="s">
        <v>12</v>
      </c>
      <c r="S59" s="1520">
        <f>450000000+F60+F61+F62</f>
        <v>2256214310.94629</v>
      </c>
      <c r="T59" s="1517" t="s">
        <v>43</v>
      </c>
      <c r="U59" s="1572"/>
      <c r="V59" s="1521"/>
      <c r="W59" s="1478" t="str">
        <f t="shared" si="16"/>
        <v>04.13.01</v>
      </c>
      <c r="X59" s="1478" t="str">
        <f t="shared" si="17"/>
        <v>Jalan</v>
      </c>
      <c r="Y59" s="1478">
        <f t="shared" si="18"/>
        <v>10</v>
      </c>
      <c r="Z59" s="1401"/>
      <c r="AA59" s="1444">
        <f>IF(2013-N59&gt;Y59,10,IF(2013-N59&lt;0,0,2013-N59))</f>
        <v>10</v>
      </c>
      <c r="AB59" s="1401">
        <f>SUM(PERHITUNGAN!U114:U118)</f>
        <v>1407638489.3624032</v>
      </c>
      <c r="AC59" s="1479">
        <f>SUMIF(PERHITUNGAN!A:A,'KIB D'!B59&amp;'KIB D'!$AC$7,PERHITUNGAN!U:U)</f>
        <v>162519784.19462901</v>
      </c>
      <c r="AD59" s="1479">
        <f>SUMIF(PERHITUNGAN!A:A,'KIB D'!B59&amp;'KIB D'!$AD$7,PERHITUNGAN!U:U)</f>
        <v>162519784.19462901</v>
      </c>
      <c r="AE59" s="1479">
        <f>SUMIF(PERHITUNGAN!A:A,'KIB D'!B59&amp;'KIB D'!$AE$7,PERHITUNGAN!U:U)</f>
        <v>162519784.19462901</v>
      </c>
      <c r="AF59" s="1479">
        <f>SUMIF(PERHITUNGAN!A:A,'KIB D'!B59&amp;'KIB D'!$AF$7,PERHITUNGAN!U:U)</f>
        <v>36101646.900000013</v>
      </c>
      <c r="AG59" s="1479">
        <f>SUMIF(PERHITUNGAN!A:A,'KIB D'!B59&amp;'KIB D'!$AG$7,PERHITUNGAN!U:U)</f>
        <v>36101646.900000013</v>
      </c>
      <c r="AH59" s="1479">
        <f>SUMIF(PERHITUNGAN!A:A,'KIB D'!B59&amp;'KIB D'!$AH$7,PERHITUNGAN!U:U)</f>
        <v>36101646.900000013</v>
      </c>
      <c r="AI59" s="1479">
        <f>SUM(AB59:AH59)</f>
        <v>2003502782.6462903</v>
      </c>
      <c r="AJ59" s="1401">
        <f t="shared" si="19"/>
        <v>252711528.29999971</v>
      </c>
    </row>
    <row r="60" spans="1:36" s="1390" customFormat="1" ht="37" customHeight="1" x14ac:dyDescent="0.2">
      <c r="A60" s="1390">
        <v>8</v>
      </c>
      <c r="B60" s="1472" t="str">
        <f t="shared" si="0"/>
        <v>KP. BARU SENTAJO - BENAI</v>
      </c>
      <c r="C60" s="1478" t="e">
        <f>RIGHT(#REF!,1)</f>
        <v>#REF!</v>
      </c>
      <c r="D60" s="1426"/>
      <c r="E60" s="1429" t="s">
        <v>1153</v>
      </c>
      <c r="F60" s="1539">
        <v>1445197841.9462903</v>
      </c>
      <c r="G60" s="1416" t="s">
        <v>2494</v>
      </c>
      <c r="H60" s="1508"/>
      <c r="I60" s="1416" t="s">
        <v>519</v>
      </c>
      <c r="J60" s="1500"/>
      <c r="K60" s="1416"/>
      <c r="L60" s="1500">
        <v>1158</v>
      </c>
      <c r="M60" s="1429" t="s">
        <v>830</v>
      </c>
      <c r="N60" s="1416">
        <v>2007</v>
      </c>
      <c r="O60" s="1414"/>
      <c r="P60" s="1414"/>
      <c r="Q60" s="1414"/>
      <c r="R60" s="1416" t="s">
        <v>12</v>
      </c>
      <c r="S60" s="1529"/>
      <c r="T60" s="1416" t="s">
        <v>43</v>
      </c>
      <c r="U60" s="1427"/>
      <c r="V60" s="1477"/>
      <c r="W60" s="1478" t="str">
        <f t="shared" si="16"/>
        <v>04.13.01</v>
      </c>
      <c r="X60" s="1478" t="str">
        <f t="shared" si="17"/>
        <v>Jalan</v>
      </c>
      <c r="Y60" s="1478">
        <f t="shared" si="18"/>
        <v>10</v>
      </c>
      <c r="Z60" s="1401"/>
      <c r="AA60" s="1444"/>
      <c r="AB60" s="1401"/>
      <c r="AC60" s="1401"/>
      <c r="AD60" s="1401"/>
      <c r="AE60" s="1401"/>
      <c r="AF60" s="1401"/>
      <c r="AG60" s="1479"/>
      <c r="AH60" s="1479"/>
      <c r="AI60" s="1479"/>
      <c r="AJ60" s="1401">
        <f t="shared" si="19"/>
        <v>0</v>
      </c>
    </row>
    <row r="61" spans="1:36" s="1472" customFormat="1" ht="37" customHeight="1" x14ac:dyDescent="0.2">
      <c r="A61" s="1472">
        <v>8</v>
      </c>
      <c r="B61" s="1472" t="str">
        <f t="shared" si="0"/>
        <v>KP. BARU SENTAJO - BENAI</v>
      </c>
      <c r="C61" s="1478" t="e">
        <f>RIGHT(#REF!,1)</f>
        <v>#REF!</v>
      </c>
      <c r="D61" s="1576"/>
      <c r="E61" s="1413" t="s">
        <v>3070</v>
      </c>
      <c r="F61" s="1539">
        <v>180968000</v>
      </c>
      <c r="G61" s="1416" t="s">
        <v>2494</v>
      </c>
      <c r="H61" s="1414"/>
      <c r="I61" s="1416"/>
      <c r="J61" s="1500"/>
      <c r="K61" s="1416"/>
      <c r="L61" s="1500"/>
      <c r="M61" s="1429" t="s">
        <v>3286</v>
      </c>
      <c r="N61" s="1416">
        <v>2017</v>
      </c>
      <c r="O61" s="1414"/>
      <c r="P61" s="1414"/>
      <c r="Q61" s="1414"/>
      <c r="R61" s="1501" t="s">
        <v>12</v>
      </c>
      <c r="S61" s="1529"/>
      <c r="T61" s="1528"/>
      <c r="U61" s="1575"/>
      <c r="V61" s="1490"/>
      <c r="W61" s="1478" t="str">
        <f t="shared" si="16"/>
        <v>04.13.01</v>
      </c>
      <c r="X61" s="1478" t="str">
        <f t="shared" si="17"/>
        <v>Jalan</v>
      </c>
      <c r="Y61" s="1478">
        <f t="shared" si="18"/>
        <v>10</v>
      </c>
      <c r="Z61" s="1401">
        <f>S61/Y61</f>
        <v>0</v>
      </c>
      <c r="AA61" s="1444">
        <f>IF(2013-N61+1&gt;Y61,Y61,IF(2013-N61+1&lt;0,0,2013-N61+1))</f>
        <v>0</v>
      </c>
      <c r="AB61" s="1401">
        <f>IF(AA61&gt;Y61,S61,Z61*AA61)</f>
        <v>0</v>
      </c>
      <c r="AC61" s="1401">
        <v>0</v>
      </c>
      <c r="AD61" s="1401">
        <v>0</v>
      </c>
      <c r="AE61" s="1401">
        <v>0</v>
      </c>
      <c r="AF61" s="1401">
        <f>IF(S61=AC61+AD61+AE61+AB61,0,Z61)</f>
        <v>0</v>
      </c>
      <c r="AG61" s="1479">
        <f>IF(S61=AC61+AD61+AE61+AB61+AF61,0,Z61)</f>
        <v>0</v>
      </c>
      <c r="AH61" s="1479"/>
      <c r="AI61" s="1479">
        <f>SUM(AB61:AG61)</f>
        <v>0</v>
      </c>
      <c r="AJ61" s="1401">
        <f t="shared" si="19"/>
        <v>0</v>
      </c>
    </row>
    <row r="62" spans="1:36" s="1472" customFormat="1" ht="37" customHeight="1" x14ac:dyDescent="0.2">
      <c r="A62" s="1472">
        <v>8</v>
      </c>
      <c r="B62" s="1472" t="str">
        <f t="shared" si="0"/>
        <v>KP. BARU SENTAJO - BENAI</v>
      </c>
      <c r="C62" s="1478" t="e">
        <f>RIGHT(#REF!,1)</f>
        <v>#REF!</v>
      </c>
      <c r="D62" s="1576"/>
      <c r="E62" s="1413" t="s">
        <v>3070</v>
      </c>
      <c r="F62" s="1539">
        <v>180048469</v>
      </c>
      <c r="G62" s="1416" t="s">
        <v>2494</v>
      </c>
      <c r="H62" s="1414"/>
      <c r="I62" s="1416"/>
      <c r="J62" s="1500"/>
      <c r="K62" s="1416"/>
      <c r="L62" s="1500"/>
      <c r="M62" s="1429" t="s">
        <v>3286</v>
      </c>
      <c r="N62" s="1416">
        <v>2017</v>
      </c>
      <c r="O62" s="1414"/>
      <c r="P62" s="1414"/>
      <c r="Q62" s="1414"/>
      <c r="R62" s="1501" t="s">
        <v>12</v>
      </c>
      <c r="S62" s="1529"/>
      <c r="T62" s="1528"/>
      <c r="U62" s="1575"/>
      <c r="V62" s="1490"/>
      <c r="W62" s="1478" t="str">
        <f t="shared" si="16"/>
        <v>04.13.01</v>
      </c>
      <c r="X62" s="1478" t="str">
        <f t="shared" si="17"/>
        <v>Jalan</v>
      </c>
      <c r="Y62" s="1478">
        <f t="shared" si="18"/>
        <v>10</v>
      </c>
      <c r="Z62" s="1401">
        <f>S62/Y62</f>
        <v>0</v>
      </c>
      <c r="AA62" s="1444">
        <f>IF(2013-N62+1&gt;Y62,Y62,IF(2013-N62+1&lt;0,0,2013-N62+1))</f>
        <v>0</v>
      </c>
      <c r="AB62" s="1401">
        <f>IF(AA62&gt;Y62,S62,Z62*AA62)</f>
        <v>0</v>
      </c>
      <c r="AC62" s="1401">
        <v>0</v>
      </c>
      <c r="AD62" s="1401">
        <v>0</v>
      </c>
      <c r="AE62" s="1401">
        <v>0</v>
      </c>
      <c r="AF62" s="1401">
        <f>IF(S62=AC62+AD62+AE62+AB62,0,Z62)</f>
        <v>0</v>
      </c>
      <c r="AG62" s="1479">
        <f>IF(S62=AC62+AD62+AE62+AB62+AF62,0,Z62)</f>
        <v>0</v>
      </c>
      <c r="AH62" s="1479"/>
      <c r="AI62" s="1479">
        <f>SUM(AB62:AG62)</f>
        <v>0</v>
      </c>
      <c r="AJ62" s="1401">
        <f t="shared" si="19"/>
        <v>0</v>
      </c>
    </row>
    <row r="63" spans="1:36" s="1390" customFormat="1" ht="37" customHeight="1" x14ac:dyDescent="0.2">
      <c r="A63" s="1390">
        <v>9</v>
      </c>
      <c r="B63" s="1472" t="str">
        <f t="shared" si="0"/>
        <v>CEBERLIN - PINTU GOBANG</v>
      </c>
      <c r="C63" s="1478" t="e">
        <f>RIGHT(#REF!,1)</f>
        <v>#REF!</v>
      </c>
      <c r="D63" s="1426">
        <v>9</v>
      </c>
      <c r="E63" s="1429" t="s">
        <v>529</v>
      </c>
      <c r="F63" s="1539"/>
      <c r="G63" s="1517" t="s">
        <v>2494</v>
      </c>
      <c r="H63" s="1518"/>
      <c r="I63" s="1518" t="s">
        <v>479</v>
      </c>
      <c r="J63" s="1533">
        <v>4000</v>
      </c>
      <c r="K63" s="1517">
        <v>7</v>
      </c>
      <c r="L63" s="1519">
        <v>28000</v>
      </c>
      <c r="M63" s="1518" t="s">
        <v>613</v>
      </c>
      <c r="N63" s="1517">
        <v>2001</v>
      </c>
      <c r="O63" s="1518"/>
      <c r="P63" s="1518"/>
      <c r="Q63" s="1518" t="s">
        <v>482</v>
      </c>
      <c r="R63" s="1517" t="s">
        <v>12</v>
      </c>
      <c r="S63" s="1520">
        <v>3360000000</v>
      </c>
      <c r="T63" s="1517" t="s">
        <v>135</v>
      </c>
      <c r="U63" s="1572"/>
      <c r="V63" s="1521"/>
      <c r="W63" s="1478" t="str">
        <f>LEFT(G63,8)</f>
        <v>04.13.01</v>
      </c>
      <c r="X63" s="1478" t="str">
        <f>VLOOKUP(W63,UE,3,FALSE)</f>
        <v>Jalan</v>
      </c>
      <c r="Y63" s="1478">
        <f>VLOOKUP(W63,UE,4,FALSE)</f>
        <v>10</v>
      </c>
      <c r="Z63" s="1401">
        <f>S63/Y63</f>
        <v>336000000</v>
      </c>
      <c r="AA63" s="1444">
        <f>IF(2013-N63+1&gt;Y63,Y63,IF(2013-N63+1&lt;0,0,2013-N63+1))</f>
        <v>10</v>
      </c>
      <c r="AB63" s="1401">
        <f>IF(AA63&gt;Y63,S63,Z63*AA63)</f>
        <v>3360000000</v>
      </c>
      <c r="AC63" s="1401">
        <f>IF(S63=AB63,0,Z63)</f>
        <v>0</v>
      </c>
      <c r="AD63" s="1401">
        <f>IF(S63=AB63+AC63,0,Z63)</f>
        <v>0</v>
      </c>
      <c r="AE63" s="1401">
        <f>IF(S63=AB63+AC63+AD63,0,Z63)</f>
        <v>0</v>
      </c>
      <c r="AF63" s="1401">
        <f>IF(S63=AC63+AD63+AE63+AB63,0,Z63)</f>
        <v>0</v>
      </c>
      <c r="AG63" s="1479">
        <f>IF(S63=AC63+AD63+AE63+AB63+AF63,0,Z63)</f>
        <v>0</v>
      </c>
      <c r="AH63" s="1479">
        <f>IF(S63=AC63+AD63+AE63+AB63+AF63+AG63,0,Z63)</f>
        <v>0</v>
      </c>
      <c r="AI63" s="1479">
        <f>SUM(AB63:AH63)</f>
        <v>3360000000</v>
      </c>
      <c r="AJ63" s="1401">
        <f>S63-AI63</f>
        <v>0</v>
      </c>
    </row>
    <row r="64" spans="1:36" s="1390" customFormat="1" ht="37" customHeight="1" x14ac:dyDescent="0.15">
      <c r="A64" s="1390">
        <v>10</v>
      </c>
      <c r="B64" s="1472" t="str">
        <f t="shared" si="0"/>
        <v>SEB. TELUK KUANTAN - DUTA PALMA</v>
      </c>
      <c r="C64" s="1516" t="s">
        <v>4247</v>
      </c>
      <c r="D64" s="1426">
        <v>10</v>
      </c>
      <c r="E64" s="1429" t="s">
        <v>5815</v>
      </c>
      <c r="F64" s="1539"/>
      <c r="G64" s="1517" t="s">
        <v>2494</v>
      </c>
      <c r="H64" s="1518"/>
      <c r="I64" s="1518" t="s">
        <v>8</v>
      </c>
      <c r="J64" s="1533">
        <v>12000</v>
      </c>
      <c r="K64" s="1517">
        <v>7</v>
      </c>
      <c r="L64" s="1519">
        <v>84000</v>
      </c>
      <c r="M64" s="1518" t="s">
        <v>614</v>
      </c>
      <c r="N64" s="1517">
        <v>2001</v>
      </c>
      <c r="O64" s="1518"/>
      <c r="P64" s="1518"/>
      <c r="Q64" s="1518" t="s">
        <v>482</v>
      </c>
      <c r="R64" s="1517" t="s">
        <v>12</v>
      </c>
      <c r="S64" s="1520">
        <f>2700000000+F66+F65+F67+F68+F69</f>
        <v>6767065503</v>
      </c>
      <c r="T64" s="1517" t="s">
        <v>43</v>
      </c>
      <c r="U64" s="1572"/>
      <c r="V64" s="1521"/>
      <c r="W64" s="1522" t="str">
        <f t="shared" si="16"/>
        <v>04.13.01</v>
      </c>
      <c r="X64" s="1478" t="str">
        <f t="shared" si="17"/>
        <v>Jalan</v>
      </c>
      <c r="Y64" s="1478">
        <f t="shared" si="18"/>
        <v>10</v>
      </c>
      <c r="Z64" s="1401"/>
      <c r="AA64" s="1444">
        <f>IF(2013-N64&gt;Y64,10,IF(2013-N64&lt;0,0,2013-N64))</f>
        <v>10</v>
      </c>
      <c r="AB64" s="1401">
        <f>SUM(PERHITUNGAN!U133:U137)</f>
        <v>2828474220.9000001</v>
      </c>
      <c r="AC64" s="1479">
        <f>SUMIF(PERHITUNGAN!A:A,'KIB D'!B64&amp;'KIB D'!$AC$7,PERHITUNGAN!U:U)</f>
        <v>135388140.81</v>
      </c>
      <c r="AD64" s="1479">
        <f>SUMIF(PERHITUNGAN!A:A,'KIB D'!B64&amp;'KIB D'!$AD$7,PERHITUNGAN!U:U)</f>
        <v>135388140.81</v>
      </c>
      <c r="AE64" s="1479">
        <f>SUMIF(PERHITUNGAN!A:A,'KIB D'!B64&amp;'KIB D'!$AE$7,PERHITUNGAN!U:U)</f>
        <v>135388140.81</v>
      </c>
      <c r="AF64" s="1479">
        <f>SUMIF(PERHITUNGAN!A:A,'KIB D'!B64&amp;'KIB D'!$AF$7,PERHITUNGAN!U:U)</f>
        <v>132832828.567</v>
      </c>
      <c r="AG64" s="1479">
        <f>SUMIF(PERHITUNGAN!A:A,'KIB D'!B64&amp;'KIB D'!$AG$7,PERHITUNGAN!U:U)</f>
        <v>132832828.567</v>
      </c>
      <c r="AH64" s="1479">
        <f>SUMIF(PERHITUNGAN!A:A,'KIB D'!B64&amp;'KIB D'!$AH$7,PERHITUNGAN!U:U)</f>
        <v>326676120.2536</v>
      </c>
      <c r="AI64" s="1479">
        <f>SUM(AB64:AH64)</f>
        <v>3826980420.7175999</v>
      </c>
      <c r="AJ64" s="1401">
        <f t="shared" si="19"/>
        <v>2940085082.2824001</v>
      </c>
    </row>
    <row r="65" spans="1:36" s="1390" customFormat="1" ht="37" customHeight="1" x14ac:dyDescent="0.2">
      <c r="A65" s="1390">
        <v>10</v>
      </c>
      <c r="B65" s="1472" t="str">
        <f t="shared" si="0"/>
        <v>SEB. TELUK KUANTAN - DUTA PALMA</v>
      </c>
      <c r="C65" s="1478" t="e">
        <f>RIGHT(#REF!,1)</f>
        <v>#REF!</v>
      </c>
      <c r="D65" s="1426"/>
      <c r="E65" s="1429" t="s">
        <v>1275</v>
      </c>
      <c r="F65" s="1539">
        <v>1284742209</v>
      </c>
      <c r="G65" s="1416" t="s">
        <v>2494</v>
      </c>
      <c r="H65" s="1508"/>
      <c r="I65" s="1416" t="s">
        <v>519</v>
      </c>
      <c r="J65" s="1500"/>
      <c r="K65" s="1416"/>
      <c r="L65" s="1500"/>
      <c r="M65" s="1429" t="s">
        <v>3168</v>
      </c>
      <c r="N65" s="1416">
        <v>2013</v>
      </c>
      <c r="O65" s="1414"/>
      <c r="P65" s="1414"/>
      <c r="Q65" s="1414"/>
      <c r="R65" s="1416" t="s">
        <v>12</v>
      </c>
      <c r="S65" s="1529"/>
      <c r="T65" s="1416"/>
      <c r="U65" s="1427"/>
      <c r="V65" s="1477"/>
      <c r="W65" s="1478" t="str">
        <f t="shared" si="16"/>
        <v>04.13.01</v>
      </c>
      <c r="X65" s="1478" t="str">
        <f t="shared" si="17"/>
        <v>Jalan</v>
      </c>
      <c r="Y65" s="1478">
        <f t="shared" si="18"/>
        <v>10</v>
      </c>
      <c r="Z65" s="1401"/>
      <c r="AA65" s="1444"/>
      <c r="AB65" s="1401"/>
      <c r="AC65" s="1401"/>
      <c r="AD65" s="1401"/>
      <c r="AE65" s="1401"/>
      <c r="AF65" s="1401"/>
      <c r="AG65" s="1479"/>
      <c r="AH65" s="1479"/>
      <c r="AI65" s="1479"/>
      <c r="AJ65" s="1401">
        <f t="shared" si="19"/>
        <v>0</v>
      </c>
    </row>
    <row r="66" spans="1:36" s="1390" customFormat="1" ht="37" customHeight="1" x14ac:dyDescent="0.15">
      <c r="A66" s="1390">
        <v>10</v>
      </c>
      <c r="B66" s="1472" t="str">
        <f t="shared" si="0"/>
        <v>SEB. TELUK KUANTAN - DUTA PALMA</v>
      </c>
      <c r="C66" s="1516" t="s">
        <v>4247</v>
      </c>
      <c r="D66" s="1426"/>
      <c r="E66" s="1429" t="s">
        <v>1349</v>
      </c>
      <c r="F66" s="1539">
        <v>197613420</v>
      </c>
      <c r="G66" s="1517" t="s">
        <v>2494</v>
      </c>
      <c r="H66" s="1518"/>
      <c r="I66" s="1518"/>
      <c r="J66" s="1519">
        <v>0</v>
      </c>
      <c r="K66" s="1517"/>
      <c r="L66" s="1519">
        <v>0</v>
      </c>
      <c r="M66" s="1518" t="s">
        <v>3214</v>
      </c>
      <c r="N66" s="1517">
        <v>2014</v>
      </c>
      <c r="O66" s="1518"/>
      <c r="P66" s="1518"/>
      <c r="Q66" s="1518"/>
      <c r="R66" s="1517" t="s">
        <v>12</v>
      </c>
      <c r="S66" s="1520"/>
      <c r="T66" s="1518"/>
      <c r="U66" s="1572"/>
      <c r="V66" s="1521"/>
      <c r="W66" s="1522" t="str">
        <f t="shared" si="16"/>
        <v>04.13.01</v>
      </c>
      <c r="X66" s="1478" t="str">
        <f t="shared" si="17"/>
        <v>Jalan</v>
      </c>
      <c r="Y66" s="1478">
        <f t="shared" si="18"/>
        <v>10</v>
      </c>
      <c r="Z66" s="1401"/>
      <c r="AA66" s="1444">
        <f>IF(2013-N66&gt;Y66,10,IF(2013-N66&lt;0,0,2013-N66))</f>
        <v>0</v>
      </c>
      <c r="AB66" s="1401"/>
      <c r="AC66" s="1401"/>
      <c r="AD66" s="1401"/>
      <c r="AE66" s="1401"/>
      <c r="AF66" s="1401"/>
      <c r="AG66" s="1479"/>
      <c r="AH66" s="1479"/>
      <c r="AI66" s="1479">
        <f>SUM(AB66:AG66)</f>
        <v>0</v>
      </c>
      <c r="AJ66" s="1401">
        <f t="shared" si="19"/>
        <v>0</v>
      </c>
    </row>
    <row r="67" spans="1:36" s="1472" customFormat="1" ht="37" customHeight="1" x14ac:dyDescent="0.2">
      <c r="A67" s="1472">
        <v>10</v>
      </c>
      <c r="B67" s="1472" t="str">
        <f t="shared" si="0"/>
        <v>SEB. TELUK KUANTAN - DUTA PALMA</v>
      </c>
      <c r="C67" s="1478" t="e">
        <f>RIGHT(#REF!,1)</f>
        <v>#REF!</v>
      </c>
      <c r="D67" s="1576"/>
      <c r="E67" s="1539" t="s">
        <v>2501</v>
      </c>
      <c r="F67" s="1529">
        <v>189549000</v>
      </c>
      <c r="G67" s="1501" t="s">
        <v>2494</v>
      </c>
      <c r="H67" s="1501"/>
      <c r="I67" s="1414"/>
      <c r="J67" s="1526"/>
      <c r="K67" s="1416"/>
      <c r="L67" s="1430"/>
      <c r="M67" s="1429" t="s">
        <v>2563</v>
      </c>
      <c r="N67" s="1501">
        <v>2017</v>
      </c>
      <c r="O67" s="1414"/>
      <c r="P67" s="1414"/>
      <c r="Q67" s="1414"/>
      <c r="R67" s="1501" t="s">
        <v>12</v>
      </c>
      <c r="S67" s="1527"/>
      <c r="T67" s="1528"/>
      <c r="U67" s="1575"/>
      <c r="V67" s="1490"/>
      <c r="W67" s="1478" t="str">
        <f t="shared" si="16"/>
        <v>04.13.01</v>
      </c>
      <c r="X67" s="1478" t="str">
        <f t="shared" si="17"/>
        <v>Jalan</v>
      </c>
      <c r="Y67" s="1478">
        <f t="shared" si="18"/>
        <v>10</v>
      </c>
      <c r="Z67" s="1401"/>
      <c r="AA67" s="1444"/>
      <c r="AB67" s="1401"/>
      <c r="AC67" s="1401"/>
      <c r="AD67" s="1401"/>
      <c r="AE67" s="1401"/>
      <c r="AF67" s="1401"/>
      <c r="AG67" s="1479"/>
      <c r="AH67" s="1479"/>
      <c r="AI67" s="1479"/>
      <c r="AJ67" s="1401"/>
    </row>
    <row r="68" spans="1:36" s="1390" customFormat="1" ht="37" customHeight="1" x14ac:dyDescent="0.2">
      <c r="A68" s="1390">
        <v>10</v>
      </c>
      <c r="B68" s="1472" t="str">
        <f t="shared" si="0"/>
        <v>SEB. TELUK KUANTAN - DUTA PALMA</v>
      </c>
      <c r="C68" s="1478" t="e">
        <f>RIGHT(#REF!,1)</f>
        <v>#REF!</v>
      </c>
      <c r="D68" s="1426"/>
      <c r="E68" s="1539" t="s">
        <v>3046</v>
      </c>
      <c r="F68" s="1529">
        <v>191062300</v>
      </c>
      <c r="G68" s="1501" t="s">
        <v>2494</v>
      </c>
      <c r="H68" s="1501"/>
      <c r="I68" s="1414"/>
      <c r="J68" s="1526"/>
      <c r="K68" s="1416"/>
      <c r="L68" s="1430"/>
      <c r="M68" s="1429" t="s">
        <v>3269</v>
      </c>
      <c r="N68" s="1501">
        <v>2017</v>
      </c>
      <c r="O68" s="1414"/>
      <c r="P68" s="1414"/>
      <c r="Q68" s="1414"/>
      <c r="R68" s="1501" t="s">
        <v>12</v>
      </c>
      <c r="S68" s="1527"/>
      <c r="T68" s="1528"/>
      <c r="U68" s="1575"/>
      <c r="V68" s="1490"/>
      <c r="W68" s="1478" t="str">
        <f t="shared" si="16"/>
        <v>04.13.01</v>
      </c>
      <c r="X68" s="1478" t="str">
        <f t="shared" si="17"/>
        <v>Jalan</v>
      </c>
      <c r="Y68" s="1478">
        <f t="shared" si="18"/>
        <v>10</v>
      </c>
      <c r="Z68" s="1401"/>
      <c r="AA68" s="1444"/>
      <c r="AB68" s="1401"/>
      <c r="AC68" s="1401"/>
      <c r="AD68" s="1401"/>
      <c r="AE68" s="1401"/>
      <c r="AF68" s="1401"/>
      <c r="AG68" s="1479"/>
      <c r="AH68" s="1479"/>
      <c r="AI68" s="1479"/>
      <c r="AJ68" s="1401"/>
    </row>
    <row r="69" spans="1:36" s="1390" customFormat="1" ht="37" customHeight="1" x14ac:dyDescent="0.2">
      <c r="A69" s="1390">
        <v>10</v>
      </c>
      <c r="B69" s="1472" t="str">
        <f t="shared" si="0"/>
        <v>SEB. TELUK KUANTAN - DUTA PALMA</v>
      </c>
      <c r="C69" s="1478"/>
      <c r="D69" s="1426"/>
      <c r="E69" s="1539" t="s">
        <v>5520</v>
      </c>
      <c r="F69" s="1529">
        <v>2204098574</v>
      </c>
      <c r="G69" s="1501" t="s">
        <v>2494</v>
      </c>
      <c r="H69" s="1501"/>
      <c r="I69" s="1414"/>
      <c r="J69" s="1526">
        <v>1000</v>
      </c>
      <c r="K69" s="1416">
        <v>4</v>
      </c>
      <c r="L69" s="1430">
        <v>4000</v>
      </c>
      <c r="M69" s="1429" t="s">
        <v>5522</v>
      </c>
      <c r="N69" s="1417">
        <v>2019</v>
      </c>
      <c r="O69" s="1429" t="s">
        <v>5521</v>
      </c>
      <c r="P69" s="1414" t="s">
        <v>433</v>
      </c>
      <c r="Q69" s="1414"/>
      <c r="R69" s="1501" t="s">
        <v>12</v>
      </c>
      <c r="S69" s="1527"/>
      <c r="T69" s="1528"/>
      <c r="U69" s="1575"/>
      <c r="V69" s="1490"/>
      <c r="W69" s="1478"/>
      <c r="X69" s="1478"/>
      <c r="Y69" s="1478"/>
      <c r="Z69" s="1401"/>
      <c r="AA69" s="1444"/>
      <c r="AB69" s="1401"/>
      <c r="AC69" s="1401"/>
      <c r="AD69" s="1401"/>
      <c r="AE69" s="1401"/>
      <c r="AF69" s="1401"/>
      <c r="AG69" s="1479"/>
      <c r="AH69" s="1479"/>
      <c r="AI69" s="1479"/>
      <c r="AJ69" s="1401"/>
    </row>
    <row r="70" spans="1:36" s="1390" customFormat="1" ht="37" customHeight="1" x14ac:dyDescent="0.15">
      <c r="A70" s="1390">
        <v>13</v>
      </c>
      <c r="B70" s="1472" t="str">
        <f t="shared" si="0"/>
        <v>SIMP. BERINGIN - BERINGIN</v>
      </c>
      <c r="C70" s="1516" t="s">
        <v>4247</v>
      </c>
      <c r="D70" s="1426">
        <v>11</v>
      </c>
      <c r="E70" s="1429" t="s">
        <v>5816</v>
      </c>
      <c r="F70" s="1539"/>
      <c r="G70" s="1517" t="s">
        <v>2494</v>
      </c>
      <c r="H70" s="1518"/>
      <c r="I70" s="1518" t="s">
        <v>484</v>
      </c>
      <c r="J70" s="1533">
        <v>600</v>
      </c>
      <c r="K70" s="1517">
        <v>7</v>
      </c>
      <c r="L70" s="1519">
        <v>4200</v>
      </c>
      <c r="M70" s="1518" t="s">
        <v>615</v>
      </c>
      <c r="N70" s="1517">
        <v>2001</v>
      </c>
      <c r="O70" s="1518"/>
      <c r="P70" s="1518"/>
      <c r="Q70" s="1518" t="s">
        <v>482</v>
      </c>
      <c r="R70" s="1517" t="s">
        <v>12</v>
      </c>
      <c r="S70" s="1520">
        <f>288000000+F71+F72+F73</f>
        <v>1582534401</v>
      </c>
      <c r="T70" s="1517" t="s">
        <v>43</v>
      </c>
      <c r="U70" s="1572"/>
      <c r="V70" s="1521"/>
      <c r="W70" s="1522" t="str">
        <f>LEFT(G70,8)</f>
        <v>04.13.01</v>
      </c>
      <c r="X70" s="1478" t="str">
        <f>VLOOKUP(W70,UE,3,FALSE)</f>
        <v>Jalan</v>
      </c>
      <c r="Y70" s="1478">
        <f>VLOOKUP(W70,UE,4,FALSE)</f>
        <v>10</v>
      </c>
      <c r="Z70" s="1401"/>
      <c r="AA70" s="1444">
        <f>IF(2013-N70&gt;Y70,10,IF(2013-N70&lt;0,0,2013-N70))</f>
        <v>10</v>
      </c>
      <c r="AB70" s="1401">
        <f>SUM(PERHITUNGAN!U155:U157)</f>
        <v>288000000</v>
      </c>
      <c r="AC70" s="1479">
        <f>SUMIF(PERHITUNGAN!A:A,'KIB D'!B70&amp;'KIB D'!$AC$7,PERHITUNGAN!U:U)</f>
        <v>0</v>
      </c>
      <c r="AD70" s="1479">
        <f>SUMIF(PERHITUNGAN!A:A,'KIB D'!B70&amp;'KIB D'!$AD$7,PERHITUNGAN!U:U)</f>
        <v>38654560.100000001</v>
      </c>
      <c r="AE70" s="1479">
        <f>SUMIF(PERHITUNGAN!A:A,'KIB D'!B70&amp;'KIB D'!$AE$7,PERHITUNGAN!U:U)</f>
        <v>38654560.100000001</v>
      </c>
      <c r="AF70" s="1479">
        <f>SUMIF(PERHITUNGAN!A:A,'KIB D'!B70&amp;'KIB D'!$AF$7,PERHITUNGAN!U:U)</f>
        <v>121722528.08</v>
      </c>
      <c r="AG70" s="1479">
        <f>SUMIF(PERHITUNGAN!A:A,'KIB D'!B70&amp;'KIB D'!$AG$7,PERHITUNGAN!U:U)</f>
        <v>121722528.08</v>
      </c>
      <c r="AH70" s="1479">
        <f>SUMIF(PERHITUNGAN!A:A,'KIB D'!B70&amp;'KIB D'!$AH$7,PERHITUNGAN!U:U)</f>
        <v>121722528.08</v>
      </c>
      <c r="AI70" s="1479">
        <f>SUM(AB70:AH70)</f>
        <v>730476704.44000006</v>
      </c>
      <c r="AJ70" s="1401">
        <f>S70-AI70</f>
        <v>852057696.55999994</v>
      </c>
    </row>
    <row r="71" spans="1:36" s="1390" customFormat="1" ht="37" customHeight="1" x14ac:dyDescent="0.15">
      <c r="A71" s="1390">
        <v>13</v>
      </c>
      <c r="B71" s="1472" t="str">
        <f t="shared" si="0"/>
        <v>SIMP. BERINGIN - BERINGIN</v>
      </c>
      <c r="C71" s="1516" t="s">
        <v>4247</v>
      </c>
      <c r="D71" s="1426"/>
      <c r="E71" s="1429" t="s">
        <v>1429</v>
      </c>
      <c r="F71" s="1539">
        <v>192010205</v>
      </c>
      <c r="G71" s="1517" t="s">
        <v>2494</v>
      </c>
      <c r="H71" s="1518"/>
      <c r="I71" s="1518"/>
      <c r="J71" s="1519">
        <v>0</v>
      </c>
      <c r="K71" s="1517"/>
      <c r="L71" s="1519">
        <v>0</v>
      </c>
      <c r="M71" s="1518" t="s">
        <v>3245</v>
      </c>
      <c r="N71" s="1517">
        <v>2015</v>
      </c>
      <c r="O71" s="1518"/>
      <c r="P71" s="1518"/>
      <c r="Q71" s="1518"/>
      <c r="R71" s="1517" t="s">
        <v>12</v>
      </c>
      <c r="S71" s="1520"/>
      <c r="T71" s="1518"/>
      <c r="U71" s="1572"/>
      <c r="V71" s="1521"/>
      <c r="W71" s="1522" t="str">
        <f>LEFT(G71,8)</f>
        <v>04.13.01</v>
      </c>
      <c r="X71" s="1478" t="str">
        <f>VLOOKUP(W71,UE,3,FALSE)</f>
        <v>Jalan</v>
      </c>
      <c r="Y71" s="1478">
        <f>VLOOKUP(W71,UE,4,FALSE)</f>
        <v>10</v>
      </c>
      <c r="Z71" s="1401"/>
      <c r="AA71" s="1444">
        <f>IF(2013-N71&gt;Y71,10,IF(2013-N71&lt;0,0,2013-N71))</f>
        <v>0</v>
      </c>
      <c r="AB71" s="1401"/>
      <c r="AC71" s="1401"/>
      <c r="AD71" s="1401"/>
      <c r="AE71" s="1401"/>
      <c r="AF71" s="1401"/>
      <c r="AG71" s="1479"/>
      <c r="AH71" s="1479"/>
      <c r="AI71" s="1479"/>
      <c r="AJ71" s="1401">
        <f>S71-AI71</f>
        <v>0</v>
      </c>
    </row>
    <row r="72" spans="1:36" s="1390" customFormat="1" ht="37" customHeight="1" x14ac:dyDescent="0.2">
      <c r="A72" s="1390">
        <v>13</v>
      </c>
      <c r="B72" s="1472" t="str">
        <f t="shared" si="0"/>
        <v>SIMP. BERINGIN - BERINGIN</v>
      </c>
      <c r="C72" s="1478" t="e">
        <f>RIGHT(#REF!,1)</f>
        <v>#REF!</v>
      </c>
      <c r="D72" s="1426"/>
      <c r="E72" s="1429" t="s">
        <v>1415</v>
      </c>
      <c r="F72" s="1529">
        <v>194535396</v>
      </c>
      <c r="G72" s="1501" t="s">
        <v>2494</v>
      </c>
      <c r="H72" s="1501"/>
      <c r="I72" s="1414"/>
      <c r="J72" s="1526"/>
      <c r="K72" s="1416"/>
      <c r="L72" s="1430"/>
      <c r="M72" s="1429" t="s">
        <v>3245</v>
      </c>
      <c r="N72" s="1501">
        <v>2015</v>
      </c>
      <c r="O72" s="1414"/>
      <c r="P72" s="1414"/>
      <c r="Q72" s="1414"/>
      <c r="R72" s="1501" t="s">
        <v>12</v>
      </c>
      <c r="S72" s="1527"/>
      <c r="T72" s="1528"/>
      <c r="U72" s="1575"/>
      <c r="V72" s="1490"/>
      <c r="W72" s="1478" t="str">
        <f>LEFT(G72,8)</f>
        <v>04.13.01</v>
      </c>
      <c r="X72" s="1478" t="str">
        <f>VLOOKUP(W72,UE,3,FALSE)</f>
        <v>Jalan</v>
      </c>
      <c r="Y72" s="1478">
        <f>VLOOKUP(W72,UE,4,FALSE)</f>
        <v>10</v>
      </c>
      <c r="Z72" s="1401"/>
      <c r="AA72" s="1444"/>
      <c r="AB72" s="1401"/>
      <c r="AC72" s="1401"/>
      <c r="AD72" s="1401"/>
      <c r="AE72" s="1401"/>
      <c r="AF72" s="1401"/>
      <c r="AG72" s="1479"/>
      <c r="AH72" s="1479"/>
      <c r="AI72" s="1479"/>
      <c r="AJ72" s="1401">
        <f>S72-AI72</f>
        <v>0</v>
      </c>
    </row>
    <row r="73" spans="1:36" s="1390" customFormat="1" ht="37" customHeight="1" x14ac:dyDescent="0.15">
      <c r="A73" s="1390">
        <v>13</v>
      </c>
      <c r="B73" s="1472" t="str">
        <f t="shared" si="0"/>
        <v>SIMP. BERINGIN - BERINGIN</v>
      </c>
      <c r="C73" s="1516" t="s">
        <v>4247</v>
      </c>
      <c r="D73" s="1426"/>
      <c r="E73" s="1429" t="s">
        <v>3058</v>
      </c>
      <c r="F73" s="1539">
        <v>907988800</v>
      </c>
      <c r="G73" s="1517" t="s">
        <v>2494</v>
      </c>
      <c r="H73" s="1518"/>
      <c r="I73" s="1518"/>
      <c r="J73" s="1519">
        <v>0</v>
      </c>
      <c r="K73" s="1517"/>
      <c r="L73" s="1519">
        <v>0</v>
      </c>
      <c r="M73" s="1518" t="s">
        <v>615</v>
      </c>
      <c r="N73" s="1517">
        <v>2017</v>
      </c>
      <c r="O73" s="1518"/>
      <c r="P73" s="1518"/>
      <c r="Q73" s="1518"/>
      <c r="R73" s="1517" t="s">
        <v>12</v>
      </c>
      <c r="S73" s="1520"/>
      <c r="T73" s="1518"/>
      <c r="U73" s="1572"/>
      <c r="V73" s="1521"/>
      <c r="W73" s="1522" t="str">
        <f>LEFT(G73,8)</f>
        <v>04.13.01</v>
      </c>
      <c r="X73" s="1478" t="str">
        <f>VLOOKUP(W73,UE,3,FALSE)</f>
        <v>Jalan</v>
      </c>
      <c r="Y73" s="1478">
        <f>VLOOKUP(W73,UE,4,FALSE)</f>
        <v>10</v>
      </c>
      <c r="Z73" s="1401"/>
      <c r="AA73" s="1444">
        <f>IF(2013-N73&gt;Y73,10,IF(2013-N73&lt;0,0,2013-N73))</f>
        <v>0</v>
      </c>
      <c r="AB73" s="1401"/>
      <c r="AC73" s="1401"/>
      <c r="AD73" s="1401"/>
      <c r="AE73" s="1401"/>
      <c r="AF73" s="1401"/>
      <c r="AG73" s="1479"/>
      <c r="AH73" s="1479"/>
      <c r="AI73" s="1479"/>
      <c r="AJ73" s="1401"/>
    </row>
    <row r="74" spans="1:36" s="1390" customFormat="1" ht="37" customHeight="1" x14ac:dyDescent="0.2">
      <c r="A74" s="1390">
        <v>15</v>
      </c>
      <c r="B74" s="1472" t="str">
        <f t="shared" si="0"/>
        <v>SIMP. CAMBAI - MUNSALO</v>
      </c>
      <c r="C74" s="1478" t="e">
        <f>RIGHT(#REF!,1)</f>
        <v>#REF!</v>
      </c>
      <c r="D74" s="1426">
        <v>12</v>
      </c>
      <c r="E74" s="1429" t="s">
        <v>5817</v>
      </c>
      <c r="F74" s="1539"/>
      <c r="G74" s="1517" t="s">
        <v>2494</v>
      </c>
      <c r="H74" s="1518"/>
      <c r="I74" s="1518" t="s">
        <v>492</v>
      </c>
      <c r="J74" s="1533">
        <v>2500</v>
      </c>
      <c r="K74" s="1517">
        <v>7</v>
      </c>
      <c r="L74" s="1519">
        <v>17500</v>
      </c>
      <c r="M74" s="1518" t="s">
        <v>610</v>
      </c>
      <c r="N74" s="1517">
        <v>2001</v>
      </c>
      <c r="O74" s="1518"/>
      <c r="P74" s="1518"/>
      <c r="Q74" s="1518" t="s">
        <v>482</v>
      </c>
      <c r="R74" s="1517" t="s">
        <v>12</v>
      </c>
      <c r="S74" s="1520">
        <f>900000000+F75</f>
        <v>1970365302.7795529</v>
      </c>
      <c r="T74" s="1517" t="s">
        <v>135</v>
      </c>
      <c r="U74" s="1572"/>
      <c r="V74" s="1521"/>
      <c r="W74" s="1478" t="str">
        <f>LEFT(G74,8)</f>
        <v>04.13.01</v>
      </c>
      <c r="X74" s="1478" t="str">
        <f>VLOOKUP(W74,UE,3,FALSE)</f>
        <v>Jalan</v>
      </c>
      <c r="Y74" s="1478">
        <f>VLOOKUP(W74,UE,4,FALSE)</f>
        <v>10</v>
      </c>
      <c r="Z74" s="1401"/>
      <c r="AA74" s="1444">
        <f>IF(2013-N74&gt;Y74,10,IF(2013-N74&lt;0,0,2013-N74))</f>
        <v>10</v>
      </c>
      <c r="AB74" s="1401">
        <f>SUM(PERHITUNGAN!U175:U181)</f>
        <v>1345182651.3897765</v>
      </c>
      <c r="AC74" s="1479">
        <f>SUMIF(PERHITUNGAN!A:A,'KIB D'!B74&amp;'KIB D'!$AC$7,PERHITUNGAN!U:U)</f>
        <v>125036530.27795529</v>
      </c>
      <c r="AD74" s="1479">
        <f>SUMIF(PERHITUNGAN!A:A,'KIB D'!B74&amp;'KIB D'!$AD$7,PERHITUNGAN!U:U)</f>
        <v>125036530.27795529</v>
      </c>
      <c r="AE74" s="1479">
        <f>SUMIF(PERHITUNGAN!A:A,'KIB D'!B74&amp;'KIB D'!$AE$7,PERHITUNGAN!U:U)</f>
        <v>125036530.27795529</v>
      </c>
      <c r="AF74" s="1479">
        <f>SUMIF(PERHITUNGAN!A:A,'KIB D'!B74&amp;'KIB D'!$AF$7,PERHITUNGAN!U:U)</f>
        <v>125036530.27795529</v>
      </c>
      <c r="AG74" s="1479">
        <f>SUMIF(PERHITUNGAN!A:A,'KIB D'!B74&amp;'KIB D'!$AG$7,PERHITUNGAN!U:U)</f>
        <v>125036530.27795529</v>
      </c>
      <c r="AH74" s="1479">
        <f>SUMIF(PERHITUNGAN!A:A,'KIB D'!B74&amp;'KIB D'!$AH$7,PERHITUNGAN!U:U)</f>
        <v>0</v>
      </c>
      <c r="AI74" s="1479">
        <f>SUM(AB74:AH74)</f>
        <v>1970365302.7795529</v>
      </c>
      <c r="AJ74" s="1401">
        <f>S74-AI74</f>
        <v>0</v>
      </c>
    </row>
    <row r="75" spans="1:36" s="1390" customFormat="1" ht="37" customHeight="1" x14ac:dyDescent="0.2">
      <c r="A75" s="1390">
        <v>15</v>
      </c>
      <c r="B75" s="1472" t="str">
        <f t="shared" si="0"/>
        <v>SIMP. CAMBAI - MUNSALO</v>
      </c>
      <c r="C75" s="1478"/>
      <c r="D75" s="1426"/>
      <c r="E75" s="1579" t="s">
        <v>5093</v>
      </c>
      <c r="F75" s="1539">
        <v>1070365302.7795529</v>
      </c>
      <c r="G75" s="1416" t="s">
        <v>2494</v>
      </c>
      <c r="H75" s="1508"/>
      <c r="I75" s="1534" t="s">
        <v>519</v>
      </c>
      <c r="J75" s="1534">
        <v>1000</v>
      </c>
      <c r="K75" s="1535"/>
      <c r="L75" s="1534">
        <v>1000</v>
      </c>
      <c r="M75" s="1534" t="s">
        <v>5092</v>
      </c>
      <c r="N75" s="1416">
        <v>2009</v>
      </c>
      <c r="O75" s="1414"/>
      <c r="P75" s="1414" t="s">
        <v>5084</v>
      </c>
      <c r="Q75" s="1414"/>
      <c r="R75" s="1523" t="s">
        <v>12</v>
      </c>
      <c r="S75" s="1529"/>
      <c r="T75" s="1416" t="s">
        <v>43</v>
      </c>
      <c r="U75" s="1427"/>
      <c r="V75" s="1477"/>
      <c r="W75" s="1478"/>
      <c r="X75" s="1478"/>
      <c r="Y75" s="1478"/>
      <c r="Z75" s="1401"/>
      <c r="AA75" s="1444"/>
      <c r="AB75" s="1401"/>
      <c r="AC75" s="1401"/>
      <c r="AD75" s="1401"/>
      <c r="AE75" s="1401"/>
      <c r="AF75" s="1401"/>
      <c r="AG75" s="1479"/>
      <c r="AH75" s="1479"/>
      <c r="AI75" s="1479"/>
      <c r="AJ75" s="1401"/>
    </row>
    <row r="76" spans="1:36" s="1390" customFormat="1" ht="37" customHeight="1" x14ac:dyDescent="0.2">
      <c r="A76" s="1390">
        <v>16</v>
      </c>
      <c r="B76" s="1472" t="str">
        <f t="shared" ref="B76:B139" si="20">VLOOKUP(A76,RUAS,2,FALSE)</f>
        <v>JL. DESA PL. BARU - SEI. KUANTAN</v>
      </c>
      <c r="C76" s="1478" t="e">
        <f>RIGHT(#REF!,1)</f>
        <v>#REF!</v>
      </c>
      <c r="D76" s="1426">
        <v>13</v>
      </c>
      <c r="E76" s="1429" t="s">
        <v>529</v>
      </c>
      <c r="F76" s="1539"/>
      <c r="G76" s="1517" t="s">
        <v>2494</v>
      </c>
      <c r="H76" s="1518"/>
      <c r="I76" s="1518" t="s">
        <v>8</v>
      </c>
      <c r="J76" s="1533" t="s">
        <v>508</v>
      </c>
      <c r="K76" s="1517">
        <v>7</v>
      </c>
      <c r="L76" s="1519">
        <v>9100</v>
      </c>
      <c r="M76" s="1518" t="s">
        <v>611</v>
      </c>
      <c r="N76" s="1517">
        <v>2001</v>
      </c>
      <c r="O76" s="1518"/>
      <c r="P76" s="1518"/>
      <c r="Q76" s="1518" t="s">
        <v>482</v>
      </c>
      <c r="R76" s="1517" t="s">
        <v>12</v>
      </c>
      <c r="S76" s="1520">
        <v>175500000</v>
      </c>
      <c r="T76" s="1517" t="s">
        <v>43</v>
      </c>
      <c r="U76" s="1572"/>
      <c r="V76" s="1521"/>
      <c r="W76" s="1478" t="str">
        <f>LEFT(G76,8)</f>
        <v>04.13.01</v>
      </c>
      <c r="X76" s="1478" t="str">
        <f>VLOOKUP(W76,UE,3,FALSE)</f>
        <v>Jalan</v>
      </c>
      <c r="Y76" s="1478">
        <f>VLOOKUP(W76,UE,4,FALSE)</f>
        <v>10</v>
      </c>
      <c r="Z76" s="1401">
        <f>S76/Y76</f>
        <v>17550000</v>
      </c>
      <c r="AA76" s="1444">
        <f>IF(2013-N76+1&gt;Y76,Y76,IF(2013-N76+1&lt;0,0,2013-N76+1))</f>
        <v>10</v>
      </c>
      <c r="AB76" s="1401">
        <f>IF(AA76&gt;Y76,S76,Z76*AA76)</f>
        <v>175500000</v>
      </c>
      <c r="AC76" s="1401">
        <f>IF(S76=AB76,0,Z76)</f>
        <v>0</v>
      </c>
      <c r="AD76" s="1401">
        <f>IF(S76=AB76+AC76,0,Z76)</f>
        <v>0</v>
      </c>
      <c r="AE76" s="1401">
        <f>IF(S76=AB76+AC76+AD76,0,Z76)</f>
        <v>0</v>
      </c>
      <c r="AF76" s="1401">
        <f>IF(S76=AC76+AD76+AE76+AB76,0,Z76)</f>
        <v>0</v>
      </c>
      <c r="AG76" s="1479">
        <f>IF(S76=AC76+AD76+AE76+AB76+AF76,0,Z76)</f>
        <v>0</v>
      </c>
      <c r="AH76" s="1479">
        <f>IF(S76=AC76+AD76+AE76+AB76+AF76+AG76,0,Z76)</f>
        <v>0</v>
      </c>
      <c r="AI76" s="1479">
        <f>SUM(AB76:AH76)</f>
        <v>175500000</v>
      </c>
      <c r="AJ76" s="1401">
        <f>S76-AI76</f>
        <v>0</v>
      </c>
    </row>
    <row r="77" spans="1:36" s="1390" customFormat="1" ht="37" customHeight="1" x14ac:dyDescent="0.15">
      <c r="A77" s="1390">
        <v>17</v>
      </c>
      <c r="B77" s="1472" t="str">
        <f t="shared" si="20"/>
        <v>SINAMBEK - STADION OLAHRAGA</v>
      </c>
      <c r="C77" s="1516" t="s">
        <v>4247</v>
      </c>
      <c r="D77" s="1426">
        <v>14</v>
      </c>
      <c r="E77" s="1429" t="s">
        <v>5818</v>
      </c>
      <c r="F77" s="1539"/>
      <c r="G77" s="1517" t="s">
        <v>2494</v>
      </c>
      <c r="H77" s="1518"/>
      <c r="I77" s="1518" t="s">
        <v>492</v>
      </c>
      <c r="J77" s="1533" t="s">
        <v>490</v>
      </c>
      <c r="K77" s="1517">
        <v>20</v>
      </c>
      <c r="L77" s="1519">
        <v>50000</v>
      </c>
      <c r="M77" s="1518" t="s">
        <v>612</v>
      </c>
      <c r="N77" s="1517">
        <v>2001</v>
      </c>
      <c r="O77" s="1518"/>
      <c r="P77" s="1518"/>
      <c r="Q77" s="1518" t="s">
        <v>482</v>
      </c>
      <c r="R77" s="1517" t="s">
        <v>12</v>
      </c>
      <c r="S77" s="1520">
        <f>675000000+F79+F80+F81+F78</f>
        <v>12364452009.60512</v>
      </c>
      <c r="T77" s="1517" t="s">
        <v>43</v>
      </c>
      <c r="U77" s="1572"/>
      <c r="V77" s="1521"/>
      <c r="W77" s="1522" t="str">
        <f>LEFT(G77,8)</f>
        <v>04.13.01</v>
      </c>
      <c r="X77" s="1478" t="str">
        <f>VLOOKUP(W77,UE,3,FALSE)</f>
        <v>Jalan</v>
      </c>
      <c r="Y77" s="1478">
        <f>VLOOKUP(W77,UE,4,FALSE)</f>
        <v>10</v>
      </c>
      <c r="Z77" s="1401"/>
      <c r="AA77" s="1444">
        <f>IF(2013-N77&gt;Y77,10,IF(2013-N77&lt;0,0,2013-N77))</f>
        <v>10</v>
      </c>
      <c r="AB77" s="1401">
        <f>SUM(PERHITUNGAN!U197:U203)</f>
        <v>4773574318.6328945</v>
      </c>
      <c r="AC77" s="1479">
        <f>SUMIF(PERHITUNGAN!A:A,'KIB D'!B77&amp;'KIB D'!$AC$7,PERHITUNGAN!U:U)</f>
        <v>821962743.99691391</v>
      </c>
      <c r="AD77" s="1479">
        <f>SUMIF(PERHITUNGAN!A:A,'KIB D'!B77&amp;'KIB D'!$AD$7,PERHITUNGAN!U:U)</f>
        <v>676891494.6975311</v>
      </c>
      <c r="AE77" s="1479">
        <f>SUMIF(PERHITUNGAN!A:A,'KIB D'!B77&amp;'KIB D'!$AE$7,PERHITUNGAN!U:U)</f>
        <v>676891494.6975311</v>
      </c>
      <c r="AF77" s="1479">
        <f>SUMIF(PERHITUNGAN!A:A,'KIB D'!B77&amp;'KIB D'!$AF$7,PERHITUNGAN!U:U)</f>
        <v>676891494.6975311</v>
      </c>
      <c r="AG77" s="1479">
        <f>SUMIF(PERHITUNGAN!A:A,'KIB D'!B77&amp;'KIB D'!$AG$7,PERHITUNGAN!U:U)</f>
        <v>676891494.6975311</v>
      </c>
      <c r="AH77" s="1479">
        <f>SUMIF(PERHITUNGAN!A:A,'KIB D'!B77&amp;'KIB D'!$AH$7,PERHITUNGAN!U:U)</f>
        <v>676891494.6975311</v>
      </c>
      <c r="AI77" s="1479">
        <f>SUM(AB77:AH77)</f>
        <v>8979994536.1174622</v>
      </c>
      <c r="AJ77" s="1401">
        <f>S77-AI77</f>
        <v>3384457473.4876575</v>
      </c>
    </row>
    <row r="78" spans="1:36" s="1390" customFormat="1" ht="37" customHeight="1" x14ac:dyDescent="0.2">
      <c r="A78" s="1390">
        <v>17</v>
      </c>
      <c r="B78" s="1472" t="str">
        <f t="shared" si="20"/>
        <v>SINAMBEK - STADION OLAHRAGA</v>
      </c>
      <c r="C78" s="1478"/>
      <c r="D78" s="1426"/>
      <c r="E78" s="1580" t="s">
        <v>5094</v>
      </c>
      <c r="F78" s="1539">
        <v>10736337149.30512</v>
      </c>
      <c r="G78" s="1416" t="s">
        <v>2494</v>
      </c>
      <c r="H78" s="1508"/>
      <c r="I78" s="1531" t="s">
        <v>519</v>
      </c>
      <c r="J78" s="1531">
        <v>1480</v>
      </c>
      <c r="K78" s="1532"/>
      <c r="L78" s="1531"/>
      <c r="M78" s="1536" t="s">
        <v>3135</v>
      </c>
      <c r="N78" s="1416">
        <v>2010</v>
      </c>
      <c r="O78" s="1414"/>
      <c r="P78" s="1414" t="s">
        <v>5084</v>
      </c>
      <c r="Q78" s="1414"/>
      <c r="R78" s="1523" t="s">
        <v>12</v>
      </c>
      <c r="S78" s="1529"/>
      <c r="T78" s="1416" t="s">
        <v>43</v>
      </c>
      <c r="U78" s="1427"/>
      <c r="V78" s="1477"/>
      <c r="W78" s="1478"/>
      <c r="X78" s="1478"/>
      <c r="Y78" s="1478"/>
      <c r="Z78" s="1401"/>
      <c r="AA78" s="1444"/>
      <c r="AB78" s="1401"/>
      <c r="AC78" s="1401"/>
      <c r="AD78" s="1401"/>
      <c r="AE78" s="1401"/>
      <c r="AF78" s="1401"/>
      <c r="AG78" s="1479"/>
      <c r="AH78" s="1479"/>
      <c r="AI78" s="1479"/>
      <c r="AJ78" s="1401"/>
    </row>
    <row r="79" spans="1:36" s="1390" customFormat="1" ht="37" customHeight="1" x14ac:dyDescent="0.15">
      <c r="A79" s="1390">
        <v>17</v>
      </c>
      <c r="B79" s="1472" t="str">
        <f t="shared" si="20"/>
        <v>SINAMBEK - STADION OLAHRAGA</v>
      </c>
      <c r="C79" s="1516" t="s">
        <v>4247</v>
      </c>
      <c r="D79" s="1426"/>
      <c r="E79" s="1429" t="s">
        <v>1227</v>
      </c>
      <c r="F79" s="1539">
        <v>562181911.29999995</v>
      </c>
      <c r="G79" s="1517" t="s">
        <v>2494</v>
      </c>
      <c r="H79" s="1518"/>
      <c r="I79" s="1518" t="s">
        <v>519</v>
      </c>
      <c r="J79" s="1519">
        <v>0</v>
      </c>
      <c r="K79" s="1517"/>
      <c r="L79" s="1519">
        <v>1447</v>
      </c>
      <c r="M79" s="1518" t="s">
        <v>3135</v>
      </c>
      <c r="N79" s="1517">
        <v>2011</v>
      </c>
      <c r="O79" s="1518"/>
      <c r="P79" s="1518"/>
      <c r="Q79" s="1518"/>
      <c r="R79" s="1517" t="s">
        <v>12</v>
      </c>
      <c r="S79" s="1520"/>
      <c r="T79" s="1517" t="s">
        <v>43</v>
      </c>
      <c r="U79" s="1572"/>
      <c r="V79" s="1521"/>
      <c r="W79" s="1522" t="str">
        <f t="shared" ref="W79:W93" si="21">LEFT(G79,8)</f>
        <v>04.13.01</v>
      </c>
      <c r="X79" s="1478" t="str">
        <f t="shared" ref="X79:X93" si="22">VLOOKUP(W79,UE,3,FALSE)</f>
        <v>Jalan</v>
      </c>
      <c r="Y79" s="1478">
        <f t="shared" ref="Y79:Y93" si="23">VLOOKUP(W79,UE,4,FALSE)</f>
        <v>10</v>
      </c>
      <c r="Z79" s="1401"/>
      <c r="AA79" s="1444">
        <f>IF(2013-N79&gt;Y79,10,IF(2013-N79&lt;0,0,2013-N79))</f>
        <v>2</v>
      </c>
      <c r="AB79" s="1401"/>
      <c r="AC79" s="1401"/>
      <c r="AD79" s="1401"/>
      <c r="AE79" s="1401"/>
      <c r="AF79" s="1401"/>
      <c r="AG79" s="1479"/>
      <c r="AH79" s="1479"/>
      <c r="AI79" s="1479"/>
      <c r="AJ79" s="1401">
        <f>S79-AI79</f>
        <v>0</v>
      </c>
    </row>
    <row r="80" spans="1:36" s="1390" customFormat="1" ht="37" customHeight="1" x14ac:dyDescent="0.15">
      <c r="A80" s="1390">
        <v>17</v>
      </c>
      <c r="B80" s="1472" t="str">
        <f t="shared" si="20"/>
        <v>SINAMBEK - STADION OLAHRAGA</v>
      </c>
      <c r="C80" s="1516" t="s">
        <v>4247</v>
      </c>
      <c r="D80" s="1426"/>
      <c r="E80" s="1429" t="s">
        <v>1302</v>
      </c>
      <c r="F80" s="1539">
        <v>197719954</v>
      </c>
      <c r="G80" s="1517" t="s">
        <v>2494</v>
      </c>
      <c r="H80" s="1518"/>
      <c r="I80" s="1518"/>
      <c r="J80" s="1519">
        <v>0</v>
      </c>
      <c r="K80" s="1517"/>
      <c r="L80" s="1519">
        <v>0</v>
      </c>
      <c r="M80" s="1518" t="s">
        <v>3181</v>
      </c>
      <c r="N80" s="1517">
        <v>2014</v>
      </c>
      <c r="O80" s="1518"/>
      <c r="P80" s="1518"/>
      <c r="Q80" s="1518"/>
      <c r="R80" s="1517" t="s">
        <v>12</v>
      </c>
      <c r="S80" s="1520"/>
      <c r="T80" s="1518"/>
      <c r="U80" s="1572"/>
      <c r="V80" s="1521"/>
      <c r="W80" s="1522" t="str">
        <f t="shared" si="21"/>
        <v>04.13.01</v>
      </c>
      <c r="X80" s="1478" t="str">
        <f t="shared" si="22"/>
        <v>Jalan</v>
      </c>
      <c r="Y80" s="1478">
        <f t="shared" si="23"/>
        <v>10</v>
      </c>
      <c r="Z80" s="1401"/>
      <c r="AA80" s="1444">
        <f>IF(2013-N80&gt;Y80,10,IF(2013-N80&lt;0,0,2013-N80))</f>
        <v>0</v>
      </c>
      <c r="AB80" s="1401"/>
      <c r="AC80" s="1401"/>
      <c r="AD80" s="1401"/>
      <c r="AE80" s="1401"/>
      <c r="AF80" s="1401"/>
      <c r="AG80" s="1479"/>
      <c r="AH80" s="1479"/>
      <c r="AI80" s="1479"/>
      <c r="AJ80" s="1401"/>
    </row>
    <row r="81" spans="1:36" s="1390" customFormat="1" ht="37" customHeight="1" x14ac:dyDescent="0.15">
      <c r="A81" s="1390">
        <v>17</v>
      </c>
      <c r="B81" s="1472" t="str">
        <f t="shared" si="20"/>
        <v>SINAMBEK - STADION OLAHRAGA</v>
      </c>
      <c r="C81" s="1516" t="s">
        <v>4247</v>
      </c>
      <c r="D81" s="1426"/>
      <c r="E81" s="1429" t="s">
        <v>1401</v>
      </c>
      <c r="F81" s="1539">
        <v>193212995</v>
      </c>
      <c r="G81" s="1517" t="s">
        <v>2494</v>
      </c>
      <c r="H81" s="1518"/>
      <c r="I81" s="1518"/>
      <c r="J81" s="1519">
        <v>0</v>
      </c>
      <c r="K81" s="1517"/>
      <c r="L81" s="1519">
        <v>0</v>
      </c>
      <c r="M81" s="1518" t="s">
        <v>3238</v>
      </c>
      <c r="N81" s="1517">
        <v>2015</v>
      </c>
      <c r="O81" s="1518"/>
      <c r="P81" s="1518"/>
      <c r="Q81" s="1518"/>
      <c r="R81" s="1517" t="s">
        <v>12</v>
      </c>
      <c r="S81" s="1520"/>
      <c r="T81" s="1518"/>
      <c r="U81" s="1572"/>
      <c r="V81" s="1521"/>
      <c r="W81" s="1522" t="str">
        <f t="shared" si="21"/>
        <v>04.13.01</v>
      </c>
      <c r="X81" s="1478" t="str">
        <f t="shared" si="22"/>
        <v>Jalan</v>
      </c>
      <c r="Y81" s="1478">
        <f t="shared" si="23"/>
        <v>10</v>
      </c>
      <c r="Z81" s="1401"/>
      <c r="AA81" s="1444">
        <f>IF(2013-N81&gt;Y81,10,IF(2013-N81&lt;0,0,2013-N81))</f>
        <v>0</v>
      </c>
      <c r="AB81" s="1401"/>
      <c r="AC81" s="1401"/>
      <c r="AD81" s="1401"/>
      <c r="AE81" s="1401"/>
      <c r="AF81" s="1401"/>
      <c r="AG81" s="1479"/>
      <c r="AH81" s="1479"/>
      <c r="AI81" s="1479"/>
      <c r="AJ81" s="1401"/>
    </row>
    <row r="82" spans="1:36" s="1390" customFormat="1" ht="37" customHeight="1" x14ac:dyDescent="0.2">
      <c r="A82" s="1390">
        <v>18</v>
      </c>
      <c r="B82" s="1472" t="str">
        <f t="shared" si="20"/>
        <v>JL. DESA PL. KOPUNG - SEI. KUANTAN</v>
      </c>
      <c r="C82" s="1478" t="e">
        <f>RIGHT(#REF!,1)</f>
        <v>#REF!</v>
      </c>
      <c r="D82" s="1426">
        <v>15</v>
      </c>
      <c r="E82" s="1429" t="s">
        <v>5819</v>
      </c>
      <c r="F82" s="1539"/>
      <c r="G82" s="1517" t="s">
        <v>2494</v>
      </c>
      <c r="H82" s="1518"/>
      <c r="I82" s="1518" t="s">
        <v>492</v>
      </c>
      <c r="J82" s="1533">
        <v>2000</v>
      </c>
      <c r="K82" s="1517">
        <v>7</v>
      </c>
      <c r="L82" s="1519">
        <v>14000</v>
      </c>
      <c r="M82" s="1518" t="s">
        <v>606</v>
      </c>
      <c r="N82" s="1517">
        <v>2001</v>
      </c>
      <c r="O82" s="1518"/>
      <c r="P82" s="1518"/>
      <c r="Q82" s="1518" t="s">
        <v>482</v>
      </c>
      <c r="R82" s="1517" t="s">
        <v>12</v>
      </c>
      <c r="S82" s="1520">
        <f>540000000+F83</f>
        <v>734299755</v>
      </c>
      <c r="T82" s="1517" t="s">
        <v>43</v>
      </c>
      <c r="U82" s="1572"/>
      <c r="V82" s="1521"/>
      <c r="W82" s="1478" t="str">
        <f t="shared" si="21"/>
        <v>04.13.01</v>
      </c>
      <c r="X82" s="1478" t="str">
        <f t="shared" si="22"/>
        <v>Jalan</v>
      </c>
      <c r="Y82" s="1478">
        <f t="shared" si="23"/>
        <v>10</v>
      </c>
      <c r="Z82" s="1401"/>
      <c r="AA82" s="1444">
        <f>IF(2013-N82&gt;Y82,10,IF(2013-N82&lt;0,0,2013-N82))</f>
        <v>10</v>
      </c>
      <c r="AB82" s="1401">
        <f>SUM(PERHITUNGAN!U218:U222)</f>
        <v>540000000</v>
      </c>
      <c r="AC82" s="1479">
        <f>SUMIF(PERHITUNGAN!A:A,'KIB D'!B82&amp;'KIB D'!$AC$7,PERHITUNGAN!U:U)</f>
        <v>0</v>
      </c>
      <c r="AD82" s="1479">
        <f>SUMIF(PERHITUNGAN!A:A,'KIB D'!B82&amp;'KIB D'!$AD$7,PERHITUNGAN!U:U)</f>
        <v>19429975.5</v>
      </c>
      <c r="AE82" s="1479">
        <f>SUMIF(PERHITUNGAN!A:A,'KIB D'!B82&amp;'KIB D'!$AE$7,PERHITUNGAN!U:U)</f>
        <v>19429975.5</v>
      </c>
      <c r="AF82" s="1479">
        <f>SUMIF(PERHITUNGAN!A:A,'KIB D'!B82&amp;'KIB D'!$AF$7,PERHITUNGAN!U:U)</f>
        <v>19429975.5</v>
      </c>
      <c r="AG82" s="1479">
        <f>SUMIF(PERHITUNGAN!A:A,'KIB D'!B82&amp;'KIB D'!$AG$7,PERHITUNGAN!U:U)</f>
        <v>19429975.5</v>
      </c>
      <c r="AH82" s="1479">
        <f>SUMIF(PERHITUNGAN!A:A,'KIB D'!B82&amp;'KIB D'!$AH$7,PERHITUNGAN!U:U)</f>
        <v>19429975.5</v>
      </c>
      <c r="AI82" s="1479">
        <f>SUM(AB82:AH82)</f>
        <v>637149877.5</v>
      </c>
      <c r="AJ82" s="1401">
        <f t="shared" ref="AJ82:AJ93" si="24">S82-AI82</f>
        <v>97149877.5</v>
      </c>
    </row>
    <row r="83" spans="1:36" s="1390" customFormat="1" ht="37" customHeight="1" x14ac:dyDescent="0.2">
      <c r="A83" s="1390">
        <v>18</v>
      </c>
      <c r="B83" s="1472" t="str">
        <f t="shared" si="20"/>
        <v>JL. DESA PL. KOPUNG - SEI. KUANTAN</v>
      </c>
      <c r="C83" s="1478" t="e">
        <f>RIGHT(#REF!,1)</f>
        <v>#REF!</v>
      </c>
      <c r="D83" s="1426"/>
      <c r="E83" s="1429" t="s">
        <v>1390</v>
      </c>
      <c r="F83" s="1529">
        <v>194299755</v>
      </c>
      <c r="G83" s="1501" t="s">
        <v>2494</v>
      </c>
      <c r="H83" s="1501"/>
      <c r="I83" s="1414"/>
      <c r="J83" s="1526"/>
      <c r="K83" s="1416"/>
      <c r="L83" s="1430"/>
      <c r="M83" s="1429" t="s">
        <v>3230</v>
      </c>
      <c r="N83" s="1501">
        <v>2015</v>
      </c>
      <c r="O83" s="1414"/>
      <c r="P83" s="1414"/>
      <c r="Q83" s="1414"/>
      <c r="R83" s="1501" t="s">
        <v>12</v>
      </c>
      <c r="S83" s="1527"/>
      <c r="T83" s="1528"/>
      <c r="U83" s="1575"/>
      <c r="V83" s="1490"/>
      <c r="W83" s="1478" t="str">
        <f t="shared" si="21"/>
        <v>04.13.01</v>
      </c>
      <c r="X83" s="1478" t="str">
        <f t="shared" si="22"/>
        <v>Jalan</v>
      </c>
      <c r="Y83" s="1478">
        <f t="shared" si="23"/>
        <v>10</v>
      </c>
      <c r="Z83" s="1401"/>
      <c r="AA83" s="1444"/>
      <c r="AB83" s="1401"/>
      <c r="AC83" s="1401"/>
      <c r="AD83" s="1401"/>
      <c r="AE83" s="1401"/>
      <c r="AF83" s="1401"/>
      <c r="AG83" s="1479"/>
      <c r="AH83" s="1479"/>
      <c r="AI83" s="1479"/>
      <c r="AJ83" s="1401">
        <f t="shared" si="24"/>
        <v>0</v>
      </c>
    </row>
    <row r="84" spans="1:36" s="1390" customFormat="1" ht="37" customHeight="1" x14ac:dyDescent="0.2">
      <c r="A84" s="1390">
        <v>19</v>
      </c>
      <c r="B84" s="1472" t="str">
        <f t="shared" si="20"/>
        <v>KEBUN NENAS - PERKANTORAN PEMDA</v>
      </c>
      <c r="C84" s="1478" t="e">
        <f>RIGHT(#REF!,1)</f>
        <v>#REF!</v>
      </c>
      <c r="D84" s="1426">
        <v>16</v>
      </c>
      <c r="E84" s="1429" t="s">
        <v>529</v>
      </c>
      <c r="F84" s="1539"/>
      <c r="G84" s="1517" t="s">
        <v>2494</v>
      </c>
      <c r="H84" s="1518"/>
      <c r="I84" s="1518" t="s">
        <v>492</v>
      </c>
      <c r="J84" s="1533">
        <v>6000</v>
      </c>
      <c r="K84" s="1517">
        <v>20</v>
      </c>
      <c r="L84" s="1519">
        <v>120000</v>
      </c>
      <c r="M84" s="1518" t="s">
        <v>607</v>
      </c>
      <c r="N84" s="1517">
        <v>2001</v>
      </c>
      <c r="O84" s="1518"/>
      <c r="P84" s="1518"/>
      <c r="Q84" s="1518" t="s">
        <v>482</v>
      </c>
      <c r="R84" s="1517" t="s">
        <v>12</v>
      </c>
      <c r="S84" s="1520">
        <v>1620000000</v>
      </c>
      <c r="T84" s="1517" t="s">
        <v>43</v>
      </c>
      <c r="U84" s="1572"/>
      <c r="V84" s="1521"/>
      <c r="W84" s="1478" t="str">
        <f t="shared" si="21"/>
        <v>04.13.01</v>
      </c>
      <c r="X84" s="1478" t="str">
        <f t="shared" si="22"/>
        <v>Jalan</v>
      </c>
      <c r="Y84" s="1478">
        <f t="shared" si="23"/>
        <v>10</v>
      </c>
      <c r="Z84" s="1401">
        <f>S84/Y84</f>
        <v>162000000</v>
      </c>
      <c r="AA84" s="1444">
        <f>IF(2013-N84+1&gt;Y84,Y84,IF(2013-N84+1&lt;0,0,2013-N84+1))</f>
        <v>10</v>
      </c>
      <c r="AB84" s="1401">
        <f>IF(AA84&gt;Y84,S84,Z84*AA84)</f>
        <v>1620000000</v>
      </c>
      <c r="AC84" s="1401">
        <f>IF(S84=AB84,0,Z84)</f>
        <v>0</v>
      </c>
      <c r="AD84" s="1401">
        <f>IF(S84=AB84+AC84,0,Z84)</f>
        <v>0</v>
      </c>
      <c r="AE84" s="1401">
        <f>IF(S84=AB84+AC84+AD84,0,Z84)</f>
        <v>0</v>
      </c>
      <c r="AF84" s="1401">
        <f>IF(S84=AC84+AD84+AE84+AB84,0,Z84)</f>
        <v>0</v>
      </c>
      <c r="AG84" s="1479">
        <f>IF(S84=AC84+AD84+AE84+AB84+AF84,0,Z84)</f>
        <v>0</v>
      </c>
      <c r="AH84" s="1479">
        <f>IF(S84=AC84+AD84+AE84+AB84+AF84+AG84,0,Z84)</f>
        <v>0</v>
      </c>
      <c r="AI84" s="1479">
        <f t="shared" ref="AI84:AI89" si="25">SUM(AB84:AH84)</f>
        <v>1620000000</v>
      </c>
      <c r="AJ84" s="1401">
        <f t="shared" si="24"/>
        <v>0</v>
      </c>
    </row>
    <row r="85" spans="1:36" s="1390" customFormat="1" ht="37" customHeight="1" x14ac:dyDescent="0.2">
      <c r="A85" s="1390">
        <v>20</v>
      </c>
      <c r="B85" s="1472" t="str">
        <f t="shared" si="20"/>
        <v>DESA KOTO TUO - SEI. KUANTAN</v>
      </c>
      <c r="C85" s="1478" t="e">
        <f>RIGHT(#REF!,1)</f>
        <v>#REF!</v>
      </c>
      <c r="D85" s="1426">
        <v>17</v>
      </c>
      <c r="E85" s="1429" t="s">
        <v>529</v>
      </c>
      <c r="F85" s="1539"/>
      <c r="G85" s="1517" t="s">
        <v>2494</v>
      </c>
      <c r="H85" s="1518"/>
      <c r="I85" s="1518" t="s">
        <v>492</v>
      </c>
      <c r="J85" s="1533">
        <v>2000</v>
      </c>
      <c r="K85" s="1517">
        <v>8</v>
      </c>
      <c r="L85" s="1519">
        <v>16000</v>
      </c>
      <c r="M85" s="1518" t="s">
        <v>608</v>
      </c>
      <c r="N85" s="1517">
        <v>2001</v>
      </c>
      <c r="O85" s="1518"/>
      <c r="P85" s="1518"/>
      <c r="Q85" s="1518" t="s">
        <v>482</v>
      </c>
      <c r="R85" s="1517" t="s">
        <v>12</v>
      </c>
      <c r="S85" s="1520">
        <v>540000000</v>
      </c>
      <c r="T85" s="1517" t="s">
        <v>43</v>
      </c>
      <c r="U85" s="1572"/>
      <c r="V85" s="1521"/>
      <c r="W85" s="1478" t="str">
        <f t="shared" si="21"/>
        <v>04.13.01</v>
      </c>
      <c r="X85" s="1478" t="str">
        <f t="shared" si="22"/>
        <v>Jalan</v>
      </c>
      <c r="Y85" s="1478">
        <f t="shared" si="23"/>
        <v>10</v>
      </c>
      <c r="Z85" s="1401">
        <f>S85/Y85</f>
        <v>54000000</v>
      </c>
      <c r="AA85" s="1444">
        <f>IF(2013-N85+1&gt;Y85,Y85,IF(2013-N85+1&lt;0,0,2013-N85+1))</f>
        <v>10</v>
      </c>
      <c r="AB85" s="1401">
        <f>IF(AA85&gt;Y85,S85,Z85*AA85)</f>
        <v>540000000</v>
      </c>
      <c r="AC85" s="1401">
        <f>IF(S85=AB85,0,Z85)</f>
        <v>0</v>
      </c>
      <c r="AD85" s="1401">
        <f>IF(S85=AB85+AC85,0,Z85)</f>
        <v>0</v>
      </c>
      <c r="AE85" s="1401">
        <f>IF(S85=AB85+AC85+AD85,0,Z85)</f>
        <v>0</v>
      </c>
      <c r="AF85" s="1401">
        <f>IF(S85=AC85+AD85+AE85+AB85,0,Z85)</f>
        <v>0</v>
      </c>
      <c r="AG85" s="1479">
        <f>IF(S85=AC85+AD85+AE85+AB85+AF85,0,Z85)</f>
        <v>0</v>
      </c>
      <c r="AH85" s="1479">
        <f>IF(S85=AC85+AD85+AE85+AB85+AF85+AG85,0,Z85)</f>
        <v>0</v>
      </c>
      <c r="AI85" s="1479">
        <f t="shared" si="25"/>
        <v>540000000</v>
      </c>
      <c r="AJ85" s="1401">
        <f t="shared" si="24"/>
        <v>0</v>
      </c>
    </row>
    <row r="86" spans="1:36" s="1390" customFormat="1" ht="37" customHeight="1" x14ac:dyDescent="0.2">
      <c r="A86" s="1390">
        <v>21</v>
      </c>
      <c r="B86" s="1472" t="str">
        <f t="shared" si="20"/>
        <v>SIMP. PERKANTORAN PEMDA - BUNDARAN DPRD</v>
      </c>
      <c r="C86" s="1478" t="e">
        <f>RIGHT(#REF!,1)</f>
        <v>#REF!</v>
      </c>
      <c r="D86" s="1426">
        <v>18</v>
      </c>
      <c r="E86" s="1429" t="s">
        <v>529</v>
      </c>
      <c r="F86" s="1539"/>
      <c r="G86" s="1517" t="s">
        <v>2494</v>
      </c>
      <c r="H86" s="1518"/>
      <c r="I86" s="1518" t="s">
        <v>479</v>
      </c>
      <c r="J86" s="1533">
        <v>1900</v>
      </c>
      <c r="K86" s="1517">
        <v>16</v>
      </c>
      <c r="L86" s="1519">
        <v>30400</v>
      </c>
      <c r="M86" s="1518" t="s">
        <v>603</v>
      </c>
      <c r="N86" s="1517">
        <v>2001</v>
      </c>
      <c r="O86" s="1518"/>
      <c r="P86" s="1518"/>
      <c r="Q86" s="1518" t="s">
        <v>482</v>
      </c>
      <c r="R86" s="1517" t="s">
        <v>12</v>
      </c>
      <c r="S86" s="1520">
        <v>3890250000</v>
      </c>
      <c r="T86" s="1517" t="s">
        <v>43</v>
      </c>
      <c r="U86" s="1572"/>
      <c r="V86" s="1521"/>
      <c r="W86" s="1478" t="str">
        <f t="shared" si="21"/>
        <v>04.13.01</v>
      </c>
      <c r="X86" s="1478" t="str">
        <f t="shared" si="22"/>
        <v>Jalan</v>
      </c>
      <c r="Y86" s="1478">
        <f t="shared" si="23"/>
        <v>10</v>
      </c>
      <c r="Z86" s="1401">
        <f>S86/Y86</f>
        <v>389025000</v>
      </c>
      <c r="AA86" s="1444">
        <f>IF(2013-N86+1&gt;Y86,Y86,IF(2013-N86+1&lt;0,0,2013-N86+1))</f>
        <v>10</v>
      </c>
      <c r="AB86" s="1401">
        <f>IF(AA86&gt;Y86,S86,Z86*AA86)</f>
        <v>3890250000</v>
      </c>
      <c r="AC86" s="1401">
        <f>IF(S86=AB86,0,Z86)</f>
        <v>0</v>
      </c>
      <c r="AD86" s="1401">
        <f>IF(S86=AB86+AC86,0,Z86)</f>
        <v>0</v>
      </c>
      <c r="AE86" s="1401">
        <f>IF(S86=AB86+AC86+AD86,0,Z86)</f>
        <v>0</v>
      </c>
      <c r="AF86" s="1401">
        <f>IF(S86=AC86+AD86+AE86+AB86,0,Z86)</f>
        <v>0</v>
      </c>
      <c r="AG86" s="1479">
        <f>IF(S86=AC86+AD86+AE86+AB86+AF86,0,Z86)</f>
        <v>0</v>
      </c>
      <c r="AH86" s="1479">
        <f>IF(S86=AC86+AD86+AE86+AB86+AF86+AG86,0,Z86)</f>
        <v>0</v>
      </c>
      <c r="AI86" s="1479">
        <f t="shared" si="25"/>
        <v>3890250000</v>
      </c>
      <c r="AJ86" s="1401">
        <f t="shared" si="24"/>
        <v>0</v>
      </c>
    </row>
    <row r="87" spans="1:36" s="1390" customFormat="1" ht="37" customHeight="1" x14ac:dyDescent="0.2">
      <c r="A87" s="1390">
        <v>21</v>
      </c>
      <c r="B87" s="1472" t="str">
        <f t="shared" si="20"/>
        <v>SIMP. PERKANTORAN PEMDA - BUNDARAN DPRD</v>
      </c>
      <c r="C87" s="1478" t="e">
        <f>RIGHT(#REF!,1)</f>
        <v>#REF!</v>
      </c>
      <c r="D87" s="1426">
        <v>19</v>
      </c>
      <c r="E87" s="1429" t="s">
        <v>1239</v>
      </c>
      <c r="F87" s="1539"/>
      <c r="G87" s="1517" t="s">
        <v>2494</v>
      </c>
      <c r="H87" s="1508"/>
      <c r="I87" s="1416" t="s">
        <v>519</v>
      </c>
      <c r="J87" s="1512"/>
      <c r="K87" s="1416"/>
      <c r="L87" s="1500"/>
      <c r="M87" s="1429" t="s">
        <v>3143</v>
      </c>
      <c r="N87" s="1416">
        <v>2012</v>
      </c>
      <c r="O87" s="1414"/>
      <c r="P87" s="1414"/>
      <c r="Q87" s="1414"/>
      <c r="R87" s="1416" t="s">
        <v>12</v>
      </c>
      <c r="S87" s="1529">
        <v>1636229063.0043535</v>
      </c>
      <c r="T87" s="1416" t="s">
        <v>43</v>
      </c>
      <c r="U87" s="1427"/>
      <c r="V87" s="1477"/>
      <c r="W87" s="1478" t="str">
        <f t="shared" si="21"/>
        <v>04.13.01</v>
      </c>
      <c r="X87" s="1478" t="str">
        <f t="shared" si="22"/>
        <v>Jalan</v>
      </c>
      <c r="Y87" s="1478">
        <f t="shared" si="23"/>
        <v>10</v>
      </c>
      <c r="Z87" s="1401">
        <f>S87/Y87</f>
        <v>163622906.30043536</v>
      </c>
      <c r="AA87" s="1444">
        <f>IF(2013-N87+1&gt;Y87,Y87,IF(2013-N87+1&lt;0,0,2013-N87+1))</f>
        <v>2</v>
      </c>
      <c r="AB87" s="1401">
        <f>IF(AA87&gt;Y87,S87,Z87*AA87)</f>
        <v>327245812.60087073</v>
      </c>
      <c r="AC87" s="1401">
        <f>IF(S87=AB87,0,Z87)</f>
        <v>163622906.30043536</v>
      </c>
      <c r="AD87" s="1401">
        <f>IF(S87=AB87+AC87,0,Z87)</f>
        <v>163622906.30043536</v>
      </c>
      <c r="AE87" s="1401">
        <f>IF(S87=AB87+AC87+AD87,0,Z87)</f>
        <v>163622906.30043536</v>
      </c>
      <c r="AF87" s="1401">
        <f>IF(S87=AC87+AD87+AE87+AB87,0,Z87)</f>
        <v>163622906.30043536</v>
      </c>
      <c r="AG87" s="1479">
        <f>IF(S87=AC87+AD87+AE87+AB87+AF87,0,Z87)</f>
        <v>163622906.30043536</v>
      </c>
      <c r="AH87" s="1479">
        <f>IF(S87=AC87+AD87+AE87+AB87+AF87+AG87,0,Z87)</f>
        <v>163622906.30043536</v>
      </c>
      <c r="AI87" s="1479">
        <f t="shared" si="25"/>
        <v>1308983250.4034827</v>
      </c>
      <c r="AJ87" s="1401">
        <f t="shared" si="24"/>
        <v>327245812.60087085</v>
      </c>
    </row>
    <row r="88" spans="1:36" s="1390" customFormat="1" ht="37" customHeight="1" x14ac:dyDescent="0.2">
      <c r="A88" s="1390">
        <v>23</v>
      </c>
      <c r="B88" s="1472" t="str">
        <f t="shared" si="20"/>
        <v>KP. BARU SENTAJO - RIMBO GAJAH MATI</v>
      </c>
      <c r="C88" s="1478"/>
      <c r="D88" s="1426">
        <v>20</v>
      </c>
      <c r="E88" s="1573" t="s">
        <v>5095</v>
      </c>
      <c r="F88" s="1539"/>
      <c r="G88" s="1517" t="s">
        <v>2494</v>
      </c>
      <c r="H88" s="1508"/>
      <c r="I88" s="1416"/>
      <c r="J88" s="1512"/>
      <c r="K88" s="1416"/>
      <c r="L88" s="1525">
        <v>3700</v>
      </c>
      <c r="M88" s="1523" t="s">
        <v>616</v>
      </c>
      <c r="N88" s="1416">
        <v>2008</v>
      </c>
      <c r="O88" s="1414"/>
      <c r="P88" s="1523" t="s">
        <v>5084</v>
      </c>
      <c r="Q88" s="1523"/>
      <c r="R88" s="1523" t="s">
        <v>12</v>
      </c>
      <c r="S88" s="1524">
        <v>649551164.97330594</v>
      </c>
      <c r="T88" s="1525" t="s">
        <v>43</v>
      </c>
      <c r="U88" s="1574"/>
      <c r="V88" s="1477"/>
      <c r="W88" s="1478" t="str">
        <f t="shared" si="21"/>
        <v>04.13.01</v>
      </c>
      <c r="X88" s="1478" t="str">
        <f t="shared" si="22"/>
        <v>Jalan</v>
      </c>
      <c r="Y88" s="1478">
        <f t="shared" si="23"/>
        <v>10</v>
      </c>
      <c r="Z88" s="1401">
        <f>S88/Y88</f>
        <v>64955116.497330591</v>
      </c>
      <c r="AA88" s="1444">
        <f>IF(2013-N88+1&gt;Y88,Y88,IF(2013-N88+1&lt;0,0,2013-N88+1))</f>
        <v>6</v>
      </c>
      <c r="AB88" s="1401">
        <f>IF(AA88&gt;Y88,S88,Z88*AA88)</f>
        <v>389730698.98398352</v>
      </c>
      <c r="AC88" s="1401">
        <f>IF(S88=AB88,0,Z88)</f>
        <v>64955116.497330591</v>
      </c>
      <c r="AD88" s="1401">
        <f>IF(S88=AB88+AC88,0,Z88)</f>
        <v>64955116.497330591</v>
      </c>
      <c r="AE88" s="1401">
        <f>IF(S88=AB88+AC88+AD88,0,Z88)</f>
        <v>64955116.497330591</v>
      </c>
      <c r="AF88" s="1401">
        <f>IF(S88=AC88+AD88+AE88+AB88,0,Z88)</f>
        <v>64955116.497330591</v>
      </c>
      <c r="AG88" s="1479">
        <f>IF(S88=AC88+AD88+AE88+AB88+AF88,0,Z88)</f>
        <v>0</v>
      </c>
      <c r="AH88" s="1479">
        <f>IF(S88=AC88+AD88+AE88+AB88+AF88+AG88,0,Z88)</f>
        <v>0</v>
      </c>
      <c r="AI88" s="1479">
        <f t="shared" si="25"/>
        <v>649551164.97330582</v>
      </c>
      <c r="AJ88" s="1401">
        <f t="shared" si="24"/>
        <v>0</v>
      </c>
    </row>
    <row r="89" spans="1:36" s="1390" customFormat="1" ht="37" customHeight="1" x14ac:dyDescent="0.2">
      <c r="A89" s="1390">
        <v>24</v>
      </c>
      <c r="B89" s="1472" t="str">
        <f t="shared" si="20"/>
        <v>PERUMNAS - SIMPANG PERKANTORAN PEMDA</v>
      </c>
      <c r="C89" s="1478" t="e">
        <f>RIGHT(#REF!,1)</f>
        <v>#REF!</v>
      </c>
      <c r="D89" s="1426">
        <v>21</v>
      </c>
      <c r="E89" s="1429" t="s">
        <v>5820</v>
      </c>
      <c r="F89" s="1539"/>
      <c r="G89" s="1517" t="s">
        <v>2494</v>
      </c>
      <c r="H89" s="1518"/>
      <c r="I89" s="1518" t="s">
        <v>479</v>
      </c>
      <c r="J89" s="1533">
        <v>1950</v>
      </c>
      <c r="K89" s="1517">
        <v>10</v>
      </c>
      <c r="L89" s="1519">
        <v>19500</v>
      </c>
      <c r="M89" s="1518" t="s">
        <v>604</v>
      </c>
      <c r="N89" s="1517">
        <v>2001</v>
      </c>
      <c r="O89" s="1518"/>
      <c r="P89" s="1518"/>
      <c r="Q89" s="1518" t="s">
        <v>482</v>
      </c>
      <c r="R89" s="1517" t="s">
        <v>12</v>
      </c>
      <c r="S89" s="1520">
        <f>4299750000+F90+F91</f>
        <v>7310174270.3834791</v>
      </c>
      <c r="T89" s="1517" t="s">
        <v>43</v>
      </c>
      <c r="U89" s="1572"/>
      <c r="V89" s="1521"/>
      <c r="W89" s="1478" t="str">
        <f t="shared" si="21"/>
        <v>04.13.01</v>
      </c>
      <c r="X89" s="1478" t="str">
        <f t="shared" si="22"/>
        <v>Jalan</v>
      </c>
      <c r="Y89" s="1478">
        <f t="shared" si="23"/>
        <v>10</v>
      </c>
      <c r="Z89" s="1401"/>
      <c r="AA89" s="1444">
        <f>IF(2013-N89&gt;Y89,10,IF(2013-N89&lt;0,0,2013-N89))</f>
        <v>10</v>
      </c>
      <c r="AB89" s="1401">
        <f>SUM(PERHITUNGAN!U239:U244)</f>
        <v>5891076989.2684364</v>
      </c>
      <c r="AC89" s="1479">
        <f>SUMIF(PERHITUNGAN!A:A,'KIB D'!B89&amp;'KIB D'!$AC$7,PERHITUNGAN!U:U)</f>
        <v>473032427.03834802</v>
      </c>
      <c r="AD89" s="1479">
        <f>SUMIF(PERHITUNGAN!A:A,'KIB D'!B89&amp;'KIB D'!$AD$7,PERHITUNGAN!U:U)</f>
        <v>473032427.03834802</v>
      </c>
      <c r="AE89" s="1479">
        <f>SUMIF(PERHITUNGAN!A:A,'KIB D'!B89&amp;'KIB D'!$AE$7,PERHITUNGAN!U:U)</f>
        <v>473032427.03834802</v>
      </c>
      <c r="AF89" s="1479">
        <f>SUMIF(PERHITUNGAN!A:A,'KIB D'!B89&amp;'KIB D'!$AF$7,PERHITUNGAN!U:U)</f>
        <v>0</v>
      </c>
      <c r="AG89" s="1479">
        <f>SUMIF(PERHITUNGAN!A:A,'KIB D'!B89&amp;'KIB D'!$AG$7,PERHITUNGAN!U:U)</f>
        <v>0</v>
      </c>
      <c r="AH89" s="1479">
        <f>SUMIF(PERHITUNGAN!A:A,'KIB D'!B89&amp;'KIB D'!$AH$7,PERHITUNGAN!U:U)</f>
        <v>0</v>
      </c>
      <c r="AI89" s="1479">
        <f t="shared" si="25"/>
        <v>7310174270.383481</v>
      </c>
      <c r="AJ89" s="1401">
        <f t="shared" si="24"/>
        <v>0</v>
      </c>
    </row>
    <row r="90" spans="1:36" s="1390" customFormat="1" ht="37" customHeight="1" x14ac:dyDescent="0.2">
      <c r="A90" s="1390">
        <v>24</v>
      </c>
      <c r="B90" s="1472" t="str">
        <f t="shared" si="20"/>
        <v>PERUMNAS - SIMPANG PERKANTORAN PEMDA</v>
      </c>
      <c r="C90" s="1478" t="e">
        <f>RIGHT(#REF!,1)</f>
        <v>#REF!</v>
      </c>
      <c r="D90" s="1426"/>
      <c r="E90" s="1429" t="s">
        <v>1152</v>
      </c>
      <c r="F90" s="1539">
        <v>1259881574.9739072</v>
      </c>
      <c r="G90" s="1416" t="s">
        <v>2494</v>
      </c>
      <c r="H90" s="1508"/>
      <c r="I90" s="1416" t="s">
        <v>519</v>
      </c>
      <c r="J90" s="1500"/>
      <c r="K90" s="1416"/>
      <c r="L90" s="1500">
        <v>1000</v>
      </c>
      <c r="M90" s="1429" t="s">
        <v>3090</v>
      </c>
      <c r="N90" s="1416">
        <v>2007</v>
      </c>
      <c r="O90" s="1414"/>
      <c r="P90" s="1414"/>
      <c r="Q90" s="1414"/>
      <c r="R90" s="1416" t="s">
        <v>12</v>
      </c>
      <c r="S90" s="1529"/>
      <c r="T90" s="1416" t="s">
        <v>43</v>
      </c>
      <c r="U90" s="1427"/>
      <c r="V90" s="1477"/>
      <c r="W90" s="1478" t="str">
        <f t="shared" si="21"/>
        <v>04.13.01</v>
      </c>
      <c r="X90" s="1478" t="str">
        <f t="shared" si="22"/>
        <v>Jalan</v>
      </c>
      <c r="Y90" s="1478">
        <f t="shared" si="23"/>
        <v>10</v>
      </c>
      <c r="Z90" s="1401"/>
      <c r="AA90" s="1444"/>
      <c r="AB90" s="1401"/>
      <c r="AC90" s="1401"/>
      <c r="AD90" s="1401"/>
      <c r="AE90" s="1401"/>
      <c r="AF90" s="1401"/>
      <c r="AG90" s="1479"/>
      <c r="AH90" s="1479"/>
      <c r="AI90" s="1479"/>
      <c r="AJ90" s="1401">
        <f t="shared" si="24"/>
        <v>0</v>
      </c>
    </row>
    <row r="91" spans="1:36" s="1390" customFormat="1" ht="37" customHeight="1" x14ac:dyDescent="0.2">
      <c r="A91" s="1390">
        <v>24</v>
      </c>
      <c r="B91" s="1472" t="str">
        <f t="shared" si="20"/>
        <v>PERUMNAS - SIMPANG PERKANTORAN PEMDA</v>
      </c>
      <c r="C91" s="1478" t="e">
        <f>RIGHT(#REF!,1)</f>
        <v>#REF!</v>
      </c>
      <c r="D91" s="1426"/>
      <c r="E91" s="1429" t="s">
        <v>1146</v>
      </c>
      <c r="F91" s="1539">
        <v>1750542695.4095719</v>
      </c>
      <c r="G91" s="1416" t="s">
        <v>2494</v>
      </c>
      <c r="H91" s="1508"/>
      <c r="I91" s="1416" t="s">
        <v>519</v>
      </c>
      <c r="J91" s="1500">
        <v>1.19</v>
      </c>
      <c r="K91" s="1416"/>
      <c r="L91" s="1500">
        <v>1.19</v>
      </c>
      <c r="M91" s="1429" t="s">
        <v>3085</v>
      </c>
      <c r="N91" s="1416">
        <v>2007</v>
      </c>
      <c r="O91" s="1414"/>
      <c r="P91" s="1414"/>
      <c r="Q91" s="1414"/>
      <c r="R91" s="1416" t="s">
        <v>12</v>
      </c>
      <c r="S91" s="1529"/>
      <c r="T91" s="1416" t="s">
        <v>43</v>
      </c>
      <c r="U91" s="1427"/>
      <c r="V91" s="1477"/>
      <c r="W91" s="1478" t="str">
        <f t="shared" si="21"/>
        <v>04.13.01</v>
      </c>
      <c r="X91" s="1478" t="str">
        <f t="shared" si="22"/>
        <v>Jalan</v>
      </c>
      <c r="Y91" s="1478">
        <f t="shared" si="23"/>
        <v>10</v>
      </c>
      <c r="Z91" s="1401"/>
      <c r="AA91" s="1444"/>
      <c r="AB91" s="1401"/>
      <c r="AC91" s="1401"/>
      <c r="AD91" s="1401"/>
      <c r="AE91" s="1401"/>
      <c r="AF91" s="1401"/>
      <c r="AG91" s="1479"/>
      <c r="AH91" s="1479"/>
      <c r="AI91" s="1479"/>
      <c r="AJ91" s="1401">
        <f t="shared" si="24"/>
        <v>0</v>
      </c>
    </row>
    <row r="92" spans="1:36" s="1390" customFormat="1" ht="37" customHeight="1" x14ac:dyDescent="0.2">
      <c r="A92" s="1390">
        <v>25</v>
      </c>
      <c r="B92" s="1472" t="str">
        <f t="shared" si="20"/>
        <v>SEI. RIMBIO - PINTU GOBANG</v>
      </c>
      <c r="C92" s="1478" t="e">
        <f>RIGHT(#REF!,1)</f>
        <v>#REF!</v>
      </c>
      <c r="D92" s="1426">
        <v>22</v>
      </c>
      <c r="E92" s="1429" t="s">
        <v>529</v>
      </c>
      <c r="F92" s="1539"/>
      <c r="G92" s="1517" t="s">
        <v>2494</v>
      </c>
      <c r="H92" s="1518"/>
      <c r="I92" s="1518" t="s">
        <v>492</v>
      </c>
      <c r="J92" s="1533">
        <v>4000</v>
      </c>
      <c r="K92" s="1517">
        <v>8</v>
      </c>
      <c r="L92" s="1519">
        <v>32000</v>
      </c>
      <c r="M92" s="1518" t="s">
        <v>605</v>
      </c>
      <c r="N92" s="1517">
        <v>2001</v>
      </c>
      <c r="O92" s="1518"/>
      <c r="P92" s="1518"/>
      <c r="Q92" s="1518" t="s">
        <v>482</v>
      </c>
      <c r="R92" s="1517" t="s">
        <v>12</v>
      </c>
      <c r="S92" s="1520">
        <v>2591976598.3800001</v>
      </c>
      <c r="T92" s="1517" t="s">
        <v>43</v>
      </c>
      <c r="U92" s="1572"/>
      <c r="V92" s="1521"/>
      <c r="W92" s="1478" t="str">
        <f t="shared" si="21"/>
        <v>04.13.01</v>
      </c>
      <c r="X92" s="1478" t="str">
        <f t="shared" si="22"/>
        <v>Jalan</v>
      </c>
      <c r="Y92" s="1478">
        <f t="shared" si="23"/>
        <v>10</v>
      </c>
      <c r="Z92" s="1401">
        <f>S92/Y92</f>
        <v>259197659.838</v>
      </c>
      <c r="AA92" s="1444">
        <f>IF(2013-N92+1&gt;Y92,Y92,IF(2013-N92+1&lt;0,0,2013-N92+1))</f>
        <v>10</v>
      </c>
      <c r="AB92" s="1401">
        <f>IF(AA92&gt;Y92,S92,Z92*AA92)</f>
        <v>2591976598.3800001</v>
      </c>
      <c r="AC92" s="1401">
        <f>IF(S92=AB92,0,Z92)</f>
        <v>0</v>
      </c>
      <c r="AD92" s="1401">
        <f>IF(S92=AB92+AC92,0,Z92)</f>
        <v>0</v>
      </c>
      <c r="AE92" s="1401">
        <f>IF(S92=AB92+AC92+AD92,0,Z92)</f>
        <v>0</v>
      </c>
      <c r="AF92" s="1401">
        <f>IF(S92=AC92+AD92+AE92+AB92,0,Z92)</f>
        <v>0</v>
      </c>
      <c r="AG92" s="1479">
        <f>IF(S92=AC92+AD92+AE92+AB92+AF92,0,Z92)</f>
        <v>0</v>
      </c>
      <c r="AH92" s="1479">
        <f>IF(S92=AC92+AD92+AE92+AB92+AF92+AG92,0,Z92)</f>
        <v>0</v>
      </c>
      <c r="AI92" s="1479">
        <f>SUM(AB92:AH92)</f>
        <v>2591976598.3800001</v>
      </c>
      <c r="AJ92" s="1401">
        <f t="shared" si="24"/>
        <v>0</v>
      </c>
    </row>
    <row r="93" spans="1:36" s="1390" customFormat="1" ht="37" customHeight="1" x14ac:dyDescent="0.15">
      <c r="A93" s="1390">
        <v>27</v>
      </c>
      <c r="B93" s="1472" t="str">
        <f t="shared" si="20"/>
        <v>JL. SEB. TELUK - SIBEROBAH</v>
      </c>
      <c r="C93" s="1516" t="s">
        <v>4247</v>
      </c>
      <c r="D93" s="1426">
        <v>23</v>
      </c>
      <c r="E93" s="1429" t="s">
        <v>5821</v>
      </c>
      <c r="F93" s="1539"/>
      <c r="G93" s="1517" t="s">
        <v>2494</v>
      </c>
      <c r="H93" s="1518"/>
      <c r="I93" s="1518" t="s">
        <v>492</v>
      </c>
      <c r="J93" s="1533">
        <v>14000</v>
      </c>
      <c r="K93" s="1517">
        <v>8</v>
      </c>
      <c r="L93" s="1519">
        <v>112000</v>
      </c>
      <c r="M93" s="1518" t="s">
        <v>3265</v>
      </c>
      <c r="N93" s="1517">
        <v>2001</v>
      </c>
      <c r="O93" s="1518"/>
      <c r="P93" s="1518"/>
      <c r="Q93" s="1518" t="s">
        <v>482</v>
      </c>
      <c r="R93" s="1517" t="s">
        <v>12</v>
      </c>
      <c r="S93" s="1520">
        <f>9359649503.99+F98+F99+F100+F101+F102+F103+F94+F95+F97+F96</f>
        <v>42834786877.199944</v>
      </c>
      <c r="T93" s="1517" t="s">
        <v>43</v>
      </c>
      <c r="U93" s="1572"/>
      <c r="V93" s="1521"/>
      <c r="W93" s="1522" t="str">
        <f t="shared" si="21"/>
        <v>04.13.01</v>
      </c>
      <c r="X93" s="1478" t="str">
        <f t="shared" si="22"/>
        <v>Jalan</v>
      </c>
      <c r="Y93" s="1478">
        <f t="shared" si="23"/>
        <v>10</v>
      </c>
      <c r="Z93" s="1401"/>
      <c r="AA93" s="1444">
        <f>IF(2013-N93&gt;Y93,10,IF(2013-N93&lt;0,0,2013-N93))</f>
        <v>10</v>
      </c>
      <c r="AB93" s="1401">
        <f>SUM(PERHITUNGAN!U259:U265)</f>
        <v>10811269874.734213</v>
      </c>
      <c r="AC93" s="1479">
        <f>SUMIF(PERHITUNGAN!A:A,'KIB D'!B93&amp;'KIB D'!$AC$7,PERHITUNGAN!U:U)</f>
        <v>822896473.09868395</v>
      </c>
      <c r="AD93" s="1479">
        <f>SUMIF(PERHITUNGAN!A:A,'KIB D'!B93&amp;'KIB D'!$AD$7,PERHITUNGAN!U:U)</f>
        <v>1145165127.8997183</v>
      </c>
      <c r="AE93" s="1479">
        <f>SUMIF(PERHITUNGAN!A:A,'KIB D'!B93&amp;'KIB D'!$AE$7,PERHITUNGAN!U:U)</f>
        <v>1616124398.3467331</v>
      </c>
      <c r="AF93" s="1479">
        <f>SUMIF(PERHITUNGAN!A:A,'KIB D'!B93&amp;'KIB D'!$AF$7,PERHITUNGAN!U:U)</f>
        <v>2156933795.3120599</v>
      </c>
      <c r="AG93" s="1479">
        <f>SUMIF(PERHITUNGAN!A:A,'KIB D'!B93&amp;'KIB D'!$AG$7,PERHITUNGAN!U:U)</f>
        <v>2628239720.7808537</v>
      </c>
      <c r="AH93" s="1479">
        <f>SUMIF(PERHITUNGAN!A:A,'KIB D'!B93&amp;'KIB D'!$AH$7,PERHITUNGAN!U:U)</f>
        <v>2628239720.7808537</v>
      </c>
      <c r="AI93" s="1479">
        <f>SUM(AB93:AH93)</f>
        <v>21808869110.953117</v>
      </c>
      <c r="AJ93" s="1401">
        <f t="shared" si="24"/>
        <v>21025917766.246826</v>
      </c>
    </row>
    <row r="94" spans="1:36" s="1390" customFormat="1" ht="51" customHeight="1" x14ac:dyDescent="0.2">
      <c r="A94" s="1390">
        <v>27</v>
      </c>
      <c r="B94" s="1472" t="str">
        <f t="shared" si="20"/>
        <v>JL. SEB. TELUK - SIBEROBAH</v>
      </c>
      <c r="C94" s="1478"/>
      <c r="D94" s="1426"/>
      <c r="E94" s="1429" t="s">
        <v>5059</v>
      </c>
      <c r="F94" s="1539">
        <v>1891537631</v>
      </c>
      <c r="G94" s="1416" t="s">
        <v>2494</v>
      </c>
      <c r="H94" s="1508"/>
      <c r="I94" s="1416"/>
      <c r="J94" s="1500"/>
      <c r="K94" s="1416"/>
      <c r="L94" s="1500"/>
      <c r="M94" s="1429" t="s">
        <v>5061</v>
      </c>
      <c r="N94" s="1416">
        <v>2008</v>
      </c>
      <c r="O94" s="1414"/>
      <c r="P94" s="1414"/>
      <c r="Q94" s="1414"/>
      <c r="R94" s="1416" t="s">
        <v>12</v>
      </c>
      <c r="S94" s="1529"/>
      <c r="T94" s="1416"/>
      <c r="U94" s="1427"/>
      <c r="V94" s="1477"/>
      <c r="W94" s="1478"/>
      <c r="X94" s="1478"/>
      <c r="Y94" s="1478"/>
      <c r="Z94" s="1401"/>
      <c r="AA94" s="1444"/>
      <c r="AB94" s="1401"/>
      <c r="AC94" s="1401"/>
      <c r="AD94" s="1401"/>
      <c r="AE94" s="1401"/>
      <c r="AF94" s="1401"/>
      <c r="AG94" s="1479"/>
      <c r="AH94" s="1479"/>
      <c r="AI94" s="1479"/>
      <c r="AJ94" s="1401"/>
    </row>
    <row r="95" spans="1:36" s="1390" customFormat="1" ht="51" customHeight="1" x14ac:dyDescent="0.2">
      <c r="A95" s="1390">
        <v>27</v>
      </c>
      <c r="B95" s="1472" t="str">
        <f t="shared" si="20"/>
        <v>JL. SEB. TELUK - SIBEROBAH</v>
      </c>
      <c r="C95" s="1478"/>
      <c r="D95" s="1426"/>
      <c r="E95" s="1429" t="s">
        <v>5064</v>
      </c>
      <c r="F95" s="1539">
        <v>1322245832.25</v>
      </c>
      <c r="G95" s="1416" t="s">
        <v>2494</v>
      </c>
      <c r="H95" s="1508"/>
      <c r="I95" s="1416"/>
      <c r="J95" s="1500"/>
      <c r="K95" s="1416"/>
      <c r="L95" s="1500"/>
      <c r="M95" s="1429" t="s">
        <v>600</v>
      </c>
      <c r="N95" s="1416">
        <v>2008</v>
      </c>
      <c r="O95" s="1414"/>
      <c r="P95" s="1414"/>
      <c r="Q95" s="1414"/>
      <c r="R95" s="1416" t="s">
        <v>12</v>
      </c>
      <c r="S95" s="1529"/>
      <c r="T95" s="1416"/>
      <c r="U95" s="1427"/>
      <c r="V95" s="1477"/>
      <c r="W95" s="1478"/>
      <c r="X95" s="1478"/>
      <c r="Y95" s="1478"/>
      <c r="Z95" s="1401"/>
      <c r="AA95" s="1444"/>
      <c r="AB95" s="1401"/>
      <c r="AC95" s="1401"/>
      <c r="AD95" s="1401"/>
      <c r="AE95" s="1401"/>
      <c r="AF95" s="1401"/>
      <c r="AG95" s="1479"/>
      <c r="AH95" s="1479"/>
      <c r="AI95" s="1479"/>
      <c r="AJ95" s="1401"/>
    </row>
    <row r="96" spans="1:36" s="1390" customFormat="1" ht="51" customHeight="1" x14ac:dyDescent="0.2">
      <c r="A96" s="1390">
        <v>27</v>
      </c>
      <c r="B96" s="1472" t="str">
        <f t="shared" si="20"/>
        <v>JL. SEB. TELUK - SIBEROBAH</v>
      </c>
      <c r="C96" s="1478"/>
      <c r="D96" s="1426"/>
      <c r="E96" s="1519" t="s">
        <v>5096</v>
      </c>
      <c r="F96" s="1539">
        <v>523779373</v>
      </c>
      <c r="G96" s="1416" t="s">
        <v>2494</v>
      </c>
      <c r="H96" s="1508"/>
      <c r="I96" s="1531" t="s">
        <v>519</v>
      </c>
      <c r="J96" s="1531"/>
      <c r="K96" s="1532"/>
      <c r="L96" s="1531"/>
      <c r="M96" s="1536" t="s">
        <v>5097</v>
      </c>
      <c r="N96" s="1525">
        <v>2010</v>
      </c>
      <c r="O96" s="1531"/>
      <c r="P96" s="1532" t="s">
        <v>5084</v>
      </c>
      <c r="Q96" s="1531"/>
      <c r="R96" s="1523" t="s">
        <v>12</v>
      </c>
      <c r="S96" s="1537"/>
      <c r="T96" s="1532" t="s">
        <v>43</v>
      </c>
      <c r="U96" s="1581"/>
      <c r="V96" s="1477"/>
      <c r="W96" s="1478"/>
      <c r="X96" s="1478"/>
      <c r="Y96" s="1478"/>
      <c r="Z96" s="1401"/>
      <c r="AA96" s="1444"/>
      <c r="AB96" s="1401"/>
      <c r="AC96" s="1401"/>
      <c r="AD96" s="1401"/>
      <c r="AE96" s="1401"/>
      <c r="AF96" s="1401"/>
      <c r="AG96" s="1479"/>
      <c r="AH96" s="1479"/>
      <c r="AI96" s="1479"/>
      <c r="AJ96" s="1401"/>
    </row>
    <row r="97" spans="1:36" s="1390" customFormat="1" ht="51" customHeight="1" x14ac:dyDescent="0.2">
      <c r="A97" s="1390">
        <v>27</v>
      </c>
      <c r="B97" s="1472" t="str">
        <f t="shared" si="20"/>
        <v>JL. SEB. TELUK - SIBEROBAH</v>
      </c>
      <c r="C97" s="1478" t="e">
        <f>RIGHT(#REF!,1)</f>
        <v>#REF!</v>
      </c>
      <c r="D97" s="1426"/>
      <c r="E97" s="1429" t="s">
        <v>5066</v>
      </c>
      <c r="F97" s="1539">
        <v>3474332846.1849999</v>
      </c>
      <c r="G97" s="1416" t="s">
        <v>2494</v>
      </c>
      <c r="H97" s="1508"/>
      <c r="I97" s="1416" t="s">
        <v>519</v>
      </c>
      <c r="J97" s="1500"/>
      <c r="K97" s="1416"/>
      <c r="L97" s="1500"/>
      <c r="M97" s="1429" t="s">
        <v>3112</v>
      </c>
      <c r="N97" s="1416">
        <v>2011</v>
      </c>
      <c r="O97" s="1414"/>
      <c r="P97" s="1414"/>
      <c r="Q97" s="1414"/>
      <c r="R97" s="1416" t="s">
        <v>12</v>
      </c>
      <c r="S97" s="1529"/>
      <c r="T97" s="1416" t="s">
        <v>43</v>
      </c>
      <c r="U97" s="1427">
        <v>1</v>
      </c>
      <c r="V97" s="1477"/>
      <c r="W97" s="1478" t="str">
        <f t="shared" ref="W97:W105" si="26">LEFT(G97,8)</f>
        <v>04.13.01</v>
      </c>
      <c r="X97" s="1478" t="str">
        <f t="shared" ref="X97:X105" si="27">VLOOKUP(W97,UE,3,FALSE)</f>
        <v>Jalan</v>
      </c>
      <c r="Y97" s="1478">
        <f t="shared" ref="Y97:Y105" si="28">VLOOKUP(W97,UE,4,FALSE)</f>
        <v>10</v>
      </c>
      <c r="Z97" s="1401"/>
      <c r="AA97" s="1444"/>
      <c r="AB97" s="1401"/>
      <c r="AC97" s="1401"/>
      <c r="AD97" s="1401"/>
      <c r="AE97" s="1401"/>
      <c r="AF97" s="1401"/>
      <c r="AG97" s="1479"/>
      <c r="AH97" s="1479"/>
      <c r="AI97" s="1479"/>
      <c r="AJ97" s="1401"/>
    </row>
    <row r="98" spans="1:36" s="1390" customFormat="1" ht="51" customHeight="1" x14ac:dyDescent="0.2">
      <c r="A98" s="1390">
        <v>27</v>
      </c>
      <c r="B98" s="1472" t="str">
        <f t="shared" si="20"/>
        <v>JL. SEB. TELUK - SIBEROBAH</v>
      </c>
      <c r="C98" s="1478" t="e">
        <f>RIGHT(#REF!,1)</f>
        <v>#REF!</v>
      </c>
      <c r="D98" s="1426"/>
      <c r="E98" s="1429" t="s">
        <v>1185</v>
      </c>
      <c r="F98" s="1539">
        <v>1400963703.44068</v>
      </c>
      <c r="G98" s="1416" t="s">
        <v>2494</v>
      </c>
      <c r="H98" s="1508"/>
      <c r="I98" s="1416"/>
      <c r="J98" s="1500"/>
      <c r="K98" s="1416"/>
      <c r="L98" s="1500"/>
      <c r="M98" s="1429" t="s">
        <v>3112</v>
      </c>
      <c r="N98" s="1416">
        <v>2015</v>
      </c>
      <c r="O98" s="1414"/>
      <c r="P98" s="1414"/>
      <c r="Q98" s="1414"/>
      <c r="R98" s="1416" t="s">
        <v>12</v>
      </c>
      <c r="S98" s="1529"/>
      <c r="T98" s="1416" t="s">
        <v>43</v>
      </c>
      <c r="U98" s="1427">
        <v>1</v>
      </c>
      <c r="V98" s="1477"/>
      <c r="W98" s="1478" t="str">
        <f t="shared" si="26"/>
        <v>04.13.01</v>
      </c>
      <c r="X98" s="1478" t="str">
        <f t="shared" si="27"/>
        <v>Jalan</v>
      </c>
      <c r="Y98" s="1478">
        <f t="shared" si="28"/>
        <v>10</v>
      </c>
      <c r="Z98" s="1401"/>
      <c r="AA98" s="1444"/>
      <c r="AB98" s="1401"/>
      <c r="AC98" s="1401"/>
      <c r="AD98" s="1401"/>
      <c r="AE98" s="1401"/>
      <c r="AF98" s="1401"/>
      <c r="AG98" s="1479"/>
      <c r="AH98" s="1479"/>
      <c r="AI98" s="1479"/>
      <c r="AJ98" s="1401">
        <f t="shared" ref="AJ98:AJ105" si="29">S98-AI98</f>
        <v>0</v>
      </c>
    </row>
    <row r="99" spans="1:36" s="1390" customFormat="1" ht="51" customHeight="1" x14ac:dyDescent="0.2">
      <c r="A99" s="1390">
        <v>27</v>
      </c>
      <c r="B99" s="1472" t="str">
        <f t="shared" si="20"/>
        <v>JL. SEB. TELUK - SIBEROBAH</v>
      </c>
      <c r="C99" s="1478" t="e">
        <f>RIGHT(#REF!,1)</f>
        <v>#REF!</v>
      </c>
      <c r="D99" s="1426"/>
      <c r="E99" s="1429" t="s">
        <v>1387</v>
      </c>
      <c r="F99" s="1529">
        <v>5113308736.9644003</v>
      </c>
      <c r="G99" s="1501" t="s">
        <v>2494</v>
      </c>
      <c r="H99" s="1501"/>
      <c r="I99" s="1414"/>
      <c r="J99" s="1526"/>
      <c r="K99" s="1416"/>
      <c r="L99" s="1430"/>
      <c r="M99" s="1429" t="s">
        <v>3229</v>
      </c>
      <c r="N99" s="1501">
        <v>2015</v>
      </c>
      <c r="O99" s="1414"/>
      <c r="P99" s="1414"/>
      <c r="Q99" s="1414"/>
      <c r="R99" s="1501" t="s">
        <v>12</v>
      </c>
      <c r="S99" s="1527"/>
      <c r="T99" s="1528"/>
      <c r="U99" s="1575"/>
      <c r="V99" s="1490"/>
      <c r="W99" s="1478" t="str">
        <f t="shared" si="26"/>
        <v>04.13.01</v>
      </c>
      <c r="X99" s="1478" t="str">
        <f t="shared" si="27"/>
        <v>Jalan</v>
      </c>
      <c r="Y99" s="1478">
        <f t="shared" si="28"/>
        <v>10</v>
      </c>
      <c r="Z99" s="1401"/>
      <c r="AA99" s="1444"/>
      <c r="AB99" s="1401"/>
      <c r="AC99" s="1401"/>
      <c r="AD99" s="1401"/>
      <c r="AE99" s="1401"/>
      <c r="AF99" s="1401"/>
      <c r="AG99" s="1479"/>
      <c r="AH99" s="1479"/>
      <c r="AI99" s="1479"/>
      <c r="AJ99" s="1401">
        <f t="shared" si="29"/>
        <v>0</v>
      </c>
    </row>
    <row r="100" spans="1:36" s="1390" customFormat="1" ht="51" customHeight="1" x14ac:dyDescent="0.2">
      <c r="A100" s="1390">
        <v>27</v>
      </c>
      <c r="B100" s="1472" t="str">
        <f t="shared" si="20"/>
        <v>JL. SEB. TELUK - SIBEROBAH</v>
      </c>
      <c r="C100" s="1478" t="e">
        <f>RIGHT(#REF!,1)</f>
        <v>#REF!</v>
      </c>
      <c r="D100" s="1426"/>
      <c r="E100" s="1539" t="s">
        <v>1454</v>
      </c>
      <c r="F100" s="1529">
        <v>5854757832.3698645</v>
      </c>
      <c r="G100" s="1501" t="s">
        <v>2494</v>
      </c>
      <c r="H100" s="1501"/>
      <c r="I100" s="1414"/>
      <c r="J100" s="1526"/>
      <c r="K100" s="1416"/>
      <c r="L100" s="1430"/>
      <c r="M100" s="1429" t="s">
        <v>3112</v>
      </c>
      <c r="N100" s="1501">
        <v>2016</v>
      </c>
      <c r="O100" s="1414"/>
      <c r="P100" s="1414"/>
      <c r="Q100" s="1414"/>
      <c r="R100" s="1501" t="s">
        <v>12</v>
      </c>
      <c r="S100" s="1527"/>
      <c r="T100" s="1528"/>
      <c r="U100" s="1575"/>
      <c r="V100" s="1490"/>
      <c r="W100" s="1478" t="str">
        <f t="shared" si="26"/>
        <v>04.13.01</v>
      </c>
      <c r="X100" s="1478" t="str">
        <f t="shared" si="27"/>
        <v>Jalan</v>
      </c>
      <c r="Y100" s="1478">
        <f t="shared" si="28"/>
        <v>10</v>
      </c>
      <c r="Z100" s="1401"/>
      <c r="AA100" s="1444"/>
      <c r="AB100" s="1401"/>
      <c r="AC100" s="1401"/>
      <c r="AD100" s="1401"/>
      <c r="AE100" s="1401"/>
      <c r="AF100" s="1401"/>
      <c r="AG100" s="1479"/>
      <c r="AH100" s="1479"/>
      <c r="AI100" s="1479"/>
      <c r="AJ100" s="1401">
        <f t="shared" si="29"/>
        <v>0</v>
      </c>
    </row>
    <row r="101" spans="1:36" s="1390" customFormat="1" ht="51" customHeight="1" x14ac:dyDescent="0.15">
      <c r="A101" s="1390">
        <v>27</v>
      </c>
      <c r="B101" s="1472" t="str">
        <f t="shared" si="20"/>
        <v>JL. SEB. TELUK - SIBEROBAH</v>
      </c>
      <c r="C101" s="1516" t="s">
        <v>4247</v>
      </c>
      <c r="D101" s="1426"/>
      <c r="E101" s="1429" t="s">
        <v>3034</v>
      </c>
      <c r="F101" s="1539">
        <v>6777598368</v>
      </c>
      <c r="G101" s="1517" t="s">
        <v>2494</v>
      </c>
      <c r="H101" s="1518"/>
      <c r="I101" s="1518"/>
      <c r="J101" s="1519">
        <v>0</v>
      </c>
      <c r="K101" s="1517"/>
      <c r="L101" s="1519">
        <v>0</v>
      </c>
      <c r="M101" s="1518" t="s">
        <v>3265</v>
      </c>
      <c r="N101" s="1517">
        <v>2017</v>
      </c>
      <c r="O101" s="1518"/>
      <c r="P101" s="1518"/>
      <c r="Q101" s="1518"/>
      <c r="R101" s="1517" t="s">
        <v>12</v>
      </c>
      <c r="S101" s="1520"/>
      <c r="T101" s="1518"/>
      <c r="U101" s="1572"/>
      <c r="V101" s="1521"/>
      <c r="W101" s="1522" t="str">
        <f t="shared" si="26"/>
        <v>04.13.01</v>
      </c>
      <c r="X101" s="1478" t="str">
        <f t="shared" si="27"/>
        <v>Jalan</v>
      </c>
      <c r="Y101" s="1478">
        <f t="shared" si="28"/>
        <v>10</v>
      </c>
      <c r="Z101" s="1401"/>
      <c r="AA101" s="1444">
        <f>IF(2013-N101&gt;Y101,10,IF(2013-N101&lt;0,0,2013-N101))</f>
        <v>0</v>
      </c>
      <c r="AB101" s="1401"/>
      <c r="AC101" s="1401"/>
      <c r="AD101" s="1401"/>
      <c r="AE101" s="1401"/>
      <c r="AF101" s="1401"/>
      <c r="AG101" s="1479"/>
      <c r="AH101" s="1479"/>
      <c r="AI101" s="1479"/>
      <c r="AJ101" s="1401">
        <f t="shared" si="29"/>
        <v>0</v>
      </c>
    </row>
    <row r="102" spans="1:36" s="1390" customFormat="1" ht="51" customHeight="1" x14ac:dyDescent="0.15">
      <c r="A102" s="1390">
        <v>27</v>
      </c>
      <c r="B102" s="1472" t="str">
        <f t="shared" si="20"/>
        <v>JL. SEB. TELUK - SIBEROBAH</v>
      </c>
      <c r="C102" s="1516" t="s">
        <v>4247</v>
      </c>
      <c r="D102" s="1426"/>
      <c r="E102" s="1429" t="s">
        <v>3039</v>
      </c>
      <c r="F102" s="1539">
        <v>246620000</v>
      </c>
      <c r="G102" s="1517" t="s">
        <v>2494</v>
      </c>
      <c r="H102" s="1518"/>
      <c r="I102" s="1518"/>
      <c r="J102" s="1519">
        <v>0</v>
      </c>
      <c r="K102" s="1517"/>
      <c r="L102" s="1519">
        <v>0</v>
      </c>
      <c r="M102" s="1518" t="s">
        <v>3265</v>
      </c>
      <c r="N102" s="1517">
        <v>2017</v>
      </c>
      <c r="O102" s="1518"/>
      <c r="P102" s="1518"/>
      <c r="Q102" s="1518"/>
      <c r="R102" s="1517" t="s">
        <v>12</v>
      </c>
      <c r="S102" s="1520"/>
      <c r="T102" s="1518"/>
      <c r="U102" s="1572"/>
      <c r="V102" s="1521"/>
      <c r="W102" s="1522" t="str">
        <f t="shared" si="26"/>
        <v>04.13.01</v>
      </c>
      <c r="X102" s="1478" t="str">
        <f t="shared" si="27"/>
        <v>Jalan</v>
      </c>
      <c r="Y102" s="1478">
        <f t="shared" si="28"/>
        <v>10</v>
      </c>
      <c r="Z102" s="1401"/>
      <c r="AA102" s="1444">
        <f>IF(2013-N102&gt;Y102,10,IF(2013-N102&lt;0,0,2013-N102))</f>
        <v>0</v>
      </c>
      <c r="AB102" s="1401"/>
      <c r="AC102" s="1401"/>
      <c r="AD102" s="1401"/>
      <c r="AE102" s="1401"/>
      <c r="AF102" s="1401"/>
      <c r="AG102" s="1479"/>
      <c r="AH102" s="1479"/>
      <c r="AI102" s="1479"/>
      <c r="AJ102" s="1401">
        <f t="shared" si="29"/>
        <v>0</v>
      </c>
    </row>
    <row r="103" spans="1:36" s="1390" customFormat="1" ht="51" customHeight="1" x14ac:dyDescent="0.15">
      <c r="A103" s="1390">
        <v>27</v>
      </c>
      <c r="B103" s="1472" t="str">
        <f t="shared" si="20"/>
        <v>JL. SEB. TELUK - SIBEROBAH</v>
      </c>
      <c r="C103" s="1516" t="s">
        <v>4247</v>
      </c>
      <c r="D103" s="1426"/>
      <c r="E103" s="1429" t="s">
        <v>3336</v>
      </c>
      <c r="F103" s="1539">
        <v>6869993050</v>
      </c>
      <c r="G103" s="1517" t="s">
        <v>2494</v>
      </c>
      <c r="H103" s="1518"/>
      <c r="I103" s="1518"/>
      <c r="J103" s="1519">
        <v>0</v>
      </c>
      <c r="K103" s="1517"/>
      <c r="L103" s="1519">
        <v>0</v>
      </c>
      <c r="M103" s="1518" t="s">
        <v>3265</v>
      </c>
      <c r="N103" s="1517">
        <v>2018</v>
      </c>
      <c r="O103" s="1518"/>
      <c r="P103" s="1518"/>
      <c r="Q103" s="1518"/>
      <c r="R103" s="1517" t="s">
        <v>12</v>
      </c>
      <c r="S103" s="1520"/>
      <c r="T103" s="1518"/>
      <c r="U103" s="1572"/>
      <c r="V103" s="1521"/>
      <c r="W103" s="1522" t="str">
        <f t="shared" si="26"/>
        <v>04.13.01</v>
      </c>
      <c r="X103" s="1478" t="str">
        <f t="shared" si="27"/>
        <v>Jalan</v>
      </c>
      <c r="Y103" s="1478">
        <f t="shared" si="28"/>
        <v>10</v>
      </c>
      <c r="Z103" s="1401"/>
      <c r="AA103" s="1444">
        <f>IF(2013-N103&gt;Y103,10,IF(2013-N103&lt;0,0,2013-N103))</f>
        <v>0</v>
      </c>
      <c r="AB103" s="1401"/>
      <c r="AC103" s="1401"/>
      <c r="AD103" s="1401"/>
      <c r="AE103" s="1401"/>
      <c r="AF103" s="1401"/>
      <c r="AG103" s="1479"/>
      <c r="AH103" s="1479"/>
      <c r="AI103" s="1479"/>
      <c r="AJ103" s="1401">
        <f t="shared" si="29"/>
        <v>0</v>
      </c>
    </row>
    <row r="104" spans="1:36" s="1390" customFormat="1" ht="51" customHeight="1" x14ac:dyDescent="0.15">
      <c r="A104" s="1390">
        <v>28</v>
      </c>
      <c r="B104" s="1472" t="str">
        <f t="shared" si="20"/>
        <v>PL. KOMANG SENTAJO - KOTO SENTAJO</v>
      </c>
      <c r="C104" s="1516" t="s">
        <v>4247</v>
      </c>
      <c r="D104" s="1426">
        <v>24</v>
      </c>
      <c r="E104" s="1429" t="s">
        <v>1154</v>
      </c>
      <c r="F104" s="1539"/>
      <c r="G104" s="1517" t="s">
        <v>2494</v>
      </c>
      <c r="H104" s="1518"/>
      <c r="I104" s="1518" t="s">
        <v>519</v>
      </c>
      <c r="J104" s="1533">
        <v>6500</v>
      </c>
      <c r="K104" s="1517">
        <v>8</v>
      </c>
      <c r="L104" s="1519">
        <v>52000</v>
      </c>
      <c r="M104" s="1518" t="s">
        <v>3091</v>
      </c>
      <c r="N104" s="1517">
        <v>2007</v>
      </c>
      <c r="O104" s="1518"/>
      <c r="P104" s="1518"/>
      <c r="Q104" s="1518"/>
      <c r="R104" s="1517" t="s">
        <v>12</v>
      </c>
      <c r="S104" s="1520">
        <f>3995337645.17239+F105+F107+F108+F106+F109</f>
        <v>10762474611.988241</v>
      </c>
      <c r="T104" s="1517" t="s">
        <v>43</v>
      </c>
      <c r="U104" s="1572"/>
      <c r="V104" s="1521"/>
      <c r="W104" s="1522" t="str">
        <f t="shared" si="26"/>
        <v>04.13.01</v>
      </c>
      <c r="X104" s="1478" t="str">
        <f t="shared" si="27"/>
        <v>Jalan</v>
      </c>
      <c r="Y104" s="1478">
        <f t="shared" si="28"/>
        <v>10</v>
      </c>
      <c r="Z104" s="1401"/>
      <c r="AA104" s="1444">
        <f>IF(2013-N104&gt;Y104,10,IF(2013-N104&lt;0,0,2013-N104))</f>
        <v>6</v>
      </c>
      <c r="AB104" s="1401">
        <f>SUM(PERHITUNGAN!U285:U290)</f>
        <v>3610447573.9941912</v>
      </c>
      <c r="AC104" s="1479">
        <f>SUMIF(PERHITUNGAN!A:A,'KIB D'!B104&amp;'KIB D'!$AC$7,PERHITUNGAN!U:U)</f>
        <v>400230686.28440487</v>
      </c>
      <c r="AD104" s="1479">
        <f>SUMIF(PERHITUNGAN!A:A,'KIB D'!B104&amp;'KIB D'!$AD$7,PERHITUNGAN!U:U)</f>
        <v>400230686.28440487</v>
      </c>
      <c r="AE104" s="1479">
        <f>SUMIF(PERHITUNGAN!A:A,'KIB D'!B104&amp;'KIB D'!$AE$7,PERHITUNGAN!U:U)</f>
        <v>419990118.64252394</v>
      </c>
      <c r="AF104" s="1479">
        <f>SUMIF(PERHITUNGAN!A:A,'KIB D'!B104&amp;'KIB D'!$AF$7,PERHITUNGAN!U:U)</f>
        <v>419990118.64252394</v>
      </c>
      <c r="AG104" s="1479">
        <f>SUMIF(PERHITUNGAN!A:A,'KIB D'!B104&amp;'KIB D'!$AG$7,PERHITUNGAN!U:U)</f>
        <v>419990118.64252394</v>
      </c>
      <c r="AH104" s="1479">
        <f>SUMIF(PERHITUNGAN!A:A,'KIB D'!B104&amp;'KIB D'!$AH$7,PERHITUNGAN!U:U)</f>
        <v>509159530.94976681</v>
      </c>
      <c r="AI104" s="1479">
        <f>SUM(AB104:AH104)</f>
        <v>6180038833.4403391</v>
      </c>
      <c r="AJ104" s="1401">
        <f t="shared" si="29"/>
        <v>4582435778.5479021</v>
      </c>
    </row>
    <row r="105" spans="1:36" s="1390" customFormat="1" ht="51" customHeight="1" x14ac:dyDescent="0.15">
      <c r="A105" s="1390">
        <v>28</v>
      </c>
      <c r="B105" s="1472" t="str">
        <f t="shared" si="20"/>
        <v>PL. KOMANG SENTAJO - KOTO SENTAJO</v>
      </c>
      <c r="C105" s="1516" t="s">
        <v>4247</v>
      </c>
      <c r="D105" s="1426"/>
      <c r="E105" s="1429" t="s">
        <v>1181</v>
      </c>
      <c r="F105" s="1539">
        <v>786272302.10877895</v>
      </c>
      <c r="G105" s="1517" t="s">
        <v>2494</v>
      </c>
      <c r="H105" s="1518"/>
      <c r="I105" s="1518" t="s">
        <v>835</v>
      </c>
      <c r="J105" s="1519">
        <v>3</v>
      </c>
      <c r="K105" s="1517">
        <v>4</v>
      </c>
      <c r="L105" s="1519">
        <v>12</v>
      </c>
      <c r="M105" s="1518" t="s">
        <v>3091</v>
      </c>
      <c r="N105" s="1517">
        <v>2007</v>
      </c>
      <c r="O105" s="1518"/>
      <c r="P105" s="1518"/>
      <c r="Q105" s="1518"/>
      <c r="R105" s="1517" t="s">
        <v>12</v>
      </c>
      <c r="S105" s="1520"/>
      <c r="T105" s="1517" t="s">
        <v>43</v>
      </c>
      <c r="U105" s="1572"/>
      <c r="V105" s="1521"/>
      <c r="W105" s="1522" t="str">
        <f t="shared" si="26"/>
        <v>04.13.01</v>
      </c>
      <c r="X105" s="1478" t="str">
        <f t="shared" si="27"/>
        <v>Jalan</v>
      </c>
      <c r="Y105" s="1478">
        <f t="shared" si="28"/>
        <v>10</v>
      </c>
      <c r="Z105" s="1401"/>
      <c r="AA105" s="1444">
        <f>IF(2013-N105&gt;Y105,10,IF(2013-N105&lt;0,0,2013-N105))</f>
        <v>6</v>
      </c>
      <c r="AB105" s="1401"/>
      <c r="AC105" s="1401"/>
      <c r="AD105" s="1401"/>
      <c r="AE105" s="1401"/>
      <c r="AF105" s="1401"/>
      <c r="AG105" s="1479"/>
      <c r="AH105" s="1479"/>
      <c r="AI105" s="1479"/>
      <c r="AJ105" s="1401">
        <f t="shared" si="29"/>
        <v>0</v>
      </c>
    </row>
    <row r="106" spans="1:36" s="1390" customFormat="1" ht="51" customHeight="1" x14ac:dyDescent="0.2">
      <c r="A106" s="1390">
        <v>28</v>
      </c>
      <c r="B106" s="1472" t="str">
        <f t="shared" si="20"/>
        <v>PL. KOMANG SENTAJO - KOTO SENTAJO</v>
      </c>
      <c r="C106" s="1478"/>
      <c r="D106" s="1426"/>
      <c r="E106" s="1573" t="s">
        <v>5099</v>
      </c>
      <c r="F106" s="1539">
        <v>917028679.55707204</v>
      </c>
      <c r="G106" s="1416" t="s">
        <v>2494</v>
      </c>
      <c r="H106" s="1508"/>
      <c r="I106" s="1523" t="s">
        <v>519</v>
      </c>
      <c r="J106" s="1532">
        <v>2000</v>
      </c>
      <c r="K106" s="1532"/>
      <c r="L106" s="1532"/>
      <c r="M106" s="1538" t="s">
        <v>5100</v>
      </c>
      <c r="N106" s="1416">
        <v>2008</v>
      </c>
      <c r="O106" s="1414"/>
      <c r="P106" s="1531" t="s">
        <v>5084</v>
      </c>
      <c r="Q106" s="1414"/>
      <c r="R106" s="1523" t="s">
        <v>12</v>
      </c>
      <c r="S106" s="1529"/>
      <c r="T106" s="1532" t="s">
        <v>43</v>
      </c>
      <c r="U106" s="1582"/>
      <c r="V106" s="1477"/>
      <c r="W106" s="1478"/>
      <c r="X106" s="1478"/>
      <c r="Y106" s="1478"/>
      <c r="Z106" s="1401"/>
      <c r="AA106" s="1444"/>
      <c r="AB106" s="1401"/>
      <c r="AC106" s="1401"/>
      <c r="AD106" s="1401"/>
      <c r="AE106" s="1401"/>
      <c r="AF106" s="1401"/>
      <c r="AG106" s="1479"/>
      <c r="AH106" s="1479"/>
      <c r="AI106" s="1479"/>
      <c r="AJ106" s="1401"/>
    </row>
    <row r="107" spans="1:36" s="1390" customFormat="1" ht="51" customHeight="1" x14ac:dyDescent="0.15">
      <c r="A107" s="1390">
        <v>28</v>
      </c>
      <c r="B107" s="1472" t="str">
        <f t="shared" si="20"/>
        <v>PL. KOMANG SENTAJO - KOTO SENTAJO</v>
      </c>
      <c r="C107" s="1516" t="s">
        <v>4247</v>
      </c>
      <c r="D107" s="1426"/>
      <c r="E107" s="1429" t="s">
        <v>1327</v>
      </c>
      <c r="F107" s="1539">
        <v>1914115810</v>
      </c>
      <c r="G107" s="1517" t="s">
        <v>2494</v>
      </c>
      <c r="H107" s="1518"/>
      <c r="I107" s="1518"/>
      <c r="J107" s="1519">
        <v>0</v>
      </c>
      <c r="K107" s="1517"/>
      <c r="L107" s="1519">
        <v>0</v>
      </c>
      <c r="M107" s="1518" t="s">
        <v>3091</v>
      </c>
      <c r="N107" s="1517">
        <v>2014</v>
      </c>
      <c r="O107" s="1518"/>
      <c r="P107" s="1518"/>
      <c r="Q107" s="1518"/>
      <c r="R107" s="1517" t="s">
        <v>12</v>
      </c>
      <c r="S107" s="1520"/>
      <c r="T107" s="1518"/>
      <c r="U107" s="1572"/>
      <c r="V107" s="1521"/>
      <c r="W107" s="1522" t="str">
        <f>LEFT(G107,8)</f>
        <v>04.13.01</v>
      </c>
      <c r="X107" s="1478" t="str">
        <f>VLOOKUP(W107,UE,3,FALSE)</f>
        <v>Jalan</v>
      </c>
      <c r="Y107" s="1478">
        <f>VLOOKUP(W107,UE,4,FALSE)</f>
        <v>10</v>
      </c>
      <c r="Z107" s="1401"/>
      <c r="AA107" s="1444">
        <f>IF(2013-N107&gt;Y107,10,IF(2013-N107&lt;0,0,2013-N107))</f>
        <v>0</v>
      </c>
      <c r="AB107" s="1401"/>
      <c r="AC107" s="1401"/>
      <c r="AD107" s="1401"/>
      <c r="AE107" s="1401"/>
      <c r="AF107" s="1401"/>
      <c r="AG107" s="1479"/>
      <c r="AH107" s="1479"/>
      <c r="AI107" s="1479"/>
      <c r="AJ107" s="1401">
        <f>S107-AI107</f>
        <v>0</v>
      </c>
    </row>
    <row r="108" spans="1:36" s="1390" customFormat="1" ht="51" customHeight="1" x14ac:dyDescent="0.15">
      <c r="A108" s="1390">
        <v>28</v>
      </c>
      <c r="B108" s="1472" t="str">
        <f t="shared" si="20"/>
        <v>PL. KOMANG SENTAJO - KOTO SENTAJO</v>
      </c>
      <c r="C108" s="1516" t="s">
        <v>4247</v>
      </c>
      <c r="D108" s="1426"/>
      <c r="E108" s="1429" t="s">
        <v>1463</v>
      </c>
      <c r="F108" s="1539">
        <v>998055696.14999998</v>
      </c>
      <c r="G108" s="1517" t="s">
        <v>2494</v>
      </c>
      <c r="H108" s="1518"/>
      <c r="I108" s="1518"/>
      <c r="J108" s="1519">
        <v>0</v>
      </c>
      <c r="K108" s="1517"/>
      <c r="L108" s="1519">
        <v>0</v>
      </c>
      <c r="M108" s="1518" t="s">
        <v>3091</v>
      </c>
      <c r="N108" s="1517">
        <v>2016</v>
      </c>
      <c r="O108" s="1518"/>
      <c r="P108" s="1518"/>
      <c r="Q108" s="1518"/>
      <c r="R108" s="1517" t="s">
        <v>12</v>
      </c>
      <c r="S108" s="1520"/>
      <c r="T108" s="1518"/>
      <c r="U108" s="1572"/>
      <c r="V108" s="1521"/>
      <c r="W108" s="1522" t="str">
        <f>LEFT(G108,8)</f>
        <v>04.13.01</v>
      </c>
      <c r="X108" s="1478" t="str">
        <f>VLOOKUP(W108,UE,3,FALSE)</f>
        <v>Jalan</v>
      </c>
      <c r="Y108" s="1478">
        <f>VLOOKUP(W108,UE,4,FALSE)</f>
        <v>10</v>
      </c>
      <c r="Z108" s="1401"/>
      <c r="AA108" s="1444">
        <f>IF(2013-N108&gt;Y108,10,IF(2013-N108&lt;0,0,2013-N108))</f>
        <v>0</v>
      </c>
      <c r="AB108" s="1401"/>
      <c r="AC108" s="1401"/>
      <c r="AD108" s="1401"/>
      <c r="AE108" s="1401"/>
      <c r="AF108" s="1401"/>
      <c r="AG108" s="1479"/>
      <c r="AH108" s="1479"/>
      <c r="AI108" s="1479"/>
      <c r="AJ108" s="1401">
        <f>S108-AI108</f>
        <v>0</v>
      </c>
    </row>
    <row r="109" spans="1:36" s="1390" customFormat="1" ht="51" customHeight="1" x14ac:dyDescent="0.15">
      <c r="A109" s="1390">
        <v>28</v>
      </c>
      <c r="B109" s="1472" t="str">
        <f t="shared" si="20"/>
        <v>PL. KOMANG SENTAJO - KOTO SENTAJO</v>
      </c>
      <c r="C109" s="1516"/>
      <c r="D109" s="1426"/>
      <c r="E109" s="1429" t="s">
        <v>5696</v>
      </c>
      <c r="F109" s="1539">
        <v>2151664479</v>
      </c>
      <c r="G109" s="1517" t="s">
        <v>2494</v>
      </c>
      <c r="H109" s="1518"/>
      <c r="I109" s="1518"/>
      <c r="J109" s="1519">
        <v>1000</v>
      </c>
      <c r="K109" s="1517">
        <v>4</v>
      </c>
      <c r="L109" s="1519">
        <f>J109*K109</f>
        <v>4000</v>
      </c>
      <c r="M109" s="1518" t="s">
        <v>3091</v>
      </c>
      <c r="N109" s="1517">
        <v>2019</v>
      </c>
      <c r="O109" s="1518" t="s">
        <v>5519</v>
      </c>
      <c r="P109" s="1518" t="s">
        <v>433</v>
      </c>
      <c r="Q109" s="1518"/>
      <c r="R109" s="1517" t="s">
        <v>12</v>
      </c>
      <c r="S109" s="1520"/>
      <c r="T109" s="1518"/>
      <c r="U109" s="1572"/>
      <c r="V109" s="1521"/>
      <c r="W109" s="1522"/>
      <c r="X109" s="1478"/>
      <c r="Y109" s="1478"/>
      <c r="Z109" s="1401"/>
      <c r="AA109" s="1444"/>
      <c r="AB109" s="1401"/>
      <c r="AC109" s="1401"/>
      <c r="AD109" s="1401"/>
      <c r="AE109" s="1401"/>
      <c r="AF109" s="1401"/>
      <c r="AG109" s="1479"/>
      <c r="AH109" s="1479"/>
      <c r="AI109" s="1479"/>
      <c r="AJ109" s="1401"/>
    </row>
    <row r="110" spans="1:36" s="1390" customFormat="1" ht="51" customHeight="1" x14ac:dyDescent="0.2">
      <c r="A110" s="1390">
        <v>29</v>
      </c>
      <c r="B110" s="1472" t="str">
        <f t="shared" si="20"/>
        <v>JL. STM (BELIBIS)</v>
      </c>
      <c r="C110" s="1478" t="e">
        <f>RIGHT(#REF!,1)</f>
        <v>#REF!</v>
      </c>
      <c r="D110" s="1426">
        <v>25</v>
      </c>
      <c r="E110" s="1429" t="s">
        <v>5822</v>
      </c>
      <c r="F110" s="1539"/>
      <c r="G110" s="1517" t="s">
        <v>2494</v>
      </c>
      <c r="H110" s="1518"/>
      <c r="I110" s="1518" t="s">
        <v>479</v>
      </c>
      <c r="J110" s="1533">
        <v>2500</v>
      </c>
      <c r="K110" s="1517">
        <v>8</v>
      </c>
      <c r="L110" s="1519">
        <v>20000</v>
      </c>
      <c r="M110" s="1518" t="s">
        <v>601</v>
      </c>
      <c r="N110" s="1517">
        <v>2001</v>
      </c>
      <c r="O110" s="1518"/>
      <c r="P110" s="1518"/>
      <c r="Q110" s="1518" t="s">
        <v>482</v>
      </c>
      <c r="R110" s="1517" t="s">
        <v>12</v>
      </c>
      <c r="S110" s="1520">
        <f>2275000000+F112+F111</f>
        <v>5716986858.6148977</v>
      </c>
      <c r="T110" s="1517" t="s">
        <v>43</v>
      </c>
      <c r="U110" s="1572"/>
      <c r="V110" s="1521"/>
      <c r="W110" s="1478" t="str">
        <f>LEFT(G110,8)</f>
        <v>04.13.01</v>
      </c>
      <c r="X110" s="1478" t="str">
        <f>VLOOKUP(W110,UE,3,FALSE)</f>
        <v>Jalan</v>
      </c>
      <c r="Y110" s="1478">
        <f>VLOOKUP(W110,UE,4,FALSE)</f>
        <v>10</v>
      </c>
      <c r="Z110" s="1401"/>
      <c r="AA110" s="1444">
        <f>IF(2013-N110&gt;Y110,10,IF(2013-N110&lt;0,0,2013-N110))</f>
        <v>10</v>
      </c>
      <c r="AB110" s="1401">
        <f>SUM(PERHITUNGAN!U306:U312)</f>
        <v>2627076661.3689384</v>
      </c>
      <c r="AC110" s="1479">
        <f>SUMIF(PERHITUNGAN!A:A,'KIB D'!B110&amp;'KIB D'!$AC$7,PERHITUNGAN!U:U)</f>
        <v>172429443.56148979</v>
      </c>
      <c r="AD110" s="1479">
        <f>SUMIF(PERHITUNGAN!A:A,'KIB D'!B110&amp;'KIB D'!$AD$7,PERHITUNGAN!U:U)</f>
        <v>172429443.56148979</v>
      </c>
      <c r="AE110" s="1479">
        <f>SUMIF(PERHITUNGAN!A:A,'KIB D'!B110&amp;'KIB D'!$AE$7,PERHITUNGAN!U:U)</f>
        <v>274505131.01229793</v>
      </c>
      <c r="AF110" s="1479">
        <f>SUMIF(PERHITUNGAN!A:A,'KIB D'!B110&amp;'KIB D'!$AF$7,PERHITUNGAN!U:U)</f>
        <v>274505131.01229793</v>
      </c>
      <c r="AG110" s="1479">
        <f>SUMIF(PERHITUNGAN!A:A,'KIB D'!B110&amp;'KIB D'!$AG$7,PERHITUNGAN!U:U)</f>
        <v>274505131.01229793</v>
      </c>
      <c r="AH110" s="1479">
        <f>SUMIF(PERHITUNGAN!A:A,'KIB D'!B110&amp;'KIB D'!$AH$7,PERHITUNGAN!U:U)</f>
        <v>274505131.01229793</v>
      </c>
      <c r="AI110" s="1479">
        <f>SUM(AB110:AH110)</f>
        <v>4069956072.54111</v>
      </c>
      <c r="AJ110" s="1401">
        <f>S110-AI110</f>
        <v>1647030786.0737877</v>
      </c>
    </row>
    <row r="111" spans="1:36" s="1390" customFormat="1" ht="51" customHeight="1" x14ac:dyDescent="0.2">
      <c r="A111" s="1390">
        <v>29</v>
      </c>
      <c r="B111" s="1472" t="str">
        <f t="shared" si="20"/>
        <v>JL. STM (BELIBIS)</v>
      </c>
      <c r="C111" s="1478"/>
      <c r="D111" s="1426"/>
      <c r="E111" s="1583" t="s">
        <v>5102</v>
      </c>
      <c r="F111" s="1539">
        <v>1041794435.614898</v>
      </c>
      <c r="G111" s="1416" t="s">
        <v>2494</v>
      </c>
      <c r="H111" s="1508"/>
      <c r="I111" s="1534" t="s">
        <v>519</v>
      </c>
      <c r="J111" s="1534">
        <v>1000</v>
      </c>
      <c r="K111" s="1535"/>
      <c r="L111" s="1534">
        <v>1000</v>
      </c>
      <c r="M111" s="1534" t="s">
        <v>5101</v>
      </c>
      <c r="N111" s="1416">
        <v>2009</v>
      </c>
      <c r="O111" s="1414"/>
      <c r="P111" s="1414" t="s">
        <v>5084</v>
      </c>
      <c r="Q111" s="1414"/>
      <c r="R111" s="1523" t="s">
        <v>12</v>
      </c>
      <c r="S111" s="1529"/>
      <c r="T111" s="1416" t="s">
        <v>43</v>
      </c>
      <c r="U111" s="1427"/>
      <c r="V111" s="1477"/>
      <c r="W111" s="1478"/>
      <c r="X111" s="1478"/>
      <c r="Y111" s="1478"/>
      <c r="Z111" s="1401"/>
      <c r="AA111" s="1444"/>
      <c r="AB111" s="1401"/>
      <c r="AC111" s="1401"/>
      <c r="AD111" s="1401"/>
      <c r="AE111" s="1401"/>
      <c r="AF111" s="1401"/>
      <c r="AG111" s="1479"/>
      <c r="AH111" s="1479"/>
      <c r="AI111" s="1479"/>
      <c r="AJ111" s="1401"/>
    </row>
    <row r="112" spans="1:36" s="1390" customFormat="1" ht="35" customHeight="1" x14ac:dyDescent="0.2">
      <c r="A112" s="1390">
        <v>29</v>
      </c>
      <c r="B112" s="1472" t="str">
        <f t="shared" si="20"/>
        <v>JL. STM (BELIBIS)</v>
      </c>
      <c r="C112" s="1478" t="e">
        <f>RIGHT(#REF!,1)</f>
        <v>#REF!</v>
      </c>
      <c r="D112" s="1426"/>
      <c r="E112" s="1539" t="s">
        <v>1444</v>
      </c>
      <c r="F112" s="1529">
        <v>2400192423</v>
      </c>
      <c r="G112" s="1501" t="s">
        <v>2494</v>
      </c>
      <c r="H112" s="1501"/>
      <c r="I112" s="1414"/>
      <c r="J112" s="1526"/>
      <c r="K112" s="1416"/>
      <c r="L112" s="1430"/>
      <c r="M112" s="1429" t="s">
        <v>3258</v>
      </c>
      <c r="N112" s="1501">
        <v>2016</v>
      </c>
      <c r="O112" s="1414"/>
      <c r="P112" s="1414"/>
      <c r="Q112" s="1414"/>
      <c r="R112" s="1501" t="s">
        <v>12</v>
      </c>
      <c r="S112" s="1527"/>
      <c r="T112" s="1528"/>
      <c r="U112" s="1575"/>
      <c r="V112" s="1490"/>
      <c r="W112" s="1478" t="str">
        <f>LEFT(G112,8)</f>
        <v>04.13.01</v>
      </c>
      <c r="X112" s="1478" t="str">
        <f>VLOOKUP(W112,UE,3,FALSE)</f>
        <v>Jalan</v>
      </c>
      <c r="Y112" s="1478">
        <f>VLOOKUP(W112,UE,4,FALSE)</f>
        <v>10</v>
      </c>
      <c r="Z112" s="1401"/>
      <c r="AA112" s="1444"/>
      <c r="AB112" s="1401"/>
      <c r="AC112" s="1401"/>
      <c r="AD112" s="1401"/>
      <c r="AE112" s="1401"/>
      <c r="AF112" s="1401"/>
      <c r="AG112" s="1479"/>
      <c r="AH112" s="1479"/>
      <c r="AI112" s="1479"/>
      <c r="AJ112" s="1401">
        <f>S112-AI112</f>
        <v>0</v>
      </c>
    </row>
    <row r="113" spans="1:36" s="1390" customFormat="1" ht="35" customHeight="1" x14ac:dyDescent="0.2">
      <c r="A113" s="1390">
        <v>30</v>
      </c>
      <c r="B113" s="1472" t="str">
        <f t="shared" si="20"/>
        <v>JL. PULAU KOMANG - PENYEBERANGAN KOPAH</v>
      </c>
      <c r="C113" s="1478" t="e">
        <f>RIGHT(#REF!,1)</f>
        <v>#REF!</v>
      </c>
      <c r="D113" s="1426">
        <v>26</v>
      </c>
      <c r="E113" s="1429" t="s">
        <v>529</v>
      </c>
      <c r="F113" s="1539"/>
      <c r="G113" s="1517" t="s">
        <v>2494</v>
      </c>
      <c r="H113" s="1518"/>
      <c r="I113" s="1518"/>
      <c r="J113" s="1533">
        <v>2000</v>
      </c>
      <c r="K113" s="1517">
        <v>7</v>
      </c>
      <c r="L113" s="1519">
        <v>14000</v>
      </c>
      <c r="M113" s="1518" t="s">
        <v>597</v>
      </c>
      <c r="N113" s="1517">
        <v>2001</v>
      </c>
      <c r="O113" s="1518"/>
      <c r="P113" s="1518"/>
      <c r="Q113" s="1518" t="s">
        <v>482</v>
      </c>
      <c r="R113" s="1517" t="s">
        <v>12</v>
      </c>
      <c r="S113" s="1520">
        <v>1650550765</v>
      </c>
      <c r="T113" s="1517" t="s">
        <v>43</v>
      </c>
      <c r="U113" s="1572"/>
      <c r="V113" s="1521"/>
      <c r="W113" s="1478" t="str">
        <f>LEFT(G113,8)</f>
        <v>04.13.01</v>
      </c>
      <c r="X113" s="1478" t="str">
        <f>VLOOKUP(W113,UE,3,FALSE)</f>
        <v>Jalan</v>
      </c>
      <c r="Y113" s="1478">
        <f>VLOOKUP(W113,UE,4,FALSE)</f>
        <v>10</v>
      </c>
      <c r="Z113" s="1401">
        <f>S113/Y113</f>
        <v>165055076.5</v>
      </c>
      <c r="AA113" s="1444">
        <f>IF(2013-N113+1&gt;Y113,Y113,IF(2013-N113+1&lt;0,0,2013-N113+1))</f>
        <v>10</v>
      </c>
      <c r="AB113" s="1401">
        <f>IF(AA113&gt;Y113,S113,Z113*AA113)</f>
        <v>1650550765</v>
      </c>
      <c r="AC113" s="1401">
        <f>IF(S113=AB113,0,Z113)</f>
        <v>0</v>
      </c>
      <c r="AD113" s="1401">
        <f>IF(S113=AB113+AC113,0,Z113)</f>
        <v>0</v>
      </c>
      <c r="AE113" s="1401">
        <f>IF(S113=AB113+AC113+AD113,0,Z113)</f>
        <v>0</v>
      </c>
      <c r="AF113" s="1401">
        <f>IF(S113=AC113+AD113+AE113+AB113,0,Z113)</f>
        <v>0</v>
      </c>
      <c r="AG113" s="1479">
        <f>IF(S113=AC113+AD113+AE113+AB113+AF113,0,Z113)</f>
        <v>0</v>
      </c>
      <c r="AH113" s="1479">
        <f>IF(S113=AC113+AD113+AE113+AB113+AF113+AG113,0,Z113)</f>
        <v>0</v>
      </c>
      <c r="AI113" s="1479">
        <f>SUM(AB113:AH113)</f>
        <v>1650550765</v>
      </c>
      <c r="AJ113" s="1401">
        <f>S113-AI113</f>
        <v>0</v>
      </c>
    </row>
    <row r="114" spans="1:36" s="1390" customFormat="1" ht="35" customHeight="1" x14ac:dyDescent="0.2">
      <c r="A114" s="1390">
        <v>31</v>
      </c>
      <c r="B114" s="1472" t="str">
        <f t="shared" si="20"/>
        <v>JAO - BATANG KUANTAN</v>
      </c>
      <c r="C114" s="1478" t="e">
        <f>RIGHT(#REF!,1)</f>
        <v>#REF!</v>
      </c>
      <c r="D114" s="1426">
        <v>27</v>
      </c>
      <c r="E114" s="1429" t="s">
        <v>529</v>
      </c>
      <c r="F114" s="1539"/>
      <c r="G114" s="1517" t="s">
        <v>2494</v>
      </c>
      <c r="H114" s="1518"/>
      <c r="I114" s="1518" t="s">
        <v>479</v>
      </c>
      <c r="J114" s="1533">
        <v>1000</v>
      </c>
      <c r="K114" s="1517">
        <v>7</v>
      </c>
      <c r="L114" s="1519">
        <v>7000</v>
      </c>
      <c r="M114" s="1518" t="s">
        <v>599</v>
      </c>
      <c r="N114" s="1517">
        <v>2001</v>
      </c>
      <c r="O114" s="1518"/>
      <c r="P114" s="1518"/>
      <c r="Q114" s="1518" t="s">
        <v>482</v>
      </c>
      <c r="R114" s="1517" t="s">
        <v>12</v>
      </c>
      <c r="S114" s="1520">
        <v>630000000</v>
      </c>
      <c r="T114" s="1517" t="s">
        <v>43</v>
      </c>
      <c r="U114" s="1572"/>
      <c r="V114" s="1521"/>
      <c r="W114" s="1478" t="str">
        <f>LEFT(G114,8)</f>
        <v>04.13.01</v>
      </c>
      <c r="X114" s="1478" t="str">
        <f>VLOOKUP(W114,UE,3,FALSE)</f>
        <v>Jalan</v>
      </c>
      <c r="Y114" s="1478">
        <f>VLOOKUP(W114,UE,4,FALSE)</f>
        <v>10</v>
      </c>
      <c r="Z114" s="1401">
        <f>S114/Y114</f>
        <v>63000000</v>
      </c>
      <c r="AA114" s="1444">
        <f>IF(2013-N114+1&gt;Y114,Y114,IF(2013-N114+1&lt;0,0,2013-N114+1))</f>
        <v>10</v>
      </c>
      <c r="AB114" s="1401">
        <f>IF(AA114&gt;Y114,S114,Z114*AA114)</f>
        <v>630000000</v>
      </c>
      <c r="AC114" s="1401">
        <f>IF(S114=AB114,0,Z114)</f>
        <v>0</v>
      </c>
      <c r="AD114" s="1401">
        <f>IF(S114=AB114+AC114,0,Z114)</f>
        <v>0</v>
      </c>
      <c r="AE114" s="1401">
        <f>IF(S114=AB114+AC114+AD114,0,Z114)</f>
        <v>0</v>
      </c>
      <c r="AF114" s="1401">
        <f>IF(S114=AC114+AD114+AE114+AB114,0,Z114)</f>
        <v>0</v>
      </c>
      <c r="AG114" s="1479">
        <f>IF(S114=AC114+AD114+AE114+AB114+AF114,0,Z114)</f>
        <v>0</v>
      </c>
      <c r="AH114" s="1479">
        <f>IF(S114=AC114+AD114+AE114+AB114+AF114+AG114,0,Z114)</f>
        <v>0</v>
      </c>
      <c r="AI114" s="1479">
        <f>SUM(AB114:AH114)</f>
        <v>630000000</v>
      </c>
      <c r="AJ114" s="1401">
        <f>S114-AI114</f>
        <v>0</v>
      </c>
    </row>
    <row r="115" spans="1:36" s="1390" customFormat="1" ht="35" customHeight="1" x14ac:dyDescent="0.2">
      <c r="A115" s="1390">
        <v>32</v>
      </c>
      <c r="B115" s="1472" t="str">
        <f t="shared" si="20"/>
        <v>JL. SUDIRMAN - JP. KM. 164 + 500</v>
      </c>
      <c r="C115" s="1478" t="e">
        <f>RIGHT(#REF!,1)</f>
        <v>#REF!</v>
      </c>
      <c r="D115" s="1426">
        <v>28</v>
      </c>
      <c r="E115" s="1429" t="s">
        <v>5823</v>
      </c>
      <c r="F115" s="1539"/>
      <c r="G115" s="1517" t="s">
        <v>2494</v>
      </c>
      <c r="H115" s="1518"/>
      <c r="I115" s="1518" t="s">
        <v>479</v>
      </c>
      <c r="J115" s="1533" t="s">
        <v>653</v>
      </c>
      <c r="K115" s="1517"/>
      <c r="L115" s="1519"/>
      <c r="M115" s="1518" t="s">
        <v>654</v>
      </c>
      <c r="N115" s="1517">
        <v>2001</v>
      </c>
      <c r="O115" s="1518"/>
      <c r="P115" s="1518"/>
      <c r="Q115" s="1518" t="s">
        <v>482</v>
      </c>
      <c r="R115" s="1517" t="s">
        <v>655</v>
      </c>
      <c r="S115" s="1520">
        <f>56840000000+F116+F117</f>
        <v>60701086483.622681</v>
      </c>
      <c r="T115" s="1517" t="s">
        <v>43</v>
      </c>
      <c r="U115" s="1572"/>
      <c r="V115" s="1521"/>
      <c r="W115" s="1478" t="str">
        <f>LEFT(G115,8)</f>
        <v>04.13.01</v>
      </c>
      <c r="X115" s="1478" t="str">
        <f>VLOOKUP(W115,UE,3,FALSE)</f>
        <v>Jalan</v>
      </c>
      <c r="Y115" s="1478">
        <f>VLOOKUP(W115,UE,4,FALSE)</f>
        <v>10</v>
      </c>
      <c r="Z115" s="1401"/>
      <c r="AA115" s="1444">
        <f>IF(2013-N115&gt;Y115,10,IF(2013-N115&lt;0,0,2013-N115))</f>
        <v>10</v>
      </c>
      <c r="AB115" s="1401">
        <f>SUM(PERHITUNGAN!U327:U335)</f>
        <v>60701086483.622665</v>
      </c>
      <c r="AC115" s="1479">
        <f>SUMIF(PERHITUNGAN!A:A,'KIB D'!B115&amp;'KIB D'!$AC$7,PERHITUNGAN!U:U)</f>
        <v>0</v>
      </c>
      <c r="AD115" s="1479">
        <f>SUMIF(PERHITUNGAN!A:A,'KIB D'!B115&amp;'KIB D'!$AD$7,PERHITUNGAN!U:U)</f>
        <v>0</v>
      </c>
      <c r="AE115" s="1479">
        <f>SUMIF(PERHITUNGAN!A:A,'KIB D'!B115&amp;'KIB D'!$AE$7,PERHITUNGAN!U:U)</f>
        <v>0</v>
      </c>
      <c r="AF115" s="1479">
        <f>SUMIF(PERHITUNGAN!A:A,'KIB D'!B115&amp;'KIB D'!$AF$7,PERHITUNGAN!U:U)</f>
        <v>0</v>
      </c>
      <c r="AG115" s="1479">
        <f>SUMIF(PERHITUNGAN!A:A,'KIB D'!B115&amp;'KIB D'!$AG$7,PERHITUNGAN!U:U)</f>
        <v>0</v>
      </c>
      <c r="AH115" s="1479">
        <f>SUMIF(PERHITUNGAN!A:A,'KIB D'!B115&amp;'KIB D'!$AH$7,PERHITUNGAN!U:U)</f>
        <v>0</v>
      </c>
      <c r="AI115" s="1479">
        <f>SUM(AB115:AH115)</f>
        <v>60701086483.622665</v>
      </c>
      <c r="AJ115" s="1401">
        <f>S115-AI115</f>
        <v>0</v>
      </c>
    </row>
    <row r="116" spans="1:36" s="1390" customFormat="1" ht="35" customHeight="1" x14ac:dyDescent="0.2">
      <c r="A116" s="1390">
        <v>32</v>
      </c>
      <c r="B116" s="1472" t="str">
        <f t="shared" si="20"/>
        <v>JL. SUDIRMAN - JP. KM. 164 + 500</v>
      </c>
      <c r="C116" s="1478" t="e">
        <f>RIGHT(#REF!,1)</f>
        <v>#REF!</v>
      </c>
      <c r="D116" s="1426"/>
      <c r="E116" s="1429" t="s">
        <v>529</v>
      </c>
      <c r="F116" s="1539">
        <v>1742422500</v>
      </c>
      <c r="G116" s="1517" t="s">
        <v>2494</v>
      </c>
      <c r="H116" s="1518"/>
      <c r="I116" s="1518" t="s">
        <v>479</v>
      </c>
      <c r="J116" s="1519" t="s">
        <v>593</v>
      </c>
      <c r="K116" s="1517">
        <v>10</v>
      </c>
      <c r="L116" s="1519">
        <v>8510</v>
      </c>
      <c r="M116" s="1518" t="s">
        <v>594</v>
      </c>
      <c r="N116" s="1517">
        <v>2001</v>
      </c>
      <c r="O116" s="1518"/>
      <c r="P116" s="1518"/>
      <c r="Q116" s="1518" t="s">
        <v>482</v>
      </c>
      <c r="R116" s="1517" t="s">
        <v>12</v>
      </c>
      <c r="S116" s="1520"/>
      <c r="T116" s="1517" t="s">
        <v>43</v>
      </c>
      <c r="U116" s="1572"/>
      <c r="V116" s="1521"/>
      <c r="W116" s="1478" t="str">
        <f>LEFT(G116,8)</f>
        <v>04.13.01</v>
      </c>
      <c r="X116" s="1478" t="str">
        <f>VLOOKUP(W116,UE,3,FALSE)</f>
        <v>Jalan</v>
      </c>
      <c r="Y116" s="1478">
        <f>VLOOKUP(W116,UE,4,FALSE)</f>
        <v>10</v>
      </c>
      <c r="Z116" s="1401"/>
      <c r="AA116" s="1444"/>
      <c r="AB116" s="1401"/>
      <c r="AC116" s="1401"/>
      <c r="AD116" s="1401"/>
      <c r="AE116" s="1401"/>
      <c r="AF116" s="1401"/>
      <c r="AG116" s="1479"/>
      <c r="AH116" s="1479"/>
      <c r="AI116" s="1479"/>
      <c r="AJ116" s="1401">
        <f>S116-AI116</f>
        <v>0</v>
      </c>
    </row>
    <row r="117" spans="1:36" s="1390" customFormat="1" ht="35" customHeight="1" x14ac:dyDescent="0.2">
      <c r="A117" s="1390">
        <v>32</v>
      </c>
      <c r="B117" s="1472" t="str">
        <f t="shared" si="20"/>
        <v>JL. SUDIRMAN - JP. KM. 164 + 500</v>
      </c>
      <c r="C117" s="1478"/>
      <c r="D117" s="1426"/>
      <c r="E117" s="1573" t="s">
        <v>5103</v>
      </c>
      <c r="F117" s="1539">
        <v>2118663983.6226768</v>
      </c>
      <c r="G117" s="1416" t="s">
        <v>2494</v>
      </c>
      <c r="H117" s="1508"/>
      <c r="I117" s="1523" t="s">
        <v>519</v>
      </c>
      <c r="J117" s="1532">
        <f>0.8*100</f>
        <v>80</v>
      </c>
      <c r="K117" s="1532"/>
      <c r="L117" s="1532"/>
      <c r="M117" s="1536" t="s">
        <v>5104</v>
      </c>
      <c r="N117" s="1416">
        <v>2008</v>
      </c>
      <c r="O117" s="1414"/>
      <c r="P117" s="1531" t="s">
        <v>5084</v>
      </c>
      <c r="Q117" s="1414"/>
      <c r="R117" s="1523" t="s">
        <v>12</v>
      </c>
      <c r="S117" s="1529"/>
      <c r="T117" s="1532" t="s">
        <v>43</v>
      </c>
      <c r="U117" s="1582"/>
      <c r="V117" s="1477"/>
      <c r="W117" s="1478"/>
      <c r="X117" s="1478"/>
      <c r="Y117" s="1478"/>
      <c r="Z117" s="1401"/>
      <c r="AA117" s="1444"/>
      <c r="AB117" s="1401"/>
      <c r="AC117" s="1401"/>
      <c r="AD117" s="1401"/>
      <c r="AE117" s="1401"/>
      <c r="AF117" s="1401"/>
      <c r="AG117" s="1479"/>
      <c r="AH117" s="1479"/>
      <c r="AI117" s="1479"/>
      <c r="AJ117" s="1401"/>
    </row>
    <row r="118" spans="1:36" s="1390" customFormat="1" ht="35" customHeight="1" x14ac:dyDescent="0.2">
      <c r="A118" s="1390">
        <v>33</v>
      </c>
      <c r="B118" s="1472" t="str">
        <f t="shared" si="20"/>
        <v>JL. KESEHATAN - MESJID</v>
      </c>
      <c r="C118" s="1478" t="e">
        <f>RIGHT(#REF!,1)</f>
        <v>#REF!</v>
      </c>
      <c r="D118" s="1426">
        <v>29</v>
      </c>
      <c r="E118" s="1429" t="s">
        <v>529</v>
      </c>
      <c r="F118" s="1539"/>
      <c r="G118" s="1517" t="s">
        <v>2494</v>
      </c>
      <c r="H118" s="1518"/>
      <c r="I118" s="1518" t="s">
        <v>479</v>
      </c>
      <c r="J118" s="1533" t="s">
        <v>591</v>
      </c>
      <c r="K118" s="1517">
        <v>8</v>
      </c>
      <c r="L118" s="1519">
        <v>2232</v>
      </c>
      <c r="M118" s="1518" t="s">
        <v>592</v>
      </c>
      <c r="N118" s="1517">
        <v>2001</v>
      </c>
      <c r="O118" s="1518"/>
      <c r="P118" s="1518"/>
      <c r="Q118" s="1518" t="s">
        <v>482</v>
      </c>
      <c r="R118" s="1517" t="s">
        <v>12</v>
      </c>
      <c r="S118" s="1520">
        <v>317362500</v>
      </c>
      <c r="T118" s="1517" t="s">
        <v>43</v>
      </c>
      <c r="U118" s="1572"/>
      <c r="V118" s="1521"/>
      <c r="W118" s="1478" t="str">
        <f t="shared" ref="W118:W124" si="30">LEFT(G118,8)</f>
        <v>04.13.01</v>
      </c>
      <c r="X118" s="1478" t="str">
        <f t="shared" ref="X118:X124" si="31">VLOOKUP(W118,UE,3,FALSE)</f>
        <v>Jalan</v>
      </c>
      <c r="Y118" s="1478">
        <f t="shared" ref="Y118:Y124" si="32">VLOOKUP(W118,UE,4,FALSE)</f>
        <v>10</v>
      </c>
      <c r="Z118" s="1401">
        <f t="shared" ref="Z118:Z124" si="33">S118/Y118</f>
        <v>31736250</v>
      </c>
      <c r="AA118" s="1444">
        <f t="shared" ref="AA118:AA124" si="34">IF(2013-N118+1&gt;Y118,Y118,IF(2013-N118+1&lt;0,0,2013-N118+1))</f>
        <v>10</v>
      </c>
      <c r="AB118" s="1401">
        <f t="shared" ref="AB118:AB124" si="35">IF(AA118&gt;Y118,S118,Z118*AA118)</f>
        <v>317362500</v>
      </c>
      <c r="AC118" s="1401">
        <f t="shared" ref="AC118:AC124" si="36">IF(S118=AB118,0,Z118)</f>
        <v>0</v>
      </c>
      <c r="AD118" s="1401">
        <f t="shared" ref="AD118:AD124" si="37">IF(S118=AB118+AC118,0,Z118)</f>
        <v>0</v>
      </c>
      <c r="AE118" s="1401">
        <f t="shared" ref="AE118:AE124" si="38">IF(S118=AB118+AC118+AD118,0,Z118)</f>
        <v>0</v>
      </c>
      <c r="AF118" s="1401">
        <f t="shared" ref="AF118:AF124" si="39">IF(S118=AC118+AD118+AE118+AB118,0,Z118)</f>
        <v>0</v>
      </c>
      <c r="AG118" s="1479">
        <f t="shared" ref="AG118:AG124" si="40">IF(S118=AC118+AD118+AE118+AB118+AF118,0,Z118)</f>
        <v>0</v>
      </c>
      <c r="AH118" s="1479">
        <f t="shared" ref="AH118:AH124" si="41">IF(S118=AC118+AD118+AE118+AB118+AF118+AG118,0,Z118)</f>
        <v>0</v>
      </c>
      <c r="AI118" s="1479">
        <f t="shared" ref="AI118:AI124" si="42">SUM(AB118:AH118)</f>
        <v>317362500</v>
      </c>
      <c r="AJ118" s="1401">
        <f t="shared" ref="AJ118:AJ124" si="43">S118-AI118</f>
        <v>0</v>
      </c>
    </row>
    <row r="119" spans="1:36" s="1390" customFormat="1" ht="35" customHeight="1" x14ac:dyDescent="0.2">
      <c r="A119" s="1390">
        <v>34</v>
      </c>
      <c r="B119" s="1472" t="str">
        <f t="shared" si="20"/>
        <v>JL. TUGU BARAT - JL. SUDIRMAN</v>
      </c>
      <c r="C119" s="1478" t="e">
        <f>RIGHT(#REF!,1)</f>
        <v>#REF!</v>
      </c>
      <c r="D119" s="1426">
        <v>30</v>
      </c>
      <c r="E119" s="1429" t="s">
        <v>529</v>
      </c>
      <c r="F119" s="1539"/>
      <c r="G119" s="1517" t="s">
        <v>2494</v>
      </c>
      <c r="H119" s="1518"/>
      <c r="I119" s="1518" t="s">
        <v>479</v>
      </c>
      <c r="J119" s="1533" t="s">
        <v>595</v>
      </c>
      <c r="K119" s="1517">
        <v>8</v>
      </c>
      <c r="L119" s="1519">
        <v>1520</v>
      </c>
      <c r="M119" s="1518" t="s">
        <v>596</v>
      </c>
      <c r="N119" s="1517">
        <v>2001</v>
      </c>
      <c r="O119" s="1518"/>
      <c r="P119" s="1518"/>
      <c r="Q119" s="1518" t="s">
        <v>482</v>
      </c>
      <c r="R119" s="1517" t="s">
        <v>12</v>
      </c>
      <c r="S119" s="1520">
        <v>216125000</v>
      </c>
      <c r="T119" s="1517" t="s">
        <v>43</v>
      </c>
      <c r="U119" s="1572"/>
      <c r="V119" s="1521"/>
      <c r="W119" s="1478" t="str">
        <f t="shared" si="30"/>
        <v>04.13.01</v>
      </c>
      <c r="X119" s="1478" t="str">
        <f t="shared" si="31"/>
        <v>Jalan</v>
      </c>
      <c r="Y119" s="1478">
        <f t="shared" si="32"/>
        <v>10</v>
      </c>
      <c r="Z119" s="1401">
        <f t="shared" si="33"/>
        <v>21612500</v>
      </c>
      <c r="AA119" s="1444">
        <f t="shared" si="34"/>
        <v>10</v>
      </c>
      <c r="AB119" s="1401">
        <f t="shared" si="35"/>
        <v>216125000</v>
      </c>
      <c r="AC119" s="1401">
        <f t="shared" si="36"/>
        <v>0</v>
      </c>
      <c r="AD119" s="1401">
        <f t="shared" si="37"/>
        <v>0</v>
      </c>
      <c r="AE119" s="1401">
        <f t="shared" si="38"/>
        <v>0</v>
      </c>
      <c r="AF119" s="1401">
        <f t="shared" si="39"/>
        <v>0</v>
      </c>
      <c r="AG119" s="1479">
        <f t="shared" si="40"/>
        <v>0</v>
      </c>
      <c r="AH119" s="1479">
        <f t="shared" si="41"/>
        <v>0</v>
      </c>
      <c r="AI119" s="1479">
        <f t="shared" si="42"/>
        <v>216125000</v>
      </c>
      <c r="AJ119" s="1401">
        <f t="shared" si="43"/>
        <v>0</v>
      </c>
    </row>
    <row r="120" spans="1:36" s="1390" customFormat="1" ht="35" customHeight="1" x14ac:dyDescent="0.2">
      <c r="A120" s="1390">
        <v>35</v>
      </c>
      <c r="B120" s="1472" t="str">
        <f t="shared" si="20"/>
        <v>JL. TUGU TIMUR - JL. SUDIRMAN</v>
      </c>
      <c r="C120" s="1478" t="s">
        <v>4776</v>
      </c>
      <c r="D120" s="1426">
        <v>31</v>
      </c>
      <c r="E120" s="1429" t="s">
        <v>529</v>
      </c>
      <c r="F120" s="1539"/>
      <c r="G120" s="1517" t="s">
        <v>2494</v>
      </c>
      <c r="H120" s="1518"/>
      <c r="I120" s="1518" t="s">
        <v>479</v>
      </c>
      <c r="J120" s="1533" t="s">
        <v>588</v>
      </c>
      <c r="K120" s="1517">
        <v>8</v>
      </c>
      <c r="L120" s="1519">
        <v>1024</v>
      </c>
      <c r="M120" s="1518" t="s">
        <v>589</v>
      </c>
      <c r="N120" s="1517">
        <v>2001</v>
      </c>
      <c r="O120" s="1518"/>
      <c r="P120" s="1518"/>
      <c r="Q120" s="1518" t="s">
        <v>482</v>
      </c>
      <c r="R120" s="1517" t="s">
        <v>12</v>
      </c>
      <c r="S120" s="1520">
        <f>145600000</f>
        <v>145600000</v>
      </c>
      <c r="T120" s="1517" t="s">
        <v>43</v>
      </c>
      <c r="U120" s="1572"/>
      <c r="V120" s="1521"/>
      <c r="W120" s="1478" t="str">
        <f t="shared" si="30"/>
        <v>04.13.01</v>
      </c>
      <c r="X120" s="1478" t="str">
        <f t="shared" si="31"/>
        <v>Jalan</v>
      </c>
      <c r="Y120" s="1478">
        <f t="shared" si="32"/>
        <v>10</v>
      </c>
      <c r="Z120" s="1401">
        <f t="shared" si="33"/>
        <v>14560000</v>
      </c>
      <c r="AA120" s="1444">
        <f t="shared" si="34"/>
        <v>10</v>
      </c>
      <c r="AB120" s="1401">
        <f t="shared" si="35"/>
        <v>145600000</v>
      </c>
      <c r="AC120" s="1401">
        <f t="shared" si="36"/>
        <v>0</v>
      </c>
      <c r="AD120" s="1401">
        <f t="shared" si="37"/>
        <v>0</v>
      </c>
      <c r="AE120" s="1401">
        <f t="shared" si="38"/>
        <v>0</v>
      </c>
      <c r="AF120" s="1401">
        <f t="shared" si="39"/>
        <v>0</v>
      </c>
      <c r="AG120" s="1479">
        <f t="shared" si="40"/>
        <v>0</v>
      </c>
      <c r="AH120" s="1479">
        <f t="shared" si="41"/>
        <v>0</v>
      </c>
      <c r="AI120" s="1479">
        <f t="shared" si="42"/>
        <v>145600000</v>
      </c>
      <c r="AJ120" s="1401">
        <f t="shared" si="43"/>
        <v>0</v>
      </c>
    </row>
    <row r="121" spans="1:36" s="1390" customFormat="1" ht="35" customHeight="1" x14ac:dyDescent="0.2">
      <c r="A121" s="1390">
        <v>36</v>
      </c>
      <c r="B121" s="1472" t="str">
        <f t="shared" si="20"/>
        <v>JL. LINGKAR JATI 1 - JL. SUDIRMAN</v>
      </c>
      <c r="C121" s="1478" t="e">
        <f>RIGHT(#REF!,1)</f>
        <v>#REF!</v>
      </c>
      <c r="D121" s="1426">
        <v>32</v>
      </c>
      <c r="E121" s="1429" t="s">
        <v>529</v>
      </c>
      <c r="F121" s="1539"/>
      <c r="G121" s="1517" t="s">
        <v>2494</v>
      </c>
      <c r="H121" s="1518"/>
      <c r="I121" s="1518" t="s">
        <v>479</v>
      </c>
      <c r="J121" s="1533" t="s">
        <v>588</v>
      </c>
      <c r="K121" s="1517">
        <v>8</v>
      </c>
      <c r="L121" s="1519">
        <v>1024</v>
      </c>
      <c r="M121" s="1518" t="s">
        <v>590</v>
      </c>
      <c r="N121" s="1517">
        <v>2001</v>
      </c>
      <c r="O121" s="1518"/>
      <c r="P121" s="1518"/>
      <c r="Q121" s="1518" t="s">
        <v>482</v>
      </c>
      <c r="R121" s="1517" t="s">
        <v>12</v>
      </c>
      <c r="S121" s="1520">
        <v>174720000</v>
      </c>
      <c r="T121" s="1517" t="s">
        <v>43</v>
      </c>
      <c r="U121" s="1572"/>
      <c r="V121" s="1521"/>
      <c r="W121" s="1478" t="str">
        <f t="shared" si="30"/>
        <v>04.13.01</v>
      </c>
      <c r="X121" s="1478" t="str">
        <f t="shared" si="31"/>
        <v>Jalan</v>
      </c>
      <c r="Y121" s="1478">
        <f t="shared" si="32"/>
        <v>10</v>
      </c>
      <c r="Z121" s="1401">
        <f t="shared" si="33"/>
        <v>17472000</v>
      </c>
      <c r="AA121" s="1444">
        <f t="shared" si="34"/>
        <v>10</v>
      </c>
      <c r="AB121" s="1401">
        <f t="shared" si="35"/>
        <v>174720000</v>
      </c>
      <c r="AC121" s="1401">
        <f t="shared" si="36"/>
        <v>0</v>
      </c>
      <c r="AD121" s="1401">
        <f t="shared" si="37"/>
        <v>0</v>
      </c>
      <c r="AE121" s="1401">
        <f t="shared" si="38"/>
        <v>0</v>
      </c>
      <c r="AF121" s="1401">
        <f t="shared" si="39"/>
        <v>0</v>
      </c>
      <c r="AG121" s="1479">
        <f t="shared" si="40"/>
        <v>0</v>
      </c>
      <c r="AH121" s="1479">
        <f t="shared" si="41"/>
        <v>0</v>
      </c>
      <c r="AI121" s="1479">
        <f t="shared" si="42"/>
        <v>174720000</v>
      </c>
      <c r="AJ121" s="1401">
        <f t="shared" si="43"/>
        <v>0</v>
      </c>
    </row>
    <row r="122" spans="1:36" s="1390" customFormat="1" ht="35" customHeight="1" x14ac:dyDescent="0.2">
      <c r="A122" s="1390">
        <v>37</v>
      </c>
      <c r="B122" s="1472" t="str">
        <f t="shared" si="20"/>
        <v>JL. LINGKAR JATI 2 - JL. SUDIRMAN</v>
      </c>
      <c r="C122" s="1478" t="e">
        <f>RIGHT(#REF!,1)</f>
        <v>#REF!</v>
      </c>
      <c r="D122" s="1426">
        <v>33</v>
      </c>
      <c r="E122" s="1429" t="s">
        <v>529</v>
      </c>
      <c r="F122" s="1539"/>
      <c r="G122" s="1517" t="s">
        <v>2494</v>
      </c>
      <c r="H122" s="1518"/>
      <c r="I122" s="1518" t="s">
        <v>479</v>
      </c>
      <c r="J122" s="1533" t="s">
        <v>582</v>
      </c>
      <c r="K122" s="1517">
        <v>8</v>
      </c>
      <c r="L122" s="1519">
        <v>696</v>
      </c>
      <c r="M122" s="1518" t="s">
        <v>583</v>
      </c>
      <c r="N122" s="1517">
        <v>2001</v>
      </c>
      <c r="O122" s="1518"/>
      <c r="P122" s="1518"/>
      <c r="Q122" s="1518" t="s">
        <v>482</v>
      </c>
      <c r="R122" s="1517" t="s">
        <v>12</v>
      </c>
      <c r="S122" s="1520">
        <v>118755000</v>
      </c>
      <c r="T122" s="1517" t="s">
        <v>43</v>
      </c>
      <c r="U122" s="1572"/>
      <c r="V122" s="1521"/>
      <c r="W122" s="1478" t="str">
        <f t="shared" si="30"/>
        <v>04.13.01</v>
      </c>
      <c r="X122" s="1478" t="str">
        <f t="shared" si="31"/>
        <v>Jalan</v>
      </c>
      <c r="Y122" s="1478">
        <f t="shared" si="32"/>
        <v>10</v>
      </c>
      <c r="Z122" s="1401">
        <f t="shared" si="33"/>
        <v>11875500</v>
      </c>
      <c r="AA122" s="1444">
        <f t="shared" si="34"/>
        <v>10</v>
      </c>
      <c r="AB122" s="1401">
        <f t="shared" si="35"/>
        <v>118755000</v>
      </c>
      <c r="AC122" s="1401">
        <f t="shared" si="36"/>
        <v>0</v>
      </c>
      <c r="AD122" s="1401">
        <f t="shared" si="37"/>
        <v>0</v>
      </c>
      <c r="AE122" s="1401">
        <f t="shared" si="38"/>
        <v>0</v>
      </c>
      <c r="AF122" s="1401">
        <f t="shared" si="39"/>
        <v>0</v>
      </c>
      <c r="AG122" s="1479">
        <f t="shared" si="40"/>
        <v>0</v>
      </c>
      <c r="AH122" s="1479">
        <f t="shared" si="41"/>
        <v>0</v>
      </c>
      <c r="AI122" s="1479">
        <f t="shared" si="42"/>
        <v>118755000</v>
      </c>
      <c r="AJ122" s="1401">
        <f t="shared" si="43"/>
        <v>0</v>
      </c>
    </row>
    <row r="123" spans="1:36" s="1390" customFormat="1" ht="35" customHeight="1" x14ac:dyDescent="0.2">
      <c r="A123" s="1390">
        <v>38</v>
      </c>
      <c r="B123" s="1472" t="str">
        <f t="shared" si="20"/>
        <v>JL. PETAPAHAN - JL. SUDIRMAN</v>
      </c>
      <c r="C123" s="1478" t="e">
        <f>RIGHT(#REF!,1)</f>
        <v>#REF!</v>
      </c>
      <c r="D123" s="1426">
        <v>34</v>
      </c>
      <c r="E123" s="1429" t="s">
        <v>529</v>
      </c>
      <c r="F123" s="1539"/>
      <c r="G123" s="1517" t="s">
        <v>2494</v>
      </c>
      <c r="H123" s="1518"/>
      <c r="I123" s="1518" t="s">
        <v>479</v>
      </c>
      <c r="J123" s="1533" t="s">
        <v>584</v>
      </c>
      <c r="K123" s="1517">
        <v>8</v>
      </c>
      <c r="L123" s="1519">
        <v>648</v>
      </c>
      <c r="M123" s="1518" t="s">
        <v>585</v>
      </c>
      <c r="N123" s="1517">
        <v>2001</v>
      </c>
      <c r="O123" s="1518"/>
      <c r="P123" s="1518"/>
      <c r="Q123" s="1518" t="s">
        <v>482</v>
      </c>
      <c r="R123" s="1517" t="s">
        <v>12</v>
      </c>
      <c r="S123" s="1520">
        <v>68040000</v>
      </c>
      <c r="T123" s="1517" t="s">
        <v>43</v>
      </c>
      <c r="U123" s="1572"/>
      <c r="V123" s="1521"/>
      <c r="W123" s="1478" t="str">
        <f t="shared" si="30"/>
        <v>04.13.01</v>
      </c>
      <c r="X123" s="1478" t="str">
        <f t="shared" si="31"/>
        <v>Jalan</v>
      </c>
      <c r="Y123" s="1478">
        <f t="shared" si="32"/>
        <v>10</v>
      </c>
      <c r="Z123" s="1401">
        <f t="shared" si="33"/>
        <v>6804000</v>
      </c>
      <c r="AA123" s="1444">
        <f t="shared" si="34"/>
        <v>10</v>
      </c>
      <c r="AB123" s="1401">
        <f t="shared" si="35"/>
        <v>68040000</v>
      </c>
      <c r="AC123" s="1401">
        <f t="shared" si="36"/>
        <v>0</v>
      </c>
      <c r="AD123" s="1401">
        <f t="shared" si="37"/>
        <v>0</v>
      </c>
      <c r="AE123" s="1401">
        <f t="shared" si="38"/>
        <v>0</v>
      </c>
      <c r="AF123" s="1401">
        <f t="shared" si="39"/>
        <v>0</v>
      </c>
      <c r="AG123" s="1479">
        <f t="shared" si="40"/>
        <v>0</v>
      </c>
      <c r="AH123" s="1479">
        <f t="shared" si="41"/>
        <v>0</v>
      </c>
      <c r="AI123" s="1479">
        <f t="shared" si="42"/>
        <v>68040000</v>
      </c>
      <c r="AJ123" s="1401">
        <f t="shared" si="43"/>
        <v>0</v>
      </c>
    </row>
    <row r="124" spans="1:36" s="1390" customFormat="1" ht="35" customHeight="1" x14ac:dyDescent="0.2">
      <c r="A124" s="1390">
        <v>39</v>
      </c>
      <c r="B124" s="1472" t="str">
        <f t="shared" si="20"/>
        <v>JL. SAKO - JL. SUDIRMAN</v>
      </c>
      <c r="C124" s="1478" t="e">
        <f>RIGHT(#REF!,1)</f>
        <v>#REF!</v>
      </c>
      <c r="D124" s="1426">
        <v>35</v>
      </c>
      <c r="E124" s="1429" t="s">
        <v>529</v>
      </c>
      <c r="F124" s="1539"/>
      <c r="G124" s="1517" t="s">
        <v>2494</v>
      </c>
      <c r="H124" s="1518"/>
      <c r="I124" s="1518" t="s">
        <v>479</v>
      </c>
      <c r="J124" s="1533" t="s">
        <v>586</v>
      </c>
      <c r="K124" s="1517">
        <v>7</v>
      </c>
      <c r="L124" s="1519">
        <v>532</v>
      </c>
      <c r="M124" s="1518" t="s">
        <v>587</v>
      </c>
      <c r="N124" s="1517">
        <v>2001</v>
      </c>
      <c r="O124" s="1518"/>
      <c r="P124" s="1518"/>
      <c r="Q124" s="1518" t="s">
        <v>482</v>
      </c>
      <c r="R124" s="1517" t="s">
        <v>12</v>
      </c>
      <c r="S124" s="1520">
        <v>86450000</v>
      </c>
      <c r="T124" s="1517" t="s">
        <v>43</v>
      </c>
      <c r="U124" s="1572"/>
      <c r="V124" s="1521"/>
      <c r="W124" s="1478" t="str">
        <f t="shared" si="30"/>
        <v>04.13.01</v>
      </c>
      <c r="X124" s="1478" t="str">
        <f t="shared" si="31"/>
        <v>Jalan</v>
      </c>
      <c r="Y124" s="1478">
        <f t="shared" si="32"/>
        <v>10</v>
      </c>
      <c r="Z124" s="1401">
        <f t="shared" si="33"/>
        <v>8645000</v>
      </c>
      <c r="AA124" s="1444">
        <f t="shared" si="34"/>
        <v>10</v>
      </c>
      <c r="AB124" s="1401">
        <f t="shared" si="35"/>
        <v>86450000</v>
      </c>
      <c r="AC124" s="1401">
        <f t="shared" si="36"/>
        <v>0</v>
      </c>
      <c r="AD124" s="1401">
        <f t="shared" si="37"/>
        <v>0</v>
      </c>
      <c r="AE124" s="1401">
        <f t="shared" si="38"/>
        <v>0</v>
      </c>
      <c r="AF124" s="1401">
        <f t="shared" si="39"/>
        <v>0</v>
      </c>
      <c r="AG124" s="1479">
        <f t="shared" si="40"/>
        <v>0</v>
      </c>
      <c r="AH124" s="1479">
        <f t="shared" si="41"/>
        <v>0</v>
      </c>
      <c r="AI124" s="1479">
        <f t="shared" si="42"/>
        <v>86450000</v>
      </c>
      <c r="AJ124" s="1401">
        <f t="shared" si="43"/>
        <v>0</v>
      </c>
    </row>
    <row r="125" spans="1:36" s="1390" customFormat="1" ht="35" customHeight="1" x14ac:dyDescent="0.2">
      <c r="A125" s="1390">
        <v>40</v>
      </c>
      <c r="B125" s="1472" t="str">
        <f t="shared" si="20"/>
        <v>JL. GUNUNG KESIANGAN - JL. SUDIRMAN</v>
      </c>
      <c r="C125" s="1478" t="e">
        <f>RIGHT(#REF!,1)</f>
        <v>#REF!</v>
      </c>
      <c r="D125" s="1426">
        <v>36</v>
      </c>
      <c r="E125" s="1429" t="s">
        <v>577</v>
      </c>
      <c r="F125" s="1539"/>
      <c r="G125" s="1517" t="s">
        <v>3820</v>
      </c>
      <c r="H125" s="1518"/>
      <c r="I125" s="1518" t="s">
        <v>479</v>
      </c>
      <c r="J125" s="1533" t="s">
        <v>48</v>
      </c>
      <c r="K125" s="1517"/>
      <c r="L125" s="1519"/>
      <c r="M125" s="1518" t="s">
        <v>500</v>
      </c>
      <c r="N125" s="1517">
        <v>2001</v>
      </c>
      <c r="O125" s="1518"/>
      <c r="P125" s="1518"/>
      <c r="Q125" s="1518" t="s">
        <v>482</v>
      </c>
      <c r="R125" s="1517" t="s">
        <v>12</v>
      </c>
      <c r="S125" s="1520">
        <f>1680000000+F126</f>
        <v>1767587500</v>
      </c>
      <c r="T125" s="1517" t="s">
        <v>43</v>
      </c>
      <c r="U125" s="1572"/>
      <c r="V125" s="1521"/>
      <c r="W125" s="1478" t="str">
        <f t="shared" ref="W125:W140" si="44">LEFT(G125,8)</f>
        <v>04.13.01</v>
      </c>
      <c r="X125" s="1478" t="str">
        <f t="shared" ref="X125:X140" si="45">VLOOKUP(W125,UE,3,FALSE)</f>
        <v>Jalan</v>
      </c>
      <c r="Y125" s="1478">
        <f t="shared" ref="Y125:Y140" si="46">VLOOKUP(W125,UE,4,FALSE)</f>
        <v>10</v>
      </c>
      <c r="Z125" s="1401"/>
      <c r="AA125" s="1444">
        <f>IF(2013-N125&gt;Y125,10,IF(2013-N125&lt;0,0,2013-N125))</f>
        <v>10</v>
      </c>
      <c r="AB125" s="1401">
        <f>SUM(PERHITUNGAN!U350:U353)</f>
        <v>1767587500</v>
      </c>
      <c r="AC125" s="1479">
        <f>SUMIF(PERHITUNGAN!A:A,'KIB D'!B125&amp;'KIB D'!$AC$7,PERHITUNGAN!U:U)</f>
        <v>0</v>
      </c>
      <c r="AD125" s="1479">
        <f>SUMIF(PERHITUNGAN!A:A,'KIB D'!B125&amp;'KIB D'!$AD$7,PERHITUNGAN!U:U)</f>
        <v>0</v>
      </c>
      <c r="AE125" s="1479">
        <f>SUMIF(PERHITUNGAN!A:A,'KIB D'!B125&amp;'KIB D'!$AE$7,PERHITUNGAN!U:U)</f>
        <v>0</v>
      </c>
      <c r="AF125" s="1479">
        <f>SUMIF(PERHITUNGAN!A:A,'KIB D'!B125&amp;'KIB D'!$AF$7,PERHITUNGAN!U:U)</f>
        <v>0</v>
      </c>
      <c r="AG125" s="1479">
        <f>SUMIF(PERHITUNGAN!A:A,'KIB D'!B125&amp;'KIB D'!$AG$7,PERHITUNGAN!U:U)</f>
        <v>0</v>
      </c>
      <c r="AH125" s="1479">
        <f>SUMIF(PERHITUNGAN!A:A,'KIB D'!B125&amp;'KIB D'!$AH$7,PERHITUNGAN!U:U)</f>
        <v>0</v>
      </c>
      <c r="AI125" s="1479">
        <f>SUM(AB125:AH125)</f>
        <v>1767587500</v>
      </c>
      <c r="AJ125" s="1401">
        <f t="shared" ref="AJ125:AJ140" si="47">S125-AI125</f>
        <v>0</v>
      </c>
    </row>
    <row r="126" spans="1:36" s="1390" customFormat="1" ht="35" customHeight="1" x14ac:dyDescent="0.2">
      <c r="A126" s="1390">
        <v>40</v>
      </c>
      <c r="B126" s="1472" t="str">
        <f t="shared" si="20"/>
        <v>JL. GUNUNG KESIANGAN - JL. SUDIRMAN</v>
      </c>
      <c r="C126" s="1478" t="e">
        <f>RIGHT(#REF!,1)</f>
        <v>#REF!</v>
      </c>
      <c r="D126" s="1426"/>
      <c r="E126" s="1429" t="s">
        <v>529</v>
      </c>
      <c r="F126" s="1539">
        <v>87587500</v>
      </c>
      <c r="G126" s="1517" t="s">
        <v>2494</v>
      </c>
      <c r="H126" s="1518"/>
      <c r="I126" s="1518" t="s">
        <v>479</v>
      </c>
      <c r="J126" s="1519" t="s">
        <v>576</v>
      </c>
      <c r="K126" s="1517">
        <v>7</v>
      </c>
      <c r="L126" s="1519">
        <v>539</v>
      </c>
      <c r="M126" s="1518" t="s">
        <v>577</v>
      </c>
      <c r="N126" s="1517">
        <v>2001</v>
      </c>
      <c r="O126" s="1518"/>
      <c r="P126" s="1518"/>
      <c r="Q126" s="1518" t="s">
        <v>482</v>
      </c>
      <c r="R126" s="1517" t="s">
        <v>12</v>
      </c>
      <c r="S126" s="1520"/>
      <c r="T126" s="1517" t="s">
        <v>43</v>
      </c>
      <c r="U126" s="1572"/>
      <c r="V126" s="1521"/>
      <c r="W126" s="1478" t="str">
        <f t="shared" si="44"/>
        <v>04.13.01</v>
      </c>
      <c r="X126" s="1478" t="str">
        <f t="shared" si="45"/>
        <v>Jalan</v>
      </c>
      <c r="Y126" s="1478">
        <f t="shared" si="46"/>
        <v>10</v>
      </c>
      <c r="Z126" s="1401"/>
      <c r="AA126" s="1444"/>
      <c r="AB126" s="1401"/>
      <c r="AC126" s="1401"/>
      <c r="AD126" s="1401"/>
      <c r="AE126" s="1401"/>
      <c r="AF126" s="1401"/>
      <c r="AG126" s="1479"/>
      <c r="AH126" s="1479"/>
      <c r="AI126" s="1479"/>
      <c r="AJ126" s="1401">
        <f t="shared" si="47"/>
        <v>0</v>
      </c>
    </row>
    <row r="127" spans="1:36" s="1390" customFormat="1" ht="35" customHeight="1" x14ac:dyDescent="0.2">
      <c r="A127" s="1390">
        <v>41</v>
      </c>
      <c r="B127" s="1472" t="str">
        <f t="shared" si="20"/>
        <v>JL. IMAM BONJOL - JL. KUANTAN</v>
      </c>
      <c r="C127" s="1478" t="e">
        <f>RIGHT(#REF!,1)</f>
        <v>#REF!</v>
      </c>
      <c r="D127" s="1426">
        <v>37</v>
      </c>
      <c r="E127" s="1429" t="s">
        <v>529</v>
      </c>
      <c r="F127" s="1539"/>
      <c r="G127" s="1517" t="s">
        <v>2494</v>
      </c>
      <c r="H127" s="1518"/>
      <c r="I127" s="1518" t="s">
        <v>479</v>
      </c>
      <c r="J127" s="1533" t="s">
        <v>578</v>
      </c>
      <c r="K127" s="1517">
        <v>10</v>
      </c>
      <c r="L127" s="1519">
        <v>2850</v>
      </c>
      <c r="M127" s="1518" t="s">
        <v>579</v>
      </c>
      <c r="N127" s="1517">
        <v>2001</v>
      </c>
      <c r="O127" s="1518"/>
      <c r="P127" s="1518"/>
      <c r="Q127" s="1518" t="s">
        <v>482</v>
      </c>
      <c r="R127" s="1517" t="s">
        <v>12</v>
      </c>
      <c r="S127" s="1520">
        <v>324187500</v>
      </c>
      <c r="T127" s="1517" t="s">
        <v>43</v>
      </c>
      <c r="U127" s="1572"/>
      <c r="V127" s="1521"/>
      <c r="W127" s="1478" t="str">
        <f t="shared" si="44"/>
        <v>04.13.01</v>
      </c>
      <c r="X127" s="1478" t="str">
        <f t="shared" si="45"/>
        <v>Jalan</v>
      </c>
      <c r="Y127" s="1478">
        <f t="shared" si="46"/>
        <v>10</v>
      </c>
      <c r="Z127" s="1401">
        <f>S127/Y127</f>
        <v>32418750</v>
      </c>
      <c r="AA127" s="1444">
        <f>IF(2013-N127+1&gt;Y127,Y127,IF(2013-N127+1&lt;0,0,2013-N127+1))</f>
        <v>10</v>
      </c>
      <c r="AB127" s="1401">
        <f>IF(AA127&gt;Y127,S127,Z127*AA127)</f>
        <v>324187500</v>
      </c>
      <c r="AC127" s="1401">
        <f>IF(S127=AB127,0,Z127)</f>
        <v>0</v>
      </c>
      <c r="AD127" s="1401">
        <f>IF(S127=AB127+AC127,0,Z127)</f>
        <v>0</v>
      </c>
      <c r="AE127" s="1401">
        <f>IF(S127=AB127+AC127+AD127,0,Z127)</f>
        <v>0</v>
      </c>
      <c r="AF127" s="1401">
        <f>IF(S127=AC127+AD127+AE127+AB127,0,Z127)</f>
        <v>0</v>
      </c>
      <c r="AG127" s="1479">
        <f>IF(S127=AC127+AD127+AE127+AB127+AF127,0,Z127)</f>
        <v>0</v>
      </c>
      <c r="AH127" s="1479">
        <f>IF(S127=AC127+AD127+AE127+AB127+AF127+AG127,0,Z127)</f>
        <v>0</v>
      </c>
      <c r="AI127" s="1479">
        <f>SUM(AB127:AH127)</f>
        <v>324187500</v>
      </c>
      <c r="AJ127" s="1401">
        <f t="shared" si="47"/>
        <v>0</v>
      </c>
    </row>
    <row r="128" spans="1:36" s="1390" customFormat="1" ht="35" customHeight="1" x14ac:dyDescent="0.2">
      <c r="A128" s="1390">
        <v>42</v>
      </c>
      <c r="B128" s="1472" t="str">
        <f t="shared" si="20"/>
        <v>KAMPUNG DATAR - PL. KOMANG</v>
      </c>
      <c r="C128" s="1478" t="e">
        <f>RIGHT(#REF!,1)</f>
        <v>#REF!</v>
      </c>
      <c r="D128" s="1426">
        <v>38</v>
      </c>
      <c r="E128" s="1429" t="s">
        <v>5824</v>
      </c>
      <c r="F128" s="1539"/>
      <c r="G128" s="1517" t="s">
        <v>2494</v>
      </c>
      <c r="H128" s="1518"/>
      <c r="I128" s="1518" t="s">
        <v>492</v>
      </c>
      <c r="J128" s="1533">
        <v>2900</v>
      </c>
      <c r="K128" s="1517">
        <v>8</v>
      </c>
      <c r="L128" s="1519">
        <v>23200</v>
      </c>
      <c r="M128" s="1518" t="s">
        <v>581</v>
      </c>
      <c r="N128" s="1517">
        <v>2001</v>
      </c>
      <c r="O128" s="1518"/>
      <c r="P128" s="1518"/>
      <c r="Q128" s="1518" t="s">
        <v>482</v>
      </c>
      <c r="R128" s="1517" t="s">
        <v>12</v>
      </c>
      <c r="S128" s="1520">
        <f>1305000000+F129</f>
        <v>1502659444</v>
      </c>
      <c r="T128" s="1517" t="s">
        <v>43</v>
      </c>
      <c r="U128" s="1572"/>
      <c r="V128" s="1521"/>
      <c r="W128" s="1478" t="str">
        <f t="shared" si="44"/>
        <v>04.13.01</v>
      </c>
      <c r="X128" s="1478" t="str">
        <f t="shared" si="45"/>
        <v>Jalan</v>
      </c>
      <c r="Y128" s="1478">
        <f t="shared" si="46"/>
        <v>10</v>
      </c>
      <c r="Z128" s="1401"/>
      <c r="AA128" s="1444">
        <f>IF(2013-N128&gt;Y128,10,IF(2013-N128&lt;0,0,2013-N128))</f>
        <v>10</v>
      </c>
      <c r="AB128" s="1401">
        <f>SUM(PERHITUNGAN!U369:U374)</f>
        <v>1305000000</v>
      </c>
      <c r="AC128" s="1479">
        <f>SUMIF(PERHITUNGAN!A:A,'KIB D'!B128&amp;'KIB D'!$AC$7,PERHITUNGAN!U:U)</f>
        <v>19765944.399999999</v>
      </c>
      <c r="AD128" s="1479">
        <f>SUMIF(PERHITUNGAN!A:A,'KIB D'!B128&amp;'KIB D'!$AD$7,PERHITUNGAN!U:U)</f>
        <v>19765944.399999999</v>
      </c>
      <c r="AE128" s="1479">
        <f>SUMIF(PERHITUNGAN!A:A,'KIB D'!B128&amp;'KIB D'!$AE$7,PERHITUNGAN!U:U)</f>
        <v>19765944.399999999</v>
      </c>
      <c r="AF128" s="1479">
        <f>SUMIF(PERHITUNGAN!A:A,'KIB D'!B128&amp;'KIB D'!$AF$7,PERHITUNGAN!U:U)</f>
        <v>19765944.399999999</v>
      </c>
      <c r="AG128" s="1479">
        <f>SUMIF(PERHITUNGAN!A:A,'KIB D'!B128&amp;'KIB D'!$AG$7,PERHITUNGAN!U:U)</f>
        <v>19765944.399999999</v>
      </c>
      <c r="AH128" s="1479">
        <f>SUMIF(PERHITUNGAN!A:A,'KIB D'!B128&amp;'KIB D'!$AH$7,PERHITUNGAN!U:U)</f>
        <v>19765944.399999999</v>
      </c>
      <c r="AI128" s="1479">
        <f>SUM(AB128:AH128)</f>
        <v>1423595666.4000006</v>
      </c>
      <c r="AJ128" s="1401">
        <f t="shared" si="47"/>
        <v>79063777.599999428</v>
      </c>
    </row>
    <row r="129" spans="1:36" s="1390" customFormat="1" ht="35" customHeight="1" x14ac:dyDescent="0.2">
      <c r="A129" s="1390">
        <v>42</v>
      </c>
      <c r="B129" s="1472" t="str">
        <f t="shared" si="20"/>
        <v>KAMPUNG DATAR - PL. KOMANG</v>
      </c>
      <c r="C129" s="1478" t="e">
        <f>RIGHT(#REF!,1)</f>
        <v>#REF!</v>
      </c>
      <c r="D129" s="1426"/>
      <c r="E129" s="1429" t="s">
        <v>1342</v>
      </c>
      <c r="F129" s="1529">
        <v>197659444</v>
      </c>
      <c r="G129" s="1501" t="s">
        <v>2494</v>
      </c>
      <c r="H129" s="1501"/>
      <c r="I129" s="1414"/>
      <c r="J129" s="1526"/>
      <c r="K129" s="1416"/>
      <c r="L129" s="1430"/>
      <c r="M129" s="1429" t="s">
        <v>3208</v>
      </c>
      <c r="N129" s="1501">
        <v>2014</v>
      </c>
      <c r="O129" s="1414"/>
      <c r="P129" s="1414"/>
      <c r="Q129" s="1414"/>
      <c r="R129" s="1517" t="s">
        <v>12</v>
      </c>
      <c r="S129" s="1527"/>
      <c r="T129" s="1528"/>
      <c r="U129" s="1575"/>
      <c r="V129" s="1490"/>
      <c r="W129" s="1478" t="str">
        <f t="shared" si="44"/>
        <v>04.13.01</v>
      </c>
      <c r="X129" s="1478" t="str">
        <f t="shared" si="45"/>
        <v>Jalan</v>
      </c>
      <c r="Y129" s="1478">
        <f t="shared" si="46"/>
        <v>10</v>
      </c>
      <c r="Z129" s="1401">
        <f t="shared" ref="Z129:Z135" si="48">S129/Y129</f>
        <v>0</v>
      </c>
      <c r="AA129" s="1444">
        <f t="shared" ref="AA129:AA135" si="49">IF(2013-N129+1&gt;Y129,Y129,IF(2013-N129+1&lt;0,0,2013-N129+1))</f>
        <v>0</v>
      </c>
      <c r="AB129" s="1401"/>
      <c r="AC129" s="1401"/>
      <c r="AD129" s="1401"/>
      <c r="AE129" s="1401"/>
      <c r="AF129" s="1401"/>
      <c r="AG129" s="1479"/>
      <c r="AH129" s="1479"/>
      <c r="AI129" s="1479"/>
      <c r="AJ129" s="1401">
        <f t="shared" si="47"/>
        <v>0</v>
      </c>
    </row>
    <row r="130" spans="1:36" s="1390" customFormat="1" ht="35" customHeight="1" x14ac:dyDescent="0.2">
      <c r="A130" s="1390">
        <v>43</v>
      </c>
      <c r="B130" s="1472" t="str">
        <f t="shared" si="20"/>
        <v xml:space="preserve">jl. M. FADILLAH - JL. SUDIRMAN </v>
      </c>
      <c r="C130" s="1478" t="e">
        <f>RIGHT(#REF!,1)</f>
        <v>#REF!</v>
      </c>
      <c r="D130" s="1426">
        <v>39</v>
      </c>
      <c r="E130" s="1429" t="s">
        <v>529</v>
      </c>
      <c r="F130" s="1539"/>
      <c r="G130" s="1517" t="s">
        <v>2494</v>
      </c>
      <c r="H130" s="1518"/>
      <c r="I130" s="1518" t="s">
        <v>479</v>
      </c>
      <c r="J130" s="1533" t="s">
        <v>570</v>
      </c>
      <c r="K130" s="1517">
        <v>8</v>
      </c>
      <c r="L130" s="1519">
        <v>1112</v>
      </c>
      <c r="M130" s="1518" t="s">
        <v>571</v>
      </c>
      <c r="N130" s="1517">
        <v>2001</v>
      </c>
      <c r="O130" s="1518"/>
      <c r="P130" s="1518"/>
      <c r="Q130" s="1518" t="s">
        <v>482</v>
      </c>
      <c r="R130" s="1517" t="s">
        <v>12</v>
      </c>
      <c r="S130" s="1520">
        <v>153562500</v>
      </c>
      <c r="T130" s="1517" t="s">
        <v>43</v>
      </c>
      <c r="U130" s="1572"/>
      <c r="V130" s="1521"/>
      <c r="W130" s="1478" t="str">
        <f t="shared" si="44"/>
        <v>04.13.01</v>
      </c>
      <c r="X130" s="1478" t="str">
        <f t="shared" si="45"/>
        <v>Jalan</v>
      </c>
      <c r="Y130" s="1478">
        <f t="shared" si="46"/>
        <v>10</v>
      </c>
      <c r="Z130" s="1401">
        <f t="shared" si="48"/>
        <v>15356250</v>
      </c>
      <c r="AA130" s="1444">
        <f t="shared" si="49"/>
        <v>10</v>
      </c>
      <c r="AB130" s="1401">
        <f t="shared" ref="AB130:AB135" si="50">IF(AA130&gt;Y130,S130,Z130*AA130)</f>
        <v>153562500</v>
      </c>
      <c r="AC130" s="1401">
        <f t="shared" ref="AC130:AC135" si="51">IF(S130=AB130,0,Z130)</f>
        <v>0</v>
      </c>
      <c r="AD130" s="1401">
        <f t="shared" ref="AD130:AD135" si="52">IF(S130=AB130+AC130,0,Z130)</f>
        <v>0</v>
      </c>
      <c r="AE130" s="1401">
        <f t="shared" ref="AE130:AE135" si="53">IF(S130=AB130+AC130+AD130,0,Z130)</f>
        <v>0</v>
      </c>
      <c r="AF130" s="1401">
        <f t="shared" ref="AF130:AF135" si="54">IF(S130=AC130+AD130+AE130+AB130,0,Z130)</f>
        <v>0</v>
      </c>
      <c r="AG130" s="1479">
        <f t="shared" ref="AG130:AG135" si="55">IF(S130=AC130+AD130+AE130+AB130+AF130,0,Z130)</f>
        <v>0</v>
      </c>
      <c r="AH130" s="1479">
        <f t="shared" ref="AH130:AH135" si="56">IF(S130=AC130+AD130+AE130+AB130+AF130+AG130,0,Z130)</f>
        <v>0</v>
      </c>
      <c r="AI130" s="1479">
        <f t="shared" ref="AI130:AI135" si="57">SUM(AB130:AH130)</f>
        <v>153562500</v>
      </c>
      <c r="AJ130" s="1401">
        <f t="shared" si="47"/>
        <v>0</v>
      </c>
    </row>
    <row r="131" spans="1:36" s="1390" customFormat="1" ht="35" customHeight="1" x14ac:dyDescent="0.2">
      <c r="A131" s="1390">
        <v>44</v>
      </c>
      <c r="B131" s="1472" t="str">
        <f t="shared" si="20"/>
        <v>JL. LIMUNO - JL. SUDIRMAN</v>
      </c>
      <c r="C131" s="1478" t="e">
        <f>RIGHT(#REF!,1)</f>
        <v>#REF!</v>
      </c>
      <c r="D131" s="1426">
        <v>40</v>
      </c>
      <c r="E131" s="1429" t="s">
        <v>529</v>
      </c>
      <c r="F131" s="1539"/>
      <c r="G131" s="1517" t="s">
        <v>2494</v>
      </c>
      <c r="H131" s="1518"/>
      <c r="I131" s="1518" t="s">
        <v>479</v>
      </c>
      <c r="J131" s="1533" t="s">
        <v>572</v>
      </c>
      <c r="K131" s="1517">
        <v>8</v>
      </c>
      <c r="L131" s="1519">
        <v>1888</v>
      </c>
      <c r="M131" s="1518" t="s">
        <v>573</v>
      </c>
      <c r="N131" s="1517">
        <v>2001</v>
      </c>
      <c r="O131" s="1518"/>
      <c r="P131" s="1518"/>
      <c r="Q131" s="1518" t="s">
        <v>482</v>
      </c>
      <c r="R131" s="1517" t="s">
        <v>12</v>
      </c>
      <c r="S131" s="1520">
        <v>268450000</v>
      </c>
      <c r="T131" s="1517" t="s">
        <v>43</v>
      </c>
      <c r="U131" s="1572"/>
      <c r="V131" s="1521"/>
      <c r="W131" s="1478" t="str">
        <f t="shared" si="44"/>
        <v>04.13.01</v>
      </c>
      <c r="X131" s="1478" t="str">
        <f t="shared" si="45"/>
        <v>Jalan</v>
      </c>
      <c r="Y131" s="1478">
        <f t="shared" si="46"/>
        <v>10</v>
      </c>
      <c r="Z131" s="1401">
        <f t="shared" si="48"/>
        <v>26845000</v>
      </c>
      <c r="AA131" s="1444">
        <f t="shared" si="49"/>
        <v>10</v>
      </c>
      <c r="AB131" s="1401">
        <f t="shared" si="50"/>
        <v>268450000</v>
      </c>
      <c r="AC131" s="1401">
        <f t="shared" si="51"/>
        <v>0</v>
      </c>
      <c r="AD131" s="1401">
        <f t="shared" si="52"/>
        <v>0</v>
      </c>
      <c r="AE131" s="1401">
        <f t="shared" si="53"/>
        <v>0</v>
      </c>
      <c r="AF131" s="1401">
        <f t="shared" si="54"/>
        <v>0</v>
      </c>
      <c r="AG131" s="1479">
        <f t="shared" si="55"/>
        <v>0</v>
      </c>
      <c r="AH131" s="1479">
        <f t="shared" si="56"/>
        <v>0</v>
      </c>
      <c r="AI131" s="1479">
        <f t="shared" si="57"/>
        <v>268450000</v>
      </c>
      <c r="AJ131" s="1401">
        <f t="shared" si="47"/>
        <v>0</v>
      </c>
    </row>
    <row r="132" spans="1:36" s="1390" customFormat="1" ht="35" customHeight="1" x14ac:dyDescent="0.2">
      <c r="A132" s="1390">
        <v>45</v>
      </c>
      <c r="B132" s="1472" t="str">
        <f t="shared" si="20"/>
        <v>JL. MERDEKA - JL. KARTINI</v>
      </c>
      <c r="C132" s="1478" t="e">
        <f>RIGHT(#REF!,1)</f>
        <v>#REF!</v>
      </c>
      <c r="D132" s="1426">
        <v>41</v>
      </c>
      <c r="E132" s="1429" t="s">
        <v>529</v>
      </c>
      <c r="F132" s="1539"/>
      <c r="G132" s="1517" t="s">
        <v>2494</v>
      </c>
      <c r="H132" s="1518"/>
      <c r="I132" s="1518" t="s">
        <v>479</v>
      </c>
      <c r="J132" s="1533" t="s">
        <v>574</v>
      </c>
      <c r="K132" s="1517">
        <v>8</v>
      </c>
      <c r="L132" s="1519">
        <v>2512</v>
      </c>
      <c r="M132" s="1518" t="s">
        <v>575</v>
      </c>
      <c r="N132" s="1517">
        <v>2001</v>
      </c>
      <c r="O132" s="1518"/>
      <c r="P132" s="1518"/>
      <c r="Q132" s="1518" t="s">
        <v>482</v>
      </c>
      <c r="R132" s="1517" t="s">
        <v>12</v>
      </c>
      <c r="S132" s="1520">
        <v>428610000</v>
      </c>
      <c r="T132" s="1517" t="s">
        <v>43</v>
      </c>
      <c r="U132" s="1572"/>
      <c r="V132" s="1521"/>
      <c r="W132" s="1478" t="str">
        <f t="shared" si="44"/>
        <v>04.13.01</v>
      </c>
      <c r="X132" s="1478" t="str">
        <f t="shared" si="45"/>
        <v>Jalan</v>
      </c>
      <c r="Y132" s="1478">
        <f t="shared" si="46"/>
        <v>10</v>
      </c>
      <c r="Z132" s="1401">
        <f t="shared" si="48"/>
        <v>42861000</v>
      </c>
      <c r="AA132" s="1444">
        <f t="shared" si="49"/>
        <v>10</v>
      </c>
      <c r="AB132" s="1401">
        <f t="shared" si="50"/>
        <v>428610000</v>
      </c>
      <c r="AC132" s="1401">
        <f t="shared" si="51"/>
        <v>0</v>
      </c>
      <c r="AD132" s="1401">
        <f t="shared" si="52"/>
        <v>0</v>
      </c>
      <c r="AE132" s="1401">
        <f t="shared" si="53"/>
        <v>0</v>
      </c>
      <c r="AF132" s="1401">
        <f t="shared" si="54"/>
        <v>0</v>
      </c>
      <c r="AG132" s="1479">
        <f t="shared" si="55"/>
        <v>0</v>
      </c>
      <c r="AH132" s="1479">
        <f t="shared" si="56"/>
        <v>0</v>
      </c>
      <c r="AI132" s="1479">
        <f t="shared" si="57"/>
        <v>428610000</v>
      </c>
      <c r="AJ132" s="1401">
        <f t="shared" si="47"/>
        <v>0</v>
      </c>
    </row>
    <row r="133" spans="1:36" s="1390" customFormat="1" ht="35" customHeight="1" x14ac:dyDescent="0.2">
      <c r="A133" s="1390">
        <v>46</v>
      </c>
      <c r="B133" s="1472" t="str">
        <f t="shared" si="20"/>
        <v>JL. KARTINI - JL. DIPONEGORO</v>
      </c>
      <c r="C133" s="1478" t="e">
        <f>RIGHT(#REF!,1)</f>
        <v>#REF!</v>
      </c>
      <c r="D133" s="1426">
        <v>42</v>
      </c>
      <c r="E133" s="1429" t="s">
        <v>529</v>
      </c>
      <c r="F133" s="1539"/>
      <c r="G133" s="1517" t="s">
        <v>2494</v>
      </c>
      <c r="H133" s="1518"/>
      <c r="I133" s="1518" t="s">
        <v>479</v>
      </c>
      <c r="J133" s="1533" t="s">
        <v>564</v>
      </c>
      <c r="K133" s="1517">
        <v>8</v>
      </c>
      <c r="L133" s="1519">
        <v>1176</v>
      </c>
      <c r="M133" s="1518" t="s">
        <v>565</v>
      </c>
      <c r="N133" s="1517">
        <v>2001</v>
      </c>
      <c r="O133" s="1518"/>
      <c r="P133" s="1518"/>
      <c r="Q133" s="1518" t="s">
        <v>482</v>
      </c>
      <c r="R133" s="1517" t="s">
        <v>12</v>
      </c>
      <c r="S133" s="1520">
        <v>234097500</v>
      </c>
      <c r="T133" s="1517" t="s">
        <v>43</v>
      </c>
      <c r="U133" s="1572"/>
      <c r="V133" s="1521"/>
      <c r="W133" s="1478" t="str">
        <f t="shared" si="44"/>
        <v>04.13.01</v>
      </c>
      <c r="X133" s="1478" t="str">
        <f t="shared" si="45"/>
        <v>Jalan</v>
      </c>
      <c r="Y133" s="1478">
        <f t="shared" si="46"/>
        <v>10</v>
      </c>
      <c r="Z133" s="1401">
        <f t="shared" si="48"/>
        <v>23409750</v>
      </c>
      <c r="AA133" s="1444">
        <f t="shared" si="49"/>
        <v>10</v>
      </c>
      <c r="AB133" s="1401">
        <f t="shared" si="50"/>
        <v>234097500</v>
      </c>
      <c r="AC133" s="1401">
        <f t="shared" si="51"/>
        <v>0</v>
      </c>
      <c r="AD133" s="1401">
        <f t="shared" si="52"/>
        <v>0</v>
      </c>
      <c r="AE133" s="1401">
        <f t="shared" si="53"/>
        <v>0</v>
      </c>
      <c r="AF133" s="1401">
        <f t="shared" si="54"/>
        <v>0</v>
      </c>
      <c r="AG133" s="1479">
        <f t="shared" si="55"/>
        <v>0</v>
      </c>
      <c r="AH133" s="1479">
        <f t="shared" si="56"/>
        <v>0</v>
      </c>
      <c r="AI133" s="1479">
        <f t="shared" si="57"/>
        <v>234097500</v>
      </c>
      <c r="AJ133" s="1401">
        <f t="shared" si="47"/>
        <v>0</v>
      </c>
    </row>
    <row r="134" spans="1:36" s="1390" customFormat="1" ht="35" customHeight="1" x14ac:dyDescent="0.2">
      <c r="A134" s="1390">
        <v>47</v>
      </c>
      <c r="B134" s="1472" t="str">
        <f t="shared" si="20"/>
        <v>JL. DIPONEGORO - JL. SUDIRMAN</v>
      </c>
      <c r="C134" s="1478" t="e">
        <f>RIGHT(#REF!,1)</f>
        <v>#REF!</v>
      </c>
      <c r="D134" s="1426">
        <v>43</v>
      </c>
      <c r="E134" s="1429" t="s">
        <v>529</v>
      </c>
      <c r="F134" s="1539"/>
      <c r="G134" s="1517" t="s">
        <v>2494</v>
      </c>
      <c r="H134" s="1518"/>
      <c r="I134" s="1518" t="s">
        <v>479</v>
      </c>
      <c r="J134" s="1533" t="s">
        <v>566</v>
      </c>
      <c r="K134" s="1517">
        <v>8</v>
      </c>
      <c r="L134" s="1519">
        <v>4768</v>
      </c>
      <c r="M134" s="1518" t="s">
        <v>567</v>
      </c>
      <c r="N134" s="1517">
        <v>2001</v>
      </c>
      <c r="O134" s="1518"/>
      <c r="P134" s="1518"/>
      <c r="Q134" s="1518" t="s">
        <v>482</v>
      </c>
      <c r="R134" s="1517" t="s">
        <v>12</v>
      </c>
      <c r="S134" s="1520">
        <v>949130000</v>
      </c>
      <c r="T134" s="1517" t="s">
        <v>43</v>
      </c>
      <c r="U134" s="1572"/>
      <c r="V134" s="1521"/>
      <c r="W134" s="1478" t="str">
        <f t="shared" si="44"/>
        <v>04.13.01</v>
      </c>
      <c r="X134" s="1478" t="str">
        <f t="shared" si="45"/>
        <v>Jalan</v>
      </c>
      <c r="Y134" s="1478">
        <f t="shared" si="46"/>
        <v>10</v>
      </c>
      <c r="Z134" s="1401">
        <f t="shared" si="48"/>
        <v>94913000</v>
      </c>
      <c r="AA134" s="1444">
        <f t="shared" si="49"/>
        <v>10</v>
      </c>
      <c r="AB134" s="1401">
        <f t="shared" si="50"/>
        <v>949130000</v>
      </c>
      <c r="AC134" s="1401">
        <f t="shared" si="51"/>
        <v>0</v>
      </c>
      <c r="AD134" s="1401">
        <f t="shared" si="52"/>
        <v>0</v>
      </c>
      <c r="AE134" s="1401">
        <f t="shared" si="53"/>
        <v>0</v>
      </c>
      <c r="AF134" s="1401">
        <f t="shared" si="54"/>
        <v>0</v>
      </c>
      <c r="AG134" s="1479">
        <f t="shared" si="55"/>
        <v>0</v>
      </c>
      <c r="AH134" s="1479">
        <f t="shared" si="56"/>
        <v>0</v>
      </c>
      <c r="AI134" s="1479">
        <f t="shared" si="57"/>
        <v>949130000</v>
      </c>
      <c r="AJ134" s="1401">
        <f t="shared" si="47"/>
        <v>0</v>
      </c>
    </row>
    <row r="135" spans="1:36" s="1390" customFormat="1" ht="35" customHeight="1" x14ac:dyDescent="0.2">
      <c r="A135" s="1390">
        <v>48</v>
      </c>
      <c r="B135" s="1472" t="str">
        <f t="shared" si="20"/>
        <v>RUAS 43/43 - JL. PL. ARO</v>
      </c>
      <c r="C135" s="1478" t="e">
        <f>RIGHT(#REF!,1)</f>
        <v>#REF!</v>
      </c>
      <c r="D135" s="1426">
        <v>44</v>
      </c>
      <c r="E135" s="1429" t="s">
        <v>529</v>
      </c>
      <c r="F135" s="1539"/>
      <c r="G135" s="1517" t="s">
        <v>2494</v>
      </c>
      <c r="H135" s="1518"/>
      <c r="I135" s="1518" t="s">
        <v>479</v>
      </c>
      <c r="J135" s="1533" t="s">
        <v>568</v>
      </c>
      <c r="K135" s="1517">
        <v>7</v>
      </c>
      <c r="L135" s="1519">
        <v>2975</v>
      </c>
      <c r="M135" s="1518" t="s">
        <v>569</v>
      </c>
      <c r="N135" s="1517">
        <v>2001</v>
      </c>
      <c r="O135" s="1518"/>
      <c r="P135" s="1518"/>
      <c r="Q135" s="1518" t="s">
        <v>482</v>
      </c>
      <c r="R135" s="1517" t="s">
        <v>12</v>
      </c>
      <c r="S135" s="1520">
        <v>386750000</v>
      </c>
      <c r="T135" s="1517" t="s">
        <v>43</v>
      </c>
      <c r="U135" s="1572"/>
      <c r="V135" s="1521"/>
      <c r="W135" s="1478" t="str">
        <f t="shared" si="44"/>
        <v>04.13.01</v>
      </c>
      <c r="X135" s="1478" t="str">
        <f t="shared" si="45"/>
        <v>Jalan</v>
      </c>
      <c r="Y135" s="1478">
        <f t="shared" si="46"/>
        <v>10</v>
      </c>
      <c r="Z135" s="1401">
        <f t="shared" si="48"/>
        <v>38675000</v>
      </c>
      <c r="AA135" s="1444">
        <f t="shared" si="49"/>
        <v>10</v>
      </c>
      <c r="AB135" s="1401">
        <f t="shared" si="50"/>
        <v>386750000</v>
      </c>
      <c r="AC135" s="1401">
        <f t="shared" si="51"/>
        <v>0</v>
      </c>
      <c r="AD135" s="1401">
        <f t="shared" si="52"/>
        <v>0</v>
      </c>
      <c r="AE135" s="1401">
        <f t="shared" si="53"/>
        <v>0</v>
      </c>
      <c r="AF135" s="1401">
        <f t="shared" si="54"/>
        <v>0</v>
      </c>
      <c r="AG135" s="1479">
        <f t="shared" si="55"/>
        <v>0</v>
      </c>
      <c r="AH135" s="1479">
        <f t="shared" si="56"/>
        <v>0</v>
      </c>
      <c r="AI135" s="1479">
        <f t="shared" si="57"/>
        <v>386750000</v>
      </c>
      <c r="AJ135" s="1401">
        <f t="shared" si="47"/>
        <v>0</v>
      </c>
    </row>
    <row r="136" spans="1:36" s="1390" customFormat="1" ht="35" customHeight="1" x14ac:dyDescent="0.2">
      <c r="A136" s="1390">
        <v>49</v>
      </c>
      <c r="B136" s="1472" t="str">
        <f t="shared" si="20"/>
        <v>JL. TOPAN - RUAS 41/41</v>
      </c>
      <c r="C136" s="1478" t="e">
        <f>RIGHT(#REF!,1)</f>
        <v>#REF!</v>
      </c>
      <c r="D136" s="1426">
        <v>45</v>
      </c>
      <c r="E136" s="1429" t="s">
        <v>562</v>
      </c>
      <c r="F136" s="1539"/>
      <c r="G136" s="1517" t="s">
        <v>2494</v>
      </c>
      <c r="H136" s="1518"/>
      <c r="I136" s="1518" t="s">
        <v>479</v>
      </c>
      <c r="J136" s="1533">
        <v>1350</v>
      </c>
      <c r="K136" s="1517">
        <v>7</v>
      </c>
      <c r="L136" s="1519">
        <v>9450</v>
      </c>
      <c r="M136" s="1518" t="s">
        <v>562</v>
      </c>
      <c r="N136" s="1517">
        <v>2001</v>
      </c>
      <c r="O136" s="1518"/>
      <c r="P136" s="1518"/>
      <c r="Q136" s="1518" t="s">
        <v>482</v>
      </c>
      <c r="R136" s="1517" t="s">
        <v>12</v>
      </c>
      <c r="S136" s="1520">
        <f>1134000000+F137</f>
        <v>1328194110</v>
      </c>
      <c r="T136" s="1517" t="s">
        <v>43</v>
      </c>
      <c r="U136" s="1572"/>
      <c r="V136" s="1521"/>
      <c r="W136" s="1478" t="str">
        <f t="shared" si="44"/>
        <v>04.13.01</v>
      </c>
      <c r="X136" s="1478" t="str">
        <f t="shared" si="45"/>
        <v>Jalan</v>
      </c>
      <c r="Y136" s="1478">
        <f t="shared" si="46"/>
        <v>10</v>
      </c>
      <c r="Z136" s="1401"/>
      <c r="AA136" s="1444">
        <f>IF(2013-N136&gt;Y136,10,IF(2013-N136&lt;0,0,2013-N136))</f>
        <v>10</v>
      </c>
      <c r="AB136" s="1401">
        <f>SUM(PERHITUNGAN!U390:U395)</f>
        <v>1134000000</v>
      </c>
      <c r="AC136" s="1479">
        <f>SUMIF(PERHITUNGAN!A:A,'KIB D'!B136&amp;'KIB D'!$AC$7,PERHITUNGAN!U:U)</f>
        <v>0</v>
      </c>
      <c r="AD136" s="1479">
        <f>SUMIF(PERHITUNGAN!A:A,'KIB D'!B136&amp;'KIB D'!$AD$7,PERHITUNGAN!U:U)</f>
        <v>19419411</v>
      </c>
      <c r="AE136" s="1479">
        <f>SUMIF(PERHITUNGAN!A:A,'KIB D'!B136&amp;'KIB D'!$AE$7,PERHITUNGAN!U:U)</f>
        <v>19419411</v>
      </c>
      <c r="AF136" s="1479">
        <f>SUMIF(PERHITUNGAN!A:A,'KIB D'!B136&amp;'KIB D'!$AF$7,PERHITUNGAN!U:U)</f>
        <v>19419411</v>
      </c>
      <c r="AG136" s="1479">
        <f>SUMIF(PERHITUNGAN!A:A,'KIB D'!B136&amp;'KIB D'!$AG$7,PERHITUNGAN!U:U)</f>
        <v>19419411</v>
      </c>
      <c r="AH136" s="1479">
        <f>SUMIF(PERHITUNGAN!A:A,'KIB D'!B136&amp;'KIB D'!$AH$7,PERHITUNGAN!U:U)</f>
        <v>19419411</v>
      </c>
      <c r="AI136" s="1479">
        <f>SUM(AB136:AH136)</f>
        <v>1231097055</v>
      </c>
      <c r="AJ136" s="1401">
        <f t="shared" si="47"/>
        <v>97097055</v>
      </c>
    </row>
    <row r="137" spans="1:36" s="1390" customFormat="1" ht="35" customHeight="1" x14ac:dyDescent="0.2">
      <c r="A137" s="1390">
        <v>49</v>
      </c>
      <c r="B137" s="1472" t="str">
        <f t="shared" si="20"/>
        <v>JL. TOPAN - RUAS 41/41</v>
      </c>
      <c r="C137" s="1478" t="e">
        <f>RIGHT(#REF!,1)</f>
        <v>#REF!</v>
      </c>
      <c r="D137" s="1426"/>
      <c r="E137" s="1429" t="s">
        <v>1398</v>
      </c>
      <c r="F137" s="1529">
        <v>194194110</v>
      </c>
      <c r="G137" s="1501" t="s">
        <v>2494</v>
      </c>
      <c r="H137" s="1501"/>
      <c r="I137" s="1414"/>
      <c r="J137" s="1526"/>
      <c r="K137" s="1416"/>
      <c r="L137" s="1430"/>
      <c r="M137" s="1429" t="s">
        <v>3235</v>
      </c>
      <c r="N137" s="1501">
        <v>2015</v>
      </c>
      <c r="O137" s="1414"/>
      <c r="P137" s="1414"/>
      <c r="Q137" s="1414"/>
      <c r="R137" s="1501" t="s">
        <v>12</v>
      </c>
      <c r="S137" s="1527"/>
      <c r="T137" s="1528"/>
      <c r="U137" s="1575"/>
      <c r="V137" s="1490"/>
      <c r="W137" s="1478" t="str">
        <f t="shared" si="44"/>
        <v>04.13.01</v>
      </c>
      <c r="X137" s="1478" t="str">
        <f t="shared" si="45"/>
        <v>Jalan</v>
      </c>
      <c r="Y137" s="1478">
        <f t="shared" si="46"/>
        <v>10</v>
      </c>
      <c r="Z137" s="1401"/>
      <c r="AA137" s="1444"/>
      <c r="AB137" s="1401"/>
      <c r="AC137" s="1401"/>
      <c r="AD137" s="1401"/>
      <c r="AE137" s="1401"/>
      <c r="AF137" s="1401"/>
      <c r="AG137" s="1479"/>
      <c r="AH137" s="1479"/>
      <c r="AI137" s="1479"/>
      <c r="AJ137" s="1401">
        <f t="shared" si="47"/>
        <v>0</v>
      </c>
    </row>
    <row r="138" spans="1:36" s="1390" customFormat="1" ht="35" customHeight="1" x14ac:dyDescent="0.2">
      <c r="A138" s="1390">
        <v>50</v>
      </c>
      <c r="B138" s="1472" t="str">
        <f t="shared" si="20"/>
        <v>JL. JERING - RUAS 04/04</v>
      </c>
      <c r="C138" s="1478" t="e">
        <f>RIGHT(#REF!,1)</f>
        <v>#REF!</v>
      </c>
      <c r="D138" s="1426">
        <v>46</v>
      </c>
      <c r="E138" s="1429" t="s">
        <v>529</v>
      </c>
      <c r="F138" s="1539"/>
      <c r="G138" s="1517" t="s">
        <v>2494</v>
      </c>
      <c r="H138" s="1518"/>
      <c r="I138" s="1518" t="s">
        <v>479</v>
      </c>
      <c r="J138" s="1533">
        <v>7500</v>
      </c>
      <c r="K138" s="1517">
        <v>7</v>
      </c>
      <c r="L138" s="1519">
        <v>45500</v>
      </c>
      <c r="M138" s="1518" t="s">
        <v>563</v>
      </c>
      <c r="N138" s="1517">
        <v>2001</v>
      </c>
      <c r="O138" s="1518"/>
      <c r="P138" s="1518"/>
      <c r="Q138" s="1518" t="s">
        <v>482</v>
      </c>
      <c r="R138" s="1517" t="s">
        <v>12</v>
      </c>
      <c r="S138" s="1520">
        <v>7275000000</v>
      </c>
      <c r="T138" s="1517" t="s">
        <v>43</v>
      </c>
      <c r="U138" s="1572"/>
      <c r="V138" s="1521"/>
      <c r="W138" s="1478" t="str">
        <f t="shared" si="44"/>
        <v>04.13.01</v>
      </c>
      <c r="X138" s="1478" t="str">
        <f t="shared" si="45"/>
        <v>Jalan</v>
      </c>
      <c r="Y138" s="1478">
        <f t="shared" si="46"/>
        <v>10</v>
      </c>
      <c r="Z138" s="1401">
        <f>S138/Y138</f>
        <v>727500000</v>
      </c>
      <c r="AA138" s="1444">
        <f>IF(2013-N138+1&gt;Y138,Y138,IF(2013-N138+1&lt;0,0,2013-N138+1))</f>
        <v>10</v>
      </c>
      <c r="AB138" s="1401">
        <f>IF(AA138&gt;Y138,S138,Z138*AA138)</f>
        <v>7275000000</v>
      </c>
      <c r="AC138" s="1401">
        <f>IF(S138=AB138,0,Z138)</f>
        <v>0</v>
      </c>
      <c r="AD138" s="1401">
        <f>IF(S138=AB138+AC138,0,Z138)</f>
        <v>0</v>
      </c>
      <c r="AE138" s="1401">
        <f>IF(S138=AB138+AC138+AD138,0,Z138)</f>
        <v>0</v>
      </c>
      <c r="AF138" s="1401">
        <f>IF(S138=AC138+AD138+AE138+AB138,0,Z138)</f>
        <v>0</v>
      </c>
      <c r="AG138" s="1479">
        <f>IF(S138=AC138+AD138+AE138+AB138+AF138,0,Z138)</f>
        <v>0</v>
      </c>
      <c r="AH138" s="1479">
        <f>IF(S138=AC138+AD138+AE138+AB138+AF138+AG138,0,Z138)</f>
        <v>0</v>
      </c>
      <c r="AI138" s="1479">
        <f>SUM(AB138:AH138)</f>
        <v>7275000000</v>
      </c>
      <c r="AJ138" s="1401">
        <f t="shared" si="47"/>
        <v>0</v>
      </c>
    </row>
    <row r="139" spans="1:36" s="1390" customFormat="1" ht="35" customHeight="1" x14ac:dyDescent="0.2">
      <c r="A139" s="1390">
        <v>51</v>
      </c>
      <c r="B139" s="1472" t="str">
        <f t="shared" si="20"/>
        <v>JL. BERINGIN SAWAH - BERINGIN SAWAH</v>
      </c>
      <c r="C139" s="1478" t="e">
        <f>RIGHT(#REF!,1)</f>
        <v>#REF!</v>
      </c>
      <c r="D139" s="1426">
        <v>47</v>
      </c>
      <c r="E139" s="1429" t="s">
        <v>529</v>
      </c>
      <c r="F139" s="1539"/>
      <c r="G139" s="1517" t="s">
        <v>2494</v>
      </c>
      <c r="H139" s="1518"/>
      <c r="I139" s="1518" t="s">
        <v>479</v>
      </c>
      <c r="J139" s="1533">
        <v>2500</v>
      </c>
      <c r="K139" s="1517"/>
      <c r="L139" s="1519">
        <v>31000</v>
      </c>
      <c r="M139" s="1518" t="s">
        <v>560</v>
      </c>
      <c r="N139" s="1517">
        <v>2001</v>
      </c>
      <c r="O139" s="1518"/>
      <c r="P139" s="1518"/>
      <c r="Q139" s="1518" t="s">
        <v>482</v>
      </c>
      <c r="R139" s="1517" t="s">
        <v>12</v>
      </c>
      <c r="S139" s="1520">
        <v>4725000000</v>
      </c>
      <c r="T139" s="1517" t="s">
        <v>43</v>
      </c>
      <c r="U139" s="1572"/>
      <c r="V139" s="1521"/>
      <c r="W139" s="1478" t="str">
        <f t="shared" si="44"/>
        <v>04.13.01</v>
      </c>
      <c r="X139" s="1478" t="str">
        <f t="shared" si="45"/>
        <v>Jalan</v>
      </c>
      <c r="Y139" s="1478">
        <f t="shared" si="46"/>
        <v>10</v>
      </c>
      <c r="Z139" s="1401">
        <f>S139/Y139</f>
        <v>472500000</v>
      </c>
      <c r="AA139" s="1444">
        <f>IF(2013-N139+1&gt;Y139,Y139,IF(2013-N139+1&lt;0,0,2013-N139+1))</f>
        <v>10</v>
      </c>
      <c r="AB139" s="1401">
        <f>IF(AA139&gt;Y139,S139,Z139*AA139)</f>
        <v>4725000000</v>
      </c>
      <c r="AC139" s="1401">
        <f>IF(S139=AB139,0,Z139)</f>
        <v>0</v>
      </c>
      <c r="AD139" s="1401">
        <f>IF(S139=AB139+AC139,0,Z139)</f>
        <v>0</v>
      </c>
      <c r="AE139" s="1401">
        <f>IF(S139=AB139+AC139+AD139,0,Z139)</f>
        <v>0</v>
      </c>
      <c r="AF139" s="1401">
        <f>IF(S139=AC139+AD139+AE139+AB139,0,Z139)</f>
        <v>0</v>
      </c>
      <c r="AG139" s="1479">
        <f>IF(S139=AC139+AD139+AE139+AB139+AF139,0,Z139)</f>
        <v>0</v>
      </c>
      <c r="AH139" s="1479">
        <f>IF(S139=AC139+AD139+AE139+AB139+AF139+AG139,0,Z139)</f>
        <v>0</v>
      </c>
      <c r="AI139" s="1479">
        <f>SUM(AB139:AH139)</f>
        <v>4725000000</v>
      </c>
      <c r="AJ139" s="1401">
        <f t="shared" si="47"/>
        <v>0</v>
      </c>
    </row>
    <row r="140" spans="1:36" s="1390" customFormat="1" ht="35" customHeight="1" x14ac:dyDescent="0.15">
      <c r="A140" s="1390">
        <v>52</v>
      </c>
      <c r="B140" s="1472" t="str">
        <f t="shared" ref="B140:B203" si="58">VLOOKUP(A140,RUAS,2,FALSE)</f>
        <v>TERMINAL - SENTAJO</v>
      </c>
      <c r="C140" s="1516" t="s">
        <v>4247</v>
      </c>
      <c r="D140" s="1426">
        <v>48</v>
      </c>
      <c r="E140" s="1429" t="s">
        <v>5825</v>
      </c>
      <c r="F140" s="1539"/>
      <c r="G140" s="1517" t="s">
        <v>2494</v>
      </c>
      <c r="H140" s="1518"/>
      <c r="I140" s="1518" t="s">
        <v>479</v>
      </c>
      <c r="J140" s="1533">
        <v>8000</v>
      </c>
      <c r="K140" s="1517"/>
      <c r="L140" s="1519">
        <v>108000</v>
      </c>
      <c r="M140" s="1518" t="s">
        <v>561</v>
      </c>
      <c r="N140" s="1517">
        <v>2001</v>
      </c>
      <c r="O140" s="1518"/>
      <c r="P140" s="1518"/>
      <c r="Q140" s="1518" t="s">
        <v>482</v>
      </c>
      <c r="R140" s="1517" t="s">
        <v>12</v>
      </c>
      <c r="S140" s="1520">
        <f>31588402771.26+F145+F146+F147+F148+F149+F150+F143+F141+F142+F144</f>
        <v>44376620720.124718</v>
      </c>
      <c r="T140" s="1517" t="s">
        <v>43</v>
      </c>
      <c r="U140" s="1572"/>
      <c r="V140" s="1521"/>
      <c r="W140" s="1522" t="str">
        <f t="shared" si="44"/>
        <v>04.13.01</v>
      </c>
      <c r="X140" s="1478" t="str">
        <f t="shared" si="45"/>
        <v>Jalan</v>
      </c>
      <c r="Y140" s="1478">
        <f t="shared" si="46"/>
        <v>10</v>
      </c>
      <c r="Z140" s="1401"/>
      <c r="AA140" s="1444">
        <f>IF(2013-N140&gt;Y140,10,IF(2013-N140&lt;0,0,2013-N140))</f>
        <v>10</v>
      </c>
      <c r="AB140" s="1401">
        <f>SUM(PERHITUNGAN!U410:U419)</f>
        <v>30900064812.756401</v>
      </c>
      <c r="AC140" s="1479">
        <f>SUMIF(PERHITUNGAN!A:A,'KIB D'!B140&amp;'KIB D'!$AC$7,PERHITUNGAN!U:U)</f>
        <v>1224389312.4368329</v>
      </c>
      <c r="AD140" s="1479">
        <f>SUMIF(PERHITUNGAN!A:A,'KIB D'!B140&amp;'KIB D'!$AD$7,PERHITUNGAN!U:U)</f>
        <v>1225216659.4931495</v>
      </c>
      <c r="AE140" s="1479">
        <f>SUMIF(PERHITUNGAN!A:A,'KIB D'!B140&amp;'KIB D'!$AE$7,PERHITUNGAN!U:U)</f>
        <v>1225216659.4931495</v>
      </c>
      <c r="AF140" s="1479">
        <f>SUMIF(PERHITUNGAN!A:A,'KIB D'!B140&amp;'KIB D'!$AF$7,PERHITUNGAN!U:U)</f>
        <v>1225216659.4931495</v>
      </c>
      <c r="AG140" s="1479">
        <f>SUMIF(PERHITUNGAN!A:A,'KIB D'!B140&amp;'KIB D'!$AG$7,PERHITUNGAN!U:U)</f>
        <v>1225216659.4931495</v>
      </c>
      <c r="AH140" s="1479">
        <f>SUMIF(PERHITUNGAN!A:A,'KIB D'!B140&amp;'KIB D'!$AH$7,PERHITUNGAN!U:U)</f>
        <v>1225216659.4931495</v>
      </c>
      <c r="AI140" s="1479">
        <f>SUM(AB140:AH140)</f>
        <v>38250537422.658981</v>
      </c>
      <c r="AJ140" s="1401">
        <f t="shared" si="47"/>
        <v>6126083297.4657364</v>
      </c>
    </row>
    <row r="141" spans="1:36" s="1390" customFormat="1" ht="51" customHeight="1" x14ac:dyDescent="0.2">
      <c r="A141" s="1390">
        <v>52</v>
      </c>
      <c r="B141" s="1472" t="str">
        <f t="shared" si="58"/>
        <v>TERMINAL - SENTAJO</v>
      </c>
      <c r="C141" s="1478"/>
      <c r="D141" s="1426"/>
      <c r="E141" s="1573" t="s">
        <v>5105</v>
      </c>
      <c r="F141" s="1539">
        <v>1367704316.8979061</v>
      </c>
      <c r="G141" s="1416" t="s">
        <v>2494</v>
      </c>
      <c r="H141" s="1508"/>
      <c r="I141" s="1523" t="s">
        <v>519</v>
      </c>
      <c r="J141" s="1532">
        <f>15*100</f>
        <v>1500</v>
      </c>
      <c r="K141" s="1532">
        <v>6</v>
      </c>
      <c r="L141" s="1532">
        <f>J141*K141</f>
        <v>9000</v>
      </c>
      <c r="M141" s="1531" t="s">
        <v>561</v>
      </c>
      <c r="N141" s="1416">
        <v>2008</v>
      </c>
      <c r="O141" s="1414"/>
      <c r="P141" s="1531" t="s">
        <v>5084</v>
      </c>
      <c r="Q141" s="1414"/>
      <c r="R141" s="1517" t="s">
        <v>12</v>
      </c>
      <c r="S141" s="1529"/>
      <c r="T141" s="1532" t="s">
        <v>43</v>
      </c>
      <c r="U141" s="1582"/>
      <c r="V141" s="1477"/>
      <c r="W141" s="1478"/>
      <c r="X141" s="1478"/>
      <c r="Y141" s="1478"/>
      <c r="Z141" s="1401"/>
      <c r="AA141" s="1444"/>
      <c r="AB141" s="1401"/>
      <c r="AC141" s="1401"/>
      <c r="AD141" s="1401"/>
      <c r="AE141" s="1401"/>
      <c r="AF141" s="1401"/>
      <c r="AG141" s="1479"/>
      <c r="AH141" s="1479"/>
      <c r="AI141" s="1479"/>
      <c r="AJ141" s="1401"/>
    </row>
    <row r="142" spans="1:36" s="1390" customFormat="1" ht="55" customHeight="1" x14ac:dyDescent="0.2">
      <c r="A142" s="1390">
        <v>52</v>
      </c>
      <c r="B142" s="1472" t="str">
        <f t="shared" si="58"/>
        <v>TERMINAL - SENTAJO</v>
      </c>
      <c r="C142" s="1478"/>
      <c r="D142" s="1426"/>
      <c r="E142" s="1583" t="s">
        <v>5106</v>
      </c>
      <c r="F142" s="1539">
        <v>2858191425.2425103</v>
      </c>
      <c r="G142" s="1416" t="s">
        <v>2494</v>
      </c>
      <c r="H142" s="1508"/>
      <c r="I142" s="1534" t="s">
        <v>519</v>
      </c>
      <c r="J142" s="1534">
        <v>1500</v>
      </c>
      <c r="K142" s="1535">
        <v>7</v>
      </c>
      <c r="L142" s="1534">
        <f>J142*K142</f>
        <v>10500</v>
      </c>
      <c r="M142" s="1531" t="s">
        <v>561</v>
      </c>
      <c r="N142" s="1416">
        <v>2009</v>
      </c>
      <c r="O142" s="1414"/>
      <c r="P142" s="1414" t="s">
        <v>5084</v>
      </c>
      <c r="Q142" s="1414"/>
      <c r="R142" s="1517" t="s">
        <v>12</v>
      </c>
      <c r="S142" s="1529"/>
      <c r="T142" s="1416" t="s">
        <v>43</v>
      </c>
      <c r="U142" s="1427"/>
      <c r="V142" s="1477"/>
      <c r="W142" s="1478"/>
      <c r="X142" s="1478"/>
      <c r="Y142" s="1478"/>
      <c r="Z142" s="1401"/>
      <c r="AA142" s="1444"/>
      <c r="AB142" s="1401"/>
      <c r="AC142" s="1401"/>
      <c r="AD142" s="1401"/>
      <c r="AE142" s="1401"/>
      <c r="AF142" s="1401"/>
      <c r="AG142" s="1479"/>
      <c r="AH142" s="1479"/>
      <c r="AI142" s="1479"/>
      <c r="AJ142" s="1401"/>
    </row>
    <row r="143" spans="1:36" s="1390" customFormat="1" ht="34" customHeight="1" x14ac:dyDescent="0.2">
      <c r="A143" s="1390">
        <v>52</v>
      </c>
      <c r="B143" s="1472" t="str">
        <f t="shared" si="58"/>
        <v>TERMINAL - SENTAJO</v>
      </c>
      <c r="C143" s="1478"/>
      <c r="D143" s="1426"/>
      <c r="E143" s="1429" t="s">
        <v>5075</v>
      </c>
      <c r="F143" s="1539">
        <v>714841086.60000002</v>
      </c>
      <c r="G143" s="1416" t="s">
        <v>2494</v>
      </c>
      <c r="H143" s="1508"/>
      <c r="I143" s="1416"/>
      <c r="J143" s="1500"/>
      <c r="K143" s="1416"/>
      <c r="L143" s="1500"/>
      <c r="M143" s="1429" t="s">
        <v>561</v>
      </c>
      <c r="N143" s="1416">
        <v>2009</v>
      </c>
      <c r="O143" s="1414"/>
      <c r="P143" s="1414"/>
      <c r="Q143" s="1414"/>
      <c r="R143" s="1416" t="s">
        <v>12</v>
      </c>
      <c r="S143" s="1529"/>
      <c r="T143" s="1416" t="s">
        <v>43</v>
      </c>
      <c r="U143" s="1427"/>
      <c r="V143" s="1477"/>
      <c r="W143" s="1478"/>
      <c r="X143" s="1478"/>
      <c r="Y143" s="1478"/>
      <c r="Z143" s="1401"/>
      <c r="AA143" s="1444"/>
      <c r="AB143" s="1401"/>
      <c r="AC143" s="1401"/>
      <c r="AD143" s="1401"/>
      <c r="AE143" s="1401"/>
      <c r="AF143" s="1401"/>
      <c r="AG143" s="1479"/>
      <c r="AH143" s="1479"/>
      <c r="AI143" s="1479"/>
      <c r="AJ143" s="1401"/>
    </row>
    <row r="144" spans="1:36" s="1390" customFormat="1" ht="34" customHeight="1" x14ac:dyDescent="0.2">
      <c r="A144" s="1390">
        <v>52</v>
      </c>
      <c r="B144" s="1472" t="str">
        <f t="shared" si="58"/>
        <v>TERMINAL - SENTAJO</v>
      </c>
      <c r="C144" s="1478"/>
      <c r="D144" s="1426"/>
      <c r="E144" s="1584" t="s">
        <v>5107</v>
      </c>
      <c r="F144" s="1539">
        <v>591050899</v>
      </c>
      <c r="G144" s="1416" t="s">
        <v>2494</v>
      </c>
      <c r="H144" s="1508"/>
      <c r="I144" s="1523" t="s">
        <v>519</v>
      </c>
      <c r="J144" s="1523"/>
      <c r="K144" s="1525"/>
      <c r="L144" s="1523"/>
      <c r="M144" s="1429" t="s">
        <v>561</v>
      </c>
      <c r="N144" s="1525">
        <v>2010</v>
      </c>
      <c r="O144" s="1523"/>
      <c r="P144" s="1525" t="s">
        <v>5084</v>
      </c>
      <c r="Q144" s="1523"/>
      <c r="R144" s="1416" t="s">
        <v>12</v>
      </c>
      <c r="S144" s="1539"/>
      <c r="T144" s="1525" t="s">
        <v>43</v>
      </c>
      <c r="U144" s="1585"/>
      <c r="V144" s="1477"/>
      <c r="W144" s="1478"/>
      <c r="X144" s="1478"/>
      <c r="Y144" s="1478"/>
      <c r="Z144" s="1401"/>
      <c r="AA144" s="1444"/>
      <c r="AB144" s="1401"/>
      <c r="AC144" s="1401"/>
      <c r="AD144" s="1401"/>
      <c r="AE144" s="1401"/>
      <c r="AF144" s="1401"/>
      <c r="AG144" s="1479"/>
      <c r="AH144" s="1479"/>
      <c r="AI144" s="1479"/>
      <c r="AJ144" s="1401"/>
    </row>
    <row r="145" spans="1:36" s="1390" customFormat="1" ht="34" customHeight="1" x14ac:dyDescent="0.2">
      <c r="A145" s="1390">
        <v>52</v>
      </c>
      <c r="B145" s="1472" t="str">
        <f t="shared" si="58"/>
        <v>TERMINAL - SENTAJO</v>
      </c>
      <c r="C145" s="1478" t="e">
        <f>RIGHT(#REF!,1)</f>
        <v>#REF!</v>
      </c>
      <c r="D145" s="1426"/>
      <c r="E145" s="1429" t="s">
        <v>1219</v>
      </c>
      <c r="F145" s="1539">
        <v>3557254334.12431</v>
      </c>
      <c r="G145" s="1416" t="s">
        <v>2494</v>
      </c>
      <c r="H145" s="1508"/>
      <c r="I145" s="1416" t="s">
        <v>519</v>
      </c>
      <c r="J145" s="1500"/>
      <c r="K145" s="1416"/>
      <c r="L145" s="1500">
        <v>1000</v>
      </c>
      <c r="M145" s="1429" t="s">
        <v>3128</v>
      </c>
      <c r="N145" s="1416">
        <v>2011</v>
      </c>
      <c r="O145" s="1414"/>
      <c r="P145" s="1414"/>
      <c r="Q145" s="1414"/>
      <c r="R145" s="1416" t="s">
        <v>12</v>
      </c>
      <c r="S145" s="1529"/>
      <c r="T145" s="1416" t="s">
        <v>43</v>
      </c>
      <c r="U145" s="1427"/>
      <c r="V145" s="1477"/>
      <c r="W145" s="1478" t="str">
        <f t="shared" ref="W145:W181" si="59">LEFT(G145,8)</f>
        <v>04.13.01</v>
      </c>
      <c r="X145" s="1478" t="str">
        <f t="shared" ref="X145:X181" si="60">VLOOKUP(W145,UE,3,FALSE)</f>
        <v>Jalan</v>
      </c>
      <c r="Y145" s="1478">
        <f t="shared" ref="Y145:Y181" si="61">VLOOKUP(W145,UE,4,FALSE)</f>
        <v>10</v>
      </c>
      <c r="Z145" s="1401"/>
      <c r="AA145" s="1444"/>
      <c r="AB145" s="1401"/>
      <c r="AC145" s="1401"/>
      <c r="AD145" s="1401"/>
      <c r="AE145" s="1401"/>
      <c r="AF145" s="1401"/>
      <c r="AG145" s="1479"/>
      <c r="AH145" s="1479"/>
      <c r="AI145" s="1479"/>
      <c r="AJ145" s="1401">
        <f t="shared" ref="AJ145:AJ181" si="62">S145-AI145</f>
        <v>0</v>
      </c>
    </row>
    <row r="146" spans="1:36" s="1390" customFormat="1" ht="34" customHeight="1" x14ac:dyDescent="0.2">
      <c r="A146" s="1390">
        <v>52</v>
      </c>
      <c r="B146" s="1472" t="str">
        <f t="shared" si="58"/>
        <v>TERMINAL - SENTAJO</v>
      </c>
      <c r="C146" s="1478" t="e">
        <f>RIGHT(#REF!,1)</f>
        <v>#REF!</v>
      </c>
      <c r="D146" s="1426"/>
      <c r="E146" s="1429" t="s">
        <v>1274</v>
      </c>
      <c r="F146" s="1539">
        <v>2219297579</v>
      </c>
      <c r="G146" s="1416" t="s">
        <v>2494</v>
      </c>
      <c r="H146" s="1508"/>
      <c r="I146" s="1416" t="s">
        <v>519</v>
      </c>
      <c r="J146" s="1500"/>
      <c r="K146" s="1416"/>
      <c r="L146" s="1500"/>
      <c r="M146" s="1429" t="s">
        <v>3167</v>
      </c>
      <c r="N146" s="1416">
        <v>2013</v>
      </c>
      <c r="O146" s="1414"/>
      <c r="P146" s="1414"/>
      <c r="Q146" s="1414"/>
      <c r="R146" s="1416" t="s">
        <v>12</v>
      </c>
      <c r="S146" s="1529"/>
      <c r="T146" s="1416" t="s">
        <v>43</v>
      </c>
      <c r="U146" s="1427"/>
      <c r="V146" s="1477"/>
      <c r="W146" s="1478" t="str">
        <f t="shared" si="59"/>
        <v>04.13.01</v>
      </c>
      <c r="X146" s="1478" t="str">
        <f t="shared" si="60"/>
        <v>Jalan</v>
      </c>
      <c r="Y146" s="1478">
        <f t="shared" si="61"/>
        <v>10</v>
      </c>
      <c r="Z146" s="1401"/>
      <c r="AA146" s="1444"/>
      <c r="AB146" s="1401"/>
      <c r="AC146" s="1401"/>
      <c r="AD146" s="1401"/>
      <c r="AE146" s="1401"/>
      <c r="AF146" s="1401"/>
      <c r="AG146" s="1479"/>
      <c r="AH146" s="1479"/>
      <c r="AI146" s="1479"/>
      <c r="AJ146" s="1401">
        <f t="shared" si="62"/>
        <v>0</v>
      </c>
    </row>
    <row r="147" spans="1:36" s="1390" customFormat="1" ht="34" customHeight="1" x14ac:dyDescent="0.15">
      <c r="A147" s="1390">
        <v>52</v>
      </c>
      <c r="B147" s="1472" t="str">
        <f t="shared" si="58"/>
        <v>TERMINAL - SENTAJO</v>
      </c>
      <c r="C147" s="1516" t="s">
        <v>4247</v>
      </c>
      <c r="D147" s="1426"/>
      <c r="E147" s="1429" t="s">
        <v>1351</v>
      </c>
      <c r="F147" s="1539">
        <v>49779000</v>
      </c>
      <c r="G147" s="1517" t="s">
        <v>2494</v>
      </c>
      <c r="H147" s="1518"/>
      <c r="I147" s="1518"/>
      <c r="J147" s="1519">
        <v>0</v>
      </c>
      <c r="K147" s="1517"/>
      <c r="L147" s="1519">
        <v>0</v>
      </c>
      <c r="M147" s="1518" t="s">
        <v>561</v>
      </c>
      <c r="N147" s="1517">
        <v>2014</v>
      </c>
      <c r="O147" s="1518"/>
      <c r="P147" s="1518"/>
      <c r="Q147" s="1518"/>
      <c r="R147" s="1416" t="s">
        <v>12</v>
      </c>
      <c r="S147" s="1520"/>
      <c r="T147" s="1518"/>
      <c r="U147" s="1572"/>
      <c r="V147" s="1521"/>
      <c r="W147" s="1522" t="str">
        <f t="shared" si="59"/>
        <v>04.13.01</v>
      </c>
      <c r="X147" s="1478" t="str">
        <f t="shared" si="60"/>
        <v>Jalan</v>
      </c>
      <c r="Y147" s="1478">
        <f t="shared" si="61"/>
        <v>10</v>
      </c>
      <c r="Z147" s="1401"/>
      <c r="AA147" s="1444">
        <f>IF(2013-N147&gt;Y147,10,IF(2013-N147&lt;0,0,2013-N147))</f>
        <v>0</v>
      </c>
      <c r="AB147" s="1401"/>
      <c r="AC147" s="1401"/>
      <c r="AD147" s="1401"/>
      <c r="AE147" s="1401"/>
      <c r="AF147" s="1401"/>
      <c r="AG147" s="1479"/>
      <c r="AH147" s="1479"/>
      <c r="AI147" s="1479"/>
      <c r="AJ147" s="1401">
        <f t="shared" si="62"/>
        <v>0</v>
      </c>
    </row>
    <row r="148" spans="1:36" s="1390" customFormat="1" ht="34" customHeight="1" x14ac:dyDescent="0.2">
      <c r="A148" s="1390">
        <v>52</v>
      </c>
      <c r="B148" s="1472" t="str">
        <f t="shared" si="58"/>
        <v>TERMINAL - SENTAJO</v>
      </c>
      <c r="C148" s="1478" t="e">
        <f>RIGHT(#REF!,1)</f>
        <v>#REF!</v>
      </c>
      <c r="D148" s="1426"/>
      <c r="E148" s="1429" t="s">
        <v>1338</v>
      </c>
      <c r="F148" s="1529">
        <v>197436525</v>
      </c>
      <c r="G148" s="1501" t="s">
        <v>2494</v>
      </c>
      <c r="H148" s="1501"/>
      <c r="I148" s="1414"/>
      <c r="J148" s="1526"/>
      <c r="K148" s="1416"/>
      <c r="L148" s="1430"/>
      <c r="M148" s="1429" t="s">
        <v>3205</v>
      </c>
      <c r="N148" s="1501">
        <v>2014</v>
      </c>
      <c r="O148" s="1414"/>
      <c r="P148" s="1414"/>
      <c r="Q148" s="1414"/>
      <c r="R148" s="1416" t="s">
        <v>12</v>
      </c>
      <c r="S148" s="1527"/>
      <c r="T148" s="1528"/>
      <c r="U148" s="1575"/>
      <c r="V148" s="1490"/>
      <c r="W148" s="1478" t="str">
        <f t="shared" si="59"/>
        <v>04.13.01</v>
      </c>
      <c r="X148" s="1478" t="str">
        <f t="shared" si="60"/>
        <v>Jalan</v>
      </c>
      <c r="Y148" s="1478">
        <f t="shared" si="61"/>
        <v>10</v>
      </c>
      <c r="Z148" s="1401"/>
      <c r="AA148" s="1444"/>
      <c r="AB148" s="1401"/>
      <c r="AC148" s="1401"/>
      <c r="AD148" s="1401"/>
      <c r="AE148" s="1401"/>
      <c r="AF148" s="1401"/>
      <c r="AG148" s="1479"/>
      <c r="AH148" s="1479"/>
      <c r="AI148" s="1479"/>
      <c r="AJ148" s="1401">
        <f t="shared" si="62"/>
        <v>0</v>
      </c>
    </row>
    <row r="149" spans="1:36" s="1390" customFormat="1" ht="34" customHeight="1" x14ac:dyDescent="0.15">
      <c r="A149" s="1390">
        <v>52</v>
      </c>
      <c r="B149" s="1472" t="str">
        <f t="shared" si="58"/>
        <v>TERMINAL - SENTAJO</v>
      </c>
      <c r="C149" s="1516" t="s">
        <v>4247</v>
      </c>
      <c r="D149" s="1426"/>
      <c r="E149" s="1429" t="s">
        <v>1359</v>
      </c>
      <c r="F149" s="1539">
        <v>1038080204</v>
      </c>
      <c r="G149" s="1517" t="s">
        <v>2494</v>
      </c>
      <c r="H149" s="1518"/>
      <c r="I149" s="1518"/>
      <c r="J149" s="1519">
        <v>0</v>
      </c>
      <c r="K149" s="1517"/>
      <c r="L149" s="1519">
        <v>0</v>
      </c>
      <c r="M149" s="1518" t="s">
        <v>561</v>
      </c>
      <c r="N149" s="1517">
        <v>2015</v>
      </c>
      <c r="O149" s="1518"/>
      <c r="P149" s="1518"/>
      <c r="Q149" s="1518"/>
      <c r="R149" s="1517" t="s">
        <v>12</v>
      </c>
      <c r="S149" s="1520"/>
      <c r="T149" s="1518"/>
      <c r="U149" s="1572"/>
      <c r="V149" s="1521"/>
      <c r="W149" s="1522" t="str">
        <f t="shared" si="59"/>
        <v>04.13.01</v>
      </c>
      <c r="X149" s="1478" t="str">
        <f t="shared" si="60"/>
        <v>Jalan</v>
      </c>
      <c r="Y149" s="1478">
        <f t="shared" si="61"/>
        <v>10</v>
      </c>
      <c r="Z149" s="1401"/>
      <c r="AA149" s="1444">
        <f>IF(2013-N149&gt;Y149,10,IF(2013-N149&lt;0,0,2013-N149))</f>
        <v>0</v>
      </c>
      <c r="AB149" s="1401"/>
      <c r="AC149" s="1401"/>
      <c r="AD149" s="1401"/>
      <c r="AE149" s="1401"/>
      <c r="AF149" s="1401"/>
      <c r="AG149" s="1479"/>
      <c r="AH149" s="1479"/>
      <c r="AI149" s="1479"/>
      <c r="AJ149" s="1401">
        <f t="shared" si="62"/>
        <v>0</v>
      </c>
    </row>
    <row r="150" spans="1:36" s="1390" customFormat="1" ht="34" customHeight="1" x14ac:dyDescent="0.15">
      <c r="A150" s="1390">
        <v>52</v>
      </c>
      <c r="B150" s="1472" t="str">
        <f t="shared" si="58"/>
        <v>TERMINAL - SENTAJO</v>
      </c>
      <c r="C150" s="1516" t="s">
        <v>4247</v>
      </c>
      <c r="D150" s="1426"/>
      <c r="E150" s="1429" t="s">
        <v>1396</v>
      </c>
      <c r="F150" s="1539">
        <v>194582579</v>
      </c>
      <c r="G150" s="1517" t="s">
        <v>2494</v>
      </c>
      <c r="H150" s="1518"/>
      <c r="I150" s="1518"/>
      <c r="J150" s="1519">
        <v>0</v>
      </c>
      <c r="K150" s="1517"/>
      <c r="L150" s="1519">
        <v>0</v>
      </c>
      <c r="M150" s="1518" t="s">
        <v>561</v>
      </c>
      <c r="N150" s="1517">
        <v>2015</v>
      </c>
      <c r="O150" s="1518"/>
      <c r="P150" s="1518"/>
      <c r="Q150" s="1518"/>
      <c r="R150" s="1517" t="s">
        <v>12</v>
      </c>
      <c r="S150" s="1520"/>
      <c r="T150" s="1518"/>
      <c r="U150" s="1572"/>
      <c r="V150" s="1521"/>
      <c r="W150" s="1522" t="str">
        <f t="shared" si="59"/>
        <v>04.13.01</v>
      </c>
      <c r="X150" s="1478" t="str">
        <f t="shared" si="60"/>
        <v>Jalan</v>
      </c>
      <c r="Y150" s="1478">
        <f t="shared" si="61"/>
        <v>10</v>
      </c>
      <c r="Z150" s="1401"/>
      <c r="AA150" s="1444">
        <f>IF(2013-N150&gt;Y150,10,IF(2013-N150&lt;0,0,2013-N150))</f>
        <v>0</v>
      </c>
      <c r="AB150" s="1401"/>
      <c r="AC150" s="1401"/>
      <c r="AD150" s="1401"/>
      <c r="AE150" s="1401"/>
      <c r="AF150" s="1401"/>
      <c r="AG150" s="1479"/>
      <c r="AH150" s="1479"/>
      <c r="AI150" s="1479"/>
      <c r="AJ150" s="1401">
        <f t="shared" si="62"/>
        <v>0</v>
      </c>
    </row>
    <row r="151" spans="1:36" s="1390" customFormat="1" ht="34" customHeight="1" x14ac:dyDescent="0.2">
      <c r="A151" s="1390">
        <v>53</v>
      </c>
      <c r="B151" s="1472" t="str">
        <f t="shared" si="58"/>
        <v>JL. PL. ARO - PL. ARO</v>
      </c>
      <c r="C151" s="1478" t="e">
        <f>RIGHT(#REF!,1)</f>
        <v>#REF!</v>
      </c>
      <c r="D151" s="1426">
        <v>49</v>
      </c>
      <c r="E151" s="1429" t="s">
        <v>3606</v>
      </c>
      <c r="F151" s="1539"/>
      <c r="G151" s="1517" t="s">
        <v>2494</v>
      </c>
      <c r="H151" s="1518"/>
      <c r="I151" s="1518" t="s">
        <v>479</v>
      </c>
      <c r="J151" s="1533">
        <v>3400</v>
      </c>
      <c r="K151" s="1517">
        <v>8</v>
      </c>
      <c r="L151" s="1519">
        <v>27200</v>
      </c>
      <c r="M151" s="1518" t="s">
        <v>556</v>
      </c>
      <c r="N151" s="1517">
        <v>2001</v>
      </c>
      <c r="O151" s="1518"/>
      <c r="P151" s="1518"/>
      <c r="Q151" s="1518" t="s">
        <v>482</v>
      </c>
      <c r="R151" s="1517" t="s">
        <v>12</v>
      </c>
      <c r="S151" s="1520">
        <f>2856000000+F152+F153</f>
        <v>4866808564</v>
      </c>
      <c r="T151" s="1517" t="s">
        <v>43</v>
      </c>
      <c r="U151" s="1572"/>
      <c r="V151" s="1521"/>
      <c r="W151" s="1478" t="str">
        <f t="shared" si="59"/>
        <v>04.13.01</v>
      </c>
      <c r="X151" s="1478" t="str">
        <f t="shared" si="60"/>
        <v>Jalan</v>
      </c>
      <c r="Y151" s="1478">
        <f t="shared" si="61"/>
        <v>10</v>
      </c>
      <c r="Z151" s="1401"/>
      <c r="AA151" s="1444">
        <f>IF(2013-N151&gt;Y151,10,IF(2013-N151&lt;0,0,2013-N151))</f>
        <v>10</v>
      </c>
      <c r="AB151" s="1401">
        <f>SUM(PERHITUNGAN!U436:U440)</f>
        <v>2856000000</v>
      </c>
      <c r="AC151" s="1479">
        <f>SUMIF(PERHITUNGAN!A:A,'KIB D'!B151&amp;'KIB D'!$AC$7,PERHITUNGAN!U:U)</f>
        <v>0</v>
      </c>
      <c r="AD151" s="1479">
        <f>SUMIF(PERHITUNGAN!A:A,'KIB D'!B151&amp;'KIB D'!$AD$7,PERHITUNGAN!U:U)</f>
        <v>19114238.300000001</v>
      </c>
      <c r="AE151" s="1479">
        <f>SUMIF(PERHITUNGAN!A:A,'KIB D'!B151&amp;'KIB D'!$AE$7,PERHITUNGAN!U:U)</f>
        <v>19114238.300000001</v>
      </c>
      <c r="AF151" s="1479">
        <f>SUMIF(PERHITUNGAN!A:A,'KIB D'!B151&amp;'KIB D'!$AF$7,PERHITUNGAN!U:U)</f>
        <v>197258008.74000001</v>
      </c>
      <c r="AG151" s="1479">
        <f>SUMIF(PERHITUNGAN!A:A,'KIB D'!B151&amp;'KIB D'!$AG$7,PERHITUNGAN!U:U)</f>
        <v>197258008.74000001</v>
      </c>
      <c r="AH151" s="1479">
        <f>SUMIF(PERHITUNGAN!A:A,'KIB D'!B151&amp;'KIB D'!$AH$7,PERHITUNGAN!U:U)</f>
        <v>197258008.74000001</v>
      </c>
      <c r="AI151" s="1479">
        <f>SUM(AB151:AH151)</f>
        <v>3486002502.8199997</v>
      </c>
      <c r="AJ151" s="1401">
        <f t="shared" si="62"/>
        <v>1380806061.1800003</v>
      </c>
    </row>
    <row r="152" spans="1:36" s="1390" customFormat="1" ht="34" customHeight="1" x14ac:dyDescent="0.2">
      <c r="A152" s="1390">
        <v>53</v>
      </c>
      <c r="B152" s="1472" t="str">
        <f t="shared" si="58"/>
        <v>JL. PL. ARO - PL. ARO</v>
      </c>
      <c r="C152" s="1478" t="e">
        <f>RIGHT(#REF!,1)</f>
        <v>#REF!</v>
      </c>
      <c r="D152" s="1426"/>
      <c r="E152" s="1429" t="s">
        <v>1412</v>
      </c>
      <c r="F152" s="1529">
        <v>191142383</v>
      </c>
      <c r="G152" s="1501" t="s">
        <v>3828</v>
      </c>
      <c r="H152" s="1501"/>
      <c r="I152" s="1414"/>
      <c r="J152" s="1526"/>
      <c r="K152" s="1416"/>
      <c r="L152" s="1430"/>
      <c r="M152" s="1429" t="s">
        <v>3242</v>
      </c>
      <c r="N152" s="1501">
        <v>2015</v>
      </c>
      <c r="O152" s="1414"/>
      <c r="P152" s="1414"/>
      <c r="Q152" s="1414"/>
      <c r="R152" s="1501" t="s">
        <v>12</v>
      </c>
      <c r="S152" s="1527"/>
      <c r="T152" s="1528"/>
      <c r="U152" s="1575"/>
      <c r="V152" s="1490"/>
      <c r="W152" s="1478" t="str">
        <f t="shared" si="59"/>
        <v>04.13.01</v>
      </c>
      <c r="X152" s="1478" t="str">
        <f t="shared" si="60"/>
        <v>Jalan</v>
      </c>
      <c r="Y152" s="1478">
        <f t="shared" si="61"/>
        <v>10</v>
      </c>
      <c r="Z152" s="1401"/>
      <c r="AA152" s="1444"/>
      <c r="AB152" s="1401"/>
      <c r="AC152" s="1401"/>
      <c r="AD152" s="1401"/>
      <c r="AE152" s="1401"/>
      <c r="AF152" s="1401"/>
      <c r="AG152" s="1479"/>
      <c r="AH152" s="1479"/>
      <c r="AI152" s="1479"/>
      <c r="AJ152" s="1401">
        <f t="shared" si="62"/>
        <v>0</v>
      </c>
    </row>
    <row r="153" spans="1:36" s="1472" customFormat="1" ht="34" customHeight="1" x14ac:dyDescent="0.2">
      <c r="A153" s="1472">
        <v>53</v>
      </c>
      <c r="B153" s="1472" t="str">
        <f t="shared" si="58"/>
        <v>JL. PL. ARO - PL. ARO</v>
      </c>
      <c r="C153" s="1478" t="e">
        <f>RIGHT(#REF!,1)</f>
        <v>#REF!</v>
      </c>
      <c r="D153" s="1576"/>
      <c r="E153" s="1413" t="s">
        <v>3073</v>
      </c>
      <c r="F153" s="1539">
        <v>1819666181</v>
      </c>
      <c r="G153" s="1416" t="s">
        <v>2494</v>
      </c>
      <c r="H153" s="1414"/>
      <c r="I153" s="1416"/>
      <c r="J153" s="1500"/>
      <c r="K153" s="1416"/>
      <c r="L153" s="1500"/>
      <c r="M153" s="1429" t="s">
        <v>3288</v>
      </c>
      <c r="N153" s="1416">
        <v>2017</v>
      </c>
      <c r="O153" s="1414"/>
      <c r="P153" s="1414"/>
      <c r="Q153" s="1414"/>
      <c r="R153" s="1501" t="s">
        <v>12</v>
      </c>
      <c r="S153" s="1529"/>
      <c r="T153" s="1528"/>
      <c r="U153" s="1575"/>
      <c r="V153" s="1490"/>
      <c r="W153" s="1478" t="str">
        <f t="shared" si="59"/>
        <v>04.13.01</v>
      </c>
      <c r="X153" s="1478" t="str">
        <f t="shared" si="60"/>
        <v>Jalan</v>
      </c>
      <c r="Y153" s="1478">
        <f t="shared" si="61"/>
        <v>10</v>
      </c>
      <c r="Z153" s="1401"/>
      <c r="AA153" s="1444"/>
      <c r="AB153" s="1401"/>
      <c r="AC153" s="1401"/>
      <c r="AD153" s="1401"/>
      <c r="AE153" s="1401"/>
      <c r="AF153" s="1401"/>
      <c r="AG153" s="1479"/>
      <c r="AH153" s="1479"/>
      <c r="AI153" s="1479"/>
      <c r="AJ153" s="1401">
        <f t="shared" si="62"/>
        <v>0</v>
      </c>
    </row>
    <row r="154" spans="1:36" s="1390" customFormat="1" ht="34" customHeight="1" x14ac:dyDescent="0.2">
      <c r="A154" s="1390">
        <v>54</v>
      </c>
      <c r="B154" s="1472" t="str">
        <f t="shared" si="58"/>
        <v>JL. SAWAH - PL. KOMANG</v>
      </c>
      <c r="C154" s="1478" t="e">
        <f>RIGHT(#REF!,1)</f>
        <v>#REF!</v>
      </c>
      <c r="D154" s="1426">
        <v>50</v>
      </c>
      <c r="E154" s="1429" t="s">
        <v>529</v>
      </c>
      <c r="F154" s="1539"/>
      <c r="G154" s="1517" t="s">
        <v>2494</v>
      </c>
      <c r="H154" s="1518"/>
      <c r="I154" s="1518" t="s">
        <v>479</v>
      </c>
      <c r="J154" s="1533">
        <v>3500</v>
      </c>
      <c r="K154" s="1517">
        <v>8</v>
      </c>
      <c r="L154" s="1519">
        <v>28000</v>
      </c>
      <c r="M154" s="1518" t="s">
        <v>557</v>
      </c>
      <c r="N154" s="1517">
        <v>2001</v>
      </c>
      <c r="O154" s="1518"/>
      <c r="P154" s="1518"/>
      <c r="Q154" s="1518" t="s">
        <v>482</v>
      </c>
      <c r="R154" s="1517" t="s">
        <v>12</v>
      </c>
      <c r="S154" s="1520">
        <v>2940000000</v>
      </c>
      <c r="T154" s="1517" t="s">
        <v>43</v>
      </c>
      <c r="U154" s="1572"/>
      <c r="V154" s="1521"/>
      <c r="W154" s="1478" t="str">
        <f t="shared" si="59"/>
        <v>04.13.01</v>
      </c>
      <c r="X154" s="1478" t="str">
        <f t="shared" si="60"/>
        <v>Jalan</v>
      </c>
      <c r="Y154" s="1478">
        <f t="shared" si="61"/>
        <v>10</v>
      </c>
      <c r="Z154" s="1401">
        <f t="shared" ref="Z154:Z165" si="63">S154/Y154</f>
        <v>294000000</v>
      </c>
      <c r="AA154" s="1444">
        <f t="shared" ref="AA154:AA165" si="64">IF(2013-N154+1&gt;Y154,Y154,IF(2013-N154+1&lt;0,0,2013-N154+1))</f>
        <v>10</v>
      </c>
      <c r="AB154" s="1401">
        <f t="shared" ref="AB154:AB165" si="65">IF(AA154&gt;Y154,S154,Z154*AA154)</f>
        <v>2940000000</v>
      </c>
      <c r="AC154" s="1401">
        <f t="shared" ref="AC154:AC165" si="66">IF(S154=AB154,0,Z154)</f>
        <v>0</v>
      </c>
      <c r="AD154" s="1401">
        <f t="shared" ref="AD154:AD165" si="67">IF(S154=AB154+AC154,0,Z154)</f>
        <v>0</v>
      </c>
      <c r="AE154" s="1401">
        <f t="shared" ref="AE154:AE165" si="68">IF(S154=AB154+AC154+AD154,0,Z154)</f>
        <v>0</v>
      </c>
      <c r="AF154" s="1401">
        <f t="shared" ref="AF154:AF165" si="69">IF(S154=AC154+AD154+AE154+AB154,0,Z154)</f>
        <v>0</v>
      </c>
      <c r="AG154" s="1479">
        <f t="shared" ref="AG154:AG165" si="70">IF(S154=AC154+AD154+AE154+AB154+AF154,0,Z154)</f>
        <v>0</v>
      </c>
      <c r="AH154" s="1479">
        <f t="shared" ref="AH154:AH165" si="71">IF(S154=AC154+AD154+AE154+AB154+AF154+AG154,0,Z154)</f>
        <v>0</v>
      </c>
      <c r="AI154" s="1479">
        <f t="shared" ref="AI154:AI165" si="72">SUM(AB154:AH154)</f>
        <v>2940000000</v>
      </c>
      <c r="AJ154" s="1401">
        <f t="shared" si="62"/>
        <v>0</v>
      </c>
    </row>
    <row r="155" spans="1:36" s="1390" customFormat="1" ht="65" customHeight="1" x14ac:dyDescent="0.2">
      <c r="A155" s="1390">
        <v>54</v>
      </c>
      <c r="B155" s="1472" t="str">
        <f t="shared" si="58"/>
        <v>JL. SAWAH - PL. KOMANG</v>
      </c>
      <c r="C155" s="1478"/>
      <c r="D155" s="1426">
        <v>51</v>
      </c>
      <c r="E155" s="1583" t="s">
        <v>5109</v>
      </c>
      <c r="F155" s="1539"/>
      <c r="G155" s="1517" t="s">
        <v>2494</v>
      </c>
      <c r="H155" s="1508"/>
      <c r="I155" s="1534" t="s">
        <v>519</v>
      </c>
      <c r="J155" s="1540">
        <v>1000</v>
      </c>
      <c r="K155" s="1535"/>
      <c r="L155" s="1534">
        <v>1000</v>
      </c>
      <c r="M155" s="1534" t="s">
        <v>5110</v>
      </c>
      <c r="N155" s="1416">
        <v>2009</v>
      </c>
      <c r="O155" s="1414"/>
      <c r="P155" s="1414" t="s">
        <v>5084</v>
      </c>
      <c r="Q155" s="1414"/>
      <c r="R155" s="1517" t="s">
        <v>12</v>
      </c>
      <c r="S155" s="1529">
        <v>1018822675.5142548</v>
      </c>
      <c r="T155" s="1416" t="s">
        <v>43</v>
      </c>
      <c r="U155" s="1427"/>
      <c r="V155" s="1477"/>
      <c r="W155" s="1478" t="str">
        <f t="shared" si="59"/>
        <v>04.13.01</v>
      </c>
      <c r="X155" s="1478" t="str">
        <f t="shared" si="60"/>
        <v>Jalan</v>
      </c>
      <c r="Y155" s="1478">
        <f t="shared" si="61"/>
        <v>10</v>
      </c>
      <c r="Z155" s="1401">
        <f t="shared" si="63"/>
        <v>101882267.55142549</v>
      </c>
      <c r="AA155" s="1444">
        <f t="shared" si="64"/>
        <v>5</v>
      </c>
      <c r="AB155" s="1401">
        <f t="shared" si="65"/>
        <v>509411337.7571274</v>
      </c>
      <c r="AC155" s="1401">
        <f t="shared" si="66"/>
        <v>101882267.55142549</v>
      </c>
      <c r="AD155" s="1401">
        <f t="shared" si="67"/>
        <v>101882267.55142549</v>
      </c>
      <c r="AE155" s="1401">
        <f t="shared" si="68"/>
        <v>101882267.55142549</v>
      </c>
      <c r="AF155" s="1401">
        <f t="shared" si="69"/>
        <v>101882267.55142549</v>
      </c>
      <c r="AG155" s="1479">
        <f t="shared" si="70"/>
        <v>101882267.55142549</v>
      </c>
      <c r="AH155" s="1479">
        <f t="shared" si="71"/>
        <v>0</v>
      </c>
      <c r="AI155" s="1479">
        <f t="shared" si="72"/>
        <v>1018822675.5142547</v>
      </c>
      <c r="AJ155" s="1401">
        <f t="shared" si="62"/>
        <v>0</v>
      </c>
    </row>
    <row r="156" spans="1:36" s="1390" customFormat="1" ht="27" customHeight="1" x14ac:dyDescent="0.2">
      <c r="A156" s="1390">
        <v>56</v>
      </c>
      <c r="B156" s="1472" t="str">
        <f t="shared" si="58"/>
        <v>JL. PDAM - DESA BERINGIN</v>
      </c>
      <c r="C156" s="1478" t="e">
        <f>RIGHT(#REF!,1)</f>
        <v>#REF!</v>
      </c>
      <c r="D156" s="1426">
        <v>52</v>
      </c>
      <c r="E156" s="1429" t="s">
        <v>529</v>
      </c>
      <c r="F156" s="1539"/>
      <c r="G156" s="1517" t="s">
        <v>2494</v>
      </c>
      <c r="H156" s="1518"/>
      <c r="I156" s="1518" t="s">
        <v>8</v>
      </c>
      <c r="J156" s="1533" t="s">
        <v>558</v>
      </c>
      <c r="K156" s="1517">
        <v>7</v>
      </c>
      <c r="L156" s="1519">
        <v>3850</v>
      </c>
      <c r="M156" s="1518" t="s">
        <v>559</v>
      </c>
      <c r="N156" s="1517">
        <v>2001</v>
      </c>
      <c r="O156" s="1518"/>
      <c r="P156" s="1518"/>
      <c r="Q156" s="1518" t="s">
        <v>482</v>
      </c>
      <c r="R156" s="1517" t="s">
        <v>12</v>
      </c>
      <c r="S156" s="1520">
        <v>107250000</v>
      </c>
      <c r="T156" s="1517" t="s">
        <v>43</v>
      </c>
      <c r="U156" s="1572"/>
      <c r="V156" s="1521"/>
      <c r="W156" s="1478" t="str">
        <f t="shared" si="59"/>
        <v>04.13.01</v>
      </c>
      <c r="X156" s="1478" t="str">
        <f t="shared" si="60"/>
        <v>Jalan</v>
      </c>
      <c r="Y156" s="1478">
        <f t="shared" si="61"/>
        <v>10</v>
      </c>
      <c r="Z156" s="1401">
        <f t="shared" si="63"/>
        <v>10725000</v>
      </c>
      <c r="AA156" s="1444">
        <f t="shared" si="64"/>
        <v>10</v>
      </c>
      <c r="AB156" s="1401">
        <f t="shared" si="65"/>
        <v>107250000</v>
      </c>
      <c r="AC156" s="1401">
        <f t="shared" si="66"/>
        <v>0</v>
      </c>
      <c r="AD156" s="1401">
        <f t="shared" si="67"/>
        <v>0</v>
      </c>
      <c r="AE156" s="1401">
        <f t="shared" si="68"/>
        <v>0</v>
      </c>
      <c r="AF156" s="1401">
        <f t="shared" si="69"/>
        <v>0</v>
      </c>
      <c r="AG156" s="1479">
        <f t="shared" si="70"/>
        <v>0</v>
      </c>
      <c r="AH156" s="1479">
        <f t="shared" si="71"/>
        <v>0</v>
      </c>
      <c r="AI156" s="1479">
        <f t="shared" si="72"/>
        <v>107250000</v>
      </c>
      <c r="AJ156" s="1401">
        <f t="shared" si="62"/>
        <v>0</v>
      </c>
    </row>
    <row r="157" spans="1:36" s="1390" customFormat="1" ht="27" customHeight="1" x14ac:dyDescent="0.2">
      <c r="A157" s="1390">
        <v>57</v>
      </c>
      <c r="B157" s="1472" t="str">
        <f t="shared" si="58"/>
        <v>JL. KERAMAT - SD BERINGIN</v>
      </c>
      <c r="C157" s="1478" t="e">
        <f>RIGHT(#REF!,1)</f>
        <v>#REF!</v>
      </c>
      <c r="D157" s="1426">
        <v>53</v>
      </c>
      <c r="E157" s="1429" t="s">
        <v>529</v>
      </c>
      <c r="F157" s="1539"/>
      <c r="G157" s="1517" t="s">
        <v>2494</v>
      </c>
      <c r="H157" s="1518"/>
      <c r="I157" s="1518" t="s">
        <v>479</v>
      </c>
      <c r="J157" s="1533" t="s">
        <v>551</v>
      </c>
      <c r="K157" s="1517">
        <v>7</v>
      </c>
      <c r="L157" s="1519">
        <v>2800</v>
      </c>
      <c r="M157" s="1518" t="s">
        <v>552</v>
      </c>
      <c r="N157" s="1517">
        <v>2001</v>
      </c>
      <c r="O157" s="1518"/>
      <c r="P157" s="1518"/>
      <c r="Q157" s="1518" t="s">
        <v>482</v>
      </c>
      <c r="R157" s="1517" t="s">
        <v>12</v>
      </c>
      <c r="S157" s="1520">
        <v>336000000</v>
      </c>
      <c r="T157" s="1517" t="s">
        <v>135</v>
      </c>
      <c r="U157" s="1572"/>
      <c r="V157" s="1521"/>
      <c r="W157" s="1478" t="str">
        <f t="shared" si="59"/>
        <v>04.13.01</v>
      </c>
      <c r="X157" s="1478" t="str">
        <f t="shared" si="60"/>
        <v>Jalan</v>
      </c>
      <c r="Y157" s="1478">
        <f t="shared" si="61"/>
        <v>10</v>
      </c>
      <c r="Z157" s="1401">
        <f t="shared" si="63"/>
        <v>33600000</v>
      </c>
      <c r="AA157" s="1444">
        <f t="shared" si="64"/>
        <v>10</v>
      </c>
      <c r="AB157" s="1401">
        <f t="shared" si="65"/>
        <v>336000000</v>
      </c>
      <c r="AC157" s="1401">
        <f t="shared" si="66"/>
        <v>0</v>
      </c>
      <c r="AD157" s="1401">
        <f t="shared" si="67"/>
        <v>0</v>
      </c>
      <c r="AE157" s="1401">
        <f t="shared" si="68"/>
        <v>0</v>
      </c>
      <c r="AF157" s="1401">
        <f t="shared" si="69"/>
        <v>0</v>
      </c>
      <c r="AG157" s="1479">
        <f t="shared" si="70"/>
        <v>0</v>
      </c>
      <c r="AH157" s="1479">
        <f t="shared" si="71"/>
        <v>0</v>
      </c>
      <c r="AI157" s="1479">
        <f t="shared" si="72"/>
        <v>336000000</v>
      </c>
      <c r="AJ157" s="1401">
        <f t="shared" si="62"/>
        <v>0</v>
      </c>
    </row>
    <row r="158" spans="1:36" s="1390" customFormat="1" ht="27" customHeight="1" x14ac:dyDescent="0.2">
      <c r="A158" s="1390">
        <v>58</v>
      </c>
      <c r="B158" s="1472" t="str">
        <f t="shared" si="58"/>
        <v>JL. BARANGAN - RUAS 041/041</v>
      </c>
      <c r="C158" s="1478" t="e">
        <f>RIGHT(#REF!,1)</f>
        <v>#REF!</v>
      </c>
      <c r="D158" s="1426">
        <v>54</v>
      </c>
      <c r="E158" s="1429" t="s">
        <v>529</v>
      </c>
      <c r="F158" s="1539"/>
      <c r="G158" s="1517" t="s">
        <v>2494</v>
      </c>
      <c r="H158" s="1518"/>
      <c r="I158" s="1518" t="s">
        <v>492</v>
      </c>
      <c r="J158" s="1533">
        <v>1850</v>
      </c>
      <c r="K158" s="1517">
        <v>8</v>
      </c>
      <c r="L158" s="1519">
        <v>14800</v>
      </c>
      <c r="M158" s="1518" t="s">
        <v>553</v>
      </c>
      <c r="N158" s="1517">
        <v>2001</v>
      </c>
      <c r="O158" s="1518"/>
      <c r="P158" s="1518"/>
      <c r="Q158" s="1518" t="s">
        <v>482</v>
      </c>
      <c r="R158" s="1517" t="s">
        <v>12</v>
      </c>
      <c r="S158" s="1520">
        <v>999000000</v>
      </c>
      <c r="T158" s="1517" t="s">
        <v>43</v>
      </c>
      <c r="U158" s="1572"/>
      <c r="V158" s="1521"/>
      <c r="W158" s="1478" t="str">
        <f t="shared" si="59"/>
        <v>04.13.01</v>
      </c>
      <c r="X158" s="1478" t="str">
        <f t="shared" si="60"/>
        <v>Jalan</v>
      </c>
      <c r="Y158" s="1478">
        <f t="shared" si="61"/>
        <v>10</v>
      </c>
      <c r="Z158" s="1401">
        <f t="shared" si="63"/>
        <v>99900000</v>
      </c>
      <c r="AA158" s="1444">
        <f t="shared" si="64"/>
        <v>10</v>
      </c>
      <c r="AB158" s="1401">
        <f t="shared" si="65"/>
        <v>999000000</v>
      </c>
      <c r="AC158" s="1401">
        <f t="shared" si="66"/>
        <v>0</v>
      </c>
      <c r="AD158" s="1401">
        <f t="shared" si="67"/>
        <v>0</v>
      </c>
      <c r="AE158" s="1401">
        <f t="shared" si="68"/>
        <v>0</v>
      </c>
      <c r="AF158" s="1401">
        <f t="shared" si="69"/>
        <v>0</v>
      </c>
      <c r="AG158" s="1479">
        <f t="shared" si="70"/>
        <v>0</v>
      </c>
      <c r="AH158" s="1479">
        <f t="shared" si="71"/>
        <v>0</v>
      </c>
      <c r="AI158" s="1479">
        <f t="shared" si="72"/>
        <v>999000000</v>
      </c>
      <c r="AJ158" s="1401">
        <f t="shared" si="62"/>
        <v>0</v>
      </c>
    </row>
    <row r="159" spans="1:36" s="1390" customFormat="1" ht="27" customHeight="1" x14ac:dyDescent="0.2">
      <c r="A159" s="1390">
        <v>59</v>
      </c>
      <c r="B159" s="1472" t="str">
        <f t="shared" si="58"/>
        <v>JL. BANGSAL - RUAS 041/041</v>
      </c>
      <c r="C159" s="1478" t="e">
        <f>RIGHT(#REF!,1)</f>
        <v>#REF!</v>
      </c>
      <c r="D159" s="1426">
        <v>55</v>
      </c>
      <c r="E159" s="1429" t="s">
        <v>529</v>
      </c>
      <c r="F159" s="1539"/>
      <c r="G159" s="1517" t="s">
        <v>2494</v>
      </c>
      <c r="H159" s="1518"/>
      <c r="I159" s="1518" t="s">
        <v>492</v>
      </c>
      <c r="J159" s="1533">
        <v>1300</v>
      </c>
      <c r="K159" s="1517">
        <v>7</v>
      </c>
      <c r="L159" s="1519">
        <v>9100</v>
      </c>
      <c r="M159" s="1518" t="s">
        <v>554</v>
      </c>
      <c r="N159" s="1517">
        <v>2001</v>
      </c>
      <c r="O159" s="1518"/>
      <c r="P159" s="1518"/>
      <c r="Q159" s="1518" t="s">
        <v>482</v>
      </c>
      <c r="R159" s="1517" t="s">
        <v>12</v>
      </c>
      <c r="S159" s="1520">
        <v>468000000</v>
      </c>
      <c r="T159" s="1517" t="s">
        <v>43</v>
      </c>
      <c r="U159" s="1572"/>
      <c r="V159" s="1521"/>
      <c r="W159" s="1478" t="str">
        <f t="shared" si="59"/>
        <v>04.13.01</v>
      </c>
      <c r="X159" s="1478" t="str">
        <f t="shared" si="60"/>
        <v>Jalan</v>
      </c>
      <c r="Y159" s="1478">
        <f t="shared" si="61"/>
        <v>10</v>
      </c>
      <c r="Z159" s="1401">
        <f t="shared" si="63"/>
        <v>46800000</v>
      </c>
      <c r="AA159" s="1444">
        <f t="shared" si="64"/>
        <v>10</v>
      </c>
      <c r="AB159" s="1401">
        <f t="shared" si="65"/>
        <v>468000000</v>
      </c>
      <c r="AC159" s="1401">
        <f t="shared" si="66"/>
        <v>0</v>
      </c>
      <c r="AD159" s="1401">
        <f t="shared" si="67"/>
        <v>0</v>
      </c>
      <c r="AE159" s="1401">
        <f t="shared" si="68"/>
        <v>0</v>
      </c>
      <c r="AF159" s="1401">
        <f t="shared" si="69"/>
        <v>0</v>
      </c>
      <c r="AG159" s="1479">
        <f t="shared" si="70"/>
        <v>0</v>
      </c>
      <c r="AH159" s="1479">
        <f t="shared" si="71"/>
        <v>0</v>
      </c>
      <c r="AI159" s="1479">
        <f t="shared" si="72"/>
        <v>468000000</v>
      </c>
      <c r="AJ159" s="1401">
        <f t="shared" si="62"/>
        <v>0</v>
      </c>
    </row>
    <row r="160" spans="1:36" s="1390" customFormat="1" ht="27" customHeight="1" x14ac:dyDescent="0.2">
      <c r="A160" s="1390">
        <v>60</v>
      </c>
      <c r="B160" s="1472" t="str">
        <f t="shared" si="58"/>
        <v>JL. PADAT KARYA I - JP. KM 162 + 300</v>
      </c>
      <c r="C160" s="1478" t="e">
        <f>RIGHT(#REF!,1)</f>
        <v>#REF!</v>
      </c>
      <c r="D160" s="1426">
        <v>56</v>
      </c>
      <c r="E160" s="1429" t="s">
        <v>529</v>
      </c>
      <c r="F160" s="1539"/>
      <c r="G160" s="1517" t="s">
        <v>2494</v>
      </c>
      <c r="H160" s="1518"/>
      <c r="I160" s="1518" t="s">
        <v>492</v>
      </c>
      <c r="J160" s="1533" t="s">
        <v>541</v>
      </c>
      <c r="K160" s="1517">
        <v>7</v>
      </c>
      <c r="L160" s="1519">
        <v>4200</v>
      </c>
      <c r="M160" s="1518" t="s">
        <v>547</v>
      </c>
      <c r="N160" s="1517">
        <v>2001</v>
      </c>
      <c r="O160" s="1518"/>
      <c r="P160" s="1518"/>
      <c r="Q160" s="1518" t="s">
        <v>482</v>
      </c>
      <c r="R160" s="1517" t="s">
        <v>12</v>
      </c>
      <c r="S160" s="1520">
        <v>216000000</v>
      </c>
      <c r="T160" s="1517" t="s">
        <v>43</v>
      </c>
      <c r="U160" s="1572"/>
      <c r="V160" s="1521"/>
      <c r="W160" s="1478" t="str">
        <f t="shared" si="59"/>
        <v>04.13.01</v>
      </c>
      <c r="X160" s="1478" t="str">
        <f t="shared" si="60"/>
        <v>Jalan</v>
      </c>
      <c r="Y160" s="1478">
        <f t="shared" si="61"/>
        <v>10</v>
      </c>
      <c r="Z160" s="1401">
        <f t="shared" si="63"/>
        <v>21600000</v>
      </c>
      <c r="AA160" s="1444">
        <f t="shared" si="64"/>
        <v>10</v>
      </c>
      <c r="AB160" s="1401">
        <f t="shared" si="65"/>
        <v>216000000</v>
      </c>
      <c r="AC160" s="1401">
        <f t="shared" si="66"/>
        <v>0</v>
      </c>
      <c r="AD160" s="1401">
        <f t="shared" si="67"/>
        <v>0</v>
      </c>
      <c r="AE160" s="1401">
        <f t="shared" si="68"/>
        <v>0</v>
      </c>
      <c r="AF160" s="1401">
        <f t="shared" si="69"/>
        <v>0</v>
      </c>
      <c r="AG160" s="1479">
        <f t="shared" si="70"/>
        <v>0</v>
      </c>
      <c r="AH160" s="1479">
        <f t="shared" si="71"/>
        <v>0</v>
      </c>
      <c r="AI160" s="1479">
        <f t="shared" si="72"/>
        <v>216000000</v>
      </c>
      <c r="AJ160" s="1401">
        <f t="shared" si="62"/>
        <v>0</v>
      </c>
    </row>
    <row r="161" spans="1:36" s="1390" customFormat="1" ht="27" customHeight="1" x14ac:dyDescent="0.2">
      <c r="A161" s="1390">
        <v>60</v>
      </c>
      <c r="B161" s="1472" t="str">
        <f t="shared" si="58"/>
        <v>JL. PADAT KARYA I - JP. KM 162 + 300</v>
      </c>
      <c r="C161" s="1478" t="e">
        <f>RIGHT(#REF!,1)</f>
        <v>#REF!</v>
      </c>
      <c r="D161" s="1426">
        <v>57</v>
      </c>
      <c r="E161" s="1429" t="s">
        <v>529</v>
      </c>
      <c r="F161" s="1539"/>
      <c r="G161" s="1517" t="s">
        <v>2494</v>
      </c>
      <c r="H161" s="1518"/>
      <c r="I161" s="1518" t="s">
        <v>525</v>
      </c>
      <c r="J161" s="1533" t="s">
        <v>649</v>
      </c>
      <c r="K161" s="1517"/>
      <c r="L161" s="1519"/>
      <c r="M161" s="1518" t="s">
        <v>650</v>
      </c>
      <c r="N161" s="1517">
        <v>2001</v>
      </c>
      <c r="O161" s="1518"/>
      <c r="P161" s="1518"/>
      <c r="Q161" s="1518" t="s">
        <v>482</v>
      </c>
      <c r="R161" s="1517" t="s">
        <v>12</v>
      </c>
      <c r="S161" s="1520">
        <v>303750000</v>
      </c>
      <c r="T161" s="1517" t="s">
        <v>43</v>
      </c>
      <c r="U161" s="1572"/>
      <c r="V161" s="1521"/>
      <c r="W161" s="1478" t="str">
        <f t="shared" si="59"/>
        <v>04.13.01</v>
      </c>
      <c r="X161" s="1478" t="str">
        <f t="shared" si="60"/>
        <v>Jalan</v>
      </c>
      <c r="Y161" s="1478">
        <f t="shared" si="61"/>
        <v>10</v>
      </c>
      <c r="Z161" s="1401">
        <f t="shared" si="63"/>
        <v>30375000</v>
      </c>
      <c r="AA161" s="1444">
        <f t="shared" si="64"/>
        <v>10</v>
      </c>
      <c r="AB161" s="1401">
        <f t="shared" si="65"/>
        <v>303750000</v>
      </c>
      <c r="AC161" s="1401">
        <f t="shared" si="66"/>
        <v>0</v>
      </c>
      <c r="AD161" s="1401">
        <f t="shared" si="67"/>
        <v>0</v>
      </c>
      <c r="AE161" s="1401">
        <f t="shared" si="68"/>
        <v>0</v>
      </c>
      <c r="AF161" s="1401">
        <f t="shared" si="69"/>
        <v>0</v>
      </c>
      <c r="AG161" s="1479">
        <f t="shared" si="70"/>
        <v>0</v>
      </c>
      <c r="AH161" s="1479">
        <f t="shared" si="71"/>
        <v>0</v>
      </c>
      <c r="AI161" s="1479">
        <f t="shared" si="72"/>
        <v>303750000</v>
      </c>
      <c r="AJ161" s="1401">
        <f t="shared" si="62"/>
        <v>0</v>
      </c>
    </row>
    <row r="162" spans="1:36" s="1390" customFormat="1" ht="27" customHeight="1" x14ac:dyDescent="0.2">
      <c r="A162" s="1390">
        <v>61</v>
      </c>
      <c r="B162" s="1472" t="str">
        <f t="shared" si="58"/>
        <v>JL. PADAT KARYA II - BUNTU</v>
      </c>
      <c r="C162" s="1478" t="e">
        <f>RIGHT(#REF!,1)</f>
        <v>#REF!</v>
      </c>
      <c r="D162" s="1426">
        <v>58</v>
      </c>
      <c r="E162" s="1429" t="s">
        <v>529</v>
      </c>
      <c r="F162" s="1539"/>
      <c r="G162" s="1517" t="s">
        <v>2494</v>
      </c>
      <c r="H162" s="1518"/>
      <c r="I162" s="1518" t="s">
        <v>8</v>
      </c>
      <c r="J162" s="1533" t="s">
        <v>548</v>
      </c>
      <c r="K162" s="1517">
        <v>7</v>
      </c>
      <c r="L162" s="1519">
        <v>5250</v>
      </c>
      <c r="M162" s="1518" t="s">
        <v>549</v>
      </c>
      <c r="N162" s="1517">
        <v>2001</v>
      </c>
      <c r="O162" s="1518"/>
      <c r="P162" s="1518"/>
      <c r="Q162" s="1518" t="s">
        <v>482</v>
      </c>
      <c r="R162" s="1517" t="s">
        <v>12</v>
      </c>
      <c r="S162" s="1520">
        <v>168750000</v>
      </c>
      <c r="T162" s="1517" t="s">
        <v>43</v>
      </c>
      <c r="U162" s="1572"/>
      <c r="V162" s="1521"/>
      <c r="W162" s="1478" t="str">
        <f t="shared" si="59"/>
        <v>04.13.01</v>
      </c>
      <c r="X162" s="1478" t="str">
        <f t="shared" si="60"/>
        <v>Jalan</v>
      </c>
      <c r="Y162" s="1478">
        <f t="shared" si="61"/>
        <v>10</v>
      </c>
      <c r="Z162" s="1401">
        <f t="shared" si="63"/>
        <v>16875000</v>
      </c>
      <c r="AA162" s="1444">
        <f t="shared" si="64"/>
        <v>10</v>
      </c>
      <c r="AB162" s="1401">
        <f t="shared" si="65"/>
        <v>168750000</v>
      </c>
      <c r="AC162" s="1401">
        <f t="shared" si="66"/>
        <v>0</v>
      </c>
      <c r="AD162" s="1401">
        <f t="shared" si="67"/>
        <v>0</v>
      </c>
      <c r="AE162" s="1401">
        <f t="shared" si="68"/>
        <v>0</v>
      </c>
      <c r="AF162" s="1401">
        <f t="shared" si="69"/>
        <v>0</v>
      </c>
      <c r="AG162" s="1479">
        <f t="shared" si="70"/>
        <v>0</v>
      </c>
      <c r="AH162" s="1479">
        <f t="shared" si="71"/>
        <v>0</v>
      </c>
      <c r="AI162" s="1479">
        <f t="shared" si="72"/>
        <v>168750000</v>
      </c>
      <c r="AJ162" s="1401">
        <f t="shared" si="62"/>
        <v>0</v>
      </c>
    </row>
    <row r="163" spans="1:36" s="1390" customFormat="1" ht="27" customHeight="1" x14ac:dyDescent="0.2">
      <c r="A163" s="1390">
        <v>62</v>
      </c>
      <c r="B163" s="1472" t="str">
        <f t="shared" si="58"/>
        <v>JL. PLN - JP. KM 159 + 300</v>
      </c>
      <c r="C163" s="1478" t="e">
        <f>RIGHT(#REF!,1)</f>
        <v>#REF!</v>
      </c>
      <c r="D163" s="1426">
        <v>59</v>
      </c>
      <c r="E163" s="1429" t="s">
        <v>529</v>
      </c>
      <c r="F163" s="1539"/>
      <c r="G163" s="1517" t="s">
        <v>2494</v>
      </c>
      <c r="H163" s="1518"/>
      <c r="I163" s="1518" t="s">
        <v>492</v>
      </c>
      <c r="J163" s="1533" t="s">
        <v>530</v>
      </c>
      <c r="K163" s="1517">
        <v>7</v>
      </c>
      <c r="L163" s="1519">
        <v>3500</v>
      </c>
      <c r="M163" s="1518" t="s">
        <v>550</v>
      </c>
      <c r="N163" s="1517">
        <v>2001</v>
      </c>
      <c r="O163" s="1518"/>
      <c r="P163" s="1518"/>
      <c r="Q163" s="1518" t="s">
        <v>482</v>
      </c>
      <c r="R163" s="1517" t="s">
        <v>12</v>
      </c>
      <c r="S163" s="1520">
        <v>180000000</v>
      </c>
      <c r="T163" s="1517" t="s">
        <v>43</v>
      </c>
      <c r="U163" s="1572"/>
      <c r="V163" s="1521"/>
      <c r="W163" s="1478" t="str">
        <f t="shared" si="59"/>
        <v>04.13.01</v>
      </c>
      <c r="X163" s="1478" t="str">
        <f t="shared" si="60"/>
        <v>Jalan</v>
      </c>
      <c r="Y163" s="1478">
        <f t="shared" si="61"/>
        <v>10</v>
      </c>
      <c r="Z163" s="1401">
        <f t="shared" si="63"/>
        <v>18000000</v>
      </c>
      <c r="AA163" s="1444">
        <f t="shared" si="64"/>
        <v>10</v>
      </c>
      <c r="AB163" s="1401">
        <f t="shared" si="65"/>
        <v>180000000</v>
      </c>
      <c r="AC163" s="1401">
        <f t="shared" si="66"/>
        <v>0</v>
      </c>
      <c r="AD163" s="1401">
        <f t="shared" si="67"/>
        <v>0</v>
      </c>
      <c r="AE163" s="1401">
        <f t="shared" si="68"/>
        <v>0</v>
      </c>
      <c r="AF163" s="1401">
        <f t="shared" si="69"/>
        <v>0</v>
      </c>
      <c r="AG163" s="1479">
        <f t="shared" si="70"/>
        <v>0</v>
      </c>
      <c r="AH163" s="1479">
        <f t="shared" si="71"/>
        <v>0</v>
      </c>
      <c r="AI163" s="1479">
        <f t="shared" si="72"/>
        <v>180000000</v>
      </c>
      <c r="AJ163" s="1401">
        <f t="shared" si="62"/>
        <v>0</v>
      </c>
    </row>
    <row r="164" spans="1:36" s="1390" customFormat="1" ht="27" customHeight="1" x14ac:dyDescent="0.2">
      <c r="A164" s="1390">
        <v>63</v>
      </c>
      <c r="B164" s="1472" t="str">
        <f t="shared" si="58"/>
        <v>JL. PLTA - JK. RUAS 33/33 KM 0 + 100</v>
      </c>
      <c r="C164" s="1478" t="e">
        <f>RIGHT(#REF!,1)</f>
        <v>#REF!</v>
      </c>
      <c r="D164" s="1426">
        <v>60</v>
      </c>
      <c r="E164" s="1429" t="s">
        <v>529</v>
      </c>
      <c r="F164" s="1539"/>
      <c r="G164" s="1517" t="s">
        <v>2494</v>
      </c>
      <c r="H164" s="1518"/>
      <c r="I164" s="1518" t="s">
        <v>8</v>
      </c>
      <c r="J164" s="1533" t="s">
        <v>530</v>
      </c>
      <c r="K164" s="1517">
        <v>7</v>
      </c>
      <c r="L164" s="1519">
        <v>3500</v>
      </c>
      <c r="M164" s="1518" t="s">
        <v>544</v>
      </c>
      <c r="N164" s="1517">
        <v>2001</v>
      </c>
      <c r="O164" s="1518"/>
      <c r="P164" s="1518"/>
      <c r="Q164" s="1518" t="s">
        <v>482</v>
      </c>
      <c r="R164" s="1517" t="s">
        <v>12</v>
      </c>
      <c r="S164" s="1520">
        <v>90000000</v>
      </c>
      <c r="T164" s="1517" t="s">
        <v>43</v>
      </c>
      <c r="U164" s="1572"/>
      <c r="V164" s="1521"/>
      <c r="W164" s="1478" t="str">
        <f t="shared" si="59"/>
        <v>04.13.01</v>
      </c>
      <c r="X164" s="1478" t="str">
        <f t="shared" si="60"/>
        <v>Jalan</v>
      </c>
      <c r="Y164" s="1478">
        <f t="shared" si="61"/>
        <v>10</v>
      </c>
      <c r="Z164" s="1401">
        <f t="shared" si="63"/>
        <v>9000000</v>
      </c>
      <c r="AA164" s="1444">
        <f t="shared" si="64"/>
        <v>10</v>
      </c>
      <c r="AB164" s="1401">
        <f t="shared" si="65"/>
        <v>90000000</v>
      </c>
      <c r="AC164" s="1401">
        <f t="shared" si="66"/>
        <v>0</v>
      </c>
      <c r="AD164" s="1401">
        <f t="shared" si="67"/>
        <v>0</v>
      </c>
      <c r="AE164" s="1401">
        <f t="shared" si="68"/>
        <v>0</v>
      </c>
      <c r="AF164" s="1401">
        <f t="shared" si="69"/>
        <v>0</v>
      </c>
      <c r="AG164" s="1479">
        <f t="shared" si="70"/>
        <v>0</v>
      </c>
      <c r="AH164" s="1479">
        <f t="shared" si="71"/>
        <v>0</v>
      </c>
      <c r="AI164" s="1479">
        <f t="shared" si="72"/>
        <v>90000000</v>
      </c>
      <c r="AJ164" s="1401">
        <f t="shared" si="62"/>
        <v>0</v>
      </c>
    </row>
    <row r="165" spans="1:36" s="1390" customFormat="1" ht="27" customHeight="1" x14ac:dyDescent="0.2">
      <c r="A165" s="1390">
        <v>64</v>
      </c>
      <c r="B165" s="1472" t="str">
        <f t="shared" si="58"/>
        <v>JL. SMK - SMK</v>
      </c>
      <c r="C165" s="1478" t="e">
        <f>RIGHT(#REF!,1)</f>
        <v>#REF!</v>
      </c>
      <c r="D165" s="1426">
        <v>61</v>
      </c>
      <c r="E165" s="1429" t="s">
        <v>529</v>
      </c>
      <c r="F165" s="1539"/>
      <c r="G165" s="1517" t="s">
        <v>2494</v>
      </c>
      <c r="H165" s="1518"/>
      <c r="I165" s="1518" t="s">
        <v>8</v>
      </c>
      <c r="J165" s="1533" t="s">
        <v>541</v>
      </c>
      <c r="K165" s="1517">
        <v>7</v>
      </c>
      <c r="L165" s="1519">
        <v>4200</v>
      </c>
      <c r="M165" s="1518" t="s">
        <v>545</v>
      </c>
      <c r="N165" s="1517">
        <v>2001</v>
      </c>
      <c r="O165" s="1518"/>
      <c r="P165" s="1518"/>
      <c r="Q165" s="1518" t="s">
        <v>482</v>
      </c>
      <c r="R165" s="1517" t="s">
        <v>12</v>
      </c>
      <c r="S165" s="1520">
        <v>108000000</v>
      </c>
      <c r="T165" s="1517" t="s">
        <v>43</v>
      </c>
      <c r="U165" s="1572"/>
      <c r="V165" s="1521"/>
      <c r="W165" s="1478" t="str">
        <f t="shared" si="59"/>
        <v>04.13.01</v>
      </c>
      <c r="X165" s="1478" t="str">
        <f t="shared" si="60"/>
        <v>Jalan</v>
      </c>
      <c r="Y165" s="1478">
        <f t="shared" si="61"/>
        <v>10</v>
      </c>
      <c r="Z165" s="1401">
        <f t="shared" si="63"/>
        <v>10800000</v>
      </c>
      <c r="AA165" s="1444">
        <f t="shared" si="64"/>
        <v>10</v>
      </c>
      <c r="AB165" s="1401">
        <f t="shared" si="65"/>
        <v>108000000</v>
      </c>
      <c r="AC165" s="1401">
        <f t="shared" si="66"/>
        <v>0</v>
      </c>
      <c r="AD165" s="1401">
        <f t="shared" si="67"/>
        <v>0</v>
      </c>
      <c r="AE165" s="1401">
        <f t="shared" si="68"/>
        <v>0</v>
      </c>
      <c r="AF165" s="1401">
        <f t="shared" si="69"/>
        <v>0</v>
      </c>
      <c r="AG165" s="1479">
        <f t="shared" si="70"/>
        <v>0</v>
      </c>
      <c r="AH165" s="1479">
        <f t="shared" si="71"/>
        <v>0</v>
      </c>
      <c r="AI165" s="1479">
        <f t="shared" si="72"/>
        <v>108000000</v>
      </c>
      <c r="AJ165" s="1401">
        <f t="shared" si="62"/>
        <v>0</v>
      </c>
    </row>
    <row r="166" spans="1:36" s="1390" customFormat="1" ht="27" customHeight="1" x14ac:dyDescent="0.15">
      <c r="A166" s="1390">
        <v>65</v>
      </c>
      <c r="B166" s="1472" t="str">
        <f t="shared" si="58"/>
        <v>SIMP. STM BERINGIN - SAWAH</v>
      </c>
      <c r="C166" s="1516" t="s">
        <v>4247</v>
      </c>
      <c r="D166" s="1426">
        <v>62</v>
      </c>
      <c r="E166" s="1429" t="s">
        <v>5826</v>
      </c>
      <c r="F166" s="1539"/>
      <c r="G166" s="1517" t="s">
        <v>2494</v>
      </c>
      <c r="H166" s="1518"/>
      <c r="I166" s="1518" t="s">
        <v>479</v>
      </c>
      <c r="J166" s="1533" t="s">
        <v>490</v>
      </c>
      <c r="K166" s="1517"/>
      <c r="L166" s="1519">
        <v>38600</v>
      </c>
      <c r="M166" s="1518" t="s">
        <v>546</v>
      </c>
      <c r="N166" s="1517">
        <v>2001</v>
      </c>
      <c r="O166" s="1518"/>
      <c r="P166" s="1518"/>
      <c r="Q166" s="1518" t="s">
        <v>482</v>
      </c>
      <c r="R166" s="1517" t="s">
        <v>12</v>
      </c>
      <c r="S166" s="1520">
        <f>4725000000+F167+F168+F169</f>
        <v>22272006869.258331</v>
      </c>
      <c r="T166" s="1517" t="s">
        <v>43</v>
      </c>
      <c r="U166" s="1572"/>
      <c r="V166" s="1521"/>
      <c r="W166" s="1522" t="str">
        <f t="shared" si="59"/>
        <v>04.13.01</v>
      </c>
      <c r="X166" s="1478" t="str">
        <f t="shared" si="60"/>
        <v>Jalan</v>
      </c>
      <c r="Y166" s="1478">
        <f t="shared" si="61"/>
        <v>10</v>
      </c>
      <c r="Z166" s="1401"/>
      <c r="AA166" s="1444">
        <f>IF(2013-N166&gt;Y166,10,IF(2013-N166&lt;0,0,2013-N166))</f>
        <v>10</v>
      </c>
      <c r="AB166" s="1401">
        <f>SUM(PERHITUNGAN!U455:U458)</f>
        <v>5551023154.0808315</v>
      </c>
      <c r="AC166" s="1479">
        <f>SUMIF(PERHITUNGAN!A:A,'KIB D'!B166&amp;'KIB D'!$AC$7,PERHITUNGAN!U:U)</f>
        <v>388003307.72583306</v>
      </c>
      <c r="AD166" s="1479">
        <f>SUMIF(PERHITUNGAN!A:A,'KIB D'!B166&amp;'KIB D'!$AD$7,PERHITUNGAN!U:U)</f>
        <v>654760320.74516654</v>
      </c>
      <c r="AE166" s="1479">
        <f>SUMIF(PERHITUNGAN!A:A,'KIB D'!B166&amp;'KIB D'!$AE$7,PERHITUNGAN!U:U)</f>
        <v>1567822008.67065</v>
      </c>
      <c r="AF166" s="1479">
        <f>SUMIF(PERHITUNGAN!A:A,'KIB D'!B166&amp;'KIB D'!$AF$7,PERHITUNGAN!U:U)</f>
        <v>1567822008.67065</v>
      </c>
      <c r="AG166" s="1479">
        <f>SUMIF(PERHITUNGAN!A:A,'KIB D'!B166&amp;'KIB D'!$AG$7,PERHITUNGAN!U:U)</f>
        <v>1567822008.67065</v>
      </c>
      <c r="AH166" s="1479">
        <f>SUMIF(PERHITUNGAN!A:A,'KIB D'!B166&amp;'KIB D'!$AH$7,PERHITUNGAN!U:U)</f>
        <v>1567822008.67065</v>
      </c>
      <c r="AI166" s="1479">
        <f>SUM(AB166:AH166)</f>
        <v>12865074817.234432</v>
      </c>
      <c r="AJ166" s="1401">
        <f t="shared" si="62"/>
        <v>9406932052.0238991</v>
      </c>
    </row>
    <row r="167" spans="1:36" s="1390" customFormat="1" ht="33" customHeight="1" x14ac:dyDescent="0.15">
      <c r="A167" s="1390">
        <v>65</v>
      </c>
      <c r="B167" s="1472" t="str">
        <f t="shared" si="58"/>
        <v>SIMP. STM BERINGIN - SAWAH</v>
      </c>
      <c r="C167" s="1516" t="s">
        <v>4247</v>
      </c>
      <c r="D167" s="1426"/>
      <c r="E167" s="1429" t="s">
        <v>1149</v>
      </c>
      <c r="F167" s="1539">
        <v>1990033077.2583308</v>
      </c>
      <c r="G167" s="1517" t="s">
        <v>2494</v>
      </c>
      <c r="H167" s="1518"/>
      <c r="I167" s="1518" t="s">
        <v>519</v>
      </c>
      <c r="J167" s="1519">
        <v>0</v>
      </c>
      <c r="K167" s="1517"/>
      <c r="L167" s="1519">
        <v>1500</v>
      </c>
      <c r="M167" s="1518" t="s">
        <v>3088</v>
      </c>
      <c r="N167" s="1517">
        <v>2007</v>
      </c>
      <c r="O167" s="1518"/>
      <c r="P167" s="1518"/>
      <c r="Q167" s="1518"/>
      <c r="R167" s="1517" t="s">
        <v>12</v>
      </c>
      <c r="S167" s="1520"/>
      <c r="T167" s="1517" t="s">
        <v>43</v>
      </c>
      <c r="U167" s="1572"/>
      <c r="V167" s="1521"/>
      <c r="W167" s="1522" t="str">
        <f t="shared" si="59"/>
        <v>04.13.01</v>
      </c>
      <c r="X167" s="1478" t="str">
        <f t="shared" si="60"/>
        <v>Jalan</v>
      </c>
      <c r="Y167" s="1478">
        <f t="shared" si="61"/>
        <v>10</v>
      </c>
      <c r="Z167" s="1401"/>
      <c r="AA167" s="1444">
        <f>IF(2013-N167&gt;Y167,10,IF(2013-N167&lt;0,0,2013-N167))</f>
        <v>6</v>
      </c>
      <c r="AB167" s="1401"/>
      <c r="AC167" s="1401"/>
      <c r="AD167" s="1401"/>
      <c r="AE167" s="1401"/>
      <c r="AF167" s="1401"/>
      <c r="AG167" s="1479"/>
      <c r="AH167" s="1479"/>
      <c r="AI167" s="1479"/>
      <c r="AJ167" s="1401">
        <f t="shared" si="62"/>
        <v>0</v>
      </c>
    </row>
    <row r="168" spans="1:36" s="1390" customFormat="1" ht="33" customHeight="1" x14ac:dyDescent="0.15">
      <c r="A168" s="1390">
        <v>65</v>
      </c>
      <c r="B168" s="1472" t="str">
        <f t="shared" si="58"/>
        <v>SIMP. STM BERINGIN - SAWAH</v>
      </c>
      <c r="C168" s="1516" t="s">
        <v>4247</v>
      </c>
      <c r="D168" s="1426"/>
      <c r="E168" s="1429" t="s">
        <v>1352</v>
      </c>
      <c r="F168" s="1539">
        <v>5771596592</v>
      </c>
      <c r="G168" s="1517" t="s">
        <v>2494</v>
      </c>
      <c r="H168" s="1518"/>
      <c r="I168" s="1518"/>
      <c r="J168" s="1519">
        <v>0</v>
      </c>
      <c r="K168" s="1517"/>
      <c r="L168" s="1519">
        <v>0</v>
      </c>
      <c r="M168" s="1518" t="s">
        <v>3216</v>
      </c>
      <c r="N168" s="1517">
        <v>2015</v>
      </c>
      <c r="O168" s="1518"/>
      <c r="P168" s="1518"/>
      <c r="Q168" s="1518"/>
      <c r="R168" s="1517" t="s">
        <v>12</v>
      </c>
      <c r="S168" s="1520"/>
      <c r="T168" s="1518"/>
      <c r="U168" s="1572"/>
      <c r="V168" s="1521"/>
      <c r="W168" s="1522" t="str">
        <f t="shared" si="59"/>
        <v>04.13.01</v>
      </c>
      <c r="X168" s="1478" t="str">
        <f t="shared" si="60"/>
        <v>Jalan</v>
      </c>
      <c r="Y168" s="1478">
        <f t="shared" si="61"/>
        <v>10</v>
      </c>
      <c r="Z168" s="1401"/>
      <c r="AA168" s="1444">
        <f>IF(2013-N168&gt;Y168,10,IF(2013-N168&lt;0,0,2013-N168))</f>
        <v>0</v>
      </c>
      <c r="AB168" s="1401"/>
      <c r="AC168" s="1401"/>
      <c r="AD168" s="1401"/>
      <c r="AE168" s="1401"/>
      <c r="AF168" s="1401"/>
      <c r="AG168" s="1479"/>
      <c r="AH168" s="1479"/>
      <c r="AI168" s="1479"/>
      <c r="AJ168" s="1401">
        <f t="shared" si="62"/>
        <v>0</v>
      </c>
    </row>
    <row r="169" spans="1:36" s="1390" customFormat="1" ht="33" customHeight="1" x14ac:dyDescent="0.15">
      <c r="A169" s="1390">
        <v>65</v>
      </c>
      <c r="B169" s="1472" t="str">
        <f t="shared" si="58"/>
        <v>SIMP. STM BERINGIN - SAWAH</v>
      </c>
      <c r="C169" s="1516" t="s">
        <v>4247</v>
      </c>
      <c r="D169" s="1426"/>
      <c r="E169" s="1429" t="s">
        <v>1443</v>
      </c>
      <c r="F169" s="1539">
        <v>9785377200</v>
      </c>
      <c r="G169" s="1517" t="s">
        <v>2494</v>
      </c>
      <c r="H169" s="1518"/>
      <c r="I169" s="1518"/>
      <c r="J169" s="1519">
        <v>0</v>
      </c>
      <c r="K169" s="1517"/>
      <c r="L169" s="1519">
        <v>0</v>
      </c>
      <c r="M169" s="1518" t="s">
        <v>3216</v>
      </c>
      <c r="N169" s="1517">
        <v>2016</v>
      </c>
      <c r="O169" s="1518"/>
      <c r="P169" s="1518"/>
      <c r="Q169" s="1518"/>
      <c r="R169" s="1517" t="s">
        <v>12</v>
      </c>
      <c r="S169" s="1520"/>
      <c r="T169" s="1518"/>
      <c r="U169" s="1572"/>
      <c r="V169" s="1521"/>
      <c r="W169" s="1522" t="str">
        <f t="shared" si="59"/>
        <v>04.13.01</v>
      </c>
      <c r="X169" s="1478" t="str">
        <f t="shared" si="60"/>
        <v>Jalan</v>
      </c>
      <c r="Y169" s="1478">
        <f t="shared" si="61"/>
        <v>10</v>
      </c>
      <c r="Z169" s="1401"/>
      <c r="AA169" s="1444">
        <f>IF(2013-N169&gt;Y169,10,IF(2013-N169&lt;0,0,2013-N169))</f>
        <v>0</v>
      </c>
      <c r="AB169" s="1401"/>
      <c r="AC169" s="1401"/>
      <c r="AD169" s="1401"/>
      <c r="AE169" s="1401"/>
      <c r="AF169" s="1401"/>
      <c r="AG169" s="1479"/>
      <c r="AH169" s="1479"/>
      <c r="AI169" s="1479"/>
      <c r="AJ169" s="1401">
        <f t="shared" si="62"/>
        <v>0</v>
      </c>
    </row>
    <row r="170" spans="1:36" s="1390" customFormat="1" ht="33" customHeight="1" x14ac:dyDescent="0.2">
      <c r="A170" s="1390">
        <v>66</v>
      </c>
      <c r="B170" s="1472" t="str">
        <f t="shared" si="58"/>
        <v>JL. TELKOM - JK</v>
      </c>
      <c r="C170" s="1478" t="e">
        <f>RIGHT(#REF!,1)</f>
        <v>#REF!</v>
      </c>
      <c r="D170" s="1426">
        <v>63</v>
      </c>
      <c r="E170" s="1429" t="s">
        <v>529</v>
      </c>
      <c r="F170" s="1539"/>
      <c r="G170" s="1517" t="s">
        <v>2494</v>
      </c>
      <c r="H170" s="1518"/>
      <c r="I170" s="1518" t="s">
        <v>479</v>
      </c>
      <c r="J170" s="1533" t="s">
        <v>541</v>
      </c>
      <c r="K170" s="1517">
        <v>7</v>
      </c>
      <c r="L170" s="1519">
        <v>4200</v>
      </c>
      <c r="M170" s="1518" t="s">
        <v>542</v>
      </c>
      <c r="N170" s="1517">
        <v>2001</v>
      </c>
      <c r="O170" s="1518"/>
      <c r="P170" s="1518"/>
      <c r="Q170" s="1518" t="s">
        <v>482</v>
      </c>
      <c r="R170" s="1517" t="s">
        <v>12</v>
      </c>
      <c r="S170" s="1520">
        <v>756000000</v>
      </c>
      <c r="T170" s="1517" t="s">
        <v>43</v>
      </c>
      <c r="U170" s="1572"/>
      <c r="V170" s="1521"/>
      <c r="W170" s="1478" t="str">
        <f t="shared" si="59"/>
        <v>04.13.01</v>
      </c>
      <c r="X170" s="1478" t="str">
        <f t="shared" si="60"/>
        <v>Jalan</v>
      </c>
      <c r="Y170" s="1478">
        <f t="shared" si="61"/>
        <v>10</v>
      </c>
      <c r="Z170" s="1401">
        <f t="shared" ref="Z170:Z177" si="73">S170/Y170</f>
        <v>75600000</v>
      </c>
      <c r="AA170" s="1444">
        <f t="shared" ref="AA170:AA177" si="74">IF(2013-N170+1&gt;Y170,Y170,IF(2013-N170+1&lt;0,0,2013-N170+1))</f>
        <v>10</v>
      </c>
      <c r="AB170" s="1401">
        <f t="shared" ref="AB170:AB177" si="75">IF(AA170&gt;Y170,S170,Z170*AA170)</f>
        <v>756000000</v>
      </c>
      <c r="AC170" s="1401">
        <f t="shared" ref="AC170:AC177" si="76">IF(S170=AB170,0,Z170)</f>
        <v>0</v>
      </c>
      <c r="AD170" s="1401">
        <f t="shared" ref="AD170:AD177" si="77">IF(S170=AB170+AC170,0,Z170)</f>
        <v>0</v>
      </c>
      <c r="AE170" s="1401">
        <f t="shared" ref="AE170:AE177" si="78">IF(S170=AB170+AC170+AD170,0,Z170)</f>
        <v>0</v>
      </c>
      <c r="AF170" s="1401">
        <f t="shared" ref="AF170:AF177" si="79">IF(S170=AC170+AD170+AE170+AB170,0,Z170)</f>
        <v>0</v>
      </c>
      <c r="AG170" s="1479">
        <f t="shared" ref="AG170:AG177" si="80">IF(S170=AC170+AD170+AE170+AB170+AF170,0,Z170)</f>
        <v>0</v>
      </c>
      <c r="AH170" s="1479">
        <f t="shared" ref="AH170:AH177" si="81">IF(S170=AC170+AD170+AE170+AB170+AF170+AG170,0,Z170)</f>
        <v>0</v>
      </c>
      <c r="AI170" s="1479">
        <f t="shared" ref="AI170:AI178" si="82">SUM(AB170:AH170)</f>
        <v>756000000</v>
      </c>
      <c r="AJ170" s="1401">
        <f t="shared" si="62"/>
        <v>0</v>
      </c>
    </row>
    <row r="171" spans="1:36" s="1390" customFormat="1" ht="33" customHeight="1" x14ac:dyDescent="0.2">
      <c r="A171" s="1390">
        <v>67</v>
      </c>
      <c r="B171" s="1472" t="str">
        <f t="shared" si="58"/>
        <v>JL. INDUSTRI - JK. RUAS 231/231</v>
      </c>
      <c r="C171" s="1478" t="e">
        <f>RIGHT(#REF!,1)</f>
        <v>#REF!</v>
      </c>
      <c r="D171" s="1426">
        <v>64</v>
      </c>
      <c r="E171" s="1429" t="s">
        <v>529</v>
      </c>
      <c r="F171" s="1539"/>
      <c r="G171" s="1517" t="s">
        <v>2494</v>
      </c>
      <c r="H171" s="1518"/>
      <c r="I171" s="1518" t="s">
        <v>8</v>
      </c>
      <c r="J171" s="1533" t="s">
        <v>501</v>
      </c>
      <c r="K171" s="1517">
        <v>7</v>
      </c>
      <c r="L171" s="1519">
        <v>24500</v>
      </c>
      <c r="M171" s="1518" t="s">
        <v>543</v>
      </c>
      <c r="N171" s="1517">
        <v>2001</v>
      </c>
      <c r="O171" s="1518"/>
      <c r="P171" s="1518"/>
      <c r="Q171" s="1518" t="s">
        <v>482</v>
      </c>
      <c r="R171" s="1517" t="s">
        <v>12</v>
      </c>
      <c r="S171" s="1520">
        <v>630000000</v>
      </c>
      <c r="T171" s="1517" t="s">
        <v>43</v>
      </c>
      <c r="U171" s="1572"/>
      <c r="V171" s="1521"/>
      <c r="W171" s="1478" t="str">
        <f t="shared" si="59"/>
        <v>04.13.01</v>
      </c>
      <c r="X171" s="1478" t="str">
        <f t="shared" si="60"/>
        <v>Jalan</v>
      </c>
      <c r="Y171" s="1478">
        <f t="shared" si="61"/>
        <v>10</v>
      </c>
      <c r="Z171" s="1401">
        <f t="shared" si="73"/>
        <v>63000000</v>
      </c>
      <c r="AA171" s="1444">
        <f t="shared" si="74"/>
        <v>10</v>
      </c>
      <c r="AB171" s="1401">
        <f t="shared" si="75"/>
        <v>630000000</v>
      </c>
      <c r="AC171" s="1401">
        <f t="shared" si="76"/>
        <v>0</v>
      </c>
      <c r="AD171" s="1401">
        <f t="shared" si="77"/>
        <v>0</v>
      </c>
      <c r="AE171" s="1401">
        <f t="shared" si="78"/>
        <v>0</v>
      </c>
      <c r="AF171" s="1401">
        <f t="shared" si="79"/>
        <v>0</v>
      </c>
      <c r="AG171" s="1479">
        <f t="shared" si="80"/>
        <v>0</v>
      </c>
      <c r="AH171" s="1479">
        <f t="shared" si="81"/>
        <v>0</v>
      </c>
      <c r="AI171" s="1479">
        <f t="shared" si="82"/>
        <v>630000000</v>
      </c>
      <c r="AJ171" s="1401">
        <f t="shared" si="62"/>
        <v>0</v>
      </c>
    </row>
    <row r="172" spans="1:36" s="1390" customFormat="1" ht="33" customHeight="1" x14ac:dyDescent="0.2">
      <c r="A172" s="1390">
        <v>68</v>
      </c>
      <c r="B172" s="1472" t="str">
        <f t="shared" si="58"/>
        <v xml:space="preserve">BUNDARAN DPRD - KANTOR  BUPATI </v>
      </c>
      <c r="C172" s="1478" t="e">
        <f>RIGHT(#REF!,1)</f>
        <v>#REF!</v>
      </c>
      <c r="D172" s="1426">
        <v>65</v>
      </c>
      <c r="E172" s="1429" t="s">
        <v>529</v>
      </c>
      <c r="F172" s="1539"/>
      <c r="G172" s="1517" t="s">
        <v>2494</v>
      </c>
      <c r="H172" s="1518"/>
      <c r="I172" s="1518" t="s">
        <v>479</v>
      </c>
      <c r="J172" s="1533">
        <v>1100</v>
      </c>
      <c r="K172" s="1517">
        <v>16</v>
      </c>
      <c r="L172" s="1519">
        <v>17600</v>
      </c>
      <c r="M172" s="1518" t="s">
        <v>3079</v>
      </c>
      <c r="N172" s="1517">
        <v>2001</v>
      </c>
      <c r="O172" s="1518"/>
      <c r="P172" s="1518"/>
      <c r="Q172" s="1518" t="s">
        <v>482</v>
      </c>
      <c r="R172" s="1517" t="s">
        <v>12</v>
      </c>
      <c r="S172" s="1520">
        <v>2252250000</v>
      </c>
      <c r="T172" s="1517" t="s">
        <v>43</v>
      </c>
      <c r="U172" s="1572"/>
      <c r="V172" s="1521"/>
      <c r="W172" s="1478" t="str">
        <f t="shared" si="59"/>
        <v>04.13.01</v>
      </c>
      <c r="X172" s="1478" t="str">
        <f t="shared" si="60"/>
        <v>Jalan</v>
      </c>
      <c r="Y172" s="1478">
        <f t="shared" si="61"/>
        <v>10</v>
      </c>
      <c r="Z172" s="1401">
        <f t="shared" si="73"/>
        <v>225225000</v>
      </c>
      <c r="AA172" s="1444">
        <f t="shared" si="74"/>
        <v>10</v>
      </c>
      <c r="AB172" s="1401">
        <f t="shared" si="75"/>
        <v>2252250000</v>
      </c>
      <c r="AC172" s="1401">
        <f t="shared" si="76"/>
        <v>0</v>
      </c>
      <c r="AD172" s="1401">
        <f t="shared" si="77"/>
        <v>0</v>
      </c>
      <c r="AE172" s="1401">
        <f t="shared" si="78"/>
        <v>0</v>
      </c>
      <c r="AF172" s="1401">
        <f t="shared" si="79"/>
        <v>0</v>
      </c>
      <c r="AG172" s="1479">
        <f t="shared" si="80"/>
        <v>0</v>
      </c>
      <c r="AH172" s="1479">
        <f t="shared" si="81"/>
        <v>0</v>
      </c>
      <c r="AI172" s="1479">
        <f t="shared" si="82"/>
        <v>2252250000</v>
      </c>
      <c r="AJ172" s="1401">
        <f t="shared" si="62"/>
        <v>0</v>
      </c>
    </row>
    <row r="173" spans="1:36" s="1390" customFormat="1" ht="33" customHeight="1" x14ac:dyDescent="0.2">
      <c r="A173" s="1390">
        <v>69</v>
      </c>
      <c r="B173" s="1472" t="str">
        <f t="shared" si="58"/>
        <v>SIMP. RSUD - RSUD</v>
      </c>
      <c r="C173" s="1478" t="e">
        <f>RIGHT(#REF!,1)</f>
        <v>#REF!</v>
      </c>
      <c r="D173" s="1426">
        <v>66</v>
      </c>
      <c r="E173" s="1429" t="s">
        <v>529</v>
      </c>
      <c r="F173" s="1539"/>
      <c r="G173" s="1517" t="s">
        <v>2494</v>
      </c>
      <c r="H173" s="1518"/>
      <c r="I173" s="1518" t="s">
        <v>479</v>
      </c>
      <c r="J173" s="1533" t="s">
        <v>536</v>
      </c>
      <c r="K173" s="1517">
        <v>16</v>
      </c>
      <c r="L173" s="1519">
        <v>4800</v>
      </c>
      <c r="M173" s="1518" t="s">
        <v>537</v>
      </c>
      <c r="N173" s="1517">
        <v>2001</v>
      </c>
      <c r="O173" s="1518"/>
      <c r="P173" s="1518"/>
      <c r="Q173" s="1518" t="s">
        <v>482</v>
      </c>
      <c r="R173" s="1517" t="s">
        <v>12</v>
      </c>
      <c r="S173" s="1520">
        <v>614250000</v>
      </c>
      <c r="T173" s="1517" t="s">
        <v>43</v>
      </c>
      <c r="U173" s="1572"/>
      <c r="V173" s="1521"/>
      <c r="W173" s="1478" t="str">
        <f t="shared" si="59"/>
        <v>04.13.01</v>
      </c>
      <c r="X173" s="1478" t="str">
        <f t="shared" si="60"/>
        <v>Jalan</v>
      </c>
      <c r="Y173" s="1478">
        <f t="shared" si="61"/>
        <v>10</v>
      </c>
      <c r="Z173" s="1401">
        <f t="shared" si="73"/>
        <v>61425000</v>
      </c>
      <c r="AA173" s="1444">
        <f t="shared" si="74"/>
        <v>10</v>
      </c>
      <c r="AB173" s="1401">
        <f t="shared" si="75"/>
        <v>614250000</v>
      </c>
      <c r="AC173" s="1401">
        <f t="shared" si="76"/>
        <v>0</v>
      </c>
      <c r="AD173" s="1401">
        <f t="shared" si="77"/>
        <v>0</v>
      </c>
      <c r="AE173" s="1401">
        <f t="shared" si="78"/>
        <v>0</v>
      </c>
      <c r="AF173" s="1401">
        <f t="shared" si="79"/>
        <v>0</v>
      </c>
      <c r="AG173" s="1479">
        <f t="shared" si="80"/>
        <v>0</v>
      </c>
      <c r="AH173" s="1479">
        <f t="shared" si="81"/>
        <v>0</v>
      </c>
      <c r="AI173" s="1479">
        <f t="shared" si="82"/>
        <v>614250000</v>
      </c>
      <c r="AJ173" s="1401">
        <f t="shared" si="62"/>
        <v>0</v>
      </c>
    </row>
    <row r="174" spans="1:36" s="1390" customFormat="1" ht="33" customHeight="1" x14ac:dyDescent="0.2">
      <c r="A174" s="1390">
        <v>70</v>
      </c>
      <c r="B174" s="1472" t="str">
        <f t="shared" si="58"/>
        <v>SP. KTR. BUPATI  - BUNDARAN DPRD(VIA DISPORA)</v>
      </c>
      <c r="C174" s="1478" t="e">
        <f>RIGHT(#REF!,1)</f>
        <v>#REF!</v>
      </c>
      <c r="D174" s="1426">
        <v>67</v>
      </c>
      <c r="E174" s="1429" t="s">
        <v>529</v>
      </c>
      <c r="F174" s="1539"/>
      <c r="G174" s="1517" t="s">
        <v>2494</v>
      </c>
      <c r="H174" s="1518"/>
      <c r="I174" s="1518" t="s">
        <v>479</v>
      </c>
      <c r="J174" s="1533" t="s">
        <v>538</v>
      </c>
      <c r="K174" s="1517">
        <v>20</v>
      </c>
      <c r="L174" s="1519">
        <v>13440</v>
      </c>
      <c r="M174" s="1518" t="s">
        <v>603</v>
      </c>
      <c r="N174" s="1517">
        <v>2001</v>
      </c>
      <c r="O174" s="1518"/>
      <c r="P174" s="1518"/>
      <c r="Q174" s="1518" t="s">
        <v>482</v>
      </c>
      <c r="R174" s="1517" t="s">
        <v>12</v>
      </c>
      <c r="S174" s="1520">
        <v>1375920000</v>
      </c>
      <c r="T174" s="1517" t="s">
        <v>43</v>
      </c>
      <c r="U174" s="1572"/>
      <c r="V174" s="1521"/>
      <c r="W174" s="1478" t="str">
        <f t="shared" si="59"/>
        <v>04.13.01</v>
      </c>
      <c r="X174" s="1478" t="str">
        <f t="shared" si="60"/>
        <v>Jalan</v>
      </c>
      <c r="Y174" s="1478">
        <f t="shared" si="61"/>
        <v>10</v>
      </c>
      <c r="Z174" s="1401">
        <f t="shared" si="73"/>
        <v>137592000</v>
      </c>
      <c r="AA174" s="1444">
        <f t="shared" si="74"/>
        <v>10</v>
      </c>
      <c r="AB174" s="1401">
        <f t="shared" si="75"/>
        <v>1375920000</v>
      </c>
      <c r="AC174" s="1401">
        <f t="shared" si="76"/>
        <v>0</v>
      </c>
      <c r="AD174" s="1401">
        <f t="shared" si="77"/>
        <v>0</v>
      </c>
      <c r="AE174" s="1401">
        <f t="shared" si="78"/>
        <v>0</v>
      </c>
      <c r="AF174" s="1401">
        <f t="shared" si="79"/>
        <v>0</v>
      </c>
      <c r="AG174" s="1479">
        <f t="shared" si="80"/>
        <v>0</v>
      </c>
      <c r="AH174" s="1479">
        <f t="shared" si="81"/>
        <v>0</v>
      </c>
      <c r="AI174" s="1479">
        <f t="shared" si="82"/>
        <v>1375920000</v>
      </c>
      <c r="AJ174" s="1401">
        <f t="shared" si="62"/>
        <v>0</v>
      </c>
    </row>
    <row r="175" spans="1:36" s="1390" customFormat="1" ht="33" customHeight="1" x14ac:dyDescent="0.2">
      <c r="A175" s="1541">
        <v>71</v>
      </c>
      <c r="B175" s="1472" t="str">
        <f t="shared" si="58"/>
        <v>JL. KUANTAN</v>
      </c>
      <c r="C175" s="1478" t="e">
        <f>RIGHT(#REF!,1)</f>
        <v>#REF!</v>
      </c>
      <c r="D175" s="1426">
        <v>68</v>
      </c>
      <c r="E175" s="1429" t="s">
        <v>529</v>
      </c>
      <c r="F175" s="1539"/>
      <c r="G175" s="1517" t="s">
        <v>2494</v>
      </c>
      <c r="H175" s="1518"/>
      <c r="I175" s="1518" t="s">
        <v>479</v>
      </c>
      <c r="J175" s="1533" t="s">
        <v>539</v>
      </c>
      <c r="K175" s="1517">
        <v>8</v>
      </c>
      <c r="L175" s="1519">
        <v>2000</v>
      </c>
      <c r="M175" s="1518" t="s">
        <v>540</v>
      </c>
      <c r="N175" s="1517">
        <v>2001</v>
      </c>
      <c r="O175" s="1518"/>
      <c r="P175" s="1518"/>
      <c r="Q175" s="1518" t="s">
        <v>482</v>
      </c>
      <c r="R175" s="1517" t="s">
        <v>12</v>
      </c>
      <c r="S175" s="1520">
        <v>262500000</v>
      </c>
      <c r="T175" s="1517" t="s">
        <v>43</v>
      </c>
      <c r="U175" s="1572"/>
      <c r="V175" s="1521"/>
      <c r="W175" s="1478" t="str">
        <f t="shared" si="59"/>
        <v>04.13.01</v>
      </c>
      <c r="X175" s="1478" t="str">
        <f t="shared" si="60"/>
        <v>Jalan</v>
      </c>
      <c r="Y175" s="1478">
        <f t="shared" si="61"/>
        <v>10</v>
      </c>
      <c r="Z175" s="1401">
        <f t="shared" si="73"/>
        <v>26250000</v>
      </c>
      <c r="AA175" s="1444">
        <f t="shared" si="74"/>
        <v>10</v>
      </c>
      <c r="AB175" s="1401">
        <f t="shared" si="75"/>
        <v>262500000</v>
      </c>
      <c r="AC175" s="1401">
        <f t="shared" si="76"/>
        <v>0</v>
      </c>
      <c r="AD175" s="1401">
        <f t="shared" si="77"/>
        <v>0</v>
      </c>
      <c r="AE175" s="1401">
        <f t="shared" si="78"/>
        <v>0</v>
      </c>
      <c r="AF175" s="1401">
        <f t="shared" si="79"/>
        <v>0</v>
      </c>
      <c r="AG175" s="1479">
        <f t="shared" si="80"/>
        <v>0</v>
      </c>
      <c r="AH175" s="1479">
        <f t="shared" si="81"/>
        <v>0</v>
      </c>
      <c r="AI175" s="1479">
        <f t="shared" si="82"/>
        <v>262500000</v>
      </c>
      <c r="AJ175" s="1401">
        <f t="shared" si="62"/>
        <v>0</v>
      </c>
    </row>
    <row r="176" spans="1:36" s="1390" customFormat="1" ht="33" customHeight="1" x14ac:dyDescent="0.2">
      <c r="A176" s="1390">
        <v>72</v>
      </c>
      <c r="B176" s="1472" t="str">
        <f t="shared" si="58"/>
        <v>JL. MENUJU SMP 2</v>
      </c>
      <c r="C176" s="1478" t="e">
        <f>RIGHT(#REF!,1)</f>
        <v>#REF!</v>
      </c>
      <c r="D176" s="1426">
        <v>69</v>
      </c>
      <c r="E176" s="1429" t="s">
        <v>529</v>
      </c>
      <c r="F176" s="1539"/>
      <c r="G176" s="1517" t="s">
        <v>2494</v>
      </c>
      <c r="H176" s="1518"/>
      <c r="I176" s="1518" t="s">
        <v>479</v>
      </c>
      <c r="J176" s="1533" t="s">
        <v>530</v>
      </c>
      <c r="K176" s="1517">
        <v>8</v>
      </c>
      <c r="L176" s="1519">
        <v>4000</v>
      </c>
      <c r="M176" s="1518" t="s">
        <v>531</v>
      </c>
      <c r="N176" s="1517">
        <v>2001</v>
      </c>
      <c r="O176" s="1518"/>
      <c r="P176" s="1518"/>
      <c r="Q176" s="1518" t="s">
        <v>482</v>
      </c>
      <c r="R176" s="1517" t="s">
        <v>12</v>
      </c>
      <c r="S176" s="1520">
        <v>525000000</v>
      </c>
      <c r="T176" s="1517" t="s">
        <v>43</v>
      </c>
      <c r="U176" s="1572"/>
      <c r="V176" s="1521"/>
      <c r="W176" s="1478" t="str">
        <f t="shared" si="59"/>
        <v>04.13.01</v>
      </c>
      <c r="X176" s="1478" t="str">
        <f t="shared" si="60"/>
        <v>Jalan</v>
      </c>
      <c r="Y176" s="1478">
        <f t="shared" si="61"/>
        <v>10</v>
      </c>
      <c r="Z176" s="1401">
        <f t="shared" si="73"/>
        <v>52500000</v>
      </c>
      <c r="AA176" s="1444">
        <f t="shared" si="74"/>
        <v>10</v>
      </c>
      <c r="AB176" s="1401">
        <f t="shared" si="75"/>
        <v>525000000</v>
      </c>
      <c r="AC176" s="1401">
        <f t="shared" si="76"/>
        <v>0</v>
      </c>
      <c r="AD176" s="1401">
        <f t="shared" si="77"/>
        <v>0</v>
      </c>
      <c r="AE176" s="1401">
        <f t="shared" si="78"/>
        <v>0</v>
      </c>
      <c r="AF176" s="1401">
        <f t="shared" si="79"/>
        <v>0</v>
      </c>
      <c r="AG176" s="1479">
        <f t="shared" si="80"/>
        <v>0</v>
      </c>
      <c r="AH176" s="1479">
        <f t="shared" si="81"/>
        <v>0</v>
      </c>
      <c r="AI176" s="1479">
        <f t="shared" si="82"/>
        <v>525000000</v>
      </c>
      <c r="AJ176" s="1401">
        <f t="shared" si="62"/>
        <v>0</v>
      </c>
    </row>
    <row r="177" spans="1:36" s="1390" customFormat="1" ht="33" customHeight="1" x14ac:dyDescent="0.2">
      <c r="A177" s="1390">
        <v>73</v>
      </c>
      <c r="B177" s="1472" t="str">
        <f t="shared" si="58"/>
        <v>JL. LIMUNO SELATAN</v>
      </c>
      <c r="C177" s="1478" t="e">
        <f>RIGHT(#REF!,1)</f>
        <v>#REF!</v>
      </c>
      <c r="D177" s="1426">
        <v>70</v>
      </c>
      <c r="E177" s="1429" t="s">
        <v>529</v>
      </c>
      <c r="F177" s="1539"/>
      <c r="G177" s="1517" t="s">
        <v>2494</v>
      </c>
      <c r="H177" s="1518"/>
      <c r="I177" s="1518" t="s">
        <v>479</v>
      </c>
      <c r="J177" s="1533" t="s">
        <v>532</v>
      </c>
      <c r="K177" s="1517">
        <v>8</v>
      </c>
      <c r="L177" s="1519">
        <v>1104</v>
      </c>
      <c r="M177" s="1518" t="s">
        <v>533</v>
      </c>
      <c r="N177" s="1517">
        <v>2001</v>
      </c>
      <c r="O177" s="1518"/>
      <c r="P177" s="1518"/>
      <c r="Q177" s="1518" t="s">
        <v>482</v>
      </c>
      <c r="R177" s="1517" t="s">
        <v>12</v>
      </c>
      <c r="S177" s="1520">
        <v>173880000</v>
      </c>
      <c r="T177" s="1517" t="s">
        <v>43</v>
      </c>
      <c r="U177" s="1572"/>
      <c r="V177" s="1521"/>
      <c r="W177" s="1478" t="str">
        <f t="shared" si="59"/>
        <v>04.13.01</v>
      </c>
      <c r="X177" s="1478" t="str">
        <f t="shared" si="60"/>
        <v>Jalan</v>
      </c>
      <c r="Y177" s="1478">
        <f t="shared" si="61"/>
        <v>10</v>
      </c>
      <c r="Z177" s="1401">
        <f t="shared" si="73"/>
        <v>17388000</v>
      </c>
      <c r="AA177" s="1444">
        <f t="shared" si="74"/>
        <v>10</v>
      </c>
      <c r="AB177" s="1401">
        <f t="shared" si="75"/>
        <v>173880000</v>
      </c>
      <c r="AC177" s="1401">
        <f t="shared" si="76"/>
        <v>0</v>
      </c>
      <c r="AD177" s="1401">
        <f t="shared" si="77"/>
        <v>0</v>
      </c>
      <c r="AE177" s="1401">
        <f t="shared" si="78"/>
        <v>0</v>
      </c>
      <c r="AF177" s="1401">
        <f t="shared" si="79"/>
        <v>0</v>
      </c>
      <c r="AG177" s="1479">
        <f t="shared" si="80"/>
        <v>0</v>
      </c>
      <c r="AH177" s="1479">
        <f t="shared" si="81"/>
        <v>0</v>
      </c>
      <c r="AI177" s="1479">
        <f t="shared" si="82"/>
        <v>173880000</v>
      </c>
      <c r="AJ177" s="1401">
        <f t="shared" si="62"/>
        <v>0</v>
      </c>
    </row>
    <row r="178" spans="1:36" s="1472" customFormat="1" ht="35" customHeight="1" x14ac:dyDescent="0.2">
      <c r="A178" s="1390">
        <v>74</v>
      </c>
      <c r="B178" s="1472" t="str">
        <f t="shared" si="58"/>
        <v>SIMP. PL. KEDUNDUNG  - PL. KEDUNDUNG</v>
      </c>
      <c r="C178" s="1478" t="e">
        <f>RIGHT(#REF!,1)</f>
        <v>#REF!</v>
      </c>
      <c r="D178" s="1576">
        <v>71</v>
      </c>
      <c r="E178" s="1429" t="s">
        <v>1310</v>
      </c>
      <c r="F178" s="1539"/>
      <c r="G178" s="1517" t="s">
        <v>2494</v>
      </c>
      <c r="H178" s="1518"/>
      <c r="I178" s="1518"/>
      <c r="J178" s="1533">
        <v>1500</v>
      </c>
      <c r="K178" s="1517">
        <v>7</v>
      </c>
      <c r="L178" s="1519">
        <v>10500</v>
      </c>
      <c r="M178" s="1518" t="s">
        <v>3185</v>
      </c>
      <c r="N178" s="1517">
        <v>2014</v>
      </c>
      <c r="O178" s="1518"/>
      <c r="P178" s="1518"/>
      <c r="Q178" s="1518"/>
      <c r="R178" s="1517" t="s">
        <v>12</v>
      </c>
      <c r="S178" s="1520">
        <v>1172323688</v>
      </c>
      <c r="T178" s="1518"/>
      <c r="U178" s="1572"/>
      <c r="V178" s="1521"/>
      <c r="W178" s="1478" t="str">
        <f t="shared" si="59"/>
        <v>04.13.01</v>
      </c>
      <c r="X178" s="1478" t="str">
        <f t="shared" si="60"/>
        <v>Jalan</v>
      </c>
      <c r="Y178" s="1478">
        <f t="shared" si="61"/>
        <v>10</v>
      </c>
      <c r="Z178" s="1401">
        <f>S178/Y178</f>
        <v>117232368.8</v>
      </c>
      <c r="AA178" s="1444">
        <f>IF(2013-N178+1&gt;Y178,Y178,IF(2013-N178+1&lt;0,0,2013-N178+1))</f>
        <v>0</v>
      </c>
      <c r="AB178" s="1401">
        <f>IF(AA178&gt;Y178,S178,Z178*AA178)</f>
        <v>0</v>
      </c>
      <c r="AC178" s="1401">
        <f>IF(S178=AB178,0,Z178)</f>
        <v>117232368.8</v>
      </c>
      <c r="AD178" s="1401">
        <f>IF(S178=AB178+AC178,0,Z178)</f>
        <v>117232368.8</v>
      </c>
      <c r="AE178" s="1401">
        <f>IF(S178=AB178+AC178+AD178,0,Z178)</f>
        <v>117232368.8</v>
      </c>
      <c r="AF178" s="1401">
        <f>IF(S178=AC178+AD178+AE178+AB178,0,Z178)</f>
        <v>117232368.8</v>
      </c>
      <c r="AG178" s="1479">
        <f>IF(S178=AC178+AD178+AE178+AB178+AF178,0,Z178)</f>
        <v>117232368.8</v>
      </c>
      <c r="AH178" s="1479">
        <f>IF(S178=AC178+AD178+AE178+AB178+AF178+AG178,0,Z178)</f>
        <v>117232368.8</v>
      </c>
      <c r="AI178" s="1479">
        <f t="shared" si="82"/>
        <v>703394212.79999995</v>
      </c>
      <c r="AJ178" s="1401">
        <f t="shared" si="62"/>
        <v>468929475.20000005</v>
      </c>
    </row>
    <row r="179" spans="1:36" s="1472" customFormat="1" ht="35" customHeight="1" x14ac:dyDescent="0.15">
      <c r="A179" s="1390">
        <v>75</v>
      </c>
      <c r="B179" s="1472" t="str">
        <f t="shared" si="58"/>
        <v>BUNDARAN DPRD - JL. PROPINSI</v>
      </c>
      <c r="C179" s="1516" t="s">
        <v>4247</v>
      </c>
      <c r="D179" s="1576">
        <v>72</v>
      </c>
      <c r="E179" s="1429" t="s">
        <v>5827</v>
      </c>
      <c r="F179" s="1539"/>
      <c r="G179" s="1517" t="s">
        <v>2494</v>
      </c>
      <c r="H179" s="1518"/>
      <c r="I179" s="1518" t="s">
        <v>479</v>
      </c>
      <c r="J179" s="1533" t="s">
        <v>534</v>
      </c>
      <c r="K179" s="1517">
        <v>30</v>
      </c>
      <c r="L179" s="1519">
        <v>45000</v>
      </c>
      <c r="M179" s="1518" t="s">
        <v>535</v>
      </c>
      <c r="N179" s="1517">
        <v>2001</v>
      </c>
      <c r="O179" s="1518"/>
      <c r="P179" s="1518"/>
      <c r="Q179" s="1518" t="s">
        <v>482</v>
      </c>
      <c r="R179" s="1517" t="s">
        <v>12</v>
      </c>
      <c r="S179" s="1520">
        <f>5670000000+F180</f>
        <v>7467674273.4540958</v>
      </c>
      <c r="T179" s="1517" t="s">
        <v>43</v>
      </c>
      <c r="U179" s="1572"/>
      <c r="V179" s="1521"/>
      <c r="W179" s="1522" t="str">
        <f t="shared" si="59"/>
        <v>04.13.01</v>
      </c>
      <c r="X179" s="1478" t="str">
        <f t="shared" si="60"/>
        <v>Jalan</v>
      </c>
      <c r="Y179" s="1478">
        <f t="shared" si="61"/>
        <v>10</v>
      </c>
      <c r="Z179" s="1401"/>
      <c r="AA179" s="1444">
        <f>IF(2013-N179&gt;Y179,10,IF(2013-N179&lt;0,0,2013-N179))</f>
        <v>10</v>
      </c>
      <c r="AB179" s="1401">
        <f>SUM(PERHITUNGAN!U474:U479)</f>
        <v>6564191101.575408</v>
      </c>
      <c r="AC179" s="1479">
        <f>SUMIF(PERHITUNGAN!A:A,'KIB D'!B179&amp;'KIB D'!$AC$7,PERHITUNGAN!U:U)</f>
        <v>451741585.93934399</v>
      </c>
      <c r="AD179" s="1479">
        <f>SUMIF(PERHITUNGAN!A:A,'KIB D'!B179&amp;'KIB D'!$AD$7,PERHITUNGAN!U:U)</f>
        <v>451741585.93934399</v>
      </c>
      <c r="AE179" s="1479">
        <f>SUMIF(PERHITUNGAN!A:A,'KIB D'!B179&amp;'KIB D'!$AE$7,PERHITUNGAN!U:U)</f>
        <v>0</v>
      </c>
      <c r="AF179" s="1479">
        <f>SUMIF(PERHITUNGAN!A:A,'KIB D'!B179&amp;'KIB D'!$AF$7,PERHITUNGAN!U:U)</f>
        <v>0</v>
      </c>
      <c r="AG179" s="1479">
        <f>SUMIF(PERHITUNGAN!A:A,'KIB D'!B179&amp;'KIB D'!$AG$7,PERHITUNGAN!U:U)</f>
        <v>0</v>
      </c>
      <c r="AH179" s="1479">
        <f>SUMIF(PERHITUNGAN!A:A,'KIB D'!B179&amp;'KIB D'!$AH$7,PERHITUNGAN!U:U)</f>
        <v>0</v>
      </c>
      <c r="AI179" s="1479">
        <f>SUM(AB179:AH179)</f>
        <v>7467674273.4540968</v>
      </c>
      <c r="AJ179" s="1401">
        <f t="shared" si="62"/>
        <v>0</v>
      </c>
    </row>
    <row r="180" spans="1:36" s="1472" customFormat="1" ht="35" customHeight="1" x14ac:dyDescent="0.15">
      <c r="A180" s="1390">
        <v>75</v>
      </c>
      <c r="B180" s="1472" t="str">
        <f t="shared" si="58"/>
        <v>BUNDARAN DPRD - JL. PROPINSI</v>
      </c>
      <c r="C180" s="1516" t="s">
        <v>4247</v>
      </c>
      <c r="D180" s="1576"/>
      <c r="E180" s="1429" t="s">
        <v>1147</v>
      </c>
      <c r="F180" s="1539">
        <v>1797674273.4540961</v>
      </c>
      <c r="G180" s="1517" t="s">
        <v>2494</v>
      </c>
      <c r="H180" s="1518"/>
      <c r="I180" s="1518" t="s">
        <v>519</v>
      </c>
      <c r="J180" s="1519">
        <v>0</v>
      </c>
      <c r="K180" s="1517"/>
      <c r="L180" s="1519">
        <v>1194</v>
      </c>
      <c r="M180" s="1518" t="s">
        <v>3086</v>
      </c>
      <c r="N180" s="1517">
        <v>2007</v>
      </c>
      <c r="O180" s="1518"/>
      <c r="P180" s="1518"/>
      <c r="Q180" s="1518"/>
      <c r="R180" s="1517" t="s">
        <v>12</v>
      </c>
      <c r="S180" s="1520"/>
      <c r="T180" s="1517" t="s">
        <v>43</v>
      </c>
      <c r="U180" s="1572"/>
      <c r="V180" s="1521"/>
      <c r="W180" s="1522" t="str">
        <f t="shared" si="59"/>
        <v>04.13.01</v>
      </c>
      <c r="X180" s="1478" t="str">
        <f t="shared" si="60"/>
        <v>Jalan</v>
      </c>
      <c r="Y180" s="1478">
        <f t="shared" si="61"/>
        <v>10</v>
      </c>
      <c r="Z180" s="1401"/>
      <c r="AA180" s="1444">
        <f>IF(2013-N180&gt;Y180,10,IF(2013-N180&lt;0,0,2013-N180))</f>
        <v>6</v>
      </c>
      <c r="AB180" s="1401"/>
      <c r="AC180" s="1401"/>
      <c r="AD180" s="1401"/>
      <c r="AE180" s="1401"/>
      <c r="AF180" s="1401"/>
      <c r="AG180" s="1479"/>
      <c r="AH180" s="1479"/>
      <c r="AI180" s="1479">
        <f>SUM(AB180:AG180)</f>
        <v>0</v>
      </c>
      <c r="AJ180" s="1401">
        <f t="shared" si="62"/>
        <v>0</v>
      </c>
    </row>
    <row r="181" spans="1:36" s="1390" customFormat="1" ht="35" customHeight="1" x14ac:dyDescent="0.2">
      <c r="A181" s="1390">
        <v>76</v>
      </c>
      <c r="B181" s="1472" t="str">
        <f t="shared" si="58"/>
        <v>JL. PERINDAGKOP</v>
      </c>
      <c r="C181" s="1478" t="e">
        <f>RIGHT(#REF!,1)</f>
        <v>#REF!</v>
      </c>
      <c r="D181" s="1426">
        <v>73</v>
      </c>
      <c r="E181" s="1429" t="s">
        <v>5828</v>
      </c>
      <c r="F181" s="1539"/>
      <c r="G181" s="1517" t="s">
        <v>2494</v>
      </c>
      <c r="H181" s="1518"/>
      <c r="I181" s="1518" t="s">
        <v>479</v>
      </c>
      <c r="J181" s="1533" t="s">
        <v>527</v>
      </c>
      <c r="K181" s="1517"/>
      <c r="L181" s="1519"/>
      <c r="M181" s="1518" t="s">
        <v>3078</v>
      </c>
      <c r="N181" s="1517">
        <v>2001</v>
      </c>
      <c r="O181" s="1518"/>
      <c r="P181" s="1518"/>
      <c r="Q181" s="1518" t="s">
        <v>482</v>
      </c>
      <c r="R181" s="1517" t="s">
        <v>12</v>
      </c>
      <c r="S181" s="1520">
        <f>3741417795+F182</f>
        <v>4860453371.9979773</v>
      </c>
      <c r="T181" s="1517" t="s">
        <v>43</v>
      </c>
      <c r="U181" s="1572"/>
      <c r="V181" s="1521"/>
      <c r="W181" s="1478" t="str">
        <f t="shared" si="59"/>
        <v>04.13.01</v>
      </c>
      <c r="X181" s="1478" t="str">
        <f t="shared" si="60"/>
        <v>Jalan</v>
      </c>
      <c r="Y181" s="1478">
        <f t="shared" si="61"/>
        <v>10</v>
      </c>
      <c r="Z181" s="1401"/>
      <c r="AA181" s="1444">
        <f>IF(2013-N181&gt;Y181,10,IF(2013-N181&lt;0,0,2013-N181))</f>
        <v>10</v>
      </c>
      <c r="AB181" s="1401">
        <f>SUM(PERHITUNGAN!U496:U504)</f>
        <v>3963869005.7987852</v>
      </c>
      <c r="AC181" s="1479">
        <f>SUMIF(PERHITUNGAN!A:A,'KIB D'!B181&amp;'KIB D'!$AC$7,PERHITUNGAN!U:U)</f>
        <v>224146091.54979771</v>
      </c>
      <c r="AD181" s="1479">
        <f>SUMIF(PERHITUNGAN!A:A,'KIB D'!B181&amp;'KIB D'!$AD$7,PERHITUNGAN!U:U)</f>
        <v>224146091.54979771</v>
      </c>
      <c r="AE181" s="1479">
        <f>SUMIF(PERHITUNGAN!A:A,'KIB D'!B181&amp;'KIB D'!$AE$7,PERHITUNGAN!U:U)</f>
        <v>224146091.54979771</v>
      </c>
      <c r="AF181" s="1479">
        <f>SUMIF(PERHITUNGAN!A:A,'KIB D'!B181&amp;'KIB D'!$AF$7,PERHITUNGAN!U:U)</f>
        <v>224146091.54979771</v>
      </c>
      <c r="AG181" s="1479">
        <f>SUMIF(PERHITUNGAN!A:A,'KIB D'!B181&amp;'KIB D'!$AG$7,PERHITUNGAN!U:U)</f>
        <v>0</v>
      </c>
      <c r="AH181" s="1479">
        <f>SUMIF(PERHITUNGAN!A:A,'KIB D'!B181&amp;'KIB D'!$AH$7,PERHITUNGAN!U:U)</f>
        <v>0</v>
      </c>
      <c r="AI181" s="1479">
        <f>SUM(AB181:AH181)</f>
        <v>4860453371.9979763</v>
      </c>
      <c r="AJ181" s="1401">
        <f t="shared" si="62"/>
        <v>0</v>
      </c>
    </row>
    <row r="182" spans="1:36" s="1390" customFormat="1" ht="35" customHeight="1" x14ac:dyDescent="0.2">
      <c r="A182" s="1390">
        <v>76</v>
      </c>
      <c r="B182" s="1472" t="str">
        <f t="shared" si="58"/>
        <v>JL. PERINDAGKOP</v>
      </c>
      <c r="C182" s="1478"/>
      <c r="D182" s="1426"/>
      <c r="E182" s="1573" t="s">
        <v>5112</v>
      </c>
      <c r="F182" s="1539">
        <v>1119035576.9979775</v>
      </c>
      <c r="G182" s="1416" t="s">
        <v>2494</v>
      </c>
      <c r="H182" s="1508"/>
      <c r="I182" s="1523" t="s">
        <v>519</v>
      </c>
      <c r="J182" s="1532">
        <v>1000</v>
      </c>
      <c r="K182" s="1532">
        <v>6</v>
      </c>
      <c r="L182" s="1532">
        <f>J182*K182</f>
        <v>6000</v>
      </c>
      <c r="M182" s="1518" t="s">
        <v>3078</v>
      </c>
      <c r="N182" s="1416">
        <v>2008</v>
      </c>
      <c r="O182" s="1414"/>
      <c r="P182" s="1531" t="s">
        <v>5084</v>
      </c>
      <c r="Q182" s="1414"/>
      <c r="R182" s="1517" t="s">
        <v>12</v>
      </c>
      <c r="S182" s="1529"/>
      <c r="T182" s="1532" t="s">
        <v>43</v>
      </c>
      <c r="U182" s="1582"/>
      <c r="V182" s="1477"/>
      <c r="W182" s="1478"/>
      <c r="X182" s="1478"/>
      <c r="Y182" s="1478"/>
      <c r="Z182" s="1401"/>
      <c r="AA182" s="1444"/>
      <c r="AB182" s="1401"/>
      <c r="AC182" s="1401"/>
      <c r="AD182" s="1401"/>
      <c r="AE182" s="1401"/>
      <c r="AF182" s="1401"/>
      <c r="AG182" s="1479"/>
      <c r="AH182" s="1479"/>
      <c r="AI182" s="1479"/>
      <c r="AJ182" s="1401"/>
    </row>
    <row r="183" spans="1:36" s="1472" customFormat="1" ht="35" customHeight="1" x14ac:dyDescent="0.2">
      <c r="A183" s="1390">
        <v>80</v>
      </c>
      <c r="B183" s="1472" t="str">
        <f t="shared" si="58"/>
        <v>JL. MENUJU LOKASI TPA - JK. RUAS 004/004</v>
      </c>
      <c r="C183" s="1478" t="e">
        <f>RIGHT(#REF!,1)</f>
        <v>#REF!</v>
      </c>
      <c r="D183" s="1576">
        <v>74</v>
      </c>
      <c r="E183" s="1429" t="s">
        <v>1400</v>
      </c>
      <c r="F183" s="1539"/>
      <c r="G183" s="1517" t="s">
        <v>2494</v>
      </c>
      <c r="H183" s="1518"/>
      <c r="I183" s="1518"/>
      <c r="J183" s="1533">
        <v>1700</v>
      </c>
      <c r="K183" s="1517">
        <v>10</v>
      </c>
      <c r="L183" s="1519">
        <v>17000</v>
      </c>
      <c r="M183" s="1518" t="s">
        <v>3237</v>
      </c>
      <c r="N183" s="1517">
        <v>2015</v>
      </c>
      <c r="O183" s="1518"/>
      <c r="P183" s="1518"/>
      <c r="Q183" s="1518"/>
      <c r="R183" s="1517" t="s">
        <v>12</v>
      </c>
      <c r="S183" s="1520">
        <v>195476550</v>
      </c>
      <c r="T183" s="1518"/>
      <c r="U183" s="1572"/>
      <c r="V183" s="1521"/>
      <c r="W183" s="1478" t="str">
        <f>LEFT(G183,8)</f>
        <v>04.13.01</v>
      </c>
      <c r="X183" s="1478" t="str">
        <f>VLOOKUP(W183,UE,3,FALSE)</f>
        <v>Jalan</v>
      </c>
      <c r="Y183" s="1478">
        <f>VLOOKUP(W183,UE,4,FALSE)</f>
        <v>10</v>
      </c>
      <c r="Z183" s="1401">
        <f>S183/Y183</f>
        <v>19547655</v>
      </c>
      <c r="AA183" s="1444">
        <f>IF(2013-N183+1&gt;Y183,Y183,IF(2013-N183+1&lt;0,0,2013-N183+1))</f>
        <v>0</v>
      </c>
      <c r="AB183" s="1401">
        <f>IF(AA183&gt;Y183,S183,Z183*AA183)</f>
        <v>0</v>
      </c>
      <c r="AC183" s="1401">
        <v>0</v>
      </c>
      <c r="AD183" s="1401">
        <f>IF(S183=AB183+AC183,0,Z183)</f>
        <v>19547655</v>
      </c>
      <c r="AE183" s="1401">
        <f>IF(S183=AB183+AC183+AD183,0,Z183)</f>
        <v>19547655</v>
      </c>
      <c r="AF183" s="1401">
        <f>IF(S183=AC183+AD183+AE183+AB183,0,Z183)</f>
        <v>19547655</v>
      </c>
      <c r="AG183" s="1479">
        <f>IF(S183=AC183+AD183+AE183+AB183+AF183,0,Z183)</f>
        <v>19547655</v>
      </c>
      <c r="AH183" s="1479">
        <f>IF(S183=AC183+AD183+AE183+AB183+AF183+AG183,0,Z183)</f>
        <v>19547655</v>
      </c>
      <c r="AI183" s="1479">
        <f>SUM(AB183:AH183)</f>
        <v>97738275</v>
      </c>
      <c r="AJ183" s="1401">
        <f>S183-AI183</f>
        <v>97738275</v>
      </c>
    </row>
    <row r="184" spans="1:36" s="1390" customFormat="1" ht="35" customHeight="1" x14ac:dyDescent="0.2">
      <c r="A184" s="1390">
        <v>81</v>
      </c>
      <c r="B184" s="1472" t="str">
        <f t="shared" si="58"/>
        <v>JL. LOKASI RUMAH ADAT - JP. KM 164 + 250</v>
      </c>
      <c r="C184" s="1478" t="e">
        <f>RIGHT(#REF!,1)</f>
        <v>#REF!</v>
      </c>
      <c r="D184" s="1426">
        <v>75</v>
      </c>
      <c r="E184" s="1429" t="s">
        <v>1355</v>
      </c>
      <c r="F184" s="1529"/>
      <c r="G184" s="1517" t="s">
        <v>2494</v>
      </c>
      <c r="H184" s="1501"/>
      <c r="I184" s="1414"/>
      <c r="J184" s="1540"/>
      <c r="K184" s="1416"/>
      <c r="L184" s="1430"/>
      <c r="M184" s="1429" t="s">
        <v>3218</v>
      </c>
      <c r="N184" s="1501">
        <v>2015</v>
      </c>
      <c r="O184" s="1414"/>
      <c r="P184" s="1414"/>
      <c r="Q184" s="1414"/>
      <c r="R184" s="1501" t="s">
        <v>12</v>
      </c>
      <c r="S184" s="1527">
        <v>1931170394</v>
      </c>
      <c r="T184" s="1528"/>
      <c r="U184" s="1575"/>
      <c r="V184" s="1490"/>
      <c r="W184" s="1478" t="str">
        <f>LEFT(G184,8)</f>
        <v>04.13.01</v>
      </c>
      <c r="X184" s="1478" t="str">
        <f>VLOOKUP(W184,UE,3,FALSE)</f>
        <v>Jalan</v>
      </c>
      <c r="Y184" s="1478">
        <f>VLOOKUP(W184,UE,4,FALSE)</f>
        <v>10</v>
      </c>
      <c r="Z184" s="1401">
        <f>S184/Y184</f>
        <v>193117039.40000001</v>
      </c>
      <c r="AA184" s="1444">
        <f>IF(2013-N184+1&gt;Y184,Y184,IF(2013-N184+1&lt;0,0,2013-N184+1))</f>
        <v>0</v>
      </c>
      <c r="AB184" s="1401">
        <f>IF(AA184&gt;Y184,S184,Z184*AA184)</f>
        <v>0</v>
      </c>
      <c r="AC184" s="1401">
        <v>0</v>
      </c>
      <c r="AD184" s="1401">
        <f>IF(S184=AB184+AC184,0,Z184)</f>
        <v>193117039.40000001</v>
      </c>
      <c r="AE184" s="1401">
        <f>IF(S184=AB184+AC184+AD184,0,Z184)</f>
        <v>193117039.40000001</v>
      </c>
      <c r="AF184" s="1401">
        <f>IF(S184=AC184+AD184+AE184+AB184,0,Z184)</f>
        <v>193117039.40000001</v>
      </c>
      <c r="AG184" s="1479">
        <f>IF(S184=AC184+AD184+AE184+AB184+AF184,0,Z184)</f>
        <v>193117039.40000001</v>
      </c>
      <c r="AH184" s="1479">
        <f>IF(S184=AC184+AD184+AE184+AB184+AF184+AG184,0,Z184)</f>
        <v>193117039.40000001</v>
      </c>
      <c r="AI184" s="1479">
        <f>SUM(AB184:AH184)</f>
        <v>965585197</v>
      </c>
      <c r="AJ184" s="1401">
        <f>S184-AI184</f>
        <v>965585197</v>
      </c>
    </row>
    <row r="185" spans="1:36" s="1390" customFormat="1" ht="35" customHeight="1" x14ac:dyDescent="0.2">
      <c r="A185" s="1390">
        <v>83</v>
      </c>
      <c r="B185" s="1472" t="str">
        <f t="shared" si="58"/>
        <v>LUBUK JAMBI - LUBUK AMBACANG</v>
      </c>
      <c r="C185" s="1478" t="e">
        <f>RIGHT(#REF!,1)</f>
        <v>#REF!</v>
      </c>
      <c r="D185" s="1426">
        <v>76</v>
      </c>
      <c r="E185" s="1429" t="s">
        <v>5829</v>
      </c>
      <c r="F185" s="1539"/>
      <c r="G185" s="1517" t="s">
        <v>3820</v>
      </c>
      <c r="H185" s="1518"/>
      <c r="I185" s="1518" t="s">
        <v>8</v>
      </c>
      <c r="J185" s="1533">
        <v>10500</v>
      </c>
      <c r="K185" s="1517">
        <v>8</v>
      </c>
      <c r="L185" s="1519">
        <v>84000</v>
      </c>
      <c r="M185" s="1518" t="s">
        <v>3077</v>
      </c>
      <c r="N185" s="1517">
        <v>2001</v>
      </c>
      <c r="O185" s="1518"/>
      <c r="P185" s="1518"/>
      <c r="Q185" s="1518" t="s">
        <v>384</v>
      </c>
      <c r="R185" s="1517" t="s">
        <v>12</v>
      </c>
      <c r="S185" s="1520">
        <f>9141204662+F186+F187+F190+F191+F188+F189</f>
        <v>30588193452.977356</v>
      </c>
      <c r="T185" s="1517" t="s">
        <v>43</v>
      </c>
      <c r="U185" s="1572"/>
      <c r="V185" s="1521"/>
      <c r="W185" s="1478" t="str">
        <f>LEFT(G185,8)</f>
        <v>04.13.01</v>
      </c>
      <c r="X185" s="1478" t="str">
        <f>VLOOKUP(W185,UE,3,FALSE)</f>
        <v>Jalan</v>
      </c>
      <c r="Y185" s="1478">
        <f>VLOOKUP(W185,UE,4,FALSE)</f>
        <v>10</v>
      </c>
      <c r="Z185" s="1401"/>
      <c r="AA185" s="1444">
        <f>IF(2013-N185&gt;Y185,10,IF(2013-N185&lt;0,0,2013-N185))</f>
        <v>10</v>
      </c>
      <c r="AB185" s="1401">
        <f>SUM(PERHITUNGAN!U520:U528)</f>
        <v>9639122245.6449203</v>
      </c>
      <c r="AC185" s="1479">
        <f>SUMIF(PERHITUNGAN!A:A,'KIB D'!B185&amp;'KIB D'!$AC$7,PERHITUNGAN!U:U)</f>
        <v>1280182415.8321385</v>
      </c>
      <c r="AD185" s="1479">
        <f>SUMIF(PERHITUNGAN!A:A,'KIB D'!B185&amp;'KIB D'!$AD$7,PERHITUNGAN!U:U)</f>
        <v>1280182415.8321385</v>
      </c>
      <c r="AE185" s="1479">
        <f>SUMIF(PERHITUNGAN!A:A,'KIB D'!B185&amp;'KIB D'!$AE$7,PERHITUNGAN!U:U)</f>
        <v>1838870637.5668163</v>
      </c>
      <c r="AF185" s="1479">
        <f>SUMIF(PERHITUNGAN!A:A,'KIB D'!B185&amp;'KIB D'!$AF$7,PERHITUNGAN!U:U)</f>
        <v>1838870637.5668163</v>
      </c>
      <c r="AG185" s="1479">
        <f>SUMIF(PERHITUNGAN!A:A,'KIB D'!B185&amp;'KIB D'!$AG$7,PERHITUNGAN!U:U)</f>
        <v>1838870637.5668163</v>
      </c>
      <c r="AH185" s="1479">
        <f>SUMIF(PERHITUNGAN!A:A,'KIB D'!B185&amp;'KIB D'!$AH$7,PERHITUNGAN!U:U)</f>
        <v>1838870637.5668163</v>
      </c>
      <c r="AI185" s="1479">
        <f>SUM(AB185:AH185)</f>
        <v>19554969627.576462</v>
      </c>
      <c r="AJ185" s="1401">
        <f>S185-AI185</f>
        <v>11033223825.400894</v>
      </c>
    </row>
    <row r="186" spans="1:36" s="1390" customFormat="1" ht="35" customHeight="1" x14ac:dyDescent="0.2">
      <c r="A186" s="1390">
        <v>83</v>
      </c>
      <c r="B186" s="1472" t="str">
        <f t="shared" si="58"/>
        <v>LUBUK JAMBI - LUBUK AMBACANG</v>
      </c>
      <c r="C186" s="1478" t="e">
        <f>RIGHT(#REF!,1)</f>
        <v>#REF!</v>
      </c>
      <c r="D186" s="1426"/>
      <c r="E186" s="1429" t="s">
        <v>1158</v>
      </c>
      <c r="F186" s="1539">
        <v>1601590326.3398361</v>
      </c>
      <c r="G186" s="1416" t="s">
        <v>2494</v>
      </c>
      <c r="H186" s="1508"/>
      <c r="I186" s="1416" t="s">
        <v>519</v>
      </c>
      <c r="J186" s="1500"/>
      <c r="K186" s="1416"/>
      <c r="L186" s="1500">
        <v>210</v>
      </c>
      <c r="M186" s="1429" t="s">
        <v>3095</v>
      </c>
      <c r="N186" s="1416">
        <v>2007</v>
      </c>
      <c r="O186" s="1414"/>
      <c r="P186" s="1414"/>
      <c r="Q186" s="1414"/>
      <c r="R186" s="1416" t="s">
        <v>12</v>
      </c>
      <c r="S186" s="1529"/>
      <c r="T186" s="1416" t="s">
        <v>43</v>
      </c>
      <c r="U186" s="1427"/>
      <c r="V186" s="1477"/>
      <c r="W186" s="1478" t="str">
        <f>LEFT(G186,8)</f>
        <v>04.13.01</v>
      </c>
      <c r="X186" s="1478" t="str">
        <f>VLOOKUP(W186,UE,3,FALSE)</f>
        <v>Jalan</v>
      </c>
      <c r="Y186" s="1478">
        <f>VLOOKUP(W186,UE,4,FALSE)</f>
        <v>10</v>
      </c>
      <c r="Z186" s="1401"/>
      <c r="AA186" s="1444"/>
      <c r="AB186" s="1401"/>
      <c r="AC186" s="1401"/>
      <c r="AD186" s="1401"/>
      <c r="AE186" s="1401"/>
      <c r="AF186" s="1401"/>
      <c r="AG186" s="1479"/>
      <c r="AH186" s="1479"/>
      <c r="AI186" s="1479"/>
      <c r="AJ186" s="1401">
        <f>S186-AI186</f>
        <v>0</v>
      </c>
    </row>
    <row r="187" spans="1:36" s="1390" customFormat="1" ht="35" customHeight="1" x14ac:dyDescent="0.2">
      <c r="A187" s="1390">
        <v>83</v>
      </c>
      <c r="B187" s="1472" t="str">
        <f t="shared" si="58"/>
        <v>LUBUK JAMBI - LUBUK AMBACANG</v>
      </c>
      <c r="C187" s="1478" t="e">
        <f>RIGHT(#REF!,1)</f>
        <v>#REF!</v>
      </c>
      <c r="D187" s="1426"/>
      <c r="E187" s="1429" t="s">
        <v>5054</v>
      </c>
      <c r="F187" s="1539">
        <v>442451120.5388456</v>
      </c>
      <c r="G187" s="1416" t="s">
        <v>2494</v>
      </c>
      <c r="H187" s="1508"/>
      <c r="I187" s="1416"/>
      <c r="J187" s="1500"/>
      <c r="K187" s="1416"/>
      <c r="L187" s="1500"/>
      <c r="M187" s="1429" t="s">
        <v>3118</v>
      </c>
      <c r="N187" s="1416">
        <v>2007</v>
      </c>
      <c r="O187" s="1414"/>
      <c r="P187" s="1414"/>
      <c r="Q187" s="1414"/>
      <c r="R187" s="1416" t="s">
        <v>12</v>
      </c>
      <c r="S187" s="1529"/>
      <c r="T187" s="1416" t="s">
        <v>43</v>
      </c>
      <c r="U187" s="1427"/>
      <c r="V187" s="1477"/>
      <c r="W187" s="1478" t="str">
        <f>LEFT(G187,8)</f>
        <v>04.13.01</v>
      </c>
      <c r="X187" s="1478" t="str">
        <f>VLOOKUP(W187,UE,3,FALSE)</f>
        <v>Jalan</v>
      </c>
      <c r="Y187" s="1478">
        <f>VLOOKUP(W187,UE,4,FALSE)</f>
        <v>10</v>
      </c>
      <c r="Z187" s="1401"/>
      <c r="AA187" s="1444"/>
      <c r="AB187" s="1401"/>
      <c r="AC187" s="1401"/>
      <c r="AD187" s="1401"/>
      <c r="AE187" s="1401"/>
      <c r="AF187" s="1401"/>
      <c r="AG187" s="1479"/>
      <c r="AH187" s="1479"/>
      <c r="AI187" s="1479"/>
      <c r="AJ187" s="1401"/>
    </row>
    <row r="188" spans="1:36" s="1390" customFormat="1" ht="35" customHeight="1" x14ac:dyDescent="0.2">
      <c r="A188" s="1390">
        <v>83</v>
      </c>
      <c r="B188" s="1472" t="str">
        <f t="shared" si="58"/>
        <v>LUBUK JAMBI - LUBUK AMBACANG</v>
      </c>
      <c r="C188" s="1478"/>
      <c r="D188" s="1426"/>
      <c r="E188" s="1577" t="s">
        <v>5114</v>
      </c>
      <c r="F188" s="1539">
        <v>399330194.19144249</v>
      </c>
      <c r="G188" s="1416" t="s">
        <v>2494</v>
      </c>
      <c r="H188" s="1508"/>
      <c r="I188" s="1416"/>
      <c r="J188" s="1500"/>
      <c r="K188" s="1416"/>
      <c r="L188" s="1500"/>
      <c r="M188" s="1523" t="s">
        <v>5116</v>
      </c>
      <c r="N188" s="1416">
        <v>2008</v>
      </c>
      <c r="O188" s="1414"/>
      <c r="P188" s="1523" t="s">
        <v>5084</v>
      </c>
      <c r="Q188" s="1523"/>
      <c r="R188" s="1523" t="s">
        <v>12</v>
      </c>
      <c r="S188" s="1524"/>
      <c r="T188" s="1525" t="s">
        <v>43</v>
      </c>
      <c r="U188" s="1574"/>
      <c r="V188" s="1477"/>
      <c r="W188" s="1478"/>
      <c r="X188" s="1478"/>
      <c r="Y188" s="1478"/>
      <c r="Z188" s="1401"/>
      <c r="AA188" s="1444"/>
      <c r="AB188" s="1401"/>
      <c r="AC188" s="1401"/>
      <c r="AD188" s="1401"/>
      <c r="AE188" s="1401"/>
      <c r="AF188" s="1401"/>
      <c r="AG188" s="1479"/>
      <c r="AH188" s="1479"/>
      <c r="AI188" s="1479"/>
      <c r="AJ188" s="1401"/>
    </row>
    <row r="189" spans="1:36" s="1390" customFormat="1" ht="35" customHeight="1" x14ac:dyDescent="0.2">
      <c r="A189" s="1390">
        <v>83</v>
      </c>
      <c r="B189" s="1472" t="str">
        <f t="shared" si="58"/>
        <v>LUBUK JAMBI - LUBUK AMBACANG</v>
      </c>
      <c r="C189" s="1478"/>
      <c r="D189" s="1426"/>
      <c r="E189" s="1583" t="s">
        <v>5115</v>
      </c>
      <c r="F189" s="1539">
        <v>1028907709.2648308</v>
      </c>
      <c r="G189" s="1416" t="s">
        <v>2494</v>
      </c>
      <c r="H189" s="1508"/>
      <c r="I189" s="1534" t="s">
        <v>519</v>
      </c>
      <c r="J189" s="1534">
        <v>1000</v>
      </c>
      <c r="K189" s="1535"/>
      <c r="L189" s="1534">
        <v>1000</v>
      </c>
      <c r="M189" s="1523" t="s">
        <v>5116</v>
      </c>
      <c r="N189" s="1416">
        <v>2009</v>
      </c>
      <c r="O189" s="1414"/>
      <c r="P189" s="1414" t="s">
        <v>5084</v>
      </c>
      <c r="Q189" s="1414"/>
      <c r="R189" s="1523" t="s">
        <v>12</v>
      </c>
      <c r="S189" s="1529"/>
      <c r="T189" s="1416" t="s">
        <v>43</v>
      </c>
      <c r="U189" s="1427"/>
      <c r="V189" s="1477"/>
      <c r="W189" s="1478"/>
      <c r="X189" s="1478"/>
      <c r="Y189" s="1478"/>
      <c r="Z189" s="1401"/>
      <c r="AA189" s="1444"/>
      <c r="AB189" s="1401"/>
      <c r="AC189" s="1401"/>
      <c r="AD189" s="1401"/>
      <c r="AE189" s="1401"/>
      <c r="AF189" s="1401"/>
      <c r="AG189" s="1479"/>
      <c r="AH189" s="1479"/>
      <c r="AI189" s="1479"/>
      <c r="AJ189" s="1401"/>
    </row>
    <row r="190" spans="1:36" s="1390" customFormat="1" ht="35" customHeight="1" x14ac:dyDescent="0.2">
      <c r="A190" s="1390">
        <v>83</v>
      </c>
      <c r="B190" s="1472" t="str">
        <f t="shared" si="58"/>
        <v>LUBUK JAMBI - LUBUK AMBACANG</v>
      </c>
      <c r="C190" s="1478" t="e">
        <f>RIGHT(#REF!,1)</f>
        <v>#REF!</v>
      </c>
      <c r="D190" s="1426"/>
      <c r="E190" s="1429" t="s">
        <v>1318</v>
      </c>
      <c r="F190" s="1529">
        <v>9827462391.6313477</v>
      </c>
      <c r="G190" s="1501" t="s">
        <v>2494</v>
      </c>
      <c r="H190" s="1501"/>
      <c r="I190" s="1414"/>
      <c r="J190" s="1526"/>
      <c r="K190" s="1416"/>
      <c r="L190" s="1430"/>
      <c r="M190" s="1429" t="s">
        <v>3191</v>
      </c>
      <c r="N190" s="1501">
        <v>2014</v>
      </c>
      <c r="O190" s="1414"/>
      <c r="P190" s="1414"/>
      <c r="Q190" s="1414"/>
      <c r="R190" s="1416" t="s">
        <v>12</v>
      </c>
      <c r="S190" s="1527"/>
      <c r="T190" s="1528"/>
      <c r="U190" s="1575"/>
      <c r="V190" s="1490"/>
      <c r="W190" s="1478" t="str">
        <f>LEFT(G190,8)</f>
        <v>04.13.01</v>
      </c>
      <c r="X190" s="1478" t="str">
        <f>VLOOKUP(W190,UE,3,FALSE)</f>
        <v>Jalan</v>
      </c>
      <c r="Y190" s="1478">
        <f>VLOOKUP(W190,UE,4,FALSE)</f>
        <v>10</v>
      </c>
      <c r="Z190" s="1401"/>
      <c r="AA190" s="1444"/>
      <c r="AB190" s="1401"/>
      <c r="AC190" s="1401"/>
      <c r="AD190" s="1401"/>
      <c r="AE190" s="1401"/>
      <c r="AF190" s="1401"/>
      <c r="AG190" s="1479"/>
      <c r="AH190" s="1479"/>
      <c r="AI190" s="1479"/>
      <c r="AJ190" s="1401">
        <f>S190-AI190</f>
        <v>0</v>
      </c>
    </row>
    <row r="191" spans="1:36" s="1390" customFormat="1" ht="35" customHeight="1" x14ac:dyDescent="0.2">
      <c r="A191" s="1390">
        <v>83</v>
      </c>
      <c r="B191" s="1472" t="str">
        <f t="shared" si="58"/>
        <v>LUBUK JAMBI - LUBUK AMBACANG</v>
      </c>
      <c r="C191" s="1478" t="e">
        <f>RIGHT(#REF!,1)</f>
        <v>#REF!</v>
      </c>
      <c r="D191" s="1426"/>
      <c r="E191" s="1539" t="s">
        <v>1437</v>
      </c>
      <c r="F191" s="1529">
        <v>8147247049.011054</v>
      </c>
      <c r="G191" s="1501" t="s">
        <v>2494</v>
      </c>
      <c r="H191" s="1501"/>
      <c r="I191" s="1414"/>
      <c r="J191" s="1526"/>
      <c r="K191" s="1416"/>
      <c r="L191" s="1430"/>
      <c r="M191" s="1429" t="s">
        <v>3191</v>
      </c>
      <c r="N191" s="1501">
        <v>2016</v>
      </c>
      <c r="O191" s="1414"/>
      <c r="P191" s="1414"/>
      <c r="Q191" s="1414"/>
      <c r="R191" s="1501" t="s">
        <v>12</v>
      </c>
      <c r="S191" s="1527"/>
      <c r="T191" s="1528"/>
      <c r="U191" s="1575"/>
      <c r="V191" s="1490"/>
      <c r="W191" s="1478" t="str">
        <f>LEFT(G191,8)</f>
        <v>04.13.01</v>
      </c>
      <c r="X191" s="1478" t="str">
        <f>VLOOKUP(W191,UE,3,FALSE)</f>
        <v>Jalan</v>
      </c>
      <c r="Y191" s="1478">
        <f>VLOOKUP(W191,UE,4,FALSE)</f>
        <v>10</v>
      </c>
      <c r="Z191" s="1401"/>
      <c r="AA191" s="1444"/>
      <c r="AB191" s="1401"/>
      <c r="AC191" s="1401"/>
      <c r="AD191" s="1401"/>
      <c r="AE191" s="1401"/>
      <c r="AF191" s="1401"/>
      <c r="AG191" s="1479"/>
      <c r="AH191" s="1479"/>
      <c r="AI191" s="1479"/>
      <c r="AJ191" s="1401">
        <f>S191-AI191</f>
        <v>0</v>
      </c>
    </row>
    <row r="192" spans="1:36" s="1390" customFormat="1" ht="35" customHeight="1" x14ac:dyDescent="0.2">
      <c r="A192" s="1390">
        <v>85</v>
      </c>
      <c r="B192" s="1472" t="str">
        <f t="shared" si="58"/>
        <v>CENGAR - KOTO BENAI</v>
      </c>
      <c r="C192" s="1478" t="e">
        <f>RIGHT(#REF!,1)</f>
        <v>#REF!</v>
      </c>
      <c r="D192" s="1426">
        <v>77</v>
      </c>
      <c r="E192" s="1429" t="s">
        <v>529</v>
      </c>
      <c r="F192" s="1539"/>
      <c r="G192" s="1517" t="s">
        <v>2494</v>
      </c>
      <c r="H192" s="1518"/>
      <c r="I192" s="1518" t="s">
        <v>8</v>
      </c>
      <c r="J192" s="1533">
        <v>60000</v>
      </c>
      <c r="K192" s="1517">
        <v>8</v>
      </c>
      <c r="L192" s="1519">
        <v>480000</v>
      </c>
      <c r="M192" s="1518" t="s">
        <v>627</v>
      </c>
      <c r="N192" s="1517">
        <v>2001</v>
      </c>
      <c r="O192" s="1518"/>
      <c r="P192" s="1518"/>
      <c r="Q192" s="1518" t="s">
        <v>482</v>
      </c>
      <c r="R192" s="1517" t="s">
        <v>12</v>
      </c>
      <c r="S192" s="1520">
        <v>3360000000</v>
      </c>
      <c r="T192" s="1517" t="s">
        <v>43</v>
      </c>
      <c r="U192" s="1572"/>
      <c r="V192" s="1521"/>
      <c r="W192" s="1478" t="str">
        <f>LEFT(G192,8)</f>
        <v>04.13.01</v>
      </c>
      <c r="X192" s="1478" t="str">
        <f>VLOOKUP(W192,UE,3,FALSE)</f>
        <v>Jalan</v>
      </c>
      <c r="Y192" s="1478">
        <f>VLOOKUP(W192,UE,4,FALSE)</f>
        <v>10</v>
      </c>
      <c r="Z192" s="1401">
        <f>S192/Y192</f>
        <v>336000000</v>
      </c>
      <c r="AA192" s="1444">
        <f>IF(2013-N192+1&gt;Y192,Y192,IF(2013-N192+1&lt;0,0,2013-N192+1))</f>
        <v>10</v>
      </c>
      <c r="AB192" s="1401">
        <f>IF(AA192&gt;Y192,S192,Z192*AA192)</f>
        <v>3360000000</v>
      </c>
      <c r="AC192" s="1401">
        <f>IF(S192=AB192,0,Z192)</f>
        <v>0</v>
      </c>
      <c r="AD192" s="1401">
        <f>IF(S192=AB192+AC192,0,Z192)</f>
        <v>0</v>
      </c>
      <c r="AE192" s="1401">
        <f>IF(S192=AB192+AC192+AD192,0,Z192)</f>
        <v>0</v>
      </c>
      <c r="AF192" s="1401">
        <f>IF(S192=AC192+AD192+AE192+AB192,0,Z192)</f>
        <v>0</v>
      </c>
      <c r="AG192" s="1479">
        <f>IF(S192=AC192+AD192+AE192+AB192+AF192,0,Z192)</f>
        <v>0</v>
      </c>
      <c r="AH192" s="1479">
        <f>IF(S192=AC192+AD192+AE192+AB192+AF192+AG192,0,Z192)</f>
        <v>0</v>
      </c>
      <c r="AI192" s="1479">
        <f>SUM(AB192:AH192)</f>
        <v>3360000000</v>
      </c>
      <c r="AJ192" s="1401">
        <f>S192-AI192</f>
        <v>0</v>
      </c>
    </row>
    <row r="193" spans="1:36" s="1390" customFormat="1" ht="35" customHeight="1" x14ac:dyDescent="0.15">
      <c r="A193" s="1390">
        <v>86</v>
      </c>
      <c r="B193" s="1472" t="str">
        <f t="shared" si="58"/>
        <v>PANTAI - AIR BULUH</v>
      </c>
      <c r="C193" s="1516" t="s">
        <v>4247</v>
      </c>
      <c r="D193" s="1426">
        <v>78</v>
      </c>
      <c r="E193" s="1429" t="s">
        <v>5830</v>
      </c>
      <c r="F193" s="1539"/>
      <c r="G193" s="1517" t="s">
        <v>2494</v>
      </c>
      <c r="H193" s="1518"/>
      <c r="I193" s="1518" t="s">
        <v>484</v>
      </c>
      <c r="J193" s="1533">
        <v>5000</v>
      </c>
      <c r="K193" s="1517">
        <v>7</v>
      </c>
      <c r="L193" s="1519">
        <v>35000</v>
      </c>
      <c r="M193" s="1518" t="s">
        <v>628</v>
      </c>
      <c r="N193" s="1517">
        <v>2001</v>
      </c>
      <c r="O193" s="1518"/>
      <c r="P193" s="1518"/>
      <c r="Q193" s="1518" t="s">
        <v>482</v>
      </c>
      <c r="R193" s="1517" t="s">
        <v>12</v>
      </c>
      <c r="S193" s="1520">
        <f>2080000000+F194+F196+F197+F195</f>
        <v>8910337970.6710606</v>
      </c>
      <c r="T193" s="1517" t="s">
        <v>43</v>
      </c>
      <c r="U193" s="1572"/>
      <c r="V193" s="1521"/>
      <c r="W193" s="1522" t="str">
        <f>LEFT(G193,8)</f>
        <v>04.13.01</v>
      </c>
      <c r="X193" s="1478" t="str">
        <f>VLOOKUP(W193,UE,3,FALSE)</f>
        <v>Jalan</v>
      </c>
      <c r="Y193" s="1478">
        <f>VLOOKUP(W193,UE,4,FALSE)</f>
        <v>10</v>
      </c>
      <c r="Z193" s="1401"/>
      <c r="AA193" s="1444">
        <f>IF(2013-N193&gt;Y193,10,IF(2013-N193&lt;0,0,2013-N193))</f>
        <v>10</v>
      </c>
      <c r="AB193" s="1401">
        <f>SUM(PERHITUNGAN!U543:U549)</f>
        <v>3824758792.5638475</v>
      </c>
      <c r="AC193" s="1479">
        <f>SUMIF(PERHITUNGAN!A:A,'KIB D'!B193&amp;'KIB D'!$AC$7,PERHITUNGAN!U:U)</f>
        <v>635697397.26340163</v>
      </c>
      <c r="AD193" s="1479">
        <f>SUMIF(PERHITUNGAN!A:A,'KIB D'!B193&amp;'KIB D'!$AD$7,PERHITUNGAN!U:U)</f>
        <v>635697397.26340163</v>
      </c>
      <c r="AE193" s="1479">
        <f>SUMIF(PERHITUNGAN!A:A,'KIB D'!B193&amp;'KIB D'!$AE$7,PERHITUNGAN!U:U)</f>
        <v>635697397.26340163</v>
      </c>
      <c r="AF193" s="1479">
        <f>SUMIF(PERHITUNGAN!A:A,'KIB D'!B193&amp;'KIB D'!$AF$7,PERHITUNGAN!U:U)</f>
        <v>635697397.26340163</v>
      </c>
      <c r="AG193" s="1479">
        <f>SUMIF(PERHITUNGAN!A:A,'KIB D'!B193&amp;'KIB D'!$AG$7,PERHITUNGAN!U:U)</f>
        <v>635697397.26340163</v>
      </c>
      <c r="AH193" s="1479">
        <f>SUMIF(PERHITUNGAN!A:A,'KIB D'!B193&amp;'KIB D'!$AH$7,PERHITUNGAN!U:U)</f>
        <v>635697397.26340163</v>
      </c>
      <c r="AI193" s="1479">
        <f>SUM(AB193:AH193)</f>
        <v>7638943176.1442595</v>
      </c>
      <c r="AJ193" s="1401">
        <f>S193-AI193</f>
        <v>1271394794.5268011</v>
      </c>
    </row>
    <row r="194" spans="1:36" s="1390" customFormat="1" ht="35" customHeight="1" x14ac:dyDescent="0.15">
      <c r="A194" s="1390">
        <v>86</v>
      </c>
      <c r="B194" s="1472" t="str">
        <f t="shared" si="58"/>
        <v>PANTAI - AIR BULUH</v>
      </c>
      <c r="C194" s="1516" t="s">
        <v>4247</v>
      </c>
      <c r="D194" s="1426"/>
      <c r="E194" s="1429" t="s">
        <v>1182</v>
      </c>
      <c r="F194" s="1539">
        <v>695109994.81529498</v>
      </c>
      <c r="G194" s="1517" t="s">
        <v>2494</v>
      </c>
      <c r="H194" s="1518"/>
      <c r="I194" s="1518" t="s">
        <v>835</v>
      </c>
      <c r="J194" s="1519">
        <v>3.5</v>
      </c>
      <c r="K194" s="1517">
        <v>3</v>
      </c>
      <c r="L194" s="1519">
        <v>10.5</v>
      </c>
      <c r="M194" s="1518" t="s">
        <v>628</v>
      </c>
      <c r="N194" s="1517">
        <v>2007</v>
      </c>
      <c r="O194" s="1518"/>
      <c r="P194" s="1518"/>
      <c r="Q194" s="1518"/>
      <c r="R194" s="1517" t="s">
        <v>12</v>
      </c>
      <c r="S194" s="1520"/>
      <c r="T194" s="1517" t="s">
        <v>43</v>
      </c>
      <c r="U194" s="1572"/>
      <c r="V194" s="1521"/>
      <c r="W194" s="1522" t="str">
        <f>LEFT(G194,8)</f>
        <v>04.13.01</v>
      </c>
      <c r="X194" s="1478" t="str">
        <f>VLOOKUP(W194,UE,3,FALSE)</f>
        <v>Jalan</v>
      </c>
      <c r="Y194" s="1478">
        <f>VLOOKUP(W194,UE,4,FALSE)</f>
        <v>10</v>
      </c>
      <c r="Z194" s="1401"/>
      <c r="AA194" s="1444">
        <f>IF(2013-N194&gt;Y194,10,IF(2013-N194&lt;0,0,2013-N194))</f>
        <v>6</v>
      </c>
      <c r="AB194" s="1401"/>
      <c r="AC194" s="1401"/>
      <c r="AD194" s="1401"/>
      <c r="AE194" s="1401"/>
      <c r="AF194" s="1401"/>
      <c r="AG194" s="1479"/>
      <c r="AH194" s="1479"/>
      <c r="AI194" s="1479"/>
      <c r="AJ194" s="1401">
        <f>S194-AI194</f>
        <v>0</v>
      </c>
    </row>
    <row r="195" spans="1:36" s="1390" customFormat="1" ht="35" customHeight="1" x14ac:dyDescent="0.2">
      <c r="A195" s="1390">
        <v>86</v>
      </c>
      <c r="B195" s="1472" t="str">
        <f t="shared" si="58"/>
        <v>PANTAI - AIR BULUH</v>
      </c>
      <c r="C195" s="1478"/>
      <c r="D195" s="1426"/>
      <c r="E195" s="1578" t="s">
        <v>5117</v>
      </c>
      <c r="F195" s="1539">
        <v>705494899.14059925</v>
      </c>
      <c r="G195" s="1416" t="s">
        <v>2494</v>
      </c>
      <c r="H195" s="1508"/>
      <c r="I195" s="1523" t="s">
        <v>519</v>
      </c>
      <c r="J195" s="1523">
        <v>1000</v>
      </c>
      <c r="K195" s="1525"/>
      <c r="L195" s="1523"/>
      <c r="M195" s="1518" t="s">
        <v>628</v>
      </c>
      <c r="N195" s="1416">
        <v>2010</v>
      </c>
      <c r="O195" s="1414"/>
      <c r="P195" s="1414" t="s">
        <v>5084</v>
      </c>
      <c r="Q195" s="1414"/>
      <c r="R195" s="1523" t="s">
        <v>12</v>
      </c>
      <c r="S195" s="1529"/>
      <c r="T195" s="1416" t="s">
        <v>43</v>
      </c>
      <c r="U195" s="1427"/>
      <c r="V195" s="1477"/>
      <c r="W195" s="1478"/>
      <c r="X195" s="1478"/>
      <c r="Y195" s="1478"/>
      <c r="Z195" s="1401"/>
      <c r="AA195" s="1444"/>
      <c r="AB195" s="1401"/>
      <c r="AC195" s="1401"/>
      <c r="AD195" s="1401"/>
      <c r="AE195" s="1401"/>
      <c r="AF195" s="1401"/>
      <c r="AG195" s="1479"/>
      <c r="AH195" s="1479"/>
      <c r="AI195" s="1479"/>
      <c r="AJ195" s="1401"/>
    </row>
    <row r="196" spans="1:36" s="1390" customFormat="1" ht="35" customHeight="1" x14ac:dyDescent="0.15">
      <c r="A196" s="1390">
        <v>86</v>
      </c>
      <c r="B196" s="1472" t="str">
        <f t="shared" si="58"/>
        <v>PANTAI - AIR BULUH</v>
      </c>
      <c r="C196" s="1516" t="s">
        <v>4247</v>
      </c>
      <c r="D196" s="1426"/>
      <c r="E196" s="1429" t="s">
        <v>1233</v>
      </c>
      <c r="F196" s="1539">
        <v>3830922576</v>
      </c>
      <c r="G196" s="1517" t="s">
        <v>2494</v>
      </c>
      <c r="H196" s="1518"/>
      <c r="I196" s="1518" t="s">
        <v>519</v>
      </c>
      <c r="J196" s="1519">
        <v>0</v>
      </c>
      <c r="K196" s="1517"/>
      <c r="L196" s="1519">
        <v>1000</v>
      </c>
      <c r="M196" s="1518" t="s">
        <v>628</v>
      </c>
      <c r="N196" s="1517">
        <v>2011</v>
      </c>
      <c r="O196" s="1518"/>
      <c r="P196" s="1518"/>
      <c r="Q196" s="1518"/>
      <c r="R196" s="1517" t="s">
        <v>12</v>
      </c>
      <c r="S196" s="1520"/>
      <c r="T196" s="1517" t="s">
        <v>43</v>
      </c>
      <c r="U196" s="1572"/>
      <c r="V196" s="1521"/>
      <c r="W196" s="1522" t="str">
        <f>LEFT(G196,8)</f>
        <v>04.13.01</v>
      </c>
      <c r="X196" s="1478" t="str">
        <f>VLOOKUP(W196,UE,3,FALSE)</f>
        <v>Jalan</v>
      </c>
      <c r="Y196" s="1478">
        <f>VLOOKUP(W196,UE,4,FALSE)</f>
        <v>10</v>
      </c>
      <c r="Z196" s="1401"/>
      <c r="AA196" s="1444">
        <f>IF(2013-N196&gt;Y196,10,IF(2013-N196&lt;0,0,2013-N196))</f>
        <v>2</v>
      </c>
      <c r="AB196" s="1401"/>
      <c r="AC196" s="1401"/>
      <c r="AD196" s="1401"/>
      <c r="AE196" s="1401"/>
      <c r="AF196" s="1401"/>
      <c r="AG196" s="1479"/>
      <c r="AH196" s="1479"/>
      <c r="AI196" s="1479"/>
      <c r="AJ196" s="1401">
        <f>S196-AI196</f>
        <v>0</v>
      </c>
    </row>
    <row r="197" spans="1:36" s="1390" customFormat="1" ht="35" customHeight="1" x14ac:dyDescent="0.15">
      <c r="A197" s="1390">
        <v>86</v>
      </c>
      <c r="B197" s="1472" t="str">
        <f t="shared" si="58"/>
        <v>PANTAI - AIR BULUH</v>
      </c>
      <c r="C197" s="1516" t="s">
        <v>4247</v>
      </c>
      <c r="D197" s="1426"/>
      <c r="E197" s="1429" t="s">
        <v>1252</v>
      </c>
      <c r="F197" s="1539">
        <v>1598810500.7151661</v>
      </c>
      <c r="G197" s="1517" t="s">
        <v>2494</v>
      </c>
      <c r="H197" s="1518"/>
      <c r="I197" s="1518" t="s">
        <v>519</v>
      </c>
      <c r="J197" s="1519">
        <v>0</v>
      </c>
      <c r="K197" s="1517"/>
      <c r="L197" s="1519">
        <v>0</v>
      </c>
      <c r="M197" s="1518" t="s">
        <v>628</v>
      </c>
      <c r="N197" s="1517">
        <v>2012</v>
      </c>
      <c r="O197" s="1518"/>
      <c r="P197" s="1518"/>
      <c r="Q197" s="1518"/>
      <c r="R197" s="1517" t="s">
        <v>12</v>
      </c>
      <c r="S197" s="1520"/>
      <c r="T197" s="1517" t="s">
        <v>43</v>
      </c>
      <c r="U197" s="1572"/>
      <c r="V197" s="1521"/>
      <c r="W197" s="1522" t="str">
        <f>LEFT(G197,8)</f>
        <v>04.13.01</v>
      </c>
      <c r="X197" s="1478" t="str">
        <f>VLOOKUP(W197,UE,3,FALSE)</f>
        <v>Jalan</v>
      </c>
      <c r="Y197" s="1478">
        <f>VLOOKUP(W197,UE,4,FALSE)</f>
        <v>10</v>
      </c>
      <c r="Z197" s="1401"/>
      <c r="AA197" s="1444">
        <f>IF(2013-N197&gt;Y197,10,IF(2013-N197&lt;0,0,2013-N197))</f>
        <v>1</v>
      </c>
      <c r="AB197" s="1401"/>
      <c r="AC197" s="1401"/>
      <c r="AD197" s="1401"/>
      <c r="AE197" s="1401"/>
      <c r="AF197" s="1401"/>
      <c r="AG197" s="1479"/>
      <c r="AH197" s="1479"/>
      <c r="AI197" s="1479"/>
      <c r="AJ197" s="1401"/>
    </row>
    <row r="198" spans="1:36" s="1390" customFormat="1" ht="35" customHeight="1" x14ac:dyDescent="0.2">
      <c r="A198" s="1390">
        <v>87</v>
      </c>
      <c r="B198" s="1472" t="str">
        <f t="shared" si="58"/>
        <v>SEI. BESAR - BTS. SUMBAR</v>
      </c>
      <c r="C198" s="1478" t="e">
        <f>RIGHT(#REF!,1)</f>
        <v>#REF!</v>
      </c>
      <c r="D198" s="1426">
        <v>79</v>
      </c>
      <c r="E198" s="1429" t="s">
        <v>5831</v>
      </c>
      <c r="F198" s="1539"/>
      <c r="G198" s="1517" t="s">
        <v>2494</v>
      </c>
      <c r="H198" s="1518"/>
      <c r="I198" s="1518" t="s">
        <v>525</v>
      </c>
      <c r="J198" s="1533" t="s">
        <v>675</v>
      </c>
      <c r="K198" s="1517"/>
      <c r="L198" s="1519"/>
      <c r="M198" s="1518" t="s">
        <v>3083</v>
      </c>
      <c r="N198" s="1517">
        <v>2001</v>
      </c>
      <c r="O198" s="1518"/>
      <c r="P198" s="1518"/>
      <c r="Q198" s="1518" t="s">
        <v>482</v>
      </c>
      <c r="R198" s="1517" t="s">
        <v>12</v>
      </c>
      <c r="S198" s="1520">
        <f>6048000000+F199+F200+F206+F207+F208+F209+F210+F204+F201+F202+F203+F205</f>
        <v>28763122842.725895</v>
      </c>
      <c r="T198" s="1517" t="s">
        <v>43</v>
      </c>
      <c r="U198" s="1572"/>
      <c r="V198" s="1521"/>
      <c r="W198" s="1478" t="str">
        <f>LEFT(G198,8)</f>
        <v>04.13.01</v>
      </c>
      <c r="X198" s="1478" t="str">
        <f>VLOOKUP(W198,UE,3,FALSE)</f>
        <v>Jalan</v>
      </c>
      <c r="Y198" s="1478">
        <f>VLOOKUP(W198,UE,4,FALSE)</f>
        <v>10</v>
      </c>
      <c r="Z198" s="1401"/>
      <c r="AA198" s="1444">
        <f>IF(2013-N198&gt;Y198,10,IF(2013-N198&lt;0,0,2013-N198))</f>
        <v>10</v>
      </c>
      <c r="AB198" s="1401">
        <f>SUM(PERHITUNGAN!U564:U572)</f>
        <v>10228608680.141216</v>
      </c>
      <c r="AC198" s="1479">
        <f>SUMIF(PERHITUNGAN!A:A,'KIB D'!B198&amp;'KIB D'!$AC$7,PERHITUNGAN!U:U)</f>
        <v>1447704305.9506671</v>
      </c>
      <c r="AD198" s="1479">
        <f>SUMIF(PERHITUNGAN!A:A,'KIB D'!B198&amp;'KIB D'!$AD$7,PERHITUNGAN!U:U)</f>
        <v>1244679022.1904006</v>
      </c>
      <c r="AE198" s="1479">
        <f>SUMIF(PERHITUNGAN!A:A,'KIB D'!B198&amp;'KIB D'!$AE$7,PERHITUNGAN!U:U)</f>
        <v>1360011297.2443604</v>
      </c>
      <c r="AF198" s="1479">
        <f>SUMIF(PERHITUNGAN!A:A,'KIB D'!B198&amp;'KIB D'!$AF$7,PERHITUNGAN!U:U)</f>
        <v>1360011297.2443604</v>
      </c>
      <c r="AG198" s="1479">
        <f>SUMIF(PERHITUNGAN!A:A,'KIB D'!B198&amp;'KIB D'!$AG$7,PERHITUNGAN!U:U)</f>
        <v>1312210823.9954886</v>
      </c>
      <c r="AH198" s="1479">
        <f>SUMIF(PERHITUNGAN!A:A,'KIB D'!B198&amp;'KIB D'!$AH$7,PERHITUNGAN!U:U)</f>
        <v>1312210823.9954886</v>
      </c>
      <c r="AI198" s="1479">
        <f>SUM(AB198:AH198)</f>
        <v>18265436250.761982</v>
      </c>
      <c r="AJ198" s="1401">
        <f>S198-AI198</f>
        <v>10497686591.963913</v>
      </c>
    </row>
    <row r="199" spans="1:36" s="1390" customFormat="1" ht="35" customHeight="1" x14ac:dyDescent="0.2">
      <c r="A199" s="1390">
        <v>87</v>
      </c>
      <c r="B199" s="1472" t="str">
        <f t="shared" si="58"/>
        <v>SEI. BESAR - BTS. SUMBAR</v>
      </c>
      <c r="C199" s="1478" t="e">
        <f>RIGHT(#REF!,1)</f>
        <v>#REF!</v>
      </c>
      <c r="D199" s="1426"/>
      <c r="E199" s="1429" t="s">
        <v>1160</v>
      </c>
      <c r="F199" s="1539">
        <v>1286184534.3929939</v>
      </c>
      <c r="G199" s="1416" t="s">
        <v>2494</v>
      </c>
      <c r="H199" s="1508"/>
      <c r="I199" s="1416" t="s">
        <v>519</v>
      </c>
      <c r="J199" s="1500"/>
      <c r="K199" s="1416"/>
      <c r="L199" s="1500">
        <v>1000</v>
      </c>
      <c r="M199" s="1429" t="s">
        <v>3083</v>
      </c>
      <c r="N199" s="1416">
        <v>2007</v>
      </c>
      <c r="O199" s="1414"/>
      <c r="P199" s="1414"/>
      <c r="Q199" s="1414"/>
      <c r="R199" s="1416" t="s">
        <v>12</v>
      </c>
      <c r="S199" s="1529"/>
      <c r="T199" s="1416" t="s">
        <v>43</v>
      </c>
      <c r="U199" s="1427"/>
      <c r="V199" s="1477"/>
      <c r="W199" s="1478" t="str">
        <f>LEFT(G199,8)</f>
        <v>04.13.01</v>
      </c>
      <c r="X199" s="1478" t="str">
        <f>VLOOKUP(W199,UE,3,FALSE)</f>
        <v>Jalan</v>
      </c>
      <c r="Y199" s="1478">
        <f>VLOOKUP(W199,UE,4,FALSE)</f>
        <v>10</v>
      </c>
      <c r="Z199" s="1401"/>
      <c r="AA199" s="1444"/>
      <c r="AB199" s="1401"/>
      <c r="AC199" s="1401"/>
      <c r="AD199" s="1401"/>
      <c r="AE199" s="1401"/>
      <c r="AF199" s="1401"/>
      <c r="AG199" s="1479"/>
      <c r="AH199" s="1479"/>
      <c r="AI199" s="1479"/>
      <c r="AJ199" s="1401">
        <f>S199-AI199</f>
        <v>0</v>
      </c>
    </row>
    <row r="200" spans="1:36" s="1390" customFormat="1" ht="35" customHeight="1" x14ac:dyDescent="0.2">
      <c r="A200" s="1390">
        <v>87</v>
      </c>
      <c r="B200" s="1472" t="str">
        <f t="shared" si="58"/>
        <v>SEI. BESAR - BTS. SUMBAR</v>
      </c>
      <c r="C200" s="1478"/>
      <c r="D200" s="1426"/>
      <c r="E200" s="1429" t="s">
        <v>5052</v>
      </c>
      <c r="F200" s="1539">
        <v>318168883.04212338</v>
      </c>
      <c r="G200" s="1517" t="s">
        <v>2494</v>
      </c>
      <c r="H200" s="1518"/>
      <c r="I200" s="1518"/>
      <c r="J200" s="1519"/>
      <c r="K200" s="1517"/>
      <c r="L200" s="1519"/>
      <c r="M200" s="1518" t="s">
        <v>3119</v>
      </c>
      <c r="N200" s="1517">
        <v>2007</v>
      </c>
      <c r="O200" s="1518"/>
      <c r="P200" s="1518"/>
      <c r="Q200" s="1518"/>
      <c r="R200" s="1517" t="s">
        <v>12</v>
      </c>
      <c r="S200" s="1520"/>
      <c r="T200" s="1518"/>
      <c r="U200" s="1572"/>
      <c r="V200" s="1521"/>
      <c r="W200" s="1478"/>
      <c r="X200" s="1478"/>
      <c r="Y200" s="1478"/>
      <c r="Z200" s="1401"/>
      <c r="AA200" s="1444"/>
      <c r="AB200" s="1401"/>
      <c r="AC200" s="1401"/>
      <c r="AD200" s="1401"/>
      <c r="AE200" s="1401"/>
      <c r="AF200" s="1401"/>
      <c r="AG200" s="1479"/>
      <c r="AH200" s="1479"/>
      <c r="AI200" s="1479"/>
      <c r="AJ200" s="1401"/>
    </row>
    <row r="201" spans="1:36" s="1390" customFormat="1" ht="35" customHeight="1" x14ac:dyDescent="0.2">
      <c r="A201" s="1390">
        <v>87</v>
      </c>
      <c r="B201" s="1472" t="str">
        <f t="shared" si="58"/>
        <v>SEI. BESAR - BTS. SUMBAR</v>
      </c>
      <c r="C201" s="1478"/>
      <c r="D201" s="1426"/>
      <c r="E201" s="1586" t="s">
        <v>5120</v>
      </c>
      <c r="F201" s="1539">
        <v>219063911.59381068</v>
      </c>
      <c r="G201" s="1416" t="s">
        <v>2494</v>
      </c>
      <c r="H201" s="1508"/>
      <c r="I201" s="1416"/>
      <c r="J201" s="1500"/>
      <c r="K201" s="1416"/>
      <c r="L201" s="1500"/>
      <c r="M201" s="1523" t="s">
        <v>5124</v>
      </c>
      <c r="N201" s="1416">
        <v>2008</v>
      </c>
      <c r="O201" s="1414"/>
      <c r="P201" s="1523" t="s">
        <v>5084</v>
      </c>
      <c r="Q201" s="1523"/>
      <c r="R201" s="1523" t="s">
        <v>12</v>
      </c>
      <c r="S201" s="1524"/>
      <c r="T201" s="1525" t="s">
        <v>43</v>
      </c>
      <c r="U201" s="1574"/>
      <c r="V201" s="1477"/>
      <c r="W201" s="1478"/>
      <c r="X201" s="1478"/>
      <c r="Y201" s="1478"/>
      <c r="Z201" s="1401"/>
      <c r="AA201" s="1444"/>
      <c r="AB201" s="1401"/>
      <c r="AC201" s="1401"/>
      <c r="AD201" s="1401"/>
      <c r="AE201" s="1401"/>
      <c r="AF201" s="1401"/>
      <c r="AG201" s="1479"/>
      <c r="AH201" s="1479"/>
      <c r="AI201" s="1479"/>
      <c r="AJ201" s="1401"/>
    </row>
    <row r="202" spans="1:36" s="1390" customFormat="1" ht="35" customHeight="1" x14ac:dyDescent="0.2">
      <c r="A202" s="1390">
        <v>87</v>
      </c>
      <c r="B202" s="1472" t="str">
        <f t="shared" si="58"/>
        <v>SEI. BESAR - BTS. SUMBAR</v>
      </c>
      <c r="C202" s="1478"/>
      <c r="D202" s="1426"/>
      <c r="E202" s="1573" t="s">
        <v>5121</v>
      </c>
      <c r="F202" s="1539">
        <v>1267638302.7436845</v>
      </c>
      <c r="G202" s="1416" t="s">
        <v>2494</v>
      </c>
      <c r="H202" s="1508"/>
      <c r="I202" s="1523" t="s">
        <v>519</v>
      </c>
      <c r="J202" s="1525">
        <v>1500</v>
      </c>
      <c r="K202" s="1525"/>
      <c r="L202" s="1525">
        <v>1500</v>
      </c>
      <c r="M202" s="1523" t="s">
        <v>3141</v>
      </c>
      <c r="N202" s="1416">
        <v>2008</v>
      </c>
      <c r="O202" s="1414"/>
      <c r="P202" s="1523" t="s">
        <v>5084</v>
      </c>
      <c r="Q202" s="1414"/>
      <c r="R202" s="1523" t="s">
        <v>12</v>
      </c>
      <c r="S202" s="1529"/>
      <c r="T202" s="1525" t="s">
        <v>43</v>
      </c>
      <c r="U202" s="1574"/>
      <c r="V202" s="1477"/>
      <c r="W202" s="1478"/>
      <c r="X202" s="1478"/>
      <c r="Y202" s="1478"/>
      <c r="Z202" s="1401"/>
      <c r="AA202" s="1444"/>
      <c r="AB202" s="1401"/>
      <c r="AC202" s="1401"/>
      <c r="AD202" s="1401"/>
      <c r="AE202" s="1401"/>
      <c r="AF202" s="1401"/>
      <c r="AG202" s="1479"/>
      <c r="AH202" s="1479"/>
      <c r="AI202" s="1479"/>
      <c r="AJ202" s="1401"/>
    </row>
    <row r="203" spans="1:36" s="1390" customFormat="1" ht="35" customHeight="1" x14ac:dyDescent="0.2">
      <c r="A203" s="1390">
        <v>87</v>
      </c>
      <c r="B203" s="1472" t="str">
        <f t="shared" si="58"/>
        <v>SEI. BESAR - BTS. SUMBAR</v>
      </c>
      <c r="C203" s="1478"/>
      <c r="D203" s="1426"/>
      <c r="E203" s="1583" t="s">
        <v>5122</v>
      </c>
      <c r="F203" s="1539">
        <v>1305259998.9148393</v>
      </c>
      <c r="G203" s="1416" t="s">
        <v>2494</v>
      </c>
      <c r="H203" s="1508"/>
      <c r="I203" s="1534" t="s">
        <v>519</v>
      </c>
      <c r="J203" s="1534">
        <v>1500</v>
      </c>
      <c r="K203" s="1535"/>
      <c r="L203" s="1534">
        <v>1500</v>
      </c>
      <c r="M203" s="1534" t="s">
        <v>5124</v>
      </c>
      <c r="N203" s="1416">
        <v>2009</v>
      </c>
      <c r="O203" s="1414"/>
      <c r="P203" s="1414" t="s">
        <v>5084</v>
      </c>
      <c r="Q203" s="1414"/>
      <c r="R203" s="1523" t="s">
        <v>12</v>
      </c>
      <c r="S203" s="1529"/>
      <c r="T203" s="1416" t="s">
        <v>43</v>
      </c>
      <c r="U203" s="1427"/>
      <c r="V203" s="1477"/>
      <c r="W203" s="1478"/>
      <c r="X203" s="1478"/>
      <c r="Y203" s="1478"/>
      <c r="Z203" s="1401"/>
      <c r="AA203" s="1444"/>
      <c r="AB203" s="1401"/>
      <c r="AC203" s="1401"/>
      <c r="AD203" s="1401"/>
      <c r="AE203" s="1401"/>
      <c r="AF203" s="1401"/>
      <c r="AG203" s="1479"/>
      <c r="AH203" s="1479"/>
      <c r="AI203" s="1479"/>
      <c r="AJ203" s="1401"/>
    </row>
    <row r="204" spans="1:36" s="1390" customFormat="1" ht="35" customHeight="1" x14ac:dyDescent="0.2">
      <c r="A204" s="1390">
        <v>87</v>
      </c>
      <c r="B204" s="1472" t="str">
        <f t="shared" ref="B204:B215" si="83">VLOOKUP(A204,RUAS,2,FALSE)</f>
        <v>SEI. BESAR - BTS. SUMBAR</v>
      </c>
      <c r="C204" s="1478"/>
      <c r="D204" s="1426"/>
      <c r="E204" s="1429" t="s">
        <v>5072</v>
      </c>
      <c r="F204" s="1539">
        <v>714841086.60000002</v>
      </c>
      <c r="G204" s="1416" t="s">
        <v>2494</v>
      </c>
      <c r="H204" s="1508"/>
      <c r="I204" s="1416"/>
      <c r="J204" s="1500"/>
      <c r="K204" s="1416"/>
      <c r="L204" s="1500"/>
      <c r="M204" s="1429" t="s">
        <v>3622</v>
      </c>
      <c r="N204" s="1416">
        <v>2009</v>
      </c>
      <c r="O204" s="1414"/>
      <c r="P204" s="1414"/>
      <c r="Q204" s="1414"/>
      <c r="R204" s="1416" t="s">
        <v>12</v>
      </c>
      <c r="S204" s="1529"/>
      <c r="T204" s="1416" t="s">
        <v>43</v>
      </c>
      <c r="U204" s="1427"/>
      <c r="V204" s="1477"/>
      <c r="W204" s="1478"/>
      <c r="X204" s="1478"/>
      <c r="Y204" s="1478"/>
      <c r="Z204" s="1401"/>
      <c r="AA204" s="1444"/>
      <c r="AB204" s="1401"/>
      <c r="AC204" s="1401"/>
      <c r="AD204" s="1401"/>
      <c r="AE204" s="1401"/>
      <c r="AF204" s="1401"/>
      <c r="AG204" s="1479"/>
      <c r="AH204" s="1479"/>
      <c r="AI204" s="1479"/>
      <c r="AJ204" s="1401"/>
    </row>
    <row r="205" spans="1:36" s="1390" customFormat="1" ht="35" customHeight="1" x14ac:dyDescent="0.2">
      <c r="A205" s="1390">
        <v>87</v>
      </c>
      <c r="B205" s="1472" t="str">
        <f t="shared" si="83"/>
        <v>SEI. BESAR - BTS. SUMBAR</v>
      </c>
      <c r="C205" s="1478"/>
      <c r="D205" s="1426"/>
      <c r="E205" s="1578" t="s">
        <v>5123</v>
      </c>
      <c r="F205" s="1539">
        <v>862802357</v>
      </c>
      <c r="G205" s="1416" t="s">
        <v>2494</v>
      </c>
      <c r="H205" s="1508"/>
      <c r="I205" s="1523" t="s">
        <v>519</v>
      </c>
      <c r="J205" s="1523"/>
      <c r="K205" s="1525"/>
      <c r="L205" s="1523"/>
      <c r="M205" s="1525" t="s">
        <v>3141</v>
      </c>
      <c r="N205" s="1525">
        <v>2010</v>
      </c>
      <c r="O205" s="1523"/>
      <c r="P205" s="1525" t="s">
        <v>5084</v>
      </c>
      <c r="Q205" s="1523"/>
      <c r="R205" s="1523" t="s">
        <v>12</v>
      </c>
      <c r="S205" s="1539"/>
      <c r="T205" s="1525" t="s">
        <v>43</v>
      </c>
      <c r="U205" s="1585"/>
      <c r="V205" s="1477"/>
      <c r="W205" s="1478"/>
      <c r="X205" s="1478"/>
      <c r="Y205" s="1478"/>
      <c r="Z205" s="1401"/>
      <c r="AA205" s="1444"/>
      <c r="AB205" s="1401"/>
      <c r="AC205" s="1401"/>
      <c r="AD205" s="1401"/>
      <c r="AE205" s="1401"/>
      <c r="AF205" s="1401"/>
      <c r="AG205" s="1479"/>
      <c r="AH205" s="1479"/>
      <c r="AI205" s="1479"/>
      <c r="AJ205" s="1401"/>
    </row>
    <row r="206" spans="1:36" s="1390" customFormat="1" ht="35" customHeight="1" x14ac:dyDescent="0.2">
      <c r="A206" s="1390">
        <v>87</v>
      </c>
      <c r="B206" s="1472" t="str">
        <f t="shared" si="83"/>
        <v>SEI. BESAR - BTS. SUMBAR</v>
      </c>
      <c r="C206" s="1478" t="s">
        <v>4763</v>
      </c>
      <c r="D206" s="1426"/>
      <c r="E206" s="1429" t="s">
        <v>1236</v>
      </c>
      <c r="F206" s="1539">
        <v>7667608917.5500002</v>
      </c>
      <c r="G206" s="1517" t="s">
        <v>2494</v>
      </c>
      <c r="H206" s="1518"/>
      <c r="I206" s="1518" t="s">
        <v>519</v>
      </c>
      <c r="J206" s="1519">
        <v>0</v>
      </c>
      <c r="K206" s="1517"/>
      <c r="L206" s="1519">
        <v>0</v>
      </c>
      <c r="M206" s="1518" t="s">
        <v>3141</v>
      </c>
      <c r="N206" s="1517">
        <v>2011</v>
      </c>
      <c r="O206" s="1518"/>
      <c r="P206" s="1518"/>
      <c r="Q206" s="1518"/>
      <c r="R206" s="1517" t="s">
        <v>12</v>
      </c>
      <c r="S206" s="1520"/>
      <c r="T206" s="1517" t="s">
        <v>43</v>
      </c>
      <c r="U206" s="1572"/>
      <c r="V206" s="1521"/>
      <c r="W206" s="1478" t="str">
        <f t="shared" ref="W206:W211" si="84">LEFT(G206,8)</f>
        <v>04.13.01</v>
      </c>
      <c r="X206" s="1478" t="str">
        <f t="shared" ref="X206:X211" si="85">VLOOKUP(W206,UE,3,FALSE)</f>
        <v>Jalan</v>
      </c>
      <c r="Y206" s="1478">
        <f t="shared" ref="Y206:Y211" si="86">VLOOKUP(W206,UE,4,FALSE)</f>
        <v>10</v>
      </c>
      <c r="Z206" s="1401"/>
      <c r="AA206" s="1444"/>
      <c r="AB206" s="1401"/>
      <c r="AC206" s="1401"/>
      <c r="AD206" s="1401"/>
      <c r="AE206" s="1401"/>
      <c r="AF206" s="1401"/>
      <c r="AG206" s="1479"/>
      <c r="AH206" s="1479"/>
      <c r="AI206" s="1479"/>
      <c r="AJ206" s="1401">
        <f t="shared" ref="AJ206:AJ211" si="87">S206-AI206</f>
        <v>0</v>
      </c>
    </row>
    <row r="207" spans="1:36" s="1390" customFormat="1" ht="35" customHeight="1" x14ac:dyDescent="0.2">
      <c r="A207" s="1390">
        <v>87</v>
      </c>
      <c r="B207" s="1472" t="str">
        <f t="shared" si="83"/>
        <v>SEI. BESAR - BTS. SUMBAR</v>
      </c>
      <c r="C207" s="1478" t="e">
        <f>RIGHT(#REF!,1)</f>
        <v>#REF!</v>
      </c>
      <c r="D207" s="1426"/>
      <c r="E207" s="1429" t="s">
        <v>1222</v>
      </c>
      <c r="F207" s="1539">
        <v>672970829.95844185</v>
      </c>
      <c r="G207" s="1416" t="s">
        <v>2494</v>
      </c>
      <c r="H207" s="1508"/>
      <c r="I207" s="1416" t="s">
        <v>835</v>
      </c>
      <c r="J207" s="1500"/>
      <c r="K207" s="1416"/>
      <c r="L207" s="1500">
        <v>3.3</v>
      </c>
      <c r="M207" s="1429" t="s">
        <v>3131</v>
      </c>
      <c r="N207" s="1416">
        <v>2011</v>
      </c>
      <c r="O207" s="1414"/>
      <c r="P207" s="1414"/>
      <c r="Q207" s="1414"/>
      <c r="R207" s="1416" t="s">
        <v>12</v>
      </c>
      <c r="S207" s="1529"/>
      <c r="T207" s="1416" t="s">
        <v>43</v>
      </c>
      <c r="U207" s="1427"/>
      <c r="V207" s="1477"/>
      <c r="W207" s="1478" t="str">
        <f t="shared" si="84"/>
        <v>04.13.01</v>
      </c>
      <c r="X207" s="1478" t="str">
        <f t="shared" si="85"/>
        <v>Jalan</v>
      </c>
      <c r="Y207" s="1478">
        <f t="shared" si="86"/>
        <v>10</v>
      </c>
      <c r="Z207" s="1401"/>
      <c r="AA207" s="1444"/>
      <c r="AB207" s="1401"/>
      <c r="AC207" s="1401"/>
      <c r="AD207" s="1401"/>
      <c r="AE207" s="1401"/>
      <c r="AF207" s="1401"/>
      <c r="AG207" s="1479"/>
      <c r="AH207" s="1479"/>
      <c r="AI207" s="1479"/>
      <c r="AJ207" s="1401">
        <f t="shared" si="87"/>
        <v>0</v>
      </c>
    </row>
    <row r="208" spans="1:36" s="1390" customFormat="1" ht="35" customHeight="1" x14ac:dyDescent="0.2">
      <c r="A208" s="1390">
        <v>87</v>
      </c>
      <c r="B208" s="1472" t="str">
        <f t="shared" si="83"/>
        <v>SEI. BESAR - BTS. SUMBAR</v>
      </c>
      <c r="C208" s="1478" t="s">
        <v>4763</v>
      </c>
      <c r="D208" s="1426"/>
      <c r="E208" s="1429" t="s">
        <v>1373</v>
      </c>
      <c r="F208" s="1539">
        <v>3760564386.1999998</v>
      </c>
      <c r="G208" s="1517" t="s">
        <v>2494</v>
      </c>
      <c r="H208" s="1518"/>
      <c r="I208" s="1518"/>
      <c r="J208" s="1519">
        <v>0</v>
      </c>
      <c r="K208" s="1517"/>
      <c r="L208" s="1519">
        <v>0</v>
      </c>
      <c r="M208" s="1518" t="s">
        <v>3141</v>
      </c>
      <c r="N208" s="1517">
        <v>2015</v>
      </c>
      <c r="O208" s="1518"/>
      <c r="P208" s="1518"/>
      <c r="Q208" s="1518"/>
      <c r="R208" s="1517" t="s">
        <v>12</v>
      </c>
      <c r="S208" s="1520"/>
      <c r="T208" s="1518"/>
      <c r="U208" s="1572"/>
      <c r="V208" s="1521"/>
      <c r="W208" s="1478" t="str">
        <f t="shared" si="84"/>
        <v>04.13.01</v>
      </c>
      <c r="X208" s="1478" t="str">
        <f t="shared" si="85"/>
        <v>Jalan</v>
      </c>
      <c r="Y208" s="1478">
        <f t="shared" si="86"/>
        <v>10</v>
      </c>
      <c r="Z208" s="1401"/>
      <c r="AA208" s="1444"/>
      <c r="AB208" s="1401"/>
      <c r="AC208" s="1401"/>
      <c r="AD208" s="1401"/>
      <c r="AE208" s="1401"/>
      <c r="AF208" s="1401"/>
      <c r="AG208" s="1479"/>
      <c r="AH208" s="1479"/>
      <c r="AI208" s="1479"/>
      <c r="AJ208" s="1401">
        <f t="shared" si="87"/>
        <v>0</v>
      </c>
    </row>
    <row r="209" spans="1:36" s="1390" customFormat="1" ht="35" customHeight="1" x14ac:dyDescent="0.2">
      <c r="A209" s="1390">
        <v>87</v>
      </c>
      <c r="B209" s="1472" t="str">
        <f t="shared" si="83"/>
        <v>SEI. BESAR - BTS. SUMBAR</v>
      </c>
      <c r="C209" s="1478" t="e">
        <f>RIGHT(#REF!,1)</f>
        <v>#REF!</v>
      </c>
      <c r="D209" s="1426"/>
      <c r="E209" s="1539" t="s">
        <v>1451</v>
      </c>
      <c r="F209" s="1529">
        <v>2398001772.73</v>
      </c>
      <c r="G209" s="1501" t="s">
        <v>2494</v>
      </c>
      <c r="H209" s="1501"/>
      <c r="I209" s="1414"/>
      <c r="J209" s="1526"/>
      <c r="K209" s="1416"/>
      <c r="L209" s="1430"/>
      <c r="M209" s="1429" t="s">
        <v>3260</v>
      </c>
      <c r="N209" s="1501">
        <v>2016</v>
      </c>
      <c r="O209" s="1414"/>
      <c r="P209" s="1414"/>
      <c r="Q209" s="1414"/>
      <c r="R209" s="1501" t="s">
        <v>12</v>
      </c>
      <c r="S209" s="1527"/>
      <c r="T209" s="1528"/>
      <c r="U209" s="1575"/>
      <c r="V209" s="1490"/>
      <c r="W209" s="1478" t="str">
        <f t="shared" si="84"/>
        <v>04.13.01</v>
      </c>
      <c r="X209" s="1478" t="str">
        <f t="shared" si="85"/>
        <v>Jalan</v>
      </c>
      <c r="Y209" s="1478">
        <f t="shared" si="86"/>
        <v>10</v>
      </c>
      <c r="Z209" s="1401"/>
      <c r="AA209" s="1444"/>
      <c r="AB209" s="1401"/>
      <c r="AC209" s="1401"/>
      <c r="AD209" s="1401"/>
      <c r="AE209" s="1401"/>
      <c r="AF209" s="1401"/>
      <c r="AG209" s="1479"/>
      <c r="AH209" s="1479"/>
      <c r="AI209" s="1479"/>
      <c r="AJ209" s="1401">
        <f t="shared" si="87"/>
        <v>0</v>
      </c>
    </row>
    <row r="210" spans="1:36" s="1472" customFormat="1" ht="35" customHeight="1" x14ac:dyDescent="0.2">
      <c r="A210" s="1390">
        <v>87</v>
      </c>
      <c r="B210" s="1472" t="str">
        <f t="shared" si="83"/>
        <v>SEI. BESAR - BTS. SUMBAR</v>
      </c>
      <c r="C210" s="1478" t="e">
        <f>RIGHT(#REF!,1)</f>
        <v>#REF!</v>
      </c>
      <c r="D210" s="1576"/>
      <c r="E210" s="1413" t="s">
        <v>3334</v>
      </c>
      <c r="F210" s="1539">
        <v>2242017862</v>
      </c>
      <c r="G210" s="1416" t="s">
        <v>2494</v>
      </c>
      <c r="H210" s="1414"/>
      <c r="I210" s="1416"/>
      <c r="J210" s="1500"/>
      <c r="K210" s="1416"/>
      <c r="L210" s="1500"/>
      <c r="M210" s="1429" t="s">
        <v>3309</v>
      </c>
      <c r="N210" s="1416">
        <v>2018</v>
      </c>
      <c r="O210" s="1414"/>
      <c r="P210" s="1414"/>
      <c r="Q210" s="1414"/>
      <c r="R210" s="1501" t="s">
        <v>12</v>
      </c>
      <c r="S210" s="1529"/>
      <c r="T210" s="1528"/>
      <c r="U210" s="1575"/>
      <c r="V210" s="1490"/>
      <c r="W210" s="1478" t="str">
        <f t="shared" si="84"/>
        <v>04.13.01</v>
      </c>
      <c r="X210" s="1478" t="str">
        <f t="shared" si="85"/>
        <v>Jalan</v>
      </c>
      <c r="Y210" s="1478">
        <f t="shared" si="86"/>
        <v>10</v>
      </c>
      <c r="Z210" s="1401"/>
      <c r="AA210" s="1444"/>
      <c r="AB210" s="1401"/>
      <c r="AC210" s="1401"/>
      <c r="AD210" s="1401"/>
      <c r="AE210" s="1401"/>
      <c r="AF210" s="1401"/>
      <c r="AG210" s="1479"/>
      <c r="AH210" s="1479"/>
      <c r="AI210" s="1479"/>
      <c r="AJ210" s="1401">
        <f t="shared" si="87"/>
        <v>0</v>
      </c>
    </row>
    <row r="211" spans="1:36" s="1472" customFormat="1" ht="35" customHeight="1" x14ac:dyDescent="0.2">
      <c r="A211" s="1390">
        <v>90</v>
      </c>
      <c r="B211" s="1472" t="str">
        <f t="shared" si="83"/>
        <v>SANGAU - SIBEROBAH</v>
      </c>
      <c r="C211" s="1478" t="e">
        <f>RIGHT(#REF!,1)</f>
        <v>#REF!</v>
      </c>
      <c r="D211" s="1576">
        <v>80</v>
      </c>
      <c r="E211" s="1429" t="s">
        <v>5832</v>
      </c>
      <c r="F211" s="1539"/>
      <c r="G211" s="1517" t="s">
        <v>2494</v>
      </c>
      <c r="H211" s="1518"/>
      <c r="I211" s="1518" t="s">
        <v>519</v>
      </c>
      <c r="J211" s="1533">
        <v>0</v>
      </c>
      <c r="K211" s="1517"/>
      <c r="L211" s="1519">
        <v>1000</v>
      </c>
      <c r="M211" s="1518" t="s">
        <v>3096</v>
      </c>
      <c r="N211" s="1517">
        <v>2007</v>
      </c>
      <c r="O211" s="1518"/>
      <c r="P211" s="1518"/>
      <c r="Q211" s="1518"/>
      <c r="R211" s="1517" t="s">
        <v>12</v>
      </c>
      <c r="S211" s="1520">
        <f>1236351311.7745+F212</f>
        <v>4710684157.9594994</v>
      </c>
      <c r="T211" s="1517" t="s">
        <v>43</v>
      </c>
      <c r="U211" s="1572"/>
      <c r="V211" s="1521"/>
      <c r="W211" s="1478" t="str">
        <f t="shared" si="84"/>
        <v>04.13.01</v>
      </c>
      <c r="X211" s="1478" t="str">
        <f t="shared" si="85"/>
        <v>Jalan</v>
      </c>
      <c r="Y211" s="1478">
        <f t="shared" si="86"/>
        <v>10</v>
      </c>
      <c r="Z211" s="1401"/>
      <c r="AA211" s="1444">
        <f>IF(2013-N211&gt;Y211,10,IF(2013-N211&lt;0,0,2013-N211))</f>
        <v>6</v>
      </c>
      <c r="AB211" s="1401">
        <f>SUM(PERHITUNGAN!U588:U594)</f>
        <v>1759383614.6847098</v>
      </c>
      <c r="AC211" s="1479">
        <f>SUMIF(PERHITUNGAN!A:A,'KIB D'!B211&amp;'KIB D'!$AC$7,PERHITUNGAN!U:U)</f>
        <v>421614363.32496995</v>
      </c>
      <c r="AD211" s="1479">
        <f>SUMIF(PERHITUNGAN!A:A,'KIB D'!B211&amp;'KIB D'!$AD$7,PERHITUNGAN!U:U)</f>
        <v>421614363.32496995</v>
      </c>
      <c r="AE211" s="1479">
        <f>SUMIF(PERHITUNGAN!A:A,'KIB D'!B211&amp;'KIB D'!$AE$7,PERHITUNGAN!U:U)</f>
        <v>421614363.32496995</v>
      </c>
      <c r="AF211" s="1479">
        <f>SUMIF(PERHITUNGAN!A:A,'KIB D'!B211&amp;'KIB D'!$AF$7,PERHITUNGAN!U:U)</f>
        <v>421614363.32496995</v>
      </c>
      <c r="AG211" s="1479">
        <f>SUMIF(PERHITUNGAN!A:A,'KIB D'!B211&amp;'KIB D'!$AG$7,PERHITUNGAN!U:U)</f>
        <v>421614363.32496995</v>
      </c>
      <c r="AH211" s="1479">
        <f>SUMIF(PERHITUNGAN!A:A,'KIB D'!B211&amp;'KIB D'!$AH$7,PERHITUNGAN!U:U)</f>
        <v>421614363.32496995</v>
      </c>
      <c r="AI211" s="1479">
        <f>SUM(AB211:AH211)</f>
        <v>4289069794.6345286</v>
      </c>
      <c r="AJ211" s="1401">
        <f t="shared" si="87"/>
        <v>421614363.32497072</v>
      </c>
    </row>
    <row r="212" spans="1:36" s="1390" customFormat="1" ht="35" customHeight="1" x14ac:dyDescent="0.2">
      <c r="A212" s="1390">
        <v>90</v>
      </c>
      <c r="B212" s="1472" t="str">
        <f t="shared" si="83"/>
        <v>SANGAU - SIBEROBAH</v>
      </c>
      <c r="C212" s="1478"/>
      <c r="D212" s="1426"/>
      <c r="E212" s="1429" t="s">
        <v>5067</v>
      </c>
      <c r="F212" s="1539">
        <v>3474332846.1849999</v>
      </c>
      <c r="G212" s="1416" t="s">
        <v>2494</v>
      </c>
      <c r="H212" s="1508"/>
      <c r="I212" s="1416"/>
      <c r="J212" s="1500"/>
      <c r="K212" s="1416"/>
      <c r="L212" s="1500"/>
      <c r="M212" s="1429"/>
      <c r="N212" s="1416">
        <v>2011</v>
      </c>
      <c r="O212" s="1414"/>
      <c r="P212" s="1414"/>
      <c r="Q212" s="1414"/>
      <c r="R212" s="1501" t="s">
        <v>12</v>
      </c>
      <c r="S212" s="1529"/>
      <c r="T212" s="1416"/>
      <c r="U212" s="1427"/>
      <c r="V212" s="1477"/>
      <c r="W212" s="1478"/>
      <c r="X212" s="1478"/>
      <c r="Y212" s="1478"/>
      <c r="Z212" s="1401"/>
      <c r="AA212" s="1444"/>
      <c r="AB212" s="1401"/>
      <c r="AC212" s="1401"/>
      <c r="AD212" s="1401"/>
      <c r="AE212" s="1401"/>
      <c r="AF212" s="1401"/>
      <c r="AG212" s="1479"/>
      <c r="AH212" s="1479"/>
      <c r="AI212" s="1479"/>
      <c r="AJ212" s="1401"/>
    </row>
    <row r="213" spans="1:36" s="1472" customFormat="1" ht="35" customHeight="1" x14ac:dyDescent="0.15">
      <c r="A213" s="1390">
        <v>91</v>
      </c>
      <c r="B213" s="1472" t="str">
        <f t="shared" si="83"/>
        <v>LUBUK JAMBI - SAIK</v>
      </c>
      <c r="C213" s="1516" t="s">
        <v>4247</v>
      </c>
      <c r="D213" s="1576">
        <v>81</v>
      </c>
      <c r="E213" s="1429" t="s">
        <v>5833</v>
      </c>
      <c r="F213" s="1539"/>
      <c r="G213" s="1517" t="s">
        <v>2494</v>
      </c>
      <c r="H213" s="1518"/>
      <c r="I213" s="1518" t="s">
        <v>519</v>
      </c>
      <c r="J213" s="1533">
        <v>0</v>
      </c>
      <c r="K213" s="1517"/>
      <c r="L213" s="1519">
        <v>0</v>
      </c>
      <c r="M213" s="1518" t="s">
        <v>3158</v>
      </c>
      <c r="N213" s="1517">
        <v>2012</v>
      </c>
      <c r="O213" s="1518"/>
      <c r="P213" s="1518"/>
      <c r="Q213" s="1518"/>
      <c r="R213" s="1517" t="s">
        <v>12</v>
      </c>
      <c r="S213" s="1520">
        <f>11987663158.4603+F214+F215</f>
        <v>26093064227.160301</v>
      </c>
      <c r="T213" s="1517" t="s">
        <v>43</v>
      </c>
      <c r="U213" s="1572"/>
      <c r="V213" s="1521"/>
      <c r="W213" s="1522" t="str">
        <f>LEFT(G213,8)</f>
        <v>04.13.01</v>
      </c>
      <c r="X213" s="1478" t="str">
        <f>VLOOKUP(W213,UE,3,FALSE)</f>
        <v>Jalan</v>
      </c>
      <c r="Y213" s="1478">
        <f>VLOOKUP(W213,UE,4,FALSE)</f>
        <v>10</v>
      </c>
      <c r="Z213" s="1401"/>
      <c r="AA213" s="1444">
        <f>IF(2013-N213&gt;Y213,10,IF(2013-N213&lt;0,0,2013-N213))</f>
        <v>1</v>
      </c>
      <c r="AB213" s="1401">
        <f>SUM(PERHITUNGAN!U610:U611)</f>
        <v>2397532631.69206</v>
      </c>
      <c r="AC213" s="1479">
        <f>SUMIF(PERHITUNGAN!A:A,'KIB D'!B213&amp;'KIB D'!$AC$7,PERHITUNGAN!U:U)</f>
        <v>1198766315.84603</v>
      </c>
      <c r="AD213" s="1479">
        <f>SUMIF(PERHITUNGAN!A:A,'KIB D'!B213&amp;'KIB D'!$AD$7,PERHITUNGAN!U:U)</f>
        <v>1198766315.84603</v>
      </c>
      <c r="AE213" s="1479">
        <f>SUMIF(PERHITUNGAN!A:A,'KIB D'!B213&amp;'KIB D'!$AE$7,PERHITUNGAN!U:U)</f>
        <v>1533417073.7776179</v>
      </c>
      <c r="AF213" s="1479">
        <f>SUMIF(PERHITUNGAN!A:A,'KIB D'!B213&amp;'KIB D'!$AF$7,PERHITUNGAN!U:U)</f>
        <v>1533417073.7776179</v>
      </c>
      <c r="AG213" s="1479">
        <f>SUMIF(PERHITUNGAN!A:A,'KIB D'!B213&amp;'KIB D'!$AG$7,PERHITUNGAN!U:U)</f>
        <v>1823116481.6220944</v>
      </c>
      <c r="AH213" s="1479">
        <f>SUMIF(PERHITUNGAN!A:A,'KIB D'!B213&amp;'KIB D'!$AH$7,PERHITUNGAN!U:U)</f>
        <v>1823116481.6220944</v>
      </c>
      <c r="AI213" s="1479">
        <f>SUM(AB213:AH213)</f>
        <v>11508132374.183546</v>
      </c>
      <c r="AJ213" s="1401">
        <f>S213-AI213</f>
        <v>14584931852.976755</v>
      </c>
    </row>
    <row r="214" spans="1:36" s="1390" customFormat="1" ht="35" customHeight="1" x14ac:dyDescent="0.15">
      <c r="A214" s="1390">
        <v>91</v>
      </c>
      <c r="B214" s="1472" t="str">
        <f t="shared" si="83"/>
        <v>LUBUK JAMBI - SAIK</v>
      </c>
      <c r="C214" s="1516" t="s">
        <v>4247</v>
      </c>
      <c r="D214" s="1426"/>
      <c r="E214" s="1429" t="s">
        <v>1436</v>
      </c>
      <c r="F214" s="1539">
        <v>8141572842.6999998</v>
      </c>
      <c r="G214" s="1517" t="s">
        <v>2494</v>
      </c>
      <c r="H214" s="1518"/>
      <c r="I214" s="1518"/>
      <c r="J214" s="1519">
        <v>0</v>
      </c>
      <c r="K214" s="1517"/>
      <c r="L214" s="1519">
        <v>0</v>
      </c>
      <c r="M214" s="1518" t="s">
        <v>3255</v>
      </c>
      <c r="N214" s="1517">
        <v>2016</v>
      </c>
      <c r="O214" s="1518"/>
      <c r="P214" s="1518"/>
      <c r="Q214" s="1518"/>
      <c r="R214" s="1517" t="s">
        <v>12</v>
      </c>
      <c r="S214" s="1520"/>
      <c r="T214" s="1518"/>
      <c r="U214" s="1572"/>
      <c r="V214" s="1521"/>
      <c r="W214" s="1522" t="str">
        <f>LEFT(G214,8)</f>
        <v>04.13.01</v>
      </c>
      <c r="X214" s="1478" t="str">
        <f>VLOOKUP(W214,UE,3,FALSE)</f>
        <v>Jalan</v>
      </c>
      <c r="Y214" s="1478">
        <f>VLOOKUP(W214,UE,4,FALSE)</f>
        <v>10</v>
      </c>
      <c r="Z214" s="1401"/>
      <c r="AA214" s="1444">
        <f>IF(2013-N214&gt;Y214,10,IF(2013-N214&lt;0,0,2013-N214))</f>
        <v>0</v>
      </c>
      <c r="AB214" s="1401"/>
      <c r="AC214" s="1401"/>
      <c r="AD214" s="1401"/>
      <c r="AE214" s="1401"/>
      <c r="AF214" s="1401"/>
      <c r="AG214" s="1479"/>
      <c r="AH214" s="1479"/>
      <c r="AI214" s="1479"/>
      <c r="AJ214" s="1401">
        <f>S214-AI214</f>
        <v>0</v>
      </c>
    </row>
    <row r="215" spans="1:36" s="1390" customFormat="1" ht="35" customHeight="1" x14ac:dyDescent="0.15">
      <c r="A215" s="1390">
        <v>91</v>
      </c>
      <c r="B215" s="1472" t="str">
        <f t="shared" si="83"/>
        <v>LUBUK JAMBI - SAIK</v>
      </c>
      <c r="C215" s="1516" t="s">
        <v>4247</v>
      </c>
      <c r="D215" s="1426"/>
      <c r="E215" s="1429" t="s">
        <v>3337</v>
      </c>
      <c r="F215" s="1539">
        <v>5963828226</v>
      </c>
      <c r="G215" s="1517" t="s">
        <v>2494</v>
      </c>
      <c r="H215" s="1518"/>
      <c r="I215" s="1518"/>
      <c r="J215" s="1519">
        <v>0</v>
      </c>
      <c r="K215" s="1517"/>
      <c r="L215" s="1519">
        <v>0</v>
      </c>
      <c r="M215" s="1518" t="s">
        <v>3158</v>
      </c>
      <c r="N215" s="1517">
        <v>2018</v>
      </c>
      <c r="O215" s="1518"/>
      <c r="P215" s="1518"/>
      <c r="Q215" s="1518"/>
      <c r="R215" s="1517" t="s">
        <v>12</v>
      </c>
      <c r="S215" s="1520"/>
      <c r="T215" s="1518"/>
      <c r="U215" s="1572"/>
      <c r="V215" s="1521"/>
      <c r="W215" s="1522" t="str">
        <f>LEFT(G215,8)</f>
        <v>04.13.01</v>
      </c>
      <c r="X215" s="1478" t="str">
        <f>VLOOKUP(W215,UE,3,FALSE)</f>
        <v>Jalan</v>
      </c>
      <c r="Y215" s="1478">
        <f>VLOOKUP(W215,UE,4,FALSE)</f>
        <v>10</v>
      </c>
      <c r="Z215" s="1401"/>
      <c r="AA215" s="1444">
        <f>IF(2013-N215&gt;Y215,10,IF(2013-N215&lt;0,0,2013-N215))</f>
        <v>0</v>
      </c>
      <c r="AB215" s="1401"/>
      <c r="AC215" s="1401"/>
      <c r="AD215" s="1401"/>
      <c r="AE215" s="1401"/>
      <c r="AF215" s="1401"/>
      <c r="AG215" s="1479"/>
      <c r="AH215" s="1479"/>
      <c r="AI215" s="1479"/>
      <c r="AJ215" s="1401">
        <f>S215-AI215</f>
        <v>0</v>
      </c>
    </row>
    <row r="216" spans="1:36" s="1390" customFormat="1" ht="35" customHeight="1" x14ac:dyDescent="0.2">
      <c r="A216" s="1390">
        <v>92</v>
      </c>
      <c r="B216" s="1472" t="s">
        <v>3625</v>
      </c>
      <c r="C216" s="1478"/>
      <c r="D216" s="1426">
        <v>82</v>
      </c>
      <c r="E216" s="1429" t="s">
        <v>5834</v>
      </c>
      <c r="F216" s="1539"/>
      <c r="G216" s="1517" t="s">
        <v>2494</v>
      </c>
      <c r="H216" s="1518"/>
      <c r="I216" s="1518"/>
      <c r="J216" s="1533"/>
      <c r="K216" s="1517"/>
      <c r="L216" s="1519"/>
      <c r="M216" s="1518" t="s">
        <v>3119</v>
      </c>
      <c r="N216" s="1517">
        <v>2007</v>
      </c>
      <c r="O216" s="1518"/>
      <c r="P216" s="1518"/>
      <c r="Q216" s="1518"/>
      <c r="R216" s="1501" t="s">
        <v>12</v>
      </c>
      <c r="S216" s="1520">
        <f>318168883.042123+F218+F219+F220+F217+F221</f>
        <v>12355948320.001995</v>
      </c>
      <c r="T216" s="1518"/>
      <c r="U216" s="1572"/>
      <c r="V216" s="1521"/>
      <c r="W216" s="1522" t="str">
        <f>LEFT(G216,8)</f>
        <v>04.13.01</v>
      </c>
      <c r="X216" s="1478" t="str">
        <f>VLOOKUP(W216,UE,3,FALSE)</f>
        <v>Jalan</v>
      </c>
      <c r="Y216" s="1478">
        <f>VLOOKUP(W216,UE,4,FALSE)</f>
        <v>10</v>
      </c>
      <c r="Z216" s="1401"/>
      <c r="AA216" s="1444">
        <f>IF(2013-N216&gt;Y216,10,IF(2013-N216&lt;0,0,2013-N216))</f>
        <v>6</v>
      </c>
      <c r="AB216" s="1401">
        <f>SUM(PERHITUNGAN!U630:U635)</f>
        <v>612341586.286659</v>
      </c>
      <c r="AC216" s="1479">
        <f>SUMIF(PERHITUNGAN!A:A,'KIB D'!B216&amp;'KIB D'!$AC$7,PERHITUNGAN!U:U)</f>
        <v>327816744.81658608</v>
      </c>
      <c r="AD216" s="1479">
        <f>SUMIF(PERHITUNGAN!A:A,'KIB D'!B216&amp;'KIB D'!$AD$7,PERHITUNGAN!U:U)</f>
        <v>470593994.47326887</v>
      </c>
      <c r="AE216" s="1479">
        <f>SUMIF(PERHITUNGAN!A:A,'KIB D'!B216&amp;'KIB D'!$AE$7,PERHITUNGAN!U:U)</f>
        <v>891761624.44254816</v>
      </c>
      <c r="AF216" s="1479">
        <f>SUMIF(PERHITUNGAN!A:A,'KIB D'!B216&amp;'KIB D'!$AF$7,PERHITUNGAN!U:U)</f>
        <v>891761624.44254816</v>
      </c>
      <c r="AG216" s="1479">
        <f>SUMIF(PERHITUNGAN!A:A,'KIB D'!B216&amp;'KIB D'!$AG$7,PERHITUNGAN!U:U)</f>
        <v>891761624.44254816</v>
      </c>
      <c r="AH216" s="1479">
        <f>SUMIF(PERHITUNGAN!A:A,'KIB D'!B216&amp;'KIB D'!$AH$7,PERHITUNGAN!U:U)</f>
        <v>826991112.10978389</v>
      </c>
      <c r="AI216" s="1479">
        <f>SUM(AB216:AH216)</f>
        <v>4913028311.0139427</v>
      </c>
      <c r="AJ216" s="1401">
        <f>S216-AI216</f>
        <v>7442920008.9880524</v>
      </c>
    </row>
    <row r="217" spans="1:36" s="1390" customFormat="1" ht="35" customHeight="1" x14ac:dyDescent="0.2">
      <c r="A217" s="1390">
        <v>92</v>
      </c>
      <c r="B217" s="1472" t="str">
        <f t="shared" ref="B217:B280" si="88">VLOOKUP(A217,RUAS,2,FALSE)</f>
        <v>SIMP. 4 PANGKALAN - MUARA PETAI</v>
      </c>
      <c r="C217" s="1478"/>
      <c r="D217" s="1426"/>
      <c r="E217" s="1586" t="s">
        <v>5125</v>
      </c>
      <c r="F217" s="1539">
        <v>219063911.59381068</v>
      </c>
      <c r="G217" s="1416" t="s">
        <v>2494</v>
      </c>
      <c r="H217" s="1508"/>
      <c r="I217" s="1416"/>
      <c r="J217" s="1500"/>
      <c r="K217" s="1416"/>
      <c r="L217" s="1500"/>
      <c r="M217" s="1538" t="s">
        <v>5126</v>
      </c>
      <c r="N217" s="1416">
        <v>2008</v>
      </c>
      <c r="O217" s="1414"/>
      <c r="P217" s="1523" t="s">
        <v>5084</v>
      </c>
      <c r="Q217" s="1523"/>
      <c r="R217" s="1523" t="s">
        <v>12</v>
      </c>
      <c r="S217" s="1524"/>
      <c r="T217" s="1525" t="s">
        <v>43</v>
      </c>
      <c r="U217" s="1574"/>
      <c r="V217" s="1477"/>
      <c r="W217" s="1478"/>
      <c r="X217" s="1478"/>
      <c r="Y217" s="1478"/>
      <c r="Z217" s="1401"/>
      <c r="AA217" s="1444"/>
      <c r="AB217" s="1401"/>
      <c r="AC217" s="1401"/>
      <c r="AD217" s="1401"/>
      <c r="AE217" s="1401"/>
      <c r="AF217" s="1401"/>
      <c r="AG217" s="1479"/>
      <c r="AH217" s="1479"/>
      <c r="AI217" s="1479"/>
      <c r="AJ217" s="1401"/>
    </row>
    <row r="218" spans="1:36" s="1390" customFormat="1" ht="35" customHeight="1" x14ac:dyDescent="0.15">
      <c r="A218" s="1390">
        <v>92</v>
      </c>
      <c r="B218" s="1472" t="str">
        <f t="shared" si="88"/>
        <v>SIMP. 4 PANGKALAN - MUARA PETAI</v>
      </c>
      <c r="C218" s="1516" t="s">
        <v>4247</v>
      </c>
      <c r="D218" s="1426"/>
      <c r="E218" s="1429" t="s">
        <v>1283</v>
      </c>
      <c r="F218" s="1539">
        <v>3025459495</v>
      </c>
      <c r="G218" s="1517" t="s">
        <v>2494</v>
      </c>
      <c r="H218" s="1518"/>
      <c r="I218" s="1518" t="s">
        <v>519</v>
      </c>
      <c r="J218" s="1519">
        <v>0</v>
      </c>
      <c r="K218" s="1517"/>
      <c r="L218" s="1519">
        <v>0</v>
      </c>
      <c r="M218" s="1518" t="s">
        <v>3173</v>
      </c>
      <c r="N218" s="1517">
        <v>2013</v>
      </c>
      <c r="O218" s="1518"/>
      <c r="P218" s="1518"/>
      <c r="Q218" s="1518"/>
      <c r="R218" s="1517" t="s">
        <v>12</v>
      </c>
      <c r="S218" s="1520"/>
      <c r="T218" s="1518"/>
      <c r="U218" s="1572"/>
      <c r="V218" s="1521"/>
      <c r="W218" s="1522" t="str">
        <f>LEFT(G218,8)</f>
        <v>04.13.01</v>
      </c>
      <c r="X218" s="1478" t="str">
        <f>VLOOKUP(W218,UE,3,FALSE)</f>
        <v>Jalan</v>
      </c>
      <c r="Y218" s="1478">
        <f>VLOOKUP(W218,UE,4,FALSE)</f>
        <v>10</v>
      </c>
      <c r="Z218" s="1401"/>
      <c r="AA218" s="1444">
        <f>IF(2013-N218&gt;Y218,10,IF(2013-N218&lt;0,0,2013-N218))</f>
        <v>0</v>
      </c>
      <c r="AB218" s="1401"/>
      <c r="AC218" s="1401"/>
      <c r="AD218" s="1401"/>
      <c r="AE218" s="1401"/>
      <c r="AF218" s="1401"/>
      <c r="AG218" s="1479"/>
      <c r="AH218" s="1479"/>
      <c r="AI218" s="1479"/>
      <c r="AJ218" s="1401"/>
    </row>
    <row r="219" spans="1:36" s="1390" customFormat="1" ht="35" customHeight="1" x14ac:dyDescent="0.2">
      <c r="A219" s="1390">
        <v>92</v>
      </c>
      <c r="B219" s="1472" t="str">
        <f t="shared" si="88"/>
        <v>SIMP. 4 PANGKALAN - MUARA PETAI</v>
      </c>
      <c r="C219" s="1478" t="e">
        <f>RIGHT(#REF!,1)</f>
        <v>#REF!</v>
      </c>
      <c r="D219" s="1426"/>
      <c r="E219" s="1429" t="s">
        <v>1381</v>
      </c>
      <c r="F219" s="1529">
        <v>2083405986.2</v>
      </c>
      <c r="G219" s="1501" t="s">
        <v>2494</v>
      </c>
      <c r="H219" s="1501"/>
      <c r="I219" s="1414"/>
      <c r="J219" s="1526"/>
      <c r="K219" s="1416"/>
      <c r="L219" s="1430"/>
      <c r="M219" s="1429" t="s">
        <v>3194</v>
      </c>
      <c r="N219" s="1501">
        <v>2015</v>
      </c>
      <c r="O219" s="1414"/>
      <c r="P219" s="1414"/>
      <c r="Q219" s="1414"/>
      <c r="R219" s="1501" t="s">
        <v>12</v>
      </c>
      <c r="S219" s="1527"/>
      <c r="T219" s="1528"/>
      <c r="U219" s="1575"/>
      <c r="V219" s="1490"/>
      <c r="W219" s="1478" t="str">
        <f>LEFT(G219,8)</f>
        <v>04.13.01</v>
      </c>
      <c r="X219" s="1478" t="str">
        <f>VLOOKUP(W219,UE,3,FALSE)</f>
        <v>Jalan</v>
      </c>
      <c r="Y219" s="1478">
        <f>VLOOKUP(W219,UE,4,FALSE)</f>
        <v>10</v>
      </c>
      <c r="Z219" s="1401">
        <f>S219/Y219</f>
        <v>0</v>
      </c>
      <c r="AA219" s="1444">
        <f>IF(2013-N219+1&gt;Y219,Y219,IF(2013-N219+1&lt;0,0,2013-N219+1))</f>
        <v>0</v>
      </c>
      <c r="AB219" s="1401"/>
      <c r="AC219" s="1401"/>
      <c r="AD219" s="1401"/>
      <c r="AE219" s="1401"/>
      <c r="AF219" s="1401"/>
      <c r="AG219" s="1479"/>
      <c r="AH219" s="1479"/>
      <c r="AI219" s="1479"/>
      <c r="AJ219" s="1401">
        <f>S219-AI219</f>
        <v>0</v>
      </c>
    </row>
    <row r="220" spans="1:36" s="1472" customFormat="1" ht="35" customHeight="1" x14ac:dyDescent="0.15">
      <c r="A220" s="1390">
        <v>92</v>
      </c>
      <c r="B220" s="1472" t="str">
        <f t="shared" si="88"/>
        <v>SIMP. 4 PANGKALAN - MUARA PETAI</v>
      </c>
      <c r="C220" s="1516" t="s">
        <v>4247</v>
      </c>
      <c r="D220" s="1576"/>
      <c r="E220" s="1429" t="s">
        <v>1452</v>
      </c>
      <c r="F220" s="1539">
        <v>4682270294.1660614</v>
      </c>
      <c r="G220" s="1517" t="s">
        <v>2494</v>
      </c>
      <c r="H220" s="1518"/>
      <c r="I220" s="1518"/>
      <c r="J220" s="1519">
        <v>0</v>
      </c>
      <c r="K220" s="1517"/>
      <c r="L220" s="1519">
        <v>0</v>
      </c>
      <c r="M220" s="1518" t="s">
        <v>3173</v>
      </c>
      <c r="N220" s="1517">
        <v>2016</v>
      </c>
      <c r="O220" s="1518"/>
      <c r="P220" s="1518"/>
      <c r="Q220" s="1518"/>
      <c r="R220" s="1517" t="s">
        <v>12</v>
      </c>
      <c r="S220" s="1520"/>
      <c r="T220" s="1518"/>
      <c r="U220" s="1572"/>
      <c r="V220" s="1521"/>
      <c r="W220" s="1522" t="str">
        <f>LEFT(G220,8)</f>
        <v>04.13.01</v>
      </c>
      <c r="X220" s="1478" t="str">
        <f>VLOOKUP(W220,UE,3,FALSE)</f>
        <v>Jalan</v>
      </c>
      <c r="Y220" s="1478">
        <f>VLOOKUP(W220,UE,4,FALSE)</f>
        <v>10</v>
      </c>
      <c r="Z220" s="1401"/>
      <c r="AA220" s="1444">
        <f>IF(2013-N220&gt;Y220,10,IF(2013-N220&lt;0,0,2013-N220))</f>
        <v>0</v>
      </c>
      <c r="AB220" s="1401"/>
      <c r="AC220" s="1401"/>
      <c r="AD220" s="1401"/>
      <c r="AE220" s="1401"/>
      <c r="AF220" s="1401"/>
      <c r="AG220" s="1479"/>
      <c r="AH220" s="1479"/>
      <c r="AI220" s="1479"/>
      <c r="AJ220" s="1401">
        <f>S220-AI220</f>
        <v>0</v>
      </c>
    </row>
    <row r="221" spans="1:36" s="1472" customFormat="1" ht="35" customHeight="1" x14ac:dyDescent="0.15">
      <c r="A221" s="1390">
        <v>92</v>
      </c>
      <c r="B221" s="1472" t="str">
        <f t="shared" si="88"/>
        <v>SIMP. 4 PANGKALAN - MUARA PETAI</v>
      </c>
      <c r="C221" s="1516"/>
      <c r="D221" s="1576"/>
      <c r="E221" s="1429" t="s">
        <v>5477</v>
      </c>
      <c r="F221" s="1539">
        <v>2027579750</v>
      </c>
      <c r="G221" s="1517" t="s">
        <v>2494</v>
      </c>
      <c r="H221" s="1518"/>
      <c r="I221" s="1518"/>
      <c r="J221" s="1519">
        <v>1000</v>
      </c>
      <c r="K221" s="1517">
        <v>4</v>
      </c>
      <c r="L221" s="1519">
        <f>J221*K221</f>
        <v>4000</v>
      </c>
      <c r="M221" s="1518" t="s">
        <v>3625</v>
      </c>
      <c r="N221" s="1517">
        <v>2019</v>
      </c>
      <c r="O221" s="1518" t="s">
        <v>5478</v>
      </c>
      <c r="P221" s="1518" t="s">
        <v>433</v>
      </c>
      <c r="Q221" s="1518"/>
      <c r="R221" s="1517" t="s">
        <v>12</v>
      </c>
      <c r="S221" s="1520"/>
      <c r="T221" s="1518"/>
      <c r="U221" s="1572"/>
      <c r="V221" s="1521"/>
      <c r="W221" s="1522"/>
      <c r="X221" s="1478"/>
      <c r="Y221" s="1478"/>
      <c r="Z221" s="1401"/>
      <c r="AA221" s="1444"/>
      <c r="AB221" s="1401"/>
      <c r="AC221" s="1401"/>
      <c r="AD221" s="1401"/>
      <c r="AE221" s="1401"/>
      <c r="AF221" s="1401"/>
      <c r="AG221" s="1479"/>
      <c r="AH221" s="1479"/>
      <c r="AI221" s="1479"/>
      <c r="AJ221" s="1401"/>
    </row>
    <row r="222" spans="1:36" s="1472" customFormat="1" ht="35" customHeight="1" x14ac:dyDescent="0.15">
      <c r="A222" s="1390">
        <v>93</v>
      </c>
      <c r="B222" s="1472" t="str">
        <f t="shared" si="88"/>
        <v>SIMP. KINALI - BUKIT KAUMAN</v>
      </c>
      <c r="C222" s="1516" t="s">
        <v>4247</v>
      </c>
      <c r="D222" s="1576">
        <v>83</v>
      </c>
      <c r="E222" s="1429" t="s">
        <v>5835</v>
      </c>
      <c r="F222" s="1539"/>
      <c r="G222" s="1517" t="s">
        <v>2494</v>
      </c>
      <c r="H222" s="1518"/>
      <c r="I222" s="1518" t="s">
        <v>479</v>
      </c>
      <c r="J222" s="1533" t="s">
        <v>480</v>
      </c>
      <c r="K222" s="1517">
        <v>7</v>
      </c>
      <c r="L222" s="1519">
        <v>28000</v>
      </c>
      <c r="M222" s="1518" t="s">
        <v>681</v>
      </c>
      <c r="N222" s="1517">
        <v>2001</v>
      </c>
      <c r="O222" s="1518"/>
      <c r="P222" s="1518"/>
      <c r="Q222" s="1518" t="s">
        <v>482</v>
      </c>
      <c r="R222" s="1517" t="s">
        <v>12</v>
      </c>
      <c r="S222" s="1520">
        <f>3640000000+F223</f>
        <v>5296251100</v>
      </c>
      <c r="T222" s="1517" t="s">
        <v>43</v>
      </c>
      <c r="U222" s="1572"/>
      <c r="V222" s="1521"/>
      <c r="W222" s="1522" t="str">
        <f t="shared" ref="W222:W232" si="89">LEFT(G222,8)</f>
        <v>04.13.01</v>
      </c>
      <c r="X222" s="1478" t="str">
        <f t="shared" ref="X222:X232" si="90">VLOOKUP(W222,UE,3,FALSE)</f>
        <v>Jalan</v>
      </c>
      <c r="Y222" s="1478">
        <f t="shared" ref="Y222:Y232" si="91">VLOOKUP(W222,UE,4,FALSE)</f>
        <v>10</v>
      </c>
      <c r="Z222" s="1401"/>
      <c r="AA222" s="1444">
        <f>IF(2013-N222&gt;Y222,10,IF(2013-N222&lt;0,0,2013-N222))</f>
        <v>10</v>
      </c>
      <c r="AB222" s="1401">
        <f>SUM(PERHITUNGAN!U653:U655)</f>
        <v>3640000000</v>
      </c>
      <c r="AC222" s="1479">
        <f>SUMIF(PERHITUNGAN!A:A,'KIB D'!B222&amp;'KIB D'!$AC$7,PERHITUNGAN!U:U)</f>
        <v>0</v>
      </c>
      <c r="AD222" s="1479">
        <f>SUMIF(PERHITUNGAN!A:A,'KIB D'!B222&amp;'KIB D'!$AD$7,PERHITUNGAN!U:U)</f>
        <v>165625110</v>
      </c>
      <c r="AE222" s="1479">
        <f>SUMIF(PERHITUNGAN!A:A,'KIB D'!B222&amp;'KIB D'!$AE$7,PERHITUNGAN!U:U)</f>
        <v>165625110</v>
      </c>
      <c r="AF222" s="1479">
        <f>SUMIF(PERHITUNGAN!A:A,'KIB D'!B222&amp;'KIB D'!$AF$7,PERHITUNGAN!U:U)</f>
        <v>165625110</v>
      </c>
      <c r="AG222" s="1479">
        <f>SUMIF(PERHITUNGAN!A:A,'KIB D'!B222&amp;'KIB D'!$AG$7,PERHITUNGAN!U:U)</f>
        <v>165625110</v>
      </c>
      <c r="AH222" s="1479">
        <f>SUMIF(PERHITUNGAN!A:A,'KIB D'!B222&amp;'KIB D'!$AH$7,PERHITUNGAN!U:U)</f>
        <v>165625110</v>
      </c>
      <c r="AI222" s="1479">
        <f>SUM(AB222:AH222)</f>
        <v>4468125550</v>
      </c>
      <c r="AJ222" s="1401">
        <f t="shared" ref="AJ222:AJ232" si="92">S222-AI222</f>
        <v>828125550</v>
      </c>
    </row>
    <row r="223" spans="1:36" s="1390" customFormat="1" ht="35" customHeight="1" x14ac:dyDescent="0.15">
      <c r="A223" s="1390">
        <v>93</v>
      </c>
      <c r="B223" s="1472" t="str">
        <f t="shared" si="88"/>
        <v>SIMP. KINALI - BUKIT KAUMAN</v>
      </c>
      <c r="C223" s="1516" t="s">
        <v>4247</v>
      </c>
      <c r="D223" s="1426"/>
      <c r="E223" s="1429" t="s">
        <v>1372</v>
      </c>
      <c r="F223" s="1539">
        <v>1656251100</v>
      </c>
      <c r="G223" s="1517" t="s">
        <v>2494</v>
      </c>
      <c r="H223" s="1518"/>
      <c r="I223" s="1518"/>
      <c r="J223" s="1519">
        <v>0</v>
      </c>
      <c r="K223" s="1517"/>
      <c r="L223" s="1519">
        <v>0</v>
      </c>
      <c r="M223" s="1518" t="s">
        <v>681</v>
      </c>
      <c r="N223" s="1517">
        <v>2015</v>
      </c>
      <c r="O223" s="1518"/>
      <c r="P223" s="1518"/>
      <c r="Q223" s="1518"/>
      <c r="R223" s="1517" t="s">
        <v>12</v>
      </c>
      <c r="S223" s="1520"/>
      <c r="T223" s="1518"/>
      <c r="U223" s="1572"/>
      <c r="V223" s="1521"/>
      <c r="W223" s="1522" t="str">
        <f t="shared" si="89"/>
        <v>04.13.01</v>
      </c>
      <c r="X223" s="1478" t="str">
        <f t="shared" si="90"/>
        <v>Jalan</v>
      </c>
      <c r="Y223" s="1478">
        <f t="shared" si="91"/>
        <v>10</v>
      </c>
      <c r="Z223" s="1401"/>
      <c r="AA223" s="1444">
        <f>IF(2013-N223&gt;Y223,10,IF(2013-N223&lt;0,0,2013-N223))</f>
        <v>0</v>
      </c>
      <c r="AB223" s="1401"/>
      <c r="AC223" s="1401"/>
      <c r="AD223" s="1401"/>
      <c r="AE223" s="1401"/>
      <c r="AF223" s="1401"/>
      <c r="AG223" s="1479"/>
      <c r="AH223" s="1479"/>
      <c r="AI223" s="1479"/>
      <c r="AJ223" s="1401">
        <f t="shared" si="92"/>
        <v>0</v>
      </c>
    </row>
    <row r="224" spans="1:36" s="1390" customFormat="1" ht="35" customHeight="1" x14ac:dyDescent="0.2">
      <c r="A224" s="1390">
        <v>95</v>
      </c>
      <c r="B224" s="1472" t="str">
        <f t="shared" si="88"/>
        <v>KASANG - BUKIT KAUMAN</v>
      </c>
      <c r="C224" s="1478" t="e">
        <f>RIGHT(#REF!,1)</f>
        <v>#REF!</v>
      </c>
      <c r="D224" s="1426">
        <v>84</v>
      </c>
      <c r="E224" s="1429" t="s">
        <v>529</v>
      </c>
      <c r="F224" s="1539"/>
      <c r="G224" s="1517" t="s">
        <v>2494</v>
      </c>
      <c r="H224" s="1518"/>
      <c r="I224" s="1518" t="s">
        <v>8</v>
      </c>
      <c r="J224" s="1533">
        <v>4000</v>
      </c>
      <c r="K224" s="1517">
        <v>7</v>
      </c>
      <c r="L224" s="1519">
        <v>28000</v>
      </c>
      <c r="M224" s="1518" t="s">
        <v>677</v>
      </c>
      <c r="N224" s="1517">
        <v>2001</v>
      </c>
      <c r="O224" s="1518"/>
      <c r="P224" s="1518"/>
      <c r="Q224" s="1518" t="s">
        <v>384</v>
      </c>
      <c r="R224" s="1517" t="s">
        <v>12</v>
      </c>
      <c r="S224" s="1520">
        <v>720000000</v>
      </c>
      <c r="T224" s="1517" t="s">
        <v>43</v>
      </c>
      <c r="U224" s="1572"/>
      <c r="V224" s="1521"/>
      <c r="W224" s="1478" t="str">
        <f t="shared" si="89"/>
        <v>04.13.01</v>
      </c>
      <c r="X224" s="1478" t="str">
        <f t="shared" si="90"/>
        <v>Jalan</v>
      </c>
      <c r="Y224" s="1478">
        <f t="shared" si="91"/>
        <v>10</v>
      </c>
      <c r="Z224" s="1401">
        <f>S224/Y224</f>
        <v>72000000</v>
      </c>
      <c r="AA224" s="1444">
        <f>IF(2013-N224+1&gt;Y224,Y224,IF(2013-N224+1&lt;0,0,2013-N224+1))</f>
        <v>10</v>
      </c>
      <c r="AB224" s="1401">
        <f>IF(AA224&gt;Y224,S224,Z224*AA224)</f>
        <v>720000000</v>
      </c>
      <c r="AC224" s="1401">
        <f>IF(S224=AB224,0,Z224)</f>
        <v>0</v>
      </c>
      <c r="AD224" s="1401">
        <f>IF(S224=AB224+AC224,0,Z224)</f>
        <v>0</v>
      </c>
      <c r="AE224" s="1401">
        <f>IF(S224=AB224+AC224+AD224,0,Z224)</f>
        <v>0</v>
      </c>
      <c r="AF224" s="1401">
        <f>IF(S224=AC224+AD224+AE224+AB224,0,Z224)</f>
        <v>0</v>
      </c>
      <c r="AG224" s="1479">
        <f>IF(S224=AC224+AD224+AE224+AB224+AF224,0,Z224)</f>
        <v>0</v>
      </c>
      <c r="AH224" s="1479">
        <f>IF(S224=AC224+AD224+AE224+AB224+AF224+AG224,0,Z224)</f>
        <v>0</v>
      </c>
      <c r="AI224" s="1479">
        <f>SUM(AB224:AH224)</f>
        <v>720000000</v>
      </c>
      <c r="AJ224" s="1401">
        <f t="shared" si="92"/>
        <v>0</v>
      </c>
    </row>
    <row r="225" spans="1:36" s="1390" customFormat="1" ht="35" customHeight="1" x14ac:dyDescent="0.2">
      <c r="A225" s="1390">
        <v>96</v>
      </c>
      <c r="B225" s="1472" t="str">
        <f t="shared" si="88"/>
        <v>KASANG - SIMP. 4 CENGAR</v>
      </c>
      <c r="C225" s="1478" t="e">
        <f>RIGHT(#REF!,1)</f>
        <v>#REF!</v>
      </c>
      <c r="D225" s="1426">
        <v>85</v>
      </c>
      <c r="E225" s="1429" t="s">
        <v>529</v>
      </c>
      <c r="F225" s="1539"/>
      <c r="G225" s="1517" t="s">
        <v>2494</v>
      </c>
      <c r="H225" s="1518"/>
      <c r="I225" s="1518" t="s">
        <v>8</v>
      </c>
      <c r="J225" s="1533">
        <v>4000</v>
      </c>
      <c r="K225" s="1517">
        <v>10</v>
      </c>
      <c r="L225" s="1519">
        <v>40000</v>
      </c>
      <c r="M225" s="1518" t="s">
        <v>678</v>
      </c>
      <c r="N225" s="1517">
        <v>2001</v>
      </c>
      <c r="O225" s="1518"/>
      <c r="P225" s="1518"/>
      <c r="Q225" s="1518" t="s">
        <v>384</v>
      </c>
      <c r="R225" s="1517" t="s">
        <v>12</v>
      </c>
      <c r="S225" s="1520">
        <v>1080000000</v>
      </c>
      <c r="T225" s="1517" t="s">
        <v>43</v>
      </c>
      <c r="U225" s="1572"/>
      <c r="V225" s="1521"/>
      <c r="W225" s="1478" t="str">
        <f t="shared" si="89"/>
        <v>04.13.01</v>
      </c>
      <c r="X225" s="1478" t="str">
        <f t="shared" si="90"/>
        <v>Jalan</v>
      </c>
      <c r="Y225" s="1478">
        <f t="shared" si="91"/>
        <v>10</v>
      </c>
      <c r="Z225" s="1401">
        <f>S225/Y225</f>
        <v>108000000</v>
      </c>
      <c r="AA225" s="1444">
        <f>IF(2013-N225+1&gt;Y225,Y225,IF(2013-N225+1&lt;0,0,2013-N225+1))</f>
        <v>10</v>
      </c>
      <c r="AB225" s="1401">
        <f>IF(AA225&gt;Y225,S225,Z225*AA225)</f>
        <v>1080000000</v>
      </c>
      <c r="AC225" s="1401">
        <f>IF(S225=AB225,0,Z225)</f>
        <v>0</v>
      </c>
      <c r="AD225" s="1401">
        <f>IF(S225=AB225+AC225,0,Z225)</f>
        <v>0</v>
      </c>
      <c r="AE225" s="1401">
        <f>IF(S225=AB225+AC225+AD225,0,Z225)</f>
        <v>0</v>
      </c>
      <c r="AF225" s="1401">
        <f>IF(S225=AC225+AD225+AE225+AB225,0,Z225)</f>
        <v>0</v>
      </c>
      <c r="AG225" s="1479">
        <f>IF(S225=AC225+AD225+AE225+AB225+AF225,0,Z225)</f>
        <v>0</v>
      </c>
      <c r="AH225" s="1479">
        <f>IF(S225=AC225+AD225+AE225+AB225+AF225+AG225,0,Z225)</f>
        <v>0</v>
      </c>
      <c r="AI225" s="1479">
        <f>SUM(AB225:AH225)</f>
        <v>1080000000</v>
      </c>
      <c r="AJ225" s="1401">
        <f t="shared" si="92"/>
        <v>0</v>
      </c>
    </row>
    <row r="226" spans="1:36" s="1390" customFormat="1" ht="35" customHeight="1" x14ac:dyDescent="0.2">
      <c r="A226" s="1390">
        <v>111</v>
      </c>
      <c r="B226" s="1472" t="str">
        <f t="shared" si="88"/>
        <v>MUARA PETAI - SETIANG</v>
      </c>
      <c r="C226" s="1478"/>
      <c r="D226" s="1426">
        <v>86</v>
      </c>
      <c r="E226" s="1586" t="s">
        <v>5127</v>
      </c>
      <c r="F226" s="1539"/>
      <c r="G226" s="1517" t="s">
        <v>2494</v>
      </c>
      <c r="H226" s="1508"/>
      <c r="I226" s="1416"/>
      <c r="J226" s="1512"/>
      <c r="K226" s="1416"/>
      <c r="L226" s="1500"/>
      <c r="M226" s="1523" t="s">
        <v>5128</v>
      </c>
      <c r="N226" s="1416">
        <v>2008</v>
      </c>
      <c r="O226" s="1414"/>
      <c r="P226" s="1523" t="s">
        <v>5084</v>
      </c>
      <c r="Q226" s="1523"/>
      <c r="R226" s="1523" t="s">
        <v>12</v>
      </c>
      <c r="S226" s="1524">
        <v>219063911.59381068</v>
      </c>
      <c r="T226" s="1525" t="s">
        <v>43</v>
      </c>
      <c r="U226" s="1574"/>
      <c r="V226" s="1477"/>
      <c r="W226" s="1478" t="str">
        <f t="shared" si="89"/>
        <v>04.13.01</v>
      </c>
      <c r="X226" s="1478" t="str">
        <f t="shared" si="90"/>
        <v>Jalan</v>
      </c>
      <c r="Y226" s="1478">
        <f t="shared" si="91"/>
        <v>10</v>
      </c>
      <c r="Z226" s="1401">
        <f>S226/Y226</f>
        <v>21906391.159381069</v>
      </c>
      <c r="AA226" s="1444">
        <f>IF(2013-N226+1&gt;Y226,Y226,IF(2013-N226+1&lt;0,0,2013-N226+1))</f>
        <v>6</v>
      </c>
      <c r="AB226" s="1401">
        <f>IF(AA226&gt;Y226,S226,Z226*AA226)</f>
        <v>131438346.95628642</v>
      </c>
      <c r="AC226" s="1401">
        <f>IF(S226=AB226,0,Z226)</f>
        <v>21906391.159381069</v>
      </c>
      <c r="AD226" s="1401">
        <f>IF(S226=AB226+AC226,0,Z226)</f>
        <v>21906391.159381069</v>
      </c>
      <c r="AE226" s="1401">
        <f>IF(S226=AB226+AC226+AD226,0,Z226)</f>
        <v>21906391.159381069</v>
      </c>
      <c r="AF226" s="1401">
        <f>IF(S226=AC226+AD226+AE226+AB226,0,Z226)</f>
        <v>21906391.159381069</v>
      </c>
      <c r="AG226" s="1479">
        <f>IF(S226=AC226+AD226+AE226+AB226+AF226,0,Z226)</f>
        <v>0</v>
      </c>
      <c r="AH226" s="1479">
        <f>IF(S226=AC226+AD226+AE226+AB226+AF226+AG226,0,Z226)</f>
        <v>0</v>
      </c>
      <c r="AI226" s="1479">
        <f>SUM(AB226:AH226)</f>
        <v>219063911.59381068</v>
      </c>
      <c r="AJ226" s="1401">
        <f t="shared" si="92"/>
        <v>0</v>
      </c>
    </row>
    <row r="227" spans="1:36" s="1390" customFormat="1" ht="35" customHeight="1" x14ac:dyDescent="0.2">
      <c r="A227" s="1390">
        <v>112</v>
      </c>
      <c r="B227" s="1472" t="str">
        <f t="shared" si="88"/>
        <v>KASANG - Ps LBK. JAMBI</v>
      </c>
      <c r="C227" s="1478" t="e">
        <f>RIGHT(#REF!,1)</f>
        <v>#REF!</v>
      </c>
      <c r="D227" s="1426">
        <v>87</v>
      </c>
      <c r="E227" s="1429" t="s">
        <v>529</v>
      </c>
      <c r="F227" s="1539"/>
      <c r="G227" s="1517" t="s">
        <v>2494</v>
      </c>
      <c r="H227" s="1518"/>
      <c r="I227" s="1518" t="s">
        <v>525</v>
      </c>
      <c r="J227" s="1533">
        <v>3500</v>
      </c>
      <c r="K227" s="1517">
        <v>7</v>
      </c>
      <c r="L227" s="1519">
        <v>24500</v>
      </c>
      <c r="M227" s="1518" t="s">
        <v>682</v>
      </c>
      <c r="N227" s="1517">
        <v>2001</v>
      </c>
      <c r="O227" s="1518"/>
      <c r="P227" s="1518"/>
      <c r="Q227" s="1518" t="s">
        <v>384</v>
      </c>
      <c r="R227" s="1517" t="s">
        <v>12</v>
      </c>
      <c r="S227" s="1520">
        <v>3071250000</v>
      </c>
      <c r="T227" s="1517" t="s">
        <v>43</v>
      </c>
      <c r="U227" s="1572"/>
      <c r="V227" s="1521"/>
      <c r="W227" s="1478" t="str">
        <f t="shared" si="89"/>
        <v>04.13.01</v>
      </c>
      <c r="X227" s="1478" t="str">
        <f t="shared" si="90"/>
        <v>Jalan</v>
      </c>
      <c r="Y227" s="1478">
        <f t="shared" si="91"/>
        <v>10</v>
      </c>
      <c r="Z227" s="1401">
        <f>S227/Y227</f>
        <v>307125000</v>
      </c>
      <c r="AA227" s="1444">
        <f>IF(2013-N227+1&gt;Y227,Y227,IF(2013-N227+1&lt;0,0,2013-N227+1))</f>
        <v>10</v>
      </c>
      <c r="AB227" s="1401">
        <f>IF(AA227&gt;Y227,S227,Z227*AA227)</f>
        <v>3071250000</v>
      </c>
      <c r="AC227" s="1401">
        <f>IF(S227=AB227,0,Z227)</f>
        <v>0</v>
      </c>
      <c r="AD227" s="1401">
        <f>IF(S227=AB227+AC227,0,Z227)</f>
        <v>0</v>
      </c>
      <c r="AE227" s="1401">
        <f>IF(S227=AB227+AC227+AD227,0,Z227)</f>
        <v>0</v>
      </c>
      <c r="AF227" s="1401">
        <f>IF(S227=AC227+AD227+AE227+AB227,0,Z227)</f>
        <v>0</v>
      </c>
      <c r="AG227" s="1479">
        <f>IF(S227=AC227+AD227+AE227+AB227+AF227,0,Z227)</f>
        <v>0</v>
      </c>
      <c r="AH227" s="1479">
        <f>IF(S227=AC227+AD227+AE227+AB227+AF227+AG227,0,Z227)</f>
        <v>0</v>
      </c>
      <c r="AI227" s="1479">
        <f>SUM(AB227:AH227)</f>
        <v>3071250000</v>
      </c>
      <c r="AJ227" s="1401">
        <f t="shared" si="92"/>
        <v>0</v>
      </c>
    </row>
    <row r="228" spans="1:36" s="1390" customFormat="1" ht="35" customHeight="1" x14ac:dyDescent="0.2">
      <c r="A228" s="1390">
        <v>113</v>
      </c>
      <c r="B228" s="1472" t="str">
        <f t="shared" si="88"/>
        <v>JL. DALAM KOTA KP. BARU TOAR - JP. KM 178 + 000</v>
      </c>
      <c r="C228" s="1478" t="e">
        <f>RIGHT(#REF!,1)</f>
        <v>#REF!</v>
      </c>
      <c r="D228" s="1426">
        <v>88</v>
      </c>
      <c r="E228" s="1429" t="s">
        <v>3646</v>
      </c>
      <c r="F228" s="1539"/>
      <c r="G228" s="1517" t="s">
        <v>2494</v>
      </c>
      <c r="H228" s="1518"/>
      <c r="I228" s="1518" t="s">
        <v>525</v>
      </c>
      <c r="J228" s="1533" t="s">
        <v>488</v>
      </c>
      <c r="K228" s="1517"/>
      <c r="L228" s="1519"/>
      <c r="M228" s="1518" t="s">
        <v>661</v>
      </c>
      <c r="N228" s="1517">
        <v>2001</v>
      </c>
      <c r="O228" s="1518"/>
      <c r="P228" s="1518"/>
      <c r="Q228" s="1518" t="s">
        <v>384</v>
      </c>
      <c r="R228" s="1517" t="s">
        <v>12</v>
      </c>
      <c r="S228" s="1520">
        <f>1755000000+F229+F230</f>
        <v>5716245475.7522202</v>
      </c>
      <c r="T228" s="1517" t="s">
        <v>43</v>
      </c>
      <c r="U228" s="1572"/>
      <c r="V228" s="1521"/>
      <c r="W228" s="1478" t="str">
        <f t="shared" si="89"/>
        <v>04.13.01</v>
      </c>
      <c r="X228" s="1478" t="str">
        <f t="shared" si="90"/>
        <v>Jalan</v>
      </c>
      <c r="Y228" s="1478">
        <f t="shared" si="91"/>
        <v>10</v>
      </c>
      <c r="Z228" s="1401"/>
      <c r="AA228" s="1444">
        <f>IF(2013-N228&gt;Y228,10,IF(2013-N228&lt;0,0,2013-N228))</f>
        <v>10</v>
      </c>
      <c r="AB228" s="1401">
        <f>SUM(PERHITUNGAN!U673:U680)</f>
        <v>4535971833.0265541</v>
      </c>
      <c r="AC228" s="1479">
        <f>SUMIF(PERHITUNGAN!A:A,'KIB D'!B228&amp;'KIB D'!$AC$7,PERHITUNGAN!U:U)</f>
        <v>393424547.57522196</v>
      </c>
      <c r="AD228" s="1479">
        <f>SUMIF(PERHITUNGAN!A:A,'KIB D'!B228&amp;'KIB D'!$AD$7,PERHITUNGAN!U:U)</f>
        <v>393424547.57522196</v>
      </c>
      <c r="AE228" s="1479">
        <f>SUMIF(PERHITUNGAN!A:A,'KIB D'!B228&amp;'KIB D'!$AE$7,PERHITUNGAN!U:U)</f>
        <v>393424547.57522196</v>
      </c>
      <c r="AF228" s="1479">
        <f>SUMIF(PERHITUNGAN!A:A,'KIB D'!B228&amp;'KIB D'!$AF$7,PERHITUNGAN!U:U)</f>
        <v>0</v>
      </c>
      <c r="AG228" s="1479">
        <f>SUMIF(PERHITUNGAN!A:A,'KIB D'!B228&amp;'KIB D'!$AG$7,PERHITUNGAN!U:U)</f>
        <v>0</v>
      </c>
      <c r="AH228" s="1479">
        <f>SUMIF(PERHITUNGAN!A:A,'KIB D'!B228&amp;'KIB D'!$AH$7,PERHITUNGAN!U:U)</f>
        <v>0</v>
      </c>
      <c r="AI228" s="1479">
        <f>SUM(AB228:AH228)</f>
        <v>5716245475.7522202</v>
      </c>
      <c r="AJ228" s="1401">
        <f t="shared" si="92"/>
        <v>0</v>
      </c>
    </row>
    <row r="229" spans="1:36" s="1390" customFormat="1" ht="35" customHeight="1" x14ac:dyDescent="0.2">
      <c r="A229" s="1390">
        <v>113</v>
      </c>
      <c r="B229" s="1472" t="str">
        <f t="shared" si="88"/>
        <v>JL. DALAM KOTA KP. BARU TOAR - JP. KM 178 + 000</v>
      </c>
      <c r="C229" s="1478" t="e">
        <f>RIGHT(#REF!,1)</f>
        <v>#REF!</v>
      </c>
      <c r="D229" s="1426"/>
      <c r="E229" s="1429" t="s">
        <v>529</v>
      </c>
      <c r="F229" s="1539">
        <v>1215000000</v>
      </c>
      <c r="G229" s="1517" t="s">
        <v>2494</v>
      </c>
      <c r="H229" s="1518"/>
      <c r="I229" s="1518" t="s">
        <v>525</v>
      </c>
      <c r="J229" s="1519">
        <v>3000</v>
      </c>
      <c r="K229" s="1517">
        <v>7</v>
      </c>
      <c r="L229" s="1519">
        <v>21000</v>
      </c>
      <c r="M229" s="1518" t="s">
        <v>731</v>
      </c>
      <c r="N229" s="1517">
        <v>2001</v>
      </c>
      <c r="O229" s="1518"/>
      <c r="P229" s="1518"/>
      <c r="Q229" s="1518" t="s">
        <v>384</v>
      </c>
      <c r="R229" s="1517" t="s">
        <v>12</v>
      </c>
      <c r="S229" s="1520"/>
      <c r="T229" s="1517" t="s">
        <v>43</v>
      </c>
      <c r="U229" s="1572"/>
      <c r="V229" s="1521"/>
      <c r="W229" s="1478" t="str">
        <f t="shared" si="89"/>
        <v>04.13.01</v>
      </c>
      <c r="X229" s="1478" t="str">
        <f t="shared" si="90"/>
        <v>Jalan</v>
      </c>
      <c r="Y229" s="1478">
        <f t="shared" si="91"/>
        <v>10</v>
      </c>
      <c r="Z229" s="1401"/>
      <c r="AA229" s="1444"/>
      <c r="AB229" s="1401"/>
      <c r="AC229" s="1401"/>
      <c r="AD229" s="1401"/>
      <c r="AE229" s="1401"/>
      <c r="AF229" s="1401"/>
      <c r="AG229" s="1479"/>
      <c r="AH229" s="1479"/>
      <c r="AI229" s="1479"/>
      <c r="AJ229" s="1401">
        <f t="shared" si="92"/>
        <v>0</v>
      </c>
    </row>
    <row r="230" spans="1:36" s="1390" customFormat="1" ht="35" customHeight="1" x14ac:dyDescent="0.2">
      <c r="A230" s="1390">
        <v>113</v>
      </c>
      <c r="B230" s="1472" t="str">
        <f t="shared" si="88"/>
        <v>JL. DALAM KOTA KP. BARU TOAR - JP. KM 178 + 000</v>
      </c>
      <c r="C230" s="1478" t="e">
        <f>RIGHT(#REF!,1)</f>
        <v>#REF!</v>
      </c>
      <c r="D230" s="1426"/>
      <c r="E230" s="1429" t="s">
        <v>1167</v>
      </c>
      <c r="F230" s="1539">
        <v>2746245475.7522197</v>
      </c>
      <c r="G230" s="1416" t="s">
        <v>2494</v>
      </c>
      <c r="H230" s="1508"/>
      <c r="I230" s="1416" t="s">
        <v>519</v>
      </c>
      <c r="J230" s="1500"/>
      <c r="K230" s="1416"/>
      <c r="L230" s="1500">
        <v>1000</v>
      </c>
      <c r="M230" s="1429" t="s">
        <v>3102</v>
      </c>
      <c r="N230" s="1416">
        <v>2007</v>
      </c>
      <c r="O230" s="1414"/>
      <c r="P230" s="1414"/>
      <c r="Q230" s="1414"/>
      <c r="R230" s="1416" t="s">
        <v>12</v>
      </c>
      <c r="S230" s="1529"/>
      <c r="T230" s="1416" t="s">
        <v>43</v>
      </c>
      <c r="U230" s="1427"/>
      <c r="V230" s="1477"/>
      <c r="W230" s="1478" t="str">
        <f t="shared" si="89"/>
        <v>04.13.01</v>
      </c>
      <c r="X230" s="1478" t="str">
        <f t="shared" si="90"/>
        <v>Jalan</v>
      </c>
      <c r="Y230" s="1478">
        <f t="shared" si="91"/>
        <v>10</v>
      </c>
      <c r="Z230" s="1401"/>
      <c r="AA230" s="1444"/>
      <c r="AB230" s="1401"/>
      <c r="AC230" s="1401"/>
      <c r="AD230" s="1401"/>
      <c r="AE230" s="1401"/>
      <c r="AF230" s="1401"/>
      <c r="AG230" s="1479"/>
      <c r="AH230" s="1479"/>
      <c r="AI230" s="1479"/>
      <c r="AJ230" s="1401">
        <f t="shared" si="92"/>
        <v>0</v>
      </c>
    </row>
    <row r="231" spans="1:36" s="1390" customFormat="1" ht="35" customHeight="1" x14ac:dyDescent="0.2">
      <c r="A231" s="1390">
        <v>114</v>
      </c>
      <c r="B231" s="1472" t="str">
        <f t="shared" si="88"/>
        <v>KP. BARU TOAR - PENYEBERANGAN KERESEK</v>
      </c>
      <c r="C231" s="1478" t="e">
        <f>RIGHT(#REF!,1)</f>
        <v>#REF!</v>
      </c>
      <c r="D231" s="1426">
        <v>89</v>
      </c>
      <c r="E231" s="1429" t="s">
        <v>529</v>
      </c>
      <c r="F231" s="1539"/>
      <c r="G231" s="1517" t="s">
        <v>2494</v>
      </c>
      <c r="H231" s="1518"/>
      <c r="I231" s="1518" t="s">
        <v>484</v>
      </c>
      <c r="J231" s="1533">
        <v>2400</v>
      </c>
      <c r="K231" s="1517">
        <v>7</v>
      </c>
      <c r="L231" s="1519">
        <v>16800</v>
      </c>
      <c r="M231" s="1518" t="s">
        <v>663</v>
      </c>
      <c r="N231" s="1517">
        <v>2001</v>
      </c>
      <c r="O231" s="1518"/>
      <c r="P231" s="1518"/>
      <c r="Q231" s="1518" t="s">
        <v>384</v>
      </c>
      <c r="R231" s="1517" t="s">
        <v>12</v>
      </c>
      <c r="S231" s="1520">
        <v>998400000</v>
      </c>
      <c r="T231" s="1517" t="s">
        <v>135</v>
      </c>
      <c r="U231" s="1572"/>
      <c r="V231" s="1521"/>
      <c r="W231" s="1478" t="str">
        <f t="shared" si="89"/>
        <v>04.13.01</v>
      </c>
      <c r="X231" s="1478" t="str">
        <f t="shared" si="90"/>
        <v>Jalan</v>
      </c>
      <c r="Y231" s="1478">
        <f t="shared" si="91"/>
        <v>10</v>
      </c>
      <c r="Z231" s="1401">
        <f>S231/Y231</f>
        <v>99840000</v>
      </c>
      <c r="AA231" s="1444">
        <f>IF(2013-N231+1&gt;Y231,Y231,IF(2013-N231+1&lt;0,0,2013-N231+1))</f>
        <v>10</v>
      </c>
      <c r="AB231" s="1401">
        <f>IF(AA231&gt;Y231,S231,Z231*AA231)</f>
        <v>998400000</v>
      </c>
      <c r="AC231" s="1401">
        <f>IF(S231=AB231,0,Z231)</f>
        <v>0</v>
      </c>
      <c r="AD231" s="1401">
        <f>IF(S231=AB231+AC231,0,Z231)</f>
        <v>0</v>
      </c>
      <c r="AE231" s="1401">
        <f>IF(S231=AB231+AC231+AD231,0,Z231)</f>
        <v>0</v>
      </c>
      <c r="AF231" s="1401">
        <f>IF(S231=AC231+AD231+AE231+AB231,0,Z231)</f>
        <v>0</v>
      </c>
      <c r="AG231" s="1479">
        <f>IF(S231=AC231+AD231+AE231+AB231+AF231,0,Z231)</f>
        <v>0</v>
      </c>
      <c r="AH231" s="1479">
        <f>IF(S231=AC231+AD231+AE231+AB231+AF231+AG231,0,Z231)</f>
        <v>0</v>
      </c>
      <c r="AI231" s="1479">
        <f>SUM(AB231:AH231)</f>
        <v>998400000</v>
      </c>
      <c r="AJ231" s="1401">
        <f t="shared" si="92"/>
        <v>0</v>
      </c>
    </row>
    <row r="232" spans="1:36" s="1390" customFormat="1" ht="35" customHeight="1" x14ac:dyDescent="0.2">
      <c r="A232" s="1390">
        <v>115</v>
      </c>
      <c r="B232" s="1472" t="str">
        <f t="shared" si="88"/>
        <v>GUNUNG - PL. MUNGKUR</v>
      </c>
      <c r="C232" s="1478" t="e">
        <f>RIGHT(#REF!,1)</f>
        <v>#REF!</v>
      </c>
      <c r="D232" s="1426">
        <v>90</v>
      </c>
      <c r="E232" s="1429" t="s">
        <v>5836</v>
      </c>
      <c r="F232" s="1539"/>
      <c r="G232" s="1517" t="s">
        <v>3821</v>
      </c>
      <c r="H232" s="1518"/>
      <c r="I232" s="1518" t="s">
        <v>525</v>
      </c>
      <c r="J232" s="1533">
        <v>4000</v>
      </c>
      <c r="K232" s="1517">
        <v>7</v>
      </c>
      <c r="L232" s="1519">
        <v>28000</v>
      </c>
      <c r="M232" s="1518" t="s">
        <v>734</v>
      </c>
      <c r="N232" s="1517">
        <v>2001</v>
      </c>
      <c r="O232" s="1518"/>
      <c r="P232" s="1518"/>
      <c r="Q232" s="1518" t="s">
        <v>482</v>
      </c>
      <c r="R232" s="1517" t="s">
        <v>12</v>
      </c>
      <c r="S232" s="1520">
        <f>1770000000+F236+F237+F235+F233+F234</f>
        <v>8142530004.4163551</v>
      </c>
      <c r="T232" s="1517" t="s">
        <v>43</v>
      </c>
      <c r="U232" s="1572"/>
      <c r="V232" s="1521"/>
      <c r="W232" s="1478" t="str">
        <f t="shared" si="89"/>
        <v>04.13.01</v>
      </c>
      <c r="X232" s="1478" t="str">
        <f t="shared" si="90"/>
        <v>Jalan</v>
      </c>
      <c r="Y232" s="1478">
        <f t="shared" si="91"/>
        <v>10</v>
      </c>
      <c r="Z232" s="1401"/>
      <c r="AA232" s="1444">
        <f>IF(2013-N232&gt;Y232,10,IF(2013-N232&lt;0,0,2013-N232))</f>
        <v>10</v>
      </c>
      <c r="AB232" s="1401">
        <f>SUM(PERHITUNGAN!U695:U704)</f>
        <v>2638305901.0649757</v>
      </c>
      <c r="AC232" s="1479">
        <f>SUMIF(PERHITUNGAN!A:A,'KIB D'!B232&amp;'KIB D'!$AC$7,PERHITUNGAN!U:U)</f>
        <v>260379837.27027637</v>
      </c>
      <c r="AD232" s="1479">
        <f>SUMIF(PERHITUNGAN!A:A,'KIB D'!B232&amp;'KIB D'!$AD$7,PERHITUNGAN!U:U)</f>
        <v>298708217.00811052</v>
      </c>
      <c r="AE232" s="1479">
        <f>SUMIF(PERHITUNGAN!A:A,'KIB D'!B232&amp;'KIB D'!$AE$7,PERHITUNGAN!U:U)</f>
        <v>298708217.00811052</v>
      </c>
      <c r="AF232" s="1479">
        <f>SUMIF(PERHITUNGAN!A:A,'KIB D'!B232&amp;'KIB D'!$AF$7,PERHITUNGAN!U:U)</f>
        <v>298708217.00811052</v>
      </c>
      <c r="AG232" s="1479">
        <f>SUMIF(PERHITUNGAN!A:A,'KIB D'!B232&amp;'KIB D'!$AG$7,PERHITUNGAN!U:U)</f>
        <v>434771961.5056774</v>
      </c>
      <c r="AH232" s="1479">
        <f>SUMIF(PERHITUNGAN!A:A,'KIB D'!B232&amp;'KIB D'!$AH$7,PERHITUNGAN!U:U)</f>
        <v>434771961.5056774</v>
      </c>
      <c r="AI232" s="1479">
        <f>SUM(AB232:AH232)</f>
        <v>4664354312.3709383</v>
      </c>
      <c r="AJ232" s="1401">
        <f t="shared" si="92"/>
        <v>3478175692.0454168</v>
      </c>
    </row>
    <row r="233" spans="1:36" s="1390" customFormat="1" ht="35" customHeight="1" x14ac:dyDescent="0.2">
      <c r="A233" s="1390">
        <v>115</v>
      </c>
      <c r="B233" s="1472" t="str">
        <f t="shared" si="88"/>
        <v>GUNUNG - PL. MUNGKUR</v>
      </c>
      <c r="C233" s="1478"/>
      <c r="D233" s="1426"/>
      <c r="E233" s="1586" t="s">
        <v>5131</v>
      </c>
      <c r="F233" s="1539">
        <v>443067147.13593698</v>
      </c>
      <c r="G233" s="1416" t="s">
        <v>2494</v>
      </c>
      <c r="H233" s="1508"/>
      <c r="I233" s="1523" t="s">
        <v>519</v>
      </c>
      <c r="J233" s="1532">
        <v>2000</v>
      </c>
      <c r="K233" s="1532"/>
      <c r="L233" s="1532">
        <v>2000</v>
      </c>
      <c r="M233" s="1531" t="s">
        <v>5133</v>
      </c>
      <c r="N233" s="1416">
        <v>2008</v>
      </c>
      <c r="O233" s="1414"/>
      <c r="P233" s="1531" t="s">
        <v>5084</v>
      </c>
      <c r="Q233" s="1414"/>
      <c r="R233" s="1523" t="s">
        <v>12</v>
      </c>
      <c r="S233" s="1529"/>
      <c r="T233" s="1532" t="s">
        <v>43</v>
      </c>
      <c r="U233" s="1582"/>
      <c r="V233" s="1477"/>
      <c r="W233" s="1478"/>
      <c r="X233" s="1478"/>
      <c r="Y233" s="1478"/>
      <c r="Z233" s="1401"/>
      <c r="AA233" s="1444"/>
      <c r="AB233" s="1401"/>
      <c r="AC233" s="1401"/>
      <c r="AD233" s="1401"/>
      <c r="AE233" s="1401"/>
      <c r="AF233" s="1401"/>
      <c r="AG233" s="1479"/>
      <c r="AH233" s="1479"/>
      <c r="AI233" s="1479"/>
      <c r="AJ233" s="1401"/>
    </row>
    <row r="234" spans="1:36" s="1390" customFormat="1" ht="35" customHeight="1" x14ac:dyDescent="0.2">
      <c r="A234" s="1390">
        <v>115</v>
      </c>
      <c r="B234" s="1472" t="str">
        <f t="shared" si="88"/>
        <v>GUNUNG - PL. MUNGKUR</v>
      </c>
      <c r="C234" s="1478"/>
      <c r="D234" s="1426"/>
      <c r="E234" s="1583" t="s">
        <v>5132</v>
      </c>
      <c r="F234" s="1539">
        <v>1012296853.680418</v>
      </c>
      <c r="G234" s="1416" t="s">
        <v>2494</v>
      </c>
      <c r="H234" s="1508"/>
      <c r="I234" s="1534" t="s">
        <v>519</v>
      </c>
      <c r="J234" s="1534">
        <v>1000</v>
      </c>
      <c r="K234" s="1535"/>
      <c r="L234" s="1534">
        <v>1000</v>
      </c>
      <c r="M234" s="1534" t="s">
        <v>3648</v>
      </c>
      <c r="N234" s="1416">
        <v>2009</v>
      </c>
      <c r="O234" s="1414"/>
      <c r="P234" s="1414" t="s">
        <v>5084</v>
      </c>
      <c r="Q234" s="1414"/>
      <c r="R234" s="1523" t="s">
        <v>12</v>
      </c>
      <c r="S234" s="1529"/>
      <c r="T234" s="1416" t="s">
        <v>43</v>
      </c>
      <c r="U234" s="1427"/>
      <c r="V234" s="1477"/>
      <c r="W234" s="1478"/>
      <c r="X234" s="1478"/>
      <c r="Y234" s="1478"/>
      <c r="Z234" s="1401"/>
      <c r="AA234" s="1444"/>
      <c r="AB234" s="1401"/>
      <c r="AC234" s="1401"/>
      <c r="AD234" s="1401"/>
      <c r="AE234" s="1401"/>
      <c r="AF234" s="1401"/>
      <c r="AG234" s="1479"/>
      <c r="AH234" s="1479"/>
      <c r="AI234" s="1479"/>
      <c r="AJ234" s="1401"/>
    </row>
    <row r="235" spans="1:36" s="1390" customFormat="1" ht="35" customHeight="1" x14ac:dyDescent="0.2">
      <c r="A235" s="1390">
        <v>115</v>
      </c>
      <c r="B235" s="1472" t="str">
        <f t="shared" si="88"/>
        <v>GUNUNG - PL. MUNGKUR</v>
      </c>
      <c r="C235" s="1478"/>
      <c r="D235" s="1426"/>
      <c r="E235" s="1429" t="s">
        <v>5073</v>
      </c>
      <c r="F235" s="1539">
        <v>714841086.60000002</v>
      </c>
      <c r="G235" s="1416" t="s">
        <v>2494</v>
      </c>
      <c r="H235" s="1508"/>
      <c r="I235" s="1416"/>
      <c r="J235" s="1500"/>
      <c r="K235" s="1416"/>
      <c r="L235" s="1500"/>
      <c r="M235" s="1429" t="s">
        <v>3648</v>
      </c>
      <c r="N235" s="1416">
        <v>2009</v>
      </c>
      <c r="O235" s="1414"/>
      <c r="P235" s="1414"/>
      <c r="Q235" s="1414"/>
      <c r="R235" s="1416" t="s">
        <v>12</v>
      </c>
      <c r="S235" s="1529"/>
      <c r="T235" s="1416" t="s">
        <v>43</v>
      </c>
      <c r="U235" s="1427"/>
      <c r="V235" s="1477"/>
      <c r="W235" s="1478"/>
      <c r="X235" s="1478"/>
      <c r="Y235" s="1478"/>
      <c r="Z235" s="1401"/>
      <c r="AA235" s="1444"/>
      <c r="AB235" s="1401"/>
      <c r="AC235" s="1401"/>
      <c r="AD235" s="1401"/>
      <c r="AE235" s="1401"/>
      <c r="AF235" s="1401"/>
      <c r="AG235" s="1479"/>
      <c r="AH235" s="1479"/>
      <c r="AI235" s="1479"/>
      <c r="AJ235" s="1401"/>
    </row>
    <row r="236" spans="1:36" s="1390" customFormat="1" ht="35" customHeight="1" x14ac:dyDescent="0.2">
      <c r="A236" s="1390">
        <v>115</v>
      </c>
      <c r="B236" s="1472" t="str">
        <f t="shared" si="88"/>
        <v>GUNUNG - PL. MUNGKUR</v>
      </c>
      <c r="C236" s="1478" t="e">
        <f>RIGHT(#REF!,1)</f>
        <v>#REF!</v>
      </c>
      <c r="D236" s="1426"/>
      <c r="E236" s="1429" t="s">
        <v>1393</v>
      </c>
      <c r="F236" s="1529">
        <v>1945562821</v>
      </c>
      <c r="G236" s="1501" t="s">
        <v>2494</v>
      </c>
      <c r="H236" s="1501"/>
      <c r="I236" s="1414"/>
      <c r="J236" s="1526"/>
      <c r="K236" s="1416"/>
      <c r="L236" s="1430"/>
      <c r="M236" s="1429" t="s">
        <v>3231</v>
      </c>
      <c r="N236" s="1501">
        <v>2015</v>
      </c>
      <c r="O236" s="1414"/>
      <c r="P236" s="1414"/>
      <c r="Q236" s="1414"/>
      <c r="R236" s="1501" t="s">
        <v>12</v>
      </c>
      <c r="S236" s="1527"/>
      <c r="T236" s="1528"/>
      <c r="U236" s="1575"/>
      <c r="V236" s="1490"/>
      <c r="W236" s="1478" t="str">
        <f t="shared" ref="W236:W246" si="93">LEFT(G236,8)</f>
        <v>04.13.01</v>
      </c>
      <c r="X236" s="1478" t="str">
        <f t="shared" ref="X236:X246" si="94">VLOOKUP(W236,UE,3,FALSE)</f>
        <v>Jalan</v>
      </c>
      <c r="Y236" s="1478">
        <f t="shared" ref="Y236:Y246" si="95">VLOOKUP(W236,UE,4,FALSE)</f>
        <v>10</v>
      </c>
      <c r="Z236" s="1401"/>
      <c r="AA236" s="1444"/>
      <c r="AB236" s="1401"/>
      <c r="AC236" s="1401"/>
      <c r="AD236" s="1401"/>
      <c r="AE236" s="1401"/>
      <c r="AF236" s="1401"/>
      <c r="AG236" s="1479"/>
      <c r="AH236" s="1479"/>
      <c r="AI236" s="1479"/>
      <c r="AJ236" s="1401">
        <f t="shared" ref="AJ236:AJ242" si="96">S236-AI236</f>
        <v>0</v>
      </c>
    </row>
    <row r="237" spans="1:36" s="1472" customFormat="1" ht="35" customHeight="1" x14ac:dyDescent="0.2">
      <c r="A237" s="1472">
        <v>115</v>
      </c>
      <c r="B237" s="1472" t="str">
        <f t="shared" si="88"/>
        <v>GUNUNG - PL. MUNGKUR</v>
      </c>
      <c r="C237" s="1478" t="e">
        <f>RIGHT(#REF!,1)</f>
        <v>#REF!</v>
      </c>
      <c r="D237" s="1576"/>
      <c r="E237" s="1413" t="s">
        <v>3325</v>
      </c>
      <c r="F237" s="1539">
        <v>2256762096</v>
      </c>
      <c r="G237" s="1416" t="s">
        <v>2494</v>
      </c>
      <c r="H237" s="1414"/>
      <c r="I237" s="1416"/>
      <c r="J237" s="1500"/>
      <c r="K237" s="1416"/>
      <c r="L237" s="1500"/>
      <c r="M237" s="1429" t="s">
        <v>3231</v>
      </c>
      <c r="N237" s="1416">
        <v>2018</v>
      </c>
      <c r="O237" s="1414"/>
      <c r="P237" s="1414"/>
      <c r="Q237" s="1414"/>
      <c r="R237" s="1501" t="s">
        <v>12</v>
      </c>
      <c r="S237" s="1529"/>
      <c r="T237" s="1528"/>
      <c r="U237" s="1575"/>
      <c r="V237" s="1490"/>
      <c r="W237" s="1478" t="str">
        <f t="shared" si="93"/>
        <v>04.13.01</v>
      </c>
      <c r="X237" s="1478" t="str">
        <f t="shared" si="94"/>
        <v>Jalan</v>
      </c>
      <c r="Y237" s="1478">
        <f t="shared" si="95"/>
        <v>10</v>
      </c>
      <c r="Z237" s="1401"/>
      <c r="AA237" s="1444"/>
      <c r="AB237" s="1401"/>
      <c r="AC237" s="1401"/>
      <c r="AD237" s="1401"/>
      <c r="AE237" s="1401"/>
      <c r="AF237" s="1401"/>
      <c r="AG237" s="1479"/>
      <c r="AH237" s="1479"/>
      <c r="AI237" s="1479"/>
      <c r="AJ237" s="1401">
        <f t="shared" si="96"/>
        <v>0</v>
      </c>
    </row>
    <row r="238" spans="1:36" s="1390" customFormat="1" ht="35" customHeight="1" x14ac:dyDescent="0.2">
      <c r="A238" s="1390">
        <v>116</v>
      </c>
      <c r="B238" s="1472" t="str">
        <f t="shared" si="88"/>
        <v>JL. DESA TEBERAU PANJANG - SEI. KUANTAN</v>
      </c>
      <c r="C238" s="1478" t="e">
        <f>RIGHT(#REF!,1)</f>
        <v>#REF!</v>
      </c>
      <c r="D238" s="1426">
        <v>91</v>
      </c>
      <c r="E238" s="1429" t="s">
        <v>3649</v>
      </c>
      <c r="F238" s="1539"/>
      <c r="G238" s="1517" t="s">
        <v>2494</v>
      </c>
      <c r="H238" s="1518"/>
      <c r="I238" s="1518" t="s">
        <v>484</v>
      </c>
      <c r="J238" s="1533">
        <v>3100</v>
      </c>
      <c r="K238" s="1517">
        <v>7</v>
      </c>
      <c r="L238" s="1519">
        <v>21700</v>
      </c>
      <c r="M238" s="1518" t="s">
        <v>666</v>
      </c>
      <c r="N238" s="1517">
        <v>2001</v>
      </c>
      <c r="O238" s="1518"/>
      <c r="P238" s="1518"/>
      <c r="Q238" s="1518" t="s">
        <v>384</v>
      </c>
      <c r="R238" s="1517" t="s">
        <v>12</v>
      </c>
      <c r="S238" s="1520">
        <f>1190400000+F239</f>
        <v>1643775000</v>
      </c>
      <c r="T238" s="1517" t="s">
        <v>43</v>
      </c>
      <c r="U238" s="1572"/>
      <c r="V238" s="1521"/>
      <c r="W238" s="1478" t="str">
        <f t="shared" si="93"/>
        <v>04.13.01</v>
      </c>
      <c r="X238" s="1478" t="str">
        <f t="shared" si="94"/>
        <v>Jalan</v>
      </c>
      <c r="Y238" s="1478">
        <f t="shared" si="95"/>
        <v>10</v>
      </c>
      <c r="Z238" s="1401"/>
      <c r="AA238" s="1444">
        <f>IF(2013-N238&gt;Y238,10,IF(2013-N238&lt;0,0,2013-N238))</f>
        <v>10</v>
      </c>
      <c r="AB238" s="1401">
        <f>SUM(PERHITUNGAN!U719:U726)</f>
        <v>1643775000</v>
      </c>
      <c r="AC238" s="1479">
        <f>SUMIF(PERHITUNGAN!A:A,'KIB D'!B238&amp;'KIB D'!$AC$7,PERHITUNGAN!U:U)</f>
        <v>0</v>
      </c>
      <c r="AD238" s="1479">
        <f>SUMIF(PERHITUNGAN!A:A,'KIB D'!B238&amp;'KIB D'!$AD$7,PERHITUNGAN!U:U)</f>
        <v>0</v>
      </c>
      <c r="AE238" s="1479">
        <f>SUMIF(PERHITUNGAN!A:A,'KIB D'!B238&amp;'KIB D'!$AE$7,PERHITUNGAN!U:U)</f>
        <v>0</v>
      </c>
      <c r="AF238" s="1479">
        <f>SUMIF(PERHITUNGAN!A:A,'KIB D'!B238&amp;'KIB D'!$AF$7,PERHITUNGAN!U:U)</f>
        <v>0</v>
      </c>
      <c r="AG238" s="1479">
        <f>SUMIF(PERHITUNGAN!A:A,'KIB D'!B238&amp;'KIB D'!$AG$7,PERHITUNGAN!U:U)</f>
        <v>0</v>
      </c>
      <c r="AH238" s="1479">
        <f>SUMIF(PERHITUNGAN!A:A,'KIB D'!B238&amp;'KIB D'!$AH$7,PERHITUNGAN!U:U)</f>
        <v>0</v>
      </c>
      <c r="AI238" s="1479">
        <f>SUM(AB238:AH238)</f>
        <v>1643775000</v>
      </c>
      <c r="AJ238" s="1401">
        <f t="shared" si="96"/>
        <v>0</v>
      </c>
    </row>
    <row r="239" spans="1:36" s="1390" customFormat="1" ht="35" customHeight="1" x14ac:dyDescent="0.2">
      <c r="A239" s="1390">
        <v>116</v>
      </c>
      <c r="B239" s="1472" t="str">
        <f t="shared" si="88"/>
        <v>JL. DESA TEBERAU PANJANG - SEI. KUANTAN</v>
      </c>
      <c r="C239" s="1478" t="e">
        <f>RIGHT(#REF!,1)</f>
        <v>#REF!</v>
      </c>
      <c r="D239" s="1426"/>
      <c r="E239" s="1429" t="s">
        <v>696</v>
      </c>
      <c r="F239" s="1539">
        <v>453375000</v>
      </c>
      <c r="G239" s="1517" t="s">
        <v>3821</v>
      </c>
      <c r="H239" s="1518"/>
      <c r="I239" s="1518" t="s">
        <v>8</v>
      </c>
      <c r="J239" s="1519" t="s">
        <v>665</v>
      </c>
      <c r="K239" s="1517"/>
      <c r="L239" s="1519"/>
      <c r="M239" s="1518" t="s">
        <v>730</v>
      </c>
      <c r="N239" s="1517">
        <v>2001</v>
      </c>
      <c r="O239" s="1518"/>
      <c r="P239" s="1518"/>
      <c r="Q239" s="1518" t="s">
        <v>482</v>
      </c>
      <c r="R239" s="1517" t="s">
        <v>12</v>
      </c>
      <c r="S239" s="1520"/>
      <c r="T239" s="1517" t="s">
        <v>43</v>
      </c>
      <c r="U239" s="1572"/>
      <c r="V239" s="1521"/>
      <c r="W239" s="1478" t="str">
        <f t="shared" si="93"/>
        <v>04.13.01</v>
      </c>
      <c r="X239" s="1478" t="str">
        <f t="shared" si="94"/>
        <v>Jalan</v>
      </c>
      <c r="Y239" s="1478">
        <f t="shared" si="95"/>
        <v>10</v>
      </c>
      <c r="Z239" s="1401"/>
      <c r="AA239" s="1444"/>
      <c r="AB239" s="1401"/>
      <c r="AC239" s="1401"/>
      <c r="AD239" s="1401"/>
      <c r="AE239" s="1401"/>
      <c r="AF239" s="1401"/>
      <c r="AG239" s="1479"/>
      <c r="AH239" s="1479"/>
      <c r="AI239" s="1479"/>
      <c r="AJ239" s="1401">
        <f t="shared" si="96"/>
        <v>0</v>
      </c>
    </row>
    <row r="240" spans="1:36" s="1390" customFormat="1" ht="35" customHeight="1" x14ac:dyDescent="0.15">
      <c r="A240" s="1390">
        <v>117</v>
      </c>
      <c r="B240" s="1472" t="str">
        <f t="shared" si="88"/>
        <v>KAMPUNG BARU TOAR - GUNUNG</v>
      </c>
      <c r="C240" s="1516" t="s">
        <v>4247</v>
      </c>
      <c r="D240" s="1426">
        <v>92</v>
      </c>
      <c r="E240" s="1429" t="s">
        <v>5837</v>
      </c>
      <c r="F240" s="1539"/>
      <c r="G240" s="1517" t="s">
        <v>2494</v>
      </c>
      <c r="H240" s="1518"/>
      <c r="I240" s="1518" t="s">
        <v>484</v>
      </c>
      <c r="J240" s="1533">
        <v>3000</v>
      </c>
      <c r="K240" s="1517">
        <v>7</v>
      </c>
      <c r="L240" s="1519">
        <v>21000</v>
      </c>
      <c r="M240" s="1518" t="s">
        <v>3177</v>
      </c>
      <c r="N240" s="1517">
        <v>2001</v>
      </c>
      <c r="O240" s="1518"/>
      <c r="P240" s="1518"/>
      <c r="Q240" s="1518" t="s">
        <v>384</v>
      </c>
      <c r="R240" s="1517" t="s">
        <v>12</v>
      </c>
      <c r="S240" s="1520">
        <f>1248000000+F241+F242+F243</f>
        <v>6356100993</v>
      </c>
      <c r="T240" s="1517" t="s">
        <v>43</v>
      </c>
      <c r="U240" s="1572"/>
      <c r="V240" s="1521"/>
      <c r="W240" s="1522" t="str">
        <f t="shared" si="93"/>
        <v>04.13.01</v>
      </c>
      <c r="X240" s="1478" t="str">
        <f t="shared" si="94"/>
        <v>Jalan</v>
      </c>
      <c r="Y240" s="1478">
        <f t="shared" si="95"/>
        <v>10</v>
      </c>
      <c r="Z240" s="1401"/>
      <c r="AA240" s="1444">
        <f>IF(2013-N240&gt;Y240,10,IF(2013-N240&lt;0,0,2013-N240))</f>
        <v>10</v>
      </c>
      <c r="AB240" s="1401">
        <f>SUM(PERHITUNGAN!U741:U745)</f>
        <v>2666105141.6999998</v>
      </c>
      <c r="AC240" s="1479">
        <f>SUMIF(PERHITUNGAN!A:A,'KIB D'!B240&amp;'KIB D'!$AC$7,PERHITUNGAN!U:U)</f>
        <v>170105141.69999999</v>
      </c>
      <c r="AD240" s="1479">
        <f>SUMIF(PERHITUNGAN!A:A,'KIB D'!B240&amp;'KIB D'!$AD$7,PERHITUNGAN!U:U)</f>
        <v>170105141.69999999</v>
      </c>
      <c r="AE240" s="1479">
        <f>SUMIF(PERHITUNGAN!A:A,'KIB D'!B240&amp;'KIB D'!$AE$7,PERHITUNGAN!U:U)</f>
        <v>170105141.69999999</v>
      </c>
      <c r="AF240" s="1479">
        <f>SUMIF(PERHITUNGAN!A:A,'KIB D'!B240&amp;'KIB D'!$AF$7,PERHITUNGAN!U:U)</f>
        <v>170105141.69999999</v>
      </c>
      <c r="AG240" s="1479">
        <f>SUMIF(PERHITUNGAN!A:A,'KIB D'!B240&amp;'KIB D'!$AG$7,PERHITUNGAN!U:U)</f>
        <v>300957528.44999999</v>
      </c>
      <c r="AH240" s="1479">
        <f>SUMIF(PERHITUNGAN!A:A,'KIB D'!B240&amp;'KIB D'!$AH$7,PERHITUNGAN!U:U)</f>
        <v>300957528.44999999</v>
      </c>
      <c r="AI240" s="1479">
        <f>SUM(AB240:AH240)</f>
        <v>3948440765.3999987</v>
      </c>
      <c r="AJ240" s="1401">
        <f t="shared" si="96"/>
        <v>2407660227.6000013</v>
      </c>
    </row>
    <row r="241" spans="1:36" s="1390" customFormat="1" ht="35" customHeight="1" x14ac:dyDescent="0.2">
      <c r="A241" s="1390">
        <v>117</v>
      </c>
      <c r="B241" s="1472" t="str">
        <f t="shared" si="88"/>
        <v>KAMPUNG BARU TOAR - GUNUNG</v>
      </c>
      <c r="C241" s="1478" t="e">
        <f>RIGHT(#REF!,1)</f>
        <v>#REF!</v>
      </c>
      <c r="D241" s="1426"/>
      <c r="E241" s="1429" t="s">
        <v>529</v>
      </c>
      <c r="F241" s="1539">
        <v>1248000000</v>
      </c>
      <c r="G241" s="1517" t="s">
        <v>2494</v>
      </c>
      <c r="H241" s="1518"/>
      <c r="I241" s="1518" t="s">
        <v>484</v>
      </c>
      <c r="J241" s="1519" t="s">
        <v>488</v>
      </c>
      <c r="K241" s="1517"/>
      <c r="L241" s="1519"/>
      <c r="M241" s="1518" t="s">
        <v>664</v>
      </c>
      <c r="N241" s="1517">
        <v>2001</v>
      </c>
      <c r="O241" s="1518"/>
      <c r="P241" s="1518"/>
      <c r="Q241" s="1518" t="s">
        <v>384</v>
      </c>
      <c r="R241" s="1517" t="s">
        <v>12</v>
      </c>
      <c r="S241" s="1520"/>
      <c r="T241" s="1517" t="s">
        <v>43</v>
      </c>
      <c r="U241" s="1572"/>
      <c r="V241" s="1521"/>
      <c r="W241" s="1478" t="str">
        <f t="shared" si="93"/>
        <v>04.13.01</v>
      </c>
      <c r="X241" s="1478" t="str">
        <f t="shared" si="94"/>
        <v>Jalan</v>
      </c>
      <c r="Y241" s="1478">
        <f t="shared" si="95"/>
        <v>10</v>
      </c>
      <c r="Z241" s="1401"/>
      <c r="AA241" s="1444"/>
      <c r="AB241" s="1401"/>
      <c r="AC241" s="1401"/>
      <c r="AD241" s="1401"/>
      <c r="AE241" s="1401"/>
      <c r="AF241" s="1401"/>
      <c r="AG241" s="1479"/>
      <c r="AH241" s="1479"/>
      <c r="AI241" s="1479"/>
      <c r="AJ241" s="1401">
        <f t="shared" si="96"/>
        <v>0</v>
      </c>
    </row>
    <row r="242" spans="1:36" s="1390" customFormat="1" ht="35" customHeight="1" x14ac:dyDescent="0.15">
      <c r="A242" s="1390">
        <v>117</v>
      </c>
      <c r="B242" s="1472" t="str">
        <f t="shared" si="88"/>
        <v>KAMPUNG BARU TOAR - GUNUNG</v>
      </c>
      <c r="C242" s="1516" t="s">
        <v>4247</v>
      </c>
      <c r="D242" s="1426"/>
      <c r="E242" s="1429" t="s">
        <v>1291</v>
      </c>
      <c r="F242" s="1539">
        <v>1701051417</v>
      </c>
      <c r="G242" s="1517" t="s">
        <v>2494</v>
      </c>
      <c r="H242" s="1518"/>
      <c r="I242" s="1518" t="s">
        <v>519</v>
      </c>
      <c r="J242" s="1519">
        <v>0</v>
      </c>
      <c r="K242" s="1517"/>
      <c r="L242" s="1519">
        <v>0</v>
      </c>
      <c r="M242" s="1518" t="s">
        <v>3177</v>
      </c>
      <c r="N242" s="1517">
        <v>2013</v>
      </c>
      <c r="O242" s="1518"/>
      <c r="P242" s="1518"/>
      <c r="Q242" s="1518"/>
      <c r="R242" s="1517" t="s">
        <v>12</v>
      </c>
      <c r="S242" s="1520"/>
      <c r="T242" s="1518"/>
      <c r="U242" s="1572"/>
      <c r="V242" s="1521"/>
      <c r="W242" s="1522" t="str">
        <f t="shared" si="93"/>
        <v>04.13.01</v>
      </c>
      <c r="X242" s="1478" t="str">
        <f t="shared" si="94"/>
        <v>Jalan</v>
      </c>
      <c r="Y242" s="1478">
        <f t="shared" si="95"/>
        <v>10</v>
      </c>
      <c r="Z242" s="1401"/>
      <c r="AA242" s="1444">
        <f>IF(2013-N242&gt;Y242,10,IF(2013-N242&lt;0,0,2013-N242))</f>
        <v>0</v>
      </c>
      <c r="AB242" s="1401"/>
      <c r="AC242" s="1401"/>
      <c r="AD242" s="1401"/>
      <c r="AE242" s="1401"/>
      <c r="AF242" s="1401"/>
      <c r="AG242" s="1479"/>
      <c r="AH242" s="1479"/>
      <c r="AI242" s="1479"/>
      <c r="AJ242" s="1401">
        <f t="shared" si="96"/>
        <v>0</v>
      </c>
    </row>
    <row r="243" spans="1:36" s="1472" customFormat="1" ht="35" customHeight="1" x14ac:dyDescent="0.2">
      <c r="A243" s="1472">
        <v>117</v>
      </c>
      <c r="B243" s="1472" t="str">
        <f t="shared" si="88"/>
        <v>KAMPUNG BARU TOAR - GUNUNG</v>
      </c>
      <c r="C243" s="1478" t="e">
        <f>RIGHT(#REF!,1)</f>
        <v>#REF!</v>
      </c>
      <c r="D243" s="1576"/>
      <c r="E243" s="1413" t="s">
        <v>3312</v>
      </c>
      <c r="F243" s="1539">
        <v>2159049576</v>
      </c>
      <c r="G243" s="1416" t="s">
        <v>2494</v>
      </c>
      <c r="H243" s="1414"/>
      <c r="I243" s="1416"/>
      <c r="J243" s="1500"/>
      <c r="K243" s="1416"/>
      <c r="L243" s="1500"/>
      <c r="M243" s="1429" t="s">
        <v>3290</v>
      </c>
      <c r="N243" s="1416">
        <v>2018</v>
      </c>
      <c r="O243" s="1414"/>
      <c r="P243" s="1414"/>
      <c r="Q243" s="1414"/>
      <c r="R243" s="1501" t="s">
        <v>12</v>
      </c>
      <c r="S243" s="1529"/>
      <c r="T243" s="1528"/>
      <c r="U243" s="1575"/>
      <c r="V243" s="1490"/>
      <c r="W243" s="1478" t="str">
        <f t="shared" si="93"/>
        <v>04.13.01</v>
      </c>
      <c r="X243" s="1478" t="str">
        <f t="shared" si="94"/>
        <v>Jalan</v>
      </c>
      <c r="Y243" s="1478">
        <f t="shared" si="95"/>
        <v>10</v>
      </c>
      <c r="Z243" s="1401"/>
      <c r="AA243" s="1444"/>
      <c r="AB243" s="1401"/>
      <c r="AC243" s="1401"/>
      <c r="AD243" s="1401"/>
      <c r="AE243" s="1401"/>
      <c r="AF243" s="1401"/>
      <c r="AG243" s="1479"/>
      <c r="AH243" s="1479"/>
      <c r="AI243" s="1479"/>
      <c r="AJ243" s="1401"/>
    </row>
    <row r="244" spans="1:36" s="1390" customFormat="1" ht="35" customHeight="1" x14ac:dyDescent="0.2">
      <c r="A244" s="1390">
        <v>118</v>
      </c>
      <c r="B244" s="1472" t="str">
        <f t="shared" si="88"/>
        <v>LUBUK TERENTANG - PISANG BEREBUS</v>
      </c>
      <c r="C244" s="1478" t="e">
        <f>RIGHT(#REF!,1)</f>
        <v>#REF!</v>
      </c>
      <c r="D244" s="1426">
        <v>93</v>
      </c>
      <c r="E244" s="1429" t="s">
        <v>1142</v>
      </c>
      <c r="F244" s="1539"/>
      <c r="G244" s="1517" t="s">
        <v>2494</v>
      </c>
      <c r="H244" s="1518"/>
      <c r="I244" s="1518" t="s">
        <v>519</v>
      </c>
      <c r="J244" s="1533">
        <v>4000</v>
      </c>
      <c r="K244" s="1517">
        <v>7</v>
      </c>
      <c r="L244" s="1519">
        <v>28000</v>
      </c>
      <c r="M244" s="1518" t="s">
        <v>660</v>
      </c>
      <c r="N244" s="1517">
        <v>2001</v>
      </c>
      <c r="O244" s="1518"/>
      <c r="P244" s="1518"/>
      <c r="Q244" s="1518" t="s">
        <v>384</v>
      </c>
      <c r="R244" s="1517" t="s">
        <v>12</v>
      </c>
      <c r="S244" s="1520">
        <v>4302632417</v>
      </c>
      <c r="T244" s="1517" t="s">
        <v>43</v>
      </c>
      <c r="U244" s="1572"/>
      <c r="V244" s="1521"/>
      <c r="W244" s="1478" t="str">
        <f t="shared" si="93"/>
        <v>04.13.01</v>
      </c>
      <c r="X244" s="1478" t="str">
        <f t="shared" si="94"/>
        <v>Jalan</v>
      </c>
      <c r="Y244" s="1478">
        <f t="shared" si="95"/>
        <v>10</v>
      </c>
      <c r="Z244" s="1401">
        <f>S244/Y244</f>
        <v>430263241.69999999</v>
      </c>
      <c r="AA244" s="1444">
        <f>IF(2013-N244+1&gt;Y244,Y244,IF(2013-N244+1&lt;0,0,2013-N244+1))</f>
        <v>10</v>
      </c>
      <c r="AB244" s="1401">
        <f>IF(AA244&gt;Y244,S244,Z244*AA244)</f>
        <v>4302632417</v>
      </c>
      <c r="AC244" s="1401">
        <f>IF(S244=AB244,0,Z244)</f>
        <v>0</v>
      </c>
      <c r="AD244" s="1401">
        <f>IF(S244=AB244+AC244,0,Z244)</f>
        <v>0</v>
      </c>
      <c r="AE244" s="1401">
        <f>IF(S244=AB244+AC244+AD244,0,Z244)</f>
        <v>0</v>
      </c>
      <c r="AF244" s="1401">
        <f>IF(S244=AC244+AD244+AE244+AB244,0,Z244)</f>
        <v>0</v>
      </c>
      <c r="AG244" s="1479">
        <f>IF(S244=AC244+AD244+AE244+AB244+AF244,0,Z244)</f>
        <v>0</v>
      </c>
      <c r="AH244" s="1479">
        <f>IF(S244=AC244+AD244+AE244+AB244+AF244+AG244,0,Z244)</f>
        <v>0</v>
      </c>
      <c r="AI244" s="1479">
        <f>SUM(AB244:AH244)</f>
        <v>4302632417</v>
      </c>
      <c r="AJ244" s="1401">
        <f>S244-AI244</f>
        <v>0</v>
      </c>
    </row>
    <row r="245" spans="1:36" s="1390" customFormat="1" ht="35" customHeight="1" x14ac:dyDescent="0.2">
      <c r="A245" s="1390">
        <v>120</v>
      </c>
      <c r="B245" s="1472" t="str">
        <f t="shared" si="88"/>
        <v>SEI. MANAU - SEI. KELELAWAR</v>
      </c>
      <c r="C245" s="1478" t="e">
        <f>RIGHT(#REF!,1)</f>
        <v>#REF!</v>
      </c>
      <c r="D245" s="1426">
        <v>94</v>
      </c>
      <c r="E245" s="1429" t="s">
        <v>529</v>
      </c>
      <c r="F245" s="1539"/>
      <c r="G245" s="1517" t="s">
        <v>2494</v>
      </c>
      <c r="H245" s="1518"/>
      <c r="I245" s="1518" t="s">
        <v>484</v>
      </c>
      <c r="J245" s="1533">
        <v>3500</v>
      </c>
      <c r="K245" s="1517">
        <v>7</v>
      </c>
      <c r="L245" s="1519">
        <v>24500</v>
      </c>
      <c r="M245" s="1518" t="s">
        <v>694</v>
      </c>
      <c r="N245" s="1517">
        <v>2001</v>
      </c>
      <c r="O245" s="1518"/>
      <c r="P245" s="1518"/>
      <c r="Q245" s="1518" t="s">
        <v>384</v>
      </c>
      <c r="R245" s="1517" t="s">
        <v>12</v>
      </c>
      <c r="S245" s="1520">
        <v>1008000000</v>
      </c>
      <c r="T245" s="1517" t="s">
        <v>43</v>
      </c>
      <c r="U245" s="1572"/>
      <c r="V245" s="1521"/>
      <c r="W245" s="1478" t="str">
        <f t="shared" si="93"/>
        <v>04.13.01</v>
      </c>
      <c r="X245" s="1478" t="str">
        <f t="shared" si="94"/>
        <v>Jalan</v>
      </c>
      <c r="Y245" s="1478">
        <f t="shared" si="95"/>
        <v>10</v>
      </c>
      <c r="Z245" s="1401">
        <f>S245/Y245</f>
        <v>100800000</v>
      </c>
      <c r="AA245" s="1444">
        <f>IF(2013-N245+1&gt;Y245,Y245,IF(2013-N245+1&lt;0,0,2013-N245+1))</f>
        <v>10</v>
      </c>
      <c r="AB245" s="1401">
        <f>IF(AA245&gt;Y245,S245,Z245*AA245)</f>
        <v>1008000000</v>
      </c>
      <c r="AC245" s="1401">
        <f>IF(S245=AB245,0,Z245)</f>
        <v>0</v>
      </c>
      <c r="AD245" s="1401">
        <f>IF(S245=AB245+AC245,0,Z245)</f>
        <v>0</v>
      </c>
      <c r="AE245" s="1401">
        <f>IF(S245=AB245+AC245+AD245,0,Z245)</f>
        <v>0</v>
      </c>
      <c r="AF245" s="1401">
        <f>IF(S245=AC245+AD245+AE245+AB245,0,Z245)</f>
        <v>0</v>
      </c>
      <c r="AG245" s="1479">
        <f>IF(S245=AC245+AD245+AE245+AB245+AF245,0,Z245)</f>
        <v>0</v>
      </c>
      <c r="AH245" s="1479">
        <f>IF(S245=AC245+AD245+AE245+AB245+AF245+AG245,0,Z245)</f>
        <v>0</v>
      </c>
      <c r="AI245" s="1479">
        <f>SUM(AB245:AH245)</f>
        <v>1008000000</v>
      </c>
      <c r="AJ245" s="1401">
        <f>S245-AI245</f>
        <v>0</v>
      </c>
    </row>
    <row r="246" spans="1:36" s="1390" customFormat="1" ht="35" customHeight="1" x14ac:dyDescent="0.2">
      <c r="A246" s="1390">
        <v>121</v>
      </c>
      <c r="B246" s="1472" t="str">
        <f t="shared" si="88"/>
        <v>SIMP. SEI. ALA - SEI. ALA</v>
      </c>
      <c r="C246" s="1478" t="e">
        <f>RIGHT(#REF!,1)</f>
        <v>#REF!</v>
      </c>
      <c r="D246" s="1426">
        <v>95</v>
      </c>
      <c r="E246" s="1429" t="s">
        <v>5838</v>
      </c>
      <c r="F246" s="1539"/>
      <c r="G246" s="1517" t="s">
        <v>3820</v>
      </c>
      <c r="H246" s="1518"/>
      <c r="I246" s="1518" t="s">
        <v>484</v>
      </c>
      <c r="J246" s="1533">
        <v>2750</v>
      </c>
      <c r="K246" s="1517">
        <v>7</v>
      </c>
      <c r="L246" s="1519">
        <v>19250</v>
      </c>
      <c r="M246" s="1518" t="s">
        <v>524</v>
      </c>
      <c r="N246" s="1517">
        <v>2001</v>
      </c>
      <c r="O246" s="1518"/>
      <c r="P246" s="1518"/>
      <c r="Q246" s="1518" t="s">
        <v>384</v>
      </c>
      <c r="R246" s="1517" t="s">
        <v>12</v>
      </c>
      <c r="S246" s="1520">
        <f>1056000000+F247</f>
        <v>3329426000</v>
      </c>
      <c r="T246" s="1517" t="s">
        <v>43</v>
      </c>
      <c r="U246" s="1572" t="s">
        <v>5685</v>
      </c>
      <c r="V246" s="1521"/>
      <c r="W246" s="1478" t="str">
        <f t="shared" si="93"/>
        <v>04.13.01</v>
      </c>
      <c r="X246" s="1478" t="str">
        <f t="shared" si="94"/>
        <v>Jalan</v>
      </c>
      <c r="Y246" s="1478">
        <f t="shared" si="95"/>
        <v>10</v>
      </c>
      <c r="Z246" s="1401">
        <f>S246/Y246</f>
        <v>332942600</v>
      </c>
      <c r="AA246" s="1444">
        <f>IF(2013-N246&gt;Y246,10,IF(2013-N246&lt;0,0,2013-N246))</f>
        <v>10</v>
      </c>
      <c r="AB246" s="1401">
        <f>SUM(PERHITUNGAN!U760:U764)</f>
        <v>1056000000</v>
      </c>
      <c r="AC246" s="1479">
        <f>SUMIF(PERHITUNGAN!A:A,'KIB D'!B246&amp;'KIB D'!$AC$7,PERHITUNGAN!U:U)</f>
        <v>0</v>
      </c>
      <c r="AD246" s="1479">
        <f>SUMIF(PERHITUNGAN!A:A,'KIB D'!B246&amp;'KIB D'!$AD$7,PERHITUNGAN!U:U)</f>
        <v>0</v>
      </c>
      <c r="AE246" s="1479">
        <f>SUMIF(PERHITUNGAN!A:A,'KIB D'!B246&amp;'KIB D'!$AE$7,PERHITUNGAN!U:U)</f>
        <v>0</v>
      </c>
      <c r="AF246" s="1479">
        <f>SUMIF(PERHITUNGAN!A:A,'KIB D'!B246&amp;'KIB D'!$AF$7,PERHITUNGAN!U:U)</f>
        <v>0</v>
      </c>
      <c r="AG246" s="1479">
        <f>SUMIF(PERHITUNGAN!A:A,'KIB D'!B246&amp;'KIB D'!$AG$7,PERHITUNGAN!U:U)</f>
        <v>0</v>
      </c>
      <c r="AH246" s="1479">
        <f>SUMIF(PERHITUNGAN!A:A,'KIB D'!B246&amp;'KIB D'!$AH$7,PERHITUNGAN!U:U)</f>
        <v>227342600</v>
      </c>
      <c r="AI246" s="1479">
        <f>SUM(AB246:AH246)</f>
        <v>1283342600</v>
      </c>
      <c r="AJ246" s="1401">
        <f>S246-AI246</f>
        <v>2046083400</v>
      </c>
    </row>
    <row r="247" spans="1:36" s="1390" customFormat="1" ht="35" customHeight="1" x14ac:dyDescent="0.2">
      <c r="A247" s="1390">
        <v>121</v>
      </c>
      <c r="B247" s="1472" t="str">
        <f t="shared" si="88"/>
        <v>SIMP. SEI. ALA - SEI. ALA</v>
      </c>
      <c r="C247" s="1478"/>
      <c r="D247" s="1426"/>
      <c r="E247" s="1429" t="s">
        <v>5684</v>
      </c>
      <c r="F247" s="1539">
        <v>2273426000</v>
      </c>
      <c r="G247" s="1517" t="s">
        <v>3820</v>
      </c>
      <c r="H247" s="1518"/>
      <c r="I247" s="1518"/>
      <c r="J247" s="1533">
        <v>1000</v>
      </c>
      <c r="K247" s="1517">
        <v>4</v>
      </c>
      <c r="L247" s="1519">
        <f>J247*K247</f>
        <v>4000</v>
      </c>
      <c r="M247" s="1518" t="s">
        <v>524</v>
      </c>
      <c r="N247" s="1517">
        <v>2019</v>
      </c>
      <c r="O247" s="1518"/>
      <c r="P247" s="1518" t="s">
        <v>433</v>
      </c>
      <c r="Q247" s="1518"/>
      <c r="R247" s="1517" t="s">
        <v>12</v>
      </c>
      <c r="S247" s="1520"/>
      <c r="T247" s="1517"/>
      <c r="U247" s="1572"/>
      <c r="V247" s="1521"/>
      <c r="W247" s="1478"/>
      <c r="X247" s="1478"/>
      <c r="Y247" s="1478"/>
      <c r="Z247" s="1401"/>
      <c r="AA247" s="1444"/>
      <c r="AB247" s="1401"/>
      <c r="AC247" s="1401"/>
      <c r="AD247" s="1401"/>
      <c r="AE247" s="1401"/>
      <c r="AF247" s="1401"/>
      <c r="AG247" s="1479"/>
      <c r="AH247" s="1479"/>
      <c r="AI247" s="1479"/>
      <c r="AJ247" s="1401"/>
    </row>
    <row r="248" spans="1:36" s="1390" customFormat="1" ht="35" customHeight="1" x14ac:dyDescent="0.2">
      <c r="A248" s="1390">
        <v>122</v>
      </c>
      <c r="B248" s="1472" t="str">
        <f t="shared" si="88"/>
        <v>SIMP. SEI. PINANG - TANJUNG</v>
      </c>
      <c r="C248" s="1478" t="e">
        <f>RIGHT(#REF!,1)</f>
        <v>#REF!</v>
      </c>
      <c r="D248" s="1426">
        <v>96</v>
      </c>
      <c r="E248" s="1429" t="s">
        <v>5839</v>
      </c>
      <c r="F248" s="1539"/>
      <c r="G248" s="1517" t="s">
        <v>3820</v>
      </c>
      <c r="H248" s="1518"/>
      <c r="I248" s="1518" t="s">
        <v>525</v>
      </c>
      <c r="J248" s="1533">
        <v>5050</v>
      </c>
      <c r="K248" s="1517">
        <v>7</v>
      </c>
      <c r="L248" s="1519">
        <v>14000</v>
      </c>
      <c r="M248" s="1518" t="s">
        <v>526</v>
      </c>
      <c r="N248" s="1517">
        <v>2001</v>
      </c>
      <c r="O248" s="1518"/>
      <c r="P248" s="1518"/>
      <c r="Q248" s="1518" t="s">
        <v>384</v>
      </c>
      <c r="R248" s="1517" t="s">
        <v>12</v>
      </c>
      <c r="S248" s="1520">
        <f>4029052001.61+F249+F250+F251</f>
        <v>9445150832.7399998</v>
      </c>
      <c r="T248" s="1517" t="s">
        <v>43</v>
      </c>
      <c r="U248" s="1572"/>
      <c r="V248" s="1521"/>
      <c r="W248" s="1478" t="str">
        <f t="shared" ref="W248:W255" si="97">LEFT(G248,8)</f>
        <v>04.13.01</v>
      </c>
      <c r="X248" s="1478" t="str">
        <f t="shared" ref="X248:X255" si="98">VLOOKUP(W248,UE,3,FALSE)</f>
        <v>Jalan</v>
      </c>
      <c r="Y248" s="1478">
        <f>VLOOKUP(W248,UE,4,FALSE)</f>
        <v>10</v>
      </c>
      <c r="Z248" s="1401"/>
      <c r="AA248" s="1444">
        <f>IF(2013-N248&gt;Y248,10,IF(2013-N248&lt;0,0,2013-N248))</f>
        <v>10</v>
      </c>
      <c r="AB248" s="1401">
        <f>SUM(PERHITUNGAN!U779:U783)</f>
        <v>4029052001.6100006</v>
      </c>
      <c r="AC248" s="1479">
        <f>SUMIF(PERHITUNGAN!A:A,'KIB D'!B248&amp;'KIB D'!$AC$7,PERHITUNGAN!U:U)</f>
        <v>19786146.600000001</v>
      </c>
      <c r="AD248" s="1479">
        <f>SUMIF(PERHITUNGAN!A:A,'KIB D'!B248&amp;'KIB D'!$AD$7,PERHITUNGAN!U:U)</f>
        <v>19786146.600000001</v>
      </c>
      <c r="AE248" s="1479">
        <f>SUMIF(PERHITUNGAN!A:A,'KIB D'!B248&amp;'KIB D'!$AE$7,PERHITUNGAN!U:U)</f>
        <v>311894202.69300002</v>
      </c>
      <c r="AF248" s="1479">
        <f>SUMIF(PERHITUNGAN!A:A,'KIB D'!B248&amp;'KIB D'!$AF$7,PERHITUNGAN!U:U)</f>
        <v>311894202.69300002</v>
      </c>
      <c r="AG248" s="1479">
        <f>SUMIF(PERHITUNGAN!A:A,'KIB D'!B248&amp;'KIB D'!$AG$7,PERHITUNGAN!U:U)</f>
        <v>475273813.25440007</v>
      </c>
      <c r="AH248" s="1479">
        <f>SUMIF(PERHITUNGAN!A:A,'KIB D'!B248&amp;'KIB D'!$AH$7,PERHITUNGAN!U:U)</f>
        <v>475273813.25440007</v>
      </c>
      <c r="AI248" s="1479">
        <f>SUM(AB248:AH248)</f>
        <v>5642960326.7048006</v>
      </c>
      <c r="AJ248" s="1401">
        <f t="shared" ref="AJ248:AJ255" si="99">S248-AI248</f>
        <v>3802190506.0351992</v>
      </c>
    </row>
    <row r="249" spans="1:36" s="1390" customFormat="1" ht="35" customHeight="1" x14ac:dyDescent="0.2">
      <c r="A249" s="1390">
        <v>122</v>
      </c>
      <c r="B249" s="1472" t="str">
        <f t="shared" si="88"/>
        <v>SIMP. SEI. PINANG - TANJUNG</v>
      </c>
      <c r="C249" s="1478" t="e">
        <f>RIGHT(#REF!,1)</f>
        <v>#REF!</v>
      </c>
      <c r="D249" s="1426"/>
      <c r="E249" s="1429" t="s">
        <v>1350</v>
      </c>
      <c r="F249" s="1529">
        <v>197861466</v>
      </c>
      <c r="G249" s="1501" t="s">
        <v>2494</v>
      </c>
      <c r="H249" s="1501"/>
      <c r="I249" s="1414"/>
      <c r="J249" s="1526"/>
      <c r="K249" s="1416"/>
      <c r="L249" s="1430"/>
      <c r="M249" s="1429" t="s">
        <v>3215</v>
      </c>
      <c r="N249" s="1501">
        <v>2014</v>
      </c>
      <c r="O249" s="1414"/>
      <c r="P249" s="1414"/>
      <c r="Q249" s="1414"/>
      <c r="R249" s="1501" t="s">
        <v>12</v>
      </c>
      <c r="S249" s="1527"/>
      <c r="T249" s="1528"/>
      <c r="U249" s="1575"/>
      <c r="V249" s="1490"/>
      <c r="W249" s="1478" t="str">
        <f t="shared" si="97"/>
        <v>04.13.01</v>
      </c>
      <c r="X249" s="1478" t="str">
        <f t="shared" si="98"/>
        <v>Jalan</v>
      </c>
      <c r="Y249" s="1478">
        <f>VLOOKUP(W249,UE,4,FALSE)</f>
        <v>10</v>
      </c>
      <c r="Z249" s="1401"/>
      <c r="AA249" s="1444"/>
      <c r="AB249" s="1401"/>
      <c r="AC249" s="1401"/>
      <c r="AD249" s="1401"/>
      <c r="AE249" s="1401"/>
      <c r="AF249" s="1401"/>
      <c r="AG249" s="1479"/>
      <c r="AH249" s="1479"/>
      <c r="AI249" s="1479"/>
      <c r="AJ249" s="1401">
        <f t="shared" si="99"/>
        <v>0</v>
      </c>
    </row>
    <row r="250" spans="1:36" s="1407" customFormat="1" ht="35" customHeight="1" x14ac:dyDescent="0.2">
      <c r="A250" s="1390">
        <v>122</v>
      </c>
      <c r="B250" s="1472" t="str">
        <f t="shared" si="88"/>
        <v>SIMP. SEI. PINANG - TANJUNG</v>
      </c>
      <c r="C250" s="1478" t="e">
        <f>RIGHT(#REF!,1)</f>
        <v>#REF!</v>
      </c>
      <c r="D250" s="1587"/>
      <c r="E250" s="1539" t="s">
        <v>1438</v>
      </c>
      <c r="F250" s="1529">
        <v>2960652854.1300001</v>
      </c>
      <c r="G250" s="1501" t="s">
        <v>2494</v>
      </c>
      <c r="H250" s="1501"/>
      <c r="I250" s="1414"/>
      <c r="J250" s="1526"/>
      <c r="K250" s="1416"/>
      <c r="L250" s="1430"/>
      <c r="M250" s="1429" t="s">
        <v>3215</v>
      </c>
      <c r="N250" s="1501">
        <v>2016</v>
      </c>
      <c r="O250" s="1414"/>
      <c r="P250" s="1414"/>
      <c r="Q250" s="1414"/>
      <c r="R250" s="1501" t="s">
        <v>12</v>
      </c>
      <c r="S250" s="1527"/>
      <c r="T250" s="1528"/>
      <c r="U250" s="1575"/>
      <c r="V250" s="1490"/>
      <c r="W250" s="1478" t="str">
        <f t="shared" si="97"/>
        <v>04.13.01</v>
      </c>
      <c r="X250" s="1478" t="str">
        <f t="shared" si="98"/>
        <v>Jalan</v>
      </c>
      <c r="Y250" s="1478">
        <f>VLOOKUP(W250,UE,4,FALSE)</f>
        <v>10</v>
      </c>
      <c r="Z250" s="1401"/>
      <c r="AA250" s="1444"/>
      <c r="AB250" s="1401"/>
      <c r="AC250" s="1401"/>
      <c r="AD250" s="1401"/>
      <c r="AE250" s="1401"/>
      <c r="AF250" s="1401"/>
      <c r="AG250" s="1479"/>
      <c r="AH250" s="1479"/>
      <c r="AI250" s="1479"/>
      <c r="AJ250" s="1401">
        <f t="shared" si="99"/>
        <v>0</v>
      </c>
    </row>
    <row r="251" spans="1:36" s="1472" customFormat="1" ht="35" customHeight="1" x14ac:dyDescent="0.2">
      <c r="A251" s="1472">
        <v>122</v>
      </c>
      <c r="B251" s="1472" t="str">
        <f t="shared" si="88"/>
        <v>SIMP. SEI. PINANG - TANJUNG</v>
      </c>
      <c r="C251" s="1478" t="e">
        <f>RIGHT(#REF!,1)</f>
        <v>#REF!</v>
      </c>
      <c r="D251" s="1576"/>
      <c r="E251" s="1413" t="s">
        <v>3318</v>
      </c>
      <c r="F251" s="1539">
        <v>2257584511</v>
      </c>
      <c r="G251" s="1416" t="s">
        <v>2494</v>
      </c>
      <c r="H251" s="1414"/>
      <c r="I251" s="1416"/>
      <c r="J251" s="1500"/>
      <c r="K251" s="1416"/>
      <c r="L251" s="1500"/>
      <c r="M251" s="1429" t="s">
        <v>3296</v>
      </c>
      <c r="N251" s="1416">
        <v>2018</v>
      </c>
      <c r="O251" s="1414"/>
      <c r="P251" s="1414"/>
      <c r="Q251" s="1414"/>
      <c r="R251" s="1501" t="s">
        <v>12</v>
      </c>
      <c r="S251" s="1529"/>
      <c r="T251" s="1528"/>
      <c r="U251" s="1575"/>
      <c r="V251" s="1490"/>
      <c r="W251" s="1478" t="str">
        <f t="shared" si="97"/>
        <v>04.13.01</v>
      </c>
      <c r="X251" s="1478" t="str">
        <f t="shared" si="98"/>
        <v>Jalan</v>
      </c>
      <c r="Y251" s="1478">
        <f>VLOOKUP(W251,UE,4,FALSE)</f>
        <v>10</v>
      </c>
      <c r="Z251" s="1401"/>
      <c r="AA251" s="1444"/>
      <c r="AB251" s="1401"/>
      <c r="AC251" s="1401"/>
      <c r="AD251" s="1401"/>
      <c r="AE251" s="1401"/>
      <c r="AF251" s="1401"/>
      <c r="AG251" s="1479"/>
      <c r="AH251" s="1479"/>
      <c r="AI251" s="1479"/>
      <c r="AJ251" s="1401">
        <f t="shared" si="99"/>
        <v>0</v>
      </c>
    </row>
    <row r="252" spans="1:36" s="1390" customFormat="1" ht="35" customHeight="1" x14ac:dyDescent="0.2">
      <c r="A252" s="1390">
        <v>123</v>
      </c>
      <c r="B252" s="1472" t="str">
        <f t="shared" si="88"/>
        <v>SAIK - KOTO KOMBU</v>
      </c>
      <c r="C252" s="1478" t="e">
        <f>RIGHT(#REF!,1)</f>
        <v>#REF!</v>
      </c>
      <c r="D252" s="1426">
        <v>97</v>
      </c>
      <c r="E252" s="1429" t="s">
        <v>5840</v>
      </c>
      <c r="F252" s="1539"/>
      <c r="G252" s="1517" t="s">
        <v>2494</v>
      </c>
      <c r="H252" s="1518"/>
      <c r="I252" s="1518" t="s">
        <v>484</v>
      </c>
      <c r="J252" s="1533" t="s">
        <v>520</v>
      </c>
      <c r="K252" s="1517"/>
      <c r="L252" s="1519"/>
      <c r="M252" s="1518" t="s">
        <v>695</v>
      </c>
      <c r="N252" s="1517">
        <v>2001</v>
      </c>
      <c r="O252" s="1518"/>
      <c r="P252" s="1518"/>
      <c r="Q252" s="1518" t="s">
        <v>482</v>
      </c>
      <c r="R252" s="1517" t="s">
        <v>12</v>
      </c>
      <c r="S252" s="1520">
        <f>1440000000+F253</f>
        <v>1637462951</v>
      </c>
      <c r="T252" s="1517" t="s">
        <v>43</v>
      </c>
      <c r="U252" s="1572"/>
      <c r="V252" s="1521"/>
      <c r="W252" s="1478" t="str">
        <f t="shared" si="97"/>
        <v>04.13.01</v>
      </c>
      <c r="X252" s="1478" t="str">
        <f t="shared" si="98"/>
        <v>Jalan</v>
      </c>
      <c r="Y252" s="1478">
        <f>VLOOKUP(W252,UE,4,FALSE)</f>
        <v>10</v>
      </c>
      <c r="Z252" s="1401"/>
      <c r="AA252" s="1444">
        <f>IF(2013-N252&gt;Y252,10,IF(2013-N252&lt;0,0,2013-N252))</f>
        <v>10</v>
      </c>
      <c r="AB252" s="1401">
        <f>SUM(PERHITUNGAN!U798:U802)</f>
        <v>1440000000</v>
      </c>
      <c r="AC252" s="1479">
        <f>SUMIF(PERHITUNGAN!A:A,'KIB D'!B252&amp;'KIB D'!$AC$7,PERHITUNGAN!U:U)</f>
        <v>19746295.100000001</v>
      </c>
      <c r="AD252" s="1479">
        <f>SUMIF(PERHITUNGAN!A:A,'KIB D'!B252&amp;'KIB D'!$AD$7,PERHITUNGAN!U:U)</f>
        <v>19746295.100000001</v>
      </c>
      <c r="AE252" s="1479">
        <f>SUMIF(PERHITUNGAN!A:A,'KIB D'!B252&amp;'KIB D'!$AE$7,PERHITUNGAN!U:U)</f>
        <v>19746295.100000001</v>
      </c>
      <c r="AF252" s="1479">
        <f>SUMIF(PERHITUNGAN!A:A,'KIB D'!B252&amp;'KIB D'!$AF$7,PERHITUNGAN!U:U)</f>
        <v>19746295.100000001</v>
      </c>
      <c r="AG252" s="1479">
        <f>SUMIF(PERHITUNGAN!A:A,'KIB D'!B252&amp;'KIB D'!$AG$7,PERHITUNGAN!U:U)</f>
        <v>19746295.100000001</v>
      </c>
      <c r="AH252" s="1479">
        <f>SUMIF(PERHITUNGAN!A:A,'KIB D'!B252&amp;'KIB D'!$AH$7,PERHITUNGAN!U:U)</f>
        <v>19746295.100000001</v>
      </c>
      <c r="AI252" s="1479">
        <f>SUM(AB252:AH252)</f>
        <v>1558477770.5999994</v>
      </c>
      <c r="AJ252" s="1401">
        <f t="shared" si="99"/>
        <v>78985180.400000572</v>
      </c>
    </row>
    <row r="253" spans="1:36" s="1390" customFormat="1" ht="35" customHeight="1" x14ac:dyDescent="0.2">
      <c r="A253" s="1390">
        <v>123</v>
      </c>
      <c r="B253" s="1472" t="str">
        <f t="shared" si="88"/>
        <v>SAIK - KOTO KOMBU</v>
      </c>
      <c r="C253" s="1478" t="e">
        <f>RIGHT(#REF!,1)</f>
        <v>#REF!</v>
      </c>
      <c r="D253" s="1426"/>
      <c r="E253" s="1429" t="s">
        <v>1320</v>
      </c>
      <c r="F253" s="1539">
        <v>197462951</v>
      </c>
      <c r="G253" s="1517" t="s">
        <v>2494</v>
      </c>
      <c r="H253" s="1518"/>
      <c r="I253" s="1518"/>
      <c r="J253" s="1519">
        <v>0</v>
      </c>
      <c r="K253" s="1517"/>
      <c r="L253" s="1519">
        <v>0</v>
      </c>
      <c r="M253" s="1518" t="s">
        <v>3193</v>
      </c>
      <c r="N253" s="1517">
        <v>2014</v>
      </c>
      <c r="O253" s="1518"/>
      <c r="P253" s="1518"/>
      <c r="Q253" s="1518"/>
      <c r="R253" s="1517" t="s">
        <v>12</v>
      </c>
      <c r="S253" s="1520"/>
      <c r="T253" s="1518"/>
      <c r="U253" s="1572"/>
      <c r="V253" s="1521"/>
      <c r="W253" s="1478" t="str">
        <f t="shared" si="97"/>
        <v>04.13.01</v>
      </c>
      <c r="X253" s="1478" t="str">
        <f t="shared" si="98"/>
        <v>Jalan</v>
      </c>
      <c r="Y253" s="1478"/>
      <c r="Z253" s="1401"/>
      <c r="AA253" s="1444"/>
      <c r="AB253" s="1401"/>
      <c r="AC253" s="1401"/>
      <c r="AD253" s="1401"/>
      <c r="AE253" s="1401"/>
      <c r="AF253" s="1401"/>
      <c r="AG253" s="1479"/>
      <c r="AH253" s="1479"/>
      <c r="AI253" s="1479"/>
      <c r="AJ253" s="1401">
        <f t="shared" si="99"/>
        <v>0</v>
      </c>
    </row>
    <row r="254" spans="1:36" s="1390" customFormat="1" ht="35" customHeight="1" x14ac:dyDescent="0.15">
      <c r="A254" s="1390">
        <v>124</v>
      </c>
      <c r="B254" s="1472" t="str">
        <f t="shared" si="88"/>
        <v>MUDIK ULO - SUMPU</v>
      </c>
      <c r="C254" s="1516" t="s">
        <v>4247</v>
      </c>
      <c r="D254" s="1426">
        <v>98</v>
      </c>
      <c r="E254" s="1429" t="s">
        <v>5841</v>
      </c>
      <c r="F254" s="1539"/>
      <c r="G254" s="1517" t="s">
        <v>2494</v>
      </c>
      <c r="H254" s="1518"/>
      <c r="I254" s="1518" t="s">
        <v>484</v>
      </c>
      <c r="J254" s="1533" t="s">
        <v>491</v>
      </c>
      <c r="K254" s="1517">
        <v>7</v>
      </c>
      <c r="L254" s="1519">
        <v>49000</v>
      </c>
      <c r="M254" s="1518" t="s">
        <v>3829</v>
      </c>
      <c r="N254" s="1517">
        <v>2001</v>
      </c>
      <c r="O254" s="1518"/>
      <c r="P254" s="1518"/>
      <c r="Q254" s="1518" t="s">
        <v>384</v>
      </c>
      <c r="R254" s="1517" t="s">
        <v>12</v>
      </c>
      <c r="S254" s="1520">
        <f>864000000+F255+F256+F258+F259+F257+F260</f>
        <v>6867448288.5702877</v>
      </c>
      <c r="T254" s="1517" t="s">
        <v>43</v>
      </c>
      <c r="U254" s="1572"/>
      <c r="V254" s="1521"/>
      <c r="W254" s="1522" t="str">
        <f t="shared" si="97"/>
        <v>04.13.01</v>
      </c>
      <c r="X254" s="1478" t="str">
        <f t="shared" si="98"/>
        <v>Jalan</v>
      </c>
      <c r="Y254" s="1478">
        <f>VLOOKUP(W254,UE,4,FALSE)</f>
        <v>10</v>
      </c>
      <c r="Z254" s="1401"/>
      <c r="AA254" s="1444">
        <f>IF(2013-N254&gt;Y254,10,IF(2013-N254&lt;0,0,2013-N254))</f>
        <v>10</v>
      </c>
      <c r="AB254" s="1401">
        <f>SUM(PERHITUNGAN!U817:U823)</f>
        <v>1724590833.6597266</v>
      </c>
      <c r="AC254" s="1479">
        <f>SUMIF(PERHITUNGAN!A:A,'KIB D'!B254&amp;'KIB D'!$AC$7,PERHITUNGAN!U:U)</f>
        <v>130297620.26764035</v>
      </c>
      <c r="AD254" s="1479">
        <f>SUMIF(PERHITUNGAN!A:A,'KIB D'!B254&amp;'KIB D'!$AD$7,PERHITUNGAN!U:U)</f>
        <v>130297620.26764035</v>
      </c>
      <c r="AE254" s="1479">
        <f>SUMIF(PERHITUNGAN!A:A,'KIB D'!B254&amp;'KIB D'!$AE$7,PERHITUNGAN!U:U)</f>
        <v>225841946.73752803</v>
      </c>
      <c r="AF254" s="1479">
        <f>SUMIF(PERHITUNGAN!A:A,'KIB D'!B254&amp;'KIB D'!$AF$7,PERHITUNGAN!U:U)</f>
        <v>225841946.73752803</v>
      </c>
      <c r="AG254" s="1479">
        <f>SUMIF(PERHITUNGAN!A:A,'KIB D'!B254&amp;'KIB D'!$AG$7,PERHITUNGAN!U:U)</f>
        <v>219844257.39002243</v>
      </c>
      <c r="AH254" s="1479">
        <f>SUMIF(PERHITUNGAN!A:A,'KIB D'!B254&amp;'KIB D'!$AH$7,PERHITUNGAN!U:U)</f>
        <v>421073406.35102016</v>
      </c>
      <c r="AI254" s="1479">
        <f>SUM(AB254:AH254)</f>
        <v>3077787631.4111056</v>
      </c>
      <c r="AJ254" s="1401">
        <f t="shared" si="99"/>
        <v>3789660657.1591821</v>
      </c>
    </row>
    <row r="255" spans="1:36" s="1390" customFormat="1" ht="35" customHeight="1" x14ac:dyDescent="0.15">
      <c r="A255" s="1390">
        <v>124</v>
      </c>
      <c r="B255" s="1472" t="str">
        <f t="shared" si="88"/>
        <v>MUDIK ULO - SUMPU</v>
      </c>
      <c r="C255" s="1516" t="s">
        <v>4247</v>
      </c>
      <c r="D255" s="1426"/>
      <c r="E255" s="1429" t="s">
        <v>529</v>
      </c>
      <c r="F255" s="1539">
        <v>540000000</v>
      </c>
      <c r="G255" s="1517" t="s">
        <v>2494</v>
      </c>
      <c r="H255" s="1518"/>
      <c r="I255" s="1518" t="s">
        <v>8</v>
      </c>
      <c r="J255" s="1519" t="s">
        <v>491</v>
      </c>
      <c r="K255" s="1517"/>
      <c r="L255" s="1519">
        <v>0</v>
      </c>
      <c r="M255" s="1518" t="s">
        <v>3829</v>
      </c>
      <c r="N255" s="1517">
        <v>2001</v>
      </c>
      <c r="O255" s="1518"/>
      <c r="P255" s="1518"/>
      <c r="Q255" s="1518" t="s">
        <v>384</v>
      </c>
      <c r="R255" s="1517" t="s">
        <v>12</v>
      </c>
      <c r="S255" s="1520"/>
      <c r="T255" s="1517" t="s">
        <v>43</v>
      </c>
      <c r="U255" s="1572"/>
      <c r="V255" s="1521"/>
      <c r="W255" s="1522" t="str">
        <f t="shared" si="97"/>
        <v>04.13.01</v>
      </c>
      <c r="X255" s="1478" t="str">
        <f t="shared" si="98"/>
        <v>Jalan</v>
      </c>
      <c r="Y255" s="1478">
        <f>VLOOKUP(W255,UE,4,FALSE)</f>
        <v>10</v>
      </c>
      <c r="Z255" s="1401"/>
      <c r="AA255" s="1444"/>
      <c r="AB255" s="1401"/>
      <c r="AC255" s="1401"/>
      <c r="AD255" s="1401"/>
      <c r="AE255" s="1401"/>
      <c r="AF255" s="1401"/>
      <c r="AG255" s="1479"/>
      <c r="AH255" s="1479"/>
      <c r="AI255" s="1479"/>
      <c r="AJ255" s="1401">
        <f t="shared" si="99"/>
        <v>0</v>
      </c>
    </row>
    <row r="256" spans="1:36" s="1390" customFormat="1" ht="35" customHeight="1" x14ac:dyDescent="0.2">
      <c r="A256" s="1390">
        <v>124</v>
      </c>
      <c r="B256" s="1472" t="str">
        <f t="shared" si="88"/>
        <v>MUDIK ULO - SUMPU</v>
      </c>
      <c r="C256" s="1478"/>
      <c r="D256" s="1426"/>
      <c r="E256" s="1429" t="s">
        <v>5056</v>
      </c>
      <c r="F256" s="1539">
        <v>442451120.5388456</v>
      </c>
      <c r="G256" s="1416" t="s">
        <v>2494</v>
      </c>
      <c r="H256" s="1508"/>
      <c r="I256" s="1416"/>
      <c r="J256" s="1500"/>
      <c r="K256" s="1416"/>
      <c r="L256" s="1500"/>
      <c r="M256" s="1429" t="s">
        <v>3118</v>
      </c>
      <c r="N256" s="1416">
        <v>2007</v>
      </c>
      <c r="O256" s="1414"/>
      <c r="P256" s="1414"/>
      <c r="Q256" s="1414"/>
      <c r="R256" s="1416" t="s">
        <v>12</v>
      </c>
      <c r="S256" s="1529"/>
      <c r="T256" s="1416" t="s">
        <v>43</v>
      </c>
      <c r="U256" s="1427"/>
      <c r="V256" s="1477"/>
      <c r="W256" s="1478"/>
      <c r="X256" s="1478"/>
      <c r="Y256" s="1478"/>
      <c r="Z256" s="1401"/>
      <c r="AA256" s="1444"/>
      <c r="AB256" s="1401"/>
      <c r="AC256" s="1401"/>
      <c r="AD256" s="1401"/>
      <c r="AE256" s="1401"/>
      <c r="AF256" s="1401"/>
      <c r="AG256" s="1479"/>
      <c r="AH256" s="1479"/>
      <c r="AI256" s="1479"/>
      <c r="AJ256" s="1401"/>
    </row>
    <row r="257" spans="1:36" s="1390" customFormat="1" ht="35" customHeight="1" x14ac:dyDescent="0.2">
      <c r="A257" s="1390">
        <v>124</v>
      </c>
      <c r="B257" s="1472" t="str">
        <f t="shared" si="88"/>
        <v>MUDIK ULO - SUMPU</v>
      </c>
      <c r="C257" s="1478"/>
      <c r="D257" s="1426"/>
      <c r="E257" s="1577" t="s">
        <v>5425</v>
      </c>
      <c r="F257" s="1539">
        <v>399330194.19144249</v>
      </c>
      <c r="G257" s="1416" t="s">
        <v>2494</v>
      </c>
      <c r="H257" s="1508"/>
      <c r="I257" s="1416"/>
      <c r="J257" s="1500"/>
      <c r="K257" s="1416"/>
      <c r="L257" s="1500"/>
      <c r="M257" s="1523" t="s">
        <v>3654</v>
      </c>
      <c r="N257" s="1416">
        <v>2008</v>
      </c>
      <c r="O257" s="1414"/>
      <c r="P257" s="1523" t="s">
        <v>5084</v>
      </c>
      <c r="Q257" s="1523"/>
      <c r="R257" s="1523" t="s">
        <v>12</v>
      </c>
      <c r="S257" s="1524"/>
      <c r="T257" s="1525" t="s">
        <v>43</v>
      </c>
      <c r="U257" s="1574"/>
      <c r="V257" s="1477"/>
      <c r="W257" s="1478"/>
      <c r="X257" s="1478"/>
      <c r="Y257" s="1478"/>
      <c r="Z257" s="1401"/>
      <c r="AA257" s="1444"/>
      <c r="AB257" s="1401"/>
      <c r="AC257" s="1401"/>
      <c r="AD257" s="1401"/>
      <c r="AE257" s="1401"/>
      <c r="AF257" s="1401"/>
      <c r="AG257" s="1479"/>
      <c r="AH257" s="1479"/>
      <c r="AI257" s="1479"/>
      <c r="AJ257" s="1401"/>
    </row>
    <row r="258" spans="1:36" s="1390" customFormat="1" ht="35" customHeight="1" x14ac:dyDescent="0.15">
      <c r="A258" s="1390">
        <v>124</v>
      </c>
      <c r="B258" s="1472" t="str">
        <f t="shared" si="88"/>
        <v>MUDIK ULO - SUMPU</v>
      </c>
      <c r="C258" s="1516" t="s">
        <v>4247</v>
      </c>
      <c r="D258" s="1426"/>
      <c r="E258" s="1429" t="s">
        <v>1439</v>
      </c>
      <c r="F258" s="1539">
        <v>1997824226.8399999</v>
      </c>
      <c r="G258" s="1517" t="s">
        <v>2494</v>
      </c>
      <c r="H258" s="1518"/>
      <c r="I258" s="1518"/>
      <c r="J258" s="1519">
        <v>0</v>
      </c>
      <c r="K258" s="1517"/>
      <c r="L258" s="1519">
        <v>0</v>
      </c>
      <c r="M258" s="1518" t="s">
        <v>3256</v>
      </c>
      <c r="N258" s="1517">
        <v>2016</v>
      </c>
      <c r="O258" s="1518"/>
      <c r="P258" s="1518"/>
      <c r="Q258" s="1518"/>
      <c r="R258" s="1517" t="s">
        <v>12</v>
      </c>
      <c r="S258" s="1520"/>
      <c r="T258" s="1518"/>
      <c r="U258" s="1572"/>
      <c r="V258" s="1521"/>
      <c r="W258" s="1522" t="str">
        <f>LEFT(G258,8)</f>
        <v>04.13.01</v>
      </c>
      <c r="X258" s="1478" t="str">
        <f>VLOOKUP(W258,UE,3,FALSE)</f>
        <v>Jalan</v>
      </c>
      <c r="Y258" s="1478">
        <f>VLOOKUP(W258,UE,4,FALSE)</f>
        <v>10</v>
      </c>
      <c r="Z258" s="1401"/>
      <c r="AA258" s="1444">
        <f>IF(2013-N258&gt;Y258,10,IF(2013-N258&lt;0,0,2013-N258))</f>
        <v>0</v>
      </c>
      <c r="AB258" s="1401"/>
      <c r="AC258" s="1401"/>
      <c r="AD258" s="1401"/>
      <c r="AE258" s="1401"/>
      <c r="AF258" s="1401"/>
      <c r="AG258" s="1479"/>
      <c r="AH258" s="1479"/>
      <c r="AI258" s="1479"/>
      <c r="AJ258" s="1401">
        <f>S258-AI258</f>
        <v>0</v>
      </c>
    </row>
    <row r="259" spans="1:36" s="1390" customFormat="1" ht="35" customHeight="1" x14ac:dyDescent="0.15">
      <c r="A259" s="1390">
        <v>124</v>
      </c>
      <c r="B259" s="1472" t="str">
        <f t="shared" si="88"/>
        <v>MUDIK ULO - SUMPU</v>
      </c>
      <c r="C259" s="1516" t="s">
        <v>4247</v>
      </c>
      <c r="D259" s="1426"/>
      <c r="E259" s="1429" t="s">
        <v>3340</v>
      </c>
      <c r="F259" s="1539">
        <v>391707000</v>
      </c>
      <c r="G259" s="1517" t="s">
        <v>2494</v>
      </c>
      <c r="H259" s="1518"/>
      <c r="I259" s="1518"/>
      <c r="J259" s="1519">
        <v>0</v>
      </c>
      <c r="K259" s="1517"/>
      <c r="L259" s="1519">
        <v>0</v>
      </c>
      <c r="M259" s="1518" t="s">
        <v>3311</v>
      </c>
      <c r="N259" s="1517">
        <v>2018</v>
      </c>
      <c r="O259" s="1518"/>
      <c r="P259" s="1518"/>
      <c r="Q259" s="1518"/>
      <c r="R259" s="1517" t="s">
        <v>12</v>
      </c>
      <c r="S259" s="1520"/>
      <c r="T259" s="1518"/>
      <c r="U259" s="1572"/>
      <c r="V259" s="1521"/>
      <c r="W259" s="1522" t="str">
        <f>LEFT(G259,8)</f>
        <v>04.13.01</v>
      </c>
      <c r="X259" s="1478" t="str">
        <f>VLOOKUP(W259,UE,3,FALSE)</f>
        <v>Jalan</v>
      </c>
      <c r="Y259" s="1478">
        <f>VLOOKUP(W259,UE,4,FALSE)</f>
        <v>10</v>
      </c>
      <c r="Z259" s="1401"/>
      <c r="AA259" s="1444">
        <f>IF(2013-N259&gt;Y259,10,IF(2013-N259&lt;0,0,2013-N259))</f>
        <v>0</v>
      </c>
      <c r="AB259" s="1401"/>
      <c r="AC259" s="1401"/>
      <c r="AD259" s="1401"/>
      <c r="AE259" s="1401"/>
      <c r="AF259" s="1401"/>
      <c r="AG259" s="1479"/>
      <c r="AH259" s="1479"/>
      <c r="AI259" s="1479"/>
      <c r="AJ259" s="1401">
        <f>S259-AI259</f>
        <v>0</v>
      </c>
    </row>
    <row r="260" spans="1:36" s="1390" customFormat="1" ht="35" customHeight="1" x14ac:dyDescent="0.15">
      <c r="A260" s="1390">
        <v>124</v>
      </c>
      <c r="B260" s="1472" t="str">
        <f t="shared" si="88"/>
        <v>MUDIK ULO - SUMPU</v>
      </c>
      <c r="C260" s="1516"/>
      <c r="D260" s="1426"/>
      <c r="E260" s="1429" t="s">
        <v>5677</v>
      </c>
      <c r="F260" s="1539">
        <v>2232135747</v>
      </c>
      <c r="G260" s="1517" t="s">
        <v>2494</v>
      </c>
      <c r="H260" s="1518"/>
      <c r="I260" s="1518"/>
      <c r="J260" s="1519"/>
      <c r="K260" s="1517"/>
      <c r="L260" s="1519"/>
      <c r="M260" s="1518" t="s">
        <v>3654</v>
      </c>
      <c r="N260" s="1517">
        <v>2019</v>
      </c>
      <c r="O260" s="1518" t="s">
        <v>5487</v>
      </c>
      <c r="P260" s="1518" t="s">
        <v>433</v>
      </c>
      <c r="Q260" s="1518"/>
      <c r="R260" s="1517" t="s">
        <v>12</v>
      </c>
      <c r="S260" s="1520"/>
      <c r="T260" s="1518"/>
      <c r="U260" s="1572"/>
      <c r="V260" s="1521"/>
      <c r="W260" s="1522"/>
      <c r="X260" s="1478"/>
      <c r="Y260" s="1478"/>
      <c r="Z260" s="1401"/>
      <c r="AA260" s="1444"/>
      <c r="AB260" s="1401"/>
      <c r="AC260" s="1401"/>
      <c r="AD260" s="1401"/>
      <c r="AE260" s="1401"/>
      <c r="AF260" s="1401"/>
      <c r="AG260" s="1479"/>
      <c r="AH260" s="1479"/>
      <c r="AI260" s="1479"/>
      <c r="AJ260" s="1401"/>
    </row>
    <row r="261" spans="1:36" s="1390" customFormat="1" ht="35" customHeight="1" x14ac:dyDescent="0.2">
      <c r="A261" s="1390">
        <v>125</v>
      </c>
      <c r="B261" s="1472" t="str">
        <f t="shared" si="88"/>
        <v>LUBUK AMBACANG - AIR TERJUN BTG KOBAN</v>
      </c>
      <c r="C261" s="1478"/>
      <c r="D261" s="1426">
        <v>99</v>
      </c>
      <c r="E261" s="1573" t="s">
        <v>5136</v>
      </c>
      <c r="F261" s="1539"/>
      <c r="G261" s="1517" t="s">
        <v>2494</v>
      </c>
      <c r="H261" s="1508"/>
      <c r="I261" s="1523" t="s">
        <v>519</v>
      </c>
      <c r="J261" s="1540">
        <v>2000</v>
      </c>
      <c r="K261" s="1525"/>
      <c r="L261" s="1525">
        <v>2000</v>
      </c>
      <c r="M261" s="1523" t="s">
        <v>5137</v>
      </c>
      <c r="N261" s="1416">
        <v>2008</v>
      </c>
      <c r="O261" s="1414"/>
      <c r="P261" s="1523" t="s">
        <v>5084</v>
      </c>
      <c r="Q261" s="1414"/>
      <c r="R261" s="1523" t="s">
        <v>12</v>
      </c>
      <c r="S261" s="1529">
        <v>2998815178.4516912</v>
      </c>
      <c r="T261" s="1525" t="s">
        <v>43</v>
      </c>
      <c r="U261" s="1574"/>
      <c r="V261" s="1477"/>
      <c r="W261" s="1478" t="str">
        <f>LEFT(G261,8)</f>
        <v>04.13.01</v>
      </c>
      <c r="X261" s="1478" t="str">
        <f>VLOOKUP(W261,UE,3,FALSE)</f>
        <v>Jalan</v>
      </c>
      <c r="Y261" s="1478">
        <f>VLOOKUP(W261,UE,4,FALSE)</f>
        <v>10</v>
      </c>
      <c r="Z261" s="1401">
        <f>S261/Y261</f>
        <v>299881517.84516913</v>
      </c>
      <c r="AA261" s="1444">
        <f>IF(2013-N261+1&gt;Y261,Y261,IF(2013-N261+1&lt;0,0,2013-N261+1))</f>
        <v>6</v>
      </c>
      <c r="AB261" s="1401">
        <f>IF(AA261&gt;Y261,S261,Z261*AA261)</f>
        <v>1799289107.0710149</v>
      </c>
      <c r="AC261" s="1401">
        <f>IF(S261=AB261,0,Z261)</f>
        <v>299881517.84516913</v>
      </c>
      <c r="AD261" s="1401">
        <f>IF(S261=AB261+AC261,0,Z261)</f>
        <v>299881517.84516913</v>
      </c>
      <c r="AE261" s="1401">
        <f>IF(S261=AB261+AC261+AD261,0,Z261)</f>
        <v>299881517.84516913</v>
      </c>
      <c r="AF261" s="1401">
        <f>IF(S261=AC261+AD261+AE261+AB261,0,Z261)</f>
        <v>299881517.84516913</v>
      </c>
      <c r="AG261" s="1479">
        <f>IF(S261=AC261+AD261+AE261+AB261+AF261,0,Z261)</f>
        <v>0</v>
      </c>
      <c r="AH261" s="1479">
        <f>IF(S261=AC261+AD261+AE261+AB261+AF261+AG261,0,Z261)</f>
        <v>0</v>
      </c>
      <c r="AI261" s="1479">
        <f>SUM(AB261:AH261)</f>
        <v>2998815178.4516912</v>
      </c>
      <c r="AJ261" s="1401">
        <f>S261-AI261</f>
        <v>0</v>
      </c>
    </row>
    <row r="262" spans="1:36" s="1390" customFormat="1" ht="35" customHeight="1" x14ac:dyDescent="0.2">
      <c r="A262" s="1390">
        <v>126</v>
      </c>
      <c r="B262" s="1472" t="str">
        <f t="shared" si="88"/>
        <v>MUDIK ULO - TANJUNG MEDANG</v>
      </c>
      <c r="C262" s="1478" t="e">
        <f>RIGHT(#REF!,1)</f>
        <v>#REF!</v>
      </c>
      <c r="D262" s="1426">
        <v>100</v>
      </c>
      <c r="E262" s="1429" t="s">
        <v>5842</v>
      </c>
      <c r="F262" s="1539"/>
      <c r="G262" s="1517" t="s">
        <v>2494</v>
      </c>
      <c r="H262" s="1518"/>
      <c r="I262" s="1518" t="s">
        <v>484</v>
      </c>
      <c r="J262" s="1533" t="s">
        <v>490</v>
      </c>
      <c r="K262" s="1517"/>
      <c r="L262" s="1519">
        <v>0</v>
      </c>
      <c r="M262" s="1518" t="s">
        <v>693</v>
      </c>
      <c r="N262" s="1517">
        <v>2001</v>
      </c>
      <c r="O262" s="1518"/>
      <c r="P262" s="1518"/>
      <c r="Q262" s="1518" t="s">
        <v>384</v>
      </c>
      <c r="R262" s="1517" t="s">
        <v>12</v>
      </c>
      <c r="S262" s="1520">
        <f>643500000+F264+F263</f>
        <v>2481824988.798521</v>
      </c>
      <c r="T262" s="1517" t="s">
        <v>43</v>
      </c>
      <c r="U262" s="1572"/>
      <c r="V262" s="1521"/>
      <c r="W262" s="1478" t="str">
        <f>LEFT(G262,8)</f>
        <v>04.13.01</v>
      </c>
      <c r="X262" s="1478" t="str">
        <f>VLOOKUP(W262,UE,3,FALSE)</f>
        <v>Jalan</v>
      </c>
      <c r="Y262" s="1478">
        <f>VLOOKUP(W262,UE,4,FALSE)</f>
        <v>10</v>
      </c>
      <c r="Z262" s="1401"/>
      <c r="AA262" s="1444">
        <f>IF(2013-N262&gt;Y262,10,IF(2013-N262&lt;0,0,2013-N262))</f>
        <v>10</v>
      </c>
      <c r="AB262" s="1401">
        <f>SUM(PERHITUNGAN!U840:U849)</f>
        <v>1531964189.5091863</v>
      </c>
      <c r="AC262" s="1479">
        <f>SUMIF(PERHITUNGAN!A:A,'KIB D'!B262&amp;'KIB D'!$AC$7,PERHITUNGAN!U:U)</f>
        <v>189972159.85786685</v>
      </c>
      <c r="AD262" s="1479">
        <f>SUMIF(PERHITUNGAN!A:A,'KIB D'!B262&amp;'KIB D'!$AD$7,PERHITUNGAN!U:U)</f>
        <v>189972159.85786685</v>
      </c>
      <c r="AE262" s="1479">
        <f>SUMIF(PERHITUNGAN!A:A,'KIB D'!B262&amp;'KIB D'!$AE$7,PERHITUNGAN!U:U)</f>
        <v>189972159.85786685</v>
      </c>
      <c r="AF262" s="1479">
        <f>SUMIF(PERHITUNGAN!A:A,'KIB D'!B262&amp;'KIB D'!$AF$7,PERHITUNGAN!U:U)</f>
        <v>189972159.85786685</v>
      </c>
      <c r="AG262" s="1479">
        <f>SUMIF(PERHITUNGAN!A:A,'KIB D'!B262&amp;'KIB D'!$AG$7,PERHITUNGAN!U:U)</f>
        <v>189972159.85786685</v>
      </c>
      <c r="AH262" s="1479">
        <f>SUMIF(PERHITUNGAN!A:A,'KIB D'!B262&amp;'KIB D'!$AH$7,PERHITUNGAN!U:U)</f>
        <v>0</v>
      </c>
      <c r="AI262" s="1479">
        <f>SUM(AB262:AH262)</f>
        <v>2481824988.7985201</v>
      </c>
      <c r="AJ262" s="1401">
        <f>S262-AI262</f>
        <v>0</v>
      </c>
    </row>
    <row r="263" spans="1:36" s="1390" customFormat="1" ht="35" customHeight="1" x14ac:dyDescent="0.2">
      <c r="A263" s="1390">
        <v>126</v>
      </c>
      <c r="B263" s="1472" t="str">
        <f t="shared" si="88"/>
        <v>MUDIK ULO - TANJUNG MEDANG</v>
      </c>
      <c r="C263" s="1478"/>
      <c r="D263" s="1426"/>
      <c r="E263" s="1573" t="s">
        <v>5139</v>
      </c>
      <c r="F263" s="1539">
        <v>1123483902.1985209</v>
      </c>
      <c r="G263" s="1416" t="s">
        <v>2494</v>
      </c>
      <c r="H263" s="1508"/>
      <c r="I263" s="1523" t="s">
        <v>519</v>
      </c>
      <c r="J263" s="1525">
        <v>1000</v>
      </c>
      <c r="K263" s="1525"/>
      <c r="L263" s="1525">
        <v>1000</v>
      </c>
      <c r="M263" s="1518" t="s">
        <v>693</v>
      </c>
      <c r="N263" s="1416">
        <v>2008</v>
      </c>
      <c r="O263" s="1414"/>
      <c r="P263" s="1523" t="s">
        <v>5084</v>
      </c>
      <c r="Q263" s="1414"/>
      <c r="R263" s="1523" t="s">
        <v>12</v>
      </c>
      <c r="S263" s="1529"/>
      <c r="T263" s="1525" t="s">
        <v>43</v>
      </c>
      <c r="U263" s="1574"/>
      <c r="V263" s="1477"/>
      <c r="W263" s="1478"/>
      <c r="X263" s="1478"/>
      <c r="Y263" s="1478"/>
      <c r="Z263" s="1401"/>
      <c r="AA263" s="1444"/>
      <c r="AB263" s="1401"/>
      <c r="AC263" s="1401"/>
      <c r="AD263" s="1401"/>
      <c r="AE263" s="1401"/>
      <c r="AF263" s="1401"/>
      <c r="AG263" s="1479"/>
      <c r="AH263" s="1479"/>
      <c r="AI263" s="1479"/>
      <c r="AJ263" s="1401"/>
    </row>
    <row r="264" spans="1:36" s="1390" customFormat="1" ht="35" customHeight="1" x14ac:dyDescent="0.2">
      <c r="A264" s="1390">
        <v>126</v>
      </c>
      <c r="B264" s="1472" t="str">
        <f t="shared" si="88"/>
        <v>MUDIK ULO - TANJUNG MEDANG</v>
      </c>
      <c r="C264" s="1478" t="e">
        <f>RIGHT(#REF!,1)</f>
        <v>#REF!</v>
      </c>
      <c r="D264" s="1426"/>
      <c r="E264" s="1429" t="s">
        <v>5071</v>
      </c>
      <c r="F264" s="1539">
        <v>714841086.60000002</v>
      </c>
      <c r="G264" s="1416" t="s">
        <v>2494</v>
      </c>
      <c r="H264" s="1508"/>
      <c r="I264" s="1416"/>
      <c r="J264" s="1500"/>
      <c r="K264" s="1416"/>
      <c r="L264" s="1500"/>
      <c r="M264" s="1429" t="s">
        <v>3656</v>
      </c>
      <c r="N264" s="1416">
        <v>2009</v>
      </c>
      <c r="O264" s="1414"/>
      <c r="P264" s="1414"/>
      <c r="Q264" s="1414"/>
      <c r="R264" s="1416" t="s">
        <v>12</v>
      </c>
      <c r="S264" s="1529"/>
      <c r="T264" s="1416" t="s">
        <v>43</v>
      </c>
      <c r="U264" s="1427"/>
      <c r="V264" s="1477"/>
      <c r="W264" s="1478" t="str">
        <f>LEFT(G264,8)</f>
        <v>04.13.01</v>
      </c>
      <c r="X264" s="1478" t="str">
        <f>VLOOKUP(W264,UE,3,FALSE)</f>
        <v>Jalan</v>
      </c>
      <c r="Y264" s="1478">
        <f>VLOOKUP(W264,UE,4,FALSE)</f>
        <v>10</v>
      </c>
      <c r="Z264" s="1401"/>
      <c r="AA264" s="1444"/>
      <c r="AB264" s="1401"/>
      <c r="AC264" s="1401"/>
      <c r="AD264" s="1401"/>
      <c r="AE264" s="1401"/>
      <c r="AF264" s="1401"/>
      <c r="AG264" s="1479"/>
      <c r="AH264" s="1479"/>
      <c r="AI264" s="1479"/>
      <c r="AJ264" s="1401">
        <f>S264-AI264</f>
        <v>0</v>
      </c>
    </row>
    <row r="265" spans="1:36" s="1390" customFormat="1" ht="35" customHeight="1" x14ac:dyDescent="0.2">
      <c r="A265" s="1390">
        <v>129</v>
      </c>
      <c r="B265" s="1472" t="str">
        <f t="shared" si="88"/>
        <v>BASERAH - PERHENTIAN LUAS</v>
      </c>
      <c r="C265" s="1478" t="e">
        <f>RIGHT(#REF!,1)</f>
        <v>#REF!</v>
      </c>
      <c r="D265" s="1426">
        <v>101</v>
      </c>
      <c r="E265" s="1429" t="s">
        <v>5843</v>
      </c>
      <c r="F265" s="1539"/>
      <c r="G265" s="1517" t="s">
        <v>2494</v>
      </c>
      <c r="H265" s="1518"/>
      <c r="I265" s="1518" t="s">
        <v>525</v>
      </c>
      <c r="J265" s="1533" t="s">
        <v>670</v>
      </c>
      <c r="K265" s="1517"/>
      <c r="L265" s="1519"/>
      <c r="M265" s="1518" t="s">
        <v>671</v>
      </c>
      <c r="N265" s="1517">
        <v>2001</v>
      </c>
      <c r="O265" s="1518"/>
      <c r="P265" s="1518"/>
      <c r="Q265" s="1518" t="s">
        <v>384</v>
      </c>
      <c r="R265" s="1517" t="s">
        <v>12</v>
      </c>
      <c r="S265" s="1520">
        <f>3159000000+F266+F271+F272+F269+F267+F268+F270</f>
        <v>11165358345.561752</v>
      </c>
      <c r="T265" s="1517" t="s">
        <v>43</v>
      </c>
      <c r="U265" s="1572"/>
      <c r="V265" s="1521"/>
      <c r="W265" s="1478" t="str">
        <f>LEFT(G265,8)</f>
        <v>04.13.01</v>
      </c>
      <c r="X265" s="1478" t="str">
        <f>VLOOKUP(W265,UE,3,FALSE)</f>
        <v>Jalan</v>
      </c>
      <c r="Y265" s="1478">
        <f>VLOOKUP(W265,UE,4,FALSE)</f>
        <v>10</v>
      </c>
      <c r="Z265" s="1401"/>
      <c r="AA265" s="1444">
        <f>IF(2013-N265&gt;Y265,10,IF(2013-N265&lt;0,0,2013-N265))</f>
        <v>10</v>
      </c>
      <c r="AB265" s="1401">
        <f>SUM(PERHITUNGAN!U864:U873)</f>
        <v>5294070443.1084604</v>
      </c>
      <c r="AC265" s="1479">
        <f>SUMIF(PERHITUNGAN!A:A,'KIB D'!B265&amp;'KIB D'!$AC$7,PERHITUNGAN!U:U)</f>
        <v>733910987.80666173</v>
      </c>
      <c r="AD265" s="1479">
        <f>SUMIF(PERHITUNGAN!A:A,'KIB D'!B265&amp;'KIB D'!$AD$7,PERHITUNGAN!U:U)</f>
        <v>733910987.80666173</v>
      </c>
      <c r="AE265" s="1479">
        <f>SUMIF(PERHITUNGAN!A:A,'KIB D'!B265&amp;'KIB D'!$AE$7,PERHITUNGAN!U:U)</f>
        <v>733910987.80666173</v>
      </c>
      <c r="AF265" s="1479">
        <f>SUMIF(PERHITUNGAN!A:A,'KIB D'!B265&amp;'KIB D'!$AF$7,PERHITUNGAN!U:U)</f>
        <v>733910987.80666173</v>
      </c>
      <c r="AG265" s="1479">
        <f>SUMIF(PERHITUNGAN!A:A,'KIB D'!B265&amp;'KIB D'!$AG$7,PERHITUNGAN!U:U)</f>
        <v>733910987.80666173</v>
      </c>
      <c r="AH265" s="1479">
        <f>SUMIF(PERHITUNGAN!A:A,'KIB D'!B265&amp;'KIB D'!$AH$7,PERHITUNGAN!U:U)</f>
        <v>733910987.80666173</v>
      </c>
      <c r="AI265" s="1479">
        <f>SUM(AB265:AH265)</f>
        <v>9697536369.948431</v>
      </c>
      <c r="AJ265" s="1401">
        <f>S265-AI265</f>
        <v>1467821975.6133213</v>
      </c>
    </row>
    <row r="266" spans="1:36" s="1390" customFormat="1" ht="35" customHeight="1" x14ac:dyDescent="0.2">
      <c r="A266" s="1390">
        <v>129</v>
      </c>
      <c r="B266" s="1472" t="str">
        <f t="shared" si="88"/>
        <v>BASERAH - PERHENTIAN LUAS</v>
      </c>
      <c r="C266" s="1478" t="s">
        <v>4247</v>
      </c>
      <c r="D266" s="1426"/>
      <c r="E266" s="1429" t="s">
        <v>1176</v>
      </c>
      <c r="F266" s="1539">
        <v>659658905.78583896</v>
      </c>
      <c r="G266" s="1517" t="s">
        <v>2494</v>
      </c>
      <c r="H266" s="1518"/>
      <c r="I266" s="1518" t="s">
        <v>835</v>
      </c>
      <c r="J266" s="1519">
        <v>2</v>
      </c>
      <c r="K266" s="1517">
        <v>2.5</v>
      </c>
      <c r="L266" s="1519">
        <v>5</v>
      </c>
      <c r="M266" s="1518" t="s">
        <v>3109</v>
      </c>
      <c r="N266" s="1517">
        <v>2007</v>
      </c>
      <c r="O266" s="1518"/>
      <c r="P266" s="1518"/>
      <c r="Q266" s="1518"/>
      <c r="R266" s="1517" t="s">
        <v>12</v>
      </c>
      <c r="S266" s="1520"/>
      <c r="T266" s="1517" t="s">
        <v>43</v>
      </c>
      <c r="U266" s="1572"/>
      <c r="V266" s="1521"/>
      <c r="W266" s="1478" t="str">
        <f>LEFT(G266,8)</f>
        <v>04.13.01</v>
      </c>
      <c r="X266" s="1478" t="str">
        <f>VLOOKUP(W266,UE,3,FALSE)</f>
        <v>Jalan</v>
      </c>
      <c r="Y266" s="1478">
        <f>VLOOKUP(W266,UE,4,FALSE)</f>
        <v>10</v>
      </c>
      <c r="Z266" s="1401"/>
      <c r="AA266" s="1444">
        <f>IF(2013-N266+1&gt;Y266,Y266,IF(2013-N266+1&lt;0,0,2013-N266+1))</f>
        <v>7</v>
      </c>
      <c r="AB266" s="1401"/>
      <c r="AC266" s="1401"/>
      <c r="AD266" s="1401"/>
      <c r="AE266" s="1401"/>
      <c r="AF266" s="1401"/>
      <c r="AG266" s="1479"/>
      <c r="AH266" s="1479"/>
      <c r="AI266" s="1479"/>
      <c r="AJ266" s="1401">
        <f>S266-AI266</f>
        <v>0</v>
      </c>
    </row>
    <row r="267" spans="1:36" s="1390" customFormat="1" ht="35" customHeight="1" x14ac:dyDescent="0.2">
      <c r="A267" s="1390">
        <v>129</v>
      </c>
      <c r="B267" s="1472" t="str">
        <f t="shared" si="88"/>
        <v>BASERAH - PERHENTIAN LUAS</v>
      </c>
      <c r="C267" s="1478" t="e">
        <f>RIGHT(#REF!,1)</f>
        <v>#REF!</v>
      </c>
      <c r="D267" s="1426"/>
      <c r="E267" s="1429" t="s">
        <v>5076</v>
      </c>
      <c r="F267" s="1539">
        <v>555029847.82466555</v>
      </c>
      <c r="G267" s="1416" t="s">
        <v>2494</v>
      </c>
      <c r="H267" s="1508"/>
      <c r="I267" s="1416"/>
      <c r="J267" s="1500"/>
      <c r="K267" s="1416"/>
      <c r="L267" s="1500"/>
      <c r="M267" s="1429" t="s">
        <v>3129</v>
      </c>
      <c r="N267" s="1416">
        <v>2007</v>
      </c>
      <c r="O267" s="1414"/>
      <c r="P267" s="1414"/>
      <c r="Q267" s="1414"/>
      <c r="R267" s="1416" t="s">
        <v>12</v>
      </c>
      <c r="S267" s="1529"/>
      <c r="T267" s="1416" t="s">
        <v>43</v>
      </c>
      <c r="U267" s="1427"/>
      <c r="V267" s="1477"/>
      <c r="W267" s="1478" t="str">
        <f>LEFT(G267,8)</f>
        <v>04.13.01</v>
      </c>
      <c r="X267" s="1478" t="str">
        <f>VLOOKUP(W267,UE,3,FALSE)</f>
        <v>Jalan</v>
      </c>
      <c r="Y267" s="1478">
        <f>VLOOKUP(W267,UE,4,FALSE)</f>
        <v>10</v>
      </c>
      <c r="Z267" s="1401">
        <f>S267/Y267</f>
        <v>0</v>
      </c>
      <c r="AA267" s="1444">
        <f>IF(2013-N267+1&gt;Y267,Y267,IF(2013-N267+1&lt;0,0,2013-N267+1))</f>
        <v>7</v>
      </c>
      <c r="AB267" s="1401">
        <f>IF(AA267&gt;Y267,S267,Z267*AA267)</f>
        <v>0</v>
      </c>
      <c r="AC267" s="1401">
        <f>IF(S267=AB267,0,Z267)</f>
        <v>0</v>
      </c>
      <c r="AD267" s="1401">
        <f>IF(S267=AB267+AC267,0,Z267)</f>
        <v>0</v>
      </c>
      <c r="AE267" s="1401">
        <f>IF(S267=AB267+AC267+AD267,0,Z267)</f>
        <v>0</v>
      </c>
      <c r="AF267" s="1401">
        <f>IF(S267=AC267+AD267+AE267+AB267,0,Z267)</f>
        <v>0</v>
      </c>
      <c r="AG267" s="1479">
        <f>IF(S267=AC267+AD267+AE267+AB267+AF267,0,Z267)</f>
        <v>0</v>
      </c>
      <c r="AH267" s="1479"/>
      <c r="AI267" s="1479">
        <f>SUM(AB267:AG267)</f>
        <v>0</v>
      </c>
      <c r="AJ267" s="1401">
        <f>S267-AI267</f>
        <v>0</v>
      </c>
    </row>
    <row r="268" spans="1:36" s="1390" customFormat="1" ht="35" customHeight="1" x14ac:dyDescent="0.2">
      <c r="A268" s="1390">
        <v>129</v>
      </c>
      <c r="B268" s="1472" t="str">
        <f t="shared" si="88"/>
        <v>BASERAH - PERHENTIAN LUAS</v>
      </c>
      <c r="C268" s="1478"/>
      <c r="D268" s="1426"/>
      <c r="E268" s="1586" t="s">
        <v>5141</v>
      </c>
      <c r="F268" s="1539">
        <v>992854526.88886106</v>
      </c>
      <c r="G268" s="1416" t="s">
        <v>2494</v>
      </c>
      <c r="H268" s="1508"/>
      <c r="I268" s="1523" t="s">
        <v>519</v>
      </c>
      <c r="J268" s="1532">
        <v>1000</v>
      </c>
      <c r="K268" s="1532"/>
      <c r="L268" s="1532">
        <v>1000</v>
      </c>
      <c r="M268" s="1429" t="s">
        <v>3129</v>
      </c>
      <c r="N268" s="1416">
        <v>2008</v>
      </c>
      <c r="O268" s="1414"/>
      <c r="P268" s="1531" t="s">
        <v>5084</v>
      </c>
      <c r="Q268" s="1414"/>
      <c r="R268" s="1523" t="s">
        <v>12</v>
      </c>
      <c r="S268" s="1529"/>
      <c r="T268" s="1532" t="s">
        <v>43</v>
      </c>
      <c r="U268" s="1582"/>
      <c r="V268" s="1477"/>
      <c r="W268" s="1478"/>
      <c r="X268" s="1478"/>
      <c r="Y268" s="1478"/>
      <c r="Z268" s="1401"/>
      <c r="AA268" s="1444"/>
      <c r="AB268" s="1401"/>
      <c r="AC268" s="1401"/>
      <c r="AD268" s="1401"/>
      <c r="AE268" s="1401"/>
      <c r="AF268" s="1401"/>
      <c r="AG268" s="1479"/>
      <c r="AH268" s="1479"/>
      <c r="AI268" s="1479"/>
      <c r="AJ268" s="1401"/>
    </row>
    <row r="269" spans="1:36" s="1390" customFormat="1" ht="35" customHeight="1" x14ac:dyDescent="0.2">
      <c r="A269" s="1390">
        <v>129</v>
      </c>
      <c r="B269" s="1472" t="str">
        <f t="shared" si="88"/>
        <v>BASERAH - PERHENTIAN LUAS</v>
      </c>
      <c r="C269" s="1478"/>
      <c r="D269" s="1426"/>
      <c r="E269" s="1429" t="s">
        <v>5074</v>
      </c>
      <c r="F269" s="1539">
        <v>714841086.60000002</v>
      </c>
      <c r="G269" s="1416" t="s">
        <v>2494</v>
      </c>
      <c r="H269" s="1508"/>
      <c r="I269" s="1416"/>
      <c r="J269" s="1500"/>
      <c r="K269" s="1416"/>
      <c r="L269" s="1500"/>
      <c r="M269" s="1429" t="s">
        <v>3129</v>
      </c>
      <c r="N269" s="1416">
        <v>2009</v>
      </c>
      <c r="O269" s="1414"/>
      <c r="P269" s="1414"/>
      <c r="Q269" s="1414"/>
      <c r="R269" s="1416" t="s">
        <v>12</v>
      </c>
      <c r="S269" s="1529"/>
      <c r="T269" s="1416" t="s">
        <v>43</v>
      </c>
      <c r="U269" s="1427"/>
      <c r="V269" s="1477"/>
      <c r="W269" s="1478"/>
      <c r="X269" s="1478"/>
      <c r="Y269" s="1478"/>
      <c r="Z269" s="1401"/>
      <c r="AA269" s="1444"/>
      <c r="AB269" s="1401"/>
      <c r="AC269" s="1401"/>
      <c r="AD269" s="1401"/>
      <c r="AE269" s="1401"/>
      <c r="AF269" s="1401"/>
      <c r="AG269" s="1479"/>
      <c r="AH269" s="1479"/>
      <c r="AI269" s="1479"/>
      <c r="AJ269" s="1401"/>
    </row>
    <row r="270" spans="1:36" s="1390" customFormat="1" ht="35" customHeight="1" x14ac:dyDescent="0.2">
      <c r="A270" s="1390">
        <v>129</v>
      </c>
      <c r="B270" s="1472" t="str">
        <f t="shared" si="88"/>
        <v>BASERAH - PERHENTIAN LUAS</v>
      </c>
      <c r="C270" s="1478"/>
      <c r="D270" s="1426"/>
      <c r="E270" s="1573" t="s">
        <v>5142</v>
      </c>
      <c r="F270" s="1539">
        <v>289786013.50989223</v>
      </c>
      <c r="G270" s="1416" t="s">
        <v>2494</v>
      </c>
      <c r="H270" s="1508"/>
      <c r="I270" s="1416"/>
      <c r="J270" s="1500"/>
      <c r="K270" s="1416"/>
      <c r="L270" s="1500"/>
      <c r="M270" s="1523" t="s">
        <v>3129</v>
      </c>
      <c r="N270" s="1416">
        <v>2010</v>
      </c>
      <c r="O270" s="1414"/>
      <c r="P270" s="1523" t="s">
        <v>5084</v>
      </c>
      <c r="Q270" s="1523"/>
      <c r="R270" s="1523" t="s">
        <v>12</v>
      </c>
      <c r="S270" s="1524"/>
      <c r="T270" s="1525" t="s">
        <v>43</v>
      </c>
      <c r="U270" s="1574"/>
      <c r="V270" s="1477"/>
      <c r="W270" s="1478"/>
      <c r="X270" s="1478"/>
      <c r="Y270" s="1478"/>
      <c r="Z270" s="1401"/>
      <c r="AA270" s="1444"/>
      <c r="AB270" s="1401"/>
      <c r="AC270" s="1401"/>
      <c r="AD270" s="1401"/>
      <c r="AE270" s="1401"/>
      <c r="AF270" s="1401"/>
      <c r="AG270" s="1479"/>
      <c r="AH270" s="1479"/>
      <c r="AI270" s="1479"/>
      <c r="AJ270" s="1401"/>
    </row>
    <row r="271" spans="1:36" s="1390" customFormat="1" ht="35" customHeight="1" x14ac:dyDescent="0.15">
      <c r="A271" s="1390">
        <v>129</v>
      </c>
      <c r="B271" s="1472" t="str">
        <f t="shared" si="88"/>
        <v>BASERAH - PERHENTIAN LUAS</v>
      </c>
      <c r="C271" s="1516" t="s">
        <v>4247</v>
      </c>
      <c r="D271" s="1426"/>
      <c r="E271" s="1429" t="s">
        <v>1220</v>
      </c>
      <c r="F271" s="1539">
        <v>3257404911.7154002</v>
      </c>
      <c r="G271" s="1517" t="s">
        <v>2494</v>
      </c>
      <c r="H271" s="1518"/>
      <c r="I271" s="1518" t="s">
        <v>519</v>
      </c>
      <c r="J271" s="1519">
        <v>0</v>
      </c>
      <c r="K271" s="1517"/>
      <c r="L271" s="1519">
        <v>1000</v>
      </c>
      <c r="M271" s="1518" t="s">
        <v>3129</v>
      </c>
      <c r="N271" s="1517">
        <v>2011</v>
      </c>
      <c r="O271" s="1518"/>
      <c r="P271" s="1518"/>
      <c r="Q271" s="1518"/>
      <c r="R271" s="1517" t="s">
        <v>12</v>
      </c>
      <c r="S271" s="1520"/>
      <c r="T271" s="1517" t="s">
        <v>43</v>
      </c>
      <c r="U271" s="1572"/>
      <c r="V271" s="1521"/>
      <c r="W271" s="1522" t="str">
        <f t="shared" ref="W271:W276" si="100">LEFT(G271,8)</f>
        <v>04.13.01</v>
      </c>
      <c r="X271" s="1478" t="str">
        <f t="shared" ref="X271:X276" si="101">VLOOKUP(W271,UE,3,FALSE)</f>
        <v>Jalan</v>
      </c>
      <c r="Y271" s="1478">
        <f t="shared" ref="Y271:Y276" si="102">VLOOKUP(W271,UE,4,FALSE)</f>
        <v>10</v>
      </c>
      <c r="Z271" s="1401"/>
      <c r="AA271" s="1444">
        <f>IF(2013-N271&gt;Y271,10,IF(2013-N271&lt;0,0,2013-N271))</f>
        <v>2</v>
      </c>
      <c r="AB271" s="1401"/>
      <c r="AC271" s="1401"/>
      <c r="AD271" s="1401"/>
      <c r="AE271" s="1401"/>
      <c r="AF271" s="1401"/>
      <c r="AG271" s="1479"/>
      <c r="AH271" s="1479"/>
      <c r="AI271" s="1479"/>
      <c r="AJ271" s="1401">
        <f>S271-AI271</f>
        <v>0</v>
      </c>
    </row>
    <row r="272" spans="1:36" s="1390" customFormat="1" ht="35" customHeight="1" x14ac:dyDescent="0.15">
      <c r="A272" s="1390">
        <v>129</v>
      </c>
      <c r="B272" s="1472" t="str">
        <f t="shared" si="88"/>
        <v>BASERAH - PERHENTIAN LUAS</v>
      </c>
      <c r="C272" s="1516" t="s">
        <v>4247</v>
      </c>
      <c r="D272" s="1426"/>
      <c r="E272" s="1429" t="s">
        <v>1260</v>
      </c>
      <c r="F272" s="1539">
        <v>1536783053.2370956</v>
      </c>
      <c r="G272" s="1517" t="s">
        <v>2494</v>
      </c>
      <c r="H272" s="1518"/>
      <c r="I272" s="1518" t="s">
        <v>519</v>
      </c>
      <c r="J272" s="1519">
        <v>0</v>
      </c>
      <c r="K272" s="1517"/>
      <c r="L272" s="1519">
        <v>0</v>
      </c>
      <c r="M272" s="1518" t="s">
        <v>3157</v>
      </c>
      <c r="N272" s="1517">
        <v>2012</v>
      </c>
      <c r="O272" s="1518"/>
      <c r="P272" s="1518"/>
      <c r="Q272" s="1518"/>
      <c r="R272" s="1517" t="s">
        <v>12</v>
      </c>
      <c r="S272" s="1520"/>
      <c r="T272" s="1517" t="s">
        <v>43</v>
      </c>
      <c r="U272" s="1572"/>
      <c r="V272" s="1521"/>
      <c r="W272" s="1522" t="str">
        <f t="shared" si="100"/>
        <v>04.13.01</v>
      </c>
      <c r="X272" s="1478" t="str">
        <f t="shared" si="101"/>
        <v>Jalan</v>
      </c>
      <c r="Y272" s="1478">
        <f t="shared" si="102"/>
        <v>10</v>
      </c>
      <c r="Z272" s="1401"/>
      <c r="AA272" s="1444">
        <f>IF(2013-N272&gt;Y272,10,IF(2013-N272&lt;0,0,2013-N272))</f>
        <v>1</v>
      </c>
      <c r="AB272" s="1401"/>
      <c r="AC272" s="1401"/>
      <c r="AD272" s="1401"/>
      <c r="AE272" s="1401"/>
      <c r="AF272" s="1401"/>
      <c r="AG272" s="1479"/>
      <c r="AH272" s="1479"/>
      <c r="AI272" s="1479"/>
      <c r="AJ272" s="1401"/>
    </row>
    <row r="273" spans="1:36" s="1390" customFormat="1" ht="35" customHeight="1" x14ac:dyDescent="0.2">
      <c r="A273" s="1390">
        <v>131</v>
      </c>
      <c r="B273" s="1472" t="str">
        <f t="shared" si="88"/>
        <v>SIMP. TERATAK BARU - TERATAK BARU</v>
      </c>
      <c r="C273" s="1478" t="e">
        <f>RIGHT(#REF!,1)</f>
        <v>#REF!</v>
      </c>
      <c r="D273" s="1426">
        <v>102</v>
      </c>
      <c r="E273" s="1429" t="s">
        <v>5844</v>
      </c>
      <c r="F273" s="1539"/>
      <c r="G273" s="1517" t="s">
        <v>2494</v>
      </c>
      <c r="H273" s="1518"/>
      <c r="I273" s="1518" t="s">
        <v>519</v>
      </c>
      <c r="J273" s="1533">
        <v>0</v>
      </c>
      <c r="K273" s="1517"/>
      <c r="L273" s="1519">
        <v>0</v>
      </c>
      <c r="M273" s="1518" t="s">
        <v>3155</v>
      </c>
      <c r="N273" s="1517">
        <v>2012</v>
      </c>
      <c r="O273" s="1518"/>
      <c r="P273" s="1518"/>
      <c r="Q273" s="1518"/>
      <c r="R273" s="1517" t="s">
        <v>12</v>
      </c>
      <c r="S273" s="1520">
        <f>1462268233.77912+F274</f>
        <v>1659937799.77912</v>
      </c>
      <c r="T273" s="1517" t="s">
        <v>43</v>
      </c>
      <c r="U273" s="1572"/>
      <c r="V273" s="1521"/>
      <c r="W273" s="1478" t="str">
        <f t="shared" si="100"/>
        <v>04.13.01</v>
      </c>
      <c r="X273" s="1478" t="str">
        <f t="shared" si="101"/>
        <v>Jalan</v>
      </c>
      <c r="Y273" s="1478">
        <f t="shared" si="102"/>
        <v>10</v>
      </c>
      <c r="Z273" s="1401"/>
      <c r="AA273" s="1444">
        <f>IF(2013-N273&gt;Y273,10,IF(2013-N273&lt;0,0,2013-N273))</f>
        <v>1</v>
      </c>
      <c r="AB273" s="1401">
        <f>SUM(PERHITUNGAN!U889:U890)</f>
        <v>292453646.75582308</v>
      </c>
      <c r="AC273" s="1479">
        <f>SUMIF(PERHITUNGAN!A:A,'KIB D'!B273&amp;'KIB D'!$AC$7,PERHITUNGAN!U:U)</f>
        <v>146226823.37791154</v>
      </c>
      <c r="AD273" s="1479">
        <f>SUMIF(PERHITUNGAN!A:A,'KIB D'!B273&amp;'KIB D'!$AD$7,PERHITUNGAN!U:U)</f>
        <v>146226823.37791154</v>
      </c>
      <c r="AE273" s="1479">
        <f>SUMIF(PERHITUNGAN!A:A,'KIB D'!B273&amp;'KIB D'!$AE$7,PERHITUNGAN!U:U)</f>
        <v>134378813.28343365</v>
      </c>
      <c r="AF273" s="1479">
        <f>SUMIF(PERHITUNGAN!A:A,'KIB D'!B273&amp;'KIB D'!$AF$7,PERHITUNGAN!U:U)</f>
        <v>134378813.28343365</v>
      </c>
      <c r="AG273" s="1479">
        <f>SUMIF(PERHITUNGAN!A:A,'KIB D'!B273&amp;'KIB D'!$AG$7,PERHITUNGAN!U:U)</f>
        <v>134378813.28343365</v>
      </c>
      <c r="AH273" s="1479">
        <f>SUMIF(PERHITUNGAN!A:A,'KIB D'!B273&amp;'KIB D'!$AH$7,PERHITUNGAN!U:U)</f>
        <v>134378813.28343365</v>
      </c>
      <c r="AI273" s="1479">
        <f>SUM(AB273:AH273)</f>
        <v>1122422546.6453807</v>
      </c>
      <c r="AJ273" s="1401">
        <f>S273-AI273</f>
        <v>537515253.13373923</v>
      </c>
    </row>
    <row r="274" spans="1:36" s="1390" customFormat="1" ht="35" customHeight="1" x14ac:dyDescent="0.2">
      <c r="A274" s="1390">
        <v>131</v>
      </c>
      <c r="B274" s="1472" t="str">
        <f t="shared" si="88"/>
        <v>SIMP. TERATAK BARU - TERATAK BARU</v>
      </c>
      <c r="C274" s="1478" t="e">
        <f>RIGHT(#REF!,1)</f>
        <v>#REF!</v>
      </c>
      <c r="D274" s="1426"/>
      <c r="E274" s="1539" t="s">
        <v>1465</v>
      </c>
      <c r="F274" s="1529">
        <v>197669566</v>
      </c>
      <c r="G274" s="1501" t="s">
        <v>2494</v>
      </c>
      <c r="H274" s="1501"/>
      <c r="I274" s="1414"/>
      <c r="J274" s="1526"/>
      <c r="K274" s="1416"/>
      <c r="L274" s="1430"/>
      <c r="M274" s="1429" t="s">
        <v>3264</v>
      </c>
      <c r="N274" s="1501">
        <v>2016</v>
      </c>
      <c r="O274" s="1414"/>
      <c r="P274" s="1414"/>
      <c r="Q274" s="1414"/>
      <c r="R274" s="1501" t="s">
        <v>12</v>
      </c>
      <c r="S274" s="1527"/>
      <c r="T274" s="1528"/>
      <c r="U274" s="1575"/>
      <c r="V274" s="1490"/>
      <c r="W274" s="1478" t="str">
        <f t="shared" si="100"/>
        <v>04.13.01</v>
      </c>
      <c r="X274" s="1478" t="str">
        <f t="shared" si="101"/>
        <v>Jalan</v>
      </c>
      <c r="Y274" s="1478">
        <f t="shared" si="102"/>
        <v>10</v>
      </c>
      <c r="Z274" s="1401"/>
      <c r="AA274" s="1444"/>
      <c r="AB274" s="1401"/>
      <c r="AC274" s="1401"/>
      <c r="AD274" s="1401"/>
      <c r="AE274" s="1401"/>
      <c r="AF274" s="1401"/>
      <c r="AG274" s="1479"/>
      <c r="AH274" s="1479"/>
      <c r="AI274" s="1479"/>
      <c r="AJ274" s="1401">
        <f>S274-AI274</f>
        <v>0</v>
      </c>
    </row>
    <row r="275" spans="1:36" s="1390" customFormat="1" ht="35" customHeight="1" x14ac:dyDescent="0.2">
      <c r="A275" s="1390">
        <v>132</v>
      </c>
      <c r="B275" s="1472" t="str">
        <f t="shared" si="88"/>
        <v>DUSUN TUO - GUNUNG MELINTANG</v>
      </c>
      <c r="C275" s="1478"/>
      <c r="D275" s="1426">
        <v>103</v>
      </c>
      <c r="E275" s="1429" t="s">
        <v>5845</v>
      </c>
      <c r="F275" s="1539"/>
      <c r="G275" s="1416" t="s">
        <v>2494</v>
      </c>
      <c r="H275" s="1508"/>
      <c r="I275" s="1416"/>
      <c r="J275" s="1512"/>
      <c r="K275" s="1416"/>
      <c r="L275" s="1500"/>
      <c r="M275" s="1429" t="s">
        <v>3187</v>
      </c>
      <c r="N275" s="1416">
        <v>2007</v>
      </c>
      <c r="O275" s="1414"/>
      <c r="P275" s="1414"/>
      <c r="Q275" s="1414"/>
      <c r="R275" s="1416" t="s">
        <v>12</v>
      </c>
      <c r="S275" s="1529">
        <f>555029847.824666+F276+F277</f>
        <v>5160370759.824666</v>
      </c>
      <c r="T275" s="1416" t="s">
        <v>43</v>
      </c>
      <c r="U275" s="1427"/>
      <c r="V275" s="1477"/>
      <c r="W275" s="1478" t="str">
        <f t="shared" si="100"/>
        <v>04.13.01</v>
      </c>
      <c r="X275" s="1478" t="str">
        <f t="shared" si="101"/>
        <v>Jalan</v>
      </c>
      <c r="Y275" s="1478">
        <f t="shared" si="102"/>
        <v>10</v>
      </c>
      <c r="Z275" s="1401"/>
      <c r="AA275" s="1444">
        <f>IF(2013-N275&gt;Y275,10,IF(2013-N275&lt;0,0,2013-N275))</f>
        <v>6</v>
      </c>
      <c r="AB275" s="1401">
        <f>SUM(PERHITUNGAN!U912:U916)</f>
        <v>388520893.47726583</v>
      </c>
      <c r="AC275" s="1479">
        <f>SUMIF(PERHITUNGAN!A:A,'KIB D'!B275&amp;'KIB D'!$AC$7,PERHITUNGAN!U:U)</f>
        <v>257706318.83473998</v>
      </c>
      <c r="AD275" s="1479">
        <f>SUMIF(PERHITUNGAN!A:A,'KIB D'!B275&amp;'KIB D'!$AD$7,PERHITUNGAN!U:U)</f>
        <v>257706318.83473998</v>
      </c>
      <c r="AE275" s="1479">
        <f>SUMIF(PERHITUNGAN!A:A,'KIB D'!B275&amp;'KIB D'!$AE$7,PERHITUNGAN!U:U)</f>
        <v>257706318.83473998</v>
      </c>
      <c r="AF275" s="1479">
        <f>SUMIF(PERHITUNGAN!A:A,'KIB D'!B275&amp;'KIB D'!$AF$7,PERHITUNGAN!U:U)</f>
        <v>257706318.83473998</v>
      </c>
      <c r="AG275" s="1479">
        <f>SUMIF(PERHITUNGAN!A:A,'KIB D'!B275&amp;'KIB D'!$AG$7,PERHITUNGAN!U:U)</f>
        <v>257706318.83473998</v>
      </c>
      <c r="AH275" s="1479">
        <f>SUMIF(PERHITUNGAN!A:A,'KIB D'!B275&amp;'KIB D'!$AH$7,PERHITUNGAN!U:U)</f>
        <v>348331827.21736997</v>
      </c>
      <c r="AI275" s="1479">
        <f>SUM(AB275:AH275)</f>
        <v>2025384314.8683355</v>
      </c>
      <c r="AJ275" s="1401">
        <f>S275-AI275</f>
        <v>3134986444.9563303</v>
      </c>
    </row>
    <row r="276" spans="1:36" s="1390" customFormat="1" ht="35" customHeight="1" x14ac:dyDescent="0.2">
      <c r="A276" s="1390">
        <v>132</v>
      </c>
      <c r="B276" s="1472" t="str">
        <f t="shared" si="88"/>
        <v>DUSUN TUO - GUNUNG MELINTANG</v>
      </c>
      <c r="C276" s="1478" t="e">
        <f>RIGHT(#REF!,1)</f>
        <v>#REF!</v>
      </c>
      <c r="D276" s="1426"/>
      <c r="E276" s="1429" t="s">
        <v>1312</v>
      </c>
      <c r="F276" s="1539">
        <v>2410554234</v>
      </c>
      <c r="G276" s="1517" t="s">
        <v>2494</v>
      </c>
      <c r="H276" s="1518"/>
      <c r="I276" s="1518"/>
      <c r="J276" s="1519">
        <v>0</v>
      </c>
      <c r="K276" s="1517"/>
      <c r="L276" s="1519">
        <v>0</v>
      </c>
      <c r="M276" s="1518" t="s">
        <v>3187</v>
      </c>
      <c r="N276" s="1517">
        <v>2014</v>
      </c>
      <c r="O276" s="1518"/>
      <c r="P276" s="1518"/>
      <c r="Q276" s="1518"/>
      <c r="R276" s="1517" t="s">
        <v>12</v>
      </c>
      <c r="S276" s="1520"/>
      <c r="T276" s="1518"/>
      <c r="U276" s="1572"/>
      <c r="V276" s="1521"/>
      <c r="W276" s="1478" t="str">
        <f t="shared" si="100"/>
        <v>04.13.01</v>
      </c>
      <c r="X276" s="1478" t="str">
        <f t="shared" si="101"/>
        <v>Jalan</v>
      </c>
      <c r="Y276" s="1478">
        <f t="shared" si="102"/>
        <v>10</v>
      </c>
      <c r="Z276" s="1401"/>
      <c r="AA276" s="1444"/>
      <c r="AB276" s="1401"/>
      <c r="AC276" s="1401"/>
      <c r="AD276" s="1401"/>
      <c r="AE276" s="1401"/>
      <c r="AF276" s="1401"/>
      <c r="AG276" s="1479"/>
      <c r="AH276" s="1479"/>
      <c r="AI276" s="1479"/>
      <c r="AJ276" s="1401">
        <f>S276-AI276</f>
        <v>0</v>
      </c>
    </row>
    <row r="277" spans="1:36" s="1390" customFormat="1" ht="35" customHeight="1" x14ac:dyDescent="0.2">
      <c r="A277" s="1390">
        <v>132</v>
      </c>
      <c r="B277" s="1472" t="str">
        <f t="shared" si="88"/>
        <v>DUSUN TUO - GUNUNG MELINTANG</v>
      </c>
      <c r="C277" s="1478"/>
      <c r="D277" s="1426"/>
      <c r="E277" s="1429" t="s">
        <v>5506</v>
      </c>
      <c r="F277" s="1539">
        <v>2194786678</v>
      </c>
      <c r="G277" s="1517" t="s">
        <v>2494</v>
      </c>
      <c r="H277" s="1518"/>
      <c r="I277" s="1518"/>
      <c r="J277" s="1519">
        <v>1000</v>
      </c>
      <c r="K277" s="1517">
        <v>4</v>
      </c>
      <c r="L277" s="1519">
        <f>J277*K277</f>
        <v>4000</v>
      </c>
      <c r="M277" s="1518" t="s">
        <v>3187</v>
      </c>
      <c r="N277" s="1517">
        <v>2019</v>
      </c>
      <c r="O277" s="1518" t="s">
        <v>5507</v>
      </c>
      <c r="P277" s="1518" t="s">
        <v>433</v>
      </c>
      <c r="Q277" s="1518"/>
      <c r="R277" s="1517" t="s">
        <v>12</v>
      </c>
      <c r="S277" s="1520"/>
      <c r="T277" s="1518"/>
      <c r="U277" s="1572"/>
      <c r="V277" s="1521"/>
      <c r="W277" s="1478"/>
      <c r="X277" s="1478"/>
      <c r="Y277" s="1478"/>
      <c r="Z277" s="1401"/>
      <c r="AA277" s="1444"/>
      <c r="AB277" s="1401"/>
      <c r="AC277" s="1401"/>
      <c r="AD277" s="1401"/>
      <c r="AE277" s="1401"/>
      <c r="AF277" s="1401"/>
      <c r="AG277" s="1479"/>
      <c r="AH277" s="1479"/>
      <c r="AI277" s="1479"/>
      <c r="AJ277" s="1401"/>
    </row>
    <row r="278" spans="1:36" s="1390" customFormat="1" ht="35" customHeight="1" x14ac:dyDescent="0.2">
      <c r="A278" s="1390">
        <v>134</v>
      </c>
      <c r="B278" s="1472" t="str">
        <f t="shared" si="88"/>
        <v>KEPALA PULAU - PULAU MADINAH</v>
      </c>
      <c r="C278" s="1478" t="e">
        <f>RIGHT(#REF!,1)</f>
        <v>#REF!</v>
      </c>
      <c r="D278" s="1426">
        <v>104</v>
      </c>
      <c r="E278" s="1429" t="s">
        <v>1366</v>
      </c>
      <c r="F278" s="1529"/>
      <c r="G278" s="1517" t="s">
        <v>2494</v>
      </c>
      <c r="H278" s="1501"/>
      <c r="I278" s="1414"/>
      <c r="J278" s="1540"/>
      <c r="K278" s="1416"/>
      <c r="L278" s="1430"/>
      <c r="M278" s="1429" t="s">
        <v>3220</v>
      </c>
      <c r="N278" s="1501">
        <v>2015</v>
      </c>
      <c r="O278" s="1414"/>
      <c r="P278" s="1414"/>
      <c r="Q278" s="1414"/>
      <c r="R278" s="1501" t="s">
        <v>12</v>
      </c>
      <c r="S278" s="1527">
        <v>3073451038</v>
      </c>
      <c r="T278" s="1528"/>
      <c r="U278" s="1575"/>
      <c r="V278" s="1490"/>
      <c r="W278" s="1478" t="str">
        <f t="shared" ref="W278:W285" si="103">LEFT(G278,8)</f>
        <v>04.13.01</v>
      </c>
      <c r="X278" s="1478" t="str">
        <f t="shared" ref="X278:X285" si="104">VLOOKUP(W278,UE,3,FALSE)</f>
        <v>Jalan</v>
      </c>
      <c r="Y278" s="1478">
        <f t="shared" ref="Y278:Y285" si="105">VLOOKUP(W278,UE,4,FALSE)</f>
        <v>10</v>
      </c>
      <c r="Z278" s="1401">
        <f t="shared" ref="Z278:Z284" si="106">S278/Y278</f>
        <v>307345103.80000001</v>
      </c>
      <c r="AA278" s="1444">
        <f t="shared" ref="AA278:AA284" si="107">IF(2013-N278+1&gt;Y278,Y278,IF(2013-N278+1&lt;0,0,2013-N278+1))</f>
        <v>0</v>
      </c>
      <c r="AB278" s="1401">
        <f t="shared" ref="AB278:AB284" si="108">IF(AA278&gt;Y278,S278,Z278*AA278)</f>
        <v>0</v>
      </c>
      <c r="AC278" s="1401">
        <v>0</v>
      </c>
      <c r="AD278" s="1401">
        <f>IF(S278=AB278+AC278,0,Z278)</f>
        <v>307345103.80000001</v>
      </c>
      <c r="AE278" s="1401">
        <f>IF(S278=AB278+AC278+AD278,0,Z278)</f>
        <v>307345103.80000001</v>
      </c>
      <c r="AF278" s="1401">
        <f>IF(S278=AC278+AD278+AE278+AB278,0,Z278)</f>
        <v>307345103.80000001</v>
      </c>
      <c r="AG278" s="1479">
        <f t="shared" ref="AG278:AG284" si="109">IF(S278=AC278+AD278+AE278+AB278+AF278,0,Z278)</f>
        <v>307345103.80000001</v>
      </c>
      <c r="AH278" s="1479">
        <f t="shared" ref="AH278:AH284" si="110">IF(S278=AC278+AD278+AE278+AB278+AF278+AG278,0,Z278)</f>
        <v>307345103.80000001</v>
      </c>
      <c r="AI278" s="1479">
        <f t="shared" ref="AI278:AI284" si="111">SUM(AB278:AH278)</f>
        <v>1536725519</v>
      </c>
      <c r="AJ278" s="1401">
        <f t="shared" ref="AJ278:AJ285" si="112">S278-AI278</f>
        <v>1536725519</v>
      </c>
    </row>
    <row r="279" spans="1:36" s="1390" customFormat="1" ht="35" customHeight="1" x14ac:dyDescent="0.2">
      <c r="A279" s="1390">
        <v>134</v>
      </c>
      <c r="B279" s="1472" t="str">
        <f t="shared" si="88"/>
        <v>KEPALA PULAU - PULAU MADINAH</v>
      </c>
      <c r="C279" s="1478" t="e">
        <f>RIGHT(#REF!,1)</f>
        <v>#REF!</v>
      </c>
      <c r="D279" s="1426">
        <v>105</v>
      </c>
      <c r="E279" s="1429" t="s">
        <v>3319</v>
      </c>
      <c r="F279" s="1539"/>
      <c r="G279" s="1517" t="s">
        <v>2494</v>
      </c>
      <c r="H279" s="1518"/>
      <c r="I279" s="1518"/>
      <c r="J279" s="1533">
        <v>0</v>
      </c>
      <c r="K279" s="1517"/>
      <c r="L279" s="1519">
        <v>0</v>
      </c>
      <c r="M279" s="1518" t="s">
        <v>3297</v>
      </c>
      <c r="N279" s="1517">
        <v>2018</v>
      </c>
      <c r="O279" s="1518"/>
      <c r="P279" s="1518"/>
      <c r="Q279" s="1518"/>
      <c r="R279" s="1517" t="s">
        <v>12</v>
      </c>
      <c r="S279" s="1520">
        <v>2217599426</v>
      </c>
      <c r="T279" s="1518"/>
      <c r="U279" s="1572"/>
      <c r="V279" s="1521"/>
      <c r="W279" s="1478" t="str">
        <f t="shared" si="103"/>
        <v>04.13.01</v>
      </c>
      <c r="X279" s="1478" t="str">
        <f t="shared" si="104"/>
        <v>Jalan</v>
      </c>
      <c r="Y279" s="1478">
        <f t="shared" si="105"/>
        <v>10</v>
      </c>
      <c r="Z279" s="1401">
        <f t="shared" si="106"/>
        <v>221759942.59999999</v>
      </c>
      <c r="AA279" s="1444">
        <f t="shared" si="107"/>
        <v>0</v>
      </c>
      <c r="AB279" s="1401">
        <f t="shared" si="108"/>
        <v>0</v>
      </c>
      <c r="AC279" s="1401">
        <v>0</v>
      </c>
      <c r="AD279" s="1401">
        <v>0</v>
      </c>
      <c r="AE279" s="1401">
        <v>0</v>
      </c>
      <c r="AF279" s="1401">
        <v>0</v>
      </c>
      <c r="AG279" s="1479">
        <f t="shared" si="109"/>
        <v>221759942.59999999</v>
      </c>
      <c r="AH279" s="1479">
        <f t="shared" si="110"/>
        <v>221759942.59999999</v>
      </c>
      <c r="AI279" s="1479">
        <f t="shared" si="111"/>
        <v>443519885.19999999</v>
      </c>
      <c r="AJ279" s="1401">
        <f t="shared" si="112"/>
        <v>1774079540.8</v>
      </c>
    </row>
    <row r="280" spans="1:36" s="1390" customFormat="1" ht="35" customHeight="1" x14ac:dyDescent="0.2">
      <c r="A280" s="1390">
        <v>146</v>
      </c>
      <c r="B280" s="1472" t="str">
        <f t="shared" si="88"/>
        <v>JL. A. YANI - JL. RAWANG BONTO</v>
      </c>
      <c r="C280" s="1478" t="e">
        <f>RIGHT(#REF!,1)</f>
        <v>#REF!</v>
      </c>
      <c r="D280" s="1426">
        <v>106</v>
      </c>
      <c r="E280" s="1429" t="s">
        <v>1165</v>
      </c>
      <c r="F280" s="1539"/>
      <c r="G280" s="1517" t="s">
        <v>2494</v>
      </c>
      <c r="H280" s="1508"/>
      <c r="I280" s="1416" t="s">
        <v>519</v>
      </c>
      <c r="J280" s="1512"/>
      <c r="K280" s="1416"/>
      <c r="L280" s="1500">
        <v>1000</v>
      </c>
      <c r="M280" s="1429" t="s">
        <v>3101</v>
      </c>
      <c r="N280" s="1416">
        <v>2007</v>
      </c>
      <c r="O280" s="1414"/>
      <c r="P280" s="1414"/>
      <c r="Q280" s="1414"/>
      <c r="R280" s="1416" t="s">
        <v>12</v>
      </c>
      <c r="S280" s="1529">
        <f>1143090531.60476</f>
        <v>1143090531.6047599</v>
      </c>
      <c r="T280" s="1416" t="s">
        <v>43</v>
      </c>
      <c r="U280" s="1427"/>
      <c r="V280" s="1477"/>
      <c r="W280" s="1478" t="str">
        <f t="shared" si="103"/>
        <v>04.13.01</v>
      </c>
      <c r="X280" s="1478" t="str">
        <f t="shared" si="104"/>
        <v>Jalan</v>
      </c>
      <c r="Y280" s="1478">
        <f t="shared" si="105"/>
        <v>10</v>
      </c>
      <c r="Z280" s="1401">
        <f t="shared" si="106"/>
        <v>114309053.160476</v>
      </c>
      <c r="AA280" s="1444">
        <f t="shared" si="107"/>
        <v>7</v>
      </c>
      <c r="AB280" s="1401">
        <f t="shared" si="108"/>
        <v>800163372.12333202</v>
      </c>
      <c r="AC280" s="1401">
        <f>IF(S280=AB280,0,Z280)</f>
        <v>114309053.160476</v>
      </c>
      <c r="AD280" s="1401">
        <f>IF(S280=AB280+AC280,0,Z280)</f>
        <v>114309053.160476</v>
      </c>
      <c r="AE280" s="1401">
        <f>IF(S280=AB280+AC280+AD280,0,Z280)</f>
        <v>114309053.160476</v>
      </c>
      <c r="AF280" s="1401">
        <f>IF(S280=AC280+AD280+AE280+AB280,0,Z280)</f>
        <v>0</v>
      </c>
      <c r="AG280" s="1479">
        <f t="shared" si="109"/>
        <v>0</v>
      </c>
      <c r="AH280" s="1479">
        <f t="shared" si="110"/>
        <v>0</v>
      </c>
      <c r="AI280" s="1479">
        <f t="shared" si="111"/>
        <v>1143090531.6047599</v>
      </c>
      <c r="AJ280" s="1401">
        <f t="shared" si="112"/>
        <v>0</v>
      </c>
    </row>
    <row r="281" spans="1:36" s="1390" customFormat="1" ht="35" customHeight="1" x14ac:dyDescent="0.2">
      <c r="A281" s="1390">
        <v>146</v>
      </c>
      <c r="B281" s="1472" t="str">
        <f t="shared" ref="B281:B343" si="113">VLOOKUP(A281,RUAS,2,FALSE)</f>
        <v>JL. A. YANI - JL. RAWANG BONTO</v>
      </c>
      <c r="C281" s="1478"/>
      <c r="D281" s="1426">
        <v>107</v>
      </c>
      <c r="E281" s="1573" t="s">
        <v>5143</v>
      </c>
      <c r="F281" s="1539"/>
      <c r="G281" s="1517" t="s">
        <v>2494</v>
      </c>
      <c r="H281" s="1508"/>
      <c r="I281" s="1416"/>
      <c r="J281" s="1512"/>
      <c r="K281" s="1416"/>
      <c r="L281" s="1500"/>
      <c r="M281" s="1523" t="s">
        <v>5144</v>
      </c>
      <c r="N281" s="1416">
        <v>2008</v>
      </c>
      <c r="O281" s="1414"/>
      <c r="P281" s="1523" t="s">
        <v>5084</v>
      </c>
      <c r="Q281" s="1523"/>
      <c r="R281" s="1523" t="s">
        <v>12</v>
      </c>
      <c r="S281" s="1524">
        <v>289786013.50989223</v>
      </c>
      <c r="T281" s="1525" t="s">
        <v>43</v>
      </c>
      <c r="U281" s="1574"/>
      <c r="V281" s="1477"/>
      <c r="W281" s="1478" t="str">
        <f t="shared" si="103"/>
        <v>04.13.01</v>
      </c>
      <c r="X281" s="1478" t="str">
        <f t="shared" si="104"/>
        <v>Jalan</v>
      </c>
      <c r="Y281" s="1478">
        <f t="shared" si="105"/>
        <v>10</v>
      </c>
      <c r="Z281" s="1401">
        <f t="shared" si="106"/>
        <v>28978601.350989223</v>
      </c>
      <c r="AA281" s="1444">
        <f t="shared" si="107"/>
        <v>6</v>
      </c>
      <c r="AB281" s="1401">
        <f t="shared" si="108"/>
        <v>173871608.10593534</v>
      </c>
      <c r="AC281" s="1401">
        <f>IF(S281=AB281,0,Z281)</f>
        <v>28978601.350989223</v>
      </c>
      <c r="AD281" s="1401">
        <f>IF(S281=AB281+AC281,0,Z281)</f>
        <v>28978601.350989223</v>
      </c>
      <c r="AE281" s="1401">
        <f>IF(S281=AB281+AC281+AD281,0,Z281)</f>
        <v>28978601.350989223</v>
      </c>
      <c r="AF281" s="1401">
        <f>IF(S281=AC281+AD281+AE281+AB281,0,Z281)</f>
        <v>28978601.350989223</v>
      </c>
      <c r="AG281" s="1479">
        <f t="shared" si="109"/>
        <v>0</v>
      </c>
      <c r="AH281" s="1479">
        <f t="shared" si="110"/>
        <v>0</v>
      </c>
      <c r="AI281" s="1479">
        <f t="shared" si="111"/>
        <v>289786013.50989223</v>
      </c>
      <c r="AJ281" s="1401">
        <f t="shared" si="112"/>
        <v>0</v>
      </c>
    </row>
    <row r="282" spans="1:36" s="1472" customFormat="1" ht="35" customHeight="1" x14ac:dyDescent="0.2">
      <c r="A282" s="1472">
        <v>152</v>
      </c>
      <c r="B282" s="1472" t="str">
        <f t="shared" si="113"/>
        <v>JL. DR. SUTOMO 2</v>
      </c>
      <c r="C282" s="1478" t="e">
        <f>RIGHT(#REF!,1)</f>
        <v>#REF!</v>
      </c>
      <c r="D282" s="1576">
        <v>108</v>
      </c>
      <c r="E282" s="1539" t="s">
        <v>2504</v>
      </c>
      <c r="F282" s="1529"/>
      <c r="G282" s="1517" t="s">
        <v>2494</v>
      </c>
      <c r="H282" s="1501"/>
      <c r="I282" s="1414"/>
      <c r="J282" s="1540"/>
      <c r="K282" s="1416"/>
      <c r="L282" s="1430"/>
      <c r="M282" s="1429" t="s">
        <v>2566</v>
      </c>
      <c r="N282" s="1501">
        <v>2017</v>
      </c>
      <c r="O282" s="1414"/>
      <c r="P282" s="1414"/>
      <c r="Q282" s="1414"/>
      <c r="R282" s="1501" t="s">
        <v>12</v>
      </c>
      <c r="S282" s="1527">
        <v>174287000</v>
      </c>
      <c r="T282" s="1528"/>
      <c r="U282" s="1575"/>
      <c r="V282" s="1490"/>
      <c r="W282" s="1478" t="str">
        <f t="shared" si="103"/>
        <v>04.13.01</v>
      </c>
      <c r="X282" s="1478" t="str">
        <f t="shared" si="104"/>
        <v>Jalan</v>
      </c>
      <c r="Y282" s="1478">
        <f t="shared" si="105"/>
        <v>10</v>
      </c>
      <c r="Z282" s="1401">
        <f t="shared" si="106"/>
        <v>17428700</v>
      </c>
      <c r="AA282" s="1444">
        <f t="shared" si="107"/>
        <v>0</v>
      </c>
      <c r="AB282" s="1401">
        <f t="shared" si="108"/>
        <v>0</v>
      </c>
      <c r="AC282" s="1401">
        <v>0</v>
      </c>
      <c r="AD282" s="1401">
        <v>0</v>
      </c>
      <c r="AE282" s="1401">
        <v>0</v>
      </c>
      <c r="AF282" s="1401">
        <f>IF(S282=AC282+AD282+AE282+AB282,0,Z282)</f>
        <v>17428700</v>
      </c>
      <c r="AG282" s="1479">
        <f t="shared" si="109"/>
        <v>17428700</v>
      </c>
      <c r="AH282" s="1479">
        <f t="shared" si="110"/>
        <v>17428700</v>
      </c>
      <c r="AI282" s="1479">
        <f t="shared" si="111"/>
        <v>52286100</v>
      </c>
      <c r="AJ282" s="1401">
        <f t="shared" si="112"/>
        <v>122000900</v>
      </c>
    </row>
    <row r="283" spans="1:36" s="1390" customFormat="1" ht="35" customHeight="1" x14ac:dyDescent="0.2">
      <c r="A283" s="1390">
        <v>160</v>
      </c>
      <c r="B283" s="1472" t="str">
        <f t="shared" si="113"/>
        <v>PULAU KUMPAI - PS. USANG BASERAH</v>
      </c>
      <c r="C283" s="1478"/>
      <c r="D283" s="1426">
        <v>109</v>
      </c>
      <c r="E283" s="1573" t="s">
        <v>5155</v>
      </c>
      <c r="F283" s="1539"/>
      <c r="G283" s="1517" t="s">
        <v>2494</v>
      </c>
      <c r="H283" s="1508"/>
      <c r="I283" s="1416"/>
      <c r="J283" s="1512"/>
      <c r="K283" s="1416"/>
      <c r="L283" s="1500"/>
      <c r="M283" s="1523" t="s">
        <v>5149</v>
      </c>
      <c r="N283" s="1416">
        <v>2008</v>
      </c>
      <c r="O283" s="1414"/>
      <c r="P283" s="1523" t="s">
        <v>5084</v>
      </c>
      <c r="Q283" s="1523"/>
      <c r="R283" s="1523" t="s">
        <v>12</v>
      </c>
      <c r="S283" s="1524">
        <v>433953444.23257333</v>
      </c>
      <c r="T283" s="1525" t="s">
        <v>43</v>
      </c>
      <c r="U283" s="1574"/>
      <c r="V283" s="1477"/>
      <c r="W283" s="1478" t="str">
        <f t="shared" si="103"/>
        <v>04.13.01</v>
      </c>
      <c r="X283" s="1478" t="str">
        <f t="shared" si="104"/>
        <v>Jalan</v>
      </c>
      <c r="Y283" s="1478">
        <f t="shared" si="105"/>
        <v>10</v>
      </c>
      <c r="Z283" s="1401">
        <f>S283/Y283</f>
        <v>43395344.423257336</v>
      </c>
      <c r="AA283" s="1444">
        <f>IF(2013-N283+1&gt;Y283,Y283,IF(2013-N283+1&lt;0,0,2013-N283+1))</f>
        <v>6</v>
      </c>
      <c r="AB283" s="1401">
        <f>IF(AA283&gt;Y283,S283,Z283*AA283)</f>
        <v>260372066.53954402</v>
      </c>
      <c r="AC283" s="1401">
        <f>IF(S283=AB283,0,Z283)</f>
        <v>43395344.423257336</v>
      </c>
      <c r="AD283" s="1401">
        <f>IF(S283=AB283+AC283,0,Z283)</f>
        <v>43395344.423257336</v>
      </c>
      <c r="AE283" s="1401">
        <f>IF(S283=AB283+AC283+AD283,0,Z283)</f>
        <v>43395344.423257336</v>
      </c>
      <c r="AF283" s="1401">
        <f>IF(S283=AC283+AD283+AE283+AB283,0,Z283)</f>
        <v>43395344.423257336</v>
      </c>
      <c r="AG283" s="1479">
        <f t="shared" si="109"/>
        <v>0</v>
      </c>
      <c r="AH283" s="1479">
        <f t="shared" si="110"/>
        <v>0</v>
      </c>
      <c r="AI283" s="1479">
        <f t="shared" si="111"/>
        <v>433953444.23257339</v>
      </c>
      <c r="AJ283" s="1401">
        <f t="shared" si="112"/>
        <v>0</v>
      </c>
    </row>
    <row r="284" spans="1:36" s="1390" customFormat="1" ht="35" customHeight="1" x14ac:dyDescent="0.2">
      <c r="A284" s="1390">
        <v>160</v>
      </c>
      <c r="B284" s="1472" t="str">
        <f t="shared" si="113"/>
        <v>PULAU KUMPAI - PS. USANG BASERAH</v>
      </c>
      <c r="C284" s="1478" t="e">
        <f>RIGHT(#REF!,1)</f>
        <v>#REF!</v>
      </c>
      <c r="D284" s="1426">
        <v>110</v>
      </c>
      <c r="E284" s="1429" t="s">
        <v>2503</v>
      </c>
      <c r="F284" s="1539"/>
      <c r="G284" s="1517" t="s">
        <v>2494</v>
      </c>
      <c r="H284" s="1518"/>
      <c r="I284" s="1518"/>
      <c r="J284" s="1533">
        <v>0</v>
      </c>
      <c r="K284" s="1517"/>
      <c r="L284" s="1519">
        <v>0</v>
      </c>
      <c r="M284" s="1518" t="s">
        <v>2565</v>
      </c>
      <c r="N284" s="1517">
        <v>2017</v>
      </c>
      <c r="O284" s="1518"/>
      <c r="P284" s="1518"/>
      <c r="Q284" s="1518"/>
      <c r="R284" s="1517" t="s">
        <v>12</v>
      </c>
      <c r="S284" s="1520">
        <v>182111000</v>
      </c>
      <c r="T284" s="1518"/>
      <c r="U284" s="1572"/>
      <c r="V284" s="1521"/>
      <c r="W284" s="1478" t="str">
        <f t="shared" si="103"/>
        <v>04.13.01</v>
      </c>
      <c r="X284" s="1478" t="str">
        <f t="shared" si="104"/>
        <v>Jalan</v>
      </c>
      <c r="Y284" s="1478">
        <f t="shared" si="105"/>
        <v>10</v>
      </c>
      <c r="Z284" s="1401">
        <f t="shared" si="106"/>
        <v>18211100</v>
      </c>
      <c r="AA284" s="1444">
        <f t="shared" si="107"/>
        <v>0</v>
      </c>
      <c r="AB284" s="1401">
        <f t="shared" si="108"/>
        <v>0</v>
      </c>
      <c r="AC284" s="1401">
        <v>0</v>
      </c>
      <c r="AD284" s="1401">
        <v>0</v>
      </c>
      <c r="AE284" s="1401">
        <v>0</v>
      </c>
      <c r="AF284" s="1401">
        <f>IF(S284=AC284+AD284+AE284+AB284,0,Z284)</f>
        <v>18211100</v>
      </c>
      <c r="AG284" s="1479">
        <f t="shared" si="109"/>
        <v>18211100</v>
      </c>
      <c r="AH284" s="1479">
        <f t="shared" si="110"/>
        <v>18211100</v>
      </c>
      <c r="AI284" s="1479">
        <f t="shared" si="111"/>
        <v>54633300</v>
      </c>
      <c r="AJ284" s="1401">
        <f t="shared" si="112"/>
        <v>127477700</v>
      </c>
    </row>
    <row r="285" spans="1:36" s="1390" customFormat="1" ht="35" customHeight="1" x14ac:dyDescent="0.15">
      <c r="A285" s="1390">
        <v>161</v>
      </c>
      <c r="B285" s="1472" t="str">
        <f t="shared" si="113"/>
        <v>KOTO RAJO - PL. JAMBU</v>
      </c>
      <c r="C285" s="1516" t="s">
        <v>4247</v>
      </c>
      <c r="D285" s="1426">
        <v>111</v>
      </c>
      <c r="E285" s="1429" t="s">
        <v>5846</v>
      </c>
      <c r="F285" s="1539"/>
      <c r="G285" s="1517" t="s">
        <v>2494</v>
      </c>
      <c r="H285" s="1518"/>
      <c r="I285" s="1518" t="s">
        <v>479</v>
      </c>
      <c r="J285" s="1533">
        <v>2300</v>
      </c>
      <c r="K285" s="1517"/>
      <c r="L285" s="1519">
        <v>0</v>
      </c>
      <c r="M285" s="1518" t="s">
        <v>3082</v>
      </c>
      <c r="N285" s="1517">
        <v>2001</v>
      </c>
      <c r="O285" s="1518"/>
      <c r="P285" s="1518"/>
      <c r="Q285" s="1518" t="s">
        <v>482</v>
      </c>
      <c r="R285" s="1517" t="s">
        <v>12</v>
      </c>
      <c r="S285" s="1520">
        <f>15371093732.3423+F288+F289+F290+F286+F287</f>
        <v>30924458422.545414</v>
      </c>
      <c r="T285" s="1517" t="s">
        <v>43</v>
      </c>
      <c r="U285" s="1572"/>
      <c r="V285" s="1521"/>
      <c r="W285" s="1522" t="str">
        <f t="shared" si="103"/>
        <v>04.13.01</v>
      </c>
      <c r="X285" s="1478" t="str">
        <f t="shared" si="104"/>
        <v>Jalan</v>
      </c>
      <c r="Y285" s="1478">
        <f t="shared" si="105"/>
        <v>10</v>
      </c>
      <c r="Z285" s="1401"/>
      <c r="AA285" s="1444">
        <f>IF(2013-N285&gt;Y285,10,IF(2013-N285&lt;0,0,2013-N285))</f>
        <v>10</v>
      </c>
      <c r="AB285" s="1401">
        <f>SUM(PERHITUNGAN!U936:U943)</f>
        <v>15454832562.411222</v>
      </c>
      <c r="AC285" s="1479">
        <f>SUMIF(PERHITUNGAN!A:A,'KIB D'!B285&amp;'KIB D'!$AC$7,PERHITUNGAN!U:U)</f>
        <v>782511158.29526865</v>
      </c>
      <c r="AD285" s="1479">
        <f>SUMIF(PERHITUNGAN!A:A,'KIB D'!B285&amp;'KIB D'!$AD$7,PERHITUNGAN!U:U)</f>
        <v>1061704097.3515866</v>
      </c>
      <c r="AE285" s="1479">
        <f>SUMIF(PERHITUNGAN!A:A,'KIB D'!B285&amp;'KIB D'!$AE$7,PERHITUNGAN!U:U)</f>
        <v>1362541060.4487331</v>
      </c>
      <c r="AF285" s="1479">
        <f>SUMIF(PERHITUNGAN!A:A,'KIB D'!B285&amp;'KIB D'!$AF$7,PERHITUNGAN!U:U)</f>
        <v>1362541060.4487331</v>
      </c>
      <c r="AG285" s="1479">
        <f>SUMIF(PERHITUNGAN!A:A,'KIB D'!B285&amp;'KIB D'!$AG$7,PERHITUNGAN!U:U)</f>
        <v>1362541060.4487331</v>
      </c>
      <c r="AH285" s="1479">
        <f>SUMIF(PERHITUNGAN!A:A,'KIB D'!B285&amp;'KIB D'!$AH$7,PERHITUNGAN!U:U)</f>
        <v>1362541060.4487331</v>
      </c>
      <c r="AI285" s="1479">
        <f>SUM(AB285:AH285)</f>
        <v>22749212059.853016</v>
      </c>
      <c r="AJ285" s="1401">
        <f t="shared" si="112"/>
        <v>8175246362.6923981</v>
      </c>
    </row>
    <row r="286" spans="1:36" s="1390" customFormat="1" ht="35" customHeight="1" x14ac:dyDescent="0.2">
      <c r="A286" s="1390">
        <v>161</v>
      </c>
      <c r="B286" s="1472" t="str">
        <f t="shared" si="113"/>
        <v>KOTO RAJO - PL. JAMBU</v>
      </c>
      <c r="C286" s="1478"/>
      <c r="D286" s="1426"/>
      <c r="E286" s="1429" t="s">
        <v>5058</v>
      </c>
      <c r="F286" s="1539">
        <v>1891537631</v>
      </c>
      <c r="G286" s="1416" t="s">
        <v>2494</v>
      </c>
      <c r="H286" s="1508"/>
      <c r="I286" s="1416"/>
      <c r="J286" s="1500"/>
      <c r="K286" s="1416"/>
      <c r="L286" s="1500"/>
      <c r="M286" s="1429" t="s">
        <v>3689</v>
      </c>
      <c r="N286" s="1416">
        <v>2008</v>
      </c>
      <c r="O286" s="1414"/>
      <c r="P286" s="1414"/>
      <c r="Q286" s="1414"/>
      <c r="R286" s="1416" t="s">
        <v>12</v>
      </c>
      <c r="S286" s="1529"/>
      <c r="T286" s="1416"/>
      <c r="U286" s="1427"/>
      <c r="V286" s="1477"/>
      <c r="W286" s="1478"/>
      <c r="X286" s="1478"/>
      <c r="Y286" s="1478"/>
      <c r="Z286" s="1401"/>
      <c r="AA286" s="1444"/>
      <c r="AB286" s="1401"/>
      <c r="AC286" s="1401"/>
      <c r="AD286" s="1401"/>
      <c r="AE286" s="1401"/>
      <c r="AF286" s="1401"/>
      <c r="AG286" s="1479"/>
      <c r="AH286" s="1479"/>
      <c r="AI286" s="1479"/>
      <c r="AJ286" s="1401"/>
    </row>
    <row r="287" spans="1:36" s="1390" customFormat="1" ht="35" customHeight="1" x14ac:dyDescent="0.2">
      <c r="A287" s="1390">
        <v>161</v>
      </c>
      <c r="B287" s="1472" t="str">
        <f t="shared" si="113"/>
        <v>KOTO RAJO - PL. JAMBU</v>
      </c>
      <c r="C287" s="1478"/>
      <c r="D287" s="1426"/>
      <c r="E287" s="1429" t="s">
        <v>5063</v>
      </c>
      <c r="F287" s="1539">
        <v>1322245832.25</v>
      </c>
      <c r="G287" s="1416" t="s">
        <v>2494</v>
      </c>
      <c r="H287" s="1508"/>
      <c r="I287" s="1416"/>
      <c r="J287" s="1500"/>
      <c r="K287" s="1416"/>
      <c r="L287" s="1500"/>
      <c r="M287" s="1429" t="s">
        <v>3689</v>
      </c>
      <c r="N287" s="1416">
        <v>2008</v>
      </c>
      <c r="O287" s="1414"/>
      <c r="P287" s="1414"/>
      <c r="Q287" s="1414"/>
      <c r="R287" s="1416" t="s">
        <v>12</v>
      </c>
      <c r="S287" s="1529"/>
      <c r="T287" s="1416"/>
      <c r="U287" s="1427"/>
      <c r="V287" s="1477"/>
      <c r="W287" s="1478"/>
      <c r="X287" s="1478"/>
      <c r="Y287" s="1478"/>
      <c r="Z287" s="1401"/>
      <c r="AA287" s="1444"/>
      <c r="AB287" s="1401"/>
      <c r="AC287" s="1401"/>
      <c r="AD287" s="1401"/>
      <c r="AE287" s="1401"/>
      <c r="AF287" s="1401"/>
      <c r="AG287" s="1479"/>
      <c r="AH287" s="1479"/>
      <c r="AI287" s="1479"/>
      <c r="AJ287" s="1401"/>
    </row>
    <row r="288" spans="1:36" s="1390" customFormat="1" ht="35" customHeight="1" x14ac:dyDescent="0.15">
      <c r="A288" s="1390">
        <v>161</v>
      </c>
      <c r="B288" s="1472" t="str">
        <f t="shared" si="113"/>
        <v>KOTO RAJO - PL. JAMBU</v>
      </c>
      <c r="C288" s="1516" t="s">
        <v>4247</v>
      </c>
      <c r="D288" s="1426"/>
      <c r="E288" s="1429" t="s">
        <v>1368</v>
      </c>
      <c r="F288" s="1539">
        <v>2122086666</v>
      </c>
      <c r="G288" s="1517" t="s">
        <v>2494</v>
      </c>
      <c r="H288" s="1518"/>
      <c r="I288" s="1518"/>
      <c r="J288" s="1519">
        <v>0</v>
      </c>
      <c r="K288" s="1517"/>
      <c r="L288" s="1519">
        <v>0</v>
      </c>
      <c r="M288" s="1518" t="s">
        <v>3082</v>
      </c>
      <c r="N288" s="1517">
        <v>2015</v>
      </c>
      <c r="O288" s="1518"/>
      <c r="P288" s="1518"/>
      <c r="Q288" s="1518"/>
      <c r="R288" s="1517" t="s">
        <v>12</v>
      </c>
      <c r="S288" s="1520"/>
      <c r="T288" s="1518"/>
      <c r="U288" s="1572"/>
      <c r="V288" s="1521"/>
      <c r="W288" s="1522" t="str">
        <f>LEFT(G288,8)</f>
        <v>04.13.01</v>
      </c>
      <c r="X288" s="1478" t="str">
        <f>VLOOKUP(W288,UE,3,FALSE)</f>
        <v>Jalan</v>
      </c>
      <c r="Y288" s="1478">
        <f>VLOOKUP(W288,UE,4,FALSE)</f>
        <v>10</v>
      </c>
      <c r="Z288" s="1401"/>
      <c r="AA288" s="1444">
        <f>IF(2013-N288&gt;Y288,10,IF(2013-N288&lt;0,0,2013-N288))</f>
        <v>0</v>
      </c>
      <c r="AB288" s="1401"/>
      <c r="AC288" s="1401"/>
      <c r="AD288" s="1401"/>
      <c r="AE288" s="1401"/>
      <c r="AF288" s="1401"/>
      <c r="AG288" s="1479"/>
      <c r="AH288" s="1479"/>
      <c r="AI288" s="1479"/>
      <c r="AJ288" s="1401">
        <f>S288-AI288</f>
        <v>0</v>
      </c>
    </row>
    <row r="289" spans="1:36" s="1390" customFormat="1" ht="35" customHeight="1" x14ac:dyDescent="0.15">
      <c r="A289" s="1390">
        <v>161</v>
      </c>
      <c r="B289" s="1472" t="str">
        <f t="shared" si="113"/>
        <v>KOTO RAJO - PL. JAMBU</v>
      </c>
      <c r="C289" s="1516" t="s">
        <v>4247</v>
      </c>
      <c r="D289" s="1426"/>
      <c r="E289" s="1429" t="s">
        <v>1388</v>
      </c>
      <c r="F289" s="1539">
        <v>6147420832.6300564</v>
      </c>
      <c r="G289" s="1517" t="s">
        <v>2494</v>
      </c>
      <c r="H289" s="1518"/>
      <c r="I289" s="1518"/>
      <c r="J289" s="1519">
        <v>0</v>
      </c>
      <c r="K289" s="1517"/>
      <c r="L289" s="1519">
        <v>0</v>
      </c>
      <c r="M289" s="1518" t="s">
        <v>3082</v>
      </c>
      <c r="N289" s="1517">
        <v>2015</v>
      </c>
      <c r="O289" s="1518"/>
      <c r="P289" s="1518"/>
      <c r="Q289" s="1518"/>
      <c r="R289" s="1517" t="s">
        <v>12</v>
      </c>
      <c r="S289" s="1520"/>
      <c r="T289" s="1518"/>
      <c r="U289" s="1572"/>
      <c r="V289" s="1521"/>
      <c r="W289" s="1522" t="str">
        <f>LEFT(G289,8)</f>
        <v>04.13.01</v>
      </c>
      <c r="X289" s="1478" t="str">
        <f>VLOOKUP(W289,UE,3,FALSE)</f>
        <v>Jalan</v>
      </c>
      <c r="Y289" s="1478">
        <f>VLOOKUP(W289,UE,4,FALSE)</f>
        <v>10</v>
      </c>
      <c r="Z289" s="1401"/>
      <c r="AA289" s="1444">
        <f>IF(2013-N289&gt;Y289,10,IF(2013-N289&lt;0,0,2013-N289))</f>
        <v>0</v>
      </c>
      <c r="AB289" s="1401"/>
      <c r="AC289" s="1401"/>
      <c r="AD289" s="1401"/>
      <c r="AE289" s="1401"/>
      <c r="AF289" s="1401"/>
      <c r="AG289" s="1479"/>
      <c r="AH289" s="1479"/>
      <c r="AI289" s="1479"/>
      <c r="AJ289" s="1401">
        <f>S289-AI289</f>
        <v>0</v>
      </c>
    </row>
    <row r="290" spans="1:36" s="1390" customFormat="1" ht="35" customHeight="1" x14ac:dyDescent="0.15">
      <c r="A290" s="1390">
        <v>161</v>
      </c>
      <c r="B290" s="1472" t="str">
        <f t="shared" si="113"/>
        <v>KOTO RAJO - PL. JAMBU</v>
      </c>
      <c r="C290" s="1516" t="s">
        <v>4247</v>
      </c>
      <c r="D290" s="1426"/>
      <c r="E290" s="1429" t="s">
        <v>1455</v>
      </c>
      <c r="F290" s="1539">
        <v>4070073728.3230543</v>
      </c>
      <c r="G290" s="1517" t="s">
        <v>2494</v>
      </c>
      <c r="H290" s="1518"/>
      <c r="I290" s="1518"/>
      <c r="J290" s="1519">
        <v>0</v>
      </c>
      <c r="K290" s="1517"/>
      <c r="L290" s="1519">
        <v>0</v>
      </c>
      <c r="M290" s="1518" t="s">
        <v>3082</v>
      </c>
      <c r="N290" s="1517">
        <v>2016</v>
      </c>
      <c r="O290" s="1518"/>
      <c r="P290" s="1518"/>
      <c r="Q290" s="1518"/>
      <c r="R290" s="1517" t="s">
        <v>12</v>
      </c>
      <c r="S290" s="1520"/>
      <c r="T290" s="1518"/>
      <c r="U290" s="1572"/>
      <c r="V290" s="1521"/>
      <c r="W290" s="1522" t="str">
        <f>LEFT(G290,8)</f>
        <v>04.13.01</v>
      </c>
      <c r="X290" s="1478" t="str">
        <f>VLOOKUP(W290,UE,3,FALSE)</f>
        <v>Jalan</v>
      </c>
      <c r="Y290" s="1478">
        <f>VLOOKUP(W290,UE,4,FALSE)</f>
        <v>10</v>
      </c>
      <c r="Z290" s="1401"/>
      <c r="AA290" s="1444">
        <f>IF(2013-N290&gt;Y290,10,IF(2013-N290&lt;0,0,2013-N290))</f>
        <v>0</v>
      </c>
      <c r="AB290" s="1401"/>
      <c r="AC290" s="1401"/>
      <c r="AD290" s="1401"/>
      <c r="AE290" s="1401"/>
      <c r="AF290" s="1401"/>
      <c r="AG290" s="1479"/>
      <c r="AH290" s="1479"/>
      <c r="AI290" s="1479"/>
      <c r="AJ290" s="1401">
        <f>S290-AI290</f>
        <v>0</v>
      </c>
    </row>
    <row r="291" spans="1:36" s="1390" customFormat="1" ht="35" customHeight="1" x14ac:dyDescent="0.15">
      <c r="A291" s="1390">
        <v>163</v>
      </c>
      <c r="B291" s="1472" t="str">
        <f t="shared" si="113"/>
        <v>PANGEAN - PL. KUMPAI</v>
      </c>
      <c r="C291" s="1516" t="s">
        <v>4247</v>
      </c>
      <c r="D291" s="1426">
        <v>113</v>
      </c>
      <c r="E291" s="1429" t="s">
        <v>5847</v>
      </c>
      <c r="F291" s="1539"/>
      <c r="G291" s="1517" t="s">
        <v>3821</v>
      </c>
      <c r="H291" s="1518"/>
      <c r="I291" s="1518" t="s">
        <v>479</v>
      </c>
      <c r="J291" s="1533">
        <v>8000</v>
      </c>
      <c r="K291" s="1517">
        <v>7</v>
      </c>
      <c r="L291" s="1519">
        <v>56000</v>
      </c>
      <c r="M291" s="1518" t="s">
        <v>709</v>
      </c>
      <c r="N291" s="1517">
        <v>2001</v>
      </c>
      <c r="O291" s="1518"/>
      <c r="P291" s="1518"/>
      <c r="Q291" s="1518" t="s">
        <v>482</v>
      </c>
      <c r="R291" s="1517" t="s">
        <v>12</v>
      </c>
      <c r="S291" s="1520">
        <f>4613760526+F292+F294+F295+F293</f>
        <v>11339941059.103167</v>
      </c>
      <c r="T291" s="1517" t="s">
        <v>43</v>
      </c>
      <c r="U291" s="1572"/>
      <c r="V291" s="1521"/>
      <c r="W291" s="1522" t="str">
        <f>LEFT(G291,8)</f>
        <v>04.13.01</v>
      </c>
      <c r="X291" s="1478" t="str">
        <f>VLOOKUP(W291,UE,3,FALSE)</f>
        <v>Jalan</v>
      </c>
      <c r="Y291" s="1478">
        <f>VLOOKUP(W291,UE,4,FALSE)</f>
        <v>10</v>
      </c>
      <c r="Z291" s="1401"/>
      <c r="AA291" s="1444">
        <f>IF(2013-N291&gt;Y291,10,IF(2013-N291&lt;0,0,2013-N291))</f>
        <v>10</v>
      </c>
      <c r="AB291" s="1401">
        <f>SUM(PERHITUNGAN!U959:U966)</f>
        <v>5922041542.9390745</v>
      </c>
      <c r="AC291" s="1479">
        <f>SUMIF(PERHITUNGAN!A:A,'KIB D'!B291&amp;'KIB D'!$AC$7,PERHITUNGAN!U:U)</f>
        <v>433999497.00801164</v>
      </c>
      <c r="AD291" s="1479">
        <f>SUMIF(PERHITUNGAN!A:A,'KIB D'!B291&amp;'KIB D'!$AD$7,PERHITUNGAN!U:U)</f>
        <v>433999497.00801164</v>
      </c>
      <c r="AE291" s="1479">
        <f>SUMIF(PERHITUNGAN!A:A,'KIB D'!B291&amp;'KIB D'!$AE$7,PERHITUNGAN!U:U)</f>
        <v>454990052.21480691</v>
      </c>
      <c r="AF291" s="1479">
        <f>SUMIF(PERHITUNGAN!A:A,'KIB D'!B291&amp;'KIB D'!$AF$7,PERHITUNGAN!U:U)</f>
        <v>454990052.21480691</v>
      </c>
      <c r="AG291" s="1479">
        <f>SUMIF(PERHITUNGAN!A:A,'KIB D'!B291&amp;'KIB D'!$AG$7,PERHITUNGAN!U:U)</f>
        <v>454990052.21480691</v>
      </c>
      <c r="AH291" s="1479">
        <f>SUMIF(PERHITUNGAN!A:A,'KIB D'!B291&amp;'KIB D'!$AH$7,PERHITUNGAN!U:U)</f>
        <v>454990052.21480691</v>
      </c>
      <c r="AI291" s="1479">
        <f>SUM(AB291:AH291)</f>
        <v>8610000745.8143253</v>
      </c>
      <c r="AJ291" s="1401">
        <f>S291-AI291</f>
        <v>2729940313.2888412</v>
      </c>
    </row>
    <row r="292" spans="1:36" s="1390" customFormat="1" ht="35" customHeight="1" x14ac:dyDescent="0.2">
      <c r="A292" s="1390">
        <v>163</v>
      </c>
      <c r="B292" s="1472" t="str">
        <f t="shared" si="113"/>
        <v>PANGEAN - PL. KUMPAI</v>
      </c>
      <c r="C292" s="1478" t="e">
        <f>RIGHT(#REF!,1)</f>
        <v>#REF!</v>
      </c>
      <c r="D292" s="1426"/>
      <c r="E292" s="1429" t="s">
        <v>1162</v>
      </c>
      <c r="F292" s="1539">
        <v>2746245475.7522197</v>
      </c>
      <c r="G292" s="1416" t="s">
        <v>2494</v>
      </c>
      <c r="H292" s="1508"/>
      <c r="I292" s="1416" t="s">
        <v>519</v>
      </c>
      <c r="J292" s="1500"/>
      <c r="K292" s="1416"/>
      <c r="L292" s="1500">
        <v>1000</v>
      </c>
      <c r="M292" s="1429" t="s">
        <v>3098</v>
      </c>
      <c r="N292" s="1416">
        <v>2007</v>
      </c>
      <c r="O292" s="1414"/>
      <c r="P292" s="1414"/>
      <c r="Q292" s="1414"/>
      <c r="R292" s="1416" t="s">
        <v>12</v>
      </c>
      <c r="S292" s="1529"/>
      <c r="T292" s="1416" t="s">
        <v>43</v>
      </c>
      <c r="U292" s="1427"/>
      <c r="V292" s="1477"/>
      <c r="W292" s="1478" t="str">
        <f>LEFT(G292,8)</f>
        <v>04.13.01</v>
      </c>
      <c r="X292" s="1478" t="str">
        <f>VLOOKUP(W292,UE,3,FALSE)</f>
        <v>Jalan</v>
      </c>
      <c r="Y292" s="1478">
        <f>VLOOKUP(W292,UE,4,FALSE)</f>
        <v>10</v>
      </c>
      <c r="Z292" s="1401"/>
      <c r="AA292" s="1444"/>
      <c r="AB292" s="1401"/>
      <c r="AC292" s="1401"/>
      <c r="AD292" s="1401"/>
      <c r="AE292" s="1401"/>
      <c r="AF292" s="1401"/>
      <c r="AG292" s="1479"/>
      <c r="AH292" s="1479"/>
      <c r="AI292" s="1479"/>
      <c r="AJ292" s="1401">
        <f>S292-AI292</f>
        <v>0</v>
      </c>
    </row>
    <row r="293" spans="1:36" s="1390" customFormat="1" ht="35" customHeight="1" x14ac:dyDescent="0.2">
      <c r="A293" s="1390">
        <v>163</v>
      </c>
      <c r="B293" s="1472" t="str">
        <f t="shared" si="113"/>
        <v>PANGEAN - PL. KUMPAI</v>
      </c>
      <c r="C293" s="1478"/>
      <c r="D293" s="1426"/>
      <c r="E293" s="1573" t="s">
        <v>5150</v>
      </c>
      <c r="F293" s="1539">
        <v>433953444.23257333</v>
      </c>
      <c r="G293" s="1416" t="s">
        <v>2494</v>
      </c>
      <c r="H293" s="1508"/>
      <c r="I293" s="1416"/>
      <c r="J293" s="1500"/>
      <c r="K293" s="1416"/>
      <c r="L293" s="1500"/>
      <c r="M293" s="1523" t="s">
        <v>709</v>
      </c>
      <c r="N293" s="1416">
        <v>2008</v>
      </c>
      <c r="O293" s="1414"/>
      <c r="P293" s="1523" t="s">
        <v>5084</v>
      </c>
      <c r="Q293" s="1523"/>
      <c r="R293" s="1523" t="s">
        <v>12</v>
      </c>
      <c r="S293" s="1524"/>
      <c r="T293" s="1525" t="s">
        <v>43</v>
      </c>
      <c r="U293" s="1574"/>
      <c r="V293" s="1477"/>
      <c r="W293" s="1478"/>
      <c r="X293" s="1478"/>
      <c r="Y293" s="1478"/>
      <c r="Z293" s="1401"/>
      <c r="AA293" s="1444"/>
      <c r="AB293" s="1401"/>
      <c r="AC293" s="1401"/>
      <c r="AD293" s="1401"/>
      <c r="AE293" s="1401"/>
      <c r="AF293" s="1401"/>
      <c r="AG293" s="1479"/>
      <c r="AH293" s="1479"/>
      <c r="AI293" s="1479"/>
      <c r="AJ293" s="1401"/>
    </row>
    <row r="294" spans="1:36" s="1390" customFormat="1" ht="35" customHeight="1" x14ac:dyDescent="0.15">
      <c r="A294" s="1390">
        <v>163</v>
      </c>
      <c r="B294" s="1472" t="str">
        <f t="shared" si="113"/>
        <v>PANGEAN - PL. KUMPAI</v>
      </c>
      <c r="C294" s="1516" t="s">
        <v>4247</v>
      </c>
      <c r="D294" s="1426"/>
      <c r="E294" s="1429" t="s">
        <v>1259</v>
      </c>
      <c r="F294" s="1539">
        <v>1600078073.018373</v>
      </c>
      <c r="G294" s="1517" t="s">
        <v>2494</v>
      </c>
      <c r="H294" s="1518"/>
      <c r="I294" s="1518" t="s">
        <v>519</v>
      </c>
      <c r="J294" s="1519">
        <v>0</v>
      </c>
      <c r="K294" s="1517"/>
      <c r="L294" s="1519">
        <v>0</v>
      </c>
      <c r="M294" s="1518" t="s">
        <v>709</v>
      </c>
      <c r="N294" s="1517">
        <v>2012</v>
      </c>
      <c r="O294" s="1518"/>
      <c r="P294" s="1518"/>
      <c r="Q294" s="1518"/>
      <c r="R294" s="1517" t="s">
        <v>12</v>
      </c>
      <c r="S294" s="1520"/>
      <c r="T294" s="1517" t="s">
        <v>43</v>
      </c>
      <c r="U294" s="1572"/>
      <c r="V294" s="1521"/>
      <c r="W294" s="1522" t="str">
        <f>LEFT(G294,8)</f>
        <v>04.13.01</v>
      </c>
      <c r="X294" s="1478" t="str">
        <f>VLOOKUP(W294,UE,3,FALSE)</f>
        <v>Jalan</v>
      </c>
      <c r="Y294" s="1478">
        <f>VLOOKUP(W294,UE,4,FALSE)</f>
        <v>10</v>
      </c>
      <c r="Z294" s="1401"/>
      <c r="AA294" s="1444">
        <f>IF(2013-N294&gt;Y294,10,IF(2013-N294&lt;0,0,2013-N294))</f>
        <v>1</v>
      </c>
      <c r="AB294" s="1401"/>
      <c r="AC294" s="1401"/>
      <c r="AD294" s="1401"/>
      <c r="AE294" s="1401"/>
      <c r="AF294" s="1401"/>
      <c r="AG294" s="1479"/>
      <c r="AH294" s="1479"/>
      <c r="AI294" s="1479"/>
      <c r="AJ294" s="1401">
        <f>S294-AI294</f>
        <v>0</v>
      </c>
    </row>
    <row r="295" spans="1:36" s="1390" customFormat="1" ht="35" customHeight="1" x14ac:dyDescent="0.15">
      <c r="A295" s="1390">
        <v>163</v>
      </c>
      <c r="B295" s="1472" t="str">
        <f t="shared" si="113"/>
        <v>PANGEAN - PL. KUMPAI</v>
      </c>
      <c r="C295" s="1516" t="s">
        <v>4247</v>
      </c>
      <c r="D295" s="1426"/>
      <c r="E295" s="1429" t="s">
        <v>1441</v>
      </c>
      <c r="F295" s="1539">
        <v>1945903540.0999999</v>
      </c>
      <c r="G295" s="1517" t="s">
        <v>2494</v>
      </c>
      <c r="H295" s="1518"/>
      <c r="I295" s="1518"/>
      <c r="J295" s="1519">
        <v>0</v>
      </c>
      <c r="K295" s="1517"/>
      <c r="L295" s="1519">
        <v>0</v>
      </c>
      <c r="M295" s="1518" t="s">
        <v>709</v>
      </c>
      <c r="N295" s="1517">
        <v>2016</v>
      </c>
      <c r="O295" s="1518"/>
      <c r="P295" s="1518"/>
      <c r="Q295" s="1518"/>
      <c r="R295" s="1517" t="s">
        <v>12</v>
      </c>
      <c r="S295" s="1520"/>
      <c r="T295" s="1518"/>
      <c r="U295" s="1572"/>
      <c r="V295" s="1521"/>
      <c r="W295" s="1522" t="str">
        <f>LEFT(G295,8)</f>
        <v>04.13.01</v>
      </c>
      <c r="X295" s="1478" t="str">
        <f>VLOOKUP(W295,UE,3,FALSE)</f>
        <v>Jalan</v>
      </c>
      <c r="Y295" s="1478">
        <f>VLOOKUP(W295,UE,4,FALSE)</f>
        <v>10</v>
      </c>
      <c r="Z295" s="1401"/>
      <c r="AA295" s="1444">
        <f>IF(2013-N295&gt;Y295,10,IF(2013-N295&lt;0,0,2013-N295))</f>
        <v>0</v>
      </c>
      <c r="AB295" s="1401"/>
      <c r="AC295" s="1401"/>
      <c r="AD295" s="1401"/>
      <c r="AE295" s="1401"/>
      <c r="AF295" s="1401"/>
      <c r="AG295" s="1479"/>
      <c r="AH295" s="1479"/>
      <c r="AI295" s="1479"/>
      <c r="AJ295" s="1401">
        <f>S295-AI295</f>
        <v>0</v>
      </c>
    </row>
    <row r="296" spans="1:36" s="1390" customFormat="1" ht="35" customHeight="1" x14ac:dyDescent="0.15">
      <c r="A296" s="1390">
        <v>164</v>
      </c>
      <c r="B296" s="1472" t="str">
        <f t="shared" si="113"/>
        <v>PANGEAN - BATAS PELALAWAN</v>
      </c>
      <c r="C296" s="1516" t="s">
        <v>4247</v>
      </c>
      <c r="D296" s="1426">
        <v>114</v>
      </c>
      <c r="E296" s="1429" t="s">
        <v>5848</v>
      </c>
      <c r="F296" s="1539"/>
      <c r="G296" s="1517" t="s">
        <v>2494</v>
      </c>
      <c r="H296" s="1518"/>
      <c r="I296" s="1518" t="s">
        <v>479</v>
      </c>
      <c r="J296" s="1533" t="s">
        <v>637</v>
      </c>
      <c r="K296" s="1517"/>
      <c r="L296" s="1519">
        <v>0</v>
      </c>
      <c r="M296" s="1518" t="s">
        <v>4188</v>
      </c>
      <c r="N296" s="1517">
        <v>2001</v>
      </c>
      <c r="O296" s="1518"/>
      <c r="P296" s="1518"/>
      <c r="Q296" s="1518" t="s">
        <v>482</v>
      </c>
      <c r="R296" s="1517" t="s">
        <v>12</v>
      </c>
      <c r="S296" s="1520">
        <f>1848000000+F297+F298+F302+F303+F304+F305+F306+F299+F301+F300</f>
        <v>34895750294.700531</v>
      </c>
      <c r="T296" s="1517" t="s">
        <v>43</v>
      </c>
      <c r="U296" s="1572"/>
      <c r="V296" s="1521"/>
      <c r="W296" s="1522" t="str">
        <f>LEFT(G296,8)</f>
        <v>04.13.01</v>
      </c>
      <c r="X296" s="1478" t="str">
        <f>VLOOKUP(W296,UE,3,FALSE)</f>
        <v>Jalan</v>
      </c>
      <c r="Y296" s="1478">
        <f>VLOOKUP(W296,UE,4,FALSE)</f>
        <v>10</v>
      </c>
      <c r="Z296" s="1401"/>
      <c r="AA296" s="1444">
        <f>IF(2013-N296&gt;Y296,10,IF(2013-N296&lt;0,0,2013-N296))</f>
        <v>10</v>
      </c>
      <c r="AB296" s="1401">
        <f>SUM(PERHITUNGAN!U981:U990)</f>
        <v>7515916854.7799873</v>
      </c>
      <c r="AC296" s="1479">
        <f>SUMIF(PERHITUNGAN!A:A,'KIB D'!B296&amp;'KIB D'!$AC$7,PERHITUNGAN!U:U)</f>
        <v>939222192.21506834</v>
      </c>
      <c r="AD296" s="1479">
        <f>SUMIF(PERHITUNGAN!A:A,'KIB D'!B296&amp;'KIB D'!$AD$7,PERHITUNGAN!U:U)</f>
        <v>1523109778.8705478</v>
      </c>
      <c r="AE296" s="1479">
        <f>SUMIF(PERHITUNGAN!A:A,'KIB D'!B296&amp;'KIB D'!$AE$7,PERHITUNGAN!U:U)</f>
        <v>2478714946.8834929</v>
      </c>
      <c r="AF296" s="1479">
        <f>SUMIF(PERHITUNGAN!A:A,'KIB D'!B296&amp;'KIB D'!$AF$7,PERHITUNGAN!U:U)</f>
        <v>2243878652.1951437</v>
      </c>
      <c r="AG296" s="1479">
        <f>SUMIF(PERHITUNGAN!A:A,'KIB D'!B296&amp;'KIB D'!$AG$7,PERHITUNGAN!U:U)</f>
        <v>2243878652.1951437</v>
      </c>
      <c r="AH296" s="1479">
        <f>SUMIF(PERHITUNGAN!A:A,'KIB D'!B296&amp;'KIB D'!$AH$7,PERHITUNGAN!U:U)</f>
        <v>2243878652.1951437</v>
      </c>
      <c r="AI296" s="1479">
        <f>SUM(AB296:AH296)</f>
        <v>19188599729.33453</v>
      </c>
      <c r="AJ296" s="1401">
        <f>S296-AI296</f>
        <v>15707150565.366001</v>
      </c>
    </row>
    <row r="297" spans="1:36" s="1390" customFormat="1" ht="35" customHeight="1" x14ac:dyDescent="0.15">
      <c r="A297" s="1390">
        <v>164</v>
      </c>
      <c r="B297" s="1472" t="str">
        <f t="shared" si="113"/>
        <v>PANGEAN - BATAS PELALAWAN</v>
      </c>
      <c r="C297" s="1516" t="s">
        <v>4247</v>
      </c>
      <c r="D297" s="1426"/>
      <c r="E297" s="1429" t="s">
        <v>1164</v>
      </c>
      <c r="F297" s="1539">
        <v>5825831760.3196297</v>
      </c>
      <c r="G297" s="1517" t="s">
        <v>2494</v>
      </c>
      <c r="H297" s="1518"/>
      <c r="I297" s="1518" t="s">
        <v>519</v>
      </c>
      <c r="J297" s="1519">
        <v>0</v>
      </c>
      <c r="K297" s="1517"/>
      <c r="L297" s="1519">
        <v>0</v>
      </c>
      <c r="M297" s="1518" t="s">
        <v>3100</v>
      </c>
      <c r="N297" s="1517">
        <v>2007</v>
      </c>
      <c r="O297" s="1518"/>
      <c r="P297" s="1518"/>
      <c r="Q297" s="1518"/>
      <c r="R297" s="1517" t="s">
        <v>12</v>
      </c>
      <c r="S297" s="1520"/>
      <c r="T297" s="1517" t="s">
        <v>43</v>
      </c>
      <c r="U297" s="1572"/>
      <c r="V297" s="1521"/>
      <c r="W297" s="1522" t="str">
        <f>LEFT(G297,8)</f>
        <v>04.13.01</v>
      </c>
      <c r="X297" s="1478" t="str">
        <f>VLOOKUP(W297,UE,3,FALSE)</f>
        <v>Jalan</v>
      </c>
      <c r="Y297" s="1478">
        <f>VLOOKUP(W297,UE,4,FALSE)</f>
        <v>10</v>
      </c>
      <c r="Z297" s="1401"/>
      <c r="AA297" s="1444">
        <f>IF(2013-N297&gt;Y297,10,IF(2013-N297&lt;0,0,2013-N297))</f>
        <v>6</v>
      </c>
      <c r="AB297" s="1401"/>
      <c r="AC297" s="1401"/>
      <c r="AD297" s="1401"/>
      <c r="AE297" s="1401"/>
      <c r="AF297" s="1401"/>
      <c r="AG297" s="1479"/>
      <c r="AH297" s="1479"/>
      <c r="AI297" s="1479"/>
      <c r="AJ297" s="1401"/>
    </row>
    <row r="298" spans="1:36" s="1390" customFormat="1" ht="35" customHeight="1" x14ac:dyDescent="0.15">
      <c r="A298" s="1390">
        <v>164</v>
      </c>
      <c r="B298" s="1472" t="str">
        <f t="shared" si="113"/>
        <v>PANGEAN - BATAS PELALAWAN</v>
      </c>
      <c r="C298" s="1516" t="s">
        <v>4247</v>
      </c>
      <c r="D298" s="1426"/>
      <c r="E298" s="1429" t="s">
        <v>1194</v>
      </c>
      <c r="F298" s="1539">
        <v>1327353361.6165369</v>
      </c>
      <c r="G298" s="1517" t="s">
        <v>2494</v>
      </c>
      <c r="H298" s="1518"/>
      <c r="I298" s="1518"/>
      <c r="J298" s="1519">
        <v>0</v>
      </c>
      <c r="K298" s="1517"/>
      <c r="L298" s="1519">
        <v>0</v>
      </c>
      <c r="M298" s="1518" t="s">
        <v>3100</v>
      </c>
      <c r="N298" s="1517">
        <v>2007</v>
      </c>
      <c r="O298" s="1518"/>
      <c r="P298" s="1518"/>
      <c r="Q298" s="1518"/>
      <c r="R298" s="1517" t="s">
        <v>12</v>
      </c>
      <c r="S298" s="1520"/>
      <c r="T298" s="1517" t="s">
        <v>43</v>
      </c>
      <c r="U298" s="1572"/>
      <c r="V298" s="1521"/>
      <c r="W298" s="1522" t="str">
        <f>LEFT(G298,8)</f>
        <v>04.13.01</v>
      </c>
      <c r="X298" s="1478" t="str">
        <f>VLOOKUP(W298,UE,3,FALSE)</f>
        <v>Jalan</v>
      </c>
      <c r="Y298" s="1478">
        <f>VLOOKUP(W298,UE,4,FALSE)</f>
        <v>10</v>
      </c>
      <c r="Z298" s="1401"/>
      <c r="AA298" s="1444">
        <f>IF(2013-N298&gt;Y298,10,IF(2013-N298&lt;0,0,2013-N298))</f>
        <v>6</v>
      </c>
      <c r="AB298" s="1401"/>
      <c r="AC298" s="1401"/>
      <c r="AD298" s="1401"/>
      <c r="AE298" s="1401"/>
      <c r="AF298" s="1401"/>
      <c r="AG298" s="1479"/>
      <c r="AH298" s="1479"/>
      <c r="AI298" s="1479"/>
      <c r="AJ298" s="1401"/>
    </row>
    <row r="299" spans="1:36" s="1390" customFormat="1" ht="35" customHeight="1" x14ac:dyDescent="0.2">
      <c r="A299" s="1390">
        <v>164</v>
      </c>
      <c r="B299" s="1472" t="str">
        <f t="shared" si="113"/>
        <v>PANGEAN - BATAS PELALAWAN</v>
      </c>
      <c r="C299" s="1478"/>
      <c r="D299" s="1426"/>
      <c r="E299" s="1573" t="s">
        <v>5147</v>
      </c>
      <c r="F299" s="1539">
        <v>1022988789.8260441</v>
      </c>
      <c r="G299" s="1416" t="s">
        <v>2494</v>
      </c>
      <c r="H299" s="1508"/>
      <c r="I299" s="1523" t="s">
        <v>519</v>
      </c>
      <c r="J299" s="1525">
        <v>1000</v>
      </c>
      <c r="K299" s="1525"/>
      <c r="L299" s="1525">
        <v>1000</v>
      </c>
      <c r="M299" s="1523" t="s">
        <v>3100</v>
      </c>
      <c r="N299" s="1416">
        <v>2008</v>
      </c>
      <c r="O299" s="1414"/>
      <c r="P299" s="1523" t="s">
        <v>5084</v>
      </c>
      <c r="Q299" s="1414"/>
      <c r="R299" s="1523" t="s">
        <v>12</v>
      </c>
      <c r="S299" s="1529"/>
      <c r="T299" s="1525" t="s">
        <v>43</v>
      </c>
      <c r="U299" s="1574"/>
      <c r="V299" s="1477"/>
      <c r="W299" s="1478"/>
      <c r="X299" s="1478"/>
      <c r="Y299" s="1478"/>
      <c r="Z299" s="1401"/>
      <c r="AA299" s="1444"/>
      <c r="AB299" s="1401"/>
      <c r="AC299" s="1401"/>
      <c r="AD299" s="1401"/>
      <c r="AE299" s="1401"/>
      <c r="AF299" s="1401"/>
      <c r="AG299" s="1479"/>
      <c r="AH299" s="1479"/>
      <c r="AI299" s="1479"/>
      <c r="AJ299" s="1401"/>
    </row>
    <row r="300" spans="1:36" s="1390" customFormat="1" ht="35" customHeight="1" x14ac:dyDescent="0.2">
      <c r="A300" s="1390">
        <v>164</v>
      </c>
      <c r="B300" s="1472" t="str">
        <f t="shared" si="113"/>
        <v>PANGEAN - BATAS PELALAWAN</v>
      </c>
      <c r="C300" s="1478"/>
      <c r="D300" s="1426"/>
      <c r="E300" s="1573" t="s">
        <v>5154</v>
      </c>
      <c r="F300" s="1539">
        <v>942281942.42587268</v>
      </c>
      <c r="G300" s="1416" t="s">
        <v>2494</v>
      </c>
      <c r="H300" s="1508"/>
      <c r="I300" s="1416"/>
      <c r="J300" s="1500"/>
      <c r="K300" s="1416"/>
      <c r="L300" s="1500"/>
      <c r="M300" s="1523" t="s">
        <v>833</v>
      </c>
      <c r="N300" s="1416">
        <v>2008</v>
      </c>
      <c r="O300" s="1414"/>
      <c r="P300" s="1523" t="s">
        <v>5084</v>
      </c>
      <c r="Q300" s="1523"/>
      <c r="R300" s="1523" t="s">
        <v>12</v>
      </c>
      <c r="S300" s="1524"/>
      <c r="T300" s="1525" t="s">
        <v>43</v>
      </c>
      <c r="U300" s="1574"/>
      <c r="V300" s="1477"/>
      <c r="W300" s="1478"/>
      <c r="X300" s="1478"/>
      <c r="Y300" s="1478"/>
      <c r="Z300" s="1401"/>
      <c r="AA300" s="1444"/>
      <c r="AB300" s="1401"/>
      <c r="AC300" s="1401"/>
      <c r="AD300" s="1401"/>
      <c r="AE300" s="1401"/>
      <c r="AF300" s="1401"/>
      <c r="AG300" s="1479"/>
      <c r="AH300" s="1479"/>
      <c r="AI300" s="1479"/>
      <c r="AJ300" s="1401"/>
    </row>
    <row r="301" spans="1:36" s="1390" customFormat="1" ht="35" customHeight="1" x14ac:dyDescent="0.2">
      <c r="A301" s="1390">
        <v>164</v>
      </c>
      <c r="B301" s="1472" t="str">
        <f t="shared" si="113"/>
        <v>PANGEAN - BATAS PELALAWAN</v>
      </c>
      <c r="C301" s="1478"/>
      <c r="D301" s="1426"/>
      <c r="E301" s="1588" t="s">
        <v>5148</v>
      </c>
      <c r="F301" s="1539">
        <v>2295175066.3124514</v>
      </c>
      <c r="G301" s="1416" t="s">
        <v>2494</v>
      </c>
      <c r="H301" s="1508"/>
      <c r="I301" s="1523" t="s">
        <v>519</v>
      </c>
      <c r="J301" s="1523">
        <v>2000</v>
      </c>
      <c r="K301" s="1525"/>
      <c r="L301" s="1523"/>
      <c r="M301" s="1525" t="s">
        <v>3100</v>
      </c>
      <c r="N301" s="1416">
        <v>2010</v>
      </c>
      <c r="O301" s="1414"/>
      <c r="P301" s="1414" t="s">
        <v>5084</v>
      </c>
      <c r="Q301" s="1414"/>
      <c r="R301" s="1523" t="s">
        <v>12</v>
      </c>
      <c r="S301" s="1529"/>
      <c r="T301" s="1416" t="s">
        <v>43</v>
      </c>
      <c r="U301" s="1427"/>
      <c r="V301" s="1477"/>
      <c r="W301" s="1478"/>
      <c r="X301" s="1478"/>
      <c r="Y301" s="1478"/>
      <c r="Z301" s="1401"/>
      <c r="AA301" s="1444"/>
      <c r="AB301" s="1401"/>
      <c r="AC301" s="1401"/>
      <c r="AD301" s="1401"/>
      <c r="AE301" s="1401"/>
      <c r="AF301" s="1401"/>
      <c r="AG301" s="1479"/>
      <c r="AH301" s="1479"/>
      <c r="AI301" s="1479"/>
      <c r="AJ301" s="1401"/>
    </row>
    <row r="302" spans="1:36" s="1390" customFormat="1" ht="35" customHeight="1" x14ac:dyDescent="0.15">
      <c r="A302" s="1390">
        <v>164</v>
      </c>
      <c r="B302" s="1472" t="str">
        <f t="shared" si="113"/>
        <v>PANGEAN - BATAS PELALAWAN</v>
      </c>
      <c r="C302" s="1516" t="s">
        <v>4247</v>
      </c>
      <c r="D302" s="1426"/>
      <c r="E302" s="1429" t="s">
        <v>1280</v>
      </c>
      <c r="F302" s="1539">
        <v>1768063472</v>
      </c>
      <c r="G302" s="1517" t="s">
        <v>2494</v>
      </c>
      <c r="H302" s="1518"/>
      <c r="I302" s="1518" t="s">
        <v>519</v>
      </c>
      <c r="J302" s="1519">
        <v>0</v>
      </c>
      <c r="K302" s="1517"/>
      <c r="L302" s="1519">
        <v>0</v>
      </c>
      <c r="M302" s="1518" t="s">
        <v>3100</v>
      </c>
      <c r="N302" s="1517">
        <v>2013</v>
      </c>
      <c r="O302" s="1518"/>
      <c r="P302" s="1518"/>
      <c r="Q302" s="1518"/>
      <c r="R302" s="1517" t="s">
        <v>12</v>
      </c>
      <c r="S302" s="1520"/>
      <c r="T302" s="1518"/>
      <c r="U302" s="1572"/>
      <c r="V302" s="1521"/>
      <c r="W302" s="1522" t="str">
        <f t="shared" ref="W302:W309" si="114">LEFT(G302,8)</f>
        <v>04.13.01</v>
      </c>
      <c r="X302" s="1478" t="str">
        <f t="shared" ref="X302:X309" si="115">VLOOKUP(W302,UE,3,FALSE)</f>
        <v>Jalan</v>
      </c>
      <c r="Y302" s="1478">
        <f t="shared" ref="Y302:Y309" si="116">VLOOKUP(W302,UE,4,FALSE)</f>
        <v>10</v>
      </c>
      <c r="Z302" s="1401"/>
      <c r="AA302" s="1444">
        <f>IF(2013-N302&gt;Y302,10,IF(2013-N302&lt;0,0,2013-N302))</f>
        <v>0</v>
      </c>
      <c r="AB302" s="1401"/>
      <c r="AC302" s="1401"/>
      <c r="AD302" s="1401"/>
      <c r="AE302" s="1401"/>
      <c r="AF302" s="1401"/>
      <c r="AG302" s="1479"/>
      <c r="AH302" s="1479"/>
      <c r="AI302" s="1479"/>
      <c r="AJ302" s="1401"/>
    </row>
    <row r="303" spans="1:36" s="1390" customFormat="1" ht="35" customHeight="1" x14ac:dyDescent="0.15">
      <c r="A303" s="1390">
        <v>164</v>
      </c>
      <c r="B303" s="1472" t="str">
        <f t="shared" si="113"/>
        <v>PANGEAN - BATAS PELALAWAN</v>
      </c>
      <c r="C303" s="1516" t="s">
        <v>4247</v>
      </c>
      <c r="D303" s="1426"/>
      <c r="E303" s="1429" t="s">
        <v>1358</v>
      </c>
      <c r="F303" s="1539">
        <v>8656542443.2000008</v>
      </c>
      <c r="G303" s="1517" t="s">
        <v>2494</v>
      </c>
      <c r="H303" s="1518"/>
      <c r="I303" s="1518"/>
      <c r="J303" s="1519">
        <v>0</v>
      </c>
      <c r="K303" s="1517"/>
      <c r="L303" s="1519">
        <v>0</v>
      </c>
      <c r="M303" s="1518" t="s">
        <v>3100</v>
      </c>
      <c r="N303" s="1517">
        <v>2015</v>
      </c>
      <c r="O303" s="1518"/>
      <c r="P303" s="1518"/>
      <c r="Q303" s="1518"/>
      <c r="R303" s="1517" t="s">
        <v>12</v>
      </c>
      <c r="S303" s="1520"/>
      <c r="T303" s="1518"/>
      <c r="U303" s="1572"/>
      <c r="V303" s="1521"/>
      <c r="W303" s="1522" t="str">
        <f t="shared" si="114"/>
        <v>04.13.01</v>
      </c>
      <c r="X303" s="1478" t="str">
        <f t="shared" si="115"/>
        <v>Jalan</v>
      </c>
      <c r="Y303" s="1478">
        <f t="shared" si="116"/>
        <v>10</v>
      </c>
      <c r="Z303" s="1401"/>
      <c r="AA303" s="1444">
        <f>IF(2013-N303&gt;Y303,10,IF(2013-N303&lt;0,0,2013-N303))</f>
        <v>0</v>
      </c>
      <c r="AB303" s="1401"/>
      <c r="AC303" s="1401"/>
      <c r="AD303" s="1401"/>
      <c r="AE303" s="1401"/>
      <c r="AF303" s="1401"/>
      <c r="AG303" s="1479"/>
      <c r="AH303" s="1479"/>
      <c r="AI303" s="1479"/>
      <c r="AJ303" s="1401"/>
    </row>
    <row r="304" spans="1:36" s="1390" customFormat="1" ht="35" customHeight="1" x14ac:dyDescent="0.15">
      <c r="A304" s="1390">
        <v>164</v>
      </c>
      <c r="B304" s="1472" t="str">
        <f t="shared" si="113"/>
        <v>PANGEAN - BATAS PELALAWAN</v>
      </c>
      <c r="C304" s="1516" t="s">
        <v>4247</v>
      </c>
      <c r="D304" s="1426"/>
      <c r="E304" s="1429" t="s">
        <v>1446</v>
      </c>
      <c r="F304" s="1539">
        <v>5591436679.1599998</v>
      </c>
      <c r="G304" s="1517" t="s">
        <v>2494</v>
      </c>
      <c r="H304" s="1518"/>
      <c r="I304" s="1518"/>
      <c r="J304" s="1519">
        <v>0</v>
      </c>
      <c r="K304" s="1517"/>
      <c r="L304" s="1519">
        <v>0</v>
      </c>
      <c r="M304" s="1518" t="s">
        <v>3100</v>
      </c>
      <c r="N304" s="1517">
        <v>2016</v>
      </c>
      <c r="O304" s="1518"/>
      <c r="P304" s="1518"/>
      <c r="Q304" s="1518"/>
      <c r="R304" s="1517" t="s">
        <v>12</v>
      </c>
      <c r="S304" s="1520"/>
      <c r="T304" s="1518"/>
      <c r="U304" s="1572"/>
      <c r="V304" s="1521"/>
      <c r="W304" s="1522" t="str">
        <f t="shared" si="114"/>
        <v>04.13.01</v>
      </c>
      <c r="X304" s="1478" t="str">
        <f t="shared" si="115"/>
        <v>Jalan</v>
      </c>
      <c r="Y304" s="1478">
        <f t="shared" si="116"/>
        <v>10</v>
      </c>
      <c r="Z304" s="1401"/>
      <c r="AA304" s="1444">
        <f>IF(2013-N304&gt;Y304,10,IF(2013-N304&lt;0,0,2013-N304))</f>
        <v>0</v>
      </c>
      <c r="AB304" s="1401"/>
      <c r="AC304" s="1401"/>
      <c r="AD304" s="1401"/>
      <c r="AE304" s="1401"/>
      <c r="AF304" s="1401"/>
      <c r="AG304" s="1479"/>
      <c r="AH304" s="1479"/>
      <c r="AI304" s="1479"/>
      <c r="AJ304" s="1401"/>
    </row>
    <row r="305" spans="1:36" s="1390" customFormat="1" ht="35" customHeight="1" x14ac:dyDescent="0.15">
      <c r="A305" s="1390">
        <v>164</v>
      </c>
      <c r="B305" s="1472" t="str">
        <f t="shared" si="113"/>
        <v>PANGEAN - BATAS PELALAWAN</v>
      </c>
      <c r="C305" s="1516" t="s">
        <v>4247</v>
      </c>
      <c r="D305" s="1426"/>
      <c r="E305" s="1429" t="s">
        <v>1447</v>
      </c>
      <c r="F305" s="1539">
        <v>5487724779.8400002</v>
      </c>
      <c r="G305" s="1517" t="s">
        <v>2494</v>
      </c>
      <c r="H305" s="1518"/>
      <c r="I305" s="1518"/>
      <c r="J305" s="1519">
        <v>0</v>
      </c>
      <c r="K305" s="1517"/>
      <c r="L305" s="1519">
        <v>0</v>
      </c>
      <c r="M305" s="1518" t="s">
        <v>3100</v>
      </c>
      <c r="N305" s="1517">
        <v>2016</v>
      </c>
      <c r="O305" s="1518"/>
      <c r="P305" s="1518"/>
      <c r="Q305" s="1518"/>
      <c r="R305" s="1517" t="s">
        <v>12</v>
      </c>
      <c r="S305" s="1520"/>
      <c r="T305" s="1518"/>
      <c r="U305" s="1572"/>
      <c r="V305" s="1521"/>
      <c r="W305" s="1522" t="str">
        <f t="shared" si="114"/>
        <v>04.13.01</v>
      </c>
      <c r="X305" s="1478" t="str">
        <f t="shared" si="115"/>
        <v>Jalan</v>
      </c>
      <c r="Y305" s="1478">
        <f t="shared" si="116"/>
        <v>10</v>
      </c>
      <c r="Z305" s="1401"/>
      <c r="AA305" s="1444">
        <f>IF(2013-N305&gt;Y305,10,IF(2013-N305&lt;0,0,2013-N305))</f>
        <v>0</v>
      </c>
      <c r="AB305" s="1401"/>
      <c r="AC305" s="1401"/>
      <c r="AD305" s="1401"/>
      <c r="AE305" s="1401"/>
      <c r="AF305" s="1401"/>
      <c r="AG305" s="1479"/>
      <c r="AH305" s="1479"/>
      <c r="AI305" s="1479"/>
      <c r="AJ305" s="1401"/>
    </row>
    <row r="306" spans="1:36" s="1472" customFormat="1" ht="35" customHeight="1" x14ac:dyDescent="0.2">
      <c r="A306" s="1472">
        <v>164</v>
      </c>
      <c r="B306" s="1472" t="str">
        <f t="shared" si="113"/>
        <v>PANGEAN - BATAS PELALAWAN</v>
      </c>
      <c r="C306" s="1478" t="e">
        <f>RIGHT(#REF!,1)</f>
        <v>#REF!</v>
      </c>
      <c r="D306" s="1576"/>
      <c r="E306" s="1539" t="s">
        <v>3051</v>
      </c>
      <c r="F306" s="1529">
        <v>130352000</v>
      </c>
      <c r="G306" s="1501" t="s">
        <v>2494</v>
      </c>
      <c r="H306" s="1501"/>
      <c r="I306" s="1414"/>
      <c r="J306" s="1526"/>
      <c r="K306" s="1416"/>
      <c r="L306" s="1430"/>
      <c r="M306" s="1429" t="s">
        <v>3273</v>
      </c>
      <c r="N306" s="1501">
        <v>2017</v>
      </c>
      <c r="O306" s="1414"/>
      <c r="P306" s="1414"/>
      <c r="Q306" s="1414"/>
      <c r="R306" s="1501" t="s">
        <v>12</v>
      </c>
      <c r="S306" s="1527"/>
      <c r="T306" s="1528"/>
      <c r="U306" s="1575"/>
      <c r="V306" s="1490"/>
      <c r="W306" s="1478" t="str">
        <f t="shared" si="114"/>
        <v>04.13.01</v>
      </c>
      <c r="X306" s="1478" t="str">
        <f t="shared" si="115"/>
        <v>Jalan</v>
      </c>
      <c r="Y306" s="1478">
        <f t="shared" si="116"/>
        <v>10</v>
      </c>
      <c r="Z306" s="1401"/>
      <c r="AA306" s="1444"/>
      <c r="AB306" s="1401"/>
      <c r="AC306" s="1401"/>
      <c r="AD306" s="1401"/>
      <c r="AE306" s="1401"/>
      <c r="AF306" s="1401"/>
      <c r="AG306" s="1479"/>
      <c r="AH306" s="1479"/>
      <c r="AI306" s="1479"/>
      <c r="AJ306" s="1401">
        <f>S306-AI306</f>
        <v>0</v>
      </c>
    </row>
    <row r="307" spans="1:36" s="1390" customFormat="1" ht="35" customHeight="1" x14ac:dyDescent="0.15">
      <c r="A307" s="1390">
        <v>165</v>
      </c>
      <c r="B307" s="1472" t="str">
        <f t="shared" si="113"/>
        <v>SAKO - TRANS SKP II</v>
      </c>
      <c r="C307" s="1516" t="s">
        <v>4247</v>
      </c>
      <c r="D307" s="1426">
        <v>115</v>
      </c>
      <c r="E307" s="1429" t="s">
        <v>5849</v>
      </c>
      <c r="F307" s="1539"/>
      <c r="G307" s="1517" t="s">
        <v>2494</v>
      </c>
      <c r="H307" s="1518"/>
      <c r="I307" s="1518" t="s">
        <v>479</v>
      </c>
      <c r="J307" s="1533" t="s">
        <v>639</v>
      </c>
      <c r="K307" s="1517"/>
      <c r="L307" s="1519">
        <v>0</v>
      </c>
      <c r="M307" s="1518" t="s">
        <v>640</v>
      </c>
      <c r="N307" s="1517">
        <v>2001</v>
      </c>
      <c r="O307" s="1518"/>
      <c r="P307" s="1518"/>
      <c r="Q307" s="1518" t="s">
        <v>482</v>
      </c>
      <c r="R307" s="1517" t="s">
        <v>12</v>
      </c>
      <c r="S307" s="1520">
        <f>4200000000+F308+F309+F312+F313+F314+F315+F316+F317+F318+F310+F311+F319</f>
        <v>26026479571.77179</v>
      </c>
      <c r="T307" s="1517" t="s">
        <v>135</v>
      </c>
      <c r="U307" s="1572"/>
      <c r="V307" s="1521"/>
      <c r="W307" s="1522" t="str">
        <f t="shared" si="114"/>
        <v>04.13.01</v>
      </c>
      <c r="X307" s="1478" t="str">
        <f t="shared" si="115"/>
        <v>Jalan</v>
      </c>
      <c r="Y307" s="1478">
        <f t="shared" si="116"/>
        <v>10</v>
      </c>
      <c r="Z307" s="1401"/>
      <c r="AA307" s="1444">
        <f>IF(2013-N307&gt;Y307,10,IF(2013-N307&lt;0,0,2013-N307))</f>
        <v>10</v>
      </c>
      <c r="AB307" s="1401">
        <f>SUM(PERHITUNGAN!U1006:U1017)</f>
        <v>10083606326.503849</v>
      </c>
      <c r="AC307" s="1479">
        <f>SUMIF(PERHITUNGAN!A:A,'KIB D'!B307&amp;'KIB D'!$AC$7,PERHITUNGAN!U:U)</f>
        <v>676122376.88349283</v>
      </c>
      <c r="AD307" s="1479">
        <f>SUMIF(PERHITUNGAN!A:A,'KIB D'!B307&amp;'KIB D'!$AD$7,PERHITUNGAN!U:U)</f>
        <v>685950974.23844504</v>
      </c>
      <c r="AE307" s="1479">
        <f>SUMIF(PERHITUNGAN!A:A,'KIB D'!B307&amp;'KIB D'!$AE$7,PERHITUNGAN!U:U)</f>
        <v>685950974.23844504</v>
      </c>
      <c r="AF307" s="1479">
        <f>SUMIF(PERHITUNGAN!A:A,'KIB D'!B307&amp;'KIB D'!$AF$7,PERHITUNGAN!U:U)</f>
        <v>729598849.39075601</v>
      </c>
      <c r="AG307" s="1479">
        <f>SUMIF(PERHITUNGAN!A:A,'KIB D'!B307&amp;'KIB D'!$AG$7,PERHITUNGAN!U:U)</f>
        <v>1108818950.2516804</v>
      </c>
      <c r="AH307" s="1479">
        <f>SUMIF(PERHITUNGAN!A:A,'KIB D'!B307&amp;'KIB D'!$AH$7,PERHITUNGAN!U:U)</f>
        <v>1205643112.0265124</v>
      </c>
      <c r="AI307" s="1479">
        <f>SUM(AB307:AH307)</f>
        <v>15175691563.533182</v>
      </c>
      <c r="AJ307" s="1401">
        <f>S307-AI307</f>
        <v>10850788008.238607</v>
      </c>
    </row>
    <row r="308" spans="1:36" s="1390" customFormat="1" ht="35" customHeight="1" x14ac:dyDescent="0.15">
      <c r="A308" s="1390">
        <v>165</v>
      </c>
      <c r="B308" s="1472" t="str">
        <f t="shared" si="113"/>
        <v>SAKO - TRANS SKP II</v>
      </c>
      <c r="C308" s="1516" t="s">
        <v>4247</v>
      </c>
      <c r="D308" s="1426"/>
      <c r="E308" s="1429" t="s">
        <v>529</v>
      </c>
      <c r="F308" s="1539">
        <v>4992000000</v>
      </c>
      <c r="G308" s="1517" t="s">
        <v>2494</v>
      </c>
      <c r="H308" s="1518"/>
      <c r="I308" s="1518" t="s">
        <v>484</v>
      </c>
      <c r="J308" s="1519" t="s">
        <v>639</v>
      </c>
      <c r="K308" s="1517"/>
      <c r="L308" s="1519">
        <v>0</v>
      </c>
      <c r="M308" s="1518" t="s">
        <v>640</v>
      </c>
      <c r="N308" s="1517">
        <v>2001</v>
      </c>
      <c r="O308" s="1518"/>
      <c r="P308" s="1518"/>
      <c r="Q308" s="1518" t="s">
        <v>482</v>
      </c>
      <c r="R308" s="1517" t="s">
        <v>12</v>
      </c>
      <c r="S308" s="1520"/>
      <c r="T308" s="1517" t="s">
        <v>43</v>
      </c>
      <c r="U308" s="1572"/>
      <c r="V308" s="1521"/>
      <c r="W308" s="1522" t="str">
        <f t="shared" si="114"/>
        <v>04.13.01</v>
      </c>
      <c r="X308" s="1478" t="str">
        <f t="shared" si="115"/>
        <v>Jalan</v>
      </c>
      <c r="Y308" s="1478">
        <f t="shared" si="116"/>
        <v>10</v>
      </c>
      <c r="Z308" s="1401"/>
      <c r="AA308" s="1444">
        <f>IF(2013-N308&gt;Y308,10,IF(2013-N308&lt;0,0,2013-N308))</f>
        <v>10</v>
      </c>
      <c r="AB308" s="1401"/>
      <c r="AC308" s="1401"/>
      <c r="AD308" s="1401"/>
      <c r="AE308" s="1401"/>
      <c r="AF308" s="1401"/>
      <c r="AG308" s="1479"/>
      <c r="AH308" s="1479"/>
      <c r="AI308" s="1479"/>
      <c r="AJ308" s="1401">
        <f>S308-AI308</f>
        <v>0</v>
      </c>
    </row>
    <row r="309" spans="1:36" s="1390" customFormat="1" ht="35" customHeight="1" x14ac:dyDescent="0.15">
      <c r="A309" s="1390">
        <v>165</v>
      </c>
      <c r="B309" s="1472" t="str">
        <f t="shared" si="113"/>
        <v>SAKO - TRANS SKP II</v>
      </c>
      <c r="C309" s="1516" t="s">
        <v>4247</v>
      </c>
      <c r="D309" s="1426"/>
      <c r="E309" s="1429" t="s">
        <v>1172</v>
      </c>
      <c r="F309" s="1539">
        <v>732909624.99453104</v>
      </c>
      <c r="G309" s="1517" t="s">
        <v>2494</v>
      </c>
      <c r="H309" s="1518"/>
      <c r="I309" s="1518" t="s">
        <v>835</v>
      </c>
      <c r="J309" s="1519">
        <v>3</v>
      </c>
      <c r="K309" s="1517">
        <v>3</v>
      </c>
      <c r="L309" s="1519">
        <v>9</v>
      </c>
      <c r="M309" s="1518" t="s">
        <v>3106</v>
      </c>
      <c r="N309" s="1517">
        <v>2007</v>
      </c>
      <c r="O309" s="1518"/>
      <c r="P309" s="1518"/>
      <c r="Q309" s="1518"/>
      <c r="R309" s="1517" t="s">
        <v>12</v>
      </c>
      <c r="S309" s="1520"/>
      <c r="T309" s="1517" t="s">
        <v>43</v>
      </c>
      <c r="U309" s="1572"/>
      <c r="V309" s="1521"/>
      <c r="W309" s="1522" t="str">
        <f t="shared" si="114"/>
        <v>04.13.01</v>
      </c>
      <c r="X309" s="1478" t="str">
        <f t="shared" si="115"/>
        <v>Jalan</v>
      </c>
      <c r="Y309" s="1478">
        <f t="shared" si="116"/>
        <v>10</v>
      </c>
      <c r="Z309" s="1401"/>
      <c r="AA309" s="1444">
        <f>IF(2013-N309&gt;Y309,10,IF(2013-N309&lt;0,0,2013-N309))</f>
        <v>6</v>
      </c>
      <c r="AB309" s="1401"/>
      <c r="AC309" s="1401"/>
      <c r="AD309" s="1401"/>
      <c r="AE309" s="1401"/>
      <c r="AF309" s="1401"/>
      <c r="AG309" s="1479"/>
      <c r="AH309" s="1479"/>
      <c r="AI309" s="1479"/>
      <c r="AJ309" s="1401">
        <f>S309-AI309</f>
        <v>0</v>
      </c>
    </row>
    <row r="310" spans="1:36" s="1390" customFormat="1" ht="35" customHeight="1" x14ac:dyDescent="0.2">
      <c r="A310" s="1390">
        <v>165</v>
      </c>
      <c r="B310" s="1472" t="str">
        <f t="shared" si="113"/>
        <v>SAKO - TRANS SKP II</v>
      </c>
      <c r="C310" s="1478"/>
      <c r="D310" s="1426"/>
      <c r="E310" s="1588" t="s">
        <v>5151</v>
      </c>
      <c r="F310" s="1539">
        <v>1087914426.7501531</v>
      </c>
      <c r="G310" s="1416" t="s">
        <v>2494</v>
      </c>
      <c r="H310" s="1508"/>
      <c r="I310" s="1523" t="s">
        <v>519</v>
      </c>
      <c r="J310" s="1523">
        <v>670</v>
      </c>
      <c r="K310" s="1525"/>
      <c r="L310" s="1523"/>
      <c r="M310" s="1525" t="s">
        <v>5153</v>
      </c>
      <c r="N310" s="1416">
        <v>2010</v>
      </c>
      <c r="O310" s="1414"/>
      <c r="P310" s="1414" t="s">
        <v>5084</v>
      </c>
      <c r="Q310" s="1414"/>
      <c r="R310" s="1523" t="s">
        <v>12</v>
      </c>
      <c r="S310" s="1529"/>
      <c r="T310" s="1416" t="s">
        <v>43</v>
      </c>
      <c r="U310" s="1427"/>
      <c r="V310" s="1477"/>
      <c r="W310" s="1478"/>
      <c r="X310" s="1478"/>
      <c r="Y310" s="1478"/>
      <c r="Z310" s="1401"/>
      <c r="AA310" s="1444"/>
      <c r="AB310" s="1401"/>
      <c r="AC310" s="1401"/>
      <c r="AD310" s="1401"/>
      <c r="AE310" s="1401"/>
      <c r="AF310" s="1401"/>
      <c r="AG310" s="1479"/>
      <c r="AH310" s="1479"/>
      <c r="AI310" s="1479"/>
      <c r="AJ310" s="1401"/>
    </row>
    <row r="311" spans="1:36" s="1390" customFormat="1" ht="35" customHeight="1" x14ac:dyDescent="0.2">
      <c r="A311" s="1390">
        <v>165</v>
      </c>
      <c r="B311" s="1472" t="str">
        <f t="shared" si="113"/>
        <v>SAKO - TRANS SKP II</v>
      </c>
      <c r="C311" s="1478"/>
      <c r="D311" s="1426"/>
      <c r="E311" s="1588" t="s">
        <v>5152</v>
      </c>
      <c r="F311" s="1539">
        <v>1053470743.5925655</v>
      </c>
      <c r="G311" s="1416" t="s">
        <v>2494</v>
      </c>
      <c r="H311" s="1508"/>
      <c r="I311" s="1523" t="s">
        <v>519</v>
      </c>
      <c r="J311" s="1523">
        <v>670</v>
      </c>
      <c r="K311" s="1525"/>
      <c r="L311" s="1523"/>
      <c r="M311" s="1525" t="s">
        <v>3139</v>
      </c>
      <c r="N311" s="1416">
        <v>2010</v>
      </c>
      <c r="O311" s="1414"/>
      <c r="P311" s="1414" t="s">
        <v>5084</v>
      </c>
      <c r="Q311" s="1414"/>
      <c r="R311" s="1523" t="s">
        <v>12</v>
      </c>
      <c r="S311" s="1529"/>
      <c r="T311" s="1416" t="s">
        <v>43</v>
      </c>
      <c r="U311" s="1427"/>
      <c r="V311" s="1477"/>
      <c r="W311" s="1478"/>
      <c r="X311" s="1478"/>
      <c r="Y311" s="1478"/>
      <c r="Z311" s="1401"/>
      <c r="AA311" s="1444"/>
      <c r="AB311" s="1401"/>
      <c r="AC311" s="1401"/>
      <c r="AD311" s="1401"/>
      <c r="AE311" s="1401"/>
      <c r="AF311" s="1401"/>
      <c r="AG311" s="1479"/>
      <c r="AH311" s="1479"/>
      <c r="AI311" s="1479"/>
      <c r="AJ311" s="1401"/>
    </row>
    <row r="312" spans="1:36" s="1390" customFormat="1" ht="35" customHeight="1" x14ac:dyDescent="0.15">
      <c r="A312" s="1390">
        <v>165</v>
      </c>
      <c r="B312" s="1472" t="str">
        <f t="shared" si="113"/>
        <v>SAKO - TRANS SKP II</v>
      </c>
      <c r="C312" s="1516" t="s">
        <v>4247</v>
      </c>
      <c r="D312" s="1426"/>
      <c r="E312" s="1429" t="s">
        <v>1230</v>
      </c>
      <c r="F312" s="1539">
        <v>56964700</v>
      </c>
      <c r="G312" s="1517" t="s">
        <v>2494</v>
      </c>
      <c r="H312" s="1518"/>
      <c r="I312" s="1518" t="s">
        <v>519</v>
      </c>
      <c r="J312" s="1519">
        <v>0</v>
      </c>
      <c r="K312" s="1517"/>
      <c r="L312" s="1519">
        <v>2000</v>
      </c>
      <c r="M312" s="1518" t="s">
        <v>3138</v>
      </c>
      <c r="N312" s="1517">
        <v>2011</v>
      </c>
      <c r="O312" s="1518"/>
      <c r="P312" s="1518"/>
      <c r="Q312" s="1518"/>
      <c r="R312" s="1517" t="s">
        <v>12</v>
      </c>
      <c r="S312" s="1520"/>
      <c r="T312" s="1517" t="s">
        <v>43</v>
      </c>
      <c r="U312" s="1572"/>
      <c r="V312" s="1521"/>
      <c r="W312" s="1522" t="str">
        <f t="shared" ref="W312:W318" si="117">LEFT(G312,8)</f>
        <v>04.13.01</v>
      </c>
      <c r="X312" s="1478" t="str">
        <f t="shared" ref="X312:X318" si="118">VLOOKUP(W312,UE,3,FALSE)</f>
        <v>Jalan</v>
      </c>
      <c r="Y312" s="1478">
        <f t="shared" ref="Y312:Y318" si="119">VLOOKUP(W312,UE,4,FALSE)</f>
        <v>10</v>
      </c>
      <c r="Z312" s="1401"/>
      <c r="AA312" s="1444">
        <f t="shared" ref="AA312:AA317" si="120">IF(2013-N312&gt;Y312,10,IF(2013-N312&lt;0,0,2013-N312))</f>
        <v>2</v>
      </c>
      <c r="AB312" s="1401"/>
      <c r="AC312" s="1401"/>
      <c r="AD312" s="1401"/>
      <c r="AE312" s="1401"/>
      <c r="AF312" s="1401"/>
      <c r="AG312" s="1479"/>
      <c r="AH312" s="1479"/>
      <c r="AI312" s="1479"/>
      <c r="AJ312" s="1401">
        <f>S312-AI312</f>
        <v>0</v>
      </c>
    </row>
    <row r="313" spans="1:36" s="1390" customFormat="1" ht="35" customHeight="1" x14ac:dyDescent="0.15">
      <c r="A313" s="1390">
        <v>165</v>
      </c>
      <c r="B313" s="1472" t="str">
        <f t="shared" si="113"/>
        <v>SAKO - TRANS SKP II</v>
      </c>
      <c r="C313" s="1516" t="s">
        <v>4247</v>
      </c>
      <c r="D313" s="1426"/>
      <c r="E313" s="1429" t="s">
        <v>1231</v>
      </c>
      <c r="F313" s="1539">
        <v>1798246935</v>
      </c>
      <c r="G313" s="1517" t="s">
        <v>2494</v>
      </c>
      <c r="H313" s="1518"/>
      <c r="I313" s="1518" t="s">
        <v>519</v>
      </c>
      <c r="J313" s="1519">
        <v>0</v>
      </c>
      <c r="K313" s="1517"/>
      <c r="L313" s="1519">
        <v>670</v>
      </c>
      <c r="M313" s="1518" t="s">
        <v>3139</v>
      </c>
      <c r="N313" s="1517">
        <v>2011</v>
      </c>
      <c r="O313" s="1518"/>
      <c r="P313" s="1518"/>
      <c r="Q313" s="1518"/>
      <c r="R313" s="1517" t="s">
        <v>12</v>
      </c>
      <c r="S313" s="1520"/>
      <c r="T313" s="1517" t="s">
        <v>43</v>
      </c>
      <c r="U313" s="1572"/>
      <c r="V313" s="1521"/>
      <c r="W313" s="1522" t="str">
        <f t="shared" si="117"/>
        <v>04.13.01</v>
      </c>
      <c r="X313" s="1478" t="str">
        <f t="shared" si="118"/>
        <v>Jalan</v>
      </c>
      <c r="Y313" s="1478">
        <f t="shared" si="119"/>
        <v>10</v>
      </c>
      <c r="Z313" s="1401"/>
      <c r="AA313" s="1444">
        <f t="shared" si="120"/>
        <v>2</v>
      </c>
      <c r="AB313" s="1401"/>
      <c r="AC313" s="1401"/>
      <c r="AD313" s="1401"/>
      <c r="AE313" s="1401"/>
      <c r="AF313" s="1401"/>
      <c r="AG313" s="1479"/>
      <c r="AH313" s="1479"/>
      <c r="AI313" s="1479"/>
      <c r="AJ313" s="1401">
        <f>S313-AI313</f>
        <v>0</v>
      </c>
    </row>
    <row r="314" spans="1:36" s="1390" customFormat="1" ht="35" customHeight="1" x14ac:dyDescent="0.15">
      <c r="A314" s="1390">
        <v>165</v>
      </c>
      <c r="B314" s="1472" t="str">
        <f t="shared" si="113"/>
        <v>SAKO - TRANS SKP II</v>
      </c>
      <c r="C314" s="1516" t="s">
        <v>4247</v>
      </c>
      <c r="D314" s="1426"/>
      <c r="E314" s="1429" t="s">
        <v>1254</v>
      </c>
      <c r="F314" s="1539">
        <v>1571078911.2345409</v>
      </c>
      <c r="G314" s="1517" t="s">
        <v>2494</v>
      </c>
      <c r="H314" s="1518"/>
      <c r="I314" s="1518" t="s">
        <v>519</v>
      </c>
      <c r="J314" s="1519">
        <v>0</v>
      </c>
      <c r="K314" s="1517"/>
      <c r="L314" s="1519">
        <v>0</v>
      </c>
      <c r="M314" s="1518" t="s">
        <v>3153</v>
      </c>
      <c r="N314" s="1517">
        <v>2012</v>
      </c>
      <c r="O314" s="1518"/>
      <c r="P314" s="1518"/>
      <c r="Q314" s="1518"/>
      <c r="R314" s="1517" t="s">
        <v>12</v>
      </c>
      <c r="S314" s="1520"/>
      <c r="T314" s="1517" t="s">
        <v>43</v>
      </c>
      <c r="U314" s="1572"/>
      <c r="V314" s="1521"/>
      <c r="W314" s="1522" t="str">
        <f t="shared" si="117"/>
        <v>04.13.01</v>
      </c>
      <c r="X314" s="1478" t="str">
        <f t="shared" si="118"/>
        <v>Jalan</v>
      </c>
      <c r="Y314" s="1478">
        <f t="shared" si="119"/>
        <v>10</v>
      </c>
      <c r="Z314" s="1401"/>
      <c r="AA314" s="1444">
        <f t="shared" si="120"/>
        <v>1</v>
      </c>
      <c r="AB314" s="1401"/>
      <c r="AC314" s="1401"/>
      <c r="AD314" s="1401"/>
      <c r="AE314" s="1401"/>
      <c r="AF314" s="1401"/>
      <c r="AG314" s="1479"/>
      <c r="AH314" s="1479"/>
      <c r="AI314" s="1479"/>
      <c r="AJ314" s="1401">
        <f>S314-AI314</f>
        <v>0</v>
      </c>
    </row>
    <row r="315" spans="1:36" s="1390" customFormat="1" ht="35" customHeight="1" x14ac:dyDescent="0.15">
      <c r="A315" s="1390">
        <v>165</v>
      </c>
      <c r="B315" s="1472" t="str">
        <f t="shared" si="113"/>
        <v>SAKO - TRANS SKP II</v>
      </c>
      <c r="C315" s="1516" t="s">
        <v>4247</v>
      </c>
      <c r="D315" s="1426"/>
      <c r="E315" s="1429" t="s">
        <v>1364</v>
      </c>
      <c r="F315" s="1539">
        <v>2126653104.2</v>
      </c>
      <c r="G315" s="1517" t="s">
        <v>2494</v>
      </c>
      <c r="H315" s="1518"/>
      <c r="I315" s="1518"/>
      <c r="J315" s="1519">
        <v>0</v>
      </c>
      <c r="K315" s="1517"/>
      <c r="L315" s="1519">
        <v>0</v>
      </c>
      <c r="M315" s="1518" t="s">
        <v>3106</v>
      </c>
      <c r="N315" s="1517">
        <v>2015</v>
      </c>
      <c r="O315" s="1518"/>
      <c r="P315" s="1518"/>
      <c r="Q315" s="1518"/>
      <c r="R315" s="1517" t="s">
        <v>12</v>
      </c>
      <c r="S315" s="1520"/>
      <c r="T315" s="1518"/>
      <c r="U315" s="1572"/>
      <c r="V315" s="1521"/>
      <c r="W315" s="1522" t="str">
        <f t="shared" si="117"/>
        <v>04.13.01</v>
      </c>
      <c r="X315" s="1478" t="str">
        <f t="shared" si="118"/>
        <v>Jalan</v>
      </c>
      <c r="Y315" s="1478">
        <f t="shared" si="119"/>
        <v>10</v>
      </c>
      <c r="Z315" s="1401"/>
      <c r="AA315" s="1444">
        <f t="shared" si="120"/>
        <v>0</v>
      </c>
      <c r="AB315" s="1401"/>
      <c r="AC315" s="1401"/>
      <c r="AD315" s="1401"/>
      <c r="AE315" s="1401"/>
      <c r="AF315" s="1401"/>
      <c r="AG315" s="1479"/>
      <c r="AH315" s="1479"/>
      <c r="AI315" s="1479"/>
      <c r="AJ315" s="1401">
        <f>S315-AI315</f>
        <v>0</v>
      </c>
    </row>
    <row r="316" spans="1:36" s="1390" customFormat="1" ht="35" customHeight="1" x14ac:dyDescent="0.15">
      <c r="A316" s="1390">
        <v>165</v>
      </c>
      <c r="B316" s="1472" t="str">
        <f t="shared" si="113"/>
        <v>SAKO - TRANS SKP II</v>
      </c>
      <c r="C316" s="1516" t="s">
        <v>4247</v>
      </c>
      <c r="D316" s="1426"/>
      <c r="E316" s="1429" t="s">
        <v>3060</v>
      </c>
      <c r="F316" s="1539">
        <v>1808380700</v>
      </c>
      <c r="G316" s="1517" t="s">
        <v>2494</v>
      </c>
      <c r="H316" s="1518"/>
      <c r="I316" s="1518"/>
      <c r="J316" s="1519">
        <v>0</v>
      </c>
      <c r="K316" s="1517"/>
      <c r="L316" s="1519">
        <v>0</v>
      </c>
      <c r="M316" s="1518" t="s">
        <v>3280</v>
      </c>
      <c r="N316" s="1517">
        <v>2017</v>
      </c>
      <c r="O316" s="1518"/>
      <c r="P316" s="1518"/>
      <c r="Q316" s="1518"/>
      <c r="R316" s="1517" t="s">
        <v>12</v>
      </c>
      <c r="S316" s="1520"/>
      <c r="T316" s="1518"/>
      <c r="U316" s="1572"/>
      <c r="V316" s="1521"/>
      <c r="W316" s="1522" t="str">
        <f t="shared" si="117"/>
        <v>04.13.01</v>
      </c>
      <c r="X316" s="1478" t="str">
        <f t="shared" si="118"/>
        <v>Jalan</v>
      </c>
      <c r="Y316" s="1478">
        <f t="shared" si="119"/>
        <v>10</v>
      </c>
      <c r="Z316" s="1401"/>
      <c r="AA316" s="1444">
        <f t="shared" si="120"/>
        <v>0</v>
      </c>
      <c r="AB316" s="1401"/>
      <c r="AC316" s="1401"/>
      <c r="AD316" s="1401"/>
      <c r="AE316" s="1401"/>
      <c r="AF316" s="1401"/>
      <c r="AG316" s="1479"/>
      <c r="AH316" s="1479"/>
      <c r="AI316" s="1479"/>
      <c r="AJ316" s="1401">
        <f>S316-AI316</f>
        <v>0</v>
      </c>
    </row>
    <row r="317" spans="1:36" s="1390" customFormat="1" ht="35" customHeight="1" x14ac:dyDescent="0.15">
      <c r="A317" s="1390">
        <v>165</v>
      </c>
      <c r="B317" s="1472" t="str">
        <f t="shared" si="113"/>
        <v>SAKO - TRANS SKP II</v>
      </c>
      <c r="C317" s="1516" t="s">
        <v>4247</v>
      </c>
      <c r="D317" s="1426"/>
      <c r="E317" s="1429" t="s">
        <v>3317</v>
      </c>
      <c r="F317" s="1539">
        <v>2269492372</v>
      </c>
      <c r="G317" s="1517" t="s">
        <v>2494</v>
      </c>
      <c r="H317" s="1518"/>
      <c r="I317" s="1518"/>
      <c r="J317" s="1519">
        <v>0</v>
      </c>
      <c r="K317" s="1517"/>
      <c r="L317" s="1519">
        <v>0</v>
      </c>
      <c r="M317" s="1518" t="s">
        <v>3295</v>
      </c>
      <c r="N317" s="1517">
        <v>2018</v>
      </c>
      <c r="O317" s="1518"/>
      <c r="P317" s="1518"/>
      <c r="Q317" s="1518"/>
      <c r="R317" s="1517" t="s">
        <v>12</v>
      </c>
      <c r="S317" s="1520"/>
      <c r="T317" s="1518"/>
      <c r="U317" s="1572"/>
      <c r="V317" s="1521"/>
      <c r="W317" s="1522" t="str">
        <f t="shared" si="117"/>
        <v>04.13.01</v>
      </c>
      <c r="X317" s="1478" t="str">
        <f t="shared" si="118"/>
        <v>Jalan</v>
      </c>
      <c r="Y317" s="1478">
        <f t="shared" si="119"/>
        <v>10</v>
      </c>
      <c r="Z317" s="1401"/>
      <c r="AA317" s="1444">
        <f t="shared" si="120"/>
        <v>0</v>
      </c>
      <c r="AB317" s="1401"/>
      <c r="AC317" s="1401"/>
      <c r="AD317" s="1401"/>
      <c r="AE317" s="1401"/>
      <c r="AF317" s="1401"/>
      <c r="AG317" s="1479"/>
      <c r="AH317" s="1479"/>
      <c r="AI317" s="1479"/>
      <c r="AJ317" s="1401"/>
    </row>
    <row r="318" spans="1:36" s="1472" customFormat="1" ht="35" customHeight="1" x14ac:dyDescent="0.2">
      <c r="A318" s="1472">
        <v>165</v>
      </c>
      <c r="B318" s="1472" t="str">
        <f t="shared" si="113"/>
        <v>SAKO - TRANS SKP II</v>
      </c>
      <c r="C318" s="1478" t="e">
        <f>RIGHT(#REF!,1)</f>
        <v>#REF!</v>
      </c>
      <c r="D318" s="1576"/>
      <c r="E318" s="1413" t="s">
        <v>3333</v>
      </c>
      <c r="F318" s="1539">
        <v>2252307486</v>
      </c>
      <c r="G318" s="1416" t="s">
        <v>2494</v>
      </c>
      <c r="H318" s="1414"/>
      <c r="I318" s="1416"/>
      <c r="J318" s="1500"/>
      <c r="K318" s="1416"/>
      <c r="L318" s="1500"/>
      <c r="M318" s="1429" t="s">
        <v>3308</v>
      </c>
      <c r="N318" s="1416">
        <v>2018</v>
      </c>
      <c r="O318" s="1414"/>
      <c r="P318" s="1414"/>
      <c r="Q318" s="1414"/>
      <c r="R318" s="1501" t="s">
        <v>12</v>
      </c>
      <c r="S318" s="1529"/>
      <c r="T318" s="1528"/>
      <c r="U318" s="1575"/>
      <c r="V318" s="1490"/>
      <c r="W318" s="1478" t="str">
        <f t="shared" si="117"/>
        <v>04.13.01</v>
      </c>
      <c r="X318" s="1478" t="str">
        <f t="shared" si="118"/>
        <v>Jalan</v>
      </c>
      <c r="Y318" s="1478">
        <f t="shared" si="119"/>
        <v>10</v>
      </c>
      <c r="Z318" s="1401">
        <f>S318/Y318</f>
        <v>0</v>
      </c>
      <c r="AA318" s="1444">
        <f>IF(2013-N318+1&gt;Y318,Y318,IF(2013-N318+1&lt;0,0,2013-N318+1))</f>
        <v>0</v>
      </c>
      <c r="AB318" s="1401">
        <f>IF(AA318&gt;Y318,S318,Z318*AA318)</f>
        <v>0</v>
      </c>
      <c r="AC318" s="1401">
        <v>0</v>
      </c>
      <c r="AD318" s="1401">
        <v>0</v>
      </c>
      <c r="AE318" s="1401">
        <v>0</v>
      </c>
      <c r="AF318" s="1401">
        <v>0</v>
      </c>
      <c r="AG318" s="1479">
        <f>IF(S318=AC318+AD318+AE318+AB318+AF318,0,Z318)</f>
        <v>0</v>
      </c>
      <c r="AH318" s="1479"/>
      <c r="AI318" s="1479">
        <f>SUM(AB318:AG318)</f>
        <v>0</v>
      </c>
      <c r="AJ318" s="1401">
        <f>S318-AI318</f>
        <v>0</v>
      </c>
    </row>
    <row r="319" spans="1:36" s="1472" customFormat="1" ht="35" customHeight="1" x14ac:dyDescent="0.2">
      <c r="A319" s="1472">
        <v>165</v>
      </c>
      <c r="B319" s="1472" t="str">
        <f t="shared" si="113"/>
        <v>SAKO - TRANS SKP II</v>
      </c>
      <c r="C319" s="1478"/>
      <c r="D319" s="1576"/>
      <c r="E319" s="1413" t="s">
        <v>5517</v>
      </c>
      <c r="F319" s="1539">
        <v>2077060568</v>
      </c>
      <c r="G319" s="1416" t="s">
        <v>2494</v>
      </c>
      <c r="H319" s="1414"/>
      <c r="I319" s="1416" t="s">
        <v>5532</v>
      </c>
      <c r="J319" s="1500">
        <v>1000</v>
      </c>
      <c r="K319" s="1416">
        <v>4</v>
      </c>
      <c r="L319" s="1500">
        <f>J319*K319</f>
        <v>4000</v>
      </c>
      <c r="M319" s="1429" t="s">
        <v>640</v>
      </c>
      <c r="N319" s="1416">
        <v>2019</v>
      </c>
      <c r="O319" s="1414" t="s">
        <v>5518</v>
      </c>
      <c r="P319" s="1414" t="s">
        <v>433</v>
      </c>
      <c r="Q319" s="1414"/>
      <c r="R319" s="1501" t="s">
        <v>12</v>
      </c>
      <c r="S319" s="1529"/>
      <c r="T319" s="1528"/>
      <c r="U319" s="1575"/>
      <c r="V319" s="1490"/>
      <c r="W319" s="1478"/>
      <c r="X319" s="1478"/>
      <c r="Y319" s="1478"/>
      <c r="Z319" s="1401"/>
      <c r="AA319" s="1444"/>
      <c r="AB319" s="1401"/>
      <c r="AC319" s="1401"/>
      <c r="AD319" s="1401"/>
      <c r="AE319" s="1401"/>
      <c r="AF319" s="1401"/>
      <c r="AG319" s="1479"/>
      <c r="AH319" s="1479"/>
      <c r="AI319" s="1479"/>
      <c r="AJ319" s="1401"/>
    </row>
    <row r="320" spans="1:36" s="1390" customFormat="1" ht="35" customHeight="1" x14ac:dyDescent="0.15">
      <c r="A320" s="1390">
        <v>166</v>
      </c>
      <c r="B320" s="1472" t="str">
        <f t="shared" si="113"/>
        <v>PAUH ANGIT - PS. USANG PANGEAN</v>
      </c>
      <c r="C320" s="1516" t="s">
        <v>4247</v>
      </c>
      <c r="D320" s="1426">
        <v>116</v>
      </c>
      <c r="E320" s="1429" t="s">
        <v>5850</v>
      </c>
      <c r="F320" s="1539"/>
      <c r="G320" s="1517" t="s">
        <v>3821</v>
      </c>
      <c r="H320" s="1518"/>
      <c r="I320" s="1518" t="s">
        <v>484</v>
      </c>
      <c r="J320" s="1533" t="s">
        <v>541</v>
      </c>
      <c r="K320" s="1517">
        <v>7</v>
      </c>
      <c r="L320" s="1519">
        <v>4200</v>
      </c>
      <c r="M320" s="1518" t="s">
        <v>3084</v>
      </c>
      <c r="N320" s="1517">
        <v>2001</v>
      </c>
      <c r="O320" s="1518"/>
      <c r="P320" s="1518"/>
      <c r="Q320" s="1518" t="s">
        <v>482</v>
      </c>
      <c r="R320" s="1517" t="s">
        <v>12</v>
      </c>
      <c r="S320" s="1520">
        <f>187200000+F321</f>
        <v>2246413886</v>
      </c>
      <c r="T320" s="1517" t="s">
        <v>43</v>
      </c>
      <c r="U320" s="1572"/>
      <c r="V320" s="1521"/>
      <c r="W320" s="1522" t="str">
        <f t="shared" ref="W320:W343" si="121">LEFT(G320,8)</f>
        <v>04.13.01</v>
      </c>
      <c r="X320" s="1478" t="str">
        <f t="shared" ref="X320:X343" si="122">VLOOKUP(W320,UE,3,FALSE)</f>
        <v>Jalan</v>
      </c>
      <c r="Y320" s="1478">
        <f t="shared" ref="Y320:Y343" si="123">VLOOKUP(W320,UE,4,FALSE)</f>
        <v>10</v>
      </c>
      <c r="Z320" s="1401"/>
      <c r="AA320" s="1444">
        <f>IF(2013-N320&gt;Y320,10,IF(2013-N320&lt;0,0,2013-N320))</f>
        <v>10</v>
      </c>
      <c r="AB320" s="1401">
        <f>SUM(PERHITUNGAN!U1034:U1037)</f>
        <v>187200000</v>
      </c>
      <c r="AC320" s="1479">
        <f>SUMIF(PERHITUNGAN!A:A,'KIB D'!B320&amp;'KIB D'!$AC$7,PERHITUNGAN!U:U)</f>
        <v>0</v>
      </c>
      <c r="AD320" s="1479">
        <f>SUMIF(PERHITUNGAN!A:A,'KIB D'!B320&amp;'KIB D'!$AD$7,PERHITUNGAN!U:U)</f>
        <v>205921388.59999999</v>
      </c>
      <c r="AE320" s="1479">
        <f>SUMIF(PERHITUNGAN!A:A,'KIB D'!B320&amp;'KIB D'!$AE$7,PERHITUNGAN!U:U)</f>
        <v>205921388.59999999</v>
      </c>
      <c r="AF320" s="1479">
        <f>SUMIF(PERHITUNGAN!A:A,'KIB D'!B320&amp;'KIB D'!$AF$7,PERHITUNGAN!U:U)</f>
        <v>205921388.59999999</v>
      </c>
      <c r="AG320" s="1479">
        <f>SUMIF(PERHITUNGAN!A:A,'KIB D'!B320&amp;'KIB D'!$AG$7,PERHITUNGAN!U:U)</f>
        <v>205921388.59999999</v>
      </c>
      <c r="AH320" s="1479">
        <f>SUMIF(PERHITUNGAN!A:A,'KIB D'!B320&amp;'KIB D'!$AH$7,PERHITUNGAN!U:U)</f>
        <v>205921388.59999999</v>
      </c>
      <c r="AI320" s="1479">
        <f>SUM(AB320:AH320)</f>
        <v>1216806943</v>
      </c>
      <c r="AJ320" s="1401">
        <f t="shared" ref="AJ320:AJ342" si="124">S320-AI320</f>
        <v>1029606943</v>
      </c>
    </row>
    <row r="321" spans="1:36" s="1390" customFormat="1" ht="35" customHeight="1" x14ac:dyDescent="0.15">
      <c r="A321" s="1390">
        <v>166</v>
      </c>
      <c r="B321" s="1472" t="str">
        <f t="shared" si="113"/>
        <v>PAUH ANGIT - PS. USANG PANGEAN</v>
      </c>
      <c r="C321" s="1516" t="s">
        <v>4247</v>
      </c>
      <c r="D321" s="1426"/>
      <c r="E321" s="1429" t="s">
        <v>1410</v>
      </c>
      <c r="F321" s="1539">
        <v>2059213886</v>
      </c>
      <c r="G321" s="1517" t="s">
        <v>2494</v>
      </c>
      <c r="H321" s="1518"/>
      <c r="I321" s="1518"/>
      <c r="J321" s="1519">
        <v>0</v>
      </c>
      <c r="K321" s="1517"/>
      <c r="L321" s="1519">
        <v>0</v>
      </c>
      <c r="M321" s="1518" t="s">
        <v>3084</v>
      </c>
      <c r="N321" s="1517">
        <v>2015</v>
      </c>
      <c r="O321" s="1518"/>
      <c r="P321" s="1518"/>
      <c r="Q321" s="1518"/>
      <c r="R321" s="1517" t="s">
        <v>12</v>
      </c>
      <c r="S321" s="1520"/>
      <c r="T321" s="1518"/>
      <c r="U321" s="1572"/>
      <c r="V321" s="1521"/>
      <c r="W321" s="1522" t="str">
        <f t="shared" si="121"/>
        <v>04.13.01</v>
      </c>
      <c r="X321" s="1478" t="str">
        <f t="shared" si="122"/>
        <v>Jalan</v>
      </c>
      <c r="Y321" s="1478">
        <f t="shared" si="123"/>
        <v>10</v>
      </c>
      <c r="Z321" s="1401"/>
      <c r="AA321" s="1444">
        <f>IF(2013-N321&gt;Y321,10,IF(2013-N321&lt;0,0,2013-N321))</f>
        <v>0</v>
      </c>
      <c r="AB321" s="1401"/>
      <c r="AC321" s="1401"/>
      <c r="AD321" s="1401"/>
      <c r="AE321" s="1401"/>
      <c r="AF321" s="1401"/>
      <c r="AG321" s="1479"/>
      <c r="AH321" s="1479"/>
      <c r="AI321" s="1479"/>
      <c r="AJ321" s="1401">
        <f t="shared" si="124"/>
        <v>0</v>
      </c>
    </row>
    <row r="322" spans="1:36" s="1390" customFormat="1" ht="35" customHeight="1" x14ac:dyDescent="0.15">
      <c r="A322" s="1390">
        <v>167</v>
      </c>
      <c r="B322" s="1472" t="str">
        <f t="shared" si="113"/>
        <v>JK. RUAS 190/190 KM 7 + 000 - TANAH BEKALI</v>
      </c>
      <c r="C322" s="1516" t="s">
        <v>4247</v>
      </c>
      <c r="D322" s="1426">
        <v>117</v>
      </c>
      <c r="E322" s="1429" t="s">
        <v>5851</v>
      </c>
      <c r="F322" s="1539"/>
      <c r="G322" s="1517" t="s">
        <v>2494</v>
      </c>
      <c r="H322" s="1518"/>
      <c r="I322" s="1518" t="s">
        <v>519</v>
      </c>
      <c r="J322" s="1533">
        <v>0</v>
      </c>
      <c r="K322" s="1517"/>
      <c r="L322" s="1519">
        <v>0</v>
      </c>
      <c r="M322" s="1518" t="s">
        <v>3170</v>
      </c>
      <c r="N322" s="1517">
        <v>2013</v>
      </c>
      <c r="O322" s="1518"/>
      <c r="P322" s="1518"/>
      <c r="Q322" s="1518"/>
      <c r="R322" s="1517" t="s">
        <v>12</v>
      </c>
      <c r="S322" s="1520">
        <f>1663779645+F323+F324</f>
        <v>5646152067.96</v>
      </c>
      <c r="T322" s="1518"/>
      <c r="U322" s="1572"/>
      <c r="V322" s="1521"/>
      <c r="W322" s="1522" t="str">
        <f t="shared" si="121"/>
        <v>04.13.01</v>
      </c>
      <c r="X322" s="1478" t="str">
        <f t="shared" si="122"/>
        <v>Jalan</v>
      </c>
      <c r="Y322" s="1478">
        <f t="shared" si="123"/>
        <v>10</v>
      </c>
      <c r="Z322" s="1401"/>
      <c r="AA322" s="1444">
        <f>IF(2013-N322&gt;Y322,10,IF(2013-N322&lt;0,0,2013-N322))</f>
        <v>0</v>
      </c>
      <c r="AB322" s="1401">
        <f>SUM(PERHITUNGAN!U1052)</f>
        <v>166377964.5</v>
      </c>
      <c r="AC322" s="1479">
        <f>SUMIF(PERHITUNGAN!A:A,'KIB D'!B322&amp;'KIB D'!$AC$7,PERHITUNGAN!U:U)</f>
        <v>166377964.5</v>
      </c>
      <c r="AD322" s="1479">
        <f>SUMIF(PERHITUNGAN!A:A,'KIB D'!B322&amp;'KIB D'!$AD$7,PERHITUNGAN!U:U)</f>
        <v>342280067.39999998</v>
      </c>
      <c r="AE322" s="1479">
        <f>SUMIF(PERHITUNGAN!A:A,'KIB D'!B322&amp;'KIB D'!$AE$7,PERHITUNGAN!U:U)</f>
        <v>497111607.15599996</v>
      </c>
      <c r="AF322" s="1479">
        <f>SUMIF(PERHITUNGAN!A:A,'KIB D'!B322&amp;'KIB D'!$AF$7,PERHITUNGAN!U:U)</f>
        <v>497111607.15599996</v>
      </c>
      <c r="AG322" s="1479">
        <f>SUMIF(PERHITUNGAN!A:A,'KIB D'!B322&amp;'KIB D'!$AG$7,PERHITUNGAN!U:U)</f>
        <v>497111607.15599996</v>
      </c>
      <c r="AH322" s="1479">
        <f>SUMIF(PERHITUNGAN!A:A,'KIB D'!B322&amp;'KIB D'!$AH$7,PERHITUNGAN!U:U)</f>
        <v>497111607.15599996</v>
      </c>
      <c r="AI322" s="1479">
        <f>SUM(AB322:AH322)</f>
        <v>2663482425.0240002</v>
      </c>
      <c r="AJ322" s="1401">
        <f t="shared" si="124"/>
        <v>2982669642.9359999</v>
      </c>
    </row>
    <row r="323" spans="1:36" s="1390" customFormat="1" ht="35" customHeight="1" x14ac:dyDescent="0.15">
      <c r="A323" s="1390">
        <v>167</v>
      </c>
      <c r="B323" s="1472" t="str">
        <f t="shared" si="113"/>
        <v>JK. RUAS 190/190 KM 7 + 000 - TANAH BEKALI</v>
      </c>
      <c r="C323" s="1516" t="s">
        <v>4247</v>
      </c>
      <c r="D323" s="1426"/>
      <c r="E323" s="1429" t="s">
        <v>1363</v>
      </c>
      <c r="F323" s="1539">
        <v>2091776958</v>
      </c>
      <c r="G323" s="1517" t="s">
        <v>2494</v>
      </c>
      <c r="H323" s="1518"/>
      <c r="I323" s="1518"/>
      <c r="J323" s="1519">
        <v>0</v>
      </c>
      <c r="K323" s="1517"/>
      <c r="L323" s="1519">
        <v>0</v>
      </c>
      <c r="M323" s="1518" t="s">
        <v>3170</v>
      </c>
      <c r="N323" s="1517">
        <v>2015</v>
      </c>
      <c r="O323" s="1518"/>
      <c r="P323" s="1518"/>
      <c r="Q323" s="1518"/>
      <c r="R323" s="1517" t="s">
        <v>12</v>
      </c>
      <c r="S323" s="1520"/>
      <c r="T323" s="1518"/>
      <c r="U323" s="1572"/>
      <c r="V323" s="1521"/>
      <c r="W323" s="1522" t="str">
        <f t="shared" si="121"/>
        <v>04.13.01</v>
      </c>
      <c r="X323" s="1478" t="str">
        <f t="shared" si="122"/>
        <v>Jalan</v>
      </c>
      <c r="Y323" s="1478">
        <f t="shared" si="123"/>
        <v>10</v>
      </c>
      <c r="Z323" s="1401"/>
      <c r="AA323" s="1444">
        <f>IF(2013-N323&gt;Y323,10,IF(2013-N323&lt;0,0,2013-N323))</f>
        <v>0</v>
      </c>
      <c r="AB323" s="1401"/>
      <c r="AC323" s="1401"/>
      <c r="AD323" s="1401"/>
      <c r="AE323" s="1401"/>
      <c r="AF323" s="1401"/>
      <c r="AG323" s="1479"/>
      <c r="AH323" s="1479"/>
      <c r="AI323" s="1479"/>
      <c r="AJ323" s="1401">
        <f t="shared" si="124"/>
        <v>0</v>
      </c>
    </row>
    <row r="324" spans="1:36" s="1390" customFormat="1" ht="35" customHeight="1" x14ac:dyDescent="0.15">
      <c r="A324" s="1390">
        <v>167</v>
      </c>
      <c r="B324" s="1472" t="str">
        <f t="shared" si="113"/>
        <v>JK. RUAS 190/190 KM 7 + 000 - TANAH BEKALI</v>
      </c>
      <c r="C324" s="1516" t="s">
        <v>4247</v>
      </c>
      <c r="D324" s="1426"/>
      <c r="E324" s="1429" t="s">
        <v>1448</v>
      </c>
      <c r="F324" s="1539">
        <v>1890595464.96</v>
      </c>
      <c r="G324" s="1517" t="s">
        <v>2494</v>
      </c>
      <c r="H324" s="1518"/>
      <c r="I324" s="1518"/>
      <c r="J324" s="1519">
        <v>0</v>
      </c>
      <c r="K324" s="1517"/>
      <c r="L324" s="1519">
        <v>0</v>
      </c>
      <c r="M324" s="1518" t="s">
        <v>3170</v>
      </c>
      <c r="N324" s="1517">
        <v>2016</v>
      </c>
      <c r="O324" s="1518"/>
      <c r="P324" s="1518"/>
      <c r="Q324" s="1518"/>
      <c r="R324" s="1517" t="s">
        <v>12</v>
      </c>
      <c r="S324" s="1520"/>
      <c r="T324" s="1518"/>
      <c r="U324" s="1572"/>
      <c r="V324" s="1521"/>
      <c r="W324" s="1522" t="str">
        <f t="shared" si="121"/>
        <v>04.13.01</v>
      </c>
      <c r="X324" s="1478" t="str">
        <f t="shared" si="122"/>
        <v>Jalan</v>
      </c>
      <c r="Y324" s="1478">
        <f t="shared" si="123"/>
        <v>10</v>
      </c>
      <c r="Z324" s="1401"/>
      <c r="AA324" s="1444">
        <f>IF(2013-N324&gt;Y324,10,IF(2013-N324&lt;0,0,2013-N324))</f>
        <v>0</v>
      </c>
      <c r="AB324" s="1401"/>
      <c r="AC324" s="1401"/>
      <c r="AD324" s="1401"/>
      <c r="AE324" s="1401"/>
      <c r="AF324" s="1401"/>
      <c r="AG324" s="1479"/>
      <c r="AH324" s="1479"/>
      <c r="AI324" s="1479"/>
      <c r="AJ324" s="1401">
        <f t="shared" si="124"/>
        <v>0</v>
      </c>
    </row>
    <row r="325" spans="1:36" s="1390" customFormat="1" ht="105" customHeight="1" x14ac:dyDescent="0.2">
      <c r="A325" s="1390">
        <v>167</v>
      </c>
      <c r="B325" s="1472" t="str">
        <f t="shared" si="113"/>
        <v>JK. RUAS 190/190 KM 7 + 000 - TANAH BEKALI</v>
      </c>
      <c r="C325" s="1478" t="e">
        <f>RIGHT(#REF!,1)</f>
        <v>#REF!</v>
      </c>
      <c r="D325" s="1426">
        <v>118</v>
      </c>
      <c r="E325" s="1429" t="s">
        <v>1206</v>
      </c>
      <c r="F325" s="1539"/>
      <c r="G325" s="1517" t="s">
        <v>2494</v>
      </c>
      <c r="H325" s="1508"/>
      <c r="I325" s="1416"/>
      <c r="J325" s="1512"/>
      <c r="K325" s="1416"/>
      <c r="L325" s="1500"/>
      <c r="M325" s="1429" t="s">
        <v>3122</v>
      </c>
      <c r="N325" s="1416">
        <v>2007</v>
      </c>
      <c r="O325" s="1414"/>
      <c r="P325" s="1414"/>
      <c r="Q325" s="1414"/>
      <c r="R325" s="1416" t="s">
        <v>12</v>
      </c>
      <c r="S325" s="1529">
        <v>2113731899.5999999</v>
      </c>
      <c r="T325" s="1416" t="s">
        <v>43</v>
      </c>
      <c r="U325" s="1427"/>
      <c r="V325" s="1477"/>
      <c r="W325" s="1478" t="str">
        <f t="shared" si="121"/>
        <v>04.13.01</v>
      </c>
      <c r="X325" s="1478" t="str">
        <f t="shared" si="122"/>
        <v>Jalan</v>
      </c>
      <c r="Y325" s="1478">
        <f t="shared" si="123"/>
        <v>10</v>
      </c>
      <c r="Z325" s="1401">
        <f>S325/Y325</f>
        <v>211373189.95999998</v>
      </c>
      <c r="AA325" s="1444">
        <f>IF(2013-N325+1&gt;Y325,Y325,IF(2013-N325+1&lt;0,0,2013-N325+1))</f>
        <v>7</v>
      </c>
      <c r="AB325" s="1401">
        <f>IF(AA325&gt;Y325,S325,Z325*AA325)</f>
        <v>1479612329.7199998</v>
      </c>
      <c r="AC325" s="1401">
        <f>IF(S325=AB325,0,Z325)</f>
        <v>211373189.95999998</v>
      </c>
      <c r="AD325" s="1401">
        <f>IF(S325=AB325+AC325,0,Z325)</f>
        <v>211373189.95999998</v>
      </c>
      <c r="AE325" s="1401">
        <f>IF(S325=AB325+AC325+AD325,0,Z325)</f>
        <v>211373189.95999998</v>
      </c>
      <c r="AF325" s="1401">
        <f>IF(S325=AC325+AD325+AE325+AB325,0,Z325)</f>
        <v>0</v>
      </c>
      <c r="AG325" s="1479">
        <f>IF(S325=AC325+AD325+AE325+AB325+AF325,0,Z325)</f>
        <v>0</v>
      </c>
      <c r="AH325" s="1479">
        <f>IF(S325=AC325+AD325+AE325+AB325+AF325+AG325,0,Z325)</f>
        <v>0</v>
      </c>
      <c r="AI325" s="1479">
        <f>SUM(AB325:AH325)</f>
        <v>2113731899.5999999</v>
      </c>
      <c r="AJ325" s="1401">
        <f t="shared" si="124"/>
        <v>0</v>
      </c>
    </row>
    <row r="326" spans="1:36" s="1390" customFormat="1" ht="34" customHeight="1" x14ac:dyDescent="0.2">
      <c r="A326" s="1390">
        <v>170</v>
      </c>
      <c r="B326" s="1472" t="str">
        <f t="shared" si="113"/>
        <v>JK. RUAS 190/190 - PADANG KUNYIT</v>
      </c>
      <c r="C326" s="1478" t="e">
        <f>RIGHT(#REF!,1)</f>
        <v>#REF!</v>
      </c>
      <c r="D326" s="1426">
        <v>119</v>
      </c>
      <c r="E326" s="1539" t="s">
        <v>1449</v>
      </c>
      <c r="F326" s="1529"/>
      <c r="G326" s="1517" t="s">
        <v>2494</v>
      </c>
      <c r="H326" s="1501"/>
      <c r="I326" s="1414"/>
      <c r="J326" s="1540"/>
      <c r="K326" s="1416"/>
      <c r="L326" s="1430"/>
      <c r="M326" s="1429" t="s">
        <v>3259</v>
      </c>
      <c r="N326" s="1501">
        <v>2016</v>
      </c>
      <c r="O326" s="1414"/>
      <c r="P326" s="1414"/>
      <c r="Q326" s="1414"/>
      <c r="R326" s="1501" t="s">
        <v>12</v>
      </c>
      <c r="S326" s="1527">
        <v>2933446349.48</v>
      </c>
      <c r="T326" s="1528"/>
      <c r="U326" s="1575"/>
      <c r="V326" s="1490"/>
      <c r="W326" s="1478" t="str">
        <f t="shared" si="121"/>
        <v>04.13.01</v>
      </c>
      <c r="X326" s="1478" t="str">
        <f t="shared" si="122"/>
        <v>Jalan</v>
      </c>
      <c r="Y326" s="1478">
        <f t="shared" si="123"/>
        <v>10</v>
      </c>
      <c r="Z326" s="1401">
        <f>S326/Y326</f>
        <v>293344634.94800001</v>
      </c>
      <c r="AA326" s="1444">
        <f>IF(2013-N326+1&gt;Y326,Y326,IF(2013-N326+1&lt;0,0,2013-N326+1))</f>
        <v>0</v>
      </c>
      <c r="AB326" s="1401">
        <f>IF(AA326&gt;Y326,S326,Z326*AA326)</f>
        <v>0</v>
      </c>
      <c r="AC326" s="1401">
        <v>0</v>
      </c>
      <c r="AD326" s="1401">
        <v>0</v>
      </c>
      <c r="AE326" s="1401">
        <f>IF(S326=AB326+AC326+AD326,0,Z326)</f>
        <v>293344634.94800001</v>
      </c>
      <c r="AF326" s="1401">
        <f>IF(S326=AC326+AD326+AE326+AB326,0,Z326)</f>
        <v>293344634.94800001</v>
      </c>
      <c r="AG326" s="1479">
        <f>IF(S326=AC326+AD326+AE326+AB326+AF326,0,Z326)</f>
        <v>293344634.94800001</v>
      </c>
      <c r="AH326" s="1479">
        <f>IF(S326=AC326+AD326+AE326+AB326+AF326+AG326,0,Z326)</f>
        <v>293344634.94800001</v>
      </c>
      <c r="AI326" s="1479">
        <f>SUM(AB326:AH326)</f>
        <v>1173378539.7920001</v>
      </c>
      <c r="AJ326" s="1401">
        <f t="shared" si="124"/>
        <v>1760067809.688</v>
      </c>
    </row>
    <row r="327" spans="1:36" s="1390" customFormat="1" ht="34" customHeight="1" x14ac:dyDescent="0.2">
      <c r="A327" s="1390">
        <v>171</v>
      </c>
      <c r="B327" s="1472" t="str">
        <f t="shared" si="113"/>
        <v>JL. DESA TANAH BEKALI - PL. DERAS</v>
      </c>
      <c r="C327" s="1478" t="e">
        <f>RIGHT(#REF!,1)</f>
        <v>#REF!</v>
      </c>
      <c r="D327" s="1426">
        <v>120</v>
      </c>
      <c r="E327" s="1429" t="s">
        <v>696</v>
      </c>
      <c r="F327" s="1539"/>
      <c r="G327" s="1517" t="s">
        <v>2494</v>
      </c>
      <c r="H327" s="1518"/>
      <c r="I327" s="1518" t="s">
        <v>503</v>
      </c>
      <c r="J327" s="1533" t="s">
        <v>48</v>
      </c>
      <c r="K327" s="1517">
        <v>7</v>
      </c>
      <c r="L327" s="1519">
        <v>14000</v>
      </c>
      <c r="M327" s="1518" t="s">
        <v>706</v>
      </c>
      <c r="N327" s="1517">
        <v>2001</v>
      </c>
      <c r="O327" s="1518"/>
      <c r="P327" s="1518"/>
      <c r="Q327" s="1518" t="s">
        <v>482</v>
      </c>
      <c r="R327" s="1517" t="s">
        <v>12</v>
      </c>
      <c r="S327" s="1520">
        <v>600000000</v>
      </c>
      <c r="T327" s="1517" t="s">
        <v>43</v>
      </c>
      <c r="U327" s="1572"/>
      <c r="V327" s="1521"/>
      <c r="W327" s="1478" t="str">
        <f t="shared" si="121"/>
        <v>04.13.01</v>
      </c>
      <c r="X327" s="1478" t="str">
        <f t="shared" si="122"/>
        <v>Jalan</v>
      </c>
      <c r="Y327" s="1478">
        <f t="shared" si="123"/>
        <v>10</v>
      </c>
      <c r="Z327" s="1401">
        <f>S327/Y327</f>
        <v>60000000</v>
      </c>
      <c r="AA327" s="1444">
        <f>IF(2013-N327+1&gt;Y327,Y327,IF(2013-N327+1&lt;0,0,2013-N327+1))</f>
        <v>10</v>
      </c>
      <c r="AB327" s="1401">
        <f>IF(AA327&gt;Y327,S327,Z327*AA327)</f>
        <v>600000000</v>
      </c>
      <c r="AC327" s="1401">
        <f>IF(S327=AB327,0,Z327)</f>
        <v>0</v>
      </c>
      <c r="AD327" s="1401">
        <f>IF(S327=AB327+AC327,0,Z327)</f>
        <v>0</v>
      </c>
      <c r="AE327" s="1401">
        <f>IF(S327=AB327+AC327+AD327,0,Z327)</f>
        <v>0</v>
      </c>
      <c r="AF327" s="1401">
        <f>IF(S327=AC327+AD327+AE327+AB327,0,Z327)</f>
        <v>0</v>
      </c>
      <c r="AG327" s="1479">
        <f>IF(S327=AC327+AD327+AE327+AB327+AF327,0,Z327)</f>
        <v>0</v>
      </c>
      <c r="AH327" s="1479">
        <f>IF(S327=AC327+AD327+AE327+AB327+AF327+AG327,0,Z327)</f>
        <v>0</v>
      </c>
      <c r="AI327" s="1479">
        <f>SUM(AB327:AH327)</f>
        <v>600000000</v>
      </c>
      <c r="AJ327" s="1401">
        <f t="shared" si="124"/>
        <v>0</v>
      </c>
    </row>
    <row r="328" spans="1:36" s="1390" customFormat="1" ht="34" customHeight="1" x14ac:dyDescent="0.2">
      <c r="A328" s="1390">
        <v>172</v>
      </c>
      <c r="B328" s="1472" t="str">
        <f t="shared" si="113"/>
        <v>JL. DESA PL. TENGAH - SIKAPING</v>
      </c>
      <c r="C328" s="1478" t="e">
        <f>RIGHT(#REF!,1)</f>
        <v>#REF!</v>
      </c>
      <c r="D328" s="1426">
        <v>121</v>
      </c>
      <c r="E328" s="1429" t="s">
        <v>3699</v>
      </c>
      <c r="F328" s="1539"/>
      <c r="G328" s="1517" t="s">
        <v>3821</v>
      </c>
      <c r="H328" s="1518"/>
      <c r="I328" s="1518" t="s">
        <v>503</v>
      </c>
      <c r="J328" s="1533" t="s">
        <v>598</v>
      </c>
      <c r="K328" s="1517">
        <v>7</v>
      </c>
      <c r="L328" s="1519">
        <v>7000</v>
      </c>
      <c r="M328" s="1518" t="s">
        <v>707</v>
      </c>
      <c r="N328" s="1517">
        <v>2001</v>
      </c>
      <c r="O328" s="1518"/>
      <c r="P328" s="1518"/>
      <c r="Q328" s="1518" t="s">
        <v>482</v>
      </c>
      <c r="R328" s="1517" t="s">
        <v>12</v>
      </c>
      <c r="S328" s="1520">
        <f>243750000+F329</f>
        <v>2541829202</v>
      </c>
      <c r="T328" s="1517" t="s">
        <v>43</v>
      </c>
      <c r="U328" s="1572"/>
      <c r="V328" s="1521"/>
      <c r="W328" s="1478" t="str">
        <f t="shared" si="121"/>
        <v>04.13.01</v>
      </c>
      <c r="X328" s="1478" t="str">
        <f t="shared" si="122"/>
        <v>Jalan</v>
      </c>
      <c r="Y328" s="1478">
        <f t="shared" si="123"/>
        <v>10</v>
      </c>
      <c r="Z328" s="1401"/>
      <c r="AA328" s="1444">
        <f>IF(2013-N328&gt;Y328,10,IF(2013-N328&lt;0,0,2013-N328))</f>
        <v>10</v>
      </c>
      <c r="AB328" s="1401">
        <f>SUM(PERHITUNGAN!U1068:U1071)</f>
        <v>243750000</v>
      </c>
      <c r="AC328" s="1479">
        <f>SUMIF(PERHITUNGAN!A:A,'KIB D'!B328&amp;'KIB D'!$AC$7,PERHITUNGAN!U:U)</f>
        <v>0</v>
      </c>
      <c r="AD328" s="1479">
        <f>SUMIF(PERHITUNGAN!A:A,'KIB D'!B328&amp;'KIB D'!$AD$7,PERHITUNGAN!U:U)</f>
        <v>0</v>
      </c>
      <c r="AE328" s="1479">
        <f>SUMIF(PERHITUNGAN!A:A,'KIB D'!B328&amp;'KIB D'!$AE$7,PERHITUNGAN!U:U)</f>
        <v>0</v>
      </c>
      <c r="AF328" s="1479">
        <f>SUMIF(PERHITUNGAN!A:A,'KIB D'!B328&amp;'KIB D'!$AF$7,PERHITUNGAN!U:U)</f>
        <v>0</v>
      </c>
      <c r="AG328" s="1479">
        <f>SUMIF(PERHITUNGAN!A:A,'KIB D'!B328&amp;'KIB D'!$AG$7,PERHITUNGAN!U:U)</f>
        <v>229807920.19999999</v>
      </c>
      <c r="AH328" s="1479">
        <f>SUMIF(PERHITUNGAN!A:A,'KIB D'!B328&amp;'KIB D'!$AH$7,PERHITUNGAN!U:U)</f>
        <v>229807920.19999999</v>
      </c>
      <c r="AI328" s="1479">
        <f>SUM(AB328:AH328)</f>
        <v>703365840.39999998</v>
      </c>
      <c r="AJ328" s="1401">
        <f t="shared" si="124"/>
        <v>1838463361.5999999</v>
      </c>
    </row>
    <row r="329" spans="1:36" s="1472" customFormat="1" ht="34" customHeight="1" x14ac:dyDescent="0.2">
      <c r="A329" s="1472">
        <v>172</v>
      </c>
      <c r="B329" s="1472" t="str">
        <f t="shared" si="113"/>
        <v>JL. DESA PL. TENGAH - SIKAPING</v>
      </c>
      <c r="C329" s="1478" t="e">
        <f>RIGHT(#REF!,1)</f>
        <v>#REF!</v>
      </c>
      <c r="D329" s="1576"/>
      <c r="E329" s="1413" t="s">
        <v>3324</v>
      </c>
      <c r="F329" s="1539">
        <v>2298079202</v>
      </c>
      <c r="G329" s="1416" t="s">
        <v>2494</v>
      </c>
      <c r="H329" s="1414"/>
      <c r="I329" s="1416"/>
      <c r="J329" s="1500"/>
      <c r="K329" s="1416"/>
      <c r="L329" s="1500"/>
      <c r="M329" s="1429" t="s">
        <v>3300</v>
      </c>
      <c r="N329" s="1416">
        <v>2018</v>
      </c>
      <c r="O329" s="1414"/>
      <c r="P329" s="1414"/>
      <c r="Q329" s="1414"/>
      <c r="R329" s="1501" t="s">
        <v>12</v>
      </c>
      <c r="S329" s="1529"/>
      <c r="T329" s="1528"/>
      <c r="U329" s="1575"/>
      <c r="V329" s="1490"/>
      <c r="W329" s="1478" t="str">
        <f t="shared" si="121"/>
        <v>04.13.01</v>
      </c>
      <c r="X329" s="1478" t="str">
        <f t="shared" si="122"/>
        <v>Jalan</v>
      </c>
      <c r="Y329" s="1478">
        <f t="shared" si="123"/>
        <v>10</v>
      </c>
      <c r="Z329" s="1401"/>
      <c r="AA329" s="1444"/>
      <c r="AB329" s="1401"/>
      <c r="AC329" s="1401"/>
      <c r="AD329" s="1401"/>
      <c r="AE329" s="1401"/>
      <c r="AF329" s="1401"/>
      <c r="AG329" s="1479"/>
      <c r="AH329" s="1479"/>
      <c r="AI329" s="1479"/>
      <c r="AJ329" s="1401">
        <f t="shared" si="124"/>
        <v>0</v>
      </c>
    </row>
    <row r="330" spans="1:36" s="1390" customFormat="1" ht="34" customHeight="1" x14ac:dyDescent="0.2">
      <c r="A330" s="1390">
        <v>173</v>
      </c>
      <c r="B330" s="1472" t="str">
        <f t="shared" si="113"/>
        <v>JL. DESA PL. RENGAS - PEMATANG</v>
      </c>
      <c r="C330" s="1478" t="e">
        <f>RIGHT(#REF!,1)</f>
        <v>#REF!</v>
      </c>
      <c r="D330" s="1426">
        <v>122</v>
      </c>
      <c r="E330" s="1429" t="s">
        <v>696</v>
      </c>
      <c r="F330" s="1539"/>
      <c r="G330" s="1517" t="s">
        <v>2494</v>
      </c>
      <c r="H330" s="1518"/>
      <c r="I330" s="1518" t="s">
        <v>503</v>
      </c>
      <c r="J330" s="1533">
        <v>3000</v>
      </c>
      <c r="K330" s="1517">
        <v>7</v>
      </c>
      <c r="L330" s="1519">
        <v>21000</v>
      </c>
      <c r="M330" s="1518" t="s">
        <v>708</v>
      </c>
      <c r="N330" s="1517">
        <v>2001</v>
      </c>
      <c r="O330" s="1518"/>
      <c r="P330" s="1518"/>
      <c r="Q330" s="1518" t="s">
        <v>482</v>
      </c>
      <c r="R330" s="1517" t="s">
        <v>12</v>
      </c>
      <c r="S330" s="1520">
        <v>787500000</v>
      </c>
      <c r="T330" s="1517" t="s">
        <v>43</v>
      </c>
      <c r="U330" s="1572"/>
      <c r="V330" s="1521"/>
      <c r="W330" s="1478" t="str">
        <f t="shared" si="121"/>
        <v>04.13.01</v>
      </c>
      <c r="X330" s="1478" t="str">
        <f t="shared" si="122"/>
        <v>Jalan</v>
      </c>
      <c r="Y330" s="1478">
        <f t="shared" si="123"/>
        <v>10</v>
      </c>
      <c r="Z330" s="1401">
        <f>S330/Y330</f>
        <v>78750000</v>
      </c>
      <c r="AA330" s="1444">
        <f>IF(2013-N330+1&gt;Y330,Y330,IF(2013-N330+1&lt;0,0,2013-N330+1))</f>
        <v>10</v>
      </c>
      <c r="AB330" s="1401">
        <f>IF(AA330&gt;Y330,S330,Z330*AA330)</f>
        <v>787500000</v>
      </c>
      <c r="AC330" s="1401">
        <f>IF(S330=AB330,0,Z330)</f>
        <v>0</v>
      </c>
      <c r="AD330" s="1401">
        <f>IF(S330=AB330+AC330,0,Z330)</f>
        <v>0</v>
      </c>
      <c r="AE330" s="1401">
        <f>IF(S330=AB330+AC330+AD330,0,Z330)</f>
        <v>0</v>
      </c>
      <c r="AF330" s="1401">
        <f>IF(S330=AC330+AD330+AE330+AB330,0,Z330)</f>
        <v>0</v>
      </c>
      <c r="AG330" s="1479">
        <f>IF(S330=AC330+AD330+AE330+AB330+AF330,0,Z330)</f>
        <v>0</v>
      </c>
      <c r="AH330" s="1479">
        <f>IF(S330=AC330+AD330+AE330+AB330+AF330+AG330,0,Z330)</f>
        <v>0</v>
      </c>
      <c r="AI330" s="1479">
        <f>SUM(AB330:AH330)</f>
        <v>787500000</v>
      </c>
      <c r="AJ330" s="1401">
        <f t="shared" si="124"/>
        <v>0</v>
      </c>
    </row>
    <row r="331" spans="1:36" s="1390" customFormat="1" ht="34" customHeight="1" x14ac:dyDescent="0.2">
      <c r="A331" s="1390">
        <v>174</v>
      </c>
      <c r="B331" s="1472" t="str">
        <f t="shared" si="113"/>
        <v>JL. DESA SIKAPING - PL. INGU</v>
      </c>
      <c r="C331" s="1478" t="e">
        <f>RIGHT(#REF!,1)</f>
        <v>#REF!</v>
      </c>
      <c r="D331" s="1426">
        <v>123</v>
      </c>
      <c r="E331" s="1429" t="s">
        <v>3701</v>
      </c>
      <c r="F331" s="1539"/>
      <c r="G331" s="1517" t="s">
        <v>3821</v>
      </c>
      <c r="H331" s="1518"/>
      <c r="I331" s="1518" t="s">
        <v>503</v>
      </c>
      <c r="J331" s="1533">
        <v>3000</v>
      </c>
      <c r="K331" s="1517">
        <v>7</v>
      </c>
      <c r="L331" s="1519">
        <v>21000</v>
      </c>
      <c r="M331" s="1518" t="s">
        <v>703</v>
      </c>
      <c r="N331" s="1517">
        <v>2001</v>
      </c>
      <c r="O331" s="1518"/>
      <c r="P331" s="1518"/>
      <c r="Q331" s="1518" t="s">
        <v>482</v>
      </c>
      <c r="R331" s="1517" t="s">
        <v>12</v>
      </c>
      <c r="S331" s="1520">
        <f>787500000+F332</f>
        <v>6125008027</v>
      </c>
      <c r="T331" s="1517" t="s">
        <v>135</v>
      </c>
      <c r="U331" s="1572"/>
      <c r="V331" s="1521"/>
      <c r="W331" s="1478" t="str">
        <f t="shared" si="121"/>
        <v>04.13.01</v>
      </c>
      <c r="X331" s="1478" t="str">
        <f t="shared" si="122"/>
        <v>Jalan</v>
      </c>
      <c r="Y331" s="1478">
        <f t="shared" si="123"/>
        <v>10</v>
      </c>
      <c r="Z331" s="1401"/>
      <c r="AA331" s="1444">
        <f>IF(2013-N331&gt;Y331,10,IF(2013-N331&lt;0,0,2013-N331))</f>
        <v>10</v>
      </c>
      <c r="AB331" s="1401">
        <f>SUM(PERHITUNGAN!U1086:U1090)</f>
        <v>1321250802.7</v>
      </c>
      <c r="AC331" s="1479">
        <f>SUMIF(PERHITUNGAN!A:A,'KIB D'!B331&amp;'KIB D'!$AC$7,PERHITUNGAN!U:U)</f>
        <v>533750802.69999999</v>
      </c>
      <c r="AD331" s="1479">
        <f>SUMIF(PERHITUNGAN!A:A,'KIB D'!B331&amp;'KIB D'!$AD$7,PERHITUNGAN!U:U)</f>
        <v>533750802.69999999</v>
      </c>
      <c r="AE331" s="1479">
        <f>SUMIF(PERHITUNGAN!A:A,'KIB D'!B331&amp;'KIB D'!$AE$7,PERHITUNGAN!U:U)</f>
        <v>533750802.69999999</v>
      </c>
      <c r="AF331" s="1479">
        <f>SUMIF(PERHITUNGAN!A:A,'KIB D'!B331&amp;'KIB D'!$AF$7,PERHITUNGAN!U:U)</f>
        <v>533750802.69999999</v>
      </c>
      <c r="AG331" s="1479">
        <f>SUMIF(PERHITUNGAN!A:A,'KIB D'!B331&amp;'KIB D'!$AG$7,PERHITUNGAN!U:U)</f>
        <v>533750802.69999999</v>
      </c>
      <c r="AH331" s="1479">
        <f>SUMIF(PERHITUNGAN!A:A,'KIB D'!B331&amp;'KIB D'!$AH$7,PERHITUNGAN!U:U)</f>
        <v>533750802.69999999</v>
      </c>
      <c r="AI331" s="1479">
        <f>SUM(AB331:AH331)</f>
        <v>4523755618.8999996</v>
      </c>
      <c r="AJ331" s="1401">
        <f t="shared" si="124"/>
        <v>1601252408.1000004</v>
      </c>
    </row>
    <row r="332" spans="1:36" s="1390" customFormat="1" ht="34" customHeight="1" x14ac:dyDescent="0.2">
      <c r="A332" s="1390">
        <v>174</v>
      </c>
      <c r="B332" s="1472" t="str">
        <f t="shared" si="113"/>
        <v>JL. DESA SIKAPING - PL. INGU</v>
      </c>
      <c r="C332" s="1478" t="e">
        <f>RIGHT(#REF!,1)</f>
        <v>#REF!</v>
      </c>
      <c r="D332" s="1426"/>
      <c r="E332" s="1429" t="s">
        <v>1278</v>
      </c>
      <c r="F332" s="1539">
        <v>5337508027</v>
      </c>
      <c r="G332" s="1416" t="s">
        <v>2494</v>
      </c>
      <c r="H332" s="1508"/>
      <c r="I332" s="1416" t="s">
        <v>519</v>
      </c>
      <c r="J332" s="1500"/>
      <c r="K332" s="1416"/>
      <c r="L332" s="1500"/>
      <c r="M332" s="1429" t="s">
        <v>3171</v>
      </c>
      <c r="N332" s="1416">
        <v>2013</v>
      </c>
      <c r="O332" s="1414"/>
      <c r="P332" s="1414"/>
      <c r="Q332" s="1414"/>
      <c r="R332" s="1416" t="s">
        <v>12</v>
      </c>
      <c r="S332" s="1529"/>
      <c r="T332" s="1416"/>
      <c r="U332" s="1427"/>
      <c r="V332" s="1477"/>
      <c r="W332" s="1478" t="str">
        <f t="shared" si="121"/>
        <v>04.13.01</v>
      </c>
      <c r="X332" s="1478" t="str">
        <f t="shared" si="122"/>
        <v>Jalan</v>
      </c>
      <c r="Y332" s="1478">
        <f t="shared" si="123"/>
        <v>10</v>
      </c>
      <c r="Z332" s="1401"/>
      <c r="AA332" s="1444"/>
      <c r="AB332" s="1401"/>
      <c r="AC332" s="1401"/>
      <c r="AD332" s="1401"/>
      <c r="AE332" s="1401"/>
      <c r="AF332" s="1401"/>
      <c r="AG332" s="1479"/>
      <c r="AH332" s="1479"/>
      <c r="AI332" s="1479"/>
      <c r="AJ332" s="1401">
        <f t="shared" si="124"/>
        <v>0</v>
      </c>
    </row>
    <row r="333" spans="1:36" s="1390" customFormat="1" ht="34" customHeight="1" x14ac:dyDescent="0.2">
      <c r="A333" s="1390">
        <v>175</v>
      </c>
      <c r="B333" s="1472" t="str">
        <f t="shared" si="113"/>
        <v>JL. DESA PAUH ANGIT - TANJUNG SIMANDOLAK</v>
      </c>
      <c r="C333" s="1478" t="e">
        <f>RIGHT(#REF!,1)</f>
        <v>#REF!</v>
      </c>
      <c r="D333" s="1426">
        <v>124</v>
      </c>
      <c r="E333" s="1429" t="s">
        <v>696</v>
      </c>
      <c r="F333" s="1539"/>
      <c r="G333" s="1517" t="s">
        <v>2494</v>
      </c>
      <c r="H333" s="1518"/>
      <c r="I333" s="1518" t="s">
        <v>503</v>
      </c>
      <c r="J333" s="1533">
        <v>2000</v>
      </c>
      <c r="K333" s="1517">
        <v>7</v>
      </c>
      <c r="L333" s="1519">
        <v>14000</v>
      </c>
      <c r="M333" s="1518" t="s">
        <v>718</v>
      </c>
      <c r="N333" s="1517">
        <v>2001</v>
      </c>
      <c r="O333" s="1518"/>
      <c r="P333" s="1518"/>
      <c r="Q333" s="1518" t="s">
        <v>482</v>
      </c>
      <c r="R333" s="1517" t="s">
        <v>12</v>
      </c>
      <c r="S333" s="1520">
        <v>975000000</v>
      </c>
      <c r="T333" s="1517" t="s">
        <v>43</v>
      </c>
      <c r="U333" s="1572"/>
      <c r="V333" s="1521"/>
      <c r="W333" s="1478" t="str">
        <f t="shared" si="121"/>
        <v>04.13.01</v>
      </c>
      <c r="X333" s="1478" t="str">
        <f t="shared" si="122"/>
        <v>Jalan</v>
      </c>
      <c r="Y333" s="1478">
        <f t="shared" si="123"/>
        <v>10</v>
      </c>
      <c r="Z333" s="1401">
        <f>S333/Y333</f>
        <v>97500000</v>
      </c>
      <c r="AA333" s="1444">
        <f>IF(2013-N333+1&gt;Y333,Y333,IF(2013-N333+1&lt;0,0,2013-N333+1))</f>
        <v>10</v>
      </c>
      <c r="AB333" s="1401">
        <f>IF(AA333&gt;Y333,S333,Z333*AA333)</f>
        <v>975000000</v>
      </c>
      <c r="AC333" s="1401">
        <f>IF(S333=AB333,0,Z333)</f>
        <v>0</v>
      </c>
      <c r="AD333" s="1401">
        <f>IF(S333=AB333+AC333,0,Z333)</f>
        <v>0</v>
      </c>
      <c r="AE333" s="1401">
        <f>IF(S333=AB333+AC333+AD333,0,Z333)</f>
        <v>0</v>
      </c>
      <c r="AF333" s="1401">
        <f>IF(S333=AC333+AD333+AE333+AB333,0,Z333)</f>
        <v>0</v>
      </c>
      <c r="AG333" s="1479">
        <f>IF(S333=AC333+AD333+AE333+AB333+AF333,0,Z333)</f>
        <v>0</v>
      </c>
      <c r="AH333" s="1479">
        <f>IF(S333=AC333+AD333+AE333+AB333+AF333+AG333,0,Z333)</f>
        <v>0</v>
      </c>
      <c r="AI333" s="1479">
        <f>SUM(AB333:AH333)</f>
        <v>975000000</v>
      </c>
      <c r="AJ333" s="1401">
        <f t="shared" si="124"/>
        <v>0</v>
      </c>
    </row>
    <row r="334" spans="1:36" s="1390" customFormat="1" ht="34" customHeight="1" x14ac:dyDescent="0.2">
      <c r="A334" s="1390">
        <v>176</v>
      </c>
      <c r="B334" s="1472" t="str">
        <f t="shared" si="113"/>
        <v>JL. DESA PEMATANG - PL. TENGAH</v>
      </c>
      <c r="C334" s="1478" t="e">
        <f>RIGHT(#REF!,1)</f>
        <v>#REF!</v>
      </c>
      <c r="D334" s="1426">
        <v>125</v>
      </c>
      <c r="E334" s="1429" t="s">
        <v>696</v>
      </c>
      <c r="F334" s="1539"/>
      <c r="G334" s="1517" t="s">
        <v>2494</v>
      </c>
      <c r="H334" s="1518"/>
      <c r="I334" s="1518" t="s">
        <v>503</v>
      </c>
      <c r="J334" s="1533">
        <v>2000</v>
      </c>
      <c r="K334" s="1517">
        <v>7</v>
      </c>
      <c r="L334" s="1519">
        <v>14000</v>
      </c>
      <c r="M334" s="1518" t="s">
        <v>711</v>
      </c>
      <c r="N334" s="1517">
        <v>2001</v>
      </c>
      <c r="O334" s="1518"/>
      <c r="P334" s="1518"/>
      <c r="Q334" s="1518" t="s">
        <v>482</v>
      </c>
      <c r="R334" s="1517" t="s">
        <v>12</v>
      </c>
      <c r="S334" s="1520">
        <v>525000000</v>
      </c>
      <c r="T334" s="1517" t="s">
        <v>43</v>
      </c>
      <c r="U334" s="1572"/>
      <c r="V334" s="1521"/>
      <c r="W334" s="1478" t="str">
        <f t="shared" si="121"/>
        <v>04.13.01</v>
      </c>
      <c r="X334" s="1478" t="str">
        <f t="shared" si="122"/>
        <v>Jalan</v>
      </c>
      <c r="Y334" s="1478">
        <f t="shared" si="123"/>
        <v>10</v>
      </c>
      <c r="Z334" s="1401">
        <f>S334/Y334</f>
        <v>52500000</v>
      </c>
      <c r="AA334" s="1444">
        <f>IF(2013-N334+1&gt;Y334,Y334,IF(2013-N334+1&lt;0,0,2013-N334+1))</f>
        <v>10</v>
      </c>
      <c r="AB334" s="1401">
        <f>IF(AA334&gt;Y334,S334,Z334*AA334)</f>
        <v>525000000</v>
      </c>
      <c r="AC334" s="1401">
        <f>IF(S334=AB334,0,Z334)</f>
        <v>0</v>
      </c>
      <c r="AD334" s="1401">
        <f>IF(S334=AB334+AC334,0,Z334)</f>
        <v>0</v>
      </c>
      <c r="AE334" s="1401">
        <f>IF(S334=AB334+AC334+AD334,0,Z334)</f>
        <v>0</v>
      </c>
      <c r="AF334" s="1401">
        <f>IF(S334=AC334+AD334+AE334+AB334,0,Z334)</f>
        <v>0</v>
      </c>
      <c r="AG334" s="1479">
        <f>IF(S334=AC334+AD334+AE334+AB334+AF334,0,Z334)</f>
        <v>0</v>
      </c>
      <c r="AH334" s="1479">
        <f>IF(S334=AC334+AD334+AE334+AB334+AF334+AG334,0,Z334)</f>
        <v>0</v>
      </c>
      <c r="AI334" s="1479">
        <f>SUM(AB334:AH334)</f>
        <v>525000000</v>
      </c>
      <c r="AJ334" s="1401">
        <f t="shared" si="124"/>
        <v>0</v>
      </c>
    </row>
    <row r="335" spans="1:36" s="1390" customFormat="1" ht="34" customHeight="1" x14ac:dyDescent="0.15">
      <c r="A335" s="1390">
        <v>178</v>
      </c>
      <c r="B335" s="1472" t="str">
        <f t="shared" si="113"/>
        <v>PAUH ANGIT - RAWANG BINJAI</v>
      </c>
      <c r="C335" s="1516" t="s">
        <v>4247</v>
      </c>
      <c r="D335" s="1426">
        <v>126</v>
      </c>
      <c r="E335" s="1429" t="s">
        <v>5852</v>
      </c>
      <c r="F335" s="1539"/>
      <c r="G335" s="1517" t="s">
        <v>3821</v>
      </c>
      <c r="H335" s="1518"/>
      <c r="I335" s="1518" t="s">
        <v>8</v>
      </c>
      <c r="J335" s="1533" t="s">
        <v>501</v>
      </c>
      <c r="K335" s="1517">
        <v>7</v>
      </c>
      <c r="L335" s="1519">
        <v>24500</v>
      </c>
      <c r="M335" s="1518" t="s">
        <v>712</v>
      </c>
      <c r="N335" s="1517">
        <v>2001</v>
      </c>
      <c r="O335" s="1518"/>
      <c r="P335" s="1518"/>
      <c r="Q335" s="1518" t="s">
        <v>482</v>
      </c>
      <c r="R335" s="1517" t="s">
        <v>12</v>
      </c>
      <c r="S335" s="1520">
        <f>1115572260+F336</f>
        <v>2882570319.23</v>
      </c>
      <c r="T335" s="1517" t="s">
        <v>43</v>
      </c>
      <c r="U335" s="1572"/>
      <c r="V335" s="1521"/>
      <c r="W335" s="1522" t="str">
        <f t="shared" si="121"/>
        <v>04.13.01</v>
      </c>
      <c r="X335" s="1478" t="str">
        <f t="shared" si="122"/>
        <v>Jalan</v>
      </c>
      <c r="Y335" s="1478">
        <f t="shared" si="123"/>
        <v>10</v>
      </c>
      <c r="Z335" s="1401"/>
      <c r="AA335" s="1444">
        <f>IF(2013-N335&gt;Y335,10,IF(2013-N335&lt;0,0,2013-N335))</f>
        <v>10</v>
      </c>
      <c r="AB335" s="1401">
        <f>SUM(PERHITUNGAN!U1105:U1107)</f>
        <v>1115572260</v>
      </c>
      <c r="AC335" s="1479">
        <f>SUMIF(PERHITUNGAN!A:A,'KIB D'!B335&amp;'KIB D'!$AC$7,PERHITUNGAN!U:U)</f>
        <v>0</v>
      </c>
      <c r="AD335" s="1479">
        <f>SUMIF(PERHITUNGAN!A:A,'KIB D'!B335&amp;'KIB D'!$AD$7,PERHITUNGAN!U:U)</f>
        <v>0</v>
      </c>
      <c r="AE335" s="1479">
        <f>SUMIF(PERHITUNGAN!A:A,'KIB D'!B335&amp;'KIB D'!$AE$7,PERHITUNGAN!U:U)</f>
        <v>176699805.92300001</v>
      </c>
      <c r="AF335" s="1479">
        <f>SUMIF(PERHITUNGAN!A:A,'KIB D'!B335&amp;'KIB D'!$AF$7,PERHITUNGAN!U:U)</f>
        <v>176699805.92300001</v>
      </c>
      <c r="AG335" s="1479">
        <f>SUMIF(PERHITUNGAN!A:A,'KIB D'!B335&amp;'KIB D'!$AG$7,PERHITUNGAN!U:U)</f>
        <v>176699805.92300001</v>
      </c>
      <c r="AH335" s="1479">
        <f>SUMIF(PERHITUNGAN!A:A,'KIB D'!B335&amp;'KIB D'!$AH$7,PERHITUNGAN!U:U)</f>
        <v>176699805.92300001</v>
      </c>
      <c r="AI335" s="1479">
        <f>SUM(AB335:AH335)</f>
        <v>1822371483.6920004</v>
      </c>
      <c r="AJ335" s="1401">
        <f t="shared" si="124"/>
        <v>1060198835.5379996</v>
      </c>
    </row>
    <row r="336" spans="1:36" s="1390" customFormat="1" ht="34" customHeight="1" x14ac:dyDescent="0.15">
      <c r="A336" s="1390">
        <v>178</v>
      </c>
      <c r="B336" s="1472" t="str">
        <f t="shared" si="113"/>
        <v>PAUH ANGIT - RAWANG BINJAI</v>
      </c>
      <c r="C336" s="1516" t="s">
        <v>4247</v>
      </c>
      <c r="D336" s="1426"/>
      <c r="E336" s="1429" t="s">
        <v>1459</v>
      </c>
      <c r="F336" s="1539">
        <v>1766998059.23</v>
      </c>
      <c r="G336" s="1517" t="s">
        <v>2494</v>
      </c>
      <c r="H336" s="1518"/>
      <c r="I336" s="1518"/>
      <c r="J336" s="1519">
        <v>0</v>
      </c>
      <c r="K336" s="1517"/>
      <c r="L336" s="1519">
        <v>0</v>
      </c>
      <c r="M336" s="1518" t="s">
        <v>712</v>
      </c>
      <c r="N336" s="1517">
        <v>2016</v>
      </c>
      <c r="O336" s="1518"/>
      <c r="P336" s="1518"/>
      <c r="Q336" s="1518"/>
      <c r="R336" s="1517" t="s">
        <v>12</v>
      </c>
      <c r="S336" s="1520"/>
      <c r="T336" s="1518"/>
      <c r="U336" s="1572"/>
      <c r="V336" s="1521"/>
      <c r="W336" s="1522" t="str">
        <f t="shared" si="121"/>
        <v>04.13.01</v>
      </c>
      <c r="X336" s="1478" t="str">
        <f t="shared" si="122"/>
        <v>Jalan</v>
      </c>
      <c r="Y336" s="1478">
        <f t="shared" si="123"/>
        <v>10</v>
      </c>
      <c r="Z336" s="1401"/>
      <c r="AA336" s="1444">
        <f>IF(2013-N336&gt;Y336,10,IF(2013-N336&lt;0,0,2013-N336))</f>
        <v>0</v>
      </c>
      <c r="AB336" s="1401"/>
      <c r="AC336" s="1401"/>
      <c r="AD336" s="1401"/>
      <c r="AE336" s="1401"/>
      <c r="AF336" s="1401"/>
      <c r="AG336" s="1479"/>
      <c r="AH336" s="1479"/>
      <c r="AI336" s="1479"/>
      <c r="AJ336" s="1401">
        <f t="shared" si="124"/>
        <v>0</v>
      </c>
    </row>
    <row r="337" spans="1:36" s="1390" customFormat="1" ht="34" customHeight="1" x14ac:dyDescent="0.2">
      <c r="A337" s="1390">
        <v>179</v>
      </c>
      <c r="B337" s="1472" t="str">
        <f t="shared" si="113"/>
        <v>SAKO - LOGAS TANAH DARAT</v>
      </c>
      <c r="C337" s="1478" t="e">
        <f>RIGHT(#REF!,1)</f>
        <v>#REF!</v>
      </c>
      <c r="D337" s="1426">
        <v>127</v>
      </c>
      <c r="E337" s="1429" t="s">
        <v>696</v>
      </c>
      <c r="F337" s="1539"/>
      <c r="G337" s="1517" t="s">
        <v>2494</v>
      </c>
      <c r="H337" s="1518"/>
      <c r="I337" s="1518" t="s">
        <v>484</v>
      </c>
      <c r="J337" s="1533" t="s">
        <v>713</v>
      </c>
      <c r="K337" s="1517"/>
      <c r="L337" s="1519"/>
      <c r="M337" s="1518" t="s">
        <v>714</v>
      </c>
      <c r="N337" s="1517">
        <v>2001</v>
      </c>
      <c r="O337" s="1518"/>
      <c r="P337" s="1518"/>
      <c r="Q337" s="1518" t="s">
        <v>482</v>
      </c>
      <c r="R337" s="1517" t="s">
        <v>12</v>
      </c>
      <c r="S337" s="1520">
        <v>537600000</v>
      </c>
      <c r="T337" s="1517" t="s">
        <v>43</v>
      </c>
      <c r="U337" s="1572"/>
      <c r="V337" s="1521"/>
      <c r="W337" s="1478" t="str">
        <f t="shared" si="121"/>
        <v>04.13.01</v>
      </c>
      <c r="X337" s="1478" t="str">
        <f t="shared" si="122"/>
        <v>Jalan</v>
      </c>
      <c r="Y337" s="1478">
        <f t="shared" si="123"/>
        <v>10</v>
      </c>
      <c r="Z337" s="1401">
        <f>S337/Y337</f>
        <v>53760000</v>
      </c>
      <c r="AA337" s="1444">
        <f>IF(2013-N337+1&gt;Y337,Y337,IF(2013-N337+1&lt;0,0,2013-N337+1))</f>
        <v>10</v>
      </c>
      <c r="AB337" s="1401">
        <f>IF(AA337&gt;Y337,S337,Z337*AA337)</f>
        <v>537600000</v>
      </c>
      <c r="AC337" s="1401">
        <f>IF(S337=AB337,0,Z337)</f>
        <v>0</v>
      </c>
      <c r="AD337" s="1401">
        <f>IF(S337=AB337+AC337,0,Z337)</f>
        <v>0</v>
      </c>
      <c r="AE337" s="1401">
        <f>IF(S337=AB337+AC337+AD337,0,Z337)</f>
        <v>0</v>
      </c>
      <c r="AF337" s="1401">
        <f>IF(S337=AC337+AD337+AE337+AB337,0,Z337)</f>
        <v>0</v>
      </c>
      <c r="AG337" s="1479">
        <f>IF(S337=AC337+AD337+AE337+AB337+AF337,0,Z337)</f>
        <v>0</v>
      </c>
      <c r="AH337" s="1479">
        <f>IF(S337=AC337+AD337+AE337+AB337+AF337+AG337,0,Z337)</f>
        <v>0</v>
      </c>
      <c r="AI337" s="1479">
        <f>SUM(AB337:AH337)</f>
        <v>537600000</v>
      </c>
      <c r="AJ337" s="1401">
        <f t="shared" si="124"/>
        <v>0</v>
      </c>
    </row>
    <row r="338" spans="1:36" s="1390" customFormat="1" ht="34" customHeight="1" x14ac:dyDescent="0.2">
      <c r="A338" s="1390">
        <v>180</v>
      </c>
      <c r="B338" s="1472" t="str">
        <f t="shared" si="113"/>
        <v>TUGU PULAI - PAUH ANGIT</v>
      </c>
      <c r="C338" s="1478" t="e">
        <f>RIGHT(#REF!,1)</f>
        <v>#REF!</v>
      </c>
      <c r="D338" s="1426">
        <v>128</v>
      </c>
      <c r="E338" s="1429" t="s">
        <v>529</v>
      </c>
      <c r="F338" s="1539"/>
      <c r="G338" s="1517" t="s">
        <v>2494</v>
      </c>
      <c r="H338" s="1518"/>
      <c r="I338" s="1518" t="s">
        <v>479</v>
      </c>
      <c r="J338" s="1533">
        <v>2800</v>
      </c>
      <c r="K338" s="1517">
        <v>7</v>
      </c>
      <c r="L338" s="1519">
        <v>19600</v>
      </c>
      <c r="M338" s="1518" t="s">
        <v>634</v>
      </c>
      <c r="N338" s="1517">
        <v>2001</v>
      </c>
      <c r="O338" s="1518"/>
      <c r="P338" s="1518"/>
      <c r="Q338" s="1518" t="s">
        <v>482</v>
      </c>
      <c r="R338" s="1517" t="s">
        <v>12</v>
      </c>
      <c r="S338" s="1520">
        <v>2058000000</v>
      </c>
      <c r="T338" s="1517" t="s">
        <v>43</v>
      </c>
      <c r="U338" s="1572"/>
      <c r="V338" s="1521"/>
      <c r="W338" s="1478" t="str">
        <f t="shared" si="121"/>
        <v>04.13.01</v>
      </c>
      <c r="X338" s="1478" t="str">
        <f t="shared" si="122"/>
        <v>Jalan</v>
      </c>
      <c r="Y338" s="1478">
        <f t="shared" si="123"/>
        <v>10</v>
      </c>
      <c r="Z338" s="1401">
        <f>S338/Y338</f>
        <v>205800000</v>
      </c>
      <c r="AA338" s="1444">
        <f>IF(2013-N338+1&gt;Y338,Y338,IF(2013-N338+1&lt;0,0,2013-N338+1))</f>
        <v>10</v>
      </c>
      <c r="AB338" s="1401">
        <f>IF(AA338&gt;Y338,S338,Z338*AA338)</f>
        <v>2058000000</v>
      </c>
      <c r="AC338" s="1401">
        <f>IF(S338=AB338,0,Z338)</f>
        <v>0</v>
      </c>
      <c r="AD338" s="1401">
        <f>IF(S338=AB338+AC338,0,Z338)</f>
        <v>0</v>
      </c>
      <c r="AE338" s="1401">
        <f>IF(S338=AB338+AC338+AD338,0,Z338)</f>
        <v>0</v>
      </c>
      <c r="AF338" s="1401">
        <f>IF(S338=AC338+AD338+AE338+AB338,0,Z338)</f>
        <v>0</v>
      </c>
      <c r="AG338" s="1479">
        <f>IF(S338=AC338+AD338+AE338+AB338+AF338,0,Z338)</f>
        <v>0</v>
      </c>
      <c r="AH338" s="1479">
        <f>IF(S338=AC338+AD338+AE338+AB338+AF338+AG338,0,Z338)</f>
        <v>0</v>
      </c>
      <c r="AI338" s="1479">
        <f>SUM(AB338:AH338)</f>
        <v>2058000000</v>
      </c>
      <c r="AJ338" s="1401">
        <f t="shared" si="124"/>
        <v>0</v>
      </c>
    </row>
    <row r="339" spans="1:36" s="1390" customFormat="1" ht="34" customHeight="1" x14ac:dyDescent="0.15">
      <c r="A339" s="1390">
        <v>181</v>
      </c>
      <c r="B339" s="1472" t="str">
        <f t="shared" si="113"/>
        <v>SIMP. RAMBAHAN - RAMBAHAN</v>
      </c>
      <c r="C339" s="1516" t="s">
        <v>4247</v>
      </c>
      <c r="D339" s="1426">
        <v>129</v>
      </c>
      <c r="E339" s="1429" t="s">
        <v>5853</v>
      </c>
      <c r="F339" s="1539"/>
      <c r="G339" s="1517" t="s">
        <v>2494</v>
      </c>
      <c r="H339" s="1518"/>
      <c r="I339" s="1518" t="s">
        <v>8</v>
      </c>
      <c r="J339" s="1533">
        <v>4000</v>
      </c>
      <c r="K339" s="1517">
        <v>7</v>
      </c>
      <c r="L339" s="1519">
        <v>28000</v>
      </c>
      <c r="M339" s="1518" t="s">
        <v>674</v>
      </c>
      <c r="N339" s="1517">
        <v>2001</v>
      </c>
      <c r="O339" s="1518"/>
      <c r="P339" s="1518"/>
      <c r="Q339" s="1518" t="s">
        <v>384</v>
      </c>
      <c r="R339" s="1517" t="s">
        <v>12</v>
      </c>
      <c r="S339" s="1520">
        <f>765000000+261000000+F341+F342+F343+F344</f>
        <v>7042095014</v>
      </c>
      <c r="T339" s="1517" t="s">
        <v>43</v>
      </c>
      <c r="U339" s="1572"/>
      <c r="V339" s="1521"/>
      <c r="W339" s="1522" t="str">
        <f t="shared" si="121"/>
        <v>04.13.01</v>
      </c>
      <c r="X339" s="1478" t="str">
        <f t="shared" si="122"/>
        <v>Jalan</v>
      </c>
      <c r="Y339" s="1478">
        <f t="shared" si="123"/>
        <v>10</v>
      </c>
      <c r="Z339" s="1401"/>
      <c r="AA339" s="1444">
        <f>IF(2013-N339&gt;Y339,10,IF(2013-N339&lt;0,0,2013-N339))</f>
        <v>10</v>
      </c>
      <c r="AB339" s="1401">
        <f>SUM(PERHITUNGAN!U1123:U1128)</f>
        <v>1026000000</v>
      </c>
      <c r="AC339" s="1479">
        <f>SUMIF(PERHITUNGAN!A:A,'KIB D'!B339&amp;'KIB D'!$AC$7,PERHITUNGAN!U:U)</f>
        <v>208851621.90000001</v>
      </c>
      <c r="AD339" s="1479">
        <f>SUMIF(PERHITUNGAN!A:A,'KIB D'!B339&amp;'KIB D'!$AD$7,PERHITUNGAN!U:U)</f>
        <v>365718309.20999998</v>
      </c>
      <c r="AE339" s="1479">
        <f>SUMIF(PERHITUNGAN!A:A,'KIB D'!B339&amp;'KIB D'!$AE$7,PERHITUNGAN!U:U)</f>
        <v>365718309.20999998</v>
      </c>
      <c r="AF339" s="1479">
        <f>SUMIF(PERHITUNGAN!A:A,'KIB D'!B339&amp;'KIB D'!$AF$7,PERHITUNGAN!U:U)</f>
        <v>365718309.20999998</v>
      </c>
      <c r="AG339" s="1479">
        <f>SUMIF(PERHITUNGAN!A:A,'KIB D'!B339&amp;'KIB D'!$AG$7,PERHITUNGAN!U:U)</f>
        <v>365718309.20999998</v>
      </c>
      <c r="AH339" s="1479">
        <f>SUMIF(PERHITUNGAN!A:A,'KIB D'!B339&amp;'KIB D'!$AH$7,PERHITUNGAN!U:U)</f>
        <v>434437015.52600002</v>
      </c>
      <c r="AI339" s="1479">
        <f>SUM(AB339:AH339)</f>
        <v>3132161874.2660003</v>
      </c>
      <c r="AJ339" s="1401">
        <f t="shared" si="124"/>
        <v>3909933139.7339997</v>
      </c>
    </row>
    <row r="340" spans="1:36" s="1390" customFormat="1" ht="34" customHeight="1" x14ac:dyDescent="0.2">
      <c r="A340" s="1390">
        <v>181</v>
      </c>
      <c r="B340" s="1472" t="str">
        <f t="shared" si="113"/>
        <v>SIMP. RAMBAHAN - RAMBAHAN</v>
      </c>
      <c r="C340" s="1478" t="e">
        <f>RIGHT(#REF!,1)</f>
        <v>#REF!</v>
      </c>
      <c r="D340" s="1426"/>
      <c r="E340" s="1429" t="s">
        <v>529</v>
      </c>
      <c r="F340" s="1539">
        <v>261000000</v>
      </c>
      <c r="G340" s="1517" t="s">
        <v>2494</v>
      </c>
      <c r="H340" s="1518"/>
      <c r="I340" s="1518" t="s">
        <v>8</v>
      </c>
      <c r="J340" s="1519" t="s">
        <v>580</v>
      </c>
      <c r="K340" s="1517"/>
      <c r="L340" s="1519"/>
      <c r="M340" s="1518" t="s">
        <v>669</v>
      </c>
      <c r="N340" s="1517">
        <v>2001</v>
      </c>
      <c r="O340" s="1518"/>
      <c r="P340" s="1518"/>
      <c r="Q340" s="1518" t="s">
        <v>384</v>
      </c>
      <c r="R340" s="1517" t="s">
        <v>12</v>
      </c>
      <c r="S340" s="1520"/>
      <c r="T340" s="1517" t="s">
        <v>43</v>
      </c>
      <c r="U340" s="1572"/>
      <c r="V340" s="1521"/>
      <c r="W340" s="1478" t="str">
        <f t="shared" si="121"/>
        <v>04.13.01</v>
      </c>
      <c r="X340" s="1478" t="str">
        <f t="shared" si="122"/>
        <v>Jalan</v>
      </c>
      <c r="Y340" s="1478">
        <f t="shared" si="123"/>
        <v>10</v>
      </c>
      <c r="Z340" s="1401"/>
      <c r="AA340" s="1444"/>
      <c r="AB340" s="1401"/>
      <c r="AC340" s="1401"/>
      <c r="AD340" s="1401"/>
      <c r="AE340" s="1401"/>
      <c r="AF340" s="1401"/>
      <c r="AG340" s="1479"/>
      <c r="AH340" s="1479"/>
      <c r="AI340" s="1479"/>
      <c r="AJ340" s="1401">
        <f t="shared" si="124"/>
        <v>0</v>
      </c>
    </row>
    <row r="341" spans="1:36" s="1390" customFormat="1" ht="34" customHeight="1" x14ac:dyDescent="0.2">
      <c r="A341" s="1390">
        <v>181</v>
      </c>
      <c r="B341" s="1472" t="str">
        <f t="shared" si="113"/>
        <v>SIMP. RAMBAHAN - RAMBAHAN</v>
      </c>
      <c r="C341" s="1478" t="e">
        <f>RIGHT(#REF!,1)</f>
        <v>#REF!</v>
      </c>
      <c r="D341" s="1426"/>
      <c r="E341" s="1589" t="s">
        <v>1305</v>
      </c>
      <c r="F341" s="1562">
        <v>1834435855</v>
      </c>
      <c r="G341" s="1501" t="s">
        <v>2494</v>
      </c>
      <c r="H341" s="1414"/>
      <c r="I341" s="1501"/>
      <c r="J341" s="1526"/>
      <c r="K341" s="1416"/>
      <c r="L341" s="1526"/>
      <c r="M341" s="1429" t="s">
        <v>3183</v>
      </c>
      <c r="N341" s="1416">
        <v>2014</v>
      </c>
      <c r="O341" s="1414"/>
      <c r="P341" s="1414"/>
      <c r="Q341" s="1455"/>
      <c r="R341" s="1517" t="s">
        <v>12</v>
      </c>
      <c r="S341" s="1539"/>
      <c r="T341" s="1416"/>
      <c r="U341" s="1427"/>
      <c r="V341" s="1477"/>
      <c r="W341" s="1478" t="str">
        <f t="shared" si="121"/>
        <v>04.13.01</v>
      </c>
      <c r="X341" s="1478" t="str">
        <f t="shared" si="122"/>
        <v>Jalan</v>
      </c>
      <c r="Y341" s="1478">
        <f t="shared" si="123"/>
        <v>10</v>
      </c>
      <c r="Z341" s="1401"/>
      <c r="AA341" s="1444"/>
      <c r="AB341" s="1401"/>
      <c r="AC341" s="1401"/>
      <c r="AD341" s="1401"/>
      <c r="AE341" s="1401"/>
      <c r="AF341" s="1401"/>
      <c r="AG341" s="1479"/>
      <c r="AH341" s="1479"/>
      <c r="AI341" s="1479"/>
      <c r="AJ341" s="1401">
        <f t="shared" si="124"/>
        <v>0</v>
      </c>
    </row>
    <row r="342" spans="1:36" s="1390" customFormat="1" ht="34" customHeight="1" x14ac:dyDescent="0.15">
      <c r="A342" s="1390">
        <v>181</v>
      </c>
      <c r="B342" s="1472" t="str">
        <f t="shared" si="113"/>
        <v>SIMP. RAMBAHAN - RAMBAHAN</v>
      </c>
      <c r="C342" s="1516" t="s">
        <v>4247</v>
      </c>
      <c r="D342" s="1426"/>
      <c r="E342" s="1429" t="s">
        <v>1311</v>
      </c>
      <c r="F342" s="1539">
        <v>254080364</v>
      </c>
      <c r="G342" s="1517" t="s">
        <v>2494</v>
      </c>
      <c r="H342" s="1518"/>
      <c r="I342" s="1518"/>
      <c r="J342" s="1519">
        <v>0</v>
      </c>
      <c r="K342" s="1517"/>
      <c r="L342" s="1519">
        <v>0</v>
      </c>
      <c r="M342" s="1518" t="s">
        <v>3186</v>
      </c>
      <c r="N342" s="1517">
        <v>2014</v>
      </c>
      <c r="O342" s="1518"/>
      <c r="P342" s="1518"/>
      <c r="Q342" s="1518"/>
      <c r="R342" s="1517" t="s">
        <v>12</v>
      </c>
      <c r="S342" s="1520"/>
      <c r="T342" s="1518"/>
      <c r="U342" s="1572"/>
      <c r="V342" s="1521"/>
      <c r="W342" s="1522" t="str">
        <f t="shared" si="121"/>
        <v>04.13.01</v>
      </c>
      <c r="X342" s="1478" t="str">
        <f t="shared" si="122"/>
        <v>Jalan</v>
      </c>
      <c r="Y342" s="1478">
        <f t="shared" si="123"/>
        <v>10</v>
      </c>
      <c r="Z342" s="1401"/>
      <c r="AA342" s="1444">
        <f>IF(2013-N342&gt;Y342,10,IF(2013-N342&lt;0,0,2013-N342))</f>
        <v>0</v>
      </c>
      <c r="AB342" s="1401"/>
      <c r="AC342" s="1401"/>
      <c r="AD342" s="1401"/>
      <c r="AE342" s="1401"/>
      <c r="AF342" s="1401"/>
      <c r="AG342" s="1479"/>
      <c r="AH342" s="1479"/>
      <c r="AI342" s="1479"/>
      <c r="AJ342" s="1401">
        <f t="shared" si="124"/>
        <v>0</v>
      </c>
    </row>
    <row r="343" spans="1:36" s="1390" customFormat="1" ht="34" customHeight="1" x14ac:dyDescent="0.15">
      <c r="A343" s="1390">
        <v>181</v>
      </c>
      <c r="B343" s="1472" t="str">
        <f t="shared" si="113"/>
        <v>SIMP. RAMBAHAN - RAMBAHAN</v>
      </c>
      <c r="C343" s="1516" t="s">
        <v>4247</v>
      </c>
      <c r="D343" s="1426"/>
      <c r="E343" s="1429" t="s">
        <v>1423</v>
      </c>
      <c r="F343" s="1539">
        <v>1777518495</v>
      </c>
      <c r="G343" s="1517" t="s">
        <v>2494</v>
      </c>
      <c r="H343" s="1518"/>
      <c r="I343" s="1518"/>
      <c r="J343" s="1519">
        <v>0</v>
      </c>
      <c r="K343" s="1517"/>
      <c r="L343" s="1519">
        <v>0</v>
      </c>
      <c r="M343" s="1518" t="s">
        <v>3706</v>
      </c>
      <c r="N343" s="1517">
        <v>2015</v>
      </c>
      <c r="O343" s="1518"/>
      <c r="P343" s="1518"/>
      <c r="Q343" s="1518"/>
      <c r="R343" s="1517" t="s">
        <v>12</v>
      </c>
      <c r="S343" s="1520"/>
      <c r="T343" s="1518"/>
      <c r="U343" s="1572"/>
      <c r="V343" s="1521"/>
      <c r="W343" s="1522" t="str">
        <f t="shared" si="121"/>
        <v>04.13.01</v>
      </c>
      <c r="X343" s="1478" t="str">
        <f t="shared" si="122"/>
        <v>Jalan</v>
      </c>
      <c r="Y343" s="1478">
        <f t="shared" si="123"/>
        <v>10</v>
      </c>
      <c r="Z343" s="1401"/>
      <c r="AA343" s="1444">
        <f>IF(2013-N343&gt;Y343,10,IF(2013-N343&lt;0,0,2013-N343))</f>
        <v>0</v>
      </c>
      <c r="AB343" s="1401"/>
      <c r="AC343" s="1401"/>
      <c r="AD343" s="1401"/>
      <c r="AE343" s="1401"/>
      <c r="AF343" s="1401"/>
      <c r="AG343" s="1479"/>
      <c r="AH343" s="1479"/>
      <c r="AI343" s="1479"/>
      <c r="AJ343" s="1401"/>
    </row>
    <row r="344" spans="1:36" s="1390" customFormat="1" ht="34" customHeight="1" x14ac:dyDescent="0.15">
      <c r="A344" s="1390">
        <v>181</v>
      </c>
      <c r="B344" s="1472" t="str">
        <f t="shared" ref="B344:B407" si="125">VLOOKUP(A344,RUAS,2,FALSE)</f>
        <v>SIMP. RAMBAHAN - RAMBAHAN</v>
      </c>
      <c r="C344" s="1516"/>
      <c r="D344" s="1426"/>
      <c r="E344" s="1429" t="s">
        <v>5676</v>
      </c>
      <c r="F344" s="1539">
        <v>2150060300</v>
      </c>
      <c r="G344" s="1517" t="s">
        <v>2494</v>
      </c>
      <c r="H344" s="1518"/>
      <c r="I344" s="1518" t="s">
        <v>5532</v>
      </c>
      <c r="J344" s="1519">
        <v>1000</v>
      </c>
      <c r="K344" s="1517">
        <v>4</v>
      </c>
      <c r="L344" s="1519">
        <f>J344*K344</f>
        <v>4000</v>
      </c>
      <c r="M344" s="1518" t="s">
        <v>3706</v>
      </c>
      <c r="N344" s="1517">
        <v>2019</v>
      </c>
      <c r="O344" s="1518" t="s">
        <v>5486</v>
      </c>
      <c r="P344" s="1518" t="s">
        <v>433</v>
      </c>
      <c r="Q344" s="1518"/>
      <c r="R344" s="1517" t="s">
        <v>12</v>
      </c>
      <c r="S344" s="1520"/>
      <c r="T344" s="1518"/>
      <c r="U344" s="1572"/>
      <c r="V344" s="1521"/>
      <c r="W344" s="1522"/>
      <c r="X344" s="1478"/>
      <c r="Y344" s="1478"/>
      <c r="Z344" s="1401"/>
      <c r="AA344" s="1444"/>
      <c r="AB344" s="1401"/>
      <c r="AC344" s="1401"/>
      <c r="AD344" s="1401"/>
      <c r="AE344" s="1401"/>
      <c r="AF344" s="1401"/>
      <c r="AG344" s="1479"/>
      <c r="AH344" s="1479"/>
      <c r="AI344" s="1479"/>
      <c r="AJ344" s="1401"/>
    </row>
    <row r="345" spans="1:36" s="1390" customFormat="1" ht="34" customHeight="1" x14ac:dyDescent="0.2">
      <c r="A345" s="1390">
        <v>182</v>
      </c>
      <c r="B345" s="1472" t="str">
        <f t="shared" si="125"/>
        <v>LOGAS TANAH DARAT - SEI. RAMBAI</v>
      </c>
      <c r="C345" s="1478" t="e">
        <f>RIGHT(#REF!,1)</f>
        <v>#REF!</v>
      </c>
      <c r="D345" s="1426">
        <v>130</v>
      </c>
      <c r="E345" s="1429" t="s">
        <v>529</v>
      </c>
      <c r="F345" s="1539"/>
      <c r="G345" s="1517" t="s">
        <v>2494</v>
      </c>
      <c r="H345" s="1518"/>
      <c r="I345" s="1518" t="s">
        <v>525</v>
      </c>
      <c r="J345" s="1533" t="s">
        <v>667</v>
      </c>
      <c r="K345" s="1517">
        <v>7</v>
      </c>
      <c r="L345" s="1519">
        <v>7525</v>
      </c>
      <c r="M345" s="1518" t="s">
        <v>668</v>
      </c>
      <c r="N345" s="1517">
        <v>2001</v>
      </c>
      <c r="O345" s="1518"/>
      <c r="P345" s="1518"/>
      <c r="Q345" s="1518" t="s">
        <v>384</v>
      </c>
      <c r="R345" s="1517" t="s">
        <v>12</v>
      </c>
      <c r="S345" s="1520">
        <v>580500000</v>
      </c>
      <c r="T345" s="1517" t="s">
        <v>43</v>
      </c>
      <c r="U345" s="1572"/>
      <c r="V345" s="1521"/>
      <c r="W345" s="1478" t="str">
        <f>LEFT(G345,8)</f>
        <v>04.13.01</v>
      </c>
      <c r="X345" s="1478" t="str">
        <f>VLOOKUP(W345,UE,3,FALSE)</f>
        <v>Jalan</v>
      </c>
      <c r="Y345" s="1478">
        <f>VLOOKUP(W345,UE,4,FALSE)</f>
        <v>10</v>
      </c>
      <c r="Z345" s="1401">
        <f>S345/Y345</f>
        <v>58050000</v>
      </c>
      <c r="AA345" s="1444">
        <f>IF(2013-N345+1&gt;Y345,Y345,IF(2013-N345+1&lt;0,0,2013-N345+1))</f>
        <v>10</v>
      </c>
      <c r="AB345" s="1401">
        <f>IF(AA345&gt;Y345,S345,Z345*AA345)</f>
        <v>580500000</v>
      </c>
      <c r="AC345" s="1401">
        <f>IF(S345=AB345,0,Z345)</f>
        <v>0</v>
      </c>
      <c r="AD345" s="1401">
        <f>IF(S345=AB345+AC345,0,Z345)</f>
        <v>0</v>
      </c>
      <c r="AE345" s="1401">
        <f>IF(S345=AB345+AC345+AD345,0,Z345)</f>
        <v>0</v>
      </c>
      <c r="AF345" s="1401">
        <f>IF(S345=AC345+AD345+AE345+AB345,0,Z345)</f>
        <v>0</v>
      </c>
      <c r="AG345" s="1479">
        <f>IF(S345=AC345+AD345+AE345+AB345+AF345,0,Z345)</f>
        <v>0</v>
      </c>
      <c r="AH345" s="1479">
        <f>IF(S345=AC345+AD345+AE345+AB345+AF345+AG345,0,Z345)</f>
        <v>0</v>
      </c>
      <c r="AI345" s="1479">
        <f>SUM(AB345:AH345)</f>
        <v>580500000</v>
      </c>
      <c r="AJ345" s="1401">
        <f>S345-AI345</f>
        <v>0</v>
      </c>
    </row>
    <row r="346" spans="1:36" s="1390" customFormat="1" ht="34" customHeight="1" x14ac:dyDescent="0.2">
      <c r="A346" s="1390">
        <v>183</v>
      </c>
      <c r="B346" s="1472" t="str">
        <f t="shared" si="125"/>
        <v>SUKARAJA - GIRI SAKO</v>
      </c>
      <c r="C346" s="1478" t="s">
        <v>4247</v>
      </c>
      <c r="D346" s="1426">
        <v>131</v>
      </c>
      <c r="E346" s="1429" t="s">
        <v>5854</v>
      </c>
      <c r="F346" s="1539"/>
      <c r="G346" s="1517" t="s">
        <v>2494</v>
      </c>
      <c r="H346" s="1518"/>
      <c r="I346" s="1518" t="s">
        <v>835</v>
      </c>
      <c r="J346" s="1533">
        <v>3</v>
      </c>
      <c r="K346" s="1517">
        <v>35</v>
      </c>
      <c r="L346" s="1519">
        <v>105</v>
      </c>
      <c r="M346" s="1518" t="s">
        <v>3103</v>
      </c>
      <c r="N346" s="1517">
        <v>2007</v>
      </c>
      <c r="O346" s="1518"/>
      <c r="P346" s="1518"/>
      <c r="Q346" s="1518"/>
      <c r="R346" s="1517" t="s">
        <v>12</v>
      </c>
      <c r="S346" s="1520">
        <f>789287288.455649+F347+F348+F349+F350+F351+F352+F353</f>
        <v>16677465240.978609</v>
      </c>
      <c r="T346" s="1517" t="s">
        <v>43</v>
      </c>
      <c r="U346" s="1572"/>
      <c r="V346" s="1521"/>
      <c r="W346" s="1478" t="str">
        <f t="shared" ref="W346:W352" si="126">LEFT(G346,8)</f>
        <v>04.13.01</v>
      </c>
      <c r="X346" s="1478" t="str">
        <f t="shared" ref="X346:X352" si="127">VLOOKUP(W346,UE,3,FALSE)</f>
        <v>Jalan</v>
      </c>
      <c r="Y346" s="1478">
        <f t="shared" ref="Y346:Y352" si="128">VLOOKUP(W346,UE,4,FALSE)</f>
        <v>10</v>
      </c>
      <c r="Z346" s="1401"/>
      <c r="AA346" s="1444">
        <f>IF(2013-N346&gt;Y346,10,IF(2013-N346&lt;0,0,2013-N346))</f>
        <v>6</v>
      </c>
      <c r="AB346" s="1401">
        <f>SUM(PERHITUNGAN!U1144:U1150)</f>
        <v>2098675372.9014735</v>
      </c>
      <c r="AC346" s="1479">
        <f>SUMIF(PERHITUNGAN!A:A,'KIB D'!B346&amp;'KIB D'!$AC$7,PERHITUNGAN!U:U)</f>
        <v>861237188.10857046</v>
      </c>
      <c r="AD346" s="1479">
        <f>SUMIF(PERHITUNGAN!A:A,'KIB D'!B346&amp;'KIB D'!$AD$7,PERHITUNGAN!U:U)</f>
        <v>1114048961.4868565</v>
      </c>
      <c r="AE346" s="1479">
        <f>SUMIF(PERHITUNGAN!A:A,'KIB D'!B346&amp;'KIB D'!$AE$7,PERHITUNGAN!U:U)</f>
        <v>1114048961.4868565</v>
      </c>
      <c r="AF346" s="1479">
        <f>SUMIF(PERHITUNGAN!A:A,'KIB D'!B346&amp;'KIB D'!$AF$7,PERHITUNGAN!U:U)</f>
        <v>929204069.18948519</v>
      </c>
      <c r="AG346" s="1479">
        <f>SUMIF(PERHITUNGAN!A:A,'KIB D'!B346&amp;'KIB D'!$AG$7,PERHITUNGAN!U:U)</f>
        <v>929204069.18948519</v>
      </c>
      <c r="AH346" s="1479">
        <f>SUMIF(PERHITUNGAN!A:A,'KIB D'!B346&amp;'KIB D'!$AH$7,PERHITUNGAN!U:U)</f>
        <v>963104661.86158812</v>
      </c>
      <c r="AI346" s="1479">
        <f>SUM(AB346:AH346)</f>
        <v>8009523284.2243166</v>
      </c>
      <c r="AJ346" s="1401">
        <f>S346-AI346</f>
        <v>8667941956.7542915</v>
      </c>
    </row>
    <row r="347" spans="1:36" s="1390" customFormat="1" ht="34" customHeight="1" x14ac:dyDescent="0.15">
      <c r="A347" s="1390">
        <v>183</v>
      </c>
      <c r="B347" s="1472" t="str">
        <f t="shared" si="125"/>
        <v>SUKARAJA - GIRI SAKO</v>
      </c>
      <c r="C347" s="1516" t="s">
        <v>4247</v>
      </c>
      <c r="D347" s="1426"/>
      <c r="E347" s="1429" t="s">
        <v>1255</v>
      </c>
      <c r="F347" s="1539">
        <v>8033301761.4229603</v>
      </c>
      <c r="G347" s="1517" t="s">
        <v>2494</v>
      </c>
      <c r="H347" s="1518"/>
      <c r="I347" s="1518" t="s">
        <v>519</v>
      </c>
      <c r="J347" s="1519">
        <v>0</v>
      </c>
      <c r="K347" s="1517"/>
      <c r="L347" s="1519">
        <v>0</v>
      </c>
      <c r="M347" s="1518" t="s">
        <v>3103</v>
      </c>
      <c r="N347" s="1517">
        <v>2012</v>
      </c>
      <c r="O347" s="1518"/>
      <c r="P347" s="1518"/>
      <c r="Q347" s="1518"/>
      <c r="R347" s="1517" t="s">
        <v>12</v>
      </c>
      <c r="S347" s="1520"/>
      <c r="T347" s="1517" t="s">
        <v>43</v>
      </c>
      <c r="U347" s="1572"/>
      <c r="V347" s="1521"/>
      <c r="W347" s="1522" t="str">
        <f t="shared" si="126"/>
        <v>04.13.01</v>
      </c>
      <c r="X347" s="1478" t="str">
        <f t="shared" si="127"/>
        <v>Jalan</v>
      </c>
      <c r="Y347" s="1478">
        <f t="shared" si="128"/>
        <v>10</v>
      </c>
      <c r="Z347" s="1401"/>
      <c r="AA347" s="1444"/>
      <c r="AB347" s="1401"/>
      <c r="AC347" s="1401"/>
      <c r="AD347" s="1401"/>
      <c r="AE347" s="1401"/>
      <c r="AF347" s="1401"/>
      <c r="AG347" s="1479"/>
      <c r="AH347" s="1479"/>
      <c r="AI347" s="1479"/>
      <c r="AJ347" s="1401">
        <f>S347-AI347</f>
        <v>0</v>
      </c>
    </row>
    <row r="348" spans="1:36" s="1390" customFormat="1" ht="34" customHeight="1" x14ac:dyDescent="0.2">
      <c r="A348" s="1390">
        <v>183</v>
      </c>
      <c r="B348" s="1472" t="str">
        <f t="shared" si="125"/>
        <v>SUKARAJA - GIRI SAKO</v>
      </c>
      <c r="C348" s="1478" t="e">
        <f>RIGHT(#REF!,1)</f>
        <v>#REF!</v>
      </c>
      <c r="D348" s="1426"/>
      <c r="E348" s="1429" t="s">
        <v>1286</v>
      </c>
      <c r="F348" s="1539">
        <v>1027221016</v>
      </c>
      <c r="G348" s="1416" t="s">
        <v>2494</v>
      </c>
      <c r="H348" s="1508"/>
      <c r="I348" s="1416"/>
      <c r="J348" s="1500"/>
      <c r="K348" s="1416"/>
      <c r="L348" s="1500"/>
      <c r="M348" s="1429" t="s">
        <v>3103</v>
      </c>
      <c r="N348" s="1416">
        <v>2013</v>
      </c>
      <c r="O348" s="1414"/>
      <c r="P348" s="1414"/>
      <c r="Q348" s="1414"/>
      <c r="R348" s="1416" t="s">
        <v>12</v>
      </c>
      <c r="S348" s="1529"/>
      <c r="T348" s="1416"/>
      <c r="U348" s="1427"/>
      <c r="V348" s="1477"/>
      <c r="W348" s="1478" t="str">
        <f t="shared" si="126"/>
        <v>04.13.01</v>
      </c>
      <c r="X348" s="1478" t="str">
        <f t="shared" si="127"/>
        <v>Jalan</v>
      </c>
      <c r="Y348" s="1478">
        <f t="shared" si="128"/>
        <v>10</v>
      </c>
      <c r="Z348" s="1401"/>
      <c r="AA348" s="1444"/>
      <c r="AB348" s="1401"/>
      <c r="AC348" s="1401"/>
      <c r="AD348" s="1401"/>
      <c r="AE348" s="1401"/>
      <c r="AF348" s="1401"/>
      <c r="AG348" s="1479"/>
      <c r="AH348" s="1479"/>
      <c r="AI348" s="1479"/>
      <c r="AJ348" s="1401">
        <f>S348-AI348</f>
        <v>0</v>
      </c>
    </row>
    <row r="349" spans="1:36" s="1390" customFormat="1" ht="34" customHeight="1" x14ac:dyDescent="0.15">
      <c r="A349" s="1390">
        <v>183</v>
      </c>
      <c r="B349" s="1472" t="str">
        <f t="shared" si="125"/>
        <v>SUKARAJA - GIRI SAKO</v>
      </c>
      <c r="C349" s="1516" t="s">
        <v>4247</v>
      </c>
      <c r="D349" s="1426"/>
      <c r="E349" s="1429" t="s">
        <v>1354</v>
      </c>
      <c r="F349" s="1539">
        <v>2127760813</v>
      </c>
      <c r="G349" s="1517" t="s">
        <v>2494</v>
      </c>
      <c r="H349" s="1518"/>
      <c r="I349" s="1518"/>
      <c r="J349" s="1519">
        <v>0</v>
      </c>
      <c r="K349" s="1517"/>
      <c r="L349" s="1519">
        <v>0</v>
      </c>
      <c r="M349" s="1518" t="s">
        <v>3103</v>
      </c>
      <c r="N349" s="1517">
        <v>2015</v>
      </c>
      <c r="O349" s="1518"/>
      <c r="P349" s="1518"/>
      <c r="Q349" s="1518"/>
      <c r="R349" s="1517" t="s">
        <v>12</v>
      </c>
      <c r="S349" s="1520"/>
      <c r="T349" s="1518"/>
      <c r="U349" s="1572"/>
      <c r="V349" s="1521"/>
      <c r="W349" s="1522" t="str">
        <f t="shared" si="126"/>
        <v>04.13.01</v>
      </c>
      <c r="X349" s="1478" t="str">
        <f t="shared" si="127"/>
        <v>Jalan</v>
      </c>
      <c r="Y349" s="1478">
        <f t="shared" si="128"/>
        <v>10</v>
      </c>
      <c r="Z349" s="1401"/>
      <c r="AA349" s="1444"/>
      <c r="AB349" s="1401"/>
      <c r="AC349" s="1401"/>
      <c r="AD349" s="1401"/>
      <c r="AE349" s="1401"/>
      <c r="AF349" s="1401"/>
      <c r="AG349" s="1479"/>
      <c r="AH349" s="1479"/>
      <c r="AI349" s="1479"/>
      <c r="AJ349" s="1401">
        <f>S349-AI349</f>
        <v>0</v>
      </c>
    </row>
    <row r="350" spans="1:36" s="1390" customFormat="1" ht="34" customHeight="1" x14ac:dyDescent="0.15">
      <c r="A350" s="1390">
        <v>183</v>
      </c>
      <c r="B350" s="1472" t="str">
        <f t="shared" si="125"/>
        <v>SUKARAJA - GIRI SAKO</v>
      </c>
      <c r="C350" s="1516" t="s">
        <v>4247</v>
      </c>
      <c r="D350" s="1426"/>
      <c r="E350" s="1429" t="s">
        <v>1408</v>
      </c>
      <c r="F350" s="1539">
        <v>2122831297</v>
      </c>
      <c r="G350" s="1517" t="s">
        <v>2494</v>
      </c>
      <c r="H350" s="1518"/>
      <c r="I350" s="1518"/>
      <c r="J350" s="1519">
        <v>0</v>
      </c>
      <c r="K350" s="1517"/>
      <c r="L350" s="1519">
        <v>0</v>
      </c>
      <c r="M350" s="1518" t="s">
        <v>3103</v>
      </c>
      <c r="N350" s="1517">
        <v>2015</v>
      </c>
      <c r="O350" s="1518"/>
      <c r="P350" s="1518"/>
      <c r="Q350" s="1518"/>
      <c r="R350" s="1517" t="s">
        <v>12</v>
      </c>
      <c r="S350" s="1520"/>
      <c r="T350" s="1518"/>
      <c r="U350" s="1572"/>
      <c r="V350" s="1521"/>
      <c r="W350" s="1522" t="str">
        <f t="shared" si="126"/>
        <v>04.13.01</v>
      </c>
      <c r="X350" s="1478" t="str">
        <f t="shared" si="127"/>
        <v>Jalan</v>
      </c>
      <c r="Y350" s="1478">
        <f t="shared" si="128"/>
        <v>10</v>
      </c>
      <c r="Z350" s="1401"/>
      <c r="AA350" s="1444"/>
      <c r="AB350" s="1401"/>
      <c r="AC350" s="1401"/>
      <c r="AD350" s="1401"/>
      <c r="AE350" s="1401"/>
      <c r="AF350" s="1401"/>
      <c r="AG350" s="1479"/>
      <c r="AH350" s="1479"/>
      <c r="AI350" s="1479"/>
      <c r="AJ350" s="1401"/>
    </row>
    <row r="351" spans="1:36" s="1390" customFormat="1" ht="34" customHeight="1" x14ac:dyDescent="0.2">
      <c r="A351" s="1390">
        <v>183</v>
      </c>
      <c r="B351" s="1472" t="str">
        <f t="shared" si="125"/>
        <v>SUKARAJA - GIRI SAKO</v>
      </c>
      <c r="C351" s="1478" t="e">
        <f>RIGHT(#REF!,1)</f>
        <v>#REF!</v>
      </c>
      <c r="D351" s="1426"/>
      <c r="E351" s="1539" t="s">
        <v>2499</v>
      </c>
      <c r="F351" s="1529">
        <v>190288000</v>
      </c>
      <c r="G351" s="1501" t="s">
        <v>2494</v>
      </c>
      <c r="H351" s="1501"/>
      <c r="I351" s="1414"/>
      <c r="J351" s="1526"/>
      <c r="K351" s="1416"/>
      <c r="L351" s="1430"/>
      <c r="M351" s="1429" t="s">
        <v>2561</v>
      </c>
      <c r="N351" s="1501">
        <v>2017</v>
      </c>
      <c r="O351" s="1414"/>
      <c r="P351" s="1414"/>
      <c r="Q351" s="1414"/>
      <c r="R351" s="1501" t="s">
        <v>12</v>
      </c>
      <c r="S351" s="1527"/>
      <c r="T351" s="1528"/>
      <c r="U351" s="1575"/>
      <c r="V351" s="1490"/>
      <c r="W351" s="1478" t="str">
        <f t="shared" si="126"/>
        <v>04.13.01</v>
      </c>
      <c r="X351" s="1478" t="str">
        <f t="shared" si="127"/>
        <v>Jalan</v>
      </c>
      <c r="Y351" s="1478">
        <f t="shared" si="128"/>
        <v>10</v>
      </c>
      <c r="Z351" s="1401"/>
      <c r="AA351" s="1444"/>
      <c r="AB351" s="1401"/>
      <c r="AC351" s="1401"/>
      <c r="AD351" s="1401"/>
      <c r="AE351" s="1401"/>
      <c r="AF351" s="1401"/>
      <c r="AG351" s="1479"/>
      <c r="AH351" s="1479"/>
      <c r="AI351" s="1479"/>
      <c r="AJ351" s="1401">
        <f>S351-AI351</f>
        <v>0</v>
      </c>
    </row>
    <row r="352" spans="1:36" s="1390" customFormat="1" ht="34" customHeight="1" x14ac:dyDescent="0.2">
      <c r="A352" s="1390">
        <v>183</v>
      </c>
      <c r="B352" s="1472" t="str">
        <f t="shared" si="125"/>
        <v>SUKARAJA - GIRI SAKO</v>
      </c>
      <c r="C352" s="1478" t="e">
        <f>RIGHT(#REF!,1)</f>
        <v>#REF!</v>
      </c>
      <c r="D352" s="1426"/>
      <c r="E352" s="1539" t="s">
        <v>3048</v>
      </c>
      <c r="F352" s="1529">
        <v>189361000</v>
      </c>
      <c r="G352" s="1501" t="s">
        <v>2494</v>
      </c>
      <c r="H352" s="1501"/>
      <c r="I352" s="1414"/>
      <c r="J352" s="1526"/>
      <c r="K352" s="1416"/>
      <c r="L352" s="1430"/>
      <c r="M352" s="1429" t="s">
        <v>2561</v>
      </c>
      <c r="N352" s="1501">
        <v>2017</v>
      </c>
      <c r="O352" s="1414"/>
      <c r="P352" s="1414"/>
      <c r="Q352" s="1414"/>
      <c r="R352" s="1501" t="s">
        <v>12</v>
      </c>
      <c r="S352" s="1527"/>
      <c r="T352" s="1528"/>
      <c r="U352" s="1575"/>
      <c r="V352" s="1490"/>
      <c r="W352" s="1478" t="str">
        <f t="shared" si="126"/>
        <v>04.13.01</v>
      </c>
      <c r="X352" s="1478" t="str">
        <f t="shared" si="127"/>
        <v>Jalan</v>
      </c>
      <c r="Y352" s="1478">
        <f t="shared" si="128"/>
        <v>10</v>
      </c>
      <c r="Z352" s="1401"/>
      <c r="AA352" s="1444"/>
      <c r="AB352" s="1401"/>
      <c r="AC352" s="1401"/>
      <c r="AD352" s="1401"/>
      <c r="AE352" s="1401"/>
      <c r="AF352" s="1401"/>
      <c r="AG352" s="1479"/>
      <c r="AH352" s="1479"/>
      <c r="AI352" s="1479"/>
      <c r="AJ352" s="1401">
        <f>S352-AI352</f>
        <v>0</v>
      </c>
    </row>
    <row r="353" spans="1:36" s="1390" customFormat="1" ht="34" customHeight="1" x14ac:dyDescent="0.2">
      <c r="A353" s="1390">
        <v>183</v>
      </c>
      <c r="B353" s="1472" t="str">
        <f t="shared" si="125"/>
        <v>SUKARAJA - GIRI SAKO</v>
      </c>
      <c r="C353" s="1478"/>
      <c r="D353" s="1426"/>
      <c r="E353" s="1539" t="s">
        <v>5499</v>
      </c>
      <c r="F353" s="1529">
        <v>2197414065.0999999</v>
      </c>
      <c r="G353" s="1501" t="s">
        <v>2494</v>
      </c>
      <c r="H353" s="1501"/>
      <c r="I353" s="1414"/>
      <c r="J353" s="1526">
        <v>1000</v>
      </c>
      <c r="K353" s="1416">
        <v>4</v>
      </c>
      <c r="L353" s="1430">
        <f>J353*K353</f>
        <v>4000</v>
      </c>
      <c r="M353" s="1429" t="s">
        <v>3708</v>
      </c>
      <c r="N353" s="1501">
        <v>2019</v>
      </c>
      <c r="O353" s="1414" t="s">
        <v>5500</v>
      </c>
      <c r="P353" s="1414" t="s">
        <v>433</v>
      </c>
      <c r="Q353" s="1414"/>
      <c r="R353" s="1501" t="s">
        <v>12</v>
      </c>
      <c r="S353" s="1527"/>
      <c r="T353" s="1528"/>
      <c r="U353" s="1575"/>
      <c r="V353" s="1490"/>
      <c r="W353" s="1478"/>
      <c r="X353" s="1478"/>
      <c r="Y353" s="1478"/>
      <c r="Z353" s="1401"/>
      <c r="AA353" s="1444"/>
      <c r="AB353" s="1401"/>
      <c r="AC353" s="1401"/>
      <c r="AD353" s="1401"/>
      <c r="AE353" s="1401"/>
      <c r="AF353" s="1401"/>
      <c r="AG353" s="1479"/>
      <c r="AH353" s="1479"/>
      <c r="AI353" s="1479"/>
      <c r="AJ353" s="1401"/>
    </row>
    <row r="354" spans="1:36" s="1390" customFormat="1" ht="34" customHeight="1" x14ac:dyDescent="0.2">
      <c r="A354" s="1390">
        <v>184</v>
      </c>
      <c r="B354" s="1472" t="str">
        <f t="shared" si="125"/>
        <v>LOGAS TANAH DARAT - HULU TESO</v>
      </c>
      <c r="C354" s="1478" t="e">
        <f>RIGHT(#REF!,1)</f>
        <v>#REF!</v>
      </c>
      <c r="D354" s="1426">
        <v>132</v>
      </c>
      <c r="E354" s="1429" t="s">
        <v>529</v>
      </c>
      <c r="F354" s="1539"/>
      <c r="G354" s="1517" t="s">
        <v>2494</v>
      </c>
      <c r="H354" s="1518"/>
      <c r="I354" s="1518" t="s">
        <v>525</v>
      </c>
      <c r="J354" s="1533">
        <v>17300</v>
      </c>
      <c r="K354" s="1517">
        <v>8</v>
      </c>
      <c r="L354" s="1519">
        <v>138400</v>
      </c>
      <c r="M354" s="1518" t="s">
        <v>672</v>
      </c>
      <c r="N354" s="1517">
        <v>2001</v>
      </c>
      <c r="O354" s="1518"/>
      <c r="P354" s="1518"/>
      <c r="Q354" s="1518" t="s">
        <v>384</v>
      </c>
      <c r="R354" s="1517" t="s">
        <v>12</v>
      </c>
      <c r="S354" s="1520">
        <v>6552000000</v>
      </c>
      <c r="T354" s="1517" t="s">
        <v>43</v>
      </c>
      <c r="U354" s="1572"/>
      <c r="V354" s="1521"/>
      <c r="W354" s="1478" t="str">
        <f>LEFT(G354,8)</f>
        <v>04.13.01</v>
      </c>
      <c r="X354" s="1478" t="str">
        <f>VLOOKUP(W354,UE,3,FALSE)</f>
        <v>Jalan</v>
      </c>
      <c r="Y354" s="1478">
        <f>VLOOKUP(W354,UE,4,FALSE)</f>
        <v>10</v>
      </c>
      <c r="Z354" s="1401">
        <f>S354/Y354</f>
        <v>655200000</v>
      </c>
      <c r="AA354" s="1444">
        <f>IF(2013-N354+1&gt;Y354,Y354,IF(2013-N354+1&lt;0,0,2013-N354+1))</f>
        <v>10</v>
      </c>
      <c r="AB354" s="1401">
        <f>IF(AA354&gt;Y354,S354,Z354*AA354)</f>
        <v>6552000000</v>
      </c>
      <c r="AC354" s="1401">
        <f>IF(S354=AB354,0,Z354)</f>
        <v>0</v>
      </c>
      <c r="AD354" s="1401">
        <f>IF(S354=AB354+AC354,0,Z354)</f>
        <v>0</v>
      </c>
      <c r="AE354" s="1401">
        <f>IF(S354=AB354+AC354+AD354,0,Z354)</f>
        <v>0</v>
      </c>
      <c r="AF354" s="1401">
        <f>IF(S354=AC354+AD354+AE354+AB354,0,Z354)</f>
        <v>0</v>
      </c>
      <c r="AG354" s="1479">
        <f>IF(S354=AC354+AD354+AE354+AB354+AF354,0,Z354)</f>
        <v>0</v>
      </c>
      <c r="AH354" s="1479">
        <f>IF(S354=AC354+AD354+AE354+AB354+AF354+AG354,0,Z354)</f>
        <v>0</v>
      </c>
      <c r="AI354" s="1479">
        <f>SUM(AB354:AH354)</f>
        <v>6552000000</v>
      </c>
      <c r="AJ354" s="1401">
        <f>S354-AI354</f>
        <v>0</v>
      </c>
    </row>
    <row r="355" spans="1:36" s="1390" customFormat="1" ht="34" customHeight="1" x14ac:dyDescent="0.15">
      <c r="A355" s="1390">
        <v>186</v>
      </c>
      <c r="B355" s="1472" t="str">
        <f t="shared" si="125"/>
        <v>SAKO MARGA SARI - KUANTAN SAKO</v>
      </c>
      <c r="C355" s="1516" t="s">
        <v>4247</v>
      </c>
      <c r="D355" s="1426">
        <v>133</v>
      </c>
      <c r="E355" s="1429" t="s">
        <v>5855</v>
      </c>
      <c r="F355" s="1539"/>
      <c r="G355" s="1517" t="s">
        <v>2494</v>
      </c>
      <c r="H355" s="1518"/>
      <c r="I355" s="1518" t="s">
        <v>484</v>
      </c>
      <c r="J355" s="1533" t="s">
        <v>673</v>
      </c>
      <c r="K355" s="1517">
        <v>8</v>
      </c>
      <c r="L355" s="1519">
        <v>40800</v>
      </c>
      <c r="M355" s="1518" t="s">
        <v>676</v>
      </c>
      <c r="N355" s="1517">
        <v>2001</v>
      </c>
      <c r="O355" s="1518"/>
      <c r="P355" s="1518"/>
      <c r="Q355" s="1518" t="s">
        <v>482</v>
      </c>
      <c r="R355" s="1517" t="s">
        <v>12</v>
      </c>
      <c r="S355" s="1520">
        <f>2937600000+F356+F357+F358+F359</f>
        <v>6624318247.6165371</v>
      </c>
      <c r="T355" s="1517" t="s">
        <v>43</v>
      </c>
      <c r="U355" s="1572"/>
      <c r="V355" s="1521"/>
      <c r="W355" s="1522" t="str">
        <f t="shared" ref="W355:W362" si="129">LEFT(G355,8)</f>
        <v>04.13.01</v>
      </c>
      <c r="X355" s="1478" t="str">
        <f t="shared" ref="X355:X362" si="130">VLOOKUP(W355,UE,3,FALSE)</f>
        <v>Jalan</v>
      </c>
      <c r="Y355" s="1478">
        <f t="shared" ref="Y355:Y362" si="131">VLOOKUP(W355,UE,4,FALSE)</f>
        <v>10</v>
      </c>
      <c r="Z355" s="1401"/>
      <c r="AA355" s="1444">
        <f>IF(2013-N355&gt;Y355,10,IF(2013-N355&lt;0,0,2013-N355))</f>
        <v>10</v>
      </c>
      <c r="AB355" s="1401">
        <f>SUM(PERHITUNGAN!U1167:U1171)</f>
        <v>4264953361.6165366</v>
      </c>
      <c r="AC355" s="1479">
        <f>SUMIF(PERHITUNGAN!A:A,'KIB D'!B355&amp;'KIB D'!$AC$7,PERHITUNGAN!U:U)</f>
        <v>216535049.00000006</v>
      </c>
      <c r="AD355" s="1479">
        <f>SUMIF(PERHITUNGAN!A:A,'KIB D'!B355&amp;'KIB D'!$AD$7,PERHITUNGAN!U:U)</f>
        <v>214282983.70000005</v>
      </c>
      <c r="AE355" s="1479">
        <f>SUMIF(PERHITUNGAN!A:A,'KIB D'!B355&amp;'KIB D'!$AE$7,PERHITUNGAN!U:U)</f>
        <v>214282983.70000005</v>
      </c>
      <c r="AF355" s="1479">
        <f>SUMIF(PERHITUNGAN!A:A,'KIB D'!B355&amp;'KIB D'!$AF$7,PERHITUNGAN!U:U)</f>
        <v>214282983.70000005</v>
      </c>
      <c r="AG355" s="1479">
        <f>SUMIF(PERHITUNGAN!A:A,'KIB D'!B355&amp;'KIB D'!$AG$7,PERHITUNGAN!U:U)</f>
        <v>214282983.70000005</v>
      </c>
      <c r="AH355" s="1479">
        <f>SUMIF(PERHITUNGAN!A:A,'KIB D'!B355&amp;'KIB D'!$AH$7,PERHITUNGAN!U:U)</f>
        <v>214282983.70000005</v>
      </c>
      <c r="AI355" s="1479">
        <f>SUM(AB355:AH355)</f>
        <v>5552903329.1165361</v>
      </c>
      <c r="AJ355" s="1401">
        <f>S355-AI355</f>
        <v>1071414918.500001</v>
      </c>
    </row>
    <row r="356" spans="1:36" s="1390" customFormat="1" ht="67" customHeight="1" x14ac:dyDescent="0.2">
      <c r="A356" s="1390">
        <v>186</v>
      </c>
      <c r="B356" s="1472" t="str">
        <f t="shared" si="125"/>
        <v>SAKO MARGA SARI - KUANTAN SAKO</v>
      </c>
      <c r="C356" s="1478" t="e">
        <f>RIGHT(#REF!,1)</f>
        <v>#REF!</v>
      </c>
      <c r="D356" s="1426"/>
      <c r="E356" s="1429" t="s">
        <v>1193</v>
      </c>
      <c r="F356" s="1539">
        <v>1327353361.6165369</v>
      </c>
      <c r="G356" s="1416" t="s">
        <v>2494</v>
      </c>
      <c r="H356" s="1508"/>
      <c r="I356" s="1416"/>
      <c r="J356" s="1500"/>
      <c r="K356" s="1416"/>
      <c r="L356" s="1500"/>
      <c r="M356" s="1429" t="s">
        <v>3116</v>
      </c>
      <c r="N356" s="1416">
        <v>2007</v>
      </c>
      <c r="O356" s="1414"/>
      <c r="P356" s="1414"/>
      <c r="Q356" s="1414"/>
      <c r="R356" s="1416" t="s">
        <v>12</v>
      </c>
      <c r="S356" s="1529"/>
      <c r="T356" s="1416" t="s">
        <v>43</v>
      </c>
      <c r="U356" s="1427"/>
      <c r="V356" s="1477"/>
      <c r="W356" s="1478" t="str">
        <f t="shared" si="129"/>
        <v>04.13.01</v>
      </c>
      <c r="X356" s="1478" t="str">
        <f t="shared" si="130"/>
        <v>Jalan</v>
      </c>
      <c r="Y356" s="1478">
        <f t="shared" si="131"/>
        <v>10</v>
      </c>
      <c r="Z356" s="1401"/>
      <c r="AA356" s="1444"/>
      <c r="AB356" s="1401"/>
      <c r="AC356" s="1401"/>
      <c r="AD356" s="1401"/>
      <c r="AE356" s="1401"/>
      <c r="AF356" s="1401"/>
      <c r="AG356" s="1479"/>
      <c r="AH356" s="1479"/>
      <c r="AI356" s="1479"/>
      <c r="AJ356" s="1401"/>
    </row>
    <row r="357" spans="1:36" s="1390" customFormat="1" ht="34" customHeight="1" x14ac:dyDescent="0.15">
      <c r="A357" s="1390">
        <v>186</v>
      </c>
      <c r="B357" s="1472" t="str">
        <f t="shared" si="125"/>
        <v>SAKO MARGA SARI - KUANTAN SAKO</v>
      </c>
      <c r="C357" s="1516" t="s">
        <v>4247</v>
      </c>
      <c r="D357" s="1426"/>
      <c r="E357" s="1429" t="s">
        <v>1297</v>
      </c>
      <c r="F357" s="1539">
        <v>272429048</v>
      </c>
      <c r="G357" s="1517" t="s">
        <v>2494</v>
      </c>
      <c r="H357" s="1518"/>
      <c r="I357" s="1518"/>
      <c r="J357" s="1519">
        <v>0</v>
      </c>
      <c r="K357" s="1517"/>
      <c r="L357" s="1519">
        <v>0</v>
      </c>
      <c r="M357" s="1518" t="s">
        <v>3180</v>
      </c>
      <c r="N357" s="1517">
        <v>2014</v>
      </c>
      <c r="O357" s="1518"/>
      <c r="P357" s="1518"/>
      <c r="Q357" s="1518"/>
      <c r="R357" s="1517" t="s">
        <v>12</v>
      </c>
      <c r="S357" s="1520"/>
      <c r="T357" s="1518"/>
      <c r="U357" s="1572"/>
      <c r="V357" s="1521"/>
      <c r="W357" s="1522" t="str">
        <f t="shared" si="129"/>
        <v>04.13.01</v>
      </c>
      <c r="X357" s="1478" t="str">
        <f t="shared" si="130"/>
        <v>Jalan</v>
      </c>
      <c r="Y357" s="1478">
        <f t="shared" si="131"/>
        <v>10</v>
      </c>
      <c r="Z357" s="1401"/>
      <c r="AA357" s="1444"/>
      <c r="AB357" s="1401"/>
      <c r="AC357" s="1401"/>
      <c r="AD357" s="1401"/>
      <c r="AE357" s="1401"/>
      <c r="AF357" s="1401"/>
      <c r="AG357" s="1479"/>
      <c r="AH357" s="1479"/>
      <c r="AI357" s="1479"/>
      <c r="AJ357" s="1401">
        <f>S357-AI357</f>
        <v>0</v>
      </c>
    </row>
    <row r="358" spans="1:36" s="1390" customFormat="1" ht="34" customHeight="1" x14ac:dyDescent="0.15">
      <c r="A358" s="1390">
        <v>186</v>
      </c>
      <c r="B358" s="1472" t="str">
        <f t="shared" si="125"/>
        <v>SAKO MARGA SARI - KUANTAN SAKO</v>
      </c>
      <c r="C358" s="1516" t="s">
        <v>4247</v>
      </c>
      <c r="D358" s="1426"/>
      <c r="E358" s="1429" t="s">
        <v>1347</v>
      </c>
      <c r="F358" s="1539">
        <v>1892921442</v>
      </c>
      <c r="G358" s="1517" t="s">
        <v>2494</v>
      </c>
      <c r="H358" s="1518"/>
      <c r="I358" s="1518"/>
      <c r="J358" s="1519">
        <v>0</v>
      </c>
      <c r="K358" s="1517"/>
      <c r="L358" s="1519">
        <v>0</v>
      </c>
      <c r="M358" s="1518" t="s">
        <v>3213</v>
      </c>
      <c r="N358" s="1517">
        <v>2014</v>
      </c>
      <c r="O358" s="1518"/>
      <c r="P358" s="1518"/>
      <c r="Q358" s="1518"/>
      <c r="R358" s="1517" t="s">
        <v>12</v>
      </c>
      <c r="S358" s="1520"/>
      <c r="T358" s="1518"/>
      <c r="U358" s="1572"/>
      <c r="V358" s="1521"/>
      <c r="W358" s="1522" t="str">
        <f t="shared" si="129"/>
        <v>04.13.01</v>
      </c>
      <c r="X358" s="1478" t="str">
        <f t="shared" si="130"/>
        <v>Jalan</v>
      </c>
      <c r="Y358" s="1478">
        <f t="shared" si="131"/>
        <v>10</v>
      </c>
      <c r="Z358" s="1401"/>
      <c r="AA358" s="1444"/>
      <c r="AB358" s="1401"/>
      <c r="AC358" s="1401"/>
      <c r="AD358" s="1401"/>
      <c r="AE358" s="1401"/>
      <c r="AF358" s="1401"/>
      <c r="AG358" s="1479"/>
      <c r="AH358" s="1479"/>
      <c r="AI358" s="1479"/>
      <c r="AJ358" s="1401">
        <f>S358-AI358</f>
        <v>0</v>
      </c>
    </row>
    <row r="359" spans="1:36" s="1390" customFormat="1" ht="34" customHeight="1" x14ac:dyDescent="0.15">
      <c r="A359" s="1390">
        <v>186</v>
      </c>
      <c r="B359" s="1472" t="str">
        <f t="shared" si="125"/>
        <v>SAKO MARGA SARI - KUANTAN SAKO</v>
      </c>
      <c r="C359" s="1516" t="s">
        <v>4247</v>
      </c>
      <c r="D359" s="1426"/>
      <c r="E359" s="1429" t="s">
        <v>1421</v>
      </c>
      <c r="F359" s="1539">
        <v>194014396</v>
      </c>
      <c r="G359" s="1517" t="s">
        <v>2494</v>
      </c>
      <c r="H359" s="1518"/>
      <c r="I359" s="1518"/>
      <c r="J359" s="1519">
        <v>0</v>
      </c>
      <c r="K359" s="1517"/>
      <c r="L359" s="1519">
        <v>0</v>
      </c>
      <c r="M359" s="1518" t="s">
        <v>676</v>
      </c>
      <c r="N359" s="1517">
        <v>2015</v>
      </c>
      <c r="O359" s="1518"/>
      <c r="P359" s="1518"/>
      <c r="Q359" s="1518"/>
      <c r="R359" s="1517" t="s">
        <v>12</v>
      </c>
      <c r="S359" s="1520"/>
      <c r="T359" s="1518"/>
      <c r="U359" s="1572"/>
      <c r="V359" s="1521"/>
      <c r="W359" s="1522" t="str">
        <f t="shared" si="129"/>
        <v>04.13.01</v>
      </c>
      <c r="X359" s="1478" t="str">
        <f t="shared" si="130"/>
        <v>Jalan</v>
      </c>
      <c r="Y359" s="1478">
        <f t="shared" si="131"/>
        <v>10</v>
      </c>
      <c r="Z359" s="1401"/>
      <c r="AA359" s="1444"/>
      <c r="AB359" s="1401"/>
      <c r="AC359" s="1401"/>
      <c r="AD359" s="1401"/>
      <c r="AE359" s="1401"/>
      <c r="AF359" s="1401"/>
      <c r="AG359" s="1479"/>
      <c r="AH359" s="1479"/>
      <c r="AI359" s="1479"/>
      <c r="AJ359" s="1401"/>
    </row>
    <row r="360" spans="1:36" s="1390" customFormat="1" ht="34" customHeight="1" x14ac:dyDescent="0.2">
      <c r="A360" s="1390">
        <v>189</v>
      </c>
      <c r="B360" s="1472" t="str">
        <f t="shared" si="125"/>
        <v>PKL. INDARUNG - SUMPU</v>
      </c>
      <c r="C360" s="1478" t="e">
        <f>RIGHT(#REF!,1)</f>
        <v>#REF!</v>
      </c>
      <c r="D360" s="1426">
        <v>134</v>
      </c>
      <c r="E360" s="1429" t="s">
        <v>529</v>
      </c>
      <c r="F360" s="1539"/>
      <c r="G360" s="1517" t="s">
        <v>2494</v>
      </c>
      <c r="H360" s="1518"/>
      <c r="I360" s="1518" t="s">
        <v>484</v>
      </c>
      <c r="J360" s="1533" t="s">
        <v>651</v>
      </c>
      <c r="K360" s="1517"/>
      <c r="L360" s="1519"/>
      <c r="M360" s="1518" t="s">
        <v>652</v>
      </c>
      <c r="N360" s="1517">
        <v>2001</v>
      </c>
      <c r="O360" s="1518"/>
      <c r="P360" s="1518"/>
      <c r="Q360" s="1518" t="s">
        <v>482</v>
      </c>
      <c r="R360" s="1517" t="s">
        <v>12</v>
      </c>
      <c r="S360" s="1520">
        <v>17280000000</v>
      </c>
      <c r="T360" s="1517" t="s">
        <v>135</v>
      </c>
      <c r="U360" s="1572"/>
      <c r="V360" s="1521"/>
      <c r="W360" s="1478" t="str">
        <f t="shared" si="129"/>
        <v>04.13.01</v>
      </c>
      <c r="X360" s="1478" t="str">
        <f t="shared" si="130"/>
        <v>Jalan</v>
      </c>
      <c r="Y360" s="1478">
        <f t="shared" si="131"/>
        <v>10</v>
      </c>
      <c r="Z360" s="1401">
        <f>S360/Y360</f>
        <v>1728000000</v>
      </c>
      <c r="AA360" s="1444">
        <f>IF(2013-N360+1&gt;Y360,Y360,IF(2013-N360+1&lt;0,0,2013-N360+1))</f>
        <v>10</v>
      </c>
      <c r="AB360" s="1401">
        <f>IF(AA360&gt;Y360,S360,Z360*AA360)</f>
        <v>17280000000</v>
      </c>
      <c r="AC360" s="1401">
        <f>IF(S360=AB360,0,Z360)</f>
        <v>0</v>
      </c>
      <c r="AD360" s="1401">
        <f>IF(S360=AB360+AC360,0,Z360)</f>
        <v>0</v>
      </c>
      <c r="AE360" s="1401">
        <f>IF(S360=AB360+AC360+AD360,0,Z360)</f>
        <v>0</v>
      </c>
      <c r="AF360" s="1401">
        <f>IF(S360=AC360+AD360+AE360+AB360,0,Z360)</f>
        <v>0</v>
      </c>
      <c r="AG360" s="1479">
        <f>IF(S360=AC360+AD360+AE360+AB360+AF360,0,Z360)</f>
        <v>0</v>
      </c>
      <c r="AH360" s="1479">
        <f>IF(S360=AC360+AD360+AE360+AB360+AF360+AG360,0,Z360)</f>
        <v>0</v>
      </c>
      <c r="AI360" s="1479">
        <f>SUM(AB360:AH360)</f>
        <v>17280000000</v>
      </c>
      <c r="AJ360" s="1401">
        <f>S360-AI360</f>
        <v>0</v>
      </c>
    </row>
    <row r="361" spans="1:36" s="1390" customFormat="1" ht="34" customHeight="1" x14ac:dyDescent="0.2">
      <c r="A361" s="1390">
        <v>189</v>
      </c>
      <c r="B361" s="1472" t="str">
        <f t="shared" si="125"/>
        <v>PKL. INDARUNG - SUMPU</v>
      </c>
      <c r="C361" s="1478" t="e">
        <f>RIGHT(#REF!,1)</f>
        <v>#REF!</v>
      </c>
      <c r="D361" s="1426">
        <v>135</v>
      </c>
      <c r="E361" s="1429" t="s">
        <v>529</v>
      </c>
      <c r="F361" s="1539"/>
      <c r="G361" s="1517" t="s">
        <v>2494</v>
      </c>
      <c r="H361" s="1518"/>
      <c r="I361" s="1518" t="s">
        <v>484</v>
      </c>
      <c r="J361" s="1533">
        <v>25000</v>
      </c>
      <c r="K361" s="1517">
        <v>8</v>
      </c>
      <c r="L361" s="1519">
        <v>200000</v>
      </c>
      <c r="M361" s="1518" t="s">
        <v>645</v>
      </c>
      <c r="N361" s="1517">
        <v>2001</v>
      </c>
      <c r="O361" s="1518"/>
      <c r="P361" s="1518"/>
      <c r="Q361" s="1518" t="s">
        <v>482</v>
      </c>
      <c r="R361" s="1517" t="s">
        <v>12</v>
      </c>
      <c r="S361" s="1520">
        <v>14400000000</v>
      </c>
      <c r="T361" s="1517" t="s">
        <v>43</v>
      </c>
      <c r="U361" s="1572"/>
      <c r="V361" s="1521"/>
      <c r="W361" s="1478" t="str">
        <f t="shared" si="129"/>
        <v>04.13.01</v>
      </c>
      <c r="X361" s="1478" t="str">
        <f t="shared" si="130"/>
        <v>Jalan</v>
      </c>
      <c r="Y361" s="1478">
        <f t="shared" si="131"/>
        <v>10</v>
      </c>
      <c r="Z361" s="1401">
        <f>S361/Y361</f>
        <v>1440000000</v>
      </c>
      <c r="AA361" s="1444">
        <f>IF(2013-N361+1&gt;Y361,Y361,IF(2013-N361+1&lt;0,0,2013-N361+1))</f>
        <v>10</v>
      </c>
      <c r="AB361" s="1401">
        <f>IF(AA361&gt;Y361,S361,Z361*AA361)</f>
        <v>14400000000</v>
      </c>
      <c r="AC361" s="1401">
        <f>IF(S361=AB361,0,Z361)</f>
        <v>0</v>
      </c>
      <c r="AD361" s="1401">
        <f>IF(S361=AB361+AC361,0,Z361)</f>
        <v>0</v>
      </c>
      <c r="AE361" s="1401">
        <f>IF(S361=AB361+AC361+AD361,0,Z361)</f>
        <v>0</v>
      </c>
      <c r="AF361" s="1401">
        <f>IF(S361=AC361+AD361+AE361+AB361,0,Z361)</f>
        <v>0</v>
      </c>
      <c r="AG361" s="1479">
        <f>IF(S361=AC361+AD361+AE361+AB361+AF361,0,Z361)</f>
        <v>0</v>
      </c>
      <c r="AH361" s="1479">
        <f>IF(S361=AC361+AD361+AE361+AB361+AF361+AG361,0,Z361)</f>
        <v>0</v>
      </c>
      <c r="AI361" s="1479">
        <f>SUM(AB361:AH361)</f>
        <v>14400000000</v>
      </c>
      <c r="AJ361" s="1401">
        <f>S361-AI361</f>
        <v>0</v>
      </c>
    </row>
    <row r="362" spans="1:36" s="1390" customFormat="1" ht="34" customHeight="1" x14ac:dyDescent="0.2">
      <c r="A362" s="1390">
        <v>190</v>
      </c>
      <c r="B362" s="1472" t="str">
        <f t="shared" si="125"/>
        <v>SAMBUNG - KEBUN LADO</v>
      </c>
      <c r="C362" s="1478" t="s">
        <v>4763</v>
      </c>
      <c r="D362" s="1426">
        <v>136</v>
      </c>
      <c r="E362" s="1429" t="s">
        <v>3107</v>
      </c>
      <c r="F362" s="1539"/>
      <c r="G362" s="1517" t="s">
        <v>2494</v>
      </c>
      <c r="H362" s="1518"/>
      <c r="I362" s="1518"/>
      <c r="J362" s="1533">
        <v>0</v>
      </c>
      <c r="K362" s="1517"/>
      <c r="L362" s="1519">
        <v>0</v>
      </c>
      <c r="M362" s="1518" t="s">
        <v>3107</v>
      </c>
      <c r="N362" s="1517">
        <v>2007</v>
      </c>
      <c r="O362" s="1518"/>
      <c r="P362" s="1518"/>
      <c r="Q362" s="1518"/>
      <c r="R362" s="1517" t="s">
        <v>12</v>
      </c>
      <c r="S362" s="1520">
        <f>6847118208.58087+680558937.494922+F366+F367+F365+F364</f>
        <v>15772919134.575056</v>
      </c>
      <c r="T362" s="1517" t="s">
        <v>43</v>
      </c>
      <c r="U362" s="1572">
        <v>2</v>
      </c>
      <c r="V362" s="1521"/>
      <c r="W362" s="1478" t="str">
        <f t="shared" si="129"/>
        <v>04.13.01</v>
      </c>
      <c r="X362" s="1478" t="str">
        <f t="shared" si="130"/>
        <v>Jalan</v>
      </c>
      <c r="Y362" s="1478">
        <f t="shared" si="131"/>
        <v>10</v>
      </c>
      <c r="Z362" s="1401"/>
      <c r="AA362" s="1444">
        <f>IF(2013-N362&gt;Y362,10,IF(2013-N362&lt;0,0,2013-N362))</f>
        <v>6</v>
      </c>
      <c r="AB362" s="1401">
        <f>SUM(PERHITUNGAN!U1187:U1194)</f>
        <v>5240212082.0228214</v>
      </c>
      <c r="AC362" s="1479">
        <f>SUMIF(PERHITUNGAN!A:A,'KIB D'!B362&amp;'KIB D'!$AC$7,PERHITUNGAN!U:U)</f>
        <v>708052096.31443298</v>
      </c>
      <c r="AD362" s="1479">
        <f>SUMIF(PERHITUNGAN!A:A,'KIB D'!B362&amp;'KIB D'!$AD$7,PERHITUNGAN!U:U)</f>
        <v>708052096.31443298</v>
      </c>
      <c r="AE362" s="1479">
        <f>SUMIF(PERHITUNGAN!A:A,'KIB D'!B362&amp;'KIB D'!$AE$7,PERHITUNGAN!U:U)</f>
        <v>911660285.99233699</v>
      </c>
      <c r="AF362" s="1479">
        <f>SUMIF(PERHITUNGAN!A:A,'KIB D'!B362&amp;'KIB D'!$AF$7,PERHITUNGAN!U:U)</f>
        <v>911660285.99233699</v>
      </c>
      <c r="AG362" s="1479">
        <f>SUMIF(PERHITUNGAN!A:A,'KIB D'!B362&amp;'KIB D'!$AG$7,PERHITUNGAN!U:U)</f>
        <v>911660285.99233699</v>
      </c>
      <c r="AH362" s="1479">
        <f>SUMIF(PERHITUNGAN!A:A,'KIB D'!B362&amp;'KIB D'!$AH$7,PERHITUNGAN!U:U)</f>
        <v>911660285.99233699</v>
      </c>
      <c r="AI362" s="1479">
        <f>SUM(AB362:AH362)</f>
        <v>10302957418.621035</v>
      </c>
      <c r="AJ362" s="1401">
        <f>S362-AI362</f>
        <v>5469961715.9540215</v>
      </c>
    </row>
    <row r="363" spans="1:36" s="1390" customFormat="1" ht="34" customHeight="1" x14ac:dyDescent="0.2">
      <c r="A363" s="1390">
        <v>190</v>
      </c>
      <c r="B363" s="1472" t="str">
        <f t="shared" si="125"/>
        <v>SAMBUNG - KEBUN LADO</v>
      </c>
      <c r="C363" s="1478" t="s">
        <v>4763</v>
      </c>
      <c r="D363" s="1426"/>
      <c r="E363" s="1429" t="s">
        <v>1174</v>
      </c>
      <c r="F363" s="1539">
        <v>680558937.49492204</v>
      </c>
      <c r="G363" s="1501" t="s">
        <v>2494</v>
      </c>
      <c r="H363" s="1518"/>
      <c r="I363" s="1518" t="s">
        <v>835</v>
      </c>
      <c r="J363" s="1519">
        <v>4</v>
      </c>
      <c r="K363" s="1517">
        <v>3.5</v>
      </c>
      <c r="L363" s="1519">
        <v>14</v>
      </c>
      <c r="M363" s="1518" t="s">
        <v>3107</v>
      </c>
      <c r="N363" s="1517">
        <v>2007</v>
      </c>
      <c r="O363" s="1518"/>
      <c r="P363" s="1518"/>
      <c r="Q363" s="1518"/>
      <c r="R363" s="1517" t="s">
        <v>12</v>
      </c>
      <c r="S363" s="1520"/>
      <c r="T363" s="1517" t="s">
        <v>43</v>
      </c>
      <c r="U363" s="1572"/>
      <c r="V363" s="1521"/>
      <c r="W363" s="1478"/>
      <c r="X363" s="1478"/>
      <c r="Y363" s="1478"/>
      <c r="Z363" s="1401"/>
      <c r="AA363" s="1444"/>
      <c r="AB363" s="1401"/>
      <c r="AC363" s="1479"/>
      <c r="AD363" s="1479"/>
      <c r="AE363" s="1479"/>
      <c r="AF363" s="1479"/>
      <c r="AG363" s="1479"/>
      <c r="AH363" s="1479"/>
      <c r="AI363" s="1479"/>
      <c r="AJ363" s="1401"/>
    </row>
    <row r="364" spans="1:36" s="1390" customFormat="1" ht="34" customHeight="1" x14ac:dyDescent="0.2">
      <c r="A364" s="1390">
        <v>190</v>
      </c>
      <c r="B364" s="1472" t="str">
        <f t="shared" si="125"/>
        <v>SAMBUNG - KEBUN LADO</v>
      </c>
      <c r="C364" s="1478"/>
      <c r="D364" s="1426"/>
      <c r="E364" s="1573" t="s">
        <v>5158</v>
      </c>
      <c r="F364" s="1539">
        <v>1151822140.4144218</v>
      </c>
      <c r="G364" s="1416" t="s">
        <v>2494</v>
      </c>
      <c r="H364" s="1508"/>
      <c r="I364" s="1416"/>
      <c r="J364" s="1500"/>
      <c r="K364" s="1416"/>
      <c r="L364" s="1500"/>
      <c r="M364" s="1523" t="s">
        <v>3107</v>
      </c>
      <c r="N364" s="1416">
        <v>2008</v>
      </c>
      <c r="O364" s="1414"/>
      <c r="P364" s="1523" t="s">
        <v>5084</v>
      </c>
      <c r="Q364" s="1523"/>
      <c r="R364" s="1523" t="s">
        <v>12</v>
      </c>
      <c r="S364" s="1524"/>
      <c r="T364" s="1525" t="s">
        <v>43</v>
      </c>
      <c r="U364" s="1574"/>
      <c r="V364" s="1477"/>
      <c r="W364" s="1478"/>
      <c r="X364" s="1478"/>
      <c r="Y364" s="1478"/>
      <c r="Z364" s="1401"/>
      <c r="AA364" s="1444"/>
      <c r="AB364" s="1401"/>
      <c r="AC364" s="1401"/>
      <c r="AD364" s="1401"/>
      <c r="AE364" s="1401"/>
      <c r="AF364" s="1401"/>
      <c r="AG364" s="1479"/>
      <c r="AH364" s="1479"/>
      <c r="AI364" s="1479"/>
      <c r="AJ364" s="1401"/>
    </row>
    <row r="365" spans="1:36" s="1390" customFormat="1" ht="34" customHeight="1" x14ac:dyDescent="0.2">
      <c r="A365" s="1390">
        <v>190</v>
      </c>
      <c r="B365" s="1472" t="str">
        <f t="shared" si="125"/>
        <v>SAMBUNG - KEBUN LADO</v>
      </c>
      <c r="C365" s="1478"/>
      <c r="D365" s="1426"/>
      <c r="E365" s="1519" t="s">
        <v>5157</v>
      </c>
      <c r="F365" s="1539">
        <v>1088584044.5431361</v>
      </c>
      <c r="G365" s="1416" t="s">
        <v>2494</v>
      </c>
      <c r="H365" s="1508"/>
      <c r="I365" s="1523" t="s">
        <v>519</v>
      </c>
      <c r="J365" s="1523">
        <v>670</v>
      </c>
      <c r="K365" s="1525"/>
      <c r="L365" s="1523"/>
      <c r="M365" s="1538" t="s">
        <v>3107</v>
      </c>
      <c r="N365" s="1416">
        <v>2010</v>
      </c>
      <c r="O365" s="1414"/>
      <c r="P365" s="1414" t="s">
        <v>5084</v>
      </c>
      <c r="Q365" s="1414"/>
      <c r="R365" s="1523" t="s">
        <v>12</v>
      </c>
      <c r="S365" s="1529"/>
      <c r="T365" s="1416" t="s">
        <v>43</v>
      </c>
      <c r="U365" s="1427"/>
      <c r="V365" s="1477"/>
      <c r="W365" s="1478"/>
      <c r="X365" s="1478"/>
      <c r="Y365" s="1478"/>
      <c r="Z365" s="1401"/>
      <c r="AA365" s="1444"/>
      <c r="AB365" s="1401"/>
      <c r="AC365" s="1401"/>
      <c r="AD365" s="1401"/>
      <c r="AE365" s="1401"/>
      <c r="AF365" s="1401"/>
      <c r="AG365" s="1479"/>
      <c r="AH365" s="1479"/>
      <c r="AI365" s="1479"/>
      <c r="AJ365" s="1401"/>
    </row>
    <row r="366" spans="1:36" s="1390" customFormat="1" ht="34" customHeight="1" x14ac:dyDescent="0.2">
      <c r="A366" s="1390">
        <v>190</v>
      </c>
      <c r="B366" s="1472" t="str">
        <f t="shared" si="125"/>
        <v>SAMBUNG - KEBUN LADO</v>
      </c>
      <c r="C366" s="1478" t="s">
        <v>4763</v>
      </c>
      <c r="D366" s="1426"/>
      <c r="E366" s="1429" t="s">
        <v>1240</v>
      </c>
      <c r="F366" s="1539">
        <v>1136545521.504935</v>
      </c>
      <c r="G366" s="1517" t="s">
        <v>2494</v>
      </c>
      <c r="H366" s="1518"/>
      <c r="I366" s="1518" t="s">
        <v>519</v>
      </c>
      <c r="J366" s="1519">
        <v>0</v>
      </c>
      <c r="K366" s="1517"/>
      <c r="L366" s="1519">
        <v>0</v>
      </c>
      <c r="M366" s="1518" t="s">
        <v>3107</v>
      </c>
      <c r="N366" s="1517">
        <v>2012</v>
      </c>
      <c r="O366" s="1518"/>
      <c r="P366" s="1518"/>
      <c r="Q366" s="1518"/>
      <c r="R366" s="1517" t="s">
        <v>12</v>
      </c>
      <c r="S366" s="1520"/>
      <c r="T366" s="1517" t="s">
        <v>43</v>
      </c>
      <c r="U366" s="1572">
        <v>2</v>
      </c>
      <c r="V366" s="1521"/>
      <c r="W366" s="1478" t="str">
        <f t="shared" ref="W366:W382" si="132">LEFT(G366,8)</f>
        <v>04.13.01</v>
      </c>
      <c r="X366" s="1478" t="str">
        <f t="shared" ref="X366:X382" si="133">VLOOKUP(W366,UE,3,FALSE)</f>
        <v>Jalan</v>
      </c>
      <c r="Y366" s="1478">
        <f t="shared" ref="Y366:Y382" si="134">VLOOKUP(W366,UE,4,FALSE)</f>
        <v>10</v>
      </c>
      <c r="Z366" s="1401"/>
      <c r="AA366" s="1444"/>
      <c r="AB366" s="1401"/>
      <c r="AC366" s="1401"/>
      <c r="AD366" s="1401"/>
      <c r="AE366" s="1401"/>
      <c r="AF366" s="1401"/>
      <c r="AG366" s="1479"/>
      <c r="AH366" s="1479"/>
      <c r="AI366" s="1479"/>
      <c r="AJ366" s="1401">
        <f>S366-AI366</f>
        <v>0</v>
      </c>
    </row>
    <row r="367" spans="1:36" s="1390" customFormat="1" ht="34" customHeight="1" x14ac:dyDescent="0.2">
      <c r="A367" s="1390">
        <v>190</v>
      </c>
      <c r="B367" s="1472" t="str">
        <f t="shared" si="125"/>
        <v>SAMBUNG - KEBUN LADO</v>
      </c>
      <c r="C367" s="1478" t="s">
        <v>4763</v>
      </c>
      <c r="D367" s="1426"/>
      <c r="E367" s="1429" t="s">
        <v>1440</v>
      </c>
      <c r="F367" s="1539">
        <v>4868290282.0367718</v>
      </c>
      <c r="G367" s="1517" t="s">
        <v>2494</v>
      </c>
      <c r="H367" s="1518"/>
      <c r="I367" s="1518"/>
      <c r="J367" s="1519">
        <v>0</v>
      </c>
      <c r="K367" s="1517"/>
      <c r="L367" s="1519">
        <v>0</v>
      </c>
      <c r="M367" s="1518" t="s">
        <v>3107</v>
      </c>
      <c r="N367" s="1517">
        <v>2016</v>
      </c>
      <c r="O367" s="1518"/>
      <c r="P367" s="1518"/>
      <c r="Q367" s="1518"/>
      <c r="R367" s="1517" t="s">
        <v>12</v>
      </c>
      <c r="S367" s="1520"/>
      <c r="T367" s="1518"/>
      <c r="U367" s="1572"/>
      <c r="V367" s="1521"/>
      <c r="W367" s="1478" t="str">
        <f t="shared" si="132"/>
        <v>04.13.01</v>
      </c>
      <c r="X367" s="1478" t="str">
        <f t="shared" si="133"/>
        <v>Jalan</v>
      </c>
      <c r="Y367" s="1478">
        <f t="shared" si="134"/>
        <v>10</v>
      </c>
      <c r="Z367" s="1401"/>
      <c r="AA367" s="1444"/>
      <c r="AB367" s="1401"/>
      <c r="AC367" s="1401"/>
      <c r="AD367" s="1401"/>
      <c r="AE367" s="1401"/>
      <c r="AF367" s="1401"/>
      <c r="AG367" s="1479"/>
      <c r="AH367" s="1479"/>
      <c r="AI367" s="1479"/>
      <c r="AJ367" s="1401">
        <f>S367-AI367</f>
        <v>0</v>
      </c>
    </row>
    <row r="368" spans="1:36" s="1390" customFormat="1" ht="34" customHeight="1" x14ac:dyDescent="0.2">
      <c r="A368" s="1390">
        <v>191</v>
      </c>
      <c r="B368" s="1472" t="str">
        <f t="shared" si="125"/>
        <v>LOGAS - MUDIK ULO</v>
      </c>
      <c r="C368" s="1478" t="e">
        <f>RIGHT(#REF!,1)</f>
        <v>#REF!</v>
      </c>
      <c r="D368" s="1426">
        <v>137</v>
      </c>
      <c r="E368" s="1429" t="s">
        <v>1383</v>
      </c>
      <c r="F368" s="1539"/>
      <c r="G368" s="1517" t="s">
        <v>2494</v>
      </c>
      <c r="H368" s="1518"/>
      <c r="I368" s="1518"/>
      <c r="J368" s="1533">
        <v>0</v>
      </c>
      <c r="K368" s="1517"/>
      <c r="L368" s="1519">
        <v>0</v>
      </c>
      <c r="M368" s="1518" t="s">
        <v>3226</v>
      </c>
      <c r="N368" s="1517">
        <v>2015</v>
      </c>
      <c r="O368" s="1518"/>
      <c r="P368" s="1518"/>
      <c r="Q368" s="1518"/>
      <c r="R368" s="1517" t="s">
        <v>12</v>
      </c>
      <c r="S368" s="1520">
        <v>247494064</v>
      </c>
      <c r="T368" s="1518"/>
      <c r="U368" s="1572"/>
      <c r="V368" s="1521"/>
      <c r="W368" s="1478" t="str">
        <f t="shared" si="132"/>
        <v>04.13.01</v>
      </c>
      <c r="X368" s="1478" t="str">
        <f t="shared" si="133"/>
        <v>Jalan</v>
      </c>
      <c r="Y368" s="1478">
        <f t="shared" si="134"/>
        <v>10</v>
      </c>
      <c r="Z368" s="1401">
        <f>S368/Y368</f>
        <v>24749406.399999999</v>
      </c>
      <c r="AA368" s="1444">
        <f>IF(2013-N368+1&gt;Y368,Y368,IF(2013-N368+1&lt;0,0,2013-N368+1))</f>
        <v>0</v>
      </c>
      <c r="AB368" s="1401">
        <f>IF(AA368&gt;Y368,S368,Z368*AA368)</f>
        <v>0</v>
      </c>
      <c r="AC368" s="1401">
        <v>0</v>
      </c>
      <c r="AD368" s="1401">
        <f>IF(S368=AB368+AC368,0,Z368)</f>
        <v>24749406.399999999</v>
      </c>
      <c r="AE368" s="1401">
        <f>IF(S368=AB368+AC368+AD368,0,Z368)</f>
        <v>24749406.399999999</v>
      </c>
      <c r="AF368" s="1401">
        <f>IF(S368=AC368+AD368+AE368+AB368,0,Z368)</f>
        <v>24749406.399999999</v>
      </c>
      <c r="AG368" s="1479">
        <f>IF(S368=AC368+AD368+AE368+AB368+AF368,0,Z368)</f>
        <v>24749406.399999999</v>
      </c>
      <c r="AH368" s="1479">
        <f>IF(S368=AC368+AD368+AE368+AB368+AF368+AG368,0,Z368)</f>
        <v>24749406.399999999</v>
      </c>
      <c r="AI368" s="1479">
        <f>SUM(AB368:AH368)</f>
        <v>123747032</v>
      </c>
      <c r="AJ368" s="1401">
        <f>S368-AI368</f>
        <v>123747032</v>
      </c>
    </row>
    <row r="369" spans="1:36" s="1390" customFormat="1" ht="34" customHeight="1" x14ac:dyDescent="0.15">
      <c r="A369" s="1390">
        <v>197</v>
      </c>
      <c r="B369" s="1472" t="str">
        <f t="shared" si="125"/>
        <v>LOGAS - AIR MAS</v>
      </c>
      <c r="C369" s="1516" t="s">
        <v>4247</v>
      </c>
      <c r="D369" s="1426">
        <v>138</v>
      </c>
      <c r="E369" s="1429" t="s">
        <v>5856</v>
      </c>
      <c r="F369" s="1539"/>
      <c r="G369" s="1517" t="s">
        <v>2494</v>
      </c>
      <c r="H369" s="1518"/>
      <c r="I369" s="1518" t="s">
        <v>479</v>
      </c>
      <c r="J369" s="1533">
        <v>14000</v>
      </c>
      <c r="K369" s="1517">
        <v>8</v>
      </c>
      <c r="L369" s="1519">
        <v>112000</v>
      </c>
      <c r="M369" s="1518" t="s">
        <v>643</v>
      </c>
      <c r="N369" s="1517">
        <v>2001</v>
      </c>
      <c r="O369" s="1518"/>
      <c r="P369" s="1518"/>
      <c r="Q369" s="1518" t="s">
        <v>482</v>
      </c>
      <c r="R369" s="1517" t="s">
        <v>12</v>
      </c>
      <c r="S369" s="1520">
        <f>12022715750+F370</f>
        <v>12669166450.572227</v>
      </c>
      <c r="T369" s="1517" t="s">
        <v>135</v>
      </c>
      <c r="U369" s="1572"/>
      <c r="V369" s="1521"/>
      <c r="W369" s="1522" t="str">
        <f t="shared" si="132"/>
        <v>04.13.01</v>
      </c>
      <c r="X369" s="1478" t="str">
        <f t="shared" si="133"/>
        <v>Jalan</v>
      </c>
      <c r="Y369" s="1478">
        <f t="shared" si="134"/>
        <v>10</v>
      </c>
      <c r="Z369" s="1401"/>
      <c r="AA369" s="1444">
        <f>IF(2013-N369&gt;Y369,10,IF(2013-N369&lt;0,0,2013-N369))</f>
        <v>10</v>
      </c>
      <c r="AB369" s="1401">
        <f>SUM(PERHITUNGAN!U1209:U1218)</f>
        <v>12669166450.572226</v>
      </c>
      <c r="AC369" s="1479">
        <f>SUMIF(PERHITUNGAN!A:A,'KIB D'!B369&amp;'KIB D'!$AC$7,PERHITUNGAN!U:U)</f>
        <v>0</v>
      </c>
      <c r="AD369" s="1479">
        <f>SUMIF(PERHITUNGAN!A:A,'KIB D'!B369&amp;'KIB D'!$AD$7,PERHITUNGAN!U:U)</f>
        <v>0</v>
      </c>
      <c r="AE369" s="1479">
        <f>SUMIF(PERHITUNGAN!A:A,'KIB D'!B369&amp;'KIB D'!$AE$7,PERHITUNGAN!U:U)</f>
        <v>0</v>
      </c>
      <c r="AF369" s="1479">
        <f>SUMIF(PERHITUNGAN!A:A,'KIB D'!B369&amp;'KIB D'!$AF$7,PERHITUNGAN!U:U)</f>
        <v>0</v>
      </c>
      <c r="AG369" s="1479">
        <f>SUMIF(PERHITUNGAN!A:A,'KIB D'!B369&amp;'KIB D'!$AG$7,PERHITUNGAN!U:U)</f>
        <v>0</v>
      </c>
      <c r="AH369" s="1479">
        <f>SUMIF(PERHITUNGAN!A:A,'KIB D'!B369&amp;'KIB D'!$AH$7,PERHITUNGAN!U:U)</f>
        <v>0</v>
      </c>
      <c r="AI369" s="1479">
        <f>SUM(AB369:AH369)</f>
        <v>12669166450.572226</v>
      </c>
      <c r="AJ369" s="1401">
        <f>S369-AI369</f>
        <v>0</v>
      </c>
    </row>
    <row r="370" spans="1:36" s="1390" customFormat="1" ht="34" customHeight="1" x14ac:dyDescent="0.15">
      <c r="A370" s="1390">
        <v>197</v>
      </c>
      <c r="B370" s="1472" t="str">
        <f t="shared" si="125"/>
        <v>LOGAS - AIR MAS</v>
      </c>
      <c r="C370" s="1516" t="s">
        <v>4247</v>
      </c>
      <c r="D370" s="1426"/>
      <c r="E370" s="1429" t="s">
        <v>1173</v>
      </c>
      <c r="F370" s="1539">
        <v>646450700.572227</v>
      </c>
      <c r="G370" s="1517" t="s">
        <v>2494</v>
      </c>
      <c r="H370" s="1518"/>
      <c r="I370" s="1518" t="s">
        <v>835</v>
      </c>
      <c r="J370" s="1519">
        <v>2.5</v>
      </c>
      <c r="K370" s="1517">
        <v>2.5</v>
      </c>
      <c r="L370" s="1519">
        <v>6.25</v>
      </c>
      <c r="M370" s="1518" t="s">
        <v>643</v>
      </c>
      <c r="N370" s="1517">
        <v>2007</v>
      </c>
      <c r="O370" s="1518"/>
      <c r="P370" s="1518"/>
      <c r="Q370" s="1518"/>
      <c r="R370" s="1517" t="s">
        <v>12</v>
      </c>
      <c r="S370" s="1520"/>
      <c r="T370" s="1517" t="s">
        <v>43</v>
      </c>
      <c r="U370" s="1572"/>
      <c r="V370" s="1521"/>
      <c r="W370" s="1522" t="str">
        <f t="shared" si="132"/>
        <v>04.13.01</v>
      </c>
      <c r="X370" s="1478" t="str">
        <f t="shared" si="133"/>
        <v>Jalan</v>
      </c>
      <c r="Y370" s="1478">
        <f t="shared" si="134"/>
        <v>10</v>
      </c>
      <c r="Z370" s="1401"/>
      <c r="AA370" s="1444">
        <f>IF(2013-N370&gt;Y370,10,IF(2013-N370&lt;0,0,2013-N370))</f>
        <v>6</v>
      </c>
      <c r="AB370" s="1401"/>
      <c r="AC370" s="1401"/>
      <c r="AD370" s="1401"/>
      <c r="AE370" s="1401"/>
      <c r="AF370" s="1401"/>
      <c r="AG370" s="1479"/>
      <c r="AH370" s="1479"/>
      <c r="AI370" s="1479"/>
      <c r="AJ370" s="1401"/>
    </row>
    <row r="371" spans="1:36" s="1390" customFormat="1" ht="34" customHeight="1" x14ac:dyDescent="0.2">
      <c r="A371" s="1390">
        <v>203</v>
      </c>
      <c r="B371" s="1472" t="str">
        <f t="shared" si="125"/>
        <v>JL. PANGAKALAN INDARUNG - JL. RUAS 189/189</v>
      </c>
      <c r="C371" s="1478" t="e">
        <f>RIGHT(#REF!,1)</f>
        <v>#REF!</v>
      </c>
      <c r="D371" s="1426">
        <v>139</v>
      </c>
      <c r="E371" s="1429" t="s">
        <v>696</v>
      </c>
      <c r="F371" s="1539"/>
      <c r="G371" s="1517" t="s">
        <v>2494</v>
      </c>
      <c r="H371" s="1518"/>
      <c r="I371" s="1518" t="s">
        <v>8</v>
      </c>
      <c r="J371" s="1533" t="s">
        <v>534</v>
      </c>
      <c r="K371" s="1517"/>
      <c r="L371" s="1519"/>
      <c r="M371" s="1518" t="s">
        <v>724</v>
      </c>
      <c r="N371" s="1517">
        <v>2001</v>
      </c>
      <c r="O371" s="1518"/>
      <c r="P371" s="1518"/>
      <c r="Q371" s="1518" t="s">
        <v>482</v>
      </c>
      <c r="R371" s="1517" t="s">
        <v>12</v>
      </c>
      <c r="S371" s="1520">
        <v>405000000</v>
      </c>
      <c r="T371" s="1517" t="s">
        <v>43</v>
      </c>
      <c r="U371" s="1572"/>
      <c r="V371" s="1521"/>
      <c r="W371" s="1478" t="str">
        <f t="shared" si="132"/>
        <v>04.13.01</v>
      </c>
      <c r="X371" s="1478" t="str">
        <f t="shared" si="133"/>
        <v>Jalan</v>
      </c>
      <c r="Y371" s="1478">
        <f t="shared" si="134"/>
        <v>10</v>
      </c>
      <c r="Z371" s="1401">
        <f>S371/Y371</f>
        <v>40500000</v>
      </c>
      <c r="AA371" s="1444">
        <f>IF(2013-N371+1&gt;Y371,Y371,IF(2013-N371+1&lt;0,0,2013-N371+1))</f>
        <v>10</v>
      </c>
      <c r="AB371" s="1401">
        <f>IF(AA371&gt;Y371,S371,Z371*AA371)</f>
        <v>405000000</v>
      </c>
      <c r="AC371" s="1401">
        <f>IF(S371=AB371,0,Z371)</f>
        <v>0</v>
      </c>
      <c r="AD371" s="1401">
        <f>IF(S371=AB371+AC371,0,Z371)</f>
        <v>0</v>
      </c>
      <c r="AE371" s="1401">
        <f>IF(S371=AB371+AC371+AD371,0,Z371)</f>
        <v>0</v>
      </c>
      <c r="AF371" s="1401">
        <f>IF(S371=AC371+AD371+AE371+AB371,0,Z371)</f>
        <v>0</v>
      </c>
      <c r="AG371" s="1479">
        <f>IF(S371=AC371+AD371+AE371+AB371+AF371,0,Z371)</f>
        <v>0</v>
      </c>
      <c r="AH371" s="1479">
        <f>IF(S371=AC371+AD371+AE371+AB371+AF371+AG371,0,Z371)</f>
        <v>0</v>
      </c>
      <c r="AI371" s="1479">
        <f>SUM(AB371:AH371)</f>
        <v>405000000</v>
      </c>
      <c r="AJ371" s="1401">
        <f>S371-AI371</f>
        <v>0</v>
      </c>
    </row>
    <row r="372" spans="1:36" s="1390" customFormat="1" ht="34" customHeight="1" x14ac:dyDescent="0.2">
      <c r="A372" s="1390">
        <v>206</v>
      </c>
      <c r="B372" s="1472" t="str">
        <f t="shared" si="125"/>
        <v>JL. DIPONEGORO - JL. PASAR USANG</v>
      </c>
      <c r="C372" s="1478" t="e">
        <f>RIGHT(#REF!,1)</f>
        <v>#REF!</v>
      </c>
      <c r="D372" s="1426">
        <v>140</v>
      </c>
      <c r="E372" s="1429" t="s">
        <v>696</v>
      </c>
      <c r="F372" s="1539"/>
      <c r="G372" s="1517" t="s">
        <v>2494</v>
      </c>
      <c r="H372" s="1518"/>
      <c r="I372" s="1518" t="s">
        <v>525</v>
      </c>
      <c r="J372" s="1533" t="s">
        <v>551</v>
      </c>
      <c r="K372" s="1517"/>
      <c r="L372" s="1519"/>
      <c r="M372" s="1518" t="s">
        <v>729</v>
      </c>
      <c r="N372" s="1517">
        <v>2001</v>
      </c>
      <c r="O372" s="1518"/>
      <c r="P372" s="1518"/>
      <c r="Q372" s="1518" t="s">
        <v>482</v>
      </c>
      <c r="R372" s="1517" t="s">
        <v>12</v>
      </c>
      <c r="S372" s="1520">
        <v>270000000</v>
      </c>
      <c r="T372" s="1517" t="s">
        <v>43</v>
      </c>
      <c r="U372" s="1572"/>
      <c r="V372" s="1521"/>
      <c r="W372" s="1478" t="str">
        <f t="shared" si="132"/>
        <v>04.13.01</v>
      </c>
      <c r="X372" s="1478" t="str">
        <f t="shared" si="133"/>
        <v>Jalan</v>
      </c>
      <c r="Y372" s="1478">
        <f t="shared" si="134"/>
        <v>10</v>
      </c>
      <c r="Z372" s="1401">
        <f>S372/Y372</f>
        <v>27000000</v>
      </c>
      <c r="AA372" s="1444">
        <f>IF(2013-N372+1&gt;Y372,Y372,IF(2013-N372+1&lt;0,0,2013-N372+1))</f>
        <v>10</v>
      </c>
      <c r="AB372" s="1401">
        <f>IF(AA372&gt;Y372,S372,Z372*AA372)</f>
        <v>270000000</v>
      </c>
      <c r="AC372" s="1401">
        <f>IF(S372=AB372,0,Z372)</f>
        <v>0</v>
      </c>
      <c r="AD372" s="1401">
        <f>IF(S372=AB372+AC372,0,Z372)</f>
        <v>0</v>
      </c>
      <c r="AE372" s="1401">
        <f>IF(S372=AB372+AC372+AD372,0,Z372)</f>
        <v>0</v>
      </c>
      <c r="AF372" s="1401">
        <f>IF(S372=AC372+AD372+AE372+AB372,0,Z372)</f>
        <v>0</v>
      </c>
      <c r="AG372" s="1479">
        <f>IF(S372=AC372+AD372+AE372+AB372+AF372,0,Z372)</f>
        <v>0</v>
      </c>
      <c r="AH372" s="1479">
        <f>IF(S372=AC372+AD372+AE372+AB372+AF372+AG372,0,Z372)</f>
        <v>0</v>
      </c>
      <c r="AI372" s="1479">
        <f>SUM(AB372:AH372)</f>
        <v>270000000</v>
      </c>
      <c r="AJ372" s="1401">
        <f>S372-AI372</f>
        <v>0</v>
      </c>
    </row>
    <row r="373" spans="1:36" s="1390" customFormat="1" ht="34" customHeight="1" x14ac:dyDescent="0.2">
      <c r="A373" s="1390">
        <v>207</v>
      </c>
      <c r="B373" s="1472" t="str">
        <f t="shared" si="125"/>
        <v>JL. IMAM BONJOL - JL. PADAT KARYA</v>
      </c>
      <c r="C373" s="1478" t="e">
        <f>RIGHT(#REF!,1)</f>
        <v>#REF!</v>
      </c>
      <c r="D373" s="1426">
        <v>141</v>
      </c>
      <c r="E373" s="1429" t="s">
        <v>696</v>
      </c>
      <c r="F373" s="1539"/>
      <c r="G373" s="1517" t="s">
        <v>2494</v>
      </c>
      <c r="H373" s="1518"/>
      <c r="I373" s="1518" t="s">
        <v>525</v>
      </c>
      <c r="J373" s="1533" t="s">
        <v>732</v>
      </c>
      <c r="K373" s="1517"/>
      <c r="L373" s="1519"/>
      <c r="M373" s="1518" t="s">
        <v>733</v>
      </c>
      <c r="N373" s="1517">
        <v>2001</v>
      </c>
      <c r="O373" s="1518"/>
      <c r="P373" s="1518"/>
      <c r="Q373" s="1518" t="s">
        <v>482</v>
      </c>
      <c r="R373" s="1517" t="s">
        <v>12</v>
      </c>
      <c r="S373" s="1520">
        <v>239400000</v>
      </c>
      <c r="T373" s="1517" t="s">
        <v>43</v>
      </c>
      <c r="U373" s="1572"/>
      <c r="V373" s="1521"/>
      <c r="W373" s="1478" t="str">
        <f t="shared" si="132"/>
        <v>04.13.01</v>
      </c>
      <c r="X373" s="1478" t="str">
        <f t="shared" si="133"/>
        <v>Jalan</v>
      </c>
      <c r="Y373" s="1478">
        <f t="shared" si="134"/>
        <v>10</v>
      </c>
      <c r="Z373" s="1401">
        <f>S373/Y373</f>
        <v>23940000</v>
      </c>
      <c r="AA373" s="1444">
        <f>IF(2013-N373+1&gt;Y373,Y373,IF(2013-N373+1&lt;0,0,2013-N373+1))</f>
        <v>10</v>
      </c>
      <c r="AB373" s="1401">
        <f>IF(AA373&gt;Y373,S373,Z373*AA373)</f>
        <v>239400000</v>
      </c>
      <c r="AC373" s="1401">
        <f>IF(S373=AB373,0,Z373)</f>
        <v>0</v>
      </c>
      <c r="AD373" s="1401">
        <f>IF(S373=AB373+AC373,0,Z373)</f>
        <v>0</v>
      </c>
      <c r="AE373" s="1401">
        <f>IF(S373=AB373+AC373+AD373,0,Z373)</f>
        <v>0</v>
      </c>
      <c r="AF373" s="1401">
        <f>IF(S373=AC373+AD373+AE373+AB373,0,Z373)</f>
        <v>0</v>
      </c>
      <c r="AG373" s="1479">
        <f>IF(S373=AC373+AD373+AE373+AB373+AF373,0,Z373)</f>
        <v>0</v>
      </c>
      <c r="AH373" s="1479">
        <f>IF(S373=AC373+AD373+AE373+AB373+AF373+AG373,0,Z373)</f>
        <v>0</v>
      </c>
      <c r="AI373" s="1479">
        <f>SUM(AB373:AH373)</f>
        <v>239400000</v>
      </c>
      <c r="AJ373" s="1401">
        <f>S373-AI373</f>
        <v>0</v>
      </c>
    </row>
    <row r="374" spans="1:36" s="1390" customFormat="1" ht="34" customHeight="1" x14ac:dyDescent="0.2">
      <c r="A374" s="1390">
        <v>208</v>
      </c>
      <c r="B374" s="1472" t="str">
        <f t="shared" si="125"/>
        <v>JL. PERTUAN GADIS - SEI. LEMBU</v>
      </c>
      <c r="C374" s="1478" t="e">
        <f>RIGHT(#REF!,1)</f>
        <v>#REF!</v>
      </c>
      <c r="D374" s="1426">
        <v>142</v>
      </c>
      <c r="E374" s="1429" t="s">
        <v>3730</v>
      </c>
      <c r="F374" s="1539"/>
      <c r="G374" s="1517" t="s">
        <v>3821</v>
      </c>
      <c r="H374" s="1518"/>
      <c r="I374" s="1518" t="s">
        <v>525</v>
      </c>
      <c r="J374" s="1533" t="s">
        <v>541</v>
      </c>
      <c r="K374" s="1517"/>
      <c r="L374" s="1519"/>
      <c r="M374" s="1518" t="s">
        <v>728</v>
      </c>
      <c r="N374" s="1517">
        <v>2001</v>
      </c>
      <c r="O374" s="1518"/>
      <c r="P374" s="1518"/>
      <c r="Q374" s="1518" t="s">
        <v>482</v>
      </c>
      <c r="R374" s="1517" t="s">
        <v>12</v>
      </c>
      <c r="S374" s="1520">
        <f>378000000+F375</f>
        <v>470623120.774719</v>
      </c>
      <c r="T374" s="1517" t="s">
        <v>43</v>
      </c>
      <c r="U374" s="1572"/>
      <c r="V374" s="1521"/>
      <c r="W374" s="1478" t="str">
        <f t="shared" si="132"/>
        <v>04.13.01</v>
      </c>
      <c r="X374" s="1478" t="str">
        <f t="shared" si="133"/>
        <v>Jalan</v>
      </c>
      <c r="Y374" s="1478">
        <f t="shared" si="134"/>
        <v>10</v>
      </c>
      <c r="Z374" s="1401"/>
      <c r="AA374" s="1444">
        <f>IF(2013-N374&gt;Y374,10,IF(2013-N374&lt;0,0,2013-N374))</f>
        <v>10</v>
      </c>
      <c r="AB374" s="1401">
        <f>SUM(PERHITUNGAN!U1233:U1239)</f>
        <v>397476184.54230338</v>
      </c>
      <c r="AC374" s="1479">
        <f>SUMIF(PERHITUNGAN!A:A,'KIB D'!B374&amp;'KIB D'!$AC$7,PERHITUNGAN!U:U)</f>
        <v>24382312.077471901</v>
      </c>
      <c r="AD374" s="1479">
        <f>SUMIF(PERHITUNGAN!A:A,'KIB D'!B374&amp;'KIB D'!$AD$7,PERHITUNGAN!U:U)</f>
        <v>24382312.077471901</v>
      </c>
      <c r="AE374" s="1479">
        <f>SUMIF(PERHITUNGAN!A:A,'KIB D'!B374&amp;'KIB D'!$AE$7,PERHITUNGAN!U:U)</f>
        <v>24382312.077471901</v>
      </c>
      <c r="AF374" s="1479">
        <f>SUMIF(PERHITUNGAN!A:A,'KIB D'!B374&amp;'KIB D'!$AF$7,PERHITUNGAN!U:U)</f>
        <v>0</v>
      </c>
      <c r="AG374" s="1479">
        <f>SUMIF(PERHITUNGAN!A:A,'KIB D'!B374&amp;'KIB D'!$AG$7,PERHITUNGAN!U:U)</f>
        <v>0</v>
      </c>
      <c r="AH374" s="1479">
        <f>SUMIF(PERHITUNGAN!A:A,'KIB D'!B374&amp;'KIB D'!$AH$7,PERHITUNGAN!U:U)</f>
        <v>0</v>
      </c>
      <c r="AI374" s="1479">
        <f>SUM(AB374:AH374)</f>
        <v>470623120.77471912</v>
      </c>
      <c r="AJ374" s="1401">
        <f>S374-AI374</f>
        <v>0</v>
      </c>
    </row>
    <row r="375" spans="1:36" s="1390" customFormat="1" ht="34" customHeight="1" x14ac:dyDescent="0.2">
      <c r="A375" s="1390">
        <v>208</v>
      </c>
      <c r="B375" s="1472" t="str">
        <f t="shared" si="125"/>
        <v>JL. PERTUAN GADIS - SEI. LEMBU</v>
      </c>
      <c r="C375" s="1478" t="e">
        <f>RIGHT(#REF!,1)</f>
        <v>#REF!</v>
      </c>
      <c r="D375" s="1426"/>
      <c r="E375" s="1429" t="s">
        <v>1155</v>
      </c>
      <c r="F375" s="1539">
        <v>92623120.774719015</v>
      </c>
      <c r="G375" s="1416" t="s">
        <v>2494</v>
      </c>
      <c r="H375" s="1508"/>
      <c r="I375" s="1416" t="s">
        <v>519</v>
      </c>
      <c r="J375" s="1500"/>
      <c r="K375" s="1416"/>
      <c r="L375" s="1500"/>
      <c r="M375" s="1429" t="s">
        <v>3092</v>
      </c>
      <c r="N375" s="1416">
        <v>2007</v>
      </c>
      <c r="O375" s="1414"/>
      <c r="P375" s="1414"/>
      <c r="Q375" s="1414"/>
      <c r="R375" s="1416" t="s">
        <v>12</v>
      </c>
      <c r="S375" s="1529"/>
      <c r="T375" s="1416"/>
      <c r="U375" s="1427"/>
      <c r="V375" s="1477"/>
      <c r="W375" s="1478" t="str">
        <f t="shared" si="132"/>
        <v>04.13.01</v>
      </c>
      <c r="X375" s="1478" t="str">
        <f t="shared" si="133"/>
        <v>Jalan</v>
      </c>
      <c r="Y375" s="1478">
        <f t="shared" si="134"/>
        <v>10</v>
      </c>
      <c r="Z375" s="1401"/>
      <c r="AA375" s="1444"/>
      <c r="AB375" s="1401"/>
      <c r="AC375" s="1401"/>
      <c r="AD375" s="1401"/>
      <c r="AE375" s="1401"/>
      <c r="AF375" s="1401"/>
      <c r="AG375" s="1479"/>
      <c r="AH375" s="1479"/>
      <c r="AI375" s="1479"/>
      <c r="AJ375" s="1401"/>
    </row>
    <row r="376" spans="1:36" s="1390" customFormat="1" ht="34" customHeight="1" x14ac:dyDescent="0.2">
      <c r="A376" s="1390">
        <v>216</v>
      </c>
      <c r="B376" s="1472" t="str">
        <f t="shared" si="125"/>
        <v xml:space="preserve">JL. AMD - JL. DIPONEGORO </v>
      </c>
      <c r="C376" s="1478" t="e">
        <f>RIGHT(#REF!,1)</f>
        <v>#REF!</v>
      </c>
      <c r="D376" s="1426">
        <v>143</v>
      </c>
      <c r="E376" s="1429" t="s">
        <v>696</v>
      </c>
      <c r="F376" s="1539"/>
      <c r="G376" s="1517" t="s">
        <v>2494</v>
      </c>
      <c r="H376" s="1518"/>
      <c r="I376" s="1518" t="s">
        <v>525</v>
      </c>
      <c r="J376" s="1533" t="s">
        <v>609</v>
      </c>
      <c r="K376" s="1517"/>
      <c r="L376" s="1519"/>
      <c r="M376" s="1518" t="s">
        <v>725</v>
      </c>
      <c r="N376" s="1517">
        <v>2001</v>
      </c>
      <c r="O376" s="1518"/>
      <c r="P376" s="1518"/>
      <c r="Q376" s="1518" t="s">
        <v>482</v>
      </c>
      <c r="R376" s="1517" t="s">
        <v>12</v>
      </c>
      <c r="S376" s="1520">
        <v>810000000</v>
      </c>
      <c r="T376" s="1517" t="s">
        <v>43</v>
      </c>
      <c r="U376" s="1572"/>
      <c r="V376" s="1521"/>
      <c r="W376" s="1478" t="str">
        <f t="shared" si="132"/>
        <v>04.13.01</v>
      </c>
      <c r="X376" s="1478" t="str">
        <f t="shared" si="133"/>
        <v>Jalan</v>
      </c>
      <c r="Y376" s="1478">
        <f t="shared" si="134"/>
        <v>10</v>
      </c>
      <c r="Z376" s="1401">
        <f>S376/Y376</f>
        <v>81000000</v>
      </c>
      <c r="AA376" s="1444">
        <f>IF(2013-N376+1&gt;Y376,Y376,IF(2013-N376+1&lt;0,0,2013-N376+1))</f>
        <v>10</v>
      </c>
      <c r="AB376" s="1401">
        <f>IF(AA376&gt;Y376,S376,Z376*AA376)</f>
        <v>810000000</v>
      </c>
      <c r="AC376" s="1401">
        <f>IF(S376=AB376,0,Z376)</f>
        <v>0</v>
      </c>
      <c r="AD376" s="1401">
        <f>IF(S376=AB376+AC376,0,Z376)</f>
        <v>0</v>
      </c>
      <c r="AE376" s="1401">
        <f>IF(S376=AB376+AC376+AD376,0,Z376)</f>
        <v>0</v>
      </c>
      <c r="AF376" s="1401">
        <f>IF(S376=AC376+AD376+AE376+AB376,0,Z376)</f>
        <v>0</v>
      </c>
      <c r="AG376" s="1479">
        <f>IF(S376=AC376+AD376+AE376+AB376+AF376,0,Z376)</f>
        <v>0</v>
      </c>
      <c r="AH376" s="1479">
        <f>IF(S376=AC376+AD376+AE376+AB376+AF376+AG376,0,Z376)</f>
        <v>0</v>
      </c>
      <c r="AI376" s="1479">
        <f t="shared" ref="AI376:AI381" si="135">SUM(AB376:AH376)</f>
        <v>810000000</v>
      </c>
      <c r="AJ376" s="1401">
        <f t="shared" ref="AJ376:AJ382" si="136">S376-AI376</f>
        <v>0</v>
      </c>
    </row>
    <row r="377" spans="1:36" s="1390" customFormat="1" ht="34" customHeight="1" x14ac:dyDescent="0.2">
      <c r="A377" s="1390">
        <v>217</v>
      </c>
      <c r="B377" s="1472" t="str">
        <f t="shared" si="125"/>
        <v>JL. SENTRAL - JL. A YANI</v>
      </c>
      <c r="C377" s="1478" t="e">
        <f>RIGHT(#REF!,1)</f>
        <v>#REF!</v>
      </c>
      <c r="D377" s="1426">
        <v>144</v>
      </c>
      <c r="E377" s="1429" t="s">
        <v>696</v>
      </c>
      <c r="F377" s="1539"/>
      <c r="G377" s="1517" t="s">
        <v>2494</v>
      </c>
      <c r="H377" s="1518"/>
      <c r="I377" s="1518" t="s">
        <v>525</v>
      </c>
      <c r="J377" s="1533" t="s">
        <v>726</v>
      </c>
      <c r="K377" s="1517"/>
      <c r="L377" s="1519"/>
      <c r="M377" s="1518" t="s">
        <v>727</v>
      </c>
      <c r="N377" s="1517">
        <v>2001</v>
      </c>
      <c r="O377" s="1518"/>
      <c r="P377" s="1518"/>
      <c r="Q377" s="1518" t="s">
        <v>482</v>
      </c>
      <c r="R377" s="1517" t="s">
        <v>12</v>
      </c>
      <c r="S377" s="1520">
        <v>47250000</v>
      </c>
      <c r="T377" s="1517" t="s">
        <v>43</v>
      </c>
      <c r="U377" s="1572"/>
      <c r="V377" s="1521"/>
      <c r="W377" s="1478" t="str">
        <f t="shared" si="132"/>
        <v>04.13.01</v>
      </c>
      <c r="X377" s="1478" t="str">
        <f t="shared" si="133"/>
        <v>Jalan</v>
      </c>
      <c r="Y377" s="1478">
        <f t="shared" si="134"/>
        <v>10</v>
      </c>
      <c r="Z377" s="1401">
        <f>S377/Y377</f>
        <v>4725000</v>
      </c>
      <c r="AA377" s="1444">
        <f>IF(2013-N377+1&gt;Y377,Y377,IF(2013-N377+1&lt;0,0,2013-N377+1))</f>
        <v>10</v>
      </c>
      <c r="AB377" s="1401">
        <f>IF(AA377&gt;Y377,S377,Z377*AA377)</f>
        <v>47250000</v>
      </c>
      <c r="AC377" s="1401">
        <f>IF(S377=AB377,0,Z377)</f>
        <v>0</v>
      </c>
      <c r="AD377" s="1401">
        <f>IF(S377=AB377+AC377,0,Z377)</f>
        <v>0</v>
      </c>
      <c r="AE377" s="1401">
        <f>IF(S377=AB377+AC377+AD377,0,Z377)</f>
        <v>0</v>
      </c>
      <c r="AF377" s="1401">
        <f>IF(S377=AC377+AD377+AE377+AB377,0,Z377)</f>
        <v>0</v>
      </c>
      <c r="AG377" s="1479">
        <f>IF(S377=AC377+AD377+AE377+AB377+AF377,0,Z377)</f>
        <v>0</v>
      </c>
      <c r="AH377" s="1479">
        <f>IF(S377=AC377+AD377+AE377+AB377+AF377+AG377,0,Z377)</f>
        <v>0</v>
      </c>
      <c r="AI377" s="1479">
        <f t="shared" si="135"/>
        <v>47250000</v>
      </c>
      <c r="AJ377" s="1401">
        <f t="shared" si="136"/>
        <v>0</v>
      </c>
    </row>
    <row r="378" spans="1:36" s="1390" customFormat="1" ht="34" customHeight="1" x14ac:dyDescent="0.2">
      <c r="A378" s="1390">
        <v>218</v>
      </c>
      <c r="B378" s="1472" t="str">
        <f t="shared" si="125"/>
        <v>JL. HANG LEKIR - SEI LEMBU</v>
      </c>
      <c r="C378" s="1478" t="e">
        <f>RIGHT(#REF!,1)</f>
        <v>#REF!</v>
      </c>
      <c r="D378" s="1426">
        <v>145</v>
      </c>
      <c r="E378" s="1429" t="s">
        <v>696</v>
      </c>
      <c r="F378" s="1539"/>
      <c r="G378" s="1517" t="s">
        <v>2494</v>
      </c>
      <c r="H378" s="1518"/>
      <c r="I378" s="1518" t="s">
        <v>525</v>
      </c>
      <c r="J378" s="1533" t="s">
        <v>530</v>
      </c>
      <c r="K378" s="1517"/>
      <c r="L378" s="1519"/>
      <c r="M378" s="1518" t="s">
        <v>721</v>
      </c>
      <c r="N378" s="1517">
        <v>2001</v>
      </c>
      <c r="O378" s="1518"/>
      <c r="P378" s="1518"/>
      <c r="Q378" s="1518" t="s">
        <v>482</v>
      </c>
      <c r="R378" s="1517" t="s">
        <v>12</v>
      </c>
      <c r="S378" s="1520">
        <v>337500000</v>
      </c>
      <c r="T378" s="1517" t="s">
        <v>43</v>
      </c>
      <c r="U378" s="1572"/>
      <c r="V378" s="1521"/>
      <c r="W378" s="1478" t="str">
        <f t="shared" si="132"/>
        <v>04.13.01</v>
      </c>
      <c r="X378" s="1478" t="str">
        <f t="shared" si="133"/>
        <v>Jalan</v>
      </c>
      <c r="Y378" s="1478">
        <f t="shared" si="134"/>
        <v>10</v>
      </c>
      <c r="Z378" s="1401">
        <f>S378/Y378</f>
        <v>33750000</v>
      </c>
      <c r="AA378" s="1444">
        <f>IF(2013-N378+1&gt;Y378,Y378,IF(2013-N378+1&lt;0,0,2013-N378+1))</f>
        <v>10</v>
      </c>
      <c r="AB378" s="1401">
        <f>IF(AA378&gt;Y378,S378,Z378*AA378)</f>
        <v>337500000</v>
      </c>
      <c r="AC378" s="1401">
        <f>IF(S378=AB378,0,Z378)</f>
        <v>0</v>
      </c>
      <c r="AD378" s="1401">
        <f>IF(S378=AB378+AC378,0,Z378)</f>
        <v>0</v>
      </c>
      <c r="AE378" s="1401">
        <f>IF(S378=AB378+AC378+AD378,0,Z378)</f>
        <v>0</v>
      </c>
      <c r="AF378" s="1401">
        <f>IF(S378=AC378+AD378+AE378+AB378,0,Z378)</f>
        <v>0</v>
      </c>
      <c r="AG378" s="1479">
        <f>IF(S378=AC378+AD378+AE378+AB378+AF378,0,Z378)</f>
        <v>0</v>
      </c>
      <c r="AH378" s="1479">
        <f>IF(S378=AC378+AD378+AE378+AB378+AF378+AG378,0,Z378)</f>
        <v>0</v>
      </c>
      <c r="AI378" s="1479">
        <f t="shared" si="135"/>
        <v>337500000</v>
      </c>
      <c r="AJ378" s="1401">
        <f t="shared" si="136"/>
        <v>0</v>
      </c>
    </row>
    <row r="379" spans="1:36" s="1390" customFormat="1" ht="34" customHeight="1" x14ac:dyDescent="0.2">
      <c r="A379" s="1390">
        <v>220</v>
      </c>
      <c r="B379" s="1472" t="str">
        <f t="shared" si="125"/>
        <v>JL. TENGKU UMAR - JL. SYEH AHMAD BUNDA</v>
      </c>
      <c r="C379" s="1478" t="e">
        <f>RIGHT(#REF!,1)</f>
        <v>#REF!</v>
      </c>
      <c r="D379" s="1426">
        <v>146</v>
      </c>
      <c r="E379" s="1429" t="s">
        <v>696</v>
      </c>
      <c r="F379" s="1539"/>
      <c r="G379" s="1517" t="s">
        <v>2494</v>
      </c>
      <c r="H379" s="1518"/>
      <c r="I379" s="1518" t="s">
        <v>525</v>
      </c>
      <c r="J379" s="1533" t="s">
        <v>719</v>
      </c>
      <c r="K379" s="1517"/>
      <c r="L379" s="1519"/>
      <c r="M379" s="1518" t="s">
        <v>722</v>
      </c>
      <c r="N379" s="1517">
        <v>2001</v>
      </c>
      <c r="O379" s="1518"/>
      <c r="P379" s="1518"/>
      <c r="Q379" s="1518" t="s">
        <v>482</v>
      </c>
      <c r="R379" s="1517" t="s">
        <v>12</v>
      </c>
      <c r="S379" s="1520">
        <v>441000000</v>
      </c>
      <c r="T379" s="1517" t="s">
        <v>43</v>
      </c>
      <c r="U379" s="1572"/>
      <c r="V379" s="1521"/>
      <c r="W379" s="1478" t="str">
        <f t="shared" si="132"/>
        <v>04.13.01</v>
      </c>
      <c r="X379" s="1478" t="str">
        <f t="shared" si="133"/>
        <v>Jalan</v>
      </c>
      <c r="Y379" s="1478">
        <f t="shared" si="134"/>
        <v>10</v>
      </c>
      <c r="Z379" s="1401">
        <f>S379/Y379</f>
        <v>44100000</v>
      </c>
      <c r="AA379" s="1444">
        <f>IF(2013-N379+1&gt;Y379,Y379,IF(2013-N379+1&lt;0,0,2013-N379+1))</f>
        <v>10</v>
      </c>
      <c r="AB379" s="1401">
        <f>IF(AA379&gt;Y379,S379,Z379*AA379)</f>
        <v>441000000</v>
      </c>
      <c r="AC379" s="1401">
        <f>IF(S379=AB379,0,Z379)</f>
        <v>0</v>
      </c>
      <c r="AD379" s="1401">
        <f>IF(S379=AB379+AC379,0,Z379)</f>
        <v>0</v>
      </c>
      <c r="AE379" s="1401">
        <f>IF(S379=AB379+AC379+AD379,0,Z379)</f>
        <v>0</v>
      </c>
      <c r="AF379" s="1401">
        <f>IF(S379=AC379+AD379+AE379+AB379,0,Z379)</f>
        <v>0</v>
      </c>
      <c r="AG379" s="1479">
        <f>IF(S379=AC379+AD379+AE379+AB379+AF379,0,Z379)</f>
        <v>0</v>
      </c>
      <c r="AH379" s="1479">
        <f>IF(S379=AC379+AD379+AE379+AB379+AF379+AG379,0,Z379)</f>
        <v>0</v>
      </c>
      <c r="AI379" s="1479">
        <f t="shared" si="135"/>
        <v>441000000</v>
      </c>
      <c r="AJ379" s="1401">
        <f t="shared" si="136"/>
        <v>0</v>
      </c>
    </row>
    <row r="380" spans="1:36" s="1390" customFormat="1" ht="34" customHeight="1" x14ac:dyDescent="0.2">
      <c r="A380" s="1390">
        <v>226</v>
      </c>
      <c r="B380" s="1472" t="str">
        <f t="shared" si="125"/>
        <v>JL. SYEH AHMAD BUNDA - JL. PERTUAN GADIS</v>
      </c>
      <c r="C380" s="1478" t="e">
        <f>RIGHT(#REF!,1)</f>
        <v>#REF!</v>
      </c>
      <c r="D380" s="1426">
        <v>147</v>
      </c>
      <c r="E380" s="1429" t="s">
        <v>529</v>
      </c>
      <c r="F380" s="1539"/>
      <c r="G380" s="1517" t="s">
        <v>2494</v>
      </c>
      <c r="H380" s="1518"/>
      <c r="I380" s="1518" t="s">
        <v>525</v>
      </c>
      <c r="J380" s="1533" t="s">
        <v>508</v>
      </c>
      <c r="K380" s="1517"/>
      <c r="L380" s="1519"/>
      <c r="M380" s="1518" t="s">
        <v>648</v>
      </c>
      <c r="N380" s="1517">
        <v>2001</v>
      </c>
      <c r="O380" s="1518"/>
      <c r="P380" s="1518"/>
      <c r="Q380" s="1518" t="s">
        <v>482</v>
      </c>
      <c r="R380" s="1517" t="s">
        <v>12</v>
      </c>
      <c r="S380" s="1520">
        <v>819000000</v>
      </c>
      <c r="T380" s="1517" t="s">
        <v>135</v>
      </c>
      <c r="U380" s="1572"/>
      <c r="V380" s="1521"/>
      <c r="W380" s="1478" t="str">
        <f t="shared" si="132"/>
        <v>04.13.01</v>
      </c>
      <c r="X380" s="1478" t="str">
        <f t="shared" si="133"/>
        <v>Jalan</v>
      </c>
      <c r="Y380" s="1478">
        <f t="shared" si="134"/>
        <v>10</v>
      </c>
      <c r="Z380" s="1401">
        <f>S380/Y380</f>
        <v>81900000</v>
      </c>
      <c r="AA380" s="1444">
        <f>IF(2013-N380+1&gt;Y380,Y380,IF(2013-N380+1&lt;0,0,2013-N380+1))</f>
        <v>10</v>
      </c>
      <c r="AB380" s="1401">
        <f>IF(AA380&gt;Y380,S380,Z380*AA380)</f>
        <v>819000000</v>
      </c>
      <c r="AC380" s="1401">
        <f>IF(S380=AB380,0,Z380)</f>
        <v>0</v>
      </c>
      <c r="AD380" s="1401">
        <f>IF(S380=AB380+AC380,0,Z380)</f>
        <v>0</v>
      </c>
      <c r="AE380" s="1401">
        <f>IF(S380=AB380+AC380+AD380,0,Z380)</f>
        <v>0</v>
      </c>
      <c r="AF380" s="1401">
        <f>IF(S380=AC380+AD380+AE380+AB380,0,Z380)</f>
        <v>0</v>
      </c>
      <c r="AG380" s="1479">
        <f>IF(S380=AC380+AD380+AE380+AB380+AF380,0,Z380)</f>
        <v>0</v>
      </c>
      <c r="AH380" s="1479">
        <f>IF(S380=AC380+AD380+AE380+AB380+AF380+AG380,0,Z380)</f>
        <v>0</v>
      </c>
      <c r="AI380" s="1479">
        <f t="shared" si="135"/>
        <v>819000000</v>
      </c>
      <c r="AJ380" s="1401">
        <f t="shared" si="136"/>
        <v>0</v>
      </c>
    </row>
    <row r="381" spans="1:36" s="1390" customFormat="1" ht="34" customHeight="1" x14ac:dyDescent="0.15">
      <c r="A381" s="1390">
        <v>229</v>
      </c>
      <c r="B381" s="1472" t="str">
        <f t="shared" si="125"/>
        <v>SIMP. HANDOYO - SUMBER DATAR</v>
      </c>
      <c r="C381" s="1516" t="s">
        <v>4247</v>
      </c>
      <c r="D381" s="1426">
        <v>148</v>
      </c>
      <c r="E381" s="1429" t="s">
        <v>5857</v>
      </c>
      <c r="F381" s="1539"/>
      <c r="G381" s="1517" t="s">
        <v>2494</v>
      </c>
      <c r="H381" s="1518"/>
      <c r="I381" s="1518" t="s">
        <v>479</v>
      </c>
      <c r="J381" s="1533" t="s">
        <v>646</v>
      </c>
      <c r="K381" s="1517"/>
      <c r="L381" s="1519"/>
      <c r="M381" s="1518" t="s">
        <v>647</v>
      </c>
      <c r="N381" s="1517">
        <v>2001</v>
      </c>
      <c r="O381" s="1518"/>
      <c r="P381" s="1518"/>
      <c r="Q381" s="1518" t="s">
        <v>482</v>
      </c>
      <c r="R381" s="1517" t="s">
        <v>12</v>
      </c>
      <c r="S381" s="1520">
        <f>16170000000+F382+F384+F386+F387+F385+F383</f>
        <v>24401962700.472225</v>
      </c>
      <c r="T381" s="1517" t="s">
        <v>43</v>
      </c>
      <c r="U381" s="1572"/>
      <c r="V381" s="1521"/>
      <c r="W381" s="1522" t="str">
        <f t="shared" si="132"/>
        <v>04.13.01</v>
      </c>
      <c r="X381" s="1478" t="str">
        <f t="shared" si="133"/>
        <v>Jalan</v>
      </c>
      <c r="Y381" s="1478">
        <f t="shared" si="134"/>
        <v>10</v>
      </c>
      <c r="Z381" s="1401"/>
      <c r="AA381" s="1444">
        <f>IF(2013-N381&gt;Y381,10,IF(2013-N381&lt;0,0,2013-N381))</f>
        <v>10</v>
      </c>
      <c r="AB381" s="1401">
        <f>SUM(PERHITUNGAN!U1254:U1261)</f>
        <v>16158682750.889561</v>
      </c>
      <c r="AC381" s="1479">
        <f>SUMIF(PERHITUNGAN!A:A,'KIB D'!B381&amp;'KIB D'!$AC$7,PERHITUNGAN!U:U)</f>
        <v>597525728.35826659</v>
      </c>
      <c r="AD381" s="1479">
        <f>SUMIF(PERHITUNGAN!A:A,'KIB D'!B381&amp;'KIB D'!$AD$7,PERHITUNGAN!U:U)</f>
        <v>597525728.35826659</v>
      </c>
      <c r="AE381" s="1479">
        <f>SUMIF(PERHITUNGAN!A:A,'KIB D'!B381&amp;'KIB D'!$AE$7,PERHITUNGAN!U:U)</f>
        <v>597525728.35826659</v>
      </c>
      <c r="AF381" s="1479">
        <f>SUMIF(PERHITUNGAN!A:A,'KIB D'!B381&amp;'KIB D'!$AF$7,PERHITUNGAN!U:U)</f>
        <v>597525728.35826659</v>
      </c>
      <c r="AG381" s="1479">
        <f>SUMIF(PERHITUNGAN!A:A,'KIB D'!B381&amp;'KIB D'!$AG$7,PERHITUNGAN!U:U)</f>
        <v>585317703.61495996</v>
      </c>
      <c r="AH381" s="1479">
        <f>SUMIF(PERHITUNGAN!A:A,'KIB D'!B381&amp;'KIB D'!$AH$7,PERHITUNGAN!U:U)</f>
        <v>585317703.61495996</v>
      </c>
      <c r="AI381" s="1479">
        <f t="shared" si="135"/>
        <v>19719421071.552544</v>
      </c>
      <c r="AJ381" s="1401">
        <f t="shared" si="136"/>
        <v>4682541628.9196815</v>
      </c>
    </row>
    <row r="382" spans="1:36" s="1390" customFormat="1" ht="34" customHeight="1" x14ac:dyDescent="0.2">
      <c r="A382" s="1390">
        <v>229</v>
      </c>
      <c r="B382" s="1472" t="str">
        <f t="shared" si="125"/>
        <v>SIMP. HANDOYO - SUMBER DATAR</v>
      </c>
      <c r="C382" s="1478" t="e">
        <f>RIGHT(#REF!,1)</f>
        <v>#REF!</v>
      </c>
      <c r="D382" s="1426"/>
      <c r="E382" s="1429" t="s">
        <v>1175</v>
      </c>
      <c r="F382" s="1539">
        <v>631947584.81671309</v>
      </c>
      <c r="G382" s="1501" t="s">
        <v>2494</v>
      </c>
      <c r="H382" s="1508"/>
      <c r="I382" s="1416" t="s">
        <v>835</v>
      </c>
      <c r="J382" s="1500">
        <v>3</v>
      </c>
      <c r="K382" s="1416">
        <v>3</v>
      </c>
      <c r="L382" s="1500">
        <v>9</v>
      </c>
      <c r="M382" s="1429" t="s">
        <v>3108</v>
      </c>
      <c r="N382" s="1416">
        <v>2007</v>
      </c>
      <c r="O382" s="1414"/>
      <c r="P382" s="1414"/>
      <c r="Q382" s="1414"/>
      <c r="R382" s="1416" t="s">
        <v>12</v>
      </c>
      <c r="S382" s="1529"/>
      <c r="T382" s="1416" t="s">
        <v>43</v>
      </c>
      <c r="U382" s="1427"/>
      <c r="V382" s="1477"/>
      <c r="W382" s="1478" t="str">
        <f t="shared" si="132"/>
        <v>04.13.01</v>
      </c>
      <c r="X382" s="1478" t="str">
        <f t="shared" si="133"/>
        <v>Jalan</v>
      </c>
      <c r="Y382" s="1478">
        <f t="shared" si="134"/>
        <v>10</v>
      </c>
      <c r="Z382" s="1401"/>
      <c r="AA382" s="1444"/>
      <c r="AB382" s="1401"/>
      <c r="AC382" s="1401"/>
      <c r="AD382" s="1401"/>
      <c r="AE382" s="1401"/>
      <c r="AF382" s="1401"/>
      <c r="AG382" s="1479"/>
      <c r="AH382" s="1479"/>
      <c r="AI382" s="1479"/>
      <c r="AJ382" s="1401">
        <f t="shared" si="136"/>
        <v>0</v>
      </c>
    </row>
    <row r="383" spans="1:36" s="1390" customFormat="1" ht="34" customHeight="1" x14ac:dyDescent="0.2">
      <c r="A383" s="1390">
        <v>229</v>
      </c>
      <c r="B383" s="1472" t="str">
        <f t="shared" si="125"/>
        <v>SIMP. HANDOYO - SUMBER DATAR</v>
      </c>
      <c r="C383" s="1478"/>
      <c r="D383" s="1426"/>
      <c r="E383" s="1429" t="s">
        <v>5082</v>
      </c>
      <c r="F383" s="1539">
        <v>442451120.5388456</v>
      </c>
      <c r="G383" s="1416" t="s">
        <v>2494</v>
      </c>
      <c r="H383" s="1508"/>
      <c r="I383" s="1416"/>
      <c r="J383" s="1500"/>
      <c r="K383" s="1416"/>
      <c r="L383" s="1500"/>
      <c r="M383" s="1429" t="s">
        <v>5083</v>
      </c>
      <c r="N383" s="1416">
        <v>2007</v>
      </c>
      <c r="O383" s="1414"/>
      <c r="P383" s="1414"/>
      <c r="Q383" s="1414"/>
      <c r="R383" s="1416" t="s">
        <v>12</v>
      </c>
      <c r="S383" s="1529"/>
      <c r="T383" s="1416" t="s">
        <v>43</v>
      </c>
      <c r="U383" s="1427"/>
      <c r="V383" s="1477"/>
      <c r="W383" s="1478"/>
      <c r="X383" s="1478"/>
      <c r="Y383" s="1478"/>
      <c r="Z383" s="1401"/>
      <c r="AA383" s="1444"/>
      <c r="AB383" s="1401"/>
      <c r="AC383" s="1401"/>
      <c r="AD383" s="1401"/>
      <c r="AE383" s="1401"/>
      <c r="AF383" s="1401"/>
      <c r="AG383" s="1479"/>
      <c r="AH383" s="1479"/>
      <c r="AI383" s="1479"/>
      <c r="AJ383" s="1401"/>
    </row>
    <row r="384" spans="1:36" s="1390" customFormat="1" ht="34" customHeight="1" x14ac:dyDescent="0.2">
      <c r="A384" s="1390">
        <v>229</v>
      </c>
      <c r="B384" s="1472" t="str">
        <f t="shared" si="125"/>
        <v>SIMP. HANDOYO - SUMBER DATAR</v>
      </c>
      <c r="C384" s="1478" t="e">
        <f>RIGHT(#REF!,1)</f>
        <v>#REF!</v>
      </c>
      <c r="D384" s="1426"/>
      <c r="E384" s="1429" t="s">
        <v>1226</v>
      </c>
      <c r="F384" s="1539">
        <v>1650335467.45</v>
      </c>
      <c r="G384" s="1416" t="s">
        <v>2494</v>
      </c>
      <c r="H384" s="1508"/>
      <c r="I384" s="1416" t="s">
        <v>519</v>
      </c>
      <c r="J384" s="1500"/>
      <c r="K384" s="1416"/>
      <c r="L384" s="1500">
        <v>1000</v>
      </c>
      <c r="M384" s="1429" t="s">
        <v>3134</v>
      </c>
      <c r="N384" s="1416">
        <v>2011</v>
      </c>
      <c r="O384" s="1414"/>
      <c r="P384" s="1414"/>
      <c r="Q384" s="1414"/>
      <c r="R384" s="1416" t="s">
        <v>12</v>
      </c>
      <c r="S384" s="1529"/>
      <c r="T384" s="1416" t="s">
        <v>43</v>
      </c>
      <c r="U384" s="1427"/>
      <c r="V384" s="1477"/>
      <c r="W384" s="1478" t="str">
        <f t="shared" ref="W384:W389" si="137">LEFT(G384,8)</f>
        <v>04.13.01</v>
      </c>
      <c r="X384" s="1478" t="str">
        <f t="shared" ref="X384:X389" si="138">VLOOKUP(W384,UE,3,FALSE)</f>
        <v>Jalan</v>
      </c>
      <c r="Y384" s="1478">
        <f t="shared" ref="Y384:Y389" si="139">VLOOKUP(W384,UE,4,FALSE)</f>
        <v>10</v>
      </c>
      <c r="Z384" s="1401"/>
      <c r="AA384" s="1444"/>
      <c r="AB384" s="1401"/>
      <c r="AC384" s="1401"/>
      <c r="AD384" s="1401"/>
      <c r="AE384" s="1401"/>
      <c r="AF384" s="1401"/>
      <c r="AG384" s="1479"/>
      <c r="AH384" s="1479"/>
      <c r="AI384" s="1479"/>
      <c r="AJ384" s="1401">
        <f t="shared" ref="AJ384:AJ389" si="140">S384-AI384</f>
        <v>0</v>
      </c>
    </row>
    <row r="385" spans="1:36" s="1390" customFormat="1" ht="34" customHeight="1" x14ac:dyDescent="0.2">
      <c r="A385" s="1390">
        <v>229</v>
      </c>
      <c r="B385" s="1472" t="str">
        <f t="shared" si="125"/>
        <v>SIMP. HANDOYO - SUMBER DATAR</v>
      </c>
      <c r="C385" s="1478" t="e">
        <f>RIGHT(#REF!,1)</f>
        <v>#REF!</v>
      </c>
      <c r="D385" s="1426"/>
      <c r="E385" s="1429" t="s">
        <v>5068</v>
      </c>
      <c r="F385" s="1539">
        <v>1311829019.6666667</v>
      </c>
      <c r="G385" s="1416" t="s">
        <v>2494</v>
      </c>
      <c r="H385" s="1508"/>
      <c r="I385" s="1416" t="s">
        <v>519</v>
      </c>
      <c r="J385" s="1500"/>
      <c r="K385" s="1416"/>
      <c r="L385" s="1500"/>
      <c r="M385" s="1429" t="s">
        <v>3750</v>
      </c>
      <c r="N385" s="1416">
        <v>2012</v>
      </c>
      <c r="O385" s="1414"/>
      <c r="P385" s="1414"/>
      <c r="Q385" s="1414"/>
      <c r="R385" s="1416" t="s">
        <v>12</v>
      </c>
      <c r="S385" s="1529"/>
      <c r="T385" s="1416" t="s">
        <v>43</v>
      </c>
      <c r="U385" s="1427"/>
      <c r="V385" s="1477"/>
      <c r="W385" s="1478" t="str">
        <f t="shared" si="137"/>
        <v>04.13.01</v>
      </c>
      <c r="X385" s="1478" t="str">
        <f t="shared" si="138"/>
        <v>Jalan</v>
      </c>
      <c r="Y385" s="1478">
        <f t="shared" si="139"/>
        <v>10</v>
      </c>
      <c r="Z385" s="1401"/>
      <c r="AA385" s="1444"/>
      <c r="AB385" s="1401"/>
      <c r="AC385" s="1401"/>
      <c r="AD385" s="1401"/>
      <c r="AE385" s="1401"/>
      <c r="AF385" s="1401"/>
      <c r="AG385" s="1479"/>
      <c r="AH385" s="1479"/>
      <c r="AI385" s="1479"/>
      <c r="AJ385" s="1401">
        <f t="shared" si="140"/>
        <v>0</v>
      </c>
    </row>
    <row r="386" spans="1:36" s="1390" customFormat="1" ht="34" customHeight="1" x14ac:dyDescent="0.15">
      <c r="A386" s="1390">
        <v>229</v>
      </c>
      <c r="B386" s="1472" t="str">
        <f t="shared" si="125"/>
        <v>SIMP. HANDOYO - SUMBER DATAR</v>
      </c>
      <c r="C386" s="1516" t="s">
        <v>4247</v>
      </c>
      <c r="D386" s="1426"/>
      <c r="E386" s="1429" t="s">
        <v>1315</v>
      </c>
      <c r="F386" s="1520">
        <f>1927376842</f>
        <v>1927376842</v>
      </c>
      <c r="G386" s="1517" t="s">
        <v>2494</v>
      </c>
      <c r="H386" s="1518"/>
      <c r="I386" s="1518"/>
      <c r="J386" s="1519">
        <v>0</v>
      </c>
      <c r="K386" s="1517"/>
      <c r="L386" s="1519">
        <v>0</v>
      </c>
      <c r="M386" s="1518" t="s">
        <v>3189</v>
      </c>
      <c r="N386" s="1517">
        <v>2014</v>
      </c>
      <c r="O386" s="1518"/>
      <c r="P386" s="1518"/>
      <c r="Q386" s="1518"/>
      <c r="R386" s="1517" t="s">
        <v>12</v>
      </c>
      <c r="S386" s="1520"/>
      <c r="T386" s="1518"/>
      <c r="U386" s="1572"/>
      <c r="V386" s="1521"/>
      <c r="W386" s="1522" t="str">
        <f t="shared" si="137"/>
        <v>04.13.01</v>
      </c>
      <c r="X386" s="1478" t="str">
        <f t="shared" si="138"/>
        <v>Jalan</v>
      </c>
      <c r="Y386" s="1478">
        <f t="shared" si="139"/>
        <v>10</v>
      </c>
      <c r="Z386" s="1401"/>
      <c r="AA386" s="1444"/>
      <c r="AB386" s="1401"/>
      <c r="AC386" s="1401"/>
      <c r="AD386" s="1401"/>
      <c r="AE386" s="1401"/>
      <c r="AF386" s="1401"/>
      <c r="AG386" s="1479"/>
      <c r="AH386" s="1479"/>
      <c r="AI386" s="1479"/>
      <c r="AJ386" s="1401">
        <f t="shared" si="140"/>
        <v>0</v>
      </c>
    </row>
    <row r="387" spans="1:36" s="1390" customFormat="1" ht="34" customHeight="1" x14ac:dyDescent="0.15">
      <c r="A387" s="1390">
        <v>229</v>
      </c>
      <c r="B387" s="1472" t="str">
        <f t="shared" si="125"/>
        <v>SIMP. HANDOYO - SUMBER DATAR</v>
      </c>
      <c r="C387" s="1516" t="s">
        <v>4247</v>
      </c>
      <c r="D387" s="1426"/>
      <c r="E387" s="1429" t="s">
        <v>3322</v>
      </c>
      <c r="F387" s="1539">
        <v>2268022666</v>
      </c>
      <c r="G387" s="1517" t="s">
        <v>2494</v>
      </c>
      <c r="H387" s="1518"/>
      <c r="I387" s="1518"/>
      <c r="J387" s="1519">
        <v>0</v>
      </c>
      <c r="K387" s="1517"/>
      <c r="L387" s="1519">
        <v>0</v>
      </c>
      <c r="M387" s="1518" t="s">
        <v>3189</v>
      </c>
      <c r="N387" s="1517">
        <v>2018</v>
      </c>
      <c r="O387" s="1518"/>
      <c r="P387" s="1518"/>
      <c r="Q387" s="1518"/>
      <c r="R387" s="1517" t="s">
        <v>12</v>
      </c>
      <c r="S387" s="1520"/>
      <c r="T387" s="1518"/>
      <c r="U387" s="1572"/>
      <c r="V387" s="1521"/>
      <c r="W387" s="1522" t="str">
        <f t="shared" si="137"/>
        <v>04.13.01</v>
      </c>
      <c r="X387" s="1478" t="str">
        <f t="shared" si="138"/>
        <v>Jalan</v>
      </c>
      <c r="Y387" s="1478">
        <f t="shared" si="139"/>
        <v>10</v>
      </c>
      <c r="Z387" s="1401"/>
      <c r="AA387" s="1444"/>
      <c r="AB387" s="1401"/>
      <c r="AC387" s="1401"/>
      <c r="AD387" s="1401"/>
      <c r="AE387" s="1401"/>
      <c r="AF387" s="1401"/>
      <c r="AG387" s="1479"/>
      <c r="AH387" s="1479"/>
      <c r="AI387" s="1479"/>
      <c r="AJ387" s="1401">
        <f t="shared" si="140"/>
        <v>0</v>
      </c>
    </row>
    <row r="388" spans="1:36" s="1390" customFormat="1" ht="34" customHeight="1" x14ac:dyDescent="0.15">
      <c r="A388" s="1390">
        <v>230</v>
      </c>
      <c r="B388" s="1472" t="str">
        <f t="shared" si="125"/>
        <v>LOGAS - SUMBER DATAR</v>
      </c>
      <c r="C388" s="1516" t="s">
        <v>4247</v>
      </c>
      <c r="D388" s="1426">
        <v>149</v>
      </c>
      <c r="E388" s="1429" t="s">
        <v>5858</v>
      </c>
      <c r="F388" s="1539"/>
      <c r="G388" s="1517" t="s">
        <v>2494</v>
      </c>
      <c r="H388" s="1518"/>
      <c r="I388" s="1518" t="s">
        <v>839</v>
      </c>
      <c r="J388" s="1533">
        <v>0</v>
      </c>
      <c r="K388" s="1517"/>
      <c r="L388" s="1519">
        <v>0</v>
      </c>
      <c r="M388" s="1518" t="s">
        <v>3175</v>
      </c>
      <c r="N388" s="1517">
        <v>2013</v>
      </c>
      <c r="O388" s="1518"/>
      <c r="P388" s="1518"/>
      <c r="Q388" s="1518"/>
      <c r="R388" s="1517" t="s">
        <v>12</v>
      </c>
      <c r="S388" s="1520">
        <f>716925612+F389+F390</f>
        <v>5661180811.75</v>
      </c>
      <c r="T388" s="1518"/>
      <c r="U388" s="1572"/>
      <c r="V388" s="1521"/>
      <c r="W388" s="1522" t="str">
        <f t="shared" si="137"/>
        <v>04.13.01</v>
      </c>
      <c r="X388" s="1478" t="str">
        <f t="shared" si="138"/>
        <v>Jalan</v>
      </c>
      <c r="Y388" s="1478">
        <f t="shared" si="139"/>
        <v>10</v>
      </c>
      <c r="Z388" s="1401"/>
      <c r="AA388" s="1444">
        <f>IF(2013-N388&gt;Y388,10,IF(2013-N388&lt;0,0,2013-N388))</f>
        <v>0</v>
      </c>
      <c r="AB388" s="1401">
        <f>SUM(PERHITUNGAN!U1276)</f>
        <v>71692561.200000003</v>
      </c>
      <c r="AC388" s="1479">
        <f>SUMIF(PERHITUNGAN!A:A,'KIB D'!B388&amp;'KIB D'!$AC$7,PERHITUNGAN!U:U)</f>
        <v>71692561.200000003</v>
      </c>
      <c r="AD388" s="1479">
        <f>SUMIF(PERHITUNGAN!A:A,'KIB D'!B388&amp;'KIB D'!$AD$7,PERHITUNGAN!U:U)</f>
        <v>71692561.200000003</v>
      </c>
      <c r="AE388" s="1479">
        <f>SUMIF(PERHITUNGAN!A:A,'KIB D'!B388&amp;'KIB D'!$AE$7,PERHITUNGAN!U:U)</f>
        <v>332117615.50400001</v>
      </c>
      <c r="AF388" s="1479">
        <f>SUMIF(PERHITUNGAN!A:A,'KIB D'!B388&amp;'KIB D'!$AF$7,PERHITUNGAN!U:U)</f>
        <v>332117615.50400001</v>
      </c>
      <c r="AG388" s="1479">
        <f>SUMIF(PERHITUNGAN!A:A,'KIB D'!B388&amp;'KIB D'!$AG$7,PERHITUNGAN!U:U)</f>
        <v>332117615.50400001</v>
      </c>
      <c r="AH388" s="1479">
        <f>SUMIF(PERHITUNGAN!A:A,'KIB D'!B388&amp;'KIB D'!$AH$7,PERHITUNGAN!U:U)</f>
        <v>444975028.16379994</v>
      </c>
      <c r="AI388" s="1479">
        <f>SUM(AB388:AH388)</f>
        <v>1656405558.2758</v>
      </c>
      <c r="AJ388" s="1401">
        <f t="shared" si="140"/>
        <v>4004775253.4742002</v>
      </c>
    </row>
    <row r="389" spans="1:36" s="1390" customFormat="1" ht="34" customHeight="1" x14ac:dyDescent="0.15">
      <c r="A389" s="1390">
        <v>230</v>
      </c>
      <c r="B389" s="1472" t="str">
        <f t="shared" si="125"/>
        <v>LOGAS - SUMBER DATAR</v>
      </c>
      <c r="C389" s="1516" t="s">
        <v>4247</v>
      </c>
      <c r="D389" s="1426"/>
      <c r="E389" s="1429" t="s">
        <v>1442</v>
      </c>
      <c r="F389" s="1539">
        <v>2819328226.6399999</v>
      </c>
      <c r="G389" s="1517" t="s">
        <v>2494</v>
      </c>
      <c r="H389" s="1518"/>
      <c r="I389" s="1518"/>
      <c r="J389" s="1519">
        <v>0</v>
      </c>
      <c r="K389" s="1517"/>
      <c r="L389" s="1519">
        <v>0</v>
      </c>
      <c r="M389" s="1518" t="s">
        <v>3257</v>
      </c>
      <c r="N389" s="1517">
        <v>2016</v>
      </c>
      <c r="O389" s="1518"/>
      <c r="P389" s="1518"/>
      <c r="Q389" s="1518"/>
      <c r="R389" s="1517" t="s">
        <v>12</v>
      </c>
      <c r="S389" s="1520"/>
      <c r="T389" s="1518"/>
      <c r="U389" s="1572"/>
      <c r="V389" s="1521"/>
      <c r="W389" s="1522" t="str">
        <f t="shared" si="137"/>
        <v>04.13.01</v>
      </c>
      <c r="X389" s="1478" t="str">
        <f t="shared" si="138"/>
        <v>Jalan</v>
      </c>
      <c r="Y389" s="1478">
        <f t="shared" si="139"/>
        <v>10</v>
      </c>
      <c r="Z389" s="1401"/>
      <c r="AA389" s="1444"/>
      <c r="AB389" s="1401"/>
      <c r="AC389" s="1401"/>
      <c r="AD389" s="1401"/>
      <c r="AE389" s="1401"/>
      <c r="AF389" s="1401"/>
      <c r="AG389" s="1479"/>
      <c r="AH389" s="1479"/>
      <c r="AI389" s="1479"/>
      <c r="AJ389" s="1401">
        <f t="shared" si="140"/>
        <v>0</v>
      </c>
    </row>
    <row r="390" spans="1:36" s="1390" customFormat="1" ht="34" customHeight="1" x14ac:dyDescent="0.15">
      <c r="A390" s="1390">
        <v>230</v>
      </c>
      <c r="B390" s="1472" t="str">
        <f t="shared" si="125"/>
        <v>LOGAS - SUMBER DATAR</v>
      </c>
      <c r="C390" s="1516"/>
      <c r="D390" s="1426"/>
      <c r="E390" s="1429" t="s">
        <v>5679</v>
      </c>
      <c r="F390" s="1539">
        <v>2124926973.1099999</v>
      </c>
      <c r="G390" s="1517" t="s">
        <v>2494</v>
      </c>
      <c r="H390" s="1518"/>
      <c r="I390" s="1518" t="s">
        <v>5532</v>
      </c>
      <c r="J390" s="1519">
        <v>1000</v>
      </c>
      <c r="K390" s="1517">
        <v>4</v>
      </c>
      <c r="L390" s="1519">
        <f>J390*K390</f>
        <v>4000</v>
      </c>
      <c r="M390" s="1518" t="s">
        <v>3751</v>
      </c>
      <c r="N390" s="1517">
        <v>2019</v>
      </c>
      <c r="O390" s="1518" t="s">
        <v>5490</v>
      </c>
      <c r="P390" s="1518" t="s">
        <v>433</v>
      </c>
      <c r="Q390" s="1518"/>
      <c r="R390" s="1517" t="s">
        <v>12</v>
      </c>
      <c r="S390" s="1520"/>
      <c r="T390" s="1518"/>
      <c r="U390" s="1572"/>
      <c r="V390" s="1521"/>
      <c r="W390" s="1522"/>
      <c r="X390" s="1478"/>
      <c r="Y390" s="1478"/>
      <c r="Z390" s="1401"/>
      <c r="AA390" s="1444"/>
      <c r="AB390" s="1401"/>
      <c r="AC390" s="1401"/>
      <c r="AD390" s="1401"/>
      <c r="AE390" s="1401"/>
      <c r="AF390" s="1401"/>
      <c r="AG390" s="1479"/>
      <c r="AH390" s="1479"/>
      <c r="AI390" s="1479"/>
      <c r="AJ390" s="1401"/>
    </row>
    <row r="391" spans="1:36" s="1390" customFormat="1" ht="34" customHeight="1" x14ac:dyDescent="0.2">
      <c r="A391" s="1390">
        <v>231</v>
      </c>
      <c r="B391" s="1472" t="str">
        <f t="shared" si="125"/>
        <v>PASIR MAS - SAKO MARGASARI</v>
      </c>
      <c r="C391" s="1478" t="e">
        <f>RIGHT(#REF!,1)</f>
        <v>#REF!</v>
      </c>
      <c r="D391" s="1426">
        <v>150</v>
      </c>
      <c r="E391" s="1429" t="s">
        <v>5859</v>
      </c>
      <c r="F391" s="1529"/>
      <c r="G391" s="1501" t="s">
        <v>2494</v>
      </c>
      <c r="H391" s="1501"/>
      <c r="I391" s="1414"/>
      <c r="J391" s="1540"/>
      <c r="K391" s="1416"/>
      <c r="L391" s="1430"/>
      <c r="M391" s="1429" t="s">
        <v>3190</v>
      </c>
      <c r="N391" s="1501">
        <v>2014</v>
      </c>
      <c r="O391" s="1414"/>
      <c r="P391" s="1414"/>
      <c r="Q391" s="1414"/>
      <c r="R391" s="1517" t="s">
        <v>12</v>
      </c>
      <c r="S391" s="1527">
        <f>1913817758+F392</f>
        <v>3979841624.1999998</v>
      </c>
      <c r="T391" s="1528"/>
      <c r="U391" s="1575"/>
      <c r="V391" s="1490"/>
      <c r="W391" s="1478" t="str">
        <f t="shared" ref="W391:W401" si="141">LEFT(G391,8)</f>
        <v>04.13.01</v>
      </c>
      <c r="X391" s="1478" t="str">
        <f t="shared" ref="X391:X401" si="142">VLOOKUP(W391,UE,3,FALSE)</f>
        <v>Jalan</v>
      </c>
      <c r="Y391" s="1478">
        <f t="shared" ref="Y391:Y401" si="143">VLOOKUP(W391,UE,4,FALSE)</f>
        <v>10</v>
      </c>
      <c r="Z391" s="1401"/>
      <c r="AA391" s="1444">
        <f>IF(2013-N391&gt;Y391,10,IF(2013-N391&lt;0,0,2013-N391))</f>
        <v>0</v>
      </c>
      <c r="AB391" s="1401">
        <v>0</v>
      </c>
      <c r="AC391" s="1479">
        <f>SUMIF(PERHITUNGAN!A:A,'KIB D'!B391&amp;'KIB D'!$AC$7,PERHITUNGAN!U:U)</f>
        <v>191381775.80000001</v>
      </c>
      <c r="AD391" s="1479">
        <f>SUMIF(PERHITUNGAN!A:A,'KIB D'!B391&amp;'KIB D'!$AD$7,PERHITUNGAN!U:U)</f>
        <v>378845984.84000003</v>
      </c>
      <c r="AE391" s="1479">
        <f>SUMIF(PERHITUNGAN!A:A,'KIB D'!B391&amp;'KIB D'!$AE$7,PERHITUNGAN!U:U)</f>
        <v>378845984.84000003</v>
      </c>
      <c r="AF391" s="1479">
        <f>SUMIF(PERHITUNGAN!A:A,'KIB D'!B391&amp;'KIB D'!$AF$7,PERHITUNGAN!U:U)</f>
        <v>378845984.84000003</v>
      </c>
      <c r="AG391" s="1479">
        <f>SUMIF(PERHITUNGAN!A:A,'KIB D'!B391&amp;'KIB D'!$AG$7,PERHITUNGAN!U:U)</f>
        <v>378845984.84000003</v>
      </c>
      <c r="AH391" s="1479">
        <f>SUMIF(PERHITUNGAN!A:A,'KIB D'!B391&amp;'KIB D'!$AH$7,PERHITUNGAN!U:U)</f>
        <v>378845984.84000003</v>
      </c>
      <c r="AI391" s="1479">
        <f>SUM(AB391:AH391)</f>
        <v>2085611700.0000005</v>
      </c>
      <c r="AJ391" s="1401">
        <f>S391-AI391</f>
        <v>1894229924.1999993</v>
      </c>
    </row>
    <row r="392" spans="1:36" s="1390" customFormat="1" ht="34" customHeight="1" x14ac:dyDescent="0.2">
      <c r="A392" s="1390">
        <v>231</v>
      </c>
      <c r="B392" s="1472" t="str">
        <f t="shared" si="125"/>
        <v>PASIR MAS - SAKO MARGASARI</v>
      </c>
      <c r="C392" s="1478" t="e">
        <f>RIGHT(#REF!,1)</f>
        <v>#REF!</v>
      </c>
      <c r="D392" s="1426"/>
      <c r="E392" s="1429" t="s">
        <v>1377</v>
      </c>
      <c r="F392" s="1539">
        <v>2066023866.2</v>
      </c>
      <c r="G392" s="1517" t="s">
        <v>2494</v>
      </c>
      <c r="H392" s="1518"/>
      <c r="I392" s="1518"/>
      <c r="J392" s="1519">
        <v>0</v>
      </c>
      <c r="K392" s="1517"/>
      <c r="L392" s="1519">
        <v>0</v>
      </c>
      <c r="M392" s="1518" t="s">
        <v>3222</v>
      </c>
      <c r="N392" s="1517">
        <v>2015</v>
      </c>
      <c r="O392" s="1518"/>
      <c r="P392" s="1518"/>
      <c r="Q392" s="1518"/>
      <c r="R392" s="1517" t="s">
        <v>12</v>
      </c>
      <c r="S392" s="1520"/>
      <c r="T392" s="1518"/>
      <c r="U392" s="1572"/>
      <c r="V392" s="1521"/>
      <c r="W392" s="1478" t="str">
        <f t="shared" si="141"/>
        <v>04.13.01</v>
      </c>
      <c r="X392" s="1478" t="str">
        <f t="shared" si="142"/>
        <v>Jalan</v>
      </c>
      <c r="Y392" s="1478">
        <f t="shared" si="143"/>
        <v>10</v>
      </c>
      <c r="Z392" s="1401"/>
      <c r="AA392" s="1444"/>
      <c r="AB392" s="1401"/>
      <c r="AC392" s="1401"/>
      <c r="AD392" s="1401"/>
      <c r="AE392" s="1401"/>
      <c r="AF392" s="1401"/>
      <c r="AG392" s="1479"/>
      <c r="AH392" s="1479"/>
      <c r="AI392" s="1479"/>
      <c r="AJ392" s="1401">
        <f>S392-AI392</f>
        <v>0</v>
      </c>
    </row>
    <row r="393" spans="1:36" s="1390" customFormat="1" ht="34" customHeight="1" x14ac:dyDescent="0.2">
      <c r="A393" s="1390">
        <v>233</v>
      </c>
      <c r="B393" s="1472" t="str">
        <f t="shared" si="125"/>
        <v>SP. KEBUN LADO - SEI. SIRIH</v>
      </c>
      <c r="C393" s="1478" t="e">
        <f>RIGHT(#REF!,1)</f>
        <v>#REF!</v>
      </c>
      <c r="D393" s="1426">
        <v>151</v>
      </c>
      <c r="E393" s="1429" t="s">
        <v>529</v>
      </c>
      <c r="F393" s="1539"/>
      <c r="G393" s="1517" t="s">
        <v>2494</v>
      </c>
      <c r="H393" s="1518"/>
      <c r="I393" s="1518" t="s">
        <v>479</v>
      </c>
      <c r="J393" s="1533" t="s">
        <v>641</v>
      </c>
      <c r="K393" s="1517">
        <v>8</v>
      </c>
      <c r="L393" s="1519">
        <v>28000</v>
      </c>
      <c r="M393" s="1518" t="s">
        <v>642</v>
      </c>
      <c r="N393" s="1517">
        <v>2001</v>
      </c>
      <c r="O393" s="1518"/>
      <c r="P393" s="1518"/>
      <c r="Q393" s="1518" t="s">
        <v>482</v>
      </c>
      <c r="R393" s="1517" t="s">
        <v>12</v>
      </c>
      <c r="S393" s="1520">
        <v>8400000000</v>
      </c>
      <c r="T393" s="1517" t="s">
        <v>43</v>
      </c>
      <c r="U393" s="1572"/>
      <c r="V393" s="1521"/>
      <c r="W393" s="1478" t="str">
        <f t="shared" si="141"/>
        <v>04.13.01</v>
      </c>
      <c r="X393" s="1478" t="str">
        <f t="shared" si="142"/>
        <v>Jalan</v>
      </c>
      <c r="Y393" s="1478">
        <f t="shared" si="143"/>
        <v>10</v>
      </c>
      <c r="Z393" s="1401">
        <f>S393/Y393</f>
        <v>840000000</v>
      </c>
      <c r="AA393" s="1444">
        <f>IF(2013-N393+1&gt;Y393,Y393,IF(2013-N393+1&lt;0,0,2013-N393+1))</f>
        <v>10</v>
      </c>
      <c r="AB393" s="1401">
        <f>IF(AA393&gt;Y393,S393,Z393*AA393)</f>
        <v>8400000000</v>
      </c>
      <c r="AC393" s="1401">
        <f>IF(S393=AB393,0,Z393)</f>
        <v>0</v>
      </c>
      <c r="AD393" s="1401">
        <f>IF(S393=AB393+AC393,0,Z393)</f>
        <v>0</v>
      </c>
      <c r="AE393" s="1401">
        <f>IF(S393=AB393+AC393+AD393,0,Z393)</f>
        <v>0</v>
      </c>
      <c r="AF393" s="1401">
        <f>IF(S393=AC393+AD393+AE393+AB393,0,Z393)</f>
        <v>0</v>
      </c>
      <c r="AG393" s="1479">
        <f>IF(S393=AC393+AD393+AE393+AB393+AF393,0,Z393)</f>
        <v>0</v>
      </c>
      <c r="AH393" s="1479">
        <f>IF(S393=AC393+AD393+AE393+AB393+AF393+AG393,0,Z393)</f>
        <v>0</v>
      </c>
      <c r="AI393" s="1479">
        <f>SUM(AB393:AH393)</f>
        <v>8400000000</v>
      </c>
      <c r="AJ393" s="1401">
        <f>S393-AI393</f>
        <v>0</v>
      </c>
    </row>
    <row r="394" spans="1:36" s="1390" customFormat="1" ht="34" customHeight="1" x14ac:dyDescent="0.2">
      <c r="A394" s="1390">
        <v>235</v>
      </c>
      <c r="B394" s="1472" t="str">
        <f t="shared" si="125"/>
        <v>AIR MAS - SEI. KERANJI</v>
      </c>
      <c r="C394" s="1478" t="e">
        <f>RIGHT(#REF!,1)</f>
        <v>#REF!</v>
      </c>
      <c r="D394" s="1426">
        <v>152</v>
      </c>
      <c r="E394" s="1429" t="s">
        <v>5860</v>
      </c>
      <c r="F394" s="1539"/>
      <c r="G394" s="1517" t="s">
        <v>3821</v>
      </c>
      <c r="H394" s="1518"/>
      <c r="I394" s="1518" t="s">
        <v>484</v>
      </c>
      <c r="J394" s="1533" t="s">
        <v>715</v>
      </c>
      <c r="K394" s="1517"/>
      <c r="L394" s="1519"/>
      <c r="M394" s="1518" t="s">
        <v>716</v>
      </c>
      <c r="N394" s="1517">
        <v>2001</v>
      </c>
      <c r="O394" s="1518"/>
      <c r="P394" s="1518"/>
      <c r="Q394" s="1518" t="s">
        <v>482</v>
      </c>
      <c r="R394" s="1517" t="s">
        <v>12</v>
      </c>
      <c r="S394" s="1520">
        <f>1229280000+F395+F396+F397+F398+F399</f>
        <v>7518448923.41675</v>
      </c>
      <c r="T394" s="1517" t="s">
        <v>43</v>
      </c>
      <c r="U394" s="1572"/>
      <c r="V394" s="1521"/>
      <c r="W394" s="1478" t="str">
        <f t="shared" si="141"/>
        <v>04.13.01</v>
      </c>
      <c r="X394" s="1478" t="str">
        <f t="shared" si="142"/>
        <v>Jalan</v>
      </c>
      <c r="Y394" s="1478">
        <f t="shared" si="143"/>
        <v>10</v>
      </c>
      <c r="Z394" s="1401"/>
      <c r="AA394" s="1444">
        <f>IF(2013-N394&gt;Y394,10,IF(2013-N394&lt;0,0,2013-N394))</f>
        <v>10</v>
      </c>
      <c r="AB394" s="1401">
        <f>SUM(PERHITUNGAN!U1308:U1312)</f>
        <v>1892232583.28335</v>
      </c>
      <c r="AC394" s="1479">
        <f>SUMIF(PERHITUNGAN!A:A,'KIB D'!B394&amp;'KIB D'!$AC$7,PERHITUNGAN!U:U)</f>
        <v>297322430.81334001</v>
      </c>
      <c r="AD394" s="1479">
        <f>SUMIF(PERHITUNGAN!A:A,'KIB D'!B394&amp;'KIB D'!$AD$7,PERHITUNGAN!U:U)</f>
        <v>286943442.63200599</v>
      </c>
      <c r="AE394" s="1479">
        <f>SUMIF(PERHITUNGAN!A:A,'KIB D'!B394&amp;'KIB D'!$AE$7,PERHITUNGAN!U:U)</f>
        <v>286943442.63200599</v>
      </c>
      <c r="AF394" s="1479">
        <f>SUMIF(PERHITUNGAN!A:A,'KIB D'!B394&amp;'KIB D'!$AF$7,PERHITUNGAN!U:U)</f>
        <v>248452754.10560474</v>
      </c>
      <c r="AG394" s="1479">
        <f>SUMIF(PERHITUNGAN!A:A,'KIB D'!B394&amp;'KIB D'!$AG$7,PERHITUNGAN!U:U)</f>
        <v>450655426.99504435</v>
      </c>
      <c r="AH394" s="1479">
        <f>SUMIF(PERHITUNGAN!A:A,'KIB D'!B394&amp;'KIB D'!$AH$7,PERHITUNGAN!U:U)</f>
        <v>450655426.99504435</v>
      </c>
      <c r="AI394" s="1479">
        <f>SUM(AB394:AH394)</f>
        <v>3913205507.4563956</v>
      </c>
      <c r="AJ394" s="1401">
        <f>S394-AI394</f>
        <v>3605243415.9603543</v>
      </c>
    </row>
    <row r="395" spans="1:36" s="1390" customFormat="1" ht="34" customHeight="1" x14ac:dyDescent="0.15">
      <c r="A395" s="1390">
        <v>235</v>
      </c>
      <c r="B395" s="1472" t="str">
        <f t="shared" si="125"/>
        <v>AIR MAS - SEI. KERANJI</v>
      </c>
      <c r="C395" s="1516" t="s">
        <v>4247</v>
      </c>
      <c r="D395" s="1426"/>
      <c r="E395" s="1429" t="s">
        <v>1245</v>
      </c>
      <c r="F395" s="1539">
        <v>3314762916.41675</v>
      </c>
      <c r="G395" s="1517" t="s">
        <v>2494</v>
      </c>
      <c r="H395" s="1518"/>
      <c r="I395" s="1518" t="s">
        <v>519</v>
      </c>
      <c r="J395" s="1519">
        <v>0</v>
      </c>
      <c r="K395" s="1517"/>
      <c r="L395" s="1519">
        <v>0</v>
      </c>
      <c r="M395" s="1518" t="s">
        <v>3146</v>
      </c>
      <c r="N395" s="1517">
        <v>2012</v>
      </c>
      <c r="O395" s="1518"/>
      <c r="P395" s="1518"/>
      <c r="Q395" s="1518"/>
      <c r="R395" s="1517" t="s">
        <v>12</v>
      </c>
      <c r="S395" s="1520"/>
      <c r="T395" s="1517" t="s">
        <v>43</v>
      </c>
      <c r="U395" s="1572"/>
      <c r="V395" s="1521"/>
      <c r="W395" s="1522" t="str">
        <f t="shared" si="141"/>
        <v>04.13.01</v>
      </c>
      <c r="X395" s="1478" t="str">
        <f t="shared" si="142"/>
        <v>Jalan</v>
      </c>
      <c r="Y395" s="1478">
        <f t="shared" si="143"/>
        <v>10</v>
      </c>
      <c r="Z395" s="1401"/>
      <c r="AA395" s="1444"/>
      <c r="AB395" s="1401"/>
      <c r="AC395" s="1401"/>
      <c r="AD395" s="1401"/>
      <c r="AE395" s="1401"/>
      <c r="AF395" s="1401"/>
      <c r="AG395" s="1479"/>
      <c r="AH395" s="1479"/>
      <c r="AI395" s="1479"/>
      <c r="AJ395" s="1401">
        <f>S395-AI395</f>
        <v>0</v>
      </c>
    </row>
    <row r="396" spans="1:36" s="1390" customFormat="1" ht="34" customHeight="1" x14ac:dyDescent="0.15">
      <c r="A396" s="1390">
        <v>235</v>
      </c>
      <c r="B396" s="1472" t="str">
        <f t="shared" si="125"/>
        <v>AIR MAS - SEI. KERANJI</v>
      </c>
      <c r="C396" s="1516" t="s">
        <v>4247</v>
      </c>
      <c r="D396" s="1426"/>
      <c r="E396" s="1429" t="s">
        <v>1316</v>
      </c>
      <c r="F396" s="1539">
        <v>321413975</v>
      </c>
      <c r="G396" s="1517" t="s">
        <v>2494</v>
      </c>
      <c r="H396" s="1518"/>
      <c r="I396" s="1518"/>
      <c r="J396" s="1519">
        <v>0</v>
      </c>
      <c r="K396" s="1517"/>
      <c r="L396" s="1519">
        <v>0</v>
      </c>
      <c r="M396" s="1518" t="s">
        <v>3146</v>
      </c>
      <c r="N396" s="1517">
        <v>2014</v>
      </c>
      <c r="O396" s="1518"/>
      <c r="P396" s="1518"/>
      <c r="Q396" s="1518"/>
      <c r="R396" s="1517" t="s">
        <v>12</v>
      </c>
      <c r="S396" s="1520"/>
      <c r="T396" s="1518"/>
      <c r="U396" s="1572"/>
      <c r="V396" s="1521"/>
      <c r="W396" s="1522" t="str">
        <f t="shared" si="141"/>
        <v>04.13.01</v>
      </c>
      <c r="X396" s="1478" t="str">
        <f t="shared" si="142"/>
        <v>Jalan</v>
      </c>
      <c r="Y396" s="1478">
        <f t="shared" si="143"/>
        <v>10</v>
      </c>
      <c r="Z396" s="1401"/>
      <c r="AA396" s="1444">
        <f t="shared" ref="AA396:AA401" si="144">IF(2013-N396&gt;Y396,10,IF(2013-N396&lt;0,0,2013-N396))</f>
        <v>0</v>
      </c>
      <c r="AB396" s="1401"/>
      <c r="AC396" s="1401"/>
      <c r="AD396" s="1401"/>
      <c r="AE396" s="1401"/>
      <c r="AF396" s="1401"/>
      <c r="AG396" s="1479"/>
      <c r="AH396" s="1479"/>
      <c r="AI396" s="1479"/>
      <c r="AJ396" s="1401"/>
    </row>
    <row r="397" spans="1:36" s="1390" customFormat="1" ht="34" customHeight="1" x14ac:dyDescent="0.15">
      <c r="A397" s="1390">
        <v>235</v>
      </c>
      <c r="B397" s="1472" t="str">
        <f t="shared" si="125"/>
        <v>AIR MAS - SEI. KERANJI</v>
      </c>
      <c r="C397" s="1516" t="s">
        <v>4247</v>
      </c>
      <c r="D397" s="1426"/>
      <c r="E397" s="1429" t="s">
        <v>1402</v>
      </c>
      <c r="F397" s="1539">
        <v>193532549</v>
      </c>
      <c r="G397" s="1517" t="s">
        <v>2494</v>
      </c>
      <c r="H397" s="1518"/>
      <c r="I397" s="1518"/>
      <c r="J397" s="1519">
        <v>0</v>
      </c>
      <c r="K397" s="1517"/>
      <c r="L397" s="1519">
        <v>0</v>
      </c>
      <c r="M397" s="1518" t="s">
        <v>3239</v>
      </c>
      <c r="N397" s="1517">
        <v>2015</v>
      </c>
      <c r="O397" s="1518"/>
      <c r="P397" s="1518"/>
      <c r="Q397" s="1518"/>
      <c r="R397" s="1517" t="s">
        <v>12</v>
      </c>
      <c r="S397" s="1520"/>
      <c r="T397" s="1518"/>
      <c r="U397" s="1572"/>
      <c r="V397" s="1521"/>
      <c r="W397" s="1522" t="str">
        <f t="shared" si="141"/>
        <v>04.13.01</v>
      </c>
      <c r="X397" s="1478" t="str">
        <f t="shared" si="142"/>
        <v>Jalan</v>
      </c>
      <c r="Y397" s="1478">
        <f t="shared" si="143"/>
        <v>10</v>
      </c>
      <c r="Z397" s="1401"/>
      <c r="AA397" s="1444">
        <f t="shared" si="144"/>
        <v>0</v>
      </c>
      <c r="AB397" s="1401"/>
      <c r="AC397" s="1401"/>
      <c r="AD397" s="1401"/>
      <c r="AE397" s="1401"/>
      <c r="AF397" s="1401"/>
      <c r="AG397" s="1479"/>
      <c r="AH397" s="1479"/>
      <c r="AI397" s="1479"/>
      <c r="AJ397" s="1401"/>
    </row>
    <row r="398" spans="1:36" s="1390" customFormat="1" ht="34" customHeight="1" x14ac:dyDescent="0.15">
      <c r="A398" s="1390">
        <v>235</v>
      </c>
      <c r="B398" s="1472" t="str">
        <f t="shared" si="125"/>
        <v>AIR MAS - SEI. KERANJI</v>
      </c>
      <c r="C398" s="1516" t="s">
        <v>4247</v>
      </c>
      <c r="D398" s="1426"/>
      <c r="E398" s="1429" t="s">
        <v>2496</v>
      </c>
      <c r="F398" s="1539">
        <v>188980000</v>
      </c>
      <c r="G398" s="1517" t="s">
        <v>2494</v>
      </c>
      <c r="H398" s="1518"/>
      <c r="I398" s="1518"/>
      <c r="J398" s="1519">
        <v>0</v>
      </c>
      <c r="K398" s="1517"/>
      <c r="L398" s="1519">
        <v>0</v>
      </c>
      <c r="M398" s="1518" t="s">
        <v>2558</v>
      </c>
      <c r="N398" s="1517">
        <v>2017</v>
      </c>
      <c r="O398" s="1518"/>
      <c r="P398" s="1518"/>
      <c r="Q398" s="1518"/>
      <c r="R398" s="1517" t="s">
        <v>12</v>
      </c>
      <c r="S398" s="1520"/>
      <c r="T398" s="1518"/>
      <c r="U398" s="1572"/>
      <c r="V398" s="1521"/>
      <c r="W398" s="1522" t="str">
        <f t="shared" si="141"/>
        <v>04.13.01</v>
      </c>
      <c r="X398" s="1478" t="str">
        <f t="shared" si="142"/>
        <v>Jalan</v>
      </c>
      <c r="Y398" s="1478">
        <f t="shared" si="143"/>
        <v>10</v>
      </c>
      <c r="Z398" s="1401"/>
      <c r="AA398" s="1444">
        <f t="shared" si="144"/>
        <v>0</v>
      </c>
      <c r="AB398" s="1401"/>
      <c r="AC398" s="1401"/>
      <c r="AD398" s="1401"/>
      <c r="AE398" s="1401"/>
      <c r="AF398" s="1401"/>
      <c r="AG398" s="1479"/>
      <c r="AH398" s="1479"/>
      <c r="AI398" s="1479"/>
      <c r="AJ398" s="1401"/>
    </row>
    <row r="399" spans="1:36" s="1390" customFormat="1" ht="34" customHeight="1" x14ac:dyDescent="0.15">
      <c r="A399" s="1390">
        <v>235</v>
      </c>
      <c r="B399" s="1472" t="str">
        <f t="shared" si="125"/>
        <v>AIR MAS - SEI. KERANJI</v>
      </c>
      <c r="C399" s="1516" t="s">
        <v>4247</v>
      </c>
      <c r="D399" s="1426"/>
      <c r="E399" s="1429" t="s">
        <v>3315</v>
      </c>
      <c r="F399" s="1539">
        <v>2270479483</v>
      </c>
      <c r="G399" s="1517" t="s">
        <v>2494</v>
      </c>
      <c r="H399" s="1518"/>
      <c r="I399" s="1518"/>
      <c r="J399" s="1519">
        <v>0</v>
      </c>
      <c r="K399" s="1517"/>
      <c r="L399" s="1519">
        <v>0</v>
      </c>
      <c r="M399" s="1518" t="s">
        <v>3293</v>
      </c>
      <c r="N399" s="1517">
        <v>2018</v>
      </c>
      <c r="O399" s="1518"/>
      <c r="P399" s="1518"/>
      <c r="Q399" s="1518"/>
      <c r="R399" s="1517" t="s">
        <v>12</v>
      </c>
      <c r="S399" s="1520"/>
      <c r="T399" s="1518"/>
      <c r="U399" s="1572"/>
      <c r="V399" s="1521"/>
      <c r="W399" s="1522" t="str">
        <f t="shared" si="141"/>
        <v>04.13.01</v>
      </c>
      <c r="X399" s="1478" t="str">
        <f t="shared" si="142"/>
        <v>Jalan</v>
      </c>
      <c r="Y399" s="1478">
        <f t="shared" si="143"/>
        <v>10</v>
      </c>
      <c r="Z399" s="1401"/>
      <c r="AA399" s="1444">
        <f t="shared" si="144"/>
        <v>0</v>
      </c>
      <c r="AB399" s="1401"/>
      <c r="AC399" s="1401"/>
      <c r="AD399" s="1401"/>
      <c r="AE399" s="1401"/>
      <c r="AF399" s="1401"/>
      <c r="AG399" s="1479"/>
      <c r="AH399" s="1479"/>
      <c r="AI399" s="1479"/>
      <c r="AJ399" s="1401"/>
    </row>
    <row r="400" spans="1:36" s="1390" customFormat="1" ht="34" customHeight="1" x14ac:dyDescent="0.15">
      <c r="A400" s="1390">
        <v>236</v>
      </c>
      <c r="B400" s="1472" t="str">
        <f t="shared" si="125"/>
        <v>SIMP. PETAI - PABRIK PT. WANASARI</v>
      </c>
      <c r="C400" s="1516" t="s">
        <v>4247</v>
      </c>
      <c r="D400" s="1426">
        <v>153</v>
      </c>
      <c r="E400" s="1429" t="s">
        <v>5861</v>
      </c>
      <c r="F400" s="1539"/>
      <c r="G400" s="1517" t="s">
        <v>2494</v>
      </c>
      <c r="H400" s="1518"/>
      <c r="I400" s="1518" t="s">
        <v>479</v>
      </c>
      <c r="J400" s="1533">
        <v>16000</v>
      </c>
      <c r="K400" s="1517">
        <v>8</v>
      </c>
      <c r="L400" s="1519">
        <v>128000</v>
      </c>
      <c r="M400" s="1518" t="s">
        <v>658</v>
      </c>
      <c r="N400" s="1517">
        <v>2001</v>
      </c>
      <c r="O400" s="1518"/>
      <c r="P400" s="1518"/>
      <c r="Q400" s="1518" t="s">
        <v>482</v>
      </c>
      <c r="R400" s="1517" t="s">
        <v>12</v>
      </c>
      <c r="S400" s="1520">
        <f>15680000000+F401+F402</f>
        <v>19331909894.968277</v>
      </c>
      <c r="T400" s="1517" t="s">
        <v>43</v>
      </c>
      <c r="U400" s="1572"/>
      <c r="V400" s="1521"/>
      <c r="W400" s="1522" t="str">
        <f t="shared" si="141"/>
        <v>04.13.01</v>
      </c>
      <c r="X400" s="1478" t="str">
        <f t="shared" si="142"/>
        <v>Jalan</v>
      </c>
      <c r="Y400" s="1478">
        <f t="shared" si="143"/>
        <v>10</v>
      </c>
      <c r="Z400" s="1401"/>
      <c r="AA400" s="1444">
        <f>IF(2013-N400&gt;Y400,10,IF(2013-N400&lt;0,0,2013-N400))</f>
        <v>10</v>
      </c>
      <c r="AB400" s="1401">
        <f>SUM(PERHITUNGAN!U1328:U1337)</f>
        <v>15768416383.557255</v>
      </c>
      <c r="AC400" s="1479">
        <f>SUMIF(PERHITUNGAN!A:A,'KIB D'!B400&amp;'KIB D'!$AC$7,PERHITUNGAN!U:U)</f>
        <v>890873377.85275495</v>
      </c>
      <c r="AD400" s="1479">
        <f>SUMIF(PERHITUNGAN!A:A,'KIB D'!B400&amp;'KIB D'!$AD$7,PERHITUNGAN!U:U)</f>
        <v>890873377.85275495</v>
      </c>
      <c r="AE400" s="1479">
        <f>SUMIF(PERHITUNGAN!A:A,'KIB D'!B400&amp;'KIB D'!$AE$7,PERHITUNGAN!U:U)</f>
        <v>890873377.85275495</v>
      </c>
      <c r="AF400" s="1479">
        <f>SUMIF(PERHITUNGAN!A:A,'KIB D'!B400&amp;'KIB D'!$AF$7,PERHITUNGAN!U:U)</f>
        <v>890873377.85275495</v>
      </c>
      <c r="AG400" s="1479">
        <f>SUMIF(PERHITUNGAN!A:A,'KIB D'!B400&amp;'KIB D'!$AG$7,PERHITUNGAN!U:U)</f>
        <v>0</v>
      </c>
      <c r="AH400" s="1479">
        <f>SUMIF(PERHITUNGAN!A:A,'KIB D'!B400&amp;'KIB D'!$AH$7,PERHITUNGAN!U:U)</f>
        <v>0</v>
      </c>
      <c r="AI400" s="1479">
        <f>SUM(AB400:AH400)</f>
        <v>19331909894.968277</v>
      </c>
      <c r="AJ400" s="1401">
        <f>S400-AI400</f>
        <v>0</v>
      </c>
    </row>
    <row r="401" spans="1:36" s="1390" customFormat="1" ht="62" customHeight="1" x14ac:dyDescent="0.15">
      <c r="A401" s="1390">
        <v>236</v>
      </c>
      <c r="B401" s="1472" t="str">
        <f t="shared" si="125"/>
        <v>SIMP. PETAI - PABRIK PT. WANASARI</v>
      </c>
      <c r="C401" s="1516" t="s">
        <v>4247</v>
      </c>
      <c r="D401" s="1426"/>
      <c r="E401" s="1429" t="s">
        <v>1190</v>
      </c>
      <c r="F401" s="1539">
        <v>2864585047.9665399</v>
      </c>
      <c r="G401" s="1517" t="s">
        <v>2494</v>
      </c>
      <c r="H401" s="1518"/>
      <c r="I401" s="1518"/>
      <c r="J401" s="1519">
        <v>0</v>
      </c>
      <c r="K401" s="1517"/>
      <c r="L401" s="1519">
        <v>0</v>
      </c>
      <c r="M401" s="1518" t="s">
        <v>658</v>
      </c>
      <c r="N401" s="1517">
        <v>2007</v>
      </c>
      <c r="O401" s="1518"/>
      <c r="P401" s="1518"/>
      <c r="Q401" s="1518"/>
      <c r="R401" s="1517" t="s">
        <v>12</v>
      </c>
      <c r="S401" s="1520"/>
      <c r="T401" s="1517" t="s">
        <v>43</v>
      </c>
      <c r="U401" s="1572"/>
      <c r="V401" s="1521"/>
      <c r="W401" s="1522" t="str">
        <f t="shared" si="141"/>
        <v>04.13.01</v>
      </c>
      <c r="X401" s="1478" t="str">
        <f t="shared" si="142"/>
        <v>Jalan</v>
      </c>
      <c r="Y401" s="1478">
        <f t="shared" si="143"/>
        <v>10</v>
      </c>
      <c r="Z401" s="1401"/>
      <c r="AA401" s="1444">
        <f t="shared" si="144"/>
        <v>6</v>
      </c>
      <c r="AB401" s="1401"/>
      <c r="AC401" s="1401"/>
      <c r="AD401" s="1401"/>
      <c r="AE401" s="1401"/>
      <c r="AF401" s="1401"/>
      <c r="AG401" s="1479"/>
      <c r="AH401" s="1479"/>
      <c r="AI401" s="1479"/>
      <c r="AJ401" s="1401">
        <f>S401-AI401</f>
        <v>0</v>
      </c>
    </row>
    <row r="402" spans="1:36" s="1390" customFormat="1" ht="44" customHeight="1" x14ac:dyDescent="0.2">
      <c r="A402" s="1390">
        <v>236</v>
      </c>
      <c r="B402" s="1472" t="str">
        <f t="shared" si="125"/>
        <v>SIMP. PETAI - PABRIK PT. WANASARI</v>
      </c>
      <c r="C402" s="1478"/>
      <c r="D402" s="1426"/>
      <c r="E402" s="1573" t="s">
        <v>5161</v>
      </c>
      <c r="F402" s="1539">
        <v>787324847.00173604</v>
      </c>
      <c r="G402" s="1416" t="s">
        <v>2494</v>
      </c>
      <c r="H402" s="1508"/>
      <c r="I402" s="1416"/>
      <c r="J402" s="1500"/>
      <c r="K402" s="1416"/>
      <c r="L402" s="1500"/>
      <c r="M402" s="1523" t="s">
        <v>5162</v>
      </c>
      <c r="N402" s="1416">
        <v>2008</v>
      </c>
      <c r="O402" s="1414"/>
      <c r="P402" s="1523" t="s">
        <v>5084</v>
      </c>
      <c r="Q402" s="1523"/>
      <c r="R402" s="1523" t="s">
        <v>12</v>
      </c>
      <c r="S402" s="1524"/>
      <c r="T402" s="1525" t="s">
        <v>43</v>
      </c>
      <c r="U402" s="1574"/>
      <c r="V402" s="1477"/>
      <c r="W402" s="1478"/>
      <c r="X402" s="1478"/>
      <c r="Y402" s="1478"/>
      <c r="Z402" s="1401"/>
      <c r="AA402" s="1444"/>
      <c r="AB402" s="1401"/>
      <c r="AC402" s="1401"/>
      <c r="AD402" s="1401"/>
      <c r="AE402" s="1401"/>
      <c r="AF402" s="1401"/>
      <c r="AG402" s="1479"/>
      <c r="AH402" s="1479"/>
      <c r="AI402" s="1479"/>
      <c r="AJ402" s="1401"/>
    </row>
    <row r="403" spans="1:36" s="1390" customFormat="1" ht="44" customHeight="1" x14ac:dyDescent="0.2">
      <c r="A403" s="1390">
        <v>237</v>
      </c>
      <c r="B403" s="1472" t="str">
        <f t="shared" si="125"/>
        <v>JL. SIMPANG KORAN - SUKAMAJU</v>
      </c>
      <c r="C403" s="1478" t="e">
        <f>RIGHT(#REF!,1)</f>
        <v>#REF!</v>
      </c>
      <c r="D403" s="1426">
        <v>154</v>
      </c>
      <c r="E403" s="1429" t="s">
        <v>529</v>
      </c>
      <c r="F403" s="1539"/>
      <c r="G403" s="1517" t="s">
        <v>2494</v>
      </c>
      <c r="H403" s="1518"/>
      <c r="I403" s="1518" t="s">
        <v>484</v>
      </c>
      <c r="J403" s="1533">
        <v>17000</v>
      </c>
      <c r="K403" s="1517">
        <v>8</v>
      </c>
      <c r="L403" s="1519">
        <v>136000</v>
      </c>
      <c r="M403" s="1518" t="s">
        <v>657</v>
      </c>
      <c r="N403" s="1517">
        <v>2001</v>
      </c>
      <c r="O403" s="1518"/>
      <c r="P403" s="1518"/>
      <c r="Q403" s="1518" t="s">
        <v>482</v>
      </c>
      <c r="R403" s="1517" t="s">
        <v>12</v>
      </c>
      <c r="S403" s="1520">
        <v>11424000000</v>
      </c>
      <c r="T403" s="1517" t="s">
        <v>43</v>
      </c>
      <c r="U403" s="1572"/>
      <c r="V403" s="1521"/>
      <c r="W403" s="1478" t="str">
        <f t="shared" ref="W403:W408" si="145">LEFT(G403,8)</f>
        <v>04.13.01</v>
      </c>
      <c r="X403" s="1478" t="str">
        <f t="shared" ref="X403:X408" si="146">VLOOKUP(W403,UE,3,FALSE)</f>
        <v>Jalan</v>
      </c>
      <c r="Y403" s="1478">
        <f t="shared" ref="Y403:Y408" si="147">VLOOKUP(W403,UE,4,FALSE)</f>
        <v>10</v>
      </c>
      <c r="Z403" s="1401">
        <f>S403/Y403</f>
        <v>1142400000</v>
      </c>
      <c r="AA403" s="1444">
        <f>IF(2013-N403+1&gt;Y403,Y403,IF(2013-N403+1&lt;0,0,2013-N403+1))</f>
        <v>10</v>
      </c>
      <c r="AB403" s="1401">
        <f>IF(AA403&gt;Y403,S403,Z403*AA403)</f>
        <v>11424000000</v>
      </c>
      <c r="AC403" s="1401">
        <f>IF(S403=AB403,0,Z403)</f>
        <v>0</v>
      </c>
      <c r="AD403" s="1401">
        <f>IF(S403=AB403+AC403,0,Z403)</f>
        <v>0</v>
      </c>
      <c r="AE403" s="1401">
        <f>IF(S403=AB403+AC403+AD403,0,Z403)</f>
        <v>0</v>
      </c>
      <c r="AF403" s="1401">
        <f>IF(S403=AC403+AD403+AE403+AB403,0,Z403)</f>
        <v>0</v>
      </c>
      <c r="AG403" s="1479">
        <f>IF(S403=AC403+AD403+AE403+AB403+AF403,0,Z403)</f>
        <v>0</v>
      </c>
      <c r="AH403" s="1479">
        <f>IF(S403=AC403+AD403+AE403+AB403+AF403+AG403,0,Z403)</f>
        <v>0</v>
      </c>
      <c r="AI403" s="1479">
        <f>SUM(AB403:AH403)</f>
        <v>11424000000</v>
      </c>
      <c r="AJ403" s="1401">
        <f>S403-AI403</f>
        <v>0</v>
      </c>
    </row>
    <row r="404" spans="1:36" s="1390" customFormat="1" ht="44" customHeight="1" x14ac:dyDescent="0.15">
      <c r="A404" s="1390">
        <v>238</v>
      </c>
      <c r="B404" s="1472" t="str">
        <f t="shared" si="125"/>
        <v>SIMP. RAYA - SEI. BULUH</v>
      </c>
      <c r="C404" s="1516" t="s">
        <v>4247</v>
      </c>
      <c r="D404" s="1426">
        <v>155</v>
      </c>
      <c r="E404" s="1429" t="s">
        <v>1141</v>
      </c>
      <c r="F404" s="1539"/>
      <c r="G404" s="1517" t="s">
        <v>2494</v>
      </c>
      <c r="H404" s="1518"/>
      <c r="I404" s="1518" t="s">
        <v>519</v>
      </c>
      <c r="J404" s="1533">
        <v>2000</v>
      </c>
      <c r="K404" s="1517">
        <v>8</v>
      </c>
      <c r="L404" s="1519">
        <v>16000</v>
      </c>
      <c r="M404" s="1518" t="s">
        <v>3104</v>
      </c>
      <c r="N404" s="1517">
        <v>2001</v>
      </c>
      <c r="O404" s="1518"/>
      <c r="P404" s="1518"/>
      <c r="Q404" s="1518" t="s">
        <v>482</v>
      </c>
      <c r="R404" s="1517" t="s">
        <v>12</v>
      </c>
      <c r="S404" s="1520">
        <f>3060956544+F405</f>
        <v>3738076243.4137383</v>
      </c>
      <c r="T404" s="1517" t="s">
        <v>43</v>
      </c>
      <c r="U404" s="1572"/>
      <c r="V404" s="1521"/>
      <c r="W404" s="1522" t="str">
        <f t="shared" si="145"/>
        <v>04.13.01</v>
      </c>
      <c r="X404" s="1478" t="str">
        <f t="shared" si="146"/>
        <v>Jalan</v>
      </c>
      <c r="Y404" s="1478">
        <f t="shared" si="147"/>
        <v>10</v>
      </c>
      <c r="Z404" s="1401"/>
      <c r="AA404" s="1444">
        <f>IF(2013-N404&gt;Y404,10,IF(2013-N404&lt;0,0,2013-N404))</f>
        <v>10</v>
      </c>
      <c r="AB404" s="1401">
        <f>SUM(PERHITUNGAN!U1352:U1361)</f>
        <v>3315520172.9662409</v>
      </c>
      <c r="AC404" s="1479">
        <f>SUMIF(PERHITUNGAN!A:A,'KIB D'!B404&amp;'KIB D'!$AC$7,PERHITUNGAN!U:U)</f>
        <v>211278035.22374865</v>
      </c>
      <c r="AD404" s="1479">
        <f>SUMIF(PERHITUNGAN!A:A,'KIB D'!B404&amp;'KIB D'!$AD$7,PERHITUNGAN!U:U)</f>
        <v>211278035.22374865</v>
      </c>
      <c r="AE404" s="1479">
        <f>SUMIF(PERHITUNGAN!A:A,'KIB D'!B404&amp;'KIB D'!$AE$7,PERHITUNGAN!U:U)</f>
        <v>0</v>
      </c>
      <c r="AF404" s="1479">
        <f>SUMIF(PERHITUNGAN!A:A,'KIB D'!B404&amp;'KIB D'!$AF$7,PERHITUNGAN!U:U)</f>
        <v>0</v>
      </c>
      <c r="AG404" s="1479">
        <f>SUMIF(PERHITUNGAN!A:A,'KIB D'!B404&amp;'KIB D'!$AG$7,PERHITUNGAN!U:U)</f>
        <v>0</v>
      </c>
      <c r="AH404" s="1479">
        <f>SUMIF(PERHITUNGAN!A:A,'KIB D'!B404&amp;'KIB D'!$AH$7,PERHITUNGAN!U:U)</f>
        <v>0</v>
      </c>
      <c r="AI404" s="1479">
        <f>SUM(AB404:AH404)</f>
        <v>3738076243.4137383</v>
      </c>
      <c r="AJ404" s="1401">
        <f>S404-AI404</f>
        <v>0</v>
      </c>
    </row>
    <row r="405" spans="1:36" s="1390" customFormat="1" ht="44" customHeight="1" x14ac:dyDescent="0.15">
      <c r="A405" s="1390">
        <v>238</v>
      </c>
      <c r="B405" s="1472" t="str">
        <f t="shared" si="125"/>
        <v>SIMP. RAYA - SEI. BULUH</v>
      </c>
      <c r="C405" s="1516" t="s">
        <v>4247</v>
      </c>
      <c r="D405" s="1426"/>
      <c r="E405" s="1429" t="s">
        <v>1169</v>
      </c>
      <c r="F405" s="1539">
        <v>677119699.41373801</v>
      </c>
      <c r="G405" s="1501" t="s">
        <v>2494</v>
      </c>
      <c r="H405" s="1518"/>
      <c r="I405" s="1518" t="s">
        <v>835</v>
      </c>
      <c r="J405" s="1519">
        <v>3</v>
      </c>
      <c r="K405" s="1517">
        <v>3</v>
      </c>
      <c r="L405" s="1519">
        <v>9</v>
      </c>
      <c r="M405" s="1518" t="s">
        <v>3104</v>
      </c>
      <c r="N405" s="1517">
        <v>2007</v>
      </c>
      <c r="O405" s="1518"/>
      <c r="P405" s="1518"/>
      <c r="Q405" s="1518"/>
      <c r="R405" s="1517" t="s">
        <v>12</v>
      </c>
      <c r="S405" s="1520"/>
      <c r="T405" s="1517" t="s">
        <v>43</v>
      </c>
      <c r="U405" s="1572"/>
      <c r="V405" s="1521"/>
      <c r="W405" s="1522" t="str">
        <f t="shared" si="145"/>
        <v>04.13.01</v>
      </c>
      <c r="X405" s="1478" t="str">
        <f t="shared" si="146"/>
        <v>Jalan</v>
      </c>
      <c r="Y405" s="1478">
        <f t="shared" si="147"/>
        <v>10</v>
      </c>
      <c r="Z405" s="1401"/>
      <c r="AA405" s="1444">
        <f>IF(2013-N405&gt;Y405,10,IF(2013-N405&lt;0,0,2013-N405))</f>
        <v>6</v>
      </c>
      <c r="AB405" s="1401"/>
      <c r="AC405" s="1401"/>
      <c r="AD405" s="1401"/>
      <c r="AE405" s="1401"/>
      <c r="AF405" s="1401"/>
      <c r="AG405" s="1479"/>
      <c r="AH405" s="1479"/>
      <c r="AI405" s="1479"/>
      <c r="AJ405" s="1401"/>
    </row>
    <row r="406" spans="1:36" s="1390" customFormat="1" ht="44" customHeight="1" x14ac:dyDescent="0.15">
      <c r="A406" s="1390">
        <v>244</v>
      </c>
      <c r="B406" s="1472" t="str">
        <f t="shared" si="125"/>
        <v>KOTO BARU - SUKA MAJU</v>
      </c>
      <c r="C406" s="1516" t="s">
        <v>4247</v>
      </c>
      <c r="D406" s="1426">
        <v>156</v>
      </c>
      <c r="E406" s="1429" t="s">
        <v>5862</v>
      </c>
      <c r="F406" s="1539"/>
      <c r="G406" s="1517" t="s">
        <v>2494</v>
      </c>
      <c r="H406" s="1518"/>
      <c r="I406" s="1518" t="s">
        <v>479</v>
      </c>
      <c r="J406" s="1533">
        <v>25000</v>
      </c>
      <c r="K406" s="1517"/>
      <c r="L406" s="1519">
        <v>178300</v>
      </c>
      <c r="M406" s="1518" t="s">
        <v>656</v>
      </c>
      <c r="N406" s="1517">
        <v>2001</v>
      </c>
      <c r="O406" s="1518"/>
      <c r="P406" s="1518"/>
      <c r="Q406" s="1518" t="s">
        <v>482</v>
      </c>
      <c r="R406" s="1517" t="s">
        <v>12</v>
      </c>
      <c r="S406" s="1520">
        <f>15288000000+4900000000+F412+F413+F414+F411+F408+F410+F409+F415</f>
        <v>40916634237.571442</v>
      </c>
      <c r="T406" s="1517" t="s">
        <v>43</v>
      </c>
      <c r="U406" s="1572"/>
      <c r="V406" s="1521"/>
      <c r="W406" s="1522" t="str">
        <f t="shared" si="145"/>
        <v>04.13.01</v>
      </c>
      <c r="X406" s="1478" t="str">
        <f t="shared" si="146"/>
        <v>Jalan</v>
      </c>
      <c r="Y406" s="1478">
        <f t="shared" si="147"/>
        <v>10</v>
      </c>
      <c r="Z406" s="1401"/>
      <c r="AA406" s="1444">
        <f>IF(2013-N406&gt;Y406,10,IF(2013-N406&lt;0,0,2013-N406))</f>
        <v>10</v>
      </c>
      <c r="AB406" s="1401">
        <f>SUM(PERHITUNGAN!U1377:U1386)</f>
        <v>19543305338.327133</v>
      </c>
      <c r="AC406" s="1479">
        <f>SUMIF(PERHITUNGAN!A:A,'KIB D'!B406&amp;'KIB D'!$AC$7,PERHITUNGAN!U:U)</f>
        <v>643944964.82443094</v>
      </c>
      <c r="AD406" s="1479">
        <f>SUMIF(PERHITUNGAN!A:A,'KIB D'!B406&amp;'KIB D'!$AD$7,PERHITUNGAN!U:U)</f>
        <v>643944964.82443094</v>
      </c>
      <c r="AE406" s="1479">
        <f>SUMIF(PERHITUNGAN!A:A,'KIB D'!B406&amp;'KIB D'!$AE$7,PERHITUNGAN!U:U)</f>
        <v>643944964.82443094</v>
      </c>
      <c r="AF406" s="1479">
        <f>SUMIF(PERHITUNGAN!A:A,'KIB D'!B406&amp;'KIB D'!$AF$7,PERHITUNGAN!U:U)</f>
        <v>522018016.08566856</v>
      </c>
      <c r="AG406" s="1479">
        <f>SUMIF(PERHITUNGAN!A:A,'KIB D'!B406&amp;'KIB D'!$AG$7,PERHITUNGAN!U:U)</f>
        <v>463008178.86853486</v>
      </c>
      <c r="AH406" s="1479">
        <f>SUMIF(PERHITUNGAN!A:A,'KIB D'!B406&amp;'KIB D'!$AH$7,PERHITUNGAN!U:U)</f>
        <v>1845646780.9816813</v>
      </c>
      <c r="AI406" s="1479">
        <f>SUM(AB406:AH406)</f>
        <v>24305813208.736317</v>
      </c>
      <c r="AJ406" s="1401">
        <f>S406-AI406</f>
        <v>16610821028.835125</v>
      </c>
    </row>
    <row r="407" spans="1:36" s="1390" customFormat="1" ht="44" customHeight="1" x14ac:dyDescent="0.2">
      <c r="A407" s="1390">
        <v>244</v>
      </c>
      <c r="B407" s="1472" t="str">
        <f t="shared" si="125"/>
        <v>KOTO BARU - SUKA MAJU</v>
      </c>
      <c r="C407" s="1478" t="e">
        <f>RIGHT(#REF!,1)</f>
        <v>#REF!</v>
      </c>
      <c r="D407" s="1426"/>
      <c r="E407" s="1429" t="s">
        <v>483</v>
      </c>
      <c r="F407" s="1539">
        <v>4900000000</v>
      </c>
      <c r="G407" s="1517" t="s">
        <v>3820</v>
      </c>
      <c r="H407" s="1518"/>
      <c r="I407" s="1518" t="s">
        <v>479</v>
      </c>
      <c r="J407" s="1519" t="s">
        <v>520</v>
      </c>
      <c r="K407" s="1517"/>
      <c r="L407" s="1519"/>
      <c r="M407" s="1518" t="s">
        <v>521</v>
      </c>
      <c r="N407" s="1517">
        <v>2001</v>
      </c>
      <c r="O407" s="1518"/>
      <c r="P407" s="1518"/>
      <c r="Q407" s="1518" t="s">
        <v>482</v>
      </c>
      <c r="R407" s="1517" t="s">
        <v>12</v>
      </c>
      <c r="S407" s="1520"/>
      <c r="T407" s="1517" t="s">
        <v>135</v>
      </c>
      <c r="U407" s="1572"/>
      <c r="V407" s="1521"/>
      <c r="W407" s="1478" t="str">
        <f t="shared" si="145"/>
        <v>04.13.01</v>
      </c>
      <c r="X407" s="1478" t="str">
        <f t="shared" si="146"/>
        <v>Jalan</v>
      </c>
      <c r="Y407" s="1478">
        <f t="shared" si="147"/>
        <v>10</v>
      </c>
      <c r="Z407" s="1401"/>
      <c r="AA407" s="1444"/>
      <c r="AB407" s="1401"/>
      <c r="AC407" s="1401"/>
      <c r="AD407" s="1401"/>
      <c r="AE407" s="1401"/>
      <c r="AF407" s="1401"/>
      <c r="AG407" s="1479"/>
      <c r="AH407" s="1479"/>
      <c r="AI407" s="1479"/>
      <c r="AJ407" s="1401">
        <f>S407-AI407</f>
        <v>0</v>
      </c>
    </row>
    <row r="408" spans="1:36" s="1390" customFormat="1" ht="44" customHeight="1" x14ac:dyDescent="0.2">
      <c r="A408" s="1390">
        <v>244</v>
      </c>
      <c r="B408" s="1472" t="str">
        <f t="shared" ref="B408:B471" si="148">VLOOKUP(A408,RUAS,2,FALSE)</f>
        <v>KOTO BARU - SUKA MAJU</v>
      </c>
      <c r="C408" s="1478" t="e">
        <f>RIGHT(#REF!,1)</f>
        <v>#REF!</v>
      </c>
      <c r="D408" s="1426"/>
      <c r="E408" s="1429" t="s">
        <v>5078</v>
      </c>
      <c r="F408" s="1539">
        <v>663676680.80826843</v>
      </c>
      <c r="G408" s="1416" t="s">
        <v>2494</v>
      </c>
      <c r="H408" s="1508"/>
      <c r="I408" s="1416"/>
      <c r="J408" s="1500"/>
      <c r="K408" s="1416"/>
      <c r="L408" s="1500"/>
      <c r="M408" s="1429" t="s">
        <v>656</v>
      </c>
      <c r="N408" s="1416">
        <v>2007</v>
      </c>
      <c r="O408" s="1414"/>
      <c r="P408" s="1414"/>
      <c r="Q408" s="1414"/>
      <c r="R408" s="1416" t="s">
        <v>12</v>
      </c>
      <c r="S408" s="1529"/>
      <c r="T408" s="1416" t="s">
        <v>43</v>
      </c>
      <c r="U408" s="1427"/>
      <c r="V408" s="1477"/>
      <c r="W408" s="1478" t="str">
        <f t="shared" si="145"/>
        <v>04.13.01</v>
      </c>
      <c r="X408" s="1478" t="str">
        <f t="shared" si="146"/>
        <v>Jalan</v>
      </c>
      <c r="Y408" s="1478">
        <f t="shared" si="147"/>
        <v>10</v>
      </c>
      <c r="Z408" s="1401"/>
      <c r="AA408" s="1444"/>
      <c r="AB408" s="1401"/>
      <c r="AC408" s="1401"/>
      <c r="AD408" s="1401"/>
      <c r="AE408" s="1401"/>
      <c r="AF408" s="1401"/>
      <c r="AG408" s="1479"/>
      <c r="AH408" s="1479"/>
      <c r="AI408" s="1479"/>
      <c r="AJ408" s="1401"/>
    </row>
    <row r="409" spans="1:36" s="1390" customFormat="1" ht="44" customHeight="1" x14ac:dyDescent="0.2">
      <c r="A409" s="1390">
        <v>244</v>
      </c>
      <c r="B409" s="1472" t="str">
        <f t="shared" si="148"/>
        <v>KOTO BARU - SUKA MAJU</v>
      </c>
      <c r="C409" s="1478"/>
      <c r="D409" s="1426"/>
      <c r="E409" s="1573" t="s">
        <v>5169</v>
      </c>
      <c r="F409" s="1539">
        <v>402423126.15279591</v>
      </c>
      <c r="G409" s="1416" t="s">
        <v>2494</v>
      </c>
      <c r="H409" s="1508"/>
      <c r="I409" s="1416"/>
      <c r="J409" s="1500"/>
      <c r="K409" s="1416"/>
      <c r="L409" s="1500"/>
      <c r="M409" s="1523" t="s">
        <v>5165</v>
      </c>
      <c r="N409" s="1416">
        <v>2008</v>
      </c>
      <c r="O409" s="1414"/>
      <c r="P409" s="1523" t="s">
        <v>5084</v>
      </c>
      <c r="Q409" s="1523"/>
      <c r="R409" s="1523" t="s">
        <v>12</v>
      </c>
      <c r="S409" s="1524"/>
      <c r="T409" s="1525" t="s">
        <v>43</v>
      </c>
      <c r="U409" s="1574"/>
      <c r="V409" s="1477"/>
      <c r="W409" s="1478"/>
      <c r="X409" s="1478"/>
      <c r="Y409" s="1478"/>
      <c r="Z409" s="1401"/>
      <c r="AA409" s="1444"/>
      <c r="AB409" s="1401"/>
      <c r="AC409" s="1401"/>
      <c r="AD409" s="1401"/>
      <c r="AE409" s="1401"/>
      <c r="AF409" s="1401"/>
      <c r="AG409" s="1479"/>
      <c r="AH409" s="1479"/>
      <c r="AI409" s="1479"/>
      <c r="AJ409" s="1401"/>
    </row>
    <row r="410" spans="1:36" s="1390" customFormat="1" ht="44" customHeight="1" x14ac:dyDescent="0.2">
      <c r="A410" s="1390">
        <v>244</v>
      </c>
      <c r="B410" s="1472" t="str">
        <f t="shared" si="148"/>
        <v>KOTO BARU - SUKA MAJU</v>
      </c>
      <c r="C410" s="1478"/>
      <c r="D410" s="1426"/>
      <c r="E410" s="1583" t="s">
        <v>5164</v>
      </c>
      <c r="F410" s="1539">
        <v>1544547336.9437099</v>
      </c>
      <c r="G410" s="1416" t="s">
        <v>2494</v>
      </c>
      <c r="H410" s="1508"/>
      <c r="I410" s="1534" t="s">
        <v>519</v>
      </c>
      <c r="J410" s="1534">
        <v>1000</v>
      </c>
      <c r="K410" s="1535"/>
      <c r="L410" s="1534">
        <v>1000</v>
      </c>
      <c r="M410" s="1534" t="s">
        <v>5165</v>
      </c>
      <c r="N410" s="1416">
        <v>2009</v>
      </c>
      <c r="O410" s="1414"/>
      <c r="P410" s="1414" t="s">
        <v>5084</v>
      </c>
      <c r="Q410" s="1414"/>
      <c r="R410" s="1523" t="s">
        <v>12</v>
      </c>
      <c r="S410" s="1529"/>
      <c r="T410" s="1416" t="s">
        <v>43</v>
      </c>
      <c r="U410" s="1427"/>
      <c r="V410" s="1477"/>
      <c r="W410" s="1478"/>
      <c r="X410" s="1478"/>
      <c r="Y410" s="1478"/>
      <c r="Z410" s="1401"/>
      <c r="AA410" s="1444"/>
      <c r="AB410" s="1401"/>
      <c r="AC410" s="1401"/>
      <c r="AD410" s="1401"/>
      <c r="AE410" s="1401"/>
      <c r="AF410" s="1401"/>
      <c r="AG410" s="1479"/>
      <c r="AH410" s="1479"/>
      <c r="AI410" s="1479"/>
      <c r="AJ410" s="1401"/>
    </row>
    <row r="411" spans="1:36" s="1390" customFormat="1" ht="44" customHeight="1" x14ac:dyDescent="0.2">
      <c r="A411" s="1390">
        <v>244</v>
      </c>
      <c r="B411" s="1472" t="str">
        <f t="shared" si="148"/>
        <v>KOTO BARU - SUKA MAJU</v>
      </c>
      <c r="C411" s="1478"/>
      <c r="D411" s="1426"/>
      <c r="E411" s="1429" t="s">
        <v>5069</v>
      </c>
      <c r="F411" s="1539">
        <v>1311829019.6666667</v>
      </c>
      <c r="G411" s="1416" t="s">
        <v>2494</v>
      </c>
      <c r="H411" s="1508"/>
      <c r="I411" s="1416" t="s">
        <v>519</v>
      </c>
      <c r="J411" s="1500"/>
      <c r="K411" s="1416"/>
      <c r="L411" s="1500"/>
      <c r="M411" s="1429" t="s">
        <v>656</v>
      </c>
      <c r="N411" s="1416">
        <v>2012</v>
      </c>
      <c r="O411" s="1414"/>
      <c r="P411" s="1414"/>
      <c r="Q411" s="1414"/>
      <c r="R411" s="1416" t="s">
        <v>12</v>
      </c>
      <c r="S411" s="1529"/>
      <c r="T411" s="1416"/>
      <c r="U411" s="1427"/>
      <c r="V411" s="1477"/>
      <c r="W411" s="1478"/>
      <c r="X411" s="1478"/>
      <c r="Y411" s="1478"/>
      <c r="Z411" s="1401"/>
      <c r="AA411" s="1444"/>
      <c r="AB411" s="1401"/>
      <c r="AC411" s="1401"/>
      <c r="AD411" s="1401"/>
      <c r="AE411" s="1401"/>
      <c r="AF411" s="1401"/>
      <c r="AG411" s="1479"/>
      <c r="AH411" s="1479"/>
      <c r="AI411" s="1479"/>
      <c r="AJ411" s="1401"/>
    </row>
    <row r="412" spans="1:36" s="1390" customFormat="1" ht="44" customHeight="1" x14ac:dyDescent="0.15">
      <c r="A412" s="1390">
        <v>244</v>
      </c>
      <c r="B412" s="1472" t="str">
        <f t="shared" si="148"/>
        <v>KOTO BARU - SUKA MAJU</v>
      </c>
      <c r="C412" s="1516" t="s">
        <v>4247</v>
      </c>
      <c r="D412" s="1426"/>
      <c r="E412" s="1429" t="s">
        <v>1300</v>
      </c>
      <c r="F412" s="1539">
        <v>1872278823</v>
      </c>
      <c r="G412" s="1517" t="s">
        <v>2494</v>
      </c>
      <c r="H412" s="1518"/>
      <c r="I412" s="1518"/>
      <c r="J412" s="1519">
        <v>0</v>
      </c>
      <c r="K412" s="1517"/>
      <c r="L412" s="1519">
        <v>0</v>
      </c>
      <c r="M412" s="1518" t="s">
        <v>656</v>
      </c>
      <c r="N412" s="1517">
        <v>2014</v>
      </c>
      <c r="O412" s="1518"/>
      <c r="P412" s="1518"/>
      <c r="Q412" s="1518"/>
      <c r="R412" s="1517" t="s">
        <v>12</v>
      </c>
      <c r="S412" s="1520"/>
      <c r="T412" s="1518"/>
      <c r="U412" s="1572"/>
      <c r="V412" s="1521"/>
      <c r="W412" s="1522" t="str">
        <f>LEFT(G412,8)</f>
        <v>04.13.01</v>
      </c>
      <c r="X412" s="1478" t="str">
        <f>VLOOKUP(W412,UE,3,FALSE)</f>
        <v>Jalan</v>
      </c>
      <c r="Y412" s="1478">
        <f>VLOOKUP(W412,UE,4,FALSE)</f>
        <v>10</v>
      </c>
      <c r="Z412" s="1401"/>
      <c r="AA412" s="1444">
        <f>IF(2013-N412&gt;Y412,10,IF(2013-N412&lt;0,0,2013-N412))</f>
        <v>0</v>
      </c>
      <c r="AB412" s="1401"/>
      <c r="AC412" s="1401"/>
      <c r="AD412" s="1401"/>
      <c r="AE412" s="1401"/>
      <c r="AF412" s="1401"/>
      <c r="AG412" s="1479"/>
      <c r="AH412" s="1479"/>
      <c r="AI412" s="1479"/>
      <c r="AJ412" s="1401">
        <f>S412-AI412</f>
        <v>0</v>
      </c>
    </row>
    <row r="413" spans="1:36" s="1472" customFormat="1" ht="44" customHeight="1" x14ac:dyDescent="0.2">
      <c r="A413" s="1472">
        <v>244</v>
      </c>
      <c r="B413" s="1472" t="str">
        <f t="shared" si="148"/>
        <v>KOTO BARU - SUKA MAJU</v>
      </c>
      <c r="C413" s="1478" t="e">
        <f>RIGHT(#REF!,1)</f>
        <v>#REF!</v>
      </c>
      <c r="D413" s="1576"/>
      <c r="E413" s="1539" t="s">
        <v>3053</v>
      </c>
      <c r="F413" s="1529">
        <v>190547391</v>
      </c>
      <c r="G413" s="1501" t="s">
        <v>2494</v>
      </c>
      <c r="H413" s="1501"/>
      <c r="I413" s="1414"/>
      <c r="J413" s="1526"/>
      <c r="K413" s="1416"/>
      <c r="L413" s="1430"/>
      <c r="M413" s="1429" t="s">
        <v>3275</v>
      </c>
      <c r="N413" s="1501">
        <v>2017</v>
      </c>
      <c r="O413" s="1414"/>
      <c r="P413" s="1414"/>
      <c r="Q413" s="1414"/>
      <c r="R413" s="1501" t="s">
        <v>12</v>
      </c>
      <c r="S413" s="1527"/>
      <c r="T413" s="1528"/>
      <c r="U413" s="1575"/>
      <c r="V413" s="1490"/>
      <c r="W413" s="1478" t="str">
        <f>LEFT(G413,8)</f>
        <v>04.13.01</v>
      </c>
      <c r="X413" s="1478" t="str">
        <f>VLOOKUP(W413,UE,3,FALSE)</f>
        <v>Jalan</v>
      </c>
      <c r="Y413" s="1478">
        <f>VLOOKUP(W413,UE,4,FALSE)</f>
        <v>10</v>
      </c>
      <c r="Z413" s="1401">
        <f>S413/Y413</f>
        <v>0</v>
      </c>
      <c r="AA413" s="1444">
        <f>IF(2013-N413+1&gt;Y413,Y413,IF(2013-N413+1&lt;0,0,2013-N413+1))</f>
        <v>0</v>
      </c>
      <c r="AB413" s="1401">
        <f>IF(AA413&gt;Y413,S413,Z413*AA413)</f>
        <v>0</v>
      </c>
      <c r="AC413" s="1401">
        <v>0</v>
      </c>
      <c r="AD413" s="1401">
        <v>0</v>
      </c>
      <c r="AE413" s="1401">
        <v>0</v>
      </c>
      <c r="AF413" s="1401">
        <f>IF(S413=AC413+AD413+AE413+AB413,0,Z413)</f>
        <v>0</v>
      </c>
      <c r="AG413" s="1479">
        <f>IF(S413=AC413+AD413+AE413+AB413+AF413,0,Z413)</f>
        <v>0</v>
      </c>
      <c r="AH413" s="1479"/>
      <c r="AI413" s="1479">
        <f>SUM(AB413:AG413)</f>
        <v>0</v>
      </c>
      <c r="AJ413" s="1401">
        <f>S413-AI413</f>
        <v>0</v>
      </c>
    </row>
    <row r="414" spans="1:36" s="1390" customFormat="1" ht="44" customHeight="1" x14ac:dyDescent="0.15">
      <c r="A414" s="1390">
        <v>244</v>
      </c>
      <c r="B414" s="1472" t="str">
        <f t="shared" si="148"/>
        <v>KOTO BARU - SUKA MAJU</v>
      </c>
      <c r="C414" s="1516" t="s">
        <v>4247</v>
      </c>
      <c r="D414" s="1426"/>
      <c r="E414" s="1429" t="s">
        <v>3338</v>
      </c>
      <c r="F414" s="1539">
        <v>453937660</v>
      </c>
      <c r="G414" s="1517" t="s">
        <v>2494</v>
      </c>
      <c r="H414" s="1518"/>
      <c r="I414" s="1518"/>
      <c r="J414" s="1519">
        <v>0</v>
      </c>
      <c r="K414" s="1517"/>
      <c r="L414" s="1519">
        <v>0</v>
      </c>
      <c r="M414" s="1518" t="s">
        <v>656</v>
      </c>
      <c r="N414" s="1517">
        <v>2018</v>
      </c>
      <c r="O414" s="1518"/>
      <c r="P414" s="1518"/>
      <c r="Q414" s="1518"/>
      <c r="R414" s="1517" t="s">
        <v>12</v>
      </c>
      <c r="S414" s="1520"/>
      <c r="T414" s="1518"/>
      <c r="U414" s="1572"/>
      <c r="V414" s="1521"/>
      <c r="W414" s="1522" t="str">
        <f>LEFT(G414,8)</f>
        <v>04.13.01</v>
      </c>
      <c r="X414" s="1478" t="str">
        <f>VLOOKUP(W414,UE,3,FALSE)</f>
        <v>Jalan</v>
      </c>
      <c r="Y414" s="1478">
        <f>VLOOKUP(W414,UE,4,FALSE)</f>
        <v>10</v>
      </c>
      <c r="Z414" s="1401"/>
      <c r="AA414" s="1444">
        <f>IF(2013-N414&gt;Y414,10,IF(2013-N414&lt;0,0,2013-N414))</f>
        <v>0</v>
      </c>
      <c r="AB414" s="1401"/>
      <c r="AC414" s="1401"/>
      <c r="AD414" s="1401"/>
      <c r="AE414" s="1401"/>
      <c r="AF414" s="1401"/>
      <c r="AG414" s="1479"/>
      <c r="AH414" s="1479"/>
      <c r="AI414" s="1479"/>
      <c r="AJ414" s="1401">
        <f>S414-AI414</f>
        <v>0</v>
      </c>
    </row>
    <row r="415" spans="1:36" s="1390" customFormat="1" ht="44" customHeight="1" x14ac:dyDescent="0.15">
      <c r="A415" s="1390">
        <v>244</v>
      </c>
      <c r="B415" s="1472" t="str">
        <f t="shared" si="148"/>
        <v>KOTO BARU - SUKA MAJU</v>
      </c>
      <c r="C415" s="1516"/>
      <c r="D415" s="1426"/>
      <c r="E415" s="1429" t="s">
        <v>5711</v>
      </c>
      <c r="F415" s="1539">
        <f>14281894200+7500000</f>
        <v>14289394200</v>
      </c>
      <c r="G415" s="1517" t="s">
        <v>2494</v>
      </c>
      <c r="H415" s="1518"/>
      <c r="I415" s="1518"/>
      <c r="J415" s="1519">
        <v>4000</v>
      </c>
      <c r="K415" s="1517">
        <v>5</v>
      </c>
      <c r="L415" s="1519">
        <f>J415*K415</f>
        <v>20000</v>
      </c>
      <c r="M415" s="1518" t="s">
        <v>656</v>
      </c>
      <c r="N415" s="1517">
        <v>2019</v>
      </c>
      <c r="O415" s="1518" t="s">
        <v>5712</v>
      </c>
      <c r="P415" s="1518" t="s">
        <v>5435</v>
      </c>
      <c r="Q415" s="1518"/>
      <c r="R415" s="1517" t="s">
        <v>12</v>
      </c>
      <c r="S415" s="1520"/>
      <c r="T415" s="1518"/>
      <c r="U415" s="1572"/>
      <c r="V415" s="1521"/>
      <c r="W415" s="1522"/>
      <c r="X415" s="1478"/>
      <c r="Y415" s="1478"/>
      <c r="Z415" s="1401"/>
      <c r="AA415" s="1444"/>
      <c r="AB415" s="1401"/>
      <c r="AC415" s="1401"/>
      <c r="AD415" s="1401"/>
      <c r="AE415" s="1401"/>
      <c r="AF415" s="1401"/>
      <c r="AG415" s="1479"/>
      <c r="AH415" s="1479"/>
      <c r="AI415" s="1479"/>
      <c r="AJ415" s="1401"/>
    </row>
    <row r="416" spans="1:36" s="1390" customFormat="1" ht="44" customHeight="1" x14ac:dyDescent="0.15">
      <c r="A416" s="1390">
        <v>245</v>
      </c>
      <c r="B416" s="1472" t="str">
        <f t="shared" si="148"/>
        <v>SIMP. 4 PT. WANASARI - SUKAMAJU</v>
      </c>
      <c r="C416" s="1516" t="s">
        <v>4247</v>
      </c>
      <c r="D416" s="1426">
        <v>157</v>
      </c>
      <c r="E416" s="1429" t="s">
        <v>5863</v>
      </c>
      <c r="F416" s="1539"/>
      <c r="G416" s="1517" t="s">
        <v>2494</v>
      </c>
      <c r="H416" s="1518"/>
      <c r="I416" s="1518" t="s">
        <v>519</v>
      </c>
      <c r="J416" s="1533">
        <v>0</v>
      </c>
      <c r="K416" s="1517"/>
      <c r="L416" s="1519">
        <v>0</v>
      </c>
      <c r="M416" s="1518" t="s">
        <v>3093</v>
      </c>
      <c r="N416" s="1517">
        <v>2007</v>
      </c>
      <c r="O416" s="1518"/>
      <c r="P416" s="1518"/>
      <c r="Q416" s="1518"/>
      <c r="R416" s="1517" t="s">
        <v>12</v>
      </c>
      <c r="S416" s="1520">
        <f>9470100204.32667+F422+F423+F424+F425+F426+F428+F429+F427+F418+F421+F417+F419+F420+F430</f>
        <v>30467790864.935066</v>
      </c>
      <c r="T416" s="1517" t="s">
        <v>43</v>
      </c>
      <c r="U416" s="1572"/>
      <c r="V416" s="1521"/>
      <c r="W416" s="1522" t="str">
        <f>LEFT(G416,8)</f>
        <v>04.13.01</v>
      </c>
      <c r="X416" s="1478" t="str">
        <f>VLOOKUP(W416,UE,3,FALSE)</f>
        <v>Jalan</v>
      </c>
      <c r="Y416" s="1478">
        <f>VLOOKUP(W416,UE,4,FALSE)</f>
        <v>10</v>
      </c>
      <c r="Z416" s="1401"/>
      <c r="AA416" s="1444">
        <f>IF(2013-N416&gt;Y416,10,IF(2013-N416&lt;0,0,2013-N416))</f>
        <v>6</v>
      </c>
      <c r="AB416" s="1401">
        <f>SUM(PERHITUNGAN!U1402:U1408)</f>
        <v>8408803951.8525658</v>
      </c>
      <c r="AC416" s="1479">
        <f>SUMIF(PERHITUNGAN!A:A,'KIB D'!B416&amp;'KIB D'!$AC$7,PERHITUNGAN!U:U)</f>
        <v>1101387189.8347225</v>
      </c>
      <c r="AD416" s="1479">
        <f>SUMIF(PERHITUNGAN!A:A,'KIB D'!B416&amp;'KIB D'!$AD$7,PERHITUNGAN!U:U)</f>
        <v>1113080150.5677781</v>
      </c>
      <c r="AE416" s="1479">
        <f>SUMIF(PERHITUNGAN!A:A,'KIB D'!B416&amp;'KIB D'!$AE$7,PERHITUNGAN!U:U)</f>
        <v>1254020000.6680002</v>
      </c>
      <c r="AF416" s="1479">
        <f>SUMIF(PERHITUNGAN!A:A,'KIB D'!B416&amp;'KIB D'!$AF$7,PERHITUNGAN!U:U)</f>
        <v>1166567600.6012001</v>
      </c>
      <c r="AG416" s="1479">
        <f>SUMIF(PERHITUNGAN!A:A,'KIB D'!B416&amp;'KIB D'!$AG$7,PERHITUNGAN!U:U)</f>
        <v>1311109102.1410801</v>
      </c>
      <c r="AH416" s="1479">
        <f>SUMIF(PERHITUNGAN!A:A,'KIB D'!B416&amp;'KIB D'!$AH$7,PERHITUNGAN!U:U)</f>
        <v>1611282286.9269719</v>
      </c>
      <c r="AI416" s="1479">
        <f>SUM(AB416:AH416)</f>
        <v>15966250282.592318</v>
      </c>
      <c r="AJ416" s="1401">
        <f>S416-AI416</f>
        <v>14501540582.342749</v>
      </c>
    </row>
    <row r="417" spans="1:36" s="1390" customFormat="1" ht="44" customHeight="1" x14ac:dyDescent="0.2">
      <c r="A417" s="1390">
        <v>245</v>
      </c>
      <c r="B417" s="1472" t="str">
        <f t="shared" si="148"/>
        <v>SIMP. 4 PT. WANASARI - SUKAMAJU</v>
      </c>
      <c r="C417" s="1478" t="e">
        <f>RIGHT(#REF!,1)</f>
        <v>#REF!</v>
      </c>
      <c r="D417" s="1426"/>
      <c r="E417" s="1429" t="s">
        <v>5080</v>
      </c>
      <c r="F417" s="1539">
        <v>442451120.5388456</v>
      </c>
      <c r="G417" s="1416" t="s">
        <v>2494</v>
      </c>
      <c r="H417" s="1508"/>
      <c r="I417" s="1416"/>
      <c r="J417" s="1500"/>
      <c r="K417" s="1416"/>
      <c r="L417" s="1500"/>
      <c r="M417" s="1429" t="s">
        <v>3765</v>
      </c>
      <c r="N417" s="1416">
        <v>2007</v>
      </c>
      <c r="O417" s="1414"/>
      <c r="P417" s="1414"/>
      <c r="Q417" s="1414"/>
      <c r="R417" s="1416" t="s">
        <v>12</v>
      </c>
      <c r="S417" s="1529"/>
      <c r="T417" s="1416" t="s">
        <v>43</v>
      </c>
      <c r="U417" s="1427"/>
      <c r="V417" s="1477"/>
      <c r="W417" s="1478" t="str">
        <f>LEFT(G417,8)</f>
        <v>04.13.01</v>
      </c>
      <c r="X417" s="1478" t="str">
        <f>VLOOKUP(W417,UE,3,FALSE)</f>
        <v>Jalan</v>
      </c>
      <c r="Y417" s="1478">
        <f>VLOOKUP(W417,UE,4,FALSE)</f>
        <v>10</v>
      </c>
      <c r="Z417" s="1401"/>
      <c r="AA417" s="1444"/>
      <c r="AB417" s="1401"/>
      <c r="AC417" s="1401"/>
      <c r="AD417" s="1401"/>
      <c r="AE417" s="1401"/>
      <c r="AF417" s="1401"/>
      <c r="AG417" s="1479"/>
      <c r="AH417" s="1479"/>
      <c r="AI417" s="1479"/>
      <c r="AJ417" s="1401">
        <f>S417-AI417</f>
        <v>0</v>
      </c>
    </row>
    <row r="418" spans="1:36" s="1390" customFormat="1" ht="44" customHeight="1" x14ac:dyDescent="0.2">
      <c r="A418" s="1390">
        <v>245</v>
      </c>
      <c r="B418" s="1472" t="str">
        <f t="shared" si="148"/>
        <v>SIMP. 4 PT. WANASARI - SUKAMAJU</v>
      </c>
      <c r="C418" s="1478"/>
      <c r="D418" s="1426"/>
      <c r="E418" s="1429" t="s">
        <v>5065</v>
      </c>
      <c r="F418" s="1539">
        <v>1322245832.25</v>
      </c>
      <c r="G418" s="1416" t="s">
        <v>2494</v>
      </c>
      <c r="H418" s="1508"/>
      <c r="I418" s="1416"/>
      <c r="J418" s="1500"/>
      <c r="K418" s="1416"/>
      <c r="L418" s="1500"/>
      <c r="M418" s="1429" t="s">
        <v>3765</v>
      </c>
      <c r="N418" s="1416">
        <v>2008</v>
      </c>
      <c r="O418" s="1414"/>
      <c r="P418" s="1414"/>
      <c r="Q418" s="1414"/>
      <c r="R418" s="1416" t="s">
        <v>12</v>
      </c>
      <c r="S418" s="1529"/>
      <c r="T418" s="1416"/>
      <c r="U418" s="1427"/>
      <c r="V418" s="1477"/>
      <c r="W418" s="1478"/>
      <c r="X418" s="1478"/>
      <c r="Y418" s="1478"/>
      <c r="Z418" s="1401"/>
      <c r="AA418" s="1444"/>
      <c r="AB418" s="1401"/>
      <c r="AC418" s="1401"/>
      <c r="AD418" s="1401"/>
      <c r="AE418" s="1401"/>
      <c r="AF418" s="1401"/>
      <c r="AG418" s="1479"/>
      <c r="AH418" s="1479"/>
      <c r="AI418" s="1479"/>
      <c r="AJ418" s="1401"/>
    </row>
    <row r="419" spans="1:36" s="1390" customFormat="1" ht="44" customHeight="1" x14ac:dyDescent="0.2">
      <c r="A419" s="1390">
        <v>245</v>
      </c>
      <c r="B419" s="1472" t="str">
        <f t="shared" si="148"/>
        <v>SIMP. 4 PT. WANASARI - SUKAMAJU</v>
      </c>
      <c r="C419" s="1478"/>
      <c r="D419" s="1426"/>
      <c r="E419" s="1577" t="s">
        <v>5160</v>
      </c>
      <c r="F419" s="1539">
        <v>2164030080.8653526</v>
      </c>
      <c r="G419" s="1416" t="s">
        <v>2494</v>
      </c>
      <c r="H419" s="1508"/>
      <c r="I419" s="1523" t="s">
        <v>519</v>
      </c>
      <c r="J419" s="1525">
        <v>1500</v>
      </c>
      <c r="K419" s="1525"/>
      <c r="L419" s="1525">
        <v>1500</v>
      </c>
      <c r="M419" s="1523" t="s">
        <v>3765</v>
      </c>
      <c r="N419" s="1416">
        <v>2008</v>
      </c>
      <c r="O419" s="1414"/>
      <c r="P419" s="1523" t="s">
        <v>5084</v>
      </c>
      <c r="Q419" s="1414"/>
      <c r="R419" s="1523" t="s">
        <v>12</v>
      </c>
      <c r="S419" s="1529"/>
      <c r="T419" s="1525" t="s">
        <v>43</v>
      </c>
      <c r="U419" s="1574"/>
      <c r="V419" s="1477"/>
      <c r="W419" s="1478"/>
      <c r="X419" s="1478"/>
      <c r="Y419" s="1478"/>
      <c r="Z419" s="1401"/>
      <c r="AA419" s="1444"/>
      <c r="AB419" s="1401"/>
      <c r="AC419" s="1401"/>
      <c r="AD419" s="1401"/>
      <c r="AE419" s="1401"/>
      <c r="AF419" s="1401"/>
      <c r="AG419" s="1479"/>
      <c r="AH419" s="1479"/>
      <c r="AI419" s="1479"/>
      <c r="AJ419" s="1401"/>
    </row>
    <row r="420" spans="1:36" s="1390" customFormat="1" ht="44" customHeight="1" x14ac:dyDescent="0.2">
      <c r="A420" s="1390">
        <v>245</v>
      </c>
      <c r="B420" s="1472" t="str">
        <f t="shared" si="148"/>
        <v>SIMP. 4 PT. WANASARI - SUKAMAJU</v>
      </c>
      <c r="C420" s="1478"/>
      <c r="D420" s="1426"/>
      <c r="E420" s="1590" t="s">
        <v>5167</v>
      </c>
      <c r="F420" s="1539">
        <v>1752079358.7175326</v>
      </c>
      <c r="G420" s="1416" t="s">
        <v>2494</v>
      </c>
      <c r="H420" s="1508"/>
      <c r="I420" s="1534" t="s">
        <v>519</v>
      </c>
      <c r="J420" s="1534">
        <v>1000</v>
      </c>
      <c r="K420" s="1535"/>
      <c r="L420" s="1534">
        <v>1000</v>
      </c>
      <c r="M420" s="1534" t="s">
        <v>5168</v>
      </c>
      <c r="N420" s="1416">
        <v>2009</v>
      </c>
      <c r="O420" s="1414"/>
      <c r="P420" s="1414" t="s">
        <v>5084</v>
      </c>
      <c r="Q420" s="1414"/>
      <c r="R420" s="1523" t="s">
        <v>12</v>
      </c>
      <c r="S420" s="1529"/>
      <c r="T420" s="1416" t="s">
        <v>43</v>
      </c>
      <c r="U420" s="1427"/>
      <c r="V420" s="1477"/>
      <c r="W420" s="1478"/>
      <c r="X420" s="1478"/>
      <c r="Y420" s="1478"/>
      <c r="Z420" s="1401"/>
      <c r="AA420" s="1444"/>
      <c r="AB420" s="1401"/>
      <c r="AC420" s="1401"/>
      <c r="AD420" s="1401"/>
      <c r="AE420" s="1401"/>
      <c r="AF420" s="1401"/>
      <c r="AG420" s="1479"/>
      <c r="AH420" s="1479"/>
      <c r="AI420" s="1479"/>
      <c r="AJ420" s="1401"/>
    </row>
    <row r="421" spans="1:36" s="1390" customFormat="1" ht="44" customHeight="1" x14ac:dyDescent="0.2">
      <c r="A421" s="1390">
        <v>245</v>
      </c>
      <c r="B421" s="1472" t="str">
        <f t="shared" si="148"/>
        <v>SIMP. 4 PT. WANASARI - SUKAMAJU</v>
      </c>
      <c r="C421" s="1478"/>
      <c r="D421" s="1426"/>
      <c r="E421" s="1429" t="s">
        <v>5070</v>
      </c>
      <c r="F421" s="1539">
        <v>1311829019.6666667</v>
      </c>
      <c r="G421" s="1416" t="s">
        <v>2494</v>
      </c>
      <c r="H421" s="1508"/>
      <c r="I421" s="1416" t="s">
        <v>519</v>
      </c>
      <c r="J421" s="1500"/>
      <c r="K421" s="1416"/>
      <c r="L421" s="1500"/>
      <c r="M421" s="1429" t="s">
        <v>3765</v>
      </c>
      <c r="N421" s="1416">
        <v>2012</v>
      </c>
      <c r="O421" s="1414"/>
      <c r="P421" s="1414"/>
      <c r="Q421" s="1414"/>
      <c r="R421" s="1416" t="s">
        <v>12</v>
      </c>
      <c r="S421" s="1529"/>
      <c r="T421" s="1416"/>
      <c r="U421" s="1427"/>
      <c r="V421" s="1477"/>
      <c r="W421" s="1478"/>
      <c r="X421" s="1478"/>
      <c r="Y421" s="1478"/>
      <c r="Z421" s="1401"/>
      <c r="AA421" s="1444"/>
      <c r="AB421" s="1401"/>
      <c r="AC421" s="1401"/>
      <c r="AD421" s="1401"/>
      <c r="AE421" s="1401"/>
      <c r="AF421" s="1401"/>
      <c r="AG421" s="1479"/>
      <c r="AH421" s="1479"/>
      <c r="AI421" s="1479"/>
      <c r="AJ421" s="1401"/>
    </row>
    <row r="422" spans="1:36" s="1390" customFormat="1" ht="44" customHeight="1" x14ac:dyDescent="0.15">
      <c r="A422" s="1390">
        <v>245</v>
      </c>
      <c r="B422" s="1472" t="str">
        <f t="shared" si="148"/>
        <v>SIMP. 4 PT. WANASARI - SUKAMAJU</v>
      </c>
      <c r="C422" s="1516" t="s">
        <v>4247</v>
      </c>
      <c r="D422" s="1426"/>
      <c r="E422" s="1429" t="s">
        <v>1299</v>
      </c>
      <c r="F422" s="1539">
        <v>1858553044</v>
      </c>
      <c r="G422" s="1517" t="s">
        <v>2494</v>
      </c>
      <c r="H422" s="1518"/>
      <c r="I422" s="1518"/>
      <c r="J422" s="1519">
        <v>0</v>
      </c>
      <c r="K422" s="1517"/>
      <c r="L422" s="1519">
        <v>0</v>
      </c>
      <c r="M422" s="1518" t="s">
        <v>3093</v>
      </c>
      <c r="N422" s="1517">
        <v>2014</v>
      </c>
      <c r="O422" s="1518"/>
      <c r="P422" s="1518"/>
      <c r="Q422" s="1518"/>
      <c r="R422" s="1517" t="s">
        <v>12</v>
      </c>
      <c r="S422" s="1520"/>
      <c r="T422" s="1518"/>
      <c r="U422" s="1572"/>
      <c r="V422" s="1521"/>
      <c r="W422" s="1522" t="str">
        <f t="shared" ref="W422:W429" si="149">LEFT(G422,8)</f>
        <v>04.13.01</v>
      </c>
      <c r="X422" s="1478" t="str">
        <f t="shared" ref="X422:X429" si="150">VLOOKUP(W422,UE,3,FALSE)</f>
        <v>Jalan</v>
      </c>
      <c r="Y422" s="1478">
        <f t="shared" ref="Y422:Y429" si="151">VLOOKUP(W422,UE,4,FALSE)</f>
        <v>10</v>
      </c>
      <c r="Z422" s="1401"/>
      <c r="AA422" s="1444">
        <f>IF(2013-N422&gt;Y422,10,IF(2013-N422&lt;0,0,2013-N422))</f>
        <v>0</v>
      </c>
      <c r="AB422" s="1401"/>
      <c r="AC422" s="1401"/>
      <c r="AD422" s="1401"/>
      <c r="AE422" s="1401"/>
      <c r="AF422" s="1401"/>
      <c r="AG422" s="1479"/>
      <c r="AH422" s="1479"/>
      <c r="AI422" s="1479"/>
      <c r="AJ422" s="1401">
        <f t="shared" ref="AJ422:AJ427" si="152">S422-AI422</f>
        <v>0</v>
      </c>
    </row>
    <row r="423" spans="1:36" s="1390" customFormat="1" ht="44" customHeight="1" x14ac:dyDescent="0.15">
      <c r="A423" s="1390">
        <v>245</v>
      </c>
      <c r="B423" s="1472" t="str">
        <f t="shared" si="148"/>
        <v>SIMP. 4 PT. WANASARI - SUKAMAJU</v>
      </c>
      <c r="C423" s="1516" t="s">
        <v>4247</v>
      </c>
      <c r="D423" s="1426"/>
      <c r="E423" s="1429" t="s">
        <v>1375</v>
      </c>
      <c r="F423" s="1539">
        <v>2128408453</v>
      </c>
      <c r="G423" s="1517" t="s">
        <v>2494</v>
      </c>
      <c r="H423" s="1518"/>
      <c r="I423" s="1518"/>
      <c r="J423" s="1519">
        <v>0</v>
      </c>
      <c r="K423" s="1517"/>
      <c r="L423" s="1519">
        <v>0</v>
      </c>
      <c r="M423" s="1518" t="s">
        <v>3093</v>
      </c>
      <c r="N423" s="1517">
        <v>2015</v>
      </c>
      <c r="O423" s="1518"/>
      <c r="P423" s="1518"/>
      <c r="Q423" s="1518"/>
      <c r="R423" s="1517" t="s">
        <v>12</v>
      </c>
      <c r="S423" s="1520"/>
      <c r="T423" s="1518"/>
      <c r="U423" s="1572"/>
      <c r="V423" s="1521"/>
      <c r="W423" s="1522" t="str">
        <f t="shared" si="149"/>
        <v>04.13.01</v>
      </c>
      <c r="X423" s="1478" t="str">
        <f t="shared" si="150"/>
        <v>Jalan</v>
      </c>
      <c r="Y423" s="1478">
        <f t="shared" si="151"/>
        <v>10</v>
      </c>
      <c r="Z423" s="1401"/>
      <c r="AA423" s="1444">
        <f>IF(2013-N423&gt;Y423,10,IF(2013-N423&lt;0,0,2013-N423))</f>
        <v>0</v>
      </c>
      <c r="AB423" s="1401"/>
      <c r="AC423" s="1401"/>
      <c r="AD423" s="1401"/>
      <c r="AE423" s="1401"/>
      <c r="AF423" s="1401"/>
      <c r="AG423" s="1479"/>
      <c r="AH423" s="1479"/>
      <c r="AI423" s="1479"/>
      <c r="AJ423" s="1401">
        <f t="shared" si="152"/>
        <v>0</v>
      </c>
    </row>
    <row r="424" spans="1:36" s="1390" customFormat="1" ht="44" customHeight="1" x14ac:dyDescent="0.2">
      <c r="A424" s="1390">
        <v>245</v>
      </c>
      <c r="B424" s="1472" t="str">
        <f t="shared" si="148"/>
        <v>SIMP. 4 PT. WANASARI - SUKAMAJU</v>
      </c>
      <c r="C424" s="1478" t="e">
        <f>RIGHT(#REF!,1)</f>
        <v>#REF!</v>
      </c>
      <c r="D424" s="1426"/>
      <c r="E424" s="1429" t="s">
        <v>1399</v>
      </c>
      <c r="F424" s="1529">
        <v>191295534</v>
      </c>
      <c r="G424" s="1501" t="s">
        <v>3828</v>
      </c>
      <c r="H424" s="1501"/>
      <c r="I424" s="1414"/>
      <c r="J424" s="1526"/>
      <c r="K424" s="1416"/>
      <c r="L424" s="1430"/>
      <c r="M424" s="1429" t="s">
        <v>3236</v>
      </c>
      <c r="N424" s="1501">
        <v>2015</v>
      </c>
      <c r="O424" s="1414"/>
      <c r="P424" s="1414"/>
      <c r="Q424" s="1414"/>
      <c r="R424" s="1501" t="s">
        <v>12</v>
      </c>
      <c r="S424" s="1527"/>
      <c r="T424" s="1528"/>
      <c r="U424" s="1575"/>
      <c r="V424" s="1490"/>
      <c r="W424" s="1478" t="str">
        <f t="shared" si="149"/>
        <v>04.13.01</v>
      </c>
      <c r="X424" s="1478" t="str">
        <f t="shared" si="150"/>
        <v>Jalan</v>
      </c>
      <c r="Y424" s="1478">
        <f t="shared" si="151"/>
        <v>10</v>
      </c>
      <c r="Z424" s="1401"/>
      <c r="AA424" s="1444"/>
      <c r="AB424" s="1401"/>
      <c r="AC424" s="1401"/>
      <c r="AD424" s="1401"/>
      <c r="AE424" s="1401"/>
      <c r="AF424" s="1401"/>
      <c r="AG424" s="1479"/>
      <c r="AH424" s="1479"/>
      <c r="AI424" s="1479"/>
      <c r="AJ424" s="1401">
        <f t="shared" si="152"/>
        <v>0</v>
      </c>
    </row>
    <row r="425" spans="1:36" s="1390" customFormat="1" ht="44" customHeight="1" x14ac:dyDescent="0.15">
      <c r="A425" s="1390">
        <v>245</v>
      </c>
      <c r="B425" s="1472" t="str">
        <f t="shared" si="148"/>
        <v>SIMP. 4 PT. WANASARI - SUKAMAJU</v>
      </c>
      <c r="C425" s="1516" t="s">
        <v>4247</v>
      </c>
      <c r="D425" s="1426"/>
      <c r="E425" s="1429" t="s">
        <v>1462</v>
      </c>
      <c r="F425" s="1539">
        <v>2522478651.5700002</v>
      </c>
      <c r="G425" s="1517" t="s">
        <v>2494</v>
      </c>
      <c r="H425" s="1518"/>
      <c r="I425" s="1518"/>
      <c r="J425" s="1519">
        <v>0</v>
      </c>
      <c r="K425" s="1517"/>
      <c r="L425" s="1519">
        <v>0</v>
      </c>
      <c r="M425" s="1518" t="s">
        <v>3093</v>
      </c>
      <c r="N425" s="1517">
        <v>2016</v>
      </c>
      <c r="O425" s="1518"/>
      <c r="P425" s="1518"/>
      <c r="Q425" s="1518"/>
      <c r="R425" s="1517" t="s">
        <v>12</v>
      </c>
      <c r="S425" s="1520"/>
      <c r="T425" s="1518"/>
      <c r="U425" s="1572"/>
      <c r="V425" s="1521"/>
      <c r="W425" s="1522" t="str">
        <f t="shared" si="149"/>
        <v>04.13.01</v>
      </c>
      <c r="X425" s="1478" t="str">
        <f t="shared" si="150"/>
        <v>Jalan</v>
      </c>
      <c r="Y425" s="1478">
        <f t="shared" si="151"/>
        <v>10</v>
      </c>
      <c r="Z425" s="1401"/>
      <c r="AA425" s="1444">
        <f>IF(2013-N425&gt;Y425,10,IF(2013-N425&lt;0,0,2013-N425))</f>
        <v>0</v>
      </c>
      <c r="AB425" s="1401"/>
      <c r="AC425" s="1401"/>
      <c r="AD425" s="1401"/>
      <c r="AE425" s="1401"/>
      <c r="AF425" s="1401"/>
      <c r="AG425" s="1479"/>
      <c r="AH425" s="1479"/>
      <c r="AI425" s="1479"/>
      <c r="AJ425" s="1401">
        <f t="shared" si="152"/>
        <v>0</v>
      </c>
    </row>
    <row r="426" spans="1:36" s="1390" customFormat="1" ht="44" customHeight="1" x14ac:dyDescent="0.15">
      <c r="A426" s="1390">
        <v>245</v>
      </c>
      <c r="B426" s="1472" t="str">
        <f t="shared" si="148"/>
        <v>SIMP. 4 PT. WANASARI - SUKAMAJU</v>
      </c>
      <c r="C426" s="1516" t="s">
        <v>4247</v>
      </c>
      <c r="D426" s="1426"/>
      <c r="E426" s="1429" t="s">
        <v>2505</v>
      </c>
      <c r="F426" s="1539">
        <v>188864000</v>
      </c>
      <c r="G426" s="1517" t="s">
        <v>2494</v>
      </c>
      <c r="H426" s="1518"/>
      <c r="I426" s="1518"/>
      <c r="J426" s="1519">
        <v>0</v>
      </c>
      <c r="K426" s="1517"/>
      <c r="L426" s="1519">
        <v>0</v>
      </c>
      <c r="M426" s="1518" t="s">
        <v>2567</v>
      </c>
      <c r="N426" s="1517">
        <v>2017</v>
      </c>
      <c r="O426" s="1518"/>
      <c r="P426" s="1518"/>
      <c r="Q426" s="1518"/>
      <c r="R426" s="1517" t="s">
        <v>12</v>
      </c>
      <c r="S426" s="1520"/>
      <c r="T426" s="1518"/>
      <c r="U426" s="1572"/>
      <c r="V426" s="1521"/>
      <c r="W426" s="1522" t="str">
        <f t="shared" si="149"/>
        <v>04.13.01</v>
      </c>
      <c r="X426" s="1478" t="str">
        <f t="shared" si="150"/>
        <v>Jalan</v>
      </c>
      <c r="Y426" s="1478">
        <f t="shared" si="151"/>
        <v>10</v>
      </c>
      <c r="Z426" s="1401"/>
      <c r="AA426" s="1444">
        <f>IF(2013-N426&gt;Y426,10,IF(2013-N426&lt;0,0,2013-N426))</f>
        <v>0</v>
      </c>
      <c r="AB426" s="1401"/>
      <c r="AC426" s="1401"/>
      <c r="AD426" s="1401"/>
      <c r="AE426" s="1401"/>
      <c r="AF426" s="1401"/>
      <c r="AG426" s="1479"/>
      <c r="AH426" s="1479"/>
      <c r="AI426" s="1479"/>
      <c r="AJ426" s="1401">
        <f t="shared" si="152"/>
        <v>0</v>
      </c>
    </row>
    <row r="427" spans="1:36" s="1390" customFormat="1" ht="44" customHeight="1" x14ac:dyDescent="0.2">
      <c r="A427" s="1390">
        <v>245</v>
      </c>
      <c r="B427" s="1472" t="str">
        <f t="shared" si="148"/>
        <v>SIMP. 4 PT. WANASARI - SUKAMAJU</v>
      </c>
      <c r="C427" s="1478" t="e">
        <f>RIGHT(#REF!,1)</f>
        <v>#REF!</v>
      </c>
      <c r="D427" s="1426"/>
      <c r="E427" s="1539" t="s">
        <v>2497</v>
      </c>
      <c r="F427" s="1529">
        <v>190632000</v>
      </c>
      <c r="G427" s="1501" t="s">
        <v>2494</v>
      </c>
      <c r="H427" s="1501"/>
      <c r="I427" s="1414"/>
      <c r="J427" s="1526"/>
      <c r="K427" s="1416"/>
      <c r="L427" s="1430"/>
      <c r="M427" s="1429" t="s">
        <v>2559</v>
      </c>
      <c r="N427" s="1501">
        <v>2017</v>
      </c>
      <c r="O427" s="1414"/>
      <c r="P427" s="1414"/>
      <c r="Q427" s="1414"/>
      <c r="R427" s="1501" t="s">
        <v>12</v>
      </c>
      <c r="S427" s="1527"/>
      <c r="T427" s="1528"/>
      <c r="U427" s="1575"/>
      <c r="V427" s="1490"/>
      <c r="W427" s="1478" t="str">
        <f t="shared" si="149"/>
        <v>04.13.01</v>
      </c>
      <c r="X427" s="1478" t="str">
        <f t="shared" si="150"/>
        <v>Jalan</v>
      </c>
      <c r="Y427" s="1478">
        <f t="shared" si="151"/>
        <v>10</v>
      </c>
      <c r="Z427" s="1401"/>
      <c r="AA427" s="1444"/>
      <c r="AB427" s="1401"/>
      <c r="AC427" s="1401"/>
      <c r="AD427" s="1401"/>
      <c r="AE427" s="1401"/>
      <c r="AF427" s="1401"/>
      <c r="AG427" s="1479"/>
      <c r="AH427" s="1479"/>
      <c r="AI427" s="1479"/>
      <c r="AJ427" s="1401">
        <f t="shared" si="152"/>
        <v>0</v>
      </c>
    </row>
    <row r="428" spans="1:36" s="1390" customFormat="1" ht="44" customHeight="1" x14ac:dyDescent="0.15">
      <c r="A428" s="1390">
        <v>245</v>
      </c>
      <c r="B428" s="1472" t="str">
        <f t="shared" si="148"/>
        <v>SIMP. 4 PT. WANASARI - SUKAMAJU</v>
      </c>
      <c r="C428" s="1516" t="s">
        <v>4247</v>
      </c>
      <c r="D428" s="1426"/>
      <c r="E428" s="1429" t="s">
        <v>3339</v>
      </c>
      <c r="F428" s="1539">
        <v>452524755</v>
      </c>
      <c r="G428" s="1517" t="s">
        <v>2494</v>
      </c>
      <c r="H428" s="1518"/>
      <c r="I428" s="1518"/>
      <c r="J428" s="1519">
        <v>0</v>
      </c>
      <c r="K428" s="1517"/>
      <c r="L428" s="1519">
        <v>0</v>
      </c>
      <c r="M428" s="1518" t="s">
        <v>3093</v>
      </c>
      <c r="N428" s="1517">
        <v>2018</v>
      </c>
      <c r="O428" s="1518"/>
      <c r="P428" s="1518"/>
      <c r="Q428" s="1518"/>
      <c r="R428" s="1517" t="s">
        <v>12</v>
      </c>
      <c r="S428" s="1520"/>
      <c r="T428" s="1518"/>
      <c r="U428" s="1572"/>
      <c r="V428" s="1521"/>
      <c r="W428" s="1522" t="str">
        <f t="shared" si="149"/>
        <v>04.13.01</v>
      </c>
      <c r="X428" s="1478" t="str">
        <f t="shared" si="150"/>
        <v>Jalan</v>
      </c>
      <c r="Y428" s="1478">
        <f t="shared" si="151"/>
        <v>10</v>
      </c>
      <c r="Z428" s="1401"/>
      <c r="AA428" s="1444">
        <f>IF(2013-N428&gt;Y428,10,IF(2013-N428&lt;0,0,2013-N428))</f>
        <v>0</v>
      </c>
      <c r="AB428" s="1401"/>
      <c r="AC428" s="1401"/>
      <c r="AD428" s="1401"/>
      <c r="AE428" s="1401"/>
      <c r="AF428" s="1401"/>
      <c r="AG428" s="1479"/>
      <c r="AH428" s="1479"/>
      <c r="AI428" s="1479"/>
      <c r="AJ428" s="1401"/>
    </row>
    <row r="429" spans="1:36" s="1472" customFormat="1" ht="44" customHeight="1" x14ac:dyDescent="0.2">
      <c r="A429" s="1472">
        <v>245</v>
      </c>
      <c r="B429" s="1472" t="str">
        <f t="shared" si="148"/>
        <v>SIMP. 4 PT. WANASARI - SUKAMAJU</v>
      </c>
      <c r="C429" s="1478" t="e">
        <f>RIGHT(#REF!,1)</f>
        <v>#REF!</v>
      </c>
      <c r="D429" s="1576"/>
      <c r="E429" s="1413" t="s">
        <v>3316</v>
      </c>
      <c r="F429" s="1539">
        <v>2159457861</v>
      </c>
      <c r="G429" s="1416" t="s">
        <v>2494</v>
      </c>
      <c r="H429" s="1414"/>
      <c r="I429" s="1416"/>
      <c r="J429" s="1500"/>
      <c r="K429" s="1416"/>
      <c r="L429" s="1500"/>
      <c r="M429" s="1429" t="s">
        <v>3294</v>
      </c>
      <c r="N429" s="1416">
        <v>2018</v>
      </c>
      <c r="O429" s="1414"/>
      <c r="P429" s="1414"/>
      <c r="Q429" s="1414"/>
      <c r="R429" s="1501" t="s">
        <v>12</v>
      </c>
      <c r="S429" s="1529"/>
      <c r="T429" s="1528"/>
      <c r="U429" s="1575"/>
      <c r="V429" s="1490"/>
      <c r="W429" s="1478" t="str">
        <f t="shared" si="149"/>
        <v>04.13.01</v>
      </c>
      <c r="X429" s="1478" t="str">
        <f t="shared" si="150"/>
        <v>Jalan</v>
      </c>
      <c r="Y429" s="1478">
        <f t="shared" si="151"/>
        <v>10</v>
      </c>
      <c r="Z429" s="1401"/>
      <c r="AA429" s="1444"/>
      <c r="AB429" s="1401"/>
      <c r="AC429" s="1401"/>
      <c r="AD429" s="1401"/>
      <c r="AE429" s="1401"/>
      <c r="AF429" s="1401"/>
      <c r="AG429" s="1479"/>
      <c r="AH429" s="1479"/>
      <c r="AI429" s="1479"/>
      <c r="AJ429" s="1401">
        <f>S429-AI429</f>
        <v>0</v>
      </c>
    </row>
    <row r="430" spans="1:36" s="1472" customFormat="1" ht="44" customHeight="1" x14ac:dyDescent="0.2">
      <c r="A430" s="1472">
        <v>245</v>
      </c>
      <c r="B430" s="1472" t="str">
        <f t="shared" si="148"/>
        <v>SIMP. 4 PT. WANASARI - SUKAMAJU</v>
      </c>
      <c r="C430" s="1478"/>
      <c r="D430" s="1576"/>
      <c r="E430" s="1413" t="s">
        <v>5671</v>
      </c>
      <c r="F430" s="1539">
        <v>4312840950</v>
      </c>
      <c r="G430" s="1416" t="s">
        <v>2494</v>
      </c>
      <c r="H430" s="1414"/>
      <c r="I430" s="1416"/>
      <c r="J430" s="1500">
        <v>2000</v>
      </c>
      <c r="K430" s="1416">
        <v>5</v>
      </c>
      <c r="L430" s="1500">
        <f>J430*K430</f>
        <v>10000</v>
      </c>
      <c r="M430" s="1429" t="s">
        <v>5672</v>
      </c>
      <c r="N430" s="1416">
        <v>2019</v>
      </c>
      <c r="O430" s="1414" t="s">
        <v>5480</v>
      </c>
      <c r="P430" s="1414" t="s">
        <v>433</v>
      </c>
      <c r="Q430" s="1414"/>
      <c r="R430" s="1501" t="s">
        <v>12</v>
      </c>
      <c r="S430" s="1529"/>
      <c r="T430" s="1528"/>
      <c r="U430" s="1575"/>
      <c r="V430" s="1490"/>
      <c r="W430" s="1478"/>
      <c r="X430" s="1478"/>
      <c r="Y430" s="1478"/>
      <c r="Z430" s="1401"/>
      <c r="AA430" s="1444"/>
      <c r="AB430" s="1401"/>
      <c r="AC430" s="1401"/>
      <c r="AD430" s="1401"/>
      <c r="AE430" s="1401"/>
      <c r="AF430" s="1401"/>
      <c r="AG430" s="1479"/>
      <c r="AH430" s="1479"/>
      <c r="AI430" s="1479"/>
      <c r="AJ430" s="1401"/>
    </row>
    <row r="431" spans="1:36" s="1390" customFormat="1" ht="44" customHeight="1" x14ac:dyDescent="0.2">
      <c r="A431" s="1390">
        <v>246</v>
      </c>
      <c r="B431" s="1472" t="str">
        <f t="shared" si="148"/>
        <v>SEI. SIRIH - SIMP. 4 PT. WANASARI</v>
      </c>
      <c r="C431" s="1478"/>
      <c r="D431" s="1426">
        <v>158</v>
      </c>
      <c r="E431" s="1429" t="s">
        <v>5864</v>
      </c>
      <c r="F431" s="1539"/>
      <c r="G431" s="1416" t="s">
        <v>2494</v>
      </c>
      <c r="H431" s="1508"/>
      <c r="I431" s="1416"/>
      <c r="J431" s="1512"/>
      <c r="K431" s="1416"/>
      <c r="L431" s="1500"/>
      <c r="M431" s="1429" t="s">
        <v>3766</v>
      </c>
      <c r="N431" s="1416">
        <v>2007</v>
      </c>
      <c r="O431" s="1414"/>
      <c r="P431" s="1414"/>
      <c r="Q431" s="1414"/>
      <c r="R431" s="1416" t="s">
        <v>12</v>
      </c>
      <c r="S431" s="1529">
        <f>442451120.538846+F434+F435+F436+F432+F433+F437</f>
        <v>9880105338.2467327</v>
      </c>
      <c r="T431" s="1416" t="s">
        <v>43</v>
      </c>
      <c r="U431" s="1427"/>
      <c r="V431" s="1477"/>
      <c r="W431" s="1478" t="str">
        <f>LEFT(G431,8)</f>
        <v>04.13.01</v>
      </c>
      <c r="X431" s="1478" t="str">
        <f>VLOOKUP(W431,UE,3,FALSE)</f>
        <v>Jalan</v>
      </c>
      <c r="Y431" s="1478">
        <f>VLOOKUP(W431,UE,4,FALSE)</f>
        <v>10</v>
      </c>
      <c r="Z431" s="1401"/>
      <c r="AA431" s="1444">
        <f>IF(2013-N431&gt;Y431,10,IF(2013-N431&lt;0,0,2013-N431))</f>
        <v>6</v>
      </c>
      <c r="AB431" s="1401">
        <f>SUM(PERHITUNGAN!U1427:U1432)</f>
        <v>1405155160.8128986</v>
      </c>
      <c r="AC431" s="1479">
        <f>SUMIF(PERHITUNGAN!A:A,'KIB D'!B431&amp;'KIB D'!$AC$7,PERHITUNGAN!U:U)</f>
        <v>275680208.49054778</v>
      </c>
      <c r="AD431" s="1479">
        <f>SUMIF(PERHITUNGAN!A:A,'KIB D'!B431&amp;'KIB D'!$AD$7,PERHITUNGAN!U:U)</f>
        <v>380727425.09432864</v>
      </c>
      <c r="AE431" s="1479">
        <f>SUMIF(PERHITUNGAN!A:A,'KIB D'!B431&amp;'KIB D'!$AE$7,PERHITUNGAN!U:U)</f>
        <v>380727425.09432864</v>
      </c>
      <c r="AF431" s="1479">
        <f>SUMIF(PERHITUNGAN!A:A,'KIB D'!B431&amp;'KIB D'!$AF$7,PERHITUNGAN!U:U)</f>
        <v>380727425.09432864</v>
      </c>
      <c r="AG431" s="1479">
        <f>SUMIF(PERHITUNGAN!A:A,'KIB D'!B431&amp;'KIB D'!$AG$7,PERHITUNGAN!U:U)</f>
        <v>489716669.36603004</v>
      </c>
      <c r="AH431" s="1479">
        <f>SUMIF(PERHITUNGAN!A:A,'KIB D'!B431&amp;'KIB D'!$AH$7,PERHITUNGAN!U:U)</f>
        <v>656737102.42942703</v>
      </c>
      <c r="AI431" s="1479">
        <f>SUM(AB431:AH431)</f>
        <v>3969471416.3818898</v>
      </c>
      <c r="AJ431" s="1401">
        <f>S431-AI431</f>
        <v>5910633921.8648434</v>
      </c>
    </row>
    <row r="432" spans="1:36" s="1390" customFormat="1" ht="44" customHeight="1" x14ac:dyDescent="0.2">
      <c r="A432" s="1390">
        <v>246</v>
      </c>
      <c r="B432" s="1472" t="str">
        <f t="shared" si="148"/>
        <v>SEI. SIRIH - SIMP. 4 PT. WANASARI</v>
      </c>
      <c r="C432" s="1478"/>
      <c r="D432" s="1426"/>
      <c r="E432" s="1583" t="s">
        <v>5171</v>
      </c>
      <c r="F432" s="1539">
        <v>1573120899.3421423</v>
      </c>
      <c r="G432" s="1416" t="s">
        <v>2494</v>
      </c>
      <c r="H432" s="1508"/>
      <c r="I432" s="1534" t="s">
        <v>519</v>
      </c>
      <c r="J432" s="1534">
        <v>1000</v>
      </c>
      <c r="K432" s="1535"/>
      <c r="L432" s="1534">
        <v>1000</v>
      </c>
      <c r="M432" s="1543" t="s">
        <v>5173</v>
      </c>
      <c r="N432" s="1416">
        <v>2009</v>
      </c>
      <c r="O432" s="1414"/>
      <c r="P432" s="1414" t="s">
        <v>5084</v>
      </c>
      <c r="Q432" s="1414"/>
      <c r="R432" s="1523" t="s">
        <v>12</v>
      </c>
      <c r="S432" s="1529"/>
      <c r="T432" s="1416" t="s">
        <v>43</v>
      </c>
      <c r="U432" s="1427"/>
      <c r="V432" s="1477"/>
      <c r="W432" s="1478"/>
      <c r="X432" s="1478"/>
      <c r="Y432" s="1478"/>
      <c r="Z432" s="1401"/>
      <c r="AA432" s="1444"/>
      <c r="AB432" s="1401"/>
      <c r="AC432" s="1401"/>
      <c r="AD432" s="1401"/>
      <c r="AE432" s="1401"/>
      <c r="AF432" s="1401"/>
      <c r="AG432" s="1479"/>
      <c r="AH432" s="1479"/>
      <c r="AI432" s="1479"/>
      <c r="AJ432" s="1401"/>
    </row>
    <row r="433" spans="1:36" s="1390" customFormat="1" ht="44" customHeight="1" x14ac:dyDescent="0.2">
      <c r="A433" s="1390">
        <v>246</v>
      </c>
      <c r="B433" s="1472" t="str">
        <f t="shared" si="148"/>
        <v>SEI. SIRIH - SIMP. 4 PT. WANASARI</v>
      </c>
      <c r="C433" s="1478"/>
      <c r="D433" s="1426"/>
      <c r="E433" s="1519" t="s">
        <v>5172</v>
      </c>
      <c r="F433" s="1539">
        <v>1234787700.3657444</v>
      </c>
      <c r="G433" s="1416" t="s">
        <v>2494</v>
      </c>
      <c r="H433" s="1508"/>
      <c r="I433" s="1523" t="s">
        <v>519</v>
      </c>
      <c r="J433" s="1523">
        <v>1000</v>
      </c>
      <c r="K433" s="1525"/>
      <c r="L433" s="1523"/>
      <c r="M433" s="1523" t="s">
        <v>5174</v>
      </c>
      <c r="N433" s="1416">
        <v>2010</v>
      </c>
      <c r="O433" s="1414"/>
      <c r="P433" s="1414" t="s">
        <v>5084</v>
      </c>
      <c r="Q433" s="1414"/>
      <c r="R433" s="1523" t="s">
        <v>12</v>
      </c>
      <c r="S433" s="1529"/>
      <c r="T433" s="1416" t="s">
        <v>43</v>
      </c>
      <c r="U433" s="1427"/>
      <c r="V433" s="1477"/>
      <c r="W433" s="1478"/>
      <c r="X433" s="1478"/>
      <c r="Y433" s="1478"/>
      <c r="Z433" s="1401"/>
      <c r="AA433" s="1444"/>
      <c r="AB433" s="1401"/>
      <c r="AC433" s="1401"/>
      <c r="AD433" s="1401"/>
      <c r="AE433" s="1401"/>
      <c r="AF433" s="1401"/>
      <c r="AG433" s="1479"/>
      <c r="AH433" s="1479"/>
      <c r="AI433" s="1479"/>
      <c r="AJ433" s="1401"/>
    </row>
    <row r="434" spans="1:36" s="1390" customFormat="1" ht="44" customHeight="1" x14ac:dyDescent="0.2">
      <c r="A434" s="1390">
        <v>246</v>
      </c>
      <c r="B434" s="1472" t="str">
        <f t="shared" si="148"/>
        <v>SEI. SIRIH - SIMP. 4 PT. WANASARI</v>
      </c>
      <c r="C434" s="1478" t="e">
        <f>RIGHT(#REF!,1)</f>
        <v>#REF!</v>
      </c>
      <c r="D434" s="1426"/>
      <c r="E434" s="1429" t="s">
        <v>1232</v>
      </c>
      <c r="F434" s="1539">
        <v>84556900</v>
      </c>
      <c r="G434" s="1517" t="s">
        <v>2494</v>
      </c>
      <c r="H434" s="1518"/>
      <c r="I434" s="1518" t="s">
        <v>519</v>
      </c>
      <c r="J434" s="1519">
        <v>0</v>
      </c>
      <c r="K434" s="1517"/>
      <c r="L434" s="1519">
        <v>1000</v>
      </c>
      <c r="M434" s="1518" t="s">
        <v>3830</v>
      </c>
      <c r="N434" s="1517">
        <v>2011</v>
      </c>
      <c r="O434" s="1518"/>
      <c r="P434" s="1518"/>
      <c r="Q434" s="1518"/>
      <c r="R434" s="1517" t="s">
        <v>12</v>
      </c>
      <c r="S434" s="1520"/>
      <c r="T434" s="1517" t="s">
        <v>43</v>
      </c>
      <c r="U434" s="1572"/>
      <c r="V434" s="1521"/>
      <c r="W434" s="1478" t="str">
        <f>LEFT(G434,8)</f>
        <v>04.13.01</v>
      </c>
      <c r="X434" s="1478" t="str">
        <f>VLOOKUP(W434,UE,3,FALSE)</f>
        <v>Jalan</v>
      </c>
      <c r="Y434" s="1478">
        <f>VLOOKUP(W434,UE,4,FALSE)</f>
        <v>10</v>
      </c>
      <c r="Z434" s="1401"/>
      <c r="AA434" s="1444"/>
      <c r="AB434" s="1401"/>
      <c r="AC434" s="1401"/>
      <c r="AD434" s="1401"/>
      <c r="AE434" s="1401"/>
      <c r="AF434" s="1401"/>
      <c r="AG434" s="1479"/>
      <c r="AH434" s="1479"/>
      <c r="AI434" s="1479"/>
      <c r="AJ434" s="1401"/>
    </row>
    <row r="435" spans="1:36" s="1390" customFormat="1" ht="44" customHeight="1" x14ac:dyDescent="0.2">
      <c r="A435" s="1390">
        <v>246</v>
      </c>
      <c r="B435" s="1472" t="str">
        <f t="shared" si="148"/>
        <v>SEI. SIRIH - SIMP. 4 PT. WANASARI</v>
      </c>
      <c r="C435" s="1478" t="e">
        <f>RIGHT(#REF!,1)</f>
        <v>#REF!</v>
      </c>
      <c r="D435" s="1426"/>
      <c r="E435" s="1429" t="s">
        <v>1370</v>
      </c>
      <c r="F435" s="1529">
        <v>2153193000</v>
      </c>
      <c r="G435" s="1501" t="s">
        <v>2494</v>
      </c>
      <c r="H435" s="1501"/>
      <c r="I435" s="1414"/>
      <c r="J435" s="1526"/>
      <c r="K435" s="1416"/>
      <c r="L435" s="1430"/>
      <c r="M435" s="1429" t="s">
        <v>3221</v>
      </c>
      <c r="N435" s="1501">
        <v>2015</v>
      </c>
      <c r="O435" s="1414"/>
      <c r="P435" s="1414"/>
      <c r="Q435" s="1414"/>
      <c r="R435" s="1501" t="s">
        <v>12</v>
      </c>
      <c r="S435" s="1527"/>
      <c r="T435" s="1528"/>
      <c r="U435" s="1575"/>
      <c r="V435" s="1490"/>
      <c r="W435" s="1478" t="str">
        <f>LEFT(G435,8)</f>
        <v>04.13.01</v>
      </c>
      <c r="X435" s="1478" t="str">
        <f>VLOOKUP(W435,UE,3,FALSE)</f>
        <v>Jalan</v>
      </c>
      <c r="Y435" s="1478">
        <f>VLOOKUP(W435,UE,4,FALSE)</f>
        <v>10</v>
      </c>
      <c r="Z435" s="1401"/>
      <c r="AA435" s="1444"/>
      <c r="AB435" s="1401"/>
      <c r="AC435" s="1401"/>
      <c r="AD435" s="1401"/>
      <c r="AE435" s="1401"/>
      <c r="AF435" s="1401"/>
      <c r="AG435" s="1479"/>
      <c r="AH435" s="1479"/>
      <c r="AI435" s="1479"/>
      <c r="AJ435" s="1401">
        <f>S435-AI435</f>
        <v>0</v>
      </c>
    </row>
    <row r="436" spans="1:36" s="1472" customFormat="1" ht="44" customHeight="1" x14ac:dyDescent="0.2">
      <c r="A436" s="1472">
        <v>246</v>
      </c>
      <c r="B436" s="1472" t="str">
        <f t="shared" si="148"/>
        <v>SEI. SIRIH - SIMP. 4 PT. WANASARI</v>
      </c>
      <c r="C436" s="1478" t="e">
        <f>RIGHT(#REF!,1)</f>
        <v>#REF!</v>
      </c>
      <c r="D436" s="1576"/>
      <c r="E436" s="1413" t="s">
        <v>3326</v>
      </c>
      <c r="F436" s="1539">
        <v>2232074718</v>
      </c>
      <c r="G436" s="1416" t="s">
        <v>2494</v>
      </c>
      <c r="H436" s="1414"/>
      <c r="I436" s="1416"/>
      <c r="J436" s="1500"/>
      <c r="K436" s="1416"/>
      <c r="L436" s="1500"/>
      <c r="M436" s="1429" t="s">
        <v>3301</v>
      </c>
      <c r="N436" s="1416">
        <v>2018</v>
      </c>
      <c r="O436" s="1414"/>
      <c r="P436" s="1414"/>
      <c r="Q436" s="1414"/>
      <c r="R436" s="1501" t="s">
        <v>12</v>
      </c>
      <c r="S436" s="1529"/>
      <c r="T436" s="1528"/>
      <c r="U436" s="1575"/>
      <c r="V436" s="1490"/>
      <c r="W436" s="1478" t="str">
        <f>LEFT(G436,8)</f>
        <v>04.13.01</v>
      </c>
      <c r="X436" s="1478" t="str">
        <f>VLOOKUP(W436,UE,3,FALSE)</f>
        <v>Jalan</v>
      </c>
      <c r="Y436" s="1478">
        <f>VLOOKUP(W436,UE,4,FALSE)</f>
        <v>10</v>
      </c>
      <c r="Z436" s="1401"/>
      <c r="AA436" s="1444"/>
      <c r="AB436" s="1401"/>
      <c r="AC436" s="1401"/>
      <c r="AD436" s="1401"/>
      <c r="AE436" s="1401"/>
      <c r="AF436" s="1401"/>
      <c r="AG436" s="1479"/>
      <c r="AH436" s="1479"/>
      <c r="AI436" s="1479"/>
      <c r="AJ436" s="1401">
        <f>S436-AI436</f>
        <v>0</v>
      </c>
    </row>
    <row r="437" spans="1:36" s="1472" customFormat="1" ht="44" customHeight="1" x14ac:dyDescent="0.2">
      <c r="A437" s="1472">
        <v>246</v>
      </c>
      <c r="B437" s="1472" t="str">
        <f t="shared" si="148"/>
        <v>SEI. SIRIH - SIMP. 4 PT. WANASARI</v>
      </c>
      <c r="C437" s="1478"/>
      <c r="D437" s="1576"/>
      <c r="E437" s="1413" t="s">
        <v>5673</v>
      </c>
      <c r="F437" s="1539">
        <v>2159921000</v>
      </c>
      <c r="G437" s="1416" t="s">
        <v>2494</v>
      </c>
      <c r="H437" s="1414"/>
      <c r="I437" s="1416"/>
      <c r="J437" s="1500">
        <v>2000</v>
      </c>
      <c r="K437" s="1416">
        <v>5</v>
      </c>
      <c r="L437" s="1500">
        <f>J437*K437</f>
        <v>10000</v>
      </c>
      <c r="M437" s="1429" t="s">
        <v>3830</v>
      </c>
      <c r="N437" s="1416">
        <v>2019</v>
      </c>
      <c r="O437" s="1414" t="s">
        <v>5675</v>
      </c>
      <c r="P437" s="1414" t="s">
        <v>433</v>
      </c>
      <c r="Q437" s="1414"/>
      <c r="R437" s="1501" t="s">
        <v>12</v>
      </c>
      <c r="S437" s="1529"/>
      <c r="T437" s="1528"/>
      <c r="U437" s="1575"/>
      <c r="V437" s="1490"/>
      <c r="W437" s="1478"/>
      <c r="X437" s="1478"/>
      <c r="Y437" s="1478"/>
      <c r="Z437" s="1401"/>
      <c r="AA437" s="1444"/>
      <c r="AB437" s="1401"/>
      <c r="AC437" s="1401"/>
      <c r="AD437" s="1401"/>
      <c r="AE437" s="1401"/>
      <c r="AF437" s="1401"/>
      <c r="AG437" s="1479"/>
      <c r="AH437" s="1479"/>
      <c r="AI437" s="1479"/>
      <c r="AJ437" s="1401"/>
    </row>
    <row r="438" spans="1:36" s="1390" customFormat="1" ht="44" customHeight="1" x14ac:dyDescent="0.2">
      <c r="A438" s="1390">
        <v>247</v>
      </c>
      <c r="B438" s="1472" t="str">
        <f t="shared" si="148"/>
        <v>SIMP. MUARA BAHAN - MUARA BAHAN</v>
      </c>
      <c r="C438" s="1478" t="e">
        <f>RIGHT(#REF!,1)</f>
        <v>#REF!</v>
      </c>
      <c r="D438" s="1426">
        <v>159</v>
      </c>
      <c r="E438" s="1429" t="s">
        <v>5865</v>
      </c>
      <c r="F438" s="1539"/>
      <c r="G438" s="1517" t="s">
        <v>2494</v>
      </c>
      <c r="H438" s="1518"/>
      <c r="I438" s="1518" t="s">
        <v>484</v>
      </c>
      <c r="J438" s="1533" t="s">
        <v>497</v>
      </c>
      <c r="K438" s="1517"/>
      <c r="L438" s="1519"/>
      <c r="M438" s="1518" t="s">
        <v>659</v>
      </c>
      <c r="N438" s="1517">
        <v>2001</v>
      </c>
      <c r="O438" s="1518"/>
      <c r="P438" s="1518"/>
      <c r="Q438" s="1518" t="s">
        <v>482</v>
      </c>
      <c r="R438" s="1517" t="s">
        <v>12</v>
      </c>
      <c r="S438" s="1520">
        <f>4992000000+F441+F442+F439+F440</f>
        <v>7845731977.3034258</v>
      </c>
      <c r="T438" s="1517" t="s">
        <v>43</v>
      </c>
      <c r="U438" s="1572"/>
      <c r="V438" s="1521"/>
      <c r="W438" s="1478" t="str">
        <f>LEFT(G438,8)</f>
        <v>04.13.01</v>
      </c>
      <c r="X438" s="1478" t="str">
        <f>VLOOKUP(W438,UE,3,FALSE)</f>
        <v>Jalan</v>
      </c>
      <c r="Y438" s="1478">
        <f>VLOOKUP(W438,UE,4,FALSE)</f>
        <v>10</v>
      </c>
      <c r="Z438" s="1401"/>
      <c r="AA438" s="1444">
        <f>IF(2013-N438&gt;Y438,10,IF(2013-N438&lt;0,0,2013-N438))</f>
        <v>10</v>
      </c>
      <c r="AB438" s="1401">
        <f>SUM(PERHITUNGAN!U1452:U1462)</f>
        <v>5049234823.3313332</v>
      </c>
      <c r="AC438" s="1479">
        <f>SUMIF(PERHITUNGAN!A:A,'KIB D'!B438&amp;'KIB D'!$AC$7,PERHITUNGAN!U:U)</f>
        <v>325754894.24651158</v>
      </c>
      <c r="AD438" s="1479">
        <f>SUMIF(PERHITUNGAN!A:A,'KIB D'!B438&amp;'KIB D'!$AD$7,PERHITUNGAN!U:U)</f>
        <v>325754894.24651158</v>
      </c>
      <c r="AE438" s="1479">
        <f>SUMIF(PERHITUNGAN!A:A,'KIB D'!B438&amp;'KIB D'!$AE$7,PERHITUNGAN!U:U)</f>
        <v>325754894.24651158</v>
      </c>
      <c r="AF438" s="1479">
        <f>SUMIF(PERHITUNGAN!A:A,'KIB D'!B438&amp;'KIB D'!$AF$7,PERHITUNGAN!U:U)</f>
        <v>259890353.03322268</v>
      </c>
      <c r="AG438" s="1479">
        <f>SUMIF(PERHITUNGAN!A:A,'KIB D'!B438&amp;'KIB D'!$AG$7,PERHITUNGAN!U:U)</f>
        <v>259890353.03322268</v>
      </c>
      <c r="AH438" s="1479">
        <f>SUMIF(PERHITUNGAN!A:A,'KIB D'!B438&amp;'KIB D'!$AH$7,PERHITUNGAN!U:U)</f>
        <v>259890353.03322268</v>
      </c>
      <c r="AI438" s="1479">
        <f>SUM(AB438:AH438)</f>
        <v>6806170565.1705341</v>
      </c>
      <c r="AJ438" s="1401">
        <f>S438-AI438</f>
        <v>1039561412.1328917</v>
      </c>
    </row>
    <row r="439" spans="1:36" s="1390" customFormat="1" ht="44" customHeight="1" x14ac:dyDescent="0.2">
      <c r="A439" s="1390">
        <v>247</v>
      </c>
      <c r="B439" s="1472" t="str">
        <f t="shared" si="148"/>
        <v>SIMP. MUARA BAHAN - MUARA BAHAN</v>
      </c>
      <c r="C439" s="1478"/>
      <c r="D439" s="1426"/>
      <c r="E439" s="1429" t="s">
        <v>5079</v>
      </c>
      <c r="F439" s="1539">
        <v>663676680.80826843</v>
      </c>
      <c r="G439" s="1416" t="s">
        <v>2494</v>
      </c>
      <c r="H439" s="1508"/>
      <c r="I439" s="1416"/>
      <c r="J439" s="1500"/>
      <c r="K439" s="1416"/>
      <c r="L439" s="1500"/>
      <c r="M439" s="1429" t="s">
        <v>3767</v>
      </c>
      <c r="N439" s="1416">
        <v>2007</v>
      </c>
      <c r="O439" s="1414"/>
      <c r="P439" s="1414"/>
      <c r="Q439" s="1414"/>
      <c r="R439" s="1416" t="s">
        <v>12</v>
      </c>
      <c r="S439" s="1529"/>
      <c r="T439" s="1416" t="s">
        <v>43</v>
      </c>
      <c r="U439" s="1427"/>
      <c r="V439" s="1477"/>
      <c r="W439" s="1478"/>
      <c r="X439" s="1478"/>
      <c r="Y439" s="1478"/>
      <c r="Z439" s="1401"/>
      <c r="AA439" s="1444"/>
      <c r="AB439" s="1401"/>
      <c r="AC439" s="1401"/>
      <c r="AD439" s="1401"/>
      <c r="AE439" s="1401"/>
      <c r="AF439" s="1401"/>
      <c r="AG439" s="1479"/>
      <c r="AH439" s="1479"/>
      <c r="AI439" s="1479"/>
      <c r="AJ439" s="1401"/>
    </row>
    <row r="440" spans="1:36" s="1390" customFormat="1" ht="44" customHeight="1" x14ac:dyDescent="0.2">
      <c r="A440" s="1390">
        <v>247</v>
      </c>
      <c r="B440" s="1472" t="str">
        <f t="shared" si="148"/>
        <v>SIMP. MUARA BAHAN - MUARA BAHAN</v>
      </c>
      <c r="C440" s="1478"/>
      <c r="D440" s="1426"/>
      <c r="E440" s="1573" t="s">
        <v>5175</v>
      </c>
      <c r="F440" s="1539">
        <v>402423126.15279591</v>
      </c>
      <c r="G440" s="1416" t="s">
        <v>2494</v>
      </c>
      <c r="H440" s="1508"/>
      <c r="I440" s="1416"/>
      <c r="J440" s="1500"/>
      <c r="K440" s="1416"/>
      <c r="L440" s="1500"/>
      <c r="M440" s="1523" t="s">
        <v>5176</v>
      </c>
      <c r="N440" s="1416">
        <v>2008</v>
      </c>
      <c r="O440" s="1414"/>
      <c r="P440" s="1523" t="s">
        <v>5084</v>
      </c>
      <c r="Q440" s="1523"/>
      <c r="R440" s="1523" t="s">
        <v>12</v>
      </c>
      <c r="S440" s="1524"/>
      <c r="T440" s="1525" t="s">
        <v>43</v>
      </c>
      <c r="U440" s="1574"/>
      <c r="V440" s="1477"/>
      <c r="W440" s="1478"/>
      <c r="X440" s="1478"/>
      <c r="Y440" s="1478"/>
      <c r="Z440" s="1401"/>
      <c r="AA440" s="1444"/>
      <c r="AB440" s="1401"/>
      <c r="AC440" s="1401"/>
      <c r="AD440" s="1401"/>
      <c r="AE440" s="1401"/>
      <c r="AF440" s="1401"/>
      <c r="AG440" s="1479"/>
      <c r="AH440" s="1479"/>
      <c r="AI440" s="1479"/>
      <c r="AJ440" s="1401"/>
    </row>
    <row r="441" spans="1:36" s="1390" customFormat="1" ht="44" customHeight="1" x14ac:dyDescent="0.2">
      <c r="A441" s="1390">
        <v>247</v>
      </c>
      <c r="B441" s="1472" t="str">
        <f t="shared" si="148"/>
        <v>SIMP. MUARA BAHAN - MUARA BAHAN</v>
      </c>
      <c r="C441" s="1478" t="e">
        <f>RIGHT(#REF!,1)</f>
        <v>#REF!</v>
      </c>
      <c r="D441" s="1426"/>
      <c r="E441" s="1429" t="s">
        <v>1256</v>
      </c>
      <c r="F441" s="1539">
        <v>1597174170.3423619</v>
      </c>
      <c r="G441" s="1517" t="s">
        <v>2494</v>
      </c>
      <c r="H441" s="1518"/>
      <c r="I441" s="1518" t="s">
        <v>519</v>
      </c>
      <c r="J441" s="1519">
        <v>0</v>
      </c>
      <c r="K441" s="1517"/>
      <c r="L441" s="1519">
        <v>0</v>
      </c>
      <c r="M441" s="1518" t="s">
        <v>659</v>
      </c>
      <c r="N441" s="1517">
        <v>2012</v>
      </c>
      <c r="O441" s="1518"/>
      <c r="P441" s="1518"/>
      <c r="Q441" s="1518"/>
      <c r="R441" s="1517" t="s">
        <v>12</v>
      </c>
      <c r="S441" s="1520"/>
      <c r="T441" s="1517" t="s">
        <v>43</v>
      </c>
      <c r="U441" s="1572"/>
      <c r="V441" s="1521"/>
      <c r="W441" s="1478" t="str">
        <f t="shared" ref="W441:W450" si="153">LEFT(G441,8)</f>
        <v>04.13.01</v>
      </c>
      <c r="X441" s="1478" t="str">
        <f t="shared" ref="X441:X450" si="154">VLOOKUP(W441,UE,3,FALSE)</f>
        <v>Jalan</v>
      </c>
      <c r="Y441" s="1478">
        <f t="shared" ref="Y441:Y450" si="155">VLOOKUP(W441,UE,4,FALSE)</f>
        <v>10</v>
      </c>
      <c r="Z441" s="1401"/>
      <c r="AA441" s="1444"/>
      <c r="AB441" s="1401"/>
      <c r="AC441" s="1401"/>
      <c r="AD441" s="1401"/>
      <c r="AE441" s="1401"/>
      <c r="AF441" s="1401"/>
      <c r="AG441" s="1479"/>
      <c r="AH441" s="1479"/>
      <c r="AI441" s="1479"/>
      <c r="AJ441" s="1401">
        <f t="shared" ref="AJ441:AJ447" si="156">S441-AI441</f>
        <v>0</v>
      </c>
    </row>
    <row r="442" spans="1:36" s="1390" customFormat="1" ht="44" customHeight="1" x14ac:dyDescent="0.2">
      <c r="A442" s="1390">
        <v>247</v>
      </c>
      <c r="B442" s="1472" t="str">
        <f t="shared" si="148"/>
        <v>SIMP. MUARA BAHAN - MUARA BAHAN</v>
      </c>
      <c r="C442" s="1478" t="e">
        <f>RIGHT(#REF!,1)</f>
        <v>#REF!</v>
      </c>
      <c r="D442" s="1426"/>
      <c r="E442" s="1539" t="s">
        <v>2498</v>
      </c>
      <c r="F442" s="1529">
        <v>190458000</v>
      </c>
      <c r="G442" s="1501" t="s">
        <v>2494</v>
      </c>
      <c r="H442" s="1501"/>
      <c r="I442" s="1414"/>
      <c r="J442" s="1526"/>
      <c r="K442" s="1416"/>
      <c r="L442" s="1430"/>
      <c r="M442" s="1429" t="s">
        <v>2560</v>
      </c>
      <c r="N442" s="1501">
        <v>2017</v>
      </c>
      <c r="O442" s="1414"/>
      <c r="P442" s="1414"/>
      <c r="Q442" s="1414"/>
      <c r="R442" s="1501" t="s">
        <v>12</v>
      </c>
      <c r="S442" s="1527"/>
      <c r="T442" s="1528"/>
      <c r="U442" s="1575"/>
      <c r="V442" s="1490"/>
      <c r="W442" s="1478" t="str">
        <f t="shared" si="153"/>
        <v>04.13.01</v>
      </c>
      <c r="X442" s="1478" t="str">
        <f t="shared" si="154"/>
        <v>Jalan</v>
      </c>
      <c r="Y442" s="1478">
        <f t="shared" si="155"/>
        <v>10</v>
      </c>
      <c r="Z442" s="1401"/>
      <c r="AA442" s="1444"/>
      <c r="AB442" s="1401"/>
      <c r="AC442" s="1401"/>
      <c r="AD442" s="1401"/>
      <c r="AE442" s="1401"/>
      <c r="AF442" s="1401"/>
      <c r="AG442" s="1479"/>
      <c r="AH442" s="1479"/>
      <c r="AI442" s="1479"/>
      <c r="AJ442" s="1401">
        <f t="shared" si="156"/>
        <v>0</v>
      </c>
    </row>
    <row r="443" spans="1:36" s="1390" customFormat="1" ht="44" customHeight="1" x14ac:dyDescent="0.2">
      <c r="A443" s="1390">
        <v>251</v>
      </c>
      <c r="B443" s="1472" t="str">
        <f t="shared" si="148"/>
        <v>BERINGIN JAYA - SUKA MAJU</v>
      </c>
      <c r="C443" s="1478" t="e">
        <f>RIGHT(#REF!,1)</f>
        <v>#REF!</v>
      </c>
      <c r="D443" s="1426">
        <v>160</v>
      </c>
      <c r="E443" s="1429" t="s">
        <v>529</v>
      </c>
      <c r="F443" s="1539"/>
      <c r="G443" s="1517" t="s">
        <v>2494</v>
      </c>
      <c r="H443" s="1518"/>
      <c r="I443" s="1518" t="s">
        <v>484</v>
      </c>
      <c r="J443" s="1533" t="s">
        <v>497</v>
      </c>
      <c r="K443" s="1517">
        <v>8</v>
      </c>
      <c r="L443" s="1519">
        <v>64000</v>
      </c>
      <c r="M443" s="1518" t="s">
        <v>662</v>
      </c>
      <c r="N443" s="1517">
        <v>2001</v>
      </c>
      <c r="O443" s="1518"/>
      <c r="P443" s="1518"/>
      <c r="Q443" s="1518" t="s">
        <v>482</v>
      </c>
      <c r="R443" s="1517" t="s">
        <v>12</v>
      </c>
      <c r="S443" s="1520">
        <v>5376000000</v>
      </c>
      <c r="T443" s="1517" t="s">
        <v>43</v>
      </c>
      <c r="U443" s="1572"/>
      <c r="V443" s="1521"/>
      <c r="W443" s="1478" t="str">
        <f t="shared" si="153"/>
        <v>04.13.01</v>
      </c>
      <c r="X443" s="1478" t="str">
        <f t="shared" si="154"/>
        <v>Jalan</v>
      </c>
      <c r="Y443" s="1478">
        <f t="shared" si="155"/>
        <v>10</v>
      </c>
      <c r="Z443" s="1401">
        <f>S443/Y443</f>
        <v>537600000</v>
      </c>
      <c r="AA443" s="1444">
        <f>IF(2013-N443+1&gt;Y443,Y443,IF(2013-N443+1&lt;0,0,2013-N443+1))</f>
        <v>10</v>
      </c>
      <c r="AB443" s="1401">
        <f>IF(AA443&gt;Y443,S443,Z443*AA443)</f>
        <v>5376000000</v>
      </c>
      <c r="AC443" s="1401">
        <f>IF(S443=AB443,0,Z443)</f>
        <v>0</v>
      </c>
      <c r="AD443" s="1401">
        <f>IF(S443=AB443+AC443,0,Z443)</f>
        <v>0</v>
      </c>
      <c r="AE443" s="1401">
        <f>IF(S443=AB443+AC443+AD443,0,Z443)</f>
        <v>0</v>
      </c>
      <c r="AF443" s="1401">
        <f>IF(S443=AC443+AD443+AE443+AB443,0,Z443)</f>
        <v>0</v>
      </c>
      <c r="AG443" s="1479">
        <f>IF(S443=AC443+AD443+AE443+AB443+AF443,0,Z443)</f>
        <v>0</v>
      </c>
      <c r="AH443" s="1479">
        <f>IF(S443=AC443+AD443+AE443+AB443+AF443+AG443,0,Z443)</f>
        <v>0</v>
      </c>
      <c r="AI443" s="1479">
        <f>SUM(AB443:AH443)</f>
        <v>5376000000</v>
      </c>
      <c r="AJ443" s="1401">
        <f t="shared" si="156"/>
        <v>0</v>
      </c>
    </row>
    <row r="444" spans="1:36" s="1390" customFormat="1" ht="44" customHeight="1" x14ac:dyDescent="0.2">
      <c r="A444" s="1390">
        <v>255</v>
      </c>
      <c r="B444" s="1472" t="e">
        <f t="shared" si="148"/>
        <v>#N/A</v>
      </c>
      <c r="C444" s="1478" t="e">
        <f>RIGHT(#REF!,1)</f>
        <v>#REF!</v>
      </c>
      <c r="D444" s="1426">
        <v>161</v>
      </c>
      <c r="E444" s="1429" t="s">
        <v>1157</v>
      </c>
      <c r="F444" s="1539"/>
      <c r="G444" s="1517" t="s">
        <v>2494</v>
      </c>
      <c r="H444" s="1508"/>
      <c r="I444" s="1416" t="s">
        <v>519</v>
      </c>
      <c r="J444" s="1512"/>
      <c r="K444" s="1416"/>
      <c r="L444" s="1500">
        <v>1000</v>
      </c>
      <c r="M444" s="1429" t="s">
        <v>3094</v>
      </c>
      <c r="N444" s="1416">
        <v>2007</v>
      </c>
      <c r="O444" s="1414"/>
      <c r="P444" s="1414"/>
      <c r="Q444" s="1414"/>
      <c r="R444" s="1416" t="s">
        <v>12</v>
      </c>
      <c r="S444" s="1529">
        <v>1495355556.08446</v>
      </c>
      <c r="T444" s="1416" t="s">
        <v>43</v>
      </c>
      <c r="U444" s="1427"/>
      <c r="V444" s="1477"/>
      <c r="W444" s="1478" t="str">
        <f t="shared" si="153"/>
        <v>04.13.01</v>
      </c>
      <c r="X444" s="1478" t="str">
        <f t="shared" si="154"/>
        <v>Jalan</v>
      </c>
      <c r="Y444" s="1478">
        <f t="shared" si="155"/>
        <v>10</v>
      </c>
      <c r="Z444" s="1401">
        <f>S444/Y444</f>
        <v>149535555.608446</v>
      </c>
      <c r="AA444" s="1444">
        <f>IF(2013-N444+1&gt;Y444,Y444,IF(2013-N444+1&lt;0,0,2013-N444+1))</f>
        <v>7</v>
      </c>
      <c r="AB444" s="1401">
        <f>IF(AA444&gt;Y444,S444,Z444*AA444)</f>
        <v>1046748889.259122</v>
      </c>
      <c r="AC444" s="1401">
        <f>IF(S444=AB444,0,Z444)</f>
        <v>149535555.608446</v>
      </c>
      <c r="AD444" s="1401">
        <f>IF(S444=AB444+AC444,0,Z444)</f>
        <v>149535555.608446</v>
      </c>
      <c r="AE444" s="1401">
        <f>IF(S444=AB444+AC444+AD444,0,Z444)</f>
        <v>149535555.608446</v>
      </c>
      <c r="AF444" s="1401">
        <f>IF(S444=AC444+AD444+AE444+AB444,0,Z444)</f>
        <v>0</v>
      </c>
      <c r="AG444" s="1479">
        <f>IF(S444=AC444+AD444+AE444+AB444+AF444,0,Z444)</f>
        <v>0</v>
      </c>
      <c r="AH444" s="1479">
        <f>IF(S444=AC444+AD444+AE444+AB444+AF444+AG444,0,Z444)</f>
        <v>0</v>
      </c>
      <c r="AI444" s="1479">
        <f>SUM(AB444:AH444)</f>
        <v>1495355556.0844603</v>
      </c>
      <c r="AJ444" s="1401">
        <f t="shared" si="156"/>
        <v>0</v>
      </c>
    </row>
    <row r="445" spans="1:36" s="1390" customFormat="1" ht="44" customHeight="1" x14ac:dyDescent="0.2">
      <c r="A445" s="1390">
        <v>255</v>
      </c>
      <c r="B445" s="1472" t="e">
        <f t="shared" si="148"/>
        <v>#N/A</v>
      </c>
      <c r="C445" s="1478" t="e">
        <f>RIGHT(#REF!,1)</f>
        <v>#REF!</v>
      </c>
      <c r="D445" s="1426">
        <v>162</v>
      </c>
      <c r="E445" s="1429" t="s">
        <v>1170</v>
      </c>
      <c r="F445" s="1539"/>
      <c r="G445" s="1517" t="s">
        <v>2494</v>
      </c>
      <c r="H445" s="1508"/>
      <c r="I445" s="1416" t="s">
        <v>835</v>
      </c>
      <c r="J445" s="1512">
        <v>2</v>
      </c>
      <c r="K445" s="1416">
        <v>2.5</v>
      </c>
      <c r="L445" s="1500">
        <v>5</v>
      </c>
      <c r="M445" s="1429" t="s">
        <v>3094</v>
      </c>
      <c r="N445" s="1416">
        <v>2007</v>
      </c>
      <c r="O445" s="1414"/>
      <c r="P445" s="1414"/>
      <c r="Q445" s="1414"/>
      <c r="R445" s="1416" t="s">
        <v>12</v>
      </c>
      <c r="S445" s="1529">
        <v>789287288.44000006</v>
      </c>
      <c r="T445" s="1416" t="s">
        <v>43</v>
      </c>
      <c r="U445" s="1427"/>
      <c r="V445" s="1477"/>
      <c r="W445" s="1478" t="str">
        <f t="shared" si="153"/>
        <v>04.13.01</v>
      </c>
      <c r="X445" s="1478" t="str">
        <f t="shared" si="154"/>
        <v>Jalan</v>
      </c>
      <c r="Y445" s="1478">
        <f t="shared" si="155"/>
        <v>10</v>
      </c>
      <c r="Z445" s="1401">
        <f>S445/Y445</f>
        <v>78928728.844000012</v>
      </c>
      <c r="AA445" s="1444">
        <f>IF(2013-N445+1&gt;Y445,Y445,IF(2013-N445+1&lt;0,0,2013-N445+1))</f>
        <v>7</v>
      </c>
      <c r="AB445" s="1401">
        <f>IF(AA445&gt;Y445,S445,Z445*AA445)</f>
        <v>552501101.90800011</v>
      </c>
      <c r="AC445" s="1401">
        <f>IF(S445=AB445,0,Z445)</f>
        <v>78928728.844000012</v>
      </c>
      <c r="AD445" s="1401">
        <f>IF(S445=AB445+AC445,0,Z445)</f>
        <v>78928728.844000012</v>
      </c>
      <c r="AE445" s="1401">
        <f>IF(S445=AB445+AC445+AD445,0,Z445)</f>
        <v>78928728.844000012</v>
      </c>
      <c r="AF445" s="1401">
        <f>IF(S445=AC445+AD445+AE445+AB445,0,Z445)</f>
        <v>0</v>
      </c>
      <c r="AG445" s="1479">
        <f>IF(S445=AC445+AD445+AE445+AB445+AF445,0,Z445)</f>
        <v>0</v>
      </c>
      <c r="AH445" s="1479">
        <f>IF(S445=AC445+AD445+AE445+AB445+AF445+AG445,0,Z445)</f>
        <v>0</v>
      </c>
      <c r="AI445" s="1479">
        <f>SUM(AB445:AH445)</f>
        <v>789287288.44000006</v>
      </c>
      <c r="AJ445" s="1401">
        <f t="shared" si="156"/>
        <v>0</v>
      </c>
    </row>
    <row r="446" spans="1:36" s="1390" customFormat="1" ht="25" customHeight="1" x14ac:dyDescent="0.2">
      <c r="A446" s="1390">
        <v>256</v>
      </c>
      <c r="B446" s="1472" t="e">
        <f t="shared" si="148"/>
        <v>#N/A</v>
      </c>
      <c r="C446" s="1478" t="e">
        <f>RIGHT(#REF!,1)</f>
        <v>#REF!</v>
      </c>
      <c r="D446" s="1426">
        <v>163</v>
      </c>
      <c r="E446" s="1429" t="s">
        <v>483</v>
      </c>
      <c r="F446" s="1539"/>
      <c r="G446" s="1517" t="s">
        <v>2494</v>
      </c>
      <c r="H446" s="1518"/>
      <c r="I446" s="1518" t="s">
        <v>479</v>
      </c>
      <c r="J446" s="1533" t="s">
        <v>522</v>
      </c>
      <c r="K446" s="1517"/>
      <c r="L446" s="1519"/>
      <c r="M446" s="1518" t="s">
        <v>523</v>
      </c>
      <c r="N446" s="1517">
        <v>2001</v>
      </c>
      <c r="O446" s="1518"/>
      <c r="P446" s="1518"/>
      <c r="Q446" s="1518" t="s">
        <v>482</v>
      </c>
      <c r="R446" s="1517" t="s">
        <v>12</v>
      </c>
      <c r="S446" s="1520">
        <v>4410000000</v>
      </c>
      <c r="T446" s="1517" t="s">
        <v>43</v>
      </c>
      <c r="U446" s="1572"/>
      <c r="V446" s="1521"/>
      <c r="W446" s="1478" t="str">
        <f t="shared" si="153"/>
        <v>04.13.01</v>
      </c>
      <c r="X446" s="1478" t="str">
        <f t="shared" si="154"/>
        <v>Jalan</v>
      </c>
      <c r="Y446" s="1478">
        <f t="shared" si="155"/>
        <v>10</v>
      </c>
      <c r="Z446" s="1401">
        <f>S446/Y446</f>
        <v>441000000</v>
      </c>
      <c r="AA446" s="1444">
        <f>IF(2013-N446+1&gt;Y446,Y446,IF(2013-N446+1&lt;0,0,2013-N446+1))</f>
        <v>10</v>
      </c>
      <c r="AB446" s="1401">
        <f>IF(AA446&gt;Y446,S446,Z446*AA446)</f>
        <v>4410000000</v>
      </c>
      <c r="AC446" s="1401">
        <f>IF(S446=AB446,0,Z446)</f>
        <v>0</v>
      </c>
      <c r="AD446" s="1401">
        <f>IF(S446=AB446+AC446,0,Z446)</f>
        <v>0</v>
      </c>
      <c r="AE446" s="1401">
        <f>IF(S446=AB446+AC446+AD446,0,Z446)</f>
        <v>0</v>
      </c>
      <c r="AF446" s="1401">
        <f>IF(S446=AC446+AD446+AE446+AB446,0,Z446)</f>
        <v>0</v>
      </c>
      <c r="AG446" s="1479">
        <f>IF(S446=AC446+AD446+AE446+AB446+AF446,0,Z446)</f>
        <v>0</v>
      </c>
      <c r="AH446" s="1479">
        <f>IF(S446=AC446+AD446+AE446+AB446+AF446+AG446,0,Z446)</f>
        <v>0</v>
      </c>
      <c r="AI446" s="1479">
        <f>SUM(AB446:AH446)</f>
        <v>4410000000</v>
      </c>
      <c r="AJ446" s="1401">
        <f t="shared" si="156"/>
        <v>0</v>
      </c>
    </row>
    <row r="447" spans="1:36" s="1390" customFormat="1" ht="25" customHeight="1" x14ac:dyDescent="0.15">
      <c r="A447" s="1390">
        <v>257</v>
      </c>
      <c r="B447" s="1472" t="str">
        <f t="shared" si="148"/>
        <v>BENAI - PL. LANCANG</v>
      </c>
      <c r="C447" s="1516" t="s">
        <v>4247</v>
      </c>
      <c r="D447" s="1426">
        <v>164</v>
      </c>
      <c r="E447" s="1429" t="s">
        <v>5866</v>
      </c>
      <c r="F447" s="1539"/>
      <c r="G447" s="1517" t="s">
        <v>3820</v>
      </c>
      <c r="H447" s="1518"/>
      <c r="I447" s="1518" t="s">
        <v>479</v>
      </c>
      <c r="J447" s="1533" t="s">
        <v>487</v>
      </c>
      <c r="K447" s="1517">
        <v>7</v>
      </c>
      <c r="L447" s="1519">
        <v>59500</v>
      </c>
      <c r="M447" s="1518" t="s">
        <v>3075</v>
      </c>
      <c r="N447" s="1517">
        <v>2001</v>
      </c>
      <c r="O447" s="1518"/>
      <c r="P447" s="1518"/>
      <c r="Q447" s="1518" t="s">
        <v>482</v>
      </c>
      <c r="R447" s="1517" t="s">
        <v>12</v>
      </c>
      <c r="S447" s="1520">
        <f>9883854526+F450+F448+F449+F451</f>
        <v>18687689489</v>
      </c>
      <c r="T447" s="1517" t="s">
        <v>43</v>
      </c>
      <c r="U447" s="1572"/>
      <c r="V447" s="1521"/>
      <c r="W447" s="1522" t="str">
        <f t="shared" si="153"/>
        <v>04.13.01</v>
      </c>
      <c r="X447" s="1478" t="str">
        <f t="shared" si="154"/>
        <v>Jalan</v>
      </c>
      <c r="Y447" s="1478">
        <f t="shared" si="155"/>
        <v>10</v>
      </c>
      <c r="Z447" s="1401"/>
      <c r="AA447" s="1444">
        <f>IF(2013-N447&gt;Y447,10,IF(2013-N447&lt;0,0,2013-N447))</f>
        <v>10</v>
      </c>
      <c r="AB447" s="1401">
        <f>SUM(PERHITUNGAN!U1478:U1481)</f>
        <v>13254354526</v>
      </c>
      <c r="AC447" s="1479">
        <f>SUMIF(PERHITUNGAN!A:A,'KIB D'!B447&amp;'KIB D'!$AC$7,PERHITUNGAN!U:U)</f>
        <v>0</v>
      </c>
      <c r="AD447" s="1479">
        <f>SUMIF(PERHITUNGAN!A:A,'KIB D'!B447&amp;'KIB D'!$AD$7,PERHITUNGAN!U:U)</f>
        <v>316646496.30000001</v>
      </c>
      <c r="AE447" s="1479">
        <f>SUMIF(PERHITUNGAN!A:A,'KIB D'!B447&amp;'KIB D'!$AE$7,PERHITUNGAN!U:U)</f>
        <v>316646496.30000001</v>
      </c>
      <c r="AF447" s="1479">
        <f>SUMIF(PERHITUNGAN!A:A,'KIB D'!B447&amp;'KIB D'!$AF$7,PERHITUNGAN!U:U)</f>
        <v>316646496.30000001</v>
      </c>
      <c r="AG447" s="1479">
        <f>SUMIF(PERHITUNGAN!A:A,'KIB D'!B447&amp;'KIB D'!$AG$7,PERHITUNGAN!U:U)</f>
        <v>316646496.30000001</v>
      </c>
      <c r="AH447" s="1479">
        <f>SUMIF(PERHITUNGAN!A:A,'KIB D'!B447&amp;'KIB D'!$AH$7,PERHITUNGAN!U:U)</f>
        <v>416674897.77999991</v>
      </c>
      <c r="AI447" s="1479">
        <f>SUM(AB447:AH447)</f>
        <v>14937615408.979998</v>
      </c>
      <c r="AJ447" s="1401">
        <f t="shared" si="156"/>
        <v>3750074080.0200024</v>
      </c>
    </row>
    <row r="448" spans="1:36" s="1390" customFormat="1" ht="25" customHeight="1" x14ac:dyDescent="0.2">
      <c r="A448" s="1390">
        <v>257</v>
      </c>
      <c r="B448" s="1472" t="str">
        <f t="shared" si="148"/>
        <v>BENAI - PL. LANCANG</v>
      </c>
      <c r="C448" s="1478" t="e">
        <f>RIGHT(#REF!,1)</f>
        <v>#REF!</v>
      </c>
      <c r="D448" s="1426"/>
      <c r="E448" s="1429" t="s">
        <v>483</v>
      </c>
      <c r="F448" s="1539">
        <v>2362500000</v>
      </c>
      <c r="G448" s="1517" t="s">
        <v>3820</v>
      </c>
      <c r="H448" s="1518"/>
      <c r="I448" s="1518" t="s">
        <v>479</v>
      </c>
      <c r="J448" s="1519" t="s">
        <v>506</v>
      </c>
      <c r="K448" s="1517"/>
      <c r="L448" s="1519"/>
      <c r="M448" s="1518" t="s">
        <v>515</v>
      </c>
      <c r="N448" s="1517">
        <v>2001</v>
      </c>
      <c r="O448" s="1518"/>
      <c r="P448" s="1518"/>
      <c r="Q448" s="1518" t="s">
        <v>384</v>
      </c>
      <c r="R448" s="1517" t="s">
        <v>12</v>
      </c>
      <c r="S448" s="1520"/>
      <c r="T448" s="1517" t="s">
        <v>43</v>
      </c>
      <c r="U448" s="1572"/>
      <c r="V448" s="1521"/>
      <c r="W448" s="1478" t="str">
        <f t="shared" si="153"/>
        <v>04.13.01</v>
      </c>
      <c r="X448" s="1478" t="str">
        <f t="shared" si="154"/>
        <v>Jalan</v>
      </c>
      <c r="Y448" s="1478">
        <f t="shared" si="155"/>
        <v>10</v>
      </c>
      <c r="Z448" s="1401">
        <f>S448/Y448</f>
        <v>0</v>
      </c>
      <c r="AA448" s="1444">
        <f>IF(2013-N448+1&gt;Y448,Y448,IF(2013-N448+1&lt;0,0,2013-N448+1))</f>
        <v>10</v>
      </c>
      <c r="AB448" s="1401"/>
      <c r="AC448" s="1401"/>
      <c r="AD448" s="1401"/>
      <c r="AE448" s="1401"/>
      <c r="AF448" s="1401"/>
      <c r="AG448" s="1479"/>
      <c r="AH448" s="1479"/>
      <c r="AI448" s="1479"/>
      <c r="AJ448" s="1401"/>
    </row>
    <row r="449" spans="1:36" s="1390" customFormat="1" ht="25" customHeight="1" x14ac:dyDescent="0.2">
      <c r="A449" s="1390">
        <v>257</v>
      </c>
      <c r="B449" s="1472" t="str">
        <f t="shared" si="148"/>
        <v>BENAI - PL. LANCANG</v>
      </c>
      <c r="C449" s="1478" t="e">
        <f>RIGHT(#REF!,1)</f>
        <v>#REF!</v>
      </c>
      <c r="D449" s="1426"/>
      <c r="E449" s="1429" t="s">
        <v>483</v>
      </c>
      <c r="F449" s="1539">
        <v>1008000000</v>
      </c>
      <c r="G449" s="1517" t="s">
        <v>3820</v>
      </c>
      <c r="H449" s="1518"/>
      <c r="I449" s="1518" t="s">
        <v>484</v>
      </c>
      <c r="J449" s="1519" t="s">
        <v>488</v>
      </c>
      <c r="K449" s="1517"/>
      <c r="L449" s="1519"/>
      <c r="M449" s="1518" t="s">
        <v>489</v>
      </c>
      <c r="N449" s="1517">
        <v>2001</v>
      </c>
      <c r="O449" s="1518"/>
      <c r="P449" s="1518"/>
      <c r="Q449" s="1518" t="s">
        <v>482</v>
      </c>
      <c r="R449" s="1517" t="s">
        <v>12</v>
      </c>
      <c r="S449" s="1520"/>
      <c r="T449" s="1517" t="s">
        <v>135</v>
      </c>
      <c r="U449" s="1572"/>
      <c r="V449" s="1521"/>
      <c r="W449" s="1478" t="str">
        <f t="shared" si="153"/>
        <v>04.13.01</v>
      </c>
      <c r="X449" s="1478" t="str">
        <f t="shared" si="154"/>
        <v>Jalan</v>
      </c>
      <c r="Y449" s="1478">
        <f t="shared" si="155"/>
        <v>10</v>
      </c>
      <c r="Z449" s="1401">
        <f>S449/Y449</f>
        <v>0</v>
      </c>
      <c r="AA449" s="1444">
        <f>IF(2013-N449+1&gt;Y449,Y449,IF(2013-N449+1&lt;0,0,2013-N449+1))</f>
        <v>10</v>
      </c>
      <c r="AB449" s="1401">
        <f>IF(AA449&gt;Y449,S449,Z449*AA449)</f>
        <v>0</v>
      </c>
      <c r="AC449" s="1401">
        <f>IF(S449=AB449,0,Z449)</f>
        <v>0</v>
      </c>
      <c r="AD449" s="1401">
        <f>IF(S449=AB449+AC449,0,Z449)</f>
        <v>0</v>
      </c>
      <c r="AE449" s="1401">
        <f>IF(S449=AB449+AC449+AD449,0,Z449)</f>
        <v>0</v>
      </c>
      <c r="AF449" s="1401">
        <f>IF(S449=AC449+AD449+AE449+AB449,0,Z449)</f>
        <v>0</v>
      </c>
      <c r="AG449" s="1479">
        <f>IF(S449=AC449+AD449+AE449+AB449+AF449,0,Z449)</f>
        <v>0</v>
      </c>
      <c r="AH449" s="1479"/>
      <c r="AI449" s="1479">
        <f>SUM(AB449:AG449)</f>
        <v>0</v>
      </c>
      <c r="AJ449" s="1401">
        <f>S449-AI449</f>
        <v>0</v>
      </c>
    </row>
    <row r="450" spans="1:36" s="1390" customFormat="1" ht="25" customHeight="1" x14ac:dyDescent="0.15">
      <c r="A450" s="1390">
        <v>257</v>
      </c>
      <c r="B450" s="1472" t="str">
        <f t="shared" si="148"/>
        <v>BENAI - PL. LANCANG</v>
      </c>
      <c r="C450" s="1516" t="s">
        <v>4247</v>
      </c>
      <c r="D450" s="1426"/>
      <c r="E450" s="1429" t="s">
        <v>1367</v>
      </c>
      <c r="F450" s="1539">
        <v>3166464963</v>
      </c>
      <c r="G450" s="1517" t="s">
        <v>2494</v>
      </c>
      <c r="H450" s="1518"/>
      <c r="I450" s="1518"/>
      <c r="J450" s="1519">
        <v>0</v>
      </c>
      <c r="K450" s="1517"/>
      <c r="L450" s="1519">
        <v>0</v>
      </c>
      <c r="M450" s="1518" t="s">
        <v>3075</v>
      </c>
      <c r="N450" s="1517">
        <v>2015</v>
      </c>
      <c r="O450" s="1518"/>
      <c r="P450" s="1518"/>
      <c r="Q450" s="1518"/>
      <c r="R450" s="1517" t="s">
        <v>12</v>
      </c>
      <c r="S450" s="1520"/>
      <c r="T450" s="1518"/>
      <c r="U450" s="1572"/>
      <c r="V450" s="1521"/>
      <c r="W450" s="1522" t="str">
        <f t="shared" si="153"/>
        <v>04.13.01</v>
      </c>
      <c r="X450" s="1478" t="str">
        <f t="shared" si="154"/>
        <v>Jalan</v>
      </c>
      <c r="Y450" s="1478">
        <f t="shared" si="155"/>
        <v>10</v>
      </c>
      <c r="Z450" s="1401"/>
      <c r="AA450" s="1444">
        <f>IF(2013-N450&gt;Y450,10,IF(2013-N450&lt;0,0,2013-N450))</f>
        <v>0</v>
      </c>
      <c r="AB450" s="1401"/>
      <c r="AC450" s="1401"/>
      <c r="AD450" s="1401"/>
      <c r="AE450" s="1401"/>
      <c r="AF450" s="1401"/>
      <c r="AG450" s="1479"/>
      <c r="AH450" s="1479"/>
      <c r="AI450" s="1479"/>
      <c r="AJ450" s="1401">
        <f>S450-AI450</f>
        <v>0</v>
      </c>
    </row>
    <row r="451" spans="1:36" s="1390" customFormat="1" ht="44" customHeight="1" x14ac:dyDescent="0.15">
      <c r="A451" s="1390">
        <v>257</v>
      </c>
      <c r="B451" s="1472" t="str">
        <f t="shared" si="148"/>
        <v>BENAI - PL. LANCANG</v>
      </c>
      <c r="C451" s="1516"/>
      <c r="D451" s="1426"/>
      <c r="E451" s="1429" t="s">
        <v>5496</v>
      </c>
      <c r="F451" s="1539">
        <v>2266870000</v>
      </c>
      <c r="G451" s="1517" t="s">
        <v>2494</v>
      </c>
      <c r="H451" s="1518"/>
      <c r="I451" s="1518" t="s">
        <v>5532</v>
      </c>
      <c r="J451" s="1519">
        <v>1000</v>
      </c>
      <c r="K451" s="1517">
        <v>4</v>
      </c>
      <c r="L451" s="1519">
        <v>4000</v>
      </c>
      <c r="M451" s="1518" t="s">
        <v>5497</v>
      </c>
      <c r="N451" s="1544">
        <v>2019</v>
      </c>
      <c r="O451" s="1518" t="s">
        <v>5498</v>
      </c>
      <c r="P451" s="1518" t="s">
        <v>433</v>
      </c>
      <c r="Q451" s="1518"/>
      <c r="R451" s="1517" t="s">
        <v>12</v>
      </c>
      <c r="S451" s="1520"/>
      <c r="T451" s="1518"/>
      <c r="U451" s="1572"/>
      <c r="V451" s="1521"/>
      <c r="W451" s="1522"/>
      <c r="X451" s="1478"/>
      <c r="Y451" s="1478"/>
      <c r="Z451" s="1401"/>
      <c r="AA451" s="1444"/>
      <c r="AB451" s="1401"/>
      <c r="AC451" s="1401"/>
      <c r="AD451" s="1401"/>
      <c r="AE451" s="1401"/>
      <c r="AF451" s="1401"/>
      <c r="AG451" s="1479"/>
      <c r="AH451" s="1479"/>
      <c r="AI451" s="1479"/>
      <c r="AJ451" s="1401"/>
    </row>
    <row r="452" spans="1:36" s="1390" customFormat="1" ht="33" customHeight="1" x14ac:dyDescent="0.15">
      <c r="A452" s="1390">
        <v>258</v>
      </c>
      <c r="B452" s="1472" t="str">
        <f t="shared" si="148"/>
        <v>LEPAU GADING - PANGEAN</v>
      </c>
      <c r="C452" s="1516" t="s">
        <v>4247</v>
      </c>
      <c r="D452" s="1426">
        <v>165</v>
      </c>
      <c r="E452" s="1429" t="s">
        <v>5867</v>
      </c>
      <c r="F452" s="1539"/>
      <c r="G452" s="1517" t="s">
        <v>3820</v>
      </c>
      <c r="H452" s="1518"/>
      <c r="I452" s="1518" t="s">
        <v>479</v>
      </c>
      <c r="J452" s="1533" t="s">
        <v>517</v>
      </c>
      <c r="K452" s="1517">
        <v>7</v>
      </c>
      <c r="L452" s="1519">
        <v>81900</v>
      </c>
      <c r="M452" s="1518" t="s">
        <v>518</v>
      </c>
      <c r="N452" s="1517">
        <v>2001</v>
      </c>
      <c r="O452" s="1518"/>
      <c r="P452" s="1518"/>
      <c r="Q452" s="1518" t="s">
        <v>482</v>
      </c>
      <c r="R452" s="1517" t="s">
        <v>12</v>
      </c>
      <c r="S452" s="1520">
        <f>22932000000+F453+F455+F456+F457+F458+F454+F459</f>
        <v>44052567508.340912</v>
      </c>
      <c r="T452" s="1517" t="s">
        <v>135</v>
      </c>
      <c r="U452" s="1572"/>
      <c r="V452" s="1521"/>
      <c r="W452" s="1522" t="str">
        <f>LEFT(G452,8)</f>
        <v>04.13.01</v>
      </c>
      <c r="X452" s="1478" t="str">
        <f>VLOOKUP(W452,UE,3,FALSE)</f>
        <v>Jalan</v>
      </c>
      <c r="Y452" s="1478">
        <f>VLOOKUP(W452,UE,4,FALSE)</f>
        <v>10</v>
      </c>
      <c r="Z452" s="1401"/>
      <c r="AA452" s="1444">
        <f>IF(2013-N452&gt;Y452,10,IF(2013-N452&lt;0,0,2013-N452))</f>
        <v>10</v>
      </c>
      <c r="AB452" s="1401">
        <f>SUM(PERHITUNGAN!U1496:U1503)</f>
        <v>23381295199.337723</v>
      </c>
      <c r="AC452" s="1479">
        <f>SUMIF(PERHITUNGAN!A:A,'KIB D'!B452&amp;'KIB D'!$AC$7,PERHITUNGAN!U:U)</f>
        <v>1312011606.5113838</v>
      </c>
      <c r="AD452" s="1479">
        <f>SUMIF(PERHITUNGAN!A:A,'KIB D'!B452&amp;'KIB D'!$AD$7,PERHITUNGAN!U:U)</f>
        <v>442446913.7101754</v>
      </c>
      <c r="AE452" s="1479">
        <f>SUMIF(PERHITUNGAN!A:A,'KIB D'!B452&amp;'KIB D'!$AE$7,PERHITUNGAN!U:U)</f>
        <v>823299034.67816234</v>
      </c>
      <c r="AF452" s="1479">
        <f>SUMIF(PERHITUNGAN!A:A,'KIB D'!B452&amp;'KIB D'!$AF$7,PERHITUNGAN!U:U)</f>
        <v>1143512331.210346</v>
      </c>
      <c r="AG452" s="1479">
        <f>SUMIF(PERHITUNGAN!A:A,'KIB D'!B452&amp;'KIB D'!$AG$7,PERHITUNGAN!U:U)</f>
        <v>1143512331.210346</v>
      </c>
      <c r="AH452" s="1479">
        <f>SUMIF(PERHITUNGAN!A:A,'KIB D'!B452&amp;'KIB D'!$AH$7,PERHITUNGAN!U:U)</f>
        <v>1580649009.1682768</v>
      </c>
      <c r="AI452" s="1479">
        <f>SUM(AB452:AH452)</f>
        <v>29826726425.826412</v>
      </c>
      <c r="AJ452" s="1401">
        <f>S452-AI452</f>
        <v>14225841082.5145</v>
      </c>
    </row>
    <row r="453" spans="1:36" s="1390" customFormat="1" ht="74" customHeight="1" x14ac:dyDescent="0.2">
      <c r="A453" s="1390">
        <v>258</v>
      </c>
      <c r="B453" s="1472" t="str">
        <f t="shared" si="148"/>
        <v>LEPAU GADING - PANGEAN</v>
      </c>
      <c r="C453" s="1478" t="s">
        <v>4247</v>
      </c>
      <c r="D453" s="1426"/>
      <c r="E453" s="1429" t="s">
        <v>1192</v>
      </c>
      <c r="F453" s="1539">
        <v>1327353361.6165369</v>
      </c>
      <c r="G453" s="1517" t="s">
        <v>2494</v>
      </c>
      <c r="H453" s="1518"/>
      <c r="I453" s="1518"/>
      <c r="J453" s="1519">
        <v>0</v>
      </c>
      <c r="K453" s="1517"/>
      <c r="L453" s="1519">
        <v>0</v>
      </c>
      <c r="M453" s="1518" t="s">
        <v>518</v>
      </c>
      <c r="N453" s="1517">
        <v>2007</v>
      </c>
      <c r="O453" s="1518"/>
      <c r="P453" s="1518"/>
      <c r="Q453" s="1518"/>
      <c r="R453" s="1517" t="s">
        <v>12</v>
      </c>
      <c r="S453" s="1520"/>
      <c r="T453" s="1517" t="s">
        <v>43</v>
      </c>
      <c r="U453" s="1572"/>
      <c r="V453" s="1521"/>
      <c r="W453" s="1478" t="str">
        <f>LEFT(G453,8)</f>
        <v>04.13.01</v>
      </c>
      <c r="X453" s="1478" t="str">
        <f>VLOOKUP(W453,UE,3,FALSE)</f>
        <v>Jalan</v>
      </c>
      <c r="Y453" s="1478">
        <f>VLOOKUP(W453,UE,4,FALSE)</f>
        <v>10</v>
      </c>
      <c r="Z453" s="1401">
        <f>S453/Y453</f>
        <v>0</v>
      </c>
      <c r="AA453" s="1444">
        <f>IF(2013-N453+1&gt;Y453,Y453,IF(2013-N453+1&lt;0,0,2013-N453+1))</f>
        <v>7</v>
      </c>
      <c r="AB453" s="1401">
        <f>IF(AA453&gt;Y453,S453,Z453*AA453)</f>
        <v>0</v>
      </c>
      <c r="AC453" s="1401">
        <f>IF(S453=AB453,0,Z453)</f>
        <v>0</v>
      </c>
      <c r="AD453" s="1401">
        <f>IF(S453=AB453+AC453,0,Z453)</f>
        <v>0</v>
      </c>
      <c r="AE453" s="1401">
        <f>IF(S453=AB453+AC453+AD453,0,Z453)</f>
        <v>0</v>
      </c>
      <c r="AF453" s="1401">
        <f>IF(S453=AC453+AD453+AE453+AB453,0,Z453)</f>
        <v>0</v>
      </c>
      <c r="AG453" s="1479">
        <f>IF(S453=AC453+AD453+AE453+AB453+AF453,0,Z453)</f>
        <v>0</v>
      </c>
      <c r="AH453" s="1479"/>
      <c r="AI453" s="1479">
        <f>SUM(AB453:AG453)</f>
        <v>0</v>
      </c>
      <c r="AJ453" s="1401">
        <f>S453-AI453</f>
        <v>0</v>
      </c>
    </row>
    <row r="454" spans="1:36" s="1390" customFormat="1" ht="25" customHeight="1" x14ac:dyDescent="0.2">
      <c r="A454" s="1390">
        <v>258</v>
      </c>
      <c r="B454" s="1472" t="str">
        <f t="shared" si="148"/>
        <v>LEPAU GADING - PANGEAN</v>
      </c>
      <c r="C454" s="1478"/>
      <c r="D454" s="1426"/>
      <c r="E454" s="1573" t="s">
        <v>5181</v>
      </c>
      <c r="F454" s="1539">
        <v>433953444.23257333</v>
      </c>
      <c r="G454" s="1416" t="s">
        <v>2494</v>
      </c>
      <c r="H454" s="1508"/>
      <c r="I454" s="1416"/>
      <c r="J454" s="1500"/>
      <c r="K454" s="1416"/>
      <c r="L454" s="1500"/>
      <c r="M454" s="1518" t="s">
        <v>3202</v>
      </c>
      <c r="N454" s="1416">
        <v>2008</v>
      </c>
      <c r="O454" s="1414"/>
      <c r="P454" s="1523" t="s">
        <v>5084</v>
      </c>
      <c r="Q454" s="1523"/>
      <c r="R454" s="1523" t="s">
        <v>12</v>
      </c>
      <c r="S454" s="1524"/>
      <c r="T454" s="1525" t="s">
        <v>43</v>
      </c>
      <c r="U454" s="1574"/>
      <c r="V454" s="1477"/>
      <c r="W454" s="1478"/>
      <c r="X454" s="1478"/>
      <c r="Y454" s="1478"/>
      <c r="Z454" s="1401"/>
      <c r="AA454" s="1444"/>
      <c r="AB454" s="1401"/>
      <c r="AC454" s="1401"/>
      <c r="AD454" s="1401"/>
      <c r="AE454" s="1401"/>
      <c r="AF454" s="1401"/>
      <c r="AG454" s="1479"/>
      <c r="AH454" s="1479"/>
      <c r="AI454" s="1479"/>
      <c r="AJ454" s="1401"/>
    </row>
    <row r="455" spans="1:36" s="1390" customFormat="1" ht="25" customHeight="1" x14ac:dyDescent="0.15">
      <c r="A455" s="1390">
        <v>258</v>
      </c>
      <c r="B455" s="1472" t="str">
        <f t="shared" si="148"/>
        <v>LEPAU GADING - PANGEAN</v>
      </c>
      <c r="C455" s="1516" t="s">
        <v>4247</v>
      </c>
      <c r="D455" s="1426"/>
      <c r="E455" s="1429" t="s">
        <v>1389</v>
      </c>
      <c r="F455" s="1539">
        <v>4424469137.1017532</v>
      </c>
      <c r="G455" s="1517" t="s">
        <v>2494</v>
      </c>
      <c r="H455" s="1518"/>
      <c r="I455" s="1518"/>
      <c r="J455" s="1519">
        <v>0</v>
      </c>
      <c r="K455" s="1517"/>
      <c r="L455" s="1519">
        <v>0</v>
      </c>
      <c r="M455" s="1518" t="s">
        <v>3202</v>
      </c>
      <c r="N455" s="1517">
        <v>2015</v>
      </c>
      <c r="O455" s="1518"/>
      <c r="P455" s="1518"/>
      <c r="Q455" s="1518"/>
      <c r="R455" s="1517" t="s">
        <v>12</v>
      </c>
      <c r="S455" s="1520"/>
      <c r="T455" s="1518"/>
      <c r="U455" s="1572"/>
      <c r="V455" s="1521"/>
      <c r="W455" s="1522" t="str">
        <f>LEFT(G455,8)</f>
        <v>04.13.01</v>
      </c>
      <c r="X455" s="1478" t="str">
        <f>VLOOKUP(W455,UE,3,FALSE)</f>
        <v>Jalan</v>
      </c>
      <c r="Y455" s="1478">
        <f>VLOOKUP(W455,UE,4,FALSE)</f>
        <v>10</v>
      </c>
      <c r="Z455" s="1401"/>
      <c r="AA455" s="1444">
        <f>IF(2013-N455&gt;Y455,10,IF(2013-N455&lt;0,0,2013-N455))</f>
        <v>0</v>
      </c>
      <c r="AB455" s="1401"/>
      <c r="AC455" s="1401"/>
      <c r="AD455" s="1401"/>
      <c r="AE455" s="1401"/>
      <c r="AF455" s="1401"/>
      <c r="AG455" s="1479"/>
      <c r="AH455" s="1479"/>
      <c r="AI455" s="1479"/>
      <c r="AJ455" s="1401">
        <f>S455-AI455</f>
        <v>0</v>
      </c>
    </row>
    <row r="456" spans="1:36" s="1390" customFormat="1" ht="25" customHeight="1" x14ac:dyDescent="0.15">
      <c r="A456" s="1390">
        <v>258</v>
      </c>
      <c r="B456" s="1472" t="str">
        <f t="shared" si="148"/>
        <v>LEPAU GADING - PANGEAN</v>
      </c>
      <c r="C456" s="1516" t="s">
        <v>4247</v>
      </c>
      <c r="D456" s="1426"/>
      <c r="E456" s="1429" t="s">
        <v>1450</v>
      </c>
      <c r="F456" s="1539">
        <v>4250968123.3900442</v>
      </c>
      <c r="G456" s="1517" t="s">
        <v>2494</v>
      </c>
      <c r="H456" s="1518"/>
      <c r="I456" s="1518"/>
      <c r="J456" s="1519">
        <v>0</v>
      </c>
      <c r="K456" s="1517"/>
      <c r="L456" s="1519">
        <v>0</v>
      </c>
      <c r="M456" s="1518" t="s">
        <v>3202</v>
      </c>
      <c r="N456" s="1517">
        <v>2016</v>
      </c>
      <c r="O456" s="1518"/>
      <c r="P456" s="1518"/>
      <c r="Q456" s="1518"/>
      <c r="R456" s="1517" t="s">
        <v>12</v>
      </c>
      <c r="S456" s="1520"/>
      <c r="T456" s="1518"/>
      <c r="U456" s="1572"/>
      <c r="V456" s="1521"/>
      <c r="W456" s="1522" t="str">
        <f>LEFT(G456,8)</f>
        <v>04.13.01</v>
      </c>
      <c r="X456" s="1478" t="str">
        <f>VLOOKUP(W456,UE,3,FALSE)</f>
        <v>Jalan</v>
      </c>
      <c r="Y456" s="1478">
        <f>VLOOKUP(W456,UE,4,FALSE)</f>
        <v>10</v>
      </c>
      <c r="Z456" s="1401"/>
      <c r="AA456" s="1444">
        <f>IF(2013-N456&gt;Y456,10,IF(2013-N456&lt;0,0,2013-N456))</f>
        <v>0</v>
      </c>
      <c r="AB456" s="1401"/>
      <c r="AC456" s="1401"/>
      <c r="AD456" s="1401"/>
      <c r="AE456" s="1401"/>
      <c r="AF456" s="1401"/>
      <c r="AG456" s="1479"/>
      <c r="AH456" s="1479"/>
      <c r="AI456" s="1479"/>
      <c r="AJ456" s="1401">
        <f>S456-AI456</f>
        <v>0</v>
      </c>
    </row>
    <row r="457" spans="1:36" s="1390" customFormat="1" ht="25" customHeight="1" x14ac:dyDescent="0.15">
      <c r="A457" s="1390">
        <v>258</v>
      </c>
      <c r="B457" s="1472" t="str">
        <f t="shared" si="148"/>
        <v>LEPAU GADING - PANGEAN</v>
      </c>
      <c r="C457" s="1516" t="s">
        <v>4247</v>
      </c>
      <c r="D457" s="1426"/>
      <c r="E457" s="1429" t="s">
        <v>3036</v>
      </c>
      <c r="F457" s="1539">
        <v>3776832000</v>
      </c>
      <c r="G457" s="1517" t="s">
        <v>2494</v>
      </c>
      <c r="H457" s="1518"/>
      <c r="I457" s="1518"/>
      <c r="J457" s="1519">
        <v>0</v>
      </c>
      <c r="K457" s="1517"/>
      <c r="L457" s="1519">
        <v>0</v>
      </c>
      <c r="M457" s="1518" t="s">
        <v>3202</v>
      </c>
      <c r="N457" s="1517">
        <v>2017</v>
      </c>
      <c r="O457" s="1518"/>
      <c r="P457" s="1518"/>
      <c r="Q457" s="1518"/>
      <c r="R457" s="1517" t="s">
        <v>12</v>
      </c>
      <c r="S457" s="1520"/>
      <c r="T457" s="1518"/>
      <c r="U457" s="1572"/>
      <c r="V457" s="1521"/>
      <c r="W457" s="1522" t="str">
        <f>LEFT(G457,8)</f>
        <v>04.13.01</v>
      </c>
      <c r="X457" s="1478" t="str">
        <f>VLOOKUP(W457,UE,3,FALSE)</f>
        <v>Jalan</v>
      </c>
      <c r="Y457" s="1478">
        <f>VLOOKUP(W457,UE,4,FALSE)</f>
        <v>10</v>
      </c>
      <c r="Z457" s="1401"/>
      <c r="AA457" s="1444">
        <f>IF(2013-N457&gt;Y457,10,IF(2013-N457&lt;0,0,2013-N457))</f>
        <v>0</v>
      </c>
      <c r="AB457" s="1401"/>
      <c r="AC457" s="1401"/>
      <c r="AD457" s="1401"/>
      <c r="AE457" s="1401"/>
      <c r="AF457" s="1401"/>
      <c r="AG457" s="1479"/>
      <c r="AH457" s="1479"/>
      <c r="AI457" s="1479"/>
      <c r="AJ457" s="1401">
        <f>S457-AI457</f>
        <v>0</v>
      </c>
    </row>
    <row r="458" spans="1:36" s="1390" customFormat="1" ht="25" customHeight="1" x14ac:dyDescent="0.15">
      <c r="A458" s="1390">
        <v>258</v>
      </c>
      <c r="B458" s="1472" t="str">
        <f t="shared" si="148"/>
        <v>LEPAU GADING - PANGEAN</v>
      </c>
      <c r="C458" s="1516" t="s">
        <v>4247</v>
      </c>
      <c r="D458" s="1426"/>
      <c r="E458" s="1429" t="s">
        <v>3041</v>
      </c>
      <c r="F458" s="1539">
        <v>248600000</v>
      </c>
      <c r="G458" s="1517" t="s">
        <v>2494</v>
      </c>
      <c r="H458" s="1518"/>
      <c r="I458" s="1518"/>
      <c r="J458" s="1519">
        <v>0</v>
      </c>
      <c r="K458" s="1517"/>
      <c r="L458" s="1519">
        <v>0</v>
      </c>
      <c r="M458" s="1518" t="s">
        <v>3202</v>
      </c>
      <c r="N458" s="1517">
        <v>2017</v>
      </c>
      <c r="O458" s="1518"/>
      <c r="P458" s="1518"/>
      <c r="Q458" s="1518"/>
      <c r="R458" s="1517" t="s">
        <v>12</v>
      </c>
      <c r="S458" s="1520"/>
      <c r="T458" s="1518"/>
      <c r="U458" s="1572"/>
      <c r="V458" s="1521"/>
      <c r="W458" s="1522" t="str">
        <f>LEFT(G458,8)</f>
        <v>04.13.01</v>
      </c>
      <c r="X458" s="1478" t="str">
        <f>VLOOKUP(W458,UE,3,FALSE)</f>
        <v>Jalan</v>
      </c>
      <c r="Y458" s="1478">
        <f>VLOOKUP(W458,UE,4,FALSE)</f>
        <v>10</v>
      </c>
      <c r="Z458" s="1401"/>
      <c r="AA458" s="1444">
        <f>IF(2013-N458&gt;Y458,10,IF(2013-N458&lt;0,0,2013-N458))</f>
        <v>0</v>
      </c>
      <c r="AB458" s="1401"/>
      <c r="AC458" s="1401"/>
      <c r="AD458" s="1401"/>
      <c r="AE458" s="1401"/>
      <c r="AF458" s="1401"/>
      <c r="AG458" s="1479"/>
      <c r="AH458" s="1479"/>
      <c r="AI458" s="1479"/>
      <c r="AJ458" s="1401">
        <f>S458-AI458</f>
        <v>0</v>
      </c>
    </row>
    <row r="459" spans="1:36" s="1390" customFormat="1" ht="51" customHeight="1" x14ac:dyDescent="0.15">
      <c r="A459" s="1390">
        <v>258</v>
      </c>
      <c r="B459" s="1472" t="str">
        <f t="shared" si="148"/>
        <v>LEPAU GADING - PANGEAN</v>
      </c>
      <c r="C459" s="1516"/>
      <c r="D459" s="1426"/>
      <c r="E459" s="1429" t="s">
        <v>5713</v>
      </c>
      <c r="F459" s="1539">
        <f>6652391442+6000000</f>
        <v>6658391442</v>
      </c>
      <c r="G459" s="1517" t="s">
        <v>2494</v>
      </c>
      <c r="H459" s="1518"/>
      <c r="I459" s="1518" t="s">
        <v>5532</v>
      </c>
      <c r="J459" s="1519">
        <v>2000</v>
      </c>
      <c r="K459" s="1517">
        <v>5</v>
      </c>
      <c r="L459" s="1519">
        <f>J459*K459</f>
        <v>10000</v>
      </c>
      <c r="M459" s="1518" t="s">
        <v>3202</v>
      </c>
      <c r="N459" s="1517">
        <v>2019</v>
      </c>
      <c r="O459" s="1518" t="s">
        <v>5714</v>
      </c>
      <c r="P459" s="1518" t="s">
        <v>5435</v>
      </c>
      <c r="Q459" s="1518"/>
      <c r="R459" s="1517" t="s">
        <v>12</v>
      </c>
      <c r="S459" s="1520"/>
      <c r="T459" s="1518"/>
      <c r="U459" s="1572"/>
      <c r="V459" s="1521"/>
      <c r="W459" s="1522"/>
      <c r="X459" s="1478"/>
      <c r="Y459" s="1478"/>
      <c r="Z459" s="1401"/>
      <c r="AA459" s="1444"/>
      <c r="AB459" s="1401"/>
      <c r="AC459" s="1401"/>
      <c r="AD459" s="1401"/>
      <c r="AE459" s="1401"/>
      <c r="AF459" s="1401"/>
      <c r="AG459" s="1479"/>
      <c r="AH459" s="1479"/>
      <c r="AI459" s="1479"/>
      <c r="AJ459" s="1401"/>
    </row>
    <row r="460" spans="1:36" s="1390" customFormat="1" ht="35" customHeight="1" x14ac:dyDescent="0.15">
      <c r="A460" s="1390">
        <v>259</v>
      </c>
      <c r="B460" s="1472" t="str">
        <f t="shared" si="148"/>
        <v>SENTAJO - TERATAK AIR HITAM</v>
      </c>
      <c r="C460" s="1516" t="s">
        <v>4763</v>
      </c>
      <c r="D460" s="1426">
        <v>166</v>
      </c>
      <c r="E460" s="1429" t="s">
        <v>5868</v>
      </c>
      <c r="F460" s="1539"/>
      <c r="G460" s="1517" t="s">
        <v>3820</v>
      </c>
      <c r="H460" s="1518"/>
      <c r="I460" s="1518" t="s">
        <v>519</v>
      </c>
      <c r="J460" s="1533">
        <v>0</v>
      </c>
      <c r="K460" s="1517"/>
      <c r="L460" s="1519">
        <v>1000</v>
      </c>
      <c r="M460" s="1518" t="s">
        <v>3076</v>
      </c>
      <c r="N460" s="1517">
        <v>2001</v>
      </c>
      <c r="O460" s="1518"/>
      <c r="P460" s="1518"/>
      <c r="Q460" s="1518" t="s">
        <v>384</v>
      </c>
      <c r="R460" s="1517" t="s">
        <v>12</v>
      </c>
      <c r="S460" s="1520">
        <f>14883166858.823+F463+F464+F461+F462</f>
        <v>20937818441.146496</v>
      </c>
      <c r="T460" s="1517" t="s">
        <v>43</v>
      </c>
      <c r="U460" s="1572"/>
      <c r="V460" s="1521"/>
      <c r="W460" s="1522" t="str">
        <f>LEFT(G460,8)</f>
        <v>04.13.01</v>
      </c>
      <c r="X460" s="1478" t="str">
        <f>VLOOKUP(W460,UE,3,FALSE)</f>
        <v>Jalan</v>
      </c>
      <c r="Y460" s="1478">
        <f>VLOOKUP(W460,UE,4,FALSE)</f>
        <v>10</v>
      </c>
      <c r="Z460" s="1401"/>
      <c r="AA460" s="1444">
        <f>IF(2013-N460&gt;Y460,10,IF(2013-N460&lt;0,0,2013-N460))</f>
        <v>10</v>
      </c>
      <c r="AB460" s="1401">
        <f>SUM(PERHITUNGAN!U1519:U1525)</f>
        <v>18056321376.1465</v>
      </c>
      <c r="AC460" s="1479">
        <f>SUMIF(PERHITUNGAN!A:A,'KIB D'!B460&amp;'KIB D'!$AC$7,PERHITUNGAN!U:U)</f>
        <v>0</v>
      </c>
      <c r="AD460" s="1479">
        <f>SUMIF(PERHITUNGAN!A:A,'KIB D'!B460&amp;'KIB D'!$AD$7,PERHITUNGAN!U:U)</f>
        <v>269169246.5</v>
      </c>
      <c r="AE460" s="1479">
        <f>SUMIF(PERHITUNGAN!A:A,'KIB D'!B460&amp;'KIB D'!$AE$7,PERHITUNGAN!U:U)</f>
        <v>269169246.5</v>
      </c>
      <c r="AF460" s="1479">
        <f>SUMIF(PERHITUNGAN!A:A,'KIB D'!B460&amp;'KIB D'!$AF$7,PERHITUNGAN!U:U)</f>
        <v>292894821.5</v>
      </c>
      <c r="AG460" s="1479">
        <f>SUMIF(PERHITUNGAN!A:A,'KIB D'!B460&amp;'KIB D'!$AG$7,PERHITUNGAN!U:U)</f>
        <v>292894821.5</v>
      </c>
      <c r="AH460" s="1479">
        <f>SUMIF(PERHITUNGAN!A:A,'KIB D'!B460&amp;'KIB D'!$AH$7,PERHITUNGAN!U:U)</f>
        <v>292894821.5</v>
      </c>
      <c r="AI460" s="1479">
        <f>SUM(AB460:AH460)</f>
        <v>19473344333.6465</v>
      </c>
      <c r="AJ460" s="1401">
        <f>S460-AI460</f>
        <v>1464474107.4999962</v>
      </c>
    </row>
    <row r="461" spans="1:36" s="1390" customFormat="1" ht="35" customHeight="1" x14ac:dyDescent="0.2">
      <c r="A461" s="1390">
        <v>259</v>
      </c>
      <c r="B461" s="1472" t="str">
        <f t="shared" si="148"/>
        <v>SENTAJO - TERATAK AIR HITAM</v>
      </c>
      <c r="C461" s="1478"/>
      <c r="D461" s="1426"/>
      <c r="E461" s="1586" t="s">
        <v>5179</v>
      </c>
      <c r="F461" s="1539">
        <v>1471211348.1665983</v>
      </c>
      <c r="G461" s="1416" t="s">
        <v>2494</v>
      </c>
      <c r="H461" s="1508"/>
      <c r="I461" s="1523" t="s">
        <v>519</v>
      </c>
      <c r="J461" s="1525">
        <v>1000</v>
      </c>
      <c r="K461" s="1525"/>
      <c r="L461" s="1525">
        <v>1000</v>
      </c>
      <c r="M461" s="1523" t="s">
        <v>3076</v>
      </c>
      <c r="N461" s="1416">
        <v>2008</v>
      </c>
      <c r="O461" s="1414"/>
      <c r="P461" s="1523" t="s">
        <v>5084</v>
      </c>
      <c r="Q461" s="1414"/>
      <c r="R461" s="1523" t="s">
        <v>12</v>
      </c>
      <c r="S461" s="1529"/>
      <c r="T461" s="1525" t="s">
        <v>43</v>
      </c>
      <c r="U461" s="1574"/>
      <c r="V461" s="1477"/>
      <c r="W461" s="1478"/>
      <c r="X461" s="1478"/>
      <c r="Y461" s="1478"/>
      <c r="Z461" s="1401"/>
      <c r="AA461" s="1444"/>
      <c r="AB461" s="1401"/>
      <c r="AC461" s="1401"/>
      <c r="AD461" s="1401"/>
      <c r="AE461" s="1401"/>
      <c r="AF461" s="1401"/>
      <c r="AG461" s="1479"/>
      <c r="AH461" s="1479"/>
      <c r="AI461" s="1479"/>
      <c r="AJ461" s="1401"/>
    </row>
    <row r="462" spans="1:36" s="1390" customFormat="1" ht="35" customHeight="1" x14ac:dyDescent="0.2">
      <c r="A462" s="1390">
        <v>259</v>
      </c>
      <c r="B462" s="1472" t="str">
        <f t="shared" si="148"/>
        <v>SENTAJO - TERATAK AIR HITAM</v>
      </c>
      <c r="C462" s="1478"/>
      <c r="D462" s="1426"/>
      <c r="E462" s="1583" t="s">
        <v>5180</v>
      </c>
      <c r="F462" s="1539">
        <v>1701943169.1568999</v>
      </c>
      <c r="G462" s="1416" t="s">
        <v>2494</v>
      </c>
      <c r="H462" s="1508"/>
      <c r="I462" s="1534" t="s">
        <v>519</v>
      </c>
      <c r="J462" s="1534"/>
      <c r="K462" s="1535"/>
      <c r="L462" s="1534"/>
      <c r="M462" s="1534" t="s">
        <v>3076</v>
      </c>
      <c r="N462" s="1416">
        <v>2009</v>
      </c>
      <c r="O462" s="1414"/>
      <c r="P462" s="1414" t="s">
        <v>5084</v>
      </c>
      <c r="Q462" s="1414"/>
      <c r="R462" s="1523" t="s">
        <v>12</v>
      </c>
      <c r="S462" s="1529"/>
      <c r="T462" s="1416" t="s">
        <v>43</v>
      </c>
      <c r="U462" s="1427"/>
      <c r="V462" s="1477"/>
      <c r="W462" s="1478"/>
      <c r="X462" s="1478"/>
      <c r="Y462" s="1478"/>
      <c r="Z462" s="1401"/>
      <c r="AA462" s="1444"/>
      <c r="AB462" s="1401"/>
      <c r="AC462" s="1401"/>
      <c r="AD462" s="1401"/>
      <c r="AE462" s="1401"/>
      <c r="AF462" s="1401"/>
      <c r="AG462" s="1479"/>
      <c r="AH462" s="1479"/>
      <c r="AI462" s="1479"/>
      <c r="AJ462" s="1401"/>
    </row>
    <row r="463" spans="1:36" s="1390" customFormat="1" ht="35" customHeight="1" x14ac:dyDescent="0.15">
      <c r="A463" s="1390">
        <v>259</v>
      </c>
      <c r="B463" s="1472" t="str">
        <f t="shared" si="148"/>
        <v>SENTAJO - TERATAK AIR HITAM</v>
      </c>
      <c r="C463" s="1516" t="s">
        <v>4763</v>
      </c>
      <c r="D463" s="1426"/>
      <c r="E463" s="1429" t="s">
        <v>1357</v>
      </c>
      <c r="F463" s="1539">
        <v>2691692465</v>
      </c>
      <c r="G463" s="1517" t="s">
        <v>2494</v>
      </c>
      <c r="H463" s="1518"/>
      <c r="I463" s="1518"/>
      <c r="J463" s="1519">
        <v>0</v>
      </c>
      <c r="K463" s="1517"/>
      <c r="L463" s="1519">
        <v>0</v>
      </c>
      <c r="M463" s="1518" t="s">
        <v>3076</v>
      </c>
      <c r="N463" s="1517">
        <v>2015</v>
      </c>
      <c r="O463" s="1518"/>
      <c r="P463" s="1518"/>
      <c r="Q463" s="1518"/>
      <c r="R463" s="1517" t="s">
        <v>12</v>
      </c>
      <c r="S463" s="1520"/>
      <c r="T463" s="1518"/>
      <c r="U463" s="1572"/>
      <c r="V463" s="1521"/>
      <c r="W463" s="1522" t="str">
        <f t="shared" ref="W463:W494" si="157">LEFT(G463,8)</f>
        <v>04.13.01</v>
      </c>
      <c r="X463" s="1478" t="str">
        <f t="shared" ref="X463:X494" si="158">VLOOKUP(W463,UE,3,FALSE)</f>
        <v>Jalan</v>
      </c>
      <c r="Y463" s="1478">
        <f t="shared" ref="Y463:Y494" si="159">VLOOKUP(W463,UE,4,FALSE)</f>
        <v>10</v>
      </c>
      <c r="Z463" s="1401"/>
      <c r="AA463" s="1444">
        <f>IF(2013-N463&gt;Y463,10,IF(2013-N463&lt;0,0,2013-N463))</f>
        <v>0</v>
      </c>
      <c r="AB463" s="1401"/>
      <c r="AC463" s="1401"/>
      <c r="AD463" s="1401"/>
      <c r="AE463" s="1401"/>
      <c r="AF463" s="1401"/>
      <c r="AG463" s="1479"/>
      <c r="AH463" s="1479"/>
      <c r="AI463" s="1479"/>
      <c r="AJ463" s="1401">
        <f>S463-AI463</f>
        <v>0</v>
      </c>
    </row>
    <row r="464" spans="1:36" s="1390" customFormat="1" ht="35" customHeight="1" x14ac:dyDescent="0.15">
      <c r="A464" s="1390">
        <v>259</v>
      </c>
      <c r="B464" s="1472" t="str">
        <f t="shared" si="148"/>
        <v>SENTAJO - TERATAK AIR HITAM</v>
      </c>
      <c r="C464" s="1516" t="s">
        <v>4763</v>
      </c>
      <c r="D464" s="1426"/>
      <c r="E464" s="1429" t="s">
        <v>2508</v>
      </c>
      <c r="F464" s="1539">
        <v>189804600</v>
      </c>
      <c r="G464" s="1517" t="s">
        <v>2494</v>
      </c>
      <c r="H464" s="1518"/>
      <c r="I464" s="1518"/>
      <c r="J464" s="1519">
        <v>0</v>
      </c>
      <c r="K464" s="1517"/>
      <c r="L464" s="1519">
        <v>0</v>
      </c>
      <c r="M464" s="1518" t="s">
        <v>2570</v>
      </c>
      <c r="N464" s="1517">
        <v>2017</v>
      </c>
      <c r="O464" s="1518"/>
      <c r="P464" s="1518"/>
      <c r="Q464" s="1518"/>
      <c r="R464" s="1517" t="s">
        <v>12</v>
      </c>
      <c r="S464" s="1520"/>
      <c r="T464" s="1518"/>
      <c r="U464" s="1572"/>
      <c r="V464" s="1521"/>
      <c r="W464" s="1522" t="str">
        <f t="shared" si="157"/>
        <v>04.13.01</v>
      </c>
      <c r="X464" s="1478" t="str">
        <f t="shared" si="158"/>
        <v>Jalan</v>
      </c>
      <c r="Y464" s="1478">
        <f t="shared" si="159"/>
        <v>10</v>
      </c>
      <c r="Z464" s="1401"/>
      <c r="AA464" s="1444">
        <f>IF(2013-N464&gt;Y464,10,IF(2013-N464&lt;0,0,2013-N464))</f>
        <v>0</v>
      </c>
      <c r="AB464" s="1401"/>
      <c r="AC464" s="1401"/>
      <c r="AD464" s="1401"/>
      <c r="AE464" s="1401"/>
      <c r="AF464" s="1401"/>
      <c r="AG464" s="1479"/>
      <c r="AH464" s="1479"/>
      <c r="AI464" s="1479"/>
      <c r="AJ464" s="1401">
        <f>S464-AI464</f>
        <v>0</v>
      </c>
    </row>
    <row r="465" spans="1:36" s="1390" customFormat="1" ht="35" customHeight="1" x14ac:dyDescent="0.15">
      <c r="A465" s="1390">
        <v>260</v>
      </c>
      <c r="B465" s="1472" t="str">
        <f t="shared" si="148"/>
        <v>BENAI - KOTO RAJO</v>
      </c>
      <c r="C465" s="1516" t="s">
        <v>4247</v>
      </c>
      <c r="D465" s="1426">
        <v>167</v>
      </c>
      <c r="E465" s="1429" t="s">
        <v>5869</v>
      </c>
      <c r="F465" s="1539"/>
      <c r="G465" s="1517" t="s">
        <v>3820</v>
      </c>
      <c r="H465" s="1518"/>
      <c r="I465" s="1518" t="s">
        <v>484</v>
      </c>
      <c r="J465" s="1533">
        <v>11000</v>
      </c>
      <c r="K465" s="1517"/>
      <c r="L465" s="1519">
        <v>0</v>
      </c>
      <c r="M465" s="1518" t="s">
        <v>3105</v>
      </c>
      <c r="N465" s="1517">
        <v>2001</v>
      </c>
      <c r="O465" s="1518"/>
      <c r="P465" s="1518"/>
      <c r="Q465" s="1518" t="s">
        <v>384</v>
      </c>
      <c r="R465" s="1517" t="s">
        <v>12</v>
      </c>
      <c r="S465" s="1520">
        <f>7982951762.61+F466+F470+F471+F467+F468+F469</f>
        <v>20878444863.475517</v>
      </c>
      <c r="T465" s="1517" t="s">
        <v>43</v>
      </c>
      <c r="U465" s="1572"/>
      <c r="V465" s="1521"/>
      <c r="W465" s="1522" t="str">
        <f t="shared" si="157"/>
        <v>04.13.01</v>
      </c>
      <c r="X465" s="1478" t="str">
        <f t="shared" si="158"/>
        <v>Jalan</v>
      </c>
      <c r="Y465" s="1478">
        <f t="shared" si="159"/>
        <v>10</v>
      </c>
      <c r="Z465" s="1401"/>
      <c r="AA465" s="1444">
        <f>IF(2013-N465&gt;Y465,10,IF(2013-N465&lt;0,0,2013-N465))</f>
        <v>10</v>
      </c>
      <c r="AB465" s="1401">
        <f>SUM(PERHITUNGAN!U1541:U1550)</f>
        <v>9371367253.2890148</v>
      </c>
      <c r="AC465" s="1479">
        <f>SUMIF(PERHITUNGAN!A:A,'KIB D'!B465&amp;'KIB D'!$AC$7,PERHITUNGAN!U:U)</f>
        <v>454231045.21865064</v>
      </c>
      <c r="AD465" s="1479">
        <f>SUMIF(PERHITUNGAN!A:A,'KIB D'!B465&amp;'KIB D'!$AD$7,PERHITUNGAN!U:U)</f>
        <v>454231045.21865064</v>
      </c>
      <c r="AE465" s="1479">
        <f>SUMIF(PERHITUNGAN!A:A,'KIB D'!B465&amp;'KIB D'!$AE$7,PERHITUNGAN!U:U)</f>
        <v>454231045.21865064</v>
      </c>
      <c r="AF465" s="1479">
        <f>SUMIF(PERHITUNGAN!A:A,'KIB D'!B465&amp;'KIB D'!$AF$7,PERHITUNGAN!U:U)</f>
        <v>1014438447.4530554</v>
      </c>
      <c r="AG465" s="1479">
        <f>SUMIF(PERHITUNGAN!A:A,'KIB D'!B465&amp;'KIB D'!$AG$7,PERHITUNGAN!U:U)</f>
        <v>1014438447.4530554</v>
      </c>
      <c r="AH465" s="1479">
        <f>SUMIF(PERHITUNGAN!A:A,'KIB D'!B465&amp;'KIB D'!$AH$7,PERHITUNGAN!U:U)</f>
        <v>1014438447.4530554</v>
      </c>
      <c r="AI465" s="1479">
        <f>SUM(AB465:AH465)</f>
        <v>13777375731.304134</v>
      </c>
      <c r="AJ465" s="1401">
        <f>S465-AI465</f>
        <v>7101069132.1713829</v>
      </c>
    </row>
    <row r="466" spans="1:36" s="1390" customFormat="1" ht="35" customHeight="1" x14ac:dyDescent="0.15">
      <c r="A466" s="1390">
        <v>260</v>
      </c>
      <c r="B466" s="1472" t="str">
        <f t="shared" si="148"/>
        <v>BENAI - KOTO RAJO</v>
      </c>
      <c r="C466" s="1516" t="s">
        <v>4247</v>
      </c>
      <c r="D466" s="1426"/>
      <c r="E466" s="1429" t="s">
        <v>1171</v>
      </c>
      <c r="F466" s="1539">
        <v>786808471.61551905</v>
      </c>
      <c r="G466" s="1517" t="s">
        <v>3820</v>
      </c>
      <c r="H466" s="1518"/>
      <c r="I466" s="1518" t="s">
        <v>835</v>
      </c>
      <c r="J466" s="1519">
        <v>2</v>
      </c>
      <c r="K466" s="1517">
        <v>2.5</v>
      </c>
      <c r="L466" s="1519">
        <v>5</v>
      </c>
      <c r="M466" s="1518" t="s">
        <v>3105</v>
      </c>
      <c r="N466" s="1517">
        <v>2007</v>
      </c>
      <c r="O466" s="1518"/>
      <c r="P466" s="1518"/>
      <c r="Q466" s="1518"/>
      <c r="R466" s="1517" t="s">
        <v>12</v>
      </c>
      <c r="S466" s="1520"/>
      <c r="T466" s="1517" t="s">
        <v>43</v>
      </c>
      <c r="U466" s="1572"/>
      <c r="V466" s="1521"/>
      <c r="W466" s="1522" t="str">
        <f t="shared" si="157"/>
        <v>04.13.01</v>
      </c>
      <c r="X466" s="1478" t="str">
        <f t="shared" si="158"/>
        <v>Jalan</v>
      </c>
      <c r="Y466" s="1478">
        <f t="shared" si="159"/>
        <v>10</v>
      </c>
      <c r="Z466" s="1401"/>
      <c r="AA466" s="1444">
        <f>IF(2013-N466&gt;Y466,10,IF(2013-N466&lt;0,0,2013-N466))</f>
        <v>6</v>
      </c>
      <c r="AB466" s="1401"/>
      <c r="AC466" s="1401"/>
      <c r="AD466" s="1401"/>
      <c r="AE466" s="1401"/>
      <c r="AF466" s="1401"/>
      <c r="AG466" s="1479"/>
      <c r="AH466" s="1479"/>
      <c r="AI466" s="1479"/>
      <c r="AJ466" s="1401">
        <f>S466-AI466</f>
        <v>0</v>
      </c>
    </row>
    <row r="467" spans="1:36" s="1390" customFormat="1" ht="35" customHeight="1" x14ac:dyDescent="0.2">
      <c r="A467" s="1390">
        <v>260</v>
      </c>
      <c r="B467" s="1472" t="str">
        <f t="shared" si="148"/>
        <v>BENAI - KOTO RAJO</v>
      </c>
      <c r="C467" s="1478" t="e">
        <f>RIGHT(#REF!,1)</f>
        <v>#REF!</v>
      </c>
      <c r="D467" s="1426"/>
      <c r="E467" s="1429" t="s">
        <v>5060</v>
      </c>
      <c r="F467" s="1539">
        <v>1891537631</v>
      </c>
      <c r="G467" s="1416" t="s">
        <v>2494</v>
      </c>
      <c r="H467" s="1508"/>
      <c r="I467" s="1416"/>
      <c r="J467" s="1500"/>
      <c r="K467" s="1416"/>
      <c r="L467" s="1500"/>
      <c r="M467" s="1429" t="s">
        <v>3105</v>
      </c>
      <c r="N467" s="1416">
        <v>2008</v>
      </c>
      <c r="O467" s="1414"/>
      <c r="P467" s="1414"/>
      <c r="Q467" s="1414"/>
      <c r="R467" s="1416" t="s">
        <v>12</v>
      </c>
      <c r="S467" s="1529"/>
      <c r="T467" s="1416" t="s">
        <v>43</v>
      </c>
      <c r="U467" s="1427"/>
      <c r="V467" s="1477"/>
      <c r="W467" s="1478" t="str">
        <f t="shared" si="157"/>
        <v>04.13.01</v>
      </c>
      <c r="X467" s="1478" t="str">
        <f t="shared" si="158"/>
        <v>Jalan</v>
      </c>
      <c r="Y467" s="1478">
        <f t="shared" si="159"/>
        <v>10</v>
      </c>
      <c r="Z467" s="1401"/>
      <c r="AA467" s="1444"/>
      <c r="AB467" s="1401"/>
      <c r="AC467" s="1401"/>
      <c r="AD467" s="1401"/>
      <c r="AE467" s="1401"/>
      <c r="AF467" s="1401"/>
      <c r="AG467" s="1479"/>
      <c r="AH467" s="1479"/>
      <c r="AI467" s="1479"/>
      <c r="AJ467" s="1401"/>
    </row>
    <row r="468" spans="1:36" s="1390" customFormat="1" ht="35" customHeight="1" x14ac:dyDescent="0.2">
      <c r="A468" s="1390">
        <v>260</v>
      </c>
      <c r="B468" s="1472" t="str">
        <f t="shared" si="148"/>
        <v>BENAI - KOTO RAJO</v>
      </c>
      <c r="C468" s="1478" t="e">
        <f>RIGHT(#REF!,1)</f>
        <v>#REF!</v>
      </c>
      <c r="D468" s="1426"/>
      <c r="E468" s="1429" t="s">
        <v>5062</v>
      </c>
      <c r="F468" s="1539">
        <v>1322245832.25</v>
      </c>
      <c r="G468" s="1416" t="s">
        <v>2494</v>
      </c>
      <c r="H468" s="1508"/>
      <c r="I468" s="1416"/>
      <c r="J468" s="1500"/>
      <c r="K468" s="1416"/>
      <c r="L468" s="1500"/>
      <c r="M468" s="1429" t="s">
        <v>3105</v>
      </c>
      <c r="N468" s="1416">
        <v>2008</v>
      </c>
      <c r="O468" s="1414"/>
      <c r="P468" s="1414"/>
      <c r="Q468" s="1414"/>
      <c r="R468" s="1416" t="s">
        <v>12</v>
      </c>
      <c r="S468" s="1529"/>
      <c r="T468" s="1416" t="s">
        <v>43</v>
      </c>
      <c r="U468" s="1427"/>
      <c r="V468" s="1477"/>
      <c r="W468" s="1478" t="str">
        <f t="shared" si="157"/>
        <v>04.13.01</v>
      </c>
      <c r="X468" s="1478" t="str">
        <f t="shared" si="158"/>
        <v>Jalan</v>
      </c>
      <c r="Y468" s="1478">
        <f t="shared" si="159"/>
        <v>10</v>
      </c>
      <c r="Z468" s="1401"/>
      <c r="AA468" s="1444"/>
      <c r="AB468" s="1401"/>
      <c r="AC468" s="1401"/>
      <c r="AD468" s="1401"/>
      <c r="AE468" s="1401"/>
      <c r="AF468" s="1401"/>
      <c r="AG468" s="1479"/>
      <c r="AH468" s="1479"/>
      <c r="AI468" s="1479"/>
      <c r="AJ468" s="1401">
        <f>S468-AI468</f>
        <v>0</v>
      </c>
    </row>
    <row r="469" spans="1:36" s="1390" customFormat="1" ht="35" customHeight="1" x14ac:dyDescent="0.2">
      <c r="A469" s="1390">
        <v>260</v>
      </c>
      <c r="B469" s="1472" t="str">
        <f t="shared" si="148"/>
        <v>BENAI - KOTO RAJO</v>
      </c>
      <c r="C469" s="1478" t="e">
        <f>RIGHT(#REF!,1)</f>
        <v>#REF!</v>
      </c>
      <c r="D469" s="1426"/>
      <c r="E469" s="1429" t="s">
        <v>1313</v>
      </c>
      <c r="F469" s="1529">
        <v>1930134008</v>
      </c>
      <c r="G469" s="1501" t="s">
        <v>2494</v>
      </c>
      <c r="H469" s="1501"/>
      <c r="I469" s="1414"/>
      <c r="J469" s="1526"/>
      <c r="K469" s="1416"/>
      <c r="L469" s="1430"/>
      <c r="M469" s="1429" t="s">
        <v>3188</v>
      </c>
      <c r="N469" s="1501">
        <v>2014</v>
      </c>
      <c r="O469" s="1414"/>
      <c r="P469" s="1414"/>
      <c r="Q469" s="1414"/>
      <c r="R469" s="1501" t="s">
        <v>12</v>
      </c>
      <c r="S469" s="1527"/>
      <c r="T469" s="1528"/>
      <c r="U469" s="1575"/>
      <c r="V469" s="1490"/>
      <c r="W469" s="1478" t="str">
        <f t="shared" si="157"/>
        <v>04.13.01</v>
      </c>
      <c r="X469" s="1478" t="str">
        <f t="shared" si="158"/>
        <v>Jalan</v>
      </c>
      <c r="Y469" s="1478">
        <f t="shared" si="159"/>
        <v>10</v>
      </c>
      <c r="Z469" s="1401">
        <f>S469/Y469</f>
        <v>0</v>
      </c>
      <c r="AA469" s="1444">
        <f>IF(2013-N469+1&gt;Y469,Y469,IF(2013-N469+1&lt;0,0,2013-N469+1))</f>
        <v>0</v>
      </c>
      <c r="AB469" s="1401">
        <f>IF(AA469&gt;Y469,S469,Z469*AA469)</f>
        <v>0</v>
      </c>
      <c r="AC469" s="1401">
        <f>IF(S469=AB469,0,Z469)</f>
        <v>0</v>
      </c>
      <c r="AD469" s="1401">
        <f>IF(S469=AB469+AC469,0,Z469)</f>
        <v>0</v>
      </c>
      <c r="AE469" s="1401">
        <f>IF(S469=AB469+AC469+AD469,0,Z469)</f>
        <v>0</v>
      </c>
      <c r="AF469" s="1401">
        <f>IF(S469=AC469+AD469+AE469+AB469,0,Z469)</f>
        <v>0</v>
      </c>
      <c r="AG469" s="1479">
        <f>IF(S469=AC469+AD469+AE469+AB469+AF469,0,Z469)</f>
        <v>0</v>
      </c>
      <c r="AH469" s="1479"/>
      <c r="AI469" s="1479">
        <f>SUM(AB469:AG469)</f>
        <v>0</v>
      </c>
      <c r="AJ469" s="1401">
        <f>S469-AI469</f>
        <v>0</v>
      </c>
    </row>
    <row r="470" spans="1:36" s="1390" customFormat="1" ht="35" customHeight="1" x14ac:dyDescent="0.15">
      <c r="A470" s="1390">
        <v>260</v>
      </c>
      <c r="B470" s="1472" t="str">
        <f t="shared" si="148"/>
        <v>BENAI - KOTO RAJO</v>
      </c>
      <c r="C470" s="1516" t="s">
        <v>4247</v>
      </c>
      <c r="D470" s="1426"/>
      <c r="E470" s="1429" t="s">
        <v>3035</v>
      </c>
      <c r="F470" s="1539">
        <v>6716002158</v>
      </c>
      <c r="G470" s="1517" t="s">
        <v>3820</v>
      </c>
      <c r="H470" s="1518"/>
      <c r="I470" s="1518"/>
      <c r="J470" s="1519">
        <v>0</v>
      </c>
      <c r="K470" s="1517"/>
      <c r="L470" s="1519">
        <v>0</v>
      </c>
      <c r="M470" s="1518" t="s">
        <v>3105</v>
      </c>
      <c r="N470" s="1517">
        <v>2017</v>
      </c>
      <c r="O470" s="1518"/>
      <c r="P470" s="1518"/>
      <c r="Q470" s="1518"/>
      <c r="R470" s="1517" t="s">
        <v>12</v>
      </c>
      <c r="S470" s="1520"/>
      <c r="T470" s="1518"/>
      <c r="U470" s="1572"/>
      <c r="V470" s="1521"/>
      <c r="W470" s="1522" t="str">
        <f t="shared" si="157"/>
        <v>04.13.01</v>
      </c>
      <c r="X470" s="1478" t="str">
        <f t="shared" si="158"/>
        <v>Jalan</v>
      </c>
      <c r="Y470" s="1478">
        <f t="shared" si="159"/>
        <v>10</v>
      </c>
      <c r="Z470" s="1401"/>
      <c r="AA470" s="1444">
        <f>IF(2013-N470&gt;Y470,10,IF(2013-N470&lt;0,0,2013-N470))</f>
        <v>0</v>
      </c>
      <c r="AB470" s="1401"/>
      <c r="AC470" s="1401"/>
      <c r="AD470" s="1401"/>
      <c r="AE470" s="1401"/>
      <c r="AF470" s="1401"/>
      <c r="AG470" s="1479"/>
      <c r="AH470" s="1479"/>
      <c r="AI470" s="1479"/>
      <c r="AJ470" s="1401">
        <f>S470-AI470</f>
        <v>0</v>
      </c>
    </row>
    <row r="471" spans="1:36" s="1390" customFormat="1" ht="35" customHeight="1" x14ac:dyDescent="0.15">
      <c r="A471" s="1390">
        <v>260</v>
      </c>
      <c r="B471" s="1472" t="str">
        <f t="shared" si="148"/>
        <v>BENAI - KOTO RAJO</v>
      </c>
      <c r="C471" s="1516" t="s">
        <v>4247</v>
      </c>
      <c r="D471" s="1426"/>
      <c r="E471" s="1429" t="s">
        <v>3040</v>
      </c>
      <c r="F471" s="1539">
        <v>248765000</v>
      </c>
      <c r="G471" s="1517" t="s">
        <v>3820</v>
      </c>
      <c r="H471" s="1518"/>
      <c r="I471" s="1518"/>
      <c r="J471" s="1519">
        <v>0</v>
      </c>
      <c r="K471" s="1517"/>
      <c r="L471" s="1519">
        <v>0</v>
      </c>
      <c r="M471" s="1518" t="s">
        <v>3105</v>
      </c>
      <c r="N471" s="1517">
        <v>2017</v>
      </c>
      <c r="O471" s="1518"/>
      <c r="P471" s="1518"/>
      <c r="Q471" s="1518"/>
      <c r="R471" s="1517" t="s">
        <v>12</v>
      </c>
      <c r="S471" s="1520"/>
      <c r="T471" s="1518"/>
      <c r="U471" s="1572"/>
      <c r="V471" s="1521"/>
      <c r="W471" s="1522" t="str">
        <f t="shared" si="157"/>
        <v>04.13.01</v>
      </c>
      <c r="X471" s="1478" t="str">
        <f t="shared" si="158"/>
        <v>Jalan</v>
      </c>
      <c r="Y471" s="1478">
        <f t="shared" si="159"/>
        <v>10</v>
      </c>
      <c r="Z471" s="1401"/>
      <c r="AA471" s="1444">
        <f>IF(2013-N471&gt;Y471,10,IF(2013-N471&lt;0,0,2013-N471))</f>
        <v>0</v>
      </c>
      <c r="AB471" s="1401"/>
      <c r="AC471" s="1401"/>
      <c r="AD471" s="1401"/>
      <c r="AE471" s="1401"/>
      <c r="AF471" s="1401"/>
      <c r="AG471" s="1479"/>
      <c r="AH471" s="1479"/>
      <c r="AI471" s="1479"/>
      <c r="AJ471" s="1401"/>
    </row>
    <row r="472" spans="1:36" s="1390" customFormat="1" ht="35" customHeight="1" x14ac:dyDescent="0.2">
      <c r="A472" s="1390">
        <v>263</v>
      </c>
      <c r="B472" s="1472" t="str">
        <f t="shared" ref="B472:B535" si="160">VLOOKUP(A472,RUAS,2,FALSE)</f>
        <v>JK RUAS 85/85 - BANJAR LOPAK</v>
      </c>
      <c r="C472" s="1478" t="e">
        <f>RIGHT(#REF!,1)</f>
        <v>#REF!</v>
      </c>
      <c r="D472" s="1426">
        <v>168</v>
      </c>
      <c r="E472" s="1429" t="s">
        <v>3776</v>
      </c>
      <c r="F472" s="1539"/>
      <c r="G472" s="1517" t="s">
        <v>3820</v>
      </c>
      <c r="H472" s="1518"/>
      <c r="I472" s="1518" t="s">
        <v>484</v>
      </c>
      <c r="J472" s="1533" t="s">
        <v>476</v>
      </c>
      <c r="K472" s="1517"/>
      <c r="L472" s="1519"/>
      <c r="M472" s="1518" t="s">
        <v>516</v>
      </c>
      <c r="N472" s="1517">
        <v>2001</v>
      </c>
      <c r="O472" s="1518"/>
      <c r="P472" s="1518"/>
      <c r="Q472" s="1518" t="s">
        <v>384</v>
      </c>
      <c r="R472" s="1517" t="s">
        <v>12</v>
      </c>
      <c r="S472" s="1520">
        <f>470400000+F473+F474</f>
        <v>6221905633</v>
      </c>
      <c r="T472" s="1517" t="s">
        <v>43</v>
      </c>
      <c r="U472" s="1572"/>
      <c r="V472" s="1521"/>
      <c r="W472" s="1478" t="str">
        <f t="shared" si="157"/>
        <v>04.13.01</v>
      </c>
      <c r="X472" s="1478" t="str">
        <f t="shared" si="158"/>
        <v>Jalan</v>
      </c>
      <c r="Y472" s="1478">
        <f t="shared" si="159"/>
        <v>10</v>
      </c>
      <c r="Z472" s="1401"/>
      <c r="AA472" s="1444">
        <f>IF(2013-N472&gt;Y472,10,IF(2013-N472&lt;0,0,2013-N472))</f>
        <v>10</v>
      </c>
      <c r="AB472" s="1401">
        <f>SUM(PERHITUNGAN!U1567:U1575)</f>
        <v>832746486.29999995</v>
      </c>
      <c r="AC472" s="1479">
        <f>SUMIF(PERHITUNGAN!A:A,'KIB D'!B472&amp;'KIB D'!$AC$7,PERHITUNGAN!U:U)</f>
        <v>362346486.30000001</v>
      </c>
      <c r="AD472" s="1479">
        <f>SUMIF(PERHITUNGAN!A:A,'KIB D'!B472&amp;'KIB D'!$AD$7,PERHITUNGAN!U:U)</f>
        <v>502681266.03999996</v>
      </c>
      <c r="AE472" s="1479">
        <f>SUMIF(PERHITUNGAN!A:A,'KIB D'!B472&amp;'KIB D'!$AE$7,PERHITUNGAN!U:U)</f>
        <v>502681266.03999996</v>
      </c>
      <c r="AF472" s="1479">
        <f>SUMIF(PERHITUNGAN!A:A,'KIB D'!B472&amp;'KIB D'!$AF$7,PERHITUNGAN!U:U)</f>
        <v>502681266.03999996</v>
      </c>
      <c r="AG472" s="1479">
        <f>SUMIF(PERHITUNGAN!A:A,'KIB D'!B472&amp;'KIB D'!$AG$7,PERHITUNGAN!U:U)</f>
        <v>502681266.03999996</v>
      </c>
      <c r="AH472" s="1479">
        <f>SUMIF(PERHITUNGAN!A:A,'KIB D'!B472&amp;'KIB D'!$AH$7,PERHITUNGAN!U:U)</f>
        <v>502681266.03999996</v>
      </c>
      <c r="AI472" s="1479">
        <f>SUM(AB472:AH472)</f>
        <v>3708499302.7999997</v>
      </c>
      <c r="AJ472" s="1401">
        <f t="shared" ref="AJ472:AJ492" si="161">S472-AI472</f>
        <v>2513406330.2000003</v>
      </c>
    </row>
    <row r="473" spans="1:36" s="1390" customFormat="1" ht="35" customHeight="1" x14ac:dyDescent="0.2">
      <c r="A473" s="1390">
        <v>263</v>
      </c>
      <c r="B473" s="1472" t="str">
        <f t="shared" si="160"/>
        <v>JK RUAS 85/85 - BANJAR LOPAK</v>
      </c>
      <c r="C473" s="1478" t="e">
        <f>RIGHT(#REF!,1)</f>
        <v>#REF!</v>
      </c>
      <c r="D473" s="1426"/>
      <c r="E473" s="1429" t="s">
        <v>1279</v>
      </c>
      <c r="F473" s="1539">
        <v>3623464863</v>
      </c>
      <c r="G473" s="1416" t="s">
        <v>3820</v>
      </c>
      <c r="H473" s="1508"/>
      <c r="I473" s="1416" t="s">
        <v>519</v>
      </c>
      <c r="J473" s="1500"/>
      <c r="K473" s="1416"/>
      <c r="L473" s="1500"/>
      <c r="M473" s="1429" t="s">
        <v>3172</v>
      </c>
      <c r="N473" s="1416">
        <v>2013</v>
      </c>
      <c r="O473" s="1414"/>
      <c r="P473" s="1414"/>
      <c r="Q473" s="1414"/>
      <c r="R473" s="1416" t="s">
        <v>12</v>
      </c>
      <c r="S473" s="1529"/>
      <c r="T473" s="1416"/>
      <c r="U473" s="1427"/>
      <c r="V473" s="1477"/>
      <c r="W473" s="1478" t="str">
        <f t="shared" si="157"/>
        <v>04.13.01</v>
      </c>
      <c r="X473" s="1478" t="str">
        <f t="shared" si="158"/>
        <v>Jalan</v>
      </c>
      <c r="Y473" s="1478">
        <f t="shared" si="159"/>
        <v>10</v>
      </c>
      <c r="Z473" s="1401"/>
      <c r="AA473" s="1444"/>
      <c r="AB473" s="1401"/>
      <c r="AC473" s="1401"/>
      <c r="AD473" s="1401"/>
      <c r="AE473" s="1401"/>
      <c r="AF473" s="1401"/>
      <c r="AG473" s="1479"/>
      <c r="AH473" s="1479"/>
      <c r="AI473" s="1479"/>
      <c r="AJ473" s="1401">
        <f t="shared" si="161"/>
        <v>0</v>
      </c>
    </row>
    <row r="474" spans="1:36" s="1390" customFormat="1" ht="35" customHeight="1" x14ac:dyDescent="0.2">
      <c r="A474" s="1390">
        <v>263</v>
      </c>
      <c r="B474" s="1472" t="str">
        <f t="shared" si="160"/>
        <v>JK RUAS 85/85 - BANJAR LOPAK</v>
      </c>
      <c r="C474" s="1478" t="e">
        <f>RIGHT(#REF!,1)</f>
        <v>#REF!</v>
      </c>
      <c r="D474" s="1426"/>
      <c r="E474" s="1429" t="s">
        <v>1361</v>
      </c>
      <c r="F474" s="1529">
        <v>2128040770</v>
      </c>
      <c r="G474" s="1416" t="s">
        <v>3820</v>
      </c>
      <c r="H474" s="1501"/>
      <c r="I474" s="1414"/>
      <c r="J474" s="1526"/>
      <c r="K474" s="1416"/>
      <c r="L474" s="1430"/>
      <c r="M474" s="1429" t="s">
        <v>3172</v>
      </c>
      <c r="N474" s="1501">
        <v>2015</v>
      </c>
      <c r="O474" s="1414"/>
      <c r="P474" s="1414"/>
      <c r="Q474" s="1414"/>
      <c r="R474" s="1501" t="s">
        <v>12</v>
      </c>
      <c r="S474" s="1527"/>
      <c r="T474" s="1528"/>
      <c r="U474" s="1575"/>
      <c r="V474" s="1490"/>
      <c r="W474" s="1478" t="str">
        <f t="shared" si="157"/>
        <v>04.13.01</v>
      </c>
      <c r="X474" s="1478" t="str">
        <f t="shared" si="158"/>
        <v>Jalan</v>
      </c>
      <c r="Y474" s="1478">
        <f t="shared" si="159"/>
        <v>10</v>
      </c>
      <c r="Z474" s="1401"/>
      <c r="AA474" s="1444"/>
      <c r="AB474" s="1401"/>
      <c r="AC474" s="1401"/>
      <c r="AD474" s="1401"/>
      <c r="AE474" s="1401"/>
      <c r="AF474" s="1401"/>
      <c r="AG474" s="1479"/>
      <c r="AH474" s="1479"/>
      <c r="AI474" s="1479">
        <f>SUM(AB474:AG474)</f>
        <v>0</v>
      </c>
      <c r="AJ474" s="1401">
        <f t="shared" si="161"/>
        <v>0</v>
      </c>
    </row>
    <row r="475" spans="1:36" s="1390" customFormat="1" ht="35" customHeight="1" x14ac:dyDescent="0.2">
      <c r="A475" s="1390">
        <v>264</v>
      </c>
      <c r="B475" s="1472" t="str">
        <f t="shared" si="160"/>
        <v>SIMP. DUTA PALMA - MUARA PETAI</v>
      </c>
      <c r="C475" s="1478" t="e">
        <f>RIGHT(#REF!,1)</f>
        <v>#REF!</v>
      </c>
      <c r="D475" s="1426">
        <v>169</v>
      </c>
      <c r="E475" s="1429" t="s">
        <v>483</v>
      </c>
      <c r="F475" s="1539"/>
      <c r="G475" s="1517" t="s">
        <v>2494</v>
      </c>
      <c r="H475" s="1518"/>
      <c r="I475" s="1518" t="s">
        <v>484</v>
      </c>
      <c r="J475" s="1533" t="s">
        <v>501</v>
      </c>
      <c r="K475" s="1517">
        <v>8</v>
      </c>
      <c r="L475" s="1519">
        <v>280000</v>
      </c>
      <c r="M475" s="1518" t="s">
        <v>511</v>
      </c>
      <c r="N475" s="1517">
        <v>2001</v>
      </c>
      <c r="O475" s="1518"/>
      <c r="P475" s="1518"/>
      <c r="Q475" s="1518" t="s">
        <v>482</v>
      </c>
      <c r="R475" s="1517" t="s">
        <v>12</v>
      </c>
      <c r="S475" s="1520">
        <v>1568000000</v>
      </c>
      <c r="T475" s="1517" t="s">
        <v>43</v>
      </c>
      <c r="U475" s="1572"/>
      <c r="V475" s="1521"/>
      <c r="W475" s="1478" t="str">
        <f t="shared" si="157"/>
        <v>04.13.01</v>
      </c>
      <c r="X475" s="1478" t="str">
        <f t="shared" si="158"/>
        <v>Jalan</v>
      </c>
      <c r="Y475" s="1478">
        <f t="shared" si="159"/>
        <v>10</v>
      </c>
      <c r="Z475" s="1401">
        <f>S475/Y475</f>
        <v>156800000</v>
      </c>
      <c r="AA475" s="1444">
        <f>IF(2013-N475+1&gt;Y475,Y475,IF(2013-N475+1&lt;0,0,2013-N475+1))</f>
        <v>10</v>
      </c>
      <c r="AB475" s="1401">
        <f>IF(AA475&gt;Y475,S475,Z475*AA475)</f>
        <v>1568000000</v>
      </c>
      <c r="AC475" s="1401">
        <f>IF(S475=AB475,0,Z475)</f>
        <v>0</v>
      </c>
      <c r="AD475" s="1401">
        <f>IF(S475=AB475+AC475,0,Z475)</f>
        <v>0</v>
      </c>
      <c r="AE475" s="1401">
        <f>IF(S475=AB475+AC475+AD475,0,Z475)</f>
        <v>0</v>
      </c>
      <c r="AF475" s="1401">
        <f>IF(S475=AC475+AD475+AE475+AB475,0,Z475)</f>
        <v>0</v>
      </c>
      <c r="AG475" s="1479">
        <f>IF(S475=AC475+AD475+AE475+AB475+AF475,0,Z475)</f>
        <v>0</v>
      </c>
      <c r="AH475" s="1479">
        <f>IF(S475=AC475+AD475+AE475+AB475+AF475+AG475,0,Z475)</f>
        <v>0</v>
      </c>
      <c r="AI475" s="1479">
        <f t="shared" ref="AI475:AI480" si="162">SUM(AB475:AH475)</f>
        <v>1568000000</v>
      </c>
      <c r="AJ475" s="1401">
        <f t="shared" si="161"/>
        <v>0</v>
      </c>
    </row>
    <row r="476" spans="1:36" s="1390" customFormat="1" ht="35" customHeight="1" x14ac:dyDescent="0.2">
      <c r="A476" s="1390">
        <v>265</v>
      </c>
      <c r="B476" s="1472" t="str">
        <f t="shared" si="160"/>
        <v>SIMP. DUTA PALMA - BATAS INHU</v>
      </c>
      <c r="C476" s="1478" t="e">
        <f>RIGHT(#REF!,1)</f>
        <v>#REF!</v>
      </c>
      <c r="D476" s="1426">
        <v>170</v>
      </c>
      <c r="E476" s="1429" t="s">
        <v>483</v>
      </c>
      <c r="F476" s="1539"/>
      <c r="G476" s="1517" t="s">
        <v>2494</v>
      </c>
      <c r="H476" s="1518"/>
      <c r="I476" s="1518" t="s">
        <v>484</v>
      </c>
      <c r="J476" s="1533">
        <v>40000</v>
      </c>
      <c r="K476" s="1517">
        <v>8</v>
      </c>
      <c r="L476" s="1519">
        <v>320000</v>
      </c>
      <c r="M476" s="1518" t="s">
        <v>512</v>
      </c>
      <c r="N476" s="1517">
        <v>2001</v>
      </c>
      <c r="O476" s="1518"/>
      <c r="P476" s="1518"/>
      <c r="Q476" s="1518" t="s">
        <v>482</v>
      </c>
      <c r="R476" s="1517" t="s">
        <v>12</v>
      </c>
      <c r="S476" s="1520">
        <v>1792000000</v>
      </c>
      <c r="T476" s="1517" t="s">
        <v>43</v>
      </c>
      <c r="U476" s="1572"/>
      <c r="V476" s="1521"/>
      <c r="W476" s="1478" t="str">
        <f t="shared" si="157"/>
        <v>04.13.01</v>
      </c>
      <c r="X476" s="1478" t="str">
        <f t="shared" si="158"/>
        <v>Jalan</v>
      </c>
      <c r="Y476" s="1478">
        <f t="shared" si="159"/>
        <v>10</v>
      </c>
      <c r="Z476" s="1401">
        <f>S476/Y476</f>
        <v>179200000</v>
      </c>
      <c r="AA476" s="1444">
        <f>IF(2013-N476+1&gt;Y476,Y476,IF(2013-N476+1&lt;0,0,2013-N476+1))</f>
        <v>10</v>
      </c>
      <c r="AB476" s="1401">
        <f>IF(AA476&gt;Y476,S476,Z476*AA476)</f>
        <v>1792000000</v>
      </c>
      <c r="AC476" s="1401">
        <f>IF(S476=AB476,0,Z476)</f>
        <v>0</v>
      </c>
      <c r="AD476" s="1401">
        <f>IF(S476=AB476+AC476,0,Z476)</f>
        <v>0</v>
      </c>
      <c r="AE476" s="1401">
        <f>IF(S476=AB476+AC476+AD476,0,Z476)</f>
        <v>0</v>
      </c>
      <c r="AF476" s="1401">
        <f>IF(S476=AC476+AD476+AE476+AB476,0,Z476)</f>
        <v>0</v>
      </c>
      <c r="AG476" s="1479">
        <f>IF(S476=AC476+AD476+AE476+AB476+AF476,0,Z476)</f>
        <v>0</v>
      </c>
      <c r="AH476" s="1479">
        <f>IF(S476=AC476+AD476+AE476+AB476+AF476+AG476,0,Z476)</f>
        <v>0</v>
      </c>
      <c r="AI476" s="1479">
        <f t="shared" si="162"/>
        <v>1792000000</v>
      </c>
      <c r="AJ476" s="1401">
        <f t="shared" si="161"/>
        <v>0</v>
      </c>
    </row>
    <row r="477" spans="1:36" s="1390" customFormat="1" ht="35" customHeight="1" x14ac:dyDescent="0.2">
      <c r="A477" s="1390">
        <v>266</v>
      </c>
      <c r="B477" s="1472" t="str">
        <f t="shared" si="160"/>
        <v>JL. DALAM KOTA BENAI - JL. NASIONAL KM 173 +000</v>
      </c>
      <c r="C477" s="1478" t="e">
        <f>RIGHT(#REF!,1)</f>
        <v>#REF!</v>
      </c>
      <c r="D477" s="1426"/>
      <c r="E477" s="1429" t="s">
        <v>696</v>
      </c>
      <c r="F477" s="1539"/>
      <c r="G477" s="1517" t="s">
        <v>2494</v>
      </c>
      <c r="H477" s="1518"/>
      <c r="I477" s="1518" t="s">
        <v>8</v>
      </c>
      <c r="J477" s="1533" t="s">
        <v>598</v>
      </c>
      <c r="K477" s="1517"/>
      <c r="L477" s="1519"/>
      <c r="M477" s="1518" t="s">
        <v>717</v>
      </c>
      <c r="N477" s="1517">
        <v>2001</v>
      </c>
      <c r="O477" s="1518"/>
      <c r="P477" s="1518"/>
      <c r="Q477" s="1518" t="s">
        <v>482</v>
      </c>
      <c r="R477" s="1517" t="s">
        <v>12</v>
      </c>
      <c r="S477" s="1520">
        <v>180000000</v>
      </c>
      <c r="T477" s="1517" t="s">
        <v>43</v>
      </c>
      <c r="U477" s="1572"/>
      <c r="V477" s="1521"/>
      <c r="W477" s="1478" t="str">
        <f t="shared" si="157"/>
        <v>04.13.01</v>
      </c>
      <c r="X477" s="1478" t="str">
        <f t="shared" si="158"/>
        <v>Jalan</v>
      </c>
      <c r="Y477" s="1478">
        <f t="shared" si="159"/>
        <v>10</v>
      </c>
      <c r="Z477" s="1401">
        <f>S477/Y477</f>
        <v>18000000</v>
      </c>
      <c r="AA477" s="1444">
        <f>IF(2013-N477+1&gt;Y477,Y477,IF(2013-N477+1&lt;0,0,2013-N477+1))</f>
        <v>10</v>
      </c>
      <c r="AB477" s="1401">
        <f>IF(AA477&gt;Y477,S477,Z477*AA477)</f>
        <v>180000000</v>
      </c>
      <c r="AC477" s="1401">
        <f>IF(S477=AB477,0,Z477)</f>
        <v>0</v>
      </c>
      <c r="AD477" s="1401">
        <f>IF(S477=AB477+AC477,0,Z477)</f>
        <v>0</v>
      </c>
      <c r="AE477" s="1401">
        <f>IF(S477=AB477+AC477+AD477,0,Z477)</f>
        <v>0</v>
      </c>
      <c r="AF477" s="1401">
        <f>IF(S477=AC477+AD477+AE477+AB477,0,Z477)</f>
        <v>0</v>
      </c>
      <c r="AG477" s="1479">
        <f>IF(S477=AC477+AD477+AE477+AB477+AF477,0,Z477)</f>
        <v>0</v>
      </c>
      <c r="AH477" s="1479">
        <f>IF(S477=AC477+AD477+AE477+AB477+AF477+AG477,0,Z477)</f>
        <v>0</v>
      </c>
      <c r="AI477" s="1479">
        <f t="shared" si="162"/>
        <v>180000000</v>
      </c>
      <c r="AJ477" s="1401">
        <f t="shared" si="161"/>
        <v>0</v>
      </c>
    </row>
    <row r="478" spans="1:36" s="1390" customFormat="1" ht="35" customHeight="1" x14ac:dyDescent="0.2">
      <c r="A478" s="1390">
        <v>267</v>
      </c>
      <c r="B478" s="1472" t="str">
        <f t="shared" si="160"/>
        <v>JL. DESA UJUNG TANJUNG - JK 189/189</v>
      </c>
      <c r="C478" s="1478" t="e">
        <f>RIGHT(#REF!,1)</f>
        <v>#REF!</v>
      </c>
      <c r="D478" s="1426"/>
      <c r="E478" s="1429" t="s">
        <v>529</v>
      </c>
      <c r="F478" s="1539"/>
      <c r="G478" s="1517" t="s">
        <v>2494</v>
      </c>
      <c r="H478" s="1518"/>
      <c r="I478" s="1518" t="s">
        <v>503</v>
      </c>
      <c r="J478" s="1533" t="s">
        <v>48</v>
      </c>
      <c r="K478" s="1517"/>
      <c r="L478" s="1519"/>
      <c r="M478" s="1518" t="s">
        <v>644</v>
      </c>
      <c r="N478" s="1517">
        <v>2001</v>
      </c>
      <c r="O478" s="1518"/>
      <c r="P478" s="1518"/>
      <c r="Q478" s="1518" t="s">
        <v>482</v>
      </c>
      <c r="R478" s="1517" t="s">
        <v>12</v>
      </c>
      <c r="S478" s="1520">
        <f>1300000000</f>
        <v>1300000000</v>
      </c>
      <c r="T478" s="1517" t="s">
        <v>43</v>
      </c>
      <c r="U478" s="1572"/>
      <c r="V478" s="1521"/>
      <c r="W478" s="1478" t="str">
        <f t="shared" si="157"/>
        <v>04.13.01</v>
      </c>
      <c r="X478" s="1478" t="str">
        <f t="shared" si="158"/>
        <v>Jalan</v>
      </c>
      <c r="Y478" s="1478">
        <f t="shared" si="159"/>
        <v>10</v>
      </c>
      <c r="Z478" s="1401">
        <f>S478/Y478</f>
        <v>130000000</v>
      </c>
      <c r="AA478" s="1444">
        <f>IF(2013-N478+1&gt;Y478,Y478,IF(2013-N478+1&lt;0,0,2013-N478+1))</f>
        <v>10</v>
      </c>
      <c r="AB478" s="1401">
        <f>IF(AA478&gt;Y478,S478,Z478*AA478)</f>
        <v>1300000000</v>
      </c>
      <c r="AC478" s="1401">
        <f>IF(S478=AB478,0,Z478)</f>
        <v>0</v>
      </c>
      <c r="AD478" s="1401">
        <f>IF(S478=AB478+AC478,0,Z478)</f>
        <v>0</v>
      </c>
      <c r="AE478" s="1401">
        <f>IF(S478=AB478+AC478+AD478,0,Z478)</f>
        <v>0</v>
      </c>
      <c r="AF478" s="1401">
        <f>IF(S478=AC478+AD478+AE478+AB478,0,Z478)</f>
        <v>0</v>
      </c>
      <c r="AG478" s="1479">
        <f>IF(S478=AC478+AD478+AE478+AB478+AF478,0,Z478)</f>
        <v>0</v>
      </c>
      <c r="AH478" s="1479">
        <f>IF(S478=AC478+AD478+AE478+AB478+AF478+AG478,0,Z478)</f>
        <v>0</v>
      </c>
      <c r="AI478" s="1479">
        <f t="shared" si="162"/>
        <v>1300000000</v>
      </c>
      <c r="AJ478" s="1401">
        <f t="shared" si="161"/>
        <v>0</v>
      </c>
    </row>
    <row r="479" spans="1:36" s="1390" customFormat="1" ht="35" customHeight="1" x14ac:dyDescent="0.2">
      <c r="A479" s="1390">
        <v>267</v>
      </c>
      <c r="B479" s="1472" t="str">
        <f t="shared" si="160"/>
        <v>JL. DESA UJUNG TANJUNG - JK 189/189</v>
      </c>
      <c r="C479" s="1478" t="e">
        <f>RIGHT(#REF!,1)</f>
        <v>#REF!</v>
      </c>
      <c r="D479" s="1426"/>
      <c r="E479" s="1429" t="s">
        <v>483</v>
      </c>
      <c r="F479" s="1539"/>
      <c r="G479" s="1517" t="s">
        <v>2494</v>
      </c>
      <c r="H479" s="1518"/>
      <c r="I479" s="1518" t="s">
        <v>8</v>
      </c>
      <c r="J479" s="1519" t="s">
        <v>494</v>
      </c>
      <c r="K479" s="1517"/>
      <c r="L479" s="1519"/>
      <c r="M479" s="1518" t="s">
        <v>495</v>
      </c>
      <c r="N479" s="1517">
        <v>2001</v>
      </c>
      <c r="O479" s="1518"/>
      <c r="P479" s="1518"/>
      <c r="Q479" s="1518" t="s">
        <v>482</v>
      </c>
      <c r="R479" s="1517" t="s">
        <v>12</v>
      </c>
      <c r="S479" s="1520">
        <v>378000000</v>
      </c>
      <c r="T479" s="1517" t="s">
        <v>43</v>
      </c>
      <c r="U479" s="1572"/>
      <c r="V479" s="1521"/>
      <c r="W479" s="1478" t="str">
        <f t="shared" si="157"/>
        <v>04.13.01</v>
      </c>
      <c r="X479" s="1478" t="str">
        <f t="shared" si="158"/>
        <v>Jalan</v>
      </c>
      <c r="Y479" s="1478">
        <f t="shared" si="159"/>
        <v>10</v>
      </c>
      <c r="Z479" s="1401">
        <f>S479/Y479</f>
        <v>37800000</v>
      </c>
      <c r="AA479" s="1444">
        <f>IF(2013-N479+1&gt;Y479,Y479,IF(2013-N479+1&lt;0,0,2013-N479+1))</f>
        <v>10</v>
      </c>
      <c r="AB479" s="1401">
        <f>IF(AA479&gt;Y479,S479,Z479*AA479)</f>
        <v>378000000</v>
      </c>
      <c r="AC479" s="1401">
        <f>IF(S479=AB479,0,Z479)</f>
        <v>0</v>
      </c>
      <c r="AD479" s="1401">
        <f>IF(S479=AB479+AC479,0,Z479)</f>
        <v>0</v>
      </c>
      <c r="AE479" s="1401">
        <f>IF(S479=AB479+AC479+AD479,0,Z479)</f>
        <v>0</v>
      </c>
      <c r="AF479" s="1401">
        <f>IF(S479=AC479+AD479+AE479+AB479,0,Z479)</f>
        <v>0</v>
      </c>
      <c r="AG479" s="1479">
        <f>IF(S479=AC479+AD479+AE479+AB479+AF479,0,Z479)</f>
        <v>0</v>
      </c>
      <c r="AH479" s="1479">
        <f>IF(S479=AC479+AD479+AE479+AB479+AF479+AG479,0,Z479)</f>
        <v>0</v>
      </c>
      <c r="AI479" s="1479">
        <f t="shared" si="162"/>
        <v>378000000</v>
      </c>
      <c r="AJ479" s="1401">
        <f t="shared" si="161"/>
        <v>0</v>
      </c>
    </row>
    <row r="480" spans="1:36" s="1390" customFormat="1" ht="35" customHeight="1" x14ac:dyDescent="0.2">
      <c r="A480" s="1390">
        <v>269</v>
      </c>
      <c r="B480" s="1472" t="str">
        <f t="shared" si="160"/>
        <v>JL. DESA GUNUNG KESIANGAN - JL. UJUNG TANJUNG</v>
      </c>
      <c r="C480" s="1478" t="e">
        <f>RIGHT(#REF!,1)</f>
        <v>#REF!</v>
      </c>
      <c r="D480" s="1426"/>
      <c r="E480" s="1429" t="s">
        <v>3782</v>
      </c>
      <c r="F480" s="1539"/>
      <c r="G480" s="1517" t="s">
        <v>3820</v>
      </c>
      <c r="H480" s="1518"/>
      <c r="I480" s="1518" t="s">
        <v>8</v>
      </c>
      <c r="J480" s="1533" t="s">
        <v>48</v>
      </c>
      <c r="K480" s="1517">
        <v>7</v>
      </c>
      <c r="L480" s="1519">
        <v>14000</v>
      </c>
      <c r="M480" s="1518" t="s">
        <v>510</v>
      </c>
      <c r="N480" s="1517">
        <v>2001</v>
      </c>
      <c r="O480" s="1518"/>
      <c r="P480" s="1518"/>
      <c r="Q480" s="1518" t="s">
        <v>482</v>
      </c>
      <c r="R480" s="1517" t="s">
        <v>12</v>
      </c>
      <c r="S480" s="1520">
        <f>292500000+F481</f>
        <v>489229600</v>
      </c>
      <c r="T480" s="1517" t="s">
        <v>135</v>
      </c>
      <c r="U480" s="1572"/>
      <c r="V480" s="1521"/>
      <c r="W480" s="1478" t="str">
        <f t="shared" si="157"/>
        <v>04.13.01</v>
      </c>
      <c r="X480" s="1478" t="str">
        <f t="shared" si="158"/>
        <v>Jalan</v>
      </c>
      <c r="Y480" s="1478">
        <f t="shared" si="159"/>
        <v>10</v>
      </c>
      <c r="Z480" s="1401">
        <f t="shared" ref="Z480:Z485" si="163">S480/Y480</f>
        <v>48922960</v>
      </c>
      <c r="AA480" s="1444">
        <f>IF(2013-N480&gt;Y480,10,IF(2013-N480&lt;0,0,2013-N480))</f>
        <v>10</v>
      </c>
      <c r="AB480" s="1401">
        <f>SUM(PERHITUNGAN!U1590:U1598)</f>
        <v>292500000</v>
      </c>
      <c r="AC480" s="1479">
        <f>SUMIF(PERHITUNGAN!A:A,'KIB D'!B480&amp;'KIB D'!$AC$7,PERHITUNGAN!U:U)</f>
        <v>0</v>
      </c>
      <c r="AD480" s="1479">
        <f>SUMIF(PERHITUNGAN!A:A,'KIB D'!B480&amp;'KIB D'!$AD$7,PERHITUNGAN!U:U)</f>
        <v>0</v>
      </c>
      <c r="AE480" s="1479">
        <f>SUMIF(PERHITUNGAN!A:A,'KIB D'!B480&amp;'KIB D'!$AE$7,PERHITUNGAN!U:U)</f>
        <v>0</v>
      </c>
      <c r="AF480" s="1479">
        <f>SUMIF(PERHITUNGAN!A:A,'KIB D'!B480&amp;'KIB D'!$AF$7,PERHITUNGAN!U:U)</f>
        <v>19672960</v>
      </c>
      <c r="AG480" s="1479">
        <f>SUMIF(PERHITUNGAN!A:A,'KIB D'!B480&amp;'KIB D'!$AG$7,PERHITUNGAN!U:U)</f>
        <v>19672960</v>
      </c>
      <c r="AH480" s="1479">
        <f>SUMIF(PERHITUNGAN!A:A,'KIB D'!B480&amp;'KIB D'!$AH$7,PERHITUNGAN!U:U)</f>
        <v>19672960</v>
      </c>
      <c r="AI480" s="1479">
        <f t="shared" si="162"/>
        <v>351518880</v>
      </c>
      <c r="AJ480" s="1401">
        <f t="shared" si="161"/>
        <v>137710720</v>
      </c>
    </row>
    <row r="481" spans="1:36" s="1472" customFormat="1" ht="35" customHeight="1" x14ac:dyDescent="0.2">
      <c r="A481" s="1472">
        <v>269</v>
      </c>
      <c r="B481" s="1472" t="str">
        <f t="shared" si="160"/>
        <v>JL. DESA GUNUNG KESIANGAN - JL. UJUNG TANJUNG</v>
      </c>
      <c r="C481" s="1478" t="e">
        <f>RIGHT(#REF!,1)</f>
        <v>#REF!</v>
      </c>
      <c r="D481" s="1576"/>
      <c r="E481" s="1413" t="s">
        <v>3068</v>
      </c>
      <c r="F481" s="1539">
        <v>196729600</v>
      </c>
      <c r="G481" s="1416" t="s">
        <v>2494</v>
      </c>
      <c r="H481" s="1414"/>
      <c r="I481" s="1416"/>
      <c r="J481" s="1500"/>
      <c r="K481" s="1416"/>
      <c r="L481" s="1500"/>
      <c r="M481" s="1429" t="s">
        <v>3285</v>
      </c>
      <c r="N481" s="1416">
        <v>2017</v>
      </c>
      <c r="O481" s="1414"/>
      <c r="P481" s="1414"/>
      <c r="Q481" s="1414"/>
      <c r="R481" s="1501" t="s">
        <v>12</v>
      </c>
      <c r="S481" s="1529"/>
      <c r="T481" s="1528"/>
      <c r="U481" s="1575"/>
      <c r="V481" s="1490"/>
      <c r="W481" s="1478" t="str">
        <f t="shared" si="157"/>
        <v>04.13.01</v>
      </c>
      <c r="X481" s="1478" t="str">
        <f t="shared" si="158"/>
        <v>Jalan</v>
      </c>
      <c r="Y481" s="1478">
        <f t="shared" si="159"/>
        <v>10</v>
      </c>
      <c r="Z481" s="1401">
        <f t="shared" si="163"/>
        <v>0</v>
      </c>
      <c r="AA481" s="1444">
        <f>IF(2013-N481+1&gt;Y481,Y481,IF(2013-N481+1&lt;0,0,2013-N481+1))</f>
        <v>0</v>
      </c>
      <c r="AB481" s="1401"/>
      <c r="AC481" s="1401"/>
      <c r="AD481" s="1401"/>
      <c r="AE481" s="1401"/>
      <c r="AF481" s="1401"/>
      <c r="AG481" s="1479"/>
      <c r="AH481" s="1479"/>
      <c r="AI481" s="1479"/>
      <c r="AJ481" s="1401">
        <f t="shared" si="161"/>
        <v>0</v>
      </c>
    </row>
    <row r="482" spans="1:36" s="1390" customFormat="1" ht="35" customHeight="1" x14ac:dyDescent="0.2">
      <c r="A482" s="1390">
        <v>272</v>
      </c>
      <c r="B482" s="1472" t="str">
        <f t="shared" si="160"/>
        <v>JL. DESA TALONTAM - PL. KOPUNG</v>
      </c>
      <c r="C482" s="1478" t="s">
        <v>421</v>
      </c>
      <c r="D482" s="1426"/>
      <c r="E482" s="1429" t="s">
        <v>3785</v>
      </c>
      <c r="F482" s="1539"/>
      <c r="G482" s="1517" t="s">
        <v>3820</v>
      </c>
      <c r="H482" s="1518"/>
      <c r="I482" s="1518" t="s">
        <v>484</v>
      </c>
      <c r="J482" s="1533" t="s">
        <v>501</v>
      </c>
      <c r="K482" s="1517">
        <v>7</v>
      </c>
      <c r="L482" s="1519">
        <v>24500</v>
      </c>
      <c r="M482" s="1518" t="s">
        <v>502</v>
      </c>
      <c r="N482" s="1517">
        <v>2001</v>
      </c>
      <c r="O482" s="1518"/>
      <c r="P482" s="1518"/>
      <c r="Q482" s="1518" t="s">
        <v>482</v>
      </c>
      <c r="R482" s="1517" t="s">
        <v>12</v>
      </c>
      <c r="S482" s="1520">
        <f>1456000000+F483+F484+F485</f>
        <v>7930559780.2917643</v>
      </c>
      <c r="T482" s="1517" t="s">
        <v>43</v>
      </c>
      <c r="U482" s="1572"/>
      <c r="V482" s="1521"/>
      <c r="W482" s="1478" t="str">
        <f t="shared" si="157"/>
        <v>04.13.01</v>
      </c>
      <c r="X482" s="1478" t="str">
        <f t="shared" si="158"/>
        <v>Jalan</v>
      </c>
      <c r="Y482" s="1478">
        <f t="shared" si="159"/>
        <v>10</v>
      </c>
      <c r="Z482" s="1401">
        <f t="shared" si="163"/>
        <v>793055978.02917647</v>
      </c>
      <c r="AA482" s="1444">
        <f>IF(2013-N482&gt;Y482,10,IF(2013-N482&lt;0,0,2013-N482))</f>
        <v>10</v>
      </c>
      <c r="AB482" s="1401">
        <f>SUM(PERHITUNGAN!U1613:U1619)</f>
        <v>1933769947.8154352</v>
      </c>
      <c r="AC482" s="1479">
        <f>SUMIF(PERHITUNGAN!A:A,'KIB D'!B482&amp;'KIB D'!$AC$7,PERHITUNGAN!U:U)</f>
        <v>318403489.38625878</v>
      </c>
      <c r="AD482" s="1479">
        <f>SUMIF(PERHITUNGAN!A:A,'KIB D'!B482&amp;'KIB D'!$AD$7,PERHITUNGAN!U:U)</f>
        <v>567838634.30900705</v>
      </c>
      <c r="AE482" s="1479">
        <f>SUMIF(PERHITUNGAN!A:A,'KIB D'!B482&amp;'KIB D'!$AE$7,PERHITUNGAN!U:U)</f>
        <v>567838634.30900705</v>
      </c>
      <c r="AF482" s="1479">
        <f>SUMIF(PERHITUNGAN!A:A,'KIB D'!B482&amp;'KIB D'!$AF$7,PERHITUNGAN!U:U)</f>
        <v>567838634.30900705</v>
      </c>
      <c r="AG482" s="1479">
        <f>SUMIF(PERHITUNGAN!A:A,'KIB D'!B482&amp;'KIB D'!$AG$7,PERHITUNGAN!U:U)</f>
        <v>567838634.30900705</v>
      </c>
      <c r="AH482" s="1479">
        <f>SUMIF(PERHITUNGAN!A:A,'KIB D'!B482&amp;'KIB D'!$AH$7,PERHITUNGAN!U:U)</f>
        <v>567838634.30900705</v>
      </c>
      <c r="AI482" s="1479">
        <f>SUM(AB482:AH482)</f>
        <v>5091366608.7467289</v>
      </c>
      <c r="AJ482" s="1401">
        <f t="shared" si="161"/>
        <v>2839193171.5450354</v>
      </c>
    </row>
    <row r="483" spans="1:36" s="1390" customFormat="1" ht="35" customHeight="1" x14ac:dyDescent="0.2">
      <c r="A483" s="1390">
        <v>272</v>
      </c>
      <c r="B483" s="1472" t="str">
        <f t="shared" si="160"/>
        <v>JL. DESA TALONTAM - PL. KOPUNG</v>
      </c>
      <c r="C483" s="1478" t="s">
        <v>421</v>
      </c>
      <c r="D483" s="1426"/>
      <c r="E483" s="1429" t="s">
        <v>1258</v>
      </c>
      <c r="F483" s="1539">
        <v>1593664584.2917645</v>
      </c>
      <c r="G483" s="1416" t="s">
        <v>2494</v>
      </c>
      <c r="H483" s="1508"/>
      <c r="I483" s="1416" t="s">
        <v>519</v>
      </c>
      <c r="J483" s="1500"/>
      <c r="K483" s="1416"/>
      <c r="L483" s="1500"/>
      <c r="M483" s="1429" t="s">
        <v>3156</v>
      </c>
      <c r="N483" s="1416">
        <v>2012</v>
      </c>
      <c r="O483" s="1414"/>
      <c r="P483" s="1414"/>
      <c r="Q483" s="1414"/>
      <c r="R483" s="1416" t="s">
        <v>12</v>
      </c>
      <c r="S483" s="1529"/>
      <c r="T483" s="1416" t="s">
        <v>43</v>
      </c>
      <c r="U483" s="1427"/>
      <c r="V483" s="1477"/>
      <c r="W483" s="1478" t="str">
        <f t="shared" si="157"/>
        <v>04.13.01</v>
      </c>
      <c r="X483" s="1478" t="str">
        <f t="shared" si="158"/>
        <v>Jalan</v>
      </c>
      <c r="Y483" s="1478">
        <f t="shared" si="159"/>
        <v>10</v>
      </c>
      <c r="Z483" s="1401">
        <f t="shared" si="163"/>
        <v>0</v>
      </c>
      <c r="AA483" s="1444">
        <f>IF(2013-N483+1&gt;Y483,Y483,IF(2013-N483+1&lt;0,0,2013-N483+1))</f>
        <v>2</v>
      </c>
      <c r="AB483" s="1401"/>
      <c r="AC483" s="1401"/>
      <c r="AD483" s="1401"/>
      <c r="AE483" s="1401"/>
      <c r="AF483" s="1401"/>
      <c r="AG483" s="1479"/>
      <c r="AH483" s="1479"/>
      <c r="AI483" s="1479"/>
      <c r="AJ483" s="1401">
        <f t="shared" si="161"/>
        <v>0</v>
      </c>
    </row>
    <row r="484" spans="1:36" s="1390" customFormat="1" ht="35" customHeight="1" x14ac:dyDescent="0.2">
      <c r="A484" s="1390">
        <v>272</v>
      </c>
      <c r="B484" s="1472" t="str">
        <f t="shared" si="160"/>
        <v>JL. DESA TALONTAM - PL. KOPUNG</v>
      </c>
      <c r="C484" s="1478" t="e">
        <f>RIGHT(#REF!,1)</f>
        <v>#REF!</v>
      </c>
      <c r="D484" s="1426"/>
      <c r="E484" s="1429" t="s">
        <v>1276</v>
      </c>
      <c r="F484" s="1539">
        <v>1749736768</v>
      </c>
      <c r="G484" s="1416" t="s">
        <v>2494</v>
      </c>
      <c r="H484" s="1508"/>
      <c r="I484" s="1416" t="s">
        <v>519</v>
      </c>
      <c r="J484" s="1500"/>
      <c r="K484" s="1416"/>
      <c r="L484" s="1500"/>
      <c r="M484" s="1429" t="s">
        <v>3169</v>
      </c>
      <c r="N484" s="1416">
        <v>2013</v>
      </c>
      <c r="O484" s="1414"/>
      <c r="P484" s="1414"/>
      <c r="Q484" s="1414"/>
      <c r="R484" s="1416" t="s">
        <v>12</v>
      </c>
      <c r="S484" s="1529"/>
      <c r="T484" s="1416"/>
      <c r="U484" s="1427"/>
      <c r="V484" s="1477"/>
      <c r="W484" s="1478" t="str">
        <f t="shared" si="157"/>
        <v>04.13.01</v>
      </c>
      <c r="X484" s="1478" t="str">
        <f t="shared" si="158"/>
        <v>Jalan</v>
      </c>
      <c r="Y484" s="1478">
        <f t="shared" si="159"/>
        <v>10</v>
      </c>
      <c r="Z484" s="1401">
        <f t="shared" si="163"/>
        <v>0</v>
      </c>
      <c r="AA484" s="1444">
        <f>IF(2013-N484+1&gt;Y484,Y484,IF(2013-N484+1&lt;0,0,2013-N484+1))</f>
        <v>1</v>
      </c>
      <c r="AB484" s="1401">
        <f>IF(AA484&gt;Y484,S484,Z484*AA484)</f>
        <v>0</v>
      </c>
      <c r="AC484" s="1401">
        <f>IF(S484=AB484,0,Z484)</f>
        <v>0</v>
      </c>
      <c r="AD484" s="1401">
        <f>IF(S484=AB484+AC484,0,Z484)</f>
        <v>0</v>
      </c>
      <c r="AE484" s="1401">
        <f>IF(S484=AB484+AC484+AD484,0,Z484)</f>
        <v>0</v>
      </c>
      <c r="AF484" s="1401">
        <f>IF(S484=AC484+AD484+AE484+AB484,0,Z484)</f>
        <v>0</v>
      </c>
      <c r="AG484" s="1479">
        <f>IF(S484=AC484+AD484+AE484+AB484+AF484,0,Z484)</f>
        <v>0</v>
      </c>
      <c r="AH484" s="1479"/>
      <c r="AI484" s="1479">
        <f>SUM(AB484:AG484)</f>
        <v>0</v>
      </c>
      <c r="AJ484" s="1401">
        <f t="shared" si="161"/>
        <v>0</v>
      </c>
    </row>
    <row r="485" spans="1:36" s="1390" customFormat="1" ht="35" customHeight="1" x14ac:dyDescent="0.2">
      <c r="A485" s="1390">
        <v>272</v>
      </c>
      <c r="B485" s="1472" t="str">
        <f t="shared" si="160"/>
        <v>JL. DESA TALONTAM - PL. KOPUNG</v>
      </c>
      <c r="C485" s="1478" t="e">
        <f>RIGHT(#REF!,1)</f>
        <v>#REF!</v>
      </c>
      <c r="D485" s="1426"/>
      <c r="E485" s="1429" t="s">
        <v>1360</v>
      </c>
      <c r="F485" s="1529">
        <v>3131158428</v>
      </c>
      <c r="G485" s="1501" t="s">
        <v>2494</v>
      </c>
      <c r="H485" s="1501"/>
      <c r="I485" s="1414"/>
      <c r="J485" s="1526"/>
      <c r="K485" s="1416"/>
      <c r="L485" s="1430"/>
      <c r="M485" s="1429" t="s">
        <v>3169</v>
      </c>
      <c r="N485" s="1501">
        <v>2015</v>
      </c>
      <c r="O485" s="1414"/>
      <c r="P485" s="1414"/>
      <c r="Q485" s="1414"/>
      <c r="R485" s="1501" t="s">
        <v>12</v>
      </c>
      <c r="S485" s="1527"/>
      <c r="T485" s="1528"/>
      <c r="U485" s="1575"/>
      <c r="V485" s="1490"/>
      <c r="W485" s="1478" t="str">
        <f t="shared" si="157"/>
        <v>04.13.01</v>
      </c>
      <c r="X485" s="1478" t="str">
        <f t="shared" si="158"/>
        <v>Jalan</v>
      </c>
      <c r="Y485" s="1478">
        <f t="shared" si="159"/>
        <v>10</v>
      </c>
      <c r="Z485" s="1401">
        <f t="shared" si="163"/>
        <v>0</v>
      </c>
      <c r="AA485" s="1444">
        <f>IF(2013-N485+1&gt;Y485,Y485,IF(2013-N485+1&lt;0,0,2013-N485+1))</f>
        <v>0</v>
      </c>
      <c r="AB485" s="1401"/>
      <c r="AC485" s="1401"/>
      <c r="AD485" s="1401"/>
      <c r="AE485" s="1401"/>
      <c r="AF485" s="1401"/>
      <c r="AG485" s="1479"/>
      <c r="AH485" s="1479"/>
      <c r="AI485" s="1479"/>
      <c r="AJ485" s="1401">
        <f t="shared" si="161"/>
        <v>0</v>
      </c>
    </row>
    <row r="486" spans="1:36" s="1390" customFormat="1" ht="35" customHeight="1" x14ac:dyDescent="0.2">
      <c r="A486" s="1390">
        <v>273</v>
      </c>
      <c r="B486" s="1472" t="str">
        <f t="shared" si="160"/>
        <v>SIMANDOLAK - PENYEBERANGAN TANJUNG</v>
      </c>
      <c r="C486" s="1478" t="e">
        <f>RIGHT(#REF!,1)</f>
        <v>#REF!</v>
      </c>
      <c r="D486" s="1426"/>
      <c r="E486" s="1429" t="s">
        <v>5870</v>
      </c>
      <c r="F486" s="1539"/>
      <c r="G486" s="1517" t="s">
        <v>3820</v>
      </c>
      <c r="H486" s="1518"/>
      <c r="I486" s="1518" t="s">
        <v>503</v>
      </c>
      <c r="J486" s="1533" t="s">
        <v>48</v>
      </c>
      <c r="K486" s="1517"/>
      <c r="L486" s="1519">
        <v>0</v>
      </c>
      <c r="M486" s="1518" t="s">
        <v>504</v>
      </c>
      <c r="N486" s="1517">
        <v>2001</v>
      </c>
      <c r="O486" s="1518"/>
      <c r="P486" s="1518"/>
      <c r="Q486" s="1518" t="s">
        <v>482</v>
      </c>
      <c r="R486" s="1517" t="s">
        <v>12</v>
      </c>
      <c r="S486" s="1520">
        <f>1050000000+F487</f>
        <v>1247566438</v>
      </c>
      <c r="T486" s="1517" t="s">
        <v>135</v>
      </c>
      <c r="U486" s="1572"/>
      <c r="V486" s="1521"/>
      <c r="W486" s="1478" t="str">
        <f t="shared" si="157"/>
        <v>04.13.01</v>
      </c>
      <c r="X486" s="1478" t="str">
        <f t="shared" si="158"/>
        <v>Jalan</v>
      </c>
      <c r="Y486" s="1478">
        <f t="shared" si="159"/>
        <v>10</v>
      </c>
      <c r="Z486" s="1401"/>
      <c r="AA486" s="1444">
        <f>IF(2013-N486&gt;Y486,10,IF(2013-N486&lt;0,0,2013-N486))</f>
        <v>10</v>
      </c>
      <c r="AB486" s="1401">
        <f>SUM(PERHITUNGAN!U1635:U1641)</f>
        <v>1050000000</v>
      </c>
      <c r="AC486" s="1479">
        <f>SUMIF(PERHITUNGAN!A:A,'KIB D'!B486&amp;'KIB D'!$AC$7,PERHITUNGAN!U:U)</f>
        <v>19756643.800000001</v>
      </c>
      <c r="AD486" s="1479">
        <f>SUMIF(PERHITUNGAN!A:A,'KIB D'!B486&amp;'KIB D'!$AD$7,PERHITUNGAN!U:U)</f>
        <v>19756643.800000001</v>
      </c>
      <c r="AE486" s="1479">
        <f>SUMIF(PERHITUNGAN!A:A,'KIB D'!B486&amp;'KIB D'!$AE$7,PERHITUNGAN!U:U)</f>
        <v>19756643.800000001</v>
      </c>
      <c r="AF486" s="1479">
        <f>SUMIF(PERHITUNGAN!A:A,'KIB D'!B486&amp;'KIB D'!$AF$7,PERHITUNGAN!U:U)</f>
        <v>19756643.800000001</v>
      </c>
      <c r="AG486" s="1479">
        <f>SUMIF(PERHITUNGAN!A:A,'KIB D'!B486&amp;'KIB D'!$AG$7,PERHITUNGAN!U:U)</f>
        <v>19756643.800000001</v>
      </c>
      <c r="AH486" s="1479">
        <f>SUMIF(PERHITUNGAN!A:A,'KIB D'!B486&amp;'KIB D'!$AH$7,PERHITUNGAN!U:U)</f>
        <v>19756643.800000001</v>
      </c>
      <c r="AI486" s="1479">
        <f>SUM(AB486:AH486)</f>
        <v>1168539862.7999997</v>
      </c>
      <c r="AJ486" s="1401">
        <f t="shared" si="161"/>
        <v>79026575.200000286</v>
      </c>
    </row>
    <row r="487" spans="1:36" s="1390" customFormat="1" ht="35" customHeight="1" x14ac:dyDescent="0.2">
      <c r="A487" s="1390">
        <v>273</v>
      </c>
      <c r="B487" s="1472" t="str">
        <f t="shared" si="160"/>
        <v>SIMANDOLAK - PENYEBERANGAN TANJUNG</v>
      </c>
      <c r="C487" s="1478" t="e">
        <f>RIGHT(#REF!,1)</f>
        <v>#REF!</v>
      </c>
      <c r="D487" s="1426"/>
      <c r="E487" s="1429" t="s">
        <v>1333</v>
      </c>
      <c r="F487" s="1539">
        <v>197566438</v>
      </c>
      <c r="G487" s="1517" t="s">
        <v>2494</v>
      </c>
      <c r="H487" s="1518"/>
      <c r="I487" s="1518"/>
      <c r="J487" s="1519">
        <v>0</v>
      </c>
      <c r="K487" s="1517"/>
      <c r="L487" s="1519">
        <v>0</v>
      </c>
      <c r="M487" s="1518" t="s">
        <v>2575</v>
      </c>
      <c r="N487" s="1517">
        <v>2014</v>
      </c>
      <c r="O487" s="1518"/>
      <c r="P487" s="1518"/>
      <c r="Q487" s="1518"/>
      <c r="R487" s="1517" t="s">
        <v>12</v>
      </c>
      <c r="S487" s="1520"/>
      <c r="T487" s="1518"/>
      <c r="U487" s="1572"/>
      <c r="V487" s="1521"/>
      <c r="W487" s="1478" t="str">
        <f t="shared" si="157"/>
        <v>04.13.01</v>
      </c>
      <c r="X487" s="1478" t="str">
        <f t="shared" si="158"/>
        <v>Jalan</v>
      </c>
      <c r="Y487" s="1478">
        <f t="shared" si="159"/>
        <v>10</v>
      </c>
      <c r="Z487" s="1401"/>
      <c r="AA487" s="1444"/>
      <c r="AB487" s="1401"/>
      <c r="AC487" s="1401"/>
      <c r="AD487" s="1401"/>
      <c r="AE487" s="1401"/>
      <c r="AF487" s="1401"/>
      <c r="AG487" s="1479"/>
      <c r="AH487" s="1479"/>
      <c r="AI487" s="1479"/>
      <c r="AJ487" s="1401">
        <f t="shared" si="161"/>
        <v>0</v>
      </c>
    </row>
    <row r="488" spans="1:36" s="1390" customFormat="1" ht="35" customHeight="1" x14ac:dyDescent="0.2">
      <c r="A488" s="1390">
        <v>274</v>
      </c>
      <c r="B488" s="1472" t="str">
        <f t="shared" si="160"/>
        <v>BENAI - RAPP</v>
      </c>
      <c r="C488" s="1478" t="e">
        <f>RIGHT(#REF!,1)</f>
        <v>#REF!</v>
      </c>
      <c r="D488" s="1426"/>
      <c r="E488" s="1429" t="s">
        <v>483</v>
      </c>
      <c r="F488" s="1539"/>
      <c r="G488" s="1517" t="s">
        <v>2494</v>
      </c>
      <c r="H488" s="1518"/>
      <c r="I488" s="1518" t="s">
        <v>484</v>
      </c>
      <c r="J488" s="1533" t="s">
        <v>513</v>
      </c>
      <c r="K488" s="1517"/>
      <c r="L488" s="1519">
        <v>0</v>
      </c>
      <c r="M488" s="1518" t="s">
        <v>514</v>
      </c>
      <c r="N488" s="1517">
        <v>2001</v>
      </c>
      <c r="O488" s="1518"/>
      <c r="P488" s="1518"/>
      <c r="Q488" s="1518" t="s">
        <v>384</v>
      </c>
      <c r="R488" s="1517" t="s">
        <v>12</v>
      </c>
      <c r="S488" s="1520">
        <v>15680000000</v>
      </c>
      <c r="T488" s="1517" t="s">
        <v>43</v>
      </c>
      <c r="U488" s="1572"/>
      <c r="V488" s="1521"/>
      <c r="W488" s="1478" t="str">
        <f t="shared" si="157"/>
        <v>04.13.01</v>
      </c>
      <c r="X488" s="1478" t="str">
        <f t="shared" si="158"/>
        <v>Jalan</v>
      </c>
      <c r="Y488" s="1478">
        <f t="shared" si="159"/>
        <v>10</v>
      </c>
      <c r="Z488" s="1401">
        <f>S488/Y488</f>
        <v>1568000000</v>
      </c>
      <c r="AA488" s="1444">
        <f>IF(2013-N488+1&gt;Y488,Y488,IF(2013-N488+1&lt;0,0,2013-N488+1))</f>
        <v>10</v>
      </c>
      <c r="AB488" s="1401">
        <f>IF(AA488&gt;Y488,S488,Z488*AA488)</f>
        <v>15680000000</v>
      </c>
      <c r="AC488" s="1401">
        <f>IF(S488=AB488,0,Z488)</f>
        <v>0</v>
      </c>
      <c r="AD488" s="1401">
        <f>IF(S488=AB488+AC488,0,Z488)</f>
        <v>0</v>
      </c>
      <c r="AE488" s="1401">
        <f>IF(S488=AB488+AC488+AD488,0,Z488)</f>
        <v>0</v>
      </c>
      <c r="AF488" s="1401">
        <f>IF(S488=AC488+AD488+AE488+AB488,0,Z488)</f>
        <v>0</v>
      </c>
      <c r="AG488" s="1479">
        <f>IF(S488=AC488+AD488+AE488+AB488+AF488,0,Z488)</f>
        <v>0</v>
      </c>
      <c r="AH488" s="1479">
        <f>IF(S488=AC488+AD488+AE488+AB488+AF488+AG488,0,Z488)</f>
        <v>0</v>
      </c>
      <c r="AI488" s="1479">
        <f>SUM(AB488:AH488)</f>
        <v>15680000000</v>
      </c>
      <c r="AJ488" s="1401">
        <f t="shared" si="161"/>
        <v>0</v>
      </c>
    </row>
    <row r="489" spans="1:36" s="1390" customFormat="1" ht="35" customHeight="1" x14ac:dyDescent="0.2">
      <c r="A489" s="1390">
        <v>275</v>
      </c>
      <c r="B489" s="1472" t="str">
        <f t="shared" si="160"/>
        <v>BERINGIN JAYA - BINJAI</v>
      </c>
      <c r="C489" s="1478" t="e">
        <f>RIGHT(#REF!,1)</f>
        <v>#REF!</v>
      </c>
      <c r="D489" s="1426"/>
      <c r="E489" s="1429" t="s">
        <v>696</v>
      </c>
      <c r="F489" s="1539"/>
      <c r="G489" s="1517" t="s">
        <v>2494</v>
      </c>
      <c r="H489" s="1518"/>
      <c r="I489" s="1518" t="s">
        <v>484</v>
      </c>
      <c r="J489" s="1533" t="s">
        <v>480</v>
      </c>
      <c r="K489" s="1517">
        <v>7</v>
      </c>
      <c r="L489" s="1519">
        <v>28000</v>
      </c>
      <c r="M489" s="1518" t="s">
        <v>710</v>
      </c>
      <c r="N489" s="1517">
        <v>2001</v>
      </c>
      <c r="O489" s="1518"/>
      <c r="P489" s="1518"/>
      <c r="Q489" s="1518" t="s">
        <v>482</v>
      </c>
      <c r="R489" s="1517" t="s">
        <v>12</v>
      </c>
      <c r="S489" s="1520">
        <v>832000000</v>
      </c>
      <c r="T489" s="1517" t="s">
        <v>43</v>
      </c>
      <c r="U489" s="1572"/>
      <c r="V489" s="1521"/>
      <c r="W489" s="1478" t="str">
        <f t="shared" si="157"/>
        <v>04.13.01</v>
      </c>
      <c r="X489" s="1478" t="str">
        <f t="shared" si="158"/>
        <v>Jalan</v>
      </c>
      <c r="Y489" s="1478">
        <f t="shared" si="159"/>
        <v>10</v>
      </c>
      <c r="Z489" s="1401">
        <f>S489/Y489</f>
        <v>83200000</v>
      </c>
      <c r="AA489" s="1444">
        <f>IF(2013-N489+1&gt;Y489,Y489,IF(2013-N489+1&lt;0,0,2013-N489+1))</f>
        <v>10</v>
      </c>
      <c r="AB489" s="1401">
        <f>IF(AA489&gt;Y489,S489,Z489*AA489)</f>
        <v>832000000</v>
      </c>
      <c r="AC489" s="1401">
        <f>IF(S489=AB489,0,Z489)</f>
        <v>0</v>
      </c>
      <c r="AD489" s="1401">
        <f>IF(S489=AB489+AC489,0,Z489)</f>
        <v>0</v>
      </c>
      <c r="AE489" s="1401">
        <f>IF(S489=AB489+AC489+AD489,0,Z489)</f>
        <v>0</v>
      </c>
      <c r="AF489" s="1401">
        <f>IF(S489=AC489+AD489+AE489+AB489,0,Z489)</f>
        <v>0</v>
      </c>
      <c r="AG489" s="1479">
        <f>IF(S489=AC489+AD489+AE489+AB489+AF489,0,Z489)</f>
        <v>0</v>
      </c>
      <c r="AH489" s="1479">
        <f>IF(S489=AC489+AD489+AE489+AB489+AF489+AG489,0,Z489)</f>
        <v>0</v>
      </c>
      <c r="AI489" s="1479">
        <f>SUM(AB489:AH489)</f>
        <v>832000000</v>
      </c>
      <c r="AJ489" s="1401">
        <f t="shared" si="161"/>
        <v>0</v>
      </c>
    </row>
    <row r="490" spans="1:36" s="1390" customFormat="1" ht="35" customHeight="1" x14ac:dyDescent="0.2">
      <c r="A490" s="1390">
        <v>276</v>
      </c>
      <c r="B490" s="1472" t="str">
        <f t="shared" si="160"/>
        <v>BENAI - TEBING TINGGI</v>
      </c>
      <c r="C490" s="1478" t="e">
        <f>RIGHT(#REF!,1)</f>
        <v>#REF!</v>
      </c>
      <c r="D490" s="1426"/>
      <c r="E490" s="1429" t="s">
        <v>483</v>
      </c>
      <c r="F490" s="1539"/>
      <c r="G490" s="1517" t="s">
        <v>2494</v>
      </c>
      <c r="H490" s="1518"/>
      <c r="I490" s="1518" t="s">
        <v>479</v>
      </c>
      <c r="J490" s="1533" t="s">
        <v>506</v>
      </c>
      <c r="K490" s="1517"/>
      <c r="L490" s="1519">
        <v>0</v>
      </c>
      <c r="M490" s="1518" t="s">
        <v>507</v>
      </c>
      <c r="N490" s="1517">
        <v>2001</v>
      </c>
      <c r="O490" s="1518"/>
      <c r="P490" s="1518"/>
      <c r="Q490" s="1518" t="s">
        <v>384</v>
      </c>
      <c r="R490" s="1517" t="s">
        <v>12</v>
      </c>
      <c r="S490" s="1520">
        <v>2940000000</v>
      </c>
      <c r="T490" s="1517" t="s">
        <v>43</v>
      </c>
      <c r="U490" s="1572"/>
      <c r="V490" s="1521"/>
      <c r="W490" s="1478" t="str">
        <f t="shared" si="157"/>
        <v>04.13.01</v>
      </c>
      <c r="X490" s="1478" t="str">
        <f t="shared" si="158"/>
        <v>Jalan</v>
      </c>
      <c r="Y490" s="1478">
        <f t="shared" si="159"/>
        <v>10</v>
      </c>
      <c r="Z490" s="1401">
        <f>S490/Y490</f>
        <v>294000000</v>
      </c>
      <c r="AA490" s="1444">
        <f>IF(2013-N490+1&gt;Y490,Y490,IF(2013-N490+1&lt;0,0,2013-N490+1))</f>
        <v>10</v>
      </c>
      <c r="AB490" s="1401">
        <f>IF(AA490&gt;Y490,S490,Z490*AA490)</f>
        <v>2940000000</v>
      </c>
      <c r="AC490" s="1401">
        <f>IF(S490=AB490,0,Z490)</f>
        <v>0</v>
      </c>
      <c r="AD490" s="1401">
        <f>IF(S490=AB490+AC490,0,Z490)</f>
        <v>0</v>
      </c>
      <c r="AE490" s="1401">
        <f>IF(S490=AB490+AC490+AD490,0,Z490)</f>
        <v>0</v>
      </c>
      <c r="AF490" s="1401">
        <f>IF(S490=AC490+AD490+AE490+AB490,0,Z490)</f>
        <v>0</v>
      </c>
      <c r="AG490" s="1479">
        <f>IF(S490=AC490+AD490+AE490+AB490+AF490,0,Z490)</f>
        <v>0</v>
      </c>
      <c r="AH490" s="1479">
        <f>IF(S490=AC490+AD490+AE490+AB490+AF490+AG490,0,Z490)</f>
        <v>0</v>
      </c>
      <c r="AI490" s="1479">
        <f>SUM(AB490:AH490)</f>
        <v>2940000000</v>
      </c>
      <c r="AJ490" s="1401">
        <f t="shared" si="161"/>
        <v>0</v>
      </c>
    </row>
    <row r="491" spans="1:36" s="1390" customFormat="1" ht="35" customHeight="1" x14ac:dyDescent="0.2">
      <c r="A491" s="1390">
        <v>277</v>
      </c>
      <c r="B491" s="1472" t="str">
        <f t="shared" si="160"/>
        <v>GUNUNG KESIANGAN - PL. KALIMANTING</v>
      </c>
      <c r="C491" s="1478" t="e">
        <f>RIGHT(#REF!,1)</f>
        <v>#REF!</v>
      </c>
      <c r="D491" s="1426"/>
      <c r="E491" s="1429" t="s">
        <v>5871</v>
      </c>
      <c r="F491" s="1539"/>
      <c r="G491" s="1517" t="s">
        <v>3820</v>
      </c>
      <c r="H491" s="1518"/>
      <c r="I491" s="1518" t="s">
        <v>479</v>
      </c>
      <c r="J491" s="1533" t="s">
        <v>48</v>
      </c>
      <c r="K491" s="1517"/>
      <c r="L491" s="1519"/>
      <c r="M491" s="1518" t="s">
        <v>505</v>
      </c>
      <c r="N491" s="1517">
        <v>2001</v>
      </c>
      <c r="O491" s="1518"/>
      <c r="P491" s="1518"/>
      <c r="Q491" s="1518" t="s">
        <v>482</v>
      </c>
      <c r="R491" s="1517" t="s">
        <v>12</v>
      </c>
      <c r="S491" s="1520">
        <f>1575000000+F492+F493+F494+F495</f>
        <v>8177098603</v>
      </c>
      <c r="T491" s="1517" t="s">
        <v>43</v>
      </c>
      <c r="U491" s="1572"/>
      <c r="V491" s="1521"/>
      <c r="W491" s="1478" t="str">
        <f t="shared" si="157"/>
        <v>04.13.01</v>
      </c>
      <c r="X491" s="1478" t="str">
        <f t="shared" si="158"/>
        <v>Jalan</v>
      </c>
      <c r="Y491" s="1478">
        <f t="shared" si="159"/>
        <v>10</v>
      </c>
      <c r="Z491" s="1401"/>
      <c r="AA491" s="1444">
        <f>IF(2013-N491&gt;Y491,10,IF(2013-N491&lt;0,0,2013-N491))</f>
        <v>10</v>
      </c>
      <c r="AB491" s="1401">
        <f>SUM(PERHITUNGAN!U1657:U1663)</f>
        <v>1575000000</v>
      </c>
      <c r="AC491" s="1479">
        <f>SUMIF(PERHITUNGAN!A:A,'KIB D'!B491&amp;'KIB D'!$AC$7,PERHITUNGAN!U:U)</f>
        <v>0</v>
      </c>
      <c r="AD491" s="1479">
        <f>SUMIF(PERHITUNGAN!A:A,'KIB D'!B491&amp;'KIB D'!$AD$7,PERHITUNGAN!U:U)</f>
        <v>0</v>
      </c>
      <c r="AE491" s="1479">
        <f>SUMIF(PERHITUNGAN!A:A,'KIB D'!B491&amp;'KIB D'!$AE$7,PERHITUNGAN!U:U)</f>
        <v>0</v>
      </c>
      <c r="AF491" s="1479">
        <f>SUMIF(PERHITUNGAN!A:A,'KIB D'!B491&amp;'KIB D'!$AF$7,PERHITUNGAN!U:U)</f>
        <v>206985852.09999999</v>
      </c>
      <c r="AG491" s="1479">
        <f>SUMIF(PERHITUNGAN!A:A,'KIB D'!B491&amp;'KIB D'!$AG$7,PERHITUNGAN!U:U)</f>
        <v>414528562.09000003</v>
      </c>
      <c r="AH491" s="1479">
        <f>SUMIF(PERHITUNGAN!A:A,'KIB D'!B491&amp;'KIB D'!$AH$7,PERHITUNGAN!U:U)</f>
        <v>598058418.88099992</v>
      </c>
      <c r="AI491" s="1479">
        <f>SUM(AB491:AH491)</f>
        <v>2794572833.0710001</v>
      </c>
      <c r="AJ491" s="1401">
        <f t="shared" si="161"/>
        <v>5382525769.9289999</v>
      </c>
    </row>
    <row r="492" spans="1:36" s="1390" customFormat="1" ht="35" customHeight="1" x14ac:dyDescent="0.2">
      <c r="A492" s="1390">
        <v>277</v>
      </c>
      <c r="B492" s="1472" t="str">
        <f t="shared" si="160"/>
        <v>GUNUNG KESIANGAN - PL. KALIMANTING</v>
      </c>
      <c r="C492" s="1478" t="e">
        <f>RIGHT(#REF!,1)</f>
        <v>#REF!</v>
      </c>
      <c r="D492" s="1426"/>
      <c r="E492" s="1429" t="s">
        <v>3072</v>
      </c>
      <c r="F492" s="1539">
        <v>192368982</v>
      </c>
      <c r="G492" s="1517" t="s">
        <v>2494</v>
      </c>
      <c r="H492" s="1518"/>
      <c r="I492" s="1518"/>
      <c r="J492" s="1519">
        <v>0</v>
      </c>
      <c r="K492" s="1517"/>
      <c r="L492" s="1519">
        <v>0</v>
      </c>
      <c r="M492" s="1518" t="s">
        <v>3287</v>
      </c>
      <c r="N492" s="1517">
        <v>2017</v>
      </c>
      <c r="O492" s="1518"/>
      <c r="P492" s="1518"/>
      <c r="Q492" s="1518"/>
      <c r="R492" s="1517" t="s">
        <v>12</v>
      </c>
      <c r="S492" s="1520"/>
      <c r="T492" s="1518"/>
      <c r="U492" s="1572"/>
      <c r="V492" s="1521"/>
      <c r="W492" s="1478" t="str">
        <f t="shared" si="157"/>
        <v>04.13.01</v>
      </c>
      <c r="X492" s="1478" t="str">
        <f t="shared" si="158"/>
        <v>Jalan</v>
      </c>
      <c r="Y492" s="1478">
        <f t="shared" si="159"/>
        <v>10</v>
      </c>
      <c r="Z492" s="1401"/>
      <c r="AA492" s="1444"/>
      <c r="AB492" s="1401"/>
      <c r="AC492" s="1401"/>
      <c r="AD492" s="1401"/>
      <c r="AE492" s="1401"/>
      <c r="AF492" s="1401"/>
      <c r="AG492" s="1479"/>
      <c r="AH492" s="1479"/>
      <c r="AI492" s="1479"/>
      <c r="AJ492" s="1401">
        <f t="shared" si="161"/>
        <v>0</v>
      </c>
    </row>
    <row r="493" spans="1:36" s="1390" customFormat="1" ht="35" customHeight="1" x14ac:dyDescent="0.2">
      <c r="A493" s="1390">
        <v>277</v>
      </c>
      <c r="B493" s="1472" t="str">
        <f t="shared" si="160"/>
        <v>GUNUNG KESIANGAN - PL. KALIMANTING</v>
      </c>
      <c r="C493" s="1478" t="e">
        <f>RIGHT(#REF!,1)</f>
        <v>#REF!</v>
      </c>
      <c r="D493" s="1426"/>
      <c r="E493" s="1539" t="s">
        <v>3043</v>
      </c>
      <c r="F493" s="1529">
        <v>1877489539</v>
      </c>
      <c r="G493" s="1501" t="s">
        <v>2494</v>
      </c>
      <c r="H493" s="1501"/>
      <c r="I493" s="1414"/>
      <c r="J493" s="1526"/>
      <c r="K493" s="1416"/>
      <c r="L493" s="1430"/>
      <c r="M493" s="1429" t="s">
        <v>3266</v>
      </c>
      <c r="N493" s="1501">
        <v>2017</v>
      </c>
      <c r="O493" s="1414"/>
      <c r="P493" s="1414"/>
      <c r="Q493" s="1414"/>
      <c r="R493" s="1501" t="s">
        <v>12</v>
      </c>
      <c r="S493" s="1527"/>
      <c r="T493" s="1528"/>
      <c r="U493" s="1575"/>
      <c r="V493" s="1490"/>
      <c r="W493" s="1478" t="str">
        <f t="shared" si="157"/>
        <v>04.13.01</v>
      </c>
      <c r="X493" s="1478" t="str">
        <f t="shared" si="158"/>
        <v>Jalan</v>
      </c>
      <c r="Y493" s="1478">
        <f t="shared" si="159"/>
        <v>10</v>
      </c>
      <c r="Z493" s="1401"/>
      <c r="AA493" s="1444"/>
      <c r="AB493" s="1401"/>
      <c r="AC493" s="1401"/>
      <c r="AD493" s="1401"/>
      <c r="AE493" s="1401"/>
      <c r="AF493" s="1401"/>
      <c r="AG493" s="1479"/>
      <c r="AH493" s="1479"/>
      <c r="AI493" s="1479"/>
      <c r="AJ493" s="1401"/>
    </row>
    <row r="494" spans="1:36" s="1472" customFormat="1" ht="35" customHeight="1" x14ac:dyDescent="0.2">
      <c r="A494" s="1472">
        <v>277</v>
      </c>
      <c r="B494" s="1472" t="str">
        <f t="shared" si="160"/>
        <v>GUNUNG KESIANGAN - PL. KALIMANTING</v>
      </c>
      <c r="C494" s="1478" t="e">
        <f>RIGHT(#REF!,1)</f>
        <v>#REF!</v>
      </c>
      <c r="D494" s="1576"/>
      <c r="E494" s="1413" t="s">
        <v>3313</v>
      </c>
      <c r="F494" s="1539">
        <v>2282412952</v>
      </c>
      <c r="G494" s="1416" t="s">
        <v>2494</v>
      </c>
      <c r="H494" s="1414"/>
      <c r="I494" s="1416"/>
      <c r="J494" s="1500"/>
      <c r="K494" s="1416"/>
      <c r="L494" s="1500"/>
      <c r="M494" s="1429" t="s">
        <v>3291</v>
      </c>
      <c r="N494" s="1416">
        <v>2018</v>
      </c>
      <c r="O494" s="1414"/>
      <c r="P494" s="1414"/>
      <c r="Q494" s="1414"/>
      <c r="R494" s="1501" t="s">
        <v>12</v>
      </c>
      <c r="S494" s="1529"/>
      <c r="T494" s="1528"/>
      <c r="U494" s="1575"/>
      <c r="V494" s="1490"/>
      <c r="W494" s="1478" t="str">
        <f t="shared" si="157"/>
        <v>04.13.01</v>
      </c>
      <c r="X494" s="1478" t="str">
        <f t="shared" si="158"/>
        <v>Jalan</v>
      </c>
      <c r="Y494" s="1478">
        <f t="shared" si="159"/>
        <v>10</v>
      </c>
      <c r="Z494" s="1401"/>
      <c r="AA494" s="1444"/>
      <c r="AB494" s="1401"/>
      <c r="AC494" s="1401"/>
      <c r="AD494" s="1401"/>
      <c r="AE494" s="1401"/>
      <c r="AF494" s="1401"/>
      <c r="AG494" s="1479"/>
      <c r="AH494" s="1479"/>
      <c r="AI494" s="1479"/>
      <c r="AJ494" s="1401">
        <f>S494-AI494</f>
        <v>0</v>
      </c>
    </row>
    <row r="495" spans="1:36" s="1472" customFormat="1" ht="51" customHeight="1" x14ac:dyDescent="0.2">
      <c r="A495" s="1472">
        <v>277</v>
      </c>
      <c r="B495" s="1472" t="str">
        <f t="shared" si="160"/>
        <v>GUNUNG KESIANGAN - PL. KALIMANTING</v>
      </c>
      <c r="C495" s="1478"/>
      <c r="D495" s="1576"/>
      <c r="E495" s="1413" t="s">
        <v>5494</v>
      </c>
      <c r="F495" s="1539">
        <v>2249827130</v>
      </c>
      <c r="G495" s="1416" t="s">
        <v>2494</v>
      </c>
      <c r="H495" s="1414"/>
      <c r="I495" s="1416" t="s">
        <v>5532</v>
      </c>
      <c r="J495" s="1500">
        <v>1000</v>
      </c>
      <c r="K495" s="1416">
        <v>4</v>
      </c>
      <c r="L495" s="1500">
        <v>4000</v>
      </c>
      <c r="M495" s="1429" t="s">
        <v>5495</v>
      </c>
      <c r="N495" s="1417">
        <v>2019</v>
      </c>
      <c r="O495" s="1429" t="s">
        <v>5683</v>
      </c>
      <c r="P495" s="1414" t="s">
        <v>433</v>
      </c>
      <c r="Q495" s="1414"/>
      <c r="R495" s="1501" t="s">
        <v>12</v>
      </c>
      <c r="S495" s="1529"/>
      <c r="T495" s="1528"/>
      <c r="U495" s="1575"/>
      <c r="V495" s="1545"/>
      <c r="W495" s="1478"/>
      <c r="X495" s="1478"/>
      <c r="Y495" s="1478"/>
      <c r="Z495" s="1401"/>
      <c r="AA495" s="1444"/>
      <c r="AB495" s="1401"/>
      <c r="AC495" s="1401"/>
      <c r="AD495" s="1401"/>
      <c r="AE495" s="1401"/>
      <c r="AF495" s="1401"/>
      <c r="AG495" s="1479"/>
      <c r="AH495" s="1479"/>
      <c r="AI495" s="1479"/>
      <c r="AJ495" s="1401"/>
    </row>
    <row r="496" spans="1:36" s="1390" customFormat="1" ht="35" customHeight="1" x14ac:dyDescent="0.2">
      <c r="A496" s="1390">
        <v>278</v>
      </c>
      <c r="B496" s="1472" t="str">
        <f t="shared" si="160"/>
        <v>JALUR PATAH - LANGSAT HULU</v>
      </c>
      <c r="C496" s="1478" t="e">
        <f>RIGHT(#REF!,1)</f>
        <v>#REF!</v>
      </c>
      <c r="D496" s="1426"/>
      <c r="E496" s="1429" t="s">
        <v>483</v>
      </c>
      <c r="F496" s="1539"/>
      <c r="G496" s="1517" t="s">
        <v>2494</v>
      </c>
      <c r="H496" s="1518"/>
      <c r="I496" s="1518" t="s">
        <v>484</v>
      </c>
      <c r="J496" s="1533" t="s">
        <v>497</v>
      </c>
      <c r="K496" s="1517">
        <v>7</v>
      </c>
      <c r="L496" s="1519">
        <v>56000</v>
      </c>
      <c r="M496" s="1518" t="s">
        <v>498</v>
      </c>
      <c r="N496" s="1517">
        <v>2001</v>
      </c>
      <c r="O496" s="1518"/>
      <c r="P496" s="1518"/>
      <c r="Q496" s="1518" t="s">
        <v>482</v>
      </c>
      <c r="R496" s="1517" t="s">
        <v>12</v>
      </c>
      <c r="S496" s="1520">
        <v>3584000000</v>
      </c>
      <c r="T496" s="1517" t="s">
        <v>43</v>
      </c>
      <c r="U496" s="1572"/>
      <c r="V496" s="1521"/>
      <c r="W496" s="1478" t="str">
        <f>LEFT(G496,8)</f>
        <v>04.13.01</v>
      </c>
      <c r="X496" s="1478" t="str">
        <f>VLOOKUP(W496,UE,3,FALSE)</f>
        <v>Jalan</v>
      </c>
      <c r="Y496" s="1478">
        <f>VLOOKUP(W496,UE,4,FALSE)</f>
        <v>10</v>
      </c>
      <c r="Z496" s="1401">
        <f>S496/Y496</f>
        <v>358400000</v>
      </c>
      <c r="AA496" s="1444">
        <f>IF(2013-N496+1&gt;Y496,Y496,IF(2013-N496+1&lt;0,0,2013-N496+1))</f>
        <v>10</v>
      </c>
      <c r="AB496" s="1401">
        <f>IF(AA496&gt;Y496,S496,Z496*AA496)</f>
        <v>3584000000</v>
      </c>
      <c r="AC496" s="1401">
        <f>IF(S496=AB496,0,Z496)</f>
        <v>0</v>
      </c>
      <c r="AD496" s="1401">
        <f>IF(S496=AB496+AC496,0,Z496)</f>
        <v>0</v>
      </c>
      <c r="AE496" s="1401">
        <f>IF(S496=AB496+AC496+AD496,0,Z496)</f>
        <v>0</v>
      </c>
      <c r="AF496" s="1401">
        <f>IF(S496=AC496+AD496+AE496+AB496,0,Z496)</f>
        <v>0</v>
      </c>
      <c r="AG496" s="1479">
        <f>IF(S496=AC496+AD496+AE496+AB496+AF496,0,Z496)</f>
        <v>0</v>
      </c>
      <c r="AH496" s="1479">
        <f>IF(S496=AC496+AD496+AE496+AB496+AF496+AG496,0,Z496)</f>
        <v>0</v>
      </c>
      <c r="AI496" s="1479">
        <f>SUM(AB496:AH496)</f>
        <v>3584000000</v>
      </c>
      <c r="AJ496" s="1401">
        <f>S496-AI496</f>
        <v>0</v>
      </c>
    </row>
    <row r="497" spans="1:36" s="1390" customFormat="1" ht="35" customHeight="1" x14ac:dyDescent="0.15">
      <c r="A497" s="1390">
        <v>279</v>
      </c>
      <c r="B497" s="1472" t="str">
        <f t="shared" si="160"/>
        <v>TALONTAM - BANJAR BENAI</v>
      </c>
      <c r="C497" s="1516" t="s">
        <v>4247</v>
      </c>
      <c r="D497" s="1426"/>
      <c r="E497" s="1429" t="s">
        <v>5872</v>
      </c>
      <c r="F497" s="1539"/>
      <c r="G497" s="1517" t="s">
        <v>3820</v>
      </c>
      <c r="H497" s="1518"/>
      <c r="I497" s="1518" t="s">
        <v>479</v>
      </c>
      <c r="J497" s="1533" t="s">
        <v>488</v>
      </c>
      <c r="K497" s="1517">
        <v>7</v>
      </c>
      <c r="L497" s="1519">
        <v>21000</v>
      </c>
      <c r="M497" s="1518" t="s">
        <v>499</v>
      </c>
      <c r="N497" s="1517">
        <v>2001</v>
      </c>
      <c r="O497" s="1518"/>
      <c r="P497" s="1518"/>
      <c r="Q497" s="1518" t="s">
        <v>482</v>
      </c>
      <c r="R497" s="1517" t="s">
        <v>12</v>
      </c>
      <c r="S497" s="1520">
        <f>2520000000+190125000+F499</f>
        <v>5059942980</v>
      </c>
      <c r="T497" s="1517" t="s">
        <v>43</v>
      </c>
      <c r="U497" s="1572"/>
      <c r="V497" s="1521"/>
      <c r="W497" s="1522" t="str">
        <f t="shared" ref="W497:W503" si="164">LEFT(G497,8)</f>
        <v>04.13.01</v>
      </c>
      <c r="X497" s="1478" t="str">
        <f t="shared" ref="X497:X503" si="165">VLOOKUP(W497,UE,3,FALSE)</f>
        <v>Jalan</v>
      </c>
      <c r="Y497" s="1478">
        <f t="shared" ref="Y497:Y503" si="166">VLOOKUP(W497,UE,4,FALSE)</f>
        <v>10</v>
      </c>
      <c r="Z497" s="1401"/>
      <c r="AA497" s="1444">
        <f>IF(2013-N497&gt;Y497,10,IF(2013-N497&lt;0,0,2013-N497))</f>
        <v>10</v>
      </c>
      <c r="AB497" s="1401">
        <f>SUM(PERHITUNGAN!U1679:U1685)</f>
        <v>2710125000</v>
      </c>
      <c r="AC497" s="1479">
        <f>SUMIF(PERHITUNGAN!A:A,'KIB D'!B497&amp;'KIB D'!$AC$7,PERHITUNGAN!U:U)</f>
        <v>0</v>
      </c>
      <c r="AD497" s="1479">
        <f>SUMIF(PERHITUNGAN!A:A,'KIB D'!B497&amp;'KIB D'!$AD$7,PERHITUNGAN!U:U)</f>
        <v>234981798</v>
      </c>
      <c r="AE497" s="1479">
        <f>SUMIF(PERHITUNGAN!A:A,'KIB D'!B497&amp;'KIB D'!$AE$7,PERHITUNGAN!U:U)</f>
        <v>234981798</v>
      </c>
      <c r="AF497" s="1479">
        <f>SUMIF(PERHITUNGAN!A:A,'KIB D'!B497&amp;'KIB D'!$AF$7,PERHITUNGAN!U:U)</f>
        <v>234981798</v>
      </c>
      <c r="AG497" s="1479">
        <f>SUMIF(PERHITUNGAN!A:A,'KIB D'!B497&amp;'KIB D'!$AG$7,PERHITUNGAN!U:U)</f>
        <v>234981798</v>
      </c>
      <c r="AH497" s="1479">
        <f>SUMIF(PERHITUNGAN!A:A,'KIB D'!B497&amp;'KIB D'!$AH$7,PERHITUNGAN!U:U)</f>
        <v>234981798</v>
      </c>
      <c r="AI497" s="1479">
        <f>SUM(AB497:AH497)</f>
        <v>3885033990</v>
      </c>
      <c r="AJ497" s="1401">
        <f t="shared" ref="AJ497:AJ503" si="167">S497-AI497</f>
        <v>1174908990</v>
      </c>
    </row>
    <row r="498" spans="1:36" s="1390" customFormat="1" ht="35" customHeight="1" x14ac:dyDescent="0.2">
      <c r="A498" s="1390">
        <v>279</v>
      </c>
      <c r="B498" s="1472" t="str">
        <f t="shared" si="160"/>
        <v>TALONTAM - BANJAR BENAI</v>
      </c>
      <c r="C498" s="1478" t="e">
        <f>RIGHT(#REF!,1)</f>
        <v>#REF!</v>
      </c>
      <c r="D498" s="1426"/>
      <c r="E498" s="1429" t="s">
        <v>483</v>
      </c>
      <c r="F498" s="1539">
        <v>190125000</v>
      </c>
      <c r="G498" s="1517" t="s">
        <v>3820</v>
      </c>
      <c r="H498" s="1518"/>
      <c r="I498" s="1518" t="s">
        <v>8</v>
      </c>
      <c r="J498" s="1519" t="s">
        <v>508</v>
      </c>
      <c r="K498" s="1517"/>
      <c r="L498" s="1519"/>
      <c r="M498" s="1518" t="s">
        <v>509</v>
      </c>
      <c r="N498" s="1517">
        <v>2001</v>
      </c>
      <c r="O498" s="1518"/>
      <c r="P498" s="1518"/>
      <c r="Q498" s="1518" t="s">
        <v>482</v>
      </c>
      <c r="R498" s="1517" t="s">
        <v>12</v>
      </c>
      <c r="S498" s="1520"/>
      <c r="T498" s="1517" t="s">
        <v>43</v>
      </c>
      <c r="U498" s="1572"/>
      <c r="V498" s="1521"/>
      <c r="W498" s="1478" t="str">
        <f t="shared" si="164"/>
        <v>04.13.01</v>
      </c>
      <c r="X498" s="1478" t="str">
        <f t="shared" si="165"/>
        <v>Jalan</v>
      </c>
      <c r="Y498" s="1478">
        <f t="shared" si="166"/>
        <v>10</v>
      </c>
      <c r="Z498" s="1401">
        <f>S498/Y498</f>
        <v>0</v>
      </c>
      <c r="AA498" s="1444"/>
      <c r="AB498" s="1401"/>
      <c r="AC498" s="1401"/>
      <c r="AD498" s="1401"/>
      <c r="AE498" s="1401"/>
      <c r="AF498" s="1401"/>
      <c r="AG498" s="1479"/>
      <c r="AH498" s="1479"/>
      <c r="AI498" s="1479"/>
      <c r="AJ498" s="1401">
        <f t="shared" si="167"/>
        <v>0</v>
      </c>
    </row>
    <row r="499" spans="1:36" s="1390" customFormat="1" ht="35" customHeight="1" x14ac:dyDescent="0.15">
      <c r="A499" s="1390">
        <v>279</v>
      </c>
      <c r="B499" s="1472" t="str">
        <f t="shared" si="160"/>
        <v>TALONTAM - BANJAR BENAI</v>
      </c>
      <c r="C499" s="1516" t="s">
        <v>4247</v>
      </c>
      <c r="D499" s="1426"/>
      <c r="E499" s="1429" t="s">
        <v>1382</v>
      </c>
      <c r="F499" s="1539">
        <v>2349817980</v>
      </c>
      <c r="G499" s="1517" t="s">
        <v>2494</v>
      </c>
      <c r="H499" s="1518"/>
      <c r="I499" s="1518"/>
      <c r="J499" s="1519">
        <v>0</v>
      </c>
      <c r="K499" s="1517"/>
      <c r="L499" s="1519">
        <v>0</v>
      </c>
      <c r="M499" s="1518" t="s">
        <v>499</v>
      </c>
      <c r="N499" s="1517">
        <v>2015</v>
      </c>
      <c r="O499" s="1518"/>
      <c r="P499" s="1518"/>
      <c r="Q499" s="1518"/>
      <c r="R499" s="1517" t="s">
        <v>12</v>
      </c>
      <c r="S499" s="1520"/>
      <c r="T499" s="1518"/>
      <c r="U499" s="1572"/>
      <c r="V499" s="1521"/>
      <c r="W499" s="1522" t="str">
        <f t="shared" si="164"/>
        <v>04.13.01</v>
      </c>
      <c r="X499" s="1478" t="str">
        <f t="shared" si="165"/>
        <v>Jalan</v>
      </c>
      <c r="Y499" s="1478">
        <f t="shared" si="166"/>
        <v>10</v>
      </c>
      <c r="Z499" s="1401"/>
      <c r="AA499" s="1444">
        <f>IF(2013-N499&gt;Y499,10,IF(2013-N499&lt;0,0,2013-N499))</f>
        <v>0</v>
      </c>
      <c r="AB499" s="1401"/>
      <c r="AC499" s="1401"/>
      <c r="AD499" s="1401"/>
      <c r="AE499" s="1401"/>
      <c r="AF499" s="1401"/>
      <c r="AG499" s="1479"/>
      <c r="AH499" s="1479"/>
      <c r="AI499" s="1479"/>
      <c r="AJ499" s="1401">
        <f t="shared" si="167"/>
        <v>0</v>
      </c>
    </row>
    <row r="500" spans="1:36" s="1390" customFormat="1" ht="35" customHeight="1" x14ac:dyDescent="0.2">
      <c r="A500" s="1390">
        <v>280</v>
      </c>
      <c r="B500" s="1472" t="str">
        <f t="shared" si="160"/>
        <v>GUNUNG KESIANGAN - RESETLEMEN PENDUDUK</v>
      </c>
      <c r="C500" s="1478" t="e">
        <f>RIGHT(#REF!,1)</f>
        <v>#REF!</v>
      </c>
      <c r="D500" s="1426"/>
      <c r="E500" s="1429" t="s">
        <v>3071</v>
      </c>
      <c r="F500" s="1539"/>
      <c r="G500" s="1517" t="s">
        <v>2494</v>
      </c>
      <c r="H500" s="1518"/>
      <c r="I500" s="1518"/>
      <c r="J500" s="1533">
        <v>0</v>
      </c>
      <c r="K500" s="1517"/>
      <c r="L500" s="1519">
        <v>0</v>
      </c>
      <c r="M500" s="1518" t="s">
        <v>2575</v>
      </c>
      <c r="N500" s="1517">
        <v>2017</v>
      </c>
      <c r="O500" s="1518"/>
      <c r="P500" s="1518"/>
      <c r="Q500" s="1518"/>
      <c r="R500" s="1517" t="s">
        <v>12</v>
      </c>
      <c r="S500" s="1520">
        <v>181501000</v>
      </c>
      <c r="T500" s="1518"/>
      <c r="U500" s="1572"/>
      <c r="V500" s="1521"/>
      <c r="W500" s="1478" t="str">
        <f t="shared" si="164"/>
        <v>04.13.01</v>
      </c>
      <c r="X500" s="1478" t="str">
        <f t="shared" si="165"/>
        <v>Jalan</v>
      </c>
      <c r="Y500" s="1478">
        <f t="shared" si="166"/>
        <v>10</v>
      </c>
      <c r="Z500" s="1401">
        <f>S500/Y500</f>
        <v>18150100</v>
      </c>
      <c r="AA500" s="1444">
        <f>IF(2013-N500+1&gt;Y500,Y500,IF(2013-N500+1&lt;0,0,2013-N500+1))</f>
        <v>0</v>
      </c>
      <c r="AB500" s="1401">
        <f>IF(AA500&gt;Y500,S500,Z500*AA500)</f>
        <v>0</v>
      </c>
      <c r="AC500" s="1401">
        <v>0</v>
      </c>
      <c r="AD500" s="1401">
        <v>0</v>
      </c>
      <c r="AE500" s="1401">
        <v>0</v>
      </c>
      <c r="AF500" s="1401">
        <f>IF(S500=AC500+AD500+AE500+AB500,0,Z500)</f>
        <v>18150100</v>
      </c>
      <c r="AG500" s="1479">
        <f>IF(S500=AC500+AD500+AE500+AB500+AF500,0,Z500)</f>
        <v>18150100</v>
      </c>
      <c r="AH500" s="1479">
        <f>IF(S500=AC500+AD500+AE500+AB500+AF500+AG500,0,Z500)</f>
        <v>18150100</v>
      </c>
      <c r="AI500" s="1479">
        <f>SUM(AB500:AH500)</f>
        <v>54450300</v>
      </c>
      <c r="AJ500" s="1401">
        <f t="shared" si="167"/>
        <v>127050700</v>
      </c>
    </row>
    <row r="501" spans="1:36" s="1390" customFormat="1" ht="35" customHeight="1" x14ac:dyDescent="0.2">
      <c r="A501" s="1390">
        <v>281</v>
      </c>
      <c r="B501" s="1472" t="str">
        <f t="shared" si="160"/>
        <v>KOMPE BERANGIN - KP. BARU CERENTI</v>
      </c>
      <c r="C501" s="1478" t="e">
        <f>RIGHT(#REF!,1)</f>
        <v>#REF!</v>
      </c>
      <c r="D501" s="1426"/>
      <c r="E501" s="1429" t="s">
        <v>5873</v>
      </c>
      <c r="F501" s="1539"/>
      <c r="G501" s="1517" t="s">
        <v>3820</v>
      </c>
      <c r="H501" s="1518"/>
      <c r="I501" s="1518" t="s">
        <v>484</v>
      </c>
      <c r="J501" s="1533" t="s">
        <v>485</v>
      </c>
      <c r="K501" s="1517">
        <v>7</v>
      </c>
      <c r="L501" s="1519">
        <v>46200</v>
      </c>
      <c r="M501" s="1518" t="s">
        <v>486</v>
      </c>
      <c r="N501" s="1517">
        <v>2001</v>
      </c>
      <c r="O501" s="1518"/>
      <c r="P501" s="1518"/>
      <c r="Q501" s="1518" t="s">
        <v>482</v>
      </c>
      <c r="R501" s="1517" t="s">
        <v>12</v>
      </c>
      <c r="S501" s="1520">
        <f>9504000000+1011456000+F503+F504+F505</f>
        <v>13579899082.385218</v>
      </c>
      <c r="T501" s="1517" t="s">
        <v>43</v>
      </c>
      <c r="U501" s="1572"/>
      <c r="V501" s="1521"/>
      <c r="W501" s="1478" t="str">
        <f t="shared" si="164"/>
        <v>04.13.01</v>
      </c>
      <c r="X501" s="1478" t="str">
        <f t="shared" si="165"/>
        <v>Jalan</v>
      </c>
      <c r="Y501" s="1478">
        <f t="shared" si="166"/>
        <v>10</v>
      </c>
      <c r="Z501" s="1401"/>
      <c r="AA501" s="1444">
        <f>IF(2013-N501&gt;Y501,10,IF(2013-N501&lt;0,0,2013-N501))</f>
        <v>10</v>
      </c>
      <c r="AB501" s="1401">
        <f>SUM(PERHITUNGAN!U1700:U1709)</f>
        <v>10856953171.159946</v>
      </c>
      <c r="AC501" s="1479">
        <f>SUMIF(PERHITUNGAN!A:A,'KIB D'!B501&amp;'KIB D'!$AC$7,PERHITUNGAN!U:U)</f>
        <v>630972619.16527009</v>
      </c>
      <c r="AD501" s="1479">
        <f>SUMIF(PERHITUNGAN!A:A,'KIB D'!B501&amp;'KIB D'!$AD$7,PERHITUNGAN!U:U)</f>
        <v>0</v>
      </c>
      <c r="AE501" s="1479">
        <f>SUMIF(PERHITUNGAN!A:A,'KIB D'!B501&amp;'KIB D'!$AE$7,PERHITUNGAN!U:U)</f>
        <v>0</v>
      </c>
      <c r="AF501" s="1479">
        <f>SUMIF(PERHITUNGAN!A:A,'KIB D'!B501&amp;'KIB D'!$AF$7,PERHITUNGAN!U:U)</f>
        <v>0</v>
      </c>
      <c r="AG501" s="1479">
        <f>SUMIF(PERHITUNGAN!A:A,'KIB D'!B501&amp;'KIB D'!$AG$7,PERHITUNGAN!U:U)</f>
        <v>0</v>
      </c>
      <c r="AH501" s="1479">
        <f>SUMIF(PERHITUNGAN!A:A,'KIB D'!B501&amp;'KIB D'!$AH$7,PERHITUNGAN!U:U)</f>
        <v>209197329.20600009</v>
      </c>
      <c r="AI501" s="1479">
        <f>SUM(AB501:AH501)</f>
        <v>11697123119.531216</v>
      </c>
      <c r="AJ501" s="1401">
        <f t="shared" si="167"/>
        <v>1882775962.854002</v>
      </c>
    </row>
    <row r="502" spans="1:36" s="1390" customFormat="1" ht="35" customHeight="1" x14ac:dyDescent="0.2">
      <c r="A502" s="1390">
        <v>281</v>
      </c>
      <c r="B502" s="1472" t="str">
        <f t="shared" si="160"/>
        <v>KOMPE BERANGIN - KP. BARU CERENTI</v>
      </c>
      <c r="C502" s="1478" t="e">
        <f>RIGHT(#REF!,1)</f>
        <v>#REF!</v>
      </c>
      <c r="D502" s="1426"/>
      <c r="E502" s="1429" t="s">
        <v>529</v>
      </c>
      <c r="F502" s="1539">
        <v>1011456000</v>
      </c>
      <c r="G502" s="1517" t="s">
        <v>2494</v>
      </c>
      <c r="H502" s="1518"/>
      <c r="I502" s="1518" t="s">
        <v>484</v>
      </c>
      <c r="J502" s="1519" t="s">
        <v>679</v>
      </c>
      <c r="K502" s="1517"/>
      <c r="L502" s="1519"/>
      <c r="M502" s="1518" t="s">
        <v>680</v>
      </c>
      <c r="N502" s="1517">
        <v>2001</v>
      </c>
      <c r="O502" s="1518"/>
      <c r="P502" s="1518"/>
      <c r="Q502" s="1518" t="s">
        <v>482</v>
      </c>
      <c r="R502" s="1517" t="s">
        <v>12</v>
      </c>
      <c r="S502" s="1520"/>
      <c r="T502" s="1517" t="s">
        <v>43</v>
      </c>
      <c r="U502" s="1572"/>
      <c r="V502" s="1521"/>
      <c r="W502" s="1478" t="str">
        <f t="shared" si="164"/>
        <v>04.13.01</v>
      </c>
      <c r="X502" s="1478" t="str">
        <f t="shared" si="165"/>
        <v>Jalan</v>
      </c>
      <c r="Y502" s="1478">
        <f t="shared" si="166"/>
        <v>10</v>
      </c>
      <c r="Z502" s="1401"/>
      <c r="AA502" s="1444"/>
      <c r="AB502" s="1401"/>
      <c r="AC502" s="1401"/>
      <c r="AD502" s="1401"/>
      <c r="AE502" s="1401"/>
      <c r="AF502" s="1401"/>
      <c r="AG502" s="1479"/>
      <c r="AH502" s="1479"/>
      <c r="AI502" s="1479">
        <f>SUM(AB502:AH502)</f>
        <v>0</v>
      </c>
      <c r="AJ502" s="1401">
        <f t="shared" si="167"/>
        <v>0</v>
      </c>
    </row>
    <row r="503" spans="1:36" s="1390" customFormat="1" ht="35" customHeight="1" x14ac:dyDescent="0.2">
      <c r="A503" s="1390">
        <v>281</v>
      </c>
      <c r="B503" s="1472" t="str">
        <f t="shared" si="160"/>
        <v>KOMPE BERANGIN - KP. BARU CERENTI</v>
      </c>
      <c r="C503" s="1478" t="e">
        <f>RIGHT(#REF!,1)</f>
        <v>#REF!</v>
      </c>
      <c r="D503" s="1426"/>
      <c r="E503" s="1429" t="s">
        <v>1166</v>
      </c>
      <c r="F503" s="1539">
        <v>364880737.00996</v>
      </c>
      <c r="G503" s="1416" t="s">
        <v>2494</v>
      </c>
      <c r="H503" s="1508"/>
      <c r="I503" s="1416" t="s">
        <v>519</v>
      </c>
      <c r="J503" s="1500"/>
      <c r="K503" s="1416"/>
      <c r="L503" s="1500">
        <v>1700</v>
      </c>
      <c r="M503" s="1429" t="s">
        <v>680</v>
      </c>
      <c r="N503" s="1416">
        <v>2007</v>
      </c>
      <c r="O503" s="1414"/>
      <c r="P503" s="1414"/>
      <c r="Q503" s="1414"/>
      <c r="R503" s="1416" t="s">
        <v>12</v>
      </c>
      <c r="S503" s="1529"/>
      <c r="T503" s="1416" t="s">
        <v>43</v>
      </c>
      <c r="U503" s="1427"/>
      <c r="V503" s="1477"/>
      <c r="W503" s="1478" t="str">
        <f t="shared" si="164"/>
        <v>04.13.01</v>
      </c>
      <c r="X503" s="1478" t="str">
        <f t="shared" si="165"/>
        <v>Jalan</v>
      </c>
      <c r="Y503" s="1478">
        <f t="shared" si="166"/>
        <v>10</v>
      </c>
      <c r="Z503" s="1401"/>
      <c r="AA503" s="1444"/>
      <c r="AB503" s="1401"/>
      <c r="AC503" s="1401"/>
      <c r="AD503" s="1401"/>
      <c r="AE503" s="1401"/>
      <c r="AF503" s="1401"/>
      <c r="AG503" s="1479"/>
      <c r="AH503" s="1479"/>
      <c r="AI503" s="1479"/>
      <c r="AJ503" s="1401">
        <f t="shared" si="167"/>
        <v>0</v>
      </c>
    </row>
    <row r="504" spans="1:36" s="1390" customFormat="1" ht="35" customHeight="1" x14ac:dyDescent="0.2">
      <c r="A504" s="1390">
        <v>281</v>
      </c>
      <c r="B504" s="1472" t="str">
        <f t="shared" si="160"/>
        <v>KOMPE BERANGIN - KP. BARU CERENTI</v>
      </c>
      <c r="C504" s="1478"/>
      <c r="D504" s="1426"/>
      <c r="E504" s="1573" t="s">
        <v>5182</v>
      </c>
      <c r="F504" s="1539">
        <v>607589053.31525743</v>
      </c>
      <c r="G504" s="1416" t="s">
        <v>2494</v>
      </c>
      <c r="H504" s="1508"/>
      <c r="I504" s="1416"/>
      <c r="J504" s="1500"/>
      <c r="K504" s="1416"/>
      <c r="L504" s="1500"/>
      <c r="M504" s="1523" t="s">
        <v>3794</v>
      </c>
      <c r="N504" s="1416">
        <v>2008</v>
      </c>
      <c r="O504" s="1414"/>
      <c r="P504" s="1523" t="s">
        <v>5084</v>
      </c>
      <c r="Q504" s="1523"/>
      <c r="R504" s="1523" t="s">
        <v>12</v>
      </c>
      <c r="S504" s="1524"/>
      <c r="T504" s="1525" t="s">
        <v>43</v>
      </c>
      <c r="U504" s="1574"/>
      <c r="V504" s="1477"/>
      <c r="W504" s="1478"/>
      <c r="X504" s="1478"/>
      <c r="Y504" s="1478"/>
      <c r="Z504" s="1401"/>
      <c r="AA504" s="1444"/>
      <c r="AB504" s="1401"/>
      <c r="AC504" s="1401"/>
      <c r="AD504" s="1401"/>
      <c r="AE504" s="1401"/>
      <c r="AF504" s="1401"/>
      <c r="AG504" s="1479"/>
      <c r="AH504" s="1479"/>
      <c r="AI504" s="1479"/>
      <c r="AJ504" s="1401"/>
    </row>
    <row r="505" spans="1:36" s="1390" customFormat="1" ht="35" customHeight="1" x14ac:dyDescent="0.2">
      <c r="A505" s="1390">
        <v>281</v>
      </c>
      <c r="B505" s="1472" t="str">
        <f t="shared" si="160"/>
        <v>KOMPE BERANGIN - KP. BARU CERENTI</v>
      </c>
      <c r="C505" s="1478"/>
      <c r="D505" s="1426"/>
      <c r="E505" s="1573" t="s">
        <v>5682</v>
      </c>
      <c r="F505" s="1539">
        <v>2091973292.0599999</v>
      </c>
      <c r="G505" s="1416" t="s">
        <v>2494</v>
      </c>
      <c r="H505" s="1508"/>
      <c r="I505" s="1416" t="s">
        <v>5532</v>
      </c>
      <c r="J505" s="1500">
        <v>1000</v>
      </c>
      <c r="K505" s="1416">
        <v>4</v>
      </c>
      <c r="L505" s="1500">
        <f>J505*K505</f>
        <v>4000</v>
      </c>
      <c r="M505" s="1523" t="s">
        <v>5492</v>
      </c>
      <c r="N505" s="1416">
        <v>2019</v>
      </c>
      <c r="O505" s="1414" t="s">
        <v>5493</v>
      </c>
      <c r="P505" s="1523" t="s">
        <v>433</v>
      </c>
      <c r="Q505" s="1523"/>
      <c r="R505" s="1523" t="s">
        <v>12</v>
      </c>
      <c r="S505" s="1524"/>
      <c r="T505" s="1525"/>
      <c r="U505" s="1574"/>
      <c r="V505" s="1477"/>
      <c r="W505" s="1478"/>
      <c r="X505" s="1478"/>
      <c r="Y505" s="1478"/>
      <c r="Z505" s="1401"/>
      <c r="AA505" s="1444"/>
      <c r="AB505" s="1401"/>
      <c r="AC505" s="1401"/>
      <c r="AD505" s="1401"/>
      <c r="AE505" s="1401"/>
      <c r="AF505" s="1401"/>
      <c r="AG505" s="1479"/>
      <c r="AH505" s="1479"/>
      <c r="AI505" s="1479"/>
      <c r="AJ505" s="1401"/>
    </row>
    <row r="506" spans="1:36" s="1390" customFormat="1" ht="35" customHeight="1" x14ac:dyDescent="0.2">
      <c r="A506" s="1390">
        <v>282</v>
      </c>
      <c r="B506" s="1472" t="str">
        <f t="shared" si="160"/>
        <v>NEES II CERENTI - KOMPE BERANGIN</v>
      </c>
      <c r="C506" s="1478" t="e">
        <f>RIGHT(#REF!,1)</f>
        <v>#REF!</v>
      </c>
      <c r="D506" s="1426"/>
      <c r="E506" s="1429" t="s">
        <v>5874</v>
      </c>
      <c r="F506" s="1539"/>
      <c r="G506" s="1517" t="s">
        <v>2494</v>
      </c>
      <c r="H506" s="1518"/>
      <c r="I506" s="1518" t="s">
        <v>484</v>
      </c>
      <c r="J506" s="1533" t="s">
        <v>690</v>
      </c>
      <c r="K506" s="1517">
        <v>7</v>
      </c>
      <c r="L506" s="1519">
        <v>55300</v>
      </c>
      <c r="M506" s="1518" t="s">
        <v>691</v>
      </c>
      <c r="N506" s="1517">
        <v>2001</v>
      </c>
      <c r="O506" s="1518"/>
      <c r="P506" s="1518"/>
      <c r="Q506" s="1518" t="s">
        <v>482</v>
      </c>
      <c r="R506" s="1517" t="s">
        <v>12</v>
      </c>
      <c r="S506" s="1520">
        <f>5119353361.62+F507</f>
        <v>5726942414.935257</v>
      </c>
      <c r="T506" s="1517" t="s">
        <v>43</v>
      </c>
      <c r="U506" s="1572"/>
      <c r="V506" s="1521"/>
      <c r="W506" s="1478" t="str">
        <f>LEFT(G506,8)</f>
        <v>04.13.01</v>
      </c>
      <c r="X506" s="1478" t="str">
        <f>VLOOKUP(W506,UE,3,FALSE)</f>
        <v>Jalan</v>
      </c>
      <c r="Y506" s="1478">
        <f>VLOOKUP(W506,UE,4,FALSE)</f>
        <v>10</v>
      </c>
      <c r="Z506" s="1401"/>
      <c r="AA506" s="1444">
        <f>IF(2013-N506&gt;Y506,10,IF(2013-N506&lt;0,0,2013-N506))</f>
        <v>10</v>
      </c>
      <c r="AB506" s="1401">
        <f>SUM(PERHITUNGAN!U1724:U1733)</f>
        <v>5191093649.4849424</v>
      </c>
      <c r="AC506" s="1479">
        <f>SUMIF(PERHITUNGAN!A:A,'KIB D'!B506&amp;'KIB D'!$AC$7,PERHITUNGAN!U:U)</f>
        <v>267924382.7251572</v>
      </c>
      <c r="AD506" s="1479">
        <f>SUMIF(PERHITUNGAN!A:A,'KIB D'!B506&amp;'KIB D'!$AD$7,PERHITUNGAN!U:U)</f>
        <v>267924382.7251572</v>
      </c>
      <c r="AE506" s="1479">
        <f>SUMIF(PERHITUNGAN!A:A,'KIB D'!B506&amp;'KIB D'!$AE$7,PERHITUNGAN!U:U)</f>
        <v>0</v>
      </c>
      <c r="AF506" s="1479">
        <f>SUMIF(PERHITUNGAN!A:A,'KIB D'!B506&amp;'KIB D'!$AF$7,PERHITUNGAN!U:U)</f>
        <v>0</v>
      </c>
      <c r="AG506" s="1479">
        <f>SUMIF(PERHITUNGAN!A:A,'KIB D'!B506&amp;'KIB D'!$AG$7,PERHITUNGAN!U:U)</f>
        <v>0</v>
      </c>
      <c r="AH506" s="1479">
        <f>SUMIF(PERHITUNGAN!A:A,'KIB D'!B506&amp;'KIB D'!$AH$7,PERHITUNGAN!U:U)</f>
        <v>0</v>
      </c>
      <c r="AI506" s="1479">
        <f>SUM(AB506:AH506)</f>
        <v>5726942414.935256</v>
      </c>
      <c r="AJ506" s="1401">
        <f>S506-AI506</f>
        <v>0</v>
      </c>
    </row>
    <row r="507" spans="1:36" s="1390" customFormat="1" ht="35" customHeight="1" x14ac:dyDescent="0.2">
      <c r="A507" s="1390">
        <v>282</v>
      </c>
      <c r="B507" s="1472" t="str">
        <f t="shared" si="160"/>
        <v>NEES II CERENTI - KOMPE BERANGIN</v>
      </c>
      <c r="C507" s="1478"/>
      <c r="D507" s="1426"/>
      <c r="E507" s="1573" t="s">
        <v>5183</v>
      </c>
      <c r="F507" s="1539">
        <v>607589053.31525743</v>
      </c>
      <c r="G507" s="1416" t="s">
        <v>2494</v>
      </c>
      <c r="H507" s="1508"/>
      <c r="I507" s="1416"/>
      <c r="J507" s="1500"/>
      <c r="K507" s="1416"/>
      <c r="L507" s="1500"/>
      <c r="M507" s="1523" t="s">
        <v>5184</v>
      </c>
      <c r="N507" s="1416">
        <v>2008</v>
      </c>
      <c r="O507" s="1414"/>
      <c r="P507" s="1523" t="s">
        <v>5084</v>
      </c>
      <c r="Q507" s="1523"/>
      <c r="R507" s="1523" t="s">
        <v>12</v>
      </c>
      <c r="S507" s="1524"/>
      <c r="T507" s="1525" t="s">
        <v>43</v>
      </c>
      <c r="U507" s="1574"/>
      <c r="V507" s="1477"/>
      <c r="W507" s="1478"/>
      <c r="X507" s="1478"/>
      <c r="Y507" s="1478"/>
      <c r="Z507" s="1401"/>
      <c r="AA507" s="1444"/>
      <c r="AB507" s="1401"/>
      <c r="AC507" s="1401"/>
      <c r="AD507" s="1401"/>
      <c r="AE507" s="1401"/>
      <c r="AF507" s="1401"/>
      <c r="AG507" s="1479"/>
      <c r="AH507" s="1479"/>
      <c r="AI507" s="1479"/>
      <c r="AJ507" s="1401"/>
    </row>
    <row r="508" spans="1:36" s="1390" customFormat="1" ht="35" customHeight="1" x14ac:dyDescent="0.2">
      <c r="A508" s="1390">
        <v>283</v>
      </c>
      <c r="B508" s="1472" t="str">
        <f t="shared" si="160"/>
        <v>KOTO CERENTI - PULAU BAYUR</v>
      </c>
      <c r="C508" s="1478" t="e">
        <f>RIGHT(#REF!,1)</f>
        <v>#REF!</v>
      </c>
      <c r="D508" s="1426"/>
      <c r="E508" s="1429" t="s">
        <v>529</v>
      </c>
      <c r="F508" s="1539"/>
      <c r="G508" s="1517" t="s">
        <v>2494</v>
      </c>
      <c r="H508" s="1518"/>
      <c r="I508" s="1518" t="s">
        <v>484</v>
      </c>
      <c r="J508" s="1533" t="s">
        <v>488</v>
      </c>
      <c r="K508" s="1517">
        <v>7</v>
      </c>
      <c r="L508" s="1519">
        <v>21000</v>
      </c>
      <c r="M508" s="1518" t="s">
        <v>692</v>
      </c>
      <c r="N508" s="1517">
        <v>2001</v>
      </c>
      <c r="O508" s="1518"/>
      <c r="P508" s="1518"/>
      <c r="Q508" s="1518" t="s">
        <v>482</v>
      </c>
      <c r="R508" s="1517" t="s">
        <v>12</v>
      </c>
      <c r="S508" s="1520">
        <v>2304000000</v>
      </c>
      <c r="T508" s="1517" t="s">
        <v>43</v>
      </c>
      <c r="U508" s="1572"/>
      <c r="V508" s="1521"/>
      <c r="W508" s="1478" t="str">
        <f>LEFT(G508,8)</f>
        <v>04.13.01</v>
      </c>
      <c r="X508" s="1478" t="str">
        <f>VLOOKUP(W508,UE,3,FALSE)</f>
        <v>Jalan</v>
      </c>
      <c r="Y508" s="1478">
        <f>VLOOKUP(W508,UE,4,FALSE)</f>
        <v>10</v>
      </c>
      <c r="Z508" s="1401">
        <f>S508/Y508</f>
        <v>230400000</v>
      </c>
      <c r="AA508" s="1444">
        <f>IF(2013-N508+1&gt;Y508,Y508,IF(2013-N508+1&lt;0,0,2013-N508+1))</f>
        <v>10</v>
      </c>
      <c r="AB508" s="1401">
        <f>IF(AA508&gt;Y508,S508,Z508*AA508)</f>
        <v>2304000000</v>
      </c>
      <c r="AC508" s="1401">
        <f>IF(S508=AB508,0,Z508)</f>
        <v>0</v>
      </c>
      <c r="AD508" s="1401">
        <f>IF(S508=AB508+AC508,0,Z508)</f>
        <v>0</v>
      </c>
      <c r="AE508" s="1401">
        <f>IF(S508=AB508+AC508+AD508,0,Z508)</f>
        <v>0</v>
      </c>
      <c r="AF508" s="1401">
        <f>IF(S508=AC508+AD508+AE508+AB508,0,Z508)</f>
        <v>0</v>
      </c>
      <c r="AG508" s="1479">
        <f>IF(S508=AC508+AD508+AE508+AB508+AF508,0,Z508)</f>
        <v>0</v>
      </c>
      <c r="AH508" s="1479">
        <f>IF(S508=AC508+AD508+AE508+AB508+AF508+AG508,0,Z508)</f>
        <v>0</v>
      </c>
      <c r="AI508" s="1479">
        <f>SUM(AB508:AH508)</f>
        <v>2304000000</v>
      </c>
      <c r="AJ508" s="1401">
        <f t="shared" ref="AJ508:AJ513" si="168">S508-AI508</f>
        <v>0</v>
      </c>
    </row>
    <row r="509" spans="1:36" s="1390" customFormat="1" ht="35" customHeight="1" x14ac:dyDescent="0.2">
      <c r="A509" s="1390">
        <v>284</v>
      </c>
      <c r="B509" s="1472" t="str">
        <f t="shared" si="160"/>
        <v>SIKURAN - BANJAR NAN TIGO</v>
      </c>
      <c r="C509" s="1478" t="e">
        <f>RIGHT(#REF!,1)</f>
        <v>#REF!</v>
      </c>
      <c r="D509" s="1426"/>
      <c r="E509" s="1429" t="s">
        <v>696</v>
      </c>
      <c r="F509" s="1539"/>
      <c r="G509" s="1517" t="s">
        <v>2494</v>
      </c>
      <c r="H509" s="1518"/>
      <c r="I509" s="1518" t="s">
        <v>479</v>
      </c>
      <c r="J509" s="1533" t="s">
        <v>697</v>
      </c>
      <c r="K509" s="1517">
        <v>7</v>
      </c>
      <c r="L509" s="1519">
        <v>30100</v>
      </c>
      <c r="M509" s="1518" t="s">
        <v>698</v>
      </c>
      <c r="N509" s="1517">
        <v>2001</v>
      </c>
      <c r="O509" s="1518"/>
      <c r="P509" s="1518"/>
      <c r="Q509" s="1518" t="s">
        <v>482</v>
      </c>
      <c r="R509" s="1517" t="s">
        <v>12</v>
      </c>
      <c r="S509" s="1520">
        <v>3160500000</v>
      </c>
      <c r="T509" s="1517" t="s">
        <v>135</v>
      </c>
      <c r="U509" s="1572"/>
      <c r="V509" s="1521"/>
      <c r="W509" s="1478" t="str">
        <f>LEFT(G509,8)</f>
        <v>04.13.01</v>
      </c>
      <c r="X509" s="1478" t="str">
        <f>VLOOKUP(W509,UE,3,FALSE)</f>
        <v>Jalan</v>
      </c>
      <c r="Y509" s="1478">
        <f>VLOOKUP(W509,UE,4,FALSE)</f>
        <v>10</v>
      </c>
      <c r="Z509" s="1401">
        <f>S509/Y509</f>
        <v>316050000</v>
      </c>
      <c r="AA509" s="1444">
        <f>IF(2013-N509+1&gt;Y509,Y509,IF(2013-N509+1&lt;0,0,2013-N509+1))</f>
        <v>10</v>
      </c>
      <c r="AB509" s="1401">
        <f>IF(AA509&gt;Y509,S509,Z509*AA509)</f>
        <v>3160500000</v>
      </c>
      <c r="AC509" s="1401">
        <f>IF(S509=AB509,0,Z509)</f>
        <v>0</v>
      </c>
      <c r="AD509" s="1401">
        <f>IF(S509=AB509+AC509,0,Z509)</f>
        <v>0</v>
      </c>
      <c r="AE509" s="1401">
        <f>IF(S509=AB509+AC509+AD509,0,Z509)</f>
        <v>0</v>
      </c>
      <c r="AF509" s="1401">
        <f>IF(S509=AC509+AD509+AE509+AB509,0,Z509)</f>
        <v>0</v>
      </c>
      <c r="AG509" s="1479">
        <f>IF(S509=AC509+AD509+AE509+AB509+AF509,0,Z509)</f>
        <v>0</v>
      </c>
      <c r="AH509" s="1479">
        <f>IF(S509=AC509+AD509+AE509+AB509+AF509+AG509,0,Z509)</f>
        <v>0</v>
      </c>
      <c r="AI509" s="1479">
        <f>SUM(AB509:AH509)</f>
        <v>3160500000</v>
      </c>
      <c r="AJ509" s="1401">
        <f t="shared" si="168"/>
        <v>0</v>
      </c>
    </row>
    <row r="510" spans="1:36" s="1390" customFormat="1" ht="35" customHeight="1" x14ac:dyDescent="0.15">
      <c r="A510" s="1390">
        <v>285</v>
      </c>
      <c r="B510" s="1472" t="str">
        <f t="shared" si="160"/>
        <v>SEI. PERUPUK - TELUK PAUH</v>
      </c>
      <c r="C510" s="1516" t="s">
        <v>4247</v>
      </c>
      <c r="D510" s="1426"/>
      <c r="E510" s="1429" t="s">
        <v>5875</v>
      </c>
      <c r="F510" s="1539"/>
      <c r="G510" s="1517" t="s">
        <v>2494</v>
      </c>
      <c r="H510" s="1518"/>
      <c r="I510" s="1518" t="s">
        <v>525</v>
      </c>
      <c r="J510" s="1533" t="s">
        <v>501</v>
      </c>
      <c r="K510" s="1517">
        <v>7</v>
      </c>
      <c r="L510" s="1519">
        <v>24500</v>
      </c>
      <c r="M510" s="1518" t="s">
        <v>687</v>
      </c>
      <c r="N510" s="1517">
        <v>2001</v>
      </c>
      <c r="O510" s="1518"/>
      <c r="P510" s="1518"/>
      <c r="Q510" s="1518" t="s">
        <v>482</v>
      </c>
      <c r="R510" s="1517" t="s">
        <v>12</v>
      </c>
      <c r="S510" s="1520">
        <f>2835000000+F511+F512+F513+F514+F515+F516</f>
        <v>10343688505.08091</v>
      </c>
      <c r="T510" s="1517" t="s">
        <v>43</v>
      </c>
      <c r="U510" s="1572"/>
      <c r="V510" s="1521"/>
      <c r="W510" s="1522" t="str">
        <f t="shared" ref="W510:W515" si="169">LEFT(G510,8)</f>
        <v>04.13.01</v>
      </c>
      <c r="X510" s="1478" t="str">
        <f t="shared" ref="X510:X515" si="170">VLOOKUP(W510,UE,3,FALSE)</f>
        <v>Jalan</v>
      </c>
      <c r="Y510" s="1478">
        <f t="shared" ref="Y510:Y515" si="171">VLOOKUP(W510,UE,4,FALSE)</f>
        <v>10</v>
      </c>
      <c r="Z510" s="1401"/>
      <c r="AA510" s="1444">
        <f>IF(2013-N510&gt;Y510,10,IF(2013-N510&lt;0,0,2013-N510))</f>
        <v>10</v>
      </c>
      <c r="AB510" s="1401">
        <f>SUM(PERHITUNGAN!U1748:U1756)</f>
        <v>3674674588.8332729</v>
      </c>
      <c r="AC510" s="1479">
        <f>SUMIF(PERHITUNGAN!A:A,'KIB D'!B510&amp;'KIB D'!$AC$7,PERHITUNGAN!U:U)</f>
        <v>406304468.35776365</v>
      </c>
      <c r="AD510" s="1479">
        <f>SUMIF(PERHITUNGAN!A:A,'KIB D'!B510&amp;'KIB D'!$AD$7,PERHITUNGAN!U:U)</f>
        <v>406304468.35776365</v>
      </c>
      <c r="AE510" s="1479">
        <f>SUMIF(PERHITUNGAN!A:A,'KIB D'!B510&amp;'KIB D'!$AE$7,PERHITUNGAN!U:U)</f>
        <v>406304468.35776365</v>
      </c>
      <c r="AF510" s="1479">
        <f>SUMIF(PERHITUNGAN!A:A,'KIB D'!B510&amp;'KIB D'!$AF$7,PERHITUNGAN!U:U)</f>
        <v>358307953.38937169</v>
      </c>
      <c r="AG510" s="1479">
        <f>SUMIF(PERHITUNGAN!A:A,'KIB D'!B510&amp;'KIB D'!$AG$7,PERHITUNGAN!U:U)</f>
        <v>358307953.38937169</v>
      </c>
      <c r="AH510" s="1479">
        <f>SUMIF(PERHITUNGAN!A:A,'KIB D'!B510&amp;'KIB D'!$AH$7,PERHITUNGAN!U:U)</f>
        <v>473348460.43956012</v>
      </c>
      <c r="AI510" s="1479">
        <f>SUM(AB510:AH510)</f>
        <v>6083552361.1248674</v>
      </c>
      <c r="AJ510" s="1401">
        <f t="shared" si="168"/>
        <v>4260136143.9560423</v>
      </c>
    </row>
    <row r="511" spans="1:36" s="1390" customFormat="1" ht="35" customHeight="1" x14ac:dyDescent="0.2">
      <c r="A511" s="1390">
        <v>285</v>
      </c>
      <c r="B511" s="1472" t="str">
        <f t="shared" si="160"/>
        <v>SEI. PERUPUK - TELUK PAUH</v>
      </c>
      <c r="C511" s="1478" t="e">
        <f>RIGHT(#REF!,1)</f>
        <v>#REF!</v>
      </c>
      <c r="D511" s="1426"/>
      <c r="E511" s="1429" t="s">
        <v>1211</v>
      </c>
      <c r="F511" s="1539">
        <v>711641781</v>
      </c>
      <c r="G511" s="1416" t="s">
        <v>2494</v>
      </c>
      <c r="H511" s="1508"/>
      <c r="I511" s="1416"/>
      <c r="J511" s="1500"/>
      <c r="K511" s="1416"/>
      <c r="L511" s="1500"/>
      <c r="M511" s="1429" t="s">
        <v>3125</v>
      </c>
      <c r="N511" s="1416">
        <v>2008</v>
      </c>
      <c r="O511" s="1414"/>
      <c r="P511" s="1414"/>
      <c r="Q511" s="1414"/>
      <c r="R511" s="1416" t="s">
        <v>12</v>
      </c>
      <c r="S511" s="1529"/>
      <c r="T511" s="1416" t="s">
        <v>43</v>
      </c>
      <c r="U511" s="1427"/>
      <c r="V511" s="1477"/>
      <c r="W511" s="1478" t="str">
        <f t="shared" si="169"/>
        <v>04.13.01</v>
      </c>
      <c r="X511" s="1478" t="str">
        <f t="shared" si="170"/>
        <v>Jalan</v>
      </c>
      <c r="Y511" s="1478">
        <f t="shared" si="171"/>
        <v>10</v>
      </c>
      <c r="Z511" s="1401"/>
      <c r="AA511" s="1444"/>
      <c r="AB511" s="1401"/>
      <c r="AC511" s="1401"/>
      <c r="AD511" s="1401"/>
      <c r="AE511" s="1401"/>
      <c r="AF511" s="1401"/>
      <c r="AG511" s="1479"/>
      <c r="AH511" s="1479"/>
      <c r="AI511" s="1479"/>
      <c r="AJ511" s="1401">
        <f t="shared" si="168"/>
        <v>0</v>
      </c>
    </row>
    <row r="512" spans="1:36" s="1390" customFormat="1" ht="35" customHeight="1" x14ac:dyDescent="0.15">
      <c r="A512" s="1390">
        <v>285</v>
      </c>
      <c r="B512" s="1472" t="str">
        <f t="shared" si="160"/>
        <v>SEI. PERUPUK - TELUK PAUH</v>
      </c>
      <c r="C512" s="1516" t="s">
        <v>4247</v>
      </c>
      <c r="D512" s="1426"/>
      <c r="E512" s="1429" t="s">
        <v>1216</v>
      </c>
      <c r="F512" s="1539">
        <v>2978274268.4109097</v>
      </c>
      <c r="G512" s="1517" t="s">
        <v>2494</v>
      </c>
      <c r="H512" s="1518"/>
      <c r="I512" s="1518" t="s">
        <v>519</v>
      </c>
      <c r="J512" s="1519">
        <v>0</v>
      </c>
      <c r="K512" s="1517"/>
      <c r="L512" s="1519">
        <v>1000</v>
      </c>
      <c r="M512" s="1518" t="s">
        <v>687</v>
      </c>
      <c r="N512" s="1517">
        <v>2011</v>
      </c>
      <c r="O512" s="1518"/>
      <c r="P512" s="1518"/>
      <c r="Q512" s="1518"/>
      <c r="R512" s="1517" t="s">
        <v>12</v>
      </c>
      <c r="S512" s="1520"/>
      <c r="T512" s="1517" t="s">
        <v>43</v>
      </c>
      <c r="U512" s="1572"/>
      <c r="V512" s="1521"/>
      <c r="W512" s="1522" t="str">
        <f t="shared" si="169"/>
        <v>04.13.01</v>
      </c>
      <c r="X512" s="1478" t="str">
        <f t="shared" si="170"/>
        <v>Jalan</v>
      </c>
      <c r="Y512" s="1478">
        <f t="shared" si="171"/>
        <v>10</v>
      </c>
      <c r="Z512" s="1401"/>
      <c r="AA512" s="1444">
        <f>IF(2013-N512&gt;Y512,10,IF(2013-N512&lt;0,0,2013-N512))</f>
        <v>2</v>
      </c>
      <c r="AB512" s="1401"/>
      <c r="AC512" s="1401"/>
      <c r="AD512" s="1401"/>
      <c r="AE512" s="1401"/>
      <c r="AF512" s="1401"/>
      <c r="AG512" s="1479"/>
      <c r="AH512" s="1479"/>
      <c r="AI512" s="1479"/>
      <c r="AJ512" s="1401">
        <f t="shared" si="168"/>
        <v>0</v>
      </c>
    </row>
    <row r="513" spans="1:36" s="1390" customFormat="1" ht="35" customHeight="1" x14ac:dyDescent="0.15">
      <c r="A513" s="1390">
        <v>285</v>
      </c>
      <c r="B513" s="1472" t="str">
        <f t="shared" si="160"/>
        <v>SEI. PERUPUK - TELUK PAUH</v>
      </c>
      <c r="C513" s="1516" t="s">
        <v>4247</v>
      </c>
      <c r="D513" s="1426"/>
      <c r="E513" s="1429" t="s">
        <v>1301</v>
      </c>
      <c r="F513" s="1539">
        <v>1212803223</v>
      </c>
      <c r="G513" s="1517" t="s">
        <v>2494</v>
      </c>
      <c r="H513" s="1518"/>
      <c r="I513" s="1518"/>
      <c r="J513" s="1519">
        <v>0</v>
      </c>
      <c r="K513" s="1517"/>
      <c r="L513" s="1519">
        <v>0</v>
      </c>
      <c r="M513" s="1518" t="s">
        <v>687</v>
      </c>
      <c r="N513" s="1517">
        <v>2014</v>
      </c>
      <c r="O513" s="1518"/>
      <c r="P513" s="1518"/>
      <c r="Q513" s="1518"/>
      <c r="R513" s="1517" t="s">
        <v>12</v>
      </c>
      <c r="S513" s="1520"/>
      <c r="T513" s="1518"/>
      <c r="U513" s="1572"/>
      <c r="V513" s="1521"/>
      <c r="W513" s="1522" t="str">
        <f t="shared" si="169"/>
        <v>04.13.01</v>
      </c>
      <c r="X513" s="1478" t="str">
        <f t="shared" si="170"/>
        <v>Jalan</v>
      </c>
      <c r="Y513" s="1478">
        <f t="shared" si="171"/>
        <v>10</v>
      </c>
      <c r="Z513" s="1401"/>
      <c r="AA513" s="1444">
        <f>IF(2013-N513&gt;Y513,10,IF(2013-N513&lt;0,0,2013-N513))</f>
        <v>0</v>
      </c>
      <c r="AB513" s="1401"/>
      <c r="AC513" s="1401"/>
      <c r="AD513" s="1401"/>
      <c r="AE513" s="1401"/>
      <c r="AF513" s="1401"/>
      <c r="AG513" s="1479"/>
      <c r="AH513" s="1479"/>
      <c r="AI513" s="1479"/>
      <c r="AJ513" s="1401">
        <f t="shared" si="168"/>
        <v>0</v>
      </c>
    </row>
    <row r="514" spans="1:36" s="1390" customFormat="1" ht="35" customHeight="1" x14ac:dyDescent="0.15">
      <c r="A514" s="1390">
        <v>285</v>
      </c>
      <c r="B514" s="1472" t="str">
        <f t="shared" si="160"/>
        <v>SEI. PERUPUK - TELUK PAUH</v>
      </c>
      <c r="C514" s="1516" t="s">
        <v>4247</v>
      </c>
      <c r="D514" s="1426"/>
      <c r="E514" s="1429" t="s">
        <v>2506</v>
      </c>
      <c r="F514" s="1539">
        <v>190284000</v>
      </c>
      <c r="G514" s="1517" t="s">
        <v>2494</v>
      </c>
      <c r="H514" s="1518"/>
      <c r="I514" s="1518"/>
      <c r="J514" s="1519">
        <v>0</v>
      </c>
      <c r="K514" s="1517"/>
      <c r="L514" s="1519">
        <v>0</v>
      </c>
      <c r="M514" s="1518" t="s">
        <v>2568</v>
      </c>
      <c r="N514" s="1517">
        <v>2017</v>
      </c>
      <c r="O514" s="1518"/>
      <c r="P514" s="1518"/>
      <c r="Q514" s="1518"/>
      <c r="R514" s="1517" t="s">
        <v>12</v>
      </c>
      <c r="S514" s="1520"/>
      <c r="T514" s="1518"/>
      <c r="U514" s="1572"/>
      <c r="V514" s="1521"/>
      <c r="W514" s="1522" t="str">
        <f t="shared" si="169"/>
        <v>04.13.01</v>
      </c>
      <c r="X514" s="1478" t="str">
        <f t="shared" si="170"/>
        <v>Jalan</v>
      </c>
      <c r="Y514" s="1478">
        <f t="shared" si="171"/>
        <v>10</v>
      </c>
      <c r="Z514" s="1401"/>
      <c r="AA514" s="1444">
        <f>IF(2013-N514&gt;Y514,10,IF(2013-N514&lt;0,0,2013-N514))</f>
        <v>0</v>
      </c>
      <c r="AB514" s="1401"/>
      <c r="AC514" s="1401"/>
      <c r="AD514" s="1401"/>
      <c r="AE514" s="1401"/>
      <c r="AF514" s="1401"/>
      <c r="AG514" s="1479"/>
      <c r="AH514" s="1479"/>
      <c r="AI514" s="1479"/>
      <c r="AJ514" s="1401"/>
    </row>
    <row r="515" spans="1:36" s="1472" customFormat="1" ht="35" customHeight="1" x14ac:dyDescent="0.2">
      <c r="A515" s="1472">
        <v>285</v>
      </c>
      <c r="B515" s="1472" t="str">
        <f t="shared" si="160"/>
        <v>SEI. PERUPUK - TELUK PAUH</v>
      </c>
      <c r="C515" s="1478" t="e">
        <f>RIGHT(#REF!,1)</f>
        <v>#REF!</v>
      </c>
      <c r="D515" s="1576"/>
      <c r="E515" s="1413" t="s">
        <v>3063</v>
      </c>
      <c r="F515" s="1539">
        <v>190356302</v>
      </c>
      <c r="G515" s="1416" t="s">
        <v>2494</v>
      </c>
      <c r="H515" s="1414"/>
      <c r="I515" s="1416"/>
      <c r="J515" s="1500"/>
      <c r="K515" s="1416"/>
      <c r="L515" s="1500"/>
      <c r="M515" s="1429" t="s">
        <v>3281</v>
      </c>
      <c r="N515" s="1416">
        <v>2017</v>
      </c>
      <c r="O515" s="1414"/>
      <c r="P515" s="1414"/>
      <c r="Q515" s="1414"/>
      <c r="R515" s="1501" t="s">
        <v>12</v>
      </c>
      <c r="S515" s="1529"/>
      <c r="T515" s="1528"/>
      <c r="U515" s="1575"/>
      <c r="V515" s="1490"/>
      <c r="W515" s="1478" t="str">
        <f t="shared" si="169"/>
        <v>04.13.01</v>
      </c>
      <c r="X515" s="1478" t="str">
        <f t="shared" si="170"/>
        <v>Jalan</v>
      </c>
      <c r="Y515" s="1478">
        <f t="shared" si="171"/>
        <v>10</v>
      </c>
      <c r="Z515" s="1401"/>
      <c r="AA515" s="1444"/>
      <c r="AB515" s="1401"/>
      <c r="AC515" s="1401"/>
      <c r="AD515" s="1401"/>
      <c r="AE515" s="1401"/>
      <c r="AF515" s="1401"/>
      <c r="AG515" s="1479"/>
      <c r="AH515" s="1479"/>
      <c r="AI515" s="1479"/>
      <c r="AJ515" s="1401">
        <f>S515-AI515</f>
        <v>0</v>
      </c>
    </row>
    <row r="516" spans="1:36" s="1472" customFormat="1" ht="35" customHeight="1" x14ac:dyDescent="0.2">
      <c r="A516" s="1472">
        <v>285</v>
      </c>
      <c r="B516" s="1472" t="str">
        <f t="shared" si="160"/>
        <v>SEI. PERUPUK - TELUK PAUH</v>
      </c>
      <c r="C516" s="1478"/>
      <c r="D516" s="1576"/>
      <c r="E516" s="1413" t="s">
        <v>5681</v>
      </c>
      <c r="F516" s="1539">
        <v>2225328930.6700001</v>
      </c>
      <c r="G516" s="1416" t="s">
        <v>2494</v>
      </c>
      <c r="H516" s="1414"/>
      <c r="I516" s="1416" t="s">
        <v>5532</v>
      </c>
      <c r="J516" s="1500">
        <v>1000</v>
      </c>
      <c r="K516" s="1416">
        <v>4</v>
      </c>
      <c r="L516" s="1500">
        <f>J516*K516</f>
        <v>4000</v>
      </c>
      <c r="M516" s="1429" t="s">
        <v>3798</v>
      </c>
      <c r="N516" s="1416">
        <v>2019</v>
      </c>
      <c r="O516" s="1414" t="s">
        <v>5680</v>
      </c>
      <c r="P516" s="1414" t="s">
        <v>433</v>
      </c>
      <c r="Q516" s="1414"/>
      <c r="R516" s="1501" t="s">
        <v>12</v>
      </c>
      <c r="S516" s="1529"/>
      <c r="T516" s="1528"/>
      <c r="U516" s="1575"/>
      <c r="V516" s="1490"/>
      <c r="W516" s="1478"/>
      <c r="X516" s="1478"/>
      <c r="Y516" s="1478"/>
      <c r="Z516" s="1401"/>
      <c r="AA516" s="1444"/>
      <c r="AB516" s="1401"/>
      <c r="AC516" s="1401"/>
      <c r="AD516" s="1401"/>
      <c r="AE516" s="1401"/>
      <c r="AF516" s="1401"/>
      <c r="AG516" s="1479"/>
      <c r="AH516" s="1479"/>
      <c r="AI516" s="1479"/>
      <c r="AJ516" s="1401"/>
    </row>
    <row r="517" spans="1:36" s="1390" customFormat="1" ht="35" customHeight="1" x14ac:dyDescent="0.2">
      <c r="A517" s="1390">
        <v>286</v>
      </c>
      <c r="B517" s="1472" t="str">
        <f t="shared" si="160"/>
        <v>PULAU JAMBU TELUK PAUH</v>
      </c>
      <c r="C517" s="1478" t="e">
        <f>RIGHT(#REF!,1)</f>
        <v>#REF!</v>
      </c>
      <c r="D517" s="1426"/>
      <c r="E517" s="1429" t="s">
        <v>529</v>
      </c>
      <c r="F517" s="1539"/>
      <c r="G517" s="1517" t="s">
        <v>2494</v>
      </c>
      <c r="H517" s="1518"/>
      <c r="I517" s="1518" t="s">
        <v>503</v>
      </c>
      <c r="J517" s="1533" t="s">
        <v>641</v>
      </c>
      <c r="K517" s="1517">
        <v>7</v>
      </c>
      <c r="L517" s="1519">
        <v>70000</v>
      </c>
      <c r="M517" s="1518" t="s">
        <v>688</v>
      </c>
      <c r="N517" s="1517">
        <v>2001</v>
      </c>
      <c r="O517" s="1518"/>
      <c r="P517" s="1518"/>
      <c r="Q517" s="1518" t="s">
        <v>482</v>
      </c>
      <c r="R517" s="1517" t="s">
        <v>12</v>
      </c>
      <c r="S517" s="1520">
        <v>3000000000</v>
      </c>
      <c r="T517" s="1517" t="s">
        <v>43</v>
      </c>
      <c r="U517" s="1572"/>
      <c r="V517" s="1521"/>
      <c r="W517" s="1478" t="str">
        <f>LEFT(G517,8)</f>
        <v>04.13.01</v>
      </c>
      <c r="X517" s="1478" t="str">
        <f>VLOOKUP(W517,UE,3,FALSE)</f>
        <v>Jalan</v>
      </c>
      <c r="Y517" s="1478">
        <f>VLOOKUP(W517,UE,4,FALSE)</f>
        <v>10</v>
      </c>
      <c r="Z517" s="1401">
        <f>S517/Y517</f>
        <v>300000000</v>
      </c>
      <c r="AA517" s="1444">
        <f>IF(2013-N517+1&gt;Y517,Y517,IF(2013-N517+1&lt;0,0,2013-N517+1))</f>
        <v>10</v>
      </c>
      <c r="AB517" s="1401">
        <f>IF(AA517&gt;Y517,S517,Z517*AA517)</f>
        <v>3000000000</v>
      </c>
      <c r="AC517" s="1401">
        <f>IF(S517=AB517,0,Z517)</f>
        <v>0</v>
      </c>
      <c r="AD517" s="1401">
        <f>IF(S517=AB517+AC517,0,Z517)</f>
        <v>0</v>
      </c>
      <c r="AE517" s="1401">
        <f>IF(S517=AB517+AC517+AD517,0,Z517)</f>
        <v>0</v>
      </c>
      <c r="AF517" s="1401">
        <f>IF(S517=AC517+AD517+AE517+AB517,0,Z517)</f>
        <v>0</v>
      </c>
      <c r="AG517" s="1479">
        <f>IF(S517=AC517+AD517+AE517+AB517+AF517,0,Z517)</f>
        <v>0</v>
      </c>
      <c r="AH517" s="1479">
        <f>IF(S517=AC517+AD517+AE517+AB517+AF517+AG517,0,Z517)</f>
        <v>0</v>
      </c>
      <c r="AI517" s="1479">
        <f>SUM(AB517:AH517)</f>
        <v>3000000000</v>
      </c>
      <c r="AJ517" s="1401">
        <f t="shared" ref="AJ517:AJ524" si="172">S517-AI517</f>
        <v>0</v>
      </c>
    </row>
    <row r="518" spans="1:36" s="1390" customFormat="1" ht="35" customHeight="1" x14ac:dyDescent="0.2">
      <c r="A518" s="1390">
        <v>287</v>
      </c>
      <c r="B518" s="1472" t="str">
        <f t="shared" si="160"/>
        <v>JL. DIPONEGORO  - JL. YOS SUDARSO</v>
      </c>
      <c r="C518" s="1478" t="e">
        <f>RIGHT(#REF!,1)</f>
        <v>#REF!</v>
      </c>
      <c r="D518" s="1426"/>
      <c r="E518" s="1429" t="s">
        <v>529</v>
      </c>
      <c r="F518" s="1539"/>
      <c r="G518" s="1517" t="s">
        <v>2494</v>
      </c>
      <c r="H518" s="1518"/>
      <c r="I518" s="1518" t="s">
        <v>525</v>
      </c>
      <c r="J518" s="1533" t="s">
        <v>536</v>
      </c>
      <c r="K518" s="1517"/>
      <c r="L518" s="1519"/>
      <c r="M518" s="1518" t="s">
        <v>689</v>
      </c>
      <c r="N518" s="1517">
        <v>2001</v>
      </c>
      <c r="O518" s="1518"/>
      <c r="P518" s="1518"/>
      <c r="Q518" s="1518" t="s">
        <v>482</v>
      </c>
      <c r="R518" s="1517" t="s">
        <v>12</v>
      </c>
      <c r="S518" s="1520">
        <v>263250000</v>
      </c>
      <c r="T518" s="1517" t="s">
        <v>43</v>
      </c>
      <c r="U518" s="1572"/>
      <c r="V518" s="1521"/>
      <c r="W518" s="1478" t="str">
        <f>LEFT(G518,8)</f>
        <v>04.13.01</v>
      </c>
      <c r="X518" s="1478" t="str">
        <f>VLOOKUP(W518,UE,3,FALSE)</f>
        <v>Jalan</v>
      </c>
      <c r="Y518" s="1478">
        <f>VLOOKUP(W518,UE,4,FALSE)</f>
        <v>10</v>
      </c>
      <c r="Z518" s="1401">
        <f>S518/Y518</f>
        <v>26325000</v>
      </c>
      <c r="AA518" s="1444">
        <f>IF(2013-N518+1&gt;Y518,Y518,IF(2013-N518+1&lt;0,0,2013-N518+1))</f>
        <v>10</v>
      </c>
      <c r="AB518" s="1401">
        <f>IF(AA518&gt;Y518,S518,Z518*AA518)</f>
        <v>263250000</v>
      </c>
      <c r="AC518" s="1401">
        <f>IF(S518=AB518,0,Z518)</f>
        <v>0</v>
      </c>
      <c r="AD518" s="1401">
        <f>IF(S518=AB518+AC518,0,Z518)</f>
        <v>0</v>
      </c>
      <c r="AE518" s="1401">
        <f>IF(S518=AB518+AC518+AD518,0,Z518)</f>
        <v>0</v>
      </c>
      <c r="AF518" s="1401">
        <f>IF(S518=AC518+AD518+AE518+AB518,0,Z518)</f>
        <v>0</v>
      </c>
      <c r="AG518" s="1479">
        <f>IF(S518=AC518+AD518+AE518+AB518+AF518,0,Z518)</f>
        <v>0</v>
      </c>
      <c r="AH518" s="1479">
        <f>IF(S518=AC518+AD518+AE518+AB518+AF518+AG518,0,Z518)</f>
        <v>0</v>
      </c>
      <c r="AI518" s="1479">
        <f>SUM(AB518:AH518)</f>
        <v>263250000</v>
      </c>
      <c r="AJ518" s="1401">
        <f t="shared" si="172"/>
        <v>0</v>
      </c>
    </row>
    <row r="519" spans="1:36" s="1390" customFormat="1" ht="35" customHeight="1" x14ac:dyDescent="0.2">
      <c r="A519" s="1390">
        <v>288</v>
      </c>
      <c r="B519" s="1472" t="str">
        <f t="shared" si="160"/>
        <v>JL. IMAM BONJOL -  JP KM 220 + 000</v>
      </c>
      <c r="C519" s="1478" t="e">
        <f>RIGHT(#REF!,1)</f>
        <v>#REF!</v>
      </c>
      <c r="D519" s="1426"/>
      <c r="E519" s="1429" t="s">
        <v>529</v>
      </c>
      <c r="F519" s="1539"/>
      <c r="G519" s="1517" t="s">
        <v>2494</v>
      </c>
      <c r="H519" s="1518"/>
      <c r="I519" s="1518" t="s">
        <v>525</v>
      </c>
      <c r="J519" s="1533" t="s">
        <v>625</v>
      </c>
      <c r="K519" s="1517"/>
      <c r="L519" s="1519"/>
      <c r="M519" s="1518" t="s">
        <v>626</v>
      </c>
      <c r="N519" s="1517">
        <v>2001</v>
      </c>
      <c r="O519" s="1518"/>
      <c r="P519" s="1518"/>
      <c r="Q519" s="1518" t="s">
        <v>482</v>
      </c>
      <c r="R519" s="1517" t="s">
        <v>12</v>
      </c>
      <c r="S519" s="1520">
        <v>175500000</v>
      </c>
      <c r="T519" s="1517" t="s">
        <v>43</v>
      </c>
      <c r="U519" s="1572"/>
      <c r="V519" s="1521"/>
      <c r="W519" s="1478" t="str">
        <f>LEFT(G519,8)</f>
        <v>04.13.01</v>
      </c>
      <c r="X519" s="1478" t="str">
        <f>VLOOKUP(W519,UE,3,FALSE)</f>
        <v>Jalan</v>
      </c>
      <c r="Y519" s="1478">
        <f>VLOOKUP(W519,UE,4,FALSE)</f>
        <v>10</v>
      </c>
      <c r="Z519" s="1401">
        <f>S519/Y519</f>
        <v>17550000</v>
      </c>
      <c r="AA519" s="1444">
        <f>IF(2013-N519+1&gt;Y519,Y519,IF(2013-N519+1&lt;0,0,2013-N519+1))</f>
        <v>10</v>
      </c>
      <c r="AB519" s="1401">
        <f>IF(AA519&gt;Y519,S519,Z519*AA519)</f>
        <v>175500000</v>
      </c>
      <c r="AC519" s="1401">
        <f>IF(S519=AB519,0,Z519)</f>
        <v>0</v>
      </c>
      <c r="AD519" s="1401">
        <f>IF(S519=AB519+AC519,0,Z519)</f>
        <v>0</v>
      </c>
      <c r="AE519" s="1401">
        <f>IF(S519=AB519+AC519+AD519,0,Z519)</f>
        <v>0</v>
      </c>
      <c r="AF519" s="1401">
        <f>IF(S519=AC519+AD519+AE519+AB519,0,Z519)</f>
        <v>0</v>
      </c>
      <c r="AG519" s="1479">
        <f>IF(S519=AC519+AD519+AE519+AB519+AF519,0,Z519)</f>
        <v>0</v>
      </c>
      <c r="AH519" s="1479">
        <f>IF(S519=AC519+AD519+AE519+AB519+AF519+AG519,0,Z519)</f>
        <v>0</v>
      </c>
      <c r="AI519" s="1479">
        <f>SUM(AB519:AH519)</f>
        <v>175500000</v>
      </c>
      <c r="AJ519" s="1401">
        <f t="shared" si="172"/>
        <v>0</v>
      </c>
    </row>
    <row r="520" spans="1:36" s="1390" customFormat="1" ht="35" customHeight="1" x14ac:dyDescent="0.2">
      <c r="A520" s="1390">
        <v>293</v>
      </c>
      <c r="B520" s="1472" t="str">
        <f t="shared" si="160"/>
        <v>TELUK PAUH - BATAS INHU</v>
      </c>
      <c r="C520" s="1478" t="e">
        <f>RIGHT(#REF!,1)</f>
        <v>#REF!</v>
      </c>
      <c r="D520" s="1426"/>
      <c r="E520" s="1429" t="s">
        <v>529</v>
      </c>
      <c r="F520" s="1539"/>
      <c r="G520" s="1517" t="s">
        <v>2494</v>
      </c>
      <c r="H520" s="1518"/>
      <c r="I520" s="1518" t="s">
        <v>525</v>
      </c>
      <c r="J520" s="1533" t="s">
        <v>522</v>
      </c>
      <c r="K520" s="1517">
        <v>7</v>
      </c>
      <c r="L520" s="1519">
        <v>42000</v>
      </c>
      <c r="M520" s="1518" t="s">
        <v>683</v>
      </c>
      <c r="N520" s="1517">
        <v>2001</v>
      </c>
      <c r="O520" s="1518"/>
      <c r="P520" s="1518"/>
      <c r="Q520" s="1518" t="s">
        <v>384</v>
      </c>
      <c r="R520" s="1517" t="s">
        <v>12</v>
      </c>
      <c r="S520" s="1520">
        <v>3240000000</v>
      </c>
      <c r="T520" s="1517" t="s">
        <v>43</v>
      </c>
      <c r="U520" s="1572"/>
      <c r="V520" s="1521"/>
      <c r="W520" s="1478" t="str">
        <f>LEFT(G520,8)</f>
        <v>04.13.01</v>
      </c>
      <c r="X520" s="1478" t="str">
        <f>VLOOKUP(W520,UE,3,FALSE)</f>
        <v>Jalan</v>
      </c>
      <c r="Y520" s="1478">
        <f>VLOOKUP(W520,UE,4,FALSE)</f>
        <v>10</v>
      </c>
      <c r="Z520" s="1401">
        <f>S520/Y520</f>
        <v>324000000</v>
      </c>
      <c r="AA520" s="1444">
        <f>IF(2013-N520+1&gt;Y520,Y520,IF(2013-N520+1&lt;0,0,2013-N520+1))</f>
        <v>10</v>
      </c>
      <c r="AB520" s="1401">
        <f>IF(AA520&gt;Y520,S520,Z520*AA520)</f>
        <v>3240000000</v>
      </c>
      <c r="AC520" s="1401">
        <f>IF(S520=AB520,0,Z520)</f>
        <v>0</v>
      </c>
      <c r="AD520" s="1401">
        <f>IF(S520=AB520+AC520,0,Z520)</f>
        <v>0</v>
      </c>
      <c r="AE520" s="1401">
        <f>IF(S520=AB520+AC520+AD520,0,Z520)</f>
        <v>0</v>
      </c>
      <c r="AF520" s="1401">
        <f>IF(S520=AC520+AD520+AE520+AB520,0,Z520)</f>
        <v>0</v>
      </c>
      <c r="AG520" s="1479">
        <f>IF(S520=AC520+AD520+AE520+AB520+AF520,0,Z520)</f>
        <v>0</v>
      </c>
      <c r="AH520" s="1479">
        <f>IF(S520=AC520+AD520+AE520+AB520+AF520+AG520,0,Z520)</f>
        <v>0</v>
      </c>
      <c r="AI520" s="1479">
        <f>SUM(AB520:AH520)</f>
        <v>3240000000</v>
      </c>
      <c r="AJ520" s="1401">
        <f t="shared" si="172"/>
        <v>0</v>
      </c>
    </row>
    <row r="521" spans="1:36" s="1390" customFormat="1" ht="35" customHeight="1" x14ac:dyDescent="0.2">
      <c r="A521" s="1390">
        <v>294</v>
      </c>
      <c r="B521" s="1472" t="str">
        <f t="shared" si="160"/>
        <v>TELUK PAUH - PESIKAIAN</v>
      </c>
      <c r="C521" s="1478" t="e">
        <f>RIGHT(#REF!,1)</f>
        <v>#REF!</v>
      </c>
      <c r="D521" s="1426"/>
      <c r="E521" s="1429" t="s">
        <v>5876</v>
      </c>
      <c r="F521" s="1539"/>
      <c r="G521" s="1517" t="s">
        <v>2494</v>
      </c>
      <c r="H521" s="1518"/>
      <c r="I521" s="1518" t="s">
        <v>525</v>
      </c>
      <c r="J521" s="1533" t="s">
        <v>501</v>
      </c>
      <c r="K521" s="1517"/>
      <c r="L521" s="1519"/>
      <c r="M521" s="1518" t="s">
        <v>4799</v>
      </c>
      <c r="N521" s="1517">
        <v>2001</v>
      </c>
      <c r="O521" s="1518"/>
      <c r="P521" s="1518"/>
      <c r="Q521" s="1518" t="s">
        <v>482</v>
      </c>
      <c r="R521" s="1517" t="s">
        <v>12</v>
      </c>
      <c r="S521" s="1520">
        <f>2835000000+F522</f>
        <v>3024466188</v>
      </c>
      <c r="T521" s="1517" t="s">
        <v>43</v>
      </c>
      <c r="U521" s="1572"/>
      <c r="V521" s="1521"/>
      <c r="W521" s="1478" t="str">
        <f t="shared" ref="W521:W580" si="173">LEFT(G521,8)</f>
        <v>04.13.01</v>
      </c>
      <c r="X521" s="1478" t="str">
        <f t="shared" ref="X521:X580" si="174">VLOOKUP(W521,UE,3,FALSE)</f>
        <v>Jalan</v>
      </c>
      <c r="Y521" s="1478">
        <f t="shared" ref="Y521:Y580" si="175">VLOOKUP(W521,UE,4,FALSE)</f>
        <v>10</v>
      </c>
      <c r="Z521" s="1401"/>
      <c r="AA521" s="1444">
        <f>IF(2013-N521&gt;Y521,10,IF(2013-N521&lt;0,0,2013-N521))</f>
        <v>10</v>
      </c>
      <c r="AB521" s="1401">
        <f>SUM(PERHITUNGAN!U1772:U1776)</f>
        <v>2835000000</v>
      </c>
      <c r="AC521" s="1479">
        <f>SUMIF(PERHITUNGAN!A:A,'KIB D'!B521&amp;'KIB D'!$AC$7,PERHITUNGAN!U:U)</f>
        <v>0</v>
      </c>
      <c r="AD521" s="1479">
        <f>SUMIF(PERHITUNGAN!A:A,'KIB D'!B521&amp;'KIB D'!$AD$7,PERHITUNGAN!U:U)</f>
        <v>0</v>
      </c>
      <c r="AE521" s="1479">
        <f>SUMIF(PERHITUNGAN!A:A,'KIB D'!B521&amp;'KIB D'!$AE$7,PERHITUNGAN!U:U)</f>
        <v>0</v>
      </c>
      <c r="AF521" s="1479">
        <f>SUMIF(PERHITUNGAN!A:A,'KIB D'!B521&amp;'KIB D'!$AF$7,PERHITUNGAN!U:U)</f>
        <v>0</v>
      </c>
      <c r="AG521" s="1479">
        <f>SUMIF(PERHITUNGAN!A:A,'KIB D'!B521&amp;'KIB D'!$AG$7,PERHITUNGAN!U:U)</f>
        <v>18946618.800000001</v>
      </c>
      <c r="AH521" s="1479">
        <f>SUMIF(PERHITUNGAN!A:A,'KIB D'!B521&amp;'KIB D'!$AH$7,PERHITUNGAN!U:U)</f>
        <v>18946618.800000001</v>
      </c>
      <c r="AI521" s="1479">
        <f>SUM(AB521:AH521)</f>
        <v>2872893237.6000004</v>
      </c>
      <c r="AJ521" s="1401">
        <f t="shared" si="172"/>
        <v>151572950.39999962</v>
      </c>
    </row>
    <row r="522" spans="1:36" s="1390" customFormat="1" ht="35" customHeight="1" x14ac:dyDescent="0.2">
      <c r="A522" s="1390">
        <v>294</v>
      </c>
      <c r="B522" s="1472" t="str">
        <f t="shared" si="160"/>
        <v>TELUK PAUH - PESIKAIAN</v>
      </c>
      <c r="C522" s="1478" t="e">
        <f>RIGHT(#REF!,1)</f>
        <v>#REF!</v>
      </c>
      <c r="D522" s="1426"/>
      <c r="E522" s="1429" t="s">
        <v>3329</v>
      </c>
      <c r="F522" s="1539">
        <v>189466188</v>
      </c>
      <c r="G522" s="1517" t="s">
        <v>2494</v>
      </c>
      <c r="H522" s="1518"/>
      <c r="I522" s="1518"/>
      <c r="J522" s="1519">
        <v>0</v>
      </c>
      <c r="K522" s="1517"/>
      <c r="L522" s="1519">
        <v>0</v>
      </c>
      <c r="M522" s="1518" t="s">
        <v>3304</v>
      </c>
      <c r="N522" s="1517">
        <v>2018</v>
      </c>
      <c r="O522" s="1518"/>
      <c r="P522" s="1518"/>
      <c r="Q522" s="1518"/>
      <c r="R522" s="1517" t="s">
        <v>12</v>
      </c>
      <c r="S522" s="1520"/>
      <c r="T522" s="1518"/>
      <c r="U522" s="1572"/>
      <c r="V522" s="1521"/>
      <c r="W522" s="1478" t="str">
        <f t="shared" si="173"/>
        <v>04.13.01</v>
      </c>
      <c r="X522" s="1478" t="str">
        <f t="shared" si="174"/>
        <v>Jalan</v>
      </c>
      <c r="Y522" s="1478">
        <f t="shared" si="175"/>
        <v>10</v>
      </c>
      <c r="Z522" s="1401"/>
      <c r="AA522" s="1444"/>
      <c r="AB522" s="1401"/>
      <c r="AC522" s="1401"/>
      <c r="AD522" s="1401"/>
      <c r="AE522" s="1401"/>
      <c r="AF522" s="1401"/>
      <c r="AG522" s="1479"/>
      <c r="AH522" s="1479"/>
      <c r="AI522" s="1479"/>
      <c r="AJ522" s="1401">
        <f t="shared" si="172"/>
        <v>0</v>
      </c>
    </row>
    <row r="523" spans="1:36" s="1390" customFormat="1" ht="35" customHeight="1" x14ac:dyDescent="0.15">
      <c r="A523" s="1390">
        <v>295</v>
      </c>
      <c r="B523" s="1472" t="str">
        <f t="shared" si="160"/>
        <v>SEI. PERUPUK - PULAU BAYUR</v>
      </c>
      <c r="C523" s="1516" t="s">
        <v>4247</v>
      </c>
      <c r="D523" s="1426"/>
      <c r="E523" s="1429" t="s">
        <v>5877</v>
      </c>
      <c r="F523" s="1539"/>
      <c r="G523" s="1517" t="s">
        <v>2494</v>
      </c>
      <c r="H523" s="1518"/>
      <c r="I523" s="1518" t="s">
        <v>8</v>
      </c>
      <c r="J523" s="1533" t="s">
        <v>685</v>
      </c>
      <c r="K523" s="1517">
        <v>7</v>
      </c>
      <c r="L523" s="1519">
        <v>31500</v>
      </c>
      <c r="M523" s="1518" t="s">
        <v>686</v>
      </c>
      <c r="N523" s="1517">
        <v>2001</v>
      </c>
      <c r="O523" s="1518"/>
      <c r="P523" s="1518"/>
      <c r="Q523" s="1518" t="s">
        <v>482</v>
      </c>
      <c r="R523" s="1517" t="s">
        <v>12</v>
      </c>
      <c r="S523" s="1520">
        <f>1215000000+F524+F525+F526+F527</f>
        <v>12005862091.77</v>
      </c>
      <c r="T523" s="1517" t="s">
        <v>43</v>
      </c>
      <c r="U523" s="1572"/>
      <c r="V523" s="1521"/>
      <c r="W523" s="1522" t="str">
        <f t="shared" si="173"/>
        <v>04.13.01</v>
      </c>
      <c r="X523" s="1478" t="str">
        <f t="shared" si="174"/>
        <v>Jalan</v>
      </c>
      <c r="Y523" s="1478">
        <f t="shared" si="175"/>
        <v>10</v>
      </c>
      <c r="Z523" s="1401"/>
      <c r="AA523" s="1444">
        <f>IF(2013-N523&gt;Y523,10,IF(2013-N523&lt;0,0,2013-N523))</f>
        <v>10</v>
      </c>
      <c r="AB523" s="1401">
        <f>SUM(PERHITUNGAN!U1791:U1800)</f>
        <v>4558389946.3399992</v>
      </c>
      <c r="AC523" s="1479">
        <f>SUMIF(PERHITUNGAN!A:A,'KIB D'!B523&amp;'KIB D'!$AC$7,PERHITUNGAN!U:U)</f>
        <v>547055706.62</v>
      </c>
      <c r="AD523" s="1479">
        <f>SUMIF(PERHITUNGAN!A:A,'KIB D'!B523&amp;'KIB D'!$AD$7,PERHITUNGAN!U:U)</f>
        <v>313283406.94400007</v>
      </c>
      <c r="AE523" s="1479">
        <f>SUMIF(PERHITUNGAN!A:A,'KIB D'!B523&amp;'KIB D'!$AE$7,PERHITUNGAN!U:U)</f>
        <v>476446673.98660004</v>
      </c>
      <c r="AF523" s="1479">
        <f>SUMIF(PERHITUNGAN!A:A,'KIB D'!B523&amp;'KIB D'!$AF$7,PERHITUNGAN!U:U)</f>
        <v>476446673.98660004</v>
      </c>
      <c r="AG523" s="1479">
        <f>SUMIF(PERHITUNGAN!A:A,'KIB D'!B523&amp;'KIB D'!$AG$7,PERHITUNGAN!U:U)</f>
        <v>563423968.38928008</v>
      </c>
      <c r="AH523" s="1479">
        <f>SUMIF(PERHITUNGAN!A:A,'KIB D'!B523&amp;'KIB D'!$AH$7,PERHITUNGAN!U:U)</f>
        <v>563423968.38928008</v>
      </c>
      <c r="AI523" s="1479">
        <f>SUM(AB523:AH523)</f>
        <v>7498470344.6557598</v>
      </c>
      <c r="AJ523" s="1401">
        <f t="shared" si="172"/>
        <v>4507391747.1142406</v>
      </c>
    </row>
    <row r="524" spans="1:36" s="1390" customFormat="1" ht="112" customHeight="1" x14ac:dyDescent="0.2">
      <c r="A524" s="1390">
        <v>295</v>
      </c>
      <c r="B524" s="1472" t="str">
        <f t="shared" si="160"/>
        <v>SEI. PERUPUK - PULAU BAYUR</v>
      </c>
      <c r="C524" s="1478" t="e">
        <f>RIGHT(#REF!,1)</f>
        <v>#REF!</v>
      </c>
      <c r="D524" s="1426"/>
      <c r="E524" s="1429" t="s">
        <v>1199</v>
      </c>
      <c r="F524" s="1539">
        <v>4984557066.1999998</v>
      </c>
      <c r="G524" s="1416" t="s">
        <v>2494</v>
      </c>
      <c r="H524" s="1508"/>
      <c r="I524" s="1416"/>
      <c r="J524" s="1500"/>
      <c r="K524" s="1416"/>
      <c r="L524" s="1500"/>
      <c r="M524" s="1429" t="s">
        <v>3121</v>
      </c>
      <c r="N524" s="1416">
        <v>2007</v>
      </c>
      <c r="O524" s="1414"/>
      <c r="P524" s="1414"/>
      <c r="Q524" s="1414"/>
      <c r="R524" s="1416" t="s">
        <v>12</v>
      </c>
      <c r="S524" s="1529"/>
      <c r="T524" s="1416" t="s">
        <v>43</v>
      </c>
      <c r="U524" s="1427"/>
      <c r="V524" s="1477"/>
      <c r="W524" s="1478" t="str">
        <f t="shared" si="173"/>
        <v>04.13.01</v>
      </c>
      <c r="X524" s="1478" t="str">
        <f t="shared" si="174"/>
        <v>Jalan</v>
      </c>
      <c r="Y524" s="1478">
        <f t="shared" si="175"/>
        <v>10</v>
      </c>
      <c r="Z524" s="1401"/>
      <c r="AA524" s="1444"/>
      <c r="AB524" s="1401"/>
      <c r="AC524" s="1401"/>
      <c r="AD524" s="1401"/>
      <c r="AE524" s="1401"/>
      <c r="AF524" s="1401"/>
      <c r="AG524" s="1479"/>
      <c r="AH524" s="1479"/>
      <c r="AI524" s="1479"/>
      <c r="AJ524" s="1401">
        <f t="shared" si="172"/>
        <v>0</v>
      </c>
    </row>
    <row r="525" spans="1:36" s="1390" customFormat="1" ht="30" customHeight="1" x14ac:dyDescent="0.15">
      <c r="A525" s="1390">
        <v>295</v>
      </c>
      <c r="B525" s="1472" t="str">
        <f t="shared" si="160"/>
        <v>SEI. PERUPUK - PULAU BAYUR</v>
      </c>
      <c r="C525" s="1516" t="s">
        <v>4247</v>
      </c>
      <c r="D525" s="1426"/>
      <c r="E525" s="1429" t="s">
        <v>1371</v>
      </c>
      <c r="F525" s="1539">
        <v>2038722656.2</v>
      </c>
      <c r="G525" s="1517" t="s">
        <v>2494</v>
      </c>
      <c r="H525" s="1518"/>
      <c r="I525" s="1518"/>
      <c r="J525" s="1519">
        <v>0</v>
      </c>
      <c r="K525" s="1517"/>
      <c r="L525" s="1519">
        <v>0</v>
      </c>
      <c r="M525" s="1518" t="s">
        <v>3449</v>
      </c>
      <c r="N525" s="1517">
        <v>2015</v>
      </c>
      <c r="O525" s="1518"/>
      <c r="P525" s="1518"/>
      <c r="Q525" s="1518"/>
      <c r="R525" s="1517" t="s">
        <v>12</v>
      </c>
      <c r="S525" s="1520"/>
      <c r="T525" s="1518"/>
      <c r="U525" s="1572"/>
      <c r="V525" s="1521"/>
      <c r="W525" s="1522" t="str">
        <f t="shared" si="173"/>
        <v>04.13.01</v>
      </c>
      <c r="X525" s="1478" t="str">
        <f t="shared" si="174"/>
        <v>Jalan</v>
      </c>
      <c r="Y525" s="1478">
        <f t="shared" si="175"/>
        <v>10</v>
      </c>
      <c r="Z525" s="1401"/>
      <c r="AA525" s="1444"/>
      <c r="AB525" s="1401"/>
      <c r="AC525" s="1401"/>
      <c r="AD525" s="1401"/>
      <c r="AE525" s="1401"/>
      <c r="AF525" s="1401"/>
      <c r="AG525" s="1479"/>
      <c r="AH525" s="1479"/>
      <c r="AI525" s="1479"/>
      <c r="AJ525" s="1401"/>
    </row>
    <row r="526" spans="1:36" s="1390" customFormat="1" ht="30" customHeight="1" x14ac:dyDescent="0.15">
      <c r="A526" s="1390">
        <v>295</v>
      </c>
      <c r="B526" s="1472" t="str">
        <f t="shared" si="160"/>
        <v>SEI. PERUPUK - PULAU BAYUR</v>
      </c>
      <c r="C526" s="1516" t="s">
        <v>4247</v>
      </c>
      <c r="D526" s="1426"/>
      <c r="E526" s="1429" t="s">
        <v>1460</v>
      </c>
      <c r="F526" s="1539">
        <v>1944916077.3699999</v>
      </c>
      <c r="G526" s="1517" t="s">
        <v>2494</v>
      </c>
      <c r="H526" s="1518"/>
      <c r="I526" s="1518"/>
      <c r="J526" s="1519">
        <v>0</v>
      </c>
      <c r="K526" s="1517"/>
      <c r="L526" s="1519">
        <v>0</v>
      </c>
      <c r="M526" s="1518" t="s">
        <v>3449</v>
      </c>
      <c r="N526" s="1517">
        <v>2016</v>
      </c>
      <c r="O526" s="1518"/>
      <c r="P526" s="1518"/>
      <c r="Q526" s="1518"/>
      <c r="R526" s="1517" t="s">
        <v>12</v>
      </c>
      <c r="S526" s="1520"/>
      <c r="T526" s="1518"/>
      <c r="U526" s="1572"/>
      <c r="V526" s="1521"/>
      <c r="W526" s="1522" t="str">
        <f t="shared" si="173"/>
        <v>04.13.01</v>
      </c>
      <c r="X526" s="1478" t="str">
        <f t="shared" si="174"/>
        <v>Jalan</v>
      </c>
      <c r="Y526" s="1478">
        <f t="shared" si="175"/>
        <v>10</v>
      </c>
      <c r="Z526" s="1401"/>
      <c r="AA526" s="1444"/>
      <c r="AB526" s="1401"/>
      <c r="AC526" s="1401"/>
      <c r="AD526" s="1401"/>
      <c r="AE526" s="1401"/>
      <c r="AF526" s="1401"/>
      <c r="AG526" s="1479"/>
      <c r="AH526" s="1479"/>
      <c r="AI526" s="1479"/>
      <c r="AJ526" s="1401"/>
    </row>
    <row r="527" spans="1:36" s="1472" customFormat="1" ht="30" customHeight="1" x14ac:dyDescent="0.2">
      <c r="A527" s="1390">
        <v>295</v>
      </c>
      <c r="B527" s="1472" t="str">
        <f t="shared" si="160"/>
        <v>SEI. PERUPUK - PULAU BAYUR</v>
      </c>
      <c r="C527" s="1478" t="e">
        <f>RIGHT(#REF!,1)</f>
        <v>#REF!</v>
      </c>
      <c r="D527" s="1576"/>
      <c r="E527" s="1413" t="s">
        <v>3335</v>
      </c>
      <c r="F527" s="1539">
        <v>1822666292</v>
      </c>
      <c r="G527" s="1416" t="s">
        <v>2494</v>
      </c>
      <c r="H527" s="1414"/>
      <c r="I527" s="1416"/>
      <c r="J527" s="1500"/>
      <c r="K527" s="1416"/>
      <c r="L527" s="1500"/>
      <c r="M527" s="1429" t="s">
        <v>3310</v>
      </c>
      <c r="N527" s="1416">
        <v>2018</v>
      </c>
      <c r="O527" s="1414"/>
      <c r="P527" s="1414"/>
      <c r="Q527" s="1414"/>
      <c r="R527" s="1501" t="s">
        <v>12</v>
      </c>
      <c r="S527" s="1529"/>
      <c r="T527" s="1528"/>
      <c r="U527" s="1575"/>
      <c r="V527" s="1490"/>
      <c r="W527" s="1478" t="str">
        <f t="shared" si="173"/>
        <v>04.13.01</v>
      </c>
      <c r="X527" s="1478" t="str">
        <f t="shared" si="174"/>
        <v>Jalan</v>
      </c>
      <c r="Y527" s="1478">
        <f t="shared" si="175"/>
        <v>10</v>
      </c>
      <c r="Z527" s="1401">
        <f>S527/Y527</f>
        <v>0</v>
      </c>
      <c r="AA527" s="1444"/>
      <c r="AB527" s="1401"/>
      <c r="AC527" s="1401"/>
      <c r="AD527" s="1401"/>
      <c r="AE527" s="1401"/>
      <c r="AF527" s="1401"/>
      <c r="AG527" s="1479">
        <f>IF(S527=AC527+AD527+AE527+AB527+AF527,0,Z527)</f>
        <v>0</v>
      </c>
      <c r="AH527" s="1479"/>
      <c r="AI527" s="1479">
        <f>SUM(AB527:AG527)</f>
        <v>0</v>
      </c>
      <c r="AJ527" s="1401">
        <f>S527-AI527</f>
        <v>0</v>
      </c>
    </row>
    <row r="528" spans="1:36" s="1390" customFormat="1" ht="30" customHeight="1" x14ac:dyDescent="0.15">
      <c r="A528" s="1390">
        <v>296</v>
      </c>
      <c r="B528" s="1472" t="str">
        <f t="shared" si="160"/>
        <v>INUMAN - PULAU BUSUK</v>
      </c>
      <c r="C528" s="1516" t="s">
        <v>4247</v>
      </c>
      <c r="D528" s="1426"/>
      <c r="E528" s="1429" t="s">
        <v>5878</v>
      </c>
      <c r="F528" s="1539"/>
      <c r="G528" s="1517" t="s">
        <v>2494</v>
      </c>
      <c r="H528" s="1518"/>
      <c r="I528" s="1518" t="s">
        <v>484</v>
      </c>
      <c r="J528" s="1533">
        <v>3300</v>
      </c>
      <c r="K528" s="1517"/>
      <c r="L528" s="1519">
        <v>0</v>
      </c>
      <c r="M528" s="1518" t="s">
        <v>3081</v>
      </c>
      <c r="N528" s="1517">
        <v>2001</v>
      </c>
      <c r="O528" s="1518"/>
      <c r="P528" s="1518"/>
      <c r="Q528" s="1518" t="s">
        <v>482</v>
      </c>
      <c r="R528" s="1517" t="s">
        <v>12</v>
      </c>
      <c r="S528" s="1520">
        <f>1108800000+F529+F530+F531</f>
        <v>5484259682</v>
      </c>
      <c r="T528" s="1517" t="s">
        <v>43</v>
      </c>
      <c r="U528" s="1572"/>
      <c r="V528" s="1521"/>
      <c r="W528" s="1522" t="str">
        <f t="shared" si="173"/>
        <v>04.13.01</v>
      </c>
      <c r="X528" s="1478" t="str">
        <f t="shared" si="174"/>
        <v>Jalan</v>
      </c>
      <c r="Y528" s="1478">
        <f t="shared" si="175"/>
        <v>10</v>
      </c>
      <c r="Z528" s="1401"/>
      <c r="AA528" s="1444">
        <f>IF(2013-N528&gt;Y528,10,IF(2013-N528&lt;0,0,2013-N528))</f>
        <v>10</v>
      </c>
      <c r="AB528" s="1401">
        <f>SUM(PERHITUNGAN!U1815:U1819)</f>
        <v>1108800000</v>
      </c>
      <c r="AC528" s="1479">
        <f>SUMIF(PERHITUNGAN!A:A,'KIB D'!B528&amp;'KIB D'!$AC$7,PERHITUNGAN!U:U)</f>
        <v>0</v>
      </c>
      <c r="AD528" s="1479">
        <f>SUMIF(PERHITUNGAN!A:A,'KIB D'!B528&amp;'KIB D'!$AD$7,PERHITUNGAN!U:U)</f>
        <v>202574016.80000001</v>
      </c>
      <c r="AE528" s="1479">
        <f>SUMIF(PERHITUNGAN!A:A,'KIB D'!B528&amp;'KIB D'!$AE$7,PERHITUNGAN!U:U)</f>
        <v>202574016.80000001</v>
      </c>
      <c r="AF528" s="1479">
        <f>SUMIF(PERHITUNGAN!A:A,'KIB D'!B528&amp;'KIB D'!$AF$7,PERHITUNGAN!U:U)</f>
        <v>180625113.44</v>
      </c>
      <c r="AG528" s="1479">
        <f>SUMIF(PERHITUNGAN!A:A,'KIB D'!B528&amp;'KIB D'!$AG$7,PERHITUNGAN!U:U)</f>
        <v>378968653.49599999</v>
      </c>
      <c r="AH528" s="1479">
        <f>SUMIF(PERHITUNGAN!A:A,'KIB D'!B528&amp;'KIB D'!$AH$7,PERHITUNGAN!U:U)</f>
        <v>378968653.49599999</v>
      </c>
      <c r="AI528" s="1479">
        <f>SUM(AB528:AH528)</f>
        <v>2452510454.0320001</v>
      </c>
      <c r="AJ528" s="1401">
        <f>S528-AI528</f>
        <v>3031749227.9679999</v>
      </c>
    </row>
    <row r="529" spans="1:36" s="1390" customFormat="1" ht="30" customHeight="1" x14ac:dyDescent="0.15">
      <c r="A529" s="1390">
        <v>296</v>
      </c>
      <c r="B529" s="1472" t="str">
        <f t="shared" si="160"/>
        <v>INUMAN - PULAU BUSUK</v>
      </c>
      <c r="C529" s="1516" t="s">
        <v>4247</v>
      </c>
      <c r="D529" s="1426"/>
      <c r="E529" s="1429" t="s">
        <v>1369</v>
      </c>
      <c r="F529" s="1539">
        <v>2025740168</v>
      </c>
      <c r="G529" s="1517" t="s">
        <v>2494</v>
      </c>
      <c r="H529" s="1518"/>
      <c r="I529" s="1518"/>
      <c r="J529" s="1519">
        <v>0</v>
      </c>
      <c r="K529" s="1517"/>
      <c r="L529" s="1519">
        <v>0</v>
      </c>
      <c r="M529" s="1518" t="s">
        <v>3081</v>
      </c>
      <c r="N529" s="1517">
        <v>2015</v>
      </c>
      <c r="O529" s="1518"/>
      <c r="P529" s="1518"/>
      <c r="Q529" s="1518"/>
      <c r="R529" s="1517" t="s">
        <v>12</v>
      </c>
      <c r="S529" s="1520"/>
      <c r="T529" s="1518"/>
      <c r="U529" s="1572"/>
      <c r="V529" s="1521"/>
      <c r="W529" s="1522" t="str">
        <f t="shared" si="173"/>
        <v>04.13.01</v>
      </c>
      <c r="X529" s="1478" t="str">
        <f t="shared" si="174"/>
        <v>Jalan</v>
      </c>
      <c r="Y529" s="1478">
        <f t="shared" si="175"/>
        <v>10</v>
      </c>
      <c r="Z529" s="1401"/>
      <c r="AA529" s="1444">
        <f>IF(2013-N529&gt;Y529,10,IF(2013-N529&lt;0,0,2013-N529))</f>
        <v>0</v>
      </c>
      <c r="AB529" s="1401"/>
      <c r="AC529" s="1401"/>
      <c r="AD529" s="1401"/>
      <c r="AE529" s="1401"/>
      <c r="AF529" s="1401"/>
      <c r="AG529" s="1479"/>
      <c r="AH529" s="1479"/>
      <c r="AI529" s="1479"/>
      <c r="AJ529" s="1401">
        <f>S529-AI529</f>
        <v>0</v>
      </c>
    </row>
    <row r="530" spans="1:36" s="1390" customFormat="1" ht="30" customHeight="1" x14ac:dyDescent="0.15">
      <c r="A530" s="1390">
        <v>296</v>
      </c>
      <c r="B530" s="1472" t="str">
        <f t="shared" si="160"/>
        <v>INUMAN - PULAU BUSUK</v>
      </c>
      <c r="C530" s="1516" t="s">
        <v>4247</v>
      </c>
      <c r="D530" s="1426"/>
      <c r="E530" s="1429" t="s">
        <v>2495</v>
      </c>
      <c r="F530" s="1539">
        <v>185659000</v>
      </c>
      <c r="G530" s="1517" t="s">
        <v>2494</v>
      </c>
      <c r="H530" s="1518"/>
      <c r="I530" s="1518"/>
      <c r="J530" s="1519">
        <v>0</v>
      </c>
      <c r="K530" s="1517"/>
      <c r="L530" s="1519">
        <v>0</v>
      </c>
      <c r="M530" s="1518" t="s">
        <v>2557</v>
      </c>
      <c r="N530" s="1517">
        <v>2017</v>
      </c>
      <c r="O530" s="1518"/>
      <c r="P530" s="1518"/>
      <c r="Q530" s="1518"/>
      <c r="R530" s="1517" t="s">
        <v>12</v>
      </c>
      <c r="S530" s="1520"/>
      <c r="T530" s="1518"/>
      <c r="U530" s="1572"/>
      <c r="V530" s="1521"/>
      <c r="W530" s="1522" t="str">
        <f t="shared" si="173"/>
        <v>04.13.01</v>
      </c>
      <c r="X530" s="1478" t="str">
        <f t="shared" si="174"/>
        <v>Jalan</v>
      </c>
      <c r="Y530" s="1478">
        <f t="shared" si="175"/>
        <v>10</v>
      </c>
      <c r="Z530" s="1401"/>
      <c r="AA530" s="1444">
        <f>IF(2013-N530&gt;Y530,10,IF(2013-N530&lt;0,0,2013-N530))</f>
        <v>0</v>
      </c>
      <c r="AB530" s="1401"/>
      <c r="AC530" s="1401"/>
      <c r="AD530" s="1401"/>
      <c r="AE530" s="1401"/>
      <c r="AF530" s="1401"/>
      <c r="AG530" s="1479"/>
      <c r="AH530" s="1479"/>
      <c r="AI530" s="1479"/>
      <c r="AJ530" s="1401">
        <f>S530-AI530</f>
        <v>0</v>
      </c>
    </row>
    <row r="531" spans="1:36" s="1390" customFormat="1" ht="30" customHeight="1" x14ac:dyDescent="0.15">
      <c r="A531" s="1390">
        <v>296</v>
      </c>
      <c r="B531" s="1472" t="str">
        <f t="shared" si="160"/>
        <v>INUMAN - PULAU BUSUK</v>
      </c>
      <c r="C531" s="1516" t="s">
        <v>4247</v>
      </c>
      <c r="D531" s="1426"/>
      <c r="E531" s="1429" t="s">
        <v>3320</v>
      </c>
      <c r="F531" s="1539">
        <v>2164060514</v>
      </c>
      <c r="G531" s="1517" t="s">
        <v>2494</v>
      </c>
      <c r="H531" s="1518"/>
      <c r="I531" s="1518"/>
      <c r="J531" s="1519">
        <v>0</v>
      </c>
      <c r="K531" s="1517"/>
      <c r="L531" s="1519">
        <v>0</v>
      </c>
      <c r="M531" s="1518" t="s">
        <v>3081</v>
      </c>
      <c r="N531" s="1517">
        <v>2018</v>
      </c>
      <c r="O531" s="1518"/>
      <c r="P531" s="1518"/>
      <c r="Q531" s="1518"/>
      <c r="R531" s="1517" t="s">
        <v>12</v>
      </c>
      <c r="S531" s="1520"/>
      <c r="T531" s="1518"/>
      <c r="U531" s="1572"/>
      <c r="V531" s="1521"/>
      <c r="W531" s="1522" t="str">
        <f t="shared" si="173"/>
        <v>04.13.01</v>
      </c>
      <c r="X531" s="1478" t="str">
        <f t="shared" si="174"/>
        <v>Jalan</v>
      </c>
      <c r="Y531" s="1478">
        <f t="shared" si="175"/>
        <v>10</v>
      </c>
      <c r="Z531" s="1401"/>
      <c r="AA531" s="1444">
        <f>IF(2013-N531&gt;Y531,10,IF(2013-N531&lt;0,0,2013-N531))</f>
        <v>0</v>
      </c>
      <c r="AB531" s="1401"/>
      <c r="AC531" s="1401"/>
      <c r="AD531" s="1401"/>
      <c r="AE531" s="1401"/>
      <c r="AF531" s="1401"/>
      <c r="AG531" s="1479"/>
      <c r="AH531" s="1479"/>
      <c r="AI531" s="1479"/>
      <c r="AJ531" s="1401"/>
    </row>
    <row r="532" spans="1:36" s="1390" customFormat="1" ht="30" customHeight="1" x14ac:dyDescent="0.2">
      <c r="A532" s="1390">
        <v>298</v>
      </c>
      <c r="B532" s="1472" t="str">
        <f t="shared" si="160"/>
        <v>INUMAN - PULAU KIJANG</v>
      </c>
      <c r="C532" s="1478" t="e">
        <f>RIGHT(#REF!,1)</f>
        <v>#REF!</v>
      </c>
      <c r="D532" s="1426"/>
      <c r="E532" s="1429" t="s">
        <v>696</v>
      </c>
      <c r="F532" s="1539"/>
      <c r="G532" s="1517" t="s">
        <v>2494</v>
      </c>
      <c r="H532" s="1518"/>
      <c r="I532" s="1518" t="s">
        <v>484</v>
      </c>
      <c r="J532" s="1533" t="s">
        <v>699</v>
      </c>
      <c r="K532" s="1517">
        <v>7</v>
      </c>
      <c r="L532" s="1519">
        <v>12600</v>
      </c>
      <c r="M532" s="1518" t="s">
        <v>700</v>
      </c>
      <c r="N532" s="1517">
        <v>2001</v>
      </c>
      <c r="O532" s="1518"/>
      <c r="P532" s="1518"/>
      <c r="Q532" s="1518" t="s">
        <v>482</v>
      </c>
      <c r="R532" s="1517" t="s">
        <v>12</v>
      </c>
      <c r="S532" s="1520">
        <v>1323000000</v>
      </c>
      <c r="T532" s="1517" t="s">
        <v>43</v>
      </c>
      <c r="U532" s="1572"/>
      <c r="V532" s="1521"/>
      <c r="W532" s="1478" t="str">
        <f t="shared" si="173"/>
        <v>04.13.01</v>
      </c>
      <c r="X532" s="1478" t="str">
        <f t="shared" si="174"/>
        <v>Jalan</v>
      </c>
      <c r="Y532" s="1478">
        <f t="shared" si="175"/>
        <v>10</v>
      </c>
      <c r="Z532" s="1401">
        <f>S532/Y532</f>
        <v>132300000</v>
      </c>
      <c r="AA532" s="1444">
        <f>IF(2013-N532+1&gt;Y532,Y532,IF(2013-N532+1&lt;0,0,2013-N532+1))</f>
        <v>10</v>
      </c>
      <c r="AB532" s="1401">
        <f>IF(AA532&gt;Y532,S532,Z532*AA532)</f>
        <v>1323000000</v>
      </c>
      <c r="AC532" s="1401">
        <f>IF(S532=AB532,0,Z532)</f>
        <v>0</v>
      </c>
      <c r="AD532" s="1401">
        <f>IF(S532=AB532+AC532,0,Z532)</f>
        <v>0</v>
      </c>
      <c r="AE532" s="1401">
        <f>IF(S532=AB532+AC532+AD532,0,Z532)</f>
        <v>0</v>
      </c>
      <c r="AF532" s="1401">
        <f>IF(S532=AC532+AD532+AE532+AB532,0,Z532)</f>
        <v>0</v>
      </c>
      <c r="AG532" s="1479">
        <f>IF(S532=AC532+AD532+AE532+AB532+AF532,0,Z532)</f>
        <v>0</v>
      </c>
      <c r="AH532" s="1479">
        <f>IF(S532=AC532+AD532+AE532+AB532+AF532+AG532,0,Z532)</f>
        <v>0</v>
      </c>
      <c r="AI532" s="1479">
        <f>SUM(AB532:AH532)</f>
        <v>1323000000</v>
      </c>
      <c r="AJ532" s="1401">
        <f>S532-AI532</f>
        <v>0</v>
      </c>
    </row>
    <row r="533" spans="1:36" s="1390" customFormat="1" ht="30" customHeight="1" x14ac:dyDescent="0.2">
      <c r="A533" s="1390">
        <v>299</v>
      </c>
      <c r="B533" s="1472" t="str">
        <f t="shared" si="160"/>
        <v>BANJAR NAN TIGO - PASAR INUMAN</v>
      </c>
      <c r="C533" s="1478" t="e">
        <f>RIGHT(#REF!,1)</f>
        <v>#REF!</v>
      </c>
      <c r="D533" s="1426"/>
      <c r="E533" s="1429" t="s">
        <v>529</v>
      </c>
      <c r="F533" s="1539"/>
      <c r="G533" s="1517" t="s">
        <v>2494</v>
      </c>
      <c r="H533" s="1518"/>
      <c r="I533" s="1518" t="s">
        <v>484</v>
      </c>
      <c r="J533" s="1533" t="s">
        <v>508</v>
      </c>
      <c r="K533" s="1517">
        <v>7</v>
      </c>
      <c r="L533" s="1519">
        <v>9100</v>
      </c>
      <c r="M533" s="1518" t="s">
        <v>629</v>
      </c>
      <c r="N533" s="1517">
        <v>2001</v>
      </c>
      <c r="O533" s="1518"/>
      <c r="P533" s="1518"/>
      <c r="Q533" s="1518" t="s">
        <v>482</v>
      </c>
      <c r="R533" s="1517" t="s">
        <v>12</v>
      </c>
      <c r="S533" s="1520">
        <v>980850000</v>
      </c>
      <c r="T533" s="1517" t="s">
        <v>43</v>
      </c>
      <c r="U533" s="1572"/>
      <c r="V533" s="1521"/>
      <c r="W533" s="1478" t="str">
        <f t="shared" si="173"/>
        <v>04.13.01</v>
      </c>
      <c r="X533" s="1478" t="str">
        <f t="shared" si="174"/>
        <v>Jalan</v>
      </c>
      <c r="Y533" s="1478">
        <f t="shared" si="175"/>
        <v>10</v>
      </c>
      <c r="Z533" s="1401">
        <f>S533/Y533</f>
        <v>98085000</v>
      </c>
      <c r="AA533" s="1444">
        <f>IF(2013-N533+1&gt;Y533,Y533,IF(2013-N533+1&lt;0,0,2013-N533+1))</f>
        <v>10</v>
      </c>
      <c r="AB533" s="1401">
        <f>IF(AA533&gt;Y533,S533,Z533*AA533)</f>
        <v>980850000</v>
      </c>
      <c r="AC533" s="1401">
        <f>IF(S533=AB533,0,Z533)</f>
        <v>0</v>
      </c>
      <c r="AD533" s="1401">
        <f>IF(S533=AB533+AC533,0,Z533)</f>
        <v>0</v>
      </c>
      <c r="AE533" s="1401">
        <f>IF(S533=AB533+AC533+AD533,0,Z533)</f>
        <v>0</v>
      </c>
      <c r="AF533" s="1401">
        <f>IF(S533=AC533+AD533+AE533+AB533,0,Z533)</f>
        <v>0</v>
      </c>
      <c r="AG533" s="1479">
        <f>IF(S533=AC533+AD533+AE533+AB533+AF533,0,Z533)</f>
        <v>0</v>
      </c>
      <c r="AH533" s="1479">
        <f>IF(S533=AC533+AD533+AE533+AB533+AF533+AG533,0,Z533)</f>
        <v>0</v>
      </c>
      <c r="AI533" s="1479">
        <f>SUM(AB533:AH533)</f>
        <v>980850000</v>
      </c>
      <c r="AJ533" s="1401">
        <f>S533-AI533</f>
        <v>0</v>
      </c>
    </row>
    <row r="534" spans="1:36" s="1390" customFormat="1" ht="30" customHeight="1" x14ac:dyDescent="0.2">
      <c r="A534" s="1390">
        <v>301</v>
      </c>
      <c r="B534" s="1472" t="str">
        <f t="shared" si="160"/>
        <v>INUMAN - BEDENG</v>
      </c>
      <c r="C534" s="1478" t="e">
        <f>RIGHT(#REF!,1)</f>
        <v>#REF!</v>
      </c>
      <c r="D534" s="1426"/>
      <c r="E534" s="1429" t="s">
        <v>529</v>
      </c>
      <c r="F534" s="1539"/>
      <c r="G534" s="1517" t="s">
        <v>2494</v>
      </c>
      <c r="H534" s="1518"/>
      <c r="I534" s="1518" t="s">
        <v>8</v>
      </c>
      <c r="J534" s="1533" t="s">
        <v>488</v>
      </c>
      <c r="K534" s="1517"/>
      <c r="L534" s="1519">
        <v>0</v>
      </c>
      <c r="M534" s="1518" t="s">
        <v>630</v>
      </c>
      <c r="N534" s="1517">
        <v>2001</v>
      </c>
      <c r="O534" s="1518"/>
      <c r="P534" s="1518"/>
      <c r="Q534" s="1518" t="s">
        <v>482</v>
      </c>
      <c r="R534" s="1517" t="s">
        <v>12</v>
      </c>
      <c r="S534" s="1520">
        <v>506250000</v>
      </c>
      <c r="T534" s="1517" t="s">
        <v>135</v>
      </c>
      <c r="U534" s="1572"/>
      <c r="V534" s="1521"/>
      <c r="W534" s="1478" t="str">
        <f t="shared" si="173"/>
        <v>04.13.01</v>
      </c>
      <c r="X534" s="1478" t="str">
        <f t="shared" si="174"/>
        <v>Jalan</v>
      </c>
      <c r="Y534" s="1478">
        <f t="shared" si="175"/>
        <v>10</v>
      </c>
      <c r="Z534" s="1401">
        <f>S534/Y534</f>
        <v>50625000</v>
      </c>
      <c r="AA534" s="1444">
        <f>IF(2013-N534+1&gt;Y534,Y534,IF(2013-N534+1&lt;0,0,2013-N534+1))</f>
        <v>10</v>
      </c>
      <c r="AB534" s="1401">
        <f>IF(AA534&gt;Y534,S534,Z534*AA534)</f>
        <v>506250000</v>
      </c>
      <c r="AC534" s="1401">
        <f>IF(S534=AB534,0,Z534)</f>
        <v>0</v>
      </c>
      <c r="AD534" s="1401">
        <f>IF(S534=AB534+AC534,0,Z534)</f>
        <v>0</v>
      </c>
      <c r="AE534" s="1401">
        <f>IF(S534=AB534+AC534+AD534,0,Z534)</f>
        <v>0</v>
      </c>
      <c r="AF534" s="1401">
        <f>IF(S534=AC534+AD534+AE534+AB534,0,Z534)</f>
        <v>0</v>
      </c>
      <c r="AG534" s="1479">
        <f>IF(S534=AC534+AD534+AE534+AB534+AF534,0,Z534)</f>
        <v>0</v>
      </c>
      <c r="AH534" s="1479">
        <f>IF(S534=AC534+AD534+AE534+AB534+AF534+AG534,0,Z534)</f>
        <v>0</v>
      </c>
      <c r="AI534" s="1479">
        <f>SUM(AB534:AH534)</f>
        <v>506250000</v>
      </c>
      <c r="AJ534" s="1401">
        <f>S534-AI534</f>
        <v>0</v>
      </c>
    </row>
    <row r="535" spans="1:36" s="1390" customFormat="1" ht="30" customHeight="1" x14ac:dyDescent="0.15">
      <c r="A535" s="1390">
        <v>302</v>
      </c>
      <c r="B535" s="1472" t="str">
        <f t="shared" si="160"/>
        <v>PULAU BUSUK - KOTO INUMAN</v>
      </c>
      <c r="C535" s="1516" t="s">
        <v>4247</v>
      </c>
      <c r="D535" s="1426"/>
      <c r="E535" s="1429" t="s">
        <v>702</v>
      </c>
      <c r="F535" s="1539"/>
      <c r="G535" s="1517" t="s">
        <v>3821</v>
      </c>
      <c r="H535" s="1518"/>
      <c r="I535" s="1518" t="s">
        <v>484</v>
      </c>
      <c r="J535" s="1533">
        <v>4000</v>
      </c>
      <c r="K535" s="1517">
        <v>7</v>
      </c>
      <c r="L535" s="1519">
        <v>28000</v>
      </c>
      <c r="M535" s="1518" t="s">
        <v>702</v>
      </c>
      <c r="N535" s="1517">
        <v>2001</v>
      </c>
      <c r="O535" s="1518"/>
      <c r="P535" s="1518"/>
      <c r="Q535" s="1518" t="s">
        <v>482</v>
      </c>
      <c r="R535" s="1517" t="s">
        <v>12</v>
      </c>
      <c r="S535" s="1520">
        <f>1440000000+F536+F537+F538</f>
        <v>8738056735.7903404</v>
      </c>
      <c r="T535" s="1517" t="s">
        <v>43</v>
      </c>
      <c r="U535" s="1572"/>
      <c r="V535" s="1521"/>
      <c r="W535" s="1522" t="str">
        <f t="shared" si="173"/>
        <v>04.13.01</v>
      </c>
      <c r="X535" s="1478" t="str">
        <f t="shared" si="174"/>
        <v>Jalan</v>
      </c>
      <c r="Y535" s="1478">
        <f t="shared" si="175"/>
        <v>10</v>
      </c>
      <c r="Z535" s="1401"/>
      <c r="AA535" s="1444">
        <f>IF(2013-N535&gt;Y535,10,IF(2013-N535&lt;0,0,2013-N535))</f>
        <v>10</v>
      </c>
      <c r="AB535" s="1401">
        <f>SUM(PERHITUNGAN!U1835:U1844)</f>
        <v>2812176103.7959361</v>
      </c>
      <c r="AC535" s="1479">
        <f>SUMIF(PERHITUNGAN!A:A,'KIB D'!B535&amp;'KIB D'!$AC$7,PERHITUNGAN!U:U)</f>
        <v>304088723.46777213</v>
      </c>
      <c r="AD535" s="1479">
        <f>SUMIF(PERHITUNGAN!A:A,'KIB D'!B535&amp;'KIB D'!$AD$7,PERHITUNGAN!U:U)</f>
        <v>304088723.46777213</v>
      </c>
      <c r="AE535" s="1479">
        <f>SUMIF(PERHITUNGAN!A:A,'KIB D'!B535&amp;'KIB D'!$AE$7,PERHITUNGAN!U:U)</f>
        <v>531770318.50588608</v>
      </c>
      <c r="AF535" s="1479">
        <f>SUMIF(PERHITUNGAN!A:A,'KIB D'!B535&amp;'KIB D'!$AF$7,PERHITUNGAN!U:U)</f>
        <v>531770318.50588608</v>
      </c>
      <c r="AG535" s="1479">
        <f>SUMIF(PERHITUNGAN!A:A,'KIB D'!B535&amp;'KIB D'!$AG$7,PERHITUNGAN!U:U)</f>
        <v>531770318.50588608</v>
      </c>
      <c r="AH535" s="1479">
        <f>SUMIF(PERHITUNGAN!A:A,'KIB D'!B535&amp;'KIB D'!$AH$7,PERHITUNGAN!U:U)</f>
        <v>531770318.50588608</v>
      </c>
      <c r="AI535" s="1479">
        <f>SUM(AB535:AH535)</f>
        <v>5547434824.755024</v>
      </c>
      <c r="AJ535" s="1401">
        <f t="shared" ref="AJ535:AJ584" si="176">S535-AI535</f>
        <v>3190621911.0353165</v>
      </c>
    </row>
    <row r="536" spans="1:36" s="1390" customFormat="1" ht="30" customHeight="1" x14ac:dyDescent="0.15">
      <c r="A536" s="1390">
        <v>302</v>
      </c>
      <c r="B536" s="1472" t="str">
        <f t="shared" ref="B536:B599" si="177">VLOOKUP(A536,RUAS,2,FALSE)</f>
        <v>PULAU BUSUK - KOTO INUMAN</v>
      </c>
      <c r="C536" s="1516" t="s">
        <v>4247</v>
      </c>
      <c r="D536" s="1426"/>
      <c r="E536" s="1429" t="s">
        <v>1163</v>
      </c>
      <c r="F536" s="1539">
        <v>2013774833.48155</v>
      </c>
      <c r="G536" s="1517" t="s">
        <v>2494</v>
      </c>
      <c r="H536" s="1518"/>
      <c r="I536" s="1518" t="s">
        <v>519</v>
      </c>
      <c r="J536" s="1519">
        <v>0</v>
      </c>
      <c r="K536" s="1517"/>
      <c r="L536" s="1519">
        <v>1000</v>
      </c>
      <c r="M536" s="1518" t="s">
        <v>3099</v>
      </c>
      <c r="N536" s="1517">
        <v>2007</v>
      </c>
      <c r="O536" s="1518"/>
      <c r="P536" s="1518"/>
      <c r="Q536" s="1518"/>
      <c r="R536" s="1517" t="s">
        <v>12</v>
      </c>
      <c r="S536" s="1520"/>
      <c r="T536" s="1517" t="s">
        <v>43</v>
      </c>
      <c r="U536" s="1572"/>
      <c r="V536" s="1521"/>
      <c r="W536" s="1522" t="str">
        <f t="shared" si="173"/>
        <v>04.13.01</v>
      </c>
      <c r="X536" s="1478" t="str">
        <f t="shared" si="174"/>
        <v>Jalan</v>
      </c>
      <c r="Y536" s="1478">
        <f t="shared" si="175"/>
        <v>10</v>
      </c>
      <c r="Z536" s="1401"/>
      <c r="AA536" s="1444">
        <f>IF(2013-N536&gt;Y536,10,IF(2013-N536&lt;0,0,2013-N536))</f>
        <v>6</v>
      </c>
      <c r="AB536" s="1401"/>
      <c r="AC536" s="1401"/>
      <c r="AD536" s="1401"/>
      <c r="AE536" s="1401"/>
      <c r="AF536" s="1401"/>
      <c r="AG536" s="1479"/>
      <c r="AH536" s="1479"/>
      <c r="AI536" s="1479"/>
      <c r="AJ536" s="1401">
        <f t="shared" si="176"/>
        <v>0</v>
      </c>
    </row>
    <row r="537" spans="1:36" s="1390" customFormat="1" ht="30" customHeight="1" x14ac:dyDescent="0.15">
      <c r="A537" s="1390">
        <v>302</v>
      </c>
      <c r="B537" s="1472" t="str">
        <f t="shared" si="177"/>
        <v>PULAU BUSUK - KOTO INUMAN</v>
      </c>
      <c r="C537" s="1516" t="s">
        <v>4247</v>
      </c>
      <c r="D537" s="1426"/>
      <c r="E537" s="1429" t="s">
        <v>1218</v>
      </c>
      <c r="F537" s="1539">
        <v>1487022334.5887914</v>
      </c>
      <c r="G537" s="1517" t="s">
        <v>2494</v>
      </c>
      <c r="H537" s="1518"/>
      <c r="I537" s="1518" t="s">
        <v>519</v>
      </c>
      <c r="J537" s="1519">
        <v>0</v>
      </c>
      <c r="K537" s="1517"/>
      <c r="L537" s="1519">
        <v>1150</v>
      </c>
      <c r="M537" s="1518" t="s">
        <v>3099</v>
      </c>
      <c r="N537" s="1517">
        <v>2011</v>
      </c>
      <c r="O537" s="1518"/>
      <c r="P537" s="1518"/>
      <c r="Q537" s="1518"/>
      <c r="R537" s="1517" t="s">
        <v>12</v>
      </c>
      <c r="S537" s="1520"/>
      <c r="T537" s="1517" t="s">
        <v>43</v>
      </c>
      <c r="U537" s="1572"/>
      <c r="V537" s="1521"/>
      <c r="W537" s="1522" t="str">
        <f t="shared" si="173"/>
        <v>04.13.01</v>
      </c>
      <c r="X537" s="1478" t="str">
        <f t="shared" si="174"/>
        <v>Jalan</v>
      </c>
      <c r="Y537" s="1478">
        <f t="shared" si="175"/>
        <v>10</v>
      </c>
      <c r="Z537" s="1401"/>
      <c r="AA537" s="1444">
        <f>IF(2013-N537&gt;Y537,10,IF(2013-N537&lt;0,0,2013-N537))</f>
        <v>2</v>
      </c>
      <c r="AB537" s="1401"/>
      <c r="AC537" s="1401"/>
      <c r="AD537" s="1401"/>
      <c r="AE537" s="1401"/>
      <c r="AF537" s="1401"/>
      <c r="AG537" s="1479"/>
      <c r="AH537" s="1479"/>
      <c r="AI537" s="1479"/>
      <c r="AJ537" s="1401">
        <f t="shared" si="176"/>
        <v>0</v>
      </c>
    </row>
    <row r="538" spans="1:36" s="1390" customFormat="1" ht="30" customHeight="1" x14ac:dyDescent="0.15">
      <c r="A538" s="1390">
        <v>302</v>
      </c>
      <c r="B538" s="1472" t="str">
        <f t="shared" si="177"/>
        <v>PULAU BUSUK - KOTO INUMAN</v>
      </c>
      <c r="C538" s="1516" t="s">
        <v>4247</v>
      </c>
      <c r="D538" s="1426"/>
      <c r="E538" s="1429" t="s">
        <v>1453</v>
      </c>
      <c r="F538" s="1539">
        <v>3797259567.7199998</v>
      </c>
      <c r="G538" s="1517" t="s">
        <v>2494</v>
      </c>
      <c r="H538" s="1518"/>
      <c r="I538" s="1518"/>
      <c r="J538" s="1519">
        <v>0</v>
      </c>
      <c r="K538" s="1517"/>
      <c r="L538" s="1519">
        <v>0</v>
      </c>
      <c r="M538" s="1518" t="s">
        <v>3099</v>
      </c>
      <c r="N538" s="1517">
        <v>2016</v>
      </c>
      <c r="O538" s="1518"/>
      <c r="P538" s="1518"/>
      <c r="Q538" s="1518"/>
      <c r="R538" s="1517" t="s">
        <v>12</v>
      </c>
      <c r="S538" s="1520"/>
      <c r="T538" s="1518"/>
      <c r="U538" s="1572"/>
      <c r="V538" s="1521"/>
      <c r="W538" s="1522" t="str">
        <f t="shared" si="173"/>
        <v>04.13.01</v>
      </c>
      <c r="X538" s="1478" t="str">
        <f t="shared" si="174"/>
        <v>Jalan</v>
      </c>
      <c r="Y538" s="1478">
        <f t="shared" si="175"/>
        <v>10</v>
      </c>
      <c r="Z538" s="1401"/>
      <c r="AA538" s="1444">
        <f>IF(2013-N538&gt;Y538,10,IF(2013-N538&lt;0,0,2013-N538))</f>
        <v>0</v>
      </c>
      <c r="AB538" s="1401"/>
      <c r="AC538" s="1401"/>
      <c r="AD538" s="1401"/>
      <c r="AE538" s="1401"/>
      <c r="AF538" s="1401"/>
      <c r="AG538" s="1479"/>
      <c r="AH538" s="1479"/>
      <c r="AI538" s="1479"/>
      <c r="AJ538" s="1401">
        <f t="shared" si="176"/>
        <v>0</v>
      </c>
    </row>
    <row r="539" spans="1:36" s="1390" customFormat="1" ht="30" customHeight="1" x14ac:dyDescent="0.2">
      <c r="A539" s="1390">
        <v>303</v>
      </c>
      <c r="B539" s="1472" t="str">
        <f t="shared" si="177"/>
        <v>JL. LINGKAR KOTO INUMAN</v>
      </c>
      <c r="C539" s="1478" t="e">
        <f>RIGHT(#REF!,1)</f>
        <v>#REF!</v>
      </c>
      <c r="D539" s="1426"/>
      <c r="E539" s="1429" t="s">
        <v>1143</v>
      </c>
      <c r="F539" s="1539"/>
      <c r="G539" s="1517" t="s">
        <v>2494</v>
      </c>
      <c r="H539" s="1518"/>
      <c r="I539" s="1518" t="s">
        <v>8</v>
      </c>
      <c r="J539" s="1533" t="s">
        <v>602</v>
      </c>
      <c r="K539" s="1517"/>
      <c r="L539" s="1519"/>
      <c r="M539" s="1518" t="s">
        <v>705</v>
      </c>
      <c r="N539" s="1517">
        <v>2001</v>
      </c>
      <c r="O539" s="1518"/>
      <c r="P539" s="1518"/>
      <c r="Q539" s="1518" t="s">
        <v>482</v>
      </c>
      <c r="R539" s="1517" t="s">
        <v>12</v>
      </c>
      <c r="S539" s="1520">
        <v>536747180</v>
      </c>
      <c r="T539" s="1517" t="s">
        <v>43</v>
      </c>
      <c r="U539" s="1572"/>
      <c r="V539" s="1521"/>
      <c r="W539" s="1478" t="str">
        <f t="shared" si="173"/>
        <v>04.13.01</v>
      </c>
      <c r="X539" s="1478" t="str">
        <f t="shared" si="174"/>
        <v>Jalan</v>
      </c>
      <c r="Y539" s="1478">
        <f t="shared" si="175"/>
        <v>10</v>
      </c>
      <c r="Z539" s="1401">
        <f>S539/Y539</f>
        <v>53674718</v>
      </c>
      <c r="AA539" s="1444">
        <f>IF(2013-N539+1&gt;Y539,Y539,IF(2013-N539+1&lt;0,0,2013-N539+1))</f>
        <v>10</v>
      </c>
      <c r="AB539" s="1401">
        <f>IF(AA539&gt;Y539,S539,Z539*AA539)</f>
        <v>536747180</v>
      </c>
      <c r="AC539" s="1401">
        <f>IF(S539=AB539,0,Z539)</f>
        <v>0</v>
      </c>
      <c r="AD539" s="1401">
        <f>IF(S539=AB539+AC539,0,Z539)</f>
        <v>0</v>
      </c>
      <c r="AE539" s="1401">
        <f>IF(S539=AB539+AC539+AD539,0,Z539)</f>
        <v>0</v>
      </c>
      <c r="AF539" s="1401">
        <f>IF(S539=AC539+AD539+AE539+AB539,0,Z539)</f>
        <v>0</v>
      </c>
      <c r="AG539" s="1479">
        <f>IF(S539=AC539+AD539+AE539+AB539+AF539,0,Z539)</f>
        <v>0</v>
      </c>
      <c r="AH539" s="1479">
        <f>IF(S539=AC539+AD539+AE539+AB539+AF539+AG539,0,Z539)</f>
        <v>0</v>
      </c>
      <c r="AI539" s="1479">
        <f>SUM(AB539:AH539)</f>
        <v>536747180</v>
      </c>
      <c r="AJ539" s="1401">
        <f t="shared" si="176"/>
        <v>0</v>
      </c>
    </row>
    <row r="540" spans="1:36" s="1390" customFormat="1" ht="30" customHeight="1" x14ac:dyDescent="0.2">
      <c r="A540" s="1390">
        <v>304</v>
      </c>
      <c r="B540" s="1472" t="str">
        <f t="shared" si="177"/>
        <v>BEDENG SIKURAN - PENYEB. PULAU PANJANG</v>
      </c>
      <c r="C540" s="1478" t="e">
        <f>RIGHT(#REF!,1)</f>
        <v>#REF!</v>
      </c>
      <c r="D540" s="1426"/>
      <c r="E540" s="1429" t="s">
        <v>696</v>
      </c>
      <c r="F540" s="1539"/>
      <c r="G540" s="1517" t="s">
        <v>2494</v>
      </c>
      <c r="H540" s="1518"/>
      <c r="I540" s="1518" t="s">
        <v>503</v>
      </c>
      <c r="J540" s="1533" t="s">
        <v>48</v>
      </c>
      <c r="K540" s="1517">
        <v>7</v>
      </c>
      <c r="L540" s="1519">
        <v>14000</v>
      </c>
      <c r="M540" s="1518" t="s">
        <v>704</v>
      </c>
      <c r="N540" s="1517">
        <v>2001</v>
      </c>
      <c r="O540" s="1518"/>
      <c r="P540" s="1518"/>
      <c r="Q540" s="1518" t="s">
        <v>482</v>
      </c>
      <c r="R540" s="1517" t="s">
        <v>12</v>
      </c>
      <c r="S540" s="1520">
        <v>700000000</v>
      </c>
      <c r="T540" s="1517" t="s">
        <v>43</v>
      </c>
      <c r="U540" s="1572"/>
      <c r="V540" s="1521"/>
      <c r="W540" s="1478" t="str">
        <f t="shared" si="173"/>
        <v>04.13.01</v>
      </c>
      <c r="X540" s="1478" t="str">
        <f t="shared" si="174"/>
        <v>Jalan</v>
      </c>
      <c r="Y540" s="1478">
        <f t="shared" si="175"/>
        <v>10</v>
      </c>
      <c r="Z540" s="1401">
        <f>S540/Y540</f>
        <v>70000000</v>
      </c>
      <c r="AA540" s="1444">
        <f>IF(2013-N540+1&gt;Y540,Y540,IF(2013-N540+1&lt;0,0,2013-N540+1))</f>
        <v>10</v>
      </c>
      <c r="AB540" s="1401">
        <f>IF(AA540&gt;Y540,S540,Z540*AA540)</f>
        <v>700000000</v>
      </c>
      <c r="AC540" s="1401">
        <f>IF(S540=AB540,0,Z540)</f>
        <v>0</v>
      </c>
      <c r="AD540" s="1401">
        <f>IF(S540=AB540+AC540,0,Z540)</f>
        <v>0</v>
      </c>
      <c r="AE540" s="1401">
        <f>IF(S540=AB540+AC540+AD540,0,Z540)</f>
        <v>0</v>
      </c>
      <c r="AF540" s="1401">
        <f>IF(S540=AC540+AD540+AE540+AB540,0,Z540)</f>
        <v>0</v>
      </c>
      <c r="AG540" s="1479">
        <f>IF(S540=AC540+AD540+AE540+AB540+AF540,0,Z540)</f>
        <v>0</v>
      </c>
      <c r="AH540" s="1479">
        <f>IF(S540=AC540+AD540+AE540+AB540+AF540+AG540,0,Z540)</f>
        <v>0</v>
      </c>
      <c r="AI540" s="1479">
        <f>SUM(AB540:AH540)</f>
        <v>700000000</v>
      </c>
      <c r="AJ540" s="1401">
        <f t="shared" si="176"/>
        <v>0</v>
      </c>
    </row>
    <row r="541" spans="1:36" s="1390" customFormat="1" ht="30" customHeight="1" x14ac:dyDescent="0.2">
      <c r="A541" s="1390">
        <v>305</v>
      </c>
      <c r="B541" s="1472" t="str">
        <f t="shared" si="177"/>
        <v>INUMAN - PULAU PANJANG</v>
      </c>
      <c r="C541" s="1478" t="e">
        <f>RIGHT(#REF!,1)</f>
        <v>#REF!</v>
      </c>
      <c r="D541" s="1426"/>
      <c r="E541" s="1429" t="s">
        <v>696</v>
      </c>
      <c r="F541" s="1539"/>
      <c r="G541" s="1517" t="s">
        <v>2494</v>
      </c>
      <c r="H541" s="1518"/>
      <c r="I541" s="1518" t="s">
        <v>484</v>
      </c>
      <c r="J541" s="1533" t="s">
        <v>699</v>
      </c>
      <c r="K541" s="1517"/>
      <c r="L541" s="1519">
        <v>0</v>
      </c>
      <c r="M541" s="1518" t="s">
        <v>701</v>
      </c>
      <c r="N541" s="1517">
        <v>2001</v>
      </c>
      <c r="O541" s="1518"/>
      <c r="P541" s="1518"/>
      <c r="Q541" s="1518" t="s">
        <v>482</v>
      </c>
      <c r="R541" s="1517" t="s">
        <v>12</v>
      </c>
      <c r="S541" s="1520">
        <v>648000000</v>
      </c>
      <c r="T541" s="1517" t="s">
        <v>43</v>
      </c>
      <c r="U541" s="1572"/>
      <c r="V541" s="1521"/>
      <c r="W541" s="1478" t="str">
        <f t="shared" si="173"/>
        <v>04.13.01</v>
      </c>
      <c r="X541" s="1478" t="str">
        <f t="shared" si="174"/>
        <v>Jalan</v>
      </c>
      <c r="Y541" s="1478">
        <f t="shared" si="175"/>
        <v>10</v>
      </c>
      <c r="Z541" s="1401">
        <f>S541/Y541</f>
        <v>64800000</v>
      </c>
      <c r="AA541" s="1444">
        <f>IF(2013-N541+1&gt;Y541,Y541,IF(2013-N541+1&lt;0,0,2013-N541+1))</f>
        <v>10</v>
      </c>
      <c r="AB541" s="1401">
        <f>IF(AA541&gt;Y541,S541,Z541*AA541)</f>
        <v>648000000</v>
      </c>
      <c r="AC541" s="1401">
        <f>IF(S541=AB541,0,Z541)</f>
        <v>0</v>
      </c>
      <c r="AD541" s="1401">
        <f>IF(S541=AB541+AC541,0,Z541)</f>
        <v>0</v>
      </c>
      <c r="AE541" s="1401">
        <f>IF(S541=AB541+AC541+AD541,0,Z541)</f>
        <v>0</v>
      </c>
      <c r="AF541" s="1401">
        <f>IF(S541=AC541+AD541+AE541+AB541,0,Z541)</f>
        <v>0</v>
      </c>
      <c r="AG541" s="1479">
        <f>IF(S541=AC541+AD541+AE541+AB541+AF541,0,Z541)</f>
        <v>0</v>
      </c>
      <c r="AH541" s="1479">
        <f>IF(S541=AC541+AD541+AE541+AB541+AF541+AG541,0,Z541)</f>
        <v>0</v>
      </c>
      <c r="AI541" s="1479">
        <f>SUM(AB541:AH541)</f>
        <v>648000000</v>
      </c>
      <c r="AJ541" s="1401">
        <f t="shared" si="176"/>
        <v>0</v>
      </c>
    </row>
    <row r="542" spans="1:36" s="1390" customFormat="1" ht="30" customHeight="1" x14ac:dyDescent="0.15">
      <c r="A542" s="1390">
        <v>307</v>
      </c>
      <c r="B542" s="1472" t="str">
        <f t="shared" si="177"/>
        <v>JL. DESA PL. PANJANG - PL. PANJANG HILIR</v>
      </c>
      <c r="C542" s="1516" t="s">
        <v>4247</v>
      </c>
      <c r="D542" s="1426"/>
      <c r="E542" s="1429" t="s">
        <v>3815</v>
      </c>
      <c r="F542" s="1539"/>
      <c r="G542" s="1517" t="s">
        <v>2494</v>
      </c>
      <c r="H542" s="1518"/>
      <c r="I542" s="1518" t="s">
        <v>8</v>
      </c>
      <c r="J542" s="1533" t="s">
        <v>632</v>
      </c>
      <c r="K542" s="1517">
        <v>7</v>
      </c>
      <c r="L542" s="1519">
        <v>16800</v>
      </c>
      <c r="M542" s="1518" t="s">
        <v>633</v>
      </c>
      <c r="N542" s="1517">
        <v>2001</v>
      </c>
      <c r="O542" s="1518"/>
      <c r="P542" s="1518"/>
      <c r="Q542" s="1518" t="s">
        <v>482</v>
      </c>
      <c r="R542" s="1517" t="s">
        <v>12</v>
      </c>
      <c r="S542" s="1520">
        <f>913733028+F543</f>
        <v>1105372708</v>
      </c>
      <c r="T542" s="1517" t="s">
        <v>43</v>
      </c>
      <c r="U542" s="1572"/>
      <c r="V542" s="1521"/>
      <c r="W542" s="1522" t="str">
        <f t="shared" si="173"/>
        <v>04.13.01</v>
      </c>
      <c r="X542" s="1478" t="str">
        <f t="shared" si="174"/>
        <v>Jalan</v>
      </c>
      <c r="Y542" s="1478">
        <f t="shared" si="175"/>
        <v>10</v>
      </c>
      <c r="Z542" s="1401"/>
      <c r="AA542" s="1444">
        <f>IF(2013-N542&gt;Y542,10,IF(2013-N542&lt;0,0,2013-N542))</f>
        <v>10</v>
      </c>
      <c r="AB542" s="1401">
        <f>SUM(PERHITUNGAN!U1859:U1863)</f>
        <v>913733027.99999988</v>
      </c>
      <c r="AC542" s="1479">
        <f>SUMIF(PERHITUNGAN!A:A,'KIB D'!B542&amp;'KIB D'!$AC$7,PERHITUNGAN!U:U)</f>
        <v>0</v>
      </c>
      <c r="AD542" s="1479">
        <f>SUMIF(PERHITUNGAN!A:A,'KIB D'!B542&amp;'KIB D'!$AD$7,PERHITUNGAN!U:U)</f>
        <v>19163968.000000011</v>
      </c>
      <c r="AE542" s="1479">
        <f>SUMIF(PERHITUNGAN!A:A,'KIB D'!B542&amp;'KIB D'!$AE$7,PERHITUNGAN!U:U)</f>
        <v>19163968.000000011</v>
      </c>
      <c r="AF542" s="1479">
        <f>SUMIF(PERHITUNGAN!A:A,'KIB D'!B542&amp;'KIB D'!$AF$7,PERHITUNGAN!U:U)</f>
        <v>19163968.000000011</v>
      </c>
      <c r="AG542" s="1479">
        <f>SUMIF(PERHITUNGAN!A:A,'KIB D'!B542&amp;'KIB D'!$AG$7,PERHITUNGAN!U:U)</f>
        <v>19163968.000000011</v>
      </c>
      <c r="AH542" s="1479">
        <f>SUMIF(PERHITUNGAN!A:A,'KIB D'!B542&amp;'KIB D'!$AH$7,PERHITUNGAN!U:U)</f>
        <v>19163968.000000011</v>
      </c>
      <c r="AI542" s="1479">
        <f>SUM(AB542:AH542)</f>
        <v>1009552867.9999999</v>
      </c>
      <c r="AJ542" s="1401">
        <f t="shared" si="176"/>
        <v>95819840.000000119</v>
      </c>
    </row>
    <row r="543" spans="1:36" s="1390" customFormat="1" ht="30" customHeight="1" x14ac:dyDescent="0.15">
      <c r="A543" s="1390">
        <v>307</v>
      </c>
      <c r="B543" s="1472" t="str">
        <f t="shared" si="177"/>
        <v>JL. DESA PL. PANJANG - PL. PANJANG HILIR</v>
      </c>
      <c r="C543" s="1516" t="s">
        <v>4247</v>
      </c>
      <c r="D543" s="1426"/>
      <c r="E543" s="1429" t="s">
        <v>1428</v>
      </c>
      <c r="F543" s="1539">
        <v>191639680</v>
      </c>
      <c r="G543" s="1517" t="s">
        <v>2494</v>
      </c>
      <c r="H543" s="1518"/>
      <c r="I543" s="1518"/>
      <c r="J543" s="1519">
        <v>0</v>
      </c>
      <c r="K543" s="1517"/>
      <c r="L543" s="1519">
        <v>0</v>
      </c>
      <c r="M543" s="1518" t="s">
        <v>3251</v>
      </c>
      <c r="N543" s="1517">
        <v>2015</v>
      </c>
      <c r="O543" s="1518"/>
      <c r="P543" s="1518"/>
      <c r="Q543" s="1518"/>
      <c r="R543" s="1517" t="s">
        <v>12</v>
      </c>
      <c r="S543" s="1520"/>
      <c r="T543" s="1518"/>
      <c r="U543" s="1572"/>
      <c r="V543" s="1521"/>
      <c r="W543" s="1522" t="str">
        <f t="shared" si="173"/>
        <v>04.13.01</v>
      </c>
      <c r="X543" s="1478" t="str">
        <f t="shared" si="174"/>
        <v>Jalan</v>
      </c>
      <c r="Y543" s="1478">
        <f t="shared" si="175"/>
        <v>10</v>
      </c>
      <c r="Z543" s="1401"/>
      <c r="AA543" s="1444">
        <f>IF(2013-N543&gt;Y543,10,IF(2013-N543&lt;0,0,2013-N543))</f>
        <v>0</v>
      </c>
      <c r="AB543" s="1401"/>
      <c r="AC543" s="1401"/>
      <c r="AD543" s="1401"/>
      <c r="AE543" s="1401"/>
      <c r="AF543" s="1401"/>
      <c r="AG543" s="1479"/>
      <c r="AH543" s="1479"/>
      <c r="AI543" s="1479"/>
      <c r="AJ543" s="1401">
        <f t="shared" si="176"/>
        <v>0</v>
      </c>
    </row>
    <row r="544" spans="1:36" s="1390" customFormat="1" ht="30" customHeight="1" x14ac:dyDescent="0.2">
      <c r="A544" s="1390">
        <v>308</v>
      </c>
      <c r="B544" s="1472" t="str">
        <f t="shared" si="177"/>
        <v>JL. DESA PULAU SIPAN - PL. PANJANG HULU</v>
      </c>
      <c r="C544" s="1478" t="e">
        <f>RIGHT(#REF!,1)</f>
        <v>#REF!</v>
      </c>
      <c r="D544" s="1426"/>
      <c r="E544" s="1429" t="s">
        <v>529</v>
      </c>
      <c r="F544" s="1539"/>
      <c r="G544" s="1517" t="s">
        <v>2494</v>
      </c>
      <c r="H544" s="1518"/>
      <c r="I544" s="1518" t="s">
        <v>484</v>
      </c>
      <c r="J544" s="1533" t="s">
        <v>555</v>
      </c>
      <c r="K544" s="1517">
        <v>7</v>
      </c>
      <c r="L544" s="1519">
        <v>23800</v>
      </c>
      <c r="M544" s="1518" t="s">
        <v>631</v>
      </c>
      <c r="N544" s="1517">
        <v>2001</v>
      </c>
      <c r="O544" s="1518"/>
      <c r="P544" s="1518"/>
      <c r="Q544" s="1518" t="s">
        <v>482</v>
      </c>
      <c r="R544" s="1517" t="s">
        <v>12</v>
      </c>
      <c r="S544" s="1520">
        <v>1142400000</v>
      </c>
      <c r="T544" s="1517" t="s">
        <v>43</v>
      </c>
      <c r="U544" s="1572"/>
      <c r="V544" s="1521"/>
      <c r="W544" s="1478" t="str">
        <f t="shared" si="173"/>
        <v>04.13.01</v>
      </c>
      <c r="X544" s="1478" t="str">
        <f t="shared" si="174"/>
        <v>Jalan</v>
      </c>
      <c r="Y544" s="1478">
        <f t="shared" si="175"/>
        <v>10</v>
      </c>
      <c r="Z544" s="1401">
        <f t="shared" ref="Z544:Z584" si="178">S544/Y544</f>
        <v>114240000</v>
      </c>
      <c r="AA544" s="1444">
        <f t="shared" ref="AA544:AA584" si="179">IF(2013-N544+1&gt;Y544,Y544,IF(2013-N544+1&lt;0,0,2013-N544+1))</f>
        <v>10</v>
      </c>
      <c r="AB544" s="1401">
        <f t="shared" ref="AB544:AB584" si="180">IF(AA544&gt;Y544,S544,Z544*AA544)</f>
        <v>1142400000</v>
      </c>
      <c r="AC544" s="1401">
        <f t="shared" ref="AC544:AC584" si="181">IF(S544=AB544,0,Z544)</f>
        <v>0</v>
      </c>
      <c r="AD544" s="1401">
        <f t="shared" ref="AD544:AD584" si="182">IF(S544=AB544+AC544,0,Z544)</f>
        <v>0</v>
      </c>
      <c r="AE544" s="1401">
        <f t="shared" ref="AE544:AE584" si="183">IF(S544=AB544+AC544+AD544,0,Z544)</f>
        <v>0</v>
      </c>
      <c r="AF544" s="1401">
        <f t="shared" ref="AF544:AF584" si="184">IF(S544=AC544+AD544+AE544+AB544,0,Z544)</f>
        <v>0</v>
      </c>
      <c r="AG544" s="1479">
        <f t="shared" ref="AG544:AG584" si="185">IF(S544=AC544+AD544+AE544+AB544+AF544,0,Z544)</f>
        <v>0</v>
      </c>
      <c r="AH544" s="1479">
        <f t="shared" ref="AH544:AH584" si="186">IF(S544=AC544+AD544+AE544+AB544+AF544+AG544,0,Z544)</f>
        <v>0</v>
      </c>
      <c r="AI544" s="1479">
        <f t="shared" ref="AI544:AI607" si="187">SUM(AB544:AH544)</f>
        <v>1142400000</v>
      </c>
      <c r="AJ544" s="1401">
        <f t="shared" si="176"/>
        <v>0</v>
      </c>
    </row>
    <row r="545" spans="1:37" s="1390" customFormat="1" ht="30" customHeight="1" x14ac:dyDescent="0.2">
      <c r="A545" s="1390">
        <v>309</v>
      </c>
      <c r="B545" s="1472" t="str">
        <f t="shared" si="177"/>
        <v>JL. DESA SIGARUNTANG - JK RUAS 208/208</v>
      </c>
      <c r="C545" s="1478" t="e">
        <f>RIGHT(#REF!,1)</f>
        <v>#REF!</v>
      </c>
      <c r="D545" s="1426"/>
      <c r="E545" s="1429" t="s">
        <v>529</v>
      </c>
      <c r="F545" s="1539"/>
      <c r="G545" s="1517" t="s">
        <v>2494</v>
      </c>
      <c r="H545" s="1518"/>
      <c r="I545" s="1518" t="s">
        <v>484</v>
      </c>
      <c r="J545" s="1533" t="s">
        <v>501</v>
      </c>
      <c r="K545" s="1517">
        <v>7</v>
      </c>
      <c r="L545" s="1519">
        <v>24500</v>
      </c>
      <c r="M545" s="1518" t="s">
        <v>636</v>
      </c>
      <c r="N545" s="1517">
        <v>2001</v>
      </c>
      <c r="O545" s="1518"/>
      <c r="P545" s="1518"/>
      <c r="Q545" s="1518" t="s">
        <v>482</v>
      </c>
      <c r="R545" s="1517" t="s">
        <v>12</v>
      </c>
      <c r="S545" s="1520">
        <v>1176000000</v>
      </c>
      <c r="T545" s="1517" t="s">
        <v>43</v>
      </c>
      <c r="U545" s="1572"/>
      <c r="V545" s="1521"/>
      <c r="W545" s="1478" t="str">
        <f t="shared" si="173"/>
        <v>04.13.01</v>
      </c>
      <c r="X545" s="1478" t="str">
        <f t="shared" si="174"/>
        <v>Jalan</v>
      </c>
      <c r="Y545" s="1478">
        <f t="shared" si="175"/>
        <v>10</v>
      </c>
      <c r="Z545" s="1401">
        <f t="shared" si="178"/>
        <v>117600000</v>
      </c>
      <c r="AA545" s="1444">
        <f t="shared" si="179"/>
        <v>10</v>
      </c>
      <c r="AB545" s="1401">
        <f t="shared" si="180"/>
        <v>1176000000</v>
      </c>
      <c r="AC545" s="1401">
        <f t="shared" si="181"/>
        <v>0</v>
      </c>
      <c r="AD545" s="1401">
        <f t="shared" si="182"/>
        <v>0</v>
      </c>
      <c r="AE545" s="1401">
        <f t="shared" si="183"/>
        <v>0</v>
      </c>
      <c r="AF545" s="1401">
        <f t="shared" si="184"/>
        <v>0</v>
      </c>
      <c r="AG545" s="1479">
        <f t="shared" si="185"/>
        <v>0</v>
      </c>
      <c r="AH545" s="1479">
        <f t="shared" si="186"/>
        <v>0</v>
      </c>
      <c r="AI545" s="1479">
        <f t="shared" si="187"/>
        <v>1176000000</v>
      </c>
      <c r="AJ545" s="1401">
        <f t="shared" si="176"/>
        <v>0</v>
      </c>
    </row>
    <row r="546" spans="1:37" s="1390" customFormat="1" ht="30" customHeight="1" x14ac:dyDescent="0.2">
      <c r="A546" s="1390">
        <v>310</v>
      </c>
      <c r="B546" s="1472" t="str">
        <f t="shared" si="177"/>
        <v>INUMAN (JL. RAPP) - SITUGAL</v>
      </c>
      <c r="C546" s="1478" t="e">
        <f>RIGHT(#REF!,1)</f>
        <v>#REF!</v>
      </c>
      <c r="D546" s="1426"/>
      <c r="E546" s="1429" t="s">
        <v>529</v>
      </c>
      <c r="F546" s="1539"/>
      <c r="G546" s="1517" t="s">
        <v>2494</v>
      </c>
      <c r="H546" s="1518"/>
      <c r="I546" s="1518" t="s">
        <v>484</v>
      </c>
      <c r="J546" s="1533">
        <v>65000</v>
      </c>
      <c r="K546" s="1517">
        <v>7</v>
      </c>
      <c r="L546" s="1519">
        <v>455000</v>
      </c>
      <c r="M546" s="1518" t="s">
        <v>635</v>
      </c>
      <c r="N546" s="1517">
        <v>2001</v>
      </c>
      <c r="O546" s="1518"/>
      <c r="P546" s="1518"/>
      <c r="Q546" s="1518" t="s">
        <v>482</v>
      </c>
      <c r="R546" s="1517" t="s">
        <v>12</v>
      </c>
      <c r="S546" s="1520">
        <v>2016000000</v>
      </c>
      <c r="T546" s="1517" t="s">
        <v>135</v>
      </c>
      <c r="U546" s="1572"/>
      <c r="V546" s="1521"/>
      <c r="W546" s="1478" t="str">
        <f t="shared" si="173"/>
        <v>04.13.01</v>
      </c>
      <c r="X546" s="1478" t="str">
        <f t="shared" si="174"/>
        <v>Jalan</v>
      </c>
      <c r="Y546" s="1478">
        <f t="shared" si="175"/>
        <v>10</v>
      </c>
      <c r="Z546" s="1401">
        <f t="shared" si="178"/>
        <v>201600000</v>
      </c>
      <c r="AA546" s="1444">
        <f t="shared" si="179"/>
        <v>10</v>
      </c>
      <c r="AB546" s="1401">
        <f t="shared" si="180"/>
        <v>2016000000</v>
      </c>
      <c r="AC546" s="1401">
        <f t="shared" si="181"/>
        <v>0</v>
      </c>
      <c r="AD546" s="1401">
        <f t="shared" si="182"/>
        <v>0</v>
      </c>
      <c r="AE546" s="1401">
        <f t="shared" si="183"/>
        <v>0</v>
      </c>
      <c r="AF546" s="1401">
        <f t="shared" si="184"/>
        <v>0</v>
      </c>
      <c r="AG546" s="1479">
        <f t="shared" si="185"/>
        <v>0</v>
      </c>
      <c r="AH546" s="1479">
        <f t="shared" si="186"/>
        <v>0</v>
      </c>
      <c r="AI546" s="1479">
        <f t="shared" si="187"/>
        <v>2016000000</v>
      </c>
      <c r="AJ546" s="1401">
        <f t="shared" si="176"/>
        <v>0</v>
      </c>
    </row>
    <row r="547" spans="1:37" s="1390" customFormat="1" ht="30" customHeight="1" x14ac:dyDescent="0.2">
      <c r="A547" s="1390" t="s">
        <v>5252</v>
      </c>
      <c r="B547" s="1472" t="e">
        <f t="shared" si="177"/>
        <v>#N/A</v>
      </c>
      <c r="C547" s="1478" t="e">
        <f>RIGHT(#REF!,1)</f>
        <v>#REF!</v>
      </c>
      <c r="D547" s="1426"/>
      <c r="E547" s="1429" t="s">
        <v>483</v>
      </c>
      <c r="F547" s="1539"/>
      <c r="G547" s="1517" t="s">
        <v>2494</v>
      </c>
      <c r="H547" s="1518"/>
      <c r="I547" s="1518" t="s">
        <v>479</v>
      </c>
      <c r="J547" s="1533" t="s">
        <v>491</v>
      </c>
      <c r="K547" s="1517"/>
      <c r="L547" s="1519"/>
      <c r="M547" s="1518" t="s">
        <v>4110</v>
      </c>
      <c r="N547" s="1517">
        <v>2001</v>
      </c>
      <c r="O547" s="1518"/>
      <c r="P547" s="1518"/>
      <c r="Q547" s="1518" t="s">
        <v>482</v>
      </c>
      <c r="R547" s="1517" t="s">
        <v>12</v>
      </c>
      <c r="S547" s="1520">
        <v>5145000000</v>
      </c>
      <c r="T547" s="1517" t="s">
        <v>43</v>
      </c>
      <c r="U547" s="1572"/>
      <c r="V547" s="1521"/>
      <c r="W547" s="1478" t="str">
        <f t="shared" si="173"/>
        <v>04.13.01</v>
      </c>
      <c r="X547" s="1478" t="str">
        <f t="shared" si="174"/>
        <v>Jalan</v>
      </c>
      <c r="Y547" s="1478">
        <f t="shared" si="175"/>
        <v>10</v>
      </c>
      <c r="Z547" s="1401">
        <f t="shared" si="178"/>
        <v>514500000</v>
      </c>
      <c r="AA547" s="1444">
        <f t="shared" si="179"/>
        <v>10</v>
      </c>
      <c r="AB547" s="1401">
        <f t="shared" si="180"/>
        <v>5145000000</v>
      </c>
      <c r="AC547" s="1401">
        <f t="shared" si="181"/>
        <v>0</v>
      </c>
      <c r="AD547" s="1401">
        <f t="shared" si="182"/>
        <v>0</v>
      </c>
      <c r="AE547" s="1401">
        <f t="shared" si="183"/>
        <v>0</v>
      </c>
      <c r="AF547" s="1401">
        <f t="shared" si="184"/>
        <v>0</v>
      </c>
      <c r="AG547" s="1479">
        <f t="shared" si="185"/>
        <v>0</v>
      </c>
      <c r="AH547" s="1479">
        <f t="shared" si="186"/>
        <v>0</v>
      </c>
      <c r="AI547" s="1479">
        <f t="shared" si="187"/>
        <v>5145000000</v>
      </c>
      <c r="AJ547" s="1401">
        <f t="shared" si="176"/>
        <v>0</v>
      </c>
    </row>
    <row r="548" spans="1:37" s="1390" customFormat="1" ht="30" customHeight="1" x14ac:dyDescent="0.2">
      <c r="A548" s="1390" t="s">
        <v>5252</v>
      </c>
      <c r="B548" s="1472" t="e">
        <f t="shared" si="177"/>
        <v>#N/A</v>
      </c>
      <c r="C548" s="1478" t="e">
        <f>RIGHT(#REF!,1)</f>
        <v>#REF!</v>
      </c>
      <c r="D548" s="1426"/>
      <c r="E548" s="1429" t="s">
        <v>696</v>
      </c>
      <c r="F548" s="1539"/>
      <c r="G548" s="1517" t="s">
        <v>2494</v>
      </c>
      <c r="H548" s="1518"/>
      <c r="I548" s="1518" t="s">
        <v>525</v>
      </c>
      <c r="J548" s="1533" t="s">
        <v>719</v>
      </c>
      <c r="K548" s="1517"/>
      <c r="L548" s="1519"/>
      <c r="M548" s="1518" t="s">
        <v>720</v>
      </c>
      <c r="N548" s="1517">
        <v>2001</v>
      </c>
      <c r="O548" s="1518"/>
      <c r="P548" s="1518"/>
      <c r="Q548" s="1518" t="s">
        <v>482</v>
      </c>
      <c r="R548" s="1517" t="s">
        <v>12</v>
      </c>
      <c r="S548" s="1520">
        <v>472500000</v>
      </c>
      <c r="T548" s="1517" t="s">
        <v>43</v>
      </c>
      <c r="U548" s="1572"/>
      <c r="V548" s="1521"/>
      <c r="W548" s="1478" t="str">
        <f t="shared" si="173"/>
        <v>04.13.01</v>
      </c>
      <c r="X548" s="1478" t="str">
        <f t="shared" si="174"/>
        <v>Jalan</v>
      </c>
      <c r="Y548" s="1478">
        <f t="shared" si="175"/>
        <v>10</v>
      </c>
      <c r="Z548" s="1401">
        <f t="shared" si="178"/>
        <v>47250000</v>
      </c>
      <c r="AA548" s="1444">
        <f t="shared" si="179"/>
        <v>10</v>
      </c>
      <c r="AB548" s="1401">
        <f t="shared" si="180"/>
        <v>472500000</v>
      </c>
      <c r="AC548" s="1401">
        <f t="shared" si="181"/>
        <v>0</v>
      </c>
      <c r="AD548" s="1401">
        <f t="shared" si="182"/>
        <v>0</v>
      </c>
      <c r="AE548" s="1401">
        <f t="shared" si="183"/>
        <v>0</v>
      </c>
      <c r="AF548" s="1401">
        <f t="shared" si="184"/>
        <v>0</v>
      </c>
      <c r="AG548" s="1479">
        <f t="shared" si="185"/>
        <v>0</v>
      </c>
      <c r="AH548" s="1479">
        <f t="shared" si="186"/>
        <v>0</v>
      </c>
      <c r="AI548" s="1479">
        <f t="shared" si="187"/>
        <v>472500000</v>
      </c>
      <c r="AJ548" s="1401">
        <f t="shared" si="176"/>
        <v>0</v>
      </c>
    </row>
    <row r="549" spans="1:37" s="1390" customFormat="1" ht="30" customHeight="1" x14ac:dyDescent="0.2">
      <c r="A549" s="1390" t="s">
        <v>5252</v>
      </c>
      <c r="B549" s="1472" t="e">
        <f t="shared" si="177"/>
        <v>#N/A</v>
      </c>
      <c r="C549" s="1478" t="e">
        <f>RIGHT(#REF!,1)</f>
        <v>#REF!</v>
      </c>
      <c r="D549" s="1426"/>
      <c r="E549" s="1429" t="s">
        <v>696</v>
      </c>
      <c r="F549" s="1539"/>
      <c r="G549" s="1517" t="s">
        <v>2494</v>
      </c>
      <c r="H549" s="1518"/>
      <c r="I549" s="1518" t="s">
        <v>525</v>
      </c>
      <c r="J549" s="1533" t="s">
        <v>719</v>
      </c>
      <c r="K549" s="1517"/>
      <c r="L549" s="1519"/>
      <c r="M549" s="1518" t="s">
        <v>723</v>
      </c>
      <c r="N549" s="1517">
        <v>2001</v>
      </c>
      <c r="O549" s="1518"/>
      <c r="P549" s="1518"/>
      <c r="Q549" s="1518" t="s">
        <v>482</v>
      </c>
      <c r="R549" s="1517" t="s">
        <v>12</v>
      </c>
      <c r="S549" s="1520">
        <v>472500000</v>
      </c>
      <c r="T549" s="1517" t="s">
        <v>43</v>
      </c>
      <c r="U549" s="1572"/>
      <c r="V549" s="1521"/>
      <c r="W549" s="1478" t="str">
        <f t="shared" si="173"/>
        <v>04.13.01</v>
      </c>
      <c r="X549" s="1478" t="str">
        <f t="shared" si="174"/>
        <v>Jalan</v>
      </c>
      <c r="Y549" s="1478">
        <f t="shared" si="175"/>
        <v>10</v>
      </c>
      <c r="Z549" s="1401">
        <f t="shared" si="178"/>
        <v>47250000</v>
      </c>
      <c r="AA549" s="1444">
        <f t="shared" si="179"/>
        <v>10</v>
      </c>
      <c r="AB549" s="1401">
        <f t="shared" si="180"/>
        <v>472500000</v>
      </c>
      <c r="AC549" s="1401">
        <f t="shared" si="181"/>
        <v>0</v>
      </c>
      <c r="AD549" s="1401">
        <f t="shared" si="182"/>
        <v>0</v>
      </c>
      <c r="AE549" s="1401">
        <f t="shared" si="183"/>
        <v>0</v>
      </c>
      <c r="AF549" s="1401">
        <f t="shared" si="184"/>
        <v>0</v>
      </c>
      <c r="AG549" s="1479">
        <f t="shared" si="185"/>
        <v>0</v>
      </c>
      <c r="AH549" s="1479">
        <f t="shared" si="186"/>
        <v>0</v>
      </c>
      <c r="AI549" s="1479">
        <f t="shared" si="187"/>
        <v>472500000</v>
      </c>
      <c r="AJ549" s="1401">
        <f t="shared" si="176"/>
        <v>0</v>
      </c>
    </row>
    <row r="550" spans="1:37" s="1390" customFormat="1" ht="30" customHeight="1" x14ac:dyDescent="0.2">
      <c r="A550" s="1390" t="s">
        <v>5057</v>
      </c>
      <c r="B550" s="1472" t="e">
        <f t="shared" si="177"/>
        <v>#N/A</v>
      </c>
      <c r="C550" s="1478" t="e">
        <f>RIGHT(#REF!,1)</f>
        <v>#REF!</v>
      </c>
      <c r="D550" s="1426"/>
      <c r="E550" s="1429" t="s">
        <v>483</v>
      </c>
      <c r="F550" s="1539"/>
      <c r="G550" s="1517" t="s">
        <v>2494</v>
      </c>
      <c r="H550" s="1518"/>
      <c r="I550" s="1518" t="s">
        <v>492</v>
      </c>
      <c r="J550" s="1533" t="s">
        <v>488</v>
      </c>
      <c r="K550" s="1517"/>
      <c r="L550" s="1519"/>
      <c r="M550" s="1518" t="s">
        <v>493</v>
      </c>
      <c r="N550" s="1517">
        <v>2001</v>
      </c>
      <c r="O550" s="1518"/>
      <c r="P550" s="1518"/>
      <c r="Q550" s="1518" t="s">
        <v>482</v>
      </c>
      <c r="R550" s="1517" t="s">
        <v>12</v>
      </c>
      <c r="S550" s="1520">
        <v>16253400000</v>
      </c>
      <c r="T550" s="1517" t="s">
        <v>135</v>
      </c>
      <c r="U550" s="1572"/>
      <c r="V550" s="1521"/>
      <c r="W550" s="1478" t="str">
        <f t="shared" si="173"/>
        <v>04.13.01</v>
      </c>
      <c r="X550" s="1478" t="str">
        <f t="shared" si="174"/>
        <v>Jalan</v>
      </c>
      <c r="Y550" s="1478">
        <f t="shared" si="175"/>
        <v>10</v>
      </c>
      <c r="Z550" s="1401">
        <f t="shared" si="178"/>
        <v>1625340000</v>
      </c>
      <c r="AA550" s="1444">
        <f t="shared" si="179"/>
        <v>10</v>
      </c>
      <c r="AB550" s="1401">
        <f t="shared" si="180"/>
        <v>16253400000</v>
      </c>
      <c r="AC550" s="1401">
        <f t="shared" si="181"/>
        <v>0</v>
      </c>
      <c r="AD550" s="1401">
        <f t="shared" si="182"/>
        <v>0</v>
      </c>
      <c r="AE550" s="1401">
        <f t="shared" si="183"/>
        <v>0</v>
      </c>
      <c r="AF550" s="1401">
        <f t="shared" si="184"/>
        <v>0</v>
      </c>
      <c r="AG550" s="1479">
        <f t="shared" si="185"/>
        <v>0</v>
      </c>
      <c r="AH550" s="1479">
        <f t="shared" si="186"/>
        <v>0</v>
      </c>
      <c r="AI550" s="1479">
        <f t="shared" si="187"/>
        <v>16253400000</v>
      </c>
      <c r="AJ550" s="1401">
        <f t="shared" si="176"/>
        <v>0</v>
      </c>
    </row>
    <row r="551" spans="1:37" s="1390" customFormat="1" ht="30" customHeight="1" x14ac:dyDescent="0.2">
      <c r="A551" s="1390" t="s">
        <v>5252</v>
      </c>
      <c r="B551" s="1472" t="e">
        <f t="shared" si="177"/>
        <v>#N/A</v>
      </c>
      <c r="C551" s="1478" t="e">
        <f>RIGHT(#REF!,1)</f>
        <v>#REF!</v>
      </c>
      <c r="D551" s="1426"/>
      <c r="E551" s="1429" t="s">
        <v>1161</v>
      </c>
      <c r="F551" s="1539"/>
      <c r="G551" s="1517" t="s">
        <v>2494</v>
      </c>
      <c r="H551" s="1508"/>
      <c r="I551" s="1416" t="s">
        <v>519</v>
      </c>
      <c r="J551" s="1512"/>
      <c r="K551" s="1416"/>
      <c r="L551" s="1500">
        <v>2000</v>
      </c>
      <c r="M551" s="1429" t="s">
        <v>3097</v>
      </c>
      <c r="N551" s="1416">
        <v>2007</v>
      </c>
      <c r="O551" s="1414"/>
      <c r="P551" s="1414"/>
      <c r="Q551" s="1414"/>
      <c r="R551" s="1416" t="s">
        <v>12</v>
      </c>
      <c r="S551" s="1529">
        <v>3309782443.4143963</v>
      </c>
      <c r="T551" s="1416" t="s">
        <v>43</v>
      </c>
      <c r="U551" s="1427"/>
      <c r="V551" s="1477"/>
      <c r="W551" s="1478" t="str">
        <f t="shared" si="173"/>
        <v>04.13.01</v>
      </c>
      <c r="X551" s="1478" t="str">
        <f t="shared" si="174"/>
        <v>Jalan</v>
      </c>
      <c r="Y551" s="1478">
        <f t="shared" si="175"/>
        <v>10</v>
      </c>
      <c r="Z551" s="1401">
        <f t="shared" si="178"/>
        <v>330978244.3414396</v>
      </c>
      <c r="AA551" s="1444">
        <f t="shared" si="179"/>
        <v>7</v>
      </c>
      <c r="AB551" s="1401">
        <f t="shared" si="180"/>
        <v>2316847710.3900771</v>
      </c>
      <c r="AC551" s="1401">
        <f t="shared" si="181"/>
        <v>330978244.3414396</v>
      </c>
      <c r="AD551" s="1401">
        <f t="shared" si="182"/>
        <v>330978244.3414396</v>
      </c>
      <c r="AE551" s="1401">
        <f t="shared" si="183"/>
        <v>330978244.3414396</v>
      </c>
      <c r="AF551" s="1401">
        <f t="shared" si="184"/>
        <v>0</v>
      </c>
      <c r="AG551" s="1479">
        <f t="shared" si="185"/>
        <v>0</v>
      </c>
      <c r="AH551" s="1479">
        <f t="shared" si="186"/>
        <v>0</v>
      </c>
      <c r="AI551" s="1479">
        <f t="shared" si="187"/>
        <v>3309782443.4143963</v>
      </c>
      <c r="AJ551" s="1401">
        <f t="shared" si="176"/>
        <v>0</v>
      </c>
    </row>
    <row r="552" spans="1:37" s="1390" customFormat="1" ht="32" customHeight="1" x14ac:dyDescent="0.2">
      <c r="A552" s="1390" t="s">
        <v>5252</v>
      </c>
      <c r="B552" s="1472" t="e">
        <f t="shared" si="177"/>
        <v>#N/A</v>
      </c>
      <c r="C552" s="1478" t="e">
        <f>RIGHT(#REF!,1)</f>
        <v>#REF!</v>
      </c>
      <c r="D552" s="1426"/>
      <c r="E552" s="1429" t="s">
        <v>1198</v>
      </c>
      <c r="F552" s="1539"/>
      <c r="G552" s="1517" t="s">
        <v>2494</v>
      </c>
      <c r="H552" s="1508"/>
      <c r="I552" s="1416"/>
      <c r="J552" s="1512"/>
      <c r="K552" s="1416"/>
      <c r="L552" s="1500"/>
      <c r="M552" s="1429" t="s">
        <v>3120</v>
      </c>
      <c r="N552" s="1416">
        <v>2007</v>
      </c>
      <c r="O552" s="1414"/>
      <c r="P552" s="1414"/>
      <c r="Q552" s="1414"/>
      <c r="R552" s="1416" t="s">
        <v>12</v>
      </c>
      <c r="S552" s="1529">
        <v>837379143.13253343</v>
      </c>
      <c r="T552" s="1416" t="s">
        <v>43</v>
      </c>
      <c r="U552" s="1427"/>
      <c r="V552" s="1477"/>
      <c r="W552" s="1478" t="str">
        <f t="shared" si="173"/>
        <v>04.13.01</v>
      </c>
      <c r="X552" s="1478" t="str">
        <f t="shared" si="174"/>
        <v>Jalan</v>
      </c>
      <c r="Y552" s="1478">
        <f t="shared" si="175"/>
        <v>10</v>
      </c>
      <c r="Z552" s="1401">
        <f t="shared" si="178"/>
        <v>83737914.313253343</v>
      </c>
      <c r="AA552" s="1444">
        <f t="shared" si="179"/>
        <v>7</v>
      </c>
      <c r="AB552" s="1401">
        <f t="shared" si="180"/>
        <v>586165400.19277334</v>
      </c>
      <c r="AC552" s="1401">
        <f t="shared" si="181"/>
        <v>83737914.313253343</v>
      </c>
      <c r="AD552" s="1401">
        <f t="shared" si="182"/>
        <v>83737914.313253343</v>
      </c>
      <c r="AE552" s="1401">
        <f t="shared" si="183"/>
        <v>83737914.313253343</v>
      </c>
      <c r="AF552" s="1401">
        <f t="shared" si="184"/>
        <v>0</v>
      </c>
      <c r="AG552" s="1479">
        <f t="shared" si="185"/>
        <v>0</v>
      </c>
      <c r="AH552" s="1479">
        <f t="shared" si="186"/>
        <v>0</v>
      </c>
      <c r="AI552" s="1479">
        <f t="shared" si="187"/>
        <v>837379143.13253355</v>
      </c>
      <c r="AJ552" s="1401">
        <f t="shared" si="176"/>
        <v>0</v>
      </c>
    </row>
    <row r="553" spans="1:37" s="1390" customFormat="1" ht="30" customHeight="1" x14ac:dyDescent="0.2">
      <c r="A553" s="1390" t="s">
        <v>5057</v>
      </c>
      <c r="B553" s="1472" t="e">
        <f t="shared" si="177"/>
        <v>#N/A</v>
      </c>
      <c r="C553" s="1478" t="e">
        <f>RIGHT(#REF!,1)</f>
        <v>#REF!</v>
      </c>
      <c r="D553" s="1426"/>
      <c r="E553" s="1429" t="s">
        <v>1200</v>
      </c>
      <c r="F553" s="1539"/>
      <c r="G553" s="1517" t="s">
        <v>2494</v>
      </c>
      <c r="H553" s="1508"/>
      <c r="I553" s="1416"/>
      <c r="J553" s="1512"/>
      <c r="K553" s="1416"/>
      <c r="L553" s="1500"/>
      <c r="M553" s="1429" t="s">
        <v>3122</v>
      </c>
      <c r="N553" s="1416">
        <v>2007</v>
      </c>
      <c r="O553" s="1414"/>
      <c r="P553" s="1414"/>
      <c r="Q553" s="1414"/>
      <c r="R553" s="1416" t="s">
        <v>12</v>
      </c>
      <c r="S553" s="1529">
        <v>3783819547.1500001</v>
      </c>
      <c r="T553" s="1416" t="s">
        <v>43</v>
      </c>
      <c r="U553" s="1427"/>
      <c r="V553" s="1477"/>
      <c r="W553" s="1478" t="str">
        <f t="shared" si="173"/>
        <v>04.13.01</v>
      </c>
      <c r="X553" s="1478" t="str">
        <f t="shared" si="174"/>
        <v>Jalan</v>
      </c>
      <c r="Y553" s="1478">
        <f t="shared" si="175"/>
        <v>10</v>
      </c>
      <c r="Z553" s="1401">
        <f t="shared" si="178"/>
        <v>378381954.71500003</v>
      </c>
      <c r="AA553" s="1444">
        <f t="shared" si="179"/>
        <v>7</v>
      </c>
      <c r="AB553" s="1401">
        <f t="shared" si="180"/>
        <v>2648673683.0050001</v>
      </c>
      <c r="AC553" s="1401">
        <f t="shared" si="181"/>
        <v>378381954.71500003</v>
      </c>
      <c r="AD553" s="1401">
        <f t="shared" si="182"/>
        <v>378381954.71500003</v>
      </c>
      <c r="AE553" s="1401">
        <f t="shared" si="183"/>
        <v>378381954.71500003</v>
      </c>
      <c r="AF553" s="1401">
        <f t="shared" si="184"/>
        <v>0</v>
      </c>
      <c r="AG553" s="1479">
        <f t="shared" si="185"/>
        <v>0</v>
      </c>
      <c r="AH553" s="1479">
        <f t="shared" si="186"/>
        <v>0</v>
      </c>
      <c r="AI553" s="1479">
        <f t="shared" si="187"/>
        <v>3783819547.1500006</v>
      </c>
      <c r="AJ553" s="1401">
        <f t="shared" si="176"/>
        <v>0</v>
      </c>
    </row>
    <row r="554" spans="1:37" s="1390" customFormat="1" ht="70" customHeight="1" x14ac:dyDescent="0.2">
      <c r="A554" s="1390" t="s">
        <v>5057</v>
      </c>
      <c r="B554" s="1472" t="e">
        <f t="shared" si="177"/>
        <v>#N/A</v>
      </c>
      <c r="C554" s="1478" t="e">
        <f>RIGHT(#REF!,1)</f>
        <v>#REF!</v>
      </c>
      <c r="D554" s="1426"/>
      <c r="E554" s="1429" t="s">
        <v>1202</v>
      </c>
      <c r="F554" s="1539"/>
      <c r="G554" s="1517" t="s">
        <v>2494</v>
      </c>
      <c r="H554" s="1508"/>
      <c r="I554" s="1416"/>
      <c r="J554" s="1512"/>
      <c r="K554" s="1416"/>
      <c r="L554" s="1500"/>
      <c r="M554" s="1429" t="s">
        <v>3122</v>
      </c>
      <c r="N554" s="1416">
        <v>2007</v>
      </c>
      <c r="O554" s="1414"/>
      <c r="P554" s="1414"/>
      <c r="Q554" s="1414"/>
      <c r="R554" s="1416" t="s">
        <v>12</v>
      </c>
      <c r="S554" s="1529">
        <v>1012401500</v>
      </c>
      <c r="T554" s="1416" t="s">
        <v>43</v>
      </c>
      <c r="U554" s="1427"/>
      <c r="V554" s="1477"/>
      <c r="W554" s="1478" t="str">
        <f t="shared" si="173"/>
        <v>04.13.01</v>
      </c>
      <c r="X554" s="1478" t="str">
        <f t="shared" si="174"/>
        <v>Jalan</v>
      </c>
      <c r="Y554" s="1478">
        <f t="shared" si="175"/>
        <v>10</v>
      </c>
      <c r="Z554" s="1401">
        <f t="shared" si="178"/>
        <v>101240150</v>
      </c>
      <c r="AA554" s="1444">
        <f t="shared" si="179"/>
        <v>7</v>
      </c>
      <c r="AB554" s="1401">
        <f t="shared" si="180"/>
        <v>708681050</v>
      </c>
      <c r="AC554" s="1401">
        <f t="shared" si="181"/>
        <v>101240150</v>
      </c>
      <c r="AD554" s="1401">
        <f t="shared" si="182"/>
        <v>101240150</v>
      </c>
      <c r="AE554" s="1401">
        <f t="shared" si="183"/>
        <v>101240150</v>
      </c>
      <c r="AF554" s="1401">
        <f t="shared" si="184"/>
        <v>0</v>
      </c>
      <c r="AG554" s="1479">
        <f t="shared" si="185"/>
        <v>0</v>
      </c>
      <c r="AH554" s="1479">
        <f t="shared" si="186"/>
        <v>0</v>
      </c>
      <c r="AI554" s="1479">
        <f t="shared" si="187"/>
        <v>1012401500</v>
      </c>
      <c r="AJ554" s="1401">
        <f t="shared" si="176"/>
        <v>0</v>
      </c>
    </row>
    <row r="555" spans="1:37" s="1390" customFormat="1" ht="34" customHeight="1" x14ac:dyDescent="0.2">
      <c r="A555" s="1390" t="s">
        <v>5057</v>
      </c>
      <c r="B555" s="1472" t="e">
        <f t="shared" si="177"/>
        <v>#N/A</v>
      </c>
      <c r="C555" s="1478" t="e">
        <f>RIGHT(#REF!,1)</f>
        <v>#REF!</v>
      </c>
      <c r="D555" s="1426"/>
      <c r="E555" s="1429" t="s">
        <v>1203</v>
      </c>
      <c r="F555" s="1539"/>
      <c r="G555" s="1517" t="s">
        <v>2494</v>
      </c>
      <c r="H555" s="1508"/>
      <c r="I555" s="1416"/>
      <c r="J555" s="1512"/>
      <c r="K555" s="1416"/>
      <c r="L555" s="1500"/>
      <c r="M555" s="1429" t="s">
        <v>3122</v>
      </c>
      <c r="N555" s="1416">
        <v>2007</v>
      </c>
      <c r="O555" s="1414"/>
      <c r="P555" s="1414"/>
      <c r="Q555" s="1414"/>
      <c r="R555" s="1416" t="s">
        <v>12</v>
      </c>
      <c r="S555" s="1529">
        <v>14991856876.784245</v>
      </c>
      <c r="T555" s="1416" t="s">
        <v>43</v>
      </c>
      <c r="U555" s="1427"/>
      <c r="V555" s="1477"/>
      <c r="W555" s="1478" t="str">
        <f t="shared" si="173"/>
        <v>04.13.01</v>
      </c>
      <c r="X555" s="1478" t="str">
        <f t="shared" si="174"/>
        <v>Jalan</v>
      </c>
      <c r="Y555" s="1478">
        <f t="shared" si="175"/>
        <v>10</v>
      </c>
      <c r="Z555" s="1401">
        <f t="shared" si="178"/>
        <v>1499185687.6784244</v>
      </c>
      <c r="AA555" s="1444">
        <f t="shared" si="179"/>
        <v>7</v>
      </c>
      <c r="AB555" s="1401">
        <f t="shared" si="180"/>
        <v>10494299813.74897</v>
      </c>
      <c r="AC555" s="1401">
        <f t="shared" si="181"/>
        <v>1499185687.6784244</v>
      </c>
      <c r="AD555" s="1401">
        <f t="shared" si="182"/>
        <v>1499185687.6784244</v>
      </c>
      <c r="AE555" s="1401">
        <f t="shared" si="183"/>
        <v>1499185687.6784244</v>
      </c>
      <c r="AF555" s="1401">
        <f t="shared" si="184"/>
        <v>0</v>
      </c>
      <c r="AG555" s="1479">
        <f t="shared" si="185"/>
        <v>0</v>
      </c>
      <c r="AH555" s="1479">
        <f t="shared" si="186"/>
        <v>0</v>
      </c>
      <c r="AI555" s="1479">
        <f t="shared" si="187"/>
        <v>14991856876.784245</v>
      </c>
      <c r="AJ555" s="1401">
        <f t="shared" si="176"/>
        <v>0</v>
      </c>
    </row>
    <row r="556" spans="1:37" s="1390" customFormat="1" ht="34" customHeight="1" x14ac:dyDescent="0.2">
      <c r="A556" s="1390" t="s">
        <v>5252</v>
      </c>
      <c r="B556" s="1472" t="e">
        <f t="shared" si="177"/>
        <v>#N/A</v>
      </c>
      <c r="D556" s="1426"/>
      <c r="E556" s="1429" t="s">
        <v>1187</v>
      </c>
      <c r="F556" s="1539"/>
      <c r="G556" s="1517" t="s">
        <v>2494</v>
      </c>
      <c r="H556" s="1508"/>
      <c r="I556" s="1416"/>
      <c r="J556" s="1512"/>
      <c r="K556" s="1416"/>
      <c r="L556" s="1500"/>
      <c r="M556" s="1429" t="s">
        <v>3113</v>
      </c>
      <c r="N556" s="1416">
        <v>2007</v>
      </c>
      <c r="O556" s="1414"/>
      <c r="P556" s="1414"/>
      <c r="Q556" s="1414"/>
      <c r="R556" s="1416" t="s">
        <v>12</v>
      </c>
      <c r="S556" s="1529">
        <v>966122240.69814003</v>
      </c>
      <c r="T556" s="1416" t="s">
        <v>43</v>
      </c>
      <c r="U556" s="1427"/>
      <c r="V556" s="1477"/>
      <c r="W556" s="1478" t="str">
        <f t="shared" si="173"/>
        <v>04.13.01</v>
      </c>
      <c r="X556" s="1478" t="str">
        <f t="shared" si="174"/>
        <v>Jalan</v>
      </c>
      <c r="Y556" s="1478">
        <f t="shared" si="175"/>
        <v>10</v>
      </c>
      <c r="Z556" s="1401">
        <f t="shared" si="178"/>
        <v>96612224.069813997</v>
      </c>
      <c r="AA556" s="1444">
        <f t="shared" si="179"/>
        <v>7</v>
      </c>
      <c r="AB556" s="1401">
        <f t="shared" si="180"/>
        <v>676285568.48869801</v>
      </c>
      <c r="AC556" s="1401">
        <f t="shared" si="181"/>
        <v>96612224.069813997</v>
      </c>
      <c r="AD556" s="1401">
        <f t="shared" si="182"/>
        <v>96612224.069813997</v>
      </c>
      <c r="AE556" s="1401">
        <f t="shared" si="183"/>
        <v>96612224.069813997</v>
      </c>
      <c r="AF556" s="1401">
        <f t="shared" si="184"/>
        <v>0</v>
      </c>
      <c r="AG556" s="1479">
        <f t="shared" si="185"/>
        <v>0</v>
      </c>
      <c r="AH556" s="1479">
        <f t="shared" si="186"/>
        <v>0</v>
      </c>
      <c r="AI556" s="1479">
        <f t="shared" si="187"/>
        <v>966122240.69813991</v>
      </c>
      <c r="AJ556" s="1401">
        <f t="shared" si="176"/>
        <v>0</v>
      </c>
      <c r="AK556" s="1443">
        <f>SUM(AB556:AF556)</f>
        <v>966122240.69813991</v>
      </c>
    </row>
    <row r="557" spans="1:37" s="1390" customFormat="1" ht="34" customHeight="1" x14ac:dyDescent="0.2">
      <c r="A557" s="1390" t="s">
        <v>5057</v>
      </c>
      <c r="B557" s="1472" t="e">
        <f t="shared" si="177"/>
        <v>#N/A</v>
      </c>
      <c r="C557" s="1478" t="e">
        <f>RIGHT(#REF!,1)</f>
        <v>#REF!</v>
      </c>
      <c r="D557" s="1426"/>
      <c r="E557" s="1429" t="s">
        <v>1200</v>
      </c>
      <c r="F557" s="1539"/>
      <c r="G557" s="1517" t="s">
        <v>2494</v>
      </c>
      <c r="H557" s="1508"/>
      <c r="I557" s="1416"/>
      <c r="J557" s="1512"/>
      <c r="K557" s="1416"/>
      <c r="L557" s="1500"/>
      <c r="M557" s="1429" t="s">
        <v>3122</v>
      </c>
      <c r="N557" s="1416">
        <v>2008</v>
      </c>
      <c r="O557" s="1414"/>
      <c r="P557" s="1414"/>
      <c r="Q557" s="1414"/>
      <c r="R557" s="1416" t="s">
        <v>12</v>
      </c>
      <c r="S557" s="1529">
        <v>4998589477</v>
      </c>
      <c r="T557" s="1416" t="s">
        <v>43</v>
      </c>
      <c r="U557" s="1427"/>
      <c r="V557" s="1477"/>
      <c r="W557" s="1478" t="str">
        <f t="shared" si="173"/>
        <v>04.13.01</v>
      </c>
      <c r="X557" s="1478" t="str">
        <f t="shared" si="174"/>
        <v>Jalan</v>
      </c>
      <c r="Y557" s="1478">
        <f t="shared" si="175"/>
        <v>10</v>
      </c>
      <c r="Z557" s="1401">
        <f t="shared" si="178"/>
        <v>499858947.69999999</v>
      </c>
      <c r="AA557" s="1444">
        <f t="shared" si="179"/>
        <v>6</v>
      </c>
      <c r="AB557" s="1401">
        <f t="shared" si="180"/>
        <v>2999153686.1999998</v>
      </c>
      <c r="AC557" s="1401">
        <f t="shared" si="181"/>
        <v>499858947.69999999</v>
      </c>
      <c r="AD557" s="1401">
        <f t="shared" si="182"/>
        <v>499858947.69999999</v>
      </c>
      <c r="AE557" s="1401">
        <f t="shared" si="183"/>
        <v>499858947.69999999</v>
      </c>
      <c r="AF557" s="1401">
        <f t="shared" si="184"/>
        <v>499858947.69999999</v>
      </c>
      <c r="AG557" s="1479">
        <f t="shared" si="185"/>
        <v>0</v>
      </c>
      <c r="AH557" s="1479">
        <f t="shared" si="186"/>
        <v>0</v>
      </c>
      <c r="AI557" s="1479">
        <f t="shared" si="187"/>
        <v>4998589476.999999</v>
      </c>
      <c r="AJ557" s="1401">
        <f t="shared" si="176"/>
        <v>0</v>
      </c>
    </row>
    <row r="558" spans="1:37" s="1390" customFormat="1" ht="34" customHeight="1" x14ac:dyDescent="0.2">
      <c r="A558" s="1390" t="s">
        <v>5057</v>
      </c>
      <c r="B558" s="1472" t="e">
        <f t="shared" si="177"/>
        <v>#N/A</v>
      </c>
      <c r="C558" s="1478" t="e">
        <f>RIGHT(#REF!,1)</f>
        <v>#REF!</v>
      </c>
      <c r="D558" s="1426"/>
      <c r="E558" s="1429" t="s">
        <v>1203</v>
      </c>
      <c r="F558" s="1539"/>
      <c r="G558" s="1517" t="s">
        <v>2494</v>
      </c>
      <c r="H558" s="1508"/>
      <c r="I558" s="1416"/>
      <c r="J558" s="1512"/>
      <c r="K558" s="1416"/>
      <c r="L558" s="1500"/>
      <c r="M558" s="1429" t="s">
        <v>3122</v>
      </c>
      <c r="N558" s="1416">
        <v>2008</v>
      </c>
      <c r="O558" s="1414"/>
      <c r="P558" s="1414"/>
      <c r="Q558" s="1414"/>
      <c r="R558" s="1416" t="s">
        <v>12</v>
      </c>
      <c r="S558" s="1529">
        <v>250000000</v>
      </c>
      <c r="T558" s="1416" t="s">
        <v>43</v>
      </c>
      <c r="U558" s="1427"/>
      <c r="V558" s="1477"/>
      <c r="W558" s="1478" t="str">
        <f t="shared" si="173"/>
        <v>04.13.01</v>
      </c>
      <c r="X558" s="1478" t="str">
        <f t="shared" si="174"/>
        <v>Jalan</v>
      </c>
      <c r="Y558" s="1478">
        <f t="shared" si="175"/>
        <v>10</v>
      </c>
      <c r="Z558" s="1401">
        <f t="shared" si="178"/>
        <v>25000000</v>
      </c>
      <c r="AA558" s="1444">
        <f t="shared" si="179"/>
        <v>6</v>
      </c>
      <c r="AB558" s="1401">
        <f t="shared" si="180"/>
        <v>150000000</v>
      </c>
      <c r="AC558" s="1401">
        <f t="shared" si="181"/>
        <v>25000000</v>
      </c>
      <c r="AD558" s="1401">
        <f t="shared" si="182"/>
        <v>25000000</v>
      </c>
      <c r="AE558" s="1401">
        <f t="shared" si="183"/>
        <v>25000000</v>
      </c>
      <c r="AF558" s="1401">
        <f t="shared" si="184"/>
        <v>25000000</v>
      </c>
      <c r="AG558" s="1479">
        <f t="shared" si="185"/>
        <v>0</v>
      </c>
      <c r="AH558" s="1479">
        <f t="shared" si="186"/>
        <v>0</v>
      </c>
      <c r="AI558" s="1479">
        <f t="shared" si="187"/>
        <v>250000000</v>
      </c>
      <c r="AJ558" s="1401">
        <f t="shared" si="176"/>
        <v>0</v>
      </c>
    </row>
    <row r="559" spans="1:37" s="1390" customFormat="1" ht="34" customHeight="1" x14ac:dyDescent="0.2">
      <c r="A559" s="1390" t="s">
        <v>5057</v>
      </c>
      <c r="B559" s="1472" t="e">
        <f t="shared" si="177"/>
        <v>#N/A</v>
      </c>
      <c r="C559" s="1478" t="e">
        <f>RIGHT(#REF!,1)</f>
        <v>#REF!</v>
      </c>
      <c r="D559" s="1426"/>
      <c r="E559" s="1429" t="s">
        <v>1203</v>
      </c>
      <c r="F559" s="1539"/>
      <c r="G559" s="1517" t="s">
        <v>2494</v>
      </c>
      <c r="H559" s="1508"/>
      <c r="I559" s="1416"/>
      <c r="J559" s="1512"/>
      <c r="K559" s="1416"/>
      <c r="L559" s="1500"/>
      <c r="M559" s="1429" t="s">
        <v>3122</v>
      </c>
      <c r="N559" s="1416">
        <v>2008</v>
      </c>
      <c r="O559" s="1414"/>
      <c r="P559" s="1414"/>
      <c r="Q559" s="1414"/>
      <c r="R559" s="1416" t="s">
        <v>12</v>
      </c>
      <c r="S559" s="1529">
        <v>5108967559.5763826</v>
      </c>
      <c r="T559" s="1416" t="s">
        <v>43</v>
      </c>
      <c r="U559" s="1427"/>
      <c r="V559" s="1477"/>
      <c r="W559" s="1478" t="str">
        <f t="shared" si="173"/>
        <v>04.13.01</v>
      </c>
      <c r="X559" s="1478" t="str">
        <f t="shared" si="174"/>
        <v>Jalan</v>
      </c>
      <c r="Y559" s="1478">
        <f t="shared" si="175"/>
        <v>10</v>
      </c>
      <c r="Z559" s="1401">
        <f t="shared" si="178"/>
        <v>510896755.95763826</v>
      </c>
      <c r="AA559" s="1444">
        <f t="shared" si="179"/>
        <v>6</v>
      </c>
      <c r="AB559" s="1401">
        <f t="shared" si="180"/>
        <v>3065380535.7458296</v>
      </c>
      <c r="AC559" s="1401">
        <f t="shared" si="181"/>
        <v>510896755.95763826</v>
      </c>
      <c r="AD559" s="1401">
        <f t="shared" si="182"/>
        <v>510896755.95763826</v>
      </c>
      <c r="AE559" s="1401">
        <f t="shared" si="183"/>
        <v>510896755.95763826</v>
      </c>
      <c r="AF559" s="1401">
        <f t="shared" si="184"/>
        <v>510896755.95763826</v>
      </c>
      <c r="AG559" s="1479">
        <f t="shared" si="185"/>
        <v>0</v>
      </c>
      <c r="AH559" s="1479">
        <f t="shared" si="186"/>
        <v>0</v>
      </c>
      <c r="AI559" s="1479">
        <f t="shared" si="187"/>
        <v>5108967559.5763817</v>
      </c>
      <c r="AJ559" s="1401">
        <f t="shared" si="176"/>
        <v>0</v>
      </c>
    </row>
    <row r="560" spans="1:37" s="1390" customFormat="1" ht="34" customHeight="1" x14ac:dyDescent="0.2">
      <c r="A560" s="1390" t="s">
        <v>5057</v>
      </c>
      <c r="B560" s="1472" t="e">
        <f t="shared" si="177"/>
        <v>#N/A</v>
      </c>
      <c r="C560" s="1478" t="e">
        <f>RIGHT(#REF!,1)</f>
        <v>#REF!</v>
      </c>
      <c r="D560" s="1426"/>
      <c r="E560" s="1429" t="s">
        <v>1203</v>
      </c>
      <c r="F560" s="1539"/>
      <c r="G560" s="1517" t="s">
        <v>2494</v>
      </c>
      <c r="H560" s="1508"/>
      <c r="I560" s="1416"/>
      <c r="J560" s="1512"/>
      <c r="K560" s="1416"/>
      <c r="L560" s="1500"/>
      <c r="M560" s="1429" t="s">
        <v>3122</v>
      </c>
      <c r="N560" s="1416">
        <v>2008</v>
      </c>
      <c r="O560" s="1414"/>
      <c r="P560" s="1414"/>
      <c r="Q560" s="1414"/>
      <c r="R560" s="1416" t="s">
        <v>12</v>
      </c>
      <c r="S560" s="1529">
        <v>837796595</v>
      </c>
      <c r="T560" s="1416" t="s">
        <v>43</v>
      </c>
      <c r="U560" s="1427"/>
      <c r="V560" s="1477"/>
      <c r="W560" s="1478" t="str">
        <f t="shared" si="173"/>
        <v>04.13.01</v>
      </c>
      <c r="X560" s="1478" t="str">
        <f t="shared" si="174"/>
        <v>Jalan</v>
      </c>
      <c r="Y560" s="1478">
        <f t="shared" si="175"/>
        <v>10</v>
      </c>
      <c r="Z560" s="1401">
        <f t="shared" si="178"/>
        <v>83779659.5</v>
      </c>
      <c r="AA560" s="1444">
        <f t="shared" si="179"/>
        <v>6</v>
      </c>
      <c r="AB560" s="1401">
        <f t="shared" si="180"/>
        <v>502677957</v>
      </c>
      <c r="AC560" s="1401">
        <f t="shared" si="181"/>
        <v>83779659.5</v>
      </c>
      <c r="AD560" s="1401">
        <f t="shared" si="182"/>
        <v>83779659.5</v>
      </c>
      <c r="AE560" s="1401">
        <f t="shared" si="183"/>
        <v>83779659.5</v>
      </c>
      <c r="AF560" s="1401">
        <f t="shared" si="184"/>
        <v>83779659.5</v>
      </c>
      <c r="AG560" s="1479">
        <f t="shared" si="185"/>
        <v>0</v>
      </c>
      <c r="AH560" s="1479">
        <f t="shared" si="186"/>
        <v>0</v>
      </c>
      <c r="AI560" s="1479">
        <f t="shared" si="187"/>
        <v>837796595</v>
      </c>
      <c r="AJ560" s="1401">
        <f t="shared" si="176"/>
        <v>0</v>
      </c>
    </row>
    <row r="561" spans="1:36" s="1390" customFormat="1" ht="34" customHeight="1" x14ac:dyDescent="0.2">
      <c r="A561" s="1390" t="s">
        <v>5057</v>
      </c>
      <c r="B561" s="1472" t="e">
        <f t="shared" si="177"/>
        <v>#N/A</v>
      </c>
      <c r="C561" s="1478" t="e">
        <f>RIGHT(#REF!,1)</f>
        <v>#REF!</v>
      </c>
      <c r="D561" s="1426"/>
      <c r="E561" s="1429" t="s">
        <v>1203</v>
      </c>
      <c r="F561" s="1539"/>
      <c r="G561" s="1517" t="s">
        <v>2494</v>
      </c>
      <c r="H561" s="1508"/>
      <c r="I561" s="1416"/>
      <c r="J561" s="1512"/>
      <c r="K561" s="1416"/>
      <c r="L561" s="1500"/>
      <c r="M561" s="1429" t="s">
        <v>3122</v>
      </c>
      <c r="N561" s="1416">
        <v>2008</v>
      </c>
      <c r="O561" s="1414"/>
      <c r="P561" s="1414"/>
      <c r="Q561" s="1414"/>
      <c r="R561" s="1416" t="s">
        <v>12</v>
      </c>
      <c r="S561" s="1529">
        <v>523294499</v>
      </c>
      <c r="T561" s="1416" t="s">
        <v>43</v>
      </c>
      <c r="U561" s="1427"/>
      <c r="V561" s="1477"/>
      <c r="W561" s="1478" t="str">
        <f t="shared" si="173"/>
        <v>04.13.01</v>
      </c>
      <c r="X561" s="1478" t="str">
        <f t="shared" si="174"/>
        <v>Jalan</v>
      </c>
      <c r="Y561" s="1478">
        <f t="shared" si="175"/>
        <v>10</v>
      </c>
      <c r="Z561" s="1401">
        <f t="shared" si="178"/>
        <v>52329449.899999999</v>
      </c>
      <c r="AA561" s="1444">
        <f t="shared" si="179"/>
        <v>6</v>
      </c>
      <c r="AB561" s="1401">
        <f t="shared" si="180"/>
        <v>313976699.39999998</v>
      </c>
      <c r="AC561" s="1401">
        <f t="shared" si="181"/>
        <v>52329449.899999999</v>
      </c>
      <c r="AD561" s="1401">
        <f t="shared" si="182"/>
        <v>52329449.899999999</v>
      </c>
      <c r="AE561" s="1401">
        <f t="shared" si="183"/>
        <v>52329449.899999999</v>
      </c>
      <c r="AF561" s="1401">
        <f t="shared" si="184"/>
        <v>52329449.899999999</v>
      </c>
      <c r="AG561" s="1479">
        <f t="shared" si="185"/>
        <v>0</v>
      </c>
      <c r="AH561" s="1479">
        <f t="shared" si="186"/>
        <v>0</v>
      </c>
      <c r="AI561" s="1479">
        <f t="shared" si="187"/>
        <v>523294498.99999988</v>
      </c>
      <c r="AJ561" s="1401">
        <f t="shared" si="176"/>
        <v>0</v>
      </c>
    </row>
    <row r="562" spans="1:36" s="1390" customFormat="1" ht="34" customHeight="1" x14ac:dyDescent="0.2">
      <c r="A562" s="1390" t="s">
        <v>5057</v>
      </c>
      <c r="B562" s="1472" t="e">
        <f t="shared" si="177"/>
        <v>#N/A</v>
      </c>
      <c r="C562" s="1478" t="e">
        <f>RIGHT(#REF!,1)</f>
        <v>#REF!</v>
      </c>
      <c r="D562" s="1426"/>
      <c r="E562" s="1429" t="s">
        <v>1203</v>
      </c>
      <c r="F562" s="1539"/>
      <c r="G562" s="1517" t="s">
        <v>2494</v>
      </c>
      <c r="H562" s="1508"/>
      <c r="I562" s="1416"/>
      <c r="J562" s="1512"/>
      <c r="K562" s="1416"/>
      <c r="L562" s="1500"/>
      <c r="M562" s="1429" t="s">
        <v>3122</v>
      </c>
      <c r="N562" s="1416">
        <v>2008</v>
      </c>
      <c r="O562" s="1414"/>
      <c r="P562" s="1414"/>
      <c r="Q562" s="1414"/>
      <c r="R562" s="1416" t="s">
        <v>12</v>
      </c>
      <c r="S562" s="1529">
        <v>326364200</v>
      </c>
      <c r="T562" s="1416" t="s">
        <v>43</v>
      </c>
      <c r="U562" s="1427"/>
      <c r="V562" s="1477"/>
      <c r="W562" s="1478" t="str">
        <f t="shared" si="173"/>
        <v>04.13.01</v>
      </c>
      <c r="X562" s="1478" t="str">
        <f t="shared" si="174"/>
        <v>Jalan</v>
      </c>
      <c r="Y562" s="1478">
        <f t="shared" si="175"/>
        <v>10</v>
      </c>
      <c r="Z562" s="1401">
        <f t="shared" si="178"/>
        <v>32636420</v>
      </c>
      <c r="AA562" s="1444">
        <f t="shared" si="179"/>
        <v>6</v>
      </c>
      <c r="AB562" s="1401">
        <f t="shared" si="180"/>
        <v>195818520</v>
      </c>
      <c r="AC562" s="1401">
        <f t="shared" si="181"/>
        <v>32636420</v>
      </c>
      <c r="AD562" s="1401">
        <f t="shared" si="182"/>
        <v>32636420</v>
      </c>
      <c r="AE562" s="1401">
        <f t="shared" si="183"/>
        <v>32636420</v>
      </c>
      <c r="AF562" s="1401">
        <f t="shared" si="184"/>
        <v>32636420</v>
      </c>
      <c r="AG562" s="1479">
        <f t="shared" si="185"/>
        <v>0</v>
      </c>
      <c r="AH562" s="1479">
        <f t="shared" si="186"/>
        <v>0</v>
      </c>
      <c r="AI562" s="1479">
        <f t="shared" si="187"/>
        <v>326364200</v>
      </c>
      <c r="AJ562" s="1401">
        <f t="shared" si="176"/>
        <v>0</v>
      </c>
    </row>
    <row r="563" spans="1:36" s="1390" customFormat="1" ht="34" customHeight="1" x14ac:dyDescent="0.2">
      <c r="A563" s="1390" t="s">
        <v>5252</v>
      </c>
      <c r="B563" s="1472" t="e">
        <f t="shared" si="177"/>
        <v>#N/A</v>
      </c>
      <c r="C563" s="1478"/>
      <c r="D563" s="1426"/>
      <c r="E563" s="1577" t="s">
        <v>5186</v>
      </c>
      <c r="F563" s="1539"/>
      <c r="G563" s="1517" t="s">
        <v>2494</v>
      </c>
      <c r="H563" s="1508"/>
      <c r="I563" s="1523" t="s">
        <v>519</v>
      </c>
      <c r="J563" s="1540">
        <v>1000</v>
      </c>
      <c r="K563" s="1525">
        <v>6</v>
      </c>
      <c r="L563" s="1525">
        <f>J563*K563</f>
        <v>6000</v>
      </c>
      <c r="M563" s="1523" t="s">
        <v>5187</v>
      </c>
      <c r="N563" s="1416">
        <v>2008</v>
      </c>
      <c r="O563" s="1414"/>
      <c r="P563" s="1523" t="s">
        <v>5084</v>
      </c>
      <c r="Q563" s="1414"/>
      <c r="R563" s="1523" t="s">
        <v>12</v>
      </c>
      <c r="S563" s="1529">
        <v>1460104654.3762541</v>
      </c>
      <c r="T563" s="1525" t="s">
        <v>43</v>
      </c>
      <c r="U563" s="1574"/>
      <c r="V563" s="1477"/>
      <c r="W563" s="1478" t="str">
        <f t="shared" si="173"/>
        <v>04.13.01</v>
      </c>
      <c r="X563" s="1478" t="str">
        <f t="shared" si="174"/>
        <v>Jalan</v>
      </c>
      <c r="Y563" s="1478">
        <f t="shared" si="175"/>
        <v>10</v>
      </c>
      <c r="Z563" s="1401">
        <f t="shared" si="178"/>
        <v>146010465.43762541</v>
      </c>
      <c r="AA563" s="1444">
        <f t="shared" si="179"/>
        <v>6</v>
      </c>
      <c r="AB563" s="1401">
        <f t="shared" si="180"/>
        <v>876062792.62575245</v>
      </c>
      <c r="AC563" s="1401">
        <f t="shared" si="181"/>
        <v>146010465.43762541</v>
      </c>
      <c r="AD563" s="1401">
        <f t="shared" si="182"/>
        <v>146010465.43762541</v>
      </c>
      <c r="AE563" s="1401">
        <f t="shared" si="183"/>
        <v>146010465.43762541</v>
      </c>
      <c r="AF563" s="1401">
        <f t="shared" si="184"/>
        <v>146010465.43762541</v>
      </c>
      <c r="AG563" s="1479">
        <f t="shared" si="185"/>
        <v>0</v>
      </c>
      <c r="AH563" s="1479">
        <f t="shared" si="186"/>
        <v>0</v>
      </c>
      <c r="AI563" s="1479">
        <f t="shared" si="187"/>
        <v>1460104654.3762541</v>
      </c>
      <c r="AJ563" s="1401">
        <f t="shared" si="176"/>
        <v>0</v>
      </c>
    </row>
    <row r="564" spans="1:36" s="1390" customFormat="1" ht="34" customHeight="1" x14ac:dyDescent="0.2">
      <c r="A564" s="1390" t="s">
        <v>5252</v>
      </c>
      <c r="B564" s="1472" t="e">
        <f t="shared" si="177"/>
        <v>#N/A</v>
      </c>
      <c r="C564" s="1478"/>
      <c r="D564" s="1426"/>
      <c r="E564" s="1573" t="s">
        <v>5202</v>
      </c>
      <c r="F564" s="1539"/>
      <c r="G564" s="1517" t="s">
        <v>2494</v>
      </c>
      <c r="H564" s="1508"/>
      <c r="I564" s="1523" t="s">
        <v>519</v>
      </c>
      <c r="J564" s="1540">
        <v>2000</v>
      </c>
      <c r="K564" s="1525"/>
      <c r="L564" s="1525">
        <v>2000</v>
      </c>
      <c r="M564" s="1523" t="s">
        <v>5206</v>
      </c>
      <c r="N564" s="1416">
        <v>2008</v>
      </c>
      <c r="O564" s="1414"/>
      <c r="P564" s="1523" t="s">
        <v>5084</v>
      </c>
      <c r="Q564" s="1414"/>
      <c r="R564" s="1523" t="s">
        <v>12</v>
      </c>
      <c r="S564" s="1529">
        <v>2945813935.276629</v>
      </c>
      <c r="T564" s="1525" t="s">
        <v>43</v>
      </c>
      <c r="U564" s="1574"/>
      <c r="V564" s="1477"/>
      <c r="W564" s="1478" t="str">
        <f t="shared" si="173"/>
        <v>04.13.01</v>
      </c>
      <c r="X564" s="1478" t="str">
        <f t="shared" si="174"/>
        <v>Jalan</v>
      </c>
      <c r="Y564" s="1478">
        <f t="shared" si="175"/>
        <v>10</v>
      </c>
      <c r="Z564" s="1401">
        <f t="shared" si="178"/>
        <v>294581393.52766287</v>
      </c>
      <c r="AA564" s="1444">
        <f t="shared" si="179"/>
        <v>6</v>
      </c>
      <c r="AB564" s="1401">
        <f t="shared" si="180"/>
        <v>1767488361.1659772</v>
      </c>
      <c r="AC564" s="1401">
        <f t="shared" si="181"/>
        <v>294581393.52766287</v>
      </c>
      <c r="AD564" s="1401">
        <f t="shared" si="182"/>
        <v>294581393.52766287</v>
      </c>
      <c r="AE564" s="1401">
        <f t="shared" si="183"/>
        <v>294581393.52766287</v>
      </c>
      <c r="AF564" s="1401">
        <f t="shared" si="184"/>
        <v>294581393.52766287</v>
      </c>
      <c r="AG564" s="1479">
        <f t="shared" si="185"/>
        <v>0</v>
      </c>
      <c r="AH564" s="1479">
        <f t="shared" si="186"/>
        <v>0</v>
      </c>
      <c r="AI564" s="1479">
        <f t="shared" si="187"/>
        <v>2945813935.2766285</v>
      </c>
      <c r="AJ564" s="1401">
        <f t="shared" si="176"/>
        <v>0</v>
      </c>
    </row>
    <row r="565" spans="1:36" s="1390" customFormat="1" ht="34" customHeight="1" x14ac:dyDescent="0.2">
      <c r="A565" s="1390" t="s">
        <v>5252</v>
      </c>
      <c r="B565" s="1472" t="e">
        <f t="shared" si="177"/>
        <v>#N/A</v>
      </c>
      <c r="C565" s="1478"/>
      <c r="D565" s="1426"/>
      <c r="E565" s="1543" t="s">
        <v>5203</v>
      </c>
      <c r="F565" s="1539"/>
      <c r="G565" s="1517" t="s">
        <v>2494</v>
      </c>
      <c r="H565" s="1508"/>
      <c r="I565" s="1523" t="s">
        <v>519</v>
      </c>
      <c r="J565" s="1540">
        <v>1000</v>
      </c>
      <c r="K565" s="1525"/>
      <c r="L565" s="1525">
        <v>1000</v>
      </c>
      <c r="M565" s="1523" t="s">
        <v>5207</v>
      </c>
      <c r="N565" s="1416">
        <v>2008</v>
      </c>
      <c r="O565" s="1414"/>
      <c r="P565" s="1523" t="s">
        <v>5084</v>
      </c>
      <c r="Q565" s="1414"/>
      <c r="R565" s="1523" t="s">
        <v>12</v>
      </c>
      <c r="S565" s="1529">
        <v>1363909803.4338889</v>
      </c>
      <c r="T565" s="1525" t="s">
        <v>43</v>
      </c>
      <c r="U565" s="1574"/>
      <c r="V565" s="1477"/>
      <c r="W565" s="1478" t="str">
        <f t="shared" si="173"/>
        <v>04.13.01</v>
      </c>
      <c r="X565" s="1478" t="str">
        <f t="shared" si="174"/>
        <v>Jalan</v>
      </c>
      <c r="Y565" s="1478">
        <f t="shared" si="175"/>
        <v>10</v>
      </c>
      <c r="Z565" s="1401">
        <f t="shared" si="178"/>
        <v>136390980.34338889</v>
      </c>
      <c r="AA565" s="1444">
        <f t="shared" si="179"/>
        <v>6</v>
      </c>
      <c r="AB565" s="1401">
        <f t="shared" si="180"/>
        <v>818345882.06033325</v>
      </c>
      <c r="AC565" s="1401">
        <f t="shared" si="181"/>
        <v>136390980.34338889</v>
      </c>
      <c r="AD565" s="1401">
        <f t="shared" si="182"/>
        <v>136390980.34338889</v>
      </c>
      <c r="AE565" s="1401">
        <f t="shared" si="183"/>
        <v>136390980.34338889</v>
      </c>
      <c r="AF565" s="1401">
        <f t="shared" si="184"/>
        <v>136390980.34338889</v>
      </c>
      <c r="AG565" s="1479">
        <f t="shared" si="185"/>
        <v>0</v>
      </c>
      <c r="AH565" s="1479">
        <f t="shared" si="186"/>
        <v>0</v>
      </c>
      <c r="AI565" s="1479">
        <f t="shared" si="187"/>
        <v>1363909803.4338887</v>
      </c>
      <c r="AJ565" s="1401">
        <f t="shared" si="176"/>
        <v>0</v>
      </c>
    </row>
    <row r="566" spans="1:36" s="1390" customFormat="1" ht="34" customHeight="1" x14ac:dyDescent="0.2">
      <c r="A566" s="1390" t="s">
        <v>5252</v>
      </c>
      <c r="B566" s="1472" t="e">
        <f t="shared" si="177"/>
        <v>#N/A</v>
      </c>
      <c r="C566" s="1478"/>
      <c r="D566" s="1426"/>
      <c r="E566" s="1573" t="s">
        <v>5204</v>
      </c>
      <c r="F566" s="1539"/>
      <c r="G566" s="1517" t="s">
        <v>2494</v>
      </c>
      <c r="H566" s="1508"/>
      <c r="I566" s="1523" t="s">
        <v>519</v>
      </c>
      <c r="J566" s="1540">
        <v>1000</v>
      </c>
      <c r="K566" s="1525"/>
      <c r="L566" s="1525">
        <v>1000</v>
      </c>
      <c r="M566" s="1523" t="s">
        <v>5208</v>
      </c>
      <c r="N566" s="1416">
        <v>2008</v>
      </c>
      <c r="O566" s="1414"/>
      <c r="P566" s="1523" t="s">
        <v>5084</v>
      </c>
      <c r="Q566" s="1414"/>
      <c r="R566" s="1523" t="s">
        <v>12</v>
      </c>
      <c r="S566" s="1529">
        <v>1315171695.290029</v>
      </c>
      <c r="T566" s="1525" t="s">
        <v>43</v>
      </c>
      <c r="U566" s="1574"/>
      <c r="V566" s="1477"/>
      <c r="W566" s="1478" t="str">
        <f t="shared" si="173"/>
        <v>04.13.01</v>
      </c>
      <c r="X566" s="1478" t="str">
        <f t="shared" si="174"/>
        <v>Jalan</v>
      </c>
      <c r="Y566" s="1478">
        <f t="shared" si="175"/>
        <v>10</v>
      </c>
      <c r="Z566" s="1401">
        <f t="shared" si="178"/>
        <v>131517169.5290029</v>
      </c>
      <c r="AA566" s="1444">
        <f t="shared" si="179"/>
        <v>6</v>
      </c>
      <c r="AB566" s="1401">
        <f t="shared" si="180"/>
        <v>789103017.17401743</v>
      </c>
      <c r="AC566" s="1401">
        <f t="shared" si="181"/>
        <v>131517169.5290029</v>
      </c>
      <c r="AD566" s="1401">
        <f t="shared" si="182"/>
        <v>131517169.5290029</v>
      </c>
      <c r="AE566" s="1401">
        <f t="shared" si="183"/>
        <v>131517169.5290029</v>
      </c>
      <c r="AF566" s="1401">
        <f t="shared" si="184"/>
        <v>131517169.5290029</v>
      </c>
      <c r="AG566" s="1479">
        <f t="shared" si="185"/>
        <v>0</v>
      </c>
      <c r="AH566" s="1479">
        <f t="shared" si="186"/>
        <v>0</v>
      </c>
      <c r="AI566" s="1479">
        <f t="shared" si="187"/>
        <v>1315171695.290029</v>
      </c>
      <c r="AJ566" s="1401">
        <f t="shared" si="176"/>
        <v>0</v>
      </c>
    </row>
    <row r="567" spans="1:36" s="1390" customFormat="1" ht="34" customHeight="1" x14ac:dyDescent="0.2">
      <c r="A567" s="1390" t="s">
        <v>5057</v>
      </c>
      <c r="B567" s="1472" t="e">
        <f t="shared" si="177"/>
        <v>#N/A</v>
      </c>
      <c r="C567" s="1478" t="e">
        <f>RIGHT(#REF!,1)</f>
        <v>#REF!</v>
      </c>
      <c r="D567" s="1426"/>
      <c r="E567" s="1429" t="s">
        <v>1203</v>
      </c>
      <c r="F567" s="1539"/>
      <c r="G567" s="1517" t="s">
        <v>2494</v>
      </c>
      <c r="H567" s="1508"/>
      <c r="I567" s="1416"/>
      <c r="J567" s="1512"/>
      <c r="K567" s="1416"/>
      <c r="L567" s="1500"/>
      <c r="M567" s="1429" t="s">
        <v>3122</v>
      </c>
      <c r="N567" s="1416">
        <v>2009</v>
      </c>
      <c r="O567" s="1414"/>
      <c r="P567" s="1414"/>
      <c r="Q567" s="1414"/>
      <c r="R567" s="1416" t="s">
        <v>12</v>
      </c>
      <c r="S567" s="1529">
        <v>530573293</v>
      </c>
      <c r="T567" s="1416" t="s">
        <v>43</v>
      </c>
      <c r="U567" s="1427"/>
      <c r="V567" s="1477"/>
      <c r="W567" s="1478" t="str">
        <f t="shared" si="173"/>
        <v>04.13.01</v>
      </c>
      <c r="X567" s="1478" t="str">
        <f t="shared" si="174"/>
        <v>Jalan</v>
      </c>
      <c r="Y567" s="1478">
        <f t="shared" si="175"/>
        <v>10</v>
      </c>
      <c r="Z567" s="1401">
        <f t="shared" si="178"/>
        <v>53057329.299999997</v>
      </c>
      <c r="AA567" s="1444">
        <f t="shared" si="179"/>
        <v>5</v>
      </c>
      <c r="AB567" s="1401">
        <f t="shared" si="180"/>
        <v>265286646.5</v>
      </c>
      <c r="AC567" s="1401">
        <f t="shared" si="181"/>
        <v>53057329.299999997</v>
      </c>
      <c r="AD567" s="1401">
        <f t="shared" si="182"/>
        <v>53057329.299999997</v>
      </c>
      <c r="AE567" s="1401">
        <f t="shared" si="183"/>
        <v>53057329.299999997</v>
      </c>
      <c r="AF567" s="1401">
        <f t="shared" si="184"/>
        <v>53057329.299999997</v>
      </c>
      <c r="AG567" s="1479">
        <f t="shared" si="185"/>
        <v>53057329.299999997</v>
      </c>
      <c r="AH567" s="1479">
        <f t="shared" si="186"/>
        <v>0</v>
      </c>
      <c r="AI567" s="1479">
        <f t="shared" si="187"/>
        <v>530573293.00000006</v>
      </c>
      <c r="AJ567" s="1401">
        <f t="shared" si="176"/>
        <v>0</v>
      </c>
    </row>
    <row r="568" spans="1:36" s="1390" customFormat="1" ht="34" customHeight="1" x14ac:dyDescent="0.2">
      <c r="A568" s="1390" t="s">
        <v>5252</v>
      </c>
      <c r="B568" s="1472" t="e">
        <f t="shared" si="177"/>
        <v>#N/A</v>
      </c>
      <c r="C568" s="1478"/>
      <c r="D568" s="1426"/>
      <c r="E568" s="1579" t="s">
        <v>5212</v>
      </c>
      <c r="F568" s="1539"/>
      <c r="G568" s="1517" t="s">
        <v>2494</v>
      </c>
      <c r="H568" s="1508"/>
      <c r="I568" s="1535" t="s">
        <v>519</v>
      </c>
      <c r="J568" s="1540">
        <v>1000</v>
      </c>
      <c r="K568" s="1535"/>
      <c r="L568" s="1535">
        <v>1000</v>
      </c>
      <c r="M568" s="1535" t="s">
        <v>5215</v>
      </c>
      <c r="N568" s="1416">
        <v>2009</v>
      </c>
      <c r="O568" s="1414"/>
      <c r="P568" s="1414" t="s">
        <v>5084</v>
      </c>
      <c r="Q568" s="1414"/>
      <c r="R568" s="1523" t="s">
        <v>12</v>
      </c>
      <c r="S568" s="1529">
        <v>1651712865.13924</v>
      </c>
      <c r="T568" s="1416" t="s">
        <v>43</v>
      </c>
      <c r="U568" s="1427"/>
      <c r="V568" s="1477"/>
      <c r="W568" s="1478" t="str">
        <f t="shared" si="173"/>
        <v>04.13.01</v>
      </c>
      <c r="X568" s="1478" t="str">
        <f t="shared" si="174"/>
        <v>Jalan</v>
      </c>
      <c r="Y568" s="1478">
        <f t="shared" si="175"/>
        <v>10</v>
      </c>
      <c r="Z568" s="1401">
        <f t="shared" si="178"/>
        <v>165171286.513924</v>
      </c>
      <c r="AA568" s="1444">
        <f t="shared" si="179"/>
        <v>5</v>
      </c>
      <c r="AB568" s="1401">
        <f t="shared" si="180"/>
        <v>825856432.56962001</v>
      </c>
      <c r="AC568" s="1401">
        <f t="shared" si="181"/>
        <v>165171286.513924</v>
      </c>
      <c r="AD568" s="1401">
        <f t="shared" si="182"/>
        <v>165171286.513924</v>
      </c>
      <c r="AE568" s="1401">
        <f t="shared" si="183"/>
        <v>165171286.513924</v>
      </c>
      <c r="AF568" s="1401">
        <f t="shared" si="184"/>
        <v>165171286.513924</v>
      </c>
      <c r="AG568" s="1479">
        <f t="shared" si="185"/>
        <v>165171286.513924</v>
      </c>
      <c r="AH568" s="1479">
        <f t="shared" si="186"/>
        <v>0</v>
      </c>
      <c r="AI568" s="1479">
        <f t="shared" si="187"/>
        <v>1651712865.1392403</v>
      </c>
      <c r="AJ568" s="1401">
        <f t="shared" si="176"/>
        <v>0</v>
      </c>
    </row>
    <row r="569" spans="1:36" s="1390" customFormat="1" ht="34" customHeight="1" x14ac:dyDescent="0.2">
      <c r="A569" s="1390" t="s">
        <v>5252</v>
      </c>
      <c r="B569" s="1472" t="e">
        <f t="shared" si="177"/>
        <v>#N/A</v>
      </c>
      <c r="C569" s="1478"/>
      <c r="D569" s="1426"/>
      <c r="E569" s="1579" t="s">
        <v>5213</v>
      </c>
      <c r="F569" s="1539"/>
      <c r="G569" s="1517" t="s">
        <v>2494</v>
      </c>
      <c r="H569" s="1508"/>
      <c r="I569" s="1534" t="s">
        <v>519</v>
      </c>
      <c r="J569" s="1540">
        <v>740</v>
      </c>
      <c r="K569" s="1535"/>
      <c r="L569" s="1534">
        <v>740</v>
      </c>
      <c r="M569" s="1534" t="s">
        <v>5187</v>
      </c>
      <c r="N569" s="1416">
        <v>2009</v>
      </c>
      <c r="O569" s="1414"/>
      <c r="P569" s="1414" t="s">
        <v>5084</v>
      </c>
      <c r="Q569" s="1414"/>
      <c r="R569" s="1523" t="s">
        <v>12</v>
      </c>
      <c r="S569" s="1529">
        <v>1117686146.0028391</v>
      </c>
      <c r="T569" s="1416" t="s">
        <v>43</v>
      </c>
      <c r="U569" s="1427"/>
      <c r="V569" s="1477"/>
      <c r="W569" s="1478" t="str">
        <f t="shared" si="173"/>
        <v>04.13.01</v>
      </c>
      <c r="X569" s="1478" t="str">
        <f t="shared" si="174"/>
        <v>Jalan</v>
      </c>
      <c r="Y569" s="1478">
        <f t="shared" si="175"/>
        <v>10</v>
      </c>
      <c r="Z569" s="1401">
        <f t="shared" si="178"/>
        <v>111768614.60028391</v>
      </c>
      <c r="AA569" s="1444">
        <f t="shared" si="179"/>
        <v>5</v>
      </c>
      <c r="AB569" s="1401">
        <f t="shared" si="180"/>
        <v>558843073.00141954</v>
      </c>
      <c r="AC569" s="1401">
        <f t="shared" si="181"/>
        <v>111768614.60028391</v>
      </c>
      <c r="AD569" s="1401">
        <f t="shared" si="182"/>
        <v>111768614.60028391</v>
      </c>
      <c r="AE569" s="1401">
        <f t="shared" si="183"/>
        <v>111768614.60028391</v>
      </c>
      <c r="AF569" s="1401">
        <f t="shared" si="184"/>
        <v>111768614.60028391</v>
      </c>
      <c r="AG569" s="1479">
        <f t="shared" si="185"/>
        <v>111768614.60028391</v>
      </c>
      <c r="AH569" s="1479">
        <f t="shared" si="186"/>
        <v>0</v>
      </c>
      <c r="AI569" s="1479">
        <f t="shared" si="187"/>
        <v>1117686146.0028389</v>
      </c>
      <c r="AJ569" s="1401">
        <f t="shared" si="176"/>
        <v>0</v>
      </c>
    </row>
    <row r="570" spans="1:36" s="1390" customFormat="1" ht="34" customHeight="1" x14ac:dyDescent="0.2">
      <c r="A570" s="1390" t="s">
        <v>5252</v>
      </c>
      <c r="B570" s="1472" t="e">
        <f t="shared" si="177"/>
        <v>#N/A</v>
      </c>
      <c r="C570" s="1478"/>
      <c r="D570" s="1426"/>
      <c r="E570" s="1583" t="s">
        <v>5218</v>
      </c>
      <c r="F570" s="1539"/>
      <c r="G570" s="1517" t="s">
        <v>2494</v>
      </c>
      <c r="H570" s="1508"/>
      <c r="I570" s="1534" t="s">
        <v>519</v>
      </c>
      <c r="J570" s="1540">
        <v>1000</v>
      </c>
      <c r="K570" s="1535"/>
      <c r="L570" s="1534">
        <v>1000</v>
      </c>
      <c r="M570" s="1534" t="s">
        <v>5219</v>
      </c>
      <c r="N570" s="1416">
        <v>2009</v>
      </c>
      <c r="O570" s="1414"/>
      <c r="P570" s="1414" t="s">
        <v>5084</v>
      </c>
      <c r="Q570" s="1414"/>
      <c r="R570" s="1523" t="s">
        <v>12</v>
      </c>
      <c r="S570" s="1529">
        <v>1628052783.90008</v>
      </c>
      <c r="T570" s="1416" t="s">
        <v>43</v>
      </c>
      <c r="U570" s="1427"/>
      <c r="V570" s="1477"/>
      <c r="W570" s="1478" t="str">
        <f t="shared" si="173"/>
        <v>04.13.01</v>
      </c>
      <c r="X570" s="1478" t="str">
        <f t="shared" si="174"/>
        <v>Jalan</v>
      </c>
      <c r="Y570" s="1478">
        <f t="shared" si="175"/>
        <v>10</v>
      </c>
      <c r="Z570" s="1401">
        <f t="shared" si="178"/>
        <v>162805278.390008</v>
      </c>
      <c r="AA570" s="1444">
        <f t="shared" si="179"/>
        <v>5</v>
      </c>
      <c r="AB570" s="1401">
        <f t="shared" si="180"/>
        <v>814026391.95003998</v>
      </c>
      <c r="AC570" s="1401">
        <f t="shared" si="181"/>
        <v>162805278.390008</v>
      </c>
      <c r="AD570" s="1401">
        <f t="shared" si="182"/>
        <v>162805278.390008</v>
      </c>
      <c r="AE570" s="1401">
        <f t="shared" si="183"/>
        <v>162805278.390008</v>
      </c>
      <c r="AF570" s="1401">
        <f t="shared" si="184"/>
        <v>162805278.390008</v>
      </c>
      <c r="AG570" s="1479">
        <f t="shared" si="185"/>
        <v>162805278.390008</v>
      </c>
      <c r="AH570" s="1479">
        <f t="shared" si="186"/>
        <v>0</v>
      </c>
      <c r="AI570" s="1479">
        <f t="shared" si="187"/>
        <v>1628052783.90008</v>
      </c>
      <c r="AJ570" s="1401">
        <f t="shared" si="176"/>
        <v>0</v>
      </c>
    </row>
    <row r="571" spans="1:36" s="1390" customFormat="1" ht="34" customHeight="1" x14ac:dyDescent="0.2">
      <c r="A571" s="1390" t="s">
        <v>5252</v>
      </c>
      <c r="B571" s="1472" t="e">
        <f t="shared" si="177"/>
        <v>#N/A</v>
      </c>
      <c r="C571" s="1478"/>
      <c r="D571" s="1426"/>
      <c r="E571" s="1591" t="s">
        <v>5220</v>
      </c>
      <c r="F571" s="1539"/>
      <c r="G571" s="1517" t="s">
        <v>2494</v>
      </c>
      <c r="H571" s="1508"/>
      <c r="I571" s="1523" t="s">
        <v>519</v>
      </c>
      <c r="J571" s="1540">
        <v>790</v>
      </c>
      <c r="K571" s="1525"/>
      <c r="L571" s="1523"/>
      <c r="M571" s="1525" t="s">
        <v>5223</v>
      </c>
      <c r="N571" s="1416">
        <v>2010</v>
      </c>
      <c r="O571" s="1414"/>
      <c r="P571" s="1414" t="s">
        <v>5084</v>
      </c>
      <c r="Q571" s="1414"/>
      <c r="R571" s="1523" t="s">
        <v>12</v>
      </c>
      <c r="S571" s="1529">
        <v>1071409553.9920537</v>
      </c>
      <c r="T571" s="1416" t="s">
        <v>43</v>
      </c>
      <c r="U571" s="1427"/>
      <c r="V571" s="1477"/>
      <c r="W571" s="1478" t="str">
        <f t="shared" si="173"/>
        <v>04.13.01</v>
      </c>
      <c r="X571" s="1478" t="str">
        <f t="shared" si="174"/>
        <v>Jalan</v>
      </c>
      <c r="Y571" s="1478">
        <f t="shared" si="175"/>
        <v>10</v>
      </c>
      <c r="Z571" s="1401">
        <f t="shared" si="178"/>
        <v>107140955.39920537</v>
      </c>
      <c r="AA571" s="1444">
        <f t="shared" si="179"/>
        <v>4</v>
      </c>
      <c r="AB571" s="1401">
        <f t="shared" si="180"/>
        <v>428563821.59682149</v>
      </c>
      <c r="AC571" s="1401">
        <f t="shared" si="181"/>
        <v>107140955.39920537</v>
      </c>
      <c r="AD571" s="1401">
        <f t="shared" si="182"/>
        <v>107140955.39920537</v>
      </c>
      <c r="AE571" s="1401">
        <f t="shared" si="183"/>
        <v>107140955.39920537</v>
      </c>
      <c r="AF571" s="1401">
        <f t="shared" si="184"/>
        <v>107140955.39920537</v>
      </c>
      <c r="AG571" s="1479">
        <f t="shared" si="185"/>
        <v>107140955.39920537</v>
      </c>
      <c r="AH571" s="1479">
        <f t="shared" si="186"/>
        <v>107140955.39920537</v>
      </c>
      <c r="AI571" s="1479">
        <f t="shared" si="187"/>
        <v>1071409553.9920535</v>
      </c>
      <c r="AJ571" s="1401">
        <f t="shared" si="176"/>
        <v>0</v>
      </c>
    </row>
    <row r="572" spans="1:36" s="1390" customFormat="1" ht="34" customHeight="1" x14ac:dyDescent="0.2">
      <c r="A572" s="1390" t="s">
        <v>5252</v>
      </c>
      <c r="B572" s="1472" t="e">
        <f t="shared" si="177"/>
        <v>#N/A</v>
      </c>
      <c r="C572" s="1478"/>
      <c r="D572" s="1426"/>
      <c r="E572" s="1588" t="s">
        <v>5221</v>
      </c>
      <c r="F572" s="1539"/>
      <c r="G572" s="1517" t="s">
        <v>2494</v>
      </c>
      <c r="H572" s="1508"/>
      <c r="I572" s="1523" t="s">
        <v>519</v>
      </c>
      <c r="J572" s="1540">
        <v>230</v>
      </c>
      <c r="K572" s="1525"/>
      <c r="L572" s="1523"/>
      <c r="M572" s="1525" t="s">
        <v>5222</v>
      </c>
      <c r="N572" s="1416">
        <v>2010</v>
      </c>
      <c r="O572" s="1414"/>
      <c r="P572" s="1414" t="s">
        <v>5084</v>
      </c>
      <c r="Q572" s="1414"/>
      <c r="R572" s="1523" t="s">
        <v>12</v>
      </c>
      <c r="S572" s="1529">
        <v>306178026.42051858</v>
      </c>
      <c r="T572" s="1416" t="s">
        <v>43</v>
      </c>
      <c r="U572" s="1427"/>
      <c r="V572" s="1477"/>
      <c r="W572" s="1478" t="str">
        <f t="shared" si="173"/>
        <v>04.13.01</v>
      </c>
      <c r="X572" s="1478" t="str">
        <f t="shared" si="174"/>
        <v>Jalan</v>
      </c>
      <c r="Y572" s="1478">
        <f t="shared" si="175"/>
        <v>10</v>
      </c>
      <c r="Z572" s="1401">
        <f t="shared" si="178"/>
        <v>30617802.642051857</v>
      </c>
      <c r="AA572" s="1444">
        <f t="shared" si="179"/>
        <v>4</v>
      </c>
      <c r="AB572" s="1401">
        <f t="shared" si="180"/>
        <v>122471210.56820743</v>
      </c>
      <c r="AC572" s="1401">
        <f t="shared" si="181"/>
        <v>30617802.642051857</v>
      </c>
      <c r="AD572" s="1401">
        <f t="shared" si="182"/>
        <v>30617802.642051857</v>
      </c>
      <c r="AE572" s="1401">
        <f t="shared" si="183"/>
        <v>30617802.642051857</v>
      </c>
      <c r="AF572" s="1401">
        <f t="shared" si="184"/>
        <v>30617802.642051857</v>
      </c>
      <c r="AG572" s="1479">
        <f t="shared" si="185"/>
        <v>30617802.642051857</v>
      </c>
      <c r="AH572" s="1479">
        <f t="shared" si="186"/>
        <v>30617802.642051857</v>
      </c>
      <c r="AI572" s="1479">
        <f t="shared" si="187"/>
        <v>306178026.42051858</v>
      </c>
      <c r="AJ572" s="1401">
        <f t="shared" si="176"/>
        <v>0</v>
      </c>
    </row>
    <row r="573" spans="1:36" s="1390" customFormat="1" ht="34" customHeight="1" x14ac:dyDescent="0.2">
      <c r="A573" s="1390" t="s">
        <v>5252</v>
      </c>
      <c r="B573" s="1472" t="e">
        <f t="shared" si="177"/>
        <v>#N/A</v>
      </c>
      <c r="C573" s="1478" t="e">
        <f>RIGHT(#REF!,1)</f>
        <v>#REF!</v>
      </c>
      <c r="D573" s="1426"/>
      <c r="E573" s="1429" t="s">
        <v>1217</v>
      </c>
      <c r="F573" s="1539"/>
      <c r="G573" s="1517" t="s">
        <v>2494</v>
      </c>
      <c r="H573" s="1508"/>
      <c r="I573" s="1416" t="s">
        <v>519</v>
      </c>
      <c r="J573" s="1512"/>
      <c r="K573" s="1416"/>
      <c r="L573" s="1500">
        <v>1000</v>
      </c>
      <c r="M573" s="1429" t="s">
        <v>3127</v>
      </c>
      <c r="N573" s="1416">
        <v>2011</v>
      </c>
      <c r="O573" s="1414"/>
      <c r="P573" s="1414"/>
      <c r="Q573" s="1414"/>
      <c r="R573" s="1416" t="s">
        <v>12</v>
      </c>
      <c r="S573" s="1529">
        <v>1759387701.9008303</v>
      </c>
      <c r="T573" s="1416" t="s">
        <v>43</v>
      </c>
      <c r="U573" s="1427"/>
      <c r="V573" s="1477"/>
      <c r="W573" s="1478" t="str">
        <f t="shared" si="173"/>
        <v>04.13.01</v>
      </c>
      <c r="X573" s="1478" t="str">
        <f t="shared" si="174"/>
        <v>Jalan</v>
      </c>
      <c r="Y573" s="1478">
        <f t="shared" si="175"/>
        <v>10</v>
      </c>
      <c r="Z573" s="1401">
        <f t="shared" si="178"/>
        <v>175938770.19008303</v>
      </c>
      <c r="AA573" s="1444">
        <f t="shared" si="179"/>
        <v>3</v>
      </c>
      <c r="AB573" s="1401">
        <f t="shared" si="180"/>
        <v>527816310.57024908</v>
      </c>
      <c r="AC573" s="1401">
        <f t="shared" si="181"/>
        <v>175938770.19008303</v>
      </c>
      <c r="AD573" s="1401">
        <f t="shared" si="182"/>
        <v>175938770.19008303</v>
      </c>
      <c r="AE573" s="1401">
        <f t="shared" si="183"/>
        <v>175938770.19008303</v>
      </c>
      <c r="AF573" s="1401">
        <f t="shared" si="184"/>
        <v>175938770.19008303</v>
      </c>
      <c r="AG573" s="1479">
        <f t="shared" si="185"/>
        <v>175938770.19008303</v>
      </c>
      <c r="AH573" s="1479">
        <f t="shared" si="186"/>
        <v>175938770.19008303</v>
      </c>
      <c r="AI573" s="1479">
        <f t="shared" si="187"/>
        <v>1583448931.7107472</v>
      </c>
      <c r="AJ573" s="1401">
        <f t="shared" si="176"/>
        <v>175938770.19008303</v>
      </c>
    </row>
    <row r="574" spans="1:36" s="1390" customFormat="1" ht="34" customHeight="1" x14ac:dyDescent="0.2">
      <c r="A574" s="1390" t="s">
        <v>5252</v>
      </c>
      <c r="B574" s="1472" t="e">
        <f t="shared" si="177"/>
        <v>#N/A</v>
      </c>
      <c r="C574" s="1478" t="e">
        <f>RIGHT(#REF!,1)</f>
        <v>#REF!</v>
      </c>
      <c r="D574" s="1426"/>
      <c r="E574" s="1429" t="s">
        <v>1228</v>
      </c>
      <c r="F574" s="1539"/>
      <c r="G574" s="1517" t="s">
        <v>2494</v>
      </c>
      <c r="H574" s="1508"/>
      <c r="I574" s="1416" t="s">
        <v>519</v>
      </c>
      <c r="J574" s="1512"/>
      <c r="K574" s="1416"/>
      <c r="L574" s="1500"/>
      <c r="M574" s="1429" t="s">
        <v>3136</v>
      </c>
      <c r="N574" s="1416">
        <v>2011</v>
      </c>
      <c r="O574" s="1414"/>
      <c r="P574" s="1414"/>
      <c r="Q574" s="1414"/>
      <c r="R574" s="1416" t="s">
        <v>12</v>
      </c>
      <c r="S574" s="1529">
        <v>16031900</v>
      </c>
      <c r="T574" s="1416" t="s">
        <v>43</v>
      </c>
      <c r="U574" s="1427"/>
      <c r="V574" s="1477"/>
      <c r="W574" s="1478" t="str">
        <f t="shared" si="173"/>
        <v>04.13.01</v>
      </c>
      <c r="X574" s="1478" t="str">
        <f t="shared" si="174"/>
        <v>Jalan</v>
      </c>
      <c r="Y574" s="1478">
        <f t="shared" si="175"/>
        <v>10</v>
      </c>
      <c r="Z574" s="1401">
        <f t="shared" si="178"/>
        <v>1603190</v>
      </c>
      <c r="AA574" s="1444">
        <f t="shared" si="179"/>
        <v>3</v>
      </c>
      <c r="AB574" s="1401">
        <f t="shared" si="180"/>
        <v>4809570</v>
      </c>
      <c r="AC574" s="1401">
        <f t="shared" si="181"/>
        <v>1603190</v>
      </c>
      <c r="AD574" s="1401">
        <f t="shared" si="182"/>
        <v>1603190</v>
      </c>
      <c r="AE574" s="1401">
        <f t="shared" si="183"/>
        <v>1603190</v>
      </c>
      <c r="AF574" s="1401">
        <f t="shared" si="184"/>
        <v>1603190</v>
      </c>
      <c r="AG574" s="1479">
        <f t="shared" si="185"/>
        <v>1603190</v>
      </c>
      <c r="AH574" s="1479">
        <f t="shared" si="186"/>
        <v>1603190</v>
      </c>
      <c r="AI574" s="1479">
        <f t="shared" si="187"/>
        <v>14428710</v>
      </c>
      <c r="AJ574" s="1401">
        <f t="shared" si="176"/>
        <v>1603190</v>
      </c>
    </row>
    <row r="575" spans="1:36" s="1390" customFormat="1" ht="34" customHeight="1" x14ac:dyDescent="0.2">
      <c r="A575" s="1390" t="s">
        <v>5252</v>
      </c>
      <c r="B575" s="1472" t="e">
        <f t="shared" si="177"/>
        <v>#N/A</v>
      </c>
      <c r="C575" s="1478" t="e">
        <f>RIGHT(#REF!,1)</f>
        <v>#REF!</v>
      </c>
      <c r="D575" s="1426"/>
      <c r="E575" s="1429" t="s">
        <v>1229</v>
      </c>
      <c r="F575" s="1539"/>
      <c r="G575" s="1517" t="s">
        <v>2494</v>
      </c>
      <c r="H575" s="1508"/>
      <c r="I575" s="1416" t="s">
        <v>519</v>
      </c>
      <c r="J575" s="1512"/>
      <c r="K575" s="1416"/>
      <c r="L575" s="1500"/>
      <c r="M575" s="1429" t="s">
        <v>3137</v>
      </c>
      <c r="N575" s="1416">
        <v>2011</v>
      </c>
      <c r="O575" s="1414"/>
      <c r="P575" s="1414"/>
      <c r="Q575" s="1414"/>
      <c r="R575" s="1416" t="s">
        <v>12</v>
      </c>
      <c r="S575" s="1529">
        <v>56100500</v>
      </c>
      <c r="T575" s="1416" t="s">
        <v>43</v>
      </c>
      <c r="U575" s="1427"/>
      <c r="V575" s="1477"/>
      <c r="W575" s="1478" t="str">
        <f t="shared" si="173"/>
        <v>04.13.01</v>
      </c>
      <c r="X575" s="1478" t="str">
        <f t="shared" si="174"/>
        <v>Jalan</v>
      </c>
      <c r="Y575" s="1478">
        <f t="shared" si="175"/>
        <v>10</v>
      </c>
      <c r="Z575" s="1401">
        <f t="shared" si="178"/>
        <v>5610050</v>
      </c>
      <c r="AA575" s="1444">
        <f t="shared" si="179"/>
        <v>3</v>
      </c>
      <c r="AB575" s="1401">
        <f t="shared" si="180"/>
        <v>16830150</v>
      </c>
      <c r="AC575" s="1401">
        <f t="shared" si="181"/>
        <v>5610050</v>
      </c>
      <c r="AD575" s="1401">
        <f t="shared" si="182"/>
        <v>5610050</v>
      </c>
      <c r="AE575" s="1401">
        <f t="shared" si="183"/>
        <v>5610050</v>
      </c>
      <c r="AF575" s="1401">
        <f t="shared" si="184"/>
        <v>5610050</v>
      </c>
      <c r="AG575" s="1479">
        <f t="shared" si="185"/>
        <v>5610050</v>
      </c>
      <c r="AH575" s="1479">
        <f t="shared" si="186"/>
        <v>5610050</v>
      </c>
      <c r="AI575" s="1479">
        <f t="shared" si="187"/>
        <v>50490450</v>
      </c>
      <c r="AJ575" s="1401">
        <f t="shared" si="176"/>
        <v>5610050</v>
      </c>
    </row>
    <row r="576" spans="1:36" s="1390" customFormat="1" ht="34" customHeight="1" x14ac:dyDescent="0.2">
      <c r="A576" s="1390" t="s">
        <v>5252</v>
      </c>
      <c r="B576" s="1472" t="e">
        <f t="shared" si="177"/>
        <v>#N/A</v>
      </c>
      <c r="C576" s="1478" t="e">
        <f>RIGHT(#REF!,1)</f>
        <v>#REF!</v>
      </c>
      <c r="D576" s="1426"/>
      <c r="E576" s="1429" t="s">
        <v>1241</v>
      </c>
      <c r="F576" s="1539"/>
      <c r="G576" s="1517" t="s">
        <v>2494</v>
      </c>
      <c r="H576" s="1508"/>
      <c r="I576" s="1416" t="s">
        <v>519</v>
      </c>
      <c r="J576" s="1512"/>
      <c r="K576" s="1416"/>
      <c r="L576" s="1500"/>
      <c r="M576" s="1429" t="s">
        <v>3144</v>
      </c>
      <c r="N576" s="1416">
        <v>2012</v>
      </c>
      <c r="O576" s="1414"/>
      <c r="P576" s="1414"/>
      <c r="Q576" s="1414"/>
      <c r="R576" s="1416" t="s">
        <v>12</v>
      </c>
      <c r="S576" s="1529">
        <v>1244781279.9893248</v>
      </c>
      <c r="T576" s="1416" t="s">
        <v>43</v>
      </c>
      <c r="U576" s="1427"/>
      <c r="V576" s="1477"/>
      <c r="W576" s="1478" t="str">
        <f t="shared" si="173"/>
        <v>04.13.01</v>
      </c>
      <c r="X576" s="1478" t="str">
        <f t="shared" si="174"/>
        <v>Jalan</v>
      </c>
      <c r="Y576" s="1478">
        <f t="shared" si="175"/>
        <v>10</v>
      </c>
      <c r="Z576" s="1401">
        <f t="shared" si="178"/>
        <v>124478127.99893248</v>
      </c>
      <c r="AA576" s="1444">
        <f t="shared" si="179"/>
        <v>2</v>
      </c>
      <c r="AB576" s="1401">
        <f t="shared" si="180"/>
        <v>248956255.99786496</v>
      </c>
      <c r="AC576" s="1401">
        <f t="shared" si="181"/>
        <v>124478127.99893248</v>
      </c>
      <c r="AD576" s="1401">
        <f t="shared" si="182"/>
        <v>124478127.99893248</v>
      </c>
      <c r="AE576" s="1401">
        <f t="shared" si="183"/>
        <v>124478127.99893248</v>
      </c>
      <c r="AF576" s="1401">
        <f t="shared" si="184"/>
        <v>124478127.99893248</v>
      </c>
      <c r="AG576" s="1479">
        <f t="shared" si="185"/>
        <v>124478127.99893248</v>
      </c>
      <c r="AH576" s="1479">
        <f t="shared" si="186"/>
        <v>124478127.99893248</v>
      </c>
      <c r="AI576" s="1479">
        <f t="shared" si="187"/>
        <v>995825023.99145985</v>
      </c>
      <c r="AJ576" s="1401">
        <f t="shared" si="176"/>
        <v>248956255.99786496</v>
      </c>
    </row>
    <row r="577" spans="1:36" s="1390" customFormat="1" ht="34" customHeight="1" x14ac:dyDescent="0.2">
      <c r="A577" s="1390" t="s">
        <v>5252</v>
      </c>
      <c r="B577" s="1472" t="e">
        <f t="shared" si="177"/>
        <v>#N/A</v>
      </c>
      <c r="C577" s="1478" t="e">
        <f>RIGHT(#REF!,1)</f>
        <v>#REF!</v>
      </c>
      <c r="D577" s="1426"/>
      <c r="E577" s="1429" t="s">
        <v>1242</v>
      </c>
      <c r="F577" s="1539"/>
      <c r="G577" s="1517" t="s">
        <v>2494</v>
      </c>
      <c r="H577" s="1508"/>
      <c r="I577" s="1416" t="s">
        <v>519</v>
      </c>
      <c r="J577" s="1512"/>
      <c r="K577" s="1416"/>
      <c r="L577" s="1500"/>
      <c r="M577" s="1429" t="s">
        <v>680</v>
      </c>
      <c r="N577" s="1416">
        <v>2012</v>
      </c>
      <c r="O577" s="1414"/>
      <c r="P577" s="1414"/>
      <c r="Q577" s="1414"/>
      <c r="R577" s="1416" t="s">
        <v>12</v>
      </c>
      <c r="S577" s="1529">
        <v>2776676476.1366801</v>
      </c>
      <c r="T577" s="1416" t="s">
        <v>43</v>
      </c>
      <c r="U577" s="1427"/>
      <c r="V577" s="1477"/>
      <c r="W577" s="1478" t="str">
        <f t="shared" si="173"/>
        <v>04.13.01</v>
      </c>
      <c r="X577" s="1478" t="str">
        <f t="shared" si="174"/>
        <v>Jalan</v>
      </c>
      <c r="Y577" s="1478">
        <f t="shared" si="175"/>
        <v>10</v>
      </c>
      <c r="Z577" s="1401">
        <f t="shared" si="178"/>
        <v>277667647.61366802</v>
      </c>
      <c r="AA577" s="1444">
        <f t="shared" si="179"/>
        <v>2</v>
      </c>
      <c r="AB577" s="1401">
        <f t="shared" si="180"/>
        <v>555335295.22733605</v>
      </c>
      <c r="AC577" s="1401">
        <f t="shared" si="181"/>
        <v>277667647.61366802</v>
      </c>
      <c r="AD577" s="1401">
        <f t="shared" si="182"/>
        <v>277667647.61366802</v>
      </c>
      <c r="AE577" s="1401">
        <f t="shared" si="183"/>
        <v>277667647.61366802</v>
      </c>
      <c r="AF577" s="1401">
        <f t="shared" si="184"/>
        <v>277667647.61366802</v>
      </c>
      <c r="AG577" s="1479">
        <f t="shared" si="185"/>
        <v>277667647.61366802</v>
      </c>
      <c r="AH577" s="1479">
        <f t="shared" si="186"/>
        <v>277667647.61366802</v>
      </c>
      <c r="AI577" s="1479">
        <f t="shared" si="187"/>
        <v>2221341180.9093442</v>
      </c>
      <c r="AJ577" s="1401">
        <f t="shared" si="176"/>
        <v>555335295.22733593</v>
      </c>
    </row>
    <row r="578" spans="1:36" s="1390" customFormat="1" ht="34" customHeight="1" x14ac:dyDescent="0.2">
      <c r="A578" s="1390" t="s">
        <v>5252</v>
      </c>
      <c r="B578" s="1472" t="e">
        <f t="shared" si="177"/>
        <v>#N/A</v>
      </c>
      <c r="C578" s="1478" t="e">
        <f>RIGHT(#REF!,1)</f>
        <v>#REF!</v>
      </c>
      <c r="D578" s="1426"/>
      <c r="E578" s="1429" t="s">
        <v>1243</v>
      </c>
      <c r="F578" s="1539"/>
      <c r="G578" s="1517" t="s">
        <v>2494</v>
      </c>
      <c r="H578" s="1508"/>
      <c r="I578" s="1416" t="s">
        <v>519</v>
      </c>
      <c r="J578" s="1512"/>
      <c r="K578" s="1416"/>
      <c r="L578" s="1500"/>
      <c r="M578" s="1429" t="s">
        <v>2573</v>
      </c>
      <c r="N578" s="1416">
        <v>2012</v>
      </c>
      <c r="O578" s="1414"/>
      <c r="P578" s="1414"/>
      <c r="Q578" s="1414"/>
      <c r="R578" s="1416" t="s">
        <v>12</v>
      </c>
      <c r="S578" s="1529">
        <v>1560463250.3707366</v>
      </c>
      <c r="T578" s="1416" t="s">
        <v>43</v>
      </c>
      <c r="U578" s="1427"/>
      <c r="V578" s="1477"/>
      <c r="W578" s="1478" t="str">
        <f t="shared" si="173"/>
        <v>04.13.01</v>
      </c>
      <c r="X578" s="1478" t="str">
        <f t="shared" si="174"/>
        <v>Jalan</v>
      </c>
      <c r="Y578" s="1478">
        <f t="shared" si="175"/>
        <v>10</v>
      </c>
      <c r="Z578" s="1401">
        <f t="shared" si="178"/>
        <v>156046325.03707367</v>
      </c>
      <c r="AA578" s="1444">
        <f t="shared" si="179"/>
        <v>2</v>
      </c>
      <c r="AB578" s="1401">
        <f t="shared" si="180"/>
        <v>312092650.07414734</v>
      </c>
      <c r="AC578" s="1401">
        <f t="shared" si="181"/>
        <v>156046325.03707367</v>
      </c>
      <c r="AD578" s="1401">
        <f t="shared" si="182"/>
        <v>156046325.03707367</v>
      </c>
      <c r="AE578" s="1401">
        <f t="shared" si="183"/>
        <v>156046325.03707367</v>
      </c>
      <c r="AF578" s="1401">
        <f t="shared" si="184"/>
        <v>156046325.03707367</v>
      </c>
      <c r="AG578" s="1479">
        <f t="shared" si="185"/>
        <v>156046325.03707367</v>
      </c>
      <c r="AH578" s="1479">
        <f t="shared" si="186"/>
        <v>156046325.03707367</v>
      </c>
      <c r="AI578" s="1479">
        <f t="shared" si="187"/>
        <v>1248370600.2965891</v>
      </c>
      <c r="AJ578" s="1401">
        <f t="shared" si="176"/>
        <v>312092650.07414746</v>
      </c>
    </row>
    <row r="579" spans="1:36" s="1390" customFormat="1" ht="34" customHeight="1" x14ac:dyDescent="0.2">
      <c r="A579" s="1390" t="s">
        <v>5252</v>
      </c>
      <c r="B579" s="1472" t="e">
        <f t="shared" si="177"/>
        <v>#N/A</v>
      </c>
      <c r="C579" s="1478" t="e">
        <f>RIGHT(#REF!,1)</f>
        <v>#REF!</v>
      </c>
      <c r="D579" s="1426"/>
      <c r="E579" s="1429" t="s">
        <v>1244</v>
      </c>
      <c r="F579" s="1539"/>
      <c r="G579" s="1517" t="s">
        <v>2494</v>
      </c>
      <c r="H579" s="1508"/>
      <c r="I579" s="1416" t="s">
        <v>519</v>
      </c>
      <c r="J579" s="1512"/>
      <c r="K579" s="1416"/>
      <c r="L579" s="1500"/>
      <c r="M579" s="1429" t="s">
        <v>3145</v>
      </c>
      <c r="N579" s="1416">
        <v>2012</v>
      </c>
      <c r="O579" s="1414"/>
      <c r="P579" s="1414"/>
      <c r="Q579" s="1414"/>
      <c r="R579" s="1416" t="s">
        <v>12</v>
      </c>
      <c r="S579" s="1529">
        <v>410267652.64856702</v>
      </c>
      <c r="T579" s="1416" t="s">
        <v>43</v>
      </c>
      <c r="U579" s="1427"/>
      <c r="V579" s="1477"/>
      <c r="W579" s="1478" t="str">
        <f t="shared" si="173"/>
        <v>04.13.01</v>
      </c>
      <c r="X579" s="1478" t="str">
        <f t="shared" si="174"/>
        <v>Jalan</v>
      </c>
      <c r="Y579" s="1478">
        <f t="shared" si="175"/>
        <v>10</v>
      </c>
      <c r="Z579" s="1401">
        <f t="shared" si="178"/>
        <v>41026765.264856704</v>
      </c>
      <c r="AA579" s="1444">
        <f t="shared" si="179"/>
        <v>2</v>
      </c>
      <c r="AB579" s="1401">
        <f t="shared" si="180"/>
        <v>82053530.529713407</v>
      </c>
      <c r="AC579" s="1401">
        <f t="shared" si="181"/>
        <v>41026765.264856704</v>
      </c>
      <c r="AD579" s="1401">
        <f t="shared" si="182"/>
        <v>41026765.264856704</v>
      </c>
      <c r="AE579" s="1401">
        <f t="shared" si="183"/>
        <v>41026765.264856704</v>
      </c>
      <c r="AF579" s="1401">
        <f t="shared" si="184"/>
        <v>41026765.264856704</v>
      </c>
      <c r="AG579" s="1479">
        <f t="shared" si="185"/>
        <v>41026765.264856704</v>
      </c>
      <c r="AH579" s="1479">
        <f t="shared" si="186"/>
        <v>41026765.264856704</v>
      </c>
      <c r="AI579" s="1479">
        <f t="shared" si="187"/>
        <v>328214122.11885363</v>
      </c>
      <c r="AJ579" s="1401">
        <f t="shared" si="176"/>
        <v>82053530.529713392</v>
      </c>
    </row>
    <row r="580" spans="1:36" s="1390" customFormat="1" ht="34" customHeight="1" x14ac:dyDescent="0.2">
      <c r="A580" s="1390" t="s">
        <v>5252</v>
      </c>
      <c r="B580" s="1472" t="e">
        <f t="shared" si="177"/>
        <v>#N/A</v>
      </c>
      <c r="C580" s="1478" t="e">
        <f>RIGHT(#REF!,1)</f>
        <v>#REF!</v>
      </c>
      <c r="D580" s="1426"/>
      <c r="E580" s="1429" t="s">
        <v>1247</v>
      </c>
      <c r="F580" s="1539"/>
      <c r="G580" s="1517" t="s">
        <v>2494</v>
      </c>
      <c r="H580" s="1508"/>
      <c r="I580" s="1416" t="s">
        <v>519</v>
      </c>
      <c r="J580" s="1512"/>
      <c r="K580" s="1416"/>
      <c r="L580" s="1500"/>
      <c r="M580" s="1429" t="s">
        <v>3148</v>
      </c>
      <c r="N580" s="1416">
        <v>2012</v>
      </c>
      <c r="O580" s="1414"/>
      <c r="P580" s="1414"/>
      <c r="Q580" s="1414"/>
      <c r="R580" s="1416" t="s">
        <v>12</v>
      </c>
      <c r="S580" s="1529">
        <v>3248767238.5415602</v>
      </c>
      <c r="T580" s="1416" t="s">
        <v>43</v>
      </c>
      <c r="U580" s="1427"/>
      <c r="V580" s="1477"/>
      <c r="W580" s="1478" t="str">
        <f t="shared" si="173"/>
        <v>04.13.01</v>
      </c>
      <c r="X580" s="1478" t="str">
        <f t="shared" si="174"/>
        <v>Jalan</v>
      </c>
      <c r="Y580" s="1478">
        <f t="shared" si="175"/>
        <v>10</v>
      </c>
      <c r="Z580" s="1401">
        <f t="shared" si="178"/>
        <v>324876723.85415602</v>
      </c>
      <c r="AA580" s="1444">
        <f t="shared" si="179"/>
        <v>2</v>
      </c>
      <c r="AB580" s="1401">
        <f t="shared" si="180"/>
        <v>649753447.70831203</v>
      </c>
      <c r="AC580" s="1401">
        <f t="shared" si="181"/>
        <v>324876723.85415602</v>
      </c>
      <c r="AD580" s="1401">
        <f t="shared" si="182"/>
        <v>324876723.85415602</v>
      </c>
      <c r="AE580" s="1401">
        <f t="shared" si="183"/>
        <v>324876723.85415602</v>
      </c>
      <c r="AF580" s="1401">
        <f t="shared" si="184"/>
        <v>324876723.85415602</v>
      </c>
      <c r="AG580" s="1479">
        <f t="shared" si="185"/>
        <v>324876723.85415602</v>
      </c>
      <c r="AH580" s="1479">
        <f t="shared" si="186"/>
        <v>324876723.85415602</v>
      </c>
      <c r="AI580" s="1479">
        <f t="shared" si="187"/>
        <v>2599013790.8332481</v>
      </c>
      <c r="AJ580" s="1401">
        <f t="shared" si="176"/>
        <v>649753447.70831203</v>
      </c>
    </row>
    <row r="581" spans="1:36" s="1390" customFormat="1" ht="34" customHeight="1" x14ac:dyDescent="0.2">
      <c r="A581" s="1390" t="s">
        <v>5252</v>
      </c>
      <c r="B581" s="1472" t="e">
        <f t="shared" si="177"/>
        <v>#N/A</v>
      </c>
      <c r="C581" s="1478" t="e">
        <f>RIGHT(#REF!,1)</f>
        <v>#REF!</v>
      </c>
      <c r="D581" s="1426"/>
      <c r="E581" s="1429" t="s">
        <v>1251</v>
      </c>
      <c r="F581" s="1539"/>
      <c r="G581" s="1517" t="s">
        <v>2494</v>
      </c>
      <c r="H581" s="1508"/>
      <c r="I581" s="1416" t="s">
        <v>519</v>
      </c>
      <c r="J581" s="1512"/>
      <c r="K581" s="1416"/>
      <c r="L581" s="1500"/>
      <c r="M581" s="1429" t="s">
        <v>3151</v>
      </c>
      <c r="N581" s="1416">
        <v>2012</v>
      </c>
      <c r="O581" s="1414"/>
      <c r="P581" s="1414"/>
      <c r="Q581" s="1414"/>
      <c r="R581" s="1416" t="s">
        <v>12</v>
      </c>
      <c r="S581" s="1529">
        <v>4766925638.6591597</v>
      </c>
      <c r="T581" s="1416" t="s">
        <v>43</v>
      </c>
      <c r="U581" s="1427"/>
      <c r="V581" s="1477"/>
      <c r="W581" s="1478" t="str">
        <f>LEFT(G581,8)</f>
        <v>04.13.01</v>
      </c>
      <c r="X581" s="1478" t="str">
        <f>VLOOKUP(W581,UE,3,FALSE)</f>
        <v>Jalan</v>
      </c>
      <c r="Y581" s="1478">
        <f>VLOOKUP(W581,UE,4,FALSE)</f>
        <v>10</v>
      </c>
      <c r="Z581" s="1401">
        <f t="shared" si="178"/>
        <v>476692563.86591595</v>
      </c>
      <c r="AA581" s="1444">
        <f t="shared" si="179"/>
        <v>2</v>
      </c>
      <c r="AB581" s="1401">
        <f t="shared" si="180"/>
        <v>953385127.73183191</v>
      </c>
      <c r="AC581" s="1401">
        <f t="shared" si="181"/>
        <v>476692563.86591595</v>
      </c>
      <c r="AD581" s="1401">
        <f t="shared" si="182"/>
        <v>476692563.86591595</v>
      </c>
      <c r="AE581" s="1401">
        <f t="shared" si="183"/>
        <v>476692563.86591595</v>
      </c>
      <c r="AF581" s="1401">
        <f t="shared" si="184"/>
        <v>476692563.86591595</v>
      </c>
      <c r="AG581" s="1479">
        <f t="shared" si="185"/>
        <v>476692563.86591595</v>
      </c>
      <c r="AH581" s="1479">
        <f t="shared" si="186"/>
        <v>476692563.86591595</v>
      </c>
      <c r="AI581" s="1479">
        <f t="shared" si="187"/>
        <v>3813540510.9273272</v>
      </c>
      <c r="AJ581" s="1401">
        <f t="shared" si="176"/>
        <v>953385127.7318325</v>
      </c>
    </row>
    <row r="582" spans="1:36" s="1390" customFormat="1" ht="34" customHeight="1" x14ac:dyDescent="0.2">
      <c r="A582" s="1390" t="s">
        <v>5252</v>
      </c>
      <c r="B582" s="1472" t="e">
        <f t="shared" si="177"/>
        <v>#N/A</v>
      </c>
      <c r="C582" s="1478" t="e">
        <f>RIGHT(#REF!,1)</f>
        <v>#REF!</v>
      </c>
      <c r="D582" s="1426"/>
      <c r="E582" s="1429" t="s">
        <v>1253</v>
      </c>
      <c r="F582" s="1539"/>
      <c r="G582" s="1517" t="s">
        <v>2494</v>
      </c>
      <c r="H582" s="1508"/>
      <c r="I582" s="1416" t="s">
        <v>519</v>
      </c>
      <c r="J582" s="1512"/>
      <c r="K582" s="1416"/>
      <c r="L582" s="1500"/>
      <c r="M582" s="1429" t="s">
        <v>3152</v>
      </c>
      <c r="N582" s="1416">
        <v>2012</v>
      </c>
      <c r="O582" s="1414"/>
      <c r="P582" s="1414"/>
      <c r="Q582" s="1414"/>
      <c r="R582" s="1416" t="s">
        <v>12</v>
      </c>
      <c r="S582" s="1529">
        <v>1899132200.4191258</v>
      </c>
      <c r="T582" s="1416" t="s">
        <v>43</v>
      </c>
      <c r="U582" s="1427"/>
      <c r="V582" s="1477"/>
      <c r="W582" s="1478" t="str">
        <f>LEFT(G582,8)</f>
        <v>04.13.01</v>
      </c>
      <c r="X582" s="1478" t="str">
        <f>VLOOKUP(W582,UE,3,FALSE)</f>
        <v>Jalan</v>
      </c>
      <c r="Y582" s="1478">
        <f>VLOOKUP(W582,UE,4,FALSE)</f>
        <v>10</v>
      </c>
      <c r="Z582" s="1401">
        <f t="shared" si="178"/>
        <v>189913220.04191259</v>
      </c>
      <c r="AA582" s="1444">
        <f t="shared" si="179"/>
        <v>2</v>
      </c>
      <c r="AB582" s="1401">
        <f t="shared" si="180"/>
        <v>379826440.08382517</v>
      </c>
      <c r="AC582" s="1401">
        <f t="shared" si="181"/>
        <v>189913220.04191259</v>
      </c>
      <c r="AD582" s="1401">
        <f t="shared" si="182"/>
        <v>189913220.04191259</v>
      </c>
      <c r="AE582" s="1401">
        <f t="shared" si="183"/>
        <v>189913220.04191259</v>
      </c>
      <c r="AF582" s="1401">
        <f t="shared" si="184"/>
        <v>189913220.04191259</v>
      </c>
      <c r="AG582" s="1479">
        <f t="shared" si="185"/>
        <v>189913220.04191259</v>
      </c>
      <c r="AH582" s="1479">
        <f t="shared" si="186"/>
        <v>189913220.04191259</v>
      </c>
      <c r="AI582" s="1479">
        <f t="shared" si="187"/>
        <v>1519305760.3353007</v>
      </c>
      <c r="AJ582" s="1401">
        <f t="shared" si="176"/>
        <v>379826440.08382511</v>
      </c>
    </row>
    <row r="583" spans="1:36" s="1390" customFormat="1" ht="34" customHeight="1" x14ac:dyDescent="0.2">
      <c r="A583" s="1390" t="s">
        <v>5252</v>
      </c>
      <c r="B583" s="1472" t="e">
        <f t="shared" si="177"/>
        <v>#N/A</v>
      </c>
      <c r="C583" s="1478" t="e">
        <f>RIGHT(#REF!,1)</f>
        <v>#REF!</v>
      </c>
      <c r="D583" s="1426"/>
      <c r="E583" s="1429" t="s">
        <v>1263</v>
      </c>
      <c r="F583" s="1539"/>
      <c r="G583" s="1517" t="s">
        <v>2494</v>
      </c>
      <c r="H583" s="1508"/>
      <c r="I583" s="1416" t="s">
        <v>519</v>
      </c>
      <c r="J583" s="1512"/>
      <c r="K583" s="1416"/>
      <c r="L583" s="1500"/>
      <c r="M583" s="1429" t="s">
        <v>2574</v>
      </c>
      <c r="N583" s="1416">
        <v>2012</v>
      </c>
      <c r="O583" s="1414"/>
      <c r="P583" s="1414"/>
      <c r="Q583" s="1414"/>
      <c r="R583" s="1416" t="s">
        <v>12</v>
      </c>
      <c r="S583" s="1529">
        <v>3331381781.9313898</v>
      </c>
      <c r="T583" s="1416" t="s">
        <v>43</v>
      </c>
      <c r="U583" s="1427"/>
      <c r="V583" s="1477"/>
      <c r="W583" s="1478" t="str">
        <f>LEFT(G583,8)</f>
        <v>04.13.01</v>
      </c>
      <c r="X583" s="1478" t="str">
        <f>VLOOKUP(W583,UE,3,FALSE)</f>
        <v>Jalan</v>
      </c>
      <c r="Y583" s="1478">
        <f>VLOOKUP(W583,UE,4,FALSE)</f>
        <v>10</v>
      </c>
      <c r="Z583" s="1401">
        <f t="shared" si="178"/>
        <v>333138178.19313896</v>
      </c>
      <c r="AA583" s="1444">
        <f t="shared" si="179"/>
        <v>2</v>
      </c>
      <c r="AB583" s="1401">
        <f t="shared" si="180"/>
        <v>666276356.38627791</v>
      </c>
      <c r="AC583" s="1401">
        <f t="shared" si="181"/>
        <v>333138178.19313896</v>
      </c>
      <c r="AD583" s="1401">
        <f t="shared" si="182"/>
        <v>333138178.19313896</v>
      </c>
      <c r="AE583" s="1401">
        <f t="shared" si="183"/>
        <v>333138178.19313896</v>
      </c>
      <c r="AF583" s="1401">
        <f t="shared" si="184"/>
        <v>333138178.19313896</v>
      </c>
      <c r="AG583" s="1479">
        <f t="shared" si="185"/>
        <v>333138178.19313896</v>
      </c>
      <c r="AH583" s="1479">
        <f t="shared" si="186"/>
        <v>333138178.19313896</v>
      </c>
      <c r="AI583" s="1479">
        <f t="shared" si="187"/>
        <v>2665105425.5451121</v>
      </c>
      <c r="AJ583" s="1401">
        <f t="shared" si="176"/>
        <v>666276356.38627768</v>
      </c>
    </row>
    <row r="584" spans="1:36" s="1390" customFormat="1" ht="34" customHeight="1" x14ac:dyDescent="0.2">
      <c r="A584" s="1390" t="s">
        <v>5252</v>
      </c>
      <c r="B584" s="1472" t="e">
        <f t="shared" si="177"/>
        <v>#N/A</v>
      </c>
      <c r="C584" s="1478" t="e">
        <f>RIGHT(#REF!,1)</f>
        <v>#REF!</v>
      </c>
      <c r="D584" s="1426"/>
      <c r="E584" s="1429" t="s">
        <v>1248</v>
      </c>
      <c r="F584" s="1539"/>
      <c r="G584" s="1517" t="s">
        <v>2494</v>
      </c>
      <c r="H584" s="1508"/>
      <c r="I584" s="1416" t="s">
        <v>519</v>
      </c>
      <c r="J584" s="1512"/>
      <c r="K584" s="1416"/>
      <c r="L584" s="1500"/>
      <c r="M584" s="1429" t="s">
        <v>3149</v>
      </c>
      <c r="N584" s="1416">
        <v>2012</v>
      </c>
      <c r="O584" s="1414"/>
      <c r="P584" s="1414"/>
      <c r="Q584" s="1414"/>
      <c r="R584" s="1416" t="s">
        <v>12</v>
      </c>
      <c r="S584" s="1529">
        <v>1467969946.0446103</v>
      </c>
      <c r="T584" s="1416" t="s">
        <v>43</v>
      </c>
      <c r="U584" s="1427"/>
      <c r="V584" s="1477"/>
      <c r="W584" s="1478" t="str">
        <f>LEFT(G584,8)</f>
        <v>04.13.01</v>
      </c>
      <c r="X584" s="1478" t="str">
        <f>VLOOKUP(W584,UE,3,FALSE)</f>
        <v>Jalan</v>
      </c>
      <c r="Y584" s="1478">
        <f>VLOOKUP(W584,UE,4,FALSE)</f>
        <v>10</v>
      </c>
      <c r="Z584" s="1401">
        <f t="shared" si="178"/>
        <v>146796994.60446101</v>
      </c>
      <c r="AA584" s="1444">
        <f t="shared" si="179"/>
        <v>2</v>
      </c>
      <c r="AB584" s="1401">
        <f t="shared" si="180"/>
        <v>293593989.20892203</v>
      </c>
      <c r="AC584" s="1401">
        <f t="shared" si="181"/>
        <v>146796994.60446101</v>
      </c>
      <c r="AD584" s="1401">
        <f t="shared" si="182"/>
        <v>146796994.60446101</v>
      </c>
      <c r="AE584" s="1401">
        <f t="shared" si="183"/>
        <v>146796994.60446101</v>
      </c>
      <c r="AF584" s="1401">
        <f t="shared" si="184"/>
        <v>146796994.60446101</v>
      </c>
      <c r="AG584" s="1479">
        <f t="shared" si="185"/>
        <v>146796994.60446101</v>
      </c>
      <c r="AH584" s="1479">
        <f t="shared" si="186"/>
        <v>146796994.60446101</v>
      </c>
      <c r="AI584" s="1479">
        <f t="shared" si="187"/>
        <v>1174375956.8356879</v>
      </c>
      <c r="AJ584" s="1401">
        <f t="shared" si="176"/>
        <v>293593989.20892239</v>
      </c>
    </row>
    <row r="585" spans="1:36" s="1390" customFormat="1" ht="34" customHeight="1" x14ac:dyDescent="0.2">
      <c r="A585" s="1390" t="s">
        <v>5252</v>
      </c>
      <c r="B585" s="1472" t="e">
        <f t="shared" si="177"/>
        <v>#N/A</v>
      </c>
      <c r="C585" s="1478" t="e">
        <f>RIGHT(#REF!,1)</f>
        <v>#REF!</v>
      </c>
      <c r="D585" s="1426"/>
      <c r="E585" s="1429" t="s">
        <v>1281</v>
      </c>
      <c r="F585" s="1539"/>
      <c r="G585" s="1517" t="s">
        <v>2494</v>
      </c>
      <c r="H585" s="1508"/>
      <c r="I585" s="1416" t="s">
        <v>519</v>
      </c>
      <c r="J585" s="1512"/>
      <c r="K585" s="1416"/>
      <c r="L585" s="1500"/>
      <c r="M585" s="1429" t="s">
        <v>2986</v>
      </c>
      <c r="N585" s="1416">
        <v>2013</v>
      </c>
      <c r="O585" s="1414"/>
      <c r="P585" s="1414"/>
      <c r="Q585" s="1414"/>
      <c r="R585" s="1416" t="s">
        <v>12</v>
      </c>
      <c r="S585" s="1529">
        <v>1780990624</v>
      </c>
      <c r="T585" s="1416"/>
      <c r="U585" s="1427"/>
      <c r="V585" s="1477"/>
      <c r="W585" s="1478" t="str">
        <f t="shared" ref="W585:W612" si="188">LEFT(G585,8)</f>
        <v>04.13.01</v>
      </c>
      <c r="X585" s="1478" t="str">
        <f t="shared" ref="X585:X612" si="189">VLOOKUP(W585,UE,3,FALSE)</f>
        <v>Jalan</v>
      </c>
      <c r="Y585" s="1478">
        <f t="shared" ref="Y585:Y612" si="190">VLOOKUP(W585,UE,4,FALSE)</f>
        <v>10</v>
      </c>
      <c r="Z585" s="1401">
        <f t="shared" ref="Z585:Z607" si="191">S585/Y585</f>
        <v>178099062.40000001</v>
      </c>
      <c r="AA585" s="1444">
        <f t="shared" ref="AA585:AA607" si="192">IF(2013-N585+1&gt;Y585,Y585,IF(2013-N585+1&lt;0,0,2013-N585+1))</f>
        <v>1</v>
      </c>
      <c r="AB585" s="1401">
        <f t="shared" ref="AB585:AB607" si="193">IF(AA585&gt;Y585,S585,Z585*AA585)</f>
        <v>178099062.40000001</v>
      </c>
      <c r="AC585" s="1401">
        <f t="shared" ref="AC585:AC603" si="194">IF(S585=AB585,0,Z585)</f>
        <v>178099062.40000001</v>
      </c>
      <c r="AD585" s="1401">
        <f t="shared" ref="AD585:AD623" si="195">IF(S585=AB585+AC585,0,Z585)</f>
        <v>178099062.40000001</v>
      </c>
      <c r="AE585" s="1401">
        <f t="shared" ref="AE585:AE625" si="196">IF(S585=AB585+AC585+AD585,0,Z585)</f>
        <v>178099062.40000001</v>
      </c>
      <c r="AF585" s="1401">
        <f t="shared" ref="AF585:AF625" si="197">IF(S585=AC585+AD585+AE585+AB585,0,Z585)</f>
        <v>178099062.40000001</v>
      </c>
      <c r="AG585" s="1479">
        <f t="shared" ref="AG585:AG626" si="198">IF(S585=AC585+AD585+AE585+AB585+AF585,0,Z585)</f>
        <v>178099062.40000001</v>
      </c>
      <c r="AH585" s="1479">
        <f t="shared" ref="AH585:AH626" si="199">IF(S585=AC585+AD585+AE585+AB585+AF585+AG585,0,Z585)</f>
        <v>178099062.40000001</v>
      </c>
      <c r="AI585" s="1479">
        <f t="shared" si="187"/>
        <v>1246693436.8</v>
      </c>
      <c r="AJ585" s="1401">
        <f t="shared" ref="AJ585:AJ595" si="200">S585-AI585</f>
        <v>534297187.20000005</v>
      </c>
    </row>
    <row r="586" spans="1:36" s="1390" customFormat="1" ht="34" customHeight="1" x14ac:dyDescent="0.2">
      <c r="A586" s="1390" t="s">
        <v>5252</v>
      </c>
      <c r="B586" s="1472" t="e">
        <f t="shared" si="177"/>
        <v>#N/A</v>
      </c>
      <c r="C586" s="1478" t="e">
        <f>RIGHT(#REF!,1)</f>
        <v>#REF!</v>
      </c>
      <c r="D586" s="1426"/>
      <c r="E586" s="1429" t="s">
        <v>1282</v>
      </c>
      <c r="F586" s="1539"/>
      <c r="G586" s="1517" t="s">
        <v>2494</v>
      </c>
      <c r="H586" s="1508"/>
      <c r="I586" s="1416" t="s">
        <v>519</v>
      </c>
      <c r="J586" s="1512"/>
      <c r="K586" s="1416"/>
      <c r="L586" s="1500"/>
      <c r="M586" s="1429" t="s">
        <v>2973</v>
      </c>
      <c r="N586" s="1416">
        <v>2013</v>
      </c>
      <c r="O586" s="1414"/>
      <c r="P586" s="1414"/>
      <c r="Q586" s="1414"/>
      <c r="R586" s="1416" t="s">
        <v>12</v>
      </c>
      <c r="S586" s="1529">
        <v>1721445175</v>
      </c>
      <c r="T586" s="1416"/>
      <c r="U586" s="1427"/>
      <c r="V586" s="1477"/>
      <c r="W586" s="1478" t="str">
        <f t="shared" si="188"/>
        <v>04.13.01</v>
      </c>
      <c r="X586" s="1478" t="str">
        <f t="shared" si="189"/>
        <v>Jalan</v>
      </c>
      <c r="Y586" s="1478">
        <f t="shared" si="190"/>
        <v>10</v>
      </c>
      <c r="Z586" s="1401">
        <f t="shared" si="191"/>
        <v>172144517.5</v>
      </c>
      <c r="AA586" s="1444">
        <f t="shared" si="192"/>
        <v>1</v>
      </c>
      <c r="AB586" s="1401">
        <f t="shared" si="193"/>
        <v>172144517.5</v>
      </c>
      <c r="AC586" s="1401">
        <f t="shared" si="194"/>
        <v>172144517.5</v>
      </c>
      <c r="AD586" s="1401">
        <f t="shared" si="195"/>
        <v>172144517.5</v>
      </c>
      <c r="AE586" s="1401">
        <f t="shared" si="196"/>
        <v>172144517.5</v>
      </c>
      <c r="AF586" s="1401">
        <f t="shared" si="197"/>
        <v>172144517.5</v>
      </c>
      <c r="AG586" s="1479">
        <f t="shared" si="198"/>
        <v>172144517.5</v>
      </c>
      <c r="AH586" s="1479">
        <f t="shared" si="199"/>
        <v>172144517.5</v>
      </c>
      <c r="AI586" s="1479">
        <f t="shared" si="187"/>
        <v>1205011622.5</v>
      </c>
      <c r="AJ586" s="1401">
        <f t="shared" si="200"/>
        <v>516433552.5</v>
      </c>
    </row>
    <row r="587" spans="1:36" s="1390" customFormat="1" ht="34" customHeight="1" x14ac:dyDescent="0.2">
      <c r="A587" s="1390" t="s">
        <v>5252</v>
      </c>
      <c r="B587" s="1472" t="e">
        <f t="shared" si="177"/>
        <v>#N/A</v>
      </c>
      <c r="C587" s="1478" t="e">
        <f>RIGHT(#REF!,1)</f>
        <v>#REF!</v>
      </c>
      <c r="D587" s="1426"/>
      <c r="E587" s="1429" t="s">
        <v>1293</v>
      </c>
      <c r="F587" s="1539"/>
      <c r="G587" s="1517" t="s">
        <v>2494</v>
      </c>
      <c r="H587" s="1508"/>
      <c r="I587" s="1416"/>
      <c r="J587" s="1512"/>
      <c r="K587" s="1416"/>
      <c r="L587" s="1500"/>
      <c r="M587" s="1429" t="s">
        <v>3178</v>
      </c>
      <c r="N587" s="1416">
        <v>2013</v>
      </c>
      <c r="O587" s="1414"/>
      <c r="P587" s="1414"/>
      <c r="Q587" s="1414"/>
      <c r="R587" s="1416" t="s">
        <v>12</v>
      </c>
      <c r="S587" s="1529">
        <v>783907728</v>
      </c>
      <c r="T587" s="1416"/>
      <c r="U587" s="1427"/>
      <c r="V587" s="1477"/>
      <c r="W587" s="1478" t="str">
        <f t="shared" si="188"/>
        <v>04.13.01</v>
      </c>
      <c r="X587" s="1478" t="str">
        <f t="shared" si="189"/>
        <v>Jalan</v>
      </c>
      <c r="Y587" s="1478">
        <f t="shared" si="190"/>
        <v>10</v>
      </c>
      <c r="Z587" s="1401">
        <f t="shared" si="191"/>
        <v>78390772.799999997</v>
      </c>
      <c r="AA587" s="1444">
        <f t="shared" si="192"/>
        <v>1</v>
      </c>
      <c r="AB587" s="1401">
        <f t="shared" si="193"/>
        <v>78390772.799999997</v>
      </c>
      <c r="AC587" s="1401">
        <f t="shared" si="194"/>
        <v>78390772.799999997</v>
      </c>
      <c r="AD587" s="1401">
        <f t="shared" si="195"/>
        <v>78390772.799999997</v>
      </c>
      <c r="AE587" s="1401">
        <f t="shared" si="196"/>
        <v>78390772.799999997</v>
      </c>
      <c r="AF587" s="1401">
        <f t="shared" si="197"/>
        <v>78390772.799999997</v>
      </c>
      <c r="AG587" s="1479">
        <f t="shared" si="198"/>
        <v>78390772.799999997</v>
      </c>
      <c r="AH587" s="1479">
        <f t="shared" si="199"/>
        <v>78390772.799999997</v>
      </c>
      <c r="AI587" s="1479">
        <f t="shared" si="187"/>
        <v>548735409.60000002</v>
      </c>
      <c r="AJ587" s="1401">
        <f t="shared" si="200"/>
        <v>235172318.39999998</v>
      </c>
    </row>
    <row r="588" spans="1:36" s="1390" customFormat="1" ht="34" customHeight="1" x14ac:dyDescent="0.2">
      <c r="A588" s="1390" t="s">
        <v>5252</v>
      </c>
      <c r="B588" s="1472" t="e">
        <f t="shared" si="177"/>
        <v>#N/A</v>
      </c>
      <c r="C588" s="1478" t="e">
        <f>RIGHT(#REF!,1)</f>
        <v>#REF!</v>
      </c>
      <c r="D588" s="1426"/>
      <c r="E588" s="1429" t="s">
        <v>1292</v>
      </c>
      <c r="F588" s="1539"/>
      <c r="G588" s="1517" t="s">
        <v>2494</v>
      </c>
      <c r="H588" s="1508"/>
      <c r="I588" s="1416" t="s">
        <v>519</v>
      </c>
      <c r="J588" s="1512"/>
      <c r="K588" s="1416"/>
      <c r="L588" s="1500"/>
      <c r="M588" s="1429" t="s">
        <v>900</v>
      </c>
      <c r="N588" s="1416">
        <v>2013</v>
      </c>
      <c r="O588" s="1414"/>
      <c r="P588" s="1414"/>
      <c r="Q588" s="1414"/>
      <c r="R588" s="1416" t="s">
        <v>12</v>
      </c>
      <c r="S588" s="1529">
        <v>1684357399</v>
      </c>
      <c r="T588" s="1416"/>
      <c r="U588" s="1427"/>
      <c r="V588" s="1477"/>
      <c r="W588" s="1478" t="str">
        <f t="shared" si="188"/>
        <v>04.13.01</v>
      </c>
      <c r="X588" s="1478" t="str">
        <f t="shared" si="189"/>
        <v>Jalan</v>
      </c>
      <c r="Y588" s="1478">
        <f t="shared" si="190"/>
        <v>10</v>
      </c>
      <c r="Z588" s="1401">
        <f t="shared" si="191"/>
        <v>168435739.90000001</v>
      </c>
      <c r="AA588" s="1444">
        <f t="shared" si="192"/>
        <v>1</v>
      </c>
      <c r="AB588" s="1401">
        <f t="shared" si="193"/>
        <v>168435739.90000001</v>
      </c>
      <c r="AC588" s="1401">
        <f t="shared" si="194"/>
        <v>168435739.90000001</v>
      </c>
      <c r="AD588" s="1401">
        <f t="shared" si="195"/>
        <v>168435739.90000001</v>
      </c>
      <c r="AE588" s="1401">
        <f t="shared" si="196"/>
        <v>168435739.90000001</v>
      </c>
      <c r="AF588" s="1401">
        <f t="shared" si="197"/>
        <v>168435739.90000001</v>
      </c>
      <c r="AG588" s="1479">
        <f t="shared" si="198"/>
        <v>168435739.90000001</v>
      </c>
      <c r="AH588" s="1479">
        <f t="shared" si="199"/>
        <v>168435739.90000001</v>
      </c>
      <c r="AI588" s="1479">
        <f t="shared" si="187"/>
        <v>1179050179.3</v>
      </c>
      <c r="AJ588" s="1401">
        <f t="shared" si="200"/>
        <v>505307219.70000005</v>
      </c>
    </row>
    <row r="589" spans="1:36" s="1390" customFormat="1" ht="34" customHeight="1" x14ac:dyDescent="0.2">
      <c r="A589" s="1390" t="s">
        <v>5252</v>
      </c>
      <c r="B589" s="1472" t="e">
        <f t="shared" si="177"/>
        <v>#N/A</v>
      </c>
      <c r="C589" s="1478" t="e">
        <f>RIGHT(#REF!,1)</f>
        <v>#REF!</v>
      </c>
      <c r="D589" s="1426"/>
      <c r="E589" s="1429" t="s">
        <v>1303</v>
      </c>
      <c r="F589" s="1539"/>
      <c r="G589" s="1517" t="s">
        <v>2494</v>
      </c>
      <c r="H589" s="1508"/>
      <c r="I589" s="1416"/>
      <c r="J589" s="1512"/>
      <c r="K589" s="1416"/>
      <c r="L589" s="1500"/>
      <c r="M589" s="1429" t="s">
        <v>3151</v>
      </c>
      <c r="N589" s="1416">
        <v>2014</v>
      </c>
      <c r="O589" s="1414"/>
      <c r="P589" s="1414"/>
      <c r="Q589" s="1414"/>
      <c r="R589" s="1501" t="s">
        <v>12</v>
      </c>
      <c r="S589" s="1529">
        <v>197994103</v>
      </c>
      <c r="T589" s="1416"/>
      <c r="U589" s="1427"/>
      <c r="V589" s="1477"/>
      <c r="W589" s="1478" t="str">
        <f t="shared" si="188"/>
        <v>04.13.01</v>
      </c>
      <c r="X589" s="1478" t="str">
        <f t="shared" si="189"/>
        <v>Jalan</v>
      </c>
      <c r="Y589" s="1478">
        <f t="shared" si="190"/>
        <v>10</v>
      </c>
      <c r="Z589" s="1401">
        <f t="shared" si="191"/>
        <v>19799410.300000001</v>
      </c>
      <c r="AA589" s="1444">
        <f t="shared" si="192"/>
        <v>0</v>
      </c>
      <c r="AB589" s="1401">
        <f t="shared" si="193"/>
        <v>0</v>
      </c>
      <c r="AC589" s="1401">
        <f t="shared" si="194"/>
        <v>19799410.300000001</v>
      </c>
      <c r="AD589" s="1401">
        <f t="shared" si="195"/>
        <v>19799410.300000001</v>
      </c>
      <c r="AE589" s="1401">
        <f t="shared" si="196"/>
        <v>19799410.300000001</v>
      </c>
      <c r="AF589" s="1401">
        <f t="shared" si="197"/>
        <v>19799410.300000001</v>
      </c>
      <c r="AG589" s="1479">
        <f t="shared" si="198"/>
        <v>19799410.300000001</v>
      </c>
      <c r="AH589" s="1479">
        <f t="shared" si="199"/>
        <v>19799410.300000001</v>
      </c>
      <c r="AI589" s="1479">
        <f t="shared" si="187"/>
        <v>118796461.8</v>
      </c>
      <c r="AJ589" s="1401">
        <f t="shared" si="200"/>
        <v>79197641.200000003</v>
      </c>
    </row>
    <row r="590" spans="1:36" s="1390" customFormat="1" ht="34" customHeight="1" x14ac:dyDescent="0.2">
      <c r="A590" s="1390" t="s">
        <v>5252</v>
      </c>
      <c r="B590" s="1472" t="e">
        <f t="shared" si="177"/>
        <v>#N/A</v>
      </c>
      <c r="C590" s="1478" t="e">
        <f>RIGHT(#REF!,1)</f>
        <v>#REF!</v>
      </c>
      <c r="D590" s="1426"/>
      <c r="E590" s="1429" t="s">
        <v>1319</v>
      </c>
      <c r="F590" s="1529"/>
      <c r="G590" s="1517" t="s">
        <v>2494</v>
      </c>
      <c r="H590" s="1501"/>
      <c r="I590" s="1414"/>
      <c r="J590" s="1540"/>
      <c r="K590" s="1416"/>
      <c r="L590" s="1430"/>
      <c r="M590" s="1429" t="s">
        <v>3192</v>
      </c>
      <c r="N590" s="1501">
        <v>2014</v>
      </c>
      <c r="O590" s="1414"/>
      <c r="P590" s="1414"/>
      <c r="Q590" s="1414"/>
      <c r="R590" s="1501" t="s">
        <v>12</v>
      </c>
      <c r="S590" s="1527">
        <v>1947872840</v>
      </c>
      <c r="T590" s="1528"/>
      <c r="U590" s="1575"/>
      <c r="V590" s="1490"/>
      <c r="W590" s="1478" t="str">
        <f t="shared" si="188"/>
        <v>04.13.01</v>
      </c>
      <c r="X590" s="1478" t="str">
        <f t="shared" si="189"/>
        <v>Jalan</v>
      </c>
      <c r="Y590" s="1478">
        <f t="shared" si="190"/>
        <v>10</v>
      </c>
      <c r="Z590" s="1401">
        <f t="shared" si="191"/>
        <v>194787284</v>
      </c>
      <c r="AA590" s="1444">
        <f t="shared" si="192"/>
        <v>0</v>
      </c>
      <c r="AB590" s="1401">
        <f t="shared" si="193"/>
        <v>0</v>
      </c>
      <c r="AC590" s="1401">
        <f t="shared" si="194"/>
        <v>194787284</v>
      </c>
      <c r="AD590" s="1401">
        <f t="shared" si="195"/>
        <v>194787284</v>
      </c>
      <c r="AE590" s="1401">
        <f t="shared" si="196"/>
        <v>194787284</v>
      </c>
      <c r="AF590" s="1401">
        <f t="shared" si="197"/>
        <v>194787284</v>
      </c>
      <c r="AG590" s="1479">
        <f t="shared" si="198"/>
        <v>194787284</v>
      </c>
      <c r="AH590" s="1479">
        <f t="shared" si="199"/>
        <v>194787284</v>
      </c>
      <c r="AI590" s="1479">
        <f t="shared" si="187"/>
        <v>1168723704</v>
      </c>
      <c r="AJ590" s="1401">
        <f t="shared" si="200"/>
        <v>779149136</v>
      </c>
    </row>
    <row r="591" spans="1:36" s="1390" customFormat="1" ht="34" customHeight="1" x14ac:dyDescent="0.2">
      <c r="A591" s="1390" t="s">
        <v>5252</v>
      </c>
      <c r="B591" s="1472" t="e">
        <f t="shared" si="177"/>
        <v>#N/A</v>
      </c>
      <c r="C591" s="1478" t="e">
        <f>RIGHT(#REF!,1)</f>
        <v>#REF!</v>
      </c>
      <c r="D591" s="1426"/>
      <c r="E591" s="1429" t="s">
        <v>1321</v>
      </c>
      <c r="F591" s="1529"/>
      <c r="G591" s="1517" t="s">
        <v>2494</v>
      </c>
      <c r="H591" s="1501"/>
      <c r="I591" s="1414"/>
      <c r="J591" s="1540"/>
      <c r="K591" s="1416"/>
      <c r="L591" s="1430"/>
      <c r="M591" s="1429" t="s">
        <v>2562</v>
      </c>
      <c r="N591" s="1501">
        <v>2014</v>
      </c>
      <c r="O591" s="1414"/>
      <c r="P591" s="1414"/>
      <c r="Q591" s="1414"/>
      <c r="R591" s="1501" t="s">
        <v>12</v>
      </c>
      <c r="S591" s="1527">
        <v>198146512</v>
      </c>
      <c r="T591" s="1528"/>
      <c r="U591" s="1575"/>
      <c r="V591" s="1490"/>
      <c r="W591" s="1478" t="str">
        <f t="shared" si="188"/>
        <v>04.13.01</v>
      </c>
      <c r="X591" s="1478" t="str">
        <f t="shared" si="189"/>
        <v>Jalan</v>
      </c>
      <c r="Y591" s="1478">
        <f t="shared" si="190"/>
        <v>10</v>
      </c>
      <c r="Z591" s="1401">
        <f t="shared" si="191"/>
        <v>19814651.199999999</v>
      </c>
      <c r="AA591" s="1444">
        <f t="shared" si="192"/>
        <v>0</v>
      </c>
      <c r="AB591" s="1401">
        <f t="shared" si="193"/>
        <v>0</v>
      </c>
      <c r="AC591" s="1401">
        <f t="shared" si="194"/>
        <v>19814651.199999999</v>
      </c>
      <c r="AD591" s="1401">
        <f t="shared" si="195"/>
        <v>19814651.199999999</v>
      </c>
      <c r="AE591" s="1401">
        <f t="shared" si="196"/>
        <v>19814651.199999999</v>
      </c>
      <c r="AF591" s="1401">
        <f t="shared" si="197"/>
        <v>19814651.199999999</v>
      </c>
      <c r="AG591" s="1479">
        <f t="shared" si="198"/>
        <v>19814651.199999999</v>
      </c>
      <c r="AH591" s="1479">
        <f t="shared" si="199"/>
        <v>19814651.199999999</v>
      </c>
      <c r="AI591" s="1479">
        <f t="shared" si="187"/>
        <v>118887907.2</v>
      </c>
      <c r="AJ591" s="1401">
        <f t="shared" si="200"/>
        <v>79258604.799999997</v>
      </c>
    </row>
    <row r="592" spans="1:36" s="1390" customFormat="1" ht="34" customHeight="1" x14ac:dyDescent="0.2">
      <c r="A592" s="1390" t="s">
        <v>5252</v>
      </c>
      <c r="B592" s="1472" t="e">
        <f t="shared" si="177"/>
        <v>#N/A</v>
      </c>
      <c r="C592" s="1478" t="e">
        <f>RIGHT(#REF!,1)</f>
        <v>#REF!</v>
      </c>
      <c r="D592" s="1426"/>
      <c r="E592" s="1429" t="s">
        <v>1322</v>
      </c>
      <c r="F592" s="1529"/>
      <c r="G592" s="1517" t="s">
        <v>2494</v>
      </c>
      <c r="H592" s="1501"/>
      <c r="I592" s="1414"/>
      <c r="J592" s="1540"/>
      <c r="K592" s="1416"/>
      <c r="L592" s="1430"/>
      <c r="M592" s="1429" t="s">
        <v>3194</v>
      </c>
      <c r="N592" s="1501">
        <v>2014</v>
      </c>
      <c r="O592" s="1414"/>
      <c r="P592" s="1414"/>
      <c r="Q592" s="1414"/>
      <c r="R592" s="1501" t="s">
        <v>12</v>
      </c>
      <c r="S592" s="1527">
        <v>197600820</v>
      </c>
      <c r="T592" s="1528"/>
      <c r="U592" s="1575"/>
      <c r="V592" s="1490"/>
      <c r="W592" s="1478" t="str">
        <f t="shared" si="188"/>
        <v>04.13.01</v>
      </c>
      <c r="X592" s="1478" t="str">
        <f t="shared" si="189"/>
        <v>Jalan</v>
      </c>
      <c r="Y592" s="1478">
        <f t="shared" si="190"/>
        <v>10</v>
      </c>
      <c r="Z592" s="1401">
        <f t="shared" si="191"/>
        <v>19760082</v>
      </c>
      <c r="AA592" s="1444">
        <f t="shared" si="192"/>
        <v>0</v>
      </c>
      <c r="AB592" s="1401">
        <f t="shared" si="193"/>
        <v>0</v>
      </c>
      <c r="AC592" s="1401">
        <f t="shared" si="194"/>
        <v>19760082</v>
      </c>
      <c r="AD592" s="1401">
        <f t="shared" si="195"/>
        <v>19760082</v>
      </c>
      <c r="AE592" s="1401">
        <f t="shared" si="196"/>
        <v>19760082</v>
      </c>
      <c r="AF592" s="1401">
        <f t="shared" si="197"/>
        <v>19760082</v>
      </c>
      <c r="AG592" s="1479">
        <f t="shared" si="198"/>
        <v>19760082</v>
      </c>
      <c r="AH592" s="1479">
        <f t="shared" si="199"/>
        <v>19760082</v>
      </c>
      <c r="AI592" s="1479">
        <f t="shared" si="187"/>
        <v>118560492</v>
      </c>
      <c r="AJ592" s="1401">
        <f t="shared" si="200"/>
        <v>79040328</v>
      </c>
    </row>
    <row r="593" spans="1:36" s="1390" customFormat="1" ht="34" customHeight="1" x14ac:dyDescent="0.2">
      <c r="A593" s="1390" t="s">
        <v>5252</v>
      </c>
      <c r="B593" s="1472" t="e">
        <f t="shared" si="177"/>
        <v>#N/A</v>
      </c>
      <c r="C593" s="1478" t="e">
        <f>RIGHT(#REF!,1)</f>
        <v>#REF!</v>
      </c>
      <c r="D593" s="1426"/>
      <c r="E593" s="1429" t="s">
        <v>1325</v>
      </c>
      <c r="F593" s="1529"/>
      <c r="G593" s="1517" t="s">
        <v>2494</v>
      </c>
      <c r="H593" s="1501"/>
      <c r="I593" s="1414"/>
      <c r="J593" s="1540"/>
      <c r="K593" s="1416"/>
      <c r="L593" s="1430"/>
      <c r="M593" s="1429" t="s">
        <v>3196</v>
      </c>
      <c r="N593" s="1501">
        <v>2014</v>
      </c>
      <c r="O593" s="1414"/>
      <c r="P593" s="1414"/>
      <c r="Q593" s="1414"/>
      <c r="R593" s="1501" t="s">
        <v>12</v>
      </c>
      <c r="S593" s="1527">
        <v>197798349</v>
      </c>
      <c r="T593" s="1528"/>
      <c r="U593" s="1575"/>
      <c r="V593" s="1490"/>
      <c r="W593" s="1478" t="str">
        <f t="shared" si="188"/>
        <v>04.13.01</v>
      </c>
      <c r="X593" s="1478" t="str">
        <f t="shared" si="189"/>
        <v>Jalan</v>
      </c>
      <c r="Y593" s="1478">
        <f t="shared" si="190"/>
        <v>10</v>
      </c>
      <c r="Z593" s="1401">
        <f t="shared" si="191"/>
        <v>19779834.899999999</v>
      </c>
      <c r="AA593" s="1444">
        <f t="shared" si="192"/>
        <v>0</v>
      </c>
      <c r="AB593" s="1401">
        <f t="shared" si="193"/>
        <v>0</v>
      </c>
      <c r="AC593" s="1401">
        <f t="shared" si="194"/>
        <v>19779834.899999999</v>
      </c>
      <c r="AD593" s="1401">
        <f t="shared" si="195"/>
        <v>19779834.899999999</v>
      </c>
      <c r="AE593" s="1401">
        <f t="shared" si="196"/>
        <v>19779834.899999999</v>
      </c>
      <c r="AF593" s="1401">
        <f t="shared" si="197"/>
        <v>19779834.899999999</v>
      </c>
      <c r="AG593" s="1479">
        <f t="shared" si="198"/>
        <v>19779834.899999999</v>
      </c>
      <c r="AH593" s="1479">
        <f t="shared" si="199"/>
        <v>19779834.899999999</v>
      </c>
      <c r="AI593" s="1479">
        <f t="shared" si="187"/>
        <v>118679009.40000001</v>
      </c>
      <c r="AJ593" s="1401">
        <f t="shared" si="200"/>
        <v>79119339.599999994</v>
      </c>
    </row>
    <row r="594" spans="1:36" s="1390" customFormat="1" ht="34" customHeight="1" x14ac:dyDescent="0.2">
      <c r="A594" s="1390" t="s">
        <v>5252</v>
      </c>
      <c r="B594" s="1472" t="e">
        <f t="shared" si="177"/>
        <v>#N/A</v>
      </c>
      <c r="C594" s="1478" t="e">
        <f>RIGHT(#REF!,1)</f>
        <v>#REF!</v>
      </c>
      <c r="D594" s="1426"/>
      <c r="E594" s="1429" t="s">
        <v>1326</v>
      </c>
      <c r="F594" s="1529"/>
      <c r="G594" s="1517" t="s">
        <v>2494</v>
      </c>
      <c r="H594" s="1501"/>
      <c r="I594" s="1414"/>
      <c r="J594" s="1540"/>
      <c r="K594" s="1416"/>
      <c r="L594" s="1430"/>
      <c r="M594" s="1429" t="s">
        <v>3197</v>
      </c>
      <c r="N594" s="1501">
        <v>2014</v>
      </c>
      <c r="O594" s="1414"/>
      <c r="P594" s="1414"/>
      <c r="Q594" s="1414"/>
      <c r="R594" s="1501" t="s">
        <v>12</v>
      </c>
      <c r="S594" s="1527">
        <v>197815874</v>
      </c>
      <c r="T594" s="1528"/>
      <c r="U594" s="1575"/>
      <c r="V594" s="1490"/>
      <c r="W594" s="1478" t="str">
        <f t="shared" si="188"/>
        <v>04.13.01</v>
      </c>
      <c r="X594" s="1478" t="str">
        <f t="shared" si="189"/>
        <v>Jalan</v>
      </c>
      <c r="Y594" s="1478">
        <f t="shared" si="190"/>
        <v>10</v>
      </c>
      <c r="Z594" s="1401">
        <f t="shared" si="191"/>
        <v>19781587.399999999</v>
      </c>
      <c r="AA594" s="1444">
        <f t="shared" si="192"/>
        <v>0</v>
      </c>
      <c r="AB594" s="1401">
        <f t="shared" si="193"/>
        <v>0</v>
      </c>
      <c r="AC594" s="1401">
        <f t="shared" si="194"/>
        <v>19781587.399999999</v>
      </c>
      <c r="AD594" s="1401">
        <f t="shared" si="195"/>
        <v>19781587.399999999</v>
      </c>
      <c r="AE594" s="1401">
        <f t="shared" si="196"/>
        <v>19781587.399999999</v>
      </c>
      <c r="AF594" s="1401">
        <f t="shared" si="197"/>
        <v>19781587.399999999</v>
      </c>
      <c r="AG594" s="1479">
        <f t="shared" si="198"/>
        <v>19781587.399999999</v>
      </c>
      <c r="AH594" s="1479">
        <f t="shared" si="199"/>
        <v>19781587.399999999</v>
      </c>
      <c r="AI594" s="1479">
        <f t="shared" si="187"/>
        <v>118689524.40000001</v>
      </c>
      <c r="AJ594" s="1401">
        <f t="shared" si="200"/>
        <v>79126349.599999994</v>
      </c>
    </row>
    <row r="595" spans="1:36" s="1390" customFormat="1" ht="34" customHeight="1" x14ac:dyDescent="0.2">
      <c r="A595" s="1390" t="s">
        <v>5252</v>
      </c>
      <c r="B595" s="1472" t="e">
        <f t="shared" si="177"/>
        <v>#N/A</v>
      </c>
      <c r="C595" s="1478" t="e">
        <f>RIGHT(#REF!,1)</f>
        <v>#REF!</v>
      </c>
      <c r="D595" s="1426"/>
      <c r="E595" s="1429" t="s">
        <v>1328</v>
      </c>
      <c r="F595" s="1529"/>
      <c r="G595" s="1517" t="s">
        <v>2494</v>
      </c>
      <c r="H595" s="1501"/>
      <c r="I595" s="1414"/>
      <c r="J595" s="1540"/>
      <c r="K595" s="1416"/>
      <c r="L595" s="1430"/>
      <c r="M595" s="1429" t="s">
        <v>3198</v>
      </c>
      <c r="N595" s="1501">
        <v>2014</v>
      </c>
      <c r="O595" s="1414"/>
      <c r="P595" s="1414"/>
      <c r="Q595" s="1414"/>
      <c r="R595" s="1501" t="s">
        <v>12</v>
      </c>
      <c r="S595" s="1527">
        <v>446302277</v>
      </c>
      <c r="T595" s="1528"/>
      <c r="U595" s="1575"/>
      <c r="V595" s="1490"/>
      <c r="W595" s="1478" t="str">
        <f t="shared" si="188"/>
        <v>04.13.01</v>
      </c>
      <c r="X595" s="1478" t="str">
        <f t="shared" si="189"/>
        <v>Jalan</v>
      </c>
      <c r="Y595" s="1478">
        <f t="shared" si="190"/>
        <v>10</v>
      </c>
      <c r="Z595" s="1401">
        <f t="shared" si="191"/>
        <v>44630227.700000003</v>
      </c>
      <c r="AA595" s="1444">
        <f t="shared" si="192"/>
        <v>0</v>
      </c>
      <c r="AB595" s="1401">
        <f t="shared" si="193"/>
        <v>0</v>
      </c>
      <c r="AC595" s="1401">
        <f t="shared" si="194"/>
        <v>44630227.700000003</v>
      </c>
      <c r="AD595" s="1401">
        <f t="shared" si="195"/>
        <v>44630227.700000003</v>
      </c>
      <c r="AE595" s="1401">
        <f t="shared" si="196"/>
        <v>44630227.700000003</v>
      </c>
      <c r="AF595" s="1401">
        <f t="shared" si="197"/>
        <v>44630227.700000003</v>
      </c>
      <c r="AG595" s="1479">
        <f t="shared" si="198"/>
        <v>44630227.700000003</v>
      </c>
      <c r="AH595" s="1479">
        <f t="shared" si="199"/>
        <v>44630227.700000003</v>
      </c>
      <c r="AI595" s="1479">
        <f t="shared" si="187"/>
        <v>267781366.19999999</v>
      </c>
      <c r="AJ595" s="1401">
        <f t="shared" si="200"/>
        <v>178520910.80000001</v>
      </c>
    </row>
    <row r="596" spans="1:36" s="1390" customFormat="1" ht="34" customHeight="1" x14ac:dyDescent="0.2">
      <c r="A596" s="1390" t="s">
        <v>5252</v>
      </c>
      <c r="B596" s="1472" t="e">
        <f t="shared" si="177"/>
        <v>#N/A</v>
      </c>
      <c r="C596" s="1478" t="e">
        <f>RIGHT(#REF!,1)</f>
        <v>#REF!</v>
      </c>
      <c r="D596" s="1426"/>
      <c r="E596" s="1429" t="s">
        <v>1329</v>
      </c>
      <c r="F596" s="1529"/>
      <c r="G596" s="1517" t="s">
        <v>2494</v>
      </c>
      <c r="H596" s="1501"/>
      <c r="I596" s="1414"/>
      <c r="J596" s="1540"/>
      <c r="K596" s="1416"/>
      <c r="L596" s="1430"/>
      <c r="M596" s="1429" t="s">
        <v>3199</v>
      </c>
      <c r="N596" s="1501">
        <v>2014</v>
      </c>
      <c r="O596" s="1414"/>
      <c r="P596" s="1414"/>
      <c r="Q596" s="1414"/>
      <c r="R596" s="1501" t="s">
        <v>12</v>
      </c>
      <c r="S596" s="1527">
        <v>371814177</v>
      </c>
      <c r="T596" s="1528"/>
      <c r="U596" s="1575"/>
      <c r="V596" s="1490"/>
      <c r="W596" s="1478" t="str">
        <f t="shared" si="188"/>
        <v>04.13.01</v>
      </c>
      <c r="X596" s="1478" t="str">
        <f t="shared" si="189"/>
        <v>Jalan</v>
      </c>
      <c r="Y596" s="1478">
        <f t="shared" si="190"/>
        <v>10</v>
      </c>
      <c r="Z596" s="1401">
        <f t="shared" si="191"/>
        <v>37181417.700000003</v>
      </c>
      <c r="AA596" s="1444">
        <f t="shared" si="192"/>
        <v>0</v>
      </c>
      <c r="AB596" s="1401">
        <f t="shared" si="193"/>
        <v>0</v>
      </c>
      <c r="AC596" s="1401">
        <f t="shared" si="194"/>
        <v>37181417.700000003</v>
      </c>
      <c r="AD596" s="1401">
        <f t="shared" si="195"/>
        <v>37181417.700000003</v>
      </c>
      <c r="AE596" s="1401">
        <f t="shared" si="196"/>
        <v>37181417.700000003</v>
      </c>
      <c r="AF596" s="1401">
        <f t="shared" si="197"/>
        <v>37181417.700000003</v>
      </c>
      <c r="AG596" s="1479">
        <f t="shared" si="198"/>
        <v>37181417.700000003</v>
      </c>
      <c r="AH596" s="1479">
        <f t="shared" si="199"/>
        <v>37181417.700000003</v>
      </c>
      <c r="AI596" s="1479">
        <f t="shared" si="187"/>
        <v>223088506.19999999</v>
      </c>
      <c r="AJ596" s="1401">
        <f t="shared" ref="AJ596:AJ627" si="201">S596-AI596</f>
        <v>148725670.80000001</v>
      </c>
    </row>
    <row r="597" spans="1:36" s="1390" customFormat="1" ht="34" customHeight="1" x14ac:dyDescent="0.2">
      <c r="A597" s="1390" t="s">
        <v>5252</v>
      </c>
      <c r="B597" s="1472" t="e">
        <f t="shared" si="177"/>
        <v>#N/A</v>
      </c>
      <c r="C597" s="1478" t="e">
        <f>RIGHT(#REF!,1)</f>
        <v>#REF!</v>
      </c>
      <c r="D597" s="1426"/>
      <c r="E597" s="1429" t="s">
        <v>1330</v>
      </c>
      <c r="F597" s="1529"/>
      <c r="G597" s="1517" t="s">
        <v>2494</v>
      </c>
      <c r="H597" s="1501"/>
      <c r="I597" s="1414"/>
      <c r="J597" s="1540"/>
      <c r="K597" s="1416"/>
      <c r="L597" s="1430"/>
      <c r="M597" s="1429" t="s">
        <v>3200</v>
      </c>
      <c r="N597" s="1501">
        <v>2014</v>
      </c>
      <c r="O597" s="1414"/>
      <c r="P597" s="1414"/>
      <c r="Q597" s="1414"/>
      <c r="R597" s="1501" t="s">
        <v>12</v>
      </c>
      <c r="S597" s="1527">
        <v>197910872</v>
      </c>
      <c r="T597" s="1528"/>
      <c r="U597" s="1575"/>
      <c r="V597" s="1490"/>
      <c r="W597" s="1478" t="str">
        <f t="shared" si="188"/>
        <v>04.13.01</v>
      </c>
      <c r="X597" s="1478" t="str">
        <f t="shared" si="189"/>
        <v>Jalan</v>
      </c>
      <c r="Y597" s="1478">
        <f t="shared" si="190"/>
        <v>10</v>
      </c>
      <c r="Z597" s="1401">
        <f t="shared" si="191"/>
        <v>19791087.199999999</v>
      </c>
      <c r="AA597" s="1444">
        <f t="shared" si="192"/>
        <v>0</v>
      </c>
      <c r="AB597" s="1401">
        <f t="shared" si="193"/>
        <v>0</v>
      </c>
      <c r="AC597" s="1401">
        <f t="shared" si="194"/>
        <v>19791087.199999999</v>
      </c>
      <c r="AD597" s="1401">
        <f t="shared" si="195"/>
        <v>19791087.199999999</v>
      </c>
      <c r="AE597" s="1401">
        <f t="shared" si="196"/>
        <v>19791087.199999999</v>
      </c>
      <c r="AF597" s="1401">
        <f t="shared" si="197"/>
        <v>19791087.199999999</v>
      </c>
      <c r="AG597" s="1479">
        <f t="shared" si="198"/>
        <v>19791087.199999999</v>
      </c>
      <c r="AH597" s="1479">
        <f t="shared" si="199"/>
        <v>19791087.199999999</v>
      </c>
      <c r="AI597" s="1479">
        <f t="shared" si="187"/>
        <v>118746523.2</v>
      </c>
      <c r="AJ597" s="1401">
        <f t="shared" si="201"/>
        <v>79164348.799999997</v>
      </c>
    </row>
    <row r="598" spans="1:36" s="1390" customFormat="1" ht="34" customHeight="1" x14ac:dyDescent="0.2">
      <c r="A598" s="1390" t="s">
        <v>5252</v>
      </c>
      <c r="B598" s="1472" t="e">
        <f t="shared" si="177"/>
        <v>#N/A</v>
      </c>
      <c r="C598" s="1478" t="e">
        <f>RIGHT(#REF!,1)</f>
        <v>#REF!</v>
      </c>
      <c r="D598" s="1426"/>
      <c r="E598" s="1429" t="s">
        <v>1331</v>
      </c>
      <c r="F598" s="1529"/>
      <c r="G598" s="1517" t="s">
        <v>2494</v>
      </c>
      <c r="H598" s="1501"/>
      <c r="I598" s="1414"/>
      <c r="J598" s="1540"/>
      <c r="K598" s="1416"/>
      <c r="L598" s="1430"/>
      <c r="M598" s="1429" t="s">
        <v>3201</v>
      </c>
      <c r="N598" s="1501">
        <v>2014</v>
      </c>
      <c r="O598" s="1414"/>
      <c r="P598" s="1414"/>
      <c r="Q598" s="1414"/>
      <c r="R598" s="1501" t="s">
        <v>12</v>
      </c>
      <c r="S598" s="1527">
        <v>197392348</v>
      </c>
      <c r="T598" s="1528"/>
      <c r="U598" s="1575"/>
      <c r="V598" s="1490"/>
      <c r="W598" s="1478" t="str">
        <f t="shared" si="188"/>
        <v>04.13.01</v>
      </c>
      <c r="X598" s="1478" t="str">
        <f t="shared" si="189"/>
        <v>Jalan</v>
      </c>
      <c r="Y598" s="1478">
        <f t="shared" si="190"/>
        <v>10</v>
      </c>
      <c r="Z598" s="1401">
        <f t="shared" si="191"/>
        <v>19739234.800000001</v>
      </c>
      <c r="AA598" s="1444">
        <f t="shared" si="192"/>
        <v>0</v>
      </c>
      <c r="AB598" s="1401">
        <f t="shared" si="193"/>
        <v>0</v>
      </c>
      <c r="AC598" s="1401">
        <f t="shared" si="194"/>
        <v>19739234.800000001</v>
      </c>
      <c r="AD598" s="1401">
        <f t="shared" si="195"/>
        <v>19739234.800000001</v>
      </c>
      <c r="AE598" s="1401">
        <f t="shared" si="196"/>
        <v>19739234.800000001</v>
      </c>
      <c r="AF598" s="1401">
        <f t="shared" si="197"/>
        <v>19739234.800000001</v>
      </c>
      <c r="AG598" s="1479">
        <f t="shared" si="198"/>
        <v>19739234.800000001</v>
      </c>
      <c r="AH598" s="1479">
        <f t="shared" si="199"/>
        <v>19739234.800000001</v>
      </c>
      <c r="AI598" s="1479">
        <f t="shared" si="187"/>
        <v>118435408.8</v>
      </c>
      <c r="AJ598" s="1401">
        <f t="shared" si="201"/>
        <v>78956939.200000003</v>
      </c>
    </row>
    <row r="599" spans="1:36" s="1390" customFormat="1" ht="34" customHeight="1" x14ac:dyDescent="0.2">
      <c r="A599" s="1390" t="s">
        <v>5252</v>
      </c>
      <c r="B599" s="1472" t="e">
        <f t="shared" si="177"/>
        <v>#N/A</v>
      </c>
      <c r="C599" s="1478" t="e">
        <f>RIGHT(#REF!,1)</f>
        <v>#REF!</v>
      </c>
      <c r="D599" s="1426"/>
      <c r="E599" s="1429" t="s">
        <v>1339</v>
      </c>
      <c r="F599" s="1529"/>
      <c r="G599" s="1517" t="s">
        <v>2494</v>
      </c>
      <c r="H599" s="1501"/>
      <c r="I599" s="1414"/>
      <c r="J599" s="1540"/>
      <c r="K599" s="1416"/>
      <c r="L599" s="1430"/>
      <c r="M599" s="1429" t="s">
        <v>2572</v>
      </c>
      <c r="N599" s="1501">
        <v>2014</v>
      </c>
      <c r="O599" s="1414"/>
      <c r="P599" s="1414"/>
      <c r="Q599" s="1414"/>
      <c r="R599" s="1501" t="s">
        <v>12</v>
      </c>
      <c r="S599" s="1527">
        <v>197544440</v>
      </c>
      <c r="T599" s="1528"/>
      <c r="U599" s="1575"/>
      <c r="V599" s="1490"/>
      <c r="W599" s="1478" t="str">
        <f t="shared" si="188"/>
        <v>04.13.01</v>
      </c>
      <c r="X599" s="1478" t="str">
        <f t="shared" si="189"/>
        <v>Jalan</v>
      </c>
      <c r="Y599" s="1478">
        <f t="shared" si="190"/>
        <v>10</v>
      </c>
      <c r="Z599" s="1401">
        <f t="shared" si="191"/>
        <v>19754444</v>
      </c>
      <c r="AA599" s="1444">
        <f t="shared" si="192"/>
        <v>0</v>
      </c>
      <c r="AB599" s="1401">
        <f t="shared" si="193"/>
        <v>0</v>
      </c>
      <c r="AC599" s="1401">
        <f t="shared" si="194"/>
        <v>19754444</v>
      </c>
      <c r="AD599" s="1401">
        <f t="shared" si="195"/>
        <v>19754444</v>
      </c>
      <c r="AE599" s="1401">
        <f t="shared" si="196"/>
        <v>19754444</v>
      </c>
      <c r="AF599" s="1401">
        <f t="shared" si="197"/>
        <v>19754444</v>
      </c>
      <c r="AG599" s="1479">
        <f t="shared" si="198"/>
        <v>19754444</v>
      </c>
      <c r="AH599" s="1479">
        <f t="shared" si="199"/>
        <v>19754444</v>
      </c>
      <c r="AI599" s="1479">
        <f t="shared" si="187"/>
        <v>118526664</v>
      </c>
      <c r="AJ599" s="1401">
        <f t="shared" si="201"/>
        <v>79017776</v>
      </c>
    </row>
    <row r="600" spans="1:36" s="1390" customFormat="1" ht="34" customHeight="1" x14ac:dyDescent="0.2">
      <c r="A600" s="1390" t="s">
        <v>5252</v>
      </c>
      <c r="B600" s="1472" t="e">
        <f t="shared" ref="B600:B622" si="202">VLOOKUP(A600,RUAS,2,FALSE)</f>
        <v>#N/A</v>
      </c>
      <c r="C600" s="1478" t="e">
        <f>RIGHT(#REF!,1)</f>
        <v>#REF!</v>
      </c>
      <c r="D600" s="1426"/>
      <c r="E600" s="1429" t="s">
        <v>1340</v>
      </c>
      <c r="F600" s="1529"/>
      <c r="G600" s="1517" t="s">
        <v>2494</v>
      </c>
      <c r="H600" s="1501"/>
      <c r="I600" s="1414"/>
      <c r="J600" s="1540"/>
      <c r="K600" s="1416"/>
      <c r="L600" s="1430"/>
      <c r="M600" s="1429" t="s">
        <v>3206</v>
      </c>
      <c r="N600" s="1501">
        <v>2014</v>
      </c>
      <c r="O600" s="1414"/>
      <c r="P600" s="1414"/>
      <c r="Q600" s="1414"/>
      <c r="R600" s="1501" t="s">
        <v>12</v>
      </c>
      <c r="S600" s="1527">
        <v>192182044</v>
      </c>
      <c r="T600" s="1528"/>
      <c r="U600" s="1575"/>
      <c r="V600" s="1490"/>
      <c r="W600" s="1478" t="str">
        <f t="shared" si="188"/>
        <v>04.13.01</v>
      </c>
      <c r="X600" s="1478" t="str">
        <f t="shared" si="189"/>
        <v>Jalan</v>
      </c>
      <c r="Y600" s="1478">
        <f t="shared" si="190"/>
        <v>10</v>
      </c>
      <c r="Z600" s="1401">
        <f t="shared" si="191"/>
        <v>19218204.399999999</v>
      </c>
      <c r="AA600" s="1444">
        <f t="shared" si="192"/>
        <v>0</v>
      </c>
      <c r="AB600" s="1401">
        <f t="shared" si="193"/>
        <v>0</v>
      </c>
      <c r="AC600" s="1401">
        <f t="shared" si="194"/>
        <v>19218204.399999999</v>
      </c>
      <c r="AD600" s="1401">
        <f t="shared" si="195"/>
        <v>19218204.399999999</v>
      </c>
      <c r="AE600" s="1401">
        <f t="shared" si="196"/>
        <v>19218204.399999999</v>
      </c>
      <c r="AF600" s="1401">
        <f t="shared" si="197"/>
        <v>19218204.399999999</v>
      </c>
      <c r="AG600" s="1479">
        <f t="shared" si="198"/>
        <v>19218204.399999999</v>
      </c>
      <c r="AH600" s="1479">
        <f t="shared" si="199"/>
        <v>19218204.399999999</v>
      </c>
      <c r="AI600" s="1479">
        <f t="shared" si="187"/>
        <v>115309226.40000001</v>
      </c>
      <c r="AJ600" s="1401">
        <f t="shared" si="201"/>
        <v>76872817.599999994</v>
      </c>
    </row>
    <row r="601" spans="1:36" s="1390" customFormat="1" ht="34" customHeight="1" x14ac:dyDescent="0.2">
      <c r="A601" s="1390" t="s">
        <v>5252</v>
      </c>
      <c r="B601" s="1472" t="e">
        <f t="shared" si="202"/>
        <v>#N/A</v>
      </c>
      <c r="C601" s="1478" t="e">
        <f>RIGHT(#REF!,1)</f>
        <v>#REF!</v>
      </c>
      <c r="D601" s="1426"/>
      <c r="E601" s="1429" t="s">
        <v>1341</v>
      </c>
      <c r="F601" s="1529"/>
      <c r="G601" s="1517" t="s">
        <v>2494</v>
      </c>
      <c r="H601" s="1501"/>
      <c r="I601" s="1414"/>
      <c r="J601" s="1540"/>
      <c r="K601" s="1416"/>
      <c r="L601" s="1430"/>
      <c r="M601" s="1429" t="s">
        <v>3207</v>
      </c>
      <c r="N601" s="1501">
        <v>2014</v>
      </c>
      <c r="O601" s="1414"/>
      <c r="P601" s="1414"/>
      <c r="Q601" s="1414"/>
      <c r="R601" s="1501" t="s">
        <v>12</v>
      </c>
      <c r="S601" s="1527">
        <v>187069610</v>
      </c>
      <c r="T601" s="1528"/>
      <c r="U601" s="1575"/>
      <c r="V601" s="1490"/>
      <c r="W601" s="1478" t="str">
        <f t="shared" si="188"/>
        <v>04.13.01</v>
      </c>
      <c r="X601" s="1478" t="str">
        <f t="shared" si="189"/>
        <v>Jalan</v>
      </c>
      <c r="Y601" s="1478">
        <f t="shared" si="190"/>
        <v>10</v>
      </c>
      <c r="Z601" s="1401">
        <f t="shared" si="191"/>
        <v>18706961</v>
      </c>
      <c r="AA601" s="1444">
        <f t="shared" si="192"/>
        <v>0</v>
      </c>
      <c r="AB601" s="1401">
        <f t="shared" si="193"/>
        <v>0</v>
      </c>
      <c r="AC601" s="1401">
        <f t="shared" si="194"/>
        <v>18706961</v>
      </c>
      <c r="AD601" s="1401">
        <f t="shared" si="195"/>
        <v>18706961</v>
      </c>
      <c r="AE601" s="1401">
        <f t="shared" si="196"/>
        <v>18706961</v>
      </c>
      <c r="AF601" s="1401">
        <f t="shared" si="197"/>
        <v>18706961</v>
      </c>
      <c r="AG601" s="1479">
        <f t="shared" si="198"/>
        <v>18706961</v>
      </c>
      <c r="AH601" s="1479">
        <f t="shared" si="199"/>
        <v>18706961</v>
      </c>
      <c r="AI601" s="1479">
        <f t="shared" si="187"/>
        <v>112241766</v>
      </c>
      <c r="AJ601" s="1401">
        <f t="shared" si="201"/>
        <v>74827844</v>
      </c>
    </row>
    <row r="602" spans="1:36" s="1390" customFormat="1" ht="34" customHeight="1" x14ac:dyDescent="0.2">
      <c r="A602" s="1390" t="s">
        <v>5252</v>
      </c>
      <c r="B602" s="1472" t="e">
        <f t="shared" si="202"/>
        <v>#N/A</v>
      </c>
      <c r="C602" s="1478" t="e">
        <f>RIGHT(#REF!,1)</f>
        <v>#REF!</v>
      </c>
      <c r="D602" s="1426"/>
      <c r="E602" s="1429" t="s">
        <v>1343</v>
      </c>
      <c r="F602" s="1529"/>
      <c r="G602" s="1517" t="s">
        <v>2494</v>
      </c>
      <c r="H602" s="1501"/>
      <c r="I602" s="1414"/>
      <c r="J602" s="1540"/>
      <c r="K602" s="1416"/>
      <c r="L602" s="1430"/>
      <c r="M602" s="1429" t="s">
        <v>3209</v>
      </c>
      <c r="N602" s="1501">
        <v>2014</v>
      </c>
      <c r="O602" s="1414"/>
      <c r="P602" s="1414"/>
      <c r="Q602" s="1414"/>
      <c r="R602" s="1501" t="s">
        <v>12</v>
      </c>
      <c r="S602" s="1527">
        <v>196939048</v>
      </c>
      <c r="T602" s="1528"/>
      <c r="U602" s="1575"/>
      <c r="V602" s="1490"/>
      <c r="W602" s="1478" t="str">
        <f t="shared" si="188"/>
        <v>04.13.01</v>
      </c>
      <c r="X602" s="1478" t="str">
        <f t="shared" si="189"/>
        <v>Jalan</v>
      </c>
      <c r="Y602" s="1478">
        <f t="shared" si="190"/>
        <v>10</v>
      </c>
      <c r="Z602" s="1401">
        <f t="shared" si="191"/>
        <v>19693904.800000001</v>
      </c>
      <c r="AA602" s="1444">
        <f t="shared" si="192"/>
        <v>0</v>
      </c>
      <c r="AB602" s="1401">
        <f t="shared" si="193"/>
        <v>0</v>
      </c>
      <c r="AC602" s="1401">
        <f t="shared" si="194"/>
        <v>19693904.800000001</v>
      </c>
      <c r="AD602" s="1401">
        <f t="shared" si="195"/>
        <v>19693904.800000001</v>
      </c>
      <c r="AE602" s="1401">
        <f t="shared" si="196"/>
        <v>19693904.800000001</v>
      </c>
      <c r="AF602" s="1401">
        <f t="shared" si="197"/>
        <v>19693904.800000001</v>
      </c>
      <c r="AG602" s="1479">
        <f t="shared" si="198"/>
        <v>19693904.800000001</v>
      </c>
      <c r="AH602" s="1479">
        <f t="shared" si="199"/>
        <v>19693904.800000001</v>
      </c>
      <c r="AI602" s="1479">
        <f t="shared" si="187"/>
        <v>118163428.8</v>
      </c>
      <c r="AJ602" s="1401">
        <f t="shared" si="201"/>
        <v>78775619.200000003</v>
      </c>
    </row>
    <row r="603" spans="1:36" s="1390" customFormat="1" ht="34" customHeight="1" x14ac:dyDescent="0.2">
      <c r="A603" s="1390" t="s">
        <v>5252</v>
      </c>
      <c r="B603" s="1472" t="e">
        <f t="shared" si="202"/>
        <v>#N/A</v>
      </c>
      <c r="C603" s="1478" t="e">
        <f>RIGHT(#REF!,1)</f>
        <v>#REF!</v>
      </c>
      <c r="D603" s="1426"/>
      <c r="E603" s="1429" t="s">
        <v>1348</v>
      </c>
      <c r="F603" s="1529"/>
      <c r="G603" s="1517" t="s">
        <v>2494</v>
      </c>
      <c r="H603" s="1501"/>
      <c r="I603" s="1414"/>
      <c r="J603" s="1540"/>
      <c r="K603" s="1416"/>
      <c r="L603" s="1430"/>
      <c r="M603" s="1429" t="s">
        <v>2573</v>
      </c>
      <c r="N603" s="1501">
        <v>2014</v>
      </c>
      <c r="O603" s="1414"/>
      <c r="P603" s="1414"/>
      <c r="Q603" s="1414"/>
      <c r="R603" s="1501" t="s">
        <v>12</v>
      </c>
      <c r="S603" s="1527">
        <v>189452159</v>
      </c>
      <c r="T603" s="1528"/>
      <c r="U603" s="1575"/>
      <c r="V603" s="1490"/>
      <c r="W603" s="1478" t="str">
        <f t="shared" si="188"/>
        <v>04.13.01</v>
      </c>
      <c r="X603" s="1478" t="str">
        <f t="shared" si="189"/>
        <v>Jalan</v>
      </c>
      <c r="Y603" s="1478">
        <f t="shared" si="190"/>
        <v>10</v>
      </c>
      <c r="Z603" s="1401">
        <f t="shared" si="191"/>
        <v>18945215.899999999</v>
      </c>
      <c r="AA603" s="1444">
        <f t="shared" si="192"/>
        <v>0</v>
      </c>
      <c r="AB603" s="1401">
        <f t="shared" si="193"/>
        <v>0</v>
      </c>
      <c r="AC603" s="1401">
        <f t="shared" si="194"/>
        <v>18945215.899999999</v>
      </c>
      <c r="AD603" s="1401">
        <f t="shared" si="195"/>
        <v>18945215.899999999</v>
      </c>
      <c r="AE603" s="1401">
        <f t="shared" si="196"/>
        <v>18945215.899999999</v>
      </c>
      <c r="AF603" s="1401">
        <f t="shared" si="197"/>
        <v>18945215.899999999</v>
      </c>
      <c r="AG603" s="1479">
        <f t="shared" si="198"/>
        <v>18945215.899999999</v>
      </c>
      <c r="AH603" s="1479">
        <f t="shared" si="199"/>
        <v>18945215.899999999</v>
      </c>
      <c r="AI603" s="1479">
        <f t="shared" si="187"/>
        <v>113671295.40000001</v>
      </c>
      <c r="AJ603" s="1401">
        <f t="shared" si="201"/>
        <v>75780863.599999994</v>
      </c>
    </row>
    <row r="604" spans="1:36" s="1390" customFormat="1" ht="34" customHeight="1" x14ac:dyDescent="0.2">
      <c r="A604" s="1390" t="s">
        <v>5252</v>
      </c>
      <c r="B604" s="1472" t="e">
        <f t="shared" si="202"/>
        <v>#N/A</v>
      </c>
      <c r="C604" s="1478" t="e">
        <f>RIGHT(#REF!,1)</f>
        <v>#REF!</v>
      </c>
      <c r="D604" s="1426"/>
      <c r="E604" s="1429" t="s">
        <v>1353</v>
      </c>
      <c r="F604" s="1529"/>
      <c r="G604" s="1517" t="s">
        <v>2494</v>
      </c>
      <c r="H604" s="1501"/>
      <c r="I604" s="1414"/>
      <c r="J604" s="1540"/>
      <c r="K604" s="1416"/>
      <c r="L604" s="1430"/>
      <c r="M604" s="1429" t="s">
        <v>3217</v>
      </c>
      <c r="N604" s="1501">
        <v>2015</v>
      </c>
      <c r="O604" s="1414"/>
      <c r="P604" s="1414"/>
      <c r="Q604" s="1414"/>
      <c r="R604" s="1501" t="s">
        <v>12</v>
      </c>
      <c r="S604" s="1527">
        <v>3199037978</v>
      </c>
      <c r="T604" s="1528"/>
      <c r="U604" s="1575"/>
      <c r="V604" s="1490"/>
      <c r="W604" s="1478" t="str">
        <f t="shared" si="188"/>
        <v>04.13.01</v>
      </c>
      <c r="X604" s="1478" t="str">
        <f t="shared" si="189"/>
        <v>Jalan</v>
      </c>
      <c r="Y604" s="1478">
        <f t="shared" si="190"/>
        <v>10</v>
      </c>
      <c r="Z604" s="1401">
        <f t="shared" si="191"/>
        <v>319903797.80000001</v>
      </c>
      <c r="AA604" s="1444">
        <f t="shared" si="192"/>
        <v>0</v>
      </c>
      <c r="AB604" s="1401">
        <f t="shared" si="193"/>
        <v>0</v>
      </c>
      <c r="AC604" s="1401">
        <v>0</v>
      </c>
      <c r="AD604" s="1401">
        <f t="shared" si="195"/>
        <v>319903797.80000001</v>
      </c>
      <c r="AE604" s="1401">
        <f t="shared" si="196"/>
        <v>319903797.80000001</v>
      </c>
      <c r="AF604" s="1401">
        <f t="shared" si="197"/>
        <v>319903797.80000001</v>
      </c>
      <c r="AG604" s="1479">
        <f t="shared" si="198"/>
        <v>319903797.80000001</v>
      </c>
      <c r="AH604" s="1479">
        <f t="shared" si="199"/>
        <v>319903797.80000001</v>
      </c>
      <c r="AI604" s="1479">
        <f t="shared" si="187"/>
        <v>1599518989</v>
      </c>
      <c r="AJ604" s="1401">
        <f t="shared" si="201"/>
        <v>1599518989</v>
      </c>
    </row>
    <row r="605" spans="1:36" s="1390" customFormat="1" ht="34" customHeight="1" x14ac:dyDescent="0.2">
      <c r="A605" s="1390" t="s">
        <v>5252</v>
      </c>
      <c r="B605" s="1472" t="e">
        <f t="shared" si="202"/>
        <v>#N/A</v>
      </c>
      <c r="C605" s="1478" t="e">
        <f>RIGHT(#REF!,1)</f>
        <v>#REF!</v>
      </c>
      <c r="D605" s="1426"/>
      <c r="E605" s="1429" t="s">
        <v>1362</v>
      </c>
      <c r="F605" s="1529"/>
      <c r="G605" s="1517" t="s">
        <v>2494</v>
      </c>
      <c r="H605" s="1501"/>
      <c r="I605" s="1414"/>
      <c r="J605" s="1540"/>
      <c r="K605" s="1416"/>
      <c r="L605" s="1430"/>
      <c r="M605" s="1429" t="s">
        <v>3219</v>
      </c>
      <c r="N605" s="1501">
        <v>2015</v>
      </c>
      <c r="O605" s="1414"/>
      <c r="P605" s="1414"/>
      <c r="Q605" s="1414"/>
      <c r="R605" s="1501" t="s">
        <v>12</v>
      </c>
      <c r="S605" s="1527">
        <v>1990157144</v>
      </c>
      <c r="T605" s="1528"/>
      <c r="U605" s="1575"/>
      <c r="V605" s="1490"/>
      <c r="W605" s="1478" t="str">
        <f t="shared" si="188"/>
        <v>04.13.01</v>
      </c>
      <c r="X605" s="1478" t="str">
        <f t="shared" si="189"/>
        <v>Jalan</v>
      </c>
      <c r="Y605" s="1478">
        <f t="shared" si="190"/>
        <v>10</v>
      </c>
      <c r="Z605" s="1401">
        <f t="shared" si="191"/>
        <v>199015714.40000001</v>
      </c>
      <c r="AA605" s="1444">
        <f t="shared" si="192"/>
        <v>0</v>
      </c>
      <c r="AB605" s="1401">
        <f t="shared" si="193"/>
        <v>0</v>
      </c>
      <c r="AC605" s="1401">
        <v>0</v>
      </c>
      <c r="AD605" s="1401">
        <f t="shared" si="195"/>
        <v>199015714.40000001</v>
      </c>
      <c r="AE605" s="1401">
        <f t="shared" si="196"/>
        <v>199015714.40000001</v>
      </c>
      <c r="AF605" s="1401">
        <f t="shared" si="197"/>
        <v>199015714.40000001</v>
      </c>
      <c r="AG605" s="1479">
        <f t="shared" si="198"/>
        <v>199015714.40000001</v>
      </c>
      <c r="AH605" s="1479">
        <f t="shared" si="199"/>
        <v>199015714.40000001</v>
      </c>
      <c r="AI605" s="1479">
        <f t="shared" si="187"/>
        <v>995078572</v>
      </c>
      <c r="AJ605" s="1401">
        <f t="shared" si="201"/>
        <v>995078572</v>
      </c>
    </row>
    <row r="606" spans="1:36" s="1390" customFormat="1" ht="34" customHeight="1" x14ac:dyDescent="0.2">
      <c r="A606" s="1390" t="s">
        <v>5252</v>
      </c>
      <c r="B606" s="1472" t="e">
        <f t="shared" si="202"/>
        <v>#N/A</v>
      </c>
      <c r="C606" s="1478" t="e">
        <f>RIGHT(#REF!,1)</f>
        <v>#REF!</v>
      </c>
      <c r="D606" s="1426"/>
      <c r="E606" s="1429" t="s">
        <v>1376</v>
      </c>
      <c r="F606" s="1529"/>
      <c r="G606" s="1517" t="s">
        <v>2494</v>
      </c>
      <c r="H606" s="1501"/>
      <c r="I606" s="1414"/>
      <c r="J606" s="1540"/>
      <c r="K606" s="1416"/>
      <c r="L606" s="1430"/>
      <c r="M606" s="1429" t="s">
        <v>3127</v>
      </c>
      <c r="N606" s="1501">
        <v>2015</v>
      </c>
      <c r="O606" s="1414"/>
      <c r="P606" s="1414"/>
      <c r="Q606" s="1414"/>
      <c r="R606" s="1501" t="s">
        <v>12</v>
      </c>
      <c r="S606" s="1527">
        <v>2132575732</v>
      </c>
      <c r="T606" s="1528"/>
      <c r="U606" s="1575"/>
      <c r="V606" s="1490"/>
      <c r="W606" s="1478" t="str">
        <f t="shared" si="188"/>
        <v>04.13.01</v>
      </c>
      <c r="X606" s="1478" t="str">
        <f t="shared" si="189"/>
        <v>Jalan</v>
      </c>
      <c r="Y606" s="1478">
        <f t="shared" si="190"/>
        <v>10</v>
      </c>
      <c r="Z606" s="1401">
        <f t="shared" si="191"/>
        <v>213257573.19999999</v>
      </c>
      <c r="AA606" s="1444">
        <f t="shared" si="192"/>
        <v>0</v>
      </c>
      <c r="AB606" s="1401">
        <f t="shared" si="193"/>
        <v>0</v>
      </c>
      <c r="AC606" s="1401">
        <v>0</v>
      </c>
      <c r="AD606" s="1401">
        <f t="shared" si="195"/>
        <v>213257573.19999999</v>
      </c>
      <c r="AE606" s="1401">
        <f t="shared" si="196"/>
        <v>213257573.19999999</v>
      </c>
      <c r="AF606" s="1401">
        <f t="shared" si="197"/>
        <v>213257573.19999999</v>
      </c>
      <c r="AG606" s="1479">
        <f t="shared" si="198"/>
        <v>213257573.19999999</v>
      </c>
      <c r="AH606" s="1479">
        <f t="shared" si="199"/>
        <v>213257573.19999999</v>
      </c>
      <c r="AI606" s="1479">
        <f t="shared" si="187"/>
        <v>1066287866</v>
      </c>
      <c r="AJ606" s="1401">
        <f t="shared" si="201"/>
        <v>1066287866</v>
      </c>
    </row>
    <row r="607" spans="1:36" s="1390" customFormat="1" ht="34" customHeight="1" x14ac:dyDescent="0.2">
      <c r="A607" s="1390" t="s">
        <v>5252</v>
      </c>
      <c r="B607" s="1472" t="e">
        <f t="shared" si="202"/>
        <v>#N/A</v>
      </c>
      <c r="C607" s="1478" t="e">
        <f>RIGHT(#REF!,1)</f>
        <v>#REF!</v>
      </c>
      <c r="D607" s="1426"/>
      <c r="E607" s="1429" t="s">
        <v>1378</v>
      </c>
      <c r="F607" s="1529"/>
      <c r="G607" s="1517" t="s">
        <v>2494</v>
      </c>
      <c r="H607" s="1501"/>
      <c r="I607" s="1414"/>
      <c r="J607" s="1540"/>
      <c r="K607" s="1416"/>
      <c r="L607" s="1430"/>
      <c r="M607" s="1429" t="s">
        <v>3223</v>
      </c>
      <c r="N607" s="1501">
        <v>2015</v>
      </c>
      <c r="O607" s="1414"/>
      <c r="P607" s="1414"/>
      <c r="Q607" s="1414"/>
      <c r="R607" s="1501" t="s">
        <v>12</v>
      </c>
      <c r="S607" s="1527">
        <v>1212664598</v>
      </c>
      <c r="T607" s="1528"/>
      <c r="U607" s="1575"/>
      <c r="V607" s="1490"/>
      <c r="W607" s="1478" t="str">
        <f t="shared" si="188"/>
        <v>04.13.01</v>
      </c>
      <c r="X607" s="1478" t="str">
        <f t="shared" si="189"/>
        <v>Jalan</v>
      </c>
      <c r="Y607" s="1478">
        <f t="shared" si="190"/>
        <v>10</v>
      </c>
      <c r="Z607" s="1401">
        <f t="shared" si="191"/>
        <v>121266459.8</v>
      </c>
      <c r="AA607" s="1444">
        <f t="shared" si="192"/>
        <v>0</v>
      </c>
      <c r="AB607" s="1401">
        <f t="shared" si="193"/>
        <v>0</v>
      </c>
      <c r="AC607" s="1401">
        <v>0</v>
      </c>
      <c r="AD607" s="1401">
        <f t="shared" si="195"/>
        <v>121266459.8</v>
      </c>
      <c r="AE607" s="1401">
        <f t="shared" si="196"/>
        <v>121266459.8</v>
      </c>
      <c r="AF607" s="1401">
        <f t="shared" si="197"/>
        <v>121266459.8</v>
      </c>
      <c r="AG607" s="1479">
        <f t="shared" si="198"/>
        <v>121266459.8</v>
      </c>
      <c r="AH607" s="1479">
        <f t="shared" si="199"/>
        <v>121266459.8</v>
      </c>
      <c r="AI607" s="1479">
        <f t="shared" si="187"/>
        <v>606332299</v>
      </c>
      <c r="AJ607" s="1401">
        <f t="shared" si="201"/>
        <v>606332299</v>
      </c>
    </row>
    <row r="608" spans="1:36" s="1390" customFormat="1" ht="34" customHeight="1" x14ac:dyDescent="0.2">
      <c r="A608" s="1390" t="s">
        <v>5252</v>
      </c>
      <c r="B608" s="1472" t="e">
        <f t="shared" si="202"/>
        <v>#N/A</v>
      </c>
      <c r="C608" s="1478" t="e">
        <f>RIGHT(#REF!,1)</f>
        <v>#REF!</v>
      </c>
      <c r="D608" s="1426"/>
      <c r="E608" s="1429" t="s">
        <v>1394</v>
      </c>
      <c r="F608" s="1529"/>
      <c r="G608" s="1517" t="s">
        <v>2494</v>
      </c>
      <c r="H608" s="1501"/>
      <c r="I608" s="1414"/>
      <c r="J608" s="1540"/>
      <c r="K608" s="1416"/>
      <c r="L608" s="1430"/>
      <c r="M608" s="1429" t="s">
        <v>3232</v>
      </c>
      <c r="N608" s="1501">
        <v>2015</v>
      </c>
      <c r="O608" s="1414"/>
      <c r="P608" s="1414"/>
      <c r="Q608" s="1414"/>
      <c r="R608" s="1501" t="s">
        <v>12</v>
      </c>
      <c r="S608" s="1527">
        <v>194273678</v>
      </c>
      <c r="T608" s="1528"/>
      <c r="U608" s="1575"/>
      <c r="V608" s="1490"/>
      <c r="W608" s="1478" t="str">
        <f t="shared" si="188"/>
        <v>04.13.01</v>
      </c>
      <c r="X608" s="1478" t="str">
        <f t="shared" si="189"/>
        <v>Jalan</v>
      </c>
      <c r="Y608" s="1478">
        <f t="shared" si="190"/>
        <v>10</v>
      </c>
      <c r="Z608" s="1401">
        <f t="shared" ref="Z608:Z639" si="203">S608/Y608</f>
        <v>19427367.800000001</v>
      </c>
      <c r="AA608" s="1444">
        <f t="shared" ref="AA608:AA639" si="204">IF(2013-N608+1&gt;Y608,Y608,IF(2013-N608+1&lt;0,0,2013-N608+1))</f>
        <v>0</v>
      </c>
      <c r="AB608" s="1401">
        <f t="shared" ref="AB608:AB626" si="205">IF(AA608&gt;Y608,S608,Z608*AA608)</f>
        <v>0</v>
      </c>
      <c r="AC608" s="1401">
        <v>0</v>
      </c>
      <c r="AD608" s="1401">
        <f t="shared" si="195"/>
        <v>19427367.800000001</v>
      </c>
      <c r="AE608" s="1401">
        <f t="shared" si="196"/>
        <v>19427367.800000001</v>
      </c>
      <c r="AF608" s="1401">
        <f t="shared" si="197"/>
        <v>19427367.800000001</v>
      </c>
      <c r="AG608" s="1479">
        <f t="shared" si="198"/>
        <v>19427367.800000001</v>
      </c>
      <c r="AH608" s="1479">
        <f t="shared" si="199"/>
        <v>19427367.800000001</v>
      </c>
      <c r="AI608" s="1479">
        <f t="shared" ref="AI608:AI626" si="206">SUM(AB608:AH608)</f>
        <v>97136839</v>
      </c>
      <c r="AJ608" s="1401">
        <f t="shared" si="201"/>
        <v>97136839</v>
      </c>
    </row>
    <row r="609" spans="1:37" s="1390" customFormat="1" ht="34" customHeight="1" x14ac:dyDescent="0.2">
      <c r="A609" s="1390" t="s">
        <v>5252</v>
      </c>
      <c r="B609" s="1472" t="e">
        <f t="shared" si="202"/>
        <v>#N/A</v>
      </c>
      <c r="C609" s="1478" t="e">
        <f>RIGHT(#REF!,1)</f>
        <v>#REF!</v>
      </c>
      <c r="D609" s="1426"/>
      <c r="E609" s="1429" t="s">
        <v>1395</v>
      </c>
      <c r="F609" s="1529"/>
      <c r="G609" s="1517" t="s">
        <v>2494</v>
      </c>
      <c r="H609" s="1501"/>
      <c r="I609" s="1414"/>
      <c r="J609" s="1540"/>
      <c r="K609" s="1416"/>
      <c r="L609" s="1430"/>
      <c r="M609" s="1429" t="s">
        <v>3233</v>
      </c>
      <c r="N609" s="1501">
        <v>2015</v>
      </c>
      <c r="O609" s="1414"/>
      <c r="P609" s="1414"/>
      <c r="Q609" s="1414"/>
      <c r="R609" s="1501" t="s">
        <v>12</v>
      </c>
      <c r="S609" s="1527">
        <v>469897527</v>
      </c>
      <c r="T609" s="1528"/>
      <c r="U609" s="1575"/>
      <c r="V609" s="1490"/>
      <c r="W609" s="1478" t="str">
        <f t="shared" si="188"/>
        <v>04.13.01</v>
      </c>
      <c r="X609" s="1478" t="str">
        <f t="shared" si="189"/>
        <v>Jalan</v>
      </c>
      <c r="Y609" s="1478">
        <f t="shared" si="190"/>
        <v>10</v>
      </c>
      <c r="Z609" s="1401">
        <f t="shared" si="203"/>
        <v>46989752.700000003</v>
      </c>
      <c r="AA609" s="1444">
        <f t="shared" si="204"/>
        <v>0</v>
      </c>
      <c r="AB609" s="1401">
        <f t="shared" si="205"/>
        <v>0</v>
      </c>
      <c r="AC609" s="1401">
        <v>0</v>
      </c>
      <c r="AD609" s="1401">
        <f t="shared" si="195"/>
        <v>46989752.700000003</v>
      </c>
      <c r="AE609" s="1401">
        <f t="shared" si="196"/>
        <v>46989752.700000003</v>
      </c>
      <c r="AF609" s="1401">
        <f t="shared" si="197"/>
        <v>46989752.700000003</v>
      </c>
      <c r="AG609" s="1479">
        <f t="shared" si="198"/>
        <v>46989752.700000003</v>
      </c>
      <c r="AH609" s="1479">
        <f t="shared" si="199"/>
        <v>46989752.700000003</v>
      </c>
      <c r="AI609" s="1479">
        <f t="shared" si="206"/>
        <v>234948763.5</v>
      </c>
      <c r="AJ609" s="1401">
        <f t="shared" si="201"/>
        <v>234948763.5</v>
      </c>
    </row>
    <row r="610" spans="1:37" s="1390" customFormat="1" ht="34" customHeight="1" x14ac:dyDescent="0.2">
      <c r="A610" s="1390" t="s">
        <v>5252</v>
      </c>
      <c r="B610" s="1472" t="e">
        <f t="shared" si="202"/>
        <v>#N/A</v>
      </c>
      <c r="C610" s="1478" t="e">
        <f>RIGHT(#REF!,1)</f>
        <v>#REF!</v>
      </c>
      <c r="D610" s="1426"/>
      <c r="E610" s="1429" t="s">
        <v>1397</v>
      </c>
      <c r="F610" s="1529"/>
      <c r="G610" s="1517" t="s">
        <v>2494</v>
      </c>
      <c r="H610" s="1501"/>
      <c r="I610" s="1414"/>
      <c r="J610" s="1540"/>
      <c r="K610" s="1416"/>
      <c r="L610" s="1430"/>
      <c r="M610" s="1429" t="s">
        <v>3234</v>
      </c>
      <c r="N610" s="1501">
        <v>2015</v>
      </c>
      <c r="O610" s="1414"/>
      <c r="P610" s="1414"/>
      <c r="Q610" s="1414"/>
      <c r="R610" s="1501" t="s">
        <v>12</v>
      </c>
      <c r="S610" s="1527">
        <v>194304755</v>
      </c>
      <c r="T610" s="1528"/>
      <c r="U610" s="1575"/>
      <c r="V610" s="1490"/>
      <c r="W610" s="1478" t="str">
        <f t="shared" si="188"/>
        <v>04.13.01</v>
      </c>
      <c r="X610" s="1478" t="str">
        <f t="shared" si="189"/>
        <v>Jalan</v>
      </c>
      <c r="Y610" s="1478">
        <f t="shared" si="190"/>
        <v>10</v>
      </c>
      <c r="Z610" s="1401">
        <f t="shared" si="203"/>
        <v>19430475.5</v>
      </c>
      <c r="AA610" s="1444">
        <f t="shared" si="204"/>
        <v>0</v>
      </c>
      <c r="AB610" s="1401">
        <f t="shared" si="205"/>
        <v>0</v>
      </c>
      <c r="AC610" s="1401">
        <v>0</v>
      </c>
      <c r="AD610" s="1401">
        <f t="shared" si="195"/>
        <v>19430475.5</v>
      </c>
      <c r="AE610" s="1401">
        <f t="shared" si="196"/>
        <v>19430475.5</v>
      </c>
      <c r="AF610" s="1401">
        <f t="shared" si="197"/>
        <v>19430475.5</v>
      </c>
      <c r="AG610" s="1479">
        <f t="shared" si="198"/>
        <v>19430475.5</v>
      </c>
      <c r="AH610" s="1479">
        <f t="shared" si="199"/>
        <v>19430475.5</v>
      </c>
      <c r="AI610" s="1479">
        <f t="shared" si="206"/>
        <v>97152377.5</v>
      </c>
      <c r="AJ610" s="1401">
        <f t="shared" si="201"/>
        <v>97152377.5</v>
      </c>
    </row>
    <row r="611" spans="1:37" s="1390" customFormat="1" ht="34" customHeight="1" x14ac:dyDescent="0.2">
      <c r="A611" s="1390" t="s">
        <v>5252</v>
      </c>
      <c r="B611" s="1472" t="e">
        <f t="shared" si="202"/>
        <v>#N/A</v>
      </c>
      <c r="C611" s="1478" t="e">
        <f>RIGHT(#REF!,1)</f>
        <v>#REF!</v>
      </c>
      <c r="D611" s="1426"/>
      <c r="E611" s="1429" t="s">
        <v>1403</v>
      </c>
      <c r="F611" s="1529"/>
      <c r="G611" s="1517" t="s">
        <v>2494</v>
      </c>
      <c r="H611" s="1501"/>
      <c r="I611" s="1414"/>
      <c r="J611" s="1540"/>
      <c r="K611" s="1416"/>
      <c r="L611" s="1430"/>
      <c r="M611" s="1429" t="s">
        <v>3201</v>
      </c>
      <c r="N611" s="1501">
        <v>2015</v>
      </c>
      <c r="O611" s="1414"/>
      <c r="P611" s="1414"/>
      <c r="Q611" s="1414"/>
      <c r="R611" s="1501" t="s">
        <v>12</v>
      </c>
      <c r="S611" s="1527">
        <v>192293177</v>
      </c>
      <c r="T611" s="1528"/>
      <c r="U611" s="1575"/>
      <c r="V611" s="1490"/>
      <c r="W611" s="1478" t="str">
        <f t="shared" si="188"/>
        <v>04.13.01</v>
      </c>
      <c r="X611" s="1478" t="str">
        <f t="shared" si="189"/>
        <v>Jalan</v>
      </c>
      <c r="Y611" s="1478">
        <f t="shared" si="190"/>
        <v>10</v>
      </c>
      <c r="Z611" s="1401">
        <f t="shared" si="203"/>
        <v>19229317.699999999</v>
      </c>
      <c r="AA611" s="1444">
        <f t="shared" si="204"/>
        <v>0</v>
      </c>
      <c r="AB611" s="1401">
        <f t="shared" si="205"/>
        <v>0</v>
      </c>
      <c r="AC611" s="1401">
        <v>0</v>
      </c>
      <c r="AD611" s="1401">
        <f t="shared" si="195"/>
        <v>19229317.699999999</v>
      </c>
      <c r="AE611" s="1401">
        <f t="shared" si="196"/>
        <v>19229317.699999999</v>
      </c>
      <c r="AF611" s="1401">
        <f t="shared" si="197"/>
        <v>19229317.699999999</v>
      </c>
      <c r="AG611" s="1479">
        <f t="shared" si="198"/>
        <v>19229317.699999999</v>
      </c>
      <c r="AH611" s="1479">
        <f t="shared" si="199"/>
        <v>19229317.699999999</v>
      </c>
      <c r="AI611" s="1479">
        <f t="shared" si="206"/>
        <v>96146588.5</v>
      </c>
      <c r="AJ611" s="1401">
        <f t="shared" si="201"/>
        <v>96146588.5</v>
      </c>
    </row>
    <row r="612" spans="1:37" s="1390" customFormat="1" ht="34" customHeight="1" x14ac:dyDescent="0.2">
      <c r="A612" s="1390" t="s">
        <v>5252</v>
      </c>
      <c r="B612" s="1472" t="e">
        <f t="shared" si="202"/>
        <v>#N/A</v>
      </c>
      <c r="C612" s="1478" t="e">
        <f>RIGHT(#REF!,1)</f>
        <v>#REF!</v>
      </c>
      <c r="D612" s="1426"/>
      <c r="E612" s="1429" t="s">
        <v>1406</v>
      </c>
      <c r="F612" s="1529"/>
      <c r="G612" s="1517" t="s">
        <v>2494</v>
      </c>
      <c r="H612" s="1501"/>
      <c r="I612" s="1414"/>
      <c r="J612" s="1540"/>
      <c r="K612" s="1416"/>
      <c r="L612" s="1430"/>
      <c r="M612" s="1429" t="s">
        <v>3240</v>
      </c>
      <c r="N612" s="1501">
        <v>2015</v>
      </c>
      <c r="O612" s="1414"/>
      <c r="P612" s="1414"/>
      <c r="Q612" s="1414"/>
      <c r="R612" s="1501" t="s">
        <v>12</v>
      </c>
      <c r="S612" s="1527">
        <v>1945177628</v>
      </c>
      <c r="T612" s="1528"/>
      <c r="U612" s="1575"/>
      <c r="V612" s="1490"/>
      <c r="W612" s="1478" t="str">
        <f t="shared" si="188"/>
        <v>04.13.01</v>
      </c>
      <c r="X612" s="1478" t="str">
        <f t="shared" si="189"/>
        <v>Jalan</v>
      </c>
      <c r="Y612" s="1478">
        <f t="shared" si="190"/>
        <v>10</v>
      </c>
      <c r="Z612" s="1401">
        <f t="shared" si="203"/>
        <v>194517762.80000001</v>
      </c>
      <c r="AA612" s="1444">
        <f t="shared" si="204"/>
        <v>0</v>
      </c>
      <c r="AB612" s="1401">
        <f t="shared" si="205"/>
        <v>0</v>
      </c>
      <c r="AC612" s="1401">
        <v>0</v>
      </c>
      <c r="AD612" s="1401">
        <f t="shared" si="195"/>
        <v>194517762.80000001</v>
      </c>
      <c r="AE612" s="1401">
        <f t="shared" si="196"/>
        <v>194517762.80000001</v>
      </c>
      <c r="AF612" s="1401">
        <f t="shared" si="197"/>
        <v>194517762.80000001</v>
      </c>
      <c r="AG612" s="1479">
        <f t="shared" si="198"/>
        <v>194517762.80000001</v>
      </c>
      <c r="AH612" s="1479">
        <f t="shared" si="199"/>
        <v>194517762.80000001</v>
      </c>
      <c r="AI612" s="1479">
        <f t="shared" si="206"/>
        <v>972588814</v>
      </c>
      <c r="AJ612" s="1401">
        <f t="shared" si="201"/>
        <v>972588814</v>
      </c>
    </row>
    <row r="613" spans="1:37" s="1390" customFormat="1" ht="34" customHeight="1" x14ac:dyDescent="0.2">
      <c r="A613" s="1390" t="s">
        <v>5252</v>
      </c>
      <c r="B613" s="1472" t="e">
        <f t="shared" si="202"/>
        <v>#N/A</v>
      </c>
      <c r="C613" s="1478" t="e">
        <f>RIGHT(#REF!,1)</f>
        <v>#REF!</v>
      </c>
      <c r="D613" s="1426"/>
      <c r="E613" s="1429" t="s">
        <v>1413</v>
      </c>
      <c r="F613" s="1529"/>
      <c r="G613" s="1517" t="s">
        <v>2494</v>
      </c>
      <c r="H613" s="1501"/>
      <c r="I613" s="1414"/>
      <c r="J613" s="1540"/>
      <c r="K613" s="1416"/>
      <c r="L613" s="1430"/>
      <c r="M613" s="1429" t="s">
        <v>3243</v>
      </c>
      <c r="N613" s="1501">
        <v>2015</v>
      </c>
      <c r="O613" s="1414"/>
      <c r="P613" s="1414"/>
      <c r="Q613" s="1414"/>
      <c r="R613" s="1501" t="s">
        <v>12</v>
      </c>
      <c r="S613" s="1527">
        <v>190265603</v>
      </c>
      <c r="T613" s="1528"/>
      <c r="U613" s="1575"/>
      <c r="V613" s="1490"/>
      <c r="W613" s="1478" t="str">
        <f t="shared" ref="W613:W644" si="207">LEFT(G613,8)</f>
        <v>04.13.01</v>
      </c>
      <c r="X613" s="1478" t="str">
        <f t="shared" ref="X613:X644" si="208">VLOOKUP(W613,UE,3,FALSE)</f>
        <v>Jalan</v>
      </c>
      <c r="Y613" s="1478">
        <f t="shared" ref="Y613:Y644" si="209">VLOOKUP(W613,UE,4,FALSE)</f>
        <v>10</v>
      </c>
      <c r="Z613" s="1401">
        <f t="shared" si="203"/>
        <v>19026560.300000001</v>
      </c>
      <c r="AA613" s="1444">
        <f t="shared" si="204"/>
        <v>0</v>
      </c>
      <c r="AB613" s="1401">
        <f t="shared" si="205"/>
        <v>0</v>
      </c>
      <c r="AC613" s="1401">
        <v>0</v>
      </c>
      <c r="AD613" s="1401">
        <f t="shared" si="195"/>
        <v>19026560.300000001</v>
      </c>
      <c r="AE613" s="1401">
        <f t="shared" si="196"/>
        <v>19026560.300000001</v>
      </c>
      <c r="AF613" s="1401">
        <f t="shared" si="197"/>
        <v>19026560.300000001</v>
      </c>
      <c r="AG613" s="1479">
        <f t="shared" si="198"/>
        <v>19026560.300000001</v>
      </c>
      <c r="AH613" s="1479">
        <f t="shared" si="199"/>
        <v>19026560.300000001</v>
      </c>
      <c r="AI613" s="1479">
        <f t="shared" si="206"/>
        <v>95132801.5</v>
      </c>
      <c r="AJ613" s="1401">
        <f t="shared" si="201"/>
        <v>95132801.5</v>
      </c>
    </row>
    <row r="614" spans="1:37" s="1390" customFormat="1" ht="34" customHeight="1" x14ac:dyDescent="0.2">
      <c r="A614" s="1390" t="s">
        <v>5252</v>
      </c>
      <c r="B614" s="1472" t="e">
        <f t="shared" si="202"/>
        <v>#N/A</v>
      </c>
      <c r="C614" s="1478" t="e">
        <f>RIGHT(#REF!,1)</f>
        <v>#REF!</v>
      </c>
      <c r="D614" s="1426"/>
      <c r="E614" s="1429" t="s">
        <v>1414</v>
      </c>
      <c r="F614" s="1529"/>
      <c r="G614" s="1517" t="s">
        <v>2494</v>
      </c>
      <c r="H614" s="1501"/>
      <c r="I614" s="1414"/>
      <c r="J614" s="1540"/>
      <c r="K614" s="1416"/>
      <c r="L614" s="1430"/>
      <c r="M614" s="1429" t="s">
        <v>3244</v>
      </c>
      <c r="N614" s="1501">
        <v>2015</v>
      </c>
      <c r="O614" s="1414"/>
      <c r="P614" s="1414"/>
      <c r="Q614" s="1414"/>
      <c r="R614" s="1501" t="s">
        <v>12</v>
      </c>
      <c r="S614" s="1527">
        <v>741801931</v>
      </c>
      <c r="T614" s="1528"/>
      <c r="U614" s="1575"/>
      <c r="V614" s="1490"/>
      <c r="W614" s="1478" t="str">
        <f t="shared" si="207"/>
        <v>04.13.01</v>
      </c>
      <c r="X614" s="1478" t="str">
        <f t="shared" si="208"/>
        <v>Jalan</v>
      </c>
      <c r="Y614" s="1478">
        <f t="shared" si="209"/>
        <v>10</v>
      </c>
      <c r="Z614" s="1401">
        <f t="shared" si="203"/>
        <v>74180193.099999994</v>
      </c>
      <c r="AA614" s="1444">
        <f t="shared" si="204"/>
        <v>0</v>
      </c>
      <c r="AB614" s="1401">
        <f t="shared" si="205"/>
        <v>0</v>
      </c>
      <c r="AC614" s="1401">
        <v>0</v>
      </c>
      <c r="AD614" s="1401">
        <f t="shared" si="195"/>
        <v>74180193.099999994</v>
      </c>
      <c r="AE614" s="1401">
        <f t="shared" si="196"/>
        <v>74180193.099999994</v>
      </c>
      <c r="AF614" s="1401">
        <f t="shared" si="197"/>
        <v>74180193.099999994</v>
      </c>
      <c r="AG614" s="1479">
        <f t="shared" si="198"/>
        <v>74180193.099999994</v>
      </c>
      <c r="AH614" s="1479">
        <f t="shared" si="199"/>
        <v>74180193.099999994</v>
      </c>
      <c r="AI614" s="1479">
        <f t="shared" si="206"/>
        <v>370900965.5</v>
      </c>
      <c r="AJ614" s="1401">
        <f t="shared" si="201"/>
        <v>370900965.5</v>
      </c>
    </row>
    <row r="615" spans="1:37" s="1390" customFormat="1" ht="34" customHeight="1" x14ac:dyDescent="0.2">
      <c r="A615" s="1390" t="s">
        <v>5252</v>
      </c>
      <c r="B615" s="1472" t="e">
        <f t="shared" si="202"/>
        <v>#N/A</v>
      </c>
      <c r="C615" s="1478" t="e">
        <f>RIGHT(#REF!,1)</f>
        <v>#REF!</v>
      </c>
      <c r="D615" s="1426"/>
      <c r="E615" s="1429" t="s">
        <v>1416</v>
      </c>
      <c r="F615" s="1529"/>
      <c r="G615" s="1517" t="s">
        <v>2494</v>
      </c>
      <c r="H615" s="1501"/>
      <c r="I615" s="1414"/>
      <c r="J615" s="1540"/>
      <c r="K615" s="1416"/>
      <c r="L615" s="1430"/>
      <c r="M615" s="1429" t="s">
        <v>2562</v>
      </c>
      <c r="N615" s="1501">
        <v>2015</v>
      </c>
      <c r="O615" s="1414"/>
      <c r="P615" s="1414"/>
      <c r="Q615" s="1414"/>
      <c r="R615" s="1501" t="s">
        <v>12</v>
      </c>
      <c r="S615" s="1527">
        <v>194109943</v>
      </c>
      <c r="T615" s="1528"/>
      <c r="U615" s="1575"/>
      <c r="V615" s="1490"/>
      <c r="W615" s="1478" t="str">
        <f t="shared" si="207"/>
        <v>04.13.01</v>
      </c>
      <c r="X615" s="1478" t="str">
        <f t="shared" si="208"/>
        <v>Jalan</v>
      </c>
      <c r="Y615" s="1478">
        <f t="shared" si="209"/>
        <v>10</v>
      </c>
      <c r="Z615" s="1401">
        <f t="shared" si="203"/>
        <v>19410994.300000001</v>
      </c>
      <c r="AA615" s="1444">
        <f t="shared" si="204"/>
        <v>0</v>
      </c>
      <c r="AB615" s="1401">
        <f t="shared" si="205"/>
        <v>0</v>
      </c>
      <c r="AC615" s="1401">
        <v>0</v>
      </c>
      <c r="AD615" s="1401">
        <f t="shared" si="195"/>
        <v>19410994.300000001</v>
      </c>
      <c r="AE615" s="1401">
        <f t="shared" si="196"/>
        <v>19410994.300000001</v>
      </c>
      <c r="AF615" s="1401">
        <f t="shared" si="197"/>
        <v>19410994.300000001</v>
      </c>
      <c r="AG615" s="1479">
        <f t="shared" si="198"/>
        <v>19410994.300000001</v>
      </c>
      <c r="AH615" s="1479">
        <f t="shared" si="199"/>
        <v>19410994.300000001</v>
      </c>
      <c r="AI615" s="1479">
        <f t="shared" si="206"/>
        <v>97054971.5</v>
      </c>
      <c r="AJ615" s="1401">
        <f t="shared" si="201"/>
        <v>97054971.5</v>
      </c>
    </row>
    <row r="616" spans="1:37" s="1390" customFormat="1" ht="34" customHeight="1" x14ac:dyDescent="0.2">
      <c r="A616" s="1390" t="s">
        <v>5252</v>
      </c>
      <c r="B616" s="1472" t="e">
        <f t="shared" si="202"/>
        <v>#N/A</v>
      </c>
      <c r="C616" s="1478" t="e">
        <f>RIGHT(#REF!,1)</f>
        <v>#REF!</v>
      </c>
      <c r="D616" s="1426"/>
      <c r="E616" s="1429" t="s">
        <v>1417</v>
      </c>
      <c r="F616" s="1529"/>
      <c r="G616" s="1517" t="s">
        <v>2494</v>
      </c>
      <c r="H616" s="1501"/>
      <c r="I616" s="1414"/>
      <c r="J616" s="1540"/>
      <c r="K616" s="1416"/>
      <c r="L616" s="1430"/>
      <c r="M616" s="1429" t="s">
        <v>3246</v>
      </c>
      <c r="N616" s="1501">
        <v>2015</v>
      </c>
      <c r="O616" s="1414"/>
      <c r="P616" s="1414"/>
      <c r="Q616" s="1414"/>
      <c r="R616" s="1501" t="s">
        <v>12</v>
      </c>
      <c r="S616" s="1527">
        <v>194305774</v>
      </c>
      <c r="T616" s="1528"/>
      <c r="U616" s="1575"/>
      <c r="V616" s="1490"/>
      <c r="W616" s="1478" t="str">
        <f t="shared" si="207"/>
        <v>04.13.01</v>
      </c>
      <c r="X616" s="1478" t="str">
        <f t="shared" si="208"/>
        <v>Jalan</v>
      </c>
      <c r="Y616" s="1478">
        <f t="shared" si="209"/>
        <v>10</v>
      </c>
      <c r="Z616" s="1401">
        <f t="shared" si="203"/>
        <v>19430577.399999999</v>
      </c>
      <c r="AA616" s="1444">
        <f t="shared" si="204"/>
        <v>0</v>
      </c>
      <c r="AB616" s="1401">
        <f t="shared" si="205"/>
        <v>0</v>
      </c>
      <c r="AC616" s="1401">
        <v>0</v>
      </c>
      <c r="AD616" s="1401">
        <f t="shared" si="195"/>
        <v>19430577.399999999</v>
      </c>
      <c r="AE616" s="1401">
        <f t="shared" si="196"/>
        <v>19430577.399999999</v>
      </c>
      <c r="AF616" s="1401">
        <f t="shared" si="197"/>
        <v>19430577.399999999</v>
      </c>
      <c r="AG616" s="1479">
        <f t="shared" si="198"/>
        <v>19430577.399999999</v>
      </c>
      <c r="AH616" s="1479">
        <f t="shared" si="199"/>
        <v>19430577.399999999</v>
      </c>
      <c r="AI616" s="1479">
        <f t="shared" si="206"/>
        <v>97152887</v>
      </c>
      <c r="AJ616" s="1401">
        <f t="shared" si="201"/>
        <v>97152887</v>
      </c>
    </row>
    <row r="617" spans="1:37" s="1390" customFormat="1" ht="34" customHeight="1" x14ac:dyDescent="0.2">
      <c r="A617" s="1390" t="s">
        <v>5252</v>
      </c>
      <c r="B617" s="1472" t="e">
        <f t="shared" si="202"/>
        <v>#N/A</v>
      </c>
      <c r="C617" s="1478" t="e">
        <f>RIGHT(#REF!,1)</f>
        <v>#REF!</v>
      </c>
      <c r="D617" s="1426"/>
      <c r="E617" s="1429" t="s">
        <v>1418</v>
      </c>
      <c r="F617" s="1529"/>
      <c r="G617" s="1517" t="s">
        <v>2494</v>
      </c>
      <c r="H617" s="1501"/>
      <c r="I617" s="1414"/>
      <c r="J617" s="1540"/>
      <c r="K617" s="1416"/>
      <c r="L617" s="1430"/>
      <c r="M617" s="1429" t="s">
        <v>3247</v>
      </c>
      <c r="N617" s="1501">
        <v>2015</v>
      </c>
      <c r="O617" s="1414"/>
      <c r="P617" s="1414"/>
      <c r="Q617" s="1414"/>
      <c r="R617" s="1501" t="s">
        <v>12</v>
      </c>
      <c r="S617" s="1527">
        <v>192442791</v>
      </c>
      <c r="T617" s="1528"/>
      <c r="U617" s="1575"/>
      <c r="V617" s="1490"/>
      <c r="W617" s="1478" t="str">
        <f t="shared" si="207"/>
        <v>04.13.01</v>
      </c>
      <c r="X617" s="1478" t="str">
        <f t="shared" si="208"/>
        <v>Jalan</v>
      </c>
      <c r="Y617" s="1478">
        <f t="shared" si="209"/>
        <v>10</v>
      </c>
      <c r="Z617" s="1401">
        <f t="shared" si="203"/>
        <v>19244279.100000001</v>
      </c>
      <c r="AA617" s="1444">
        <f t="shared" si="204"/>
        <v>0</v>
      </c>
      <c r="AB617" s="1401">
        <f t="shared" si="205"/>
        <v>0</v>
      </c>
      <c r="AC617" s="1401">
        <v>0</v>
      </c>
      <c r="AD617" s="1401">
        <f t="shared" si="195"/>
        <v>19244279.100000001</v>
      </c>
      <c r="AE617" s="1401">
        <f t="shared" si="196"/>
        <v>19244279.100000001</v>
      </c>
      <c r="AF617" s="1401">
        <f t="shared" si="197"/>
        <v>19244279.100000001</v>
      </c>
      <c r="AG617" s="1479">
        <f t="shared" si="198"/>
        <v>19244279.100000001</v>
      </c>
      <c r="AH617" s="1479">
        <f t="shared" si="199"/>
        <v>19244279.100000001</v>
      </c>
      <c r="AI617" s="1479">
        <f t="shared" si="206"/>
        <v>96221395.5</v>
      </c>
      <c r="AJ617" s="1401">
        <f t="shared" si="201"/>
        <v>96221395.5</v>
      </c>
    </row>
    <row r="618" spans="1:37" s="1390" customFormat="1" ht="34" customHeight="1" x14ac:dyDescent="0.2">
      <c r="A618" s="1390" t="s">
        <v>5252</v>
      </c>
      <c r="B618" s="1472" t="e">
        <f t="shared" si="202"/>
        <v>#N/A</v>
      </c>
      <c r="C618" s="1478" t="e">
        <f>RIGHT(#REF!,1)</f>
        <v>#REF!</v>
      </c>
      <c r="D618" s="1426"/>
      <c r="E618" s="1429" t="s">
        <v>1419</v>
      </c>
      <c r="F618" s="1529"/>
      <c r="G618" s="1517" t="s">
        <v>2494</v>
      </c>
      <c r="H618" s="1501"/>
      <c r="I618" s="1414"/>
      <c r="J618" s="1540"/>
      <c r="K618" s="1416"/>
      <c r="L618" s="1430"/>
      <c r="M618" s="1429" t="s">
        <v>3248</v>
      </c>
      <c r="N618" s="1501">
        <v>2015</v>
      </c>
      <c r="O618" s="1414"/>
      <c r="P618" s="1414"/>
      <c r="Q618" s="1414"/>
      <c r="R618" s="1501" t="s">
        <v>12</v>
      </c>
      <c r="S618" s="1527">
        <v>195564131</v>
      </c>
      <c r="T618" s="1528"/>
      <c r="U618" s="1575"/>
      <c r="V618" s="1490"/>
      <c r="W618" s="1478" t="str">
        <f t="shared" si="207"/>
        <v>04.13.01</v>
      </c>
      <c r="X618" s="1478" t="str">
        <f t="shared" si="208"/>
        <v>Jalan</v>
      </c>
      <c r="Y618" s="1478">
        <f t="shared" si="209"/>
        <v>10</v>
      </c>
      <c r="Z618" s="1401">
        <f t="shared" si="203"/>
        <v>19556413.100000001</v>
      </c>
      <c r="AA618" s="1444">
        <f t="shared" si="204"/>
        <v>0</v>
      </c>
      <c r="AB618" s="1401">
        <f t="shared" si="205"/>
        <v>0</v>
      </c>
      <c r="AC618" s="1401">
        <v>0</v>
      </c>
      <c r="AD618" s="1401">
        <f t="shared" si="195"/>
        <v>19556413.100000001</v>
      </c>
      <c r="AE618" s="1401">
        <f t="shared" si="196"/>
        <v>19556413.100000001</v>
      </c>
      <c r="AF618" s="1401">
        <f t="shared" si="197"/>
        <v>19556413.100000001</v>
      </c>
      <c r="AG618" s="1479">
        <f t="shared" si="198"/>
        <v>19556413.100000001</v>
      </c>
      <c r="AH618" s="1479">
        <f t="shared" si="199"/>
        <v>19556413.100000001</v>
      </c>
      <c r="AI618" s="1479">
        <f t="shared" si="206"/>
        <v>97782065.5</v>
      </c>
      <c r="AJ618" s="1401">
        <f t="shared" si="201"/>
        <v>97782065.5</v>
      </c>
    </row>
    <row r="619" spans="1:37" s="1390" customFormat="1" ht="34" customHeight="1" x14ac:dyDescent="0.2">
      <c r="A619" s="1390" t="s">
        <v>5252</v>
      </c>
      <c r="B619" s="1472" t="e">
        <f t="shared" si="202"/>
        <v>#N/A</v>
      </c>
      <c r="C619" s="1478" t="e">
        <f>RIGHT(#REF!,1)</f>
        <v>#REF!</v>
      </c>
      <c r="D619" s="1426"/>
      <c r="E619" s="1429" t="s">
        <v>1426</v>
      </c>
      <c r="F619" s="1529"/>
      <c r="G619" s="1517" t="s">
        <v>2494</v>
      </c>
      <c r="H619" s="1501"/>
      <c r="I619" s="1414"/>
      <c r="J619" s="1540"/>
      <c r="K619" s="1416"/>
      <c r="L619" s="1430"/>
      <c r="M619" s="1429" t="s">
        <v>3250</v>
      </c>
      <c r="N619" s="1501">
        <v>2015</v>
      </c>
      <c r="O619" s="1414"/>
      <c r="P619" s="1414"/>
      <c r="Q619" s="1414"/>
      <c r="R619" s="1501" t="s">
        <v>12</v>
      </c>
      <c r="S619" s="1527">
        <v>191714919</v>
      </c>
      <c r="T619" s="1528"/>
      <c r="U619" s="1575"/>
      <c r="V619" s="1490"/>
      <c r="W619" s="1478" t="str">
        <f t="shared" si="207"/>
        <v>04.13.01</v>
      </c>
      <c r="X619" s="1478" t="str">
        <f t="shared" si="208"/>
        <v>Jalan</v>
      </c>
      <c r="Y619" s="1478">
        <f t="shared" si="209"/>
        <v>10</v>
      </c>
      <c r="Z619" s="1401">
        <f t="shared" si="203"/>
        <v>19171491.899999999</v>
      </c>
      <c r="AA619" s="1444">
        <f t="shared" si="204"/>
        <v>0</v>
      </c>
      <c r="AB619" s="1401">
        <f t="shared" si="205"/>
        <v>0</v>
      </c>
      <c r="AC619" s="1401">
        <v>0</v>
      </c>
      <c r="AD619" s="1401">
        <f t="shared" si="195"/>
        <v>19171491.899999999</v>
      </c>
      <c r="AE619" s="1401">
        <f t="shared" si="196"/>
        <v>19171491.899999999</v>
      </c>
      <c r="AF619" s="1401">
        <f t="shared" si="197"/>
        <v>19171491.899999999</v>
      </c>
      <c r="AG619" s="1479">
        <f t="shared" si="198"/>
        <v>19171491.899999999</v>
      </c>
      <c r="AH619" s="1479">
        <f t="shared" si="199"/>
        <v>19171491.899999999</v>
      </c>
      <c r="AI619" s="1479">
        <f t="shared" si="206"/>
        <v>95857459.5</v>
      </c>
      <c r="AJ619" s="1401">
        <f t="shared" si="201"/>
        <v>95857459.5</v>
      </c>
    </row>
    <row r="620" spans="1:37" s="1390" customFormat="1" ht="34" customHeight="1" x14ac:dyDescent="0.2">
      <c r="A620" s="1390" t="s">
        <v>5252</v>
      </c>
      <c r="B620" s="1472" t="e">
        <f t="shared" si="202"/>
        <v>#N/A</v>
      </c>
      <c r="C620" s="1478" t="e">
        <f>RIGHT(#REF!,1)</f>
        <v>#REF!</v>
      </c>
      <c r="D620" s="1426"/>
      <c r="E620" s="1429" t="s">
        <v>1427</v>
      </c>
      <c r="F620" s="1529"/>
      <c r="G620" s="1517" t="s">
        <v>2494</v>
      </c>
      <c r="H620" s="1501"/>
      <c r="I620" s="1414"/>
      <c r="J620" s="1540"/>
      <c r="K620" s="1416"/>
      <c r="L620" s="1430"/>
      <c r="M620" s="1429" t="s">
        <v>3247</v>
      </c>
      <c r="N620" s="1501">
        <v>2015</v>
      </c>
      <c r="O620" s="1414"/>
      <c r="P620" s="1414"/>
      <c r="Q620" s="1414"/>
      <c r="R620" s="1501" t="s">
        <v>12</v>
      </c>
      <c r="S620" s="1527">
        <v>133925703</v>
      </c>
      <c r="T620" s="1528"/>
      <c r="U620" s="1575"/>
      <c r="V620" s="1490"/>
      <c r="W620" s="1478" t="str">
        <f t="shared" si="207"/>
        <v>04.13.01</v>
      </c>
      <c r="X620" s="1478" t="str">
        <f t="shared" si="208"/>
        <v>Jalan</v>
      </c>
      <c r="Y620" s="1478">
        <f t="shared" si="209"/>
        <v>10</v>
      </c>
      <c r="Z620" s="1401">
        <f t="shared" si="203"/>
        <v>13392570.300000001</v>
      </c>
      <c r="AA620" s="1444">
        <f t="shared" si="204"/>
        <v>0</v>
      </c>
      <c r="AB620" s="1401">
        <f t="shared" si="205"/>
        <v>0</v>
      </c>
      <c r="AC620" s="1401">
        <v>0</v>
      </c>
      <c r="AD620" s="1401">
        <f t="shared" si="195"/>
        <v>13392570.300000001</v>
      </c>
      <c r="AE620" s="1401">
        <f t="shared" si="196"/>
        <v>13392570.300000001</v>
      </c>
      <c r="AF620" s="1401">
        <f t="shared" si="197"/>
        <v>13392570.300000001</v>
      </c>
      <c r="AG620" s="1479">
        <f t="shared" si="198"/>
        <v>13392570.300000001</v>
      </c>
      <c r="AH620" s="1479">
        <f t="shared" si="199"/>
        <v>13392570.300000001</v>
      </c>
      <c r="AI620" s="1479">
        <f t="shared" si="206"/>
        <v>66962851.5</v>
      </c>
      <c r="AJ620" s="1401">
        <f t="shared" si="201"/>
        <v>66962851.5</v>
      </c>
    </row>
    <row r="621" spans="1:37" s="1390" customFormat="1" ht="34" customHeight="1" x14ac:dyDescent="0.2">
      <c r="A621" s="1390" t="s">
        <v>5252</v>
      </c>
      <c r="B621" s="1472" t="e">
        <f t="shared" si="202"/>
        <v>#N/A</v>
      </c>
      <c r="C621" s="1478" t="e">
        <f>RIGHT(#REF!,1)</f>
        <v>#REF!</v>
      </c>
      <c r="D621" s="1426"/>
      <c r="E621" s="1429" t="s">
        <v>1430</v>
      </c>
      <c r="F621" s="1529"/>
      <c r="G621" s="1517" t="s">
        <v>2494</v>
      </c>
      <c r="H621" s="1501"/>
      <c r="I621" s="1414"/>
      <c r="J621" s="1540"/>
      <c r="K621" s="1416"/>
      <c r="L621" s="1430"/>
      <c r="M621" s="1429" t="s">
        <v>2571</v>
      </c>
      <c r="N621" s="1501">
        <v>2015</v>
      </c>
      <c r="O621" s="1414"/>
      <c r="P621" s="1414"/>
      <c r="Q621" s="1414"/>
      <c r="R621" s="1501" t="s">
        <v>12</v>
      </c>
      <c r="S621" s="1527">
        <v>190930494</v>
      </c>
      <c r="T621" s="1528"/>
      <c r="U621" s="1575"/>
      <c r="V621" s="1490"/>
      <c r="W621" s="1478" t="str">
        <f t="shared" si="207"/>
        <v>04.13.01</v>
      </c>
      <c r="X621" s="1478" t="str">
        <f t="shared" si="208"/>
        <v>Jalan</v>
      </c>
      <c r="Y621" s="1478">
        <f t="shared" si="209"/>
        <v>10</v>
      </c>
      <c r="Z621" s="1401">
        <f t="shared" si="203"/>
        <v>19093049.399999999</v>
      </c>
      <c r="AA621" s="1444">
        <f t="shared" si="204"/>
        <v>0</v>
      </c>
      <c r="AB621" s="1401">
        <f t="shared" si="205"/>
        <v>0</v>
      </c>
      <c r="AC621" s="1401">
        <v>0</v>
      </c>
      <c r="AD621" s="1401">
        <f t="shared" si="195"/>
        <v>19093049.399999999</v>
      </c>
      <c r="AE621" s="1401">
        <f t="shared" si="196"/>
        <v>19093049.399999999</v>
      </c>
      <c r="AF621" s="1401">
        <f t="shared" si="197"/>
        <v>19093049.399999999</v>
      </c>
      <c r="AG621" s="1479">
        <f t="shared" si="198"/>
        <v>19093049.399999999</v>
      </c>
      <c r="AH621" s="1479">
        <f t="shared" si="199"/>
        <v>19093049.399999999</v>
      </c>
      <c r="AI621" s="1479">
        <f t="shared" si="206"/>
        <v>95465247</v>
      </c>
      <c r="AJ621" s="1401">
        <f t="shared" si="201"/>
        <v>95465247</v>
      </c>
    </row>
    <row r="622" spans="1:37" s="1390" customFormat="1" ht="34" customHeight="1" x14ac:dyDescent="0.2">
      <c r="A622" s="1390" t="s">
        <v>5057</v>
      </c>
      <c r="B622" s="1472" t="e">
        <f t="shared" si="202"/>
        <v>#N/A</v>
      </c>
      <c r="C622" s="1478" t="e">
        <f>RIGHT(#REF!,1)</f>
        <v>#REF!</v>
      </c>
      <c r="D622" s="1426"/>
      <c r="E622" s="1429" t="s">
        <v>1405</v>
      </c>
      <c r="F622" s="1529"/>
      <c r="G622" s="1517" t="s">
        <v>2494</v>
      </c>
      <c r="H622" s="1501"/>
      <c r="I622" s="1414"/>
      <c r="J622" s="1540"/>
      <c r="K622" s="1416"/>
      <c r="L622" s="1430"/>
      <c r="M622" s="1429" t="s">
        <v>3101</v>
      </c>
      <c r="N622" s="1501">
        <v>2015</v>
      </c>
      <c r="O622" s="1414"/>
      <c r="P622" s="1414"/>
      <c r="Q622" s="1414"/>
      <c r="R622" s="1501" t="s">
        <v>12</v>
      </c>
      <c r="S622" s="1527">
        <v>121648894</v>
      </c>
      <c r="T622" s="1528"/>
      <c r="U622" s="1575"/>
      <c r="V622" s="1490"/>
      <c r="W622" s="1478" t="str">
        <f t="shared" si="207"/>
        <v>04.13.01</v>
      </c>
      <c r="X622" s="1478" t="str">
        <f t="shared" si="208"/>
        <v>Jalan</v>
      </c>
      <c r="Y622" s="1478">
        <f t="shared" si="209"/>
        <v>10</v>
      </c>
      <c r="Z622" s="1401">
        <f t="shared" si="203"/>
        <v>12164889.4</v>
      </c>
      <c r="AA622" s="1444">
        <f t="shared" si="204"/>
        <v>0</v>
      </c>
      <c r="AB622" s="1401">
        <f t="shared" si="205"/>
        <v>0</v>
      </c>
      <c r="AC622" s="1401"/>
      <c r="AD622" s="1401">
        <f t="shared" si="195"/>
        <v>12164889.4</v>
      </c>
      <c r="AE622" s="1401">
        <f t="shared" si="196"/>
        <v>12164889.4</v>
      </c>
      <c r="AF622" s="1401">
        <f t="shared" si="197"/>
        <v>12164889.4</v>
      </c>
      <c r="AG622" s="1479">
        <f t="shared" si="198"/>
        <v>12164889.4</v>
      </c>
      <c r="AH622" s="1479">
        <f t="shared" si="199"/>
        <v>12164889.4</v>
      </c>
      <c r="AI622" s="1479">
        <f t="shared" si="206"/>
        <v>60824447</v>
      </c>
      <c r="AJ622" s="1401">
        <f t="shared" si="201"/>
        <v>60824447</v>
      </c>
    </row>
    <row r="623" spans="1:37" s="1390" customFormat="1" ht="34" customHeight="1" x14ac:dyDescent="0.2">
      <c r="A623" s="1390" t="s">
        <v>5252</v>
      </c>
      <c r="B623" s="1472" t="e">
        <v>#N/A</v>
      </c>
      <c r="D623" s="1426"/>
      <c r="E623" s="1429" t="s">
        <v>1407</v>
      </c>
      <c r="F623" s="1529"/>
      <c r="G623" s="1517" t="s">
        <v>2494</v>
      </c>
      <c r="H623" s="1501"/>
      <c r="I623" s="1414"/>
      <c r="J623" s="1540"/>
      <c r="K623" s="1416"/>
      <c r="L623" s="1430"/>
      <c r="M623" s="1429" t="s">
        <v>3241</v>
      </c>
      <c r="N623" s="1501">
        <v>2015</v>
      </c>
      <c r="O623" s="1414"/>
      <c r="P623" s="1414"/>
      <c r="Q623" s="1414"/>
      <c r="R623" s="1501" t="s">
        <v>12</v>
      </c>
      <c r="S623" s="1527">
        <v>2197200060</v>
      </c>
      <c r="T623" s="1528"/>
      <c r="U623" s="1575"/>
      <c r="V623" s="1490"/>
      <c r="W623" s="1478" t="str">
        <f t="shared" si="207"/>
        <v>04.13.01</v>
      </c>
      <c r="X623" s="1478" t="str">
        <f t="shared" si="208"/>
        <v>Jalan</v>
      </c>
      <c r="Y623" s="1478">
        <f t="shared" si="209"/>
        <v>10</v>
      </c>
      <c r="Z623" s="1401">
        <f t="shared" si="203"/>
        <v>219720006</v>
      </c>
      <c r="AA623" s="1444">
        <f t="shared" si="204"/>
        <v>0</v>
      </c>
      <c r="AB623" s="1401">
        <f t="shared" si="205"/>
        <v>0</v>
      </c>
      <c r="AC623" s="1401"/>
      <c r="AD623" s="1401">
        <f t="shared" si="195"/>
        <v>219720006</v>
      </c>
      <c r="AE623" s="1401">
        <f t="shared" si="196"/>
        <v>219720006</v>
      </c>
      <c r="AF623" s="1401">
        <f t="shared" si="197"/>
        <v>219720006</v>
      </c>
      <c r="AG623" s="1479">
        <f t="shared" si="198"/>
        <v>219720006</v>
      </c>
      <c r="AH623" s="1479">
        <f t="shared" si="199"/>
        <v>219720006</v>
      </c>
      <c r="AI623" s="1479">
        <f t="shared" si="206"/>
        <v>1098600030</v>
      </c>
      <c r="AJ623" s="1401">
        <f t="shared" si="201"/>
        <v>1098600030</v>
      </c>
      <c r="AK623" s="1443">
        <f>SUM(AB623:AF623)</f>
        <v>659160018</v>
      </c>
    </row>
    <row r="624" spans="1:37" s="1390" customFormat="1" ht="34" customHeight="1" x14ac:dyDescent="0.2">
      <c r="A624" s="1390" t="s">
        <v>5252</v>
      </c>
      <c r="B624" s="1472" t="e">
        <f>VLOOKUP(A624,RUAS,2,FALSE)</f>
        <v>#N/A</v>
      </c>
      <c r="C624" s="1478" t="e">
        <f>RIGHT(#REF!,1)</f>
        <v>#REF!</v>
      </c>
      <c r="D624" s="1426"/>
      <c r="E624" s="1539" t="s">
        <v>1461</v>
      </c>
      <c r="F624" s="1529"/>
      <c r="G624" s="1517" t="s">
        <v>2494</v>
      </c>
      <c r="H624" s="1501"/>
      <c r="I624" s="1414"/>
      <c r="J624" s="1540"/>
      <c r="K624" s="1416"/>
      <c r="L624" s="1430"/>
      <c r="M624" s="1429" t="s">
        <v>3262</v>
      </c>
      <c r="N624" s="1501">
        <v>2016</v>
      </c>
      <c r="O624" s="1414"/>
      <c r="P624" s="1414"/>
      <c r="Q624" s="1414"/>
      <c r="R624" s="1501" t="s">
        <v>12</v>
      </c>
      <c r="S624" s="1527">
        <v>1944689998.1099999</v>
      </c>
      <c r="T624" s="1528"/>
      <c r="U624" s="1575"/>
      <c r="V624" s="1490"/>
      <c r="W624" s="1478" t="str">
        <f t="shared" si="207"/>
        <v>04.13.01</v>
      </c>
      <c r="X624" s="1478" t="str">
        <f t="shared" si="208"/>
        <v>Jalan</v>
      </c>
      <c r="Y624" s="1478">
        <f t="shared" si="209"/>
        <v>10</v>
      </c>
      <c r="Z624" s="1401">
        <f t="shared" si="203"/>
        <v>194468999.81099999</v>
      </c>
      <c r="AA624" s="1444">
        <f t="shared" si="204"/>
        <v>0</v>
      </c>
      <c r="AB624" s="1401">
        <f t="shared" si="205"/>
        <v>0</v>
      </c>
      <c r="AC624" s="1401">
        <v>0</v>
      </c>
      <c r="AD624" s="1401">
        <v>0</v>
      </c>
      <c r="AE624" s="1401">
        <f t="shared" si="196"/>
        <v>194468999.81099999</v>
      </c>
      <c r="AF624" s="1401">
        <f t="shared" si="197"/>
        <v>194468999.81099999</v>
      </c>
      <c r="AG624" s="1479">
        <f t="shared" si="198"/>
        <v>194468999.81099999</v>
      </c>
      <c r="AH624" s="1479">
        <f t="shared" si="199"/>
        <v>194468999.81099999</v>
      </c>
      <c r="AI624" s="1479">
        <f t="shared" si="206"/>
        <v>777875999.24399996</v>
      </c>
      <c r="AJ624" s="1401">
        <f t="shared" si="201"/>
        <v>1166813998.8659999</v>
      </c>
    </row>
    <row r="625" spans="1:36" s="1390" customFormat="1" ht="34" customHeight="1" x14ac:dyDescent="0.2">
      <c r="A625" s="1390" t="s">
        <v>5252</v>
      </c>
      <c r="B625" s="1472" t="e">
        <f>VLOOKUP(A625,RUAS,2,FALSE)</f>
        <v>#N/A</v>
      </c>
      <c r="C625" s="1478" t="e">
        <f>RIGHT(#REF!,1)</f>
        <v>#REF!</v>
      </c>
      <c r="D625" s="1426"/>
      <c r="E625" s="1539" t="s">
        <v>1464</v>
      </c>
      <c r="F625" s="1529"/>
      <c r="G625" s="1517" t="s">
        <v>2494</v>
      </c>
      <c r="H625" s="1501"/>
      <c r="I625" s="1414"/>
      <c r="J625" s="1540"/>
      <c r="K625" s="1416"/>
      <c r="L625" s="1430"/>
      <c r="M625" s="1429" t="s">
        <v>3263</v>
      </c>
      <c r="N625" s="1501">
        <v>2016</v>
      </c>
      <c r="O625" s="1414"/>
      <c r="P625" s="1414"/>
      <c r="Q625" s="1414"/>
      <c r="R625" s="1501" t="s">
        <v>12</v>
      </c>
      <c r="S625" s="1527">
        <v>198356308</v>
      </c>
      <c r="T625" s="1528"/>
      <c r="U625" s="1575"/>
      <c r="V625" s="1490"/>
      <c r="W625" s="1478" t="str">
        <f t="shared" si="207"/>
        <v>04.13.01</v>
      </c>
      <c r="X625" s="1478" t="str">
        <f t="shared" si="208"/>
        <v>Jalan</v>
      </c>
      <c r="Y625" s="1478">
        <f t="shared" si="209"/>
        <v>10</v>
      </c>
      <c r="Z625" s="1401">
        <f t="shared" si="203"/>
        <v>19835630.800000001</v>
      </c>
      <c r="AA625" s="1444">
        <f t="shared" si="204"/>
        <v>0</v>
      </c>
      <c r="AB625" s="1401">
        <f t="shared" si="205"/>
        <v>0</v>
      </c>
      <c r="AC625" s="1401">
        <v>0</v>
      </c>
      <c r="AD625" s="1401">
        <v>0</v>
      </c>
      <c r="AE625" s="1401">
        <f t="shared" si="196"/>
        <v>19835630.800000001</v>
      </c>
      <c r="AF625" s="1401">
        <f t="shared" si="197"/>
        <v>19835630.800000001</v>
      </c>
      <c r="AG625" s="1479">
        <f t="shared" si="198"/>
        <v>19835630.800000001</v>
      </c>
      <c r="AH625" s="1479">
        <f t="shared" si="199"/>
        <v>19835630.800000001</v>
      </c>
      <c r="AI625" s="1479">
        <f t="shared" si="206"/>
        <v>79342523.200000003</v>
      </c>
      <c r="AJ625" s="1401">
        <f t="shared" si="201"/>
        <v>119013784.8</v>
      </c>
    </row>
    <row r="626" spans="1:36" s="1390" customFormat="1" ht="34" customHeight="1" x14ac:dyDescent="0.2">
      <c r="A626" s="1390" t="s">
        <v>5252</v>
      </c>
      <c r="B626" s="1472" t="e">
        <f>VLOOKUP(A626,RUAS,2,FALSE)</f>
        <v>#N/A</v>
      </c>
      <c r="C626" s="1478" t="e">
        <f>RIGHT(#REF!,1)</f>
        <v>#REF!</v>
      </c>
      <c r="D626" s="1426"/>
      <c r="E626" s="1539" t="s">
        <v>3044</v>
      </c>
      <c r="F626" s="1529"/>
      <c r="G626" s="1517" t="s">
        <v>2494</v>
      </c>
      <c r="H626" s="1501"/>
      <c r="I626" s="1414"/>
      <c r="J626" s="1540"/>
      <c r="K626" s="1416"/>
      <c r="L626" s="1430"/>
      <c r="M626" s="1429" t="s">
        <v>3267</v>
      </c>
      <c r="N626" s="1501">
        <v>2017</v>
      </c>
      <c r="O626" s="1414"/>
      <c r="P626" s="1414"/>
      <c r="Q626" s="1414"/>
      <c r="R626" s="1501" t="s">
        <v>12</v>
      </c>
      <c r="S626" s="1527">
        <v>2279380200</v>
      </c>
      <c r="T626" s="1528"/>
      <c r="U626" s="1575"/>
      <c r="V626" s="1490"/>
      <c r="W626" s="1478" t="str">
        <f t="shared" si="207"/>
        <v>04.13.01</v>
      </c>
      <c r="X626" s="1478" t="str">
        <f t="shared" si="208"/>
        <v>Jalan</v>
      </c>
      <c r="Y626" s="1478">
        <f t="shared" si="209"/>
        <v>10</v>
      </c>
      <c r="Z626" s="1401">
        <f t="shared" si="203"/>
        <v>227938020</v>
      </c>
      <c r="AA626" s="1444">
        <f t="shared" si="204"/>
        <v>0</v>
      </c>
      <c r="AB626" s="1401">
        <f t="shared" si="205"/>
        <v>0</v>
      </c>
      <c r="AC626" s="1401">
        <v>0</v>
      </c>
      <c r="AD626" s="1401">
        <v>0</v>
      </c>
      <c r="AE626" s="1401">
        <v>0</v>
      </c>
      <c r="AF626" s="1401">
        <f>IF(S626=AC626+AD626+AE626+AB626,0,Z626)</f>
        <v>227938020</v>
      </c>
      <c r="AG626" s="1479">
        <f t="shared" si="198"/>
        <v>227938020</v>
      </c>
      <c r="AH626" s="1479">
        <f t="shared" si="199"/>
        <v>227938020</v>
      </c>
      <c r="AI626" s="1479">
        <f t="shared" si="206"/>
        <v>683814060</v>
      </c>
      <c r="AJ626" s="1401">
        <f t="shared" si="201"/>
        <v>1595566140</v>
      </c>
    </row>
    <row r="627" spans="1:36" s="1390" customFormat="1" ht="34" customHeight="1" x14ac:dyDescent="0.2">
      <c r="A627" s="1390" t="s">
        <v>5252</v>
      </c>
      <c r="B627" s="1472" t="s">
        <v>5689</v>
      </c>
      <c r="C627" s="1478" t="e">
        <f>RIGHT(#REF!,1)</f>
        <v>#REF!</v>
      </c>
      <c r="D627" s="1426"/>
      <c r="E627" s="1539" t="s">
        <v>5879</v>
      </c>
      <c r="F627" s="1529"/>
      <c r="G627" s="1501" t="s">
        <v>5690</v>
      </c>
      <c r="H627" s="1501"/>
      <c r="I627" s="1414"/>
      <c r="J627" s="1540">
        <v>65</v>
      </c>
      <c r="K627" s="1416">
        <v>5</v>
      </c>
      <c r="L627" s="1430">
        <f>J627*K627</f>
        <v>325</v>
      </c>
      <c r="M627" s="1429" t="s">
        <v>3268</v>
      </c>
      <c r="N627" s="1501">
        <v>2017</v>
      </c>
      <c r="O627" s="1414"/>
      <c r="P627" s="1414"/>
      <c r="Q627" s="1414"/>
      <c r="R627" s="1501" t="s">
        <v>12</v>
      </c>
      <c r="S627" s="1527">
        <f>240781700+F628</f>
        <v>709752468</v>
      </c>
      <c r="T627" s="1528"/>
      <c r="U627" s="1592" t="s">
        <v>5691</v>
      </c>
      <c r="V627" s="1490"/>
      <c r="W627" s="1478" t="str">
        <f t="shared" si="207"/>
        <v>04.13.01</v>
      </c>
      <c r="X627" s="1478" t="str">
        <f t="shared" si="208"/>
        <v>Jalan</v>
      </c>
      <c r="Y627" s="1478">
        <f t="shared" si="209"/>
        <v>10</v>
      </c>
      <c r="Z627" s="1401">
        <f t="shared" si="203"/>
        <v>70975246.799999997</v>
      </c>
      <c r="AA627" s="1444">
        <f>IF(2013-N627&gt;Y627,10,IF(2013-N627&lt;0,0,2013-N627))</f>
        <v>0</v>
      </c>
      <c r="AB627" s="1401">
        <v>0</v>
      </c>
      <c r="AC627" s="1479">
        <f>SUMIF(PERHITUNGAN!A:A,'KIB D'!B627&amp;'KIB D'!$AC$7,PERHITUNGAN!U:U)</f>
        <v>0</v>
      </c>
      <c r="AD627" s="1479">
        <f>SUMIF(PERHITUNGAN!A:A,'KIB D'!B627&amp;'KIB D'!$AD$7,PERHITUNGAN!U:U)</f>
        <v>0</v>
      </c>
      <c r="AE627" s="1479">
        <f>SUMIF(PERHITUNGAN!A:A,'KIB D'!B627&amp;'KIB D'!$AE$7,PERHITUNGAN!U:U)</f>
        <v>0</v>
      </c>
      <c r="AF627" s="1479">
        <f>SUMIF(PERHITUNGAN!A:A,'KIB D'!B627&amp;'KIB D'!$AF$7,PERHITUNGAN!U:U)</f>
        <v>24078170</v>
      </c>
      <c r="AG627" s="1479">
        <f>SUMIF(PERHITUNGAN!A:A,'KIB D'!B627&amp;'KIB D'!$AG$7,PERHITUNGAN!U:U)</f>
        <v>24078170</v>
      </c>
      <c r="AH627" s="1479">
        <f>SUMIF(PERHITUNGAN!A:A,'KIB D'!B627&amp;'KIB D'!$AH$7,PERHITUNGAN!U:U)</f>
        <v>66159612.799999997</v>
      </c>
      <c r="AI627" s="1479">
        <f t="shared" ref="AI627:AI650" si="210">SUM(AB627:AH627)</f>
        <v>114315952.8</v>
      </c>
      <c r="AJ627" s="1401">
        <f t="shared" si="201"/>
        <v>595436515.20000005</v>
      </c>
    </row>
    <row r="628" spans="1:36" s="1472" customFormat="1" ht="51" customHeight="1" x14ac:dyDescent="0.2">
      <c r="A628" s="1390" t="s">
        <v>5252</v>
      </c>
      <c r="B628" s="1472" t="s">
        <v>5689</v>
      </c>
      <c r="C628" s="1478"/>
      <c r="D628" s="1576"/>
      <c r="E628" s="1413" t="s">
        <v>5488</v>
      </c>
      <c r="F628" s="1539">
        <v>468970768</v>
      </c>
      <c r="G628" s="1416" t="s">
        <v>5690</v>
      </c>
      <c r="H628" s="1414"/>
      <c r="I628" s="1416"/>
      <c r="J628" s="1512">
        <v>65</v>
      </c>
      <c r="K628" s="1416">
        <v>5</v>
      </c>
      <c r="L628" s="1500">
        <f>J628*K628</f>
        <v>325</v>
      </c>
      <c r="M628" s="1429" t="s">
        <v>5678</v>
      </c>
      <c r="N628" s="1530">
        <v>2019</v>
      </c>
      <c r="O628" s="1429" t="s">
        <v>5489</v>
      </c>
      <c r="P628" s="1414" t="s">
        <v>433</v>
      </c>
      <c r="Q628" s="1414"/>
      <c r="R628" s="1501" t="s">
        <v>12</v>
      </c>
      <c r="S628" s="1529"/>
      <c r="T628" s="1528"/>
      <c r="U628" s="1575"/>
      <c r="V628" s="1490"/>
      <c r="W628" s="1478" t="str">
        <f t="shared" si="207"/>
        <v>04.13.01</v>
      </c>
      <c r="X628" s="1478" t="str">
        <f t="shared" si="208"/>
        <v>Jalan</v>
      </c>
      <c r="Y628" s="1478">
        <f t="shared" si="209"/>
        <v>10</v>
      </c>
      <c r="Z628" s="1401">
        <f t="shared" si="203"/>
        <v>0</v>
      </c>
      <c r="AA628" s="1444">
        <f t="shared" si="204"/>
        <v>0</v>
      </c>
      <c r="AB628" s="1401">
        <f t="shared" ref="AB628:AB661" si="211">IF(AA628&gt;Y628,S628,Z628*AA628)</f>
        <v>0</v>
      </c>
      <c r="AC628" s="1401">
        <v>0</v>
      </c>
      <c r="AD628" s="1401">
        <v>0</v>
      </c>
      <c r="AE628" s="1401">
        <v>0</v>
      </c>
      <c r="AF628" s="1401">
        <v>0</v>
      </c>
      <c r="AG628" s="1479">
        <v>0</v>
      </c>
      <c r="AH628" s="1479">
        <f t="shared" ref="AH628:AH655" si="212">IF(S628=AC628+AD628+AE628+AB628+AF628+AG628,0,Z628)</f>
        <v>0</v>
      </c>
      <c r="AI628" s="1479">
        <f t="shared" si="210"/>
        <v>0</v>
      </c>
      <c r="AJ628" s="1401">
        <f t="shared" ref="AJ628:AJ659" si="213">S628-AI628</f>
        <v>0</v>
      </c>
    </row>
    <row r="629" spans="1:36" s="1390" customFormat="1" ht="33" customHeight="1" x14ac:dyDescent="0.2">
      <c r="A629" s="1390" t="s">
        <v>5252</v>
      </c>
      <c r="B629" s="1472" t="e">
        <f t="shared" ref="B629:B665" si="214">VLOOKUP(A629,RUAS,2,FALSE)</f>
        <v>#N/A</v>
      </c>
      <c r="C629" s="1478" t="e">
        <f>RIGHT(#REF!,1)</f>
        <v>#REF!</v>
      </c>
      <c r="D629" s="1426"/>
      <c r="E629" s="1539" t="s">
        <v>3047</v>
      </c>
      <c r="F629" s="1529"/>
      <c r="G629" s="1517" t="s">
        <v>2494</v>
      </c>
      <c r="H629" s="1501"/>
      <c r="I629" s="1414"/>
      <c r="J629" s="1540"/>
      <c r="K629" s="1416"/>
      <c r="L629" s="1430"/>
      <c r="M629" s="1429" t="s">
        <v>3270</v>
      </c>
      <c r="N629" s="1501">
        <v>2017</v>
      </c>
      <c r="O629" s="1414"/>
      <c r="P629" s="1414"/>
      <c r="Q629" s="1414"/>
      <c r="R629" s="1501" t="s">
        <v>12</v>
      </c>
      <c r="S629" s="1527">
        <v>191876653</v>
      </c>
      <c r="T629" s="1528"/>
      <c r="U629" s="1575"/>
      <c r="V629" s="1490"/>
      <c r="W629" s="1478" t="str">
        <f t="shared" si="207"/>
        <v>04.13.01</v>
      </c>
      <c r="X629" s="1478" t="str">
        <f t="shared" si="208"/>
        <v>Jalan</v>
      </c>
      <c r="Y629" s="1478">
        <f t="shared" si="209"/>
        <v>10</v>
      </c>
      <c r="Z629" s="1401">
        <f t="shared" si="203"/>
        <v>19187665.300000001</v>
      </c>
      <c r="AA629" s="1444">
        <f t="shared" si="204"/>
        <v>0</v>
      </c>
      <c r="AB629" s="1401">
        <f t="shared" si="211"/>
        <v>0</v>
      </c>
      <c r="AC629" s="1401">
        <v>0</v>
      </c>
      <c r="AD629" s="1401">
        <v>0</v>
      </c>
      <c r="AE629" s="1401">
        <v>0</v>
      </c>
      <c r="AF629" s="1401">
        <f t="shared" ref="AF629:AF645" si="215">IF(S629=AC629+AD629+AE629+AB629,0,Z629)</f>
        <v>19187665.300000001</v>
      </c>
      <c r="AG629" s="1479">
        <f t="shared" ref="AG629:AG650" si="216">IF(S629=AC629+AD629+AE629+AB629+AF629,0,Z629)</f>
        <v>19187665.300000001</v>
      </c>
      <c r="AH629" s="1479">
        <f t="shared" si="212"/>
        <v>19187665.300000001</v>
      </c>
      <c r="AI629" s="1479">
        <f t="shared" si="210"/>
        <v>57562995.900000006</v>
      </c>
      <c r="AJ629" s="1401">
        <f t="shared" si="213"/>
        <v>134313657.09999999</v>
      </c>
    </row>
    <row r="630" spans="1:36" s="1472" customFormat="1" ht="33" customHeight="1" x14ac:dyDescent="0.2">
      <c r="A630" s="1390" t="s">
        <v>5252</v>
      </c>
      <c r="B630" s="1472" t="e">
        <f t="shared" si="214"/>
        <v>#N/A</v>
      </c>
      <c r="C630" s="1478" t="e">
        <f>RIGHT(#REF!,1)</f>
        <v>#REF!</v>
      </c>
      <c r="D630" s="1576"/>
      <c r="E630" s="1539" t="s">
        <v>3049</v>
      </c>
      <c r="F630" s="1529"/>
      <c r="G630" s="1517" t="s">
        <v>2494</v>
      </c>
      <c r="H630" s="1501"/>
      <c r="I630" s="1414"/>
      <c r="J630" s="1540"/>
      <c r="K630" s="1416"/>
      <c r="L630" s="1430"/>
      <c r="M630" s="1429" t="s">
        <v>3271</v>
      </c>
      <c r="N630" s="1501">
        <v>2017</v>
      </c>
      <c r="O630" s="1414"/>
      <c r="P630" s="1414"/>
      <c r="Q630" s="1414"/>
      <c r="R630" s="1501" t="s">
        <v>12</v>
      </c>
      <c r="S630" s="1527">
        <v>190848000</v>
      </c>
      <c r="T630" s="1528"/>
      <c r="U630" s="1575"/>
      <c r="V630" s="1490"/>
      <c r="W630" s="1478" t="str">
        <f t="shared" si="207"/>
        <v>04.13.01</v>
      </c>
      <c r="X630" s="1478" t="str">
        <f t="shared" si="208"/>
        <v>Jalan</v>
      </c>
      <c r="Y630" s="1478">
        <f t="shared" si="209"/>
        <v>10</v>
      </c>
      <c r="Z630" s="1401">
        <f t="shared" si="203"/>
        <v>19084800</v>
      </c>
      <c r="AA630" s="1444">
        <f t="shared" si="204"/>
        <v>0</v>
      </c>
      <c r="AB630" s="1401">
        <f t="shared" si="211"/>
        <v>0</v>
      </c>
      <c r="AC630" s="1401">
        <v>0</v>
      </c>
      <c r="AD630" s="1401">
        <v>0</v>
      </c>
      <c r="AE630" s="1401">
        <v>0</v>
      </c>
      <c r="AF630" s="1401">
        <f t="shared" si="215"/>
        <v>19084800</v>
      </c>
      <c r="AG630" s="1479">
        <f t="shared" si="216"/>
        <v>19084800</v>
      </c>
      <c r="AH630" s="1479">
        <f t="shared" si="212"/>
        <v>19084800</v>
      </c>
      <c r="AI630" s="1479">
        <f t="shared" si="210"/>
        <v>57254400</v>
      </c>
      <c r="AJ630" s="1401">
        <f t="shared" si="213"/>
        <v>133593600</v>
      </c>
    </row>
    <row r="631" spans="1:36" s="1472" customFormat="1" ht="33" customHeight="1" x14ac:dyDescent="0.2">
      <c r="A631" s="1390" t="s">
        <v>5252</v>
      </c>
      <c r="B631" s="1472" t="e">
        <f t="shared" si="214"/>
        <v>#N/A</v>
      </c>
      <c r="C631" s="1478" t="e">
        <f>RIGHT(#REF!,1)</f>
        <v>#REF!</v>
      </c>
      <c r="D631" s="1576"/>
      <c r="E631" s="1539" t="s">
        <v>3050</v>
      </c>
      <c r="F631" s="1529"/>
      <c r="G631" s="1517" t="s">
        <v>2494</v>
      </c>
      <c r="H631" s="1501"/>
      <c r="I631" s="1414"/>
      <c r="J631" s="1540"/>
      <c r="K631" s="1416"/>
      <c r="L631" s="1430"/>
      <c r="M631" s="1429" t="s">
        <v>3272</v>
      </c>
      <c r="N631" s="1501">
        <v>2017</v>
      </c>
      <c r="O631" s="1414"/>
      <c r="P631" s="1414"/>
      <c r="Q631" s="1414"/>
      <c r="R631" s="1501" t="s">
        <v>12</v>
      </c>
      <c r="S631" s="1527">
        <v>190661000</v>
      </c>
      <c r="T631" s="1528"/>
      <c r="U631" s="1575"/>
      <c r="V631" s="1490"/>
      <c r="W631" s="1478" t="str">
        <f t="shared" si="207"/>
        <v>04.13.01</v>
      </c>
      <c r="X631" s="1478" t="str">
        <f t="shared" si="208"/>
        <v>Jalan</v>
      </c>
      <c r="Y631" s="1478">
        <f t="shared" si="209"/>
        <v>10</v>
      </c>
      <c r="Z631" s="1401">
        <f t="shared" si="203"/>
        <v>19066100</v>
      </c>
      <c r="AA631" s="1444">
        <f t="shared" si="204"/>
        <v>0</v>
      </c>
      <c r="AB631" s="1401">
        <f t="shared" si="211"/>
        <v>0</v>
      </c>
      <c r="AC631" s="1401">
        <v>0</v>
      </c>
      <c r="AD631" s="1401">
        <v>0</v>
      </c>
      <c r="AE631" s="1401">
        <v>0</v>
      </c>
      <c r="AF631" s="1401">
        <f t="shared" si="215"/>
        <v>19066100</v>
      </c>
      <c r="AG631" s="1479">
        <f t="shared" si="216"/>
        <v>19066100</v>
      </c>
      <c r="AH631" s="1479">
        <f t="shared" si="212"/>
        <v>19066100</v>
      </c>
      <c r="AI631" s="1479">
        <f t="shared" si="210"/>
        <v>57198300</v>
      </c>
      <c r="AJ631" s="1401">
        <f t="shared" si="213"/>
        <v>133462700</v>
      </c>
    </row>
    <row r="632" spans="1:36" s="1472" customFormat="1" ht="33" customHeight="1" x14ac:dyDescent="0.2">
      <c r="A632" s="1390" t="s">
        <v>5252</v>
      </c>
      <c r="B632" s="1472" t="e">
        <f t="shared" si="214"/>
        <v>#N/A</v>
      </c>
      <c r="C632" s="1478" t="e">
        <f>RIGHT(#REF!,1)</f>
        <v>#REF!</v>
      </c>
      <c r="D632" s="1576"/>
      <c r="E632" s="1539" t="s">
        <v>3052</v>
      </c>
      <c r="F632" s="1529"/>
      <c r="G632" s="1517" t="s">
        <v>2494</v>
      </c>
      <c r="H632" s="1501"/>
      <c r="I632" s="1414"/>
      <c r="J632" s="1540"/>
      <c r="K632" s="1416"/>
      <c r="L632" s="1430"/>
      <c r="M632" s="1429" t="s">
        <v>3274</v>
      </c>
      <c r="N632" s="1501">
        <v>2017</v>
      </c>
      <c r="O632" s="1414"/>
      <c r="P632" s="1414"/>
      <c r="Q632" s="1414"/>
      <c r="R632" s="1501" t="s">
        <v>12</v>
      </c>
      <c r="S632" s="1527">
        <v>190002000</v>
      </c>
      <c r="T632" s="1528"/>
      <c r="U632" s="1575"/>
      <c r="V632" s="1490"/>
      <c r="W632" s="1478" t="str">
        <f t="shared" si="207"/>
        <v>04.13.01</v>
      </c>
      <c r="X632" s="1478" t="str">
        <f t="shared" si="208"/>
        <v>Jalan</v>
      </c>
      <c r="Y632" s="1478">
        <f t="shared" si="209"/>
        <v>10</v>
      </c>
      <c r="Z632" s="1401">
        <f t="shared" si="203"/>
        <v>19000200</v>
      </c>
      <c r="AA632" s="1444">
        <f t="shared" si="204"/>
        <v>0</v>
      </c>
      <c r="AB632" s="1401">
        <f t="shared" si="211"/>
        <v>0</v>
      </c>
      <c r="AC632" s="1401">
        <v>0</v>
      </c>
      <c r="AD632" s="1401">
        <v>0</v>
      </c>
      <c r="AE632" s="1401">
        <v>0</v>
      </c>
      <c r="AF632" s="1401">
        <f t="shared" si="215"/>
        <v>19000200</v>
      </c>
      <c r="AG632" s="1479">
        <f t="shared" si="216"/>
        <v>19000200</v>
      </c>
      <c r="AH632" s="1479">
        <f t="shared" si="212"/>
        <v>19000200</v>
      </c>
      <c r="AI632" s="1479">
        <f t="shared" si="210"/>
        <v>57000600</v>
      </c>
      <c r="AJ632" s="1401">
        <f t="shared" si="213"/>
        <v>133001400</v>
      </c>
    </row>
    <row r="633" spans="1:36" s="1472" customFormat="1" ht="33" customHeight="1" x14ac:dyDescent="0.2">
      <c r="A633" s="1390" t="s">
        <v>5252</v>
      </c>
      <c r="B633" s="1472" t="e">
        <f t="shared" si="214"/>
        <v>#N/A</v>
      </c>
      <c r="C633" s="1478" t="e">
        <f>RIGHT(#REF!,1)</f>
        <v>#REF!</v>
      </c>
      <c r="D633" s="1576"/>
      <c r="E633" s="1562" t="s">
        <v>2502</v>
      </c>
      <c r="F633" s="1529"/>
      <c r="G633" s="1517" t="s">
        <v>2494</v>
      </c>
      <c r="H633" s="1501"/>
      <c r="I633" s="1414"/>
      <c r="J633" s="1540"/>
      <c r="K633" s="1416"/>
      <c r="L633" s="1430"/>
      <c r="M633" s="1429" t="s">
        <v>2564</v>
      </c>
      <c r="N633" s="1501">
        <v>2017</v>
      </c>
      <c r="O633" s="1414"/>
      <c r="P633" s="1414"/>
      <c r="Q633" s="1414"/>
      <c r="R633" s="1501" t="s">
        <v>12</v>
      </c>
      <c r="S633" s="1527">
        <v>180541000</v>
      </c>
      <c r="T633" s="1528"/>
      <c r="U633" s="1575"/>
      <c r="V633" s="1490"/>
      <c r="W633" s="1478" t="str">
        <f t="shared" si="207"/>
        <v>04.13.01</v>
      </c>
      <c r="X633" s="1478" t="str">
        <f t="shared" si="208"/>
        <v>Jalan</v>
      </c>
      <c r="Y633" s="1478">
        <f t="shared" si="209"/>
        <v>10</v>
      </c>
      <c r="Z633" s="1401">
        <f t="shared" si="203"/>
        <v>18054100</v>
      </c>
      <c r="AA633" s="1444">
        <f t="shared" si="204"/>
        <v>0</v>
      </c>
      <c r="AB633" s="1401">
        <f t="shared" si="211"/>
        <v>0</v>
      </c>
      <c r="AC633" s="1401">
        <v>0</v>
      </c>
      <c r="AD633" s="1401">
        <v>0</v>
      </c>
      <c r="AE633" s="1401">
        <v>0</v>
      </c>
      <c r="AF633" s="1401">
        <f t="shared" si="215"/>
        <v>18054100</v>
      </c>
      <c r="AG633" s="1479">
        <f t="shared" si="216"/>
        <v>18054100</v>
      </c>
      <c r="AH633" s="1479">
        <f t="shared" si="212"/>
        <v>18054100</v>
      </c>
      <c r="AI633" s="1479">
        <f t="shared" si="210"/>
        <v>54162300</v>
      </c>
      <c r="AJ633" s="1401">
        <f t="shared" si="213"/>
        <v>126378700</v>
      </c>
    </row>
    <row r="634" spans="1:36" s="1472" customFormat="1" ht="33" customHeight="1" x14ac:dyDescent="0.2">
      <c r="A634" s="1390" t="s">
        <v>5252</v>
      </c>
      <c r="B634" s="1472" t="e">
        <f t="shared" si="214"/>
        <v>#N/A</v>
      </c>
      <c r="C634" s="1478" t="e">
        <f>RIGHT(#REF!,1)</f>
        <v>#REF!</v>
      </c>
      <c r="D634" s="1576"/>
      <c r="E634" s="1413" t="s">
        <v>3055</v>
      </c>
      <c r="F634" s="1539"/>
      <c r="G634" s="1517" t="s">
        <v>2494</v>
      </c>
      <c r="H634" s="1414"/>
      <c r="I634" s="1416"/>
      <c r="J634" s="1512"/>
      <c r="K634" s="1416"/>
      <c r="L634" s="1500"/>
      <c r="M634" s="1429" t="s">
        <v>3276</v>
      </c>
      <c r="N634" s="1416">
        <v>2017</v>
      </c>
      <c r="O634" s="1414"/>
      <c r="P634" s="1414"/>
      <c r="Q634" s="1414"/>
      <c r="R634" s="1501" t="s">
        <v>12</v>
      </c>
      <c r="S634" s="1529">
        <v>1826207613.623291</v>
      </c>
      <c r="T634" s="1528"/>
      <c r="U634" s="1575"/>
      <c r="V634" s="1490"/>
      <c r="W634" s="1478" t="str">
        <f t="shared" si="207"/>
        <v>04.13.01</v>
      </c>
      <c r="X634" s="1478" t="str">
        <f t="shared" si="208"/>
        <v>Jalan</v>
      </c>
      <c r="Y634" s="1478">
        <f t="shared" si="209"/>
        <v>10</v>
      </c>
      <c r="Z634" s="1401">
        <f t="shared" si="203"/>
        <v>182620761.3623291</v>
      </c>
      <c r="AA634" s="1444">
        <f t="shared" si="204"/>
        <v>0</v>
      </c>
      <c r="AB634" s="1401">
        <f t="shared" si="211"/>
        <v>0</v>
      </c>
      <c r="AC634" s="1401">
        <v>0</v>
      </c>
      <c r="AD634" s="1401">
        <v>0</v>
      </c>
      <c r="AE634" s="1401">
        <v>0</v>
      </c>
      <c r="AF634" s="1401">
        <f t="shared" si="215"/>
        <v>182620761.3623291</v>
      </c>
      <c r="AG634" s="1479">
        <f t="shared" si="216"/>
        <v>182620761.3623291</v>
      </c>
      <c r="AH634" s="1479">
        <f t="shared" si="212"/>
        <v>182620761.3623291</v>
      </c>
      <c r="AI634" s="1479">
        <f t="shared" si="210"/>
        <v>547862284.08698726</v>
      </c>
      <c r="AJ634" s="1401">
        <f t="shared" si="213"/>
        <v>1278345329.5363038</v>
      </c>
    </row>
    <row r="635" spans="1:36" s="1472" customFormat="1" ht="33" customHeight="1" x14ac:dyDescent="0.2">
      <c r="A635" s="1390" t="s">
        <v>5252</v>
      </c>
      <c r="B635" s="1472" t="e">
        <f t="shared" si="214"/>
        <v>#N/A</v>
      </c>
      <c r="C635" s="1478" t="e">
        <f>RIGHT(#REF!,1)</f>
        <v>#REF!</v>
      </c>
      <c r="D635" s="1576"/>
      <c r="E635" s="1413" t="s">
        <v>3056</v>
      </c>
      <c r="F635" s="1539"/>
      <c r="G635" s="1517" t="s">
        <v>2494</v>
      </c>
      <c r="H635" s="1414"/>
      <c r="I635" s="1416"/>
      <c r="J635" s="1512"/>
      <c r="K635" s="1416"/>
      <c r="L635" s="1500"/>
      <c r="M635" s="1429" t="s">
        <v>3277</v>
      </c>
      <c r="N635" s="1416">
        <v>2017</v>
      </c>
      <c r="O635" s="1414"/>
      <c r="P635" s="1414"/>
      <c r="Q635" s="1414"/>
      <c r="R635" s="1501" t="s">
        <v>12</v>
      </c>
      <c r="S635" s="1529">
        <v>190204148</v>
      </c>
      <c r="T635" s="1528"/>
      <c r="U635" s="1575"/>
      <c r="V635" s="1490"/>
      <c r="W635" s="1478" t="str">
        <f t="shared" si="207"/>
        <v>04.13.01</v>
      </c>
      <c r="X635" s="1478" t="str">
        <f t="shared" si="208"/>
        <v>Jalan</v>
      </c>
      <c r="Y635" s="1478">
        <f t="shared" si="209"/>
        <v>10</v>
      </c>
      <c r="Z635" s="1401">
        <f t="shared" si="203"/>
        <v>19020414.800000001</v>
      </c>
      <c r="AA635" s="1444">
        <f t="shared" si="204"/>
        <v>0</v>
      </c>
      <c r="AB635" s="1401">
        <f t="shared" si="211"/>
        <v>0</v>
      </c>
      <c r="AC635" s="1401">
        <v>0</v>
      </c>
      <c r="AD635" s="1401">
        <v>0</v>
      </c>
      <c r="AE635" s="1401">
        <v>0</v>
      </c>
      <c r="AF635" s="1401">
        <f t="shared" si="215"/>
        <v>19020414.800000001</v>
      </c>
      <c r="AG635" s="1479">
        <f t="shared" si="216"/>
        <v>19020414.800000001</v>
      </c>
      <c r="AH635" s="1479">
        <f t="shared" si="212"/>
        <v>19020414.800000001</v>
      </c>
      <c r="AI635" s="1479">
        <f t="shared" si="210"/>
        <v>57061244.400000006</v>
      </c>
      <c r="AJ635" s="1401">
        <f t="shared" si="213"/>
        <v>133142903.59999999</v>
      </c>
    </row>
    <row r="636" spans="1:36" s="1472" customFormat="1" ht="33" customHeight="1" x14ac:dyDescent="0.2">
      <c r="A636" s="1390" t="s">
        <v>5252</v>
      </c>
      <c r="B636" s="1472" t="e">
        <f t="shared" si="214"/>
        <v>#N/A</v>
      </c>
      <c r="C636" s="1478" t="e">
        <f>RIGHT(#REF!,1)</f>
        <v>#REF!</v>
      </c>
      <c r="D636" s="1576"/>
      <c r="E636" s="1413" t="s">
        <v>3057</v>
      </c>
      <c r="F636" s="1539"/>
      <c r="G636" s="1517" t="s">
        <v>2494</v>
      </c>
      <c r="H636" s="1414"/>
      <c r="I636" s="1416"/>
      <c r="J636" s="1512"/>
      <c r="K636" s="1416"/>
      <c r="L636" s="1500"/>
      <c r="M636" s="1429" t="s">
        <v>3278</v>
      </c>
      <c r="N636" s="1416">
        <v>2017</v>
      </c>
      <c r="O636" s="1414"/>
      <c r="P636" s="1414"/>
      <c r="Q636" s="1414"/>
      <c r="R636" s="1501" t="s">
        <v>12</v>
      </c>
      <c r="S636" s="1529">
        <v>190111000</v>
      </c>
      <c r="T636" s="1528"/>
      <c r="U636" s="1575"/>
      <c r="V636" s="1490"/>
      <c r="W636" s="1478" t="str">
        <f t="shared" si="207"/>
        <v>04.13.01</v>
      </c>
      <c r="X636" s="1478" t="str">
        <f t="shared" si="208"/>
        <v>Jalan</v>
      </c>
      <c r="Y636" s="1478">
        <f t="shared" si="209"/>
        <v>10</v>
      </c>
      <c r="Z636" s="1401">
        <f t="shared" si="203"/>
        <v>19011100</v>
      </c>
      <c r="AA636" s="1444">
        <f t="shared" si="204"/>
        <v>0</v>
      </c>
      <c r="AB636" s="1401">
        <f t="shared" si="211"/>
        <v>0</v>
      </c>
      <c r="AC636" s="1401">
        <v>0</v>
      </c>
      <c r="AD636" s="1401">
        <v>0</v>
      </c>
      <c r="AE636" s="1401">
        <v>0</v>
      </c>
      <c r="AF636" s="1401">
        <f t="shared" si="215"/>
        <v>19011100</v>
      </c>
      <c r="AG636" s="1479">
        <f t="shared" si="216"/>
        <v>19011100</v>
      </c>
      <c r="AH636" s="1479">
        <f t="shared" si="212"/>
        <v>19011100</v>
      </c>
      <c r="AI636" s="1479">
        <f t="shared" si="210"/>
        <v>57033300</v>
      </c>
      <c r="AJ636" s="1401">
        <f t="shared" si="213"/>
        <v>133077700</v>
      </c>
    </row>
    <row r="637" spans="1:36" s="1472" customFormat="1" ht="33" customHeight="1" x14ac:dyDescent="0.2">
      <c r="A637" s="1390" t="s">
        <v>5252</v>
      </c>
      <c r="B637" s="1472" t="e">
        <f t="shared" si="214"/>
        <v>#N/A</v>
      </c>
      <c r="C637" s="1478" t="e">
        <f>RIGHT(#REF!,1)</f>
        <v>#REF!</v>
      </c>
      <c r="D637" s="1576"/>
      <c r="E637" s="1413" t="s">
        <v>3059</v>
      </c>
      <c r="F637" s="1539"/>
      <c r="G637" s="1517" t="s">
        <v>2494</v>
      </c>
      <c r="H637" s="1414"/>
      <c r="I637" s="1416"/>
      <c r="J637" s="1512"/>
      <c r="K637" s="1416"/>
      <c r="L637" s="1500"/>
      <c r="M637" s="1429" t="s">
        <v>3279</v>
      </c>
      <c r="N637" s="1416">
        <v>2017</v>
      </c>
      <c r="O637" s="1414"/>
      <c r="P637" s="1414"/>
      <c r="Q637" s="1414"/>
      <c r="R637" s="1501" t="s">
        <v>12</v>
      </c>
      <c r="S637" s="1529">
        <v>191284600</v>
      </c>
      <c r="T637" s="1528"/>
      <c r="U637" s="1575"/>
      <c r="V637" s="1490"/>
      <c r="W637" s="1478" t="str">
        <f t="shared" si="207"/>
        <v>04.13.01</v>
      </c>
      <c r="X637" s="1478" t="str">
        <f t="shared" si="208"/>
        <v>Jalan</v>
      </c>
      <c r="Y637" s="1478">
        <f t="shared" si="209"/>
        <v>10</v>
      </c>
      <c r="Z637" s="1401">
        <f t="shared" si="203"/>
        <v>19128460</v>
      </c>
      <c r="AA637" s="1444">
        <f t="shared" si="204"/>
        <v>0</v>
      </c>
      <c r="AB637" s="1401">
        <f t="shared" si="211"/>
        <v>0</v>
      </c>
      <c r="AC637" s="1401">
        <v>0</v>
      </c>
      <c r="AD637" s="1401">
        <v>0</v>
      </c>
      <c r="AE637" s="1401">
        <v>0</v>
      </c>
      <c r="AF637" s="1401">
        <f t="shared" si="215"/>
        <v>19128460</v>
      </c>
      <c r="AG637" s="1479">
        <f t="shared" si="216"/>
        <v>19128460</v>
      </c>
      <c r="AH637" s="1479">
        <f t="shared" si="212"/>
        <v>19128460</v>
      </c>
      <c r="AI637" s="1479">
        <f t="shared" si="210"/>
        <v>57385380</v>
      </c>
      <c r="AJ637" s="1401">
        <f t="shared" si="213"/>
        <v>133899220</v>
      </c>
    </row>
    <row r="638" spans="1:36" s="1472" customFormat="1" ht="33" customHeight="1" x14ac:dyDescent="0.2">
      <c r="A638" s="1390" t="s">
        <v>5252</v>
      </c>
      <c r="B638" s="1472" t="e">
        <f t="shared" si="214"/>
        <v>#N/A</v>
      </c>
      <c r="C638" s="1478" t="e">
        <f>RIGHT(#REF!,1)</f>
        <v>#REF!</v>
      </c>
      <c r="D638" s="1576"/>
      <c r="E638" s="1413" t="s">
        <v>2507</v>
      </c>
      <c r="F638" s="1539"/>
      <c r="G638" s="1517" t="s">
        <v>2494</v>
      </c>
      <c r="H638" s="1414"/>
      <c r="I638" s="1416"/>
      <c r="J638" s="1512"/>
      <c r="K638" s="1416"/>
      <c r="L638" s="1500"/>
      <c r="M638" s="1429" t="s">
        <v>2569</v>
      </c>
      <c r="N638" s="1416">
        <v>2017</v>
      </c>
      <c r="O638" s="1414"/>
      <c r="P638" s="1414"/>
      <c r="Q638" s="1414"/>
      <c r="R638" s="1501" t="s">
        <v>12</v>
      </c>
      <c r="S638" s="1529">
        <v>190132000</v>
      </c>
      <c r="T638" s="1528"/>
      <c r="U638" s="1575"/>
      <c r="V638" s="1490"/>
      <c r="W638" s="1478" t="str">
        <f t="shared" si="207"/>
        <v>04.13.01</v>
      </c>
      <c r="X638" s="1478" t="str">
        <f t="shared" si="208"/>
        <v>Jalan</v>
      </c>
      <c r="Y638" s="1478">
        <f t="shared" si="209"/>
        <v>10</v>
      </c>
      <c r="Z638" s="1401">
        <f t="shared" si="203"/>
        <v>19013200</v>
      </c>
      <c r="AA638" s="1444">
        <f t="shared" si="204"/>
        <v>0</v>
      </c>
      <c r="AB638" s="1401">
        <f t="shared" si="211"/>
        <v>0</v>
      </c>
      <c r="AC638" s="1401">
        <v>0</v>
      </c>
      <c r="AD638" s="1401">
        <v>0</v>
      </c>
      <c r="AE638" s="1401">
        <v>0</v>
      </c>
      <c r="AF638" s="1401">
        <f t="shared" si="215"/>
        <v>19013200</v>
      </c>
      <c r="AG638" s="1479">
        <f t="shared" si="216"/>
        <v>19013200</v>
      </c>
      <c r="AH638" s="1479">
        <f t="shared" si="212"/>
        <v>19013200</v>
      </c>
      <c r="AI638" s="1479">
        <f t="shared" si="210"/>
        <v>57039600</v>
      </c>
      <c r="AJ638" s="1401">
        <f t="shared" si="213"/>
        <v>133092400</v>
      </c>
    </row>
    <row r="639" spans="1:36" s="1472" customFormat="1" ht="33" customHeight="1" x14ac:dyDescent="0.2">
      <c r="A639" s="1390" t="s">
        <v>5252</v>
      </c>
      <c r="B639" s="1472" t="e">
        <f t="shared" si="214"/>
        <v>#N/A</v>
      </c>
      <c r="C639" s="1478" t="e">
        <f>RIGHT(#REF!,1)</f>
        <v>#REF!</v>
      </c>
      <c r="D639" s="1576"/>
      <c r="E639" s="1413" t="s">
        <v>3061</v>
      </c>
      <c r="F639" s="1539"/>
      <c r="G639" s="1517" t="s">
        <v>2494</v>
      </c>
      <c r="H639" s="1414"/>
      <c r="I639" s="1416"/>
      <c r="J639" s="1512"/>
      <c r="K639" s="1416"/>
      <c r="L639" s="1500"/>
      <c r="M639" s="1429" t="s">
        <v>2571</v>
      </c>
      <c r="N639" s="1416">
        <v>2017</v>
      </c>
      <c r="O639" s="1414"/>
      <c r="P639" s="1414"/>
      <c r="Q639" s="1414"/>
      <c r="R639" s="1501" t="s">
        <v>12</v>
      </c>
      <c r="S639" s="1529">
        <v>629019200</v>
      </c>
      <c r="T639" s="1528"/>
      <c r="U639" s="1575"/>
      <c r="V639" s="1490"/>
      <c r="W639" s="1478" t="str">
        <f t="shared" si="207"/>
        <v>04.13.01</v>
      </c>
      <c r="X639" s="1478" t="str">
        <f t="shared" si="208"/>
        <v>Jalan</v>
      </c>
      <c r="Y639" s="1478">
        <f t="shared" si="209"/>
        <v>10</v>
      </c>
      <c r="Z639" s="1401">
        <f t="shared" si="203"/>
        <v>62901920</v>
      </c>
      <c r="AA639" s="1444">
        <f t="shared" si="204"/>
        <v>0</v>
      </c>
      <c r="AB639" s="1401">
        <f t="shared" si="211"/>
        <v>0</v>
      </c>
      <c r="AC639" s="1401">
        <v>0</v>
      </c>
      <c r="AD639" s="1401">
        <v>0</v>
      </c>
      <c r="AE639" s="1401">
        <v>0</v>
      </c>
      <c r="AF639" s="1401">
        <f t="shared" si="215"/>
        <v>62901920</v>
      </c>
      <c r="AG639" s="1479">
        <f t="shared" si="216"/>
        <v>62901920</v>
      </c>
      <c r="AH639" s="1479">
        <f t="shared" si="212"/>
        <v>62901920</v>
      </c>
      <c r="AI639" s="1479">
        <f t="shared" si="210"/>
        <v>188705760</v>
      </c>
      <c r="AJ639" s="1401">
        <f t="shared" si="213"/>
        <v>440313440</v>
      </c>
    </row>
    <row r="640" spans="1:36" s="1472" customFormat="1" ht="33" customHeight="1" x14ac:dyDescent="0.2">
      <c r="A640" s="1390" t="s">
        <v>5252</v>
      </c>
      <c r="B640" s="1472" t="e">
        <f t="shared" si="214"/>
        <v>#N/A</v>
      </c>
      <c r="C640" s="1478" t="e">
        <f>RIGHT(#REF!,1)</f>
        <v>#REF!</v>
      </c>
      <c r="D640" s="1576"/>
      <c r="E640" s="1413" t="s">
        <v>3064</v>
      </c>
      <c r="F640" s="1539"/>
      <c r="G640" s="1517" t="s">
        <v>2494</v>
      </c>
      <c r="H640" s="1414"/>
      <c r="I640" s="1416"/>
      <c r="J640" s="1512"/>
      <c r="K640" s="1416"/>
      <c r="L640" s="1500"/>
      <c r="M640" s="1429" t="s">
        <v>3282</v>
      </c>
      <c r="N640" s="1416">
        <v>2017</v>
      </c>
      <c r="O640" s="1414"/>
      <c r="P640" s="1414"/>
      <c r="Q640" s="1414"/>
      <c r="R640" s="1501" t="s">
        <v>12</v>
      </c>
      <c r="S640" s="1529">
        <v>147108400.29000002</v>
      </c>
      <c r="T640" s="1528"/>
      <c r="U640" s="1575"/>
      <c r="V640" s="1490"/>
      <c r="W640" s="1478" t="str">
        <f t="shared" si="207"/>
        <v>04.13.01</v>
      </c>
      <c r="X640" s="1478" t="str">
        <f t="shared" si="208"/>
        <v>Jalan</v>
      </c>
      <c r="Y640" s="1478">
        <f t="shared" si="209"/>
        <v>10</v>
      </c>
      <c r="Z640" s="1401">
        <f t="shared" ref="Z640:Z666" si="217">S640/Y640</f>
        <v>14710840.029000003</v>
      </c>
      <c r="AA640" s="1444">
        <f t="shared" ref="AA640:AA666" si="218">IF(2013-N640+1&gt;Y640,Y640,IF(2013-N640+1&lt;0,0,2013-N640+1))</f>
        <v>0</v>
      </c>
      <c r="AB640" s="1401">
        <f t="shared" si="211"/>
        <v>0</v>
      </c>
      <c r="AC640" s="1401">
        <v>0</v>
      </c>
      <c r="AD640" s="1401">
        <v>0</v>
      </c>
      <c r="AE640" s="1401">
        <v>0</v>
      </c>
      <c r="AF640" s="1401">
        <f t="shared" si="215"/>
        <v>14710840.029000003</v>
      </c>
      <c r="AG640" s="1479">
        <f t="shared" si="216"/>
        <v>14710840.029000003</v>
      </c>
      <c r="AH640" s="1479">
        <f t="shared" si="212"/>
        <v>14710840.029000003</v>
      </c>
      <c r="AI640" s="1479">
        <f t="shared" si="210"/>
        <v>44132520.087000012</v>
      </c>
      <c r="AJ640" s="1401">
        <f t="shared" si="213"/>
        <v>102975880.20300001</v>
      </c>
    </row>
    <row r="641" spans="1:36" s="1472" customFormat="1" ht="33" customHeight="1" x14ac:dyDescent="0.2">
      <c r="A641" s="1390" t="s">
        <v>5252</v>
      </c>
      <c r="B641" s="1472" t="e">
        <f t="shared" si="214"/>
        <v>#N/A</v>
      </c>
      <c r="C641" s="1478" t="e">
        <f>RIGHT(#REF!,1)</f>
        <v>#REF!</v>
      </c>
      <c r="D641" s="1576"/>
      <c r="E641" s="1413" t="s">
        <v>3065</v>
      </c>
      <c r="F641" s="1539"/>
      <c r="G641" s="1517" t="s">
        <v>2494</v>
      </c>
      <c r="H641" s="1414"/>
      <c r="I641" s="1416"/>
      <c r="J641" s="1512"/>
      <c r="K641" s="1416"/>
      <c r="L641" s="1500"/>
      <c r="M641" s="1429" t="s">
        <v>3283</v>
      </c>
      <c r="N641" s="1416">
        <v>2017</v>
      </c>
      <c r="O641" s="1414"/>
      <c r="P641" s="1414"/>
      <c r="Q641" s="1414"/>
      <c r="R641" s="1501" t="s">
        <v>12</v>
      </c>
      <c r="S641" s="1529">
        <v>196256600</v>
      </c>
      <c r="T641" s="1528"/>
      <c r="U641" s="1575"/>
      <c r="V641" s="1490"/>
      <c r="W641" s="1478" t="str">
        <f t="shared" si="207"/>
        <v>04.13.01</v>
      </c>
      <c r="X641" s="1478" t="str">
        <f t="shared" si="208"/>
        <v>Jalan</v>
      </c>
      <c r="Y641" s="1478">
        <f t="shared" si="209"/>
        <v>10</v>
      </c>
      <c r="Z641" s="1401">
        <f t="shared" si="217"/>
        <v>19625660</v>
      </c>
      <c r="AA641" s="1444">
        <f t="shared" si="218"/>
        <v>0</v>
      </c>
      <c r="AB641" s="1401">
        <f t="shared" si="211"/>
        <v>0</v>
      </c>
      <c r="AC641" s="1401">
        <v>0</v>
      </c>
      <c r="AD641" s="1401">
        <v>0</v>
      </c>
      <c r="AE641" s="1401">
        <v>0</v>
      </c>
      <c r="AF641" s="1401">
        <f t="shared" si="215"/>
        <v>19625660</v>
      </c>
      <c r="AG641" s="1479">
        <f t="shared" si="216"/>
        <v>19625660</v>
      </c>
      <c r="AH641" s="1479">
        <f t="shared" si="212"/>
        <v>19625660</v>
      </c>
      <c r="AI641" s="1479">
        <f t="shared" si="210"/>
        <v>58876980</v>
      </c>
      <c r="AJ641" s="1401">
        <f t="shared" si="213"/>
        <v>137379620</v>
      </c>
    </row>
    <row r="642" spans="1:36" s="1472" customFormat="1" ht="33" customHeight="1" x14ac:dyDescent="0.2">
      <c r="A642" s="1390" t="s">
        <v>5252</v>
      </c>
      <c r="B642" s="1472" t="e">
        <f t="shared" si="214"/>
        <v>#N/A</v>
      </c>
      <c r="C642" s="1478" t="e">
        <f>RIGHT(#REF!,1)</f>
        <v>#REF!</v>
      </c>
      <c r="D642" s="1576"/>
      <c r="E642" s="1413" t="s">
        <v>3066</v>
      </c>
      <c r="F642" s="1539"/>
      <c r="G642" s="1517" t="s">
        <v>2494</v>
      </c>
      <c r="H642" s="1414"/>
      <c r="I642" s="1416"/>
      <c r="J642" s="1512"/>
      <c r="K642" s="1416"/>
      <c r="L642" s="1500"/>
      <c r="M642" s="1429" t="s">
        <v>2572</v>
      </c>
      <c r="N642" s="1416">
        <v>2017</v>
      </c>
      <c r="O642" s="1414"/>
      <c r="P642" s="1414"/>
      <c r="Q642" s="1414"/>
      <c r="R642" s="1501" t="s">
        <v>12</v>
      </c>
      <c r="S642" s="1529">
        <v>196507244</v>
      </c>
      <c r="T642" s="1528"/>
      <c r="U642" s="1575"/>
      <c r="V642" s="1490"/>
      <c r="W642" s="1478" t="str">
        <f t="shared" si="207"/>
        <v>04.13.01</v>
      </c>
      <c r="X642" s="1478" t="str">
        <f t="shared" si="208"/>
        <v>Jalan</v>
      </c>
      <c r="Y642" s="1478">
        <f t="shared" si="209"/>
        <v>10</v>
      </c>
      <c r="Z642" s="1401">
        <f t="shared" si="217"/>
        <v>19650724.399999999</v>
      </c>
      <c r="AA642" s="1444">
        <f t="shared" si="218"/>
        <v>0</v>
      </c>
      <c r="AB642" s="1401">
        <f t="shared" si="211"/>
        <v>0</v>
      </c>
      <c r="AC642" s="1401">
        <v>0</v>
      </c>
      <c r="AD642" s="1401">
        <v>0</v>
      </c>
      <c r="AE642" s="1401">
        <v>0</v>
      </c>
      <c r="AF642" s="1401">
        <f t="shared" si="215"/>
        <v>19650724.399999999</v>
      </c>
      <c r="AG642" s="1479">
        <f t="shared" si="216"/>
        <v>19650724.399999999</v>
      </c>
      <c r="AH642" s="1479">
        <f t="shared" si="212"/>
        <v>19650724.399999999</v>
      </c>
      <c r="AI642" s="1479">
        <f t="shared" si="210"/>
        <v>58952173.199999996</v>
      </c>
      <c r="AJ642" s="1401">
        <f t="shared" si="213"/>
        <v>137555070.80000001</v>
      </c>
    </row>
    <row r="643" spans="1:36" s="1472" customFormat="1" ht="33" customHeight="1" x14ac:dyDescent="0.2">
      <c r="A643" s="1390" t="s">
        <v>5252</v>
      </c>
      <c r="B643" s="1472" t="e">
        <f t="shared" si="214"/>
        <v>#N/A</v>
      </c>
      <c r="C643" s="1478" t="e">
        <f>RIGHT(#REF!,1)</f>
        <v>#REF!</v>
      </c>
      <c r="D643" s="1576"/>
      <c r="E643" s="1413" t="s">
        <v>3067</v>
      </c>
      <c r="F643" s="1539"/>
      <c r="G643" s="1517" t="s">
        <v>2494</v>
      </c>
      <c r="H643" s="1414"/>
      <c r="I643" s="1416"/>
      <c r="J643" s="1512"/>
      <c r="K643" s="1416"/>
      <c r="L643" s="1500"/>
      <c r="M643" s="1429" t="s">
        <v>3284</v>
      </c>
      <c r="N643" s="1416">
        <v>2017</v>
      </c>
      <c r="O643" s="1414"/>
      <c r="P643" s="1414"/>
      <c r="Q643" s="1414"/>
      <c r="R643" s="1501" t="s">
        <v>12</v>
      </c>
      <c r="S643" s="1529">
        <v>196517180</v>
      </c>
      <c r="T643" s="1528"/>
      <c r="U643" s="1575"/>
      <c r="V643" s="1490"/>
      <c r="W643" s="1478" t="str">
        <f t="shared" si="207"/>
        <v>04.13.01</v>
      </c>
      <c r="X643" s="1478" t="str">
        <f t="shared" si="208"/>
        <v>Jalan</v>
      </c>
      <c r="Y643" s="1478">
        <f t="shared" si="209"/>
        <v>10</v>
      </c>
      <c r="Z643" s="1401">
        <f t="shared" si="217"/>
        <v>19651718</v>
      </c>
      <c r="AA643" s="1444">
        <f t="shared" si="218"/>
        <v>0</v>
      </c>
      <c r="AB643" s="1401">
        <f t="shared" si="211"/>
        <v>0</v>
      </c>
      <c r="AC643" s="1401">
        <v>0</v>
      </c>
      <c r="AD643" s="1401">
        <v>0</v>
      </c>
      <c r="AE643" s="1401">
        <v>0</v>
      </c>
      <c r="AF643" s="1401">
        <f t="shared" si="215"/>
        <v>19651718</v>
      </c>
      <c r="AG643" s="1479">
        <f t="shared" si="216"/>
        <v>19651718</v>
      </c>
      <c r="AH643" s="1479">
        <f t="shared" si="212"/>
        <v>19651718</v>
      </c>
      <c r="AI643" s="1479">
        <f t="shared" si="210"/>
        <v>58955154</v>
      </c>
      <c r="AJ643" s="1401">
        <f t="shared" si="213"/>
        <v>137562026</v>
      </c>
    </row>
    <row r="644" spans="1:36" s="1472" customFormat="1" ht="33" customHeight="1" x14ac:dyDescent="0.2">
      <c r="A644" s="1390" t="s">
        <v>5252</v>
      </c>
      <c r="B644" s="1472" t="e">
        <f t="shared" si="214"/>
        <v>#N/A</v>
      </c>
      <c r="C644" s="1478" t="e">
        <f>RIGHT(#REF!,1)</f>
        <v>#REF!</v>
      </c>
      <c r="D644" s="1576"/>
      <c r="E644" s="1413" t="s">
        <v>3069</v>
      </c>
      <c r="F644" s="1539"/>
      <c r="G644" s="1517" t="s">
        <v>2494</v>
      </c>
      <c r="H644" s="1414"/>
      <c r="I644" s="1416"/>
      <c r="J644" s="1512"/>
      <c r="K644" s="1416"/>
      <c r="L644" s="1500"/>
      <c r="M644" s="1429" t="s">
        <v>2573</v>
      </c>
      <c r="N644" s="1416">
        <v>2017</v>
      </c>
      <c r="O644" s="1414"/>
      <c r="P644" s="1414"/>
      <c r="Q644" s="1414"/>
      <c r="R644" s="1501" t="s">
        <v>12</v>
      </c>
      <c r="S644" s="1529">
        <v>181275065</v>
      </c>
      <c r="T644" s="1528"/>
      <c r="U644" s="1575"/>
      <c r="V644" s="1490"/>
      <c r="W644" s="1478" t="str">
        <f t="shared" si="207"/>
        <v>04.13.01</v>
      </c>
      <c r="X644" s="1478" t="str">
        <f t="shared" si="208"/>
        <v>Jalan</v>
      </c>
      <c r="Y644" s="1478">
        <f t="shared" si="209"/>
        <v>10</v>
      </c>
      <c r="Z644" s="1401">
        <f t="shared" si="217"/>
        <v>18127506.5</v>
      </c>
      <c r="AA644" s="1444">
        <f t="shared" si="218"/>
        <v>0</v>
      </c>
      <c r="AB644" s="1401">
        <f t="shared" si="211"/>
        <v>0</v>
      </c>
      <c r="AC644" s="1401">
        <v>0</v>
      </c>
      <c r="AD644" s="1401">
        <v>0</v>
      </c>
      <c r="AE644" s="1401">
        <v>0</v>
      </c>
      <c r="AF644" s="1401">
        <f t="shared" si="215"/>
        <v>18127506.5</v>
      </c>
      <c r="AG644" s="1479">
        <f t="shared" si="216"/>
        <v>18127506.5</v>
      </c>
      <c r="AH644" s="1479">
        <f t="shared" si="212"/>
        <v>18127506.5</v>
      </c>
      <c r="AI644" s="1479">
        <f t="shared" si="210"/>
        <v>54382519.5</v>
      </c>
      <c r="AJ644" s="1401">
        <f t="shared" si="213"/>
        <v>126892545.5</v>
      </c>
    </row>
    <row r="645" spans="1:36" s="1472" customFormat="1" ht="33" customHeight="1" x14ac:dyDescent="0.2">
      <c r="A645" s="1390" t="s">
        <v>5252</v>
      </c>
      <c r="B645" s="1472" t="e">
        <f t="shared" si="214"/>
        <v>#N/A</v>
      </c>
      <c r="C645" s="1478" t="e">
        <f>RIGHT(#REF!,1)</f>
        <v>#REF!</v>
      </c>
      <c r="D645" s="1576"/>
      <c r="E645" s="1413" t="s">
        <v>3074</v>
      </c>
      <c r="F645" s="1539"/>
      <c r="G645" s="1517" t="s">
        <v>2494</v>
      </c>
      <c r="H645" s="1414"/>
      <c r="I645" s="1416"/>
      <c r="J645" s="1512"/>
      <c r="K645" s="1416"/>
      <c r="L645" s="1500"/>
      <c r="M645" s="1429" t="s">
        <v>3289</v>
      </c>
      <c r="N645" s="1416">
        <v>2017</v>
      </c>
      <c r="O645" s="1414"/>
      <c r="P645" s="1414"/>
      <c r="Q645" s="1414"/>
      <c r="R645" s="1501" t="s">
        <v>12</v>
      </c>
      <c r="S645" s="1529">
        <v>197613000</v>
      </c>
      <c r="T645" s="1528"/>
      <c r="U645" s="1575"/>
      <c r="V645" s="1490"/>
      <c r="W645" s="1478" t="str">
        <f t="shared" ref="W645:W661" si="219">LEFT(G645,8)</f>
        <v>04.13.01</v>
      </c>
      <c r="X645" s="1478" t="str">
        <f t="shared" ref="X645:X661" si="220">VLOOKUP(W645,UE,3,FALSE)</f>
        <v>Jalan</v>
      </c>
      <c r="Y645" s="1478">
        <f t="shared" ref="Y645:Y666" si="221">VLOOKUP(W645,UE,4,FALSE)</f>
        <v>10</v>
      </c>
      <c r="Z645" s="1401">
        <f t="shared" si="217"/>
        <v>19761300</v>
      </c>
      <c r="AA645" s="1444">
        <f t="shared" si="218"/>
        <v>0</v>
      </c>
      <c r="AB645" s="1401">
        <f t="shared" si="211"/>
        <v>0</v>
      </c>
      <c r="AC645" s="1401">
        <v>0</v>
      </c>
      <c r="AD645" s="1401">
        <v>0</v>
      </c>
      <c r="AE645" s="1401">
        <v>0</v>
      </c>
      <c r="AF645" s="1401">
        <f t="shared" si="215"/>
        <v>19761300</v>
      </c>
      <c r="AG645" s="1479">
        <f t="shared" si="216"/>
        <v>19761300</v>
      </c>
      <c r="AH645" s="1479">
        <f t="shared" si="212"/>
        <v>19761300</v>
      </c>
      <c r="AI645" s="1479">
        <f t="shared" si="210"/>
        <v>59283900</v>
      </c>
      <c r="AJ645" s="1401">
        <f t="shared" si="213"/>
        <v>138329100</v>
      </c>
    </row>
    <row r="646" spans="1:36" s="1472" customFormat="1" ht="33" customHeight="1" x14ac:dyDescent="0.2">
      <c r="A646" s="1390" t="s">
        <v>5252</v>
      </c>
      <c r="B646" s="1472" t="e">
        <f t="shared" si="214"/>
        <v>#N/A</v>
      </c>
      <c r="C646" s="1478" t="e">
        <f>RIGHT(#REF!,1)</f>
        <v>#REF!</v>
      </c>
      <c r="D646" s="1576"/>
      <c r="E646" s="1413" t="s">
        <v>3314</v>
      </c>
      <c r="F646" s="1539"/>
      <c r="G646" s="1517" t="s">
        <v>2494</v>
      </c>
      <c r="H646" s="1414"/>
      <c r="I646" s="1416"/>
      <c r="J646" s="1512"/>
      <c r="K646" s="1416"/>
      <c r="L646" s="1500"/>
      <c r="M646" s="1429" t="s">
        <v>3292</v>
      </c>
      <c r="N646" s="1416">
        <v>2018</v>
      </c>
      <c r="O646" s="1414"/>
      <c r="P646" s="1414"/>
      <c r="Q646" s="1414"/>
      <c r="R646" s="1501" t="s">
        <v>12</v>
      </c>
      <c r="S646" s="1529">
        <v>2896710698</v>
      </c>
      <c r="T646" s="1528"/>
      <c r="U646" s="1575"/>
      <c r="V646" s="1490"/>
      <c r="W646" s="1478" t="str">
        <f t="shared" si="219"/>
        <v>04.13.01</v>
      </c>
      <c r="X646" s="1478" t="str">
        <f t="shared" si="220"/>
        <v>Jalan</v>
      </c>
      <c r="Y646" s="1478">
        <f t="shared" si="221"/>
        <v>10</v>
      </c>
      <c r="Z646" s="1401">
        <f t="shared" si="217"/>
        <v>289671069.80000001</v>
      </c>
      <c r="AA646" s="1444">
        <f t="shared" si="218"/>
        <v>0</v>
      </c>
      <c r="AB646" s="1401">
        <f t="shared" si="211"/>
        <v>0</v>
      </c>
      <c r="AC646" s="1401">
        <v>0</v>
      </c>
      <c r="AD646" s="1401">
        <v>0</v>
      </c>
      <c r="AE646" s="1401">
        <v>0</v>
      </c>
      <c r="AF646" s="1401">
        <v>0</v>
      </c>
      <c r="AG646" s="1479">
        <f t="shared" si="216"/>
        <v>289671069.80000001</v>
      </c>
      <c r="AH646" s="1479">
        <f t="shared" si="212"/>
        <v>289671069.80000001</v>
      </c>
      <c r="AI646" s="1479">
        <f t="shared" si="210"/>
        <v>579342139.60000002</v>
      </c>
      <c r="AJ646" s="1401">
        <f t="shared" si="213"/>
        <v>2317368558.4000001</v>
      </c>
    </row>
    <row r="647" spans="1:36" s="1472" customFormat="1" ht="33" customHeight="1" x14ac:dyDescent="0.2">
      <c r="A647" s="1390" t="s">
        <v>5252</v>
      </c>
      <c r="B647" s="1472" t="e">
        <f t="shared" si="214"/>
        <v>#N/A</v>
      </c>
      <c r="C647" s="1478" t="e">
        <f>RIGHT(#REF!,1)</f>
        <v>#REF!</v>
      </c>
      <c r="D647" s="1576"/>
      <c r="E647" s="1413" t="s">
        <v>3321</v>
      </c>
      <c r="F647" s="1539"/>
      <c r="G647" s="1517" t="s">
        <v>2494</v>
      </c>
      <c r="H647" s="1414"/>
      <c r="I647" s="1416"/>
      <c r="J647" s="1512"/>
      <c r="K647" s="1416"/>
      <c r="L647" s="1500"/>
      <c r="M647" s="1429" t="s">
        <v>3299</v>
      </c>
      <c r="N647" s="1416">
        <v>2018</v>
      </c>
      <c r="O647" s="1414"/>
      <c r="P647" s="1414"/>
      <c r="Q647" s="1414"/>
      <c r="R647" s="1501" t="s">
        <v>12</v>
      </c>
      <c r="S647" s="1529">
        <v>2153501620</v>
      </c>
      <c r="T647" s="1528"/>
      <c r="U647" s="1575"/>
      <c r="V647" s="1490"/>
      <c r="W647" s="1478" t="str">
        <f t="shared" si="219"/>
        <v>04.13.01</v>
      </c>
      <c r="X647" s="1478" t="str">
        <f t="shared" si="220"/>
        <v>Jalan</v>
      </c>
      <c r="Y647" s="1478">
        <f t="shared" si="221"/>
        <v>10</v>
      </c>
      <c r="Z647" s="1401">
        <f t="shared" si="217"/>
        <v>215350162</v>
      </c>
      <c r="AA647" s="1444">
        <f t="shared" si="218"/>
        <v>0</v>
      </c>
      <c r="AB647" s="1401">
        <f t="shared" si="211"/>
        <v>0</v>
      </c>
      <c r="AC647" s="1401">
        <v>0</v>
      </c>
      <c r="AD647" s="1401">
        <v>0</v>
      </c>
      <c r="AE647" s="1401">
        <v>0</v>
      </c>
      <c r="AF647" s="1401">
        <v>0</v>
      </c>
      <c r="AG647" s="1479">
        <f t="shared" si="216"/>
        <v>215350162</v>
      </c>
      <c r="AH647" s="1479">
        <f t="shared" si="212"/>
        <v>215350162</v>
      </c>
      <c r="AI647" s="1479">
        <f t="shared" si="210"/>
        <v>430700324</v>
      </c>
      <c r="AJ647" s="1401">
        <f t="shared" si="213"/>
        <v>1722801296</v>
      </c>
    </row>
    <row r="648" spans="1:36" s="1472" customFormat="1" ht="33" customHeight="1" x14ac:dyDescent="0.2">
      <c r="A648" s="1390" t="s">
        <v>5252</v>
      </c>
      <c r="B648" s="1472" t="e">
        <f t="shared" si="214"/>
        <v>#N/A</v>
      </c>
      <c r="C648" s="1478" t="e">
        <f>RIGHT(#REF!,1)</f>
        <v>#REF!</v>
      </c>
      <c r="D648" s="1576"/>
      <c r="E648" s="1413" t="s">
        <v>3327</v>
      </c>
      <c r="F648" s="1539"/>
      <c r="G648" s="1517" t="s">
        <v>2494</v>
      </c>
      <c r="H648" s="1414"/>
      <c r="I648" s="1416"/>
      <c r="J648" s="1512"/>
      <c r="K648" s="1416"/>
      <c r="L648" s="1500"/>
      <c r="M648" s="1429" t="s">
        <v>3302</v>
      </c>
      <c r="N648" s="1416">
        <v>2018</v>
      </c>
      <c r="O648" s="1414"/>
      <c r="P648" s="1414"/>
      <c r="Q648" s="1414"/>
      <c r="R648" s="1501" t="s">
        <v>12</v>
      </c>
      <c r="S648" s="1529">
        <v>647774900</v>
      </c>
      <c r="T648" s="1528"/>
      <c r="U648" s="1575"/>
      <c r="V648" s="1490"/>
      <c r="W648" s="1478" t="str">
        <f t="shared" si="219"/>
        <v>04.13.01</v>
      </c>
      <c r="X648" s="1478" t="str">
        <f t="shared" si="220"/>
        <v>Jalan</v>
      </c>
      <c r="Y648" s="1478">
        <f t="shared" si="221"/>
        <v>10</v>
      </c>
      <c r="Z648" s="1401">
        <f t="shared" si="217"/>
        <v>64777490</v>
      </c>
      <c r="AA648" s="1444">
        <f t="shared" si="218"/>
        <v>0</v>
      </c>
      <c r="AB648" s="1401">
        <f t="shared" si="211"/>
        <v>0</v>
      </c>
      <c r="AC648" s="1401">
        <v>0</v>
      </c>
      <c r="AD648" s="1401">
        <v>0</v>
      </c>
      <c r="AE648" s="1401">
        <v>0</v>
      </c>
      <c r="AF648" s="1401">
        <v>0</v>
      </c>
      <c r="AG648" s="1479">
        <f t="shared" si="216"/>
        <v>64777490</v>
      </c>
      <c r="AH648" s="1479">
        <f t="shared" si="212"/>
        <v>64777490</v>
      </c>
      <c r="AI648" s="1479">
        <f t="shared" si="210"/>
        <v>129554980</v>
      </c>
      <c r="AJ648" s="1401">
        <f t="shared" si="213"/>
        <v>518219920</v>
      </c>
    </row>
    <row r="649" spans="1:36" s="1472" customFormat="1" ht="33" customHeight="1" x14ac:dyDescent="0.2">
      <c r="A649" s="1390" t="s">
        <v>5252</v>
      </c>
      <c r="B649" s="1472" t="e">
        <f t="shared" si="214"/>
        <v>#N/A</v>
      </c>
      <c r="C649" s="1478" t="e">
        <f>RIGHT(#REF!,1)</f>
        <v>#REF!</v>
      </c>
      <c r="D649" s="1576"/>
      <c r="E649" s="1413" t="s">
        <v>3330</v>
      </c>
      <c r="F649" s="1539"/>
      <c r="G649" s="1517" t="s">
        <v>2494</v>
      </c>
      <c r="H649" s="1414"/>
      <c r="I649" s="1416"/>
      <c r="J649" s="1512"/>
      <c r="K649" s="1416"/>
      <c r="L649" s="1500"/>
      <c r="M649" s="1429" t="s">
        <v>3305</v>
      </c>
      <c r="N649" s="1416">
        <v>2018</v>
      </c>
      <c r="O649" s="1414"/>
      <c r="P649" s="1414"/>
      <c r="Q649" s="1414"/>
      <c r="R649" s="1501" t="s">
        <v>12</v>
      </c>
      <c r="S649" s="1529">
        <v>189359000</v>
      </c>
      <c r="T649" s="1528"/>
      <c r="U649" s="1575"/>
      <c r="V649" s="1490"/>
      <c r="W649" s="1478" t="str">
        <f t="shared" si="219"/>
        <v>04.13.01</v>
      </c>
      <c r="X649" s="1478" t="str">
        <f t="shared" si="220"/>
        <v>Jalan</v>
      </c>
      <c r="Y649" s="1478">
        <f t="shared" si="221"/>
        <v>10</v>
      </c>
      <c r="Z649" s="1401">
        <f t="shared" si="217"/>
        <v>18935900</v>
      </c>
      <c r="AA649" s="1444">
        <f t="shared" si="218"/>
        <v>0</v>
      </c>
      <c r="AB649" s="1401">
        <f t="shared" si="211"/>
        <v>0</v>
      </c>
      <c r="AC649" s="1401">
        <v>0</v>
      </c>
      <c r="AD649" s="1401">
        <v>0</v>
      </c>
      <c r="AE649" s="1401">
        <v>0</v>
      </c>
      <c r="AF649" s="1401">
        <v>0</v>
      </c>
      <c r="AG649" s="1479">
        <f t="shared" si="216"/>
        <v>18935900</v>
      </c>
      <c r="AH649" s="1479">
        <f t="shared" si="212"/>
        <v>18935900</v>
      </c>
      <c r="AI649" s="1479">
        <f t="shared" si="210"/>
        <v>37871800</v>
      </c>
      <c r="AJ649" s="1401">
        <f t="shared" si="213"/>
        <v>151487200</v>
      </c>
    </row>
    <row r="650" spans="1:36" s="1472" customFormat="1" ht="33" customHeight="1" x14ac:dyDescent="0.2">
      <c r="A650" s="1390" t="s">
        <v>5252</v>
      </c>
      <c r="B650" s="1472" t="e">
        <f t="shared" si="214"/>
        <v>#N/A</v>
      </c>
      <c r="C650" s="1478" t="e">
        <f>RIGHT(#REF!,1)</f>
        <v>#REF!</v>
      </c>
      <c r="D650" s="1576"/>
      <c r="E650" s="1413" t="s">
        <v>3332</v>
      </c>
      <c r="F650" s="1539"/>
      <c r="G650" s="1517" t="s">
        <v>2494</v>
      </c>
      <c r="H650" s="1414"/>
      <c r="I650" s="1416"/>
      <c r="J650" s="1512"/>
      <c r="K650" s="1416"/>
      <c r="L650" s="1500"/>
      <c r="M650" s="1429" t="s">
        <v>3307</v>
      </c>
      <c r="N650" s="1416">
        <v>2018</v>
      </c>
      <c r="O650" s="1414"/>
      <c r="P650" s="1414"/>
      <c r="Q650" s="1414"/>
      <c r="R650" s="1501" t="s">
        <v>12</v>
      </c>
      <c r="S650" s="1529">
        <v>2267510824</v>
      </c>
      <c r="T650" s="1528"/>
      <c r="U650" s="1575"/>
      <c r="V650" s="1490"/>
      <c r="W650" s="1478" t="str">
        <f t="shared" si="219"/>
        <v>04.13.01</v>
      </c>
      <c r="X650" s="1478" t="str">
        <f t="shared" si="220"/>
        <v>Jalan</v>
      </c>
      <c r="Y650" s="1478">
        <f t="shared" si="221"/>
        <v>10</v>
      </c>
      <c r="Z650" s="1401">
        <f t="shared" si="217"/>
        <v>226751082.40000001</v>
      </c>
      <c r="AA650" s="1444">
        <f t="shared" si="218"/>
        <v>0</v>
      </c>
      <c r="AB650" s="1401">
        <f t="shared" si="211"/>
        <v>0</v>
      </c>
      <c r="AC650" s="1401">
        <v>0</v>
      </c>
      <c r="AD650" s="1401">
        <v>0</v>
      </c>
      <c r="AE650" s="1401">
        <v>0</v>
      </c>
      <c r="AF650" s="1401">
        <v>0</v>
      </c>
      <c r="AG650" s="1479">
        <f t="shared" si="216"/>
        <v>226751082.40000001</v>
      </c>
      <c r="AH650" s="1479">
        <f t="shared" si="212"/>
        <v>226751082.40000001</v>
      </c>
      <c r="AI650" s="1479">
        <f t="shared" si="210"/>
        <v>453502164.80000001</v>
      </c>
      <c r="AJ650" s="1401">
        <f t="shared" si="213"/>
        <v>1814008659.2</v>
      </c>
    </row>
    <row r="651" spans="1:36" s="1472" customFormat="1" ht="51" customHeight="1" x14ac:dyDescent="0.2">
      <c r="A651" s="1390" t="s">
        <v>5252</v>
      </c>
      <c r="B651" s="1472" t="e">
        <f t="shared" si="214"/>
        <v>#N/A</v>
      </c>
      <c r="C651" s="1478"/>
      <c r="D651" s="1576"/>
      <c r="E651" s="1413" t="s">
        <v>5523</v>
      </c>
      <c r="F651" s="1539"/>
      <c r="G651" s="1416" t="s">
        <v>2494</v>
      </c>
      <c r="H651" s="1414"/>
      <c r="I651" s="1416"/>
      <c r="J651" s="1512">
        <v>1070</v>
      </c>
      <c r="K651" s="1416">
        <v>6</v>
      </c>
      <c r="L651" s="1500">
        <f t="shared" ref="L651:L666" si="222">J651*K651</f>
        <v>6420</v>
      </c>
      <c r="M651" s="1429" t="s">
        <v>5524</v>
      </c>
      <c r="N651" s="1530">
        <v>2019</v>
      </c>
      <c r="O651" s="1429" t="s">
        <v>5536</v>
      </c>
      <c r="P651" s="1414" t="s">
        <v>433</v>
      </c>
      <c r="Q651" s="1414"/>
      <c r="R651" s="1501" t="s">
        <v>12</v>
      </c>
      <c r="S651" s="1529">
        <v>185273300</v>
      </c>
      <c r="T651" s="1528"/>
      <c r="U651" s="1575"/>
      <c r="V651" s="1490"/>
      <c r="W651" s="1478" t="str">
        <f t="shared" si="219"/>
        <v>04.13.01</v>
      </c>
      <c r="X651" s="1478" t="str">
        <f t="shared" si="220"/>
        <v>Jalan</v>
      </c>
      <c r="Y651" s="1478">
        <f t="shared" si="221"/>
        <v>10</v>
      </c>
      <c r="Z651" s="1401">
        <f t="shared" si="217"/>
        <v>18527330</v>
      </c>
      <c r="AA651" s="1444">
        <f t="shared" si="218"/>
        <v>0</v>
      </c>
      <c r="AB651" s="1401">
        <f t="shared" si="211"/>
        <v>0</v>
      </c>
      <c r="AC651" s="1401">
        <v>0</v>
      </c>
      <c r="AD651" s="1401">
        <v>0</v>
      </c>
      <c r="AE651" s="1401">
        <v>0</v>
      </c>
      <c r="AF651" s="1401">
        <v>0</v>
      </c>
      <c r="AG651" s="1479"/>
      <c r="AH651" s="1479">
        <f t="shared" si="212"/>
        <v>18527330</v>
      </c>
      <c r="AI651" s="1479">
        <f t="shared" ref="AI651:AI666" si="223">SUM(AB651:AH651)</f>
        <v>18527330</v>
      </c>
      <c r="AJ651" s="1401">
        <f t="shared" si="213"/>
        <v>166745970</v>
      </c>
    </row>
    <row r="652" spans="1:36" s="1472" customFormat="1" ht="51" customHeight="1" x14ac:dyDescent="0.2">
      <c r="A652" s="1390" t="s">
        <v>5252</v>
      </c>
      <c r="B652" s="1472" t="e">
        <f t="shared" si="214"/>
        <v>#N/A</v>
      </c>
      <c r="C652" s="1478"/>
      <c r="D652" s="1576"/>
      <c r="E652" s="1413" t="s">
        <v>5701</v>
      </c>
      <c r="F652" s="1539"/>
      <c r="G652" s="1416" t="s">
        <v>2494</v>
      </c>
      <c r="H652" s="1414"/>
      <c r="I652" s="1416" t="s">
        <v>5525</v>
      </c>
      <c r="J652" s="1512">
        <v>1200</v>
      </c>
      <c r="K652" s="1416">
        <v>6</v>
      </c>
      <c r="L652" s="1500">
        <f t="shared" si="222"/>
        <v>7200</v>
      </c>
      <c r="M652" s="1429" t="s">
        <v>5526</v>
      </c>
      <c r="N652" s="1530">
        <v>2019</v>
      </c>
      <c r="O652" s="1429" t="s">
        <v>5535</v>
      </c>
      <c r="P652" s="1414" t="s">
        <v>433</v>
      </c>
      <c r="Q652" s="1414"/>
      <c r="R652" s="1501" t="s">
        <v>12</v>
      </c>
      <c r="S652" s="1529">
        <v>380899499</v>
      </c>
      <c r="T652" s="1528"/>
      <c r="U652" s="1575"/>
      <c r="V652" s="1490"/>
      <c r="W652" s="1478" t="str">
        <f t="shared" si="219"/>
        <v>04.13.01</v>
      </c>
      <c r="X652" s="1478" t="str">
        <f t="shared" si="220"/>
        <v>Jalan</v>
      </c>
      <c r="Y652" s="1478">
        <f t="shared" si="221"/>
        <v>10</v>
      </c>
      <c r="Z652" s="1401">
        <f t="shared" si="217"/>
        <v>38089949.899999999</v>
      </c>
      <c r="AA652" s="1444">
        <f t="shared" si="218"/>
        <v>0</v>
      </c>
      <c r="AB652" s="1401">
        <f t="shared" si="211"/>
        <v>0</v>
      </c>
      <c r="AC652" s="1401">
        <v>0</v>
      </c>
      <c r="AD652" s="1401">
        <v>0</v>
      </c>
      <c r="AE652" s="1401">
        <v>0</v>
      </c>
      <c r="AF652" s="1401">
        <v>0</v>
      </c>
      <c r="AG652" s="1479"/>
      <c r="AH652" s="1479">
        <f t="shared" si="212"/>
        <v>38089949.899999999</v>
      </c>
      <c r="AI652" s="1479">
        <f t="shared" si="223"/>
        <v>38089949.899999999</v>
      </c>
      <c r="AJ652" s="1401">
        <f t="shared" si="213"/>
        <v>342809549.10000002</v>
      </c>
    </row>
    <row r="653" spans="1:36" s="1472" customFormat="1" ht="51" customHeight="1" x14ac:dyDescent="0.2">
      <c r="A653" s="1390" t="s">
        <v>5252</v>
      </c>
      <c r="B653" s="1472" t="e">
        <f t="shared" si="214"/>
        <v>#N/A</v>
      </c>
      <c r="C653" s="1478"/>
      <c r="D653" s="1576"/>
      <c r="E653" s="1413" t="s">
        <v>5700</v>
      </c>
      <c r="F653" s="1539"/>
      <c r="G653" s="1416" t="s">
        <v>2494</v>
      </c>
      <c r="H653" s="1414"/>
      <c r="I653" s="1416" t="s">
        <v>5532</v>
      </c>
      <c r="J653" s="1512">
        <v>1000</v>
      </c>
      <c r="K653" s="1416">
        <v>4</v>
      </c>
      <c r="L653" s="1500">
        <f t="shared" si="222"/>
        <v>4000</v>
      </c>
      <c r="M653" s="1429" t="s">
        <v>5533</v>
      </c>
      <c r="N653" s="1530">
        <v>2019</v>
      </c>
      <c r="O653" s="1429" t="s">
        <v>5534</v>
      </c>
      <c r="P653" s="1414" t="s">
        <v>433</v>
      </c>
      <c r="Q653" s="1414"/>
      <c r="R653" s="1501" t="s">
        <v>12</v>
      </c>
      <c r="S653" s="1529">
        <v>2186857500</v>
      </c>
      <c r="T653" s="1528"/>
      <c r="U653" s="1575"/>
      <c r="V653" s="1490"/>
      <c r="W653" s="1478" t="str">
        <f t="shared" si="219"/>
        <v>04.13.01</v>
      </c>
      <c r="X653" s="1478" t="str">
        <f t="shared" si="220"/>
        <v>Jalan</v>
      </c>
      <c r="Y653" s="1478">
        <f t="shared" si="221"/>
        <v>10</v>
      </c>
      <c r="Z653" s="1401">
        <f t="shared" si="217"/>
        <v>218685750</v>
      </c>
      <c r="AA653" s="1444">
        <f t="shared" si="218"/>
        <v>0</v>
      </c>
      <c r="AB653" s="1401">
        <f t="shared" si="211"/>
        <v>0</v>
      </c>
      <c r="AC653" s="1401">
        <v>0</v>
      </c>
      <c r="AD653" s="1401">
        <v>0</v>
      </c>
      <c r="AE653" s="1401">
        <v>0</v>
      </c>
      <c r="AF653" s="1401">
        <v>0</v>
      </c>
      <c r="AG653" s="1479"/>
      <c r="AH653" s="1479">
        <f>IF(S653=AC653+AD653+AE653+AB653+AF653+AG653,0,Z653)</f>
        <v>218685750</v>
      </c>
      <c r="AI653" s="1479">
        <f t="shared" si="223"/>
        <v>218685750</v>
      </c>
      <c r="AJ653" s="1401">
        <f t="shared" si="213"/>
        <v>1968171750</v>
      </c>
    </row>
    <row r="654" spans="1:36" s="1472" customFormat="1" ht="51" customHeight="1" x14ac:dyDescent="0.2">
      <c r="A654" s="1390" t="s">
        <v>5252</v>
      </c>
      <c r="B654" s="1472" t="e">
        <f t="shared" si="214"/>
        <v>#N/A</v>
      </c>
      <c r="C654" s="1478"/>
      <c r="D654" s="1576"/>
      <c r="E654" s="1413" t="s">
        <v>5537</v>
      </c>
      <c r="F654" s="1539"/>
      <c r="G654" s="1416" t="s">
        <v>2494</v>
      </c>
      <c r="H654" s="1414"/>
      <c r="I654" s="1416" t="s">
        <v>5525</v>
      </c>
      <c r="J654" s="1512">
        <v>200</v>
      </c>
      <c r="K654" s="1416">
        <v>6</v>
      </c>
      <c r="L654" s="1500">
        <f t="shared" si="222"/>
        <v>1200</v>
      </c>
      <c r="M654" s="1429" t="s">
        <v>5698</v>
      </c>
      <c r="N654" s="1530">
        <v>2019</v>
      </c>
      <c r="O654" s="1429" t="s">
        <v>5538</v>
      </c>
      <c r="P654" s="1414" t="s">
        <v>5435</v>
      </c>
      <c r="Q654" s="1414"/>
      <c r="R654" s="1501" t="s">
        <v>12</v>
      </c>
      <c r="S654" s="1529">
        <v>185319300</v>
      </c>
      <c r="T654" s="1528"/>
      <c r="U654" s="1575"/>
      <c r="V654" s="1490"/>
      <c r="W654" s="1478" t="str">
        <f t="shared" si="219"/>
        <v>04.13.01</v>
      </c>
      <c r="X654" s="1478" t="str">
        <f t="shared" si="220"/>
        <v>Jalan</v>
      </c>
      <c r="Y654" s="1478">
        <f t="shared" si="221"/>
        <v>10</v>
      </c>
      <c r="Z654" s="1401">
        <f t="shared" si="217"/>
        <v>18531930</v>
      </c>
      <c r="AA654" s="1444">
        <f t="shared" si="218"/>
        <v>0</v>
      </c>
      <c r="AB654" s="1401">
        <f t="shared" si="211"/>
        <v>0</v>
      </c>
      <c r="AC654" s="1401">
        <v>0</v>
      </c>
      <c r="AD654" s="1401">
        <v>0</v>
      </c>
      <c r="AE654" s="1401">
        <v>0</v>
      </c>
      <c r="AF654" s="1401">
        <v>0</v>
      </c>
      <c r="AG654" s="1479"/>
      <c r="AH654" s="1479">
        <f>IF(S654=AC654+AD654+AE654+AB654+AF654+AG654,0,Z654)</f>
        <v>18531930</v>
      </c>
      <c r="AI654" s="1479">
        <f t="shared" si="223"/>
        <v>18531930</v>
      </c>
      <c r="AJ654" s="1401">
        <f t="shared" si="213"/>
        <v>166787370</v>
      </c>
    </row>
    <row r="655" spans="1:36" s="1472" customFormat="1" ht="51" customHeight="1" x14ac:dyDescent="0.2">
      <c r="A655" s="1390" t="s">
        <v>5252</v>
      </c>
      <c r="B655" s="1472" t="e">
        <f t="shared" si="214"/>
        <v>#N/A</v>
      </c>
      <c r="C655" s="1478"/>
      <c r="D655" s="1576"/>
      <c r="E655" s="1413" t="s">
        <v>5737</v>
      </c>
      <c r="F655" s="1539"/>
      <c r="G655" s="1416" t="s">
        <v>2494</v>
      </c>
      <c r="H655" s="1414"/>
      <c r="I655" s="1416" t="s">
        <v>736</v>
      </c>
      <c r="J655" s="1512">
        <v>2500</v>
      </c>
      <c r="K655" s="1416">
        <v>7</v>
      </c>
      <c r="L655" s="1500">
        <f t="shared" si="222"/>
        <v>17500</v>
      </c>
      <c r="M655" s="1429" t="s">
        <v>3379</v>
      </c>
      <c r="N655" s="1530">
        <v>2019</v>
      </c>
      <c r="O655" s="1429" t="s">
        <v>5541</v>
      </c>
      <c r="P655" s="1414" t="s">
        <v>5435</v>
      </c>
      <c r="Q655" s="1414"/>
      <c r="R655" s="1501" t="s">
        <v>12</v>
      </c>
      <c r="S655" s="1529">
        <v>185212500</v>
      </c>
      <c r="T655" s="1528"/>
      <c r="U655" s="1575"/>
      <c r="V655" s="1490"/>
      <c r="W655" s="1478" t="str">
        <f t="shared" si="219"/>
        <v>04.13.01</v>
      </c>
      <c r="X655" s="1478" t="str">
        <f t="shared" si="220"/>
        <v>Jalan</v>
      </c>
      <c r="Y655" s="1478">
        <f t="shared" si="221"/>
        <v>10</v>
      </c>
      <c r="Z655" s="1401">
        <f t="shared" si="217"/>
        <v>18521250</v>
      </c>
      <c r="AA655" s="1444">
        <f t="shared" si="218"/>
        <v>0</v>
      </c>
      <c r="AB655" s="1401">
        <f t="shared" si="211"/>
        <v>0</v>
      </c>
      <c r="AC655" s="1401">
        <v>0</v>
      </c>
      <c r="AD655" s="1401">
        <v>0</v>
      </c>
      <c r="AE655" s="1401">
        <v>0</v>
      </c>
      <c r="AF655" s="1401">
        <v>0</v>
      </c>
      <c r="AG655" s="1479"/>
      <c r="AH655" s="1479">
        <f t="shared" si="212"/>
        <v>18521250</v>
      </c>
      <c r="AI655" s="1479">
        <f t="shared" si="223"/>
        <v>18521250</v>
      </c>
      <c r="AJ655" s="1401">
        <f t="shared" si="213"/>
        <v>166691250</v>
      </c>
    </row>
    <row r="656" spans="1:36" s="1472" customFormat="1" ht="51" customHeight="1" x14ac:dyDescent="0.2">
      <c r="A656" s="1390" t="s">
        <v>5252</v>
      </c>
      <c r="B656" s="1472" t="e">
        <f t="shared" si="214"/>
        <v>#N/A</v>
      </c>
      <c r="C656" s="1478"/>
      <c r="D656" s="1576"/>
      <c r="E656" s="1413" t="s">
        <v>5674</v>
      </c>
      <c r="F656" s="1539"/>
      <c r="G656" s="1416" t="s">
        <v>2494</v>
      </c>
      <c r="H656" s="1414"/>
      <c r="I656" s="1416" t="s">
        <v>5532</v>
      </c>
      <c r="J656" s="1512">
        <v>1000</v>
      </c>
      <c r="K656" s="1416">
        <v>4</v>
      </c>
      <c r="L656" s="1500">
        <f t="shared" si="222"/>
        <v>4000</v>
      </c>
      <c r="M656" s="1429" t="s">
        <v>2571</v>
      </c>
      <c r="N656" s="1530">
        <v>2019</v>
      </c>
      <c r="O656" s="1429" t="s">
        <v>5484</v>
      </c>
      <c r="P656" s="1414" t="s">
        <v>433</v>
      </c>
      <c r="Q656" s="1414"/>
      <c r="R656" s="1501" t="s">
        <v>12</v>
      </c>
      <c r="S656" s="1529">
        <v>2233840213</v>
      </c>
      <c r="T656" s="1528"/>
      <c r="U656" s="1575"/>
      <c r="V656" s="1490"/>
      <c r="W656" s="1478" t="str">
        <f t="shared" si="219"/>
        <v>04.13.01</v>
      </c>
      <c r="X656" s="1478" t="str">
        <f t="shared" si="220"/>
        <v>Jalan</v>
      </c>
      <c r="Y656" s="1478">
        <f t="shared" si="221"/>
        <v>10</v>
      </c>
      <c r="Z656" s="1401">
        <f t="shared" si="217"/>
        <v>223384021.30000001</v>
      </c>
      <c r="AA656" s="1444">
        <f t="shared" si="218"/>
        <v>0</v>
      </c>
      <c r="AB656" s="1401">
        <f t="shared" si="211"/>
        <v>0</v>
      </c>
      <c r="AC656" s="1401">
        <v>0</v>
      </c>
      <c r="AD656" s="1401">
        <v>0</v>
      </c>
      <c r="AE656" s="1401">
        <v>0</v>
      </c>
      <c r="AF656" s="1401">
        <v>0</v>
      </c>
      <c r="AG656" s="1479">
        <v>0</v>
      </c>
      <c r="AH656" s="1479">
        <f t="shared" ref="AH656:AH666" si="224">IF(S656=AC656+AD656+AE656+AB656+AF656+AG656,0,Z656)</f>
        <v>223384021.30000001</v>
      </c>
      <c r="AI656" s="1479">
        <f t="shared" si="223"/>
        <v>223384021.30000001</v>
      </c>
      <c r="AJ656" s="1401">
        <f t="shared" si="213"/>
        <v>2010456191.7</v>
      </c>
    </row>
    <row r="657" spans="1:36" s="1472" customFormat="1" ht="51" customHeight="1" x14ac:dyDescent="0.2">
      <c r="A657" s="1390">
        <v>26</v>
      </c>
      <c r="B657" s="1472" t="str">
        <f t="shared" si="214"/>
        <v>KOTO KARI - RUAS JK. 008/008</v>
      </c>
      <c r="C657" s="1478"/>
      <c r="D657" s="1576"/>
      <c r="E657" s="1413" t="s">
        <v>5501</v>
      </c>
      <c r="F657" s="1539"/>
      <c r="G657" s="1416" t="s">
        <v>2494</v>
      </c>
      <c r="H657" s="1414"/>
      <c r="I657" s="1416"/>
      <c r="J657" s="1512">
        <v>1000</v>
      </c>
      <c r="K657" s="1416">
        <v>4</v>
      </c>
      <c r="L657" s="1500">
        <f t="shared" si="222"/>
        <v>4000</v>
      </c>
      <c r="M657" s="1429" t="s">
        <v>5502</v>
      </c>
      <c r="N657" s="1530">
        <v>2019</v>
      </c>
      <c r="O657" s="1429" t="s">
        <v>5503</v>
      </c>
      <c r="P657" s="1414" t="s">
        <v>433</v>
      </c>
      <c r="Q657" s="1414"/>
      <c r="R657" s="1501" t="s">
        <v>12</v>
      </c>
      <c r="S657" s="1529">
        <v>2077811963</v>
      </c>
      <c r="T657" s="1528"/>
      <c r="U657" s="1575"/>
      <c r="V657" s="1490"/>
      <c r="W657" s="1478" t="str">
        <f t="shared" si="219"/>
        <v>04.13.01</v>
      </c>
      <c r="X657" s="1478" t="str">
        <f t="shared" si="220"/>
        <v>Jalan</v>
      </c>
      <c r="Y657" s="1478">
        <f t="shared" si="221"/>
        <v>10</v>
      </c>
      <c r="Z657" s="1401">
        <f t="shared" si="217"/>
        <v>207781196.30000001</v>
      </c>
      <c r="AA657" s="1444">
        <f t="shared" si="218"/>
        <v>0</v>
      </c>
      <c r="AB657" s="1401">
        <f t="shared" si="211"/>
        <v>0</v>
      </c>
      <c r="AC657" s="1401">
        <v>0</v>
      </c>
      <c r="AD657" s="1401">
        <v>0</v>
      </c>
      <c r="AE657" s="1401">
        <v>0</v>
      </c>
      <c r="AF657" s="1401">
        <v>0</v>
      </c>
      <c r="AG657" s="1479">
        <v>0</v>
      </c>
      <c r="AH657" s="1479">
        <f t="shared" si="224"/>
        <v>207781196.30000001</v>
      </c>
      <c r="AI657" s="1479">
        <f t="shared" si="223"/>
        <v>207781196.30000001</v>
      </c>
      <c r="AJ657" s="1401">
        <f t="shared" si="213"/>
        <v>1870030766.7</v>
      </c>
    </row>
    <row r="658" spans="1:36" s="1472" customFormat="1" ht="51" customHeight="1" x14ac:dyDescent="0.2">
      <c r="A658" s="1390">
        <v>134</v>
      </c>
      <c r="B658" s="1472" t="str">
        <f t="shared" si="214"/>
        <v>KEPALA PULAU - PULAU MADINAH</v>
      </c>
      <c r="C658" s="1478"/>
      <c r="D658" s="1576"/>
      <c r="E658" s="1413" t="s">
        <v>5504</v>
      </c>
      <c r="F658" s="1539"/>
      <c r="G658" s="1416" t="s">
        <v>2494</v>
      </c>
      <c r="H658" s="1414"/>
      <c r="I658" s="1416"/>
      <c r="J658" s="1512">
        <v>1000</v>
      </c>
      <c r="K658" s="1416">
        <v>4</v>
      </c>
      <c r="L658" s="1500">
        <f t="shared" si="222"/>
        <v>4000</v>
      </c>
      <c r="M658" s="1429" t="s">
        <v>3662</v>
      </c>
      <c r="N658" s="1530">
        <v>2019</v>
      </c>
      <c r="O658" s="1429" t="s">
        <v>5505</v>
      </c>
      <c r="P658" s="1414" t="s">
        <v>433</v>
      </c>
      <c r="Q658" s="1414"/>
      <c r="R658" s="1501" t="s">
        <v>12</v>
      </c>
      <c r="S658" s="1529">
        <v>2158149000</v>
      </c>
      <c r="T658" s="1528"/>
      <c r="U658" s="1575"/>
      <c r="V658" s="1490"/>
      <c r="W658" s="1478" t="str">
        <f t="shared" si="219"/>
        <v>04.13.01</v>
      </c>
      <c r="X658" s="1478" t="str">
        <f t="shared" si="220"/>
        <v>Jalan</v>
      </c>
      <c r="Y658" s="1478">
        <f t="shared" si="221"/>
        <v>10</v>
      </c>
      <c r="Z658" s="1401">
        <f t="shared" si="217"/>
        <v>215814900</v>
      </c>
      <c r="AA658" s="1444">
        <f t="shared" si="218"/>
        <v>0</v>
      </c>
      <c r="AB658" s="1401">
        <f t="shared" si="211"/>
        <v>0</v>
      </c>
      <c r="AC658" s="1401">
        <v>0</v>
      </c>
      <c r="AD658" s="1401">
        <v>0</v>
      </c>
      <c r="AE658" s="1401">
        <v>0</v>
      </c>
      <c r="AF658" s="1401">
        <v>0</v>
      </c>
      <c r="AG658" s="1479">
        <v>0</v>
      </c>
      <c r="AH658" s="1479">
        <f t="shared" si="224"/>
        <v>215814900</v>
      </c>
      <c r="AI658" s="1479">
        <f t="shared" si="223"/>
        <v>215814900</v>
      </c>
      <c r="AJ658" s="1401">
        <f t="shared" si="213"/>
        <v>1942334100</v>
      </c>
    </row>
    <row r="659" spans="1:36" s="1472" customFormat="1" ht="51" customHeight="1" x14ac:dyDescent="0.2">
      <c r="A659" s="1390" t="s">
        <v>5252</v>
      </c>
      <c r="B659" s="1472" t="e">
        <f t="shared" si="214"/>
        <v>#N/A</v>
      </c>
      <c r="C659" s="1478"/>
      <c r="D659" s="1576"/>
      <c r="E659" s="1413" t="s">
        <v>5687</v>
      </c>
      <c r="F659" s="1539"/>
      <c r="G659" s="1416" t="s">
        <v>2494</v>
      </c>
      <c r="H659" s="1414"/>
      <c r="I659" s="1416" t="s">
        <v>5532</v>
      </c>
      <c r="J659" s="1512">
        <v>1000</v>
      </c>
      <c r="K659" s="1416">
        <v>4</v>
      </c>
      <c r="L659" s="1500">
        <f t="shared" si="222"/>
        <v>4000</v>
      </c>
      <c r="M659" s="1429" t="s">
        <v>5686</v>
      </c>
      <c r="N659" s="1530">
        <v>2019</v>
      </c>
      <c r="O659" s="1429" t="s">
        <v>5509</v>
      </c>
      <c r="P659" s="1414" t="s">
        <v>433</v>
      </c>
      <c r="Q659" s="1414"/>
      <c r="R659" s="1501" t="s">
        <v>12</v>
      </c>
      <c r="S659" s="1529">
        <v>2153766500</v>
      </c>
      <c r="T659" s="1528"/>
      <c r="U659" s="1575"/>
      <c r="V659" s="1490"/>
      <c r="W659" s="1478" t="str">
        <f t="shared" si="219"/>
        <v>04.13.01</v>
      </c>
      <c r="X659" s="1478" t="str">
        <f t="shared" si="220"/>
        <v>Jalan</v>
      </c>
      <c r="Y659" s="1478">
        <f t="shared" si="221"/>
        <v>10</v>
      </c>
      <c r="Z659" s="1401">
        <f t="shared" si="217"/>
        <v>215376650</v>
      </c>
      <c r="AA659" s="1444">
        <f t="shared" si="218"/>
        <v>0</v>
      </c>
      <c r="AB659" s="1401">
        <f t="shared" si="211"/>
        <v>0</v>
      </c>
      <c r="AC659" s="1401">
        <v>0</v>
      </c>
      <c r="AD659" s="1401">
        <v>0</v>
      </c>
      <c r="AE659" s="1401">
        <v>0</v>
      </c>
      <c r="AF659" s="1401">
        <v>0</v>
      </c>
      <c r="AG659" s="1479">
        <v>0</v>
      </c>
      <c r="AH659" s="1479">
        <f t="shared" si="224"/>
        <v>215376650</v>
      </c>
      <c r="AI659" s="1479">
        <f t="shared" si="223"/>
        <v>215376650</v>
      </c>
      <c r="AJ659" s="1401">
        <f t="shared" si="213"/>
        <v>1938389850</v>
      </c>
    </row>
    <row r="660" spans="1:36" s="1472" customFormat="1" ht="51" customHeight="1" x14ac:dyDescent="0.2">
      <c r="A660" s="1390" t="s">
        <v>5252</v>
      </c>
      <c r="B660" s="1472" t="e">
        <f t="shared" si="214"/>
        <v>#N/A</v>
      </c>
      <c r="C660" s="1478"/>
      <c r="D660" s="1576"/>
      <c r="E660" s="1413" t="s">
        <v>5692</v>
      </c>
      <c r="F660" s="1539"/>
      <c r="G660" s="1416" t="s">
        <v>5690</v>
      </c>
      <c r="H660" s="1414"/>
      <c r="I660" s="1416" t="s">
        <v>5532</v>
      </c>
      <c r="J660" s="1512">
        <v>1000</v>
      </c>
      <c r="K660" s="1416">
        <v>4</v>
      </c>
      <c r="L660" s="1500">
        <f t="shared" si="222"/>
        <v>4000</v>
      </c>
      <c r="M660" s="1429" t="s">
        <v>5513</v>
      </c>
      <c r="N660" s="1530">
        <v>2019</v>
      </c>
      <c r="O660" s="1429" t="s">
        <v>5514</v>
      </c>
      <c r="P660" s="1414" t="s">
        <v>433</v>
      </c>
      <c r="Q660" s="1414"/>
      <c r="R660" s="1501" t="s">
        <v>12</v>
      </c>
      <c r="S660" s="1529">
        <v>2004893410</v>
      </c>
      <c r="T660" s="1528"/>
      <c r="U660" s="1575"/>
      <c r="V660" s="1490"/>
      <c r="W660" s="1478" t="str">
        <f t="shared" si="219"/>
        <v>04.13.01</v>
      </c>
      <c r="X660" s="1478" t="str">
        <f t="shared" si="220"/>
        <v>Jalan</v>
      </c>
      <c r="Y660" s="1478">
        <f t="shared" si="221"/>
        <v>10</v>
      </c>
      <c r="Z660" s="1401">
        <f t="shared" si="217"/>
        <v>200489341</v>
      </c>
      <c r="AA660" s="1444">
        <f t="shared" si="218"/>
        <v>0</v>
      </c>
      <c r="AB660" s="1401">
        <f t="shared" si="211"/>
        <v>0</v>
      </c>
      <c r="AC660" s="1401">
        <v>0</v>
      </c>
      <c r="AD660" s="1401">
        <v>0</v>
      </c>
      <c r="AE660" s="1401">
        <v>0</v>
      </c>
      <c r="AF660" s="1401">
        <v>0</v>
      </c>
      <c r="AG660" s="1479">
        <v>0</v>
      </c>
      <c r="AH660" s="1479">
        <f t="shared" si="224"/>
        <v>200489341</v>
      </c>
      <c r="AI660" s="1479">
        <f t="shared" si="223"/>
        <v>200489341</v>
      </c>
      <c r="AJ660" s="1401">
        <f t="shared" ref="AJ660:AJ666" si="225">S660-AI660</f>
        <v>1804404069</v>
      </c>
    </row>
    <row r="661" spans="1:36" s="1472" customFormat="1" ht="51" customHeight="1" x14ac:dyDescent="0.2">
      <c r="A661" s="1390" t="s">
        <v>5252</v>
      </c>
      <c r="B661" s="1472" t="e">
        <f t="shared" si="214"/>
        <v>#N/A</v>
      </c>
      <c r="C661" s="1478"/>
      <c r="D661" s="1576"/>
      <c r="E661" s="1413" t="s">
        <v>5694</v>
      </c>
      <c r="F661" s="1539"/>
      <c r="G661" s="1416" t="s">
        <v>2494</v>
      </c>
      <c r="H661" s="1414"/>
      <c r="I661" s="1416" t="s">
        <v>5532</v>
      </c>
      <c r="J661" s="1512">
        <v>1000</v>
      </c>
      <c r="K661" s="1416">
        <v>4</v>
      </c>
      <c r="L661" s="1500">
        <f t="shared" si="222"/>
        <v>4000</v>
      </c>
      <c r="M661" s="1429" t="s">
        <v>5516</v>
      </c>
      <c r="N661" s="1530">
        <v>2019</v>
      </c>
      <c r="O661" s="1429" t="s">
        <v>5695</v>
      </c>
      <c r="P661" s="1414" t="s">
        <v>433</v>
      </c>
      <c r="Q661" s="1414"/>
      <c r="R661" s="1501" t="s">
        <v>12</v>
      </c>
      <c r="S661" s="1529">
        <v>2194583474</v>
      </c>
      <c r="T661" s="1528"/>
      <c r="U661" s="1575"/>
      <c r="V661" s="1490"/>
      <c r="W661" s="1478" t="str">
        <f t="shared" si="219"/>
        <v>04.13.01</v>
      </c>
      <c r="X661" s="1478" t="str">
        <f t="shared" si="220"/>
        <v>Jalan</v>
      </c>
      <c r="Y661" s="1478">
        <f t="shared" si="221"/>
        <v>10</v>
      </c>
      <c r="Z661" s="1401">
        <f t="shared" si="217"/>
        <v>219458347.40000001</v>
      </c>
      <c r="AA661" s="1444">
        <f t="shared" si="218"/>
        <v>0</v>
      </c>
      <c r="AB661" s="1401">
        <f t="shared" si="211"/>
        <v>0</v>
      </c>
      <c r="AC661" s="1401">
        <v>0</v>
      </c>
      <c r="AD661" s="1401">
        <v>0</v>
      </c>
      <c r="AE661" s="1401">
        <v>0</v>
      </c>
      <c r="AF661" s="1401">
        <v>0</v>
      </c>
      <c r="AG661" s="1479">
        <v>0</v>
      </c>
      <c r="AH661" s="1479">
        <f t="shared" si="224"/>
        <v>219458347.40000001</v>
      </c>
      <c r="AI661" s="1479">
        <f t="shared" si="223"/>
        <v>219458347.40000001</v>
      </c>
      <c r="AJ661" s="1401">
        <f t="shared" si="225"/>
        <v>1975125126.5999999</v>
      </c>
    </row>
    <row r="662" spans="1:36" s="1472" customFormat="1" ht="51" customHeight="1" x14ac:dyDescent="0.2">
      <c r="A662" s="1390">
        <v>103</v>
      </c>
      <c r="B662" s="1472" t="str">
        <f t="shared" si="214"/>
        <v>JL. DESA RANTAU SIALANG - SEI. KUANTAN</v>
      </c>
      <c r="C662" s="1478"/>
      <c r="D662" s="1576"/>
      <c r="E662" s="1413" t="s">
        <v>5697</v>
      </c>
      <c r="F662" s="1539"/>
      <c r="G662" s="1416" t="s">
        <v>2494</v>
      </c>
      <c r="H662" s="1414"/>
      <c r="I662" s="1416" t="s">
        <v>5532</v>
      </c>
      <c r="J662" s="1512">
        <v>900</v>
      </c>
      <c r="K662" s="1416">
        <v>4</v>
      </c>
      <c r="L662" s="1500">
        <f t="shared" si="222"/>
        <v>3600</v>
      </c>
      <c r="M662" s="1429" t="s">
        <v>5527</v>
      </c>
      <c r="N662" s="1530">
        <v>2019</v>
      </c>
      <c r="O662" s="1429" t="s">
        <v>5528</v>
      </c>
      <c r="P662" s="1414" t="s">
        <v>433</v>
      </c>
      <c r="Q662" s="1414"/>
      <c r="R662" s="1501" t="s">
        <v>12</v>
      </c>
      <c r="S662" s="1529">
        <v>1936998426</v>
      </c>
      <c r="T662" s="1528"/>
      <c r="U662" s="1575"/>
      <c r="V662" s="1490"/>
      <c r="W662" s="1478" t="str">
        <f>LEFT(G662,8)</f>
        <v>04.13.01</v>
      </c>
      <c r="X662" s="1478" t="str">
        <f>VLOOKUP(W662,UE,3,FALSE)</f>
        <v>Jalan</v>
      </c>
      <c r="Y662" s="1478">
        <f t="shared" si="221"/>
        <v>10</v>
      </c>
      <c r="Z662" s="1401">
        <f t="shared" si="217"/>
        <v>193699842.59999999</v>
      </c>
      <c r="AA662" s="1444">
        <f t="shared" si="218"/>
        <v>0</v>
      </c>
      <c r="AB662" s="1401"/>
      <c r="AC662" s="1401"/>
      <c r="AD662" s="1401"/>
      <c r="AE662" s="1401"/>
      <c r="AF662" s="1401"/>
      <c r="AG662" s="1479"/>
      <c r="AH662" s="1479">
        <f t="shared" si="224"/>
        <v>193699842.59999999</v>
      </c>
      <c r="AI662" s="1479">
        <f t="shared" si="223"/>
        <v>193699842.59999999</v>
      </c>
      <c r="AJ662" s="1401">
        <f t="shared" si="225"/>
        <v>1743298583.4000001</v>
      </c>
    </row>
    <row r="663" spans="1:36" s="1472" customFormat="1" ht="51" customHeight="1" x14ac:dyDescent="0.2">
      <c r="A663" s="1390" t="s">
        <v>5252</v>
      </c>
      <c r="B663" s="1472" t="e">
        <f t="shared" si="214"/>
        <v>#N/A</v>
      </c>
      <c r="C663" s="1478"/>
      <c r="D663" s="1576"/>
      <c r="E663" s="1413" t="s">
        <v>5699</v>
      </c>
      <c r="F663" s="1539"/>
      <c r="G663" s="1416" t="s">
        <v>2494</v>
      </c>
      <c r="H663" s="1414"/>
      <c r="I663" s="1416"/>
      <c r="J663" s="1546">
        <v>2.5</v>
      </c>
      <c r="K663" s="1547">
        <v>7</v>
      </c>
      <c r="L663" s="1548">
        <f t="shared" si="222"/>
        <v>17.5</v>
      </c>
      <c r="M663" s="1429" t="s">
        <v>5702</v>
      </c>
      <c r="N663" s="1530">
        <v>2019</v>
      </c>
      <c r="O663" s="1429" t="s">
        <v>5703</v>
      </c>
      <c r="P663" s="1414" t="s">
        <v>433</v>
      </c>
      <c r="Q663" s="1414"/>
      <c r="R663" s="1501" t="s">
        <v>12</v>
      </c>
      <c r="S663" s="1529">
        <v>185023000</v>
      </c>
      <c r="T663" s="1528"/>
      <c r="U663" s="1575"/>
      <c r="V663" s="1490"/>
      <c r="W663" s="1478" t="str">
        <f>LEFT(G663,8)</f>
        <v>04.13.01</v>
      </c>
      <c r="X663" s="1478" t="str">
        <f>VLOOKUP(W663,UE,3,FALSE)</f>
        <v>Jalan</v>
      </c>
      <c r="Y663" s="1478">
        <f t="shared" si="221"/>
        <v>10</v>
      </c>
      <c r="Z663" s="1401">
        <f t="shared" si="217"/>
        <v>18502300</v>
      </c>
      <c r="AA663" s="1444">
        <f t="shared" si="218"/>
        <v>0</v>
      </c>
      <c r="AB663" s="1401"/>
      <c r="AC663" s="1401"/>
      <c r="AD663" s="1401"/>
      <c r="AE663" s="1401"/>
      <c r="AF663" s="1401"/>
      <c r="AG663" s="1479"/>
      <c r="AH663" s="1479">
        <f t="shared" si="224"/>
        <v>18502300</v>
      </c>
      <c r="AI663" s="1479">
        <f t="shared" si="223"/>
        <v>18502300</v>
      </c>
      <c r="AJ663" s="1401">
        <f t="shared" si="225"/>
        <v>166520700</v>
      </c>
    </row>
    <row r="664" spans="1:36" s="1472" customFormat="1" ht="51" customHeight="1" x14ac:dyDescent="0.2">
      <c r="A664" s="1390" t="s">
        <v>5252</v>
      </c>
      <c r="B664" s="1472" t="e">
        <f t="shared" si="214"/>
        <v>#N/A</v>
      </c>
      <c r="C664" s="1478"/>
      <c r="D664" s="1576"/>
      <c r="E664" s="1413" t="s">
        <v>5704</v>
      </c>
      <c r="F664" s="1539"/>
      <c r="G664" s="1416" t="s">
        <v>2494</v>
      </c>
      <c r="H664" s="1414"/>
      <c r="I664" s="1416"/>
      <c r="J664" s="1546">
        <v>2</v>
      </c>
      <c r="K664" s="1547">
        <v>7</v>
      </c>
      <c r="L664" s="1548">
        <f t="shared" si="222"/>
        <v>14</v>
      </c>
      <c r="M664" s="1429" t="s">
        <v>2892</v>
      </c>
      <c r="N664" s="1530">
        <v>2019</v>
      </c>
      <c r="O664" s="1429" t="s">
        <v>5705</v>
      </c>
      <c r="P664" s="1414" t="s">
        <v>433</v>
      </c>
      <c r="Q664" s="1414"/>
      <c r="R664" s="1501" t="s">
        <v>12</v>
      </c>
      <c r="S664" s="1529">
        <v>184927077</v>
      </c>
      <c r="T664" s="1528"/>
      <c r="U664" s="1575"/>
      <c r="V664" s="1490"/>
      <c r="W664" s="1478" t="str">
        <f>LEFT(G664,8)</f>
        <v>04.13.01</v>
      </c>
      <c r="X664" s="1478" t="str">
        <f>VLOOKUP(W664,UE,3,FALSE)</f>
        <v>Jalan</v>
      </c>
      <c r="Y664" s="1478">
        <f t="shared" si="221"/>
        <v>10</v>
      </c>
      <c r="Z664" s="1401">
        <f t="shared" si="217"/>
        <v>18492707.699999999</v>
      </c>
      <c r="AA664" s="1444">
        <f t="shared" si="218"/>
        <v>0</v>
      </c>
      <c r="AB664" s="1401"/>
      <c r="AC664" s="1401"/>
      <c r="AD664" s="1401"/>
      <c r="AE664" s="1401"/>
      <c r="AF664" s="1401"/>
      <c r="AG664" s="1479"/>
      <c r="AH664" s="1479">
        <f t="shared" si="224"/>
        <v>18492707.699999999</v>
      </c>
      <c r="AI664" s="1479">
        <f t="shared" si="223"/>
        <v>18492707.699999999</v>
      </c>
      <c r="AJ664" s="1401">
        <f t="shared" si="225"/>
        <v>166434369.30000001</v>
      </c>
    </row>
    <row r="665" spans="1:36" s="1472" customFormat="1" ht="51" customHeight="1" x14ac:dyDescent="0.2">
      <c r="A665" s="1390" t="s">
        <v>5252</v>
      </c>
      <c r="B665" s="1472" t="e">
        <f t="shared" si="214"/>
        <v>#N/A</v>
      </c>
      <c r="C665" s="1478"/>
      <c r="D665" s="1576"/>
      <c r="E665" s="1413" t="s">
        <v>5706</v>
      </c>
      <c r="F665" s="1539"/>
      <c r="G665" s="1416" t="s">
        <v>2494</v>
      </c>
      <c r="H665" s="1414"/>
      <c r="I665" s="1416"/>
      <c r="J665" s="1546">
        <v>2.5</v>
      </c>
      <c r="K665" s="1547">
        <v>7.3</v>
      </c>
      <c r="L665" s="1548">
        <f t="shared" si="222"/>
        <v>18.25</v>
      </c>
      <c r="M665" s="1429" t="s">
        <v>5707</v>
      </c>
      <c r="N665" s="1530">
        <v>2019</v>
      </c>
      <c r="O665" s="1429" t="s">
        <v>5708</v>
      </c>
      <c r="P665" s="1414" t="s">
        <v>433</v>
      </c>
      <c r="Q665" s="1414"/>
      <c r="R665" s="1501" t="s">
        <v>12</v>
      </c>
      <c r="S665" s="1529">
        <v>135286500</v>
      </c>
      <c r="T665" s="1528"/>
      <c r="U665" s="1575"/>
      <c r="V665" s="1490"/>
      <c r="W665" s="1478" t="str">
        <f>LEFT(G665,8)</f>
        <v>04.13.01</v>
      </c>
      <c r="X665" s="1478" t="str">
        <f>VLOOKUP(W665,UE,3,FALSE)</f>
        <v>Jalan</v>
      </c>
      <c r="Y665" s="1478">
        <f t="shared" si="221"/>
        <v>10</v>
      </c>
      <c r="Z665" s="1401">
        <f t="shared" si="217"/>
        <v>13528650</v>
      </c>
      <c r="AA665" s="1444">
        <f t="shared" si="218"/>
        <v>0</v>
      </c>
      <c r="AB665" s="1401"/>
      <c r="AC665" s="1401"/>
      <c r="AD665" s="1401"/>
      <c r="AE665" s="1401"/>
      <c r="AF665" s="1401"/>
      <c r="AG665" s="1479"/>
      <c r="AH665" s="1479">
        <f t="shared" si="224"/>
        <v>13528650</v>
      </c>
      <c r="AI665" s="1479">
        <f t="shared" si="223"/>
        <v>13528650</v>
      </c>
      <c r="AJ665" s="1401">
        <f t="shared" si="225"/>
        <v>121757850</v>
      </c>
    </row>
    <row r="666" spans="1:36" s="1472" customFormat="1" ht="51" customHeight="1" x14ac:dyDescent="0.2">
      <c r="A666" s="1390"/>
      <c r="C666" s="1478"/>
      <c r="D666" s="1576"/>
      <c r="E666" s="1413" t="s">
        <v>5709</v>
      </c>
      <c r="F666" s="1539"/>
      <c r="G666" s="1416" t="s">
        <v>2494</v>
      </c>
      <c r="H666" s="1414"/>
      <c r="I666" s="1416"/>
      <c r="J666" s="1546">
        <v>3</v>
      </c>
      <c r="K666" s="1547">
        <v>6</v>
      </c>
      <c r="L666" s="1548">
        <f t="shared" si="222"/>
        <v>18</v>
      </c>
      <c r="M666" s="1429" t="s">
        <v>3306</v>
      </c>
      <c r="N666" s="1530">
        <v>2019</v>
      </c>
      <c r="O666" s="1429" t="s">
        <v>5710</v>
      </c>
      <c r="P666" s="1414" t="s">
        <v>433</v>
      </c>
      <c r="Q666" s="1414"/>
      <c r="R666" s="1501" t="s">
        <v>12</v>
      </c>
      <c r="S666" s="1529">
        <v>185450540</v>
      </c>
      <c r="T666" s="1528"/>
      <c r="U666" s="1575"/>
      <c r="V666" s="1490"/>
      <c r="W666" s="1478" t="str">
        <f>LEFT(G666,8)</f>
        <v>04.13.01</v>
      </c>
      <c r="X666" s="1478" t="str">
        <f>VLOOKUP(W666,UE,3,FALSE)</f>
        <v>Jalan</v>
      </c>
      <c r="Y666" s="1478">
        <f t="shared" si="221"/>
        <v>10</v>
      </c>
      <c r="Z666" s="1401">
        <f t="shared" si="217"/>
        <v>18545054</v>
      </c>
      <c r="AA666" s="1444">
        <f t="shared" si="218"/>
        <v>0</v>
      </c>
      <c r="AB666" s="1401"/>
      <c r="AC666" s="1401"/>
      <c r="AD666" s="1401"/>
      <c r="AE666" s="1401"/>
      <c r="AF666" s="1401"/>
      <c r="AG666" s="1479"/>
      <c r="AH666" s="1479">
        <f t="shared" si="224"/>
        <v>18545054</v>
      </c>
      <c r="AI666" s="1479">
        <f t="shared" si="223"/>
        <v>18545054</v>
      </c>
      <c r="AJ666" s="1401">
        <f t="shared" si="225"/>
        <v>166905486</v>
      </c>
    </row>
    <row r="667" spans="1:36" s="1390" customFormat="1" ht="51" customHeight="1" x14ac:dyDescent="0.2">
      <c r="B667" s="1472"/>
      <c r="C667" s="1478"/>
      <c r="D667" s="1621"/>
      <c r="E667" s="1410" t="s">
        <v>4146</v>
      </c>
      <c r="F667" s="1529"/>
      <c r="G667" s="1501"/>
      <c r="H667" s="1501"/>
      <c r="I667" s="1414"/>
      <c r="J667" s="1526"/>
      <c r="K667" s="1416"/>
      <c r="L667" s="1430"/>
      <c r="M667" s="1429"/>
      <c r="N667" s="1501"/>
      <c r="O667" s="1414"/>
      <c r="P667" s="1414"/>
      <c r="Q667" s="1414"/>
      <c r="R667" s="1501"/>
      <c r="S667" s="1527"/>
      <c r="T667" s="1528"/>
      <c r="U667" s="1575"/>
      <c r="V667" s="1490"/>
      <c r="W667" s="1478"/>
      <c r="X667" s="1478"/>
      <c r="Y667" s="1478"/>
      <c r="Z667" s="1401"/>
      <c r="AA667" s="1444"/>
      <c r="AB667" s="1401"/>
      <c r="AC667" s="1401"/>
      <c r="AD667" s="1401"/>
      <c r="AE667" s="1401"/>
      <c r="AF667" s="1401"/>
      <c r="AG667" s="1479"/>
      <c r="AH667" s="1479"/>
      <c r="AI667" s="1479"/>
      <c r="AJ667" s="1401"/>
    </row>
    <row r="668" spans="1:36" s="1390" customFormat="1" ht="29" customHeight="1" x14ac:dyDescent="0.15">
      <c r="A668" s="1390" t="s">
        <v>4134</v>
      </c>
      <c r="B668" s="1472" t="s">
        <v>5727</v>
      </c>
      <c r="C668" s="1516" t="s">
        <v>4247</v>
      </c>
      <c r="D668" s="1426"/>
      <c r="E668" s="1429" t="s">
        <v>5880</v>
      </c>
      <c r="F668" s="1539"/>
      <c r="G668" s="1517" t="s">
        <v>3824</v>
      </c>
      <c r="H668" s="1518"/>
      <c r="I668" s="1518" t="s">
        <v>835</v>
      </c>
      <c r="J668" s="1533">
        <v>0</v>
      </c>
      <c r="K668" s="1517"/>
      <c r="L668" s="1519">
        <v>40</v>
      </c>
      <c r="M668" s="1518" t="s">
        <v>3130</v>
      </c>
      <c r="N668" s="1517">
        <v>2011</v>
      </c>
      <c r="O668" s="1518"/>
      <c r="P668" s="1518"/>
      <c r="Q668" s="1518"/>
      <c r="R668" s="1517" t="s">
        <v>12</v>
      </c>
      <c r="S668" s="1520">
        <f>3841002466.55446+F669+F670+F671+F672+F673</f>
        <v>12008944039.724461</v>
      </c>
      <c r="T668" s="1517" t="s">
        <v>43</v>
      </c>
      <c r="U668" s="1572"/>
      <c r="V668" s="1521"/>
      <c r="W668" s="1522" t="str">
        <f t="shared" ref="W668:W678" si="226">LEFT(G668,8)</f>
        <v>04.13.02</v>
      </c>
      <c r="X668" s="1478" t="str">
        <f t="shared" ref="X668:X678" si="227">VLOOKUP(W668,UE,3,FALSE)</f>
        <v>Jembatan</v>
      </c>
      <c r="Y668" s="1478">
        <f t="shared" ref="Y668:Y678" si="228">VLOOKUP(W668,UE,4,FALSE)</f>
        <v>50</v>
      </c>
      <c r="Z668" s="1401"/>
      <c r="AA668" s="1444">
        <f>IF(2013-N668&gt;Y668,10,IF(2013-N668&lt;0,0,2013-N668))</f>
        <v>2</v>
      </c>
      <c r="AB668" s="1401">
        <f>SUM(PERHITUNGAN!U1899:U1901)</f>
        <v>228371596.02002403</v>
      </c>
      <c r="AC668" s="1479">
        <f>SUMIF(PERHITUNGAN!A:A,'KIB D'!B668&amp;'KIB D'!$AC$7,PERHITUNGAN!U:U)</f>
        <v>104805807.29068871</v>
      </c>
      <c r="AD668" s="1479">
        <f>SUMIF(PERHITUNGAN!A:A,'KIB D'!B668&amp;'KIB D'!$AD$7,PERHITUNGAN!U:U)</f>
        <v>112587393.90487494</v>
      </c>
      <c r="AE668" s="1479">
        <f>SUMIF(PERHITUNGAN!A:A,'KIB D'!B668&amp;'KIB D'!$AE$7,PERHITUNGAN!U:U)</f>
        <v>231263584.85017747</v>
      </c>
      <c r="AF668" s="1479">
        <f>SUMIF(PERHITUNGAN!A:A,'KIB D'!B668&amp;'KIB D'!$AF$7,PERHITUNGAN!U:U)</f>
        <v>231263584.85017747</v>
      </c>
      <c r="AG668" s="1479">
        <f>SUMIF(PERHITUNGAN!A:A,'KIB D'!B668&amp;'KIB D'!$AG$7,PERHITUNGAN!U:U)</f>
        <v>231263584.85017747</v>
      </c>
      <c r="AH668" s="1479">
        <f>SUMIF(PERHITUNGAN!A:A,'KIB D'!B668&amp;'KIB D'!$AH$7,PERHITUNGAN!U:U)</f>
        <v>231263584.85017747</v>
      </c>
      <c r="AI668" s="1479">
        <f>SUM(AB668:AH668)</f>
        <v>1370819136.6162977</v>
      </c>
      <c r="AJ668" s="1401">
        <f t="shared" ref="AJ668:AJ678" si="229">S668-AI668</f>
        <v>10638124903.108162</v>
      </c>
    </row>
    <row r="669" spans="1:36" s="1390" customFormat="1" ht="29" customHeight="1" x14ac:dyDescent="0.2">
      <c r="A669" s="1390" t="s">
        <v>4134</v>
      </c>
      <c r="B669" s="1472" t="e">
        <f t="shared" ref="B669:B677" si="230">VLOOKUP(A669,RUAS,2,FALSE)</f>
        <v>#N/A</v>
      </c>
      <c r="C669" s="1478" t="e">
        <f>RIGHT(#REF!,1)</f>
        <v>#REF!</v>
      </c>
      <c r="D669" s="1426"/>
      <c r="E669" s="1429" t="s">
        <v>1648</v>
      </c>
      <c r="F669" s="1539">
        <v>49212500</v>
      </c>
      <c r="G669" s="1517" t="s">
        <v>3824</v>
      </c>
      <c r="H669" s="1518"/>
      <c r="I669" s="1518"/>
      <c r="J669" s="1519">
        <v>0</v>
      </c>
      <c r="K669" s="1517"/>
      <c r="L669" s="1519">
        <v>0</v>
      </c>
      <c r="M669" s="1518" t="s">
        <v>3130</v>
      </c>
      <c r="N669" s="1517">
        <v>2013</v>
      </c>
      <c r="O669" s="1518"/>
      <c r="P669" s="1518"/>
      <c r="Q669" s="1518"/>
      <c r="R669" s="1517" t="s">
        <v>12</v>
      </c>
      <c r="S669" s="1520"/>
      <c r="T669" s="1518"/>
      <c r="U669" s="1572"/>
      <c r="V669" s="1521"/>
      <c r="W669" s="1478" t="str">
        <f t="shared" si="226"/>
        <v>04.13.02</v>
      </c>
      <c r="X669" s="1478" t="str">
        <f t="shared" si="227"/>
        <v>Jembatan</v>
      </c>
      <c r="Y669" s="1478">
        <f t="shared" si="228"/>
        <v>50</v>
      </c>
      <c r="Z669" s="1401">
        <f>S669/Y669</f>
        <v>0</v>
      </c>
      <c r="AA669" s="1444">
        <f>IF(2013-N669+1&gt;Y669,Y669,IF(2013-N669+1&lt;0,0,2013-N669+1))</f>
        <v>1</v>
      </c>
      <c r="AB669" s="1401">
        <f>IF(AA669&gt;Y669,S669,Z669*AA669)</f>
        <v>0</v>
      </c>
      <c r="AC669" s="1401">
        <f>IF(S669=AB669,0,Z669)</f>
        <v>0</v>
      </c>
      <c r="AD669" s="1401">
        <f>IF(S669=AB669+AC669,0,Z669)</f>
        <v>0</v>
      </c>
      <c r="AE669" s="1401">
        <f>IF(S669=AB669+AC669+AD669,0,Z669)</f>
        <v>0</v>
      </c>
      <c r="AF669" s="1401">
        <f>IF(S669=AC669+AD669+AE669+AB669,0,Z669)</f>
        <v>0</v>
      </c>
      <c r="AG669" s="1479">
        <f>IF(S669=AC669+AD669+AE669+AB669+AF669,0,Z669)</f>
        <v>0</v>
      </c>
      <c r="AH669" s="1479"/>
      <c r="AI669" s="1479">
        <f>SUM(AB669:AG669)</f>
        <v>0</v>
      </c>
      <c r="AJ669" s="1401">
        <f t="shared" si="229"/>
        <v>0</v>
      </c>
    </row>
    <row r="670" spans="1:36" s="1390" customFormat="1" ht="29" customHeight="1" x14ac:dyDescent="0.2">
      <c r="A670" s="1390" t="s">
        <v>4134</v>
      </c>
      <c r="B670" s="1472" t="e">
        <f t="shared" si="230"/>
        <v>#N/A</v>
      </c>
      <c r="C670" s="1478" t="e">
        <f>RIGHT(#REF!,1)</f>
        <v>#REF!</v>
      </c>
      <c r="D670" s="1426"/>
      <c r="E670" s="1429" t="s">
        <v>1649</v>
      </c>
      <c r="F670" s="1539">
        <v>1578446994</v>
      </c>
      <c r="G670" s="1517" t="s">
        <v>3824</v>
      </c>
      <c r="H670" s="1518"/>
      <c r="I670" s="1518"/>
      <c r="J670" s="1519">
        <v>0</v>
      </c>
      <c r="K670" s="1517"/>
      <c r="L670" s="1519">
        <v>0</v>
      </c>
      <c r="M670" s="1518" t="s">
        <v>3130</v>
      </c>
      <c r="N670" s="1517">
        <v>2014</v>
      </c>
      <c r="O670" s="1518"/>
      <c r="P670" s="1518"/>
      <c r="Q670" s="1518"/>
      <c r="R670" s="1517" t="s">
        <v>12</v>
      </c>
      <c r="S670" s="1520"/>
      <c r="T670" s="1518"/>
      <c r="U670" s="1572"/>
      <c r="V670" s="1521"/>
      <c r="W670" s="1478" t="str">
        <f t="shared" si="226"/>
        <v>04.13.02</v>
      </c>
      <c r="X670" s="1478" t="str">
        <f t="shared" si="227"/>
        <v>Jembatan</v>
      </c>
      <c r="Y670" s="1478">
        <f t="shared" si="228"/>
        <v>50</v>
      </c>
      <c r="Z670" s="1401">
        <f>S670/Y670</f>
        <v>0</v>
      </c>
      <c r="AA670" s="1444">
        <f>IF(2013-N670+1&gt;Y670,Y670,IF(2013-N670+1&lt;0,0,2013-N670+1))</f>
        <v>0</v>
      </c>
      <c r="AB670" s="1401">
        <f>IF(AA670&gt;Y670,S670,Z670*AA670)</f>
        <v>0</v>
      </c>
      <c r="AC670" s="1401">
        <f>IF(S670=AB670,0,Z670)</f>
        <v>0</v>
      </c>
      <c r="AD670" s="1401">
        <f>IF(S670=AB670+AC670,0,Z670)</f>
        <v>0</v>
      </c>
      <c r="AE670" s="1401">
        <f>IF(S670=AB670+AC670+AD670,0,Z670)</f>
        <v>0</v>
      </c>
      <c r="AF670" s="1401">
        <f>IF(S670=AC670+AD670+AE670+AB670,0,Z670)</f>
        <v>0</v>
      </c>
      <c r="AG670" s="1479">
        <f>IF(S670=AC670+AD670+AE670+AB670+AF670,0,Z670)</f>
        <v>0</v>
      </c>
      <c r="AH670" s="1479"/>
      <c r="AI670" s="1479">
        <f>SUM(AB670:AG670)</f>
        <v>0</v>
      </c>
      <c r="AJ670" s="1401">
        <f t="shared" si="229"/>
        <v>0</v>
      </c>
    </row>
    <row r="671" spans="1:36" s="1390" customFormat="1" ht="29" customHeight="1" x14ac:dyDescent="0.2">
      <c r="A671" s="1390" t="s">
        <v>4134</v>
      </c>
      <c r="B671" s="1472" t="e">
        <f t="shared" si="230"/>
        <v>#N/A</v>
      </c>
      <c r="C671" s="1478" t="e">
        <f>RIGHT(#REF!,1)</f>
        <v>#REF!</v>
      </c>
      <c r="D671" s="1426"/>
      <c r="E671" s="1429" t="s">
        <v>1425</v>
      </c>
      <c r="F671" s="1539">
        <v>246942569</v>
      </c>
      <c r="G671" s="1517" t="s">
        <v>3824</v>
      </c>
      <c r="H671" s="1518"/>
      <c r="I671" s="1518"/>
      <c r="J671" s="1519">
        <v>0</v>
      </c>
      <c r="K671" s="1517"/>
      <c r="L671" s="1519">
        <v>0</v>
      </c>
      <c r="M671" s="1518" t="s">
        <v>3130</v>
      </c>
      <c r="N671" s="1517">
        <v>2015</v>
      </c>
      <c r="O671" s="1518"/>
      <c r="P671" s="1518"/>
      <c r="Q671" s="1518"/>
      <c r="R671" s="1517" t="s">
        <v>12</v>
      </c>
      <c r="S671" s="1520"/>
      <c r="T671" s="1518"/>
      <c r="U671" s="1572"/>
      <c r="V671" s="1521"/>
      <c r="W671" s="1478" t="str">
        <f t="shared" si="226"/>
        <v>04.13.02</v>
      </c>
      <c r="X671" s="1478" t="str">
        <f t="shared" si="227"/>
        <v>Jembatan</v>
      </c>
      <c r="Y671" s="1478">
        <f t="shared" si="228"/>
        <v>50</v>
      </c>
      <c r="Z671" s="1401">
        <f>S671/Y671</f>
        <v>0</v>
      </c>
      <c r="AA671" s="1444">
        <f>IF(2013-N671+1&gt;Y671,Y671,IF(2013-N671+1&lt;0,0,2013-N671+1))</f>
        <v>0</v>
      </c>
      <c r="AB671" s="1401">
        <f>IF(AA671&gt;Y671,S671,Z671*AA671)</f>
        <v>0</v>
      </c>
      <c r="AC671" s="1401">
        <v>0</v>
      </c>
      <c r="AD671" s="1401">
        <f>IF(S671=AB671+AC671,0,Z671)</f>
        <v>0</v>
      </c>
      <c r="AE671" s="1401">
        <f>IF(S671=AB671+AC671+AD671,0,Z671)</f>
        <v>0</v>
      </c>
      <c r="AF671" s="1401">
        <f>IF(S671=AC671+AD671+AE671+AB671,0,Z671)</f>
        <v>0</v>
      </c>
      <c r="AG671" s="1479">
        <f>IF(S671=AC671+AD671+AE671+AB671+AF671,0,Z671)</f>
        <v>0</v>
      </c>
      <c r="AH671" s="1479"/>
      <c r="AI671" s="1479">
        <f>SUM(AB671:AG671)</f>
        <v>0</v>
      </c>
      <c r="AJ671" s="1401">
        <f t="shared" si="229"/>
        <v>0</v>
      </c>
    </row>
    <row r="672" spans="1:36" s="1390" customFormat="1" ht="29" customHeight="1" x14ac:dyDescent="0.2">
      <c r="A672" s="1390" t="s">
        <v>4134</v>
      </c>
      <c r="B672" s="1472" t="e">
        <f t="shared" si="230"/>
        <v>#N/A</v>
      </c>
      <c r="C672" s="1478" t="e">
        <f>RIGHT(#REF!,1)</f>
        <v>#REF!</v>
      </c>
      <c r="D672" s="1426"/>
      <c r="E672" s="1429" t="s">
        <v>1650</v>
      </c>
      <c r="F672" s="1539">
        <v>246942569</v>
      </c>
      <c r="G672" s="1517" t="s">
        <v>3824</v>
      </c>
      <c r="H672" s="1518"/>
      <c r="I672" s="1518"/>
      <c r="J672" s="1519">
        <v>0</v>
      </c>
      <c r="K672" s="1517"/>
      <c r="L672" s="1519">
        <v>0</v>
      </c>
      <c r="M672" s="1518" t="s">
        <v>3130</v>
      </c>
      <c r="N672" s="1517">
        <v>2015</v>
      </c>
      <c r="O672" s="1518"/>
      <c r="P672" s="1518"/>
      <c r="Q672" s="1518"/>
      <c r="R672" s="1517" t="s">
        <v>12</v>
      </c>
      <c r="S672" s="1520"/>
      <c r="T672" s="1518"/>
      <c r="U672" s="1572"/>
      <c r="V672" s="1521"/>
      <c r="W672" s="1478" t="str">
        <f t="shared" si="226"/>
        <v>04.13.02</v>
      </c>
      <c r="X672" s="1478" t="str">
        <f t="shared" si="227"/>
        <v>Jembatan</v>
      </c>
      <c r="Y672" s="1478">
        <f t="shared" si="228"/>
        <v>50</v>
      </c>
      <c r="Z672" s="1401">
        <f>S672/Y672</f>
        <v>0</v>
      </c>
      <c r="AA672" s="1444">
        <f>IF(2013-N672+1&gt;Y672,Y672,IF(2013-N672+1&lt;0,0,2013-N672+1))</f>
        <v>0</v>
      </c>
      <c r="AB672" s="1401">
        <f>IF(AA672&gt;Y672,S672,Z672*AA672)</f>
        <v>0</v>
      </c>
      <c r="AC672" s="1401">
        <v>0</v>
      </c>
      <c r="AD672" s="1401">
        <f>IF(S672=AB672+AC672,0,Z672)</f>
        <v>0</v>
      </c>
      <c r="AE672" s="1401">
        <f>IF(S672=AB672+AC672+AD672,0,Z672)</f>
        <v>0</v>
      </c>
      <c r="AF672" s="1401">
        <f>IF(S672=AC672+AD672+AE672+AB672,0,Z672)</f>
        <v>0</v>
      </c>
      <c r="AG672" s="1479">
        <f>IF(S672=AC672+AD672+AE672+AB672+AF672,0,Z672)</f>
        <v>0</v>
      </c>
      <c r="AH672" s="1479"/>
      <c r="AI672" s="1479">
        <f>SUM(AB672:AG672)</f>
        <v>0</v>
      </c>
      <c r="AJ672" s="1401">
        <f t="shared" si="229"/>
        <v>0</v>
      </c>
    </row>
    <row r="673" spans="1:37" s="1390" customFormat="1" ht="29" customHeight="1" x14ac:dyDescent="0.2">
      <c r="A673" s="1390" t="s">
        <v>4134</v>
      </c>
      <c r="B673" s="1472" t="e">
        <f t="shared" si="230"/>
        <v>#N/A</v>
      </c>
      <c r="C673" s="1478" t="e">
        <f>RIGHT(#REF!,1)</f>
        <v>#REF!</v>
      </c>
      <c r="D673" s="1426"/>
      <c r="E673" s="1429" t="s">
        <v>1458</v>
      </c>
      <c r="F673" s="1539">
        <v>6046396941.1700001</v>
      </c>
      <c r="G673" s="1517" t="s">
        <v>3824</v>
      </c>
      <c r="H673" s="1518"/>
      <c r="I673" s="1518"/>
      <c r="J673" s="1519">
        <v>0</v>
      </c>
      <c r="K673" s="1517"/>
      <c r="L673" s="1519">
        <v>0</v>
      </c>
      <c r="M673" s="1518" t="s">
        <v>3130</v>
      </c>
      <c r="N673" s="1517">
        <v>2016</v>
      </c>
      <c r="O673" s="1518"/>
      <c r="P673" s="1518"/>
      <c r="Q673" s="1518"/>
      <c r="R673" s="1517" t="s">
        <v>12</v>
      </c>
      <c r="S673" s="1520"/>
      <c r="T673" s="1518"/>
      <c r="U673" s="1572"/>
      <c r="V673" s="1521"/>
      <c r="W673" s="1478" t="str">
        <f t="shared" si="226"/>
        <v>04.13.02</v>
      </c>
      <c r="X673" s="1478" t="str">
        <f t="shared" si="227"/>
        <v>Jembatan</v>
      </c>
      <c r="Y673" s="1478">
        <f t="shared" si="228"/>
        <v>50</v>
      </c>
      <c r="Z673" s="1401">
        <f>S673/Y673</f>
        <v>0</v>
      </c>
      <c r="AA673" s="1444">
        <f>IF(2013-N673+1&gt;Y673,Y673,IF(2013-N673+1&lt;0,0,2013-N673+1))</f>
        <v>0</v>
      </c>
      <c r="AB673" s="1401">
        <f>IF(AA673&gt;Y673,S673,Z673*AA673)</f>
        <v>0</v>
      </c>
      <c r="AC673" s="1401">
        <v>0</v>
      </c>
      <c r="AD673" s="1401">
        <v>0</v>
      </c>
      <c r="AE673" s="1401">
        <f>IF(S673=AB673+AC673+AD673,0,Z673)</f>
        <v>0</v>
      </c>
      <c r="AF673" s="1401">
        <f>IF(S673=AC673+AD673+AE673+AB673,0,Z673)</f>
        <v>0</v>
      </c>
      <c r="AG673" s="1479">
        <f>IF(S673=AC673+AD673+AE673+AB673+AF673,0,Z673)</f>
        <v>0</v>
      </c>
      <c r="AH673" s="1479"/>
      <c r="AI673" s="1479">
        <f>SUM(AB673:AG673)</f>
        <v>0</v>
      </c>
      <c r="AJ673" s="1401">
        <f t="shared" si="229"/>
        <v>0</v>
      </c>
    </row>
    <row r="674" spans="1:37" s="1390" customFormat="1" ht="29" customHeight="1" x14ac:dyDescent="0.15">
      <c r="A674" s="1390" t="s">
        <v>4135</v>
      </c>
      <c r="B674" s="1472" t="s">
        <v>5728</v>
      </c>
      <c r="C674" s="1516" t="s">
        <v>4247</v>
      </c>
      <c r="D674" s="1426"/>
      <c r="E674" s="1429" t="s">
        <v>5728</v>
      </c>
      <c r="F674" s="1539"/>
      <c r="G674" s="1517" t="s">
        <v>3827</v>
      </c>
      <c r="H674" s="1518"/>
      <c r="I674" s="1518"/>
      <c r="J674" s="1533">
        <v>0</v>
      </c>
      <c r="K674" s="1517"/>
      <c r="L674" s="1519">
        <v>0</v>
      </c>
      <c r="M674" s="1518" t="s">
        <v>3124</v>
      </c>
      <c r="N674" s="1517">
        <v>2008</v>
      </c>
      <c r="O674" s="1518"/>
      <c r="P674" s="1518"/>
      <c r="Q674" s="1518"/>
      <c r="R674" s="1517" t="s">
        <v>12</v>
      </c>
      <c r="S674" s="1520">
        <f>1685204437+F675</f>
        <v>8889866622.0902042</v>
      </c>
      <c r="T674" s="1517" t="s">
        <v>43</v>
      </c>
      <c r="U674" s="1572"/>
      <c r="V674" s="1521"/>
      <c r="W674" s="1522" t="str">
        <f t="shared" si="226"/>
        <v>04.13.02</v>
      </c>
      <c r="X674" s="1478" t="str">
        <f t="shared" si="227"/>
        <v>Jembatan</v>
      </c>
      <c r="Y674" s="1478">
        <f t="shared" si="228"/>
        <v>50</v>
      </c>
      <c r="Z674" s="1401"/>
      <c r="AA674" s="1444">
        <f>IF(2013-N674&gt;Y674,10,IF(2013-N674&lt;0,0,2013-N674))</f>
        <v>5</v>
      </c>
      <c r="AB674" s="1401">
        <f>SUM(PERHITUNGAN!U1917:U1922)</f>
        <v>485018365.64520812</v>
      </c>
      <c r="AC674" s="1479">
        <f>SUMIF(PERHITUNGAN!A:A,'KIB D'!B674&amp;'KIB D'!$AC$7,PERHITUNGAN!U:U)</f>
        <v>175101005.34260407</v>
      </c>
      <c r="AD674" s="1479">
        <f>SUMIF(PERHITUNGAN!A:A,'KIB D'!B674&amp;'KIB D'!$AD$7,PERHITUNGAN!U:U)</f>
        <v>175101005.34260407</v>
      </c>
      <c r="AE674" s="1479">
        <f>SUMIF(PERHITUNGAN!A:A,'KIB D'!B674&amp;'KIB D'!$AE$7,PERHITUNGAN!U:U)</f>
        <v>175101005.34260407</v>
      </c>
      <c r="AF674" s="1479">
        <f>SUMIF(PERHITUNGAN!A:A,'KIB D'!B674&amp;'KIB D'!$AF$7,PERHITUNGAN!U:U)</f>
        <v>175101005.34260407</v>
      </c>
      <c r="AG674" s="1479">
        <f>SUMIF(PERHITUNGAN!A:A,'KIB D'!B674&amp;'KIB D'!$AG$7,PERHITUNGAN!U:U)</f>
        <v>175101005.34260407</v>
      </c>
      <c r="AH674" s="1479">
        <f>SUMIF(PERHITUNGAN!A:A,'KIB D'!B674&amp;'KIB D'!$AH$7,PERHITUNGAN!U:U)</f>
        <v>175101005.34260407</v>
      </c>
      <c r="AI674" s="1479">
        <f>SUM(AB674:AH674)</f>
        <v>1535624397.7008326</v>
      </c>
      <c r="AJ674" s="1401">
        <f t="shared" si="229"/>
        <v>7354242224.3893719</v>
      </c>
    </row>
    <row r="675" spans="1:37" s="1390" customFormat="1" ht="29" customHeight="1" x14ac:dyDescent="0.2">
      <c r="A675" s="1390" t="s">
        <v>4135</v>
      </c>
      <c r="B675" s="1472" t="e">
        <f t="shared" si="230"/>
        <v>#N/A</v>
      </c>
      <c r="C675" s="1478" t="e">
        <f>RIGHT(#REF!,1)</f>
        <v>#REF!</v>
      </c>
      <c r="D675" s="1426"/>
      <c r="E675" s="1429" t="s">
        <v>1264</v>
      </c>
      <c r="F675" s="1539">
        <v>7204662185.0902042</v>
      </c>
      <c r="G675" s="1517" t="s">
        <v>3827</v>
      </c>
      <c r="H675" s="1518"/>
      <c r="I675" s="1518" t="s">
        <v>835</v>
      </c>
      <c r="J675" s="1519">
        <v>0</v>
      </c>
      <c r="K675" s="1517"/>
      <c r="L675" s="1519">
        <v>0</v>
      </c>
      <c r="M675" s="1518" t="s">
        <v>3124</v>
      </c>
      <c r="N675" s="1517">
        <v>2012</v>
      </c>
      <c r="O675" s="1518"/>
      <c r="P675" s="1518"/>
      <c r="Q675" s="1518"/>
      <c r="R675" s="1517" t="s">
        <v>12</v>
      </c>
      <c r="S675" s="1520"/>
      <c r="T675" s="1517" t="s">
        <v>43</v>
      </c>
      <c r="U675" s="1572"/>
      <c r="V675" s="1521"/>
      <c r="W675" s="1478" t="str">
        <f t="shared" si="226"/>
        <v>04.13.02</v>
      </c>
      <c r="X675" s="1478" t="str">
        <f t="shared" si="227"/>
        <v>Jembatan</v>
      </c>
      <c r="Y675" s="1478">
        <f t="shared" si="228"/>
        <v>50</v>
      </c>
      <c r="Z675" s="1401">
        <f>S675/Y675</f>
        <v>0</v>
      </c>
      <c r="AA675" s="1444">
        <f>IF(2013-N675+1&gt;Y675,Y675,IF(2013-N675+1&lt;0,0,2013-N675+1))</f>
        <v>2</v>
      </c>
      <c r="AB675" s="1401">
        <f>IF(AA675&gt;Y675,S675,Z675*AA675)</f>
        <v>0</v>
      </c>
      <c r="AC675" s="1401">
        <f>IF(S675=AB675,0,Z675)</f>
        <v>0</v>
      </c>
      <c r="AD675" s="1401">
        <f>IF(S675=AB675+AC675,0,Z675)</f>
        <v>0</v>
      </c>
      <c r="AE675" s="1401">
        <f>IF(S675=AB675+AC675+AD675,0,Z675)</f>
        <v>0</v>
      </c>
      <c r="AF675" s="1401">
        <f>IF(S675=AC675+AD675+AE675+AB675,0,Z675)</f>
        <v>0</v>
      </c>
      <c r="AG675" s="1479">
        <f>IF(S675=AC675+AD675+AE675+AB675+AF675,0,Z675)</f>
        <v>0</v>
      </c>
      <c r="AH675" s="1479"/>
      <c r="AI675" s="1479">
        <f>SUM(AB675:AG675)</f>
        <v>0</v>
      </c>
      <c r="AJ675" s="1401">
        <f t="shared" si="229"/>
        <v>0</v>
      </c>
    </row>
    <row r="676" spans="1:37" s="1390" customFormat="1" ht="29" customHeight="1" x14ac:dyDescent="0.15">
      <c r="A676" s="1390" t="s">
        <v>4136</v>
      </c>
      <c r="B676" s="1472" t="s">
        <v>4192</v>
      </c>
      <c r="C676" s="1516" t="s">
        <v>4247</v>
      </c>
      <c r="D676" s="1426"/>
      <c r="E676" s="1429" t="s">
        <v>1295</v>
      </c>
      <c r="F676" s="1539"/>
      <c r="G676" s="1517" t="s">
        <v>3824</v>
      </c>
      <c r="H676" s="1518"/>
      <c r="I676" s="1518" t="s">
        <v>840</v>
      </c>
      <c r="J676" s="1533">
        <v>0</v>
      </c>
      <c r="K676" s="1517"/>
      <c r="L676" s="1519">
        <v>0</v>
      </c>
      <c r="M676" s="1518" t="s">
        <v>3179</v>
      </c>
      <c r="N676" s="1517">
        <v>2013</v>
      </c>
      <c r="O676" s="1518"/>
      <c r="P676" s="1518"/>
      <c r="Q676" s="1518"/>
      <c r="R676" s="1517" t="s">
        <v>12</v>
      </c>
      <c r="S676" s="1520">
        <f>2229465896+F677</f>
        <v>2921910708</v>
      </c>
      <c r="T676" s="1518"/>
      <c r="U676" s="1572"/>
      <c r="V676" s="1521"/>
      <c r="W676" s="1522" t="str">
        <f t="shared" si="226"/>
        <v>04.13.02</v>
      </c>
      <c r="X676" s="1478" t="str">
        <f t="shared" si="227"/>
        <v>Jembatan</v>
      </c>
      <c r="Y676" s="1478">
        <f t="shared" si="228"/>
        <v>50</v>
      </c>
      <c r="Z676" s="1401"/>
      <c r="AA676" s="1444">
        <f>IF(2013-N676&gt;Y676,10,IF(2013-N676&lt;0,0,2013-N676))</f>
        <v>0</v>
      </c>
      <c r="AB676" s="1401">
        <f>SUM(PERHITUNGAN!U1938)</f>
        <v>44589317.920000002</v>
      </c>
      <c r="AC676" s="1479">
        <f>SUMIF(PERHITUNGAN!A:A,'KIB D'!B676&amp;'KIB D'!$AC$7,PERHITUNGAN!U:U)</f>
        <v>57546427.801600002</v>
      </c>
      <c r="AD676" s="1479">
        <f>SUMIF(PERHITUNGAN!A:A,'KIB D'!B676&amp;'KIB D'!$AD$7,PERHITUNGAN!U:U)</f>
        <v>57546427.801600002</v>
      </c>
      <c r="AE676" s="1479">
        <f>SUMIF(PERHITUNGAN!A:A,'KIB D'!B676&amp;'KIB D'!$AE$7,PERHITUNGAN!U:U)</f>
        <v>57546427.801600002</v>
      </c>
      <c r="AF676" s="1479">
        <f>SUMIF(PERHITUNGAN!A:A,'KIB D'!B676&amp;'KIB D'!$AF$7,PERHITUNGAN!U:U)</f>
        <v>57546427.801600002</v>
      </c>
      <c r="AG676" s="1479">
        <f>SUMIF(PERHITUNGAN!A:A,'KIB D'!B676&amp;'KIB D'!$AG$7,PERHITUNGAN!U:U)</f>
        <v>57546427.801600002</v>
      </c>
      <c r="AH676" s="1479">
        <f>SUMIF(PERHITUNGAN!A:A,'KIB D'!B676&amp;'KIB D'!$AH$7,PERHITUNGAN!U:U)</f>
        <v>57546427.801600002</v>
      </c>
      <c r="AI676" s="1479">
        <f>SUM(AB676:AH676)</f>
        <v>389867884.72959995</v>
      </c>
      <c r="AJ676" s="1401">
        <f t="shared" si="229"/>
        <v>2532042823.2704</v>
      </c>
    </row>
    <row r="677" spans="1:37" s="1390" customFormat="1" ht="29" customHeight="1" x14ac:dyDescent="0.2">
      <c r="A677" s="1390" t="s">
        <v>4136</v>
      </c>
      <c r="B677" s="1472" t="e">
        <f t="shared" si="230"/>
        <v>#N/A</v>
      </c>
      <c r="C677" s="1478" t="e">
        <f>RIGHT(#REF!,1)</f>
        <v>#REF!</v>
      </c>
      <c r="D677" s="1426"/>
      <c r="E677" s="1429" t="s">
        <v>1306</v>
      </c>
      <c r="F677" s="1539">
        <v>692444812</v>
      </c>
      <c r="G677" s="1517" t="s">
        <v>3824</v>
      </c>
      <c r="H677" s="1518"/>
      <c r="I677" s="1518"/>
      <c r="J677" s="1519">
        <v>0</v>
      </c>
      <c r="K677" s="1517"/>
      <c r="L677" s="1519">
        <v>0</v>
      </c>
      <c r="M677" s="1518" t="s">
        <v>3179</v>
      </c>
      <c r="N677" s="1517">
        <v>2014</v>
      </c>
      <c r="O677" s="1518"/>
      <c r="P677" s="1518"/>
      <c r="Q677" s="1518"/>
      <c r="R677" s="1517" t="s">
        <v>12</v>
      </c>
      <c r="S677" s="1520"/>
      <c r="T677" s="1518"/>
      <c r="U677" s="1572"/>
      <c r="V677" s="1521"/>
      <c r="W677" s="1478" t="str">
        <f t="shared" si="226"/>
        <v>04.13.02</v>
      </c>
      <c r="X677" s="1478" t="str">
        <f t="shared" si="227"/>
        <v>Jembatan</v>
      </c>
      <c r="Y677" s="1478">
        <f t="shared" si="228"/>
        <v>50</v>
      </c>
      <c r="Z677" s="1401">
        <f>S677/Y677</f>
        <v>0</v>
      </c>
      <c r="AA677" s="1444">
        <f>IF(2013-N677+1&gt;Y677,Y677,IF(2013-N677+1&lt;0,0,2013-N677+1))</f>
        <v>0</v>
      </c>
      <c r="AB677" s="1401">
        <f>IF(AA677&gt;Y677,S677,Z677*AA677)</f>
        <v>0</v>
      </c>
      <c r="AC677" s="1401">
        <f>IF(S677=AB677,0,Z677)</f>
        <v>0</v>
      </c>
      <c r="AD677" s="1401">
        <f>IF(S677=AB677+AC677,0,Z677)</f>
        <v>0</v>
      </c>
      <c r="AE677" s="1401">
        <f>IF(S677=AB677+AC677+AD677,0,Z677)</f>
        <v>0</v>
      </c>
      <c r="AF677" s="1401">
        <f>IF(S677=AC677+AD677+AE677+AB677,0,Z677)</f>
        <v>0</v>
      </c>
      <c r="AG677" s="1479">
        <f>IF(S677=AC677+AD677+AE677+AB677+AF677,0,Z677)</f>
        <v>0</v>
      </c>
      <c r="AH677" s="1479"/>
      <c r="AI677" s="1479">
        <f>SUM(AB677:AG677)</f>
        <v>0</v>
      </c>
      <c r="AJ677" s="1401">
        <f t="shared" si="229"/>
        <v>0</v>
      </c>
    </row>
    <row r="678" spans="1:37" s="1390" customFormat="1" ht="29" customHeight="1" x14ac:dyDescent="0.15">
      <c r="A678" s="1390" t="s">
        <v>4137</v>
      </c>
      <c r="B678" s="1472" t="s">
        <v>4193</v>
      </c>
      <c r="C678" s="1516" t="s">
        <v>4247</v>
      </c>
      <c r="D678" s="1426"/>
      <c r="E678" s="1429" t="s">
        <v>1267</v>
      </c>
      <c r="F678" s="1539"/>
      <c r="G678" s="1517" t="s">
        <v>3826</v>
      </c>
      <c r="H678" s="1518"/>
      <c r="I678" s="1518" t="s">
        <v>272</v>
      </c>
      <c r="J678" s="1533">
        <v>0</v>
      </c>
      <c r="K678" s="1517"/>
      <c r="L678" s="1519">
        <v>0</v>
      </c>
      <c r="M678" s="1518" t="s">
        <v>3160</v>
      </c>
      <c r="N678" s="1517">
        <v>2012</v>
      </c>
      <c r="O678" s="1518"/>
      <c r="P678" s="1518"/>
      <c r="Q678" s="1518"/>
      <c r="R678" s="1517" t="s">
        <v>12</v>
      </c>
      <c r="S678" s="1520">
        <f>76019206.0299978+F679</f>
        <v>2312273458.0299978</v>
      </c>
      <c r="T678" s="1517" t="s">
        <v>43</v>
      </c>
      <c r="U678" s="1572"/>
      <c r="V678" s="1521"/>
      <c r="W678" s="1522" t="str">
        <f t="shared" si="226"/>
        <v>04.13.02</v>
      </c>
      <c r="X678" s="1478" t="str">
        <f t="shared" si="227"/>
        <v>Jembatan</v>
      </c>
      <c r="Y678" s="1478">
        <f t="shared" si="228"/>
        <v>50</v>
      </c>
      <c r="Z678" s="1401"/>
      <c r="AA678" s="1444">
        <f>IF(2013-N678&gt;Y678,10,IF(2013-N678&lt;0,0,2013-N678))</f>
        <v>1</v>
      </c>
      <c r="AB678" s="1401">
        <f>SUM(PERHITUNGAN!U1954:U1955)</f>
        <v>3040768.2411999134</v>
      </c>
      <c r="AC678" s="1479">
        <f>SUMIF(PERHITUNGAN!A:A,'KIB D'!B678&amp;'KIB D'!$AC$7,PERHITUNGAN!U:U)</f>
        <v>46184653.795775957</v>
      </c>
      <c r="AD678" s="1479">
        <f>SUMIF(PERHITUNGAN!A:A,'KIB D'!B678&amp;'KIB D'!$AD$7,PERHITUNGAN!U:U)</f>
        <v>46184653.795775957</v>
      </c>
      <c r="AE678" s="1479">
        <f>SUMIF(PERHITUNGAN!A:A,'KIB D'!B678&amp;'KIB D'!$AE$7,PERHITUNGAN!U:U)</f>
        <v>46184653.795775957</v>
      </c>
      <c r="AF678" s="1479">
        <f>SUMIF(PERHITUNGAN!A:A,'KIB D'!B678&amp;'KIB D'!$AF$7,PERHITUNGAN!U:U)</f>
        <v>46184653.795775957</v>
      </c>
      <c r="AG678" s="1479">
        <f>SUMIF(PERHITUNGAN!A:A,'KIB D'!B678&amp;'KIB D'!$AG$7,PERHITUNGAN!U:U)</f>
        <v>46184653.795775957</v>
      </c>
      <c r="AH678" s="1479">
        <f>SUMIF(PERHITUNGAN!A:A,'KIB D'!B678&amp;'KIB D'!$AH$7,PERHITUNGAN!U:U)</f>
        <v>46184653.795775957</v>
      </c>
      <c r="AI678" s="1479">
        <f>SUM(AB678:AH678)</f>
        <v>280148691.01585567</v>
      </c>
      <c r="AJ678" s="1401">
        <f t="shared" si="229"/>
        <v>2032124767.014142</v>
      </c>
    </row>
    <row r="679" spans="1:37" s="1390" customFormat="1" ht="29" customHeight="1" x14ac:dyDescent="0.2">
      <c r="A679" s="1390" t="s">
        <v>4137</v>
      </c>
      <c r="B679" s="1472" t="e">
        <f>VLOOKUP(A679,RUAS,2,FALSE)</f>
        <v>#N/A</v>
      </c>
      <c r="C679" s="1478" t="e">
        <f>RIGHT(#REF!,1)</f>
        <v>#REF!</v>
      </c>
      <c r="D679" s="1426"/>
      <c r="E679" s="1429" t="s">
        <v>1298</v>
      </c>
      <c r="F679" s="1539">
        <v>2236254252</v>
      </c>
      <c r="G679" s="1517" t="s">
        <v>3824</v>
      </c>
      <c r="H679" s="1518"/>
      <c r="I679" s="1518"/>
      <c r="J679" s="1519">
        <v>0</v>
      </c>
      <c r="K679" s="1517"/>
      <c r="L679" s="1519">
        <v>0</v>
      </c>
      <c r="M679" s="1518" t="s">
        <v>3160</v>
      </c>
      <c r="N679" s="1517">
        <v>2014</v>
      </c>
      <c r="O679" s="1518"/>
      <c r="P679" s="1518"/>
      <c r="Q679" s="1518"/>
      <c r="R679" s="1517" t="s">
        <v>12</v>
      </c>
      <c r="S679" s="1520"/>
      <c r="T679" s="1518"/>
      <c r="U679" s="1572"/>
      <c r="V679" s="1521"/>
      <c r="W679" s="1478" t="str">
        <f t="shared" ref="W679:W742" si="231">LEFT(G679,8)</f>
        <v>04.13.02</v>
      </c>
      <c r="X679" s="1478" t="str">
        <f t="shared" ref="X679:X742" si="232">VLOOKUP(W679,UE,3,FALSE)</f>
        <v>Jembatan</v>
      </c>
      <c r="Y679" s="1478">
        <f t="shared" ref="Y679:Y742" si="233">VLOOKUP(W679,UE,4,FALSE)</f>
        <v>50</v>
      </c>
      <c r="Z679" s="1401">
        <f t="shared" ref="Z679:Z742" si="234">S679/Y679</f>
        <v>0</v>
      </c>
      <c r="AA679" s="1444">
        <f t="shared" ref="AA679:AA742" si="235">IF(2013-N679+1&gt;Y679,Y679,IF(2013-N679+1&lt;0,0,2013-N679+1))</f>
        <v>0</v>
      </c>
      <c r="AB679" s="1401">
        <f t="shared" ref="AB679:AB742" si="236">IF(AA679&gt;Y679,S679,Z679*AA679)</f>
        <v>0</v>
      </c>
      <c r="AC679" s="1401">
        <f t="shared" ref="AC679:AC742" si="237">IF(S679=AB679,0,Z679)</f>
        <v>0</v>
      </c>
      <c r="AD679" s="1401">
        <f t="shared" ref="AD679:AD742" si="238">IF(S679=AB679+AC679,0,Z679)</f>
        <v>0</v>
      </c>
      <c r="AE679" s="1401">
        <f t="shared" ref="AE679:AE742" si="239">IF(S679=AB679+AC679+AD679,0,Z679)</f>
        <v>0</v>
      </c>
      <c r="AF679" s="1401">
        <f t="shared" ref="AF679:AF742" si="240">IF(S679=AC679+AD679+AE679+AB679,0,Z679)</f>
        <v>0</v>
      </c>
      <c r="AG679" s="1479">
        <f t="shared" ref="AG679:AG742" si="241">IF(S679=AC679+AD679+AE679+AB679+AF679,0,Z679)</f>
        <v>0</v>
      </c>
      <c r="AH679" s="1479"/>
      <c r="AI679" s="1479">
        <f>SUM(AB679:AG679)</f>
        <v>0</v>
      </c>
      <c r="AJ679" s="1401">
        <f t="shared" ref="AJ679:AJ742" si="242">S679-AI679</f>
        <v>0</v>
      </c>
    </row>
    <row r="680" spans="1:37" s="1390" customFormat="1" ht="29" customHeight="1" x14ac:dyDescent="0.2">
      <c r="A680" s="1390" t="s">
        <v>4902</v>
      </c>
      <c r="B680" s="1472" t="e">
        <f t="shared" ref="B680:B691" si="243">VLOOKUP(A680,RUAS,2,FALSE)</f>
        <v>#N/A</v>
      </c>
      <c r="C680" s="1478" t="e">
        <f>RIGHT(#REF!,1)</f>
        <v>#REF!</v>
      </c>
      <c r="D680" s="1426"/>
      <c r="E680" s="1429" t="s">
        <v>742</v>
      </c>
      <c r="F680" s="1539"/>
      <c r="G680" s="1517" t="s">
        <v>3823</v>
      </c>
      <c r="H680" s="1518"/>
      <c r="I680" s="1518" t="s">
        <v>736</v>
      </c>
      <c r="J680" s="1533" t="s">
        <v>759</v>
      </c>
      <c r="K680" s="1517">
        <v>7</v>
      </c>
      <c r="L680" s="1519">
        <v>42</v>
      </c>
      <c r="M680" s="1518" t="s">
        <v>761</v>
      </c>
      <c r="N680" s="1517">
        <v>1942</v>
      </c>
      <c r="O680" s="1518"/>
      <c r="P680" s="1518"/>
      <c r="Q680" s="1518" t="s">
        <v>750</v>
      </c>
      <c r="R680" s="1517" t="s">
        <v>12</v>
      </c>
      <c r="S680" s="1520">
        <v>294000000</v>
      </c>
      <c r="T680" s="1517" t="s">
        <v>43</v>
      </c>
      <c r="U680" s="1572"/>
      <c r="V680" s="1521"/>
      <c r="W680" s="1478" t="str">
        <f t="shared" si="231"/>
        <v>04.13.02</v>
      </c>
      <c r="X680" s="1478" t="str">
        <f t="shared" si="232"/>
        <v>Jembatan</v>
      </c>
      <c r="Y680" s="1478">
        <f t="shared" si="233"/>
        <v>50</v>
      </c>
      <c r="Z680" s="1401">
        <f t="shared" si="234"/>
        <v>5880000</v>
      </c>
      <c r="AA680" s="1444">
        <f t="shared" si="235"/>
        <v>50</v>
      </c>
      <c r="AB680" s="1401">
        <f t="shared" si="236"/>
        <v>294000000</v>
      </c>
      <c r="AC680" s="1401">
        <f t="shared" si="237"/>
        <v>0</v>
      </c>
      <c r="AD680" s="1401">
        <f t="shared" si="238"/>
        <v>0</v>
      </c>
      <c r="AE680" s="1401">
        <f t="shared" si="239"/>
        <v>0</v>
      </c>
      <c r="AF680" s="1401">
        <f t="shared" si="240"/>
        <v>0</v>
      </c>
      <c r="AG680" s="1479">
        <f t="shared" si="241"/>
        <v>0</v>
      </c>
      <c r="AH680" s="1479">
        <f t="shared" ref="AH680:AH742" si="244">IF(S680=AC680+AD680+AE680+AB680+AF680+AG680,0,Z680)</f>
        <v>0</v>
      </c>
      <c r="AI680" s="1479">
        <f t="shared" ref="AI680:AI744" si="245">SUM(AB680:AH680)</f>
        <v>294000000</v>
      </c>
      <c r="AJ680" s="1401">
        <f t="shared" si="242"/>
        <v>0</v>
      </c>
    </row>
    <row r="681" spans="1:37" s="1390" customFormat="1" ht="29" customHeight="1" x14ac:dyDescent="0.2">
      <c r="A681" s="1390" t="s">
        <v>4902</v>
      </c>
      <c r="B681" s="1472" t="e">
        <f>VLOOKUP(A681,RUAS,2,FALSE)</f>
        <v>#N/A</v>
      </c>
      <c r="C681" s="1478" t="e">
        <f>RIGHT(#REF!,1)</f>
        <v>#REF!</v>
      </c>
      <c r="D681" s="1426"/>
      <c r="E681" s="1429" t="s">
        <v>742</v>
      </c>
      <c r="F681" s="1539"/>
      <c r="G681" s="1517" t="s">
        <v>3823</v>
      </c>
      <c r="H681" s="1518"/>
      <c r="I681" s="1518" t="s">
        <v>736</v>
      </c>
      <c r="J681" s="1533" t="s">
        <v>751</v>
      </c>
      <c r="K681" s="1517">
        <v>6</v>
      </c>
      <c r="L681" s="1519">
        <v>60</v>
      </c>
      <c r="M681" s="1518" t="s">
        <v>752</v>
      </c>
      <c r="N681" s="1517">
        <v>1980</v>
      </c>
      <c r="O681" s="1518"/>
      <c r="P681" s="1518"/>
      <c r="Q681" s="1518" t="s">
        <v>753</v>
      </c>
      <c r="R681" s="1517" t="s">
        <v>12</v>
      </c>
      <c r="S681" s="1520">
        <v>420000000</v>
      </c>
      <c r="T681" s="1517" t="s">
        <v>43</v>
      </c>
      <c r="U681" s="1572"/>
      <c r="V681" s="1521"/>
      <c r="W681" s="1478" t="str">
        <f t="shared" si="231"/>
        <v>04.13.02</v>
      </c>
      <c r="X681" s="1478" t="str">
        <f t="shared" si="232"/>
        <v>Jembatan</v>
      </c>
      <c r="Y681" s="1478">
        <f t="shared" si="233"/>
        <v>50</v>
      </c>
      <c r="Z681" s="1401">
        <f t="shared" si="234"/>
        <v>8400000</v>
      </c>
      <c r="AA681" s="1444">
        <f t="shared" si="235"/>
        <v>34</v>
      </c>
      <c r="AB681" s="1401">
        <f t="shared" si="236"/>
        <v>285600000</v>
      </c>
      <c r="AC681" s="1401">
        <f t="shared" si="237"/>
        <v>8400000</v>
      </c>
      <c r="AD681" s="1401">
        <f t="shared" si="238"/>
        <v>8400000</v>
      </c>
      <c r="AE681" s="1401">
        <f t="shared" si="239"/>
        <v>8400000</v>
      </c>
      <c r="AF681" s="1401">
        <f t="shared" si="240"/>
        <v>8400000</v>
      </c>
      <c r="AG681" s="1479">
        <f t="shared" si="241"/>
        <v>8400000</v>
      </c>
      <c r="AH681" s="1479">
        <f t="shared" si="244"/>
        <v>8400000</v>
      </c>
      <c r="AI681" s="1479">
        <f t="shared" si="245"/>
        <v>336000000</v>
      </c>
      <c r="AJ681" s="1401">
        <f t="shared" si="242"/>
        <v>84000000</v>
      </c>
      <c r="AK681" s="1443">
        <f>SUM(AB681:AF681)</f>
        <v>319200000</v>
      </c>
    </row>
    <row r="682" spans="1:37" s="1390" customFormat="1" ht="29" customHeight="1" x14ac:dyDescent="0.2">
      <c r="A682" s="1390" t="s">
        <v>4902</v>
      </c>
      <c r="B682" s="1472" t="e">
        <f t="shared" si="243"/>
        <v>#N/A</v>
      </c>
      <c r="C682" s="1478" t="e">
        <f>RIGHT(#REF!,1)</f>
        <v>#REF!</v>
      </c>
      <c r="D682" s="1426"/>
      <c r="E682" s="1429" t="s">
        <v>742</v>
      </c>
      <c r="F682" s="1539"/>
      <c r="G682" s="1416" t="s">
        <v>3823</v>
      </c>
      <c r="H682" s="1508"/>
      <c r="I682" s="1416" t="s">
        <v>736</v>
      </c>
      <c r="J682" s="1512" t="s">
        <v>762</v>
      </c>
      <c r="K682" s="1416">
        <v>6</v>
      </c>
      <c r="L682" s="1500">
        <v>72</v>
      </c>
      <c r="M682" s="1429" t="s">
        <v>763</v>
      </c>
      <c r="N682" s="1416">
        <v>1980</v>
      </c>
      <c r="O682" s="1414"/>
      <c r="P682" s="1414"/>
      <c r="Q682" s="1414" t="s">
        <v>753</v>
      </c>
      <c r="R682" s="1416" t="s">
        <v>12</v>
      </c>
      <c r="S682" s="1529">
        <v>504000000</v>
      </c>
      <c r="T682" s="1416" t="s">
        <v>43</v>
      </c>
      <c r="U682" s="1427"/>
      <c r="V682" s="1477"/>
      <c r="W682" s="1478" t="str">
        <f t="shared" si="231"/>
        <v>04.13.02</v>
      </c>
      <c r="X682" s="1478" t="str">
        <f t="shared" si="232"/>
        <v>Jembatan</v>
      </c>
      <c r="Y682" s="1478">
        <f t="shared" si="233"/>
        <v>50</v>
      </c>
      <c r="Z682" s="1401">
        <f t="shared" si="234"/>
        <v>10080000</v>
      </c>
      <c r="AA682" s="1444">
        <f t="shared" si="235"/>
        <v>34</v>
      </c>
      <c r="AB682" s="1401">
        <f t="shared" si="236"/>
        <v>342720000</v>
      </c>
      <c r="AC682" s="1401">
        <f t="shared" si="237"/>
        <v>10080000</v>
      </c>
      <c r="AD682" s="1401">
        <f t="shared" si="238"/>
        <v>10080000</v>
      </c>
      <c r="AE682" s="1401">
        <f t="shared" si="239"/>
        <v>10080000</v>
      </c>
      <c r="AF682" s="1401">
        <f t="shared" si="240"/>
        <v>10080000</v>
      </c>
      <c r="AG682" s="1479">
        <f t="shared" si="241"/>
        <v>10080000</v>
      </c>
      <c r="AH682" s="1479">
        <f t="shared" si="244"/>
        <v>10080000</v>
      </c>
      <c r="AI682" s="1479">
        <f t="shared" si="245"/>
        <v>403200000</v>
      </c>
      <c r="AJ682" s="1401">
        <f t="shared" si="242"/>
        <v>100800000</v>
      </c>
    </row>
    <row r="683" spans="1:37" s="1390" customFormat="1" ht="29" customHeight="1" x14ac:dyDescent="0.2">
      <c r="A683" s="1390" t="s">
        <v>4902</v>
      </c>
      <c r="B683" s="1472" t="e">
        <v>#N/A</v>
      </c>
      <c r="D683" s="1426"/>
      <c r="E683" s="1429" t="s">
        <v>764</v>
      </c>
      <c r="F683" s="1539"/>
      <c r="G683" s="1416" t="s">
        <v>3824</v>
      </c>
      <c r="H683" s="1508"/>
      <c r="I683" s="1416" t="s">
        <v>736</v>
      </c>
      <c r="J683" s="1512" t="s">
        <v>775</v>
      </c>
      <c r="K683" s="1416">
        <v>8</v>
      </c>
      <c r="L683" s="1500">
        <v>64</v>
      </c>
      <c r="M683" s="1429" t="s">
        <v>778</v>
      </c>
      <c r="N683" s="1416">
        <v>1981</v>
      </c>
      <c r="O683" s="1414"/>
      <c r="P683" s="1414"/>
      <c r="Q683" s="1414" t="s">
        <v>779</v>
      </c>
      <c r="R683" s="1416" t="s">
        <v>12</v>
      </c>
      <c r="S683" s="1529">
        <v>345600000</v>
      </c>
      <c r="T683" s="1416" t="s">
        <v>43</v>
      </c>
      <c r="U683" s="1427"/>
      <c r="V683" s="1477"/>
      <c r="W683" s="1478" t="str">
        <f t="shared" si="231"/>
        <v>04.13.02</v>
      </c>
      <c r="X683" s="1478" t="str">
        <f t="shared" si="232"/>
        <v>Jembatan</v>
      </c>
      <c r="Y683" s="1478">
        <f t="shared" si="233"/>
        <v>50</v>
      </c>
      <c r="Z683" s="1401">
        <f t="shared" si="234"/>
        <v>6912000</v>
      </c>
      <c r="AA683" s="1444">
        <f t="shared" si="235"/>
        <v>33</v>
      </c>
      <c r="AB683" s="1401">
        <f t="shared" si="236"/>
        <v>228096000</v>
      </c>
      <c r="AC683" s="1401">
        <f t="shared" si="237"/>
        <v>6912000</v>
      </c>
      <c r="AD683" s="1401">
        <f t="shared" si="238"/>
        <v>6912000</v>
      </c>
      <c r="AE683" s="1401">
        <f t="shared" si="239"/>
        <v>6912000</v>
      </c>
      <c r="AF683" s="1401">
        <f t="shared" si="240"/>
        <v>6912000</v>
      </c>
      <c r="AG683" s="1479">
        <f t="shared" si="241"/>
        <v>6912000</v>
      </c>
      <c r="AH683" s="1479">
        <f t="shared" si="244"/>
        <v>6912000</v>
      </c>
      <c r="AI683" s="1479">
        <f t="shared" si="245"/>
        <v>269568000</v>
      </c>
      <c r="AJ683" s="1401">
        <f t="shared" si="242"/>
        <v>76032000</v>
      </c>
      <c r="AK683" s="1443">
        <f>SUM(AB683:AF683)</f>
        <v>255744000</v>
      </c>
    </row>
    <row r="684" spans="1:37" s="1390" customFormat="1" ht="29" customHeight="1" x14ac:dyDescent="0.2">
      <c r="A684" s="1390" t="s">
        <v>4902</v>
      </c>
      <c r="B684" s="1472" t="e">
        <f t="shared" si="243"/>
        <v>#N/A</v>
      </c>
      <c r="C684" s="1478" t="e">
        <f>RIGHT(#REF!,1)</f>
        <v>#REF!</v>
      </c>
      <c r="D684" s="1426"/>
      <c r="E684" s="1429" t="s">
        <v>764</v>
      </c>
      <c r="F684" s="1539"/>
      <c r="G684" s="1416" t="s">
        <v>3824</v>
      </c>
      <c r="H684" s="1508"/>
      <c r="I684" s="1416" t="s">
        <v>119</v>
      </c>
      <c r="J684" s="1512" t="s">
        <v>762</v>
      </c>
      <c r="K684" s="1416">
        <v>5</v>
      </c>
      <c r="L684" s="1500">
        <v>60</v>
      </c>
      <c r="M684" s="1429" t="s">
        <v>798</v>
      </c>
      <c r="N684" s="1416">
        <v>1982</v>
      </c>
      <c r="O684" s="1414"/>
      <c r="P684" s="1414"/>
      <c r="Q684" s="1414" t="s">
        <v>799</v>
      </c>
      <c r="R684" s="1416" t="s">
        <v>12</v>
      </c>
      <c r="S684" s="1529">
        <v>396000000</v>
      </c>
      <c r="T684" s="1416" t="s">
        <v>43</v>
      </c>
      <c r="U684" s="1427"/>
      <c r="V684" s="1477"/>
      <c r="W684" s="1478" t="str">
        <f t="shared" si="231"/>
        <v>04.13.02</v>
      </c>
      <c r="X684" s="1478" t="str">
        <f t="shared" si="232"/>
        <v>Jembatan</v>
      </c>
      <c r="Y684" s="1478">
        <f t="shared" si="233"/>
        <v>50</v>
      </c>
      <c r="Z684" s="1401">
        <f t="shared" si="234"/>
        <v>7920000</v>
      </c>
      <c r="AA684" s="1444">
        <f t="shared" si="235"/>
        <v>32</v>
      </c>
      <c r="AB684" s="1401">
        <f t="shared" si="236"/>
        <v>253440000</v>
      </c>
      <c r="AC684" s="1401">
        <f t="shared" si="237"/>
        <v>7920000</v>
      </c>
      <c r="AD684" s="1401">
        <f t="shared" si="238"/>
        <v>7920000</v>
      </c>
      <c r="AE684" s="1401">
        <f t="shared" si="239"/>
        <v>7920000</v>
      </c>
      <c r="AF684" s="1401">
        <f t="shared" si="240"/>
        <v>7920000</v>
      </c>
      <c r="AG684" s="1479">
        <f t="shared" si="241"/>
        <v>7920000</v>
      </c>
      <c r="AH684" s="1479">
        <f t="shared" si="244"/>
        <v>7920000</v>
      </c>
      <c r="AI684" s="1479">
        <f t="shared" si="245"/>
        <v>300960000</v>
      </c>
      <c r="AJ684" s="1401">
        <f t="shared" si="242"/>
        <v>95040000</v>
      </c>
    </row>
    <row r="685" spans="1:37" s="1390" customFormat="1" ht="29" customHeight="1" x14ac:dyDescent="0.2">
      <c r="A685" s="1390" t="s">
        <v>4902</v>
      </c>
      <c r="B685" s="1472" t="e">
        <f t="shared" si="243"/>
        <v>#N/A</v>
      </c>
      <c r="C685" s="1478" t="e">
        <f>RIGHT(#REF!,1)</f>
        <v>#REF!</v>
      </c>
      <c r="D685" s="1426"/>
      <c r="E685" s="1429" t="s">
        <v>764</v>
      </c>
      <c r="F685" s="1539"/>
      <c r="G685" s="1416" t="s">
        <v>3824</v>
      </c>
      <c r="H685" s="1508"/>
      <c r="I685" s="1416" t="s">
        <v>736</v>
      </c>
      <c r="J685" s="1512" t="s">
        <v>820</v>
      </c>
      <c r="K685" s="1416">
        <v>6</v>
      </c>
      <c r="L685" s="1500">
        <v>276</v>
      </c>
      <c r="M685" s="1429" t="s">
        <v>821</v>
      </c>
      <c r="N685" s="1416">
        <v>1987</v>
      </c>
      <c r="O685" s="1414"/>
      <c r="P685" s="1414"/>
      <c r="Q685" s="1414" t="s">
        <v>770</v>
      </c>
      <c r="R685" s="1416" t="s">
        <v>655</v>
      </c>
      <c r="S685" s="1529">
        <v>2125200000</v>
      </c>
      <c r="T685" s="1416" t="s">
        <v>43</v>
      </c>
      <c r="U685" s="1427"/>
      <c r="V685" s="1477"/>
      <c r="W685" s="1478" t="str">
        <f t="shared" si="231"/>
        <v>04.13.02</v>
      </c>
      <c r="X685" s="1478" t="str">
        <f t="shared" si="232"/>
        <v>Jembatan</v>
      </c>
      <c r="Y685" s="1478">
        <f t="shared" si="233"/>
        <v>50</v>
      </c>
      <c r="Z685" s="1401">
        <f t="shared" si="234"/>
        <v>42504000</v>
      </c>
      <c r="AA685" s="1444">
        <f t="shared" si="235"/>
        <v>27</v>
      </c>
      <c r="AB685" s="1401">
        <f t="shared" si="236"/>
        <v>1147608000</v>
      </c>
      <c r="AC685" s="1401">
        <f t="shared" si="237"/>
        <v>42504000</v>
      </c>
      <c r="AD685" s="1401">
        <f t="shared" si="238"/>
        <v>42504000</v>
      </c>
      <c r="AE685" s="1401">
        <f t="shared" si="239"/>
        <v>42504000</v>
      </c>
      <c r="AF685" s="1401">
        <f t="shared" si="240"/>
        <v>42504000</v>
      </c>
      <c r="AG685" s="1479">
        <f t="shared" si="241"/>
        <v>42504000</v>
      </c>
      <c r="AH685" s="1479">
        <f t="shared" si="244"/>
        <v>42504000</v>
      </c>
      <c r="AI685" s="1479">
        <f t="shared" si="245"/>
        <v>1402632000</v>
      </c>
      <c r="AJ685" s="1401">
        <f t="shared" si="242"/>
        <v>722568000</v>
      </c>
    </row>
    <row r="686" spans="1:37" s="1390" customFormat="1" ht="29" customHeight="1" x14ac:dyDescent="0.2">
      <c r="A686" s="1390" t="s">
        <v>4902</v>
      </c>
      <c r="B686" s="1472" t="e">
        <f t="shared" si="243"/>
        <v>#N/A</v>
      </c>
      <c r="C686" s="1478" t="e">
        <f>RIGHT(#REF!,1)</f>
        <v>#REF!</v>
      </c>
      <c r="D686" s="1426"/>
      <c r="E686" s="1429" t="s">
        <v>764</v>
      </c>
      <c r="F686" s="1539"/>
      <c r="G686" s="1416" t="s">
        <v>3824</v>
      </c>
      <c r="H686" s="1508"/>
      <c r="I686" s="1416" t="s">
        <v>119</v>
      </c>
      <c r="J686" s="1512" t="s">
        <v>751</v>
      </c>
      <c r="K686" s="1416">
        <v>8</v>
      </c>
      <c r="L686" s="1500">
        <v>80</v>
      </c>
      <c r="M686" s="1429" t="s">
        <v>809</v>
      </c>
      <c r="N686" s="1416">
        <v>1990</v>
      </c>
      <c r="O686" s="1414"/>
      <c r="P686" s="1414"/>
      <c r="Q686" s="1414" t="s">
        <v>782</v>
      </c>
      <c r="R686" s="1416" t="s">
        <v>12</v>
      </c>
      <c r="S686" s="1529">
        <v>528000000</v>
      </c>
      <c r="T686" s="1416" t="s">
        <v>43</v>
      </c>
      <c r="U686" s="1427"/>
      <c r="V686" s="1477"/>
      <c r="W686" s="1478" t="str">
        <f t="shared" si="231"/>
        <v>04.13.02</v>
      </c>
      <c r="X686" s="1478" t="str">
        <f t="shared" si="232"/>
        <v>Jembatan</v>
      </c>
      <c r="Y686" s="1478">
        <f t="shared" si="233"/>
        <v>50</v>
      </c>
      <c r="Z686" s="1401">
        <f t="shared" si="234"/>
        <v>10560000</v>
      </c>
      <c r="AA686" s="1444">
        <f t="shared" si="235"/>
        <v>24</v>
      </c>
      <c r="AB686" s="1401">
        <f t="shared" si="236"/>
        <v>253440000</v>
      </c>
      <c r="AC686" s="1401">
        <f t="shared" si="237"/>
        <v>10560000</v>
      </c>
      <c r="AD686" s="1401">
        <f t="shared" si="238"/>
        <v>10560000</v>
      </c>
      <c r="AE686" s="1401">
        <f t="shared" si="239"/>
        <v>10560000</v>
      </c>
      <c r="AF686" s="1401">
        <f t="shared" si="240"/>
        <v>10560000</v>
      </c>
      <c r="AG686" s="1479">
        <f t="shared" si="241"/>
        <v>10560000</v>
      </c>
      <c r="AH686" s="1479">
        <f t="shared" si="244"/>
        <v>10560000</v>
      </c>
      <c r="AI686" s="1479">
        <f t="shared" si="245"/>
        <v>316800000</v>
      </c>
      <c r="AJ686" s="1401">
        <f t="shared" si="242"/>
        <v>211200000</v>
      </c>
    </row>
    <row r="687" spans="1:37" s="1390" customFormat="1" ht="29" customHeight="1" x14ac:dyDescent="0.2">
      <c r="A687" s="1390" t="s">
        <v>4902</v>
      </c>
      <c r="B687" s="1472" t="e">
        <f t="shared" si="243"/>
        <v>#N/A</v>
      </c>
      <c r="C687" s="1478" t="e">
        <f>RIGHT(#REF!,1)</f>
        <v>#REF!</v>
      </c>
      <c r="D687" s="1426"/>
      <c r="E687" s="1429" t="s">
        <v>764</v>
      </c>
      <c r="F687" s="1539"/>
      <c r="G687" s="1416" t="s">
        <v>3824</v>
      </c>
      <c r="H687" s="1508"/>
      <c r="I687" s="1416" t="s">
        <v>119</v>
      </c>
      <c r="J687" s="1512" t="s">
        <v>775</v>
      </c>
      <c r="K687" s="1416">
        <v>5</v>
      </c>
      <c r="L687" s="1500">
        <v>40</v>
      </c>
      <c r="M687" s="1429" t="s">
        <v>810</v>
      </c>
      <c r="N687" s="1416">
        <v>1990</v>
      </c>
      <c r="O687" s="1414"/>
      <c r="P687" s="1414"/>
      <c r="Q687" s="1414" t="s">
        <v>782</v>
      </c>
      <c r="R687" s="1416" t="s">
        <v>12</v>
      </c>
      <c r="S687" s="1529">
        <v>180000000</v>
      </c>
      <c r="T687" s="1416" t="s">
        <v>135</v>
      </c>
      <c r="U687" s="1427"/>
      <c r="V687" s="1477"/>
      <c r="W687" s="1478" t="str">
        <f t="shared" si="231"/>
        <v>04.13.02</v>
      </c>
      <c r="X687" s="1478" t="str">
        <f t="shared" si="232"/>
        <v>Jembatan</v>
      </c>
      <c r="Y687" s="1478">
        <f t="shared" si="233"/>
        <v>50</v>
      </c>
      <c r="Z687" s="1401">
        <f t="shared" si="234"/>
        <v>3600000</v>
      </c>
      <c r="AA687" s="1444">
        <f t="shared" si="235"/>
        <v>24</v>
      </c>
      <c r="AB687" s="1401">
        <f t="shared" si="236"/>
        <v>86400000</v>
      </c>
      <c r="AC687" s="1401">
        <f t="shared" si="237"/>
        <v>3600000</v>
      </c>
      <c r="AD687" s="1401">
        <f t="shared" si="238"/>
        <v>3600000</v>
      </c>
      <c r="AE687" s="1401">
        <f t="shared" si="239"/>
        <v>3600000</v>
      </c>
      <c r="AF687" s="1401">
        <f t="shared" si="240"/>
        <v>3600000</v>
      </c>
      <c r="AG687" s="1479">
        <f t="shared" si="241"/>
        <v>3600000</v>
      </c>
      <c r="AH687" s="1479">
        <f t="shared" si="244"/>
        <v>3600000</v>
      </c>
      <c r="AI687" s="1479">
        <f t="shared" si="245"/>
        <v>108000000</v>
      </c>
      <c r="AJ687" s="1401">
        <f t="shared" si="242"/>
        <v>72000000</v>
      </c>
    </row>
    <row r="688" spans="1:37" s="1390" customFormat="1" ht="29" customHeight="1" x14ac:dyDescent="0.2">
      <c r="A688" s="1390" t="s">
        <v>4902</v>
      </c>
      <c r="B688" s="1472" t="e">
        <v>#N/A</v>
      </c>
      <c r="D688" s="1426"/>
      <c r="E688" s="1429" t="s">
        <v>764</v>
      </c>
      <c r="F688" s="1539"/>
      <c r="G688" s="1416" t="s">
        <v>3824</v>
      </c>
      <c r="H688" s="1508"/>
      <c r="I688" s="1416" t="s">
        <v>736</v>
      </c>
      <c r="J688" s="1512" t="s">
        <v>762</v>
      </c>
      <c r="K688" s="1416">
        <v>6</v>
      </c>
      <c r="L688" s="1500">
        <v>72</v>
      </c>
      <c r="M688" s="1429" t="s">
        <v>781</v>
      </c>
      <c r="N688" s="1416">
        <v>1990</v>
      </c>
      <c r="O688" s="1414"/>
      <c r="P688" s="1414"/>
      <c r="Q688" s="1414" t="s">
        <v>782</v>
      </c>
      <c r="R688" s="1416" t="s">
        <v>12</v>
      </c>
      <c r="S688" s="1529">
        <v>388800000</v>
      </c>
      <c r="T688" s="1416" t="s">
        <v>43</v>
      </c>
      <c r="U688" s="1427"/>
      <c r="V688" s="1477"/>
      <c r="W688" s="1478" t="str">
        <f t="shared" si="231"/>
        <v>04.13.02</v>
      </c>
      <c r="X688" s="1478" t="str">
        <f t="shared" si="232"/>
        <v>Jembatan</v>
      </c>
      <c r="Y688" s="1478">
        <f t="shared" si="233"/>
        <v>50</v>
      </c>
      <c r="Z688" s="1401">
        <f t="shared" si="234"/>
        <v>7776000</v>
      </c>
      <c r="AA688" s="1444">
        <f t="shared" si="235"/>
        <v>24</v>
      </c>
      <c r="AB688" s="1401">
        <f t="shared" si="236"/>
        <v>186624000</v>
      </c>
      <c r="AC688" s="1401">
        <f t="shared" si="237"/>
        <v>7776000</v>
      </c>
      <c r="AD688" s="1401">
        <f t="shared" si="238"/>
        <v>7776000</v>
      </c>
      <c r="AE688" s="1401">
        <f t="shared" si="239"/>
        <v>7776000</v>
      </c>
      <c r="AF688" s="1401">
        <f t="shared" si="240"/>
        <v>7776000</v>
      </c>
      <c r="AG688" s="1479">
        <f t="shared" si="241"/>
        <v>7776000</v>
      </c>
      <c r="AH688" s="1479">
        <f t="shared" si="244"/>
        <v>7776000</v>
      </c>
      <c r="AI688" s="1479">
        <f t="shared" si="245"/>
        <v>233280000</v>
      </c>
      <c r="AJ688" s="1401">
        <f t="shared" si="242"/>
        <v>155520000</v>
      </c>
      <c r="AK688" s="1443">
        <f>SUM(AB688:AF688)</f>
        <v>217728000</v>
      </c>
    </row>
    <row r="689" spans="1:37" s="1390" customFormat="1" ht="29" customHeight="1" x14ac:dyDescent="0.2">
      <c r="A689" s="1390" t="s">
        <v>4902</v>
      </c>
      <c r="B689" s="1472" t="e">
        <f t="shared" si="243"/>
        <v>#N/A</v>
      </c>
      <c r="C689" s="1478" t="e">
        <f>RIGHT(#REF!,1)</f>
        <v>#REF!</v>
      </c>
      <c r="D689" s="1426"/>
      <c r="E689" s="1429" t="s">
        <v>764</v>
      </c>
      <c r="F689" s="1539"/>
      <c r="G689" s="1416" t="s">
        <v>3824</v>
      </c>
      <c r="H689" s="1508"/>
      <c r="I689" s="1416" t="s">
        <v>736</v>
      </c>
      <c r="J689" s="1512" t="s">
        <v>759</v>
      </c>
      <c r="K689" s="1416">
        <v>6</v>
      </c>
      <c r="L689" s="1500">
        <v>36</v>
      </c>
      <c r="M689" s="1429" t="s">
        <v>793</v>
      </c>
      <c r="N689" s="1416">
        <v>1992</v>
      </c>
      <c r="O689" s="1414"/>
      <c r="P689" s="1414"/>
      <c r="Q689" s="1414" t="s">
        <v>794</v>
      </c>
      <c r="R689" s="1416" t="s">
        <v>655</v>
      </c>
      <c r="S689" s="1529">
        <v>226800000</v>
      </c>
      <c r="T689" s="1416" t="s">
        <v>43</v>
      </c>
      <c r="U689" s="1427"/>
      <c r="V689" s="1477"/>
      <c r="W689" s="1478" t="str">
        <f t="shared" si="231"/>
        <v>04.13.02</v>
      </c>
      <c r="X689" s="1478" t="str">
        <f t="shared" si="232"/>
        <v>Jembatan</v>
      </c>
      <c r="Y689" s="1478">
        <f t="shared" si="233"/>
        <v>50</v>
      </c>
      <c r="Z689" s="1401">
        <f t="shared" si="234"/>
        <v>4536000</v>
      </c>
      <c r="AA689" s="1444">
        <f t="shared" si="235"/>
        <v>22</v>
      </c>
      <c r="AB689" s="1401">
        <f t="shared" si="236"/>
        <v>99792000</v>
      </c>
      <c r="AC689" s="1401">
        <f t="shared" si="237"/>
        <v>4536000</v>
      </c>
      <c r="AD689" s="1401">
        <f t="shared" si="238"/>
        <v>4536000</v>
      </c>
      <c r="AE689" s="1401">
        <f t="shared" si="239"/>
        <v>4536000</v>
      </c>
      <c r="AF689" s="1401">
        <f t="shared" si="240"/>
        <v>4536000</v>
      </c>
      <c r="AG689" s="1479">
        <f t="shared" si="241"/>
        <v>4536000</v>
      </c>
      <c r="AH689" s="1479">
        <f t="shared" si="244"/>
        <v>4536000</v>
      </c>
      <c r="AI689" s="1479">
        <f t="shared" si="245"/>
        <v>127008000</v>
      </c>
      <c r="AJ689" s="1401">
        <f t="shared" si="242"/>
        <v>99792000</v>
      </c>
    </row>
    <row r="690" spans="1:37" s="1390" customFormat="1" ht="29" customHeight="1" x14ac:dyDescent="0.2">
      <c r="A690" s="1390" t="s">
        <v>4902</v>
      </c>
      <c r="B690" s="1472" t="e">
        <f t="shared" si="243"/>
        <v>#N/A</v>
      </c>
      <c r="C690" s="1478" t="e">
        <f>RIGHT(#REF!,1)</f>
        <v>#REF!</v>
      </c>
      <c r="D690" s="1426"/>
      <c r="E690" s="1429" t="s">
        <v>742</v>
      </c>
      <c r="F690" s="1539"/>
      <c r="G690" s="1517" t="s">
        <v>3823</v>
      </c>
      <c r="H690" s="1518"/>
      <c r="I690" s="1518" t="s">
        <v>736</v>
      </c>
      <c r="J690" s="1533" t="s">
        <v>625</v>
      </c>
      <c r="K690" s="1517">
        <v>6</v>
      </c>
      <c r="L690" s="1519">
        <v>1200</v>
      </c>
      <c r="M690" s="1518" t="s">
        <v>743</v>
      </c>
      <c r="N690" s="1517">
        <v>1993</v>
      </c>
      <c r="O690" s="1518"/>
      <c r="P690" s="1518"/>
      <c r="Q690" s="1518" t="s">
        <v>744</v>
      </c>
      <c r="R690" s="1517" t="s">
        <v>12</v>
      </c>
      <c r="S690" s="1520">
        <v>7560000000</v>
      </c>
      <c r="T690" s="1517" t="s">
        <v>43</v>
      </c>
      <c r="U690" s="1572"/>
      <c r="V690" s="1521"/>
      <c r="W690" s="1478" t="str">
        <f t="shared" si="231"/>
        <v>04.13.02</v>
      </c>
      <c r="X690" s="1478" t="str">
        <f t="shared" si="232"/>
        <v>Jembatan</v>
      </c>
      <c r="Y690" s="1478">
        <f t="shared" si="233"/>
        <v>50</v>
      </c>
      <c r="Z690" s="1401">
        <f t="shared" si="234"/>
        <v>151200000</v>
      </c>
      <c r="AA690" s="1444">
        <f t="shared" si="235"/>
        <v>21</v>
      </c>
      <c r="AB690" s="1401">
        <f t="shared" si="236"/>
        <v>3175200000</v>
      </c>
      <c r="AC690" s="1401">
        <f t="shared" si="237"/>
        <v>151200000</v>
      </c>
      <c r="AD690" s="1401">
        <f t="shared" si="238"/>
        <v>151200000</v>
      </c>
      <c r="AE690" s="1401">
        <f t="shared" si="239"/>
        <v>151200000</v>
      </c>
      <c r="AF690" s="1401">
        <f t="shared" si="240"/>
        <v>151200000</v>
      </c>
      <c r="AG690" s="1479">
        <f t="shared" si="241"/>
        <v>151200000</v>
      </c>
      <c r="AH690" s="1479">
        <f t="shared" si="244"/>
        <v>151200000</v>
      </c>
      <c r="AI690" s="1479">
        <f t="shared" si="245"/>
        <v>4082400000</v>
      </c>
      <c r="AJ690" s="1401">
        <f t="shared" si="242"/>
        <v>3477600000</v>
      </c>
    </row>
    <row r="691" spans="1:37" s="1390" customFormat="1" ht="29" customHeight="1" x14ac:dyDescent="0.2">
      <c r="A691" s="1390" t="s">
        <v>4902</v>
      </c>
      <c r="B691" s="1472" t="e">
        <f t="shared" si="243"/>
        <v>#N/A</v>
      </c>
      <c r="C691" s="1478" t="e">
        <f>RIGHT(#REF!,1)</f>
        <v>#REF!</v>
      </c>
      <c r="D691" s="1426"/>
      <c r="E691" s="1429" t="s">
        <v>764</v>
      </c>
      <c r="F691" s="1539"/>
      <c r="G691" s="1416" t="s">
        <v>3824</v>
      </c>
      <c r="H691" s="1508"/>
      <c r="I691" s="1416" t="s">
        <v>736</v>
      </c>
      <c r="J691" s="1512" t="s">
        <v>759</v>
      </c>
      <c r="K691" s="1416">
        <v>6</v>
      </c>
      <c r="L691" s="1500">
        <v>36</v>
      </c>
      <c r="M691" s="1429" t="s">
        <v>805</v>
      </c>
      <c r="N691" s="1416">
        <v>1995</v>
      </c>
      <c r="O691" s="1414"/>
      <c r="P691" s="1414"/>
      <c r="Q691" s="1414" t="s">
        <v>806</v>
      </c>
      <c r="R691" s="1416" t="s">
        <v>655</v>
      </c>
      <c r="S691" s="1529">
        <v>252000000</v>
      </c>
      <c r="T691" s="1416" t="s">
        <v>43</v>
      </c>
      <c r="U691" s="1427"/>
      <c r="V691" s="1477"/>
      <c r="W691" s="1478" t="str">
        <f t="shared" si="231"/>
        <v>04.13.02</v>
      </c>
      <c r="X691" s="1478" t="str">
        <f t="shared" si="232"/>
        <v>Jembatan</v>
      </c>
      <c r="Y691" s="1478">
        <f t="shared" si="233"/>
        <v>50</v>
      </c>
      <c r="Z691" s="1401">
        <f t="shared" si="234"/>
        <v>5040000</v>
      </c>
      <c r="AA691" s="1444">
        <f t="shared" si="235"/>
        <v>19</v>
      </c>
      <c r="AB691" s="1401">
        <f t="shared" si="236"/>
        <v>95760000</v>
      </c>
      <c r="AC691" s="1401">
        <f t="shared" si="237"/>
        <v>5040000</v>
      </c>
      <c r="AD691" s="1401">
        <f t="shared" si="238"/>
        <v>5040000</v>
      </c>
      <c r="AE691" s="1401">
        <f t="shared" si="239"/>
        <v>5040000</v>
      </c>
      <c r="AF691" s="1401">
        <f t="shared" si="240"/>
        <v>5040000</v>
      </c>
      <c r="AG691" s="1479">
        <f t="shared" si="241"/>
        <v>5040000</v>
      </c>
      <c r="AH691" s="1479">
        <f t="shared" si="244"/>
        <v>5040000</v>
      </c>
      <c r="AI691" s="1479">
        <f t="shared" si="245"/>
        <v>126000000</v>
      </c>
      <c r="AJ691" s="1401">
        <f t="shared" si="242"/>
        <v>126000000</v>
      </c>
    </row>
    <row r="692" spans="1:37" s="1390" customFormat="1" ht="29" customHeight="1" x14ac:dyDescent="0.2">
      <c r="A692" s="1390" t="s">
        <v>4902</v>
      </c>
      <c r="B692" s="1472" t="e">
        <f>VLOOKUP(A692,RUAS,2,FALSE)</f>
        <v>#N/A</v>
      </c>
      <c r="C692" s="1478" t="e">
        <f>RIGHT(#REF!,1)</f>
        <v>#REF!</v>
      </c>
      <c r="D692" s="1426"/>
      <c r="E692" s="1429" t="s">
        <v>742</v>
      </c>
      <c r="F692" s="1539"/>
      <c r="G692" s="1517" t="s">
        <v>3823</v>
      </c>
      <c r="H692" s="1518"/>
      <c r="I692" s="1518" t="s">
        <v>736</v>
      </c>
      <c r="J692" s="1533" t="s">
        <v>745</v>
      </c>
      <c r="K692" s="1517">
        <v>6</v>
      </c>
      <c r="L692" s="1519">
        <v>360</v>
      </c>
      <c r="M692" s="1518" t="s">
        <v>746</v>
      </c>
      <c r="N692" s="1517">
        <v>1996</v>
      </c>
      <c r="O692" s="1518"/>
      <c r="P692" s="1518"/>
      <c r="Q692" s="1518" t="s">
        <v>747</v>
      </c>
      <c r="R692" s="1517" t="s">
        <v>12</v>
      </c>
      <c r="S692" s="1520">
        <v>945000000</v>
      </c>
      <c r="T692" s="1517" t="s">
        <v>135</v>
      </c>
      <c r="U692" s="1572"/>
      <c r="V692" s="1521"/>
      <c r="W692" s="1478" t="str">
        <f t="shared" si="231"/>
        <v>04.13.02</v>
      </c>
      <c r="X692" s="1478" t="str">
        <f t="shared" si="232"/>
        <v>Jembatan</v>
      </c>
      <c r="Y692" s="1478">
        <f t="shared" si="233"/>
        <v>50</v>
      </c>
      <c r="Z692" s="1401">
        <f t="shared" si="234"/>
        <v>18900000</v>
      </c>
      <c r="AA692" s="1444">
        <f t="shared" si="235"/>
        <v>18</v>
      </c>
      <c r="AB692" s="1401">
        <f t="shared" si="236"/>
        <v>340200000</v>
      </c>
      <c r="AC692" s="1401">
        <f t="shared" si="237"/>
        <v>18900000</v>
      </c>
      <c r="AD692" s="1401">
        <f t="shared" si="238"/>
        <v>18900000</v>
      </c>
      <c r="AE692" s="1401">
        <f t="shared" si="239"/>
        <v>18900000</v>
      </c>
      <c r="AF692" s="1401">
        <f t="shared" si="240"/>
        <v>18900000</v>
      </c>
      <c r="AG692" s="1479">
        <f t="shared" si="241"/>
        <v>18900000</v>
      </c>
      <c r="AH692" s="1479">
        <f t="shared" si="244"/>
        <v>18900000</v>
      </c>
      <c r="AI692" s="1479">
        <f t="shared" si="245"/>
        <v>453600000</v>
      </c>
      <c r="AJ692" s="1401">
        <f t="shared" si="242"/>
        <v>491400000</v>
      </c>
    </row>
    <row r="693" spans="1:37" s="1390" customFormat="1" ht="29" customHeight="1" x14ac:dyDescent="0.2">
      <c r="A693" s="1390" t="s">
        <v>4902</v>
      </c>
      <c r="B693" s="1472" t="e">
        <f>VLOOKUP(A693,RUAS,2,FALSE)</f>
        <v>#N/A</v>
      </c>
      <c r="C693" s="1478" t="e">
        <f>RIGHT(#REF!,1)</f>
        <v>#REF!</v>
      </c>
      <c r="D693" s="1426"/>
      <c r="E693" s="1429" t="s">
        <v>764</v>
      </c>
      <c r="F693" s="1539"/>
      <c r="G693" s="1416" t="s">
        <v>3824</v>
      </c>
      <c r="H693" s="1508"/>
      <c r="I693" s="1416" t="s">
        <v>736</v>
      </c>
      <c r="J693" s="1512" t="s">
        <v>745</v>
      </c>
      <c r="K693" s="1416">
        <v>8</v>
      </c>
      <c r="L693" s="1500">
        <v>480</v>
      </c>
      <c r="M693" s="1429" t="s">
        <v>780</v>
      </c>
      <c r="N693" s="1416">
        <v>1999</v>
      </c>
      <c r="O693" s="1414"/>
      <c r="P693" s="1414"/>
      <c r="Q693" s="1414" t="s">
        <v>768</v>
      </c>
      <c r="R693" s="1416" t="s">
        <v>12</v>
      </c>
      <c r="S693" s="1529">
        <v>3168000000</v>
      </c>
      <c r="T693" s="1416" t="s">
        <v>43</v>
      </c>
      <c r="U693" s="1427"/>
      <c r="V693" s="1477"/>
      <c r="W693" s="1478" t="str">
        <f t="shared" si="231"/>
        <v>04.13.02</v>
      </c>
      <c r="X693" s="1478" t="str">
        <f t="shared" si="232"/>
        <v>Jembatan</v>
      </c>
      <c r="Y693" s="1478">
        <f t="shared" si="233"/>
        <v>50</v>
      </c>
      <c r="Z693" s="1401">
        <f t="shared" si="234"/>
        <v>63360000</v>
      </c>
      <c r="AA693" s="1444">
        <f t="shared" si="235"/>
        <v>15</v>
      </c>
      <c r="AB693" s="1401">
        <f t="shared" si="236"/>
        <v>950400000</v>
      </c>
      <c r="AC693" s="1401">
        <f t="shared" si="237"/>
        <v>63360000</v>
      </c>
      <c r="AD693" s="1401">
        <f t="shared" si="238"/>
        <v>63360000</v>
      </c>
      <c r="AE693" s="1401">
        <f t="shared" si="239"/>
        <v>63360000</v>
      </c>
      <c r="AF693" s="1401">
        <f t="shared" si="240"/>
        <v>63360000</v>
      </c>
      <c r="AG693" s="1479">
        <f t="shared" si="241"/>
        <v>63360000</v>
      </c>
      <c r="AH693" s="1479">
        <f t="shared" si="244"/>
        <v>63360000</v>
      </c>
      <c r="AI693" s="1479">
        <f t="shared" si="245"/>
        <v>1330560000</v>
      </c>
      <c r="AJ693" s="1401">
        <f t="shared" si="242"/>
        <v>1837440000</v>
      </c>
    </row>
    <row r="694" spans="1:37" s="1390" customFormat="1" ht="29" customHeight="1" x14ac:dyDescent="0.2">
      <c r="A694" s="1390" t="s">
        <v>4902</v>
      </c>
      <c r="B694" s="1472" t="e">
        <f>VLOOKUP(A694,RUAS,2,FALSE)</f>
        <v>#N/A</v>
      </c>
      <c r="C694" s="1478" t="e">
        <f>RIGHT(#REF!,1)</f>
        <v>#REF!</v>
      </c>
      <c r="D694" s="1426"/>
      <c r="E694" s="1429" t="s">
        <v>764</v>
      </c>
      <c r="F694" s="1539"/>
      <c r="G694" s="1416" t="s">
        <v>3824</v>
      </c>
      <c r="H694" s="1508"/>
      <c r="I694" s="1416" t="s">
        <v>238</v>
      </c>
      <c r="J694" s="1512" t="s">
        <v>766</v>
      </c>
      <c r="K694" s="1416">
        <v>4.5</v>
      </c>
      <c r="L694" s="1500">
        <v>67.5</v>
      </c>
      <c r="M694" s="1429" t="s">
        <v>767</v>
      </c>
      <c r="N694" s="1416">
        <v>1999</v>
      </c>
      <c r="O694" s="1414"/>
      <c r="P694" s="1414"/>
      <c r="Q694" s="1414" t="s">
        <v>768</v>
      </c>
      <c r="R694" s="1416" t="s">
        <v>12</v>
      </c>
      <c r="S694" s="1529">
        <v>162000000</v>
      </c>
      <c r="T694" s="1416" t="s">
        <v>43</v>
      </c>
      <c r="U694" s="1427"/>
      <c r="V694" s="1477"/>
      <c r="W694" s="1478" t="str">
        <f t="shared" si="231"/>
        <v>04.13.02</v>
      </c>
      <c r="X694" s="1478" t="str">
        <f t="shared" si="232"/>
        <v>Jembatan</v>
      </c>
      <c r="Y694" s="1478">
        <f t="shared" si="233"/>
        <v>50</v>
      </c>
      <c r="Z694" s="1401">
        <f t="shared" si="234"/>
        <v>3240000</v>
      </c>
      <c r="AA694" s="1444">
        <f t="shared" si="235"/>
        <v>15</v>
      </c>
      <c r="AB694" s="1401">
        <f t="shared" si="236"/>
        <v>48600000</v>
      </c>
      <c r="AC694" s="1401">
        <f t="shared" si="237"/>
        <v>3240000</v>
      </c>
      <c r="AD694" s="1401">
        <f t="shared" si="238"/>
        <v>3240000</v>
      </c>
      <c r="AE694" s="1401">
        <f t="shared" si="239"/>
        <v>3240000</v>
      </c>
      <c r="AF694" s="1401">
        <f t="shared" si="240"/>
        <v>3240000</v>
      </c>
      <c r="AG694" s="1479">
        <f t="shared" si="241"/>
        <v>3240000</v>
      </c>
      <c r="AH694" s="1479">
        <f t="shared" si="244"/>
        <v>3240000</v>
      </c>
      <c r="AI694" s="1479">
        <f t="shared" si="245"/>
        <v>68040000</v>
      </c>
      <c r="AJ694" s="1401">
        <f t="shared" si="242"/>
        <v>93960000</v>
      </c>
    </row>
    <row r="695" spans="1:37" s="1390" customFormat="1" ht="29" customHeight="1" x14ac:dyDescent="0.2">
      <c r="A695" s="1390" t="s">
        <v>4902</v>
      </c>
      <c r="B695" s="1472" t="e">
        <f>VLOOKUP(A695,RUAS,2,FALSE)</f>
        <v>#N/A</v>
      </c>
      <c r="C695" s="1478" t="e">
        <f>RIGHT(#REF!,1)</f>
        <v>#REF!</v>
      </c>
      <c r="D695" s="1426"/>
      <c r="E695" s="1429" t="s">
        <v>764</v>
      </c>
      <c r="F695" s="1539"/>
      <c r="G695" s="1416" t="s">
        <v>3824</v>
      </c>
      <c r="H695" s="1508"/>
      <c r="I695" s="1416" t="s">
        <v>736</v>
      </c>
      <c r="J695" s="1512" t="s">
        <v>751</v>
      </c>
      <c r="K695" s="1416">
        <v>4</v>
      </c>
      <c r="L695" s="1500">
        <v>40</v>
      </c>
      <c r="M695" s="1429" t="s">
        <v>771</v>
      </c>
      <c r="N695" s="1416">
        <v>1999</v>
      </c>
      <c r="O695" s="1414"/>
      <c r="P695" s="1414"/>
      <c r="Q695" s="1414" t="s">
        <v>768</v>
      </c>
      <c r="R695" s="1416" t="s">
        <v>12</v>
      </c>
      <c r="S695" s="1529">
        <v>308000000</v>
      </c>
      <c r="T695" s="1416" t="s">
        <v>43</v>
      </c>
      <c r="U695" s="1427"/>
      <c r="V695" s="1477"/>
      <c r="W695" s="1478" t="str">
        <f t="shared" si="231"/>
        <v>04.13.02</v>
      </c>
      <c r="X695" s="1478" t="str">
        <f t="shared" si="232"/>
        <v>Jembatan</v>
      </c>
      <c r="Y695" s="1478">
        <f t="shared" si="233"/>
        <v>50</v>
      </c>
      <c r="Z695" s="1401">
        <f t="shared" si="234"/>
        <v>6160000</v>
      </c>
      <c r="AA695" s="1444">
        <f t="shared" si="235"/>
        <v>15</v>
      </c>
      <c r="AB695" s="1401">
        <f t="shared" si="236"/>
        <v>92400000</v>
      </c>
      <c r="AC695" s="1401">
        <f t="shared" si="237"/>
        <v>6160000</v>
      </c>
      <c r="AD695" s="1401">
        <f t="shared" si="238"/>
        <v>6160000</v>
      </c>
      <c r="AE695" s="1401">
        <f t="shared" si="239"/>
        <v>6160000</v>
      </c>
      <c r="AF695" s="1401">
        <f t="shared" si="240"/>
        <v>6160000</v>
      </c>
      <c r="AG695" s="1479">
        <f t="shared" si="241"/>
        <v>6160000</v>
      </c>
      <c r="AH695" s="1479">
        <f t="shared" si="244"/>
        <v>6160000</v>
      </c>
      <c r="AI695" s="1479">
        <f t="shared" si="245"/>
        <v>129360000</v>
      </c>
      <c r="AJ695" s="1401">
        <f t="shared" si="242"/>
        <v>178640000</v>
      </c>
    </row>
    <row r="696" spans="1:37" s="1390" customFormat="1" ht="29" customHeight="1" x14ac:dyDescent="0.2">
      <c r="A696" s="1390" t="s">
        <v>4902</v>
      </c>
      <c r="B696" s="1472" t="e">
        <f>VLOOKUP(A696,RUAS,2,FALSE)</f>
        <v>#N/A</v>
      </c>
      <c r="C696" s="1478" t="e">
        <f>RIGHT(#REF!,1)</f>
        <v>#REF!</v>
      </c>
      <c r="D696" s="1426"/>
      <c r="E696" s="1429" t="s">
        <v>764</v>
      </c>
      <c r="F696" s="1539"/>
      <c r="G696" s="1416" t="s">
        <v>3824</v>
      </c>
      <c r="H696" s="1508"/>
      <c r="I696" s="1416" t="s">
        <v>736</v>
      </c>
      <c r="J696" s="1512" t="s">
        <v>775</v>
      </c>
      <c r="K696" s="1416">
        <v>8</v>
      </c>
      <c r="L696" s="1500">
        <v>64</v>
      </c>
      <c r="M696" s="1429" t="s">
        <v>784</v>
      </c>
      <c r="N696" s="1416">
        <v>2000</v>
      </c>
      <c r="O696" s="1414"/>
      <c r="P696" s="1414"/>
      <c r="Q696" s="1414" t="s">
        <v>777</v>
      </c>
      <c r="R696" s="1416" t="s">
        <v>12</v>
      </c>
      <c r="S696" s="1529">
        <v>374400000</v>
      </c>
      <c r="T696" s="1416" t="s">
        <v>43</v>
      </c>
      <c r="U696" s="1427"/>
      <c r="V696" s="1477"/>
      <c r="W696" s="1478" t="str">
        <f t="shared" si="231"/>
        <v>04.13.02</v>
      </c>
      <c r="X696" s="1478" t="str">
        <f t="shared" si="232"/>
        <v>Jembatan</v>
      </c>
      <c r="Y696" s="1478">
        <f t="shared" si="233"/>
        <v>50</v>
      </c>
      <c r="Z696" s="1401">
        <f t="shared" si="234"/>
        <v>7488000</v>
      </c>
      <c r="AA696" s="1444">
        <f t="shared" si="235"/>
        <v>14</v>
      </c>
      <c r="AB696" s="1401">
        <f t="shared" si="236"/>
        <v>104832000</v>
      </c>
      <c r="AC696" s="1401">
        <f t="shared" si="237"/>
        <v>7488000</v>
      </c>
      <c r="AD696" s="1401">
        <f t="shared" si="238"/>
        <v>7488000</v>
      </c>
      <c r="AE696" s="1401">
        <f t="shared" si="239"/>
        <v>7488000</v>
      </c>
      <c r="AF696" s="1401">
        <f t="shared" si="240"/>
        <v>7488000</v>
      </c>
      <c r="AG696" s="1479">
        <f t="shared" si="241"/>
        <v>7488000</v>
      </c>
      <c r="AH696" s="1479">
        <f t="shared" si="244"/>
        <v>7488000</v>
      </c>
      <c r="AI696" s="1479">
        <f t="shared" si="245"/>
        <v>149760000</v>
      </c>
      <c r="AJ696" s="1401">
        <f t="shared" si="242"/>
        <v>224640000</v>
      </c>
    </row>
    <row r="697" spans="1:37" s="1390" customFormat="1" ht="29" customHeight="1" x14ac:dyDescent="0.2">
      <c r="A697" s="1390" t="s">
        <v>4902</v>
      </c>
      <c r="B697" s="1472" t="e">
        <v>#N/A</v>
      </c>
      <c r="D697" s="1426"/>
      <c r="E697" s="1429" t="s">
        <v>764</v>
      </c>
      <c r="F697" s="1539"/>
      <c r="G697" s="1416" t="s">
        <v>3824</v>
      </c>
      <c r="H697" s="1508"/>
      <c r="I697" s="1416" t="s">
        <v>736</v>
      </c>
      <c r="J697" s="1512" t="s">
        <v>775</v>
      </c>
      <c r="K697" s="1416">
        <v>8</v>
      </c>
      <c r="L697" s="1500">
        <v>64</v>
      </c>
      <c r="M697" s="1429" t="s">
        <v>776</v>
      </c>
      <c r="N697" s="1416">
        <v>2000</v>
      </c>
      <c r="O697" s="1414"/>
      <c r="P697" s="1414"/>
      <c r="Q697" s="1414" t="s">
        <v>777</v>
      </c>
      <c r="R697" s="1416" t="s">
        <v>12</v>
      </c>
      <c r="S697" s="1529">
        <v>374400000</v>
      </c>
      <c r="T697" s="1416" t="s">
        <v>43</v>
      </c>
      <c r="U697" s="1427"/>
      <c r="V697" s="1477"/>
      <c r="W697" s="1478" t="str">
        <f t="shared" si="231"/>
        <v>04.13.02</v>
      </c>
      <c r="X697" s="1478" t="str">
        <f t="shared" si="232"/>
        <v>Jembatan</v>
      </c>
      <c r="Y697" s="1478">
        <f t="shared" si="233"/>
        <v>50</v>
      </c>
      <c r="Z697" s="1401">
        <f t="shared" si="234"/>
        <v>7488000</v>
      </c>
      <c r="AA697" s="1444">
        <f t="shared" si="235"/>
        <v>14</v>
      </c>
      <c r="AB697" s="1401">
        <f t="shared" si="236"/>
        <v>104832000</v>
      </c>
      <c r="AC697" s="1401">
        <f t="shared" si="237"/>
        <v>7488000</v>
      </c>
      <c r="AD697" s="1401">
        <f t="shared" si="238"/>
        <v>7488000</v>
      </c>
      <c r="AE697" s="1401">
        <f t="shared" si="239"/>
        <v>7488000</v>
      </c>
      <c r="AF697" s="1401">
        <f t="shared" si="240"/>
        <v>7488000</v>
      </c>
      <c r="AG697" s="1479">
        <f t="shared" si="241"/>
        <v>7488000</v>
      </c>
      <c r="AH697" s="1479">
        <f t="shared" si="244"/>
        <v>7488000</v>
      </c>
      <c r="AI697" s="1479">
        <f t="shared" si="245"/>
        <v>149760000</v>
      </c>
      <c r="AJ697" s="1401">
        <f t="shared" si="242"/>
        <v>224640000</v>
      </c>
      <c r="AK697" s="1443">
        <f>SUM(AB697:AF697)</f>
        <v>134784000</v>
      </c>
    </row>
    <row r="698" spans="1:37" s="1390" customFormat="1" ht="29" customHeight="1" x14ac:dyDescent="0.2">
      <c r="A698" s="1390" t="s">
        <v>4902</v>
      </c>
      <c r="B698" s="1472" t="e">
        <f t="shared" ref="B698:B706" si="246">VLOOKUP(A698,RUAS,2,FALSE)</f>
        <v>#N/A</v>
      </c>
      <c r="C698" s="1478" t="e">
        <f>RIGHT(#REF!,1)</f>
        <v>#REF!</v>
      </c>
      <c r="D698" s="1426"/>
      <c r="E698" s="1429" t="s">
        <v>764</v>
      </c>
      <c r="F698" s="1539"/>
      <c r="G698" s="1416" t="s">
        <v>3824</v>
      </c>
      <c r="H698" s="1508"/>
      <c r="I698" s="1416" t="s">
        <v>736</v>
      </c>
      <c r="J698" s="1512" t="s">
        <v>766</v>
      </c>
      <c r="K698" s="1416">
        <v>6</v>
      </c>
      <c r="L698" s="1500">
        <v>90</v>
      </c>
      <c r="M698" s="1429" t="s">
        <v>823</v>
      </c>
      <c r="N698" s="1416">
        <v>2001</v>
      </c>
      <c r="O698" s="1414"/>
      <c r="P698" s="1414"/>
      <c r="Q698" s="1414" t="s">
        <v>824</v>
      </c>
      <c r="R698" s="1416" t="s">
        <v>12</v>
      </c>
      <c r="S698" s="1529">
        <v>495000000</v>
      </c>
      <c r="T698" s="1416" t="s">
        <v>43</v>
      </c>
      <c r="U698" s="1427"/>
      <c r="V698" s="1477"/>
      <c r="W698" s="1478" t="str">
        <f t="shared" si="231"/>
        <v>04.13.02</v>
      </c>
      <c r="X698" s="1478" t="str">
        <f t="shared" si="232"/>
        <v>Jembatan</v>
      </c>
      <c r="Y698" s="1478">
        <f t="shared" si="233"/>
        <v>50</v>
      </c>
      <c r="Z698" s="1401">
        <f t="shared" si="234"/>
        <v>9900000</v>
      </c>
      <c r="AA698" s="1444">
        <f t="shared" si="235"/>
        <v>13</v>
      </c>
      <c r="AB698" s="1401">
        <f t="shared" si="236"/>
        <v>128700000</v>
      </c>
      <c r="AC698" s="1401">
        <f t="shared" si="237"/>
        <v>9900000</v>
      </c>
      <c r="AD698" s="1401">
        <f t="shared" si="238"/>
        <v>9900000</v>
      </c>
      <c r="AE698" s="1401">
        <f t="shared" si="239"/>
        <v>9900000</v>
      </c>
      <c r="AF698" s="1401">
        <f t="shared" si="240"/>
        <v>9900000</v>
      </c>
      <c r="AG698" s="1479">
        <f t="shared" si="241"/>
        <v>9900000</v>
      </c>
      <c r="AH698" s="1479">
        <f t="shared" si="244"/>
        <v>9900000</v>
      </c>
      <c r="AI698" s="1479">
        <f t="shared" si="245"/>
        <v>188100000</v>
      </c>
      <c r="AJ698" s="1401">
        <f t="shared" si="242"/>
        <v>306900000</v>
      </c>
    </row>
    <row r="699" spans="1:37" s="1390" customFormat="1" ht="29" customHeight="1" x14ac:dyDescent="0.2">
      <c r="A699" s="1390" t="s">
        <v>4902</v>
      </c>
      <c r="B699" s="1472" t="e">
        <f t="shared" si="246"/>
        <v>#N/A</v>
      </c>
      <c r="C699" s="1478" t="e">
        <f>RIGHT(#REF!,1)</f>
        <v>#REF!</v>
      </c>
      <c r="D699" s="1426"/>
      <c r="E699" s="1429" t="s">
        <v>764</v>
      </c>
      <c r="F699" s="1539"/>
      <c r="G699" s="1416" t="s">
        <v>3824</v>
      </c>
      <c r="H699" s="1508"/>
      <c r="I699" s="1416" t="s">
        <v>736</v>
      </c>
      <c r="J699" s="1512" t="s">
        <v>772</v>
      </c>
      <c r="K699" s="1416">
        <v>6</v>
      </c>
      <c r="L699" s="1500">
        <v>150</v>
      </c>
      <c r="M699" s="1429" t="s">
        <v>773</v>
      </c>
      <c r="N699" s="1416">
        <v>2003</v>
      </c>
      <c r="O699" s="1414"/>
      <c r="P699" s="1414"/>
      <c r="Q699" s="1414" t="s">
        <v>774</v>
      </c>
      <c r="R699" s="1416" t="s">
        <v>12</v>
      </c>
      <c r="S699" s="1529">
        <v>1155000000</v>
      </c>
      <c r="T699" s="1416" t="s">
        <v>43</v>
      </c>
      <c r="U699" s="1427"/>
      <c r="V699" s="1477"/>
      <c r="W699" s="1478" t="str">
        <f t="shared" si="231"/>
        <v>04.13.02</v>
      </c>
      <c r="X699" s="1478" t="str">
        <f t="shared" si="232"/>
        <v>Jembatan</v>
      </c>
      <c r="Y699" s="1478">
        <f t="shared" si="233"/>
        <v>50</v>
      </c>
      <c r="Z699" s="1401">
        <f t="shared" si="234"/>
        <v>23100000</v>
      </c>
      <c r="AA699" s="1444">
        <f t="shared" si="235"/>
        <v>11</v>
      </c>
      <c r="AB699" s="1401">
        <f t="shared" si="236"/>
        <v>254100000</v>
      </c>
      <c r="AC699" s="1401">
        <f t="shared" si="237"/>
        <v>23100000</v>
      </c>
      <c r="AD699" s="1401">
        <f t="shared" si="238"/>
        <v>23100000</v>
      </c>
      <c r="AE699" s="1401">
        <f t="shared" si="239"/>
        <v>23100000</v>
      </c>
      <c r="AF699" s="1401">
        <f t="shared" si="240"/>
        <v>23100000</v>
      </c>
      <c r="AG699" s="1479">
        <f t="shared" si="241"/>
        <v>23100000</v>
      </c>
      <c r="AH699" s="1479">
        <f t="shared" si="244"/>
        <v>23100000</v>
      </c>
      <c r="AI699" s="1479">
        <f t="shared" si="245"/>
        <v>392700000</v>
      </c>
      <c r="AJ699" s="1401">
        <f t="shared" si="242"/>
        <v>762300000</v>
      </c>
    </row>
    <row r="700" spans="1:37" s="1390" customFormat="1" ht="29" customHeight="1" x14ac:dyDescent="0.2">
      <c r="A700" s="1390" t="s">
        <v>4902</v>
      </c>
      <c r="B700" s="1472" t="e">
        <f t="shared" si="246"/>
        <v>#N/A</v>
      </c>
      <c r="C700" s="1478" t="e">
        <f>RIGHT(#REF!,1)</f>
        <v>#REF!</v>
      </c>
      <c r="D700" s="1426"/>
      <c r="E700" s="1429" t="s">
        <v>764</v>
      </c>
      <c r="F700" s="1539"/>
      <c r="G700" s="1416" t="s">
        <v>3824</v>
      </c>
      <c r="H700" s="1508"/>
      <c r="I700" s="1416" t="s">
        <v>736</v>
      </c>
      <c r="J700" s="1512" t="s">
        <v>825</v>
      </c>
      <c r="K700" s="1416">
        <v>8</v>
      </c>
      <c r="L700" s="1500">
        <v>288</v>
      </c>
      <c r="M700" s="1429" t="s">
        <v>826</v>
      </c>
      <c r="N700" s="1416">
        <v>2004</v>
      </c>
      <c r="O700" s="1414"/>
      <c r="P700" s="1414"/>
      <c r="Q700" s="1414" t="s">
        <v>738</v>
      </c>
      <c r="R700" s="1416" t="s">
        <v>12</v>
      </c>
      <c r="S700" s="1529">
        <v>2059200000</v>
      </c>
      <c r="T700" s="1416" t="s">
        <v>43</v>
      </c>
      <c r="U700" s="1427"/>
      <c r="V700" s="1477"/>
      <c r="W700" s="1478" t="str">
        <f t="shared" si="231"/>
        <v>04.13.02</v>
      </c>
      <c r="X700" s="1478" t="str">
        <f t="shared" si="232"/>
        <v>Jembatan</v>
      </c>
      <c r="Y700" s="1478">
        <f t="shared" si="233"/>
        <v>50</v>
      </c>
      <c r="Z700" s="1401">
        <f t="shared" si="234"/>
        <v>41184000</v>
      </c>
      <c r="AA700" s="1444">
        <f t="shared" si="235"/>
        <v>10</v>
      </c>
      <c r="AB700" s="1401">
        <f t="shared" si="236"/>
        <v>411840000</v>
      </c>
      <c r="AC700" s="1401">
        <f t="shared" si="237"/>
        <v>41184000</v>
      </c>
      <c r="AD700" s="1401">
        <f t="shared" si="238"/>
        <v>41184000</v>
      </c>
      <c r="AE700" s="1401">
        <f t="shared" si="239"/>
        <v>41184000</v>
      </c>
      <c r="AF700" s="1401">
        <f t="shared" si="240"/>
        <v>41184000</v>
      </c>
      <c r="AG700" s="1479">
        <f t="shared" si="241"/>
        <v>41184000</v>
      </c>
      <c r="AH700" s="1479">
        <f t="shared" si="244"/>
        <v>41184000</v>
      </c>
      <c r="AI700" s="1479">
        <f t="shared" si="245"/>
        <v>658944000</v>
      </c>
      <c r="AJ700" s="1401">
        <f t="shared" si="242"/>
        <v>1400256000</v>
      </c>
    </row>
    <row r="701" spans="1:37" s="1472" customFormat="1" ht="29" customHeight="1" x14ac:dyDescent="0.2">
      <c r="A701" s="1390" t="s">
        <v>4902</v>
      </c>
      <c r="B701" s="1472" t="e">
        <f t="shared" si="246"/>
        <v>#N/A</v>
      </c>
      <c r="C701" s="1478" t="e">
        <f>RIGHT(#REF!,1)</f>
        <v>#REF!</v>
      </c>
      <c r="D701" s="1576"/>
      <c r="E701" s="1413" t="s">
        <v>764</v>
      </c>
      <c r="F701" s="1539"/>
      <c r="G701" s="1416" t="s">
        <v>3824</v>
      </c>
      <c r="H701" s="1414"/>
      <c r="I701" s="1416" t="s">
        <v>736</v>
      </c>
      <c r="J701" s="1512" t="s">
        <v>796</v>
      </c>
      <c r="K701" s="1416">
        <v>6</v>
      </c>
      <c r="L701" s="1500">
        <v>24</v>
      </c>
      <c r="M701" s="1429" t="s">
        <v>800</v>
      </c>
      <c r="N701" s="1416">
        <v>2004</v>
      </c>
      <c r="O701" s="1414"/>
      <c r="P701" s="1414"/>
      <c r="Q701" s="1414" t="s">
        <v>738</v>
      </c>
      <c r="R701" s="1501" t="s">
        <v>12</v>
      </c>
      <c r="S701" s="1539">
        <v>140400000</v>
      </c>
      <c r="T701" s="1549" t="s">
        <v>43</v>
      </c>
      <c r="U701" s="1575"/>
      <c r="V701" s="1490"/>
      <c r="W701" s="1478" t="str">
        <f t="shared" si="231"/>
        <v>04.13.02</v>
      </c>
      <c r="X701" s="1478" t="str">
        <f t="shared" si="232"/>
        <v>Jembatan</v>
      </c>
      <c r="Y701" s="1478">
        <f t="shared" si="233"/>
        <v>50</v>
      </c>
      <c r="Z701" s="1401">
        <f t="shared" si="234"/>
        <v>2808000</v>
      </c>
      <c r="AA701" s="1444">
        <f t="shared" si="235"/>
        <v>10</v>
      </c>
      <c r="AB701" s="1401">
        <f t="shared" si="236"/>
        <v>28080000</v>
      </c>
      <c r="AC701" s="1401">
        <f t="shared" si="237"/>
        <v>2808000</v>
      </c>
      <c r="AD701" s="1401">
        <f t="shared" si="238"/>
        <v>2808000</v>
      </c>
      <c r="AE701" s="1401">
        <f t="shared" si="239"/>
        <v>2808000</v>
      </c>
      <c r="AF701" s="1401">
        <f t="shared" si="240"/>
        <v>2808000</v>
      </c>
      <c r="AG701" s="1479">
        <f t="shared" si="241"/>
        <v>2808000</v>
      </c>
      <c r="AH701" s="1479">
        <f t="shared" si="244"/>
        <v>2808000</v>
      </c>
      <c r="AI701" s="1479">
        <f t="shared" si="245"/>
        <v>44928000</v>
      </c>
      <c r="AJ701" s="1401">
        <f t="shared" si="242"/>
        <v>95472000</v>
      </c>
    </row>
    <row r="702" spans="1:37" s="1390" customFormat="1" ht="29" customHeight="1" x14ac:dyDescent="0.2">
      <c r="A702" s="1390" t="s">
        <v>4902</v>
      </c>
      <c r="B702" s="1472" t="e">
        <f t="shared" si="246"/>
        <v>#N/A</v>
      </c>
      <c r="C702" s="1478" t="e">
        <f>RIGHT(#REF!,1)</f>
        <v>#REF!</v>
      </c>
      <c r="D702" s="1426"/>
      <c r="E702" s="1429" t="s">
        <v>764</v>
      </c>
      <c r="F702" s="1539"/>
      <c r="G702" s="1416" t="s">
        <v>3824</v>
      </c>
      <c r="H702" s="1508"/>
      <c r="I702" s="1416" t="s">
        <v>736</v>
      </c>
      <c r="J702" s="1512" t="s">
        <v>796</v>
      </c>
      <c r="K702" s="1416">
        <v>6</v>
      </c>
      <c r="L702" s="1500">
        <v>24</v>
      </c>
      <c r="M702" s="1429" t="s">
        <v>797</v>
      </c>
      <c r="N702" s="1416">
        <v>2004</v>
      </c>
      <c r="O702" s="1414"/>
      <c r="P702" s="1414"/>
      <c r="Q702" s="1414" t="s">
        <v>738</v>
      </c>
      <c r="R702" s="1416" t="s">
        <v>12</v>
      </c>
      <c r="S702" s="1529">
        <v>140400000</v>
      </c>
      <c r="T702" s="1416" t="s">
        <v>43</v>
      </c>
      <c r="U702" s="1427"/>
      <c r="V702" s="1477"/>
      <c r="W702" s="1478" t="str">
        <f t="shared" si="231"/>
        <v>04.13.02</v>
      </c>
      <c r="X702" s="1478" t="str">
        <f t="shared" si="232"/>
        <v>Jembatan</v>
      </c>
      <c r="Y702" s="1478">
        <f t="shared" si="233"/>
        <v>50</v>
      </c>
      <c r="Z702" s="1401">
        <f t="shared" si="234"/>
        <v>2808000</v>
      </c>
      <c r="AA702" s="1444">
        <f t="shared" si="235"/>
        <v>10</v>
      </c>
      <c r="AB702" s="1401">
        <f t="shared" si="236"/>
        <v>28080000</v>
      </c>
      <c r="AC702" s="1401">
        <f t="shared" si="237"/>
        <v>2808000</v>
      </c>
      <c r="AD702" s="1401">
        <f t="shared" si="238"/>
        <v>2808000</v>
      </c>
      <c r="AE702" s="1401">
        <f t="shared" si="239"/>
        <v>2808000</v>
      </c>
      <c r="AF702" s="1401">
        <f t="shared" si="240"/>
        <v>2808000</v>
      </c>
      <c r="AG702" s="1479">
        <f t="shared" si="241"/>
        <v>2808000</v>
      </c>
      <c r="AH702" s="1479">
        <f t="shared" si="244"/>
        <v>2808000</v>
      </c>
      <c r="AI702" s="1479">
        <f t="shared" si="245"/>
        <v>44928000</v>
      </c>
      <c r="AJ702" s="1401">
        <f t="shared" si="242"/>
        <v>95472000</v>
      </c>
    </row>
    <row r="703" spans="1:37" s="1472" customFormat="1" ht="29" customHeight="1" x14ac:dyDescent="0.2">
      <c r="A703" s="1390" t="s">
        <v>4902</v>
      </c>
      <c r="B703" s="1472" t="e">
        <f t="shared" si="246"/>
        <v>#N/A</v>
      </c>
      <c r="C703" s="1478" t="e">
        <f>RIGHT(#REF!,1)</f>
        <v>#REF!</v>
      </c>
      <c r="D703" s="1576"/>
      <c r="E703" s="1413" t="s">
        <v>764</v>
      </c>
      <c r="F703" s="1539"/>
      <c r="G703" s="1416" t="s">
        <v>3824</v>
      </c>
      <c r="H703" s="1414"/>
      <c r="I703" s="1416" t="s">
        <v>736</v>
      </c>
      <c r="J703" s="1512" t="s">
        <v>796</v>
      </c>
      <c r="K703" s="1416">
        <v>6</v>
      </c>
      <c r="L703" s="1500">
        <v>24</v>
      </c>
      <c r="M703" s="1429" t="s">
        <v>803</v>
      </c>
      <c r="N703" s="1416">
        <v>2004</v>
      </c>
      <c r="O703" s="1414"/>
      <c r="P703" s="1414"/>
      <c r="Q703" s="1414" t="s">
        <v>738</v>
      </c>
      <c r="R703" s="1501" t="s">
        <v>12</v>
      </c>
      <c r="S703" s="1529">
        <v>140400000</v>
      </c>
      <c r="T703" s="1549" t="s">
        <v>43</v>
      </c>
      <c r="U703" s="1575"/>
      <c r="V703" s="1490"/>
      <c r="W703" s="1478" t="str">
        <f t="shared" si="231"/>
        <v>04.13.02</v>
      </c>
      <c r="X703" s="1478" t="str">
        <f t="shared" si="232"/>
        <v>Jembatan</v>
      </c>
      <c r="Y703" s="1478">
        <f t="shared" si="233"/>
        <v>50</v>
      </c>
      <c r="Z703" s="1401">
        <f t="shared" si="234"/>
        <v>2808000</v>
      </c>
      <c r="AA703" s="1444">
        <f t="shared" si="235"/>
        <v>10</v>
      </c>
      <c r="AB703" s="1401">
        <f t="shared" si="236"/>
        <v>28080000</v>
      </c>
      <c r="AC703" s="1401">
        <f t="shared" si="237"/>
        <v>2808000</v>
      </c>
      <c r="AD703" s="1401">
        <f t="shared" si="238"/>
        <v>2808000</v>
      </c>
      <c r="AE703" s="1401">
        <f t="shared" si="239"/>
        <v>2808000</v>
      </c>
      <c r="AF703" s="1401">
        <f t="shared" si="240"/>
        <v>2808000</v>
      </c>
      <c r="AG703" s="1479">
        <f t="shared" si="241"/>
        <v>2808000</v>
      </c>
      <c r="AH703" s="1479">
        <f t="shared" si="244"/>
        <v>2808000</v>
      </c>
      <c r="AI703" s="1479">
        <f t="shared" si="245"/>
        <v>44928000</v>
      </c>
      <c r="AJ703" s="1401">
        <f t="shared" si="242"/>
        <v>95472000</v>
      </c>
    </row>
    <row r="704" spans="1:37" s="1390" customFormat="1" ht="29" customHeight="1" x14ac:dyDescent="0.2">
      <c r="A704" s="1390" t="s">
        <v>4902</v>
      </c>
      <c r="B704" s="1472" t="e">
        <f t="shared" si="246"/>
        <v>#N/A</v>
      </c>
      <c r="C704" s="1478" t="e">
        <f>RIGHT(#REF!,1)</f>
        <v>#REF!</v>
      </c>
      <c r="D704" s="1426"/>
      <c r="E704" s="1429" t="s">
        <v>735</v>
      </c>
      <c r="F704" s="1539"/>
      <c r="G704" s="1517" t="s">
        <v>3822</v>
      </c>
      <c r="H704" s="1518"/>
      <c r="I704" s="1518" t="s">
        <v>736</v>
      </c>
      <c r="J704" s="1533" t="s">
        <v>625</v>
      </c>
      <c r="K704" s="1517">
        <v>6</v>
      </c>
      <c r="L704" s="1519">
        <v>1200</v>
      </c>
      <c r="M704" s="1518" t="s">
        <v>737</v>
      </c>
      <c r="N704" s="1517">
        <v>2004</v>
      </c>
      <c r="O704" s="1518"/>
      <c r="P704" s="1518"/>
      <c r="Q704" s="1518" t="s">
        <v>738</v>
      </c>
      <c r="R704" s="1517" t="s">
        <v>12</v>
      </c>
      <c r="S704" s="1520">
        <v>6600000000</v>
      </c>
      <c r="T704" s="1517" t="s">
        <v>43</v>
      </c>
      <c r="U704" s="1572"/>
      <c r="V704" s="1521"/>
      <c r="W704" s="1478" t="str">
        <f t="shared" si="231"/>
        <v>04.13.02</v>
      </c>
      <c r="X704" s="1478" t="str">
        <f t="shared" si="232"/>
        <v>Jembatan</v>
      </c>
      <c r="Y704" s="1478">
        <f t="shared" si="233"/>
        <v>50</v>
      </c>
      <c r="Z704" s="1401">
        <f t="shared" si="234"/>
        <v>132000000</v>
      </c>
      <c r="AA704" s="1444">
        <f t="shared" si="235"/>
        <v>10</v>
      </c>
      <c r="AB704" s="1401">
        <f t="shared" si="236"/>
        <v>1320000000</v>
      </c>
      <c r="AC704" s="1401">
        <f t="shared" si="237"/>
        <v>132000000</v>
      </c>
      <c r="AD704" s="1401">
        <f t="shared" si="238"/>
        <v>132000000</v>
      </c>
      <c r="AE704" s="1401">
        <f t="shared" si="239"/>
        <v>132000000</v>
      </c>
      <c r="AF704" s="1401">
        <f t="shared" si="240"/>
        <v>132000000</v>
      </c>
      <c r="AG704" s="1479">
        <f t="shared" si="241"/>
        <v>132000000</v>
      </c>
      <c r="AH704" s="1479">
        <f t="shared" si="244"/>
        <v>132000000</v>
      </c>
      <c r="AI704" s="1479">
        <f t="shared" si="245"/>
        <v>2112000000</v>
      </c>
      <c r="AJ704" s="1401">
        <f t="shared" si="242"/>
        <v>4488000000</v>
      </c>
    </row>
    <row r="705" spans="1:37" s="1390" customFormat="1" ht="29" customHeight="1" x14ac:dyDescent="0.2">
      <c r="A705" s="1390" t="s">
        <v>4902</v>
      </c>
      <c r="B705" s="1472" t="e">
        <f t="shared" si="246"/>
        <v>#N/A</v>
      </c>
      <c r="C705" s="1478" t="s">
        <v>4776</v>
      </c>
      <c r="D705" s="1426"/>
      <c r="E705" s="1429" t="s">
        <v>764</v>
      </c>
      <c r="F705" s="1539"/>
      <c r="G705" s="1517" t="s">
        <v>3824</v>
      </c>
      <c r="H705" s="1518"/>
      <c r="I705" s="1518" t="s">
        <v>736</v>
      </c>
      <c r="J705" s="1533" t="s">
        <v>739</v>
      </c>
      <c r="K705" s="1517">
        <v>6</v>
      </c>
      <c r="L705" s="1519">
        <v>102</v>
      </c>
      <c r="M705" s="1518" t="s">
        <v>822</v>
      </c>
      <c r="N705" s="1517">
        <v>2004</v>
      </c>
      <c r="O705" s="1518"/>
      <c r="P705" s="1518"/>
      <c r="Q705" s="1518" t="s">
        <v>738</v>
      </c>
      <c r="R705" s="1517" t="s">
        <v>12</v>
      </c>
      <c r="S705" s="1520">
        <v>841500000</v>
      </c>
      <c r="T705" s="1517" t="s">
        <v>43</v>
      </c>
      <c r="U705" s="1572"/>
      <c r="V705" s="1521"/>
      <c r="W705" s="1478" t="str">
        <f t="shared" si="231"/>
        <v>04.13.02</v>
      </c>
      <c r="X705" s="1478" t="str">
        <f t="shared" si="232"/>
        <v>Jembatan</v>
      </c>
      <c r="Y705" s="1478">
        <f t="shared" si="233"/>
        <v>50</v>
      </c>
      <c r="Z705" s="1401">
        <f t="shared" si="234"/>
        <v>16830000</v>
      </c>
      <c r="AA705" s="1444">
        <f t="shared" si="235"/>
        <v>10</v>
      </c>
      <c r="AB705" s="1401">
        <f t="shared" si="236"/>
        <v>168300000</v>
      </c>
      <c r="AC705" s="1401">
        <f t="shared" si="237"/>
        <v>16830000</v>
      </c>
      <c r="AD705" s="1401">
        <f t="shared" si="238"/>
        <v>16830000</v>
      </c>
      <c r="AE705" s="1401">
        <f t="shared" si="239"/>
        <v>16830000</v>
      </c>
      <c r="AF705" s="1401">
        <f t="shared" si="240"/>
        <v>16830000</v>
      </c>
      <c r="AG705" s="1479">
        <f t="shared" si="241"/>
        <v>16830000</v>
      </c>
      <c r="AH705" s="1479">
        <f t="shared" si="244"/>
        <v>16830000</v>
      </c>
      <c r="AI705" s="1479">
        <f t="shared" si="245"/>
        <v>269280000</v>
      </c>
      <c r="AJ705" s="1401">
        <f t="shared" si="242"/>
        <v>572220000</v>
      </c>
      <c r="AK705" s="1443"/>
    </row>
    <row r="706" spans="1:37" s="1390" customFormat="1" ht="29" customHeight="1" x14ac:dyDescent="0.2">
      <c r="A706" s="1390" t="s">
        <v>4902</v>
      </c>
      <c r="B706" s="1472" t="e">
        <f t="shared" si="246"/>
        <v>#N/A</v>
      </c>
      <c r="C706" s="1478" t="e">
        <f>RIGHT(#REF!,1)</f>
        <v>#REF!</v>
      </c>
      <c r="D706" s="1426"/>
      <c r="E706" s="1429" t="s">
        <v>742</v>
      </c>
      <c r="F706" s="1539"/>
      <c r="G706" s="1517" t="s">
        <v>3823</v>
      </c>
      <c r="H706" s="1518"/>
      <c r="I706" s="1518" t="s">
        <v>736</v>
      </c>
      <c r="J706" s="1533" t="s">
        <v>756</v>
      </c>
      <c r="K706" s="1517">
        <v>6</v>
      </c>
      <c r="L706" s="1519">
        <v>870</v>
      </c>
      <c r="M706" s="1518" t="s">
        <v>757</v>
      </c>
      <c r="N706" s="1517">
        <v>2005</v>
      </c>
      <c r="O706" s="1518"/>
      <c r="P706" s="1518"/>
      <c r="Q706" s="1518" t="s">
        <v>758</v>
      </c>
      <c r="R706" s="1517" t="s">
        <v>12</v>
      </c>
      <c r="S706" s="1520">
        <v>7177500000</v>
      </c>
      <c r="T706" s="1517" t="s">
        <v>43</v>
      </c>
      <c r="U706" s="1572"/>
      <c r="V706" s="1521"/>
      <c r="W706" s="1478" t="str">
        <f t="shared" si="231"/>
        <v>04.13.02</v>
      </c>
      <c r="X706" s="1478" t="str">
        <f t="shared" si="232"/>
        <v>Jembatan</v>
      </c>
      <c r="Y706" s="1478">
        <f t="shared" si="233"/>
        <v>50</v>
      </c>
      <c r="Z706" s="1401">
        <f t="shared" si="234"/>
        <v>143550000</v>
      </c>
      <c r="AA706" s="1444">
        <f t="shared" si="235"/>
        <v>9</v>
      </c>
      <c r="AB706" s="1401">
        <f t="shared" si="236"/>
        <v>1291950000</v>
      </c>
      <c r="AC706" s="1401">
        <f t="shared" si="237"/>
        <v>143550000</v>
      </c>
      <c r="AD706" s="1401">
        <f t="shared" si="238"/>
        <v>143550000</v>
      </c>
      <c r="AE706" s="1401">
        <f t="shared" si="239"/>
        <v>143550000</v>
      </c>
      <c r="AF706" s="1401">
        <f t="shared" si="240"/>
        <v>143550000</v>
      </c>
      <c r="AG706" s="1479">
        <f t="shared" si="241"/>
        <v>143550000</v>
      </c>
      <c r="AH706" s="1479">
        <f t="shared" si="244"/>
        <v>143550000</v>
      </c>
      <c r="AI706" s="1479">
        <f t="shared" si="245"/>
        <v>2153250000</v>
      </c>
      <c r="AJ706" s="1401">
        <f t="shared" si="242"/>
        <v>5024250000</v>
      </c>
    </row>
    <row r="707" spans="1:37" s="1390" customFormat="1" ht="29" customHeight="1" x14ac:dyDescent="0.2">
      <c r="A707" s="1390" t="s">
        <v>4902</v>
      </c>
      <c r="B707" s="1472" t="e">
        <f t="shared" ref="B707:B712" si="247">VLOOKUP(A707,RUAS,2,FALSE)</f>
        <v>#N/A</v>
      </c>
      <c r="C707" s="1478" t="e">
        <f>RIGHT(#REF!,1)</f>
        <v>#REF!</v>
      </c>
      <c r="D707" s="1426"/>
      <c r="E707" s="1429" t="s">
        <v>764</v>
      </c>
      <c r="F707" s="1529"/>
      <c r="G707" s="1501" t="s">
        <v>3824</v>
      </c>
      <c r="H707" s="1501"/>
      <c r="I707" s="1414" t="s">
        <v>736</v>
      </c>
      <c r="J707" s="1540" t="s">
        <v>775</v>
      </c>
      <c r="K707" s="1416">
        <v>6</v>
      </c>
      <c r="L707" s="1430">
        <v>48</v>
      </c>
      <c r="M707" s="1429" t="s">
        <v>802</v>
      </c>
      <c r="N707" s="1501">
        <v>2005</v>
      </c>
      <c r="O707" s="1414"/>
      <c r="P707" s="1414"/>
      <c r="Q707" s="1414" t="s">
        <v>758</v>
      </c>
      <c r="R707" s="1501" t="s">
        <v>12</v>
      </c>
      <c r="S707" s="1527">
        <v>384000000</v>
      </c>
      <c r="T707" s="1549" t="s">
        <v>43</v>
      </c>
      <c r="U707" s="1575"/>
      <c r="V707" s="1490"/>
      <c r="W707" s="1478" t="str">
        <f t="shared" si="231"/>
        <v>04.13.02</v>
      </c>
      <c r="X707" s="1478" t="str">
        <f t="shared" si="232"/>
        <v>Jembatan</v>
      </c>
      <c r="Y707" s="1478">
        <f t="shared" si="233"/>
        <v>50</v>
      </c>
      <c r="Z707" s="1401">
        <f t="shared" si="234"/>
        <v>7680000</v>
      </c>
      <c r="AA707" s="1444">
        <f t="shared" si="235"/>
        <v>9</v>
      </c>
      <c r="AB707" s="1401">
        <f t="shared" si="236"/>
        <v>69120000</v>
      </c>
      <c r="AC707" s="1401">
        <f t="shared" si="237"/>
        <v>7680000</v>
      </c>
      <c r="AD707" s="1401">
        <f t="shared" si="238"/>
        <v>7680000</v>
      </c>
      <c r="AE707" s="1401">
        <f t="shared" si="239"/>
        <v>7680000</v>
      </c>
      <c r="AF707" s="1401">
        <f t="shared" si="240"/>
        <v>7680000</v>
      </c>
      <c r="AG707" s="1479">
        <f t="shared" si="241"/>
        <v>7680000</v>
      </c>
      <c r="AH707" s="1479">
        <f t="shared" si="244"/>
        <v>7680000</v>
      </c>
      <c r="AI707" s="1479">
        <f t="shared" si="245"/>
        <v>115200000</v>
      </c>
      <c r="AJ707" s="1401">
        <f t="shared" si="242"/>
        <v>268800000</v>
      </c>
    </row>
    <row r="708" spans="1:37" s="1472" customFormat="1" ht="29" customHeight="1" x14ac:dyDescent="0.2">
      <c r="A708" s="1390" t="s">
        <v>4902</v>
      </c>
      <c r="B708" s="1472" t="e">
        <f t="shared" si="247"/>
        <v>#N/A</v>
      </c>
      <c r="C708" s="1478" t="e">
        <f>RIGHT(#REF!,1)</f>
        <v>#REF!</v>
      </c>
      <c r="D708" s="1576"/>
      <c r="E708" s="1413" t="s">
        <v>764</v>
      </c>
      <c r="F708" s="1539"/>
      <c r="G708" s="1416" t="s">
        <v>3824</v>
      </c>
      <c r="H708" s="1414"/>
      <c r="I708" s="1416" t="s">
        <v>736</v>
      </c>
      <c r="J708" s="1512" t="s">
        <v>513</v>
      </c>
      <c r="K708" s="1416">
        <v>6</v>
      </c>
      <c r="L708" s="1500">
        <v>96</v>
      </c>
      <c r="M708" s="1429" t="s">
        <v>801</v>
      </c>
      <c r="N708" s="1416">
        <v>2006</v>
      </c>
      <c r="O708" s="1414"/>
      <c r="P708" s="1414"/>
      <c r="Q708" s="1414" t="s">
        <v>741</v>
      </c>
      <c r="R708" s="1501" t="s">
        <v>12</v>
      </c>
      <c r="S708" s="1539">
        <v>720000000</v>
      </c>
      <c r="T708" s="1549" t="s">
        <v>43</v>
      </c>
      <c r="U708" s="1575"/>
      <c r="V708" s="1490"/>
      <c r="W708" s="1478" t="str">
        <f t="shared" si="231"/>
        <v>04.13.02</v>
      </c>
      <c r="X708" s="1478" t="str">
        <f t="shared" si="232"/>
        <v>Jembatan</v>
      </c>
      <c r="Y708" s="1478">
        <f t="shared" si="233"/>
        <v>50</v>
      </c>
      <c r="Z708" s="1401">
        <f t="shared" si="234"/>
        <v>14400000</v>
      </c>
      <c r="AA708" s="1444">
        <f t="shared" si="235"/>
        <v>8</v>
      </c>
      <c r="AB708" s="1401">
        <f t="shared" si="236"/>
        <v>115200000</v>
      </c>
      <c r="AC708" s="1401">
        <f t="shared" si="237"/>
        <v>14400000</v>
      </c>
      <c r="AD708" s="1401">
        <f t="shared" si="238"/>
        <v>14400000</v>
      </c>
      <c r="AE708" s="1401">
        <f t="shared" si="239"/>
        <v>14400000</v>
      </c>
      <c r="AF708" s="1401">
        <f t="shared" si="240"/>
        <v>14400000</v>
      </c>
      <c r="AG708" s="1479">
        <f t="shared" si="241"/>
        <v>14400000</v>
      </c>
      <c r="AH708" s="1479">
        <f t="shared" si="244"/>
        <v>14400000</v>
      </c>
      <c r="AI708" s="1479">
        <f t="shared" si="245"/>
        <v>201600000</v>
      </c>
      <c r="AJ708" s="1401">
        <f t="shared" si="242"/>
        <v>518400000</v>
      </c>
    </row>
    <row r="709" spans="1:37" s="1390" customFormat="1" ht="29" customHeight="1" x14ac:dyDescent="0.2">
      <c r="A709" s="1390" t="s">
        <v>4902</v>
      </c>
      <c r="B709" s="1472" t="e">
        <f t="shared" si="247"/>
        <v>#N/A</v>
      </c>
      <c r="C709" s="1478" t="e">
        <f>RIGHT(#REF!,1)</f>
        <v>#REF!</v>
      </c>
      <c r="D709" s="1426"/>
      <c r="E709" s="1429" t="s">
        <v>764</v>
      </c>
      <c r="F709" s="1539"/>
      <c r="G709" s="1416" t="s">
        <v>3824</v>
      </c>
      <c r="H709" s="1508"/>
      <c r="I709" s="1416" t="s">
        <v>736</v>
      </c>
      <c r="J709" s="1512" t="s">
        <v>772</v>
      </c>
      <c r="K709" s="1416">
        <v>6</v>
      </c>
      <c r="L709" s="1500">
        <v>150</v>
      </c>
      <c r="M709" s="1429" t="s">
        <v>818</v>
      </c>
      <c r="N709" s="1416">
        <v>2006</v>
      </c>
      <c r="O709" s="1414"/>
      <c r="P709" s="1414"/>
      <c r="Q709" s="1414" t="s">
        <v>741</v>
      </c>
      <c r="R709" s="1416" t="s">
        <v>12</v>
      </c>
      <c r="S709" s="1529">
        <v>1320000000</v>
      </c>
      <c r="T709" s="1416" t="s">
        <v>43</v>
      </c>
      <c r="U709" s="1427"/>
      <c r="V709" s="1477"/>
      <c r="W709" s="1478" t="str">
        <f t="shared" si="231"/>
        <v>04.13.02</v>
      </c>
      <c r="X709" s="1478" t="str">
        <f t="shared" si="232"/>
        <v>Jembatan</v>
      </c>
      <c r="Y709" s="1478">
        <f t="shared" si="233"/>
        <v>50</v>
      </c>
      <c r="Z709" s="1401">
        <f t="shared" si="234"/>
        <v>26400000</v>
      </c>
      <c r="AA709" s="1444">
        <f t="shared" si="235"/>
        <v>8</v>
      </c>
      <c r="AB709" s="1401">
        <f t="shared" si="236"/>
        <v>211200000</v>
      </c>
      <c r="AC709" s="1401">
        <f t="shared" si="237"/>
        <v>26400000</v>
      </c>
      <c r="AD709" s="1401">
        <f t="shared" si="238"/>
        <v>26400000</v>
      </c>
      <c r="AE709" s="1401">
        <f t="shared" si="239"/>
        <v>26400000</v>
      </c>
      <c r="AF709" s="1401">
        <f t="shared" si="240"/>
        <v>26400000</v>
      </c>
      <c r="AG709" s="1479">
        <f t="shared" si="241"/>
        <v>26400000</v>
      </c>
      <c r="AH709" s="1479">
        <f t="shared" si="244"/>
        <v>26400000</v>
      </c>
      <c r="AI709" s="1479">
        <f t="shared" si="245"/>
        <v>369600000</v>
      </c>
      <c r="AJ709" s="1401">
        <f t="shared" si="242"/>
        <v>950400000</v>
      </c>
    </row>
    <row r="710" spans="1:37" s="1390" customFormat="1" ht="29" customHeight="1" x14ac:dyDescent="0.2">
      <c r="A710" s="1390" t="s">
        <v>4902</v>
      </c>
      <c r="B710" s="1472" t="e">
        <f t="shared" si="247"/>
        <v>#N/A</v>
      </c>
      <c r="C710" s="1478" t="e">
        <f>RIGHT(#REF!,1)</f>
        <v>#REF!</v>
      </c>
      <c r="D710" s="1426"/>
      <c r="E710" s="1429" t="s">
        <v>742</v>
      </c>
      <c r="F710" s="1539"/>
      <c r="G710" s="1517" t="s">
        <v>3823</v>
      </c>
      <c r="H710" s="1518"/>
      <c r="I710" s="1518" t="s">
        <v>736</v>
      </c>
      <c r="J710" s="1533" t="s">
        <v>759</v>
      </c>
      <c r="K710" s="1517">
        <v>7</v>
      </c>
      <c r="L710" s="1519">
        <v>42</v>
      </c>
      <c r="M710" s="1518" t="s">
        <v>760</v>
      </c>
      <c r="N710" s="1517">
        <v>2006</v>
      </c>
      <c r="O710" s="1518"/>
      <c r="P710" s="1518"/>
      <c r="Q710" s="1518" t="s">
        <v>741</v>
      </c>
      <c r="R710" s="1517" t="s">
        <v>12</v>
      </c>
      <c r="S710" s="1520">
        <v>336000000</v>
      </c>
      <c r="T710" s="1517" t="s">
        <v>43</v>
      </c>
      <c r="U710" s="1572"/>
      <c r="V710" s="1521"/>
      <c r="W710" s="1478" t="str">
        <f t="shared" si="231"/>
        <v>04.13.02</v>
      </c>
      <c r="X710" s="1478" t="str">
        <f t="shared" si="232"/>
        <v>Jembatan</v>
      </c>
      <c r="Y710" s="1478">
        <f t="shared" si="233"/>
        <v>50</v>
      </c>
      <c r="Z710" s="1401">
        <f t="shared" si="234"/>
        <v>6720000</v>
      </c>
      <c r="AA710" s="1444">
        <f t="shared" si="235"/>
        <v>8</v>
      </c>
      <c r="AB710" s="1401">
        <f t="shared" si="236"/>
        <v>53760000</v>
      </c>
      <c r="AC710" s="1401">
        <f t="shared" si="237"/>
        <v>6720000</v>
      </c>
      <c r="AD710" s="1401">
        <f t="shared" si="238"/>
        <v>6720000</v>
      </c>
      <c r="AE710" s="1401">
        <f t="shared" si="239"/>
        <v>6720000</v>
      </c>
      <c r="AF710" s="1401">
        <f t="shared" si="240"/>
        <v>6720000</v>
      </c>
      <c r="AG710" s="1479">
        <f t="shared" si="241"/>
        <v>6720000</v>
      </c>
      <c r="AH710" s="1479">
        <f t="shared" si="244"/>
        <v>6720000</v>
      </c>
      <c r="AI710" s="1479">
        <f t="shared" si="245"/>
        <v>94080000</v>
      </c>
      <c r="AJ710" s="1401">
        <f t="shared" si="242"/>
        <v>241920000</v>
      </c>
    </row>
    <row r="711" spans="1:37" s="1390" customFormat="1" ht="29" customHeight="1" x14ac:dyDescent="0.2">
      <c r="A711" s="1390" t="s">
        <v>4902</v>
      </c>
      <c r="B711" s="1472" t="e">
        <f t="shared" si="247"/>
        <v>#N/A</v>
      </c>
      <c r="C711" s="1478" t="e">
        <f>RIGHT(#REF!,1)</f>
        <v>#REF!</v>
      </c>
      <c r="D711" s="1426"/>
      <c r="E711" s="1429" t="s">
        <v>764</v>
      </c>
      <c r="F711" s="1539"/>
      <c r="G711" s="1416" t="s">
        <v>3824</v>
      </c>
      <c r="H711" s="1508"/>
      <c r="I711" s="1416" t="s">
        <v>736</v>
      </c>
      <c r="J711" s="1512" t="s">
        <v>775</v>
      </c>
      <c r="K711" s="1416">
        <v>6</v>
      </c>
      <c r="L711" s="1500">
        <v>48</v>
      </c>
      <c r="M711" s="1429" t="s">
        <v>795</v>
      </c>
      <c r="N711" s="1416">
        <v>2006</v>
      </c>
      <c r="O711" s="1414"/>
      <c r="P711" s="1414"/>
      <c r="Q711" s="1414" t="s">
        <v>741</v>
      </c>
      <c r="R711" s="1416" t="s">
        <v>12</v>
      </c>
      <c r="S711" s="1529">
        <v>324000000</v>
      </c>
      <c r="T711" s="1416" t="s">
        <v>43</v>
      </c>
      <c r="U711" s="1427"/>
      <c r="V711" s="1477"/>
      <c r="W711" s="1478" t="str">
        <f t="shared" si="231"/>
        <v>04.13.02</v>
      </c>
      <c r="X711" s="1478" t="str">
        <f t="shared" si="232"/>
        <v>Jembatan</v>
      </c>
      <c r="Y711" s="1478">
        <f t="shared" si="233"/>
        <v>50</v>
      </c>
      <c r="Z711" s="1401">
        <f t="shared" si="234"/>
        <v>6480000</v>
      </c>
      <c r="AA711" s="1444">
        <f t="shared" si="235"/>
        <v>8</v>
      </c>
      <c r="AB711" s="1401">
        <f t="shared" si="236"/>
        <v>51840000</v>
      </c>
      <c r="AC711" s="1401">
        <f t="shared" si="237"/>
        <v>6480000</v>
      </c>
      <c r="AD711" s="1401">
        <f t="shared" si="238"/>
        <v>6480000</v>
      </c>
      <c r="AE711" s="1401">
        <f t="shared" si="239"/>
        <v>6480000</v>
      </c>
      <c r="AF711" s="1401">
        <f t="shared" si="240"/>
        <v>6480000</v>
      </c>
      <c r="AG711" s="1479">
        <f t="shared" si="241"/>
        <v>6480000</v>
      </c>
      <c r="AH711" s="1479">
        <f t="shared" si="244"/>
        <v>6480000</v>
      </c>
      <c r="AI711" s="1479">
        <f t="shared" si="245"/>
        <v>90720000</v>
      </c>
      <c r="AJ711" s="1401">
        <f t="shared" si="242"/>
        <v>233280000</v>
      </c>
    </row>
    <row r="712" spans="1:37" s="1390" customFormat="1" ht="29" customHeight="1" x14ac:dyDescent="0.2">
      <c r="A712" s="1390" t="s">
        <v>4902</v>
      </c>
      <c r="B712" s="1472" t="e">
        <f t="shared" si="247"/>
        <v>#N/A</v>
      </c>
      <c r="C712" s="1478" t="e">
        <f>RIGHT(#REF!,1)</f>
        <v>#REF!</v>
      </c>
      <c r="D712" s="1426"/>
      <c r="E712" s="1429" t="s">
        <v>764</v>
      </c>
      <c r="F712" s="1539"/>
      <c r="G712" s="1416" t="s">
        <v>3824</v>
      </c>
      <c r="H712" s="1508"/>
      <c r="I712" s="1416" t="s">
        <v>736</v>
      </c>
      <c r="J712" s="1512" t="s">
        <v>775</v>
      </c>
      <c r="K712" s="1416">
        <v>8</v>
      </c>
      <c r="L712" s="1500">
        <v>64</v>
      </c>
      <c r="M712" s="1429" t="s">
        <v>819</v>
      </c>
      <c r="N712" s="1416">
        <v>2006</v>
      </c>
      <c r="O712" s="1414"/>
      <c r="P712" s="1414"/>
      <c r="Q712" s="1414" t="s">
        <v>741</v>
      </c>
      <c r="R712" s="1416" t="s">
        <v>12</v>
      </c>
      <c r="S712" s="1529">
        <v>528000000</v>
      </c>
      <c r="T712" s="1416" t="s">
        <v>43</v>
      </c>
      <c r="U712" s="1427"/>
      <c r="V712" s="1477"/>
      <c r="W712" s="1478" t="str">
        <f t="shared" si="231"/>
        <v>04.13.02</v>
      </c>
      <c r="X712" s="1478" t="str">
        <f t="shared" si="232"/>
        <v>Jembatan</v>
      </c>
      <c r="Y712" s="1478">
        <f t="shared" si="233"/>
        <v>50</v>
      </c>
      <c r="Z712" s="1401">
        <f t="shared" si="234"/>
        <v>10560000</v>
      </c>
      <c r="AA712" s="1444">
        <f t="shared" si="235"/>
        <v>8</v>
      </c>
      <c r="AB712" s="1401">
        <f t="shared" si="236"/>
        <v>84480000</v>
      </c>
      <c r="AC712" s="1401">
        <f t="shared" si="237"/>
        <v>10560000</v>
      </c>
      <c r="AD712" s="1401">
        <f t="shared" si="238"/>
        <v>10560000</v>
      </c>
      <c r="AE712" s="1401">
        <f t="shared" si="239"/>
        <v>10560000</v>
      </c>
      <c r="AF712" s="1401">
        <f t="shared" si="240"/>
        <v>10560000</v>
      </c>
      <c r="AG712" s="1479">
        <f t="shared" si="241"/>
        <v>10560000</v>
      </c>
      <c r="AH712" s="1479">
        <f t="shared" si="244"/>
        <v>10560000</v>
      </c>
      <c r="AI712" s="1479">
        <f t="shared" si="245"/>
        <v>147840000</v>
      </c>
      <c r="AJ712" s="1401">
        <f t="shared" si="242"/>
        <v>380160000</v>
      </c>
    </row>
    <row r="713" spans="1:37" s="1390" customFormat="1" ht="29" customHeight="1" x14ac:dyDescent="0.15">
      <c r="A713" s="1390" t="s">
        <v>4902</v>
      </c>
      <c r="B713" s="1472" t="e">
        <f>VLOOKUP(A713,RUAS,2,FALSE)</f>
        <v>#N/A</v>
      </c>
      <c r="C713" s="1516" t="s">
        <v>4777</v>
      </c>
      <c r="D713" s="1426"/>
      <c r="E713" s="1429" t="s">
        <v>764</v>
      </c>
      <c r="F713" s="1539"/>
      <c r="G713" s="1416" t="s">
        <v>3824</v>
      </c>
      <c r="H713" s="1508"/>
      <c r="I713" s="1416" t="s">
        <v>736</v>
      </c>
      <c r="J713" s="1512" t="s">
        <v>739</v>
      </c>
      <c r="K713" s="1416">
        <v>6</v>
      </c>
      <c r="L713" s="1500">
        <v>102</v>
      </c>
      <c r="M713" s="1429" t="s">
        <v>664</v>
      </c>
      <c r="N713" s="1416">
        <v>2006</v>
      </c>
      <c r="O713" s="1414"/>
      <c r="P713" s="1414"/>
      <c r="Q713" s="1414" t="s">
        <v>741</v>
      </c>
      <c r="R713" s="1416" t="s">
        <v>12</v>
      </c>
      <c r="S713" s="1529">
        <v>841500000</v>
      </c>
      <c r="T713" s="1416" t="s">
        <v>43</v>
      </c>
      <c r="U713" s="1427"/>
      <c r="V713" s="1477"/>
      <c r="W713" s="1478" t="str">
        <f t="shared" si="231"/>
        <v>04.13.02</v>
      </c>
      <c r="X713" s="1478" t="str">
        <f t="shared" si="232"/>
        <v>Jembatan</v>
      </c>
      <c r="Y713" s="1478">
        <f t="shared" si="233"/>
        <v>50</v>
      </c>
      <c r="Z713" s="1401">
        <f t="shared" si="234"/>
        <v>16830000</v>
      </c>
      <c r="AA713" s="1444">
        <f t="shared" si="235"/>
        <v>8</v>
      </c>
      <c r="AB713" s="1401">
        <f t="shared" si="236"/>
        <v>134640000</v>
      </c>
      <c r="AC713" s="1401">
        <f t="shared" si="237"/>
        <v>16830000</v>
      </c>
      <c r="AD713" s="1401">
        <f t="shared" si="238"/>
        <v>16830000</v>
      </c>
      <c r="AE713" s="1401">
        <f t="shared" si="239"/>
        <v>16830000</v>
      </c>
      <c r="AF713" s="1401">
        <f t="shared" si="240"/>
        <v>16830000</v>
      </c>
      <c r="AG713" s="1479">
        <f t="shared" si="241"/>
        <v>16830000</v>
      </c>
      <c r="AH713" s="1479">
        <f t="shared" si="244"/>
        <v>16830000</v>
      </c>
      <c r="AI713" s="1479">
        <f t="shared" si="245"/>
        <v>235620000</v>
      </c>
      <c r="AJ713" s="1401">
        <f t="shared" si="242"/>
        <v>605880000</v>
      </c>
    </row>
    <row r="714" spans="1:37" s="1390" customFormat="1" ht="29" customHeight="1" x14ac:dyDescent="0.2">
      <c r="A714" s="1390" t="s">
        <v>4902</v>
      </c>
      <c r="B714" s="1472" t="e">
        <f t="shared" ref="B714:B720" si="248">VLOOKUP(A714,RUAS,2,FALSE)</f>
        <v>#N/A</v>
      </c>
      <c r="C714" s="1478" t="e">
        <f>RIGHT(#REF!,1)</f>
        <v>#REF!</v>
      </c>
      <c r="D714" s="1426"/>
      <c r="E714" s="1429" t="s">
        <v>764</v>
      </c>
      <c r="F714" s="1539"/>
      <c r="G714" s="1416" t="s">
        <v>3824</v>
      </c>
      <c r="H714" s="1508"/>
      <c r="I714" s="1416" t="s">
        <v>736</v>
      </c>
      <c r="J714" s="1512" t="s">
        <v>759</v>
      </c>
      <c r="K714" s="1416">
        <v>10</v>
      </c>
      <c r="L714" s="1500">
        <v>60</v>
      </c>
      <c r="M714" s="1429" t="s">
        <v>792</v>
      </c>
      <c r="N714" s="1416">
        <v>2006</v>
      </c>
      <c r="O714" s="1414"/>
      <c r="P714" s="1414"/>
      <c r="Q714" s="1414" t="s">
        <v>741</v>
      </c>
      <c r="R714" s="1416" t="s">
        <v>655</v>
      </c>
      <c r="S714" s="1529">
        <v>432000000</v>
      </c>
      <c r="T714" s="1416" t="s">
        <v>43</v>
      </c>
      <c r="U714" s="1427"/>
      <c r="V714" s="1477"/>
      <c r="W714" s="1478" t="str">
        <f t="shared" si="231"/>
        <v>04.13.02</v>
      </c>
      <c r="X714" s="1478" t="str">
        <f t="shared" si="232"/>
        <v>Jembatan</v>
      </c>
      <c r="Y714" s="1478">
        <f t="shared" si="233"/>
        <v>50</v>
      </c>
      <c r="Z714" s="1401">
        <f t="shared" si="234"/>
        <v>8640000</v>
      </c>
      <c r="AA714" s="1444">
        <f t="shared" si="235"/>
        <v>8</v>
      </c>
      <c r="AB714" s="1401">
        <f t="shared" si="236"/>
        <v>69120000</v>
      </c>
      <c r="AC714" s="1401">
        <f t="shared" si="237"/>
        <v>8640000</v>
      </c>
      <c r="AD714" s="1401">
        <f t="shared" si="238"/>
        <v>8640000</v>
      </c>
      <c r="AE714" s="1401">
        <f t="shared" si="239"/>
        <v>8640000</v>
      </c>
      <c r="AF714" s="1401">
        <f t="shared" si="240"/>
        <v>8640000</v>
      </c>
      <c r="AG714" s="1479">
        <f t="shared" si="241"/>
        <v>8640000</v>
      </c>
      <c r="AH714" s="1479">
        <f t="shared" si="244"/>
        <v>8640000</v>
      </c>
      <c r="AI714" s="1479">
        <f t="shared" si="245"/>
        <v>120960000</v>
      </c>
      <c r="AJ714" s="1401">
        <f t="shared" si="242"/>
        <v>311040000</v>
      </c>
    </row>
    <row r="715" spans="1:37" s="1390" customFormat="1" ht="29" customHeight="1" x14ac:dyDescent="0.2">
      <c r="A715" s="1390" t="s">
        <v>4902</v>
      </c>
      <c r="B715" s="1472" t="e">
        <f t="shared" si="248"/>
        <v>#N/A</v>
      </c>
      <c r="C715" s="1478" t="e">
        <f>RIGHT(#REF!,1)</f>
        <v>#REF!</v>
      </c>
      <c r="D715" s="1426"/>
      <c r="E715" s="1429" t="s">
        <v>742</v>
      </c>
      <c r="F715" s="1539"/>
      <c r="G715" s="1517" t="s">
        <v>3823</v>
      </c>
      <c r="H715" s="1518"/>
      <c r="I715" s="1518" t="s">
        <v>736</v>
      </c>
      <c r="J715" s="1533" t="s">
        <v>754</v>
      </c>
      <c r="K715" s="1517">
        <v>8</v>
      </c>
      <c r="L715" s="1519">
        <v>16</v>
      </c>
      <c r="M715" s="1518" t="s">
        <v>755</v>
      </c>
      <c r="N715" s="1517">
        <v>2006</v>
      </c>
      <c r="O715" s="1518"/>
      <c r="P715" s="1518"/>
      <c r="Q715" s="1518" t="s">
        <v>741</v>
      </c>
      <c r="R715" s="1517" t="s">
        <v>12</v>
      </c>
      <c r="S715" s="1520">
        <v>128000000</v>
      </c>
      <c r="T715" s="1517" t="s">
        <v>43</v>
      </c>
      <c r="U715" s="1572"/>
      <c r="V715" s="1521"/>
      <c r="W715" s="1478" t="str">
        <f t="shared" si="231"/>
        <v>04.13.02</v>
      </c>
      <c r="X715" s="1478" t="str">
        <f t="shared" si="232"/>
        <v>Jembatan</v>
      </c>
      <c r="Y715" s="1478">
        <f t="shared" si="233"/>
        <v>50</v>
      </c>
      <c r="Z715" s="1401">
        <f t="shared" si="234"/>
        <v>2560000</v>
      </c>
      <c r="AA715" s="1444">
        <f t="shared" si="235"/>
        <v>8</v>
      </c>
      <c r="AB715" s="1401">
        <f t="shared" si="236"/>
        <v>20480000</v>
      </c>
      <c r="AC715" s="1401">
        <f t="shared" si="237"/>
        <v>2560000</v>
      </c>
      <c r="AD715" s="1401">
        <f t="shared" si="238"/>
        <v>2560000</v>
      </c>
      <c r="AE715" s="1401">
        <f t="shared" si="239"/>
        <v>2560000</v>
      </c>
      <c r="AF715" s="1401">
        <f t="shared" si="240"/>
        <v>2560000</v>
      </c>
      <c r="AG715" s="1479">
        <f t="shared" si="241"/>
        <v>2560000</v>
      </c>
      <c r="AH715" s="1479">
        <f t="shared" si="244"/>
        <v>2560000</v>
      </c>
      <c r="AI715" s="1479">
        <f t="shared" si="245"/>
        <v>35840000</v>
      </c>
      <c r="AJ715" s="1401">
        <f t="shared" si="242"/>
        <v>92160000</v>
      </c>
    </row>
    <row r="716" spans="1:37" s="1390" customFormat="1" ht="29" customHeight="1" x14ac:dyDescent="0.2">
      <c r="A716" s="1390" t="s">
        <v>4902</v>
      </c>
      <c r="B716" s="1472" t="e">
        <f>VLOOKUP(A716,RUAS,2,FALSE)</f>
        <v>#N/A</v>
      </c>
      <c r="C716" s="1478" t="s">
        <v>4776</v>
      </c>
      <c r="D716" s="1426"/>
      <c r="E716" s="1429" t="s">
        <v>764</v>
      </c>
      <c r="F716" s="1539"/>
      <c r="G716" s="1517" t="s">
        <v>3824</v>
      </c>
      <c r="H716" s="1518"/>
      <c r="I716" s="1518" t="s">
        <v>238</v>
      </c>
      <c r="J716" s="1533" t="s">
        <v>751</v>
      </c>
      <c r="K716" s="1517">
        <v>5</v>
      </c>
      <c r="L716" s="1519">
        <v>50</v>
      </c>
      <c r="M716" s="1518" t="s">
        <v>765</v>
      </c>
      <c r="N716" s="1517">
        <v>2006</v>
      </c>
      <c r="O716" s="1518"/>
      <c r="P716" s="1518"/>
      <c r="Q716" s="1518" t="s">
        <v>741</v>
      </c>
      <c r="R716" s="1517" t="s">
        <v>12</v>
      </c>
      <c r="S716" s="1520">
        <v>150000000</v>
      </c>
      <c r="T716" s="1517" t="s">
        <v>43</v>
      </c>
      <c r="U716" s="1572"/>
      <c r="V716" s="1521"/>
      <c r="W716" s="1478" t="str">
        <f t="shared" si="231"/>
        <v>04.13.02</v>
      </c>
      <c r="X716" s="1478" t="str">
        <f t="shared" si="232"/>
        <v>Jembatan</v>
      </c>
      <c r="Y716" s="1478">
        <f t="shared" si="233"/>
        <v>50</v>
      </c>
      <c r="Z716" s="1401">
        <f t="shared" si="234"/>
        <v>3000000</v>
      </c>
      <c r="AA716" s="1444">
        <f t="shared" si="235"/>
        <v>8</v>
      </c>
      <c r="AB716" s="1401">
        <f t="shared" si="236"/>
        <v>24000000</v>
      </c>
      <c r="AC716" s="1401">
        <f t="shared" si="237"/>
        <v>3000000</v>
      </c>
      <c r="AD716" s="1401">
        <f t="shared" si="238"/>
        <v>3000000</v>
      </c>
      <c r="AE716" s="1401">
        <f t="shared" si="239"/>
        <v>3000000</v>
      </c>
      <c r="AF716" s="1401">
        <f t="shared" si="240"/>
        <v>3000000</v>
      </c>
      <c r="AG716" s="1479">
        <f t="shared" si="241"/>
        <v>3000000</v>
      </c>
      <c r="AH716" s="1479">
        <f t="shared" si="244"/>
        <v>3000000</v>
      </c>
      <c r="AI716" s="1479">
        <f t="shared" si="245"/>
        <v>42000000</v>
      </c>
      <c r="AJ716" s="1401">
        <f t="shared" si="242"/>
        <v>108000000</v>
      </c>
      <c r="AK716" s="1443"/>
    </row>
    <row r="717" spans="1:37" s="1390" customFormat="1" ht="29" customHeight="1" x14ac:dyDescent="0.2">
      <c r="A717" s="1390" t="s">
        <v>4902</v>
      </c>
      <c r="B717" s="1472" t="e">
        <f t="shared" si="248"/>
        <v>#N/A</v>
      </c>
      <c r="C717" s="1478" t="e">
        <f>RIGHT(#REF!,1)</f>
        <v>#REF!</v>
      </c>
      <c r="D717" s="1426"/>
      <c r="E717" s="1429" t="s">
        <v>1180</v>
      </c>
      <c r="F717" s="1539"/>
      <c r="G717" s="1416" t="s">
        <v>3822</v>
      </c>
      <c r="H717" s="1508"/>
      <c r="I717" s="1416" t="s">
        <v>835</v>
      </c>
      <c r="J717" s="1512"/>
      <c r="K717" s="1416"/>
      <c r="L717" s="1500">
        <v>40</v>
      </c>
      <c r="M717" s="1429" t="s">
        <v>3110</v>
      </c>
      <c r="N717" s="1416">
        <v>2007</v>
      </c>
      <c r="O717" s="1414"/>
      <c r="P717" s="1414"/>
      <c r="Q717" s="1414"/>
      <c r="R717" s="1416" t="s">
        <v>12</v>
      </c>
      <c r="S717" s="1529">
        <v>890878662.61464095</v>
      </c>
      <c r="T717" s="1416" t="s">
        <v>43</v>
      </c>
      <c r="U717" s="1427"/>
      <c r="V717" s="1477"/>
      <c r="W717" s="1478" t="str">
        <f t="shared" si="231"/>
        <v>04.13.02</v>
      </c>
      <c r="X717" s="1478" t="str">
        <f t="shared" si="232"/>
        <v>Jembatan</v>
      </c>
      <c r="Y717" s="1478">
        <f t="shared" si="233"/>
        <v>50</v>
      </c>
      <c r="Z717" s="1401">
        <f t="shared" si="234"/>
        <v>17817573.252292819</v>
      </c>
      <c r="AA717" s="1444">
        <f t="shared" si="235"/>
        <v>7</v>
      </c>
      <c r="AB717" s="1401">
        <f t="shared" si="236"/>
        <v>124723012.76604974</v>
      </c>
      <c r="AC717" s="1401">
        <f t="shared" si="237"/>
        <v>17817573.252292819</v>
      </c>
      <c r="AD717" s="1401">
        <f t="shared" si="238"/>
        <v>17817573.252292819</v>
      </c>
      <c r="AE717" s="1401">
        <f t="shared" si="239"/>
        <v>17817573.252292819</v>
      </c>
      <c r="AF717" s="1401">
        <f t="shared" si="240"/>
        <v>17817573.252292819</v>
      </c>
      <c r="AG717" s="1479">
        <f t="shared" si="241"/>
        <v>17817573.252292819</v>
      </c>
      <c r="AH717" s="1479">
        <f t="shared" si="244"/>
        <v>17817573.252292819</v>
      </c>
      <c r="AI717" s="1479">
        <f t="shared" si="245"/>
        <v>231628452.27980661</v>
      </c>
      <c r="AJ717" s="1401">
        <f t="shared" si="242"/>
        <v>659250210.33483434</v>
      </c>
    </row>
    <row r="718" spans="1:37" s="1390" customFormat="1" ht="29" customHeight="1" x14ac:dyDescent="0.2">
      <c r="A718" s="1390" t="s">
        <v>4902</v>
      </c>
      <c r="B718" s="1472" t="e">
        <f t="shared" si="248"/>
        <v>#N/A</v>
      </c>
      <c r="C718" s="1478" t="e">
        <f>RIGHT(#REF!,1)</f>
        <v>#REF!</v>
      </c>
      <c r="D718" s="1426"/>
      <c r="E718" s="1429" t="s">
        <v>1184</v>
      </c>
      <c r="F718" s="1539"/>
      <c r="G718" s="1416" t="s">
        <v>3822</v>
      </c>
      <c r="H718" s="1508"/>
      <c r="I718" s="1416" t="s">
        <v>835</v>
      </c>
      <c r="J718" s="1512"/>
      <c r="K718" s="1416"/>
      <c r="L718" s="1500">
        <v>15</v>
      </c>
      <c r="M718" s="1429" t="s">
        <v>3111</v>
      </c>
      <c r="N718" s="1416">
        <v>2007</v>
      </c>
      <c r="O718" s="1414"/>
      <c r="P718" s="1414"/>
      <c r="Q718" s="1414"/>
      <c r="R718" s="1416" t="s">
        <v>12</v>
      </c>
      <c r="S718" s="1529">
        <v>738816590.76175904</v>
      </c>
      <c r="T718" s="1416" t="s">
        <v>43</v>
      </c>
      <c r="U718" s="1427"/>
      <c r="V718" s="1477"/>
      <c r="W718" s="1478" t="str">
        <f t="shared" si="231"/>
        <v>04.13.02</v>
      </c>
      <c r="X718" s="1478" t="str">
        <f t="shared" si="232"/>
        <v>Jembatan</v>
      </c>
      <c r="Y718" s="1478">
        <f t="shared" si="233"/>
        <v>50</v>
      </c>
      <c r="Z718" s="1401">
        <f t="shared" si="234"/>
        <v>14776331.815235181</v>
      </c>
      <c r="AA718" s="1444">
        <f t="shared" si="235"/>
        <v>7</v>
      </c>
      <c r="AB718" s="1401">
        <f t="shared" si="236"/>
        <v>103434322.70664626</v>
      </c>
      <c r="AC718" s="1401">
        <f t="shared" si="237"/>
        <v>14776331.815235181</v>
      </c>
      <c r="AD718" s="1401">
        <f t="shared" si="238"/>
        <v>14776331.815235181</v>
      </c>
      <c r="AE718" s="1401">
        <f t="shared" si="239"/>
        <v>14776331.815235181</v>
      </c>
      <c r="AF718" s="1401">
        <f t="shared" si="240"/>
        <v>14776331.815235181</v>
      </c>
      <c r="AG718" s="1479">
        <f t="shared" si="241"/>
        <v>14776331.815235181</v>
      </c>
      <c r="AH718" s="1479">
        <f t="shared" si="244"/>
        <v>14776331.815235181</v>
      </c>
      <c r="AI718" s="1479">
        <f t="shared" si="245"/>
        <v>192092313.5980573</v>
      </c>
      <c r="AJ718" s="1401">
        <f t="shared" si="242"/>
        <v>546724277.16370177</v>
      </c>
    </row>
    <row r="719" spans="1:37" s="1390" customFormat="1" ht="29" customHeight="1" x14ac:dyDescent="0.2">
      <c r="A719" s="1390" t="s">
        <v>4902</v>
      </c>
      <c r="B719" s="1472" t="e">
        <f t="shared" si="248"/>
        <v>#N/A</v>
      </c>
      <c r="C719" s="1478" t="e">
        <f>RIGHT(#REF!,1)</f>
        <v>#REF!</v>
      </c>
      <c r="D719" s="1426"/>
      <c r="E719" s="1429" t="s">
        <v>1201</v>
      </c>
      <c r="F719" s="1539"/>
      <c r="G719" s="1416" t="s">
        <v>3822</v>
      </c>
      <c r="H719" s="1508"/>
      <c r="I719" s="1416"/>
      <c r="J719" s="1512"/>
      <c r="K719" s="1416"/>
      <c r="L719" s="1500"/>
      <c r="M719" s="1429" t="s">
        <v>3122</v>
      </c>
      <c r="N719" s="1416">
        <v>2007</v>
      </c>
      <c r="O719" s="1414"/>
      <c r="P719" s="1414"/>
      <c r="Q719" s="1414"/>
      <c r="R719" s="1416" t="s">
        <v>12</v>
      </c>
      <c r="S719" s="1529">
        <v>749497417.32000005</v>
      </c>
      <c r="T719" s="1416" t="s">
        <v>43</v>
      </c>
      <c r="U719" s="1427"/>
      <c r="V719" s="1477"/>
      <c r="W719" s="1478" t="str">
        <f t="shared" si="231"/>
        <v>04.13.02</v>
      </c>
      <c r="X719" s="1478" t="str">
        <f t="shared" si="232"/>
        <v>Jembatan</v>
      </c>
      <c r="Y719" s="1478">
        <f t="shared" si="233"/>
        <v>50</v>
      </c>
      <c r="Z719" s="1401">
        <f t="shared" si="234"/>
        <v>14989948.3464</v>
      </c>
      <c r="AA719" s="1444">
        <f t="shared" si="235"/>
        <v>7</v>
      </c>
      <c r="AB719" s="1401">
        <f t="shared" si="236"/>
        <v>104929638.42480001</v>
      </c>
      <c r="AC719" s="1401">
        <f t="shared" si="237"/>
        <v>14989948.3464</v>
      </c>
      <c r="AD719" s="1401">
        <f t="shared" si="238"/>
        <v>14989948.3464</v>
      </c>
      <c r="AE719" s="1401">
        <f t="shared" si="239"/>
        <v>14989948.3464</v>
      </c>
      <c r="AF719" s="1401">
        <f t="shared" si="240"/>
        <v>14989948.3464</v>
      </c>
      <c r="AG719" s="1479">
        <f t="shared" si="241"/>
        <v>14989948.3464</v>
      </c>
      <c r="AH719" s="1479">
        <f t="shared" si="244"/>
        <v>14989948.3464</v>
      </c>
      <c r="AI719" s="1479">
        <f t="shared" si="245"/>
        <v>194869328.50319996</v>
      </c>
      <c r="AJ719" s="1401">
        <f t="shared" si="242"/>
        <v>554628088.81680012</v>
      </c>
    </row>
    <row r="720" spans="1:37" s="1390" customFormat="1" ht="29" customHeight="1" x14ac:dyDescent="0.2">
      <c r="A720" s="1390" t="s">
        <v>4902</v>
      </c>
      <c r="B720" s="1472" t="e">
        <f t="shared" si="248"/>
        <v>#N/A</v>
      </c>
      <c r="C720" s="1478" t="e">
        <f>RIGHT(#REF!,1)</f>
        <v>#REF!</v>
      </c>
      <c r="D720" s="1426"/>
      <c r="E720" s="1429" t="s">
        <v>1204</v>
      </c>
      <c r="F720" s="1539"/>
      <c r="G720" s="1416" t="s">
        <v>3827</v>
      </c>
      <c r="H720" s="1508"/>
      <c r="I720" s="1416"/>
      <c r="J720" s="1512"/>
      <c r="K720" s="1416"/>
      <c r="L720" s="1500"/>
      <c r="M720" s="1429" t="s">
        <v>3122</v>
      </c>
      <c r="N720" s="1416">
        <v>2007</v>
      </c>
      <c r="O720" s="1414"/>
      <c r="P720" s="1414"/>
      <c r="Q720" s="1414"/>
      <c r="R720" s="1416" t="s">
        <v>12</v>
      </c>
      <c r="S720" s="1529">
        <v>1004635245.0665743</v>
      </c>
      <c r="T720" s="1416" t="s">
        <v>43</v>
      </c>
      <c r="U720" s="1427"/>
      <c r="V720" s="1477"/>
      <c r="W720" s="1478" t="str">
        <f t="shared" si="231"/>
        <v>04.13.02</v>
      </c>
      <c r="X720" s="1478" t="str">
        <f t="shared" si="232"/>
        <v>Jembatan</v>
      </c>
      <c r="Y720" s="1478">
        <f t="shared" si="233"/>
        <v>50</v>
      </c>
      <c r="Z720" s="1401">
        <f t="shared" si="234"/>
        <v>20092704.901331488</v>
      </c>
      <c r="AA720" s="1444">
        <f t="shared" si="235"/>
        <v>7</v>
      </c>
      <c r="AB720" s="1401">
        <f t="shared" si="236"/>
        <v>140648934.30932042</v>
      </c>
      <c r="AC720" s="1401">
        <f t="shared" si="237"/>
        <v>20092704.901331488</v>
      </c>
      <c r="AD720" s="1401">
        <f t="shared" si="238"/>
        <v>20092704.901331488</v>
      </c>
      <c r="AE720" s="1401">
        <f t="shared" si="239"/>
        <v>20092704.901331488</v>
      </c>
      <c r="AF720" s="1401">
        <f t="shared" si="240"/>
        <v>20092704.901331488</v>
      </c>
      <c r="AG720" s="1479">
        <f t="shared" si="241"/>
        <v>20092704.901331488</v>
      </c>
      <c r="AH720" s="1479">
        <f t="shared" si="244"/>
        <v>20092704.901331488</v>
      </c>
      <c r="AI720" s="1479">
        <f t="shared" si="245"/>
        <v>261205163.71730933</v>
      </c>
      <c r="AJ720" s="1401">
        <f t="shared" si="242"/>
        <v>743430081.34926498</v>
      </c>
    </row>
    <row r="721" spans="1:36" s="1390" customFormat="1" ht="29" customHeight="1" x14ac:dyDescent="0.2">
      <c r="A721" s="1390" t="s">
        <v>4902</v>
      </c>
      <c r="B721" s="1472" t="e">
        <f>VLOOKUP(A721,RUAS,2,FALSE)</f>
        <v>#N/A</v>
      </c>
      <c r="C721" s="1478" t="e">
        <f>RIGHT(#REF!,1)</f>
        <v>#REF!</v>
      </c>
      <c r="D721" s="1426"/>
      <c r="E721" s="1429" t="s">
        <v>1205</v>
      </c>
      <c r="F721" s="1539"/>
      <c r="G721" s="1416" t="s">
        <v>3822</v>
      </c>
      <c r="H721" s="1508"/>
      <c r="I721" s="1416"/>
      <c r="J721" s="1512"/>
      <c r="K721" s="1416"/>
      <c r="L721" s="1500"/>
      <c r="M721" s="1429" t="s">
        <v>3122</v>
      </c>
      <c r="N721" s="1416">
        <v>2007</v>
      </c>
      <c r="O721" s="1414"/>
      <c r="P721" s="1414"/>
      <c r="Q721" s="1414"/>
      <c r="R721" s="1416" t="s">
        <v>12</v>
      </c>
      <c r="S721" s="1529">
        <v>3087425688.1593609</v>
      </c>
      <c r="T721" s="1416" t="s">
        <v>43</v>
      </c>
      <c r="U721" s="1427"/>
      <c r="V721" s="1477"/>
      <c r="W721" s="1478" t="str">
        <f t="shared" si="231"/>
        <v>04.13.02</v>
      </c>
      <c r="X721" s="1478" t="str">
        <f t="shared" si="232"/>
        <v>Jembatan</v>
      </c>
      <c r="Y721" s="1478">
        <f t="shared" si="233"/>
        <v>50</v>
      </c>
      <c r="Z721" s="1401">
        <f t="shared" si="234"/>
        <v>61748513.763187215</v>
      </c>
      <c r="AA721" s="1444">
        <f t="shared" si="235"/>
        <v>7</v>
      </c>
      <c r="AB721" s="1401">
        <f t="shared" si="236"/>
        <v>432239596.34231049</v>
      </c>
      <c r="AC721" s="1401">
        <f t="shared" si="237"/>
        <v>61748513.763187215</v>
      </c>
      <c r="AD721" s="1401">
        <f t="shared" si="238"/>
        <v>61748513.763187215</v>
      </c>
      <c r="AE721" s="1401">
        <f t="shared" si="239"/>
        <v>61748513.763187215</v>
      </c>
      <c r="AF721" s="1401">
        <f t="shared" si="240"/>
        <v>61748513.763187215</v>
      </c>
      <c r="AG721" s="1479">
        <f t="shared" si="241"/>
        <v>61748513.763187215</v>
      </c>
      <c r="AH721" s="1479">
        <f t="shared" si="244"/>
        <v>61748513.763187215</v>
      </c>
      <c r="AI721" s="1479">
        <f t="shared" si="245"/>
        <v>802730678.92143357</v>
      </c>
      <c r="AJ721" s="1401">
        <f t="shared" si="242"/>
        <v>2284695009.2379274</v>
      </c>
    </row>
    <row r="722" spans="1:36" s="1390" customFormat="1" ht="29" customHeight="1" x14ac:dyDescent="0.2">
      <c r="A722" s="1390">
        <v>162</v>
      </c>
      <c r="B722" s="1472" t="str">
        <f>VLOOKUP(A722,RUAS,2,FALSE)</f>
        <v>KOTO BASERAH - BANUARAN (JBT. BASERAH)</v>
      </c>
      <c r="C722" s="1478" t="e">
        <f>RIGHT(#REF!,1)</f>
        <v>#REF!</v>
      </c>
      <c r="D722" s="1426">
        <v>112</v>
      </c>
      <c r="E722" s="1429" t="s">
        <v>1179</v>
      </c>
      <c r="F722" s="1539"/>
      <c r="G722" s="1517" t="s">
        <v>3822</v>
      </c>
      <c r="H722" s="1508"/>
      <c r="I722" s="1416" t="s">
        <v>835</v>
      </c>
      <c r="J722" s="1512"/>
      <c r="K722" s="1416"/>
      <c r="L722" s="1500"/>
      <c r="M722" s="1429" t="s">
        <v>2986</v>
      </c>
      <c r="N722" s="1416">
        <v>2007</v>
      </c>
      <c r="O722" s="1414"/>
      <c r="P722" s="1414"/>
      <c r="Q722" s="1414"/>
      <c r="R722" s="1416" t="s">
        <v>12</v>
      </c>
      <c r="S722" s="1529">
        <v>779831709.96329999</v>
      </c>
      <c r="T722" s="1416" t="s">
        <v>43</v>
      </c>
      <c r="U722" s="1427"/>
      <c r="V722" s="1477"/>
      <c r="W722" s="1478" t="str">
        <f>LEFT(G722,8)</f>
        <v>04.13.02</v>
      </c>
      <c r="X722" s="1478" t="str">
        <f>VLOOKUP(W722,UE,3,FALSE)</f>
        <v>Jembatan</v>
      </c>
      <c r="Y722" s="1478">
        <f>VLOOKUP(W722,UE,4,FALSE)</f>
        <v>50</v>
      </c>
      <c r="Z722" s="1401">
        <f>S722/Y722</f>
        <v>15596634.199266</v>
      </c>
      <c r="AA722" s="1444">
        <f>IF(2013-N722+1&gt;Y722,Y722,IF(2013-N722+1&lt;0,0,2013-N722+1))</f>
        <v>7</v>
      </c>
      <c r="AB722" s="1401">
        <f>IF(AA722&gt;Y722,S722,Z722*AA722)</f>
        <v>109176439.394862</v>
      </c>
      <c r="AC722" s="1401">
        <f>IF(S722=AB722,0,Z722)</f>
        <v>15596634.199266</v>
      </c>
      <c r="AD722" s="1401">
        <f>IF(S722=AB722+AC722,0,Z722)</f>
        <v>15596634.199266</v>
      </c>
      <c r="AE722" s="1401">
        <f>IF(S722=AB722+AC722+AD722,0,Z722)</f>
        <v>15596634.199266</v>
      </c>
      <c r="AF722" s="1401">
        <f>IF(S722=AC722+AD722+AE722+AB722,0,Z722)</f>
        <v>15596634.199266</v>
      </c>
      <c r="AG722" s="1479">
        <f>IF(S722=AC722+AD722+AE722+AB722+AF722,0,Z722)</f>
        <v>15596634.199266</v>
      </c>
      <c r="AH722" s="1479">
        <f>IF(S722=AC722+AD722+AE722+AB722+AF722+AG722,0,Z722)</f>
        <v>15596634.199266</v>
      </c>
      <c r="AI722" s="1479">
        <f>SUM(AB722:AH722)</f>
        <v>202756244.59045795</v>
      </c>
      <c r="AJ722" s="1401">
        <f>S722-AI722</f>
        <v>577075465.37284207</v>
      </c>
    </row>
    <row r="723" spans="1:36" s="1390" customFormat="1" ht="29" customHeight="1" x14ac:dyDescent="0.2">
      <c r="A723" s="1390" t="s">
        <v>4902</v>
      </c>
      <c r="B723" s="1472" t="e">
        <f t="shared" ref="B723:B751" si="249">VLOOKUP(A723,RUAS,2,FALSE)</f>
        <v>#N/A</v>
      </c>
      <c r="C723" s="1478" t="e">
        <f>RIGHT(#REF!,1)</f>
        <v>#REF!</v>
      </c>
      <c r="D723" s="1426"/>
      <c r="E723" s="1429" t="s">
        <v>1207</v>
      </c>
      <c r="F723" s="1539"/>
      <c r="G723" s="1416" t="s">
        <v>3822</v>
      </c>
      <c r="H723" s="1508"/>
      <c r="I723" s="1416"/>
      <c r="J723" s="1512"/>
      <c r="K723" s="1416"/>
      <c r="L723" s="1500"/>
      <c r="M723" s="1429" t="s">
        <v>3122</v>
      </c>
      <c r="N723" s="1416">
        <v>2008</v>
      </c>
      <c r="O723" s="1414"/>
      <c r="P723" s="1414"/>
      <c r="Q723" s="1414"/>
      <c r="R723" s="1416" t="s">
        <v>12</v>
      </c>
      <c r="S723" s="1529">
        <v>8726284111.1459866</v>
      </c>
      <c r="T723" s="1416" t="s">
        <v>43</v>
      </c>
      <c r="U723" s="1427"/>
      <c r="V723" s="1477"/>
      <c r="W723" s="1478" t="str">
        <f t="shared" si="231"/>
        <v>04.13.02</v>
      </c>
      <c r="X723" s="1478" t="str">
        <f t="shared" si="232"/>
        <v>Jembatan</v>
      </c>
      <c r="Y723" s="1478">
        <f t="shared" si="233"/>
        <v>50</v>
      </c>
      <c r="Z723" s="1401">
        <f t="shared" si="234"/>
        <v>174525682.22291973</v>
      </c>
      <c r="AA723" s="1444">
        <f t="shared" si="235"/>
        <v>6</v>
      </c>
      <c r="AB723" s="1401">
        <f t="shared" si="236"/>
        <v>1047154093.3375185</v>
      </c>
      <c r="AC723" s="1401">
        <f t="shared" si="237"/>
        <v>174525682.22291973</v>
      </c>
      <c r="AD723" s="1401">
        <f t="shared" si="238"/>
        <v>174525682.22291973</v>
      </c>
      <c r="AE723" s="1401">
        <f t="shared" si="239"/>
        <v>174525682.22291973</v>
      </c>
      <c r="AF723" s="1401">
        <f t="shared" si="240"/>
        <v>174525682.22291973</v>
      </c>
      <c r="AG723" s="1479">
        <f t="shared" si="241"/>
        <v>174525682.22291973</v>
      </c>
      <c r="AH723" s="1479">
        <f t="shared" si="244"/>
        <v>174525682.22291973</v>
      </c>
      <c r="AI723" s="1479">
        <f t="shared" si="245"/>
        <v>2094308186.6750367</v>
      </c>
      <c r="AJ723" s="1401">
        <f t="shared" si="242"/>
        <v>6631975924.4709501</v>
      </c>
    </row>
    <row r="724" spans="1:36" s="1390" customFormat="1" ht="29" customHeight="1" x14ac:dyDescent="0.2">
      <c r="A724" s="1390" t="s">
        <v>4902</v>
      </c>
      <c r="B724" s="1472" t="e">
        <f t="shared" si="249"/>
        <v>#N/A</v>
      </c>
      <c r="C724" s="1478" t="e">
        <f>RIGHT(#REF!,1)</f>
        <v>#REF!</v>
      </c>
      <c r="D724" s="1426"/>
      <c r="E724" s="1429" t="s">
        <v>1179</v>
      </c>
      <c r="F724" s="1539"/>
      <c r="G724" s="1416" t="s">
        <v>3822</v>
      </c>
      <c r="H724" s="1508"/>
      <c r="I724" s="1416"/>
      <c r="J724" s="1512"/>
      <c r="K724" s="1416"/>
      <c r="L724" s="1500"/>
      <c r="M724" s="1429" t="s">
        <v>2986</v>
      </c>
      <c r="N724" s="1416">
        <v>2008</v>
      </c>
      <c r="O724" s="1414"/>
      <c r="P724" s="1414"/>
      <c r="Q724" s="1414"/>
      <c r="R724" s="1416" t="s">
        <v>12</v>
      </c>
      <c r="S724" s="1529">
        <v>1969256837</v>
      </c>
      <c r="T724" s="1416" t="s">
        <v>43</v>
      </c>
      <c r="U724" s="1427"/>
      <c r="V724" s="1477"/>
      <c r="W724" s="1478" t="str">
        <f t="shared" si="231"/>
        <v>04.13.02</v>
      </c>
      <c r="X724" s="1478" t="str">
        <f t="shared" si="232"/>
        <v>Jembatan</v>
      </c>
      <c r="Y724" s="1478">
        <f t="shared" si="233"/>
        <v>50</v>
      </c>
      <c r="Z724" s="1401">
        <f t="shared" si="234"/>
        <v>39385136.740000002</v>
      </c>
      <c r="AA724" s="1444">
        <f t="shared" si="235"/>
        <v>6</v>
      </c>
      <c r="AB724" s="1401">
        <f t="shared" si="236"/>
        <v>236310820.44</v>
      </c>
      <c r="AC724" s="1401">
        <f t="shared" si="237"/>
        <v>39385136.740000002</v>
      </c>
      <c r="AD724" s="1401">
        <f t="shared" si="238"/>
        <v>39385136.740000002</v>
      </c>
      <c r="AE724" s="1401">
        <f t="shared" si="239"/>
        <v>39385136.740000002</v>
      </c>
      <c r="AF724" s="1401">
        <f t="shared" si="240"/>
        <v>39385136.740000002</v>
      </c>
      <c r="AG724" s="1479">
        <f t="shared" si="241"/>
        <v>39385136.740000002</v>
      </c>
      <c r="AH724" s="1479">
        <f t="shared" si="244"/>
        <v>39385136.740000002</v>
      </c>
      <c r="AI724" s="1479">
        <f t="shared" si="245"/>
        <v>472621640.88000005</v>
      </c>
      <c r="AJ724" s="1401">
        <f t="shared" si="242"/>
        <v>1496635196.1199999</v>
      </c>
    </row>
    <row r="725" spans="1:36" s="1390" customFormat="1" ht="29" customHeight="1" x14ac:dyDescent="0.2">
      <c r="A725" s="1390" t="s">
        <v>4902</v>
      </c>
      <c r="B725" s="1472" t="e">
        <f t="shared" si="249"/>
        <v>#N/A</v>
      </c>
      <c r="C725" s="1478" t="e">
        <f>RIGHT(#REF!,1)</f>
        <v>#REF!</v>
      </c>
      <c r="D725" s="1426"/>
      <c r="E725" s="1429" t="s">
        <v>1201</v>
      </c>
      <c r="F725" s="1539"/>
      <c r="G725" s="1416" t="s">
        <v>3822</v>
      </c>
      <c r="H725" s="1508"/>
      <c r="I725" s="1416"/>
      <c r="J725" s="1512"/>
      <c r="K725" s="1416"/>
      <c r="L725" s="1500"/>
      <c r="M725" s="1429" t="s">
        <v>3122</v>
      </c>
      <c r="N725" s="1416">
        <v>2008</v>
      </c>
      <c r="O725" s="1414"/>
      <c r="P725" s="1414"/>
      <c r="Q725" s="1414"/>
      <c r="R725" s="1416" t="s">
        <v>12</v>
      </c>
      <c r="S725" s="1529">
        <v>829088158</v>
      </c>
      <c r="T725" s="1416" t="s">
        <v>43</v>
      </c>
      <c r="U725" s="1427"/>
      <c r="V725" s="1477"/>
      <c r="W725" s="1478" t="str">
        <f t="shared" si="231"/>
        <v>04.13.02</v>
      </c>
      <c r="X725" s="1478" t="str">
        <f t="shared" si="232"/>
        <v>Jembatan</v>
      </c>
      <c r="Y725" s="1478">
        <f t="shared" si="233"/>
        <v>50</v>
      </c>
      <c r="Z725" s="1401">
        <f t="shared" si="234"/>
        <v>16581763.16</v>
      </c>
      <c r="AA725" s="1444">
        <f t="shared" si="235"/>
        <v>6</v>
      </c>
      <c r="AB725" s="1401">
        <f t="shared" si="236"/>
        <v>99490578.960000008</v>
      </c>
      <c r="AC725" s="1401">
        <f t="shared" si="237"/>
        <v>16581763.16</v>
      </c>
      <c r="AD725" s="1401">
        <f t="shared" si="238"/>
        <v>16581763.16</v>
      </c>
      <c r="AE725" s="1401">
        <f t="shared" si="239"/>
        <v>16581763.16</v>
      </c>
      <c r="AF725" s="1401">
        <f t="shared" si="240"/>
        <v>16581763.16</v>
      </c>
      <c r="AG725" s="1479">
        <f t="shared" si="241"/>
        <v>16581763.16</v>
      </c>
      <c r="AH725" s="1479">
        <f t="shared" si="244"/>
        <v>16581763.16</v>
      </c>
      <c r="AI725" s="1479">
        <f t="shared" si="245"/>
        <v>198981157.91999999</v>
      </c>
      <c r="AJ725" s="1401">
        <f t="shared" si="242"/>
        <v>630107000.08000004</v>
      </c>
    </row>
    <row r="726" spans="1:36" s="1390" customFormat="1" ht="29" customHeight="1" x14ac:dyDescent="0.2">
      <c r="A726" s="1390" t="s">
        <v>4902</v>
      </c>
      <c r="B726" s="1472" t="e">
        <f t="shared" si="249"/>
        <v>#N/A</v>
      </c>
      <c r="C726" s="1478" t="e">
        <f>RIGHT(#REF!,1)</f>
        <v>#REF!</v>
      </c>
      <c r="D726" s="1426"/>
      <c r="E726" s="1429" t="s">
        <v>1207</v>
      </c>
      <c r="F726" s="1539"/>
      <c r="G726" s="1416" t="s">
        <v>3822</v>
      </c>
      <c r="H726" s="1508"/>
      <c r="I726" s="1416"/>
      <c r="J726" s="1512"/>
      <c r="K726" s="1416"/>
      <c r="L726" s="1500"/>
      <c r="M726" s="1429" t="s">
        <v>3122</v>
      </c>
      <c r="N726" s="1416">
        <v>2008</v>
      </c>
      <c r="O726" s="1414"/>
      <c r="P726" s="1414"/>
      <c r="Q726" s="1414"/>
      <c r="R726" s="1416" t="s">
        <v>12</v>
      </c>
      <c r="S726" s="1529">
        <v>2130596812.9205101</v>
      </c>
      <c r="T726" s="1416" t="s">
        <v>43</v>
      </c>
      <c r="U726" s="1427"/>
      <c r="V726" s="1477"/>
      <c r="W726" s="1478" t="str">
        <f t="shared" si="231"/>
        <v>04.13.02</v>
      </c>
      <c r="X726" s="1478" t="str">
        <f t="shared" si="232"/>
        <v>Jembatan</v>
      </c>
      <c r="Y726" s="1478">
        <f t="shared" si="233"/>
        <v>50</v>
      </c>
      <c r="Z726" s="1401">
        <f t="shared" si="234"/>
        <v>42611936.2584102</v>
      </c>
      <c r="AA726" s="1444">
        <f t="shared" si="235"/>
        <v>6</v>
      </c>
      <c r="AB726" s="1401">
        <f t="shared" si="236"/>
        <v>255671617.5504612</v>
      </c>
      <c r="AC726" s="1401">
        <f t="shared" si="237"/>
        <v>42611936.2584102</v>
      </c>
      <c r="AD726" s="1401">
        <f t="shared" si="238"/>
        <v>42611936.2584102</v>
      </c>
      <c r="AE726" s="1401">
        <f t="shared" si="239"/>
        <v>42611936.2584102</v>
      </c>
      <c r="AF726" s="1401">
        <f t="shared" si="240"/>
        <v>42611936.2584102</v>
      </c>
      <c r="AG726" s="1479">
        <f t="shared" si="241"/>
        <v>42611936.2584102</v>
      </c>
      <c r="AH726" s="1479">
        <f t="shared" si="244"/>
        <v>42611936.2584102</v>
      </c>
      <c r="AI726" s="1479">
        <f t="shared" si="245"/>
        <v>511343235.10092247</v>
      </c>
      <c r="AJ726" s="1401">
        <f t="shared" si="242"/>
        <v>1619253577.8195877</v>
      </c>
    </row>
    <row r="727" spans="1:36" s="1390" customFormat="1" ht="29" customHeight="1" x14ac:dyDescent="0.2">
      <c r="A727" s="1390" t="s">
        <v>4902</v>
      </c>
      <c r="B727" s="1472" t="e">
        <f t="shared" si="249"/>
        <v>#N/A</v>
      </c>
      <c r="C727" s="1478" t="e">
        <f>RIGHT(#REF!,1)</f>
        <v>#REF!</v>
      </c>
      <c r="D727" s="1426"/>
      <c r="E727" s="1429" t="s">
        <v>1212</v>
      </c>
      <c r="F727" s="1539"/>
      <c r="G727" s="1416" t="s">
        <v>3827</v>
      </c>
      <c r="H727" s="1508"/>
      <c r="I727" s="1416"/>
      <c r="J727" s="1512"/>
      <c r="K727" s="1416"/>
      <c r="L727" s="1500"/>
      <c r="M727" s="1429" t="s">
        <v>3122</v>
      </c>
      <c r="N727" s="1416">
        <v>2008</v>
      </c>
      <c r="O727" s="1414"/>
      <c r="P727" s="1414"/>
      <c r="Q727" s="1414"/>
      <c r="R727" s="1416" t="s">
        <v>12</v>
      </c>
      <c r="S727" s="1529">
        <v>498235979.05180186</v>
      </c>
      <c r="T727" s="1416" t="s">
        <v>43</v>
      </c>
      <c r="U727" s="1427"/>
      <c r="V727" s="1477"/>
      <c r="W727" s="1478" t="str">
        <f t="shared" si="231"/>
        <v>04.13.02</v>
      </c>
      <c r="X727" s="1478" t="str">
        <f t="shared" si="232"/>
        <v>Jembatan</v>
      </c>
      <c r="Y727" s="1478">
        <f t="shared" si="233"/>
        <v>50</v>
      </c>
      <c r="Z727" s="1401">
        <f t="shared" si="234"/>
        <v>9964719.5810360368</v>
      </c>
      <c r="AA727" s="1444">
        <f t="shared" si="235"/>
        <v>6</v>
      </c>
      <c r="AB727" s="1401">
        <f t="shared" si="236"/>
        <v>59788317.486216217</v>
      </c>
      <c r="AC727" s="1401">
        <f t="shared" si="237"/>
        <v>9964719.5810360368</v>
      </c>
      <c r="AD727" s="1401">
        <f t="shared" si="238"/>
        <v>9964719.5810360368</v>
      </c>
      <c r="AE727" s="1401">
        <f t="shared" si="239"/>
        <v>9964719.5810360368</v>
      </c>
      <c r="AF727" s="1401">
        <f t="shared" si="240"/>
        <v>9964719.5810360368</v>
      </c>
      <c r="AG727" s="1479">
        <f t="shared" si="241"/>
        <v>9964719.5810360368</v>
      </c>
      <c r="AH727" s="1479">
        <f t="shared" si="244"/>
        <v>9964719.5810360368</v>
      </c>
      <c r="AI727" s="1479">
        <f t="shared" si="245"/>
        <v>119576634.9724324</v>
      </c>
      <c r="AJ727" s="1401">
        <f t="shared" si="242"/>
        <v>378659344.07936943</v>
      </c>
    </row>
    <row r="728" spans="1:36" s="1390" customFormat="1" ht="29" customHeight="1" x14ac:dyDescent="0.2">
      <c r="A728" s="1390" t="s">
        <v>4902</v>
      </c>
      <c r="B728" s="1472" t="e">
        <f t="shared" si="249"/>
        <v>#N/A</v>
      </c>
      <c r="C728" s="1478" t="e">
        <f>RIGHT(#REF!,1)</f>
        <v>#REF!</v>
      </c>
      <c r="D728" s="1426"/>
      <c r="E728" s="1429" t="s">
        <v>1207</v>
      </c>
      <c r="F728" s="1539"/>
      <c r="G728" s="1416" t="s">
        <v>3822</v>
      </c>
      <c r="H728" s="1508"/>
      <c r="I728" s="1416"/>
      <c r="J728" s="1512"/>
      <c r="K728" s="1416"/>
      <c r="L728" s="1500"/>
      <c r="M728" s="1429" t="s">
        <v>3122</v>
      </c>
      <c r="N728" s="1416">
        <v>2008</v>
      </c>
      <c r="O728" s="1414"/>
      <c r="P728" s="1414"/>
      <c r="Q728" s="1414"/>
      <c r="R728" s="1416" t="s">
        <v>12</v>
      </c>
      <c r="S728" s="1529">
        <v>400080843</v>
      </c>
      <c r="T728" s="1416" t="s">
        <v>43</v>
      </c>
      <c r="U728" s="1427"/>
      <c r="V728" s="1477"/>
      <c r="W728" s="1478" t="str">
        <f t="shared" si="231"/>
        <v>04.13.02</v>
      </c>
      <c r="X728" s="1478" t="str">
        <f t="shared" si="232"/>
        <v>Jembatan</v>
      </c>
      <c r="Y728" s="1478">
        <f t="shared" si="233"/>
        <v>50</v>
      </c>
      <c r="Z728" s="1401">
        <f t="shared" si="234"/>
        <v>8001616.8600000003</v>
      </c>
      <c r="AA728" s="1444">
        <f t="shared" si="235"/>
        <v>6</v>
      </c>
      <c r="AB728" s="1401">
        <f t="shared" si="236"/>
        <v>48009701.160000004</v>
      </c>
      <c r="AC728" s="1401">
        <f t="shared" si="237"/>
        <v>8001616.8600000003</v>
      </c>
      <c r="AD728" s="1401">
        <f t="shared" si="238"/>
        <v>8001616.8600000003</v>
      </c>
      <c r="AE728" s="1401">
        <f t="shared" si="239"/>
        <v>8001616.8600000003</v>
      </c>
      <c r="AF728" s="1401">
        <f t="shared" si="240"/>
        <v>8001616.8600000003</v>
      </c>
      <c r="AG728" s="1479">
        <f t="shared" si="241"/>
        <v>8001616.8600000003</v>
      </c>
      <c r="AH728" s="1479">
        <f t="shared" si="244"/>
        <v>8001616.8600000003</v>
      </c>
      <c r="AI728" s="1479">
        <f t="shared" si="245"/>
        <v>96019402.320000008</v>
      </c>
      <c r="AJ728" s="1401">
        <f t="shared" si="242"/>
        <v>304061440.68000001</v>
      </c>
    </row>
    <row r="729" spans="1:36" s="1390" customFormat="1" ht="29" customHeight="1" x14ac:dyDescent="0.2">
      <c r="A729" s="1390" t="s">
        <v>4902</v>
      </c>
      <c r="B729" s="1472" t="e">
        <f t="shared" si="249"/>
        <v>#N/A</v>
      </c>
      <c r="C729" s="1478" t="e">
        <f>RIGHT(#REF!,1)</f>
        <v>#REF!</v>
      </c>
      <c r="D729" s="1426"/>
      <c r="E729" s="1429" t="s">
        <v>1213</v>
      </c>
      <c r="F729" s="1539"/>
      <c r="G729" s="1416" t="s">
        <v>3822</v>
      </c>
      <c r="H729" s="1508"/>
      <c r="I729" s="1416"/>
      <c r="J729" s="1512"/>
      <c r="K729" s="1416"/>
      <c r="L729" s="1500"/>
      <c r="M729" s="1429" t="s">
        <v>3122</v>
      </c>
      <c r="N729" s="1416">
        <v>2009</v>
      </c>
      <c r="O729" s="1414"/>
      <c r="P729" s="1414"/>
      <c r="Q729" s="1414"/>
      <c r="R729" s="1416" t="s">
        <v>12</v>
      </c>
      <c r="S729" s="1529">
        <v>22007615819</v>
      </c>
      <c r="T729" s="1416" t="s">
        <v>43</v>
      </c>
      <c r="U729" s="1427"/>
      <c r="V729" s="1477"/>
      <c r="W729" s="1478" t="str">
        <f t="shared" si="231"/>
        <v>04.13.02</v>
      </c>
      <c r="X729" s="1478" t="str">
        <f t="shared" si="232"/>
        <v>Jembatan</v>
      </c>
      <c r="Y729" s="1478">
        <f t="shared" si="233"/>
        <v>50</v>
      </c>
      <c r="Z729" s="1401">
        <f t="shared" si="234"/>
        <v>440152316.38</v>
      </c>
      <c r="AA729" s="1444">
        <f t="shared" si="235"/>
        <v>5</v>
      </c>
      <c r="AB729" s="1401">
        <f t="shared" si="236"/>
        <v>2200761581.9000001</v>
      </c>
      <c r="AC729" s="1401">
        <f t="shared" si="237"/>
        <v>440152316.38</v>
      </c>
      <c r="AD729" s="1401">
        <f t="shared" si="238"/>
        <v>440152316.38</v>
      </c>
      <c r="AE729" s="1401">
        <f t="shared" si="239"/>
        <v>440152316.38</v>
      </c>
      <c r="AF729" s="1401">
        <f t="shared" si="240"/>
        <v>440152316.38</v>
      </c>
      <c r="AG729" s="1479">
        <f t="shared" si="241"/>
        <v>440152316.38</v>
      </c>
      <c r="AH729" s="1479">
        <f t="shared" si="244"/>
        <v>440152316.38</v>
      </c>
      <c r="AI729" s="1479">
        <f t="shared" si="245"/>
        <v>4841675480.1800003</v>
      </c>
      <c r="AJ729" s="1401">
        <f t="shared" si="242"/>
        <v>17165940338.82</v>
      </c>
    </row>
    <row r="730" spans="1:36" s="1390" customFormat="1" ht="29" customHeight="1" x14ac:dyDescent="0.2">
      <c r="A730" s="1390" t="s">
        <v>4902</v>
      </c>
      <c r="B730" s="1472" t="e">
        <f t="shared" si="249"/>
        <v>#N/A</v>
      </c>
      <c r="C730" s="1478" t="e">
        <f>RIGHT(#REF!,1)</f>
        <v>#REF!</v>
      </c>
      <c r="D730" s="1426"/>
      <c r="E730" s="1429" t="s">
        <v>1215</v>
      </c>
      <c r="F730" s="1539"/>
      <c r="G730" s="1416" t="s">
        <v>3822</v>
      </c>
      <c r="H730" s="1508"/>
      <c r="I730" s="1416"/>
      <c r="J730" s="1512"/>
      <c r="K730" s="1416"/>
      <c r="L730" s="1500"/>
      <c r="M730" s="1429" t="s">
        <v>3122</v>
      </c>
      <c r="N730" s="1416">
        <v>2009</v>
      </c>
      <c r="O730" s="1414"/>
      <c r="P730" s="1414"/>
      <c r="Q730" s="1414"/>
      <c r="R730" s="1416" t="s">
        <v>12</v>
      </c>
      <c r="S730" s="1529">
        <v>1200224056</v>
      </c>
      <c r="T730" s="1416" t="s">
        <v>43</v>
      </c>
      <c r="U730" s="1427"/>
      <c r="V730" s="1477"/>
      <c r="W730" s="1478" t="str">
        <f t="shared" si="231"/>
        <v>04.13.02</v>
      </c>
      <c r="X730" s="1478" t="str">
        <f t="shared" si="232"/>
        <v>Jembatan</v>
      </c>
      <c r="Y730" s="1478">
        <f t="shared" si="233"/>
        <v>50</v>
      </c>
      <c r="Z730" s="1401">
        <f t="shared" si="234"/>
        <v>24004481.120000001</v>
      </c>
      <c r="AA730" s="1444">
        <f t="shared" si="235"/>
        <v>5</v>
      </c>
      <c r="AB730" s="1401">
        <f t="shared" si="236"/>
        <v>120022405.60000001</v>
      </c>
      <c r="AC730" s="1401">
        <f t="shared" si="237"/>
        <v>24004481.120000001</v>
      </c>
      <c r="AD730" s="1401">
        <f t="shared" si="238"/>
        <v>24004481.120000001</v>
      </c>
      <c r="AE730" s="1401">
        <f t="shared" si="239"/>
        <v>24004481.120000001</v>
      </c>
      <c r="AF730" s="1401">
        <f t="shared" si="240"/>
        <v>24004481.120000001</v>
      </c>
      <c r="AG730" s="1479">
        <f t="shared" si="241"/>
        <v>24004481.120000001</v>
      </c>
      <c r="AH730" s="1479">
        <f t="shared" si="244"/>
        <v>24004481.120000001</v>
      </c>
      <c r="AI730" s="1479">
        <f t="shared" si="245"/>
        <v>264049292.32000002</v>
      </c>
      <c r="AJ730" s="1401">
        <f t="shared" si="242"/>
        <v>936174763.67999995</v>
      </c>
    </row>
    <row r="731" spans="1:36" s="1390" customFormat="1" ht="29" customHeight="1" x14ac:dyDescent="0.2">
      <c r="A731" s="1390" t="s">
        <v>4902</v>
      </c>
      <c r="B731" s="1472" t="e">
        <f t="shared" si="249"/>
        <v>#N/A</v>
      </c>
      <c r="C731" s="1478" t="e">
        <f>RIGHT(#REF!,1)</f>
        <v>#REF!</v>
      </c>
      <c r="D731" s="1426"/>
      <c r="E731" s="1429" t="s">
        <v>1213</v>
      </c>
      <c r="F731" s="1539"/>
      <c r="G731" s="1416" t="s">
        <v>3822</v>
      </c>
      <c r="H731" s="1508"/>
      <c r="I731" s="1416"/>
      <c r="J731" s="1512"/>
      <c r="K731" s="1416"/>
      <c r="L731" s="1500"/>
      <c r="M731" s="1429" t="s">
        <v>3122</v>
      </c>
      <c r="N731" s="1416">
        <v>2010</v>
      </c>
      <c r="O731" s="1414"/>
      <c r="P731" s="1414"/>
      <c r="Q731" s="1414"/>
      <c r="R731" s="1416" t="s">
        <v>12</v>
      </c>
      <c r="S731" s="1529">
        <v>1192070199</v>
      </c>
      <c r="T731" s="1416" t="s">
        <v>43</v>
      </c>
      <c r="U731" s="1427"/>
      <c r="V731" s="1477"/>
      <c r="W731" s="1478" t="str">
        <f t="shared" si="231"/>
        <v>04.13.02</v>
      </c>
      <c r="X731" s="1478" t="str">
        <f t="shared" si="232"/>
        <v>Jembatan</v>
      </c>
      <c r="Y731" s="1478">
        <f t="shared" si="233"/>
        <v>50</v>
      </c>
      <c r="Z731" s="1401">
        <f t="shared" si="234"/>
        <v>23841403.98</v>
      </c>
      <c r="AA731" s="1444">
        <f t="shared" si="235"/>
        <v>4</v>
      </c>
      <c r="AB731" s="1401">
        <f t="shared" si="236"/>
        <v>95365615.920000002</v>
      </c>
      <c r="AC731" s="1401">
        <f t="shared" si="237"/>
        <v>23841403.98</v>
      </c>
      <c r="AD731" s="1401">
        <f t="shared" si="238"/>
        <v>23841403.98</v>
      </c>
      <c r="AE731" s="1401">
        <f t="shared" si="239"/>
        <v>23841403.98</v>
      </c>
      <c r="AF731" s="1401">
        <f t="shared" si="240"/>
        <v>23841403.98</v>
      </c>
      <c r="AG731" s="1479">
        <f t="shared" si="241"/>
        <v>23841403.98</v>
      </c>
      <c r="AH731" s="1479">
        <f t="shared" si="244"/>
        <v>23841403.98</v>
      </c>
      <c r="AI731" s="1479">
        <f t="shared" si="245"/>
        <v>238414039.79999995</v>
      </c>
      <c r="AJ731" s="1401">
        <f t="shared" si="242"/>
        <v>953656159.20000005</v>
      </c>
    </row>
    <row r="732" spans="1:36" s="1390" customFormat="1" ht="29" customHeight="1" x14ac:dyDescent="0.2">
      <c r="A732" s="1390" t="s">
        <v>4902</v>
      </c>
      <c r="B732" s="1472" t="e">
        <f t="shared" si="249"/>
        <v>#N/A</v>
      </c>
      <c r="C732" s="1478" t="e">
        <f>RIGHT(#REF!,1)</f>
        <v>#REF!</v>
      </c>
      <c r="D732" s="1426"/>
      <c r="E732" s="1429" t="s">
        <v>1224</v>
      </c>
      <c r="F732" s="1539"/>
      <c r="G732" s="1416" t="s">
        <v>3824</v>
      </c>
      <c r="H732" s="1508"/>
      <c r="I732" s="1416" t="s">
        <v>835</v>
      </c>
      <c r="J732" s="1512"/>
      <c r="K732" s="1416"/>
      <c r="L732" s="1500">
        <v>40</v>
      </c>
      <c r="M732" s="1429" t="s">
        <v>3133</v>
      </c>
      <c r="N732" s="1416">
        <v>2011</v>
      </c>
      <c r="O732" s="1414"/>
      <c r="P732" s="1414"/>
      <c r="Q732" s="1414"/>
      <c r="R732" s="1416" t="s">
        <v>12</v>
      </c>
      <c r="S732" s="1529">
        <v>4609392818.7695818</v>
      </c>
      <c r="T732" s="1416" t="s">
        <v>43</v>
      </c>
      <c r="U732" s="1427"/>
      <c r="V732" s="1477"/>
      <c r="W732" s="1478" t="str">
        <f t="shared" si="231"/>
        <v>04.13.02</v>
      </c>
      <c r="X732" s="1478" t="str">
        <f t="shared" si="232"/>
        <v>Jembatan</v>
      </c>
      <c r="Y732" s="1478">
        <f t="shared" si="233"/>
        <v>50</v>
      </c>
      <c r="Z732" s="1401">
        <f t="shared" si="234"/>
        <v>92187856.375391632</v>
      </c>
      <c r="AA732" s="1444">
        <f t="shared" si="235"/>
        <v>3</v>
      </c>
      <c r="AB732" s="1401">
        <f t="shared" si="236"/>
        <v>276563569.12617493</v>
      </c>
      <c r="AC732" s="1401">
        <f t="shared" si="237"/>
        <v>92187856.375391632</v>
      </c>
      <c r="AD732" s="1401">
        <f t="shared" si="238"/>
        <v>92187856.375391632</v>
      </c>
      <c r="AE732" s="1401">
        <f t="shared" si="239"/>
        <v>92187856.375391632</v>
      </c>
      <c r="AF732" s="1401">
        <f t="shared" si="240"/>
        <v>92187856.375391632</v>
      </c>
      <c r="AG732" s="1479">
        <f t="shared" si="241"/>
        <v>92187856.375391632</v>
      </c>
      <c r="AH732" s="1479">
        <f t="shared" si="244"/>
        <v>92187856.375391632</v>
      </c>
      <c r="AI732" s="1479">
        <f t="shared" si="245"/>
        <v>829690707.37852454</v>
      </c>
      <c r="AJ732" s="1401">
        <f t="shared" si="242"/>
        <v>3779702111.391057</v>
      </c>
    </row>
    <row r="733" spans="1:36" s="1390" customFormat="1" ht="29" customHeight="1" x14ac:dyDescent="0.2">
      <c r="A733" s="1390" t="s">
        <v>4902</v>
      </c>
      <c r="B733" s="1472" t="e">
        <f t="shared" si="249"/>
        <v>#N/A</v>
      </c>
      <c r="C733" s="1478" t="e">
        <f>RIGHT(#REF!,1)</f>
        <v>#REF!</v>
      </c>
      <c r="D733" s="1426"/>
      <c r="E733" s="1429" t="s">
        <v>1223</v>
      </c>
      <c r="F733" s="1539"/>
      <c r="G733" s="1416" t="s">
        <v>3824</v>
      </c>
      <c r="H733" s="1508"/>
      <c r="I733" s="1416" t="s">
        <v>835</v>
      </c>
      <c r="J733" s="1512"/>
      <c r="K733" s="1416"/>
      <c r="L733" s="1500">
        <v>50</v>
      </c>
      <c r="M733" s="1429" t="s">
        <v>3132</v>
      </c>
      <c r="N733" s="1416">
        <v>2011</v>
      </c>
      <c r="O733" s="1414"/>
      <c r="P733" s="1414"/>
      <c r="Q733" s="1414"/>
      <c r="R733" s="1416" t="s">
        <v>12</v>
      </c>
      <c r="S733" s="1529">
        <v>720415026.35516441</v>
      </c>
      <c r="T733" s="1416" t="s">
        <v>43</v>
      </c>
      <c r="U733" s="1427"/>
      <c r="V733" s="1477"/>
      <c r="W733" s="1478" t="str">
        <f t="shared" si="231"/>
        <v>04.13.02</v>
      </c>
      <c r="X733" s="1478" t="str">
        <f t="shared" si="232"/>
        <v>Jembatan</v>
      </c>
      <c r="Y733" s="1478">
        <f t="shared" si="233"/>
        <v>50</v>
      </c>
      <c r="Z733" s="1401">
        <f t="shared" si="234"/>
        <v>14408300.527103288</v>
      </c>
      <c r="AA733" s="1444">
        <f t="shared" si="235"/>
        <v>3</v>
      </c>
      <c r="AB733" s="1401">
        <f t="shared" si="236"/>
        <v>43224901.581309862</v>
      </c>
      <c r="AC733" s="1401">
        <f t="shared" si="237"/>
        <v>14408300.527103288</v>
      </c>
      <c r="AD733" s="1401">
        <f t="shared" si="238"/>
        <v>14408300.527103288</v>
      </c>
      <c r="AE733" s="1401">
        <f t="shared" si="239"/>
        <v>14408300.527103288</v>
      </c>
      <c r="AF733" s="1401">
        <f t="shared" si="240"/>
        <v>14408300.527103288</v>
      </c>
      <c r="AG733" s="1479">
        <f t="shared" si="241"/>
        <v>14408300.527103288</v>
      </c>
      <c r="AH733" s="1479">
        <f t="shared" si="244"/>
        <v>14408300.527103288</v>
      </c>
      <c r="AI733" s="1479">
        <f t="shared" si="245"/>
        <v>129674704.74392959</v>
      </c>
      <c r="AJ733" s="1401">
        <f t="shared" si="242"/>
        <v>590740321.61123478</v>
      </c>
    </row>
    <row r="734" spans="1:36" s="1390" customFormat="1" ht="29" customHeight="1" x14ac:dyDescent="0.2">
      <c r="A734" s="1390" t="s">
        <v>4902</v>
      </c>
      <c r="B734" s="1472" t="e">
        <f t="shared" si="249"/>
        <v>#N/A</v>
      </c>
      <c r="C734" s="1478" t="e">
        <f>RIGHT(#REF!,1)</f>
        <v>#REF!</v>
      </c>
      <c r="D734" s="1426"/>
      <c r="E734" s="1429" t="s">
        <v>1225</v>
      </c>
      <c r="F734" s="1539"/>
      <c r="G734" s="1416" t="s">
        <v>3822</v>
      </c>
      <c r="H734" s="1508"/>
      <c r="I734" s="1416"/>
      <c r="J734" s="1512"/>
      <c r="K734" s="1416"/>
      <c r="L734" s="1500"/>
      <c r="M734" s="1429" t="s">
        <v>420</v>
      </c>
      <c r="N734" s="1416">
        <v>2011</v>
      </c>
      <c r="O734" s="1414"/>
      <c r="P734" s="1414"/>
      <c r="Q734" s="1414"/>
      <c r="R734" s="1416" t="s">
        <v>12</v>
      </c>
      <c r="S734" s="1529">
        <v>666142171.96289265</v>
      </c>
      <c r="T734" s="1416" t="s">
        <v>43</v>
      </c>
      <c r="U734" s="1427"/>
      <c r="V734" s="1477"/>
      <c r="W734" s="1478" t="str">
        <f t="shared" si="231"/>
        <v>04.13.02</v>
      </c>
      <c r="X734" s="1478" t="str">
        <f t="shared" si="232"/>
        <v>Jembatan</v>
      </c>
      <c r="Y734" s="1478">
        <f t="shared" si="233"/>
        <v>50</v>
      </c>
      <c r="Z734" s="1401">
        <f t="shared" si="234"/>
        <v>13322843.439257853</v>
      </c>
      <c r="AA734" s="1444">
        <f t="shared" si="235"/>
        <v>3</v>
      </c>
      <c r="AB734" s="1401">
        <f t="shared" si="236"/>
        <v>39968530.317773558</v>
      </c>
      <c r="AC734" s="1401">
        <f t="shared" si="237"/>
        <v>13322843.439257853</v>
      </c>
      <c r="AD734" s="1401">
        <f t="shared" si="238"/>
        <v>13322843.439257853</v>
      </c>
      <c r="AE734" s="1401">
        <f t="shared" si="239"/>
        <v>13322843.439257853</v>
      </c>
      <c r="AF734" s="1401">
        <f t="shared" si="240"/>
        <v>13322843.439257853</v>
      </c>
      <c r="AG734" s="1479">
        <f t="shared" si="241"/>
        <v>13322843.439257853</v>
      </c>
      <c r="AH734" s="1479">
        <f t="shared" si="244"/>
        <v>13322843.439257853</v>
      </c>
      <c r="AI734" s="1479">
        <f t="shared" si="245"/>
        <v>119905590.95332068</v>
      </c>
      <c r="AJ734" s="1401">
        <f t="shared" si="242"/>
        <v>546236581.00957203</v>
      </c>
    </row>
    <row r="735" spans="1:36" s="1390" customFormat="1" ht="29" customHeight="1" x14ac:dyDescent="0.2">
      <c r="A735" s="1390" t="s">
        <v>4902</v>
      </c>
      <c r="B735" s="1472" t="e">
        <f t="shared" si="249"/>
        <v>#N/A</v>
      </c>
      <c r="C735" s="1478" t="e">
        <f>RIGHT(#REF!,1)</f>
        <v>#REF!</v>
      </c>
      <c r="D735" s="1426"/>
      <c r="E735" s="1429" t="s">
        <v>1266</v>
      </c>
      <c r="F735" s="1539"/>
      <c r="G735" s="1517" t="s">
        <v>3824</v>
      </c>
      <c r="H735" s="1518"/>
      <c r="I735" s="1518" t="s">
        <v>835</v>
      </c>
      <c r="J735" s="1533"/>
      <c r="K735" s="1517"/>
      <c r="L735" s="1519"/>
      <c r="M735" s="1518" t="s">
        <v>621</v>
      </c>
      <c r="N735" s="1517">
        <v>2012</v>
      </c>
      <c r="O735" s="1518"/>
      <c r="P735" s="1518"/>
      <c r="Q735" s="1518"/>
      <c r="R735" s="1517" t="s">
        <v>12</v>
      </c>
      <c r="S735" s="1520">
        <v>1145248023.880646</v>
      </c>
      <c r="T735" s="1517" t="s">
        <v>43</v>
      </c>
      <c r="U735" s="1572"/>
      <c r="V735" s="1521"/>
      <c r="W735" s="1478" t="str">
        <f t="shared" si="231"/>
        <v>04.13.02</v>
      </c>
      <c r="X735" s="1478" t="str">
        <f t="shared" si="232"/>
        <v>Jembatan</v>
      </c>
      <c r="Y735" s="1478">
        <f t="shared" si="233"/>
        <v>50</v>
      </c>
      <c r="Z735" s="1401">
        <f t="shared" si="234"/>
        <v>22904960.47761292</v>
      </c>
      <c r="AA735" s="1444">
        <f t="shared" si="235"/>
        <v>2</v>
      </c>
      <c r="AB735" s="1401">
        <f t="shared" si="236"/>
        <v>45809920.95522584</v>
      </c>
      <c r="AC735" s="1401">
        <f t="shared" si="237"/>
        <v>22904960.47761292</v>
      </c>
      <c r="AD735" s="1401">
        <f t="shared" si="238"/>
        <v>22904960.47761292</v>
      </c>
      <c r="AE735" s="1401">
        <f t="shared" si="239"/>
        <v>22904960.47761292</v>
      </c>
      <c r="AF735" s="1401">
        <f t="shared" si="240"/>
        <v>22904960.47761292</v>
      </c>
      <c r="AG735" s="1479">
        <f t="shared" si="241"/>
        <v>22904960.47761292</v>
      </c>
      <c r="AH735" s="1479">
        <f t="shared" si="244"/>
        <v>22904960.47761292</v>
      </c>
      <c r="AI735" s="1479">
        <f t="shared" si="245"/>
        <v>183239683.82090333</v>
      </c>
      <c r="AJ735" s="1401">
        <f t="shared" si="242"/>
        <v>962008340.05974269</v>
      </c>
    </row>
    <row r="736" spans="1:36" s="1390" customFormat="1" ht="29" customHeight="1" x14ac:dyDescent="0.2">
      <c r="A736" s="1390" t="s">
        <v>4902</v>
      </c>
      <c r="B736" s="1472" t="e">
        <f t="shared" si="249"/>
        <v>#N/A</v>
      </c>
      <c r="C736" s="1478" t="e">
        <f>RIGHT(#REF!,1)</f>
        <v>#REF!</v>
      </c>
      <c r="D736" s="1426"/>
      <c r="E736" s="1429" t="s">
        <v>1265</v>
      </c>
      <c r="F736" s="1539"/>
      <c r="G736" s="1416" t="s">
        <v>3824</v>
      </c>
      <c r="H736" s="1508"/>
      <c r="I736" s="1416" t="s">
        <v>835</v>
      </c>
      <c r="J736" s="1512"/>
      <c r="K736" s="1416"/>
      <c r="L736" s="1500"/>
      <c r="M736" s="1429" t="s">
        <v>3159</v>
      </c>
      <c r="N736" s="1416">
        <v>2012</v>
      </c>
      <c r="O736" s="1414"/>
      <c r="P736" s="1414"/>
      <c r="Q736" s="1414"/>
      <c r="R736" s="1416" t="s">
        <v>12</v>
      </c>
      <c r="S736" s="1529">
        <v>1032348746.5314332</v>
      </c>
      <c r="T736" s="1416" t="s">
        <v>43</v>
      </c>
      <c r="U736" s="1427"/>
      <c r="V736" s="1477"/>
      <c r="W736" s="1478" t="str">
        <f t="shared" si="231"/>
        <v>04.13.02</v>
      </c>
      <c r="X736" s="1478" t="str">
        <f t="shared" si="232"/>
        <v>Jembatan</v>
      </c>
      <c r="Y736" s="1478">
        <f t="shared" si="233"/>
        <v>50</v>
      </c>
      <c r="Z736" s="1401">
        <f t="shared" si="234"/>
        <v>20646974.930628665</v>
      </c>
      <c r="AA736" s="1444">
        <f t="shared" si="235"/>
        <v>2</v>
      </c>
      <c r="AB736" s="1401">
        <f t="shared" si="236"/>
        <v>41293949.86125733</v>
      </c>
      <c r="AC736" s="1401">
        <f t="shared" si="237"/>
        <v>20646974.930628665</v>
      </c>
      <c r="AD736" s="1401">
        <f t="shared" si="238"/>
        <v>20646974.930628665</v>
      </c>
      <c r="AE736" s="1401">
        <f t="shared" si="239"/>
        <v>20646974.930628665</v>
      </c>
      <c r="AF736" s="1401">
        <f t="shared" si="240"/>
        <v>20646974.930628665</v>
      </c>
      <c r="AG736" s="1479">
        <f t="shared" si="241"/>
        <v>20646974.930628665</v>
      </c>
      <c r="AH736" s="1479">
        <f t="shared" si="244"/>
        <v>20646974.930628665</v>
      </c>
      <c r="AI736" s="1479">
        <f t="shared" si="245"/>
        <v>165175799.44502929</v>
      </c>
      <c r="AJ736" s="1401">
        <f t="shared" si="242"/>
        <v>867172947.08640397</v>
      </c>
    </row>
    <row r="737" spans="1:36" s="1390" customFormat="1" ht="29" customHeight="1" x14ac:dyDescent="0.2">
      <c r="A737" s="1390" t="s">
        <v>4902</v>
      </c>
      <c r="B737" s="1472" t="e">
        <f t="shared" si="249"/>
        <v>#N/A</v>
      </c>
      <c r="C737" s="1478" t="e">
        <f>RIGHT(#REF!,1)</f>
        <v>#REF!</v>
      </c>
      <c r="D737" s="1426"/>
      <c r="E737" s="1429" t="s">
        <v>1270</v>
      </c>
      <c r="F737" s="1539"/>
      <c r="G737" s="1416" t="s">
        <v>3826</v>
      </c>
      <c r="H737" s="1508"/>
      <c r="I737" s="1416" t="s">
        <v>272</v>
      </c>
      <c r="J737" s="1512"/>
      <c r="K737" s="1416"/>
      <c r="L737" s="1500"/>
      <c r="M737" s="1429" t="s">
        <v>3163</v>
      </c>
      <c r="N737" s="1416">
        <v>2012</v>
      </c>
      <c r="O737" s="1414"/>
      <c r="P737" s="1414"/>
      <c r="Q737" s="1414"/>
      <c r="R737" s="1416" t="s">
        <v>12</v>
      </c>
      <c r="S737" s="1529">
        <v>83626402.271583661</v>
      </c>
      <c r="T737" s="1416" t="s">
        <v>43</v>
      </c>
      <c r="U737" s="1427"/>
      <c r="V737" s="1477"/>
      <c r="W737" s="1478" t="str">
        <f t="shared" si="231"/>
        <v>04.13.02</v>
      </c>
      <c r="X737" s="1478" t="str">
        <f t="shared" si="232"/>
        <v>Jembatan</v>
      </c>
      <c r="Y737" s="1478">
        <f t="shared" si="233"/>
        <v>50</v>
      </c>
      <c r="Z737" s="1401">
        <f t="shared" si="234"/>
        <v>1672528.0454316733</v>
      </c>
      <c r="AA737" s="1444">
        <f t="shared" si="235"/>
        <v>2</v>
      </c>
      <c r="AB737" s="1401">
        <f t="shared" si="236"/>
        <v>3345056.0908633466</v>
      </c>
      <c r="AC737" s="1401">
        <f t="shared" si="237"/>
        <v>1672528.0454316733</v>
      </c>
      <c r="AD737" s="1401">
        <f t="shared" si="238"/>
        <v>1672528.0454316733</v>
      </c>
      <c r="AE737" s="1401">
        <f t="shared" si="239"/>
        <v>1672528.0454316733</v>
      </c>
      <c r="AF737" s="1401">
        <f t="shared" si="240"/>
        <v>1672528.0454316733</v>
      </c>
      <c r="AG737" s="1479">
        <f t="shared" si="241"/>
        <v>1672528.0454316733</v>
      </c>
      <c r="AH737" s="1479">
        <f t="shared" si="244"/>
        <v>1672528.0454316733</v>
      </c>
      <c r="AI737" s="1479">
        <f t="shared" si="245"/>
        <v>13380224.363453386</v>
      </c>
      <c r="AJ737" s="1401">
        <f t="shared" si="242"/>
        <v>70246177.908130273</v>
      </c>
    </row>
    <row r="738" spans="1:36" s="1390" customFormat="1" ht="29" customHeight="1" x14ac:dyDescent="0.2">
      <c r="A738" s="1390" t="s">
        <v>4902</v>
      </c>
      <c r="B738" s="1472" t="e">
        <f t="shared" si="249"/>
        <v>#N/A</v>
      </c>
      <c r="C738" s="1478" t="e">
        <f>RIGHT(#REF!,1)</f>
        <v>#REF!</v>
      </c>
      <c r="D738" s="1426"/>
      <c r="E738" s="1429" t="s">
        <v>1268</v>
      </c>
      <c r="F738" s="1539"/>
      <c r="G738" s="1416" t="s">
        <v>3826</v>
      </c>
      <c r="H738" s="1508"/>
      <c r="I738" s="1416" t="s">
        <v>272</v>
      </c>
      <c r="J738" s="1512"/>
      <c r="K738" s="1416"/>
      <c r="L738" s="1500"/>
      <c r="M738" s="1429" t="s">
        <v>3161</v>
      </c>
      <c r="N738" s="1416">
        <v>2012</v>
      </c>
      <c r="O738" s="1414"/>
      <c r="P738" s="1414"/>
      <c r="Q738" s="1414"/>
      <c r="R738" s="1416" t="s">
        <v>12</v>
      </c>
      <c r="S738" s="1529">
        <v>76115535.321222559</v>
      </c>
      <c r="T738" s="1416" t="s">
        <v>43</v>
      </c>
      <c r="U738" s="1427"/>
      <c r="V738" s="1477"/>
      <c r="W738" s="1478" t="str">
        <f t="shared" si="231"/>
        <v>04.13.02</v>
      </c>
      <c r="X738" s="1478" t="str">
        <f t="shared" si="232"/>
        <v>Jembatan</v>
      </c>
      <c r="Y738" s="1478">
        <f t="shared" si="233"/>
        <v>50</v>
      </c>
      <c r="Z738" s="1401">
        <f t="shared" si="234"/>
        <v>1522310.7064244512</v>
      </c>
      <c r="AA738" s="1444">
        <f t="shared" si="235"/>
        <v>2</v>
      </c>
      <c r="AB738" s="1401">
        <f t="shared" si="236"/>
        <v>3044621.4128489024</v>
      </c>
      <c r="AC738" s="1401">
        <f t="shared" si="237"/>
        <v>1522310.7064244512</v>
      </c>
      <c r="AD738" s="1401">
        <f t="shared" si="238"/>
        <v>1522310.7064244512</v>
      </c>
      <c r="AE738" s="1401">
        <f t="shared" si="239"/>
        <v>1522310.7064244512</v>
      </c>
      <c r="AF738" s="1401">
        <f t="shared" si="240"/>
        <v>1522310.7064244512</v>
      </c>
      <c r="AG738" s="1479">
        <f t="shared" si="241"/>
        <v>1522310.7064244512</v>
      </c>
      <c r="AH738" s="1479">
        <f t="shared" si="244"/>
        <v>1522310.7064244512</v>
      </c>
      <c r="AI738" s="1479">
        <f t="shared" si="245"/>
        <v>12178485.651395608</v>
      </c>
      <c r="AJ738" s="1401">
        <f t="shared" si="242"/>
        <v>63937049.669826955</v>
      </c>
    </row>
    <row r="739" spans="1:36" s="1390" customFormat="1" ht="29" customHeight="1" x14ac:dyDescent="0.2">
      <c r="A739" s="1390" t="s">
        <v>4902</v>
      </c>
      <c r="B739" s="1472" t="e">
        <f t="shared" si="249"/>
        <v>#N/A</v>
      </c>
      <c r="C739" s="1478" t="e">
        <f>RIGHT(#REF!,1)</f>
        <v>#REF!</v>
      </c>
      <c r="D739" s="1426"/>
      <c r="E739" s="1429" t="s">
        <v>1237</v>
      </c>
      <c r="F739" s="1539"/>
      <c r="G739" s="1416" t="s">
        <v>3824</v>
      </c>
      <c r="H739" s="1508"/>
      <c r="I739" s="1416" t="s">
        <v>835</v>
      </c>
      <c r="J739" s="1512"/>
      <c r="K739" s="1416"/>
      <c r="L739" s="1500"/>
      <c r="M739" s="1429" t="s">
        <v>3142</v>
      </c>
      <c r="N739" s="1416">
        <v>2012</v>
      </c>
      <c r="O739" s="1414"/>
      <c r="P739" s="1414"/>
      <c r="Q739" s="1414"/>
      <c r="R739" s="1416" t="s">
        <v>12</v>
      </c>
      <c r="S739" s="1529">
        <v>8087400</v>
      </c>
      <c r="T739" s="1416" t="s">
        <v>43</v>
      </c>
      <c r="U739" s="1427"/>
      <c r="V739" s="1477"/>
      <c r="W739" s="1478" t="str">
        <f t="shared" si="231"/>
        <v>04.13.02</v>
      </c>
      <c r="X739" s="1478" t="str">
        <f t="shared" si="232"/>
        <v>Jembatan</v>
      </c>
      <c r="Y739" s="1478">
        <f t="shared" si="233"/>
        <v>50</v>
      </c>
      <c r="Z739" s="1401">
        <f t="shared" si="234"/>
        <v>161748</v>
      </c>
      <c r="AA739" s="1444">
        <f t="shared" si="235"/>
        <v>2</v>
      </c>
      <c r="AB739" s="1401">
        <f t="shared" si="236"/>
        <v>323496</v>
      </c>
      <c r="AC739" s="1401">
        <f t="shared" si="237"/>
        <v>161748</v>
      </c>
      <c r="AD739" s="1401">
        <f t="shared" si="238"/>
        <v>161748</v>
      </c>
      <c r="AE739" s="1401">
        <f t="shared" si="239"/>
        <v>161748</v>
      </c>
      <c r="AF739" s="1401">
        <f t="shared" si="240"/>
        <v>161748</v>
      </c>
      <c r="AG739" s="1479">
        <f t="shared" si="241"/>
        <v>161748</v>
      </c>
      <c r="AH739" s="1479">
        <f t="shared" si="244"/>
        <v>161748</v>
      </c>
      <c r="AI739" s="1479">
        <f t="shared" si="245"/>
        <v>1293984</v>
      </c>
      <c r="AJ739" s="1401">
        <f t="shared" si="242"/>
        <v>6793416</v>
      </c>
    </row>
    <row r="740" spans="1:36" s="1390" customFormat="1" ht="29" customHeight="1" x14ac:dyDescent="0.2">
      <c r="A740" s="1390" t="s">
        <v>4902</v>
      </c>
      <c r="B740" s="1472" t="e">
        <f t="shared" si="249"/>
        <v>#N/A</v>
      </c>
      <c r="C740" s="1478" t="e">
        <f>RIGHT(#REF!,1)</f>
        <v>#REF!</v>
      </c>
      <c r="D740" s="1426"/>
      <c r="E740" s="1429" t="s">
        <v>1238</v>
      </c>
      <c r="F740" s="1539"/>
      <c r="G740" s="1416" t="s">
        <v>3824</v>
      </c>
      <c r="H740" s="1508"/>
      <c r="I740" s="1416" t="s">
        <v>835</v>
      </c>
      <c r="J740" s="1512"/>
      <c r="K740" s="1416"/>
      <c r="L740" s="1500"/>
      <c r="M740" s="1429" t="s">
        <v>2565</v>
      </c>
      <c r="N740" s="1416">
        <v>2012</v>
      </c>
      <c r="O740" s="1414"/>
      <c r="P740" s="1414"/>
      <c r="Q740" s="1414"/>
      <c r="R740" s="1416" t="s">
        <v>12</v>
      </c>
      <c r="S740" s="1529">
        <v>1131370695.543797</v>
      </c>
      <c r="T740" s="1416" t="s">
        <v>43</v>
      </c>
      <c r="U740" s="1427"/>
      <c r="V740" s="1477"/>
      <c r="W740" s="1478" t="str">
        <f t="shared" si="231"/>
        <v>04.13.02</v>
      </c>
      <c r="X740" s="1478" t="str">
        <f t="shared" si="232"/>
        <v>Jembatan</v>
      </c>
      <c r="Y740" s="1478">
        <f t="shared" si="233"/>
        <v>50</v>
      </c>
      <c r="Z740" s="1401">
        <f t="shared" si="234"/>
        <v>22627413.910875939</v>
      </c>
      <c r="AA740" s="1444">
        <f t="shared" si="235"/>
        <v>2</v>
      </c>
      <c r="AB740" s="1401">
        <f t="shared" si="236"/>
        <v>45254827.821751878</v>
      </c>
      <c r="AC740" s="1401">
        <f t="shared" si="237"/>
        <v>22627413.910875939</v>
      </c>
      <c r="AD740" s="1401">
        <f t="shared" si="238"/>
        <v>22627413.910875939</v>
      </c>
      <c r="AE740" s="1401">
        <f t="shared" si="239"/>
        <v>22627413.910875939</v>
      </c>
      <c r="AF740" s="1401">
        <f t="shared" si="240"/>
        <v>22627413.910875939</v>
      </c>
      <c r="AG740" s="1479">
        <f t="shared" si="241"/>
        <v>22627413.910875939</v>
      </c>
      <c r="AH740" s="1479">
        <f t="shared" si="244"/>
        <v>22627413.910875939</v>
      </c>
      <c r="AI740" s="1479">
        <f t="shared" si="245"/>
        <v>181019311.28700754</v>
      </c>
      <c r="AJ740" s="1401">
        <f t="shared" si="242"/>
        <v>950351384.25678945</v>
      </c>
    </row>
    <row r="741" spans="1:36" s="1390" customFormat="1" ht="29" customHeight="1" x14ac:dyDescent="0.2">
      <c r="A741" s="1390" t="s">
        <v>4902</v>
      </c>
      <c r="B741" s="1472" t="e">
        <f t="shared" si="249"/>
        <v>#N/A</v>
      </c>
      <c r="C741" s="1478" t="e">
        <f>RIGHT(#REF!,1)</f>
        <v>#REF!</v>
      </c>
      <c r="D741" s="1426"/>
      <c r="E741" s="1429" t="s">
        <v>1269</v>
      </c>
      <c r="F741" s="1539"/>
      <c r="G741" s="1416" t="s">
        <v>3826</v>
      </c>
      <c r="H741" s="1508"/>
      <c r="I741" s="1416" t="s">
        <v>272</v>
      </c>
      <c r="J741" s="1512"/>
      <c r="K741" s="1416"/>
      <c r="L741" s="1500"/>
      <c r="M741" s="1429" t="s">
        <v>3162</v>
      </c>
      <c r="N741" s="1416">
        <v>2012</v>
      </c>
      <c r="O741" s="1414"/>
      <c r="P741" s="1414"/>
      <c r="Q741" s="1414"/>
      <c r="R741" s="1416" t="s">
        <v>12</v>
      </c>
      <c r="S741" s="1529">
        <v>102755972.83967289</v>
      </c>
      <c r="T741" s="1416" t="s">
        <v>43</v>
      </c>
      <c r="U741" s="1427"/>
      <c r="V741" s="1477"/>
      <c r="W741" s="1478" t="str">
        <f t="shared" si="231"/>
        <v>04.13.02</v>
      </c>
      <c r="X741" s="1478" t="str">
        <f t="shared" si="232"/>
        <v>Jembatan</v>
      </c>
      <c r="Y741" s="1478">
        <f t="shared" si="233"/>
        <v>50</v>
      </c>
      <c r="Z741" s="1401">
        <f t="shared" si="234"/>
        <v>2055119.456793458</v>
      </c>
      <c r="AA741" s="1444">
        <f t="shared" si="235"/>
        <v>2</v>
      </c>
      <c r="AB741" s="1401">
        <f t="shared" si="236"/>
        <v>4110238.9135869159</v>
      </c>
      <c r="AC741" s="1401">
        <f t="shared" si="237"/>
        <v>2055119.456793458</v>
      </c>
      <c r="AD741" s="1401">
        <f t="shared" si="238"/>
        <v>2055119.456793458</v>
      </c>
      <c r="AE741" s="1401">
        <f t="shared" si="239"/>
        <v>2055119.456793458</v>
      </c>
      <c r="AF741" s="1401">
        <f t="shared" si="240"/>
        <v>2055119.456793458</v>
      </c>
      <c r="AG741" s="1479">
        <f t="shared" si="241"/>
        <v>2055119.456793458</v>
      </c>
      <c r="AH741" s="1479">
        <f t="shared" si="244"/>
        <v>2055119.456793458</v>
      </c>
      <c r="AI741" s="1479">
        <f t="shared" si="245"/>
        <v>16440955.654347662</v>
      </c>
      <c r="AJ741" s="1401">
        <f t="shared" si="242"/>
        <v>86315017.185325235</v>
      </c>
    </row>
    <row r="742" spans="1:36" s="1390" customFormat="1" ht="29" customHeight="1" x14ac:dyDescent="0.2">
      <c r="A742" s="1390" t="s">
        <v>4902</v>
      </c>
      <c r="B742" s="1472" t="e">
        <f t="shared" si="249"/>
        <v>#N/A</v>
      </c>
      <c r="C742" s="1478" t="e">
        <f>RIGHT(#REF!,1)</f>
        <v>#REF!</v>
      </c>
      <c r="D742" s="1426"/>
      <c r="E742" s="1429" t="s">
        <v>1271</v>
      </c>
      <c r="F742" s="1539"/>
      <c r="G742" s="1416" t="s">
        <v>3824</v>
      </c>
      <c r="H742" s="1508"/>
      <c r="I742" s="1416" t="s">
        <v>835</v>
      </c>
      <c r="J742" s="1512"/>
      <c r="K742" s="1416"/>
      <c r="L742" s="1500"/>
      <c r="M742" s="1429" t="s">
        <v>3164</v>
      </c>
      <c r="N742" s="1416">
        <v>2012</v>
      </c>
      <c r="O742" s="1414"/>
      <c r="P742" s="1414"/>
      <c r="Q742" s="1414"/>
      <c r="R742" s="1416" t="s">
        <v>12</v>
      </c>
      <c r="S742" s="1529">
        <v>61843579.711400554</v>
      </c>
      <c r="T742" s="1416" t="s">
        <v>43</v>
      </c>
      <c r="U742" s="1427"/>
      <c r="V742" s="1477"/>
      <c r="W742" s="1478" t="str">
        <f t="shared" si="231"/>
        <v>04.13.02</v>
      </c>
      <c r="X742" s="1478" t="str">
        <f t="shared" si="232"/>
        <v>Jembatan</v>
      </c>
      <c r="Y742" s="1478">
        <f t="shared" si="233"/>
        <v>50</v>
      </c>
      <c r="Z742" s="1401">
        <f t="shared" si="234"/>
        <v>1236871.5942280111</v>
      </c>
      <c r="AA742" s="1444">
        <f t="shared" si="235"/>
        <v>2</v>
      </c>
      <c r="AB742" s="1401">
        <f t="shared" si="236"/>
        <v>2473743.1884560222</v>
      </c>
      <c r="AC742" s="1401">
        <f t="shared" si="237"/>
        <v>1236871.5942280111</v>
      </c>
      <c r="AD742" s="1401">
        <f t="shared" si="238"/>
        <v>1236871.5942280111</v>
      </c>
      <c r="AE742" s="1401">
        <f t="shared" si="239"/>
        <v>1236871.5942280111</v>
      </c>
      <c r="AF742" s="1401">
        <f t="shared" si="240"/>
        <v>1236871.5942280111</v>
      </c>
      <c r="AG742" s="1479">
        <f t="shared" si="241"/>
        <v>1236871.5942280111</v>
      </c>
      <c r="AH742" s="1479">
        <f t="shared" si="244"/>
        <v>1236871.5942280111</v>
      </c>
      <c r="AI742" s="1479">
        <f t="shared" si="245"/>
        <v>9894972.7538240869</v>
      </c>
      <c r="AJ742" s="1401">
        <f t="shared" si="242"/>
        <v>51948606.957576469</v>
      </c>
    </row>
    <row r="743" spans="1:36" s="1390" customFormat="1" ht="29" customHeight="1" x14ac:dyDescent="0.2">
      <c r="A743" s="1390" t="s">
        <v>4902</v>
      </c>
      <c r="B743" s="1472" t="e">
        <f t="shared" si="249"/>
        <v>#N/A</v>
      </c>
      <c r="C743" s="1478" t="e">
        <f>RIGHT(#REF!,1)</f>
        <v>#REF!</v>
      </c>
      <c r="D743" s="1426"/>
      <c r="E743" s="1429" t="s">
        <v>1287</v>
      </c>
      <c r="F743" s="1539"/>
      <c r="G743" s="1416" t="s">
        <v>3824</v>
      </c>
      <c r="H743" s="1508"/>
      <c r="I743" s="1416" t="s">
        <v>840</v>
      </c>
      <c r="J743" s="1512"/>
      <c r="K743" s="1416"/>
      <c r="L743" s="1500"/>
      <c r="M743" s="1429" t="s">
        <v>746</v>
      </c>
      <c r="N743" s="1416">
        <v>2013</v>
      </c>
      <c r="O743" s="1414"/>
      <c r="P743" s="1414"/>
      <c r="Q743" s="1414"/>
      <c r="R743" s="1416" t="s">
        <v>12</v>
      </c>
      <c r="S743" s="1529">
        <v>8623468047</v>
      </c>
      <c r="T743" s="1416"/>
      <c r="U743" s="1427"/>
      <c r="V743" s="1477"/>
      <c r="W743" s="1478" t="str">
        <f t="shared" ref="W743:W751" si="250">LEFT(G743,8)</f>
        <v>04.13.02</v>
      </c>
      <c r="X743" s="1478" t="str">
        <f t="shared" ref="X743:X751" si="251">VLOOKUP(W743,UE,3,FALSE)</f>
        <v>Jembatan</v>
      </c>
      <c r="Y743" s="1478">
        <f t="shared" ref="Y743:Y752" si="252">VLOOKUP(W743,UE,4,FALSE)</f>
        <v>50</v>
      </c>
      <c r="Z743" s="1401">
        <f t="shared" ref="Z743:Z752" si="253">S743/Y743</f>
        <v>172469360.94</v>
      </c>
      <c r="AA743" s="1444">
        <f t="shared" ref="AA743:AA752" si="254">IF(2013-N743+1&gt;Y743,Y743,IF(2013-N743+1&lt;0,0,2013-N743+1))</f>
        <v>1</v>
      </c>
      <c r="AB743" s="1401">
        <f t="shared" ref="AB743:AB751" si="255">IF(AA743&gt;Y743,S743,Z743*AA743)</f>
        <v>172469360.94</v>
      </c>
      <c r="AC743" s="1401">
        <f>IF(S743=AB743,0,Z743)</f>
        <v>172469360.94</v>
      </c>
      <c r="AD743" s="1401">
        <f t="shared" ref="AD743:AD750" si="256">IF(S743=AB743+AC743,0,Z743)</f>
        <v>172469360.94</v>
      </c>
      <c r="AE743" s="1401">
        <f t="shared" ref="AE743:AE750" si="257">IF(S743=AB743+AC743+AD743,0,Z743)</f>
        <v>172469360.94</v>
      </c>
      <c r="AF743" s="1401">
        <f t="shared" ref="AF743:AF750" si="258">IF(S743=AC743+AD743+AE743+AB743,0,Z743)</f>
        <v>172469360.94</v>
      </c>
      <c r="AG743" s="1479">
        <f t="shared" ref="AG743:AG750" si="259">IF(S743=AC743+AD743+AE743+AB743+AF743,0,Z743)</f>
        <v>172469360.94</v>
      </c>
      <c r="AH743" s="1479">
        <f>IF(S743=AC743+AD743+AE743+AB743+AF743+AG743,0,Z743)</f>
        <v>172469360.94</v>
      </c>
      <c r="AI743" s="1479">
        <f t="shared" si="245"/>
        <v>1207285526.5800002</v>
      </c>
      <c r="AJ743" s="1401">
        <f t="shared" ref="AJ743:AJ751" si="260">S743-AI743</f>
        <v>7416182520.4200001</v>
      </c>
    </row>
    <row r="744" spans="1:36" s="1390" customFormat="1" ht="29" customHeight="1" x14ac:dyDescent="0.2">
      <c r="A744" s="1390" t="s">
        <v>4902</v>
      </c>
      <c r="B744" s="1472" t="e">
        <f t="shared" si="249"/>
        <v>#N/A</v>
      </c>
      <c r="C744" s="1478" t="e">
        <f>RIGHT(#REF!,1)</f>
        <v>#REF!</v>
      </c>
      <c r="D744" s="1426"/>
      <c r="E744" s="1429" t="s">
        <v>1288</v>
      </c>
      <c r="F744" s="1539"/>
      <c r="G744" s="1416" t="s">
        <v>3824</v>
      </c>
      <c r="H744" s="1508"/>
      <c r="I744" s="1416" t="s">
        <v>840</v>
      </c>
      <c r="J744" s="1512"/>
      <c r="K744" s="1416"/>
      <c r="L744" s="1500"/>
      <c r="M744" s="1429" t="s">
        <v>3176</v>
      </c>
      <c r="N744" s="1416">
        <v>2013</v>
      </c>
      <c r="O744" s="1414"/>
      <c r="P744" s="1414"/>
      <c r="Q744" s="1414"/>
      <c r="R744" s="1416" t="s">
        <v>12</v>
      </c>
      <c r="S744" s="1529">
        <v>2280941691</v>
      </c>
      <c r="T744" s="1416"/>
      <c r="U744" s="1427"/>
      <c r="V744" s="1477"/>
      <c r="W744" s="1478" t="str">
        <f t="shared" si="250"/>
        <v>04.13.02</v>
      </c>
      <c r="X744" s="1478" t="str">
        <f t="shared" si="251"/>
        <v>Jembatan</v>
      </c>
      <c r="Y744" s="1478">
        <f t="shared" si="252"/>
        <v>50</v>
      </c>
      <c r="Z744" s="1401">
        <f t="shared" si="253"/>
        <v>45618833.82</v>
      </c>
      <c r="AA744" s="1444">
        <f t="shared" si="254"/>
        <v>1</v>
      </c>
      <c r="AB744" s="1401">
        <f t="shared" si="255"/>
        <v>45618833.82</v>
      </c>
      <c r="AC744" s="1401">
        <f>IF(S744=AB744,0,Z744)</f>
        <v>45618833.82</v>
      </c>
      <c r="AD744" s="1401">
        <f t="shared" si="256"/>
        <v>45618833.82</v>
      </c>
      <c r="AE744" s="1401">
        <f t="shared" si="257"/>
        <v>45618833.82</v>
      </c>
      <c r="AF744" s="1401">
        <f t="shared" si="258"/>
        <v>45618833.82</v>
      </c>
      <c r="AG744" s="1479">
        <f t="shared" si="259"/>
        <v>45618833.82</v>
      </c>
      <c r="AH744" s="1479">
        <f>IF(S744=AC744+AD744+AE744+AB744+AF744+AG744,0,Z744)</f>
        <v>45618833.82</v>
      </c>
      <c r="AI744" s="1479">
        <f t="shared" si="245"/>
        <v>319331836.74000001</v>
      </c>
      <c r="AJ744" s="1401">
        <f t="shared" si="260"/>
        <v>1961609854.26</v>
      </c>
    </row>
    <row r="745" spans="1:36" s="1390" customFormat="1" ht="29" customHeight="1" x14ac:dyDescent="0.2">
      <c r="A745" s="1390" t="s">
        <v>4902</v>
      </c>
      <c r="B745" s="1472" t="e">
        <f t="shared" si="249"/>
        <v>#N/A</v>
      </c>
      <c r="C745" s="1478" t="e">
        <f>RIGHT(#REF!,1)</f>
        <v>#REF!</v>
      </c>
      <c r="D745" s="1426"/>
      <c r="E745" s="1429" t="s">
        <v>1289</v>
      </c>
      <c r="F745" s="1539"/>
      <c r="G745" s="1416" t="s">
        <v>3824</v>
      </c>
      <c r="H745" s="1508"/>
      <c r="I745" s="1416" t="s">
        <v>840</v>
      </c>
      <c r="J745" s="1512"/>
      <c r="K745" s="1416"/>
      <c r="L745" s="1500"/>
      <c r="M745" s="1429" t="s">
        <v>3014</v>
      </c>
      <c r="N745" s="1416">
        <v>2013</v>
      </c>
      <c r="O745" s="1414"/>
      <c r="P745" s="1414"/>
      <c r="Q745" s="1414"/>
      <c r="R745" s="1416" t="s">
        <v>12</v>
      </c>
      <c r="S745" s="1529">
        <v>2104052688</v>
      </c>
      <c r="T745" s="1416"/>
      <c r="U745" s="1427"/>
      <c r="V745" s="1477"/>
      <c r="W745" s="1478" t="str">
        <f t="shared" si="250"/>
        <v>04.13.02</v>
      </c>
      <c r="X745" s="1478" t="str">
        <f t="shared" si="251"/>
        <v>Jembatan</v>
      </c>
      <c r="Y745" s="1478">
        <f t="shared" si="252"/>
        <v>50</v>
      </c>
      <c r="Z745" s="1401">
        <f t="shared" si="253"/>
        <v>42081053.759999998</v>
      </c>
      <c r="AA745" s="1444">
        <f t="shared" si="254"/>
        <v>1</v>
      </c>
      <c r="AB745" s="1401">
        <f t="shared" si="255"/>
        <v>42081053.759999998</v>
      </c>
      <c r="AC745" s="1401">
        <f>IF(S745=AB745,0,Z745)</f>
        <v>42081053.759999998</v>
      </c>
      <c r="AD745" s="1401">
        <f t="shared" si="256"/>
        <v>42081053.759999998</v>
      </c>
      <c r="AE745" s="1401">
        <f t="shared" si="257"/>
        <v>42081053.759999998</v>
      </c>
      <c r="AF745" s="1401">
        <f t="shared" si="258"/>
        <v>42081053.759999998</v>
      </c>
      <c r="AG745" s="1479">
        <f t="shared" si="259"/>
        <v>42081053.759999998</v>
      </c>
      <c r="AH745" s="1479">
        <f t="shared" ref="AH745:AH752" si="261">IF(S745=AC745+AD745+AE745+AB745+AF745+AG745,0,Z745)</f>
        <v>42081053.759999998</v>
      </c>
      <c r="AI745" s="1479">
        <f t="shared" ref="AI745:AI752" si="262">SUM(AB745:AH745)</f>
        <v>294567376.31999999</v>
      </c>
      <c r="AJ745" s="1401">
        <f t="shared" si="260"/>
        <v>1809485311.6800001</v>
      </c>
    </row>
    <row r="746" spans="1:36" s="1390" customFormat="1" ht="29" customHeight="1" x14ac:dyDescent="0.2">
      <c r="A746" s="1390" t="s">
        <v>4902</v>
      </c>
      <c r="B746" s="1472" t="e">
        <f t="shared" si="249"/>
        <v>#N/A</v>
      </c>
      <c r="C746" s="1478" t="e">
        <f>RIGHT(#REF!,1)</f>
        <v>#REF!</v>
      </c>
      <c r="D746" s="1426"/>
      <c r="E746" s="1429" t="s">
        <v>1424</v>
      </c>
      <c r="F746" s="1529"/>
      <c r="G746" s="1501" t="s">
        <v>3824</v>
      </c>
      <c r="H746" s="1501"/>
      <c r="I746" s="1414"/>
      <c r="J746" s="1540"/>
      <c r="K746" s="1416"/>
      <c r="L746" s="1430"/>
      <c r="M746" s="1429" t="s">
        <v>3249</v>
      </c>
      <c r="N746" s="1501">
        <v>2015</v>
      </c>
      <c r="O746" s="1414"/>
      <c r="P746" s="1414"/>
      <c r="Q746" s="1414"/>
      <c r="R746" s="1501" t="s">
        <v>12</v>
      </c>
      <c r="S746" s="1527">
        <v>2539770681</v>
      </c>
      <c r="T746" s="1528"/>
      <c r="U746" s="1575"/>
      <c r="V746" s="1490"/>
      <c r="W746" s="1478" t="str">
        <f t="shared" si="250"/>
        <v>04.13.02</v>
      </c>
      <c r="X746" s="1478" t="str">
        <f t="shared" si="251"/>
        <v>Jembatan</v>
      </c>
      <c r="Y746" s="1478">
        <f t="shared" si="252"/>
        <v>50</v>
      </c>
      <c r="Z746" s="1401">
        <f t="shared" si="253"/>
        <v>50795413.619999997</v>
      </c>
      <c r="AA746" s="1444">
        <f t="shared" si="254"/>
        <v>0</v>
      </c>
      <c r="AB746" s="1401">
        <f t="shared" si="255"/>
        <v>0</v>
      </c>
      <c r="AC746" s="1401">
        <v>0</v>
      </c>
      <c r="AD746" s="1401">
        <f t="shared" si="256"/>
        <v>50795413.619999997</v>
      </c>
      <c r="AE746" s="1401">
        <f t="shared" si="257"/>
        <v>50795413.619999997</v>
      </c>
      <c r="AF746" s="1401">
        <f t="shared" si="258"/>
        <v>50795413.619999997</v>
      </c>
      <c r="AG746" s="1479">
        <f t="shared" si="259"/>
        <v>50795413.619999997</v>
      </c>
      <c r="AH746" s="1479">
        <f t="shared" si="261"/>
        <v>50795413.619999997</v>
      </c>
      <c r="AI746" s="1479">
        <f t="shared" si="262"/>
        <v>253977068.09999999</v>
      </c>
      <c r="AJ746" s="1401">
        <f t="shared" si="260"/>
        <v>2285793612.9000001</v>
      </c>
    </row>
    <row r="747" spans="1:36" s="1390" customFormat="1" ht="29" customHeight="1" x14ac:dyDescent="0.2">
      <c r="A747" s="1390" t="s">
        <v>4902</v>
      </c>
      <c r="B747" s="1472" t="e">
        <f t="shared" si="249"/>
        <v>#N/A</v>
      </c>
      <c r="C747" s="1478" t="e">
        <f>RIGHT(#REF!,1)</f>
        <v>#REF!</v>
      </c>
      <c r="D747" s="1426"/>
      <c r="E747" s="1429" t="s">
        <v>1380</v>
      </c>
      <c r="F747" s="1529"/>
      <c r="G747" s="1501" t="s">
        <v>3824</v>
      </c>
      <c r="H747" s="1501"/>
      <c r="I747" s="1414"/>
      <c r="J747" s="1540"/>
      <c r="K747" s="1416"/>
      <c r="L747" s="1430"/>
      <c r="M747" s="1429" t="s">
        <v>3225</v>
      </c>
      <c r="N747" s="1501">
        <v>2015</v>
      </c>
      <c r="O747" s="1414"/>
      <c r="P747" s="1414"/>
      <c r="Q747" s="1414"/>
      <c r="R747" s="1501" t="s">
        <v>12</v>
      </c>
      <c r="S747" s="1527">
        <v>1855632664.2</v>
      </c>
      <c r="T747" s="1528"/>
      <c r="U747" s="1575"/>
      <c r="V747" s="1490"/>
      <c r="W747" s="1478" t="str">
        <f t="shared" si="250"/>
        <v>04.13.02</v>
      </c>
      <c r="X747" s="1478" t="str">
        <f t="shared" si="251"/>
        <v>Jembatan</v>
      </c>
      <c r="Y747" s="1478">
        <f t="shared" si="252"/>
        <v>50</v>
      </c>
      <c r="Z747" s="1401">
        <f t="shared" si="253"/>
        <v>37112653.284000002</v>
      </c>
      <c r="AA747" s="1444">
        <f t="shared" si="254"/>
        <v>0</v>
      </c>
      <c r="AB747" s="1401">
        <f t="shared" si="255"/>
        <v>0</v>
      </c>
      <c r="AC747" s="1401">
        <v>0</v>
      </c>
      <c r="AD747" s="1401">
        <f t="shared" si="256"/>
        <v>37112653.284000002</v>
      </c>
      <c r="AE747" s="1401">
        <f t="shared" si="257"/>
        <v>37112653.284000002</v>
      </c>
      <c r="AF747" s="1401">
        <f t="shared" si="258"/>
        <v>37112653.284000002</v>
      </c>
      <c r="AG747" s="1479">
        <f t="shared" si="259"/>
        <v>37112653.284000002</v>
      </c>
      <c r="AH747" s="1479">
        <f t="shared" si="261"/>
        <v>37112653.284000002</v>
      </c>
      <c r="AI747" s="1479">
        <f t="shared" si="262"/>
        <v>185563266.42000002</v>
      </c>
      <c r="AJ747" s="1401">
        <f t="shared" si="260"/>
        <v>1670069397.78</v>
      </c>
    </row>
    <row r="748" spans="1:36" s="1390" customFormat="1" ht="29" customHeight="1" x14ac:dyDescent="0.2">
      <c r="A748" s="1390" t="s">
        <v>4902</v>
      </c>
      <c r="B748" s="1472" t="e">
        <f t="shared" si="249"/>
        <v>#N/A</v>
      </c>
      <c r="C748" s="1478" t="e">
        <f>RIGHT(#REF!,1)</f>
        <v>#REF!</v>
      </c>
      <c r="D748" s="1426"/>
      <c r="E748" s="1429" t="s">
        <v>1385</v>
      </c>
      <c r="F748" s="1529"/>
      <c r="G748" s="1501" t="s">
        <v>3824</v>
      </c>
      <c r="H748" s="1501"/>
      <c r="I748" s="1414"/>
      <c r="J748" s="1540"/>
      <c r="K748" s="1416"/>
      <c r="L748" s="1430"/>
      <c r="M748" s="1429" t="s">
        <v>3228</v>
      </c>
      <c r="N748" s="1501">
        <v>2015</v>
      </c>
      <c r="O748" s="1414"/>
      <c r="P748" s="1414"/>
      <c r="Q748" s="1414"/>
      <c r="R748" s="1501" t="s">
        <v>12</v>
      </c>
      <c r="S748" s="1527">
        <v>2023879506</v>
      </c>
      <c r="T748" s="1528"/>
      <c r="U748" s="1575"/>
      <c r="V748" s="1490"/>
      <c r="W748" s="1478" t="str">
        <f t="shared" si="250"/>
        <v>04.13.02</v>
      </c>
      <c r="X748" s="1478" t="str">
        <f t="shared" si="251"/>
        <v>Jembatan</v>
      </c>
      <c r="Y748" s="1478">
        <f t="shared" si="252"/>
        <v>50</v>
      </c>
      <c r="Z748" s="1401">
        <f t="shared" si="253"/>
        <v>40477590.119999997</v>
      </c>
      <c r="AA748" s="1444">
        <f t="shared" si="254"/>
        <v>0</v>
      </c>
      <c r="AB748" s="1401">
        <f t="shared" si="255"/>
        <v>0</v>
      </c>
      <c r="AC748" s="1401">
        <v>0</v>
      </c>
      <c r="AD748" s="1401">
        <f t="shared" si="256"/>
        <v>40477590.119999997</v>
      </c>
      <c r="AE748" s="1401">
        <f t="shared" si="257"/>
        <v>40477590.119999997</v>
      </c>
      <c r="AF748" s="1401">
        <f t="shared" si="258"/>
        <v>40477590.119999997</v>
      </c>
      <c r="AG748" s="1479">
        <f t="shared" si="259"/>
        <v>40477590.119999997</v>
      </c>
      <c r="AH748" s="1479">
        <f t="shared" si="261"/>
        <v>40477590.119999997</v>
      </c>
      <c r="AI748" s="1479">
        <f t="shared" si="262"/>
        <v>202387950.59999999</v>
      </c>
      <c r="AJ748" s="1401">
        <f t="shared" si="260"/>
        <v>1821491555.4000001</v>
      </c>
    </row>
    <row r="749" spans="1:36" s="1390" customFormat="1" ht="29" customHeight="1" x14ac:dyDescent="0.2">
      <c r="A749" s="1390" t="s">
        <v>4902</v>
      </c>
      <c r="B749" s="1472" t="e">
        <f t="shared" si="249"/>
        <v>#N/A</v>
      </c>
      <c r="C749" s="1478" t="e">
        <f>RIGHT(#REF!,1)</f>
        <v>#REF!</v>
      </c>
      <c r="D749" s="1426"/>
      <c r="E749" s="1429" t="s">
        <v>1379</v>
      </c>
      <c r="F749" s="1529"/>
      <c r="G749" s="1501" t="s">
        <v>3824</v>
      </c>
      <c r="H749" s="1501"/>
      <c r="I749" s="1414"/>
      <c r="J749" s="1540"/>
      <c r="K749" s="1416"/>
      <c r="L749" s="1430"/>
      <c r="M749" s="1429" t="s">
        <v>3224</v>
      </c>
      <c r="N749" s="1501">
        <v>2015</v>
      </c>
      <c r="O749" s="1414"/>
      <c r="P749" s="1414"/>
      <c r="Q749" s="1414"/>
      <c r="R749" s="1501" t="s">
        <v>12</v>
      </c>
      <c r="S749" s="1527">
        <v>2361312163</v>
      </c>
      <c r="T749" s="1528"/>
      <c r="U749" s="1575"/>
      <c r="V749" s="1490"/>
      <c r="W749" s="1478" t="str">
        <f t="shared" si="250"/>
        <v>04.13.02</v>
      </c>
      <c r="X749" s="1478" t="str">
        <f t="shared" si="251"/>
        <v>Jembatan</v>
      </c>
      <c r="Y749" s="1478">
        <f t="shared" si="252"/>
        <v>50</v>
      </c>
      <c r="Z749" s="1401">
        <f t="shared" si="253"/>
        <v>47226243.259999998</v>
      </c>
      <c r="AA749" s="1444">
        <f t="shared" si="254"/>
        <v>0</v>
      </c>
      <c r="AB749" s="1401">
        <f t="shared" si="255"/>
        <v>0</v>
      </c>
      <c r="AC749" s="1401">
        <v>0</v>
      </c>
      <c r="AD749" s="1401">
        <f t="shared" si="256"/>
        <v>47226243.259999998</v>
      </c>
      <c r="AE749" s="1401">
        <f t="shared" si="257"/>
        <v>47226243.259999998</v>
      </c>
      <c r="AF749" s="1401">
        <f t="shared" si="258"/>
        <v>47226243.259999998</v>
      </c>
      <c r="AG749" s="1479">
        <f t="shared" si="259"/>
        <v>47226243.259999998</v>
      </c>
      <c r="AH749" s="1479">
        <f t="shared" si="261"/>
        <v>47226243.259999998</v>
      </c>
      <c r="AI749" s="1479">
        <f t="shared" si="262"/>
        <v>236131216.29999998</v>
      </c>
      <c r="AJ749" s="1401">
        <f t="shared" si="260"/>
        <v>2125180946.7</v>
      </c>
    </row>
    <row r="750" spans="1:36" s="1390" customFormat="1" ht="29" customHeight="1" x14ac:dyDescent="0.2">
      <c r="A750" s="1390" t="s">
        <v>4902</v>
      </c>
      <c r="B750" s="1472" t="e">
        <f t="shared" si="249"/>
        <v>#N/A</v>
      </c>
      <c r="C750" s="1478" t="e">
        <f>RIGHT(#REF!,1)</f>
        <v>#REF!</v>
      </c>
      <c r="D750" s="1426"/>
      <c r="E750" s="1429" t="s">
        <v>1384</v>
      </c>
      <c r="F750" s="1529"/>
      <c r="G750" s="1501" t="s">
        <v>3824</v>
      </c>
      <c r="H750" s="1501"/>
      <c r="I750" s="1414"/>
      <c r="J750" s="1540"/>
      <c r="K750" s="1416"/>
      <c r="L750" s="1430"/>
      <c r="M750" s="1429" t="s">
        <v>3227</v>
      </c>
      <c r="N750" s="1501">
        <v>2015</v>
      </c>
      <c r="O750" s="1414"/>
      <c r="P750" s="1414"/>
      <c r="Q750" s="1414"/>
      <c r="R750" s="1501" t="s">
        <v>12</v>
      </c>
      <c r="S750" s="1527">
        <v>2801026132</v>
      </c>
      <c r="T750" s="1528"/>
      <c r="U750" s="1575"/>
      <c r="V750" s="1490"/>
      <c r="W750" s="1478" t="str">
        <f t="shared" si="250"/>
        <v>04.13.02</v>
      </c>
      <c r="X750" s="1478" t="str">
        <f t="shared" si="251"/>
        <v>Jembatan</v>
      </c>
      <c r="Y750" s="1478">
        <f t="shared" si="252"/>
        <v>50</v>
      </c>
      <c r="Z750" s="1401">
        <f t="shared" si="253"/>
        <v>56020522.640000001</v>
      </c>
      <c r="AA750" s="1444">
        <f t="shared" si="254"/>
        <v>0</v>
      </c>
      <c r="AB750" s="1401">
        <f t="shared" si="255"/>
        <v>0</v>
      </c>
      <c r="AC750" s="1401">
        <v>0</v>
      </c>
      <c r="AD750" s="1401">
        <f t="shared" si="256"/>
        <v>56020522.640000001</v>
      </c>
      <c r="AE750" s="1401">
        <f t="shared" si="257"/>
        <v>56020522.640000001</v>
      </c>
      <c r="AF750" s="1401">
        <f t="shared" si="258"/>
        <v>56020522.640000001</v>
      </c>
      <c r="AG750" s="1479">
        <f t="shared" si="259"/>
        <v>56020522.640000001</v>
      </c>
      <c r="AH750" s="1479">
        <f t="shared" si="261"/>
        <v>56020522.640000001</v>
      </c>
      <c r="AI750" s="1479">
        <f t="shared" si="262"/>
        <v>280102613.19999999</v>
      </c>
      <c r="AJ750" s="1401">
        <f t="shared" si="260"/>
        <v>2520923518.8000002</v>
      </c>
    </row>
    <row r="751" spans="1:36" s="1390" customFormat="1" ht="29" customHeight="1" x14ac:dyDescent="0.2">
      <c r="A751" s="1390" t="s">
        <v>4902</v>
      </c>
      <c r="B751" s="1472" t="e">
        <f t="shared" si="249"/>
        <v>#N/A</v>
      </c>
      <c r="C751" s="1478" t="e">
        <f>RIGHT(#REF!,1)</f>
        <v>#REF!</v>
      </c>
      <c r="D751" s="1426"/>
      <c r="E751" s="1539" t="s">
        <v>1457</v>
      </c>
      <c r="F751" s="1529"/>
      <c r="G751" s="1501" t="s">
        <v>3824</v>
      </c>
      <c r="H751" s="1501"/>
      <c r="I751" s="1414"/>
      <c r="J751" s="1540"/>
      <c r="K751" s="1416"/>
      <c r="L751" s="1430"/>
      <c r="M751" s="1429" t="s">
        <v>3261</v>
      </c>
      <c r="N751" s="1501">
        <v>2016</v>
      </c>
      <c r="O751" s="1414"/>
      <c r="P751" s="1414"/>
      <c r="Q751" s="1414"/>
      <c r="R751" s="1501" t="s">
        <v>12</v>
      </c>
      <c r="S751" s="1527">
        <v>2201551942.5196371</v>
      </c>
      <c r="T751" s="1528"/>
      <c r="U751" s="1575"/>
      <c r="V751" s="1490"/>
      <c r="W751" s="1478" t="str">
        <f t="shared" si="250"/>
        <v>04.13.02</v>
      </c>
      <c r="X751" s="1478" t="str">
        <f t="shared" si="251"/>
        <v>Jembatan</v>
      </c>
      <c r="Y751" s="1478">
        <f t="shared" si="252"/>
        <v>50</v>
      </c>
      <c r="Z751" s="1401">
        <f t="shared" si="253"/>
        <v>44031038.850392744</v>
      </c>
      <c r="AA751" s="1444">
        <f t="shared" si="254"/>
        <v>0</v>
      </c>
      <c r="AB751" s="1401">
        <f t="shared" si="255"/>
        <v>0</v>
      </c>
      <c r="AC751" s="1401">
        <v>0</v>
      </c>
      <c r="AD751" s="1401">
        <v>0</v>
      </c>
      <c r="AE751" s="1401">
        <f>IF(S751=AB751+AC751+AD751,0,Z751)</f>
        <v>44031038.850392744</v>
      </c>
      <c r="AF751" s="1401">
        <f>IF(S751=AC751+AD751+AE751+AB751,0,Z751)</f>
        <v>44031038.850392744</v>
      </c>
      <c r="AG751" s="1479">
        <f>IF(S751=AC751+AD751+AE751+AB751+AF751,0,Z751)</f>
        <v>44031038.850392744</v>
      </c>
      <c r="AH751" s="1479">
        <f t="shared" si="261"/>
        <v>44031038.850392744</v>
      </c>
      <c r="AI751" s="1479">
        <f t="shared" si="262"/>
        <v>176124155.40157098</v>
      </c>
      <c r="AJ751" s="1401">
        <f t="shared" si="260"/>
        <v>2025427787.1180661</v>
      </c>
    </row>
    <row r="752" spans="1:36" s="1390" customFormat="1" ht="29" customHeight="1" x14ac:dyDescent="0.2">
      <c r="A752" s="1390" t="s">
        <v>4902</v>
      </c>
      <c r="B752" s="1472" t="e">
        <f>VLOOKUP(A752,RUAS,2,FALSE)</f>
        <v>#N/A</v>
      </c>
      <c r="C752" s="1478"/>
      <c r="D752" s="1426"/>
      <c r="E752" s="1539" t="s">
        <v>5753</v>
      </c>
      <c r="F752" s="1529"/>
      <c r="G752" s="1501" t="s">
        <v>3824</v>
      </c>
      <c r="H752" s="1501"/>
      <c r="I752" s="1414" t="s">
        <v>736</v>
      </c>
      <c r="J752" s="1540"/>
      <c r="K752" s="1416"/>
      <c r="L752" s="1430"/>
      <c r="M752" s="1429" t="s">
        <v>5543</v>
      </c>
      <c r="N752" s="1501">
        <v>2019</v>
      </c>
      <c r="O752" s="1414"/>
      <c r="P752" s="1414"/>
      <c r="Q752" s="1414"/>
      <c r="R752" s="1501" t="s">
        <v>12</v>
      </c>
      <c r="S752" s="1527">
        <v>297035910</v>
      </c>
      <c r="T752" s="1528"/>
      <c r="U752" s="1575"/>
      <c r="V752" s="1490"/>
      <c r="W752" s="1478" t="str">
        <f>LEFT(G752,8)</f>
        <v>04.13.02</v>
      </c>
      <c r="X752" s="1478" t="str">
        <f>VLOOKUP(W752,UE,3,FALSE)</f>
        <v>Jembatan</v>
      </c>
      <c r="Y752" s="1478">
        <f t="shared" si="252"/>
        <v>50</v>
      </c>
      <c r="Z752" s="1401">
        <f t="shared" si="253"/>
        <v>5940718.2000000002</v>
      </c>
      <c r="AA752" s="1444">
        <f t="shared" si="254"/>
        <v>0</v>
      </c>
      <c r="AB752" s="1401">
        <f>IF(AA752&gt;Y752,S752,Z752*AA752)</f>
        <v>0</v>
      </c>
      <c r="AC752" s="1401">
        <v>0</v>
      </c>
      <c r="AD752" s="1401">
        <v>0</v>
      </c>
      <c r="AE752" s="1401"/>
      <c r="AF752" s="1401"/>
      <c r="AG752" s="1479"/>
      <c r="AH752" s="1479">
        <f t="shared" si="261"/>
        <v>5940718.2000000002</v>
      </c>
      <c r="AI752" s="1479">
        <f t="shared" si="262"/>
        <v>5940718.2000000002</v>
      </c>
      <c r="AJ752" s="1401">
        <f>S752-AI752</f>
        <v>291095191.80000001</v>
      </c>
    </row>
    <row r="753" spans="2:37" s="1472" customFormat="1" ht="29" customHeight="1" x14ac:dyDescent="0.2">
      <c r="D753" s="1576"/>
      <c r="E753" s="1429"/>
      <c r="F753" s="1529"/>
      <c r="G753" s="1501"/>
      <c r="H753" s="1501"/>
      <c r="I753" s="1414"/>
      <c r="J753" s="1526"/>
      <c r="K753" s="1416"/>
      <c r="L753" s="1430"/>
      <c r="M753" s="1429"/>
      <c r="N753" s="1501"/>
      <c r="O753" s="1414"/>
      <c r="P753" s="1414"/>
      <c r="Q753" s="1414"/>
      <c r="R753" s="1416"/>
      <c r="S753" s="1527"/>
      <c r="T753" s="1528"/>
      <c r="U753" s="1575"/>
      <c r="V753" s="1490"/>
      <c r="W753" s="1478"/>
      <c r="X753" s="1478"/>
      <c r="Y753" s="1478"/>
      <c r="Z753" s="1401"/>
      <c r="AA753" s="1444"/>
      <c r="AB753" s="1550"/>
      <c r="AC753" s="1550"/>
      <c r="AD753" s="1550"/>
      <c r="AE753" s="1550"/>
      <c r="AF753" s="1550"/>
      <c r="AG753" s="1550"/>
      <c r="AH753" s="1550"/>
      <c r="AI753" s="1479"/>
      <c r="AJ753" s="1550"/>
    </row>
    <row r="754" spans="2:37" s="1488" customFormat="1" ht="29" customHeight="1" x14ac:dyDescent="0.2">
      <c r="D754" s="1622" t="s">
        <v>842</v>
      </c>
      <c r="E754" s="1410" t="s">
        <v>1466</v>
      </c>
      <c r="F754" s="1564"/>
      <c r="G754" s="1469"/>
      <c r="H754" s="1508"/>
      <c r="I754" s="1469"/>
      <c r="J754" s="1499"/>
      <c r="K754" s="1469"/>
      <c r="L754" s="1509"/>
      <c r="M754" s="1410"/>
      <c r="N754" s="1469"/>
      <c r="O754" s="1508"/>
      <c r="P754" s="1508"/>
      <c r="Q754" s="1508"/>
      <c r="R754" s="1469"/>
      <c r="S754" s="1506">
        <f>SUM(S755:S1054)</f>
        <v>130216962023.97096</v>
      </c>
      <c r="T754" s="1469"/>
      <c r="U754" s="1571"/>
      <c r="V754" s="1489"/>
      <c r="W754" s="1522" t="str">
        <f t="shared" ref="W754:W819" si="263">LEFT(G754,8)</f>
        <v/>
      </c>
      <c r="X754" s="1522"/>
      <c r="Y754" s="1522"/>
      <c r="Z754" s="1446"/>
      <c r="AA754" s="1448"/>
      <c r="AB754" s="1506">
        <f t="shared" ref="AB754:AJ754" si="264">SUM(AB755:AB1054)</f>
        <v>12066415671.177589</v>
      </c>
      <c r="AC754" s="1506">
        <f t="shared" si="264"/>
        <v>3822818057.5899415</v>
      </c>
      <c r="AD754" s="1506">
        <f t="shared" si="264"/>
        <v>4906923512.8899403</v>
      </c>
      <c r="AE754" s="1506">
        <f t="shared" si="264"/>
        <v>5247518010.2289915</v>
      </c>
      <c r="AF754" s="1506">
        <f t="shared" si="264"/>
        <v>5537565810.2289925</v>
      </c>
      <c r="AG754" s="1506">
        <f t="shared" si="264"/>
        <v>6179080485.6463709</v>
      </c>
      <c r="AH754" s="1506">
        <f t="shared" si="264"/>
        <v>6911969387.0463686</v>
      </c>
      <c r="AI754" s="1506">
        <f t="shared" si="264"/>
        <v>44672290934.808189</v>
      </c>
      <c r="AJ754" s="1506">
        <f t="shared" si="264"/>
        <v>85447695449.162811</v>
      </c>
      <c r="AK754" s="1551"/>
    </row>
    <row r="755" spans="2:37" s="1472" customFormat="1" ht="29" customHeight="1" x14ac:dyDescent="0.2">
      <c r="C755" s="1478" t="s">
        <v>2306</v>
      </c>
      <c r="D755" s="1576"/>
      <c r="E755" s="1594" t="s">
        <v>843</v>
      </c>
      <c r="F755" s="1595"/>
      <c r="G755" s="1501" t="s">
        <v>844</v>
      </c>
      <c r="H755" s="1414"/>
      <c r="I755" s="1501" t="s">
        <v>736</v>
      </c>
      <c r="J755" s="1512"/>
      <c r="K755" s="1416"/>
      <c r="L755" s="1500"/>
      <c r="M755" s="1429"/>
      <c r="N755" s="1416">
        <v>1980</v>
      </c>
      <c r="O755" s="1414"/>
      <c r="P755" s="1414"/>
      <c r="Q755" s="1414"/>
      <c r="R755" s="1501" t="s">
        <v>12</v>
      </c>
      <c r="S755" s="1539">
        <v>10200000</v>
      </c>
      <c r="T755" s="1416"/>
      <c r="U755" s="1427"/>
      <c r="V755" s="1477"/>
      <c r="W755" s="1478" t="str">
        <f t="shared" si="263"/>
        <v>04.14.01</v>
      </c>
      <c r="X755" s="1478" t="str">
        <f t="shared" ref="X755:X819" si="265">VLOOKUP(W755,UE,3,FALSE)</f>
        <v>Bangunan Air Irigasi</v>
      </c>
      <c r="Y755" s="1478">
        <f t="shared" ref="Y755:Y819" si="266">VLOOKUP(W755,UE,4,FALSE)</f>
        <v>50</v>
      </c>
      <c r="Z755" s="1401">
        <f t="shared" ref="Z755:Z819" si="267">S755/Y755</f>
        <v>204000</v>
      </c>
      <c r="AA755" s="1444">
        <f t="shared" ref="AA755:AA819" si="268">IF(2013-N755+1&gt;Y755,Y755,IF(2013-N755+1&lt;0,0,2013-N755+1))</f>
        <v>34</v>
      </c>
      <c r="AB755" s="1401">
        <f t="shared" ref="AB755:AB819" si="269">IF(AA755&gt;Y755,S755,Z755*AA755)</f>
        <v>6936000</v>
      </c>
      <c r="AC755" s="1401">
        <f t="shared" ref="AC755:AC819" si="270">IF(S755=AB755,0,Z755)</f>
        <v>204000</v>
      </c>
      <c r="AD755" s="1401">
        <f t="shared" ref="AD755:AD819" si="271">IF(S755=AB755+AC755,0,Z755)</f>
        <v>204000</v>
      </c>
      <c r="AE755" s="1401">
        <f t="shared" ref="AE755:AE819" si="272">IF(S755=AB755+AC755+AD755,0,Z755)</f>
        <v>204000</v>
      </c>
      <c r="AF755" s="1401">
        <f t="shared" ref="AF755:AF819" si="273">IF(S755=AC755+AD755+AE755+AB755,0,Z755)</f>
        <v>204000</v>
      </c>
      <c r="AG755" s="1479">
        <f t="shared" ref="AG755:AG819" si="274">IF(S755=AC755+AD755+AE755+AB755+AF755,0,Z755)</f>
        <v>204000</v>
      </c>
      <c r="AH755" s="1479">
        <f t="shared" ref="AH755:AH819" si="275">IF(S755=AC755+AD755+AE755+AB755+AF755+AG755,0,Z755)</f>
        <v>204000</v>
      </c>
      <c r="AI755" s="1479">
        <f t="shared" ref="AI755:AI819" si="276">SUM(AB755:AH755)</f>
        <v>8160000</v>
      </c>
      <c r="AJ755" s="1401">
        <f t="shared" ref="AJ755:AJ819" si="277">S755-AI755</f>
        <v>2040000</v>
      </c>
    </row>
    <row r="756" spans="2:37" s="1472" customFormat="1" ht="29" customHeight="1" x14ac:dyDescent="0.2">
      <c r="C756" s="1478" t="s">
        <v>2306</v>
      </c>
      <c r="D756" s="1576"/>
      <c r="E756" s="1594" t="s">
        <v>843</v>
      </c>
      <c r="F756" s="1595"/>
      <c r="G756" s="1501" t="s">
        <v>844</v>
      </c>
      <c r="H756" s="1414"/>
      <c r="I756" s="1501" t="s">
        <v>736</v>
      </c>
      <c r="J756" s="1512"/>
      <c r="K756" s="1416"/>
      <c r="L756" s="1500"/>
      <c r="M756" s="1429"/>
      <c r="N756" s="1416">
        <v>2004</v>
      </c>
      <c r="O756" s="1414"/>
      <c r="P756" s="1414"/>
      <c r="Q756" s="1414"/>
      <c r="R756" s="1501" t="s">
        <v>12</v>
      </c>
      <c r="S756" s="1539">
        <v>33150000</v>
      </c>
      <c r="T756" s="1416"/>
      <c r="U756" s="1427"/>
      <c r="V756" s="1477"/>
      <c r="W756" s="1478" t="str">
        <f t="shared" si="263"/>
        <v>04.14.01</v>
      </c>
      <c r="X756" s="1478" t="str">
        <f t="shared" si="265"/>
        <v>Bangunan Air Irigasi</v>
      </c>
      <c r="Y756" s="1478">
        <f t="shared" si="266"/>
        <v>50</v>
      </c>
      <c r="Z756" s="1401">
        <f t="shared" si="267"/>
        <v>663000</v>
      </c>
      <c r="AA756" s="1444">
        <f t="shared" si="268"/>
        <v>10</v>
      </c>
      <c r="AB756" s="1401">
        <f t="shared" si="269"/>
        <v>6630000</v>
      </c>
      <c r="AC756" s="1401">
        <f t="shared" si="270"/>
        <v>663000</v>
      </c>
      <c r="AD756" s="1401">
        <f t="shared" si="271"/>
        <v>663000</v>
      </c>
      <c r="AE756" s="1401">
        <f t="shared" si="272"/>
        <v>663000</v>
      </c>
      <c r="AF756" s="1401">
        <f t="shared" si="273"/>
        <v>663000</v>
      </c>
      <c r="AG756" s="1479">
        <f t="shared" si="274"/>
        <v>663000</v>
      </c>
      <c r="AH756" s="1479">
        <f t="shared" si="275"/>
        <v>663000</v>
      </c>
      <c r="AI756" s="1479">
        <f t="shared" si="276"/>
        <v>10608000</v>
      </c>
      <c r="AJ756" s="1401">
        <f t="shared" si="277"/>
        <v>22542000</v>
      </c>
    </row>
    <row r="757" spans="2:37" s="1472" customFormat="1" ht="29" customHeight="1" x14ac:dyDescent="0.2">
      <c r="C757" s="1478" t="s">
        <v>2306</v>
      </c>
      <c r="D757" s="1576"/>
      <c r="E757" s="1594" t="s">
        <v>843</v>
      </c>
      <c r="F757" s="1595"/>
      <c r="G757" s="1501" t="s">
        <v>844</v>
      </c>
      <c r="H757" s="1414"/>
      <c r="I757" s="1501" t="s">
        <v>736</v>
      </c>
      <c r="J757" s="1512"/>
      <c r="K757" s="1416"/>
      <c r="L757" s="1500"/>
      <c r="M757" s="1429"/>
      <c r="N757" s="1416">
        <v>1975</v>
      </c>
      <c r="O757" s="1414"/>
      <c r="P757" s="1414"/>
      <c r="Q757" s="1414"/>
      <c r="R757" s="1501" t="s">
        <v>12</v>
      </c>
      <c r="S757" s="1539">
        <v>19337500</v>
      </c>
      <c r="T757" s="1416"/>
      <c r="U757" s="1427"/>
      <c r="V757" s="1477"/>
      <c r="W757" s="1478" t="str">
        <f t="shared" si="263"/>
        <v>04.14.01</v>
      </c>
      <c r="X757" s="1478" t="str">
        <f t="shared" si="265"/>
        <v>Bangunan Air Irigasi</v>
      </c>
      <c r="Y757" s="1478">
        <f t="shared" si="266"/>
        <v>50</v>
      </c>
      <c r="Z757" s="1401">
        <f t="shared" si="267"/>
        <v>386750</v>
      </c>
      <c r="AA757" s="1444">
        <f t="shared" si="268"/>
        <v>39</v>
      </c>
      <c r="AB757" s="1401">
        <f t="shared" si="269"/>
        <v>15083250</v>
      </c>
      <c r="AC757" s="1401">
        <f t="shared" si="270"/>
        <v>386750</v>
      </c>
      <c r="AD757" s="1401">
        <f t="shared" si="271"/>
        <v>386750</v>
      </c>
      <c r="AE757" s="1401">
        <f t="shared" si="272"/>
        <v>386750</v>
      </c>
      <c r="AF757" s="1401">
        <f t="shared" si="273"/>
        <v>386750</v>
      </c>
      <c r="AG757" s="1479">
        <f t="shared" si="274"/>
        <v>386750</v>
      </c>
      <c r="AH757" s="1479">
        <f t="shared" si="275"/>
        <v>386750</v>
      </c>
      <c r="AI757" s="1479">
        <f t="shared" si="276"/>
        <v>17403750</v>
      </c>
      <c r="AJ757" s="1401">
        <f t="shared" si="277"/>
        <v>1933750</v>
      </c>
    </row>
    <row r="758" spans="2:37" s="1472" customFormat="1" ht="29" customHeight="1" x14ac:dyDescent="0.2">
      <c r="C758" s="1478" t="s">
        <v>2306</v>
      </c>
      <c r="D758" s="1576"/>
      <c r="E758" s="1594" t="s">
        <v>845</v>
      </c>
      <c r="F758" s="1595"/>
      <c r="G758" s="1501" t="s">
        <v>5629</v>
      </c>
      <c r="H758" s="1414"/>
      <c r="I758" s="1501" t="s">
        <v>736</v>
      </c>
      <c r="J758" s="1512"/>
      <c r="K758" s="1416"/>
      <c r="L758" s="1500"/>
      <c r="M758" s="1429"/>
      <c r="N758" s="1416">
        <v>1975</v>
      </c>
      <c r="O758" s="1414"/>
      <c r="P758" s="1414"/>
      <c r="Q758" s="1414"/>
      <c r="R758" s="1501" t="s">
        <v>12</v>
      </c>
      <c r="S758" s="1539">
        <v>19337500</v>
      </c>
      <c r="T758" s="1416"/>
      <c r="U758" s="1427"/>
      <c r="V758" s="1477"/>
      <c r="W758" s="1478" t="str">
        <f t="shared" si="263"/>
        <v>04.14.01</v>
      </c>
      <c r="X758" s="1478" t="str">
        <f t="shared" si="265"/>
        <v>Bangunan Air Irigasi</v>
      </c>
      <c r="Y758" s="1478">
        <f t="shared" si="266"/>
        <v>50</v>
      </c>
      <c r="Z758" s="1401">
        <f t="shared" si="267"/>
        <v>386750</v>
      </c>
      <c r="AA758" s="1444">
        <f t="shared" si="268"/>
        <v>39</v>
      </c>
      <c r="AB758" s="1401">
        <f t="shared" si="269"/>
        <v>15083250</v>
      </c>
      <c r="AC758" s="1401">
        <f t="shared" si="270"/>
        <v>386750</v>
      </c>
      <c r="AD758" s="1401">
        <f t="shared" si="271"/>
        <v>386750</v>
      </c>
      <c r="AE758" s="1401">
        <f t="shared" si="272"/>
        <v>386750</v>
      </c>
      <c r="AF758" s="1401">
        <f t="shared" si="273"/>
        <v>386750</v>
      </c>
      <c r="AG758" s="1479">
        <f t="shared" si="274"/>
        <v>386750</v>
      </c>
      <c r="AH758" s="1479">
        <f t="shared" si="275"/>
        <v>386750</v>
      </c>
      <c r="AI758" s="1479">
        <f t="shared" si="276"/>
        <v>17403750</v>
      </c>
      <c r="AJ758" s="1401">
        <f t="shared" si="277"/>
        <v>1933750</v>
      </c>
    </row>
    <row r="759" spans="2:37" s="1472" customFormat="1" ht="29" customHeight="1" x14ac:dyDescent="0.2">
      <c r="C759" s="1478" t="s">
        <v>2306</v>
      </c>
      <c r="D759" s="1576"/>
      <c r="E759" s="1594" t="s">
        <v>843</v>
      </c>
      <c r="F759" s="1595"/>
      <c r="G759" s="1501" t="s">
        <v>844</v>
      </c>
      <c r="H759" s="1414"/>
      <c r="I759" s="1501" t="s">
        <v>736</v>
      </c>
      <c r="J759" s="1512"/>
      <c r="K759" s="1416"/>
      <c r="L759" s="1500"/>
      <c r="M759" s="1429"/>
      <c r="N759" s="1416">
        <v>1999</v>
      </c>
      <c r="O759" s="1414"/>
      <c r="P759" s="1414"/>
      <c r="Q759" s="1414"/>
      <c r="R759" s="1501" t="s">
        <v>12</v>
      </c>
      <c r="S759" s="1539">
        <v>382500000</v>
      </c>
      <c r="T759" s="1416"/>
      <c r="U759" s="1427"/>
      <c r="V759" s="1477"/>
      <c r="W759" s="1478" t="str">
        <f t="shared" si="263"/>
        <v>04.14.01</v>
      </c>
      <c r="X759" s="1478" t="str">
        <f t="shared" si="265"/>
        <v>Bangunan Air Irigasi</v>
      </c>
      <c r="Y759" s="1478">
        <f t="shared" si="266"/>
        <v>50</v>
      </c>
      <c r="Z759" s="1401">
        <f t="shared" si="267"/>
        <v>7650000</v>
      </c>
      <c r="AA759" s="1444">
        <f t="shared" si="268"/>
        <v>15</v>
      </c>
      <c r="AB759" s="1401">
        <f t="shared" si="269"/>
        <v>114750000</v>
      </c>
      <c r="AC759" s="1401">
        <f t="shared" si="270"/>
        <v>7650000</v>
      </c>
      <c r="AD759" s="1401">
        <f t="shared" si="271"/>
        <v>7650000</v>
      </c>
      <c r="AE759" s="1401">
        <f t="shared" si="272"/>
        <v>7650000</v>
      </c>
      <c r="AF759" s="1401">
        <f t="shared" si="273"/>
        <v>7650000</v>
      </c>
      <c r="AG759" s="1479">
        <f t="shared" si="274"/>
        <v>7650000</v>
      </c>
      <c r="AH759" s="1479">
        <f t="shared" si="275"/>
        <v>7650000</v>
      </c>
      <c r="AI759" s="1479">
        <f t="shared" si="276"/>
        <v>160650000</v>
      </c>
      <c r="AJ759" s="1401">
        <f t="shared" si="277"/>
        <v>221850000</v>
      </c>
    </row>
    <row r="760" spans="2:37" s="1472" customFormat="1" ht="29" customHeight="1" x14ac:dyDescent="0.2">
      <c r="C760" s="1478" t="s">
        <v>2306</v>
      </c>
      <c r="D760" s="1576"/>
      <c r="E760" s="1594" t="s">
        <v>843</v>
      </c>
      <c r="F760" s="1595"/>
      <c r="G760" s="1501" t="s">
        <v>844</v>
      </c>
      <c r="H760" s="1414"/>
      <c r="I760" s="1501" t="s">
        <v>736</v>
      </c>
      <c r="J760" s="1512"/>
      <c r="K760" s="1416"/>
      <c r="L760" s="1500"/>
      <c r="M760" s="1429"/>
      <c r="N760" s="1416">
        <v>1986</v>
      </c>
      <c r="O760" s="1414"/>
      <c r="P760" s="1414"/>
      <c r="Q760" s="1414"/>
      <c r="R760" s="1501" t="s">
        <v>12</v>
      </c>
      <c r="S760" s="1539">
        <v>17680000</v>
      </c>
      <c r="T760" s="1416"/>
      <c r="U760" s="1427"/>
      <c r="V760" s="1477"/>
      <c r="W760" s="1478" t="str">
        <f t="shared" si="263"/>
        <v>04.14.01</v>
      </c>
      <c r="X760" s="1478" t="str">
        <f t="shared" si="265"/>
        <v>Bangunan Air Irigasi</v>
      </c>
      <c r="Y760" s="1478">
        <f t="shared" si="266"/>
        <v>50</v>
      </c>
      <c r="Z760" s="1401">
        <f t="shared" si="267"/>
        <v>353600</v>
      </c>
      <c r="AA760" s="1444">
        <f t="shared" si="268"/>
        <v>28</v>
      </c>
      <c r="AB760" s="1401">
        <f t="shared" si="269"/>
        <v>9900800</v>
      </c>
      <c r="AC760" s="1401">
        <f t="shared" si="270"/>
        <v>353600</v>
      </c>
      <c r="AD760" s="1401">
        <f t="shared" si="271"/>
        <v>353600</v>
      </c>
      <c r="AE760" s="1401">
        <f t="shared" si="272"/>
        <v>353600</v>
      </c>
      <c r="AF760" s="1401">
        <f t="shared" si="273"/>
        <v>353600</v>
      </c>
      <c r="AG760" s="1479">
        <f t="shared" si="274"/>
        <v>353600</v>
      </c>
      <c r="AH760" s="1479">
        <f t="shared" si="275"/>
        <v>353600</v>
      </c>
      <c r="AI760" s="1479">
        <f t="shared" si="276"/>
        <v>12022400</v>
      </c>
      <c r="AJ760" s="1401">
        <f t="shared" si="277"/>
        <v>5657600</v>
      </c>
    </row>
    <row r="761" spans="2:37" s="1472" customFormat="1" ht="29" customHeight="1" x14ac:dyDescent="0.2">
      <c r="B761" s="1472" t="s">
        <v>5889</v>
      </c>
      <c r="C761" s="1478" t="s">
        <v>2306</v>
      </c>
      <c r="D761" s="1576"/>
      <c r="E761" s="1594" t="s">
        <v>846</v>
      </c>
      <c r="F761" s="1595"/>
      <c r="G761" s="1501" t="s">
        <v>5629</v>
      </c>
      <c r="H761" s="1414"/>
      <c r="I761" s="1501" t="s">
        <v>736</v>
      </c>
      <c r="J761" s="1512"/>
      <c r="K761" s="1416"/>
      <c r="L761" s="1500"/>
      <c r="M761" s="1429" t="s">
        <v>3379</v>
      </c>
      <c r="N761" s="1416">
        <v>1981</v>
      </c>
      <c r="O761" s="1414"/>
      <c r="P761" s="1414"/>
      <c r="Q761" s="1414"/>
      <c r="R761" s="1501" t="s">
        <v>12</v>
      </c>
      <c r="S761" s="1539">
        <v>20825000</v>
      </c>
      <c r="T761" s="1416" t="s">
        <v>43</v>
      </c>
      <c r="U761" s="1427"/>
      <c r="V761" s="1477"/>
      <c r="W761" s="1478" t="str">
        <f t="shared" si="263"/>
        <v>04.14.01</v>
      </c>
      <c r="X761" s="1478" t="str">
        <f t="shared" si="265"/>
        <v>Bangunan Air Irigasi</v>
      </c>
      <c r="Y761" s="1478">
        <f t="shared" si="266"/>
        <v>50</v>
      </c>
      <c r="Z761" s="1401">
        <f t="shared" si="267"/>
        <v>416500</v>
      </c>
      <c r="AA761" s="1444">
        <f t="shared" si="268"/>
        <v>33</v>
      </c>
      <c r="AB761" s="1401">
        <f t="shared" si="269"/>
        <v>13744500</v>
      </c>
      <c r="AC761" s="1401">
        <f t="shared" si="270"/>
        <v>416500</v>
      </c>
      <c r="AD761" s="1401">
        <f t="shared" si="271"/>
        <v>416500</v>
      </c>
      <c r="AE761" s="1401">
        <f t="shared" si="272"/>
        <v>416500</v>
      </c>
      <c r="AF761" s="1401">
        <f t="shared" si="273"/>
        <v>416500</v>
      </c>
      <c r="AG761" s="1479">
        <f t="shared" si="274"/>
        <v>416500</v>
      </c>
      <c r="AH761" s="1479">
        <f t="shared" si="275"/>
        <v>416500</v>
      </c>
      <c r="AI761" s="1479">
        <f t="shared" si="276"/>
        <v>16243500</v>
      </c>
      <c r="AJ761" s="1401">
        <f t="shared" si="277"/>
        <v>4581500</v>
      </c>
    </row>
    <row r="762" spans="2:37" s="1472" customFormat="1" ht="29" customHeight="1" x14ac:dyDescent="0.2">
      <c r="B762" s="1552" t="s">
        <v>847</v>
      </c>
      <c r="C762" s="1478" t="s">
        <v>2306</v>
      </c>
      <c r="D762" s="1576"/>
      <c r="E762" s="1594" t="s">
        <v>847</v>
      </c>
      <c r="F762" s="1595"/>
      <c r="G762" s="1501" t="s">
        <v>844</v>
      </c>
      <c r="H762" s="1414"/>
      <c r="I762" s="1501" t="s">
        <v>736</v>
      </c>
      <c r="J762" s="1512"/>
      <c r="K762" s="1416"/>
      <c r="L762" s="1500"/>
      <c r="M762" s="1429" t="s">
        <v>847</v>
      </c>
      <c r="N762" s="1416">
        <v>1978</v>
      </c>
      <c r="O762" s="1414"/>
      <c r="P762" s="1414"/>
      <c r="Q762" s="1414"/>
      <c r="R762" s="1501" t="s">
        <v>12</v>
      </c>
      <c r="S762" s="1539">
        <v>20825000</v>
      </c>
      <c r="T762" s="1416" t="s">
        <v>43</v>
      </c>
      <c r="U762" s="1427"/>
      <c r="V762" s="1477"/>
      <c r="W762" s="1478" t="str">
        <f t="shared" si="263"/>
        <v>04.14.01</v>
      </c>
      <c r="X762" s="1478" t="str">
        <f t="shared" si="265"/>
        <v>Bangunan Air Irigasi</v>
      </c>
      <c r="Y762" s="1478">
        <f t="shared" si="266"/>
        <v>50</v>
      </c>
      <c r="Z762" s="1401">
        <f t="shared" si="267"/>
        <v>416500</v>
      </c>
      <c r="AA762" s="1444">
        <f t="shared" si="268"/>
        <v>36</v>
      </c>
      <c r="AB762" s="1401">
        <f t="shared" si="269"/>
        <v>14994000</v>
      </c>
      <c r="AC762" s="1401">
        <f t="shared" si="270"/>
        <v>416500</v>
      </c>
      <c r="AD762" s="1401">
        <f t="shared" si="271"/>
        <v>416500</v>
      </c>
      <c r="AE762" s="1401">
        <f t="shared" si="272"/>
        <v>416500</v>
      </c>
      <c r="AF762" s="1401">
        <f t="shared" si="273"/>
        <v>416500</v>
      </c>
      <c r="AG762" s="1479">
        <f t="shared" si="274"/>
        <v>416500</v>
      </c>
      <c r="AH762" s="1479">
        <f t="shared" si="275"/>
        <v>416500</v>
      </c>
      <c r="AI762" s="1479">
        <f t="shared" si="276"/>
        <v>17493000</v>
      </c>
      <c r="AJ762" s="1401">
        <f t="shared" si="277"/>
        <v>3332000</v>
      </c>
    </row>
    <row r="763" spans="2:37" s="1472" customFormat="1" ht="29" customHeight="1" x14ac:dyDescent="0.2">
      <c r="C763" s="1478" t="s">
        <v>2306</v>
      </c>
      <c r="D763" s="1576"/>
      <c r="E763" s="1594" t="s">
        <v>848</v>
      </c>
      <c r="F763" s="1595"/>
      <c r="G763" s="1501" t="s">
        <v>844</v>
      </c>
      <c r="H763" s="1414"/>
      <c r="I763" s="1501" t="s">
        <v>736</v>
      </c>
      <c r="J763" s="1512"/>
      <c r="K763" s="1416"/>
      <c r="L763" s="1500"/>
      <c r="M763" s="1429" t="s">
        <v>848</v>
      </c>
      <c r="N763" s="1416">
        <v>1985</v>
      </c>
      <c r="O763" s="1414"/>
      <c r="P763" s="1414"/>
      <c r="Q763" s="1414"/>
      <c r="R763" s="1501" t="s">
        <v>12</v>
      </c>
      <c r="S763" s="1539">
        <v>9520000</v>
      </c>
      <c r="T763" s="1416" t="s">
        <v>43</v>
      </c>
      <c r="U763" s="1427"/>
      <c r="V763" s="1477"/>
      <c r="W763" s="1478" t="str">
        <f t="shared" si="263"/>
        <v>04.14.01</v>
      </c>
      <c r="X763" s="1478" t="str">
        <f t="shared" si="265"/>
        <v>Bangunan Air Irigasi</v>
      </c>
      <c r="Y763" s="1478">
        <f t="shared" si="266"/>
        <v>50</v>
      </c>
      <c r="Z763" s="1401">
        <f t="shared" si="267"/>
        <v>190400</v>
      </c>
      <c r="AA763" s="1444">
        <f t="shared" si="268"/>
        <v>29</v>
      </c>
      <c r="AB763" s="1401">
        <f t="shared" si="269"/>
        <v>5521600</v>
      </c>
      <c r="AC763" s="1401">
        <f t="shared" si="270"/>
        <v>190400</v>
      </c>
      <c r="AD763" s="1401">
        <f t="shared" si="271"/>
        <v>190400</v>
      </c>
      <c r="AE763" s="1401">
        <f t="shared" si="272"/>
        <v>190400</v>
      </c>
      <c r="AF763" s="1401">
        <f t="shared" si="273"/>
        <v>190400</v>
      </c>
      <c r="AG763" s="1479">
        <f t="shared" si="274"/>
        <v>190400</v>
      </c>
      <c r="AH763" s="1479">
        <f t="shared" si="275"/>
        <v>190400</v>
      </c>
      <c r="AI763" s="1479">
        <f t="shared" si="276"/>
        <v>6664000</v>
      </c>
      <c r="AJ763" s="1401">
        <f t="shared" si="277"/>
        <v>2856000</v>
      </c>
    </row>
    <row r="764" spans="2:37" s="1472" customFormat="1" ht="29" customHeight="1" x14ac:dyDescent="0.2">
      <c r="B764" s="1472" t="s">
        <v>5893</v>
      </c>
      <c r="C764" s="1478" t="s">
        <v>2306</v>
      </c>
      <c r="D764" s="1576"/>
      <c r="E764" s="1594" t="s">
        <v>849</v>
      </c>
      <c r="F764" s="1595"/>
      <c r="G764" s="1501" t="s">
        <v>844</v>
      </c>
      <c r="H764" s="1414"/>
      <c r="I764" s="1501" t="s">
        <v>736</v>
      </c>
      <c r="J764" s="1512"/>
      <c r="K764" s="1416"/>
      <c r="L764" s="1500"/>
      <c r="M764" s="1429" t="s">
        <v>849</v>
      </c>
      <c r="N764" s="1416">
        <v>1970</v>
      </c>
      <c r="O764" s="1414"/>
      <c r="P764" s="1414"/>
      <c r="Q764" s="1414"/>
      <c r="R764" s="1501" t="s">
        <v>12</v>
      </c>
      <c r="S764" s="1539">
        <v>74850000</v>
      </c>
      <c r="T764" s="1416" t="s">
        <v>43</v>
      </c>
      <c r="U764" s="1427"/>
      <c r="V764" s="1477"/>
      <c r="W764" s="1478" t="str">
        <f t="shared" si="263"/>
        <v>04.14.01</v>
      </c>
      <c r="X764" s="1478" t="str">
        <f t="shared" si="265"/>
        <v>Bangunan Air Irigasi</v>
      </c>
      <c r="Y764" s="1478">
        <f t="shared" si="266"/>
        <v>50</v>
      </c>
      <c r="Z764" s="1401">
        <f t="shared" si="267"/>
        <v>1497000</v>
      </c>
      <c r="AA764" s="1444">
        <f t="shared" si="268"/>
        <v>44</v>
      </c>
      <c r="AB764" s="1401">
        <f t="shared" si="269"/>
        <v>65868000</v>
      </c>
      <c r="AC764" s="1401">
        <f t="shared" si="270"/>
        <v>1497000</v>
      </c>
      <c r="AD764" s="1401">
        <f t="shared" si="271"/>
        <v>1497000</v>
      </c>
      <c r="AE764" s="1401">
        <f t="shared" si="272"/>
        <v>1497000</v>
      </c>
      <c r="AF764" s="1401">
        <f t="shared" si="273"/>
        <v>1497000</v>
      </c>
      <c r="AG764" s="1479">
        <f t="shared" si="274"/>
        <v>1497000</v>
      </c>
      <c r="AH764" s="1479">
        <f t="shared" si="275"/>
        <v>1497000</v>
      </c>
      <c r="AI764" s="1479">
        <f t="shared" si="276"/>
        <v>74850000</v>
      </c>
      <c r="AJ764" s="1401">
        <f t="shared" si="277"/>
        <v>0</v>
      </c>
    </row>
    <row r="765" spans="2:37" s="1472" customFormat="1" ht="29" customHeight="1" x14ac:dyDescent="0.2">
      <c r="C765" s="1478" t="s">
        <v>2306</v>
      </c>
      <c r="D765" s="1576"/>
      <c r="E765" s="1594" t="s">
        <v>850</v>
      </c>
      <c r="F765" s="1595"/>
      <c r="G765" s="1501" t="s">
        <v>5629</v>
      </c>
      <c r="H765" s="1414"/>
      <c r="I765" s="1501" t="s">
        <v>736</v>
      </c>
      <c r="J765" s="1512"/>
      <c r="K765" s="1416"/>
      <c r="L765" s="1500"/>
      <c r="M765" s="1429" t="s">
        <v>3380</v>
      </c>
      <c r="N765" s="1416">
        <v>1992</v>
      </c>
      <c r="O765" s="1414"/>
      <c r="P765" s="1414"/>
      <c r="Q765" s="1414"/>
      <c r="R765" s="1501" t="s">
        <v>12</v>
      </c>
      <c r="S765" s="1539">
        <v>408000000</v>
      </c>
      <c r="T765" s="1416" t="s">
        <v>43</v>
      </c>
      <c r="U765" s="1427"/>
      <c r="V765" s="1477"/>
      <c r="W765" s="1478" t="str">
        <f t="shared" si="263"/>
        <v>04.14.01</v>
      </c>
      <c r="X765" s="1478" t="str">
        <f t="shared" si="265"/>
        <v>Bangunan Air Irigasi</v>
      </c>
      <c r="Y765" s="1478">
        <f t="shared" si="266"/>
        <v>50</v>
      </c>
      <c r="Z765" s="1401">
        <f t="shared" si="267"/>
        <v>8160000</v>
      </c>
      <c r="AA765" s="1444">
        <f t="shared" si="268"/>
        <v>22</v>
      </c>
      <c r="AB765" s="1401">
        <f t="shared" si="269"/>
        <v>179520000</v>
      </c>
      <c r="AC765" s="1401">
        <f t="shared" si="270"/>
        <v>8160000</v>
      </c>
      <c r="AD765" s="1401">
        <f t="shared" si="271"/>
        <v>8160000</v>
      </c>
      <c r="AE765" s="1401">
        <f t="shared" si="272"/>
        <v>8160000</v>
      </c>
      <c r="AF765" s="1401">
        <f t="shared" si="273"/>
        <v>8160000</v>
      </c>
      <c r="AG765" s="1479">
        <f t="shared" si="274"/>
        <v>8160000</v>
      </c>
      <c r="AH765" s="1479">
        <f t="shared" si="275"/>
        <v>8160000</v>
      </c>
      <c r="AI765" s="1479">
        <f t="shared" si="276"/>
        <v>228480000</v>
      </c>
      <c r="AJ765" s="1401">
        <f t="shared" si="277"/>
        <v>179520000</v>
      </c>
    </row>
    <row r="766" spans="2:37" s="1472" customFormat="1" ht="29" customHeight="1" x14ac:dyDescent="0.2">
      <c r="C766" s="1478" t="s">
        <v>2306</v>
      </c>
      <c r="D766" s="1576"/>
      <c r="E766" s="1594" t="s">
        <v>851</v>
      </c>
      <c r="F766" s="1595"/>
      <c r="G766" s="1501" t="s">
        <v>852</v>
      </c>
      <c r="H766" s="1414"/>
      <c r="I766" s="1501" t="s">
        <v>853</v>
      </c>
      <c r="J766" s="1512"/>
      <c r="K766" s="1416"/>
      <c r="L766" s="1500"/>
      <c r="M766" s="1429"/>
      <c r="N766" s="1416">
        <v>1986</v>
      </c>
      <c r="O766" s="1414"/>
      <c r="P766" s="1414"/>
      <c r="Q766" s="1414"/>
      <c r="R766" s="1501" t="s">
        <v>12</v>
      </c>
      <c r="S766" s="1539">
        <v>28000000</v>
      </c>
      <c r="T766" s="1416"/>
      <c r="U766" s="1427"/>
      <c r="V766" s="1477"/>
      <c r="W766" s="1478" t="str">
        <f t="shared" si="263"/>
        <v>04.14.06</v>
      </c>
      <c r="X766" s="1478" t="str">
        <f t="shared" si="265"/>
        <v>Bangunan Air Bersih/Baku</v>
      </c>
      <c r="Y766" s="1478">
        <f t="shared" si="266"/>
        <v>40</v>
      </c>
      <c r="Z766" s="1401">
        <f t="shared" si="267"/>
        <v>700000</v>
      </c>
      <c r="AA766" s="1444">
        <f t="shared" si="268"/>
        <v>28</v>
      </c>
      <c r="AB766" s="1401">
        <f t="shared" si="269"/>
        <v>19600000</v>
      </c>
      <c r="AC766" s="1401">
        <f t="shared" si="270"/>
        <v>700000</v>
      </c>
      <c r="AD766" s="1401">
        <f t="shared" si="271"/>
        <v>700000</v>
      </c>
      <c r="AE766" s="1401">
        <f t="shared" si="272"/>
        <v>700000</v>
      </c>
      <c r="AF766" s="1401">
        <f t="shared" si="273"/>
        <v>700000</v>
      </c>
      <c r="AG766" s="1479">
        <f t="shared" si="274"/>
        <v>700000</v>
      </c>
      <c r="AH766" s="1479">
        <f t="shared" si="275"/>
        <v>700000</v>
      </c>
      <c r="AI766" s="1479">
        <f t="shared" si="276"/>
        <v>23800000</v>
      </c>
      <c r="AJ766" s="1401">
        <f t="shared" si="277"/>
        <v>4200000</v>
      </c>
    </row>
    <row r="767" spans="2:37" s="1472" customFormat="1" ht="29" customHeight="1" x14ac:dyDescent="0.2">
      <c r="C767" s="1478" t="s">
        <v>2306</v>
      </c>
      <c r="D767" s="1576"/>
      <c r="E767" s="1594" t="s">
        <v>851</v>
      </c>
      <c r="F767" s="1595"/>
      <c r="G767" s="1501" t="s">
        <v>852</v>
      </c>
      <c r="H767" s="1414"/>
      <c r="I767" s="1501" t="s">
        <v>853</v>
      </c>
      <c r="J767" s="1512"/>
      <c r="K767" s="1416"/>
      <c r="L767" s="1500"/>
      <c r="M767" s="1429"/>
      <c r="N767" s="1416">
        <v>2000</v>
      </c>
      <c r="O767" s="1414"/>
      <c r="P767" s="1414"/>
      <c r="Q767" s="1414"/>
      <c r="R767" s="1501" t="s">
        <v>12</v>
      </c>
      <c r="S767" s="1539">
        <v>16800000</v>
      </c>
      <c r="T767" s="1416" t="s">
        <v>43</v>
      </c>
      <c r="U767" s="1427"/>
      <c r="V767" s="1477"/>
      <c r="W767" s="1478" t="str">
        <f t="shared" si="263"/>
        <v>04.14.06</v>
      </c>
      <c r="X767" s="1478" t="str">
        <f t="shared" si="265"/>
        <v>Bangunan Air Bersih/Baku</v>
      </c>
      <c r="Y767" s="1478">
        <f t="shared" si="266"/>
        <v>40</v>
      </c>
      <c r="Z767" s="1401">
        <f t="shared" si="267"/>
        <v>420000</v>
      </c>
      <c r="AA767" s="1444">
        <f t="shared" si="268"/>
        <v>14</v>
      </c>
      <c r="AB767" s="1401">
        <f t="shared" si="269"/>
        <v>5880000</v>
      </c>
      <c r="AC767" s="1401">
        <f t="shared" si="270"/>
        <v>420000</v>
      </c>
      <c r="AD767" s="1401">
        <f t="shared" si="271"/>
        <v>420000</v>
      </c>
      <c r="AE767" s="1401">
        <f t="shared" si="272"/>
        <v>420000</v>
      </c>
      <c r="AF767" s="1401">
        <f t="shared" si="273"/>
        <v>420000</v>
      </c>
      <c r="AG767" s="1479">
        <f t="shared" si="274"/>
        <v>420000</v>
      </c>
      <c r="AH767" s="1479">
        <f t="shared" si="275"/>
        <v>420000</v>
      </c>
      <c r="AI767" s="1479">
        <f t="shared" si="276"/>
        <v>8400000</v>
      </c>
      <c r="AJ767" s="1401">
        <f t="shared" si="277"/>
        <v>8400000</v>
      </c>
    </row>
    <row r="768" spans="2:37" s="1472" customFormat="1" ht="29" customHeight="1" x14ac:dyDescent="0.2">
      <c r="C768" s="1478" t="s">
        <v>2306</v>
      </c>
      <c r="D768" s="1576"/>
      <c r="E768" s="1594" t="s">
        <v>851</v>
      </c>
      <c r="F768" s="1595"/>
      <c r="G768" s="1501" t="s">
        <v>852</v>
      </c>
      <c r="H768" s="1414"/>
      <c r="I768" s="1501" t="s">
        <v>736</v>
      </c>
      <c r="J768" s="1512"/>
      <c r="K768" s="1416"/>
      <c r="L768" s="1500"/>
      <c r="M768" s="1429"/>
      <c r="N768" s="1416">
        <v>2000</v>
      </c>
      <c r="O768" s="1414"/>
      <c r="P768" s="1414"/>
      <c r="Q768" s="1414"/>
      <c r="R768" s="1501" t="s">
        <v>12</v>
      </c>
      <c r="S768" s="1539">
        <v>88200000</v>
      </c>
      <c r="T768" s="1416" t="s">
        <v>43</v>
      </c>
      <c r="U768" s="1427"/>
      <c r="V768" s="1477"/>
      <c r="W768" s="1478" t="str">
        <f t="shared" si="263"/>
        <v>04.14.06</v>
      </c>
      <c r="X768" s="1478" t="str">
        <f t="shared" si="265"/>
        <v>Bangunan Air Bersih/Baku</v>
      </c>
      <c r="Y768" s="1478">
        <f t="shared" si="266"/>
        <v>40</v>
      </c>
      <c r="Z768" s="1401">
        <f t="shared" si="267"/>
        <v>2205000</v>
      </c>
      <c r="AA768" s="1444">
        <f t="shared" si="268"/>
        <v>14</v>
      </c>
      <c r="AB768" s="1401">
        <f t="shared" si="269"/>
        <v>30870000</v>
      </c>
      <c r="AC768" s="1401">
        <f t="shared" si="270"/>
        <v>2205000</v>
      </c>
      <c r="AD768" s="1401">
        <f t="shared" si="271"/>
        <v>2205000</v>
      </c>
      <c r="AE768" s="1401">
        <f t="shared" si="272"/>
        <v>2205000</v>
      </c>
      <c r="AF768" s="1401">
        <f t="shared" si="273"/>
        <v>2205000</v>
      </c>
      <c r="AG768" s="1479">
        <f t="shared" si="274"/>
        <v>2205000</v>
      </c>
      <c r="AH768" s="1479">
        <f t="shared" si="275"/>
        <v>2205000</v>
      </c>
      <c r="AI768" s="1479">
        <f t="shared" si="276"/>
        <v>44100000</v>
      </c>
      <c r="AJ768" s="1401">
        <f t="shared" si="277"/>
        <v>44100000</v>
      </c>
    </row>
    <row r="769" spans="2:38" s="1472" customFormat="1" ht="29" customHeight="1" x14ac:dyDescent="0.2">
      <c r="C769" s="1478" t="s">
        <v>2306</v>
      </c>
      <c r="D769" s="1576"/>
      <c r="E769" s="1594" t="s">
        <v>854</v>
      </c>
      <c r="F769" s="1595"/>
      <c r="G769" s="1501" t="s">
        <v>855</v>
      </c>
      <c r="H769" s="1414"/>
      <c r="I769" s="1501" t="s">
        <v>736</v>
      </c>
      <c r="J769" s="1512"/>
      <c r="K769" s="1416"/>
      <c r="L769" s="1500"/>
      <c r="M769" s="1429"/>
      <c r="N769" s="1416">
        <v>2000</v>
      </c>
      <c r="O769" s="1414"/>
      <c r="P769" s="1414"/>
      <c r="Q769" s="1414"/>
      <c r="R769" s="1501" t="s">
        <v>12</v>
      </c>
      <c r="S769" s="1539">
        <v>72800000</v>
      </c>
      <c r="T769" s="1416" t="s">
        <v>43</v>
      </c>
      <c r="U769" s="1427"/>
      <c r="V769" s="1477"/>
      <c r="W769" s="1478" t="str">
        <f t="shared" si="263"/>
        <v>04.14.07</v>
      </c>
      <c r="X769" s="1478" t="str">
        <f t="shared" si="265"/>
        <v>Bangunan Air Kotor</v>
      </c>
      <c r="Y769" s="1478">
        <f t="shared" si="266"/>
        <v>40</v>
      </c>
      <c r="Z769" s="1401">
        <f t="shared" si="267"/>
        <v>1820000</v>
      </c>
      <c r="AA769" s="1444">
        <f t="shared" si="268"/>
        <v>14</v>
      </c>
      <c r="AB769" s="1401">
        <f t="shared" si="269"/>
        <v>25480000</v>
      </c>
      <c r="AC769" s="1401">
        <f t="shared" si="270"/>
        <v>1820000</v>
      </c>
      <c r="AD769" s="1401">
        <f t="shared" si="271"/>
        <v>1820000</v>
      </c>
      <c r="AE769" s="1401">
        <f t="shared" si="272"/>
        <v>1820000</v>
      </c>
      <c r="AF769" s="1401">
        <f t="shared" si="273"/>
        <v>1820000</v>
      </c>
      <c r="AG769" s="1479">
        <f t="shared" si="274"/>
        <v>1820000</v>
      </c>
      <c r="AH769" s="1479">
        <f t="shared" si="275"/>
        <v>1820000</v>
      </c>
      <c r="AI769" s="1479">
        <f t="shared" si="276"/>
        <v>36400000</v>
      </c>
      <c r="AJ769" s="1401">
        <f t="shared" si="277"/>
        <v>36400000</v>
      </c>
    </row>
    <row r="770" spans="2:38" s="1472" customFormat="1" ht="29" customHeight="1" x14ac:dyDescent="0.2">
      <c r="C770" s="1478" t="s">
        <v>2306</v>
      </c>
      <c r="D770" s="1576"/>
      <c r="E770" s="1594" t="s">
        <v>856</v>
      </c>
      <c r="F770" s="1595"/>
      <c r="G770" s="1501" t="s">
        <v>855</v>
      </c>
      <c r="H770" s="1414"/>
      <c r="I770" s="1501" t="s">
        <v>736</v>
      </c>
      <c r="J770" s="1512"/>
      <c r="K770" s="1416"/>
      <c r="L770" s="1500"/>
      <c r="M770" s="1429"/>
      <c r="N770" s="1416">
        <v>2000</v>
      </c>
      <c r="O770" s="1414"/>
      <c r="P770" s="1414"/>
      <c r="Q770" s="1414"/>
      <c r="R770" s="1501" t="s">
        <v>12</v>
      </c>
      <c r="S770" s="1539">
        <v>72800000</v>
      </c>
      <c r="T770" s="1416" t="s">
        <v>43</v>
      </c>
      <c r="U770" s="1427"/>
      <c r="V770" s="1477"/>
      <c r="W770" s="1478" t="str">
        <f t="shared" si="263"/>
        <v>04.14.07</v>
      </c>
      <c r="X770" s="1478" t="str">
        <f t="shared" si="265"/>
        <v>Bangunan Air Kotor</v>
      </c>
      <c r="Y770" s="1478">
        <f t="shared" si="266"/>
        <v>40</v>
      </c>
      <c r="Z770" s="1401">
        <f t="shared" si="267"/>
        <v>1820000</v>
      </c>
      <c r="AA770" s="1444">
        <f t="shared" si="268"/>
        <v>14</v>
      </c>
      <c r="AB770" s="1401">
        <f t="shared" si="269"/>
        <v>25480000</v>
      </c>
      <c r="AC770" s="1401">
        <f t="shared" si="270"/>
        <v>1820000</v>
      </c>
      <c r="AD770" s="1401">
        <f t="shared" si="271"/>
        <v>1820000</v>
      </c>
      <c r="AE770" s="1401">
        <f t="shared" si="272"/>
        <v>1820000</v>
      </c>
      <c r="AF770" s="1401">
        <f t="shared" si="273"/>
        <v>1820000</v>
      </c>
      <c r="AG770" s="1479">
        <f t="shared" si="274"/>
        <v>1820000</v>
      </c>
      <c r="AH770" s="1479">
        <f t="shared" si="275"/>
        <v>1820000</v>
      </c>
      <c r="AI770" s="1479">
        <f t="shared" si="276"/>
        <v>36400000</v>
      </c>
      <c r="AJ770" s="1401">
        <f t="shared" si="277"/>
        <v>36400000</v>
      </c>
    </row>
    <row r="771" spans="2:38" s="1472" customFormat="1" ht="29" customHeight="1" x14ac:dyDescent="0.2">
      <c r="C771" s="1478" t="s">
        <v>2306</v>
      </c>
      <c r="D771" s="1576"/>
      <c r="E771" s="1594" t="s">
        <v>857</v>
      </c>
      <c r="F771" s="1595"/>
      <c r="G771" s="1501" t="s">
        <v>855</v>
      </c>
      <c r="H771" s="1414"/>
      <c r="I771" s="1501" t="s">
        <v>736</v>
      </c>
      <c r="J771" s="1512"/>
      <c r="K771" s="1416"/>
      <c r="L771" s="1500"/>
      <c r="M771" s="1429"/>
      <c r="N771" s="1416">
        <v>2000</v>
      </c>
      <c r="O771" s="1414"/>
      <c r="P771" s="1414"/>
      <c r="Q771" s="1414"/>
      <c r="R771" s="1501" t="s">
        <v>12</v>
      </c>
      <c r="S771" s="1539">
        <v>72800000</v>
      </c>
      <c r="T771" s="1416" t="s">
        <v>43</v>
      </c>
      <c r="U771" s="1427"/>
      <c r="V771" s="1477"/>
      <c r="W771" s="1478" t="str">
        <f t="shared" si="263"/>
        <v>04.14.07</v>
      </c>
      <c r="X771" s="1478" t="str">
        <f t="shared" si="265"/>
        <v>Bangunan Air Kotor</v>
      </c>
      <c r="Y771" s="1478">
        <f t="shared" si="266"/>
        <v>40</v>
      </c>
      <c r="Z771" s="1401">
        <f t="shared" si="267"/>
        <v>1820000</v>
      </c>
      <c r="AA771" s="1444">
        <f t="shared" si="268"/>
        <v>14</v>
      </c>
      <c r="AB771" s="1401">
        <f t="shared" si="269"/>
        <v>25480000</v>
      </c>
      <c r="AC771" s="1401">
        <f t="shared" si="270"/>
        <v>1820000</v>
      </c>
      <c r="AD771" s="1401">
        <f t="shared" si="271"/>
        <v>1820000</v>
      </c>
      <c r="AE771" s="1401">
        <f t="shared" si="272"/>
        <v>1820000</v>
      </c>
      <c r="AF771" s="1401">
        <f t="shared" si="273"/>
        <v>1820000</v>
      </c>
      <c r="AG771" s="1479">
        <f t="shared" si="274"/>
        <v>1820000</v>
      </c>
      <c r="AH771" s="1479">
        <f t="shared" si="275"/>
        <v>1820000</v>
      </c>
      <c r="AI771" s="1479">
        <f t="shared" si="276"/>
        <v>36400000</v>
      </c>
      <c r="AJ771" s="1401">
        <f t="shared" si="277"/>
        <v>36400000</v>
      </c>
    </row>
    <row r="772" spans="2:38" s="1472" customFormat="1" ht="29" customHeight="1" x14ac:dyDescent="0.2">
      <c r="C772" s="1478" t="s">
        <v>2306</v>
      </c>
      <c r="D772" s="1576"/>
      <c r="E772" s="1594" t="s">
        <v>858</v>
      </c>
      <c r="F772" s="1595"/>
      <c r="G772" s="1501" t="s">
        <v>855</v>
      </c>
      <c r="H772" s="1414"/>
      <c r="I772" s="1501" t="s">
        <v>736</v>
      </c>
      <c r="J772" s="1512"/>
      <c r="K772" s="1416"/>
      <c r="L772" s="1500"/>
      <c r="M772" s="1429"/>
      <c r="N772" s="1416">
        <v>2000</v>
      </c>
      <c r="O772" s="1414"/>
      <c r="P772" s="1414"/>
      <c r="Q772" s="1414"/>
      <c r="R772" s="1501" t="s">
        <v>12</v>
      </c>
      <c r="S772" s="1539">
        <v>210000000</v>
      </c>
      <c r="T772" s="1416" t="s">
        <v>43</v>
      </c>
      <c r="U772" s="1427"/>
      <c r="V772" s="1477"/>
      <c r="W772" s="1478" t="str">
        <f t="shared" si="263"/>
        <v>04.14.07</v>
      </c>
      <c r="X772" s="1478" t="str">
        <f t="shared" si="265"/>
        <v>Bangunan Air Kotor</v>
      </c>
      <c r="Y772" s="1478">
        <f t="shared" si="266"/>
        <v>40</v>
      </c>
      <c r="Z772" s="1401">
        <f t="shared" si="267"/>
        <v>5250000</v>
      </c>
      <c r="AA772" s="1444">
        <f t="shared" si="268"/>
        <v>14</v>
      </c>
      <c r="AB772" s="1401">
        <f t="shared" si="269"/>
        <v>73500000</v>
      </c>
      <c r="AC772" s="1401">
        <f t="shared" si="270"/>
        <v>5250000</v>
      </c>
      <c r="AD772" s="1401">
        <f t="shared" si="271"/>
        <v>5250000</v>
      </c>
      <c r="AE772" s="1401">
        <f t="shared" si="272"/>
        <v>5250000</v>
      </c>
      <c r="AF772" s="1401">
        <f t="shared" si="273"/>
        <v>5250000</v>
      </c>
      <c r="AG772" s="1479">
        <f t="shared" si="274"/>
        <v>5250000</v>
      </c>
      <c r="AH772" s="1479">
        <f t="shared" si="275"/>
        <v>5250000</v>
      </c>
      <c r="AI772" s="1479">
        <f t="shared" si="276"/>
        <v>105000000</v>
      </c>
      <c r="AJ772" s="1401">
        <f t="shared" si="277"/>
        <v>105000000</v>
      </c>
    </row>
    <row r="773" spans="2:38" s="1390" customFormat="1" ht="60" customHeight="1" x14ac:dyDescent="0.2">
      <c r="B773" s="1472"/>
      <c r="C773" s="1478" t="s">
        <v>2307</v>
      </c>
      <c r="D773" s="1426"/>
      <c r="E773" s="1455" t="s">
        <v>1612</v>
      </c>
      <c r="F773" s="1562"/>
      <c r="G773" s="1416" t="s">
        <v>4899</v>
      </c>
      <c r="H773" s="1429"/>
      <c r="I773" s="1501"/>
      <c r="J773" s="1540"/>
      <c r="K773" s="1501"/>
      <c r="L773" s="1526"/>
      <c r="M773" s="1429" t="s">
        <v>3549</v>
      </c>
      <c r="N773" s="1501">
        <v>2007</v>
      </c>
      <c r="O773" s="1429"/>
      <c r="P773" s="1429"/>
      <c r="Q773" s="1429"/>
      <c r="R773" s="1501" t="s">
        <v>12</v>
      </c>
      <c r="S773" s="1539">
        <v>2703573800</v>
      </c>
      <c r="T773" s="1501" t="s">
        <v>43</v>
      </c>
      <c r="U773" s="1596"/>
      <c r="V773" s="1553"/>
      <c r="W773" s="1478" t="str">
        <f t="shared" ref="W773:W800" si="278">LEFT(G773,8)</f>
        <v>04.14.04</v>
      </c>
      <c r="X773" s="1478" t="str">
        <f t="shared" ref="X773:X800" si="279">VLOOKUP(W773,UE,3,FALSE)</f>
        <v>Bangunan Pengaman Sungai dan Penanggulangan Bencana Alam</v>
      </c>
      <c r="Y773" s="1478">
        <f t="shared" ref="Y773:Y800" si="280">VLOOKUP(W773,UE,4,FALSE)</f>
        <v>10</v>
      </c>
      <c r="Z773" s="1401">
        <f t="shared" ref="Z773:Z800" si="281">S773/Y773</f>
        <v>270357380</v>
      </c>
      <c r="AA773" s="1444">
        <f t="shared" ref="AA773:AA800" si="282">IF(2013-N773+1&gt;Y773,Y773,IF(2013-N773+1&lt;0,0,2013-N773+1))</f>
        <v>7</v>
      </c>
      <c r="AB773" s="1401">
        <f t="shared" ref="AB773:AB800" si="283">IF(AA773&gt;Y773,S773,Z773*AA773)</f>
        <v>1892501660</v>
      </c>
      <c r="AC773" s="1401">
        <f t="shared" ref="AC773:AC800" si="284">IF(S773=AB773,0,Z773)</f>
        <v>270357380</v>
      </c>
      <c r="AD773" s="1401">
        <f t="shared" ref="AD773:AD800" si="285">IF(S773=AB773+AC773,0,Z773)</f>
        <v>270357380</v>
      </c>
      <c r="AE773" s="1401">
        <f t="shared" ref="AE773:AE800" si="286">IF(S773=AB773+AC773+AD773,0,Z773)</f>
        <v>270357380</v>
      </c>
      <c r="AF773" s="1401">
        <f t="shared" ref="AF773:AF800" si="287">IF(S773=AC773+AD773+AE773+AB773,0,Z773)</f>
        <v>0</v>
      </c>
      <c r="AG773" s="1479">
        <f t="shared" ref="AG773:AG800" si="288">IF(S773=AC773+AD773+AE773+AB773+AF773,0,Z773)</f>
        <v>0</v>
      </c>
      <c r="AH773" s="1479">
        <f t="shared" ref="AH773:AH800" si="289">IF(S773=AC773+AD773+AE773+AB773+AF773+AG773,0,Z773)</f>
        <v>0</v>
      </c>
      <c r="AI773" s="1479">
        <f t="shared" ref="AI773:AI800" si="290">SUM(AB773:AH773)</f>
        <v>2703573800</v>
      </c>
      <c r="AJ773" s="1401">
        <f t="shared" ref="AJ773:AJ800" si="291">S773-AI773</f>
        <v>0</v>
      </c>
      <c r="AL773" s="1443">
        <f t="shared" ref="AL773:AL779" si="292">SUM(AB773:AG773)</f>
        <v>2703573800</v>
      </c>
    </row>
    <row r="774" spans="2:38" s="1390" customFormat="1" ht="33" customHeight="1" x14ac:dyDescent="0.2">
      <c r="B774" s="1472"/>
      <c r="C774" s="1478" t="s">
        <v>2307</v>
      </c>
      <c r="D774" s="1426"/>
      <c r="E774" s="1455" t="s">
        <v>1470</v>
      </c>
      <c r="F774" s="1562"/>
      <c r="G774" s="1501" t="s">
        <v>5629</v>
      </c>
      <c r="H774" s="1429"/>
      <c r="I774" s="1501"/>
      <c r="J774" s="1540"/>
      <c r="K774" s="1501"/>
      <c r="L774" s="1526"/>
      <c r="M774" s="1429" t="s">
        <v>3549</v>
      </c>
      <c r="N774" s="1501">
        <v>2007</v>
      </c>
      <c r="O774" s="1429"/>
      <c r="P774" s="1429"/>
      <c r="Q774" s="1429"/>
      <c r="R774" s="1501" t="s">
        <v>12</v>
      </c>
      <c r="S774" s="1539">
        <v>10790891754</v>
      </c>
      <c r="T774" s="1501" t="s">
        <v>43</v>
      </c>
      <c r="U774" s="1596"/>
      <c r="V774" s="1553"/>
      <c r="W774" s="1478" t="str">
        <f t="shared" si="278"/>
        <v>04.14.01</v>
      </c>
      <c r="X774" s="1478" t="str">
        <f t="shared" si="279"/>
        <v>Bangunan Air Irigasi</v>
      </c>
      <c r="Y774" s="1478">
        <f t="shared" si="280"/>
        <v>50</v>
      </c>
      <c r="Z774" s="1401">
        <f t="shared" si="281"/>
        <v>215817835.08000001</v>
      </c>
      <c r="AA774" s="1444">
        <f t="shared" si="282"/>
        <v>7</v>
      </c>
      <c r="AB774" s="1401">
        <f t="shared" si="283"/>
        <v>1510724845.5600002</v>
      </c>
      <c r="AC774" s="1401">
        <f t="shared" si="284"/>
        <v>215817835.08000001</v>
      </c>
      <c r="AD774" s="1401">
        <f t="shared" si="285"/>
        <v>215817835.08000001</v>
      </c>
      <c r="AE774" s="1401">
        <f t="shared" si="286"/>
        <v>215817835.08000001</v>
      </c>
      <c r="AF774" s="1401">
        <f t="shared" si="287"/>
        <v>215817835.08000001</v>
      </c>
      <c r="AG774" s="1479">
        <f t="shared" si="288"/>
        <v>215817835.08000001</v>
      </c>
      <c r="AH774" s="1479">
        <f t="shared" si="289"/>
        <v>215817835.08000001</v>
      </c>
      <c r="AI774" s="1479">
        <f t="shared" si="290"/>
        <v>2805631856.04</v>
      </c>
      <c r="AJ774" s="1401">
        <f t="shared" si="291"/>
        <v>7985259897.96</v>
      </c>
      <c r="AL774" s="1443">
        <f t="shared" si="292"/>
        <v>2589814020.96</v>
      </c>
    </row>
    <row r="775" spans="2:38" s="1390" customFormat="1" ht="33" customHeight="1" x14ac:dyDescent="0.2">
      <c r="B775" s="1472"/>
      <c r="C775" s="1478" t="s">
        <v>2307</v>
      </c>
      <c r="D775" s="1426"/>
      <c r="E775" s="1455" t="s">
        <v>1607</v>
      </c>
      <c r="F775" s="1562"/>
      <c r="G775" s="1501" t="s">
        <v>2552</v>
      </c>
      <c r="H775" s="1429"/>
      <c r="I775" s="1501"/>
      <c r="J775" s="1540"/>
      <c r="K775" s="1501"/>
      <c r="L775" s="1526"/>
      <c r="M775" s="1429" t="s">
        <v>3549</v>
      </c>
      <c r="N775" s="1501">
        <v>2007</v>
      </c>
      <c r="O775" s="1429"/>
      <c r="P775" s="1429"/>
      <c r="Q775" s="1429"/>
      <c r="R775" s="1501" t="s">
        <v>12</v>
      </c>
      <c r="S775" s="1539">
        <v>9817024325</v>
      </c>
      <c r="T775" s="1501" t="s">
        <v>43</v>
      </c>
      <c r="U775" s="1596"/>
      <c r="V775" s="1553"/>
      <c r="W775" s="1478" t="str">
        <f t="shared" si="278"/>
        <v>04.14.01</v>
      </c>
      <c r="X775" s="1478" t="str">
        <f t="shared" si="279"/>
        <v>Bangunan Air Irigasi</v>
      </c>
      <c r="Y775" s="1478">
        <f t="shared" si="280"/>
        <v>50</v>
      </c>
      <c r="Z775" s="1401">
        <f t="shared" si="281"/>
        <v>196340486.5</v>
      </c>
      <c r="AA775" s="1444">
        <f t="shared" si="282"/>
        <v>7</v>
      </c>
      <c r="AB775" s="1401">
        <f t="shared" si="283"/>
        <v>1374383405.5</v>
      </c>
      <c r="AC775" s="1401">
        <f t="shared" si="284"/>
        <v>196340486.5</v>
      </c>
      <c r="AD775" s="1401">
        <f t="shared" si="285"/>
        <v>196340486.5</v>
      </c>
      <c r="AE775" s="1401">
        <f t="shared" si="286"/>
        <v>196340486.5</v>
      </c>
      <c r="AF775" s="1401">
        <f t="shared" si="287"/>
        <v>196340486.5</v>
      </c>
      <c r="AG775" s="1479">
        <f t="shared" si="288"/>
        <v>196340486.5</v>
      </c>
      <c r="AH775" s="1479">
        <f t="shared" si="289"/>
        <v>196340486.5</v>
      </c>
      <c r="AI775" s="1479">
        <f t="shared" si="290"/>
        <v>2552426324.5</v>
      </c>
      <c r="AJ775" s="1401">
        <f t="shared" si="291"/>
        <v>7264598000.5</v>
      </c>
      <c r="AL775" s="1443">
        <f t="shared" si="292"/>
        <v>2356085838</v>
      </c>
    </row>
    <row r="776" spans="2:38" s="1390" customFormat="1" ht="64" customHeight="1" x14ac:dyDescent="0.2">
      <c r="B776" s="1472"/>
      <c r="C776" s="1478" t="s">
        <v>2307</v>
      </c>
      <c r="D776" s="1426"/>
      <c r="E776" s="1455" t="s">
        <v>1608</v>
      </c>
      <c r="F776" s="1562"/>
      <c r="G776" s="1501" t="s">
        <v>2552</v>
      </c>
      <c r="H776" s="1429"/>
      <c r="I776" s="1501"/>
      <c r="J776" s="1540"/>
      <c r="K776" s="1501"/>
      <c r="L776" s="1526"/>
      <c r="M776" s="1429" t="s">
        <v>3549</v>
      </c>
      <c r="N776" s="1501">
        <v>2007</v>
      </c>
      <c r="O776" s="1429"/>
      <c r="P776" s="1429"/>
      <c r="Q776" s="1429"/>
      <c r="R776" s="1501" t="s">
        <v>12</v>
      </c>
      <c r="S776" s="1539">
        <v>2336767000</v>
      </c>
      <c r="T776" s="1501" t="s">
        <v>43</v>
      </c>
      <c r="U776" s="1596"/>
      <c r="V776" s="1553"/>
      <c r="W776" s="1478" t="str">
        <f t="shared" si="278"/>
        <v>04.14.01</v>
      </c>
      <c r="X776" s="1478" t="str">
        <f t="shared" si="279"/>
        <v>Bangunan Air Irigasi</v>
      </c>
      <c r="Y776" s="1478">
        <f t="shared" si="280"/>
        <v>50</v>
      </c>
      <c r="Z776" s="1401">
        <f t="shared" si="281"/>
        <v>46735340</v>
      </c>
      <c r="AA776" s="1444">
        <f t="shared" si="282"/>
        <v>7</v>
      </c>
      <c r="AB776" s="1401">
        <f t="shared" si="283"/>
        <v>327147380</v>
      </c>
      <c r="AC776" s="1401">
        <f t="shared" si="284"/>
        <v>46735340</v>
      </c>
      <c r="AD776" s="1401">
        <f t="shared" si="285"/>
        <v>46735340</v>
      </c>
      <c r="AE776" s="1401">
        <f t="shared" si="286"/>
        <v>46735340</v>
      </c>
      <c r="AF776" s="1401">
        <f t="shared" si="287"/>
        <v>46735340</v>
      </c>
      <c r="AG776" s="1479">
        <f t="shared" si="288"/>
        <v>46735340</v>
      </c>
      <c r="AH776" s="1479">
        <f t="shared" si="289"/>
        <v>46735340</v>
      </c>
      <c r="AI776" s="1479">
        <f t="shared" si="290"/>
        <v>607559420</v>
      </c>
      <c r="AJ776" s="1401">
        <f t="shared" si="291"/>
        <v>1729207580</v>
      </c>
      <c r="AL776" s="1443">
        <f t="shared" si="292"/>
        <v>560824080</v>
      </c>
    </row>
    <row r="777" spans="2:38" s="1390" customFormat="1" ht="64" customHeight="1" x14ac:dyDescent="0.2">
      <c r="B777" s="1472"/>
      <c r="C777" s="1478" t="s">
        <v>2307</v>
      </c>
      <c r="D777" s="1426"/>
      <c r="E777" s="1455" t="s">
        <v>1609</v>
      </c>
      <c r="F777" s="1562"/>
      <c r="G777" s="1501" t="s">
        <v>2552</v>
      </c>
      <c r="H777" s="1429"/>
      <c r="I777" s="1501"/>
      <c r="J777" s="1540"/>
      <c r="K777" s="1501"/>
      <c r="L777" s="1526"/>
      <c r="M777" s="1429" t="s">
        <v>3549</v>
      </c>
      <c r="N777" s="1501">
        <v>2007</v>
      </c>
      <c r="O777" s="1429"/>
      <c r="P777" s="1429"/>
      <c r="Q777" s="1429"/>
      <c r="R777" s="1501" t="s">
        <v>12</v>
      </c>
      <c r="S777" s="1539">
        <v>1300003636.4000001</v>
      </c>
      <c r="T777" s="1501" t="s">
        <v>43</v>
      </c>
      <c r="U777" s="1596"/>
      <c r="V777" s="1553"/>
      <c r="W777" s="1478" t="str">
        <f t="shared" si="278"/>
        <v>04.14.01</v>
      </c>
      <c r="X777" s="1478" t="str">
        <f t="shared" si="279"/>
        <v>Bangunan Air Irigasi</v>
      </c>
      <c r="Y777" s="1478">
        <f t="shared" si="280"/>
        <v>50</v>
      </c>
      <c r="Z777" s="1401">
        <f t="shared" si="281"/>
        <v>26000072.728</v>
      </c>
      <c r="AA777" s="1444">
        <f t="shared" si="282"/>
        <v>7</v>
      </c>
      <c r="AB777" s="1401">
        <f t="shared" si="283"/>
        <v>182000509.09600002</v>
      </c>
      <c r="AC777" s="1401">
        <f t="shared" si="284"/>
        <v>26000072.728</v>
      </c>
      <c r="AD777" s="1401">
        <f t="shared" si="285"/>
        <v>26000072.728</v>
      </c>
      <c r="AE777" s="1401">
        <f t="shared" si="286"/>
        <v>26000072.728</v>
      </c>
      <c r="AF777" s="1401">
        <f t="shared" si="287"/>
        <v>26000072.728</v>
      </c>
      <c r="AG777" s="1479">
        <f t="shared" si="288"/>
        <v>26000072.728</v>
      </c>
      <c r="AH777" s="1479">
        <f t="shared" si="289"/>
        <v>26000072.728</v>
      </c>
      <c r="AI777" s="1479">
        <f t="shared" si="290"/>
        <v>338000945.46399993</v>
      </c>
      <c r="AJ777" s="1401">
        <f t="shared" si="291"/>
        <v>962002690.93600011</v>
      </c>
      <c r="AL777" s="1443">
        <f t="shared" si="292"/>
        <v>312000872.73599994</v>
      </c>
    </row>
    <row r="778" spans="2:38" s="1390" customFormat="1" ht="64" customHeight="1" x14ac:dyDescent="0.2">
      <c r="B778" s="1472"/>
      <c r="C778" s="1478" t="s">
        <v>2307</v>
      </c>
      <c r="D778" s="1426"/>
      <c r="E778" s="1455" t="s">
        <v>1609</v>
      </c>
      <c r="F778" s="1562"/>
      <c r="G778" s="1501" t="s">
        <v>2552</v>
      </c>
      <c r="H778" s="1429"/>
      <c r="I778" s="1501"/>
      <c r="J778" s="1540"/>
      <c r="K778" s="1501"/>
      <c r="L778" s="1526"/>
      <c r="M778" s="1429" t="s">
        <v>3549</v>
      </c>
      <c r="N778" s="1501">
        <v>2007</v>
      </c>
      <c r="O778" s="1429"/>
      <c r="P778" s="1429"/>
      <c r="Q778" s="1429"/>
      <c r="R778" s="1501" t="s">
        <v>12</v>
      </c>
      <c r="S778" s="1539">
        <v>130000363.59999999</v>
      </c>
      <c r="T778" s="1501" t="s">
        <v>43</v>
      </c>
      <c r="U778" s="1596"/>
      <c r="V778" s="1553"/>
      <c r="W778" s="1478" t="str">
        <f t="shared" si="278"/>
        <v>04.14.01</v>
      </c>
      <c r="X778" s="1478" t="str">
        <f t="shared" si="279"/>
        <v>Bangunan Air Irigasi</v>
      </c>
      <c r="Y778" s="1478">
        <f t="shared" si="280"/>
        <v>50</v>
      </c>
      <c r="Z778" s="1401">
        <f t="shared" si="281"/>
        <v>2600007.2719999999</v>
      </c>
      <c r="AA778" s="1444">
        <f t="shared" si="282"/>
        <v>7</v>
      </c>
      <c r="AB778" s="1401">
        <f t="shared" si="283"/>
        <v>18200050.903999999</v>
      </c>
      <c r="AC778" s="1401">
        <f t="shared" si="284"/>
        <v>2600007.2719999999</v>
      </c>
      <c r="AD778" s="1401">
        <f t="shared" si="285"/>
        <v>2600007.2719999999</v>
      </c>
      <c r="AE778" s="1401">
        <f t="shared" si="286"/>
        <v>2600007.2719999999</v>
      </c>
      <c r="AF778" s="1401">
        <f t="shared" si="287"/>
        <v>2600007.2719999999</v>
      </c>
      <c r="AG778" s="1479">
        <f t="shared" si="288"/>
        <v>2600007.2719999999</v>
      </c>
      <c r="AH778" s="1479">
        <f t="shared" si="289"/>
        <v>2600007.2719999999</v>
      </c>
      <c r="AI778" s="1479">
        <f t="shared" si="290"/>
        <v>33800094.535999998</v>
      </c>
      <c r="AJ778" s="1401">
        <f t="shared" si="291"/>
        <v>96200269.063999996</v>
      </c>
      <c r="AL778" s="1443">
        <f t="shared" si="292"/>
        <v>31200087.263999999</v>
      </c>
    </row>
    <row r="779" spans="2:38" s="1390" customFormat="1" ht="51" customHeight="1" x14ac:dyDescent="0.2">
      <c r="B779" s="1472"/>
      <c r="C779" s="1478" t="s">
        <v>2307</v>
      </c>
      <c r="D779" s="1426"/>
      <c r="E779" s="1455" t="s">
        <v>1610</v>
      </c>
      <c r="F779" s="1562"/>
      <c r="G779" s="1501" t="s">
        <v>2552</v>
      </c>
      <c r="H779" s="1429"/>
      <c r="I779" s="1501"/>
      <c r="J779" s="1540"/>
      <c r="K779" s="1501"/>
      <c r="L779" s="1526"/>
      <c r="M779" s="1429" t="s">
        <v>3549</v>
      </c>
      <c r="N779" s="1501">
        <v>2007</v>
      </c>
      <c r="O779" s="1429"/>
      <c r="P779" s="1429"/>
      <c r="Q779" s="1429"/>
      <c r="R779" s="1501" t="s">
        <v>12</v>
      </c>
      <c r="S779" s="1539">
        <v>993901000</v>
      </c>
      <c r="T779" s="1501" t="s">
        <v>43</v>
      </c>
      <c r="U779" s="1596"/>
      <c r="V779" s="1553"/>
      <c r="W779" s="1478" t="str">
        <f t="shared" si="278"/>
        <v>04.14.01</v>
      </c>
      <c r="X779" s="1478" t="str">
        <f t="shared" si="279"/>
        <v>Bangunan Air Irigasi</v>
      </c>
      <c r="Y779" s="1478">
        <f t="shared" si="280"/>
        <v>50</v>
      </c>
      <c r="Z779" s="1401">
        <f t="shared" si="281"/>
        <v>19878020</v>
      </c>
      <c r="AA779" s="1444">
        <f t="shared" si="282"/>
        <v>7</v>
      </c>
      <c r="AB779" s="1401">
        <f t="shared" si="283"/>
        <v>139146140</v>
      </c>
      <c r="AC779" s="1401">
        <f t="shared" si="284"/>
        <v>19878020</v>
      </c>
      <c r="AD779" s="1401">
        <f t="shared" si="285"/>
        <v>19878020</v>
      </c>
      <c r="AE779" s="1401">
        <f t="shared" si="286"/>
        <v>19878020</v>
      </c>
      <c r="AF779" s="1401">
        <f t="shared" si="287"/>
        <v>19878020</v>
      </c>
      <c r="AG779" s="1479">
        <f t="shared" si="288"/>
        <v>19878020</v>
      </c>
      <c r="AH779" s="1479">
        <f t="shared" si="289"/>
        <v>19878020</v>
      </c>
      <c r="AI779" s="1479">
        <f t="shared" si="290"/>
        <v>258414260</v>
      </c>
      <c r="AJ779" s="1401">
        <f t="shared" si="291"/>
        <v>735486740</v>
      </c>
      <c r="AL779" s="1443">
        <f t="shared" si="292"/>
        <v>238536240</v>
      </c>
    </row>
    <row r="780" spans="2:38" s="1390" customFormat="1" ht="51" customHeight="1" x14ac:dyDescent="0.2">
      <c r="B780" s="1472"/>
      <c r="C780" s="1478" t="s">
        <v>2307</v>
      </c>
      <c r="D780" s="1426"/>
      <c r="E780" s="1455" t="s">
        <v>1617</v>
      </c>
      <c r="F780" s="1562"/>
      <c r="G780" s="1501" t="s">
        <v>2525</v>
      </c>
      <c r="H780" s="1429"/>
      <c r="I780" s="1501"/>
      <c r="J780" s="1540"/>
      <c r="K780" s="1501"/>
      <c r="L780" s="1526"/>
      <c r="M780" s="1429" t="s">
        <v>3549</v>
      </c>
      <c r="N780" s="1501">
        <v>2008</v>
      </c>
      <c r="O780" s="1429"/>
      <c r="P780" s="1429"/>
      <c r="Q780" s="1429"/>
      <c r="R780" s="1501" t="s">
        <v>12</v>
      </c>
      <c r="S780" s="1539">
        <v>240015540</v>
      </c>
      <c r="T780" s="1501" t="s">
        <v>43</v>
      </c>
      <c r="U780" s="1596"/>
      <c r="V780" s="1553"/>
      <c r="W780" s="1478" t="str">
        <f t="shared" si="278"/>
        <v>04.14.04</v>
      </c>
      <c r="X780" s="1478" t="str">
        <f t="shared" si="279"/>
        <v>Bangunan Pengaman Sungai dan Penanggulangan Bencana Alam</v>
      </c>
      <c r="Y780" s="1478">
        <f t="shared" si="280"/>
        <v>10</v>
      </c>
      <c r="Z780" s="1401">
        <f t="shared" si="281"/>
        <v>24001554</v>
      </c>
      <c r="AA780" s="1444">
        <f t="shared" si="282"/>
        <v>6</v>
      </c>
      <c r="AB780" s="1401">
        <f t="shared" si="283"/>
        <v>144009324</v>
      </c>
      <c r="AC780" s="1401">
        <f t="shared" si="284"/>
        <v>24001554</v>
      </c>
      <c r="AD780" s="1401">
        <f t="shared" si="285"/>
        <v>24001554</v>
      </c>
      <c r="AE780" s="1401">
        <f t="shared" si="286"/>
        <v>24001554</v>
      </c>
      <c r="AF780" s="1401">
        <f t="shared" si="287"/>
        <v>24001554</v>
      </c>
      <c r="AG780" s="1479">
        <f t="shared" si="288"/>
        <v>0</v>
      </c>
      <c r="AH780" s="1479">
        <f t="shared" si="289"/>
        <v>0</v>
      </c>
      <c r="AI780" s="1479">
        <f t="shared" si="290"/>
        <v>240015540</v>
      </c>
      <c r="AJ780" s="1401">
        <f t="shared" si="291"/>
        <v>0</v>
      </c>
    </row>
    <row r="781" spans="2:38" s="1390" customFormat="1" ht="33" customHeight="1" x14ac:dyDescent="0.2">
      <c r="B781" s="1472"/>
      <c r="C781" s="1478" t="s">
        <v>2307</v>
      </c>
      <c r="D781" s="1426"/>
      <c r="E781" s="1455" t="s">
        <v>1618</v>
      </c>
      <c r="F781" s="1562"/>
      <c r="G781" s="1501" t="s">
        <v>2525</v>
      </c>
      <c r="H781" s="1429"/>
      <c r="I781" s="1501"/>
      <c r="J781" s="1540"/>
      <c r="K781" s="1501"/>
      <c r="L781" s="1526"/>
      <c r="M781" s="1429" t="s">
        <v>3549</v>
      </c>
      <c r="N781" s="1501">
        <v>2008</v>
      </c>
      <c r="O781" s="1429"/>
      <c r="P781" s="1429"/>
      <c r="Q781" s="1429"/>
      <c r="R781" s="1501" t="s">
        <v>12</v>
      </c>
      <c r="S781" s="1539">
        <v>162000000</v>
      </c>
      <c r="T781" s="1501" t="s">
        <v>43</v>
      </c>
      <c r="U781" s="1596"/>
      <c r="V781" s="1553"/>
      <c r="W781" s="1478" t="str">
        <f t="shared" si="278"/>
        <v>04.14.04</v>
      </c>
      <c r="X781" s="1478" t="str">
        <f t="shared" si="279"/>
        <v>Bangunan Pengaman Sungai dan Penanggulangan Bencana Alam</v>
      </c>
      <c r="Y781" s="1478">
        <f t="shared" si="280"/>
        <v>10</v>
      </c>
      <c r="Z781" s="1401">
        <f t="shared" si="281"/>
        <v>16200000</v>
      </c>
      <c r="AA781" s="1444">
        <f t="shared" si="282"/>
        <v>6</v>
      </c>
      <c r="AB781" s="1401">
        <f t="shared" si="283"/>
        <v>97200000</v>
      </c>
      <c r="AC781" s="1401">
        <f t="shared" si="284"/>
        <v>16200000</v>
      </c>
      <c r="AD781" s="1401">
        <f t="shared" si="285"/>
        <v>16200000</v>
      </c>
      <c r="AE781" s="1401">
        <f t="shared" si="286"/>
        <v>16200000</v>
      </c>
      <c r="AF781" s="1401">
        <f t="shared" si="287"/>
        <v>16200000</v>
      </c>
      <c r="AG781" s="1479">
        <f t="shared" si="288"/>
        <v>0</v>
      </c>
      <c r="AH781" s="1479">
        <f t="shared" si="289"/>
        <v>0</v>
      </c>
      <c r="AI781" s="1479">
        <f t="shared" si="290"/>
        <v>162000000</v>
      </c>
      <c r="AJ781" s="1401">
        <f t="shared" si="291"/>
        <v>0</v>
      </c>
    </row>
    <row r="782" spans="2:38" s="1390" customFormat="1" ht="33" customHeight="1" x14ac:dyDescent="0.2">
      <c r="B782" s="1472"/>
      <c r="C782" s="1478" t="s">
        <v>2307</v>
      </c>
      <c r="D782" s="1426"/>
      <c r="E782" s="1455" t="s">
        <v>1619</v>
      </c>
      <c r="F782" s="1562"/>
      <c r="G782" s="1501" t="s">
        <v>5752</v>
      </c>
      <c r="H782" s="1429"/>
      <c r="I782" s="1501"/>
      <c r="J782" s="1540"/>
      <c r="K782" s="1501"/>
      <c r="L782" s="1526"/>
      <c r="M782" s="1429" t="s">
        <v>1081</v>
      </c>
      <c r="N782" s="1501">
        <v>2008</v>
      </c>
      <c r="O782" s="1429"/>
      <c r="P782" s="1429"/>
      <c r="Q782" s="1429"/>
      <c r="R782" s="1501" t="s">
        <v>12</v>
      </c>
      <c r="S782" s="1539">
        <v>133560660.74659312</v>
      </c>
      <c r="T782" s="1501" t="s">
        <v>43</v>
      </c>
      <c r="U782" s="1596"/>
      <c r="V782" s="1553"/>
      <c r="W782" s="1478" t="str">
        <f t="shared" si="278"/>
        <v>04.14.04</v>
      </c>
      <c r="X782" s="1478" t="str">
        <f t="shared" si="279"/>
        <v>Bangunan Pengaman Sungai dan Penanggulangan Bencana Alam</v>
      </c>
      <c r="Y782" s="1478">
        <f t="shared" si="280"/>
        <v>10</v>
      </c>
      <c r="Z782" s="1401">
        <f t="shared" si="281"/>
        <v>13356066.074659312</v>
      </c>
      <c r="AA782" s="1444">
        <f t="shared" si="282"/>
        <v>6</v>
      </c>
      <c r="AB782" s="1401">
        <f t="shared" si="283"/>
        <v>80136396.447955877</v>
      </c>
      <c r="AC782" s="1401">
        <f t="shared" si="284"/>
        <v>13356066.074659312</v>
      </c>
      <c r="AD782" s="1401">
        <f t="shared" si="285"/>
        <v>13356066.074659312</v>
      </c>
      <c r="AE782" s="1401">
        <f t="shared" si="286"/>
        <v>13356066.074659312</v>
      </c>
      <c r="AF782" s="1401">
        <f t="shared" si="287"/>
        <v>13356066.074659312</v>
      </c>
      <c r="AG782" s="1479">
        <f t="shared" si="288"/>
        <v>0</v>
      </c>
      <c r="AH782" s="1479">
        <f t="shared" si="289"/>
        <v>0</v>
      </c>
      <c r="AI782" s="1479">
        <f t="shared" si="290"/>
        <v>133560660.74659315</v>
      </c>
      <c r="AJ782" s="1401">
        <f t="shared" si="291"/>
        <v>0</v>
      </c>
      <c r="AL782" s="1443">
        <f>SUM(AB782:AG782)</f>
        <v>133560660.74659315</v>
      </c>
    </row>
    <row r="783" spans="2:38" s="1390" customFormat="1" ht="33" customHeight="1" x14ac:dyDescent="0.2">
      <c r="B783" s="1472"/>
      <c r="C783" s="1478" t="s">
        <v>2307</v>
      </c>
      <c r="D783" s="1426"/>
      <c r="E783" s="1455" t="s">
        <v>1620</v>
      </c>
      <c r="F783" s="1562"/>
      <c r="G783" s="1501" t="s">
        <v>5752</v>
      </c>
      <c r="H783" s="1429"/>
      <c r="I783" s="1501"/>
      <c r="J783" s="1540"/>
      <c r="K783" s="1501"/>
      <c r="L783" s="1526"/>
      <c r="M783" s="1429" t="s">
        <v>2856</v>
      </c>
      <c r="N783" s="1501">
        <v>2008</v>
      </c>
      <c r="O783" s="1429"/>
      <c r="P783" s="1429"/>
      <c r="Q783" s="1429"/>
      <c r="R783" s="1501" t="s">
        <v>12</v>
      </c>
      <c r="S783" s="1539">
        <v>133367239.25340688</v>
      </c>
      <c r="T783" s="1501" t="s">
        <v>43</v>
      </c>
      <c r="U783" s="1596"/>
      <c r="V783" s="1553"/>
      <c r="W783" s="1478" t="str">
        <f t="shared" si="278"/>
        <v>04.14.04</v>
      </c>
      <c r="X783" s="1478" t="str">
        <f t="shared" si="279"/>
        <v>Bangunan Pengaman Sungai dan Penanggulangan Bencana Alam</v>
      </c>
      <c r="Y783" s="1478">
        <f t="shared" si="280"/>
        <v>10</v>
      </c>
      <c r="Z783" s="1401">
        <f t="shared" si="281"/>
        <v>13336723.925340688</v>
      </c>
      <c r="AA783" s="1444">
        <f t="shared" si="282"/>
        <v>6</v>
      </c>
      <c r="AB783" s="1401">
        <f t="shared" si="283"/>
        <v>80020343.552044123</v>
      </c>
      <c r="AC783" s="1401">
        <f t="shared" si="284"/>
        <v>13336723.925340688</v>
      </c>
      <c r="AD783" s="1401">
        <f t="shared" si="285"/>
        <v>13336723.925340688</v>
      </c>
      <c r="AE783" s="1401">
        <f t="shared" si="286"/>
        <v>13336723.925340688</v>
      </c>
      <c r="AF783" s="1401">
        <f t="shared" si="287"/>
        <v>13336723.925340688</v>
      </c>
      <c r="AG783" s="1479">
        <f t="shared" si="288"/>
        <v>0</v>
      </c>
      <c r="AH783" s="1479">
        <f t="shared" si="289"/>
        <v>0</v>
      </c>
      <c r="AI783" s="1479">
        <f t="shared" si="290"/>
        <v>133367239.25340685</v>
      </c>
      <c r="AJ783" s="1401">
        <f t="shared" si="291"/>
        <v>0</v>
      </c>
      <c r="AL783" s="1443">
        <f>SUM(AB783:AG783)</f>
        <v>133367239.25340685</v>
      </c>
    </row>
    <row r="784" spans="2:38" s="1390" customFormat="1" ht="33" customHeight="1" x14ac:dyDescent="0.2">
      <c r="B784" s="1472"/>
      <c r="C784" s="1478" t="s">
        <v>2307</v>
      </c>
      <c r="D784" s="1426"/>
      <c r="E784" s="1455" t="s">
        <v>1616</v>
      </c>
      <c r="F784" s="1562"/>
      <c r="G784" s="1501" t="s">
        <v>2525</v>
      </c>
      <c r="H784" s="1429"/>
      <c r="I784" s="1501"/>
      <c r="J784" s="1540"/>
      <c r="K784" s="1501"/>
      <c r="L784" s="1526"/>
      <c r="M784" s="1429" t="s">
        <v>3549</v>
      </c>
      <c r="N784" s="1501">
        <v>2008</v>
      </c>
      <c r="O784" s="1429"/>
      <c r="P784" s="1429"/>
      <c r="Q784" s="1429"/>
      <c r="R784" s="1501" t="s">
        <v>12</v>
      </c>
      <c r="S784" s="1539">
        <v>254393659.82620782</v>
      </c>
      <c r="T784" s="1501" t="s">
        <v>43</v>
      </c>
      <c r="U784" s="1596"/>
      <c r="V784" s="1553"/>
      <c r="W784" s="1478" t="str">
        <f t="shared" si="278"/>
        <v>04.14.04</v>
      </c>
      <c r="X784" s="1478" t="str">
        <f t="shared" si="279"/>
        <v>Bangunan Pengaman Sungai dan Penanggulangan Bencana Alam</v>
      </c>
      <c r="Y784" s="1478">
        <f t="shared" si="280"/>
        <v>10</v>
      </c>
      <c r="Z784" s="1401">
        <f t="shared" si="281"/>
        <v>25439365.982620783</v>
      </c>
      <c r="AA784" s="1444">
        <f t="shared" si="282"/>
        <v>6</v>
      </c>
      <c r="AB784" s="1401">
        <f t="shared" si="283"/>
        <v>152636195.89572471</v>
      </c>
      <c r="AC784" s="1401">
        <f t="shared" si="284"/>
        <v>25439365.982620783</v>
      </c>
      <c r="AD784" s="1401">
        <f t="shared" si="285"/>
        <v>25439365.982620783</v>
      </c>
      <c r="AE784" s="1401">
        <f t="shared" si="286"/>
        <v>25439365.982620783</v>
      </c>
      <c r="AF784" s="1401">
        <f t="shared" si="287"/>
        <v>25439365.982620783</v>
      </c>
      <c r="AG784" s="1479">
        <f t="shared" si="288"/>
        <v>0</v>
      </c>
      <c r="AH784" s="1479">
        <f t="shared" si="289"/>
        <v>0</v>
      </c>
      <c r="AI784" s="1479">
        <f t="shared" si="290"/>
        <v>254393659.82620782</v>
      </c>
      <c r="AJ784" s="1401">
        <f t="shared" si="291"/>
        <v>0</v>
      </c>
    </row>
    <row r="785" spans="2:38" s="1390" customFormat="1" ht="33" customHeight="1" x14ac:dyDescent="0.2">
      <c r="B785" s="1472"/>
      <c r="C785" s="1478" t="s">
        <v>2307</v>
      </c>
      <c r="D785" s="1426"/>
      <c r="E785" s="1455" t="s">
        <v>1624</v>
      </c>
      <c r="F785" s="1562"/>
      <c r="G785" s="1501" t="s">
        <v>5629</v>
      </c>
      <c r="H785" s="1429"/>
      <c r="I785" s="1501"/>
      <c r="J785" s="1540"/>
      <c r="K785" s="1501"/>
      <c r="L785" s="1526"/>
      <c r="M785" s="1429" t="s">
        <v>3550</v>
      </c>
      <c r="N785" s="1501">
        <v>2008</v>
      </c>
      <c r="O785" s="1429"/>
      <c r="P785" s="1429"/>
      <c r="Q785" s="1429"/>
      <c r="R785" s="1501" t="s">
        <v>12</v>
      </c>
      <c r="S785" s="1539">
        <v>162801023.12998566</v>
      </c>
      <c r="T785" s="1501" t="s">
        <v>43</v>
      </c>
      <c r="U785" s="1596"/>
      <c r="V785" s="1553"/>
      <c r="W785" s="1478" t="str">
        <f t="shared" si="278"/>
        <v>04.14.01</v>
      </c>
      <c r="X785" s="1478" t="str">
        <f t="shared" si="279"/>
        <v>Bangunan Air Irigasi</v>
      </c>
      <c r="Y785" s="1478">
        <f t="shared" si="280"/>
        <v>50</v>
      </c>
      <c r="Z785" s="1401">
        <f t="shared" si="281"/>
        <v>3256020.4625997134</v>
      </c>
      <c r="AA785" s="1444">
        <f t="shared" si="282"/>
        <v>6</v>
      </c>
      <c r="AB785" s="1401">
        <f t="shared" si="283"/>
        <v>19536122.77559828</v>
      </c>
      <c r="AC785" s="1401">
        <f t="shared" si="284"/>
        <v>3256020.4625997134</v>
      </c>
      <c r="AD785" s="1401">
        <f t="shared" si="285"/>
        <v>3256020.4625997134</v>
      </c>
      <c r="AE785" s="1401">
        <f t="shared" si="286"/>
        <v>3256020.4625997134</v>
      </c>
      <c r="AF785" s="1401">
        <f t="shared" si="287"/>
        <v>3256020.4625997134</v>
      </c>
      <c r="AG785" s="1479">
        <f t="shared" si="288"/>
        <v>3256020.4625997134</v>
      </c>
      <c r="AH785" s="1479">
        <f t="shared" si="289"/>
        <v>3256020.4625997134</v>
      </c>
      <c r="AI785" s="1479">
        <f t="shared" si="290"/>
        <v>39072245.55119656</v>
      </c>
      <c r="AJ785" s="1401">
        <f t="shared" si="291"/>
        <v>123728777.5787891</v>
      </c>
      <c r="AL785" s="1443">
        <f t="shared" ref="AL785:AL801" si="293">SUM(AB785:AG785)</f>
        <v>35816225.088596851</v>
      </c>
    </row>
    <row r="786" spans="2:38" s="1390" customFormat="1" ht="33" customHeight="1" x14ac:dyDescent="0.2">
      <c r="B786" s="1472" t="s">
        <v>3508</v>
      </c>
      <c r="C786" s="1478" t="s">
        <v>2307</v>
      </c>
      <c r="D786" s="1426"/>
      <c r="E786" s="1455" t="s">
        <v>1625</v>
      </c>
      <c r="F786" s="1562"/>
      <c r="G786" s="1501" t="s">
        <v>5629</v>
      </c>
      <c r="H786" s="1429"/>
      <c r="I786" s="1501"/>
      <c r="J786" s="1540"/>
      <c r="K786" s="1501"/>
      <c r="L786" s="1526"/>
      <c r="M786" s="1429" t="s">
        <v>2942</v>
      </c>
      <c r="N786" s="1501">
        <v>2008</v>
      </c>
      <c r="O786" s="1429"/>
      <c r="P786" s="1429"/>
      <c r="Q786" s="1429"/>
      <c r="R786" s="1501" t="s">
        <v>12</v>
      </c>
      <c r="S786" s="1539">
        <v>103501800</v>
      </c>
      <c r="T786" s="1501" t="s">
        <v>43</v>
      </c>
      <c r="U786" s="1596"/>
      <c r="V786" s="1553"/>
      <c r="W786" s="1478" t="str">
        <f t="shared" si="278"/>
        <v>04.14.01</v>
      </c>
      <c r="X786" s="1478" t="str">
        <f t="shared" si="279"/>
        <v>Bangunan Air Irigasi</v>
      </c>
      <c r="Y786" s="1478">
        <f t="shared" si="280"/>
        <v>50</v>
      </c>
      <c r="Z786" s="1401">
        <f t="shared" si="281"/>
        <v>2070036</v>
      </c>
      <c r="AA786" s="1444">
        <f t="shared" si="282"/>
        <v>6</v>
      </c>
      <c r="AB786" s="1401">
        <f t="shared" si="283"/>
        <v>12420216</v>
      </c>
      <c r="AC786" s="1401">
        <f t="shared" si="284"/>
        <v>2070036</v>
      </c>
      <c r="AD786" s="1401">
        <f t="shared" si="285"/>
        <v>2070036</v>
      </c>
      <c r="AE786" s="1401">
        <f t="shared" si="286"/>
        <v>2070036</v>
      </c>
      <c r="AF786" s="1401">
        <f t="shared" si="287"/>
        <v>2070036</v>
      </c>
      <c r="AG786" s="1479">
        <f t="shared" si="288"/>
        <v>2070036</v>
      </c>
      <c r="AH786" s="1479">
        <f t="shared" si="289"/>
        <v>2070036</v>
      </c>
      <c r="AI786" s="1479">
        <f t="shared" si="290"/>
        <v>24840432</v>
      </c>
      <c r="AJ786" s="1401">
        <f t="shared" si="291"/>
        <v>78661368</v>
      </c>
      <c r="AL786" s="1443">
        <f t="shared" si="293"/>
        <v>22770396</v>
      </c>
    </row>
    <row r="787" spans="2:38" s="1390" customFormat="1" ht="33" customHeight="1" x14ac:dyDescent="0.2">
      <c r="B787" s="1472" t="s">
        <v>5890</v>
      </c>
      <c r="C787" s="1478" t="s">
        <v>2307</v>
      </c>
      <c r="D787" s="1426"/>
      <c r="E787" s="1455" t="s">
        <v>1626</v>
      </c>
      <c r="F787" s="1562"/>
      <c r="G787" s="1501" t="s">
        <v>5629</v>
      </c>
      <c r="H787" s="1429"/>
      <c r="I787" s="1501"/>
      <c r="J787" s="1540"/>
      <c r="K787" s="1501"/>
      <c r="L787" s="1526"/>
      <c r="M787" s="1429" t="s">
        <v>2883</v>
      </c>
      <c r="N787" s="1501">
        <v>2008</v>
      </c>
      <c r="O787" s="1429"/>
      <c r="P787" s="1429"/>
      <c r="Q787" s="1429"/>
      <c r="R787" s="1501" t="s">
        <v>12</v>
      </c>
      <c r="S787" s="1539">
        <v>126169200</v>
      </c>
      <c r="T787" s="1501" t="s">
        <v>43</v>
      </c>
      <c r="U787" s="1596"/>
      <c r="V787" s="1553"/>
      <c r="W787" s="1478" t="str">
        <f t="shared" si="278"/>
        <v>04.14.01</v>
      </c>
      <c r="X787" s="1478" t="str">
        <f t="shared" si="279"/>
        <v>Bangunan Air Irigasi</v>
      </c>
      <c r="Y787" s="1478">
        <f t="shared" si="280"/>
        <v>50</v>
      </c>
      <c r="Z787" s="1401">
        <f t="shared" si="281"/>
        <v>2523384</v>
      </c>
      <c r="AA787" s="1444">
        <f t="shared" si="282"/>
        <v>6</v>
      </c>
      <c r="AB787" s="1401">
        <f t="shared" si="283"/>
        <v>15140304</v>
      </c>
      <c r="AC787" s="1401">
        <f t="shared" si="284"/>
        <v>2523384</v>
      </c>
      <c r="AD787" s="1401">
        <f t="shared" si="285"/>
        <v>2523384</v>
      </c>
      <c r="AE787" s="1401">
        <f t="shared" si="286"/>
        <v>2523384</v>
      </c>
      <c r="AF787" s="1401">
        <f t="shared" si="287"/>
        <v>2523384</v>
      </c>
      <c r="AG787" s="1479">
        <f t="shared" si="288"/>
        <v>2523384</v>
      </c>
      <c r="AH787" s="1479">
        <f t="shared" si="289"/>
        <v>2523384</v>
      </c>
      <c r="AI787" s="1479">
        <f t="shared" si="290"/>
        <v>30280608</v>
      </c>
      <c r="AJ787" s="1401">
        <f t="shared" si="291"/>
        <v>95888592</v>
      </c>
      <c r="AL787" s="1443">
        <f t="shared" si="293"/>
        <v>27757224</v>
      </c>
    </row>
    <row r="788" spans="2:38" s="1390" customFormat="1" ht="33" customHeight="1" x14ac:dyDescent="0.2">
      <c r="B788" s="1472"/>
      <c r="C788" s="1478" t="s">
        <v>2307</v>
      </c>
      <c r="D788" s="1426"/>
      <c r="E788" s="1455" t="s">
        <v>1629</v>
      </c>
      <c r="F788" s="1562"/>
      <c r="G788" s="1501" t="s">
        <v>5629</v>
      </c>
      <c r="H788" s="1429"/>
      <c r="I788" s="1501"/>
      <c r="J788" s="1540"/>
      <c r="K788" s="1501"/>
      <c r="L788" s="1526"/>
      <c r="M788" s="1429" t="s">
        <v>3551</v>
      </c>
      <c r="N788" s="1501">
        <v>2008</v>
      </c>
      <c r="O788" s="1429"/>
      <c r="P788" s="1429"/>
      <c r="Q788" s="1429"/>
      <c r="R788" s="1501" t="s">
        <v>12</v>
      </c>
      <c r="S788" s="1539">
        <v>170169300</v>
      </c>
      <c r="T788" s="1501" t="s">
        <v>43</v>
      </c>
      <c r="U788" s="1596"/>
      <c r="V788" s="1553"/>
      <c r="W788" s="1478" t="str">
        <f t="shared" si="278"/>
        <v>04.14.01</v>
      </c>
      <c r="X788" s="1478" t="str">
        <f t="shared" si="279"/>
        <v>Bangunan Air Irigasi</v>
      </c>
      <c r="Y788" s="1478">
        <f t="shared" si="280"/>
        <v>50</v>
      </c>
      <c r="Z788" s="1401">
        <f t="shared" si="281"/>
        <v>3403386</v>
      </c>
      <c r="AA788" s="1444">
        <f t="shared" si="282"/>
        <v>6</v>
      </c>
      <c r="AB788" s="1401">
        <f t="shared" si="283"/>
        <v>20420316</v>
      </c>
      <c r="AC788" s="1401">
        <f t="shared" si="284"/>
        <v>3403386</v>
      </c>
      <c r="AD788" s="1401">
        <f t="shared" si="285"/>
        <v>3403386</v>
      </c>
      <c r="AE788" s="1401">
        <f t="shared" si="286"/>
        <v>3403386</v>
      </c>
      <c r="AF788" s="1401">
        <f t="shared" si="287"/>
        <v>3403386</v>
      </c>
      <c r="AG788" s="1479">
        <f t="shared" si="288"/>
        <v>3403386</v>
      </c>
      <c r="AH788" s="1479">
        <f t="shared" si="289"/>
        <v>3403386</v>
      </c>
      <c r="AI788" s="1479">
        <f t="shared" si="290"/>
        <v>40840632</v>
      </c>
      <c r="AJ788" s="1401">
        <f t="shared" si="291"/>
        <v>129328668</v>
      </c>
      <c r="AL788" s="1443">
        <f t="shared" si="293"/>
        <v>37437246</v>
      </c>
    </row>
    <row r="789" spans="2:38" s="1390" customFormat="1" ht="33" customHeight="1" x14ac:dyDescent="0.2">
      <c r="B789" s="1472" t="s">
        <v>3508</v>
      </c>
      <c r="C789" s="1478" t="s">
        <v>2307</v>
      </c>
      <c r="D789" s="1426"/>
      <c r="E789" s="1455" t="s">
        <v>1625</v>
      </c>
      <c r="F789" s="1562"/>
      <c r="G789" s="1501" t="s">
        <v>5629</v>
      </c>
      <c r="H789" s="1429"/>
      <c r="I789" s="1501"/>
      <c r="J789" s="1540"/>
      <c r="K789" s="1501"/>
      <c r="L789" s="1526"/>
      <c r="M789" s="1429" t="s">
        <v>2942</v>
      </c>
      <c r="N789" s="1501">
        <v>2008</v>
      </c>
      <c r="O789" s="1429"/>
      <c r="P789" s="1429"/>
      <c r="Q789" s="1429"/>
      <c r="R789" s="1501" t="s">
        <v>12</v>
      </c>
      <c r="S789" s="1539">
        <v>11500000</v>
      </c>
      <c r="T789" s="1501" t="s">
        <v>43</v>
      </c>
      <c r="U789" s="1596"/>
      <c r="V789" s="1553"/>
      <c r="W789" s="1478" t="str">
        <f t="shared" si="278"/>
        <v>04.14.01</v>
      </c>
      <c r="X789" s="1478" t="str">
        <f t="shared" si="279"/>
        <v>Bangunan Air Irigasi</v>
      </c>
      <c r="Y789" s="1478">
        <f t="shared" si="280"/>
        <v>50</v>
      </c>
      <c r="Z789" s="1401">
        <f t="shared" si="281"/>
        <v>230000</v>
      </c>
      <c r="AA789" s="1444">
        <f t="shared" si="282"/>
        <v>6</v>
      </c>
      <c r="AB789" s="1401">
        <f t="shared" si="283"/>
        <v>1380000</v>
      </c>
      <c r="AC789" s="1401">
        <f t="shared" si="284"/>
        <v>230000</v>
      </c>
      <c r="AD789" s="1401">
        <f t="shared" si="285"/>
        <v>230000</v>
      </c>
      <c r="AE789" s="1401">
        <f t="shared" si="286"/>
        <v>230000</v>
      </c>
      <c r="AF789" s="1401">
        <f t="shared" si="287"/>
        <v>230000</v>
      </c>
      <c r="AG789" s="1479">
        <f t="shared" si="288"/>
        <v>230000</v>
      </c>
      <c r="AH789" s="1479">
        <f t="shared" si="289"/>
        <v>230000</v>
      </c>
      <c r="AI789" s="1479">
        <f t="shared" si="290"/>
        <v>2760000</v>
      </c>
      <c r="AJ789" s="1401">
        <f t="shared" si="291"/>
        <v>8740000</v>
      </c>
      <c r="AL789" s="1443">
        <f t="shared" si="293"/>
        <v>2530000</v>
      </c>
    </row>
    <row r="790" spans="2:38" s="1390" customFormat="1" ht="33" customHeight="1" x14ac:dyDescent="0.2">
      <c r="B790" s="1472" t="s">
        <v>5890</v>
      </c>
      <c r="C790" s="1478" t="s">
        <v>2307</v>
      </c>
      <c r="D790" s="1426"/>
      <c r="E790" s="1455" t="s">
        <v>1626</v>
      </c>
      <c r="F790" s="1562"/>
      <c r="G790" s="1501" t="s">
        <v>5629</v>
      </c>
      <c r="H790" s="1429"/>
      <c r="I790" s="1501"/>
      <c r="J790" s="1540"/>
      <c r="K790" s="1501"/>
      <c r="L790" s="1526"/>
      <c r="M790" s="1429" t="s">
        <v>2883</v>
      </c>
      <c r="N790" s="1501">
        <v>2008</v>
      </c>
      <c r="O790" s="1429"/>
      <c r="P790" s="1429"/>
      <c r="Q790" s="1429"/>
      <c r="R790" s="1501" t="s">
        <v>12</v>
      </c>
      <c r="S790" s="1539">
        <v>14018800</v>
      </c>
      <c r="T790" s="1501" t="s">
        <v>43</v>
      </c>
      <c r="U790" s="1596"/>
      <c r="V790" s="1553"/>
      <c r="W790" s="1478" t="str">
        <f t="shared" si="278"/>
        <v>04.14.01</v>
      </c>
      <c r="X790" s="1478" t="str">
        <f t="shared" si="279"/>
        <v>Bangunan Air Irigasi</v>
      </c>
      <c r="Y790" s="1478">
        <f t="shared" si="280"/>
        <v>50</v>
      </c>
      <c r="Z790" s="1401">
        <f t="shared" si="281"/>
        <v>280376</v>
      </c>
      <c r="AA790" s="1444">
        <f t="shared" si="282"/>
        <v>6</v>
      </c>
      <c r="AB790" s="1401">
        <f t="shared" si="283"/>
        <v>1682256</v>
      </c>
      <c r="AC790" s="1401">
        <f t="shared" si="284"/>
        <v>280376</v>
      </c>
      <c r="AD790" s="1401">
        <f t="shared" si="285"/>
        <v>280376</v>
      </c>
      <c r="AE790" s="1401">
        <f t="shared" si="286"/>
        <v>280376</v>
      </c>
      <c r="AF790" s="1401">
        <f t="shared" si="287"/>
        <v>280376</v>
      </c>
      <c r="AG790" s="1479">
        <f t="shared" si="288"/>
        <v>280376</v>
      </c>
      <c r="AH790" s="1479">
        <f t="shared" si="289"/>
        <v>280376</v>
      </c>
      <c r="AI790" s="1479">
        <f t="shared" si="290"/>
        <v>3364512</v>
      </c>
      <c r="AJ790" s="1401">
        <f t="shared" si="291"/>
        <v>10654288</v>
      </c>
      <c r="AL790" s="1443">
        <f t="shared" si="293"/>
        <v>3084136</v>
      </c>
    </row>
    <row r="791" spans="2:38" s="1390" customFormat="1" ht="33" customHeight="1" x14ac:dyDescent="0.2">
      <c r="B791" s="1472"/>
      <c r="C791" s="1478" t="s">
        <v>2307</v>
      </c>
      <c r="D791" s="1426"/>
      <c r="E791" s="1455" t="s">
        <v>1629</v>
      </c>
      <c r="F791" s="1562"/>
      <c r="G791" s="1501" t="s">
        <v>5629</v>
      </c>
      <c r="H791" s="1414"/>
      <c r="I791" s="1416"/>
      <c r="J791" s="1512"/>
      <c r="K791" s="1416"/>
      <c r="L791" s="1500"/>
      <c r="M791" s="1429" t="s">
        <v>3551</v>
      </c>
      <c r="N791" s="1416">
        <v>2008</v>
      </c>
      <c r="O791" s="1414"/>
      <c r="P791" s="1414"/>
      <c r="Q791" s="1414"/>
      <c r="R791" s="1501" t="s">
        <v>12</v>
      </c>
      <c r="S791" s="1539">
        <v>18907700</v>
      </c>
      <c r="T791" s="1416" t="s">
        <v>43</v>
      </c>
      <c r="U791" s="1427"/>
      <c r="V791" s="1477"/>
      <c r="W791" s="1478" t="str">
        <f t="shared" si="278"/>
        <v>04.14.01</v>
      </c>
      <c r="X791" s="1478" t="str">
        <f t="shared" si="279"/>
        <v>Bangunan Air Irigasi</v>
      </c>
      <c r="Y791" s="1478">
        <f t="shared" si="280"/>
        <v>50</v>
      </c>
      <c r="Z791" s="1401">
        <f t="shared" si="281"/>
        <v>378154</v>
      </c>
      <c r="AA791" s="1444">
        <f t="shared" si="282"/>
        <v>6</v>
      </c>
      <c r="AB791" s="1401">
        <f t="shared" si="283"/>
        <v>2268924</v>
      </c>
      <c r="AC791" s="1401">
        <f t="shared" si="284"/>
        <v>378154</v>
      </c>
      <c r="AD791" s="1401">
        <f t="shared" si="285"/>
        <v>378154</v>
      </c>
      <c r="AE791" s="1401">
        <f t="shared" si="286"/>
        <v>378154</v>
      </c>
      <c r="AF791" s="1401">
        <f t="shared" si="287"/>
        <v>378154</v>
      </c>
      <c r="AG791" s="1479">
        <f t="shared" si="288"/>
        <v>378154</v>
      </c>
      <c r="AH791" s="1479">
        <f t="shared" si="289"/>
        <v>378154</v>
      </c>
      <c r="AI791" s="1479">
        <f t="shared" si="290"/>
        <v>4537848</v>
      </c>
      <c r="AJ791" s="1401">
        <f t="shared" si="291"/>
        <v>14369852</v>
      </c>
      <c r="AL791" s="1443">
        <f t="shared" si="293"/>
        <v>4159694</v>
      </c>
    </row>
    <row r="792" spans="2:38" s="1390" customFormat="1" ht="33" customHeight="1" x14ac:dyDescent="0.2">
      <c r="B792" s="1472"/>
      <c r="C792" s="1478" t="s">
        <v>2307</v>
      </c>
      <c r="D792" s="1426"/>
      <c r="E792" s="1455" t="s">
        <v>1607</v>
      </c>
      <c r="F792" s="1562"/>
      <c r="G792" s="1501" t="s">
        <v>2552</v>
      </c>
      <c r="H792" s="1429"/>
      <c r="I792" s="1501"/>
      <c r="J792" s="1540"/>
      <c r="K792" s="1501"/>
      <c r="L792" s="1526"/>
      <c r="M792" s="1429" t="s">
        <v>52</v>
      </c>
      <c r="N792" s="1501">
        <v>2008</v>
      </c>
      <c r="O792" s="1429"/>
      <c r="P792" s="1429"/>
      <c r="Q792" s="1429"/>
      <c r="R792" s="1501" t="s">
        <v>12</v>
      </c>
      <c r="S792" s="1539">
        <v>1346900000</v>
      </c>
      <c r="T792" s="1501"/>
      <c r="U792" s="1596"/>
      <c r="V792" s="1553"/>
      <c r="W792" s="1478" t="str">
        <f t="shared" si="278"/>
        <v>04.14.01</v>
      </c>
      <c r="X792" s="1478" t="str">
        <f t="shared" si="279"/>
        <v>Bangunan Air Irigasi</v>
      </c>
      <c r="Y792" s="1478">
        <f t="shared" si="280"/>
        <v>50</v>
      </c>
      <c r="Z792" s="1401">
        <f t="shared" si="281"/>
        <v>26938000</v>
      </c>
      <c r="AA792" s="1444">
        <f t="shared" si="282"/>
        <v>6</v>
      </c>
      <c r="AB792" s="1401">
        <f t="shared" si="283"/>
        <v>161628000</v>
      </c>
      <c r="AC792" s="1401">
        <f t="shared" si="284"/>
        <v>26938000</v>
      </c>
      <c r="AD792" s="1401">
        <f t="shared" si="285"/>
        <v>26938000</v>
      </c>
      <c r="AE792" s="1401">
        <f t="shared" si="286"/>
        <v>26938000</v>
      </c>
      <c r="AF792" s="1401">
        <f t="shared" si="287"/>
        <v>26938000</v>
      </c>
      <c r="AG792" s="1479">
        <f t="shared" si="288"/>
        <v>26938000</v>
      </c>
      <c r="AH792" s="1479">
        <f t="shared" si="289"/>
        <v>26938000</v>
      </c>
      <c r="AI792" s="1479">
        <f t="shared" si="290"/>
        <v>323256000</v>
      </c>
      <c r="AJ792" s="1401">
        <f t="shared" si="291"/>
        <v>1023644000</v>
      </c>
      <c r="AL792" s="1443">
        <f t="shared" si="293"/>
        <v>296318000</v>
      </c>
    </row>
    <row r="793" spans="2:38" s="1390" customFormat="1" ht="33" customHeight="1" x14ac:dyDescent="0.2">
      <c r="B793" s="1472"/>
      <c r="C793" s="1478" t="s">
        <v>2307</v>
      </c>
      <c r="D793" s="1426"/>
      <c r="E793" s="1455" t="s">
        <v>1631</v>
      </c>
      <c r="F793" s="1562"/>
      <c r="G793" s="1501" t="s">
        <v>2552</v>
      </c>
      <c r="H793" s="1429"/>
      <c r="I793" s="1501"/>
      <c r="J793" s="1540"/>
      <c r="K793" s="1501"/>
      <c r="L793" s="1526"/>
      <c r="M793" s="1429" t="s">
        <v>1095</v>
      </c>
      <c r="N793" s="1501">
        <v>2008</v>
      </c>
      <c r="O793" s="1429"/>
      <c r="P793" s="1429"/>
      <c r="Q793" s="1429"/>
      <c r="R793" s="1501" t="s">
        <v>12</v>
      </c>
      <c r="S793" s="1539">
        <v>103501800</v>
      </c>
      <c r="T793" s="1501" t="s">
        <v>43</v>
      </c>
      <c r="U793" s="1596"/>
      <c r="V793" s="1553"/>
      <c r="W793" s="1478" t="str">
        <f t="shared" si="278"/>
        <v>04.14.01</v>
      </c>
      <c r="X793" s="1478" t="str">
        <f t="shared" si="279"/>
        <v>Bangunan Air Irigasi</v>
      </c>
      <c r="Y793" s="1478">
        <f t="shared" si="280"/>
        <v>50</v>
      </c>
      <c r="Z793" s="1401">
        <f t="shared" si="281"/>
        <v>2070036</v>
      </c>
      <c r="AA793" s="1444">
        <f t="shared" si="282"/>
        <v>6</v>
      </c>
      <c r="AB793" s="1401">
        <f t="shared" si="283"/>
        <v>12420216</v>
      </c>
      <c r="AC793" s="1401">
        <f t="shared" si="284"/>
        <v>2070036</v>
      </c>
      <c r="AD793" s="1401">
        <f t="shared" si="285"/>
        <v>2070036</v>
      </c>
      <c r="AE793" s="1401">
        <f t="shared" si="286"/>
        <v>2070036</v>
      </c>
      <c r="AF793" s="1401">
        <f t="shared" si="287"/>
        <v>2070036</v>
      </c>
      <c r="AG793" s="1479">
        <f t="shared" si="288"/>
        <v>2070036</v>
      </c>
      <c r="AH793" s="1479">
        <f t="shared" si="289"/>
        <v>2070036</v>
      </c>
      <c r="AI793" s="1479">
        <f t="shared" si="290"/>
        <v>24840432</v>
      </c>
      <c r="AJ793" s="1401">
        <f t="shared" si="291"/>
        <v>78661368</v>
      </c>
      <c r="AL793" s="1443">
        <f t="shared" si="293"/>
        <v>22770396</v>
      </c>
    </row>
    <row r="794" spans="2:38" s="1390" customFormat="1" ht="33" customHeight="1" x14ac:dyDescent="0.2">
      <c r="B794" s="1472"/>
      <c r="C794" s="1478" t="s">
        <v>2307</v>
      </c>
      <c r="D794" s="1426"/>
      <c r="E794" s="1455" t="s">
        <v>1632</v>
      </c>
      <c r="F794" s="1562"/>
      <c r="G794" s="1501" t="s">
        <v>2552</v>
      </c>
      <c r="H794" s="1429"/>
      <c r="I794" s="1501"/>
      <c r="J794" s="1540"/>
      <c r="K794" s="1501"/>
      <c r="L794" s="1526"/>
      <c r="M794" s="1429" t="s">
        <v>3551</v>
      </c>
      <c r="N794" s="1501">
        <v>2008</v>
      </c>
      <c r="O794" s="1429"/>
      <c r="P794" s="1429"/>
      <c r="Q794" s="1429"/>
      <c r="R794" s="1501" t="s">
        <v>12</v>
      </c>
      <c r="S794" s="1539">
        <v>100798200</v>
      </c>
      <c r="T794" s="1501" t="s">
        <v>43</v>
      </c>
      <c r="U794" s="1596"/>
      <c r="V794" s="1553"/>
      <c r="W794" s="1478" t="str">
        <f t="shared" si="278"/>
        <v>04.14.01</v>
      </c>
      <c r="X794" s="1478" t="str">
        <f t="shared" si="279"/>
        <v>Bangunan Air Irigasi</v>
      </c>
      <c r="Y794" s="1478">
        <f t="shared" si="280"/>
        <v>50</v>
      </c>
      <c r="Z794" s="1401">
        <f t="shared" si="281"/>
        <v>2015964</v>
      </c>
      <c r="AA794" s="1444">
        <f t="shared" si="282"/>
        <v>6</v>
      </c>
      <c r="AB794" s="1401">
        <f t="shared" si="283"/>
        <v>12095784</v>
      </c>
      <c r="AC794" s="1401">
        <f t="shared" si="284"/>
        <v>2015964</v>
      </c>
      <c r="AD794" s="1401">
        <f t="shared" si="285"/>
        <v>2015964</v>
      </c>
      <c r="AE794" s="1401">
        <f t="shared" si="286"/>
        <v>2015964</v>
      </c>
      <c r="AF794" s="1401">
        <f t="shared" si="287"/>
        <v>2015964</v>
      </c>
      <c r="AG794" s="1479">
        <f t="shared" si="288"/>
        <v>2015964</v>
      </c>
      <c r="AH794" s="1479">
        <f t="shared" si="289"/>
        <v>2015964</v>
      </c>
      <c r="AI794" s="1479">
        <f t="shared" si="290"/>
        <v>24191568</v>
      </c>
      <c r="AJ794" s="1401">
        <f t="shared" si="291"/>
        <v>76606632</v>
      </c>
      <c r="AL794" s="1443">
        <f t="shared" si="293"/>
        <v>22175604</v>
      </c>
    </row>
    <row r="795" spans="2:38" s="1390" customFormat="1" ht="33" customHeight="1" x14ac:dyDescent="0.2">
      <c r="B795" s="1472"/>
      <c r="C795" s="1478" t="s">
        <v>2307</v>
      </c>
      <c r="D795" s="1426"/>
      <c r="E795" s="1455" t="s">
        <v>1633</v>
      </c>
      <c r="F795" s="1562"/>
      <c r="G795" s="1501" t="s">
        <v>2552</v>
      </c>
      <c r="H795" s="1429"/>
      <c r="I795" s="1501"/>
      <c r="J795" s="1540"/>
      <c r="K795" s="1501"/>
      <c r="L795" s="1526"/>
      <c r="M795" s="1429" t="s">
        <v>2883</v>
      </c>
      <c r="N795" s="1501">
        <v>2008</v>
      </c>
      <c r="O795" s="1429"/>
      <c r="P795" s="1429"/>
      <c r="Q795" s="1429"/>
      <c r="R795" s="1501" t="s">
        <v>12</v>
      </c>
      <c r="S795" s="1539">
        <v>99850500</v>
      </c>
      <c r="T795" s="1501" t="s">
        <v>43</v>
      </c>
      <c r="U795" s="1596"/>
      <c r="V795" s="1553"/>
      <c r="W795" s="1478" t="str">
        <f t="shared" si="278"/>
        <v>04.14.01</v>
      </c>
      <c r="X795" s="1478" t="str">
        <f t="shared" si="279"/>
        <v>Bangunan Air Irigasi</v>
      </c>
      <c r="Y795" s="1478">
        <f t="shared" si="280"/>
        <v>50</v>
      </c>
      <c r="Z795" s="1401">
        <f t="shared" si="281"/>
        <v>1997010</v>
      </c>
      <c r="AA795" s="1444">
        <f t="shared" si="282"/>
        <v>6</v>
      </c>
      <c r="AB795" s="1401">
        <f t="shared" si="283"/>
        <v>11982060</v>
      </c>
      <c r="AC795" s="1401">
        <f t="shared" si="284"/>
        <v>1997010</v>
      </c>
      <c r="AD795" s="1401">
        <f t="shared" si="285"/>
        <v>1997010</v>
      </c>
      <c r="AE795" s="1401">
        <f t="shared" si="286"/>
        <v>1997010</v>
      </c>
      <c r="AF795" s="1401">
        <f t="shared" si="287"/>
        <v>1997010</v>
      </c>
      <c r="AG795" s="1479">
        <f t="shared" si="288"/>
        <v>1997010</v>
      </c>
      <c r="AH795" s="1479">
        <f t="shared" si="289"/>
        <v>1997010</v>
      </c>
      <c r="AI795" s="1479">
        <f t="shared" si="290"/>
        <v>23964120</v>
      </c>
      <c r="AJ795" s="1401">
        <f t="shared" si="291"/>
        <v>75886380</v>
      </c>
      <c r="AL795" s="1443">
        <f t="shared" si="293"/>
        <v>21967110</v>
      </c>
    </row>
    <row r="796" spans="2:38" s="1390" customFormat="1" ht="33" customHeight="1" x14ac:dyDescent="0.2">
      <c r="B796" s="1472" t="s">
        <v>3438</v>
      </c>
      <c r="C796" s="1478" t="s">
        <v>2307</v>
      </c>
      <c r="D796" s="1426"/>
      <c r="E796" s="1455" t="s">
        <v>1634</v>
      </c>
      <c r="F796" s="1562"/>
      <c r="G796" s="1501" t="s">
        <v>2552</v>
      </c>
      <c r="H796" s="1429"/>
      <c r="I796" s="1501"/>
      <c r="J796" s="1540"/>
      <c r="K796" s="1501"/>
      <c r="L796" s="1526"/>
      <c r="M796" s="1429" t="s">
        <v>1082</v>
      </c>
      <c r="N796" s="1501">
        <v>2008</v>
      </c>
      <c r="O796" s="1429"/>
      <c r="P796" s="1429"/>
      <c r="Q796" s="1429"/>
      <c r="R796" s="1501" t="s">
        <v>12</v>
      </c>
      <c r="S796" s="1539">
        <v>155017800</v>
      </c>
      <c r="T796" s="1501" t="s">
        <v>43</v>
      </c>
      <c r="U796" s="1596"/>
      <c r="V796" s="1553"/>
      <c r="W796" s="1478" t="str">
        <f t="shared" si="278"/>
        <v>04.14.01</v>
      </c>
      <c r="X796" s="1478" t="str">
        <f t="shared" si="279"/>
        <v>Bangunan Air Irigasi</v>
      </c>
      <c r="Y796" s="1478">
        <f t="shared" si="280"/>
        <v>50</v>
      </c>
      <c r="Z796" s="1401">
        <f t="shared" si="281"/>
        <v>3100356</v>
      </c>
      <c r="AA796" s="1444">
        <f t="shared" si="282"/>
        <v>6</v>
      </c>
      <c r="AB796" s="1401">
        <f t="shared" si="283"/>
        <v>18602136</v>
      </c>
      <c r="AC796" s="1401">
        <f t="shared" si="284"/>
        <v>3100356</v>
      </c>
      <c r="AD796" s="1401">
        <f t="shared" si="285"/>
        <v>3100356</v>
      </c>
      <c r="AE796" s="1401">
        <f t="shared" si="286"/>
        <v>3100356</v>
      </c>
      <c r="AF796" s="1401">
        <f t="shared" si="287"/>
        <v>3100356</v>
      </c>
      <c r="AG796" s="1479">
        <f t="shared" si="288"/>
        <v>3100356</v>
      </c>
      <c r="AH796" s="1479">
        <f t="shared" si="289"/>
        <v>3100356</v>
      </c>
      <c r="AI796" s="1479">
        <f t="shared" si="290"/>
        <v>37204272</v>
      </c>
      <c r="AJ796" s="1401">
        <f t="shared" si="291"/>
        <v>117813528</v>
      </c>
      <c r="AL796" s="1443">
        <f t="shared" si="293"/>
        <v>34103916</v>
      </c>
    </row>
    <row r="797" spans="2:38" s="1390" customFormat="1" ht="33" customHeight="1" x14ac:dyDescent="0.2">
      <c r="B797" s="1472"/>
      <c r="C797" s="1478" t="s">
        <v>2307</v>
      </c>
      <c r="D797" s="1426"/>
      <c r="E797" s="1455" t="s">
        <v>1631</v>
      </c>
      <c r="F797" s="1562"/>
      <c r="G797" s="1501" t="s">
        <v>2552</v>
      </c>
      <c r="H797" s="1414"/>
      <c r="I797" s="1416"/>
      <c r="J797" s="1512"/>
      <c r="K797" s="1416"/>
      <c r="L797" s="1500"/>
      <c r="M797" s="1429" t="s">
        <v>1095</v>
      </c>
      <c r="N797" s="1416">
        <v>2008</v>
      </c>
      <c r="O797" s="1414"/>
      <c r="P797" s="1414"/>
      <c r="Q797" s="1414"/>
      <c r="R797" s="1501" t="s">
        <v>12</v>
      </c>
      <c r="S797" s="1539">
        <v>11700000</v>
      </c>
      <c r="T797" s="1416" t="s">
        <v>43</v>
      </c>
      <c r="U797" s="1427"/>
      <c r="V797" s="1477"/>
      <c r="W797" s="1478" t="str">
        <f t="shared" si="278"/>
        <v>04.14.01</v>
      </c>
      <c r="X797" s="1478" t="str">
        <f t="shared" si="279"/>
        <v>Bangunan Air Irigasi</v>
      </c>
      <c r="Y797" s="1478">
        <f t="shared" si="280"/>
        <v>50</v>
      </c>
      <c r="Z797" s="1401">
        <f t="shared" si="281"/>
        <v>234000</v>
      </c>
      <c r="AA797" s="1444">
        <f t="shared" si="282"/>
        <v>6</v>
      </c>
      <c r="AB797" s="1401">
        <f t="shared" si="283"/>
        <v>1404000</v>
      </c>
      <c r="AC797" s="1401">
        <f t="shared" si="284"/>
        <v>234000</v>
      </c>
      <c r="AD797" s="1401">
        <f t="shared" si="285"/>
        <v>234000</v>
      </c>
      <c r="AE797" s="1401">
        <f t="shared" si="286"/>
        <v>234000</v>
      </c>
      <c r="AF797" s="1401">
        <f t="shared" si="287"/>
        <v>234000</v>
      </c>
      <c r="AG797" s="1479">
        <f t="shared" si="288"/>
        <v>234000</v>
      </c>
      <c r="AH797" s="1479">
        <f t="shared" si="289"/>
        <v>234000</v>
      </c>
      <c r="AI797" s="1479">
        <f t="shared" si="290"/>
        <v>2808000</v>
      </c>
      <c r="AJ797" s="1401">
        <f t="shared" si="291"/>
        <v>8892000</v>
      </c>
      <c r="AL797" s="1443">
        <f t="shared" si="293"/>
        <v>2574000</v>
      </c>
    </row>
    <row r="798" spans="2:38" s="1390" customFormat="1" ht="33" customHeight="1" x14ac:dyDescent="0.2">
      <c r="B798" s="1472"/>
      <c r="C798" s="1478" t="s">
        <v>2307</v>
      </c>
      <c r="D798" s="1426"/>
      <c r="E798" s="1455" t="s">
        <v>1632</v>
      </c>
      <c r="F798" s="1562"/>
      <c r="G798" s="1501" t="s">
        <v>2552</v>
      </c>
      <c r="H798" s="1414"/>
      <c r="I798" s="1416"/>
      <c r="J798" s="1512"/>
      <c r="K798" s="1416"/>
      <c r="L798" s="1500"/>
      <c r="M798" s="1429" t="s">
        <v>3551</v>
      </c>
      <c r="N798" s="1416">
        <v>2008</v>
      </c>
      <c r="O798" s="1414"/>
      <c r="P798" s="1414"/>
      <c r="Q798" s="1414"/>
      <c r="R798" s="1501" t="s">
        <v>12</v>
      </c>
      <c r="S798" s="1539">
        <v>11000000</v>
      </c>
      <c r="T798" s="1416" t="s">
        <v>43</v>
      </c>
      <c r="U798" s="1427"/>
      <c r="V798" s="1477"/>
      <c r="W798" s="1478" t="str">
        <f t="shared" si="278"/>
        <v>04.14.01</v>
      </c>
      <c r="X798" s="1478" t="str">
        <f t="shared" si="279"/>
        <v>Bangunan Air Irigasi</v>
      </c>
      <c r="Y798" s="1478">
        <f t="shared" si="280"/>
        <v>50</v>
      </c>
      <c r="Z798" s="1401">
        <f t="shared" si="281"/>
        <v>220000</v>
      </c>
      <c r="AA798" s="1444">
        <f t="shared" si="282"/>
        <v>6</v>
      </c>
      <c r="AB798" s="1401">
        <f t="shared" si="283"/>
        <v>1320000</v>
      </c>
      <c r="AC798" s="1401">
        <f t="shared" si="284"/>
        <v>220000</v>
      </c>
      <c r="AD798" s="1401">
        <f t="shared" si="285"/>
        <v>220000</v>
      </c>
      <c r="AE798" s="1401">
        <f t="shared" si="286"/>
        <v>220000</v>
      </c>
      <c r="AF798" s="1401">
        <f t="shared" si="287"/>
        <v>220000</v>
      </c>
      <c r="AG798" s="1479">
        <f t="shared" si="288"/>
        <v>220000</v>
      </c>
      <c r="AH798" s="1479">
        <f t="shared" si="289"/>
        <v>220000</v>
      </c>
      <c r="AI798" s="1479">
        <f t="shared" si="290"/>
        <v>2640000</v>
      </c>
      <c r="AJ798" s="1401">
        <f t="shared" si="291"/>
        <v>8360000</v>
      </c>
      <c r="AL798" s="1443">
        <f t="shared" si="293"/>
        <v>2420000</v>
      </c>
    </row>
    <row r="799" spans="2:38" s="1391" customFormat="1" ht="33" customHeight="1" x14ac:dyDescent="0.2">
      <c r="B799" s="1480"/>
      <c r="C799" s="1478" t="s">
        <v>2307</v>
      </c>
      <c r="D799" s="1426"/>
      <c r="E799" s="1455" t="s">
        <v>1633</v>
      </c>
      <c r="F799" s="1562"/>
      <c r="G799" s="1501" t="s">
        <v>2552</v>
      </c>
      <c r="H799" s="1414"/>
      <c r="I799" s="1416"/>
      <c r="J799" s="1512"/>
      <c r="K799" s="1416"/>
      <c r="L799" s="1500"/>
      <c r="M799" s="1429" t="s">
        <v>2883</v>
      </c>
      <c r="N799" s="1416">
        <v>2008</v>
      </c>
      <c r="O799" s="1414"/>
      <c r="P799" s="1414"/>
      <c r="Q799" s="1414"/>
      <c r="R799" s="1501" t="s">
        <v>12</v>
      </c>
      <c r="S799" s="1539">
        <v>11094500</v>
      </c>
      <c r="T799" s="1416" t="s">
        <v>43</v>
      </c>
      <c r="U799" s="1427"/>
      <c r="V799" s="1477"/>
      <c r="W799" s="1478" t="str">
        <f t="shared" si="278"/>
        <v>04.14.01</v>
      </c>
      <c r="X799" s="1478" t="str">
        <f t="shared" si="279"/>
        <v>Bangunan Air Irigasi</v>
      </c>
      <c r="Y799" s="1478">
        <f t="shared" si="280"/>
        <v>50</v>
      </c>
      <c r="Z799" s="1401">
        <f t="shared" si="281"/>
        <v>221890</v>
      </c>
      <c r="AA799" s="1444">
        <f t="shared" si="282"/>
        <v>6</v>
      </c>
      <c r="AB799" s="1401">
        <f t="shared" si="283"/>
        <v>1331340</v>
      </c>
      <c r="AC799" s="1401">
        <f t="shared" si="284"/>
        <v>221890</v>
      </c>
      <c r="AD799" s="1401">
        <f t="shared" si="285"/>
        <v>221890</v>
      </c>
      <c r="AE799" s="1401">
        <f t="shared" si="286"/>
        <v>221890</v>
      </c>
      <c r="AF799" s="1401">
        <f t="shared" si="287"/>
        <v>221890</v>
      </c>
      <c r="AG799" s="1479">
        <f t="shared" si="288"/>
        <v>221890</v>
      </c>
      <c r="AH799" s="1479">
        <f t="shared" si="289"/>
        <v>221890</v>
      </c>
      <c r="AI799" s="1479">
        <f t="shared" si="290"/>
        <v>2662680</v>
      </c>
      <c r="AJ799" s="1401">
        <f t="shared" si="291"/>
        <v>8431820</v>
      </c>
      <c r="AL799" s="1443">
        <f t="shared" si="293"/>
        <v>2440790</v>
      </c>
    </row>
    <row r="800" spans="2:38" s="1390" customFormat="1" ht="33" customHeight="1" x14ac:dyDescent="0.2">
      <c r="B800" s="1472" t="s">
        <v>3438</v>
      </c>
      <c r="C800" s="1478" t="s">
        <v>2307</v>
      </c>
      <c r="D800" s="1426"/>
      <c r="E800" s="1455" t="s">
        <v>1634</v>
      </c>
      <c r="F800" s="1562"/>
      <c r="G800" s="1501" t="s">
        <v>2552</v>
      </c>
      <c r="H800" s="1414"/>
      <c r="I800" s="1416"/>
      <c r="J800" s="1512"/>
      <c r="K800" s="1416"/>
      <c r="L800" s="1500"/>
      <c r="M800" s="1429" t="s">
        <v>1082</v>
      </c>
      <c r="N800" s="1416">
        <v>2008</v>
      </c>
      <c r="O800" s="1414"/>
      <c r="P800" s="1414"/>
      <c r="Q800" s="1414"/>
      <c r="R800" s="1501" t="s">
        <v>12</v>
      </c>
      <c r="S800" s="1539">
        <v>17224400</v>
      </c>
      <c r="T800" s="1416" t="s">
        <v>43</v>
      </c>
      <c r="U800" s="1427"/>
      <c r="V800" s="1477"/>
      <c r="W800" s="1478" t="str">
        <f t="shared" si="278"/>
        <v>04.14.01</v>
      </c>
      <c r="X800" s="1478" t="str">
        <f t="shared" si="279"/>
        <v>Bangunan Air Irigasi</v>
      </c>
      <c r="Y800" s="1478">
        <f t="shared" si="280"/>
        <v>50</v>
      </c>
      <c r="Z800" s="1401">
        <f t="shared" si="281"/>
        <v>344488</v>
      </c>
      <c r="AA800" s="1444">
        <f t="shared" si="282"/>
        <v>6</v>
      </c>
      <c r="AB800" s="1401">
        <f t="shared" si="283"/>
        <v>2066928</v>
      </c>
      <c r="AC800" s="1401">
        <f t="shared" si="284"/>
        <v>344488</v>
      </c>
      <c r="AD800" s="1401">
        <f t="shared" si="285"/>
        <v>344488</v>
      </c>
      <c r="AE800" s="1401">
        <f t="shared" si="286"/>
        <v>344488</v>
      </c>
      <c r="AF800" s="1401">
        <f t="shared" si="287"/>
        <v>344488</v>
      </c>
      <c r="AG800" s="1479">
        <f t="shared" si="288"/>
        <v>344488</v>
      </c>
      <c r="AH800" s="1479">
        <f t="shared" si="289"/>
        <v>344488</v>
      </c>
      <c r="AI800" s="1479">
        <f t="shared" si="290"/>
        <v>4133856</v>
      </c>
      <c r="AJ800" s="1401">
        <f t="shared" si="291"/>
        <v>13090544</v>
      </c>
      <c r="AL800" s="1443">
        <f t="shared" si="293"/>
        <v>3789368</v>
      </c>
    </row>
    <row r="801" spans="3:38" s="1472" customFormat="1" ht="33" customHeight="1" x14ac:dyDescent="0.2">
      <c r="C801" s="1478" t="s">
        <v>2306</v>
      </c>
      <c r="D801" s="1576"/>
      <c r="E801" s="1455" t="s">
        <v>5747</v>
      </c>
      <c r="F801" s="1562"/>
      <c r="G801" s="1501" t="s">
        <v>2525</v>
      </c>
      <c r="H801" s="1429"/>
      <c r="I801" s="1501"/>
      <c r="J801" s="1540"/>
      <c r="K801" s="1501"/>
      <c r="L801" s="1526"/>
      <c r="M801" s="1429"/>
      <c r="N801" s="1501">
        <v>2009</v>
      </c>
      <c r="O801" s="1429"/>
      <c r="P801" s="1429"/>
      <c r="Q801" s="1429"/>
      <c r="R801" s="1501" t="s">
        <v>12</v>
      </c>
      <c r="S801" s="1539">
        <v>6440797062</v>
      </c>
      <c r="T801" s="1501" t="s">
        <v>43</v>
      </c>
      <c r="U801" s="1596"/>
      <c r="V801" s="1553"/>
      <c r="W801" s="1478" t="str">
        <f t="shared" si="263"/>
        <v>04.14.04</v>
      </c>
      <c r="X801" s="1478" t="str">
        <f t="shared" si="265"/>
        <v>Bangunan Pengaman Sungai dan Penanggulangan Bencana Alam</v>
      </c>
      <c r="Y801" s="1478">
        <f t="shared" si="266"/>
        <v>10</v>
      </c>
      <c r="Z801" s="1401">
        <f t="shared" si="267"/>
        <v>644079706.20000005</v>
      </c>
      <c r="AA801" s="1444">
        <f t="shared" si="268"/>
        <v>5</v>
      </c>
      <c r="AB801" s="1401">
        <f t="shared" si="269"/>
        <v>3220398531</v>
      </c>
      <c r="AC801" s="1401">
        <f t="shared" si="270"/>
        <v>644079706.20000005</v>
      </c>
      <c r="AD801" s="1401">
        <f t="shared" si="271"/>
        <v>644079706.20000005</v>
      </c>
      <c r="AE801" s="1401">
        <f t="shared" si="272"/>
        <v>644079706.20000005</v>
      </c>
      <c r="AF801" s="1401">
        <f t="shared" si="273"/>
        <v>644079706.20000005</v>
      </c>
      <c r="AG801" s="1479">
        <f t="shared" si="274"/>
        <v>644079706.20000005</v>
      </c>
      <c r="AH801" s="1479">
        <f t="shared" si="275"/>
        <v>0</v>
      </c>
      <c r="AI801" s="1479">
        <f t="shared" si="276"/>
        <v>6440797061.999999</v>
      </c>
      <c r="AJ801" s="1401">
        <f t="shared" si="277"/>
        <v>0</v>
      </c>
      <c r="AL801" s="1554">
        <f t="shared" si="293"/>
        <v>6440797061.999999</v>
      </c>
    </row>
    <row r="802" spans="3:38" s="1472" customFormat="1" ht="33" customHeight="1" x14ac:dyDescent="0.2">
      <c r="C802" s="1478" t="s">
        <v>2306</v>
      </c>
      <c r="D802" s="1576"/>
      <c r="E802" s="1455" t="s">
        <v>5748</v>
      </c>
      <c r="F802" s="1562"/>
      <c r="G802" s="1501" t="s">
        <v>4199</v>
      </c>
      <c r="H802" s="1429"/>
      <c r="I802" s="1501"/>
      <c r="J802" s="1540"/>
      <c r="K802" s="1501"/>
      <c r="L802" s="1526"/>
      <c r="M802" s="1429"/>
      <c r="N802" s="1501">
        <v>2010</v>
      </c>
      <c r="O802" s="1429"/>
      <c r="P802" s="1429"/>
      <c r="Q802" s="1429"/>
      <c r="R802" s="1501" t="s">
        <v>12</v>
      </c>
      <c r="S802" s="1539">
        <v>49222000</v>
      </c>
      <c r="T802" s="1501" t="s">
        <v>43</v>
      </c>
      <c r="U802" s="1596"/>
      <c r="V802" s="1553"/>
      <c r="W802" s="1478" t="str">
        <f t="shared" si="263"/>
        <v>04.14.01</v>
      </c>
      <c r="X802" s="1478" t="str">
        <f t="shared" si="265"/>
        <v>Bangunan Air Irigasi</v>
      </c>
      <c r="Y802" s="1478">
        <f t="shared" si="266"/>
        <v>50</v>
      </c>
      <c r="Z802" s="1401">
        <f t="shared" si="267"/>
        <v>984440</v>
      </c>
      <c r="AA802" s="1444">
        <f t="shared" si="268"/>
        <v>4</v>
      </c>
      <c r="AB802" s="1401">
        <f t="shared" si="269"/>
        <v>3937760</v>
      </c>
      <c r="AC802" s="1401">
        <f t="shared" si="270"/>
        <v>984440</v>
      </c>
      <c r="AD802" s="1401">
        <f t="shared" si="271"/>
        <v>984440</v>
      </c>
      <c r="AE802" s="1401">
        <f t="shared" si="272"/>
        <v>984440</v>
      </c>
      <c r="AF802" s="1401">
        <f t="shared" si="273"/>
        <v>984440</v>
      </c>
      <c r="AG802" s="1479">
        <f t="shared" si="274"/>
        <v>984440</v>
      </c>
      <c r="AH802" s="1479">
        <f t="shared" si="275"/>
        <v>984440</v>
      </c>
      <c r="AI802" s="1479">
        <f t="shared" si="276"/>
        <v>9844400</v>
      </c>
      <c r="AJ802" s="1401">
        <f t="shared" si="277"/>
        <v>39377600</v>
      </c>
    </row>
    <row r="803" spans="3:38" s="1472" customFormat="1" ht="33" customHeight="1" x14ac:dyDescent="0.2">
      <c r="C803" s="1478" t="s">
        <v>2306</v>
      </c>
      <c r="D803" s="1576"/>
      <c r="E803" s="1455" t="s">
        <v>5748</v>
      </c>
      <c r="F803" s="1562"/>
      <c r="G803" s="1501" t="s">
        <v>4199</v>
      </c>
      <c r="H803" s="1429"/>
      <c r="I803" s="1501"/>
      <c r="J803" s="1540"/>
      <c r="K803" s="1501"/>
      <c r="L803" s="1526"/>
      <c r="M803" s="1429"/>
      <c r="N803" s="1501">
        <v>2010</v>
      </c>
      <c r="O803" s="1429"/>
      <c r="P803" s="1429"/>
      <c r="Q803" s="1429"/>
      <c r="R803" s="1501" t="s">
        <v>12</v>
      </c>
      <c r="S803" s="1539">
        <v>2566886647</v>
      </c>
      <c r="T803" s="1501" t="s">
        <v>43</v>
      </c>
      <c r="U803" s="1596"/>
      <c r="V803" s="1553"/>
      <c r="W803" s="1478" t="str">
        <f t="shared" si="263"/>
        <v>04.14.01</v>
      </c>
      <c r="X803" s="1478" t="str">
        <f t="shared" si="265"/>
        <v>Bangunan Air Irigasi</v>
      </c>
      <c r="Y803" s="1478">
        <f t="shared" si="266"/>
        <v>50</v>
      </c>
      <c r="Z803" s="1401">
        <f t="shared" si="267"/>
        <v>51337732.939999998</v>
      </c>
      <c r="AA803" s="1444">
        <f t="shared" si="268"/>
        <v>4</v>
      </c>
      <c r="AB803" s="1401">
        <f t="shared" si="269"/>
        <v>205350931.75999999</v>
      </c>
      <c r="AC803" s="1401">
        <f t="shared" si="270"/>
        <v>51337732.939999998</v>
      </c>
      <c r="AD803" s="1401">
        <f t="shared" si="271"/>
        <v>51337732.939999998</v>
      </c>
      <c r="AE803" s="1401">
        <f t="shared" si="272"/>
        <v>51337732.939999998</v>
      </c>
      <c r="AF803" s="1401">
        <f t="shared" si="273"/>
        <v>51337732.939999998</v>
      </c>
      <c r="AG803" s="1479">
        <f t="shared" si="274"/>
        <v>51337732.939999998</v>
      </c>
      <c r="AH803" s="1479">
        <f t="shared" si="275"/>
        <v>51337732.939999998</v>
      </c>
      <c r="AI803" s="1479">
        <f t="shared" si="276"/>
        <v>513377329.39999998</v>
      </c>
      <c r="AJ803" s="1401">
        <f t="shared" si="277"/>
        <v>2053509317.5999999</v>
      </c>
    </row>
    <row r="804" spans="3:38" s="1472" customFormat="1" ht="33" customHeight="1" x14ac:dyDescent="0.2">
      <c r="C804" s="1478" t="s">
        <v>2306</v>
      </c>
      <c r="D804" s="1576"/>
      <c r="E804" s="1455" t="s">
        <v>5748</v>
      </c>
      <c r="F804" s="1562"/>
      <c r="G804" s="1501" t="s">
        <v>4199</v>
      </c>
      <c r="H804" s="1429"/>
      <c r="I804" s="1501"/>
      <c r="J804" s="1540"/>
      <c r="K804" s="1501"/>
      <c r="L804" s="1526"/>
      <c r="M804" s="1429"/>
      <c r="N804" s="1501">
        <v>2010</v>
      </c>
      <c r="O804" s="1429"/>
      <c r="P804" s="1429"/>
      <c r="Q804" s="1429"/>
      <c r="R804" s="1501" t="s">
        <v>12</v>
      </c>
      <c r="S804" s="1539">
        <v>1283493564</v>
      </c>
      <c r="T804" s="1501" t="s">
        <v>43</v>
      </c>
      <c r="U804" s="1596"/>
      <c r="V804" s="1553"/>
      <c r="W804" s="1478" t="str">
        <f t="shared" si="263"/>
        <v>04.14.01</v>
      </c>
      <c r="X804" s="1478" t="str">
        <f t="shared" si="265"/>
        <v>Bangunan Air Irigasi</v>
      </c>
      <c r="Y804" s="1478">
        <f t="shared" si="266"/>
        <v>50</v>
      </c>
      <c r="Z804" s="1401">
        <f t="shared" si="267"/>
        <v>25669871.280000001</v>
      </c>
      <c r="AA804" s="1444">
        <f t="shared" si="268"/>
        <v>4</v>
      </c>
      <c r="AB804" s="1401">
        <f t="shared" si="269"/>
        <v>102679485.12</v>
      </c>
      <c r="AC804" s="1401">
        <f t="shared" si="270"/>
        <v>25669871.280000001</v>
      </c>
      <c r="AD804" s="1401">
        <f t="shared" si="271"/>
        <v>25669871.280000001</v>
      </c>
      <c r="AE804" s="1401">
        <f t="shared" si="272"/>
        <v>25669871.280000001</v>
      </c>
      <c r="AF804" s="1401">
        <f t="shared" si="273"/>
        <v>25669871.280000001</v>
      </c>
      <c r="AG804" s="1479">
        <f t="shared" si="274"/>
        <v>25669871.280000001</v>
      </c>
      <c r="AH804" s="1479">
        <f t="shared" si="275"/>
        <v>25669871.280000001</v>
      </c>
      <c r="AI804" s="1479">
        <f t="shared" si="276"/>
        <v>256698712.80000001</v>
      </c>
      <c r="AJ804" s="1401">
        <f t="shared" si="277"/>
        <v>1026794851.2</v>
      </c>
    </row>
    <row r="805" spans="3:38" s="1472" customFormat="1" ht="33" customHeight="1" x14ac:dyDescent="0.2">
      <c r="C805" s="1478" t="s">
        <v>2306</v>
      </c>
      <c r="D805" s="1576"/>
      <c r="E805" s="1455" t="s">
        <v>1471</v>
      </c>
      <c r="F805" s="1562"/>
      <c r="G805" s="1501" t="s">
        <v>2525</v>
      </c>
      <c r="H805" s="1429"/>
      <c r="I805" s="1501" t="s">
        <v>835</v>
      </c>
      <c r="J805" s="1540"/>
      <c r="K805" s="1501"/>
      <c r="L805" s="1526"/>
      <c r="M805" s="1429" t="s">
        <v>3382</v>
      </c>
      <c r="N805" s="1501">
        <v>2011</v>
      </c>
      <c r="O805" s="1429"/>
      <c r="P805" s="1429"/>
      <c r="Q805" s="1429"/>
      <c r="R805" s="1501" t="s">
        <v>12</v>
      </c>
      <c r="S805" s="1539">
        <v>563256690.27361846</v>
      </c>
      <c r="T805" s="1501" t="s">
        <v>43</v>
      </c>
      <c r="U805" s="1596"/>
      <c r="V805" s="1553"/>
      <c r="W805" s="1478" t="str">
        <f t="shared" si="263"/>
        <v>04.14.04</v>
      </c>
      <c r="X805" s="1478" t="str">
        <f t="shared" si="265"/>
        <v>Bangunan Pengaman Sungai dan Penanggulangan Bencana Alam</v>
      </c>
      <c r="Y805" s="1478">
        <f t="shared" si="266"/>
        <v>10</v>
      </c>
      <c r="Z805" s="1401">
        <f t="shared" si="267"/>
        <v>56325669.027361847</v>
      </c>
      <c r="AA805" s="1444">
        <f t="shared" si="268"/>
        <v>3</v>
      </c>
      <c r="AB805" s="1401">
        <f t="shared" si="269"/>
        <v>168977007.08208555</v>
      </c>
      <c r="AC805" s="1401">
        <f t="shared" si="270"/>
        <v>56325669.027361847</v>
      </c>
      <c r="AD805" s="1401">
        <f t="shared" si="271"/>
        <v>56325669.027361847</v>
      </c>
      <c r="AE805" s="1401">
        <f t="shared" si="272"/>
        <v>56325669.027361847</v>
      </c>
      <c r="AF805" s="1401">
        <f t="shared" si="273"/>
        <v>56325669.027361847</v>
      </c>
      <c r="AG805" s="1479">
        <f t="shared" si="274"/>
        <v>56325669.027361847</v>
      </c>
      <c r="AH805" s="1479">
        <f t="shared" si="275"/>
        <v>56325669.027361847</v>
      </c>
      <c r="AI805" s="1479">
        <f t="shared" si="276"/>
        <v>506931021.24625671</v>
      </c>
      <c r="AJ805" s="1401">
        <f t="shared" si="277"/>
        <v>56325669.027361751</v>
      </c>
    </row>
    <row r="806" spans="3:38" s="1472" customFormat="1" ht="33" customHeight="1" x14ac:dyDescent="0.2">
      <c r="C806" s="1478" t="s">
        <v>2306</v>
      </c>
      <c r="D806" s="1576"/>
      <c r="E806" s="1455" t="s">
        <v>1472</v>
      </c>
      <c r="F806" s="1562"/>
      <c r="G806" s="1501" t="s">
        <v>4199</v>
      </c>
      <c r="H806" s="1429"/>
      <c r="I806" s="1501" t="s">
        <v>835</v>
      </c>
      <c r="J806" s="1540"/>
      <c r="K806" s="1501"/>
      <c r="L806" s="1526"/>
      <c r="M806" s="1429" t="s">
        <v>3383</v>
      </c>
      <c r="N806" s="1501">
        <v>2011</v>
      </c>
      <c r="O806" s="1429"/>
      <c r="P806" s="1429"/>
      <c r="Q806" s="1429"/>
      <c r="R806" s="1501" t="s">
        <v>12</v>
      </c>
      <c r="S806" s="1539">
        <v>364211928.3288675</v>
      </c>
      <c r="T806" s="1501" t="s">
        <v>43</v>
      </c>
      <c r="U806" s="1596"/>
      <c r="V806" s="1553"/>
      <c r="W806" s="1478" t="str">
        <f t="shared" si="263"/>
        <v>04.14.01</v>
      </c>
      <c r="X806" s="1478" t="str">
        <f t="shared" si="265"/>
        <v>Bangunan Air Irigasi</v>
      </c>
      <c r="Y806" s="1478">
        <f t="shared" si="266"/>
        <v>50</v>
      </c>
      <c r="Z806" s="1401">
        <f t="shared" si="267"/>
        <v>7284238.5665773498</v>
      </c>
      <c r="AA806" s="1444">
        <f t="shared" si="268"/>
        <v>3</v>
      </c>
      <c r="AB806" s="1401">
        <f t="shared" si="269"/>
        <v>21852715.69973205</v>
      </c>
      <c r="AC806" s="1401">
        <f t="shared" si="270"/>
        <v>7284238.5665773498</v>
      </c>
      <c r="AD806" s="1401">
        <f t="shared" si="271"/>
        <v>7284238.5665773498</v>
      </c>
      <c r="AE806" s="1401">
        <f t="shared" si="272"/>
        <v>7284238.5665773498</v>
      </c>
      <c r="AF806" s="1401">
        <f t="shared" si="273"/>
        <v>7284238.5665773498</v>
      </c>
      <c r="AG806" s="1479">
        <f t="shared" si="274"/>
        <v>7284238.5665773498</v>
      </c>
      <c r="AH806" s="1479">
        <f t="shared" si="275"/>
        <v>7284238.5665773498</v>
      </c>
      <c r="AI806" s="1479">
        <f t="shared" si="276"/>
        <v>65558147.099196158</v>
      </c>
      <c r="AJ806" s="1401">
        <f t="shared" si="277"/>
        <v>298653781.22967136</v>
      </c>
    </row>
    <row r="807" spans="3:38" s="1472" customFormat="1" ht="33" customHeight="1" x14ac:dyDescent="0.2">
      <c r="C807" s="1478" t="s">
        <v>2306</v>
      </c>
      <c r="D807" s="1576"/>
      <c r="E807" s="1455" t="s">
        <v>1473</v>
      </c>
      <c r="F807" s="1562"/>
      <c r="G807" s="1501" t="s">
        <v>2525</v>
      </c>
      <c r="H807" s="1429"/>
      <c r="I807" s="1501" t="s">
        <v>835</v>
      </c>
      <c r="J807" s="1540"/>
      <c r="K807" s="1501"/>
      <c r="L807" s="1526"/>
      <c r="M807" s="1429" t="s">
        <v>3384</v>
      </c>
      <c r="N807" s="1501">
        <v>2011</v>
      </c>
      <c r="O807" s="1429"/>
      <c r="P807" s="1429"/>
      <c r="Q807" s="1429"/>
      <c r="R807" s="1501" t="s">
        <v>12</v>
      </c>
      <c r="S807" s="1539">
        <v>365047601.72667986</v>
      </c>
      <c r="T807" s="1501" t="s">
        <v>43</v>
      </c>
      <c r="U807" s="1596"/>
      <c r="V807" s="1553"/>
      <c r="W807" s="1478" t="str">
        <f t="shared" si="263"/>
        <v>04.14.04</v>
      </c>
      <c r="X807" s="1478" t="str">
        <f t="shared" si="265"/>
        <v>Bangunan Pengaman Sungai dan Penanggulangan Bencana Alam</v>
      </c>
      <c r="Y807" s="1478">
        <f t="shared" si="266"/>
        <v>10</v>
      </c>
      <c r="Z807" s="1401">
        <f t="shared" si="267"/>
        <v>36504760.172667988</v>
      </c>
      <c r="AA807" s="1444">
        <f t="shared" si="268"/>
        <v>3</v>
      </c>
      <c r="AB807" s="1401">
        <f t="shared" si="269"/>
        <v>109514280.51800397</v>
      </c>
      <c r="AC807" s="1401">
        <f t="shared" si="270"/>
        <v>36504760.172667988</v>
      </c>
      <c r="AD807" s="1401">
        <f t="shared" si="271"/>
        <v>36504760.172667988</v>
      </c>
      <c r="AE807" s="1401">
        <f t="shared" si="272"/>
        <v>36504760.172667988</v>
      </c>
      <c r="AF807" s="1401">
        <f t="shared" si="273"/>
        <v>36504760.172667988</v>
      </c>
      <c r="AG807" s="1479">
        <f t="shared" si="274"/>
        <v>36504760.172667988</v>
      </c>
      <c r="AH807" s="1479">
        <f t="shared" si="275"/>
        <v>36504760.172667988</v>
      </c>
      <c r="AI807" s="1479">
        <f t="shared" si="276"/>
        <v>328542841.55401188</v>
      </c>
      <c r="AJ807" s="1401">
        <f t="shared" si="277"/>
        <v>36504760.17266798</v>
      </c>
      <c r="AL807" s="1554">
        <f>SUM(AB807:AG807)</f>
        <v>292038081.3813439</v>
      </c>
    </row>
    <row r="808" spans="3:38" s="1472" customFormat="1" ht="33" customHeight="1" x14ac:dyDescent="0.2">
      <c r="C808" s="1478" t="s">
        <v>2306</v>
      </c>
      <c r="D808" s="1576"/>
      <c r="E808" s="1455" t="s">
        <v>1474</v>
      </c>
      <c r="F808" s="1562"/>
      <c r="G808" s="1501" t="s">
        <v>2525</v>
      </c>
      <c r="H808" s="1429"/>
      <c r="I808" s="1501" t="s">
        <v>835</v>
      </c>
      <c r="J808" s="1540"/>
      <c r="K808" s="1501"/>
      <c r="L808" s="1526"/>
      <c r="M808" s="1429" t="s">
        <v>3385</v>
      </c>
      <c r="N808" s="1501">
        <v>2011</v>
      </c>
      <c r="O808" s="1429"/>
      <c r="P808" s="1429"/>
      <c r="Q808" s="1429"/>
      <c r="R808" s="1501" t="s">
        <v>12</v>
      </c>
      <c r="S808" s="1539">
        <v>620888795.27332008</v>
      </c>
      <c r="T808" s="1501" t="s">
        <v>43</v>
      </c>
      <c r="U808" s="1596"/>
      <c r="V808" s="1553"/>
      <c r="W808" s="1478" t="str">
        <f t="shared" si="263"/>
        <v>04.14.04</v>
      </c>
      <c r="X808" s="1478" t="str">
        <f t="shared" si="265"/>
        <v>Bangunan Pengaman Sungai dan Penanggulangan Bencana Alam</v>
      </c>
      <c r="Y808" s="1478">
        <f t="shared" si="266"/>
        <v>10</v>
      </c>
      <c r="Z808" s="1401">
        <f t="shared" si="267"/>
        <v>62088879.527332008</v>
      </c>
      <c r="AA808" s="1444">
        <f t="shared" si="268"/>
        <v>3</v>
      </c>
      <c r="AB808" s="1401">
        <f t="shared" si="269"/>
        <v>186266638.58199602</v>
      </c>
      <c r="AC808" s="1401">
        <f t="shared" si="270"/>
        <v>62088879.527332008</v>
      </c>
      <c r="AD808" s="1401">
        <f t="shared" si="271"/>
        <v>62088879.527332008</v>
      </c>
      <c r="AE808" s="1401">
        <f t="shared" si="272"/>
        <v>62088879.527332008</v>
      </c>
      <c r="AF808" s="1401">
        <f t="shared" si="273"/>
        <v>62088879.527332008</v>
      </c>
      <c r="AG808" s="1479">
        <f t="shared" si="274"/>
        <v>62088879.527332008</v>
      </c>
      <c r="AH808" s="1479">
        <f t="shared" si="275"/>
        <v>62088879.527332008</v>
      </c>
      <c r="AI808" s="1479">
        <f t="shared" si="276"/>
        <v>558799915.74598813</v>
      </c>
      <c r="AJ808" s="1401">
        <f t="shared" si="277"/>
        <v>62088879.527331948</v>
      </c>
      <c r="AL808" s="1554">
        <f>SUM(AB808:AG808)</f>
        <v>496711036.21865606</v>
      </c>
    </row>
    <row r="809" spans="3:38" s="1472" customFormat="1" ht="33" customHeight="1" x14ac:dyDescent="0.2">
      <c r="C809" s="1478" t="s">
        <v>2306</v>
      </c>
      <c r="D809" s="1576"/>
      <c r="E809" s="1455" t="s">
        <v>1475</v>
      </c>
      <c r="F809" s="1562"/>
      <c r="G809" s="1501" t="s">
        <v>2525</v>
      </c>
      <c r="H809" s="1429"/>
      <c r="I809" s="1501" t="s">
        <v>835</v>
      </c>
      <c r="J809" s="1540"/>
      <c r="K809" s="1501"/>
      <c r="L809" s="1526"/>
      <c r="M809" s="1429" t="s">
        <v>3386</v>
      </c>
      <c r="N809" s="1501">
        <v>2011</v>
      </c>
      <c r="O809" s="1429"/>
      <c r="P809" s="1429"/>
      <c r="Q809" s="1429"/>
      <c r="R809" s="1501" t="s">
        <v>12</v>
      </c>
      <c r="S809" s="1539">
        <v>9859150</v>
      </c>
      <c r="T809" s="1501" t="s">
        <v>43</v>
      </c>
      <c r="U809" s="1596"/>
      <c r="V809" s="1553"/>
      <c r="W809" s="1478" t="str">
        <f t="shared" si="263"/>
        <v>04.14.04</v>
      </c>
      <c r="X809" s="1478" t="str">
        <f t="shared" si="265"/>
        <v>Bangunan Pengaman Sungai dan Penanggulangan Bencana Alam</v>
      </c>
      <c r="Y809" s="1478">
        <f t="shared" si="266"/>
        <v>10</v>
      </c>
      <c r="Z809" s="1401">
        <f t="shared" si="267"/>
        <v>985915</v>
      </c>
      <c r="AA809" s="1444">
        <f t="shared" si="268"/>
        <v>3</v>
      </c>
      <c r="AB809" s="1401">
        <f t="shared" si="269"/>
        <v>2957745</v>
      </c>
      <c r="AC809" s="1401">
        <f t="shared" si="270"/>
        <v>985915</v>
      </c>
      <c r="AD809" s="1401">
        <f t="shared" si="271"/>
        <v>985915</v>
      </c>
      <c r="AE809" s="1401">
        <f t="shared" si="272"/>
        <v>985915</v>
      </c>
      <c r="AF809" s="1401">
        <f t="shared" si="273"/>
        <v>985915</v>
      </c>
      <c r="AG809" s="1479">
        <f t="shared" si="274"/>
        <v>985915</v>
      </c>
      <c r="AH809" s="1479">
        <f t="shared" si="275"/>
        <v>985915</v>
      </c>
      <c r="AI809" s="1479">
        <f t="shared" si="276"/>
        <v>8873235</v>
      </c>
      <c r="AJ809" s="1401">
        <f t="shared" si="277"/>
        <v>985915</v>
      </c>
    </row>
    <row r="810" spans="3:38" s="1472" customFormat="1" ht="33" customHeight="1" x14ac:dyDescent="0.2">
      <c r="C810" s="1478" t="s">
        <v>2306</v>
      </c>
      <c r="D810" s="1576"/>
      <c r="E810" s="1455" t="s">
        <v>1476</v>
      </c>
      <c r="F810" s="1562"/>
      <c r="G810" s="1501" t="s">
        <v>2525</v>
      </c>
      <c r="H810" s="1429"/>
      <c r="I810" s="1501" t="s">
        <v>835</v>
      </c>
      <c r="J810" s="1540"/>
      <c r="K810" s="1501"/>
      <c r="L810" s="1526"/>
      <c r="M810" s="1429" t="s">
        <v>3387</v>
      </c>
      <c r="N810" s="1501">
        <v>2011</v>
      </c>
      <c r="O810" s="1429"/>
      <c r="P810" s="1429"/>
      <c r="Q810" s="1429"/>
      <c r="R810" s="1501" t="s">
        <v>12</v>
      </c>
      <c r="S810" s="1539">
        <v>16524015</v>
      </c>
      <c r="T810" s="1501" t="s">
        <v>43</v>
      </c>
      <c r="U810" s="1596"/>
      <c r="V810" s="1553"/>
      <c r="W810" s="1478" t="str">
        <f t="shared" si="263"/>
        <v>04.14.04</v>
      </c>
      <c r="X810" s="1478" t="str">
        <f t="shared" si="265"/>
        <v>Bangunan Pengaman Sungai dan Penanggulangan Bencana Alam</v>
      </c>
      <c r="Y810" s="1478">
        <f t="shared" si="266"/>
        <v>10</v>
      </c>
      <c r="Z810" s="1401">
        <f t="shared" si="267"/>
        <v>1652401.5</v>
      </c>
      <c r="AA810" s="1444">
        <f t="shared" si="268"/>
        <v>3</v>
      </c>
      <c r="AB810" s="1401">
        <f t="shared" si="269"/>
        <v>4957204.5</v>
      </c>
      <c r="AC810" s="1401">
        <f t="shared" si="270"/>
        <v>1652401.5</v>
      </c>
      <c r="AD810" s="1401">
        <f t="shared" si="271"/>
        <v>1652401.5</v>
      </c>
      <c r="AE810" s="1401">
        <f t="shared" si="272"/>
        <v>1652401.5</v>
      </c>
      <c r="AF810" s="1401">
        <f t="shared" si="273"/>
        <v>1652401.5</v>
      </c>
      <c r="AG810" s="1479">
        <f t="shared" si="274"/>
        <v>1652401.5</v>
      </c>
      <c r="AH810" s="1479">
        <f t="shared" si="275"/>
        <v>1652401.5</v>
      </c>
      <c r="AI810" s="1479">
        <f t="shared" si="276"/>
        <v>14871613.5</v>
      </c>
      <c r="AJ810" s="1401">
        <f t="shared" si="277"/>
        <v>1652401.5</v>
      </c>
    </row>
    <row r="811" spans="3:38" s="1472" customFormat="1" ht="33" customHeight="1" x14ac:dyDescent="0.2">
      <c r="C811" s="1478" t="s">
        <v>2306</v>
      </c>
      <c r="D811" s="1576"/>
      <c r="E811" s="1455" t="s">
        <v>1477</v>
      </c>
      <c r="F811" s="1562"/>
      <c r="G811" s="1501" t="s">
        <v>2525</v>
      </c>
      <c r="H811" s="1429"/>
      <c r="I811" s="1501" t="s">
        <v>835</v>
      </c>
      <c r="J811" s="1540"/>
      <c r="K811" s="1501"/>
      <c r="L811" s="1526"/>
      <c r="M811" s="1429" t="s">
        <v>2588</v>
      </c>
      <c r="N811" s="1501">
        <v>2011</v>
      </c>
      <c r="O811" s="1429"/>
      <c r="P811" s="1429"/>
      <c r="Q811" s="1429"/>
      <c r="R811" s="1501" t="s">
        <v>12</v>
      </c>
      <c r="S811" s="1539">
        <v>39305670</v>
      </c>
      <c r="T811" s="1501" t="s">
        <v>43</v>
      </c>
      <c r="U811" s="1596"/>
      <c r="V811" s="1553"/>
      <c r="W811" s="1478" t="str">
        <f t="shared" si="263"/>
        <v>04.14.04</v>
      </c>
      <c r="X811" s="1478" t="str">
        <f t="shared" si="265"/>
        <v>Bangunan Pengaman Sungai dan Penanggulangan Bencana Alam</v>
      </c>
      <c r="Y811" s="1478">
        <f t="shared" si="266"/>
        <v>10</v>
      </c>
      <c r="Z811" s="1401">
        <f t="shared" si="267"/>
        <v>3930567</v>
      </c>
      <c r="AA811" s="1444">
        <f t="shared" si="268"/>
        <v>3</v>
      </c>
      <c r="AB811" s="1401">
        <f t="shared" si="269"/>
        <v>11791701</v>
      </c>
      <c r="AC811" s="1401">
        <f t="shared" si="270"/>
        <v>3930567</v>
      </c>
      <c r="AD811" s="1401">
        <f t="shared" si="271"/>
        <v>3930567</v>
      </c>
      <c r="AE811" s="1401">
        <f t="shared" si="272"/>
        <v>3930567</v>
      </c>
      <c r="AF811" s="1401">
        <f t="shared" si="273"/>
        <v>3930567</v>
      </c>
      <c r="AG811" s="1479">
        <f t="shared" si="274"/>
        <v>3930567</v>
      </c>
      <c r="AH811" s="1479">
        <f t="shared" si="275"/>
        <v>3930567</v>
      </c>
      <c r="AI811" s="1479">
        <f t="shared" si="276"/>
        <v>35375103</v>
      </c>
      <c r="AJ811" s="1401">
        <f t="shared" si="277"/>
        <v>3930567</v>
      </c>
    </row>
    <row r="812" spans="3:38" s="1472" customFormat="1" ht="33" customHeight="1" x14ac:dyDescent="0.2">
      <c r="C812" s="1478" t="s">
        <v>2306</v>
      </c>
      <c r="D812" s="1576"/>
      <c r="E812" s="1589" t="s">
        <v>1478</v>
      </c>
      <c r="F812" s="1562"/>
      <c r="G812" s="1501" t="s">
        <v>4899</v>
      </c>
      <c r="H812" s="1429"/>
      <c r="I812" s="1501" t="s">
        <v>835</v>
      </c>
      <c r="J812" s="1540"/>
      <c r="K812" s="1501"/>
      <c r="L812" s="1526"/>
      <c r="M812" s="1429" t="s">
        <v>3388</v>
      </c>
      <c r="N812" s="1501">
        <v>2011</v>
      </c>
      <c r="O812" s="1429"/>
      <c r="P812" s="1429"/>
      <c r="Q812" s="1429"/>
      <c r="R812" s="1501" t="s">
        <v>12</v>
      </c>
      <c r="S812" s="1539">
        <v>132520350</v>
      </c>
      <c r="T812" s="1501" t="s">
        <v>43</v>
      </c>
      <c r="U812" s="1596"/>
      <c r="V812" s="1553"/>
      <c r="W812" s="1478" t="str">
        <f t="shared" si="263"/>
        <v>04.14.04</v>
      </c>
      <c r="X812" s="1478" t="str">
        <f t="shared" si="265"/>
        <v>Bangunan Pengaman Sungai dan Penanggulangan Bencana Alam</v>
      </c>
      <c r="Y812" s="1478">
        <f t="shared" si="266"/>
        <v>10</v>
      </c>
      <c r="Z812" s="1401">
        <f t="shared" si="267"/>
        <v>13252035</v>
      </c>
      <c r="AA812" s="1444">
        <f t="shared" si="268"/>
        <v>3</v>
      </c>
      <c r="AB812" s="1401">
        <f t="shared" si="269"/>
        <v>39756105</v>
      </c>
      <c r="AC812" s="1401">
        <f t="shared" si="270"/>
        <v>13252035</v>
      </c>
      <c r="AD812" s="1401">
        <f t="shared" si="271"/>
        <v>13252035</v>
      </c>
      <c r="AE812" s="1401">
        <f t="shared" si="272"/>
        <v>13252035</v>
      </c>
      <c r="AF812" s="1401">
        <f t="shared" si="273"/>
        <v>13252035</v>
      </c>
      <c r="AG812" s="1479">
        <f t="shared" si="274"/>
        <v>13252035</v>
      </c>
      <c r="AH812" s="1479">
        <f t="shared" si="275"/>
        <v>13252035</v>
      </c>
      <c r="AI812" s="1479">
        <f t="shared" si="276"/>
        <v>119268315</v>
      </c>
      <c r="AJ812" s="1401">
        <f t="shared" si="277"/>
        <v>13252035</v>
      </c>
    </row>
    <row r="813" spans="3:38" s="1472" customFormat="1" ht="33" customHeight="1" x14ac:dyDescent="0.2">
      <c r="C813" s="1478" t="s">
        <v>2306</v>
      </c>
      <c r="D813" s="1576"/>
      <c r="E813" s="1589" t="s">
        <v>1479</v>
      </c>
      <c r="F813" s="1562"/>
      <c r="G813" s="1501" t="s">
        <v>2525</v>
      </c>
      <c r="H813" s="1429"/>
      <c r="I813" s="1501"/>
      <c r="J813" s="1540"/>
      <c r="K813" s="1501"/>
      <c r="L813" s="1526"/>
      <c r="M813" s="1429" t="s">
        <v>3389</v>
      </c>
      <c r="N813" s="1501">
        <v>2012</v>
      </c>
      <c r="O813" s="1429"/>
      <c r="P813" s="1429"/>
      <c r="Q813" s="1429"/>
      <c r="R813" s="1501" t="s">
        <v>12</v>
      </c>
      <c r="S813" s="1539">
        <v>431293227.73232901</v>
      </c>
      <c r="T813" s="1501"/>
      <c r="U813" s="1596"/>
      <c r="V813" s="1553"/>
      <c r="W813" s="1478" t="str">
        <f t="shared" si="263"/>
        <v>04.14.04</v>
      </c>
      <c r="X813" s="1478" t="str">
        <f t="shared" si="265"/>
        <v>Bangunan Pengaman Sungai dan Penanggulangan Bencana Alam</v>
      </c>
      <c r="Y813" s="1478">
        <f t="shared" si="266"/>
        <v>10</v>
      </c>
      <c r="Z813" s="1401">
        <f t="shared" si="267"/>
        <v>43129322.7732329</v>
      </c>
      <c r="AA813" s="1444">
        <f t="shared" si="268"/>
        <v>2</v>
      </c>
      <c r="AB813" s="1401">
        <f t="shared" si="269"/>
        <v>86258645.546465799</v>
      </c>
      <c r="AC813" s="1401">
        <f t="shared" si="270"/>
        <v>43129322.7732329</v>
      </c>
      <c r="AD813" s="1401">
        <f t="shared" si="271"/>
        <v>43129322.7732329</v>
      </c>
      <c r="AE813" s="1401">
        <f t="shared" si="272"/>
        <v>43129322.7732329</v>
      </c>
      <c r="AF813" s="1401">
        <f t="shared" si="273"/>
        <v>43129322.7732329</v>
      </c>
      <c r="AG813" s="1479">
        <f t="shared" si="274"/>
        <v>43129322.7732329</v>
      </c>
      <c r="AH813" s="1479">
        <f t="shared" si="275"/>
        <v>43129322.7732329</v>
      </c>
      <c r="AI813" s="1479">
        <f t="shared" si="276"/>
        <v>345034582.1858632</v>
      </c>
      <c r="AJ813" s="1401">
        <f t="shared" si="277"/>
        <v>86258645.546465814</v>
      </c>
      <c r="AL813" s="1554">
        <f>SUM(AB813:AG813)</f>
        <v>301905259.41263032</v>
      </c>
    </row>
    <row r="814" spans="3:38" s="1472" customFormat="1" ht="33" customHeight="1" x14ac:dyDescent="0.2">
      <c r="C814" s="1478" t="s">
        <v>2306</v>
      </c>
      <c r="D814" s="1576"/>
      <c r="E814" s="1589" t="s">
        <v>1480</v>
      </c>
      <c r="F814" s="1562"/>
      <c r="G814" s="1501" t="s">
        <v>2525</v>
      </c>
      <c r="H814" s="1429"/>
      <c r="I814" s="1501"/>
      <c r="J814" s="1540"/>
      <c r="K814" s="1501"/>
      <c r="L814" s="1526"/>
      <c r="M814" s="1429" t="s">
        <v>3390</v>
      </c>
      <c r="N814" s="1501">
        <v>2012</v>
      </c>
      <c r="O814" s="1429"/>
      <c r="P814" s="1429"/>
      <c r="Q814" s="1429"/>
      <c r="R814" s="1501" t="s">
        <v>12</v>
      </c>
      <c r="S814" s="1539">
        <v>274556745.46946824</v>
      </c>
      <c r="T814" s="1501"/>
      <c r="U814" s="1596"/>
      <c r="V814" s="1553"/>
      <c r="W814" s="1478" t="str">
        <f t="shared" si="263"/>
        <v>04.14.04</v>
      </c>
      <c r="X814" s="1478" t="str">
        <f t="shared" si="265"/>
        <v>Bangunan Pengaman Sungai dan Penanggulangan Bencana Alam</v>
      </c>
      <c r="Y814" s="1478">
        <f t="shared" si="266"/>
        <v>10</v>
      </c>
      <c r="Z814" s="1401">
        <f t="shared" si="267"/>
        <v>27455674.546946824</v>
      </c>
      <c r="AA814" s="1444">
        <f t="shared" si="268"/>
        <v>2</v>
      </c>
      <c r="AB814" s="1401">
        <f t="shared" si="269"/>
        <v>54911349.093893647</v>
      </c>
      <c r="AC814" s="1401">
        <f t="shared" si="270"/>
        <v>27455674.546946824</v>
      </c>
      <c r="AD814" s="1401">
        <f t="shared" si="271"/>
        <v>27455674.546946824</v>
      </c>
      <c r="AE814" s="1401">
        <f t="shared" si="272"/>
        <v>27455674.546946824</v>
      </c>
      <c r="AF814" s="1401">
        <f t="shared" si="273"/>
        <v>27455674.546946824</v>
      </c>
      <c r="AG814" s="1479">
        <f t="shared" si="274"/>
        <v>27455674.546946824</v>
      </c>
      <c r="AH814" s="1479">
        <f t="shared" si="275"/>
        <v>27455674.546946824</v>
      </c>
      <c r="AI814" s="1479">
        <f t="shared" si="276"/>
        <v>219645396.37557459</v>
      </c>
      <c r="AJ814" s="1401">
        <f t="shared" si="277"/>
        <v>54911349.093893647</v>
      </c>
    </row>
    <row r="815" spans="3:38" s="1472" customFormat="1" ht="33" customHeight="1" x14ac:dyDescent="0.2">
      <c r="C815" s="1478" t="s">
        <v>2306</v>
      </c>
      <c r="D815" s="1576"/>
      <c r="E815" s="1589" t="s">
        <v>1481</v>
      </c>
      <c r="F815" s="1562"/>
      <c r="G815" s="1501" t="s">
        <v>2525</v>
      </c>
      <c r="H815" s="1429"/>
      <c r="I815" s="1501"/>
      <c r="J815" s="1540"/>
      <c r="K815" s="1501"/>
      <c r="L815" s="1526"/>
      <c r="M815" s="1429" t="s">
        <v>3391</v>
      </c>
      <c r="N815" s="1501">
        <v>2012</v>
      </c>
      <c r="O815" s="1429"/>
      <c r="P815" s="1429"/>
      <c r="Q815" s="1429"/>
      <c r="R815" s="1501" t="s">
        <v>12</v>
      </c>
      <c r="S815" s="1539">
        <v>387796432.0453642</v>
      </c>
      <c r="T815" s="1501"/>
      <c r="U815" s="1596"/>
      <c r="V815" s="1553"/>
      <c r="W815" s="1478" t="str">
        <f t="shared" si="263"/>
        <v>04.14.04</v>
      </c>
      <c r="X815" s="1478" t="str">
        <f t="shared" si="265"/>
        <v>Bangunan Pengaman Sungai dan Penanggulangan Bencana Alam</v>
      </c>
      <c r="Y815" s="1478">
        <f t="shared" si="266"/>
        <v>10</v>
      </c>
      <c r="Z815" s="1401">
        <f t="shared" si="267"/>
        <v>38779643.204536423</v>
      </c>
      <c r="AA815" s="1444">
        <f t="shared" si="268"/>
        <v>2</v>
      </c>
      <c r="AB815" s="1401">
        <f t="shared" si="269"/>
        <v>77559286.409072846</v>
      </c>
      <c r="AC815" s="1401">
        <f t="shared" si="270"/>
        <v>38779643.204536423</v>
      </c>
      <c r="AD815" s="1401">
        <f t="shared" si="271"/>
        <v>38779643.204536423</v>
      </c>
      <c r="AE815" s="1401">
        <f t="shared" si="272"/>
        <v>38779643.204536423</v>
      </c>
      <c r="AF815" s="1401">
        <f t="shared" si="273"/>
        <v>38779643.204536423</v>
      </c>
      <c r="AG815" s="1479">
        <f t="shared" si="274"/>
        <v>38779643.204536423</v>
      </c>
      <c r="AH815" s="1479">
        <f t="shared" si="275"/>
        <v>38779643.204536423</v>
      </c>
      <c r="AI815" s="1479">
        <f t="shared" si="276"/>
        <v>310237145.63629144</v>
      </c>
      <c r="AJ815" s="1401">
        <f t="shared" si="277"/>
        <v>77559286.409072757</v>
      </c>
      <c r="AL815" s="1554">
        <f>SUM(AB815:AG815)</f>
        <v>271457502.43175501</v>
      </c>
    </row>
    <row r="816" spans="3:38" s="1472" customFormat="1" ht="33" customHeight="1" x14ac:dyDescent="0.2">
      <c r="C816" s="1478" t="s">
        <v>2306</v>
      </c>
      <c r="D816" s="1576"/>
      <c r="E816" s="1589" t="s">
        <v>1482</v>
      </c>
      <c r="F816" s="1562"/>
      <c r="G816" s="1501" t="s">
        <v>2525</v>
      </c>
      <c r="H816" s="1429"/>
      <c r="I816" s="1501"/>
      <c r="J816" s="1540"/>
      <c r="K816" s="1501"/>
      <c r="L816" s="1526"/>
      <c r="M816" s="1429" t="s">
        <v>3392</v>
      </c>
      <c r="N816" s="1501">
        <v>2012</v>
      </c>
      <c r="O816" s="1429"/>
      <c r="P816" s="1429"/>
      <c r="Q816" s="1429"/>
      <c r="R816" s="1501" t="s">
        <v>12</v>
      </c>
      <c r="S816" s="1539">
        <v>90837130.90006797</v>
      </c>
      <c r="T816" s="1501"/>
      <c r="U816" s="1596"/>
      <c r="V816" s="1553"/>
      <c r="W816" s="1478" t="str">
        <f t="shared" si="263"/>
        <v>04.14.04</v>
      </c>
      <c r="X816" s="1478" t="str">
        <f t="shared" si="265"/>
        <v>Bangunan Pengaman Sungai dan Penanggulangan Bencana Alam</v>
      </c>
      <c r="Y816" s="1478">
        <f t="shared" si="266"/>
        <v>10</v>
      </c>
      <c r="Z816" s="1401">
        <f t="shared" si="267"/>
        <v>9083713.0900067966</v>
      </c>
      <c r="AA816" s="1444">
        <f t="shared" si="268"/>
        <v>2</v>
      </c>
      <c r="AB816" s="1401">
        <f t="shared" si="269"/>
        <v>18167426.180013593</v>
      </c>
      <c r="AC816" s="1401">
        <f t="shared" si="270"/>
        <v>9083713.0900067966</v>
      </c>
      <c r="AD816" s="1401">
        <f t="shared" si="271"/>
        <v>9083713.0900067966</v>
      </c>
      <c r="AE816" s="1401">
        <f t="shared" si="272"/>
        <v>9083713.0900067966</v>
      </c>
      <c r="AF816" s="1401">
        <f t="shared" si="273"/>
        <v>9083713.0900067966</v>
      </c>
      <c r="AG816" s="1479">
        <f t="shared" si="274"/>
        <v>9083713.0900067966</v>
      </c>
      <c r="AH816" s="1479">
        <f t="shared" si="275"/>
        <v>9083713.0900067966</v>
      </c>
      <c r="AI816" s="1479">
        <f t="shared" si="276"/>
        <v>72669704.720054373</v>
      </c>
      <c r="AJ816" s="1401">
        <f t="shared" si="277"/>
        <v>18167426.180013597</v>
      </c>
    </row>
    <row r="817" spans="3:38" s="1472" customFormat="1" ht="33" customHeight="1" x14ac:dyDescent="0.2">
      <c r="C817" s="1478" t="s">
        <v>2306</v>
      </c>
      <c r="D817" s="1576"/>
      <c r="E817" s="1589" t="s">
        <v>1483</v>
      </c>
      <c r="F817" s="1562"/>
      <c r="G817" s="1501" t="s">
        <v>2525</v>
      </c>
      <c r="H817" s="1429"/>
      <c r="I817" s="1501"/>
      <c r="J817" s="1540"/>
      <c r="K817" s="1501"/>
      <c r="L817" s="1526"/>
      <c r="M817" s="1429" t="s">
        <v>3393</v>
      </c>
      <c r="N817" s="1501">
        <v>2012</v>
      </c>
      <c r="O817" s="1429"/>
      <c r="P817" s="1429"/>
      <c r="Q817" s="1429"/>
      <c r="R817" s="1501" t="s">
        <v>12</v>
      </c>
      <c r="S817" s="1539">
        <v>100902046.8516902</v>
      </c>
      <c r="T817" s="1501"/>
      <c r="U817" s="1596"/>
      <c r="V817" s="1553"/>
      <c r="W817" s="1478" t="str">
        <f t="shared" si="263"/>
        <v>04.14.04</v>
      </c>
      <c r="X817" s="1478" t="str">
        <f t="shared" si="265"/>
        <v>Bangunan Pengaman Sungai dan Penanggulangan Bencana Alam</v>
      </c>
      <c r="Y817" s="1478">
        <f t="shared" si="266"/>
        <v>10</v>
      </c>
      <c r="Z817" s="1401">
        <f t="shared" si="267"/>
        <v>10090204.685169021</v>
      </c>
      <c r="AA817" s="1444">
        <f t="shared" si="268"/>
        <v>2</v>
      </c>
      <c r="AB817" s="1401">
        <f t="shared" si="269"/>
        <v>20180409.370338041</v>
      </c>
      <c r="AC817" s="1401">
        <f t="shared" si="270"/>
        <v>10090204.685169021</v>
      </c>
      <c r="AD817" s="1401">
        <f t="shared" si="271"/>
        <v>10090204.685169021</v>
      </c>
      <c r="AE817" s="1401">
        <f t="shared" si="272"/>
        <v>10090204.685169021</v>
      </c>
      <c r="AF817" s="1401">
        <f t="shared" si="273"/>
        <v>10090204.685169021</v>
      </c>
      <c r="AG817" s="1479">
        <f t="shared" si="274"/>
        <v>10090204.685169021</v>
      </c>
      <c r="AH817" s="1479">
        <f t="shared" si="275"/>
        <v>10090204.685169021</v>
      </c>
      <c r="AI817" s="1479">
        <f t="shared" si="276"/>
        <v>80721637.481352165</v>
      </c>
      <c r="AJ817" s="1401">
        <f t="shared" si="277"/>
        <v>20180409.370338038</v>
      </c>
    </row>
    <row r="818" spans="3:38" s="1472" customFormat="1" ht="33" customHeight="1" x14ac:dyDescent="0.2">
      <c r="C818" s="1478" t="s">
        <v>2306</v>
      </c>
      <c r="D818" s="1576"/>
      <c r="E818" s="1589" t="s">
        <v>1484</v>
      </c>
      <c r="F818" s="1562"/>
      <c r="G818" s="1501" t="s">
        <v>2525</v>
      </c>
      <c r="H818" s="1429"/>
      <c r="I818" s="1501"/>
      <c r="J818" s="1540"/>
      <c r="K818" s="1501"/>
      <c r="L818" s="1526"/>
      <c r="M818" s="1429" t="s">
        <v>3385</v>
      </c>
      <c r="N818" s="1501">
        <v>2012</v>
      </c>
      <c r="O818" s="1429"/>
      <c r="P818" s="1429"/>
      <c r="Q818" s="1429"/>
      <c r="R818" s="1501" t="s">
        <v>12</v>
      </c>
      <c r="S818" s="1539">
        <v>462808554.4462983</v>
      </c>
      <c r="T818" s="1501"/>
      <c r="U818" s="1596"/>
      <c r="V818" s="1553"/>
      <c r="W818" s="1478" t="str">
        <f t="shared" si="263"/>
        <v>04.14.04</v>
      </c>
      <c r="X818" s="1478" t="str">
        <f t="shared" si="265"/>
        <v>Bangunan Pengaman Sungai dan Penanggulangan Bencana Alam</v>
      </c>
      <c r="Y818" s="1478">
        <f t="shared" si="266"/>
        <v>10</v>
      </c>
      <c r="Z818" s="1401">
        <f t="shared" si="267"/>
        <v>46280855.444629833</v>
      </c>
      <c r="AA818" s="1444">
        <f t="shared" si="268"/>
        <v>2</v>
      </c>
      <c r="AB818" s="1401">
        <f t="shared" si="269"/>
        <v>92561710.889259666</v>
      </c>
      <c r="AC818" s="1401">
        <f t="shared" si="270"/>
        <v>46280855.444629833</v>
      </c>
      <c r="AD818" s="1401">
        <f t="shared" si="271"/>
        <v>46280855.444629833</v>
      </c>
      <c r="AE818" s="1401">
        <f t="shared" si="272"/>
        <v>46280855.444629833</v>
      </c>
      <c r="AF818" s="1401">
        <f t="shared" si="273"/>
        <v>46280855.444629833</v>
      </c>
      <c r="AG818" s="1479">
        <f t="shared" si="274"/>
        <v>46280855.444629833</v>
      </c>
      <c r="AH818" s="1479">
        <f t="shared" si="275"/>
        <v>46280855.444629833</v>
      </c>
      <c r="AI818" s="1479">
        <f t="shared" si="276"/>
        <v>370246843.55703872</v>
      </c>
      <c r="AJ818" s="1401">
        <f t="shared" si="277"/>
        <v>92561710.889259577</v>
      </c>
      <c r="AL818" s="1554">
        <f>SUM(AB818:AG818)</f>
        <v>323965988.11240888</v>
      </c>
    </row>
    <row r="819" spans="3:38" s="1472" customFormat="1" ht="33" customHeight="1" x14ac:dyDescent="0.2">
      <c r="C819" s="1478" t="s">
        <v>2306</v>
      </c>
      <c r="D819" s="1576"/>
      <c r="E819" s="1589" t="s">
        <v>1485</v>
      </c>
      <c r="F819" s="1562"/>
      <c r="G819" s="1501" t="s">
        <v>2525</v>
      </c>
      <c r="H819" s="1429"/>
      <c r="I819" s="1501"/>
      <c r="J819" s="1540"/>
      <c r="K819" s="1501"/>
      <c r="L819" s="1526"/>
      <c r="M819" s="1429" t="s">
        <v>3394</v>
      </c>
      <c r="N819" s="1501">
        <v>2012</v>
      </c>
      <c r="O819" s="1429"/>
      <c r="P819" s="1429"/>
      <c r="Q819" s="1429"/>
      <c r="R819" s="1501" t="s">
        <v>12</v>
      </c>
      <c r="S819" s="1539">
        <v>303731994.89147037</v>
      </c>
      <c r="T819" s="1501"/>
      <c r="U819" s="1596"/>
      <c r="V819" s="1553"/>
      <c r="W819" s="1478" t="str">
        <f t="shared" si="263"/>
        <v>04.14.04</v>
      </c>
      <c r="X819" s="1478" t="str">
        <f t="shared" si="265"/>
        <v>Bangunan Pengaman Sungai dan Penanggulangan Bencana Alam</v>
      </c>
      <c r="Y819" s="1478">
        <f t="shared" si="266"/>
        <v>10</v>
      </c>
      <c r="Z819" s="1401">
        <f t="shared" si="267"/>
        <v>30373199.489147037</v>
      </c>
      <c r="AA819" s="1444">
        <f t="shared" si="268"/>
        <v>2</v>
      </c>
      <c r="AB819" s="1401">
        <f t="shared" si="269"/>
        <v>60746398.978294075</v>
      </c>
      <c r="AC819" s="1401">
        <f t="shared" si="270"/>
        <v>30373199.489147037</v>
      </c>
      <c r="AD819" s="1401">
        <f t="shared" si="271"/>
        <v>30373199.489147037</v>
      </c>
      <c r="AE819" s="1401">
        <f t="shared" si="272"/>
        <v>30373199.489147037</v>
      </c>
      <c r="AF819" s="1401">
        <f t="shared" si="273"/>
        <v>30373199.489147037</v>
      </c>
      <c r="AG819" s="1479">
        <f t="shared" si="274"/>
        <v>30373199.489147037</v>
      </c>
      <c r="AH819" s="1479">
        <f t="shared" si="275"/>
        <v>30373199.489147037</v>
      </c>
      <c r="AI819" s="1479">
        <f t="shared" si="276"/>
        <v>242985595.9131763</v>
      </c>
      <c r="AJ819" s="1401">
        <f t="shared" si="277"/>
        <v>60746398.978294075</v>
      </c>
      <c r="AL819" s="1554">
        <f>SUM(AB819:AG819)</f>
        <v>212612396.42402926</v>
      </c>
    </row>
    <row r="820" spans="3:38" s="1472" customFormat="1" ht="33" customHeight="1" x14ac:dyDescent="0.2">
      <c r="C820" s="1478" t="s">
        <v>2306</v>
      </c>
      <c r="D820" s="1576"/>
      <c r="E820" s="1429" t="s">
        <v>1486</v>
      </c>
      <c r="F820" s="1539"/>
      <c r="G820" s="1501" t="s">
        <v>2525</v>
      </c>
      <c r="H820" s="1429"/>
      <c r="I820" s="1501" t="s">
        <v>835</v>
      </c>
      <c r="J820" s="1540"/>
      <c r="K820" s="1501"/>
      <c r="L820" s="1526"/>
      <c r="M820" s="1429" t="s">
        <v>3395</v>
      </c>
      <c r="N820" s="1501">
        <v>2013</v>
      </c>
      <c r="O820" s="1429"/>
      <c r="P820" s="1429"/>
      <c r="Q820" s="1429"/>
      <c r="R820" s="1501" t="s">
        <v>12</v>
      </c>
      <c r="S820" s="1539">
        <v>311209754.13048106</v>
      </c>
      <c r="T820" s="1501"/>
      <c r="U820" s="1596"/>
      <c r="V820" s="1553"/>
      <c r="W820" s="1478" t="str">
        <f t="shared" ref="W820:W877" si="294">LEFT(G820,8)</f>
        <v>04.14.04</v>
      </c>
      <c r="X820" s="1478" t="str">
        <f t="shared" ref="X820:X848" si="295">VLOOKUP(W820,UE,3,FALSE)</f>
        <v>Bangunan Pengaman Sungai dan Penanggulangan Bencana Alam</v>
      </c>
      <c r="Y820" s="1478">
        <f t="shared" ref="Y820:Y848" si="296">VLOOKUP(W820,UE,4,FALSE)</f>
        <v>10</v>
      </c>
      <c r="Z820" s="1401">
        <f t="shared" ref="Z820:Z848" si="297">S820/Y820</f>
        <v>31120975.413048107</v>
      </c>
      <c r="AA820" s="1444">
        <f t="shared" ref="AA820:AA848" si="298">IF(2013-N820+1&gt;Y820,Y820,IF(2013-N820+1&lt;0,0,2013-N820+1))</f>
        <v>1</v>
      </c>
      <c r="AB820" s="1401">
        <f t="shared" ref="AB820:AB848" si="299">IF(AA820&gt;Y820,S820,Z820*AA820)</f>
        <v>31120975.413048107</v>
      </c>
      <c r="AC820" s="1401">
        <f t="shared" ref="AC820:AC833" si="300">IF(S820=AB820,0,Z820)</f>
        <v>31120975.413048107</v>
      </c>
      <c r="AD820" s="1401">
        <f t="shared" ref="AD820:AD833" si="301">IF(S820=AB820+AC820,0,Z820)</f>
        <v>31120975.413048107</v>
      </c>
      <c r="AE820" s="1401">
        <f t="shared" ref="AE820:AE833" si="302">IF(S820=AB820+AC820+AD820,0,Z820)</f>
        <v>31120975.413048107</v>
      </c>
      <c r="AF820" s="1401">
        <f t="shared" ref="AF820:AF833" si="303">IF(S820=AC820+AD820+AE820+AB820,0,Z820)</f>
        <v>31120975.413048107</v>
      </c>
      <c r="AG820" s="1479">
        <f t="shared" ref="AG820:AG833" si="304">IF(S820=AC820+AD820+AE820+AB820+AF820,0,Z820)</f>
        <v>31120975.413048107</v>
      </c>
      <c r="AH820" s="1479">
        <f t="shared" ref="AH820:AH847" si="305">IF(S820=AC820+AD820+AE820+AB820+AF820+AG820,0,Z820)</f>
        <v>31120975.413048107</v>
      </c>
      <c r="AI820" s="1479">
        <f t="shared" ref="AI820:AI847" si="306">SUM(AB820:AH820)</f>
        <v>217846827.89133677</v>
      </c>
      <c r="AJ820" s="1401">
        <f t="shared" ref="AJ820:AJ848" si="307">S820-AI820</f>
        <v>93362926.239144295</v>
      </c>
      <c r="AL820" s="1554">
        <f>SUM(AB820:AG820)</f>
        <v>186725852.47828865</v>
      </c>
    </row>
    <row r="821" spans="3:38" s="1472" customFormat="1" ht="33" customHeight="1" x14ac:dyDescent="0.2">
      <c r="C821" s="1478" t="s">
        <v>2306</v>
      </c>
      <c r="D821" s="1576"/>
      <c r="E821" s="1429" t="s">
        <v>1487</v>
      </c>
      <c r="F821" s="1539"/>
      <c r="G821" s="1501" t="s">
        <v>2525</v>
      </c>
      <c r="H821" s="1429"/>
      <c r="I821" s="1501" t="s">
        <v>835</v>
      </c>
      <c r="J821" s="1540"/>
      <c r="K821" s="1501"/>
      <c r="L821" s="1526"/>
      <c r="M821" s="1429" t="s">
        <v>3396</v>
      </c>
      <c r="N821" s="1501">
        <v>2013</v>
      </c>
      <c r="O821" s="1429"/>
      <c r="P821" s="1429"/>
      <c r="Q821" s="1429"/>
      <c r="R821" s="1501" t="s">
        <v>12</v>
      </c>
      <c r="S821" s="1539">
        <v>306191245.86951894</v>
      </c>
      <c r="T821" s="1501"/>
      <c r="U821" s="1596"/>
      <c r="V821" s="1553"/>
      <c r="W821" s="1478" t="str">
        <f t="shared" si="294"/>
        <v>04.14.04</v>
      </c>
      <c r="X821" s="1478" t="str">
        <f t="shared" si="295"/>
        <v>Bangunan Pengaman Sungai dan Penanggulangan Bencana Alam</v>
      </c>
      <c r="Y821" s="1478">
        <f t="shared" si="296"/>
        <v>10</v>
      </c>
      <c r="Z821" s="1401">
        <f t="shared" si="297"/>
        <v>30619124.586951893</v>
      </c>
      <c r="AA821" s="1444">
        <f t="shared" si="298"/>
        <v>1</v>
      </c>
      <c r="AB821" s="1401">
        <f t="shared" si="299"/>
        <v>30619124.586951893</v>
      </c>
      <c r="AC821" s="1401">
        <f t="shared" si="300"/>
        <v>30619124.586951893</v>
      </c>
      <c r="AD821" s="1401">
        <f t="shared" si="301"/>
        <v>30619124.586951893</v>
      </c>
      <c r="AE821" s="1401">
        <f t="shared" si="302"/>
        <v>30619124.586951893</v>
      </c>
      <c r="AF821" s="1401">
        <f t="shared" si="303"/>
        <v>30619124.586951893</v>
      </c>
      <c r="AG821" s="1479">
        <f t="shared" si="304"/>
        <v>30619124.586951893</v>
      </c>
      <c r="AH821" s="1479">
        <f t="shared" si="305"/>
        <v>30619124.586951893</v>
      </c>
      <c r="AI821" s="1479">
        <f t="shared" si="306"/>
        <v>214333872.10866323</v>
      </c>
      <c r="AJ821" s="1401">
        <f t="shared" si="307"/>
        <v>91857373.760855705</v>
      </c>
      <c r="AL821" s="1554">
        <f>SUM(AB821:AG821)</f>
        <v>183714747.52171135</v>
      </c>
    </row>
    <row r="822" spans="3:38" s="1472" customFormat="1" ht="33" customHeight="1" x14ac:dyDescent="0.2">
      <c r="C822" s="1478" t="s">
        <v>2306</v>
      </c>
      <c r="D822" s="1576"/>
      <c r="E822" s="1429" t="s">
        <v>1488</v>
      </c>
      <c r="F822" s="1539"/>
      <c r="G822" s="1501" t="s">
        <v>2525</v>
      </c>
      <c r="H822" s="1429"/>
      <c r="I822" s="1501" t="s">
        <v>835</v>
      </c>
      <c r="J822" s="1540"/>
      <c r="K822" s="1501"/>
      <c r="L822" s="1526"/>
      <c r="M822" s="1429" t="s">
        <v>3397</v>
      </c>
      <c r="N822" s="1501">
        <v>2013</v>
      </c>
      <c r="O822" s="1429"/>
      <c r="P822" s="1429"/>
      <c r="Q822" s="1429"/>
      <c r="R822" s="1501" t="s">
        <v>12</v>
      </c>
      <c r="S822" s="1539">
        <f>280973000+147058998.813119</f>
        <v>428031998.81311899</v>
      </c>
      <c r="T822" s="1501"/>
      <c r="U822" s="1596"/>
      <c r="V822" s="1553"/>
      <c r="W822" s="1478" t="str">
        <f t="shared" si="294"/>
        <v>04.14.04</v>
      </c>
      <c r="X822" s="1478" t="str">
        <f t="shared" si="295"/>
        <v>Bangunan Pengaman Sungai dan Penanggulangan Bencana Alam</v>
      </c>
      <c r="Y822" s="1478">
        <f t="shared" si="296"/>
        <v>10</v>
      </c>
      <c r="Z822" s="1401">
        <f t="shared" si="297"/>
        <v>42803199.881311901</v>
      </c>
      <c r="AA822" s="1444">
        <f t="shared" si="298"/>
        <v>1</v>
      </c>
      <c r="AB822" s="1401">
        <f t="shared" si="299"/>
        <v>42803199.881311901</v>
      </c>
      <c r="AC822" s="1401">
        <f t="shared" si="300"/>
        <v>42803199.881311901</v>
      </c>
      <c r="AD822" s="1401">
        <f t="shared" si="301"/>
        <v>42803199.881311901</v>
      </c>
      <c r="AE822" s="1401">
        <f t="shared" si="302"/>
        <v>42803199.881311901</v>
      </c>
      <c r="AF822" s="1401">
        <f t="shared" si="303"/>
        <v>42803199.881311901</v>
      </c>
      <c r="AG822" s="1479">
        <f t="shared" si="304"/>
        <v>42803199.881311901</v>
      </c>
      <c r="AH822" s="1479">
        <f t="shared" si="305"/>
        <v>42803199.881311901</v>
      </c>
      <c r="AI822" s="1479">
        <f t="shared" si="306"/>
        <v>299622399.16918331</v>
      </c>
      <c r="AJ822" s="1401">
        <f t="shared" si="307"/>
        <v>128409599.64393568</v>
      </c>
      <c r="AL822" s="1554">
        <f>SUM(AB822:AG822)</f>
        <v>256819199.28787139</v>
      </c>
    </row>
    <row r="823" spans="3:38" s="1472" customFormat="1" ht="33" customHeight="1" x14ac:dyDescent="0.2">
      <c r="C823" s="1478" t="s">
        <v>2306</v>
      </c>
      <c r="D823" s="1576"/>
      <c r="E823" s="1429" t="s">
        <v>1489</v>
      </c>
      <c r="F823" s="1539"/>
      <c r="G823" s="1501" t="s">
        <v>4199</v>
      </c>
      <c r="H823" s="1429"/>
      <c r="I823" s="1501" t="s">
        <v>835</v>
      </c>
      <c r="J823" s="1540"/>
      <c r="K823" s="1501"/>
      <c r="L823" s="1526"/>
      <c r="M823" s="1429" t="s">
        <v>3398</v>
      </c>
      <c r="N823" s="1501">
        <v>2013</v>
      </c>
      <c r="O823" s="1429"/>
      <c r="P823" s="1429"/>
      <c r="Q823" s="1429"/>
      <c r="R823" s="1501" t="s">
        <v>12</v>
      </c>
      <c r="S823" s="1539">
        <v>461923046.19</v>
      </c>
      <c r="T823" s="1501"/>
      <c r="U823" s="1596"/>
      <c r="V823" s="1553"/>
      <c r="W823" s="1478" t="str">
        <f t="shared" si="294"/>
        <v>04.14.01</v>
      </c>
      <c r="X823" s="1478" t="str">
        <f t="shared" si="295"/>
        <v>Bangunan Air Irigasi</v>
      </c>
      <c r="Y823" s="1478">
        <f t="shared" si="296"/>
        <v>50</v>
      </c>
      <c r="Z823" s="1401">
        <f t="shared" si="297"/>
        <v>9238460.9237999991</v>
      </c>
      <c r="AA823" s="1444">
        <f t="shared" si="298"/>
        <v>1</v>
      </c>
      <c r="AB823" s="1401">
        <f t="shared" si="299"/>
        <v>9238460.9237999991</v>
      </c>
      <c r="AC823" s="1401">
        <f t="shared" si="300"/>
        <v>9238460.9237999991</v>
      </c>
      <c r="AD823" s="1401">
        <f t="shared" si="301"/>
        <v>9238460.9237999991</v>
      </c>
      <c r="AE823" s="1401">
        <f t="shared" si="302"/>
        <v>9238460.9237999991</v>
      </c>
      <c r="AF823" s="1401">
        <f t="shared" si="303"/>
        <v>9238460.9237999991</v>
      </c>
      <c r="AG823" s="1479">
        <f t="shared" si="304"/>
        <v>9238460.9237999991</v>
      </c>
      <c r="AH823" s="1479">
        <f t="shared" si="305"/>
        <v>9238460.9237999991</v>
      </c>
      <c r="AI823" s="1479">
        <f t="shared" si="306"/>
        <v>64669226.466599993</v>
      </c>
      <c r="AJ823" s="1401">
        <f t="shared" si="307"/>
        <v>397253819.7234</v>
      </c>
    </row>
    <row r="824" spans="3:38" s="1472" customFormat="1" ht="33" customHeight="1" x14ac:dyDescent="0.2">
      <c r="C824" s="1478" t="s">
        <v>2306</v>
      </c>
      <c r="D824" s="1576"/>
      <c r="E824" s="1429" t="s">
        <v>1490</v>
      </c>
      <c r="F824" s="1539"/>
      <c r="G824" s="1501" t="s">
        <v>2525</v>
      </c>
      <c r="H824" s="1429"/>
      <c r="I824" s="1501" t="s">
        <v>835</v>
      </c>
      <c r="J824" s="1540"/>
      <c r="K824" s="1501"/>
      <c r="L824" s="1526"/>
      <c r="M824" s="1429" t="s">
        <v>3399</v>
      </c>
      <c r="N824" s="1501">
        <v>2013</v>
      </c>
      <c r="O824" s="1429"/>
      <c r="P824" s="1429"/>
      <c r="Q824" s="1429"/>
      <c r="R824" s="1501" t="s">
        <v>12</v>
      </c>
      <c r="S824" s="1539">
        <v>364356538.12</v>
      </c>
      <c r="T824" s="1501"/>
      <c r="U824" s="1596"/>
      <c r="V824" s="1553"/>
      <c r="W824" s="1478" t="str">
        <f t="shared" si="294"/>
        <v>04.14.04</v>
      </c>
      <c r="X824" s="1478" t="str">
        <f t="shared" si="295"/>
        <v>Bangunan Pengaman Sungai dan Penanggulangan Bencana Alam</v>
      </c>
      <c r="Y824" s="1478">
        <f t="shared" si="296"/>
        <v>10</v>
      </c>
      <c r="Z824" s="1401">
        <f t="shared" si="297"/>
        <v>36435653.811999999</v>
      </c>
      <c r="AA824" s="1444">
        <f t="shared" si="298"/>
        <v>1</v>
      </c>
      <c r="AB824" s="1401">
        <f t="shared" si="299"/>
        <v>36435653.811999999</v>
      </c>
      <c r="AC824" s="1401">
        <f t="shared" si="300"/>
        <v>36435653.811999999</v>
      </c>
      <c r="AD824" s="1401">
        <f t="shared" si="301"/>
        <v>36435653.811999999</v>
      </c>
      <c r="AE824" s="1401">
        <f t="shared" si="302"/>
        <v>36435653.811999999</v>
      </c>
      <c r="AF824" s="1401">
        <f t="shared" si="303"/>
        <v>36435653.811999999</v>
      </c>
      <c r="AG824" s="1479">
        <f t="shared" si="304"/>
        <v>36435653.811999999</v>
      </c>
      <c r="AH824" s="1479">
        <f t="shared" si="305"/>
        <v>36435653.811999999</v>
      </c>
      <c r="AI824" s="1479">
        <f t="shared" si="306"/>
        <v>255049576.68400002</v>
      </c>
      <c r="AJ824" s="1401">
        <f t="shared" si="307"/>
        <v>109306961.43599999</v>
      </c>
      <c r="AL824" s="1554">
        <f>SUM(AB824:AG824)</f>
        <v>218613922.87200001</v>
      </c>
    </row>
    <row r="825" spans="3:38" s="1472" customFormat="1" ht="33" customHeight="1" x14ac:dyDescent="0.2">
      <c r="C825" s="1478" t="s">
        <v>2306</v>
      </c>
      <c r="D825" s="1576"/>
      <c r="E825" s="1429" t="s">
        <v>1491</v>
      </c>
      <c r="F825" s="1539"/>
      <c r="G825" s="1501" t="s">
        <v>2525</v>
      </c>
      <c r="H825" s="1429"/>
      <c r="I825" s="1501" t="s">
        <v>835</v>
      </c>
      <c r="J825" s="1540"/>
      <c r="K825" s="1501"/>
      <c r="L825" s="1526"/>
      <c r="M825" s="1429" t="s">
        <v>3400</v>
      </c>
      <c r="N825" s="1501">
        <v>2013</v>
      </c>
      <c r="O825" s="1429"/>
      <c r="P825" s="1429"/>
      <c r="Q825" s="1429"/>
      <c r="R825" s="1501" t="s">
        <v>12</v>
      </c>
      <c r="S825" s="1539">
        <v>1203700390</v>
      </c>
      <c r="T825" s="1501"/>
      <c r="U825" s="1596"/>
      <c r="V825" s="1553"/>
      <c r="W825" s="1478" t="str">
        <f t="shared" si="294"/>
        <v>04.14.04</v>
      </c>
      <c r="X825" s="1478" t="str">
        <f t="shared" si="295"/>
        <v>Bangunan Pengaman Sungai dan Penanggulangan Bencana Alam</v>
      </c>
      <c r="Y825" s="1478">
        <f t="shared" si="296"/>
        <v>10</v>
      </c>
      <c r="Z825" s="1401">
        <f t="shared" si="297"/>
        <v>120370039</v>
      </c>
      <c r="AA825" s="1444">
        <f t="shared" si="298"/>
        <v>1</v>
      </c>
      <c r="AB825" s="1401">
        <f t="shared" si="299"/>
        <v>120370039</v>
      </c>
      <c r="AC825" s="1401">
        <f t="shared" si="300"/>
        <v>120370039</v>
      </c>
      <c r="AD825" s="1401">
        <f t="shared" si="301"/>
        <v>120370039</v>
      </c>
      <c r="AE825" s="1401">
        <f t="shared" si="302"/>
        <v>120370039</v>
      </c>
      <c r="AF825" s="1401">
        <f t="shared" si="303"/>
        <v>120370039</v>
      </c>
      <c r="AG825" s="1479">
        <f t="shared" si="304"/>
        <v>120370039</v>
      </c>
      <c r="AH825" s="1479">
        <f t="shared" si="305"/>
        <v>120370039</v>
      </c>
      <c r="AI825" s="1479">
        <f t="shared" si="306"/>
        <v>842590273</v>
      </c>
      <c r="AJ825" s="1401">
        <f t="shared" si="307"/>
        <v>361110117</v>
      </c>
    </row>
    <row r="826" spans="3:38" s="1472" customFormat="1" ht="33" customHeight="1" x14ac:dyDescent="0.2">
      <c r="C826" s="1478" t="s">
        <v>2306</v>
      </c>
      <c r="D826" s="1576"/>
      <c r="E826" s="1429" t="s">
        <v>1492</v>
      </c>
      <c r="F826" s="1539"/>
      <c r="G826" s="1501" t="s">
        <v>2525</v>
      </c>
      <c r="H826" s="1429"/>
      <c r="I826" s="1501" t="s">
        <v>835</v>
      </c>
      <c r="J826" s="1540"/>
      <c r="K826" s="1501"/>
      <c r="L826" s="1526"/>
      <c r="M826" s="1429" t="s">
        <v>3401</v>
      </c>
      <c r="N826" s="1501">
        <v>2013</v>
      </c>
      <c r="O826" s="1429"/>
      <c r="P826" s="1429"/>
      <c r="Q826" s="1429"/>
      <c r="R826" s="1501" t="s">
        <v>12</v>
      </c>
      <c r="S826" s="1539">
        <v>199750000</v>
      </c>
      <c r="T826" s="1501"/>
      <c r="U826" s="1596"/>
      <c r="V826" s="1553"/>
      <c r="W826" s="1478" t="str">
        <f t="shared" si="294"/>
        <v>04.14.04</v>
      </c>
      <c r="X826" s="1478" t="str">
        <f t="shared" si="295"/>
        <v>Bangunan Pengaman Sungai dan Penanggulangan Bencana Alam</v>
      </c>
      <c r="Y826" s="1478">
        <f t="shared" si="296"/>
        <v>10</v>
      </c>
      <c r="Z826" s="1401">
        <f t="shared" si="297"/>
        <v>19975000</v>
      </c>
      <c r="AA826" s="1444">
        <f t="shared" si="298"/>
        <v>1</v>
      </c>
      <c r="AB826" s="1401">
        <f t="shared" si="299"/>
        <v>19975000</v>
      </c>
      <c r="AC826" s="1401">
        <f t="shared" si="300"/>
        <v>19975000</v>
      </c>
      <c r="AD826" s="1401">
        <f t="shared" si="301"/>
        <v>19975000</v>
      </c>
      <c r="AE826" s="1401">
        <f t="shared" si="302"/>
        <v>19975000</v>
      </c>
      <c r="AF826" s="1401">
        <f t="shared" si="303"/>
        <v>19975000</v>
      </c>
      <c r="AG826" s="1479">
        <f t="shared" si="304"/>
        <v>19975000</v>
      </c>
      <c r="AH826" s="1479">
        <f t="shared" si="305"/>
        <v>19975000</v>
      </c>
      <c r="AI826" s="1479">
        <f t="shared" si="306"/>
        <v>139825000</v>
      </c>
      <c r="AJ826" s="1401">
        <f t="shared" si="307"/>
        <v>59925000</v>
      </c>
      <c r="AL826" s="1554">
        <f>SUM(AB826:AG826)</f>
        <v>119850000</v>
      </c>
    </row>
    <row r="827" spans="3:38" s="1472" customFormat="1" ht="33" customHeight="1" x14ac:dyDescent="0.2">
      <c r="C827" s="1478" t="s">
        <v>2306</v>
      </c>
      <c r="D827" s="1576"/>
      <c r="E827" s="1429" t="s">
        <v>1493</v>
      </c>
      <c r="F827" s="1539"/>
      <c r="G827" s="1501" t="s">
        <v>2525</v>
      </c>
      <c r="H827" s="1429"/>
      <c r="I827" s="1501" t="s">
        <v>835</v>
      </c>
      <c r="J827" s="1540"/>
      <c r="K827" s="1501"/>
      <c r="L827" s="1526"/>
      <c r="M827" s="1429" t="s">
        <v>3402</v>
      </c>
      <c r="N827" s="1501">
        <v>2013</v>
      </c>
      <c r="O827" s="1429"/>
      <c r="P827" s="1429"/>
      <c r="Q827" s="1429"/>
      <c r="R827" s="1501" t="s">
        <v>12</v>
      </c>
      <c r="S827" s="1539">
        <v>199750000</v>
      </c>
      <c r="T827" s="1501"/>
      <c r="U827" s="1596"/>
      <c r="V827" s="1553"/>
      <c r="W827" s="1478" t="str">
        <f t="shared" si="294"/>
        <v>04.14.04</v>
      </c>
      <c r="X827" s="1478" t="str">
        <f t="shared" si="295"/>
        <v>Bangunan Pengaman Sungai dan Penanggulangan Bencana Alam</v>
      </c>
      <c r="Y827" s="1478">
        <f t="shared" si="296"/>
        <v>10</v>
      </c>
      <c r="Z827" s="1401">
        <f t="shared" si="297"/>
        <v>19975000</v>
      </c>
      <c r="AA827" s="1444">
        <f t="shared" si="298"/>
        <v>1</v>
      </c>
      <c r="AB827" s="1401">
        <f t="shared" si="299"/>
        <v>19975000</v>
      </c>
      <c r="AC827" s="1401">
        <f t="shared" si="300"/>
        <v>19975000</v>
      </c>
      <c r="AD827" s="1401">
        <f t="shared" si="301"/>
        <v>19975000</v>
      </c>
      <c r="AE827" s="1401">
        <f t="shared" si="302"/>
        <v>19975000</v>
      </c>
      <c r="AF827" s="1401">
        <f t="shared" si="303"/>
        <v>19975000</v>
      </c>
      <c r="AG827" s="1479">
        <f t="shared" si="304"/>
        <v>19975000</v>
      </c>
      <c r="AH827" s="1479">
        <f t="shared" si="305"/>
        <v>19975000</v>
      </c>
      <c r="AI827" s="1479">
        <f t="shared" si="306"/>
        <v>139825000</v>
      </c>
      <c r="AJ827" s="1401">
        <f t="shared" si="307"/>
        <v>59925000</v>
      </c>
    </row>
    <row r="828" spans="3:38" s="1472" customFormat="1" ht="33" customHeight="1" x14ac:dyDescent="0.2">
      <c r="C828" s="1478" t="s">
        <v>2306</v>
      </c>
      <c r="D828" s="1576"/>
      <c r="E828" s="1429" t="s">
        <v>1494</v>
      </c>
      <c r="F828" s="1539"/>
      <c r="G828" s="1501" t="s">
        <v>2551</v>
      </c>
      <c r="H828" s="1429"/>
      <c r="I828" s="1501" t="s">
        <v>835</v>
      </c>
      <c r="J828" s="1540"/>
      <c r="K828" s="1501"/>
      <c r="L828" s="1526"/>
      <c r="M828" s="1429" t="s">
        <v>3403</v>
      </c>
      <c r="N828" s="1501">
        <v>2013</v>
      </c>
      <c r="O828" s="1429"/>
      <c r="P828" s="1429"/>
      <c r="Q828" s="1429"/>
      <c r="R828" s="1501" t="s">
        <v>12</v>
      </c>
      <c r="S828" s="1539">
        <v>99750000</v>
      </c>
      <c r="T828" s="1501"/>
      <c r="U828" s="1596"/>
      <c r="V828" s="1553"/>
      <c r="W828" s="1478" t="str">
        <f t="shared" si="294"/>
        <v>04.14.04</v>
      </c>
      <c r="X828" s="1478" t="str">
        <f t="shared" si="295"/>
        <v>Bangunan Pengaman Sungai dan Penanggulangan Bencana Alam</v>
      </c>
      <c r="Y828" s="1478">
        <f t="shared" si="296"/>
        <v>10</v>
      </c>
      <c r="Z828" s="1401">
        <f t="shared" si="297"/>
        <v>9975000</v>
      </c>
      <c r="AA828" s="1444">
        <f t="shared" si="298"/>
        <v>1</v>
      </c>
      <c r="AB828" s="1401">
        <f t="shared" si="299"/>
        <v>9975000</v>
      </c>
      <c r="AC828" s="1401">
        <f t="shared" si="300"/>
        <v>9975000</v>
      </c>
      <c r="AD828" s="1401">
        <f t="shared" si="301"/>
        <v>9975000</v>
      </c>
      <c r="AE828" s="1401">
        <f t="shared" si="302"/>
        <v>9975000</v>
      </c>
      <c r="AF828" s="1401">
        <f t="shared" si="303"/>
        <v>9975000</v>
      </c>
      <c r="AG828" s="1479">
        <f t="shared" si="304"/>
        <v>9975000</v>
      </c>
      <c r="AH828" s="1479">
        <f t="shared" si="305"/>
        <v>9975000</v>
      </c>
      <c r="AI828" s="1479">
        <f t="shared" si="306"/>
        <v>69825000</v>
      </c>
      <c r="AJ828" s="1401">
        <f t="shared" si="307"/>
        <v>29925000</v>
      </c>
      <c r="AL828" s="1554">
        <f>SUM(AB828:AG828)</f>
        <v>59850000</v>
      </c>
    </row>
    <row r="829" spans="3:38" s="1472" customFormat="1" ht="33" customHeight="1" x14ac:dyDescent="0.2">
      <c r="C829" s="1478" t="s">
        <v>2306</v>
      </c>
      <c r="D829" s="1576"/>
      <c r="E829" s="1429" t="s">
        <v>1495</v>
      </c>
      <c r="F829" s="1539"/>
      <c r="G829" s="1501" t="s">
        <v>2525</v>
      </c>
      <c r="H829" s="1429"/>
      <c r="I829" s="1501" t="s">
        <v>835</v>
      </c>
      <c r="J829" s="1540"/>
      <c r="K829" s="1501"/>
      <c r="L829" s="1526"/>
      <c r="M829" s="1429" t="s">
        <v>3404</v>
      </c>
      <c r="N829" s="1501">
        <v>2013</v>
      </c>
      <c r="O829" s="1429"/>
      <c r="P829" s="1429"/>
      <c r="Q829" s="1429"/>
      <c r="R829" s="1501" t="s">
        <v>12</v>
      </c>
      <c r="S829" s="1539">
        <v>199870000</v>
      </c>
      <c r="T829" s="1501"/>
      <c r="U829" s="1596"/>
      <c r="V829" s="1553"/>
      <c r="W829" s="1478" t="str">
        <f t="shared" si="294"/>
        <v>04.14.04</v>
      </c>
      <c r="X829" s="1478" t="str">
        <f t="shared" si="295"/>
        <v>Bangunan Pengaman Sungai dan Penanggulangan Bencana Alam</v>
      </c>
      <c r="Y829" s="1478">
        <f t="shared" si="296"/>
        <v>10</v>
      </c>
      <c r="Z829" s="1401">
        <f t="shared" si="297"/>
        <v>19987000</v>
      </c>
      <c r="AA829" s="1444">
        <f t="shared" si="298"/>
        <v>1</v>
      </c>
      <c r="AB829" s="1401">
        <f t="shared" si="299"/>
        <v>19987000</v>
      </c>
      <c r="AC829" s="1401">
        <f t="shared" si="300"/>
        <v>19987000</v>
      </c>
      <c r="AD829" s="1401">
        <f t="shared" si="301"/>
        <v>19987000</v>
      </c>
      <c r="AE829" s="1401">
        <f t="shared" si="302"/>
        <v>19987000</v>
      </c>
      <c r="AF829" s="1401">
        <f t="shared" si="303"/>
        <v>19987000</v>
      </c>
      <c r="AG829" s="1479">
        <f t="shared" si="304"/>
        <v>19987000</v>
      </c>
      <c r="AH829" s="1479">
        <f t="shared" si="305"/>
        <v>19987000</v>
      </c>
      <c r="AI829" s="1479">
        <f t="shared" si="306"/>
        <v>139909000</v>
      </c>
      <c r="AJ829" s="1401">
        <f t="shared" si="307"/>
        <v>59961000</v>
      </c>
    </row>
    <row r="830" spans="3:38" s="1472" customFormat="1" ht="33" customHeight="1" x14ac:dyDescent="0.2">
      <c r="C830" s="1478" t="s">
        <v>2306</v>
      </c>
      <c r="D830" s="1576"/>
      <c r="E830" s="1429" t="s">
        <v>1496</v>
      </c>
      <c r="F830" s="1539"/>
      <c r="G830" s="1501" t="s">
        <v>2551</v>
      </c>
      <c r="H830" s="1429"/>
      <c r="I830" s="1501" t="s">
        <v>835</v>
      </c>
      <c r="J830" s="1540"/>
      <c r="K830" s="1501"/>
      <c r="L830" s="1526"/>
      <c r="M830" s="1429" t="s">
        <v>3190</v>
      </c>
      <c r="N830" s="1501">
        <v>2013</v>
      </c>
      <c r="O830" s="1429"/>
      <c r="P830" s="1429"/>
      <c r="Q830" s="1429"/>
      <c r="R830" s="1501" t="s">
        <v>12</v>
      </c>
      <c r="S830" s="1539">
        <v>199850000</v>
      </c>
      <c r="T830" s="1501"/>
      <c r="U830" s="1596"/>
      <c r="V830" s="1553"/>
      <c r="W830" s="1478" t="str">
        <f t="shared" si="294"/>
        <v>04.14.04</v>
      </c>
      <c r="X830" s="1478" t="str">
        <f t="shared" si="295"/>
        <v>Bangunan Pengaman Sungai dan Penanggulangan Bencana Alam</v>
      </c>
      <c r="Y830" s="1478">
        <f t="shared" si="296"/>
        <v>10</v>
      </c>
      <c r="Z830" s="1401">
        <f t="shared" si="297"/>
        <v>19985000</v>
      </c>
      <c r="AA830" s="1444">
        <f t="shared" si="298"/>
        <v>1</v>
      </c>
      <c r="AB830" s="1401">
        <f t="shared" si="299"/>
        <v>19985000</v>
      </c>
      <c r="AC830" s="1401">
        <f t="shared" si="300"/>
        <v>19985000</v>
      </c>
      <c r="AD830" s="1401">
        <f t="shared" si="301"/>
        <v>19985000</v>
      </c>
      <c r="AE830" s="1401">
        <f t="shared" si="302"/>
        <v>19985000</v>
      </c>
      <c r="AF830" s="1401">
        <f t="shared" si="303"/>
        <v>19985000</v>
      </c>
      <c r="AG830" s="1479">
        <f t="shared" si="304"/>
        <v>19985000</v>
      </c>
      <c r="AH830" s="1479">
        <f t="shared" si="305"/>
        <v>19985000</v>
      </c>
      <c r="AI830" s="1479">
        <f t="shared" si="306"/>
        <v>139895000</v>
      </c>
      <c r="AJ830" s="1401">
        <f t="shared" si="307"/>
        <v>59955000</v>
      </c>
      <c r="AL830" s="1554">
        <f>SUM(AB830:AG830)</f>
        <v>119910000</v>
      </c>
    </row>
    <row r="831" spans="3:38" s="1472" customFormat="1" ht="33" customHeight="1" x14ac:dyDescent="0.2">
      <c r="C831" s="1478" t="s">
        <v>2306</v>
      </c>
      <c r="D831" s="1576"/>
      <c r="E831" s="1429" t="s">
        <v>1497</v>
      </c>
      <c r="F831" s="1539"/>
      <c r="G831" s="1501" t="s">
        <v>2551</v>
      </c>
      <c r="H831" s="1429"/>
      <c r="I831" s="1501" t="s">
        <v>835</v>
      </c>
      <c r="J831" s="1540"/>
      <c r="K831" s="1501"/>
      <c r="L831" s="1526"/>
      <c r="M831" s="1429" t="s">
        <v>3405</v>
      </c>
      <c r="N831" s="1501">
        <v>2013</v>
      </c>
      <c r="O831" s="1429"/>
      <c r="P831" s="1429"/>
      <c r="Q831" s="1429"/>
      <c r="R831" s="1501" t="s">
        <v>12</v>
      </c>
      <c r="S831" s="1539">
        <v>199875000</v>
      </c>
      <c r="T831" s="1501"/>
      <c r="U831" s="1596"/>
      <c r="V831" s="1553"/>
      <c r="W831" s="1478" t="str">
        <f t="shared" si="294"/>
        <v>04.14.04</v>
      </c>
      <c r="X831" s="1478" t="str">
        <f t="shared" si="295"/>
        <v>Bangunan Pengaman Sungai dan Penanggulangan Bencana Alam</v>
      </c>
      <c r="Y831" s="1478">
        <f t="shared" si="296"/>
        <v>10</v>
      </c>
      <c r="Z831" s="1401">
        <f t="shared" si="297"/>
        <v>19987500</v>
      </c>
      <c r="AA831" s="1444">
        <f t="shared" si="298"/>
        <v>1</v>
      </c>
      <c r="AB831" s="1401">
        <f t="shared" si="299"/>
        <v>19987500</v>
      </c>
      <c r="AC831" s="1401">
        <f t="shared" si="300"/>
        <v>19987500</v>
      </c>
      <c r="AD831" s="1401">
        <f t="shared" si="301"/>
        <v>19987500</v>
      </c>
      <c r="AE831" s="1401">
        <f t="shared" si="302"/>
        <v>19987500</v>
      </c>
      <c r="AF831" s="1401">
        <f t="shared" si="303"/>
        <v>19987500</v>
      </c>
      <c r="AG831" s="1479">
        <f t="shared" si="304"/>
        <v>19987500</v>
      </c>
      <c r="AH831" s="1479">
        <f t="shared" si="305"/>
        <v>19987500</v>
      </c>
      <c r="AI831" s="1479">
        <f t="shared" si="306"/>
        <v>139912500</v>
      </c>
      <c r="AJ831" s="1401">
        <f t="shared" si="307"/>
        <v>59962500</v>
      </c>
      <c r="AL831" s="1554">
        <f>SUM(AB831:AG831)</f>
        <v>119925000</v>
      </c>
    </row>
    <row r="832" spans="3:38" s="1472" customFormat="1" ht="33" customHeight="1" x14ac:dyDescent="0.2">
      <c r="C832" s="1478" t="s">
        <v>2306</v>
      </c>
      <c r="D832" s="1576"/>
      <c r="E832" s="1429" t="s">
        <v>1498</v>
      </c>
      <c r="F832" s="1539"/>
      <c r="G832" s="1501" t="s">
        <v>5752</v>
      </c>
      <c r="H832" s="1429"/>
      <c r="I832" s="1501" t="s">
        <v>835</v>
      </c>
      <c r="J832" s="1540"/>
      <c r="K832" s="1501"/>
      <c r="L832" s="1526"/>
      <c r="M832" s="1429" t="s">
        <v>3406</v>
      </c>
      <c r="N832" s="1501">
        <v>2013</v>
      </c>
      <c r="O832" s="1429"/>
      <c r="P832" s="1429"/>
      <c r="Q832" s="1429"/>
      <c r="R832" s="1501" t="s">
        <v>12</v>
      </c>
      <c r="S832" s="1539">
        <v>124750000</v>
      </c>
      <c r="T832" s="1501"/>
      <c r="U832" s="1596"/>
      <c r="V832" s="1553"/>
      <c r="W832" s="1478" t="str">
        <f t="shared" si="294"/>
        <v>04.14.04</v>
      </c>
      <c r="X832" s="1478" t="str">
        <f t="shared" si="295"/>
        <v>Bangunan Pengaman Sungai dan Penanggulangan Bencana Alam</v>
      </c>
      <c r="Y832" s="1478">
        <f t="shared" si="296"/>
        <v>10</v>
      </c>
      <c r="Z832" s="1401">
        <f t="shared" si="297"/>
        <v>12475000</v>
      </c>
      <c r="AA832" s="1444">
        <f t="shared" si="298"/>
        <v>1</v>
      </c>
      <c r="AB832" s="1401">
        <f t="shared" si="299"/>
        <v>12475000</v>
      </c>
      <c r="AC832" s="1401">
        <f t="shared" si="300"/>
        <v>12475000</v>
      </c>
      <c r="AD832" s="1401">
        <f t="shared" si="301"/>
        <v>12475000</v>
      </c>
      <c r="AE832" s="1401">
        <f t="shared" si="302"/>
        <v>12475000</v>
      </c>
      <c r="AF832" s="1401">
        <f t="shared" si="303"/>
        <v>12475000</v>
      </c>
      <c r="AG832" s="1479">
        <f t="shared" si="304"/>
        <v>12475000</v>
      </c>
      <c r="AH832" s="1479">
        <f t="shared" si="305"/>
        <v>12475000</v>
      </c>
      <c r="AI832" s="1479">
        <f t="shared" si="306"/>
        <v>87325000</v>
      </c>
      <c r="AJ832" s="1401">
        <f t="shared" si="307"/>
        <v>37425000</v>
      </c>
      <c r="AL832" s="1554">
        <f>SUM(AB832:AG832)</f>
        <v>74850000</v>
      </c>
    </row>
    <row r="833" spans="2:38" s="1472" customFormat="1" ht="33" customHeight="1" x14ac:dyDescent="0.2">
      <c r="C833" s="1478" t="s">
        <v>2306</v>
      </c>
      <c r="D833" s="1576"/>
      <c r="E833" s="1429" t="s">
        <v>1499</v>
      </c>
      <c r="F833" s="1539"/>
      <c r="G833" s="1501" t="s">
        <v>2525</v>
      </c>
      <c r="H833" s="1429"/>
      <c r="I833" s="1501" t="s">
        <v>835</v>
      </c>
      <c r="J833" s="1540"/>
      <c r="K833" s="1501"/>
      <c r="L833" s="1526"/>
      <c r="M833" s="1429" t="s">
        <v>3407</v>
      </c>
      <c r="N833" s="1501">
        <v>2013</v>
      </c>
      <c r="O833" s="1429"/>
      <c r="P833" s="1429"/>
      <c r="Q833" s="1429"/>
      <c r="R833" s="1501" t="s">
        <v>12</v>
      </c>
      <c r="S833" s="1539">
        <v>199750000</v>
      </c>
      <c r="T833" s="1501"/>
      <c r="U833" s="1596"/>
      <c r="V833" s="1553"/>
      <c r="W833" s="1478" t="str">
        <f t="shared" si="294"/>
        <v>04.14.04</v>
      </c>
      <c r="X833" s="1478" t="str">
        <f t="shared" si="295"/>
        <v>Bangunan Pengaman Sungai dan Penanggulangan Bencana Alam</v>
      </c>
      <c r="Y833" s="1478">
        <f t="shared" si="296"/>
        <v>10</v>
      </c>
      <c r="Z833" s="1401">
        <f t="shared" si="297"/>
        <v>19975000</v>
      </c>
      <c r="AA833" s="1444">
        <f t="shared" si="298"/>
        <v>1</v>
      </c>
      <c r="AB833" s="1401">
        <f t="shared" si="299"/>
        <v>19975000</v>
      </c>
      <c r="AC833" s="1401">
        <f t="shared" si="300"/>
        <v>19975000</v>
      </c>
      <c r="AD833" s="1401">
        <f t="shared" si="301"/>
        <v>19975000</v>
      </c>
      <c r="AE833" s="1401">
        <f t="shared" si="302"/>
        <v>19975000</v>
      </c>
      <c r="AF833" s="1401">
        <f t="shared" si="303"/>
        <v>19975000</v>
      </c>
      <c r="AG833" s="1479">
        <f t="shared" si="304"/>
        <v>19975000</v>
      </c>
      <c r="AH833" s="1479">
        <f t="shared" si="305"/>
        <v>19975000</v>
      </c>
      <c r="AI833" s="1479">
        <f t="shared" si="306"/>
        <v>139825000</v>
      </c>
      <c r="AJ833" s="1401">
        <f t="shared" si="307"/>
        <v>59925000</v>
      </c>
      <c r="AL833" s="1554">
        <f>SUM(AB833:AG833)</f>
        <v>119850000</v>
      </c>
    </row>
    <row r="834" spans="2:38" s="1390" customFormat="1" ht="33" customHeight="1" x14ac:dyDescent="0.2">
      <c r="B834" s="1472"/>
      <c r="C834" s="1478" t="e">
        <f>RIGHT(#REF!,1)</f>
        <v>#REF!</v>
      </c>
      <c r="D834" s="1426"/>
      <c r="E834" s="1429" t="s">
        <v>1290</v>
      </c>
      <c r="F834" s="1539"/>
      <c r="G834" s="1501" t="s">
        <v>2525</v>
      </c>
      <c r="H834" s="1508"/>
      <c r="I834" s="1416" t="s">
        <v>835</v>
      </c>
      <c r="J834" s="1512"/>
      <c r="K834" s="1416"/>
      <c r="L834" s="1500"/>
      <c r="M834" s="1429" t="s">
        <v>417</v>
      </c>
      <c r="N834" s="1416">
        <v>2013</v>
      </c>
      <c r="O834" s="1414"/>
      <c r="P834" s="1414"/>
      <c r="Q834" s="1414"/>
      <c r="R834" s="1416" t="s">
        <v>12</v>
      </c>
      <c r="S834" s="1529">
        <v>1827236217</v>
      </c>
      <c r="T834" s="1416"/>
      <c r="U834" s="1427"/>
      <c r="V834" s="1477"/>
      <c r="W834" s="1478" t="str">
        <f t="shared" ref="W834:W840" si="308">LEFT(G834,8)</f>
        <v>04.14.04</v>
      </c>
      <c r="X834" s="1478" t="str">
        <f t="shared" ref="X834:X840" si="309">VLOOKUP(W834,UE,3,FALSE)</f>
        <v>Bangunan Pengaman Sungai dan Penanggulangan Bencana Alam</v>
      </c>
      <c r="Y834" s="1478">
        <f t="shared" ref="Y834:Y840" si="310">VLOOKUP(W834,UE,4,FALSE)</f>
        <v>10</v>
      </c>
      <c r="Z834" s="1401">
        <f t="shared" ref="Z834:Z840" si="311">S834/Y834</f>
        <v>182723621.69999999</v>
      </c>
      <c r="AA834" s="1444">
        <f t="shared" ref="AA834:AA840" si="312">IF(2013-N834+1&gt;Y834,Y834,IF(2013-N834+1&lt;0,0,2013-N834+1))</f>
        <v>1</v>
      </c>
      <c r="AB834" s="1401">
        <f t="shared" ref="AB834:AB839" si="313">IF(AA834&gt;Y834,S834,Z834*AA834)</f>
        <v>182723621.69999999</v>
      </c>
      <c r="AC834" s="1401">
        <f t="shared" ref="AC834:AC891" si="314">IF(S834=AB834,0,Z834)</f>
        <v>182723621.69999999</v>
      </c>
      <c r="AD834" s="1401">
        <f t="shared" ref="AD834:AD901" si="315">IF(S834=AB834+AC834,0,Z834)</f>
        <v>182723621.69999999</v>
      </c>
      <c r="AE834" s="1401">
        <f t="shared" ref="AE834:AE901" si="316">IF(S834=AB834+AC834+AD834,0,Z834)</f>
        <v>182723621.69999999</v>
      </c>
      <c r="AF834" s="1401">
        <f t="shared" ref="AF834:AF901" si="317">IF(S834=AC834+AD834+AE834+AB834,0,Z834)</f>
        <v>182723621.69999999</v>
      </c>
      <c r="AG834" s="1479">
        <f t="shared" ref="AG834:AG901" si="318">IF(S834=AC834+AD834+AE834+AB834+AF834,0,Z834)</f>
        <v>182723621.69999999</v>
      </c>
      <c r="AH834" s="1479">
        <f t="shared" si="305"/>
        <v>182723621.69999999</v>
      </c>
      <c r="AI834" s="1479">
        <f t="shared" si="306"/>
        <v>1279065351.9000001</v>
      </c>
      <c r="AJ834" s="1401">
        <f t="shared" ref="AJ834:AJ840" si="319">S834-AI834</f>
        <v>548170865.0999999</v>
      </c>
    </row>
    <row r="835" spans="2:38" s="1390" customFormat="1" ht="33" customHeight="1" x14ac:dyDescent="0.2">
      <c r="B835" s="1472"/>
      <c r="C835" s="1478" t="e">
        <f>RIGHT(#REF!,1)</f>
        <v>#REF!</v>
      </c>
      <c r="D835" s="1426"/>
      <c r="E835" s="1429" t="s">
        <v>4898</v>
      </c>
      <c r="F835" s="1539"/>
      <c r="G835" s="1501" t="s">
        <v>2525</v>
      </c>
      <c r="H835" s="1508"/>
      <c r="I835" s="1416" t="s">
        <v>835</v>
      </c>
      <c r="J835" s="1512"/>
      <c r="K835" s="1416"/>
      <c r="L835" s="1500"/>
      <c r="M835" s="1429" t="s">
        <v>619</v>
      </c>
      <c r="N835" s="1416">
        <v>2013</v>
      </c>
      <c r="O835" s="1414"/>
      <c r="P835" s="1414"/>
      <c r="Q835" s="1414"/>
      <c r="R835" s="1416" t="s">
        <v>12</v>
      </c>
      <c r="S835" s="1529">
        <v>195230504</v>
      </c>
      <c r="T835" s="1416"/>
      <c r="U835" s="1427"/>
      <c r="V835" s="1477"/>
      <c r="W835" s="1478" t="str">
        <f t="shared" si="308"/>
        <v>04.14.04</v>
      </c>
      <c r="X835" s="1478" t="str">
        <f t="shared" si="309"/>
        <v>Bangunan Pengaman Sungai dan Penanggulangan Bencana Alam</v>
      </c>
      <c r="Y835" s="1478">
        <f t="shared" si="310"/>
        <v>10</v>
      </c>
      <c r="Z835" s="1401">
        <f t="shared" si="311"/>
        <v>19523050.399999999</v>
      </c>
      <c r="AA835" s="1444">
        <f t="shared" si="312"/>
        <v>1</v>
      </c>
      <c r="AB835" s="1401">
        <f t="shared" si="313"/>
        <v>19523050.399999999</v>
      </c>
      <c r="AC835" s="1401">
        <f t="shared" si="314"/>
        <v>19523050.399999999</v>
      </c>
      <c r="AD835" s="1401">
        <f t="shared" si="315"/>
        <v>19523050.399999999</v>
      </c>
      <c r="AE835" s="1401">
        <f t="shared" si="316"/>
        <v>19523050.399999999</v>
      </c>
      <c r="AF835" s="1401">
        <f t="shared" si="317"/>
        <v>19523050.399999999</v>
      </c>
      <c r="AG835" s="1479">
        <f t="shared" si="318"/>
        <v>19523050.399999999</v>
      </c>
      <c r="AH835" s="1479">
        <f t="shared" si="305"/>
        <v>19523050.399999999</v>
      </c>
      <c r="AI835" s="1479">
        <f t="shared" si="306"/>
        <v>136661352.80000001</v>
      </c>
      <c r="AJ835" s="1401">
        <f t="shared" si="319"/>
        <v>58569151.199999988</v>
      </c>
    </row>
    <row r="836" spans="2:38" s="1390" customFormat="1" ht="33" customHeight="1" x14ac:dyDescent="0.2">
      <c r="B836" s="1472"/>
      <c r="C836" s="1478" t="s">
        <v>2307</v>
      </c>
      <c r="D836" s="1426"/>
      <c r="E836" s="1455" t="s">
        <v>1646</v>
      </c>
      <c r="F836" s="1562"/>
      <c r="G836" s="1501" t="s">
        <v>5629</v>
      </c>
      <c r="H836" s="1414"/>
      <c r="I836" s="1416"/>
      <c r="J836" s="1512"/>
      <c r="K836" s="1416"/>
      <c r="L836" s="1500"/>
      <c r="M836" s="1429" t="s">
        <v>3554</v>
      </c>
      <c r="N836" s="1416">
        <v>2013</v>
      </c>
      <c r="O836" s="1414"/>
      <c r="P836" s="1414"/>
      <c r="Q836" s="1414"/>
      <c r="R836" s="1501" t="s">
        <v>12</v>
      </c>
      <c r="S836" s="1539">
        <v>369945000</v>
      </c>
      <c r="T836" s="1416"/>
      <c r="U836" s="1427"/>
      <c r="V836" s="1477"/>
      <c r="W836" s="1478" t="str">
        <f t="shared" si="308"/>
        <v>04.14.01</v>
      </c>
      <c r="X836" s="1478" t="str">
        <f t="shared" si="309"/>
        <v>Bangunan Air Irigasi</v>
      </c>
      <c r="Y836" s="1478">
        <f t="shared" si="310"/>
        <v>50</v>
      </c>
      <c r="Z836" s="1401">
        <f t="shared" si="311"/>
        <v>7398900</v>
      </c>
      <c r="AA836" s="1444">
        <f t="shared" si="312"/>
        <v>1</v>
      </c>
      <c r="AB836" s="1401">
        <f t="shared" si="313"/>
        <v>7398900</v>
      </c>
      <c r="AC836" s="1401">
        <f>IF(S836=AB836,0,Z836)</f>
        <v>7398900</v>
      </c>
      <c r="AD836" s="1401">
        <f>IF(S836=AB836+AC836,0,Z836)</f>
        <v>7398900</v>
      </c>
      <c r="AE836" s="1401">
        <f>IF(S836=AB836+AC836+AD836,0,Z836)</f>
        <v>7398900</v>
      </c>
      <c r="AF836" s="1401">
        <f>IF(S836=AC836+AD836+AE836+AB836,0,Z836)</f>
        <v>7398900</v>
      </c>
      <c r="AG836" s="1479">
        <f>IF(S836=AC836+AD836+AE836+AB836+AF836,0,Z836)</f>
        <v>7398900</v>
      </c>
      <c r="AH836" s="1479">
        <f>IF(S836=AC836+AD836+AE836+AB836+AF836+AG836,0,Z836)</f>
        <v>7398900</v>
      </c>
      <c r="AI836" s="1479">
        <f>SUM(AB836:AH836)</f>
        <v>51792300</v>
      </c>
      <c r="AJ836" s="1401">
        <f t="shared" si="319"/>
        <v>318152700</v>
      </c>
      <c r="AL836" s="1443">
        <f>SUM(AB836:AG836)</f>
        <v>44393400</v>
      </c>
    </row>
    <row r="837" spans="2:38" s="1390" customFormat="1" ht="33" customHeight="1" x14ac:dyDescent="0.2">
      <c r="B837" s="1472"/>
      <c r="C837" s="1478" t="s">
        <v>2307</v>
      </c>
      <c r="D837" s="1426"/>
      <c r="E837" s="1455" t="s">
        <v>1647</v>
      </c>
      <c r="F837" s="1562"/>
      <c r="G837" s="1501" t="s">
        <v>5629</v>
      </c>
      <c r="H837" s="1414"/>
      <c r="I837" s="1416"/>
      <c r="J837" s="1512"/>
      <c r="K837" s="1416"/>
      <c r="L837" s="1500"/>
      <c r="M837" s="1429" t="s">
        <v>798</v>
      </c>
      <c r="N837" s="1416">
        <v>2013</v>
      </c>
      <c r="O837" s="1414"/>
      <c r="P837" s="1414"/>
      <c r="Q837" s="1414"/>
      <c r="R837" s="1501" t="s">
        <v>12</v>
      </c>
      <c r="S837" s="1539">
        <v>156828000</v>
      </c>
      <c r="T837" s="1416"/>
      <c r="U837" s="1427"/>
      <c r="V837" s="1477"/>
      <c r="W837" s="1478" t="str">
        <f t="shared" si="308"/>
        <v>04.14.01</v>
      </c>
      <c r="X837" s="1478" t="str">
        <f t="shared" si="309"/>
        <v>Bangunan Air Irigasi</v>
      </c>
      <c r="Y837" s="1478">
        <f t="shared" si="310"/>
        <v>50</v>
      </c>
      <c r="Z837" s="1401">
        <f t="shared" si="311"/>
        <v>3136560</v>
      </c>
      <c r="AA837" s="1444">
        <f t="shared" si="312"/>
        <v>1</v>
      </c>
      <c r="AB837" s="1401">
        <f t="shared" si="313"/>
        <v>3136560</v>
      </c>
      <c r="AC837" s="1401">
        <f>IF(S837=AB837,0,Z837)</f>
        <v>3136560</v>
      </c>
      <c r="AD837" s="1401">
        <f>IF(S837=AB837+AC837,0,Z837)</f>
        <v>3136560</v>
      </c>
      <c r="AE837" s="1401">
        <f>IF(S837=AB837+AC837+AD837,0,Z837)</f>
        <v>3136560</v>
      </c>
      <c r="AF837" s="1401">
        <f>IF(S837=AC837+AD837+AE837+AB837,0,Z837)</f>
        <v>3136560</v>
      </c>
      <c r="AG837" s="1479">
        <f>IF(S837=AC837+AD837+AE837+AB837+AF837,0,Z837)</f>
        <v>3136560</v>
      </c>
      <c r="AH837" s="1479">
        <f>IF(S837=AC837+AD837+AE837+AB837+AF837+AG837,0,Z837)</f>
        <v>3136560</v>
      </c>
      <c r="AI837" s="1479">
        <f>SUM(AB837:AH837)</f>
        <v>21955920</v>
      </c>
      <c r="AJ837" s="1401">
        <f t="shared" si="319"/>
        <v>134872080</v>
      </c>
      <c r="AL837" s="1443">
        <f>SUM(AB837:AG837)</f>
        <v>18819360</v>
      </c>
    </row>
    <row r="838" spans="2:38" s="1390" customFormat="1" ht="33" customHeight="1" x14ac:dyDescent="0.2">
      <c r="B838" s="1472"/>
      <c r="C838" s="1478" t="s">
        <v>2307</v>
      </c>
      <c r="D838" s="1426"/>
      <c r="E838" s="1455" t="s">
        <v>1643</v>
      </c>
      <c r="F838" s="1562"/>
      <c r="G838" s="1501" t="s">
        <v>2552</v>
      </c>
      <c r="H838" s="1414"/>
      <c r="I838" s="1416"/>
      <c r="J838" s="1512"/>
      <c r="K838" s="1416"/>
      <c r="L838" s="1500"/>
      <c r="M838" s="1429" t="s">
        <v>798</v>
      </c>
      <c r="N838" s="1416">
        <v>2013</v>
      </c>
      <c r="O838" s="1414"/>
      <c r="P838" s="1414"/>
      <c r="Q838" s="1414"/>
      <c r="R838" s="1501" t="s">
        <v>12</v>
      </c>
      <c r="S838" s="1539">
        <v>188000000</v>
      </c>
      <c r="T838" s="1416"/>
      <c r="U838" s="1427"/>
      <c r="V838" s="1477"/>
      <c r="W838" s="1478" t="str">
        <f t="shared" si="308"/>
        <v>04.14.01</v>
      </c>
      <c r="X838" s="1478" t="str">
        <f t="shared" si="309"/>
        <v>Bangunan Air Irigasi</v>
      </c>
      <c r="Y838" s="1478">
        <f t="shared" si="310"/>
        <v>50</v>
      </c>
      <c r="Z838" s="1401">
        <f t="shared" si="311"/>
        <v>3760000</v>
      </c>
      <c r="AA838" s="1444">
        <f t="shared" si="312"/>
        <v>1</v>
      </c>
      <c r="AB838" s="1401">
        <f t="shared" si="313"/>
        <v>3760000</v>
      </c>
      <c r="AC838" s="1401">
        <f>IF(S838=AB838,0,Z838)</f>
        <v>3760000</v>
      </c>
      <c r="AD838" s="1401">
        <f>IF(S838=AB838+AC838,0,Z838)</f>
        <v>3760000</v>
      </c>
      <c r="AE838" s="1401">
        <f>IF(S838=AB838+AC838+AD838,0,Z838)</f>
        <v>3760000</v>
      </c>
      <c r="AF838" s="1401">
        <f>IF(S838=AC838+AD838+AE838+AB838,0,Z838)</f>
        <v>3760000</v>
      </c>
      <c r="AG838" s="1479">
        <f>IF(S838=AC838+AD838+AE838+AB838+AF838,0,Z838)</f>
        <v>3760000</v>
      </c>
      <c r="AH838" s="1479">
        <f>IF(S838=AC838+AD838+AE838+AB838+AF838+AG838,0,Z838)</f>
        <v>3760000</v>
      </c>
      <c r="AI838" s="1479">
        <f>SUM(AB838:AH838)</f>
        <v>26320000</v>
      </c>
      <c r="AJ838" s="1401">
        <f t="shared" si="319"/>
        <v>161680000</v>
      </c>
      <c r="AL838" s="1443">
        <f>SUM(AB838:AG838)</f>
        <v>22560000</v>
      </c>
    </row>
    <row r="839" spans="2:38" s="1472" customFormat="1" ht="33" customHeight="1" x14ac:dyDescent="0.2">
      <c r="C839" s="1478" t="s">
        <v>2306</v>
      </c>
      <c r="D839" s="1576"/>
      <c r="E839" s="1429" t="s">
        <v>1500</v>
      </c>
      <c r="F839" s="1539"/>
      <c r="G839" s="1501" t="s">
        <v>4899</v>
      </c>
      <c r="H839" s="1429"/>
      <c r="I839" s="1501"/>
      <c r="J839" s="1540"/>
      <c r="K839" s="1501"/>
      <c r="L839" s="1526"/>
      <c r="M839" s="1429" t="s">
        <v>603</v>
      </c>
      <c r="N839" s="1501">
        <v>2014</v>
      </c>
      <c r="O839" s="1429"/>
      <c r="P839" s="1429"/>
      <c r="Q839" s="1429"/>
      <c r="R839" s="1501" t="s">
        <v>12</v>
      </c>
      <c r="S839" s="1539">
        <v>197739968</v>
      </c>
      <c r="T839" s="1501"/>
      <c r="U839" s="1596"/>
      <c r="V839" s="1553"/>
      <c r="W839" s="1478" t="str">
        <f t="shared" si="308"/>
        <v>04.14.04</v>
      </c>
      <c r="X839" s="1478" t="str">
        <f t="shared" si="309"/>
        <v>Bangunan Pengaman Sungai dan Penanggulangan Bencana Alam</v>
      </c>
      <c r="Y839" s="1478">
        <f t="shared" si="310"/>
        <v>10</v>
      </c>
      <c r="Z839" s="1401">
        <f t="shared" si="311"/>
        <v>19773996.800000001</v>
      </c>
      <c r="AA839" s="1444">
        <f t="shared" si="312"/>
        <v>0</v>
      </c>
      <c r="AB839" s="1401">
        <f t="shared" si="313"/>
        <v>0</v>
      </c>
      <c r="AC839" s="1401">
        <f t="shared" si="314"/>
        <v>19773996.800000001</v>
      </c>
      <c r="AD839" s="1401">
        <f t="shared" si="315"/>
        <v>19773996.800000001</v>
      </c>
      <c r="AE839" s="1401">
        <f t="shared" si="316"/>
        <v>19773996.800000001</v>
      </c>
      <c r="AF839" s="1401">
        <f t="shared" si="317"/>
        <v>19773996.800000001</v>
      </c>
      <c r="AG839" s="1479">
        <f t="shared" si="318"/>
        <v>19773996.800000001</v>
      </c>
      <c r="AH839" s="1479">
        <f t="shared" si="305"/>
        <v>19773996.800000001</v>
      </c>
      <c r="AI839" s="1479">
        <f t="shared" si="306"/>
        <v>118643980.8</v>
      </c>
      <c r="AJ839" s="1401">
        <f t="shared" si="319"/>
        <v>79095987.200000003</v>
      </c>
    </row>
    <row r="840" spans="2:38" s="1472" customFormat="1" ht="33" customHeight="1" x14ac:dyDescent="0.2">
      <c r="C840" s="1478" t="s">
        <v>2306</v>
      </c>
      <c r="D840" s="1576"/>
      <c r="E840" s="1429" t="s">
        <v>5593</v>
      </c>
      <c r="F840" s="1539"/>
      <c r="G840" s="1501" t="s">
        <v>4899</v>
      </c>
      <c r="H840" s="1429"/>
      <c r="I840" s="1501"/>
      <c r="J840" s="1540"/>
      <c r="K840" s="1501"/>
      <c r="L840" s="1526"/>
      <c r="M840" s="1429" t="s">
        <v>3408</v>
      </c>
      <c r="N840" s="1501">
        <v>2014</v>
      </c>
      <c r="O840" s="1429"/>
      <c r="P840" s="1429"/>
      <c r="Q840" s="1429"/>
      <c r="R840" s="1501" t="s">
        <v>12</v>
      </c>
      <c r="S840" s="1539">
        <f>197918604</f>
        <v>197918604</v>
      </c>
      <c r="T840" s="1501"/>
      <c r="U840" s="1596"/>
      <c r="V840" s="1553"/>
      <c r="W840" s="1478" t="str">
        <f t="shared" si="308"/>
        <v>04.14.04</v>
      </c>
      <c r="X840" s="1478" t="str">
        <f t="shared" si="309"/>
        <v>Bangunan Pengaman Sungai dan Penanggulangan Bencana Alam</v>
      </c>
      <c r="Y840" s="1478">
        <f t="shared" si="310"/>
        <v>10</v>
      </c>
      <c r="Z840" s="1401">
        <f t="shared" si="311"/>
        <v>19791860.399999999</v>
      </c>
      <c r="AA840" s="1444">
        <f t="shared" si="312"/>
        <v>0</v>
      </c>
      <c r="AB840" s="1479">
        <f>SUMIF(PERHITUNGAN!A:A,'KIB D'!B840&amp;'KIB D'!$AB$7,PERHITUNGAN!U:U)</f>
        <v>0</v>
      </c>
      <c r="AC840" s="1401">
        <f t="shared" si="314"/>
        <v>19791860.399999999</v>
      </c>
      <c r="AD840" s="1401">
        <f t="shared" si="315"/>
        <v>19791860.399999999</v>
      </c>
      <c r="AE840" s="1401">
        <f t="shared" si="316"/>
        <v>19791860.399999999</v>
      </c>
      <c r="AF840" s="1401">
        <f t="shared" si="317"/>
        <v>19791860.399999999</v>
      </c>
      <c r="AG840" s="1479">
        <f t="shared" si="318"/>
        <v>19791860.399999999</v>
      </c>
      <c r="AH840" s="1479">
        <f t="shared" si="305"/>
        <v>19791860.399999999</v>
      </c>
      <c r="AI840" s="1479">
        <f>SUM(AB840:AH840)</f>
        <v>118751162.40000001</v>
      </c>
      <c r="AJ840" s="1401">
        <f t="shared" si="319"/>
        <v>79167441.599999994</v>
      </c>
    </row>
    <row r="841" spans="2:38" s="1472" customFormat="1" ht="33" customHeight="1" x14ac:dyDescent="0.2">
      <c r="C841" s="1478" t="s">
        <v>2306</v>
      </c>
      <c r="D841" s="1576"/>
      <c r="E841" s="1429" t="s">
        <v>1502</v>
      </c>
      <c r="F841" s="1539"/>
      <c r="G841" s="1501" t="s">
        <v>4899</v>
      </c>
      <c r="H841" s="1429"/>
      <c r="I841" s="1501"/>
      <c r="J841" s="1540"/>
      <c r="K841" s="1501"/>
      <c r="L841" s="1526"/>
      <c r="M841" s="1429" t="s">
        <v>3088</v>
      </c>
      <c r="N841" s="1501">
        <v>2014</v>
      </c>
      <c r="O841" s="1429"/>
      <c r="P841" s="1429"/>
      <c r="Q841" s="1429"/>
      <c r="R841" s="1501" t="s">
        <v>12</v>
      </c>
      <c r="S841" s="1539">
        <v>197925372</v>
      </c>
      <c r="T841" s="1501"/>
      <c r="U841" s="1596"/>
      <c r="V841" s="1553"/>
      <c r="W841" s="1478" t="str">
        <f t="shared" si="294"/>
        <v>04.14.04</v>
      </c>
      <c r="X841" s="1478" t="str">
        <f t="shared" si="295"/>
        <v>Bangunan Pengaman Sungai dan Penanggulangan Bencana Alam</v>
      </c>
      <c r="Y841" s="1478">
        <f t="shared" si="296"/>
        <v>10</v>
      </c>
      <c r="Z841" s="1401">
        <f t="shared" si="297"/>
        <v>19792537.199999999</v>
      </c>
      <c r="AA841" s="1444">
        <f t="shared" si="298"/>
        <v>0</v>
      </c>
      <c r="AB841" s="1401">
        <f t="shared" si="299"/>
        <v>0</v>
      </c>
      <c r="AC841" s="1401">
        <f t="shared" si="314"/>
        <v>19792537.199999999</v>
      </c>
      <c r="AD841" s="1401">
        <f t="shared" si="315"/>
        <v>19792537.199999999</v>
      </c>
      <c r="AE841" s="1401">
        <f t="shared" si="316"/>
        <v>19792537.199999999</v>
      </c>
      <c r="AF841" s="1401">
        <f t="shared" si="317"/>
        <v>19792537.199999999</v>
      </c>
      <c r="AG841" s="1479">
        <f t="shared" si="318"/>
        <v>19792537.199999999</v>
      </c>
      <c r="AH841" s="1479">
        <f t="shared" si="305"/>
        <v>19792537.199999999</v>
      </c>
      <c r="AI841" s="1479">
        <f t="shared" si="306"/>
        <v>118755223.2</v>
      </c>
      <c r="AJ841" s="1401">
        <f t="shared" si="307"/>
        <v>79170148.799999997</v>
      </c>
    </row>
    <row r="842" spans="2:38" s="1472" customFormat="1" ht="33" customHeight="1" x14ac:dyDescent="0.2">
      <c r="C842" s="1478" t="s">
        <v>2306</v>
      </c>
      <c r="D842" s="1576"/>
      <c r="E842" s="1429" t="s">
        <v>1503</v>
      </c>
      <c r="F842" s="1539"/>
      <c r="G842" s="1501" t="s">
        <v>4899</v>
      </c>
      <c r="H842" s="1429"/>
      <c r="I842" s="1501"/>
      <c r="J842" s="1540"/>
      <c r="K842" s="1501"/>
      <c r="L842" s="1526"/>
      <c r="M842" s="1429" t="s">
        <v>3409</v>
      </c>
      <c r="N842" s="1501">
        <v>2014</v>
      </c>
      <c r="O842" s="1429"/>
      <c r="P842" s="1429"/>
      <c r="Q842" s="1429"/>
      <c r="R842" s="1501" t="s">
        <v>12</v>
      </c>
      <c r="S842" s="1539">
        <v>197626366</v>
      </c>
      <c r="T842" s="1501"/>
      <c r="U842" s="1596"/>
      <c r="V842" s="1553"/>
      <c r="W842" s="1478" t="str">
        <f t="shared" si="294"/>
        <v>04.14.04</v>
      </c>
      <c r="X842" s="1478" t="str">
        <f t="shared" si="295"/>
        <v>Bangunan Pengaman Sungai dan Penanggulangan Bencana Alam</v>
      </c>
      <c r="Y842" s="1478">
        <f t="shared" si="296"/>
        <v>10</v>
      </c>
      <c r="Z842" s="1401">
        <f t="shared" si="297"/>
        <v>19762636.600000001</v>
      </c>
      <c r="AA842" s="1444">
        <f t="shared" si="298"/>
        <v>0</v>
      </c>
      <c r="AB842" s="1401">
        <f t="shared" si="299"/>
        <v>0</v>
      </c>
      <c r="AC842" s="1401">
        <f t="shared" si="314"/>
        <v>19762636.600000001</v>
      </c>
      <c r="AD842" s="1401">
        <f t="shared" si="315"/>
        <v>19762636.600000001</v>
      </c>
      <c r="AE842" s="1401">
        <f t="shared" si="316"/>
        <v>19762636.600000001</v>
      </c>
      <c r="AF842" s="1401">
        <f t="shared" si="317"/>
        <v>19762636.600000001</v>
      </c>
      <c r="AG842" s="1479">
        <f t="shared" si="318"/>
        <v>19762636.600000001</v>
      </c>
      <c r="AH842" s="1479">
        <f t="shared" si="305"/>
        <v>19762636.600000001</v>
      </c>
      <c r="AI842" s="1479">
        <f t="shared" si="306"/>
        <v>118575819.59999999</v>
      </c>
      <c r="AJ842" s="1401">
        <f t="shared" si="307"/>
        <v>79050546.400000006</v>
      </c>
    </row>
    <row r="843" spans="2:38" s="1472" customFormat="1" ht="33" customHeight="1" x14ac:dyDescent="0.2">
      <c r="C843" s="1478" t="s">
        <v>2306</v>
      </c>
      <c r="D843" s="1576"/>
      <c r="E843" s="1429" t="s">
        <v>1504</v>
      </c>
      <c r="F843" s="1539"/>
      <c r="G843" s="1501" t="s">
        <v>2525</v>
      </c>
      <c r="H843" s="1429"/>
      <c r="I843" s="1501"/>
      <c r="J843" s="1540"/>
      <c r="K843" s="1501"/>
      <c r="L843" s="1526"/>
      <c r="M843" s="1429" t="s">
        <v>3410</v>
      </c>
      <c r="N843" s="1501">
        <v>2014</v>
      </c>
      <c r="O843" s="1429"/>
      <c r="P843" s="1429"/>
      <c r="Q843" s="1429"/>
      <c r="R843" s="1501" t="s">
        <v>12</v>
      </c>
      <c r="S843" s="1539">
        <v>904050000</v>
      </c>
      <c r="T843" s="1501"/>
      <c r="U843" s="1596"/>
      <c r="V843" s="1553"/>
      <c r="W843" s="1478" t="str">
        <f t="shared" si="294"/>
        <v>04.14.04</v>
      </c>
      <c r="X843" s="1478" t="str">
        <f t="shared" si="295"/>
        <v>Bangunan Pengaman Sungai dan Penanggulangan Bencana Alam</v>
      </c>
      <c r="Y843" s="1478">
        <f t="shared" si="296"/>
        <v>10</v>
      </c>
      <c r="Z843" s="1401">
        <f t="shared" si="297"/>
        <v>90405000</v>
      </c>
      <c r="AA843" s="1444">
        <f t="shared" si="298"/>
        <v>0</v>
      </c>
      <c r="AB843" s="1401">
        <f t="shared" si="299"/>
        <v>0</v>
      </c>
      <c r="AC843" s="1401">
        <f t="shared" si="314"/>
        <v>90405000</v>
      </c>
      <c r="AD843" s="1401">
        <f t="shared" si="315"/>
        <v>90405000</v>
      </c>
      <c r="AE843" s="1401">
        <f t="shared" si="316"/>
        <v>90405000</v>
      </c>
      <c r="AF843" s="1401">
        <f t="shared" si="317"/>
        <v>90405000</v>
      </c>
      <c r="AG843" s="1479">
        <f t="shared" si="318"/>
        <v>90405000</v>
      </c>
      <c r="AH843" s="1479">
        <f t="shared" si="305"/>
        <v>90405000</v>
      </c>
      <c r="AI843" s="1479">
        <f t="shared" si="306"/>
        <v>542430000</v>
      </c>
      <c r="AJ843" s="1401">
        <f t="shared" si="307"/>
        <v>361620000</v>
      </c>
      <c r="AL843" s="1554">
        <f>SUM(AB843:AG843)</f>
        <v>452025000</v>
      </c>
    </row>
    <row r="844" spans="2:38" s="1472" customFormat="1" ht="33" customHeight="1" x14ac:dyDescent="0.2">
      <c r="C844" s="1478" t="s">
        <v>2306</v>
      </c>
      <c r="D844" s="1576"/>
      <c r="E844" s="1429" t="s">
        <v>1505</v>
      </c>
      <c r="F844" s="1539"/>
      <c r="G844" s="1501" t="s">
        <v>4899</v>
      </c>
      <c r="H844" s="1429"/>
      <c r="I844" s="1501"/>
      <c r="J844" s="1540"/>
      <c r="K844" s="1501"/>
      <c r="L844" s="1526"/>
      <c r="M844" s="1429" t="s">
        <v>3411</v>
      </c>
      <c r="N844" s="1501">
        <v>2014</v>
      </c>
      <c r="O844" s="1429"/>
      <c r="P844" s="1429"/>
      <c r="Q844" s="1429"/>
      <c r="R844" s="1501" t="s">
        <v>12</v>
      </c>
      <c r="S844" s="1539">
        <v>173287568.5703457</v>
      </c>
      <c r="T844" s="1501"/>
      <c r="U844" s="1596"/>
      <c r="V844" s="1553"/>
      <c r="W844" s="1478" t="str">
        <f t="shared" si="294"/>
        <v>04.14.04</v>
      </c>
      <c r="X844" s="1478" t="str">
        <f t="shared" si="295"/>
        <v>Bangunan Pengaman Sungai dan Penanggulangan Bencana Alam</v>
      </c>
      <c r="Y844" s="1478">
        <f t="shared" si="296"/>
        <v>10</v>
      </c>
      <c r="Z844" s="1401">
        <f t="shared" si="297"/>
        <v>17328756.857034571</v>
      </c>
      <c r="AA844" s="1444">
        <f t="shared" si="298"/>
        <v>0</v>
      </c>
      <c r="AB844" s="1401">
        <f t="shared" si="299"/>
        <v>0</v>
      </c>
      <c r="AC844" s="1401">
        <f t="shared" si="314"/>
        <v>17328756.857034571</v>
      </c>
      <c r="AD844" s="1401">
        <f t="shared" si="315"/>
        <v>17328756.857034571</v>
      </c>
      <c r="AE844" s="1401">
        <f t="shared" si="316"/>
        <v>17328756.857034571</v>
      </c>
      <c r="AF844" s="1401">
        <f t="shared" si="317"/>
        <v>17328756.857034571</v>
      </c>
      <c r="AG844" s="1479">
        <f t="shared" si="318"/>
        <v>17328756.857034571</v>
      </c>
      <c r="AH844" s="1479">
        <f t="shared" si="305"/>
        <v>17328756.857034571</v>
      </c>
      <c r="AI844" s="1479">
        <f t="shared" si="306"/>
        <v>103972541.14220741</v>
      </c>
      <c r="AJ844" s="1401">
        <f t="shared" si="307"/>
        <v>69315027.428138286</v>
      </c>
    </row>
    <row r="845" spans="2:38" s="1472" customFormat="1" ht="33" customHeight="1" x14ac:dyDescent="0.2">
      <c r="C845" s="1478" t="s">
        <v>2306</v>
      </c>
      <c r="D845" s="1576"/>
      <c r="E845" s="1429" t="s">
        <v>1506</v>
      </c>
      <c r="F845" s="1539"/>
      <c r="G845" s="1501" t="s">
        <v>4899</v>
      </c>
      <c r="H845" s="1429"/>
      <c r="I845" s="1501"/>
      <c r="J845" s="1540"/>
      <c r="K845" s="1501"/>
      <c r="L845" s="1526"/>
      <c r="M845" s="1429" t="s">
        <v>3412</v>
      </c>
      <c r="N845" s="1501">
        <v>2014</v>
      </c>
      <c r="O845" s="1429"/>
      <c r="P845" s="1429"/>
      <c r="Q845" s="1429"/>
      <c r="R845" s="1501" t="s">
        <v>12</v>
      </c>
      <c r="S845" s="1539">
        <v>194364451.48156792</v>
      </c>
      <c r="T845" s="1501"/>
      <c r="U845" s="1596"/>
      <c r="V845" s="1553"/>
      <c r="W845" s="1478" t="str">
        <f t="shared" si="294"/>
        <v>04.14.04</v>
      </c>
      <c r="X845" s="1478" t="str">
        <f t="shared" si="295"/>
        <v>Bangunan Pengaman Sungai dan Penanggulangan Bencana Alam</v>
      </c>
      <c r="Y845" s="1478">
        <f t="shared" si="296"/>
        <v>10</v>
      </c>
      <c r="Z845" s="1401">
        <f t="shared" si="297"/>
        <v>19436445.148156792</v>
      </c>
      <c r="AA845" s="1444">
        <f t="shared" si="298"/>
        <v>0</v>
      </c>
      <c r="AB845" s="1401">
        <f t="shared" si="299"/>
        <v>0</v>
      </c>
      <c r="AC845" s="1401">
        <f t="shared" si="314"/>
        <v>19436445.148156792</v>
      </c>
      <c r="AD845" s="1401">
        <f t="shared" si="315"/>
        <v>19436445.148156792</v>
      </c>
      <c r="AE845" s="1401">
        <f t="shared" si="316"/>
        <v>19436445.148156792</v>
      </c>
      <c r="AF845" s="1401">
        <f t="shared" si="317"/>
        <v>19436445.148156792</v>
      </c>
      <c r="AG845" s="1479">
        <f t="shared" si="318"/>
        <v>19436445.148156792</v>
      </c>
      <c r="AH845" s="1479">
        <f t="shared" si="305"/>
        <v>19436445.148156792</v>
      </c>
      <c r="AI845" s="1479">
        <f t="shared" si="306"/>
        <v>116618670.88894075</v>
      </c>
      <c r="AJ845" s="1401">
        <f t="shared" si="307"/>
        <v>77745780.592627168</v>
      </c>
    </row>
    <row r="846" spans="2:38" s="1472" customFormat="1" ht="33" customHeight="1" x14ac:dyDescent="0.2">
      <c r="C846" s="1478" t="s">
        <v>2306</v>
      </c>
      <c r="D846" s="1576"/>
      <c r="E846" s="1429" t="s">
        <v>1507</v>
      </c>
      <c r="F846" s="1539"/>
      <c r="G846" s="1501" t="s">
        <v>4899</v>
      </c>
      <c r="H846" s="1429"/>
      <c r="I846" s="1501"/>
      <c r="J846" s="1540"/>
      <c r="K846" s="1501"/>
      <c r="L846" s="1526"/>
      <c r="M846" s="1429" t="s">
        <v>3413</v>
      </c>
      <c r="N846" s="1501">
        <v>2014</v>
      </c>
      <c r="O846" s="1429"/>
      <c r="P846" s="1429"/>
      <c r="Q846" s="1429"/>
      <c r="R846" s="1501" t="s">
        <v>12</v>
      </c>
      <c r="S846" s="1539">
        <v>194266334.13678473</v>
      </c>
      <c r="T846" s="1501"/>
      <c r="U846" s="1596"/>
      <c r="V846" s="1553"/>
      <c r="W846" s="1478" t="str">
        <f t="shared" si="294"/>
        <v>04.14.04</v>
      </c>
      <c r="X846" s="1478" t="str">
        <f t="shared" si="295"/>
        <v>Bangunan Pengaman Sungai dan Penanggulangan Bencana Alam</v>
      </c>
      <c r="Y846" s="1478">
        <f t="shared" si="296"/>
        <v>10</v>
      </c>
      <c r="Z846" s="1401">
        <f t="shared" si="297"/>
        <v>19426633.413678475</v>
      </c>
      <c r="AA846" s="1444">
        <f t="shared" si="298"/>
        <v>0</v>
      </c>
      <c r="AB846" s="1401">
        <f t="shared" si="299"/>
        <v>0</v>
      </c>
      <c r="AC846" s="1401">
        <f t="shared" si="314"/>
        <v>19426633.413678475</v>
      </c>
      <c r="AD846" s="1401">
        <f t="shared" si="315"/>
        <v>19426633.413678475</v>
      </c>
      <c r="AE846" s="1401">
        <f t="shared" si="316"/>
        <v>19426633.413678475</v>
      </c>
      <c r="AF846" s="1401">
        <f t="shared" si="317"/>
        <v>19426633.413678475</v>
      </c>
      <c r="AG846" s="1479">
        <f t="shared" si="318"/>
        <v>19426633.413678475</v>
      </c>
      <c r="AH846" s="1479">
        <f t="shared" si="305"/>
        <v>19426633.413678475</v>
      </c>
      <c r="AI846" s="1479">
        <f t="shared" si="306"/>
        <v>116559800.48207083</v>
      </c>
      <c r="AJ846" s="1401">
        <f t="shared" si="307"/>
        <v>77706533.654713899</v>
      </c>
    </row>
    <row r="847" spans="2:38" s="1472" customFormat="1" ht="33" customHeight="1" x14ac:dyDescent="0.2">
      <c r="C847" s="1478" t="s">
        <v>2306</v>
      </c>
      <c r="D847" s="1576"/>
      <c r="E847" s="1429" t="s">
        <v>1508</v>
      </c>
      <c r="F847" s="1539"/>
      <c r="G847" s="1501" t="s">
        <v>4899</v>
      </c>
      <c r="H847" s="1429"/>
      <c r="I847" s="1501"/>
      <c r="J847" s="1540"/>
      <c r="K847" s="1501"/>
      <c r="L847" s="1526"/>
      <c r="M847" s="1429" t="s">
        <v>3090</v>
      </c>
      <c r="N847" s="1501">
        <v>2014</v>
      </c>
      <c r="O847" s="1429"/>
      <c r="P847" s="1429"/>
      <c r="Q847" s="1429"/>
      <c r="R847" s="1501" t="s">
        <v>12</v>
      </c>
      <c r="S847" s="1539">
        <v>194205094.58212945</v>
      </c>
      <c r="T847" s="1501"/>
      <c r="U847" s="1596"/>
      <c r="V847" s="1553"/>
      <c r="W847" s="1478" t="str">
        <f t="shared" si="294"/>
        <v>04.14.04</v>
      </c>
      <c r="X847" s="1478" t="str">
        <f t="shared" si="295"/>
        <v>Bangunan Pengaman Sungai dan Penanggulangan Bencana Alam</v>
      </c>
      <c r="Y847" s="1478">
        <f t="shared" si="296"/>
        <v>10</v>
      </c>
      <c r="Z847" s="1401">
        <f t="shared" si="297"/>
        <v>19420509.458212946</v>
      </c>
      <c r="AA847" s="1444">
        <f t="shared" si="298"/>
        <v>0</v>
      </c>
      <c r="AB847" s="1401">
        <f t="shared" si="299"/>
        <v>0</v>
      </c>
      <c r="AC847" s="1401">
        <f t="shared" si="314"/>
        <v>19420509.458212946</v>
      </c>
      <c r="AD847" s="1401">
        <f t="shared" si="315"/>
        <v>19420509.458212946</v>
      </c>
      <c r="AE847" s="1401">
        <f t="shared" si="316"/>
        <v>19420509.458212946</v>
      </c>
      <c r="AF847" s="1401">
        <f t="shared" si="317"/>
        <v>19420509.458212946</v>
      </c>
      <c r="AG847" s="1479">
        <f t="shared" si="318"/>
        <v>19420509.458212946</v>
      </c>
      <c r="AH847" s="1479">
        <f t="shared" si="305"/>
        <v>19420509.458212946</v>
      </c>
      <c r="AI847" s="1479">
        <f t="shared" si="306"/>
        <v>116523056.74927767</v>
      </c>
      <c r="AJ847" s="1401">
        <f t="shared" si="307"/>
        <v>77682037.832851782</v>
      </c>
    </row>
    <row r="848" spans="2:38" s="1472" customFormat="1" ht="33" customHeight="1" x14ac:dyDescent="0.2">
      <c r="C848" s="1478" t="s">
        <v>2306</v>
      </c>
      <c r="D848" s="1576"/>
      <c r="E848" s="1429" t="s">
        <v>1509</v>
      </c>
      <c r="F848" s="1539"/>
      <c r="G848" s="1501" t="s">
        <v>4899</v>
      </c>
      <c r="H848" s="1429"/>
      <c r="I848" s="1501"/>
      <c r="J848" s="1540"/>
      <c r="K848" s="1501"/>
      <c r="L848" s="1526"/>
      <c r="M848" s="1429" t="s">
        <v>3414</v>
      </c>
      <c r="N848" s="1501">
        <v>2014</v>
      </c>
      <c r="O848" s="1429"/>
      <c r="P848" s="1429"/>
      <c r="Q848" s="1429"/>
      <c r="R848" s="1501" t="s">
        <v>12</v>
      </c>
      <c r="S848" s="1539">
        <v>186951267.2291722</v>
      </c>
      <c r="T848" s="1501"/>
      <c r="U848" s="1596"/>
      <c r="V848" s="1553"/>
      <c r="W848" s="1478" t="str">
        <f t="shared" si="294"/>
        <v>04.14.04</v>
      </c>
      <c r="X848" s="1478" t="str">
        <f t="shared" si="295"/>
        <v>Bangunan Pengaman Sungai dan Penanggulangan Bencana Alam</v>
      </c>
      <c r="Y848" s="1478">
        <f t="shared" si="296"/>
        <v>10</v>
      </c>
      <c r="Z848" s="1401">
        <f t="shared" si="297"/>
        <v>18695126.722917221</v>
      </c>
      <c r="AA848" s="1444">
        <f t="shared" si="298"/>
        <v>0</v>
      </c>
      <c r="AB848" s="1401">
        <f t="shared" si="299"/>
        <v>0</v>
      </c>
      <c r="AC848" s="1401">
        <f t="shared" si="314"/>
        <v>18695126.722917221</v>
      </c>
      <c r="AD848" s="1401">
        <f t="shared" si="315"/>
        <v>18695126.722917221</v>
      </c>
      <c r="AE848" s="1401">
        <f t="shared" si="316"/>
        <v>18695126.722917221</v>
      </c>
      <c r="AF848" s="1401">
        <f t="shared" si="317"/>
        <v>18695126.722917221</v>
      </c>
      <c r="AG848" s="1479">
        <f t="shared" si="318"/>
        <v>18695126.722917221</v>
      </c>
      <c r="AH848" s="1479">
        <f t="shared" ref="AH848:AH912" si="320">IF(S848=AC848+AD848+AE848+AB848+AF848+AG848,0,Z848)</f>
        <v>18695126.722917221</v>
      </c>
      <c r="AI848" s="1479">
        <f t="shared" ref="AI848:AI912" si="321">SUM(AB848:AH848)</f>
        <v>112170760.33750334</v>
      </c>
      <c r="AJ848" s="1401">
        <f t="shared" si="307"/>
        <v>74780506.891668856</v>
      </c>
    </row>
    <row r="849" spans="3:38" s="1472" customFormat="1" ht="33" customHeight="1" x14ac:dyDescent="0.2">
      <c r="C849" s="1478" t="s">
        <v>2306</v>
      </c>
      <c r="D849" s="1576"/>
      <c r="E849" s="1429" t="s">
        <v>1510</v>
      </c>
      <c r="F849" s="1539"/>
      <c r="G849" s="1501" t="s">
        <v>2525</v>
      </c>
      <c r="H849" s="1429"/>
      <c r="I849" s="1501"/>
      <c r="J849" s="1540"/>
      <c r="K849" s="1501"/>
      <c r="L849" s="1526"/>
      <c r="M849" s="1429" t="s">
        <v>3415</v>
      </c>
      <c r="N849" s="1501">
        <v>2014</v>
      </c>
      <c r="O849" s="1429"/>
      <c r="P849" s="1429"/>
      <c r="Q849" s="1429"/>
      <c r="R849" s="1501" t="s">
        <v>12</v>
      </c>
      <c r="S849" s="1539">
        <v>1101649000</v>
      </c>
      <c r="T849" s="1501"/>
      <c r="U849" s="1596"/>
      <c r="V849" s="1553"/>
      <c r="W849" s="1478" t="str">
        <f t="shared" si="294"/>
        <v>04.14.04</v>
      </c>
      <c r="X849" s="1478" t="str">
        <f t="shared" ref="X849:X922" si="322">VLOOKUP(W849,UE,3,FALSE)</f>
        <v>Bangunan Pengaman Sungai dan Penanggulangan Bencana Alam</v>
      </c>
      <c r="Y849" s="1478">
        <f t="shared" ref="Y849:Y922" si="323">VLOOKUP(W849,UE,4,FALSE)</f>
        <v>10</v>
      </c>
      <c r="Z849" s="1401">
        <f t="shared" ref="Z849:Z922" si="324">S849/Y849</f>
        <v>110164900</v>
      </c>
      <c r="AA849" s="1444">
        <f t="shared" ref="AA849:AA922" si="325">IF(2013-N849+1&gt;Y849,Y849,IF(2013-N849+1&lt;0,0,2013-N849+1))</f>
        <v>0</v>
      </c>
      <c r="AB849" s="1401">
        <f t="shared" ref="AB849:AB922" si="326">IF(AA849&gt;Y849,S849,Z849*AA849)</f>
        <v>0</v>
      </c>
      <c r="AC849" s="1401">
        <f t="shared" si="314"/>
        <v>110164900</v>
      </c>
      <c r="AD849" s="1401">
        <f t="shared" si="315"/>
        <v>110164900</v>
      </c>
      <c r="AE849" s="1401">
        <f t="shared" si="316"/>
        <v>110164900</v>
      </c>
      <c r="AF849" s="1401">
        <f t="shared" si="317"/>
        <v>110164900</v>
      </c>
      <c r="AG849" s="1479">
        <f t="shared" si="318"/>
        <v>110164900</v>
      </c>
      <c r="AH849" s="1479">
        <f t="shared" si="320"/>
        <v>110164900</v>
      </c>
      <c r="AI849" s="1479">
        <f t="shared" si="321"/>
        <v>660989400</v>
      </c>
      <c r="AJ849" s="1401">
        <f t="shared" ref="AJ849:AJ922" si="327">S849-AI849</f>
        <v>440659600</v>
      </c>
    </row>
    <row r="850" spans="3:38" s="1472" customFormat="1" ht="33" customHeight="1" x14ac:dyDescent="0.2">
      <c r="C850" s="1478" t="s">
        <v>2306</v>
      </c>
      <c r="D850" s="1576"/>
      <c r="E850" s="1429" t="s">
        <v>1511</v>
      </c>
      <c r="F850" s="1539"/>
      <c r="G850" s="1501" t="s">
        <v>2525</v>
      </c>
      <c r="H850" s="1429"/>
      <c r="I850" s="1501"/>
      <c r="J850" s="1540"/>
      <c r="K850" s="1501"/>
      <c r="L850" s="1526"/>
      <c r="M850" s="1429" t="s">
        <v>3416</v>
      </c>
      <c r="N850" s="1501">
        <v>2014</v>
      </c>
      <c r="O850" s="1429"/>
      <c r="P850" s="1429"/>
      <c r="Q850" s="1429"/>
      <c r="R850" s="1501" t="s">
        <v>12</v>
      </c>
      <c r="S850" s="1539">
        <v>201132000</v>
      </c>
      <c r="T850" s="1501"/>
      <c r="U850" s="1596"/>
      <c r="V850" s="1553"/>
      <c r="W850" s="1478" t="str">
        <f t="shared" si="294"/>
        <v>04.14.04</v>
      </c>
      <c r="X850" s="1478" t="str">
        <f t="shared" si="322"/>
        <v>Bangunan Pengaman Sungai dan Penanggulangan Bencana Alam</v>
      </c>
      <c r="Y850" s="1478">
        <f t="shared" si="323"/>
        <v>10</v>
      </c>
      <c r="Z850" s="1401">
        <f t="shared" si="324"/>
        <v>20113200</v>
      </c>
      <c r="AA850" s="1444">
        <f t="shared" si="325"/>
        <v>0</v>
      </c>
      <c r="AB850" s="1401">
        <f t="shared" si="326"/>
        <v>0</v>
      </c>
      <c r="AC850" s="1401">
        <f t="shared" si="314"/>
        <v>20113200</v>
      </c>
      <c r="AD850" s="1401">
        <f t="shared" si="315"/>
        <v>20113200</v>
      </c>
      <c r="AE850" s="1401">
        <f t="shared" si="316"/>
        <v>20113200</v>
      </c>
      <c r="AF850" s="1401">
        <f t="shared" si="317"/>
        <v>20113200</v>
      </c>
      <c r="AG850" s="1479">
        <f t="shared" si="318"/>
        <v>20113200</v>
      </c>
      <c r="AH850" s="1479">
        <f t="shared" si="320"/>
        <v>20113200</v>
      </c>
      <c r="AI850" s="1479">
        <f t="shared" si="321"/>
        <v>120679200</v>
      </c>
      <c r="AJ850" s="1401">
        <f t="shared" si="327"/>
        <v>80452800</v>
      </c>
    </row>
    <row r="851" spans="3:38" s="1472" customFormat="1" ht="33" customHeight="1" x14ac:dyDescent="0.2">
      <c r="C851" s="1478" t="s">
        <v>2306</v>
      </c>
      <c r="D851" s="1576"/>
      <c r="E851" s="1429" t="s">
        <v>1512</v>
      </c>
      <c r="F851" s="1539"/>
      <c r="G851" s="1501" t="s">
        <v>2525</v>
      </c>
      <c r="H851" s="1429"/>
      <c r="I851" s="1501"/>
      <c r="J851" s="1540"/>
      <c r="K851" s="1501"/>
      <c r="L851" s="1526"/>
      <c r="M851" s="1429" t="s">
        <v>3417</v>
      </c>
      <c r="N851" s="1501">
        <v>2014</v>
      </c>
      <c r="O851" s="1429"/>
      <c r="P851" s="1429"/>
      <c r="Q851" s="1429"/>
      <c r="R851" s="1501" t="s">
        <v>12</v>
      </c>
      <c r="S851" s="1539">
        <v>150472353.22522232</v>
      </c>
      <c r="T851" s="1501"/>
      <c r="U851" s="1596"/>
      <c r="V851" s="1553"/>
      <c r="W851" s="1478" t="str">
        <f t="shared" si="294"/>
        <v>04.14.04</v>
      </c>
      <c r="X851" s="1478" t="str">
        <f t="shared" si="322"/>
        <v>Bangunan Pengaman Sungai dan Penanggulangan Bencana Alam</v>
      </c>
      <c r="Y851" s="1478">
        <f t="shared" si="323"/>
        <v>10</v>
      </c>
      <c r="Z851" s="1401">
        <f t="shared" si="324"/>
        <v>15047235.322522232</v>
      </c>
      <c r="AA851" s="1444">
        <f t="shared" si="325"/>
        <v>0</v>
      </c>
      <c r="AB851" s="1401">
        <f t="shared" si="326"/>
        <v>0</v>
      </c>
      <c r="AC851" s="1401">
        <f t="shared" si="314"/>
        <v>15047235.322522232</v>
      </c>
      <c r="AD851" s="1401">
        <f t="shared" si="315"/>
        <v>15047235.322522232</v>
      </c>
      <c r="AE851" s="1401">
        <f t="shared" si="316"/>
        <v>15047235.322522232</v>
      </c>
      <c r="AF851" s="1401">
        <f t="shared" si="317"/>
        <v>15047235.322522232</v>
      </c>
      <c r="AG851" s="1479">
        <f t="shared" si="318"/>
        <v>15047235.322522232</v>
      </c>
      <c r="AH851" s="1479">
        <f t="shared" si="320"/>
        <v>15047235.322522232</v>
      </c>
      <c r="AI851" s="1479">
        <f t="shared" si="321"/>
        <v>90283411.935133398</v>
      </c>
      <c r="AJ851" s="1401">
        <f t="shared" si="327"/>
        <v>60188941.290088922</v>
      </c>
    </row>
    <row r="852" spans="3:38" s="1472" customFormat="1" ht="33" customHeight="1" x14ac:dyDescent="0.2">
      <c r="C852" s="1478" t="s">
        <v>2306</v>
      </c>
      <c r="D852" s="1576"/>
      <c r="E852" s="1429" t="s">
        <v>1513</v>
      </c>
      <c r="F852" s="1539"/>
      <c r="G852" s="1501" t="s">
        <v>2525</v>
      </c>
      <c r="H852" s="1429"/>
      <c r="I852" s="1501"/>
      <c r="J852" s="1540"/>
      <c r="K852" s="1501"/>
      <c r="L852" s="1526"/>
      <c r="M852" s="1429" t="s">
        <v>3418</v>
      </c>
      <c r="N852" s="1501">
        <v>2014</v>
      </c>
      <c r="O852" s="1429"/>
      <c r="P852" s="1429"/>
      <c r="Q852" s="1429"/>
      <c r="R852" s="1501" t="s">
        <v>12</v>
      </c>
      <c r="S852" s="1539">
        <v>150140095.77079391</v>
      </c>
      <c r="T852" s="1501"/>
      <c r="U852" s="1596"/>
      <c r="V852" s="1553"/>
      <c r="W852" s="1478" t="str">
        <f t="shared" si="294"/>
        <v>04.14.04</v>
      </c>
      <c r="X852" s="1478" t="str">
        <f t="shared" si="322"/>
        <v>Bangunan Pengaman Sungai dan Penanggulangan Bencana Alam</v>
      </c>
      <c r="Y852" s="1478">
        <f t="shared" si="323"/>
        <v>10</v>
      </c>
      <c r="Z852" s="1401">
        <f t="shared" si="324"/>
        <v>15014009.577079391</v>
      </c>
      <c r="AA852" s="1444">
        <f t="shared" si="325"/>
        <v>0</v>
      </c>
      <c r="AB852" s="1401">
        <f t="shared" si="326"/>
        <v>0</v>
      </c>
      <c r="AC852" s="1401">
        <f t="shared" si="314"/>
        <v>15014009.577079391</v>
      </c>
      <c r="AD852" s="1401">
        <f t="shared" si="315"/>
        <v>15014009.577079391</v>
      </c>
      <c r="AE852" s="1401">
        <f t="shared" si="316"/>
        <v>15014009.577079391</v>
      </c>
      <c r="AF852" s="1401">
        <f t="shared" si="317"/>
        <v>15014009.577079391</v>
      </c>
      <c r="AG852" s="1479">
        <f t="shared" si="318"/>
        <v>15014009.577079391</v>
      </c>
      <c r="AH852" s="1479">
        <f t="shared" si="320"/>
        <v>15014009.577079391</v>
      </c>
      <c r="AI852" s="1479">
        <f t="shared" si="321"/>
        <v>90084057.462476343</v>
      </c>
      <c r="AJ852" s="1401">
        <f t="shared" si="327"/>
        <v>60056038.308317572</v>
      </c>
    </row>
    <row r="853" spans="3:38" s="1472" customFormat="1" ht="33" customHeight="1" x14ac:dyDescent="0.2">
      <c r="C853" s="1478" t="s">
        <v>2306</v>
      </c>
      <c r="D853" s="1576"/>
      <c r="E853" s="1429" t="s">
        <v>1514</v>
      </c>
      <c r="F853" s="1539"/>
      <c r="G853" s="1501" t="s">
        <v>2551</v>
      </c>
      <c r="H853" s="1429"/>
      <c r="I853" s="1501"/>
      <c r="J853" s="1540"/>
      <c r="K853" s="1501"/>
      <c r="L853" s="1526"/>
      <c r="M853" s="1429" t="s">
        <v>3419</v>
      </c>
      <c r="N853" s="1501">
        <v>2014</v>
      </c>
      <c r="O853" s="1429"/>
      <c r="P853" s="1429"/>
      <c r="Q853" s="1429"/>
      <c r="R853" s="1501" t="s">
        <v>12</v>
      </c>
      <c r="S853" s="1539">
        <v>199807551.00398377</v>
      </c>
      <c r="T853" s="1501"/>
      <c r="U853" s="1596"/>
      <c r="V853" s="1553"/>
      <c r="W853" s="1478" t="str">
        <f t="shared" si="294"/>
        <v>04.14.04</v>
      </c>
      <c r="X853" s="1478" t="str">
        <f t="shared" si="322"/>
        <v>Bangunan Pengaman Sungai dan Penanggulangan Bencana Alam</v>
      </c>
      <c r="Y853" s="1478">
        <f t="shared" si="323"/>
        <v>10</v>
      </c>
      <c r="Z853" s="1401">
        <f t="shared" si="324"/>
        <v>19980755.100398377</v>
      </c>
      <c r="AA853" s="1444">
        <f t="shared" si="325"/>
        <v>0</v>
      </c>
      <c r="AB853" s="1401">
        <f t="shared" si="326"/>
        <v>0</v>
      </c>
      <c r="AC853" s="1401">
        <f t="shared" si="314"/>
        <v>19980755.100398377</v>
      </c>
      <c r="AD853" s="1401">
        <f t="shared" si="315"/>
        <v>19980755.100398377</v>
      </c>
      <c r="AE853" s="1401">
        <f t="shared" si="316"/>
        <v>19980755.100398377</v>
      </c>
      <c r="AF853" s="1401">
        <f t="shared" si="317"/>
        <v>19980755.100398377</v>
      </c>
      <c r="AG853" s="1479">
        <f t="shared" si="318"/>
        <v>19980755.100398377</v>
      </c>
      <c r="AH853" s="1479">
        <f t="shared" si="320"/>
        <v>19980755.100398377</v>
      </c>
      <c r="AI853" s="1479">
        <f t="shared" si="321"/>
        <v>119884530.60239026</v>
      </c>
      <c r="AJ853" s="1401">
        <f t="shared" si="327"/>
        <v>79923020.401593506</v>
      </c>
      <c r="AL853" s="1554">
        <f>SUM(AB853:AG853)</f>
        <v>99903775.501991883</v>
      </c>
    </row>
    <row r="854" spans="3:38" s="1472" customFormat="1" ht="33" customHeight="1" x14ac:dyDescent="0.2">
      <c r="C854" s="1478" t="s">
        <v>2306</v>
      </c>
      <c r="D854" s="1576"/>
      <c r="E854" s="1429" t="s">
        <v>1515</v>
      </c>
      <c r="F854" s="1539"/>
      <c r="G854" s="1501" t="s">
        <v>5752</v>
      </c>
      <c r="H854" s="1429"/>
      <c r="I854" s="1501"/>
      <c r="J854" s="1540"/>
      <c r="K854" s="1501"/>
      <c r="L854" s="1526"/>
      <c r="M854" s="1429" t="s">
        <v>3420</v>
      </c>
      <c r="N854" s="1501">
        <v>2014</v>
      </c>
      <c r="O854" s="1429"/>
      <c r="P854" s="1429"/>
      <c r="Q854" s="1429"/>
      <c r="R854" s="1501" t="s">
        <v>12</v>
      </c>
      <c r="S854" s="1539">
        <v>199202385.13592538</v>
      </c>
      <c r="T854" s="1501"/>
      <c r="U854" s="1596"/>
      <c r="V854" s="1553"/>
      <c r="W854" s="1478" t="str">
        <f t="shared" si="294"/>
        <v>04.14.04</v>
      </c>
      <c r="X854" s="1478" t="str">
        <f t="shared" si="322"/>
        <v>Bangunan Pengaman Sungai dan Penanggulangan Bencana Alam</v>
      </c>
      <c r="Y854" s="1478">
        <f t="shared" si="323"/>
        <v>10</v>
      </c>
      <c r="Z854" s="1401">
        <f t="shared" si="324"/>
        <v>19920238.513592537</v>
      </c>
      <c r="AA854" s="1444">
        <f t="shared" si="325"/>
        <v>0</v>
      </c>
      <c r="AB854" s="1401">
        <f t="shared" si="326"/>
        <v>0</v>
      </c>
      <c r="AC854" s="1401">
        <f t="shared" si="314"/>
        <v>19920238.513592537</v>
      </c>
      <c r="AD854" s="1401">
        <f t="shared" si="315"/>
        <v>19920238.513592537</v>
      </c>
      <c r="AE854" s="1401">
        <f t="shared" si="316"/>
        <v>19920238.513592537</v>
      </c>
      <c r="AF854" s="1401">
        <f t="shared" si="317"/>
        <v>19920238.513592537</v>
      </c>
      <c r="AG854" s="1479">
        <f t="shared" si="318"/>
        <v>19920238.513592537</v>
      </c>
      <c r="AH854" s="1479">
        <f t="shared" si="320"/>
        <v>19920238.513592537</v>
      </c>
      <c r="AI854" s="1479">
        <f t="shared" si="321"/>
        <v>119521431.08155523</v>
      </c>
      <c r="AJ854" s="1401">
        <f t="shared" si="327"/>
        <v>79680954.05437015</v>
      </c>
      <c r="AL854" s="1554">
        <f t="shared" ref="AL854:AL869" si="328">SUM(AB854:AG854)</f>
        <v>99601192.567962691</v>
      </c>
    </row>
    <row r="855" spans="3:38" s="1472" customFormat="1" ht="33" customHeight="1" x14ac:dyDescent="0.2">
      <c r="C855" s="1478" t="s">
        <v>2306</v>
      </c>
      <c r="D855" s="1576"/>
      <c r="E855" s="1429" t="s">
        <v>1516</v>
      </c>
      <c r="F855" s="1539"/>
      <c r="G855" s="1501" t="s">
        <v>5752</v>
      </c>
      <c r="H855" s="1429"/>
      <c r="I855" s="1501"/>
      <c r="J855" s="1540"/>
      <c r="K855" s="1501"/>
      <c r="L855" s="1526"/>
      <c r="M855" s="1429" t="s">
        <v>3421</v>
      </c>
      <c r="N855" s="1501">
        <v>2014</v>
      </c>
      <c r="O855" s="1429"/>
      <c r="P855" s="1429"/>
      <c r="Q855" s="1429"/>
      <c r="R855" s="1501" t="s">
        <v>12</v>
      </c>
      <c r="S855" s="1539">
        <v>199168358.08113036</v>
      </c>
      <c r="T855" s="1501"/>
      <c r="U855" s="1596"/>
      <c r="V855" s="1553"/>
      <c r="W855" s="1478" t="str">
        <f t="shared" si="294"/>
        <v>04.14.04</v>
      </c>
      <c r="X855" s="1478" t="str">
        <f t="shared" si="322"/>
        <v>Bangunan Pengaman Sungai dan Penanggulangan Bencana Alam</v>
      </c>
      <c r="Y855" s="1478">
        <f t="shared" si="323"/>
        <v>10</v>
      </c>
      <c r="Z855" s="1401">
        <f t="shared" si="324"/>
        <v>19916835.808113035</v>
      </c>
      <c r="AA855" s="1444">
        <f t="shared" si="325"/>
        <v>0</v>
      </c>
      <c r="AB855" s="1401">
        <f t="shared" si="326"/>
        <v>0</v>
      </c>
      <c r="AC855" s="1401">
        <f t="shared" si="314"/>
        <v>19916835.808113035</v>
      </c>
      <c r="AD855" s="1401">
        <f t="shared" si="315"/>
        <v>19916835.808113035</v>
      </c>
      <c r="AE855" s="1401">
        <f t="shared" si="316"/>
        <v>19916835.808113035</v>
      </c>
      <c r="AF855" s="1401">
        <f t="shared" si="317"/>
        <v>19916835.808113035</v>
      </c>
      <c r="AG855" s="1479">
        <f t="shared" si="318"/>
        <v>19916835.808113035</v>
      </c>
      <c r="AH855" s="1479">
        <f t="shared" si="320"/>
        <v>19916835.808113035</v>
      </c>
      <c r="AI855" s="1479">
        <f t="shared" si="321"/>
        <v>119501014.84867822</v>
      </c>
      <c r="AJ855" s="1401">
        <f t="shared" si="327"/>
        <v>79667343.232452139</v>
      </c>
      <c r="AL855" s="1554">
        <f t="shared" si="328"/>
        <v>99584179.040565178</v>
      </c>
    </row>
    <row r="856" spans="3:38" s="1472" customFormat="1" ht="33" customHeight="1" x14ac:dyDescent="0.2">
      <c r="C856" s="1478" t="s">
        <v>2306</v>
      </c>
      <c r="D856" s="1576"/>
      <c r="E856" s="1429" t="s">
        <v>1517</v>
      </c>
      <c r="F856" s="1539"/>
      <c r="G856" s="1501" t="s">
        <v>5752</v>
      </c>
      <c r="H856" s="1429"/>
      <c r="I856" s="1501"/>
      <c r="J856" s="1540"/>
      <c r="K856" s="1501"/>
      <c r="L856" s="1526"/>
      <c r="M856" s="1429" t="s">
        <v>3422</v>
      </c>
      <c r="N856" s="1501">
        <v>2014</v>
      </c>
      <c r="O856" s="1429"/>
      <c r="P856" s="1429"/>
      <c r="Q856" s="1429"/>
      <c r="R856" s="1501" t="s">
        <v>12</v>
      </c>
      <c r="S856" s="1539">
        <v>149118563.66056189</v>
      </c>
      <c r="T856" s="1501"/>
      <c r="U856" s="1596"/>
      <c r="V856" s="1553"/>
      <c r="W856" s="1478" t="str">
        <f t="shared" si="294"/>
        <v>04.14.04</v>
      </c>
      <c r="X856" s="1478" t="str">
        <f t="shared" si="322"/>
        <v>Bangunan Pengaman Sungai dan Penanggulangan Bencana Alam</v>
      </c>
      <c r="Y856" s="1478">
        <f t="shared" si="323"/>
        <v>10</v>
      </c>
      <c r="Z856" s="1401">
        <f t="shared" si="324"/>
        <v>14911856.366056189</v>
      </c>
      <c r="AA856" s="1444">
        <f t="shared" si="325"/>
        <v>0</v>
      </c>
      <c r="AB856" s="1401">
        <f t="shared" si="326"/>
        <v>0</v>
      </c>
      <c r="AC856" s="1401">
        <f t="shared" si="314"/>
        <v>14911856.366056189</v>
      </c>
      <c r="AD856" s="1401">
        <f t="shared" si="315"/>
        <v>14911856.366056189</v>
      </c>
      <c r="AE856" s="1401">
        <f t="shared" si="316"/>
        <v>14911856.366056189</v>
      </c>
      <c r="AF856" s="1401">
        <f t="shared" si="317"/>
        <v>14911856.366056189</v>
      </c>
      <c r="AG856" s="1479">
        <f t="shared" si="318"/>
        <v>14911856.366056189</v>
      </c>
      <c r="AH856" s="1479">
        <f t="shared" si="320"/>
        <v>14911856.366056189</v>
      </c>
      <c r="AI856" s="1479">
        <f t="shared" si="321"/>
        <v>89471138.196337134</v>
      </c>
      <c r="AJ856" s="1401">
        <f t="shared" si="327"/>
        <v>59647425.464224756</v>
      </c>
      <c r="AL856" s="1554">
        <f t="shared" si="328"/>
        <v>74559281.830280945</v>
      </c>
    </row>
    <row r="857" spans="3:38" s="1472" customFormat="1" ht="33" customHeight="1" x14ac:dyDescent="0.2">
      <c r="C857" s="1478" t="s">
        <v>2306</v>
      </c>
      <c r="D857" s="1576"/>
      <c r="E857" s="1429" t="s">
        <v>1518</v>
      </c>
      <c r="F857" s="1539"/>
      <c r="G857" s="1501" t="s">
        <v>5752</v>
      </c>
      <c r="H857" s="1429"/>
      <c r="I857" s="1501"/>
      <c r="J857" s="1540"/>
      <c r="K857" s="1501"/>
      <c r="L857" s="1526"/>
      <c r="M857" s="1429" t="s">
        <v>3423</v>
      </c>
      <c r="N857" s="1501">
        <v>2014</v>
      </c>
      <c r="O857" s="1429"/>
      <c r="P857" s="1429"/>
      <c r="Q857" s="1429"/>
      <c r="R857" s="1501" t="s">
        <v>12</v>
      </c>
      <c r="S857" s="1539">
        <v>199192377.17863271</v>
      </c>
      <c r="T857" s="1501"/>
      <c r="U857" s="1596"/>
      <c r="V857" s="1553"/>
      <c r="W857" s="1478" t="str">
        <f t="shared" si="294"/>
        <v>04.14.04</v>
      </c>
      <c r="X857" s="1478" t="str">
        <f t="shared" si="322"/>
        <v>Bangunan Pengaman Sungai dan Penanggulangan Bencana Alam</v>
      </c>
      <c r="Y857" s="1478">
        <f t="shared" si="323"/>
        <v>10</v>
      </c>
      <c r="Z857" s="1401">
        <f t="shared" si="324"/>
        <v>19919237.717863269</v>
      </c>
      <c r="AA857" s="1444">
        <f t="shared" si="325"/>
        <v>0</v>
      </c>
      <c r="AB857" s="1401">
        <f t="shared" si="326"/>
        <v>0</v>
      </c>
      <c r="AC857" s="1401">
        <f t="shared" si="314"/>
        <v>19919237.717863269</v>
      </c>
      <c r="AD857" s="1401">
        <f t="shared" si="315"/>
        <v>19919237.717863269</v>
      </c>
      <c r="AE857" s="1401">
        <f t="shared" si="316"/>
        <v>19919237.717863269</v>
      </c>
      <c r="AF857" s="1401">
        <f t="shared" si="317"/>
        <v>19919237.717863269</v>
      </c>
      <c r="AG857" s="1479">
        <f t="shared" si="318"/>
        <v>19919237.717863269</v>
      </c>
      <c r="AH857" s="1479">
        <f t="shared" si="320"/>
        <v>19919237.717863269</v>
      </c>
      <c r="AI857" s="1479">
        <f t="shared" si="321"/>
        <v>119515426.3071796</v>
      </c>
      <c r="AJ857" s="1401">
        <f t="shared" si="327"/>
        <v>79676950.871453106</v>
      </c>
      <c r="AL857" s="1554">
        <f t="shared" si="328"/>
        <v>99596188.589316338</v>
      </c>
    </row>
    <row r="858" spans="3:38" s="1472" customFormat="1" ht="33" customHeight="1" x14ac:dyDescent="0.2">
      <c r="C858" s="1478" t="s">
        <v>2306</v>
      </c>
      <c r="D858" s="1576"/>
      <c r="E858" s="1429" t="s">
        <v>1519</v>
      </c>
      <c r="F858" s="1539"/>
      <c r="G858" s="1501" t="s">
        <v>5752</v>
      </c>
      <c r="H858" s="1429"/>
      <c r="I858" s="1501"/>
      <c r="J858" s="1540"/>
      <c r="K858" s="1501"/>
      <c r="L858" s="1526"/>
      <c r="M858" s="1429" t="s">
        <v>3424</v>
      </c>
      <c r="N858" s="1501">
        <v>2014</v>
      </c>
      <c r="O858" s="1429"/>
      <c r="P858" s="1429"/>
      <c r="Q858" s="1429"/>
      <c r="R858" s="1501" t="s">
        <v>12</v>
      </c>
      <c r="S858" s="1539">
        <v>199293457.54728854</v>
      </c>
      <c r="T858" s="1501"/>
      <c r="U858" s="1596"/>
      <c r="V858" s="1553"/>
      <c r="W858" s="1478" t="str">
        <f t="shared" si="294"/>
        <v>04.14.04</v>
      </c>
      <c r="X858" s="1478" t="str">
        <f t="shared" si="322"/>
        <v>Bangunan Pengaman Sungai dan Penanggulangan Bencana Alam</v>
      </c>
      <c r="Y858" s="1478">
        <f t="shared" si="323"/>
        <v>10</v>
      </c>
      <c r="Z858" s="1401">
        <f t="shared" si="324"/>
        <v>19929345.754728854</v>
      </c>
      <c r="AA858" s="1444">
        <f t="shared" si="325"/>
        <v>0</v>
      </c>
      <c r="AB858" s="1401">
        <f t="shared" si="326"/>
        <v>0</v>
      </c>
      <c r="AC858" s="1401">
        <f t="shared" si="314"/>
        <v>19929345.754728854</v>
      </c>
      <c r="AD858" s="1401">
        <f t="shared" si="315"/>
        <v>19929345.754728854</v>
      </c>
      <c r="AE858" s="1401">
        <f t="shared" si="316"/>
        <v>19929345.754728854</v>
      </c>
      <c r="AF858" s="1401">
        <f t="shared" si="317"/>
        <v>19929345.754728854</v>
      </c>
      <c r="AG858" s="1479">
        <f t="shared" si="318"/>
        <v>19929345.754728854</v>
      </c>
      <c r="AH858" s="1479">
        <f t="shared" si="320"/>
        <v>19929345.754728854</v>
      </c>
      <c r="AI858" s="1479">
        <f t="shared" si="321"/>
        <v>119576074.52837312</v>
      </c>
      <c r="AJ858" s="1401">
        <f t="shared" si="327"/>
        <v>79717383.018915415</v>
      </c>
      <c r="AL858" s="1554">
        <f t="shared" si="328"/>
        <v>99646728.773644269</v>
      </c>
    </row>
    <row r="859" spans="3:38" s="1472" customFormat="1" ht="33" customHeight="1" x14ac:dyDescent="0.2">
      <c r="C859" s="1478" t="s">
        <v>2306</v>
      </c>
      <c r="D859" s="1576"/>
      <c r="E859" s="1429" t="s">
        <v>1520</v>
      </c>
      <c r="F859" s="1539"/>
      <c r="G859" s="1501" t="s">
        <v>5752</v>
      </c>
      <c r="H859" s="1429"/>
      <c r="I859" s="1501"/>
      <c r="J859" s="1540"/>
      <c r="K859" s="1501"/>
      <c r="L859" s="1526"/>
      <c r="M859" s="1429" t="s">
        <v>3425</v>
      </c>
      <c r="N859" s="1501">
        <v>2014</v>
      </c>
      <c r="O859" s="1429"/>
      <c r="P859" s="1429"/>
      <c r="Q859" s="1429"/>
      <c r="R859" s="1501" t="s">
        <v>12</v>
      </c>
      <c r="S859" s="1539">
        <v>199223401.84623992</v>
      </c>
      <c r="T859" s="1501"/>
      <c r="U859" s="1596"/>
      <c r="V859" s="1553"/>
      <c r="W859" s="1478" t="str">
        <f t="shared" si="294"/>
        <v>04.14.04</v>
      </c>
      <c r="X859" s="1478" t="str">
        <f t="shared" si="322"/>
        <v>Bangunan Pengaman Sungai dan Penanggulangan Bencana Alam</v>
      </c>
      <c r="Y859" s="1478">
        <f t="shared" si="323"/>
        <v>10</v>
      </c>
      <c r="Z859" s="1401">
        <f t="shared" si="324"/>
        <v>19922340.184623994</v>
      </c>
      <c r="AA859" s="1444">
        <f t="shared" si="325"/>
        <v>0</v>
      </c>
      <c r="AB859" s="1401">
        <f t="shared" si="326"/>
        <v>0</v>
      </c>
      <c r="AC859" s="1401">
        <f t="shared" si="314"/>
        <v>19922340.184623994</v>
      </c>
      <c r="AD859" s="1401">
        <f t="shared" si="315"/>
        <v>19922340.184623994</v>
      </c>
      <c r="AE859" s="1401">
        <f t="shared" si="316"/>
        <v>19922340.184623994</v>
      </c>
      <c r="AF859" s="1401">
        <f t="shared" si="317"/>
        <v>19922340.184623994</v>
      </c>
      <c r="AG859" s="1479">
        <f t="shared" si="318"/>
        <v>19922340.184623994</v>
      </c>
      <c r="AH859" s="1479">
        <f t="shared" si="320"/>
        <v>19922340.184623994</v>
      </c>
      <c r="AI859" s="1479">
        <f t="shared" si="321"/>
        <v>119534041.10774395</v>
      </c>
      <c r="AJ859" s="1401">
        <f t="shared" si="327"/>
        <v>79689360.738495976</v>
      </c>
      <c r="AL859" s="1554">
        <f t="shared" si="328"/>
        <v>99611700.923119962</v>
      </c>
    </row>
    <row r="860" spans="3:38" s="1472" customFormat="1" ht="33" customHeight="1" x14ac:dyDescent="0.2">
      <c r="C860" s="1478" t="s">
        <v>2306</v>
      </c>
      <c r="D860" s="1576"/>
      <c r="E860" s="1429" t="s">
        <v>1521</v>
      </c>
      <c r="F860" s="1539"/>
      <c r="G860" s="1501" t="s">
        <v>5752</v>
      </c>
      <c r="H860" s="1429"/>
      <c r="I860" s="1501"/>
      <c r="J860" s="1540"/>
      <c r="K860" s="1501"/>
      <c r="L860" s="1526"/>
      <c r="M860" s="1429" t="s">
        <v>3426</v>
      </c>
      <c r="N860" s="1501">
        <v>2014</v>
      </c>
      <c r="O860" s="1429"/>
      <c r="P860" s="1429"/>
      <c r="Q860" s="1429"/>
      <c r="R860" s="1501" t="s">
        <v>12</v>
      </c>
      <c r="S860" s="1539">
        <v>199256428.1053057</v>
      </c>
      <c r="T860" s="1501"/>
      <c r="U860" s="1596"/>
      <c r="V860" s="1553"/>
      <c r="W860" s="1478" t="str">
        <f t="shared" si="294"/>
        <v>04.14.04</v>
      </c>
      <c r="X860" s="1478" t="str">
        <f t="shared" si="322"/>
        <v>Bangunan Pengaman Sungai dan Penanggulangan Bencana Alam</v>
      </c>
      <c r="Y860" s="1478">
        <f t="shared" si="323"/>
        <v>10</v>
      </c>
      <c r="Z860" s="1401">
        <f t="shared" si="324"/>
        <v>19925642.810530569</v>
      </c>
      <c r="AA860" s="1444">
        <f t="shared" si="325"/>
        <v>0</v>
      </c>
      <c r="AB860" s="1401">
        <f t="shared" si="326"/>
        <v>0</v>
      </c>
      <c r="AC860" s="1401">
        <f t="shared" si="314"/>
        <v>19925642.810530569</v>
      </c>
      <c r="AD860" s="1401">
        <f t="shared" si="315"/>
        <v>19925642.810530569</v>
      </c>
      <c r="AE860" s="1401">
        <f t="shared" si="316"/>
        <v>19925642.810530569</v>
      </c>
      <c r="AF860" s="1401">
        <f t="shared" si="317"/>
        <v>19925642.810530569</v>
      </c>
      <c r="AG860" s="1479">
        <f t="shared" si="318"/>
        <v>19925642.810530569</v>
      </c>
      <c r="AH860" s="1479">
        <f t="shared" si="320"/>
        <v>19925642.810530569</v>
      </c>
      <c r="AI860" s="1479">
        <f t="shared" si="321"/>
        <v>119553856.86318342</v>
      </c>
      <c r="AJ860" s="1401">
        <f t="shared" si="327"/>
        <v>79702571.242122278</v>
      </c>
      <c r="AL860" s="1554">
        <f t="shared" si="328"/>
        <v>99628214.052652851</v>
      </c>
    </row>
    <row r="861" spans="3:38" s="1472" customFormat="1" ht="33" customHeight="1" x14ac:dyDescent="0.2">
      <c r="C861" s="1478" t="s">
        <v>2306</v>
      </c>
      <c r="D861" s="1576"/>
      <c r="E861" s="1429" t="s">
        <v>1522</v>
      </c>
      <c r="F861" s="1539"/>
      <c r="G861" s="1501" t="s">
        <v>5752</v>
      </c>
      <c r="H861" s="1429"/>
      <c r="I861" s="1501"/>
      <c r="J861" s="1540"/>
      <c r="K861" s="1501"/>
      <c r="L861" s="1526"/>
      <c r="M861" s="1429" t="s">
        <v>3427</v>
      </c>
      <c r="N861" s="1501">
        <v>2014</v>
      </c>
      <c r="O861" s="1429"/>
      <c r="P861" s="1429"/>
      <c r="Q861" s="1429"/>
      <c r="R861" s="1501" t="s">
        <v>12</v>
      </c>
      <c r="S861" s="1539">
        <v>199240415.37363744</v>
      </c>
      <c r="T861" s="1501"/>
      <c r="U861" s="1596"/>
      <c r="V861" s="1553"/>
      <c r="W861" s="1478" t="str">
        <f t="shared" si="294"/>
        <v>04.14.04</v>
      </c>
      <c r="X861" s="1478" t="str">
        <f t="shared" si="322"/>
        <v>Bangunan Pengaman Sungai dan Penanggulangan Bencana Alam</v>
      </c>
      <c r="Y861" s="1478">
        <f t="shared" si="323"/>
        <v>10</v>
      </c>
      <c r="Z861" s="1401">
        <f t="shared" si="324"/>
        <v>19924041.537363745</v>
      </c>
      <c r="AA861" s="1444">
        <f t="shared" si="325"/>
        <v>0</v>
      </c>
      <c r="AB861" s="1401">
        <f t="shared" si="326"/>
        <v>0</v>
      </c>
      <c r="AC861" s="1401">
        <f t="shared" si="314"/>
        <v>19924041.537363745</v>
      </c>
      <c r="AD861" s="1401">
        <f t="shared" si="315"/>
        <v>19924041.537363745</v>
      </c>
      <c r="AE861" s="1401">
        <f t="shared" si="316"/>
        <v>19924041.537363745</v>
      </c>
      <c r="AF861" s="1401">
        <f t="shared" si="317"/>
        <v>19924041.537363745</v>
      </c>
      <c r="AG861" s="1479">
        <f t="shared" si="318"/>
        <v>19924041.537363745</v>
      </c>
      <c r="AH861" s="1479">
        <f t="shared" si="320"/>
        <v>19924041.537363745</v>
      </c>
      <c r="AI861" s="1479">
        <f t="shared" si="321"/>
        <v>119544249.22418246</v>
      </c>
      <c r="AJ861" s="1401">
        <f t="shared" si="327"/>
        <v>79696166.149454981</v>
      </c>
      <c r="AL861" s="1554">
        <f t="shared" si="328"/>
        <v>99620207.686818719</v>
      </c>
    </row>
    <row r="862" spans="3:38" s="1472" customFormat="1" ht="33" customHeight="1" x14ac:dyDescent="0.2">
      <c r="C862" s="1478" t="s">
        <v>2306</v>
      </c>
      <c r="D862" s="1576"/>
      <c r="E862" s="1429" t="s">
        <v>1523</v>
      </c>
      <c r="F862" s="1539"/>
      <c r="G862" s="1501" t="s">
        <v>5752</v>
      </c>
      <c r="H862" s="1429"/>
      <c r="I862" s="1501"/>
      <c r="J862" s="1540"/>
      <c r="K862" s="1501"/>
      <c r="L862" s="1526"/>
      <c r="M862" s="1429" t="s">
        <v>3428</v>
      </c>
      <c r="N862" s="1501">
        <v>2014</v>
      </c>
      <c r="O862" s="1429"/>
      <c r="P862" s="1429"/>
      <c r="Q862" s="1429"/>
      <c r="R862" s="1501" t="s">
        <v>12</v>
      </c>
      <c r="S862" s="1539">
        <v>199287452.77291292</v>
      </c>
      <c r="T862" s="1501"/>
      <c r="U862" s="1596"/>
      <c r="V862" s="1553"/>
      <c r="W862" s="1478" t="str">
        <f t="shared" si="294"/>
        <v>04.14.04</v>
      </c>
      <c r="X862" s="1478" t="str">
        <f t="shared" si="322"/>
        <v>Bangunan Pengaman Sungai dan Penanggulangan Bencana Alam</v>
      </c>
      <c r="Y862" s="1478">
        <f t="shared" si="323"/>
        <v>10</v>
      </c>
      <c r="Z862" s="1401">
        <f t="shared" si="324"/>
        <v>19928745.27729129</v>
      </c>
      <c r="AA862" s="1444">
        <f t="shared" si="325"/>
        <v>0</v>
      </c>
      <c r="AB862" s="1401">
        <f t="shared" si="326"/>
        <v>0</v>
      </c>
      <c r="AC862" s="1401">
        <f t="shared" si="314"/>
        <v>19928745.27729129</v>
      </c>
      <c r="AD862" s="1401">
        <f t="shared" si="315"/>
        <v>19928745.27729129</v>
      </c>
      <c r="AE862" s="1401">
        <f t="shared" si="316"/>
        <v>19928745.27729129</v>
      </c>
      <c r="AF862" s="1401">
        <f t="shared" si="317"/>
        <v>19928745.27729129</v>
      </c>
      <c r="AG862" s="1479">
        <f t="shared" si="318"/>
        <v>19928745.27729129</v>
      </c>
      <c r="AH862" s="1479">
        <f t="shared" si="320"/>
        <v>19928745.27729129</v>
      </c>
      <c r="AI862" s="1479">
        <f t="shared" si="321"/>
        <v>119572471.66374776</v>
      </c>
      <c r="AJ862" s="1401">
        <f t="shared" si="327"/>
        <v>79714981.109165162</v>
      </c>
      <c r="AL862" s="1554">
        <f t="shared" si="328"/>
        <v>99643726.38645646</v>
      </c>
    </row>
    <row r="863" spans="3:38" s="1472" customFormat="1" ht="33" customHeight="1" x14ac:dyDescent="0.2">
      <c r="C863" s="1478" t="s">
        <v>2306</v>
      </c>
      <c r="D863" s="1576"/>
      <c r="E863" s="1429" t="s">
        <v>1524</v>
      </c>
      <c r="F863" s="1539"/>
      <c r="G863" s="1501" t="s">
        <v>5752</v>
      </c>
      <c r="H863" s="1429"/>
      <c r="I863" s="1501"/>
      <c r="J863" s="1540"/>
      <c r="K863" s="1501"/>
      <c r="L863" s="1526"/>
      <c r="M863" s="1429" t="s">
        <v>3429</v>
      </c>
      <c r="N863" s="1501">
        <v>2014</v>
      </c>
      <c r="O863" s="1429"/>
      <c r="P863" s="1429"/>
      <c r="Q863" s="1429"/>
      <c r="R863" s="1501" t="s">
        <v>12</v>
      </c>
      <c r="S863" s="1539">
        <v>199229406.62061554</v>
      </c>
      <c r="T863" s="1501"/>
      <c r="U863" s="1596"/>
      <c r="V863" s="1553"/>
      <c r="W863" s="1478" t="str">
        <f t="shared" si="294"/>
        <v>04.14.04</v>
      </c>
      <c r="X863" s="1478" t="str">
        <f t="shared" si="322"/>
        <v>Bangunan Pengaman Sungai dan Penanggulangan Bencana Alam</v>
      </c>
      <c r="Y863" s="1478">
        <f t="shared" si="323"/>
        <v>10</v>
      </c>
      <c r="Z863" s="1401">
        <f t="shared" si="324"/>
        <v>19922940.662061553</v>
      </c>
      <c r="AA863" s="1444">
        <f t="shared" si="325"/>
        <v>0</v>
      </c>
      <c r="AB863" s="1401">
        <f t="shared" si="326"/>
        <v>0</v>
      </c>
      <c r="AC863" s="1401">
        <f t="shared" si="314"/>
        <v>19922940.662061553</v>
      </c>
      <c r="AD863" s="1401">
        <f t="shared" si="315"/>
        <v>19922940.662061553</v>
      </c>
      <c r="AE863" s="1401">
        <f t="shared" si="316"/>
        <v>19922940.662061553</v>
      </c>
      <c r="AF863" s="1401">
        <f t="shared" si="317"/>
        <v>19922940.662061553</v>
      </c>
      <c r="AG863" s="1479">
        <f t="shared" si="318"/>
        <v>19922940.662061553</v>
      </c>
      <c r="AH863" s="1479">
        <f t="shared" si="320"/>
        <v>19922940.662061553</v>
      </c>
      <c r="AI863" s="1479">
        <f t="shared" si="321"/>
        <v>119537643.97236933</v>
      </c>
      <c r="AJ863" s="1401">
        <f t="shared" si="327"/>
        <v>79691762.648246214</v>
      </c>
      <c r="AL863" s="1554">
        <f t="shared" si="328"/>
        <v>99614703.310307771</v>
      </c>
    </row>
    <row r="864" spans="3:38" s="1472" customFormat="1" ht="33" customHeight="1" x14ac:dyDescent="0.2">
      <c r="C864" s="1478" t="s">
        <v>2306</v>
      </c>
      <c r="D864" s="1576"/>
      <c r="E864" s="1429" t="s">
        <v>1525</v>
      </c>
      <c r="F864" s="1539"/>
      <c r="G864" s="1501" t="s">
        <v>5752</v>
      </c>
      <c r="H864" s="1429"/>
      <c r="I864" s="1501"/>
      <c r="J864" s="1540"/>
      <c r="K864" s="1501"/>
      <c r="L864" s="1526"/>
      <c r="M864" s="1429" t="s">
        <v>3430</v>
      </c>
      <c r="N864" s="1501">
        <v>2014</v>
      </c>
      <c r="O864" s="1429"/>
      <c r="P864" s="1429"/>
      <c r="Q864" s="1429"/>
      <c r="R864" s="1501" t="s">
        <v>12</v>
      </c>
      <c r="S864" s="1539">
        <v>164213565.64507365</v>
      </c>
      <c r="T864" s="1501"/>
      <c r="U864" s="1596"/>
      <c r="V864" s="1553"/>
      <c r="W864" s="1478" t="str">
        <f t="shared" si="294"/>
        <v>04.14.04</v>
      </c>
      <c r="X864" s="1478" t="str">
        <f t="shared" si="322"/>
        <v>Bangunan Pengaman Sungai dan Penanggulangan Bencana Alam</v>
      </c>
      <c r="Y864" s="1478">
        <f t="shared" si="323"/>
        <v>10</v>
      </c>
      <c r="Z864" s="1401">
        <f t="shared" si="324"/>
        <v>16421356.564507365</v>
      </c>
      <c r="AA864" s="1444">
        <f t="shared" si="325"/>
        <v>0</v>
      </c>
      <c r="AB864" s="1401">
        <f t="shared" si="326"/>
        <v>0</v>
      </c>
      <c r="AC864" s="1401">
        <f t="shared" si="314"/>
        <v>16421356.564507365</v>
      </c>
      <c r="AD864" s="1401">
        <f t="shared" si="315"/>
        <v>16421356.564507365</v>
      </c>
      <c r="AE864" s="1401">
        <f t="shared" si="316"/>
        <v>16421356.564507365</v>
      </c>
      <c r="AF864" s="1401">
        <f t="shared" si="317"/>
        <v>16421356.564507365</v>
      </c>
      <c r="AG864" s="1479">
        <f t="shared" si="318"/>
        <v>16421356.564507365</v>
      </c>
      <c r="AH864" s="1479">
        <f t="shared" si="320"/>
        <v>16421356.564507365</v>
      </c>
      <c r="AI864" s="1479">
        <f t="shared" si="321"/>
        <v>98528139.387044191</v>
      </c>
      <c r="AJ864" s="1401">
        <f t="shared" si="327"/>
        <v>65685426.258029461</v>
      </c>
      <c r="AL864" s="1554">
        <f t="shared" si="328"/>
        <v>82106782.822536826</v>
      </c>
    </row>
    <row r="865" spans="2:38" s="1472" customFormat="1" ht="33" customHeight="1" x14ac:dyDescent="0.2">
      <c r="C865" s="1478" t="s">
        <v>2306</v>
      </c>
      <c r="D865" s="1576"/>
      <c r="E865" s="1429" t="s">
        <v>1526</v>
      </c>
      <c r="F865" s="1539"/>
      <c r="G865" s="1501" t="s">
        <v>5752</v>
      </c>
      <c r="H865" s="1429"/>
      <c r="I865" s="1501"/>
      <c r="J865" s="1540"/>
      <c r="K865" s="1501"/>
      <c r="L865" s="1526"/>
      <c r="M865" s="1429" t="s">
        <v>3431</v>
      </c>
      <c r="N865" s="1501">
        <v>2014</v>
      </c>
      <c r="O865" s="1429"/>
      <c r="P865" s="1429"/>
      <c r="Q865" s="1429"/>
      <c r="R865" s="1501" t="s">
        <v>12</v>
      </c>
      <c r="S865" s="1539">
        <v>199158350.12383768</v>
      </c>
      <c r="T865" s="1501"/>
      <c r="U865" s="1596"/>
      <c r="V865" s="1553"/>
      <c r="W865" s="1478" t="str">
        <f t="shared" si="294"/>
        <v>04.14.04</v>
      </c>
      <c r="X865" s="1478" t="str">
        <f t="shared" si="322"/>
        <v>Bangunan Pengaman Sungai dan Penanggulangan Bencana Alam</v>
      </c>
      <c r="Y865" s="1478">
        <f t="shared" si="323"/>
        <v>10</v>
      </c>
      <c r="Z865" s="1401">
        <f t="shared" si="324"/>
        <v>19915835.012383766</v>
      </c>
      <c r="AA865" s="1444">
        <f t="shared" si="325"/>
        <v>0</v>
      </c>
      <c r="AB865" s="1401">
        <f t="shared" si="326"/>
        <v>0</v>
      </c>
      <c r="AC865" s="1401">
        <f t="shared" si="314"/>
        <v>19915835.012383766</v>
      </c>
      <c r="AD865" s="1401">
        <f t="shared" si="315"/>
        <v>19915835.012383766</v>
      </c>
      <c r="AE865" s="1401">
        <f t="shared" si="316"/>
        <v>19915835.012383766</v>
      </c>
      <c r="AF865" s="1401">
        <f t="shared" si="317"/>
        <v>19915835.012383766</v>
      </c>
      <c r="AG865" s="1479">
        <f t="shared" si="318"/>
        <v>19915835.012383766</v>
      </c>
      <c r="AH865" s="1479">
        <f t="shared" si="320"/>
        <v>19915835.012383766</v>
      </c>
      <c r="AI865" s="1479">
        <f t="shared" si="321"/>
        <v>119495010.07430258</v>
      </c>
      <c r="AJ865" s="1401">
        <f t="shared" si="327"/>
        <v>79663340.049535096</v>
      </c>
      <c r="AL865" s="1554">
        <f t="shared" si="328"/>
        <v>99579175.061918825</v>
      </c>
    </row>
    <row r="866" spans="2:38" s="1472" customFormat="1" ht="33" customHeight="1" x14ac:dyDescent="0.2">
      <c r="C866" s="1478" t="s">
        <v>2306</v>
      </c>
      <c r="D866" s="1576"/>
      <c r="E866" s="1429" t="s">
        <v>1527</v>
      </c>
      <c r="F866" s="1539"/>
      <c r="G866" s="1501" t="s">
        <v>5752</v>
      </c>
      <c r="H866" s="1429"/>
      <c r="I866" s="1501"/>
      <c r="J866" s="1540"/>
      <c r="K866" s="1501"/>
      <c r="L866" s="1526"/>
      <c r="M866" s="1429" t="s">
        <v>3432</v>
      </c>
      <c r="N866" s="1501">
        <v>2014</v>
      </c>
      <c r="O866" s="1429"/>
      <c r="P866" s="1429"/>
      <c r="Q866" s="1429"/>
      <c r="R866" s="1501" t="s">
        <v>12</v>
      </c>
      <c r="S866" s="1539">
        <v>199310471.07468602</v>
      </c>
      <c r="T866" s="1501"/>
      <c r="U866" s="1596"/>
      <c r="V866" s="1553"/>
      <c r="W866" s="1478" t="str">
        <f t="shared" si="294"/>
        <v>04.14.04</v>
      </c>
      <c r="X866" s="1478" t="str">
        <f t="shared" si="322"/>
        <v>Bangunan Pengaman Sungai dan Penanggulangan Bencana Alam</v>
      </c>
      <c r="Y866" s="1478">
        <f t="shared" si="323"/>
        <v>10</v>
      </c>
      <c r="Z866" s="1401">
        <f t="shared" si="324"/>
        <v>19931047.107468601</v>
      </c>
      <c r="AA866" s="1444">
        <f t="shared" si="325"/>
        <v>0</v>
      </c>
      <c r="AB866" s="1401">
        <f t="shared" si="326"/>
        <v>0</v>
      </c>
      <c r="AC866" s="1401">
        <f t="shared" si="314"/>
        <v>19931047.107468601</v>
      </c>
      <c r="AD866" s="1401">
        <f t="shared" si="315"/>
        <v>19931047.107468601</v>
      </c>
      <c r="AE866" s="1401">
        <f t="shared" si="316"/>
        <v>19931047.107468601</v>
      </c>
      <c r="AF866" s="1401">
        <f t="shared" si="317"/>
        <v>19931047.107468601</v>
      </c>
      <c r="AG866" s="1479">
        <f t="shared" si="318"/>
        <v>19931047.107468601</v>
      </c>
      <c r="AH866" s="1479">
        <f t="shared" si="320"/>
        <v>19931047.107468601</v>
      </c>
      <c r="AI866" s="1479">
        <f t="shared" si="321"/>
        <v>119586282.64481162</v>
      </c>
      <c r="AJ866" s="1401">
        <f t="shared" si="327"/>
        <v>79724188.429874405</v>
      </c>
      <c r="AL866" s="1554">
        <f t="shared" si="328"/>
        <v>99655235.53734301</v>
      </c>
    </row>
    <row r="867" spans="2:38" s="1472" customFormat="1" ht="33" customHeight="1" x14ac:dyDescent="0.2">
      <c r="C867" s="1478" t="s">
        <v>2306</v>
      </c>
      <c r="D867" s="1576"/>
      <c r="E867" s="1429" t="s">
        <v>1528</v>
      </c>
      <c r="F867" s="1539"/>
      <c r="G867" s="1501" t="s">
        <v>5752</v>
      </c>
      <c r="H867" s="1429"/>
      <c r="I867" s="1501"/>
      <c r="J867" s="1540"/>
      <c r="K867" s="1501"/>
      <c r="L867" s="1526"/>
      <c r="M867" s="1429" t="s">
        <v>3246</v>
      </c>
      <c r="N867" s="1501">
        <v>2014</v>
      </c>
      <c r="O867" s="1429"/>
      <c r="P867" s="1429"/>
      <c r="Q867" s="1429"/>
      <c r="R867" s="1501" t="s">
        <v>12</v>
      </c>
      <c r="S867" s="1539">
        <v>199179366.83415228</v>
      </c>
      <c r="T867" s="1501"/>
      <c r="U867" s="1596"/>
      <c r="V867" s="1553"/>
      <c r="W867" s="1478" t="str">
        <f t="shared" si="294"/>
        <v>04.14.04</v>
      </c>
      <c r="X867" s="1478" t="str">
        <f t="shared" si="322"/>
        <v>Bangunan Pengaman Sungai dan Penanggulangan Bencana Alam</v>
      </c>
      <c r="Y867" s="1478">
        <f t="shared" si="323"/>
        <v>10</v>
      </c>
      <c r="Z867" s="1401">
        <f t="shared" si="324"/>
        <v>19917936.683415227</v>
      </c>
      <c r="AA867" s="1444">
        <f t="shared" si="325"/>
        <v>0</v>
      </c>
      <c r="AB867" s="1401">
        <f t="shared" si="326"/>
        <v>0</v>
      </c>
      <c r="AC867" s="1401">
        <f t="shared" si="314"/>
        <v>19917936.683415227</v>
      </c>
      <c r="AD867" s="1401">
        <f t="shared" si="315"/>
        <v>19917936.683415227</v>
      </c>
      <c r="AE867" s="1401">
        <f t="shared" si="316"/>
        <v>19917936.683415227</v>
      </c>
      <c r="AF867" s="1401">
        <f t="shared" si="317"/>
        <v>19917936.683415227</v>
      </c>
      <c r="AG867" s="1479">
        <f t="shared" si="318"/>
        <v>19917936.683415227</v>
      </c>
      <c r="AH867" s="1479">
        <f t="shared" si="320"/>
        <v>19917936.683415227</v>
      </c>
      <c r="AI867" s="1479">
        <f t="shared" si="321"/>
        <v>119507620.10049137</v>
      </c>
      <c r="AJ867" s="1401">
        <f t="shared" si="327"/>
        <v>79671746.733660907</v>
      </c>
      <c r="AL867" s="1554">
        <f t="shared" si="328"/>
        <v>99589683.417076141</v>
      </c>
    </row>
    <row r="868" spans="2:38" s="1472" customFormat="1" ht="33" customHeight="1" x14ac:dyDescent="0.2">
      <c r="C868" s="1478" t="s">
        <v>2306</v>
      </c>
      <c r="D868" s="1576"/>
      <c r="E868" s="1429" t="s">
        <v>1529</v>
      </c>
      <c r="F868" s="1539"/>
      <c r="G868" s="1501" t="s">
        <v>5752</v>
      </c>
      <c r="H868" s="1429"/>
      <c r="I868" s="1501"/>
      <c r="J868" s="1540"/>
      <c r="K868" s="1501"/>
      <c r="L868" s="1526"/>
      <c r="M868" s="1429" t="s">
        <v>3433</v>
      </c>
      <c r="N868" s="1501">
        <v>2014</v>
      </c>
      <c r="O868" s="1429"/>
      <c r="P868" s="1429"/>
      <c r="Q868" s="1429"/>
      <c r="R868" s="1501" t="s">
        <v>12</v>
      </c>
      <c r="S868" s="1539">
        <v>200305000</v>
      </c>
      <c r="T868" s="1501"/>
      <c r="U868" s="1596"/>
      <c r="V868" s="1553"/>
      <c r="W868" s="1478" t="str">
        <f t="shared" si="294"/>
        <v>04.14.04</v>
      </c>
      <c r="X868" s="1478" t="str">
        <f t="shared" si="322"/>
        <v>Bangunan Pengaman Sungai dan Penanggulangan Bencana Alam</v>
      </c>
      <c r="Y868" s="1478">
        <f t="shared" si="323"/>
        <v>10</v>
      </c>
      <c r="Z868" s="1401">
        <f t="shared" si="324"/>
        <v>20030500</v>
      </c>
      <c r="AA868" s="1444">
        <f t="shared" si="325"/>
        <v>0</v>
      </c>
      <c r="AB868" s="1401">
        <f t="shared" si="326"/>
        <v>0</v>
      </c>
      <c r="AC868" s="1401">
        <f t="shared" si="314"/>
        <v>20030500</v>
      </c>
      <c r="AD868" s="1401">
        <f t="shared" si="315"/>
        <v>20030500</v>
      </c>
      <c r="AE868" s="1401">
        <f t="shared" si="316"/>
        <v>20030500</v>
      </c>
      <c r="AF868" s="1401">
        <f t="shared" si="317"/>
        <v>20030500</v>
      </c>
      <c r="AG868" s="1479">
        <f t="shared" si="318"/>
        <v>20030500</v>
      </c>
      <c r="AH868" s="1479">
        <f t="shared" si="320"/>
        <v>20030500</v>
      </c>
      <c r="AI868" s="1479">
        <f t="shared" si="321"/>
        <v>120183000</v>
      </c>
      <c r="AJ868" s="1401">
        <f t="shared" si="327"/>
        <v>80122000</v>
      </c>
      <c r="AL868" s="1554">
        <f t="shared" si="328"/>
        <v>100152500</v>
      </c>
    </row>
    <row r="869" spans="2:38" s="1472" customFormat="1" ht="33" customHeight="1" x14ac:dyDescent="0.2">
      <c r="C869" s="1478" t="s">
        <v>2306</v>
      </c>
      <c r="D869" s="1576"/>
      <c r="E869" s="1429" t="s">
        <v>1530</v>
      </c>
      <c r="F869" s="1539"/>
      <c r="G869" s="1501" t="s">
        <v>5752</v>
      </c>
      <c r="H869" s="1429"/>
      <c r="I869" s="1501"/>
      <c r="J869" s="1540"/>
      <c r="K869" s="1501"/>
      <c r="L869" s="1526"/>
      <c r="M869" s="1429" t="s">
        <v>3434</v>
      </c>
      <c r="N869" s="1501">
        <v>2014</v>
      </c>
      <c r="O869" s="1429"/>
      <c r="P869" s="1429"/>
      <c r="Q869" s="1429"/>
      <c r="R869" s="1501" t="s">
        <v>12</v>
      </c>
      <c r="S869" s="1539">
        <v>198265000</v>
      </c>
      <c r="T869" s="1501"/>
      <c r="U869" s="1596"/>
      <c r="V869" s="1553"/>
      <c r="W869" s="1478" t="str">
        <f t="shared" si="294"/>
        <v>04.14.04</v>
      </c>
      <c r="X869" s="1478" t="str">
        <f t="shared" si="322"/>
        <v>Bangunan Pengaman Sungai dan Penanggulangan Bencana Alam</v>
      </c>
      <c r="Y869" s="1478">
        <f t="shared" si="323"/>
        <v>10</v>
      </c>
      <c r="Z869" s="1401">
        <f t="shared" si="324"/>
        <v>19826500</v>
      </c>
      <c r="AA869" s="1444">
        <f t="shared" si="325"/>
        <v>0</v>
      </c>
      <c r="AB869" s="1401">
        <f t="shared" si="326"/>
        <v>0</v>
      </c>
      <c r="AC869" s="1401">
        <f t="shared" si="314"/>
        <v>19826500</v>
      </c>
      <c r="AD869" s="1401">
        <f t="shared" si="315"/>
        <v>19826500</v>
      </c>
      <c r="AE869" s="1401">
        <f t="shared" si="316"/>
        <v>19826500</v>
      </c>
      <c r="AF869" s="1401">
        <f t="shared" si="317"/>
        <v>19826500</v>
      </c>
      <c r="AG869" s="1479">
        <f t="shared" si="318"/>
        <v>19826500</v>
      </c>
      <c r="AH869" s="1479">
        <f t="shared" si="320"/>
        <v>19826500</v>
      </c>
      <c r="AI869" s="1479">
        <f t="shared" si="321"/>
        <v>118959000</v>
      </c>
      <c r="AJ869" s="1401">
        <f t="shared" si="327"/>
        <v>79306000</v>
      </c>
      <c r="AL869" s="1554">
        <f t="shared" si="328"/>
        <v>99132500</v>
      </c>
    </row>
    <row r="870" spans="2:38" s="1472" customFormat="1" ht="33" customHeight="1" x14ac:dyDescent="0.2">
      <c r="C870" s="1478" t="s">
        <v>2306</v>
      </c>
      <c r="D870" s="1576"/>
      <c r="E870" s="1429" t="s">
        <v>5588</v>
      </c>
      <c r="F870" s="1539"/>
      <c r="G870" s="1501" t="s">
        <v>2551</v>
      </c>
      <c r="H870" s="1429"/>
      <c r="I870" s="1501"/>
      <c r="J870" s="1540"/>
      <c r="K870" s="1501"/>
      <c r="L870" s="1526"/>
      <c r="M870" s="1429" t="s">
        <v>3435</v>
      </c>
      <c r="N870" s="1501">
        <v>2014</v>
      </c>
      <c r="O870" s="1429"/>
      <c r="P870" s="1429"/>
      <c r="Q870" s="1429"/>
      <c r="R870" s="1501" t="s">
        <v>12</v>
      </c>
      <c r="S870" s="1539">
        <f>199600000</f>
        <v>199600000</v>
      </c>
      <c r="T870" s="1501"/>
      <c r="U870" s="1596"/>
      <c r="V870" s="1553"/>
      <c r="W870" s="1478" t="str">
        <f t="shared" si="294"/>
        <v>04.14.04</v>
      </c>
      <c r="X870" s="1478" t="str">
        <f t="shared" si="322"/>
        <v>Bangunan Pengaman Sungai dan Penanggulangan Bencana Alam</v>
      </c>
      <c r="Y870" s="1478">
        <f t="shared" si="323"/>
        <v>10</v>
      </c>
      <c r="Z870" s="1401">
        <f t="shared" si="324"/>
        <v>19960000</v>
      </c>
      <c r="AA870" s="1444">
        <f t="shared" si="325"/>
        <v>0</v>
      </c>
      <c r="AB870" s="1479">
        <f>SUMIF(PERHITUNGAN!A:A,'KIB D'!B870&amp;'KIB D'!$AB$7,PERHITUNGAN!U:U)</f>
        <v>0</v>
      </c>
      <c r="AC870" s="1401">
        <f t="shared" si="314"/>
        <v>19960000</v>
      </c>
      <c r="AD870" s="1401">
        <f t="shared" si="315"/>
        <v>19960000</v>
      </c>
      <c r="AE870" s="1401">
        <f t="shared" si="316"/>
        <v>19960000</v>
      </c>
      <c r="AF870" s="1401">
        <f t="shared" si="317"/>
        <v>19960000</v>
      </c>
      <c r="AG870" s="1479">
        <f t="shared" si="318"/>
        <v>19960000</v>
      </c>
      <c r="AH870" s="1479">
        <f t="shared" si="320"/>
        <v>19960000</v>
      </c>
      <c r="AI870" s="1479">
        <f>SUM(AB870:AH870)</f>
        <v>119760000</v>
      </c>
      <c r="AJ870" s="1401">
        <f t="shared" si="327"/>
        <v>79840000</v>
      </c>
      <c r="AL870" s="1554">
        <f>SUM(AB870:AG870)</f>
        <v>99800000</v>
      </c>
    </row>
    <row r="871" spans="2:38" s="1472" customFormat="1" ht="33" customHeight="1" x14ac:dyDescent="0.2">
      <c r="C871" s="1478" t="s">
        <v>2306</v>
      </c>
      <c r="D871" s="1576"/>
      <c r="E871" s="1429" t="s">
        <v>1532</v>
      </c>
      <c r="F871" s="1539"/>
      <c r="G871" s="1501" t="s">
        <v>5752</v>
      </c>
      <c r="H871" s="1429"/>
      <c r="I871" s="1501"/>
      <c r="J871" s="1540"/>
      <c r="K871" s="1501"/>
      <c r="L871" s="1526"/>
      <c r="M871" s="1429" t="s">
        <v>3436</v>
      </c>
      <c r="N871" s="1501">
        <v>2014</v>
      </c>
      <c r="O871" s="1429"/>
      <c r="P871" s="1429"/>
      <c r="Q871" s="1429"/>
      <c r="R871" s="1501" t="s">
        <v>12</v>
      </c>
      <c r="S871" s="1539">
        <v>199532000</v>
      </c>
      <c r="T871" s="1501"/>
      <c r="U871" s="1596"/>
      <c r="V871" s="1553"/>
      <c r="W871" s="1478" t="str">
        <f t="shared" si="294"/>
        <v>04.14.04</v>
      </c>
      <c r="X871" s="1478" t="str">
        <f t="shared" si="322"/>
        <v>Bangunan Pengaman Sungai dan Penanggulangan Bencana Alam</v>
      </c>
      <c r="Y871" s="1478">
        <f t="shared" si="323"/>
        <v>10</v>
      </c>
      <c r="Z871" s="1401">
        <f t="shared" si="324"/>
        <v>19953200</v>
      </c>
      <c r="AA871" s="1444">
        <f t="shared" si="325"/>
        <v>0</v>
      </c>
      <c r="AB871" s="1401">
        <f t="shared" si="326"/>
        <v>0</v>
      </c>
      <c r="AC871" s="1401">
        <f t="shared" si="314"/>
        <v>19953200</v>
      </c>
      <c r="AD871" s="1401">
        <f t="shared" si="315"/>
        <v>19953200</v>
      </c>
      <c r="AE871" s="1401">
        <f t="shared" si="316"/>
        <v>19953200</v>
      </c>
      <c r="AF871" s="1401">
        <f t="shared" si="317"/>
        <v>19953200</v>
      </c>
      <c r="AG871" s="1479">
        <f t="shared" si="318"/>
        <v>19953200</v>
      </c>
      <c r="AH871" s="1479">
        <f t="shared" si="320"/>
        <v>19953200</v>
      </c>
      <c r="AI871" s="1479">
        <f t="shared" si="321"/>
        <v>119719200</v>
      </c>
      <c r="AJ871" s="1401">
        <f t="shared" si="327"/>
        <v>79812800</v>
      </c>
      <c r="AL871" s="1554">
        <f>SUM(AB871:AG871)</f>
        <v>99766000</v>
      </c>
    </row>
    <row r="872" spans="2:38" s="1472" customFormat="1" ht="33" customHeight="1" x14ac:dyDescent="0.2">
      <c r="C872" s="1478" t="s">
        <v>2306</v>
      </c>
      <c r="D872" s="1576"/>
      <c r="E872" s="1429" t="s">
        <v>1533</v>
      </c>
      <c r="F872" s="1539"/>
      <c r="G872" s="1501" t="s">
        <v>2525</v>
      </c>
      <c r="H872" s="1429"/>
      <c r="I872" s="1501"/>
      <c r="J872" s="1540"/>
      <c r="K872" s="1501"/>
      <c r="L872" s="1526"/>
      <c r="M872" s="1429" t="s">
        <v>3437</v>
      </c>
      <c r="N872" s="1501">
        <v>2014</v>
      </c>
      <c r="O872" s="1429"/>
      <c r="P872" s="1429"/>
      <c r="Q872" s="1429"/>
      <c r="R872" s="1501" t="s">
        <v>12</v>
      </c>
      <c r="S872" s="1539">
        <v>200050000</v>
      </c>
      <c r="T872" s="1501"/>
      <c r="U872" s="1596"/>
      <c r="V872" s="1553"/>
      <c r="W872" s="1478" t="str">
        <f t="shared" si="294"/>
        <v>04.14.04</v>
      </c>
      <c r="X872" s="1478" t="str">
        <f t="shared" si="322"/>
        <v>Bangunan Pengaman Sungai dan Penanggulangan Bencana Alam</v>
      </c>
      <c r="Y872" s="1478">
        <f t="shared" si="323"/>
        <v>10</v>
      </c>
      <c r="Z872" s="1401">
        <f t="shared" si="324"/>
        <v>20005000</v>
      </c>
      <c r="AA872" s="1444">
        <f t="shared" si="325"/>
        <v>0</v>
      </c>
      <c r="AB872" s="1401">
        <f t="shared" si="326"/>
        <v>0</v>
      </c>
      <c r="AC872" s="1401">
        <f t="shared" si="314"/>
        <v>20005000</v>
      </c>
      <c r="AD872" s="1401">
        <f t="shared" si="315"/>
        <v>20005000</v>
      </c>
      <c r="AE872" s="1401">
        <f t="shared" si="316"/>
        <v>20005000</v>
      </c>
      <c r="AF872" s="1401">
        <f t="shared" si="317"/>
        <v>20005000</v>
      </c>
      <c r="AG872" s="1479">
        <f t="shared" si="318"/>
        <v>20005000</v>
      </c>
      <c r="AH872" s="1479">
        <f t="shared" si="320"/>
        <v>20005000</v>
      </c>
      <c r="AI872" s="1479">
        <f t="shared" si="321"/>
        <v>120030000</v>
      </c>
      <c r="AJ872" s="1401">
        <f t="shared" si="327"/>
        <v>80020000</v>
      </c>
      <c r="AL872" s="1554">
        <f>SUM(AB872:AG872)</f>
        <v>100025000</v>
      </c>
    </row>
    <row r="873" spans="2:38" s="1472" customFormat="1" ht="33" customHeight="1" x14ac:dyDescent="0.2">
      <c r="C873" s="1478" t="s">
        <v>2306</v>
      </c>
      <c r="D873" s="1576"/>
      <c r="E873" s="1429" t="s">
        <v>1534</v>
      </c>
      <c r="F873" s="1539"/>
      <c r="G873" s="1501" t="s">
        <v>2525</v>
      </c>
      <c r="H873" s="1429"/>
      <c r="I873" s="1501"/>
      <c r="J873" s="1540"/>
      <c r="K873" s="1501"/>
      <c r="L873" s="1526"/>
      <c r="M873" s="1429" t="s">
        <v>3438</v>
      </c>
      <c r="N873" s="1501">
        <v>2014</v>
      </c>
      <c r="O873" s="1429"/>
      <c r="P873" s="1429"/>
      <c r="Q873" s="1429"/>
      <c r="R873" s="1501" t="s">
        <v>12</v>
      </c>
      <c r="S873" s="1539">
        <v>200200000</v>
      </c>
      <c r="T873" s="1501"/>
      <c r="U873" s="1596"/>
      <c r="V873" s="1553"/>
      <c r="W873" s="1478" t="str">
        <f t="shared" si="294"/>
        <v>04.14.04</v>
      </c>
      <c r="X873" s="1478" t="str">
        <f t="shared" si="322"/>
        <v>Bangunan Pengaman Sungai dan Penanggulangan Bencana Alam</v>
      </c>
      <c r="Y873" s="1478">
        <f t="shared" si="323"/>
        <v>10</v>
      </c>
      <c r="Z873" s="1401">
        <f t="shared" si="324"/>
        <v>20020000</v>
      </c>
      <c r="AA873" s="1444">
        <f t="shared" si="325"/>
        <v>0</v>
      </c>
      <c r="AB873" s="1401">
        <f t="shared" si="326"/>
        <v>0</v>
      </c>
      <c r="AC873" s="1401">
        <f t="shared" si="314"/>
        <v>20020000</v>
      </c>
      <c r="AD873" s="1401">
        <f t="shared" si="315"/>
        <v>20020000</v>
      </c>
      <c r="AE873" s="1401">
        <f t="shared" si="316"/>
        <v>20020000</v>
      </c>
      <c r="AF873" s="1401">
        <f t="shared" si="317"/>
        <v>20020000</v>
      </c>
      <c r="AG873" s="1479">
        <f t="shared" si="318"/>
        <v>20020000</v>
      </c>
      <c r="AH873" s="1479">
        <f t="shared" si="320"/>
        <v>20020000</v>
      </c>
      <c r="AI873" s="1479">
        <f t="shared" si="321"/>
        <v>120120000</v>
      </c>
      <c r="AJ873" s="1401">
        <f t="shared" si="327"/>
        <v>80080000</v>
      </c>
      <c r="AL873" s="1554">
        <f>SUM(AB873:AG873)</f>
        <v>100100000</v>
      </c>
    </row>
    <row r="874" spans="2:38" s="1472" customFormat="1" ht="33" customHeight="1" x14ac:dyDescent="0.2">
      <c r="C874" s="1478" t="s">
        <v>2306</v>
      </c>
      <c r="D874" s="1576"/>
      <c r="E874" s="1429" t="s">
        <v>1535</v>
      </c>
      <c r="F874" s="1539"/>
      <c r="G874" s="1501" t="s">
        <v>4199</v>
      </c>
      <c r="H874" s="1429"/>
      <c r="I874" s="1501"/>
      <c r="J874" s="1540"/>
      <c r="K874" s="1501"/>
      <c r="L874" s="1526"/>
      <c r="M874" s="1429" t="s">
        <v>3439</v>
      </c>
      <c r="N874" s="1501">
        <v>2014</v>
      </c>
      <c r="O874" s="1429"/>
      <c r="P874" s="1429"/>
      <c r="Q874" s="1429"/>
      <c r="R874" s="1501" t="s">
        <v>12</v>
      </c>
      <c r="S874" s="1539">
        <v>199710000</v>
      </c>
      <c r="T874" s="1501"/>
      <c r="U874" s="1596"/>
      <c r="V874" s="1553"/>
      <c r="W874" s="1478" t="str">
        <f t="shared" si="294"/>
        <v>04.14.01</v>
      </c>
      <c r="X874" s="1478" t="str">
        <f t="shared" si="322"/>
        <v>Bangunan Air Irigasi</v>
      </c>
      <c r="Y874" s="1478">
        <f t="shared" si="323"/>
        <v>50</v>
      </c>
      <c r="Z874" s="1401">
        <f t="shared" si="324"/>
        <v>3994200</v>
      </c>
      <c r="AA874" s="1444">
        <f t="shared" si="325"/>
        <v>0</v>
      </c>
      <c r="AB874" s="1401">
        <f t="shared" si="326"/>
        <v>0</v>
      </c>
      <c r="AC874" s="1401">
        <f t="shared" si="314"/>
        <v>3994200</v>
      </c>
      <c r="AD874" s="1401">
        <f t="shared" si="315"/>
        <v>3994200</v>
      </c>
      <c r="AE874" s="1401">
        <f t="shared" si="316"/>
        <v>3994200</v>
      </c>
      <c r="AF874" s="1401">
        <f t="shared" si="317"/>
        <v>3994200</v>
      </c>
      <c r="AG874" s="1479">
        <f t="shared" si="318"/>
        <v>3994200</v>
      </c>
      <c r="AH874" s="1479">
        <f t="shared" si="320"/>
        <v>3994200</v>
      </c>
      <c r="AI874" s="1479">
        <f t="shared" si="321"/>
        <v>23965200</v>
      </c>
      <c r="AJ874" s="1401">
        <f t="shared" si="327"/>
        <v>175744800</v>
      </c>
    </row>
    <row r="875" spans="2:38" s="1472" customFormat="1" ht="33" customHeight="1" x14ac:dyDescent="0.2">
      <c r="B875" s="1472" t="s">
        <v>3440</v>
      </c>
      <c r="C875" s="1478" t="s">
        <v>2306</v>
      </c>
      <c r="D875" s="1576"/>
      <c r="E875" s="1429" t="s">
        <v>1536</v>
      </c>
      <c r="F875" s="1539"/>
      <c r="G875" s="1501" t="s">
        <v>4199</v>
      </c>
      <c r="H875" s="1429"/>
      <c r="I875" s="1501"/>
      <c r="J875" s="1540"/>
      <c r="K875" s="1501"/>
      <c r="L875" s="1526"/>
      <c r="M875" s="1429" t="s">
        <v>3440</v>
      </c>
      <c r="N875" s="1501">
        <v>2014</v>
      </c>
      <c r="O875" s="1429"/>
      <c r="P875" s="1429"/>
      <c r="Q875" s="1429"/>
      <c r="R875" s="1501" t="s">
        <v>12</v>
      </c>
      <c r="S875" s="1539">
        <v>199750000</v>
      </c>
      <c r="T875" s="1501"/>
      <c r="U875" s="1596"/>
      <c r="V875" s="1553"/>
      <c r="W875" s="1478" t="str">
        <f t="shared" si="294"/>
        <v>04.14.01</v>
      </c>
      <c r="X875" s="1478" t="str">
        <f t="shared" si="322"/>
        <v>Bangunan Air Irigasi</v>
      </c>
      <c r="Y875" s="1478">
        <f t="shared" si="323"/>
        <v>50</v>
      </c>
      <c r="Z875" s="1401">
        <f t="shared" si="324"/>
        <v>3995000</v>
      </c>
      <c r="AA875" s="1444">
        <f t="shared" si="325"/>
        <v>0</v>
      </c>
      <c r="AB875" s="1401">
        <f t="shared" si="326"/>
        <v>0</v>
      </c>
      <c r="AC875" s="1401">
        <f t="shared" si="314"/>
        <v>3995000</v>
      </c>
      <c r="AD875" s="1401">
        <f t="shared" si="315"/>
        <v>3995000</v>
      </c>
      <c r="AE875" s="1401">
        <f t="shared" si="316"/>
        <v>3995000</v>
      </c>
      <c r="AF875" s="1401">
        <f t="shared" si="317"/>
        <v>3995000</v>
      </c>
      <c r="AG875" s="1479">
        <f t="shared" si="318"/>
        <v>3995000</v>
      </c>
      <c r="AH875" s="1479">
        <f t="shared" si="320"/>
        <v>3995000</v>
      </c>
      <c r="AI875" s="1479">
        <f t="shared" si="321"/>
        <v>23970000</v>
      </c>
      <c r="AJ875" s="1401">
        <f t="shared" si="327"/>
        <v>175780000</v>
      </c>
    </row>
    <row r="876" spans="2:38" s="1472" customFormat="1" ht="33" customHeight="1" x14ac:dyDescent="0.2">
      <c r="C876" s="1478" t="s">
        <v>2306</v>
      </c>
      <c r="D876" s="1576"/>
      <c r="E876" s="1429" t="s">
        <v>1537</v>
      </c>
      <c r="F876" s="1539"/>
      <c r="G876" s="1501" t="s">
        <v>4899</v>
      </c>
      <c r="H876" s="1429"/>
      <c r="I876" s="1501"/>
      <c r="J876" s="1540"/>
      <c r="K876" s="1501"/>
      <c r="L876" s="1526"/>
      <c r="M876" s="1429" t="s">
        <v>3441</v>
      </c>
      <c r="N876" s="1501">
        <v>2014</v>
      </c>
      <c r="O876" s="1429"/>
      <c r="P876" s="1429"/>
      <c r="Q876" s="1429"/>
      <c r="R876" s="1501" t="s">
        <v>12</v>
      </c>
      <c r="S876" s="1539">
        <v>200025000</v>
      </c>
      <c r="T876" s="1501"/>
      <c r="U876" s="1596"/>
      <c r="V876" s="1553"/>
      <c r="W876" s="1478" t="str">
        <f t="shared" si="294"/>
        <v>04.14.04</v>
      </c>
      <c r="X876" s="1478" t="str">
        <f t="shared" si="322"/>
        <v>Bangunan Pengaman Sungai dan Penanggulangan Bencana Alam</v>
      </c>
      <c r="Y876" s="1478">
        <f t="shared" si="323"/>
        <v>10</v>
      </c>
      <c r="Z876" s="1401">
        <f t="shared" si="324"/>
        <v>20002500</v>
      </c>
      <c r="AA876" s="1444">
        <f t="shared" si="325"/>
        <v>0</v>
      </c>
      <c r="AB876" s="1401">
        <f t="shared" si="326"/>
        <v>0</v>
      </c>
      <c r="AC876" s="1401">
        <f t="shared" si="314"/>
        <v>20002500</v>
      </c>
      <c r="AD876" s="1401">
        <f t="shared" si="315"/>
        <v>20002500</v>
      </c>
      <c r="AE876" s="1401">
        <f t="shared" si="316"/>
        <v>20002500</v>
      </c>
      <c r="AF876" s="1401">
        <f t="shared" si="317"/>
        <v>20002500</v>
      </c>
      <c r="AG876" s="1479">
        <f t="shared" si="318"/>
        <v>20002500</v>
      </c>
      <c r="AH876" s="1479">
        <f t="shared" si="320"/>
        <v>20002500</v>
      </c>
      <c r="AI876" s="1479">
        <f t="shared" si="321"/>
        <v>120015000</v>
      </c>
      <c r="AJ876" s="1401">
        <f t="shared" si="327"/>
        <v>80010000</v>
      </c>
    </row>
    <row r="877" spans="2:38" s="1472" customFormat="1" ht="33" customHeight="1" x14ac:dyDescent="0.2">
      <c r="C877" s="1478" t="s">
        <v>2306</v>
      </c>
      <c r="D877" s="1576"/>
      <c r="E877" s="1429" t="s">
        <v>1538</v>
      </c>
      <c r="F877" s="1539"/>
      <c r="G877" s="1501" t="s">
        <v>4199</v>
      </c>
      <c r="H877" s="1429"/>
      <c r="I877" s="1501"/>
      <c r="J877" s="1540"/>
      <c r="K877" s="1501"/>
      <c r="L877" s="1526"/>
      <c r="M877" s="1429" t="s">
        <v>3442</v>
      </c>
      <c r="N877" s="1501">
        <v>2014</v>
      </c>
      <c r="O877" s="1429"/>
      <c r="P877" s="1429"/>
      <c r="Q877" s="1429"/>
      <c r="R877" s="1501" t="s">
        <v>12</v>
      </c>
      <c r="S877" s="1539">
        <v>199930000</v>
      </c>
      <c r="T877" s="1501"/>
      <c r="U877" s="1596"/>
      <c r="V877" s="1553"/>
      <c r="W877" s="1478" t="str">
        <f t="shared" si="294"/>
        <v>04.14.01</v>
      </c>
      <c r="X877" s="1478" t="str">
        <f t="shared" si="322"/>
        <v>Bangunan Air Irigasi</v>
      </c>
      <c r="Y877" s="1478">
        <f t="shared" si="323"/>
        <v>50</v>
      </c>
      <c r="Z877" s="1401">
        <f t="shared" si="324"/>
        <v>3998600</v>
      </c>
      <c r="AA877" s="1444">
        <f t="shared" si="325"/>
        <v>0</v>
      </c>
      <c r="AB877" s="1401">
        <f t="shared" si="326"/>
        <v>0</v>
      </c>
      <c r="AC877" s="1401">
        <f t="shared" si="314"/>
        <v>3998600</v>
      </c>
      <c r="AD877" s="1401">
        <f t="shared" si="315"/>
        <v>3998600</v>
      </c>
      <c r="AE877" s="1401">
        <f t="shared" si="316"/>
        <v>3998600</v>
      </c>
      <c r="AF877" s="1401">
        <f t="shared" si="317"/>
        <v>3998600</v>
      </c>
      <c r="AG877" s="1479">
        <f t="shared" si="318"/>
        <v>3998600</v>
      </c>
      <c r="AH877" s="1479">
        <f t="shared" si="320"/>
        <v>3998600</v>
      </c>
      <c r="AI877" s="1479">
        <f t="shared" si="321"/>
        <v>23991600</v>
      </c>
      <c r="AJ877" s="1401">
        <f t="shared" si="327"/>
        <v>175938400</v>
      </c>
    </row>
    <row r="878" spans="2:38" s="1472" customFormat="1" ht="33" customHeight="1" x14ac:dyDescent="0.2">
      <c r="C878" s="1478" t="s">
        <v>2306</v>
      </c>
      <c r="D878" s="1576"/>
      <c r="E878" s="1429" t="s">
        <v>1539</v>
      </c>
      <c r="F878" s="1539"/>
      <c r="G878" s="1501" t="s">
        <v>4199</v>
      </c>
      <c r="H878" s="1429"/>
      <c r="I878" s="1501"/>
      <c r="J878" s="1540"/>
      <c r="K878" s="1501"/>
      <c r="L878" s="1526"/>
      <c r="M878" s="1429" t="s">
        <v>3443</v>
      </c>
      <c r="N878" s="1501">
        <v>2014</v>
      </c>
      <c r="O878" s="1429"/>
      <c r="P878" s="1429"/>
      <c r="Q878" s="1429"/>
      <c r="R878" s="1501" t="s">
        <v>12</v>
      </c>
      <c r="S878" s="1539">
        <v>199000000</v>
      </c>
      <c r="T878" s="1501"/>
      <c r="U878" s="1596"/>
      <c r="V878" s="1553"/>
      <c r="W878" s="1478" t="str">
        <f t="shared" ref="W878:W955" si="329">LEFT(G878,8)</f>
        <v>04.14.01</v>
      </c>
      <c r="X878" s="1478" t="str">
        <f t="shared" si="322"/>
        <v>Bangunan Air Irigasi</v>
      </c>
      <c r="Y878" s="1478">
        <f t="shared" si="323"/>
        <v>50</v>
      </c>
      <c r="Z878" s="1401">
        <f t="shared" si="324"/>
        <v>3980000</v>
      </c>
      <c r="AA878" s="1444">
        <f t="shared" si="325"/>
        <v>0</v>
      </c>
      <c r="AB878" s="1401">
        <f t="shared" si="326"/>
        <v>0</v>
      </c>
      <c r="AC878" s="1401">
        <f t="shared" si="314"/>
        <v>3980000</v>
      </c>
      <c r="AD878" s="1401">
        <f t="shared" si="315"/>
        <v>3980000</v>
      </c>
      <c r="AE878" s="1401">
        <f t="shared" si="316"/>
        <v>3980000</v>
      </c>
      <c r="AF878" s="1401">
        <f t="shared" si="317"/>
        <v>3980000</v>
      </c>
      <c r="AG878" s="1479">
        <f t="shared" si="318"/>
        <v>3980000</v>
      </c>
      <c r="AH878" s="1479">
        <f t="shared" si="320"/>
        <v>3980000</v>
      </c>
      <c r="AI878" s="1479">
        <f t="shared" si="321"/>
        <v>23880000</v>
      </c>
      <c r="AJ878" s="1401">
        <f t="shared" si="327"/>
        <v>175120000</v>
      </c>
    </row>
    <row r="879" spans="2:38" s="1472" customFormat="1" ht="33" customHeight="1" x14ac:dyDescent="0.2">
      <c r="B879" s="1472" t="s">
        <v>5892</v>
      </c>
      <c r="C879" s="1478" t="s">
        <v>2306</v>
      </c>
      <c r="D879" s="1576"/>
      <c r="E879" s="1429" t="s">
        <v>1540</v>
      </c>
      <c r="F879" s="1539"/>
      <c r="G879" s="1501" t="s">
        <v>4199</v>
      </c>
      <c r="H879" s="1429"/>
      <c r="I879" s="1501"/>
      <c r="J879" s="1540"/>
      <c r="K879" s="1501"/>
      <c r="L879" s="1526"/>
      <c r="M879" s="1429"/>
      <c r="N879" s="1501">
        <v>2014</v>
      </c>
      <c r="O879" s="1429"/>
      <c r="P879" s="1429"/>
      <c r="Q879" s="1429"/>
      <c r="R879" s="1501" t="s">
        <v>12</v>
      </c>
      <c r="S879" s="1539">
        <v>199167000</v>
      </c>
      <c r="T879" s="1501"/>
      <c r="U879" s="1596"/>
      <c r="V879" s="1553"/>
      <c r="W879" s="1478" t="str">
        <f t="shared" si="329"/>
        <v>04.14.01</v>
      </c>
      <c r="X879" s="1478" t="str">
        <f t="shared" si="322"/>
        <v>Bangunan Air Irigasi</v>
      </c>
      <c r="Y879" s="1478">
        <f t="shared" si="323"/>
        <v>50</v>
      </c>
      <c r="Z879" s="1401">
        <f t="shared" si="324"/>
        <v>3983340</v>
      </c>
      <c r="AA879" s="1444">
        <f t="shared" si="325"/>
        <v>0</v>
      </c>
      <c r="AB879" s="1401">
        <f t="shared" si="326"/>
        <v>0</v>
      </c>
      <c r="AC879" s="1401">
        <f t="shared" si="314"/>
        <v>3983340</v>
      </c>
      <c r="AD879" s="1401">
        <f t="shared" si="315"/>
        <v>3983340</v>
      </c>
      <c r="AE879" s="1401">
        <f t="shared" si="316"/>
        <v>3983340</v>
      </c>
      <c r="AF879" s="1401">
        <f t="shared" si="317"/>
        <v>3983340</v>
      </c>
      <c r="AG879" s="1479">
        <f t="shared" si="318"/>
        <v>3983340</v>
      </c>
      <c r="AH879" s="1479">
        <f t="shared" si="320"/>
        <v>3983340</v>
      </c>
      <c r="AI879" s="1479">
        <f t="shared" si="321"/>
        <v>23900040</v>
      </c>
      <c r="AJ879" s="1401">
        <f t="shared" si="327"/>
        <v>175266960</v>
      </c>
    </row>
    <row r="880" spans="2:38" s="1472" customFormat="1" ht="33" customHeight="1" x14ac:dyDescent="0.2">
      <c r="C880" s="1478" t="s">
        <v>2306</v>
      </c>
      <c r="D880" s="1576"/>
      <c r="E880" s="1429" t="s">
        <v>1541</v>
      </c>
      <c r="F880" s="1539"/>
      <c r="G880" s="1501" t="s">
        <v>2525</v>
      </c>
      <c r="H880" s="1429"/>
      <c r="I880" s="1501"/>
      <c r="J880" s="1540"/>
      <c r="K880" s="1501"/>
      <c r="L880" s="1526"/>
      <c r="M880" s="1429" t="s">
        <v>3444</v>
      </c>
      <c r="N880" s="1501">
        <v>2014</v>
      </c>
      <c r="O880" s="1429"/>
      <c r="P880" s="1429"/>
      <c r="Q880" s="1429"/>
      <c r="R880" s="1501" t="s">
        <v>12</v>
      </c>
      <c r="S880" s="1539">
        <v>198300000</v>
      </c>
      <c r="T880" s="1501"/>
      <c r="U880" s="1596"/>
      <c r="V880" s="1553"/>
      <c r="W880" s="1478" t="str">
        <f t="shared" si="329"/>
        <v>04.14.04</v>
      </c>
      <c r="X880" s="1478" t="str">
        <f t="shared" si="322"/>
        <v>Bangunan Pengaman Sungai dan Penanggulangan Bencana Alam</v>
      </c>
      <c r="Y880" s="1478">
        <f t="shared" si="323"/>
        <v>10</v>
      </c>
      <c r="Z880" s="1401">
        <f t="shared" si="324"/>
        <v>19830000</v>
      </c>
      <c r="AA880" s="1444">
        <f t="shared" si="325"/>
        <v>0</v>
      </c>
      <c r="AB880" s="1401">
        <f t="shared" si="326"/>
        <v>0</v>
      </c>
      <c r="AC880" s="1401">
        <f t="shared" si="314"/>
        <v>19830000</v>
      </c>
      <c r="AD880" s="1401">
        <f t="shared" si="315"/>
        <v>19830000</v>
      </c>
      <c r="AE880" s="1401">
        <f t="shared" si="316"/>
        <v>19830000</v>
      </c>
      <c r="AF880" s="1401">
        <f t="shared" si="317"/>
        <v>19830000</v>
      </c>
      <c r="AG880" s="1479">
        <f t="shared" si="318"/>
        <v>19830000</v>
      </c>
      <c r="AH880" s="1479">
        <f t="shared" si="320"/>
        <v>19830000</v>
      </c>
      <c r="AI880" s="1479">
        <f t="shared" si="321"/>
        <v>118980000</v>
      </c>
      <c r="AJ880" s="1401">
        <f t="shared" si="327"/>
        <v>79320000</v>
      </c>
    </row>
    <row r="881" spans="1:38" s="1472" customFormat="1" ht="33" customHeight="1" x14ac:dyDescent="0.2">
      <c r="C881" s="1478" t="s">
        <v>2306</v>
      </c>
      <c r="D881" s="1576"/>
      <c r="E881" s="1429" t="s">
        <v>1542</v>
      </c>
      <c r="F881" s="1539"/>
      <c r="G881" s="1501" t="s">
        <v>2525</v>
      </c>
      <c r="H881" s="1429"/>
      <c r="I881" s="1501"/>
      <c r="J881" s="1540"/>
      <c r="K881" s="1501"/>
      <c r="L881" s="1526"/>
      <c r="M881" s="1429" t="s">
        <v>3445</v>
      </c>
      <c r="N881" s="1501">
        <v>2014</v>
      </c>
      <c r="O881" s="1429"/>
      <c r="P881" s="1429"/>
      <c r="Q881" s="1429"/>
      <c r="R881" s="1501" t="s">
        <v>12</v>
      </c>
      <c r="S881" s="1539">
        <v>197650000</v>
      </c>
      <c r="T881" s="1501"/>
      <c r="U881" s="1596"/>
      <c r="V881" s="1553"/>
      <c r="W881" s="1478" t="str">
        <f t="shared" si="329"/>
        <v>04.14.04</v>
      </c>
      <c r="X881" s="1478" t="str">
        <f t="shared" si="322"/>
        <v>Bangunan Pengaman Sungai dan Penanggulangan Bencana Alam</v>
      </c>
      <c r="Y881" s="1478">
        <f t="shared" si="323"/>
        <v>10</v>
      </c>
      <c r="Z881" s="1401">
        <f t="shared" si="324"/>
        <v>19765000</v>
      </c>
      <c r="AA881" s="1444">
        <f t="shared" si="325"/>
        <v>0</v>
      </c>
      <c r="AB881" s="1401">
        <f t="shared" si="326"/>
        <v>0</v>
      </c>
      <c r="AC881" s="1401">
        <f t="shared" si="314"/>
        <v>19765000</v>
      </c>
      <c r="AD881" s="1401">
        <f t="shared" si="315"/>
        <v>19765000</v>
      </c>
      <c r="AE881" s="1401">
        <f t="shared" si="316"/>
        <v>19765000</v>
      </c>
      <c r="AF881" s="1401">
        <f t="shared" si="317"/>
        <v>19765000</v>
      </c>
      <c r="AG881" s="1479">
        <f t="shared" si="318"/>
        <v>19765000</v>
      </c>
      <c r="AH881" s="1479">
        <f t="shared" si="320"/>
        <v>19765000</v>
      </c>
      <c r="AI881" s="1479">
        <f t="shared" si="321"/>
        <v>118590000</v>
      </c>
      <c r="AJ881" s="1401">
        <f t="shared" si="327"/>
        <v>79060000</v>
      </c>
      <c r="AL881" s="1554">
        <f>SUM(AB881:AG881)</f>
        <v>98825000</v>
      </c>
    </row>
    <row r="882" spans="1:38" s="1472" customFormat="1" ht="33" customHeight="1" x14ac:dyDescent="0.2">
      <c r="C882" s="1478" t="s">
        <v>2306</v>
      </c>
      <c r="D882" s="1576"/>
      <c r="E882" s="1429" t="s">
        <v>1543</v>
      </c>
      <c r="F882" s="1539"/>
      <c r="G882" s="1501" t="s">
        <v>2525</v>
      </c>
      <c r="H882" s="1429"/>
      <c r="I882" s="1501"/>
      <c r="J882" s="1540"/>
      <c r="K882" s="1501"/>
      <c r="L882" s="1526"/>
      <c r="M882" s="1429" t="s">
        <v>3446</v>
      </c>
      <c r="N882" s="1501">
        <v>2014</v>
      </c>
      <c r="O882" s="1429"/>
      <c r="P882" s="1429"/>
      <c r="Q882" s="1429"/>
      <c r="R882" s="1501" t="s">
        <v>12</v>
      </c>
      <c r="S882" s="1539">
        <v>198150000</v>
      </c>
      <c r="T882" s="1501"/>
      <c r="U882" s="1596"/>
      <c r="V882" s="1553"/>
      <c r="W882" s="1478" t="str">
        <f t="shared" si="329"/>
        <v>04.14.04</v>
      </c>
      <c r="X882" s="1478" t="str">
        <f t="shared" si="322"/>
        <v>Bangunan Pengaman Sungai dan Penanggulangan Bencana Alam</v>
      </c>
      <c r="Y882" s="1478">
        <f t="shared" si="323"/>
        <v>10</v>
      </c>
      <c r="Z882" s="1401">
        <f t="shared" si="324"/>
        <v>19815000</v>
      </c>
      <c r="AA882" s="1444">
        <f t="shared" si="325"/>
        <v>0</v>
      </c>
      <c r="AB882" s="1401">
        <f t="shared" si="326"/>
        <v>0</v>
      </c>
      <c r="AC882" s="1401">
        <f t="shared" si="314"/>
        <v>19815000</v>
      </c>
      <c r="AD882" s="1401">
        <f t="shared" si="315"/>
        <v>19815000</v>
      </c>
      <c r="AE882" s="1401">
        <f t="shared" si="316"/>
        <v>19815000</v>
      </c>
      <c r="AF882" s="1401">
        <f t="shared" si="317"/>
        <v>19815000</v>
      </c>
      <c r="AG882" s="1479">
        <f t="shared" si="318"/>
        <v>19815000</v>
      </c>
      <c r="AH882" s="1479">
        <f t="shared" si="320"/>
        <v>19815000</v>
      </c>
      <c r="AI882" s="1479">
        <f t="shared" si="321"/>
        <v>118890000</v>
      </c>
      <c r="AJ882" s="1401">
        <f t="shared" si="327"/>
        <v>79260000</v>
      </c>
    </row>
    <row r="883" spans="1:38" s="1390" customFormat="1" ht="33" customHeight="1" x14ac:dyDescent="0.2">
      <c r="B883" s="1472"/>
      <c r="C883" s="1478" t="e">
        <f>RIGHT(#REF!,1)</f>
        <v>#REF!</v>
      </c>
      <c r="D883" s="1426"/>
      <c r="E883" s="1429" t="s">
        <v>1323</v>
      </c>
      <c r="F883" s="1529"/>
      <c r="G883" s="1501" t="s">
        <v>4899</v>
      </c>
      <c r="H883" s="1501"/>
      <c r="I883" s="1414"/>
      <c r="J883" s="1540"/>
      <c r="K883" s="1416"/>
      <c r="L883" s="1430"/>
      <c r="M883" s="1429" t="s">
        <v>2574</v>
      </c>
      <c r="N883" s="1501">
        <v>2014</v>
      </c>
      <c r="O883" s="1414"/>
      <c r="P883" s="1414"/>
      <c r="Q883" s="1414"/>
      <c r="R883" s="1501"/>
      <c r="S883" s="1527">
        <v>198334296</v>
      </c>
      <c r="T883" s="1528"/>
      <c r="U883" s="1575"/>
      <c r="V883" s="1490"/>
      <c r="W883" s="1478" t="str">
        <f t="shared" ref="W883:W891" si="330">LEFT(G883,8)</f>
        <v>04.14.04</v>
      </c>
      <c r="X883" s="1478" t="str">
        <f t="shared" ref="X883:X891" si="331">VLOOKUP(W883,UE,3,FALSE)</f>
        <v>Bangunan Pengaman Sungai dan Penanggulangan Bencana Alam</v>
      </c>
      <c r="Y883" s="1478">
        <f t="shared" ref="Y883:Y891" si="332">VLOOKUP(W883,UE,4,FALSE)</f>
        <v>10</v>
      </c>
      <c r="Z883" s="1401">
        <f t="shared" ref="Z883:Z891" si="333">S883/Y883</f>
        <v>19833429.600000001</v>
      </c>
      <c r="AA883" s="1444">
        <f t="shared" ref="AA883:AA891" si="334">IF(2013-N883+1&gt;Y883,Y883,IF(2013-N883+1&lt;0,0,2013-N883+1))</f>
        <v>0</v>
      </c>
      <c r="AB883" s="1401">
        <f t="shared" ref="AB883:AB891" si="335">IF(AA883&gt;Y883,S883,Z883*AA883)</f>
        <v>0</v>
      </c>
      <c r="AC883" s="1401">
        <f t="shared" si="314"/>
        <v>19833429.600000001</v>
      </c>
      <c r="AD883" s="1401">
        <f t="shared" si="315"/>
        <v>19833429.600000001</v>
      </c>
      <c r="AE883" s="1401">
        <f t="shared" si="316"/>
        <v>19833429.600000001</v>
      </c>
      <c r="AF883" s="1401">
        <f t="shared" si="317"/>
        <v>19833429.600000001</v>
      </c>
      <c r="AG883" s="1479">
        <f t="shared" si="318"/>
        <v>19833429.600000001</v>
      </c>
      <c r="AH883" s="1479">
        <f t="shared" si="320"/>
        <v>19833429.600000001</v>
      </c>
      <c r="AI883" s="1479">
        <f t="shared" si="321"/>
        <v>119000577.59999999</v>
      </c>
      <c r="AJ883" s="1401">
        <f t="shared" ref="AJ883:AJ892" si="336">S883-AI883</f>
        <v>79333718.400000006</v>
      </c>
    </row>
    <row r="884" spans="1:38" s="1390" customFormat="1" ht="33" customHeight="1" x14ac:dyDescent="0.2">
      <c r="B884" s="1472"/>
      <c r="C884" s="1478" t="e">
        <f>RIGHT(#REF!,1)</f>
        <v>#REF!</v>
      </c>
      <c r="D884" s="1426"/>
      <c r="E884" s="1429" t="s">
        <v>1324</v>
      </c>
      <c r="F884" s="1529"/>
      <c r="G884" s="1501" t="s">
        <v>4899</v>
      </c>
      <c r="H884" s="1501"/>
      <c r="I884" s="1414"/>
      <c r="J884" s="1540"/>
      <c r="K884" s="1416"/>
      <c r="L884" s="1430"/>
      <c r="M884" s="1429" t="s">
        <v>3195</v>
      </c>
      <c r="N884" s="1501">
        <v>2014</v>
      </c>
      <c r="O884" s="1414"/>
      <c r="P884" s="1414"/>
      <c r="Q884" s="1414"/>
      <c r="R884" s="1501"/>
      <c r="S884" s="1527">
        <v>197935199</v>
      </c>
      <c r="T884" s="1528"/>
      <c r="U884" s="1575"/>
      <c r="V884" s="1490"/>
      <c r="W884" s="1478" t="str">
        <f t="shared" si="330"/>
        <v>04.14.04</v>
      </c>
      <c r="X884" s="1478" t="str">
        <f t="shared" si="331"/>
        <v>Bangunan Pengaman Sungai dan Penanggulangan Bencana Alam</v>
      </c>
      <c r="Y884" s="1478">
        <f t="shared" si="332"/>
        <v>10</v>
      </c>
      <c r="Z884" s="1401">
        <f t="shared" si="333"/>
        <v>19793519.899999999</v>
      </c>
      <c r="AA884" s="1444">
        <f t="shared" si="334"/>
        <v>0</v>
      </c>
      <c r="AB884" s="1401">
        <f t="shared" si="335"/>
        <v>0</v>
      </c>
      <c r="AC884" s="1401">
        <f t="shared" si="314"/>
        <v>19793519.899999999</v>
      </c>
      <c r="AD884" s="1401">
        <f t="shared" si="315"/>
        <v>19793519.899999999</v>
      </c>
      <c r="AE884" s="1401">
        <f t="shared" si="316"/>
        <v>19793519.899999999</v>
      </c>
      <c r="AF884" s="1401">
        <f t="shared" si="317"/>
        <v>19793519.899999999</v>
      </c>
      <c r="AG884" s="1479">
        <f t="shared" si="318"/>
        <v>19793519.899999999</v>
      </c>
      <c r="AH884" s="1479">
        <f t="shared" si="320"/>
        <v>19793519.899999999</v>
      </c>
      <c r="AI884" s="1479">
        <f t="shared" si="321"/>
        <v>118761119.40000001</v>
      </c>
      <c r="AJ884" s="1401">
        <f t="shared" si="336"/>
        <v>79174079.599999994</v>
      </c>
    </row>
    <row r="885" spans="1:38" s="1390" customFormat="1" ht="33" customHeight="1" x14ac:dyDescent="0.2">
      <c r="B885" s="1472"/>
      <c r="C885" s="1478" t="e">
        <f>RIGHT(#REF!,1)</f>
        <v>#REF!</v>
      </c>
      <c r="D885" s="1426"/>
      <c r="E885" s="1429" t="s">
        <v>1344</v>
      </c>
      <c r="F885" s="1529"/>
      <c r="G885" s="1501" t="s">
        <v>4899</v>
      </c>
      <c r="H885" s="1501"/>
      <c r="I885" s="1414"/>
      <c r="J885" s="1540"/>
      <c r="K885" s="1416"/>
      <c r="L885" s="1430"/>
      <c r="M885" s="1429" t="s">
        <v>3210</v>
      </c>
      <c r="N885" s="1501">
        <v>2014</v>
      </c>
      <c r="O885" s="1414"/>
      <c r="P885" s="1414"/>
      <c r="Q885" s="1414"/>
      <c r="R885" s="1501"/>
      <c r="S885" s="1527">
        <v>198230943</v>
      </c>
      <c r="T885" s="1528"/>
      <c r="U885" s="1575"/>
      <c r="V885" s="1490"/>
      <c r="W885" s="1478" t="str">
        <f t="shared" si="330"/>
        <v>04.14.04</v>
      </c>
      <c r="X885" s="1478" t="str">
        <f t="shared" si="331"/>
        <v>Bangunan Pengaman Sungai dan Penanggulangan Bencana Alam</v>
      </c>
      <c r="Y885" s="1478">
        <f t="shared" si="332"/>
        <v>10</v>
      </c>
      <c r="Z885" s="1401">
        <f t="shared" si="333"/>
        <v>19823094.300000001</v>
      </c>
      <c r="AA885" s="1444">
        <f t="shared" si="334"/>
        <v>0</v>
      </c>
      <c r="AB885" s="1401">
        <f t="shared" si="335"/>
        <v>0</v>
      </c>
      <c r="AC885" s="1401">
        <f t="shared" si="314"/>
        <v>19823094.300000001</v>
      </c>
      <c r="AD885" s="1401">
        <f t="shared" si="315"/>
        <v>19823094.300000001</v>
      </c>
      <c r="AE885" s="1401">
        <f t="shared" si="316"/>
        <v>19823094.300000001</v>
      </c>
      <c r="AF885" s="1401">
        <f t="shared" si="317"/>
        <v>19823094.300000001</v>
      </c>
      <c r="AG885" s="1479">
        <f t="shared" si="318"/>
        <v>19823094.300000001</v>
      </c>
      <c r="AH885" s="1479">
        <f t="shared" si="320"/>
        <v>19823094.300000001</v>
      </c>
      <c r="AI885" s="1479">
        <f t="shared" si="321"/>
        <v>118938565.8</v>
      </c>
      <c r="AJ885" s="1401">
        <f t="shared" si="336"/>
        <v>79292377.200000003</v>
      </c>
    </row>
    <row r="886" spans="1:38" s="1390" customFormat="1" ht="33" customHeight="1" x14ac:dyDescent="0.2">
      <c r="B886" s="1472"/>
      <c r="C886" s="1478" t="e">
        <f>RIGHT(#REF!,1)</f>
        <v>#REF!</v>
      </c>
      <c r="D886" s="1426"/>
      <c r="E886" s="1429" t="s">
        <v>1345</v>
      </c>
      <c r="F886" s="1529"/>
      <c r="G886" s="1501" t="s">
        <v>4899</v>
      </c>
      <c r="H886" s="1501"/>
      <c r="I886" s="1414"/>
      <c r="J886" s="1540"/>
      <c r="K886" s="1416"/>
      <c r="L886" s="1430"/>
      <c r="M886" s="1429" t="s">
        <v>3211</v>
      </c>
      <c r="N886" s="1501">
        <v>2014</v>
      </c>
      <c r="O886" s="1414"/>
      <c r="P886" s="1414"/>
      <c r="Q886" s="1414"/>
      <c r="R886" s="1501"/>
      <c r="S886" s="1527">
        <v>197782386</v>
      </c>
      <c r="T886" s="1528"/>
      <c r="U886" s="1575"/>
      <c r="V886" s="1490"/>
      <c r="W886" s="1478" t="str">
        <f t="shared" si="330"/>
        <v>04.14.04</v>
      </c>
      <c r="X886" s="1478" t="str">
        <f t="shared" si="331"/>
        <v>Bangunan Pengaman Sungai dan Penanggulangan Bencana Alam</v>
      </c>
      <c r="Y886" s="1478">
        <f t="shared" si="332"/>
        <v>10</v>
      </c>
      <c r="Z886" s="1401">
        <f t="shared" si="333"/>
        <v>19778238.600000001</v>
      </c>
      <c r="AA886" s="1444">
        <f t="shared" si="334"/>
        <v>0</v>
      </c>
      <c r="AB886" s="1401">
        <f t="shared" si="335"/>
        <v>0</v>
      </c>
      <c r="AC886" s="1401">
        <f t="shared" si="314"/>
        <v>19778238.600000001</v>
      </c>
      <c r="AD886" s="1401">
        <f t="shared" si="315"/>
        <v>19778238.600000001</v>
      </c>
      <c r="AE886" s="1401">
        <f t="shared" si="316"/>
        <v>19778238.600000001</v>
      </c>
      <c r="AF886" s="1401">
        <f t="shared" si="317"/>
        <v>19778238.600000001</v>
      </c>
      <c r="AG886" s="1479">
        <f t="shared" si="318"/>
        <v>19778238.600000001</v>
      </c>
      <c r="AH886" s="1479">
        <f t="shared" si="320"/>
        <v>19778238.600000001</v>
      </c>
      <c r="AI886" s="1479">
        <f t="shared" si="321"/>
        <v>118669431.59999999</v>
      </c>
      <c r="AJ886" s="1401">
        <f t="shared" si="336"/>
        <v>79112954.400000006</v>
      </c>
    </row>
    <row r="887" spans="1:38" s="1390" customFormat="1" ht="33" customHeight="1" x14ac:dyDescent="0.2">
      <c r="B887" s="1472"/>
      <c r="C887" s="1478" t="e">
        <f>RIGHT(#REF!,1)</f>
        <v>#REF!</v>
      </c>
      <c r="D887" s="1426"/>
      <c r="E887" s="1429" t="s">
        <v>1346</v>
      </c>
      <c r="F887" s="1529"/>
      <c r="G887" s="1501" t="s">
        <v>4899</v>
      </c>
      <c r="H887" s="1501"/>
      <c r="I887" s="1414"/>
      <c r="J887" s="1540"/>
      <c r="K887" s="1416"/>
      <c r="L887" s="1430"/>
      <c r="M887" s="1429" t="s">
        <v>3212</v>
      </c>
      <c r="N887" s="1501">
        <v>2014</v>
      </c>
      <c r="O887" s="1414"/>
      <c r="P887" s="1414"/>
      <c r="Q887" s="1414"/>
      <c r="R887" s="1501"/>
      <c r="S887" s="1527">
        <v>197436838</v>
      </c>
      <c r="T887" s="1528"/>
      <c r="U887" s="1575"/>
      <c r="V887" s="1490"/>
      <c r="W887" s="1478" t="str">
        <f t="shared" si="330"/>
        <v>04.14.04</v>
      </c>
      <c r="X887" s="1478" t="str">
        <f t="shared" si="331"/>
        <v>Bangunan Pengaman Sungai dan Penanggulangan Bencana Alam</v>
      </c>
      <c r="Y887" s="1478">
        <f t="shared" si="332"/>
        <v>10</v>
      </c>
      <c r="Z887" s="1401">
        <f t="shared" si="333"/>
        <v>19743683.800000001</v>
      </c>
      <c r="AA887" s="1444">
        <f t="shared" si="334"/>
        <v>0</v>
      </c>
      <c r="AB887" s="1401">
        <f t="shared" si="335"/>
        <v>0</v>
      </c>
      <c r="AC887" s="1401">
        <f t="shared" si="314"/>
        <v>19743683.800000001</v>
      </c>
      <c r="AD887" s="1401">
        <f t="shared" si="315"/>
        <v>19743683.800000001</v>
      </c>
      <c r="AE887" s="1401">
        <f t="shared" si="316"/>
        <v>19743683.800000001</v>
      </c>
      <c r="AF887" s="1401">
        <f t="shared" si="317"/>
        <v>19743683.800000001</v>
      </c>
      <c r="AG887" s="1479">
        <f t="shared" si="318"/>
        <v>19743683.800000001</v>
      </c>
      <c r="AH887" s="1479">
        <f t="shared" si="320"/>
        <v>19743683.800000001</v>
      </c>
      <c r="AI887" s="1479">
        <f t="shared" si="321"/>
        <v>118462102.8</v>
      </c>
      <c r="AJ887" s="1401">
        <f t="shared" si="336"/>
        <v>78974735.200000003</v>
      </c>
    </row>
    <row r="888" spans="1:38" s="1390" customFormat="1" ht="33" customHeight="1" x14ac:dyDescent="0.2">
      <c r="B888" s="1472"/>
      <c r="C888" s="1478" t="e">
        <f>RIGHT(#REF!,1)</f>
        <v>#REF!</v>
      </c>
      <c r="D888" s="1426"/>
      <c r="E888" s="1429" t="s">
        <v>1334</v>
      </c>
      <c r="F888" s="1529"/>
      <c r="G888" s="1501" t="s">
        <v>2525</v>
      </c>
      <c r="H888" s="1501"/>
      <c r="I888" s="1414"/>
      <c r="J888" s="1540"/>
      <c r="K888" s="1416"/>
      <c r="L888" s="1430"/>
      <c r="M888" s="1429" t="s">
        <v>709</v>
      </c>
      <c r="N888" s="1501">
        <v>2014</v>
      </c>
      <c r="O888" s="1414"/>
      <c r="P888" s="1414"/>
      <c r="Q888" s="1414"/>
      <c r="R888" s="1501"/>
      <c r="S888" s="1527">
        <v>197650648</v>
      </c>
      <c r="T888" s="1528"/>
      <c r="U888" s="1575"/>
      <c r="V888" s="1490"/>
      <c r="W888" s="1478" t="str">
        <f t="shared" si="330"/>
        <v>04.14.04</v>
      </c>
      <c r="X888" s="1478" t="str">
        <f t="shared" si="331"/>
        <v>Bangunan Pengaman Sungai dan Penanggulangan Bencana Alam</v>
      </c>
      <c r="Y888" s="1478">
        <f t="shared" si="332"/>
        <v>10</v>
      </c>
      <c r="Z888" s="1401">
        <f t="shared" si="333"/>
        <v>19765064.800000001</v>
      </c>
      <c r="AA888" s="1444">
        <f t="shared" si="334"/>
        <v>0</v>
      </c>
      <c r="AB888" s="1401">
        <f t="shared" si="335"/>
        <v>0</v>
      </c>
      <c r="AC888" s="1401">
        <f t="shared" si="314"/>
        <v>19765064.800000001</v>
      </c>
      <c r="AD888" s="1401">
        <f t="shared" si="315"/>
        <v>19765064.800000001</v>
      </c>
      <c r="AE888" s="1401">
        <f t="shared" si="316"/>
        <v>19765064.800000001</v>
      </c>
      <c r="AF888" s="1401">
        <f t="shared" si="317"/>
        <v>19765064.800000001</v>
      </c>
      <c r="AG888" s="1479">
        <f t="shared" si="318"/>
        <v>19765064.800000001</v>
      </c>
      <c r="AH888" s="1479">
        <f t="shared" si="320"/>
        <v>19765064.800000001</v>
      </c>
      <c r="AI888" s="1479">
        <f t="shared" si="321"/>
        <v>118590388.8</v>
      </c>
      <c r="AJ888" s="1401">
        <f t="shared" si="336"/>
        <v>79060259.200000003</v>
      </c>
    </row>
    <row r="889" spans="1:38" s="1390" customFormat="1" ht="33" customHeight="1" x14ac:dyDescent="0.2">
      <c r="B889" s="1472"/>
      <c r="C889" s="1478" t="e">
        <f>RIGHT(#REF!,1)</f>
        <v>#REF!</v>
      </c>
      <c r="D889" s="1426"/>
      <c r="E889" s="1429" t="s">
        <v>1335</v>
      </c>
      <c r="F889" s="1529"/>
      <c r="G889" s="1501" t="s">
        <v>2525</v>
      </c>
      <c r="H889" s="1501"/>
      <c r="I889" s="1414"/>
      <c r="J889" s="1540"/>
      <c r="K889" s="1416"/>
      <c r="L889" s="1430"/>
      <c r="M889" s="1429" t="s">
        <v>518</v>
      </c>
      <c r="N889" s="1501">
        <v>2014</v>
      </c>
      <c r="O889" s="1414"/>
      <c r="P889" s="1414"/>
      <c r="Q889" s="1414"/>
      <c r="R889" s="1501"/>
      <c r="S889" s="1527">
        <v>197626838</v>
      </c>
      <c r="T889" s="1528"/>
      <c r="U889" s="1575"/>
      <c r="V889" s="1490"/>
      <c r="W889" s="1478" t="str">
        <f t="shared" si="330"/>
        <v>04.14.04</v>
      </c>
      <c r="X889" s="1478" t="str">
        <f t="shared" si="331"/>
        <v>Bangunan Pengaman Sungai dan Penanggulangan Bencana Alam</v>
      </c>
      <c r="Y889" s="1478">
        <f t="shared" si="332"/>
        <v>10</v>
      </c>
      <c r="Z889" s="1401">
        <f t="shared" si="333"/>
        <v>19762683.800000001</v>
      </c>
      <c r="AA889" s="1444">
        <f t="shared" si="334"/>
        <v>0</v>
      </c>
      <c r="AB889" s="1401">
        <f t="shared" si="335"/>
        <v>0</v>
      </c>
      <c r="AC889" s="1401">
        <f t="shared" si="314"/>
        <v>19762683.800000001</v>
      </c>
      <c r="AD889" s="1401">
        <f t="shared" si="315"/>
        <v>19762683.800000001</v>
      </c>
      <c r="AE889" s="1401">
        <f t="shared" si="316"/>
        <v>19762683.800000001</v>
      </c>
      <c r="AF889" s="1401">
        <f t="shared" si="317"/>
        <v>19762683.800000001</v>
      </c>
      <c r="AG889" s="1479">
        <f t="shared" si="318"/>
        <v>19762683.800000001</v>
      </c>
      <c r="AH889" s="1479">
        <f t="shared" si="320"/>
        <v>19762683.800000001</v>
      </c>
      <c r="AI889" s="1479">
        <f t="shared" si="321"/>
        <v>118576102.8</v>
      </c>
      <c r="AJ889" s="1401">
        <f t="shared" si="336"/>
        <v>79050735.200000003</v>
      </c>
    </row>
    <row r="890" spans="1:38" s="1390" customFormat="1" ht="33" customHeight="1" x14ac:dyDescent="0.2">
      <c r="B890" s="1472"/>
      <c r="C890" s="1478" t="e">
        <f>RIGHT(#REF!,1)</f>
        <v>#REF!</v>
      </c>
      <c r="D890" s="1426"/>
      <c r="E890" s="1429" t="s">
        <v>1336</v>
      </c>
      <c r="F890" s="1529"/>
      <c r="G890" s="1501" t="s">
        <v>2525</v>
      </c>
      <c r="H890" s="1501"/>
      <c r="I890" s="1414"/>
      <c r="J890" s="1540"/>
      <c r="K890" s="1416"/>
      <c r="L890" s="1430"/>
      <c r="M890" s="1429" t="s">
        <v>3203</v>
      </c>
      <c r="N890" s="1501">
        <v>2014</v>
      </c>
      <c r="O890" s="1414"/>
      <c r="P890" s="1414"/>
      <c r="Q890" s="1414"/>
      <c r="R890" s="1501"/>
      <c r="S890" s="1527">
        <v>196879677</v>
      </c>
      <c r="T890" s="1528"/>
      <c r="U890" s="1575"/>
      <c r="V890" s="1490"/>
      <c r="W890" s="1478" t="str">
        <f t="shared" si="330"/>
        <v>04.14.04</v>
      </c>
      <c r="X890" s="1478" t="str">
        <f t="shared" si="331"/>
        <v>Bangunan Pengaman Sungai dan Penanggulangan Bencana Alam</v>
      </c>
      <c r="Y890" s="1478">
        <f t="shared" si="332"/>
        <v>10</v>
      </c>
      <c r="Z890" s="1401">
        <f t="shared" si="333"/>
        <v>19687967.699999999</v>
      </c>
      <c r="AA890" s="1444">
        <f t="shared" si="334"/>
        <v>0</v>
      </c>
      <c r="AB890" s="1401">
        <f t="shared" si="335"/>
        <v>0</v>
      </c>
      <c r="AC890" s="1401">
        <f t="shared" si="314"/>
        <v>19687967.699999999</v>
      </c>
      <c r="AD890" s="1401">
        <f t="shared" si="315"/>
        <v>19687967.699999999</v>
      </c>
      <c r="AE890" s="1401">
        <f t="shared" si="316"/>
        <v>19687967.699999999</v>
      </c>
      <c r="AF890" s="1401">
        <f t="shared" si="317"/>
        <v>19687967.699999999</v>
      </c>
      <c r="AG890" s="1479">
        <f t="shared" si="318"/>
        <v>19687967.699999999</v>
      </c>
      <c r="AH890" s="1479">
        <f t="shared" si="320"/>
        <v>19687967.699999999</v>
      </c>
      <c r="AI890" s="1479">
        <f t="shared" si="321"/>
        <v>118127806.2</v>
      </c>
      <c r="AJ890" s="1401">
        <f t="shared" si="336"/>
        <v>78751870.799999997</v>
      </c>
    </row>
    <row r="891" spans="1:38" s="1390" customFormat="1" ht="33" customHeight="1" x14ac:dyDescent="0.2">
      <c r="B891" s="1472"/>
      <c r="C891" s="1478" t="e">
        <f>RIGHT(#REF!,1)</f>
        <v>#REF!</v>
      </c>
      <c r="D891" s="1426"/>
      <c r="E891" s="1429" t="s">
        <v>1337</v>
      </c>
      <c r="F891" s="1529"/>
      <c r="G891" s="1501" t="s">
        <v>2525</v>
      </c>
      <c r="H891" s="1501"/>
      <c r="I891" s="1414"/>
      <c r="J891" s="1540"/>
      <c r="K891" s="1416"/>
      <c r="L891" s="1430"/>
      <c r="M891" s="1429" t="s">
        <v>3204</v>
      </c>
      <c r="N891" s="1501">
        <v>2014</v>
      </c>
      <c r="O891" s="1414"/>
      <c r="P891" s="1414"/>
      <c r="Q891" s="1414"/>
      <c r="R891" s="1501"/>
      <c r="S891" s="1527">
        <v>197078483</v>
      </c>
      <c r="T891" s="1528"/>
      <c r="U891" s="1575"/>
      <c r="V891" s="1490"/>
      <c r="W891" s="1478" t="str">
        <f t="shared" si="330"/>
        <v>04.14.04</v>
      </c>
      <c r="X891" s="1478" t="str">
        <f t="shared" si="331"/>
        <v>Bangunan Pengaman Sungai dan Penanggulangan Bencana Alam</v>
      </c>
      <c r="Y891" s="1478">
        <f t="shared" si="332"/>
        <v>10</v>
      </c>
      <c r="Z891" s="1401">
        <f t="shared" si="333"/>
        <v>19707848.300000001</v>
      </c>
      <c r="AA891" s="1444">
        <f t="shared" si="334"/>
        <v>0</v>
      </c>
      <c r="AB891" s="1401">
        <f t="shared" si="335"/>
        <v>0</v>
      </c>
      <c r="AC891" s="1401">
        <f t="shared" si="314"/>
        <v>19707848.300000001</v>
      </c>
      <c r="AD891" s="1401">
        <f t="shared" si="315"/>
        <v>19707848.300000001</v>
      </c>
      <c r="AE891" s="1401">
        <f t="shared" si="316"/>
        <v>19707848.300000001</v>
      </c>
      <c r="AF891" s="1401">
        <f t="shared" si="317"/>
        <v>19707848.300000001</v>
      </c>
      <c r="AG891" s="1479">
        <f t="shared" si="318"/>
        <v>19707848.300000001</v>
      </c>
      <c r="AH891" s="1479">
        <f t="shared" si="320"/>
        <v>19707848.300000001</v>
      </c>
      <c r="AI891" s="1479">
        <f t="shared" si="321"/>
        <v>118247089.8</v>
      </c>
      <c r="AJ891" s="1401">
        <f t="shared" si="336"/>
        <v>78831393.200000003</v>
      </c>
    </row>
    <row r="892" spans="1:38" s="1390" customFormat="1" ht="33" customHeight="1" x14ac:dyDescent="0.2">
      <c r="B892" s="1472"/>
      <c r="C892" s="1478" t="e">
        <f>RIGHT(#REF!,1)</f>
        <v>#REF!</v>
      </c>
      <c r="D892" s="1426"/>
      <c r="E892" s="1429" t="s">
        <v>1304</v>
      </c>
      <c r="F892" s="1539"/>
      <c r="G892" s="1416" t="s">
        <v>2525</v>
      </c>
      <c r="H892" s="1508"/>
      <c r="I892" s="1416"/>
      <c r="J892" s="1512"/>
      <c r="K892" s="1416"/>
      <c r="L892" s="1500"/>
      <c r="M892" s="1429" t="s">
        <v>3182</v>
      </c>
      <c r="N892" s="1416">
        <v>2014</v>
      </c>
      <c r="O892" s="1414"/>
      <c r="P892" s="1414"/>
      <c r="Q892" s="1414"/>
      <c r="R892" s="1416" t="s">
        <v>12</v>
      </c>
      <c r="S892" s="1529">
        <v>187443170</v>
      </c>
      <c r="T892" s="1416"/>
      <c r="U892" s="1427"/>
      <c r="V892" s="1477"/>
      <c r="W892" s="1478" t="str">
        <f>LEFT(G892,8)</f>
        <v>04.14.04</v>
      </c>
      <c r="X892" s="1478" t="str">
        <f>VLOOKUP(W892,UE,3,FALSE)</f>
        <v>Bangunan Pengaman Sungai dan Penanggulangan Bencana Alam</v>
      </c>
      <c r="Y892" s="1478">
        <f>VLOOKUP(W892,UE,4,FALSE)</f>
        <v>10</v>
      </c>
      <c r="Z892" s="1401">
        <f>S892/Y892</f>
        <v>18744317</v>
      </c>
      <c r="AA892" s="1444">
        <f>IF(2013-N892+1&gt;Y892,Y892,IF(2013-N892+1&lt;0,0,2013-N892+1))</f>
        <v>0</v>
      </c>
      <c r="AB892" s="1401">
        <f>IF(AA892&gt;Y892,S892,Z892*AA892)</f>
        <v>0</v>
      </c>
      <c r="AC892" s="1401">
        <f>IF(S892=AB892,0,Z892)</f>
        <v>18744317</v>
      </c>
      <c r="AD892" s="1401">
        <f>IF(S892=AB892+AC892,0,Z892)</f>
        <v>18744317</v>
      </c>
      <c r="AE892" s="1401">
        <f>IF(S892=AB892+AC892+AD892,0,Z892)</f>
        <v>18744317</v>
      </c>
      <c r="AF892" s="1401">
        <f>IF(S892=AC892+AD892+AE892+AB892,0,Z892)</f>
        <v>18744317</v>
      </c>
      <c r="AG892" s="1479">
        <f>IF(S892=AC892+AD892+AE892+AB892+AF892,0,Z892)</f>
        <v>18744317</v>
      </c>
      <c r="AH892" s="1479">
        <f>IF(S892=AC892+AD892+AE892+AB892+AF892+AG892,0,Z892)</f>
        <v>18744317</v>
      </c>
      <c r="AI892" s="1479">
        <f>SUM(AB892:AH892)</f>
        <v>112465902</v>
      </c>
      <c r="AJ892" s="1401">
        <f t="shared" si="336"/>
        <v>74977268</v>
      </c>
      <c r="AL892" s="1443">
        <f>SUM(AB892:AG892)</f>
        <v>93721585</v>
      </c>
    </row>
    <row r="893" spans="1:38" s="1472" customFormat="1" ht="33" customHeight="1" x14ac:dyDescent="0.2">
      <c r="C893" s="1478" t="s">
        <v>2306</v>
      </c>
      <c r="D893" s="1576"/>
      <c r="E893" s="1429" t="s">
        <v>5593</v>
      </c>
      <c r="F893" s="1539"/>
      <c r="G893" s="1501" t="s">
        <v>4899</v>
      </c>
      <c r="H893" s="1429"/>
      <c r="I893" s="1501"/>
      <c r="J893" s="1540"/>
      <c r="K893" s="1501"/>
      <c r="L893" s="1526"/>
      <c r="M893" s="1429" t="s">
        <v>3408</v>
      </c>
      <c r="N893" s="1501">
        <v>2015</v>
      </c>
      <c r="O893" s="1429"/>
      <c r="P893" s="1429"/>
      <c r="Q893" s="1429"/>
      <c r="R893" s="1501" t="s">
        <v>12</v>
      </c>
      <c r="S893" s="1539">
        <v>193951280</v>
      </c>
      <c r="T893" s="1501"/>
      <c r="U893" s="1596"/>
      <c r="V893" s="1553"/>
      <c r="W893" s="1478" t="str">
        <f>LEFT(G893,8)</f>
        <v>04.14.04</v>
      </c>
      <c r="X893" s="1478" t="str">
        <f>VLOOKUP(W893,UE,3,FALSE)</f>
        <v>Bangunan Pengaman Sungai dan Penanggulangan Bencana Alam</v>
      </c>
      <c r="Y893" s="1478">
        <f>VLOOKUP(W893,UE,4,FALSE)</f>
        <v>10</v>
      </c>
      <c r="Z893" s="1401">
        <f>S893/Y893</f>
        <v>19395128</v>
      </c>
      <c r="AA893" s="1444"/>
      <c r="AB893" s="1401"/>
      <c r="AC893" s="1401"/>
      <c r="AD893" s="1401">
        <f t="shared" si="315"/>
        <v>19395128</v>
      </c>
      <c r="AE893" s="1401">
        <f t="shared" si="316"/>
        <v>19395128</v>
      </c>
      <c r="AF893" s="1401">
        <f t="shared" si="317"/>
        <v>19395128</v>
      </c>
      <c r="AG893" s="1479">
        <f t="shared" si="318"/>
        <v>19395128</v>
      </c>
      <c r="AH893" s="1479">
        <f t="shared" si="320"/>
        <v>19395128</v>
      </c>
      <c r="AI893" s="1479">
        <f>SUM(AB893:AH893)</f>
        <v>96975640</v>
      </c>
      <c r="AJ893" s="1401"/>
    </row>
    <row r="894" spans="1:38" s="1472" customFormat="1" ht="33" customHeight="1" x14ac:dyDescent="0.2">
      <c r="C894" s="1478" t="s">
        <v>2306</v>
      </c>
      <c r="D894" s="1576"/>
      <c r="E894" s="1429" t="s">
        <v>1544</v>
      </c>
      <c r="F894" s="1539"/>
      <c r="G894" s="1501" t="s">
        <v>4899</v>
      </c>
      <c r="H894" s="1429"/>
      <c r="I894" s="1501"/>
      <c r="J894" s="1540"/>
      <c r="K894" s="1501"/>
      <c r="L894" s="1526"/>
      <c r="M894" s="1429" t="s">
        <v>3447</v>
      </c>
      <c r="N894" s="1501">
        <v>2015</v>
      </c>
      <c r="O894" s="1429"/>
      <c r="P894" s="1429"/>
      <c r="Q894" s="1429"/>
      <c r="R894" s="1501" t="s">
        <v>12</v>
      </c>
      <c r="S894" s="1539">
        <v>195475522</v>
      </c>
      <c r="T894" s="1501"/>
      <c r="U894" s="1596"/>
      <c r="V894" s="1553"/>
      <c r="W894" s="1478" t="str">
        <f t="shared" si="329"/>
        <v>04.14.04</v>
      </c>
      <c r="X894" s="1478" t="str">
        <f t="shared" si="322"/>
        <v>Bangunan Pengaman Sungai dan Penanggulangan Bencana Alam</v>
      </c>
      <c r="Y894" s="1478">
        <f t="shared" si="323"/>
        <v>10</v>
      </c>
      <c r="Z894" s="1401">
        <f t="shared" si="324"/>
        <v>19547552.199999999</v>
      </c>
      <c r="AA894" s="1444">
        <f t="shared" si="325"/>
        <v>0</v>
      </c>
      <c r="AB894" s="1401">
        <f t="shared" si="326"/>
        <v>0</v>
      </c>
      <c r="AC894" s="1401">
        <v>0</v>
      </c>
      <c r="AD894" s="1401">
        <f t="shared" si="315"/>
        <v>19547552.199999999</v>
      </c>
      <c r="AE894" s="1401">
        <f t="shared" si="316"/>
        <v>19547552.199999999</v>
      </c>
      <c r="AF894" s="1401">
        <f t="shared" si="317"/>
        <v>19547552.199999999</v>
      </c>
      <c r="AG894" s="1479">
        <f t="shared" si="318"/>
        <v>19547552.199999999</v>
      </c>
      <c r="AH894" s="1479">
        <f t="shared" si="320"/>
        <v>19547552.199999999</v>
      </c>
      <c r="AI894" s="1479">
        <f t="shared" si="321"/>
        <v>97737761</v>
      </c>
      <c r="AJ894" s="1401">
        <f t="shared" si="327"/>
        <v>97737761</v>
      </c>
    </row>
    <row r="895" spans="1:38" s="1472" customFormat="1" ht="33" customHeight="1" x14ac:dyDescent="0.2">
      <c r="C895" s="1478" t="s">
        <v>2306</v>
      </c>
      <c r="D895" s="1576"/>
      <c r="E895" s="1429" t="s">
        <v>1545</v>
      </c>
      <c r="F895" s="1539"/>
      <c r="G895" s="1501" t="s">
        <v>4899</v>
      </c>
      <c r="H895" s="1429"/>
      <c r="I895" s="1501"/>
      <c r="J895" s="1540"/>
      <c r="K895" s="1501"/>
      <c r="L895" s="1526"/>
      <c r="M895" s="1429" t="s">
        <v>3448</v>
      </c>
      <c r="N895" s="1501">
        <v>2015</v>
      </c>
      <c r="O895" s="1429"/>
      <c r="P895" s="1429"/>
      <c r="Q895" s="1429"/>
      <c r="R895" s="1501" t="s">
        <v>12</v>
      </c>
      <c r="S895" s="1539">
        <v>193579751</v>
      </c>
      <c r="T895" s="1501"/>
      <c r="U895" s="1596"/>
      <c r="V895" s="1553"/>
      <c r="W895" s="1478" t="str">
        <f t="shared" si="329"/>
        <v>04.14.04</v>
      </c>
      <c r="X895" s="1478" t="str">
        <f t="shared" si="322"/>
        <v>Bangunan Pengaman Sungai dan Penanggulangan Bencana Alam</v>
      </c>
      <c r="Y895" s="1478">
        <f t="shared" si="323"/>
        <v>10</v>
      </c>
      <c r="Z895" s="1401">
        <f t="shared" si="324"/>
        <v>19357975.100000001</v>
      </c>
      <c r="AA895" s="1444">
        <f t="shared" si="325"/>
        <v>0</v>
      </c>
      <c r="AB895" s="1401">
        <f t="shared" si="326"/>
        <v>0</v>
      </c>
      <c r="AC895" s="1401">
        <v>0</v>
      </c>
      <c r="AD895" s="1401">
        <f t="shared" si="315"/>
        <v>19357975.100000001</v>
      </c>
      <c r="AE895" s="1401">
        <f t="shared" si="316"/>
        <v>19357975.100000001</v>
      </c>
      <c r="AF895" s="1401">
        <f t="shared" si="317"/>
        <v>19357975.100000001</v>
      </c>
      <c r="AG895" s="1479">
        <f t="shared" si="318"/>
        <v>19357975.100000001</v>
      </c>
      <c r="AH895" s="1479">
        <f t="shared" si="320"/>
        <v>19357975.100000001</v>
      </c>
      <c r="AI895" s="1479">
        <f t="shared" si="321"/>
        <v>96789875.5</v>
      </c>
      <c r="AJ895" s="1401">
        <f t="shared" si="327"/>
        <v>96789875.5</v>
      </c>
    </row>
    <row r="896" spans="1:38" s="1472" customFormat="1" ht="33" customHeight="1" x14ac:dyDescent="0.2">
      <c r="A896" s="1390"/>
      <c r="C896" s="1478" t="s">
        <v>2306</v>
      </c>
      <c r="D896" s="1576"/>
      <c r="E896" s="1429" t="s">
        <v>1546</v>
      </c>
      <c r="F896" s="1539"/>
      <c r="G896" s="1501" t="s">
        <v>4899</v>
      </c>
      <c r="H896" s="1429"/>
      <c r="I896" s="1501"/>
      <c r="J896" s="1540"/>
      <c r="K896" s="1501"/>
      <c r="L896" s="1526"/>
      <c r="M896" s="1429" t="s">
        <v>3449</v>
      </c>
      <c r="N896" s="1501">
        <v>2015</v>
      </c>
      <c r="O896" s="1429"/>
      <c r="P896" s="1429"/>
      <c r="Q896" s="1429"/>
      <c r="R896" s="1501" t="s">
        <v>12</v>
      </c>
      <c r="S896" s="1539">
        <v>194854327</v>
      </c>
      <c r="T896" s="1501"/>
      <c r="U896" s="1596"/>
      <c r="V896" s="1553"/>
      <c r="W896" s="1478" t="str">
        <f t="shared" si="329"/>
        <v>04.14.04</v>
      </c>
      <c r="X896" s="1478" t="str">
        <f t="shared" si="322"/>
        <v>Bangunan Pengaman Sungai dan Penanggulangan Bencana Alam</v>
      </c>
      <c r="Y896" s="1478">
        <f t="shared" si="323"/>
        <v>10</v>
      </c>
      <c r="Z896" s="1401">
        <f t="shared" si="324"/>
        <v>19485432.699999999</v>
      </c>
      <c r="AA896" s="1444">
        <f t="shared" si="325"/>
        <v>0</v>
      </c>
      <c r="AB896" s="1401">
        <f t="shared" si="326"/>
        <v>0</v>
      </c>
      <c r="AC896" s="1401">
        <v>0</v>
      </c>
      <c r="AD896" s="1401">
        <f t="shared" si="315"/>
        <v>19485432.699999999</v>
      </c>
      <c r="AE896" s="1401">
        <f t="shared" si="316"/>
        <v>19485432.699999999</v>
      </c>
      <c r="AF896" s="1401">
        <f t="shared" si="317"/>
        <v>19485432.699999999</v>
      </c>
      <c r="AG896" s="1479">
        <f t="shared" si="318"/>
        <v>19485432.699999999</v>
      </c>
      <c r="AH896" s="1479">
        <f t="shared" si="320"/>
        <v>19485432.699999999</v>
      </c>
      <c r="AI896" s="1479">
        <f t="shared" si="321"/>
        <v>97427163.5</v>
      </c>
      <c r="AJ896" s="1401">
        <f t="shared" si="327"/>
        <v>97427163.5</v>
      </c>
    </row>
    <row r="897" spans="2:38" s="1472" customFormat="1" ht="33" customHeight="1" x14ac:dyDescent="0.2">
      <c r="C897" s="1478" t="s">
        <v>2306</v>
      </c>
      <c r="D897" s="1576"/>
      <c r="E897" s="1429" t="s">
        <v>1547</v>
      </c>
      <c r="F897" s="1539"/>
      <c r="G897" s="1501" t="s">
        <v>4899</v>
      </c>
      <c r="H897" s="1429"/>
      <c r="I897" s="1501"/>
      <c r="J897" s="1540"/>
      <c r="K897" s="1501"/>
      <c r="L897" s="1526"/>
      <c r="M897" s="1429" t="s">
        <v>3450</v>
      </c>
      <c r="N897" s="1501">
        <v>2015</v>
      </c>
      <c r="O897" s="1429"/>
      <c r="P897" s="1429"/>
      <c r="Q897" s="1429"/>
      <c r="R897" s="1501" t="s">
        <v>12</v>
      </c>
      <c r="S897" s="1539">
        <v>194008286</v>
      </c>
      <c r="T897" s="1501"/>
      <c r="U897" s="1596"/>
      <c r="V897" s="1553"/>
      <c r="W897" s="1478" t="str">
        <f t="shared" si="329"/>
        <v>04.14.04</v>
      </c>
      <c r="X897" s="1478" t="str">
        <f t="shared" si="322"/>
        <v>Bangunan Pengaman Sungai dan Penanggulangan Bencana Alam</v>
      </c>
      <c r="Y897" s="1478">
        <f t="shared" si="323"/>
        <v>10</v>
      </c>
      <c r="Z897" s="1401">
        <f t="shared" si="324"/>
        <v>19400828.600000001</v>
      </c>
      <c r="AA897" s="1444">
        <f t="shared" si="325"/>
        <v>0</v>
      </c>
      <c r="AB897" s="1401">
        <f t="shared" si="326"/>
        <v>0</v>
      </c>
      <c r="AC897" s="1401">
        <v>0</v>
      </c>
      <c r="AD897" s="1401">
        <f t="shared" si="315"/>
        <v>19400828.600000001</v>
      </c>
      <c r="AE897" s="1401">
        <f t="shared" si="316"/>
        <v>19400828.600000001</v>
      </c>
      <c r="AF897" s="1401">
        <f t="shared" si="317"/>
        <v>19400828.600000001</v>
      </c>
      <c r="AG897" s="1479">
        <f t="shared" si="318"/>
        <v>19400828.600000001</v>
      </c>
      <c r="AH897" s="1479">
        <f t="shared" si="320"/>
        <v>19400828.600000001</v>
      </c>
      <c r="AI897" s="1479">
        <f t="shared" si="321"/>
        <v>97004143</v>
      </c>
      <c r="AJ897" s="1401">
        <f t="shared" si="327"/>
        <v>97004143</v>
      </c>
    </row>
    <row r="898" spans="2:38" s="1472" customFormat="1" ht="33" customHeight="1" x14ac:dyDescent="0.2">
      <c r="C898" s="1478" t="s">
        <v>2306</v>
      </c>
      <c r="D898" s="1576"/>
      <c r="E898" s="1429" t="s">
        <v>1548</v>
      </c>
      <c r="F898" s="1539"/>
      <c r="G898" s="1501" t="s">
        <v>4899</v>
      </c>
      <c r="H898" s="1429"/>
      <c r="I898" s="1501"/>
      <c r="J898" s="1540"/>
      <c r="K898" s="1501"/>
      <c r="L898" s="1526"/>
      <c r="M898" s="1429" t="s">
        <v>3090</v>
      </c>
      <c r="N898" s="1501">
        <v>2015</v>
      </c>
      <c r="O898" s="1429"/>
      <c r="P898" s="1429"/>
      <c r="Q898" s="1429"/>
      <c r="R898" s="1501" t="s">
        <v>12</v>
      </c>
      <c r="S898" s="1539">
        <v>194273613</v>
      </c>
      <c r="T898" s="1501"/>
      <c r="U898" s="1596"/>
      <c r="V898" s="1553"/>
      <c r="W898" s="1478" t="str">
        <f t="shared" si="329"/>
        <v>04.14.04</v>
      </c>
      <c r="X898" s="1478" t="str">
        <f t="shared" si="322"/>
        <v>Bangunan Pengaman Sungai dan Penanggulangan Bencana Alam</v>
      </c>
      <c r="Y898" s="1478">
        <f t="shared" si="323"/>
        <v>10</v>
      </c>
      <c r="Z898" s="1401">
        <f t="shared" si="324"/>
        <v>19427361.300000001</v>
      </c>
      <c r="AA898" s="1444">
        <f t="shared" si="325"/>
        <v>0</v>
      </c>
      <c r="AB898" s="1401">
        <f t="shared" si="326"/>
        <v>0</v>
      </c>
      <c r="AC898" s="1401">
        <v>0</v>
      </c>
      <c r="AD898" s="1401">
        <f t="shared" si="315"/>
        <v>19427361.300000001</v>
      </c>
      <c r="AE898" s="1401">
        <f t="shared" si="316"/>
        <v>19427361.300000001</v>
      </c>
      <c r="AF898" s="1401">
        <f t="shared" si="317"/>
        <v>19427361.300000001</v>
      </c>
      <c r="AG898" s="1479">
        <f t="shared" si="318"/>
        <v>19427361.300000001</v>
      </c>
      <c r="AH898" s="1479">
        <f t="shared" si="320"/>
        <v>19427361.300000001</v>
      </c>
      <c r="AI898" s="1479">
        <f t="shared" si="321"/>
        <v>97136806.5</v>
      </c>
      <c r="AJ898" s="1401">
        <f t="shared" si="327"/>
        <v>97136806.5</v>
      </c>
    </row>
    <row r="899" spans="2:38" s="1472" customFormat="1" ht="33" customHeight="1" x14ac:dyDescent="0.2">
      <c r="C899" s="1478" t="s">
        <v>2306</v>
      </c>
      <c r="D899" s="1576"/>
      <c r="E899" s="1429" t="s">
        <v>1549</v>
      </c>
      <c r="F899" s="1539"/>
      <c r="G899" s="1501" t="s">
        <v>4899</v>
      </c>
      <c r="H899" s="1429"/>
      <c r="I899" s="1501"/>
      <c r="J899" s="1540"/>
      <c r="K899" s="1501"/>
      <c r="L899" s="1526"/>
      <c r="M899" s="1429" t="s">
        <v>3445</v>
      </c>
      <c r="N899" s="1501">
        <v>2015</v>
      </c>
      <c r="O899" s="1429"/>
      <c r="P899" s="1429"/>
      <c r="Q899" s="1429"/>
      <c r="R899" s="1501" t="s">
        <v>12</v>
      </c>
      <c r="S899" s="1539">
        <v>193725722</v>
      </c>
      <c r="T899" s="1501"/>
      <c r="U899" s="1596"/>
      <c r="V899" s="1553"/>
      <c r="W899" s="1478" t="str">
        <f t="shared" si="329"/>
        <v>04.14.04</v>
      </c>
      <c r="X899" s="1478" t="str">
        <f t="shared" si="322"/>
        <v>Bangunan Pengaman Sungai dan Penanggulangan Bencana Alam</v>
      </c>
      <c r="Y899" s="1478">
        <f t="shared" si="323"/>
        <v>10</v>
      </c>
      <c r="Z899" s="1401">
        <f t="shared" si="324"/>
        <v>19372572.199999999</v>
      </c>
      <c r="AA899" s="1444">
        <f t="shared" si="325"/>
        <v>0</v>
      </c>
      <c r="AB899" s="1401">
        <f t="shared" si="326"/>
        <v>0</v>
      </c>
      <c r="AC899" s="1401">
        <v>0</v>
      </c>
      <c r="AD899" s="1401">
        <f t="shared" si="315"/>
        <v>19372572.199999999</v>
      </c>
      <c r="AE899" s="1401">
        <f t="shared" si="316"/>
        <v>19372572.199999999</v>
      </c>
      <c r="AF899" s="1401">
        <f t="shared" si="317"/>
        <v>19372572.199999999</v>
      </c>
      <c r="AG899" s="1479">
        <f t="shared" si="318"/>
        <v>19372572.199999999</v>
      </c>
      <c r="AH899" s="1479">
        <f t="shared" si="320"/>
        <v>19372572.199999999</v>
      </c>
      <c r="AI899" s="1479">
        <f t="shared" si="321"/>
        <v>96862861</v>
      </c>
      <c r="AJ899" s="1401">
        <f t="shared" si="327"/>
        <v>96862861</v>
      </c>
    </row>
    <row r="900" spans="2:38" s="1472" customFormat="1" ht="33" customHeight="1" x14ac:dyDescent="0.2">
      <c r="C900" s="1478" t="s">
        <v>2306</v>
      </c>
      <c r="D900" s="1576"/>
      <c r="E900" s="1429" t="s">
        <v>1550</v>
      </c>
      <c r="F900" s="1539"/>
      <c r="G900" s="1501" t="s">
        <v>4899</v>
      </c>
      <c r="H900" s="1429"/>
      <c r="I900" s="1501"/>
      <c r="J900" s="1540"/>
      <c r="K900" s="1501"/>
      <c r="L900" s="1526"/>
      <c r="M900" s="1429" t="s">
        <v>3088</v>
      </c>
      <c r="N900" s="1501">
        <v>2015</v>
      </c>
      <c r="O900" s="1429"/>
      <c r="P900" s="1429"/>
      <c r="Q900" s="1429"/>
      <c r="R900" s="1501" t="s">
        <v>12</v>
      </c>
      <c r="S900" s="1539">
        <v>194683613</v>
      </c>
      <c r="T900" s="1501"/>
      <c r="U900" s="1596"/>
      <c r="V900" s="1553"/>
      <c r="W900" s="1478" t="str">
        <f t="shared" si="329"/>
        <v>04.14.04</v>
      </c>
      <c r="X900" s="1478" t="str">
        <f t="shared" si="322"/>
        <v>Bangunan Pengaman Sungai dan Penanggulangan Bencana Alam</v>
      </c>
      <c r="Y900" s="1478">
        <f t="shared" si="323"/>
        <v>10</v>
      </c>
      <c r="Z900" s="1401">
        <f t="shared" si="324"/>
        <v>19468361.300000001</v>
      </c>
      <c r="AA900" s="1444">
        <f t="shared" si="325"/>
        <v>0</v>
      </c>
      <c r="AB900" s="1401">
        <f t="shared" si="326"/>
        <v>0</v>
      </c>
      <c r="AC900" s="1401">
        <v>0</v>
      </c>
      <c r="AD900" s="1401">
        <f t="shared" si="315"/>
        <v>19468361.300000001</v>
      </c>
      <c r="AE900" s="1401">
        <f t="shared" si="316"/>
        <v>19468361.300000001</v>
      </c>
      <c r="AF900" s="1401">
        <f t="shared" si="317"/>
        <v>19468361.300000001</v>
      </c>
      <c r="AG900" s="1479">
        <f t="shared" si="318"/>
        <v>19468361.300000001</v>
      </c>
      <c r="AH900" s="1479">
        <f t="shared" si="320"/>
        <v>19468361.300000001</v>
      </c>
      <c r="AI900" s="1479">
        <f t="shared" si="321"/>
        <v>97341806.5</v>
      </c>
      <c r="AJ900" s="1401">
        <f t="shared" si="327"/>
        <v>97341806.5</v>
      </c>
    </row>
    <row r="901" spans="2:38" s="1472" customFormat="1" ht="33" customHeight="1" x14ac:dyDescent="0.2">
      <c r="C901" s="1478" t="s">
        <v>2306</v>
      </c>
      <c r="D901" s="1576"/>
      <c r="E901" s="1429" t="s">
        <v>1552</v>
      </c>
      <c r="F901" s="1539"/>
      <c r="G901" s="1501" t="s">
        <v>4899</v>
      </c>
      <c r="H901" s="1429"/>
      <c r="I901" s="1501"/>
      <c r="J901" s="1540"/>
      <c r="K901" s="1501"/>
      <c r="L901" s="1526"/>
      <c r="M901" s="1429" t="s">
        <v>3078</v>
      </c>
      <c r="N901" s="1501">
        <v>2015</v>
      </c>
      <c r="O901" s="1429"/>
      <c r="P901" s="1429"/>
      <c r="Q901" s="1429"/>
      <c r="R901" s="1501" t="s">
        <v>12</v>
      </c>
      <c r="S901" s="1539">
        <v>184030734</v>
      </c>
      <c r="T901" s="1501"/>
      <c r="U901" s="1596"/>
      <c r="V901" s="1553"/>
      <c r="W901" s="1478" t="str">
        <f t="shared" si="329"/>
        <v>04.14.04</v>
      </c>
      <c r="X901" s="1478" t="str">
        <f t="shared" si="322"/>
        <v>Bangunan Pengaman Sungai dan Penanggulangan Bencana Alam</v>
      </c>
      <c r="Y901" s="1478">
        <f t="shared" si="323"/>
        <v>10</v>
      </c>
      <c r="Z901" s="1401">
        <f t="shared" si="324"/>
        <v>18403073.399999999</v>
      </c>
      <c r="AA901" s="1444">
        <f t="shared" si="325"/>
        <v>0</v>
      </c>
      <c r="AB901" s="1401">
        <f t="shared" si="326"/>
        <v>0</v>
      </c>
      <c r="AC901" s="1401">
        <v>0</v>
      </c>
      <c r="AD901" s="1401">
        <f t="shared" si="315"/>
        <v>18403073.399999999</v>
      </c>
      <c r="AE901" s="1401">
        <f t="shared" si="316"/>
        <v>18403073.399999999</v>
      </c>
      <c r="AF901" s="1401">
        <f t="shared" si="317"/>
        <v>18403073.399999999</v>
      </c>
      <c r="AG901" s="1479">
        <f t="shared" si="318"/>
        <v>18403073.399999999</v>
      </c>
      <c r="AH901" s="1479">
        <f t="shared" si="320"/>
        <v>18403073.399999999</v>
      </c>
      <c r="AI901" s="1479">
        <f t="shared" si="321"/>
        <v>92015367</v>
      </c>
      <c r="AJ901" s="1401">
        <f t="shared" si="327"/>
        <v>92015367</v>
      </c>
    </row>
    <row r="902" spans="2:38" s="1472" customFormat="1" ht="33" customHeight="1" x14ac:dyDescent="0.2">
      <c r="C902" s="1478" t="s">
        <v>2306</v>
      </c>
      <c r="D902" s="1576"/>
      <c r="E902" s="1429" t="s">
        <v>1553</v>
      </c>
      <c r="F902" s="1539"/>
      <c r="G902" s="1501" t="s">
        <v>4899</v>
      </c>
      <c r="H902" s="1429"/>
      <c r="I902" s="1501"/>
      <c r="J902" s="1540"/>
      <c r="K902" s="1501"/>
      <c r="L902" s="1526"/>
      <c r="M902" s="1429" t="s">
        <v>3178</v>
      </c>
      <c r="N902" s="1501">
        <v>2015</v>
      </c>
      <c r="O902" s="1429"/>
      <c r="P902" s="1429"/>
      <c r="Q902" s="1429"/>
      <c r="R902" s="1501" t="s">
        <v>12</v>
      </c>
      <c r="S902" s="1539">
        <v>194469852</v>
      </c>
      <c r="T902" s="1501"/>
      <c r="U902" s="1596"/>
      <c r="V902" s="1553"/>
      <c r="W902" s="1478" t="str">
        <f t="shared" si="329"/>
        <v>04.14.04</v>
      </c>
      <c r="X902" s="1478" t="str">
        <f t="shared" si="322"/>
        <v>Bangunan Pengaman Sungai dan Penanggulangan Bencana Alam</v>
      </c>
      <c r="Y902" s="1478">
        <f t="shared" si="323"/>
        <v>10</v>
      </c>
      <c r="Z902" s="1401">
        <f t="shared" si="324"/>
        <v>19446985.199999999</v>
      </c>
      <c r="AA902" s="1444">
        <f t="shared" si="325"/>
        <v>0</v>
      </c>
      <c r="AB902" s="1401">
        <f t="shared" si="326"/>
        <v>0</v>
      </c>
      <c r="AC902" s="1401">
        <v>0</v>
      </c>
      <c r="AD902" s="1401">
        <f t="shared" ref="AD902:AD918" si="337">IF(S902=AB902+AC902,0,Z902)</f>
        <v>19446985.199999999</v>
      </c>
      <c r="AE902" s="1401">
        <f t="shared" ref="AE902:AE918" si="338">IF(S902=AB902+AC902+AD902,0,Z902)</f>
        <v>19446985.199999999</v>
      </c>
      <c r="AF902" s="1401">
        <f t="shared" ref="AF902:AF918" si="339">IF(S902=AC902+AD902+AE902+AB902,0,Z902)</f>
        <v>19446985.199999999</v>
      </c>
      <c r="AG902" s="1479">
        <f t="shared" ref="AG902:AG918" si="340">IF(S902=AC902+AD902+AE902+AB902+AF902,0,Z902)</f>
        <v>19446985.199999999</v>
      </c>
      <c r="AH902" s="1479">
        <f t="shared" si="320"/>
        <v>19446985.199999999</v>
      </c>
      <c r="AI902" s="1479">
        <f t="shared" si="321"/>
        <v>97234926</v>
      </c>
      <c r="AJ902" s="1401">
        <f t="shared" si="327"/>
        <v>97234926</v>
      </c>
    </row>
    <row r="903" spans="2:38" s="1472" customFormat="1" ht="33" customHeight="1" x14ac:dyDescent="0.2">
      <c r="C903" s="1478" t="s">
        <v>2306</v>
      </c>
      <c r="D903" s="1576"/>
      <c r="E903" s="1429" t="s">
        <v>1554</v>
      </c>
      <c r="F903" s="1539"/>
      <c r="G903" s="1501" t="s">
        <v>4899</v>
      </c>
      <c r="H903" s="1429"/>
      <c r="I903" s="1501"/>
      <c r="J903" s="1540"/>
      <c r="K903" s="1501"/>
      <c r="L903" s="1526"/>
      <c r="M903" s="1429" t="s">
        <v>3451</v>
      </c>
      <c r="N903" s="1501">
        <v>2015</v>
      </c>
      <c r="O903" s="1429"/>
      <c r="P903" s="1429"/>
      <c r="Q903" s="1429"/>
      <c r="R903" s="1501" t="s">
        <v>12</v>
      </c>
      <c r="S903" s="1539">
        <v>188897648</v>
      </c>
      <c r="T903" s="1501"/>
      <c r="U903" s="1596"/>
      <c r="V903" s="1553"/>
      <c r="W903" s="1478" t="str">
        <f t="shared" si="329"/>
        <v>04.14.04</v>
      </c>
      <c r="X903" s="1478" t="str">
        <f t="shared" si="322"/>
        <v>Bangunan Pengaman Sungai dan Penanggulangan Bencana Alam</v>
      </c>
      <c r="Y903" s="1478">
        <f t="shared" si="323"/>
        <v>10</v>
      </c>
      <c r="Z903" s="1401">
        <f t="shared" si="324"/>
        <v>18889764.800000001</v>
      </c>
      <c r="AA903" s="1444">
        <f t="shared" si="325"/>
        <v>0</v>
      </c>
      <c r="AB903" s="1401">
        <f t="shared" si="326"/>
        <v>0</v>
      </c>
      <c r="AC903" s="1401">
        <v>0</v>
      </c>
      <c r="AD903" s="1401">
        <f t="shared" si="337"/>
        <v>18889764.800000001</v>
      </c>
      <c r="AE903" s="1401">
        <f t="shared" si="338"/>
        <v>18889764.800000001</v>
      </c>
      <c r="AF903" s="1401">
        <f t="shared" si="339"/>
        <v>18889764.800000001</v>
      </c>
      <c r="AG903" s="1479">
        <f t="shared" si="340"/>
        <v>18889764.800000001</v>
      </c>
      <c r="AH903" s="1479">
        <f t="shared" si="320"/>
        <v>18889764.800000001</v>
      </c>
      <c r="AI903" s="1479">
        <f t="shared" si="321"/>
        <v>94448824</v>
      </c>
      <c r="AJ903" s="1401">
        <f t="shared" si="327"/>
        <v>94448824</v>
      </c>
    </row>
    <row r="904" spans="2:38" s="1472" customFormat="1" ht="33" customHeight="1" x14ac:dyDescent="0.2">
      <c r="C904" s="1478" t="s">
        <v>2306</v>
      </c>
      <c r="D904" s="1576"/>
      <c r="E904" s="1429" t="s">
        <v>1555</v>
      </c>
      <c r="F904" s="1539"/>
      <c r="G904" s="1501" t="s">
        <v>2525</v>
      </c>
      <c r="H904" s="1429"/>
      <c r="I904" s="1501"/>
      <c r="J904" s="1540"/>
      <c r="K904" s="1501"/>
      <c r="L904" s="1526"/>
      <c r="M904" s="1429" t="s">
        <v>3415</v>
      </c>
      <c r="N904" s="1501">
        <v>2015</v>
      </c>
      <c r="O904" s="1429"/>
      <c r="P904" s="1429"/>
      <c r="Q904" s="1429"/>
      <c r="R904" s="1501" t="s">
        <v>12</v>
      </c>
      <c r="S904" s="1539">
        <f>1383975000-9160000</f>
        <v>1374815000</v>
      </c>
      <c r="T904" s="1501"/>
      <c r="U904" s="1596"/>
      <c r="V904" s="1553"/>
      <c r="W904" s="1478" t="str">
        <f t="shared" si="329"/>
        <v>04.14.04</v>
      </c>
      <c r="X904" s="1478" t="str">
        <f t="shared" si="322"/>
        <v>Bangunan Pengaman Sungai dan Penanggulangan Bencana Alam</v>
      </c>
      <c r="Y904" s="1478">
        <f t="shared" si="323"/>
        <v>10</v>
      </c>
      <c r="Z904" s="1401">
        <f t="shared" si="324"/>
        <v>137481500</v>
      </c>
      <c r="AA904" s="1444">
        <f t="shared" si="325"/>
        <v>0</v>
      </c>
      <c r="AB904" s="1401">
        <f t="shared" si="326"/>
        <v>0</v>
      </c>
      <c r="AC904" s="1401">
        <v>0</v>
      </c>
      <c r="AD904" s="1401">
        <f t="shared" si="337"/>
        <v>137481500</v>
      </c>
      <c r="AE904" s="1401">
        <f t="shared" si="338"/>
        <v>137481500</v>
      </c>
      <c r="AF904" s="1401">
        <f t="shared" si="339"/>
        <v>137481500</v>
      </c>
      <c r="AG904" s="1479">
        <f t="shared" si="340"/>
        <v>137481500</v>
      </c>
      <c r="AH904" s="1479">
        <f t="shared" si="320"/>
        <v>137481500</v>
      </c>
      <c r="AI904" s="1479">
        <f t="shared" si="321"/>
        <v>687407500</v>
      </c>
      <c r="AJ904" s="1401">
        <f t="shared" si="327"/>
        <v>687407500</v>
      </c>
    </row>
    <row r="905" spans="2:38" s="1472" customFormat="1" ht="33" customHeight="1" x14ac:dyDescent="0.2">
      <c r="C905" s="1478" t="s">
        <v>2306</v>
      </c>
      <c r="D905" s="1576"/>
      <c r="E905" s="1429" t="s">
        <v>1556</v>
      </c>
      <c r="F905" s="1539"/>
      <c r="G905" s="1501" t="s">
        <v>2525</v>
      </c>
      <c r="H905" s="1429"/>
      <c r="I905" s="1501"/>
      <c r="J905" s="1540"/>
      <c r="K905" s="1501"/>
      <c r="L905" s="1526"/>
      <c r="M905" s="1429" t="s">
        <v>3441</v>
      </c>
      <c r="N905" s="1501">
        <v>2015</v>
      </c>
      <c r="O905" s="1429"/>
      <c r="P905" s="1429"/>
      <c r="Q905" s="1429"/>
      <c r="R905" s="1501" t="s">
        <v>12</v>
      </c>
      <c r="S905" s="1539">
        <f>1022650000-9160000</f>
        <v>1013490000</v>
      </c>
      <c r="T905" s="1501"/>
      <c r="U905" s="1596"/>
      <c r="V905" s="1553"/>
      <c r="W905" s="1478" t="str">
        <f t="shared" si="329"/>
        <v>04.14.04</v>
      </c>
      <c r="X905" s="1478" t="str">
        <f t="shared" si="322"/>
        <v>Bangunan Pengaman Sungai dan Penanggulangan Bencana Alam</v>
      </c>
      <c r="Y905" s="1478">
        <f t="shared" si="323"/>
        <v>10</v>
      </c>
      <c r="Z905" s="1401">
        <f t="shared" si="324"/>
        <v>101349000</v>
      </c>
      <c r="AA905" s="1444">
        <f t="shared" si="325"/>
        <v>0</v>
      </c>
      <c r="AB905" s="1401">
        <f t="shared" si="326"/>
        <v>0</v>
      </c>
      <c r="AC905" s="1401">
        <v>0</v>
      </c>
      <c r="AD905" s="1401">
        <f t="shared" si="337"/>
        <v>101349000</v>
      </c>
      <c r="AE905" s="1401">
        <f t="shared" si="338"/>
        <v>101349000</v>
      </c>
      <c r="AF905" s="1401">
        <f t="shared" si="339"/>
        <v>101349000</v>
      </c>
      <c r="AG905" s="1479">
        <f t="shared" si="340"/>
        <v>101349000</v>
      </c>
      <c r="AH905" s="1479">
        <f t="shared" si="320"/>
        <v>101349000</v>
      </c>
      <c r="AI905" s="1479">
        <f t="shared" si="321"/>
        <v>506745000</v>
      </c>
      <c r="AJ905" s="1401">
        <f t="shared" si="327"/>
        <v>506745000</v>
      </c>
      <c r="AL905" s="1554">
        <f t="shared" ref="AL905:AL916" si="341">SUM(AB905:AG905)</f>
        <v>405396000</v>
      </c>
    </row>
    <row r="906" spans="2:38" s="1472" customFormat="1" ht="33" customHeight="1" x14ac:dyDescent="0.2">
      <c r="C906" s="1478" t="s">
        <v>2306</v>
      </c>
      <c r="D906" s="1576"/>
      <c r="E906" s="1429" t="s">
        <v>1557</v>
      </c>
      <c r="F906" s="1539"/>
      <c r="G906" s="1501" t="s">
        <v>2551</v>
      </c>
      <c r="H906" s="1429"/>
      <c r="I906" s="1501"/>
      <c r="J906" s="1540"/>
      <c r="K906" s="1501"/>
      <c r="L906" s="1526"/>
      <c r="M906" s="1429" t="s">
        <v>3452</v>
      </c>
      <c r="N906" s="1501">
        <v>2015</v>
      </c>
      <c r="O906" s="1429"/>
      <c r="P906" s="1429"/>
      <c r="Q906" s="1429"/>
      <c r="R906" s="1501" t="s">
        <v>12</v>
      </c>
      <c r="S906" s="1539">
        <f>191800000-9160000</f>
        <v>182640000</v>
      </c>
      <c r="T906" s="1501"/>
      <c r="U906" s="1596"/>
      <c r="V906" s="1553"/>
      <c r="W906" s="1478" t="str">
        <f t="shared" si="329"/>
        <v>04.14.04</v>
      </c>
      <c r="X906" s="1478" t="str">
        <f t="shared" si="322"/>
        <v>Bangunan Pengaman Sungai dan Penanggulangan Bencana Alam</v>
      </c>
      <c r="Y906" s="1478">
        <f t="shared" si="323"/>
        <v>10</v>
      </c>
      <c r="Z906" s="1401">
        <f t="shared" si="324"/>
        <v>18264000</v>
      </c>
      <c r="AA906" s="1444">
        <f t="shared" si="325"/>
        <v>0</v>
      </c>
      <c r="AB906" s="1401">
        <f t="shared" si="326"/>
        <v>0</v>
      </c>
      <c r="AC906" s="1401">
        <v>0</v>
      </c>
      <c r="AD906" s="1401">
        <f t="shared" si="337"/>
        <v>18264000</v>
      </c>
      <c r="AE906" s="1401">
        <f t="shared" si="338"/>
        <v>18264000</v>
      </c>
      <c r="AF906" s="1401">
        <f t="shared" si="339"/>
        <v>18264000</v>
      </c>
      <c r="AG906" s="1479">
        <f t="shared" si="340"/>
        <v>18264000</v>
      </c>
      <c r="AH906" s="1479">
        <f t="shared" si="320"/>
        <v>18264000</v>
      </c>
      <c r="AI906" s="1479">
        <f t="shared" si="321"/>
        <v>91320000</v>
      </c>
      <c r="AJ906" s="1401">
        <f t="shared" si="327"/>
        <v>91320000</v>
      </c>
      <c r="AL906" s="1554">
        <f t="shared" si="341"/>
        <v>73056000</v>
      </c>
    </row>
    <row r="907" spans="2:38" s="1472" customFormat="1" ht="33" customHeight="1" x14ac:dyDescent="0.2">
      <c r="C907" s="1478" t="s">
        <v>2306</v>
      </c>
      <c r="D907" s="1576"/>
      <c r="E907" s="1429" t="s">
        <v>1558</v>
      </c>
      <c r="F907" s="1539"/>
      <c r="G907" s="1501" t="s">
        <v>2525</v>
      </c>
      <c r="H907" s="1429"/>
      <c r="I907" s="1501"/>
      <c r="J907" s="1540"/>
      <c r="K907" s="1501"/>
      <c r="L907" s="1526"/>
      <c r="M907" s="1429" t="s">
        <v>3453</v>
      </c>
      <c r="N907" s="1501">
        <v>2015</v>
      </c>
      <c r="O907" s="1429"/>
      <c r="P907" s="1429"/>
      <c r="Q907" s="1429"/>
      <c r="R907" s="1501" t="s">
        <v>12</v>
      </c>
      <c r="S907" s="1539">
        <f>190950000-9160000</f>
        <v>181790000</v>
      </c>
      <c r="T907" s="1501"/>
      <c r="U907" s="1596"/>
      <c r="V907" s="1553"/>
      <c r="W907" s="1478" t="str">
        <f t="shared" si="329"/>
        <v>04.14.04</v>
      </c>
      <c r="X907" s="1478" t="str">
        <f t="shared" si="322"/>
        <v>Bangunan Pengaman Sungai dan Penanggulangan Bencana Alam</v>
      </c>
      <c r="Y907" s="1478">
        <f t="shared" si="323"/>
        <v>10</v>
      </c>
      <c r="Z907" s="1401">
        <f t="shared" si="324"/>
        <v>18179000</v>
      </c>
      <c r="AA907" s="1444">
        <f t="shared" si="325"/>
        <v>0</v>
      </c>
      <c r="AB907" s="1401">
        <f t="shared" si="326"/>
        <v>0</v>
      </c>
      <c r="AC907" s="1401">
        <v>0</v>
      </c>
      <c r="AD907" s="1401">
        <f t="shared" si="337"/>
        <v>18179000</v>
      </c>
      <c r="AE907" s="1401">
        <f t="shared" si="338"/>
        <v>18179000</v>
      </c>
      <c r="AF907" s="1401">
        <f t="shared" si="339"/>
        <v>18179000</v>
      </c>
      <c r="AG907" s="1479">
        <f t="shared" si="340"/>
        <v>18179000</v>
      </c>
      <c r="AH907" s="1479">
        <f t="shared" si="320"/>
        <v>18179000</v>
      </c>
      <c r="AI907" s="1479">
        <f t="shared" si="321"/>
        <v>90895000</v>
      </c>
      <c r="AJ907" s="1401">
        <f t="shared" si="327"/>
        <v>90895000</v>
      </c>
      <c r="AL907" s="1554">
        <f t="shared" si="341"/>
        <v>72716000</v>
      </c>
    </row>
    <row r="908" spans="2:38" s="1472" customFormat="1" ht="33" customHeight="1" x14ac:dyDescent="0.2">
      <c r="B908" s="1507"/>
      <c r="C908" s="1478" t="s">
        <v>2306</v>
      </c>
      <c r="D908" s="1576"/>
      <c r="E908" s="1429" t="s">
        <v>3351</v>
      </c>
      <c r="F908" s="1539"/>
      <c r="G908" s="1501" t="s">
        <v>2551</v>
      </c>
      <c r="H908" s="1429"/>
      <c r="I908" s="1501"/>
      <c r="J908" s="1540"/>
      <c r="K908" s="1501"/>
      <c r="L908" s="1526"/>
      <c r="M908" s="1429" t="s">
        <v>3454</v>
      </c>
      <c r="N908" s="1501">
        <v>2015</v>
      </c>
      <c r="O908" s="1429"/>
      <c r="P908" s="1429"/>
      <c r="Q908" s="1429"/>
      <c r="R908" s="1501" t="s">
        <v>12</v>
      </c>
      <c r="S908" s="1539">
        <f>190115000-9160000</f>
        <v>180955000</v>
      </c>
      <c r="T908" s="1501"/>
      <c r="U908" s="1596"/>
      <c r="V908" s="1553"/>
      <c r="W908" s="1478" t="str">
        <f t="shared" si="329"/>
        <v>04.14.04</v>
      </c>
      <c r="X908" s="1478" t="str">
        <f t="shared" si="322"/>
        <v>Bangunan Pengaman Sungai dan Penanggulangan Bencana Alam</v>
      </c>
      <c r="Y908" s="1478">
        <f t="shared" si="323"/>
        <v>10</v>
      </c>
      <c r="Z908" s="1401">
        <f t="shared" si="324"/>
        <v>18095500</v>
      </c>
      <c r="AA908" s="1444">
        <f t="shared" si="325"/>
        <v>0</v>
      </c>
      <c r="AB908" s="1479">
        <f>SUMIF(PERHITUNGAN!A:A,'KIB D'!B908&amp;'KIB D'!$AB$7,PERHITUNGAN!U:U)</f>
        <v>0</v>
      </c>
      <c r="AC908" s="1479">
        <f>SUMIF(PERHITUNGAN!A:A,'KIB D'!B908&amp;'KIB D'!$AC$7,PERHITUNGAN!U:U)</f>
        <v>0</v>
      </c>
      <c r="AD908" s="1401">
        <f t="shared" si="337"/>
        <v>18095500</v>
      </c>
      <c r="AE908" s="1401">
        <f t="shared" si="338"/>
        <v>18095500</v>
      </c>
      <c r="AF908" s="1401">
        <f t="shared" si="339"/>
        <v>18095500</v>
      </c>
      <c r="AG908" s="1479">
        <f t="shared" si="340"/>
        <v>18095500</v>
      </c>
      <c r="AH908" s="1479">
        <f t="shared" si="320"/>
        <v>18095500</v>
      </c>
      <c r="AI908" s="1479">
        <f>SUM(AB908:AH908)</f>
        <v>90477500</v>
      </c>
      <c r="AJ908" s="1401">
        <f t="shared" si="327"/>
        <v>90477500</v>
      </c>
      <c r="AL908" s="1554">
        <f t="shared" si="341"/>
        <v>72382000</v>
      </c>
    </row>
    <row r="909" spans="2:38" s="1488" customFormat="1" ht="33" customHeight="1" x14ac:dyDescent="0.2">
      <c r="C909" s="1478" t="s">
        <v>2306</v>
      </c>
      <c r="D909" s="1597"/>
      <c r="E909" s="1429" t="s">
        <v>1560</v>
      </c>
      <c r="F909" s="1539"/>
      <c r="G909" s="1501" t="s">
        <v>2551</v>
      </c>
      <c r="H909" s="1429"/>
      <c r="I909" s="1501"/>
      <c r="J909" s="1540"/>
      <c r="K909" s="1501"/>
      <c r="L909" s="1526"/>
      <c r="M909" s="1429" t="s">
        <v>3455</v>
      </c>
      <c r="N909" s="1501">
        <v>2015</v>
      </c>
      <c r="O909" s="1429"/>
      <c r="P909" s="1429"/>
      <c r="Q909" s="1429"/>
      <c r="R909" s="1501" t="s">
        <v>12</v>
      </c>
      <c r="S909" s="1539">
        <f>191500000-9160000</f>
        <v>182340000</v>
      </c>
      <c r="T909" s="1501"/>
      <c r="U909" s="1596"/>
      <c r="V909" s="1553"/>
      <c r="W909" s="1478" t="str">
        <f t="shared" si="329"/>
        <v>04.14.04</v>
      </c>
      <c r="X909" s="1478" t="str">
        <f t="shared" si="322"/>
        <v>Bangunan Pengaman Sungai dan Penanggulangan Bencana Alam</v>
      </c>
      <c r="Y909" s="1478">
        <f t="shared" si="323"/>
        <v>10</v>
      </c>
      <c r="Z909" s="1401">
        <f t="shared" si="324"/>
        <v>18234000</v>
      </c>
      <c r="AA909" s="1444">
        <f t="shared" si="325"/>
        <v>0</v>
      </c>
      <c r="AB909" s="1401">
        <f t="shared" si="326"/>
        <v>0</v>
      </c>
      <c r="AC909" s="1401">
        <v>0</v>
      </c>
      <c r="AD909" s="1401">
        <f t="shared" si="337"/>
        <v>18234000</v>
      </c>
      <c r="AE909" s="1401">
        <f t="shared" si="338"/>
        <v>18234000</v>
      </c>
      <c r="AF909" s="1401">
        <f t="shared" si="339"/>
        <v>18234000</v>
      </c>
      <c r="AG909" s="1479">
        <f t="shared" si="340"/>
        <v>18234000</v>
      </c>
      <c r="AH909" s="1479">
        <f t="shared" si="320"/>
        <v>18234000</v>
      </c>
      <c r="AI909" s="1479">
        <f t="shared" si="321"/>
        <v>91170000</v>
      </c>
      <c r="AJ909" s="1401">
        <f t="shared" si="327"/>
        <v>91170000</v>
      </c>
      <c r="AL909" s="1554">
        <f t="shared" si="341"/>
        <v>72936000</v>
      </c>
    </row>
    <row r="910" spans="2:38" s="1472" customFormat="1" ht="33" customHeight="1" x14ac:dyDescent="0.2">
      <c r="C910" s="1478" t="s">
        <v>2306</v>
      </c>
      <c r="D910" s="1576"/>
      <c r="E910" s="1429" t="s">
        <v>1561</v>
      </c>
      <c r="F910" s="1539"/>
      <c r="G910" s="1501" t="s">
        <v>2551</v>
      </c>
      <c r="H910" s="1429"/>
      <c r="I910" s="1501"/>
      <c r="J910" s="1540"/>
      <c r="K910" s="1501"/>
      <c r="L910" s="1526"/>
      <c r="M910" s="1429" t="s">
        <v>3456</v>
      </c>
      <c r="N910" s="1501">
        <v>2015</v>
      </c>
      <c r="O910" s="1429"/>
      <c r="P910" s="1429"/>
      <c r="Q910" s="1429"/>
      <c r="R910" s="1501" t="s">
        <v>12</v>
      </c>
      <c r="S910" s="1539">
        <f>191300000-9160000</f>
        <v>182140000</v>
      </c>
      <c r="T910" s="1501"/>
      <c r="U910" s="1596"/>
      <c r="V910" s="1553"/>
      <c r="W910" s="1478" t="str">
        <f t="shared" si="329"/>
        <v>04.14.04</v>
      </c>
      <c r="X910" s="1478" t="str">
        <f t="shared" si="322"/>
        <v>Bangunan Pengaman Sungai dan Penanggulangan Bencana Alam</v>
      </c>
      <c r="Y910" s="1478">
        <f t="shared" si="323"/>
        <v>10</v>
      </c>
      <c r="Z910" s="1401">
        <f t="shared" si="324"/>
        <v>18214000</v>
      </c>
      <c r="AA910" s="1444">
        <f t="shared" si="325"/>
        <v>0</v>
      </c>
      <c r="AB910" s="1401">
        <f t="shared" si="326"/>
        <v>0</v>
      </c>
      <c r="AC910" s="1401">
        <v>0</v>
      </c>
      <c r="AD910" s="1401">
        <f t="shared" si="337"/>
        <v>18214000</v>
      </c>
      <c r="AE910" s="1401">
        <f t="shared" si="338"/>
        <v>18214000</v>
      </c>
      <c r="AF910" s="1401">
        <f t="shared" si="339"/>
        <v>18214000</v>
      </c>
      <c r="AG910" s="1479">
        <f t="shared" si="340"/>
        <v>18214000</v>
      </c>
      <c r="AH910" s="1479">
        <f t="shared" si="320"/>
        <v>18214000</v>
      </c>
      <c r="AI910" s="1479">
        <f t="shared" si="321"/>
        <v>91070000</v>
      </c>
      <c r="AJ910" s="1401">
        <f t="shared" si="327"/>
        <v>91070000</v>
      </c>
      <c r="AL910" s="1554">
        <f t="shared" si="341"/>
        <v>72856000</v>
      </c>
    </row>
    <row r="911" spans="2:38" s="1472" customFormat="1" ht="33" customHeight="1" x14ac:dyDescent="0.2">
      <c r="C911" s="1478" t="s">
        <v>2306</v>
      </c>
      <c r="D911" s="1576"/>
      <c r="E911" s="1429" t="s">
        <v>1562</v>
      </c>
      <c r="F911" s="1539"/>
      <c r="G911" s="1501" t="s">
        <v>2525</v>
      </c>
      <c r="H911" s="1429"/>
      <c r="I911" s="1501"/>
      <c r="J911" s="1540"/>
      <c r="K911" s="1501"/>
      <c r="L911" s="1526"/>
      <c r="M911" s="1429" t="s">
        <v>2589</v>
      </c>
      <c r="N911" s="1501">
        <v>2015</v>
      </c>
      <c r="O911" s="1429"/>
      <c r="P911" s="1429"/>
      <c r="Q911" s="1429"/>
      <c r="R911" s="1501" t="s">
        <v>12</v>
      </c>
      <c r="S911" s="1539">
        <f>190464000-9160000</f>
        <v>181304000</v>
      </c>
      <c r="T911" s="1501"/>
      <c r="U911" s="1596"/>
      <c r="V911" s="1553"/>
      <c r="W911" s="1478" t="str">
        <f t="shared" si="329"/>
        <v>04.14.04</v>
      </c>
      <c r="X911" s="1478" t="str">
        <f t="shared" si="322"/>
        <v>Bangunan Pengaman Sungai dan Penanggulangan Bencana Alam</v>
      </c>
      <c r="Y911" s="1478">
        <f t="shared" si="323"/>
        <v>10</v>
      </c>
      <c r="Z911" s="1401">
        <f t="shared" si="324"/>
        <v>18130400</v>
      </c>
      <c r="AA911" s="1444">
        <f t="shared" si="325"/>
        <v>0</v>
      </c>
      <c r="AB911" s="1401">
        <f t="shared" si="326"/>
        <v>0</v>
      </c>
      <c r="AC911" s="1401">
        <v>0</v>
      </c>
      <c r="AD911" s="1401">
        <f t="shared" si="337"/>
        <v>18130400</v>
      </c>
      <c r="AE911" s="1401">
        <f t="shared" si="338"/>
        <v>18130400</v>
      </c>
      <c r="AF911" s="1401">
        <f t="shared" si="339"/>
        <v>18130400</v>
      </c>
      <c r="AG911" s="1479">
        <f t="shared" si="340"/>
        <v>18130400</v>
      </c>
      <c r="AH911" s="1479">
        <f t="shared" si="320"/>
        <v>18130400</v>
      </c>
      <c r="AI911" s="1479">
        <f t="shared" si="321"/>
        <v>90652000</v>
      </c>
      <c r="AJ911" s="1401">
        <f t="shared" si="327"/>
        <v>90652000</v>
      </c>
      <c r="AL911" s="1554">
        <f t="shared" si="341"/>
        <v>72521600</v>
      </c>
    </row>
    <row r="912" spans="2:38" s="1488" customFormat="1" ht="33" customHeight="1" x14ac:dyDescent="0.2">
      <c r="C912" s="1478" t="s">
        <v>2306</v>
      </c>
      <c r="D912" s="1597"/>
      <c r="E912" s="1429" t="s">
        <v>1563</v>
      </c>
      <c r="F912" s="1539"/>
      <c r="G912" s="1501" t="s">
        <v>2525</v>
      </c>
      <c r="H912" s="1429"/>
      <c r="I912" s="1501"/>
      <c r="J912" s="1540"/>
      <c r="K912" s="1501"/>
      <c r="L912" s="1526"/>
      <c r="M912" s="1429" t="s">
        <v>3458</v>
      </c>
      <c r="N912" s="1501">
        <v>2015</v>
      </c>
      <c r="O912" s="1429"/>
      <c r="P912" s="1429"/>
      <c r="Q912" s="1429"/>
      <c r="R912" s="1501" t="s">
        <v>12</v>
      </c>
      <c r="S912" s="1539">
        <f>191684000-9160000</f>
        <v>182524000</v>
      </c>
      <c r="T912" s="1501"/>
      <c r="U912" s="1596"/>
      <c r="V912" s="1553"/>
      <c r="W912" s="1478" t="str">
        <f t="shared" si="329"/>
        <v>04.14.04</v>
      </c>
      <c r="X912" s="1478" t="str">
        <f t="shared" si="322"/>
        <v>Bangunan Pengaman Sungai dan Penanggulangan Bencana Alam</v>
      </c>
      <c r="Y912" s="1478">
        <f t="shared" si="323"/>
        <v>10</v>
      </c>
      <c r="Z912" s="1401">
        <f t="shared" si="324"/>
        <v>18252400</v>
      </c>
      <c r="AA912" s="1444">
        <f t="shared" si="325"/>
        <v>0</v>
      </c>
      <c r="AB912" s="1401">
        <f t="shared" si="326"/>
        <v>0</v>
      </c>
      <c r="AC912" s="1401">
        <v>0</v>
      </c>
      <c r="AD912" s="1401">
        <f t="shared" si="337"/>
        <v>18252400</v>
      </c>
      <c r="AE912" s="1401">
        <f t="shared" si="338"/>
        <v>18252400</v>
      </c>
      <c r="AF912" s="1401">
        <f t="shared" si="339"/>
        <v>18252400</v>
      </c>
      <c r="AG912" s="1479">
        <f t="shared" si="340"/>
        <v>18252400</v>
      </c>
      <c r="AH912" s="1479">
        <f t="shared" si="320"/>
        <v>18252400</v>
      </c>
      <c r="AI912" s="1479">
        <f t="shared" si="321"/>
        <v>91262000</v>
      </c>
      <c r="AJ912" s="1401">
        <f t="shared" si="327"/>
        <v>91262000</v>
      </c>
      <c r="AL912" s="1554">
        <f t="shared" si="341"/>
        <v>73009600</v>
      </c>
    </row>
    <row r="913" spans="3:38" s="1472" customFormat="1" ht="33" customHeight="1" x14ac:dyDescent="0.2">
      <c r="C913" s="1478" t="s">
        <v>2306</v>
      </c>
      <c r="D913" s="1576"/>
      <c r="E913" s="1429" t="s">
        <v>1564</v>
      </c>
      <c r="F913" s="1539"/>
      <c r="G913" s="1501" t="s">
        <v>2551</v>
      </c>
      <c r="H913" s="1429"/>
      <c r="I913" s="1501"/>
      <c r="J913" s="1540"/>
      <c r="K913" s="1501"/>
      <c r="L913" s="1526"/>
      <c r="M913" s="1429" t="s">
        <v>3459</v>
      </c>
      <c r="N913" s="1501">
        <v>2015</v>
      </c>
      <c r="O913" s="1429"/>
      <c r="P913" s="1429"/>
      <c r="Q913" s="1429"/>
      <c r="R913" s="1501" t="s">
        <v>12</v>
      </c>
      <c r="S913" s="1539">
        <f>192092000-9160000</f>
        <v>182932000</v>
      </c>
      <c r="T913" s="1501"/>
      <c r="U913" s="1596"/>
      <c r="V913" s="1553"/>
      <c r="W913" s="1478" t="str">
        <f t="shared" si="329"/>
        <v>04.14.04</v>
      </c>
      <c r="X913" s="1478" t="str">
        <f t="shared" si="322"/>
        <v>Bangunan Pengaman Sungai dan Penanggulangan Bencana Alam</v>
      </c>
      <c r="Y913" s="1478">
        <f t="shared" si="323"/>
        <v>10</v>
      </c>
      <c r="Z913" s="1401">
        <f t="shared" si="324"/>
        <v>18293200</v>
      </c>
      <c r="AA913" s="1444">
        <f t="shared" si="325"/>
        <v>0</v>
      </c>
      <c r="AB913" s="1401">
        <f t="shared" si="326"/>
        <v>0</v>
      </c>
      <c r="AC913" s="1401">
        <v>0</v>
      </c>
      <c r="AD913" s="1401">
        <f t="shared" si="337"/>
        <v>18293200</v>
      </c>
      <c r="AE913" s="1401">
        <f t="shared" si="338"/>
        <v>18293200</v>
      </c>
      <c r="AF913" s="1401">
        <f t="shared" si="339"/>
        <v>18293200</v>
      </c>
      <c r="AG913" s="1479">
        <f t="shared" si="340"/>
        <v>18293200</v>
      </c>
      <c r="AH913" s="1479">
        <f t="shared" ref="AH913:AH918" si="342">IF(S913=AC913+AD913+AE913+AB913+AF913+AG913,0,Z913)</f>
        <v>18293200</v>
      </c>
      <c r="AI913" s="1479">
        <f t="shared" ref="AI913:AI918" si="343">SUM(AB913:AH913)</f>
        <v>91466000</v>
      </c>
      <c r="AJ913" s="1401">
        <f t="shared" si="327"/>
        <v>91466000</v>
      </c>
      <c r="AL913" s="1554">
        <f t="shared" si="341"/>
        <v>73172800</v>
      </c>
    </row>
    <row r="914" spans="3:38" s="1472" customFormat="1" ht="33" customHeight="1" x14ac:dyDescent="0.2">
      <c r="C914" s="1478" t="s">
        <v>2306</v>
      </c>
      <c r="D914" s="1576"/>
      <c r="E914" s="1429" t="s">
        <v>1565</v>
      </c>
      <c r="F914" s="1539"/>
      <c r="G914" s="1501" t="s">
        <v>2525</v>
      </c>
      <c r="H914" s="1429"/>
      <c r="I914" s="1501"/>
      <c r="J914" s="1540"/>
      <c r="K914" s="1501"/>
      <c r="L914" s="1526"/>
      <c r="M914" s="1429" t="s">
        <v>3460</v>
      </c>
      <c r="N914" s="1501">
        <v>2015</v>
      </c>
      <c r="O914" s="1429"/>
      <c r="P914" s="1429"/>
      <c r="Q914" s="1429"/>
      <c r="R914" s="1501" t="s">
        <v>12</v>
      </c>
      <c r="S914" s="1539">
        <f>190122000-9160000</f>
        <v>180962000</v>
      </c>
      <c r="T914" s="1501"/>
      <c r="U914" s="1596"/>
      <c r="V914" s="1553"/>
      <c r="W914" s="1478" t="str">
        <f t="shared" si="329"/>
        <v>04.14.04</v>
      </c>
      <c r="X914" s="1478" t="str">
        <f t="shared" si="322"/>
        <v>Bangunan Pengaman Sungai dan Penanggulangan Bencana Alam</v>
      </c>
      <c r="Y914" s="1478">
        <f t="shared" si="323"/>
        <v>10</v>
      </c>
      <c r="Z914" s="1401">
        <f t="shared" si="324"/>
        <v>18096200</v>
      </c>
      <c r="AA914" s="1444">
        <f t="shared" si="325"/>
        <v>0</v>
      </c>
      <c r="AB914" s="1401">
        <f t="shared" si="326"/>
        <v>0</v>
      </c>
      <c r="AC914" s="1401">
        <v>0</v>
      </c>
      <c r="AD914" s="1401">
        <f t="shared" si="337"/>
        <v>18096200</v>
      </c>
      <c r="AE914" s="1401">
        <f t="shared" si="338"/>
        <v>18096200</v>
      </c>
      <c r="AF914" s="1401">
        <f t="shared" si="339"/>
        <v>18096200</v>
      </c>
      <c r="AG914" s="1479">
        <f t="shared" si="340"/>
        <v>18096200</v>
      </c>
      <c r="AH914" s="1479">
        <f t="shared" si="342"/>
        <v>18096200</v>
      </c>
      <c r="AI914" s="1479">
        <f t="shared" si="343"/>
        <v>90481000</v>
      </c>
      <c r="AJ914" s="1401">
        <f t="shared" si="327"/>
        <v>90481000</v>
      </c>
      <c r="AL914" s="1554">
        <f t="shared" si="341"/>
        <v>72384800</v>
      </c>
    </row>
    <row r="915" spans="3:38" s="1472" customFormat="1" ht="33" customHeight="1" x14ac:dyDescent="0.2">
      <c r="C915" s="1478" t="s">
        <v>2306</v>
      </c>
      <c r="D915" s="1576"/>
      <c r="E915" s="1429" t="s">
        <v>1566</v>
      </c>
      <c r="F915" s="1539"/>
      <c r="G915" s="1501" t="s">
        <v>2525</v>
      </c>
      <c r="H915" s="1429"/>
      <c r="I915" s="1501"/>
      <c r="J915" s="1540"/>
      <c r="K915" s="1501"/>
      <c r="L915" s="1526"/>
      <c r="M915" s="1429" t="s">
        <v>3461</v>
      </c>
      <c r="N915" s="1501">
        <v>2015</v>
      </c>
      <c r="O915" s="1429"/>
      <c r="P915" s="1429"/>
      <c r="Q915" s="1429"/>
      <c r="R915" s="1501" t="s">
        <v>12</v>
      </c>
      <c r="S915" s="1539">
        <f>190121000-9160000</f>
        <v>180961000</v>
      </c>
      <c r="T915" s="1501"/>
      <c r="U915" s="1596"/>
      <c r="V915" s="1553"/>
      <c r="W915" s="1478" t="str">
        <f t="shared" si="329"/>
        <v>04.14.04</v>
      </c>
      <c r="X915" s="1478" t="str">
        <f t="shared" si="322"/>
        <v>Bangunan Pengaman Sungai dan Penanggulangan Bencana Alam</v>
      </c>
      <c r="Y915" s="1478">
        <f t="shared" si="323"/>
        <v>10</v>
      </c>
      <c r="Z915" s="1401">
        <f t="shared" si="324"/>
        <v>18096100</v>
      </c>
      <c r="AA915" s="1444">
        <f t="shared" si="325"/>
        <v>0</v>
      </c>
      <c r="AB915" s="1401">
        <f t="shared" si="326"/>
        <v>0</v>
      </c>
      <c r="AC915" s="1401">
        <v>0</v>
      </c>
      <c r="AD915" s="1401">
        <f t="shared" si="337"/>
        <v>18096100</v>
      </c>
      <c r="AE915" s="1401">
        <f t="shared" si="338"/>
        <v>18096100</v>
      </c>
      <c r="AF915" s="1401">
        <f t="shared" si="339"/>
        <v>18096100</v>
      </c>
      <c r="AG915" s="1479">
        <f t="shared" si="340"/>
        <v>18096100</v>
      </c>
      <c r="AH915" s="1479">
        <f t="shared" si="342"/>
        <v>18096100</v>
      </c>
      <c r="AI915" s="1479">
        <f t="shared" si="343"/>
        <v>90480500</v>
      </c>
      <c r="AJ915" s="1401">
        <f t="shared" si="327"/>
        <v>90480500</v>
      </c>
      <c r="AL915" s="1554">
        <f t="shared" si="341"/>
        <v>72384400</v>
      </c>
    </row>
    <row r="916" spans="3:38" s="1472" customFormat="1" ht="33" customHeight="1" x14ac:dyDescent="0.2">
      <c r="C916" s="1478" t="s">
        <v>2306</v>
      </c>
      <c r="D916" s="1576"/>
      <c r="E916" s="1429" t="s">
        <v>1567</v>
      </c>
      <c r="F916" s="1539"/>
      <c r="G916" s="1501" t="s">
        <v>2525</v>
      </c>
      <c r="H916" s="1429"/>
      <c r="I916" s="1501"/>
      <c r="J916" s="1540"/>
      <c r="K916" s="1501"/>
      <c r="L916" s="1526"/>
      <c r="M916" s="1429" t="s">
        <v>3385</v>
      </c>
      <c r="N916" s="1501">
        <v>2015</v>
      </c>
      <c r="O916" s="1429"/>
      <c r="P916" s="1429"/>
      <c r="Q916" s="1429"/>
      <c r="R916" s="1501" t="s">
        <v>12</v>
      </c>
      <c r="S916" s="1539">
        <f>190750000-9160000</f>
        <v>181590000</v>
      </c>
      <c r="T916" s="1501"/>
      <c r="U916" s="1596"/>
      <c r="V916" s="1553"/>
      <c r="W916" s="1478" t="str">
        <f t="shared" si="329"/>
        <v>04.14.04</v>
      </c>
      <c r="X916" s="1478" t="str">
        <f t="shared" si="322"/>
        <v>Bangunan Pengaman Sungai dan Penanggulangan Bencana Alam</v>
      </c>
      <c r="Y916" s="1478">
        <f t="shared" si="323"/>
        <v>10</v>
      </c>
      <c r="Z916" s="1401">
        <f t="shared" si="324"/>
        <v>18159000</v>
      </c>
      <c r="AA916" s="1444">
        <f t="shared" si="325"/>
        <v>0</v>
      </c>
      <c r="AB916" s="1401">
        <f t="shared" si="326"/>
        <v>0</v>
      </c>
      <c r="AC916" s="1401">
        <v>0</v>
      </c>
      <c r="AD916" s="1401">
        <f t="shared" si="337"/>
        <v>18159000</v>
      </c>
      <c r="AE916" s="1401">
        <f t="shared" si="338"/>
        <v>18159000</v>
      </c>
      <c r="AF916" s="1401">
        <f t="shared" si="339"/>
        <v>18159000</v>
      </c>
      <c r="AG916" s="1479">
        <f t="shared" si="340"/>
        <v>18159000</v>
      </c>
      <c r="AH916" s="1479">
        <f t="shared" si="342"/>
        <v>18159000</v>
      </c>
      <c r="AI916" s="1479">
        <f t="shared" si="343"/>
        <v>90795000</v>
      </c>
      <c r="AJ916" s="1401">
        <f t="shared" si="327"/>
        <v>90795000</v>
      </c>
      <c r="AL916" s="1554">
        <f t="shared" si="341"/>
        <v>72636000</v>
      </c>
    </row>
    <row r="917" spans="3:38" s="1472" customFormat="1" ht="33" customHeight="1" x14ac:dyDescent="0.2">
      <c r="C917" s="1478" t="s">
        <v>2306</v>
      </c>
      <c r="D917" s="1576"/>
      <c r="E917" s="1429" t="s">
        <v>1568</v>
      </c>
      <c r="F917" s="1539"/>
      <c r="G917" s="1501" t="s">
        <v>2525</v>
      </c>
      <c r="H917" s="1429"/>
      <c r="I917" s="1501"/>
      <c r="J917" s="1540"/>
      <c r="K917" s="1501"/>
      <c r="L917" s="1526"/>
      <c r="M917" s="1429" t="s">
        <v>3462</v>
      </c>
      <c r="N917" s="1501">
        <v>2015</v>
      </c>
      <c r="O917" s="1429"/>
      <c r="P917" s="1429"/>
      <c r="Q917" s="1429"/>
      <c r="R917" s="1501" t="s">
        <v>12</v>
      </c>
      <c r="S917" s="1539">
        <f>189305000-9160000</f>
        <v>180145000</v>
      </c>
      <c r="T917" s="1501"/>
      <c r="U917" s="1596"/>
      <c r="V917" s="1553"/>
      <c r="W917" s="1478" t="str">
        <f t="shared" si="329"/>
        <v>04.14.04</v>
      </c>
      <c r="X917" s="1478" t="str">
        <f t="shared" si="322"/>
        <v>Bangunan Pengaman Sungai dan Penanggulangan Bencana Alam</v>
      </c>
      <c r="Y917" s="1478">
        <f t="shared" si="323"/>
        <v>10</v>
      </c>
      <c r="Z917" s="1401">
        <f t="shared" si="324"/>
        <v>18014500</v>
      </c>
      <c r="AA917" s="1444">
        <f t="shared" si="325"/>
        <v>0</v>
      </c>
      <c r="AB917" s="1401">
        <f t="shared" si="326"/>
        <v>0</v>
      </c>
      <c r="AC917" s="1401">
        <v>0</v>
      </c>
      <c r="AD917" s="1401">
        <f t="shared" si="337"/>
        <v>18014500</v>
      </c>
      <c r="AE917" s="1401">
        <f t="shared" si="338"/>
        <v>18014500</v>
      </c>
      <c r="AF917" s="1401">
        <f t="shared" si="339"/>
        <v>18014500</v>
      </c>
      <c r="AG917" s="1479">
        <f t="shared" si="340"/>
        <v>18014500</v>
      </c>
      <c r="AH917" s="1479">
        <f t="shared" si="342"/>
        <v>18014500</v>
      </c>
      <c r="AI917" s="1479">
        <f t="shared" si="343"/>
        <v>90072500</v>
      </c>
      <c r="AJ917" s="1401">
        <f t="shared" si="327"/>
        <v>90072500</v>
      </c>
      <c r="AL917" s="1554">
        <f t="shared" ref="AL917:AL924" si="344">SUM(AB917:AG917)</f>
        <v>72058000</v>
      </c>
    </row>
    <row r="918" spans="3:38" s="1472" customFormat="1" ht="33" customHeight="1" x14ac:dyDescent="0.2">
      <c r="C918" s="1478" t="s">
        <v>2306</v>
      </c>
      <c r="D918" s="1576"/>
      <c r="E918" s="1429" t="s">
        <v>1569</v>
      </c>
      <c r="F918" s="1539"/>
      <c r="G918" s="1501" t="s">
        <v>2525</v>
      </c>
      <c r="H918" s="1429"/>
      <c r="I918" s="1501"/>
      <c r="J918" s="1540"/>
      <c r="K918" s="1501"/>
      <c r="L918" s="1526"/>
      <c r="M918" s="1429" t="s">
        <v>3463</v>
      </c>
      <c r="N918" s="1501">
        <v>2015</v>
      </c>
      <c r="O918" s="1429"/>
      <c r="P918" s="1429"/>
      <c r="Q918" s="1429"/>
      <c r="R918" s="1501" t="s">
        <v>12</v>
      </c>
      <c r="S918" s="1539">
        <f>190564000-9160000</f>
        <v>181404000</v>
      </c>
      <c r="T918" s="1501"/>
      <c r="U918" s="1596"/>
      <c r="V918" s="1553"/>
      <c r="W918" s="1478" t="str">
        <f t="shared" si="329"/>
        <v>04.14.04</v>
      </c>
      <c r="X918" s="1478" t="str">
        <f t="shared" si="322"/>
        <v>Bangunan Pengaman Sungai dan Penanggulangan Bencana Alam</v>
      </c>
      <c r="Y918" s="1478">
        <f t="shared" si="323"/>
        <v>10</v>
      </c>
      <c r="Z918" s="1401">
        <f t="shared" si="324"/>
        <v>18140400</v>
      </c>
      <c r="AA918" s="1444">
        <f t="shared" si="325"/>
        <v>0</v>
      </c>
      <c r="AB918" s="1401">
        <f t="shared" si="326"/>
        <v>0</v>
      </c>
      <c r="AC918" s="1401">
        <v>0</v>
      </c>
      <c r="AD918" s="1401">
        <f t="shared" si="337"/>
        <v>18140400</v>
      </c>
      <c r="AE918" s="1401">
        <f t="shared" si="338"/>
        <v>18140400</v>
      </c>
      <c r="AF918" s="1401">
        <f t="shared" si="339"/>
        <v>18140400</v>
      </c>
      <c r="AG918" s="1479">
        <f t="shared" si="340"/>
        <v>18140400</v>
      </c>
      <c r="AH918" s="1479">
        <f t="shared" si="342"/>
        <v>18140400</v>
      </c>
      <c r="AI918" s="1479">
        <f t="shared" si="343"/>
        <v>90702000</v>
      </c>
      <c r="AJ918" s="1401">
        <f t="shared" si="327"/>
        <v>90702000</v>
      </c>
      <c r="AL918" s="1554">
        <f t="shared" si="344"/>
        <v>72561600</v>
      </c>
    </row>
    <row r="919" spans="3:38" s="1472" customFormat="1" ht="33" customHeight="1" x14ac:dyDescent="0.2">
      <c r="C919" s="1478" t="s">
        <v>2306</v>
      </c>
      <c r="D919" s="1576"/>
      <c r="E919" s="1429" t="s">
        <v>5580</v>
      </c>
      <c r="F919" s="1539"/>
      <c r="G919" s="1501" t="s">
        <v>2551</v>
      </c>
      <c r="H919" s="1429"/>
      <c r="I919" s="1501"/>
      <c r="J919" s="1540"/>
      <c r="K919" s="1501"/>
      <c r="L919" s="1526"/>
      <c r="M919" s="1429" t="s">
        <v>3464</v>
      </c>
      <c r="N919" s="1501">
        <v>2015</v>
      </c>
      <c r="O919" s="1429"/>
      <c r="P919" s="1429"/>
      <c r="Q919" s="1429"/>
      <c r="R919" s="1501" t="s">
        <v>12</v>
      </c>
      <c r="S919" s="1539">
        <f>189931000-9160000</f>
        <v>180771000</v>
      </c>
      <c r="T919" s="1501"/>
      <c r="U919" s="1596"/>
      <c r="V919" s="1553"/>
      <c r="W919" s="1478" t="str">
        <f t="shared" si="329"/>
        <v>04.14.04</v>
      </c>
      <c r="X919" s="1478" t="str">
        <f t="shared" si="322"/>
        <v>Bangunan Pengaman Sungai dan Penanggulangan Bencana Alam</v>
      </c>
      <c r="Y919" s="1478">
        <f t="shared" si="323"/>
        <v>10</v>
      </c>
      <c r="Z919" s="1401">
        <f t="shared" si="324"/>
        <v>18077100</v>
      </c>
      <c r="AA919" s="1444">
        <f t="shared" si="325"/>
        <v>0</v>
      </c>
      <c r="AB919" s="1401">
        <f t="shared" si="326"/>
        <v>0</v>
      </c>
      <c r="AC919" s="1401">
        <v>0</v>
      </c>
      <c r="AD919" s="1401">
        <f>IF(S919=AB919+AC919,0,Z919)</f>
        <v>18077100</v>
      </c>
      <c r="AE919" s="1401">
        <f>IF(S919=AB919+AC919+AD919,0,Z919)</f>
        <v>18077100</v>
      </c>
      <c r="AF919" s="1401">
        <f>IF(S919=AC919+AD919+AE919+AB919,0,Z919)</f>
        <v>18077100</v>
      </c>
      <c r="AG919" s="1479">
        <f>IF(S919=AC919+AD919+AE919+AB919+AF919,0,Z919)</f>
        <v>18077100</v>
      </c>
      <c r="AH919" s="1479">
        <f>IF(S919=AC919+AD919+AE919+AB919+AF919+AG919,0,Z919)</f>
        <v>18077100</v>
      </c>
      <c r="AI919" s="1479">
        <f>SUM(AB919:AH919)</f>
        <v>90385500</v>
      </c>
      <c r="AJ919" s="1401">
        <f>S919-AI919</f>
        <v>90385500</v>
      </c>
      <c r="AL919" s="1554">
        <f t="shared" si="344"/>
        <v>72308400</v>
      </c>
    </row>
    <row r="920" spans="3:38" s="1472" customFormat="1" ht="33" customHeight="1" x14ac:dyDescent="0.2">
      <c r="C920" s="1478" t="s">
        <v>2306</v>
      </c>
      <c r="D920" s="1576"/>
      <c r="E920" s="1429" t="s">
        <v>1571</v>
      </c>
      <c r="F920" s="1539"/>
      <c r="G920" s="1501" t="s">
        <v>5752</v>
      </c>
      <c r="H920" s="1429"/>
      <c r="I920" s="1501"/>
      <c r="J920" s="1540"/>
      <c r="K920" s="1501"/>
      <c r="L920" s="1526"/>
      <c r="M920" s="1429" t="s">
        <v>2610</v>
      </c>
      <c r="N920" s="1501">
        <v>2015</v>
      </c>
      <c r="O920" s="1429"/>
      <c r="P920" s="1429"/>
      <c r="Q920" s="1429"/>
      <c r="R920" s="1501" t="s">
        <v>12</v>
      </c>
      <c r="S920" s="1539">
        <f>183200000-9160000</f>
        <v>174040000</v>
      </c>
      <c r="T920" s="1501"/>
      <c r="U920" s="1596"/>
      <c r="V920" s="1553"/>
      <c r="W920" s="1478" t="str">
        <f t="shared" si="329"/>
        <v>04.14.04</v>
      </c>
      <c r="X920" s="1478" t="str">
        <f t="shared" si="322"/>
        <v>Bangunan Pengaman Sungai dan Penanggulangan Bencana Alam</v>
      </c>
      <c r="Y920" s="1478">
        <f t="shared" si="323"/>
        <v>10</v>
      </c>
      <c r="Z920" s="1401">
        <f t="shared" si="324"/>
        <v>17404000</v>
      </c>
      <c r="AA920" s="1444">
        <f t="shared" si="325"/>
        <v>0</v>
      </c>
      <c r="AB920" s="1401">
        <f t="shared" si="326"/>
        <v>0</v>
      </c>
      <c r="AC920" s="1401">
        <v>0</v>
      </c>
      <c r="AD920" s="1401">
        <f t="shared" ref="AD920:AD937" si="345">IF(S920=AB920+AC920,0,Z920)</f>
        <v>17404000</v>
      </c>
      <c r="AE920" s="1401">
        <f t="shared" ref="AE920:AE937" si="346">IF(S920=AB920+AC920+AD920,0,Z920)</f>
        <v>17404000</v>
      </c>
      <c r="AF920" s="1401">
        <f t="shared" ref="AF920:AF937" si="347">IF(S920=AC920+AD920+AE920+AB920,0,Z920)</f>
        <v>17404000</v>
      </c>
      <c r="AG920" s="1479">
        <f t="shared" ref="AG920:AG937" si="348">IF(S920=AC920+AD920+AE920+AB920+AF920,0,Z920)</f>
        <v>17404000</v>
      </c>
      <c r="AH920" s="1479">
        <f t="shared" ref="AH920:AH937" si="349">IF(S920=AC920+AD920+AE920+AB920+AF920+AG920,0,Z920)</f>
        <v>17404000</v>
      </c>
      <c r="AI920" s="1479">
        <f t="shared" ref="AI920:AI973" si="350">SUM(AB920:AH920)</f>
        <v>87020000</v>
      </c>
      <c r="AJ920" s="1401">
        <f t="shared" si="327"/>
        <v>87020000</v>
      </c>
      <c r="AL920" s="1554">
        <f t="shared" si="344"/>
        <v>69616000</v>
      </c>
    </row>
    <row r="921" spans="3:38" s="1472" customFormat="1" ht="33" customHeight="1" x14ac:dyDescent="0.2">
      <c r="C921" s="1478" t="s">
        <v>2306</v>
      </c>
      <c r="D921" s="1576"/>
      <c r="E921" s="1429" t="s">
        <v>1572</v>
      </c>
      <c r="F921" s="1539"/>
      <c r="G921" s="1501" t="s">
        <v>2525</v>
      </c>
      <c r="H921" s="1429"/>
      <c r="I921" s="1501"/>
      <c r="J921" s="1540"/>
      <c r="K921" s="1501"/>
      <c r="L921" s="1526"/>
      <c r="M921" s="1429" t="s">
        <v>3465</v>
      </c>
      <c r="N921" s="1501">
        <v>2015</v>
      </c>
      <c r="O921" s="1429"/>
      <c r="P921" s="1429"/>
      <c r="Q921" s="1429"/>
      <c r="R921" s="1501" t="s">
        <v>12</v>
      </c>
      <c r="S921" s="1539">
        <f>189000000-9160000</f>
        <v>179840000</v>
      </c>
      <c r="T921" s="1501"/>
      <c r="U921" s="1596"/>
      <c r="V921" s="1553"/>
      <c r="W921" s="1478" t="str">
        <f t="shared" si="329"/>
        <v>04.14.04</v>
      </c>
      <c r="X921" s="1478" t="str">
        <f t="shared" si="322"/>
        <v>Bangunan Pengaman Sungai dan Penanggulangan Bencana Alam</v>
      </c>
      <c r="Y921" s="1478">
        <f t="shared" si="323"/>
        <v>10</v>
      </c>
      <c r="Z921" s="1401">
        <f t="shared" si="324"/>
        <v>17984000</v>
      </c>
      <c r="AA921" s="1444">
        <f t="shared" si="325"/>
        <v>0</v>
      </c>
      <c r="AB921" s="1401">
        <f t="shared" si="326"/>
        <v>0</v>
      </c>
      <c r="AC921" s="1401">
        <v>0</v>
      </c>
      <c r="AD921" s="1401">
        <f t="shared" si="345"/>
        <v>17984000</v>
      </c>
      <c r="AE921" s="1401">
        <f t="shared" si="346"/>
        <v>17984000</v>
      </c>
      <c r="AF921" s="1401">
        <f t="shared" si="347"/>
        <v>17984000</v>
      </c>
      <c r="AG921" s="1479">
        <f t="shared" si="348"/>
        <v>17984000</v>
      </c>
      <c r="AH921" s="1479">
        <f t="shared" si="349"/>
        <v>17984000</v>
      </c>
      <c r="AI921" s="1479">
        <f t="shared" si="350"/>
        <v>89920000</v>
      </c>
      <c r="AJ921" s="1401">
        <f t="shared" si="327"/>
        <v>89920000</v>
      </c>
      <c r="AL921" s="1554">
        <f t="shared" si="344"/>
        <v>71936000</v>
      </c>
    </row>
    <row r="922" spans="3:38" s="1472" customFormat="1" ht="33" customHeight="1" x14ac:dyDescent="0.2">
      <c r="C922" s="1478" t="s">
        <v>2306</v>
      </c>
      <c r="D922" s="1576"/>
      <c r="E922" s="1429" t="s">
        <v>1573</v>
      </c>
      <c r="F922" s="1539"/>
      <c r="G922" s="1501" t="s">
        <v>2551</v>
      </c>
      <c r="H922" s="1429"/>
      <c r="I922" s="1501"/>
      <c r="J922" s="1540"/>
      <c r="K922" s="1501"/>
      <c r="L922" s="1526"/>
      <c r="M922" s="1429" t="s">
        <v>3466</v>
      </c>
      <c r="N922" s="1501">
        <v>2015</v>
      </c>
      <c r="O922" s="1429"/>
      <c r="P922" s="1429"/>
      <c r="Q922" s="1429"/>
      <c r="R922" s="1501" t="s">
        <v>12</v>
      </c>
      <c r="S922" s="1539">
        <f>189300000-9160000</f>
        <v>180140000</v>
      </c>
      <c r="T922" s="1501"/>
      <c r="U922" s="1596"/>
      <c r="V922" s="1553"/>
      <c r="W922" s="1478" t="str">
        <f t="shared" si="329"/>
        <v>04.14.04</v>
      </c>
      <c r="X922" s="1478" t="str">
        <f t="shared" si="322"/>
        <v>Bangunan Pengaman Sungai dan Penanggulangan Bencana Alam</v>
      </c>
      <c r="Y922" s="1478">
        <f t="shared" si="323"/>
        <v>10</v>
      </c>
      <c r="Z922" s="1401">
        <f t="shared" si="324"/>
        <v>18014000</v>
      </c>
      <c r="AA922" s="1444">
        <f t="shared" si="325"/>
        <v>0</v>
      </c>
      <c r="AB922" s="1401">
        <f t="shared" si="326"/>
        <v>0</v>
      </c>
      <c r="AC922" s="1401">
        <v>0</v>
      </c>
      <c r="AD922" s="1401">
        <f t="shared" si="345"/>
        <v>18014000</v>
      </c>
      <c r="AE922" s="1401">
        <f t="shared" si="346"/>
        <v>18014000</v>
      </c>
      <c r="AF922" s="1401">
        <f t="shared" si="347"/>
        <v>18014000</v>
      </c>
      <c r="AG922" s="1479">
        <f t="shared" si="348"/>
        <v>18014000</v>
      </c>
      <c r="AH922" s="1479">
        <f t="shared" si="349"/>
        <v>18014000</v>
      </c>
      <c r="AI922" s="1479">
        <f t="shared" si="350"/>
        <v>90070000</v>
      </c>
      <c r="AJ922" s="1401">
        <f t="shared" si="327"/>
        <v>90070000</v>
      </c>
      <c r="AL922" s="1554">
        <f t="shared" si="344"/>
        <v>72056000</v>
      </c>
    </row>
    <row r="923" spans="3:38" s="1472" customFormat="1" ht="33" customHeight="1" x14ac:dyDescent="0.2">
      <c r="C923" s="1478" t="s">
        <v>2306</v>
      </c>
      <c r="D923" s="1576"/>
      <c r="E923" s="1429" t="s">
        <v>1574</v>
      </c>
      <c r="F923" s="1539"/>
      <c r="G923" s="1501" t="s">
        <v>2525</v>
      </c>
      <c r="H923" s="1429"/>
      <c r="I923" s="1501"/>
      <c r="J923" s="1540"/>
      <c r="K923" s="1501"/>
      <c r="L923" s="1526"/>
      <c r="M923" s="1429" t="s">
        <v>3467</v>
      </c>
      <c r="N923" s="1501">
        <v>2015</v>
      </c>
      <c r="O923" s="1429"/>
      <c r="P923" s="1429"/>
      <c r="Q923" s="1429"/>
      <c r="R923" s="1501" t="s">
        <v>12</v>
      </c>
      <c r="S923" s="1539">
        <f>189200000-9160000</f>
        <v>180040000</v>
      </c>
      <c r="T923" s="1501"/>
      <c r="U923" s="1596"/>
      <c r="V923" s="1553"/>
      <c r="W923" s="1478" t="str">
        <f t="shared" si="329"/>
        <v>04.14.04</v>
      </c>
      <c r="X923" s="1478" t="str">
        <f t="shared" ref="X923:X986" si="351">VLOOKUP(W923,UE,3,FALSE)</f>
        <v>Bangunan Pengaman Sungai dan Penanggulangan Bencana Alam</v>
      </c>
      <c r="Y923" s="1478">
        <f t="shared" ref="Y923:Y986" si="352">VLOOKUP(W923,UE,4,FALSE)</f>
        <v>10</v>
      </c>
      <c r="Z923" s="1401">
        <f t="shared" ref="Z923:Z986" si="353">S923/Y923</f>
        <v>18004000</v>
      </c>
      <c r="AA923" s="1444">
        <f t="shared" ref="AA923:AA986" si="354">IF(2013-N923+1&gt;Y923,Y923,IF(2013-N923+1&lt;0,0,2013-N923+1))</f>
        <v>0</v>
      </c>
      <c r="AB923" s="1401">
        <f t="shared" ref="AB923:AB986" si="355">IF(AA923&gt;Y923,S923,Z923*AA923)</f>
        <v>0</v>
      </c>
      <c r="AC923" s="1401">
        <v>0</v>
      </c>
      <c r="AD923" s="1401">
        <f t="shared" si="345"/>
        <v>18004000</v>
      </c>
      <c r="AE923" s="1401">
        <f t="shared" si="346"/>
        <v>18004000</v>
      </c>
      <c r="AF923" s="1401">
        <f t="shared" si="347"/>
        <v>18004000</v>
      </c>
      <c r="AG923" s="1479">
        <f t="shared" si="348"/>
        <v>18004000</v>
      </c>
      <c r="AH923" s="1479">
        <f t="shared" si="349"/>
        <v>18004000</v>
      </c>
      <c r="AI923" s="1479">
        <f t="shared" si="350"/>
        <v>90020000</v>
      </c>
      <c r="AJ923" s="1401">
        <f t="shared" ref="AJ923:AJ986" si="356">S923-AI923</f>
        <v>90020000</v>
      </c>
      <c r="AL923" s="1554">
        <f t="shared" si="344"/>
        <v>72016000</v>
      </c>
    </row>
    <row r="924" spans="3:38" s="1472" customFormat="1" ht="33" customHeight="1" x14ac:dyDescent="0.2">
      <c r="C924" s="1478" t="s">
        <v>2306</v>
      </c>
      <c r="D924" s="1576"/>
      <c r="E924" s="1429" t="s">
        <v>1575</v>
      </c>
      <c r="F924" s="1539"/>
      <c r="G924" s="1501" t="s">
        <v>2551</v>
      </c>
      <c r="H924" s="1429"/>
      <c r="I924" s="1501"/>
      <c r="J924" s="1540"/>
      <c r="K924" s="1501"/>
      <c r="L924" s="1526"/>
      <c r="M924" s="1429" t="s">
        <v>737</v>
      </c>
      <c r="N924" s="1501">
        <v>2015</v>
      </c>
      <c r="O924" s="1429"/>
      <c r="P924" s="1429"/>
      <c r="Q924" s="1429"/>
      <c r="R924" s="1501" t="s">
        <v>12</v>
      </c>
      <c r="S924" s="1539">
        <v>189350000</v>
      </c>
      <c r="T924" s="1501"/>
      <c r="U924" s="1596"/>
      <c r="V924" s="1553"/>
      <c r="W924" s="1478" t="str">
        <f t="shared" si="329"/>
        <v>04.14.04</v>
      </c>
      <c r="X924" s="1478" t="str">
        <f t="shared" si="351"/>
        <v>Bangunan Pengaman Sungai dan Penanggulangan Bencana Alam</v>
      </c>
      <c r="Y924" s="1478">
        <f t="shared" si="352"/>
        <v>10</v>
      </c>
      <c r="Z924" s="1401">
        <f t="shared" si="353"/>
        <v>18935000</v>
      </c>
      <c r="AA924" s="1444">
        <f t="shared" si="354"/>
        <v>0</v>
      </c>
      <c r="AB924" s="1401">
        <f t="shared" si="355"/>
        <v>0</v>
      </c>
      <c r="AC924" s="1401">
        <v>0</v>
      </c>
      <c r="AD924" s="1401">
        <f t="shared" si="345"/>
        <v>18935000</v>
      </c>
      <c r="AE924" s="1401">
        <f t="shared" si="346"/>
        <v>18935000</v>
      </c>
      <c r="AF924" s="1401">
        <f t="shared" si="347"/>
        <v>18935000</v>
      </c>
      <c r="AG924" s="1479">
        <f t="shared" si="348"/>
        <v>18935000</v>
      </c>
      <c r="AH924" s="1479">
        <f t="shared" si="349"/>
        <v>18935000</v>
      </c>
      <c r="AI924" s="1479">
        <f t="shared" si="350"/>
        <v>94675000</v>
      </c>
      <c r="AJ924" s="1401">
        <f t="shared" si="356"/>
        <v>94675000</v>
      </c>
      <c r="AL924" s="1554">
        <f t="shared" si="344"/>
        <v>75740000</v>
      </c>
    </row>
    <row r="925" spans="3:38" s="1472" customFormat="1" ht="33" customHeight="1" x14ac:dyDescent="0.2">
      <c r="C925" s="1478" t="s">
        <v>2306</v>
      </c>
      <c r="D925" s="1576"/>
      <c r="E925" s="1429" t="s">
        <v>1576</v>
      </c>
      <c r="F925" s="1539"/>
      <c r="G925" s="1501" t="s">
        <v>4199</v>
      </c>
      <c r="H925" s="1501"/>
      <c r="I925" s="1429"/>
      <c r="J925" s="1540"/>
      <c r="K925" s="1501"/>
      <c r="L925" s="1560"/>
      <c r="M925" s="1429" t="s">
        <v>3468</v>
      </c>
      <c r="N925" s="1501">
        <v>2015</v>
      </c>
      <c r="O925" s="1429"/>
      <c r="P925" s="1429"/>
      <c r="Q925" s="1429"/>
      <c r="R925" s="1501" t="s">
        <v>12</v>
      </c>
      <c r="S925" s="1527">
        <v>809566000</v>
      </c>
      <c r="T925" s="1528"/>
      <c r="U925" s="1598"/>
      <c r="V925" s="1561"/>
      <c r="W925" s="1478" t="str">
        <f t="shared" si="329"/>
        <v>04.14.01</v>
      </c>
      <c r="X925" s="1478" t="str">
        <f t="shared" si="351"/>
        <v>Bangunan Air Irigasi</v>
      </c>
      <c r="Y925" s="1478">
        <f t="shared" si="352"/>
        <v>50</v>
      </c>
      <c r="Z925" s="1401">
        <f t="shared" si="353"/>
        <v>16191320</v>
      </c>
      <c r="AA925" s="1444">
        <f t="shared" si="354"/>
        <v>0</v>
      </c>
      <c r="AB925" s="1401">
        <f t="shared" si="355"/>
        <v>0</v>
      </c>
      <c r="AC925" s="1401">
        <v>0</v>
      </c>
      <c r="AD925" s="1401">
        <f t="shared" si="345"/>
        <v>16191320</v>
      </c>
      <c r="AE925" s="1401">
        <f t="shared" si="346"/>
        <v>16191320</v>
      </c>
      <c r="AF925" s="1401">
        <f t="shared" si="347"/>
        <v>16191320</v>
      </c>
      <c r="AG925" s="1479">
        <f t="shared" si="348"/>
        <v>16191320</v>
      </c>
      <c r="AH925" s="1479">
        <f t="shared" si="349"/>
        <v>16191320</v>
      </c>
      <c r="AI925" s="1479">
        <f t="shared" si="350"/>
        <v>80956600</v>
      </c>
      <c r="AJ925" s="1401">
        <f t="shared" si="356"/>
        <v>728609400</v>
      </c>
    </row>
    <row r="926" spans="3:38" s="1472" customFormat="1" ht="33" customHeight="1" x14ac:dyDescent="0.2">
      <c r="C926" s="1478" t="s">
        <v>2306</v>
      </c>
      <c r="D926" s="1576"/>
      <c r="E926" s="1429" t="s">
        <v>1577</v>
      </c>
      <c r="F926" s="1539"/>
      <c r="G926" s="1501" t="s">
        <v>4199</v>
      </c>
      <c r="H926" s="1501"/>
      <c r="I926" s="1429"/>
      <c r="J926" s="1540"/>
      <c r="K926" s="1501"/>
      <c r="L926" s="1560"/>
      <c r="M926" s="1429" t="s">
        <v>3469</v>
      </c>
      <c r="N926" s="1501">
        <v>2015</v>
      </c>
      <c r="O926" s="1429"/>
      <c r="P926" s="1429"/>
      <c r="Q926" s="1429"/>
      <c r="R926" s="1501" t="s">
        <v>12</v>
      </c>
      <c r="S926" s="1527">
        <v>391901000</v>
      </c>
      <c r="T926" s="1528"/>
      <c r="U926" s="1598"/>
      <c r="V926" s="1561"/>
      <c r="W926" s="1478" t="str">
        <f t="shared" si="329"/>
        <v>04.14.01</v>
      </c>
      <c r="X926" s="1478" t="str">
        <f t="shared" si="351"/>
        <v>Bangunan Air Irigasi</v>
      </c>
      <c r="Y926" s="1478">
        <f t="shared" si="352"/>
        <v>50</v>
      </c>
      <c r="Z926" s="1401">
        <f t="shared" si="353"/>
        <v>7838020</v>
      </c>
      <c r="AA926" s="1444">
        <f t="shared" si="354"/>
        <v>0</v>
      </c>
      <c r="AB926" s="1401">
        <f t="shared" si="355"/>
        <v>0</v>
      </c>
      <c r="AC926" s="1401">
        <v>0</v>
      </c>
      <c r="AD926" s="1401">
        <f t="shared" si="345"/>
        <v>7838020</v>
      </c>
      <c r="AE926" s="1401">
        <f t="shared" si="346"/>
        <v>7838020</v>
      </c>
      <c r="AF926" s="1401">
        <f t="shared" si="347"/>
        <v>7838020</v>
      </c>
      <c r="AG926" s="1479">
        <f t="shared" si="348"/>
        <v>7838020</v>
      </c>
      <c r="AH926" s="1479">
        <f t="shared" si="349"/>
        <v>7838020</v>
      </c>
      <c r="AI926" s="1479">
        <f t="shared" si="350"/>
        <v>39190100</v>
      </c>
      <c r="AJ926" s="1401">
        <f t="shared" si="356"/>
        <v>352710900</v>
      </c>
    </row>
    <row r="927" spans="3:38" s="1472" customFormat="1" ht="33" customHeight="1" x14ac:dyDescent="0.2">
      <c r="C927" s="1478" t="s">
        <v>2306</v>
      </c>
      <c r="D927" s="1576"/>
      <c r="E927" s="1429" t="s">
        <v>1578</v>
      </c>
      <c r="F927" s="1539"/>
      <c r="G927" s="1501" t="s">
        <v>4199</v>
      </c>
      <c r="H927" s="1501"/>
      <c r="I927" s="1429"/>
      <c r="J927" s="1540"/>
      <c r="K927" s="1501"/>
      <c r="L927" s="1560"/>
      <c r="M927" s="1429" t="s">
        <v>3470</v>
      </c>
      <c r="N927" s="1501">
        <v>2015</v>
      </c>
      <c r="O927" s="1429"/>
      <c r="P927" s="1429"/>
      <c r="Q927" s="1429"/>
      <c r="R927" s="1501" t="s">
        <v>12</v>
      </c>
      <c r="S927" s="1527">
        <v>464259700</v>
      </c>
      <c r="T927" s="1528"/>
      <c r="U927" s="1598"/>
      <c r="V927" s="1561"/>
      <c r="W927" s="1478" t="str">
        <f t="shared" si="329"/>
        <v>04.14.01</v>
      </c>
      <c r="X927" s="1478" t="str">
        <f t="shared" si="351"/>
        <v>Bangunan Air Irigasi</v>
      </c>
      <c r="Y927" s="1478">
        <f t="shared" si="352"/>
        <v>50</v>
      </c>
      <c r="Z927" s="1401">
        <f t="shared" si="353"/>
        <v>9285194</v>
      </c>
      <c r="AA927" s="1444">
        <f t="shared" si="354"/>
        <v>0</v>
      </c>
      <c r="AB927" s="1401">
        <f t="shared" si="355"/>
        <v>0</v>
      </c>
      <c r="AC927" s="1401">
        <v>0</v>
      </c>
      <c r="AD927" s="1401">
        <f t="shared" si="345"/>
        <v>9285194</v>
      </c>
      <c r="AE927" s="1401">
        <f t="shared" si="346"/>
        <v>9285194</v>
      </c>
      <c r="AF927" s="1401">
        <f t="shared" si="347"/>
        <v>9285194</v>
      </c>
      <c r="AG927" s="1479">
        <f t="shared" si="348"/>
        <v>9285194</v>
      </c>
      <c r="AH927" s="1479">
        <f t="shared" si="349"/>
        <v>9285194</v>
      </c>
      <c r="AI927" s="1479">
        <f t="shared" si="350"/>
        <v>46425970</v>
      </c>
      <c r="AJ927" s="1401">
        <f t="shared" si="356"/>
        <v>417833730</v>
      </c>
    </row>
    <row r="928" spans="3:38" s="1472" customFormat="1" ht="33" customHeight="1" x14ac:dyDescent="0.2">
      <c r="C928" s="1478" t="s">
        <v>2306</v>
      </c>
      <c r="D928" s="1576"/>
      <c r="E928" s="1429" t="s">
        <v>1579</v>
      </c>
      <c r="F928" s="1539"/>
      <c r="G928" s="1501" t="s">
        <v>4199</v>
      </c>
      <c r="H928" s="1501"/>
      <c r="I928" s="1429"/>
      <c r="J928" s="1540"/>
      <c r="K928" s="1501"/>
      <c r="L928" s="1560"/>
      <c r="M928" s="1429" t="s">
        <v>3471</v>
      </c>
      <c r="N928" s="1501">
        <v>2015</v>
      </c>
      <c r="O928" s="1429"/>
      <c r="P928" s="1429"/>
      <c r="Q928" s="1429"/>
      <c r="R928" s="1501" t="s">
        <v>12</v>
      </c>
      <c r="S928" s="1527">
        <v>191981000</v>
      </c>
      <c r="T928" s="1528"/>
      <c r="U928" s="1598"/>
      <c r="V928" s="1561"/>
      <c r="W928" s="1478" t="str">
        <f t="shared" si="329"/>
        <v>04.14.01</v>
      </c>
      <c r="X928" s="1478" t="str">
        <f t="shared" si="351"/>
        <v>Bangunan Air Irigasi</v>
      </c>
      <c r="Y928" s="1478">
        <f t="shared" si="352"/>
        <v>50</v>
      </c>
      <c r="Z928" s="1401">
        <f t="shared" si="353"/>
        <v>3839620</v>
      </c>
      <c r="AA928" s="1444">
        <f t="shared" si="354"/>
        <v>0</v>
      </c>
      <c r="AB928" s="1401">
        <f t="shared" si="355"/>
        <v>0</v>
      </c>
      <c r="AC928" s="1401">
        <v>0</v>
      </c>
      <c r="AD928" s="1401">
        <f t="shared" si="345"/>
        <v>3839620</v>
      </c>
      <c r="AE928" s="1401">
        <f t="shared" si="346"/>
        <v>3839620</v>
      </c>
      <c r="AF928" s="1401">
        <f t="shared" si="347"/>
        <v>3839620</v>
      </c>
      <c r="AG928" s="1479">
        <f t="shared" si="348"/>
        <v>3839620</v>
      </c>
      <c r="AH928" s="1479">
        <f t="shared" si="349"/>
        <v>3839620</v>
      </c>
      <c r="AI928" s="1479">
        <f t="shared" si="350"/>
        <v>19198100</v>
      </c>
      <c r="AJ928" s="1401">
        <f t="shared" si="356"/>
        <v>172782900</v>
      </c>
    </row>
    <row r="929" spans="2:38" s="1472" customFormat="1" ht="33" customHeight="1" x14ac:dyDescent="0.2">
      <c r="C929" s="1478" t="s">
        <v>2306</v>
      </c>
      <c r="D929" s="1576"/>
      <c r="E929" s="1429" t="s">
        <v>1580</v>
      </c>
      <c r="F929" s="1539"/>
      <c r="G929" s="1501" t="s">
        <v>4199</v>
      </c>
      <c r="H929" s="1429"/>
      <c r="I929" s="1501"/>
      <c r="J929" s="1540"/>
      <c r="K929" s="1501"/>
      <c r="L929" s="1526"/>
      <c r="M929" s="1429" t="s">
        <v>3472</v>
      </c>
      <c r="N929" s="1501">
        <v>2015</v>
      </c>
      <c r="O929" s="1429"/>
      <c r="P929" s="1429"/>
      <c r="Q929" s="1429"/>
      <c r="R929" s="1501" t="s">
        <v>12</v>
      </c>
      <c r="S929" s="1539">
        <v>190936000</v>
      </c>
      <c r="T929" s="1501"/>
      <c r="U929" s="1596"/>
      <c r="V929" s="1553"/>
      <c r="W929" s="1478" t="str">
        <f t="shared" si="329"/>
        <v>04.14.01</v>
      </c>
      <c r="X929" s="1478" t="str">
        <f t="shared" si="351"/>
        <v>Bangunan Air Irigasi</v>
      </c>
      <c r="Y929" s="1478">
        <f t="shared" si="352"/>
        <v>50</v>
      </c>
      <c r="Z929" s="1401">
        <f t="shared" si="353"/>
        <v>3818720</v>
      </c>
      <c r="AA929" s="1444">
        <f t="shared" si="354"/>
        <v>0</v>
      </c>
      <c r="AB929" s="1401">
        <f t="shared" si="355"/>
        <v>0</v>
      </c>
      <c r="AC929" s="1401">
        <v>0</v>
      </c>
      <c r="AD929" s="1401">
        <f t="shared" si="345"/>
        <v>3818720</v>
      </c>
      <c r="AE929" s="1401">
        <f t="shared" si="346"/>
        <v>3818720</v>
      </c>
      <c r="AF929" s="1401">
        <f t="shared" si="347"/>
        <v>3818720</v>
      </c>
      <c r="AG929" s="1479">
        <f t="shared" si="348"/>
        <v>3818720</v>
      </c>
      <c r="AH929" s="1479">
        <f t="shared" si="349"/>
        <v>3818720</v>
      </c>
      <c r="AI929" s="1479">
        <f t="shared" si="350"/>
        <v>19093600</v>
      </c>
      <c r="AJ929" s="1401">
        <f t="shared" si="356"/>
        <v>171842400</v>
      </c>
    </row>
    <row r="930" spans="2:38" s="1472" customFormat="1" ht="33" customHeight="1" x14ac:dyDescent="0.2">
      <c r="C930" s="1478" t="s">
        <v>2306</v>
      </c>
      <c r="D930" s="1576"/>
      <c r="E930" s="1429" t="s">
        <v>1581</v>
      </c>
      <c r="F930" s="1539"/>
      <c r="G930" s="1501" t="s">
        <v>4199</v>
      </c>
      <c r="H930" s="1429"/>
      <c r="I930" s="1501"/>
      <c r="J930" s="1540"/>
      <c r="K930" s="1501"/>
      <c r="L930" s="1526"/>
      <c r="M930" s="1429" t="s">
        <v>3473</v>
      </c>
      <c r="N930" s="1501">
        <v>2015</v>
      </c>
      <c r="O930" s="1429"/>
      <c r="P930" s="1429"/>
      <c r="Q930" s="1429"/>
      <c r="R930" s="1501" t="s">
        <v>12</v>
      </c>
      <c r="S930" s="1539">
        <v>191500000</v>
      </c>
      <c r="T930" s="1501"/>
      <c r="U930" s="1596"/>
      <c r="V930" s="1553"/>
      <c r="W930" s="1478" t="str">
        <f t="shared" si="329"/>
        <v>04.14.01</v>
      </c>
      <c r="X930" s="1478" t="str">
        <f t="shared" si="351"/>
        <v>Bangunan Air Irigasi</v>
      </c>
      <c r="Y930" s="1478">
        <f t="shared" si="352"/>
        <v>50</v>
      </c>
      <c r="Z930" s="1401">
        <f t="shared" si="353"/>
        <v>3830000</v>
      </c>
      <c r="AA930" s="1444">
        <f t="shared" si="354"/>
        <v>0</v>
      </c>
      <c r="AB930" s="1401">
        <f t="shared" si="355"/>
        <v>0</v>
      </c>
      <c r="AC930" s="1401">
        <v>0</v>
      </c>
      <c r="AD930" s="1401">
        <f t="shared" si="345"/>
        <v>3830000</v>
      </c>
      <c r="AE930" s="1401">
        <f t="shared" si="346"/>
        <v>3830000</v>
      </c>
      <c r="AF930" s="1401">
        <f t="shared" si="347"/>
        <v>3830000</v>
      </c>
      <c r="AG930" s="1479">
        <f t="shared" si="348"/>
        <v>3830000</v>
      </c>
      <c r="AH930" s="1479">
        <f t="shared" si="349"/>
        <v>3830000</v>
      </c>
      <c r="AI930" s="1479">
        <f t="shared" si="350"/>
        <v>19150000</v>
      </c>
      <c r="AJ930" s="1401">
        <f t="shared" si="356"/>
        <v>172350000</v>
      </c>
    </row>
    <row r="931" spans="2:38" s="1472" customFormat="1" ht="33" customHeight="1" x14ac:dyDescent="0.2">
      <c r="C931" s="1478" t="s">
        <v>2306</v>
      </c>
      <c r="D931" s="1576"/>
      <c r="E931" s="1429" t="s">
        <v>1582</v>
      </c>
      <c r="F931" s="1539"/>
      <c r="G931" s="1501" t="s">
        <v>4199</v>
      </c>
      <c r="H931" s="1429"/>
      <c r="I931" s="1501"/>
      <c r="J931" s="1540"/>
      <c r="K931" s="1501"/>
      <c r="L931" s="1526"/>
      <c r="M931" s="1429" t="s">
        <v>3474</v>
      </c>
      <c r="N931" s="1501">
        <v>2015</v>
      </c>
      <c r="O931" s="1429"/>
      <c r="P931" s="1429"/>
      <c r="Q931" s="1429"/>
      <c r="R931" s="1501" t="s">
        <v>12</v>
      </c>
      <c r="S931" s="1539">
        <v>191200000</v>
      </c>
      <c r="T931" s="1501"/>
      <c r="U931" s="1596"/>
      <c r="V931" s="1553"/>
      <c r="W931" s="1478" t="str">
        <f t="shared" si="329"/>
        <v>04.14.01</v>
      </c>
      <c r="X931" s="1478" t="str">
        <f t="shared" si="351"/>
        <v>Bangunan Air Irigasi</v>
      </c>
      <c r="Y931" s="1478">
        <f t="shared" si="352"/>
        <v>50</v>
      </c>
      <c r="Z931" s="1401">
        <f t="shared" si="353"/>
        <v>3824000</v>
      </c>
      <c r="AA931" s="1444">
        <f t="shared" si="354"/>
        <v>0</v>
      </c>
      <c r="AB931" s="1401">
        <f t="shared" si="355"/>
        <v>0</v>
      </c>
      <c r="AC931" s="1401">
        <v>0</v>
      </c>
      <c r="AD931" s="1401">
        <f t="shared" si="345"/>
        <v>3824000</v>
      </c>
      <c r="AE931" s="1401">
        <f t="shared" si="346"/>
        <v>3824000</v>
      </c>
      <c r="AF931" s="1401">
        <f t="shared" si="347"/>
        <v>3824000</v>
      </c>
      <c r="AG931" s="1479">
        <f t="shared" si="348"/>
        <v>3824000</v>
      </c>
      <c r="AH931" s="1479">
        <f t="shared" si="349"/>
        <v>3824000</v>
      </c>
      <c r="AI931" s="1479">
        <f t="shared" si="350"/>
        <v>19120000</v>
      </c>
      <c r="AJ931" s="1401">
        <f t="shared" si="356"/>
        <v>172080000</v>
      </c>
    </row>
    <row r="932" spans="2:38" s="1472" customFormat="1" ht="33" customHeight="1" x14ac:dyDescent="0.2">
      <c r="C932" s="1478" t="s">
        <v>2306</v>
      </c>
      <c r="D932" s="1576"/>
      <c r="E932" s="1429" t="s">
        <v>1583</v>
      </c>
      <c r="F932" s="1539"/>
      <c r="G932" s="1501" t="s">
        <v>2551</v>
      </c>
      <c r="H932" s="1429"/>
      <c r="I932" s="1501"/>
      <c r="J932" s="1540"/>
      <c r="K932" s="1501"/>
      <c r="L932" s="1526"/>
      <c r="M932" s="1429" t="s">
        <v>3475</v>
      </c>
      <c r="N932" s="1501">
        <v>2015</v>
      </c>
      <c r="O932" s="1429"/>
      <c r="P932" s="1429"/>
      <c r="Q932" s="1429"/>
      <c r="R932" s="1501" t="s">
        <v>12</v>
      </c>
      <c r="S932" s="1539">
        <v>190820000</v>
      </c>
      <c r="T932" s="1501"/>
      <c r="U932" s="1596"/>
      <c r="V932" s="1553"/>
      <c r="W932" s="1478" t="str">
        <f t="shared" si="329"/>
        <v>04.14.04</v>
      </c>
      <c r="X932" s="1478" t="str">
        <f t="shared" si="351"/>
        <v>Bangunan Pengaman Sungai dan Penanggulangan Bencana Alam</v>
      </c>
      <c r="Y932" s="1478">
        <f t="shared" si="352"/>
        <v>10</v>
      </c>
      <c r="Z932" s="1401">
        <f t="shared" si="353"/>
        <v>19082000</v>
      </c>
      <c r="AA932" s="1444">
        <f t="shared" si="354"/>
        <v>0</v>
      </c>
      <c r="AB932" s="1401">
        <f t="shared" si="355"/>
        <v>0</v>
      </c>
      <c r="AC932" s="1401">
        <v>0</v>
      </c>
      <c r="AD932" s="1401">
        <f t="shared" si="345"/>
        <v>19082000</v>
      </c>
      <c r="AE932" s="1401">
        <f t="shared" si="346"/>
        <v>19082000</v>
      </c>
      <c r="AF932" s="1401">
        <f t="shared" si="347"/>
        <v>19082000</v>
      </c>
      <c r="AG932" s="1479">
        <f t="shared" si="348"/>
        <v>19082000</v>
      </c>
      <c r="AH932" s="1479">
        <f t="shared" si="349"/>
        <v>19082000</v>
      </c>
      <c r="AI932" s="1479">
        <f t="shared" si="350"/>
        <v>95410000</v>
      </c>
      <c r="AJ932" s="1401">
        <f t="shared" si="356"/>
        <v>95410000</v>
      </c>
      <c r="AL932" s="1554">
        <f>SUM(AB932:AG932)</f>
        <v>76328000</v>
      </c>
    </row>
    <row r="933" spans="2:38" s="1472" customFormat="1" ht="33" customHeight="1" x14ac:dyDescent="0.2">
      <c r="C933" s="1478" t="s">
        <v>2306</v>
      </c>
      <c r="D933" s="1576"/>
      <c r="E933" s="1429" t="s">
        <v>1584</v>
      </c>
      <c r="F933" s="1539"/>
      <c r="G933" s="1501" t="s">
        <v>4199</v>
      </c>
      <c r="H933" s="1429"/>
      <c r="I933" s="1501"/>
      <c r="J933" s="1540"/>
      <c r="K933" s="1501"/>
      <c r="L933" s="1526"/>
      <c r="M933" s="1429" t="s">
        <v>3476</v>
      </c>
      <c r="N933" s="1501">
        <v>2015</v>
      </c>
      <c r="O933" s="1429"/>
      <c r="P933" s="1429"/>
      <c r="Q933" s="1429"/>
      <c r="R933" s="1501" t="s">
        <v>12</v>
      </c>
      <c r="S933" s="1539">
        <v>190360000</v>
      </c>
      <c r="T933" s="1501"/>
      <c r="U933" s="1596"/>
      <c r="V933" s="1553"/>
      <c r="W933" s="1478" t="str">
        <f t="shared" si="329"/>
        <v>04.14.01</v>
      </c>
      <c r="X933" s="1478" t="str">
        <f t="shared" si="351"/>
        <v>Bangunan Air Irigasi</v>
      </c>
      <c r="Y933" s="1478">
        <f t="shared" si="352"/>
        <v>50</v>
      </c>
      <c r="Z933" s="1401">
        <f t="shared" si="353"/>
        <v>3807200</v>
      </c>
      <c r="AA933" s="1444">
        <f t="shared" si="354"/>
        <v>0</v>
      </c>
      <c r="AB933" s="1401">
        <f t="shared" si="355"/>
        <v>0</v>
      </c>
      <c r="AC933" s="1401">
        <v>0</v>
      </c>
      <c r="AD933" s="1401">
        <f t="shared" si="345"/>
        <v>3807200</v>
      </c>
      <c r="AE933" s="1401">
        <f t="shared" si="346"/>
        <v>3807200</v>
      </c>
      <c r="AF933" s="1401">
        <f t="shared" si="347"/>
        <v>3807200</v>
      </c>
      <c r="AG933" s="1479">
        <f t="shared" si="348"/>
        <v>3807200</v>
      </c>
      <c r="AH933" s="1479">
        <f t="shared" si="349"/>
        <v>3807200</v>
      </c>
      <c r="AI933" s="1479">
        <f t="shared" si="350"/>
        <v>19036000</v>
      </c>
      <c r="AJ933" s="1401">
        <f t="shared" si="356"/>
        <v>171324000</v>
      </c>
    </row>
    <row r="934" spans="2:38" s="1472" customFormat="1" ht="33" customHeight="1" x14ac:dyDescent="0.2">
      <c r="C934" s="1478" t="s">
        <v>2306</v>
      </c>
      <c r="D934" s="1576"/>
      <c r="E934" s="1429" t="s">
        <v>1585</v>
      </c>
      <c r="F934" s="1539"/>
      <c r="G934" s="1501" t="s">
        <v>4199</v>
      </c>
      <c r="H934" s="1429"/>
      <c r="I934" s="1501"/>
      <c r="J934" s="1540"/>
      <c r="K934" s="1501"/>
      <c r="L934" s="1526"/>
      <c r="M934" s="1429" t="s">
        <v>3477</v>
      </c>
      <c r="N934" s="1501">
        <v>2015</v>
      </c>
      <c r="O934" s="1429"/>
      <c r="P934" s="1429"/>
      <c r="Q934" s="1429"/>
      <c r="R934" s="1501" t="s">
        <v>12</v>
      </c>
      <c r="S934" s="1539">
        <v>191477000</v>
      </c>
      <c r="T934" s="1501"/>
      <c r="U934" s="1596"/>
      <c r="V934" s="1553"/>
      <c r="W934" s="1478" t="str">
        <f t="shared" si="329"/>
        <v>04.14.01</v>
      </c>
      <c r="X934" s="1478" t="str">
        <f t="shared" si="351"/>
        <v>Bangunan Air Irigasi</v>
      </c>
      <c r="Y934" s="1478">
        <f t="shared" si="352"/>
        <v>50</v>
      </c>
      <c r="Z934" s="1401">
        <f t="shared" si="353"/>
        <v>3829540</v>
      </c>
      <c r="AA934" s="1444">
        <f t="shared" si="354"/>
        <v>0</v>
      </c>
      <c r="AB934" s="1401">
        <f t="shared" si="355"/>
        <v>0</v>
      </c>
      <c r="AC934" s="1401">
        <v>0</v>
      </c>
      <c r="AD934" s="1401">
        <f t="shared" si="345"/>
        <v>3829540</v>
      </c>
      <c r="AE934" s="1401">
        <f t="shared" si="346"/>
        <v>3829540</v>
      </c>
      <c r="AF934" s="1401">
        <f t="shared" si="347"/>
        <v>3829540</v>
      </c>
      <c r="AG934" s="1479">
        <f t="shared" si="348"/>
        <v>3829540</v>
      </c>
      <c r="AH934" s="1479">
        <f t="shared" si="349"/>
        <v>3829540</v>
      </c>
      <c r="AI934" s="1479">
        <f t="shared" si="350"/>
        <v>19147700</v>
      </c>
      <c r="AJ934" s="1401">
        <f t="shared" si="356"/>
        <v>172329300</v>
      </c>
    </row>
    <row r="935" spans="2:38" s="1472" customFormat="1" ht="33" customHeight="1" x14ac:dyDescent="0.2">
      <c r="C935" s="1478" t="s">
        <v>2306</v>
      </c>
      <c r="D935" s="1576"/>
      <c r="E935" s="1429" t="s">
        <v>1586</v>
      </c>
      <c r="F935" s="1539"/>
      <c r="G935" s="1501" t="s">
        <v>4199</v>
      </c>
      <c r="H935" s="1429"/>
      <c r="I935" s="1501"/>
      <c r="J935" s="1540"/>
      <c r="K935" s="1501"/>
      <c r="L935" s="1526"/>
      <c r="M935" s="1429" t="s">
        <v>3478</v>
      </c>
      <c r="N935" s="1501">
        <v>2015</v>
      </c>
      <c r="O935" s="1429"/>
      <c r="P935" s="1429"/>
      <c r="Q935" s="1429"/>
      <c r="R935" s="1501" t="s">
        <v>12</v>
      </c>
      <c r="S935" s="1539">
        <v>190690000</v>
      </c>
      <c r="T935" s="1501"/>
      <c r="U935" s="1596"/>
      <c r="V935" s="1553"/>
      <c r="W935" s="1478" t="str">
        <f t="shared" si="329"/>
        <v>04.14.01</v>
      </c>
      <c r="X935" s="1478" t="str">
        <f t="shared" si="351"/>
        <v>Bangunan Air Irigasi</v>
      </c>
      <c r="Y935" s="1478">
        <f t="shared" si="352"/>
        <v>50</v>
      </c>
      <c r="Z935" s="1401">
        <f t="shared" si="353"/>
        <v>3813800</v>
      </c>
      <c r="AA935" s="1444">
        <f t="shared" si="354"/>
        <v>0</v>
      </c>
      <c r="AB935" s="1401">
        <f t="shared" si="355"/>
        <v>0</v>
      </c>
      <c r="AC935" s="1401">
        <v>0</v>
      </c>
      <c r="AD935" s="1401">
        <f t="shared" si="345"/>
        <v>3813800</v>
      </c>
      <c r="AE935" s="1401">
        <f t="shared" si="346"/>
        <v>3813800</v>
      </c>
      <c r="AF935" s="1401">
        <f t="shared" si="347"/>
        <v>3813800</v>
      </c>
      <c r="AG935" s="1479">
        <f t="shared" si="348"/>
        <v>3813800</v>
      </c>
      <c r="AH935" s="1479">
        <f t="shared" si="349"/>
        <v>3813800</v>
      </c>
      <c r="AI935" s="1479">
        <f t="shared" si="350"/>
        <v>19069000</v>
      </c>
      <c r="AJ935" s="1401">
        <f t="shared" si="356"/>
        <v>171621000</v>
      </c>
    </row>
    <row r="936" spans="2:38" s="1472" customFormat="1" ht="33" customHeight="1" x14ac:dyDescent="0.2">
      <c r="C936" s="1478" t="s">
        <v>2306</v>
      </c>
      <c r="D936" s="1576"/>
      <c r="E936" s="1429" t="s">
        <v>1587</v>
      </c>
      <c r="F936" s="1539"/>
      <c r="G936" s="1501" t="s">
        <v>4199</v>
      </c>
      <c r="H936" s="1429"/>
      <c r="I936" s="1501"/>
      <c r="J936" s="1540"/>
      <c r="K936" s="1501"/>
      <c r="L936" s="1526"/>
      <c r="M936" s="1429" t="s">
        <v>3450</v>
      </c>
      <c r="N936" s="1501">
        <v>2015</v>
      </c>
      <c r="O936" s="1429"/>
      <c r="P936" s="1429"/>
      <c r="Q936" s="1429"/>
      <c r="R936" s="1501" t="s">
        <v>12</v>
      </c>
      <c r="S936" s="1539">
        <v>191846000</v>
      </c>
      <c r="T936" s="1501"/>
      <c r="U936" s="1596"/>
      <c r="V936" s="1553"/>
      <c r="W936" s="1478" t="str">
        <f t="shared" si="329"/>
        <v>04.14.01</v>
      </c>
      <c r="X936" s="1478" t="str">
        <f t="shared" si="351"/>
        <v>Bangunan Air Irigasi</v>
      </c>
      <c r="Y936" s="1478">
        <f t="shared" si="352"/>
        <v>50</v>
      </c>
      <c r="Z936" s="1401">
        <f t="shared" si="353"/>
        <v>3836920</v>
      </c>
      <c r="AA936" s="1444">
        <f t="shared" si="354"/>
        <v>0</v>
      </c>
      <c r="AB936" s="1401">
        <f t="shared" si="355"/>
        <v>0</v>
      </c>
      <c r="AC936" s="1401">
        <v>0</v>
      </c>
      <c r="AD936" s="1401">
        <f t="shared" si="345"/>
        <v>3836920</v>
      </c>
      <c r="AE936" s="1401">
        <f t="shared" si="346"/>
        <v>3836920</v>
      </c>
      <c r="AF936" s="1401">
        <f t="shared" si="347"/>
        <v>3836920</v>
      </c>
      <c r="AG936" s="1479">
        <f t="shared" si="348"/>
        <v>3836920</v>
      </c>
      <c r="AH936" s="1479">
        <f t="shared" si="349"/>
        <v>3836920</v>
      </c>
      <c r="AI936" s="1479">
        <f t="shared" si="350"/>
        <v>19184600</v>
      </c>
      <c r="AJ936" s="1401">
        <f t="shared" si="356"/>
        <v>172661400</v>
      </c>
    </row>
    <row r="937" spans="2:38" s="1472" customFormat="1" ht="33" customHeight="1" x14ac:dyDescent="0.2">
      <c r="C937" s="1478" t="s">
        <v>2306</v>
      </c>
      <c r="D937" s="1576"/>
      <c r="E937" s="1429" t="s">
        <v>1588</v>
      </c>
      <c r="F937" s="1539"/>
      <c r="G937" s="1501" t="s">
        <v>4199</v>
      </c>
      <c r="H937" s="1429"/>
      <c r="I937" s="1501"/>
      <c r="J937" s="1540"/>
      <c r="K937" s="1501"/>
      <c r="L937" s="1526"/>
      <c r="M937" s="1429" t="s">
        <v>3479</v>
      </c>
      <c r="N937" s="1501">
        <v>2015</v>
      </c>
      <c r="O937" s="1429"/>
      <c r="P937" s="1429"/>
      <c r="Q937" s="1429"/>
      <c r="R937" s="1501" t="s">
        <v>12</v>
      </c>
      <c r="S937" s="1539">
        <v>1241345150</v>
      </c>
      <c r="T937" s="1501"/>
      <c r="U937" s="1596"/>
      <c r="V937" s="1553"/>
      <c r="W937" s="1478" t="str">
        <f t="shared" si="329"/>
        <v>04.14.01</v>
      </c>
      <c r="X937" s="1478" t="str">
        <f t="shared" si="351"/>
        <v>Bangunan Air Irigasi</v>
      </c>
      <c r="Y937" s="1478">
        <f t="shared" si="352"/>
        <v>50</v>
      </c>
      <c r="Z937" s="1401">
        <f t="shared" si="353"/>
        <v>24826903</v>
      </c>
      <c r="AA937" s="1444">
        <f t="shared" si="354"/>
        <v>0</v>
      </c>
      <c r="AB937" s="1401">
        <f t="shared" si="355"/>
        <v>0</v>
      </c>
      <c r="AC937" s="1401">
        <v>0</v>
      </c>
      <c r="AD937" s="1401">
        <f t="shared" si="345"/>
        <v>24826903</v>
      </c>
      <c r="AE937" s="1401">
        <f t="shared" si="346"/>
        <v>24826903</v>
      </c>
      <c r="AF937" s="1401">
        <f t="shared" si="347"/>
        <v>24826903</v>
      </c>
      <c r="AG937" s="1479">
        <f t="shared" si="348"/>
        <v>24826903</v>
      </c>
      <c r="AH937" s="1479">
        <f t="shared" si="349"/>
        <v>24826903</v>
      </c>
      <c r="AI937" s="1479">
        <f t="shared" si="350"/>
        <v>124134515</v>
      </c>
      <c r="AJ937" s="1401">
        <f t="shared" si="356"/>
        <v>1117210635</v>
      </c>
    </row>
    <row r="938" spans="2:38" s="1390" customFormat="1" ht="33" customHeight="1" x14ac:dyDescent="0.2">
      <c r="B938" s="1472"/>
      <c r="C938" s="1478" t="e">
        <f>RIGHT(#REF!,1)</f>
        <v>#REF!</v>
      </c>
      <c r="D938" s="1426"/>
      <c r="E938" s="1429" t="s">
        <v>1432</v>
      </c>
      <c r="F938" s="1529"/>
      <c r="G938" s="1501" t="s">
        <v>2525</v>
      </c>
      <c r="H938" s="1501"/>
      <c r="I938" s="1414"/>
      <c r="J938" s="1540"/>
      <c r="K938" s="1416"/>
      <c r="L938" s="1430"/>
      <c r="M938" s="1429" t="s">
        <v>3203</v>
      </c>
      <c r="N938" s="1501">
        <v>2015</v>
      </c>
      <c r="O938" s="1414"/>
      <c r="P938" s="1414"/>
      <c r="Q938" s="1414"/>
      <c r="R938" s="1501" t="s">
        <v>12</v>
      </c>
      <c r="S938" s="1527">
        <v>194413644</v>
      </c>
      <c r="T938" s="1528"/>
      <c r="U938" s="1575"/>
      <c r="V938" s="1490"/>
      <c r="W938" s="1478" t="str">
        <f t="shared" ref="W938:W943" si="357">LEFT(G938,8)</f>
        <v>04.14.04</v>
      </c>
      <c r="X938" s="1478" t="str">
        <f t="shared" ref="X938:X943" si="358">VLOOKUP(W938,UE,3,FALSE)</f>
        <v>Bangunan Pengaman Sungai dan Penanggulangan Bencana Alam</v>
      </c>
      <c r="Y938" s="1478">
        <f t="shared" ref="Y938:Y943" si="359">VLOOKUP(W938,UE,4,FALSE)</f>
        <v>10</v>
      </c>
      <c r="Z938" s="1401">
        <f t="shared" ref="Z938:Z943" si="360">S938/Y938</f>
        <v>19441364.399999999</v>
      </c>
      <c r="AA938" s="1444">
        <f t="shared" ref="AA938:AA943" si="361">IF(2013-N938+1&gt;Y938,Y938,IF(2013-N938+1&lt;0,0,2013-N938+1))</f>
        <v>0</v>
      </c>
      <c r="AB938" s="1401">
        <f t="shared" ref="AB938:AB943" si="362">IF(AA938&gt;Y938,S938,Z938*AA938)</f>
        <v>0</v>
      </c>
      <c r="AC938" s="1401">
        <v>0</v>
      </c>
      <c r="AD938" s="1401">
        <f t="shared" ref="AD938:AD943" si="363">IF(S938=AB938+AC938,0,Z938)</f>
        <v>19441364.399999999</v>
      </c>
      <c r="AE938" s="1401">
        <f t="shared" ref="AE938:AE950" si="364">IF(S938=AB938+AC938+AD938,0,Z938)</f>
        <v>19441364.399999999</v>
      </c>
      <c r="AF938" s="1401">
        <f t="shared" ref="AF938:AF950" si="365">IF(S938=AC938+AD938+AE938+AB938,0,Z938)</f>
        <v>19441364.399999999</v>
      </c>
      <c r="AG938" s="1479">
        <f t="shared" ref="AG938:AG950" si="366">IF(S938=AC938+AD938+AE938+AB938+AF938,0,Z938)</f>
        <v>19441364.399999999</v>
      </c>
      <c r="AH938" s="1479">
        <f t="shared" ref="AH938:AH973" si="367">IF(S938=AC938+AD938+AE938+AB938+AF938+AG938,0,Z938)</f>
        <v>19441364.399999999</v>
      </c>
      <c r="AI938" s="1479">
        <f t="shared" si="350"/>
        <v>97206822</v>
      </c>
      <c r="AJ938" s="1401">
        <f t="shared" ref="AJ938:AJ943" si="368">S938-AI938</f>
        <v>97206822</v>
      </c>
    </row>
    <row r="939" spans="2:38" s="1390" customFormat="1" ht="33" customHeight="1" x14ac:dyDescent="0.2">
      <c r="B939" s="1472"/>
      <c r="C939" s="1478" t="e">
        <f>RIGHT(#REF!,1)</f>
        <v>#REF!</v>
      </c>
      <c r="D939" s="1426"/>
      <c r="E939" s="1429" t="s">
        <v>1433</v>
      </c>
      <c r="F939" s="1529"/>
      <c r="G939" s="1501" t="s">
        <v>2525</v>
      </c>
      <c r="H939" s="1501"/>
      <c r="I939" s="1414"/>
      <c r="J939" s="1540"/>
      <c r="K939" s="1416"/>
      <c r="L939" s="1430"/>
      <c r="M939" s="1429" t="s">
        <v>3253</v>
      </c>
      <c r="N939" s="1501">
        <v>2015</v>
      </c>
      <c r="O939" s="1414"/>
      <c r="P939" s="1414"/>
      <c r="Q939" s="1414"/>
      <c r="R939" s="1501" t="s">
        <v>12</v>
      </c>
      <c r="S939" s="1527">
        <v>194508025</v>
      </c>
      <c r="T939" s="1528"/>
      <c r="U939" s="1575"/>
      <c r="V939" s="1490"/>
      <c r="W939" s="1478" t="str">
        <f t="shared" si="357"/>
        <v>04.14.04</v>
      </c>
      <c r="X939" s="1478" t="str">
        <f t="shared" si="358"/>
        <v>Bangunan Pengaman Sungai dan Penanggulangan Bencana Alam</v>
      </c>
      <c r="Y939" s="1478">
        <f t="shared" si="359"/>
        <v>10</v>
      </c>
      <c r="Z939" s="1401">
        <f t="shared" si="360"/>
        <v>19450802.5</v>
      </c>
      <c r="AA939" s="1444">
        <f t="shared" si="361"/>
        <v>0</v>
      </c>
      <c r="AB939" s="1401">
        <f t="shared" si="362"/>
        <v>0</v>
      </c>
      <c r="AC939" s="1401">
        <v>0</v>
      </c>
      <c r="AD939" s="1401">
        <f t="shared" si="363"/>
        <v>19450802.5</v>
      </c>
      <c r="AE939" s="1401">
        <f t="shared" si="364"/>
        <v>19450802.5</v>
      </c>
      <c r="AF939" s="1401">
        <f t="shared" si="365"/>
        <v>19450802.5</v>
      </c>
      <c r="AG939" s="1479">
        <f t="shared" si="366"/>
        <v>19450802.5</v>
      </c>
      <c r="AH939" s="1479">
        <f t="shared" si="367"/>
        <v>19450802.5</v>
      </c>
      <c r="AI939" s="1479">
        <f t="shared" si="350"/>
        <v>97254012.5</v>
      </c>
      <c r="AJ939" s="1401">
        <f t="shared" si="368"/>
        <v>97254012.5</v>
      </c>
    </row>
    <row r="940" spans="2:38" s="1390" customFormat="1" ht="33" customHeight="1" x14ac:dyDescent="0.2">
      <c r="B940" s="1472"/>
      <c r="C940" s="1478" t="e">
        <f>RIGHT(#REF!,1)</f>
        <v>#REF!</v>
      </c>
      <c r="D940" s="1426"/>
      <c r="E940" s="1429" t="s">
        <v>1434</v>
      </c>
      <c r="F940" s="1529"/>
      <c r="G940" s="1501" t="s">
        <v>2525</v>
      </c>
      <c r="H940" s="1501"/>
      <c r="I940" s="1414"/>
      <c r="J940" s="1540"/>
      <c r="K940" s="1416"/>
      <c r="L940" s="1430"/>
      <c r="M940" s="1429" t="s">
        <v>709</v>
      </c>
      <c r="N940" s="1501">
        <v>2015</v>
      </c>
      <c r="O940" s="1414"/>
      <c r="P940" s="1414"/>
      <c r="Q940" s="1414"/>
      <c r="R940" s="1501" t="s">
        <v>12</v>
      </c>
      <c r="S940" s="1527">
        <v>194125619</v>
      </c>
      <c r="T940" s="1528"/>
      <c r="U940" s="1575"/>
      <c r="V940" s="1490"/>
      <c r="W940" s="1478" t="str">
        <f t="shared" si="357"/>
        <v>04.14.04</v>
      </c>
      <c r="X940" s="1478" t="str">
        <f t="shared" si="358"/>
        <v>Bangunan Pengaman Sungai dan Penanggulangan Bencana Alam</v>
      </c>
      <c r="Y940" s="1478">
        <f t="shared" si="359"/>
        <v>10</v>
      </c>
      <c r="Z940" s="1401">
        <f t="shared" si="360"/>
        <v>19412561.899999999</v>
      </c>
      <c r="AA940" s="1444">
        <f t="shared" si="361"/>
        <v>0</v>
      </c>
      <c r="AB940" s="1401">
        <f t="shared" si="362"/>
        <v>0</v>
      </c>
      <c r="AC940" s="1401">
        <v>0</v>
      </c>
      <c r="AD940" s="1401">
        <f t="shared" si="363"/>
        <v>19412561.899999999</v>
      </c>
      <c r="AE940" s="1401">
        <f t="shared" si="364"/>
        <v>19412561.899999999</v>
      </c>
      <c r="AF940" s="1401">
        <f t="shared" si="365"/>
        <v>19412561.899999999</v>
      </c>
      <c r="AG940" s="1479">
        <f t="shared" si="366"/>
        <v>19412561.899999999</v>
      </c>
      <c r="AH940" s="1479">
        <f t="shared" si="367"/>
        <v>19412561.899999999</v>
      </c>
      <c r="AI940" s="1479">
        <f t="shared" si="350"/>
        <v>97062809.5</v>
      </c>
      <c r="AJ940" s="1401">
        <f t="shared" si="368"/>
        <v>97062809.5</v>
      </c>
    </row>
    <row r="941" spans="2:38" s="1390" customFormat="1" ht="33" customHeight="1" x14ac:dyDescent="0.2">
      <c r="B941" s="1472"/>
      <c r="C941" s="1478" t="s">
        <v>2306</v>
      </c>
      <c r="D941" s="1426"/>
      <c r="E941" s="1523" t="s">
        <v>2511</v>
      </c>
      <c r="F941" s="1529"/>
      <c r="G941" s="1501" t="s">
        <v>2510</v>
      </c>
      <c r="H941" s="1429"/>
      <c r="I941" s="1501"/>
      <c r="J941" s="1540"/>
      <c r="K941" s="1501"/>
      <c r="L941" s="1526" t="s">
        <v>2267</v>
      </c>
      <c r="M941" s="1429" t="s">
        <v>2577</v>
      </c>
      <c r="N941" s="1501">
        <v>2015</v>
      </c>
      <c r="O941" s="1429"/>
      <c r="P941" s="1429"/>
      <c r="Q941" s="1429"/>
      <c r="R941" s="1501" t="s">
        <v>12</v>
      </c>
      <c r="S941" s="1539">
        <v>1775636000</v>
      </c>
      <c r="T941" s="1501"/>
      <c r="U941" s="1596"/>
      <c r="V941" s="1553"/>
      <c r="W941" s="1478" t="str">
        <f t="shared" si="357"/>
        <v>04.14.02</v>
      </c>
      <c r="X941" s="1478" t="str">
        <f t="shared" si="358"/>
        <v>Bangunan Air Pasang Surut</v>
      </c>
      <c r="Y941" s="1478">
        <f t="shared" si="359"/>
        <v>50</v>
      </c>
      <c r="Z941" s="1401">
        <f t="shared" si="360"/>
        <v>35512720</v>
      </c>
      <c r="AA941" s="1444">
        <f t="shared" si="361"/>
        <v>0</v>
      </c>
      <c r="AB941" s="1401">
        <f t="shared" si="362"/>
        <v>0</v>
      </c>
      <c r="AC941" s="1401">
        <v>0</v>
      </c>
      <c r="AD941" s="1401">
        <f t="shared" si="363"/>
        <v>35512720</v>
      </c>
      <c r="AE941" s="1401">
        <f>IF(S941=AB941+AC941+AD941,0,Z941)</f>
        <v>35512720</v>
      </c>
      <c r="AF941" s="1401">
        <f>IF(S941=AC941+AD941+AE941+AB941,0,Z941)</f>
        <v>35512720</v>
      </c>
      <c r="AG941" s="1479">
        <f>IF(S941=AC941+AD941+AE941+AB941+AF941,0,Z941)</f>
        <v>35512720</v>
      </c>
      <c r="AH941" s="1479">
        <f>IF(S941=AC941+AD941+AE941+AB941+AF941+AG941,0,Z941)</f>
        <v>35512720</v>
      </c>
      <c r="AI941" s="1479">
        <f>SUM(AB941:AH941)</f>
        <v>177563600</v>
      </c>
      <c r="AJ941" s="1401">
        <f t="shared" si="368"/>
        <v>1598072400</v>
      </c>
    </row>
    <row r="942" spans="2:38" s="1390" customFormat="1" ht="33" customHeight="1" x14ac:dyDescent="0.2">
      <c r="B942" s="1472"/>
      <c r="C942" s="1478" t="e">
        <f>RIGHT(#REF!,1)</f>
        <v>#REF!</v>
      </c>
      <c r="D942" s="1426"/>
      <c r="E942" s="1429" t="s">
        <v>1431</v>
      </c>
      <c r="F942" s="1529"/>
      <c r="G942" s="1416" t="s">
        <v>2525</v>
      </c>
      <c r="H942" s="1501"/>
      <c r="I942" s="1414"/>
      <c r="J942" s="1540"/>
      <c r="K942" s="1416"/>
      <c r="L942" s="1430"/>
      <c r="M942" s="1429" t="s">
        <v>3252</v>
      </c>
      <c r="N942" s="1501">
        <v>2015</v>
      </c>
      <c r="O942" s="1414"/>
      <c r="P942" s="1414"/>
      <c r="Q942" s="1414"/>
      <c r="R942" s="1501" t="s">
        <v>12</v>
      </c>
      <c r="S942" s="1527">
        <v>674055175</v>
      </c>
      <c r="T942" s="1528"/>
      <c r="U942" s="1575"/>
      <c r="V942" s="1490"/>
      <c r="W942" s="1478" t="str">
        <f t="shared" si="357"/>
        <v>04.14.04</v>
      </c>
      <c r="X942" s="1478" t="str">
        <f t="shared" si="358"/>
        <v>Bangunan Pengaman Sungai dan Penanggulangan Bencana Alam</v>
      </c>
      <c r="Y942" s="1478">
        <f t="shared" si="359"/>
        <v>10</v>
      </c>
      <c r="Z942" s="1401">
        <f t="shared" si="360"/>
        <v>67405517.5</v>
      </c>
      <c r="AA942" s="1444">
        <f t="shared" si="361"/>
        <v>0</v>
      </c>
      <c r="AB942" s="1401">
        <f t="shared" si="362"/>
        <v>0</v>
      </c>
      <c r="AC942" s="1401">
        <v>0</v>
      </c>
      <c r="AD942" s="1401">
        <f t="shared" si="363"/>
        <v>67405517.5</v>
      </c>
      <c r="AE942" s="1401">
        <f>IF(S942=AB942+AC942+AD942,0,Z942)</f>
        <v>67405517.5</v>
      </c>
      <c r="AF942" s="1401">
        <f>IF(S942=AC942+AD942+AE942+AB942,0,Z942)</f>
        <v>67405517.5</v>
      </c>
      <c r="AG942" s="1479">
        <f>IF(S942=AC942+AD942+AE942+AB942+AF942,0,Z942)</f>
        <v>67405517.5</v>
      </c>
      <c r="AH942" s="1479">
        <f>IF(S942=AC942+AD942+AE942+AB942+AF942+AG942,0,Z942)</f>
        <v>67405517.5</v>
      </c>
      <c r="AI942" s="1479">
        <f>SUM(AB942:AH942)</f>
        <v>337027587.5</v>
      </c>
      <c r="AJ942" s="1401">
        <f t="shared" si="368"/>
        <v>337027587.5</v>
      </c>
      <c r="AL942" s="1443">
        <f>SUM(AB942:AG942)</f>
        <v>269622070</v>
      </c>
    </row>
    <row r="943" spans="2:38" s="1390" customFormat="1" ht="33" customHeight="1" x14ac:dyDescent="0.2">
      <c r="B943" s="1472"/>
      <c r="C943" s="1478" t="e">
        <f>RIGHT(#REF!,1)</f>
        <v>#REF!</v>
      </c>
      <c r="D943" s="1426"/>
      <c r="E943" s="1429" t="s">
        <v>1435</v>
      </c>
      <c r="F943" s="1529"/>
      <c r="G943" s="1416" t="s">
        <v>2525</v>
      </c>
      <c r="H943" s="1501"/>
      <c r="I943" s="1414"/>
      <c r="J943" s="1540"/>
      <c r="K943" s="1416"/>
      <c r="L943" s="1430"/>
      <c r="M943" s="1429" t="s">
        <v>3254</v>
      </c>
      <c r="N943" s="1501">
        <v>2015</v>
      </c>
      <c r="O943" s="1414"/>
      <c r="P943" s="1414"/>
      <c r="Q943" s="1414"/>
      <c r="R943" s="1501" t="s">
        <v>12</v>
      </c>
      <c r="S943" s="1527">
        <v>194469172</v>
      </c>
      <c r="T943" s="1528"/>
      <c r="U943" s="1575"/>
      <c r="V943" s="1490"/>
      <c r="W943" s="1478" t="str">
        <f t="shared" si="357"/>
        <v>04.14.04</v>
      </c>
      <c r="X943" s="1478" t="str">
        <f t="shared" si="358"/>
        <v>Bangunan Pengaman Sungai dan Penanggulangan Bencana Alam</v>
      </c>
      <c r="Y943" s="1478">
        <f t="shared" si="359"/>
        <v>10</v>
      </c>
      <c r="Z943" s="1401">
        <f t="shared" si="360"/>
        <v>19446917.199999999</v>
      </c>
      <c r="AA943" s="1444">
        <f t="shared" si="361"/>
        <v>0</v>
      </c>
      <c r="AB943" s="1401">
        <f t="shared" si="362"/>
        <v>0</v>
      </c>
      <c r="AC943" s="1401">
        <v>0</v>
      </c>
      <c r="AD943" s="1401">
        <f t="shared" si="363"/>
        <v>19446917.199999999</v>
      </c>
      <c r="AE943" s="1401">
        <f>IF(S943=AB943+AC943+AD943,0,Z943)</f>
        <v>19446917.199999999</v>
      </c>
      <c r="AF943" s="1401">
        <f>IF(S943=AC943+AD943+AE943+AB943,0,Z943)</f>
        <v>19446917.199999999</v>
      </c>
      <c r="AG943" s="1479">
        <f>IF(S943=AC943+AD943+AE943+AB943+AF943,0,Z943)</f>
        <v>19446917.199999999</v>
      </c>
      <c r="AH943" s="1479">
        <f>IF(S943=AC943+AD943+AE943+AB943+AF943+AG943,0,Z943)</f>
        <v>19446917.199999999</v>
      </c>
      <c r="AI943" s="1479">
        <f>SUM(AB943:AH943)</f>
        <v>97234586</v>
      </c>
      <c r="AJ943" s="1401">
        <f t="shared" si="368"/>
        <v>97234586</v>
      </c>
      <c r="AL943" s="1443">
        <f>SUM(AB943:AG943)</f>
        <v>77787668.799999997</v>
      </c>
    </row>
    <row r="944" spans="2:38" s="1472" customFormat="1" ht="33" customHeight="1" x14ac:dyDescent="0.2">
      <c r="C944" s="1478" t="s">
        <v>2306</v>
      </c>
      <c r="D944" s="1576"/>
      <c r="E944" s="1523" t="s">
        <v>3342</v>
      </c>
      <c r="F944" s="1529"/>
      <c r="G944" s="1501" t="s">
        <v>4199</v>
      </c>
      <c r="H944" s="1429"/>
      <c r="I944" s="1501"/>
      <c r="J944" s="1540"/>
      <c r="K944" s="1501"/>
      <c r="L944" s="1526"/>
      <c r="M944" s="1429"/>
      <c r="N944" s="1501">
        <v>2016</v>
      </c>
      <c r="O944" s="1429"/>
      <c r="P944" s="1429"/>
      <c r="Q944" s="1429"/>
      <c r="R944" s="1501" t="s">
        <v>12</v>
      </c>
      <c r="S944" s="1539">
        <v>34650000</v>
      </c>
      <c r="T944" s="1501"/>
      <c r="U944" s="1596"/>
      <c r="V944" s="1553"/>
      <c r="W944" s="1478" t="str">
        <f t="shared" si="329"/>
        <v>04.14.01</v>
      </c>
      <c r="X944" s="1478" t="str">
        <f t="shared" si="351"/>
        <v>Bangunan Air Irigasi</v>
      </c>
      <c r="Y944" s="1478">
        <f t="shared" si="352"/>
        <v>50</v>
      </c>
      <c r="Z944" s="1401">
        <f t="shared" si="353"/>
        <v>693000</v>
      </c>
      <c r="AA944" s="1444">
        <f t="shared" si="354"/>
        <v>0</v>
      </c>
      <c r="AB944" s="1401">
        <f t="shared" si="355"/>
        <v>0</v>
      </c>
      <c r="AC944" s="1401">
        <v>0</v>
      </c>
      <c r="AD944" s="1401">
        <v>0</v>
      </c>
      <c r="AE944" s="1401">
        <f t="shared" si="364"/>
        <v>693000</v>
      </c>
      <c r="AF944" s="1401">
        <f t="shared" si="365"/>
        <v>693000</v>
      </c>
      <c r="AG944" s="1479">
        <f t="shared" si="366"/>
        <v>693000</v>
      </c>
      <c r="AH944" s="1479">
        <f t="shared" si="367"/>
        <v>693000</v>
      </c>
      <c r="AI944" s="1479">
        <f t="shared" si="350"/>
        <v>2772000</v>
      </c>
      <c r="AJ944" s="1401">
        <f t="shared" si="356"/>
        <v>31878000</v>
      </c>
    </row>
    <row r="945" spans="2:38" s="1472" customFormat="1" ht="33" customHeight="1" x14ac:dyDescent="0.2">
      <c r="C945" s="1478" t="s">
        <v>2306</v>
      </c>
      <c r="D945" s="1576"/>
      <c r="E945" s="1523" t="s">
        <v>1591</v>
      </c>
      <c r="F945" s="1529"/>
      <c r="G945" s="1501" t="s">
        <v>2525</v>
      </c>
      <c r="H945" s="1429"/>
      <c r="I945" s="1501"/>
      <c r="J945" s="1540"/>
      <c r="K945" s="1501"/>
      <c r="L945" s="1526"/>
      <c r="M945" s="1429" t="s">
        <v>3481</v>
      </c>
      <c r="N945" s="1501">
        <v>2016</v>
      </c>
      <c r="O945" s="1429"/>
      <c r="P945" s="1429"/>
      <c r="Q945" s="1429"/>
      <c r="R945" s="1501" t="s">
        <v>12</v>
      </c>
      <c r="S945" s="1539">
        <v>343248700</v>
      </c>
      <c r="T945" s="1501"/>
      <c r="U945" s="1596"/>
      <c r="V945" s="1553"/>
      <c r="W945" s="1478" t="str">
        <f t="shared" si="329"/>
        <v>04.14.04</v>
      </c>
      <c r="X945" s="1478" t="str">
        <f t="shared" si="351"/>
        <v>Bangunan Pengaman Sungai dan Penanggulangan Bencana Alam</v>
      </c>
      <c r="Y945" s="1478">
        <f t="shared" si="352"/>
        <v>10</v>
      </c>
      <c r="Z945" s="1401">
        <f t="shared" si="353"/>
        <v>34324870</v>
      </c>
      <c r="AA945" s="1444">
        <f t="shared" si="354"/>
        <v>0</v>
      </c>
      <c r="AB945" s="1401">
        <f t="shared" si="355"/>
        <v>0</v>
      </c>
      <c r="AC945" s="1401">
        <v>0</v>
      </c>
      <c r="AD945" s="1401">
        <v>0</v>
      </c>
      <c r="AE945" s="1401">
        <f t="shared" si="364"/>
        <v>34324870</v>
      </c>
      <c r="AF945" s="1401">
        <f t="shared" si="365"/>
        <v>34324870</v>
      </c>
      <c r="AG945" s="1479">
        <f t="shared" si="366"/>
        <v>34324870</v>
      </c>
      <c r="AH945" s="1479">
        <f t="shared" si="367"/>
        <v>34324870</v>
      </c>
      <c r="AI945" s="1479">
        <f t="shared" si="350"/>
        <v>137299480</v>
      </c>
      <c r="AJ945" s="1401">
        <f t="shared" si="356"/>
        <v>205949220</v>
      </c>
    </row>
    <row r="946" spans="2:38" s="1472" customFormat="1" ht="33" customHeight="1" x14ac:dyDescent="0.2">
      <c r="C946" s="1478" t="s">
        <v>2306</v>
      </c>
      <c r="D946" s="1576"/>
      <c r="E946" s="1523" t="s">
        <v>5610</v>
      </c>
      <c r="F946" s="1529"/>
      <c r="G946" s="1501" t="s">
        <v>2525</v>
      </c>
      <c r="H946" s="1429"/>
      <c r="I946" s="1501"/>
      <c r="J946" s="1540"/>
      <c r="K946" s="1501"/>
      <c r="L946" s="1526"/>
      <c r="M946" s="1429" t="s">
        <v>3482</v>
      </c>
      <c r="N946" s="1501">
        <v>2016</v>
      </c>
      <c r="O946" s="1429"/>
      <c r="P946" s="1429"/>
      <c r="Q946" s="1429"/>
      <c r="R946" s="1501" t="s">
        <v>12</v>
      </c>
      <c r="S946" s="1539">
        <f>671012000</f>
        <v>671012000</v>
      </c>
      <c r="T946" s="1501"/>
      <c r="U946" s="1596"/>
      <c r="V946" s="1553"/>
      <c r="W946" s="1478" t="str">
        <f t="shared" si="329"/>
        <v>04.14.04</v>
      </c>
      <c r="X946" s="1478" t="str">
        <f t="shared" si="351"/>
        <v>Bangunan Pengaman Sungai dan Penanggulangan Bencana Alam</v>
      </c>
      <c r="Y946" s="1478">
        <f t="shared" si="352"/>
        <v>10</v>
      </c>
      <c r="Z946" s="1401">
        <f t="shared" si="353"/>
        <v>67101200</v>
      </c>
      <c r="AA946" s="1444">
        <f t="shared" si="354"/>
        <v>0</v>
      </c>
      <c r="AB946" s="1479">
        <f>SUMIF(PERHITUNGAN!A:A,'KIB D'!B946&amp;'KIB D'!$AB$7,PERHITUNGAN!U:U)</f>
        <v>0</v>
      </c>
      <c r="AC946" s="1479">
        <f>SUMIF(PERHITUNGAN!A:A,'KIB D'!B946&amp;'KIB D'!$AC$7,PERHITUNGAN!U:U)</f>
        <v>0</v>
      </c>
      <c r="AD946" s="1479">
        <f>SUMIF(PERHITUNGAN!A:A,'KIB D'!B946&amp;'KIB D'!$AD$7,PERHITUNGAN!U:U)</f>
        <v>0</v>
      </c>
      <c r="AE946" s="1401">
        <f t="shared" si="364"/>
        <v>67101200</v>
      </c>
      <c r="AF946" s="1401">
        <f t="shared" si="365"/>
        <v>67101200</v>
      </c>
      <c r="AG946" s="1479">
        <f t="shared" si="366"/>
        <v>67101200</v>
      </c>
      <c r="AH946" s="1479">
        <f t="shared" si="367"/>
        <v>67101200</v>
      </c>
      <c r="AI946" s="1479">
        <f>SUM(AB946:AH946)</f>
        <v>268404800</v>
      </c>
      <c r="AJ946" s="1401">
        <f t="shared" si="356"/>
        <v>402607200</v>
      </c>
    </row>
    <row r="947" spans="2:38" s="1472" customFormat="1" ht="33" customHeight="1" x14ac:dyDescent="0.2">
      <c r="C947" s="1478" t="s">
        <v>2306</v>
      </c>
      <c r="D947" s="1576"/>
      <c r="E947" s="1523" t="s">
        <v>1593</v>
      </c>
      <c r="F947" s="1529"/>
      <c r="G947" s="1501" t="s">
        <v>2551</v>
      </c>
      <c r="H947" s="1429"/>
      <c r="I947" s="1501"/>
      <c r="J947" s="1540"/>
      <c r="K947" s="1501"/>
      <c r="L947" s="1526"/>
      <c r="M947" s="1429" t="s">
        <v>3483</v>
      </c>
      <c r="N947" s="1501">
        <v>2016</v>
      </c>
      <c r="O947" s="1429"/>
      <c r="P947" s="1429"/>
      <c r="Q947" s="1429"/>
      <c r="R947" s="1501" t="s">
        <v>12</v>
      </c>
      <c r="S947" s="1539">
        <v>604876000</v>
      </c>
      <c r="T947" s="1501"/>
      <c r="U947" s="1596"/>
      <c r="V947" s="1553"/>
      <c r="W947" s="1478" t="str">
        <f t="shared" si="329"/>
        <v>04.14.04</v>
      </c>
      <c r="X947" s="1478" t="str">
        <f t="shared" si="351"/>
        <v>Bangunan Pengaman Sungai dan Penanggulangan Bencana Alam</v>
      </c>
      <c r="Y947" s="1478">
        <f t="shared" si="352"/>
        <v>10</v>
      </c>
      <c r="Z947" s="1401">
        <f t="shared" si="353"/>
        <v>60487600</v>
      </c>
      <c r="AA947" s="1444">
        <f t="shared" si="354"/>
        <v>0</v>
      </c>
      <c r="AB947" s="1401">
        <f t="shared" si="355"/>
        <v>0</v>
      </c>
      <c r="AC947" s="1401">
        <v>0</v>
      </c>
      <c r="AD947" s="1401">
        <v>0</v>
      </c>
      <c r="AE947" s="1401">
        <f t="shared" si="364"/>
        <v>60487600</v>
      </c>
      <c r="AF947" s="1401">
        <f t="shared" si="365"/>
        <v>60487600</v>
      </c>
      <c r="AG947" s="1479">
        <f t="shared" si="366"/>
        <v>60487600</v>
      </c>
      <c r="AH947" s="1479">
        <f t="shared" si="367"/>
        <v>60487600</v>
      </c>
      <c r="AI947" s="1479">
        <f t="shared" si="350"/>
        <v>241950400</v>
      </c>
      <c r="AJ947" s="1401">
        <f t="shared" si="356"/>
        <v>362925600</v>
      </c>
      <c r="AL947" s="1554">
        <f>SUM(AB947:AG947)</f>
        <v>181462800</v>
      </c>
    </row>
    <row r="948" spans="2:38" s="1472" customFormat="1" ht="33" customHeight="1" x14ac:dyDescent="0.2">
      <c r="C948" s="1478" t="s">
        <v>2306</v>
      </c>
      <c r="D948" s="1576"/>
      <c r="E948" s="1523" t="s">
        <v>1594</v>
      </c>
      <c r="F948" s="1529"/>
      <c r="G948" s="1501" t="s">
        <v>2551</v>
      </c>
      <c r="H948" s="1429"/>
      <c r="I948" s="1501"/>
      <c r="J948" s="1540"/>
      <c r="K948" s="1501"/>
      <c r="L948" s="1526"/>
      <c r="M948" s="1429" t="s">
        <v>3405</v>
      </c>
      <c r="N948" s="1501">
        <v>2016</v>
      </c>
      <c r="O948" s="1429"/>
      <c r="P948" s="1429"/>
      <c r="Q948" s="1429"/>
      <c r="R948" s="1501" t="s">
        <v>12</v>
      </c>
      <c r="S948" s="1539">
        <v>198750000</v>
      </c>
      <c r="T948" s="1501"/>
      <c r="U948" s="1596"/>
      <c r="V948" s="1553"/>
      <c r="W948" s="1478" t="str">
        <f t="shared" si="329"/>
        <v>04.14.04</v>
      </c>
      <c r="X948" s="1478" t="str">
        <f t="shared" si="351"/>
        <v>Bangunan Pengaman Sungai dan Penanggulangan Bencana Alam</v>
      </c>
      <c r="Y948" s="1478">
        <f t="shared" si="352"/>
        <v>10</v>
      </c>
      <c r="Z948" s="1401">
        <f t="shared" si="353"/>
        <v>19875000</v>
      </c>
      <c r="AA948" s="1444">
        <f t="shared" si="354"/>
        <v>0</v>
      </c>
      <c r="AB948" s="1401">
        <f t="shared" si="355"/>
        <v>0</v>
      </c>
      <c r="AC948" s="1401">
        <v>0</v>
      </c>
      <c r="AD948" s="1401">
        <v>0</v>
      </c>
      <c r="AE948" s="1401">
        <f t="shared" si="364"/>
        <v>19875000</v>
      </c>
      <c r="AF948" s="1401">
        <f t="shared" si="365"/>
        <v>19875000</v>
      </c>
      <c r="AG948" s="1479">
        <f t="shared" si="366"/>
        <v>19875000</v>
      </c>
      <c r="AH948" s="1479">
        <f t="shared" si="367"/>
        <v>19875000</v>
      </c>
      <c r="AI948" s="1479">
        <f t="shared" si="350"/>
        <v>79500000</v>
      </c>
      <c r="AJ948" s="1401">
        <f t="shared" si="356"/>
        <v>119250000</v>
      </c>
      <c r="AL948" s="1554">
        <f>SUM(AB948:AG948)</f>
        <v>59625000</v>
      </c>
    </row>
    <row r="949" spans="2:38" s="1472" customFormat="1" ht="33" customHeight="1" x14ac:dyDescent="0.2">
      <c r="C949" s="1478" t="s">
        <v>2306</v>
      </c>
      <c r="D949" s="1576"/>
      <c r="E949" s="1523" t="s">
        <v>1595</v>
      </c>
      <c r="F949" s="1529"/>
      <c r="G949" s="1501" t="s">
        <v>4199</v>
      </c>
      <c r="H949" s="1429"/>
      <c r="I949" s="1501"/>
      <c r="J949" s="1540"/>
      <c r="K949" s="1501"/>
      <c r="L949" s="1526"/>
      <c r="M949" s="1429" t="s">
        <v>3484</v>
      </c>
      <c r="N949" s="1501">
        <v>2016</v>
      </c>
      <c r="O949" s="1429"/>
      <c r="P949" s="1429"/>
      <c r="Q949" s="1429"/>
      <c r="R949" s="1501" t="s">
        <v>12</v>
      </c>
      <c r="S949" s="1539">
        <v>956331940.60419047</v>
      </c>
      <c r="T949" s="1501"/>
      <c r="U949" s="1596"/>
      <c r="V949" s="1553"/>
      <c r="W949" s="1478" t="str">
        <f t="shared" si="329"/>
        <v>04.14.01</v>
      </c>
      <c r="X949" s="1478" t="str">
        <f t="shared" si="351"/>
        <v>Bangunan Air Irigasi</v>
      </c>
      <c r="Y949" s="1478">
        <f t="shared" si="352"/>
        <v>50</v>
      </c>
      <c r="Z949" s="1401">
        <f t="shared" si="353"/>
        <v>19126638.812083811</v>
      </c>
      <c r="AA949" s="1444">
        <f t="shared" si="354"/>
        <v>0</v>
      </c>
      <c r="AB949" s="1401">
        <f t="shared" si="355"/>
        <v>0</v>
      </c>
      <c r="AC949" s="1401">
        <v>0</v>
      </c>
      <c r="AD949" s="1401">
        <v>0</v>
      </c>
      <c r="AE949" s="1401">
        <f t="shared" si="364"/>
        <v>19126638.812083811</v>
      </c>
      <c r="AF949" s="1401">
        <f t="shared" si="365"/>
        <v>19126638.812083811</v>
      </c>
      <c r="AG949" s="1479">
        <f t="shared" si="366"/>
        <v>19126638.812083811</v>
      </c>
      <c r="AH949" s="1479">
        <f t="shared" si="367"/>
        <v>19126638.812083811</v>
      </c>
      <c r="AI949" s="1479">
        <f t="shared" si="350"/>
        <v>76506555.248335242</v>
      </c>
      <c r="AJ949" s="1401">
        <f t="shared" si="356"/>
        <v>879825385.35585523</v>
      </c>
    </row>
    <row r="950" spans="2:38" s="1472" customFormat="1" ht="33" customHeight="1" x14ac:dyDescent="0.2">
      <c r="C950" s="1478" t="s">
        <v>2306</v>
      </c>
      <c r="D950" s="1576"/>
      <c r="E950" s="1523" t="s">
        <v>1596</v>
      </c>
      <c r="F950" s="1529"/>
      <c r="G950" s="1501" t="s">
        <v>4199</v>
      </c>
      <c r="H950" s="1429"/>
      <c r="I950" s="1501"/>
      <c r="J950" s="1540"/>
      <c r="K950" s="1501"/>
      <c r="L950" s="1526"/>
      <c r="M950" s="1429" t="s">
        <v>3409</v>
      </c>
      <c r="N950" s="1501">
        <v>2016</v>
      </c>
      <c r="O950" s="1429"/>
      <c r="P950" s="1429"/>
      <c r="Q950" s="1429"/>
      <c r="R950" s="1501" t="s">
        <v>12</v>
      </c>
      <c r="S950" s="1539">
        <v>336929357.28234023</v>
      </c>
      <c r="T950" s="1501"/>
      <c r="U950" s="1596"/>
      <c r="V950" s="1553"/>
      <c r="W950" s="1478" t="str">
        <f t="shared" si="329"/>
        <v>04.14.01</v>
      </c>
      <c r="X950" s="1478" t="str">
        <f t="shared" si="351"/>
        <v>Bangunan Air Irigasi</v>
      </c>
      <c r="Y950" s="1478">
        <f t="shared" si="352"/>
        <v>50</v>
      </c>
      <c r="Z950" s="1401">
        <f t="shared" si="353"/>
        <v>6738587.1456468049</v>
      </c>
      <c r="AA950" s="1444">
        <f t="shared" si="354"/>
        <v>0</v>
      </c>
      <c r="AB950" s="1401">
        <f t="shared" si="355"/>
        <v>0</v>
      </c>
      <c r="AC950" s="1401">
        <v>0</v>
      </c>
      <c r="AD950" s="1401">
        <v>0</v>
      </c>
      <c r="AE950" s="1401">
        <f t="shared" si="364"/>
        <v>6738587.1456468049</v>
      </c>
      <c r="AF950" s="1401">
        <f t="shared" si="365"/>
        <v>6738587.1456468049</v>
      </c>
      <c r="AG950" s="1479">
        <f t="shared" si="366"/>
        <v>6738587.1456468049</v>
      </c>
      <c r="AH950" s="1479">
        <f t="shared" si="367"/>
        <v>6738587.1456468049</v>
      </c>
      <c r="AI950" s="1479">
        <f t="shared" si="350"/>
        <v>26954348.58258722</v>
      </c>
      <c r="AJ950" s="1401">
        <f t="shared" si="356"/>
        <v>309975008.69975299</v>
      </c>
    </row>
    <row r="951" spans="2:38" s="1472" customFormat="1" ht="33" customHeight="1" x14ac:dyDescent="0.2">
      <c r="B951" s="1472" t="s">
        <v>3440</v>
      </c>
      <c r="C951" s="1478" t="s">
        <v>2306</v>
      </c>
      <c r="D951" s="1576"/>
      <c r="E951" s="1523" t="s">
        <v>5612</v>
      </c>
      <c r="F951" s="1529"/>
      <c r="G951" s="1501" t="s">
        <v>4199</v>
      </c>
      <c r="H951" s="1429"/>
      <c r="I951" s="1501"/>
      <c r="J951" s="1540"/>
      <c r="K951" s="1501"/>
      <c r="L951" s="1526"/>
      <c r="M951" s="1429" t="s">
        <v>3440</v>
      </c>
      <c r="N951" s="1501">
        <v>2016</v>
      </c>
      <c r="O951" s="1429"/>
      <c r="P951" s="1429"/>
      <c r="Q951" s="1429"/>
      <c r="R951" s="1501" t="s">
        <v>12</v>
      </c>
      <c r="S951" s="1539">
        <f>1135941291.93772</f>
        <v>1135941291.9377201</v>
      </c>
      <c r="T951" s="1501"/>
      <c r="U951" s="1596"/>
      <c r="V951" s="1553"/>
      <c r="W951" s="1478" t="str">
        <f t="shared" si="329"/>
        <v>04.14.01</v>
      </c>
      <c r="X951" s="1478" t="str">
        <f t="shared" si="351"/>
        <v>Bangunan Air Irigasi</v>
      </c>
      <c r="Y951" s="1478">
        <f t="shared" si="352"/>
        <v>50</v>
      </c>
      <c r="Z951" s="1401">
        <f t="shared" si="353"/>
        <v>22718825.838754401</v>
      </c>
      <c r="AA951" s="1444">
        <f>IF(2013-N951+1&gt;Y951,Y951,IF(2013-N951+1&lt;0,0,2013-N951+1))</f>
        <v>0</v>
      </c>
      <c r="AB951" s="1401">
        <f>IF(AA951&gt;Y951,S951,Z951*AA951)</f>
        <v>0</v>
      </c>
      <c r="AC951" s="1401">
        <v>0</v>
      </c>
      <c r="AD951" s="1401">
        <v>0</v>
      </c>
      <c r="AE951" s="1401">
        <f>IF(S951=AB951+AC951+AD951,0,Z951)</f>
        <v>22718825.838754401</v>
      </c>
      <c r="AF951" s="1401">
        <f>IF(S951=AC951+AD951+AE951+AB951,0,Z951)</f>
        <v>22718825.838754401</v>
      </c>
      <c r="AG951" s="1479">
        <f>IF(S951=AC951+AD951+AE951+AB951+AF951,0,Z951)</f>
        <v>22718825.838754401</v>
      </c>
      <c r="AH951" s="1479">
        <f>IF(S951=AC951+AD951+AE951+AB951+AF951+AG951,0,Z951)</f>
        <v>22718825.838754401</v>
      </c>
      <c r="AI951" s="1479">
        <f>SUM(AB951:AH951)</f>
        <v>90875303.355017602</v>
      </c>
      <c r="AJ951" s="1401">
        <f>S951-AI951</f>
        <v>1045065988.5827024</v>
      </c>
    </row>
    <row r="952" spans="2:38" s="1472" customFormat="1" ht="33" customHeight="1" x14ac:dyDescent="0.2">
      <c r="C952" s="1478" t="s">
        <v>2306</v>
      </c>
      <c r="D952" s="1576"/>
      <c r="E952" s="1523" t="s">
        <v>1598</v>
      </c>
      <c r="F952" s="1529"/>
      <c r="G952" s="1501" t="s">
        <v>4199</v>
      </c>
      <c r="H952" s="1429"/>
      <c r="I952" s="1501"/>
      <c r="J952" s="1540"/>
      <c r="K952" s="1501"/>
      <c r="L952" s="1526"/>
      <c r="M952" s="1429" t="s">
        <v>3471</v>
      </c>
      <c r="N952" s="1501">
        <v>2016</v>
      </c>
      <c r="O952" s="1429"/>
      <c r="P952" s="1429"/>
      <c r="Q952" s="1429"/>
      <c r="R952" s="1501" t="s">
        <v>12</v>
      </c>
      <c r="S952" s="1539">
        <v>362743119.08185184</v>
      </c>
      <c r="T952" s="1501"/>
      <c r="U952" s="1596"/>
      <c r="V952" s="1553"/>
      <c r="W952" s="1478" t="str">
        <f t="shared" si="329"/>
        <v>04.14.01</v>
      </c>
      <c r="X952" s="1478" t="str">
        <f t="shared" si="351"/>
        <v>Bangunan Air Irigasi</v>
      </c>
      <c r="Y952" s="1478">
        <f t="shared" si="352"/>
        <v>50</v>
      </c>
      <c r="Z952" s="1401">
        <f t="shared" si="353"/>
        <v>7254862.3816370368</v>
      </c>
      <c r="AA952" s="1444">
        <f t="shared" si="354"/>
        <v>0</v>
      </c>
      <c r="AB952" s="1401">
        <f t="shared" si="355"/>
        <v>0</v>
      </c>
      <c r="AC952" s="1401">
        <v>0</v>
      </c>
      <c r="AD952" s="1401">
        <v>0</v>
      </c>
      <c r="AE952" s="1401">
        <f t="shared" ref="AE952:AE958" si="369">IF(S952=AB952+AC952+AD952,0,Z952)</f>
        <v>7254862.3816370368</v>
      </c>
      <c r="AF952" s="1401">
        <f t="shared" ref="AF952:AF958" si="370">IF(S952=AC952+AD952+AE952+AB952,0,Z952)</f>
        <v>7254862.3816370368</v>
      </c>
      <c r="AG952" s="1479">
        <f t="shared" ref="AG952:AG958" si="371">IF(S952=AC952+AD952+AE952+AB952+AF952,0,Z952)</f>
        <v>7254862.3816370368</v>
      </c>
      <c r="AH952" s="1479">
        <f t="shared" ref="AH952:AH958" si="372">IF(S952=AC952+AD952+AE952+AB952+AF952+AG952,0,Z952)</f>
        <v>7254862.3816370368</v>
      </c>
      <c r="AI952" s="1479">
        <f t="shared" ref="AI952:AI958" si="373">SUM(AB952:AH952)</f>
        <v>29019449.526548147</v>
      </c>
      <c r="AJ952" s="1401">
        <f t="shared" si="356"/>
        <v>333723669.55530369</v>
      </c>
    </row>
    <row r="953" spans="2:38" s="1390" customFormat="1" ht="33" customHeight="1" x14ac:dyDescent="0.2">
      <c r="B953" s="1472"/>
      <c r="C953" s="1478" t="s">
        <v>2306</v>
      </c>
      <c r="D953" s="1426"/>
      <c r="E953" s="1523" t="s">
        <v>1599</v>
      </c>
      <c r="F953" s="1529"/>
      <c r="G953" s="1501" t="s">
        <v>4199</v>
      </c>
      <c r="H953" s="1429"/>
      <c r="I953" s="1501"/>
      <c r="J953" s="1540"/>
      <c r="K953" s="1501"/>
      <c r="L953" s="1526"/>
      <c r="M953" s="1429" t="s">
        <v>3485</v>
      </c>
      <c r="N953" s="1501">
        <v>2016</v>
      </c>
      <c r="O953" s="1429"/>
      <c r="P953" s="1429"/>
      <c r="Q953" s="1429"/>
      <c r="R953" s="1501" t="s">
        <v>12</v>
      </c>
      <c r="S953" s="1539">
        <v>718915413.7353797</v>
      </c>
      <c r="T953" s="1501"/>
      <c r="U953" s="1596"/>
      <c r="V953" s="1553"/>
      <c r="W953" s="1478" t="str">
        <f t="shared" si="329"/>
        <v>04.14.01</v>
      </c>
      <c r="X953" s="1478" t="str">
        <f t="shared" si="351"/>
        <v>Bangunan Air Irigasi</v>
      </c>
      <c r="Y953" s="1478">
        <f t="shared" si="352"/>
        <v>50</v>
      </c>
      <c r="Z953" s="1401">
        <f t="shared" si="353"/>
        <v>14378308.274707593</v>
      </c>
      <c r="AA953" s="1444">
        <f t="shared" si="354"/>
        <v>0</v>
      </c>
      <c r="AB953" s="1401">
        <f t="shared" si="355"/>
        <v>0</v>
      </c>
      <c r="AC953" s="1401">
        <v>0</v>
      </c>
      <c r="AD953" s="1401">
        <v>0</v>
      </c>
      <c r="AE953" s="1401">
        <f t="shared" si="369"/>
        <v>14378308.274707593</v>
      </c>
      <c r="AF953" s="1401">
        <f t="shared" si="370"/>
        <v>14378308.274707593</v>
      </c>
      <c r="AG953" s="1479">
        <f t="shared" si="371"/>
        <v>14378308.274707593</v>
      </c>
      <c r="AH953" s="1479">
        <f t="shared" si="372"/>
        <v>14378308.274707593</v>
      </c>
      <c r="AI953" s="1479">
        <f t="shared" si="373"/>
        <v>57513233.098830372</v>
      </c>
      <c r="AJ953" s="1401">
        <f t="shared" si="356"/>
        <v>661402180.63654935</v>
      </c>
    </row>
    <row r="954" spans="2:38" s="1390" customFormat="1" ht="33" customHeight="1" x14ac:dyDescent="0.2">
      <c r="B954" s="1472"/>
      <c r="C954" s="1478" t="s">
        <v>2306</v>
      </c>
      <c r="D954" s="1426"/>
      <c r="E954" s="1523" t="s">
        <v>1600</v>
      </c>
      <c r="F954" s="1529"/>
      <c r="G954" s="1501" t="s">
        <v>4199</v>
      </c>
      <c r="H954" s="1429"/>
      <c r="I954" s="1501"/>
      <c r="J954" s="1540"/>
      <c r="K954" s="1501"/>
      <c r="L954" s="1526"/>
      <c r="M954" s="1429" t="s">
        <v>3486</v>
      </c>
      <c r="N954" s="1501">
        <v>2016</v>
      </c>
      <c r="O954" s="1429"/>
      <c r="P954" s="1429"/>
      <c r="Q954" s="1429"/>
      <c r="R954" s="1501" t="s">
        <v>12</v>
      </c>
      <c r="S954" s="1539">
        <v>790283293.48653066</v>
      </c>
      <c r="T954" s="1501"/>
      <c r="U954" s="1596"/>
      <c r="V954" s="1553"/>
      <c r="W954" s="1478" t="str">
        <f t="shared" si="329"/>
        <v>04.14.01</v>
      </c>
      <c r="X954" s="1478" t="str">
        <f t="shared" si="351"/>
        <v>Bangunan Air Irigasi</v>
      </c>
      <c r="Y954" s="1478">
        <f t="shared" si="352"/>
        <v>50</v>
      </c>
      <c r="Z954" s="1401">
        <f t="shared" si="353"/>
        <v>15805665.869730614</v>
      </c>
      <c r="AA954" s="1444">
        <f t="shared" si="354"/>
        <v>0</v>
      </c>
      <c r="AB954" s="1401">
        <f t="shared" si="355"/>
        <v>0</v>
      </c>
      <c r="AC954" s="1401">
        <v>0</v>
      </c>
      <c r="AD954" s="1401">
        <v>0</v>
      </c>
      <c r="AE954" s="1401">
        <f t="shared" si="369"/>
        <v>15805665.869730614</v>
      </c>
      <c r="AF954" s="1401">
        <f t="shared" si="370"/>
        <v>15805665.869730614</v>
      </c>
      <c r="AG954" s="1479">
        <f t="shared" si="371"/>
        <v>15805665.869730614</v>
      </c>
      <c r="AH954" s="1479">
        <f t="shared" si="372"/>
        <v>15805665.869730614</v>
      </c>
      <c r="AI954" s="1479">
        <f t="shared" si="373"/>
        <v>63222663.478922457</v>
      </c>
      <c r="AJ954" s="1401">
        <f t="shared" si="356"/>
        <v>727060630.00760818</v>
      </c>
    </row>
    <row r="955" spans="2:38" s="1390" customFormat="1" ht="33" customHeight="1" x14ac:dyDescent="0.2">
      <c r="B955" s="1472"/>
      <c r="C955" s="1478" t="s">
        <v>2306</v>
      </c>
      <c r="D955" s="1426"/>
      <c r="E955" s="1523" t="s">
        <v>1601</v>
      </c>
      <c r="F955" s="1529"/>
      <c r="G955" s="1501" t="s">
        <v>4199</v>
      </c>
      <c r="H955" s="1429"/>
      <c r="I955" s="1501"/>
      <c r="J955" s="1540"/>
      <c r="K955" s="1501"/>
      <c r="L955" s="1526"/>
      <c r="M955" s="1429" t="s">
        <v>2610</v>
      </c>
      <c r="N955" s="1501">
        <v>2016</v>
      </c>
      <c r="O955" s="1429"/>
      <c r="P955" s="1429"/>
      <c r="Q955" s="1429"/>
      <c r="R955" s="1501" t="s">
        <v>12</v>
      </c>
      <c r="S955" s="1539">
        <v>340989191.43586475</v>
      </c>
      <c r="T955" s="1501"/>
      <c r="U955" s="1596"/>
      <c r="V955" s="1553"/>
      <c r="W955" s="1478" t="str">
        <f t="shared" si="329"/>
        <v>04.14.01</v>
      </c>
      <c r="X955" s="1478" t="str">
        <f t="shared" si="351"/>
        <v>Bangunan Air Irigasi</v>
      </c>
      <c r="Y955" s="1478">
        <f t="shared" si="352"/>
        <v>50</v>
      </c>
      <c r="Z955" s="1401">
        <f t="shared" si="353"/>
        <v>6819783.8287172951</v>
      </c>
      <c r="AA955" s="1444">
        <f t="shared" si="354"/>
        <v>0</v>
      </c>
      <c r="AB955" s="1401">
        <f t="shared" si="355"/>
        <v>0</v>
      </c>
      <c r="AC955" s="1401">
        <v>0</v>
      </c>
      <c r="AD955" s="1401">
        <v>0</v>
      </c>
      <c r="AE955" s="1401">
        <f t="shared" si="369"/>
        <v>6819783.8287172951</v>
      </c>
      <c r="AF955" s="1401">
        <f t="shared" si="370"/>
        <v>6819783.8287172951</v>
      </c>
      <c r="AG955" s="1479">
        <f t="shared" si="371"/>
        <v>6819783.8287172951</v>
      </c>
      <c r="AH955" s="1479">
        <f t="shared" si="372"/>
        <v>6819783.8287172951</v>
      </c>
      <c r="AI955" s="1479">
        <f t="shared" si="373"/>
        <v>27279135.31486918</v>
      </c>
      <c r="AJ955" s="1401">
        <f t="shared" si="356"/>
        <v>313710056.12099558</v>
      </c>
    </row>
    <row r="956" spans="2:38" s="1390" customFormat="1" ht="33" customHeight="1" x14ac:dyDescent="0.2">
      <c r="B956" s="1472"/>
      <c r="C956" s="1478" t="s">
        <v>2306</v>
      </c>
      <c r="D956" s="1426"/>
      <c r="E956" s="1523" t="s">
        <v>1602</v>
      </c>
      <c r="F956" s="1529"/>
      <c r="G956" s="1501" t="s">
        <v>4199</v>
      </c>
      <c r="H956" s="1429"/>
      <c r="I956" s="1501"/>
      <c r="J956" s="1540"/>
      <c r="K956" s="1501"/>
      <c r="L956" s="1526"/>
      <c r="M956" s="1429" t="s">
        <v>3476</v>
      </c>
      <c r="N956" s="1501">
        <v>2016</v>
      </c>
      <c r="O956" s="1429"/>
      <c r="P956" s="1429"/>
      <c r="Q956" s="1429"/>
      <c r="R956" s="1501" t="s">
        <v>12</v>
      </c>
      <c r="S956" s="1539">
        <v>708347994.3886112</v>
      </c>
      <c r="T956" s="1501"/>
      <c r="U956" s="1596"/>
      <c r="V956" s="1553"/>
      <c r="W956" s="1478" t="str">
        <f t="shared" ref="W956:W1012" si="374">LEFT(G956,8)</f>
        <v>04.14.01</v>
      </c>
      <c r="X956" s="1478" t="str">
        <f t="shared" si="351"/>
        <v>Bangunan Air Irigasi</v>
      </c>
      <c r="Y956" s="1478">
        <f t="shared" si="352"/>
        <v>50</v>
      </c>
      <c r="Z956" s="1401">
        <f t="shared" si="353"/>
        <v>14166959.887772225</v>
      </c>
      <c r="AA956" s="1444">
        <f t="shared" si="354"/>
        <v>0</v>
      </c>
      <c r="AB956" s="1401">
        <f t="shared" si="355"/>
        <v>0</v>
      </c>
      <c r="AC956" s="1401">
        <v>0</v>
      </c>
      <c r="AD956" s="1401">
        <v>0</v>
      </c>
      <c r="AE956" s="1401">
        <f t="shared" si="369"/>
        <v>14166959.887772225</v>
      </c>
      <c r="AF956" s="1401">
        <f t="shared" si="370"/>
        <v>14166959.887772225</v>
      </c>
      <c r="AG956" s="1479">
        <f t="shared" si="371"/>
        <v>14166959.887772225</v>
      </c>
      <c r="AH956" s="1479">
        <f t="shared" si="372"/>
        <v>14166959.887772225</v>
      </c>
      <c r="AI956" s="1479">
        <f t="shared" si="373"/>
        <v>56667839.551088899</v>
      </c>
      <c r="AJ956" s="1401">
        <f t="shared" si="356"/>
        <v>651680154.83752227</v>
      </c>
    </row>
    <row r="957" spans="2:38" s="1390" customFormat="1" ht="33" customHeight="1" x14ac:dyDescent="0.2">
      <c r="B957" s="1472"/>
      <c r="C957" s="1478" t="s">
        <v>2306</v>
      </c>
      <c r="D957" s="1426"/>
      <c r="E957" s="1523" t="s">
        <v>1549</v>
      </c>
      <c r="F957" s="1529"/>
      <c r="G957" s="1501" t="s">
        <v>4899</v>
      </c>
      <c r="H957" s="1429"/>
      <c r="I957" s="1501"/>
      <c r="J957" s="1540"/>
      <c r="K957" s="1501"/>
      <c r="L957" s="1526"/>
      <c r="M957" s="1429" t="s">
        <v>3445</v>
      </c>
      <c r="N957" s="1501">
        <v>2016</v>
      </c>
      <c r="O957" s="1429"/>
      <c r="P957" s="1429"/>
      <c r="Q957" s="1429"/>
      <c r="R957" s="1501" t="s">
        <v>12</v>
      </c>
      <c r="S957" s="1539">
        <v>190702953</v>
      </c>
      <c r="T957" s="1501"/>
      <c r="U957" s="1596"/>
      <c r="V957" s="1553"/>
      <c r="W957" s="1478" t="str">
        <f t="shared" si="374"/>
        <v>04.14.04</v>
      </c>
      <c r="X957" s="1478" t="str">
        <f t="shared" si="351"/>
        <v>Bangunan Pengaman Sungai dan Penanggulangan Bencana Alam</v>
      </c>
      <c r="Y957" s="1478">
        <f t="shared" si="352"/>
        <v>10</v>
      </c>
      <c r="Z957" s="1401">
        <f t="shared" si="353"/>
        <v>19070295.300000001</v>
      </c>
      <c r="AA957" s="1444">
        <f t="shared" si="354"/>
        <v>0</v>
      </c>
      <c r="AB957" s="1401">
        <f t="shared" si="355"/>
        <v>0</v>
      </c>
      <c r="AC957" s="1401">
        <v>0</v>
      </c>
      <c r="AD957" s="1401">
        <v>0</v>
      </c>
      <c r="AE957" s="1401">
        <f t="shared" si="369"/>
        <v>19070295.300000001</v>
      </c>
      <c r="AF957" s="1401">
        <f t="shared" si="370"/>
        <v>19070295.300000001</v>
      </c>
      <c r="AG957" s="1479">
        <f t="shared" si="371"/>
        <v>19070295.300000001</v>
      </c>
      <c r="AH957" s="1479">
        <f t="shared" si="372"/>
        <v>19070295.300000001</v>
      </c>
      <c r="AI957" s="1479">
        <f t="shared" si="373"/>
        <v>76281181.200000003</v>
      </c>
      <c r="AJ957" s="1401">
        <f t="shared" si="356"/>
        <v>114421771.8</v>
      </c>
    </row>
    <row r="958" spans="2:38" s="1390" customFormat="1" ht="33" customHeight="1" x14ac:dyDescent="0.2">
      <c r="B958" s="1472"/>
      <c r="C958" s="1478" t="s">
        <v>2306</v>
      </c>
      <c r="D958" s="1426"/>
      <c r="E958" s="1523" t="s">
        <v>1603</v>
      </c>
      <c r="F958" s="1529"/>
      <c r="G958" s="1501" t="s">
        <v>4899</v>
      </c>
      <c r="H958" s="1429"/>
      <c r="I958" s="1501"/>
      <c r="J958" s="1540"/>
      <c r="K958" s="1501"/>
      <c r="L958" s="1526"/>
      <c r="M958" s="1429" t="s">
        <v>3450</v>
      </c>
      <c r="N958" s="1501">
        <v>2016</v>
      </c>
      <c r="O958" s="1429"/>
      <c r="P958" s="1429"/>
      <c r="Q958" s="1429"/>
      <c r="R958" s="1501" t="s">
        <v>12</v>
      </c>
      <c r="S958" s="1539">
        <v>320329000</v>
      </c>
      <c r="T958" s="1501"/>
      <c r="U958" s="1596"/>
      <c r="V958" s="1553"/>
      <c r="W958" s="1478" t="str">
        <f t="shared" si="374"/>
        <v>04.14.04</v>
      </c>
      <c r="X958" s="1478" t="str">
        <f t="shared" si="351"/>
        <v>Bangunan Pengaman Sungai dan Penanggulangan Bencana Alam</v>
      </c>
      <c r="Y958" s="1478">
        <f t="shared" si="352"/>
        <v>10</v>
      </c>
      <c r="Z958" s="1401">
        <f t="shared" si="353"/>
        <v>32032900</v>
      </c>
      <c r="AA958" s="1444">
        <f t="shared" si="354"/>
        <v>0</v>
      </c>
      <c r="AB958" s="1401">
        <f t="shared" si="355"/>
        <v>0</v>
      </c>
      <c r="AC958" s="1401">
        <v>0</v>
      </c>
      <c r="AD958" s="1401">
        <v>0</v>
      </c>
      <c r="AE958" s="1401">
        <f t="shared" si="369"/>
        <v>32032900</v>
      </c>
      <c r="AF958" s="1401">
        <f t="shared" si="370"/>
        <v>32032900</v>
      </c>
      <c r="AG958" s="1479">
        <f t="shared" si="371"/>
        <v>32032900</v>
      </c>
      <c r="AH958" s="1479">
        <f t="shared" si="372"/>
        <v>32032900</v>
      </c>
      <c r="AI958" s="1479">
        <f t="shared" si="373"/>
        <v>128131600</v>
      </c>
      <c r="AJ958" s="1401">
        <f t="shared" si="356"/>
        <v>192197400</v>
      </c>
    </row>
    <row r="959" spans="2:38" s="1390" customFormat="1" ht="33" customHeight="1" x14ac:dyDescent="0.2">
      <c r="B959" s="1472"/>
      <c r="C959" s="1478"/>
      <c r="D959" s="1426"/>
      <c r="E959" s="1429" t="s">
        <v>2513</v>
      </c>
      <c r="F959" s="1539"/>
      <c r="G959" s="1501" t="s">
        <v>4899</v>
      </c>
      <c r="H959" s="1429"/>
      <c r="I959" s="1501"/>
      <c r="J959" s="1540"/>
      <c r="K959" s="1501"/>
      <c r="L959" s="1526"/>
      <c r="M959" s="1429" t="s">
        <v>2578</v>
      </c>
      <c r="N959" s="1501">
        <v>2017</v>
      </c>
      <c r="O959" s="1429"/>
      <c r="P959" s="1429"/>
      <c r="Q959" s="1429"/>
      <c r="R959" s="1501" t="s">
        <v>12</v>
      </c>
      <c r="S959" s="1539">
        <v>381279000</v>
      </c>
      <c r="T959" s="1501"/>
      <c r="U959" s="1596"/>
      <c r="V959" s="1553"/>
      <c r="W959" s="1478" t="str">
        <f t="shared" si="374"/>
        <v>04.14.04</v>
      </c>
      <c r="X959" s="1478" t="str">
        <f t="shared" si="351"/>
        <v>Bangunan Pengaman Sungai dan Penanggulangan Bencana Alam</v>
      </c>
      <c r="Y959" s="1478">
        <f t="shared" si="352"/>
        <v>10</v>
      </c>
      <c r="Z959" s="1401">
        <f t="shared" si="353"/>
        <v>38127900</v>
      </c>
      <c r="AA959" s="1444">
        <f t="shared" si="354"/>
        <v>0</v>
      </c>
      <c r="AB959" s="1401">
        <f t="shared" si="355"/>
        <v>0</v>
      </c>
      <c r="AC959" s="1401">
        <v>0</v>
      </c>
      <c r="AD959" s="1401">
        <v>0</v>
      </c>
      <c r="AE959" s="1401">
        <v>0</v>
      </c>
      <c r="AF959" s="1401">
        <f t="shared" ref="AF959:AF986" si="375">IF(S959=AC959+AD959+AE959+AB959,0,Z959)</f>
        <v>38127900</v>
      </c>
      <c r="AG959" s="1479">
        <f t="shared" ref="AG959:AG986" si="376">IF(S959=AC959+AD959+AE959+AB959+AF959,0,Z959)</f>
        <v>38127900</v>
      </c>
      <c r="AH959" s="1479">
        <f t="shared" si="367"/>
        <v>38127900</v>
      </c>
      <c r="AI959" s="1479">
        <f t="shared" si="350"/>
        <v>114383700</v>
      </c>
      <c r="AJ959" s="1401">
        <f t="shared" si="356"/>
        <v>266895300</v>
      </c>
    </row>
    <row r="960" spans="2:38" s="1390" customFormat="1" ht="33" customHeight="1" x14ac:dyDescent="0.2">
      <c r="B960" s="1472"/>
      <c r="C960" s="1478"/>
      <c r="D960" s="1426"/>
      <c r="E960" s="1429" t="s">
        <v>2515</v>
      </c>
      <c r="F960" s="1539"/>
      <c r="G960" s="1501" t="s">
        <v>2514</v>
      </c>
      <c r="H960" s="1429"/>
      <c r="I960" s="1501"/>
      <c r="J960" s="1540"/>
      <c r="K960" s="1501"/>
      <c r="L960" s="1526"/>
      <c r="M960" s="1429" t="s">
        <v>2579</v>
      </c>
      <c r="N960" s="1501">
        <v>2017</v>
      </c>
      <c r="O960" s="1429"/>
      <c r="P960" s="1429"/>
      <c r="Q960" s="1429"/>
      <c r="R960" s="1501" t="s">
        <v>12</v>
      </c>
      <c r="S960" s="1539">
        <v>199532000</v>
      </c>
      <c r="T960" s="1501"/>
      <c r="U960" s="1596"/>
      <c r="V960" s="1553"/>
      <c r="W960" s="1478" t="str">
        <f t="shared" si="374"/>
        <v>04.14.02</v>
      </c>
      <c r="X960" s="1478" t="str">
        <f t="shared" si="351"/>
        <v>Bangunan Air Pasang Surut</v>
      </c>
      <c r="Y960" s="1478">
        <f t="shared" si="352"/>
        <v>50</v>
      </c>
      <c r="Z960" s="1401">
        <f t="shared" si="353"/>
        <v>3990640</v>
      </c>
      <c r="AA960" s="1444">
        <f t="shared" si="354"/>
        <v>0</v>
      </c>
      <c r="AB960" s="1401">
        <f t="shared" si="355"/>
        <v>0</v>
      </c>
      <c r="AC960" s="1401">
        <v>0</v>
      </c>
      <c r="AD960" s="1401">
        <v>0</v>
      </c>
      <c r="AE960" s="1401">
        <v>0</v>
      </c>
      <c r="AF960" s="1401">
        <f t="shared" si="375"/>
        <v>3990640</v>
      </c>
      <c r="AG960" s="1479">
        <f t="shared" si="376"/>
        <v>3990640</v>
      </c>
      <c r="AH960" s="1479">
        <f t="shared" si="367"/>
        <v>3990640</v>
      </c>
      <c r="AI960" s="1479">
        <f t="shared" si="350"/>
        <v>11971920</v>
      </c>
      <c r="AJ960" s="1401">
        <f t="shared" si="356"/>
        <v>187560080</v>
      </c>
    </row>
    <row r="961" spans="2:38" s="1390" customFormat="1" ht="33" customHeight="1" x14ac:dyDescent="0.2">
      <c r="B961" s="1472"/>
      <c r="C961" s="1478"/>
      <c r="D961" s="1426"/>
      <c r="E961" s="1429" t="s">
        <v>2516</v>
      </c>
      <c r="F961" s="1539"/>
      <c r="G961" s="1501" t="s">
        <v>4899</v>
      </c>
      <c r="H961" s="1429"/>
      <c r="I961" s="1501"/>
      <c r="J961" s="1540"/>
      <c r="K961" s="1501"/>
      <c r="L961" s="1526"/>
      <c r="M961" s="1429" t="s">
        <v>2580</v>
      </c>
      <c r="N961" s="1501">
        <v>2017</v>
      </c>
      <c r="O961" s="1429"/>
      <c r="P961" s="1429"/>
      <c r="Q961" s="1429"/>
      <c r="R961" s="1501" t="s">
        <v>12</v>
      </c>
      <c r="S961" s="1539">
        <v>199380000</v>
      </c>
      <c r="T961" s="1501"/>
      <c r="U961" s="1596"/>
      <c r="V961" s="1553"/>
      <c r="W961" s="1478" t="str">
        <f t="shared" si="374"/>
        <v>04.14.04</v>
      </c>
      <c r="X961" s="1478" t="str">
        <f t="shared" si="351"/>
        <v>Bangunan Pengaman Sungai dan Penanggulangan Bencana Alam</v>
      </c>
      <c r="Y961" s="1478">
        <f t="shared" si="352"/>
        <v>10</v>
      </c>
      <c r="Z961" s="1401">
        <f t="shared" si="353"/>
        <v>19938000</v>
      </c>
      <c r="AA961" s="1444">
        <f t="shared" si="354"/>
        <v>0</v>
      </c>
      <c r="AB961" s="1401">
        <f t="shared" si="355"/>
        <v>0</v>
      </c>
      <c r="AC961" s="1401">
        <v>0</v>
      </c>
      <c r="AD961" s="1401">
        <v>0</v>
      </c>
      <c r="AE961" s="1401">
        <v>0</v>
      </c>
      <c r="AF961" s="1401">
        <f t="shared" si="375"/>
        <v>19938000</v>
      </c>
      <c r="AG961" s="1479">
        <f t="shared" si="376"/>
        <v>19938000</v>
      </c>
      <c r="AH961" s="1479">
        <f t="shared" si="367"/>
        <v>19938000</v>
      </c>
      <c r="AI961" s="1479">
        <f t="shared" si="350"/>
        <v>59814000</v>
      </c>
      <c r="AJ961" s="1401">
        <f t="shared" si="356"/>
        <v>139566000</v>
      </c>
    </row>
    <row r="962" spans="2:38" s="1390" customFormat="1" ht="33" customHeight="1" x14ac:dyDescent="0.2">
      <c r="B962" s="1472"/>
      <c r="C962" s="1478"/>
      <c r="D962" s="1426"/>
      <c r="E962" s="1429" t="s">
        <v>2517</v>
      </c>
      <c r="F962" s="1539"/>
      <c r="G962" s="1501" t="s">
        <v>4899</v>
      </c>
      <c r="H962" s="1429"/>
      <c r="I962" s="1501"/>
      <c r="J962" s="1540"/>
      <c r="K962" s="1501"/>
      <c r="L962" s="1526"/>
      <c r="M962" s="1429" t="s">
        <v>2581</v>
      </c>
      <c r="N962" s="1501">
        <v>2017</v>
      </c>
      <c r="O962" s="1429"/>
      <c r="P962" s="1429"/>
      <c r="Q962" s="1429"/>
      <c r="R962" s="1501" t="s">
        <v>12</v>
      </c>
      <c r="S962" s="1539">
        <v>199258000</v>
      </c>
      <c r="T962" s="1501"/>
      <c r="U962" s="1596"/>
      <c r="V962" s="1553"/>
      <c r="W962" s="1478" t="str">
        <f t="shared" si="374"/>
        <v>04.14.04</v>
      </c>
      <c r="X962" s="1478" t="str">
        <f t="shared" si="351"/>
        <v>Bangunan Pengaman Sungai dan Penanggulangan Bencana Alam</v>
      </c>
      <c r="Y962" s="1478">
        <f t="shared" si="352"/>
        <v>10</v>
      </c>
      <c r="Z962" s="1401">
        <f t="shared" si="353"/>
        <v>19925800</v>
      </c>
      <c r="AA962" s="1444">
        <f t="shared" si="354"/>
        <v>0</v>
      </c>
      <c r="AB962" s="1401">
        <f t="shared" si="355"/>
        <v>0</v>
      </c>
      <c r="AC962" s="1401">
        <v>0</v>
      </c>
      <c r="AD962" s="1401">
        <v>0</v>
      </c>
      <c r="AE962" s="1401">
        <v>0</v>
      </c>
      <c r="AF962" s="1401">
        <f t="shared" si="375"/>
        <v>19925800</v>
      </c>
      <c r="AG962" s="1479">
        <f t="shared" si="376"/>
        <v>19925800</v>
      </c>
      <c r="AH962" s="1479">
        <f t="shared" si="367"/>
        <v>19925800</v>
      </c>
      <c r="AI962" s="1479">
        <f t="shared" si="350"/>
        <v>59777400</v>
      </c>
      <c r="AJ962" s="1401">
        <f t="shared" si="356"/>
        <v>139480600</v>
      </c>
    </row>
    <row r="963" spans="2:38" s="1390" customFormat="1" ht="33" customHeight="1" x14ac:dyDescent="0.2">
      <c r="B963" s="1472"/>
      <c r="C963" s="1478"/>
      <c r="D963" s="1426"/>
      <c r="E963" s="1429" t="s">
        <v>2518</v>
      </c>
      <c r="F963" s="1539"/>
      <c r="G963" s="1501" t="s">
        <v>4899</v>
      </c>
      <c r="H963" s="1429"/>
      <c r="I963" s="1501"/>
      <c r="J963" s="1540"/>
      <c r="K963" s="1501"/>
      <c r="L963" s="1526"/>
      <c r="M963" s="1429" t="s">
        <v>2582</v>
      </c>
      <c r="N963" s="1501">
        <v>2017</v>
      </c>
      <c r="O963" s="1429"/>
      <c r="P963" s="1429"/>
      <c r="Q963" s="1429"/>
      <c r="R963" s="1501" t="s">
        <v>12</v>
      </c>
      <c r="S963" s="1539">
        <v>199383000</v>
      </c>
      <c r="T963" s="1501"/>
      <c r="U963" s="1596"/>
      <c r="V963" s="1553"/>
      <c r="W963" s="1478" t="str">
        <f t="shared" si="374"/>
        <v>04.14.04</v>
      </c>
      <c r="X963" s="1478" t="str">
        <f t="shared" si="351"/>
        <v>Bangunan Pengaman Sungai dan Penanggulangan Bencana Alam</v>
      </c>
      <c r="Y963" s="1478">
        <f t="shared" si="352"/>
        <v>10</v>
      </c>
      <c r="Z963" s="1401">
        <f t="shared" si="353"/>
        <v>19938300</v>
      </c>
      <c r="AA963" s="1444">
        <f t="shared" si="354"/>
        <v>0</v>
      </c>
      <c r="AB963" s="1401">
        <f t="shared" si="355"/>
        <v>0</v>
      </c>
      <c r="AC963" s="1401">
        <v>0</v>
      </c>
      <c r="AD963" s="1401">
        <v>0</v>
      </c>
      <c r="AE963" s="1401">
        <v>0</v>
      </c>
      <c r="AF963" s="1401">
        <f t="shared" si="375"/>
        <v>19938300</v>
      </c>
      <c r="AG963" s="1479">
        <f t="shared" si="376"/>
        <v>19938300</v>
      </c>
      <c r="AH963" s="1479">
        <f t="shared" si="367"/>
        <v>19938300</v>
      </c>
      <c r="AI963" s="1479">
        <f t="shared" si="350"/>
        <v>59814900</v>
      </c>
      <c r="AJ963" s="1401">
        <f t="shared" si="356"/>
        <v>139568100</v>
      </c>
    </row>
    <row r="964" spans="2:38" s="1390" customFormat="1" ht="33" customHeight="1" x14ac:dyDescent="0.2">
      <c r="B964" s="1472"/>
      <c r="C964" s="1478"/>
      <c r="D964" s="1426"/>
      <c r="E964" s="1429" t="s">
        <v>2519</v>
      </c>
      <c r="F964" s="1539"/>
      <c r="G964" s="1501" t="s">
        <v>4899</v>
      </c>
      <c r="H964" s="1429"/>
      <c r="I964" s="1501"/>
      <c r="J964" s="1540"/>
      <c r="K964" s="1501"/>
      <c r="L964" s="1526"/>
      <c r="M964" s="1429" t="s">
        <v>2583</v>
      </c>
      <c r="N964" s="1501">
        <v>2017</v>
      </c>
      <c r="O964" s="1429"/>
      <c r="P964" s="1429"/>
      <c r="Q964" s="1429"/>
      <c r="R964" s="1501" t="s">
        <v>12</v>
      </c>
      <c r="S964" s="1539">
        <v>192786800</v>
      </c>
      <c r="T964" s="1501"/>
      <c r="U964" s="1596"/>
      <c r="V964" s="1553"/>
      <c r="W964" s="1478" t="str">
        <f t="shared" si="374"/>
        <v>04.14.04</v>
      </c>
      <c r="X964" s="1478" t="str">
        <f t="shared" si="351"/>
        <v>Bangunan Pengaman Sungai dan Penanggulangan Bencana Alam</v>
      </c>
      <c r="Y964" s="1478">
        <f t="shared" si="352"/>
        <v>10</v>
      </c>
      <c r="Z964" s="1401">
        <f t="shared" si="353"/>
        <v>19278680</v>
      </c>
      <c r="AA964" s="1444">
        <f t="shared" si="354"/>
        <v>0</v>
      </c>
      <c r="AB964" s="1401">
        <f t="shared" si="355"/>
        <v>0</v>
      </c>
      <c r="AC964" s="1401">
        <v>0</v>
      </c>
      <c r="AD964" s="1401">
        <v>0</v>
      </c>
      <c r="AE964" s="1401">
        <v>0</v>
      </c>
      <c r="AF964" s="1401">
        <f t="shared" si="375"/>
        <v>19278680</v>
      </c>
      <c r="AG964" s="1479">
        <f t="shared" si="376"/>
        <v>19278680</v>
      </c>
      <c r="AH964" s="1479">
        <f t="shared" si="367"/>
        <v>19278680</v>
      </c>
      <c r="AI964" s="1479">
        <f t="shared" si="350"/>
        <v>57836040</v>
      </c>
      <c r="AJ964" s="1401">
        <f t="shared" si="356"/>
        <v>134950760</v>
      </c>
    </row>
    <row r="965" spans="2:38" s="1390" customFormat="1" ht="33" customHeight="1" x14ac:dyDescent="0.2">
      <c r="B965" s="1472"/>
      <c r="C965" s="1478"/>
      <c r="D965" s="1426"/>
      <c r="E965" s="1429" t="s">
        <v>2520</v>
      </c>
      <c r="F965" s="1539"/>
      <c r="G965" s="1501" t="s">
        <v>4899</v>
      </c>
      <c r="H965" s="1429"/>
      <c r="I965" s="1501"/>
      <c r="J965" s="1540"/>
      <c r="K965" s="1501"/>
      <c r="L965" s="1526"/>
      <c r="M965" s="1429" t="s">
        <v>2584</v>
      </c>
      <c r="N965" s="1501">
        <v>2017</v>
      </c>
      <c r="O965" s="1429"/>
      <c r="P965" s="1429"/>
      <c r="Q965" s="1429"/>
      <c r="R965" s="1501" t="s">
        <v>12</v>
      </c>
      <c r="S965" s="1539">
        <v>187810000</v>
      </c>
      <c r="T965" s="1501"/>
      <c r="U965" s="1596"/>
      <c r="V965" s="1553"/>
      <c r="W965" s="1478" t="str">
        <f t="shared" si="374"/>
        <v>04.14.04</v>
      </c>
      <c r="X965" s="1478" t="str">
        <f t="shared" si="351"/>
        <v>Bangunan Pengaman Sungai dan Penanggulangan Bencana Alam</v>
      </c>
      <c r="Y965" s="1478">
        <f t="shared" si="352"/>
        <v>10</v>
      </c>
      <c r="Z965" s="1401">
        <f t="shared" si="353"/>
        <v>18781000</v>
      </c>
      <c r="AA965" s="1444">
        <f t="shared" si="354"/>
        <v>0</v>
      </c>
      <c r="AB965" s="1401">
        <f t="shared" si="355"/>
        <v>0</v>
      </c>
      <c r="AC965" s="1401">
        <v>0</v>
      </c>
      <c r="AD965" s="1401">
        <v>0</v>
      </c>
      <c r="AE965" s="1401">
        <v>0</v>
      </c>
      <c r="AF965" s="1401">
        <f t="shared" si="375"/>
        <v>18781000</v>
      </c>
      <c r="AG965" s="1479">
        <f t="shared" si="376"/>
        <v>18781000</v>
      </c>
      <c r="AH965" s="1479">
        <f t="shared" si="367"/>
        <v>18781000</v>
      </c>
      <c r="AI965" s="1479">
        <f t="shared" si="350"/>
        <v>56343000</v>
      </c>
      <c r="AJ965" s="1401">
        <f t="shared" si="356"/>
        <v>131467000</v>
      </c>
    </row>
    <row r="966" spans="2:38" s="1390" customFormat="1" ht="33" customHeight="1" x14ac:dyDescent="0.2">
      <c r="B966" s="1472"/>
      <c r="C966" s="1478"/>
      <c r="D966" s="1426"/>
      <c r="E966" s="1429" t="s">
        <v>2521</v>
      </c>
      <c r="F966" s="1539"/>
      <c r="G966" s="1501" t="s">
        <v>2514</v>
      </c>
      <c r="H966" s="1429"/>
      <c r="I966" s="1501"/>
      <c r="J966" s="1540"/>
      <c r="K966" s="1501"/>
      <c r="L966" s="1526"/>
      <c r="M966" s="1429" t="s">
        <v>2585</v>
      </c>
      <c r="N966" s="1501">
        <v>2017</v>
      </c>
      <c r="O966" s="1429"/>
      <c r="P966" s="1429"/>
      <c r="Q966" s="1429"/>
      <c r="R966" s="1501" t="s">
        <v>12</v>
      </c>
      <c r="S966" s="1539">
        <v>199345000</v>
      </c>
      <c r="T966" s="1501"/>
      <c r="U966" s="1596"/>
      <c r="V966" s="1553"/>
      <c r="W966" s="1478" t="str">
        <f t="shared" si="374"/>
        <v>04.14.02</v>
      </c>
      <c r="X966" s="1478" t="str">
        <f t="shared" si="351"/>
        <v>Bangunan Air Pasang Surut</v>
      </c>
      <c r="Y966" s="1478">
        <f t="shared" si="352"/>
        <v>50</v>
      </c>
      <c r="Z966" s="1401">
        <f t="shared" si="353"/>
        <v>3986900</v>
      </c>
      <c r="AA966" s="1444">
        <f t="shared" si="354"/>
        <v>0</v>
      </c>
      <c r="AB966" s="1401">
        <f t="shared" si="355"/>
        <v>0</v>
      </c>
      <c r="AC966" s="1401">
        <v>0</v>
      </c>
      <c r="AD966" s="1401">
        <v>0</v>
      </c>
      <c r="AE966" s="1401">
        <v>0</v>
      </c>
      <c r="AF966" s="1401">
        <f t="shared" si="375"/>
        <v>3986900</v>
      </c>
      <c r="AG966" s="1479">
        <f t="shared" si="376"/>
        <v>3986900</v>
      </c>
      <c r="AH966" s="1479">
        <f t="shared" si="367"/>
        <v>3986900</v>
      </c>
      <c r="AI966" s="1479">
        <f t="shared" si="350"/>
        <v>11960700</v>
      </c>
      <c r="AJ966" s="1401">
        <f t="shared" si="356"/>
        <v>187384300</v>
      </c>
    </row>
    <row r="967" spans="2:38" s="1390" customFormat="1" ht="33" customHeight="1" x14ac:dyDescent="0.2">
      <c r="B967" s="1472"/>
      <c r="C967" s="1478"/>
      <c r="D967" s="1426"/>
      <c r="E967" s="1429" t="s">
        <v>2522</v>
      </c>
      <c r="F967" s="1539"/>
      <c r="G967" s="1501" t="s">
        <v>4899</v>
      </c>
      <c r="H967" s="1429"/>
      <c r="I967" s="1501"/>
      <c r="J967" s="1540"/>
      <c r="K967" s="1501"/>
      <c r="L967" s="1526"/>
      <c r="M967" s="1429" t="s">
        <v>2586</v>
      </c>
      <c r="N967" s="1501">
        <v>2017</v>
      </c>
      <c r="O967" s="1429"/>
      <c r="P967" s="1429"/>
      <c r="Q967" s="1429"/>
      <c r="R967" s="1501" t="s">
        <v>12</v>
      </c>
      <c r="S967" s="1539">
        <v>199750000</v>
      </c>
      <c r="T967" s="1501"/>
      <c r="U967" s="1596"/>
      <c r="V967" s="1553"/>
      <c r="W967" s="1478" t="str">
        <f t="shared" si="374"/>
        <v>04.14.04</v>
      </c>
      <c r="X967" s="1478" t="str">
        <f t="shared" si="351"/>
        <v>Bangunan Pengaman Sungai dan Penanggulangan Bencana Alam</v>
      </c>
      <c r="Y967" s="1478">
        <f t="shared" si="352"/>
        <v>10</v>
      </c>
      <c r="Z967" s="1401">
        <f t="shared" si="353"/>
        <v>19975000</v>
      </c>
      <c r="AA967" s="1444">
        <f t="shared" si="354"/>
        <v>0</v>
      </c>
      <c r="AB967" s="1401">
        <f t="shared" si="355"/>
        <v>0</v>
      </c>
      <c r="AC967" s="1401">
        <v>0</v>
      </c>
      <c r="AD967" s="1401">
        <v>0</v>
      </c>
      <c r="AE967" s="1401">
        <v>0</v>
      </c>
      <c r="AF967" s="1401">
        <f t="shared" si="375"/>
        <v>19975000</v>
      </c>
      <c r="AG967" s="1479">
        <f t="shared" si="376"/>
        <v>19975000</v>
      </c>
      <c r="AH967" s="1479">
        <f t="shared" si="367"/>
        <v>19975000</v>
      </c>
      <c r="AI967" s="1479">
        <f t="shared" si="350"/>
        <v>59925000</v>
      </c>
      <c r="AJ967" s="1401">
        <f t="shared" si="356"/>
        <v>139825000</v>
      </c>
    </row>
    <row r="968" spans="2:38" s="1390" customFormat="1" ht="33" customHeight="1" x14ac:dyDescent="0.2">
      <c r="B968" s="1472"/>
      <c r="C968" s="1478"/>
      <c r="D968" s="1426"/>
      <c r="E968" s="1429" t="s">
        <v>2523</v>
      </c>
      <c r="F968" s="1539"/>
      <c r="G968" s="1501" t="s">
        <v>2514</v>
      </c>
      <c r="H968" s="1429"/>
      <c r="I968" s="1501"/>
      <c r="J968" s="1540"/>
      <c r="K968" s="1501"/>
      <c r="L968" s="1526"/>
      <c r="M968" s="1429" t="s">
        <v>2587</v>
      </c>
      <c r="N968" s="1501">
        <v>2017</v>
      </c>
      <c r="O968" s="1429"/>
      <c r="P968" s="1429"/>
      <c r="Q968" s="1429"/>
      <c r="R968" s="1501" t="s">
        <v>12</v>
      </c>
      <c r="S968" s="1539">
        <v>199353000</v>
      </c>
      <c r="T968" s="1501"/>
      <c r="U968" s="1596"/>
      <c r="V968" s="1553"/>
      <c r="W968" s="1478" t="str">
        <f t="shared" si="374"/>
        <v>04.14.02</v>
      </c>
      <c r="X968" s="1478" t="str">
        <f t="shared" si="351"/>
        <v>Bangunan Air Pasang Surut</v>
      </c>
      <c r="Y968" s="1478">
        <f t="shared" si="352"/>
        <v>50</v>
      </c>
      <c r="Z968" s="1401">
        <f t="shared" si="353"/>
        <v>3987060</v>
      </c>
      <c r="AA968" s="1444">
        <f t="shared" si="354"/>
        <v>0</v>
      </c>
      <c r="AB968" s="1401">
        <f t="shared" si="355"/>
        <v>0</v>
      </c>
      <c r="AC968" s="1401">
        <v>0</v>
      </c>
      <c r="AD968" s="1401">
        <v>0</v>
      </c>
      <c r="AE968" s="1401">
        <v>0</v>
      </c>
      <c r="AF968" s="1401">
        <f t="shared" si="375"/>
        <v>3987060</v>
      </c>
      <c r="AG968" s="1479">
        <f t="shared" si="376"/>
        <v>3987060</v>
      </c>
      <c r="AH968" s="1479">
        <f t="shared" si="367"/>
        <v>3987060</v>
      </c>
      <c r="AI968" s="1479">
        <f t="shared" si="350"/>
        <v>11961180</v>
      </c>
      <c r="AJ968" s="1401">
        <f t="shared" si="356"/>
        <v>187391820</v>
      </c>
    </row>
    <row r="969" spans="2:38" s="1390" customFormat="1" ht="33" customHeight="1" x14ac:dyDescent="0.2">
      <c r="B969" s="1472"/>
      <c r="C969" s="1478"/>
      <c r="D969" s="1426"/>
      <c r="E969" s="1429" t="s">
        <v>2526</v>
      </c>
      <c r="F969" s="1539"/>
      <c r="G969" s="1501" t="s">
        <v>2525</v>
      </c>
      <c r="H969" s="1429"/>
      <c r="I969" s="1501"/>
      <c r="J969" s="1540"/>
      <c r="K969" s="1501"/>
      <c r="L969" s="1526"/>
      <c r="M969" s="1429" t="s">
        <v>2589</v>
      </c>
      <c r="N969" s="1501">
        <v>2017</v>
      </c>
      <c r="O969" s="1429"/>
      <c r="P969" s="1429"/>
      <c r="Q969" s="1429"/>
      <c r="R969" s="1501" t="s">
        <v>12</v>
      </c>
      <c r="S969" s="1539">
        <v>549746000</v>
      </c>
      <c r="T969" s="1501"/>
      <c r="U969" s="1596"/>
      <c r="V969" s="1553"/>
      <c r="W969" s="1478" t="str">
        <f t="shared" si="374"/>
        <v>04.14.04</v>
      </c>
      <c r="X969" s="1478" t="str">
        <f t="shared" si="351"/>
        <v>Bangunan Pengaman Sungai dan Penanggulangan Bencana Alam</v>
      </c>
      <c r="Y969" s="1478">
        <f t="shared" si="352"/>
        <v>10</v>
      </c>
      <c r="Z969" s="1401">
        <f t="shared" si="353"/>
        <v>54974600</v>
      </c>
      <c r="AA969" s="1444">
        <f t="shared" si="354"/>
        <v>0</v>
      </c>
      <c r="AB969" s="1401">
        <f t="shared" si="355"/>
        <v>0</v>
      </c>
      <c r="AC969" s="1401">
        <v>0</v>
      </c>
      <c r="AD969" s="1401">
        <v>0</v>
      </c>
      <c r="AE969" s="1401">
        <v>0</v>
      </c>
      <c r="AF969" s="1401">
        <f t="shared" si="375"/>
        <v>54974600</v>
      </c>
      <c r="AG969" s="1479">
        <f t="shared" si="376"/>
        <v>54974600</v>
      </c>
      <c r="AH969" s="1479">
        <f t="shared" si="367"/>
        <v>54974600</v>
      </c>
      <c r="AI969" s="1479">
        <f t="shared" si="350"/>
        <v>164923800</v>
      </c>
      <c r="AJ969" s="1401">
        <f t="shared" si="356"/>
        <v>384822200</v>
      </c>
    </row>
    <row r="970" spans="2:38" s="1390" customFormat="1" ht="33" customHeight="1" x14ac:dyDescent="0.2">
      <c r="B970" s="1472"/>
      <c r="C970" s="1478"/>
      <c r="D970" s="1426"/>
      <c r="E970" s="1429" t="s">
        <v>2527</v>
      </c>
      <c r="F970" s="1539"/>
      <c r="G970" s="1501" t="s">
        <v>2525</v>
      </c>
      <c r="H970" s="1429"/>
      <c r="I970" s="1501"/>
      <c r="J970" s="1540"/>
      <c r="K970" s="1501"/>
      <c r="L970" s="1526"/>
      <c r="M970" s="1429" t="s">
        <v>2590</v>
      </c>
      <c r="N970" s="1501">
        <v>2017</v>
      </c>
      <c r="O970" s="1429"/>
      <c r="P970" s="1429"/>
      <c r="Q970" s="1429"/>
      <c r="R970" s="1501" t="s">
        <v>12</v>
      </c>
      <c r="S970" s="1539">
        <v>199395000</v>
      </c>
      <c r="T970" s="1501"/>
      <c r="U970" s="1596"/>
      <c r="V970" s="1553"/>
      <c r="W970" s="1478" t="str">
        <f t="shared" si="374"/>
        <v>04.14.04</v>
      </c>
      <c r="X970" s="1478" t="str">
        <f t="shared" si="351"/>
        <v>Bangunan Pengaman Sungai dan Penanggulangan Bencana Alam</v>
      </c>
      <c r="Y970" s="1478">
        <f t="shared" si="352"/>
        <v>10</v>
      </c>
      <c r="Z970" s="1401">
        <f t="shared" si="353"/>
        <v>19939500</v>
      </c>
      <c r="AA970" s="1444">
        <f t="shared" si="354"/>
        <v>0</v>
      </c>
      <c r="AB970" s="1401">
        <f t="shared" si="355"/>
        <v>0</v>
      </c>
      <c r="AC970" s="1401">
        <v>0</v>
      </c>
      <c r="AD970" s="1401">
        <v>0</v>
      </c>
      <c r="AE970" s="1401">
        <v>0</v>
      </c>
      <c r="AF970" s="1401">
        <f t="shared" si="375"/>
        <v>19939500</v>
      </c>
      <c r="AG970" s="1479">
        <f t="shared" si="376"/>
        <v>19939500</v>
      </c>
      <c r="AH970" s="1479">
        <f t="shared" si="367"/>
        <v>19939500</v>
      </c>
      <c r="AI970" s="1479">
        <f t="shared" si="350"/>
        <v>59818500</v>
      </c>
      <c r="AJ970" s="1401">
        <f t="shared" si="356"/>
        <v>139576500</v>
      </c>
    </row>
    <row r="971" spans="2:38" s="1390" customFormat="1" ht="33" customHeight="1" x14ac:dyDescent="0.2">
      <c r="B971" s="1472"/>
      <c r="C971" s="1478"/>
      <c r="D971" s="1426"/>
      <c r="E971" s="1429" t="s">
        <v>2528</v>
      </c>
      <c r="F971" s="1539"/>
      <c r="G971" s="1501" t="s">
        <v>2551</v>
      </c>
      <c r="H971" s="1429"/>
      <c r="I971" s="1501"/>
      <c r="J971" s="1540"/>
      <c r="K971" s="1501"/>
      <c r="L971" s="1526"/>
      <c r="M971" s="1429" t="s">
        <v>2591</v>
      </c>
      <c r="N971" s="1501">
        <v>2017</v>
      </c>
      <c r="O971" s="1429"/>
      <c r="P971" s="1429"/>
      <c r="Q971" s="1429"/>
      <c r="R971" s="1501" t="s">
        <v>12</v>
      </c>
      <c r="S971" s="1539">
        <v>149780000</v>
      </c>
      <c r="T971" s="1501"/>
      <c r="U971" s="1596"/>
      <c r="V971" s="1553"/>
      <c r="W971" s="1478" t="str">
        <f t="shared" si="374"/>
        <v>04.14.04</v>
      </c>
      <c r="X971" s="1478" t="str">
        <f t="shared" si="351"/>
        <v>Bangunan Pengaman Sungai dan Penanggulangan Bencana Alam</v>
      </c>
      <c r="Y971" s="1478">
        <f t="shared" si="352"/>
        <v>10</v>
      </c>
      <c r="Z971" s="1401">
        <f t="shared" si="353"/>
        <v>14978000</v>
      </c>
      <c r="AA971" s="1444">
        <f t="shared" si="354"/>
        <v>0</v>
      </c>
      <c r="AB971" s="1401">
        <f t="shared" si="355"/>
        <v>0</v>
      </c>
      <c r="AC971" s="1401">
        <v>0</v>
      </c>
      <c r="AD971" s="1401">
        <v>0</v>
      </c>
      <c r="AE971" s="1401">
        <v>0</v>
      </c>
      <c r="AF971" s="1401">
        <f t="shared" si="375"/>
        <v>14978000</v>
      </c>
      <c r="AG971" s="1479">
        <f t="shared" si="376"/>
        <v>14978000</v>
      </c>
      <c r="AH971" s="1479">
        <f t="shared" si="367"/>
        <v>14978000</v>
      </c>
      <c r="AI971" s="1479">
        <f t="shared" si="350"/>
        <v>44934000</v>
      </c>
      <c r="AJ971" s="1401">
        <f t="shared" si="356"/>
        <v>104846000</v>
      </c>
      <c r="AL971" s="1554">
        <f>SUM(AB971:AG971)</f>
        <v>29956000</v>
      </c>
    </row>
    <row r="972" spans="2:38" s="1390" customFormat="1" ht="33" customHeight="1" x14ac:dyDescent="0.2">
      <c r="B972" s="1472"/>
      <c r="C972" s="1478"/>
      <c r="D972" s="1426"/>
      <c r="E972" s="1429" t="s">
        <v>2529</v>
      </c>
      <c r="F972" s="1539"/>
      <c r="G972" s="1501" t="s">
        <v>2525</v>
      </c>
      <c r="H972" s="1429"/>
      <c r="I972" s="1501"/>
      <c r="J972" s="1540"/>
      <c r="K972" s="1501"/>
      <c r="L972" s="1526"/>
      <c r="M972" s="1429" t="s">
        <v>2592</v>
      </c>
      <c r="N972" s="1501">
        <v>2017</v>
      </c>
      <c r="O972" s="1429"/>
      <c r="P972" s="1429"/>
      <c r="Q972" s="1429"/>
      <c r="R972" s="1501" t="s">
        <v>12</v>
      </c>
      <c r="S972" s="1539">
        <v>199003000</v>
      </c>
      <c r="T972" s="1501"/>
      <c r="U972" s="1596"/>
      <c r="V972" s="1553"/>
      <c r="W972" s="1478" t="str">
        <f t="shared" si="374"/>
        <v>04.14.04</v>
      </c>
      <c r="X972" s="1478" t="str">
        <f t="shared" si="351"/>
        <v>Bangunan Pengaman Sungai dan Penanggulangan Bencana Alam</v>
      </c>
      <c r="Y972" s="1478">
        <f t="shared" si="352"/>
        <v>10</v>
      </c>
      <c r="Z972" s="1401">
        <f t="shared" si="353"/>
        <v>19900300</v>
      </c>
      <c r="AA972" s="1444">
        <f t="shared" si="354"/>
        <v>0</v>
      </c>
      <c r="AB972" s="1401">
        <f t="shared" si="355"/>
        <v>0</v>
      </c>
      <c r="AC972" s="1401">
        <v>0</v>
      </c>
      <c r="AD972" s="1401">
        <v>0</v>
      </c>
      <c r="AE972" s="1401">
        <v>0</v>
      </c>
      <c r="AF972" s="1401">
        <f t="shared" si="375"/>
        <v>19900300</v>
      </c>
      <c r="AG972" s="1479">
        <f t="shared" si="376"/>
        <v>19900300</v>
      </c>
      <c r="AH972" s="1479">
        <f t="shared" si="367"/>
        <v>19900300</v>
      </c>
      <c r="AI972" s="1479">
        <f t="shared" si="350"/>
        <v>59700900</v>
      </c>
      <c r="AJ972" s="1401">
        <f t="shared" si="356"/>
        <v>139302100</v>
      </c>
    </row>
    <row r="973" spans="2:38" s="1390" customFormat="1" ht="33" customHeight="1" x14ac:dyDescent="0.2">
      <c r="B973" s="1472"/>
      <c r="C973" s="1478"/>
      <c r="D973" s="1426"/>
      <c r="E973" s="1429" t="s">
        <v>2530</v>
      </c>
      <c r="F973" s="1539"/>
      <c r="G973" s="1501" t="s">
        <v>2525</v>
      </c>
      <c r="H973" s="1429"/>
      <c r="I973" s="1501"/>
      <c r="J973" s="1540"/>
      <c r="K973" s="1501"/>
      <c r="L973" s="1526"/>
      <c r="M973" s="1429" t="s">
        <v>2593</v>
      </c>
      <c r="N973" s="1501">
        <v>2017</v>
      </c>
      <c r="O973" s="1429"/>
      <c r="P973" s="1429"/>
      <c r="Q973" s="1429"/>
      <c r="R973" s="1501" t="s">
        <v>12</v>
      </c>
      <c r="S973" s="1539">
        <v>199491000</v>
      </c>
      <c r="T973" s="1501"/>
      <c r="U973" s="1596"/>
      <c r="V973" s="1553"/>
      <c r="W973" s="1478" t="str">
        <f t="shared" si="374"/>
        <v>04.14.04</v>
      </c>
      <c r="X973" s="1478" t="str">
        <f t="shared" si="351"/>
        <v>Bangunan Pengaman Sungai dan Penanggulangan Bencana Alam</v>
      </c>
      <c r="Y973" s="1478">
        <f t="shared" si="352"/>
        <v>10</v>
      </c>
      <c r="Z973" s="1401">
        <f t="shared" si="353"/>
        <v>19949100</v>
      </c>
      <c r="AA973" s="1444">
        <f t="shared" si="354"/>
        <v>0</v>
      </c>
      <c r="AB973" s="1401">
        <f t="shared" si="355"/>
        <v>0</v>
      </c>
      <c r="AC973" s="1401">
        <v>0</v>
      </c>
      <c r="AD973" s="1401">
        <v>0</v>
      </c>
      <c r="AE973" s="1401">
        <v>0</v>
      </c>
      <c r="AF973" s="1401">
        <f t="shared" si="375"/>
        <v>19949100</v>
      </c>
      <c r="AG973" s="1479">
        <f t="shared" si="376"/>
        <v>19949100</v>
      </c>
      <c r="AH973" s="1479">
        <f t="shared" si="367"/>
        <v>19949100</v>
      </c>
      <c r="AI973" s="1479">
        <f t="shared" si="350"/>
        <v>59847300</v>
      </c>
      <c r="AJ973" s="1401">
        <f t="shared" si="356"/>
        <v>139643700</v>
      </c>
    </row>
    <row r="974" spans="2:38" s="1390" customFormat="1" ht="33" customHeight="1" x14ac:dyDescent="0.2">
      <c r="B974" s="1472"/>
      <c r="C974" s="1478"/>
      <c r="D974" s="1426"/>
      <c r="E974" s="1429" t="s">
        <v>2531</v>
      </c>
      <c r="F974" s="1539"/>
      <c r="G974" s="1501" t="s">
        <v>2525</v>
      </c>
      <c r="H974" s="1429"/>
      <c r="I974" s="1501"/>
      <c r="J974" s="1540"/>
      <c r="K974" s="1501"/>
      <c r="L974" s="1526"/>
      <c r="M974" s="1429" t="s">
        <v>2594</v>
      </c>
      <c r="N974" s="1501">
        <v>2017</v>
      </c>
      <c r="O974" s="1429"/>
      <c r="P974" s="1429"/>
      <c r="Q974" s="1429"/>
      <c r="R974" s="1501" t="s">
        <v>12</v>
      </c>
      <c r="S974" s="1539">
        <v>199433000</v>
      </c>
      <c r="T974" s="1501"/>
      <c r="U974" s="1596"/>
      <c r="V974" s="1553"/>
      <c r="W974" s="1478" t="str">
        <f t="shared" si="374"/>
        <v>04.14.04</v>
      </c>
      <c r="X974" s="1478" t="str">
        <f t="shared" si="351"/>
        <v>Bangunan Pengaman Sungai dan Penanggulangan Bencana Alam</v>
      </c>
      <c r="Y974" s="1478">
        <f t="shared" si="352"/>
        <v>10</v>
      </c>
      <c r="Z974" s="1401">
        <f t="shared" si="353"/>
        <v>19943300</v>
      </c>
      <c r="AA974" s="1444">
        <f t="shared" si="354"/>
        <v>0</v>
      </c>
      <c r="AB974" s="1401">
        <f t="shared" si="355"/>
        <v>0</v>
      </c>
      <c r="AC974" s="1401">
        <v>0</v>
      </c>
      <c r="AD974" s="1401">
        <v>0</v>
      </c>
      <c r="AE974" s="1401">
        <v>0</v>
      </c>
      <c r="AF974" s="1401">
        <f t="shared" si="375"/>
        <v>19943300</v>
      </c>
      <c r="AG974" s="1479">
        <f t="shared" si="376"/>
        <v>19943300</v>
      </c>
      <c r="AH974" s="1479">
        <f t="shared" ref="AH974:AH1031" si="377">IF(S974=AC974+AD974+AE974+AB974+AF974+AG974,0,Z974)</f>
        <v>19943300</v>
      </c>
      <c r="AI974" s="1479">
        <f t="shared" ref="AI974:AI1031" si="378">SUM(AB974:AH974)</f>
        <v>59829900</v>
      </c>
      <c r="AJ974" s="1401">
        <f t="shared" si="356"/>
        <v>139603100</v>
      </c>
    </row>
    <row r="975" spans="2:38" s="1390" customFormat="1" ht="33" customHeight="1" x14ac:dyDescent="0.2">
      <c r="B975" s="1472"/>
      <c r="C975" s="1478"/>
      <c r="D975" s="1426"/>
      <c r="E975" s="1429" t="s">
        <v>2532</v>
      </c>
      <c r="F975" s="1539"/>
      <c r="G975" s="1501" t="s">
        <v>2525</v>
      </c>
      <c r="H975" s="1429"/>
      <c r="I975" s="1501"/>
      <c r="J975" s="1540"/>
      <c r="K975" s="1501"/>
      <c r="L975" s="1526"/>
      <c r="M975" s="1429" t="s">
        <v>2595</v>
      </c>
      <c r="N975" s="1501">
        <v>2017</v>
      </c>
      <c r="O975" s="1429"/>
      <c r="P975" s="1429"/>
      <c r="Q975" s="1429"/>
      <c r="R975" s="1501" t="s">
        <v>12</v>
      </c>
      <c r="S975" s="1539">
        <v>199382000</v>
      </c>
      <c r="T975" s="1501"/>
      <c r="U975" s="1596"/>
      <c r="V975" s="1553"/>
      <c r="W975" s="1478" t="str">
        <f t="shared" si="374"/>
        <v>04.14.04</v>
      </c>
      <c r="X975" s="1478" t="str">
        <f t="shared" si="351"/>
        <v>Bangunan Pengaman Sungai dan Penanggulangan Bencana Alam</v>
      </c>
      <c r="Y975" s="1478">
        <f t="shared" si="352"/>
        <v>10</v>
      </c>
      <c r="Z975" s="1401">
        <f t="shared" si="353"/>
        <v>19938200</v>
      </c>
      <c r="AA975" s="1444">
        <f t="shared" si="354"/>
        <v>0</v>
      </c>
      <c r="AB975" s="1401">
        <f t="shared" si="355"/>
        <v>0</v>
      </c>
      <c r="AC975" s="1401">
        <v>0</v>
      </c>
      <c r="AD975" s="1401">
        <v>0</v>
      </c>
      <c r="AE975" s="1401">
        <v>0</v>
      </c>
      <c r="AF975" s="1401">
        <f t="shared" si="375"/>
        <v>19938200</v>
      </c>
      <c r="AG975" s="1479">
        <f t="shared" si="376"/>
        <v>19938200</v>
      </c>
      <c r="AH975" s="1479">
        <f t="shared" si="377"/>
        <v>19938200</v>
      </c>
      <c r="AI975" s="1479">
        <f t="shared" si="378"/>
        <v>59814600</v>
      </c>
      <c r="AJ975" s="1401">
        <f t="shared" si="356"/>
        <v>139567400</v>
      </c>
    </row>
    <row r="976" spans="2:38" s="1390" customFormat="1" ht="33" customHeight="1" x14ac:dyDescent="0.2">
      <c r="B976" s="1472"/>
      <c r="C976" s="1478"/>
      <c r="D976" s="1426"/>
      <c r="E976" s="1429" t="s">
        <v>2533</v>
      </c>
      <c r="F976" s="1539"/>
      <c r="G976" s="1501" t="s">
        <v>2525</v>
      </c>
      <c r="H976" s="1429"/>
      <c r="I976" s="1501"/>
      <c r="J976" s="1540"/>
      <c r="K976" s="1501"/>
      <c r="L976" s="1526"/>
      <c r="M976" s="1429" t="s">
        <v>2596</v>
      </c>
      <c r="N976" s="1501">
        <v>2017</v>
      </c>
      <c r="O976" s="1429"/>
      <c r="P976" s="1429"/>
      <c r="Q976" s="1429"/>
      <c r="R976" s="1501" t="s">
        <v>12</v>
      </c>
      <c r="S976" s="1539">
        <v>199359000</v>
      </c>
      <c r="T976" s="1501"/>
      <c r="U976" s="1596"/>
      <c r="V976" s="1553"/>
      <c r="W976" s="1478" t="str">
        <f t="shared" si="374"/>
        <v>04.14.04</v>
      </c>
      <c r="X976" s="1478" t="str">
        <f t="shared" si="351"/>
        <v>Bangunan Pengaman Sungai dan Penanggulangan Bencana Alam</v>
      </c>
      <c r="Y976" s="1478">
        <f t="shared" si="352"/>
        <v>10</v>
      </c>
      <c r="Z976" s="1401">
        <f t="shared" si="353"/>
        <v>19935900</v>
      </c>
      <c r="AA976" s="1444">
        <f t="shared" si="354"/>
        <v>0</v>
      </c>
      <c r="AB976" s="1401">
        <f t="shared" si="355"/>
        <v>0</v>
      </c>
      <c r="AC976" s="1401">
        <v>0</v>
      </c>
      <c r="AD976" s="1401">
        <v>0</v>
      </c>
      <c r="AE976" s="1401">
        <v>0</v>
      </c>
      <c r="AF976" s="1401">
        <f t="shared" si="375"/>
        <v>19935900</v>
      </c>
      <c r="AG976" s="1479">
        <f t="shared" si="376"/>
        <v>19935900</v>
      </c>
      <c r="AH976" s="1479">
        <f t="shared" si="377"/>
        <v>19935900</v>
      </c>
      <c r="AI976" s="1479">
        <f t="shared" si="378"/>
        <v>59807700</v>
      </c>
      <c r="AJ976" s="1401">
        <f t="shared" si="356"/>
        <v>139551300</v>
      </c>
    </row>
    <row r="977" spans="2:38" s="1390" customFormat="1" ht="33" customHeight="1" x14ac:dyDescent="0.2">
      <c r="B977" s="1472"/>
      <c r="C977" s="1478"/>
      <c r="D977" s="1426"/>
      <c r="E977" s="1429" t="s">
        <v>2534</v>
      </c>
      <c r="F977" s="1539"/>
      <c r="G977" s="1501" t="s">
        <v>2525</v>
      </c>
      <c r="H977" s="1429"/>
      <c r="I977" s="1501"/>
      <c r="J977" s="1540"/>
      <c r="K977" s="1501"/>
      <c r="L977" s="1526"/>
      <c r="M977" s="1429" t="s">
        <v>2597</v>
      </c>
      <c r="N977" s="1501">
        <v>2017</v>
      </c>
      <c r="O977" s="1429"/>
      <c r="P977" s="1429"/>
      <c r="Q977" s="1429"/>
      <c r="R977" s="1501" t="s">
        <v>12</v>
      </c>
      <c r="S977" s="1539">
        <v>199385000</v>
      </c>
      <c r="T977" s="1501"/>
      <c r="U977" s="1596"/>
      <c r="V977" s="1553"/>
      <c r="W977" s="1478" t="str">
        <f t="shared" si="374"/>
        <v>04.14.04</v>
      </c>
      <c r="X977" s="1478" t="str">
        <f t="shared" si="351"/>
        <v>Bangunan Pengaman Sungai dan Penanggulangan Bencana Alam</v>
      </c>
      <c r="Y977" s="1478">
        <f t="shared" si="352"/>
        <v>10</v>
      </c>
      <c r="Z977" s="1401">
        <f t="shared" si="353"/>
        <v>19938500</v>
      </c>
      <c r="AA977" s="1444">
        <f t="shared" si="354"/>
        <v>0</v>
      </c>
      <c r="AB977" s="1401">
        <f t="shared" si="355"/>
        <v>0</v>
      </c>
      <c r="AC977" s="1401">
        <v>0</v>
      </c>
      <c r="AD977" s="1401">
        <v>0</v>
      </c>
      <c r="AE977" s="1401">
        <v>0</v>
      </c>
      <c r="AF977" s="1401">
        <f t="shared" si="375"/>
        <v>19938500</v>
      </c>
      <c r="AG977" s="1479">
        <f t="shared" si="376"/>
        <v>19938500</v>
      </c>
      <c r="AH977" s="1479">
        <f t="shared" si="377"/>
        <v>19938500</v>
      </c>
      <c r="AI977" s="1479">
        <f t="shared" si="378"/>
        <v>59815500</v>
      </c>
      <c r="AJ977" s="1401">
        <f t="shared" si="356"/>
        <v>139569500</v>
      </c>
    </row>
    <row r="978" spans="2:38" s="1390" customFormat="1" ht="33" customHeight="1" x14ac:dyDescent="0.2">
      <c r="B978" s="1472"/>
      <c r="C978" s="1478"/>
      <c r="D978" s="1426"/>
      <c r="E978" s="1429" t="s">
        <v>2535</v>
      </c>
      <c r="F978" s="1539"/>
      <c r="G978" s="1501" t="s">
        <v>2551</v>
      </c>
      <c r="H978" s="1429"/>
      <c r="I978" s="1501"/>
      <c r="J978" s="1540"/>
      <c r="K978" s="1501"/>
      <c r="L978" s="1526"/>
      <c r="M978" s="1429" t="s">
        <v>2598</v>
      </c>
      <c r="N978" s="1501">
        <v>2017</v>
      </c>
      <c r="O978" s="1429"/>
      <c r="P978" s="1429"/>
      <c r="Q978" s="1429"/>
      <c r="R978" s="1501" t="s">
        <v>12</v>
      </c>
      <c r="S978" s="1539">
        <v>199296000</v>
      </c>
      <c r="T978" s="1501"/>
      <c r="U978" s="1596"/>
      <c r="V978" s="1553"/>
      <c r="W978" s="1478" t="str">
        <f t="shared" si="374"/>
        <v>04.14.04</v>
      </c>
      <c r="X978" s="1478" t="str">
        <f t="shared" si="351"/>
        <v>Bangunan Pengaman Sungai dan Penanggulangan Bencana Alam</v>
      </c>
      <c r="Y978" s="1478">
        <f t="shared" si="352"/>
        <v>10</v>
      </c>
      <c r="Z978" s="1401">
        <f t="shared" si="353"/>
        <v>19929600</v>
      </c>
      <c r="AA978" s="1444">
        <f t="shared" si="354"/>
        <v>0</v>
      </c>
      <c r="AB978" s="1401">
        <f t="shared" si="355"/>
        <v>0</v>
      </c>
      <c r="AC978" s="1401">
        <v>0</v>
      </c>
      <c r="AD978" s="1401">
        <v>0</v>
      </c>
      <c r="AE978" s="1401">
        <v>0</v>
      </c>
      <c r="AF978" s="1401">
        <f t="shared" si="375"/>
        <v>19929600</v>
      </c>
      <c r="AG978" s="1479">
        <f t="shared" si="376"/>
        <v>19929600</v>
      </c>
      <c r="AH978" s="1479">
        <f t="shared" si="377"/>
        <v>19929600</v>
      </c>
      <c r="AI978" s="1479">
        <f t="shared" si="378"/>
        <v>59788800</v>
      </c>
      <c r="AJ978" s="1401">
        <f t="shared" si="356"/>
        <v>139507200</v>
      </c>
      <c r="AL978" s="1554">
        <f>SUM(AB978:AG978)</f>
        <v>39859200</v>
      </c>
    </row>
    <row r="979" spans="2:38" s="1390" customFormat="1" ht="33" customHeight="1" x14ac:dyDescent="0.2">
      <c r="B979" s="1472"/>
      <c r="C979" s="1478"/>
      <c r="D979" s="1426"/>
      <c r="E979" s="1429" t="s">
        <v>2536</v>
      </c>
      <c r="F979" s="1539"/>
      <c r="G979" s="1501" t="s">
        <v>2551</v>
      </c>
      <c r="H979" s="1429"/>
      <c r="I979" s="1501"/>
      <c r="J979" s="1540"/>
      <c r="K979" s="1501"/>
      <c r="L979" s="1526"/>
      <c r="M979" s="1429" t="s">
        <v>2599</v>
      </c>
      <c r="N979" s="1501">
        <v>2017</v>
      </c>
      <c r="O979" s="1429"/>
      <c r="P979" s="1429"/>
      <c r="Q979" s="1429"/>
      <c r="R979" s="1501" t="s">
        <v>12</v>
      </c>
      <c r="S979" s="1539">
        <v>199770000</v>
      </c>
      <c r="T979" s="1501"/>
      <c r="U979" s="1596"/>
      <c r="V979" s="1553"/>
      <c r="W979" s="1478" t="str">
        <f t="shared" si="374"/>
        <v>04.14.04</v>
      </c>
      <c r="X979" s="1478" t="str">
        <f t="shared" si="351"/>
        <v>Bangunan Pengaman Sungai dan Penanggulangan Bencana Alam</v>
      </c>
      <c r="Y979" s="1478">
        <f t="shared" si="352"/>
        <v>10</v>
      </c>
      <c r="Z979" s="1401">
        <f t="shared" si="353"/>
        <v>19977000</v>
      </c>
      <c r="AA979" s="1444">
        <f t="shared" si="354"/>
        <v>0</v>
      </c>
      <c r="AB979" s="1401">
        <f t="shared" si="355"/>
        <v>0</v>
      </c>
      <c r="AC979" s="1401">
        <v>0</v>
      </c>
      <c r="AD979" s="1401">
        <v>0</v>
      </c>
      <c r="AE979" s="1401">
        <v>0</v>
      </c>
      <c r="AF979" s="1401">
        <f t="shared" si="375"/>
        <v>19977000</v>
      </c>
      <c r="AG979" s="1479">
        <f t="shared" si="376"/>
        <v>19977000</v>
      </c>
      <c r="AH979" s="1479">
        <f t="shared" si="377"/>
        <v>19977000</v>
      </c>
      <c r="AI979" s="1479">
        <f t="shared" si="378"/>
        <v>59931000</v>
      </c>
      <c r="AJ979" s="1401">
        <f t="shared" si="356"/>
        <v>139839000</v>
      </c>
      <c r="AL979" s="1554">
        <f>SUM(AB979:AG979)</f>
        <v>39954000</v>
      </c>
    </row>
    <row r="980" spans="2:38" s="1390" customFormat="1" ht="33" customHeight="1" x14ac:dyDescent="0.2">
      <c r="B980" s="1472"/>
      <c r="C980" s="1478"/>
      <c r="D980" s="1426"/>
      <c r="E980" s="1429" t="s">
        <v>5604</v>
      </c>
      <c r="F980" s="1539"/>
      <c r="G980" s="1501" t="s">
        <v>2525</v>
      </c>
      <c r="H980" s="1429"/>
      <c r="I980" s="1501"/>
      <c r="J980" s="1540"/>
      <c r="K980" s="1501"/>
      <c r="L980" s="1526"/>
      <c r="M980" s="1429" t="s">
        <v>2600</v>
      </c>
      <c r="N980" s="1501">
        <v>2017</v>
      </c>
      <c r="O980" s="1429"/>
      <c r="P980" s="1429"/>
      <c r="Q980" s="1429"/>
      <c r="R980" s="1501" t="s">
        <v>12</v>
      </c>
      <c r="S980" s="1539">
        <f>186862000</f>
        <v>186862000</v>
      </c>
      <c r="T980" s="1501"/>
      <c r="U980" s="1596"/>
      <c r="V980" s="1553"/>
      <c r="W980" s="1478" t="str">
        <f t="shared" si="374"/>
        <v>04.14.04</v>
      </c>
      <c r="X980" s="1478" t="str">
        <f t="shared" si="351"/>
        <v>Bangunan Pengaman Sungai dan Penanggulangan Bencana Alam</v>
      </c>
      <c r="Y980" s="1478">
        <f t="shared" si="352"/>
        <v>10</v>
      </c>
      <c r="Z980" s="1401">
        <f t="shared" si="353"/>
        <v>18686200</v>
      </c>
      <c r="AA980" s="1444">
        <f t="shared" si="354"/>
        <v>0</v>
      </c>
      <c r="AB980" s="1479">
        <f>SUMIF(PERHITUNGAN!A:A,'KIB D'!B980&amp;'KIB D'!$AB$7,PERHITUNGAN!U:U)</f>
        <v>0</v>
      </c>
      <c r="AC980" s="1479">
        <f>SUMIF(PERHITUNGAN!A:A,'KIB D'!B980&amp;'KIB D'!$AC$7,PERHITUNGAN!U:U)</f>
        <v>0</v>
      </c>
      <c r="AD980" s="1479">
        <f>SUMIF(PERHITUNGAN!A:A,'KIB D'!B980&amp;'KIB D'!$AD$7,PERHITUNGAN!U:U)</f>
        <v>0</v>
      </c>
      <c r="AE980" s="1479">
        <f>SUMIF(PERHITUNGAN!A:A,'KIB D'!B980&amp;'KIB D'!$AE$7,PERHITUNGAN!U:U)</f>
        <v>0</v>
      </c>
      <c r="AF980" s="1401">
        <f t="shared" si="375"/>
        <v>18686200</v>
      </c>
      <c r="AG980" s="1479">
        <f t="shared" si="376"/>
        <v>18686200</v>
      </c>
      <c r="AH980" s="1479">
        <f t="shared" si="377"/>
        <v>18686200</v>
      </c>
      <c r="AI980" s="1479">
        <f>SUM(AB980:AH980)</f>
        <v>56058600</v>
      </c>
      <c r="AJ980" s="1401">
        <f t="shared" si="356"/>
        <v>130803400</v>
      </c>
    </row>
    <row r="981" spans="2:38" s="1390" customFormat="1" ht="33" customHeight="1" x14ac:dyDescent="0.2">
      <c r="B981" s="1472"/>
      <c r="C981" s="1478"/>
      <c r="D981" s="1426"/>
      <c r="E981" s="1429" t="s">
        <v>2538</v>
      </c>
      <c r="F981" s="1539"/>
      <c r="G981" s="1501" t="s">
        <v>2525</v>
      </c>
      <c r="H981" s="1429"/>
      <c r="I981" s="1501"/>
      <c r="J981" s="1540"/>
      <c r="K981" s="1501"/>
      <c r="L981" s="1526"/>
      <c r="M981" s="1429" t="s">
        <v>2601</v>
      </c>
      <c r="N981" s="1501">
        <v>2017</v>
      </c>
      <c r="O981" s="1429"/>
      <c r="P981" s="1429"/>
      <c r="Q981" s="1429"/>
      <c r="R981" s="1501" t="s">
        <v>12</v>
      </c>
      <c r="S981" s="1539">
        <v>199700000</v>
      </c>
      <c r="T981" s="1501"/>
      <c r="U981" s="1596"/>
      <c r="V981" s="1553"/>
      <c r="W981" s="1478" t="str">
        <f t="shared" si="374"/>
        <v>04.14.04</v>
      </c>
      <c r="X981" s="1478" t="str">
        <f t="shared" si="351"/>
        <v>Bangunan Pengaman Sungai dan Penanggulangan Bencana Alam</v>
      </c>
      <c r="Y981" s="1478">
        <f t="shared" si="352"/>
        <v>10</v>
      </c>
      <c r="Z981" s="1401">
        <f t="shared" si="353"/>
        <v>19970000</v>
      </c>
      <c r="AA981" s="1444">
        <f t="shared" si="354"/>
        <v>0</v>
      </c>
      <c r="AB981" s="1401">
        <f t="shared" si="355"/>
        <v>0</v>
      </c>
      <c r="AC981" s="1401">
        <v>0</v>
      </c>
      <c r="AD981" s="1401">
        <v>0</v>
      </c>
      <c r="AE981" s="1401">
        <v>0</v>
      </c>
      <c r="AF981" s="1401">
        <f t="shared" si="375"/>
        <v>19970000</v>
      </c>
      <c r="AG981" s="1479">
        <f t="shared" si="376"/>
        <v>19970000</v>
      </c>
      <c r="AH981" s="1479">
        <f t="shared" si="377"/>
        <v>19970000</v>
      </c>
      <c r="AI981" s="1479">
        <f t="shared" si="378"/>
        <v>59910000</v>
      </c>
      <c r="AJ981" s="1401">
        <f t="shared" si="356"/>
        <v>139790000</v>
      </c>
    </row>
    <row r="982" spans="2:38" s="1390" customFormat="1" ht="33" customHeight="1" x14ac:dyDescent="0.2">
      <c r="B982" s="1472"/>
      <c r="C982" s="1478"/>
      <c r="D982" s="1426"/>
      <c r="E982" s="1429" t="s">
        <v>2539</v>
      </c>
      <c r="F982" s="1539"/>
      <c r="G982" s="1501" t="s">
        <v>2525</v>
      </c>
      <c r="H982" s="1429"/>
      <c r="I982" s="1501"/>
      <c r="J982" s="1540"/>
      <c r="K982" s="1501"/>
      <c r="L982" s="1526"/>
      <c r="M982" s="1429" t="s">
        <v>2602</v>
      </c>
      <c r="N982" s="1501">
        <v>2017</v>
      </c>
      <c r="O982" s="1429"/>
      <c r="P982" s="1429"/>
      <c r="Q982" s="1429"/>
      <c r="R982" s="1501" t="s">
        <v>12</v>
      </c>
      <c r="S982" s="1539">
        <v>199750000</v>
      </c>
      <c r="T982" s="1501"/>
      <c r="U982" s="1596"/>
      <c r="V982" s="1553"/>
      <c r="W982" s="1478" t="str">
        <f t="shared" si="374"/>
        <v>04.14.04</v>
      </c>
      <c r="X982" s="1478" t="str">
        <f t="shared" si="351"/>
        <v>Bangunan Pengaman Sungai dan Penanggulangan Bencana Alam</v>
      </c>
      <c r="Y982" s="1478">
        <f t="shared" si="352"/>
        <v>10</v>
      </c>
      <c r="Z982" s="1401">
        <f t="shared" si="353"/>
        <v>19975000</v>
      </c>
      <c r="AA982" s="1444">
        <f t="shared" si="354"/>
        <v>0</v>
      </c>
      <c r="AB982" s="1401">
        <f t="shared" si="355"/>
        <v>0</v>
      </c>
      <c r="AC982" s="1401">
        <v>0</v>
      </c>
      <c r="AD982" s="1401">
        <v>0</v>
      </c>
      <c r="AE982" s="1401">
        <v>0</v>
      </c>
      <c r="AF982" s="1401">
        <f t="shared" si="375"/>
        <v>19975000</v>
      </c>
      <c r="AG982" s="1479">
        <f t="shared" si="376"/>
        <v>19975000</v>
      </c>
      <c r="AH982" s="1479">
        <f t="shared" si="377"/>
        <v>19975000</v>
      </c>
      <c r="AI982" s="1479">
        <f t="shared" si="378"/>
        <v>59925000</v>
      </c>
      <c r="AJ982" s="1401">
        <f t="shared" si="356"/>
        <v>139825000</v>
      </c>
    </row>
    <row r="983" spans="2:38" s="1390" customFormat="1" ht="33" customHeight="1" x14ac:dyDescent="0.2">
      <c r="B983" s="1472"/>
      <c r="C983" s="1478"/>
      <c r="D983" s="1426"/>
      <c r="E983" s="1429" t="s">
        <v>2540</v>
      </c>
      <c r="F983" s="1539"/>
      <c r="G983" s="1501" t="s">
        <v>2525</v>
      </c>
      <c r="H983" s="1429"/>
      <c r="I983" s="1501"/>
      <c r="J983" s="1540"/>
      <c r="K983" s="1501"/>
      <c r="L983" s="1526"/>
      <c r="M983" s="1429" t="s">
        <v>2603</v>
      </c>
      <c r="N983" s="1501">
        <v>2017</v>
      </c>
      <c r="O983" s="1429"/>
      <c r="P983" s="1429"/>
      <c r="Q983" s="1429"/>
      <c r="R983" s="1501" t="s">
        <v>12</v>
      </c>
      <c r="S983" s="1539">
        <v>49539000</v>
      </c>
      <c r="T983" s="1501"/>
      <c r="U983" s="1596"/>
      <c r="V983" s="1553"/>
      <c r="W983" s="1478" t="str">
        <f t="shared" si="374"/>
        <v>04.14.04</v>
      </c>
      <c r="X983" s="1478" t="str">
        <f t="shared" si="351"/>
        <v>Bangunan Pengaman Sungai dan Penanggulangan Bencana Alam</v>
      </c>
      <c r="Y983" s="1478">
        <f t="shared" si="352"/>
        <v>10</v>
      </c>
      <c r="Z983" s="1401">
        <f t="shared" si="353"/>
        <v>4953900</v>
      </c>
      <c r="AA983" s="1444">
        <f t="shared" si="354"/>
        <v>0</v>
      </c>
      <c r="AB983" s="1401">
        <f t="shared" si="355"/>
        <v>0</v>
      </c>
      <c r="AC983" s="1401">
        <v>0</v>
      </c>
      <c r="AD983" s="1401">
        <v>0</v>
      </c>
      <c r="AE983" s="1401">
        <v>0</v>
      </c>
      <c r="AF983" s="1401">
        <f t="shared" si="375"/>
        <v>4953900</v>
      </c>
      <c r="AG983" s="1479">
        <f t="shared" si="376"/>
        <v>4953900</v>
      </c>
      <c r="AH983" s="1479">
        <f t="shared" si="377"/>
        <v>4953900</v>
      </c>
      <c r="AI983" s="1479">
        <f t="shared" si="378"/>
        <v>14861700</v>
      </c>
      <c r="AJ983" s="1401">
        <f t="shared" si="356"/>
        <v>34677300</v>
      </c>
    </row>
    <row r="984" spans="2:38" s="1390" customFormat="1" ht="33" customHeight="1" x14ac:dyDescent="0.2">
      <c r="B984" s="1472"/>
      <c r="C984" s="1478"/>
      <c r="D984" s="1426"/>
      <c r="E984" s="1429" t="s">
        <v>2541</v>
      </c>
      <c r="F984" s="1539"/>
      <c r="G984" s="1501" t="s">
        <v>2525</v>
      </c>
      <c r="H984" s="1429"/>
      <c r="I984" s="1501"/>
      <c r="J984" s="1540"/>
      <c r="K984" s="1501"/>
      <c r="L984" s="1526"/>
      <c r="M984" s="1429" t="s">
        <v>2604</v>
      </c>
      <c r="N984" s="1501">
        <v>2017</v>
      </c>
      <c r="O984" s="1429"/>
      <c r="P984" s="1429"/>
      <c r="Q984" s="1429"/>
      <c r="R984" s="1501" t="s">
        <v>12</v>
      </c>
      <c r="S984" s="1539">
        <v>199650000</v>
      </c>
      <c r="T984" s="1501"/>
      <c r="U984" s="1596"/>
      <c r="V984" s="1553"/>
      <c r="W984" s="1478" t="str">
        <f t="shared" si="374"/>
        <v>04.14.04</v>
      </c>
      <c r="X984" s="1478" t="str">
        <f t="shared" si="351"/>
        <v>Bangunan Pengaman Sungai dan Penanggulangan Bencana Alam</v>
      </c>
      <c r="Y984" s="1478">
        <f t="shared" si="352"/>
        <v>10</v>
      </c>
      <c r="Z984" s="1401">
        <f t="shared" si="353"/>
        <v>19965000</v>
      </c>
      <c r="AA984" s="1444">
        <f t="shared" si="354"/>
        <v>0</v>
      </c>
      <c r="AB984" s="1401">
        <f t="shared" si="355"/>
        <v>0</v>
      </c>
      <c r="AC984" s="1401">
        <v>0</v>
      </c>
      <c r="AD984" s="1401">
        <v>0</v>
      </c>
      <c r="AE984" s="1401">
        <v>0</v>
      </c>
      <c r="AF984" s="1401">
        <f t="shared" si="375"/>
        <v>19965000</v>
      </c>
      <c r="AG984" s="1479">
        <f t="shared" si="376"/>
        <v>19965000</v>
      </c>
      <c r="AH984" s="1479">
        <f t="shared" si="377"/>
        <v>19965000</v>
      </c>
      <c r="AI984" s="1479">
        <f t="shared" si="378"/>
        <v>59895000</v>
      </c>
      <c r="AJ984" s="1401">
        <f t="shared" si="356"/>
        <v>139755000</v>
      </c>
    </row>
    <row r="985" spans="2:38" s="1390" customFormat="1" ht="33" customHeight="1" x14ac:dyDescent="0.2">
      <c r="B985" s="1472"/>
      <c r="C985" s="1478"/>
      <c r="D985" s="1426"/>
      <c r="E985" s="1429" t="s">
        <v>2542</v>
      </c>
      <c r="F985" s="1539"/>
      <c r="G985" s="1501" t="s">
        <v>2525</v>
      </c>
      <c r="H985" s="1429"/>
      <c r="I985" s="1501"/>
      <c r="J985" s="1540"/>
      <c r="K985" s="1501"/>
      <c r="L985" s="1526"/>
      <c r="M985" s="1429" t="s">
        <v>5640</v>
      </c>
      <c r="N985" s="1501">
        <v>2017</v>
      </c>
      <c r="O985" s="1429"/>
      <c r="P985" s="1429"/>
      <c r="Q985" s="1429"/>
      <c r="R985" s="1501" t="s">
        <v>12</v>
      </c>
      <c r="S985" s="1539">
        <v>199650000</v>
      </c>
      <c r="T985" s="1501"/>
      <c r="U985" s="1596"/>
      <c r="V985" s="1553"/>
      <c r="W985" s="1478" t="str">
        <f t="shared" si="374"/>
        <v>04.14.04</v>
      </c>
      <c r="X985" s="1478" t="str">
        <f t="shared" si="351"/>
        <v>Bangunan Pengaman Sungai dan Penanggulangan Bencana Alam</v>
      </c>
      <c r="Y985" s="1478">
        <f t="shared" si="352"/>
        <v>10</v>
      </c>
      <c r="Z985" s="1401">
        <f t="shared" si="353"/>
        <v>19965000</v>
      </c>
      <c r="AA985" s="1444">
        <f t="shared" si="354"/>
        <v>0</v>
      </c>
      <c r="AB985" s="1401">
        <f t="shared" si="355"/>
        <v>0</v>
      </c>
      <c r="AC985" s="1401">
        <v>0</v>
      </c>
      <c r="AD985" s="1401">
        <v>0</v>
      </c>
      <c r="AE985" s="1401">
        <v>0</v>
      </c>
      <c r="AF985" s="1401">
        <f t="shared" si="375"/>
        <v>19965000</v>
      </c>
      <c r="AG985" s="1479">
        <f t="shared" si="376"/>
        <v>19965000</v>
      </c>
      <c r="AH985" s="1479">
        <f t="shared" si="377"/>
        <v>19965000</v>
      </c>
      <c r="AI985" s="1479">
        <f t="shared" si="378"/>
        <v>59895000</v>
      </c>
      <c r="AJ985" s="1401">
        <f t="shared" si="356"/>
        <v>139755000</v>
      </c>
    </row>
    <row r="986" spans="2:38" s="1390" customFormat="1" ht="33" customHeight="1" x14ac:dyDescent="0.2">
      <c r="B986" s="1472"/>
      <c r="C986" s="1478"/>
      <c r="D986" s="1426"/>
      <c r="E986" s="1429" t="s">
        <v>2543</v>
      </c>
      <c r="F986" s="1539"/>
      <c r="G986" s="1501" t="s">
        <v>2544</v>
      </c>
      <c r="H986" s="1429"/>
      <c r="I986" s="1501"/>
      <c r="J986" s="1540"/>
      <c r="K986" s="1501"/>
      <c r="L986" s="1526"/>
      <c r="M986" s="1429" t="s">
        <v>2606</v>
      </c>
      <c r="N986" s="1501">
        <v>2017</v>
      </c>
      <c r="O986" s="1429"/>
      <c r="P986" s="1429"/>
      <c r="Q986" s="1429"/>
      <c r="R986" s="1501" t="s">
        <v>12</v>
      </c>
      <c r="S986" s="1539">
        <v>194627000</v>
      </c>
      <c r="T986" s="1501"/>
      <c r="U986" s="1596"/>
      <c r="V986" s="1553"/>
      <c r="W986" s="1478" t="str">
        <f t="shared" si="374"/>
        <v>04.14.01</v>
      </c>
      <c r="X986" s="1478" t="str">
        <f t="shared" si="351"/>
        <v>Bangunan Air Irigasi</v>
      </c>
      <c r="Y986" s="1478">
        <f t="shared" si="352"/>
        <v>50</v>
      </c>
      <c r="Z986" s="1401">
        <f t="shared" si="353"/>
        <v>3892540</v>
      </c>
      <c r="AA986" s="1444">
        <f t="shared" si="354"/>
        <v>0</v>
      </c>
      <c r="AB986" s="1401">
        <f t="shared" si="355"/>
        <v>0</v>
      </c>
      <c r="AC986" s="1401">
        <v>0</v>
      </c>
      <c r="AD986" s="1401">
        <v>0</v>
      </c>
      <c r="AE986" s="1401">
        <v>0</v>
      </c>
      <c r="AF986" s="1401">
        <f t="shared" si="375"/>
        <v>3892540</v>
      </c>
      <c r="AG986" s="1479">
        <f t="shared" si="376"/>
        <v>3892540</v>
      </c>
      <c r="AH986" s="1479">
        <f t="shared" si="377"/>
        <v>3892540</v>
      </c>
      <c r="AI986" s="1479">
        <f t="shared" si="378"/>
        <v>11677620</v>
      </c>
      <c r="AJ986" s="1401">
        <f t="shared" si="356"/>
        <v>182949380</v>
      </c>
    </row>
    <row r="987" spans="2:38" s="1390" customFormat="1" ht="33" customHeight="1" x14ac:dyDescent="0.2">
      <c r="B987" s="1472"/>
      <c r="C987" s="1478"/>
      <c r="D987" s="1426"/>
      <c r="E987" s="1429" t="s">
        <v>2545</v>
      </c>
      <c r="F987" s="1539"/>
      <c r="G987" s="1501" t="s">
        <v>2544</v>
      </c>
      <c r="H987" s="1429"/>
      <c r="I987" s="1501"/>
      <c r="J987" s="1540"/>
      <c r="K987" s="1501"/>
      <c r="L987" s="1526"/>
      <c r="M987" s="1429" t="s">
        <v>2607</v>
      </c>
      <c r="N987" s="1501">
        <v>2017</v>
      </c>
      <c r="O987" s="1429"/>
      <c r="P987" s="1429"/>
      <c r="Q987" s="1429"/>
      <c r="R987" s="1501" t="s">
        <v>12</v>
      </c>
      <c r="S987" s="1539">
        <v>197270000</v>
      </c>
      <c r="T987" s="1501"/>
      <c r="U987" s="1596"/>
      <c r="V987" s="1553"/>
      <c r="W987" s="1478" t="str">
        <f t="shared" si="374"/>
        <v>04.14.01</v>
      </c>
      <c r="X987" s="1478" t="str">
        <f t="shared" ref="X987:X1024" si="379">VLOOKUP(W987,UE,3,FALSE)</f>
        <v>Bangunan Air Irigasi</v>
      </c>
      <c r="Y987" s="1478">
        <f t="shared" ref="Y987:Y1044" si="380">VLOOKUP(W987,UE,4,FALSE)</f>
        <v>50</v>
      </c>
      <c r="Z987" s="1401">
        <f t="shared" ref="Z987:Z1044" si="381">S987/Y987</f>
        <v>3945400</v>
      </c>
      <c r="AA987" s="1444">
        <f t="shared" ref="AA987:AA1044" si="382">IF(2013-N987+1&gt;Y987,Y987,IF(2013-N987+1&lt;0,0,2013-N987+1))</f>
        <v>0</v>
      </c>
      <c r="AB987" s="1401">
        <f t="shared" ref="AB987:AB1024" si="383">IF(AA987&gt;Y987,S987,Z987*AA987)</f>
        <v>0</v>
      </c>
      <c r="AC987" s="1401">
        <v>0</v>
      </c>
      <c r="AD987" s="1401">
        <v>0</v>
      </c>
      <c r="AE987" s="1401">
        <v>0</v>
      </c>
      <c r="AF987" s="1401">
        <f>IF(S987=AC987+AD987+AE987+AB987,0,Z987)</f>
        <v>3945400</v>
      </c>
      <c r="AG987" s="1479">
        <f t="shared" ref="AG987:AG1024" si="384">IF(S987=AC987+AD987+AE987+AB987+AF987,0,Z987)</f>
        <v>3945400</v>
      </c>
      <c r="AH987" s="1479">
        <f t="shared" si="377"/>
        <v>3945400</v>
      </c>
      <c r="AI987" s="1479">
        <f t="shared" si="378"/>
        <v>11836200</v>
      </c>
      <c r="AJ987" s="1401">
        <f t="shared" ref="AJ987:AJ1025" si="385">S987-AI987</f>
        <v>185433800</v>
      </c>
    </row>
    <row r="988" spans="2:38" s="1390" customFormat="1" ht="33" customHeight="1" x14ac:dyDescent="0.2">
      <c r="B988" s="1472"/>
      <c r="C988" s="1478"/>
      <c r="D988" s="1426"/>
      <c r="E988" s="1429" t="s">
        <v>2546</v>
      </c>
      <c r="F988" s="1539"/>
      <c r="G988" s="1501" t="s">
        <v>2544</v>
      </c>
      <c r="H988" s="1429"/>
      <c r="I988" s="1501"/>
      <c r="J988" s="1540"/>
      <c r="K988" s="1501"/>
      <c r="L988" s="1526"/>
      <c r="M988" s="1429" t="s">
        <v>2608</v>
      </c>
      <c r="N988" s="1501">
        <v>2017</v>
      </c>
      <c r="O988" s="1429"/>
      <c r="P988" s="1429"/>
      <c r="Q988" s="1429"/>
      <c r="R988" s="1501" t="s">
        <v>12</v>
      </c>
      <c r="S988" s="1539">
        <v>197290000</v>
      </c>
      <c r="T988" s="1501"/>
      <c r="U988" s="1596"/>
      <c r="V988" s="1553"/>
      <c r="W988" s="1478" t="str">
        <f t="shared" si="374"/>
        <v>04.14.01</v>
      </c>
      <c r="X988" s="1478" t="str">
        <f t="shared" si="379"/>
        <v>Bangunan Air Irigasi</v>
      </c>
      <c r="Y988" s="1478">
        <f t="shared" si="380"/>
        <v>50</v>
      </c>
      <c r="Z988" s="1401">
        <f t="shared" si="381"/>
        <v>3945800</v>
      </c>
      <c r="AA988" s="1444">
        <f t="shared" si="382"/>
        <v>0</v>
      </c>
      <c r="AB988" s="1401">
        <f t="shared" si="383"/>
        <v>0</v>
      </c>
      <c r="AC988" s="1401">
        <v>0</v>
      </c>
      <c r="AD988" s="1401">
        <v>0</v>
      </c>
      <c r="AE988" s="1401">
        <v>0</v>
      </c>
      <c r="AF988" s="1401">
        <f>IF(S988=AC988+AD988+AE988+AB988,0,Z988)</f>
        <v>3945800</v>
      </c>
      <c r="AG988" s="1479">
        <f t="shared" si="384"/>
        <v>3945800</v>
      </c>
      <c r="AH988" s="1479">
        <f t="shared" si="377"/>
        <v>3945800</v>
      </c>
      <c r="AI988" s="1479">
        <f t="shared" si="378"/>
        <v>11837400</v>
      </c>
      <c r="AJ988" s="1401">
        <f t="shared" si="385"/>
        <v>185452600</v>
      </c>
    </row>
    <row r="989" spans="2:38" s="1390" customFormat="1" ht="33" customHeight="1" x14ac:dyDescent="0.2">
      <c r="B989" s="1472"/>
      <c r="C989" s="1478"/>
      <c r="D989" s="1426"/>
      <c r="E989" s="1429" t="s">
        <v>2547</v>
      </c>
      <c r="F989" s="1539"/>
      <c r="G989" s="1501" t="s">
        <v>2544</v>
      </c>
      <c r="H989" s="1429"/>
      <c r="I989" s="1501"/>
      <c r="J989" s="1540"/>
      <c r="K989" s="1501"/>
      <c r="L989" s="1526"/>
      <c r="M989" s="1429" t="s">
        <v>2609</v>
      </c>
      <c r="N989" s="1501">
        <v>2017</v>
      </c>
      <c r="O989" s="1429"/>
      <c r="P989" s="1429"/>
      <c r="Q989" s="1429"/>
      <c r="R989" s="1501" t="s">
        <v>12</v>
      </c>
      <c r="S989" s="1539">
        <v>192452000</v>
      </c>
      <c r="T989" s="1501"/>
      <c r="U989" s="1596"/>
      <c r="V989" s="1553"/>
      <c r="W989" s="1478" t="str">
        <f t="shared" si="374"/>
        <v>04.14.01</v>
      </c>
      <c r="X989" s="1478" t="str">
        <f t="shared" si="379"/>
        <v>Bangunan Air Irigasi</v>
      </c>
      <c r="Y989" s="1478">
        <f t="shared" si="380"/>
        <v>50</v>
      </c>
      <c r="Z989" s="1401">
        <f t="shared" si="381"/>
        <v>3849040</v>
      </c>
      <c r="AA989" s="1444">
        <f t="shared" si="382"/>
        <v>0</v>
      </c>
      <c r="AB989" s="1401">
        <f t="shared" si="383"/>
        <v>0</v>
      </c>
      <c r="AC989" s="1401">
        <v>0</v>
      </c>
      <c r="AD989" s="1401">
        <v>0</v>
      </c>
      <c r="AE989" s="1401">
        <v>0</v>
      </c>
      <c r="AF989" s="1401">
        <f>IF(S989=AC989+AD989+AE989+AB989,0,Z989)</f>
        <v>3849040</v>
      </c>
      <c r="AG989" s="1479">
        <f t="shared" si="384"/>
        <v>3849040</v>
      </c>
      <c r="AH989" s="1479">
        <f t="shared" si="377"/>
        <v>3849040</v>
      </c>
      <c r="AI989" s="1479">
        <f t="shared" si="378"/>
        <v>11547120</v>
      </c>
      <c r="AJ989" s="1401">
        <f t="shared" si="385"/>
        <v>180904880</v>
      </c>
    </row>
    <row r="990" spans="2:38" s="1390" customFormat="1" ht="33" customHeight="1" x14ac:dyDescent="0.2">
      <c r="B990" s="1472"/>
      <c r="C990" s="1478"/>
      <c r="D990" s="1426"/>
      <c r="E990" s="1429" t="s">
        <v>2548</v>
      </c>
      <c r="F990" s="1539"/>
      <c r="G990" s="1501" t="s">
        <v>2514</v>
      </c>
      <c r="H990" s="1429"/>
      <c r="I990" s="1501"/>
      <c r="J990" s="1540"/>
      <c r="K990" s="1501"/>
      <c r="L990" s="1526"/>
      <c r="M990" s="1429" t="s">
        <v>2610</v>
      </c>
      <c r="N990" s="1501">
        <v>2017</v>
      </c>
      <c r="O990" s="1429"/>
      <c r="P990" s="1429"/>
      <c r="Q990" s="1429"/>
      <c r="R990" s="1501" t="s">
        <v>12</v>
      </c>
      <c r="S990" s="1539">
        <v>199341000</v>
      </c>
      <c r="T990" s="1501"/>
      <c r="U990" s="1596"/>
      <c r="V990" s="1553"/>
      <c r="W990" s="1478" t="str">
        <f t="shared" si="374"/>
        <v>04.14.02</v>
      </c>
      <c r="X990" s="1478" t="str">
        <f t="shared" si="379"/>
        <v>Bangunan Air Pasang Surut</v>
      </c>
      <c r="Y990" s="1478">
        <f t="shared" si="380"/>
        <v>50</v>
      </c>
      <c r="Z990" s="1401">
        <f t="shared" si="381"/>
        <v>3986820</v>
      </c>
      <c r="AA990" s="1444">
        <f t="shared" si="382"/>
        <v>0</v>
      </c>
      <c r="AB990" s="1401">
        <f t="shared" si="383"/>
        <v>0</v>
      </c>
      <c r="AC990" s="1401">
        <v>0</v>
      </c>
      <c r="AD990" s="1401">
        <v>0</v>
      </c>
      <c r="AE990" s="1401">
        <v>0</v>
      </c>
      <c r="AF990" s="1401">
        <f>IF(S990=AC990+AD990+AE990+AB990,0,Z990)</f>
        <v>3986820</v>
      </c>
      <c r="AG990" s="1479">
        <f t="shared" si="384"/>
        <v>3986820</v>
      </c>
      <c r="AH990" s="1479">
        <f t="shared" si="377"/>
        <v>3986820</v>
      </c>
      <c r="AI990" s="1479">
        <f t="shared" si="378"/>
        <v>11960460</v>
      </c>
      <c r="AJ990" s="1401">
        <f t="shared" si="385"/>
        <v>187380540</v>
      </c>
    </row>
    <row r="991" spans="2:38" s="1390" customFormat="1" ht="33" customHeight="1" x14ac:dyDescent="0.2">
      <c r="B991" s="1472"/>
      <c r="C991" s="1478"/>
      <c r="D991" s="1426"/>
      <c r="E991" s="1429" t="s">
        <v>2549</v>
      </c>
      <c r="F991" s="1539"/>
      <c r="G991" s="1501" t="s">
        <v>2550</v>
      </c>
      <c r="H991" s="1429"/>
      <c r="I991" s="1501"/>
      <c r="J991" s="1540"/>
      <c r="K991" s="1501"/>
      <c r="L991" s="1526"/>
      <c r="M991" s="1429" t="s">
        <v>2611</v>
      </c>
      <c r="N991" s="1501">
        <v>2017</v>
      </c>
      <c r="O991" s="1429"/>
      <c r="P991" s="1429"/>
      <c r="Q991" s="1429"/>
      <c r="R991" s="1501" t="s">
        <v>12</v>
      </c>
      <c r="S991" s="1539">
        <v>199372000</v>
      </c>
      <c r="T991" s="1501"/>
      <c r="U991" s="1596"/>
      <c r="V991" s="1553"/>
      <c r="W991" s="1478" t="str">
        <f t="shared" si="374"/>
        <v>04.14.04</v>
      </c>
      <c r="X991" s="1478" t="str">
        <f t="shared" si="379"/>
        <v>Bangunan Pengaman Sungai dan Penanggulangan Bencana Alam</v>
      </c>
      <c r="Y991" s="1478">
        <f t="shared" si="380"/>
        <v>10</v>
      </c>
      <c r="Z991" s="1401">
        <f t="shared" si="381"/>
        <v>19937200</v>
      </c>
      <c r="AA991" s="1444">
        <f t="shared" si="382"/>
        <v>0</v>
      </c>
      <c r="AB991" s="1401">
        <f t="shared" si="383"/>
        <v>0</v>
      </c>
      <c r="AC991" s="1401">
        <v>0</v>
      </c>
      <c r="AD991" s="1401">
        <v>0</v>
      </c>
      <c r="AE991" s="1401">
        <v>0</v>
      </c>
      <c r="AF991" s="1401">
        <f>IF(S991=AC991+AD991+AE991+AB991,0,Z991)</f>
        <v>19937200</v>
      </c>
      <c r="AG991" s="1479">
        <f t="shared" si="384"/>
        <v>19937200</v>
      </c>
      <c r="AH991" s="1479">
        <f t="shared" si="377"/>
        <v>19937200</v>
      </c>
      <c r="AI991" s="1479">
        <f t="shared" si="378"/>
        <v>59811600</v>
      </c>
      <c r="AJ991" s="1401">
        <f t="shared" si="385"/>
        <v>139560400</v>
      </c>
    </row>
    <row r="992" spans="2:38" s="1390" customFormat="1" ht="33" customHeight="1" x14ac:dyDescent="0.2">
      <c r="B992" s="1472"/>
      <c r="C992" s="1478"/>
      <c r="D992" s="1426"/>
      <c r="E992" s="1429" t="s">
        <v>5750</v>
      </c>
      <c r="F992" s="1539"/>
      <c r="G992" s="1501" t="s">
        <v>4899</v>
      </c>
      <c r="H992" s="1429"/>
      <c r="I992" s="1501"/>
      <c r="J992" s="1540"/>
      <c r="K992" s="1501"/>
      <c r="L992" s="1526"/>
      <c r="M992" s="1429" t="s">
        <v>2610</v>
      </c>
      <c r="N992" s="1501">
        <v>2018</v>
      </c>
      <c r="O992" s="1429"/>
      <c r="P992" s="1429"/>
      <c r="Q992" s="1429"/>
      <c r="R992" s="1501" t="s">
        <v>12</v>
      </c>
      <c r="S992" s="1539">
        <v>306438000</v>
      </c>
      <c r="T992" s="1501"/>
      <c r="U992" s="1596"/>
      <c r="V992" s="1553"/>
      <c r="W992" s="1478" t="str">
        <f t="shared" si="374"/>
        <v>04.14.04</v>
      </c>
      <c r="X992" s="1478" t="str">
        <f t="shared" si="379"/>
        <v>Bangunan Pengaman Sungai dan Penanggulangan Bencana Alam</v>
      </c>
      <c r="Y992" s="1478">
        <f t="shared" si="380"/>
        <v>10</v>
      </c>
      <c r="Z992" s="1401">
        <f t="shared" si="381"/>
        <v>30643800</v>
      </c>
      <c r="AA992" s="1444">
        <f t="shared" si="382"/>
        <v>0</v>
      </c>
      <c r="AB992" s="1401">
        <f t="shared" si="383"/>
        <v>0</v>
      </c>
      <c r="AC992" s="1401">
        <v>0</v>
      </c>
      <c r="AD992" s="1401">
        <v>0</v>
      </c>
      <c r="AE992" s="1401">
        <v>0</v>
      </c>
      <c r="AF992" s="1401">
        <v>0</v>
      </c>
      <c r="AG992" s="1479">
        <f t="shared" si="384"/>
        <v>30643800</v>
      </c>
      <c r="AH992" s="1479">
        <f t="shared" si="377"/>
        <v>30643800</v>
      </c>
      <c r="AI992" s="1479">
        <f t="shared" si="378"/>
        <v>61287600</v>
      </c>
      <c r="AJ992" s="1401">
        <f t="shared" si="385"/>
        <v>245150400</v>
      </c>
    </row>
    <row r="993" spans="2:36" s="1390" customFormat="1" ht="33" customHeight="1" x14ac:dyDescent="0.2">
      <c r="B993" s="1472"/>
      <c r="C993" s="1478"/>
      <c r="D993" s="1426"/>
      <c r="E993" s="1429" t="s">
        <v>3344</v>
      </c>
      <c r="F993" s="1539"/>
      <c r="G993" s="1501" t="s">
        <v>4899</v>
      </c>
      <c r="H993" s="1429"/>
      <c r="I993" s="1501"/>
      <c r="J993" s="1540"/>
      <c r="K993" s="1501"/>
      <c r="L993" s="1526"/>
      <c r="M993" s="1429" t="s">
        <v>2864</v>
      </c>
      <c r="N993" s="1501">
        <v>2018</v>
      </c>
      <c r="O993" s="1429"/>
      <c r="P993" s="1429"/>
      <c r="Q993" s="1429"/>
      <c r="R993" s="1501" t="s">
        <v>12</v>
      </c>
      <c r="S993" s="1539">
        <v>195017900</v>
      </c>
      <c r="T993" s="1501"/>
      <c r="U993" s="1596"/>
      <c r="V993" s="1553"/>
      <c r="W993" s="1478" t="str">
        <f t="shared" si="374"/>
        <v>04.14.04</v>
      </c>
      <c r="X993" s="1478" t="str">
        <f t="shared" si="379"/>
        <v>Bangunan Pengaman Sungai dan Penanggulangan Bencana Alam</v>
      </c>
      <c r="Y993" s="1478">
        <f t="shared" si="380"/>
        <v>10</v>
      </c>
      <c r="Z993" s="1401">
        <f t="shared" si="381"/>
        <v>19501790</v>
      </c>
      <c r="AA993" s="1444">
        <f t="shared" si="382"/>
        <v>0</v>
      </c>
      <c r="AB993" s="1401">
        <f t="shared" si="383"/>
        <v>0</v>
      </c>
      <c r="AC993" s="1401">
        <v>0</v>
      </c>
      <c r="AD993" s="1401">
        <v>0</v>
      </c>
      <c r="AE993" s="1401">
        <v>0</v>
      </c>
      <c r="AF993" s="1401">
        <v>0</v>
      </c>
      <c r="AG993" s="1479">
        <f t="shared" si="384"/>
        <v>19501790</v>
      </c>
      <c r="AH993" s="1479">
        <f t="shared" si="377"/>
        <v>19501790</v>
      </c>
      <c r="AI993" s="1479">
        <f t="shared" si="378"/>
        <v>39003580</v>
      </c>
      <c r="AJ993" s="1401">
        <f t="shared" si="385"/>
        <v>156014320</v>
      </c>
    </row>
    <row r="994" spans="2:36" s="1390" customFormat="1" ht="33" customHeight="1" x14ac:dyDescent="0.2">
      <c r="B994" s="1472"/>
      <c r="C994" s="1478"/>
      <c r="D994" s="1426"/>
      <c r="E994" s="1429" t="s">
        <v>5751</v>
      </c>
      <c r="F994" s="1539"/>
      <c r="G994" s="1501" t="s">
        <v>4899</v>
      </c>
      <c r="H994" s="1429"/>
      <c r="I994" s="1501"/>
      <c r="J994" s="1540"/>
      <c r="K994" s="1501"/>
      <c r="L994" s="1526"/>
      <c r="M994" s="1429" t="s">
        <v>3487</v>
      </c>
      <c r="N994" s="1501">
        <v>2018</v>
      </c>
      <c r="O994" s="1429"/>
      <c r="P994" s="1429"/>
      <c r="Q994" s="1429"/>
      <c r="R994" s="1501" t="s">
        <v>12</v>
      </c>
      <c r="S994" s="1539">
        <v>194877555</v>
      </c>
      <c r="T994" s="1501"/>
      <c r="U994" s="1596"/>
      <c r="V994" s="1553"/>
      <c r="W994" s="1478" t="str">
        <f t="shared" si="374"/>
        <v>04.14.04</v>
      </c>
      <c r="X994" s="1478" t="str">
        <f t="shared" si="379"/>
        <v>Bangunan Pengaman Sungai dan Penanggulangan Bencana Alam</v>
      </c>
      <c r="Y994" s="1478">
        <f t="shared" si="380"/>
        <v>10</v>
      </c>
      <c r="Z994" s="1401">
        <f t="shared" si="381"/>
        <v>19487755.5</v>
      </c>
      <c r="AA994" s="1444">
        <f t="shared" si="382"/>
        <v>0</v>
      </c>
      <c r="AB994" s="1401">
        <f t="shared" si="383"/>
        <v>0</v>
      </c>
      <c r="AC994" s="1401">
        <v>0</v>
      </c>
      <c r="AD994" s="1401">
        <v>0</v>
      </c>
      <c r="AE994" s="1401">
        <v>0</v>
      </c>
      <c r="AF994" s="1401">
        <v>0</v>
      </c>
      <c r="AG994" s="1479">
        <f t="shared" si="384"/>
        <v>19487755.5</v>
      </c>
      <c r="AH994" s="1479">
        <f t="shared" si="377"/>
        <v>19487755.5</v>
      </c>
      <c r="AI994" s="1479">
        <f t="shared" si="378"/>
        <v>38975511</v>
      </c>
      <c r="AJ994" s="1401">
        <f t="shared" si="385"/>
        <v>155902044</v>
      </c>
    </row>
    <row r="995" spans="2:36" s="1390" customFormat="1" ht="33" customHeight="1" x14ac:dyDescent="0.2">
      <c r="B995" s="1472"/>
      <c r="C995" s="1478"/>
      <c r="D995" s="1426"/>
      <c r="E995" s="1429" t="s">
        <v>3346</v>
      </c>
      <c r="F995" s="1539"/>
      <c r="G995" s="1501" t="s">
        <v>4899</v>
      </c>
      <c r="H995" s="1429"/>
      <c r="I995" s="1501"/>
      <c r="J995" s="1540"/>
      <c r="K995" s="1501"/>
      <c r="L995" s="1526"/>
      <c r="M995" s="1429" t="s">
        <v>3488</v>
      </c>
      <c r="N995" s="1501">
        <v>2018</v>
      </c>
      <c r="O995" s="1429"/>
      <c r="P995" s="1429"/>
      <c r="Q995" s="1429"/>
      <c r="R995" s="1501" t="s">
        <v>12</v>
      </c>
      <c r="S995" s="1539">
        <f>196750000</f>
        <v>196750000</v>
      </c>
      <c r="T995" s="1501"/>
      <c r="U995" s="1596"/>
      <c r="V995" s="1553"/>
      <c r="W995" s="1478" t="str">
        <f t="shared" si="374"/>
        <v>04.14.04</v>
      </c>
      <c r="X995" s="1478" t="str">
        <f t="shared" si="379"/>
        <v>Bangunan Pengaman Sungai dan Penanggulangan Bencana Alam</v>
      </c>
      <c r="Y995" s="1478">
        <f t="shared" si="380"/>
        <v>10</v>
      </c>
      <c r="Z995" s="1401">
        <f t="shared" si="381"/>
        <v>19675000</v>
      </c>
      <c r="AA995" s="1444">
        <f t="shared" si="382"/>
        <v>0</v>
      </c>
      <c r="AB995" s="1479">
        <f>SUMIF(PERHITUNGAN!A:A,'KIB D'!B995&amp;'KIB D'!$AB$7,PERHITUNGAN!U:U)</f>
        <v>0</v>
      </c>
      <c r="AC995" s="1479">
        <f>SUMIF(PERHITUNGAN!A:A,'KIB D'!B995&amp;'KIB D'!$AC$7,PERHITUNGAN!U:U)</f>
        <v>0</v>
      </c>
      <c r="AD995" s="1479">
        <f>SUMIF(PERHITUNGAN!A:A,'KIB D'!B995&amp;'KIB D'!$AD$7,PERHITUNGAN!U:U)</f>
        <v>0</v>
      </c>
      <c r="AE995" s="1479">
        <f>SUMIF(PERHITUNGAN!A:A,'KIB D'!B995&amp;'KIB D'!$AE$7,PERHITUNGAN!U:U)</f>
        <v>0</v>
      </c>
      <c r="AF995" s="1479">
        <f>SUMIF(PERHITUNGAN!A:A,'KIB D'!B995&amp;'KIB D'!$AF$7,PERHITUNGAN!U:U)</f>
        <v>0</v>
      </c>
      <c r="AG995" s="1479">
        <f t="shared" si="384"/>
        <v>19675000</v>
      </c>
      <c r="AH995" s="1479">
        <f t="shared" si="377"/>
        <v>19675000</v>
      </c>
      <c r="AI995" s="1479">
        <f>SUM(AB995:AH995)</f>
        <v>39350000</v>
      </c>
      <c r="AJ995" s="1401">
        <f t="shared" si="385"/>
        <v>157400000</v>
      </c>
    </row>
    <row r="996" spans="2:36" s="1390" customFormat="1" ht="33" customHeight="1" x14ac:dyDescent="0.2">
      <c r="B996" s="1472"/>
      <c r="C996" s="1478"/>
      <c r="D996" s="1426"/>
      <c r="E996" s="1429" t="s">
        <v>3347</v>
      </c>
      <c r="F996" s="1539"/>
      <c r="G996" s="1501" t="s">
        <v>4899</v>
      </c>
      <c r="H996" s="1429"/>
      <c r="I996" s="1501"/>
      <c r="J996" s="1540"/>
      <c r="K996" s="1501"/>
      <c r="L996" s="1526"/>
      <c r="M996" s="1429" t="s">
        <v>3489</v>
      </c>
      <c r="N996" s="1501">
        <v>2018</v>
      </c>
      <c r="O996" s="1429"/>
      <c r="P996" s="1429"/>
      <c r="Q996" s="1429"/>
      <c r="R996" s="1501" t="s">
        <v>12</v>
      </c>
      <c r="S996" s="1539">
        <v>197460000</v>
      </c>
      <c r="T996" s="1501"/>
      <c r="U996" s="1596"/>
      <c r="V996" s="1553"/>
      <c r="W996" s="1478" t="str">
        <f t="shared" si="374"/>
        <v>04.14.04</v>
      </c>
      <c r="X996" s="1478" t="str">
        <f t="shared" si="379"/>
        <v>Bangunan Pengaman Sungai dan Penanggulangan Bencana Alam</v>
      </c>
      <c r="Y996" s="1478">
        <f t="shared" si="380"/>
        <v>10</v>
      </c>
      <c r="Z996" s="1401">
        <f t="shared" si="381"/>
        <v>19746000</v>
      </c>
      <c r="AA996" s="1444">
        <f t="shared" si="382"/>
        <v>0</v>
      </c>
      <c r="AB996" s="1401">
        <f t="shared" si="383"/>
        <v>0</v>
      </c>
      <c r="AC996" s="1401">
        <v>0</v>
      </c>
      <c r="AD996" s="1401">
        <v>0</v>
      </c>
      <c r="AE996" s="1401">
        <v>0</v>
      </c>
      <c r="AF996" s="1401">
        <v>0</v>
      </c>
      <c r="AG996" s="1479">
        <f t="shared" si="384"/>
        <v>19746000</v>
      </c>
      <c r="AH996" s="1479">
        <f t="shared" si="377"/>
        <v>19746000</v>
      </c>
      <c r="AI996" s="1479">
        <f t="shared" si="378"/>
        <v>39492000</v>
      </c>
      <c r="AJ996" s="1401">
        <f t="shared" si="385"/>
        <v>157968000</v>
      </c>
    </row>
    <row r="997" spans="2:36" s="1390" customFormat="1" ht="33" customHeight="1" x14ac:dyDescent="0.2">
      <c r="B997" s="1472"/>
      <c r="C997" s="1478"/>
      <c r="D997" s="1426"/>
      <c r="E997" s="1429" t="s">
        <v>3348</v>
      </c>
      <c r="F997" s="1539"/>
      <c r="G997" s="1501" t="s">
        <v>2551</v>
      </c>
      <c r="H997" s="1429"/>
      <c r="I997" s="1501"/>
      <c r="J997" s="1540"/>
      <c r="K997" s="1501"/>
      <c r="L997" s="1526"/>
      <c r="M997" s="1429" t="s">
        <v>3490</v>
      </c>
      <c r="N997" s="1501">
        <v>2018</v>
      </c>
      <c r="O997" s="1429"/>
      <c r="P997" s="1429"/>
      <c r="Q997" s="1429"/>
      <c r="R997" s="1501" t="s">
        <v>12</v>
      </c>
      <c r="S997" s="1539">
        <f>197590000</f>
        <v>197590000</v>
      </c>
      <c r="T997" s="1501"/>
      <c r="U997" s="1596"/>
      <c r="V997" s="1553"/>
      <c r="W997" s="1478" t="str">
        <f t="shared" si="374"/>
        <v>04.14.04</v>
      </c>
      <c r="X997" s="1478" t="str">
        <f t="shared" si="379"/>
        <v>Bangunan Pengaman Sungai dan Penanggulangan Bencana Alam</v>
      </c>
      <c r="Y997" s="1478">
        <f t="shared" si="380"/>
        <v>10</v>
      </c>
      <c r="Z997" s="1401">
        <f t="shared" si="381"/>
        <v>19759000</v>
      </c>
      <c r="AA997" s="1444">
        <f t="shared" si="382"/>
        <v>0</v>
      </c>
      <c r="AB997" s="1479">
        <f>SUMIF(PERHITUNGAN!A:A,'KIB D'!B997&amp;'KIB D'!$AB$7,PERHITUNGAN!U:U)</f>
        <v>0</v>
      </c>
      <c r="AC997" s="1479">
        <f>SUMIF(PERHITUNGAN!A:A,'KIB D'!B997&amp;'KIB D'!$AC$7,PERHITUNGAN!U:U)</f>
        <v>0</v>
      </c>
      <c r="AD997" s="1479">
        <f>SUMIF(PERHITUNGAN!A:A,'KIB D'!B997&amp;'KIB D'!$AD$7,PERHITUNGAN!U:U)</f>
        <v>0</v>
      </c>
      <c r="AE997" s="1479">
        <f>SUMIF(PERHITUNGAN!A:A,'KIB D'!B997&amp;'KIB D'!$AE$7,PERHITUNGAN!U:U)</f>
        <v>0</v>
      </c>
      <c r="AF997" s="1479">
        <f>SUMIF(PERHITUNGAN!A:A,'KIB D'!B997&amp;'KIB D'!$AF$7,PERHITUNGAN!U:U)</f>
        <v>0</v>
      </c>
      <c r="AG997" s="1479">
        <f t="shared" si="384"/>
        <v>19759000</v>
      </c>
      <c r="AH997" s="1479">
        <f t="shared" si="377"/>
        <v>19759000</v>
      </c>
      <c r="AI997" s="1479">
        <f>SUM(AB997:AH997)</f>
        <v>39518000</v>
      </c>
      <c r="AJ997" s="1401">
        <f t="shared" si="385"/>
        <v>158072000</v>
      </c>
    </row>
    <row r="998" spans="2:36" s="1390" customFormat="1" ht="33" customHeight="1" x14ac:dyDescent="0.2">
      <c r="B998" s="1472"/>
      <c r="C998" s="1478"/>
      <c r="D998" s="1426"/>
      <c r="E998" s="1429" t="s">
        <v>3349</v>
      </c>
      <c r="F998" s="1539"/>
      <c r="G998" s="1501" t="s">
        <v>2551</v>
      </c>
      <c r="H998" s="1429"/>
      <c r="I998" s="1501"/>
      <c r="J998" s="1540"/>
      <c r="K998" s="1501"/>
      <c r="L998" s="1526"/>
      <c r="M998" s="1429" t="s">
        <v>3491</v>
      </c>
      <c r="N998" s="1501">
        <v>2018</v>
      </c>
      <c r="O998" s="1429"/>
      <c r="P998" s="1429"/>
      <c r="Q998" s="1429"/>
      <c r="R998" s="1501" t="s">
        <v>12</v>
      </c>
      <c r="S998" s="1539">
        <v>197585000</v>
      </c>
      <c r="T998" s="1501"/>
      <c r="U998" s="1596"/>
      <c r="V998" s="1553"/>
      <c r="W998" s="1478" t="str">
        <f t="shared" si="374"/>
        <v>04.14.04</v>
      </c>
      <c r="X998" s="1478" t="str">
        <f t="shared" si="379"/>
        <v>Bangunan Pengaman Sungai dan Penanggulangan Bencana Alam</v>
      </c>
      <c r="Y998" s="1478">
        <f t="shared" si="380"/>
        <v>10</v>
      </c>
      <c r="Z998" s="1401">
        <f t="shared" si="381"/>
        <v>19758500</v>
      </c>
      <c r="AA998" s="1444">
        <f t="shared" si="382"/>
        <v>0</v>
      </c>
      <c r="AB998" s="1401">
        <f t="shared" si="383"/>
        <v>0</v>
      </c>
      <c r="AC998" s="1401">
        <v>0</v>
      </c>
      <c r="AD998" s="1401">
        <v>0</v>
      </c>
      <c r="AE998" s="1401">
        <v>0</v>
      </c>
      <c r="AF998" s="1401">
        <v>0</v>
      </c>
      <c r="AG998" s="1479">
        <f t="shared" si="384"/>
        <v>19758500</v>
      </c>
      <c r="AH998" s="1479">
        <f t="shared" si="377"/>
        <v>19758500</v>
      </c>
      <c r="AI998" s="1479">
        <f t="shared" si="378"/>
        <v>39517000</v>
      </c>
      <c r="AJ998" s="1401">
        <f t="shared" si="385"/>
        <v>158068000</v>
      </c>
    </row>
    <row r="999" spans="2:36" s="1390" customFormat="1" ht="33" customHeight="1" x14ac:dyDescent="0.2">
      <c r="B999" s="1472"/>
      <c r="C999" s="1478"/>
      <c r="D999" s="1426"/>
      <c r="E999" s="1429" t="s">
        <v>3350</v>
      </c>
      <c r="F999" s="1539"/>
      <c r="G999" s="1501" t="s">
        <v>2551</v>
      </c>
      <c r="H999" s="1429"/>
      <c r="I999" s="1501"/>
      <c r="J999" s="1540"/>
      <c r="K999" s="1501"/>
      <c r="L999" s="1526"/>
      <c r="M999" s="1429" t="s">
        <v>3492</v>
      </c>
      <c r="N999" s="1501">
        <v>2018</v>
      </c>
      <c r="O999" s="1429"/>
      <c r="P999" s="1429"/>
      <c r="Q999" s="1429"/>
      <c r="R999" s="1501" t="s">
        <v>12</v>
      </c>
      <c r="S999" s="1539">
        <f>197620000</f>
        <v>197620000</v>
      </c>
      <c r="T999" s="1501"/>
      <c r="U999" s="1596"/>
      <c r="V999" s="1553"/>
      <c r="W999" s="1478" t="str">
        <f t="shared" si="374"/>
        <v>04.14.04</v>
      </c>
      <c r="X999" s="1478" t="str">
        <f t="shared" si="379"/>
        <v>Bangunan Pengaman Sungai dan Penanggulangan Bencana Alam</v>
      </c>
      <c r="Y999" s="1478">
        <f t="shared" si="380"/>
        <v>10</v>
      </c>
      <c r="Z999" s="1401">
        <f t="shared" si="381"/>
        <v>19762000</v>
      </c>
      <c r="AA999" s="1444">
        <f t="shared" si="382"/>
        <v>0</v>
      </c>
      <c r="AB999" s="1479">
        <f>SUMIF(PERHITUNGAN!A:A,'KIB D'!B999&amp;'KIB D'!$AB$7,PERHITUNGAN!U:U)</f>
        <v>0</v>
      </c>
      <c r="AC999" s="1479">
        <f>SUMIF(PERHITUNGAN!A:A,'KIB D'!B999&amp;'KIB D'!$AC$7,PERHITUNGAN!U:U)</f>
        <v>0</v>
      </c>
      <c r="AD999" s="1479">
        <f>SUMIF(PERHITUNGAN!A:A,'KIB D'!B999&amp;'KIB D'!$AD$7,PERHITUNGAN!U:U)</f>
        <v>0</v>
      </c>
      <c r="AE999" s="1479">
        <f>SUMIF(PERHITUNGAN!A:A,'KIB D'!B999&amp;'KIB D'!$AE$7,PERHITUNGAN!U:U)</f>
        <v>0</v>
      </c>
      <c r="AF999" s="1479">
        <f>SUMIF(PERHITUNGAN!A:A,'KIB D'!B999&amp;'KIB D'!$AF$7,PERHITUNGAN!U:U)</f>
        <v>0</v>
      </c>
      <c r="AG999" s="1479">
        <f t="shared" si="384"/>
        <v>19762000</v>
      </c>
      <c r="AH999" s="1479">
        <f t="shared" si="377"/>
        <v>19762000</v>
      </c>
      <c r="AI999" s="1479">
        <f>SUM(AB999:AH999)</f>
        <v>39524000</v>
      </c>
      <c r="AJ999" s="1401">
        <f t="shared" si="385"/>
        <v>158096000</v>
      </c>
    </row>
    <row r="1000" spans="2:36" s="1390" customFormat="1" ht="33" customHeight="1" x14ac:dyDescent="0.2">
      <c r="B1000" s="1472"/>
      <c r="C1000" s="1478"/>
      <c r="D1000" s="1426"/>
      <c r="E1000" s="1429" t="s">
        <v>3351</v>
      </c>
      <c r="F1000" s="1539"/>
      <c r="G1000" s="1501" t="s">
        <v>2551</v>
      </c>
      <c r="H1000" s="1429"/>
      <c r="I1000" s="1501"/>
      <c r="J1000" s="1540"/>
      <c r="K1000" s="1501"/>
      <c r="L1000" s="1526"/>
      <c r="M1000" s="1429" t="s">
        <v>3454</v>
      </c>
      <c r="N1000" s="1501">
        <v>2018</v>
      </c>
      <c r="O1000" s="1429"/>
      <c r="P1000" s="1429"/>
      <c r="Q1000" s="1429"/>
      <c r="R1000" s="1501" t="s">
        <v>12</v>
      </c>
      <c r="S1000" s="1539">
        <v>197600000</v>
      </c>
      <c r="T1000" s="1501"/>
      <c r="U1000" s="1596"/>
      <c r="V1000" s="1553"/>
      <c r="W1000" s="1478" t="str">
        <f t="shared" si="374"/>
        <v>04.14.04</v>
      </c>
      <c r="X1000" s="1478" t="str">
        <f t="shared" si="379"/>
        <v>Bangunan Pengaman Sungai dan Penanggulangan Bencana Alam</v>
      </c>
      <c r="Y1000" s="1478">
        <f t="shared" si="380"/>
        <v>10</v>
      </c>
      <c r="Z1000" s="1401">
        <f t="shared" si="381"/>
        <v>19760000</v>
      </c>
      <c r="AA1000" s="1444">
        <f t="shared" si="382"/>
        <v>0</v>
      </c>
      <c r="AB1000" s="1401">
        <f t="shared" si="383"/>
        <v>0</v>
      </c>
      <c r="AC1000" s="1401">
        <v>0</v>
      </c>
      <c r="AD1000" s="1401">
        <v>0</v>
      </c>
      <c r="AE1000" s="1401">
        <v>0</v>
      </c>
      <c r="AF1000" s="1401">
        <v>0</v>
      </c>
      <c r="AG1000" s="1479">
        <f t="shared" si="384"/>
        <v>19760000</v>
      </c>
      <c r="AH1000" s="1479">
        <f t="shared" si="377"/>
        <v>19760000</v>
      </c>
      <c r="AI1000" s="1479">
        <f t="shared" si="378"/>
        <v>39520000</v>
      </c>
      <c r="AJ1000" s="1401">
        <f t="shared" si="385"/>
        <v>158080000</v>
      </c>
    </row>
    <row r="1001" spans="2:36" s="1390" customFormat="1" ht="33" customHeight="1" x14ac:dyDescent="0.2">
      <c r="B1001" s="1472"/>
      <c r="C1001" s="1478"/>
      <c r="D1001" s="1426"/>
      <c r="E1001" s="1429" t="s">
        <v>3352</v>
      </c>
      <c r="F1001" s="1539"/>
      <c r="G1001" s="1501" t="s">
        <v>2551</v>
      </c>
      <c r="H1001" s="1429"/>
      <c r="I1001" s="1501"/>
      <c r="J1001" s="1540"/>
      <c r="K1001" s="1501"/>
      <c r="L1001" s="1526"/>
      <c r="M1001" s="1429" t="s">
        <v>3493</v>
      </c>
      <c r="N1001" s="1501">
        <v>2018</v>
      </c>
      <c r="O1001" s="1429"/>
      <c r="P1001" s="1429"/>
      <c r="Q1001" s="1429"/>
      <c r="R1001" s="1501" t="s">
        <v>12</v>
      </c>
      <c r="S1001" s="1539">
        <f>197150000</f>
        <v>197150000</v>
      </c>
      <c r="T1001" s="1501"/>
      <c r="U1001" s="1596"/>
      <c r="V1001" s="1553"/>
      <c r="W1001" s="1478" t="str">
        <f t="shared" si="374"/>
        <v>04.14.04</v>
      </c>
      <c r="X1001" s="1478" t="str">
        <f t="shared" si="379"/>
        <v>Bangunan Pengaman Sungai dan Penanggulangan Bencana Alam</v>
      </c>
      <c r="Y1001" s="1478">
        <f t="shared" si="380"/>
        <v>10</v>
      </c>
      <c r="Z1001" s="1401">
        <f t="shared" si="381"/>
        <v>19715000</v>
      </c>
      <c r="AA1001" s="1444">
        <f t="shared" si="382"/>
        <v>0</v>
      </c>
      <c r="AB1001" s="1479">
        <f>SUMIF(PERHITUNGAN!A:A,'KIB D'!B1001&amp;'KIB D'!$AB$7,PERHITUNGAN!U:U)</f>
        <v>0</v>
      </c>
      <c r="AC1001" s="1479">
        <f>SUMIF(PERHITUNGAN!A:A,'KIB D'!B1001&amp;'KIB D'!$AC$7,PERHITUNGAN!U:U)</f>
        <v>0</v>
      </c>
      <c r="AD1001" s="1479">
        <f>SUMIF(PERHITUNGAN!A:A,'KIB D'!B1001&amp;'KIB D'!$AD$7,PERHITUNGAN!U:U)</f>
        <v>0</v>
      </c>
      <c r="AE1001" s="1479">
        <f>SUMIF(PERHITUNGAN!A:A,'KIB D'!B1001&amp;'KIB D'!$AE$7,PERHITUNGAN!U:U)</f>
        <v>0</v>
      </c>
      <c r="AF1001" s="1479">
        <f>SUMIF(PERHITUNGAN!A:A,'KIB D'!B1001&amp;'KIB D'!$AF$7,PERHITUNGAN!U:U)</f>
        <v>0</v>
      </c>
      <c r="AG1001" s="1479">
        <f t="shared" si="384"/>
        <v>19715000</v>
      </c>
      <c r="AH1001" s="1479">
        <f t="shared" si="377"/>
        <v>19715000</v>
      </c>
      <c r="AI1001" s="1479">
        <f>SUM(AB1001:AH1001)</f>
        <v>39430000</v>
      </c>
      <c r="AJ1001" s="1401">
        <f t="shared" si="385"/>
        <v>157720000</v>
      </c>
    </row>
    <row r="1002" spans="2:36" s="1390" customFormat="1" ht="33" customHeight="1" x14ac:dyDescent="0.2">
      <c r="B1002" s="1472"/>
      <c r="C1002" s="1478"/>
      <c r="D1002" s="1426"/>
      <c r="E1002" s="1429" t="s">
        <v>3356</v>
      </c>
      <c r="F1002" s="1539"/>
      <c r="G1002" s="1501" t="s">
        <v>2525</v>
      </c>
      <c r="H1002" s="1429"/>
      <c r="I1002" s="1501"/>
      <c r="J1002" s="1540"/>
      <c r="K1002" s="1501"/>
      <c r="L1002" s="1526"/>
      <c r="M1002" s="1429" t="s">
        <v>2566</v>
      </c>
      <c r="N1002" s="1501">
        <v>2018</v>
      </c>
      <c r="O1002" s="1429"/>
      <c r="P1002" s="1429"/>
      <c r="Q1002" s="1429"/>
      <c r="R1002" s="1501" t="s">
        <v>12</v>
      </c>
      <c r="S1002" s="1539">
        <v>197475000</v>
      </c>
      <c r="T1002" s="1501"/>
      <c r="U1002" s="1596"/>
      <c r="V1002" s="1553"/>
      <c r="W1002" s="1478" t="str">
        <f t="shared" si="374"/>
        <v>04.14.04</v>
      </c>
      <c r="X1002" s="1478" t="str">
        <f t="shared" si="379"/>
        <v>Bangunan Pengaman Sungai dan Penanggulangan Bencana Alam</v>
      </c>
      <c r="Y1002" s="1478">
        <f t="shared" si="380"/>
        <v>10</v>
      </c>
      <c r="Z1002" s="1401">
        <f t="shared" si="381"/>
        <v>19747500</v>
      </c>
      <c r="AA1002" s="1444">
        <f t="shared" si="382"/>
        <v>0</v>
      </c>
      <c r="AB1002" s="1401">
        <f t="shared" si="383"/>
        <v>0</v>
      </c>
      <c r="AC1002" s="1401">
        <v>0</v>
      </c>
      <c r="AD1002" s="1401">
        <v>0</v>
      </c>
      <c r="AE1002" s="1401">
        <v>0</v>
      </c>
      <c r="AF1002" s="1401">
        <v>0</v>
      </c>
      <c r="AG1002" s="1479">
        <f t="shared" si="384"/>
        <v>19747500</v>
      </c>
      <c r="AH1002" s="1479">
        <f t="shared" si="377"/>
        <v>19747500</v>
      </c>
      <c r="AI1002" s="1479">
        <f t="shared" si="378"/>
        <v>39495000</v>
      </c>
      <c r="AJ1002" s="1401">
        <f t="shared" si="385"/>
        <v>157980000</v>
      </c>
    </row>
    <row r="1003" spans="2:36" s="1390" customFormat="1" ht="33" customHeight="1" x14ac:dyDescent="0.2">
      <c r="B1003" s="1472"/>
      <c r="C1003" s="1478"/>
      <c r="D1003" s="1426"/>
      <c r="E1003" s="1429" t="s">
        <v>3357</v>
      </c>
      <c r="F1003" s="1539"/>
      <c r="G1003" s="1501" t="s">
        <v>2525</v>
      </c>
      <c r="H1003" s="1429"/>
      <c r="I1003" s="1501"/>
      <c r="J1003" s="1540"/>
      <c r="K1003" s="1501"/>
      <c r="L1003" s="1526"/>
      <c r="M1003" s="1429" t="s">
        <v>3497</v>
      </c>
      <c r="N1003" s="1501">
        <v>2018</v>
      </c>
      <c r="O1003" s="1429"/>
      <c r="P1003" s="1429"/>
      <c r="Q1003" s="1429"/>
      <c r="R1003" s="1501" t="s">
        <v>12</v>
      </c>
      <c r="S1003" s="1539">
        <v>197500000</v>
      </c>
      <c r="T1003" s="1501"/>
      <c r="U1003" s="1596"/>
      <c r="V1003" s="1553"/>
      <c r="W1003" s="1478" t="str">
        <f t="shared" si="374"/>
        <v>04.14.04</v>
      </c>
      <c r="X1003" s="1478" t="str">
        <f t="shared" si="379"/>
        <v>Bangunan Pengaman Sungai dan Penanggulangan Bencana Alam</v>
      </c>
      <c r="Y1003" s="1478">
        <f t="shared" si="380"/>
        <v>10</v>
      </c>
      <c r="Z1003" s="1401">
        <f t="shared" si="381"/>
        <v>19750000</v>
      </c>
      <c r="AA1003" s="1444">
        <f t="shared" si="382"/>
        <v>0</v>
      </c>
      <c r="AB1003" s="1401">
        <f t="shared" si="383"/>
        <v>0</v>
      </c>
      <c r="AC1003" s="1401">
        <v>0</v>
      </c>
      <c r="AD1003" s="1401">
        <v>0</v>
      </c>
      <c r="AE1003" s="1401">
        <v>0</v>
      </c>
      <c r="AF1003" s="1401">
        <v>0</v>
      </c>
      <c r="AG1003" s="1479">
        <f t="shared" si="384"/>
        <v>19750000</v>
      </c>
      <c r="AH1003" s="1479">
        <f t="shared" si="377"/>
        <v>19750000</v>
      </c>
      <c r="AI1003" s="1479">
        <f t="shared" si="378"/>
        <v>39500000</v>
      </c>
      <c r="AJ1003" s="1401">
        <f t="shared" si="385"/>
        <v>158000000</v>
      </c>
    </row>
    <row r="1004" spans="2:36" s="1390" customFormat="1" ht="33" customHeight="1" x14ac:dyDescent="0.2">
      <c r="B1004" s="1472"/>
      <c r="C1004" s="1478"/>
      <c r="D1004" s="1426"/>
      <c r="E1004" s="1429" t="s">
        <v>3358</v>
      </c>
      <c r="F1004" s="1539"/>
      <c r="G1004" s="1501" t="s">
        <v>2525</v>
      </c>
      <c r="H1004" s="1429"/>
      <c r="I1004" s="1501"/>
      <c r="J1004" s="1540"/>
      <c r="K1004" s="1501"/>
      <c r="L1004" s="1526"/>
      <c r="M1004" s="1429" t="s">
        <v>3498</v>
      </c>
      <c r="N1004" s="1501">
        <v>2018</v>
      </c>
      <c r="O1004" s="1429"/>
      <c r="P1004" s="1429"/>
      <c r="Q1004" s="1429"/>
      <c r="R1004" s="1501" t="s">
        <v>12</v>
      </c>
      <c r="S1004" s="1539">
        <v>197525000</v>
      </c>
      <c r="T1004" s="1501"/>
      <c r="U1004" s="1596"/>
      <c r="V1004" s="1553"/>
      <c r="W1004" s="1478" t="str">
        <f t="shared" si="374"/>
        <v>04.14.04</v>
      </c>
      <c r="X1004" s="1478" t="str">
        <f t="shared" si="379"/>
        <v>Bangunan Pengaman Sungai dan Penanggulangan Bencana Alam</v>
      </c>
      <c r="Y1004" s="1478">
        <f t="shared" si="380"/>
        <v>10</v>
      </c>
      <c r="Z1004" s="1401">
        <f t="shared" si="381"/>
        <v>19752500</v>
      </c>
      <c r="AA1004" s="1444">
        <f t="shared" si="382"/>
        <v>0</v>
      </c>
      <c r="AB1004" s="1401">
        <f t="shared" si="383"/>
        <v>0</v>
      </c>
      <c r="AC1004" s="1401">
        <v>0</v>
      </c>
      <c r="AD1004" s="1401">
        <v>0</v>
      </c>
      <c r="AE1004" s="1401">
        <v>0</v>
      </c>
      <c r="AF1004" s="1401">
        <v>0</v>
      </c>
      <c r="AG1004" s="1479">
        <f t="shared" si="384"/>
        <v>19752500</v>
      </c>
      <c r="AH1004" s="1479">
        <f t="shared" si="377"/>
        <v>19752500</v>
      </c>
      <c r="AI1004" s="1479">
        <f t="shared" si="378"/>
        <v>39505000</v>
      </c>
      <c r="AJ1004" s="1401">
        <f t="shared" si="385"/>
        <v>158020000</v>
      </c>
    </row>
    <row r="1005" spans="2:36" s="1390" customFormat="1" ht="33" customHeight="1" x14ac:dyDescent="0.2">
      <c r="B1005" s="1472"/>
      <c r="C1005" s="1478"/>
      <c r="D1005" s="1426"/>
      <c r="E1005" s="1429" t="s">
        <v>3359</v>
      </c>
      <c r="F1005" s="1539"/>
      <c r="G1005" s="1501" t="s">
        <v>2525</v>
      </c>
      <c r="H1005" s="1429"/>
      <c r="I1005" s="1501"/>
      <c r="J1005" s="1540"/>
      <c r="K1005" s="1501"/>
      <c r="L1005" s="1526"/>
      <c r="M1005" s="1429" t="s">
        <v>3499</v>
      </c>
      <c r="N1005" s="1501">
        <v>2018</v>
      </c>
      <c r="O1005" s="1429"/>
      <c r="P1005" s="1429"/>
      <c r="Q1005" s="1429"/>
      <c r="R1005" s="1501" t="s">
        <v>12</v>
      </c>
      <c r="S1005" s="1539">
        <v>197450000</v>
      </c>
      <c r="T1005" s="1501"/>
      <c r="U1005" s="1596"/>
      <c r="V1005" s="1553"/>
      <c r="W1005" s="1478" t="str">
        <f t="shared" si="374"/>
        <v>04.14.04</v>
      </c>
      <c r="X1005" s="1478" t="str">
        <f t="shared" si="379"/>
        <v>Bangunan Pengaman Sungai dan Penanggulangan Bencana Alam</v>
      </c>
      <c r="Y1005" s="1478">
        <f t="shared" si="380"/>
        <v>10</v>
      </c>
      <c r="Z1005" s="1401">
        <f t="shared" si="381"/>
        <v>19745000</v>
      </c>
      <c r="AA1005" s="1444">
        <f t="shared" si="382"/>
        <v>0</v>
      </c>
      <c r="AB1005" s="1401">
        <f t="shared" si="383"/>
        <v>0</v>
      </c>
      <c r="AC1005" s="1401">
        <v>0</v>
      </c>
      <c r="AD1005" s="1401">
        <v>0</v>
      </c>
      <c r="AE1005" s="1401">
        <v>0</v>
      </c>
      <c r="AF1005" s="1401">
        <v>0</v>
      </c>
      <c r="AG1005" s="1479">
        <f t="shared" si="384"/>
        <v>19745000</v>
      </c>
      <c r="AH1005" s="1479">
        <f t="shared" si="377"/>
        <v>19745000</v>
      </c>
      <c r="AI1005" s="1479">
        <f t="shared" si="378"/>
        <v>39490000</v>
      </c>
      <c r="AJ1005" s="1401">
        <f t="shared" si="385"/>
        <v>157960000</v>
      </c>
    </row>
    <row r="1006" spans="2:36" s="1390" customFormat="1" ht="33" customHeight="1" x14ac:dyDescent="0.2">
      <c r="B1006" s="1472"/>
      <c r="C1006" s="1478"/>
      <c r="D1006" s="1426"/>
      <c r="E1006" s="1429" t="s">
        <v>3360</v>
      </c>
      <c r="F1006" s="1539"/>
      <c r="G1006" s="1501" t="s">
        <v>2525</v>
      </c>
      <c r="H1006" s="1429"/>
      <c r="I1006" s="1501"/>
      <c r="J1006" s="1540"/>
      <c r="K1006" s="1501"/>
      <c r="L1006" s="1526"/>
      <c r="M1006" s="1429" t="s">
        <v>3500</v>
      </c>
      <c r="N1006" s="1501">
        <v>2018</v>
      </c>
      <c r="O1006" s="1429"/>
      <c r="P1006" s="1429"/>
      <c r="Q1006" s="1429"/>
      <c r="R1006" s="1501" t="s">
        <v>12</v>
      </c>
      <c r="S1006" s="1539">
        <v>197620000</v>
      </c>
      <c r="T1006" s="1501"/>
      <c r="U1006" s="1596"/>
      <c r="V1006" s="1553"/>
      <c r="W1006" s="1478" t="str">
        <f t="shared" si="374"/>
        <v>04.14.04</v>
      </c>
      <c r="X1006" s="1478" t="str">
        <f t="shared" si="379"/>
        <v>Bangunan Pengaman Sungai dan Penanggulangan Bencana Alam</v>
      </c>
      <c r="Y1006" s="1478">
        <f t="shared" si="380"/>
        <v>10</v>
      </c>
      <c r="Z1006" s="1401">
        <f t="shared" si="381"/>
        <v>19762000</v>
      </c>
      <c r="AA1006" s="1444">
        <f t="shared" si="382"/>
        <v>0</v>
      </c>
      <c r="AB1006" s="1401">
        <f t="shared" si="383"/>
        <v>0</v>
      </c>
      <c r="AC1006" s="1401">
        <v>0</v>
      </c>
      <c r="AD1006" s="1401">
        <v>0</v>
      </c>
      <c r="AE1006" s="1401">
        <v>0</v>
      </c>
      <c r="AF1006" s="1401">
        <v>0</v>
      </c>
      <c r="AG1006" s="1479">
        <f t="shared" si="384"/>
        <v>19762000</v>
      </c>
      <c r="AH1006" s="1479">
        <f t="shared" si="377"/>
        <v>19762000</v>
      </c>
      <c r="AI1006" s="1479">
        <f t="shared" si="378"/>
        <v>39524000</v>
      </c>
      <c r="AJ1006" s="1401">
        <f t="shared" si="385"/>
        <v>158096000</v>
      </c>
    </row>
    <row r="1007" spans="2:36" s="1390" customFormat="1" ht="33" customHeight="1" x14ac:dyDescent="0.2">
      <c r="B1007" s="1472"/>
      <c r="C1007" s="1478"/>
      <c r="D1007" s="1426"/>
      <c r="E1007" s="1429" t="s">
        <v>3361</v>
      </c>
      <c r="F1007" s="1539"/>
      <c r="G1007" s="1501" t="s">
        <v>2525</v>
      </c>
      <c r="H1007" s="1429"/>
      <c r="I1007" s="1501"/>
      <c r="J1007" s="1540"/>
      <c r="K1007" s="1501"/>
      <c r="L1007" s="1526"/>
      <c r="M1007" s="1429" t="s">
        <v>3501</v>
      </c>
      <c r="N1007" s="1501">
        <v>2018</v>
      </c>
      <c r="O1007" s="1429"/>
      <c r="P1007" s="1429"/>
      <c r="Q1007" s="1429"/>
      <c r="R1007" s="1501" t="s">
        <v>12</v>
      </c>
      <c r="S1007" s="1539">
        <v>197450000</v>
      </c>
      <c r="T1007" s="1501"/>
      <c r="U1007" s="1596"/>
      <c r="V1007" s="1553"/>
      <c r="W1007" s="1478" t="str">
        <f t="shared" si="374"/>
        <v>04.14.04</v>
      </c>
      <c r="X1007" s="1478" t="str">
        <f t="shared" si="379"/>
        <v>Bangunan Pengaman Sungai dan Penanggulangan Bencana Alam</v>
      </c>
      <c r="Y1007" s="1478">
        <f t="shared" si="380"/>
        <v>10</v>
      </c>
      <c r="Z1007" s="1401">
        <f t="shared" si="381"/>
        <v>19745000</v>
      </c>
      <c r="AA1007" s="1444">
        <f t="shared" si="382"/>
        <v>0</v>
      </c>
      <c r="AB1007" s="1401">
        <f t="shared" si="383"/>
        <v>0</v>
      </c>
      <c r="AC1007" s="1401">
        <v>0</v>
      </c>
      <c r="AD1007" s="1401">
        <v>0</v>
      </c>
      <c r="AE1007" s="1401">
        <v>0</v>
      </c>
      <c r="AF1007" s="1401">
        <v>0</v>
      </c>
      <c r="AG1007" s="1479">
        <f t="shared" si="384"/>
        <v>19745000</v>
      </c>
      <c r="AH1007" s="1479">
        <f t="shared" si="377"/>
        <v>19745000</v>
      </c>
      <c r="AI1007" s="1479">
        <f t="shared" si="378"/>
        <v>39490000</v>
      </c>
      <c r="AJ1007" s="1401">
        <f t="shared" si="385"/>
        <v>157960000</v>
      </c>
    </row>
    <row r="1008" spans="2:36" s="1390" customFormat="1" ht="33" customHeight="1" x14ac:dyDescent="0.2">
      <c r="B1008" s="1472"/>
      <c r="C1008" s="1478"/>
      <c r="D1008" s="1426"/>
      <c r="E1008" s="1429" t="s">
        <v>3362</v>
      </c>
      <c r="F1008" s="1539"/>
      <c r="G1008" s="1501" t="s">
        <v>2525</v>
      </c>
      <c r="H1008" s="1429"/>
      <c r="I1008" s="1501"/>
      <c r="J1008" s="1540"/>
      <c r="K1008" s="1501"/>
      <c r="L1008" s="1526"/>
      <c r="M1008" s="1429" t="s">
        <v>3502</v>
      </c>
      <c r="N1008" s="1501">
        <v>2018</v>
      </c>
      <c r="O1008" s="1429"/>
      <c r="P1008" s="1429"/>
      <c r="Q1008" s="1429"/>
      <c r="R1008" s="1501" t="s">
        <v>12</v>
      </c>
      <c r="S1008" s="1539">
        <v>1904605999</v>
      </c>
      <c r="T1008" s="1501"/>
      <c r="U1008" s="1596"/>
      <c r="V1008" s="1553"/>
      <c r="W1008" s="1478" t="str">
        <f t="shared" si="374"/>
        <v>04.14.04</v>
      </c>
      <c r="X1008" s="1478" t="str">
        <f t="shared" si="379"/>
        <v>Bangunan Pengaman Sungai dan Penanggulangan Bencana Alam</v>
      </c>
      <c r="Y1008" s="1478">
        <f t="shared" si="380"/>
        <v>10</v>
      </c>
      <c r="Z1008" s="1401">
        <f t="shared" si="381"/>
        <v>190460599.90000001</v>
      </c>
      <c r="AA1008" s="1444">
        <f t="shared" si="382"/>
        <v>0</v>
      </c>
      <c r="AB1008" s="1401">
        <f t="shared" si="383"/>
        <v>0</v>
      </c>
      <c r="AC1008" s="1401">
        <v>0</v>
      </c>
      <c r="AD1008" s="1401">
        <v>0</v>
      </c>
      <c r="AE1008" s="1401">
        <v>0</v>
      </c>
      <c r="AF1008" s="1401">
        <v>0</v>
      </c>
      <c r="AG1008" s="1479">
        <f t="shared" si="384"/>
        <v>190460599.90000001</v>
      </c>
      <c r="AH1008" s="1479">
        <f t="shared" si="377"/>
        <v>190460599.90000001</v>
      </c>
      <c r="AI1008" s="1479">
        <f t="shared" si="378"/>
        <v>380921199.80000001</v>
      </c>
      <c r="AJ1008" s="1401">
        <f t="shared" si="385"/>
        <v>1523684799.2</v>
      </c>
    </row>
    <row r="1009" spans="2:36" s="1390" customFormat="1" ht="33" customHeight="1" x14ac:dyDescent="0.2">
      <c r="B1009" s="1472"/>
      <c r="C1009" s="1478"/>
      <c r="D1009" s="1426"/>
      <c r="E1009" s="1429" t="s">
        <v>3363</v>
      </c>
      <c r="F1009" s="1539"/>
      <c r="G1009" s="1501" t="s">
        <v>2525</v>
      </c>
      <c r="H1009" s="1429"/>
      <c r="I1009" s="1501"/>
      <c r="J1009" s="1540"/>
      <c r="K1009" s="1501"/>
      <c r="L1009" s="1526"/>
      <c r="M1009" s="1429" t="s">
        <v>3503</v>
      </c>
      <c r="N1009" s="1501">
        <v>2018</v>
      </c>
      <c r="O1009" s="1429"/>
      <c r="P1009" s="1429"/>
      <c r="Q1009" s="1429"/>
      <c r="R1009" s="1501" t="s">
        <v>12</v>
      </c>
      <c r="S1009" s="1539">
        <v>197400000</v>
      </c>
      <c r="T1009" s="1501"/>
      <c r="U1009" s="1596"/>
      <c r="V1009" s="1553"/>
      <c r="W1009" s="1478" t="str">
        <f t="shared" si="374"/>
        <v>04.14.04</v>
      </c>
      <c r="X1009" s="1478" t="str">
        <f t="shared" si="379"/>
        <v>Bangunan Pengaman Sungai dan Penanggulangan Bencana Alam</v>
      </c>
      <c r="Y1009" s="1478">
        <f t="shared" si="380"/>
        <v>10</v>
      </c>
      <c r="Z1009" s="1401">
        <f t="shared" si="381"/>
        <v>19740000</v>
      </c>
      <c r="AA1009" s="1444">
        <f t="shared" si="382"/>
        <v>0</v>
      </c>
      <c r="AB1009" s="1401">
        <f t="shared" si="383"/>
        <v>0</v>
      </c>
      <c r="AC1009" s="1401">
        <v>0</v>
      </c>
      <c r="AD1009" s="1401">
        <v>0</v>
      </c>
      <c r="AE1009" s="1401">
        <v>0</v>
      </c>
      <c r="AF1009" s="1401">
        <v>0</v>
      </c>
      <c r="AG1009" s="1479">
        <f t="shared" si="384"/>
        <v>19740000</v>
      </c>
      <c r="AH1009" s="1479">
        <f t="shared" si="377"/>
        <v>19740000</v>
      </c>
      <c r="AI1009" s="1479">
        <f t="shared" si="378"/>
        <v>39480000</v>
      </c>
      <c r="AJ1009" s="1401">
        <f t="shared" si="385"/>
        <v>157920000</v>
      </c>
    </row>
    <row r="1010" spans="2:36" s="1390" customFormat="1" ht="33" customHeight="1" x14ac:dyDescent="0.2">
      <c r="B1010" s="1472"/>
      <c r="C1010" s="1478"/>
      <c r="D1010" s="1426"/>
      <c r="E1010" s="1429" t="s">
        <v>3364</v>
      </c>
      <c r="F1010" s="1539"/>
      <c r="G1010" s="1501" t="s">
        <v>2525</v>
      </c>
      <c r="H1010" s="1429"/>
      <c r="I1010" s="1501"/>
      <c r="J1010" s="1540"/>
      <c r="K1010" s="1501"/>
      <c r="L1010" s="1526"/>
      <c r="M1010" s="1429" t="s">
        <v>3504</v>
      </c>
      <c r="N1010" s="1501">
        <v>2018</v>
      </c>
      <c r="O1010" s="1429"/>
      <c r="P1010" s="1429"/>
      <c r="Q1010" s="1429"/>
      <c r="R1010" s="1501" t="s">
        <v>12</v>
      </c>
      <c r="S1010" s="1539">
        <v>197050000</v>
      </c>
      <c r="T1010" s="1501"/>
      <c r="U1010" s="1596"/>
      <c r="V1010" s="1553"/>
      <c r="W1010" s="1478" t="str">
        <f t="shared" si="374"/>
        <v>04.14.04</v>
      </c>
      <c r="X1010" s="1478" t="str">
        <f t="shared" si="379"/>
        <v>Bangunan Pengaman Sungai dan Penanggulangan Bencana Alam</v>
      </c>
      <c r="Y1010" s="1478">
        <f t="shared" si="380"/>
        <v>10</v>
      </c>
      <c r="Z1010" s="1401">
        <f t="shared" si="381"/>
        <v>19705000</v>
      </c>
      <c r="AA1010" s="1444">
        <f t="shared" si="382"/>
        <v>0</v>
      </c>
      <c r="AB1010" s="1401">
        <f t="shared" si="383"/>
        <v>0</v>
      </c>
      <c r="AC1010" s="1401">
        <v>0</v>
      </c>
      <c r="AD1010" s="1401">
        <v>0</v>
      </c>
      <c r="AE1010" s="1401">
        <v>0</v>
      </c>
      <c r="AF1010" s="1401">
        <v>0</v>
      </c>
      <c r="AG1010" s="1479">
        <f t="shared" si="384"/>
        <v>19705000</v>
      </c>
      <c r="AH1010" s="1479">
        <f t="shared" si="377"/>
        <v>19705000</v>
      </c>
      <c r="AI1010" s="1479">
        <f t="shared" si="378"/>
        <v>39410000</v>
      </c>
      <c r="AJ1010" s="1401">
        <f t="shared" si="385"/>
        <v>157640000</v>
      </c>
    </row>
    <row r="1011" spans="2:36" s="1390" customFormat="1" ht="33" customHeight="1" x14ac:dyDescent="0.2">
      <c r="B1011" s="1552" t="s">
        <v>847</v>
      </c>
      <c r="C1011" s="1478"/>
      <c r="D1011" s="1426"/>
      <c r="E1011" s="1429" t="s">
        <v>3365</v>
      </c>
      <c r="F1011" s="1539"/>
      <c r="G1011" s="1501" t="s">
        <v>2552</v>
      </c>
      <c r="H1011" s="1429"/>
      <c r="I1011" s="1501"/>
      <c r="J1011" s="1540"/>
      <c r="K1011" s="1501"/>
      <c r="L1011" s="1526"/>
      <c r="M1011" s="1429" t="s">
        <v>847</v>
      </c>
      <c r="N1011" s="1501">
        <v>2018</v>
      </c>
      <c r="O1011" s="1429"/>
      <c r="P1011" s="1429"/>
      <c r="Q1011" s="1429"/>
      <c r="R1011" s="1501" t="s">
        <v>12</v>
      </c>
      <c r="S1011" s="1539">
        <v>394503000</v>
      </c>
      <c r="T1011" s="1501"/>
      <c r="U1011" s="1596"/>
      <c r="V1011" s="1553"/>
      <c r="W1011" s="1478" t="str">
        <f t="shared" si="374"/>
        <v>04.14.01</v>
      </c>
      <c r="X1011" s="1478" t="str">
        <f t="shared" si="379"/>
        <v>Bangunan Air Irigasi</v>
      </c>
      <c r="Y1011" s="1478">
        <f t="shared" si="380"/>
        <v>50</v>
      </c>
      <c r="Z1011" s="1401">
        <f t="shared" si="381"/>
        <v>7890060</v>
      </c>
      <c r="AA1011" s="1444">
        <f t="shared" si="382"/>
        <v>0</v>
      </c>
      <c r="AB1011" s="1401">
        <f t="shared" si="383"/>
        <v>0</v>
      </c>
      <c r="AC1011" s="1401">
        <v>0</v>
      </c>
      <c r="AD1011" s="1401">
        <v>0</v>
      </c>
      <c r="AE1011" s="1401">
        <v>0</v>
      </c>
      <c r="AF1011" s="1401">
        <v>0</v>
      </c>
      <c r="AG1011" s="1479">
        <f t="shared" si="384"/>
        <v>7890060</v>
      </c>
      <c r="AH1011" s="1479">
        <f t="shared" si="377"/>
        <v>7890060</v>
      </c>
      <c r="AI1011" s="1479">
        <f t="shared" si="378"/>
        <v>15780120</v>
      </c>
      <c r="AJ1011" s="1401">
        <f t="shared" si="385"/>
        <v>378722880</v>
      </c>
    </row>
    <row r="1012" spans="2:36" s="1390" customFormat="1" ht="33" customHeight="1" x14ac:dyDescent="0.2">
      <c r="B1012" s="1472" t="s">
        <v>3438</v>
      </c>
      <c r="C1012" s="1478"/>
      <c r="D1012" s="1426"/>
      <c r="E1012" s="1429" t="s">
        <v>3366</v>
      </c>
      <c r="F1012" s="1539"/>
      <c r="G1012" s="1501" t="s">
        <v>2552</v>
      </c>
      <c r="H1012" s="1429"/>
      <c r="I1012" s="1501"/>
      <c r="J1012" s="1540"/>
      <c r="K1012" s="1501"/>
      <c r="L1012" s="1526"/>
      <c r="M1012" s="1429" t="s">
        <v>3438</v>
      </c>
      <c r="N1012" s="1501">
        <v>2018</v>
      </c>
      <c r="O1012" s="1429"/>
      <c r="P1012" s="1429"/>
      <c r="Q1012" s="1429"/>
      <c r="R1012" s="1501" t="s">
        <v>12</v>
      </c>
      <c r="S1012" s="1539">
        <v>395751000</v>
      </c>
      <c r="T1012" s="1501"/>
      <c r="U1012" s="1596"/>
      <c r="V1012" s="1553"/>
      <c r="W1012" s="1478" t="str">
        <f t="shared" si="374"/>
        <v>04.14.01</v>
      </c>
      <c r="X1012" s="1478" t="str">
        <f t="shared" si="379"/>
        <v>Bangunan Air Irigasi</v>
      </c>
      <c r="Y1012" s="1478">
        <f t="shared" si="380"/>
        <v>50</v>
      </c>
      <c r="Z1012" s="1401">
        <f t="shared" si="381"/>
        <v>7915020</v>
      </c>
      <c r="AA1012" s="1444">
        <f t="shared" si="382"/>
        <v>0</v>
      </c>
      <c r="AB1012" s="1401">
        <f t="shared" si="383"/>
        <v>0</v>
      </c>
      <c r="AC1012" s="1401">
        <v>0</v>
      </c>
      <c r="AD1012" s="1401">
        <v>0</v>
      </c>
      <c r="AE1012" s="1401">
        <v>0</v>
      </c>
      <c r="AF1012" s="1401">
        <v>0</v>
      </c>
      <c r="AG1012" s="1479">
        <f t="shared" si="384"/>
        <v>7915020</v>
      </c>
      <c r="AH1012" s="1479">
        <f t="shared" si="377"/>
        <v>7915020</v>
      </c>
      <c r="AI1012" s="1479">
        <f t="shared" si="378"/>
        <v>15830040</v>
      </c>
      <c r="AJ1012" s="1401">
        <f t="shared" si="385"/>
        <v>379920960</v>
      </c>
    </row>
    <row r="1013" spans="2:36" s="1390" customFormat="1" ht="33" customHeight="1" x14ac:dyDescent="0.2">
      <c r="B1013" s="1472"/>
      <c r="C1013" s="1478"/>
      <c r="D1013" s="1426"/>
      <c r="E1013" s="1429" t="s">
        <v>3367</v>
      </c>
      <c r="F1013" s="1539"/>
      <c r="G1013" s="1501" t="s">
        <v>2553</v>
      </c>
      <c r="H1013" s="1429"/>
      <c r="I1013" s="1501"/>
      <c r="J1013" s="1540"/>
      <c r="K1013" s="1501"/>
      <c r="L1013" s="1526"/>
      <c r="M1013" s="1429" t="s">
        <v>2579</v>
      </c>
      <c r="N1013" s="1501">
        <v>2018</v>
      </c>
      <c r="O1013" s="1429"/>
      <c r="P1013" s="1429"/>
      <c r="Q1013" s="1429"/>
      <c r="R1013" s="1501" t="s">
        <v>12</v>
      </c>
      <c r="S1013" s="1539">
        <v>477488000</v>
      </c>
      <c r="T1013" s="1501"/>
      <c r="U1013" s="1596"/>
      <c r="V1013" s="1553"/>
      <c r="W1013" s="1478" t="str">
        <f t="shared" ref="W1013:W1025" si="386">LEFT(G1013,8)</f>
        <v>04.14.01</v>
      </c>
      <c r="X1013" s="1478" t="str">
        <f t="shared" si="379"/>
        <v>Bangunan Air Irigasi</v>
      </c>
      <c r="Y1013" s="1478">
        <f t="shared" si="380"/>
        <v>50</v>
      </c>
      <c r="Z1013" s="1401">
        <f t="shared" si="381"/>
        <v>9549760</v>
      </c>
      <c r="AA1013" s="1444">
        <f t="shared" si="382"/>
        <v>0</v>
      </c>
      <c r="AB1013" s="1401">
        <f t="shared" si="383"/>
        <v>0</v>
      </c>
      <c r="AC1013" s="1401">
        <v>0</v>
      </c>
      <c r="AD1013" s="1401">
        <v>0</v>
      </c>
      <c r="AE1013" s="1401">
        <v>0</v>
      </c>
      <c r="AF1013" s="1401">
        <v>0</v>
      </c>
      <c r="AG1013" s="1479">
        <f t="shared" si="384"/>
        <v>9549760</v>
      </c>
      <c r="AH1013" s="1479">
        <f t="shared" si="377"/>
        <v>9549760</v>
      </c>
      <c r="AI1013" s="1479">
        <f t="shared" si="378"/>
        <v>19099520</v>
      </c>
      <c r="AJ1013" s="1401">
        <f t="shared" si="385"/>
        <v>458388480</v>
      </c>
    </row>
    <row r="1014" spans="2:36" s="1390" customFormat="1" ht="33" customHeight="1" x14ac:dyDescent="0.2">
      <c r="B1014" s="1472"/>
      <c r="C1014" s="1478"/>
      <c r="D1014" s="1426"/>
      <c r="E1014" s="1429" t="s">
        <v>3368</v>
      </c>
      <c r="F1014" s="1539"/>
      <c r="G1014" s="1501" t="s">
        <v>2553</v>
      </c>
      <c r="H1014" s="1429"/>
      <c r="I1014" s="1501"/>
      <c r="J1014" s="1540"/>
      <c r="K1014" s="1501"/>
      <c r="L1014" s="1526"/>
      <c r="M1014" s="1429" t="s">
        <v>3505</v>
      </c>
      <c r="N1014" s="1501">
        <v>2018</v>
      </c>
      <c r="O1014" s="1429"/>
      <c r="P1014" s="1429"/>
      <c r="Q1014" s="1429"/>
      <c r="R1014" s="1501" t="s">
        <v>12</v>
      </c>
      <c r="S1014" s="1539">
        <v>197625000</v>
      </c>
      <c r="T1014" s="1501"/>
      <c r="U1014" s="1596"/>
      <c r="V1014" s="1553"/>
      <c r="W1014" s="1478" t="str">
        <f t="shared" si="386"/>
        <v>04.14.01</v>
      </c>
      <c r="X1014" s="1478" t="str">
        <f t="shared" si="379"/>
        <v>Bangunan Air Irigasi</v>
      </c>
      <c r="Y1014" s="1478">
        <f t="shared" si="380"/>
        <v>50</v>
      </c>
      <c r="Z1014" s="1401">
        <f t="shared" si="381"/>
        <v>3952500</v>
      </c>
      <c r="AA1014" s="1444">
        <f t="shared" si="382"/>
        <v>0</v>
      </c>
      <c r="AB1014" s="1401">
        <f t="shared" si="383"/>
        <v>0</v>
      </c>
      <c r="AC1014" s="1401">
        <v>0</v>
      </c>
      <c r="AD1014" s="1401">
        <v>0</v>
      </c>
      <c r="AE1014" s="1401">
        <v>0</v>
      </c>
      <c r="AF1014" s="1401">
        <v>0</v>
      </c>
      <c r="AG1014" s="1479">
        <f t="shared" si="384"/>
        <v>3952500</v>
      </c>
      <c r="AH1014" s="1479">
        <f t="shared" si="377"/>
        <v>3952500</v>
      </c>
      <c r="AI1014" s="1479">
        <f t="shared" si="378"/>
        <v>7905000</v>
      </c>
      <c r="AJ1014" s="1401">
        <f t="shared" si="385"/>
        <v>189720000</v>
      </c>
    </row>
    <row r="1015" spans="2:36" s="1390" customFormat="1" ht="33" customHeight="1" x14ac:dyDescent="0.2">
      <c r="B1015" s="1472"/>
      <c r="C1015" s="1478"/>
      <c r="D1015" s="1426"/>
      <c r="E1015" s="1429" t="s">
        <v>3369</v>
      </c>
      <c r="F1015" s="1539"/>
      <c r="G1015" s="1501" t="s">
        <v>2553</v>
      </c>
      <c r="H1015" s="1429"/>
      <c r="I1015" s="1501"/>
      <c r="J1015" s="1540"/>
      <c r="K1015" s="1501"/>
      <c r="L1015" s="1526"/>
      <c r="M1015" s="1429" t="s">
        <v>765</v>
      </c>
      <c r="N1015" s="1501">
        <v>2018</v>
      </c>
      <c r="O1015" s="1429"/>
      <c r="P1015" s="1429"/>
      <c r="Q1015" s="1429"/>
      <c r="R1015" s="1501" t="s">
        <v>12</v>
      </c>
      <c r="S1015" s="1539">
        <v>197580000</v>
      </c>
      <c r="T1015" s="1501"/>
      <c r="U1015" s="1596"/>
      <c r="V1015" s="1553"/>
      <c r="W1015" s="1478" t="str">
        <f t="shared" si="386"/>
        <v>04.14.01</v>
      </c>
      <c r="X1015" s="1478" t="str">
        <f t="shared" si="379"/>
        <v>Bangunan Air Irigasi</v>
      </c>
      <c r="Y1015" s="1478">
        <f t="shared" si="380"/>
        <v>50</v>
      </c>
      <c r="Z1015" s="1401">
        <f t="shared" si="381"/>
        <v>3951600</v>
      </c>
      <c r="AA1015" s="1444">
        <f t="shared" si="382"/>
        <v>0</v>
      </c>
      <c r="AB1015" s="1401">
        <f t="shared" si="383"/>
        <v>0</v>
      </c>
      <c r="AC1015" s="1401">
        <v>0</v>
      </c>
      <c r="AD1015" s="1401">
        <v>0</v>
      </c>
      <c r="AE1015" s="1401">
        <v>0</v>
      </c>
      <c r="AF1015" s="1401">
        <v>0</v>
      </c>
      <c r="AG1015" s="1479">
        <f t="shared" si="384"/>
        <v>3951600</v>
      </c>
      <c r="AH1015" s="1479">
        <f t="shared" si="377"/>
        <v>3951600</v>
      </c>
      <c r="AI1015" s="1479">
        <f t="shared" si="378"/>
        <v>7903200</v>
      </c>
      <c r="AJ1015" s="1401">
        <f t="shared" si="385"/>
        <v>189676800</v>
      </c>
    </row>
    <row r="1016" spans="2:36" s="1390" customFormat="1" ht="33" customHeight="1" x14ac:dyDescent="0.2">
      <c r="B1016" s="1472"/>
      <c r="C1016" s="1478"/>
      <c r="D1016" s="1426"/>
      <c r="E1016" s="1429" t="s">
        <v>3370</v>
      </c>
      <c r="F1016" s="1539"/>
      <c r="G1016" s="1501" t="s">
        <v>2552</v>
      </c>
      <c r="H1016" s="1429"/>
      <c r="I1016" s="1501"/>
      <c r="J1016" s="1540"/>
      <c r="K1016" s="1501"/>
      <c r="L1016" s="1526"/>
      <c r="M1016" s="1429" t="s">
        <v>3506</v>
      </c>
      <c r="N1016" s="1501">
        <v>2018</v>
      </c>
      <c r="O1016" s="1429"/>
      <c r="P1016" s="1429"/>
      <c r="Q1016" s="1429"/>
      <c r="R1016" s="1501" t="s">
        <v>12</v>
      </c>
      <c r="S1016" s="1539">
        <v>197550000</v>
      </c>
      <c r="T1016" s="1501"/>
      <c r="U1016" s="1596"/>
      <c r="V1016" s="1553"/>
      <c r="W1016" s="1478" t="str">
        <f t="shared" si="386"/>
        <v>04.14.01</v>
      </c>
      <c r="X1016" s="1478" t="str">
        <f t="shared" si="379"/>
        <v>Bangunan Air Irigasi</v>
      </c>
      <c r="Y1016" s="1478">
        <f t="shared" si="380"/>
        <v>50</v>
      </c>
      <c r="Z1016" s="1401">
        <f t="shared" si="381"/>
        <v>3951000</v>
      </c>
      <c r="AA1016" s="1444">
        <f t="shared" si="382"/>
        <v>0</v>
      </c>
      <c r="AB1016" s="1401">
        <f t="shared" si="383"/>
        <v>0</v>
      </c>
      <c r="AC1016" s="1401">
        <v>0</v>
      </c>
      <c r="AD1016" s="1401">
        <v>0</v>
      </c>
      <c r="AE1016" s="1401">
        <v>0</v>
      </c>
      <c r="AF1016" s="1401">
        <v>0</v>
      </c>
      <c r="AG1016" s="1479">
        <f t="shared" si="384"/>
        <v>3951000</v>
      </c>
      <c r="AH1016" s="1479">
        <f t="shared" si="377"/>
        <v>3951000</v>
      </c>
      <c r="AI1016" s="1479">
        <f t="shared" si="378"/>
        <v>7902000</v>
      </c>
      <c r="AJ1016" s="1401">
        <f t="shared" si="385"/>
        <v>189648000</v>
      </c>
    </row>
    <row r="1017" spans="2:36" s="1390" customFormat="1" ht="33" customHeight="1" x14ac:dyDescent="0.2">
      <c r="B1017" s="1472"/>
      <c r="C1017" s="1478"/>
      <c r="D1017" s="1426"/>
      <c r="E1017" s="1429" t="s">
        <v>3371</v>
      </c>
      <c r="F1017" s="1539"/>
      <c r="G1017" s="1501" t="s">
        <v>2552</v>
      </c>
      <c r="H1017" s="1429"/>
      <c r="I1017" s="1501"/>
      <c r="J1017" s="1540"/>
      <c r="K1017" s="1501"/>
      <c r="L1017" s="1526"/>
      <c r="M1017" s="1429" t="s">
        <v>3471</v>
      </c>
      <c r="N1017" s="1501">
        <v>2018</v>
      </c>
      <c r="O1017" s="1429"/>
      <c r="P1017" s="1429"/>
      <c r="Q1017" s="1429"/>
      <c r="R1017" s="1501" t="s">
        <v>12</v>
      </c>
      <c r="S1017" s="1539">
        <v>197050000</v>
      </c>
      <c r="T1017" s="1501"/>
      <c r="U1017" s="1596"/>
      <c r="V1017" s="1553"/>
      <c r="W1017" s="1478" t="str">
        <f t="shared" si="386"/>
        <v>04.14.01</v>
      </c>
      <c r="X1017" s="1478" t="str">
        <f t="shared" si="379"/>
        <v>Bangunan Air Irigasi</v>
      </c>
      <c r="Y1017" s="1478">
        <f t="shared" si="380"/>
        <v>50</v>
      </c>
      <c r="Z1017" s="1401">
        <f t="shared" si="381"/>
        <v>3941000</v>
      </c>
      <c r="AA1017" s="1444">
        <f t="shared" si="382"/>
        <v>0</v>
      </c>
      <c r="AB1017" s="1401">
        <f t="shared" si="383"/>
        <v>0</v>
      </c>
      <c r="AC1017" s="1401">
        <v>0</v>
      </c>
      <c r="AD1017" s="1401">
        <v>0</v>
      </c>
      <c r="AE1017" s="1401">
        <v>0</v>
      </c>
      <c r="AF1017" s="1401">
        <v>0</v>
      </c>
      <c r="AG1017" s="1479">
        <f t="shared" si="384"/>
        <v>3941000</v>
      </c>
      <c r="AH1017" s="1479">
        <f t="shared" si="377"/>
        <v>3941000</v>
      </c>
      <c r="AI1017" s="1479">
        <f t="shared" si="378"/>
        <v>7882000</v>
      </c>
      <c r="AJ1017" s="1401">
        <f t="shared" si="385"/>
        <v>189168000</v>
      </c>
    </row>
    <row r="1018" spans="2:36" s="1390" customFormat="1" ht="33" customHeight="1" x14ac:dyDescent="0.2">
      <c r="B1018" s="1472"/>
      <c r="C1018" s="1478"/>
      <c r="D1018" s="1426"/>
      <c r="E1018" s="1429" t="s">
        <v>3372</v>
      </c>
      <c r="F1018" s="1539"/>
      <c r="G1018" s="1501" t="s">
        <v>2552</v>
      </c>
      <c r="H1018" s="1429"/>
      <c r="I1018" s="1501"/>
      <c r="J1018" s="1540"/>
      <c r="K1018" s="1501"/>
      <c r="L1018" s="1526"/>
      <c r="M1018" s="1429" t="s">
        <v>2608</v>
      </c>
      <c r="N1018" s="1501">
        <v>2018</v>
      </c>
      <c r="O1018" s="1429"/>
      <c r="P1018" s="1429"/>
      <c r="Q1018" s="1429"/>
      <c r="R1018" s="1501" t="s">
        <v>12</v>
      </c>
      <c r="S1018" s="1539">
        <v>196450000</v>
      </c>
      <c r="T1018" s="1501"/>
      <c r="U1018" s="1596"/>
      <c r="V1018" s="1553"/>
      <c r="W1018" s="1478" t="str">
        <f t="shared" si="386"/>
        <v>04.14.01</v>
      </c>
      <c r="X1018" s="1478" t="str">
        <f t="shared" si="379"/>
        <v>Bangunan Air Irigasi</v>
      </c>
      <c r="Y1018" s="1478">
        <f t="shared" si="380"/>
        <v>50</v>
      </c>
      <c r="Z1018" s="1401">
        <f t="shared" si="381"/>
        <v>3929000</v>
      </c>
      <c r="AA1018" s="1444">
        <f t="shared" si="382"/>
        <v>0</v>
      </c>
      <c r="AB1018" s="1401">
        <f t="shared" si="383"/>
        <v>0</v>
      </c>
      <c r="AC1018" s="1401">
        <v>0</v>
      </c>
      <c r="AD1018" s="1401">
        <v>0</v>
      </c>
      <c r="AE1018" s="1401">
        <v>0</v>
      </c>
      <c r="AF1018" s="1401">
        <v>0</v>
      </c>
      <c r="AG1018" s="1479">
        <f t="shared" si="384"/>
        <v>3929000</v>
      </c>
      <c r="AH1018" s="1479">
        <f t="shared" si="377"/>
        <v>3929000</v>
      </c>
      <c r="AI1018" s="1479">
        <f t="shared" si="378"/>
        <v>7858000</v>
      </c>
      <c r="AJ1018" s="1401">
        <f t="shared" si="385"/>
        <v>188592000</v>
      </c>
    </row>
    <row r="1019" spans="2:36" s="1390" customFormat="1" ht="33" customHeight="1" x14ac:dyDescent="0.2">
      <c r="B1019" s="1472"/>
      <c r="C1019" s="1478"/>
      <c r="D1019" s="1426"/>
      <c r="E1019" s="1429" t="s">
        <v>3373</v>
      </c>
      <c r="F1019" s="1539"/>
      <c r="G1019" s="1501" t="s">
        <v>2552</v>
      </c>
      <c r="H1019" s="1429"/>
      <c r="I1019" s="1501"/>
      <c r="J1019" s="1540"/>
      <c r="K1019" s="1501"/>
      <c r="L1019" s="1526"/>
      <c r="M1019" s="1429" t="s">
        <v>3476</v>
      </c>
      <c r="N1019" s="1501">
        <v>2018</v>
      </c>
      <c r="O1019" s="1429"/>
      <c r="P1019" s="1429"/>
      <c r="Q1019" s="1429"/>
      <c r="R1019" s="1501" t="s">
        <v>12</v>
      </c>
      <c r="S1019" s="1539">
        <v>197550000</v>
      </c>
      <c r="T1019" s="1501"/>
      <c r="U1019" s="1596"/>
      <c r="V1019" s="1553"/>
      <c r="W1019" s="1478" t="str">
        <f t="shared" si="386"/>
        <v>04.14.01</v>
      </c>
      <c r="X1019" s="1478" t="str">
        <f t="shared" si="379"/>
        <v>Bangunan Air Irigasi</v>
      </c>
      <c r="Y1019" s="1478">
        <f t="shared" si="380"/>
        <v>50</v>
      </c>
      <c r="Z1019" s="1401">
        <f t="shared" si="381"/>
        <v>3951000</v>
      </c>
      <c r="AA1019" s="1444">
        <f t="shared" si="382"/>
        <v>0</v>
      </c>
      <c r="AB1019" s="1401">
        <f t="shared" si="383"/>
        <v>0</v>
      </c>
      <c r="AC1019" s="1401">
        <v>0</v>
      </c>
      <c r="AD1019" s="1401">
        <v>0</v>
      </c>
      <c r="AE1019" s="1401">
        <v>0</v>
      </c>
      <c r="AF1019" s="1401">
        <v>0</v>
      </c>
      <c r="AG1019" s="1479">
        <f t="shared" si="384"/>
        <v>3951000</v>
      </c>
      <c r="AH1019" s="1479">
        <f t="shared" si="377"/>
        <v>3951000</v>
      </c>
      <c r="AI1019" s="1479">
        <f t="shared" si="378"/>
        <v>7902000</v>
      </c>
      <c r="AJ1019" s="1401">
        <f t="shared" si="385"/>
        <v>189648000</v>
      </c>
    </row>
    <row r="1020" spans="2:36" s="1390" customFormat="1" ht="33" customHeight="1" x14ac:dyDescent="0.2">
      <c r="B1020" s="1472" t="s">
        <v>3507</v>
      </c>
      <c r="C1020" s="1478"/>
      <c r="D1020" s="1426"/>
      <c r="E1020" s="1429" t="s">
        <v>3374</v>
      </c>
      <c r="F1020" s="1539"/>
      <c r="G1020" s="1501" t="s">
        <v>2552</v>
      </c>
      <c r="H1020" s="1429"/>
      <c r="I1020" s="1501"/>
      <c r="J1020" s="1540"/>
      <c r="K1020" s="1501"/>
      <c r="L1020" s="1526"/>
      <c r="M1020" s="1429" t="s">
        <v>3507</v>
      </c>
      <c r="N1020" s="1501">
        <v>2018</v>
      </c>
      <c r="O1020" s="1429"/>
      <c r="P1020" s="1429"/>
      <c r="Q1020" s="1429"/>
      <c r="R1020" s="1501" t="s">
        <v>12</v>
      </c>
      <c r="S1020" s="1539">
        <v>197625000</v>
      </c>
      <c r="T1020" s="1501"/>
      <c r="U1020" s="1596"/>
      <c r="V1020" s="1553"/>
      <c r="W1020" s="1478" t="str">
        <f t="shared" si="386"/>
        <v>04.14.01</v>
      </c>
      <c r="X1020" s="1478" t="str">
        <f t="shared" si="379"/>
        <v>Bangunan Air Irigasi</v>
      </c>
      <c r="Y1020" s="1478">
        <f t="shared" si="380"/>
        <v>50</v>
      </c>
      <c r="Z1020" s="1401">
        <f t="shared" si="381"/>
        <v>3952500</v>
      </c>
      <c r="AA1020" s="1444">
        <f t="shared" si="382"/>
        <v>0</v>
      </c>
      <c r="AB1020" s="1401">
        <f t="shared" si="383"/>
        <v>0</v>
      </c>
      <c r="AC1020" s="1401">
        <v>0</v>
      </c>
      <c r="AD1020" s="1401">
        <v>0</v>
      </c>
      <c r="AE1020" s="1401">
        <v>0</v>
      </c>
      <c r="AF1020" s="1401">
        <v>0</v>
      </c>
      <c r="AG1020" s="1479">
        <f t="shared" si="384"/>
        <v>3952500</v>
      </c>
      <c r="AH1020" s="1479">
        <f t="shared" si="377"/>
        <v>3952500</v>
      </c>
      <c r="AI1020" s="1479">
        <f t="shared" si="378"/>
        <v>7905000</v>
      </c>
      <c r="AJ1020" s="1401">
        <f t="shared" si="385"/>
        <v>189720000</v>
      </c>
    </row>
    <row r="1021" spans="2:36" s="1390" customFormat="1" ht="33" customHeight="1" x14ac:dyDescent="0.2">
      <c r="B1021" s="1472" t="s">
        <v>3508</v>
      </c>
      <c r="C1021" s="1478"/>
      <c r="D1021" s="1426"/>
      <c r="E1021" s="1429" t="s">
        <v>3375</v>
      </c>
      <c r="F1021" s="1539"/>
      <c r="G1021" s="1501" t="s">
        <v>2552</v>
      </c>
      <c r="H1021" s="1429"/>
      <c r="I1021" s="1501"/>
      <c r="J1021" s="1540"/>
      <c r="K1021" s="1501"/>
      <c r="L1021" s="1526"/>
      <c r="M1021" s="1429" t="s">
        <v>3508</v>
      </c>
      <c r="N1021" s="1501">
        <v>2018</v>
      </c>
      <c r="O1021" s="1429"/>
      <c r="P1021" s="1429"/>
      <c r="Q1021" s="1429"/>
      <c r="R1021" s="1501" t="s">
        <v>12</v>
      </c>
      <c r="S1021" s="1539">
        <v>3272375000</v>
      </c>
      <c r="T1021" s="1501"/>
      <c r="U1021" s="1596"/>
      <c r="V1021" s="1553"/>
      <c r="W1021" s="1478" t="str">
        <f t="shared" si="386"/>
        <v>04.14.01</v>
      </c>
      <c r="X1021" s="1478" t="str">
        <f t="shared" si="379"/>
        <v>Bangunan Air Irigasi</v>
      </c>
      <c r="Y1021" s="1478">
        <f t="shared" si="380"/>
        <v>50</v>
      </c>
      <c r="Z1021" s="1401">
        <f t="shared" si="381"/>
        <v>65447500</v>
      </c>
      <c r="AA1021" s="1444">
        <f t="shared" si="382"/>
        <v>0</v>
      </c>
      <c r="AB1021" s="1401">
        <f t="shared" si="383"/>
        <v>0</v>
      </c>
      <c r="AC1021" s="1401">
        <v>0</v>
      </c>
      <c r="AD1021" s="1401">
        <v>0</v>
      </c>
      <c r="AE1021" s="1401">
        <v>0</v>
      </c>
      <c r="AF1021" s="1401">
        <v>0</v>
      </c>
      <c r="AG1021" s="1479">
        <f t="shared" si="384"/>
        <v>65447500</v>
      </c>
      <c r="AH1021" s="1479">
        <f t="shared" si="377"/>
        <v>65447500</v>
      </c>
      <c r="AI1021" s="1479">
        <f t="shared" si="378"/>
        <v>130895000</v>
      </c>
      <c r="AJ1021" s="1401">
        <f t="shared" si="385"/>
        <v>3141480000</v>
      </c>
    </row>
    <row r="1022" spans="2:36" s="1390" customFormat="1" ht="33" customHeight="1" x14ac:dyDescent="0.2">
      <c r="B1022" s="1472"/>
      <c r="C1022" s="1478"/>
      <c r="D1022" s="1426"/>
      <c r="E1022" s="1429" t="s">
        <v>3376</v>
      </c>
      <c r="F1022" s="1539"/>
      <c r="G1022" s="1501" t="s">
        <v>2550</v>
      </c>
      <c r="H1022" s="1429"/>
      <c r="I1022" s="1501"/>
      <c r="J1022" s="1540"/>
      <c r="K1022" s="1501"/>
      <c r="L1022" s="1526"/>
      <c r="M1022" s="1429" t="s">
        <v>3509</v>
      </c>
      <c r="N1022" s="1501">
        <v>2018</v>
      </c>
      <c r="O1022" s="1429"/>
      <c r="P1022" s="1429"/>
      <c r="Q1022" s="1429"/>
      <c r="R1022" s="1501" t="s">
        <v>12</v>
      </c>
      <c r="S1022" s="1539">
        <v>197590000</v>
      </c>
      <c r="T1022" s="1501"/>
      <c r="U1022" s="1596"/>
      <c r="V1022" s="1553"/>
      <c r="W1022" s="1478" t="str">
        <f t="shared" si="386"/>
        <v>04.14.04</v>
      </c>
      <c r="X1022" s="1478" t="str">
        <f t="shared" si="379"/>
        <v>Bangunan Pengaman Sungai dan Penanggulangan Bencana Alam</v>
      </c>
      <c r="Y1022" s="1478">
        <f t="shared" si="380"/>
        <v>10</v>
      </c>
      <c r="Z1022" s="1401">
        <f t="shared" si="381"/>
        <v>19759000</v>
      </c>
      <c r="AA1022" s="1444">
        <f t="shared" si="382"/>
        <v>0</v>
      </c>
      <c r="AB1022" s="1401">
        <f t="shared" si="383"/>
        <v>0</v>
      </c>
      <c r="AC1022" s="1401">
        <v>0</v>
      </c>
      <c r="AD1022" s="1401">
        <v>0</v>
      </c>
      <c r="AE1022" s="1401">
        <v>0</v>
      </c>
      <c r="AF1022" s="1401">
        <v>0</v>
      </c>
      <c r="AG1022" s="1479">
        <f t="shared" si="384"/>
        <v>19759000</v>
      </c>
      <c r="AH1022" s="1479">
        <f t="shared" si="377"/>
        <v>19759000</v>
      </c>
      <c r="AI1022" s="1479">
        <f t="shared" si="378"/>
        <v>39518000</v>
      </c>
      <c r="AJ1022" s="1401">
        <f t="shared" si="385"/>
        <v>158072000</v>
      </c>
    </row>
    <row r="1023" spans="2:36" s="1390" customFormat="1" ht="33" customHeight="1" x14ac:dyDescent="0.2">
      <c r="B1023" s="1472"/>
      <c r="C1023" s="1478"/>
      <c r="D1023" s="1426"/>
      <c r="E1023" s="1429" t="s">
        <v>3377</v>
      </c>
      <c r="F1023" s="1539"/>
      <c r="G1023" s="1501" t="s">
        <v>2525</v>
      </c>
      <c r="H1023" s="1429"/>
      <c r="I1023" s="1501"/>
      <c r="J1023" s="1540"/>
      <c r="K1023" s="1501"/>
      <c r="L1023" s="1526"/>
      <c r="M1023" s="1429" t="s">
        <v>3510</v>
      </c>
      <c r="N1023" s="1501">
        <v>2018</v>
      </c>
      <c r="O1023" s="1429"/>
      <c r="P1023" s="1429"/>
      <c r="Q1023" s="1429"/>
      <c r="R1023" s="1501" t="s">
        <v>12</v>
      </c>
      <c r="S1023" s="1539">
        <f>197570000</f>
        <v>197570000</v>
      </c>
      <c r="T1023" s="1501"/>
      <c r="U1023" s="1596"/>
      <c r="V1023" s="1553"/>
      <c r="W1023" s="1478" t="str">
        <f t="shared" si="386"/>
        <v>04.14.04</v>
      </c>
      <c r="X1023" s="1478" t="str">
        <f t="shared" si="379"/>
        <v>Bangunan Pengaman Sungai dan Penanggulangan Bencana Alam</v>
      </c>
      <c r="Y1023" s="1478">
        <f t="shared" si="380"/>
        <v>10</v>
      </c>
      <c r="Z1023" s="1401">
        <f t="shared" si="381"/>
        <v>19757000</v>
      </c>
      <c r="AA1023" s="1444">
        <f t="shared" si="382"/>
        <v>0</v>
      </c>
      <c r="AB1023" s="1479">
        <f>SUMIF(PERHITUNGAN!A:A,'KIB D'!B1023&amp;'KIB D'!$AB$7,PERHITUNGAN!U:U)</f>
        <v>0</v>
      </c>
      <c r="AC1023" s="1479">
        <f>SUMIF(PERHITUNGAN!A:A,'KIB D'!B1023&amp;'KIB D'!$AC$7,PERHITUNGAN!U:U)</f>
        <v>0</v>
      </c>
      <c r="AD1023" s="1479">
        <f>SUMIF(PERHITUNGAN!A:A,'KIB D'!B1023&amp;'KIB D'!$AD$7,PERHITUNGAN!U:U)</f>
        <v>0</v>
      </c>
      <c r="AE1023" s="1479">
        <f>SUMIF(PERHITUNGAN!A:A,'KIB D'!B1023&amp;'KIB D'!$AE$7,PERHITUNGAN!U:U)</f>
        <v>0</v>
      </c>
      <c r="AF1023" s="1479">
        <f>SUMIF(PERHITUNGAN!A:A,'KIB D'!B1023&amp;'KIB D'!$AF$7,PERHITUNGAN!U:U)</f>
        <v>0</v>
      </c>
      <c r="AG1023" s="1479">
        <f t="shared" si="384"/>
        <v>19757000</v>
      </c>
      <c r="AH1023" s="1479">
        <f t="shared" si="377"/>
        <v>19757000</v>
      </c>
      <c r="AI1023" s="1479">
        <f>SUM(AB1023:AH1023)</f>
        <v>39514000</v>
      </c>
      <c r="AJ1023" s="1401">
        <f t="shared" si="385"/>
        <v>158056000</v>
      </c>
    </row>
    <row r="1024" spans="2:36" s="1390" customFormat="1" ht="33" customHeight="1" x14ac:dyDescent="0.2">
      <c r="B1024" s="1472"/>
      <c r="C1024" s="1478"/>
      <c r="D1024" s="1426"/>
      <c r="E1024" s="1429" t="s">
        <v>3378</v>
      </c>
      <c r="F1024" s="1539"/>
      <c r="G1024" s="1501" t="s">
        <v>2554</v>
      </c>
      <c r="H1024" s="1429"/>
      <c r="I1024" s="1501"/>
      <c r="J1024" s="1540"/>
      <c r="K1024" s="1501"/>
      <c r="L1024" s="1526"/>
      <c r="M1024" s="1429" t="s">
        <v>3511</v>
      </c>
      <c r="N1024" s="1501">
        <v>2018</v>
      </c>
      <c r="O1024" s="1429"/>
      <c r="P1024" s="1429"/>
      <c r="Q1024" s="1429"/>
      <c r="R1024" s="1501" t="s">
        <v>12</v>
      </c>
      <c r="S1024" s="1539">
        <v>196850000</v>
      </c>
      <c r="T1024" s="1501"/>
      <c r="U1024" s="1596"/>
      <c r="V1024" s="1553"/>
      <c r="W1024" s="1478" t="str">
        <f t="shared" si="386"/>
        <v>04.14.04</v>
      </c>
      <c r="X1024" s="1478" t="str">
        <f t="shared" si="379"/>
        <v>Bangunan Pengaman Sungai dan Penanggulangan Bencana Alam</v>
      </c>
      <c r="Y1024" s="1478">
        <f t="shared" si="380"/>
        <v>10</v>
      </c>
      <c r="Z1024" s="1401">
        <f t="shared" si="381"/>
        <v>19685000</v>
      </c>
      <c r="AA1024" s="1444">
        <f t="shared" si="382"/>
        <v>0</v>
      </c>
      <c r="AB1024" s="1401">
        <f t="shared" si="383"/>
        <v>0</v>
      </c>
      <c r="AC1024" s="1401">
        <v>0</v>
      </c>
      <c r="AD1024" s="1401">
        <v>0</v>
      </c>
      <c r="AE1024" s="1401">
        <v>0</v>
      </c>
      <c r="AF1024" s="1401">
        <v>0</v>
      </c>
      <c r="AG1024" s="1479">
        <f t="shared" si="384"/>
        <v>19685000</v>
      </c>
      <c r="AH1024" s="1479">
        <f t="shared" si="377"/>
        <v>19685000</v>
      </c>
      <c r="AI1024" s="1479">
        <f t="shared" si="378"/>
        <v>39370000</v>
      </c>
      <c r="AJ1024" s="1401">
        <f t="shared" si="385"/>
        <v>157480000</v>
      </c>
    </row>
    <row r="1025" spans="2:36" s="1390" customFormat="1" ht="33" customHeight="1" x14ac:dyDescent="0.2">
      <c r="B1025" s="1472"/>
      <c r="C1025" s="1478"/>
      <c r="D1025" s="1426"/>
      <c r="E1025" s="1429" t="s">
        <v>5606</v>
      </c>
      <c r="F1025" s="1539"/>
      <c r="G1025" s="1501" t="s">
        <v>2525</v>
      </c>
      <c r="H1025" s="1429"/>
      <c r="I1025" s="1501" t="s">
        <v>736</v>
      </c>
      <c r="J1025" s="1540"/>
      <c r="K1025" s="1501"/>
      <c r="L1025" s="1526"/>
      <c r="M1025" s="1429" t="s">
        <v>5578</v>
      </c>
      <c r="N1025" s="1417">
        <v>2019</v>
      </c>
      <c r="O1025" s="1429" t="s">
        <v>5579</v>
      </c>
      <c r="P1025" s="1429" t="s">
        <v>433</v>
      </c>
      <c r="Q1025" s="1429"/>
      <c r="R1025" s="1501" t="s">
        <v>12</v>
      </c>
      <c r="S1025" s="1539">
        <v>5511319800</v>
      </c>
      <c r="T1025" s="1501"/>
      <c r="U1025" s="1596"/>
      <c r="V1025" s="1553"/>
      <c r="W1025" s="1478" t="str">
        <f t="shared" si="386"/>
        <v>04.14.04</v>
      </c>
      <c r="X1025" s="1478" t="str">
        <f>VLOOKUP(W1025,UE,3,FALSE)</f>
        <v>Bangunan Pengaman Sungai dan Penanggulangan Bencana Alam</v>
      </c>
      <c r="Y1025" s="1478">
        <f t="shared" si="380"/>
        <v>10</v>
      </c>
      <c r="Z1025" s="1401">
        <f t="shared" si="381"/>
        <v>551131980</v>
      </c>
      <c r="AA1025" s="1444">
        <f t="shared" si="382"/>
        <v>0</v>
      </c>
      <c r="AB1025" s="1401">
        <f>IF(AA1025&gt;Y1025,S1025,Z1025*AA1025)</f>
        <v>0</v>
      </c>
      <c r="AC1025" s="1401">
        <v>0</v>
      </c>
      <c r="AD1025" s="1401">
        <v>0</v>
      </c>
      <c r="AE1025" s="1401">
        <v>0</v>
      </c>
      <c r="AF1025" s="1401">
        <v>0</v>
      </c>
      <c r="AG1025" s="1479"/>
      <c r="AH1025" s="1479">
        <f t="shared" si="377"/>
        <v>551131980</v>
      </c>
      <c r="AI1025" s="1479">
        <f t="shared" si="378"/>
        <v>551131980</v>
      </c>
      <c r="AJ1025" s="1401">
        <f t="shared" si="385"/>
        <v>4960187820</v>
      </c>
    </row>
    <row r="1026" spans="2:36" s="1390" customFormat="1" ht="33" customHeight="1" x14ac:dyDescent="0.2">
      <c r="B1026" s="1472"/>
      <c r="C1026" s="1478"/>
      <c r="D1026" s="1426"/>
      <c r="E1026" s="1429" t="s">
        <v>5582</v>
      </c>
      <c r="F1026" s="1539"/>
      <c r="G1026" s="1501" t="s">
        <v>2551</v>
      </c>
      <c r="H1026" s="1429"/>
      <c r="I1026" s="1501" t="s">
        <v>736</v>
      </c>
      <c r="J1026" s="1540">
        <v>82</v>
      </c>
      <c r="K1026" s="1501">
        <v>15</v>
      </c>
      <c r="L1026" s="1526">
        <f t="shared" ref="L1026:L1035" si="387">J1026*K1026</f>
        <v>1230</v>
      </c>
      <c r="M1026" s="1429" t="s">
        <v>5583</v>
      </c>
      <c r="N1026" s="1417">
        <v>2019</v>
      </c>
      <c r="O1026" s="1429" t="s">
        <v>5584</v>
      </c>
      <c r="P1026" s="1429" t="s">
        <v>433</v>
      </c>
      <c r="Q1026" s="1429"/>
      <c r="R1026" s="1501" t="s">
        <v>12</v>
      </c>
      <c r="S1026" s="1539">
        <v>198143000</v>
      </c>
      <c r="T1026" s="1501"/>
      <c r="U1026" s="1596"/>
      <c r="V1026" s="1553"/>
      <c r="W1026" s="1478" t="str">
        <f>LEFT(G1026,8)</f>
        <v>04.14.04</v>
      </c>
      <c r="X1026" s="1478" t="str">
        <f>VLOOKUP(W1026,UE,3,FALSE)</f>
        <v>Bangunan Pengaman Sungai dan Penanggulangan Bencana Alam</v>
      </c>
      <c r="Y1026" s="1478">
        <f t="shared" si="380"/>
        <v>10</v>
      </c>
      <c r="Z1026" s="1401">
        <f t="shared" si="381"/>
        <v>19814300</v>
      </c>
      <c r="AA1026" s="1444">
        <f t="shared" si="382"/>
        <v>0</v>
      </c>
      <c r="AB1026" s="1401">
        <f>IF(AA1026&gt;Y1026,S1026,Z1026*AA1026)</f>
        <v>0</v>
      </c>
      <c r="AC1026" s="1401">
        <v>0</v>
      </c>
      <c r="AD1026" s="1401">
        <v>0</v>
      </c>
      <c r="AE1026" s="1401">
        <v>0</v>
      </c>
      <c r="AF1026" s="1401">
        <v>0</v>
      </c>
      <c r="AG1026" s="1479"/>
      <c r="AH1026" s="1479">
        <f t="shared" si="377"/>
        <v>19814300</v>
      </c>
      <c r="AI1026" s="1479">
        <f t="shared" si="378"/>
        <v>19814300</v>
      </c>
      <c r="AJ1026" s="1401">
        <f t="shared" ref="AJ1026:AJ1054" si="388">S1026-AI1026</f>
        <v>178328700</v>
      </c>
    </row>
    <row r="1027" spans="2:36" s="1390" customFormat="1" ht="33" customHeight="1" x14ac:dyDescent="0.2">
      <c r="B1027" s="1472"/>
      <c r="C1027" s="1478"/>
      <c r="D1027" s="1426"/>
      <c r="E1027" s="1429" t="s">
        <v>3348</v>
      </c>
      <c r="F1027" s="1539"/>
      <c r="G1027" s="1501" t="s">
        <v>2551</v>
      </c>
      <c r="H1027" s="1429"/>
      <c r="I1027" s="1501" t="s">
        <v>736</v>
      </c>
      <c r="J1027" s="1540">
        <v>184</v>
      </c>
      <c r="K1027" s="1501"/>
      <c r="L1027" s="1526">
        <f t="shared" si="387"/>
        <v>0</v>
      </c>
      <c r="M1027" s="1429" t="s">
        <v>3490</v>
      </c>
      <c r="N1027" s="1501">
        <v>2019</v>
      </c>
      <c r="O1027" s="1429" t="s">
        <v>5657</v>
      </c>
      <c r="P1027" s="1429" t="s">
        <v>433</v>
      </c>
      <c r="Q1027" s="1429"/>
      <c r="R1027" s="1501" t="s">
        <v>12</v>
      </c>
      <c r="S1027" s="1539">
        <v>492660000</v>
      </c>
      <c r="T1027" s="1501"/>
      <c r="U1027" s="1596"/>
      <c r="V1027" s="1553"/>
      <c r="W1027" s="1478" t="str">
        <f t="shared" ref="W1027:W1038" si="389">LEFT(G1027,8)</f>
        <v>04.14.04</v>
      </c>
      <c r="X1027" s="1478" t="str">
        <f t="shared" ref="X1027:X1038" si="390">VLOOKUP(W1027,UE,3,FALSE)</f>
        <v>Bangunan Pengaman Sungai dan Penanggulangan Bencana Alam</v>
      </c>
      <c r="Y1027" s="1478">
        <f t="shared" si="380"/>
        <v>10</v>
      </c>
      <c r="Z1027" s="1401">
        <f t="shared" si="381"/>
        <v>49266000</v>
      </c>
      <c r="AA1027" s="1444">
        <f t="shared" si="382"/>
        <v>0</v>
      </c>
      <c r="AB1027" s="1401"/>
      <c r="AC1027" s="1401"/>
      <c r="AD1027" s="1401"/>
      <c r="AE1027" s="1401"/>
      <c r="AF1027" s="1401"/>
      <c r="AG1027" s="1479"/>
      <c r="AH1027" s="1479">
        <f t="shared" si="377"/>
        <v>49266000</v>
      </c>
      <c r="AI1027" s="1479">
        <f t="shared" si="378"/>
        <v>49266000</v>
      </c>
      <c r="AJ1027" s="1401">
        <f t="shared" si="388"/>
        <v>443394000</v>
      </c>
    </row>
    <row r="1028" spans="2:36" s="1390" customFormat="1" ht="33" customHeight="1" x14ac:dyDescent="0.2">
      <c r="B1028" s="1472"/>
      <c r="C1028" s="1478"/>
      <c r="D1028" s="1426"/>
      <c r="E1028" s="1429" t="s">
        <v>3350</v>
      </c>
      <c r="F1028" s="1539"/>
      <c r="G1028" s="1501" t="s">
        <v>2551</v>
      </c>
      <c r="H1028" s="1429"/>
      <c r="I1028" s="1501" t="s">
        <v>736</v>
      </c>
      <c r="J1028" s="1540">
        <v>59</v>
      </c>
      <c r="K1028" s="1501">
        <v>1.5</v>
      </c>
      <c r="L1028" s="1526">
        <f t="shared" si="387"/>
        <v>88.5</v>
      </c>
      <c r="M1028" s="1429" t="s">
        <v>3492</v>
      </c>
      <c r="N1028" s="1501">
        <v>2019</v>
      </c>
      <c r="O1028" s="1429" t="s">
        <v>5658</v>
      </c>
      <c r="P1028" s="1429" t="s">
        <v>433</v>
      </c>
      <c r="Q1028" s="1429"/>
      <c r="R1028" s="1501" t="s">
        <v>12</v>
      </c>
      <c r="S1028" s="1539">
        <v>197587000</v>
      </c>
      <c r="T1028" s="1501"/>
      <c r="U1028" s="1596"/>
      <c r="V1028" s="1553"/>
      <c r="W1028" s="1478" t="str">
        <f t="shared" si="389"/>
        <v>04.14.04</v>
      </c>
      <c r="X1028" s="1478" t="str">
        <f t="shared" si="390"/>
        <v>Bangunan Pengaman Sungai dan Penanggulangan Bencana Alam</v>
      </c>
      <c r="Y1028" s="1478">
        <f t="shared" si="380"/>
        <v>10</v>
      </c>
      <c r="Z1028" s="1401">
        <f t="shared" si="381"/>
        <v>19758700</v>
      </c>
      <c r="AA1028" s="1444">
        <f t="shared" si="382"/>
        <v>0</v>
      </c>
      <c r="AB1028" s="1401"/>
      <c r="AC1028" s="1401"/>
      <c r="AD1028" s="1401"/>
      <c r="AE1028" s="1401"/>
      <c r="AF1028" s="1401"/>
      <c r="AG1028" s="1479"/>
      <c r="AH1028" s="1479">
        <f t="shared" si="377"/>
        <v>19758700</v>
      </c>
      <c r="AI1028" s="1479">
        <f t="shared" si="378"/>
        <v>19758700</v>
      </c>
      <c r="AJ1028" s="1401">
        <f t="shared" si="388"/>
        <v>177828300</v>
      </c>
    </row>
    <row r="1029" spans="2:36" s="1472" customFormat="1" ht="33" customHeight="1" x14ac:dyDescent="0.2">
      <c r="C1029" s="1478"/>
      <c r="D1029" s="1576"/>
      <c r="E1029" s="1429" t="s">
        <v>5581</v>
      </c>
      <c r="F1029" s="1539"/>
      <c r="G1029" s="1501" t="s">
        <v>2551</v>
      </c>
      <c r="H1029" s="1429"/>
      <c r="I1029" s="1501" t="s">
        <v>736</v>
      </c>
      <c r="J1029" s="1540">
        <v>57</v>
      </c>
      <c r="K1029" s="1501">
        <v>4</v>
      </c>
      <c r="L1029" s="1526">
        <f t="shared" si="387"/>
        <v>228</v>
      </c>
      <c r="M1029" s="1429" t="s">
        <v>3464</v>
      </c>
      <c r="N1029" s="1501">
        <v>2019</v>
      </c>
      <c r="O1029" s="1429" t="s">
        <v>5655</v>
      </c>
      <c r="P1029" s="1429" t="s">
        <v>433</v>
      </c>
      <c r="Q1029" s="1429"/>
      <c r="R1029" s="1501" t="s">
        <v>12</v>
      </c>
      <c r="S1029" s="1539">
        <v>198097000</v>
      </c>
      <c r="T1029" s="1501"/>
      <c r="U1029" s="1596"/>
      <c r="V1029" s="1553"/>
      <c r="W1029" s="1478" t="str">
        <f t="shared" si="389"/>
        <v>04.14.04</v>
      </c>
      <c r="X1029" s="1478" t="str">
        <f t="shared" si="390"/>
        <v>Bangunan Pengaman Sungai dan Penanggulangan Bencana Alam</v>
      </c>
      <c r="Y1029" s="1478">
        <f t="shared" si="380"/>
        <v>10</v>
      </c>
      <c r="Z1029" s="1401">
        <f t="shared" si="381"/>
        <v>19809700</v>
      </c>
      <c r="AA1029" s="1444">
        <f t="shared" si="382"/>
        <v>0</v>
      </c>
      <c r="AB1029" s="1401"/>
      <c r="AC1029" s="1401"/>
      <c r="AD1029" s="1401"/>
      <c r="AE1029" s="1401"/>
      <c r="AF1029" s="1401"/>
      <c r="AG1029" s="1479"/>
      <c r="AH1029" s="1479">
        <f t="shared" si="377"/>
        <v>19809700</v>
      </c>
      <c r="AI1029" s="1479">
        <f t="shared" si="378"/>
        <v>19809700</v>
      </c>
      <c r="AJ1029" s="1401">
        <f t="shared" si="388"/>
        <v>178287300</v>
      </c>
    </row>
    <row r="1030" spans="2:36" s="1390" customFormat="1" ht="33" customHeight="1" x14ac:dyDescent="0.2">
      <c r="B1030" s="1472"/>
      <c r="C1030" s="1478"/>
      <c r="D1030" s="1426"/>
      <c r="E1030" s="1429" t="s">
        <v>3352</v>
      </c>
      <c r="F1030" s="1539"/>
      <c r="G1030" s="1501" t="s">
        <v>2551</v>
      </c>
      <c r="H1030" s="1429"/>
      <c r="I1030" s="1501" t="s">
        <v>736</v>
      </c>
      <c r="J1030" s="1540">
        <v>31</v>
      </c>
      <c r="K1030" s="1501">
        <v>1</v>
      </c>
      <c r="L1030" s="1526">
        <f t="shared" si="387"/>
        <v>31</v>
      </c>
      <c r="M1030" s="1429" t="s">
        <v>3493</v>
      </c>
      <c r="N1030" s="1501">
        <v>2019</v>
      </c>
      <c r="O1030" s="1429" t="s">
        <v>5659</v>
      </c>
      <c r="P1030" s="1429" t="s">
        <v>433</v>
      </c>
      <c r="Q1030" s="1429"/>
      <c r="R1030" s="1501" t="s">
        <v>12</v>
      </c>
      <c r="S1030" s="1539">
        <v>198077000</v>
      </c>
      <c r="T1030" s="1501"/>
      <c r="U1030" s="1596"/>
      <c r="V1030" s="1553"/>
      <c r="W1030" s="1478" t="str">
        <f t="shared" si="389"/>
        <v>04.14.04</v>
      </c>
      <c r="X1030" s="1478" t="str">
        <f t="shared" si="390"/>
        <v>Bangunan Pengaman Sungai dan Penanggulangan Bencana Alam</v>
      </c>
      <c r="Y1030" s="1478">
        <f t="shared" si="380"/>
        <v>10</v>
      </c>
      <c r="Z1030" s="1401">
        <f t="shared" si="381"/>
        <v>19807700</v>
      </c>
      <c r="AA1030" s="1444">
        <f t="shared" si="382"/>
        <v>0</v>
      </c>
      <c r="AB1030" s="1401"/>
      <c r="AC1030" s="1401"/>
      <c r="AD1030" s="1401"/>
      <c r="AE1030" s="1401"/>
      <c r="AF1030" s="1401"/>
      <c r="AG1030" s="1479"/>
      <c r="AH1030" s="1479">
        <f t="shared" si="377"/>
        <v>19807700</v>
      </c>
      <c r="AI1030" s="1479">
        <f t="shared" si="378"/>
        <v>19807700</v>
      </c>
      <c r="AJ1030" s="1401">
        <f t="shared" si="388"/>
        <v>178269300</v>
      </c>
    </row>
    <row r="1031" spans="2:36" s="1390" customFormat="1" ht="33" customHeight="1" x14ac:dyDescent="0.2">
      <c r="B1031" s="1472"/>
      <c r="C1031" s="1478"/>
      <c r="D1031" s="1426"/>
      <c r="E1031" s="1429" t="s">
        <v>3346</v>
      </c>
      <c r="F1031" s="1539"/>
      <c r="G1031" s="1501" t="s">
        <v>4899</v>
      </c>
      <c r="H1031" s="1429"/>
      <c r="I1031" s="1501" t="s">
        <v>736</v>
      </c>
      <c r="J1031" s="1540">
        <v>98</v>
      </c>
      <c r="K1031" s="1501">
        <v>1</v>
      </c>
      <c r="L1031" s="1526">
        <f t="shared" si="387"/>
        <v>98</v>
      </c>
      <c r="M1031" s="1429" t="s">
        <v>3488</v>
      </c>
      <c r="N1031" s="1501">
        <v>2019</v>
      </c>
      <c r="O1031" s="1429" t="s">
        <v>5656</v>
      </c>
      <c r="P1031" s="1429" t="s">
        <v>433</v>
      </c>
      <c r="Q1031" s="1429"/>
      <c r="R1031" s="1501" t="s">
        <v>12</v>
      </c>
      <c r="S1031" s="1539">
        <v>198088900</v>
      </c>
      <c r="T1031" s="1501"/>
      <c r="U1031" s="1596"/>
      <c r="V1031" s="1553"/>
      <c r="W1031" s="1478" t="str">
        <f t="shared" si="389"/>
        <v>04.14.04</v>
      </c>
      <c r="X1031" s="1478" t="str">
        <f t="shared" si="390"/>
        <v>Bangunan Pengaman Sungai dan Penanggulangan Bencana Alam</v>
      </c>
      <c r="Y1031" s="1478">
        <f t="shared" si="380"/>
        <v>10</v>
      </c>
      <c r="Z1031" s="1401">
        <f t="shared" si="381"/>
        <v>19808890</v>
      </c>
      <c r="AA1031" s="1444">
        <f t="shared" si="382"/>
        <v>0</v>
      </c>
      <c r="AB1031" s="1401"/>
      <c r="AC1031" s="1401"/>
      <c r="AD1031" s="1401"/>
      <c r="AE1031" s="1401"/>
      <c r="AF1031" s="1401"/>
      <c r="AG1031" s="1479"/>
      <c r="AH1031" s="1479">
        <f t="shared" si="377"/>
        <v>19808890</v>
      </c>
      <c r="AI1031" s="1479">
        <f t="shared" si="378"/>
        <v>19808890</v>
      </c>
      <c r="AJ1031" s="1401">
        <f t="shared" si="388"/>
        <v>178280010</v>
      </c>
    </row>
    <row r="1032" spans="2:36" s="1472" customFormat="1" ht="33" customHeight="1" x14ac:dyDescent="0.2">
      <c r="B1032" s="1507"/>
      <c r="C1032" s="1478"/>
      <c r="D1032" s="1576"/>
      <c r="E1032" s="1429" t="s">
        <v>3351</v>
      </c>
      <c r="F1032" s="1539"/>
      <c r="G1032" s="1501" t="s">
        <v>2551</v>
      </c>
      <c r="H1032" s="1429"/>
      <c r="I1032" s="1501" t="s">
        <v>736</v>
      </c>
      <c r="J1032" s="1540">
        <v>56</v>
      </c>
      <c r="K1032" s="1501">
        <v>1.5</v>
      </c>
      <c r="L1032" s="1526">
        <f t="shared" si="387"/>
        <v>84</v>
      </c>
      <c r="M1032" s="1429" t="s">
        <v>3454</v>
      </c>
      <c r="N1032" s="1501">
        <v>2019</v>
      </c>
      <c r="O1032" s="1429" t="s">
        <v>5654</v>
      </c>
      <c r="P1032" s="1429" t="s">
        <v>433</v>
      </c>
      <c r="Q1032" s="1429"/>
      <c r="R1032" s="1501" t="s">
        <v>12</v>
      </c>
      <c r="S1032" s="1539">
        <v>198225500</v>
      </c>
      <c r="T1032" s="1501"/>
      <c r="U1032" s="1596"/>
      <c r="V1032" s="1553"/>
      <c r="W1032" s="1478" t="str">
        <f t="shared" si="389"/>
        <v>04.14.04</v>
      </c>
      <c r="X1032" s="1478" t="str">
        <f t="shared" si="390"/>
        <v>Bangunan Pengaman Sungai dan Penanggulangan Bencana Alam</v>
      </c>
      <c r="Y1032" s="1478">
        <f t="shared" si="380"/>
        <v>10</v>
      </c>
      <c r="Z1032" s="1401">
        <f t="shared" si="381"/>
        <v>19822550</v>
      </c>
      <c r="AA1032" s="1444">
        <f t="shared" si="382"/>
        <v>0</v>
      </c>
      <c r="AB1032" s="1401"/>
      <c r="AC1032" s="1401"/>
      <c r="AD1032" s="1401"/>
      <c r="AE1032" s="1401"/>
      <c r="AF1032" s="1401"/>
      <c r="AG1032" s="1479"/>
      <c r="AH1032" s="1479">
        <f t="shared" ref="AH1032:AH1054" si="391">IF(S1032=AC1032+AD1032+AE1032+AB1032+AF1032+AG1032,0,Z1032)</f>
        <v>19822550</v>
      </c>
      <c r="AI1032" s="1479">
        <f t="shared" ref="AI1032:AI1054" si="392">SUM(AB1032:AH1032)</f>
        <v>19822550</v>
      </c>
      <c r="AJ1032" s="1401">
        <f t="shared" si="388"/>
        <v>178402950</v>
      </c>
    </row>
    <row r="1033" spans="2:36" s="1472" customFormat="1" ht="33" customHeight="1" x14ac:dyDescent="0.2">
      <c r="C1033" s="1478"/>
      <c r="D1033" s="1576"/>
      <c r="E1033" s="1429" t="s">
        <v>5588</v>
      </c>
      <c r="F1033" s="1539"/>
      <c r="G1033" s="1501" t="s">
        <v>2551</v>
      </c>
      <c r="H1033" s="1429"/>
      <c r="I1033" s="1501" t="s">
        <v>736</v>
      </c>
      <c r="J1033" s="1540">
        <v>46</v>
      </c>
      <c r="K1033" s="1501">
        <v>2.5</v>
      </c>
      <c r="L1033" s="1526">
        <f t="shared" si="387"/>
        <v>115</v>
      </c>
      <c r="M1033" s="1429" t="s">
        <v>5653</v>
      </c>
      <c r="N1033" s="1501">
        <v>2019</v>
      </c>
      <c r="O1033" s="1429" t="s">
        <v>5652</v>
      </c>
      <c r="P1033" s="1429" t="s">
        <v>433</v>
      </c>
      <c r="Q1033" s="1429"/>
      <c r="R1033" s="1501" t="s">
        <v>12</v>
      </c>
      <c r="S1033" s="1539">
        <v>197813500</v>
      </c>
      <c r="T1033" s="1501"/>
      <c r="U1033" s="1596"/>
      <c r="V1033" s="1553"/>
      <c r="W1033" s="1478" t="str">
        <f t="shared" si="389"/>
        <v>04.14.04</v>
      </c>
      <c r="X1033" s="1478" t="str">
        <f t="shared" si="390"/>
        <v>Bangunan Pengaman Sungai dan Penanggulangan Bencana Alam</v>
      </c>
      <c r="Y1033" s="1478">
        <f t="shared" si="380"/>
        <v>10</v>
      </c>
      <c r="Z1033" s="1401">
        <f t="shared" si="381"/>
        <v>19781350</v>
      </c>
      <c r="AA1033" s="1444">
        <f t="shared" si="382"/>
        <v>0</v>
      </c>
      <c r="AB1033" s="1401"/>
      <c r="AC1033" s="1401"/>
      <c r="AD1033" s="1401"/>
      <c r="AE1033" s="1401"/>
      <c r="AF1033" s="1401"/>
      <c r="AG1033" s="1479"/>
      <c r="AH1033" s="1479">
        <f t="shared" si="391"/>
        <v>19781350</v>
      </c>
      <c r="AI1033" s="1479">
        <f t="shared" si="392"/>
        <v>19781350</v>
      </c>
      <c r="AJ1033" s="1401">
        <f t="shared" si="388"/>
        <v>178032150</v>
      </c>
    </row>
    <row r="1034" spans="2:36" s="1472" customFormat="1" ht="33" customHeight="1" x14ac:dyDescent="0.2">
      <c r="C1034" s="1478"/>
      <c r="D1034" s="1576"/>
      <c r="E1034" s="1429" t="s">
        <v>5593</v>
      </c>
      <c r="F1034" s="1539"/>
      <c r="G1034" s="1501" t="s">
        <v>4899</v>
      </c>
      <c r="H1034" s="1429"/>
      <c r="I1034" s="1501" t="s">
        <v>736</v>
      </c>
      <c r="J1034" s="1540">
        <v>194</v>
      </c>
      <c r="K1034" s="1501">
        <v>0.84</v>
      </c>
      <c r="L1034" s="1527">
        <f t="shared" si="387"/>
        <v>162.96</v>
      </c>
      <c r="M1034" s="1429" t="s">
        <v>3408</v>
      </c>
      <c r="N1034" s="1501">
        <v>2019</v>
      </c>
      <c r="O1034" s="1429" t="s">
        <v>5594</v>
      </c>
      <c r="P1034" s="1429" t="s">
        <v>5435</v>
      </c>
      <c r="Q1034" s="1429"/>
      <c r="R1034" s="1501" t="s">
        <v>12</v>
      </c>
      <c r="S1034" s="1539">
        <v>185216797</v>
      </c>
      <c r="T1034" s="1501"/>
      <c r="U1034" s="1596"/>
      <c r="V1034" s="1553"/>
      <c r="W1034" s="1478" t="str">
        <f t="shared" si="389"/>
        <v>04.14.04</v>
      </c>
      <c r="X1034" s="1478" t="str">
        <f t="shared" si="390"/>
        <v>Bangunan Pengaman Sungai dan Penanggulangan Bencana Alam</v>
      </c>
      <c r="Y1034" s="1478">
        <f t="shared" si="380"/>
        <v>10</v>
      </c>
      <c r="Z1034" s="1401">
        <f t="shared" si="381"/>
        <v>18521679.699999999</v>
      </c>
      <c r="AA1034" s="1444">
        <f t="shared" si="382"/>
        <v>0</v>
      </c>
      <c r="AB1034" s="1401"/>
      <c r="AC1034" s="1401"/>
      <c r="AD1034" s="1401"/>
      <c r="AE1034" s="1401"/>
      <c r="AF1034" s="1401"/>
      <c r="AG1034" s="1479"/>
      <c r="AH1034" s="1479">
        <f t="shared" si="391"/>
        <v>18521679.699999999</v>
      </c>
      <c r="AI1034" s="1479">
        <f t="shared" si="392"/>
        <v>18521679.699999999</v>
      </c>
      <c r="AJ1034" s="1401">
        <f t="shared" si="388"/>
        <v>166695117.30000001</v>
      </c>
    </row>
    <row r="1035" spans="2:36" s="1390" customFormat="1" ht="33" customHeight="1" x14ac:dyDescent="0.2">
      <c r="B1035" s="1472"/>
      <c r="C1035" s="1478"/>
      <c r="D1035" s="1426"/>
      <c r="E1035" s="1429" t="s">
        <v>5604</v>
      </c>
      <c r="F1035" s="1539"/>
      <c r="G1035" s="1501" t="s">
        <v>2525</v>
      </c>
      <c r="H1035" s="1429"/>
      <c r="I1035" s="1501" t="s">
        <v>736</v>
      </c>
      <c r="J1035" s="1540">
        <v>20</v>
      </c>
      <c r="K1035" s="1501">
        <v>3</v>
      </c>
      <c r="L1035" s="1526">
        <f t="shared" si="387"/>
        <v>60</v>
      </c>
      <c r="M1035" s="1429" t="s">
        <v>2600</v>
      </c>
      <c r="N1035" s="1501">
        <v>2019</v>
      </c>
      <c r="O1035" s="1429" t="s">
        <v>5605</v>
      </c>
      <c r="P1035" s="1429" t="s">
        <v>5435</v>
      </c>
      <c r="Q1035" s="1429"/>
      <c r="R1035" s="1501" t="s">
        <v>12</v>
      </c>
      <c r="S1035" s="1539">
        <v>184358700</v>
      </c>
      <c r="T1035" s="1501"/>
      <c r="U1035" s="1596"/>
      <c r="V1035" s="1553"/>
      <c r="W1035" s="1478" t="str">
        <f t="shared" si="389"/>
        <v>04.14.04</v>
      </c>
      <c r="X1035" s="1478" t="str">
        <f t="shared" si="390"/>
        <v>Bangunan Pengaman Sungai dan Penanggulangan Bencana Alam</v>
      </c>
      <c r="Y1035" s="1478">
        <f t="shared" si="380"/>
        <v>10</v>
      </c>
      <c r="Z1035" s="1401">
        <f t="shared" si="381"/>
        <v>18435870</v>
      </c>
      <c r="AA1035" s="1444">
        <f t="shared" si="382"/>
        <v>0</v>
      </c>
      <c r="AB1035" s="1401"/>
      <c r="AC1035" s="1401"/>
      <c r="AD1035" s="1401"/>
      <c r="AE1035" s="1401"/>
      <c r="AF1035" s="1401"/>
      <c r="AG1035" s="1479"/>
      <c r="AH1035" s="1479">
        <f t="shared" si="391"/>
        <v>18435870</v>
      </c>
      <c r="AI1035" s="1479">
        <f t="shared" si="392"/>
        <v>18435870</v>
      </c>
      <c r="AJ1035" s="1401">
        <f t="shared" si="388"/>
        <v>165922830</v>
      </c>
    </row>
    <row r="1036" spans="2:36" s="1472" customFormat="1" ht="33" customHeight="1" x14ac:dyDescent="0.2">
      <c r="C1036" s="1478"/>
      <c r="D1036" s="1576"/>
      <c r="E1036" s="1523" t="s">
        <v>5610</v>
      </c>
      <c r="F1036" s="1529"/>
      <c r="G1036" s="1501" t="s">
        <v>2525</v>
      </c>
      <c r="H1036" s="1429"/>
      <c r="I1036" s="1501" t="s">
        <v>736</v>
      </c>
      <c r="J1036" s="1562">
        <v>42.7</v>
      </c>
      <c r="K1036" s="1501"/>
      <c r="L1036" s="1526"/>
      <c r="M1036" s="1429" t="s">
        <v>3482</v>
      </c>
      <c r="N1036" s="1501">
        <v>2019</v>
      </c>
      <c r="O1036" s="1429" t="s">
        <v>5611</v>
      </c>
      <c r="P1036" s="1429" t="s">
        <v>433</v>
      </c>
      <c r="Q1036" s="1429"/>
      <c r="R1036" s="1501" t="s">
        <v>12</v>
      </c>
      <c r="S1036" s="1539">
        <v>572321000</v>
      </c>
      <c r="T1036" s="1501"/>
      <c r="U1036" s="1596"/>
      <c r="V1036" s="1553"/>
      <c r="W1036" s="1478" t="str">
        <f t="shared" si="389"/>
        <v>04.14.04</v>
      </c>
      <c r="X1036" s="1478" t="str">
        <f t="shared" si="390"/>
        <v>Bangunan Pengaman Sungai dan Penanggulangan Bencana Alam</v>
      </c>
      <c r="Y1036" s="1478">
        <f t="shared" si="380"/>
        <v>10</v>
      </c>
      <c r="Z1036" s="1401">
        <f t="shared" si="381"/>
        <v>57232100</v>
      </c>
      <c r="AA1036" s="1444">
        <f t="shared" si="382"/>
        <v>0</v>
      </c>
      <c r="AB1036" s="1401"/>
      <c r="AC1036" s="1401"/>
      <c r="AD1036" s="1401"/>
      <c r="AE1036" s="1401"/>
      <c r="AF1036" s="1401"/>
      <c r="AG1036" s="1479"/>
      <c r="AH1036" s="1479">
        <f t="shared" si="391"/>
        <v>57232100</v>
      </c>
      <c r="AI1036" s="1479">
        <f t="shared" si="392"/>
        <v>57232100</v>
      </c>
      <c r="AJ1036" s="1401">
        <f t="shared" si="388"/>
        <v>515088900</v>
      </c>
    </row>
    <row r="1037" spans="2:36" s="1390" customFormat="1" ht="33" customHeight="1" x14ac:dyDescent="0.2">
      <c r="B1037" s="1472"/>
      <c r="C1037" s="1478"/>
      <c r="D1037" s="1426"/>
      <c r="E1037" s="1429" t="s">
        <v>3377</v>
      </c>
      <c r="F1037" s="1539"/>
      <c r="G1037" s="1501" t="s">
        <v>2525</v>
      </c>
      <c r="H1037" s="1429"/>
      <c r="I1037" s="1501" t="s">
        <v>736</v>
      </c>
      <c r="J1037" s="1540">
        <v>24</v>
      </c>
      <c r="K1037" s="1501">
        <v>3</v>
      </c>
      <c r="L1037" s="1526">
        <f>J1037*K1037</f>
        <v>72</v>
      </c>
      <c r="M1037" s="1429" t="s">
        <v>3510</v>
      </c>
      <c r="N1037" s="1501">
        <v>2019</v>
      </c>
      <c r="O1037" s="1429" t="s">
        <v>5642</v>
      </c>
      <c r="P1037" s="1429" t="s">
        <v>433</v>
      </c>
      <c r="Q1037" s="1429"/>
      <c r="R1037" s="1501" t="s">
        <v>12</v>
      </c>
      <c r="S1037" s="1539">
        <v>146809000</v>
      </c>
      <c r="T1037" s="1501"/>
      <c r="U1037" s="1596"/>
      <c r="V1037" s="1553"/>
      <c r="W1037" s="1478" t="str">
        <f t="shared" si="389"/>
        <v>04.14.04</v>
      </c>
      <c r="X1037" s="1478" t="str">
        <f t="shared" si="390"/>
        <v>Bangunan Pengaman Sungai dan Penanggulangan Bencana Alam</v>
      </c>
      <c r="Y1037" s="1478">
        <f t="shared" si="380"/>
        <v>10</v>
      </c>
      <c r="Z1037" s="1401">
        <f t="shared" si="381"/>
        <v>14680900</v>
      </c>
      <c r="AA1037" s="1444">
        <f t="shared" si="382"/>
        <v>0</v>
      </c>
      <c r="AB1037" s="1401"/>
      <c r="AC1037" s="1401"/>
      <c r="AD1037" s="1401"/>
      <c r="AE1037" s="1401"/>
      <c r="AF1037" s="1401"/>
      <c r="AG1037" s="1479"/>
      <c r="AH1037" s="1479">
        <f t="shared" si="391"/>
        <v>14680900</v>
      </c>
      <c r="AI1037" s="1479">
        <f t="shared" si="392"/>
        <v>14680900</v>
      </c>
      <c r="AJ1037" s="1401">
        <f t="shared" si="388"/>
        <v>132128100</v>
      </c>
    </row>
    <row r="1038" spans="2:36" s="1390" customFormat="1" ht="33" customHeight="1" x14ac:dyDescent="0.2">
      <c r="B1038" s="1472"/>
      <c r="C1038" s="1478"/>
      <c r="D1038" s="1426"/>
      <c r="E1038" s="1429" t="s">
        <v>5585</v>
      </c>
      <c r="F1038" s="1539"/>
      <c r="G1038" s="1501" t="s">
        <v>2514</v>
      </c>
      <c r="H1038" s="1429"/>
      <c r="I1038" s="1501" t="s">
        <v>736</v>
      </c>
      <c r="J1038" s="1540">
        <v>104</v>
      </c>
      <c r="K1038" s="1501">
        <v>1</v>
      </c>
      <c r="L1038" s="1526">
        <f>J1038*K1038</f>
        <v>104</v>
      </c>
      <c r="M1038" s="1429" t="s">
        <v>5587</v>
      </c>
      <c r="N1038" s="1417">
        <v>2019</v>
      </c>
      <c r="O1038" s="1429" t="s">
        <v>5586</v>
      </c>
      <c r="P1038" s="1429" t="s">
        <v>433</v>
      </c>
      <c r="Q1038" s="1429"/>
      <c r="R1038" s="1501" t="s">
        <v>12</v>
      </c>
      <c r="S1038" s="1539">
        <v>197729000</v>
      </c>
      <c r="T1038" s="1501"/>
      <c r="U1038" s="1596"/>
      <c r="V1038" s="1553"/>
      <c r="W1038" s="1478" t="str">
        <f t="shared" si="389"/>
        <v>04.14.02</v>
      </c>
      <c r="X1038" s="1478" t="str">
        <f t="shared" si="390"/>
        <v>Bangunan Air Pasang Surut</v>
      </c>
      <c r="Y1038" s="1478">
        <f t="shared" si="380"/>
        <v>50</v>
      </c>
      <c r="Z1038" s="1401">
        <f t="shared" si="381"/>
        <v>3954580</v>
      </c>
      <c r="AA1038" s="1444">
        <f t="shared" si="382"/>
        <v>0</v>
      </c>
      <c r="AB1038" s="1401">
        <f>IF(AA1038&gt;Y1038,S1038,Z1038*AA1038)</f>
        <v>0</v>
      </c>
      <c r="AC1038" s="1401">
        <v>0</v>
      </c>
      <c r="AD1038" s="1401">
        <v>0</v>
      </c>
      <c r="AE1038" s="1401">
        <v>0</v>
      </c>
      <c r="AF1038" s="1401">
        <v>0</v>
      </c>
      <c r="AG1038" s="1479"/>
      <c r="AH1038" s="1479">
        <f t="shared" si="391"/>
        <v>3954580</v>
      </c>
      <c r="AI1038" s="1479">
        <f t="shared" si="392"/>
        <v>3954580</v>
      </c>
      <c r="AJ1038" s="1401">
        <f t="shared" si="388"/>
        <v>193774420</v>
      </c>
    </row>
    <row r="1039" spans="2:36" s="1390" customFormat="1" ht="33" customHeight="1" x14ac:dyDescent="0.2">
      <c r="B1039" s="1472"/>
      <c r="C1039" s="1478"/>
      <c r="D1039" s="1426"/>
      <c r="E1039" s="1429" t="s">
        <v>5589</v>
      </c>
      <c r="F1039" s="1539"/>
      <c r="G1039" s="1501" t="s">
        <v>4899</v>
      </c>
      <c r="H1039" s="1429"/>
      <c r="I1039" s="1501" t="s">
        <v>736</v>
      </c>
      <c r="J1039" s="1540">
        <v>216</v>
      </c>
      <c r="K1039" s="1501">
        <v>0.74</v>
      </c>
      <c r="L1039" s="1527">
        <f>J1039*K1039</f>
        <v>159.84</v>
      </c>
      <c r="M1039" s="1429" t="s">
        <v>2565</v>
      </c>
      <c r="N1039" s="1417">
        <v>2019</v>
      </c>
      <c r="O1039" s="1429" t="s">
        <v>5590</v>
      </c>
      <c r="P1039" s="1429" t="s">
        <v>5435</v>
      </c>
      <c r="Q1039" s="1429"/>
      <c r="R1039" s="1501" t="s">
        <v>12</v>
      </c>
      <c r="S1039" s="1539">
        <v>184554000</v>
      </c>
      <c r="T1039" s="1501"/>
      <c r="U1039" s="1596"/>
      <c r="V1039" s="1553"/>
      <c r="W1039" s="1478" t="str">
        <f t="shared" ref="W1039:W1054" si="393">LEFT(G1039,8)</f>
        <v>04.14.04</v>
      </c>
      <c r="X1039" s="1478" t="str">
        <f t="shared" ref="X1039:X1054" si="394">VLOOKUP(W1039,UE,3,FALSE)</f>
        <v>Bangunan Pengaman Sungai dan Penanggulangan Bencana Alam</v>
      </c>
      <c r="Y1039" s="1478">
        <f t="shared" si="380"/>
        <v>10</v>
      </c>
      <c r="Z1039" s="1401">
        <f t="shared" si="381"/>
        <v>18455400</v>
      </c>
      <c r="AA1039" s="1444">
        <f t="shared" si="382"/>
        <v>0</v>
      </c>
      <c r="AB1039" s="1401">
        <f>IF(AA1039&gt;Y1039,S1039,Z1039*AA1039)</f>
        <v>0</v>
      </c>
      <c r="AC1039" s="1401">
        <v>0</v>
      </c>
      <c r="AD1039" s="1401">
        <v>0</v>
      </c>
      <c r="AE1039" s="1401">
        <v>0</v>
      </c>
      <c r="AF1039" s="1401">
        <v>0</v>
      </c>
      <c r="AG1039" s="1479"/>
      <c r="AH1039" s="1479">
        <f t="shared" si="391"/>
        <v>18455400</v>
      </c>
      <c r="AI1039" s="1479">
        <f t="shared" si="392"/>
        <v>18455400</v>
      </c>
      <c r="AJ1039" s="1401">
        <f t="shared" si="388"/>
        <v>166098600</v>
      </c>
    </row>
    <row r="1040" spans="2:36" s="1390" customFormat="1" ht="33" customHeight="1" x14ac:dyDescent="0.2">
      <c r="B1040" s="1472"/>
      <c r="C1040" s="1478"/>
      <c r="D1040" s="1426"/>
      <c r="E1040" s="1429" t="s">
        <v>5591</v>
      </c>
      <c r="F1040" s="1539"/>
      <c r="G1040" s="1501" t="s">
        <v>4899</v>
      </c>
      <c r="H1040" s="1429"/>
      <c r="I1040" s="1501" t="s">
        <v>736</v>
      </c>
      <c r="J1040" s="1540">
        <v>282.5</v>
      </c>
      <c r="K1040" s="1501">
        <v>0.74</v>
      </c>
      <c r="L1040" s="1527">
        <f>J1040*K1040</f>
        <v>209.05</v>
      </c>
      <c r="M1040" s="1429" t="s">
        <v>805</v>
      </c>
      <c r="N1040" s="1417">
        <v>2019</v>
      </c>
      <c r="O1040" s="1429" t="s">
        <v>5592</v>
      </c>
      <c r="P1040" s="1429" t="s">
        <v>5435</v>
      </c>
      <c r="Q1040" s="1429"/>
      <c r="R1040" s="1501" t="s">
        <v>12</v>
      </c>
      <c r="S1040" s="1539">
        <f>184721179-350000</f>
        <v>184371179</v>
      </c>
      <c r="T1040" s="1501"/>
      <c r="U1040" s="1596"/>
      <c r="V1040" s="1553"/>
      <c r="W1040" s="1478" t="str">
        <f t="shared" si="393"/>
        <v>04.14.04</v>
      </c>
      <c r="X1040" s="1478" t="str">
        <f t="shared" si="394"/>
        <v>Bangunan Pengaman Sungai dan Penanggulangan Bencana Alam</v>
      </c>
      <c r="Y1040" s="1478">
        <f t="shared" si="380"/>
        <v>10</v>
      </c>
      <c r="Z1040" s="1401">
        <f t="shared" si="381"/>
        <v>18437117.899999999</v>
      </c>
      <c r="AA1040" s="1444">
        <f t="shared" si="382"/>
        <v>0</v>
      </c>
      <c r="AB1040" s="1401">
        <f>IF(AA1040&gt;Y1040,S1040,Z1040*AA1040)</f>
        <v>0</v>
      </c>
      <c r="AC1040" s="1401">
        <v>0</v>
      </c>
      <c r="AD1040" s="1401">
        <v>0</v>
      </c>
      <c r="AE1040" s="1401">
        <v>0</v>
      </c>
      <c r="AF1040" s="1401">
        <v>0</v>
      </c>
      <c r="AG1040" s="1479"/>
      <c r="AH1040" s="1479">
        <f t="shared" si="391"/>
        <v>18437117.899999999</v>
      </c>
      <c r="AI1040" s="1479">
        <f t="shared" si="392"/>
        <v>18437117.899999999</v>
      </c>
      <c r="AJ1040" s="1401">
        <f t="shared" si="388"/>
        <v>165934061.09999999</v>
      </c>
    </row>
    <row r="1041" spans="2:38" s="1390" customFormat="1" ht="33" customHeight="1" x14ac:dyDescent="0.2">
      <c r="B1041" s="1472"/>
      <c r="C1041" s="1478"/>
      <c r="D1041" s="1426"/>
      <c r="E1041" s="1429" t="s">
        <v>5595</v>
      </c>
      <c r="F1041" s="1539"/>
      <c r="G1041" s="1501" t="s">
        <v>2525</v>
      </c>
      <c r="H1041" s="1429"/>
      <c r="I1041" s="1501" t="s">
        <v>736</v>
      </c>
      <c r="J1041" s="1540">
        <v>25</v>
      </c>
      <c r="K1041" s="1501">
        <v>5</v>
      </c>
      <c r="L1041" s="1526">
        <f>J1041*K1041</f>
        <v>125</v>
      </c>
      <c r="M1041" s="1429" t="s">
        <v>5597</v>
      </c>
      <c r="N1041" s="1417">
        <v>2019</v>
      </c>
      <c r="O1041" s="1429" t="s">
        <v>5596</v>
      </c>
      <c r="P1041" s="1429" t="s">
        <v>433</v>
      </c>
      <c r="Q1041" s="1429"/>
      <c r="R1041" s="1501" t="s">
        <v>12</v>
      </c>
      <c r="S1041" s="1539">
        <v>198339500</v>
      </c>
      <c r="T1041" s="1501"/>
      <c r="U1041" s="1596"/>
      <c r="V1041" s="1553"/>
      <c r="W1041" s="1478" t="str">
        <f t="shared" si="393"/>
        <v>04.14.04</v>
      </c>
      <c r="X1041" s="1478" t="str">
        <f t="shared" si="394"/>
        <v>Bangunan Pengaman Sungai dan Penanggulangan Bencana Alam</v>
      </c>
      <c r="Y1041" s="1478">
        <f t="shared" si="380"/>
        <v>10</v>
      </c>
      <c r="Z1041" s="1401">
        <f t="shared" si="381"/>
        <v>19833950</v>
      </c>
      <c r="AA1041" s="1444">
        <f t="shared" si="382"/>
        <v>0</v>
      </c>
      <c r="AB1041" s="1401">
        <f>IF(AA1041&gt;Y1041,S1041,Z1041*AA1041)</f>
        <v>0</v>
      </c>
      <c r="AC1041" s="1401">
        <v>0</v>
      </c>
      <c r="AD1041" s="1401">
        <v>0</v>
      </c>
      <c r="AE1041" s="1401">
        <v>0</v>
      </c>
      <c r="AF1041" s="1401">
        <v>0</v>
      </c>
      <c r="AG1041" s="1479"/>
      <c r="AH1041" s="1479">
        <f t="shared" si="391"/>
        <v>19833950</v>
      </c>
      <c r="AI1041" s="1479">
        <f t="shared" si="392"/>
        <v>19833950</v>
      </c>
      <c r="AJ1041" s="1401">
        <f t="shared" si="388"/>
        <v>178505550</v>
      </c>
    </row>
    <row r="1042" spans="2:38" s="1390" customFormat="1" ht="33" customHeight="1" x14ac:dyDescent="0.2">
      <c r="B1042" s="1472"/>
      <c r="C1042" s="1478"/>
      <c r="D1042" s="1426"/>
      <c r="E1042" s="1429" t="s">
        <v>5598</v>
      </c>
      <c r="F1042" s="1539"/>
      <c r="G1042" s="1501" t="s">
        <v>2525</v>
      </c>
      <c r="H1042" s="1429"/>
      <c r="I1042" s="1501" t="s">
        <v>736</v>
      </c>
      <c r="J1042" s="1540"/>
      <c r="K1042" s="1501"/>
      <c r="L1042" s="1526">
        <f t="shared" ref="L1042:L1052" si="395">J1042*K1042</f>
        <v>0</v>
      </c>
      <c r="M1042" s="1429" t="s">
        <v>5600</v>
      </c>
      <c r="N1042" s="1417">
        <v>2019</v>
      </c>
      <c r="O1042" s="1429" t="s">
        <v>5599</v>
      </c>
      <c r="P1042" s="1429" t="s">
        <v>433</v>
      </c>
      <c r="Q1042" s="1429"/>
      <c r="R1042" s="1501" t="s">
        <v>12</v>
      </c>
      <c r="S1042" s="1539">
        <v>197962000</v>
      </c>
      <c r="T1042" s="1501"/>
      <c r="U1042" s="1596"/>
      <c r="V1042" s="1553"/>
      <c r="W1042" s="1478" t="str">
        <f t="shared" si="393"/>
        <v>04.14.04</v>
      </c>
      <c r="X1042" s="1478" t="str">
        <f t="shared" si="394"/>
        <v>Bangunan Pengaman Sungai dan Penanggulangan Bencana Alam</v>
      </c>
      <c r="Y1042" s="1478">
        <f t="shared" si="380"/>
        <v>10</v>
      </c>
      <c r="Z1042" s="1401">
        <f t="shared" si="381"/>
        <v>19796200</v>
      </c>
      <c r="AA1042" s="1444">
        <f t="shared" si="382"/>
        <v>0</v>
      </c>
      <c r="AB1042" s="1401">
        <f>IF(AA1042&gt;Y1042,S1042,Z1042*AA1042)</f>
        <v>0</v>
      </c>
      <c r="AC1042" s="1401">
        <v>0</v>
      </c>
      <c r="AD1042" s="1401">
        <v>0</v>
      </c>
      <c r="AE1042" s="1401">
        <v>0</v>
      </c>
      <c r="AF1042" s="1401">
        <v>0</v>
      </c>
      <c r="AG1042" s="1479"/>
      <c r="AH1042" s="1479">
        <f t="shared" si="391"/>
        <v>19796200</v>
      </c>
      <c r="AI1042" s="1479">
        <f t="shared" si="392"/>
        <v>19796200</v>
      </c>
      <c r="AJ1042" s="1401">
        <f t="shared" si="388"/>
        <v>178165800</v>
      </c>
    </row>
    <row r="1043" spans="2:38" s="1390" customFormat="1" ht="33" customHeight="1" x14ac:dyDescent="0.2">
      <c r="B1043" s="1472"/>
      <c r="C1043" s="1478"/>
      <c r="D1043" s="1426"/>
      <c r="E1043" s="1429" t="s">
        <v>5602</v>
      </c>
      <c r="F1043" s="1539"/>
      <c r="G1043" s="1501" t="s">
        <v>2525</v>
      </c>
      <c r="H1043" s="1429"/>
      <c r="I1043" s="1501" t="s">
        <v>736</v>
      </c>
      <c r="J1043" s="1540">
        <v>20</v>
      </c>
      <c r="K1043" s="1501">
        <v>3.5</v>
      </c>
      <c r="L1043" s="1526">
        <f t="shared" si="395"/>
        <v>70</v>
      </c>
      <c r="M1043" s="1429" t="s">
        <v>5601</v>
      </c>
      <c r="N1043" s="1417">
        <v>2019</v>
      </c>
      <c r="O1043" s="1429" t="s">
        <v>5603</v>
      </c>
      <c r="P1043" s="1429" t="s">
        <v>433</v>
      </c>
      <c r="Q1043" s="1429"/>
      <c r="R1043" s="1501" t="s">
        <v>12</v>
      </c>
      <c r="S1043" s="1539">
        <v>198046000</v>
      </c>
      <c r="T1043" s="1501"/>
      <c r="U1043" s="1596"/>
      <c r="V1043" s="1553"/>
      <c r="W1043" s="1478" t="str">
        <f t="shared" si="393"/>
        <v>04.14.04</v>
      </c>
      <c r="X1043" s="1478" t="str">
        <f t="shared" si="394"/>
        <v>Bangunan Pengaman Sungai dan Penanggulangan Bencana Alam</v>
      </c>
      <c r="Y1043" s="1478">
        <f t="shared" si="380"/>
        <v>10</v>
      </c>
      <c r="Z1043" s="1401">
        <f t="shared" si="381"/>
        <v>19804600</v>
      </c>
      <c r="AA1043" s="1444">
        <f t="shared" si="382"/>
        <v>0</v>
      </c>
      <c r="AB1043" s="1401"/>
      <c r="AC1043" s="1401"/>
      <c r="AD1043" s="1401"/>
      <c r="AE1043" s="1401"/>
      <c r="AF1043" s="1401"/>
      <c r="AG1043" s="1479"/>
      <c r="AH1043" s="1479">
        <f t="shared" si="391"/>
        <v>19804600</v>
      </c>
      <c r="AI1043" s="1479">
        <f t="shared" si="392"/>
        <v>19804600</v>
      </c>
      <c r="AJ1043" s="1401">
        <f t="shared" si="388"/>
        <v>178241400</v>
      </c>
    </row>
    <row r="1044" spans="2:38" s="1390" customFormat="1" ht="33" customHeight="1" x14ac:dyDescent="0.2">
      <c r="B1044" s="1472"/>
      <c r="C1044" s="1478"/>
      <c r="D1044" s="1426"/>
      <c r="E1044" s="1429" t="s">
        <v>3502</v>
      </c>
      <c r="F1044" s="1539"/>
      <c r="G1044" s="1501" t="s">
        <v>5609</v>
      </c>
      <c r="H1044" s="1429"/>
      <c r="I1044" s="1501" t="s">
        <v>736</v>
      </c>
      <c r="J1044" s="1540">
        <v>20</v>
      </c>
      <c r="K1044" s="1501">
        <v>10</v>
      </c>
      <c r="L1044" s="1526">
        <f t="shared" si="395"/>
        <v>200</v>
      </c>
      <c r="M1044" s="1429" t="s">
        <v>5608</v>
      </c>
      <c r="N1044" s="1417">
        <v>2019</v>
      </c>
      <c r="O1044" s="1429" t="s">
        <v>5607</v>
      </c>
      <c r="P1044" s="1429" t="s">
        <v>433</v>
      </c>
      <c r="Q1044" s="1429"/>
      <c r="R1044" s="1501" t="s">
        <v>12</v>
      </c>
      <c r="S1044" s="1539">
        <v>1951962000</v>
      </c>
      <c r="T1044" s="1501"/>
      <c r="U1044" s="1596"/>
      <c r="V1044" s="1553"/>
      <c r="W1044" s="1478" t="str">
        <f t="shared" si="393"/>
        <v>04.14.04</v>
      </c>
      <c r="X1044" s="1478" t="str">
        <f t="shared" si="394"/>
        <v>Bangunan Pengaman Sungai dan Penanggulangan Bencana Alam</v>
      </c>
      <c r="Y1044" s="1478">
        <f t="shared" si="380"/>
        <v>10</v>
      </c>
      <c r="Z1044" s="1401">
        <f t="shared" si="381"/>
        <v>195196200</v>
      </c>
      <c r="AA1044" s="1444">
        <f t="shared" si="382"/>
        <v>0</v>
      </c>
      <c r="AB1044" s="1401"/>
      <c r="AC1044" s="1401"/>
      <c r="AD1044" s="1401"/>
      <c r="AE1044" s="1401"/>
      <c r="AF1044" s="1401"/>
      <c r="AG1044" s="1479"/>
      <c r="AH1044" s="1479">
        <f t="shared" si="391"/>
        <v>195196200</v>
      </c>
      <c r="AI1044" s="1479">
        <f t="shared" si="392"/>
        <v>195196200</v>
      </c>
      <c r="AJ1044" s="1401">
        <f t="shared" si="388"/>
        <v>1756765800</v>
      </c>
    </row>
    <row r="1045" spans="2:38" s="1390" customFormat="1" ht="33" customHeight="1" x14ac:dyDescent="0.2">
      <c r="B1045" s="1472"/>
      <c r="C1045" s="1478"/>
      <c r="D1045" s="1426"/>
      <c r="E1045" s="1429" t="s">
        <v>5615</v>
      </c>
      <c r="F1045" s="1539"/>
      <c r="G1045" s="1501" t="s">
        <v>5616</v>
      </c>
      <c r="H1045" s="1429"/>
      <c r="I1045" s="1501" t="s">
        <v>736</v>
      </c>
      <c r="J1045" s="1540">
        <v>115</v>
      </c>
      <c r="K1045" s="1501">
        <v>3</v>
      </c>
      <c r="L1045" s="1526">
        <f t="shared" si="395"/>
        <v>345</v>
      </c>
      <c r="M1045" s="1429" t="s">
        <v>5618</v>
      </c>
      <c r="N1045" s="1417">
        <v>2019</v>
      </c>
      <c r="O1045" s="1429" t="s">
        <v>5617</v>
      </c>
      <c r="P1045" s="1429" t="s">
        <v>433</v>
      </c>
      <c r="Q1045" s="1429"/>
      <c r="R1045" s="1501" t="s">
        <v>12</v>
      </c>
      <c r="S1045" s="1539">
        <v>198172000</v>
      </c>
      <c r="T1045" s="1501"/>
      <c r="U1045" s="1596"/>
      <c r="V1045" s="1553"/>
      <c r="W1045" s="1478" t="str">
        <f t="shared" si="393"/>
        <v>04.14.01</v>
      </c>
      <c r="X1045" s="1478" t="str">
        <f t="shared" si="394"/>
        <v>Bangunan Air Irigasi</v>
      </c>
      <c r="Y1045" s="1478">
        <f t="shared" ref="Y1045:Y1054" si="396">VLOOKUP(W1045,UE,4,FALSE)</f>
        <v>50</v>
      </c>
      <c r="Z1045" s="1401">
        <f t="shared" ref="Z1045:Z1054" si="397">S1045/Y1045</f>
        <v>3963440</v>
      </c>
      <c r="AA1045" s="1444">
        <f t="shared" ref="AA1045:AA1054" si="398">IF(2013-N1045+1&gt;Y1045,Y1045,IF(2013-N1045+1&lt;0,0,2013-N1045+1))</f>
        <v>0</v>
      </c>
      <c r="AB1045" s="1401"/>
      <c r="AC1045" s="1401"/>
      <c r="AD1045" s="1401"/>
      <c r="AE1045" s="1401"/>
      <c r="AF1045" s="1401"/>
      <c r="AG1045" s="1479"/>
      <c r="AH1045" s="1479">
        <f t="shared" si="391"/>
        <v>3963440</v>
      </c>
      <c r="AI1045" s="1479">
        <f t="shared" si="392"/>
        <v>3963440</v>
      </c>
      <c r="AJ1045" s="1401">
        <f t="shared" si="388"/>
        <v>194208560</v>
      </c>
    </row>
    <row r="1046" spans="2:38" s="1472" customFormat="1" ht="33" customHeight="1" x14ac:dyDescent="0.2">
      <c r="B1046" s="1472" t="s">
        <v>3440</v>
      </c>
      <c r="C1046" s="1478"/>
      <c r="D1046" s="1576"/>
      <c r="E1046" s="1523" t="s">
        <v>5749</v>
      </c>
      <c r="F1046" s="1529"/>
      <c r="G1046" s="1501" t="s">
        <v>4199</v>
      </c>
      <c r="H1046" s="1429"/>
      <c r="I1046" s="1501" t="s">
        <v>736</v>
      </c>
      <c r="J1046" s="1540" t="s">
        <v>5614</v>
      </c>
      <c r="K1046" s="1501"/>
      <c r="L1046" s="1526"/>
      <c r="M1046" s="1429" t="s">
        <v>3440</v>
      </c>
      <c r="N1046" s="1501">
        <v>2019</v>
      </c>
      <c r="O1046" s="1429" t="s">
        <v>5613</v>
      </c>
      <c r="P1046" s="1429" t="s">
        <v>433</v>
      </c>
      <c r="Q1046" s="1429"/>
      <c r="R1046" s="1501" t="s">
        <v>12</v>
      </c>
      <c r="S1046" s="1539">
        <v>2416456000</v>
      </c>
      <c r="T1046" s="1501"/>
      <c r="U1046" s="1596"/>
      <c r="V1046" s="1553"/>
      <c r="W1046" s="1478" t="str">
        <f t="shared" si="393"/>
        <v>04.14.01</v>
      </c>
      <c r="X1046" s="1478" t="str">
        <f t="shared" si="394"/>
        <v>Bangunan Air Irigasi</v>
      </c>
      <c r="Y1046" s="1478">
        <f>VLOOKUP(W1046,UE,4,FALSE)</f>
        <v>50</v>
      </c>
      <c r="Z1046" s="1401">
        <f>S1046/Y1046</f>
        <v>48329120</v>
      </c>
      <c r="AA1046" s="1444">
        <f>IF(2013-N1046+1&gt;Y1046,Y1046,IF(2013-N1046+1&lt;0,0,2013-N1046+1))</f>
        <v>0</v>
      </c>
      <c r="AB1046" s="1401"/>
      <c r="AC1046" s="1401"/>
      <c r="AD1046" s="1401"/>
      <c r="AE1046" s="1401"/>
      <c r="AF1046" s="1401"/>
      <c r="AG1046" s="1479"/>
      <c r="AH1046" s="1479">
        <f>IF(S1046=AC1046+AD1046+AE1046+AB1046+AF1046+AG1046,0,Z1046)</f>
        <v>48329120</v>
      </c>
      <c r="AI1046" s="1479">
        <f>SUM(AB1046:AH1046)</f>
        <v>48329120</v>
      </c>
      <c r="AJ1046" s="1401">
        <f>S1046-AI1046</f>
        <v>2368126880</v>
      </c>
    </row>
    <row r="1047" spans="2:38" s="1390" customFormat="1" ht="33" customHeight="1" x14ac:dyDescent="0.2">
      <c r="B1047" s="1472"/>
      <c r="C1047" s="1478"/>
      <c r="D1047" s="1426"/>
      <c r="E1047" s="1429" t="s">
        <v>5619</v>
      </c>
      <c r="F1047" s="1539"/>
      <c r="G1047" s="1501" t="s">
        <v>2552</v>
      </c>
      <c r="H1047" s="1429"/>
      <c r="I1047" s="1501" t="s">
        <v>736</v>
      </c>
      <c r="J1047" s="1540">
        <v>12</v>
      </c>
      <c r="K1047" s="1501">
        <v>7</v>
      </c>
      <c r="L1047" s="1526">
        <f t="shared" si="395"/>
        <v>84</v>
      </c>
      <c r="M1047" s="1429" t="s">
        <v>765</v>
      </c>
      <c r="N1047" s="1417">
        <v>2019</v>
      </c>
      <c r="O1047" s="1429" t="s">
        <v>5620</v>
      </c>
      <c r="P1047" s="1429" t="s">
        <v>433</v>
      </c>
      <c r="Q1047" s="1429"/>
      <c r="R1047" s="1501" t="s">
        <v>12</v>
      </c>
      <c r="S1047" s="1539">
        <v>198102000</v>
      </c>
      <c r="T1047" s="1501"/>
      <c r="U1047" s="1596"/>
      <c r="V1047" s="1553"/>
      <c r="W1047" s="1478" t="str">
        <f t="shared" si="393"/>
        <v>04.14.01</v>
      </c>
      <c r="X1047" s="1478" t="str">
        <f t="shared" si="394"/>
        <v>Bangunan Air Irigasi</v>
      </c>
      <c r="Y1047" s="1478">
        <f t="shared" si="396"/>
        <v>50</v>
      </c>
      <c r="Z1047" s="1401">
        <f t="shared" si="397"/>
        <v>3962040</v>
      </c>
      <c r="AA1047" s="1444">
        <f t="shared" si="398"/>
        <v>0</v>
      </c>
      <c r="AB1047" s="1401"/>
      <c r="AC1047" s="1401"/>
      <c r="AD1047" s="1401"/>
      <c r="AE1047" s="1401"/>
      <c r="AF1047" s="1401"/>
      <c r="AG1047" s="1479"/>
      <c r="AH1047" s="1479">
        <f t="shared" si="391"/>
        <v>3962040</v>
      </c>
      <c r="AI1047" s="1479">
        <f t="shared" si="392"/>
        <v>3962040</v>
      </c>
      <c r="AJ1047" s="1401">
        <f t="shared" si="388"/>
        <v>194139960</v>
      </c>
    </row>
    <row r="1048" spans="2:38" s="1390" customFormat="1" ht="33" customHeight="1" x14ac:dyDescent="0.2">
      <c r="B1048" s="1472"/>
      <c r="C1048" s="1478"/>
      <c r="D1048" s="1426"/>
      <c r="E1048" s="1429" t="s">
        <v>5621</v>
      </c>
      <c r="F1048" s="1539"/>
      <c r="G1048" s="1501" t="s">
        <v>2552</v>
      </c>
      <c r="H1048" s="1429"/>
      <c r="I1048" s="1501" t="s">
        <v>736</v>
      </c>
      <c r="J1048" s="1540"/>
      <c r="K1048" s="1501"/>
      <c r="L1048" s="1526">
        <f t="shared" si="395"/>
        <v>0</v>
      </c>
      <c r="M1048" s="1429" t="s">
        <v>5623</v>
      </c>
      <c r="N1048" s="1417">
        <v>2019</v>
      </c>
      <c r="O1048" s="1429" t="s">
        <v>5622</v>
      </c>
      <c r="P1048" s="1429" t="s">
        <v>433</v>
      </c>
      <c r="Q1048" s="1429"/>
      <c r="R1048" s="1501" t="s">
        <v>12</v>
      </c>
      <c r="S1048" s="1539">
        <v>198074000</v>
      </c>
      <c r="T1048" s="1501"/>
      <c r="U1048" s="1596"/>
      <c r="V1048" s="1553"/>
      <c r="W1048" s="1478" t="str">
        <f t="shared" si="393"/>
        <v>04.14.01</v>
      </c>
      <c r="X1048" s="1478" t="str">
        <f t="shared" si="394"/>
        <v>Bangunan Air Irigasi</v>
      </c>
      <c r="Y1048" s="1478">
        <f t="shared" si="396"/>
        <v>50</v>
      </c>
      <c r="Z1048" s="1401">
        <f t="shared" si="397"/>
        <v>3961480</v>
      </c>
      <c r="AA1048" s="1444">
        <f t="shared" si="398"/>
        <v>0</v>
      </c>
      <c r="AB1048" s="1401"/>
      <c r="AC1048" s="1401"/>
      <c r="AD1048" s="1401"/>
      <c r="AE1048" s="1401"/>
      <c r="AF1048" s="1401"/>
      <c r="AG1048" s="1479"/>
      <c r="AH1048" s="1479">
        <f t="shared" si="391"/>
        <v>3961480</v>
      </c>
      <c r="AI1048" s="1479">
        <f t="shared" si="392"/>
        <v>3961480</v>
      </c>
      <c r="AJ1048" s="1401">
        <f t="shared" si="388"/>
        <v>194112520</v>
      </c>
    </row>
    <row r="1049" spans="2:38" s="1390" customFormat="1" ht="33" customHeight="1" x14ac:dyDescent="0.2">
      <c r="B1049" s="1472"/>
      <c r="C1049" s="1478"/>
      <c r="D1049" s="1426"/>
      <c r="E1049" s="1429" t="s">
        <v>5624</v>
      </c>
      <c r="F1049" s="1539"/>
      <c r="G1049" s="1501" t="s">
        <v>2552</v>
      </c>
      <c r="H1049" s="1429"/>
      <c r="I1049" s="1501" t="s">
        <v>736</v>
      </c>
      <c r="J1049" s="1540">
        <v>1440</v>
      </c>
      <c r="K1049" s="1501">
        <v>1</v>
      </c>
      <c r="L1049" s="1526">
        <f t="shared" si="395"/>
        <v>1440</v>
      </c>
      <c r="M1049" s="1429" t="s">
        <v>3455</v>
      </c>
      <c r="N1049" s="1417">
        <v>2019</v>
      </c>
      <c r="O1049" s="1429" t="s">
        <v>5625</v>
      </c>
      <c r="P1049" s="1429" t="s">
        <v>433</v>
      </c>
      <c r="Q1049" s="1429"/>
      <c r="R1049" s="1501" t="s">
        <v>12</v>
      </c>
      <c r="S1049" s="1539">
        <f>3409876000+154227500</f>
        <v>3564103500</v>
      </c>
      <c r="T1049" s="1501"/>
      <c r="U1049" s="1596"/>
      <c r="V1049" s="1553"/>
      <c r="W1049" s="1478" t="str">
        <f t="shared" si="393"/>
        <v>04.14.01</v>
      </c>
      <c r="X1049" s="1478" t="str">
        <f t="shared" si="394"/>
        <v>Bangunan Air Irigasi</v>
      </c>
      <c r="Y1049" s="1478">
        <f t="shared" si="396"/>
        <v>50</v>
      </c>
      <c r="Z1049" s="1401">
        <f t="shared" si="397"/>
        <v>71282070</v>
      </c>
      <c r="AA1049" s="1444">
        <f t="shared" si="398"/>
        <v>0</v>
      </c>
      <c r="AB1049" s="1401"/>
      <c r="AC1049" s="1401"/>
      <c r="AD1049" s="1401"/>
      <c r="AE1049" s="1401"/>
      <c r="AF1049" s="1401"/>
      <c r="AG1049" s="1479"/>
      <c r="AH1049" s="1479">
        <f t="shared" si="391"/>
        <v>71282070</v>
      </c>
      <c r="AI1049" s="1479">
        <f t="shared" si="392"/>
        <v>71282070</v>
      </c>
      <c r="AJ1049" s="1401">
        <f t="shared" si="388"/>
        <v>3492821430</v>
      </c>
    </row>
    <row r="1050" spans="2:38" s="1390" customFormat="1" ht="33" customHeight="1" x14ac:dyDescent="0.2">
      <c r="B1050" s="1472"/>
      <c r="C1050" s="1478"/>
      <c r="D1050" s="1426"/>
      <c r="E1050" s="1429" t="s">
        <v>5628</v>
      </c>
      <c r="F1050" s="1539"/>
      <c r="G1050" s="1501" t="s">
        <v>5629</v>
      </c>
      <c r="H1050" s="1429"/>
      <c r="I1050" s="1501" t="s">
        <v>736</v>
      </c>
      <c r="J1050" s="1540"/>
      <c r="K1050" s="1501"/>
      <c r="L1050" s="1526">
        <f t="shared" si="395"/>
        <v>0</v>
      </c>
      <c r="M1050" s="1429" t="s">
        <v>5627</v>
      </c>
      <c r="N1050" s="1417">
        <v>2019</v>
      </c>
      <c r="O1050" s="1429" t="s">
        <v>5626</v>
      </c>
      <c r="P1050" s="1429" t="s">
        <v>433</v>
      </c>
      <c r="Q1050" s="1429"/>
      <c r="R1050" s="1501" t="s">
        <v>12</v>
      </c>
      <c r="S1050" s="1539">
        <v>196970500</v>
      </c>
      <c r="T1050" s="1501"/>
      <c r="U1050" s="1596"/>
      <c r="V1050" s="1553"/>
      <c r="W1050" s="1478" t="str">
        <f t="shared" si="393"/>
        <v>04.14.01</v>
      </c>
      <c r="X1050" s="1478" t="str">
        <f t="shared" si="394"/>
        <v>Bangunan Air Irigasi</v>
      </c>
      <c r="Y1050" s="1478">
        <f t="shared" si="396"/>
        <v>50</v>
      </c>
      <c r="Z1050" s="1401">
        <f t="shared" si="397"/>
        <v>3939410</v>
      </c>
      <c r="AA1050" s="1444">
        <f t="shared" si="398"/>
        <v>0</v>
      </c>
      <c r="AB1050" s="1401"/>
      <c r="AC1050" s="1401"/>
      <c r="AD1050" s="1401"/>
      <c r="AE1050" s="1401"/>
      <c r="AF1050" s="1401"/>
      <c r="AG1050" s="1479"/>
      <c r="AH1050" s="1479">
        <f t="shared" si="391"/>
        <v>3939410</v>
      </c>
      <c r="AI1050" s="1479">
        <f t="shared" si="392"/>
        <v>3939410</v>
      </c>
      <c r="AJ1050" s="1401">
        <f t="shared" si="388"/>
        <v>193031090</v>
      </c>
    </row>
    <row r="1051" spans="2:38" s="1390" customFormat="1" ht="33" customHeight="1" x14ac:dyDescent="0.2">
      <c r="B1051" s="1472"/>
      <c r="C1051" s="1478"/>
      <c r="D1051" s="1426"/>
      <c r="E1051" s="1429" t="s">
        <v>5633</v>
      </c>
      <c r="F1051" s="1539"/>
      <c r="G1051" s="1501" t="s">
        <v>2550</v>
      </c>
      <c r="H1051" s="1429"/>
      <c r="I1051" s="1501" t="s">
        <v>736</v>
      </c>
      <c r="J1051" s="1540">
        <v>60</v>
      </c>
      <c r="K1051" s="1501"/>
      <c r="L1051" s="1526">
        <f t="shared" si="395"/>
        <v>0</v>
      </c>
      <c r="M1051" s="1429" t="s">
        <v>5631</v>
      </c>
      <c r="N1051" s="1417">
        <v>2019</v>
      </c>
      <c r="O1051" s="1429" t="s">
        <v>5632</v>
      </c>
      <c r="P1051" s="1429" t="s">
        <v>433</v>
      </c>
      <c r="Q1051" s="1429"/>
      <c r="R1051" s="1501" t="s">
        <v>12</v>
      </c>
      <c r="S1051" s="1539">
        <v>402772000</v>
      </c>
      <c r="T1051" s="1501"/>
      <c r="U1051" s="1596"/>
      <c r="V1051" s="1553"/>
      <c r="W1051" s="1478" t="str">
        <f t="shared" si="393"/>
        <v>04.14.04</v>
      </c>
      <c r="X1051" s="1478" t="str">
        <f t="shared" si="394"/>
        <v>Bangunan Pengaman Sungai dan Penanggulangan Bencana Alam</v>
      </c>
      <c r="Y1051" s="1478">
        <f t="shared" si="396"/>
        <v>10</v>
      </c>
      <c r="Z1051" s="1401">
        <f t="shared" si="397"/>
        <v>40277200</v>
      </c>
      <c r="AA1051" s="1444">
        <f t="shared" si="398"/>
        <v>0</v>
      </c>
      <c r="AB1051" s="1401"/>
      <c r="AC1051" s="1401"/>
      <c r="AD1051" s="1401"/>
      <c r="AE1051" s="1401"/>
      <c r="AF1051" s="1401"/>
      <c r="AG1051" s="1479"/>
      <c r="AH1051" s="1479">
        <f t="shared" si="391"/>
        <v>40277200</v>
      </c>
      <c r="AI1051" s="1479">
        <f t="shared" si="392"/>
        <v>40277200</v>
      </c>
      <c r="AJ1051" s="1401">
        <f t="shared" si="388"/>
        <v>362494800</v>
      </c>
    </row>
    <row r="1052" spans="2:38" s="1390" customFormat="1" ht="33" customHeight="1" x14ac:dyDescent="0.2">
      <c r="B1052" s="1472"/>
      <c r="C1052" s="1478"/>
      <c r="D1052" s="1426"/>
      <c r="E1052" s="1429" t="s">
        <v>5630</v>
      </c>
      <c r="F1052" s="1539"/>
      <c r="G1052" s="1501" t="s">
        <v>2550</v>
      </c>
      <c r="H1052" s="1429"/>
      <c r="I1052" s="1501" t="s">
        <v>736</v>
      </c>
      <c r="J1052" s="1540">
        <v>44</v>
      </c>
      <c r="K1052" s="1501">
        <v>2.5</v>
      </c>
      <c r="L1052" s="1526">
        <f t="shared" si="395"/>
        <v>110</v>
      </c>
      <c r="M1052" s="1429" t="s">
        <v>5634</v>
      </c>
      <c r="N1052" s="1417">
        <v>2019</v>
      </c>
      <c r="O1052" s="1429" t="s">
        <v>5635</v>
      </c>
      <c r="P1052" s="1429" t="s">
        <v>433</v>
      </c>
      <c r="Q1052" s="1429"/>
      <c r="R1052" s="1501" t="s">
        <v>12</v>
      </c>
      <c r="S1052" s="1539">
        <v>197959000</v>
      </c>
      <c r="T1052" s="1501"/>
      <c r="U1052" s="1596"/>
      <c r="V1052" s="1553"/>
      <c r="W1052" s="1478" t="str">
        <f t="shared" si="393"/>
        <v>04.14.04</v>
      </c>
      <c r="X1052" s="1478" t="str">
        <f t="shared" si="394"/>
        <v>Bangunan Pengaman Sungai dan Penanggulangan Bencana Alam</v>
      </c>
      <c r="Y1052" s="1478">
        <f t="shared" si="396"/>
        <v>10</v>
      </c>
      <c r="Z1052" s="1401">
        <f t="shared" si="397"/>
        <v>19795900</v>
      </c>
      <c r="AA1052" s="1444">
        <f t="shared" si="398"/>
        <v>0</v>
      </c>
      <c r="AB1052" s="1401"/>
      <c r="AC1052" s="1401"/>
      <c r="AD1052" s="1401"/>
      <c r="AE1052" s="1401"/>
      <c r="AF1052" s="1401"/>
      <c r="AG1052" s="1479"/>
      <c r="AH1052" s="1479">
        <f t="shared" si="391"/>
        <v>19795900</v>
      </c>
      <c r="AI1052" s="1479">
        <f t="shared" si="392"/>
        <v>19795900</v>
      </c>
      <c r="AJ1052" s="1401">
        <f t="shared" si="388"/>
        <v>178163100</v>
      </c>
    </row>
    <row r="1053" spans="2:38" s="1390" customFormat="1" ht="33" customHeight="1" x14ac:dyDescent="0.2">
      <c r="B1053" s="1472"/>
      <c r="C1053" s="1478"/>
      <c r="D1053" s="1426"/>
      <c r="E1053" s="1429" t="s">
        <v>5636</v>
      </c>
      <c r="F1053" s="1539"/>
      <c r="G1053" s="1501" t="s">
        <v>5629</v>
      </c>
      <c r="H1053" s="1429"/>
      <c r="I1053" s="1501" t="s">
        <v>736</v>
      </c>
      <c r="J1053" s="1540">
        <v>50</v>
      </c>
      <c r="K1053" s="1501"/>
      <c r="L1053" s="1526"/>
      <c r="M1053" s="1429" t="s">
        <v>5638</v>
      </c>
      <c r="N1053" s="1417">
        <v>2019</v>
      </c>
      <c r="O1053" s="1429" t="s">
        <v>5637</v>
      </c>
      <c r="P1053" s="1429" t="s">
        <v>433</v>
      </c>
      <c r="Q1053" s="1429"/>
      <c r="R1053" s="1501" t="s">
        <v>12</v>
      </c>
      <c r="S1053" s="1539">
        <v>860209000</v>
      </c>
      <c r="T1053" s="1501"/>
      <c r="U1053" s="1596"/>
      <c r="V1053" s="1553"/>
      <c r="W1053" s="1478" t="str">
        <f t="shared" si="393"/>
        <v>04.14.01</v>
      </c>
      <c r="X1053" s="1478" t="str">
        <f t="shared" si="394"/>
        <v>Bangunan Air Irigasi</v>
      </c>
      <c r="Y1053" s="1478">
        <f t="shared" si="396"/>
        <v>50</v>
      </c>
      <c r="Z1053" s="1401">
        <f t="shared" si="397"/>
        <v>17204180</v>
      </c>
      <c r="AA1053" s="1444">
        <f t="shared" si="398"/>
        <v>0</v>
      </c>
      <c r="AB1053" s="1401"/>
      <c r="AC1053" s="1401"/>
      <c r="AD1053" s="1401"/>
      <c r="AE1053" s="1401"/>
      <c r="AF1053" s="1401"/>
      <c r="AG1053" s="1479"/>
      <c r="AH1053" s="1479">
        <f t="shared" si="391"/>
        <v>17204180</v>
      </c>
      <c r="AI1053" s="1479">
        <f t="shared" si="392"/>
        <v>17204180</v>
      </c>
      <c r="AJ1053" s="1401">
        <f t="shared" si="388"/>
        <v>843004820</v>
      </c>
    </row>
    <row r="1054" spans="2:38" s="1390" customFormat="1" ht="33" customHeight="1" x14ac:dyDescent="0.2">
      <c r="B1054" s="1472"/>
      <c r="C1054" s="1478"/>
      <c r="D1054" s="1426"/>
      <c r="E1054" s="1429" t="s">
        <v>5639</v>
      </c>
      <c r="F1054" s="1539"/>
      <c r="G1054" s="1501" t="s">
        <v>5629</v>
      </c>
      <c r="H1054" s="1429"/>
      <c r="I1054" s="1501" t="s">
        <v>736</v>
      </c>
      <c r="J1054" s="1540"/>
      <c r="K1054" s="1501"/>
      <c r="L1054" s="1526"/>
      <c r="M1054" s="1429" t="s">
        <v>5640</v>
      </c>
      <c r="N1054" s="1501">
        <v>2019</v>
      </c>
      <c r="O1054" s="1429" t="s">
        <v>5641</v>
      </c>
      <c r="P1054" s="1429" t="s">
        <v>433</v>
      </c>
      <c r="Q1054" s="1429"/>
      <c r="R1054" s="1501" t="s">
        <v>12</v>
      </c>
      <c r="S1054" s="1539">
        <v>1045200000</v>
      </c>
      <c r="T1054" s="1501"/>
      <c r="U1054" s="1596"/>
      <c r="V1054" s="1553"/>
      <c r="W1054" s="1478" t="str">
        <f t="shared" si="393"/>
        <v>04.14.01</v>
      </c>
      <c r="X1054" s="1478" t="str">
        <f t="shared" si="394"/>
        <v>Bangunan Air Irigasi</v>
      </c>
      <c r="Y1054" s="1478">
        <f t="shared" si="396"/>
        <v>50</v>
      </c>
      <c r="Z1054" s="1401">
        <f t="shared" si="397"/>
        <v>20904000</v>
      </c>
      <c r="AA1054" s="1444">
        <f t="shared" si="398"/>
        <v>0</v>
      </c>
      <c r="AB1054" s="1401"/>
      <c r="AC1054" s="1401"/>
      <c r="AD1054" s="1401"/>
      <c r="AE1054" s="1401"/>
      <c r="AF1054" s="1401"/>
      <c r="AG1054" s="1479"/>
      <c r="AH1054" s="1479">
        <f t="shared" si="391"/>
        <v>20904000</v>
      </c>
      <c r="AI1054" s="1479">
        <f t="shared" si="392"/>
        <v>20904000</v>
      </c>
      <c r="AJ1054" s="1401">
        <f t="shared" si="388"/>
        <v>1024296000</v>
      </c>
    </row>
    <row r="1055" spans="2:38" s="1390" customFormat="1" ht="33" customHeight="1" x14ac:dyDescent="0.2">
      <c r="B1055" s="1472"/>
      <c r="D1055" s="1426"/>
      <c r="E1055" s="1429" t="s">
        <v>52</v>
      </c>
      <c r="F1055" s="1539"/>
      <c r="G1055" s="1501"/>
      <c r="H1055" s="1429"/>
      <c r="I1055" s="1501"/>
      <c r="J1055" s="1526"/>
      <c r="K1055" s="1501"/>
      <c r="L1055" s="1526"/>
      <c r="M1055" s="1429"/>
      <c r="N1055" s="1501"/>
      <c r="O1055" s="1429"/>
      <c r="P1055" s="1429"/>
      <c r="Q1055" s="1429"/>
      <c r="R1055" s="1501"/>
      <c r="S1055" s="1539"/>
      <c r="T1055" s="1501"/>
      <c r="U1055" s="1596"/>
      <c r="V1055" s="1553"/>
      <c r="W1055" s="1478" t="str">
        <f t="shared" ref="W1055:W1090" si="399">LEFT(G1055,8)</f>
        <v/>
      </c>
      <c r="X1055" s="1478"/>
      <c r="Y1055" s="1478"/>
      <c r="Z1055" s="1401"/>
      <c r="AA1055" s="1444"/>
      <c r="AB1055" s="1401"/>
      <c r="AC1055" s="1401"/>
      <c r="AD1055" s="1401"/>
      <c r="AE1055" s="1401"/>
      <c r="AF1055" s="1401"/>
      <c r="AG1055" s="1401"/>
      <c r="AH1055" s="1401"/>
      <c r="AI1055" s="1479">
        <f>SUM(AB1055:AG1055)</f>
        <v>0</v>
      </c>
      <c r="AJ1055" s="1401"/>
    </row>
    <row r="1056" spans="2:38" s="1390" customFormat="1" ht="33" customHeight="1" x14ac:dyDescent="0.2">
      <c r="B1056" s="1472"/>
      <c r="D1056" s="1593" t="s">
        <v>859</v>
      </c>
      <c r="E1056" s="1599" t="s">
        <v>1604</v>
      </c>
      <c r="F1056" s="1600"/>
      <c r="G1056" s="1563"/>
      <c r="H1056" s="1410"/>
      <c r="I1056" s="1501"/>
      <c r="J1056" s="1540"/>
      <c r="K1056" s="1501"/>
      <c r="L1056" s="1526"/>
      <c r="M1056" s="1410"/>
      <c r="N1056" s="1563"/>
      <c r="O1056" s="1410"/>
      <c r="P1056" s="1410"/>
      <c r="Q1056" s="1410"/>
      <c r="R1056" s="1563"/>
      <c r="S1056" s="1564">
        <f>SUM(S1057:S1063)</f>
        <v>889466700.18037653</v>
      </c>
      <c r="T1056" s="1563"/>
      <c r="U1056" s="1601"/>
      <c r="V1056" s="1493"/>
      <c r="W1056" s="1478" t="str">
        <f t="shared" si="399"/>
        <v/>
      </c>
      <c r="X1056" s="1478"/>
      <c r="Y1056" s="1478"/>
      <c r="Z1056" s="1401"/>
      <c r="AA1056" s="1444"/>
      <c r="AB1056" s="1564">
        <f t="shared" ref="AB1056:AJ1056" si="400">SUM(AB1057:AB1063)</f>
        <v>22970042.504509412</v>
      </c>
      <c r="AC1056" s="1564">
        <f t="shared" si="400"/>
        <v>12364467.504509414</v>
      </c>
      <c r="AD1056" s="1564">
        <f t="shared" si="400"/>
        <v>22236667.504509412</v>
      </c>
      <c r="AE1056" s="1564">
        <f t="shared" si="400"/>
        <v>22236667.504509412</v>
      </c>
      <c r="AF1056" s="1564">
        <f t="shared" si="400"/>
        <v>22236667.504509412</v>
      </c>
      <c r="AG1056" s="1564">
        <f t="shared" si="400"/>
        <v>22236667.504509412</v>
      </c>
      <c r="AH1056" s="1564">
        <f t="shared" si="400"/>
        <v>22236667.504509412</v>
      </c>
      <c r="AI1056" s="1564">
        <f t="shared" si="400"/>
        <v>146517847.5315659</v>
      </c>
      <c r="AJ1056" s="1564">
        <f t="shared" si="400"/>
        <v>742948852.64881063</v>
      </c>
      <c r="AK1056" s="1446"/>
      <c r="AL1056" s="1397">
        <f>SUM(AB1056:AE1056)</f>
        <v>79807845.018037647</v>
      </c>
    </row>
    <row r="1057" spans="2:38" s="1390" customFormat="1" ht="33" customHeight="1" x14ac:dyDescent="0.2">
      <c r="B1057" s="1472"/>
      <c r="C1057" s="1478" t="s">
        <v>2308</v>
      </c>
      <c r="D1057" s="1593"/>
      <c r="E1057" s="1455" t="s">
        <v>3512</v>
      </c>
      <c r="F1057" s="1562"/>
      <c r="G1057" s="1501" t="s">
        <v>4198</v>
      </c>
      <c r="H1057" s="1410"/>
      <c r="I1057" s="1501"/>
      <c r="J1057" s="1540"/>
      <c r="K1057" s="1501"/>
      <c r="L1057" s="1526"/>
      <c r="M1057" s="1410"/>
      <c r="N1057" s="1563">
        <v>2011</v>
      </c>
      <c r="O1057" s="1410"/>
      <c r="P1057" s="1410"/>
      <c r="Q1057" s="1410"/>
      <c r="R1057" s="1563" t="s">
        <v>12</v>
      </c>
      <c r="S1057" s="1539">
        <v>14872500</v>
      </c>
      <c r="T1057" s="1563"/>
      <c r="U1057" s="1601"/>
      <c r="V1057" s="1493"/>
      <c r="W1057" s="1478" t="str">
        <f t="shared" si="399"/>
        <v>04.15.06</v>
      </c>
      <c r="X1057" s="1478" t="str">
        <f t="shared" ref="X1057:X1063" si="401">VLOOKUP(W1057,UE,3,FALSE)</f>
        <v>Instalasi Gardu Listrik</v>
      </c>
      <c r="Y1057" s="1478">
        <f t="shared" ref="Y1057:Y1063" si="402">VLOOKUP(W1057,UE,4,FALSE)</f>
        <v>40</v>
      </c>
      <c r="Z1057" s="1401">
        <f t="shared" ref="Z1057:Z1063" si="403">S1057/Y1057</f>
        <v>371812.5</v>
      </c>
      <c r="AA1057" s="1444">
        <f t="shared" ref="AA1057:AA1063" si="404">IF(2013-N1057+1&gt;Y1057,Y1057,IF(2013-N1057+1&lt;0,0,2013-N1057+1))</f>
        <v>3</v>
      </c>
      <c r="AB1057" s="1401">
        <f t="shared" ref="AB1057:AB1063" si="405">IF(AA1057&gt;Y1057,S1057,Z1057*AA1057)</f>
        <v>1115437.5</v>
      </c>
      <c r="AC1057" s="1401">
        <f t="shared" ref="AC1057:AC1062" si="406">IF(S1057=AB1057,0,Z1057)</f>
        <v>371812.5</v>
      </c>
      <c r="AD1057" s="1401">
        <f t="shared" ref="AD1057:AD1063" si="407">IF(S1057=AB1057+AC1057,0,Z1057)</f>
        <v>371812.5</v>
      </c>
      <c r="AE1057" s="1401">
        <f t="shared" ref="AE1057:AE1063" si="408">IF(S1057=AB1057+AC1057+AD1057,0,Z1057)</f>
        <v>371812.5</v>
      </c>
      <c r="AF1057" s="1401">
        <f t="shared" ref="AF1057:AF1063" si="409">IF(S1057=AC1057+AD1057+AE1057+AB1057,0,Z1057)</f>
        <v>371812.5</v>
      </c>
      <c r="AG1057" s="1479">
        <f t="shared" ref="AG1057:AG1063" si="410">IF(S1057=AC1057+AD1057+AE1057+AB1057+AF1057,0,Z1057)</f>
        <v>371812.5</v>
      </c>
      <c r="AH1057" s="1479">
        <f t="shared" ref="AH1057:AH1063" si="411">IF(S1057=AC1057+AD1057+AE1057+AB1057+AF1057+AG1057,0,Z1057)</f>
        <v>371812.5</v>
      </c>
      <c r="AI1057" s="1479">
        <f t="shared" ref="AI1057:AI1063" si="412">SUM(AB1057:AH1057)</f>
        <v>3346312.5</v>
      </c>
      <c r="AJ1057" s="1401">
        <f t="shared" ref="AJ1057:AJ1063" si="413">S1057-AI1057</f>
        <v>11526187.5</v>
      </c>
    </row>
    <row r="1058" spans="2:38" s="1390" customFormat="1" ht="33" customHeight="1" x14ac:dyDescent="0.2">
      <c r="B1058" s="1472"/>
      <c r="C1058" s="1478" t="s">
        <v>2308</v>
      </c>
      <c r="D1058" s="1593"/>
      <c r="E1058" s="1455" t="s">
        <v>3512</v>
      </c>
      <c r="F1058" s="1562"/>
      <c r="G1058" s="1501" t="s">
        <v>4198</v>
      </c>
      <c r="H1058" s="1410"/>
      <c r="I1058" s="1501"/>
      <c r="J1058" s="1540"/>
      <c r="K1058" s="1501"/>
      <c r="L1058" s="1526"/>
      <c r="M1058" s="1410"/>
      <c r="N1058" s="1563">
        <v>2012</v>
      </c>
      <c r="O1058" s="1410"/>
      <c r="P1058" s="1410"/>
      <c r="Q1058" s="1410"/>
      <c r="R1058" s="1563" t="s">
        <v>12</v>
      </c>
      <c r="S1058" s="1539">
        <v>97700000</v>
      </c>
      <c r="T1058" s="1563"/>
      <c r="U1058" s="1601"/>
      <c r="V1058" s="1493"/>
      <c r="W1058" s="1478" t="str">
        <f t="shared" si="399"/>
        <v>04.15.06</v>
      </c>
      <c r="X1058" s="1478" t="str">
        <f t="shared" si="401"/>
        <v>Instalasi Gardu Listrik</v>
      </c>
      <c r="Y1058" s="1478">
        <f t="shared" si="402"/>
        <v>40</v>
      </c>
      <c r="Z1058" s="1401">
        <f t="shared" si="403"/>
        <v>2442500</v>
      </c>
      <c r="AA1058" s="1444">
        <f t="shared" si="404"/>
        <v>2</v>
      </c>
      <c r="AB1058" s="1401">
        <f t="shared" si="405"/>
        <v>4885000</v>
      </c>
      <c r="AC1058" s="1401">
        <f t="shared" si="406"/>
        <v>2442500</v>
      </c>
      <c r="AD1058" s="1401">
        <f t="shared" si="407"/>
        <v>2442500</v>
      </c>
      <c r="AE1058" s="1401">
        <f t="shared" si="408"/>
        <v>2442500</v>
      </c>
      <c r="AF1058" s="1401">
        <f t="shared" si="409"/>
        <v>2442500</v>
      </c>
      <c r="AG1058" s="1479">
        <f t="shared" si="410"/>
        <v>2442500</v>
      </c>
      <c r="AH1058" s="1479">
        <f t="shared" si="411"/>
        <v>2442500</v>
      </c>
      <c r="AI1058" s="1479">
        <f t="shared" si="412"/>
        <v>19540000</v>
      </c>
      <c r="AJ1058" s="1401">
        <f t="shared" si="413"/>
        <v>78160000</v>
      </c>
    </row>
    <row r="1059" spans="2:38" s="1390" customFormat="1" ht="33" customHeight="1" x14ac:dyDescent="0.2">
      <c r="B1059" s="1472"/>
      <c r="C1059" s="1478" t="s">
        <v>2308</v>
      </c>
      <c r="D1059" s="1593"/>
      <c r="E1059" s="1455" t="s">
        <v>3512</v>
      </c>
      <c r="F1059" s="1562"/>
      <c r="G1059" s="1501" t="s">
        <v>4198</v>
      </c>
      <c r="H1059" s="1410"/>
      <c r="I1059" s="1501"/>
      <c r="J1059" s="1540"/>
      <c r="K1059" s="1501"/>
      <c r="L1059" s="1526"/>
      <c r="M1059" s="1410"/>
      <c r="N1059" s="1563">
        <v>2012</v>
      </c>
      <c r="O1059" s="1410"/>
      <c r="P1059" s="1410"/>
      <c r="Q1059" s="1410"/>
      <c r="R1059" s="1563" t="s">
        <v>12</v>
      </c>
      <c r="S1059" s="1539">
        <v>98837000</v>
      </c>
      <c r="T1059" s="1563"/>
      <c r="U1059" s="1601"/>
      <c r="V1059" s="1493"/>
      <c r="W1059" s="1478" t="str">
        <f t="shared" si="399"/>
        <v>04.15.06</v>
      </c>
      <c r="X1059" s="1478" t="str">
        <f t="shared" si="401"/>
        <v>Instalasi Gardu Listrik</v>
      </c>
      <c r="Y1059" s="1478">
        <f t="shared" si="402"/>
        <v>40</v>
      </c>
      <c r="Z1059" s="1401">
        <f t="shared" si="403"/>
        <v>2470925</v>
      </c>
      <c r="AA1059" s="1444">
        <f t="shared" si="404"/>
        <v>2</v>
      </c>
      <c r="AB1059" s="1401">
        <f t="shared" si="405"/>
        <v>4941850</v>
      </c>
      <c r="AC1059" s="1401">
        <f t="shared" si="406"/>
        <v>2470925</v>
      </c>
      <c r="AD1059" s="1401">
        <f t="shared" si="407"/>
        <v>2470925</v>
      </c>
      <c r="AE1059" s="1401">
        <f t="shared" si="408"/>
        <v>2470925</v>
      </c>
      <c r="AF1059" s="1401">
        <f t="shared" si="409"/>
        <v>2470925</v>
      </c>
      <c r="AG1059" s="1479">
        <f t="shared" si="410"/>
        <v>2470925</v>
      </c>
      <c r="AH1059" s="1479">
        <f t="shared" si="411"/>
        <v>2470925</v>
      </c>
      <c r="AI1059" s="1479">
        <f t="shared" si="412"/>
        <v>19767400</v>
      </c>
      <c r="AJ1059" s="1401">
        <f t="shared" si="413"/>
        <v>79069600</v>
      </c>
    </row>
    <row r="1060" spans="2:38" s="1390" customFormat="1" ht="33" customHeight="1" x14ac:dyDescent="0.2">
      <c r="B1060" s="1472"/>
      <c r="C1060" s="1478" t="s">
        <v>2308</v>
      </c>
      <c r="D1060" s="1593"/>
      <c r="E1060" s="1455" t="s">
        <v>3512</v>
      </c>
      <c r="F1060" s="1562"/>
      <c r="G1060" s="1501" t="s">
        <v>4198</v>
      </c>
      <c r="H1060" s="1410"/>
      <c r="I1060" s="1501"/>
      <c r="J1060" s="1540"/>
      <c r="K1060" s="1501"/>
      <c r="L1060" s="1526"/>
      <c r="M1060" s="1410"/>
      <c r="N1060" s="1563">
        <v>2012</v>
      </c>
      <c r="O1060" s="1410"/>
      <c r="P1060" s="1410"/>
      <c r="Q1060" s="1410"/>
      <c r="R1060" s="1563" t="s">
        <v>12</v>
      </c>
      <c r="S1060" s="1539">
        <v>98808000</v>
      </c>
      <c r="T1060" s="1563"/>
      <c r="U1060" s="1601"/>
      <c r="V1060" s="1493"/>
      <c r="W1060" s="1478" t="str">
        <f t="shared" si="399"/>
        <v>04.15.06</v>
      </c>
      <c r="X1060" s="1478" t="str">
        <f t="shared" si="401"/>
        <v>Instalasi Gardu Listrik</v>
      </c>
      <c r="Y1060" s="1478">
        <f t="shared" si="402"/>
        <v>40</v>
      </c>
      <c r="Z1060" s="1401">
        <f t="shared" si="403"/>
        <v>2470200</v>
      </c>
      <c r="AA1060" s="1444">
        <f t="shared" si="404"/>
        <v>2</v>
      </c>
      <c r="AB1060" s="1401">
        <f t="shared" si="405"/>
        <v>4940400</v>
      </c>
      <c r="AC1060" s="1401">
        <f t="shared" si="406"/>
        <v>2470200</v>
      </c>
      <c r="AD1060" s="1401">
        <f t="shared" si="407"/>
        <v>2470200</v>
      </c>
      <c r="AE1060" s="1401">
        <f t="shared" si="408"/>
        <v>2470200</v>
      </c>
      <c r="AF1060" s="1401">
        <f t="shared" si="409"/>
        <v>2470200</v>
      </c>
      <c r="AG1060" s="1479">
        <f t="shared" si="410"/>
        <v>2470200</v>
      </c>
      <c r="AH1060" s="1479">
        <f t="shared" si="411"/>
        <v>2470200</v>
      </c>
      <c r="AI1060" s="1479">
        <f t="shared" si="412"/>
        <v>19761600</v>
      </c>
      <c r="AJ1060" s="1401">
        <f t="shared" si="413"/>
        <v>79046400</v>
      </c>
    </row>
    <row r="1061" spans="2:38" s="1390" customFormat="1" ht="33" customHeight="1" x14ac:dyDescent="0.2">
      <c r="B1061" s="1472"/>
      <c r="C1061" s="1478" t="s">
        <v>2308</v>
      </c>
      <c r="D1061" s="1593"/>
      <c r="E1061" s="1455" t="s">
        <v>3512</v>
      </c>
      <c r="F1061" s="1562"/>
      <c r="G1061" s="1501" t="s">
        <v>4198</v>
      </c>
      <c r="H1061" s="1410"/>
      <c r="I1061" s="1501"/>
      <c r="J1061" s="1540"/>
      <c r="K1061" s="1501"/>
      <c r="L1061" s="1526"/>
      <c r="M1061" s="1410"/>
      <c r="N1061" s="1563">
        <v>2012</v>
      </c>
      <c r="O1061" s="1410"/>
      <c r="P1061" s="1410"/>
      <c r="Q1061" s="1410"/>
      <c r="R1061" s="1563" t="s">
        <v>12</v>
      </c>
      <c r="S1061" s="1539">
        <v>99133000</v>
      </c>
      <c r="T1061" s="1563"/>
      <c r="U1061" s="1601"/>
      <c r="V1061" s="1493"/>
      <c r="W1061" s="1478" t="str">
        <f t="shared" si="399"/>
        <v>04.15.06</v>
      </c>
      <c r="X1061" s="1478" t="str">
        <f t="shared" si="401"/>
        <v>Instalasi Gardu Listrik</v>
      </c>
      <c r="Y1061" s="1478">
        <f t="shared" si="402"/>
        <v>40</v>
      </c>
      <c r="Z1061" s="1401">
        <f t="shared" si="403"/>
        <v>2478325</v>
      </c>
      <c r="AA1061" s="1444">
        <f t="shared" si="404"/>
        <v>2</v>
      </c>
      <c r="AB1061" s="1401">
        <f t="shared" si="405"/>
        <v>4956650</v>
      </c>
      <c r="AC1061" s="1401">
        <f t="shared" si="406"/>
        <v>2478325</v>
      </c>
      <c r="AD1061" s="1401">
        <f t="shared" si="407"/>
        <v>2478325</v>
      </c>
      <c r="AE1061" s="1401">
        <f t="shared" si="408"/>
        <v>2478325</v>
      </c>
      <c r="AF1061" s="1401">
        <f t="shared" si="409"/>
        <v>2478325</v>
      </c>
      <c r="AG1061" s="1479">
        <f t="shared" si="410"/>
        <v>2478325</v>
      </c>
      <c r="AH1061" s="1479">
        <f t="shared" si="411"/>
        <v>2478325</v>
      </c>
      <c r="AI1061" s="1479">
        <f t="shared" si="412"/>
        <v>19826600</v>
      </c>
      <c r="AJ1061" s="1401">
        <f t="shared" si="413"/>
        <v>79306400</v>
      </c>
    </row>
    <row r="1062" spans="2:38" s="1390" customFormat="1" ht="33" customHeight="1" x14ac:dyDescent="0.2">
      <c r="B1062" s="1472"/>
      <c r="C1062" s="1478" t="s">
        <v>2308</v>
      </c>
      <c r="D1062" s="1593"/>
      <c r="E1062" s="1455" t="s">
        <v>3512</v>
      </c>
      <c r="F1062" s="1562"/>
      <c r="G1062" s="1501" t="s">
        <v>4198</v>
      </c>
      <c r="H1062" s="1410"/>
      <c r="I1062" s="1501"/>
      <c r="J1062" s="1540"/>
      <c r="K1062" s="1501"/>
      <c r="L1062" s="1526"/>
      <c r="M1062" s="1410"/>
      <c r="N1062" s="1563">
        <v>2013</v>
      </c>
      <c r="O1062" s="1410"/>
      <c r="P1062" s="1410"/>
      <c r="Q1062" s="1410"/>
      <c r="R1062" s="1563" t="s">
        <v>12</v>
      </c>
      <c r="S1062" s="1539">
        <v>85228200.18037653</v>
      </c>
      <c r="T1062" s="1563"/>
      <c r="U1062" s="1601"/>
      <c r="V1062" s="1493"/>
      <c r="W1062" s="1478" t="str">
        <f t="shared" si="399"/>
        <v>04.15.06</v>
      </c>
      <c r="X1062" s="1478" t="str">
        <f t="shared" si="401"/>
        <v>Instalasi Gardu Listrik</v>
      </c>
      <c r="Y1062" s="1478">
        <f t="shared" si="402"/>
        <v>40</v>
      </c>
      <c r="Z1062" s="1401">
        <f t="shared" si="403"/>
        <v>2130705.0045094131</v>
      </c>
      <c r="AA1062" s="1444">
        <f t="shared" si="404"/>
        <v>1</v>
      </c>
      <c r="AB1062" s="1401">
        <f t="shared" si="405"/>
        <v>2130705.0045094131</v>
      </c>
      <c r="AC1062" s="1401">
        <f t="shared" si="406"/>
        <v>2130705.0045094131</v>
      </c>
      <c r="AD1062" s="1401">
        <f t="shared" si="407"/>
        <v>2130705.0045094131</v>
      </c>
      <c r="AE1062" s="1401">
        <f t="shared" si="408"/>
        <v>2130705.0045094131</v>
      </c>
      <c r="AF1062" s="1401">
        <f t="shared" si="409"/>
        <v>2130705.0045094131</v>
      </c>
      <c r="AG1062" s="1479">
        <f t="shared" si="410"/>
        <v>2130705.0045094131</v>
      </c>
      <c r="AH1062" s="1479">
        <f t="shared" si="411"/>
        <v>2130705.0045094131</v>
      </c>
      <c r="AI1062" s="1479">
        <f t="shared" si="412"/>
        <v>14914935.031565893</v>
      </c>
      <c r="AJ1062" s="1401">
        <f t="shared" si="413"/>
        <v>70313265.14881064</v>
      </c>
    </row>
    <row r="1063" spans="2:38" s="1390" customFormat="1" ht="33" customHeight="1" x14ac:dyDescent="0.2">
      <c r="B1063" s="1472"/>
      <c r="C1063" s="1478" t="s">
        <v>2308</v>
      </c>
      <c r="D1063" s="1593"/>
      <c r="E1063" s="1455" t="s">
        <v>3513</v>
      </c>
      <c r="F1063" s="1562"/>
      <c r="G1063" s="1501" t="s">
        <v>4198</v>
      </c>
      <c r="H1063" s="1410"/>
      <c r="I1063" s="1501"/>
      <c r="J1063" s="1540"/>
      <c r="K1063" s="1501"/>
      <c r="L1063" s="1526"/>
      <c r="M1063" s="1410"/>
      <c r="N1063" s="1563">
        <v>2015</v>
      </c>
      <c r="O1063" s="1410"/>
      <c r="P1063" s="1410"/>
      <c r="Q1063" s="1410"/>
      <c r="R1063" s="1563" t="s">
        <v>12</v>
      </c>
      <c r="S1063" s="1539">
        <v>394888000</v>
      </c>
      <c r="T1063" s="1563"/>
      <c r="U1063" s="1601"/>
      <c r="V1063" s="1493"/>
      <c r="W1063" s="1478" t="str">
        <f t="shared" si="399"/>
        <v>04.15.06</v>
      </c>
      <c r="X1063" s="1478" t="str">
        <f t="shared" si="401"/>
        <v>Instalasi Gardu Listrik</v>
      </c>
      <c r="Y1063" s="1478">
        <f t="shared" si="402"/>
        <v>40</v>
      </c>
      <c r="Z1063" s="1401">
        <f t="shared" si="403"/>
        <v>9872200</v>
      </c>
      <c r="AA1063" s="1444">
        <f t="shared" si="404"/>
        <v>0</v>
      </c>
      <c r="AB1063" s="1401">
        <f t="shared" si="405"/>
        <v>0</v>
      </c>
      <c r="AC1063" s="1401">
        <v>0</v>
      </c>
      <c r="AD1063" s="1401">
        <f t="shared" si="407"/>
        <v>9872200</v>
      </c>
      <c r="AE1063" s="1401">
        <f t="shared" si="408"/>
        <v>9872200</v>
      </c>
      <c r="AF1063" s="1401">
        <f t="shared" si="409"/>
        <v>9872200</v>
      </c>
      <c r="AG1063" s="1479">
        <f t="shared" si="410"/>
        <v>9872200</v>
      </c>
      <c r="AH1063" s="1479">
        <f t="shared" si="411"/>
        <v>9872200</v>
      </c>
      <c r="AI1063" s="1479">
        <f t="shared" si="412"/>
        <v>49361000</v>
      </c>
      <c r="AJ1063" s="1401">
        <f t="shared" si="413"/>
        <v>345527000</v>
      </c>
    </row>
    <row r="1064" spans="2:38" s="1390" customFormat="1" ht="33" customHeight="1" x14ac:dyDescent="0.2">
      <c r="B1064" s="1472"/>
      <c r="D1064" s="1426"/>
      <c r="E1064" s="1563"/>
      <c r="F1064" s="1602"/>
      <c r="G1064" s="1501"/>
      <c r="H1064" s="1429"/>
      <c r="I1064" s="1501"/>
      <c r="J1064" s="1526"/>
      <c r="K1064" s="1501"/>
      <c r="L1064" s="1526"/>
      <c r="M1064" s="1429"/>
      <c r="N1064" s="1501"/>
      <c r="O1064" s="1429"/>
      <c r="P1064" s="1429"/>
      <c r="Q1064" s="1429"/>
      <c r="R1064" s="1501"/>
      <c r="S1064" s="1539"/>
      <c r="T1064" s="1501"/>
      <c r="U1064" s="1596"/>
      <c r="V1064" s="1553"/>
      <c r="W1064" s="1478" t="str">
        <f t="shared" si="399"/>
        <v/>
      </c>
      <c r="X1064" s="1478"/>
      <c r="Y1064" s="1478"/>
      <c r="Z1064" s="1401"/>
      <c r="AA1064" s="1444"/>
      <c r="AB1064" s="1401"/>
      <c r="AC1064" s="1401"/>
      <c r="AD1064" s="1401"/>
      <c r="AE1064" s="1401"/>
      <c r="AF1064" s="1401"/>
      <c r="AG1064" s="1401"/>
      <c r="AH1064" s="1401"/>
      <c r="AI1064" s="1479"/>
      <c r="AJ1064" s="1401"/>
    </row>
    <row r="1065" spans="2:38" s="1390" customFormat="1" ht="33" customHeight="1" x14ac:dyDescent="0.2">
      <c r="B1065" s="1472"/>
      <c r="D1065" s="1593" t="s">
        <v>861</v>
      </c>
      <c r="E1065" s="1410" t="s">
        <v>1605</v>
      </c>
      <c r="F1065" s="1564"/>
      <c r="G1065" s="1563"/>
      <c r="H1065" s="1410"/>
      <c r="I1065" s="1501"/>
      <c r="J1065" s="1540"/>
      <c r="K1065" s="1501"/>
      <c r="L1065" s="1526"/>
      <c r="M1065" s="1410"/>
      <c r="N1065" s="1563"/>
      <c r="O1065" s="1410"/>
      <c r="P1065" s="1410"/>
      <c r="Q1065" s="1410"/>
      <c r="R1065" s="1563"/>
      <c r="S1065" s="1564">
        <f>SUM(S1066:S1135)</f>
        <v>29432807905.039581</v>
      </c>
      <c r="T1065" s="1563"/>
      <c r="U1065" s="1601"/>
      <c r="V1065" s="1493"/>
      <c r="W1065" s="1478" t="str">
        <f t="shared" si="399"/>
        <v/>
      </c>
      <c r="X1065" s="1478"/>
      <c r="Y1065" s="1478"/>
      <c r="Z1065" s="1401"/>
      <c r="AA1065" s="1444"/>
      <c r="AB1065" s="1564">
        <f t="shared" ref="AB1065:AJ1065" si="414">SUM(AB1066:AB1135)</f>
        <v>3730999195.3553514</v>
      </c>
      <c r="AC1065" s="1564">
        <f t="shared" si="414"/>
        <v>773575280.42963696</v>
      </c>
      <c r="AD1065" s="1564">
        <f t="shared" si="414"/>
        <v>819292213.76297033</v>
      </c>
      <c r="AE1065" s="1564">
        <f t="shared" si="414"/>
        <v>869218113.76297033</v>
      </c>
      <c r="AF1065" s="1564">
        <f t="shared" si="414"/>
        <v>883935013.76297033</v>
      </c>
      <c r="AG1065" s="1564">
        <f t="shared" si="414"/>
        <v>905922047.09630358</v>
      </c>
      <c r="AH1065" s="1564">
        <f t="shared" si="414"/>
        <v>975945613.76297021</v>
      </c>
      <c r="AI1065" s="1564">
        <f t="shared" si="414"/>
        <v>8958887477.9331741</v>
      </c>
      <c r="AJ1065" s="1564">
        <f t="shared" si="414"/>
        <v>20473920427.106415</v>
      </c>
      <c r="AK1065" s="1565"/>
      <c r="AL1065" s="1397">
        <f>SUM(AB1065:AE1065)</f>
        <v>6193084803.3109283</v>
      </c>
    </row>
    <row r="1066" spans="2:38" s="1390" customFormat="1" ht="33" customHeight="1" x14ac:dyDescent="0.2">
      <c r="B1066" s="1472"/>
      <c r="C1066" s="1478" t="s">
        <v>2307</v>
      </c>
      <c r="D1066" s="1426"/>
      <c r="E1066" s="1455" t="s">
        <v>1606</v>
      </c>
      <c r="F1066" s="1562"/>
      <c r="G1066" s="1501" t="s">
        <v>3565</v>
      </c>
      <c r="H1066" s="1429"/>
      <c r="I1066" s="1501"/>
      <c r="J1066" s="1540"/>
      <c r="K1066" s="1501"/>
      <c r="L1066" s="1526"/>
      <c r="M1066" s="1429" t="s">
        <v>3549</v>
      </c>
      <c r="N1066" s="1501">
        <v>2007</v>
      </c>
      <c r="O1066" s="1429"/>
      <c r="P1066" s="1429"/>
      <c r="Q1066" s="1429"/>
      <c r="R1066" s="1501" t="s">
        <v>12</v>
      </c>
      <c r="S1066" s="1539">
        <v>1519697850</v>
      </c>
      <c r="T1066" s="1501" t="s">
        <v>43</v>
      </c>
      <c r="U1066" s="1596"/>
      <c r="V1066" s="1553"/>
      <c r="W1066" s="1478" t="str">
        <f t="shared" si="399"/>
        <v>04.16.01</v>
      </c>
      <c r="X1066" s="1478" t="str">
        <f t="shared" ref="X1066:X1090" si="415">VLOOKUP(W1066,UE,3,FALSE)</f>
        <v>Jaringan Air Minum</v>
      </c>
      <c r="Y1066" s="1478">
        <f t="shared" ref="Y1066:Y1090" si="416">VLOOKUP(W1066,UE,4,FALSE)</f>
        <v>30</v>
      </c>
      <c r="Z1066" s="1401">
        <f t="shared" ref="Z1066:Z1090" si="417">S1066/Y1066</f>
        <v>50656595</v>
      </c>
      <c r="AA1066" s="1444">
        <f t="shared" ref="AA1066:AA1090" si="418">IF(2013-N1066+1&gt;Y1066,Y1066,IF(2013-N1066+1&lt;0,0,2013-N1066+1))</f>
        <v>7</v>
      </c>
      <c r="AB1066" s="1401">
        <f t="shared" ref="AB1066:AB1090" si="419">IF(AA1066&gt;Y1066,S1066,Z1066*AA1066)</f>
        <v>354596165</v>
      </c>
      <c r="AC1066" s="1401">
        <f t="shared" ref="AC1066:AC1090" si="420">IF(S1066=AB1066,0,Z1066)</f>
        <v>50656595</v>
      </c>
      <c r="AD1066" s="1401">
        <f t="shared" ref="AD1066:AD1090" si="421">IF(S1066=AB1066+AC1066,0,Z1066)</f>
        <v>50656595</v>
      </c>
      <c r="AE1066" s="1401">
        <f t="shared" ref="AE1066:AE1090" si="422">IF(S1066=AB1066+AC1066+AD1066,0,Z1066)</f>
        <v>50656595</v>
      </c>
      <c r="AF1066" s="1401">
        <f t="shared" ref="AF1066:AF1090" si="423">IF(S1066=AC1066+AD1066+AE1066+AB1066,0,Z1066)</f>
        <v>50656595</v>
      </c>
      <c r="AG1066" s="1479">
        <f t="shared" ref="AG1066:AG1090" si="424">IF(S1066=AC1066+AD1066+AE1066+AB1066+AF1066,0,Z1066)</f>
        <v>50656595</v>
      </c>
      <c r="AH1066" s="1479">
        <f t="shared" ref="AH1066:AH1090" si="425">IF(S1066=AC1066+AD1066+AE1066+AB1066+AF1066+AG1066,0,Z1066)</f>
        <v>50656595</v>
      </c>
      <c r="AI1066" s="1479">
        <f t="shared" ref="AI1066:AI1090" si="426">SUM(AB1066:AH1066)</f>
        <v>658535735</v>
      </c>
      <c r="AJ1066" s="1401">
        <f t="shared" ref="AJ1066:AJ1090" si="427">S1066-AI1066</f>
        <v>861162115</v>
      </c>
    </row>
    <row r="1067" spans="2:38" s="1390" customFormat="1" ht="75" customHeight="1" x14ac:dyDescent="0.2">
      <c r="B1067" s="1472"/>
      <c r="C1067" s="1478" t="s">
        <v>2307</v>
      </c>
      <c r="D1067" s="1426"/>
      <c r="E1067" s="1455" t="s">
        <v>1611</v>
      </c>
      <c r="F1067" s="1562"/>
      <c r="G1067" s="1501" t="s">
        <v>3566</v>
      </c>
      <c r="H1067" s="1429"/>
      <c r="I1067" s="1501"/>
      <c r="J1067" s="1540"/>
      <c r="K1067" s="1501"/>
      <c r="L1067" s="1526"/>
      <c r="M1067" s="1429" t="s">
        <v>3549</v>
      </c>
      <c r="N1067" s="1501">
        <v>2007</v>
      </c>
      <c r="O1067" s="1429"/>
      <c r="P1067" s="1429"/>
      <c r="Q1067" s="1429"/>
      <c r="R1067" s="1501" t="s">
        <v>12</v>
      </c>
      <c r="S1067" s="1539">
        <v>474381180</v>
      </c>
      <c r="T1067" s="1501" t="s">
        <v>43</v>
      </c>
      <c r="U1067" s="1596"/>
      <c r="V1067" s="1553"/>
      <c r="W1067" s="1478" t="str">
        <f t="shared" si="399"/>
        <v>04.16.01</v>
      </c>
      <c r="X1067" s="1478" t="str">
        <f t="shared" si="415"/>
        <v>Jaringan Air Minum</v>
      </c>
      <c r="Y1067" s="1478">
        <f t="shared" si="416"/>
        <v>30</v>
      </c>
      <c r="Z1067" s="1401">
        <f t="shared" si="417"/>
        <v>15812706</v>
      </c>
      <c r="AA1067" s="1444">
        <f t="shared" si="418"/>
        <v>7</v>
      </c>
      <c r="AB1067" s="1401">
        <f t="shared" si="419"/>
        <v>110688942</v>
      </c>
      <c r="AC1067" s="1401">
        <f t="shared" si="420"/>
        <v>15812706</v>
      </c>
      <c r="AD1067" s="1401">
        <f t="shared" si="421"/>
        <v>15812706</v>
      </c>
      <c r="AE1067" s="1401">
        <f t="shared" si="422"/>
        <v>15812706</v>
      </c>
      <c r="AF1067" s="1401">
        <f t="shared" si="423"/>
        <v>15812706</v>
      </c>
      <c r="AG1067" s="1479">
        <f t="shared" si="424"/>
        <v>15812706</v>
      </c>
      <c r="AH1067" s="1479">
        <f t="shared" si="425"/>
        <v>15812706</v>
      </c>
      <c r="AI1067" s="1479">
        <f t="shared" si="426"/>
        <v>205565178</v>
      </c>
      <c r="AJ1067" s="1401">
        <f t="shared" si="427"/>
        <v>268816002</v>
      </c>
    </row>
    <row r="1068" spans="2:38" s="1390" customFormat="1" ht="51" customHeight="1" x14ac:dyDescent="0.2">
      <c r="B1068" s="1472"/>
      <c r="C1068" s="1478" t="s">
        <v>2307</v>
      </c>
      <c r="D1068" s="1426"/>
      <c r="E1068" s="1455" t="s">
        <v>1613</v>
      </c>
      <c r="F1068" s="1562"/>
      <c r="G1068" s="1501" t="s">
        <v>3565</v>
      </c>
      <c r="H1068" s="1429"/>
      <c r="I1068" s="1501"/>
      <c r="J1068" s="1540"/>
      <c r="K1068" s="1501"/>
      <c r="L1068" s="1526"/>
      <c r="M1068" s="1429" t="s">
        <v>3549</v>
      </c>
      <c r="N1068" s="1501">
        <v>2007</v>
      </c>
      <c r="O1068" s="1429"/>
      <c r="P1068" s="1429"/>
      <c r="Q1068" s="1429"/>
      <c r="R1068" s="1501" t="s">
        <v>12</v>
      </c>
      <c r="S1068" s="1539">
        <v>44799000</v>
      </c>
      <c r="T1068" s="1501" t="s">
        <v>43</v>
      </c>
      <c r="U1068" s="1596"/>
      <c r="V1068" s="1553"/>
      <c r="W1068" s="1478" t="str">
        <f t="shared" si="399"/>
        <v>04.16.01</v>
      </c>
      <c r="X1068" s="1478" t="str">
        <f t="shared" si="415"/>
        <v>Jaringan Air Minum</v>
      </c>
      <c r="Y1068" s="1478">
        <f t="shared" si="416"/>
        <v>30</v>
      </c>
      <c r="Z1068" s="1401">
        <f t="shared" si="417"/>
        <v>1493300</v>
      </c>
      <c r="AA1068" s="1444">
        <f t="shared" si="418"/>
        <v>7</v>
      </c>
      <c r="AB1068" s="1401">
        <f t="shared" si="419"/>
        <v>10453100</v>
      </c>
      <c r="AC1068" s="1401">
        <f t="shared" si="420"/>
        <v>1493300</v>
      </c>
      <c r="AD1068" s="1401">
        <f t="shared" si="421"/>
        <v>1493300</v>
      </c>
      <c r="AE1068" s="1401">
        <f t="shared" si="422"/>
        <v>1493300</v>
      </c>
      <c r="AF1068" s="1401">
        <f t="shared" si="423"/>
        <v>1493300</v>
      </c>
      <c r="AG1068" s="1479">
        <f t="shared" si="424"/>
        <v>1493300</v>
      </c>
      <c r="AH1068" s="1479">
        <f t="shared" si="425"/>
        <v>1493300</v>
      </c>
      <c r="AI1068" s="1479">
        <f t="shared" si="426"/>
        <v>19412900</v>
      </c>
      <c r="AJ1068" s="1401">
        <f t="shared" si="427"/>
        <v>25386100</v>
      </c>
    </row>
    <row r="1069" spans="2:38" s="1472" customFormat="1" ht="51" customHeight="1" x14ac:dyDescent="0.2">
      <c r="C1069" s="1478" t="s">
        <v>2306</v>
      </c>
      <c r="D1069" s="1576"/>
      <c r="E1069" s="1455" t="s">
        <v>5745</v>
      </c>
      <c r="F1069" s="1562"/>
      <c r="G1069" s="1501" t="s">
        <v>2555</v>
      </c>
      <c r="H1069" s="1429"/>
      <c r="I1069" s="1501"/>
      <c r="J1069" s="1540"/>
      <c r="K1069" s="1501"/>
      <c r="L1069" s="1526"/>
      <c r="M1069" s="1429" t="s">
        <v>3381</v>
      </c>
      <c r="N1069" s="1501">
        <v>2007</v>
      </c>
      <c r="O1069" s="1429"/>
      <c r="P1069" s="1429"/>
      <c r="Q1069" s="1429"/>
      <c r="R1069" s="1501" t="s">
        <v>12</v>
      </c>
      <c r="S1069" s="1539">
        <v>2779648000</v>
      </c>
      <c r="T1069" s="1501" t="s">
        <v>43</v>
      </c>
      <c r="U1069" s="1596"/>
      <c r="V1069" s="1553"/>
      <c r="W1069" s="1478" t="str">
        <f>LEFT(G1069,8)</f>
        <v>04.16.01</v>
      </c>
      <c r="X1069" s="1478" t="str">
        <f>VLOOKUP(W1069,UE,3,FALSE)</f>
        <v>Jaringan Air Minum</v>
      </c>
      <c r="Y1069" s="1478">
        <f>VLOOKUP(W1069,UE,4,FALSE)</f>
        <v>30</v>
      </c>
      <c r="Z1069" s="1401">
        <f>S1069/Y1069</f>
        <v>92654933.333333328</v>
      </c>
      <c r="AA1069" s="1444">
        <f>IF(2013-N1069+1&gt;Y1069,Y1069,IF(2013-N1069+1&lt;0,0,2013-N1069+1))</f>
        <v>7</v>
      </c>
      <c r="AB1069" s="1401">
        <f>IF(AA1069&gt;Y1069,S1069,Z1069*AA1069)</f>
        <v>648584533.33333325</v>
      </c>
      <c r="AC1069" s="1401">
        <f>IF(S1069=AB1069,0,Z1069)</f>
        <v>92654933.333333328</v>
      </c>
      <c r="AD1069" s="1401">
        <f>IF(S1069=AB1069+AC1069,0,Z1069)</f>
        <v>92654933.333333328</v>
      </c>
      <c r="AE1069" s="1401">
        <f>IF(S1069=AB1069+AC1069+AD1069,0,Z1069)</f>
        <v>92654933.333333328</v>
      </c>
      <c r="AF1069" s="1401">
        <f>IF(S1069=AC1069+AD1069+AE1069+AB1069,0,Z1069)</f>
        <v>92654933.333333328</v>
      </c>
      <c r="AG1069" s="1479">
        <f>IF(S1069=AC1069+AD1069+AE1069+AB1069+AF1069,0,Z1069)</f>
        <v>92654933.333333328</v>
      </c>
      <c r="AH1069" s="1479">
        <f>IF(S1069=AC1069+AD1069+AE1069+AB1069+AF1069+AG1069,0,Z1069)</f>
        <v>92654933.333333328</v>
      </c>
      <c r="AI1069" s="1479">
        <f>SUM(AB1069:AH1069)</f>
        <v>1204514133.3333333</v>
      </c>
      <c r="AJ1069" s="1401">
        <f>S1069-AI1069</f>
        <v>1575133866.6666667</v>
      </c>
      <c r="AL1069" s="1554">
        <f>SUM(AB1069:AG1069)</f>
        <v>1111859200</v>
      </c>
    </row>
    <row r="1070" spans="2:38" s="1472" customFormat="1" ht="51" customHeight="1" x14ac:dyDescent="0.2">
      <c r="C1070" s="1478" t="s">
        <v>2306</v>
      </c>
      <c r="D1070" s="1576"/>
      <c r="E1070" s="1455" t="s">
        <v>5745</v>
      </c>
      <c r="F1070" s="1562"/>
      <c r="G1070" s="1501" t="s">
        <v>2555</v>
      </c>
      <c r="H1070" s="1429"/>
      <c r="I1070" s="1501"/>
      <c r="J1070" s="1540"/>
      <c r="K1070" s="1501"/>
      <c r="L1070" s="1526"/>
      <c r="M1070" s="1429" t="s">
        <v>3381</v>
      </c>
      <c r="N1070" s="1501">
        <v>2007</v>
      </c>
      <c r="O1070" s="1429"/>
      <c r="P1070" s="1429"/>
      <c r="Q1070" s="1429"/>
      <c r="R1070" s="1501" t="s">
        <v>12</v>
      </c>
      <c r="S1070" s="1539">
        <v>282200000</v>
      </c>
      <c r="T1070" s="1501" t="s">
        <v>43</v>
      </c>
      <c r="U1070" s="1596"/>
      <c r="V1070" s="1553"/>
      <c r="W1070" s="1478" t="str">
        <f>LEFT(G1070,8)</f>
        <v>04.16.01</v>
      </c>
      <c r="X1070" s="1478" t="str">
        <f>VLOOKUP(W1070,UE,3,FALSE)</f>
        <v>Jaringan Air Minum</v>
      </c>
      <c r="Y1070" s="1478">
        <f>VLOOKUP(W1070,UE,4,FALSE)</f>
        <v>30</v>
      </c>
      <c r="Z1070" s="1401">
        <f>S1070/Y1070</f>
        <v>9406666.666666666</v>
      </c>
      <c r="AA1070" s="1444">
        <f>IF(2013-N1070+1&gt;Y1070,Y1070,IF(2013-N1070+1&lt;0,0,2013-N1070+1))</f>
        <v>7</v>
      </c>
      <c r="AB1070" s="1401">
        <f>IF(AA1070&gt;Y1070,S1070,Z1070*AA1070)</f>
        <v>65846666.666666664</v>
      </c>
      <c r="AC1070" s="1401">
        <f>IF(S1070=AB1070,0,Z1070)</f>
        <v>9406666.666666666</v>
      </c>
      <c r="AD1070" s="1401">
        <f>IF(S1070=AB1070+AC1070,0,Z1070)</f>
        <v>9406666.666666666</v>
      </c>
      <c r="AE1070" s="1401">
        <f>IF(S1070=AB1070+AC1070+AD1070,0,Z1070)</f>
        <v>9406666.666666666</v>
      </c>
      <c r="AF1070" s="1401">
        <f>IF(S1070=AC1070+AD1070+AE1070+AB1070,0,Z1070)</f>
        <v>9406666.666666666</v>
      </c>
      <c r="AG1070" s="1479">
        <f>IF(S1070=AC1070+AD1070+AE1070+AB1070+AF1070,0,Z1070)</f>
        <v>9406666.666666666</v>
      </c>
      <c r="AH1070" s="1479">
        <f>IF(S1070=AC1070+AD1070+AE1070+AB1070+AF1070+AG1070,0,Z1070)</f>
        <v>9406666.666666666</v>
      </c>
      <c r="AI1070" s="1479">
        <f>SUM(AB1070:AH1070)</f>
        <v>122286666.66666669</v>
      </c>
      <c r="AJ1070" s="1401">
        <f>S1070-AI1070</f>
        <v>159913333.33333331</v>
      </c>
      <c r="AL1070" s="1554">
        <f>SUM(AB1070:AG1070)</f>
        <v>112880000.00000001</v>
      </c>
    </row>
    <row r="1071" spans="2:38" s="1390" customFormat="1" ht="51" customHeight="1" x14ac:dyDescent="0.2">
      <c r="B1071" s="1472"/>
      <c r="C1071" s="1478" t="s">
        <v>2307</v>
      </c>
      <c r="D1071" s="1426"/>
      <c r="E1071" s="1455" t="s">
        <v>1614</v>
      </c>
      <c r="F1071" s="1562"/>
      <c r="G1071" s="1501" t="s">
        <v>3566</v>
      </c>
      <c r="H1071" s="1429"/>
      <c r="I1071" s="1501"/>
      <c r="J1071" s="1540"/>
      <c r="K1071" s="1501"/>
      <c r="L1071" s="1526"/>
      <c r="M1071" s="1429" t="s">
        <v>3549</v>
      </c>
      <c r="N1071" s="1501">
        <v>2008</v>
      </c>
      <c r="O1071" s="1429"/>
      <c r="P1071" s="1429"/>
      <c r="Q1071" s="1429"/>
      <c r="R1071" s="1501" t="s">
        <v>12</v>
      </c>
      <c r="S1071" s="1539">
        <v>387073802.91121233</v>
      </c>
      <c r="T1071" s="1501" t="s">
        <v>43</v>
      </c>
      <c r="U1071" s="1596"/>
      <c r="V1071" s="1553"/>
      <c r="W1071" s="1478" t="str">
        <f t="shared" si="399"/>
        <v>04.16.01</v>
      </c>
      <c r="X1071" s="1478" t="str">
        <f t="shared" si="415"/>
        <v>Jaringan Air Minum</v>
      </c>
      <c r="Y1071" s="1478">
        <f t="shared" si="416"/>
        <v>30</v>
      </c>
      <c r="Z1071" s="1401">
        <f t="shared" si="417"/>
        <v>12902460.097040411</v>
      </c>
      <c r="AA1071" s="1444">
        <f t="shared" si="418"/>
        <v>6</v>
      </c>
      <c r="AB1071" s="1401">
        <f t="shared" si="419"/>
        <v>77414760.582242459</v>
      </c>
      <c r="AC1071" s="1401">
        <f t="shared" si="420"/>
        <v>12902460.097040411</v>
      </c>
      <c r="AD1071" s="1401">
        <f t="shared" si="421"/>
        <v>12902460.097040411</v>
      </c>
      <c r="AE1071" s="1401">
        <f t="shared" si="422"/>
        <v>12902460.097040411</v>
      </c>
      <c r="AF1071" s="1401">
        <f t="shared" si="423"/>
        <v>12902460.097040411</v>
      </c>
      <c r="AG1071" s="1479">
        <f t="shared" si="424"/>
        <v>12902460.097040411</v>
      </c>
      <c r="AH1071" s="1479">
        <f t="shared" si="425"/>
        <v>12902460.097040411</v>
      </c>
      <c r="AI1071" s="1479">
        <f t="shared" si="426"/>
        <v>154829521.16448495</v>
      </c>
      <c r="AJ1071" s="1401">
        <f t="shared" si="427"/>
        <v>232244281.74672738</v>
      </c>
    </row>
    <row r="1072" spans="2:38" s="1390" customFormat="1" ht="51" customHeight="1" x14ac:dyDescent="0.2">
      <c r="B1072" s="1472"/>
      <c r="C1072" s="1478" t="s">
        <v>2307</v>
      </c>
      <c r="D1072" s="1426"/>
      <c r="E1072" s="1455" t="s">
        <v>1615</v>
      </c>
      <c r="F1072" s="1562"/>
      <c r="G1072" s="1501" t="s">
        <v>3566</v>
      </c>
      <c r="H1072" s="1429"/>
      <c r="I1072" s="1501"/>
      <c r="J1072" s="1540"/>
      <c r="K1072" s="1501"/>
      <c r="L1072" s="1526"/>
      <c r="M1072" s="1429" t="s">
        <v>3549</v>
      </c>
      <c r="N1072" s="1501">
        <v>2008</v>
      </c>
      <c r="O1072" s="1429"/>
      <c r="P1072" s="1429"/>
      <c r="Q1072" s="1429"/>
      <c r="R1072" s="1501" t="s">
        <v>12</v>
      </c>
      <c r="S1072" s="1539">
        <v>993199090.17379224</v>
      </c>
      <c r="T1072" s="1501" t="s">
        <v>43</v>
      </c>
      <c r="U1072" s="1596"/>
      <c r="V1072" s="1553"/>
      <c r="W1072" s="1478" t="str">
        <f t="shared" si="399"/>
        <v>04.16.01</v>
      </c>
      <c r="X1072" s="1478" t="str">
        <f t="shared" si="415"/>
        <v>Jaringan Air Minum</v>
      </c>
      <c r="Y1072" s="1478">
        <f t="shared" si="416"/>
        <v>30</v>
      </c>
      <c r="Z1072" s="1401">
        <f t="shared" si="417"/>
        <v>33106636.339126408</v>
      </c>
      <c r="AA1072" s="1444">
        <f t="shared" si="418"/>
        <v>6</v>
      </c>
      <c r="AB1072" s="1401">
        <f t="shared" si="419"/>
        <v>198639818.03475845</v>
      </c>
      <c r="AC1072" s="1401">
        <f t="shared" si="420"/>
        <v>33106636.339126408</v>
      </c>
      <c r="AD1072" s="1401">
        <f t="shared" si="421"/>
        <v>33106636.339126408</v>
      </c>
      <c r="AE1072" s="1401">
        <f t="shared" si="422"/>
        <v>33106636.339126408</v>
      </c>
      <c r="AF1072" s="1401">
        <f t="shared" si="423"/>
        <v>33106636.339126408</v>
      </c>
      <c r="AG1072" s="1479">
        <f t="shared" si="424"/>
        <v>33106636.339126408</v>
      </c>
      <c r="AH1072" s="1479">
        <f t="shared" si="425"/>
        <v>33106636.339126408</v>
      </c>
      <c r="AI1072" s="1479">
        <f t="shared" si="426"/>
        <v>397279636.0695169</v>
      </c>
      <c r="AJ1072" s="1401">
        <f t="shared" si="427"/>
        <v>595919454.10427535</v>
      </c>
    </row>
    <row r="1073" spans="2:36" s="1390" customFormat="1" ht="34" customHeight="1" x14ac:dyDescent="0.2">
      <c r="B1073" s="1472"/>
      <c r="C1073" s="1478" t="s">
        <v>2307</v>
      </c>
      <c r="D1073" s="1426"/>
      <c r="E1073" s="1455" t="s">
        <v>1621</v>
      </c>
      <c r="F1073" s="1562"/>
      <c r="G1073" s="1501" t="s">
        <v>3565</v>
      </c>
      <c r="H1073" s="1429"/>
      <c r="I1073" s="1501"/>
      <c r="J1073" s="1540"/>
      <c r="K1073" s="1501"/>
      <c r="L1073" s="1526"/>
      <c r="M1073" s="1429" t="s">
        <v>1095</v>
      </c>
      <c r="N1073" s="1501">
        <v>2008</v>
      </c>
      <c r="O1073" s="1429"/>
      <c r="P1073" s="1429"/>
      <c r="Q1073" s="1429"/>
      <c r="R1073" s="1501" t="s">
        <v>12</v>
      </c>
      <c r="S1073" s="1539">
        <v>266240349.76335436</v>
      </c>
      <c r="T1073" s="1501" t="s">
        <v>43</v>
      </c>
      <c r="U1073" s="1596"/>
      <c r="V1073" s="1553"/>
      <c r="W1073" s="1478" t="str">
        <f t="shared" si="399"/>
        <v>04.16.01</v>
      </c>
      <c r="X1073" s="1478" t="str">
        <f t="shared" si="415"/>
        <v>Jaringan Air Minum</v>
      </c>
      <c r="Y1073" s="1478">
        <f t="shared" si="416"/>
        <v>30</v>
      </c>
      <c r="Z1073" s="1401">
        <f t="shared" si="417"/>
        <v>8874678.3254451454</v>
      </c>
      <c r="AA1073" s="1444">
        <f t="shared" si="418"/>
        <v>6</v>
      </c>
      <c r="AB1073" s="1401">
        <f t="shared" si="419"/>
        <v>53248069.952670872</v>
      </c>
      <c r="AC1073" s="1401">
        <f t="shared" si="420"/>
        <v>8874678.3254451454</v>
      </c>
      <c r="AD1073" s="1401">
        <f t="shared" si="421"/>
        <v>8874678.3254451454</v>
      </c>
      <c r="AE1073" s="1401">
        <f t="shared" si="422"/>
        <v>8874678.3254451454</v>
      </c>
      <c r="AF1073" s="1401">
        <f t="shared" si="423"/>
        <v>8874678.3254451454</v>
      </c>
      <c r="AG1073" s="1479">
        <f t="shared" si="424"/>
        <v>8874678.3254451454</v>
      </c>
      <c r="AH1073" s="1479">
        <f t="shared" si="425"/>
        <v>8874678.3254451454</v>
      </c>
      <c r="AI1073" s="1479">
        <f t="shared" si="426"/>
        <v>106496139.90534174</v>
      </c>
      <c r="AJ1073" s="1401">
        <f t="shared" si="427"/>
        <v>159744209.85801262</v>
      </c>
    </row>
    <row r="1074" spans="2:36" s="1390" customFormat="1" ht="34" customHeight="1" x14ac:dyDescent="0.2">
      <c r="B1074" s="1472"/>
      <c r="C1074" s="1478" t="s">
        <v>2307</v>
      </c>
      <c r="D1074" s="1603"/>
      <c r="E1074" s="1455" t="s">
        <v>1622</v>
      </c>
      <c r="F1074" s="1562"/>
      <c r="G1074" s="1501" t="s">
        <v>3565</v>
      </c>
      <c r="H1074" s="1429"/>
      <c r="I1074" s="1501"/>
      <c r="J1074" s="1540"/>
      <c r="K1074" s="1501"/>
      <c r="L1074" s="1526"/>
      <c r="M1074" s="1429" t="s">
        <v>1081</v>
      </c>
      <c r="N1074" s="1501">
        <v>2008</v>
      </c>
      <c r="O1074" s="1429"/>
      <c r="P1074" s="1429"/>
      <c r="Q1074" s="1429"/>
      <c r="R1074" s="1501" t="s">
        <v>12</v>
      </c>
      <c r="S1074" s="1539">
        <v>391678610.4209711</v>
      </c>
      <c r="T1074" s="1501" t="s">
        <v>43</v>
      </c>
      <c r="U1074" s="1596"/>
      <c r="V1074" s="1553"/>
      <c r="W1074" s="1478" t="str">
        <f t="shared" si="399"/>
        <v>04.16.01</v>
      </c>
      <c r="X1074" s="1478" t="str">
        <f t="shared" si="415"/>
        <v>Jaringan Air Minum</v>
      </c>
      <c r="Y1074" s="1478">
        <f t="shared" si="416"/>
        <v>30</v>
      </c>
      <c r="Z1074" s="1401">
        <f t="shared" si="417"/>
        <v>13055953.680699037</v>
      </c>
      <c r="AA1074" s="1444">
        <f t="shared" si="418"/>
        <v>6</v>
      </c>
      <c r="AB1074" s="1401">
        <f t="shared" si="419"/>
        <v>78335722.084194228</v>
      </c>
      <c r="AC1074" s="1401">
        <f t="shared" si="420"/>
        <v>13055953.680699037</v>
      </c>
      <c r="AD1074" s="1401">
        <f t="shared" si="421"/>
        <v>13055953.680699037</v>
      </c>
      <c r="AE1074" s="1401">
        <f t="shared" si="422"/>
        <v>13055953.680699037</v>
      </c>
      <c r="AF1074" s="1401">
        <f t="shared" si="423"/>
        <v>13055953.680699037</v>
      </c>
      <c r="AG1074" s="1479">
        <f t="shared" si="424"/>
        <v>13055953.680699037</v>
      </c>
      <c r="AH1074" s="1479">
        <f t="shared" si="425"/>
        <v>13055953.680699037</v>
      </c>
      <c r="AI1074" s="1479">
        <f t="shared" si="426"/>
        <v>156671444.16838846</v>
      </c>
      <c r="AJ1074" s="1401">
        <f t="shared" si="427"/>
        <v>235007166.25258264</v>
      </c>
    </row>
    <row r="1075" spans="2:36" s="1390" customFormat="1" ht="34" customHeight="1" x14ac:dyDescent="0.2">
      <c r="B1075" s="1472"/>
      <c r="C1075" s="1478" t="s">
        <v>2307</v>
      </c>
      <c r="D1075" s="1426"/>
      <c r="E1075" s="1455" t="s">
        <v>1623</v>
      </c>
      <c r="F1075" s="1562"/>
      <c r="G1075" s="1501" t="s">
        <v>3565</v>
      </c>
      <c r="H1075" s="1429"/>
      <c r="I1075" s="1501"/>
      <c r="J1075" s="1540"/>
      <c r="K1075" s="1501"/>
      <c r="L1075" s="1526"/>
      <c r="M1075" s="1429" t="s">
        <v>1082</v>
      </c>
      <c r="N1075" s="1501">
        <v>2008</v>
      </c>
      <c r="O1075" s="1429"/>
      <c r="P1075" s="1429"/>
      <c r="Q1075" s="1429"/>
      <c r="R1075" s="1501" t="s">
        <v>12</v>
      </c>
      <c r="S1075" s="1539">
        <v>78630016.685688838</v>
      </c>
      <c r="T1075" s="1501" t="s">
        <v>43</v>
      </c>
      <c r="U1075" s="1596"/>
      <c r="V1075" s="1553"/>
      <c r="W1075" s="1478" t="str">
        <f t="shared" si="399"/>
        <v>04.16.01</v>
      </c>
      <c r="X1075" s="1478" t="str">
        <f t="shared" si="415"/>
        <v>Jaringan Air Minum</v>
      </c>
      <c r="Y1075" s="1478">
        <f t="shared" si="416"/>
        <v>30</v>
      </c>
      <c r="Z1075" s="1401">
        <f t="shared" si="417"/>
        <v>2621000.5561896279</v>
      </c>
      <c r="AA1075" s="1444">
        <f t="shared" si="418"/>
        <v>6</v>
      </c>
      <c r="AB1075" s="1401">
        <f t="shared" si="419"/>
        <v>15726003.337137766</v>
      </c>
      <c r="AC1075" s="1401">
        <f t="shared" si="420"/>
        <v>2621000.5561896279</v>
      </c>
      <c r="AD1075" s="1401">
        <f t="shared" si="421"/>
        <v>2621000.5561896279</v>
      </c>
      <c r="AE1075" s="1401">
        <f t="shared" si="422"/>
        <v>2621000.5561896279</v>
      </c>
      <c r="AF1075" s="1401">
        <f t="shared" si="423"/>
        <v>2621000.5561896279</v>
      </c>
      <c r="AG1075" s="1479">
        <f t="shared" si="424"/>
        <v>2621000.5561896279</v>
      </c>
      <c r="AH1075" s="1479">
        <f t="shared" si="425"/>
        <v>2621000.5561896279</v>
      </c>
      <c r="AI1075" s="1479">
        <f t="shared" si="426"/>
        <v>31452006.674275525</v>
      </c>
      <c r="AJ1075" s="1401">
        <f t="shared" si="427"/>
        <v>47178010.011413313</v>
      </c>
    </row>
    <row r="1076" spans="2:36" s="1390" customFormat="1" ht="34" customHeight="1" x14ac:dyDescent="0.2">
      <c r="B1076" s="1552" t="s">
        <v>847</v>
      </c>
      <c r="C1076" s="1478" t="s">
        <v>2307</v>
      </c>
      <c r="D1076" s="1426"/>
      <c r="E1076" s="1455" t="s">
        <v>1627</v>
      </c>
      <c r="F1076" s="1562"/>
      <c r="G1076" s="1501" t="s">
        <v>3565</v>
      </c>
      <c r="H1076" s="1429"/>
      <c r="I1076" s="1501"/>
      <c r="J1076" s="1540"/>
      <c r="K1076" s="1501"/>
      <c r="L1076" s="1526"/>
      <c r="M1076" s="1429" t="s">
        <v>1082</v>
      </c>
      <c r="N1076" s="1501">
        <v>2008</v>
      </c>
      <c r="O1076" s="1429"/>
      <c r="P1076" s="1429"/>
      <c r="Q1076" s="1429"/>
      <c r="R1076" s="1501" t="s">
        <v>12</v>
      </c>
      <c r="S1076" s="1539">
        <v>166466700</v>
      </c>
      <c r="T1076" s="1501" t="s">
        <v>43</v>
      </c>
      <c r="U1076" s="1596"/>
      <c r="V1076" s="1553"/>
      <c r="W1076" s="1478" t="str">
        <f t="shared" si="399"/>
        <v>04.16.01</v>
      </c>
      <c r="X1076" s="1478" t="str">
        <f t="shared" si="415"/>
        <v>Jaringan Air Minum</v>
      </c>
      <c r="Y1076" s="1478">
        <f t="shared" si="416"/>
        <v>30</v>
      </c>
      <c r="Z1076" s="1401">
        <f t="shared" si="417"/>
        <v>5548890</v>
      </c>
      <c r="AA1076" s="1444">
        <f t="shared" si="418"/>
        <v>6</v>
      </c>
      <c r="AB1076" s="1401">
        <f t="shared" si="419"/>
        <v>33293340</v>
      </c>
      <c r="AC1076" s="1401">
        <f t="shared" si="420"/>
        <v>5548890</v>
      </c>
      <c r="AD1076" s="1401">
        <f t="shared" si="421"/>
        <v>5548890</v>
      </c>
      <c r="AE1076" s="1401">
        <f t="shared" si="422"/>
        <v>5548890</v>
      </c>
      <c r="AF1076" s="1401">
        <f t="shared" si="423"/>
        <v>5548890</v>
      </c>
      <c r="AG1076" s="1479">
        <f t="shared" si="424"/>
        <v>5548890</v>
      </c>
      <c r="AH1076" s="1479">
        <f t="shared" si="425"/>
        <v>5548890</v>
      </c>
      <c r="AI1076" s="1479">
        <f t="shared" si="426"/>
        <v>66586680</v>
      </c>
      <c r="AJ1076" s="1401">
        <f t="shared" si="427"/>
        <v>99880020</v>
      </c>
    </row>
    <row r="1077" spans="2:36" s="1390" customFormat="1" ht="34" customHeight="1" x14ac:dyDescent="0.2">
      <c r="B1077" s="1472" t="s">
        <v>5891</v>
      </c>
      <c r="C1077" s="1478" t="s">
        <v>2307</v>
      </c>
      <c r="D1077" s="1426"/>
      <c r="E1077" s="1455" t="s">
        <v>1628</v>
      </c>
      <c r="F1077" s="1562"/>
      <c r="G1077" s="1501" t="s">
        <v>3565</v>
      </c>
      <c r="H1077" s="1429"/>
      <c r="I1077" s="1501"/>
      <c r="J1077" s="1540"/>
      <c r="K1077" s="1501"/>
      <c r="L1077" s="1526"/>
      <c r="M1077" s="1429" t="s">
        <v>2883</v>
      </c>
      <c r="N1077" s="1501">
        <v>2008</v>
      </c>
      <c r="O1077" s="1429"/>
      <c r="P1077" s="1429"/>
      <c r="Q1077" s="1429"/>
      <c r="R1077" s="1501" t="s">
        <v>12</v>
      </c>
      <c r="S1077" s="1539">
        <v>103188000</v>
      </c>
      <c r="T1077" s="1501" t="s">
        <v>43</v>
      </c>
      <c r="U1077" s="1596"/>
      <c r="V1077" s="1553"/>
      <c r="W1077" s="1478" t="str">
        <f t="shared" si="399"/>
        <v>04.16.01</v>
      </c>
      <c r="X1077" s="1478" t="str">
        <f t="shared" si="415"/>
        <v>Jaringan Air Minum</v>
      </c>
      <c r="Y1077" s="1478">
        <f t="shared" si="416"/>
        <v>30</v>
      </c>
      <c r="Z1077" s="1401">
        <f t="shared" si="417"/>
        <v>3439600</v>
      </c>
      <c r="AA1077" s="1444">
        <f t="shared" si="418"/>
        <v>6</v>
      </c>
      <c r="AB1077" s="1401">
        <f t="shared" si="419"/>
        <v>20637600</v>
      </c>
      <c r="AC1077" s="1401">
        <f t="shared" si="420"/>
        <v>3439600</v>
      </c>
      <c r="AD1077" s="1401">
        <f t="shared" si="421"/>
        <v>3439600</v>
      </c>
      <c r="AE1077" s="1401">
        <f t="shared" si="422"/>
        <v>3439600</v>
      </c>
      <c r="AF1077" s="1401">
        <f t="shared" si="423"/>
        <v>3439600</v>
      </c>
      <c r="AG1077" s="1479">
        <f t="shared" si="424"/>
        <v>3439600</v>
      </c>
      <c r="AH1077" s="1479">
        <f t="shared" si="425"/>
        <v>3439600</v>
      </c>
      <c r="AI1077" s="1479">
        <f t="shared" si="426"/>
        <v>41275200</v>
      </c>
      <c r="AJ1077" s="1401">
        <f t="shared" si="427"/>
        <v>61912800</v>
      </c>
    </row>
    <row r="1078" spans="2:36" s="1390" customFormat="1" ht="34" customHeight="1" x14ac:dyDescent="0.2">
      <c r="B1078" s="1472"/>
      <c r="C1078" s="1478" t="s">
        <v>2307</v>
      </c>
      <c r="D1078" s="1426"/>
      <c r="E1078" s="1455" t="s">
        <v>1630</v>
      </c>
      <c r="F1078" s="1562"/>
      <c r="G1078" s="1501" t="s">
        <v>3565</v>
      </c>
      <c r="H1078" s="1429"/>
      <c r="I1078" s="1501"/>
      <c r="J1078" s="1540"/>
      <c r="K1078" s="1501"/>
      <c r="L1078" s="1526"/>
      <c r="M1078" s="1429" t="s">
        <v>2856</v>
      </c>
      <c r="N1078" s="1501">
        <v>2008</v>
      </c>
      <c r="O1078" s="1429"/>
      <c r="P1078" s="1429"/>
      <c r="Q1078" s="1429"/>
      <c r="R1078" s="1501" t="s">
        <v>12</v>
      </c>
      <c r="S1078" s="1539">
        <v>88200000</v>
      </c>
      <c r="T1078" s="1501" t="s">
        <v>43</v>
      </c>
      <c r="U1078" s="1596"/>
      <c r="V1078" s="1553"/>
      <c r="W1078" s="1478" t="str">
        <f t="shared" si="399"/>
        <v>04.16.01</v>
      </c>
      <c r="X1078" s="1478" t="str">
        <f t="shared" si="415"/>
        <v>Jaringan Air Minum</v>
      </c>
      <c r="Y1078" s="1478">
        <f t="shared" si="416"/>
        <v>30</v>
      </c>
      <c r="Z1078" s="1401">
        <f t="shared" si="417"/>
        <v>2940000</v>
      </c>
      <c r="AA1078" s="1444">
        <f t="shared" si="418"/>
        <v>6</v>
      </c>
      <c r="AB1078" s="1401">
        <f t="shared" si="419"/>
        <v>17640000</v>
      </c>
      <c r="AC1078" s="1401">
        <f t="shared" si="420"/>
        <v>2940000</v>
      </c>
      <c r="AD1078" s="1401">
        <f t="shared" si="421"/>
        <v>2940000</v>
      </c>
      <c r="AE1078" s="1401">
        <f t="shared" si="422"/>
        <v>2940000</v>
      </c>
      <c r="AF1078" s="1401">
        <f t="shared" si="423"/>
        <v>2940000</v>
      </c>
      <c r="AG1078" s="1479">
        <f t="shared" si="424"/>
        <v>2940000</v>
      </c>
      <c r="AH1078" s="1479">
        <f t="shared" si="425"/>
        <v>2940000</v>
      </c>
      <c r="AI1078" s="1479">
        <f t="shared" si="426"/>
        <v>35280000</v>
      </c>
      <c r="AJ1078" s="1401">
        <f t="shared" si="427"/>
        <v>52920000</v>
      </c>
    </row>
    <row r="1079" spans="2:36" s="1390" customFormat="1" ht="34" customHeight="1" x14ac:dyDescent="0.2">
      <c r="B1079" s="1552" t="s">
        <v>847</v>
      </c>
      <c r="C1079" s="1478" t="s">
        <v>2307</v>
      </c>
      <c r="D1079" s="1426"/>
      <c r="E1079" s="1455" t="s">
        <v>1627</v>
      </c>
      <c r="F1079" s="1562"/>
      <c r="G1079" s="1501" t="s">
        <v>3565</v>
      </c>
      <c r="H1079" s="1429"/>
      <c r="I1079" s="1501"/>
      <c r="J1079" s="1540"/>
      <c r="K1079" s="1501"/>
      <c r="L1079" s="1526"/>
      <c r="M1079" s="1429" t="s">
        <v>1082</v>
      </c>
      <c r="N1079" s="1501">
        <v>2008</v>
      </c>
      <c r="O1079" s="1429"/>
      <c r="P1079" s="1429"/>
      <c r="Q1079" s="1429"/>
      <c r="R1079" s="1501" t="s">
        <v>12</v>
      </c>
      <c r="S1079" s="1539">
        <v>18496300</v>
      </c>
      <c r="T1079" s="1501" t="s">
        <v>43</v>
      </c>
      <c r="U1079" s="1596"/>
      <c r="V1079" s="1553"/>
      <c r="W1079" s="1478" t="str">
        <f t="shared" si="399"/>
        <v>04.16.01</v>
      </c>
      <c r="X1079" s="1478" t="str">
        <f t="shared" si="415"/>
        <v>Jaringan Air Minum</v>
      </c>
      <c r="Y1079" s="1478">
        <f t="shared" si="416"/>
        <v>30</v>
      </c>
      <c r="Z1079" s="1401">
        <f t="shared" si="417"/>
        <v>616543.33333333337</v>
      </c>
      <c r="AA1079" s="1444">
        <f t="shared" si="418"/>
        <v>6</v>
      </c>
      <c r="AB1079" s="1401">
        <f t="shared" si="419"/>
        <v>3699260</v>
      </c>
      <c r="AC1079" s="1401">
        <f t="shared" si="420"/>
        <v>616543.33333333337</v>
      </c>
      <c r="AD1079" s="1401">
        <f t="shared" si="421"/>
        <v>616543.33333333337</v>
      </c>
      <c r="AE1079" s="1401">
        <f t="shared" si="422"/>
        <v>616543.33333333337</v>
      </c>
      <c r="AF1079" s="1401">
        <f t="shared" si="423"/>
        <v>616543.33333333337</v>
      </c>
      <c r="AG1079" s="1479">
        <f t="shared" si="424"/>
        <v>616543.33333333337</v>
      </c>
      <c r="AH1079" s="1479">
        <f t="shared" si="425"/>
        <v>616543.33333333337</v>
      </c>
      <c r="AI1079" s="1479">
        <f t="shared" si="426"/>
        <v>7398519.9999999981</v>
      </c>
      <c r="AJ1079" s="1401">
        <f t="shared" si="427"/>
        <v>11097780.000000002</v>
      </c>
    </row>
    <row r="1080" spans="2:36" s="1390" customFormat="1" ht="34" customHeight="1" x14ac:dyDescent="0.2">
      <c r="B1080" s="1472" t="s">
        <v>5891</v>
      </c>
      <c r="C1080" s="1478" t="s">
        <v>2307</v>
      </c>
      <c r="D1080" s="1426"/>
      <c r="E1080" s="1455" t="s">
        <v>1628</v>
      </c>
      <c r="F1080" s="1562"/>
      <c r="G1080" s="1501" t="s">
        <v>3565</v>
      </c>
      <c r="H1080" s="1429"/>
      <c r="I1080" s="1501"/>
      <c r="J1080" s="1540"/>
      <c r="K1080" s="1501"/>
      <c r="L1080" s="1526"/>
      <c r="M1080" s="1429" t="s">
        <v>2883</v>
      </c>
      <c r="N1080" s="1501">
        <v>2008</v>
      </c>
      <c r="O1080" s="1429"/>
      <c r="P1080" s="1429"/>
      <c r="Q1080" s="1429"/>
      <c r="R1080" s="1501" t="s">
        <v>12</v>
      </c>
      <c r="S1080" s="1539">
        <v>11250000</v>
      </c>
      <c r="T1080" s="1501" t="s">
        <v>43</v>
      </c>
      <c r="U1080" s="1596"/>
      <c r="V1080" s="1553"/>
      <c r="W1080" s="1478" t="str">
        <f t="shared" si="399"/>
        <v>04.16.01</v>
      </c>
      <c r="X1080" s="1478" t="str">
        <f t="shared" si="415"/>
        <v>Jaringan Air Minum</v>
      </c>
      <c r="Y1080" s="1478">
        <f t="shared" si="416"/>
        <v>30</v>
      </c>
      <c r="Z1080" s="1401">
        <f t="shared" si="417"/>
        <v>375000</v>
      </c>
      <c r="AA1080" s="1444">
        <f t="shared" si="418"/>
        <v>6</v>
      </c>
      <c r="AB1080" s="1401">
        <f t="shared" si="419"/>
        <v>2250000</v>
      </c>
      <c r="AC1080" s="1401">
        <f t="shared" si="420"/>
        <v>375000</v>
      </c>
      <c r="AD1080" s="1401">
        <f t="shared" si="421"/>
        <v>375000</v>
      </c>
      <c r="AE1080" s="1401">
        <f t="shared" si="422"/>
        <v>375000</v>
      </c>
      <c r="AF1080" s="1401">
        <f t="shared" si="423"/>
        <v>375000</v>
      </c>
      <c r="AG1080" s="1479">
        <f t="shared" si="424"/>
        <v>375000</v>
      </c>
      <c r="AH1080" s="1479">
        <f t="shared" si="425"/>
        <v>375000</v>
      </c>
      <c r="AI1080" s="1479">
        <f t="shared" si="426"/>
        <v>4500000</v>
      </c>
      <c r="AJ1080" s="1401">
        <f t="shared" si="427"/>
        <v>6750000</v>
      </c>
    </row>
    <row r="1081" spans="2:36" s="1390" customFormat="1" ht="34" customHeight="1" x14ac:dyDescent="0.2">
      <c r="B1081" s="1472"/>
      <c r="C1081" s="1478" t="s">
        <v>2307</v>
      </c>
      <c r="D1081" s="1426"/>
      <c r="E1081" s="1455" t="s">
        <v>1630</v>
      </c>
      <c r="F1081" s="1562"/>
      <c r="G1081" s="1416" t="s">
        <v>3565</v>
      </c>
      <c r="H1081" s="1414"/>
      <c r="I1081" s="1416"/>
      <c r="J1081" s="1512"/>
      <c r="K1081" s="1416"/>
      <c r="L1081" s="1500"/>
      <c r="M1081" s="1429" t="s">
        <v>2856</v>
      </c>
      <c r="N1081" s="1416">
        <v>2008</v>
      </c>
      <c r="O1081" s="1414"/>
      <c r="P1081" s="1414"/>
      <c r="Q1081" s="1414"/>
      <c r="R1081" s="1501" t="s">
        <v>12</v>
      </c>
      <c r="S1081" s="1539">
        <v>9800000</v>
      </c>
      <c r="T1081" s="1416" t="s">
        <v>43</v>
      </c>
      <c r="U1081" s="1427"/>
      <c r="V1081" s="1477"/>
      <c r="W1081" s="1478" t="str">
        <f t="shared" si="399"/>
        <v>04.16.01</v>
      </c>
      <c r="X1081" s="1478" t="str">
        <f t="shared" si="415"/>
        <v>Jaringan Air Minum</v>
      </c>
      <c r="Y1081" s="1478">
        <f t="shared" si="416"/>
        <v>30</v>
      </c>
      <c r="Z1081" s="1401">
        <f t="shared" si="417"/>
        <v>326666.66666666669</v>
      </c>
      <c r="AA1081" s="1444">
        <f t="shared" si="418"/>
        <v>6</v>
      </c>
      <c r="AB1081" s="1401">
        <f t="shared" si="419"/>
        <v>1960000</v>
      </c>
      <c r="AC1081" s="1401">
        <f t="shared" si="420"/>
        <v>326666.66666666669</v>
      </c>
      <c r="AD1081" s="1401">
        <f t="shared" si="421"/>
        <v>326666.66666666669</v>
      </c>
      <c r="AE1081" s="1401">
        <f t="shared" si="422"/>
        <v>326666.66666666669</v>
      </c>
      <c r="AF1081" s="1401">
        <f t="shared" si="423"/>
        <v>326666.66666666669</v>
      </c>
      <c r="AG1081" s="1479">
        <f t="shared" si="424"/>
        <v>326666.66666666669</v>
      </c>
      <c r="AH1081" s="1479">
        <f t="shared" si="425"/>
        <v>326666.66666666669</v>
      </c>
      <c r="AI1081" s="1479">
        <f t="shared" si="426"/>
        <v>3919999.9999999991</v>
      </c>
      <c r="AJ1081" s="1401">
        <f t="shared" si="427"/>
        <v>5880000.0000000009</v>
      </c>
    </row>
    <row r="1082" spans="2:36" s="1390" customFormat="1" ht="51" customHeight="1" x14ac:dyDescent="0.2">
      <c r="B1082" s="1472"/>
      <c r="C1082" s="1478" t="s">
        <v>2307</v>
      </c>
      <c r="D1082" s="1426"/>
      <c r="E1082" s="1455" t="s">
        <v>1635</v>
      </c>
      <c r="F1082" s="1562"/>
      <c r="G1082" s="1416" t="s">
        <v>3565</v>
      </c>
      <c r="H1082" s="1414"/>
      <c r="I1082" s="1416"/>
      <c r="J1082" s="1512"/>
      <c r="K1082" s="1416"/>
      <c r="L1082" s="1500"/>
      <c r="M1082" s="1429" t="s">
        <v>52</v>
      </c>
      <c r="N1082" s="1416">
        <v>2008</v>
      </c>
      <c r="O1082" s="1414"/>
      <c r="P1082" s="1414"/>
      <c r="Q1082" s="1414"/>
      <c r="R1082" s="1501" t="s">
        <v>12</v>
      </c>
      <c r="S1082" s="1539">
        <v>487790000</v>
      </c>
      <c r="T1082" s="1416"/>
      <c r="U1082" s="1427"/>
      <c r="V1082" s="1477"/>
      <c r="W1082" s="1478" t="str">
        <f t="shared" si="399"/>
        <v>04.16.01</v>
      </c>
      <c r="X1082" s="1478" t="str">
        <f t="shared" si="415"/>
        <v>Jaringan Air Minum</v>
      </c>
      <c r="Y1082" s="1478">
        <f t="shared" si="416"/>
        <v>30</v>
      </c>
      <c r="Z1082" s="1401">
        <f t="shared" si="417"/>
        <v>16259666.666666666</v>
      </c>
      <c r="AA1082" s="1444">
        <f t="shared" si="418"/>
        <v>6</v>
      </c>
      <c r="AB1082" s="1401">
        <f t="shared" si="419"/>
        <v>97558000</v>
      </c>
      <c r="AC1082" s="1401">
        <f t="shared" si="420"/>
        <v>16259666.666666666</v>
      </c>
      <c r="AD1082" s="1401">
        <f t="shared" si="421"/>
        <v>16259666.666666666</v>
      </c>
      <c r="AE1082" s="1401">
        <f t="shared" si="422"/>
        <v>16259666.666666666</v>
      </c>
      <c r="AF1082" s="1401">
        <f t="shared" si="423"/>
        <v>16259666.666666666</v>
      </c>
      <c r="AG1082" s="1479">
        <f t="shared" si="424"/>
        <v>16259666.666666666</v>
      </c>
      <c r="AH1082" s="1479">
        <f t="shared" si="425"/>
        <v>16259666.666666666</v>
      </c>
      <c r="AI1082" s="1479">
        <f t="shared" si="426"/>
        <v>195115999.99999997</v>
      </c>
      <c r="AJ1082" s="1401">
        <f t="shared" si="427"/>
        <v>292674000</v>
      </c>
    </row>
    <row r="1083" spans="2:36" s="1390" customFormat="1" ht="51" customHeight="1" x14ac:dyDescent="0.2">
      <c r="B1083" s="1472"/>
      <c r="C1083" s="1478" t="s">
        <v>2307</v>
      </c>
      <c r="D1083" s="1426"/>
      <c r="E1083" s="1455" t="s">
        <v>1636</v>
      </c>
      <c r="F1083" s="1562"/>
      <c r="G1083" s="1416" t="s">
        <v>3565</v>
      </c>
      <c r="H1083" s="1414"/>
      <c r="I1083" s="1416"/>
      <c r="J1083" s="1512"/>
      <c r="K1083" s="1416"/>
      <c r="L1083" s="1500"/>
      <c r="M1083" s="1429" t="s">
        <v>52</v>
      </c>
      <c r="N1083" s="1416">
        <v>2008</v>
      </c>
      <c r="O1083" s="1414"/>
      <c r="P1083" s="1414"/>
      <c r="Q1083" s="1414"/>
      <c r="R1083" s="1501" t="s">
        <v>12</v>
      </c>
      <c r="S1083" s="1539">
        <v>2611532728</v>
      </c>
      <c r="T1083" s="1416"/>
      <c r="U1083" s="1427"/>
      <c r="V1083" s="1477"/>
      <c r="W1083" s="1478" t="str">
        <f t="shared" si="399"/>
        <v>04.16.01</v>
      </c>
      <c r="X1083" s="1478" t="str">
        <f t="shared" si="415"/>
        <v>Jaringan Air Minum</v>
      </c>
      <c r="Y1083" s="1478">
        <f t="shared" si="416"/>
        <v>30</v>
      </c>
      <c r="Z1083" s="1401">
        <f t="shared" si="417"/>
        <v>87051090.933333337</v>
      </c>
      <c r="AA1083" s="1444">
        <f t="shared" si="418"/>
        <v>6</v>
      </c>
      <c r="AB1083" s="1401">
        <f t="shared" si="419"/>
        <v>522306545.60000002</v>
      </c>
      <c r="AC1083" s="1401">
        <f t="shared" si="420"/>
        <v>87051090.933333337</v>
      </c>
      <c r="AD1083" s="1401">
        <f t="shared" si="421"/>
        <v>87051090.933333337</v>
      </c>
      <c r="AE1083" s="1401">
        <f t="shared" si="422"/>
        <v>87051090.933333337</v>
      </c>
      <c r="AF1083" s="1401">
        <f t="shared" si="423"/>
        <v>87051090.933333337</v>
      </c>
      <c r="AG1083" s="1479">
        <f t="shared" si="424"/>
        <v>87051090.933333337</v>
      </c>
      <c r="AH1083" s="1479">
        <f t="shared" si="425"/>
        <v>87051090.933333337</v>
      </c>
      <c r="AI1083" s="1479">
        <f t="shared" si="426"/>
        <v>1044613091.2000003</v>
      </c>
      <c r="AJ1083" s="1401">
        <f t="shared" si="427"/>
        <v>1566919636.7999997</v>
      </c>
    </row>
    <row r="1084" spans="2:36" s="1390" customFormat="1" ht="51" customHeight="1" x14ac:dyDescent="0.2">
      <c r="B1084" s="1472"/>
      <c r="C1084" s="1478" t="s">
        <v>2307</v>
      </c>
      <c r="D1084" s="1426"/>
      <c r="E1084" s="1455" t="s">
        <v>1637</v>
      </c>
      <c r="F1084" s="1562"/>
      <c r="G1084" s="1416" t="s">
        <v>3565</v>
      </c>
      <c r="H1084" s="1414"/>
      <c r="I1084" s="1416"/>
      <c r="J1084" s="1512"/>
      <c r="K1084" s="1416"/>
      <c r="L1084" s="1500"/>
      <c r="M1084" s="1429" t="s">
        <v>737</v>
      </c>
      <c r="N1084" s="1416">
        <v>2008</v>
      </c>
      <c r="O1084" s="1414"/>
      <c r="P1084" s="1414"/>
      <c r="Q1084" s="1414"/>
      <c r="R1084" s="1501" t="s">
        <v>12</v>
      </c>
      <c r="S1084" s="1539">
        <v>278070909</v>
      </c>
      <c r="T1084" s="1416" t="s">
        <v>43</v>
      </c>
      <c r="U1084" s="1427"/>
      <c r="V1084" s="1477"/>
      <c r="W1084" s="1478" t="str">
        <f t="shared" si="399"/>
        <v>04.16.01</v>
      </c>
      <c r="X1084" s="1478" t="str">
        <f t="shared" si="415"/>
        <v>Jaringan Air Minum</v>
      </c>
      <c r="Y1084" s="1478">
        <f t="shared" si="416"/>
        <v>30</v>
      </c>
      <c r="Z1084" s="1401">
        <f t="shared" si="417"/>
        <v>9269030.3000000007</v>
      </c>
      <c r="AA1084" s="1444">
        <f t="shared" si="418"/>
        <v>6</v>
      </c>
      <c r="AB1084" s="1401">
        <f t="shared" si="419"/>
        <v>55614181.800000004</v>
      </c>
      <c r="AC1084" s="1401">
        <f t="shared" si="420"/>
        <v>9269030.3000000007</v>
      </c>
      <c r="AD1084" s="1401">
        <f t="shared" si="421"/>
        <v>9269030.3000000007</v>
      </c>
      <c r="AE1084" s="1401">
        <f t="shared" si="422"/>
        <v>9269030.3000000007</v>
      </c>
      <c r="AF1084" s="1401">
        <f t="shared" si="423"/>
        <v>9269030.3000000007</v>
      </c>
      <c r="AG1084" s="1479">
        <f t="shared" si="424"/>
        <v>9269030.3000000007</v>
      </c>
      <c r="AH1084" s="1479">
        <f t="shared" si="425"/>
        <v>9269030.3000000007</v>
      </c>
      <c r="AI1084" s="1479">
        <f t="shared" si="426"/>
        <v>111228363.59999999</v>
      </c>
      <c r="AJ1084" s="1401">
        <f t="shared" si="427"/>
        <v>166842545.40000001</v>
      </c>
    </row>
    <row r="1085" spans="2:36" s="1390" customFormat="1" ht="51" customHeight="1" x14ac:dyDescent="0.2">
      <c r="B1085" s="1472"/>
      <c r="C1085" s="1478" t="s">
        <v>2307</v>
      </c>
      <c r="D1085" s="1426"/>
      <c r="E1085" s="1455" t="s">
        <v>1638</v>
      </c>
      <c r="F1085" s="1562"/>
      <c r="G1085" s="1416" t="s">
        <v>3565</v>
      </c>
      <c r="H1085" s="1414"/>
      <c r="I1085" s="1416"/>
      <c r="J1085" s="1512"/>
      <c r="K1085" s="1416"/>
      <c r="L1085" s="1500"/>
      <c r="M1085" s="1429" t="s">
        <v>737</v>
      </c>
      <c r="N1085" s="1416">
        <v>2008</v>
      </c>
      <c r="O1085" s="1414"/>
      <c r="P1085" s="1414"/>
      <c r="Q1085" s="1414"/>
      <c r="R1085" s="1501" t="s">
        <v>12</v>
      </c>
      <c r="S1085" s="1539">
        <v>261153272</v>
      </c>
      <c r="T1085" s="1416" t="s">
        <v>43</v>
      </c>
      <c r="U1085" s="1427"/>
      <c r="V1085" s="1477"/>
      <c r="W1085" s="1478" t="str">
        <f t="shared" si="399"/>
        <v>04.16.01</v>
      </c>
      <c r="X1085" s="1478" t="str">
        <f t="shared" si="415"/>
        <v>Jaringan Air Minum</v>
      </c>
      <c r="Y1085" s="1478">
        <f t="shared" si="416"/>
        <v>30</v>
      </c>
      <c r="Z1085" s="1401">
        <f t="shared" si="417"/>
        <v>8705109.0666666664</v>
      </c>
      <c r="AA1085" s="1444">
        <f t="shared" si="418"/>
        <v>6</v>
      </c>
      <c r="AB1085" s="1401">
        <f t="shared" si="419"/>
        <v>52230654.399999999</v>
      </c>
      <c r="AC1085" s="1401">
        <f t="shared" si="420"/>
        <v>8705109.0666666664</v>
      </c>
      <c r="AD1085" s="1401">
        <f t="shared" si="421"/>
        <v>8705109.0666666664</v>
      </c>
      <c r="AE1085" s="1401">
        <f t="shared" si="422"/>
        <v>8705109.0666666664</v>
      </c>
      <c r="AF1085" s="1401">
        <f t="shared" si="423"/>
        <v>8705109.0666666664</v>
      </c>
      <c r="AG1085" s="1479">
        <f t="shared" si="424"/>
        <v>8705109.0666666664</v>
      </c>
      <c r="AH1085" s="1479">
        <f t="shared" si="425"/>
        <v>8705109.0666666664</v>
      </c>
      <c r="AI1085" s="1479">
        <f t="shared" si="426"/>
        <v>104461308.79999998</v>
      </c>
      <c r="AJ1085" s="1401">
        <f t="shared" si="427"/>
        <v>156691963.20000002</v>
      </c>
    </row>
    <row r="1086" spans="2:36" s="1390" customFormat="1" ht="51" customHeight="1" x14ac:dyDescent="0.2">
      <c r="B1086" s="1472"/>
      <c r="C1086" s="1478" t="s">
        <v>2307</v>
      </c>
      <c r="D1086" s="1426"/>
      <c r="E1086" s="1455" t="s">
        <v>1639</v>
      </c>
      <c r="F1086" s="1562"/>
      <c r="G1086" s="1416" t="s">
        <v>3565</v>
      </c>
      <c r="H1086" s="1414"/>
      <c r="I1086" s="1416"/>
      <c r="J1086" s="1512"/>
      <c r="K1086" s="1416"/>
      <c r="L1086" s="1500"/>
      <c r="M1086" s="1429" t="s">
        <v>737</v>
      </c>
      <c r="N1086" s="1416">
        <v>2008</v>
      </c>
      <c r="O1086" s="1414"/>
      <c r="P1086" s="1414"/>
      <c r="Q1086" s="1414"/>
      <c r="R1086" s="1501" t="s">
        <v>12</v>
      </c>
      <c r="S1086" s="1539">
        <v>27807091</v>
      </c>
      <c r="T1086" s="1416" t="s">
        <v>43</v>
      </c>
      <c r="U1086" s="1427"/>
      <c r="V1086" s="1477"/>
      <c r="W1086" s="1478" t="str">
        <f t="shared" si="399"/>
        <v>04.16.01</v>
      </c>
      <c r="X1086" s="1478" t="str">
        <f t="shared" si="415"/>
        <v>Jaringan Air Minum</v>
      </c>
      <c r="Y1086" s="1478">
        <f t="shared" si="416"/>
        <v>30</v>
      </c>
      <c r="Z1086" s="1401">
        <f t="shared" si="417"/>
        <v>926903.03333333333</v>
      </c>
      <c r="AA1086" s="1444">
        <f t="shared" si="418"/>
        <v>6</v>
      </c>
      <c r="AB1086" s="1401">
        <f t="shared" si="419"/>
        <v>5561418.2000000002</v>
      </c>
      <c r="AC1086" s="1401">
        <f t="shared" si="420"/>
        <v>926903.03333333333</v>
      </c>
      <c r="AD1086" s="1401">
        <f t="shared" si="421"/>
        <v>926903.03333333333</v>
      </c>
      <c r="AE1086" s="1401">
        <f t="shared" si="422"/>
        <v>926903.03333333333</v>
      </c>
      <c r="AF1086" s="1401">
        <f t="shared" si="423"/>
        <v>926903.03333333333</v>
      </c>
      <c r="AG1086" s="1479">
        <f t="shared" si="424"/>
        <v>926903.03333333333</v>
      </c>
      <c r="AH1086" s="1479">
        <f t="shared" si="425"/>
        <v>926903.03333333333</v>
      </c>
      <c r="AI1086" s="1479">
        <f t="shared" si="426"/>
        <v>11122836.4</v>
      </c>
      <c r="AJ1086" s="1401">
        <f t="shared" si="427"/>
        <v>16684254.6</v>
      </c>
    </row>
    <row r="1087" spans="2:36" s="1390" customFormat="1" ht="51" customHeight="1" x14ac:dyDescent="0.2">
      <c r="B1087" s="1472"/>
      <c r="C1087" s="1478" t="s">
        <v>2307</v>
      </c>
      <c r="D1087" s="1426"/>
      <c r="E1087" s="1455" t="s">
        <v>1640</v>
      </c>
      <c r="F1087" s="1562"/>
      <c r="G1087" s="1416" t="s">
        <v>3565</v>
      </c>
      <c r="H1087" s="1414"/>
      <c r="I1087" s="1416"/>
      <c r="J1087" s="1512"/>
      <c r="K1087" s="1416"/>
      <c r="L1087" s="1500"/>
      <c r="M1087" s="1429" t="s">
        <v>52</v>
      </c>
      <c r="N1087" s="1416">
        <v>2008</v>
      </c>
      <c r="O1087" s="1414"/>
      <c r="P1087" s="1414"/>
      <c r="Q1087" s="1414"/>
      <c r="R1087" s="1501" t="s">
        <v>12</v>
      </c>
      <c r="S1087" s="1539">
        <v>1208559000</v>
      </c>
      <c r="T1087" s="1416"/>
      <c r="U1087" s="1427"/>
      <c r="V1087" s="1477"/>
      <c r="W1087" s="1478" t="str">
        <f t="shared" si="399"/>
        <v>04.16.01</v>
      </c>
      <c r="X1087" s="1478" t="str">
        <f t="shared" si="415"/>
        <v>Jaringan Air Minum</v>
      </c>
      <c r="Y1087" s="1478">
        <f t="shared" si="416"/>
        <v>30</v>
      </c>
      <c r="Z1087" s="1401">
        <f t="shared" si="417"/>
        <v>40285300</v>
      </c>
      <c r="AA1087" s="1444">
        <f t="shared" si="418"/>
        <v>6</v>
      </c>
      <c r="AB1087" s="1401">
        <f t="shared" si="419"/>
        <v>241711800</v>
      </c>
      <c r="AC1087" s="1401">
        <f t="shared" si="420"/>
        <v>40285300</v>
      </c>
      <c r="AD1087" s="1401">
        <f t="shared" si="421"/>
        <v>40285300</v>
      </c>
      <c r="AE1087" s="1401">
        <f t="shared" si="422"/>
        <v>40285300</v>
      </c>
      <c r="AF1087" s="1401">
        <f t="shared" si="423"/>
        <v>40285300</v>
      </c>
      <c r="AG1087" s="1479">
        <f t="shared" si="424"/>
        <v>40285300</v>
      </c>
      <c r="AH1087" s="1479">
        <f t="shared" si="425"/>
        <v>40285300</v>
      </c>
      <c r="AI1087" s="1479">
        <f t="shared" si="426"/>
        <v>483423600</v>
      </c>
      <c r="AJ1087" s="1401">
        <f t="shared" si="427"/>
        <v>725135400</v>
      </c>
    </row>
    <row r="1088" spans="2:36" s="1390" customFormat="1" ht="51" customHeight="1" x14ac:dyDescent="0.2">
      <c r="B1088" s="1472"/>
      <c r="C1088" s="1478" t="s">
        <v>2307</v>
      </c>
      <c r="D1088" s="1426"/>
      <c r="E1088" s="1455" t="s">
        <v>1641</v>
      </c>
      <c r="F1088" s="1562"/>
      <c r="G1088" s="1416" t="s">
        <v>3565</v>
      </c>
      <c r="H1088" s="1414"/>
      <c r="I1088" s="1416"/>
      <c r="J1088" s="1512"/>
      <c r="K1088" s="1416"/>
      <c r="L1088" s="1500"/>
      <c r="M1088" s="1429" t="s">
        <v>52</v>
      </c>
      <c r="N1088" s="1416">
        <v>2008</v>
      </c>
      <c r="O1088" s="1414"/>
      <c r="P1088" s="1414"/>
      <c r="Q1088" s="1414"/>
      <c r="R1088" s="1501" t="s">
        <v>12</v>
      </c>
      <c r="S1088" s="1539">
        <v>278624000</v>
      </c>
      <c r="T1088" s="1416" t="s">
        <v>43</v>
      </c>
      <c r="U1088" s="1427"/>
      <c r="V1088" s="1477"/>
      <c r="W1088" s="1478" t="str">
        <f t="shared" si="399"/>
        <v>04.16.01</v>
      </c>
      <c r="X1088" s="1478" t="str">
        <f t="shared" si="415"/>
        <v>Jaringan Air Minum</v>
      </c>
      <c r="Y1088" s="1478">
        <f t="shared" si="416"/>
        <v>30</v>
      </c>
      <c r="Z1088" s="1401">
        <f t="shared" si="417"/>
        <v>9287466.666666666</v>
      </c>
      <c r="AA1088" s="1444">
        <f t="shared" si="418"/>
        <v>6</v>
      </c>
      <c r="AB1088" s="1401">
        <f t="shared" si="419"/>
        <v>55724800</v>
      </c>
      <c r="AC1088" s="1401">
        <f t="shared" si="420"/>
        <v>9287466.666666666</v>
      </c>
      <c r="AD1088" s="1401">
        <f t="shared" si="421"/>
        <v>9287466.666666666</v>
      </c>
      <c r="AE1088" s="1401">
        <f t="shared" si="422"/>
        <v>9287466.666666666</v>
      </c>
      <c r="AF1088" s="1401">
        <f t="shared" si="423"/>
        <v>9287466.666666666</v>
      </c>
      <c r="AG1088" s="1479">
        <f t="shared" si="424"/>
        <v>9287466.666666666</v>
      </c>
      <c r="AH1088" s="1479">
        <f t="shared" si="425"/>
        <v>9287466.666666666</v>
      </c>
      <c r="AI1088" s="1479">
        <f t="shared" si="426"/>
        <v>111449600.00000001</v>
      </c>
      <c r="AJ1088" s="1401">
        <f t="shared" si="427"/>
        <v>167174400</v>
      </c>
    </row>
    <row r="1089" spans="2:38" s="1390" customFormat="1" ht="40" customHeight="1" x14ac:dyDescent="0.2">
      <c r="B1089" s="1472"/>
      <c r="C1089" s="1478" t="s">
        <v>2307</v>
      </c>
      <c r="D1089" s="1426"/>
      <c r="E1089" s="1455" t="s">
        <v>1642</v>
      </c>
      <c r="F1089" s="1562"/>
      <c r="G1089" s="1416" t="s">
        <v>3565</v>
      </c>
      <c r="H1089" s="1414"/>
      <c r="I1089" s="1416"/>
      <c r="J1089" s="1512"/>
      <c r="K1089" s="1416"/>
      <c r="L1089" s="1500"/>
      <c r="M1089" s="1429" t="s">
        <v>52</v>
      </c>
      <c r="N1089" s="1416">
        <v>2008</v>
      </c>
      <c r="O1089" s="1414"/>
      <c r="P1089" s="1414"/>
      <c r="Q1089" s="1414"/>
      <c r="R1089" s="1501" t="s">
        <v>12</v>
      </c>
      <c r="S1089" s="1539">
        <v>58546000</v>
      </c>
      <c r="T1089" s="1416"/>
      <c r="U1089" s="1427"/>
      <c r="V1089" s="1477"/>
      <c r="W1089" s="1478" t="str">
        <f t="shared" si="399"/>
        <v>04.16.01</v>
      </c>
      <c r="X1089" s="1478" t="str">
        <f t="shared" si="415"/>
        <v>Jaringan Air Minum</v>
      </c>
      <c r="Y1089" s="1478">
        <f t="shared" si="416"/>
        <v>30</v>
      </c>
      <c r="Z1089" s="1401">
        <f t="shared" si="417"/>
        <v>1951533.3333333333</v>
      </c>
      <c r="AA1089" s="1444">
        <f t="shared" si="418"/>
        <v>6</v>
      </c>
      <c r="AB1089" s="1401">
        <f t="shared" si="419"/>
        <v>11709200</v>
      </c>
      <c r="AC1089" s="1401">
        <f t="shared" si="420"/>
        <v>1951533.3333333333</v>
      </c>
      <c r="AD1089" s="1401">
        <f t="shared" si="421"/>
        <v>1951533.3333333333</v>
      </c>
      <c r="AE1089" s="1401">
        <f t="shared" si="422"/>
        <v>1951533.3333333333</v>
      </c>
      <c r="AF1089" s="1401">
        <f t="shared" si="423"/>
        <v>1951533.3333333333</v>
      </c>
      <c r="AG1089" s="1479">
        <f t="shared" si="424"/>
        <v>1951533.3333333333</v>
      </c>
      <c r="AH1089" s="1479">
        <f t="shared" si="425"/>
        <v>1951533.3333333333</v>
      </c>
      <c r="AI1089" s="1479">
        <f t="shared" si="426"/>
        <v>23418399.999999996</v>
      </c>
      <c r="AJ1089" s="1401">
        <f t="shared" si="427"/>
        <v>35127600</v>
      </c>
    </row>
    <row r="1090" spans="2:38" s="1390" customFormat="1" ht="40" customHeight="1" x14ac:dyDescent="0.2">
      <c r="B1090" s="1472"/>
      <c r="C1090" s="1478" t="s">
        <v>2307</v>
      </c>
      <c r="D1090" s="1426"/>
      <c r="E1090" s="1455" t="s">
        <v>1642</v>
      </c>
      <c r="F1090" s="1562"/>
      <c r="G1090" s="1416" t="s">
        <v>3565</v>
      </c>
      <c r="H1090" s="1414"/>
      <c r="I1090" s="1416"/>
      <c r="J1090" s="1512"/>
      <c r="K1090" s="1416"/>
      <c r="L1090" s="1500"/>
      <c r="M1090" s="1429" t="s">
        <v>52</v>
      </c>
      <c r="N1090" s="1416">
        <v>2008</v>
      </c>
      <c r="O1090" s="1414"/>
      <c r="P1090" s="1414"/>
      <c r="Q1090" s="1414"/>
      <c r="R1090" s="1501" t="s">
        <v>12</v>
      </c>
      <c r="S1090" s="1539">
        <v>962466046.16631413</v>
      </c>
      <c r="T1090" s="1416" t="s">
        <v>43</v>
      </c>
      <c r="U1090" s="1427"/>
      <c r="V1090" s="1477"/>
      <c r="W1090" s="1478" t="str">
        <f t="shared" si="399"/>
        <v>04.16.01</v>
      </c>
      <c r="X1090" s="1478" t="str">
        <f t="shared" si="415"/>
        <v>Jaringan Air Minum</v>
      </c>
      <c r="Y1090" s="1478">
        <f t="shared" si="416"/>
        <v>30</v>
      </c>
      <c r="Z1090" s="1401">
        <f t="shared" si="417"/>
        <v>32082201.538877137</v>
      </c>
      <c r="AA1090" s="1444">
        <f t="shared" si="418"/>
        <v>6</v>
      </c>
      <c r="AB1090" s="1401">
        <f t="shared" si="419"/>
        <v>192493209.23326284</v>
      </c>
      <c r="AC1090" s="1401">
        <f t="shared" si="420"/>
        <v>32082201.538877137</v>
      </c>
      <c r="AD1090" s="1401">
        <f t="shared" si="421"/>
        <v>32082201.538877137</v>
      </c>
      <c r="AE1090" s="1401">
        <f t="shared" si="422"/>
        <v>32082201.538877137</v>
      </c>
      <c r="AF1090" s="1401">
        <f t="shared" si="423"/>
        <v>32082201.538877137</v>
      </c>
      <c r="AG1090" s="1479">
        <f t="shared" si="424"/>
        <v>32082201.538877137</v>
      </c>
      <c r="AH1090" s="1479">
        <f t="shared" si="425"/>
        <v>32082201.538877137</v>
      </c>
      <c r="AI1090" s="1479">
        <f t="shared" si="426"/>
        <v>384986418.46652561</v>
      </c>
      <c r="AJ1090" s="1401">
        <f t="shared" si="427"/>
        <v>577479627.69978857</v>
      </c>
    </row>
    <row r="1091" spans="2:38" s="1472" customFormat="1" ht="40" customHeight="1" x14ac:dyDescent="0.2">
      <c r="C1091" s="1478" t="s">
        <v>2306</v>
      </c>
      <c r="D1091" s="1576"/>
      <c r="E1091" s="1455" t="s">
        <v>5746</v>
      </c>
      <c r="F1091" s="1562"/>
      <c r="G1091" s="1501" t="s">
        <v>2555</v>
      </c>
      <c r="H1091" s="1429"/>
      <c r="I1091" s="1501"/>
      <c r="J1091" s="1540"/>
      <c r="K1091" s="1501"/>
      <c r="L1091" s="1526"/>
      <c r="M1091" s="1429"/>
      <c r="N1091" s="1501">
        <v>2008</v>
      </c>
      <c r="O1091" s="1429"/>
      <c r="P1091" s="1429"/>
      <c r="Q1091" s="1429"/>
      <c r="R1091" s="1501" t="s">
        <v>12</v>
      </c>
      <c r="S1091" s="1539">
        <v>220000000</v>
      </c>
      <c r="T1091" s="1501" t="s">
        <v>43</v>
      </c>
      <c r="U1091" s="1596"/>
      <c r="V1091" s="1553"/>
      <c r="W1091" s="1478" t="str">
        <f>LEFT(G1091,8)</f>
        <v>04.16.01</v>
      </c>
      <c r="X1091" s="1478" t="str">
        <f>VLOOKUP(W1091,UE,3,FALSE)</f>
        <v>Jaringan Air Minum</v>
      </c>
      <c r="Y1091" s="1478">
        <f>VLOOKUP(W1091,UE,4,FALSE)</f>
        <v>30</v>
      </c>
      <c r="Z1091" s="1401">
        <f>S1091/Y1091</f>
        <v>7333333.333333333</v>
      </c>
      <c r="AA1091" s="1444">
        <f>IF(2013-N1091+1&gt;Y1091,Y1091,IF(2013-N1091+1&lt;0,0,2013-N1091+1))</f>
        <v>6</v>
      </c>
      <c r="AB1091" s="1401">
        <f>IF(AA1091&gt;Y1091,S1091,Z1091*AA1091)</f>
        <v>44000000</v>
      </c>
      <c r="AC1091" s="1401">
        <f>IF(S1091=AB1091,0,Z1091)</f>
        <v>7333333.333333333</v>
      </c>
      <c r="AD1091" s="1401">
        <f>IF(S1091=AB1091+AC1091,0,Z1091)</f>
        <v>7333333.333333333</v>
      </c>
      <c r="AE1091" s="1401">
        <f>IF(S1091=AB1091+AC1091+AD1091,0,Z1091)</f>
        <v>7333333.333333333</v>
      </c>
      <c r="AF1091" s="1401">
        <f>IF(S1091=AC1091+AD1091+AE1091+AB1091,0,Z1091)</f>
        <v>7333333.333333333</v>
      </c>
      <c r="AG1091" s="1479">
        <f>IF(S1091=AC1091+AD1091+AE1091+AB1091+AF1091,0,Z1091)</f>
        <v>7333333.333333333</v>
      </c>
      <c r="AH1091" s="1479">
        <f>IF(S1091=AC1091+AD1091+AE1091+AB1091+AF1091+AG1091,0,Z1091)</f>
        <v>7333333.333333333</v>
      </c>
      <c r="AI1091" s="1479">
        <f>SUM(AB1091:AH1091)</f>
        <v>88000000</v>
      </c>
      <c r="AJ1091" s="1401">
        <f>S1091-AI1091</f>
        <v>132000000</v>
      </c>
      <c r="AL1091" s="1554">
        <f>SUM(AB1091:AG1091)</f>
        <v>80666666.666666672</v>
      </c>
    </row>
    <row r="1092" spans="2:38" s="1390" customFormat="1" ht="40" customHeight="1" x14ac:dyDescent="0.2">
      <c r="B1092" s="1472"/>
      <c r="C1092" s="1478" t="s">
        <v>2307</v>
      </c>
      <c r="D1092" s="1426"/>
      <c r="E1092" s="1455" t="s">
        <v>1644</v>
      </c>
      <c r="F1092" s="1562"/>
      <c r="G1092" s="1416" t="s">
        <v>3565</v>
      </c>
      <c r="H1092" s="1414"/>
      <c r="I1092" s="1416"/>
      <c r="J1092" s="1512"/>
      <c r="K1092" s="1416"/>
      <c r="L1092" s="1500"/>
      <c r="M1092" s="1429" t="s">
        <v>3552</v>
      </c>
      <c r="N1092" s="1416">
        <v>2013</v>
      </c>
      <c r="O1092" s="1414"/>
      <c r="P1092" s="1414"/>
      <c r="Q1092" s="1414"/>
      <c r="R1092" s="1501" t="s">
        <v>12</v>
      </c>
      <c r="S1092" s="1539">
        <v>390003200</v>
      </c>
      <c r="T1092" s="1416"/>
      <c r="U1092" s="1427"/>
      <c r="V1092" s="1477"/>
      <c r="W1092" s="1478" t="str">
        <f t="shared" ref="W1092:W1101" si="428">LEFT(G1092,8)</f>
        <v>04.16.01</v>
      </c>
      <c r="X1092" s="1478" t="str">
        <f t="shared" ref="X1092:X1101" si="429">VLOOKUP(W1092,UE,3,FALSE)</f>
        <v>Jaringan Air Minum</v>
      </c>
      <c r="Y1092" s="1478">
        <f t="shared" ref="Y1092:Y1101" si="430">VLOOKUP(W1092,UE,4,FALSE)</f>
        <v>30</v>
      </c>
      <c r="Z1092" s="1401">
        <f t="shared" ref="Z1092:Z1101" si="431">S1092/Y1092</f>
        <v>13000106.666666666</v>
      </c>
      <c r="AA1092" s="1444">
        <f t="shared" ref="AA1092:AA1101" si="432">IF(2013-N1092+1&gt;Y1092,Y1092,IF(2013-N1092+1&lt;0,0,2013-N1092+1))</f>
        <v>1</v>
      </c>
      <c r="AB1092" s="1401">
        <f t="shared" ref="AB1092:AB1101" si="433">IF(AA1092&gt;Y1092,S1092,Z1092*AA1092)</f>
        <v>13000106.666666666</v>
      </c>
      <c r="AC1092" s="1401">
        <f t="shared" ref="AC1092:AC1101" si="434">IF(S1092=AB1092,0,Z1092)</f>
        <v>13000106.666666666</v>
      </c>
      <c r="AD1092" s="1401">
        <f t="shared" ref="AD1092:AD1101" si="435">IF(S1092=AB1092+AC1092,0,Z1092)</f>
        <v>13000106.666666666</v>
      </c>
      <c r="AE1092" s="1401">
        <f t="shared" ref="AE1092:AE1101" si="436">IF(S1092=AB1092+AC1092+AD1092,0,Z1092)</f>
        <v>13000106.666666666</v>
      </c>
      <c r="AF1092" s="1401">
        <f t="shared" ref="AF1092:AF1101" si="437">IF(S1092=AC1092+AD1092+AE1092+AB1092,0,Z1092)</f>
        <v>13000106.666666666</v>
      </c>
      <c r="AG1092" s="1479">
        <f t="shared" ref="AG1092:AG1101" si="438">IF(S1092=AC1092+AD1092+AE1092+AB1092+AF1092,0,Z1092)</f>
        <v>13000106.666666666</v>
      </c>
      <c r="AH1092" s="1479">
        <f t="shared" ref="AH1092:AH1102" si="439">IF(S1092=AC1092+AD1092+AE1092+AB1092+AF1092+AG1092,0,Z1092)</f>
        <v>13000106.666666666</v>
      </c>
      <c r="AI1092" s="1479">
        <f t="shared" ref="AI1092:AI1102" si="440">SUM(AB1092:AH1092)</f>
        <v>91000746.666666672</v>
      </c>
      <c r="AJ1092" s="1401">
        <f t="shared" ref="AJ1092:AJ1101" si="441">S1092-AI1092</f>
        <v>299002453.33333331</v>
      </c>
    </row>
    <row r="1093" spans="2:38" s="1390" customFormat="1" ht="40" customHeight="1" x14ac:dyDescent="0.2">
      <c r="B1093" s="1472"/>
      <c r="C1093" s="1478" t="s">
        <v>2307</v>
      </c>
      <c r="D1093" s="1426"/>
      <c r="E1093" s="1455" t="s">
        <v>1645</v>
      </c>
      <c r="F1093" s="1562"/>
      <c r="G1093" s="1416" t="s">
        <v>3565</v>
      </c>
      <c r="H1093" s="1414"/>
      <c r="I1093" s="1416"/>
      <c r="J1093" s="1512"/>
      <c r="K1093" s="1416"/>
      <c r="L1093" s="1500"/>
      <c r="M1093" s="1429" t="s">
        <v>3553</v>
      </c>
      <c r="N1093" s="1416">
        <v>2013</v>
      </c>
      <c r="O1093" s="1414"/>
      <c r="P1093" s="1414"/>
      <c r="Q1093" s="1414"/>
      <c r="R1093" s="1501" t="s">
        <v>12</v>
      </c>
      <c r="S1093" s="1539">
        <v>94800000</v>
      </c>
      <c r="T1093" s="1416"/>
      <c r="U1093" s="1427"/>
      <c r="V1093" s="1477"/>
      <c r="W1093" s="1478" t="str">
        <f t="shared" si="428"/>
        <v>04.16.01</v>
      </c>
      <c r="X1093" s="1478" t="str">
        <f t="shared" si="429"/>
        <v>Jaringan Air Minum</v>
      </c>
      <c r="Y1093" s="1478">
        <f t="shared" si="430"/>
        <v>30</v>
      </c>
      <c r="Z1093" s="1401">
        <f t="shared" si="431"/>
        <v>3160000</v>
      </c>
      <c r="AA1093" s="1444">
        <f t="shared" si="432"/>
        <v>1</v>
      </c>
      <c r="AB1093" s="1401">
        <f t="shared" si="433"/>
        <v>3160000</v>
      </c>
      <c r="AC1093" s="1401">
        <f t="shared" si="434"/>
        <v>3160000</v>
      </c>
      <c r="AD1093" s="1401">
        <f t="shared" si="435"/>
        <v>3160000</v>
      </c>
      <c r="AE1093" s="1401">
        <f t="shared" si="436"/>
        <v>3160000</v>
      </c>
      <c r="AF1093" s="1401">
        <f t="shared" si="437"/>
        <v>3160000</v>
      </c>
      <c r="AG1093" s="1479">
        <f t="shared" si="438"/>
        <v>3160000</v>
      </c>
      <c r="AH1093" s="1479">
        <f t="shared" si="439"/>
        <v>3160000</v>
      </c>
      <c r="AI1093" s="1479">
        <f t="shared" si="440"/>
        <v>22120000</v>
      </c>
      <c r="AJ1093" s="1401">
        <f t="shared" si="441"/>
        <v>72680000</v>
      </c>
    </row>
    <row r="1094" spans="2:38" s="1390" customFormat="1" ht="55" customHeight="1" x14ac:dyDescent="0.2">
      <c r="B1094" s="1472"/>
      <c r="C1094" s="1478" t="s">
        <v>2307</v>
      </c>
      <c r="D1094" s="1426"/>
      <c r="E1094" s="1455" t="s">
        <v>3514</v>
      </c>
      <c r="F1094" s="1562"/>
      <c r="G1094" s="1416" t="s">
        <v>3565</v>
      </c>
      <c r="H1094" s="1414"/>
      <c r="I1094" s="1416"/>
      <c r="J1094" s="1512"/>
      <c r="K1094" s="1416"/>
      <c r="L1094" s="1500"/>
      <c r="M1094" s="1429" t="s">
        <v>3555</v>
      </c>
      <c r="N1094" s="1416">
        <v>2009</v>
      </c>
      <c r="O1094" s="1414"/>
      <c r="P1094" s="1414"/>
      <c r="Q1094" s="1414"/>
      <c r="R1094" s="1501" t="s">
        <v>12</v>
      </c>
      <c r="S1094" s="1539">
        <v>766949312.29735994</v>
      </c>
      <c r="T1094" s="1416"/>
      <c r="U1094" s="1427"/>
      <c r="V1094" s="1477"/>
      <c r="W1094" s="1478" t="str">
        <f t="shared" si="428"/>
        <v>04.16.01</v>
      </c>
      <c r="X1094" s="1478" t="str">
        <f t="shared" si="429"/>
        <v>Jaringan Air Minum</v>
      </c>
      <c r="Y1094" s="1478">
        <f t="shared" si="430"/>
        <v>30</v>
      </c>
      <c r="Z1094" s="1401">
        <f t="shared" si="431"/>
        <v>25564977.076578666</v>
      </c>
      <c r="AA1094" s="1444">
        <f t="shared" si="432"/>
        <v>5</v>
      </c>
      <c r="AB1094" s="1401">
        <f t="shared" si="433"/>
        <v>127824885.38289332</v>
      </c>
      <c r="AC1094" s="1401">
        <f t="shared" si="434"/>
        <v>25564977.076578666</v>
      </c>
      <c r="AD1094" s="1401">
        <f t="shared" si="435"/>
        <v>25564977.076578666</v>
      </c>
      <c r="AE1094" s="1401">
        <f t="shared" si="436"/>
        <v>25564977.076578666</v>
      </c>
      <c r="AF1094" s="1401">
        <f t="shared" si="437"/>
        <v>25564977.076578666</v>
      </c>
      <c r="AG1094" s="1479">
        <f t="shared" si="438"/>
        <v>25564977.076578666</v>
      </c>
      <c r="AH1094" s="1479">
        <f t="shared" si="439"/>
        <v>25564977.076578666</v>
      </c>
      <c r="AI1094" s="1479">
        <f t="shared" si="440"/>
        <v>281214747.84236538</v>
      </c>
      <c r="AJ1094" s="1401">
        <f t="shared" si="441"/>
        <v>485734564.45499456</v>
      </c>
    </row>
    <row r="1095" spans="2:38" s="1390" customFormat="1" ht="34" customHeight="1" x14ac:dyDescent="0.2">
      <c r="B1095" s="1472"/>
      <c r="C1095" s="1478" t="s">
        <v>2307</v>
      </c>
      <c r="D1095" s="1426"/>
      <c r="E1095" s="1455" t="s">
        <v>3515</v>
      </c>
      <c r="F1095" s="1562"/>
      <c r="G1095" s="1416" t="s">
        <v>3565</v>
      </c>
      <c r="H1095" s="1414"/>
      <c r="I1095" s="1416"/>
      <c r="J1095" s="1512"/>
      <c r="K1095" s="1416"/>
      <c r="L1095" s="1500"/>
      <c r="M1095" s="1429" t="s">
        <v>2986</v>
      </c>
      <c r="N1095" s="1416">
        <v>2009</v>
      </c>
      <c r="O1095" s="1414"/>
      <c r="P1095" s="1414"/>
      <c r="Q1095" s="1414"/>
      <c r="R1095" s="1501" t="s">
        <v>12</v>
      </c>
      <c r="S1095" s="1539">
        <v>1568052481.3917563</v>
      </c>
      <c r="T1095" s="1416"/>
      <c r="U1095" s="1427"/>
      <c r="V1095" s="1477"/>
      <c r="W1095" s="1478" t="str">
        <f t="shared" si="428"/>
        <v>04.16.01</v>
      </c>
      <c r="X1095" s="1478" t="str">
        <f t="shared" si="429"/>
        <v>Jaringan Air Minum</v>
      </c>
      <c r="Y1095" s="1478">
        <f t="shared" si="430"/>
        <v>30</v>
      </c>
      <c r="Z1095" s="1401">
        <f t="shared" si="431"/>
        <v>52268416.046391875</v>
      </c>
      <c r="AA1095" s="1444">
        <f t="shared" si="432"/>
        <v>5</v>
      </c>
      <c r="AB1095" s="1401">
        <f t="shared" si="433"/>
        <v>261342080.23195937</v>
      </c>
      <c r="AC1095" s="1401">
        <f t="shared" si="434"/>
        <v>52268416.046391875</v>
      </c>
      <c r="AD1095" s="1401">
        <f t="shared" si="435"/>
        <v>52268416.046391875</v>
      </c>
      <c r="AE1095" s="1401">
        <f t="shared" si="436"/>
        <v>52268416.046391875</v>
      </c>
      <c r="AF1095" s="1401">
        <f t="shared" si="437"/>
        <v>52268416.046391875</v>
      </c>
      <c r="AG1095" s="1479">
        <f t="shared" si="438"/>
        <v>52268416.046391875</v>
      </c>
      <c r="AH1095" s="1479">
        <f t="shared" si="439"/>
        <v>52268416.046391875</v>
      </c>
      <c r="AI1095" s="1479">
        <f t="shared" si="440"/>
        <v>574952576.51031053</v>
      </c>
      <c r="AJ1095" s="1401">
        <f t="shared" si="441"/>
        <v>993099904.88144577</v>
      </c>
    </row>
    <row r="1096" spans="2:38" s="1390" customFormat="1" ht="34" customHeight="1" x14ac:dyDescent="0.2">
      <c r="B1096" s="1472"/>
      <c r="C1096" s="1478" t="s">
        <v>2307</v>
      </c>
      <c r="D1096" s="1426"/>
      <c r="E1096" s="1455" t="s">
        <v>3516</v>
      </c>
      <c r="F1096" s="1562"/>
      <c r="G1096" s="1416" t="s">
        <v>3566</v>
      </c>
      <c r="H1096" s="1414"/>
      <c r="I1096" s="1416"/>
      <c r="J1096" s="1512"/>
      <c r="K1096" s="1416"/>
      <c r="L1096" s="1500"/>
      <c r="M1096" s="1429" t="s">
        <v>52</v>
      </c>
      <c r="N1096" s="1416">
        <v>2010</v>
      </c>
      <c r="O1096" s="1414"/>
      <c r="P1096" s="1414"/>
      <c r="Q1096" s="1414"/>
      <c r="R1096" s="1501" t="s">
        <v>12</v>
      </c>
      <c r="S1096" s="1539">
        <v>474869332.85883301</v>
      </c>
      <c r="T1096" s="1416"/>
      <c r="U1096" s="1427"/>
      <c r="V1096" s="1477"/>
      <c r="W1096" s="1478" t="str">
        <f t="shared" si="428"/>
        <v>04.16.01</v>
      </c>
      <c r="X1096" s="1478" t="str">
        <f t="shared" si="429"/>
        <v>Jaringan Air Minum</v>
      </c>
      <c r="Y1096" s="1478">
        <f t="shared" si="430"/>
        <v>30</v>
      </c>
      <c r="Z1096" s="1401">
        <f t="shared" si="431"/>
        <v>15828977.761961101</v>
      </c>
      <c r="AA1096" s="1444">
        <f t="shared" si="432"/>
        <v>4</v>
      </c>
      <c r="AB1096" s="1401">
        <f t="shared" si="433"/>
        <v>63315911.047844402</v>
      </c>
      <c r="AC1096" s="1401">
        <f t="shared" si="434"/>
        <v>15828977.761961101</v>
      </c>
      <c r="AD1096" s="1401">
        <f t="shared" si="435"/>
        <v>15828977.761961101</v>
      </c>
      <c r="AE1096" s="1401">
        <f t="shared" si="436"/>
        <v>15828977.761961101</v>
      </c>
      <c r="AF1096" s="1401">
        <f t="shared" si="437"/>
        <v>15828977.761961101</v>
      </c>
      <c r="AG1096" s="1479">
        <f t="shared" si="438"/>
        <v>15828977.761961101</v>
      </c>
      <c r="AH1096" s="1479">
        <f t="shared" si="439"/>
        <v>15828977.761961101</v>
      </c>
      <c r="AI1096" s="1479">
        <f t="shared" si="440"/>
        <v>158289777.619611</v>
      </c>
      <c r="AJ1096" s="1401">
        <f t="shared" si="441"/>
        <v>316579555.23922205</v>
      </c>
    </row>
    <row r="1097" spans="2:38" s="1390" customFormat="1" ht="34" customHeight="1" x14ac:dyDescent="0.2">
      <c r="B1097" s="1472"/>
      <c r="C1097" s="1478" t="s">
        <v>2307</v>
      </c>
      <c r="D1097" s="1426"/>
      <c r="E1097" s="1455" t="s">
        <v>3517</v>
      </c>
      <c r="F1097" s="1562"/>
      <c r="G1097" s="1416" t="s">
        <v>3566</v>
      </c>
      <c r="H1097" s="1414"/>
      <c r="I1097" s="1416"/>
      <c r="J1097" s="1512"/>
      <c r="K1097" s="1416"/>
      <c r="L1097" s="1500"/>
      <c r="M1097" s="1429" t="s">
        <v>52</v>
      </c>
      <c r="N1097" s="1416">
        <v>2010</v>
      </c>
      <c r="O1097" s="1414"/>
      <c r="P1097" s="1414"/>
      <c r="Q1097" s="1414"/>
      <c r="R1097" s="1501" t="s">
        <v>12</v>
      </c>
      <c r="S1097" s="1539">
        <v>406454267.44035602</v>
      </c>
      <c r="T1097" s="1416"/>
      <c r="U1097" s="1427"/>
      <c r="V1097" s="1477"/>
      <c r="W1097" s="1478" t="str">
        <f t="shared" si="428"/>
        <v>04.16.01</v>
      </c>
      <c r="X1097" s="1478" t="str">
        <f t="shared" si="429"/>
        <v>Jaringan Air Minum</v>
      </c>
      <c r="Y1097" s="1478">
        <f t="shared" si="430"/>
        <v>30</v>
      </c>
      <c r="Z1097" s="1401">
        <f t="shared" si="431"/>
        <v>13548475.581345201</v>
      </c>
      <c r="AA1097" s="1444">
        <f t="shared" si="432"/>
        <v>4</v>
      </c>
      <c r="AB1097" s="1401">
        <f t="shared" si="433"/>
        <v>54193902.325380802</v>
      </c>
      <c r="AC1097" s="1401">
        <f t="shared" si="434"/>
        <v>13548475.581345201</v>
      </c>
      <c r="AD1097" s="1401">
        <f t="shared" si="435"/>
        <v>13548475.581345201</v>
      </c>
      <c r="AE1097" s="1401">
        <f t="shared" si="436"/>
        <v>13548475.581345201</v>
      </c>
      <c r="AF1097" s="1401">
        <f t="shared" si="437"/>
        <v>13548475.581345201</v>
      </c>
      <c r="AG1097" s="1479">
        <f t="shared" si="438"/>
        <v>13548475.581345201</v>
      </c>
      <c r="AH1097" s="1479">
        <f t="shared" si="439"/>
        <v>13548475.581345201</v>
      </c>
      <c r="AI1097" s="1479">
        <f t="shared" si="440"/>
        <v>135484755.81345201</v>
      </c>
      <c r="AJ1097" s="1401">
        <f t="shared" si="441"/>
        <v>270969511.62690401</v>
      </c>
    </row>
    <row r="1098" spans="2:38" s="1390" customFormat="1" ht="34" customHeight="1" x14ac:dyDescent="0.2">
      <c r="B1098" s="1472"/>
      <c r="C1098" s="1478" t="s">
        <v>2307</v>
      </c>
      <c r="D1098" s="1426"/>
      <c r="E1098" s="1455" t="s">
        <v>3518</v>
      </c>
      <c r="F1098" s="1562"/>
      <c r="G1098" s="1416" t="s">
        <v>3567</v>
      </c>
      <c r="H1098" s="1414"/>
      <c r="I1098" s="1416"/>
      <c r="J1098" s="1512"/>
      <c r="K1098" s="1416"/>
      <c r="L1098" s="1500"/>
      <c r="M1098" s="1429" t="s">
        <v>52</v>
      </c>
      <c r="N1098" s="1416">
        <v>2011</v>
      </c>
      <c r="O1098" s="1414"/>
      <c r="P1098" s="1414"/>
      <c r="Q1098" s="1414"/>
      <c r="R1098" s="1501"/>
      <c r="S1098" s="1539">
        <v>49225000</v>
      </c>
      <c r="T1098" s="1416"/>
      <c r="U1098" s="1427"/>
      <c r="V1098" s="1477"/>
      <c r="W1098" s="1478" t="str">
        <f t="shared" si="428"/>
        <v>04.16.01</v>
      </c>
      <c r="X1098" s="1478" t="str">
        <f t="shared" si="429"/>
        <v>Jaringan Air Minum</v>
      </c>
      <c r="Y1098" s="1478">
        <f t="shared" si="430"/>
        <v>30</v>
      </c>
      <c r="Z1098" s="1401">
        <f t="shared" si="431"/>
        <v>1640833.3333333333</v>
      </c>
      <c r="AA1098" s="1444">
        <f t="shared" si="432"/>
        <v>3</v>
      </c>
      <c r="AB1098" s="1401">
        <f t="shared" si="433"/>
        <v>4922500</v>
      </c>
      <c r="AC1098" s="1401">
        <f t="shared" si="434"/>
        <v>1640833.3333333333</v>
      </c>
      <c r="AD1098" s="1401">
        <f t="shared" si="435"/>
        <v>1640833.3333333333</v>
      </c>
      <c r="AE1098" s="1401">
        <f t="shared" si="436"/>
        <v>1640833.3333333333</v>
      </c>
      <c r="AF1098" s="1401">
        <f t="shared" si="437"/>
        <v>1640833.3333333333</v>
      </c>
      <c r="AG1098" s="1479">
        <f t="shared" si="438"/>
        <v>1640833.3333333333</v>
      </c>
      <c r="AH1098" s="1479">
        <f t="shared" si="439"/>
        <v>1640833.3333333333</v>
      </c>
      <c r="AI1098" s="1479">
        <f t="shared" si="440"/>
        <v>14767500.000000002</v>
      </c>
      <c r="AJ1098" s="1401">
        <f t="shared" si="441"/>
        <v>34457500</v>
      </c>
    </row>
    <row r="1099" spans="2:38" s="1390" customFormat="1" ht="34" customHeight="1" x14ac:dyDescent="0.2">
      <c r="B1099" s="1472"/>
      <c r="C1099" s="1478" t="s">
        <v>2307</v>
      </c>
      <c r="D1099" s="1426"/>
      <c r="E1099" s="1455" t="s">
        <v>3519</v>
      </c>
      <c r="F1099" s="1562"/>
      <c r="G1099" s="1416" t="s">
        <v>3566</v>
      </c>
      <c r="H1099" s="1414" t="s">
        <v>39</v>
      </c>
      <c r="I1099" s="1416"/>
      <c r="J1099" s="1512"/>
      <c r="K1099" s="1416"/>
      <c r="L1099" s="1500"/>
      <c r="M1099" s="1429" t="s">
        <v>2614</v>
      </c>
      <c r="N1099" s="1416">
        <v>2011</v>
      </c>
      <c r="O1099" s="1414"/>
      <c r="P1099" s="1414"/>
      <c r="Q1099" s="1414"/>
      <c r="R1099" s="1501" t="s">
        <v>12</v>
      </c>
      <c r="S1099" s="1539">
        <v>360271116.84319699</v>
      </c>
      <c r="T1099" s="1416"/>
      <c r="U1099" s="1427"/>
      <c r="V1099" s="1477"/>
      <c r="W1099" s="1478" t="str">
        <f t="shared" si="428"/>
        <v>04.16.01</v>
      </c>
      <c r="X1099" s="1478" t="str">
        <f t="shared" si="429"/>
        <v>Jaringan Air Minum</v>
      </c>
      <c r="Y1099" s="1478">
        <f t="shared" si="430"/>
        <v>30</v>
      </c>
      <c r="Z1099" s="1401">
        <f t="shared" si="431"/>
        <v>12009037.228106566</v>
      </c>
      <c r="AA1099" s="1444">
        <f t="shared" si="432"/>
        <v>3</v>
      </c>
      <c r="AB1099" s="1401">
        <f t="shared" si="433"/>
        <v>36027111.684319697</v>
      </c>
      <c r="AC1099" s="1401">
        <f t="shared" si="434"/>
        <v>12009037.228106566</v>
      </c>
      <c r="AD1099" s="1401">
        <f t="shared" si="435"/>
        <v>12009037.228106566</v>
      </c>
      <c r="AE1099" s="1401">
        <f t="shared" si="436"/>
        <v>12009037.228106566</v>
      </c>
      <c r="AF1099" s="1401">
        <f t="shared" si="437"/>
        <v>12009037.228106566</v>
      </c>
      <c r="AG1099" s="1479">
        <f t="shared" si="438"/>
        <v>12009037.228106566</v>
      </c>
      <c r="AH1099" s="1479">
        <f t="shared" si="439"/>
        <v>12009037.228106566</v>
      </c>
      <c r="AI1099" s="1479">
        <f t="shared" si="440"/>
        <v>108081335.05295908</v>
      </c>
      <c r="AJ1099" s="1401">
        <f t="shared" si="441"/>
        <v>252189781.7902379</v>
      </c>
    </row>
    <row r="1100" spans="2:38" s="1390" customFormat="1" ht="34" customHeight="1" x14ac:dyDescent="0.2">
      <c r="B1100" s="1472"/>
      <c r="C1100" s="1478" t="s">
        <v>2307</v>
      </c>
      <c r="D1100" s="1426"/>
      <c r="E1100" s="1455" t="s">
        <v>3520</v>
      </c>
      <c r="F1100" s="1562"/>
      <c r="G1100" s="1416" t="s">
        <v>3567</v>
      </c>
      <c r="H1100" s="1414" t="s">
        <v>39</v>
      </c>
      <c r="I1100" s="1416"/>
      <c r="J1100" s="1512"/>
      <c r="K1100" s="1416"/>
      <c r="L1100" s="1500"/>
      <c r="M1100" s="1429" t="s">
        <v>2614</v>
      </c>
      <c r="N1100" s="1416">
        <v>2011</v>
      </c>
      <c r="O1100" s="1414"/>
      <c r="P1100" s="1414"/>
      <c r="Q1100" s="1414"/>
      <c r="R1100" s="1501" t="s">
        <v>12</v>
      </c>
      <c r="S1100" s="1539">
        <v>105422055.34248437</v>
      </c>
      <c r="T1100" s="1416"/>
      <c r="U1100" s="1427"/>
      <c r="V1100" s="1477"/>
      <c r="W1100" s="1478" t="str">
        <f t="shared" si="428"/>
        <v>04.16.01</v>
      </c>
      <c r="X1100" s="1478" t="str">
        <f t="shared" si="429"/>
        <v>Jaringan Air Minum</v>
      </c>
      <c r="Y1100" s="1478">
        <f t="shared" si="430"/>
        <v>30</v>
      </c>
      <c r="Z1100" s="1401">
        <f t="shared" si="431"/>
        <v>3514068.5114161456</v>
      </c>
      <c r="AA1100" s="1444">
        <f t="shared" si="432"/>
        <v>3</v>
      </c>
      <c r="AB1100" s="1401">
        <f t="shared" si="433"/>
        <v>10542205.534248438</v>
      </c>
      <c r="AC1100" s="1401">
        <f t="shared" si="434"/>
        <v>3514068.5114161456</v>
      </c>
      <c r="AD1100" s="1401">
        <f t="shared" si="435"/>
        <v>3514068.5114161456</v>
      </c>
      <c r="AE1100" s="1401">
        <f t="shared" si="436"/>
        <v>3514068.5114161456</v>
      </c>
      <c r="AF1100" s="1401">
        <f t="shared" si="437"/>
        <v>3514068.5114161456</v>
      </c>
      <c r="AG1100" s="1479">
        <f t="shared" si="438"/>
        <v>3514068.5114161456</v>
      </c>
      <c r="AH1100" s="1479">
        <f t="shared" si="439"/>
        <v>3514068.5114161456</v>
      </c>
      <c r="AI1100" s="1479">
        <f t="shared" si="440"/>
        <v>31626616.602745306</v>
      </c>
      <c r="AJ1100" s="1401">
        <f t="shared" si="441"/>
        <v>73795438.73973906</v>
      </c>
    </row>
    <row r="1101" spans="2:38" s="1390" customFormat="1" ht="34" customHeight="1" x14ac:dyDescent="0.2">
      <c r="B1101" s="1472"/>
      <c r="C1101" s="1478" t="s">
        <v>2307</v>
      </c>
      <c r="D1101" s="1426"/>
      <c r="E1101" s="1455" t="s">
        <v>3521</v>
      </c>
      <c r="F1101" s="1562"/>
      <c r="G1101" s="1416" t="s">
        <v>3567</v>
      </c>
      <c r="H1101" s="1414" t="s">
        <v>68</v>
      </c>
      <c r="I1101" s="1416"/>
      <c r="J1101" s="1512"/>
      <c r="K1101" s="1416"/>
      <c r="L1101" s="1500"/>
      <c r="M1101" s="1429" t="s">
        <v>2614</v>
      </c>
      <c r="N1101" s="1416">
        <v>2011</v>
      </c>
      <c r="O1101" s="1414"/>
      <c r="P1101" s="1414"/>
      <c r="Q1101" s="1414"/>
      <c r="R1101" s="1501" t="s">
        <v>12</v>
      </c>
      <c r="S1101" s="1539">
        <v>82118232.582566783</v>
      </c>
      <c r="T1101" s="1416"/>
      <c r="U1101" s="1427"/>
      <c r="V1101" s="1477"/>
      <c r="W1101" s="1478" t="str">
        <f t="shared" si="428"/>
        <v>04.16.01</v>
      </c>
      <c r="X1101" s="1478" t="str">
        <f t="shared" si="429"/>
        <v>Jaringan Air Minum</v>
      </c>
      <c r="Y1101" s="1478">
        <f t="shared" si="430"/>
        <v>30</v>
      </c>
      <c r="Z1101" s="1401">
        <f t="shared" si="431"/>
        <v>2737274.4194188928</v>
      </c>
      <c r="AA1101" s="1444">
        <f t="shared" si="432"/>
        <v>3</v>
      </c>
      <c r="AB1101" s="1401">
        <f t="shared" si="433"/>
        <v>8211823.2582566785</v>
      </c>
      <c r="AC1101" s="1401">
        <f t="shared" si="434"/>
        <v>2737274.4194188928</v>
      </c>
      <c r="AD1101" s="1401">
        <f t="shared" si="435"/>
        <v>2737274.4194188928</v>
      </c>
      <c r="AE1101" s="1401">
        <f t="shared" si="436"/>
        <v>2737274.4194188928</v>
      </c>
      <c r="AF1101" s="1401">
        <f t="shared" si="437"/>
        <v>2737274.4194188928</v>
      </c>
      <c r="AG1101" s="1479">
        <f t="shared" si="438"/>
        <v>2737274.4194188928</v>
      </c>
      <c r="AH1101" s="1479">
        <f t="shared" si="439"/>
        <v>2737274.4194188928</v>
      </c>
      <c r="AI1101" s="1479">
        <f t="shared" si="440"/>
        <v>24635469.77477004</v>
      </c>
      <c r="AJ1101" s="1401">
        <f t="shared" si="441"/>
        <v>57482762.807796746</v>
      </c>
    </row>
    <row r="1102" spans="2:38" s="1390" customFormat="1" ht="34" customHeight="1" x14ac:dyDescent="0.2">
      <c r="B1102" s="1472"/>
      <c r="C1102" s="1478" t="s">
        <v>2307</v>
      </c>
      <c r="D1102" s="1426"/>
      <c r="E1102" s="1455" t="s">
        <v>3522</v>
      </c>
      <c r="F1102" s="1562"/>
      <c r="G1102" s="1416" t="s">
        <v>3567</v>
      </c>
      <c r="H1102" s="1414" t="s">
        <v>1765</v>
      </c>
      <c r="I1102" s="1416"/>
      <c r="J1102" s="1512"/>
      <c r="K1102" s="1416"/>
      <c r="L1102" s="1500"/>
      <c r="M1102" s="1429" t="s">
        <v>2614</v>
      </c>
      <c r="N1102" s="1416">
        <v>2011</v>
      </c>
      <c r="O1102" s="1414"/>
      <c r="P1102" s="1414"/>
      <c r="Q1102" s="1414"/>
      <c r="R1102" s="1501" t="s">
        <v>12</v>
      </c>
      <c r="S1102" s="1539">
        <v>162793847.5657101</v>
      </c>
      <c r="T1102" s="1416"/>
      <c r="U1102" s="1427"/>
      <c r="V1102" s="1477"/>
      <c r="W1102" s="1478" t="str">
        <f t="shared" ref="W1102:W1109" si="442">LEFT(G1102,8)</f>
        <v>04.16.01</v>
      </c>
      <c r="X1102" s="1478" t="str">
        <f t="shared" ref="X1102:X1109" si="443">VLOOKUP(W1102,UE,3,FALSE)</f>
        <v>Jaringan Air Minum</v>
      </c>
      <c r="Y1102" s="1478">
        <f t="shared" ref="Y1102:Y1109" si="444">VLOOKUP(W1102,UE,4,FALSE)</f>
        <v>30</v>
      </c>
      <c r="Z1102" s="1401">
        <f t="shared" ref="Z1102:Z1109" si="445">S1102/Y1102</f>
        <v>5426461.5855236696</v>
      </c>
      <c r="AA1102" s="1444">
        <f t="shared" ref="AA1102:AA1109" si="446">IF(2013-N1102+1&gt;Y1102,Y1102,IF(2013-N1102+1&lt;0,0,2013-N1102+1))</f>
        <v>3</v>
      </c>
      <c r="AB1102" s="1401">
        <f t="shared" ref="AB1102:AB1109" si="447">IF(AA1102&gt;Y1102,S1102,Z1102*AA1102)</f>
        <v>16279384.75657101</v>
      </c>
      <c r="AC1102" s="1401">
        <f t="shared" ref="AC1102:AC1109" si="448">IF(S1102=AB1102,0,Z1102)</f>
        <v>5426461.5855236696</v>
      </c>
      <c r="AD1102" s="1401">
        <f t="shared" ref="AD1102:AD1109" si="449">IF(S1102=AB1102+AC1102,0,Z1102)</f>
        <v>5426461.5855236696</v>
      </c>
      <c r="AE1102" s="1401">
        <f t="shared" ref="AE1102:AE1109" si="450">IF(S1102=AB1102+AC1102+AD1102,0,Z1102)</f>
        <v>5426461.5855236696</v>
      </c>
      <c r="AF1102" s="1401">
        <f t="shared" ref="AF1102:AF1109" si="451">IF(S1102=AC1102+AD1102+AE1102+AB1102,0,Z1102)</f>
        <v>5426461.5855236696</v>
      </c>
      <c r="AG1102" s="1479">
        <f t="shared" ref="AG1102:AG1109" si="452">IF(S1102=AC1102+AD1102+AE1102+AB1102+AF1102,0,Z1102)</f>
        <v>5426461.5855236696</v>
      </c>
      <c r="AH1102" s="1479">
        <f t="shared" si="439"/>
        <v>5426461.5855236696</v>
      </c>
      <c r="AI1102" s="1479">
        <f t="shared" si="440"/>
        <v>48838154.269713029</v>
      </c>
      <c r="AJ1102" s="1401">
        <f t="shared" ref="AJ1102:AJ1109" si="453">S1102-AI1102</f>
        <v>113955693.29599707</v>
      </c>
    </row>
    <row r="1103" spans="2:38" s="1390" customFormat="1" ht="34" customHeight="1" x14ac:dyDescent="0.2">
      <c r="B1103" s="1472"/>
      <c r="C1103" s="1478" t="s">
        <v>2307</v>
      </c>
      <c r="D1103" s="1426"/>
      <c r="E1103" s="1455" t="s">
        <v>3523</v>
      </c>
      <c r="F1103" s="1562"/>
      <c r="G1103" s="1416" t="s">
        <v>3567</v>
      </c>
      <c r="H1103" s="1414" t="s">
        <v>1768</v>
      </c>
      <c r="I1103" s="1416"/>
      <c r="J1103" s="1512"/>
      <c r="K1103" s="1416"/>
      <c r="L1103" s="1500"/>
      <c r="M1103" s="1429" t="s">
        <v>2614</v>
      </c>
      <c r="N1103" s="1416">
        <v>2011</v>
      </c>
      <c r="O1103" s="1414"/>
      <c r="P1103" s="1414"/>
      <c r="Q1103" s="1414"/>
      <c r="R1103" s="1501" t="s">
        <v>12</v>
      </c>
      <c r="S1103" s="1539">
        <v>45039631.159846455</v>
      </c>
      <c r="T1103" s="1416"/>
      <c r="U1103" s="1427"/>
      <c r="V1103" s="1477"/>
      <c r="W1103" s="1478" t="str">
        <f t="shared" si="442"/>
        <v>04.16.01</v>
      </c>
      <c r="X1103" s="1478" t="str">
        <f t="shared" si="443"/>
        <v>Jaringan Air Minum</v>
      </c>
      <c r="Y1103" s="1478">
        <f t="shared" si="444"/>
        <v>30</v>
      </c>
      <c r="Z1103" s="1401">
        <f t="shared" si="445"/>
        <v>1501321.0386615484</v>
      </c>
      <c r="AA1103" s="1444">
        <f t="shared" si="446"/>
        <v>3</v>
      </c>
      <c r="AB1103" s="1401">
        <f t="shared" si="447"/>
        <v>4503963.1159846447</v>
      </c>
      <c r="AC1103" s="1401">
        <f t="shared" si="448"/>
        <v>1501321.0386615484</v>
      </c>
      <c r="AD1103" s="1401">
        <f t="shared" si="449"/>
        <v>1501321.0386615484</v>
      </c>
      <c r="AE1103" s="1401">
        <f t="shared" si="450"/>
        <v>1501321.0386615484</v>
      </c>
      <c r="AF1103" s="1401">
        <f t="shared" si="451"/>
        <v>1501321.0386615484</v>
      </c>
      <c r="AG1103" s="1479">
        <f t="shared" si="452"/>
        <v>1501321.0386615484</v>
      </c>
      <c r="AH1103" s="1479">
        <f t="shared" ref="AH1103:AH1109" si="454">IF(S1103=AC1103+AD1103+AE1103+AB1103+AF1103+AG1103,0,Z1103)</f>
        <v>1501321.0386615484</v>
      </c>
      <c r="AI1103" s="1479">
        <f t="shared" ref="AI1103:AI1109" si="455">SUM(AB1103:AH1103)</f>
        <v>13511889.347953938</v>
      </c>
      <c r="AJ1103" s="1401">
        <f t="shared" si="453"/>
        <v>31527741.811892517</v>
      </c>
    </row>
    <row r="1104" spans="2:38" s="1390" customFormat="1" ht="34" customHeight="1" x14ac:dyDescent="0.2">
      <c r="B1104" s="1472"/>
      <c r="C1104" s="1478" t="s">
        <v>2307</v>
      </c>
      <c r="D1104" s="1426"/>
      <c r="E1104" s="1455" t="s">
        <v>3524</v>
      </c>
      <c r="F1104" s="1562"/>
      <c r="G1104" s="1416" t="s">
        <v>3567</v>
      </c>
      <c r="H1104" s="1414" t="s">
        <v>1855</v>
      </c>
      <c r="I1104" s="1416"/>
      <c r="J1104" s="1512"/>
      <c r="K1104" s="1416"/>
      <c r="L1104" s="1500"/>
      <c r="M1104" s="1429" t="s">
        <v>2614</v>
      </c>
      <c r="N1104" s="1416">
        <v>2011</v>
      </c>
      <c r="O1104" s="1414"/>
      <c r="P1104" s="1414"/>
      <c r="Q1104" s="1414"/>
      <c r="R1104" s="1501" t="s">
        <v>12</v>
      </c>
      <c r="S1104" s="1539">
        <v>38395822.261578523</v>
      </c>
      <c r="T1104" s="1416"/>
      <c r="U1104" s="1427"/>
      <c r="V1104" s="1477"/>
      <c r="W1104" s="1478" t="str">
        <f t="shared" si="442"/>
        <v>04.16.01</v>
      </c>
      <c r="X1104" s="1478" t="str">
        <f t="shared" si="443"/>
        <v>Jaringan Air Minum</v>
      </c>
      <c r="Y1104" s="1478">
        <f t="shared" si="444"/>
        <v>30</v>
      </c>
      <c r="Z1104" s="1401">
        <f t="shared" si="445"/>
        <v>1279860.7420526175</v>
      </c>
      <c r="AA1104" s="1444">
        <f t="shared" si="446"/>
        <v>3</v>
      </c>
      <c r="AB1104" s="1401">
        <f t="shared" si="447"/>
        <v>3839582.2261578524</v>
      </c>
      <c r="AC1104" s="1401">
        <f t="shared" si="448"/>
        <v>1279860.7420526175</v>
      </c>
      <c r="AD1104" s="1401">
        <f t="shared" si="449"/>
        <v>1279860.7420526175</v>
      </c>
      <c r="AE1104" s="1401">
        <f t="shared" si="450"/>
        <v>1279860.7420526175</v>
      </c>
      <c r="AF1104" s="1401">
        <f t="shared" si="451"/>
        <v>1279860.7420526175</v>
      </c>
      <c r="AG1104" s="1479">
        <f t="shared" si="452"/>
        <v>1279860.7420526175</v>
      </c>
      <c r="AH1104" s="1479">
        <f t="shared" si="454"/>
        <v>1279860.7420526175</v>
      </c>
      <c r="AI1104" s="1479">
        <f t="shared" si="455"/>
        <v>11518746.678473558</v>
      </c>
      <c r="AJ1104" s="1401">
        <f t="shared" si="453"/>
        <v>26877075.583104964</v>
      </c>
    </row>
    <row r="1105" spans="2:38" s="1390" customFormat="1" ht="34" customHeight="1" x14ac:dyDescent="0.2">
      <c r="B1105" s="1472"/>
      <c r="C1105" s="1478" t="s">
        <v>2307</v>
      </c>
      <c r="D1105" s="1426"/>
      <c r="E1105" s="1455" t="s">
        <v>3525</v>
      </c>
      <c r="F1105" s="1562"/>
      <c r="G1105" s="1416" t="s">
        <v>2555</v>
      </c>
      <c r="H1105" s="1414" t="s">
        <v>39</v>
      </c>
      <c r="I1105" s="1416"/>
      <c r="J1105" s="1512"/>
      <c r="K1105" s="1416"/>
      <c r="L1105" s="1500"/>
      <c r="M1105" s="1429" t="s">
        <v>2940</v>
      </c>
      <c r="N1105" s="1416">
        <v>2012</v>
      </c>
      <c r="O1105" s="1414"/>
      <c r="P1105" s="1414"/>
      <c r="Q1105" s="1414"/>
      <c r="R1105" s="1501" t="s">
        <v>12</v>
      </c>
      <c r="S1105" s="1539">
        <v>493388676.94870102</v>
      </c>
      <c r="T1105" s="1416"/>
      <c r="U1105" s="1427"/>
      <c r="V1105" s="1477"/>
      <c r="W1105" s="1478" t="str">
        <f t="shared" si="442"/>
        <v>04.16.01</v>
      </c>
      <c r="X1105" s="1478" t="str">
        <f t="shared" si="443"/>
        <v>Jaringan Air Minum</v>
      </c>
      <c r="Y1105" s="1478">
        <f t="shared" si="444"/>
        <v>30</v>
      </c>
      <c r="Z1105" s="1401">
        <f t="shared" si="445"/>
        <v>16446289.231623368</v>
      </c>
      <c r="AA1105" s="1444">
        <f t="shared" si="446"/>
        <v>2</v>
      </c>
      <c r="AB1105" s="1401">
        <f t="shared" si="447"/>
        <v>32892578.463246737</v>
      </c>
      <c r="AC1105" s="1401">
        <f t="shared" si="448"/>
        <v>16446289.231623368</v>
      </c>
      <c r="AD1105" s="1401">
        <f t="shared" si="449"/>
        <v>16446289.231623368</v>
      </c>
      <c r="AE1105" s="1401">
        <f t="shared" si="450"/>
        <v>16446289.231623368</v>
      </c>
      <c r="AF1105" s="1401">
        <f t="shared" si="451"/>
        <v>16446289.231623368</v>
      </c>
      <c r="AG1105" s="1479">
        <f t="shared" si="452"/>
        <v>16446289.231623368</v>
      </c>
      <c r="AH1105" s="1479">
        <f t="shared" si="454"/>
        <v>16446289.231623368</v>
      </c>
      <c r="AI1105" s="1479">
        <f t="shared" si="455"/>
        <v>131570313.85298695</v>
      </c>
      <c r="AJ1105" s="1401">
        <f t="shared" si="453"/>
        <v>361818363.09571409</v>
      </c>
    </row>
    <row r="1106" spans="2:38" s="1390" customFormat="1" ht="34" customHeight="1" x14ac:dyDescent="0.2">
      <c r="B1106" s="1472"/>
      <c r="C1106" s="1478" t="s">
        <v>2307</v>
      </c>
      <c r="D1106" s="1426"/>
      <c r="E1106" s="1455" t="s">
        <v>3526</v>
      </c>
      <c r="F1106" s="1562"/>
      <c r="G1106" s="1416" t="s">
        <v>3568</v>
      </c>
      <c r="H1106" s="1414" t="s">
        <v>68</v>
      </c>
      <c r="I1106" s="1416"/>
      <c r="J1106" s="1512"/>
      <c r="K1106" s="1416"/>
      <c r="L1106" s="1500"/>
      <c r="M1106" s="1429" t="s">
        <v>2937</v>
      </c>
      <c r="N1106" s="1416">
        <v>2012</v>
      </c>
      <c r="O1106" s="1414"/>
      <c r="P1106" s="1414"/>
      <c r="Q1106" s="1414"/>
      <c r="R1106" s="1501" t="s">
        <v>12</v>
      </c>
      <c r="S1106" s="1539">
        <v>388878394.88692087</v>
      </c>
      <c r="T1106" s="1416"/>
      <c r="U1106" s="1427"/>
      <c r="V1106" s="1477"/>
      <c r="W1106" s="1478" t="str">
        <f t="shared" si="442"/>
        <v>04.16.01</v>
      </c>
      <c r="X1106" s="1478" t="str">
        <f t="shared" si="443"/>
        <v>Jaringan Air Minum</v>
      </c>
      <c r="Y1106" s="1478">
        <f t="shared" si="444"/>
        <v>30</v>
      </c>
      <c r="Z1106" s="1401">
        <f t="shared" si="445"/>
        <v>12962613.162897361</v>
      </c>
      <c r="AA1106" s="1444">
        <f t="shared" si="446"/>
        <v>2</v>
      </c>
      <c r="AB1106" s="1401">
        <f t="shared" si="447"/>
        <v>25925226.325794723</v>
      </c>
      <c r="AC1106" s="1401">
        <f t="shared" si="448"/>
        <v>12962613.162897361</v>
      </c>
      <c r="AD1106" s="1401">
        <f t="shared" si="449"/>
        <v>12962613.162897361</v>
      </c>
      <c r="AE1106" s="1401">
        <f t="shared" si="450"/>
        <v>12962613.162897361</v>
      </c>
      <c r="AF1106" s="1401">
        <f t="shared" si="451"/>
        <v>12962613.162897361</v>
      </c>
      <c r="AG1106" s="1479">
        <f t="shared" si="452"/>
        <v>12962613.162897361</v>
      </c>
      <c r="AH1106" s="1479">
        <f t="shared" si="454"/>
        <v>12962613.162897361</v>
      </c>
      <c r="AI1106" s="1479">
        <f t="shared" si="455"/>
        <v>103700905.30317889</v>
      </c>
      <c r="AJ1106" s="1401">
        <f t="shared" si="453"/>
        <v>285177489.58374196</v>
      </c>
    </row>
    <row r="1107" spans="2:38" s="1390" customFormat="1" ht="34" customHeight="1" x14ac:dyDescent="0.2">
      <c r="B1107" s="1472"/>
      <c r="C1107" s="1478" t="s">
        <v>2307</v>
      </c>
      <c r="D1107" s="1426"/>
      <c r="E1107" s="1455" t="s">
        <v>3527</v>
      </c>
      <c r="F1107" s="1562"/>
      <c r="G1107" s="1416" t="s">
        <v>3568</v>
      </c>
      <c r="H1107" s="1414" t="s">
        <v>1765</v>
      </c>
      <c r="I1107" s="1416"/>
      <c r="J1107" s="1512"/>
      <c r="K1107" s="1416"/>
      <c r="L1107" s="1500"/>
      <c r="M1107" s="1429" t="s">
        <v>2945</v>
      </c>
      <c r="N1107" s="1416">
        <v>2012</v>
      </c>
      <c r="O1107" s="1414"/>
      <c r="P1107" s="1414"/>
      <c r="Q1107" s="1414"/>
      <c r="R1107" s="1501" t="s">
        <v>12</v>
      </c>
      <c r="S1107" s="1539">
        <v>30012703.490769427</v>
      </c>
      <c r="T1107" s="1416"/>
      <c r="U1107" s="1427"/>
      <c r="V1107" s="1477"/>
      <c r="W1107" s="1478" t="str">
        <f t="shared" si="442"/>
        <v>04.16.01</v>
      </c>
      <c r="X1107" s="1478" t="str">
        <f t="shared" si="443"/>
        <v>Jaringan Air Minum</v>
      </c>
      <c r="Y1107" s="1478">
        <f t="shared" si="444"/>
        <v>30</v>
      </c>
      <c r="Z1107" s="1401">
        <f t="shared" si="445"/>
        <v>1000423.4496923143</v>
      </c>
      <c r="AA1107" s="1444">
        <f t="shared" si="446"/>
        <v>2</v>
      </c>
      <c r="AB1107" s="1401">
        <f t="shared" si="447"/>
        <v>2000846.8993846285</v>
      </c>
      <c r="AC1107" s="1401">
        <f t="shared" si="448"/>
        <v>1000423.4496923143</v>
      </c>
      <c r="AD1107" s="1401">
        <f t="shared" si="449"/>
        <v>1000423.4496923143</v>
      </c>
      <c r="AE1107" s="1401">
        <f t="shared" si="450"/>
        <v>1000423.4496923143</v>
      </c>
      <c r="AF1107" s="1401">
        <f t="shared" si="451"/>
        <v>1000423.4496923143</v>
      </c>
      <c r="AG1107" s="1479">
        <f t="shared" si="452"/>
        <v>1000423.4496923143</v>
      </c>
      <c r="AH1107" s="1479">
        <f t="shared" si="454"/>
        <v>1000423.4496923143</v>
      </c>
      <c r="AI1107" s="1479">
        <f t="shared" si="455"/>
        <v>8003387.597538515</v>
      </c>
      <c r="AJ1107" s="1401">
        <f t="shared" si="453"/>
        <v>22009315.893230911</v>
      </c>
    </row>
    <row r="1108" spans="2:38" s="1390" customFormat="1" ht="34" customHeight="1" x14ac:dyDescent="0.2">
      <c r="B1108" s="1472"/>
      <c r="C1108" s="1478" t="s">
        <v>2307</v>
      </c>
      <c r="D1108" s="1426"/>
      <c r="E1108" s="1455" t="s">
        <v>3528</v>
      </c>
      <c r="F1108" s="1562"/>
      <c r="G1108" s="1416" t="s">
        <v>3568</v>
      </c>
      <c r="H1108" s="1414" t="s">
        <v>1768</v>
      </c>
      <c r="I1108" s="1416"/>
      <c r="J1108" s="1512"/>
      <c r="K1108" s="1416"/>
      <c r="L1108" s="1500"/>
      <c r="M1108" s="1429" t="s">
        <v>2936</v>
      </c>
      <c r="N1108" s="1416">
        <v>2012</v>
      </c>
      <c r="O1108" s="1414"/>
      <c r="P1108" s="1414"/>
      <c r="Q1108" s="1414"/>
      <c r="R1108" s="1501" t="s">
        <v>12</v>
      </c>
      <c r="S1108" s="1539">
        <v>49449125.880956002</v>
      </c>
      <c r="T1108" s="1416"/>
      <c r="U1108" s="1427"/>
      <c r="V1108" s="1477"/>
      <c r="W1108" s="1478" t="str">
        <f t="shared" si="442"/>
        <v>04.16.01</v>
      </c>
      <c r="X1108" s="1478" t="str">
        <f t="shared" si="443"/>
        <v>Jaringan Air Minum</v>
      </c>
      <c r="Y1108" s="1478">
        <f t="shared" si="444"/>
        <v>30</v>
      </c>
      <c r="Z1108" s="1401">
        <f t="shared" si="445"/>
        <v>1648304.1960318668</v>
      </c>
      <c r="AA1108" s="1444">
        <f t="shared" si="446"/>
        <v>2</v>
      </c>
      <c r="AB1108" s="1401">
        <f t="shared" si="447"/>
        <v>3296608.3920637337</v>
      </c>
      <c r="AC1108" s="1401">
        <f t="shared" si="448"/>
        <v>1648304.1960318668</v>
      </c>
      <c r="AD1108" s="1401">
        <f t="shared" si="449"/>
        <v>1648304.1960318668</v>
      </c>
      <c r="AE1108" s="1401">
        <f t="shared" si="450"/>
        <v>1648304.1960318668</v>
      </c>
      <c r="AF1108" s="1401">
        <f t="shared" si="451"/>
        <v>1648304.1960318668</v>
      </c>
      <c r="AG1108" s="1479">
        <f t="shared" si="452"/>
        <v>1648304.1960318668</v>
      </c>
      <c r="AH1108" s="1479">
        <f t="shared" si="454"/>
        <v>1648304.1960318668</v>
      </c>
      <c r="AI1108" s="1479">
        <f t="shared" si="455"/>
        <v>13186433.568254935</v>
      </c>
      <c r="AJ1108" s="1401">
        <f t="shared" si="453"/>
        <v>36262692.312701069</v>
      </c>
    </row>
    <row r="1109" spans="2:38" s="1390" customFormat="1" ht="34" customHeight="1" x14ac:dyDescent="0.2">
      <c r="B1109" s="1472"/>
      <c r="C1109" s="1478" t="s">
        <v>2307</v>
      </c>
      <c r="D1109" s="1426"/>
      <c r="E1109" s="1455" t="s">
        <v>3526</v>
      </c>
      <c r="F1109" s="1562"/>
      <c r="G1109" s="1416" t="s">
        <v>3568</v>
      </c>
      <c r="H1109" s="1414" t="s">
        <v>1855</v>
      </c>
      <c r="I1109" s="1416"/>
      <c r="J1109" s="1512"/>
      <c r="K1109" s="1416"/>
      <c r="L1109" s="1500"/>
      <c r="M1109" s="1429" t="s">
        <v>2936</v>
      </c>
      <c r="N1109" s="1416">
        <v>2012</v>
      </c>
      <c r="O1109" s="1414"/>
      <c r="P1109" s="1414"/>
      <c r="Q1109" s="1414"/>
      <c r="R1109" s="1501" t="s">
        <v>12</v>
      </c>
      <c r="S1109" s="1539">
        <v>482796398.79265285</v>
      </c>
      <c r="T1109" s="1416"/>
      <c r="U1109" s="1427"/>
      <c r="V1109" s="1477"/>
      <c r="W1109" s="1478" t="str">
        <f t="shared" si="442"/>
        <v>04.16.01</v>
      </c>
      <c r="X1109" s="1478" t="str">
        <f t="shared" si="443"/>
        <v>Jaringan Air Minum</v>
      </c>
      <c r="Y1109" s="1478">
        <f t="shared" si="444"/>
        <v>30</v>
      </c>
      <c r="Z1109" s="1401">
        <f t="shared" si="445"/>
        <v>16093213.293088429</v>
      </c>
      <c r="AA1109" s="1444">
        <f t="shared" si="446"/>
        <v>2</v>
      </c>
      <c r="AB1109" s="1401">
        <f t="shared" si="447"/>
        <v>32186426.586176857</v>
      </c>
      <c r="AC1109" s="1401">
        <f t="shared" si="448"/>
        <v>16093213.293088429</v>
      </c>
      <c r="AD1109" s="1401">
        <f t="shared" si="449"/>
        <v>16093213.293088429</v>
      </c>
      <c r="AE1109" s="1401">
        <f t="shared" si="450"/>
        <v>16093213.293088429</v>
      </c>
      <c r="AF1109" s="1401">
        <f t="shared" si="451"/>
        <v>16093213.293088429</v>
      </c>
      <c r="AG1109" s="1479">
        <f t="shared" si="452"/>
        <v>16093213.293088429</v>
      </c>
      <c r="AH1109" s="1479">
        <f t="shared" si="454"/>
        <v>16093213.293088429</v>
      </c>
      <c r="AI1109" s="1479">
        <f t="shared" si="455"/>
        <v>128745706.34470746</v>
      </c>
      <c r="AJ1109" s="1401">
        <f t="shared" si="453"/>
        <v>354050692.44794536</v>
      </c>
    </row>
    <row r="1110" spans="2:38" s="1390" customFormat="1" ht="34" customHeight="1" x14ac:dyDescent="0.2">
      <c r="B1110" s="1472"/>
      <c r="C1110" s="1478" t="s">
        <v>2307</v>
      </c>
      <c r="D1110" s="1426"/>
      <c r="E1110" s="1455" t="s">
        <v>3529</v>
      </c>
      <c r="F1110" s="1562"/>
      <c r="G1110" s="1416" t="s">
        <v>3569</v>
      </c>
      <c r="H1110" s="1414" t="s">
        <v>39</v>
      </c>
      <c r="I1110" s="1416"/>
      <c r="J1110" s="1512"/>
      <c r="K1110" s="1416"/>
      <c r="L1110" s="1500"/>
      <c r="M1110" s="1429" t="s">
        <v>423</v>
      </c>
      <c r="N1110" s="1416">
        <v>2013</v>
      </c>
      <c r="O1110" s="1414"/>
      <c r="P1110" s="1414"/>
      <c r="Q1110" s="1414"/>
      <c r="R1110" s="1501" t="s">
        <v>12</v>
      </c>
      <c r="S1110" s="1539">
        <v>198265000</v>
      </c>
      <c r="T1110" s="1416"/>
      <c r="U1110" s="1427"/>
      <c r="V1110" s="1477"/>
      <c r="W1110" s="1478" t="str">
        <f t="shared" ref="W1110:W1132" si="456">LEFT(G1110,8)</f>
        <v>04.16.02</v>
      </c>
      <c r="X1110" s="1478" t="str">
        <f t="shared" ref="X1110:X1132" si="457">VLOOKUP(W1110,UE,3,FALSE)</f>
        <v>Jaringan Listrik</v>
      </c>
      <c r="Y1110" s="1478">
        <f t="shared" ref="Y1110:Y1135" si="458">VLOOKUP(W1110,UE,4,FALSE)</f>
        <v>40</v>
      </c>
      <c r="Z1110" s="1401">
        <f t="shared" ref="Z1110:Z1135" si="459">S1110/Y1110</f>
        <v>4956625</v>
      </c>
      <c r="AA1110" s="1444">
        <f t="shared" ref="AA1110:AA1135" si="460">IF(2013-N1110+1&gt;Y1110,Y1110,IF(2013-N1110+1&lt;0,0,2013-N1110+1))</f>
        <v>1</v>
      </c>
      <c r="AB1110" s="1401">
        <f t="shared" ref="AB1110:AB1132" si="461">IF(AA1110&gt;Y1110,S1110,Z1110*AA1110)</f>
        <v>4956625</v>
      </c>
      <c r="AC1110" s="1401">
        <f t="shared" ref="AC1110:AC1123" si="462">IF(S1110=AB1110,0,Z1110)</f>
        <v>4956625</v>
      </c>
      <c r="AD1110" s="1401">
        <f t="shared" ref="AD1110:AD1123" si="463">IF(S1110=AB1110+AC1110,0,Z1110)</f>
        <v>4956625</v>
      </c>
      <c r="AE1110" s="1401">
        <f t="shared" ref="AE1110:AE1123" si="464">IF(S1110=AB1110+AC1110+AD1110,0,Z1110)</f>
        <v>4956625</v>
      </c>
      <c r="AF1110" s="1401">
        <f t="shared" ref="AF1110:AF1123" si="465">IF(S1110=AC1110+AD1110+AE1110+AB1110,0,Z1110)</f>
        <v>4956625</v>
      </c>
      <c r="AG1110" s="1479">
        <f t="shared" ref="AG1110:AG1123" si="466">IF(S1110=AC1110+AD1110+AE1110+AB1110+AF1110,0,Z1110)</f>
        <v>4956625</v>
      </c>
      <c r="AH1110" s="1479">
        <f t="shared" ref="AH1110:AH1135" si="467">IF(S1110=AC1110+AD1110+AE1110+AB1110+AF1110+AG1110,0,Z1110)</f>
        <v>4956625</v>
      </c>
      <c r="AI1110" s="1479">
        <f t="shared" ref="AI1110:AI1123" si="468">SUM(AB1110:AH1110)</f>
        <v>34696375</v>
      </c>
      <c r="AJ1110" s="1401">
        <f t="shared" ref="AJ1110:AJ1135" si="469">S1110-AI1110</f>
        <v>163568625</v>
      </c>
    </row>
    <row r="1111" spans="2:38" s="1390" customFormat="1" ht="34" customHeight="1" x14ac:dyDescent="0.2">
      <c r="B1111" s="1472"/>
      <c r="C1111" s="1478" t="s">
        <v>2307</v>
      </c>
      <c r="D1111" s="1426"/>
      <c r="E1111" s="1455" t="s">
        <v>3530</v>
      </c>
      <c r="F1111" s="1562"/>
      <c r="G1111" s="1416" t="s">
        <v>3569</v>
      </c>
      <c r="H1111" s="1414" t="s">
        <v>68</v>
      </c>
      <c r="I1111" s="1416"/>
      <c r="J1111" s="1512"/>
      <c r="K1111" s="1416"/>
      <c r="L1111" s="1500"/>
      <c r="M1111" s="1429" t="s">
        <v>2891</v>
      </c>
      <c r="N1111" s="1416">
        <v>2013</v>
      </c>
      <c r="O1111" s="1414"/>
      <c r="P1111" s="1414"/>
      <c r="Q1111" s="1414"/>
      <c r="R1111" s="1501" t="s">
        <v>12</v>
      </c>
      <c r="S1111" s="1539">
        <v>198168000</v>
      </c>
      <c r="T1111" s="1416"/>
      <c r="U1111" s="1427"/>
      <c r="V1111" s="1477"/>
      <c r="W1111" s="1478" t="str">
        <f t="shared" si="456"/>
        <v>04.16.02</v>
      </c>
      <c r="X1111" s="1478" t="str">
        <f t="shared" si="457"/>
        <v>Jaringan Listrik</v>
      </c>
      <c r="Y1111" s="1478">
        <f t="shared" si="458"/>
        <v>40</v>
      </c>
      <c r="Z1111" s="1401">
        <f t="shared" si="459"/>
        <v>4954200</v>
      </c>
      <c r="AA1111" s="1444">
        <f t="shared" si="460"/>
        <v>1</v>
      </c>
      <c r="AB1111" s="1401">
        <f t="shared" si="461"/>
        <v>4954200</v>
      </c>
      <c r="AC1111" s="1401">
        <f t="shared" si="462"/>
        <v>4954200</v>
      </c>
      <c r="AD1111" s="1401">
        <f t="shared" si="463"/>
        <v>4954200</v>
      </c>
      <c r="AE1111" s="1401">
        <f t="shared" si="464"/>
        <v>4954200</v>
      </c>
      <c r="AF1111" s="1401">
        <f t="shared" si="465"/>
        <v>4954200</v>
      </c>
      <c r="AG1111" s="1479">
        <f t="shared" si="466"/>
        <v>4954200</v>
      </c>
      <c r="AH1111" s="1479">
        <f t="shared" si="467"/>
        <v>4954200</v>
      </c>
      <c r="AI1111" s="1479">
        <f t="shared" si="468"/>
        <v>34679400</v>
      </c>
      <c r="AJ1111" s="1401">
        <f t="shared" si="469"/>
        <v>163488600</v>
      </c>
    </row>
    <row r="1112" spans="2:38" s="1390" customFormat="1" ht="34" customHeight="1" x14ac:dyDescent="0.2">
      <c r="B1112" s="1472"/>
      <c r="C1112" s="1478" t="s">
        <v>2307</v>
      </c>
      <c r="D1112" s="1426"/>
      <c r="E1112" s="1455" t="s">
        <v>3531</v>
      </c>
      <c r="F1112" s="1562"/>
      <c r="G1112" s="1416" t="s">
        <v>3565</v>
      </c>
      <c r="H1112" s="1414" t="s">
        <v>39</v>
      </c>
      <c r="I1112" s="1416"/>
      <c r="J1112" s="1512"/>
      <c r="K1112" s="1416"/>
      <c r="L1112" s="1500"/>
      <c r="M1112" s="1429" t="s">
        <v>417</v>
      </c>
      <c r="N1112" s="1416">
        <v>2013</v>
      </c>
      <c r="O1112" s="1414"/>
      <c r="P1112" s="1414"/>
      <c r="Q1112" s="1414"/>
      <c r="R1112" s="1501" t="s">
        <v>12</v>
      </c>
      <c r="S1112" s="1539">
        <v>74529390.572603837</v>
      </c>
      <c r="T1112" s="1416"/>
      <c r="U1112" s="1427"/>
      <c r="V1112" s="1477"/>
      <c r="W1112" s="1478" t="str">
        <f t="shared" si="456"/>
        <v>04.16.01</v>
      </c>
      <c r="X1112" s="1478" t="str">
        <f t="shared" si="457"/>
        <v>Jaringan Air Minum</v>
      </c>
      <c r="Y1112" s="1478">
        <f t="shared" si="458"/>
        <v>30</v>
      </c>
      <c r="Z1112" s="1401">
        <f t="shared" si="459"/>
        <v>2484313.0190867945</v>
      </c>
      <c r="AA1112" s="1444">
        <f t="shared" si="460"/>
        <v>1</v>
      </c>
      <c r="AB1112" s="1401">
        <f t="shared" si="461"/>
        <v>2484313.0190867945</v>
      </c>
      <c r="AC1112" s="1401">
        <f t="shared" si="462"/>
        <v>2484313.0190867945</v>
      </c>
      <c r="AD1112" s="1401">
        <f t="shared" si="463"/>
        <v>2484313.0190867945</v>
      </c>
      <c r="AE1112" s="1401">
        <f t="shared" si="464"/>
        <v>2484313.0190867945</v>
      </c>
      <c r="AF1112" s="1401">
        <f t="shared" si="465"/>
        <v>2484313.0190867945</v>
      </c>
      <c r="AG1112" s="1479">
        <f t="shared" si="466"/>
        <v>2484313.0190867945</v>
      </c>
      <c r="AH1112" s="1479">
        <f t="shared" si="467"/>
        <v>2484313.0190867945</v>
      </c>
      <c r="AI1112" s="1479">
        <f t="shared" si="468"/>
        <v>17390191.133607563</v>
      </c>
      <c r="AJ1112" s="1401">
        <f t="shared" si="469"/>
        <v>57139199.43899627</v>
      </c>
      <c r="AL1112" s="1443">
        <f>SUM(AB1112:AG1112)</f>
        <v>14905878.114520768</v>
      </c>
    </row>
    <row r="1113" spans="2:38" s="1390" customFormat="1" ht="34" customHeight="1" x14ac:dyDescent="0.2">
      <c r="B1113" s="1472"/>
      <c r="C1113" s="1478" t="s">
        <v>2307</v>
      </c>
      <c r="D1113" s="1426"/>
      <c r="E1113" s="1455" t="s">
        <v>3532</v>
      </c>
      <c r="F1113" s="1562"/>
      <c r="G1113" s="1416" t="s">
        <v>2555</v>
      </c>
      <c r="H1113" s="1414" t="s">
        <v>39</v>
      </c>
      <c r="I1113" s="1416"/>
      <c r="J1113" s="1512"/>
      <c r="K1113" s="1416"/>
      <c r="L1113" s="1500"/>
      <c r="M1113" s="1429" t="s">
        <v>737</v>
      </c>
      <c r="N1113" s="1416">
        <v>2013</v>
      </c>
      <c r="O1113" s="1414"/>
      <c r="P1113" s="1414"/>
      <c r="Q1113" s="1414"/>
      <c r="R1113" s="1501" t="s">
        <v>12</v>
      </c>
      <c r="S1113" s="1539">
        <v>412452000</v>
      </c>
      <c r="T1113" s="1416"/>
      <c r="U1113" s="1427"/>
      <c r="V1113" s="1477"/>
      <c r="W1113" s="1478" t="str">
        <f t="shared" si="456"/>
        <v>04.16.01</v>
      </c>
      <c r="X1113" s="1478" t="str">
        <f t="shared" si="457"/>
        <v>Jaringan Air Minum</v>
      </c>
      <c r="Y1113" s="1478">
        <f t="shared" si="458"/>
        <v>30</v>
      </c>
      <c r="Z1113" s="1401">
        <f t="shared" si="459"/>
        <v>13748400</v>
      </c>
      <c r="AA1113" s="1444">
        <f t="shared" si="460"/>
        <v>1</v>
      </c>
      <c r="AB1113" s="1401">
        <f t="shared" si="461"/>
        <v>13748400</v>
      </c>
      <c r="AC1113" s="1401">
        <f t="shared" si="462"/>
        <v>13748400</v>
      </c>
      <c r="AD1113" s="1401">
        <f t="shared" si="463"/>
        <v>13748400</v>
      </c>
      <c r="AE1113" s="1401">
        <f t="shared" si="464"/>
        <v>13748400</v>
      </c>
      <c r="AF1113" s="1401">
        <f t="shared" si="465"/>
        <v>13748400</v>
      </c>
      <c r="AG1113" s="1479">
        <f t="shared" si="466"/>
        <v>13748400</v>
      </c>
      <c r="AH1113" s="1479">
        <f t="shared" si="467"/>
        <v>13748400</v>
      </c>
      <c r="AI1113" s="1479">
        <f t="shared" si="468"/>
        <v>96238800</v>
      </c>
      <c r="AJ1113" s="1401">
        <f t="shared" si="469"/>
        <v>316213200</v>
      </c>
    </row>
    <row r="1114" spans="2:38" s="1390" customFormat="1" ht="34" customHeight="1" x14ac:dyDescent="0.2">
      <c r="B1114" s="1472"/>
      <c r="C1114" s="1478" t="s">
        <v>2307</v>
      </c>
      <c r="D1114" s="1426"/>
      <c r="E1114" s="1455" t="s">
        <v>3533</v>
      </c>
      <c r="F1114" s="1562"/>
      <c r="G1114" s="1416" t="s">
        <v>3566</v>
      </c>
      <c r="H1114" s="1414" t="s">
        <v>39</v>
      </c>
      <c r="I1114" s="1416"/>
      <c r="J1114" s="1512"/>
      <c r="K1114" s="1416"/>
      <c r="L1114" s="1500"/>
      <c r="M1114" s="1429" t="s">
        <v>417</v>
      </c>
      <c r="N1114" s="1416">
        <v>2013</v>
      </c>
      <c r="O1114" s="1414"/>
      <c r="P1114" s="1414"/>
      <c r="Q1114" s="1414"/>
      <c r="R1114" s="1501" t="s">
        <v>12</v>
      </c>
      <c r="S1114" s="1539">
        <v>718008000</v>
      </c>
      <c r="T1114" s="1416"/>
      <c r="U1114" s="1427"/>
      <c r="V1114" s="1477"/>
      <c r="W1114" s="1478" t="str">
        <f t="shared" si="456"/>
        <v>04.16.01</v>
      </c>
      <c r="X1114" s="1478" t="str">
        <f t="shared" si="457"/>
        <v>Jaringan Air Minum</v>
      </c>
      <c r="Y1114" s="1478">
        <f t="shared" si="458"/>
        <v>30</v>
      </c>
      <c r="Z1114" s="1401">
        <f t="shared" si="459"/>
        <v>23933600</v>
      </c>
      <c r="AA1114" s="1444">
        <f t="shared" si="460"/>
        <v>1</v>
      </c>
      <c r="AB1114" s="1401">
        <f t="shared" si="461"/>
        <v>23933600</v>
      </c>
      <c r="AC1114" s="1401">
        <f t="shared" si="462"/>
        <v>23933600</v>
      </c>
      <c r="AD1114" s="1401">
        <f t="shared" si="463"/>
        <v>23933600</v>
      </c>
      <c r="AE1114" s="1401">
        <f t="shared" si="464"/>
        <v>23933600</v>
      </c>
      <c r="AF1114" s="1401">
        <f t="shared" si="465"/>
        <v>23933600</v>
      </c>
      <c r="AG1114" s="1479">
        <f t="shared" si="466"/>
        <v>23933600</v>
      </c>
      <c r="AH1114" s="1479">
        <f t="shared" si="467"/>
        <v>23933600</v>
      </c>
      <c r="AI1114" s="1479">
        <f t="shared" si="468"/>
        <v>167535200</v>
      </c>
      <c r="AJ1114" s="1401">
        <f t="shared" si="469"/>
        <v>550472800</v>
      </c>
    </row>
    <row r="1115" spans="2:38" s="1390" customFormat="1" ht="34" customHeight="1" x14ac:dyDescent="0.2">
      <c r="B1115" s="1472"/>
      <c r="C1115" s="1478" t="s">
        <v>2307</v>
      </c>
      <c r="D1115" s="1426"/>
      <c r="E1115" s="1455" t="s">
        <v>3534</v>
      </c>
      <c r="F1115" s="1562"/>
      <c r="G1115" s="1416" t="s">
        <v>3571</v>
      </c>
      <c r="H1115" s="1414" t="s">
        <v>39</v>
      </c>
      <c r="I1115" s="1416"/>
      <c r="J1115" s="1512"/>
      <c r="K1115" s="1416"/>
      <c r="L1115" s="1500"/>
      <c r="M1115" s="1429" t="s">
        <v>52</v>
      </c>
      <c r="N1115" s="1416">
        <v>2013</v>
      </c>
      <c r="O1115" s="1414"/>
      <c r="P1115" s="1414"/>
      <c r="Q1115" s="1414"/>
      <c r="R1115" s="1501" t="s">
        <v>12</v>
      </c>
      <c r="S1115" s="1539">
        <v>221324968.6019634</v>
      </c>
      <c r="T1115" s="1416"/>
      <c r="U1115" s="1427"/>
      <c r="V1115" s="1477"/>
      <c r="W1115" s="1478" t="str">
        <f t="shared" si="456"/>
        <v>04.16.02</v>
      </c>
      <c r="X1115" s="1478" t="str">
        <f t="shared" si="457"/>
        <v>Jaringan Listrik</v>
      </c>
      <c r="Y1115" s="1478">
        <f t="shared" si="458"/>
        <v>40</v>
      </c>
      <c r="Z1115" s="1401">
        <f t="shared" si="459"/>
        <v>5533124.2150490852</v>
      </c>
      <c r="AA1115" s="1444">
        <f t="shared" si="460"/>
        <v>1</v>
      </c>
      <c r="AB1115" s="1401">
        <f t="shared" si="461"/>
        <v>5533124.2150490852</v>
      </c>
      <c r="AC1115" s="1401">
        <f t="shared" si="462"/>
        <v>5533124.2150490852</v>
      </c>
      <c r="AD1115" s="1401">
        <f t="shared" si="463"/>
        <v>5533124.2150490852</v>
      </c>
      <c r="AE1115" s="1401">
        <f t="shared" si="464"/>
        <v>5533124.2150490852</v>
      </c>
      <c r="AF1115" s="1401">
        <f t="shared" si="465"/>
        <v>5533124.2150490852</v>
      </c>
      <c r="AG1115" s="1479">
        <f t="shared" si="466"/>
        <v>5533124.2150490852</v>
      </c>
      <c r="AH1115" s="1479">
        <f t="shared" si="467"/>
        <v>5533124.2150490852</v>
      </c>
      <c r="AI1115" s="1479">
        <f t="shared" si="468"/>
        <v>38731869.505343594</v>
      </c>
      <c r="AJ1115" s="1401">
        <f t="shared" si="469"/>
        <v>182593099.09661981</v>
      </c>
    </row>
    <row r="1116" spans="2:38" s="1390" customFormat="1" ht="34" customHeight="1" x14ac:dyDescent="0.2">
      <c r="B1116" s="1472"/>
      <c r="C1116" s="1478" t="s">
        <v>2307</v>
      </c>
      <c r="D1116" s="1426"/>
      <c r="E1116" s="1455" t="s">
        <v>3535</v>
      </c>
      <c r="F1116" s="1562"/>
      <c r="G1116" s="1416" t="s">
        <v>3567</v>
      </c>
      <c r="H1116" s="1414" t="s">
        <v>39</v>
      </c>
      <c r="I1116" s="1416"/>
      <c r="J1116" s="1512"/>
      <c r="K1116" s="1416"/>
      <c r="L1116" s="1500"/>
      <c r="M1116" s="1429" t="s">
        <v>3556</v>
      </c>
      <c r="N1116" s="1416">
        <v>2014</v>
      </c>
      <c r="O1116" s="1414"/>
      <c r="P1116" s="1414"/>
      <c r="Q1116" s="1414"/>
      <c r="R1116" s="1501" t="s">
        <v>12</v>
      </c>
      <c r="S1116" s="1539">
        <v>246003000</v>
      </c>
      <c r="T1116" s="1416"/>
      <c r="U1116" s="1427"/>
      <c r="V1116" s="1477"/>
      <c r="W1116" s="1478" t="str">
        <f t="shared" si="456"/>
        <v>04.16.01</v>
      </c>
      <c r="X1116" s="1478" t="str">
        <f t="shared" si="457"/>
        <v>Jaringan Air Minum</v>
      </c>
      <c r="Y1116" s="1478">
        <f t="shared" si="458"/>
        <v>30</v>
      </c>
      <c r="Z1116" s="1401">
        <f t="shared" si="459"/>
        <v>8200100</v>
      </c>
      <c r="AA1116" s="1444">
        <f t="shared" si="460"/>
        <v>0</v>
      </c>
      <c r="AB1116" s="1401">
        <f t="shared" si="461"/>
        <v>0</v>
      </c>
      <c r="AC1116" s="1401">
        <f t="shared" si="462"/>
        <v>8200100</v>
      </c>
      <c r="AD1116" s="1401">
        <f t="shared" si="463"/>
        <v>8200100</v>
      </c>
      <c r="AE1116" s="1401">
        <f t="shared" si="464"/>
        <v>8200100</v>
      </c>
      <c r="AF1116" s="1401">
        <f t="shared" si="465"/>
        <v>8200100</v>
      </c>
      <c r="AG1116" s="1479">
        <f t="shared" si="466"/>
        <v>8200100</v>
      </c>
      <c r="AH1116" s="1479">
        <f t="shared" si="467"/>
        <v>8200100</v>
      </c>
      <c r="AI1116" s="1479">
        <f t="shared" si="468"/>
        <v>49200600</v>
      </c>
      <c r="AJ1116" s="1401">
        <f t="shared" si="469"/>
        <v>196802400</v>
      </c>
    </row>
    <row r="1117" spans="2:38" s="1390" customFormat="1" ht="34" customHeight="1" x14ac:dyDescent="0.2">
      <c r="B1117" s="1472"/>
      <c r="C1117" s="1478" t="s">
        <v>2307</v>
      </c>
      <c r="D1117" s="1426"/>
      <c r="E1117" s="1455" t="s">
        <v>3536</v>
      </c>
      <c r="F1117" s="1562"/>
      <c r="G1117" s="1416" t="s">
        <v>3567</v>
      </c>
      <c r="H1117" s="1414" t="s">
        <v>68</v>
      </c>
      <c r="I1117" s="1416"/>
      <c r="J1117" s="1512"/>
      <c r="K1117" s="1416"/>
      <c r="L1117" s="1500"/>
      <c r="M1117" s="1429" t="s">
        <v>3557</v>
      </c>
      <c r="N1117" s="1416">
        <v>2014</v>
      </c>
      <c r="O1117" s="1414"/>
      <c r="P1117" s="1414"/>
      <c r="Q1117" s="1414"/>
      <c r="R1117" s="1501" t="s">
        <v>12</v>
      </c>
      <c r="S1117" s="1539">
        <v>601050000</v>
      </c>
      <c r="T1117" s="1416"/>
      <c r="U1117" s="1427"/>
      <c r="V1117" s="1477"/>
      <c r="W1117" s="1478" t="str">
        <f t="shared" si="456"/>
        <v>04.16.01</v>
      </c>
      <c r="X1117" s="1478" t="str">
        <f t="shared" si="457"/>
        <v>Jaringan Air Minum</v>
      </c>
      <c r="Y1117" s="1478">
        <f t="shared" si="458"/>
        <v>30</v>
      </c>
      <c r="Z1117" s="1401">
        <f t="shared" si="459"/>
        <v>20035000</v>
      </c>
      <c r="AA1117" s="1444">
        <f t="shared" si="460"/>
        <v>0</v>
      </c>
      <c r="AB1117" s="1401">
        <f t="shared" si="461"/>
        <v>0</v>
      </c>
      <c r="AC1117" s="1401">
        <f t="shared" si="462"/>
        <v>20035000</v>
      </c>
      <c r="AD1117" s="1401">
        <f t="shared" si="463"/>
        <v>20035000</v>
      </c>
      <c r="AE1117" s="1401">
        <f t="shared" si="464"/>
        <v>20035000</v>
      </c>
      <c r="AF1117" s="1401">
        <f t="shared" si="465"/>
        <v>20035000</v>
      </c>
      <c r="AG1117" s="1479">
        <f t="shared" si="466"/>
        <v>20035000</v>
      </c>
      <c r="AH1117" s="1479">
        <f t="shared" si="467"/>
        <v>20035000</v>
      </c>
      <c r="AI1117" s="1479">
        <f t="shared" si="468"/>
        <v>120210000</v>
      </c>
      <c r="AJ1117" s="1401">
        <f t="shared" si="469"/>
        <v>480840000</v>
      </c>
    </row>
    <row r="1118" spans="2:38" s="1390" customFormat="1" ht="34" customHeight="1" x14ac:dyDescent="0.2">
      <c r="B1118" s="1472"/>
      <c r="C1118" s="1478" t="s">
        <v>2307</v>
      </c>
      <c r="D1118" s="1426"/>
      <c r="E1118" s="1455" t="s">
        <v>3537</v>
      </c>
      <c r="F1118" s="1562"/>
      <c r="G1118" s="1416" t="s">
        <v>3567</v>
      </c>
      <c r="H1118" s="1414" t="s">
        <v>1765</v>
      </c>
      <c r="I1118" s="1416"/>
      <c r="J1118" s="1512"/>
      <c r="K1118" s="1416"/>
      <c r="L1118" s="1500"/>
      <c r="M1118" s="1429" t="s">
        <v>3558</v>
      </c>
      <c r="N1118" s="1416">
        <v>2014</v>
      </c>
      <c r="O1118" s="1414"/>
      <c r="P1118" s="1414"/>
      <c r="Q1118" s="1414"/>
      <c r="R1118" s="1501" t="s">
        <v>12</v>
      </c>
      <c r="S1118" s="1539">
        <v>198898000</v>
      </c>
      <c r="T1118" s="1416"/>
      <c r="U1118" s="1427"/>
      <c r="V1118" s="1477"/>
      <c r="W1118" s="1478" t="str">
        <f t="shared" si="456"/>
        <v>04.16.01</v>
      </c>
      <c r="X1118" s="1478" t="str">
        <f t="shared" si="457"/>
        <v>Jaringan Air Minum</v>
      </c>
      <c r="Y1118" s="1478">
        <f t="shared" si="458"/>
        <v>30</v>
      </c>
      <c r="Z1118" s="1401">
        <f t="shared" si="459"/>
        <v>6629933.333333333</v>
      </c>
      <c r="AA1118" s="1444">
        <f t="shared" si="460"/>
        <v>0</v>
      </c>
      <c r="AB1118" s="1401">
        <f t="shared" si="461"/>
        <v>0</v>
      </c>
      <c r="AC1118" s="1401">
        <f t="shared" si="462"/>
        <v>6629933.333333333</v>
      </c>
      <c r="AD1118" s="1401">
        <f t="shared" si="463"/>
        <v>6629933.333333333</v>
      </c>
      <c r="AE1118" s="1401">
        <f t="shared" si="464"/>
        <v>6629933.333333333</v>
      </c>
      <c r="AF1118" s="1401">
        <f t="shared" si="465"/>
        <v>6629933.333333333</v>
      </c>
      <c r="AG1118" s="1479">
        <f t="shared" si="466"/>
        <v>6629933.333333333</v>
      </c>
      <c r="AH1118" s="1479">
        <f t="shared" si="467"/>
        <v>6629933.333333333</v>
      </c>
      <c r="AI1118" s="1479">
        <f t="shared" si="468"/>
        <v>39779600</v>
      </c>
      <c r="AJ1118" s="1401">
        <f t="shared" si="469"/>
        <v>159118400</v>
      </c>
    </row>
    <row r="1119" spans="2:38" s="1390" customFormat="1" ht="34" customHeight="1" x14ac:dyDescent="0.2">
      <c r="B1119" s="1472"/>
      <c r="C1119" s="1478" t="s">
        <v>2307</v>
      </c>
      <c r="D1119" s="1426"/>
      <c r="E1119" s="1455" t="s">
        <v>3538</v>
      </c>
      <c r="F1119" s="1562"/>
      <c r="G1119" s="1416" t="s">
        <v>3567</v>
      </c>
      <c r="H1119" s="1414" t="s">
        <v>1768</v>
      </c>
      <c r="I1119" s="1416"/>
      <c r="J1119" s="1512"/>
      <c r="K1119" s="1416"/>
      <c r="L1119" s="1500"/>
      <c r="M1119" s="1429" t="s">
        <v>3558</v>
      </c>
      <c r="N1119" s="1416">
        <v>2014</v>
      </c>
      <c r="O1119" s="1414"/>
      <c r="P1119" s="1414"/>
      <c r="Q1119" s="1414"/>
      <c r="R1119" s="1501" t="s">
        <v>12</v>
      </c>
      <c r="S1119" s="1539">
        <v>142292000</v>
      </c>
      <c r="T1119" s="1416"/>
      <c r="U1119" s="1427"/>
      <c r="V1119" s="1477"/>
      <c r="W1119" s="1478" t="str">
        <f t="shared" si="456"/>
        <v>04.16.01</v>
      </c>
      <c r="X1119" s="1478" t="str">
        <f t="shared" si="457"/>
        <v>Jaringan Air Minum</v>
      </c>
      <c r="Y1119" s="1478">
        <f t="shared" si="458"/>
        <v>30</v>
      </c>
      <c r="Z1119" s="1401">
        <f t="shared" si="459"/>
        <v>4743066.666666667</v>
      </c>
      <c r="AA1119" s="1444">
        <f t="shared" si="460"/>
        <v>0</v>
      </c>
      <c r="AB1119" s="1401">
        <f t="shared" si="461"/>
        <v>0</v>
      </c>
      <c r="AC1119" s="1401">
        <f t="shared" si="462"/>
        <v>4743066.666666667</v>
      </c>
      <c r="AD1119" s="1401">
        <f t="shared" si="463"/>
        <v>4743066.666666667</v>
      </c>
      <c r="AE1119" s="1401">
        <f t="shared" si="464"/>
        <v>4743066.666666667</v>
      </c>
      <c r="AF1119" s="1401">
        <f t="shared" si="465"/>
        <v>4743066.666666667</v>
      </c>
      <c r="AG1119" s="1479">
        <f t="shared" si="466"/>
        <v>4743066.666666667</v>
      </c>
      <c r="AH1119" s="1479">
        <f t="shared" si="467"/>
        <v>4743066.666666667</v>
      </c>
      <c r="AI1119" s="1479">
        <f t="shared" si="468"/>
        <v>28458400.000000004</v>
      </c>
      <c r="AJ1119" s="1401">
        <f t="shared" si="469"/>
        <v>113833600</v>
      </c>
    </row>
    <row r="1120" spans="2:38" s="1390" customFormat="1" ht="34" customHeight="1" x14ac:dyDescent="0.2">
      <c r="B1120" s="1472"/>
      <c r="C1120" s="1478" t="s">
        <v>2307</v>
      </c>
      <c r="D1120" s="1426"/>
      <c r="E1120" s="1455" t="s">
        <v>3539</v>
      </c>
      <c r="F1120" s="1562"/>
      <c r="G1120" s="1416" t="s">
        <v>3567</v>
      </c>
      <c r="H1120" s="1414" t="s">
        <v>1855</v>
      </c>
      <c r="I1120" s="1416"/>
      <c r="J1120" s="1512"/>
      <c r="K1120" s="1416"/>
      <c r="L1120" s="1500"/>
      <c r="M1120" s="1429" t="s">
        <v>3558</v>
      </c>
      <c r="N1120" s="1416">
        <v>2014</v>
      </c>
      <c r="O1120" s="1414"/>
      <c r="P1120" s="1414"/>
      <c r="Q1120" s="1414"/>
      <c r="R1120" s="1501" t="s">
        <v>12</v>
      </c>
      <c r="S1120" s="1539">
        <v>144231000</v>
      </c>
      <c r="T1120" s="1416"/>
      <c r="U1120" s="1427"/>
      <c r="V1120" s="1477"/>
      <c r="W1120" s="1478" t="str">
        <f t="shared" si="456"/>
        <v>04.16.01</v>
      </c>
      <c r="X1120" s="1478" t="str">
        <f t="shared" si="457"/>
        <v>Jaringan Air Minum</v>
      </c>
      <c r="Y1120" s="1478">
        <f t="shared" si="458"/>
        <v>30</v>
      </c>
      <c r="Z1120" s="1401">
        <f t="shared" si="459"/>
        <v>4807700</v>
      </c>
      <c r="AA1120" s="1444">
        <f t="shared" si="460"/>
        <v>0</v>
      </c>
      <c r="AB1120" s="1401">
        <f t="shared" si="461"/>
        <v>0</v>
      </c>
      <c r="AC1120" s="1401">
        <f t="shared" si="462"/>
        <v>4807700</v>
      </c>
      <c r="AD1120" s="1401">
        <f t="shared" si="463"/>
        <v>4807700</v>
      </c>
      <c r="AE1120" s="1401">
        <f t="shared" si="464"/>
        <v>4807700</v>
      </c>
      <c r="AF1120" s="1401">
        <f t="shared" si="465"/>
        <v>4807700</v>
      </c>
      <c r="AG1120" s="1479">
        <f t="shared" si="466"/>
        <v>4807700</v>
      </c>
      <c r="AH1120" s="1479">
        <f t="shared" si="467"/>
        <v>4807700</v>
      </c>
      <c r="AI1120" s="1479">
        <f t="shared" si="468"/>
        <v>28846200</v>
      </c>
      <c r="AJ1120" s="1401">
        <f t="shared" si="469"/>
        <v>115384800</v>
      </c>
    </row>
    <row r="1121" spans="2:38" s="1390" customFormat="1" ht="34" customHeight="1" x14ac:dyDescent="0.2">
      <c r="B1121" s="1472"/>
      <c r="C1121" s="1478" t="s">
        <v>2307</v>
      </c>
      <c r="D1121" s="1426"/>
      <c r="E1121" s="1455" t="s">
        <v>3540</v>
      </c>
      <c r="F1121" s="1562"/>
      <c r="G1121" s="1416" t="s">
        <v>3567</v>
      </c>
      <c r="H1121" s="1414" t="s">
        <v>39</v>
      </c>
      <c r="I1121" s="1416"/>
      <c r="J1121" s="1512"/>
      <c r="K1121" s="1416"/>
      <c r="L1121" s="1500"/>
      <c r="M1121" s="1429" t="s">
        <v>3558</v>
      </c>
      <c r="N1121" s="1416">
        <v>2014</v>
      </c>
      <c r="O1121" s="1414"/>
      <c r="P1121" s="1414"/>
      <c r="Q1121" s="1414"/>
      <c r="R1121" s="1501" t="s">
        <v>12</v>
      </c>
      <c r="S1121" s="1539">
        <v>114261885.15693964</v>
      </c>
      <c r="T1121" s="1416"/>
      <c r="U1121" s="1427"/>
      <c r="V1121" s="1477"/>
      <c r="W1121" s="1478" t="str">
        <f t="shared" si="456"/>
        <v>04.16.01</v>
      </c>
      <c r="X1121" s="1478" t="str">
        <f t="shared" si="457"/>
        <v>Jaringan Air Minum</v>
      </c>
      <c r="Y1121" s="1478">
        <f t="shared" si="458"/>
        <v>30</v>
      </c>
      <c r="Z1121" s="1401">
        <f t="shared" si="459"/>
        <v>3808729.5052313213</v>
      </c>
      <c r="AA1121" s="1444">
        <f t="shared" si="460"/>
        <v>0</v>
      </c>
      <c r="AB1121" s="1401">
        <f t="shared" si="461"/>
        <v>0</v>
      </c>
      <c r="AC1121" s="1401">
        <f t="shared" si="462"/>
        <v>3808729.5052313213</v>
      </c>
      <c r="AD1121" s="1401">
        <f t="shared" si="463"/>
        <v>3808729.5052313213</v>
      </c>
      <c r="AE1121" s="1401">
        <f t="shared" si="464"/>
        <v>3808729.5052313213</v>
      </c>
      <c r="AF1121" s="1401">
        <f t="shared" si="465"/>
        <v>3808729.5052313213</v>
      </c>
      <c r="AG1121" s="1479">
        <f t="shared" si="466"/>
        <v>3808729.5052313213</v>
      </c>
      <c r="AH1121" s="1479">
        <f t="shared" si="467"/>
        <v>3808729.5052313213</v>
      </c>
      <c r="AI1121" s="1479">
        <f t="shared" si="468"/>
        <v>22852377.031387929</v>
      </c>
      <c r="AJ1121" s="1401">
        <f t="shared" si="469"/>
        <v>91409508.125551715</v>
      </c>
    </row>
    <row r="1122" spans="2:38" s="1390" customFormat="1" ht="34" customHeight="1" x14ac:dyDescent="0.2">
      <c r="B1122" s="1472"/>
      <c r="C1122" s="1478" t="s">
        <v>2307</v>
      </c>
      <c r="D1122" s="1426"/>
      <c r="E1122" s="1455" t="s">
        <v>3541</v>
      </c>
      <c r="F1122" s="1562"/>
      <c r="G1122" s="1416" t="s">
        <v>3567</v>
      </c>
      <c r="H1122" s="1414" t="s">
        <v>68</v>
      </c>
      <c r="I1122" s="1416"/>
      <c r="J1122" s="1512"/>
      <c r="K1122" s="1416"/>
      <c r="L1122" s="1500"/>
      <c r="M1122" s="1429" t="s">
        <v>3558</v>
      </c>
      <c r="N1122" s="1416">
        <v>2014</v>
      </c>
      <c r="O1122" s="1414"/>
      <c r="P1122" s="1414"/>
      <c r="Q1122" s="1414"/>
      <c r="R1122" s="1501" t="s">
        <v>12</v>
      </c>
      <c r="S1122" s="1539">
        <v>74728376.872205257</v>
      </c>
      <c r="T1122" s="1416"/>
      <c r="U1122" s="1427"/>
      <c r="V1122" s="1477"/>
      <c r="W1122" s="1478" t="str">
        <f t="shared" si="456"/>
        <v>04.16.01</v>
      </c>
      <c r="X1122" s="1478" t="str">
        <f t="shared" si="457"/>
        <v>Jaringan Air Minum</v>
      </c>
      <c r="Y1122" s="1478">
        <f t="shared" si="458"/>
        <v>30</v>
      </c>
      <c r="Z1122" s="1401">
        <f t="shared" si="459"/>
        <v>2490945.8957401752</v>
      </c>
      <c r="AA1122" s="1444">
        <f t="shared" si="460"/>
        <v>0</v>
      </c>
      <c r="AB1122" s="1401">
        <f t="shared" si="461"/>
        <v>0</v>
      </c>
      <c r="AC1122" s="1401">
        <f t="shared" si="462"/>
        <v>2490945.8957401752</v>
      </c>
      <c r="AD1122" s="1401">
        <f t="shared" si="463"/>
        <v>2490945.8957401752</v>
      </c>
      <c r="AE1122" s="1401">
        <f t="shared" si="464"/>
        <v>2490945.8957401752</v>
      </c>
      <c r="AF1122" s="1401">
        <f t="shared" si="465"/>
        <v>2490945.8957401752</v>
      </c>
      <c r="AG1122" s="1479">
        <f t="shared" si="466"/>
        <v>2490945.8957401752</v>
      </c>
      <c r="AH1122" s="1479">
        <f t="shared" si="467"/>
        <v>2490945.8957401752</v>
      </c>
      <c r="AI1122" s="1479">
        <f t="shared" si="468"/>
        <v>14945675.374441052</v>
      </c>
      <c r="AJ1122" s="1401">
        <f t="shared" si="469"/>
        <v>59782701.497764207</v>
      </c>
    </row>
    <row r="1123" spans="2:38" s="1390" customFormat="1" ht="34" customHeight="1" x14ac:dyDescent="0.2">
      <c r="B1123" s="1472"/>
      <c r="C1123" s="1478" t="s">
        <v>2307</v>
      </c>
      <c r="D1123" s="1426"/>
      <c r="E1123" s="1455" t="s">
        <v>3542</v>
      </c>
      <c r="F1123" s="1562"/>
      <c r="G1123" s="1416" t="s">
        <v>3567</v>
      </c>
      <c r="H1123" s="1414" t="s">
        <v>39</v>
      </c>
      <c r="I1123" s="1416"/>
      <c r="J1123" s="1512"/>
      <c r="K1123" s="1416"/>
      <c r="L1123" s="1500"/>
      <c r="M1123" s="1429" t="s">
        <v>3558</v>
      </c>
      <c r="N1123" s="1416">
        <v>2014</v>
      </c>
      <c r="O1123" s="1414"/>
      <c r="P1123" s="1414"/>
      <c r="Q1123" s="1414"/>
      <c r="R1123" s="1501" t="s">
        <v>12</v>
      </c>
      <c r="S1123" s="1539">
        <v>19068737.970855102</v>
      </c>
      <c r="T1123" s="1416"/>
      <c r="U1123" s="1427"/>
      <c r="V1123" s="1477"/>
      <c r="W1123" s="1478" t="str">
        <f t="shared" si="456"/>
        <v>04.16.01</v>
      </c>
      <c r="X1123" s="1478" t="str">
        <f t="shared" si="457"/>
        <v>Jaringan Air Minum</v>
      </c>
      <c r="Y1123" s="1478">
        <f t="shared" si="458"/>
        <v>30</v>
      </c>
      <c r="Z1123" s="1401">
        <f t="shared" si="459"/>
        <v>635624.59902850341</v>
      </c>
      <c r="AA1123" s="1444">
        <f t="shared" si="460"/>
        <v>0</v>
      </c>
      <c r="AB1123" s="1401">
        <f t="shared" si="461"/>
        <v>0</v>
      </c>
      <c r="AC1123" s="1401">
        <f t="shared" si="462"/>
        <v>635624.59902850341</v>
      </c>
      <c r="AD1123" s="1401">
        <f t="shared" si="463"/>
        <v>635624.59902850341</v>
      </c>
      <c r="AE1123" s="1401">
        <f t="shared" si="464"/>
        <v>635624.59902850341</v>
      </c>
      <c r="AF1123" s="1401">
        <f t="shared" si="465"/>
        <v>635624.59902850341</v>
      </c>
      <c r="AG1123" s="1479">
        <f t="shared" si="466"/>
        <v>635624.59902850341</v>
      </c>
      <c r="AH1123" s="1479">
        <f t="shared" si="467"/>
        <v>635624.59902850341</v>
      </c>
      <c r="AI1123" s="1479">
        <f t="shared" si="468"/>
        <v>3813747.5941710207</v>
      </c>
      <c r="AJ1123" s="1401">
        <f t="shared" si="469"/>
        <v>15254990.376684081</v>
      </c>
    </row>
    <row r="1124" spans="2:38" s="1390" customFormat="1" ht="34" customHeight="1" x14ac:dyDescent="0.2">
      <c r="B1124" s="1472"/>
      <c r="C1124" s="1478" t="s">
        <v>2307</v>
      </c>
      <c r="D1124" s="1426"/>
      <c r="E1124" s="1455" t="s">
        <v>3543</v>
      </c>
      <c r="F1124" s="1562"/>
      <c r="G1124" s="1416" t="s">
        <v>2555</v>
      </c>
      <c r="H1124" s="1414" t="s">
        <v>39</v>
      </c>
      <c r="I1124" s="1416"/>
      <c r="J1124" s="1512"/>
      <c r="K1124" s="1416"/>
      <c r="L1124" s="1500"/>
      <c r="M1124" s="1429" t="s">
        <v>2957</v>
      </c>
      <c r="N1124" s="1416">
        <v>2015</v>
      </c>
      <c r="O1124" s="1414"/>
      <c r="P1124" s="1414"/>
      <c r="Q1124" s="1414"/>
      <c r="R1124" s="1501" t="s">
        <v>12</v>
      </c>
      <c r="S1124" s="1539">
        <v>137833000</v>
      </c>
      <c r="T1124" s="1416"/>
      <c r="U1124" s="1427"/>
      <c r="V1124" s="1477"/>
      <c r="W1124" s="1478" t="str">
        <f t="shared" si="456"/>
        <v>04.16.01</v>
      </c>
      <c r="X1124" s="1478" t="str">
        <f t="shared" si="457"/>
        <v>Jaringan Air Minum</v>
      </c>
      <c r="Y1124" s="1478">
        <f t="shared" si="458"/>
        <v>30</v>
      </c>
      <c r="Z1124" s="1401">
        <f t="shared" si="459"/>
        <v>4594433.333333333</v>
      </c>
      <c r="AA1124" s="1444">
        <f t="shared" si="460"/>
        <v>0</v>
      </c>
      <c r="AB1124" s="1401">
        <f t="shared" si="461"/>
        <v>0</v>
      </c>
      <c r="AC1124" s="1401">
        <v>0</v>
      </c>
      <c r="AD1124" s="1401">
        <f>IF(S1124=AB1124+AC1124,0,Z1124)</f>
        <v>4594433.333333333</v>
      </c>
      <c r="AE1124" s="1401">
        <f t="shared" ref="AE1124:AE1129" si="470">IF(S1124=AB1124+AC1124+AD1124,0,Z1124)</f>
        <v>4594433.333333333</v>
      </c>
      <c r="AF1124" s="1401">
        <f t="shared" ref="AF1124:AF1130" si="471">IF(S1124=AC1124+AD1124+AE1124+AB1124,0,Z1124)</f>
        <v>4594433.333333333</v>
      </c>
      <c r="AG1124" s="1479">
        <f>IF(S1124=AC1124+AD1124+AE1124+AB1124+AF1124,0,Z1124)</f>
        <v>4594433.333333333</v>
      </c>
      <c r="AH1124" s="1479">
        <f t="shared" si="467"/>
        <v>4594433.333333333</v>
      </c>
      <c r="AI1124" s="1479">
        <f t="shared" ref="AI1124:AI1135" si="472">SUM(AB1124:AH1124)</f>
        <v>22972166.666666664</v>
      </c>
      <c r="AJ1124" s="1401">
        <f t="shared" si="469"/>
        <v>114860833.33333334</v>
      </c>
    </row>
    <row r="1125" spans="2:38" s="1390" customFormat="1" ht="34" customHeight="1" x14ac:dyDescent="0.2">
      <c r="B1125" s="1472"/>
      <c r="C1125" s="1478" t="s">
        <v>2306</v>
      </c>
      <c r="D1125" s="1426"/>
      <c r="E1125" s="1523" t="s">
        <v>2509</v>
      </c>
      <c r="F1125" s="1529"/>
      <c r="G1125" s="1501" t="s">
        <v>2555</v>
      </c>
      <c r="H1125" s="1429"/>
      <c r="I1125" s="1501"/>
      <c r="J1125" s="1540"/>
      <c r="K1125" s="1501"/>
      <c r="L1125" s="1526" t="s">
        <v>1776</v>
      </c>
      <c r="M1125" s="1429" t="s">
        <v>2576</v>
      </c>
      <c r="N1125" s="1501">
        <v>2015</v>
      </c>
      <c r="O1125" s="1429"/>
      <c r="P1125" s="1429"/>
      <c r="Q1125" s="1429"/>
      <c r="R1125" s="1501" t="s">
        <v>12</v>
      </c>
      <c r="S1125" s="1539">
        <v>919375000</v>
      </c>
      <c r="T1125" s="1501"/>
      <c r="U1125" s="1596"/>
      <c r="V1125" s="1553"/>
      <c r="W1125" s="1478" t="str">
        <f>LEFT(G1125,8)</f>
        <v>04.16.01</v>
      </c>
      <c r="X1125" s="1478" t="str">
        <f>VLOOKUP(W1125,UE,3,FALSE)</f>
        <v>Jaringan Air Minum</v>
      </c>
      <c r="Y1125" s="1478">
        <f>VLOOKUP(W1125,UE,4,FALSE)</f>
        <v>30</v>
      </c>
      <c r="Z1125" s="1401">
        <f>S1125/Y1125</f>
        <v>30645833.333333332</v>
      </c>
      <c r="AA1125" s="1444">
        <f>IF(2013-N1125+1&gt;Y1125,Y1125,IF(2013-N1125+1&lt;0,0,2013-N1125+1))</f>
        <v>0</v>
      </c>
      <c r="AB1125" s="1401">
        <f>IF(AA1125&gt;Y1125,S1125,Z1125*AA1125)</f>
        <v>0</v>
      </c>
      <c r="AC1125" s="1401">
        <v>0</v>
      </c>
      <c r="AD1125" s="1401">
        <f>IF(S1125=AB1125+AC1125,0,Z1125)</f>
        <v>30645833.333333332</v>
      </c>
      <c r="AE1125" s="1401">
        <f t="shared" si="470"/>
        <v>30645833.333333332</v>
      </c>
      <c r="AF1125" s="1401">
        <f t="shared" si="471"/>
        <v>30645833.333333332</v>
      </c>
      <c r="AG1125" s="1479">
        <f>IF(S1125=AC1125+AD1125+AE1125+AB1125+AF1125,0,Z1125)</f>
        <v>30645833.333333332</v>
      </c>
      <c r="AH1125" s="1479">
        <f>IF(S1125=AC1125+AD1125+AE1125+AB1125+AF1125+AG1125,0,Z1125)</f>
        <v>30645833.333333332</v>
      </c>
      <c r="AI1125" s="1479">
        <f t="shared" si="472"/>
        <v>153229166.66666666</v>
      </c>
      <c r="AJ1125" s="1401">
        <f>S1125-AI1125</f>
        <v>766145833.33333337</v>
      </c>
      <c r="AL1125" s="1443">
        <f>SUM(AB1125:AG1125)</f>
        <v>122583333.33333333</v>
      </c>
    </row>
    <row r="1126" spans="2:38" s="1390" customFormat="1" ht="34" customHeight="1" x14ac:dyDescent="0.2">
      <c r="B1126" s="1472"/>
      <c r="C1126" s="1478" t="s">
        <v>2306</v>
      </c>
      <c r="D1126" s="1426"/>
      <c r="E1126" s="1429" t="s">
        <v>2512</v>
      </c>
      <c r="F1126" s="1539"/>
      <c r="G1126" s="1501" t="s">
        <v>2555</v>
      </c>
      <c r="H1126" s="1429"/>
      <c r="I1126" s="1501"/>
      <c r="J1126" s="1540"/>
      <c r="K1126" s="1501"/>
      <c r="L1126" s="1526"/>
      <c r="M1126" s="1429"/>
      <c r="N1126" s="1501">
        <v>2015</v>
      </c>
      <c r="O1126" s="1429"/>
      <c r="P1126" s="1429"/>
      <c r="Q1126" s="1429"/>
      <c r="R1126" s="1501" t="s">
        <v>12</v>
      </c>
      <c r="S1126" s="1539">
        <v>314300000</v>
      </c>
      <c r="T1126" s="1501"/>
      <c r="U1126" s="1596"/>
      <c r="V1126" s="1553"/>
      <c r="W1126" s="1478" t="str">
        <f>LEFT(G1126,8)</f>
        <v>04.16.01</v>
      </c>
      <c r="X1126" s="1478" t="str">
        <f>VLOOKUP(W1126,UE,3,FALSE)</f>
        <v>Jaringan Air Minum</v>
      </c>
      <c r="Y1126" s="1478">
        <f>VLOOKUP(W1126,UE,4,FALSE)</f>
        <v>30</v>
      </c>
      <c r="Z1126" s="1401">
        <f>S1126/Y1126</f>
        <v>10476666.666666666</v>
      </c>
      <c r="AA1126" s="1444">
        <f>IF(2013-N1126+1&gt;Y1126,Y1126,IF(2013-N1126+1&lt;0,0,2013-N1126+1))</f>
        <v>0</v>
      </c>
      <c r="AB1126" s="1401">
        <f>IF(AA1126&gt;Y1126,S1126,Z1126*AA1126)</f>
        <v>0</v>
      </c>
      <c r="AC1126" s="1401">
        <v>0</v>
      </c>
      <c r="AD1126" s="1401">
        <f>IF(S1126=AB1126+AC1126,0,Z1126)</f>
        <v>10476666.666666666</v>
      </c>
      <c r="AE1126" s="1401">
        <f t="shared" si="470"/>
        <v>10476666.666666666</v>
      </c>
      <c r="AF1126" s="1401">
        <f t="shared" si="471"/>
        <v>10476666.666666666</v>
      </c>
      <c r="AG1126" s="1479">
        <f>IF(S1126=AC1126+AD1126+AE1126+AB1126+AF1126,0,Z1126)</f>
        <v>10476666.666666666</v>
      </c>
      <c r="AH1126" s="1479">
        <f>IF(S1126=AC1126+AD1126+AE1126+AB1126+AF1126+AG1126,0,Z1126)</f>
        <v>10476666.666666666</v>
      </c>
      <c r="AI1126" s="1479">
        <f t="shared" si="472"/>
        <v>52383333.333333328</v>
      </c>
      <c r="AJ1126" s="1401">
        <f>S1126-AI1126</f>
        <v>261916666.66666669</v>
      </c>
      <c r="AL1126" s="1443">
        <f>SUM(AB1126:AG1126)</f>
        <v>41906666.666666664</v>
      </c>
    </row>
    <row r="1127" spans="2:38" s="1390" customFormat="1" ht="34" customHeight="1" x14ac:dyDescent="0.2">
      <c r="B1127" s="1472"/>
      <c r="C1127" s="1478" t="s">
        <v>2307</v>
      </c>
      <c r="D1127" s="1426"/>
      <c r="E1127" s="1455" t="s">
        <v>3544</v>
      </c>
      <c r="F1127" s="1562"/>
      <c r="G1127" s="1416" t="s">
        <v>2555</v>
      </c>
      <c r="H1127" s="1414" t="s">
        <v>68</v>
      </c>
      <c r="I1127" s="1416"/>
      <c r="J1127" s="1512"/>
      <c r="K1127" s="1416"/>
      <c r="L1127" s="1500"/>
      <c r="M1127" s="1429" t="s">
        <v>3559</v>
      </c>
      <c r="N1127" s="1416">
        <v>2016</v>
      </c>
      <c r="O1127" s="1414"/>
      <c r="P1127" s="1414"/>
      <c r="Q1127" s="1414"/>
      <c r="R1127" s="1501" t="s">
        <v>12</v>
      </c>
      <c r="S1127" s="1539">
        <v>365000000</v>
      </c>
      <c r="T1127" s="1416"/>
      <c r="U1127" s="1427"/>
      <c r="V1127" s="1477"/>
      <c r="W1127" s="1478" t="str">
        <f t="shared" si="456"/>
        <v>04.16.01</v>
      </c>
      <c r="X1127" s="1478" t="str">
        <f t="shared" si="457"/>
        <v>Jaringan Air Minum</v>
      </c>
      <c r="Y1127" s="1478">
        <f t="shared" si="458"/>
        <v>30</v>
      </c>
      <c r="Z1127" s="1401">
        <f t="shared" si="459"/>
        <v>12166666.666666666</v>
      </c>
      <c r="AA1127" s="1444">
        <f t="shared" si="460"/>
        <v>0</v>
      </c>
      <c r="AB1127" s="1401">
        <f t="shared" si="461"/>
        <v>0</v>
      </c>
      <c r="AC1127" s="1401">
        <v>0</v>
      </c>
      <c r="AD1127" s="1401">
        <v>0</v>
      </c>
      <c r="AE1127" s="1401">
        <f t="shared" si="470"/>
        <v>12166666.666666666</v>
      </c>
      <c r="AF1127" s="1401">
        <f t="shared" si="471"/>
        <v>12166666.666666666</v>
      </c>
      <c r="AG1127" s="1479">
        <f t="shared" ref="AG1127:AG1132" si="473">IF(S1127=AC1127+AD1127+AE1127+AB1127+AF1127,0,Z1127)</f>
        <v>12166666.666666666</v>
      </c>
      <c r="AH1127" s="1479">
        <f t="shared" si="467"/>
        <v>12166666.666666666</v>
      </c>
      <c r="AI1127" s="1479">
        <f t="shared" si="472"/>
        <v>48666666.666666664</v>
      </c>
      <c r="AJ1127" s="1401">
        <f t="shared" si="469"/>
        <v>316333333.33333331</v>
      </c>
    </row>
    <row r="1128" spans="2:38" s="1390" customFormat="1" ht="34" customHeight="1" x14ac:dyDescent="0.2">
      <c r="B1128" s="1472"/>
      <c r="C1128" s="1478" t="s">
        <v>2307</v>
      </c>
      <c r="D1128" s="1426"/>
      <c r="E1128" s="1455" t="s">
        <v>3545</v>
      </c>
      <c r="F1128" s="1562"/>
      <c r="G1128" s="1416" t="s">
        <v>2555</v>
      </c>
      <c r="H1128" s="1414" t="s">
        <v>1765</v>
      </c>
      <c r="I1128" s="1416"/>
      <c r="J1128" s="1512"/>
      <c r="K1128" s="1416"/>
      <c r="L1128" s="1500"/>
      <c r="M1128" s="1429" t="s">
        <v>3560</v>
      </c>
      <c r="N1128" s="1416">
        <v>2016</v>
      </c>
      <c r="O1128" s="1414"/>
      <c r="P1128" s="1414"/>
      <c r="Q1128" s="1414"/>
      <c r="R1128" s="1501" t="s">
        <v>12</v>
      </c>
      <c r="S1128" s="1539">
        <v>577777000</v>
      </c>
      <c r="T1128" s="1416"/>
      <c r="U1128" s="1427"/>
      <c r="V1128" s="1477"/>
      <c r="W1128" s="1478" t="str">
        <f t="shared" si="456"/>
        <v>04.16.01</v>
      </c>
      <c r="X1128" s="1478" t="str">
        <f t="shared" si="457"/>
        <v>Jaringan Air Minum</v>
      </c>
      <c r="Y1128" s="1478">
        <f t="shared" si="458"/>
        <v>30</v>
      </c>
      <c r="Z1128" s="1401">
        <f t="shared" si="459"/>
        <v>19259233.333333332</v>
      </c>
      <c r="AA1128" s="1444">
        <f t="shared" si="460"/>
        <v>0</v>
      </c>
      <c r="AB1128" s="1401">
        <f t="shared" si="461"/>
        <v>0</v>
      </c>
      <c r="AC1128" s="1401">
        <v>0</v>
      </c>
      <c r="AD1128" s="1401">
        <v>0</v>
      </c>
      <c r="AE1128" s="1401">
        <f t="shared" si="470"/>
        <v>19259233.333333332</v>
      </c>
      <c r="AF1128" s="1401">
        <f t="shared" si="471"/>
        <v>19259233.333333332</v>
      </c>
      <c r="AG1128" s="1479">
        <f t="shared" si="473"/>
        <v>19259233.333333332</v>
      </c>
      <c r="AH1128" s="1479">
        <f t="shared" si="467"/>
        <v>19259233.333333332</v>
      </c>
      <c r="AI1128" s="1479">
        <f t="shared" si="472"/>
        <v>77036933.333333328</v>
      </c>
      <c r="AJ1128" s="1401">
        <f t="shared" si="469"/>
        <v>500740066.66666669</v>
      </c>
    </row>
    <row r="1129" spans="2:38" s="1390" customFormat="1" ht="34" customHeight="1" x14ac:dyDescent="0.2">
      <c r="B1129" s="1472"/>
      <c r="C1129" s="1478" t="s">
        <v>2307</v>
      </c>
      <c r="D1129" s="1426"/>
      <c r="E1129" s="1455" t="s">
        <v>3546</v>
      </c>
      <c r="F1129" s="1562"/>
      <c r="G1129" s="1416" t="s">
        <v>2555</v>
      </c>
      <c r="H1129" s="1414" t="s">
        <v>1768</v>
      </c>
      <c r="I1129" s="1416"/>
      <c r="J1129" s="1512"/>
      <c r="K1129" s="1416"/>
      <c r="L1129" s="1500"/>
      <c r="M1129" s="1429" t="s">
        <v>3561</v>
      </c>
      <c r="N1129" s="1416">
        <v>2016</v>
      </c>
      <c r="O1129" s="1414"/>
      <c r="P1129" s="1414"/>
      <c r="Q1129" s="1414"/>
      <c r="R1129" s="1501" t="s">
        <v>12</v>
      </c>
      <c r="S1129" s="1539">
        <v>555000000</v>
      </c>
      <c r="T1129" s="1416"/>
      <c r="U1129" s="1427"/>
      <c r="V1129" s="1477"/>
      <c r="W1129" s="1478" t="str">
        <f t="shared" si="456"/>
        <v>04.16.01</v>
      </c>
      <c r="X1129" s="1478" t="str">
        <f t="shared" si="457"/>
        <v>Jaringan Air Minum</v>
      </c>
      <c r="Y1129" s="1478">
        <f t="shared" si="458"/>
        <v>30</v>
      </c>
      <c r="Z1129" s="1401">
        <f t="shared" si="459"/>
        <v>18500000</v>
      </c>
      <c r="AA1129" s="1444">
        <f t="shared" si="460"/>
        <v>0</v>
      </c>
      <c r="AB1129" s="1401">
        <f t="shared" si="461"/>
        <v>0</v>
      </c>
      <c r="AC1129" s="1401">
        <v>0</v>
      </c>
      <c r="AD1129" s="1401">
        <v>0</v>
      </c>
      <c r="AE1129" s="1401">
        <f t="shared" si="470"/>
        <v>18500000</v>
      </c>
      <c r="AF1129" s="1401">
        <f t="shared" si="471"/>
        <v>18500000</v>
      </c>
      <c r="AG1129" s="1479">
        <f t="shared" si="473"/>
        <v>18500000</v>
      </c>
      <c r="AH1129" s="1479">
        <f t="shared" si="467"/>
        <v>18500000</v>
      </c>
      <c r="AI1129" s="1479">
        <f t="shared" si="472"/>
        <v>74000000</v>
      </c>
      <c r="AJ1129" s="1401">
        <f t="shared" si="469"/>
        <v>481000000</v>
      </c>
    </row>
    <row r="1130" spans="2:38" s="1390" customFormat="1" ht="34" customHeight="1" x14ac:dyDescent="0.2">
      <c r="B1130" s="1472"/>
      <c r="C1130" s="1478"/>
      <c r="D1130" s="1426"/>
      <c r="E1130" s="1455" t="s">
        <v>3547</v>
      </c>
      <c r="F1130" s="1562"/>
      <c r="G1130" s="1416" t="s">
        <v>2555</v>
      </c>
      <c r="H1130" s="1414"/>
      <c r="I1130" s="1416"/>
      <c r="J1130" s="1512"/>
      <c r="K1130" s="1416"/>
      <c r="L1130" s="1500"/>
      <c r="M1130" s="1429" t="s">
        <v>3562</v>
      </c>
      <c r="N1130" s="1416">
        <v>2017</v>
      </c>
      <c r="O1130" s="1414"/>
      <c r="P1130" s="1414"/>
      <c r="Q1130" s="1414"/>
      <c r="R1130" s="1501" t="s">
        <v>12</v>
      </c>
      <c r="S1130" s="1539">
        <v>441507000</v>
      </c>
      <c r="T1130" s="1416"/>
      <c r="U1130" s="1427"/>
      <c r="V1130" s="1477"/>
      <c r="W1130" s="1478" t="str">
        <f t="shared" si="456"/>
        <v>04.16.01</v>
      </c>
      <c r="X1130" s="1478" t="str">
        <f t="shared" si="457"/>
        <v>Jaringan Air Minum</v>
      </c>
      <c r="Y1130" s="1478">
        <f t="shared" si="458"/>
        <v>30</v>
      </c>
      <c r="Z1130" s="1401">
        <f t="shared" si="459"/>
        <v>14716900</v>
      </c>
      <c r="AA1130" s="1444">
        <f t="shared" si="460"/>
        <v>0</v>
      </c>
      <c r="AB1130" s="1401">
        <f t="shared" si="461"/>
        <v>0</v>
      </c>
      <c r="AC1130" s="1401">
        <v>0</v>
      </c>
      <c r="AD1130" s="1401">
        <v>0</v>
      </c>
      <c r="AE1130" s="1401">
        <v>0</v>
      </c>
      <c r="AF1130" s="1401">
        <f t="shared" si="471"/>
        <v>14716900</v>
      </c>
      <c r="AG1130" s="1479">
        <f t="shared" si="473"/>
        <v>14716900</v>
      </c>
      <c r="AH1130" s="1479">
        <f t="shared" si="467"/>
        <v>14716900</v>
      </c>
      <c r="AI1130" s="1479">
        <f t="shared" si="472"/>
        <v>44150700</v>
      </c>
      <c r="AJ1130" s="1401">
        <f t="shared" si="469"/>
        <v>397356300</v>
      </c>
    </row>
    <row r="1131" spans="2:38" s="1390" customFormat="1" ht="34" customHeight="1" x14ac:dyDescent="0.2">
      <c r="B1131" s="1472"/>
      <c r="C1131" s="1478"/>
      <c r="D1131" s="1426"/>
      <c r="E1131" s="1455" t="s">
        <v>3548</v>
      </c>
      <c r="F1131" s="1562"/>
      <c r="G1131" s="1416" t="s">
        <v>2555</v>
      </c>
      <c r="H1131" s="1414"/>
      <c r="I1131" s="1416"/>
      <c r="J1131" s="1512"/>
      <c r="K1131" s="1416"/>
      <c r="L1131" s="1500"/>
      <c r="M1131" s="1429" t="s">
        <v>3563</v>
      </c>
      <c r="N1131" s="1416">
        <v>2018</v>
      </c>
      <c r="O1131" s="1414"/>
      <c r="P1131" s="1414"/>
      <c r="Q1131" s="1414"/>
      <c r="R1131" s="1501" t="s">
        <v>12</v>
      </c>
      <c r="S1131" s="1539">
        <v>329615000</v>
      </c>
      <c r="T1131" s="1416" t="s">
        <v>43</v>
      </c>
      <c r="U1131" s="1427"/>
      <c r="V1131" s="1477"/>
      <c r="W1131" s="1478" t="str">
        <f t="shared" si="456"/>
        <v>04.16.01</v>
      </c>
      <c r="X1131" s="1478" t="str">
        <f t="shared" si="457"/>
        <v>Jaringan Air Minum</v>
      </c>
      <c r="Y1131" s="1478">
        <f t="shared" si="458"/>
        <v>30</v>
      </c>
      <c r="Z1131" s="1401">
        <f t="shared" si="459"/>
        <v>10987166.666666666</v>
      </c>
      <c r="AA1131" s="1444">
        <f t="shared" si="460"/>
        <v>0</v>
      </c>
      <c r="AB1131" s="1401">
        <f t="shared" si="461"/>
        <v>0</v>
      </c>
      <c r="AC1131" s="1401">
        <v>0</v>
      </c>
      <c r="AD1131" s="1401">
        <v>0</v>
      </c>
      <c r="AE1131" s="1401">
        <v>0</v>
      </c>
      <c r="AF1131" s="1401">
        <v>0</v>
      </c>
      <c r="AG1131" s="1479">
        <f t="shared" si="473"/>
        <v>10987166.666666666</v>
      </c>
      <c r="AH1131" s="1479">
        <f t="shared" si="467"/>
        <v>10987166.666666666</v>
      </c>
      <c r="AI1131" s="1479">
        <f t="shared" si="472"/>
        <v>21974333.333333332</v>
      </c>
      <c r="AJ1131" s="1401">
        <f t="shared" si="469"/>
        <v>307640666.66666669</v>
      </c>
    </row>
    <row r="1132" spans="2:38" s="1390" customFormat="1" ht="34" customHeight="1" x14ac:dyDescent="0.2">
      <c r="B1132" s="1472"/>
      <c r="C1132" s="1478"/>
      <c r="D1132" s="1426"/>
      <c r="E1132" s="1455" t="s">
        <v>3548</v>
      </c>
      <c r="F1132" s="1562"/>
      <c r="G1132" s="1416" t="s">
        <v>2555</v>
      </c>
      <c r="H1132" s="1414"/>
      <c r="I1132" s="1416"/>
      <c r="J1132" s="1512"/>
      <c r="K1132" s="1416"/>
      <c r="L1132" s="1500"/>
      <c r="M1132" s="1429" t="s">
        <v>3564</v>
      </c>
      <c r="N1132" s="1416">
        <v>2018</v>
      </c>
      <c r="O1132" s="1414"/>
      <c r="P1132" s="1414"/>
      <c r="Q1132" s="1414"/>
      <c r="R1132" s="1501" t="s">
        <v>12</v>
      </c>
      <c r="S1132" s="1539">
        <v>329996000</v>
      </c>
      <c r="T1132" s="1416" t="s">
        <v>43</v>
      </c>
      <c r="U1132" s="1427"/>
      <c r="V1132" s="1477"/>
      <c r="W1132" s="1478" t="str">
        <f t="shared" si="456"/>
        <v>04.16.01</v>
      </c>
      <c r="X1132" s="1478" t="str">
        <f t="shared" si="457"/>
        <v>Jaringan Air Minum</v>
      </c>
      <c r="Y1132" s="1478">
        <f t="shared" si="458"/>
        <v>30</v>
      </c>
      <c r="Z1132" s="1401">
        <f t="shared" si="459"/>
        <v>10999866.666666666</v>
      </c>
      <c r="AA1132" s="1444">
        <f t="shared" si="460"/>
        <v>0</v>
      </c>
      <c r="AB1132" s="1401">
        <f t="shared" si="461"/>
        <v>0</v>
      </c>
      <c r="AC1132" s="1401">
        <v>0</v>
      </c>
      <c r="AD1132" s="1401">
        <v>0</v>
      </c>
      <c r="AE1132" s="1401">
        <v>0</v>
      </c>
      <c r="AF1132" s="1401">
        <v>0</v>
      </c>
      <c r="AG1132" s="1479">
        <f t="shared" si="473"/>
        <v>10999866.666666666</v>
      </c>
      <c r="AH1132" s="1479">
        <f t="shared" si="467"/>
        <v>10999866.666666666</v>
      </c>
      <c r="AI1132" s="1479">
        <f t="shared" si="472"/>
        <v>21999733.333333332</v>
      </c>
      <c r="AJ1132" s="1401">
        <f t="shared" si="469"/>
        <v>307996266.66666669</v>
      </c>
    </row>
    <row r="1133" spans="2:38" s="1390" customFormat="1" ht="40" customHeight="1" x14ac:dyDescent="0.2">
      <c r="B1133" s="1472"/>
      <c r="C1133" s="1478"/>
      <c r="D1133" s="1426"/>
      <c r="E1133" s="1455" t="s">
        <v>5645</v>
      </c>
      <c r="F1133" s="1562"/>
      <c r="G1133" s="1416" t="s">
        <v>2555</v>
      </c>
      <c r="H1133" s="1414"/>
      <c r="I1133" s="1416"/>
      <c r="J1133" s="1512">
        <v>2106</v>
      </c>
      <c r="K1133" s="1416"/>
      <c r="L1133" s="1500"/>
      <c r="M1133" s="1429" t="s">
        <v>5644</v>
      </c>
      <c r="N1133" s="1416">
        <v>2019</v>
      </c>
      <c r="O1133" s="1429" t="s">
        <v>5651</v>
      </c>
      <c r="P1133" s="1414"/>
      <c r="Q1133" s="1414"/>
      <c r="R1133" s="1501" t="s">
        <v>12</v>
      </c>
      <c r="S1133" s="1539">
        <f>728599000+35511543.619869</f>
        <v>764110543.61986899</v>
      </c>
      <c r="T1133" s="1548"/>
      <c r="U1133" s="1427"/>
      <c r="V1133" s="1477"/>
      <c r="W1133" s="1478" t="str">
        <f>LEFT(G1133,8)</f>
        <v>04.16.01</v>
      </c>
      <c r="X1133" s="1478" t="str">
        <f>VLOOKUP(W1133,UE,3,FALSE)</f>
        <v>Jaringan Air Minum</v>
      </c>
      <c r="Y1133" s="1478">
        <f t="shared" si="458"/>
        <v>30</v>
      </c>
      <c r="Z1133" s="1401">
        <f t="shared" si="459"/>
        <v>25470351.453995634</v>
      </c>
      <c r="AA1133" s="1444">
        <f t="shared" si="460"/>
        <v>0</v>
      </c>
      <c r="AB1133" s="1401">
        <f>IF(AA1133&gt;Y1133,S1133,Z1133*AA1133)</f>
        <v>0</v>
      </c>
      <c r="AC1133" s="1401">
        <v>0</v>
      </c>
      <c r="AD1133" s="1401">
        <v>0</v>
      </c>
      <c r="AE1133" s="1401">
        <v>0</v>
      </c>
      <c r="AF1133" s="1401">
        <v>0</v>
      </c>
      <c r="AG1133" s="1479">
        <v>0</v>
      </c>
      <c r="AH1133" s="1479">
        <f t="shared" si="467"/>
        <v>25470351.453995634</v>
      </c>
      <c r="AI1133" s="1479">
        <f t="shared" si="472"/>
        <v>25470351.453995634</v>
      </c>
      <c r="AJ1133" s="1401">
        <f t="shared" si="469"/>
        <v>738640192.16587341</v>
      </c>
    </row>
    <row r="1134" spans="2:38" s="1390" customFormat="1" ht="40" customHeight="1" x14ac:dyDescent="0.2">
      <c r="B1134" s="1472"/>
      <c r="C1134" s="1478"/>
      <c r="D1134" s="1426"/>
      <c r="E1134" s="1455" t="s">
        <v>5646</v>
      </c>
      <c r="F1134" s="1562"/>
      <c r="G1134" s="1416" t="s">
        <v>2555</v>
      </c>
      <c r="H1134" s="1414"/>
      <c r="I1134" s="1416"/>
      <c r="J1134" s="1512">
        <v>5805</v>
      </c>
      <c r="K1134" s="1416"/>
      <c r="L1134" s="1500"/>
      <c r="M1134" s="1429" t="s">
        <v>5647</v>
      </c>
      <c r="N1134" s="1416">
        <v>2019</v>
      </c>
      <c r="O1134" s="1429" t="s">
        <v>5650</v>
      </c>
      <c r="P1134" s="1414"/>
      <c r="Q1134" s="1414"/>
      <c r="R1134" s="1501" t="s">
        <v>12</v>
      </c>
      <c r="S1134" s="1539">
        <f>848593000+41359989.9739301</f>
        <v>889952989.97393012</v>
      </c>
      <c r="T1134" s="1548"/>
      <c r="U1134" s="1427"/>
      <c r="V1134" s="1477"/>
      <c r="W1134" s="1478" t="str">
        <f>LEFT(G1134,8)</f>
        <v>04.16.01</v>
      </c>
      <c r="X1134" s="1478" t="str">
        <f>VLOOKUP(W1134,UE,3,FALSE)</f>
        <v>Jaringan Air Minum</v>
      </c>
      <c r="Y1134" s="1478">
        <f t="shared" si="458"/>
        <v>30</v>
      </c>
      <c r="Z1134" s="1401">
        <f t="shared" si="459"/>
        <v>29665099.665797669</v>
      </c>
      <c r="AA1134" s="1444">
        <f t="shared" si="460"/>
        <v>0</v>
      </c>
      <c r="AB1134" s="1401">
        <f>IF(AA1134&gt;Y1134,S1134,Z1134*AA1134)</f>
        <v>0</v>
      </c>
      <c r="AC1134" s="1401">
        <v>0</v>
      </c>
      <c r="AD1134" s="1401">
        <v>0</v>
      </c>
      <c r="AE1134" s="1401">
        <v>0</v>
      </c>
      <c r="AF1134" s="1401">
        <v>0</v>
      </c>
      <c r="AG1134" s="1479">
        <v>0</v>
      </c>
      <c r="AH1134" s="1479">
        <f t="shared" si="467"/>
        <v>29665099.665797669</v>
      </c>
      <c r="AI1134" s="1479">
        <f t="shared" si="472"/>
        <v>29665099.665797669</v>
      </c>
      <c r="AJ1134" s="1401">
        <f t="shared" si="469"/>
        <v>860287890.30813241</v>
      </c>
    </row>
    <row r="1135" spans="2:38" s="1390" customFormat="1" ht="40" customHeight="1" x14ac:dyDescent="0.2">
      <c r="B1135" s="1472"/>
      <c r="C1135" s="1478"/>
      <c r="D1135" s="1426"/>
      <c r="E1135" s="1455" t="s">
        <v>5643</v>
      </c>
      <c r="F1135" s="1562"/>
      <c r="G1135" s="1416" t="s">
        <v>2555</v>
      </c>
      <c r="H1135" s="1414"/>
      <c r="I1135" s="1416"/>
      <c r="J1135" s="1512">
        <v>1200</v>
      </c>
      <c r="K1135" s="1416"/>
      <c r="L1135" s="1500"/>
      <c r="M1135" s="1429" t="s">
        <v>5648</v>
      </c>
      <c r="N1135" s="1416">
        <v>2019</v>
      </c>
      <c r="O1135" s="1429" t="s">
        <v>5649</v>
      </c>
      <c r="P1135" s="1414"/>
      <c r="Q1135" s="1414"/>
      <c r="R1135" s="1501" t="s">
        <v>12</v>
      </c>
      <c r="S1135" s="1539">
        <f>425886000+20757466.4062009</f>
        <v>446643466.40620089</v>
      </c>
      <c r="T1135" s="1548"/>
      <c r="U1135" s="1427"/>
      <c r="V1135" s="1477"/>
      <c r="W1135" s="1478" t="str">
        <f>LEFT(G1135,8)</f>
        <v>04.16.01</v>
      </c>
      <c r="X1135" s="1478" t="str">
        <f>VLOOKUP(W1135,UE,3,FALSE)</f>
        <v>Jaringan Air Minum</v>
      </c>
      <c r="Y1135" s="1478">
        <f t="shared" si="458"/>
        <v>30</v>
      </c>
      <c r="Z1135" s="1401">
        <f t="shared" si="459"/>
        <v>14888115.546873363</v>
      </c>
      <c r="AA1135" s="1444">
        <f t="shared" si="460"/>
        <v>0</v>
      </c>
      <c r="AB1135" s="1401">
        <f>IF(AA1135&gt;Y1135,S1135,Z1135*AA1135)</f>
        <v>0</v>
      </c>
      <c r="AC1135" s="1401">
        <v>0</v>
      </c>
      <c r="AD1135" s="1401">
        <v>0</v>
      </c>
      <c r="AE1135" s="1401">
        <v>0</v>
      </c>
      <c r="AF1135" s="1401">
        <v>0</v>
      </c>
      <c r="AG1135" s="1479">
        <v>0</v>
      </c>
      <c r="AH1135" s="1479">
        <f t="shared" si="467"/>
        <v>14888115.546873363</v>
      </c>
      <c r="AI1135" s="1479">
        <f t="shared" si="472"/>
        <v>14888115.546873363</v>
      </c>
      <c r="AJ1135" s="1401">
        <f t="shared" si="469"/>
        <v>431755350.8593275</v>
      </c>
    </row>
    <row r="1136" spans="2:38" s="1390" customFormat="1" ht="34" customHeight="1" thickBot="1" x14ac:dyDescent="0.25">
      <c r="B1136" s="1472"/>
      <c r="D1136" s="1431"/>
      <c r="E1136" s="1604"/>
      <c r="F1136" s="1605"/>
      <c r="G1136" s="1458"/>
      <c r="H1136" s="1566"/>
      <c r="I1136" s="1458"/>
      <c r="J1136" s="1567"/>
      <c r="K1136" s="1458"/>
      <c r="L1136" s="1567"/>
      <c r="M1136" s="1568"/>
      <c r="N1136" s="1458"/>
      <c r="O1136" s="1566"/>
      <c r="P1136" s="1566"/>
      <c r="Q1136" s="1566"/>
      <c r="R1136" s="1569"/>
      <c r="S1136" s="1570"/>
      <c r="T1136" s="1458"/>
      <c r="U1136" s="1606"/>
      <c r="V1136" s="1477"/>
      <c r="Z1136" s="1401"/>
      <c r="AB1136" s="1401"/>
      <c r="AC1136" s="1401"/>
      <c r="AD1136" s="1401"/>
      <c r="AE1136" s="1401"/>
      <c r="AF1136" s="1401"/>
      <c r="AG1136" s="1401"/>
      <c r="AH1136" s="1401"/>
      <c r="AI1136" s="1401"/>
      <c r="AJ1136" s="1401"/>
    </row>
    <row r="1137" spans="2:38" s="1390" customFormat="1" x14ac:dyDescent="0.2">
      <c r="B1137" s="1472"/>
      <c r="D1137" s="1391"/>
      <c r="E1137" s="1472"/>
      <c r="F1137" s="1401">
        <f>SUBTOTAL(9,F23:F628)</f>
        <v>638188881732.53857</v>
      </c>
      <c r="G1137" s="1481"/>
      <c r="I1137" s="1391"/>
      <c r="J1137" s="1482"/>
      <c r="K1137" s="1391"/>
      <c r="L1137" s="1483"/>
      <c r="M1137" s="1472"/>
      <c r="N1137" s="1391"/>
      <c r="R1137" s="1391"/>
      <c r="S1137" s="1401"/>
      <c r="T1137" s="1391"/>
      <c r="Z1137" s="1401"/>
      <c r="AB1137" s="1401"/>
      <c r="AC1137" s="1401"/>
      <c r="AD1137" s="1401"/>
      <c r="AE1137" s="1401"/>
      <c r="AF1137" s="1401"/>
      <c r="AG1137" s="1401"/>
      <c r="AH1137" s="1401"/>
      <c r="AI1137" s="1401">
        <f>SUBTOTAL(9,AI12:AI678)</f>
        <v>1112040624713.9683</v>
      </c>
      <c r="AJ1137" s="1401"/>
      <c r="AL1137" s="1401">
        <f>SUBTOTAL(9,AL828:AL979)</f>
        <v>5833984059.3019915</v>
      </c>
    </row>
    <row r="1138" spans="2:38" s="1390" customFormat="1" x14ac:dyDescent="0.2">
      <c r="B1138" s="1472"/>
      <c r="D1138" s="1391"/>
      <c r="E1138" s="1472"/>
      <c r="F1138" s="1401"/>
      <c r="G1138" s="1481"/>
      <c r="H1138" s="1484"/>
      <c r="J1138" s="1482"/>
      <c r="K1138" s="1391"/>
      <c r="L1138" s="1485"/>
      <c r="M1138" s="1472"/>
      <c r="N1138" s="1391"/>
      <c r="R1138" s="1391"/>
      <c r="S1138" s="1401"/>
      <c r="T1138" s="1391"/>
      <c r="Z1138" s="1401"/>
      <c r="AB1138" s="1401"/>
      <c r="AC1138" s="1401"/>
      <c r="AD1138" s="1401"/>
      <c r="AE1138" s="1401"/>
      <c r="AF1138" s="1401"/>
      <c r="AG1138" s="1401"/>
      <c r="AH1138" s="1401"/>
      <c r="AI1138" s="1401"/>
      <c r="AJ1138" s="1401"/>
    </row>
    <row r="1139" spans="2:38" s="1407" customFormat="1" ht="18" customHeight="1" x14ac:dyDescent="0.2">
      <c r="B1139" s="1488"/>
      <c r="D1139" s="1857" t="s">
        <v>22</v>
      </c>
      <c r="E1139" s="1857"/>
      <c r="F1139" s="1857"/>
      <c r="G1139" s="1857"/>
      <c r="J1139" s="1625"/>
      <c r="K1139" s="1424"/>
      <c r="L1139" s="1625"/>
      <c r="M1139" s="1488"/>
      <c r="N1139" s="1424"/>
      <c r="O1139" s="1424"/>
      <c r="P1139" s="1424"/>
      <c r="R1139" s="1424"/>
      <c r="S1139" s="1446"/>
      <c r="T1139" s="1424"/>
      <c r="Z1139" s="1446"/>
      <c r="AB1139" s="1446"/>
      <c r="AC1139" s="1446"/>
      <c r="AD1139" s="1446"/>
      <c r="AE1139" s="1446"/>
      <c r="AF1139" s="1446"/>
      <c r="AG1139" s="1446"/>
      <c r="AH1139" s="1446"/>
      <c r="AI1139" s="1446"/>
      <c r="AJ1139" s="1446"/>
    </row>
    <row r="1140" spans="2:38" s="1407" customFormat="1" ht="18" customHeight="1" x14ac:dyDescent="0.2">
      <c r="B1140" s="1488"/>
      <c r="D1140" s="1857" t="s">
        <v>4374</v>
      </c>
      <c r="E1140" s="1857"/>
      <c r="F1140" s="1857"/>
      <c r="G1140" s="1857"/>
      <c r="J1140" s="1625"/>
      <c r="K1140" s="1424"/>
      <c r="L1140" s="1625"/>
      <c r="M1140" s="1488"/>
      <c r="N1140" s="1424"/>
      <c r="O1140" s="1424"/>
      <c r="P1140" s="1424"/>
      <c r="Q1140" s="1857" t="s">
        <v>5491</v>
      </c>
      <c r="R1140" s="1857"/>
      <c r="S1140" s="1857"/>
      <c r="T1140" s="1857"/>
      <c r="Z1140" s="1446"/>
      <c r="AB1140" s="1446"/>
      <c r="AC1140" s="1446"/>
      <c r="AD1140" s="1446"/>
      <c r="AE1140" s="1446"/>
      <c r="AF1140" s="1446"/>
      <c r="AG1140" s="1446"/>
      <c r="AH1140" s="1446"/>
      <c r="AI1140" s="1446"/>
      <c r="AJ1140" s="1446"/>
    </row>
    <row r="1141" spans="2:38" s="1407" customFormat="1" ht="18" customHeight="1" x14ac:dyDescent="0.2">
      <c r="B1141" s="1488"/>
      <c r="D1141" s="1857" t="s">
        <v>6041</v>
      </c>
      <c r="E1141" s="1857"/>
      <c r="F1141" s="1857"/>
      <c r="G1141" s="1857"/>
      <c r="J1141" s="1625"/>
      <c r="K1141" s="1424"/>
      <c r="L1141" s="1625"/>
      <c r="M1141" s="1488"/>
      <c r="N1141" s="1424"/>
      <c r="O1141" s="1424"/>
      <c r="P1141" s="1424"/>
      <c r="Q1141" s="1857" t="s">
        <v>6040</v>
      </c>
      <c r="R1141" s="1857"/>
      <c r="S1141" s="1857"/>
      <c r="T1141" s="1857"/>
      <c r="Z1141" s="1446"/>
      <c r="AB1141" s="1446"/>
      <c r="AC1141" s="1446"/>
      <c r="AD1141" s="1446"/>
      <c r="AE1141" s="1446"/>
      <c r="AF1141" s="1446"/>
      <c r="AG1141" s="1446"/>
      <c r="AH1141" s="1446"/>
      <c r="AI1141" s="1446"/>
      <c r="AJ1141" s="1446"/>
    </row>
    <row r="1142" spans="2:38" s="1407" customFormat="1" ht="18" customHeight="1" x14ac:dyDescent="0.2">
      <c r="B1142" s="1488"/>
      <c r="D1142" s="1424"/>
      <c r="E1142" s="1488"/>
      <c r="F1142" s="1446"/>
      <c r="G1142" s="1424"/>
      <c r="J1142" s="1625"/>
      <c r="K1142" s="1424"/>
      <c r="L1142" s="1625"/>
      <c r="M1142" s="1488"/>
      <c r="N1142" s="1424"/>
      <c r="O1142" s="1424"/>
      <c r="P1142" s="1424"/>
      <c r="R1142" s="1424"/>
      <c r="S1142" s="1446"/>
      <c r="T1142" s="1424"/>
      <c r="U1142" s="1626">
        <v>170102942956.75562</v>
      </c>
      <c r="Z1142" s="1446"/>
      <c r="AB1142" s="1446"/>
      <c r="AC1142" s="1446"/>
      <c r="AD1142" s="1446"/>
      <c r="AE1142" s="1446"/>
      <c r="AF1142" s="1446"/>
      <c r="AG1142" s="1446"/>
      <c r="AH1142" s="1446"/>
      <c r="AI1142" s="1446"/>
      <c r="AJ1142" s="1446"/>
    </row>
    <row r="1143" spans="2:38" s="1407" customFormat="1" ht="18" customHeight="1" x14ac:dyDescent="0.2">
      <c r="B1143" s="1488"/>
      <c r="D1143" s="1424"/>
      <c r="E1143" s="1488"/>
      <c r="F1143" s="1446"/>
      <c r="G1143" s="1424"/>
      <c r="J1143" s="1625"/>
      <c r="K1143" s="1424"/>
      <c r="L1143" s="1625"/>
      <c r="M1143" s="1488"/>
      <c r="N1143" s="1424"/>
      <c r="O1143" s="1424"/>
      <c r="P1143" s="1424"/>
      <c r="R1143" s="1424"/>
      <c r="S1143" s="1446"/>
      <c r="T1143" s="1424"/>
      <c r="U1143" s="1626">
        <v>170102942956.75562</v>
      </c>
      <c r="Z1143" s="1446"/>
      <c r="AB1143" s="1446"/>
      <c r="AC1143" s="1446"/>
      <c r="AD1143" s="1446"/>
      <c r="AE1143" s="1446"/>
      <c r="AF1143" s="1446"/>
      <c r="AG1143" s="1446"/>
      <c r="AH1143" s="1446"/>
      <c r="AI1143" s="1446"/>
      <c r="AJ1143" s="1446"/>
    </row>
    <row r="1144" spans="2:38" s="1407" customFormat="1" ht="18" customHeight="1" x14ac:dyDescent="0.2">
      <c r="B1144" s="1488"/>
      <c r="D1144" s="1424"/>
      <c r="E1144" s="1488"/>
      <c r="F1144" s="1446"/>
      <c r="G1144" s="1424"/>
      <c r="J1144" s="1625"/>
      <c r="K1144" s="1424"/>
      <c r="L1144" s="1625"/>
      <c r="M1144" s="1488"/>
      <c r="N1144" s="1424"/>
      <c r="O1144" s="1424"/>
      <c r="P1144" s="1424"/>
      <c r="R1144" s="1424"/>
      <c r="S1144" s="1446"/>
      <c r="T1144" s="1424"/>
      <c r="U1144" s="1626">
        <v>340205885913.51123</v>
      </c>
      <c r="Z1144" s="1446"/>
      <c r="AB1144" s="1446"/>
      <c r="AC1144" s="1446"/>
      <c r="AD1144" s="1446"/>
      <c r="AE1144" s="1446"/>
      <c r="AF1144" s="1446"/>
      <c r="AG1144" s="1446"/>
      <c r="AH1144" s="1446"/>
      <c r="AI1144" s="1446"/>
      <c r="AJ1144" s="1446"/>
    </row>
    <row r="1145" spans="2:38" s="1407" customFormat="1" ht="18" customHeight="1" x14ac:dyDescent="0.2">
      <c r="B1145" s="1488"/>
      <c r="D1145" s="1424"/>
      <c r="E1145" s="1488"/>
      <c r="F1145" s="1446"/>
      <c r="G1145" s="1424"/>
      <c r="J1145" s="1625"/>
      <c r="K1145" s="1424"/>
      <c r="L1145" s="1625"/>
      <c r="M1145" s="1488"/>
      <c r="N1145" s="1424"/>
      <c r="O1145" s="1424"/>
      <c r="P1145" s="1424"/>
      <c r="R1145" s="1424"/>
      <c r="S1145" s="1446"/>
      <c r="T1145" s="1424"/>
      <c r="Z1145" s="1446"/>
      <c r="AB1145" s="1446"/>
      <c r="AC1145" s="1446"/>
      <c r="AD1145" s="1446"/>
      <c r="AE1145" s="1446"/>
      <c r="AF1145" s="1446"/>
      <c r="AG1145" s="1446"/>
      <c r="AH1145" s="1446"/>
      <c r="AI1145" s="1446"/>
      <c r="AJ1145" s="1446"/>
    </row>
    <row r="1146" spans="2:38" s="1407" customFormat="1" ht="18" customHeight="1" x14ac:dyDescent="0.2">
      <c r="B1146" s="1488"/>
      <c r="D1146" s="1424"/>
      <c r="E1146" s="1488"/>
      <c r="F1146" s="1446"/>
      <c r="G1146" s="1424"/>
      <c r="J1146" s="1625"/>
      <c r="K1146" s="1424"/>
      <c r="L1146" s="1625"/>
      <c r="M1146" s="1488"/>
      <c r="N1146" s="1424"/>
      <c r="O1146" s="1424"/>
      <c r="P1146" s="1424"/>
      <c r="R1146" s="1424"/>
      <c r="S1146" s="1446"/>
      <c r="T1146" s="1424"/>
      <c r="Z1146" s="1446"/>
      <c r="AB1146" s="1446"/>
      <c r="AC1146" s="1446"/>
      <c r="AD1146" s="1446"/>
      <c r="AE1146" s="1446"/>
      <c r="AF1146" s="1446"/>
      <c r="AG1146" s="1446"/>
      <c r="AH1146" s="1446"/>
      <c r="AI1146" s="1446"/>
      <c r="AJ1146" s="1446"/>
    </row>
    <row r="1147" spans="2:38" s="1407" customFormat="1" ht="18" customHeight="1" x14ac:dyDescent="0.2">
      <c r="B1147" s="1488"/>
      <c r="D1147" s="1858" t="s">
        <v>5424</v>
      </c>
      <c r="E1147" s="1858"/>
      <c r="F1147" s="1858"/>
      <c r="G1147" s="1858"/>
      <c r="J1147" s="1625"/>
      <c r="K1147" s="1424"/>
      <c r="L1147" s="1625"/>
      <c r="M1147" s="1488"/>
      <c r="N1147" s="1424"/>
      <c r="O1147" s="1424"/>
      <c r="P1147" s="1424"/>
      <c r="Q1147" s="1858" t="s">
        <v>27</v>
      </c>
      <c r="R1147" s="1858"/>
      <c r="S1147" s="1858"/>
      <c r="T1147" s="1858"/>
      <c r="Z1147" s="1446"/>
      <c r="AB1147" s="1446"/>
      <c r="AC1147" s="1446"/>
      <c r="AD1147" s="1446"/>
      <c r="AE1147" s="1446"/>
      <c r="AF1147" s="1446"/>
      <c r="AG1147" s="1446"/>
      <c r="AH1147" s="1446"/>
      <c r="AI1147" s="1446"/>
      <c r="AJ1147" s="1446"/>
    </row>
    <row r="1148" spans="2:38" s="1407" customFormat="1" ht="18" customHeight="1" x14ac:dyDescent="0.2">
      <c r="B1148" s="1488"/>
      <c r="D1148" s="1857" t="s">
        <v>4376</v>
      </c>
      <c r="E1148" s="1857"/>
      <c r="F1148" s="1857"/>
      <c r="G1148" s="1857"/>
      <c r="H1148" s="1446"/>
      <c r="I1148" s="1446"/>
      <c r="J1148" s="1625"/>
      <c r="K1148" s="1424"/>
      <c r="L1148" s="1625"/>
      <c r="M1148" s="1488"/>
      <c r="N1148" s="1424"/>
      <c r="O1148" s="1424"/>
      <c r="P1148" s="1424"/>
      <c r="Q1148" s="1857" t="s">
        <v>29</v>
      </c>
      <c r="R1148" s="1857"/>
      <c r="S1148" s="1857"/>
      <c r="T1148" s="1857"/>
      <c r="Z1148" s="1446"/>
      <c r="AB1148" s="1446"/>
      <c r="AC1148" s="1446"/>
      <c r="AD1148" s="1446"/>
      <c r="AE1148" s="1446"/>
      <c r="AF1148" s="1446"/>
      <c r="AG1148" s="1446"/>
      <c r="AH1148" s="1446"/>
      <c r="AI1148" s="1446"/>
      <c r="AJ1148" s="1446"/>
    </row>
    <row r="1149" spans="2:38" s="1390" customFormat="1" x14ac:dyDescent="0.2">
      <c r="B1149" s="1472"/>
      <c r="D1149" s="1391"/>
      <c r="E1149" s="1472"/>
      <c r="F1149" s="1401"/>
      <c r="G1149" s="1391"/>
      <c r="I1149" s="1481"/>
      <c r="J1149" s="1482"/>
      <c r="K1149" s="1391"/>
      <c r="L1149" s="1483"/>
      <c r="M1149" s="1472"/>
      <c r="N1149" s="1391"/>
      <c r="R1149" s="1391"/>
      <c r="S1149" s="1401"/>
      <c r="T1149" s="1391"/>
      <c r="Z1149" s="1401"/>
      <c r="AB1149" s="1401"/>
      <c r="AC1149" s="1401"/>
      <c r="AD1149" s="1401"/>
      <c r="AE1149" s="1401"/>
      <c r="AF1149" s="1401"/>
      <c r="AG1149" s="1401"/>
      <c r="AH1149" s="1401"/>
      <c r="AI1149" s="1401"/>
      <c r="AJ1149" s="1401"/>
    </row>
    <row r="1168" spans="1:38" s="950" customFormat="1" x14ac:dyDescent="0.2">
      <c r="A1168" s="946"/>
      <c r="B1168" s="1349"/>
      <c r="C1168" s="946"/>
      <c r="D1168" s="1346"/>
      <c r="E1168" s="1349"/>
      <c r="F1168" s="958"/>
      <c r="G1168" s="1346"/>
      <c r="H1168" s="946"/>
      <c r="J1168" s="996"/>
      <c r="K1168" s="1346"/>
      <c r="L1168" s="843"/>
      <c r="M1168" s="1349"/>
      <c r="N1168" s="1161"/>
      <c r="O1168" s="946"/>
      <c r="P1168" s="946"/>
      <c r="Q1168" s="946"/>
      <c r="R1168" s="1190"/>
      <c r="S1168" s="959"/>
      <c r="T1168" s="1346"/>
      <c r="U1168" s="946"/>
      <c r="V1168" s="946"/>
      <c r="W1168" s="946"/>
      <c r="X1168" s="946"/>
      <c r="Y1168" s="946"/>
      <c r="Z1168" s="958"/>
      <c r="AA1168" s="946"/>
      <c r="AB1168" s="958"/>
      <c r="AC1168" s="958"/>
      <c r="AD1168" s="958"/>
      <c r="AE1168" s="958"/>
      <c r="AF1168" s="958"/>
      <c r="AG1168" s="958"/>
      <c r="AH1168" s="958"/>
      <c r="AI1168" s="958"/>
      <c r="AJ1168" s="958"/>
      <c r="AK1168" s="946"/>
      <c r="AL1168" s="946"/>
    </row>
  </sheetData>
  <mergeCells count="37">
    <mergeCell ref="D1148:G1148"/>
    <mergeCell ref="Q1148:T1148"/>
    <mergeCell ref="D1140:G1140"/>
    <mergeCell ref="Q1140:T1140"/>
    <mergeCell ref="D1141:G1141"/>
    <mergeCell ref="Q1141:T1141"/>
    <mergeCell ref="D1147:G1147"/>
    <mergeCell ref="Q1147:T1147"/>
    <mergeCell ref="AJ6:AJ7"/>
    <mergeCell ref="AI6:AI7"/>
    <mergeCell ref="W6:W7"/>
    <mergeCell ref="J6:J7"/>
    <mergeCell ref="K6:K7"/>
    <mergeCell ref="L6:L7"/>
    <mergeCell ref="M6:M7"/>
    <mergeCell ref="N6:O6"/>
    <mergeCell ref="P6:P7"/>
    <mergeCell ref="D1139:G1139"/>
    <mergeCell ref="X6:X7"/>
    <mergeCell ref="Y6:Y7"/>
    <mergeCell ref="Z6:Z7"/>
    <mergeCell ref="AA6:AA7"/>
    <mergeCell ref="Q6:Q7"/>
    <mergeCell ref="R6:R7"/>
    <mergeCell ref="S6:S7"/>
    <mergeCell ref="T6:T7"/>
    <mergeCell ref="U6:U7"/>
    <mergeCell ref="A6:A7"/>
    <mergeCell ref="B6:B7"/>
    <mergeCell ref="D6:D7"/>
    <mergeCell ref="G6:H6"/>
    <mergeCell ref="E6:F7"/>
    <mergeCell ref="D2:U2"/>
    <mergeCell ref="D3:U3"/>
    <mergeCell ref="D5:E5"/>
    <mergeCell ref="I6:I7"/>
    <mergeCell ref="AB6:AH6"/>
  </mergeCells>
  <conditionalFormatting sqref="W10">
    <cfRule type="cellIs" dxfId="2" priority="1" operator="equal">
      <formula>$S$10</formula>
    </cfRule>
  </conditionalFormatting>
  <printOptions horizontalCentered="1"/>
  <pageMargins left="0" right="0.393700787" top="0.78740157480314998" bottom="0.66929133858267698" header="0.31496062992126" footer="0.31496062992126"/>
  <pageSetup paperSize="5" scale="45" orientation="landscape" horizontalDpi="4294967293" verticalDpi="4294967293"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2:BG1966"/>
  <sheetViews>
    <sheetView topLeftCell="A3" zoomScale="80" zoomScaleNormal="80" workbookViewId="0">
      <pane xSplit="6" ySplit="5" topLeftCell="G1663" activePane="bottomRight" state="frozen"/>
      <selection activeCell="A3" sqref="A3"/>
      <selection pane="topRight" activeCell="G3" sqref="G3"/>
      <selection pane="bottomLeft" activeCell="A8" sqref="A8"/>
      <selection pane="bottomRight" activeCell="G1669" sqref="G1669"/>
    </sheetView>
  </sheetViews>
  <sheetFormatPr baseColWidth="10" defaultColWidth="9.1640625" defaultRowHeight="15" x14ac:dyDescent="0.2"/>
  <cols>
    <col min="1" max="1" width="9" style="1364" customWidth="1"/>
    <col min="2" max="2" width="9.1640625" style="686"/>
    <col min="3" max="3" width="27.33203125" style="419" customWidth="1"/>
    <col min="4" max="4" width="14.83203125" style="419" customWidth="1"/>
    <col min="5" max="6" width="9.1640625" style="419"/>
    <col min="7" max="7" width="20.1640625" style="562" customWidth="1"/>
    <col min="8" max="8" width="18.5" style="419" bestFit="1" customWidth="1"/>
    <col min="9" max="9" width="17.83203125" style="419" bestFit="1" customWidth="1"/>
    <col min="10" max="10" width="17" style="419" customWidth="1"/>
    <col min="11" max="11" width="9.1640625" style="419"/>
    <col min="12" max="12" width="16.33203125" style="419" customWidth="1"/>
    <col min="13" max="13" width="13.5" style="679" customWidth="1"/>
    <col min="14" max="14" width="14.5" style="419" customWidth="1"/>
    <col min="15" max="15" width="16.6640625" style="419" customWidth="1"/>
    <col min="16" max="16" width="18.33203125" style="562" customWidth="1"/>
    <col min="17" max="18" width="16.6640625" style="419" customWidth="1"/>
    <col min="19" max="19" width="11" style="419" customWidth="1"/>
    <col min="20" max="20" width="11.83203125" style="419" customWidth="1"/>
    <col min="21" max="21" width="19.5" style="562" customWidth="1"/>
    <col min="22" max="22" width="9.1640625" style="419"/>
    <col min="23" max="23" width="19.1640625" style="562" customWidth="1"/>
    <col min="24" max="24" width="9.1640625" style="419"/>
    <col min="25" max="25" width="5.5" style="419" customWidth="1"/>
    <col min="26" max="26" width="2.83203125" style="419" customWidth="1"/>
    <col min="27" max="27" width="10.6640625" style="419" customWidth="1"/>
    <col min="28" max="28" width="10" style="419" customWidth="1"/>
    <col min="29" max="29" width="9.33203125" style="419" customWidth="1"/>
    <col min="30" max="30" width="24.1640625" style="562" customWidth="1"/>
    <col min="31" max="31" width="9.1640625" style="419"/>
    <col min="32" max="32" width="19" style="562" customWidth="1"/>
    <col min="33" max="33" width="17.6640625" style="419" bestFit="1" customWidth="1"/>
    <col min="34" max="16384" width="9.1640625" style="419"/>
  </cols>
  <sheetData>
    <row r="2" spans="1:59" x14ac:dyDescent="0.2">
      <c r="T2" s="420"/>
    </row>
    <row r="3" spans="1:59" x14ac:dyDescent="0.2">
      <c r="A3" s="1365" t="s">
        <v>4244</v>
      </c>
      <c r="B3" s="720" t="s">
        <v>4244</v>
      </c>
      <c r="C3" s="721" t="s">
        <v>4244</v>
      </c>
      <c r="D3" s="721" t="s">
        <v>4244</v>
      </c>
      <c r="E3" s="721" t="s">
        <v>4244</v>
      </c>
      <c r="F3" s="721" t="s">
        <v>4244</v>
      </c>
      <c r="G3" s="721" t="s">
        <v>4244</v>
      </c>
      <c r="H3" s="721" t="s">
        <v>4244</v>
      </c>
      <c r="I3" s="721" t="s">
        <v>4244</v>
      </c>
      <c r="J3" s="721" t="s">
        <v>4244</v>
      </c>
      <c r="K3" s="721" t="s">
        <v>4244</v>
      </c>
      <c r="L3" s="721" t="s">
        <v>4244</v>
      </c>
      <c r="M3" s="745" t="s">
        <v>4244</v>
      </c>
      <c r="N3" s="721" t="s">
        <v>4244</v>
      </c>
      <c r="O3" s="721" t="s">
        <v>4244</v>
      </c>
      <c r="P3" s="614" t="s">
        <v>4244</v>
      </c>
      <c r="Q3" s="721" t="s">
        <v>4244</v>
      </c>
      <c r="R3" s="721" t="s">
        <v>4244</v>
      </c>
      <c r="S3" s="721" t="s">
        <v>4244</v>
      </c>
      <c r="T3" s="721" t="s">
        <v>4244</v>
      </c>
      <c r="U3" s="721" t="s">
        <v>4244</v>
      </c>
      <c r="V3" s="721" t="s">
        <v>4244</v>
      </c>
      <c r="W3" s="721" t="s">
        <v>4244</v>
      </c>
      <c r="X3" s="721" t="s">
        <v>4244</v>
      </c>
    </row>
    <row r="4" spans="1:59" s="422" customFormat="1" ht="18" customHeight="1" x14ac:dyDescent="0.2">
      <c r="A4" s="1366">
        <f>C4</f>
        <v>1</v>
      </c>
      <c r="B4" s="742" t="s">
        <v>4187</v>
      </c>
      <c r="C4" s="556">
        <v>1</v>
      </c>
      <c r="D4" s="553" t="str">
        <f>VLOOKUP(C4,RUAS,2,FALSE)</f>
        <v>SEB. TELUK KUANTAN - SEB. BENAI</v>
      </c>
      <c r="E4" s="553"/>
      <c r="F4" s="421"/>
      <c r="G4" s="611"/>
      <c r="I4" s="423"/>
      <c r="J4" s="424"/>
      <c r="K4" s="424"/>
      <c r="M4" s="680"/>
      <c r="P4" s="611"/>
      <c r="U4" s="611"/>
      <c r="W4" s="611"/>
      <c r="Y4" s="425"/>
      <c r="Z4" s="425"/>
      <c r="AA4" s="425"/>
      <c r="AB4" s="425"/>
      <c r="AC4" s="425"/>
      <c r="AD4" s="563"/>
      <c r="AE4" s="425"/>
      <c r="AF4" s="563"/>
      <c r="AG4" s="425"/>
      <c r="AH4" s="425"/>
      <c r="AI4" s="425"/>
      <c r="AJ4" s="425"/>
      <c r="AK4" s="425"/>
      <c r="AL4" s="425"/>
      <c r="AM4" s="425"/>
      <c r="AN4" s="425"/>
      <c r="AO4" s="425"/>
      <c r="AP4" s="425"/>
      <c r="AQ4" s="425"/>
      <c r="AR4" s="425"/>
      <c r="AS4" s="425"/>
      <c r="AT4" s="425"/>
      <c r="AU4" s="425"/>
      <c r="AV4" s="425"/>
      <c r="AW4" s="425"/>
      <c r="AX4" s="425"/>
      <c r="AY4" s="425"/>
      <c r="AZ4" s="425"/>
      <c r="BA4" s="425"/>
      <c r="BB4" s="425"/>
    </row>
    <row r="5" spans="1:59" s="431" customFormat="1" ht="18" customHeight="1" x14ac:dyDescent="0.2">
      <c r="A5" s="1367"/>
      <c r="B5" s="1968" t="s">
        <v>5</v>
      </c>
      <c r="C5" s="1968" t="s">
        <v>2280</v>
      </c>
      <c r="D5" s="1968" t="s">
        <v>4157</v>
      </c>
      <c r="E5" s="1968" t="s">
        <v>4158</v>
      </c>
      <c r="F5" s="1968"/>
      <c r="G5" s="1969" t="s">
        <v>4159</v>
      </c>
      <c r="H5" s="1968" t="s">
        <v>4160</v>
      </c>
      <c r="I5" s="1968"/>
      <c r="J5" s="1968" t="s">
        <v>4161</v>
      </c>
      <c r="K5" s="1964" t="s">
        <v>4162</v>
      </c>
      <c r="L5" s="1968" t="s">
        <v>4163</v>
      </c>
      <c r="M5" s="1971" t="s">
        <v>4164</v>
      </c>
      <c r="N5" s="1962" t="s">
        <v>4165</v>
      </c>
      <c r="O5" s="1968" t="s">
        <v>4166</v>
      </c>
      <c r="P5" s="1972" t="s">
        <v>4167</v>
      </c>
      <c r="Q5" s="1973"/>
      <c r="R5" s="636" t="s">
        <v>4168</v>
      </c>
      <c r="S5" s="1972" t="s">
        <v>4169</v>
      </c>
      <c r="T5" s="1974"/>
      <c r="U5" s="1973"/>
      <c r="V5" s="1975" t="s">
        <v>4170</v>
      </c>
      <c r="W5" s="1975"/>
      <c r="X5" s="1960" t="s">
        <v>4171</v>
      </c>
      <c r="Y5" s="1959"/>
      <c r="Z5" s="633"/>
      <c r="AA5" s="426"/>
      <c r="AB5" s="426"/>
      <c r="AC5" s="426"/>
      <c r="AD5" s="564"/>
      <c r="AE5" s="426"/>
      <c r="AF5" s="564"/>
      <c r="AG5" s="426"/>
      <c r="AH5" s="426"/>
      <c r="AI5" s="427"/>
      <c r="AJ5" s="427"/>
      <c r="AK5" s="427"/>
      <c r="AL5" s="427"/>
      <c r="AM5" s="428"/>
      <c r="AN5" s="427"/>
      <c r="AO5" s="427"/>
      <c r="AP5" s="426"/>
      <c r="AQ5" s="427"/>
      <c r="AR5" s="427"/>
      <c r="AS5" s="427"/>
      <c r="AT5" s="426"/>
      <c r="AU5" s="427"/>
      <c r="AV5" s="427"/>
      <c r="AW5" s="427"/>
      <c r="AX5" s="426"/>
      <c r="AY5" s="427"/>
      <c r="AZ5" s="427"/>
      <c r="BA5" s="427"/>
      <c r="BB5" s="429"/>
      <c r="BC5" s="430"/>
      <c r="BD5" s="430"/>
    </row>
    <row r="6" spans="1:59" s="431" customFormat="1" ht="18" customHeight="1" x14ac:dyDescent="0.2">
      <c r="A6" s="1367"/>
      <c r="B6" s="1968"/>
      <c r="C6" s="1968"/>
      <c r="D6" s="1968"/>
      <c r="E6" s="1968"/>
      <c r="F6" s="1968"/>
      <c r="G6" s="1969"/>
      <c r="H6" s="1968"/>
      <c r="I6" s="1968"/>
      <c r="J6" s="1968"/>
      <c r="K6" s="1970"/>
      <c r="L6" s="1968"/>
      <c r="M6" s="1971"/>
      <c r="N6" s="1963"/>
      <c r="O6" s="1968"/>
      <c r="P6" s="2037" t="s">
        <v>4172</v>
      </c>
      <c r="Q6" s="1960" t="s">
        <v>4173</v>
      </c>
      <c r="R6" s="1962" t="s">
        <v>4159</v>
      </c>
      <c r="S6" s="1962" t="s">
        <v>4174</v>
      </c>
      <c r="T6" s="1964" t="s">
        <v>4175</v>
      </c>
      <c r="U6" s="1966" t="s">
        <v>4159</v>
      </c>
      <c r="V6" s="1975"/>
      <c r="W6" s="1975"/>
      <c r="X6" s="1976"/>
      <c r="Y6" s="1959"/>
      <c r="Z6" s="633"/>
      <c r="AA6" s="426"/>
      <c r="AB6" s="426"/>
      <c r="AC6" s="426"/>
      <c r="AD6" s="564"/>
      <c r="AE6" s="426"/>
      <c r="AF6" s="564"/>
      <c r="AG6" s="426"/>
      <c r="AH6" s="426"/>
      <c r="AI6" s="427"/>
      <c r="AJ6" s="427"/>
      <c r="AK6" s="426"/>
      <c r="AL6" s="427"/>
      <c r="AM6" s="428"/>
      <c r="AN6" s="427"/>
      <c r="AO6" s="427"/>
      <c r="AP6" s="432"/>
      <c r="AQ6" s="427"/>
      <c r="AR6" s="427"/>
      <c r="AS6" s="427"/>
      <c r="AT6" s="432"/>
      <c r="AU6" s="427"/>
      <c r="AV6" s="427"/>
      <c r="AW6" s="427"/>
      <c r="AX6" s="432"/>
      <c r="AY6" s="427"/>
      <c r="AZ6" s="427"/>
      <c r="BA6" s="427"/>
      <c r="BB6" s="429"/>
      <c r="BC6" s="430"/>
      <c r="BD6" s="430"/>
    </row>
    <row r="7" spans="1:59" s="431" customFormat="1" ht="18" customHeight="1" x14ac:dyDescent="0.2">
      <c r="A7" s="1367"/>
      <c r="B7" s="1968"/>
      <c r="C7" s="1968"/>
      <c r="D7" s="1968"/>
      <c r="E7" s="433" t="s">
        <v>4176</v>
      </c>
      <c r="F7" s="434" t="s">
        <v>2288</v>
      </c>
      <c r="G7" s="1969"/>
      <c r="H7" s="635" t="s">
        <v>2288</v>
      </c>
      <c r="I7" s="635" t="s">
        <v>4177</v>
      </c>
      <c r="J7" s="1968"/>
      <c r="K7" s="1965"/>
      <c r="L7" s="435" t="s">
        <v>2288</v>
      </c>
      <c r="M7" s="681" t="s">
        <v>2288</v>
      </c>
      <c r="N7" s="635" t="s">
        <v>2288</v>
      </c>
      <c r="O7" s="1968"/>
      <c r="P7" s="2038"/>
      <c r="Q7" s="1961"/>
      <c r="R7" s="1963"/>
      <c r="S7" s="1963"/>
      <c r="T7" s="1965"/>
      <c r="U7" s="1967"/>
      <c r="V7" s="635" t="s">
        <v>4178</v>
      </c>
      <c r="W7" s="637" t="s">
        <v>4159</v>
      </c>
      <c r="X7" s="1961"/>
      <c r="Y7" s="436"/>
      <c r="Z7" s="436"/>
      <c r="AA7" s="426"/>
      <c r="AB7" s="426"/>
      <c r="AC7" s="426"/>
      <c r="AD7" s="564"/>
      <c r="AE7" s="426"/>
      <c r="AF7" s="564"/>
      <c r="AG7" s="426"/>
      <c r="AH7" s="426"/>
      <c r="AI7" s="427"/>
      <c r="AJ7" s="432"/>
      <c r="AK7" s="432"/>
      <c r="AL7" s="427"/>
      <c r="AM7" s="428"/>
      <c r="AN7" s="432"/>
      <c r="AO7" s="427"/>
      <c r="AP7" s="432"/>
      <c r="AQ7" s="432"/>
      <c r="AR7" s="427"/>
      <c r="AS7" s="427"/>
      <c r="AT7" s="432"/>
      <c r="AU7" s="432"/>
      <c r="AV7" s="427"/>
      <c r="AW7" s="427"/>
      <c r="AX7" s="432"/>
      <c r="AY7" s="432"/>
      <c r="AZ7" s="427"/>
      <c r="BA7" s="427"/>
      <c r="BB7" s="429"/>
      <c r="BC7" s="430"/>
      <c r="BD7" s="430"/>
    </row>
    <row r="8" spans="1:59" s="461" customFormat="1" ht="18" customHeight="1" x14ac:dyDescent="0.2">
      <c r="A8" s="1368" t="str">
        <f>$D$4&amp;S8</f>
        <v>SEB. TELUK KUANTAN - SEB. BENAI2001</v>
      </c>
      <c r="B8" s="1373">
        <v>1</v>
      </c>
      <c r="C8" s="489" t="s">
        <v>529</v>
      </c>
      <c r="D8" s="489" t="s">
        <v>2494</v>
      </c>
      <c r="E8" s="558"/>
      <c r="F8" s="559">
        <v>2001</v>
      </c>
      <c r="G8" s="619">
        <v>4420800000</v>
      </c>
      <c r="H8" s="557">
        <f>VLOOKUP(LEFT(D8,8),UE,4)</f>
        <v>10</v>
      </c>
      <c r="I8" s="560"/>
      <c r="J8" s="468">
        <f>(F8+N8)-1</f>
        <v>2010</v>
      </c>
      <c r="K8" s="595"/>
      <c r="L8" s="557"/>
      <c r="M8" s="682">
        <f>IF(H8+L8&gt;$H8,$H8-H8,L8)</f>
        <v>0</v>
      </c>
      <c r="N8" s="584">
        <f>H8+M8</f>
        <v>10</v>
      </c>
      <c r="O8" s="468">
        <f>(F8+N8)-1</f>
        <v>2010</v>
      </c>
      <c r="P8" s="616">
        <f>G8</f>
        <v>4420800000</v>
      </c>
      <c r="Q8" s="472">
        <v>0</v>
      </c>
      <c r="R8" s="472">
        <f>P8/N8</f>
        <v>442080000</v>
      </c>
      <c r="S8" s="596">
        <f t="shared" ref="S8:S28" si="0">F8</f>
        <v>2001</v>
      </c>
      <c r="T8" s="470">
        <v>1</v>
      </c>
      <c r="U8" s="612">
        <f t="shared" ref="U8:U28" si="1">R8*T8</f>
        <v>442080000</v>
      </c>
      <c r="V8" s="468">
        <f>F8</f>
        <v>2001</v>
      </c>
      <c r="W8" s="616">
        <f>IF(OR(AND(ISBLANK(E8),ISBLANK(G8)),ISTEXT(E8),ISTEXT(G8)),"",G8-R8)</f>
        <v>3978720000</v>
      </c>
      <c r="X8" s="561"/>
      <c r="Y8" s="449"/>
      <c r="Z8" s="449"/>
      <c r="AA8" s="450" t="s">
        <v>4179</v>
      </c>
      <c r="AB8" s="451"/>
      <c r="AC8" s="451"/>
      <c r="AD8" s="565"/>
      <c r="AE8" s="452"/>
      <c r="AF8" s="571"/>
      <c r="AG8" s="452"/>
      <c r="AH8" s="452"/>
      <c r="AI8" s="453"/>
      <c r="AJ8" s="449"/>
      <c r="AK8" s="453"/>
      <c r="AL8" s="454"/>
      <c r="AM8" s="455"/>
      <c r="AN8" s="456"/>
      <c r="AO8" s="455"/>
      <c r="AP8" s="452"/>
      <c r="AQ8" s="457"/>
      <c r="AR8" s="449"/>
      <c r="AS8" s="449"/>
      <c r="AT8" s="452"/>
      <c r="AU8" s="457"/>
      <c r="AV8" s="449"/>
      <c r="AW8" s="458"/>
      <c r="AX8" s="452"/>
      <c r="AY8" s="457"/>
      <c r="AZ8" s="449"/>
      <c r="BA8" s="459"/>
      <c r="BB8" s="455"/>
      <c r="BC8" s="460"/>
      <c r="BD8" s="460"/>
      <c r="BG8" s="462"/>
    </row>
    <row r="9" spans="1:59" s="461" customFormat="1" ht="18" customHeight="1" x14ac:dyDescent="0.2">
      <c r="A9" s="1368" t="str">
        <f t="shared" ref="A9:A30" si="2">$D$4&amp;S9</f>
        <v>SEB. TELUK KUANTAN - SEB. BENAI2002</v>
      </c>
      <c r="B9" s="1373"/>
      <c r="C9" s="489"/>
      <c r="D9" s="489"/>
      <c r="E9" s="558"/>
      <c r="F9" s="559">
        <v>2002</v>
      </c>
      <c r="G9" s="619">
        <v>0</v>
      </c>
      <c r="H9" s="464">
        <f>IF(N8-(F9-F8)&lt;=0,0,(N8-(F9-F8)))</f>
        <v>9</v>
      </c>
      <c r="I9" s="560"/>
      <c r="J9" s="468">
        <f t="shared" ref="J9:J28" si="3">(F9+N9)-1</f>
        <v>2010</v>
      </c>
      <c r="K9" s="490">
        <f>IF(G9=0,0,IF(H9=10,100%,G9/W8))</f>
        <v>0</v>
      </c>
      <c r="L9" s="469">
        <f t="shared" ref="L9:L14" si="4">IF(K9=0%,0,IF(K9&lt;=30%,2,IF(K9&lt;=60%,5,10)))</f>
        <v>0</v>
      </c>
      <c r="M9" s="683">
        <f t="shared" ref="M9:M24" si="5">IF(OR(AND(ISBLANK(E9),ISBLANK(G9)),ISTEXT(E9),ISTEXT(G9)),"",IF(H9+L9&gt;$H$8,$H$8-H9,L9))</f>
        <v>0</v>
      </c>
      <c r="N9" s="470">
        <f t="shared" ref="N9:N14" si="6">IF(OR(AND(ISBLANK(F9),ISBLANK(G9)),ISTEXT(F9),ISTEXT(G9)),"",H9+M9)</f>
        <v>9</v>
      </c>
      <c r="O9" s="468">
        <f t="shared" ref="O9:O28" si="7">(F9+N9)-1</f>
        <v>2010</v>
      </c>
      <c r="P9" s="616">
        <f>W8</f>
        <v>3978720000</v>
      </c>
      <c r="Q9" s="472">
        <f t="shared" ref="Q9:Q28" si="8">P9+G9</f>
        <v>3978720000</v>
      </c>
      <c r="R9" s="472">
        <f t="shared" ref="R9:R28" si="9">IF(L9=0,R8,Q9/N9)</f>
        <v>442080000</v>
      </c>
      <c r="S9" s="634">
        <f t="shared" si="0"/>
        <v>2002</v>
      </c>
      <c r="T9" s="470">
        <f>S9-S8</f>
        <v>1</v>
      </c>
      <c r="U9" s="612">
        <f t="shared" si="1"/>
        <v>442080000</v>
      </c>
      <c r="V9" s="464">
        <f t="shared" ref="V9:V28" si="10">F9</f>
        <v>2002</v>
      </c>
      <c r="W9" s="612">
        <f t="shared" ref="W9:W28" si="11">IF(OR(AND(ISBLANK(E9),ISBLANK(G9)),ISTEXT(E9),ISTEXT(G9)),"",Q9-U9)</f>
        <v>3536640000</v>
      </c>
      <c r="X9" s="561"/>
      <c r="Y9" s="449"/>
      <c r="Z9" s="449"/>
      <c r="AA9" s="554"/>
      <c r="AB9" s="452"/>
      <c r="AC9" s="452"/>
      <c r="AD9" s="566"/>
      <c r="AE9" s="452"/>
      <c r="AF9" s="571"/>
      <c r="AG9" s="452"/>
      <c r="AH9" s="452"/>
      <c r="AI9" s="453"/>
      <c r="AJ9" s="449"/>
      <c r="AK9" s="453"/>
      <c r="AL9" s="454"/>
      <c r="AM9" s="455"/>
      <c r="AN9" s="456"/>
      <c r="AO9" s="455"/>
      <c r="AP9" s="452"/>
      <c r="AQ9" s="457"/>
      <c r="AR9" s="449"/>
      <c r="AS9" s="449"/>
      <c r="AT9" s="452"/>
      <c r="AU9" s="457"/>
      <c r="AV9" s="449"/>
      <c r="AW9" s="458"/>
      <c r="AX9" s="452"/>
      <c r="AY9" s="457"/>
      <c r="AZ9" s="449"/>
      <c r="BA9" s="459"/>
      <c r="BB9" s="455"/>
      <c r="BC9" s="460"/>
      <c r="BD9" s="460"/>
      <c r="BG9" s="462"/>
    </row>
    <row r="10" spans="1:59" s="461" customFormat="1" ht="18" customHeight="1" x14ac:dyDescent="0.2">
      <c r="A10" s="1368" t="str">
        <f t="shared" si="2"/>
        <v>SEB. TELUK KUANTAN - SEB. BENAI2003</v>
      </c>
      <c r="B10" s="1373"/>
      <c r="C10" s="489"/>
      <c r="D10" s="489"/>
      <c r="E10" s="558"/>
      <c r="F10" s="559">
        <v>2003</v>
      </c>
      <c r="G10" s="619">
        <v>0</v>
      </c>
      <c r="H10" s="464">
        <f t="shared" ref="H10:H29" si="12">IF(N9-(F10-F9)&lt;=0,0,(N9-(F10-F9)))</f>
        <v>8</v>
      </c>
      <c r="I10" s="560"/>
      <c r="J10" s="468">
        <f t="shared" si="3"/>
        <v>2010</v>
      </c>
      <c r="K10" s="490">
        <f t="shared" ref="K10:K28" si="13">IF(G10=0,0,IF(H10=10,100%,G10/W9))</f>
        <v>0</v>
      </c>
      <c r="L10" s="469">
        <f t="shared" si="4"/>
        <v>0</v>
      </c>
      <c r="M10" s="683">
        <f t="shared" si="5"/>
        <v>0</v>
      </c>
      <c r="N10" s="470">
        <f t="shared" si="6"/>
        <v>8</v>
      </c>
      <c r="O10" s="468">
        <f t="shared" si="7"/>
        <v>2010</v>
      </c>
      <c r="P10" s="616">
        <f>W9</f>
        <v>3536640000</v>
      </c>
      <c r="Q10" s="472">
        <f t="shared" si="8"/>
        <v>3536640000</v>
      </c>
      <c r="R10" s="472">
        <f t="shared" si="9"/>
        <v>442080000</v>
      </c>
      <c r="S10" s="634">
        <f t="shared" si="0"/>
        <v>2003</v>
      </c>
      <c r="T10" s="470">
        <f t="shared" ref="T10:T28" si="14">S10-S9</f>
        <v>1</v>
      </c>
      <c r="U10" s="612">
        <f t="shared" si="1"/>
        <v>442080000</v>
      </c>
      <c r="V10" s="464">
        <f t="shared" si="10"/>
        <v>2003</v>
      </c>
      <c r="W10" s="612">
        <f t="shared" si="11"/>
        <v>3094560000</v>
      </c>
      <c r="X10" s="561"/>
      <c r="Y10" s="449"/>
      <c r="Z10" s="449"/>
      <c r="AA10" s="554"/>
      <c r="AB10" s="452"/>
      <c r="AC10" s="452"/>
      <c r="AD10" s="566"/>
      <c r="AE10" s="452"/>
      <c r="AF10" s="571"/>
      <c r="AG10" s="452"/>
      <c r="AH10" s="452"/>
      <c r="AI10" s="453"/>
      <c r="AJ10" s="449"/>
      <c r="AK10" s="453"/>
      <c r="AL10" s="454"/>
      <c r="AM10" s="455"/>
      <c r="AN10" s="456"/>
      <c r="AO10" s="455"/>
      <c r="AP10" s="452"/>
      <c r="AQ10" s="457"/>
      <c r="AR10" s="449"/>
      <c r="AS10" s="449"/>
      <c r="AT10" s="452"/>
      <c r="AU10" s="457"/>
      <c r="AV10" s="449"/>
      <c r="AW10" s="458"/>
      <c r="AX10" s="452"/>
      <c r="AY10" s="457"/>
      <c r="AZ10" s="449"/>
      <c r="BA10" s="459"/>
      <c r="BB10" s="455"/>
      <c r="BC10" s="460"/>
      <c r="BD10" s="460"/>
      <c r="BG10" s="462"/>
    </row>
    <row r="11" spans="1:59" s="461" customFormat="1" ht="18" customHeight="1" x14ac:dyDescent="0.2">
      <c r="A11" s="1368" t="str">
        <f t="shared" si="2"/>
        <v>SEB. TELUK KUANTAN - SEB. BENAI2004</v>
      </c>
      <c r="B11" s="1373"/>
      <c r="C11" s="489"/>
      <c r="D11" s="489"/>
      <c r="E11" s="558"/>
      <c r="F11" s="559">
        <v>2004</v>
      </c>
      <c r="G11" s="619">
        <v>0</v>
      </c>
      <c r="H11" s="464">
        <f t="shared" si="12"/>
        <v>7</v>
      </c>
      <c r="I11" s="560"/>
      <c r="J11" s="468">
        <f t="shared" si="3"/>
        <v>2010</v>
      </c>
      <c r="K11" s="490">
        <f t="shared" si="13"/>
        <v>0</v>
      </c>
      <c r="L11" s="469">
        <f t="shared" si="4"/>
        <v>0</v>
      </c>
      <c r="M11" s="683">
        <f t="shared" si="5"/>
        <v>0</v>
      </c>
      <c r="N11" s="470">
        <f t="shared" si="6"/>
        <v>7</v>
      </c>
      <c r="O11" s="468">
        <f t="shared" si="7"/>
        <v>2010</v>
      </c>
      <c r="P11" s="616">
        <f t="shared" ref="P11:P28" si="15">W10</f>
        <v>3094560000</v>
      </c>
      <c r="Q11" s="472">
        <f t="shared" si="8"/>
        <v>3094560000</v>
      </c>
      <c r="R11" s="472">
        <f t="shared" si="9"/>
        <v>442080000</v>
      </c>
      <c r="S11" s="634">
        <f t="shared" si="0"/>
        <v>2004</v>
      </c>
      <c r="T11" s="470">
        <f t="shared" si="14"/>
        <v>1</v>
      </c>
      <c r="U11" s="612">
        <f t="shared" si="1"/>
        <v>442080000</v>
      </c>
      <c r="V11" s="464">
        <f t="shared" si="10"/>
        <v>2004</v>
      </c>
      <c r="W11" s="612">
        <f t="shared" si="11"/>
        <v>2652480000</v>
      </c>
      <c r="X11" s="561"/>
      <c r="Y11" s="449"/>
      <c r="Z11" s="449"/>
      <c r="AA11" s="554"/>
      <c r="AB11" s="452"/>
      <c r="AC11" s="452"/>
      <c r="AD11" s="566"/>
      <c r="AE11" s="452"/>
      <c r="AF11" s="571"/>
      <c r="AG11" s="452"/>
      <c r="AH11" s="452"/>
      <c r="AI11" s="453"/>
      <c r="AJ11" s="449"/>
      <c r="AK11" s="453"/>
      <c r="AL11" s="454"/>
      <c r="AM11" s="455"/>
      <c r="AN11" s="456"/>
      <c r="AO11" s="455"/>
      <c r="AP11" s="452"/>
      <c r="AQ11" s="457"/>
      <c r="AR11" s="449"/>
      <c r="AS11" s="449"/>
      <c r="AT11" s="452"/>
      <c r="AU11" s="457"/>
      <c r="AV11" s="449"/>
      <c r="AW11" s="458"/>
      <c r="AX11" s="452"/>
      <c r="AY11" s="457"/>
      <c r="AZ11" s="449"/>
      <c r="BA11" s="459"/>
      <c r="BB11" s="455"/>
      <c r="BC11" s="460"/>
      <c r="BD11" s="460"/>
      <c r="BG11" s="462"/>
    </row>
    <row r="12" spans="1:59" s="461" customFormat="1" ht="18" customHeight="1" x14ac:dyDescent="0.2">
      <c r="A12" s="1368" t="str">
        <f t="shared" si="2"/>
        <v>SEB. TELUK KUANTAN - SEB. BENAI2005</v>
      </c>
      <c r="B12" s="1373"/>
      <c r="C12" s="489"/>
      <c r="D12" s="489"/>
      <c r="E12" s="558"/>
      <c r="F12" s="559">
        <v>2005</v>
      </c>
      <c r="G12" s="619">
        <v>0</v>
      </c>
      <c r="H12" s="464">
        <f t="shared" si="12"/>
        <v>6</v>
      </c>
      <c r="I12" s="560"/>
      <c r="J12" s="468">
        <f t="shared" si="3"/>
        <v>2010</v>
      </c>
      <c r="K12" s="490">
        <f t="shared" si="13"/>
        <v>0</v>
      </c>
      <c r="L12" s="469">
        <f t="shared" si="4"/>
        <v>0</v>
      </c>
      <c r="M12" s="683">
        <f t="shared" si="5"/>
        <v>0</v>
      </c>
      <c r="N12" s="470">
        <f t="shared" si="6"/>
        <v>6</v>
      </c>
      <c r="O12" s="468">
        <f t="shared" si="7"/>
        <v>2010</v>
      </c>
      <c r="P12" s="616">
        <f t="shared" si="15"/>
        <v>2652480000</v>
      </c>
      <c r="Q12" s="472">
        <f t="shared" si="8"/>
        <v>2652480000</v>
      </c>
      <c r="R12" s="472">
        <f t="shared" si="9"/>
        <v>442080000</v>
      </c>
      <c r="S12" s="634">
        <f t="shared" si="0"/>
        <v>2005</v>
      </c>
      <c r="T12" s="470">
        <f t="shared" si="14"/>
        <v>1</v>
      </c>
      <c r="U12" s="612">
        <f t="shared" si="1"/>
        <v>442080000</v>
      </c>
      <c r="V12" s="464">
        <f t="shared" si="10"/>
        <v>2005</v>
      </c>
      <c r="W12" s="612">
        <f t="shared" si="11"/>
        <v>2210400000</v>
      </c>
      <c r="X12" s="561"/>
      <c r="Y12" s="449"/>
      <c r="Z12" s="449"/>
      <c r="AA12" s="554"/>
      <c r="AB12" s="452"/>
      <c r="AC12" s="452"/>
      <c r="AD12" s="566"/>
      <c r="AE12" s="452"/>
      <c r="AF12" s="571"/>
      <c r="AG12" s="452"/>
      <c r="AH12" s="452"/>
      <c r="AI12" s="453"/>
      <c r="AJ12" s="449"/>
      <c r="AK12" s="453"/>
      <c r="AL12" s="454"/>
      <c r="AM12" s="455"/>
      <c r="AN12" s="456"/>
      <c r="AO12" s="455"/>
      <c r="AP12" s="452"/>
      <c r="AQ12" s="457"/>
      <c r="AR12" s="449"/>
      <c r="AS12" s="449"/>
      <c r="AT12" s="452"/>
      <c r="AU12" s="457"/>
      <c r="AV12" s="449"/>
      <c r="AW12" s="458"/>
      <c r="AX12" s="452"/>
      <c r="AY12" s="457"/>
      <c r="AZ12" s="449"/>
      <c r="BA12" s="459"/>
      <c r="BB12" s="455"/>
      <c r="BC12" s="460"/>
      <c r="BD12" s="460"/>
      <c r="BG12" s="462"/>
    </row>
    <row r="13" spans="1:59" s="461" customFormat="1" ht="18" customHeight="1" x14ac:dyDescent="0.2">
      <c r="A13" s="1368" t="str">
        <f t="shared" si="2"/>
        <v>SEB. TELUK KUANTAN - SEB. BENAI2006</v>
      </c>
      <c r="B13" s="1373"/>
      <c r="C13" s="489"/>
      <c r="D13" s="489"/>
      <c r="E13" s="558"/>
      <c r="F13" s="559">
        <v>2006</v>
      </c>
      <c r="G13" s="619">
        <v>0</v>
      </c>
      <c r="H13" s="464">
        <f t="shared" si="12"/>
        <v>5</v>
      </c>
      <c r="I13" s="560"/>
      <c r="J13" s="468">
        <f t="shared" si="3"/>
        <v>2010</v>
      </c>
      <c r="K13" s="490">
        <f t="shared" si="13"/>
        <v>0</v>
      </c>
      <c r="L13" s="469">
        <f t="shared" si="4"/>
        <v>0</v>
      </c>
      <c r="M13" s="683">
        <f t="shared" si="5"/>
        <v>0</v>
      </c>
      <c r="N13" s="470">
        <f t="shared" si="6"/>
        <v>5</v>
      </c>
      <c r="O13" s="468">
        <f t="shared" si="7"/>
        <v>2010</v>
      </c>
      <c r="P13" s="616">
        <f t="shared" si="15"/>
        <v>2210400000</v>
      </c>
      <c r="Q13" s="472">
        <f t="shared" si="8"/>
        <v>2210400000</v>
      </c>
      <c r="R13" s="472">
        <f t="shared" si="9"/>
        <v>442080000</v>
      </c>
      <c r="S13" s="634">
        <f t="shared" si="0"/>
        <v>2006</v>
      </c>
      <c r="T13" s="470">
        <f t="shared" si="14"/>
        <v>1</v>
      </c>
      <c r="U13" s="612">
        <f t="shared" si="1"/>
        <v>442080000</v>
      </c>
      <c r="V13" s="464">
        <f t="shared" si="10"/>
        <v>2006</v>
      </c>
      <c r="W13" s="612">
        <f t="shared" si="11"/>
        <v>1768320000</v>
      </c>
      <c r="X13" s="561"/>
      <c r="Y13" s="449"/>
      <c r="Z13" s="449"/>
      <c r="AA13" s="554"/>
      <c r="AB13" s="452"/>
      <c r="AC13" s="452"/>
      <c r="AD13" s="566"/>
      <c r="AE13" s="452"/>
      <c r="AF13" s="571"/>
      <c r="AG13" s="452"/>
      <c r="AH13" s="452"/>
      <c r="AI13" s="453"/>
      <c r="AJ13" s="449"/>
      <c r="AK13" s="453"/>
      <c r="AL13" s="454"/>
      <c r="AM13" s="455"/>
      <c r="AN13" s="456"/>
      <c r="AO13" s="455"/>
      <c r="AP13" s="452"/>
      <c r="AQ13" s="457"/>
      <c r="AR13" s="449"/>
      <c r="AS13" s="449"/>
      <c r="AT13" s="452"/>
      <c r="AU13" s="457"/>
      <c r="AV13" s="449"/>
      <c r="AW13" s="458"/>
      <c r="AX13" s="452"/>
      <c r="AY13" s="457"/>
      <c r="AZ13" s="449"/>
      <c r="BA13" s="459"/>
      <c r="BB13" s="455"/>
      <c r="BC13" s="460"/>
      <c r="BD13" s="460"/>
      <c r="BG13" s="462"/>
    </row>
    <row r="14" spans="1:59" s="486" customFormat="1" ht="18" customHeight="1" x14ac:dyDescent="0.2">
      <c r="A14" s="1368" t="str">
        <f t="shared" si="2"/>
        <v>SEB. TELUK KUANTAN - SEB. BENAI2007</v>
      </c>
      <c r="B14" s="1373">
        <v>2</v>
      </c>
      <c r="C14" s="463" t="s">
        <v>1186</v>
      </c>
      <c r="D14" s="464" t="s">
        <v>2494</v>
      </c>
      <c r="E14" s="465"/>
      <c r="F14" s="466">
        <v>2007</v>
      </c>
      <c r="G14" s="620">
        <v>1606819122.6242001</v>
      </c>
      <c r="H14" s="464">
        <f t="shared" si="12"/>
        <v>4</v>
      </c>
      <c r="I14" s="467"/>
      <c r="J14" s="468">
        <f t="shared" si="3"/>
        <v>2016</v>
      </c>
      <c r="K14" s="490">
        <f t="shared" si="13"/>
        <v>0.90866988023898398</v>
      </c>
      <c r="L14" s="469">
        <f t="shared" si="4"/>
        <v>10</v>
      </c>
      <c r="M14" s="683">
        <f t="shared" si="5"/>
        <v>6</v>
      </c>
      <c r="N14" s="470">
        <f t="shared" si="6"/>
        <v>10</v>
      </c>
      <c r="O14" s="468">
        <f t="shared" si="7"/>
        <v>2016</v>
      </c>
      <c r="P14" s="616">
        <f t="shared" si="15"/>
        <v>1768320000</v>
      </c>
      <c r="Q14" s="472">
        <f t="shared" si="8"/>
        <v>3375139122.6241999</v>
      </c>
      <c r="R14" s="472">
        <f t="shared" si="9"/>
        <v>337513912.26242</v>
      </c>
      <c r="S14" s="634">
        <f t="shared" si="0"/>
        <v>2007</v>
      </c>
      <c r="T14" s="470">
        <f t="shared" si="14"/>
        <v>1</v>
      </c>
      <c r="U14" s="612">
        <f t="shared" si="1"/>
        <v>337513912.26242</v>
      </c>
      <c r="V14" s="464">
        <f t="shared" si="10"/>
        <v>2007</v>
      </c>
      <c r="W14" s="612">
        <f t="shared" si="11"/>
        <v>3037625210.3617797</v>
      </c>
      <c r="X14" s="473"/>
      <c r="Y14" s="474"/>
      <c r="Z14" s="449"/>
      <c r="AA14" s="573"/>
      <c r="AB14" s="476"/>
      <c r="AC14" s="476"/>
      <c r="AD14" s="568"/>
      <c r="AE14" s="476"/>
      <c r="AF14" s="568"/>
      <c r="AG14" s="476"/>
      <c r="AH14" s="476"/>
      <c r="AI14" s="477"/>
      <c r="AJ14" s="478"/>
      <c r="AK14" s="479"/>
      <c r="AL14" s="480"/>
      <c r="AM14" s="474"/>
      <c r="AN14" s="481"/>
      <c r="AO14" s="474"/>
      <c r="AP14" s="476"/>
      <c r="AQ14" s="482"/>
      <c r="AR14" s="478"/>
      <c r="AS14" s="478"/>
      <c r="AT14" s="476"/>
      <c r="AU14" s="482"/>
      <c r="AV14" s="478"/>
      <c r="AW14" s="483"/>
      <c r="AX14" s="476"/>
      <c r="AY14" s="482"/>
      <c r="AZ14" s="478"/>
      <c r="BA14" s="484"/>
      <c r="BB14" s="474"/>
      <c r="BC14" s="485"/>
      <c r="BD14" s="485"/>
      <c r="BG14" s="487"/>
    </row>
    <row r="15" spans="1:59" s="486" customFormat="1" ht="18" customHeight="1" x14ac:dyDescent="0.2">
      <c r="A15" s="1368" t="str">
        <f t="shared" si="2"/>
        <v>SEB. TELUK KUANTAN - SEB. BENAI2008</v>
      </c>
      <c r="B15" s="1373">
        <v>3</v>
      </c>
      <c r="C15" s="463" t="s">
        <v>5087</v>
      </c>
      <c r="D15" s="464"/>
      <c r="E15" s="465"/>
      <c r="F15" s="559">
        <v>2008</v>
      </c>
      <c r="G15" s="620">
        <v>110048799.64443959</v>
      </c>
      <c r="H15" s="464">
        <f t="shared" si="12"/>
        <v>9</v>
      </c>
      <c r="I15" s="467"/>
      <c r="J15" s="468">
        <f t="shared" si="3"/>
        <v>2017</v>
      </c>
      <c r="K15" s="490">
        <f t="shared" si="13"/>
        <v>3.6228564099694459E-2</v>
      </c>
      <c r="L15" s="469">
        <f t="shared" ref="L15:L22" si="16">IF(K15=0%,0,IF(K15&lt;=30%,2,IF(K15&lt;=60%,5,10)))</f>
        <v>2</v>
      </c>
      <c r="M15" s="683">
        <f t="shared" si="5"/>
        <v>1</v>
      </c>
      <c r="N15" s="470">
        <f t="shared" ref="N15:N22" si="17">IF(OR(AND(ISBLANK(F15),ISBLANK(G15)),ISTEXT(F15),ISTEXT(G15)),"",H15+M15)</f>
        <v>10</v>
      </c>
      <c r="O15" s="468">
        <f t="shared" si="7"/>
        <v>2017</v>
      </c>
      <c r="P15" s="616">
        <f t="shared" si="15"/>
        <v>3037625210.3617797</v>
      </c>
      <c r="Q15" s="472">
        <f t="shared" si="8"/>
        <v>3147674010.0062194</v>
      </c>
      <c r="R15" s="472">
        <f t="shared" si="9"/>
        <v>314767401.00062191</v>
      </c>
      <c r="S15" s="634">
        <f t="shared" si="0"/>
        <v>2008</v>
      </c>
      <c r="T15" s="470">
        <f t="shared" si="14"/>
        <v>1</v>
      </c>
      <c r="U15" s="612">
        <f t="shared" si="1"/>
        <v>314767401.00062191</v>
      </c>
      <c r="V15" s="464">
        <f t="shared" si="10"/>
        <v>2008</v>
      </c>
      <c r="W15" s="612">
        <f t="shared" si="11"/>
        <v>2832906609.0055976</v>
      </c>
      <c r="X15" s="473"/>
      <c r="Y15" s="474"/>
      <c r="Z15" s="449"/>
      <c r="AA15" s="573"/>
      <c r="AB15" s="476"/>
      <c r="AC15" s="476"/>
      <c r="AD15" s="568"/>
      <c r="AE15" s="476"/>
      <c r="AF15" s="568"/>
      <c r="AG15" s="476"/>
      <c r="AH15" s="476"/>
      <c r="AI15" s="477"/>
      <c r="AJ15" s="478"/>
      <c r="AK15" s="479"/>
      <c r="AL15" s="480"/>
      <c r="AM15" s="474"/>
      <c r="AN15" s="481"/>
      <c r="AO15" s="474"/>
      <c r="AP15" s="476"/>
      <c r="AQ15" s="482"/>
      <c r="AR15" s="478"/>
      <c r="AS15" s="478"/>
      <c r="AT15" s="476"/>
      <c r="AU15" s="482"/>
      <c r="AV15" s="478"/>
      <c r="AW15" s="483"/>
      <c r="AX15" s="476"/>
      <c r="AY15" s="482"/>
      <c r="AZ15" s="478"/>
      <c r="BA15" s="484"/>
      <c r="BB15" s="474"/>
      <c r="BC15" s="485"/>
      <c r="BD15" s="485"/>
      <c r="BG15" s="487"/>
    </row>
    <row r="16" spans="1:59" s="486" customFormat="1" ht="18" customHeight="1" x14ac:dyDescent="0.2">
      <c r="A16" s="1368" t="str">
        <f t="shared" si="2"/>
        <v>SEB. TELUK KUANTAN - SEB. BENAI2009</v>
      </c>
      <c r="B16" s="1373"/>
      <c r="C16" s="463"/>
      <c r="D16" s="464"/>
      <c r="E16" s="465"/>
      <c r="F16" s="466">
        <v>2009</v>
      </c>
      <c r="G16" s="620">
        <v>0</v>
      </c>
      <c r="H16" s="464">
        <f t="shared" si="12"/>
        <v>9</v>
      </c>
      <c r="I16" s="467"/>
      <c r="J16" s="468">
        <f t="shared" si="3"/>
        <v>2017</v>
      </c>
      <c r="K16" s="490">
        <f t="shared" si="13"/>
        <v>0</v>
      </c>
      <c r="L16" s="469">
        <f t="shared" si="16"/>
        <v>0</v>
      </c>
      <c r="M16" s="683">
        <f t="shared" si="5"/>
        <v>0</v>
      </c>
      <c r="N16" s="470">
        <f t="shared" si="17"/>
        <v>9</v>
      </c>
      <c r="O16" s="468">
        <f t="shared" si="7"/>
        <v>2017</v>
      </c>
      <c r="P16" s="616">
        <f t="shared" si="15"/>
        <v>2832906609.0055976</v>
      </c>
      <c r="Q16" s="472">
        <f t="shared" si="8"/>
        <v>2832906609.0055976</v>
      </c>
      <c r="R16" s="472">
        <f t="shared" si="9"/>
        <v>314767401.00062191</v>
      </c>
      <c r="S16" s="634">
        <f t="shared" si="0"/>
        <v>2009</v>
      </c>
      <c r="T16" s="470">
        <f t="shared" si="14"/>
        <v>1</v>
      </c>
      <c r="U16" s="612">
        <f t="shared" si="1"/>
        <v>314767401.00062191</v>
      </c>
      <c r="V16" s="464">
        <f t="shared" si="10"/>
        <v>2009</v>
      </c>
      <c r="W16" s="612">
        <f t="shared" si="11"/>
        <v>2518139208.0049758</v>
      </c>
      <c r="X16" s="473"/>
      <c r="Y16" s="474"/>
      <c r="Z16" s="449"/>
      <c r="AA16" s="573"/>
      <c r="AB16" s="476"/>
      <c r="AC16" s="476"/>
      <c r="AD16" s="568"/>
      <c r="AE16" s="476"/>
      <c r="AF16" s="568"/>
      <c r="AG16" s="476"/>
      <c r="AH16" s="476"/>
      <c r="AI16" s="477"/>
      <c r="AJ16" s="478"/>
      <c r="AK16" s="479"/>
      <c r="AL16" s="480"/>
      <c r="AM16" s="474"/>
      <c r="AN16" s="481"/>
      <c r="AO16" s="474"/>
      <c r="AP16" s="476"/>
      <c r="AQ16" s="482"/>
      <c r="AR16" s="478"/>
      <c r="AS16" s="478"/>
      <c r="AT16" s="476"/>
      <c r="AU16" s="482"/>
      <c r="AV16" s="478"/>
      <c r="AW16" s="483"/>
      <c r="AX16" s="476"/>
      <c r="AY16" s="482"/>
      <c r="AZ16" s="478"/>
      <c r="BA16" s="484"/>
      <c r="BB16" s="474"/>
      <c r="BC16" s="485"/>
      <c r="BD16" s="485"/>
      <c r="BG16" s="487"/>
    </row>
    <row r="17" spans="1:59" s="486" customFormat="1" ht="18" customHeight="1" x14ac:dyDescent="0.2">
      <c r="A17" s="1368" t="str">
        <f t="shared" si="2"/>
        <v>SEB. TELUK KUANTAN - SEB. BENAI2010</v>
      </c>
      <c r="B17" s="1373"/>
      <c r="C17" s="463"/>
      <c r="D17" s="464"/>
      <c r="E17" s="465"/>
      <c r="F17" s="559">
        <v>2010</v>
      </c>
      <c r="G17" s="620">
        <v>0</v>
      </c>
      <c r="H17" s="464">
        <f t="shared" si="12"/>
        <v>8</v>
      </c>
      <c r="I17" s="467"/>
      <c r="J17" s="468">
        <f t="shared" si="3"/>
        <v>2017</v>
      </c>
      <c r="K17" s="490">
        <f t="shared" si="13"/>
        <v>0</v>
      </c>
      <c r="L17" s="469">
        <f t="shared" si="16"/>
        <v>0</v>
      </c>
      <c r="M17" s="683">
        <f t="shared" si="5"/>
        <v>0</v>
      </c>
      <c r="N17" s="470">
        <f t="shared" si="17"/>
        <v>8</v>
      </c>
      <c r="O17" s="468">
        <f t="shared" si="7"/>
        <v>2017</v>
      </c>
      <c r="P17" s="616">
        <f t="shared" si="15"/>
        <v>2518139208.0049758</v>
      </c>
      <c r="Q17" s="472">
        <f t="shared" si="8"/>
        <v>2518139208.0049758</v>
      </c>
      <c r="R17" s="472">
        <f t="shared" si="9"/>
        <v>314767401.00062191</v>
      </c>
      <c r="S17" s="634">
        <f t="shared" si="0"/>
        <v>2010</v>
      </c>
      <c r="T17" s="470">
        <f t="shared" si="14"/>
        <v>1</v>
      </c>
      <c r="U17" s="612">
        <f t="shared" si="1"/>
        <v>314767401.00062191</v>
      </c>
      <c r="V17" s="464">
        <f t="shared" si="10"/>
        <v>2010</v>
      </c>
      <c r="W17" s="612">
        <f t="shared" si="11"/>
        <v>2203371807.004354</v>
      </c>
      <c r="X17" s="473"/>
      <c r="Y17" s="474"/>
      <c r="Z17" s="449"/>
      <c r="AA17" s="573"/>
      <c r="AB17" s="476"/>
      <c r="AC17" s="476"/>
      <c r="AD17" s="568"/>
      <c r="AE17" s="476"/>
      <c r="AF17" s="568"/>
      <c r="AG17" s="476"/>
      <c r="AH17" s="476"/>
      <c r="AI17" s="477"/>
      <c r="AJ17" s="478"/>
      <c r="AK17" s="479"/>
      <c r="AL17" s="480"/>
      <c r="AM17" s="474"/>
      <c r="AN17" s="481"/>
      <c r="AO17" s="474"/>
      <c r="AP17" s="476"/>
      <c r="AQ17" s="482"/>
      <c r="AR17" s="478"/>
      <c r="AS17" s="478"/>
      <c r="AT17" s="476"/>
      <c r="AU17" s="482"/>
      <c r="AV17" s="478"/>
      <c r="AW17" s="483"/>
      <c r="AX17" s="476"/>
      <c r="AY17" s="482"/>
      <c r="AZ17" s="478"/>
      <c r="BA17" s="484"/>
      <c r="BB17" s="474"/>
      <c r="BC17" s="485"/>
      <c r="BD17" s="485"/>
      <c r="BG17" s="487"/>
    </row>
    <row r="18" spans="1:59" s="486" customFormat="1" ht="18" customHeight="1" x14ac:dyDescent="0.2">
      <c r="A18" s="1368" t="str">
        <f t="shared" si="2"/>
        <v>SEB. TELUK KUANTAN - SEB. BENAI2011</v>
      </c>
      <c r="B18" s="1373"/>
      <c r="C18" s="463"/>
      <c r="D18" s="464"/>
      <c r="E18" s="465"/>
      <c r="F18" s="466">
        <v>2011</v>
      </c>
      <c r="G18" s="620">
        <v>0</v>
      </c>
      <c r="H18" s="464">
        <f t="shared" si="12"/>
        <v>7</v>
      </c>
      <c r="I18" s="467"/>
      <c r="J18" s="468">
        <f t="shared" si="3"/>
        <v>2017</v>
      </c>
      <c r="K18" s="490">
        <f t="shared" si="13"/>
        <v>0</v>
      </c>
      <c r="L18" s="469">
        <f t="shared" si="16"/>
        <v>0</v>
      </c>
      <c r="M18" s="683">
        <f t="shared" si="5"/>
        <v>0</v>
      </c>
      <c r="N18" s="470">
        <f t="shared" si="17"/>
        <v>7</v>
      </c>
      <c r="O18" s="468">
        <f t="shared" si="7"/>
        <v>2017</v>
      </c>
      <c r="P18" s="616">
        <f t="shared" si="15"/>
        <v>2203371807.004354</v>
      </c>
      <c r="Q18" s="472">
        <f t="shared" si="8"/>
        <v>2203371807.004354</v>
      </c>
      <c r="R18" s="472">
        <f t="shared" si="9"/>
        <v>314767401.00062191</v>
      </c>
      <c r="S18" s="634">
        <f t="shared" si="0"/>
        <v>2011</v>
      </c>
      <c r="T18" s="470">
        <f t="shared" si="14"/>
        <v>1</v>
      </c>
      <c r="U18" s="612">
        <f t="shared" si="1"/>
        <v>314767401.00062191</v>
      </c>
      <c r="V18" s="464">
        <f t="shared" si="10"/>
        <v>2011</v>
      </c>
      <c r="W18" s="612">
        <f t="shared" si="11"/>
        <v>1888604406.0037322</v>
      </c>
      <c r="X18" s="473"/>
      <c r="Y18" s="474"/>
      <c r="Z18" s="449"/>
      <c r="AA18" s="739"/>
      <c r="AB18" s="496"/>
      <c r="AC18" s="496"/>
      <c r="AD18" s="740"/>
      <c r="AE18" s="476"/>
      <c r="AF18" s="568"/>
      <c r="AG18" s="476"/>
      <c r="AH18" s="476"/>
      <c r="AI18" s="477"/>
      <c r="AJ18" s="478"/>
      <c r="AK18" s="479"/>
      <c r="AL18" s="480"/>
      <c r="AM18" s="474"/>
      <c r="AN18" s="481"/>
      <c r="AO18" s="474"/>
      <c r="AP18" s="476"/>
      <c r="AQ18" s="482"/>
      <c r="AR18" s="478"/>
      <c r="AS18" s="478"/>
      <c r="AT18" s="476"/>
      <c r="AU18" s="482"/>
      <c r="AV18" s="478"/>
      <c r="AW18" s="483"/>
      <c r="AX18" s="476"/>
      <c r="AY18" s="482"/>
      <c r="AZ18" s="478"/>
      <c r="BA18" s="484"/>
      <c r="BB18" s="474"/>
      <c r="BC18" s="485"/>
      <c r="BD18" s="485"/>
      <c r="BG18" s="487"/>
    </row>
    <row r="19" spans="1:59" s="486" customFormat="1" ht="18" customHeight="1" x14ac:dyDescent="0.2">
      <c r="A19" s="1368" t="str">
        <f t="shared" si="2"/>
        <v>SEB. TELUK KUANTAN - SEB. BENAI2012</v>
      </c>
      <c r="B19" s="1373"/>
      <c r="C19" s="463"/>
      <c r="D19" s="464"/>
      <c r="E19" s="465"/>
      <c r="F19" s="559">
        <v>2012</v>
      </c>
      <c r="G19" s="620">
        <v>0</v>
      </c>
      <c r="H19" s="464">
        <f t="shared" si="12"/>
        <v>6</v>
      </c>
      <c r="I19" s="467"/>
      <c r="J19" s="468">
        <f t="shared" si="3"/>
        <v>2017</v>
      </c>
      <c r="K19" s="490">
        <f t="shared" si="13"/>
        <v>0</v>
      </c>
      <c r="L19" s="469">
        <f t="shared" si="16"/>
        <v>0</v>
      </c>
      <c r="M19" s="683">
        <f t="shared" si="5"/>
        <v>0</v>
      </c>
      <c r="N19" s="470">
        <f t="shared" si="17"/>
        <v>6</v>
      </c>
      <c r="O19" s="468">
        <f t="shared" si="7"/>
        <v>2017</v>
      </c>
      <c r="P19" s="616">
        <f t="shared" si="15"/>
        <v>1888604406.0037322</v>
      </c>
      <c r="Q19" s="472">
        <f t="shared" si="8"/>
        <v>1888604406.0037322</v>
      </c>
      <c r="R19" s="472">
        <f t="shared" si="9"/>
        <v>314767401.00062191</v>
      </c>
      <c r="S19" s="634">
        <f t="shared" si="0"/>
        <v>2012</v>
      </c>
      <c r="T19" s="470">
        <f t="shared" si="14"/>
        <v>1</v>
      </c>
      <c r="U19" s="612">
        <f t="shared" si="1"/>
        <v>314767401.00062191</v>
      </c>
      <c r="V19" s="464">
        <f t="shared" si="10"/>
        <v>2012</v>
      </c>
      <c r="W19" s="612">
        <f t="shared" si="11"/>
        <v>1573837005.0031104</v>
      </c>
      <c r="X19" s="473"/>
      <c r="Y19" s="474"/>
      <c r="Z19" s="449"/>
      <c r="AA19" s="554" t="s">
        <v>4179</v>
      </c>
      <c r="AB19" s="476"/>
      <c r="AC19" s="476"/>
      <c r="AD19" s="567"/>
      <c r="AE19" s="476"/>
      <c r="AF19" s="568"/>
      <c r="AG19" s="476"/>
      <c r="AH19" s="476"/>
      <c r="AI19" s="477"/>
      <c r="AJ19" s="478"/>
      <c r="AK19" s="479"/>
      <c r="AL19" s="480"/>
      <c r="AM19" s="474"/>
      <c r="AN19" s="481"/>
      <c r="AO19" s="474"/>
      <c r="AP19" s="476"/>
      <c r="AQ19" s="482"/>
      <c r="AR19" s="478"/>
      <c r="AS19" s="478"/>
      <c r="AT19" s="476"/>
      <c r="AU19" s="482"/>
      <c r="AV19" s="478"/>
      <c r="AW19" s="483"/>
      <c r="AX19" s="476"/>
      <c r="AY19" s="482"/>
      <c r="AZ19" s="478"/>
      <c r="BA19" s="484"/>
      <c r="BB19" s="474"/>
      <c r="BC19" s="485"/>
      <c r="BD19" s="485"/>
      <c r="BG19" s="487"/>
    </row>
    <row r="20" spans="1:59" s="486" customFormat="1" ht="18" customHeight="1" x14ac:dyDescent="0.2">
      <c r="A20" s="1368" t="str">
        <f t="shared" si="2"/>
        <v>SEB. TELUK KUANTAN - SEB. BENAI2013</v>
      </c>
      <c r="B20" s="1373"/>
      <c r="C20" s="463"/>
      <c r="D20" s="464"/>
      <c r="E20" s="465"/>
      <c r="F20" s="466">
        <v>2013</v>
      </c>
      <c r="G20" s="620">
        <v>0</v>
      </c>
      <c r="H20" s="464">
        <f t="shared" si="12"/>
        <v>5</v>
      </c>
      <c r="I20" s="467"/>
      <c r="J20" s="468">
        <f t="shared" si="3"/>
        <v>2017</v>
      </c>
      <c r="K20" s="490">
        <f t="shared" si="13"/>
        <v>0</v>
      </c>
      <c r="L20" s="469">
        <f t="shared" si="16"/>
        <v>0</v>
      </c>
      <c r="M20" s="683">
        <f t="shared" si="5"/>
        <v>0</v>
      </c>
      <c r="N20" s="470">
        <f t="shared" si="17"/>
        <v>5</v>
      </c>
      <c r="O20" s="468">
        <f t="shared" si="7"/>
        <v>2017</v>
      </c>
      <c r="P20" s="616">
        <f t="shared" si="15"/>
        <v>1573837005.0031104</v>
      </c>
      <c r="Q20" s="472">
        <f t="shared" si="8"/>
        <v>1573837005.0031104</v>
      </c>
      <c r="R20" s="472">
        <f t="shared" si="9"/>
        <v>314767401.00062191</v>
      </c>
      <c r="S20" s="634">
        <f t="shared" si="0"/>
        <v>2013</v>
      </c>
      <c r="T20" s="470">
        <f t="shared" si="14"/>
        <v>1</v>
      </c>
      <c r="U20" s="612">
        <f t="shared" si="1"/>
        <v>314767401.00062191</v>
      </c>
      <c r="V20" s="464">
        <f t="shared" si="10"/>
        <v>2013</v>
      </c>
      <c r="W20" s="612">
        <f t="shared" si="11"/>
        <v>1259069604.0024886</v>
      </c>
      <c r="X20" s="473"/>
      <c r="Y20" s="474"/>
      <c r="Z20" s="449"/>
      <c r="AA20" s="475"/>
      <c r="AB20" s="476"/>
      <c r="AC20" s="476"/>
      <c r="AD20" s="567"/>
      <c r="AE20" s="476"/>
      <c r="AF20" s="568"/>
      <c r="AG20" s="476"/>
      <c r="AH20" s="476"/>
      <c r="AI20" s="477"/>
      <c r="AJ20" s="478"/>
      <c r="AK20" s="479"/>
      <c r="AL20" s="480"/>
      <c r="AM20" s="474"/>
      <c r="AN20" s="481"/>
      <c r="AO20" s="474"/>
      <c r="AP20" s="476"/>
      <c r="AQ20" s="482"/>
      <c r="AR20" s="478"/>
      <c r="AS20" s="478"/>
      <c r="AT20" s="476"/>
      <c r="AU20" s="482"/>
      <c r="AV20" s="478"/>
      <c r="AW20" s="483"/>
      <c r="AX20" s="476"/>
      <c r="AY20" s="482"/>
      <c r="AZ20" s="478"/>
      <c r="BA20" s="484"/>
      <c r="BB20" s="474"/>
      <c r="BC20" s="485"/>
      <c r="BD20" s="485"/>
      <c r="BG20" s="487"/>
    </row>
    <row r="21" spans="1:59" s="486" customFormat="1" ht="18" customHeight="1" x14ac:dyDescent="0.2">
      <c r="A21" s="1368" t="str">
        <f t="shared" si="2"/>
        <v>SEB. TELUK KUANTAN - SEB. BENAI2014</v>
      </c>
      <c r="B21" s="1373">
        <v>4</v>
      </c>
      <c r="C21" s="493" t="s">
        <v>1307</v>
      </c>
      <c r="D21" s="464"/>
      <c r="E21" s="465"/>
      <c r="F21" s="559">
        <v>2014</v>
      </c>
      <c r="G21" s="620">
        <v>1894172066</v>
      </c>
      <c r="H21" s="464">
        <f t="shared" si="12"/>
        <v>4</v>
      </c>
      <c r="I21" s="467"/>
      <c r="J21" s="468">
        <f t="shared" si="3"/>
        <v>2023</v>
      </c>
      <c r="K21" s="490">
        <f t="shared" si="13"/>
        <v>1.5044220430535118</v>
      </c>
      <c r="L21" s="469">
        <f t="shared" si="16"/>
        <v>10</v>
      </c>
      <c r="M21" s="683">
        <f t="shared" si="5"/>
        <v>6</v>
      </c>
      <c r="N21" s="470">
        <f t="shared" si="17"/>
        <v>10</v>
      </c>
      <c r="O21" s="468">
        <f t="shared" si="7"/>
        <v>2023</v>
      </c>
      <c r="P21" s="616">
        <f t="shared" si="15"/>
        <v>1259069604.0024886</v>
      </c>
      <c r="Q21" s="472">
        <f t="shared" si="8"/>
        <v>3153241670.0024886</v>
      </c>
      <c r="R21" s="472">
        <f t="shared" si="9"/>
        <v>315324167.00024885</v>
      </c>
      <c r="S21" s="634">
        <f t="shared" si="0"/>
        <v>2014</v>
      </c>
      <c r="T21" s="470">
        <f t="shared" si="14"/>
        <v>1</v>
      </c>
      <c r="U21" s="612">
        <f t="shared" si="1"/>
        <v>315324167.00024885</v>
      </c>
      <c r="V21" s="464">
        <f t="shared" si="10"/>
        <v>2014</v>
      </c>
      <c r="W21" s="612">
        <f t="shared" si="11"/>
        <v>2837917503.0022397</v>
      </c>
      <c r="X21" s="473"/>
      <c r="Y21" s="474"/>
      <c r="Z21" s="449"/>
      <c r="AA21" s="475" t="s">
        <v>4180</v>
      </c>
      <c r="AB21" s="476"/>
      <c r="AC21" s="476"/>
      <c r="AD21" s="567">
        <f>G32</f>
        <v>19409068935.268639</v>
      </c>
      <c r="AE21" s="476"/>
      <c r="AF21" s="568"/>
      <c r="AG21" s="476"/>
      <c r="AH21" s="476"/>
      <c r="AI21" s="477"/>
      <c r="AJ21" s="478"/>
      <c r="AK21" s="479"/>
      <c r="AL21" s="480"/>
      <c r="AM21" s="474"/>
      <c r="AN21" s="481"/>
      <c r="AO21" s="474"/>
      <c r="AP21" s="476"/>
      <c r="AQ21" s="482"/>
      <c r="AR21" s="478"/>
      <c r="AS21" s="478"/>
      <c r="AT21" s="476"/>
      <c r="AU21" s="482"/>
      <c r="AV21" s="478"/>
      <c r="AW21" s="483"/>
      <c r="AX21" s="476"/>
      <c r="AY21" s="482"/>
      <c r="AZ21" s="478"/>
      <c r="BA21" s="484"/>
      <c r="BB21" s="474"/>
      <c r="BC21" s="485"/>
      <c r="BD21" s="485"/>
      <c r="BG21" s="487"/>
    </row>
    <row r="22" spans="1:59" s="486" customFormat="1" ht="18" customHeight="1" x14ac:dyDescent="0.2">
      <c r="A22" s="1368" t="str">
        <f t="shared" si="2"/>
        <v>SEB. TELUK KUANTAN - SEB. BENAI2015</v>
      </c>
      <c r="B22" s="1373">
        <v>5</v>
      </c>
      <c r="C22" s="488" t="s">
        <v>1365</v>
      </c>
      <c r="D22" s="464" t="s">
        <v>2494</v>
      </c>
      <c r="E22" s="465"/>
      <c r="F22" s="466">
        <v>2015</v>
      </c>
      <c r="G22" s="620">
        <f>3147563153+194585175</f>
        <v>3342148328</v>
      </c>
      <c r="H22" s="464">
        <f t="shared" si="12"/>
        <v>9</v>
      </c>
      <c r="I22" s="467"/>
      <c r="J22" s="468">
        <f t="shared" si="3"/>
        <v>2024</v>
      </c>
      <c r="K22" s="490">
        <f t="shared" si="13"/>
        <v>1.1776763505155923</v>
      </c>
      <c r="L22" s="469">
        <f t="shared" si="16"/>
        <v>10</v>
      </c>
      <c r="M22" s="683">
        <f t="shared" si="5"/>
        <v>1</v>
      </c>
      <c r="N22" s="470">
        <f t="shared" si="17"/>
        <v>10</v>
      </c>
      <c r="O22" s="468">
        <f t="shared" si="7"/>
        <v>2024</v>
      </c>
      <c r="P22" s="616">
        <f t="shared" si="15"/>
        <v>2837917503.0022397</v>
      </c>
      <c r="Q22" s="472">
        <f t="shared" si="8"/>
        <v>6180065831.0022392</v>
      </c>
      <c r="R22" s="472">
        <f t="shared" si="9"/>
        <v>618006583.1002239</v>
      </c>
      <c r="S22" s="634">
        <f t="shared" si="0"/>
        <v>2015</v>
      </c>
      <c r="T22" s="470">
        <f t="shared" si="14"/>
        <v>1</v>
      </c>
      <c r="U22" s="612">
        <f t="shared" si="1"/>
        <v>618006583.1002239</v>
      </c>
      <c r="V22" s="464">
        <f t="shared" si="10"/>
        <v>2015</v>
      </c>
      <c r="W22" s="612">
        <f t="shared" si="11"/>
        <v>5562059247.9020157</v>
      </c>
      <c r="X22" s="473"/>
      <c r="Y22" s="478"/>
      <c r="Z22" s="449"/>
      <c r="AA22" s="475" t="s">
        <v>4181</v>
      </c>
      <c r="AB22" s="491"/>
      <c r="AC22" s="491"/>
      <c r="AD22" s="567">
        <f>U32</f>
        <v>9331203028.4271336</v>
      </c>
      <c r="AE22" s="491"/>
      <c r="AF22" s="568"/>
      <c r="AG22" s="491"/>
      <c r="AH22" s="491"/>
      <c r="AI22" s="477"/>
      <c r="AJ22" s="478"/>
      <c r="AK22" s="479"/>
      <c r="AL22" s="480"/>
      <c r="AM22" s="474"/>
      <c r="AN22" s="481"/>
      <c r="AO22" s="474"/>
      <c r="AP22" s="476"/>
      <c r="AQ22" s="482"/>
      <c r="AR22" s="478"/>
      <c r="AS22" s="478"/>
      <c r="AT22" s="476"/>
      <c r="AU22" s="482"/>
      <c r="AV22" s="478"/>
      <c r="AW22" s="483"/>
      <c r="AX22" s="476"/>
      <c r="AY22" s="482"/>
      <c r="AZ22" s="478"/>
      <c r="BA22" s="484"/>
      <c r="BB22" s="474"/>
      <c r="BC22" s="485"/>
      <c r="BD22" s="485"/>
      <c r="BG22" s="487"/>
    </row>
    <row r="23" spans="1:59" s="486" customFormat="1" ht="18" customHeight="1" x14ac:dyDescent="0.2">
      <c r="A23" s="1368" t="str">
        <f t="shared" si="2"/>
        <v>SEB. TELUK KUANTAN - SEB. BENAI2015</v>
      </c>
      <c r="B23" s="1373">
        <v>6</v>
      </c>
      <c r="C23" s="463" t="s">
        <v>1420</v>
      </c>
      <c r="D23" s="464" t="s">
        <v>2494</v>
      </c>
      <c r="E23" s="465"/>
      <c r="F23" s="466">
        <v>2015</v>
      </c>
      <c r="G23" s="620">
        <v>0</v>
      </c>
      <c r="H23" s="464">
        <f t="shared" si="12"/>
        <v>10</v>
      </c>
      <c r="I23" s="467"/>
      <c r="J23" s="468">
        <f t="shared" si="3"/>
        <v>2024</v>
      </c>
      <c r="K23" s="490">
        <f t="shared" si="13"/>
        <v>0</v>
      </c>
      <c r="L23" s="469">
        <f t="shared" ref="L23:L28" si="18">IF(K23=0%,0,IF(K23&lt;=30%,2,IF(K23&lt;=60%,5,10)))</f>
        <v>0</v>
      </c>
      <c r="M23" s="683">
        <f t="shared" si="5"/>
        <v>0</v>
      </c>
      <c r="N23" s="470">
        <f t="shared" ref="N23:N31" si="19">IF(OR(AND(ISBLANK(E23),ISBLANK(G23)),ISTEXT(E23),ISTEXT(G23)),"",H23+M23)</f>
        <v>10</v>
      </c>
      <c r="O23" s="468">
        <f t="shared" si="7"/>
        <v>2024</v>
      </c>
      <c r="P23" s="616">
        <f t="shared" si="15"/>
        <v>5562059247.9020157</v>
      </c>
      <c r="Q23" s="472">
        <f t="shared" si="8"/>
        <v>5562059247.9020157</v>
      </c>
      <c r="R23" s="472">
        <f t="shared" si="9"/>
        <v>618006583.1002239</v>
      </c>
      <c r="S23" s="634">
        <f t="shared" si="0"/>
        <v>2015</v>
      </c>
      <c r="T23" s="470">
        <f t="shared" si="14"/>
        <v>0</v>
      </c>
      <c r="U23" s="612">
        <f t="shared" si="1"/>
        <v>0</v>
      </c>
      <c r="V23" s="464">
        <f t="shared" si="10"/>
        <v>2015</v>
      </c>
      <c r="W23" s="612">
        <f t="shared" si="11"/>
        <v>5562059247.9020157</v>
      </c>
      <c r="X23" s="473"/>
      <c r="Y23" s="478"/>
      <c r="Z23" s="449"/>
      <c r="AA23" s="492" t="s">
        <v>4182</v>
      </c>
      <c r="AB23" s="476"/>
      <c r="AC23" s="476"/>
      <c r="AD23" s="567">
        <f>AD21-AD22</f>
        <v>10077865906.841505</v>
      </c>
      <c r="AE23" s="476"/>
      <c r="AF23" s="568"/>
      <c r="AG23" s="476"/>
      <c r="AH23" s="476"/>
      <c r="AI23" s="477"/>
      <c r="AJ23" s="478"/>
      <c r="AK23" s="479"/>
      <c r="AL23" s="480"/>
      <c r="AM23" s="474"/>
      <c r="AN23" s="481"/>
      <c r="AO23" s="474"/>
      <c r="AP23" s="476"/>
      <c r="AQ23" s="482"/>
      <c r="AR23" s="478"/>
      <c r="AS23" s="478"/>
      <c r="AT23" s="476"/>
      <c r="AU23" s="482"/>
      <c r="AV23" s="478"/>
      <c r="AW23" s="483"/>
      <c r="AX23" s="476"/>
      <c r="AY23" s="482"/>
      <c r="AZ23" s="478"/>
      <c r="BA23" s="484"/>
      <c r="BB23" s="474"/>
      <c r="BC23" s="485"/>
      <c r="BD23" s="485"/>
      <c r="BG23" s="487"/>
    </row>
    <row r="24" spans="1:59" s="486" customFormat="1" ht="18" customHeight="1" x14ac:dyDescent="0.2">
      <c r="A24" s="1368" t="str">
        <f t="shared" si="2"/>
        <v>SEB. TELUK KUANTAN - SEB. BENAI2016</v>
      </c>
      <c r="B24" s="1373"/>
      <c r="C24" s="463"/>
      <c r="D24" s="464"/>
      <c r="E24" s="465"/>
      <c r="F24" s="466">
        <v>2016</v>
      </c>
      <c r="G24" s="620">
        <v>0</v>
      </c>
      <c r="H24" s="464">
        <f t="shared" si="12"/>
        <v>9</v>
      </c>
      <c r="I24" s="467"/>
      <c r="J24" s="468">
        <f t="shared" si="3"/>
        <v>2024</v>
      </c>
      <c r="K24" s="490">
        <f t="shared" si="13"/>
        <v>0</v>
      </c>
      <c r="L24" s="469">
        <f t="shared" si="18"/>
        <v>0</v>
      </c>
      <c r="M24" s="683">
        <f t="shared" si="5"/>
        <v>0</v>
      </c>
      <c r="N24" s="470">
        <f t="shared" si="19"/>
        <v>9</v>
      </c>
      <c r="O24" s="468">
        <f t="shared" si="7"/>
        <v>2024</v>
      </c>
      <c r="P24" s="616">
        <f t="shared" si="15"/>
        <v>5562059247.9020157</v>
      </c>
      <c r="Q24" s="472">
        <f t="shared" si="8"/>
        <v>5562059247.9020157</v>
      </c>
      <c r="R24" s="472">
        <f t="shared" si="9"/>
        <v>618006583.1002239</v>
      </c>
      <c r="S24" s="634">
        <f t="shared" si="0"/>
        <v>2016</v>
      </c>
      <c r="T24" s="470">
        <f t="shared" si="14"/>
        <v>1</v>
      </c>
      <c r="U24" s="612">
        <f t="shared" si="1"/>
        <v>618006583.1002239</v>
      </c>
      <c r="V24" s="464">
        <f t="shared" si="10"/>
        <v>2016</v>
      </c>
      <c r="W24" s="612">
        <f t="shared" si="11"/>
        <v>4944052664.8017921</v>
      </c>
      <c r="X24" s="473"/>
      <c r="Y24" s="478"/>
      <c r="Z24" s="449"/>
      <c r="AA24" s="492"/>
      <c r="AB24" s="476"/>
      <c r="AC24" s="476"/>
      <c r="AD24" s="567"/>
      <c r="AE24" s="476"/>
      <c r="AF24" s="568"/>
      <c r="AG24" s="476"/>
      <c r="AH24" s="476"/>
      <c r="AI24" s="477"/>
      <c r="AJ24" s="478"/>
      <c r="AK24" s="479"/>
      <c r="AL24" s="480"/>
      <c r="AM24" s="474"/>
      <c r="AN24" s="481"/>
      <c r="AO24" s="474"/>
      <c r="AP24" s="476"/>
      <c r="AQ24" s="482"/>
      <c r="AR24" s="478"/>
      <c r="AS24" s="478"/>
      <c r="AT24" s="476"/>
      <c r="AU24" s="482"/>
      <c r="AV24" s="478"/>
      <c r="AW24" s="483"/>
      <c r="AX24" s="476"/>
      <c r="AY24" s="482"/>
      <c r="AZ24" s="478"/>
      <c r="BA24" s="484"/>
      <c r="BB24" s="474"/>
      <c r="BC24" s="485"/>
      <c r="BD24" s="485"/>
      <c r="BG24" s="487"/>
    </row>
    <row r="25" spans="1:59" s="486" customFormat="1" ht="18" customHeight="1" x14ac:dyDescent="0.2">
      <c r="A25" s="1368" t="str">
        <f t="shared" si="2"/>
        <v>SEB. TELUK KUANTAN - SEB. BENAI2017</v>
      </c>
      <c r="B25" s="687">
        <v>7</v>
      </c>
      <c r="C25" s="463" t="s">
        <v>3042</v>
      </c>
      <c r="D25" s="464" t="s">
        <v>2494</v>
      </c>
      <c r="E25" s="465"/>
      <c r="F25" s="466">
        <v>2017</v>
      </c>
      <c r="G25" s="620">
        <f>2629412299+191202000</f>
        <v>2820614299</v>
      </c>
      <c r="H25" s="464">
        <f t="shared" si="12"/>
        <v>8</v>
      </c>
      <c r="I25" s="467"/>
      <c r="J25" s="468">
        <f t="shared" si="3"/>
        <v>2026</v>
      </c>
      <c r="K25" s="490">
        <f t="shared" si="13"/>
        <v>0.57050652374332644</v>
      </c>
      <c r="L25" s="469">
        <f t="shared" si="18"/>
        <v>5</v>
      </c>
      <c r="M25" s="683">
        <f t="shared" ref="M25:M30" si="20">IF(OR(AND(ISBLANK(E25),ISBLANK(G25)),ISTEXT(E25),ISTEXT(G25)),"",IF(H25+L25&gt;$H$8,$H$8-H25,L25))</f>
        <v>2</v>
      </c>
      <c r="N25" s="470">
        <f t="shared" si="19"/>
        <v>10</v>
      </c>
      <c r="O25" s="468">
        <f t="shared" si="7"/>
        <v>2026</v>
      </c>
      <c r="P25" s="616">
        <f t="shared" si="15"/>
        <v>4944052664.8017921</v>
      </c>
      <c r="Q25" s="472">
        <f t="shared" si="8"/>
        <v>7764666963.8017921</v>
      </c>
      <c r="R25" s="472">
        <f t="shared" si="9"/>
        <v>776466696.38017917</v>
      </c>
      <c r="S25" s="634">
        <f t="shared" si="0"/>
        <v>2017</v>
      </c>
      <c r="T25" s="470">
        <f t="shared" si="14"/>
        <v>1</v>
      </c>
      <c r="U25" s="612">
        <f t="shared" si="1"/>
        <v>776466696.38017917</v>
      </c>
      <c r="V25" s="464">
        <f t="shared" si="10"/>
        <v>2017</v>
      </c>
      <c r="W25" s="612">
        <f t="shared" si="11"/>
        <v>6988200267.4216127</v>
      </c>
      <c r="X25" s="473"/>
      <c r="Y25" s="478"/>
      <c r="Z25" s="449"/>
      <c r="AA25" s="475" t="s">
        <v>4183</v>
      </c>
      <c r="AB25" s="476"/>
      <c r="AC25" s="476"/>
      <c r="AD25" s="567">
        <f>AD23-W32</f>
        <v>0</v>
      </c>
      <c r="AE25" s="476"/>
      <c r="AF25" s="568"/>
      <c r="AG25" s="476"/>
      <c r="AH25" s="476"/>
      <c r="AI25" s="477"/>
      <c r="AJ25" s="478"/>
      <c r="AK25" s="479"/>
      <c r="AL25" s="480"/>
      <c r="AM25" s="474"/>
      <c r="AN25" s="481"/>
      <c r="AO25" s="474"/>
      <c r="AP25" s="476"/>
      <c r="AQ25" s="482"/>
      <c r="AR25" s="478"/>
      <c r="AS25" s="478"/>
      <c r="AT25" s="476"/>
      <c r="AU25" s="482"/>
      <c r="AV25" s="478"/>
      <c r="AW25" s="483"/>
      <c r="AX25" s="476"/>
      <c r="AY25" s="482"/>
      <c r="AZ25" s="478"/>
      <c r="BA25" s="484"/>
      <c r="BB25" s="474"/>
      <c r="BC25" s="485"/>
      <c r="BD25" s="485"/>
      <c r="BG25" s="487"/>
    </row>
    <row r="26" spans="1:59" s="486" customFormat="1" ht="18" customHeight="1" x14ac:dyDescent="0.2">
      <c r="A26" s="1368" t="str">
        <f t="shared" si="2"/>
        <v>SEB. TELUK KUANTAN - SEB. BENAI2017</v>
      </c>
      <c r="B26" s="687">
        <v>8</v>
      </c>
      <c r="C26" s="494" t="s">
        <v>2500</v>
      </c>
      <c r="D26" s="464" t="s">
        <v>2494</v>
      </c>
      <c r="E26" s="465"/>
      <c r="F26" s="466">
        <v>2017</v>
      </c>
      <c r="G26" s="620">
        <v>0</v>
      </c>
      <c r="H26" s="464">
        <f t="shared" si="12"/>
        <v>10</v>
      </c>
      <c r="I26" s="467"/>
      <c r="J26" s="468">
        <f t="shared" si="3"/>
        <v>2026</v>
      </c>
      <c r="K26" s="490">
        <f t="shared" si="13"/>
        <v>0</v>
      </c>
      <c r="L26" s="469">
        <f t="shared" si="18"/>
        <v>0</v>
      </c>
      <c r="M26" s="683">
        <f t="shared" si="20"/>
        <v>0</v>
      </c>
      <c r="N26" s="470">
        <f t="shared" si="19"/>
        <v>10</v>
      </c>
      <c r="O26" s="468">
        <f t="shared" si="7"/>
        <v>2026</v>
      </c>
      <c r="P26" s="616">
        <f t="shared" si="15"/>
        <v>6988200267.4216127</v>
      </c>
      <c r="Q26" s="472">
        <f t="shared" si="8"/>
        <v>6988200267.4216127</v>
      </c>
      <c r="R26" s="472">
        <f t="shared" si="9"/>
        <v>776466696.38017917</v>
      </c>
      <c r="S26" s="634">
        <f t="shared" si="0"/>
        <v>2017</v>
      </c>
      <c r="T26" s="470">
        <f t="shared" si="14"/>
        <v>0</v>
      </c>
      <c r="U26" s="612">
        <f t="shared" si="1"/>
        <v>0</v>
      </c>
      <c r="V26" s="464">
        <f t="shared" si="10"/>
        <v>2017</v>
      </c>
      <c r="W26" s="612">
        <f t="shared" si="11"/>
        <v>6988200267.4216127</v>
      </c>
      <c r="X26" s="473"/>
      <c r="Y26" s="478"/>
      <c r="Z26" s="449"/>
      <c r="AA26" s="495"/>
      <c r="AB26" s="496"/>
      <c r="AC26" s="496"/>
      <c r="AD26" s="569"/>
      <c r="AE26" s="476"/>
      <c r="AF26" s="568"/>
      <c r="AG26" s="476"/>
      <c r="AH26" s="476"/>
      <c r="AI26" s="477"/>
      <c r="AJ26" s="478"/>
      <c r="AK26" s="479"/>
      <c r="AL26" s="480"/>
      <c r="AM26" s="474"/>
      <c r="AN26" s="481"/>
      <c r="AO26" s="474"/>
      <c r="AP26" s="476"/>
      <c r="AQ26" s="482"/>
      <c r="AR26" s="478"/>
      <c r="AS26" s="478"/>
      <c r="AT26" s="476"/>
      <c r="AU26" s="482"/>
      <c r="AV26" s="478"/>
      <c r="AW26" s="483"/>
      <c r="AX26" s="476"/>
      <c r="AY26" s="482"/>
      <c r="AZ26" s="478"/>
      <c r="BA26" s="484"/>
      <c r="BB26" s="474"/>
      <c r="BC26" s="485"/>
      <c r="BD26" s="485"/>
      <c r="BG26" s="487"/>
    </row>
    <row r="27" spans="1:59" s="486" customFormat="1" ht="18" customHeight="1" x14ac:dyDescent="0.2">
      <c r="A27" s="1368" t="str">
        <f t="shared" si="2"/>
        <v>SEB. TELUK KUANTAN - SEB. BENAI2018</v>
      </c>
      <c r="B27" s="687">
        <v>9</v>
      </c>
      <c r="C27" s="463" t="s">
        <v>3323</v>
      </c>
      <c r="D27" s="464" t="s">
        <v>2494</v>
      </c>
      <c r="E27" s="465"/>
      <c r="F27" s="466">
        <v>2018</v>
      </c>
      <c r="G27" s="620">
        <f>2395846651+188212566+478118536</f>
        <v>3062177753</v>
      </c>
      <c r="H27" s="464">
        <f t="shared" si="12"/>
        <v>9</v>
      </c>
      <c r="I27" s="467"/>
      <c r="J27" s="468">
        <f t="shared" si="3"/>
        <v>2027</v>
      </c>
      <c r="K27" s="490">
        <f t="shared" si="13"/>
        <v>0.43819261552586131</v>
      </c>
      <c r="L27" s="469">
        <f t="shared" si="18"/>
        <v>5</v>
      </c>
      <c r="M27" s="683">
        <f t="shared" si="20"/>
        <v>1</v>
      </c>
      <c r="N27" s="470">
        <f t="shared" si="19"/>
        <v>10</v>
      </c>
      <c r="O27" s="468">
        <f t="shared" si="7"/>
        <v>2027</v>
      </c>
      <c r="P27" s="616">
        <f t="shared" si="15"/>
        <v>6988200267.4216127</v>
      </c>
      <c r="Q27" s="472">
        <f t="shared" si="8"/>
        <v>10050378020.421612</v>
      </c>
      <c r="R27" s="472">
        <f t="shared" si="9"/>
        <v>1005037802.0421612</v>
      </c>
      <c r="S27" s="634">
        <f t="shared" si="0"/>
        <v>2018</v>
      </c>
      <c r="T27" s="470">
        <f t="shared" si="14"/>
        <v>1</v>
      </c>
      <c r="U27" s="612">
        <f t="shared" si="1"/>
        <v>1005037802.0421612</v>
      </c>
      <c r="V27" s="464">
        <f t="shared" si="10"/>
        <v>2018</v>
      </c>
      <c r="W27" s="612">
        <f t="shared" si="11"/>
        <v>9045340218.3794498</v>
      </c>
      <c r="X27" s="473"/>
      <c r="Y27" s="497"/>
      <c r="Z27" s="449"/>
      <c r="AA27" s="497"/>
      <c r="AB27" s="476"/>
      <c r="AC27" s="497"/>
      <c r="AD27" s="568"/>
      <c r="AE27" s="476"/>
      <c r="AF27" s="568"/>
      <c r="AG27" s="476"/>
      <c r="AH27" s="476"/>
      <c r="AI27" s="477"/>
      <c r="AJ27" s="478"/>
      <c r="AK27" s="479"/>
      <c r="AL27" s="480"/>
      <c r="AM27" s="474"/>
      <c r="AN27" s="481"/>
      <c r="AO27" s="474"/>
      <c r="AP27" s="476"/>
      <c r="AQ27" s="482"/>
      <c r="AR27" s="478"/>
      <c r="AS27" s="478"/>
      <c r="AT27" s="476"/>
      <c r="AU27" s="482"/>
      <c r="AV27" s="478"/>
      <c r="AW27" s="483"/>
      <c r="AX27" s="476"/>
      <c r="AY27" s="482"/>
      <c r="AZ27" s="478"/>
      <c r="BA27" s="484"/>
      <c r="BB27" s="474"/>
      <c r="BC27" s="485"/>
      <c r="BD27" s="485"/>
      <c r="BG27" s="487"/>
    </row>
    <row r="28" spans="1:59" s="486" customFormat="1" ht="18" customHeight="1" x14ac:dyDescent="0.2">
      <c r="A28" s="1368" t="str">
        <f t="shared" si="2"/>
        <v>SEB. TELUK KUANTAN - SEB. BENAI2018</v>
      </c>
      <c r="B28" s="687">
        <v>10</v>
      </c>
      <c r="C28" s="463" t="s">
        <v>3331</v>
      </c>
      <c r="D28" s="464" t="s">
        <v>2494</v>
      </c>
      <c r="E28" s="465"/>
      <c r="F28" s="466">
        <v>2018</v>
      </c>
      <c r="G28" s="620">
        <v>0</v>
      </c>
      <c r="H28" s="464">
        <f t="shared" si="12"/>
        <v>10</v>
      </c>
      <c r="I28" s="467"/>
      <c r="J28" s="468">
        <f t="shared" si="3"/>
        <v>2027</v>
      </c>
      <c r="K28" s="490">
        <f t="shared" si="13"/>
        <v>0</v>
      </c>
      <c r="L28" s="469">
        <f t="shared" si="18"/>
        <v>0</v>
      </c>
      <c r="M28" s="683">
        <f t="shared" si="20"/>
        <v>0</v>
      </c>
      <c r="N28" s="470">
        <f t="shared" si="19"/>
        <v>10</v>
      </c>
      <c r="O28" s="468">
        <f t="shared" si="7"/>
        <v>2027</v>
      </c>
      <c r="P28" s="616">
        <f t="shared" si="15"/>
        <v>9045340218.3794498</v>
      </c>
      <c r="Q28" s="472">
        <f t="shared" si="8"/>
        <v>9045340218.3794498</v>
      </c>
      <c r="R28" s="472">
        <f t="shared" si="9"/>
        <v>1005037802.0421612</v>
      </c>
      <c r="S28" s="634">
        <f t="shared" si="0"/>
        <v>2018</v>
      </c>
      <c r="T28" s="470">
        <f t="shared" si="14"/>
        <v>0</v>
      </c>
      <c r="U28" s="612">
        <f t="shared" si="1"/>
        <v>0</v>
      </c>
      <c r="V28" s="464">
        <f t="shared" si="10"/>
        <v>2018</v>
      </c>
      <c r="W28" s="612">
        <f t="shared" si="11"/>
        <v>9045340218.3794498</v>
      </c>
      <c r="X28" s="473"/>
      <c r="Y28" s="478"/>
      <c r="Z28" s="449"/>
      <c r="AA28" s="476"/>
      <c r="AB28" s="476"/>
      <c r="AC28" s="476"/>
      <c r="AD28" s="568"/>
      <c r="AE28" s="476"/>
      <c r="AF28" s="568"/>
      <c r="AG28" s="476"/>
      <c r="AH28" s="476"/>
      <c r="AI28" s="477"/>
      <c r="AJ28" s="478"/>
      <c r="AK28" s="479"/>
      <c r="AL28" s="480"/>
      <c r="AM28" s="474"/>
      <c r="AN28" s="481"/>
      <c r="AO28" s="474"/>
      <c r="AP28" s="476"/>
      <c r="AQ28" s="482"/>
      <c r="AR28" s="478"/>
      <c r="AS28" s="478"/>
      <c r="AT28" s="476"/>
      <c r="AU28" s="482"/>
      <c r="AV28" s="478"/>
      <c r="AW28" s="483"/>
      <c r="AX28" s="476"/>
      <c r="AY28" s="482"/>
      <c r="AZ28" s="478"/>
      <c r="BA28" s="484"/>
      <c r="BB28" s="474"/>
      <c r="BC28" s="485"/>
      <c r="BD28" s="485"/>
      <c r="BG28" s="487"/>
    </row>
    <row r="29" spans="1:59" s="486" customFormat="1" ht="18" customHeight="1" x14ac:dyDescent="0.2">
      <c r="A29" s="1368" t="str">
        <f t="shared" si="2"/>
        <v>SEB. TELUK KUANTAN - SEB. BENAI2018</v>
      </c>
      <c r="B29" s="687">
        <v>11</v>
      </c>
      <c r="C29" s="463" t="s">
        <v>3328</v>
      </c>
      <c r="D29" s="464" t="s">
        <v>2494</v>
      </c>
      <c r="E29" s="465"/>
      <c r="F29" s="466">
        <v>2018</v>
      </c>
      <c r="G29" s="620">
        <v>0</v>
      </c>
      <c r="H29" s="464">
        <f t="shared" si="12"/>
        <v>10</v>
      </c>
      <c r="I29" s="467"/>
      <c r="J29" s="468">
        <f>(F29+N29)-1</f>
        <v>2027</v>
      </c>
      <c r="K29" s="490">
        <f>IF(G29=0,0,IF(H29=10,100%,G29/W28))</f>
        <v>0</v>
      </c>
      <c r="L29" s="469">
        <f>IF(K29=0%,0,IF(K29&lt;=30%,2,IF(K29&lt;=60%,5,10)))</f>
        <v>0</v>
      </c>
      <c r="M29" s="683">
        <f t="shared" si="20"/>
        <v>0</v>
      </c>
      <c r="N29" s="470">
        <f>IF(OR(AND(ISBLANK(E29),ISBLANK(G29)),ISTEXT(E29),ISTEXT(G29)),"",H29+M29)</f>
        <v>10</v>
      </c>
      <c r="O29" s="468">
        <f>(F29+N29)-1</f>
        <v>2027</v>
      </c>
      <c r="P29" s="616">
        <f>W28</f>
        <v>9045340218.3794498</v>
      </c>
      <c r="Q29" s="472">
        <f>P29+G29</f>
        <v>9045340218.3794498</v>
      </c>
      <c r="R29" s="472">
        <f>IF(L29=0,R28,Q29/N29)</f>
        <v>1005037802.0421612</v>
      </c>
      <c r="S29" s="1189">
        <f>F29</f>
        <v>2018</v>
      </c>
      <c r="T29" s="470">
        <f>S29-S28</f>
        <v>0</v>
      </c>
      <c r="U29" s="612">
        <f>R29*T29</f>
        <v>0</v>
      </c>
      <c r="V29" s="464">
        <f>F29</f>
        <v>2018</v>
      </c>
      <c r="W29" s="612">
        <f>IF(OR(AND(ISBLANK(E29),ISBLANK(G29)),ISTEXT(E29),ISTEXT(G29)),"",Q29-U29)</f>
        <v>9045340218.3794498</v>
      </c>
      <c r="X29" s="473"/>
      <c r="Y29" s="478"/>
      <c r="Z29" s="449"/>
      <c r="AA29" s="476"/>
      <c r="AB29" s="476"/>
      <c r="AC29" s="476"/>
      <c r="AD29" s="568"/>
      <c r="AE29" s="476"/>
      <c r="AF29" s="568"/>
      <c r="AG29" s="476"/>
      <c r="AH29" s="476"/>
      <c r="AI29" s="477"/>
      <c r="AJ29" s="478"/>
      <c r="AK29" s="479"/>
      <c r="AL29" s="480"/>
      <c r="AM29" s="474"/>
      <c r="AN29" s="481"/>
      <c r="AO29" s="474"/>
      <c r="AP29" s="476"/>
      <c r="AQ29" s="482"/>
      <c r="AR29" s="478"/>
      <c r="AS29" s="478"/>
      <c r="AT29" s="476"/>
      <c r="AU29" s="482"/>
      <c r="AV29" s="478"/>
      <c r="AW29" s="483"/>
      <c r="AX29" s="476"/>
      <c r="AY29" s="482"/>
      <c r="AZ29" s="478"/>
      <c r="BA29" s="484"/>
      <c r="BB29" s="474"/>
      <c r="BC29" s="485"/>
      <c r="BD29" s="485"/>
      <c r="BG29" s="487"/>
    </row>
    <row r="30" spans="1:59" s="486" customFormat="1" ht="18" customHeight="1" x14ac:dyDescent="0.2">
      <c r="A30" s="1368" t="str">
        <f t="shared" si="2"/>
        <v>SEB. TELUK KUANTAN - SEB. BENAI2019</v>
      </c>
      <c r="B30" s="687">
        <v>12</v>
      </c>
      <c r="C30" s="463" t="s">
        <v>5693</v>
      </c>
      <c r="D30" s="464" t="s">
        <v>2494</v>
      </c>
      <c r="E30" s="465"/>
      <c r="F30" s="466">
        <v>2019</v>
      </c>
      <c r="G30" s="620">
        <v>2152288567</v>
      </c>
      <c r="H30" s="464">
        <f>IF(N29-(F30-F29)&lt;=0,0,(N29-(F30-F29)))</f>
        <v>9</v>
      </c>
      <c r="I30" s="467"/>
      <c r="J30" s="468">
        <f>(F30+N30)-1</f>
        <v>2028</v>
      </c>
      <c r="K30" s="490">
        <f>IF(G30=0,0,IF(H30=10,100%,G30/W29))</f>
        <v>0.23794445703951653</v>
      </c>
      <c r="L30" s="469">
        <f>IF(K30=0%,0,IF(K30&lt;=30%,2,IF(K30&lt;=60%,5,10)))</f>
        <v>2</v>
      </c>
      <c r="M30" s="683">
        <f t="shared" si="20"/>
        <v>1</v>
      </c>
      <c r="N30" s="470">
        <f>IF(OR(AND(ISBLANK(E30),ISBLANK(G30)),ISTEXT(E30),ISTEXT(G30)),"",H30+M30)</f>
        <v>10</v>
      </c>
      <c r="O30" s="468">
        <f>(F30+N30)-1</f>
        <v>2028</v>
      </c>
      <c r="P30" s="616">
        <f>W29</f>
        <v>9045340218.3794498</v>
      </c>
      <c r="Q30" s="472">
        <f>P30+G30</f>
        <v>11197628785.37945</v>
      </c>
      <c r="R30" s="472">
        <f>IF(L30=0,R29,Q30/N30)</f>
        <v>1119762878.537945</v>
      </c>
      <c r="S30" s="1189">
        <f>F30</f>
        <v>2019</v>
      </c>
      <c r="T30" s="470">
        <f>S30-S29</f>
        <v>1</v>
      </c>
      <c r="U30" s="612">
        <f>R30*T30</f>
        <v>1119762878.537945</v>
      </c>
      <c r="V30" s="464">
        <f>F30</f>
        <v>2019</v>
      </c>
      <c r="W30" s="612">
        <f>IF(OR(AND(ISBLANK(E30),ISBLANK(G30)),ISTEXT(E30),ISTEXT(G30)),"",Q30-U30)</f>
        <v>10077865906.841505</v>
      </c>
      <c r="X30" s="473"/>
      <c r="Y30" s="478"/>
      <c r="Z30" s="449"/>
      <c r="AA30" s="476"/>
      <c r="AB30" s="476"/>
      <c r="AC30" s="476"/>
      <c r="AD30" s="568"/>
      <c r="AE30" s="476"/>
      <c r="AF30" s="568"/>
      <c r="AG30" s="476"/>
      <c r="AH30" s="476"/>
      <c r="AI30" s="477"/>
      <c r="AJ30" s="478"/>
      <c r="AK30" s="479"/>
      <c r="AL30" s="480"/>
      <c r="AM30" s="474"/>
      <c r="AN30" s="481"/>
      <c r="AO30" s="474"/>
      <c r="AP30" s="476"/>
      <c r="AQ30" s="482"/>
      <c r="AR30" s="478"/>
      <c r="AS30" s="478"/>
      <c r="AT30" s="476"/>
      <c r="AU30" s="482"/>
      <c r="AV30" s="478"/>
      <c r="AW30" s="483"/>
      <c r="AX30" s="476"/>
      <c r="AY30" s="482"/>
      <c r="AZ30" s="478"/>
      <c r="BA30" s="484"/>
      <c r="BB30" s="474"/>
      <c r="BC30" s="485"/>
      <c r="BD30" s="485"/>
      <c r="BG30" s="487"/>
    </row>
    <row r="31" spans="1:59" s="486" customFormat="1" ht="18" customHeight="1" x14ac:dyDescent="0.2">
      <c r="A31" s="1369"/>
      <c r="B31" s="687"/>
      <c r="C31" s="463"/>
      <c r="D31" s="464"/>
      <c r="E31" s="465"/>
      <c r="F31" s="634"/>
      <c r="G31" s="620"/>
      <c r="H31" s="469" t="str">
        <f>IF(OR(AND(ISBLANK(E31),ISBLANK(G31)),ISTEXT(E31),ISTEXT(G31)),"",IF(#REF!-(YEAR(E31)-YEAR(#REF!))&lt;0,0,#REF!-(YEAR(E31)-YEAR(#REF!))))</f>
        <v/>
      </c>
      <c r="I31" s="467" t="str">
        <f>IF(OR(AND(ISBLANK(E31),ISBLANK(G31)),ISTEXT(E31),ISTEXT(G31)),"",IF(#REF!-E31&lt;0,0,#REF!-E31))</f>
        <v/>
      </c>
      <c r="J31" s="498" t="str">
        <f>IF(OR(AND(ISBLANK(E31),ISBLANK(G31)),ISTEXT(E31),ISTEXT(G31)),"",#REF!)</f>
        <v/>
      </c>
      <c r="K31" s="498"/>
      <c r="L31" s="469" t="str">
        <f>IF(OR(AND(ISBLANK(E31),ISBLANK(G31)),ISTEXT(E31),ISTEXT(G31)),"",ROUNDDOWN(G31/SUM($G31:G$57)*$H$57,0))</f>
        <v/>
      </c>
      <c r="M31" s="683" t="str">
        <f>IF(OR(AND(ISBLANK(E31),ISBLANK(G31)),ISTEXT(E31),ISTEXT(G31)),"",IF(H31+L31&gt;$H$57,$H$57-H31,L31))</f>
        <v/>
      </c>
      <c r="N31" s="470" t="str">
        <f t="shared" si="19"/>
        <v/>
      </c>
      <c r="O31" s="498" t="str">
        <f>IF(OR(AND(ISBLANK(E31),ISBLANK(G31)),ISTEXT(E31),ISTEXT(G31)),"",DATE(YEAR($J31)+M31,MONTH($J31),DAY($J31)))</f>
        <v/>
      </c>
      <c r="P31" s="748" t="str">
        <f>IF(OR(AND(ISBLANK(E31),ISBLANK(G31)),ISTEXT(E31),ISTEXT(G31)),"",#REF!-#REF!*(IF(J31&lt;E31,J31,E31)-#REF!))</f>
        <v/>
      </c>
      <c r="Q31" s="500" t="str">
        <f>IF(OR(AND(ISBLANK(E31),ISBLANK(G31)),ISTEXT(E31),ISTEXT(G31)),"",P31+G31)</f>
        <v/>
      </c>
      <c r="R31" s="501" t="str">
        <f>IF(OR(AND(ISBLANK(E31),ISBLANK(G31)),ISTEXT(E31),ISTEXT(G31)),"",IF(OR(E31&lt;DATE(2004,12,31),#REF!=0),0,Q31/#REF!))</f>
        <v/>
      </c>
      <c r="S31" s="502" t="str">
        <f>IF(OR(AND(ISBLANK(E31),ISBLANK(G31)),ISTEXT(E31),ISTEXT(G31)),"",IF(YEAR(E31)&lt;=YEAR(#REF!),"-",YEAR(E31)-1))</f>
        <v/>
      </c>
      <c r="T31" s="502"/>
      <c r="U31" s="612" t="str">
        <f>IF(OR(AND(ISBLANK(E31),ISBLANK(G31)),ISTEXT(E31),ISTEXT(G31)),"",IF(AND(J31&lt;=DATE(2004,12,31),E31&gt;J31),SUM($G31:G31),#REF!+#REF!+#REF!*IF(YEAR(E31)&lt;=YEAR(#REF!),0,(IF(DATE(YEAR(E31)-1,12,31)&gt;J31,J31,DATE(YEAR(E31)-1,12,31))-#REF!))))</f>
        <v/>
      </c>
      <c r="V31" s="503" t="str">
        <f>IF(OR(AND(ISBLANK(E31),ISBLANK(G31)),ISTEXT(E31),ISTEXT(G31)),"",IF(YEAR(E31)=YEAR(E32),E32,DATE(YEAR(E31),12,31)))</f>
        <v/>
      </c>
      <c r="W31" s="612" t="str">
        <f>IF(OR(AND(ISBLANK(E31),ISBLANK(G31)),ISTEXT(E31),ISTEXT(G31)),"",P31-U31)</f>
        <v/>
      </c>
      <c r="X31" s="504" t="str">
        <f>IF(OR(AND(ISBLANK(E31),ISBLANK(G31)),ISTEXT(E31),ISTEXT(G31)),"",$D$57&amp;"//"&amp;TEXT($E$57,"dd-mmm-yyyy")&amp;"//"&amp;#REF!)</f>
        <v/>
      </c>
      <c r="Y31" s="476"/>
      <c r="Z31" s="476"/>
      <c r="AA31" s="476"/>
      <c r="AB31" s="476"/>
      <c r="AC31" s="476"/>
      <c r="AD31" s="568"/>
      <c r="AE31" s="476"/>
      <c r="AF31" s="568"/>
      <c r="AG31" s="476"/>
      <c r="AH31" s="476"/>
      <c r="AI31" s="477"/>
      <c r="AJ31" s="478"/>
      <c r="AK31" s="479"/>
      <c r="AL31" s="480"/>
      <c r="AM31" s="474"/>
      <c r="AN31" s="481"/>
      <c r="AO31" s="474"/>
      <c r="AP31" s="476"/>
      <c r="AQ31" s="482"/>
      <c r="AR31" s="478"/>
      <c r="AS31" s="478"/>
      <c r="AT31" s="476"/>
      <c r="AU31" s="482"/>
      <c r="AV31" s="478"/>
      <c r="AW31" s="483"/>
      <c r="AX31" s="476"/>
      <c r="AY31" s="482"/>
      <c r="AZ31" s="478"/>
      <c r="BA31" s="484"/>
      <c r="BB31" s="474"/>
      <c r="BC31" s="485"/>
      <c r="BD31" s="485"/>
      <c r="BG31" s="487"/>
    </row>
    <row r="32" spans="1:59" s="526" customFormat="1" ht="18" customHeight="1" x14ac:dyDescent="0.2">
      <c r="A32" s="1370" t="s">
        <v>4184</v>
      </c>
      <c r="B32" s="1956" t="s">
        <v>4184</v>
      </c>
      <c r="C32" s="1957"/>
      <c r="D32" s="1957"/>
      <c r="E32" s="1957"/>
      <c r="F32" s="1958"/>
      <c r="G32" s="722">
        <f>SUM(G8:G31)</f>
        <v>19409068935.268639</v>
      </c>
      <c r="H32" s="505"/>
      <c r="I32" s="506"/>
      <c r="J32" s="507"/>
      <c r="K32" s="507"/>
      <c r="L32" s="505"/>
      <c r="M32" s="684"/>
      <c r="N32" s="508"/>
      <c r="O32" s="507"/>
      <c r="P32" s="749"/>
      <c r="Q32" s="510"/>
      <c r="R32" s="511"/>
      <c r="S32" s="512"/>
      <c r="T32" s="512"/>
      <c r="U32" s="610">
        <f>SUM(U8:U31)</f>
        <v>9331203028.4271336</v>
      </c>
      <c r="V32" s="513"/>
      <c r="W32" s="610">
        <f>G32-U32</f>
        <v>10077865906.841505</v>
      </c>
      <c r="X32" s="514"/>
      <c r="Y32" s="515"/>
      <c r="Z32" s="515"/>
      <c r="AA32" s="515"/>
      <c r="AB32" s="515"/>
      <c r="AC32" s="515"/>
      <c r="AD32" s="570"/>
      <c r="AE32" s="515"/>
      <c r="AF32" s="570"/>
      <c r="AG32" s="515"/>
      <c r="AH32" s="515"/>
      <c r="AI32" s="516"/>
      <c r="AJ32" s="517"/>
      <c r="AK32" s="518"/>
      <c r="AL32" s="519"/>
      <c r="AM32" s="520"/>
      <c r="AN32" s="521"/>
      <c r="AO32" s="520"/>
      <c r="AP32" s="515"/>
      <c r="AQ32" s="522"/>
      <c r="AR32" s="517"/>
      <c r="AS32" s="517"/>
      <c r="AT32" s="515"/>
      <c r="AU32" s="522"/>
      <c r="AV32" s="517"/>
      <c r="AW32" s="523"/>
      <c r="AX32" s="515"/>
      <c r="AY32" s="522"/>
      <c r="AZ32" s="517"/>
      <c r="BA32" s="524"/>
      <c r="BB32" s="520"/>
      <c r="BC32" s="525"/>
      <c r="BD32" s="525"/>
      <c r="BG32" s="527"/>
    </row>
    <row r="33" spans="1:59" s="526" customFormat="1" ht="13.5" customHeight="1" x14ac:dyDescent="0.2">
      <c r="A33" s="1370"/>
      <c r="B33" s="575"/>
      <c r="C33" s="585"/>
      <c r="D33" s="585"/>
      <c r="E33" s="585"/>
      <c r="F33" s="585"/>
      <c r="G33" s="622"/>
      <c r="H33" s="586"/>
      <c r="I33" s="587"/>
      <c r="J33" s="588"/>
      <c r="K33" s="588"/>
      <c r="L33" s="586"/>
      <c r="M33" s="521"/>
      <c r="N33" s="589"/>
      <c r="O33" s="588"/>
      <c r="P33" s="750"/>
      <c r="Q33" s="591"/>
      <c r="R33" s="592"/>
      <c r="S33" s="593"/>
      <c r="T33" s="593"/>
      <c r="U33" s="570"/>
      <c r="V33" s="594"/>
      <c r="W33" s="570"/>
      <c r="X33" s="515"/>
      <c r="Y33" s="515"/>
      <c r="Z33" s="515"/>
      <c r="AA33" s="515"/>
      <c r="AB33" s="515"/>
      <c r="AC33" s="515"/>
      <c r="AD33" s="570"/>
      <c r="AE33" s="515"/>
      <c r="AF33" s="570"/>
      <c r="AG33" s="515"/>
      <c r="AH33" s="515"/>
      <c r="AI33" s="516"/>
      <c r="AJ33" s="517"/>
      <c r="AK33" s="518"/>
      <c r="AL33" s="519"/>
      <c r="AM33" s="520"/>
      <c r="AN33" s="521"/>
      <c r="AO33" s="520"/>
      <c r="AP33" s="515"/>
      <c r="AQ33" s="522"/>
      <c r="AR33" s="517"/>
      <c r="AS33" s="517"/>
      <c r="AT33" s="515"/>
      <c r="AU33" s="522"/>
      <c r="AV33" s="517"/>
      <c r="AW33" s="523"/>
      <c r="AX33" s="515"/>
      <c r="AY33" s="522"/>
      <c r="AZ33" s="517"/>
      <c r="BA33" s="524"/>
      <c r="BB33" s="520"/>
      <c r="BC33" s="525"/>
      <c r="BD33" s="525"/>
      <c r="BG33" s="527"/>
    </row>
    <row r="35" spans="1:59" s="422" customFormat="1" ht="17.25" customHeight="1" x14ac:dyDescent="0.2">
      <c r="A35" s="1366">
        <f>C35</f>
        <v>2</v>
      </c>
      <c r="B35" s="742" t="s">
        <v>4187</v>
      </c>
      <c r="C35" s="556">
        <v>2</v>
      </c>
      <c r="D35" s="553" t="str">
        <f>VLOOKUP(C35,RUAS,2,FALSE)</f>
        <v>JAKE - GERINGGING BARU</v>
      </c>
      <c r="E35" s="553"/>
      <c r="F35" s="421"/>
      <c r="G35" s="611"/>
      <c r="I35" s="423"/>
      <c r="J35" s="424"/>
      <c r="K35" s="424"/>
      <c r="M35" s="680"/>
      <c r="P35" s="611"/>
      <c r="U35" s="611"/>
      <c r="V35" s="528"/>
      <c r="W35" s="611"/>
      <c r="Y35" s="425"/>
      <c r="Z35" s="425"/>
      <c r="AA35" s="425"/>
      <c r="AB35" s="425"/>
      <c r="AC35" s="425"/>
      <c r="AD35" s="563"/>
      <c r="AE35" s="425"/>
      <c r="AF35" s="563"/>
      <c r="AG35" s="425"/>
      <c r="AH35" s="425"/>
      <c r="AI35" s="425"/>
      <c r="AJ35" s="425"/>
      <c r="AK35" s="425"/>
      <c r="AL35" s="425"/>
      <c r="AM35" s="425"/>
      <c r="AN35" s="425"/>
      <c r="AO35" s="425"/>
      <c r="AP35" s="425"/>
      <c r="AQ35" s="425"/>
      <c r="AR35" s="425"/>
      <c r="AS35" s="425"/>
      <c r="AT35" s="425"/>
      <c r="AU35" s="425"/>
      <c r="AV35" s="425"/>
      <c r="AW35" s="425"/>
      <c r="AX35" s="425"/>
      <c r="AY35" s="425"/>
      <c r="AZ35" s="425"/>
      <c r="BA35" s="425"/>
      <c r="BB35" s="425"/>
    </row>
    <row r="36" spans="1:59" s="431" customFormat="1" ht="17.25" customHeight="1" x14ac:dyDescent="0.2">
      <c r="A36" s="1367"/>
      <c r="B36" s="1968" t="s">
        <v>5</v>
      </c>
      <c r="C36" s="1968" t="s">
        <v>2280</v>
      </c>
      <c r="D36" s="1968" t="s">
        <v>4157</v>
      </c>
      <c r="E36" s="1968" t="s">
        <v>4158</v>
      </c>
      <c r="F36" s="1968"/>
      <c r="G36" s="1969" t="s">
        <v>4159</v>
      </c>
      <c r="H36" s="1968" t="s">
        <v>4160</v>
      </c>
      <c r="I36" s="1968"/>
      <c r="J36" s="1968" t="s">
        <v>4161</v>
      </c>
      <c r="K36" s="1964" t="s">
        <v>4162</v>
      </c>
      <c r="L36" s="1968" t="s">
        <v>4163</v>
      </c>
      <c r="M36" s="1971" t="s">
        <v>4164</v>
      </c>
      <c r="N36" s="1962" t="s">
        <v>4165</v>
      </c>
      <c r="O36" s="1968" t="s">
        <v>4166</v>
      </c>
      <c r="P36" s="1972" t="s">
        <v>4167</v>
      </c>
      <c r="Q36" s="1973"/>
      <c r="R36" s="704" t="s">
        <v>4168</v>
      </c>
      <c r="S36" s="1972" t="s">
        <v>4169</v>
      </c>
      <c r="T36" s="1974"/>
      <c r="U36" s="1973"/>
      <c r="V36" s="1975" t="s">
        <v>4170</v>
      </c>
      <c r="W36" s="1975"/>
      <c r="X36" s="1960" t="s">
        <v>4171</v>
      </c>
      <c r="Y36" s="1959"/>
      <c r="Z36" s="705"/>
      <c r="AA36" s="426"/>
      <c r="AB36" s="426"/>
      <c r="AC36" s="426"/>
      <c r="AD36" s="564"/>
      <c r="AE36" s="426"/>
      <c r="AF36" s="564"/>
      <c r="AG36" s="426"/>
      <c r="AH36" s="426"/>
      <c r="AI36" s="427"/>
      <c r="AJ36" s="427"/>
      <c r="AK36" s="427"/>
      <c r="AL36" s="427"/>
      <c r="AM36" s="428"/>
      <c r="AN36" s="427"/>
      <c r="AO36" s="427"/>
      <c r="AP36" s="426"/>
      <c r="AQ36" s="427"/>
      <c r="AR36" s="427"/>
      <c r="AS36" s="427"/>
      <c r="AT36" s="426"/>
      <c r="AU36" s="427"/>
      <c r="AV36" s="427"/>
      <c r="AW36" s="427"/>
      <c r="AX36" s="426"/>
      <c r="AY36" s="427"/>
      <c r="AZ36" s="427"/>
      <c r="BA36" s="427"/>
      <c r="BB36" s="429"/>
      <c r="BC36" s="430"/>
      <c r="BD36" s="430"/>
    </row>
    <row r="37" spans="1:59" s="431" customFormat="1" ht="17.25" customHeight="1" x14ac:dyDescent="0.2">
      <c r="A37" s="1367"/>
      <c r="B37" s="1968"/>
      <c r="C37" s="1968"/>
      <c r="D37" s="1968"/>
      <c r="E37" s="1968"/>
      <c r="F37" s="1968"/>
      <c r="G37" s="1969"/>
      <c r="H37" s="1968"/>
      <c r="I37" s="1968"/>
      <c r="J37" s="1968"/>
      <c r="K37" s="1970"/>
      <c r="L37" s="1968"/>
      <c r="M37" s="1971"/>
      <c r="N37" s="1963"/>
      <c r="O37" s="1968"/>
      <c r="P37" s="2037" t="s">
        <v>4172</v>
      </c>
      <c r="Q37" s="1960" t="s">
        <v>4173</v>
      </c>
      <c r="R37" s="1962" t="s">
        <v>4159</v>
      </c>
      <c r="S37" s="1962" t="s">
        <v>4174</v>
      </c>
      <c r="T37" s="1964" t="s">
        <v>4175</v>
      </c>
      <c r="U37" s="1966" t="s">
        <v>4159</v>
      </c>
      <c r="V37" s="1975"/>
      <c r="W37" s="1975"/>
      <c r="X37" s="1976"/>
      <c r="Y37" s="1959"/>
      <c r="Z37" s="705"/>
      <c r="AA37" s="426"/>
      <c r="AB37" s="426"/>
      <c r="AC37" s="426"/>
      <c r="AD37" s="564"/>
      <c r="AE37" s="426"/>
      <c r="AF37" s="564"/>
      <c r="AG37" s="426"/>
      <c r="AH37" s="426"/>
      <c r="AI37" s="427"/>
      <c r="AJ37" s="427"/>
      <c r="AK37" s="426"/>
      <c r="AL37" s="427"/>
      <c r="AM37" s="428"/>
      <c r="AN37" s="427"/>
      <c r="AO37" s="427"/>
      <c r="AP37" s="432"/>
      <c r="AQ37" s="427"/>
      <c r="AR37" s="427"/>
      <c r="AS37" s="427"/>
      <c r="AT37" s="432"/>
      <c r="AU37" s="427"/>
      <c r="AV37" s="427"/>
      <c r="AW37" s="427"/>
      <c r="AX37" s="432"/>
      <c r="AY37" s="427"/>
      <c r="AZ37" s="427"/>
      <c r="BA37" s="427"/>
      <c r="BB37" s="429"/>
      <c r="BC37" s="430"/>
      <c r="BD37" s="430"/>
    </row>
    <row r="38" spans="1:59" s="431" customFormat="1" ht="17.25" customHeight="1" x14ac:dyDescent="0.2">
      <c r="A38" s="1367"/>
      <c r="B38" s="1968"/>
      <c r="C38" s="1968"/>
      <c r="D38" s="1968"/>
      <c r="E38" s="433" t="s">
        <v>4176</v>
      </c>
      <c r="F38" s="434" t="s">
        <v>2288</v>
      </c>
      <c r="G38" s="1969"/>
      <c r="H38" s="703" t="s">
        <v>2288</v>
      </c>
      <c r="I38" s="703" t="s">
        <v>4177</v>
      </c>
      <c r="J38" s="1968"/>
      <c r="K38" s="1965"/>
      <c r="L38" s="435" t="s">
        <v>2288</v>
      </c>
      <c r="M38" s="681" t="s">
        <v>2288</v>
      </c>
      <c r="N38" s="703" t="s">
        <v>2288</v>
      </c>
      <c r="O38" s="1968"/>
      <c r="P38" s="2038"/>
      <c r="Q38" s="1961"/>
      <c r="R38" s="1963"/>
      <c r="S38" s="1963"/>
      <c r="T38" s="1965"/>
      <c r="U38" s="1967"/>
      <c r="V38" s="703" t="s">
        <v>4178</v>
      </c>
      <c r="W38" s="707" t="s">
        <v>4159</v>
      </c>
      <c r="X38" s="1961"/>
      <c r="Y38" s="436"/>
      <c r="Z38" s="436"/>
      <c r="AA38" s="426"/>
      <c r="AB38" s="426"/>
      <c r="AC38" s="426"/>
      <c r="AD38" s="564"/>
      <c r="AE38" s="426"/>
      <c r="AF38" s="564"/>
      <c r="AG38" s="426"/>
      <c r="AH38" s="426"/>
      <c r="AI38" s="427"/>
      <c r="AJ38" s="432"/>
      <c r="AK38" s="432"/>
      <c r="AL38" s="427"/>
      <c r="AM38" s="428"/>
      <c r="AN38" s="432"/>
      <c r="AO38" s="427"/>
      <c r="AP38" s="432"/>
      <c r="AQ38" s="432"/>
      <c r="AR38" s="427"/>
      <c r="AS38" s="427"/>
      <c r="AT38" s="432"/>
      <c r="AU38" s="432"/>
      <c r="AV38" s="427"/>
      <c r="AW38" s="427"/>
      <c r="AX38" s="432"/>
      <c r="AY38" s="432"/>
      <c r="AZ38" s="427"/>
      <c r="BA38" s="427"/>
      <c r="BB38" s="429"/>
      <c r="BC38" s="430"/>
      <c r="BD38" s="430"/>
    </row>
    <row r="39" spans="1:59" s="461" customFormat="1" ht="17.25" customHeight="1" x14ac:dyDescent="0.2">
      <c r="A39" s="1368" t="str">
        <f>$D$35&amp;S39</f>
        <v>JAKE - GERINGGING BARU2001</v>
      </c>
      <c r="B39" s="1373">
        <v>1</v>
      </c>
      <c r="C39" s="529" t="str">
        <f>'KIB D'!E24</f>
        <v>JALAN JAKE-GERINGGING BARU</v>
      </c>
      <c r="D39" s="437" t="str">
        <f>'KIB D'!G24</f>
        <v>04.13.01.03.06</v>
      </c>
      <c r="E39" s="438"/>
      <c r="F39" s="439">
        <f>'KIB D'!N24</f>
        <v>2001</v>
      </c>
      <c r="G39" s="623">
        <v>20175343360</v>
      </c>
      <c r="H39" s="440">
        <f>VLOOKUP(LEFT(D39,8),UE,4)</f>
        <v>10</v>
      </c>
      <c r="I39" s="441"/>
      <c r="J39" s="442">
        <f>(F39+N39)-1</f>
        <v>2010</v>
      </c>
      <c r="K39" s="443"/>
      <c r="L39" s="440"/>
      <c r="M39" s="746">
        <f>IF(H39+L39&gt;$H39,$H39-H39,L39)</f>
        <v>0</v>
      </c>
      <c r="N39" s="444">
        <f>H39+M39</f>
        <v>10</v>
      </c>
      <c r="O39" s="442">
        <f>(F39+N39)-1</f>
        <v>2010</v>
      </c>
      <c r="P39" s="617">
        <f>G39</f>
        <v>20175343360</v>
      </c>
      <c r="Q39" s="445">
        <v>0</v>
      </c>
      <c r="R39" s="445">
        <f>(P39)/N39</f>
        <v>2017534336</v>
      </c>
      <c r="S39" s="446">
        <f>F39</f>
        <v>2001</v>
      </c>
      <c r="T39" s="447">
        <v>1</v>
      </c>
      <c r="U39" s="613">
        <f>R39*T39</f>
        <v>2017534336</v>
      </c>
      <c r="V39" s="442">
        <f>F39</f>
        <v>2001</v>
      </c>
      <c r="W39" s="617">
        <f>IF(OR(AND(ISBLANK(F39),ISBLANK(G39)),ISTEXT(F39),ISTEXT(G39)),"",G39-R39)</f>
        <v>18157809024</v>
      </c>
      <c r="X39" s="448"/>
      <c r="Y39" s="449"/>
      <c r="Z39" s="449"/>
      <c r="AA39" s="693"/>
      <c r="AB39" s="452"/>
      <c r="AC39" s="452"/>
      <c r="AD39" s="571"/>
      <c r="AE39" s="452"/>
      <c r="AF39" s="571"/>
      <c r="AG39" s="452"/>
      <c r="AH39" s="452"/>
      <c r="AI39" s="453"/>
      <c r="AJ39" s="449"/>
      <c r="AK39" s="453"/>
      <c r="AL39" s="454"/>
      <c r="AM39" s="455"/>
      <c r="AN39" s="456"/>
      <c r="AO39" s="455"/>
      <c r="AP39" s="452"/>
      <c r="AQ39" s="457"/>
      <c r="AR39" s="449"/>
      <c r="AS39" s="449"/>
      <c r="AT39" s="452"/>
      <c r="AU39" s="457"/>
      <c r="AV39" s="449"/>
      <c r="AW39" s="458"/>
      <c r="AX39" s="452"/>
      <c r="AY39" s="457"/>
      <c r="AZ39" s="449"/>
      <c r="BA39" s="459"/>
      <c r="BB39" s="455"/>
      <c r="BC39" s="460"/>
      <c r="BD39" s="460"/>
      <c r="BG39" s="462"/>
    </row>
    <row r="40" spans="1:59" s="461" customFormat="1" ht="17.25" customHeight="1" x14ac:dyDescent="0.2">
      <c r="A40" s="1368" t="str">
        <f t="shared" ref="A40:A49" si="21">$D$35&amp;S40</f>
        <v>JAKE - GERINGGING BARU2010</v>
      </c>
      <c r="B40" s="1373"/>
      <c r="C40" s="530"/>
      <c r="D40" s="489"/>
      <c r="E40" s="558"/>
      <c r="F40" s="559">
        <v>2010</v>
      </c>
      <c r="G40" s="619">
        <v>0</v>
      </c>
      <c r="H40" s="464">
        <f>IF(N39-(F40-F39)&lt;=0,0,(N39-(F40-F39)))</f>
        <v>1</v>
      </c>
      <c r="I40" s="467"/>
      <c r="J40" s="468">
        <f>(F40+N40)-1</f>
        <v>2010</v>
      </c>
      <c r="K40" s="490">
        <f>IF(G40=0,0,IF(H40=10,100%,G40/W39))</f>
        <v>0</v>
      </c>
      <c r="L40" s="469">
        <f>IF(K40=0%,0,IF(K40&lt;=30%,2,IF(K40&lt;=60%,5,10)))</f>
        <v>0</v>
      </c>
      <c r="M40" s="683">
        <f>IF(OR(AND(ISBLANK(E40),ISBLANK(G40)),ISTEXT(E40),ISTEXT(G40)),"",IF(H40+L40&gt;$H$39,$H$39-H40,L40))</f>
        <v>0</v>
      </c>
      <c r="N40" s="470">
        <f>IF(OR(AND(ISBLANK(F40),ISBLANK(G40)),ISTEXT(F40),ISTEXT(G40)),"",H40+M40)</f>
        <v>1</v>
      </c>
      <c r="O40" s="468">
        <f>(F40+N40)-1</f>
        <v>2010</v>
      </c>
      <c r="P40" s="616">
        <f>W39</f>
        <v>18157809024</v>
      </c>
      <c r="Q40" s="472">
        <f>P40+G40</f>
        <v>18157809024</v>
      </c>
      <c r="R40" s="472">
        <f>IF(L40=0,R39,Q40/N40)</f>
        <v>2017534336</v>
      </c>
      <c r="S40" s="709">
        <f>F40</f>
        <v>2010</v>
      </c>
      <c r="T40" s="470">
        <f>S40-S39</f>
        <v>9</v>
      </c>
      <c r="U40" s="612">
        <f>R40*T40</f>
        <v>18157809024</v>
      </c>
      <c r="V40" s="464">
        <f>F40</f>
        <v>2010</v>
      </c>
      <c r="W40" s="612">
        <f>IF(OR(AND(ISBLANK(F40),ISBLANK(G40)),ISTEXT(F40),ISTEXT(G40)),"",Q40-U40)</f>
        <v>0</v>
      </c>
      <c r="X40" s="473"/>
      <c r="Y40" s="449"/>
      <c r="Z40" s="449"/>
      <c r="AA40" s="693"/>
      <c r="AB40" s="452"/>
      <c r="AC40" s="452"/>
      <c r="AD40" s="571"/>
      <c r="AE40" s="452"/>
      <c r="AF40" s="571"/>
      <c r="AG40" s="452"/>
      <c r="AH40" s="452"/>
      <c r="AI40" s="453"/>
      <c r="AJ40" s="449"/>
      <c r="AK40" s="453"/>
      <c r="AL40" s="454"/>
      <c r="AM40" s="455"/>
      <c r="AN40" s="456"/>
      <c r="AO40" s="455"/>
      <c r="AP40" s="452"/>
      <c r="AQ40" s="457"/>
      <c r="AR40" s="449"/>
      <c r="AS40" s="449"/>
      <c r="AT40" s="452"/>
      <c r="AU40" s="457"/>
      <c r="AV40" s="449"/>
      <c r="AW40" s="458"/>
      <c r="AX40" s="452"/>
      <c r="AY40" s="457"/>
      <c r="AZ40" s="449"/>
      <c r="BA40" s="459"/>
      <c r="BB40" s="455"/>
      <c r="BC40" s="460"/>
      <c r="BD40" s="460"/>
      <c r="BG40" s="462"/>
    </row>
    <row r="41" spans="1:59" s="461" customFormat="1" ht="17.25" customHeight="1" x14ac:dyDescent="0.2">
      <c r="A41" s="1368" t="str">
        <f t="shared" si="21"/>
        <v>JAKE - GERINGGING BARU2011</v>
      </c>
      <c r="B41" s="1373"/>
      <c r="C41" s="530"/>
      <c r="D41" s="489"/>
      <c r="E41" s="558"/>
      <c r="F41" s="559">
        <v>2011</v>
      </c>
      <c r="G41" s="619">
        <v>0</v>
      </c>
      <c r="H41" s="464">
        <f t="shared" ref="H41:H48" si="22">IF(N40-(F41-F40)&lt;=0,0,(N40-(F41-F40)))</f>
        <v>0</v>
      </c>
      <c r="I41" s="467"/>
      <c r="J41" s="468">
        <f t="shared" ref="J41:J48" si="23">(F41+N41)-1</f>
        <v>2010</v>
      </c>
      <c r="K41" s="490">
        <f t="shared" ref="K41:K48" si="24">IF(G41=0,0,IF(H41=10,100%,G41/W40))</f>
        <v>0</v>
      </c>
      <c r="L41" s="469">
        <f t="shared" ref="L41:L48" si="25">IF(K41=0%,0,IF(K41&lt;=30%,2,IF(K41&lt;=60%,5,10)))</f>
        <v>0</v>
      </c>
      <c r="M41" s="683">
        <f t="shared" ref="M41:M48" si="26">IF(OR(AND(ISBLANK(E41),ISBLANK(G41)),ISTEXT(E41),ISTEXT(G41)),"",IF(H41+L41&gt;$H$39,$H$39-H41,L41))</f>
        <v>0</v>
      </c>
      <c r="N41" s="470">
        <f t="shared" ref="N41:N48" si="27">IF(OR(AND(ISBLANK(F41),ISBLANK(G41)),ISTEXT(F41),ISTEXT(G41)),"",H41+M41)</f>
        <v>0</v>
      </c>
      <c r="O41" s="468">
        <f t="shared" ref="O41:O48" si="28">(F41+N41)-1</f>
        <v>2010</v>
      </c>
      <c r="P41" s="616">
        <f t="shared" ref="P41:P48" si="29">W40</f>
        <v>0</v>
      </c>
      <c r="Q41" s="472">
        <f t="shared" ref="Q41:Q48" si="30">P41+G41</f>
        <v>0</v>
      </c>
      <c r="R41" s="472">
        <v>0</v>
      </c>
      <c r="S41" s="723">
        <f t="shared" ref="S41:S48" si="31">F41</f>
        <v>2011</v>
      </c>
      <c r="T41" s="470">
        <f t="shared" ref="T41:T48" si="32">S41-S40</f>
        <v>1</v>
      </c>
      <c r="U41" s="612">
        <f t="shared" ref="U41:U48" si="33">R41*T41</f>
        <v>0</v>
      </c>
      <c r="V41" s="464">
        <f t="shared" ref="V41:V48" si="34">F41</f>
        <v>2011</v>
      </c>
      <c r="W41" s="612">
        <f t="shared" ref="W41:W48" si="35">IF(OR(AND(ISBLANK(F41),ISBLANK(G41)),ISTEXT(F41),ISTEXT(G41)),"",Q41-U41)</f>
        <v>0</v>
      </c>
      <c r="X41" s="473"/>
      <c r="Y41" s="449"/>
      <c r="Z41" s="449"/>
      <c r="AA41" s="693"/>
      <c r="AB41" s="452"/>
      <c r="AC41" s="452"/>
      <c r="AD41" s="571"/>
      <c r="AE41" s="452"/>
      <c r="AF41" s="571"/>
      <c r="AG41" s="452"/>
      <c r="AH41" s="452"/>
      <c r="AI41" s="453"/>
      <c r="AJ41" s="449"/>
      <c r="AK41" s="453"/>
      <c r="AL41" s="454"/>
      <c r="AM41" s="455"/>
      <c r="AN41" s="456"/>
      <c r="AO41" s="455"/>
      <c r="AP41" s="452"/>
      <c r="AQ41" s="457"/>
      <c r="AR41" s="449"/>
      <c r="AS41" s="449"/>
      <c r="AT41" s="452"/>
      <c r="AU41" s="457"/>
      <c r="AV41" s="449"/>
      <c r="AW41" s="458"/>
      <c r="AX41" s="452"/>
      <c r="AY41" s="457"/>
      <c r="AZ41" s="449"/>
      <c r="BA41" s="459"/>
      <c r="BB41" s="455"/>
      <c r="BC41" s="460"/>
      <c r="BD41" s="460"/>
      <c r="BG41" s="462"/>
    </row>
    <row r="42" spans="1:59" s="461" customFormat="1" ht="17.25" customHeight="1" x14ac:dyDescent="0.2">
      <c r="A42" s="1368" t="str">
        <f t="shared" si="21"/>
        <v>JAKE - GERINGGING BARU2012</v>
      </c>
      <c r="B42" s="1373"/>
      <c r="C42" s="530"/>
      <c r="D42" s="489"/>
      <c r="E42" s="558"/>
      <c r="F42" s="559">
        <v>2012</v>
      </c>
      <c r="G42" s="619">
        <v>0</v>
      </c>
      <c r="H42" s="464">
        <f t="shared" si="22"/>
        <v>0</v>
      </c>
      <c r="I42" s="467"/>
      <c r="J42" s="468">
        <f t="shared" si="23"/>
        <v>2011</v>
      </c>
      <c r="K42" s="490">
        <f t="shared" si="24"/>
        <v>0</v>
      </c>
      <c r="L42" s="469">
        <f t="shared" si="25"/>
        <v>0</v>
      </c>
      <c r="M42" s="683">
        <f t="shared" si="26"/>
        <v>0</v>
      </c>
      <c r="N42" s="470">
        <f t="shared" si="27"/>
        <v>0</v>
      </c>
      <c r="O42" s="468">
        <f t="shared" si="28"/>
        <v>2011</v>
      </c>
      <c r="P42" s="616">
        <f t="shared" si="29"/>
        <v>0</v>
      </c>
      <c r="Q42" s="472">
        <f t="shared" si="30"/>
        <v>0</v>
      </c>
      <c r="R42" s="472">
        <f t="shared" ref="R42:R48" si="36">IF(L42=0,R41,Q42/N42)</f>
        <v>0</v>
      </c>
      <c r="S42" s="723">
        <f t="shared" si="31"/>
        <v>2012</v>
      </c>
      <c r="T42" s="470">
        <f t="shared" si="32"/>
        <v>1</v>
      </c>
      <c r="U42" s="612">
        <f t="shared" si="33"/>
        <v>0</v>
      </c>
      <c r="V42" s="464">
        <f t="shared" si="34"/>
        <v>2012</v>
      </c>
      <c r="W42" s="612">
        <f t="shared" si="35"/>
        <v>0</v>
      </c>
      <c r="X42" s="473"/>
      <c r="Y42" s="449"/>
      <c r="Z42" s="449"/>
      <c r="AA42" s="694"/>
      <c r="AB42" s="692"/>
      <c r="AC42" s="692"/>
      <c r="AD42" s="695"/>
      <c r="AE42" s="452"/>
      <c r="AF42" s="571"/>
      <c r="AG42" s="452"/>
      <c r="AH42" s="452"/>
      <c r="AI42" s="453"/>
      <c r="AJ42" s="449"/>
      <c r="AK42" s="453"/>
      <c r="AL42" s="454"/>
      <c r="AM42" s="455"/>
      <c r="AN42" s="456"/>
      <c r="AO42" s="455"/>
      <c r="AP42" s="452"/>
      <c r="AQ42" s="457"/>
      <c r="AR42" s="449"/>
      <c r="AS42" s="449"/>
      <c r="AT42" s="452"/>
      <c r="AU42" s="457"/>
      <c r="AV42" s="449"/>
      <c r="AW42" s="458"/>
      <c r="AX42" s="452"/>
      <c r="AY42" s="457"/>
      <c r="AZ42" s="449"/>
      <c r="BA42" s="459"/>
      <c r="BB42" s="455"/>
      <c r="BC42" s="460"/>
      <c r="BD42" s="460"/>
      <c r="BG42" s="462"/>
    </row>
    <row r="43" spans="1:59" s="461" customFormat="1" ht="17.25" customHeight="1" x14ac:dyDescent="0.2">
      <c r="A43" s="1368" t="str">
        <f t="shared" si="21"/>
        <v>JAKE - GERINGGING BARU2013</v>
      </c>
      <c r="B43" s="1373"/>
      <c r="C43" s="530"/>
      <c r="D43" s="489"/>
      <c r="E43" s="558"/>
      <c r="F43" s="559">
        <v>2013</v>
      </c>
      <c r="G43" s="619">
        <v>0</v>
      </c>
      <c r="H43" s="464">
        <f t="shared" si="22"/>
        <v>0</v>
      </c>
      <c r="I43" s="467"/>
      <c r="J43" s="468">
        <f t="shared" si="23"/>
        <v>2012</v>
      </c>
      <c r="K43" s="490">
        <f t="shared" si="24"/>
        <v>0</v>
      </c>
      <c r="L43" s="469">
        <f t="shared" si="25"/>
        <v>0</v>
      </c>
      <c r="M43" s="683">
        <f t="shared" si="26"/>
        <v>0</v>
      </c>
      <c r="N43" s="470">
        <f t="shared" si="27"/>
        <v>0</v>
      </c>
      <c r="O43" s="468">
        <f t="shared" si="28"/>
        <v>2012</v>
      </c>
      <c r="P43" s="616">
        <f t="shared" si="29"/>
        <v>0</v>
      </c>
      <c r="Q43" s="472">
        <f t="shared" si="30"/>
        <v>0</v>
      </c>
      <c r="R43" s="472">
        <f t="shared" si="36"/>
        <v>0</v>
      </c>
      <c r="S43" s="723">
        <f t="shared" si="31"/>
        <v>2013</v>
      </c>
      <c r="T43" s="470">
        <f t="shared" si="32"/>
        <v>1</v>
      </c>
      <c r="U43" s="612">
        <f t="shared" si="33"/>
        <v>0</v>
      </c>
      <c r="V43" s="464">
        <f t="shared" si="34"/>
        <v>2013</v>
      </c>
      <c r="W43" s="612">
        <f t="shared" si="35"/>
        <v>0</v>
      </c>
      <c r="X43" s="473"/>
      <c r="Y43" s="449"/>
      <c r="Z43" s="449"/>
      <c r="AA43" s="554" t="s">
        <v>4179</v>
      </c>
      <c r="AB43" s="452"/>
      <c r="AC43" s="452"/>
      <c r="AD43" s="566"/>
      <c r="AE43" s="452"/>
      <c r="AF43" s="571"/>
      <c r="AG43" s="452"/>
      <c r="AH43" s="452"/>
      <c r="AI43" s="453"/>
      <c r="AJ43" s="449"/>
      <c r="AK43" s="453"/>
      <c r="AL43" s="454"/>
      <c r="AM43" s="455"/>
      <c r="AN43" s="456"/>
      <c r="AO43" s="455"/>
      <c r="AP43" s="452"/>
      <c r="AQ43" s="457"/>
      <c r="AR43" s="449"/>
      <c r="AS43" s="449"/>
      <c r="AT43" s="452"/>
      <c r="AU43" s="457"/>
      <c r="AV43" s="449"/>
      <c r="AW43" s="458"/>
      <c r="AX43" s="452"/>
      <c r="AY43" s="457"/>
      <c r="AZ43" s="449"/>
      <c r="BA43" s="459"/>
      <c r="BB43" s="455"/>
      <c r="BC43" s="460"/>
      <c r="BD43" s="460"/>
      <c r="BG43" s="462"/>
    </row>
    <row r="44" spans="1:59" s="461" customFormat="1" ht="17.25" customHeight="1" x14ac:dyDescent="0.2">
      <c r="A44" s="1368" t="str">
        <f t="shared" si="21"/>
        <v>JAKE - GERINGGING BARU2014</v>
      </c>
      <c r="B44" s="1373"/>
      <c r="C44" s="530"/>
      <c r="D44" s="489"/>
      <c r="E44" s="558"/>
      <c r="F44" s="559">
        <v>2014</v>
      </c>
      <c r="G44" s="619">
        <v>0</v>
      </c>
      <c r="H44" s="464">
        <f t="shared" si="22"/>
        <v>0</v>
      </c>
      <c r="I44" s="467"/>
      <c r="J44" s="468">
        <f t="shared" si="23"/>
        <v>2013</v>
      </c>
      <c r="K44" s="490">
        <f t="shared" si="24"/>
        <v>0</v>
      </c>
      <c r="L44" s="469">
        <f t="shared" si="25"/>
        <v>0</v>
      </c>
      <c r="M44" s="683">
        <f t="shared" si="26"/>
        <v>0</v>
      </c>
      <c r="N44" s="470">
        <f t="shared" si="27"/>
        <v>0</v>
      </c>
      <c r="O44" s="468">
        <f t="shared" si="28"/>
        <v>2013</v>
      </c>
      <c r="P44" s="616">
        <f t="shared" si="29"/>
        <v>0</v>
      </c>
      <c r="Q44" s="472">
        <f t="shared" si="30"/>
        <v>0</v>
      </c>
      <c r="R44" s="472">
        <f t="shared" si="36"/>
        <v>0</v>
      </c>
      <c r="S44" s="723">
        <f t="shared" si="31"/>
        <v>2014</v>
      </c>
      <c r="T44" s="470">
        <f t="shared" si="32"/>
        <v>1</v>
      </c>
      <c r="U44" s="612">
        <f t="shared" si="33"/>
        <v>0</v>
      </c>
      <c r="V44" s="464">
        <f t="shared" si="34"/>
        <v>2014</v>
      </c>
      <c r="W44" s="612">
        <f t="shared" si="35"/>
        <v>0</v>
      </c>
      <c r="X44" s="473"/>
      <c r="Y44" s="449"/>
      <c r="Z44" s="449"/>
      <c r="AA44" s="554"/>
      <c r="AB44" s="452"/>
      <c r="AC44" s="452"/>
      <c r="AD44" s="566"/>
      <c r="AE44" s="452"/>
      <c r="AF44" s="571"/>
      <c r="AG44" s="452"/>
      <c r="AH44" s="452"/>
      <c r="AI44" s="453"/>
      <c r="AJ44" s="449"/>
      <c r="AK44" s="453"/>
      <c r="AL44" s="454"/>
      <c r="AM44" s="455"/>
      <c r="AN44" s="456"/>
      <c r="AO44" s="455"/>
      <c r="AP44" s="452"/>
      <c r="AQ44" s="457"/>
      <c r="AR44" s="449"/>
      <c r="AS44" s="449"/>
      <c r="AT44" s="452"/>
      <c r="AU44" s="457"/>
      <c r="AV44" s="449"/>
      <c r="AW44" s="458"/>
      <c r="AX44" s="452"/>
      <c r="AY44" s="457"/>
      <c r="AZ44" s="449"/>
      <c r="BA44" s="459"/>
      <c r="BB44" s="455"/>
      <c r="BC44" s="460"/>
      <c r="BD44" s="460"/>
      <c r="BG44" s="462"/>
    </row>
    <row r="45" spans="1:59" s="486" customFormat="1" ht="17.25" customHeight="1" x14ac:dyDescent="0.2">
      <c r="A45" s="1368" t="str">
        <f t="shared" si="21"/>
        <v>JAKE - GERINGGING BARU2015</v>
      </c>
      <c r="B45" s="1373"/>
      <c r="C45" s="463" t="str">
        <f>'KIB D'!E25</f>
        <v>PENINGKATAN JALAN JAKE - GERINGGING BARU</v>
      </c>
      <c r="D45" s="489" t="str">
        <f>'KIB D'!G25</f>
        <v>04.13.01.03.06</v>
      </c>
      <c r="E45" s="465"/>
      <c r="F45" s="466">
        <f>'KIB D'!N25</f>
        <v>2015</v>
      </c>
      <c r="G45" s="620">
        <v>2125785396</v>
      </c>
      <c r="H45" s="557">
        <f>VLOOKUP(LEFT(D45,8),UE,4)</f>
        <v>10</v>
      </c>
      <c r="I45" s="467"/>
      <c r="J45" s="468">
        <f t="shared" si="23"/>
        <v>2024</v>
      </c>
      <c r="K45" s="490">
        <f t="shared" si="24"/>
        <v>1</v>
      </c>
      <c r="L45" s="469">
        <f t="shared" si="25"/>
        <v>10</v>
      </c>
      <c r="M45" s="683">
        <f t="shared" si="26"/>
        <v>0</v>
      </c>
      <c r="N45" s="470">
        <f t="shared" si="27"/>
        <v>10</v>
      </c>
      <c r="O45" s="468">
        <f t="shared" si="28"/>
        <v>2024</v>
      </c>
      <c r="P45" s="616">
        <f t="shared" si="29"/>
        <v>0</v>
      </c>
      <c r="Q45" s="472">
        <f t="shared" si="30"/>
        <v>2125785396</v>
      </c>
      <c r="R45" s="472">
        <f t="shared" si="36"/>
        <v>212578539.59999999</v>
      </c>
      <c r="S45" s="723">
        <f t="shared" si="31"/>
        <v>2015</v>
      </c>
      <c r="T45" s="470">
        <f t="shared" si="32"/>
        <v>1</v>
      </c>
      <c r="U45" s="612">
        <f t="shared" si="33"/>
        <v>212578539.59999999</v>
      </c>
      <c r="V45" s="464">
        <f t="shared" si="34"/>
        <v>2015</v>
      </c>
      <c r="W45" s="612">
        <f t="shared" si="35"/>
        <v>1913206856.4000001</v>
      </c>
      <c r="X45" s="473"/>
      <c r="Y45" s="474"/>
      <c r="Z45" s="449"/>
      <c r="AA45" s="475" t="s">
        <v>4180</v>
      </c>
      <c r="AB45" s="476"/>
      <c r="AC45" s="476"/>
      <c r="AD45" s="567">
        <f>G52</f>
        <v>37920658640.407501</v>
      </c>
      <c r="AE45" s="476"/>
      <c r="AF45" s="568"/>
      <c r="AG45" s="476"/>
      <c r="AH45" s="476"/>
      <c r="AI45" s="477"/>
      <c r="AJ45" s="478"/>
      <c r="AK45" s="479"/>
      <c r="AL45" s="480"/>
      <c r="AM45" s="474"/>
      <c r="AN45" s="481"/>
      <c r="AO45" s="474"/>
      <c r="AP45" s="476"/>
      <c r="AQ45" s="482"/>
      <c r="AR45" s="478"/>
      <c r="AS45" s="478"/>
      <c r="AT45" s="476"/>
      <c r="AU45" s="482"/>
      <c r="AV45" s="478"/>
      <c r="AW45" s="483"/>
      <c r="AX45" s="476"/>
      <c r="AY45" s="482"/>
      <c r="AZ45" s="478"/>
      <c r="BA45" s="484"/>
      <c r="BB45" s="474"/>
      <c r="BC45" s="485"/>
      <c r="BD45" s="485"/>
      <c r="BG45" s="487"/>
    </row>
    <row r="46" spans="1:59" s="486" customFormat="1" ht="17.25" customHeight="1" x14ac:dyDescent="0.2">
      <c r="A46" s="1368" t="str">
        <f t="shared" si="21"/>
        <v>JAKE - GERINGGING BARU2016</v>
      </c>
      <c r="B46" s="1373"/>
      <c r="C46" s="530" t="s">
        <v>1456</v>
      </c>
      <c r="D46" s="489" t="str">
        <f>'KIB D'!G26</f>
        <v>04.13.01.03.06</v>
      </c>
      <c r="E46" s="465"/>
      <c r="F46" s="466">
        <v>2016</v>
      </c>
      <c r="G46" s="620">
        <v>5335623040.4074984</v>
      </c>
      <c r="H46" s="464">
        <f t="shared" si="22"/>
        <v>9</v>
      </c>
      <c r="I46" s="467"/>
      <c r="J46" s="468">
        <f t="shared" si="23"/>
        <v>2025</v>
      </c>
      <c r="K46" s="490">
        <f t="shared" si="24"/>
        <v>2.788837507329089</v>
      </c>
      <c r="L46" s="469">
        <f t="shared" si="25"/>
        <v>10</v>
      </c>
      <c r="M46" s="683">
        <f t="shared" si="26"/>
        <v>1</v>
      </c>
      <c r="N46" s="470">
        <f t="shared" si="27"/>
        <v>10</v>
      </c>
      <c r="O46" s="468">
        <f t="shared" si="28"/>
        <v>2025</v>
      </c>
      <c r="P46" s="616">
        <f t="shared" si="29"/>
        <v>1913206856.4000001</v>
      </c>
      <c r="Q46" s="472">
        <f t="shared" si="30"/>
        <v>7248829896.8074989</v>
      </c>
      <c r="R46" s="472">
        <f t="shared" si="36"/>
        <v>724882989.68074989</v>
      </c>
      <c r="S46" s="723">
        <f t="shared" si="31"/>
        <v>2016</v>
      </c>
      <c r="T46" s="470">
        <f t="shared" si="32"/>
        <v>1</v>
      </c>
      <c r="U46" s="612">
        <f t="shared" si="33"/>
        <v>724882989.68074989</v>
      </c>
      <c r="V46" s="464">
        <f t="shared" si="34"/>
        <v>2016</v>
      </c>
      <c r="W46" s="612">
        <f t="shared" si="35"/>
        <v>6523946907.126749</v>
      </c>
      <c r="X46" s="473"/>
      <c r="Y46" s="478"/>
      <c r="Z46" s="449"/>
      <c r="AA46" s="475" t="s">
        <v>4181</v>
      </c>
      <c r="AB46" s="491"/>
      <c r="AC46" s="491"/>
      <c r="AD46" s="567">
        <f>U52</f>
        <v>25160155232.076237</v>
      </c>
      <c r="AE46" s="491"/>
      <c r="AF46" s="568"/>
      <c r="AG46" s="491"/>
      <c r="AH46" s="491"/>
      <c r="AI46" s="477"/>
      <c r="AJ46" s="478"/>
      <c r="AK46" s="479"/>
      <c r="AL46" s="480"/>
      <c r="AM46" s="474"/>
      <c r="AN46" s="481"/>
      <c r="AO46" s="474"/>
      <c r="AP46" s="476"/>
      <c r="AQ46" s="482"/>
      <c r="AR46" s="478"/>
      <c r="AS46" s="478"/>
      <c r="AT46" s="476"/>
      <c r="AU46" s="482"/>
      <c r="AV46" s="478"/>
      <c r="AW46" s="483"/>
      <c r="AX46" s="476"/>
      <c r="AY46" s="482"/>
      <c r="AZ46" s="478"/>
      <c r="BA46" s="484"/>
      <c r="BB46" s="474"/>
      <c r="BC46" s="485"/>
      <c r="BD46" s="485"/>
      <c r="BG46" s="487"/>
    </row>
    <row r="47" spans="1:59" s="486" customFormat="1" ht="17.25" customHeight="1" x14ac:dyDescent="0.2">
      <c r="A47" s="1368" t="str">
        <f t="shared" si="21"/>
        <v>JAKE - GERINGGING BARU2017</v>
      </c>
      <c r="B47" s="1373"/>
      <c r="C47" s="463" t="s">
        <v>3062</v>
      </c>
      <c r="D47" s="489" t="str">
        <f>'KIB D'!G27</f>
        <v>04.13.01.03.06</v>
      </c>
      <c r="E47" s="465"/>
      <c r="F47" s="466">
        <v>2017</v>
      </c>
      <c r="G47" s="620">
        <v>2048298000</v>
      </c>
      <c r="H47" s="464">
        <f t="shared" si="22"/>
        <v>9</v>
      </c>
      <c r="I47" s="467"/>
      <c r="J47" s="468">
        <f t="shared" si="23"/>
        <v>2026</v>
      </c>
      <c r="K47" s="490">
        <f t="shared" si="24"/>
        <v>0.31396607439622826</v>
      </c>
      <c r="L47" s="469">
        <f t="shared" si="25"/>
        <v>5</v>
      </c>
      <c r="M47" s="683">
        <f t="shared" si="26"/>
        <v>1</v>
      </c>
      <c r="N47" s="470">
        <f t="shared" si="27"/>
        <v>10</v>
      </c>
      <c r="O47" s="468">
        <f t="shared" si="28"/>
        <v>2026</v>
      </c>
      <c r="P47" s="616">
        <f t="shared" si="29"/>
        <v>6523946907.126749</v>
      </c>
      <c r="Q47" s="472">
        <f t="shared" si="30"/>
        <v>8572244907.126749</v>
      </c>
      <c r="R47" s="472">
        <f t="shared" si="36"/>
        <v>857224490.71267486</v>
      </c>
      <c r="S47" s="723">
        <f t="shared" si="31"/>
        <v>2017</v>
      </c>
      <c r="T47" s="470">
        <f t="shared" si="32"/>
        <v>1</v>
      </c>
      <c r="U47" s="612">
        <f t="shared" si="33"/>
        <v>857224490.71267486</v>
      </c>
      <c r="V47" s="464">
        <f t="shared" si="34"/>
        <v>2017</v>
      </c>
      <c r="W47" s="612">
        <f t="shared" si="35"/>
        <v>7715020416.4140739</v>
      </c>
      <c r="X47" s="473"/>
      <c r="Y47" s="478"/>
      <c r="Z47" s="449"/>
      <c r="AA47" s="492" t="s">
        <v>4182</v>
      </c>
      <c r="AB47" s="476"/>
      <c r="AC47" s="476"/>
      <c r="AD47" s="567">
        <f>AD45-AD46</f>
        <v>12760503408.331264</v>
      </c>
      <c r="AE47" s="476"/>
      <c r="AF47" s="568"/>
      <c r="AG47" s="476"/>
      <c r="AH47" s="476"/>
      <c r="AI47" s="477"/>
      <c r="AJ47" s="478"/>
      <c r="AK47" s="479"/>
      <c r="AL47" s="480"/>
      <c r="AM47" s="474"/>
      <c r="AN47" s="481"/>
      <c r="AO47" s="474"/>
      <c r="AP47" s="476"/>
      <c r="AQ47" s="482"/>
      <c r="AR47" s="478"/>
      <c r="AS47" s="478"/>
      <c r="AT47" s="476"/>
      <c r="AU47" s="482"/>
      <c r="AV47" s="478"/>
      <c r="AW47" s="483"/>
      <c r="AX47" s="476"/>
      <c r="AY47" s="482"/>
      <c r="AZ47" s="478"/>
      <c r="BA47" s="484"/>
      <c r="BB47" s="474"/>
      <c r="BC47" s="485"/>
      <c r="BD47" s="485"/>
      <c r="BG47" s="487"/>
    </row>
    <row r="48" spans="1:59" s="486" customFormat="1" ht="17.25" customHeight="1" x14ac:dyDescent="0.2">
      <c r="A48" s="1368" t="str">
        <f t="shared" si="21"/>
        <v>JAKE - GERINGGING BARU2018</v>
      </c>
      <c r="B48" s="687"/>
      <c r="C48" s="463" t="s">
        <v>1456</v>
      </c>
      <c r="D48" s="489" t="str">
        <f>'KIB D'!G28</f>
        <v>04.13.01.03.06</v>
      </c>
      <c r="E48" s="465"/>
      <c r="F48" s="466">
        <v>2018</v>
      </c>
      <c r="G48" s="620">
        <f>8049268344+186340500</f>
        <v>8235608844</v>
      </c>
      <c r="H48" s="464">
        <f t="shared" si="22"/>
        <v>9</v>
      </c>
      <c r="I48" s="467"/>
      <c r="J48" s="468">
        <f t="shared" si="23"/>
        <v>2027</v>
      </c>
      <c r="K48" s="490">
        <f t="shared" si="24"/>
        <v>1.0674772585796857</v>
      </c>
      <c r="L48" s="469">
        <f t="shared" si="25"/>
        <v>10</v>
      </c>
      <c r="M48" s="683">
        <f t="shared" si="26"/>
        <v>1</v>
      </c>
      <c r="N48" s="470">
        <f t="shared" si="27"/>
        <v>10</v>
      </c>
      <c r="O48" s="468">
        <f t="shared" si="28"/>
        <v>2027</v>
      </c>
      <c r="P48" s="616">
        <f t="shared" si="29"/>
        <v>7715020416.4140739</v>
      </c>
      <c r="Q48" s="472">
        <f t="shared" si="30"/>
        <v>15950629260.414074</v>
      </c>
      <c r="R48" s="472">
        <f t="shared" si="36"/>
        <v>1595062926.0414073</v>
      </c>
      <c r="S48" s="723">
        <f t="shared" si="31"/>
        <v>2018</v>
      </c>
      <c r="T48" s="470">
        <f t="shared" si="32"/>
        <v>1</v>
      </c>
      <c r="U48" s="612">
        <f t="shared" si="33"/>
        <v>1595062926.0414073</v>
      </c>
      <c r="V48" s="464">
        <f t="shared" si="34"/>
        <v>2018</v>
      </c>
      <c r="W48" s="612">
        <f t="shared" si="35"/>
        <v>14355566334.372667</v>
      </c>
      <c r="X48" s="473"/>
      <c r="Y48" s="478"/>
      <c r="Z48" s="449"/>
      <c r="AA48" s="531" t="s">
        <v>4183</v>
      </c>
      <c r="AB48" s="496"/>
      <c r="AC48" s="496"/>
      <c r="AD48" s="569">
        <f>AD47-W52</f>
        <v>0</v>
      </c>
      <c r="AE48" s="476"/>
      <c r="AF48" s="568"/>
      <c r="AG48" s="476"/>
      <c r="AH48" s="476"/>
      <c r="AI48" s="477"/>
      <c r="AJ48" s="478"/>
      <c r="AK48" s="479"/>
      <c r="AL48" s="480"/>
      <c r="AM48" s="474"/>
      <c r="AN48" s="481"/>
      <c r="AO48" s="474"/>
      <c r="AP48" s="476"/>
      <c r="AQ48" s="482"/>
      <c r="AR48" s="478"/>
      <c r="AS48" s="478"/>
      <c r="AT48" s="476"/>
      <c r="AU48" s="482"/>
      <c r="AV48" s="478"/>
      <c r="AW48" s="483"/>
      <c r="AX48" s="476"/>
      <c r="AY48" s="482"/>
      <c r="AZ48" s="478"/>
      <c r="BA48" s="484"/>
      <c r="BB48" s="474"/>
      <c r="BC48" s="485"/>
      <c r="BD48" s="485"/>
      <c r="BG48" s="487"/>
    </row>
    <row r="49" spans="1:59" s="486" customFormat="1" ht="17.25" customHeight="1" x14ac:dyDescent="0.2">
      <c r="A49" s="1368" t="str">
        <f t="shared" si="21"/>
        <v>JAKE - GERINGGING BARU2019</v>
      </c>
      <c r="B49" s="687"/>
      <c r="C49" s="494"/>
      <c r="D49" s="489"/>
      <c r="E49" s="465"/>
      <c r="F49" s="466">
        <v>2019</v>
      </c>
      <c r="G49" s="620">
        <v>0</v>
      </c>
      <c r="H49" s="464">
        <f>IF(N48-(F49-F48)&lt;=0,0,(N48-(F49-F48)))</f>
        <v>9</v>
      </c>
      <c r="I49" s="467"/>
      <c r="J49" s="468">
        <f>(F49+N49)-1</f>
        <v>2027</v>
      </c>
      <c r="K49" s="490">
        <f>IF(G49=0,0,IF(H49=10,100%,G49/W48))</f>
        <v>0</v>
      </c>
      <c r="L49" s="469">
        <f>IF(K49=0%,0,IF(K49&lt;=30%,2,IF(K49&lt;=60%,5,10)))</f>
        <v>0</v>
      </c>
      <c r="M49" s="683">
        <f>IF(OR(AND(ISBLANK(E49),ISBLANK(G49)),ISTEXT(E49),ISTEXT(G49)),"",IF(H49+L49&gt;$H$39,$H$39-H49,L49))</f>
        <v>0</v>
      </c>
      <c r="N49" s="470">
        <f>IF(OR(AND(ISBLANK(F49),ISBLANK(G49)),ISTEXT(F49),ISTEXT(G49)),"",H49+M49)</f>
        <v>9</v>
      </c>
      <c r="O49" s="468">
        <f>(F49+N49)-1</f>
        <v>2027</v>
      </c>
      <c r="P49" s="616">
        <f>W48</f>
        <v>14355566334.372667</v>
      </c>
      <c r="Q49" s="472">
        <f>P49+G49</f>
        <v>14355566334.372667</v>
      </c>
      <c r="R49" s="472">
        <f>IF(L49=0,R48,Q49/N49)</f>
        <v>1595062926.0414073</v>
      </c>
      <c r="S49" s="1189">
        <f>F49</f>
        <v>2019</v>
      </c>
      <c r="T49" s="470">
        <f>S49-S48</f>
        <v>1</v>
      </c>
      <c r="U49" s="612">
        <f>R49*T49</f>
        <v>1595062926.0414073</v>
      </c>
      <c r="V49" s="464">
        <f>F49</f>
        <v>2019</v>
      </c>
      <c r="W49" s="612">
        <f>IF(OR(AND(ISBLANK(F49),ISBLANK(G49)),ISTEXT(F49),ISTEXT(G49)),"",Q49-U49)</f>
        <v>12760503408.331261</v>
      </c>
      <c r="X49" s="473"/>
      <c r="Y49" s="478"/>
      <c r="Z49" s="449"/>
      <c r="AA49" s="497"/>
      <c r="AB49" s="476"/>
      <c r="AC49" s="476"/>
      <c r="AD49" s="568"/>
      <c r="AE49" s="476"/>
      <c r="AF49" s="568"/>
      <c r="AG49" s="476"/>
      <c r="AH49" s="476"/>
      <c r="AI49" s="477"/>
      <c r="AJ49" s="478"/>
      <c r="AK49" s="479"/>
      <c r="AL49" s="480"/>
      <c r="AM49" s="474"/>
      <c r="AN49" s="481"/>
      <c r="AO49" s="474"/>
      <c r="AP49" s="476"/>
      <c r="AQ49" s="482"/>
      <c r="AR49" s="478"/>
      <c r="AS49" s="478"/>
      <c r="AT49" s="476"/>
      <c r="AU49" s="482"/>
      <c r="AV49" s="478"/>
      <c r="AW49" s="483"/>
      <c r="AX49" s="476"/>
      <c r="AY49" s="482"/>
      <c r="AZ49" s="478"/>
      <c r="BA49" s="484"/>
      <c r="BB49" s="474"/>
      <c r="BC49" s="485"/>
      <c r="BD49" s="485"/>
      <c r="BG49" s="487"/>
    </row>
    <row r="50" spans="1:59" s="486" customFormat="1" ht="17.25" customHeight="1" x14ac:dyDescent="0.2">
      <c r="A50" s="1369"/>
      <c r="B50" s="687"/>
      <c r="C50" s="463"/>
      <c r="D50" s="464"/>
      <c r="E50" s="465"/>
      <c r="F50" s="466"/>
      <c r="G50" s="620"/>
      <c r="H50" s="464"/>
      <c r="I50" s="467"/>
      <c r="K50" s="490"/>
      <c r="L50" s="469"/>
      <c r="M50" s="683"/>
      <c r="N50" s="470"/>
      <c r="O50" s="468"/>
      <c r="P50" s="616"/>
      <c r="Q50" s="472"/>
      <c r="R50" s="472"/>
      <c r="S50" s="709"/>
      <c r="T50" s="470"/>
      <c r="U50" s="612"/>
      <c r="V50" s="464"/>
      <c r="W50" s="612"/>
      <c r="X50" s="473"/>
      <c r="Y50" s="497"/>
      <c r="Z50" s="449"/>
      <c r="AA50" s="497"/>
      <c r="AB50" s="476"/>
      <c r="AC50" s="497"/>
      <c r="AD50" s="568"/>
      <c r="AE50" s="476"/>
      <c r="AF50" s="568"/>
      <c r="AG50" s="476"/>
      <c r="AH50" s="476"/>
      <c r="AI50" s="477"/>
      <c r="AJ50" s="478"/>
      <c r="AK50" s="479"/>
      <c r="AL50" s="480"/>
      <c r="AM50" s="474"/>
      <c r="AN50" s="481"/>
      <c r="AO50" s="474"/>
      <c r="AP50" s="476"/>
      <c r="AQ50" s="482"/>
      <c r="AR50" s="478"/>
      <c r="AS50" s="478"/>
      <c r="AT50" s="476"/>
      <c r="AU50" s="482"/>
      <c r="AV50" s="478"/>
      <c r="AW50" s="483"/>
      <c r="AX50" s="476"/>
      <c r="AY50" s="482"/>
      <c r="AZ50" s="478"/>
      <c r="BA50" s="484"/>
      <c r="BB50" s="474"/>
      <c r="BC50" s="485"/>
      <c r="BD50" s="485"/>
      <c r="BG50" s="487"/>
    </row>
    <row r="51" spans="1:59" s="486" customFormat="1" ht="17.25" customHeight="1" x14ac:dyDescent="0.2">
      <c r="A51" s="1369"/>
      <c r="B51" s="687"/>
      <c r="C51" s="463"/>
      <c r="D51" s="464"/>
      <c r="E51" s="465"/>
      <c r="F51" s="709"/>
      <c r="G51" s="620"/>
      <c r="H51" s="469" t="str">
        <f>IF(OR(AND(ISBLANK(E51),ISBLANK(G51)),ISTEXT(E51),ISTEXT(G51)),"",IF(#REF!-(YEAR(E51)-YEAR(#REF!))&lt;0,0,#REF!-(YEAR(E51)-YEAR(#REF!))))</f>
        <v/>
      </c>
      <c r="I51" s="467" t="str">
        <f>IF(OR(AND(ISBLANK(E51),ISBLANK(G51)),ISTEXT(E51),ISTEXT(G51)),"",IF(#REF!-E51&lt;0,0,#REF!-E51))</f>
        <v/>
      </c>
      <c r="J51" s="498" t="str">
        <f>IF(OR(AND(ISBLANK(E51),ISBLANK(G51)),ISTEXT(E51),ISTEXT(G51)),"",#REF!)</f>
        <v/>
      </c>
      <c r="K51" s="498"/>
      <c r="L51" s="469" t="str">
        <f>IF(OR(AND(ISBLANK(E51),ISBLANK(G51)),ISTEXT(E51),ISTEXT(G51)),"",ROUNDDOWN(G51/SUM($G51:G$57)*$H$57,0))</f>
        <v/>
      </c>
      <c r="M51" s="683" t="str">
        <f>IF(OR(AND(ISBLANK(E51),ISBLANK(G51)),ISTEXT(E51),ISTEXT(G51)),"",IF(H51+L51&gt;$H$57,$H$57-H51,L51))</f>
        <v/>
      </c>
      <c r="N51" s="470" t="str">
        <f>IF(OR(AND(ISBLANK(E51),ISBLANK(G51)),ISTEXT(E51),ISTEXT(G51)),"",H51+M51)</f>
        <v/>
      </c>
      <c r="O51" s="498" t="str">
        <f>IF(OR(AND(ISBLANK(E51),ISBLANK(G51)),ISTEXT(E51),ISTEXT(G51)),"",DATE(YEAR($J51)+M51,MONTH($J51),DAY($J51)))</f>
        <v/>
      </c>
      <c r="P51" s="748" t="str">
        <f>IF(OR(AND(ISBLANK(E51),ISBLANK(G51)),ISTEXT(E51),ISTEXT(G51)),"",#REF!-#REF!*(IF(J51&lt;E51,J51,E51)-#REF!))</f>
        <v/>
      </c>
      <c r="Q51" s="500" t="str">
        <f>IF(OR(AND(ISBLANK(E51),ISBLANK(G51)),ISTEXT(E51),ISTEXT(G51)),"",P51+G51)</f>
        <v/>
      </c>
      <c r="R51" s="501" t="str">
        <f>IF(OR(AND(ISBLANK(E51),ISBLANK(G51)),ISTEXT(E51),ISTEXT(G51)),"",IF(OR(E51&lt;DATE(2004,12,31),#REF!=0),0,Q51/#REF!))</f>
        <v/>
      </c>
      <c r="S51" s="502" t="str">
        <f>IF(OR(AND(ISBLANK(E51),ISBLANK(G51)),ISTEXT(E51),ISTEXT(G51)),"",IF(YEAR(E51)&lt;=YEAR(#REF!),"-",YEAR(E51)-1))</f>
        <v/>
      </c>
      <c r="T51" s="502"/>
      <c r="U51" s="612" t="str">
        <f>IF(OR(AND(ISBLANK(E51),ISBLANK(G51)),ISTEXT(E51),ISTEXT(G51)),"",IF(AND(J51&lt;=DATE(2004,12,31),E51&gt;J51),SUM($G51:G51),#REF!+#REF!+#REF!*IF(YEAR(E51)&lt;=YEAR(#REF!),0,(IF(DATE(YEAR(E51)-1,12,31)&gt;J51,J51,DATE(YEAR(E51)-1,12,31))-#REF!))))</f>
        <v/>
      </c>
      <c r="V51" s="503" t="str">
        <f>IF(OR(AND(ISBLANK(E51),ISBLANK(G51)),ISTEXT(E51),ISTEXT(G51)),"",IF(YEAR(E51)=YEAR(E52),E52,DATE(YEAR(E51),12,31)))</f>
        <v/>
      </c>
      <c r="W51" s="612" t="str">
        <f>IF(OR(AND(ISBLANK(E51),ISBLANK(G51)),ISTEXT(E51),ISTEXT(G51)),"",IF(Q51=0,0,IF(AND(J51&lt;=DATE(2004,12,31),E51&gt;=J51),Q51-U51,Q51-#REF!)))</f>
        <v/>
      </c>
      <c r="X51" s="504" t="str">
        <f>IF(OR(AND(ISBLANK(E51),ISBLANK(G51)),ISTEXT(E51),ISTEXT(G51)),"",$D$57&amp;"//"&amp;TEXT($E$57,"dd-mmm-yyyy")&amp;"//"&amp;#REF!)</f>
        <v/>
      </c>
      <c r="Y51" s="476"/>
      <c r="Z51" s="476"/>
      <c r="AA51" s="476"/>
      <c r="AB51" s="476"/>
      <c r="AC51" s="476"/>
      <c r="AD51" s="568"/>
      <c r="AE51" s="476"/>
      <c r="AF51" s="568"/>
      <c r="AG51" s="476"/>
      <c r="AH51" s="476"/>
      <c r="AI51" s="477"/>
      <c r="AJ51" s="478"/>
      <c r="AK51" s="479"/>
      <c r="AL51" s="480"/>
      <c r="AM51" s="474"/>
      <c r="AN51" s="481"/>
      <c r="AO51" s="474"/>
      <c r="AP51" s="476"/>
      <c r="AQ51" s="482"/>
      <c r="AR51" s="478"/>
      <c r="AS51" s="478"/>
      <c r="AT51" s="476"/>
      <c r="AU51" s="482"/>
      <c r="AV51" s="478"/>
      <c r="AW51" s="483"/>
      <c r="AX51" s="476"/>
      <c r="AY51" s="482"/>
      <c r="AZ51" s="478"/>
      <c r="BA51" s="484"/>
      <c r="BB51" s="474"/>
      <c r="BC51" s="485"/>
      <c r="BD51" s="485"/>
      <c r="BG51" s="487"/>
    </row>
    <row r="52" spans="1:59" s="526" customFormat="1" ht="17.25" customHeight="1" x14ac:dyDescent="0.2">
      <c r="A52" s="1370" t="s">
        <v>4184</v>
      </c>
      <c r="B52" s="1956" t="s">
        <v>4184</v>
      </c>
      <c r="C52" s="1957"/>
      <c r="D52" s="1957"/>
      <c r="E52" s="1957"/>
      <c r="F52" s="1958"/>
      <c r="G52" s="624">
        <f>SUM(G39:G51)</f>
        <v>37920658640.407501</v>
      </c>
      <c r="H52" s="505"/>
      <c r="I52" s="506"/>
      <c r="J52" s="507"/>
      <c r="K52" s="507"/>
      <c r="L52" s="505"/>
      <c r="M52" s="684"/>
      <c r="N52" s="508"/>
      <c r="O52" s="507"/>
      <c r="P52" s="749"/>
      <c r="Q52" s="510"/>
      <c r="R52" s="511"/>
      <c r="S52" s="512"/>
      <c r="T52" s="512"/>
      <c r="U52" s="610">
        <f>SUM(U39:U51)</f>
        <v>25160155232.076237</v>
      </c>
      <c r="V52" s="513"/>
      <c r="W52" s="610">
        <f>G52-U52</f>
        <v>12760503408.331264</v>
      </c>
      <c r="X52" s="514"/>
      <c r="Y52" s="515"/>
      <c r="Z52" s="515"/>
      <c r="AA52" s="515"/>
      <c r="AB52" s="515"/>
      <c r="AC52" s="515"/>
      <c r="AD52" s="570"/>
      <c r="AE52" s="515"/>
      <c r="AF52" s="570"/>
      <c r="AG52" s="570">
        <v>23565092306.034828</v>
      </c>
      <c r="AH52" s="515"/>
      <c r="AI52" s="516"/>
      <c r="AJ52" s="517"/>
      <c r="AK52" s="518"/>
      <c r="AL52" s="519"/>
      <c r="AM52" s="520"/>
      <c r="AN52" s="521"/>
      <c r="AO52" s="520"/>
      <c r="AP52" s="515"/>
      <c r="AQ52" s="522"/>
      <c r="AR52" s="517"/>
      <c r="AS52" s="517"/>
      <c r="AT52" s="515"/>
      <c r="AU52" s="522"/>
      <c r="AV52" s="517"/>
      <c r="AW52" s="523"/>
      <c r="AX52" s="515"/>
      <c r="AY52" s="522"/>
      <c r="AZ52" s="517"/>
      <c r="BA52" s="524"/>
      <c r="BB52" s="520"/>
      <c r="BC52" s="525"/>
      <c r="BD52" s="525"/>
      <c r="BG52" s="527"/>
    </row>
    <row r="53" spans="1:59" x14ac:dyDescent="0.2">
      <c r="U53" s="614"/>
    </row>
    <row r="54" spans="1:59" x14ac:dyDescent="0.2">
      <c r="U54" s="614"/>
    </row>
    <row r="55" spans="1:59" s="422" customFormat="1" ht="18" customHeight="1" x14ac:dyDescent="0.2">
      <c r="A55" s="1366">
        <f>C55</f>
        <v>3</v>
      </c>
      <c r="B55" s="742" t="s">
        <v>4187</v>
      </c>
      <c r="C55" s="556">
        <v>3</v>
      </c>
      <c r="D55" s="553" t="str">
        <f>VLOOKUP(C55,RUAS,2,FALSE)</f>
        <v>JAKE - KOTO KOMBU</v>
      </c>
      <c r="E55" s="553"/>
      <c r="F55" s="421"/>
      <c r="G55" s="611"/>
      <c r="I55" s="423"/>
      <c r="J55" s="424"/>
      <c r="K55" s="424"/>
      <c r="M55" s="680"/>
      <c r="P55" s="611"/>
      <c r="U55" s="611"/>
      <c r="W55" s="611"/>
      <c r="Y55" s="425"/>
      <c r="Z55" s="425"/>
      <c r="AA55" s="425"/>
      <c r="AB55" s="425"/>
      <c r="AC55" s="425"/>
      <c r="AD55" s="563"/>
      <c r="AE55" s="425"/>
      <c r="AF55" s="563"/>
      <c r="AG55" s="425"/>
      <c r="AH55" s="425"/>
      <c r="AI55" s="425"/>
      <c r="AJ55" s="425"/>
      <c r="AK55" s="425"/>
      <c r="AL55" s="425"/>
      <c r="AM55" s="425"/>
      <c r="AN55" s="425"/>
      <c r="AO55" s="425"/>
      <c r="AP55" s="425"/>
      <c r="AQ55" s="425"/>
      <c r="AR55" s="425"/>
      <c r="AS55" s="425"/>
      <c r="AT55" s="425"/>
      <c r="AU55" s="425"/>
      <c r="AV55" s="425"/>
      <c r="AW55" s="425"/>
      <c r="AX55" s="425"/>
      <c r="AY55" s="425"/>
      <c r="AZ55" s="425"/>
      <c r="BA55" s="425"/>
      <c r="BB55" s="425"/>
    </row>
    <row r="56" spans="1:59" s="431" customFormat="1" ht="18" customHeight="1" x14ac:dyDescent="0.2">
      <c r="A56" s="1367"/>
      <c r="B56" s="1968" t="s">
        <v>5</v>
      </c>
      <c r="C56" s="1968" t="s">
        <v>2280</v>
      </c>
      <c r="D56" s="1968" t="s">
        <v>4157</v>
      </c>
      <c r="E56" s="1968" t="s">
        <v>4158</v>
      </c>
      <c r="F56" s="1968"/>
      <c r="G56" s="1969" t="s">
        <v>4159</v>
      </c>
      <c r="H56" s="1968" t="s">
        <v>4160</v>
      </c>
      <c r="I56" s="1968"/>
      <c r="J56" s="1968" t="s">
        <v>4185</v>
      </c>
      <c r="K56" s="1964" t="s">
        <v>4162</v>
      </c>
      <c r="L56" s="1968" t="s">
        <v>4163</v>
      </c>
      <c r="M56" s="1971" t="s">
        <v>4164</v>
      </c>
      <c r="N56" s="1962" t="s">
        <v>4165</v>
      </c>
      <c r="O56" s="1968" t="s">
        <v>4166</v>
      </c>
      <c r="P56" s="1972" t="s">
        <v>4167</v>
      </c>
      <c r="Q56" s="1973"/>
      <c r="R56" s="756" t="s">
        <v>4186</v>
      </c>
      <c r="S56" s="1972" t="s">
        <v>4169</v>
      </c>
      <c r="T56" s="1974"/>
      <c r="U56" s="1973"/>
      <c r="V56" s="1975" t="s">
        <v>4170</v>
      </c>
      <c r="W56" s="1975"/>
      <c r="X56" s="1960" t="s">
        <v>4171</v>
      </c>
      <c r="Y56" s="1959"/>
      <c r="Z56" s="757"/>
      <c r="AA56" s="426"/>
      <c r="AB56" s="426"/>
      <c r="AC56" s="426"/>
      <c r="AD56" s="564"/>
      <c r="AE56" s="426"/>
      <c r="AF56" s="564"/>
      <c r="AG56" s="426"/>
      <c r="AH56" s="426"/>
      <c r="AI56" s="427"/>
      <c r="AJ56" s="427"/>
      <c r="AK56" s="427"/>
      <c r="AL56" s="427"/>
      <c r="AM56" s="428"/>
      <c r="AN56" s="427"/>
      <c r="AO56" s="427"/>
      <c r="AP56" s="426"/>
      <c r="AQ56" s="427"/>
      <c r="AR56" s="427"/>
      <c r="AS56" s="427"/>
      <c r="AT56" s="426"/>
      <c r="AU56" s="427"/>
      <c r="AV56" s="427"/>
      <c r="AW56" s="427"/>
      <c r="AX56" s="426"/>
      <c r="AY56" s="427"/>
      <c r="AZ56" s="427"/>
      <c r="BA56" s="427"/>
      <c r="BB56" s="429"/>
      <c r="BC56" s="430"/>
      <c r="BD56" s="430"/>
    </row>
    <row r="57" spans="1:59" s="431" customFormat="1" ht="18" customHeight="1" x14ac:dyDescent="0.2">
      <c r="A57" s="1367"/>
      <c r="B57" s="1968"/>
      <c r="C57" s="1968"/>
      <c r="D57" s="1968"/>
      <c r="E57" s="1968"/>
      <c r="F57" s="1968"/>
      <c r="G57" s="1969"/>
      <c r="H57" s="1968"/>
      <c r="I57" s="1968"/>
      <c r="J57" s="1968"/>
      <c r="K57" s="1970"/>
      <c r="L57" s="1968"/>
      <c r="M57" s="1971"/>
      <c r="N57" s="1963"/>
      <c r="O57" s="1968"/>
      <c r="P57" s="2037" t="s">
        <v>4172</v>
      </c>
      <c r="Q57" s="1960" t="s">
        <v>4173</v>
      </c>
      <c r="R57" s="1962" t="s">
        <v>4159</v>
      </c>
      <c r="S57" s="1962" t="s">
        <v>4174</v>
      </c>
      <c r="T57" s="1964" t="s">
        <v>4175</v>
      </c>
      <c r="U57" s="1966" t="s">
        <v>4159</v>
      </c>
      <c r="V57" s="1975"/>
      <c r="W57" s="1975"/>
      <c r="X57" s="1976"/>
      <c r="Y57" s="1959"/>
      <c r="Z57" s="757"/>
      <c r="AA57" s="426"/>
      <c r="AB57" s="426"/>
      <c r="AC57" s="426"/>
      <c r="AD57" s="564"/>
      <c r="AE57" s="426"/>
      <c r="AF57" s="564"/>
      <c r="AG57" s="426"/>
      <c r="AH57" s="426"/>
      <c r="AI57" s="427"/>
      <c r="AJ57" s="427"/>
      <c r="AK57" s="426"/>
      <c r="AL57" s="427"/>
      <c r="AM57" s="428"/>
      <c r="AN57" s="427"/>
      <c r="AO57" s="427"/>
      <c r="AP57" s="432"/>
      <c r="AQ57" s="427"/>
      <c r="AR57" s="427"/>
      <c r="AS57" s="427"/>
      <c r="AT57" s="432"/>
      <c r="AU57" s="427"/>
      <c r="AV57" s="427"/>
      <c r="AW57" s="427"/>
      <c r="AX57" s="432"/>
      <c r="AY57" s="427"/>
      <c r="AZ57" s="427"/>
      <c r="BA57" s="427"/>
      <c r="BB57" s="429"/>
      <c r="BC57" s="430"/>
      <c r="BD57" s="430"/>
    </row>
    <row r="58" spans="1:59" s="431" customFormat="1" ht="18" customHeight="1" x14ac:dyDescent="0.2">
      <c r="A58" s="1367"/>
      <c r="B58" s="1968"/>
      <c r="C58" s="1968"/>
      <c r="D58" s="1968"/>
      <c r="E58" s="433" t="s">
        <v>4176</v>
      </c>
      <c r="F58" s="434" t="s">
        <v>2288</v>
      </c>
      <c r="G58" s="1969"/>
      <c r="H58" s="755" t="s">
        <v>2288</v>
      </c>
      <c r="I58" s="755" t="s">
        <v>4177</v>
      </c>
      <c r="J58" s="1968"/>
      <c r="K58" s="1965"/>
      <c r="L58" s="435" t="s">
        <v>2288</v>
      </c>
      <c r="M58" s="681" t="s">
        <v>2288</v>
      </c>
      <c r="N58" s="755" t="s">
        <v>2288</v>
      </c>
      <c r="O58" s="1968"/>
      <c r="P58" s="2038"/>
      <c r="Q58" s="1961"/>
      <c r="R58" s="1963"/>
      <c r="S58" s="1963"/>
      <c r="T58" s="1965"/>
      <c r="U58" s="1967"/>
      <c r="V58" s="755" t="s">
        <v>4178</v>
      </c>
      <c r="W58" s="758" t="s">
        <v>4159</v>
      </c>
      <c r="X58" s="1961"/>
      <c r="Y58" s="436"/>
      <c r="Z58" s="436"/>
      <c r="AA58" s="426"/>
      <c r="AB58" s="426"/>
      <c r="AC58" s="426"/>
      <c r="AD58" s="564"/>
      <c r="AE58" s="426"/>
      <c r="AF58" s="564"/>
      <c r="AG58" s="426"/>
      <c r="AH58" s="426"/>
      <c r="AI58" s="427"/>
      <c r="AJ58" s="432"/>
      <c r="AK58" s="432"/>
      <c r="AL58" s="427"/>
      <c r="AM58" s="428"/>
      <c r="AN58" s="432"/>
      <c r="AO58" s="427"/>
      <c r="AP58" s="432"/>
      <c r="AQ58" s="432"/>
      <c r="AR58" s="427"/>
      <c r="AS58" s="427"/>
      <c r="AT58" s="432"/>
      <c r="AU58" s="432"/>
      <c r="AV58" s="427"/>
      <c r="AW58" s="427"/>
      <c r="AX58" s="432"/>
      <c r="AY58" s="432"/>
      <c r="AZ58" s="427"/>
      <c r="BA58" s="427"/>
      <c r="BB58" s="429"/>
      <c r="BC58" s="430"/>
      <c r="BD58" s="430"/>
    </row>
    <row r="59" spans="1:59" s="461" customFormat="1" ht="18" customHeight="1" x14ac:dyDescent="0.2">
      <c r="A59" s="1368" t="str">
        <f>$D$55&amp;S59</f>
        <v>JAKE - KOTO KOMBU2001</v>
      </c>
      <c r="B59" s="1373">
        <v>1</v>
      </c>
      <c r="C59" s="488" t="s">
        <v>1139</v>
      </c>
      <c r="D59" s="489" t="s">
        <v>2494</v>
      </c>
      <c r="E59" s="558"/>
      <c r="F59" s="559">
        <v>2001</v>
      </c>
      <c r="G59" s="619">
        <v>13778074379</v>
      </c>
      <c r="H59" s="557">
        <f>VLOOKUP(LEFT(D59,8),UE,4)</f>
        <v>10</v>
      </c>
      <c r="I59" s="560"/>
      <c r="J59" s="468">
        <f>(F59+N59)-1</f>
        <v>2010</v>
      </c>
      <c r="K59" s="595"/>
      <c r="L59" s="557"/>
      <c r="M59" s="682">
        <f>IF(H59+L59&gt;$H59,$H59-H59,L59)</f>
        <v>0</v>
      </c>
      <c r="N59" s="584">
        <f>H59+M59</f>
        <v>10</v>
      </c>
      <c r="O59" s="468">
        <f>(F59+N59)-1</f>
        <v>2010</v>
      </c>
      <c r="P59" s="616">
        <f>G59</f>
        <v>13778074379</v>
      </c>
      <c r="Q59" s="472">
        <v>0</v>
      </c>
      <c r="R59" s="472">
        <f>P59/N59</f>
        <v>1377807437.9000001</v>
      </c>
      <c r="S59" s="596">
        <f>F59</f>
        <v>2001</v>
      </c>
      <c r="T59" s="470">
        <v>1</v>
      </c>
      <c r="U59" s="612">
        <f>R59*T59</f>
        <v>1377807437.9000001</v>
      </c>
      <c r="V59" s="468">
        <f>F59</f>
        <v>2001</v>
      </c>
      <c r="W59" s="616">
        <f>IF(OR(AND(ISBLANK(E59),ISBLANK(G59)),ISTEXT(E59),ISTEXT(G59)),"",G59-R59)</f>
        <v>12400266941.1</v>
      </c>
      <c r="X59" s="561"/>
      <c r="Y59" s="449"/>
      <c r="Z59" s="449"/>
      <c r="AA59" s="450" t="s">
        <v>4179</v>
      </c>
      <c r="AB59" s="451"/>
      <c r="AC59" s="451"/>
      <c r="AD59" s="565"/>
      <c r="AE59" s="452"/>
      <c r="AF59" s="571"/>
      <c r="AG59" s="452"/>
      <c r="AH59" s="452"/>
      <c r="AI59" s="453"/>
      <c r="AJ59" s="449"/>
      <c r="AK59" s="453"/>
      <c r="AL59" s="454"/>
      <c r="AM59" s="455"/>
      <c r="AN59" s="456"/>
      <c r="AO59" s="455"/>
      <c r="AP59" s="452"/>
      <c r="AQ59" s="457"/>
      <c r="AR59" s="449"/>
      <c r="AS59" s="449"/>
      <c r="AT59" s="452"/>
      <c r="AU59" s="457"/>
      <c r="AV59" s="449"/>
      <c r="AW59" s="458"/>
      <c r="AX59" s="452"/>
      <c r="AY59" s="457"/>
      <c r="AZ59" s="449"/>
      <c r="BA59" s="459"/>
      <c r="BB59" s="455"/>
      <c r="BC59" s="460"/>
      <c r="BD59" s="460"/>
      <c r="BG59" s="462"/>
    </row>
    <row r="60" spans="1:59" s="461" customFormat="1" ht="18" customHeight="1" x14ac:dyDescent="0.2">
      <c r="A60" s="1368" t="str">
        <f t="shared" ref="A60:A77" si="37">$D$55&amp;S60</f>
        <v>JAKE - KOTO KOMBU2006</v>
      </c>
      <c r="B60" s="1373"/>
      <c r="C60" s="488"/>
      <c r="D60" s="489"/>
      <c r="E60" s="558"/>
      <c r="F60" s="559">
        <v>2006</v>
      </c>
      <c r="G60" s="619">
        <v>0</v>
      </c>
      <c r="H60" s="464">
        <f>IF(N59-(F60-F59)&lt;=0,0,(N59-(F60-F59)))</f>
        <v>5</v>
      </c>
      <c r="I60" s="467"/>
      <c r="J60" s="468">
        <f>(F60+N60)-1</f>
        <v>2010</v>
      </c>
      <c r="K60" s="490">
        <f>IF(G60=0,0,IF(H60=10,100%,G60/W59))</f>
        <v>0</v>
      </c>
      <c r="L60" s="469">
        <f>IF(K60=0%,0,IF(K60&lt;=30%,2,IF(K60&lt;=60%,5,10)))</f>
        <v>0</v>
      </c>
      <c r="M60" s="683">
        <f>IF(OR(AND(ISBLANK(E60),ISBLANK(G60)),ISTEXT(E60),ISTEXT(G60)),"",IF(H60+L60&gt;$H$59,$H$59-H60,L60))</f>
        <v>0</v>
      </c>
      <c r="N60" s="470">
        <f>IF(OR(AND(ISBLANK(F60),ISBLANK(G60)),ISTEXT(F60),ISTEXT(G60)),"",H60+M60)</f>
        <v>5</v>
      </c>
      <c r="O60" s="468">
        <f>(F60+N60)-1</f>
        <v>2010</v>
      </c>
      <c r="P60" s="616">
        <f>W59</f>
        <v>12400266941.1</v>
      </c>
      <c r="Q60" s="472">
        <f>P60+G60</f>
        <v>12400266941.1</v>
      </c>
      <c r="R60" s="472">
        <f>IF(L60=0,R59,Q60/N60)</f>
        <v>1377807437.9000001</v>
      </c>
      <c r="S60" s="1189">
        <f>F60</f>
        <v>2006</v>
      </c>
      <c r="T60" s="470">
        <f>S60-S59</f>
        <v>5</v>
      </c>
      <c r="U60" s="612">
        <f>R60*T60</f>
        <v>6889037189.5</v>
      </c>
      <c r="V60" s="464">
        <f>F60</f>
        <v>2006</v>
      </c>
      <c r="W60" s="612">
        <f>IF(OR(AND(ISBLANK(F60),ISBLANK(G60)),ISTEXT(F60),ISTEXT(G60)),"",Q60-U60)</f>
        <v>5511229751.6000004</v>
      </c>
      <c r="X60" s="561"/>
      <c r="Y60" s="449"/>
      <c r="Z60" s="449"/>
      <c r="AA60" s="554"/>
      <c r="AB60" s="452"/>
      <c r="AC60" s="452"/>
      <c r="AD60" s="566"/>
      <c r="AE60" s="452"/>
      <c r="AF60" s="571"/>
      <c r="AG60" s="452"/>
      <c r="AH60" s="452"/>
      <c r="AI60" s="453"/>
      <c r="AJ60" s="449"/>
      <c r="AK60" s="453"/>
      <c r="AL60" s="454"/>
      <c r="AM60" s="455"/>
      <c r="AN60" s="456"/>
      <c r="AO60" s="455"/>
      <c r="AP60" s="452"/>
      <c r="AQ60" s="457"/>
      <c r="AR60" s="449"/>
      <c r="AS60" s="449"/>
      <c r="AT60" s="452"/>
      <c r="AU60" s="457"/>
      <c r="AV60" s="449"/>
      <c r="AW60" s="458"/>
      <c r="AX60" s="452"/>
      <c r="AY60" s="457"/>
      <c r="AZ60" s="449"/>
      <c r="BA60" s="459"/>
      <c r="BB60" s="455"/>
      <c r="BC60" s="460"/>
      <c r="BD60" s="460"/>
      <c r="BG60" s="462"/>
    </row>
    <row r="61" spans="1:59" s="486" customFormat="1" ht="18" customHeight="1" x14ac:dyDescent="0.2">
      <c r="A61" s="1368" t="str">
        <f t="shared" si="37"/>
        <v>JAKE - KOTO KOMBU2007</v>
      </c>
      <c r="B61" s="1373"/>
      <c r="C61" s="463" t="s">
        <v>1177</v>
      </c>
      <c r="D61" s="464" t="s">
        <v>2494</v>
      </c>
      <c r="E61" s="465"/>
      <c r="F61" s="466">
        <v>2007</v>
      </c>
      <c r="G61" s="620">
        <f>667654574.734382+705972610.729708+442451120.538846</f>
        <v>1816078306.0029359</v>
      </c>
      <c r="H61" s="464">
        <f t="shared" ref="H61:H76" si="38">IF(N60-(F61-F60)&lt;=0,0,(N60-(F61-F60)))</f>
        <v>4</v>
      </c>
      <c r="I61" s="467"/>
      <c r="J61" s="468">
        <f t="shared" ref="J61:J76" si="39">(F61+N61)-1</f>
        <v>2015</v>
      </c>
      <c r="K61" s="490">
        <f t="shared" ref="K61:K76" si="40">IF(G61=0,0,IF(H61=10,100%,G61/W60))</f>
        <v>0.3295232439684988</v>
      </c>
      <c r="L61" s="469">
        <f t="shared" ref="L61:L76" si="41">IF(K61=0%,0,IF(K61&lt;=30%,2,IF(K61&lt;=60%,5,10)))</f>
        <v>5</v>
      </c>
      <c r="M61" s="683">
        <f t="shared" ref="M61:M76" si="42">IF(OR(AND(ISBLANK(E61),ISBLANK(G61)),ISTEXT(E61),ISTEXT(G61)),"",IF(H61+L61&gt;$H$59,$H$59-H61,L61))</f>
        <v>5</v>
      </c>
      <c r="N61" s="470">
        <f t="shared" ref="N61:N76" si="43">IF(OR(AND(ISBLANK(F61),ISBLANK(G61)),ISTEXT(F61),ISTEXT(G61)),"",H61+M61)</f>
        <v>9</v>
      </c>
      <c r="O61" s="468">
        <f t="shared" ref="O61:O76" si="44">(F61+N61)-1</f>
        <v>2015</v>
      </c>
      <c r="P61" s="616">
        <f t="shared" ref="P61:P76" si="45">W60</f>
        <v>5511229751.6000004</v>
      </c>
      <c r="Q61" s="472">
        <f t="shared" ref="Q61:Q76" si="46">P61+G61</f>
        <v>7327308057.6029358</v>
      </c>
      <c r="R61" s="472">
        <f t="shared" ref="R61:R76" si="47">IF(L61=0,R60,Q61/N61)</f>
        <v>814145339.73365951</v>
      </c>
      <c r="S61" s="1189">
        <f t="shared" ref="S61:S76" si="48">F61</f>
        <v>2007</v>
      </c>
      <c r="T61" s="470">
        <f t="shared" ref="T61:T76" si="49">S61-S60</f>
        <v>1</v>
      </c>
      <c r="U61" s="612">
        <f t="shared" ref="U61:U76" si="50">R61*T61</f>
        <v>814145339.73365951</v>
      </c>
      <c r="V61" s="464">
        <f t="shared" ref="V61:V76" si="51">F61</f>
        <v>2007</v>
      </c>
      <c r="W61" s="612">
        <f t="shared" ref="W61:W76" si="52">IF(OR(AND(ISBLANK(F61),ISBLANK(G61)),ISTEXT(F61),ISTEXT(G61)),"",Q61-U61)</f>
        <v>6513162717.869276</v>
      </c>
      <c r="X61" s="473"/>
      <c r="Y61" s="474"/>
      <c r="Z61" s="449"/>
      <c r="AA61" s="475" t="s">
        <v>4180</v>
      </c>
      <c r="AB61" s="476"/>
      <c r="AC61" s="476"/>
      <c r="AD61" s="567">
        <f>G79</f>
        <v>45211954044.395828</v>
      </c>
      <c r="AE61" s="476"/>
      <c r="AF61" s="568"/>
      <c r="AG61" s="476"/>
      <c r="AH61" s="476"/>
      <c r="AI61" s="477"/>
      <c r="AJ61" s="478"/>
      <c r="AK61" s="479"/>
      <c r="AL61" s="480"/>
      <c r="AM61" s="474"/>
      <c r="AN61" s="481"/>
      <c r="AO61" s="474"/>
      <c r="AP61" s="476"/>
      <c r="AQ61" s="482"/>
      <c r="AR61" s="478"/>
      <c r="AS61" s="478"/>
      <c r="AT61" s="476"/>
      <c r="AU61" s="482"/>
      <c r="AV61" s="478"/>
      <c r="AW61" s="483"/>
      <c r="AX61" s="476"/>
      <c r="AY61" s="482"/>
      <c r="AZ61" s="478"/>
      <c r="BA61" s="484"/>
      <c r="BB61" s="474"/>
      <c r="BC61" s="485"/>
      <c r="BD61" s="485"/>
      <c r="BG61" s="487"/>
    </row>
    <row r="62" spans="1:59" s="486" customFormat="1" ht="18" customHeight="1" x14ac:dyDescent="0.2">
      <c r="A62" s="1368" t="str">
        <f t="shared" si="37"/>
        <v>JAKE - KOTO KOMBU2007</v>
      </c>
      <c r="B62" s="1373"/>
      <c r="C62" s="488" t="s">
        <v>1178</v>
      </c>
      <c r="D62" s="464" t="s">
        <v>2494</v>
      </c>
      <c r="E62" s="465"/>
      <c r="F62" s="466">
        <v>2007</v>
      </c>
      <c r="G62" s="620">
        <v>0</v>
      </c>
      <c r="H62" s="464">
        <f t="shared" si="38"/>
        <v>9</v>
      </c>
      <c r="I62" s="467"/>
      <c r="J62" s="468">
        <f t="shared" si="39"/>
        <v>2015</v>
      </c>
      <c r="K62" s="490">
        <f t="shared" si="40"/>
        <v>0</v>
      </c>
      <c r="L62" s="469">
        <f t="shared" si="41"/>
        <v>0</v>
      </c>
      <c r="M62" s="683">
        <f t="shared" si="42"/>
        <v>0</v>
      </c>
      <c r="N62" s="470">
        <f t="shared" si="43"/>
        <v>9</v>
      </c>
      <c r="O62" s="468">
        <f t="shared" si="44"/>
        <v>2015</v>
      </c>
      <c r="P62" s="616">
        <f t="shared" si="45"/>
        <v>6513162717.869276</v>
      </c>
      <c r="Q62" s="472">
        <f t="shared" si="46"/>
        <v>6513162717.869276</v>
      </c>
      <c r="R62" s="472">
        <f t="shared" si="47"/>
        <v>814145339.73365951</v>
      </c>
      <c r="S62" s="1189">
        <f t="shared" si="48"/>
        <v>2007</v>
      </c>
      <c r="T62" s="470">
        <f t="shared" si="49"/>
        <v>0</v>
      </c>
      <c r="U62" s="612">
        <f t="shared" si="50"/>
        <v>0</v>
      </c>
      <c r="V62" s="464">
        <f t="shared" si="51"/>
        <v>2007</v>
      </c>
      <c r="W62" s="612">
        <f t="shared" si="52"/>
        <v>6513162717.869276</v>
      </c>
      <c r="X62" s="473"/>
      <c r="Y62" s="478"/>
      <c r="Z62" s="449"/>
      <c r="AA62" s="475" t="s">
        <v>4181</v>
      </c>
      <c r="AB62" s="491"/>
      <c r="AC62" s="491"/>
      <c r="AD62" s="567">
        <f>U79</f>
        <v>26505867469.898739</v>
      </c>
      <c r="AE62" s="491"/>
      <c r="AF62" s="568"/>
      <c r="AG62" s="491"/>
      <c r="AH62" s="491"/>
      <c r="AI62" s="477"/>
      <c r="AJ62" s="478"/>
      <c r="AK62" s="479"/>
      <c r="AL62" s="480"/>
      <c r="AM62" s="474"/>
      <c r="AN62" s="481"/>
      <c r="AO62" s="474"/>
      <c r="AP62" s="476"/>
      <c r="AQ62" s="482"/>
      <c r="AR62" s="478"/>
      <c r="AS62" s="478"/>
      <c r="AT62" s="476"/>
      <c r="AU62" s="482"/>
      <c r="AV62" s="478"/>
      <c r="AW62" s="483"/>
      <c r="AX62" s="476"/>
      <c r="AY62" s="482"/>
      <c r="AZ62" s="478"/>
      <c r="BA62" s="484"/>
      <c r="BB62" s="474"/>
      <c r="BC62" s="485"/>
      <c r="BD62" s="485"/>
      <c r="BG62" s="487"/>
    </row>
    <row r="63" spans="1:59" s="486" customFormat="1" ht="18" customHeight="1" x14ac:dyDescent="0.2">
      <c r="A63" s="1368" t="str">
        <f t="shared" si="37"/>
        <v>JAKE - KOTO KOMBU2008</v>
      </c>
      <c r="B63" s="1373"/>
      <c r="C63" s="488" t="s">
        <v>5088</v>
      </c>
      <c r="D63" s="464"/>
      <c r="E63" s="465"/>
      <c r="F63" s="466">
        <v>2008</v>
      </c>
      <c r="G63" s="620">
        <v>399330194.19144249</v>
      </c>
      <c r="H63" s="464">
        <f t="shared" si="38"/>
        <v>8</v>
      </c>
      <c r="I63" s="467"/>
      <c r="J63" s="468">
        <f t="shared" si="39"/>
        <v>2017</v>
      </c>
      <c r="K63" s="490">
        <f t="shared" si="40"/>
        <v>6.1311257140230002E-2</v>
      </c>
      <c r="L63" s="469">
        <f t="shared" si="41"/>
        <v>2</v>
      </c>
      <c r="M63" s="683">
        <f t="shared" si="42"/>
        <v>2</v>
      </c>
      <c r="N63" s="470">
        <f t="shared" si="43"/>
        <v>10</v>
      </c>
      <c r="O63" s="468">
        <f t="shared" si="44"/>
        <v>2017</v>
      </c>
      <c r="P63" s="616">
        <f t="shared" si="45"/>
        <v>6513162717.869276</v>
      </c>
      <c r="Q63" s="472">
        <f t="shared" si="46"/>
        <v>6912492912.0607185</v>
      </c>
      <c r="R63" s="472">
        <f t="shared" si="47"/>
        <v>691249291.20607185</v>
      </c>
      <c r="S63" s="1189">
        <f t="shared" si="48"/>
        <v>2008</v>
      </c>
      <c r="T63" s="470">
        <f t="shared" si="49"/>
        <v>1</v>
      </c>
      <c r="U63" s="612">
        <f t="shared" si="50"/>
        <v>691249291.20607185</v>
      </c>
      <c r="V63" s="464">
        <f t="shared" si="51"/>
        <v>2008</v>
      </c>
      <c r="W63" s="612">
        <f t="shared" si="52"/>
        <v>6221243620.8546467</v>
      </c>
      <c r="X63" s="473"/>
      <c r="Y63" s="478"/>
      <c r="Z63" s="449"/>
      <c r="AA63" s="475"/>
      <c r="AB63" s="491"/>
      <c r="AC63" s="491"/>
      <c r="AD63" s="567"/>
      <c r="AE63" s="491"/>
      <c r="AF63" s="568"/>
      <c r="AG63" s="491"/>
      <c r="AH63" s="491"/>
      <c r="AI63" s="477"/>
      <c r="AJ63" s="478"/>
      <c r="AK63" s="479"/>
      <c r="AL63" s="480"/>
      <c r="AM63" s="474"/>
      <c r="AN63" s="481"/>
      <c r="AO63" s="474"/>
      <c r="AP63" s="476"/>
      <c r="AQ63" s="482"/>
      <c r="AR63" s="478"/>
      <c r="AS63" s="478"/>
      <c r="AT63" s="476"/>
      <c r="AU63" s="482"/>
      <c r="AV63" s="478"/>
      <c r="AW63" s="483"/>
      <c r="AX63" s="476"/>
      <c r="AY63" s="482"/>
      <c r="AZ63" s="478"/>
      <c r="BA63" s="484"/>
      <c r="BB63" s="474"/>
      <c r="BC63" s="485"/>
      <c r="BD63" s="485"/>
      <c r="BG63" s="487"/>
    </row>
    <row r="64" spans="1:59" s="486" customFormat="1" ht="18" customHeight="1" x14ac:dyDescent="0.2">
      <c r="A64" s="1368" t="str">
        <f t="shared" si="37"/>
        <v>JAKE - KOTO KOMBU2009</v>
      </c>
      <c r="B64" s="1373"/>
      <c r="C64" s="488"/>
      <c r="D64" s="464"/>
      <c r="E64" s="465"/>
      <c r="F64" s="466">
        <v>2009</v>
      </c>
      <c r="G64" s="620">
        <v>0</v>
      </c>
      <c r="H64" s="464">
        <f t="shared" si="38"/>
        <v>9</v>
      </c>
      <c r="I64" s="467"/>
      <c r="J64" s="468">
        <f t="shared" si="39"/>
        <v>2017</v>
      </c>
      <c r="K64" s="490">
        <f t="shared" si="40"/>
        <v>0</v>
      </c>
      <c r="L64" s="469">
        <f t="shared" si="41"/>
        <v>0</v>
      </c>
      <c r="M64" s="683">
        <f t="shared" si="42"/>
        <v>0</v>
      </c>
      <c r="N64" s="470">
        <f t="shared" si="43"/>
        <v>9</v>
      </c>
      <c r="O64" s="468">
        <f t="shared" si="44"/>
        <v>2017</v>
      </c>
      <c r="P64" s="616">
        <f t="shared" si="45"/>
        <v>6221243620.8546467</v>
      </c>
      <c r="Q64" s="472">
        <f t="shared" si="46"/>
        <v>6221243620.8546467</v>
      </c>
      <c r="R64" s="472">
        <f t="shared" si="47"/>
        <v>691249291.20607185</v>
      </c>
      <c r="S64" s="1189">
        <f t="shared" si="48"/>
        <v>2009</v>
      </c>
      <c r="T64" s="470">
        <f t="shared" si="49"/>
        <v>1</v>
      </c>
      <c r="U64" s="612">
        <f t="shared" si="50"/>
        <v>691249291.20607185</v>
      </c>
      <c r="V64" s="464">
        <f t="shared" si="51"/>
        <v>2009</v>
      </c>
      <c r="W64" s="612">
        <f t="shared" si="52"/>
        <v>5529994329.6485748</v>
      </c>
      <c r="X64" s="473"/>
      <c r="Y64" s="478"/>
      <c r="Z64" s="449"/>
      <c r="AA64" s="475"/>
      <c r="AB64" s="491"/>
      <c r="AC64" s="491"/>
      <c r="AD64" s="567"/>
      <c r="AE64" s="491"/>
      <c r="AF64" s="568"/>
      <c r="AG64" s="491"/>
      <c r="AH64" s="491"/>
      <c r="AI64" s="477"/>
      <c r="AJ64" s="478"/>
      <c r="AK64" s="479"/>
      <c r="AL64" s="480"/>
      <c r="AM64" s="474"/>
      <c r="AN64" s="481"/>
      <c r="AO64" s="474"/>
      <c r="AP64" s="476"/>
      <c r="AQ64" s="482"/>
      <c r="AR64" s="478"/>
      <c r="AS64" s="478"/>
      <c r="AT64" s="476"/>
      <c r="AU64" s="482"/>
      <c r="AV64" s="478"/>
      <c r="AW64" s="483"/>
      <c r="AX64" s="476"/>
      <c r="AY64" s="482"/>
      <c r="AZ64" s="478"/>
      <c r="BA64" s="484"/>
      <c r="BB64" s="474"/>
      <c r="BC64" s="485"/>
      <c r="BD64" s="485"/>
      <c r="BG64" s="487"/>
    </row>
    <row r="65" spans="1:59" s="486" customFormat="1" ht="18" customHeight="1" x14ac:dyDescent="0.2">
      <c r="A65" s="1368" t="str">
        <f t="shared" si="37"/>
        <v>JAKE - KOTO KOMBU2010</v>
      </c>
      <c r="B65" s="1373"/>
      <c r="C65" s="488" t="s">
        <v>5089</v>
      </c>
      <c r="D65" s="464"/>
      <c r="E65" s="465"/>
      <c r="F65" s="466">
        <v>2010</v>
      </c>
      <c r="G65" s="620">
        <v>1337771692.5776577</v>
      </c>
      <c r="H65" s="464">
        <f t="shared" si="38"/>
        <v>8</v>
      </c>
      <c r="I65" s="467"/>
      <c r="J65" s="468">
        <f t="shared" si="39"/>
        <v>2019</v>
      </c>
      <c r="K65" s="490">
        <f t="shared" si="40"/>
        <v>0.24191194652864528</v>
      </c>
      <c r="L65" s="469">
        <f t="shared" si="41"/>
        <v>2</v>
      </c>
      <c r="M65" s="683">
        <f t="shared" si="42"/>
        <v>2</v>
      </c>
      <c r="N65" s="470">
        <f t="shared" si="43"/>
        <v>10</v>
      </c>
      <c r="O65" s="468">
        <f t="shared" si="44"/>
        <v>2019</v>
      </c>
      <c r="P65" s="616">
        <f t="shared" si="45"/>
        <v>5529994329.6485748</v>
      </c>
      <c r="Q65" s="472">
        <f t="shared" si="46"/>
        <v>6867766022.2262325</v>
      </c>
      <c r="R65" s="472">
        <f t="shared" si="47"/>
        <v>686776602.22262323</v>
      </c>
      <c r="S65" s="1189">
        <f t="shared" si="48"/>
        <v>2010</v>
      </c>
      <c r="T65" s="470">
        <f t="shared" si="49"/>
        <v>1</v>
      </c>
      <c r="U65" s="612">
        <f t="shared" si="50"/>
        <v>686776602.22262323</v>
      </c>
      <c r="V65" s="464">
        <f t="shared" si="51"/>
        <v>2010</v>
      </c>
      <c r="W65" s="612">
        <f t="shared" si="52"/>
        <v>6180989420.0036097</v>
      </c>
      <c r="X65" s="473"/>
      <c r="Y65" s="478"/>
      <c r="Z65" s="449"/>
      <c r="AA65" s="475"/>
      <c r="AB65" s="491"/>
      <c r="AC65" s="491"/>
      <c r="AD65" s="567"/>
      <c r="AE65" s="491"/>
      <c r="AF65" s="568"/>
      <c r="AG65" s="491"/>
      <c r="AH65" s="491"/>
      <c r="AI65" s="477"/>
      <c r="AJ65" s="478"/>
      <c r="AK65" s="479"/>
      <c r="AL65" s="480"/>
      <c r="AM65" s="474"/>
      <c r="AN65" s="481"/>
      <c r="AO65" s="474"/>
      <c r="AP65" s="476"/>
      <c r="AQ65" s="482"/>
      <c r="AR65" s="478"/>
      <c r="AS65" s="478"/>
      <c r="AT65" s="476"/>
      <c r="AU65" s="482"/>
      <c r="AV65" s="478"/>
      <c r="AW65" s="483"/>
      <c r="AX65" s="476"/>
      <c r="AY65" s="482"/>
      <c r="AZ65" s="478"/>
      <c r="BA65" s="484"/>
      <c r="BB65" s="474"/>
      <c r="BC65" s="485"/>
      <c r="BD65" s="485"/>
      <c r="BG65" s="487"/>
    </row>
    <row r="66" spans="1:59" s="486" customFormat="1" ht="18" customHeight="1" x14ac:dyDescent="0.2">
      <c r="A66" s="1368" t="str">
        <f t="shared" si="37"/>
        <v>JAKE - KOTO KOMBU2011</v>
      </c>
      <c r="B66" s="1373"/>
      <c r="C66" s="463" t="s">
        <v>1234</v>
      </c>
      <c r="D66" s="464" t="s">
        <v>2494</v>
      </c>
      <c r="E66" s="465"/>
      <c r="F66" s="466">
        <v>2011</v>
      </c>
      <c r="G66" s="620">
        <v>1722640846.3199999</v>
      </c>
      <c r="H66" s="464">
        <f t="shared" si="38"/>
        <v>9</v>
      </c>
      <c r="I66" s="467"/>
      <c r="J66" s="468">
        <f t="shared" si="39"/>
        <v>2020</v>
      </c>
      <c r="K66" s="490">
        <f t="shared" si="40"/>
        <v>0.27869985357764843</v>
      </c>
      <c r="L66" s="469">
        <f t="shared" si="41"/>
        <v>2</v>
      </c>
      <c r="M66" s="683">
        <f t="shared" si="42"/>
        <v>1</v>
      </c>
      <c r="N66" s="470">
        <f t="shared" si="43"/>
        <v>10</v>
      </c>
      <c r="O66" s="468">
        <f t="shared" si="44"/>
        <v>2020</v>
      </c>
      <c r="P66" s="616">
        <f t="shared" si="45"/>
        <v>6180989420.0036097</v>
      </c>
      <c r="Q66" s="472">
        <f t="shared" si="46"/>
        <v>7903630266.3236094</v>
      </c>
      <c r="R66" s="472">
        <f t="shared" si="47"/>
        <v>790363026.63236094</v>
      </c>
      <c r="S66" s="1189">
        <f t="shared" si="48"/>
        <v>2011</v>
      </c>
      <c r="T66" s="470">
        <f t="shared" si="49"/>
        <v>1</v>
      </c>
      <c r="U66" s="612">
        <f t="shared" si="50"/>
        <v>790363026.63236094</v>
      </c>
      <c r="V66" s="464">
        <f t="shared" si="51"/>
        <v>2011</v>
      </c>
      <c r="W66" s="612">
        <f t="shared" si="52"/>
        <v>7113267239.6912479</v>
      </c>
      <c r="X66" s="473"/>
      <c r="Y66" s="478"/>
      <c r="Z66" s="449"/>
      <c r="AA66" s="492" t="s">
        <v>4182</v>
      </c>
      <c r="AB66" s="476"/>
      <c r="AC66" s="476"/>
      <c r="AD66" s="567">
        <f>AD61-AD62</f>
        <v>18706086574.497089</v>
      </c>
      <c r="AE66" s="476"/>
      <c r="AF66" s="568"/>
      <c r="AG66" s="476"/>
      <c r="AH66" s="476"/>
      <c r="AI66" s="477"/>
      <c r="AJ66" s="478"/>
      <c r="AK66" s="479"/>
      <c r="AL66" s="480"/>
      <c r="AM66" s="474"/>
      <c r="AN66" s="481"/>
      <c r="AO66" s="474"/>
      <c r="AP66" s="476"/>
      <c r="AQ66" s="482"/>
      <c r="AR66" s="478"/>
      <c r="AS66" s="478"/>
      <c r="AT66" s="476"/>
      <c r="AU66" s="482"/>
      <c r="AV66" s="478"/>
      <c r="AW66" s="483"/>
      <c r="AX66" s="476"/>
      <c r="AY66" s="482"/>
      <c r="AZ66" s="478"/>
      <c r="BA66" s="484"/>
      <c r="BB66" s="474"/>
      <c r="BC66" s="485"/>
      <c r="BD66" s="485"/>
      <c r="BG66" s="487"/>
    </row>
    <row r="67" spans="1:59" s="486" customFormat="1" ht="18" customHeight="1" x14ac:dyDescent="0.2">
      <c r="A67" s="1368" t="str">
        <f t="shared" si="37"/>
        <v>JAKE - KOTO KOMBU2012</v>
      </c>
      <c r="B67" s="687"/>
      <c r="C67" s="463" t="s">
        <v>1272</v>
      </c>
      <c r="D67" s="464" t="s">
        <v>2494</v>
      </c>
      <c r="E67" s="465"/>
      <c r="F67" s="466">
        <v>2012</v>
      </c>
      <c r="G67" s="620">
        <v>3375384144</v>
      </c>
      <c r="H67" s="464">
        <f t="shared" si="38"/>
        <v>9</v>
      </c>
      <c r="I67" s="467"/>
      <c r="J67" s="468">
        <f t="shared" si="39"/>
        <v>2021</v>
      </c>
      <c r="K67" s="490">
        <f t="shared" si="40"/>
        <v>0.47451951828348699</v>
      </c>
      <c r="L67" s="469">
        <f t="shared" si="41"/>
        <v>5</v>
      </c>
      <c r="M67" s="683">
        <f t="shared" si="42"/>
        <v>1</v>
      </c>
      <c r="N67" s="470">
        <f t="shared" si="43"/>
        <v>10</v>
      </c>
      <c r="O67" s="468">
        <f t="shared" si="44"/>
        <v>2021</v>
      </c>
      <c r="P67" s="616">
        <f t="shared" si="45"/>
        <v>7113267239.6912479</v>
      </c>
      <c r="Q67" s="472">
        <f t="shared" si="46"/>
        <v>10488651383.691248</v>
      </c>
      <c r="R67" s="472">
        <f t="shared" si="47"/>
        <v>1048865138.3691248</v>
      </c>
      <c r="S67" s="1189">
        <f t="shared" si="48"/>
        <v>2012</v>
      </c>
      <c r="T67" s="470">
        <f t="shared" si="49"/>
        <v>1</v>
      </c>
      <c r="U67" s="612">
        <f t="shared" si="50"/>
        <v>1048865138.3691248</v>
      </c>
      <c r="V67" s="464">
        <f t="shared" si="51"/>
        <v>2012</v>
      </c>
      <c r="W67" s="612">
        <f t="shared" si="52"/>
        <v>9439786245.3221226</v>
      </c>
      <c r="X67" s="473"/>
      <c r="Y67" s="478"/>
      <c r="Z67" s="449"/>
      <c r="AA67" s="531" t="s">
        <v>4183</v>
      </c>
      <c r="AB67" s="496"/>
      <c r="AC67" s="496"/>
      <c r="AD67" s="569">
        <f>AD66-W79</f>
        <v>0</v>
      </c>
      <c r="AE67" s="476"/>
      <c r="AF67" s="568"/>
      <c r="AG67" s="476"/>
      <c r="AH67" s="476"/>
      <c r="AI67" s="477"/>
      <c r="AJ67" s="478"/>
      <c r="AK67" s="479"/>
      <c r="AL67" s="480"/>
      <c r="AM67" s="474"/>
      <c r="AN67" s="481"/>
      <c r="AO67" s="474"/>
      <c r="AP67" s="476"/>
      <c r="AQ67" s="482"/>
      <c r="AR67" s="478"/>
      <c r="AS67" s="478"/>
      <c r="AT67" s="476"/>
      <c r="AU67" s="482"/>
      <c r="AV67" s="478"/>
      <c r="AW67" s="483"/>
      <c r="AX67" s="476"/>
      <c r="AY67" s="482"/>
      <c r="AZ67" s="478"/>
      <c r="BA67" s="484"/>
      <c r="BB67" s="474"/>
      <c r="BC67" s="485"/>
      <c r="BD67" s="485"/>
      <c r="BG67" s="487"/>
    </row>
    <row r="68" spans="1:59" s="486" customFormat="1" ht="18" customHeight="1" x14ac:dyDescent="0.2">
      <c r="A68" s="1368" t="str">
        <f t="shared" si="37"/>
        <v>JAKE - KOTO KOMBU2013</v>
      </c>
      <c r="B68" s="687"/>
      <c r="C68" s="463"/>
      <c r="D68" s="464"/>
      <c r="E68" s="465"/>
      <c r="F68" s="466">
        <v>2013</v>
      </c>
      <c r="G68" s="620">
        <v>0</v>
      </c>
      <c r="H68" s="464">
        <f t="shared" si="38"/>
        <v>9</v>
      </c>
      <c r="I68" s="467"/>
      <c r="J68" s="468">
        <f t="shared" si="39"/>
        <v>2021</v>
      </c>
      <c r="K68" s="490">
        <f t="shared" si="40"/>
        <v>0</v>
      </c>
      <c r="L68" s="469">
        <f t="shared" si="41"/>
        <v>0</v>
      </c>
      <c r="M68" s="683">
        <f t="shared" si="42"/>
        <v>0</v>
      </c>
      <c r="N68" s="470">
        <f t="shared" si="43"/>
        <v>9</v>
      </c>
      <c r="O68" s="468">
        <f t="shared" si="44"/>
        <v>2021</v>
      </c>
      <c r="P68" s="616">
        <f t="shared" si="45"/>
        <v>9439786245.3221226</v>
      </c>
      <c r="Q68" s="472">
        <f t="shared" si="46"/>
        <v>9439786245.3221226</v>
      </c>
      <c r="R68" s="472">
        <f t="shared" si="47"/>
        <v>1048865138.3691248</v>
      </c>
      <c r="S68" s="1189">
        <f t="shared" si="48"/>
        <v>2013</v>
      </c>
      <c r="T68" s="470">
        <f t="shared" si="49"/>
        <v>1</v>
      </c>
      <c r="U68" s="612">
        <f t="shared" si="50"/>
        <v>1048865138.3691248</v>
      </c>
      <c r="V68" s="464">
        <f t="shared" si="51"/>
        <v>2013</v>
      </c>
      <c r="W68" s="612">
        <f t="shared" si="52"/>
        <v>8390921106.9529982</v>
      </c>
      <c r="X68" s="473"/>
      <c r="Y68" s="478"/>
      <c r="Z68" s="449"/>
      <c r="AA68" s="573"/>
      <c r="AB68" s="476"/>
      <c r="AC68" s="476"/>
      <c r="AD68" s="568"/>
      <c r="AE68" s="476"/>
      <c r="AF68" s="568"/>
      <c r="AG68" s="476"/>
      <c r="AH68" s="476"/>
      <c r="AI68" s="477"/>
      <c r="AJ68" s="478"/>
      <c r="AK68" s="479"/>
      <c r="AL68" s="480"/>
      <c r="AM68" s="474"/>
      <c r="AN68" s="481"/>
      <c r="AO68" s="474"/>
      <c r="AP68" s="476"/>
      <c r="AQ68" s="482"/>
      <c r="AR68" s="478"/>
      <c r="AS68" s="478"/>
      <c r="AT68" s="476"/>
      <c r="AU68" s="482"/>
      <c r="AV68" s="478"/>
      <c r="AW68" s="483"/>
      <c r="AX68" s="476"/>
      <c r="AY68" s="482"/>
      <c r="AZ68" s="478"/>
      <c r="BA68" s="484"/>
      <c r="BB68" s="474"/>
      <c r="BC68" s="485"/>
      <c r="BD68" s="485"/>
      <c r="BG68" s="487"/>
    </row>
    <row r="69" spans="1:59" s="486" customFormat="1" ht="18" customHeight="1" x14ac:dyDescent="0.2">
      <c r="A69" s="1368" t="str">
        <f t="shared" si="37"/>
        <v>JAKE - KOTO KOMBU2014</v>
      </c>
      <c r="B69" s="687"/>
      <c r="C69" s="463"/>
      <c r="D69" s="464"/>
      <c r="E69" s="465"/>
      <c r="F69" s="466">
        <v>2014</v>
      </c>
      <c r="G69" s="620">
        <v>0</v>
      </c>
      <c r="H69" s="464">
        <f t="shared" si="38"/>
        <v>8</v>
      </c>
      <c r="I69" s="467"/>
      <c r="J69" s="468">
        <f t="shared" si="39"/>
        <v>2021</v>
      </c>
      <c r="K69" s="490">
        <f t="shared" si="40"/>
        <v>0</v>
      </c>
      <c r="L69" s="469">
        <f t="shared" si="41"/>
        <v>0</v>
      </c>
      <c r="M69" s="683">
        <f t="shared" si="42"/>
        <v>0</v>
      </c>
      <c r="N69" s="470">
        <f t="shared" si="43"/>
        <v>8</v>
      </c>
      <c r="O69" s="468">
        <f t="shared" si="44"/>
        <v>2021</v>
      </c>
      <c r="P69" s="616">
        <f t="shared" si="45"/>
        <v>8390921106.9529982</v>
      </c>
      <c r="Q69" s="472">
        <f t="shared" si="46"/>
        <v>8390921106.9529982</v>
      </c>
      <c r="R69" s="472">
        <f t="shared" si="47"/>
        <v>1048865138.3691248</v>
      </c>
      <c r="S69" s="1189">
        <f t="shared" si="48"/>
        <v>2014</v>
      </c>
      <c r="T69" s="470">
        <f t="shared" si="49"/>
        <v>1</v>
      </c>
      <c r="U69" s="612">
        <f t="shared" si="50"/>
        <v>1048865138.3691248</v>
      </c>
      <c r="V69" s="464">
        <f t="shared" si="51"/>
        <v>2014</v>
      </c>
      <c r="W69" s="612">
        <f t="shared" si="52"/>
        <v>7342055968.5838737</v>
      </c>
      <c r="X69" s="473"/>
      <c r="Y69" s="478"/>
      <c r="Z69" s="449"/>
      <c r="AA69" s="573"/>
      <c r="AB69" s="476"/>
      <c r="AC69" s="476"/>
      <c r="AD69" s="568"/>
      <c r="AE69" s="476"/>
      <c r="AF69" s="568"/>
      <c r="AG69" s="476"/>
      <c r="AH69" s="476"/>
      <c r="AI69" s="477"/>
      <c r="AJ69" s="478"/>
      <c r="AK69" s="479"/>
      <c r="AL69" s="480"/>
      <c r="AM69" s="474"/>
      <c r="AN69" s="481"/>
      <c r="AO69" s="474"/>
      <c r="AP69" s="476"/>
      <c r="AQ69" s="482"/>
      <c r="AR69" s="478"/>
      <c r="AS69" s="478"/>
      <c r="AT69" s="476"/>
      <c r="AU69" s="482"/>
      <c r="AV69" s="478"/>
      <c r="AW69" s="483"/>
      <c r="AX69" s="476"/>
      <c r="AY69" s="482"/>
      <c r="AZ69" s="478"/>
      <c r="BA69" s="484"/>
      <c r="BB69" s="474"/>
      <c r="BC69" s="485"/>
      <c r="BD69" s="485"/>
      <c r="BG69" s="487"/>
    </row>
    <row r="70" spans="1:59" s="486" customFormat="1" ht="18" customHeight="1" x14ac:dyDescent="0.2">
      <c r="A70" s="1368" t="str">
        <f t="shared" si="37"/>
        <v>JAKE - KOTO KOMBU2015</v>
      </c>
      <c r="B70" s="687"/>
      <c r="C70" s="494" t="s">
        <v>1374</v>
      </c>
      <c r="D70" s="464" t="s">
        <v>2494</v>
      </c>
      <c r="E70" s="465"/>
      <c r="F70" s="466">
        <v>2015</v>
      </c>
      <c r="G70" s="620">
        <f>2482976673+6993176545.30379+190538964</f>
        <v>9666692182.303791</v>
      </c>
      <c r="H70" s="464">
        <f t="shared" si="38"/>
        <v>7</v>
      </c>
      <c r="I70" s="467"/>
      <c r="J70" s="468">
        <f t="shared" si="39"/>
        <v>2024</v>
      </c>
      <c r="K70" s="490">
        <f t="shared" si="40"/>
        <v>1.3166192444823177</v>
      </c>
      <c r="L70" s="469">
        <f t="shared" si="41"/>
        <v>10</v>
      </c>
      <c r="M70" s="683">
        <f t="shared" si="42"/>
        <v>3</v>
      </c>
      <c r="N70" s="470">
        <f t="shared" si="43"/>
        <v>10</v>
      </c>
      <c r="O70" s="468">
        <f t="shared" si="44"/>
        <v>2024</v>
      </c>
      <c r="P70" s="616">
        <f t="shared" si="45"/>
        <v>7342055968.5838737</v>
      </c>
      <c r="Q70" s="472">
        <f t="shared" si="46"/>
        <v>17008748150.887665</v>
      </c>
      <c r="R70" s="472">
        <f t="shared" si="47"/>
        <v>1700874815.0887666</v>
      </c>
      <c r="S70" s="1189">
        <f t="shared" si="48"/>
        <v>2015</v>
      </c>
      <c r="T70" s="470">
        <f t="shared" si="49"/>
        <v>1</v>
      </c>
      <c r="U70" s="612">
        <f t="shared" si="50"/>
        <v>1700874815.0887666</v>
      </c>
      <c r="V70" s="464">
        <f t="shared" si="51"/>
        <v>2015</v>
      </c>
      <c r="W70" s="612">
        <f t="shared" si="52"/>
        <v>15307873335.798899</v>
      </c>
      <c r="X70" s="473"/>
      <c r="Y70" s="478"/>
      <c r="Z70" s="449"/>
      <c r="AA70" s="497"/>
      <c r="AB70" s="476"/>
      <c r="AC70" s="476"/>
      <c r="AD70" s="568"/>
      <c r="AE70" s="476"/>
      <c r="AF70" s="568"/>
      <c r="AG70" s="476"/>
      <c r="AH70" s="476"/>
      <c r="AI70" s="477"/>
      <c r="AJ70" s="478"/>
      <c r="AK70" s="479"/>
      <c r="AL70" s="480"/>
      <c r="AM70" s="474"/>
      <c r="AN70" s="481"/>
      <c r="AO70" s="474"/>
      <c r="AP70" s="476"/>
      <c r="AQ70" s="482"/>
      <c r="AR70" s="478"/>
      <c r="AS70" s="478"/>
      <c r="AT70" s="476"/>
      <c r="AU70" s="482"/>
      <c r="AV70" s="478"/>
      <c r="AW70" s="483"/>
      <c r="AX70" s="476"/>
      <c r="AY70" s="482"/>
      <c r="AZ70" s="478"/>
      <c r="BA70" s="484"/>
      <c r="BB70" s="474"/>
      <c r="BC70" s="485"/>
      <c r="BD70" s="485"/>
      <c r="BG70" s="487"/>
    </row>
    <row r="71" spans="1:59" s="486" customFormat="1" ht="18" customHeight="1" x14ac:dyDescent="0.2">
      <c r="A71" s="1368" t="str">
        <f t="shared" si="37"/>
        <v>JAKE - KOTO KOMBU2015</v>
      </c>
      <c r="B71" s="687"/>
      <c r="C71" s="463" t="s">
        <v>1386</v>
      </c>
      <c r="D71" s="464" t="s">
        <v>2494</v>
      </c>
      <c r="E71" s="465"/>
      <c r="F71" s="466">
        <v>2015</v>
      </c>
      <c r="G71" s="620">
        <v>0</v>
      </c>
      <c r="H71" s="464">
        <f t="shared" si="38"/>
        <v>10</v>
      </c>
      <c r="I71" s="467"/>
      <c r="J71" s="468">
        <f t="shared" si="39"/>
        <v>2024</v>
      </c>
      <c r="K71" s="490">
        <f t="shared" si="40"/>
        <v>0</v>
      </c>
      <c r="L71" s="469">
        <f t="shared" si="41"/>
        <v>0</v>
      </c>
      <c r="M71" s="683">
        <f t="shared" si="42"/>
        <v>0</v>
      </c>
      <c r="N71" s="470">
        <f t="shared" si="43"/>
        <v>10</v>
      </c>
      <c r="O71" s="468">
        <f t="shared" si="44"/>
        <v>2024</v>
      </c>
      <c r="P71" s="616">
        <f t="shared" si="45"/>
        <v>15307873335.798899</v>
      </c>
      <c r="Q71" s="472">
        <f t="shared" si="46"/>
        <v>15307873335.798899</v>
      </c>
      <c r="R71" s="472">
        <f t="shared" si="47"/>
        <v>1700874815.0887666</v>
      </c>
      <c r="S71" s="1189">
        <f t="shared" si="48"/>
        <v>2015</v>
      </c>
      <c r="T71" s="470">
        <f t="shared" si="49"/>
        <v>0</v>
      </c>
      <c r="U71" s="612">
        <f t="shared" si="50"/>
        <v>0</v>
      </c>
      <c r="V71" s="464">
        <f t="shared" si="51"/>
        <v>2015</v>
      </c>
      <c r="W71" s="612">
        <f t="shared" si="52"/>
        <v>15307873335.798899</v>
      </c>
      <c r="X71" s="473"/>
      <c r="Y71" s="497"/>
      <c r="Z71" s="449"/>
      <c r="AA71" s="497"/>
      <c r="AB71" s="476"/>
      <c r="AC71" s="497"/>
      <c r="AD71" s="568"/>
      <c r="AE71" s="476"/>
      <c r="AF71" s="568"/>
      <c r="AG71" s="476"/>
      <c r="AH71" s="476"/>
      <c r="AI71" s="477"/>
      <c r="AJ71" s="478"/>
      <c r="AK71" s="479"/>
      <c r="AL71" s="480"/>
      <c r="AM71" s="474"/>
      <c r="AN71" s="481"/>
      <c r="AO71" s="474"/>
      <c r="AP71" s="476"/>
      <c r="AQ71" s="482"/>
      <c r="AR71" s="478"/>
      <c r="AS71" s="478"/>
      <c r="AT71" s="476"/>
      <c r="AU71" s="482"/>
      <c r="AV71" s="478"/>
      <c r="AW71" s="483"/>
      <c r="AX71" s="476"/>
      <c r="AY71" s="482"/>
      <c r="AZ71" s="478"/>
      <c r="BA71" s="484"/>
      <c r="BB71" s="474"/>
      <c r="BC71" s="485"/>
      <c r="BD71" s="485"/>
      <c r="BG71" s="487"/>
    </row>
    <row r="72" spans="1:59" s="486" customFormat="1" ht="18" customHeight="1" x14ac:dyDescent="0.2">
      <c r="A72" s="1368" t="str">
        <f t="shared" si="37"/>
        <v>JAKE - KOTO KOMBU2015</v>
      </c>
      <c r="B72" s="687"/>
      <c r="C72" s="463" t="s">
        <v>1404</v>
      </c>
      <c r="D72" s="464" t="s">
        <v>2494</v>
      </c>
      <c r="E72" s="465"/>
      <c r="F72" s="466">
        <v>2015</v>
      </c>
      <c r="G72" s="620">
        <v>0</v>
      </c>
      <c r="H72" s="464">
        <f t="shared" si="38"/>
        <v>10</v>
      </c>
      <c r="I72" s="467"/>
      <c r="J72" s="468">
        <f t="shared" si="39"/>
        <v>2024</v>
      </c>
      <c r="K72" s="490">
        <f t="shared" si="40"/>
        <v>0</v>
      </c>
      <c r="L72" s="469">
        <f t="shared" si="41"/>
        <v>0</v>
      </c>
      <c r="M72" s="683">
        <f t="shared" si="42"/>
        <v>0</v>
      </c>
      <c r="N72" s="470">
        <f t="shared" si="43"/>
        <v>10</v>
      </c>
      <c r="O72" s="468">
        <f t="shared" si="44"/>
        <v>2024</v>
      </c>
      <c r="P72" s="616">
        <f t="shared" si="45"/>
        <v>15307873335.798899</v>
      </c>
      <c r="Q72" s="472">
        <f t="shared" si="46"/>
        <v>15307873335.798899</v>
      </c>
      <c r="R72" s="472">
        <f t="shared" si="47"/>
        <v>1700874815.0887666</v>
      </c>
      <c r="S72" s="1189">
        <f t="shared" si="48"/>
        <v>2015</v>
      </c>
      <c r="T72" s="470">
        <f t="shared" si="49"/>
        <v>0</v>
      </c>
      <c r="U72" s="612">
        <f t="shared" si="50"/>
        <v>0</v>
      </c>
      <c r="V72" s="464">
        <f t="shared" si="51"/>
        <v>2015</v>
      </c>
      <c r="W72" s="612">
        <f t="shared" si="52"/>
        <v>15307873335.798899</v>
      </c>
      <c r="X72" s="473"/>
      <c r="Y72" s="497"/>
      <c r="Z72" s="449"/>
      <c r="AA72" s="497"/>
      <c r="AB72" s="476"/>
      <c r="AC72" s="497"/>
      <c r="AD72" s="568"/>
      <c r="AE72" s="476"/>
      <c r="AF72" s="568"/>
      <c r="AG72" s="476"/>
      <c r="AH72" s="476"/>
      <c r="AI72" s="477"/>
      <c r="AJ72" s="478"/>
      <c r="AK72" s="479"/>
      <c r="AL72" s="480"/>
      <c r="AM72" s="474"/>
      <c r="AN72" s="481"/>
      <c r="AO72" s="474"/>
      <c r="AP72" s="476"/>
      <c r="AQ72" s="482"/>
      <c r="AR72" s="478"/>
      <c r="AS72" s="478"/>
      <c r="AT72" s="476"/>
      <c r="AU72" s="482"/>
      <c r="AV72" s="478"/>
      <c r="AW72" s="483"/>
      <c r="AX72" s="476"/>
      <c r="AY72" s="482"/>
      <c r="AZ72" s="478"/>
      <c r="BA72" s="484"/>
      <c r="BB72" s="474"/>
      <c r="BC72" s="485"/>
      <c r="BD72" s="485"/>
      <c r="BG72" s="487"/>
    </row>
    <row r="73" spans="1:59" s="486" customFormat="1" ht="18" customHeight="1" x14ac:dyDescent="0.2">
      <c r="A73" s="1368" t="str">
        <f t="shared" si="37"/>
        <v>JAKE - KOTO KOMBU2016</v>
      </c>
      <c r="B73" s="687"/>
      <c r="C73" s="463"/>
      <c r="D73" s="464"/>
      <c r="E73" s="465"/>
      <c r="F73" s="466">
        <v>2016</v>
      </c>
      <c r="G73" s="620">
        <v>0</v>
      </c>
      <c r="H73" s="464">
        <f t="shared" si="38"/>
        <v>9</v>
      </c>
      <c r="I73" s="467"/>
      <c r="J73" s="468">
        <f t="shared" si="39"/>
        <v>2024</v>
      </c>
      <c r="K73" s="490">
        <f t="shared" si="40"/>
        <v>0</v>
      </c>
      <c r="L73" s="469">
        <f t="shared" si="41"/>
        <v>0</v>
      </c>
      <c r="M73" s="683">
        <f t="shared" si="42"/>
        <v>0</v>
      </c>
      <c r="N73" s="470">
        <f t="shared" si="43"/>
        <v>9</v>
      </c>
      <c r="O73" s="468">
        <f t="shared" si="44"/>
        <v>2024</v>
      </c>
      <c r="P73" s="616">
        <f t="shared" si="45"/>
        <v>15307873335.798899</v>
      </c>
      <c r="Q73" s="472">
        <f t="shared" si="46"/>
        <v>15307873335.798899</v>
      </c>
      <c r="R73" s="472">
        <f t="shared" si="47"/>
        <v>1700874815.0887666</v>
      </c>
      <c r="S73" s="1189">
        <f t="shared" si="48"/>
        <v>2016</v>
      </c>
      <c r="T73" s="470">
        <f t="shared" si="49"/>
        <v>1</v>
      </c>
      <c r="U73" s="612">
        <f t="shared" si="50"/>
        <v>1700874815.0887666</v>
      </c>
      <c r="V73" s="464">
        <f t="shared" si="51"/>
        <v>2016</v>
      </c>
      <c r="W73" s="612">
        <f t="shared" si="52"/>
        <v>13606998520.710133</v>
      </c>
      <c r="X73" s="473"/>
      <c r="Y73" s="497"/>
      <c r="Z73" s="449"/>
      <c r="AA73" s="497"/>
      <c r="AB73" s="476"/>
      <c r="AC73" s="497"/>
      <c r="AD73" s="568"/>
      <c r="AE73" s="476"/>
      <c r="AF73" s="568"/>
      <c r="AG73" s="476"/>
      <c r="AH73" s="476"/>
      <c r="AI73" s="477"/>
      <c r="AJ73" s="478"/>
      <c r="AK73" s="479"/>
      <c r="AL73" s="480"/>
      <c r="AM73" s="474"/>
      <c r="AN73" s="481"/>
      <c r="AO73" s="474"/>
      <c r="AP73" s="476"/>
      <c r="AQ73" s="482"/>
      <c r="AR73" s="478"/>
      <c r="AS73" s="478"/>
      <c r="AT73" s="476"/>
      <c r="AU73" s="482"/>
      <c r="AV73" s="478"/>
      <c r="AW73" s="483"/>
      <c r="AX73" s="476"/>
      <c r="AY73" s="482"/>
      <c r="AZ73" s="478"/>
      <c r="BA73" s="484"/>
      <c r="BB73" s="474"/>
      <c r="BC73" s="485"/>
      <c r="BD73" s="485"/>
      <c r="BG73" s="487"/>
    </row>
    <row r="74" spans="1:59" s="486" customFormat="1" ht="18" customHeight="1" x14ac:dyDescent="0.2">
      <c r="A74" s="1368" t="str">
        <f t="shared" si="37"/>
        <v>JAKE - KOTO KOMBU2017</v>
      </c>
      <c r="B74" s="687"/>
      <c r="C74" s="463" t="s">
        <v>3037</v>
      </c>
      <c r="D74" s="464" t="s">
        <v>2494</v>
      </c>
      <c r="E74" s="465"/>
      <c r="F74" s="466">
        <v>2017</v>
      </c>
      <c r="G74" s="620">
        <f>12869362300+246620000</f>
        <v>13115982300</v>
      </c>
      <c r="H74" s="464">
        <f t="shared" si="38"/>
        <v>8</v>
      </c>
      <c r="I74" s="467"/>
      <c r="J74" s="468">
        <f t="shared" si="39"/>
        <v>2026</v>
      </c>
      <c r="K74" s="490">
        <f t="shared" si="40"/>
        <v>0.96391443565141899</v>
      </c>
      <c r="L74" s="469">
        <f t="shared" si="41"/>
        <v>10</v>
      </c>
      <c r="M74" s="683">
        <f t="shared" si="42"/>
        <v>2</v>
      </c>
      <c r="N74" s="470">
        <f t="shared" si="43"/>
        <v>10</v>
      </c>
      <c r="O74" s="468">
        <f t="shared" si="44"/>
        <v>2026</v>
      </c>
      <c r="P74" s="616">
        <f t="shared" si="45"/>
        <v>13606998520.710133</v>
      </c>
      <c r="Q74" s="472">
        <f t="shared" si="46"/>
        <v>26722980820.710133</v>
      </c>
      <c r="R74" s="472">
        <f t="shared" si="47"/>
        <v>2672298082.0710135</v>
      </c>
      <c r="S74" s="1189">
        <f t="shared" si="48"/>
        <v>2017</v>
      </c>
      <c r="T74" s="470">
        <f t="shared" si="49"/>
        <v>1</v>
      </c>
      <c r="U74" s="612">
        <f t="shared" si="50"/>
        <v>2672298082.0710135</v>
      </c>
      <c r="V74" s="464">
        <f t="shared" si="51"/>
        <v>2017</v>
      </c>
      <c r="W74" s="612">
        <f t="shared" si="52"/>
        <v>24050682738.639118</v>
      </c>
      <c r="X74" s="473"/>
      <c r="Y74" s="497"/>
      <c r="Z74" s="449"/>
      <c r="AA74" s="497"/>
      <c r="AB74" s="476"/>
      <c r="AC74" s="497"/>
      <c r="AD74" s="568"/>
      <c r="AE74" s="476"/>
      <c r="AF74" s="568"/>
      <c r="AG74" s="476"/>
      <c r="AH74" s="476"/>
      <c r="AI74" s="477"/>
      <c r="AJ74" s="478"/>
      <c r="AK74" s="479"/>
      <c r="AL74" s="480"/>
      <c r="AM74" s="474"/>
      <c r="AN74" s="481"/>
      <c r="AO74" s="474"/>
      <c r="AP74" s="476"/>
      <c r="AQ74" s="482"/>
      <c r="AR74" s="478"/>
      <c r="AS74" s="478"/>
      <c r="AT74" s="476"/>
      <c r="AU74" s="482"/>
      <c r="AV74" s="478"/>
      <c r="AW74" s="483"/>
      <c r="AX74" s="476"/>
      <c r="AY74" s="482"/>
      <c r="AZ74" s="478"/>
      <c r="BA74" s="484"/>
      <c r="BB74" s="474"/>
      <c r="BC74" s="485"/>
      <c r="BD74" s="485"/>
      <c r="BG74" s="487"/>
    </row>
    <row r="75" spans="1:59" s="486" customFormat="1" ht="18" customHeight="1" x14ac:dyDescent="0.2">
      <c r="A75" s="1368" t="str">
        <f t="shared" si="37"/>
        <v>JAKE - KOTO KOMBU2017</v>
      </c>
      <c r="B75" s="687"/>
      <c r="C75" s="463" t="s">
        <v>3038</v>
      </c>
      <c r="D75" s="464" t="s">
        <v>2494</v>
      </c>
      <c r="E75" s="465"/>
      <c r="F75" s="466">
        <v>2017</v>
      </c>
      <c r="G75" s="620">
        <v>0</v>
      </c>
      <c r="H75" s="464">
        <f t="shared" si="38"/>
        <v>10</v>
      </c>
      <c r="I75" s="467"/>
      <c r="J75" s="468">
        <f t="shared" si="39"/>
        <v>2026</v>
      </c>
      <c r="K75" s="490">
        <f t="shared" si="40"/>
        <v>0</v>
      </c>
      <c r="L75" s="469">
        <f t="shared" si="41"/>
        <v>0</v>
      </c>
      <c r="M75" s="683">
        <f t="shared" si="42"/>
        <v>0</v>
      </c>
      <c r="N75" s="470">
        <f t="shared" si="43"/>
        <v>10</v>
      </c>
      <c r="O75" s="468">
        <f t="shared" si="44"/>
        <v>2026</v>
      </c>
      <c r="P75" s="616">
        <f t="shared" si="45"/>
        <v>24050682738.639118</v>
      </c>
      <c r="Q75" s="472">
        <f t="shared" si="46"/>
        <v>24050682738.639118</v>
      </c>
      <c r="R75" s="472">
        <f t="shared" si="47"/>
        <v>2672298082.0710135</v>
      </c>
      <c r="S75" s="1189">
        <f t="shared" si="48"/>
        <v>2017</v>
      </c>
      <c r="T75" s="470">
        <f t="shared" si="49"/>
        <v>0</v>
      </c>
      <c r="U75" s="612">
        <f t="shared" si="50"/>
        <v>0</v>
      </c>
      <c r="V75" s="464">
        <f t="shared" si="51"/>
        <v>2017</v>
      </c>
      <c r="W75" s="612">
        <f t="shared" si="52"/>
        <v>24050682738.639118</v>
      </c>
      <c r="X75" s="473"/>
      <c r="Y75" s="497"/>
      <c r="Z75" s="449"/>
      <c r="AA75" s="497"/>
      <c r="AB75" s="476"/>
      <c r="AC75" s="497"/>
      <c r="AD75" s="568"/>
      <c r="AE75" s="476"/>
      <c r="AF75" s="568"/>
      <c r="AG75" s="476"/>
      <c r="AH75" s="476"/>
      <c r="AI75" s="477"/>
      <c r="AJ75" s="478"/>
      <c r="AK75" s="479"/>
      <c r="AL75" s="480"/>
      <c r="AM75" s="474"/>
      <c r="AN75" s="481"/>
      <c r="AO75" s="474"/>
      <c r="AP75" s="476"/>
      <c r="AQ75" s="482"/>
      <c r="AR75" s="478"/>
      <c r="AS75" s="478"/>
      <c r="AT75" s="476"/>
      <c r="AU75" s="482"/>
      <c r="AV75" s="478"/>
      <c r="AW75" s="483"/>
      <c r="AX75" s="476"/>
      <c r="AY75" s="482"/>
      <c r="AZ75" s="478"/>
      <c r="BA75" s="484"/>
      <c r="BB75" s="474"/>
      <c r="BC75" s="485"/>
      <c r="BD75" s="485"/>
      <c r="BG75" s="487"/>
    </row>
    <row r="76" spans="1:59" s="486" customFormat="1" ht="18" customHeight="1" x14ac:dyDescent="0.2">
      <c r="A76" s="1368" t="str">
        <f t="shared" si="37"/>
        <v>JAKE - KOTO KOMBU2018</v>
      </c>
      <c r="B76" s="687"/>
      <c r="C76" s="463"/>
      <c r="D76" s="464"/>
      <c r="E76" s="465"/>
      <c r="F76" s="466">
        <v>2018</v>
      </c>
      <c r="G76" s="620">
        <v>0</v>
      </c>
      <c r="H76" s="464">
        <f t="shared" si="38"/>
        <v>9</v>
      </c>
      <c r="I76" s="467"/>
      <c r="J76" s="468">
        <f t="shared" si="39"/>
        <v>2026</v>
      </c>
      <c r="K76" s="490">
        <f t="shared" si="40"/>
        <v>0</v>
      </c>
      <c r="L76" s="469">
        <f t="shared" si="41"/>
        <v>0</v>
      </c>
      <c r="M76" s="683">
        <f t="shared" si="42"/>
        <v>0</v>
      </c>
      <c r="N76" s="470">
        <f t="shared" si="43"/>
        <v>9</v>
      </c>
      <c r="O76" s="468">
        <f t="shared" si="44"/>
        <v>2026</v>
      </c>
      <c r="P76" s="616">
        <f t="shared" si="45"/>
        <v>24050682738.639118</v>
      </c>
      <c r="Q76" s="472">
        <f t="shared" si="46"/>
        <v>24050682738.639118</v>
      </c>
      <c r="R76" s="472">
        <f t="shared" si="47"/>
        <v>2672298082.0710135</v>
      </c>
      <c r="S76" s="1189">
        <f t="shared" si="48"/>
        <v>2018</v>
      </c>
      <c r="T76" s="470">
        <f t="shared" si="49"/>
        <v>1</v>
      </c>
      <c r="U76" s="612">
        <f t="shared" si="50"/>
        <v>2672298082.0710135</v>
      </c>
      <c r="V76" s="464">
        <f t="shared" si="51"/>
        <v>2018</v>
      </c>
      <c r="W76" s="612">
        <f t="shared" si="52"/>
        <v>21378384656.568104</v>
      </c>
      <c r="X76" s="473"/>
      <c r="Y76" s="497"/>
      <c r="Z76" s="449"/>
      <c r="AA76" s="497"/>
      <c r="AB76" s="476"/>
      <c r="AC76" s="497"/>
      <c r="AD76" s="568"/>
      <c r="AE76" s="476"/>
      <c r="AF76" s="568"/>
      <c r="AG76" s="476"/>
      <c r="AH76" s="476"/>
      <c r="AI76" s="477"/>
      <c r="AJ76" s="478"/>
      <c r="AK76" s="479"/>
      <c r="AL76" s="480"/>
      <c r="AM76" s="474"/>
      <c r="AN76" s="481"/>
      <c r="AO76" s="474"/>
      <c r="AP76" s="476"/>
      <c r="AQ76" s="482"/>
      <c r="AR76" s="478"/>
      <c r="AS76" s="478"/>
      <c r="AT76" s="476"/>
      <c r="AU76" s="482"/>
      <c r="AV76" s="478"/>
      <c r="AW76" s="483"/>
      <c r="AX76" s="476"/>
      <c r="AY76" s="482"/>
      <c r="AZ76" s="478"/>
      <c r="BA76" s="484"/>
      <c r="BB76" s="474"/>
      <c r="BC76" s="485"/>
      <c r="BD76" s="485"/>
      <c r="BG76" s="487"/>
    </row>
    <row r="77" spans="1:59" s="486" customFormat="1" ht="18" customHeight="1" x14ac:dyDescent="0.2">
      <c r="A77" s="1368" t="str">
        <f t="shared" si="37"/>
        <v>JAKE - KOTO KOMBU2019</v>
      </c>
      <c r="B77" s="687"/>
      <c r="C77" s="463"/>
      <c r="D77" s="464"/>
      <c r="E77" s="465"/>
      <c r="F77" s="466">
        <v>2019</v>
      </c>
      <c r="G77" s="620">
        <v>0</v>
      </c>
      <c r="H77" s="464">
        <f>IF(N76-(F77-F76)&lt;=0,0,(N76-(F77-F76)))</f>
        <v>8</v>
      </c>
      <c r="I77" s="467"/>
      <c r="J77" s="468">
        <f>(F77+N77)-1</f>
        <v>2026</v>
      </c>
      <c r="K77" s="490">
        <f>IF(G77=0,0,IF(H77=10,100%,G77/W76))</f>
        <v>0</v>
      </c>
      <c r="L77" s="469">
        <f>IF(K77=0%,0,IF(K77&lt;=30%,2,IF(K77&lt;=60%,5,10)))</f>
        <v>0</v>
      </c>
      <c r="M77" s="683">
        <f>IF(OR(AND(ISBLANK(E77),ISBLANK(G77)),ISTEXT(E77),ISTEXT(G77)),"",IF(H77+L77&gt;$H$59,$H$59-H77,L77))</f>
        <v>0</v>
      </c>
      <c r="N77" s="470">
        <f>IF(OR(AND(ISBLANK(F77),ISBLANK(G77)),ISTEXT(F77),ISTEXT(G77)),"",H77+M77)</f>
        <v>8</v>
      </c>
      <c r="O77" s="468">
        <f>(F77+N77)-1</f>
        <v>2026</v>
      </c>
      <c r="P77" s="616">
        <f>W76</f>
        <v>21378384656.568104</v>
      </c>
      <c r="Q77" s="472">
        <f>P77+G77</f>
        <v>21378384656.568104</v>
      </c>
      <c r="R77" s="472">
        <f>IF(L77=0,R76,Q77/N77)</f>
        <v>2672298082.0710135</v>
      </c>
      <c r="S77" s="1189">
        <f>F77</f>
        <v>2019</v>
      </c>
      <c r="T77" s="470">
        <f>S77-S76</f>
        <v>1</v>
      </c>
      <c r="U77" s="612">
        <f>R77*T77</f>
        <v>2672298082.0710135</v>
      </c>
      <c r="V77" s="464">
        <f>F77</f>
        <v>2019</v>
      </c>
      <c r="W77" s="612">
        <f>IF(OR(AND(ISBLANK(F77),ISBLANK(G77)),ISTEXT(F77),ISTEXT(G77)),"",Q77-U77)</f>
        <v>18706086574.497089</v>
      </c>
      <c r="X77" s="473"/>
      <c r="Y77" s="497"/>
      <c r="Z77" s="449"/>
      <c r="AA77" s="497"/>
      <c r="AB77" s="476"/>
      <c r="AC77" s="497"/>
      <c r="AD77" s="568"/>
      <c r="AE77" s="476"/>
      <c r="AF77" s="568"/>
      <c r="AG77" s="476"/>
      <c r="AH77" s="476"/>
      <c r="AI77" s="477"/>
      <c r="AJ77" s="478"/>
      <c r="AK77" s="479"/>
      <c r="AL77" s="480"/>
      <c r="AM77" s="474"/>
      <c r="AN77" s="481"/>
      <c r="AO77" s="474"/>
      <c r="AP77" s="476"/>
      <c r="AQ77" s="482"/>
      <c r="AR77" s="478"/>
      <c r="AS77" s="478"/>
      <c r="AT77" s="476"/>
      <c r="AU77" s="482"/>
      <c r="AV77" s="478"/>
      <c r="AW77" s="483"/>
      <c r="AX77" s="476"/>
      <c r="AY77" s="482"/>
      <c r="AZ77" s="478"/>
      <c r="BA77" s="484"/>
      <c r="BB77" s="474"/>
      <c r="BC77" s="485"/>
      <c r="BD77" s="485"/>
      <c r="BG77" s="487"/>
    </row>
    <row r="78" spans="1:59" s="486" customFormat="1" ht="18" customHeight="1" x14ac:dyDescent="0.2">
      <c r="A78" s="1369"/>
      <c r="B78" s="687"/>
      <c r="C78" s="463"/>
      <c r="D78" s="464"/>
      <c r="E78" s="465"/>
      <c r="F78" s="759"/>
      <c r="G78" s="620"/>
      <c r="H78" s="469" t="str">
        <f>IF(OR(AND(ISBLANK(E78),ISBLANK(G78)),ISTEXT(E78),ISTEXT(G78)),"",IF(#REF!-(YEAR(E78)-YEAR(#REF!))&lt;0,0,#REF!-(YEAR(E78)-YEAR(#REF!))))</f>
        <v/>
      </c>
      <c r="I78" s="467" t="str">
        <f>IF(OR(AND(ISBLANK(E78),ISBLANK(G78)),ISTEXT(E78),ISTEXT(G78)),"",IF(#REF!-E78&lt;0,0,#REF!-E78))</f>
        <v/>
      </c>
      <c r="J78" s="498" t="str">
        <f>IF(OR(AND(ISBLANK(E78),ISBLANK(G78)),ISTEXT(E78),ISTEXT(G78)),"",#REF!)</f>
        <v/>
      </c>
      <c r="K78" s="498"/>
      <c r="L78" s="469" t="str">
        <f>IF(OR(AND(ISBLANK(E78),ISBLANK(G78)),ISTEXT(E78),ISTEXT(G78)),"",ROUNDDOWN(G78/SUM($G$57:G71)*$H$57,0))</f>
        <v/>
      </c>
      <c r="M78" s="683" t="str">
        <f>IF(OR(AND(ISBLANK(E78),ISBLANK(G78)),ISTEXT(E78),ISTEXT(G78)),"",IF(H78+L78&gt;$H$57,$H$57-H78,L78))</f>
        <v/>
      </c>
      <c r="N78" s="470" t="str">
        <f>IF(OR(AND(ISBLANK(E78),ISBLANK(G78)),ISTEXT(E78),ISTEXT(G78)),"",H78+M78)</f>
        <v/>
      </c>
      <c r="O78" s="498" t="str">
        <f>IF(OR(AND(ISBLANK(E78),ISBLANK(G78)),ISTEXT(E78),ISTEXT(G78)),"",DATE(YEAR($J78)+M78,MONTH($J78),DAY($J78)))</f>
        <v/>
      </c>
      <c r="P78" s="748" t="str">
        <f>IF(OR(AND(ISBLANK(E78),ISBLANK(G78)),ISTEXT(E78),ISTEXT(G78)),"",#REF!-#REF!*(IF(J78&lt;E78,J78,E78)-#REF!))</f>
        <v/>
      </c>
      <c r="Q78" s="500" t="str">
        <f>IF(OR(AND(ISBLANK(E78),ISBLANK(G78)),ISTEXT(E78),ISTEXT(G78)),"",P78+G78)</f>
        <v/>
      </c>
      <c r="R78" s="501" t="str">
        <f>IF(OR(AND(ISBLANK(E78),ISBLANK(G78)),ISTEXT(E78),ISTEXT(G78)),"",IF(OR(E78&lt;DATE(2004,12,31),#REF!=0),0,Q78/#REF!))</f>
        <v/>
      </c>
      <c r="S78" s="502" t="str">
        <f>IF(OR(AND(ISBLANK(E78),ISBLANK(G78)),ISTEXT(E78),ISTEXT(G78)),"",IF(YEAR(E78)&lt;=YEAR(#REF!),"-",YEAR(E78)-1))</f>
        <v/>
      </c>
      <c r="T78" s="502"/>
      <c r="U78" s="612" t="str">
        <f>IF(OR(AND(ISBLANK(E78),ISBLANK(G78)),ISTEXT(E78),ISTEXT(G78)),"",IF(AND(J78&lt;=DATE(2004,12,31),E78&gt;J78),SUM($G78:G78),#REF!+#REF!+#REF!*IF(YEAR(E78)&lt;=YEAR(#REF!),0,(IF(DATE(YEAR(E78)-1,12,31)&gt;J78,J78,DATE(YEAR(E78)-1,12,31))-#REF!))))</f>
        <v/>
      </c>
      <c r="V78" s="503" t="str">
        <f>IF(OR(AND(ISBLANK(E78),ISBLANK(G78)),ISTEXT(E78),ISTEXT(G78)),"",IF(YEAR(E78)=YEAR(E79),E79,DATE(YEAR(E78),12,31)))</f>
        <v/>
      </c>
      <c r="W78" s="612" t="str">
        <f>IF(OR(AND(ISBLANK(E78),ISBLANK(G78)),ISTEXT(E78),ISTEXT(G78)),"",IF(Q78=0,0,IF(AND(J78&lt;=DATE(2004,12,31),E78&gt;=J78),Q78-U78,Q78-#REF!)))</f>
        <v/>
      </c>
      <c r="X78" s="504" t="str">
        <f>IF(OR(AND(ISBLANK(E78),ISBLANK(G78)),ISTEXT(E78),ISTEXT(G78)),"",$D$57&amp;"//"&amp;TEXT($E$57,"dd-mmm-yyyy")&amp;"//"&amp;#REF!)</f>
        <v/>
      </c>
      <c r="Y78" s="476"/>
      <c r="Z78" s="476"/>
      <c r="AA78" s="476"/>
      <c r="AB78" s="476"/>
      <c r="AC78" s="476"/>
      <c r="AD78" s="568"/>
      <c r="AE78" s="476"/>
      <c r="AF78" s="568"/>
      <c r="AG78" s="476"/>
      <c r="AH78" s="476"/>
      <c r="AI78" s="477"/>
      <c r="AJ78" s="478"/>
      <c r="AK78" s="479"/>
      <c r="AL78" s="480"/>
      <c r="AM78" s="474"/>
      <c r="AN78" s="481"/>
      <c r="AO78" s="474"/>
      <c r="AP78" s="476"/>
      <c r="AQ78" s="482"/>
      <c r="AR78" s="478"/>
      <c r="AS78" s="478"/>
      <c r="AT78" s="476"/>
      <c r="AU78" s="482"/>
      <c r="AV78" s="478"/>
      <c r="AW78" s="483"/>
      <c r="AX78" s="476"/>
      <c r="AY78" s="482"/>
      <c r="AZ78" s="478"/>
      <c r="BA78" s="484"/>
      <c r="BB78" s="474"/>
      <c r="BC78" s="485"/>
      <c r="BD78" s="485"/>
      <c r="BG78" s="487"/>
    </row>
    <row r="79" spans="1:59" s="526" customFormat="1" ht="18" customHeight="1" x14ac:dyDescent="0.2">
      <c r="A79" s="1370" t="s">
        <v>4184</v>
      </c>
      <c r="B79" s="1956" t="s">
        <v>4184</v>
      </c>
      <c r="C79" s="1957"/>
      <c r="D79" s="1957"/>
      <c r="E79" s="1957"/>
      <c r="F79" s="1958"/>
      <c r="G79" s="621">
        <f>SUM(G59:G78)</f>
        <v>45211954044.395828</v>
      </c>
      <c r="H79" s="505"/>
      <c r="I79" s="506"/>
      <c r="J79" s="507"/>
      <c r="K79" s="507"/>
      <c r="L79" s="505"/>
      <c r="M79" s="684"/>
      <c r="N79" s="508"/>
      <c r="O79" s="507"/>
      <c r="P79" s="749"/>
      <c r="Q79" s="510"/>
      <c r="R79" s="511"/>
      <c r="S79" s="512"/>
      <c r="T79" s="512"/>
      <c r="U79" s="610">
        <f>SUM(U59:U78)</f>
        <v>26505867469.898739</v>
      </c>
      <c r="V79" s="513"/>
      <c r="W79" s="610">
        <f>G79-U79</f>
        <v>18706086574.497089</v>
      </c>
      <c r="X79" s="514"/>
      <c r="Y79" s="515"/>
      <c r="Z79" s="515"/>
      <c r="AA79" s="515"/>
      <c r="AB79" s="515"/>
      <c r="AC79" s="515"/>
      <c r="AD79" s="570"/>
      <c r="AE79" s="515"/>
      <c r="AF79" s="570">
        <v>27625989850.25502</v>
      </c>
      <c r="AG79" s="515"/>
      <c r="AH79" s="515"/>
      <c r="AI79" s="516"/>
      <c r="AJ79" s="517"/>
      <c r="AK79" s="518"/>
      <c r="AL79" s="519"/>
      <c r="AM79" s="520"/>
      <c r="AN79" s="521"/>
      <c r="AO79" s="520"/>
      <c r="AP79" s="515"/>
      <c r="AQ79" s="522"/>
      <c r="AR79" s="517"/>
      <c r="AS79" s="517"/>
      <c r="AT79" s="515"/>
      <c r="AU79" s="522"/>
      <c r="AV79" s="517"/>
      <c r="AW79" s="523"/>
      <c r="AX79" s="515"/>
      <c r="AY79" s="522"/>
      <c r="AZ79" s="517"/>
      <c r="BA79" s="524"/>
      <c r="BB79" s="520"/>
      <c r="BC79" s="525"/>
      <c r="BD79" s="525"/>
      <c r="BG79" s="527"/>
    </row>
    <row r="80" spans="1:59" x14ac:dyDescent="0.2">
      <c r="G80" s="614"/>
    </row>
    <row r="82" spans="1:59" s="422" customFormat="1" ht="18" customHeight="1" x14ac:dyDescent="0.2">
      <c r="A82" s="1376">
        <f>C82</f>
        <v>4</v>
      </c>
      <c r="B82" s="742" t="s">
        <v>4187</v>
      </c>
      <c r="C82" s="556">
        <v>4</v>
      </c>
      <c r="D82" s="553" t="str">
        <f>VLOOKUP(C82,RUAS,2,FALSE)</f>
        <v>SENTAJO - MUARA LANGSAT</v>
      </c>
      <c r="E82" s="553"/>
      <c r="F82" s="421"/>
      <c r="G82" s="611"/>
      <c r="I82" s="423"/>
      <c r="J82" s="424"/>
      <c r="K82" s="424"/>
      <c r="M82" s="680"/>
      <c r="P82" s="611"/>
      <c r="U82" s="611"/>
      <c r="W82" s="611"/>
      <c r="Y82" s="425"/>
      <c r="Z82" s="425"/>
      <c r="AA82" s="425"/>
      <c r="AB82" s="425"/>
      <c r="AC82" s="425"/>
      <c r="AD82" s="563"/>
      <c r="AE82" s="425"/>
      <c r="AF82" s="563"/>
      <c r="AG82" s="425"/>
      <c r="AH82" s="425"/>
      <c r="AI82" s="425"/>
      <c r="AJ82" s="425"/>
      <c r="AK82" s="425"/>
      <c r="AL82" s="425"/>
      <c r="AM82" s="425"/>
      <c r="AN82" s="425"/>
      <c r="AO82" s="425"/>
      <c r="AP82" s="425"/>
      <c r="AQ82" s="425"/>
      <c r="AR82" s="425"/>
      <c r="AS82" s="425"/>
      <c r="AT82" s="425"/>
      <c r="AU82" s="425"/>
      <c r="AV82" s="425"/>
      <c r="AW82" s="425"/>
      <c r="AX82" s="425"/>
      <c r="AY82" s="425"/>
      <c r="AZ82" s="425"/>
      <c r="BA82" s="425"/>
      <c r="BB82" s="425"/>
    </row>
    <row r="83" spans="1:59" s="431" customFormat="1" ht="18" customHeight="1" x14ac:dyDescent="0.2">
      <c r="A83" s="1367"/>
      <c r="B83" s="1968" t="s">
        <v>5</v>
      </c>
      <c r="C83" s="1968" t="s">
        <v>2280</v>
      </c>
      <c r="D83" s="1968" t="s">
        <v>4157</v>
      </c>
      <c r="E83" s="1968" t="s">
        <v>4158</v>
      </c>
      <c r="F83" s="1968"/>
      <c r="G83" s="1969" t="s">
        <v>4159</v>
      </c>
      <c r="H83" s="1968" t="s">
        <v>4160</v>
      </c>
      <c r="I83" s="1968"/>
      <c r="J83" s="1968" t="s">
        <v>4185</v>
      </c>
      <c r="K83" s="1964" t="s">
        <v>4162</v>
      </c>
      <c r="L83" s="1968" t="s">
        <v>4163</v>
      </c>
      <c r="M83" s="1971" t="s">
        <v>4164</v>
      </c>
      <c r="N83" s="1962" t="s">
        <v>4165</v>
      </c>
      <c r="O83" s="1968" t="s">
        <v>4166</v>
      </c>
      <c r="P83" s="1972" t="s">
        <v>4167</v>
      </c>
      <c r="Q83" s="1973"/>
      <c r="R83" s="636" t="s">
        <v>4186</v>
      </c>
      <c r="S83" s="1972" t="s">
        <v>4169</v>
      </c>
      <c r="T83" s="1974"/>
      <c r="U83" s="1973"/>
      <c r="V83" s="1975" t="s">
        <v>4170</v>
      </c>
      <c r="W83" s="1975"/>
      <c r="X83" s="1960" t="s">
        <v>4171</v>
      </c>
      <c r="Y83" s="1959"/>
      <c r="Z83" s="633"/>
      <c r="AA83" s="426"/>
      <c r="AB83" s="426"/>
      <c r="AC83" s="426"/>
      <c r="AD83" s="564"/>
      <c r="AE83" s="426"/>
      <c r="AF83" s="564"/>
      <c r="AG83" s="426"/>
      <c r="AH83" s="426"/>
      <c r="AI83" s="427"/>
      <c r="AJ83" s="427"/>
      <c r="AK83" s="427"/>
      <c r="AL83" s="427"/>
      <c r="AM83" s="428"/>
      <c r="AN83" s="427"/>
      <c r="AO83" s="427"/>
      <c r="AP83" s="426"/>
      <c r="AQ83" s="427"/>
      <c r="AR83" s="427"/>
      <c r="AS83" s="427"/>
      <c r="AT83" s="426"/>
      <c r="AU83" s="427"/>
      <c r="AV83" s="427"/>
      <c r="AW83" s="427"/>
      <c r="AX83" s="426"/>
      <c r="AY83" s="427"/>
      <c r="AZ83" s="427"/>
      <c r="BA83" s="427"/>
      <c r="BB83" s="429"/>
      <c r="BC83" s="430"/>
      <c r="BD83" s="430"/>
    </row>
    <row r="84" spans="1:59" s="431" customFormat="1" ht="18" customHeight="1" x14ac:dyDescent="0.2">
      <c r="A84" s="1367"/>
      <c r="B84" s="1968"/>
      <c r="C84" s="1968"/>
      <c r="D84" s="1968"/>
      <c r="E84" s="1968"/>
      <c r="F84" s="1968"/>
      <c r="G84" s="1969"/>
      <c r="H84" s="1968"/>
      <c r="I84" s="1968"/>
      <c r="J84" s="1968"/>
      <c r="K84" s="1970"/>
      <c r="L84" s="1968"/>
      <c r="M84" s="1971"/>
      <c r="N84" s="1963"/>
      <c r="O84" s="1968"/>
      <c r="P84" s="2037" t="s">
        <v>4172</v>
      </c>
      <c r="Q84" s="1960" t="s">
        <v>4173</v>
      </c>
      <c r="R84" s="1962" t="s">
        <v>4159</v>
      </c>
      <c r="S84" s="1962" t="s">
        <v>4174</v>
      </c>
      <c r="T84" s="1964" t="s">
        <v>4175</v>
      </c>
      <c r="U84" s="1966" t="s">
        <v>4159</v>
      </c>
      <c r="V84" s="1975"/>
      <c r="W84" s="1975"/>
      <c r="X84" s="1976"/>
      <c r="Y84" s="1959"/>
      <c r="Z84" s="633"/>
      <c r="AA84" s="426"/>
      <c r="AB84" s="426"/>
      <c r="AC84" s="426"/>
      <c r="AD84" s="564"/>
      <c r="AE84" s="426"/>
      <c r="AF84" s="564"/>
      <c r="AG84" s="426"/>
      <c r="AH84" s="426"/>
      <c r="AI84" s="427"/>
      <c r="AJ84" s="427"/>
      <c r="AK84" s="426"/>
      <c r="AL84" s="427"/>
      <c r="AM84" s="428"/>
      <c r="AN84" s="427"/>
      <c r="AO84" s="427"/>
      <c r="AP84" s="432"/>
      <c r="AQ84" s="427"/>
      <c r="AR84" s="427"/>
      <c r="AS84" s="427"/>
      <c r="AT84" s="432"/>
      <c r="AU84" s="427"/>
      <c r="AV84" s="427"/>
      <c r="AW84" s="427"/>
      <c r="AX84" s="432"/>
      <c r="AY84" s="427"/>
      <c r="AZ84" s="427"/>
      <c r="BA84" s="427"/>
      <c r="BB84" s="429"/>
      <c r="BC84" s="430"/>
      <c r="BD84" s="430"/>
    </row>
    <row r="85" spans="1:59" s="431" customFormat="1" ht="18" customHeight="1" x14ac:dyDescent="0.2">
      <c r="A85" s="1367"/>
      <c r="B85" s="1968"/>
      <c r="C85" s="1968"/>
      <c r="D85" s="1968"/>
      <c r="E85" s="433" t="s">
        <v>4176</v>
      </c>
      <c r="F85" s="434" t="s">
        <v>2288</v>
      </c>
      <c r="G85" s="1969"/>
      <c r="H85" s="635" t="s">
        <v>2288</v>
      </c>
      <c r="I85" s="635" t="s">
        <v>4177</v>
      </c>
      <c r="J85" s="1968"/>
      <c r="K85" s="1965"/>
      <c r="L85" s="435" t="s">
        <v>2288</v>
      </c>
      <c r="M85" s="681" t="s">
        <v>2288</v>
      </c>
      <c r="N85" s="635" t="s">
        <v>2288</v>
      </c>
      <c r="O85" s="1968"/>
      <c r="P85" s="2038"/>
      <c r="Q85" s="1961"/>
      <c r="R85" s="1963"/>
      <c r="S85" s="1963"/>
      <c r="T85" s="1965"/>
      <c r="U85" s="1967"/>
      <c r="V85" s="635" t="s">
        <v>4178</v>
      </c>
      <c r="W85" s="637" t="s">
        <v>4159</v>
      </c>
      <c r="X85" s="1961"/>
      <c r="Y85" s="436"/>
      <c r="Z85" s="436"/>
      <c r="AA85" s="426"/>
      <c r="AB85" s="426"/>
      <c r="AC85" s="426"/>
      <c r="AD85" s="564"/>
      <c r="AE85" s="426"/>
      <c r="AF85" s="564"/>
      <c r="AG85" s="426"/>
      <c r="AH85" s="426"/>
      <c r="AI85" s="427"/>
      <c r="AJ85" s="432"/>
      <c r="AK85" s="432"/>
      <c r="AL85" s="427"/>
      <c r="AM85" s="428"/>
      <c r="AN85" s="432"/>
      <c r="AO85" s="427"/>
      <c r="AP85" s="432"/>
      <c r="AQ85" s="432"/>
      <c r="AR85" s="427"/>
      <c r="AS85" s="427"/>
      <c r="AT85" s="432"/>
      <c r="AU85" s="432"/>
      <c r="AV85" s="427"/>
      <c r="AW85" s="427"/>
      <c r="AX85" s="432"/>
      <c r="AY85" s="432"/>
      <c r="AZ85" s="427"/>
      <c r="BA85" s="427"/>
      <c r="BB85" s="429"/>
      <c r="BC85" s="430"/>
      <c r="BD85" s="430"/>
    </row>
    <row r="86" spans="1:59" s="461" customFormat="1" ht="18" customHeight="1" x14ac:dyDescent="0.2">
      <c r="A86" s="1368" t="str">
        <f>$D$82&amp;S86</f>
        <v>SENTAJO - MUARA LANGSAT2001</v>
      </c>
      <c r="B86" s="1373">
        <v>1</v>
      </c>
      <c r="C86" s="532" t="s">
        <v>529</v>
      </c>
      <c r="D86" s="437" t="s">
        <v>2494</v>
      </c>
      <c r="E86" s="438"/>
      <c r="F86" s="439">
        <v>2001</v>
      </c>
      <c r="G86" s="623">
        <v>46812964265.480003</v>
      </c>
      <c r="H86" s="440">
        <f>VLOOKUP(LEFT(D86,8),UE,4)</f>
        <v>10</v>
      </c>
      <c r="I86" s="441"/>
      <c r="J86" s="442">
        <f>(F86+N86)-1</f>
        <v>2010</v>
      </c>
      <c r="K86" s="443"/>
      <c r="L86" s="440"/>
      <c r="M86" s="746">
        <f>IF(H86+L86&gt;$H86,$H86-H86,L86)</f>
        <v>0</v>
      </c>
      <c r="N86" s="444">
        <f>H86+M86</f>
        <v>10</v>
      </c>
      <c r="O86" s="442">
        <f>(F86+N86)-1</f>
        <v>2010</v>
      </c>
      <c r="P86" s="617">
        <f>G86</f>
        <v>46812964265.480003</v>
      </c>
      <c r="Q86" s="445">
        <v>0</v>
      </c>
      <c r="R86" s="445">
        <f>P86/N86</f>
        <v>4681296426.5480003</v>
      </c>
      <c r="S86" s="446">
        <f>F86</f>
        <v>2001</v>
      </c>
      <c r="T86" s="447">
        <v>1</v>
      </c>
      <c r="U86" s="613">
        <f>R86*T86</f>
        <v>4681296426.5480003</v>
      </c>
      <c r="V86" s="442">
        <f>F86</f>
        <v>2001</v>
      </c>
      <c r="W86" s="617">
        <f>IF(OR(AND(ISBLANK(E86),ISBLANK(G86)),ISTEXT(E86),ISTEXT(G86)),"",G86-R86)</f>
        <v>42131667838.932007</v>
      </c>
      <c r="X86" s="448"/>
      <c r="Y86" s="449"/>
      <c r="Z86" s="449"/>
      <c r="AA86" s="450" t="s">
        <v>4179</v>
      </c>
      <c r="AB86" s="451"/>
      <c r="AC86" s="451"/>
      <c r="AD86" s="565"/>
      <c r="AE86" s="452"/>
      <c r="AF86" s="571"/>
      <c r="AG86" s="452"/>
      <c r="AH86" s="452"/>
      <c r="AI86" s="453"/>
      <c r="AJ86" s="449"/>
      <c r="AK86" s="453"/>
      <c r="AL86" s="454"/>
      <c r="AM86" s="455"/>
      <c r="AN86" s="456"/>
      <c r="AO86" s="455"/>
      <c r="AP86" s="452"/>
      <c r="AQ86" s="457"/>
      <c r="AR86" s="449"/>
      <c r="AS86" s="449"/>
      <c r="AT86" s="452"/>
      <c r="AU86" s="457"/>
      <c r="AV86" s="449"/>
      <c r="AW86" s="458"/>
      <c r="AX86" s="452"/>
      <c r="AY86" s="457"/>
      <c r="AZ86" s="449"/>
      <c r="BA86" s="459"/>
      <c r="BB86" s="455"/>
      <c r="BC86" s="460"/>
      <c r="BD86" s="460"/>
      <c r="BG86" s="462"/>
    </row>
    <row r="87" spans="1:59" s="461" customFormat="1" ht="18" customHeight="1" x14ac:dyDescent="0.2">
      <c r="A87" s="1368" t="str">
        <f t="shared" ref="A87:A105" si="53">$D$82&amp;S87</f>
        <v>SENTAJO - MUARA LANGSAT2006</v>
      </c>
      <c r="B87" s="1373"/>
      <c r="C87" s="488"/>
      <c r="D87" s="489"/>
      <c r="E87" s="558"/>
      <c r="F87" s="559">
        <v>2006</v>
      </c>
      <c r="G87" s="619">
        <v>0</v>
      </c>
      <c r="H87" s="464">
        <f>IF(N86-(F87-F86)&lt;=0,0,(N86-(F87-F86)))</f>
        <v>5</v>
      </c>
      <c r="I87" s="560"/>
      <c r="J87" s="468">
        <f>(F87+N87)-1</f>
        <v>2010</v>
      </c>
      <c r="K87" s="490">
        <f>IF(G87=0,0,IF(H87=10,100%,G87/W86))</f>
        <v>0</v>
      </c>
      <c r="L87" s="469">
        <f>IF(K87=0%,0,IF(K87&lt;=30%,2,IF(K87&lt;=60%,5,10)))</f>
        <v>0</v>
      </c>
      <c r="M87" s="683">
        <f>IF(OR(AND(ISBLANK(E87),ISBLANK(G87)),ISTEXT(E87),ISTEXT(G87)),"",IF(H87+L87&gt;$H$86,$H$86-H87,L87))</f>
        <v>0</v>
      </c>
      <c r="N87" s="470">
        <f>IF(OR(AND(ISBLANK(F87),ISBLANK(G87)),ISTEXT(F87),ISTEXT(G87)),"",H87+M87)</f>
        <v>5</v>
      </c>
      <c r="O87" s="468">
        <f>(F87+N87)-1</f>
        <v>2010</v>
      </c>
      <c r="P87" s="616">
        <f>W86</f>
        <v>42131667838.932007</v>
      </c>
      <c r="Q87" s="472">
        <f>P87+G87</f>
        <v>42131667838.932007</v>
      </c>
      <c r="R87" s="472">
        <f>IF(L87=0,R86,Q87/N87)</f>
        <v>4681296426.5480003</v>
      </c>
      <c r="S87" s="634">
        <f>F87</f>
        <v>2006</v>
      </c>
      <c r="T87" s="470">
        <f>S87-S86</f>
        <v>5</v>
      </c>
      <c r="U87" s="612">
        <f>R87*T87</f>
        <v>23406482132.740002</v>
      </c>
      <c r="V87" s="464">
        <f>F87</f>
        <v>2006</v>
      </c>
      <c r="W87" s="612">
        <f>IF(OR(AND(ISBLANK(E87),ISBLANK(G87)),ISTEXT(E87),ISTEXT(G87)),"",Q87-U87)</f>
        <v>18725185706.192005</v>
      </c>
      <c r="X87" s="561"/>
      <c r="Y87" s="449"/>
      <c r="Z87" s="449"/>
      <c r="AA87" s="554"/>
      <c r="AB87" s="452"/>
      <c r="AC87" s="452"/>
      <c r="AD87" s="566"/>
      <c r="AE87" s="452"/>
      <c r="AF87" s="571"/>
      <c r="AG87" s="452"/>
      <c r="AH87" s="452"/>
      <c r="AI87" s="453"/>
      <c r="AJ87" s="449"/>
      <c r="AK87" s="453"/>
      <c r="AL87" s="454"/>
      <c r="AM87" s="455"/>
      <c r="AN87" s="456"/>
      <c r="AO87" s="455"/>
      <c r="AP87" s="452"/>
      <c r="AQ87" s="457"/>
      <c r="AR87" s="449"/>
      <c r="AS87" s="449"/>
      <c r="AT87" s="452"/>
      <c r="AU87" s="457"/>
      <c r="AV87" s="449"/>
      <c r="AW87" s="458"/>
      <c r="AX87" s="452"/>
      <c r="AY87" s="457"/>
      <c r="AZ87" s="449"/>
      <c r="BA87" s="459"/>
      <c r="BB87" s="455"/>
      <c r="BC87" s="460"/>
      <c r="BD87" s="460"/>
      <c r="BG87" s="462"/>
    </row>
    <row r="88" spans="1:59" s="461" customFormat="1" ht="18" customHeight="1" x14ac:dyDescent="0.2">
      <c r="A88" s="1368"/>
      <c r="B88" s="1375"/>
      <c r="C88" s="488"/>
      <c r="D88" s="489"/>
      <c r="E88" s="558"/>
      <c r="F88" s="559">
        <v>2007</v>
      </c>
      <c r="G88" s="619">
        <v>0</v>
      </c>
      <c r="H88" s="464">
        <f t="shared" ref="H88:H105" si="54">IF(N87-(F88-F87)&lt;=0,0,(N87-(F88-F87)))</f>
        <v>4</v>
      </c>
      <c r="I88" s="560"/>
      <c r="J88" s="468">
        <f t="shared" ref="J88:J105" si="55">(F88+N88)-1</f>
        <v>2010</v>
      </c>
      <c r="K88" s="490">
        <f t="shared" ref="K88:K105" si="56">IF(G88=0,0,IF(H88=10,100%,G88/W87))</f>
        <v>0</v>
      </c>
      <c r="L88" s="469">
        <f t="shared" ref="L88:L105" si="57">IF(K88=0%,0,IF(K88&lt;=30%,2,IF(K88&lt;=60%,5,10)))</f>
        <v>0</v>
      </c>
      <c r="M88" s="683">
        <f t="shared" ref="M88:M105" si="58">IF(OR(AND(ISBLANK(E88),ISBLANK(G88)),ISTEXT(E88),ISTEXT(G88)),"",IF(H88+L88&gt;$H$86,$H$86-H88,L88))</f>
        <v>0</v>
      </c>
      <c r="N88" s="470">
        <f t="shared" ref="N88:N105" si="59">IF(OR(AND(ISBLANK(F88),ISBLANK(G88)),ISTEXT(F88),ISTEXT(G88)),"",H88+M88)</f>
        <v>4</v>
      </c>
      <c r="O88" s="468">
        <f t="shared" ref="O88:O105" si="60">(F88+N88)-1</f>
        <v>2010</v>
      </c>
      <c r="P88" s="616">
        <f t="shared" ref="P88:P105" si="61">W87</f>
        <v>18725185706.192005</v>
      </c>
      <c r="Q88" s="472">
        <f t="shared" ref="Q88:Q105" si="62">P88+G88</f>
        <v>18725185706.192005</v>
      </c>
      <c r="R88" s="472">
        <f t="shared" ref="R88:R105" si="63">IF(L88=0,R87,Q88/N88)</f>
        <v>4681296426.5480003</v>
      </c>
      <c r="S88" s="1189">
        <f t="shared" ref="S88:S105" si="64">F88</f>
        <v>2007</v>
      </c>
      <c r="T88" s="470">
        <f t="shared" ref="T88:T105" si="65">S88-S87</f>
        <v>1</v>
      </c>
      <c r="U88" s="612">
        <f t="shared" ref="U88:U105" si="66">R88*T88</f>
        <v>4681296426.5480003</v>
      </c>
      <c r="V88" s="464">
        <f t="shared" ref="V88:V105" si="67">F88</f>
        <v>2007</v>
      </c>
      <c r="W88" s="612">
        <f t="shared" ref="W88:W105" si="68">IF(OR(AND(ISBLANK(E88),ISBLANK(G88)),ISTEXT(E88),ISTEXT(G88)),"",Q88-U88)</f>
        <v>14043889279.644005</v>
      </c>
      <c r="X88" s="561"/>
      <c r="Y88" s="449"/>
      <c r="Z88" s="449"/>
      <c r="AA88" s="554"/>
      <c r="AB88" s="452"/>
      <c r="AC88" s="452"/>
      <c r="AD88" s="566"/>
      <c r="AE88" s="452"/>
      <c r="AF88" s="571"/>
      <c r="AG88" s="452"/>
      <c r="AH88" s="452"/>
      <c r="AI88" s="453"/>
      <c r="AJ88" s="449"/>
      <c r="AK88" s="453"/>
      <c r="AL88" s="454"/>
      <c r="AM88" s="455"/>
      <c r="AN88" s="456"/>
      <c r="AO88" s="455"/>
      <c r="AP88" s="452"/>
      <c r="AQ88" s="457"/>
      <c r="AR88" s="449"/>
      <c r="AS88" s="449"/>
      <c r="AT88" s="452"/>
      <c r="AU88" s="457"/>
      <c r="AV88" s="449"/>
      <c r="AW88" s="458"/>
      <c r="AX88" s="452"/>
      <c r="AY88" s="457"/>
      <c r="AZ88" s="449"/>
      <c r="BA88" s="459"/>
      <c r="BB88" s="455"/>
      <c r="BC88" s="460"/>
      <c r="BD88" s="460"/>
      <c r="BG88" s="462"/>
    </row>
    <row r="89" spans="1:59" s="461" customFormat="1" ht="18" customHeight="1" x14ac:dyDescent="0.2">
      <c r="A89" s="1368" t="str">
        <f t="shared" si="53"/>
        <v>SENTAJO - MUARA LANGSAT2008</v>
      </c>
      <c r="B89" s="1373">
        <v>2</v>
      </c>
      <c r="C89" s="488" t="s">
        <v>5091</v>
      </c>
      <c r="D89" s="489"/>
      <c r="E89" s="558"/>
      <c r="F89" s="559">
        <v>2008</v>
      </c>
      <c r="G89" s="619">
        <v>649551164.97330594</v>
      </c>
      <c r="H89" s="464">
        <f t="shared" si="54"/>
        <v>3</v>
      </c>
      <c r="I89" s="560"/>
      <c r="J89" s="468">
        <f t="shared" si="55"/>
        <v>2012</v>
      </c>
      <c r="K89" s="490">
        <f t="shared" si="56"/>
        <v>4.6251515662032568E-2</v>
      </c>
      <c r="L89" s="469">
        <f t="shared" si="57"/>
        <v>2</v>
      </c>
      <c r="M89" s="683">
        <f t="shared" si="58"/>
        <v>2</v>
      </c>
      <c r="N89" s="470">
        <f t="shared" si="59"/>
        <v>5</v>
      </c>
      <c r="O89" s="468">
        <f t="shared" si="60"/>
        <v>2012</v>
      </c>
      <c r="P89" s="616">
        <f t="shared" si="61"/>
        <v>14043889279.644005</v>
      </c>
      <c r="Q89" s="472">
        <f t="shared" si="62"/>
        <v>14693440444.617311</v>
      </c>
      <c r="R89" s="472">
        <f t="shared" si="63"/>
        <v>2938688088.9234624</v>
      </c>
      <c r="S89" s="1189">
        <f t="shared" si="64"/>
        <v>2008</v>
      </c>
      <c r="T89" s="470">
        <f t="shared" si="65"/>
        <v>1</v>
      </c>
      <c r="U89" s="612">
        <f t="shared" si="66"/>
        <v>2938688088.9234624</v>
      </c>
      <c r="V89" s="464">
        <f t="shared" si="67"/>
        <v>2008</v>
      </c>
      <c r="W89" s="612">
        <f t="shared" si="68"/>
        <v>11754752355.69385</v>
      </c>
      <c r="X89" s="561"/>
      <c r="Y89" s="449"/>
      <c r="Z89" s="449"/>
      <c r="AA89" s="554"/>
      <c r="AB89" s="452"/>
      <c r="AC89" s="452"/>
      <c r="AD89" s="566"/>
      <c r="AE89" s="452"/>
      <c r="AF89" s="571"/>
      <c r="AG89" s="452"/>
      <c r="AH89" s="452"/>
      <c r="AI89" s="453"/>
      <c r="AJ89" s="449"/>
      <c r="AK89" s="453"/>
      <c r="AL89" s="454"/>
      <c r="AM89" s="455"/>
      <c r="AN89" s="456"/>
      <c r="AO89" s="455"/>
      <c r="AP89" s="452"/>
      <c r="AQ89" s="457"/>
      <c r="AR89" s="449"/>
      <c r="AS89" s="449"/>
      <c r="AT89" s="452"/>
      <c r="AU89" s="457"/>
      <c r="AV89" s="449"/>
      <c r="AW89" s="458"/>
      <c r="AX89" s="452"/>
      <c r="AY89" s="457"/>
      <c r="AZ89" s="449"/>
      <c r="BA89" s="459"/>
      <c r="BB89" s="455"/>
      <c r="BC89" s="460"/>
      <c r="BD89" s="460"/>
      <c r="BG89" s="462"/>
    </row>
    <row r="90" spans="1:59" s="461" customFormat="1" ht="18" customHeight="1" x14ac:dyDescent="0.2">
      <c r="A90" s="1368" t="str">
        <f t="shared" si="53"/>
        <v>SENTAJO - MUARA LANGSAT2009</v>
      </c>
      <c r="B90" s="1373"/>
      <c r="C90" s="488"/>
      <c r="D90" s="489"/>
      <c r="E90" s="558"/>
      <c r="F90" s="559">
        <v>2009</v>
      </c>
      <c r="G90" s="619">
        <v>0</v>
      </c>
      <c r="H90" s="464">
        <f t="shared" si="54"/>
        <v>4</v>
      </c>
      <c r="I90" s="560"/>
      <c r="J90" s="468">
        <f t="shared" si="55"/>
        <v>2012</v>
      </c>
      <c r="K90" s="490">
        <f t="shared" si="56"/>
        <v>0</v>
      </c>
      <c r="L90" s="469">
        <f t="shared" si="57"/>
        <v>0</v>
      </c>
      <c r="M90" s="683">
        <f t="shared" si="58"/>
        <v>0</v>
      </c>
      <c r="N90" s="470">
        <f t="shared" si="59"/>
        <v>4</v>
      </c>
      <c r="O90" s="468">
        <f t="shared" si="60"/>
        <v>2012</v>
      </c>
      <c r="P90" s="616">
        <f t="shared" si="61"/>
        <v>11754752355.69385</v>
      </c>
      <c r="Q90" s="472">
        <f t="shared" si="62"/>
        <v>11754752355.69385</v>
      </c>
      <c r="R90" s="472">
        <f t="shared" si="63"/>
        <v>2938688088.9234624</v>
      </c>
      <c r="S90" s="1189">
        <f t="shared" si="64"/>
        <v>2009</v>
      </c>
      <c r="T90" s="470">
        <f t="shared" si="65"/>
        <v>1</v>
      </c>
      <c r="U90" s="612">
        <f t="shared" si="66"/>
        <v>2938688088.9234624</v>
      </c>
      <c r="V90" s="464">
        <f t="shared" si="67"/>
        <v>2009</v>
      </c>
      <c r="W90" s="612">
        <f t="shared" si="68"/>
        <v>8816064266.7703876</v>
      </c>
      <c r="X90" s="561"/>
      <c r="Y90" s="449"/>
      <c r="Z90" s="449"/>
      <c r="AA90" s="554"/>
      <c r="AB90" s="452"/>
      <c r="AC90" s="452"/>
      <c r="AD90" s="566"/>
      <c r="AE90" s="452"/>
      <c r="AF90" s="571"/>
      <c r="AG90" s="452"/>
      <c r="AH90" s="452"/>
      <c r="AI90" s="453"/>
      <c r="AJ90" s="449"/>
      <c r="AK90" s="453"/>
      <c r="AL90" s="454"/>
      <c r="AM90" s="455"/>
      <c r="AN90" s="456"/>
      <c r="AO90" s="455"/>
      <c r="AP90" s="452"/>
      <c r="AQ90" s="457"/>
      <c r="AR90" s="449"/>
      <c r="AS90" s="449"/>
      <c r="AT90" s="452"/>
      <c r="AU90" s="457"/>
      <c r="AV90" s="449"/>
      <c r="AW90" s="458"/>
      <c r="AX90" s="452"/>
      <c r="AY90" s="457"/>
      <c r="AZ90" s="449"/>
      <c r="BA90" s="459"/>
      <c r="BB90" s="455"/>
      <c r="BC90" s="460"/>
      <c r="BD90" s="460"/>
      <c r="BG90" s="462"/>
    </row>
    <row r="91" spans="1:59" s="461" customFormat="1" ht="18" customHeight="1" x14ac:dyDescent="0.2">
      <c r="A91" s="1368" t="str">
        <f t="shared" si="53"/>
        <v>SENTAJO - MUARA LANGSAT2010</v>
      </c>
      <c r="B91" s="1373"/>
      <c r="C91" s="488"/>
      <c r="D91" s="489"/>
      <c r="E91" s="558"/>
      <c r="F91" s="559">
        <v>2010</v>
      </c>
      <c r="G91" s="619">
        <v>0</v>
      </c>
      <c r="H91" s="464">
        <f t="shared" si="54"/>
        <v>3</v>
      </c>
      <c r="I91" s="560"/>
      <c r="J91" s="468">
        <f t="shared" si="55"/>
        <v>2012</v>
      </c>
      <c r="K91" s="490">
        <f t="shared" si="56"/>
        <v>0</v>
      </c>
      <c r="L91" s="469">
        <f t="shared" si="57"/>
        <v>0</v>
      </c>
      <c r="M91" s="683">
        <f t="shared" si="58"/>
        <v>0</v>
      </c>
      <c r="N91" s="470">
        <f t="shared" si="59"/>
        <v>3</v>
      </c>
      <c r="O91" s="468">
        <f t="shared" si="60"/>
        <v>2012</v>
      </c>
      <c r="P91" s="616">
        <f t="shared" si="61"/>
        <v>8816064266.7703876</v>
      </c>
      <c r="Q91" s="472">
        <f t="shared" si="62"/>
        <v>8816064266.7703876</v>
      </c>
      <c r="R91" s="472">
        <f t="shared" si="63"/>
        <v>2938688088.9234624</v>
      </c>
      <c r="S91" s="1189">
        <f t="shared" si="64"/>
        <v>2010</v>
      </c>
      <c r="T91" s="470">
        <f t="shared" si="65"/>
        <v>1</v>
      </c>
      <c r="U91" s="612">
        <f t="shared" si="66"/>
        <v>2938688088.9234624</v>
      </c>
      <c r="V91" s="464">
        <f t="shared" si="67"/>
        <v>2010</v>
      </c>
      <c r="W91" s="612">
        <f t="shared" si="68"/>
        <v>5877376177.8469257</v>
      </c>
      <c r="X91" s="561"/>
      <c r="Y91" s="449"/>
      <c r="Z91" s="449"/>
      <c r="AA91" s="554"/>
      <c r="AB91" s="452"/>
      <c r="AC91" s="452"/>
      <c r="AD91" s="566"/>
      <c r="AE91" s="452"/>
      <c r="AF91" s="571"/>
      <c r="AG91" s="452"/>
      <c r="AH91" s="452"/>
      <c r="AI91" s="453"/>
      <c r="AJ91" s="449"/>
      <c r="AK91" s="453"/>
      <c r="AL91" s="454"/>
      <c r="AM91" s="455"/>
      <c r="AN91" s="456"/>
      <c r="AO91" s="455"/>
      <c r="AP91" s="452"/>
      <c r="AQ91" s="457"/>
      <c r="AR91" s="449"/>
      <c r="AS91" s="449"/>
      <c r="AT91" s="452"/>
      <c r="AU91" s="457"/>
      <c r="AV91" s="449"/>
      <c r="AW91" s="458"/>
      <c r="AX91" s="452"/>
      <c r="AY91" s="457"/>
      <c r="AZ91" s="449"/>
      <c r="BA91" s="459"/>
      <c r="BB91" s="455"/>
      <c r="BC91" s="460"/>
      <c r="BD91" s="460"/>
      <c r="BG91" s="462"/>
    </row>
    <row r="92" spans="1:59" s="461" customFormat="1" ht="18" customHeight="1" x14ac:dyDescent="0.2">
      <c r="A92" s="1368" t="str">
        <f t="shared" si="53"/>
        <v>SENTAJO - MUARA LANGSAT2011</v>
      </c>
      <c r="B92" s="1373"/>
      <c r="C92" s="488"/>
      <c r="D92" s="489"/>
      <c r="E92" s="558"/>
      <c r="F92" s="559">
        <v>2011</v>
      </c>
      <c r="G92" s="619">
        <v>0</v>
      </c>
      <c r="H92" s="464">
        <f t="shared" si="54"/>
        <v>2</v>
      </c>
      <c r="I92" s="560"/>
      <c r="J92" s="468">
        <f t="shared" si="55"/>
        <v>2012</v>
      </c>
      <c r="K92" s="490">
        <f t="shared" si="56"/>
        <v>0</v>
      </c>
      <c r="L92" s="469">
        <f t="shared" si="57"/>
        <v>0</v>
      </c>
      <c r="M92" s="683">
        <f t="shared" si="58"/>
        <v>0</v>
      </c>
      <c r="N92" s="470">
        <f t="shared" si="59"/>
        <v>2</v>
      </c>
      <c r="O92" s="468">
        <f t="shared" si="60"/>
        <v>2012</v>
      </c>
      <c r="P92" s="616">
        <f t="shared" si="61"/>
        <v>5877376177.8469257</v>
      </c>
      <c r="Q92" s="472">
        <f t="shared" si="62"/>
        <v>5877376177.8469257</v>
      </c>
      <c r="R92" s="472">
        <f t="shared" si="63"/>
        <v>2938688088.9234624</v>
      </c>
      <c r="S92" s="1189">
        <f t="shared" si="64"/>
        <v>2011</v>
      </c>
      <c r="T92" s="470">
        <f t="shared" si="65"/>
        <v>1</v>
      </c>
      <c r="U92" s="612">
        <f t="shared" si="66"/>
        <v>2938688088.9234624</v>
      </c>
      <c r="V92" s="464">
        <f t="shared" si="67"/>
        <v>2011</v>
      </c>
      <c r="W92" s="612">
        <f t="shared" si="68"/>
        <v>2938688088.9234633</v>
      </c>
      <c r="X92" s="561"/>
      <c r="Y92" s="449"/>
      <c r="Z92" s="449"/>
      <c r="AA92" s="554"/>
      <c r="AB92" s="452"/>
      <c r="AC92" s="452"/>
      <c r="AD92" s="566"/>
      <c r="AE92" s="452"/>
      <c r="AF92" s="571"/>
      <c r="AG92" s="452"/>
      <c r="AH92" s="452"/>
      <c r="AI92" s="453"/>
      <c r="AJ92" s="449"/>
      <c r="AK92" s="453"/>
      <c r="AL92" s="454"/>
      <c r="AM92" s="455"/>
      <c r="AN92" s="456"/>
      <c r="AO92" s="455"/>
      <c r="AP92" s="452"/>
      <c r="AQ92" s="457"/>
      <c r="AR92" s="449"/>
      <c r="AS92" s="449"/>
      <c r="AT92" s="452"/>
      <c r="AU92" s="457"/>
      <c r="AV92" s="449"/>
      <c r="AW92" s="458"/>
      <c r="AX92" s="452"/>
      <c r="AY92" s="457"/>
      <c r="AZ92" s="449"/>
      <c r="BA92" s="459"/>
      <c r="BB92" s="455"/>
      <c r="BC92" s="460"/>
      <c r="BD92" s="460"/>
      <c r="BG92" s="462"/>
    </row>
    <row r="93" spans="1:59" s="461" customFormat="1" ht="18" customHeight="1" x14ac:dyDescent="0.2">
      <c r="A93" s="1368" t="str">
        <f t="shared" si="53"/>
        <v>SENTAJO - MUARA LANGSAT2012</v>
      </c>
      <c r="B93" s="1373"/>
      <c r="C93" s="488"/>
      <c r="D93" s="489"/>
      <c r="E93" s="558"/>
      <c r="F93" s="559">
        <v>2012</v>
      </c>
      <c r="G93" s="619">
        <v>0</v>
      </c>
      <c r="H93" s="464">
        <f t="shared" si="54"/>
        <v>1</v>
      </c>
      <c r="I93" s="560"/>
      <c r="J93" s="468">
        <f t="shared" si="55"/>
        <v>2012</v>
      </c>
      <c r="K93" s="490">
        <f t="shared" si="56"/>
        <v>0</v>
      </c>
      <c r="L93" s="469">
        <f t="shared" si="57"/>
        <v>0</v>
      </c>
      <c r="M93" s="683">
        <f t="shared" si="58"/>
        <v>0</v>
      </c>
      <c r="N93" s="470">
        <f t="shared" si="59"/>
        <v>1</v>
      </c>
      <c r="O93" s="468">
        <f t="shared" si="60"/>
        <v>2012</v>
      </c>
      <c r="P93" s="616">
        <f t="shared" si="61"/>
        <v>2938688088.9234633</v>
      </c>
      <c r="Q93" s="472">
        <f t="shared" si="62"/>
        <v>2938688088.9234633</v>
      </c>
      <c r="R93" s="472">
        <f t="shared" si="63"/>
        <v>2938688088.9234624</v>
      </c>
      <c r="S93" s="1189">
        <f t="shared" si="64"/>
        <v>2012</v>
      </c>
      <c r="T93" s="470">
        <f t="shared" si="65"/>
        <v>1</v>
      </c>
      <c r="U93" s="612">
        <f t="shared" si="66"/>
        <v>2938688088.9234624</v>
      </c>
      <c r="V93" s="464">
        <f t="shared" si="67"/>
        <v>2012</v>
      </c>
      <c r="W93" s="612">
        <f t="shared" si="68"/>
        <v>9.5367431640625E-7</v>
      </c>
      <c r="X93" s="561"/>
      <c r="Y93" s="449"/>
      <c r="Z93" s="449"/>
      <c r="AA93" s="554"/>
      <c r="AB93" s="452"/>
      <c r="AC93" s="452"/>
      <c r="AD93" s="566"/>
      <c r="AE93" s="452"/>
      <c r="AF93" s="571"/>
      <c r="AG93" s="452"/>
      <c r="AH93" s="452"/>
      <c r="AI93" s="453"/>
      <c r="AJ93" s="449"/>
      <c r="AK93" s="453"/>
      <c r="AL93" s="454"/>
      <c r="AM93" s="455"/>
      <c r="AN93" s="456"/>
      <c r="AO93" s="455"/>
      <c r="AP93" s="452"/>
      <c r="AQ93" s="457"/>
      <c r="AR93" s="449"/>
      <c r="AS93" s="449"/>
      <c r="AT93" s="452"/>
      <c r="AU93" s="457"/>
      <c r="AV93" s="449"/>
      <c r="AW93" s="458"/>
      <c r="AX93" s="452"/>
      <c r="AY93" s="457"/>
      <c r="AZ93" s="449"/>
      <c r="BA93" s="459"/>
      <c r="BB93" s="455"/>
      <c r="BC93" s="460"/>
      <c r="BD93" s="460"/>
      <c r="BG93" s="462"/>
    </row>
    <row r="94" spans="1:59" s="486" customFormat="1" ht="18" customHeight="1" x14ac:dyDescent="0.2">
      <c r="A94" s="1368" t="str">
        <f t="shared" si="53"/>
        <v>SENTAJO - MUARA LANGSAT2013</v>
      </c>
      <c r="B94" s="1373">
        <v>3</v>
      </c>
      <c r="C94" s="463" t="s">
        <v>1294</v>
      </c>
      <c r="D94" s="489" t="s">
        <v>2494</v>
      </c>
      <c r="E94" s="465"/>
      <c r="F94" s="466">
        <v>2013</v>
      </c>
      <c r="G94" s="620">
        <v>198785526</v>
      </c>
      <c r="H94" s="557">
        <f>VLOOKUP(LEFT(D94,8),UE,4)</f>
        <v>10</v>
      </c>
      <c r="I94" s="560"/>
      <c r="J94" s="468">
        <f t="shared" si="55"/>
        <v>2022</v>
      </c>
      <c r="K94" s="490">
        <f t="shared" si="56"/>
        <v>1</v>
      </c>
      <c r="L94" s="469">
        <f t="shared" si="57"/>
        <v>10</v>
      </c>
      <c r="M94" s="683">
        <f t="shared" si="58"/>
        <v>0</v>
      </c>
      <c r="N94" s="470">
        <f t="shared" si="59"/>
        <v>10</v>
      </c>
      <c r="O94" s="468">
        <f t="shared" si="60"/>
        <v>2022</v>
      </c>
      <c r="P94" s="616">
        <f t="shared" si="61"/>
        <v>9.5367431640625E-7</v>
      </c>
      <c r="Q94" s="472">
        <f t="shared" si="62"/>
        <v>198785526.00000095</v>
      </c>
      <c r="R94" s="472">
        <f t="shared" si="63"/>
        <v>19878552.600000095</v>
      </c>
      <c r="S94" s="1189">
        <f t="shared" si="64"/>
        <v>2013</v>
      </c>
      <c r="T94" s="470">
        <f t="shared" si="65"/>
        <v>1</v>
      </c>
      <c r="U94" s="612">
        <f t="shared" si="66"/>
        <v>19878552.600000095</v>
      </c>
      <c r="V94" s="464">
        <f t="shared" si="67"/>
        <v>2013</v>
      </c>
      <c r="W94" s="612">
        <f t="shared" si="68"/>
        <v>178906973.40000087</v>
      </c>
      <c r="X94" s="473"/>
      <c r="Y94" s="474"/>
      <c r="Z94" s="449"/>
      <c r="AA94" s="475" t="s">
        <v>4180</v>
      </c>
      <c r="AB94" s="476"/>
      <c r="AC94" s="476"/>
      <c r="AD94" s="567">
        <f>G107</f>
        <v>81514333550.189316</v>
      </c>
      <c r="AE94" s="476"/>
      <c r="AF94" s="568"/>
      <c r="AG94" s="476"/>
      <c r="AH94" s="476"/>
      <c r="AI94" s="477"/>
      <c r="AJ94" s="478"/>
      <c r="AK94" s="479"/>
      <c r="AL94" s="480"/>
      <c r="AM94" s="474"/>
      <c r="AN94" s="481"/>
      <c r="AO94" s="474"/>
      <c r="AP94" s="476"/>
      <c r="AQ94" s="482"/>
      <c r="AR94" s="478"/>
      <c r="AS94" s="478"/>
      <c r="AT94" s="476"/>
      <c r="AU94" s="482"/>
      <c r="AV94" s="478"/>
      <c r="AW94" s="483"/>
      <c r="AX94" s="476"/>
      <c r="AY94" s="482"/>
      <c r="AZ94" s="478"/>
      <c r="BA94" s="484"/>
      <c r="BB94" s="474"/>
      <c r="BC94" s="485"/>
      <c r="BD94" s="485"/>
      <c r="BG94" s="487"/>
    </row>
    <row r="95" spans="1:59" s="486" customFormat="1" ht="18" customHeight="1" x14ac:dyDescent="0.2">
      <c r="A95" s="1368" t="str">
        <f t="shared" si="53"/>
        <v>SENTAJO - MUARA LANGSAT2014</v>
      </c>
      <c r="B95" s="1373">
        <v>4</v>
      </c>
      <c r="C95" s="488" t="s">
        <v>1308</v>
      </c>
      <c r="D95" s="489" t="s">
        <v>2494</v>
      </c>
      <c r="E95" s="465"/>
      <c r="F95" s="466">
        <v>2014</v>
      </c>
      <c r="G95" s="620">
        <f>5255870053+3769961879+197942320+197742059</f>
        <v>9421516311</v>
      </c>
      <c r="H95" s="464">
        <f t="shared" si="54"/>
        <v>9</v>
      </c>
      <c r="I95" s="560"/>
      <c r="J95" s="468">
        <f t="shared" si="55"/>
        <v>2023</v>
      </c>
      <c r="K95" s="490">
        <f t="shared" si="56"/>
        <v>52.661537624558321</v>
      </c>
      <c r="L95" s="469">
        <f t="shared" si="57"/>
        <v>10</v>
      </c>
      <c r="M95" s="683">
        <f t="shared" si="58"/>
        <v>1</v>
      </c>
      <c r="N95" s="470">
        <f t="shared" si="59"/>
        <v>10</v>
      </c>
      <c r="O95" s="468">
        <f t="shared" si="60"/>
        <v>2023</v>
      </c>
      <c r="P95" s="616">
        <f t="shared" si="61"/>
        <v>178906973.40000087</v>
      </c>
      <c r="Q95" s="472">
        <f t="shared" si="62"/>
        <v>9600423284.4000015</v>
      </c>
      <c r="R95" s="472">
        <f t="shared" si="63"/>
        <v>960042328.44000018</v>
      </c>
      <c r="S95" s="1189">
        <f t="shared" si="64"/>
        <v>2014</v>
      </c>
      <c r="T95" s="470">
        <f t="shared" si="65"/>
        <v>1</v>
      </c>
      <c r="U95" s="612">
        <f t="shared" si="66"/>
        <v>960042328.44000018</v>
      </c>
      <c r="V95" s="464">
        <f t="shared" si="67"/>
        <v>2014</v>
      </c>
      <c r="W95" s="612">
        <f t="shared" si="68"/>
        <v>8640380955.960001</v>
      </c>
      <c r="X95" s="473"/>
      <c r="Y95" s="478"/>
      <c r="Z95" s="449"/>
      <c r="AA95" s="475" t="s">
        <v>4181</v>
      </c>
      <c r="AB95" s="491"/>
      <c r="AC95" s="491"/>
      <c r="AD95" s="567">
        <f>U107</f>
        <v>60836628383.81044</v>
      </c>
      <c r="AE95" s="491"/>
      <c r="AF95" s="568"/>
      <c r="AG95" s="491"/>
      <c r="AH95" s="491"/>
      <c r="AI95" s="477"/>
      <c r="AJ95" s="478"/>
      <c r="AK95" s="479"/>
      <c r="AL95" s="480"/>
      <c r="AM95" s="474"/>
      <c r="AN95" s="481"/>
      <c r="AO95" s="474"/>
      <c r="AP95" s="476"/>
      <c r="AQ95" s="482"/>
      <c r="AR95" s="478"/>
      <c r="AS95" s="478"/>
      <c r="AT95" s="476"/>
      <c r="AU95" s="482"/>
      <c r="AV95" s="478"/>
      <c r="AW95" s="483"/>
      <c r="AX95" s="476"/>
      <c r="AY95" s="482"/>
      <c r="AZ95" s="478"/>
      <c r="BA95" s="484"/>
      <c r="BB95" s="474"/>
      <c r="BC95" s="485"/>
      <c r="BD95" s="485"/>
      <c r="BG95" s="487"/>
    </row>
    <row r="96" spans="1:59" s="486" customFormat="1" ht="18" customHeight="1" x14ac:dyDescent="0.2">
      <c r="A96" s="1368" t="str">
        <f t="shared" si="53"/>
        <v>SENTAJO - MUARA LANGSAT2014</v>
      </c>
      <c r="B96" s="1373">
        <v>5</v>
      </c>
      <c r="C96" s="463" t="s">
        <v>1309</v>
      </c>
      <c r="D96" s="489" t="s">
        <v>2494</v>
      </c>
      <c r="E96" s="465"/>
      <c r="F96" s="466">
        <v>2014</v>
      </c>
      <c r="G96" s="620">
        <v>0</v>
      </c>
      <c r="H96" s="464">
        <f t="shared" si="54"/>
        <v>10</v>
      </c>
      <c r="I96" s="560"/>
      <c r="J96" s="468">
        <f t="shared" si="55"/>
        <v>2023</v>
      </c>
      <c r="K96" s="490">
        <f t="shared" si="56"/>
        <v>0</v>
      </c>
      <c r="L96" s="469">
        <f t="shared" si="57"/>
        <v>0</v>
      </c>
      <c r="M96" s="683">
        <f t="shared" si="58"/>
        <v>0</v>
      </c>
      <c r="N96" s="470">
        <f t="shared" si="59"/>
        <v>10</v>
      </c>
      <c r="O96" s="468">
        <f t="shared" si="60"/>
        <v>2023</v>
      </c>
      <c r="P96" s="616">
        <f t="shared" si="61"/>
        <v>8640380955.960001</v>
      </c>
      <c r="Q96" s="472">
        <f t="shared" si="62"/>
        <v>8640380955.960001</v>
      </c>
      <c r="R96" s="472">
        <f t="shared" si="63"/>
        <v>960042328.44000018</v>
      </c>
      <c r="S96" s="1189">
        <f t="shared" si="64"/>
        <v>2014</v>
      </c>
      <c r="T96" s="470">
        <f t="shared" si="65"/>
        <v>0</v>
      </c>
      <c r="U96" s="612">
        <f t="shared" si="66"/>
        <v>0</v>
      </c>
      <c r="V96" s="464">
        <f t="shared" si="67"/>
        <v>2014</v>
      </c>
      <c r="W96" s="612">
        <f t="shared" si="68"/>
        <v>8640380955.960001</v>
      </c>
      <c r="X96" s="473"/>
      <c r="Y96" s="478"/>
      <c r="Z96" s="449"/>
      <c r="AA96" s="492" t="s">
        <v>4182</v>
      </c>
      <c r="AB96" s="476"/>
      <c r="AC96" s="476"/>
      <c r="AD96" s="567">
        <f>AD94-AD95</f>
        <v>20677705166.378876</v>
      </c>
      <c r="AE96" s="476"/>
      <c r="AF96" s="568"/>
      <c r="AG96" s="476"/>
      <c r="AH96" s="476"/>
      <c r="AI96" s="477"/>
      <c r="AJ96" s="478"/>
      <c r="AK96" s="479"/>
      <c r="AL96" s="480"/>
      <c r="AM96" s="474"/>
      <c r="AN96" s="481"/>
      <c r="AO96" s="474"/>
      <c r="AP96" s="476"/>
      <c r="AQ96" s="482"/>
      <c r="AR96" s="478"/>
      <c r="AS96" s="478"/>
      <c r="AT96" s="476"/>
      <c r="AU96" s="482"/>
      <c r="AV96" s="478"/>
      <c r="AW96" s="483"/>
      <c r="AX96" s="476"/>
      <c r="AY96" s="482"/>
      <c r="AZ96" s="478"/>
      <c r="BA96" s="484"/>
      <c r="BB96" s="474"/>
      <c r="BC96" s="485"/>
      <c r="BD96" s="485"/>
      <c r="BG96" s="487"/>
    </row>
    <row r="97" spans="1:59" s="486" customFormat="1" ht="18" customHeight="1" x14ac:dyDescent="0.2">
      <c r="A97" s="1368" t="str">
        <f t="shared" si="53"/>
        <v>SENTAJO - MUARA LANGSAT2014</v>
      </c>
      <c r="B97" s="1373">
        <v>6</v>
      </c>
      <c r="C97" s="463" t="s">
        <v>1314</v>
      </c>
      <c r="D97" s="489" t="s">
        <v>2494</v>
      </c>
      <c r="E97" s="465"/>
      <c r="F97" s="466">
        <v>2014</v>
      </c>
      <c r="G97" s="620">
        <v>0</v>
      </c>
      <c r="H97" s="464">
        <f t="shared" si="54"/>
        <v>10</v>
      </c>
      <c r="I97" s="560"/>
      <c r="J97" s="468">
        <f t="shared" si="55"/>
        <v>2023</v>
      </c>
      <c r="K97" s="490">
        <f t="shared" si="56"/>
        <v>0</v>
      </c>
      <c r="L97" s="469">
        <f t="shared" si="57"/>
        <v>0</v>
      </c>
      <c r="M97" s="683">
        <f t="shared" si="58"/>
        <v>0</v>
      </c>
      <c r="N97" s="470">
        <f t="shared" si="59"/>
        <v>10</v>
      </c>
      <c r="O97" s="468">
        <f t="shared" si="60"/>
        <v>2023</v>
      </c>
      <c r="P97" s="616">
        <f t="shared" si="61"/>
        <v>8640380955.960001</v>
      </c>
      <c r="Q97" s="472">
        <f t="shared" si="62"/>
        <v>8640380955.960001</v>
      </c>
      <c r="R97" s="472">
        <f t="shared" si="63"/>
        <v>960042328.44000018</v>
      </c>
      <c r="S97" s="1189">
        <f t="shared" si="64"/>
        <v>2014</v>
      </c>
      <c r="T97" s="470">
        <f t="shared" si="65"/>
        <v>0</v>
      </c>
      <c r="U97" s="612">
        <f t="shared" si="66"/>
        <v>0</v>
      </c>
      <c r="V97" s="464">
        <f t="shared" si="67"/>
        <v>2014</v>
      </c>
      <c r="W97" s="612">
        <f t="shared" si="68"/>
        <v>8640380955.960001</v>
      </c>
      <c r="X97" s="473"/>
      <c r="Y97" s="478"/>
      <c r="Z97" s="449"/>
      <c r="AA97" s="531" t="s">
        <v>4183</v>
      </c>
      <c r="AB97" s="496"/>
      <c r="AC97" s="496"/>
      <c r="AD97" s="569">
        <f>AD96-W107</f>
        <v>0</v>
      </c>
      <c r="AE97" s="476"/>
      <c r="AF97" s="568"/>
      <c r="AG97" s="476"/>
      <c r="AH97" s="476"/>
      <c r="AI97" s="477"/>
      <c r="AJ97" s="478"/>
      <c r="AK97" s="479"/>
      <c r="AL97" s="480"/>
      <c r="AM97" s="474"/>
      <c r="AN97" s="481"/>
      <c r="AO97" s="474"/>
      <c r="AP97" s="476"/>
      <c r="AQ97" s="482"/>
      <c r="AR97" s="478"/>
      <c r="AS97" s="478"/>
      <c r="AT97" s="476"/>
      <c r="AU97" s="482"/>
      <c r="AV97" s="478"/>
      <c r="AW97" s="483"/>
      <c r="AX97" s="476"/>
      <c r="AY97" s="482"/>
      <c r="AZ97" s="478"/>
      <c r="BA97" s="484"/>
      <c r="BB97" s="474"/>
      <c r="BC97" s="485"/>
      <c r="BD97" s="485"/>
      <c r="BG97" s="487"/>
    </row>
    <row r="98" spans="1:59" s="486" customFormat="1" ht="18" customHeight="1" x14ac:dyDescent="0.2">
      <c r="A98" s="1368" t="str">
        <f t="shared" si="53"/>
        <v>SENTAJO - MUARA LANGSAT2014</v>
      </c>
      <c r="B98" s="1373">
        <v>7</v>
      </c>
      <c r="C98" s="494" t="s">
        <v>1332</v>
      </c>
      <c r="D98" s="489" t="s">
        <v>2494</v>
      </c>
      <c r="E98" s="465"/>
      <c r="F98" s="466">
        <v>2014</v>
      </c>
      <c r="G98" s="620">
        <v>0</v>
      </c>
      <c r="H98" s="464">
        <f t="shared" si="54"/>
        <v>10</v>
      </c>
      <c r="I98" s="560"/>
      <c r="J98" s="468">
        <f t="shared" si="55"/>
        <v>2023</v>
      </c>
      <c r="K98" s="490">
        <f t="shared" si="56"/>
        <v>0</v>
      </c>
      <c r="L98" s="469">
        <f t="shared" si="57"/>
        <v>0</v>
      </c>
      <c r="M98" s="683">
        <f t="shared" si="58"/>
        <v>0</v>
      </c>
      <c r="N98" s="470">
        <f t="shared" si="59"/>
        <v>10</v>
      </c>
      <c r="O98" s="468">
        <f t="shared" si="60"/>
        <v>2023</v>
      </c>
      <c r="P98" s="616">
        <f t="shared" si="61"/>
        <v>8640380955.960001</v>
      </c>
      <c r="Q98" s="472">
        <f t="shared" si="62"/>
        <v>8640380955.960001</v>
      </c>
      <c r="R98" s="472">
        <f t="shared" si="63"/>
        <v>960042328.44000018</v>
      </c>
      <c r="S98" s="1189">
        <f t="shared" si="64"/>
        <v>2014</v>
      </c>
      <c r="T98" s="470">
        <f t="shared" si="65"/>
        <v>0</v>
      </c>
      <c r="U98" s="612">
        <f t="shared" si="66"/>
        <v>0</v>
      </c>
      <c r="V98" s="464">
        <f t="shared" si="67"/>
        <v>2014</v>
      </c>
      <c r="W98" s="612">
        <f t="shared" si="68"/>
        <v>8640380955.960001</v>
      </c>
      <c r="X98" s="473"/>
      <c r="Y98" s="478"/>
      <c r="Z98" s="449"/>
      <c r="AA98" s="497"/>
      <c r="AB98" s="476"/>
      <c r="AC98" s="476"/>
      <c r="AD98" s="568"/>
      <c r="AE98" s="476"/>
      <c r="AF98" s="568"/>
      <c r="AG98" s="476"/>
      <c r="AH98" s="476"/>
      <c r="AI98" s="477"/>
      <c r="AJ98" s="478"/>
      <c r="AK98" s="479"/>
      <c r="AL98" s="480"/>
      <c r="AM98" s="474"/>
      <c r="AN98" s="481"/>
      <c r="AO98" s="474"/>
      <c r="AP98" s="476"/>
      <c r="AQ98" s="482"/>
      <c r="AR98" s="478"/>
      <c r="AS98" s="478"/>
      <c r="AT98" s="476"/>
      <c r="AU98" s="482"/>
      <c r="AV98" s="478"/>
      <c r="AW98" s="483"/>
      <c r="AX98" s="476"/>
      <c r="AY98" s="482"/>
      <c r="AZ98" s="478"/>
      <c r="BA98" s="484"/>
      <c r="BB98" s="474"/>
      <c r="BC98" s="485"/>
      <c r="BD98" s="485"/>
      <c r="BG98" s="487"/>
    </row>
    <row r="99" spans="1:59" s="486" customFormat="1" ht="18" customHeight="1" x14ac:dyDescent="0.2">
      <c r="A99" s="1368" t="str">
        <f t="shared" si="53"/>
        <v>SENTAJO - MUARA LANGSAT2015</v>
      </c>
      <c r="B99" s="1373">
        <v>8</v>
      </c>
      <c r="C99" s="463" t="s">
        <v>1356</v>
      </c>
      <c r="D99" s="489" t="s">
        <v>2494</v>
      </c>
      <c r="E99" s="465"/>
      <c r="F99" s="466">
        <v>2015</v>
      </c>
      <c r="G99" s="620">
        <f>4142581848.2+187607827+8378965790.2</f>
        <v>12709155465.4</v>
      </c>
      <c r="H99" s="464">
        <f t="shared" si="54"/>
        <v>9</v>
      </c>
      <c r="I99" s="560"/>
      <c r="J99" s="468">
        <f t="shared" si="55"/>
        <v>2024</v>
      </c>
      <c r="K99" s="490">
        <f t="shared" si="56"/>
        <v>1.4709022125504108</v>
      </c>
      <c r="L99" s="469">
        <f t="shared" si="57"/>
        <v>10</v>
      </c>
      <c r="M99" s="683">
        <f t="shared" si="58"/>
        <v>1</v>
      </c>
      <c r="N99" s="470">
        <f t="shared" si="59"/>
        <v>10</v>
      </c>
      <c r="O99" s="468">
        <f t="shared" si="60"/>
        <v>2024</v>
      </c>
      <c r="P99" s="616">
        <f t="shared" si="61"/>
        <v>8640380955.960001</v>
      </c>
      <c r="Q99" s="472">
        <f t="shared" si="62"/>
        <v>21349536421.360001</v>
      </c>
      <c r="R99" s="472">
        <f t="shared" si="63"/>
        <v>2134953642.1360002</v>
      </c>
      <c r="S99" s="1189">
        <f t="shared" si="64"/>
        <v>2015</v>
      </c>
      <c r="T99" s="470">
        <f t="shared" si="65"/>
        <v>1</v>
      </c>
      <c r="U99" s="612">
        <f t="shared" si="66"/>
        <v>2134953642.1360002</v>
      </c>
      <c r="V99" s="464">
        <f t="shared" si="67"/>
        <v>2015</v>
      </c>
      <c r="W99" s="612">
        <f t="shared" si="68"/>
        <v>19214582779.223999</v>
      </c>
      <c r="X99" s="473"/>
      <c r="Y99" s="497"/>
      <c r="Z99" s="449"/>
      <c r="AA99" s="497"/>
      <c r="AB99" s="476"/>
      <c r="AC99" s="497"/>
      <c r="AD99" s="568"/>
      <c r="AE99" s="476"/>
      <c r="AF99" s="568"/>
      <c r="AG99" s="476"/>
      <c r="AH99" s="476"/>
      <c r="AI99" s="477"/>
      <c r="AJ99" s="478"/>
      <c r="AK99" s="479"/>
      <c r="AL99" s="480"/>
      <c r="AM99" s="474"/>
      <c r="AN99" s="481"/>
      <c r="AO99" s="474"/>
      <c r="AP99" s="476"/>
      <c r="AQ99" s="482"/>
      <c r="AR99" s="478"/>
      <c r="AS99" s="478"/>
      <c r="AT99" s="476"/>
      <c r="AU99" s="482"/>
      <c r="AV99" s="478"/>
      <c r="AW99" s="483"/>
      <c r="AX99" s="476"/>
      <c r="AY99" s="482"/>
      <c r="AZ99" s="478"/>
      <c r="BA99" s="484"/>
      <c r="BB99" s="474"/>
      <c r="BC99" s="485"/>
      <c r="BD99" s="485"/>
      <c r="BG99" s="487"/>
    </row>
    <row r="100" spans="1:59" s="486" customFormat="1" ht="18" customHeight="1" x14ac:dyDescent="0.2">
      <c r="A100" s="1368" t="str">
        <f t="shared" si="53"/>
        <v>SENTAJO - MUARA LANGSAT2015</v>
      </c>
      <c r="B100" s="1373">
        <v>9</v>
      </c>
      <c r="C100" s="463" t="s">
        <v>1391</v>
      </c>
      <c r="D100" s="489" t="s">
        <v>2494</v>
      </c>
      <c r="E100" s="465"/>
      <c r="F100" s="466">
        <v>2015</v>
      </c>
      <c r="G100" s="620">
        <v>0</v>
      </c>
      <c r="H100" s="464">
        <f t="shared" si="54"/>
        <v>10</v>
      </c>
      <c r="I100" s="560"/>
      <c r="J100" s="468">
        <f t="shared" si="55"/>
        <v>2024</v>
      </c>
      <c r="K100" s="490">
        <f t="shared" si="56"/>
        <v>0</v>
      </c>
      <c r="L100" s="469">
        <f t="shared" si="57"/>
        <v>0</v>
      </c>
      <c r="M100" s="683">
        <f t="shared" si="58"/>
        <v>0</v>
      </c>
      <c r="N100" s="470">
        <f t="shared" si="59"/>
        <v>10</v>
      </c>
      <c r="O100" s="468">
        <f t="shared" si="60"/>
        <v>2024</v>
      </c>
      <c r="P100" s="616">
        <f t="shared" si="61"/>
        <v>19214582779.223999</v>
      </c>
      <c r="Q100" s="472">
        <f t="shared" si="62"/>
        <v>19214582779.223999</v>
      </c>
      <c r="R100" s="472">
        <f t="shared" si="63"/>
        <v>2134953642.1360002</v>
      </c>
      <c r="S100" s="1189">
        <f t="shared" si="64"/>
        <v>2015</v>
      </c>
      <c r="T100" s="470">
        <f t="shared" si="65"/>
        <v>0</v>
      </c>
      <c r="U100" s="612">
        <f t="shared" si="66"/>
        <v>0</v>
      </c>
      <c r="V100" s="464">
        <f t="shared" si="67"/>
        <v>2015</v>
      </c>
      <c r="W100" s="612">
        <f t="shared" si="68"/>
        <v>19214582779.223999</v>
      </c>
      <c r="X100" s="473"/>
      <c r="Y100" s="497"/>
      <c r="Z100" s="449"/>
      <c r="AA100" s="497"/>
      <c r="AB100" s="476"/>
      <c r="AC100" s="497"/>
      <c r="AD100" s="568"/>
      <c r="AE100" s="476"/>
      <c r="AF100" s="568"/>
      <c r="AG100" s="476"/>
      <c r="AH100" s="476"/>
      <c r="AI100" s="477"/>
      <c r="AJ100" s="478"/>
      <c r="AK100" s="479"/>
      <c r="AL100" s="480"/>
      <c r="AM100" s="474"/>
      <c r="AN100" s="481"/>
      <c r="AO100" s="474"/>
      <c r="AP100" s="476"/>
      <c r="AQ100" s="482"/>
      <c r="AR100" s="478"/>
      <c r="AS100" s="478"/>
      <c r="AT100" s="476"/>
      <c r="AU100" s="482"/>
      <c r="AV100" s="478"/>
      <c r="AW100" s="483"/>
      <c r="AX100" s="476"/>
      <c r="AY100" s="482"/>
      <c r="AZ100" s="478"/>
      <c r="BA100" s="484"/>
      <c r="BB100" s="474"/>
      <c r="BC100" s="485"/>
      <c r="BD100" s="485"/>
      <c r="BG100" s="487"/>
    </row>
    <row r="101" spans="1:59" s="486" customFormat="1" ht="18" customHeight="1" x14ac:dyDescent="0.2">
      <c r="A101" s="1368" t="str">
        <f t="shared" si="53"/>
        <v>SENTAJO - MUARA LANGSAT2015</v>
      </c>
      <c r="B101" s="1373">
        <v>10</v>
      </c>
      <c r="C101" s="463" t="s">
        <v>1409</v>
      </c>
      <c r="D101" s="489" t="s">
        <v>2494</v>
      </c>
      <c r="E101" s="465"/>
      <c r="F101" s="466">
        <v>2015</v>
      </c>
      <c r="G101" s="620">
        <v>0</v>
      </c>
      <c r="H101" s="464">
        <f t="shared" si="54"/>
        <v>10</v>
      </c>
      <c r="I101" s="560"/>
      <c r="J101" s="468">
        <f t="shared" si="55"/>
        <v>2024</v>
      </c>
      <c r="K101" s="490">
        <f t="shared" si="56"/>
        <v>0</v>
      </c>
      <c r="L101" s="469">
        <f t="shared" si="57"/>
        <v>0</v>
      </c>
      <c r="M101" s="683">
        <f t="shared" si="58"/>
        <v>0</v>
      </c>
      <c r="N101" s="470">
        <f t="shared" si="59"/>
        <v>10</v>
      </c>
      <c r="O101" s="468">
        <f t="shared" si="60"/>
        <v>2024</v>
      </c>
      <c r="P101" s="616">
        <f t="shared" si="61"/>
        <v>19214582779.223999</v>
      </c>
      <c r="Q101" s="472">
        <f t="shared" si="62"/>
        <v>19214582779.223999</v>
      </c>
      <c r="R101" s="472">
        <f t="shared" si="63"/>
        <v>2134953642.1360002</v>
      </c>
      <c r="S101" s="1189">
        <f t="shared" si="64"/>
        <v>2015</v>
      </c>
      <c r="T101" s="470">
        <f t="shared" si="65"/>
        <v>0</v>
      </c>
      <c r="U101" s="612">
        <f t="shared" si="66"/>
        <v>0</v>
      </c>
      <c r="V101" s="464">
        <f t="shared" si="67"/>
        <v>2015</v>
      </c>
      <c r="W101" s="612">
        <f t="shared" si="68"/>
        <v>19214582779.223999</v>
      </c>
      <c r="X101" s="473"/>
      <c r="Y101" s="497"/>
      <c r="Z101" s="449"/>
      <c r="AA101" s="497"/>
      <c r="AB101" s="476"/>
      <c r="AC101" s="497"/>
      <c r="AD101" s="568"/>
      <c r="AE101" s="476"/>
      <c r="AF101" s="568"/>
      <c r="AG101" s="476"/>
      <c r="AH101" s="476"/>
      <c r="AI101" s="477"/>
      <c r="AJ101" s="478"/>
      <c r="AK101" s="479"/>
      <c r="AL101" s="480"/>
      <c r="AM101" s="474"/>
      <c r="AN101" s="481"/>
      <c r="AO101" s="474"/>
      <c r="AP101" s="476"/>
      <c r="AQ101" s="482"/>
      <c r="AR101" s="478"/>
      <c r="AS101" s="478"/>
      <c r="AT101" s="476"/>
      <c r="AU101" s="482"/>
      <c r="AV101" s="478"/>
      <c r="AW101" s="483"/>
      <c r="AX101" s="476"/>
      <c r="AY101" s="482"/>
      <c r="AZ101" s="478"/>
      <c r="BA101" s="484"/>
      <c r="BB101" s="474"/>
      <c r="BC101" s="485"/>
      <c r="BD101" s="485"/>
      <c r="BG101" s="487"/>
    </row>
    <row r="102" spans="1:59" s="486" customFormat="1" ht="18" customHeight="1" x14ac:dyDescent="0.2">
      <c r="A102" s="1368" t="str">
        <f t="shared" si="53"/>
        <v>SENTAJO - MUARA LANGSAT2016</v>
      </c>
      <c r="B102" s="1373">
        <v>11</v>
      </c>
      <c r="C102" s="463" t="s">
        <v>1445</v>
      </c>
      <c r="D102" s="489" t="s">
        <v>2494</v>
      </c>
      <c r="E102" s="465"/>
      <c r="F102" s="466">
        <v>2016</v>
      </c>
      <c r="G102" s="620">
        <v>8482176848.3360138</v>
      </c>
      <c r="H102" s="464">
        <f t="shared" si="54"/>
        <v>9</v>
      </c>
      <c r="I102" s="560"/>
      <c r="J102" s="468">
        <f t="shared" si="55"/>
        <v>2025</v>
      </c>
      <c r="K102" s="490">
        <f t="shared" si="56"/>
        <v>0.44144475817125056</v>
      </c>
      <c r="L102" s="469">
        <f t="shared" si="57"/>
        <v>5</v>
      </c>
      <c r="M102" s="683">
        <f t="shared" si="58"/>
        <v>1</v>
      </c>
      <c r="N102" s="470">
        <f t="shared" si="59"/>
        <v>10</v>
      </c>
      <c r="O102" s="468">
        <f t="shared" si="60"/>
        <v>2025</v>
      </c>
      <c r="P102" s="616">
        <f t="shared" si="61"/>
        <v>19214582779.223999</v>
      </c>
      <c r="Q102" s="472">
        <f t="shared" si="62"/>
        <v>27696759627.560013</v>
      </c>
      <c r="R102" s="472">
        <f t="shared" si="63"/>
        <v>2769675962.7560015</v>
      </c>
      <c r="S102" s="1189">
        <f t="shared" si="64"/>
        <v>2016</v>
      </c>
      <c r="T102" s="470">
        <f t="shared" si="65"/>
        <v>1</v>
      </c>
      <c r="U102" s="612">
        <f t="shared" si="66"/>
        <v>2769675962.7560015</v>
      </c>
      <c r="V102" s="464">
        <f t="shared" si="67"/>
        <v>2016</v>
      </c>
      <c r="W102" s="612">
        <f t="shared" si="68"/>
        <v>24927083664.804012</v>
      </c>
      <c r="X102" s="473"/>
      <c r="Y102" s="497"/>
      <c r="Z102" s="449"/>
      <c r="AA102" s="497"/>
      <c r="AB102" s="476"/>
      <c r="AC102" s="497"/>
      <c r="AD102" s="568"/>
      <c r="AE102" s="476"/>
      <c r="AF102" s="568"/>
      <c r="AG102" s="476"/>
      <c r="AH102" s="476"/>
      <c r="AI102" s="477"/>
      <c r="AJ102" s="478"/>
      <c r="AK102" s="479"/>
      <c r="AL102" s="480"/>
      <c r="AM102" s="474"/>
      <c r="AN102" s="481"/>
      <c r="AO102" s="474"/>
      <c r="AP102" s="476"/>
      <c r="AQ102" s="482"/>
      <c r="AR102" s="478"/>
      <c r="AS102" s="478"/>
      <c r="AT102" s="476"/>
      <c r="AU102" s="482"/>
      <c r="AV102" s="478"/>
      <c r="AW102" s="483"/>
      <c r="AX102" s="476"/>
      <c r="AY102" s="482"/>
      <c r="AZ102" s="478"/>
      <c r="BA102" s="484"/>
      <c r="BB102" s="474"/>
      <c r="BC102" s="485"/>
      <c r="BD102" s="485"/>
      <c r="BG102" s="487"/>
    </row>
    <row r="103" spans="1:59" s="486" customFormat="1" ht="18" customHeight="1" x14ac:dyDescent="0.2">
      <c r="A103" s="1368" t="str">
        <f t="shared" si="53"/>
        <v>SENTAJO - MUARA LANGSAT2017</v>
      </c>
      <c r="B103" s="1373">
        <v>12</v>
      </c>
      <c r="C103" s="463" t="s">
        <v>3054</v>
      </c>
      <c r="D103" s="489" t="s">
        <v>2494</v>
      </c>
      <c r="E103" s="465"/>
      <c r="F103" s="466">
        <v>2017</v>
      </c>
      <c r="G103" s="620">
        <v>1033114691</v>
      </c>
      <c r="H103" s="464">
        <f t="shared" si="54"/>
        <v>9</v>
      </c>
      <c r="I103" s="560"/>
      <c r="J103" s="468">
        <f t="shared" si="55"/>
        <v>2026</v>
      </c>
      <c r="K103" s="490">
        <f t="shared" si="56"/>
        <v>4.1445469710470556E-2</v>
      </c>
      <c r="L103" s="469">
        <f t="shared" si="57"/>
        <v>2</v>
      </c>
      <c r="M103" s="683">
        <f t="shared" si="58"/>
        <v>1</v>
      </c>
      <c r="N103" s="470">
        <f t="shared" si="59"/>
        <v>10</v>
      </c>
      <c r="O103" s="468">
        <f t="shared" si="60"/>
        <v>2026</v>
      </c>
      <c r="P103" s="616">
        <f t="shared" si="61"/>
        <v>24927083664.804012</v>
      </c>
      <c r="Q103" s="472">
        <f t="shared" si="62"/>
        <v>25960198355.804012</v>
      </c>
      <c r="R103" s="472">
        <f t="shared" si="63"/>
        <v>2596019835.5804014</v>
      </c>
      <c r="S103" s="1189">
        <f t="shared" si="64"/>
        <v>2017</v>
      </c>
      <c r="T103" s="470">
        <f t="shared" si="65"/>
        <v>1</v>
      </c>
      <c r="U103" s="612">
        <f t="shared" si="66"/>
        <v>2596019835.5804014</v>
      </c>
      <c r="V103" s="464">
        <f t="shared" si="67"/>
        <v>2017</v>
      </c>
      <c r="W103" s="612">
        <f t="shared" si="68"/>
        <v>23364178520.22361</v>
      </c>
      <c r="X103" s="473"/>
      <c r="Y103" s="497"/>
      <c r="Z103" s="449"/>
      <c r="AA103" s="497"/>
      <c r="AB103" s="476"/>
      <c r="AC103" s="497"/>
      <c r="AD103" s="568"/>
      <c r="AE103" s="476"/>
      <c r="AF103" s="568"/>
      <c r="AG103" s="476"/>
      <c r="AH103" s="476"/>
      <c r="AI103" s="477"/>
      <c r="AJ103" s="478"/>
      <c r="AK103" s="479"/>
      <c r="AL103" s="480"/>
      <c r="AM103" s="474"/>
      <c r="AN103" s="481"/>
      <c r="AO103" s="474"/>
      <c r="AP103" s="476"/>
      <c r="AQ103" s="482"/>
      <c r="AR103" s="478"/>
      <c r="AS103" s="478"/>
      <c r="AT103" s="476"/>
      <c r="AU103" s="482"/>
      <c r="AV103" s="478"/>
      <c r="AW103" s="483"/>
      <c r="AX103" s="476"/>
      <c r="AY103" s="482"/>
      <c r="AZ103" s="478"/>
      <c r="BA103" s="484"/>
      <c r="BB103" s="474"/>
      <c r="BC103" s="485"/>
      <c r="BD103" s="485"/>
      <c r="BG103" s="487"/>
    </row>
    <row r="104" spans="1:59" s="486" customFormat="1" ht="18" customHeight="1" x14ac:dyDescent="0.2">
      <c r="A104" s="1368" t="str">
        <f t="shared" si="53"/>
        <v>SENTAJO - MUARA LANGSAT2018</v>
      </c>
      <c r="B104" s="687"/>
      <c r="C104" s="463"/>
      <c r="D104" s="489"/>
      <c r="E104" s="465"/>
      <c r="F104" s="466">
        <v>2018</v>
      </c>
      <c r="G104" s="620">
        <v>0</v>
      </c>
      <c r="H104" s="464">
        <f t="shared" si="54"/>
        <v>9</v>
      </c>
      <c r="I104" s="560"/>
      <c r="J104" s="468">
        <f t="shared" si="55"/>
        <v>2026</v>
      </c>
      <c r="K104" s="490">
        <f t="shared" si="56"/>
        <v>0</v>
      </c>
      <c r="L104" s="469">
        <f t="shared" si="57"/>
        <v>0</v>
      </c>
      <c r="M104" s="683">
        <f t="shared" si="58"/>
        <v>0</v>
      </c>
      <c r="N104" s="470">
        <f t="shared" si="59"/>
        <v>9</v>
      </c>
      <c r="O104" s="468">
        <f t="shared" si="60"/>
        <v>2026</v>
      </c>
      <c r="P104" s="616">
        <f t="shared" si="61"/>
        <v>23364178520.22361</v>
      </c>
      <c r="Q104" s="472">
        <f t="shared" si="62"/>
        <v>23364178520.22361</v>
      </c>
      <c r="R104" s="472">
        <f t="shared" si="63"/>
        <v>2596019835.5804014</v>
      </c>
      <c r="S104" s="1189">
        <f t="shared" si="64"/>
        <v>2018</v>
      </c>
      <c r="T104" s="470">
        <f t="shared" si="65"/>
        <v>1</v>
      </c>
      <c r="U104" s="612">
        <f t="shared" si="66"/>
        <v>2596019835.5804014</v>
      </c>
      <c r="V104" s="464">
        <f t="shared" si="67"/>
        <v>2018</v>
      </c>
      <c r="W104" s="612">
        <f t="shared" si="68"/>
        <v>20768158684.643208</v>
      </c>
      <c r="X104" s="473"/>
      <c r="Y104" s="497"/>
      <c r="Z104" s="449"/>
      <c r="AA104" s="497"/>
      <c r="AB104" s="476"/>
      <c r="AC104" s="497"/>
      <c r="AD104" s="568"/>
      <c r="AE104" s="476"/>
      <c r="AF104" s="568"/>
      <c r="AG104" s="476"/>
      <c r="AH104" s="476"/>
      <c r="AI104" s="477"/>
      <c r="AJ104" s="478"/>
      <c r="AK104" s="479"/>
      <c r="AL104" s="480"/>
      <c r="AM104" s="474"/>
      <c r="AN104" s="481"/>
      <c r="AO104" s="474"/>
      <c r="AP104" s="476"/>
      <c r="AQ104" s="482"/>
      <c r="AR104" s="478"/>
      <c r="AS104" s="478"/>
      <c r="AT104" s="476"/>
      <c r="AU104" s="482"/>
      <c r="AV104" s="478"/>
      <c r="AW104" s="483"/>
      <c r="AX104" s="476"/>
      <c r="AY104" s="482"/>
      <c r="AZ104" s="478"/>
      <c r="BA104" s="484"/>
      <c r="BB104" s="474"/>
      <c r="BC104" s="485"/>
      <c r="BD104" s="485"/>
      <c r="BG104" s="487"/>
    </row>
    <row r="105" spans="1:59" s="486" customFormat="1" ht="18" customHeight="1" x14ac:dyDescent="0.2">
      <c r="A105" s="1368" t="str">
        <f t="shared" si="53"/>
        <v>SENTAJO - MUARA LANGSAT2019</v>
      </c>
      <c r="B105" s="687">
        <v>13</v>
      </c>
      <c r="C105" s="463" t="s">
        <v>1409</v>
      </c>
      <c r="D105" s="489" t="s">
        <v>2494</v>
      </c>
      <c r="E105" s="465"/>
      <c r="F105" s="466">
        <v>2019</v>
      </c>
      <c r="G105" s="620">
        <v>2207069278</v>
      </c>
      <c r="H105" s="464">
        <f t="shared" si="54"/>
        <v>8</v>
      </c>
      <c r="I105" s="560"/>
      <c r="J105" s="468">
        <f t="shared" si="55"/>
        <v>2028</v>
      </c>
      <c r="K105" s="490">
        <f t="shared" si="56"/>
        <v>0.10627178420164873</v>
      </c>
      <c r="L105" s="469">
        <f t="shared" si="57"/>
        <v>2</v>
      </c>
      <c r="M105" s="683">
        <f t="shared" si="58"/>
        <v>2</v>
      </c>
      <c r="N105" s="470">
        <f t="shared" si="59"/>
        <v>10</v>
      </c>
      <c r="O105" s="468">
        <f t="shared" si="60"/>
        <v>2028</v>
      </c>
      <c r="P105" s="616">
        <f t="shared" si="61"/>
        <v>20768158684.643208</v>
      </c>
      <c r="Q105" s="472">
        <f t="shared" si="62"/>
        <v>22975227962.643208</v>
      </c>
      <c r="R105" s="472">
        <f t="shared" si="63"/>
        <v>2297522796.2643209</v>
      </c>
      <c r="S105" s="1189">
        <f t="shared" si="64"/>
        <v>2019</v>
      </c>
      <c r="T105" s="470">
        <f t="shared" si="65"/>
        <v>1</v>
      </c>
      <c r="U105" s="612">
        <f t="shared" si="66"/>
        <v>2297522796.2643209</v>
      </c>
      <c r="V105" s="464">
        <f t="shared" si="67"/>
        <v>2019</v>
      </c>
      <c r="W105" s="612">
        <f t="shared" si="68"/>
        <v>20677705166.378887</v>
      </c>
      <c r="X105" s="473"/>
      <c r="Y105" s="497"/>
      <c r="Z105" s="449"/>
      <c r="AA105" s="497"/>
      <c r="AB105" s="476"/>
      <c r="AC105" s="497"/>
      <c r="AD105" s="568"/>
      <c r="AE105" s="476"/>
      <c r="AF105" s="568"/>
      <c r="AG105" s="476"/>
      <c r="AH105" s="476"/>
      <c r="AI105" s="477"/>
      <c r="AJ105" s="478"/>
      <c r="AK105" s="479"/>
      <c r="AL105" s="480"/>
      <c r="AM105" s="474"/>
      <c r="AN105" s="481"/>
      <c r="AO105" s="474"/>
      <c r="AP105" s="476"/>
      <c r="AQ105" s="482"/>
      <c r="AR105" s="478"/>
      <c r="AS105" s="478"/>
      <c r="AT105" s="476"/>
      <c r="AU105" s="482"/>
      <c r="AV105" s="478"/>
      <c r="AW105" s="483"/>
      <c r="AX105" s="476"/>
      <c r="AY105" s="482"/>
      <c r="AZ105" s="478"/>
      <c r="BA105" s="484"/>
      <c r="BB105" s="474"/>
      <c r="BC105" s="485"/>
      <c r="BD105" s="485"/>
      <c r="BG105" s="487"/>
    </row>
    <row r="106" spans="1:59" s="486" customFormat="1" ht="18" customHeight="1" x14ac:dyDescent="0.2">
      <c r="A106" s="1369"/>
      <c r="B106" s="687"/>
      <c r="C106" s="463"/>
      <c r="D106" s="464"/>
      <c r="E106" s="465"/>
      <c r="F106" s="634"/>
      <c r="G106" s="620"/>
      <c r="H106" s="469" t="str">
        <f>IF(OR(AND(ISBLANK(E106),ISBLANK(G106)),ISTEXT(E106),ISTEXT(G106)),"",IF(#REF!-(YEAR(E106)-YEAR(#REF!))&lt;0,0,#REF!-(YEAR(E106)-YEAR(#REF!))))</f>
        <v/>
      </c>
      <c r="I106" s="467" t="str">
        <f>IF(OR(AND(ISBLANK(E106),ISBLANK(G106)),ISTEXT(E106),ISTEXT(G106)),"",IF(#REF!-E106&lt;0,0,#REF!-E106))</f>
        <v/>
      </c>
      <c r="J106" s="498" t="str">
        <f>IF(OR(AND(ISBLANK(E106),ISBLANK(G106)),ISTEXT(E106),ISTEXT(G106)),"",#REF!)</f>
        <v/>
      </c>
      <c r="K106" s="498"/>
      <c r="L106" s="469" t="str">
        <f>IF(OR(AND(ISBLANK(E106),ISBLANK(G106)),ISTEXT(E106),ISTEXT(G106)),"",ROUNDDOWN(G106/SUM($G$57:G99)*$H$57,0))</f>
        <v/>
      </c>
      <c r="M106" s="683" t="str">
        <f>IF(OR(AND(ISBLANK(E106),ISBLANK(G106)),ISTEXT(E106),ISTEXT(G106)),"",IF(H106+L106&gt;$H$57,$H$57-H106,L106))</f>
        <v/>
      </c>
      <c r="N106" s="470" t="str">
        <f>IF(OR(AND(ISBLANK(E106),ISBLANK(G106)),ISTEXT(E106),ISTEXT(G106)),"",H106+M106)</f>
        <v/>
      </c>
      <c r="O106" s="498" t="str">
        <f>IF(OR(AND(ISBLANK(E106),ISBLANK(G106)),ISTEXT(E106),ISTEXT(G106)),"",DATE(YEAR($J106)+M106,MONTH($J106),DAY($J106)))</f>
        <v/>
      </c>
      <c r="P106" s="748" t="str">
        <f>IF(OR(AND(ISBLANK(E106),ISBLANK(G106)),ISTEXT(E106),ISTEXT(G106)),"",#REF!-#REF!*(IF(J106&lt;E106,J106,E106)-#REF!))</f>
        <v/>
      </c>
      <c r="Q106" s="500" t="str">
        <f>IF(OR(AND(ISBLANK(E106),ISBLANK(G106)),ISTEXT(E106),ISTEXT(G106)),"",P106+G106)</f>
        <v/>
      </c>
      <c r="R106" s="501" t="str">
        <f>IF(OR(AND(ISBLANK(E106),ISBLANK(G106)),ISTEXT(E106),ISTEXT(G106)),"",IF(OR(E106&lt;DATE(2004,12,31),#REF!=0),0,Q106/#REF!))</f>
        <v/>
      </c>
      <c r="S106" s="502" t="str">
        <f>IF(OR(AND(ISBLANK(E106),ISBLANK(G106)),ISTEXT(E106),ISTEXT(G106)),"",IF(YEAR(E106)&lt;=YEAR(#REF!),"-",YEAR(E106)-1))</f>
        <v/>
      </c>
      <c r="T106" s="502"/>
      <c r="U106" s="612" t="str">
        <f>IF(OR(AND(ISBLANK(E106),ISBLANK(G106)),ISTEXT(E106),ISTEXT(G106)),"",IF(AND(J106&lt;=DATE(2004,12,31),E106&gt;J106),SUM($G106:G106),#REF!+#REF!+#REF!*IF(YEAR(E106)&lt;=YEAR(#REF!),0,(IF(DATE(YEAR(E106)-1,12,31)&gt;J106,J106,DATE(YEAR(E106)-1,12,31))-#REF!))))</f>
        <v/>
      </c>
      <c r="V106" s="503" t="str">
        <f>IF(OR(AND(ISBLANK(E106),ISBLANK(G106)),ISTEXT(E106),ISTEXT(G106)),"",IF(YEAR(E106)=YEAR(E107),E107,DATE(YEAR(E106),12,31)))</f>
        <v/>
      </c>
      <c r="W106" s="612" t="str">
        <f>IF(OR(AND(ISBLANK(E106),ISBLANK(G106)),ISTEXT(E106),ISTEXT(G106)),"",IF(Q106=0,0,IF(AND(J106&lt;=DATE(2004,12,31),E106&gt;=J106),Q106-U106,Q106-#REF!)))</f>
        <v/>
      </c>
      <c r="X106" s="504" t="str">
        <f>IF(OR(AND(ISBLANK(E106),ISBLANK(G106)),ISTEXT(E106),ISTEXT(G106)),"",$D$57&amp;"//"&amp;TEXT($E$57,"dd-mmm-yyyy")&amp;"//"&amp;#REF!)</f>
        <v/>
      </c>
      <c r="Y106" s="476"/>
      <c r="Z106" s="476"/>
      <c r="AA106" s="476"/>
      <c r="AB106" s="476"/>
      <c r="AC106" s="476"/>
      <c r="AD106" s="568"/>
      <c r="AE106" s="476"/>
      <c r="AF106" s="568"/>
      <c r="AG106" s="476"/>
      <c r="AH106" s="476"/>
      <c r="AI106" s="477"/>
      <c r="AJ106" s="478"/>
      <c r="AK106" s="479"/>
      <c r="AL106" s="480"/>
      <c r="AM106" s="474"/>
      <c r="AN106" s="481"/>
      <c r="AO106" s="474"/>
      <c r="AP106" s="476"/>
      <c r="AQ106" s="482"/>
      <c r="AR106" s="478"/>
      <c r="AS106" s="478"/>
      <c r="AT106" s="476"/>
      <c r="AU106" s="482"/>
      <c r="AV106" s="478"/>
      <c r="AW106" s="483"/>
      <c r="AX106" s="476"/>
      <c r="AY106" s="482"/>
      <c r="AZ106" s="478"/>
      <c r="BA106" s="484"/>
      <c r="BB106" s="474"/>
      <c r="BC106" s="485"/>
      <c r="BD106" s="485"/>
      <c r="BG106" s="487"/>
    </row>
    <row r="107" spans="1:59" s="526" customFormat="1" ht="18" customHeight="1" x14ac:dyDescent="0.2">
      <c r="A107" s="1370" t="s">
        <v>4184</v>
      </c>
      <c r="B107" s="1956" t="s">
        <v>4184</v>
      </c>
      <c r="C107" s="1957"/>
      <c r="D107" s="1957"/>
      <c r="E107" s="1957"/>
      <c r="F107" s="1958"/>
      <c r="G107" s="624">
        <f>SUM(G86:G106)</f>
        <v>81514333550.189316</v>
      </c>
      <c r="H107" s="505"/>
      <c r="I107" s="506"/>
      <c r="J107" s="507"/>
      <c r="K107" s="507"/>
      <c r="L107" s="505"/>
      <c r="M107" s="684"/>
      <c r="N107" s="508"/>
      <c r="O107" s="507"/>
      <c r="P107" s="749"/>
      <c r="Q107" s="510"/>
      <c r="R107" s="511"/>
      <c r="S107" s="512"/>
      <c r="T107" s="512"/>
      <c r="U107" s="610">
        <f>SUM(U86:U106)</f>
        <v>60836628383.81044</v>
      </c>
      <c r="V107" s="513"/>
      <c r="W107" s="610">
        <f>G107-U107</f>
        <v>20677705166.378876</v>
      </c>
      <c r="X107" s="514"/>
      <c r="Y107" s="515"/>
      <c r="Z107" s="515"/>
      <c r="AA107" s="515"/>
      <c r="AB107" s="1362"/>
      <c r="AC107" s="515"/>
      <c r="AD107" s="570"/>
      <c r="AE107" s="515"/>
      <c r="AF107" s="570">
        <v>57912740766.325455</v>
      </c>
      <c r="AG107" s="515"/>
      <c r="AH107" s="515"/>
      <c r="AI107" s="516"/>
      <c r="AJ107" s="517"/>
      <c r="AK107" s="518"/>
      <c r="AL107" s="519"/>
      <c r="AM107" s="520"/>
      <c r="AN107" s="521"/>
      <c r="AO107" s="520"/>
      <c r="AP107" s="515"/>
      <c r="AQ107" s="522"/>
      <c r="AR107" s="517"/>
      <c r="AS107" s="517"/>
      <c r="AT107" s="515"/>
      <c r="AU107" s="522"/>
      <c r="AV107" s="517"/>
      <c r="AW107" s="523"/>
      <c r="AX107" s="515"/>
      <c r="AY107" s="522"/>
      <c r="AZ107" s="517"/>
      <c r="BA107" s="524"/>
      <c r="BB107" s="520"/>
      <c r="BC107" s="525"/>
      <c r="BD107" s="525"/>
      <c r="BG107" s="527"/>
    </row>
    <row r="108" spans="1:59" x14ac:dyDescent="0.2">
      <c r="AB108" s="1363"/>
    </row>
    <row r="109" spans="1:59" x14ac:dyDescent="0.2">
      <c r="AB109" s="627">
        <f>U107-AB108</f>
        <v>60836628383.81044</v>
      </c>
    </row>
    <row r="110" spans="1:59" s="422" customFormat="1" ht="18" customHeight="1" x14ac:dyDescent="0.2">
      <c r="A110" s="1366">
        <f>C110</f>
        <v>8</v>
      </c>
      <c r="B110" s="742" t="s">
        <v>4187</v>
      </c>
      <c r="C110" s="556">
        <v>8</v>
      </c>
      <c r="D110" s="553" t="str">
        <f>VLOOKUP(C110,RUAS,2,FALSE)</f>
        <v>KP. BARU SENTAJO - BENAI</v>
      </c>
      <c r="E110" s="553"/>
      <c r="F110" s="421"/>
      <c r="G110" s="611"/>
      <c r="I110" s="423"/>
      <c r="J110" s="424"/>
      <c r="K110" s="424"/>
      <c r="M110" s="680"/>
      <c r="P110" s="611"/>
      <c r="U110" s="611"/>
      <c r="W110" s="611"/>
      <c r="Y110" s="425"/>
      <c r="Z110" s="425"/>
      <c r="AA110" s="425"/>
      <c r="AB110" s="425"/>
      <c r="AC110" s="425"/>
      <c r="AD110" s="563"/>
      <c r="AE110" s="425"/>
      <c r="AF110" s="563"/>
      <c r="AG110" s="425"/>
      <c r="AH110" s="425"/>
      <c r="AI110" s="425"/>
      <c r="AJ110" s="425"/>
      <c r="AK110" s="425"/>
      <c r="AL110" s="425"/>
      <c r="AM110" s="425"/>
      <c r="AN110" s="425"/>
      <c r="AO110" s="425"/>
      <c r="AP110" s="425"/>
      <c r="AQ110" s="425"/>
      <c r="AR110" s="425"/>
      <c r="AS110" s="425"/>
      <c r="AT110" s="425"/>
      <c r="AU110" s="425"/>
      <c r="AV110" s="425"/>
      <c r="AW110" s="425"/>
      <c r="AX110" s="425"/>
      <c r="AY110" s="425"/>
      <c r="AZ110" s="425"/>
      <c r="BA110" s="425"/>
      <c r="BB110" s="425"/>
    </row>
    <row r="111" spans="1:59" s="431" customFormat="1" ht="18" customHeight="1" x14ac:dyDescent="0.2">
      <c r="A111" s="1367"/>
      <c r="B111" s="1968" t="s">
        <v>5</v>
      </c>
      <c r="C111" s="1968" t="s">
        <v>2280</v>
      </c>
      <c r="D111" s="1968" t="s">
        <v>4157</v>
      </c>
      <c r="E111" s="1968" t="s">
        <v>4158</v>
      </c>
      <c r="F111" s="1968"/>
      <c r="G111" s="1969" t="s">
        <v>4159</v>
      </c>
      <c r="H111" s="1968" t="s">
        <v>4160</v>
      </c>
      <c r="I111" s="1968"/>
      <c r="J111" s="1968" t="s">
        <v>4185</v>
      </c>
      <c r="K111" s="1964" t="s">
        <v>4162</v>
      </c>
      <c r="L111" s="1968" t="s">
        <v>4163</v>
      </c>
      <c r="M111" s="1971" t="s">
        <v>4164</v>
      </c>
      <c r="N111" s="1962" t="s">
        <v>4165</v>
      </c>
      <c r="O111" s="1968" t="s">
        <v>4166</v>
      </c>
      <c r="P111" s="1972" t="s">
        <v>4167</v>
      </c>
      <c r="Q111" s="1973"/>
      <c r="R111" s="1159" t="s">
        <v>4186</v>
      </c>
      <c r="S111" s="1972" t="s">
        <v>4169</v>
      </c>
      <c r="T111" s="1974"/>
      <c r="U111" s="1973"/>
      <c r="V111" s="1975" t="s">
        <v>4170</v>
      </c>
      <c r="W111" s="1975"/>
      <c r="X111" s="1960" t="s">
        <v>4171</v>
      </c>
      <c r="Y111" s="1959"/>
      <c r="Z111" s="1155"/>
      <c r="AA111" s="426"/>
      <c r="AB111" s="426"/>
      <c r="AC111" s="426"/>
      <c r="AD111" s="564"/>
      <c r="AE111" s="426"/>
      <c r="AF111" s="564"/>
      <c r="AG111" s="426"/>
      <c r="AH111" s="426"/>
      <c r="AI111" s="427"/>
      <c r="AJ111" s="427"/>
      <c r="AK111" s="427"/>
      <c r="AL111" s="427"/>
      <c r="AM111" s="428"/>
      <c r="AN111" s="427"/>
      <c r="AO111" s="427"/>
      <c r="AP111" s="426"/>
      <c r="AQ111" s="427"/>
      <c r="AR111" s="427"/>
      <c r="AS111" s="427"/>
      <c r="AT111" s="426"/>
      <c r="AU111" s="427"/>
      <c r="AV111" s="427"/>
      <c r="AW111" s="427"/>
      <c r="AX111" s="426"/>
      <c r="AY111" s="427"/>
      <c r="AZ111" s="427"/>
      <c r="BA111" s="427"/>
      <c r="BB111" s="429"/>
      <c r="BC111" s="430"/>
      <c r="BD111" s="430"/>
    </row>
    <row r="112" spans="1:59" s="431" customFormat="1" ht="18" customHeight="1" x14ac:dyDescent="0.2">
      <c r="A112" s="1367"/>
      <c r="B112" s="1968"/>
      <c r="C112" s="1968"/>
      <c r="D112" s="1968"/>
      <c r="E112" s="1968"/>
      <c r="F112" s="1968"/>
      <c r="G112" s="1969"/>
      <c r="H112" s="1968"/>
      <c r="I112" s="1968"/>
      <c r="J112" s="1968"/>
      <c r="K112" s="1970"/>
      <c r="L112" s="1968"/>
      <c r="M112" s="1971"/>
      <c r="N112" s="1963"/>
      <c r="O112" s="1968"/>
      <c r="P112" s="2037" t="s">
        <v>4172</v>
      </c>
      <c r="Q112" s="1960" t="s">
        <v>4173</v>
      </c>
      <c r="R112" s="1962" t="s">
        <v>4159</v>
      </c>
      <c r="S112" s="1962" t="s">
        <v>4174</v>
      </c>
      <c r="T112" s="1964" t="s">
        <v>4175</v>
      </c>
      <c r="U112" s="1966" t="s">
        <v>4159</v>
      </c>
      <c r="V112" s="1975"/>
      <c r="W112" s="1975"/>
      <c r="X112" s="1976"/>
      <c r="Y112" s="1959"/>
      <c r="Z112" s="1155"/>
      <c r="AA112" s="426"/>
      <c r="AB112" s="426"/>
      <c r="AC112" s="426"/>
      <c r="AD112" s="564"/>
      <c r="AE112" s="426"/>
      <c r="AF112" s="564"/>
      <c r="AG112" s="426"/>
      <c r="AH112" s="426"/>
      <c r="AI112" s="427"/>
      <c r="AJ112" s="427"/>
      <c r="AK112" s="426"/>
      <c r="AL112" s="427"/>
      <c r="AM112" s="428"/>
      <c r="AN112" s="427"/>
      <c r="AO112" s="427"/>
      <c r="AP112" s="432"/>
      <c r="AQ112" s="427"/>
      <c r="AR112" s="427"/>
      <c r="AS112" s="427"/>
      <c r="AT112" s="432"/>
      <c r="AU112" s="427"/>
      <c r="AV112" s="427"/>
      <c r="AW112" s="427"/>
      <c r="AX112" s="432"/>
      <c r="AY112" s="427"/>
      <c r="AZ112" s="427"/>
      <c r="BA112" s="427"/>
      <c r="BB112" s="429"/>
      <c r="BC112" s="430"/>
      <c r="BD112" s="430"/>
    </row>
    <row r="113" spans="1:59" s="431" customFormat="1" ht="18" customHeight="1" x14ac:dyDescent="0.2">
      <c r="A113" s="1367"/>
      <c r="B113" s="1968"/>
      <c r="C113" s="1968"/>
      <c r="D113" s="1968"/>
      <c r="E113" s="433" t="s">
        <v>4176</v>
      </c>
      <c r="F113" s="434" t="s">
        <v>2288</v>
      </c>
      <c r="G113" s="1969"/>
      <c r="H113" s="1156" t="s">
        <v>2288</v>
      </c>
      <c r="I113" s="1156" t="s">
        <v>4177</v>
      </c>
      <c r="J113" s="1968"/>
      <c r="K113" s="1965"/>
      <c r="L113" s="435" t="s">
        <v>2288</v>
      </c>
      <c r="M113" s="681" t="s">
        <v>2288</v>
      </c>
      <c r="N113" s="1156" t="s">
        <v>2288</v>
      </c>
      <c r="O113" s="1968"/>
      <c r="P113" s="2038"/>
      <c r="Q113" s="1961"/>
      <c r="R113" s="1963"/>
      <c r="S113" s="1963"/>
      <c r="T113" s="1965"/>
      <c r="U113" s="1967"/>
      <c r="V113" s="1156" t="s">
        <v>4178</v>
      </c>
      <c r="W113" s="1157" t="s">
        <v>4159</v>
      </c>
      <c r="X113" s="1961"/>
      <c r="Y113" s="436"/>
      <c r="Z113" s="436"/>
      <c r="AA113" s="426"/>
      <c r="AB113" s="426"/>
      <c r="AC113" s="426"/>
      <c r="AD113" s="564"/>
      <c r="AE113" s="426"/>
      <c r="AF113" s="564"/>
      <c r="AG113" s="426"/>
      <c r="AH113" s="426"/>
      <c r="AI113" s="427"/>
      <c r="AJ113" s="432"/>
      <c r="AK113" s="432"/>
      <c r="AL113" s="427"/>
      <c r="AM113" s="428"/>
      <c r="AN113" s="432"/>
      <c r="AO113" s="427"/>
      <c r="AP113" s="432"/>
      <c r="AQ113" s="432"/>
      <c r="AR113" s="427"/>
      <c r="AS113" s="427"/>
      <c r="AT113" s="432"/>
      <c r="AU113" s="432"/>
      <c r="AV113" s="427"/>
      <c r="AW113" s="427"/>
      <c r="AX113" s="432"/>
      <c r="AY113" s="432"/>
      <c r="AZ113" s="427"/>
      <c r="BA113" s="427"/>
      <c r="BB113" s="429"/>
      <c r="BC113" s="430"/>
      <c r="BD113" s="430"/>
    </row>
    <row r="114" spans="1:59" s="461" customFormat="1" ht="18" customHeight="1" x14ac:dyDescent="0.2">
      <c r="A114" s="1368" t="str">
        <f>$D$110&amp;S114</f>
        <v>KP. BARU SENTAJO - BENAI2001</v>
      </c>
      <c r="B114" s="1373">
        <v>1</v>
      </c>
      <c r="C114" s="532" t="s">
        <v>529</v>
      </c>
      <c r="D114" s="437" t="s">
        <v>2494</v>
      </c>
      <c r="E114" s="438"/>
      <c r="F114" s="439">
        <v>2001</v>
      </c>
      <c r="G114" s="623">
        <v>450000000</v>
      </c>
      <c r="H114" s="440">
        <f>VLOOKUP(LEFT(D114,8),UE,4)</f>
        <v>10</v>
      </c>
      <c r="I114" s="441"/>
      <c r="J114" s="442">
        <f>(F114+N114)-1</f>
        <v>2010</v>
      </c>
      <c r="K114" s="443"/>
      <c r="L114" s="440"/>
      <c r="M114" s="746">
        <f>IF(H114+L114&gt;$H114,$H114-H114,L114)</f>
        <v>0</v>
      </c>
      <c r="N114" s="444">
        <f>H114+M114</f>
        <v>10</v>
      </c>
      <c r="O114" s="442">
        <f>(F114+N114)-1</f>
        <v>2010</v>
      </c>
      <c r="P114" s="617">
        <f>G114</f>
        <v>450000000</v>
      </c>
      <c r="Q114" s="445">
        <v>0</v>
      </c>
      <c r="R114" s="445">
        <f>P114/N114</f>
        <v>45000000</v>
      </c>
      <c r="S114" s="446">
        <f>F114</f>
        <v>2001</v>
      </c>
      <c r="T114" s="447">
        <v>1</v>
      </c>
      <c r="U114" s="613">
        <f>R114*T114</f>
        <v>45000000</v>
      </c>
      <c r="V114" s="442">
        <f>F114</f>
        <v>2001</v>
      </c>
      <c r="W114" s="617">
        <f>IF(OR(AND(ISBLANK(E114),ISBLANK(G114)),ISTEXT(E114),ISTEXT(G114)),"",G114-R114)</f>
        <v>405000000</v>
      </c>
      <c r="X114" s="448"/>
      <c r="Y114" s="449"/>
      <c r="Z114" s="449"/>
      <c r="AA114" s="693"/>
      <c r="AB114" s="452"/>
      <c r="AC114" s="452"/>
      <c r="AD114" s="571"/>
      <c r="AE114" s="452"/>
      <c r="AF114" s="571"/>
      <c r="AG114" s="452"/>
      <c r="AH114" s="452"/>
      <c r="AI114" s="453"/>
      <c r="AJ114" s="449"/>
      <c r="AK114" s="453"/>
      <c r="AL114" s="454"/>
      <c r="AM114" s="455"/>
      <c r="AN114" s="456"/>
      <c r="AO114" s="455"/>
      <c r="AP114" s="452"/>
      <c r="AQ114" s="457"/>
      <c r="AR114" s="449"/>
      <c r="AS114" s="449"/>
      <c r="AT114" s="452"/>
      <c r="AU114" s="457"/>
      <c r="AV114" s="449"/>
      <c r="AW114" s="458"/>
      <c r="AX114" s="452"/>
      <c r="AY114" s="457"/>
      <c r="AZ114" s="449"/>
      <c r="BA114" s="459"/>
      <c r="BB114" s="455"/>
      <c r="BC114" s="460"/>
      <c r="BD114" s="460"/>
      <c r="BG114" s="462"/>
    </row>
    <row r="115" spans="1:59" s="486" customFormat="1" ht="18" customHeight="1" x14ac:dyDescent="0.2">
      <c r="A115" s="1368" t="str">
        <f t="shared" ref="A115:A124" si="69">$D$110&amp;S115</f>
        <v>KP. BARU SENTAJO - BENAI2006</v>
      </c>
      <c r="B115" s="1373"/>
      <c r="C115" s="463"/>
      <c r="D115" s="464"/>
      <c r="E115" s="465"/>
      <c r="F115" s="466">
        <v>2006</v>
      </c>
      <c r="G115" s="620">
        <v>0</v>
      </c>
      <c r="H115" s="464">
        <f>IF(N114-(F115-F114)&lt;=0,0,(N114-(F115-F114)))</f>
        <v>5</v>
      </c>
      <c r="I115" s="467"/>
      <c r="J115" s="468">
        <f>(F115+N115)-1</f>
        <v>2010</v>
      </c>
      <c r="K115" s="490">
        <f>IF(G115=0,0,IF(H115=10,100%,G115/W114))</f>
        <v>0</v>
      </c>
      <c r="L115" s="469">
        <f>IF(K115=0%,0,IF(K115&lt;=30%,2,IF(K115&lt;=60%,5,10)))</f>
        <v>0</v>
      </c>
      <c r="M115" s="683">
        <f>IF(OR(AND(ISBLANK(E115),ISBLANK(G115)),ISTEXT(E115),ISTEXT(G115)),"",IF(H115+L115&gt;$H$114,$H$114-H115,L115))</f>
        <v>0</v>
      </c>
      <c r="N115" s="470">
        <f>IF(OR(AND(ISBLANK(F115),ISBLANK(G115)),ISTEXT(F115),ISTEXT(G115)),"",H115+M115)</f>
        <v>5</v>
      </c>
      <c r="O115" s="468">
        <f>(F115+N115)-1</f>
        <v>2010</v>
      </c>
      <c r="P115" s="616">
        <f>W114</f>
        <v>405000000</v>
      </c>
      <c r="Q115" s="472">
        <f>P115+G115</f>
        <v>405000000</v>
      </c>
      <c r="R115" s="472">
        <f>IF(L115=0,R114,IF(Q115=0,0,Q115/N115))</f>
        <v>45000000</v>
      </c>
      <c r="S115" s="1160">
        <f>F115</f>
        <v>2006</v>
      </c>
      <c r="T115" s="470">
        <f>S115-S114</f>
        <v>5</v>
      </c>
      <c r="U115" s="612">
        <f>R115*T115</f>
        <v>225000000</v>
      </c>
      <c r="V115" s="464">
        <f>F115</f>
        <v>2006</v>
      </c>
      <c r="W115" s="612">
        <f>IF(OR(AND(ISBLANK(E115),ISBLANK(G115)),ISTEXT(E115),ISTEXT(G115)),"",Q115-U115)</f>
        <v>180000000</v>
      </c>
      <c r="X115" s="473"/>
      <c r="Y115" s="474"/>
      <c r="Z115" s="449"/>
      <c r="AA115" s="573"/>
      <c r="AB115" s="476"/>
      <c r="AC115" s="476"/>
      <c r="AD115" s="568"/>
      <c r="AE115" s="476"/>
      <c r="AF115" s="568"/>
      <c r="AG115" s="476"/>
      <c r="AH115" s="476"/>
      <c r="AI115" s="477"/>
      <c r="AJ115" s="478"/>
      <c r="AK115" s="479"/>
      <c r="AL115" s="480"/>
      <c r="AM115" s="474"/>
      <c r="AN115" s="481"/>
      <c r="AO115" s="474"/>
      <c r="AP115" s="476"/>
      <c r="AQ115" s="482"/>
      <c r="AR115" s="478"/>
      <c r="AS115" s="478"/>
      <c r="AT115" s="476"/>
      <c r="AU115" s="482"/>
      <c r="AV115" s="478"/>
      <c r="AW115" s="483"/>
      <c r="AX115" s="476"/>
      <c r="AY115" s="482"/>
      <c r="AZ115" s="478"/>
      <c r="BA115" s="484"/>
      <c r="BB115" s="474"/>
      <c r="BC115" s="485"/>
      <c r="BD115" s="485"/>
      <c r="BG115" s="487"/>
    </row>
    <row r="116" spans="1:59" s="486" customFormat="1" ht="18" customHeight="1" x14ac:dyDescent="0.2">
      <c r="A116" s="1368" t="str">
        <f t="shared" si="69"/>
        <v>KP. BARU SENTAJO - BENAI2007</v>
      </c>
      <c r="B116" s="1373">
        <v>2</v>
      </c>
      <c r="C116" s="463" t="s">
        <v>1153</v>
      </c>
      <c r="D116" s="464"/>
      <c r="E116" s="465"/>
      <c r="F116" s="466">
        <v>2007</v>
      </c>
      <c r="G116" s="620">
        <v>1445197841.9462903</v>
      </c>
      <c r="H116" s="464">
        <f t="shared" ref="H116:H124" si="70">IF(N115-(F116-F115)&lt;=0,0,(N115-(F116-F115)))</f>
        <v>4</v>
      </c>
      <c r="I116" s="467"/>
      <c r="J116" s="468">
        <f t="shared" ref="J116:J124" si="71">(F116+N116)-1</f>
        <v>2016</v>
      </c>
      <c r="K116" s="490">
        <f t="shared" ref="K116:K124" si="72">IF(G116=0,0,IF(H116=10,100%,G116/W115))</f>
        <v>8.0288768997016131</v>
      </c>
      <c r="L116" s="469">
        <f t="shared" ref="L116:L124" si="73">IF(K116=0%,0,IF(K116&lt;=30%,2,IF(K116&lt;=60%,5,10)))</f>
        <v>10</v>
      </c>
      <c r="M116" s="683">
        <f t="shared" ref="M116:M124" si="74">IF(OR(AND(ISBLANK(E116),ISBLANK(G116)),ISTEXT(E116),ISTEXT(G116)),"",IF(H116+L116&gt;$H$114,$H$114-H116,L116))</f>
        <v>6</v>
      </c>
      <c r="N116" s="470">
        <f t="shared" ref="N116:N124" si="75">IF(OR(AND(ISBLANK(F116),ISBLANK(G116)),ISTEXT(F116),ISTEXT(G116)),"",H116+M116)</f>
        <v>10</v>
      </c>
      <c r="O116" s="468">
        <f t="shared" ref="O116:O124" si="76">(F116+N116)-1</f>
        <v>2016</v>
      </c>
      <c r="P116" s="616">
        <f t="shared" ref="P116:P124" si="77">W115</f>
        <v>180000000</v>
      </c>
      <c r="Q116" s="472">
        <f t="shared" ref="Q116:Q124" si="78">P116+G116</f>
        <v>1625197841.9462903</v>
      </c>
      <c r="R116" s="472">
        <f t="shared" ref="R116:R124" si="79">IF(L116=0,R115,IF(Q116=0,0,Q116/N116))</f>
        <v>162519784.19462901</v>
      </c>
      <c r="S116" s="1189">
        <f t="shared" ref="S116:S124" si="80">F116</f>
        <v>2007</v>
      </c>
      <c r="T116" s="470">
        <f t="shared" ref="T116:T124" si="81">S116-S115</f>
        <v>1</v>
      </c>
      <c r="U116" s="612">
        <f t="shared" ref="U116:U124" si="82">R116*T116</f>
        <v>162519784.19462901</v>
      </c>
      <c r="V116" s="464">
        <f t="shared" ref="V116:V124" si="83">F116</f>
        <v>2007</v>
      </c>
      <c r="W116" s="612">
        <f t="shared" ref="W116:W124" si="84">IF(OR(AND(ISBLANK(E116),ISBLANK(G116)),ISTEXT(E116),ISTEXT(G116)),"",Q116-U116)</f>
        <v>1462678057.7516613</v>
      </c>
      <c r="X116" s="473"/>
      <c r="Y116" s="474"/>
      <c r="Z116" s="449"/>
      <c r="AA116" s="739"/>
      <c r="AB116" s="496"/>
      <c r="AC116" s="496"/>
      <c r="AD116" s="740"/>
      <c r="AE116" s="476"/>
      <c r="AF116" s="568"/>
      <c r="AG116" s="476"/>
      <c r="AH116" s="476"/>
      <c r="AI116" s="477"/>
      <c r="AJ116" s="478"/>
      <c r="AK116" s="479"/>
      <c r="AL116" s="480"/>
      <c r="AM116" s="474"/>
      <c r="AN116" s="481"/>
      <c r="AO116" s="474"/>
      <c r="AP116" s="476"/>
      <c r="AQ116" s="482"/>
      <c r="AR116" s="478"/>
      <c r="AS116" s="478"/>
      <c r="AT116" s="476"/>
      <c r="AU116" s="482"/>
      <c r="AV116" s="478"/>
      <c r="AW116" s="483"/>
      <c r="AX116" s="476"/>
      <c r="AY116" s="482"/>
      <c r="AZ116" s="478"/>
      <c r="BA116" s="484"/>
      <c r="BB116" s="474"/>
      <c r="BC116" s="485"/>
      <c r="BD116" s="485"/>
      <c r="BG116" s="487"/>
    </row>
    <row r="117" spans="1:59" s="486" customFormat="1" ht="18" customHeight="1" x14ac:dyDescent="0.2">
      <c r="A117" s="1368" t="str">
        <f t="shared" si="69"/>
        <v>KP. BARU SENTAJO - BENAI2010</v>
      </c>
      <c r="B117" s="1373"/>
      <c r="C117" s="463"/>
      <c r="D117" s="464"/>
      <c r="E117" s="465"/>
      <c r="F117" s="466">
        <v>2010</v>
      </c>
      <c r="G117" s="620">
        <v>0</v>
      </c>
      <c r="H117" s="464">
        <f t="shared" si="70"/>
        <v>7</v>
      </c>
      <c r="I117" s="467"/>
      <c r="J117" s="468">
        <f t="shared" si="71"/>
        <v>2016</v>
      </c>
      <c r="K117" s="490">
        <f t="shared" si="72"/>
        <v>0</v>
      </c>
      <c r="L117" s="469">
        <f t="shared" si="73"/>
        <v>0</v>
      </c>
      <c r="M117" s="683">
        <f t="shared" si="74"/>
        <v>0</v>
      </c>
      <c r="N117" s="470">
        <f t="shared" si="75"/>
        <v>7</v>
      </c>
      <c r="O117" s="468">
        <f t="shared" si="76"/>
        <v>2016</v>
      </c>
      <c r="P117" s="616">
        <f t="shared" si="77"/>
        <v>1462678057.7516613</v>
      </c>
      <c r="Q117" s="472">
        <f t="shared" si="78"/>
        <v>1462678057.7516613</v>
      </c>
      <c r="R117" s="472">
        <f t="shared" si="79"/>
        <v>162519784.19462901</v>
      </c>
      <c r="S117" s="1189">
        <f t="shared" si="80"/>
        <v>2010</v>
      </c>
      <c r="T117" s="470">
        <f t="shared" si="81"/>
        <v>3</v>
      </c>
      <c r="U117" s="612">
        <f t="shared" si="82"/>
        <v>487559352.58388704</v>
      </c>
      <c r="V117" s="464">
        <f t="shared" si="83"/>
        <v>2010</v>
      </c>
      <c r="W117" s="612">
        <f t="shared" si="84"/>
        <v>975118705.1677742</v>
      </c>
      <c r="X117" s="473"/>
      <c r="Y117" s="478"/>
      <c r="Z117" s="449"/>
      <c r="AA117" s="554" t="s">
        <v>4179</v>
      </c>
      <c r="AB117" s="491"/>
      <c r="AC117" s="491"/>
      <c r="AD117" s="567"/>
      <c r="AE117" s="491"/>
      <c r="AF117" s="568"/>
      <c r="AG117" s="491"/>
      <c r="AH117" s="491"/>
      <c r="AI117" s="477"/>
      <c r="AJ117" s="478"/>
      <c r="AK117" s="479"/>
      <c r="AL117" s="480"/>
      <c r="AM117" s="474"/>
      <c r="AN117" s="481"/>
      <c r="AO117" s="474"/>
      <c r="AP117" s="476"/>
      <c r="AQ117" s="482"/>
      <c r="AR117" s="478"/>
      <c r="AS117" s="478"/>
      <c r="AT117" s="476"/>
      <c r="AU117" s="482"/>
      <c r="AV117" s="478"/>
      <c r="AW117" s="483"/>
      <c r="AX117" s="476"/>
      <c r="AY117" s="482"/>
      <c r="AZ117" s="478"/>
      <c r="BA117" s="484"/>
      <c r="BB117" s="474"/>
      <c r="BC117" s="485"/>
      <c r="BD117" s="485"/>
      <c r="BG117" s="487"/>
    </row>
    <row r="118" spans="1:59" s="486" customFormat="1" ht="18" customHeight="1" x14ac:dyDescent="0.2">
      <c r="A118" s="1368" t="str">
        <f t="shared" si="69"/>
        <v>KP. BARU SENTAJO - BENAI2013</v>
      </c>
      <c r="B118" s="1373"/>
      <c r="C118" s="463"/>
      <c r="D118" s="464"/>
      <c r="E118" s="465"/>
      <c r="F118" s="466">
        <v>2013</v>
      </c>
      <c r="G118" s="620">
        <v>0</v>
      </c>
      <c r="H118" s="464">
        <f t="shared" si="70"/>
        <v>4</v>
      </c>
      <c r="I118" s="467"/>
      <c r="J118" s="468">
        <f t="shared" si="71"/>
        <v>2016</v>
      </c>
      <c r="K118" s="490">
        <f t="shared" si="72"/>
        <v>0</v>
      </c>
      <c r="L118" s="469">
        <f t="shared" si="73"/>
        <v>0</v>
      </c>
      <c r="M118" s="683">
        <f t="shared" si="74"/>
        <v>0</v>
      </c>
      <c r="N118" s="470">
        <f t="shared" si="75"/>
        <v>4</v>
      </c>
      <c r="O118" s="468">
        <f t="shared" si="76"/>
        <v>2016</v>
      </c>
      <c r="P118" s="616">
        <f t="shared" si="77"/>
        <v>975118705.1677742</v>
      </c>
      <c r="Q118" s="472">
        <f t="shared" si="78"/>
        <v>975118705.1677742</v>
      </c>
      <c r="R118" s="472">
        <f t="shared" si="79"/>
        <v>162519784.19462901</v>
      </c>
      <c r="S118" s="1189">
        <f t="shared" si="80"/>
        <v>2013</v>
      </c>
      <c r="T118" s="470">
        <f t="shared" si="81"/>
        <v>3</v>
      </c>
      <c r="U118" s="612">
        <f t="shared" si="82"/>
        <v>487559352.58388704</v>
      </c>
      <c r="V118" s="464">
        <f t="shared" si="83"/>
        <v>2013</v>
      </c>
      <c r="W118" s="612">
        <f t="shared" si="84"/>
        <v>487559352.58388716</v>
      </c>
      <c r="X118" s="473"/>
      <c r="Y118" s="478"/>
      <c r="Z118" s="449"/>
      <c r="AA118" s="475"/>
      <c r="AB118" s="476"/>
      <c r="AC118" s="476"/>
      <c r="AD118" s="567"/>
      <c r="AE118" s="491"/>
      <c r="AF118" s="568"/>
      <c r="AG118" s="491"/>
      <c r="AH118" s="491"/>
      <c r="AI118" s="477"/>
      <c r="AJ118" s="478"/>
      <c r="AK118" s="479"/>
      <c r="AL118" s="480"/>
      <c r="AM118" s="474"/>
      <c r="AN118" s="481"/>
      <c r="AO118" s="474"/>
      <c r="AP118" s="476"/>
      <c r="AQ118" s="482"/>
      <c r="AR118" s="478"/>
      <c r="AS118" s="478"/>
      <c r="AT118" s="476"/>
      <c r="AU118" s="482"/>
      <c r="AV118" s="478"/>
      <c r="AW118" s="483"/>
      <c r="AX118" s="476"/>
      <c r="AY118" s="482"/>
      <c r="AZ118" s="478"/>
      <c r="BA118" s="484"/>
      <c r="BB118" s="474"/>
      <c r="BC118" s="485"/>
      <c r="BD118" s="485"/>
      <c r="BG118" s="487"/>
    </row>
    <row r="119" spans="1:59" s="486" customFormat="1" ht="18" customHeight="1" x14ac:dyDescent="0.2">
      <c r="A119" s="1368" t="str">
        <f t="shared" si="69"/>
        <v>KP. BARU SENTAJO - BENAI2014</v>
      </c>
      <c r="B119" s="1373"/>
      <c r="C119" s="463"/>
      <c r="D119" s="464"/>
      <c r="E119" s="465"/>
      <c r="F119" s="466">
        <v>2014</v>
      </c>
      <c r="G119" s="620">
        <v>0</v>
      </c>
      <c r="H119" s="464">
        <f t="shared" si="70"/>
        <v>3</v>
      </c>
      <c r="I119" s="467"/>
      <c r="J119" s="468">
        <f t="shared" si="71"/>
        <v>2016</v>
      </c>
      <c r="K119" s="490">
        <f t="shared" si="72"/>
        <v>0</v>
      </c>
      <c r="L119" s="469">
        <f t="shared" si="73"/>
        <v>0</v>
      </c>
      <c r="M119" s="683">
        <f t="shared" si="74"/>
        <v>0</v>
      </c>
      <c r="N119" s="470">
        <f t="shared" si="75"/>
        <v>3</v>
      </c>
      <c r="O119" s="468">
        <f t="shared" si="76"/>
        <v>2016</v>
      </c>
      <c r="P119" s="616">
        <f t="shared" si="77"/>
        <v>487559352.58388716</v>
      </c>
      <c r="Q119" s="472">
        <f t="shared" si="78"/>
        <v>487559352.58388716</v>
      </c>
      <c r="R119" s="472">
        <f t="shared" si="79"/>
        <v>162519784.19462901</v>
      </c>
      <c r="S119" s="1189">
        <f t="shared" si="80"/>
        <v>2014</v>
      </c>
      <c r="T119" s="470">
        <f t="shared" si="81"/>
        <v>1</v>
      </c>
      <c r="U119" s="612">
        <f t="shared" si="82"/>
        <v>162519784.19462901</v>
      </c>
      <c r="V119" s="464">
        <f t="shared" si="83"/>
        <v>2014</v>
      </c>
      <c r="W119" s="612">
        <f t="shared" si="84"/>
        <v>325039568.38925815</v>
      </c>
      <c r="X119" s="473"/>
      <c r="Y119" s="478"/>
      <c r="Z119" s="449"/>
      <c r="AA119" s="475" t="s">
        <v>4180</v>
      </c>
      <c r="AB119" s="476"/>
      <c r="AC119" s="476"/>
      <c r="AD119" s="567">
        <f>G126</f>
        <v>2256214310.94629</v>
      </c>
      <c r="AE119" s="491"/>
      <c r="AF119" s="568"/>
      <c r="AG119" s="491"/>
      <c r="AH119" s="491"/>
      <c r="AI119" s="477"/>
      <c r="AJ119" s="478"/>
      <c r="AK119" s="479"/>
      <c r="AL119" s="480"/>
      <c r="AM119" s="474"/>
      <c r="AN119" s="481"/>
      <c r="AO119" s="474"/>
      <c r="AP119" s="476"/>
      <c r="AQ119" s="482"/>
      <c r="AR119" s="478"/>
      <c r="AS119" s="478"/>
      <c r="AT119" s="476"/>
      <c r="AU119" s="482"/>
      <c r="AV119" s="478"/>
      <c r="AW119" s="483"/>
      <c r="AX119" s="476"/>
      <c r="AY119" s="482"/>
      <c r="AZ119" s="478"/>
      <c r="BA119" s="484"/>
      <c r="BB119" s="474"/>
      <c r="BC119" s="485"/>
      <c r="BD119" s="485"/>
      <c r="BG119" s="487"/>
    </row>
    <row r="120" spans="1:59" s="486" customFormat="1" ht="18" customHeight="1" x14ac:dyDescent="0.2">
      <c r="A120" s="1368" t="str">
        <f t="shared" si="69"/>
        <v>KP. BARU SENTAJO - BENAI2015</v>
      </c>
      <c r="B120" s="1373"/>
      <c r="C120" s="463"/>
      <c r="D120" s="464"/>
      <c r="E120" s="465"/>
      <c r="F120" s="466">
        <v>2015</v>
      </c>
      <c r="G120" s="620">
        <v>0</v>
      </c>
      <c r="H120" s="464">
        <f t="shared" si="70"/>
        <v>2</v>
      </c>
      <c r="I120" s="467"/>
      <c r="J120" s="468">
        <f t="shared" si="71"/>
        <v>2016</v>
      </c>
      <c r="K120" s="490">
        <f t="shared" si="72"/>
        <v>0</v>
      </c>
      <c r="L120" s="469">
        <f t="shared" si="73"/>
        <v>0</v>
      </c>
      <c r="M120" s="683">
        <f t="shared" si="74"/>
        <v>0</v>
      </c>
      <c r="N120" s="470">
        <f t="shared" si="75"/>
        <v>2</v>
      </c>
      <c r="O120" s="468">
        <f t="shared" si="76"/>
        <v>2016</v>
      </c>
      <c r="P120" s="616">
        <f t="shared" si="77"/>
        <v>325039568.38925815</v>
      </c>
      <c r="Q120" s="472">
        <f t="shared" si="78"/>
        <v>325039568.38925815</v>
      </c>
      <c r="R120" s="472">
        <f t="shared" si="79"/>
        <v>162519784.19462901</v>
      </c>
      <c r="S120" s="1189">
        <f t="shared" si="80"/>
        <v>2015</v>
      </c>
      <c r="T120" s="470">
        <f t="shared" si="81"/>
        <v>1</v>
      </c>
      <c r="U120" s="612">
        <f t="shared" si="82"/>
        <v>162519784.19462901</v>
      </c>
      <c r="V120" s="464">
        <f t="shared" si="83"/>
        <v>2015</v>
      </c>
      <c r="W120" s="612">
        <f t="shared" si="84"/>
        <v>162519784.19462913</v>
      </c>
      <c r="X120" s="473"/>
      <c r="Y120" s="478"/>
      <c r="Z120" s="449"/>
      <c r="AA120" s="475" t="s">
        <v>4181</v>
      </c>
      <c r="AB120" s="491"/>
      <c r="AC120" s="491"/>
      <c r="AD120" s="567">
        <f>U126</f>
        <v>2003502782.6462903</v>
      </c>
      <c r="AE120" s="491"/>
      <c r="AF120" s="568"/>
      <c r="AG120" s="491"/>
      <c r="AH120" s="491"/>
      <c r="AI120" s="477"/>
      <c r="AJ120" s="478"/>
      <c r="AK120" s="479"/>
      <c r="AL120" s="480"/>
      <c r="AM120" s="474"/>
      <c r="AN120" s="481"/>
      <c r="AO120" s="474"/>
      <c r="AP120" s="476"/>
      <c r="AQ120" s="482"/>
      <c r="AR120" s="478"/>
      <c r="AS120" s="478"/>
      <c r="AT120" s="476"/>
      <c r="AU120" s="482"/>
      <c r="AV120" s="478"/>
      <c r="AW120" s="483"/>
      <c r="AX120" s="476"/>
      <c r="AY120" s="482"/>
      <c r="AZ120" s="478"/>
      <c r="BA120" s="484"/>
      <c r="BB120" s="474"/>
      <c r="BC120" s="485"/>
      <c r="BD120" s="485"/>
      <c r="BG120" s="487"/>
    </row>
    <row r="121" spans="1:59" s="486" customFormat="1" ht="18" customHeight="1" x14ac:dyDescent="0.2">
      <c r="A121" s="1368" t="str">
        <f t="shared" si="69"/>
        <v>KP. BARU SENTAJO - BENAI2016</v>
      </c>
      <c r="B121" s="1373"/>
      <c r="C121" s="463"/>
      <c r="D121" s="464"/>
      <c r="E121" s="465"/>
      <c r="F121" s="466">
        <v>2016</v>
      </c>
      <c r="G121" s="620">
        <v>0</v>
      </c>
      <c r="H121" s="464">
        <f t="shared" si="70"/>
        <v>1</v>
      </c>
      <c r="I121" s="467"/>
      <c r="J121" s="468">
        <f t="shared" si="71"/>
        <v>2016</v>
      </c>
      <c r="K121" s="490">
        <f t="shared" si="72"/>
        <v>0</v>
      </c>
      <c r="L121" s="469">
        <f t="shared" si="73"/>
        <v>0</v>
      </c>
      <c r="M121" s="683">
        <f t="shared" si="74"/>
        <v>0</v>
      </c>
      <c r="N121" s="470">
        <f t="shared" si="75"/>
        <v>1</v>
      </c>
      <c r="O121" s="468">
        <f t="shared" si="76"/>
        <v>2016</v>
      </c>
      <c r="P121" s="616">
        <f t="shared" si="77"/>
        <v>162519784.19462913</v>
      </c>
      <c r="Q121" s="472">
        <f t="shared" si="78"/>
        <v>162519784.19462913</v>
      </c>
      <c r="R121" s="472">
        <f t="shared" si="79"/>
        <v>162519784.19462901</v>
      </c>
      <c r="S121" s="1189">
        <f t="shared" si="80"/>
        <v>2016</v>
      </c>
      <c r="T121" s="470">
        <f t="shared" si="81"/>
        <v>1</v>
      </c>
      <c r="U121" s="612">
        <f t="shared" si="82"/>
        <v>162519784.19462901</v>
      </c>
      <c r="V121" s="464">
        <f t="shared" si="83"/>
        <v>2016</v>
      </c>
      <c r="W121" s="612">
        <f t="shared" si="84"/>
        <v>1.1920928955078125E-7</v>
      </c>
      <c r="X121" s="473"/>
      <c r="Y121" s="478"/>
      <c r="Z121" s="449"/>
      <c r="AA121" s="492" t="s">
        <v>4182</v>
      </c>
      <c r="AB121" s="476"/>
      <c r="AC121" s="476"/>
      <c r="AD121" s="567">
        <f>AD119-AD120</f>
        <v>252711528.29999971</v>
      </c>
      <c r="AE121" s="476"/>
      <c r="AF121" s="568"/>
      <c r="AG121" s="476"/>
      <c r="AH121" s="476"/>
      <c r="AI121" s="477"/>
      <c r="AJ121" s="478"/>
      <c r="AK121" s="479"/>
      <c r="AL121" s="480"/>
      <c r="AM121" s="474"/>
      <c r="AN121" s="481"/>
      <c r="AO121" s="474"/>
      <c r="AP121" s="476"/>
      <c r="AQ121" s="482"/>
      <c r="AR121" s="478"/>
      <c r="AS121" s="478"/>
      <c r="AT121" s="476"/>
      <c r="AU121" s="482"/>
      <c r="AV121" s="478"/>
      <c r="AW121" s="483"/>
      <c r="AX121" s="476"/>
      <c r="AY121" s="482"/>
      <c r="AZ121" s="478"/>
      <c r="BA121" s="484"/>
      <c r="BB121" s="474"/>
      <c r="BC121" s="485"/>
      <c r="BD121" s="485"/>
      <c r="BG121" s="487"/>
    </row>
    <row r="122" spans="1:59" s="486" customFormat="1" ht="18" customHeight="1" x14ac:dyDescent="0.2">
      <c r="A122" s="1368" t="str">
        <f t="shared" si="69"/>
        <v>KP. BARU SENTAJO - BENAI2017</v>
      </c>
      <c r="B122" s="687">
        <v>3</v>
      </c>
      <c r="C122" s="463" t="s">
        <v>3070</v>
      </c>
      <c r="D122" s="464" t="s">
        <v>2494</v>
      </c>
      <c r="E122" s="465"/>
      <c r="F122" s="466">
        <v>2017</v>
      </c>
      <c r="G122" s="620">
        <f>180968000+180048469</f>
        <v>361016469</v>
      </c>
      <c r="H122" s="557">
        <f>VLOOKUP(LEFT(D122,8),UE,4)</f>
        <v>10</v>
      </c>
      <c r="I122" s="467"/>
      <c r="J122" s="468">
        <f t="shared" si="71"/>
        <v>2026</v>
      </c>
      <c r="K122" s="490">
        <f t="shared" si="72"/>
        <v>1</v>
      </c>
      <c r="L122" s="469">
        <f t="shared" si="73"/>
        <v>10</v>
      </c>
      <c r="M122" s="683">
        <f t="shared" si="74"/>
        <v>0</v>
      </c>
      <c r="N122" s="470">
        <f t="shared" si="75"/>
        <v>10</v>
      </c>
      <c r="O122" s="468">
        <f t="shared" si="76"/>
        <v>2026</v>
      </c>
      <c r="P122" s="616">
        <f t="shared" si="77"/>
        <v>1.1920928955078125E-7</v>
      </c>
      <c r="Q122" s="472">
        <f t="shared" si="78"/>
        <v>361016469.00000012</v>
      </c>
      <c r="R122" s="472">
        <f t="shared" si="79"/>
        <v>36101646.900000013</v>
      </c>
      <c r="S122" s="1189">
        <f t="shared" si="80"/>
        <v>2017</v>
      </c>
      <c r="T122" s="470">
        <f t="shared" si="81"/>
        <v>1</v>
      </c>
      <c r="U122" s="612">
        <f t="shared" si="82"/>
        <v>36101646.900000013</v>
      </c>
      <c r="V122" s="464">
        <f t="shared" si="83"/>
        <v>2017</v>
      </c>
      <c r="W122" s="612">
        <f t="shared" si="84"/>
        <v>324914822.10000008</v>
      </c>
      <c r="X122" s="473"/>
      <c r="Y122" s="478"/>
      <c r="Z122" s="449"/>
      <c r="AA122" s="531" t="s">
        <v>4183</v>
      </c>
      <c r="AB122" s="496"/>
      <c r="AC122" s="496"/>
      <c r="AD122" s="569">
        <f>AD121-W126</f>
        <v>0</v>
      </c>
      <c r="AE122" s="476"/>
      <c r="AF122" s="568"/>
      <c r="AG122" s="476"/>
      <c r="AH122" s="476"/>
      <c r="AI122" s="477"/>
      <c r="AJ122" s="478"/>
      <c r="AK122" s="479"/>
      <c r="AL122" s="480"/>
      <c r="AM122" s="474"/>
      <c r="AN122" s="481"/>
      <c r="AO122" s="474"/>
      <c r="AP122" s="476"/>
      <c r="AQ122" s="482"/>
      <c r="AR122" s="478"/>
      <c r="AS122" s="478"/>
      <c r="AT122" s="476"/>
      <c r="AU122" s="482"/>
      <c r="AV122" s="478"/>
      <c r="AW122" s="483"/>
      <c r="AX122" s="476"/>
      <c r="AY122" s="482"/>
      <c r="AZ122" s="478"/>
      <c r="BA122" s="484"/>
      <c r="BB122" s="474"/>
      <c r="BC122" s="485"/>
      <c r="BD122" s="485"/>
      <c r="BG122" s="487"/>
    </row>
    <row r="123" spans="1:59" s="486" customFormat="1" ht="18" customHeight="1" x14ac:dyDescent="0.2">
      <c r="A123" s="1368" t="str">
        <f t="shared" si="69"/>
        <v>KP. BARU SENTAJO - BENAI2018</v>
      </c>
      <c r="B123" s="687"/>
      <c r="C123" s="494" t="s">
        <v>383</v>
      </c>
      <c r="D123" s="494" t="s">
        <v>383</v>
      </c>
      <c r="E123" s="465"/>
      <c r="F123" s="466">
        <v>2018</v>
      </c>
      <c r="G123" s="620">
        <v>0</v>
      </c>
      <c r="H123" s="464">
        <f t="shared" si="70"/>
        <v>9</v>
      </c>
      <c r="I123" s="467"/>
      <c r="J123" s="468">
        <f t="shared" si="71"/>
        <v>2026</v>
      </c>
      <c r="K123" s="490">
        <f t="shared" si="72"/>
        <v>0</v>
      </c>
      <c r="L123" s="469">
        <f t="shared" si="73"/>
        <v>0</v>
      </c>
      <c r="M123" s="683">
        <f t="shared" si="74"/>
        <v>0</v>
      </c>
      <c r="N123" s="470">
        <f t="shared" si="75"/>
        <v>9</v>
      </c>
      <c r="O123" s="468">
        <f t="shared" si="76"/>
        <v>2026</v>
      </c>
      <c r="P123" s="616">
        <f t="shared" si="77"/>
        <v>324914822.10000008</v>
      </c>
      <c r="Q123" s="472">
        <f t="shared" si="78"/>
        <v>324914822.10000008</v>
      </c>
      <c r="R123" s="472">
        <f t="shared" si="79"/>
        <v>36101646.900000013</v>
      </c>
      <c r="S123" s="1189">
        <f t="shared" si="80"/>
        <v>2018</v>
      </c>
      <c r="T123" s="470">
        <f t="shared" si="81"/>
        <v>1</v>
      </c>
      <c r="U123" s="612">
        <f t="shared" si="82"/>
        <v>36101646.900000013</v>
      </c>
      <c r="V123" s="464">
        <f t="shared" si="83"/>
        <v>2018</v>
      </c>
      <c r="W123" s="612">
        <f t="shared" si="84"/>
        <v>288813175.20000005</v>
      </c>
      <c r="X123" s="473"/>
      <c r="Y123" s="478"/>
      <c r="Z123" s="449"/>
      <c r="AA123" s="497"/>
      <c r="AB123" s="476"/>
      <c r="AC123" s="476"/>
      <c r="AD123" s="568"/>
      <c r="AE123" s="476"/>
      <c r="AF123" s="568"/>
      <c r="AG123" s="476"/>
      <c r="AH123" s="476"/>
      <c r="AI123" s="477"/>
      <c r="AJ123" s="478"/>
      <c r="AK123" s="479"/>
      <c r="AL123" s="480"/>
      <c r="AM123" s="474"/>
      <c r="AN123" s="481"/>
      <c r="AO123" s="474"/>
      <c r="AP123" s="476"/>
      <c r="AQ123" s="482"/>
      <c r="AR123" s="478"/>
      <c r="AS123" s="478"/>
      <c r="AT123" s="476"/>
      <c r="AU123" s="482"/>
      <c r="AV123" s="478"/>
      <c r="AW123" s="483"/>
      <c r="AX123" s="476"/>
      <c r="AY123" s="482"/>
      <c r="AZ123" s="478"/>
      <c r="BA123" s="484"/>
      <c r="BB123" s="474"/>
      <c r="BC123" s="485"/>
      <c r="BD123" s="485"/>
      <c r="BG123" s="487"/>
    </row>
    <row r="124" spans="1:59" s="486" customFormat="1" ht="18" customHeight="1" x14ac:dyDescent="0.2">
      <c r="A124" s="1368" t="str">
        <f t="shared" si="69"/>
        <v>KP. BARU SENTAJO - BENAI2019</v>
      </c>
      <c r="B124" s="687"/>
      <c r="C124" s="494"/>
      <c r="D124" s="494"/>
      <c r="E124" s="465"/>
      <c r="F124" s="466">
        <v>2019</v>
      </c>
      <c r="G124" s="620">
        <v>0</v>
      </c>
      <c r="H124" s="464">
        <f t="shared" si="70"/>
        <v>8</v>
      </c>
      <c r="I124" s="467"/>
      <c r="J124" s="468">
        <f t="shared" si="71"/>
        <v>2026</v>
      </c>
      <c r="K124" s="490">
        <f t="shared" si="72"/>
        <v>0</v>
      </c>
      <c r="L124" s="469">
        <f t="shared" si="73"/>
        <v>0</v>
      </c>
      <c r="M124" s="683">
        <f t="shared" si="74"/>
        <v>0</v>
      </c>
      <c r="N124" s="470">
        <f t="shared" si="75"/>
        <v>8</v>
      </c>
      <c r="O124" s="468">
        <f t="shared" si="76"/>
        <v>2026</v>
      </c>
      <c r="P124" s="616">
        <f t="shared" si="77"/>
        <v>288813175.20000005</v>
      </c>
      <c r="Q124" s="472">
        <f t="shared" si="78"/>
        <v>288813175.20000005</v>
      </c>
      <c r="R124" s="472">
        <f t="shared" si="79"/>
        <v>36101646.900000013</v>
      </c>
      <c r="S124" s="1189">
        <f t="shared" si="80"/>
        <v>2019</v>
      </c>
      <c r="T124" s="470">
        <f t="shared" si="81"/>
        <v>1</v>
      </c>
      <c r="U124" s="612">
        <f t="shared" si="82"/>
        <v>36101646.900000013</v>
      </c>
      <c r="V124" s="464">
        <f t="shared" si="83"/>
        <v>2019</v>
      </c>
      <c r="W124" s="612">
        <f t="shared" si="84"/>
        <v>252711528.30000004</v>
      </c>
      <c r="X124" s="473"/>
      <c r="Y124" s="478"/>
      <c r="Z124" s="449"/>
      <c r="AA124" s="497"/>
      <c r="AB124" s="476"/>
      <c r="AC124" s="476"/>
      <c r="AD124" s="568"/>
      <c r="AE124" s="476"/>
      <c r="AF124" s="568"/>
      <c r="AG124" s="476"/>
      <c r="AH124" s="476"/>
      <c r="AI124" s="477"/>
      <c r="AJ124" s="478"/>
      <c r="AK124" s="479"/>
      <c r="AL124" s="480"/>
      <c r="AM124" s="474"/>
      <c r="AN124" s="481"/>
      <c r="AO124" s="474"/>
      <c r="AP124" s="476"/>
      <c r="AQ124" s="482"/>
      <c r="AR124" s="478"/>
      <c r="AS124" s="478"/>
      <c r="AT124" s="476"/>
      <c r="AU124" s="482"/>
      <c r="AV124" s="478"/>
      <c r="AW124" s="483"/>
      <c r="AX124" s="476"/>
      <c r="AY124" s="482"/>
      <c r="AZ124" s="478"/>
      <c r="BA124" s="484"/>
      <c r="BB124" s="474"/>
      <c r="BC124" s="485"/>
      <c r="BD124" s="485"/>
      <c r="BG124" s="487"/>
    </row>
    <row r="125" spans="1:59" s="486" customFormat="1" ht="18" customHeight="1" x14ac:dyDescent="0.2">
      <c r="A125" s="1369"/>
      <c r="B125" s="687"/>
      <c r="C125" s="463"/>
      <c r="D125" s="464"/>
      <c r="E125" s="465"/>
      <c r="F125" s="1160"/>
      <c r="G125" s="620"/>
      <c r="H125" s="469" t="str">
        <f>IF(OR(AND(ISBLANK(E125),ISBLANK(G125)),ISTEXT(E125),ISTEXT(G125)),"",IF(#REF!-(YEAR(E125)-YEAR(#REF!))&lt;0,0,#REF!-(YEAR(E125)-YEAR(#REF!))))</f>
        <v/>
      </c>
      <c r="I125" s="467" t="str">
        <f>IF(OR(AND(ISBLANK(E125),ISBLANK(G125)),ISTEXT(E125),ISTEXT(G125)),"",IF(#REF!-E125&lt;0,0,#REF!-E125))</f>
        <v/>
      </c>
      <c r="J125" s="498" t="str">
        <f>IF(OR(AND(ISBLANK(E125),ISBLANK(G125)),ISTEXT(E125),ISTEXT(G125)),"",#REF!)</f>
        <v/>
      </c>
      <c r="K125" s="498"/>
      <c r="L125" s="469" t="str">
        <f>IF(OR(AND(ISBLANK(E125),ISBLANK(G125)),ISTEXT(E125),ISTEXT(G125)),"",ROUNDDOWN(G125/SUM($G$57:G123)*$H$57,0))</f>
        <v/>
      </c>
      <c r="M125" s="683" t="str">
        <f>IF(OR(AND(ISBLANK(E125),ISBLANK(G125)),ISTEXT(E125),ISTEXT(G125)),"",IF(H125+L125&gt;$H$57,$H$57-H125,L125))</f>
        <v/>
      </c>
      <c r="N125" s="470" t="str">
        <f>IF(OR(AND(ISBLANK(E125),ISBLANK(G125)),ISTEXT(E125),ISTEXT(G125)),"",H125+M125)</f>
        <v/>
      </c>
      <c r="O125" s="498" t="str">
        <f>IF(OR(AND(ISBLANK(E125),ISBLANK(G125)),ISTEXT(E125),ISTEXT(G125)),"",DATE(YEAR($J125)+M125,MONTH($J125),DAY($J125)))</f>
        <v/>
      </c>
      <c r="P125" s="748" t="str">
        <f>IF(OR(AND(ISBLANK(E125),ISBLANK(G125)),ISTEXT(E125),ISTEXT(G125)),"",#REF!-#REF!*(IF(J125&lt;E125,J125,E125)-#REF!))</f>
        <v/>
      </c>
      <c r="Q125" s="500" t="str">
        <f>IF(OR(AND(ISBLANK(E125),ISBLANK(G125)),ISTEXT(E125),ISTEXT(G125)),"",P125+G125)</f>
        <v/>
      </c>
      <c r="R125" s="501" t="str">
        <f>IF(OR(AND(ISBLANK(E125),ISBLANK(G125)),ISTEXT(E125),ISTEXT(G125)),"",IF(OR(E125&lt;DATE(2004,12,31),#REF!=0),0,Q125/#REF!))</f>
        <v/>
      </c>
      <c r="S125" s="502" t="str">
        <f>IF(OR(AND(ISBLANK(E125),ISBLANK(G125)),ISTEXT(E125),ISTEXT(G125)),"",IF(YEAR(E125)&lt;=YEAR(#REF!),"-",YEAR(E125)-1))</f>
        <v/>
      </c>
      <c r="T125" s="502"/>
      <c r="U125" s="612" t="str">
        <f>IF(OR(AND(ISBLANK(E125),ISBLANK(G125)),ISTEXT(E125),ISTEXT(G125)),"",IF(AND(J125&lt;=DATE(2004,12,31),E125&gt;J125),SUM($G125:G125),#REF!+#REF!+#REF!*IF(YEAR(E125)&lt;=YEAR(#REF!),0,(IF(DATE(YEAR(E125)-1,12,31)&gt;J125,J125,DATE(YEAR(E125)-1,12,31))-#REF!))))</f>
        <v/>
      </c>
      <c r="V125" s="503" t="str">
        <f>IF(OR(AND(ISBLANK(E125),ISBLANK(G125)),ISTEXT(E125),ISTEXT(G125)),"",IF(YEAR(E125)=YEAR(E126),E126,DATE(YEAR(E125),12,31)))</f>
        <v/>
      </c>
      <c r="W125" s="612" t="str">
        <f>IF(OR(AND(ISBLANK(E125),ISBLANK(G125)),ISTEXT(E125),ISTEXT(G125)),"",IF(Q125=0,0,IF(AND(J125&lt;=DATE(2004,12,31),E125&gt;=J125),Q125-U125,Q125-#REF!)))</f>
        <v/>
      </c>
      <c r="X125" s="504" t="str">
        <f>IF(OR(AND(ISBLANK(E125),ISBLANK(G125)),ISTEXT(E125),ISTEXT(G125)),"",$D$57&amp;"//"&amp;TEXT($E$57,"dd-mmm-yyyy")&amp;"//"&amp;#REF!)</f>
        <v/>
      </c>
      <c r="Y125" s="476"/>
      <c r="Z125" s="476"/>
      <c r="AA125" s="476"/>
      <c r="AB125" s="476"/>
      <c r="AC125" s="476"/>
      <c r="AD125" s="568"/>
      <c r="AE125" s="476"/>
      <c r="AF125" s="568"/>
      <c r="AG125" s="476"/>
      <c r="AH125" s="476"/>
      <c r="AI125" s="477"/>
      <c r="AJ125" s="478"/>
      <c r="AK125" s="479"/>
      <c r="AL125" s="480"/>
      <c r="AM125" s="474"/>
      <c r="AN125" s="481"/>
      <c r="AO125" s="474"/>
      <c r="AP125" s="476"/>
      <c r="AQ125" s="482"/>
      <c r="AR125" s="478"/>
      <c r="AS125" s="478"/>
      <c r="AT125" s="476"/>
      <c r="AU125" s="482"/>
      <c r="AV125" s="478"/>
      <c r="AW125" s="483"/>
      <c r="AX125" s="476"/>
      <c r="AY125" s="482"/>
      <c r="AZ125" s="478"/>
      <c r="BA125" s="484"/>
      <c r="BB125" s="474"/>
      <c r="BC125" s="485"/>
      <c r="BD125" s="485"/>
      <c r="BG125" s="487"/>
    </row>
    <row r="126" spans="1:59" s="526" customFormat="1" ht="18" customHeight="1" x14ac:dyDescent="0.2">
      <c r="A126" s="1370" t="s">
        <v>4184</v>
      </c>
      <c r="B126" s="1956" t="s">
        <v>4184</v>
      </c>
      <c r="C126" s="1957"/>
      <c r="D126" s="1957"/>
      <c r="E126" s="1957"/>
      <c r="F126" s="1958"/>
      <c r="G126" s="624">
        <f>SUM(G114:G125)</f>
        <v>2256214310.94629</v>
      </c>
      <c r="H126" s="505"/>
      <c r="I126" s="506"/>
      <c r="J126" s="507"/>
      <c r="K126" s="507"/>
      <c r="L126" s="505"/>
      <c r="M126" s="684"/>
      <c r="N126" s="508"/>
      <c r="O126" s="507"/>
      <c r="P126" s="749"/>
      <c r="Q126" s="510"/>
      <c r="R126" s="511"/>
      <c r="S126" s="512"/>
      <c r="T126" s="512"/>
      <c r="U126" s="610">
        <f>SUM(U114:U125)</f>
        <v>2003502782.6462903</v>
      </c>
      <c r="V126" s="513"/>
      <c r="W126" s="610">
        <f>G126-U126</f>
        <v>252711528.29999971</v>
      </c>
      <c r="X126" s="514"/>
      <c r="Y126" s="515"/>
      <c r="Z126" s="515"/>
      <c r="AA126" s="515"/>
      <c r="AB126" s="515"/>
      <c r="AC126" s="515"/>
      <c r="AD126" s="570"/>
      <c r="AE126" s="515"/>
      <c r="AF126" s="570">
        <v>2858090736</v>
      </c>
      <c r="AG126" s="515"/>
      <c r="AH126" s="515"/>
      <c r="AI126" s="516"/>
      <c r="AJ126" s="517"/>
      <c r="AK126" s="518"/>
      <c r="AL126" s="519"/>
      <c r="AM126" s="520"/>
      <c r="AN126" s="521"/>
      <c r="AO126" s="520"/>
      <c r="AP126" s="515"/>
      <c r="AQ126" s="522"/>
      <c r="AR126" s="517"/>
      <c r="AS126" s="517"/>
      <c r="AT126" s="515"/>
      <c r="AU126" s="522"/>
      <c r="AV126" s="517"/>
      <c r="AW126" s="523"/>
      <c r="AX126" s="515"/>
      <c r="AY126" s="522"/>
      <c r="AZ126" s="517"/>
      <c r="BA126" s="524"/>
      <c r="BB126" s="520"/>
      <c r="BC126" s="525"/>
      <c r="BD126" s="525"/>
      <c r="BG126" s="527"/>
    </row>
    <row r="129" spans="1:59" s="422" customFormat="1" ht="18" customHeight="1" x14ac:dyDescent="0.2">
      <c r="A129" s="1376">
        <f>C129</f>
        <v>10</v>
      </c>
      <c r="B129" s="742" t="s">
        <v>4187</v>
      </c>
      <c r="C129" s="556">
        <v>10</v>
      </c>
      <c r="D129" s="553" t="str">
        <f>VLOOKUP(C129,RUAS,2,FALSE)</f>
        <v>SEB. TELUK KUANTAN - DUTA PALMA</v>
      </c>
      <c r="E129" s="553"/>
      <c r="F129" s="421"/>
      <c r="G129" s="611"/>
      <c r="I129" s="423"/>
      <c r="J129" s="424"/>
      <c r="K129" s="424"/>
      <c r="M129" s="680"/>
      <c r="P129" s="611"/>
      <c r="U129" s="611"/>
      <c r="W129" s="611"/>
      <c r="Y129" s="425"/>
      <c r="Z129" s="425"/>
      <c r="AA129" s="425"/>
      <c r="AB129" s="425"/>
      <c r="AC129" s="425"/>
      <c r="AD129" s="563"/>
      <c r="AE129" s="425"/>
      <c r="AF129" s="563"/>
      <c r="AG129" s="425"/>
      <c r="AH129" s="425"/>
      <c r="AI129" s="425"/>
      <c r="AJ129" s="425"/>
      <c r="AK129" s="425"/>
      <c r="AL129" s="425"/>
      <c r="AM129" s="425"/>
      <c r="AN129" s="425"/>
      <c r="AO129" s="425"/>
      <c r="AP129" s="425"/>
      <c r="AQ129" s="425"/>
      <c r="AR129" s="425"/>
      <c r="AS129" s="425"/>
      <c r="AT129" s="425"/>
      <c r="AU129" s="425"/>
      <c r="AV129" s="425"/>
      <c r="AW129" s="425"/>
      <c r="AX129" s="425"/>
      <c r="AY129" s="425"/>
      <c r="AZ129" s="425"/>
      <c r="BA129" s="425"/>
      <c r="BB129" s="425"/>
    </row>
    <row r="130" spans="1:59" s="431" customFormat="1" ht="18" customHeight="1" x14ac:dyDescent="0.2">
      <c r="A130" s="1367"/>
      <c r="B130" s="1968" t="s">
        <v>5</v>
      </c>
      <c r="C130" s="1968" t="s">
        <v>2280</v>
      </c>
      <c r="D130" s="1968" t="s">
        <v>4157</v>
      </c>
      <c r="E130" s="1968" t="s">
        <v>4158</v>
      </c>
      <c r="F130" s="1968"/>
      <c r="G130" s="1969" t="s">
        <v>4159</v>
      </c>
      <c r="H130" s="1968" t="s">
        <v>4160</v>
      </c>
      <c r="I130" s="1968"/>
      <c r="J130" s="1968" t="s">
        <v>4185</v>
      </c>
      <c r="K130" s="1964" t="s">
        <v>4162</v>
      </c>
      <c r="L130" s="1968" t="s">
        <v>4163</v>
      </c>
      <c r="M130" s="1971" t="s">
        <v>4164</v>
      </c>
      <c r="N130" s="1962" t="s">
        <v>4165</v>
      </c>
      <c r="O130" s="1968" t="s">
        <v>4166</v>
      </c>
      <c r="P130" s="1972" t="s">
        <v>4167</v>
      </c>
      <c r="Q130" s="1973"/>
      <c r="R130" s="636" t="s">
        <v>4186</v>
      </c>
      <c r="S130" s="1972" t="s">
        <v>4169</v>
      </c>
      <c r="T130" s="1974"/>
      <c r="U130" s="1973"/>
      <c r="V130" s="1975" t="s">
        <v>4170</v>
      </c>
      <c r="W130" s="1975"/>
      <c r="X130" s="1960" t="s">
        <v>4171</v>
      </c>
      <c r="Y130" s="1959"/>
      <c r="Z130" s="633"/>
      <c r="AA130" s="426"/>
      <c r="AB130" s="426"/>
      <c r="AC130" s="426"/>
      <c r="AD130" s="564"/>
      <c r="AE130" s="426"/>
      <c r="AF130" s="564"/>
      <c r="AG130" s="426"/>
      <c r="AH130" s="426"/>
      <c r="AI130" s="427"/>
      <c r="AJ130" s="427"/>
      <c r="AK130" s="427"/>
      <c r="AL130" s="427"/>
      <c r="AM130" s="428"/>
      <c r="AN130" s="427"/>
      <c r="AO130" s="427"/>
      <c r="AP130" s="426"/>
      <c r="AQ130" s="427"/>
      <c r="AR130" s="427"/>
      <c r="AS130" s="427"/>
      <c r="AT130" s="426"/>
      <c r="AU130" s="427"/>
      <c r="AV130" s="427"/>
      <c r="AW130" s="427"/>
      <c r="AX130" s="426"/>
      <c r="AY130" s="427"/>
      <c r="AZ130" s="427"/>
      <c r="BA130" s="427"/>
      <c r="BB130" s="429"/>
      <c r="BC130" s="430"/>
      <c r="BD130" s="430"/>
    </row>
    <row r="131" spans="1:59" s="431" customFormat="1" ht="18" customHeight="1" x14ac:dyDescent="0.2">
      <c r="A131" s="1367"/>
      <c r="B131" s="1968"/>
      <c r="C131" s="1968"/>
      <c r="D131" s="1968"/>
      <c r="E131" s="1968"/>
      <c r="F131" s="1968"/>
      <c r="G131" s="1969"/>
      <c r="H131" s="1968"/>
      <c r="I131" s="1968"/>
      <c r="J131" s="1968"/>
      <c r="K131" s="1970"/>
      <c r="L131" s="1968"/>
      <c r="M131" s="1971"/>
      <c r="N131" s="1963"/>
      <c r="O131" s="1968"/>
      <c r="P131" s="2037" t="s">
        <v>4172</v>
      </c>
      <c r="Q131" s="1960" t="s">
        <v>4173</v>
      </c>
      <c r="R131" s="1962" t="s">
        <v>4159</v>
      </c>
      <c r="S131" s="1962" t="s">
        <v>4174</v>
      </c>
      <c r="T131" s="1964" t="s">
        <v>4175</v>
      </c>
      <c r="U131" s="1966" t="s">
        <v>4159</v>
      </c>
      <c r="V131" s="1975"/>
      <c r="W131" s="1975"/>
      <c r="X131" s="1976"/>
      <c r="Y131" s="1959"/>
      <c r="Z131" s="633"/>
      <c r="AA131" s="426"/>
      <c r="AB131" s="426"/>
      <c r="AC131" s="426"/>
      <c r="AD131" s="564"/>
      <c r="AE131" s="426"/>
      <c r="AF131" s="564"/>
      <c r="AG131" s="426"/>
      <c r="AH131" s="426"/>
      <c r="AI131" s="427"/>
      <c r="AJ131" s="427"/>
      <c r="AK131" s="426"/>
      <c r="AL131" s="427"/>
      <c r="AM131" s="428"/>
      <c r="AN131" s="427"/>
      <c r="AO131" s="427"/>
      <c r="AP131" s="432"/>
      <c r="AQ131" s="427"/>
      <c r="AR131" s="427"/>
      <c r="AS131" s="427"/>
      <c r="AT131" s="432"/>
      <c r="AU131" s="427"/>
      <c r="AV131" s="427"/>
      <c r="AW131" s="427"/>
      <c r="AX131" s="432"/>
      <c r="AY131" s="427"/>
      <c r="AZ131" s="427"/>
      <c r="BA131" s="427"/>
      <c r="BB131" s="429"/>
      <c r="BC131" s="430"/>
      <c r="BD131" s="430"/>
    </row>
    <row r="132" spans="1:59" s="431" customFormat="1" ht="18" customHeight="1" x14ac:dyDescent="0.2">
      <c r="A132" s="1367"/>
      <c r="B132" s="1968"/>
      <c r="C132" s="1968"/>
      <c r="D132" s="1968"/>
      <c r="E132" s="433" t="s">
        <v>4176</v>
      </c>
      <c r="F132" s="434" t="s">
        <v>2288</v>
      </c>
      <c r="G132" s="1969"/>
      <c r="H132" s="635" t="s">
        <v>2288</v>
      </c>
      <c r="I132" s="635" t="s">
        <v>4177</v>
      </c>
      <c r="J132" s="1968"/>
      <c r="K132" s="1965"/>
      <c r="L132" s="435" t="s">
        <v>2288</v>
      </c>
      <c r="M132" s="681" t="s">
        <v>2288</v>
      </c>
      <c r="N132" s="635" t="s">
        <v>2288</v>
      </c>
      <c r="O132" s="1968"/>
      <c r="P132" s="2038"/>
      <c r="Q132" s="1961"/>
      <c r="R132" s="1963"/>
      <c r="S132" s="1963"/>
      <c r="T132" s="1965"/>
      <c r="U132" s="1967"/>
      <c r="V132" s="635" t="s">
        <v>4178</v>
      </c>
      <c r="W132" s="637" t="s">
        <v>4159</v>
      </c>
      <c r="X132" s="1961"/>
      <c r="Y132" s="436"/>
      <c r="Z132" s="436"/>
      <c r="AA132" s="426"/>
      <c r="AB132" s="426"/>
      <c r="AC132" s="426"/>
      <c r="AD132" s="564"/>
      <c r="AE132" s="426"/>
      <c r="AF132" s="564"/>
      <c r="AG132" s="426"/>
      <c r="AH132" s="426"/>
      <c r="AI132" s="427"/>
      <c r="AJ132" s="432"/>
      <c r="AK132" s="432"/>
      <c r="AL132" s="427"/>
      <c r="AM132" s="428"/>
      <c r="AN132" s="432"/>
      <c r="AO132" s="427"/>
      <c r="AP132" s="432"/>
      <c r="AQ132" s="432"/>
      <c r="AR132" s="427"/>
      <c r="AS132" s="427"/>
      <c r="AT132" s="432"/>
      <c r="AU132" s="432"/>
      <c r="AV132" s="427"/>
      <c r="AW132" s="427"/>
      <c r="AX132" s="432"/>
      <c r="AY132" s="432"/>
      <c r="AZ132" s="427"/>
      <c r="BA132" s="427"/>
      <c r="BB132" s="429"/>
      <c r="BC132" s="430"/>
      <c r="BD132" s="430"/>
    </row>
    <row r="133" spans="1:59" s="461" customFormat="1" ht="18" customHeight="1" x14ac:dyDescent="0.2">
      <c r="A133" s="1368" t="str">
        <f>$D$129&amp;S133</f>
        <v>SEB. TELUK KUANTAN - DUTA PALMA2001</v>
      </c>
      <c r="B133" s="1373">
        <v>1</v>
      </c>
      <c r="C133" s="532" t="s">
        <v>529</v>
      </c>
      <c r="D133" s="437" t="s">
        <v>2494</v>
      </c>
      <c r="E133" s="438"/>
      <c r="F133" s="439">
        <v>2001</v>
      </c>
      <c r="G133" s="623">
        <v>2700000000</v>
      </c>
      <c r="H133" s="440">
        <f>VLOOKUP(LEFT(D133,8),UE,4)</f>
        <v>10</v>
      </c>
      <c r="I133" s="441"/>
      <c r="J133" s="442">
        <f>(F133+N133)-1</f>
        <v>2010</v>
      </c>
      <c r="K133" s="443"/>
      <c r="L133" s="440"/>
      <c r="M133" s="746">
        <f>IF(H133+L133&gt;$H133,$H133-H133,L133)</f>
        <v>0</v>
      </c>
      <c r="N133" s="444">
        <f>H133+M133</f>
        <v>10</v>
      </c>
      <c r="O133" s="442">
        <f>(F133+N133)-1</f>
        <v>2010</v>
      </c>
      <c r="P133" s="617">
        <f>G133</f>
        <v>2700000000</v>
      </c>
      <c r="Q133" s="445">
        <v>0</v>
      </c>
      <c r="R133" s="445">
        <f>P133/N133</f>
        <v>270000000</v>
      </c>
      <c r="S133" s="446">
        <f>F133</f>
        <v>2001</v>
      </c>
      <c r="T133" s="447">
        <v>1</v>
      </c>
      <c r="U133" s="613">
        <f>R133*T133</f>
        <v>270000000</v>
      </c>
      <c r="V133" s="442">
        <f>F133</f>
        <v>2001</v>
      </c>
      <c r="W133" s="617">
        <f>IF(OR(AND(ISBLANK(E133),ISBLANK(G133)),ISTEXT(E133),ISTEXT(G133)),"",G133-R133)</f>
        <v>2430000000</v>
      </c>
      <c r="X133" s="448"/>
      <c r="Y133" s="449"/>
      <c r="Z133" s="449"/>
      <c r="AA133" s="693"/>
      <c r="AB133" s="452"/>
      <c r="AC133" s="452"/>
      <c r="AD133" s="571"/>
      <c r="AE133" s="452"/>
      <c r="AF133" s="571"/>
      <c r="AG133" s="452"/>
      <c r="AH133" s="452"/>
      <c r="AI133" s="453"/>
      <c r="AJ133" s="449"/>
      <c r="AK133" s="453"/>
      <c r="AL133" s="454"/>
      <c r="AM133" s="455"/>
      <c r="AN133" s="456"/>
      <c r="AO133" s="455"/>
      <c r="AP133" s="452"/>
      <c r="AQ133" s="457"/>
      <c r="AR133" s="449"/>
      <c r="AS133" s="449"/>
      <c r="AT133" s="452"/>
      <c r="AU133" s="457"/>
      <c r="AV133" s="449"/>
      <c r="AW133" s="458"/>
      <c r="AX133" s="452"/>
      <c r="AY133" s="457"/>
      <c r="AZ133" s="449"/>
      <c r="BA133" s="459"/>
      <c r="BB133" s="455"/>
      <c r="BC133" s="460"/>
      <c r="BD133" s="460"/>
      <c r="BG133" s="462"/>
    </row>
    <row r="134" spans="1:59" s="486" customFormat="1" ht="18" customHeight="1" x14ac:dyDescent="0.2">
      <c r="A134" s="1368" t="str">
        <f t="shared" ref="A134:A144" si="85">$D$129&amp;S134</f>
        <v>SEB. TELUK KUANTAN - DUTA PALMA2010</v>
      </c>
      <c r="B134" s="1373"/>
      <c r="C134" s="463"/>
      <c r="D134" s="464"/>
      <c r="E134" s="465"/>
      <c r="F134" s="466">
        <v>2010</v>
      </c>
      <c r="G134" s="620">
        <v>0</v>
      </c>
      <c r="H134" s="464">
        <f>IF(N133-(F134-F133)&lt;=0,0,(N133-(F134-F133)))</f>
        <v>1</v>
      </c>
      <c r="I134" s="467"/>
      <c r="J134" s="468">
        <f>(F134+N134)-1</f>
        <v>2010</v>
      </c>
      <c r="K134" s="490">
        <f>IF(G134=0,0,IF(H134=10,100%,G134/W133))</f>
        <v>0</v>
      </c>
      <c r="L134" s="469">
        <f>IF(K134=0%,0,IF(K134&lt;=30%,2,IF(K134&lt;=60%,5,10)))</f>
        <v>0</v>
      </c>
      <c r="M134" s="683">
        <f>IF(OR(AND(ISBLANK(E134),ISBLANK(G134)),ISTEXT(E134),ISTEXT(G134)),"",IF(H134+L134&gt;$H$133,$H$133-H134,L134))</f>
        <v>0</v>
      </c>
      <c r="N134" s="470">
        <f>IF(OR(AND(ISBLANK(F134),ISBLANK(G134)),ISTEXT(F134),ISTEXT(G134)),"",H134+M134)</f>
        <v>1</v>
      </c>
      <c r="O134" s="468">
        <f>(F134+N134)-1</f>
        <v>2010</v>
      </c>
      <c r="P134" s="616">
        <f>W133</f>
        <v>2430000000</v>
      </c>
      <c r="Q134" s="472">
        <f>P134+G134</f>
        <v>2430000000</v>
      </c>
      <c r="R134" s="472">
        <f>IF(L134=0,R133,IF(Q134=0,0,Q134/N134))</f>
        <v>270000000</v>
      </c>
      <c r="S134" s="634">
        <f>F134</f>
        <v>2010</v>
      </c>
      <c r="T134" s="470">
        <f>S134-S133</f>
        <v>9</v>
      </c>
      <c r="U134" s="612">
        <f>R134*T134</f>
        <v>2430000000</v>
      </c>
      <c r="V134" s="464">
        <f>F134</f>
        <v>2010</v>
      </c>
      <c r="W134" s="612">
        <f>IF(OR(AND(ISBLANK(E134),ISBLANK(G134)),ISTEXT(E134),ISTEXT(G134)),"",Q134-U134)</f>
        <v>0</v>
      </c>
      <c r="X134" s="473"/>
      <c r="Y134" s="474"/>
      <c r="Z134" s="449"/>
      <c r="AA134" s="573"/>
      <c r="AB134" s="476"/>
      <c r="AC134" s="476"/>
      <c r="AD134" s="568"/>
      <c r="AE134" s="476"/>
      <c r="AF134" s="568"/>
      <c r="AG134" s="476"/>
      <c r="AH134" s="476"/>
      <c r="AI134" s="477"/>
      <c r="AJ134" s="478"/>
      <c r="AK134" s="479"/>
      <c r="AL134" s="480"/>
      <c r="AM134" s="474"/>
      <c r="AN134" s="481"/>
      <c r="AO134" s="474"/>
      <c r="AP134" s="476"/>
      <c r="AQ134" s="482"/>
      <c r="AR134" s="478"/>
      <c r="AS134" s="478"/>
      <c r="AT134" s="476"/>
      <c r="AU134" s="482"/>
      <c r="AV134" s="478"/>
      <c r="AW134" s="483"/>
      <c r="AX134" s="476"/>
      <c r="AY134" s="482"/>
      <c r="AZ134" s="478"/>
      <c r="BA134" s="484"/>
      <c r="BB134" s="474"/>
      <c r="BC134" s="485"/>
      <c r="BD134" s="485"/>
      <c r="BG134" s="487"/>
    </row>
    <row r="135" spans="1:59" s="486" customFormat="1" ht="18" customHeight="1" x14ac:dyDescent="0.2">
      <c r="A135" s="1368" t="str">
        <f t="shared" si="85"/>
        <v>SEB. TELUK KUANTAN - DUTA PALMA2011</v>
      </c>
      <c r="B135" s="1373"/>
      <c r="C135" s="463"/>
      <c r="D135" s="464"/>
      <c r="E135" s="465"/>
      <c r="F135" s="466">
        <v>2011</v>
      </c>
      <c r="G135" s="620">
        <v>0</v>
      </c>
      <c r="H135" s="464">
        <f t="shared" ref="H135:H144" si="86">IF(N134-(F135-F134)&lt;=0,0,(N134-(F135-F134)))</f>
        <v>0</v>
      </c>
      <c r="I135" s="467"/>
      <c r="J135" s="468">
        <f t="shared" ref="J135:J144" si="87">(F135+N135)-1</f>
        <v>2010</v>
      </c>
      <c r="K135" s="490">
        <f t="shared" ref="K135:K144" si="88">IF(G135=0,0,IF(H135=10,100%,G135/W134))</f>
        <v>0</v>
      </c>
      <c r="L135" s="469">
        <f t="shared" ref="L135:L144" si="89">IF(K135=0%,0,IF(K135&lt;=30%,2,IF(K135&lt;=60%,5,10)))</f>
        <v>0</v>
      </c>
      <c r="M135" s="683">
        <f t="shared" ref="M135:M144" si="90">IF(OR(AND(ISBLANK(E135),ISBLANK(G135)),ISTEXT(E135),ISTEXT(G135)),"",IF(H135+L135&gt;$H$133,$H$133-H135,L135))</f>
        <v>0</v>
      </c>
      <c r="N135" s="470">
        <f t="shared" ref="N135:N144" si="91">IF(OR(AND(ISBLANK(F135),ISBLANK(G135)),ISTEXT(F135),ISTEXT(G135)),"",H135+M135)</f>
        <v>0</v>
      </c>
      <c r="O135" s="468">
        <f t="shared" ref="O135:O144" si="92">(F135+N135)-1</f>
        <v>2010</v>
      </c>
      <c r="P135" s="616">
        <f t="shared" ref="P135:P144" si="93">W134</f>
        <v>0</v>
      </c>
      <c r="Q135" s="472">
        <f t="shared" ref="Q135:Q144" si="94">P135+G135</f>
        <v>0</v>
      </c>
      <c r="R135" s="472">
        <v>0</v>
      </c>
      <c r="S135" s="1189">
        <f t="shared" ref="S135:S144" si="95">F135</f>
        <v>2011</v>
      </c>
      <c r="T135" s="470">
        <f t="shared" ref="T135:T144" si="96">S135-S134</f>
        <v>1</v>
      </c>
      <c r="U135" s="612">
        <f t="shared" ref="U135:U144" si="97">R135*T135</f>
        <v>0</v>
      </c>
      <c r="V135" s="464">
        <f t="shared" ref="V135:V144" si="98">F135</f>
        <v>2011</v>
      </c>
      <c r="W135" s="612">
        <f t="shared" ref="W135:W144" si="99">IF(OR(AND(ISBLANK(E135),ISBLANK(G135)),ISTEXT(E135),ISTEXT(G135)),"",Q135-U135)</f>
        <v>0</v>
      </c>
      <c r="X135" s="473"/>
      <c r="Y135" s="474"/>
      <c r="Z135" s="449"/>
      <c r="AA135" s="573"/>
      <c r="AB135" s="476"/>
      <c r="AC135" s="476"/>
      <c r="AD135" s="568"/>
      <c r="AE135" s="476"/>
      <c r="AF135" s="568"/>
      <c r="AG135" s="476"/>
      <c r="AH135" s="476"/>
      <c r="AI135" s="477"/>
      <c r="AJ135" s="478"/>
      <c r="AK135" s="479"/>
      <c r="AL135" s="480"/>
      <c r="AM135" s="474"/>
      <c r="AN135" s="481"/>
      <c r="AO135" s="474"/>
      <c r="AP135" s="476"/>
      <c r="AQ135" s="482"/>
      <c r="AR135" s="478"/>
      <c r="AS135" s="478"/>
      <c r="AT135" s="476"/>
      <c r="AU135" s="482"/>
      <c r="AV135" s="478"/>
      <c r="AW135" s="483"/>
      <c r="AX135" s="476"/>
      <c r="AY135" s="482"/>
      <c r="AZ135" s="478"/>
      <c r="BA135" s="484"/>
      <c r="BB135" s="474"/>
      <c r="BC135" s="485"/>
      <c r="BD135" s="485"/>
      <c r="BG135" s="487"/>
    </row>
    <row r="136" spans="1:59" s="486" customFormat="1" ht="18" customHeight="1" x14ac:dyDescent="0.2">
      <c r="A136" s="1368" t="str">
        <f t="shared" si="85"/>
        <v>SEB. TELUK KUANTAN - DUTA PALMA2012</v>
      </c>
      <c r="B136" s="1373"/>
      <c r="C136" s="463"/>
      <c r="D136" s="464"/>
      <c r="E136" s="465"/>
      <c r="F136" s="466">
        <v>2012</v>
      </c>
      <c r="G136" s="620">
        <v>0</v>
      </c>
      <c r="H136" s="464">
        <f t="shared" si="86"/>
        <v>0</v>
      </c>
      <c r="I136" s="467"/>
      <c r="J136" s="468">
        <f t="shared" si="87"/>
        <v>2011</v>
      </c>
      <c r="K136" s="490">
        <f t="shared" si="88"/>
        <v>0</v>
      </c>
      <c r="L136" s="469">
        <f t="shared" si="89"/>
        <v>0</v>
      </c>
      <c r="M136" s="683">
        <f t="shared" si="90"/>
        <v>0</v>
      </c>
      <c r="N136" s="470">
        <f t="shared" si="91"/>
        <v>0</v>
      </c>
      <c r="O136" s="468">
        <f t="shared" si="92"/>
        <v>2011</v>
      </c>
      <c r="P136" s="616">
        <f t="shared" si="93"/>
        <v>0</v>
      </c>
      <c r="Q136" s="472">
        <f t="shared" si="94"/>
        <v>0</v>
      </c>
      <c r="R136" s="472">
        <f t="shared" ref="R136:R144" si="100">IF(L136=0,R135,IF(Q136=0,0,Q136/N136))</f>
        <v>0</v>
      </c>
      <c r="S136" s="1189">
        <f t="shared" si="95"/>
        <v>2012</v>
      </c>
      <c r="T136" s="470">
        <f t="shared" si="96"/>
        <v>1</v>
      </c>
      <c r="U136" s="612">
        <f t="shared" si="97"/>
        <v>0</v>
      </c>
      <c r="V136" s="464">
        <f t="shared" si="98"/>
        <v>2012</v>
      </c>
      <c r="W136" s="612">
        <f t="shared" si="99"/>
        <v>0</v>
      </c>
      <c r="X136" s="473"/>
      <c r="Y136" s="474"/>
      <c r="Z136" s="449"/>
      <c r="AA136" s="573"/>
      <c r="AB136" s="476"/>
      <c r="AC136" s="476"/>
      <c r="AD136" s="568"/>
      <c r="AE136" s="476"/>
      <c r="AF136" s="568"/>
      <c r="AG136" s="476"/>
      <c r="AH136" s="476"/>
      <c r="AI136" s="477"/>
      <c r="AJ136" s="478"/>
      <c r="AK136" s="479"/>
      <c r="AL136" s="480"/>
      <c r="AM136" s="474"/>
      <c r="AN136" s="481"/>
      <c r="AO136" s="474"/>
      <c r="AP136" s="476"/>
      <c r="AQ136" s="482"/>
      <c r="AR136" s="478"/>
      <c r="AS136" s="478"/>
      <c r="AT136" s="476"/>
      <c r="AU136" s="482"/>
      <c r="AV136" s="478"/>
      <c r="AW136" s="483"/>
      <c r="AX136" s="476"/>
      <c r="AY136" s="482"/>
      <c r="AZ136" s="478"/>
      <c r="BA136" s="484"/>
      <c r="BB136" s="474"/>
      <c r="BC136" s="485"/>
      <c r="BD136" s="485"/>
      <c r="BG136" s="487"/>
    </row>
    <row r="137" spans="1:59" s="486" customFormat="1" ht="18" customHeight="1" x14ac:dyDescent="0.2">
      <c r="A137" s="1368" t="str">
        <f t="shared" si="85"/>
        <v>SEB. TELUK KUANTAN - DUTA PALMA2013</v>
      </c>
      <c r="B137" s="1373">
        <v>2</v>
      </c>
      <c r="C137" s="493" t="s">
        <v>1275</v>
      </c>
      <c r="D137" s="464" t="s">
        <v>2494</v>
      </c>
      <c r="E137" s="465"/>
      <c r="F137" s="466">
        <v>2013</v>
      </c>
      <c r="G137" s="620">
        <v>1284742209</v>
      </c>
      <c r="H137" s="557">
        <f>VLOOKUP(LEFT(D137,8),UE,4)</f>
        <v>10</v>
      </c>
      <c r="I137" s="467"/>
      <c r="J137" s="468">
        <f t="shared" si="87"/>
        <v>2022</v>
      </c>
      <c r="K137" s="490">
        <f t="shared" si="88"/>
        <v>1</v>
      </c>
      <c r="L137" s="469">
        <f t="shared" si="89"/>
        <v>10</v>
      </c>
      <c r="M137" s="683">
        <f t="shared" si="90"/>
        <v>0</v>
      </c>
      <c r="N137" s="470">
        <f t="shared" si="91"/>
        <v>10</v>
      </c>
      <c r="O137" s="468">
        <f t="shared" si="92"/>
        <v>2022</v>
      </c>
      <c r="P137" s="616">
        <f t="shared" si="93"/>
        <v>0</v>
      </c>
      <c r="Q137" s="472">
        <f t="shared" si="94"/>
        <v>1284742209</v>
      </c>
      <c r="R137" s="472">
        <f t="shared" si="100"/>
        <v>128474220.90000001</v>
      </c>
      <c r="S137" s="1189">
        <f t="shared" si="95"/>
        <v>2013</v>
      </c>
      <c r="T137" s="470">
        <f t="shared" si="96"/>
        <v>1</v>
      </c>
      <c r="U137" s="612">
        <f t="shared" si="97"/>
        <v>128474220.90000001</v>
      </c>
      <c r="V137" s="464">
        <f t="shared" si="98"/>
        <v>2013</v>
      </c>
      <c r="W137" s="612">
        <f t="shared" si="99"/>
        <v>1156267988.0999999</v>
      </c>
      <c r="X137" s="473"/>
      <c r="Y137" s="474"/>
      <c r="Z137" s="449"/>
      <c r="AA137" s="739"/>
      <c r="AB137" s="496"/>
      <c r="AC137" s="496"/>
      <c r="AD137" s="740"/>
      <c r="AE137" s="476"/>
      <c r="AF137" s="568"/>
      <c r="AG137" s="476"/>
      <c r="AH137" s="476"/>
      <c r="AI137" s="477"/>
      <c r="AJ137" s="478"/>
      <c r="AK137" s="479"/>
      <c r="AL137" s="480"/>
      <c r="AM137" s="474"/>
      <c r="AN137" s="481"/>
      <c r="AO137" s="474"/>
      <c r="AP137" s="476"/>
      <c r="AQ137" s="482"/>
      <c r="AR137" s="478"/>
      <c r="AS137" s="478"/>
      <c r="AT137" s="476"/>
      <c r="AU137" s="482"/>
      <c r="AV137" s="478"/>
      <c r="AW137" s="483"/>
      <c r="AX137" s="476"/>
      <c r="AY137" s="482"/>
      <c r="AZ137" s="478"/>
      <c r="BA137" s="484"/>
      <c r="BB137" s="474"/>
      <c r="BC137" s="485"/>
      <c r="BD137" s="485"/>
      <c r="BG137" s="487"/>
    </row>
    <row r="138" spans="1:59" s="486" customFormat="1" ht="18" customHeight="1" x14ac:dyDescent="0.2">
      <c r="A138" s="1368" t="str">
        <f t="shared" si="85"/>
        <v>SEB. TELUK KUANTAN - DUTA PALMA2014</v>
      </c>
      <c r="B138" s="1373">
        <v>3</v>
      </c>
      <c r="C138" s="463" t="s">
        <v>1349</v>
      </c>
      <c r="D138" s="464" t="s">
        <v>2494</v>
      </c>
      <c r="E138" s="465"/>
      <c r="F138" s="466">
        <v>2014</v>
      </c>
      <c r="G138" s="620">
        <v>197613420</v>
      </c>
      <c r="H138" s="464">
        <f t="shared" si="86"/>
        <v>9</v>
      </c>
      <c r="I138" s="467"/>
      <c r="J138" s="468">
        <f t="shared" si="87"/>
        <v>2023</v>
      </c>
      <c r="K138" s="490">
        <f t="shared" si="88"/>
        <v>0.17090624494821643</v>
      </c>
      <c r="L138" s="469">
        <f t="shared" si="89"/>
        <v>2</v>
      </c>
      <c r="M138" s="683">
        <f t="shared" si="90"/>
        <v>1</v>
      </c>
      <c r="N138" s="470">
        <f t="shared" si="91"/>
        <v>10</v>
      </c>
      <c r="O138" s="468">
        <f t="shared" si="92"/>
        <v>2023</v>
      </c>
      <c r="P138" s="616">
        <f t="shared" si="93"/>
        <v>1156267988.0999999</v>
      </c>
      <c r="Q138" s="472">
        <f t="shared" si="94"/>
        <v>1353881408.0999999</v>
      </c>
      <c r="R138" s="472">
        <f t="shared" si="100"/>
        <v>135388140.81</v>
      </c>
      <c r="S138" s="1189">
        <f t="shared" si="95"/>
        <v>2014</v>
      </c>
      <c r="T138" s="470">
        <f t="shared" si="96"/>
        <v>1</v>
      </c>
      <c r="U138" s="612">
        <f t="shared" si="97"/>
        <v>135388140.81</v>
      </c>
      <c r="V138" s="464">
        <f t="shared" si="98"/>
        <v>2014</v>
      </c>
      <c r="W138" s="612">
        <f t="shared" si="99"/>
        <v>1218493267.29</v>
      </c>
      <c r="X138" s="473"/>
      <c r="Y138" s="478"/>
      <c r="Z138" s="449"/>
      <c r="AA138" s="554" t="s">
        <v>4179</v>
      </c>
      <c r="AB138" s="491"/>
      <c r="AC138" s="491"/>
      <c r="AD138" s="567"/>
      <c r="AE138" s="491"/>
      <c r="AF138" s="568"/>
      <c r="AG138" s="491"/>
      <c r="AH138" s="491"/>
      <c r="AI138" s="477"/>
      <c r="AJ138" s="478"/>
      <c r="AK138" s="479"/>
      <c r="AL138" s="480"/>
      <c r="AM138" s="474"/>
      <c r="AN138" s="481"/>
      <c r="AO138" s="474"/>
      <c r="AP138" s="476"/>
      <c r="AQ138" s="482"/>
      <c r="AR138" s="478"/>
      <c r="AS138" s="478"/>
      <c r="AT138" s="476"/>
      <c r="AU138" s="482"/>
      <c r="AV138" s="478"/>
      <c r="AW138" s="483"/>
      <c r="AX138" s="476"/>
      <c r="AY138" s="482"/>
      <c r="AZ138" s="478"/>
      <c r="BA138" s="484"/>
      <c r="BB138" s="474"/>
      <c r="BC138" s="485"/>
      <c r="BD138" s="485"/>
      <c r="BG138" s="487"/>
    </row>
    <row r="139" spans="1:59" s="486" customFormat="1" ht="18" customHeight="1" x14ac:dyDescent="0.2">
      <c r="A139" s="1368" t="str">
        <f t="shared" si="85"/>
        <v>SEB. TELUK KUANTAN - DUTA PALMA2015</v>
      </c>
      <c r="B139" s="1373"/>
      <c r="C139" s="463"/>
      <c r="D139" s="464"/>
      <c r="E139" s="465"/>
      <c r="F139" s="466">
        <v>2015</v>
      </c>
      <c r="G139" s="620">
        <v>0</v>
      </c>
      <c r="H139" s="464">
        <f t="shared" si="86"/>
        <v>9</v>
      </c>
      <c r="I139" s="467"/>
      <c r="J139" s="468">
        <f t="shared" si="87"/>
        <v>2023</v>
      </c>
      <c r="K139" s="490">
        <f t="shared" si="88"/>
        <v>0</v>
      </c>
      <c r="L139" s="469">
        <f t="shared" si="89"/>
        <v>0</v>
      </c>
      <c r="M139" s="683">
        <f t="shared" si="90"/>
        <v>0</v>
      </c>
      <c r="N139" s="470">
        <f t="shared" si="91"/>
        <v>9</v>
      </c>
      <c r="O139" s="468">
        <f t="shared" si="92"/>
        <v>2023</v>
      </c>
      <c r="P139" s="616">
        <f t="shared" si="93"/>
        <v>1218493267.29</v>
      </c>
      <c r="Q139" s="472">
        <f t="shared" si="94"/>
        <v>1218493267.29</v>
      </c>
      <c r="R139" s="472">
        <f t="shared" si="100"/>
        <v>135388140.81</v>
      </c>
      <c r="S139" s="1189">
        <f t="shared" si="95"/>
        <v>2015</v>
      </c>
      <c r="T139" s="470">
        <f t="shared" si="96"/>
        <v>1</v>
      </c>
      <c r="U139" s="612">
        <f t="shared" si="97"/>
        <v>135388140.81</v>
      </c>
      <c r="V139" s="464">
        <f t="shared" si="98"/>
        <v>2015</v>
      </c>
      <c r="W139" s="612">
        <f t="shared" si="99"/>
        <v>1083105126.48</v>
      </c>
      <c r="X139" s="473"/>
      <c r="Y139" s="478"/>
      <c r="Z139" s="449"/>
      <c r="AA139" s="475"/>
      <c r="AB139" s="476"/>
      <c r="AC139" s="476"/>
      <c r="AD139" s="567"/>
      <c r="AE139" s="491"/>
      <c r="AF139" s="568"/>
      <c r="AG139" s="491"/>
      <c r="AH139" s="491"/>
      <c r="AI139" s="477"/>
      <c r="AJ139" s="478"/>
      <c r="AK139" s="479"/>
      <c r="AL139" s="480"/>
      <c r="AM139" s="474"/>
      <c r="AN139" s="481"/>
      <c r="AO139" s="474"/>
      <c r="AP139" s="476"/>
      <c r="AQ139" s="482"/>
      <c r="AR139" s="478"/>
      <c r="AS139" s="478"/>
      <c r="AT139" s="476"/>
      <c r="AU139" s="482"/>
      <c r="AV139" s="478"/>
      <c r="AW139" s="483"/>
      <c r="AX139" s="476"/>
      <c r="AY139" s="482"/>
      <c r="AZ139" s="478"/>
      <c r="BA139" s="484"/>
      <c r="BB139" s="474"/>
      <c r="BC139" s="485"/>
      <c r="BD139" s="485"/>
      <c r="BG139" s="487"/>
    </row>
    <row r="140" spans="1:59" s="486" customFormat="1" ht="18" customHeight="1" x14ac:dyDescent="0.2">
      <c r="A140" s="1368" t="str">
        <f t="shared" si="85"/>
        <v>SEB. TELUK KUANTAN - DUTA PALMA2016</v>
      </c>
      <c r="B140" s="1373"/>
      <c r="C140" s="463"/>
      <c r="D140" s="464"/>
      <c r="E140" s="465"/>
      <c r="F140" s="466">
        <v>2016</v>
      </c>
      <c r="G140" s="620">
        <v>0</v>
      </c>
      <c r="H140" s="464">
        <f t="shared" si="86"/>
        <v>8</v>
      </c>
      <c r="I140" s="467"/>
      <c r="J140" s="468">
        <f t="shared" si="87"/>
        <v>2023</v>
      </c>
      <c r="K140" s="490">
        <f t="shared" si="88"/>
        <v>0</v>
      </c>
      <c r="L140" s="469">
        <f t="shared" si="89"/>
        <v>0</v>
      </c>
      <c r="M140" s="683">
        <f t="shared" si="90"/>
        <v>0</v>
      </c>
      <c r="N140" s="470">
        <f t="shared" si="91"/>
        <v>8</v>
      </c>
      <c r="O140" s="468">
        <f t="shared" si="92"/>
        <v>2023</v>
      </c>
      <c r="P140" s="616">
        <f t="shared" si="93"/>
        <v>1083105126.48</v>
      </c>
      <c r="Q140" s="472">
        <f t="shared" si="94"/>
        <v>1083105126.48</v>
      </c>
      <c r="R140" s="472">
        <f t="shared" si="100"/>
        <v>135388140.81</v>
      </c>
      <c r="S140" s="1189">
        <f t="shared" si="95"/>
        <v>2016</v>
      </c>
      <c r="T140" s="470">
        <f t="shared" si="96"/>
        <v>1</v>
      </c>
      <c r="U140" s="612">
        <f t="shared" si="97"/>
        <v>135388140.81</v>
      </c>
      <c r="V140" s="464">
        <f t="shared" si="98"/>
        <v>2016</v>
      </c>
      <c r="W140" s="612">
        <f t="shared" si="99"/>
        <v>947716985.67000008</v>
      </c>
      <c r="X140" s="473"/>
      <c r="Y140" s="478"/>
      <c r="Z140" s="449"/>
      <c r="AA140" s="475" t="s">
        <v>4180</v>
      </c>
      <c r="AB140" s="476"/>
      <c r="AC140" s="476"/>
      <c r="AD140" s="567">
        <f>G147</f>
        <v>6767065503</v>
      </c>
      <c r="AE140" s="491"/>
      <c r="AF140" s="568"/>
      <c r="AG140" s="491"/>
      <c r="AH140" s="491"/>
      <c r="AI140" s="477"/>
      <c r="AJ140" s="478"/>
      <c r="AK140" s="479"/>
      <c r="AL140" s="480"/>
      <c r="AM140" s="474"/>
      <c r="AN140" s="481"/>
      <c r="AO140" s="474"/>
      <c r="AP140" s="476"/>
      <c r="AQ140" s="482"/>
      <c r="AR140" s="478"/>
      <c r="AS140" s="478"/>
      <c r="AT140" s="476"/>
      <c r="AU140" s="482"/>
      <c r="AV140" s="478"/>
      <c r="AW140" s="483"/>
      <c r="AX140" s="476"/>
      <c r="AY140" s="482"/>
      <c r="AZ140" s="478"/>
      <c r="BA140" s="484"/>
      <c r="BB140" s="474"/>
      <c r="BC140" s="485"/>
      <c r="BD140" s="485"/>
      <c r="BG140" s="487"/>
    </row>
    <row r="141" spans="1:59" s="486" customFormat="1" ht="18" customHeight="1" x14ac:dyDescent="0.2">
      <c r="A141" s="1368" t="str">
        <f t="shared" si="85"/>
        <v>SEB. TELUK KUANTAN - DUTA PALMA2017</v>
      </c>
      <c r="B141" s="1373">
        <v>4</v>
      </c>
      <c r="C141" s="463" t="s">
        <v>2501</v>
      </c>
      <c r="D141" s="464"/>
      <c r="E141" s="465"/>
      <c r="F141" s="466">
        <v>2017</v>
      </c>
      <c r="G141" s="620">
        <f>189549000+191062300</f>
        <v>380611300</v>
      </c>
      <c r="H141" s="464">
        <f t="shared" si="86"/>
        <v>7</v>
      </c>
      <c r="I141" s="467"/>
      <c r="J141" s="468">
        <f t="shared" si="87"/>
        <v>2026</v>
      </c>
      <c r="K141" s="490">
        <f t="shared" si="88"/>
        <v>0.40160860864060827</v>
      </c>
      <c r="L141" s="469">
        <f t="shared" si="89"/>
        <v>5</v>
      </c>
      <c r="M141" s="683">
        <f t="shared" si="90"/>
        <v>3</v>
      </c>
      <c r="N141" s="470">
        <f t="shared" si="91"/>
        <v>10</v>
      </c>
      <c r="O141" s="468">
        <f t="shared" si="92"/>
        <v>2026</v>
      </c>
      <c r="P141" s="616">
        <f t="shared" si="93"/>
        <v>947716985.67000008</v>
      </c>
      <c r="Q141" s="472">
        <f t="shared" si="94"/>
        <v>1328328285.6700001</v>
      </c>
      <c r="R141" s="472">
        <f t="shared" si="100"/>
        <v>132832828.567</v>
      </c>
      <c r="S141" s="1189">
        <f t="shared" si="95"/>
        <v>2017</v>
      </c>
      <c r="T141" s="470">
        <f t="shared" si="96"/>
        <v>1</v>
      </c>
      <c r="U141" s="612">
        <f t="shared" si="97"/>
        <v>132832828.567</v>
      </c>
      <c r="V141" s="464">
        <f t="shared" si="98"/>
        <v>2017</v>
      </c>
      <c r="W141" s="612">
        <f t="shared" si="99"/>
        <v>1195495457.1030002</v>
      </c>
      <c r="X141" s="473"/>
      <c r="Y141" s="478"/>
      <c r="Z141" s="449"/>
      <c r="AA141" s="475" t="s">
        <v>4181</v>
      </c>
      <c r="AB141" s="491"/>
      <c r="AC141" s="491"/>
      <c r="AD141" s="567">
        <f>U147</f>
        <v>3826980420.7175999</v>
      </c>
      <c r="AE141" s="491"/>
      <c r="AF141" s="568"/>
      <c r="AG141" s="491"/>
      <c r="AH141" s="491"/>
      <c r="AI141" s="477"/>
      <c r="AJ141" s="478"/>
      <c r="AK141" s="479"/>
      <c r="AL141" s="480"/>
      <c r="AM141" s="474"/>
      <c r="AN141" s="481"/>
      <c r="AO141" s="474"/>
      <c r="AP141" s="476"/>
      <c r="AQ141" s="482"/>
      <c r="AR141" s="478"/>
      <c r="AS141" s="478"/>
      <c r="AT141" s="476"/>
      <c r="AU141" s="482"/>
      <c r="AV141" s="478"/>
      <c r="AW141" s="483"/>
      <c r="AX141" s="476"/>
      <c r="AY141" s="482"/>
      <c r="AZ141" s="478"/>
      <c r="BA141" s="484"/>
      <c r="BB141" s="474"/>
      <c r="BC141" s="485"/>
      <c r="BD141" s="485"/>
      <c r="BG141" s="487"/>
    </row>
    <row r="142" spans="1:59" s="486" customFormat="1" ht="18" customHeight="1" x14ac:dyDescent="0.2">
      <c r="A142" s="1368" t="str">
        <f t="shared" si="85"/>
        <v>SEB. TELUK KUANTAN - DUTA PALMA2017</v>
      </c>
      <c r="B142" s="1373">
        <v>5</v>
      </c>
      <c r="C142" s="463" t="s">
        <v>3046</v>
      </c>
      <c r="D142" s="464"/>
      <c r="E142" s="465"/>
      <c r="F142" s="466">
        <v>2017</v>
      </c>
      <c r="G142" s="620">
        <v>0</v>
      </c>
      <c r="H142" s="464">
        <f t="shared" si="86"/>
        <v>10</v>
      </c>
      <c r="I142" s="467"/>
      <c r="J142" s="468">
        <f t="shared" si="87"/>
        <v>2026</v>
      </c>
      <c r="K142" s="490">
        <f t="shared" si="88"/>
        <v>0</v>
      </c>
      <c r="L142" s="469">
        <f t="shared" si="89"/>
        <v>0</v>
      </c>
      <c r="M142" s="683">
        <f t="shared" si="90"/>
        <v>0</v>
      </c>
      <c r="N142" s="470">
        <f t="shared" si="91"/>
        <v>10</v>
      </c>
      <c r="O142" s="468">
        <f t="shared" si="92"/>
        <v>2026</v>
      </c>
      <c r="P142" s="616">
        <f t="shared" si="93"/>
        <v>1195495457.1030002</v>
      </c>
      <c r="Q142" s="472">
        <f t="shared" si="94"/>
        <v>1195495457.1030002</v>
      </c>
      <c r="R142" s="472">
        <f t="shared" si="100"/>
        <v>132832828.567</v>
      </c>
      <c r="S142" s="1189">
        <f t="shared" si="95"/>
        <v>2017</v>
      </c>
      <c r="T142" s="470">
        <f t="shared" si="96"/>
        <v>0</v>
      </c>
      <c r="U142" s="612">
        <f t="shared" si="97"/>
        <v>0</v>
      </c>
      <c r="V142" s="464">
        <f t="shared" si="98"/>
        <v>2017</v>
      </c>
      <c r="W142" s="612">
        <f t="shared" si="99"/>
        <v>1195495457.1030002</v>
      </c>
      <c r="X142" s="473"/>
      <c r="Y142" s="478"/>
      <c r="Z142" s="449"/>
      <c r="AA142" s="492" t="s">
        <v>4182</v>
      </c>
      <c r="AB142" s="476"/>
      <c r="AC142" s="476"/>
      <c r="AD142" s="567">
        <f>AD140-AD141</f>
        <v>2940085082.2824001</v>
      </c>
      <c r="AE142" s="476"/>
      <c r="AF142" s="568"/>
      <c r="AG142" s="476"/>
      <c r="AH142" s="476"/>
      <c r="AI142" s="477"/>
      <c r="AJ142" s="478"/>
      <c r="AK142" s="479"/>
      <c r="AL142" s="480"/>
      <c r="AM142" s="474"/>
      <c r="AN142" s="481"/>
      <c r="AO142" s="474"/>
      <c r="AP142" s="476"/>
      <c r="AQ142" s="482"/>
      <c r="AR142" s="478"/>
      <c r="AS142" s="478"/>
      <c r="AT142" s="476"/>
      <c r="AU142" s="482"/>
      <c r="AV142" s="478"/>
      <c r="AW142" s="483"/>
      <c r="AX142" s="476"/>
      <c r="AY142" s="482"/>
      <c r="AZ142" s="478"/>
      <c r="BA142" s="484"/>
      <c r="BB142" s="474"/>
      <c r="BC142" s="485"/>
      <c r="BD142" s="485"/>
      <c r="BG142" s="487"/>
    </row>
    <row r="143" spans="1:59" s="486" customFormat="1" ht="18" customHeight="1" x14ac:dyDescent="0.2">
      <c r="A143" s="1368" t="str">
        <f t="shared" si="85"/>
        <v>SEB. TELUK KUANTAN - DUTA PALMA2018</v>
      </c>
      <c r="B143" s="687"/>
      <c r="C143" s="463"/>
      <c r="D143" s="464"/>
      <c r="E143" s="465"/>
      <c r="F143" s="466">
        <v>2018</v>
      </c>
      <c r="G143" s="620">
        <v>0</v>
      </c>
      <c r="H143" s="464">
        <f t="shared" si="86"/>
        <v>9</v>
      </c>
      <c r="I143" s="467"/>
      <c r="J143" s="468">
        <f t="shared" si="87"/>
        <v>2026</v>
      </c>
      <c r="K143" s="490">
        <f t="shared" si="88"/>
        <v>0</v>
      </c>
      <c r="L143" s="469">
        <f t="shared" si="89"/>
        <v>0</v>
      </c>
      <c r="M143" s="683">
        <f t="shared" si="90"/>
        <v>0</v>
      </c>
      <c r="N143" s="470">
        <f t="shared" si="91"/>
        <v>9</v>
      </c>
      <c r="O143" s="468">
        <f t="shared" si="92"/>
        <v>2026</v>
      </c>
      <c r="P143" s="616">
        <f t="shared" si="93"/>
        <v>1195495457.1030002</v>
      </c>
      <c r="Q143" s="472">
        <f t="shared" si="94"/>
        <v>1195495457.1030002</v>
      </c>
      <c r="R143" s="472">
        <f t="shared" si="100"/>
        <v>132832828.567</v>
      </c>
      <c r="S143" s="1189">
        <f t="shared" si="95"/>
        <v>2018</v>
      </c>
      <c r="T143" s="470">
        <f t="shared" si="96"/>
        <v>1</v>
      </c>
      <c r="U143" s="612">
        <f t="shared" si="97"/>
        <v>132832828.567</v>
      </c>
      <c r="V143" s="464">
        <f t="shared" si="98"/>
        <v>2018</v>
      </c>
      <c r="W143" s="612">
        <f t="shared" si="99"/>
        <v>1062662628.5360001</v>
      </c>
      <c r="X143" s="473"/>
      <c r="Y143" s="478"/>
      <c r="Z143" s="449"/>
      <c r="AA143" s="531" t="s">
        <v>4183</v>
      </c>
      <c r="AB143" s="496"/>
      <c r="AC143" s="496"/>
      <c r="AD143" s="569">
        <f>AD142-W147</f>
        <v>0</v>
      </c>
      <c r="AE143" s="476"/>
      <c r="AF143" s="568"/>
      <c r="AG143" s="476"/>
      <c r="AH143" s="476"/>
      <c r="AI143" s="477"/>
      <c r="AJ143" s="478"/>
      <c r="AK143" s="479"/>
      <c r="AL143" s="480"/>
      <c r="AM143" s="474"/>
      <c r="AN143" s="481"/>
      <c r="AO143" s="474"/>
      <c r="AP143" s="476"/>
      <c r="AQ143" s="482"/>
      <c r="AR143" s="478"/>
      <c r="AS143" s="478"/>
      <c r="AT143" s="476"/>
      <c r="AU143" s="482"/>
      <c r="AV143" s="478"/>
      <c r="AW143" s="483"/>
      <c r="AX143" s="476"/>
      <c r="AY143" s="482"/>
      <c r="AZ143" s="478"/>
      <c r="BA143" s="484"/>
      <c r="BB143" s="474"/>
      <c r="BC143" s="485"/>
      <c r="BD143" s="485"/>
      <c r="BG143" s="487"/>
    </row>
    <row r="144" spans="1:59" s="486" customFormat="1" ht="18" customHeight="1" x14ac:dyDescent="0.2">
      <c r="A144" s="1368" t="str">
        <f t="shared" si="85"/>
        <v>SEB. TELUK KUANTAN - DUTA PALMA2019</v>
      </c>
      <c r="B144" s="687">
        <v>6</v>
      </c>
      <c r="C144" s="463" t="s">
        <v>5520</v>
      </c>
      <c r="D144" s="464"/>
      <c r="E144" s="465"/>
      <c r="F144" s="466">
        <v>2019</v>
      </c>
      <c r="G144" s="620">
        <v>2204098574</v>
      </c>
      <c r="H144" s="464">
        <f t="shared" si="86"/>
        <v>8</v>
      </c>
      <c r="I144" s="467"/>
      <c r="J144" s="468">
        <f t="shared" si="87"/>
        <v>2028</v>
      </c>
      <c r="K144" s="490">
        <f t="shared" si="88"/>
        <v>2.074128246173975</v>
      </c>
      <c r="L144" s="469">
        <f t="shared" si="89"/>
        <v>10</v>
      </c>
      <c r="M144" s="683">
        <f t="shared" si="90"/>
        <v>2</v>
      </c>
      <c r="N144" s="470">
        <f t="shared" si="91"/>
        <v>10</v>
      </c>
      <c r="O144" s="468">
        <f t="shared" si="92"/>
        <v>2028</v>
      </c>
      <c r="P144" s="616">
        <f t="shared" si="93"/>
        <v>1062662628.5360001</v>
      </c>
      <c r="Q144" s="472">
        <f t="shared" si="94"/>
        <v>3266761202.5360003</v>
      </c>
      <c r="R144" s="472">
        <f t="shared" si="100"/>
        <v>326676120.2536</v>
      </c>
      <c r="S144" s="1189">
        <f t="shared" si="95"/>
        <v>2019</v>
      </c>
      <c r="T144" s="470">
        <f t="shared" si="96"/>
        <v>1</v>
      </c>
      <c r="U144" s="612">
        <f t="shared" si="97"/>
        <v>326676120.2536</v>
      </c>
      <c r="V144" s="464">
        <f t="shared" si="98"/>
        <v>2019</v>
      </c>
      <c r="W144" s="612">
        <f t="shared" si="99"/>
        <v>2940085082.2824001</v>
      </c>
      <c r="X144" s="473"/>
      <c r="Y144" s="478"/>
      <c r="Z144" s="449"/>
      <c r="AA144" s="573"/>
      <c r="AB144" s="476"/>
      <c r="AC144" s="476"/>
      <c r="AD144" s="568"/>
      <c r="AE144" s="476"/>
      <c r="AF144" s="568"/>
      <c r="AG144" s="476"/>
      <c r="AH144" s="476"/>
      <c r="AI144" s="477"/>
      <c r="AJ144" s="478"/>
      <c r="AK144" s="479"/>
      <c r="AL144" s="480"/>
      <c r="AM144" s="474"/>
      <c r="AN144" s="481"/>
      <c r="AO144" s="474"/>
      <c r="AP144" s="476"/>
      <c r="AQ144" s="482"/>
      <c r="AR144" s="478"/>
      <c r="AS144" s="478"/>
      <c r="AT144" s="476"/>
      <c r="AU144" s="482"/>
      <c r="AV144" s="478"/>
      <c r="AW144" s="483"/>
      <c r="AX144" s="476"/>
      <c r="AY144" s="482"/>
      <c r="AZ144" s="478"/>
      <c r="BA144" s="484"/>
      <c r="BB144" s="474"/>
      <c r="BC144" s="485"/>
      <c r="BD144" s="485"/>
      <c r="BG144" s="487"/>
    </row>
    <row r="145" spans="1:59" s="486" customFormat="1" ht="18" customHeight="1" x14ac:dyDescent="0.2">
      <c r="A145" s="1369"/>
      <c r="B145" s="687"/>
      <c r="C145" s="494" t="s">
        <v>383</v>
      </c>
      <c r="D145" s="494" t="s">
        <v>383</v>
      </c>
      <c r="E145" s="465"/>
      <c r="F145" s="466"/>
      <c r="G145" s="620">
        <v>0</v>
      </c>
      <c r="H145" s="464"/>
      <c r="I145" s="467"/>
      <c r="J145" s="468"/>
      <c r="K145" s="490"/>
      <c r="L145" s="469"/>
      <c r="M145" s="683"/>
      <c r="N145" s="470"/>
      <c r="O145" s="468"/>
      <c r="P145" s="616"/>
      <c r="Q145" s="472"/>
      <c r="R145" s="472"/>
      <c r="S145" s="634"/>
      <c r="T145" s="470"/>
      <c r="U145" s="612"/>
      <c r="V145" s="464"/>
      <c r="W145" s="612"/>
      <c r="X145" s="473"/>
      <c r="Y145" s="478"/>
      <c r="Z145" s="449"/>
      <c r="AA145" s="497"/>
      <c r="AB145" s="476"/>
      <c r="AC145" s="476"/>
      <c r="AD145" s="568"/>
      <c r="AE145" s="476"/>
      <c r="AF145" s="568"/>
      <c r="AG145" s="476"/>
      <c r="AH145" s="476"/>
      <c r="AI145" s="477"/>
      <c r="AJ145" s="478"/>
      <c r="AK145" s="479"/>
      <c r="AL145" s="480"/>
      <c r="AM145" s="474"/>
      <c r="AN145" s="481"/>
      <c r="AO145" s="474"/>
      <c r="AP145" s="476"/>
      <c r="AQ145" s="482"/>
      <c r="AR145" s="478"/>
      <c r="AS145" s="478"/>
      <c r="AT145" s="476"/>
      <c r="AU145" s="482"/>
      <c r="AV145" s="478"/>
      <c r="AW145" s="483"/>
      <c r="AX145" s="476"/>
      <c r="AY145" s="482"/>
      <c r="AZ145" s="478"/>
      <c r="BA145" s="484"/>
      <c r="BB145" s="474"/>
      <c r="BC145" s="485"/>
      <c r="BD145" s="485"/>
      <c r="BG145" s="487"/>
    </row>
    <row r="146" spans="1:59" s="486" customFormat="1" ht="18" customHeight="1" x14ac:dyDescent="0.2">
      <c r="A146" s="1369"/>
      <c r="B146" s="687"/>
      <c r="C146" s="463"/>
      <c r="D146" s="464"/>
      <c r="E146" s="465"/>
      <c r="F146" s="634"/>
      <c r="G146" s="620"/>
      <c r="H146" s="469" t="str">
        <f>IF(OR(AND(ISBLANK(E146),ISBLANK(G146)),ISTEXT(E146),ISTEXT(G146)),"",IF(#REF!-(YEAR(E146)-YEAR(#REF!))&lt;0,0,#REF!-(YEAR(E146)-YEAR(#REF!))))</f>
        <v/>
      </c>
      <c r="I146" s="467" t="str">
        <f>IF(OR(AND(ISBLANK(E146),ISBLANK(G146)),ISTEXT(E146),ISTEXT(G146)),"",IF(#REF!-E146&lt;0,0,#REF!-E146))</f>
        <v/>
      </c>
      <c r="J146" s="498" t="str">
        <f>IF(OR(AND(ISBLANK(E146),ISBLANK(G146)),ISTEXT(E146),ISTEXT(G146)),"",#REF!)</f>
        <v/>
      </c>
      <c r="K146" s="498"/>
      <c r="L146" s="469" t="str">
        <f>IF(OR(AND(ISBLANK(E146),ISBLANK(G146)),ISTEXT(E146),ISTEXT(G146)),"",ROUNDDOWN(G146/SUM($G$57:G145)*$H$57,0))</f>
        <v/>
      </c>
      <c r="M146" s="683" t="str">
        <f>IF(OR(AND(ISBLANK(E146),ISBLANK(G146)),ISTEXT(E146),ISTEXT(G146)),"",IF(H146+L146&gt;$H$57,$H$57-H146,L146))</f>
        <v/>
      </c>
      <c r="N146" s="470" t="str">
        <f>IF(OR(AND(ISBLANK(E146),ISBLANK(G146)),ISTEXT(E146),ISTEXT(G146)),"",H146+M146)</f>
        <v/>
      </c>
      <c r="O146" s="498" t="str">
        <f>IF(OR(AND(ISBLANK(E146),ISBLANK(G146)),ISTEXT(E146),ISTEXT(G146)),"",DATE(YEAR($J146)+M146,MONTH($J146),DAY($J146)))</f>
        <v/>
      </c>
      <c r="P146" s="748" t="str">
        <f>IF(OR(AND(ISBLANK(E146),ISBLANK(G146)),ISTEXT(E146),ISTEXT(G146)),"",#REF!-#REF!*(IF(J146&lt;E146,J146,E146)-#REF!))</f>
        <v/>
      </c>
      <c r="Q146" s="500" t="str">
        <f>IF(OR(AND(ISBLANK(E146),ISBLANK(G146)),ISTEXT(E146),ISTEXT(G146)),"",P146+G146)</f>
        <v/>
      </c>
      <c r="R146" s="501" t="str">
        <f>IF(OR(AND(ISBLANK(E146),ISBLANK(G146)),ISTEXT(E146),ISTEXT(G146)),"",IF(OR(E146&lt;DATE(2004,12,31),#REF!=0),0,Q146/#REF!))</f>
        <v/>
      </c>
      <c r="S146" s="502" t="str">
        <f>IF(OR(AND(ISBLANK(E146),ISBLANK(G146)),ISTEXT(E146),ISTEXT(G146)),"",IF(YEAR(E146)&lt;=YEAR(#REF!),"-",YEAR(E146)-1))</f>
        <v/>
      </c>
      <c r="T146" s="502"/>
      <c r="U146" s="612" t="str">
        <f>IF(OR(AND(ISBLANK(E146),ISBLANK(G146)),ISTEXT(E146),ISTEXT(G146)),"",IF(AND(J146&lt;=DATE(2004,12,31),E146&gt;J146),SUM($G146:G146),#REF!+#REF!+#REF!*IF(YEAR(E146)&lt;=YEAR(#REF!),0,(IF(DATE(YEAR(E146)-1,12,31)&gt;J146,J146,DATE(YEAR(E146)-1,12,31))-#REF!))))</f>
        <v/>
      </c>
      <c r="V146" s="503" t="str">
        <f>IF(OR(AND(ISBLANK(E146),ISBLANK(G146)),ISTEXT(E146),ISTEXT(G146)),"",IF(YEAR(E146)=YEAR(E147),E147,DATE(YEAR(E146),12,31)))</f>
        <v/>
      </c>
      <c r="W146" s="612" t="str">
        <f>IF(OR(AND(ISBLANK(E146),ISBLANK(G146)),ISTEXT(E146),ISTEXT(G146)),"",IF(Q146=0,0,IF(AND(J146&lt;=DATE(2004,12,31),E146&gt;=J146),Q146-U146,Q146-#REF!)))</f>
        <v/>
      </c>
      <c r="X146" s="504" t="str">
        <f>IF(OR(AND(ISBLANK(E146),ISBLANK(G146)),ISTEXT(E146),ISTEXT(G146)),"",$D$57&amp;"//"&amp;TEXT($E$57,"dd-mmm-yyyy")&amp;"//"&amp;#REF!)</f>
        <v/>
      </c>
      <c r="Y146" s="476"/>
      <c r="Z146" s="476"/>
      <c r="AA146" s="476"/>
      <c r="AB146" s="476"/>
      <c r="AC146" s="476"/>
      <c r="AD146" s="568"/>
      <c r="AE146" s="476"/>
      <c r="AF146" s="568"/>
      <c r="AG146" s="476"/>
      <c r="AH146" s="476"/>
      <c r="AI146" s="477"/>
      <c r="AJ146" s="478"/>
      <c r="AK146" s="479"/>
      <c r="AL146" s="480"/>
      <c r="AM146" s="474"/>
      <c r="AN146" s="481"/>
      <c r="AO146" s="474"/>
      <c r="AP146" s="476"/>
      <c r="AQ146" s="482"/>
      <c r="AR146" s="478"/>
      <c r="AS146" s="478"/>
      <c r="AT146" s="476"/>
      <c r="AU146" s="482"/>
      <c r="AV146" s="478"/>
      <c r="AW146" s="483"/>
      <c r="AX146" s="476"/>
      <c r="AY146" s="482"/>
      <c r="AZ146" s="478"/>
      <c r="BA146" s="484"/>
      <c r="BB146" s="474"/>
      <c r="BC146" s="485"/>
      <c r="BD146" s="485"/>
      <c r="BG146" s="487"/>
    </row>
    <row r="147" spans="1:59" s="526" customFormat="1" ht="18" customHeight="1" x14ac:dyDescent="0.2">
      <c r="A147" s="1370" t="s">
        <v>4184</v>
      </c>
      <c r="B147" s="1956" t="s">
        <v>4184</v>
      </c>
      <c r="C147" s="1957"/>
      <c r="D147" s="1957"/>
      <c r="E147" s="1957"/>
      <c r="F147" s="1958"/>
      <c r="G147" s="624">
        <f>SUM(G133:G146)</f>
        <v>6767065503</v>
      </c>
      <c r="H147" s="505"/>
      <c r="I147" s="506"/>
      <c r="J147" s="507"/>
      <c r="K147" s="507"/>
      <c r="L147" s="505"/>
      <c r="M147" s="684"/>
      <c r="N147" s="508"/>
      <c r="O147" s="507"/>
      <c r="P147" s="749"/>
      <c r="Q147" s="510"/>
      <c r="R147" s="511"/>
      <c r="S147" s="512"/>
      <c r="T147" s="512"/>
      <c r="U147" s="610">
        <f>SUM(U133:U146)</f>
        <v>3826980420.7175999</v>
      </c>
      <c r="V147" s="513"/>
      <c r="W147" s="610">
        <f>G147-U147</f>
        <v>2940085082.2824001</v>
      </c>
      <c r="X147" s="514"/>
      <c r="Y147" s="515"/>
      <c r="Z147" s="515"/>
      <c r="AA147" s="515"/>
      <c r="AB147" s="515"/>
      <c r="AC147" s="515"/>
      <c r="AD147" s="570"/>
      <c r="AE147" s="515"/>
      <c r="AF147" s="570">
        <v>2858090736</v>
      </c>
      <c r="AG147" s="515"/>
      <c r="AH147" s="515"/>
      <c r="AI147" s="516"/>
      <c r="AJ147" s="517"/>
      <c r="AK147" s="518"/>
      <c r="AL147" s="519"/>
      <c r="AM147" s="520"/>
      <c r="AN147" s="521"/>
      <c r="AO147" s="520"/>
      <c r="AP147" s="515"/>
      <c r="AQ147" s="522"/>
      <c r="AR147" s="517"/>
      <c r="AS147" s="517"/>
      <c r="AT147" s="515"/>
      <c r="AU147" s="522"/>
      <c r="AV147" s="517"/>
      <c r="AW147" s="523"/>
      <c r="AX147" s="515"/>
      <c r="AY147" s="522"/>
      <c r="AZ147" s="517"/>
      <c r="BA147" s="524"/>
      <c r="BB147" s="520"/>
      <c r="BC147" s="525"/>
      <c r="BD147" s="525"/>
      <c r="BG147" s="527"/>
    </row>
    <row r="151" spans="1:59" s="422" customFormat="1" ht="18" customHeight="1" x14ac:dyDescent="0.2">
      <c r="A151" s="1366">
        <f>C151</f>
        <v>13</v>
      </c>
      <c r="B151" s="742" t="s">
        <v>4187</v>
      </c>
      <c r="C151" s="556">
        <v>13</v>
      </c>
      <c r="D151" s="553" t="str">
        <f>VLOOKUP(C151,RUAS,2,FALSE)</f>
        <v>SIMP. BERINGIN - BERINGIN</v>
      </c>
      <c r="E151" s="553"/>
      <c r="F151" s="421"/>
      <c r="G151" s="611"/>
      <c r="I151" s="423"/>
      <c r="J151" s="424"/>
      <c r="K151" s="424"/>
      <c r="M151" s="680"/>
      <c r="P151" s="611"/>
      <c r="U151" s="611"/>
      <c r="W151" s="611"/>
      <c r="Y151" s="425"/>
      <c r="Z151" s="425"/>
      <c r="AA151" s="425"/>
      <c r="AB151" s="425"/>
      <c r="AC151" s="425"/>
      <c r="AD151" s="563"/>
      <c r="AE151" s="425"/>
      <c r="AF151" s="563"/>
      <c r="AG151" s="425"/>
      <c r="AH151" s="425"/>
      <c r="AI151" s="425"/>
      <c r="AJ151" s="425"/>
      <c r="AK151" s="425"/>
      <c r="AL151" s="425"/>
      <c r="AM151" s="425"/>
      <c r="AN151" s="425"/>
      <c r="AO151" s="425"/>
      <c r="AP151" s="425"/>
      <c r="AQ151" s="425"/>
      <c r="AR151" s="425"/>
      <c r="AS151" s="425"/>
      <c r="AT151" s="425"/>
      <c r="AU151" s="425"/>
      <c r="AV151" s="425"/>
      <c r="AW151" s="425"/>
      <c r="AX151" s="425"/>
      <c r="AY151" s="425"/>
      <c r="AZ151" s="425"/>
      <c r="BA151" s="425"/>
      <c r="BB151" s="425"/>
    </row>
    <row r="152" spans="1:59" s="431" customFormat="1" ht="18" customHeight="1" x14ac:dyDescent="0.2">
      <c r="A152" s="1367"/>
      <c r="B152" s="1968" t="s">
        <v>5</v>
      </c>
      <c r="C152" s="1968" t="s">
        <v>2280</v>
      </c>
      <c r="D152" s="1968" t="s">
        <v>4157</v>
      </c>
      <c r="E152" s="1968" t="s">
        <v>4158</v>
      </c>
      <c r="F152" s="1968"/>
      <c r="G152" s="1969" t="s">
        <v>4159</v>
      </c>
      <c r="H152" s="1968" t="s">
        <v>4160</v>
      </c>
      <c r="I152" s="1968"/>
      <c r="J152" s="1968" t="s">
        <v>4185</v>
      </c>
      <c r="K152" s="1964" t="s">
        <v>4162</v>
      </c>
      <c r="L152" s="1968" t="s">
        <v>4163</v>
      </c>
      <c r="M152" s="1971" t="s">
        <v>4164</v>
      </c>
      <c r="N152" s="1962" t="s">
        <v>4165</v>
      </c>
      <c r="O152" s="1968" t="s">
        <v>4166</v>
      </c>
      <c r="P152" s="1972" t="s">
        <v>4167</v>
      </c>
      <c r="Q152" s="1973"/>
      <c r="R152" s="636" t="s">
        <v>4186</v>
      </c>
      <c r="S152" s="1972" t="s">
        <v>4169</v>
      </c>
      <c r="T152" s="1974"/>
      <c r="U152" s="1973"/>
      <c r="V152" s="1975" t="s">
        <v>4170</v>
      </c>
      <c r="W152" s="1975"/>
      <c r="X152" s="1960" t="s">
        <v>4171</v>
      </c>
      <c r="Y152" s="1959"/>
      <c r="Z152" s="633"/>
      <c r="AA152" s="426"/>
      <c r="AB152" s="426"/>
      <c r="AC152" s="426"/>
      <c r="AD152" s="564"/>
      <c r="AE152" s="426"/>
      <c r="AF152" s="564"/>
      <c r="AG152" s="426"/>
      <c r="AH152" s="426"/>
      <c r="AI152" s="427"/>
      <c r="AJ152" s="427"/>
      <c r="AK152" s="427"/>
      <c r="AL152" s="427"/>
      <c r="AM152" s="428"/>
      <c r="AN152" s="427"/>
      <c r="AO152" s="427"/>
      <c r="AP152" s="426"/>
      <c r="AQ152" s="427"/>
      <c r="AR152" s="427"/>
      <c r="AS152" s="427"/>
      <c r="AT152" s="426"/>
      <c r="AU152" s="427"/>
      <c r="AV152" s="427"/>
      <c r="AW152" s="427"/>
      <c r="AX152" s="426"/>
      <c r="AY152" s="427"/>
      <c r="AZ152" s="427"/>
      <c r="BA152" s="427"/>
      <c r="BB152" s="429"/>
      <c r="BC152" s="430"/>
      <c r="BD152" s="430"/>
    </row>
    <row r="153" spans="1:59" s="431" customFormat="1" ht="18" customHeight="1" x14ac:dyDescent="0.2">
      <c r="A153" s="1367"/>
      <c r="B153" s="1968"/>
      <c r="C153" s="1968"/>
      <c r="D153" s="1968"/>
      <c r="E153" s="1968"/>
      <c r="F153" s="1968"/>
      <c r="G153" s="1969"/>
      <c r="H153" s="1968"/>
      <c r="I153" s="1968"/>
      <c r="J153" s="1968"/>
      <c r="K153" s="1970"/>
      <c r="L153" s="1968"/>
      <c r="M153" s="1971"/>
      <c r="N153" s="1963"/>
      <c r="O153" s="1968"/>
      <c r="P153" s="2037" t="s">
        <v>4172</v>
      </c>
      <c r="Q153" s="1960" t="s">
        <v>4173</v>
      </c>
      <c r="R153" s="1962" t="s">
        <v>4159</v>
      </c>
      <c r="S153" s="1962" t="s">
        <v>4174</v>
      </c>
      <c r="T153" s="1964" t="s">
        <v>4175</v>
      </c>
      <c r="U153" s="1966" t="s">
        <v>4159</v>
      </c>
      <c r="V153" s="1975"/>
      <c r="W153" s="1975"/>
      <c r="X153" s="1976"/>
      <c r="Y153" s="1959"/>
      <c r="Z153" s="633"/>
      <c r="AA153" s="426"/>
      <c r="AB153" s="426"/>
      <c r="AC153" s="426"/>
      <c r="AD153" s="564"/>
      <c r="AE153" s="426"/>
      <c r="AF153" s="564"/>
      <c r="AG153" s="426"/>
      <c r="AH153" s="426"/>
      <c r="AI153" s="427"/>
      <c r="AJ153" s="427"/>
      <c r="AK153" s="426"/>
      <c r="AL153" s="427"/>
      <c r="AM153" s="428"/>
      <c r="AN153" s="427"/>
      <c r="AO153" s="427"/>
      <c r="AP153" s="432"/>
      <c r="AQ153" s="427"/>
      <c r="AR153" s="427"/>
      <c r="AS153" s="427"/>
      <c r="AT153" s="432"/>
      <c r="AU153" s="427"/>
      <c r="AV153" s="427"/>
      <c r="AW153" s="427"/>
      <c r="AX153" s="432"/>
      <c r="AY153" s="427"/>
      <c r="AZ153" s="427"/>
      <c r="BA153" s="427"/>
      <c r="BB153" s="429"/>
      <c r="BC153" s="430"/>
      <c r="BD153" s="430"/>
    </row>
    <row r="154" spans="1:59" s="431" customFormat="1" ht="18" customHeight="1" x14ac:dyDescent="0.2">
      <c r="A154" s="1367"/>
      <c r="B154" s="1968"/>
      <c r="C154" s="1968"/>
      <c r="D154" s="1968"/>
      <c r="E154" s="433" t="s">
        <v>4176</v>
      </c>
      <c r="F154" s="434" t="s">
        <v>2288</v>
      </c>
      <c r="G154" s="1969"/>
      <c r="H154" s="635" t="s">
        <v>2288</v>
      </c>
      <c r="I154" s="635" t="s">
        <v>4177</v>
      </c>
      <c r="J154" s="1968"/>
      <c r="K154" s="1965"/>
      <c r="L154" s="435" t="s">
        <v>2288</v>
      </c>
      <c r="M154" s="681" t="s">
        <v>2288</v>
      </c>
      <c r="N154" s="635" t="s">
        <v>2288</v>
      </c>
      <c r="O154" s="1968"/>
      <c r="P154" s="2038"/>
      <c r="Q154" s="1961"/>
      <c r="R154" s="1963"/>
      <c r="S154" s="1963"/>
      <c r="T154" s="1965"/>
      <c r="U154" s="1967"/>
      <c r="V154" s="635" t="s">
        <v>4178</v>
      </c>
      <c r="W154" s="637" t="s">
        <v>4159</v>
      </c>
      <c r="X154" s="1961"/>
      <c r="Y154" s="436"/>
      <c r="Z154" s="436"/>
      <c r="AA154" s="426"/>
      <c r="AB154" s="426"/>
      <c r="AC154" s="426"/>
      <c r="AD154" s="564"/>
      <c r="AE154" s="426"/>
      <c r="AF154" s="564"/>
      <c r="AG154" s="426"/>
      <c r="AH154" s="426"/>
      <c r="AI154" s="427"/>
      <c r="AJ154" s="432"/>
      <c r="AK154" s="432"/>
      <c r="AL154" s="427"/>
      <c r="AM154" s="428"/>
      <c r="AN154" s="432"/>
      <c r="AO154" s="427"/>
      <c r="AP154" s="432"/>
      <c r="AQ154" s="432"/>
      <c r="AR154" s="427"/>
      <c r="AS154" s="427"/>
      <c r="AT154" s="432"/>
      <c r="AU154" s="432"/>
      <c r="AV154" s="427"/>
      <c r="AW154" s="427"/>
      <c r="AX154" s="432"/>
      <c r="AY154" s="432"/>
      <c r="AZ154" s="427"/>
      <c r="BA154" s="427"/>
      <c r="BB154" s="429"/>
      <c r="BC154" s="430"/>
      <c r="BD154" s="430"/>
    </row>
    <row r="155" spans="1:59" s="461" customFormat="1" ht="18" customHeight="1" x14ac:dyDescent="0.2">
      <c r="A155" s="1368" t="str">
        <f>$D$151&amp;S155</f>
        <v>SIMP. BERINGIN - BERINGIN2001</v>
      </c>
      <c r="B155" s="1373">
        <v>1</v>
      </c>
      <c r="C155" s="532" t="s">
        <v>529</v>
      </c>
      <c r="D155" s="437" t="s">
        <v>2494</v>
      </c>
      <c r="E155" s="438"/>
      <c r="F155" s="439">
        <v>2001</v>
      </c>
      <c r="G155" s="623">
        <v>288000000</v>
      </c>
      <c r="H155" s="440">
        <f>VLOOKUP(LEFT(D155,8),UE,4)</f>
        <v>10</v>
      </c>
      <c r="I155" s="441"/>
      <c r="J155" s="442">
        <f t="shared" ref="J155:J164" si="101">(F155+N155)-1</f>
        <v>2010</v>
      </c>
      <c r="K155" s="443"/>
      <c r="L155" s="440"/>
      <c r="M155" s="746">
        <f>IF(H155+L155&gt;$H155,$H155-H155,L155)</f>
        <v>0</v>
      </c>
      <c r="N155" s="444">
        <f>H155+M155</f>
        <v>10</v>
      </c>
      <c r="O155" s="442">
        <f t="shared" ref="O155:O164" si="102">(F155+N155)-1</f>
        <v>2010</v>
      </c>
      <c r="P155" s="617">
        <f>G155</f>
        <v>288000000</v>
      </c>
      <c r="Q155" s="445">
        <v>0</v>
      </c>
      <c r="R155" s="445">
        <f>P155/N155</f>
        <v>28800000</v>
      </c>
      <c r="S155" s="446">
        <f t="shared" ref="S155:S164" si="103">F155</f>
        <v>2001</v>
      </c>
      <c r="T155" s="447">
        <v>1</v>
      </c>
      <c r="U155" s="613">
        <f t="shared" ref="U155:U164" si="104">R155*T155</f>
        <v>28800000</v>
      </c>
      <c r="V155" s="442">
        <f t="shared" ref="V155:V164" si="105">F155</f>
        <v>2001</v>
      </c>
      <c r="W155" s="617">
        <f>IF(OR(AND(ISBLANK(E155),ISBLANK(G155)),ISTEXT(E155),ISTEXT(G155)),"",G155-R155)</f>
        <v>259200000</v>
      </c>
      <c r="X155" s="448"/>
      <c r="Y155" s="449"/>
      <c r="Z155" s="449"/>
      <c r="AA155" s="694"/>
      <c r="AB155" s="692"/>
      <c r="AC155" s="692"/>
      <c r="AD155" s="695"/>
      <c r="AE155" s="452"/>
      <c r="AF155" s="571"/>
      <c r="AG155" s="452"/>
      <c r="AH155" s="452"/>
      <c r="AI155" s="453"/>
      <c r="AJ155" s="449"/>
      <c r="AK155" s="453"/>
      <c r="AL155" s="454"/>
      <c r="AM155" s="455"/>
      <c r="AN155" s="456"/>
      <c r="AO155" s="455"/>
      <c r="AP155" s="452"/>
      <c r="AQ155" s="457"/>
      <c r="AR155" s="449"/>
      <c r="AS155" s="449"/>
      <c r="AT155" s="452"/>
      <c r="AU155" s="457"/>
      <c r="AV155" s="449"/>
      <c r="AW155" s="458"/>
      <c r="AX155" s="452"/>
      <c r="AY155" s="457"/>
      <c r="AZ155" s="449"/>
      <c r="BA155" s="459"/>
      <c r="BB155" s="455"/>
      <c r="BC155" s="460"/>
      <c r="BD155" s="460"/>
      <c r="BG155" s="462"/>
    </row>
    <row r="156" spans="1:59" s="486" customFormat="1" ht="18" customHeight="1" x14ac:dyDescent="0.2">
      <c r="A156" s="1368" t="str">
        <f t="shared" ref="A156:A164" si="106">$D$151&amp;S156</f>
        <v>SIMP. BERINGIN - BERINGIN2010</v>
      </c>
      <c r="B156" s="1373"/>
      <c r="C156" s="463"/>
      <c r="D156" s="572"/>
      <c r="E156" s="465"/>
      <c r="F156" s="466">
        <v>2010</v>
      </c>
      <c r="G156" s="620">
        <v>0</v>
      </c>
      <c r="H156" s="464">
        <f>IF(N155-(F156-F155)&lt;=0,0,(N155-(F156-F155)))</f>
        <v>1</v>
      </c>
      <c r="I156" s="467"/>
      <c r="J156" s="468">
        <f t="shared" si="101"/>
        <v>2010</v>
      </c>
      <c r="K156" s="490">
        <f t="shared" ref="K156:K164" si="107">IF(G156=0,0,IF(H156=10,100%,G156/W155))</f>
        <v>0</v>
      </c>
      <c r="L156" s="469">
        <f t="shared" ref="L156:L164" si="108">IF(K156=0%,0,IF(K156&lt;=30%,2,IF(K156&lt;=60%,5,10)))</f>
        <v>0</v>
      </c>
      <c r="M156" s="683">
        <f>IF(OR(AND(ISBLANK(E156),ISBLANK(G156)),ISTEXT(E156),ISTEXT(G156)),"",IF(H156+L156&gt;$H$155,$H$155-H156,L156))</f>
        <v>0</v>
      </c>
      <c r="N156" s="470">
        <f t="shared" ref="N156:N164" si="109">IF(OR(AND(ISBLANK(F156),ISBLANK(G156)),ISTEXT(F156),ISTEXT(G156)),"",H156+M156)</f>
        <v>1</v>
      </c>
      <c r="O156" s="468">
        <f t="shared" si="102"/>
        <v>2010</v>
      </c>
      <c r="P156" s="616">
        <f t="shared" ref="P156:P164" si="110">W155</f>
        <v>259200000</v>
      </c>
      <c r="Q156" s="472">
        <f t="shared" ref="Q156:Q164" si="111">P156+G156</f>
        <v>259200000</v>
      </c>
      <c r="R156" s="472">
        <f>IF(L156=0,R155,Q156/N156)</f>
        <v>28800000</v>
      </c>
      <c r="S156" s="634">
        <f t="shared" si="103"/>
        <v>2010</v>
      </c>
      <c r="T156" s="470">
        <f t="shared" ref="T156:T164" si="112">S156-S155</f>
        <v>9</v>
      </c>
      <c r="U156" s="612">
        <f t="shared" si="104"/>
        <v>259200000</v>
      </c>
      <c r="V156" s="464">
        <f t="shared" si="105"/>
        <v>2010</v>
      </c>
      <c r="W156" s="612">
        <f t="shared" ref="W156:W164" si="113">IF(OR(AND(ISBLANK(E156),ISBLANK(G156)),ISTEXT(E156),ISTEXT(G156)),"",Q156-U156)</f>
        <v>0</v>
      </c>
      <c r="X156" s="473"/>
      <c r="Y156" s="474"/>
      <c r="Z156" s="449"/>
      <c r="AA156" s="450" t="s">
        <v>4179</v>
      </c>
      <c r="AB156" s="760"/>
      <c r="AC156" s="760"/>
      <c r="AD156" s="744"/>
      <c r="AE156" s="476"/>
      <c r="AF156" s="568"/>
      <c r="AG156" s="476"/>
      <c r="AH156" s="476"/>
      <c r="AI156" s="477"/>
      <c r="AJ156" s="478"/>
      <c r="AK156" s="479"/>
      <c r="AL156" s="480"/>
      <c r="AM156" s="474"/>
      <c r="AN156" s="481"/>
      <c r="AO156" s="474"/>
      <c r="AP156" s="476"/>
      <c r="AQ156" s="482"/>
      <c r="AR156" s="478"/>
      <c r="AS156" s="478"/>
      <c r="AT156" s="476"/>
      <c r="AU156" s="482"/>
      <c r="AV156" s="478"/>
      <c r="AW156" s="483"/>
      <c r="AX156" s="476"/>
      <c r="AY156" s="482"/>
      <c r="AZ156" s="478"/>
      <c r="BA156" s="484"/>
      <c r="BB156" s="474"/>
      <c r="BC156" s="485"/>
      <c r="BD156" s="485"/>
      <c r="BG156" s="487"/>
    </row>
    <row r="157" spans="1:59" s="486" customFormat="1" ht="18" customHeight="1" x14ac:dyDescent="0.2">
      <c r="A157" s="1368" t="str">
        <f t="shared" si="106"/>
        <v>SIMP. BERINGIN - BERINGIN2013</v>
      </c>
      <c r="B157" s="1373"/>
      <c r="C157" s="463"/>
      <c r="D157" s="572"/>
      <c r="E157" s="465"/>
      <c r="F157" s="466">
        <v>2013</v>
      </c>
      <c r="G157" s="620">
        <v>0</v>
      </c>
      <c r="H157" s="464">
        <f>IF(N156-(F157-F156)&lt;=0,0,(N156-(F157-F156)))</f>
        <v>0</v>
      </c>
      <c r="I157" s="467"/>
      <c r="J157" s="468">
        <f t="shared" si="101"/>
        <v>2012</v>
      </c>
      <c r="K157" s="490">
        <f t="shared" si="107"/>
        <v>0</v>
      </c>
      <c r="L157" s="469">
        <f t="shared" si="108"/>
        <v>0</v>
      </c>
      <c r="M157" s="683">
        <f t="shared" ref="M157:M163" si="114">IF(OR(AND(ISBLANK(E157),ISBLANK(G157)),ISTEXT(E157),ISTEXT(G157)),"",IF(H157+L157&gt;$H$155,$H$155-H157,L157))</f>
        <v>0</v>
      </c>
      <c r="N157" s="470">
        <f t="shared" si="109"/>
        <v>0</v>
      </c>
      <c r="O157" s="468">
        <f t="shared" si="102"/>
        <v>2012</v>
      </c>
      <c r="P157" s="616">
        <f t="shared" si="110"/>
        <v>0</v>
      </c>
      <c r="Q157" s="472">
        <f t="shared" si="111"/>
        <v>0</v>
      </c>
      <c r="R157" s="472">
        <v>0</v>
      </c>
      <c r="S157" s="754">
        <f t="shared" si="103"/>
        <v>2013</v>
      </c>
      <c r="T157" s="470">
        <f t="shared" si="112"/>
        <v>3</v>
      </c>
      <c r="U157" s="612">
        <f t="shared" si="104"/>
        <v>0</v>
      </c>
      <c r="V157" s="464">
        <f t="shared" si="105"/>
        <v>2013</v>
      </c>
      <c r="W157" s="612">
        <f t="shared" si="113"/>
        <v>0</v>
      </c>
      <c r="X157" s="473"/>
      <c r="Y157" s="474"/>
      <c r="Z157" s="449"/>
      <c r="AA157" s="475"/>
      <c r="AB157" s="476"/>
      <c r="AC157" s="476"/>
      <c r="AD157" s="567"/>
      <c r="AE157" s="476"/>
      <c r="AF157" s="568"/>
      <c r="AG157" s="476"/>
      <c r="AH157" s="476"/>
      <c r="AI157" s="477"/>
      <c r="AJ157" s="478"/>
      <c r="AK157" s="479"/>
      <c r="AL157" s="480"/>
      <c r="AM157" s="474"/>
      <c r="AN157" s="481"/>
      <c r="AO157" s="474"/>
      <c r="AP157" s="476"/>
      <c r="AQ157" s="482"/>
      <c r="AR157" s="478"/>
      <c r="AS157" s="478"/>
      <c r="AT157" s="476"/>
      <c r="AU157" s="482"/>
      <c r="AV157" s="478"/>
      <c r="AW157" s="483"/>
      <c r="AX157" s="476"/>
      <c r="AY157" s="482"/>
      <c r="AZ157" s="478"/>
      <c r="BA157" s="484"/>
      <c r="BB157" s="474"/>
      <c r="BC157" s="485"/>
      <c r="BD157" s="485"/>
      <c r="BG157" s="487"/>
    </row>
    <row r="158" spans="1:59" s="486" customFormat="1" ht="18" customHeight="1" x14ac:dyDescent="0.2">
      <c r="A158" s="1368" t="str">
        <f t="shared" si="106"/>
        <v>SIMP. BERINGIN - BERINGIN2014</v>
      </c>
      <c r="B158" s="1373"/>
      <c r="C158" s="463"/>
      <c r="D158" s="572"/>
      <c r="E158" s="465"/>
      <c r="F158" s="466">
        <v>2014</v>
      </c>
      <c r="G158" s="620">
        <v>0</v>
      </c>
      <c r="H158" s="464">
        <f>IF(N157-(F158-F157)&lt;=0,0,(N157-(F158-F157)))</f>
        <v>0</v>
      </c>
      <c r="I158" s="467"/>
      <c r="J158" s="468">
        <f t="shared" si="101"/>
        <v>2013</v>
      </c>
      <c r="K158" s="490">
        <f t="shared" si="107"/>
        <v>0</v>
      </c>
      <c r="L158" s="469">
        <f t="shared" si="108"/>
        <v>0</v>
      </c>
      <c r="M158" s="683">
        <f t="shared" si="114"/>
        <v>0</v>
      </c>
      <c r="N158" s="470">
        <f t="shared" si="109"/>
        <v>0</v>
      </c>
      <c r="O158" s="468">
        <f t="shared" si="102"/>
        <v>2013</v>
      </c>
      <c r="P158" s="616">
        <f t="shared" si="110"/>
        <v>0</v>
      </c>
      <c r="Q158" s="472">
        <f t="shared" si="111"/>
        <v>0</v>
      </c>
      <c r="R158" s="472">
        <f t="shared" ref="R158:R164" si="115">IF(L158=0,R157,Q158/N158)</f>
        <v>0</v>
      </c>
      <c r="S158" s="754">
        <f t="shared" si="103"/>
        <v>2014</v>
      </c>
      <c r="T158" s="470">
        <f t="shared" si="112"/>
        <v>1</v>
      </c>
      <c r="U158" s="612">
        <f t="shared" si="104"/>
        <v>0</v>
      </c>
      <c r="V158" s="464">
        <f t="shared" si="105"/>
        <v>2014</v>
      </c>
      <c r="W158" s="612">
        <f t="shared" si="113"/>
        <v>0</v>
      </c>
      <c r="X158" s="473"/>
      <c r="Y158" s="474"/>
      <c r="Z158" s="449"/>
      <c r="AA158" s="475" t="s">
        <v>4180</v>
      </c>
      <c r="AB158" s="476"/>
      <c r="AC158" s="476"/>
      <c r="AD158" s="567">
        <f>G168</f>
        <v>1582534401</v>
      </c>
      <c r="AE158" s="476"/>
      <c r="AF158" s="568"/>
      <c r="AG158" s="476"/>
      <c r="AH158" s="476"/>
      <c r="AI158" s="477"/>
      <c r="AJ158" s="478"/>
      <c r="AK158" s="479"/>
      <c r="AL158" s="480"/>
      <c r="AM158" s="474"/>
      <c r="AN158" s="481"/>
      <c r="AO158" s="474"/>
      <c r="AP158" s="476"/>
      <c r="AQ158" s="482"/>
      <c r="AR158" s="478"/>
      <c r="AS158" s="478"/>
      <c r="AT158" s="476"/>
      <c r="AU158" s="482"/>
      <c r="AV158" s="478"/>
      <c r="AW158" s="483"/>
      <c r="AX158" s="476"/>
      <c r="AY158" s="482"/>
      <c r="AZ158" s="478"/>
      <c r="BA158" s="484"/>
      <c r="BB158" s="474"/>
      <c r="BC158" s="485"/>
      <c r="BD158" s="485"/>
      <c r="BG158" s="487"/>
    </row>
    <row r="159" spans="1:59" s="486" customFormat="1" ht="18" customHeight="1" x14ac:dyDescent="0.2">
      <c r="A159" s="1368" t="str">
        <f t="shared" si="106"/>
        <v>SIMP. BERINGIN - BERINGIN2015</v>
      </c>
      <c r="B159" s="1373">
        <v>2</v>
      </c>
      <c r="C159" s="463" t="s">
        <v>1429</v>
      </c>
      <c r="D159" s="572" t="s">
        <v>2494</v>
      </c>
      <c r="E159" s="465"/>
      <c r="F159" s="466">
        <v>2015</v>
      </c>
      <c r="G159" s="620">
        <f>192010205+194535396</f>
        <v>386545601</v>
      </c>
      <c r="H159" s="557">
        <f>VLOOKUP(LEFT(D159,8),UE,4)</f>
        <v>10</v>
      </c>
      <c r="I159" s="467"/>
      <c r="J159" s="468">
        <f t="shared" si="101"/>
        <v>2024</v>
      </c>
      <c r="K159" s="490">
        <f t="shared" si="107"/>
        <v>1</v>
      </c>
      <c r="L159" s="469">
        <f t="shared" si="108"/>
        <v>10</v>
      </c>
      <c r="M159" s="683">
        <f t="shared" si="114"/>
        <v>0</v>
      </c>
      <c r="N159" s="470">
        <f t="shared" si="109"/>
        <v>10</v>
      </c>
      <c r="O159" s="468">
        <f t="shared" si="102"/>
        <v>2024</v>
      </c>
      <c r="P159" s="616">
        <f t="shared" si="110"/>
        <v>0</v>
      </c>
      <c r="Q159" s="472">
        <f t="shared" si="111"/>
        <v>386545601</v>
      </c>
      <c r="R159" s="472">
        <f t="shared" si="115"/>
        <v>38654560.100000001</v>
      </c>
      <c r="S159" s="1189">
        <f t="shared" si="103"/>
        <v>2015</v>
      </c>
      <c r="T159" s="470">
        <f t="shared" si="112"/>
        <v>1</v>
      </c>
      <c r="U159" s="612">
        <f t="shared" si="104"/>
        <v>38654560.100000001</v>
      </c>
      <c r="V159" s="464">
        <f t="shared" si="105"/>
        <v>2015</v>
      </c>
      <c r="W159" s="612">
        <f t="shared" si="113"/>
        <v>347891040.89999998</v>
      </c>
      <c r="X159" s="473"/>
      <c r="Y159" s="478"/>
      <c r="Z159" s="449"/>
      <c r="AA159" s="475" t="s">
        <v>4181</v>
      </c>
      <c r="AB159" s="491"/>
      <c r="AC159" s="491"/>
      <c r="AD159" s="567">
        <f>U168</f>
        <v>730476704.44000006</v>
      </c>
      <c r="AE159" s="491"/>
      <c r="AF159" s="568"/>
      <c r="AG159" s="491"/>
      <c r="AH159" s="491"/>
      <c r="AI159" s="477"/>
      <c r="AJ159" s="478"/>
      <c r="AK159" s="479"/>
      <c r="AL159" s="480"/>
      <c r="AM159" s="474"/>
      <c r="AN159" s="481"/>
      <c r="AO159" s="474"/>
      <c r="AP159" s="476"/>
      <c r="AQ159" s="482"/>
      <c r="AR159" s="478"/>
      <c r="AS159" s="478"/>
      <c r="AT159" s="476"/>
      <c r="AU159" s="482"/>
      <c r="AV159" s="478"/>
      <c r="AW159" s="483"/>
      <c r="AX159" s="476"/>
      <c r="AY159" s="482"/>
      <c r="AZ159" s="478"/>
      <c r="BA159" s="484"/>
      <c r="BB159" s="474"/>
      <c r="BC159" s="485"/>
      <c r="BD159" s="485"/>
      <c r="BG159" s="487"/>
    </row>
    <row r="160" spans="1:59" s="486" customFormat="1" ht="18" customHeight="1" x14ac:dyDescent="0.2">
      <c r="A160" s="1368" t="str">
        <f t="shared" si="106"/>
        <v>SIMP. BERINGIN - BERINGIN2015</v>
      </c>
      <c r="B160" s="1373">
        <v>3</v>
      </c>
      <c r="C160" s="463" t="s">
        <v>1415</v>
      </c>
      <c r="D160" s="572"/>
      <c r="E160" s="465"/>
      <c r="F160" s="466">
        <v>2015</v>
      </c>
      <c r="G160" s="620">
        <v>0</v>
      </c>
      <c r="H160" s="464">
        <f>IF(N159-(F160-F159)&lt;=0,0,(N159-(F160-F159)))</f>
        <v>10</v>
      </c>
      <c r="I160" s="467"/>
      <c r="J160" s="468">
        <f t="shared" si="101"/>
        <v>2024</v>
      </c>
      <c r="K160" s="490">
        <f t="shared" si="107"/>
        <v>0</v>
      </c>
      <c r="L160" s="469">
        <f t="shared" si="108"/>
        <v>0</v>
      </c>
      <c r="M160" s="683">
        <f t="shared" si="114"/>
        <v>0</v>
      </c>
      <c r="N160" s="470">
        <f t="shared" si="109"/>
        <v>10</v>
      </c>
      <c r="O160" s="468">
        <f t="shared" si="102"/>
        <v>2024</v>
      </c>
      <c r="P160" s="616">
        <f t="shared" si="110"/>
        <v>347891040.89999998</v>
      </c>
      <c r="Q160" s="472">
        <f t="shared" si="111"/>
        <v>347891040.89999998</v>
      </c>
      <c r="R160" s="472">
        <f t="shared" si="115"/>
        <v>38654560.100000001</v>
      </c>
      <c r="S160" s="1189">
        <f t="shared" si="103"/>
        <v>2015</v>
      </c>
      <c r="T160" s="470">
        <f t="shared" si="112"/>
        <v>0</v>
      </c>
      <c r="U160" s="612">
        <f t="shared" si="104"/>
        <v>0</v>
      </c>
      <c r="V160" s="464">
        <f t="shared" si="105"/>
        <v>2015</v>
      </c>
      <c r="W160" s="612">
        <f t="shared" si="113"/>
        <v>347891040.89999998</v>
      </c>
      <c r="X160" s="473"/>
      <c r="Y160" s="478"/>
      <c r="Z160" s="449"/>
      <c r="AA160" s="475"/>
      <c r="AB160" s="491"/>
      <c r="AC160" s="491"/>
      <c r="AD160" s="567"/>
      <c r="AE160" s="491"/>
      <c r="AF160" s="568"/>
      <c r="AG160" s="491"/>
      <c r="AH160" s="491"/>
      <c r="AI160" s="477"/>
      <c r="AJ160" s="478"/>
      <c r="AK160" s="479"/>
      <c r="AL160" s="480"/>
      <c r="AM160" s="474"/>
      <c r="AN160" s="481"/>
      <c r="AO160" s="474"/>
      <c r="AP160" s="476"/>
      <c r="AQ160" s="482"/>
      <c r="AR160" s="478"/>
      <c r="AS160" s="478"/>
      <c r="AT160" s="476"/>
      <c r="AU160" s="482"/>
      <c r="AV160" s="478"/>
      <c r="AW160" s="483"/>
      <c r="AX160" s="476"/>
      <c r="AY160" s="482"/>
      <c r="AZ160" s="478"/>
      <c r="BA160" s="484"/>
      <c r="BB160" s="474"/>
      <c r="BC160" s="485"/>
      <c r="BD160" s="485"/>
      <c r="BG160" s="487"/>
    </row>
    <row r="161" spans="1:59" s="486" customFormat="1" ht="18" customHeight="1" x14ac:dyDescent="0.2">
      <c r="A161" s="1368" t="str">
        <f t="shared" si="106"/>
        <v>SIMP. BERINGIN - BERINGIN2016</v>
      </c>
      <c r="B161" s="1373"/>
      <c r="C161" s="463"/>
      <c r="D161" s="572"/>
      <c r="E161" s="465"/>
      <c r="F161" s="466">
        <v>2016</v>
      </c>
      <c r="G161" s="620">
        <v>0</v>
      </c>
      <c r="H161" s="464">
        <f>IF(N160-(F161-F160)&lt;=0,0,(N160-(F161-F160)))</f>
        <v>9</v>
      </c>
      <c r="I161" s="467"/>
      <c r="J161" s="468">
        <f t="shared" si="101"/>
        <v>2024</v>
      </c>
      <c r="K161" s="490">
        <f t="shared" si="107"/>
        <v>0</v>
      </c>
      <c r="L161" s="469">
        <f t="shared" si="108"/>
        <v>0</v>
      </c>
      <c r="M161" s="683">
        <f t="shared" si="114"/>
        <v>0</v>
      </c>
      <c r="N161" s="470">
        <f t="shared" si="109"/>
        <v>9</v>
      </c>
      <c r="O161" s="468">
        <f t="shared" si="102"/>
        <v>2024</v>
      </c>
      <c r="P161" s="616">
        <f t="shared" si="110"/>
        <v>347891040.89999998</v>
      </c>
      <c r="Q161" s="472">
        <f t="shared" si="111"/>
        <v>347891040.89999998</v>
      </c>
      <c r="R161" s="472">
        <f t="shared" si="115"/>
        <v>38654560.100000001</v>
      </c>
      <c r="S161" s="1189">
        <f t="shared" si="103"/>
        <v>2016</v>
      </c>
      <c r="T161" s="470">
        <f t="shared" si="112"/>
        <v>1</v>
      </c>
      <c r="U161" s="612">
        <f t="shared" si="104"/>
        <v>38654560.100000001</v>
      </c>
      <c r="V161" s="464">
        <f t="shared" si="105"/>
        <v>2016</v>
      </c>
      <c r="W161" s="612">
        <f t="shared" si="113"/>
        <v>309236480.79999995</v>
      </c>
      <c r="X161" s="473"/>
      <c r="Y161" s="478"/>
      <c r="Z161" s="449"/>
      <c r="AA161" s="475"/>
      <c r="AB161" s="491"/>
      <c r="AC161" s="491"/>
      <c r="AD161" s="567"/>
      <c r="AE161" s="491"/>
      <c r="AF161" s="568"/>
      <c r="AG161" s="491"/>
      <c r="AH161" s="491"/>
      <c r="AI161" s="477"/>
      <c r="AJ161" s="478"/>
      <c r="AK161" s="479"/>
      <c r="AL161" s="480"/>
      <c r="AM161" s="474"/>
      <c r="AN161" s="481"/>
      <c r="AO161" s="474"/>
      <c r="AP161" s="476"/>
      <c r="AQ161" s="482"/>
      <c r="AR161" s="478"/>
      <c r="AS161" s="478"/>
      <c r="AT161" s="476"/>
      <c r="AU161" s="482"/>
      <c r="AV161" s="478"/>
      <c r="AW161" s="483"/>
      <c r="AX161" s="476"/>
      <c r="AY161" s="482"/>
      <c r="AZ161" s="478"/>
      <c r="BA161" s="484"/>
      <c r="BB161" s="474"/>
      <c r="BC161" s="485"/>
      <c r="BD161" s="485"/>
      <c r="BG161" s="487"/>
    </row>
    <row r="162" spans="1:59" s="486" customFormat="1" ht="18" customHeight="1" x14ac:dyDescent="0.2">
      <c r="A162" s="1368" t="str">
        <f t="shared" si="106"/>
        <v>SIMP. BERINGIN - BERINGIN2017</v>
      </c>
      <c r="B162" s="1373">
        <v>4</v>
      </c>
      <c r="C162" s="488" t="s">
        <v>3058</v>
      </c>
      <c r="D162" s="489" t="s">
        <v>2494</v>
      </c>
      <c r="E162" s="465"/>
      <c r="F162" s="466">
        <v>2017</v>
      </c>
      <c r="G162" s="620">
        <v>907988800</v>
      </c>
      <c r="H162" s="464">
        <f>IF(N161-(F162-F161)&lt;=0,0,(N161-(F162-F161)))</f>
        <v>8</v>
      </c>
      <c r="I162" s="467"/>
      <c r="J162" s="468">
        <f t="shared" si="101"/>
        <v>2026</v>
      </c>
      <c r="K162" s="490">
        <f t="shared" si="107"/>
        <v>2.9362279561939708</v>
      </c>
      <c r="L162" s="469">
        <f t="shared" si="108"/>
        <v>10</v>
      </c>
      <c r="M162" s="683">
        <f t="shared" si="114"/>
        <v>2</v>
      </c>
      <c r="N162" s="470">
        <f t="shared" si="109"/>
        <v>10</v>
      </c>
      <c r="O162" s="468">
        <f t="shared" si="102"/>
        <v>2026</v>
      </c>
      <c r="P162" s="616">
        <f t="shared" si="110"/>
        <v>309236480.79999995</v>
      </c>
      <c r="Q162" s="472">
        <f t="shared" si="111"/>
        <v>1217225280.8</v>
      </c>
      <c r="R162" s="472">
        <f t="shared" si="115"/>
        <v>121722528.08</v>
      </c>
      <c r="S162" s="1189">
        <f t="shared" si="103"/>
        <v>2017</v>
      </c>
      <c r="T162" s="470">
        <f t="shared" si="112"/>
        <v>1</v>
      </c>
      <c r="U162" s="612">
        <f t="shared" si="104"/>
        <v>121722528.08</v>
      </c>
      <c r="V162" s="464">
        <f t="shared" si="105"/>
        <v>2017</v>
      </c>
      <c r="W162" s="612">
        <f t="shared" si="113"/>
        <v>1095502752.72</v>
      </c>
      <c r="X162" s="473"/>
      <c r="Y162" s="478"/>
      <c r="Z162" s="449"/>
      <c r="AA162" s="492" t="s">
        <v>4182</v>
      </c>
      <c r="AB162" s="476"/>
      <c r="AC162" s="476"/>
      <c r="AD162" s="567">
        <f>AD158-AD159</f>
        <v>852057696.55999994</v>
      </c>
      <c r="AE162" s="476"/>
      <c r="AF162" s="568"/>
      <c r="AG162" s="476"/>
      <c r="AH162" s="476"/>
      <c r="AI162" s="477"/>
      <c r="AJ162" s="478"/>
      <c r="AK162" s="479"/>
      <c r="AL162" s="480"/>
      <c r="AM162" s="474"/>
      <c r="AN162" s="481"/>
      <c r="AO162" s="474"/>
      <c r="AP162" s="476"/>
      <c r="AQ162" s="482"/>
      <c r="AR162" s="478"/>
      <c r="AS162" s="478"/>
      <c r="AT162" s="476"/>
      <c r="AU162" s="482"/>
      <c r="AV162" s="478"/>
      <c r="AW162" s="483"/>
      <c r="AX162" s="476"/>
      <c r="AY162" s="482"/>
      <c r="AZ162" s="478"/>
      <c r="BA162" s="484"/>
      <c r="BB162" s="474"/>
      <c r="BC162" s="485"/>
      <c r="BD162" s="485"/>
      <c r="BG162" s="487"/>
    </row>
    <row r="163" spans="1:59" s="486" customFormat="1" ht="18" customHeight="1" x14ac:dyDescent="0.2">
      <c r="A163" s="1368" t="str">
        <f t="shared" si="106"/>
        <v>SIMP. BERINGIN - BERINGIN2018</v>
      </c>
      <c r="B163" s="687"/>
      <c r="C163" s="463"/>
      <c r="D163" s="464"/>
      <c r="E163" s="465"/>
      <c r="F163" s="466">
        <f>F162+1</f>
        <v>2018</v>
      </c>
      <c r="G163" s="620">
        <v>0</v>
      </c>
      <c r="H163" s="464">
        <f>IF(N162-(F163-F162)&lt;=0,0,(N162-(F163-F162)))</f>
        <v>9</v>
      </c>
      <c r="I163" s="467"/>
      <c r="J163" s="468">
        <f t="shared" si="101"/>
        <v>2026</v>
      </c>
      <c r="K163" s="490">
        <f t="shared" si="107"/>
        <v>0</v>
      </c>
      <c r="L163" s="469">
        <f t="shared" si="108"/>
        <v>0</v>
      </c>
      <c r="M163" s="683">
        <f t="shared" si="114"/>
        <v>0</v>
      </c>
      <c r="N163" s="470">
        <f t="shared" si="109"/>
        <v>9</v>
      </c>
      <c r="O163" s="468">
        <f t="shared" si="102"/>
        <v>2026</v>
      </c>
      <c r="P163" s="616">
        <f t="shared" si="110"/>
        <v>1095502752.72</v>
      </c>
      <c r="Q163" s="472">
        <f t="shared" si="111"/>
        <v>1095502752.72</v>
      </c>
      <c r="R163" s="472">
        <f t="shared" si="115"/>
        <v>121722528.08</v>
      </c>
      <c r="S163" s="1189">
        <f t="shared" si="103"/>
        <v>2018</v>
      </c>
      <c r="T163" s="470">
        <f t="shared" si="112"/>
        <v>1</v>
      </c>
      <c r="U163" s="612">
        <f t="shared" si="104"/>
        <v>121722528.08</v>
      </c>
      <c r="V163" s="464">
        <f t="shared" si="105"/>
        <v>2018</v>
      </c>
      <c r="W163" s="612">
        <f t="shared" si="113"/>
        <v>973780224.63999999</v>
      </c>
      <c r="X163" s="473"/>
      <c r="Y163" s="478"/>
      <c r="Z163" s="449"/>
      <c r="AA163" s="531" t="s">
        <v>4183</v>
      </c>
      <c r="AB163" s="496"/>
      <c r="AC163" s="496"/>
      <c r="AD163" s="569">
        <f>AD162-W168</f>
        <v>0</v>
      </c>
      <c r="AE163" s="476"/>
      <c r="AF163" s="568"/>
      <c r="AG163" s="476"/>
      <c r="AH163" s="476"/>
      <c r="AI163" s="477"/>
      <c r="AJ163" s="478"/>
      <c r="AK163" s="479"/>
      <c r="AL163" s="480"/>
      <c r="AM163" s="474"/>
      <c r="AN163" s="481"/>
      <c r="AO163" s="474"/>
      <c r="AP163" s="476"/>
      <c r="AQ163" s="482"/>
      <c r="AR163" s="478"/>
      <c r="AS163" s="478"/>
      <c r="AT163" s="476"/>
      <c r="AU163" s="482"/>
      <c r="AV163" s="478"/>
      <c r="AW163" s="483"/>
      <c r="AX163" s="476"/>
      <c r="AY163" s="482"/>
      <c r="AZ163" s="478"/>
      <c r="BA163" s="484"/>
      <c r="BB163" s="474"/>
      <c r="BC163" s="485"/>
      <c r="BD163" s="485"/>
      <c r="BG163" s="487"/>
    </row>
    <row r="164" spans="1:59" s="486" customFormat="1" ht="18" customHeight="1" x14ac:dyDescent="0.2">
      <c r="A164" s="1368" t="str">
        <f t="shared" si="106"/>
        <v>SIMP. BERINGIN - BERINGIN2019</v>
      </c>
      <c r="B164" s="687"/>
      <c r="C164" s="494" t="s">
        <v>383</v>
      </c>
      <c r="D164" s="494" t="s">
        <v>383</v>
      </c>
      <c r="E164" s="465"/>
      <c r="F164" s="466">
        <v>2019</v>
      </c>
      <c r="G164" s="620">
        <v>0</v>
      </c>
      <c r="H164" s="464">
        <f>IF(N163-(F164-F163)&lt;=0,0,(N163-(F164-F163)))</f>
        <v>8</v>
      </c>
      <c r="I164" s="467"/>
      <c r="J164" s="468">
        <f t="shared" si="101"/>
        <v>2026</v>
      </c>
      <c r="K164" s="490">
        <f t="shared" si="107"/>
        <v>0</v>
      </c>
      <c r="L164" s="469">
        <f t="shared" si="108"/>
        <v>0</v>
      </c>
      <c r="M164" s="683">
        <f>IF(OR(AND(ISBLANK(E164),ISBLANK(G164)),ISTEXT(E164),ISTEXT(G164)),"",IF(H164+L164&gt;$H$155,$H$155-H164,L164))</f>
        <v>0</v>
      </c>
      <c r="N164" s="470">
        <f t="shared" si="109"/>
        <v>8</v>
      </c>
      <c r="O164" s="468">
        <f t="shared" si="102"/>
        <v>2026</v>
      </c>
      <c r="P164" s="616">
        <f t="shared" si="110"/>
        <v>973780224.63999999</v>
      </c>
      <c r="Q164" s="472">
        <f t="shared" si="111"/>
        <v>973780224.63999999</v>
      </c>
      <c r="R164" s="472">
        <f t="shared" si="115"/>
        <v>121722528.08</v>
      </c>
      <c r="S164" s="1189">
        <f t="shared" si="103"/>
        <v>2019</v>
      </c>
      <c r="T164" s="470">
        <f t="shared" si="112"/>
        <v>1</v>
      </c>
      <c r="U164" s="612">
        <f t="shared" si="104"/>
        <v>121722528.08</v>
      </c>
      <c r="V164" s="464">
        <f t="shared" si="105"/>
        <v>2019</v>
      </c>
      <c r="W164" s="612">
        <f t="shared" si="113"/>
        <v>852057696.55999994</v>
      </c>
      <c r="X164" s="473"/>
      <c r="Y164" s="478"/>
      <c r="Z164" s="449"/>
      <c r="AA164" s="497"/>
      <c r="AB164" s="476"/>
      <c r="AC164" s="476"/>
      <c r="AD164" s="568"/>
      <c r="AE164" s="476"/>
      <c r="AF164" s="568"/>
      <c r="AG164" s="476"/>
      <c r="AH164" s="476"/>
      <c r="AI164" s="477"/>
      <c r="AJ164" s="478"/>
      <c r="AK164" s="479"/>
      <c r="AL164" s="480"/>
      <c r="AM164" s="474"/>
      <c r="AN164" s="481"/>
      <c r="AO164" s="474"/>
      <c r="AP164" s="476"/>
      <c r="AQ164" s="482"/>
      <c r="AR164" s="478"/>
      <c r="AS164" s="478"/>
      <c r="AT164" s="476"/>
      <c r="AU164" s="482"/>
      <c r="AV164" s="478"/>
      <c r="AW164" s="483"/>
      <c r="AX164" s="476"/>
      <c r="AY164" s="482"/>
      <c r="AZ164" s="478"/>
      <c r="BA164" s="484"/>
      <c r="BB164" s="474"/>
      <c r="BC164" s="485"/>
      <c r="BD164" s="485"/>
      <c r="BG164" s="487"/>
    </row>
    <row r="165" spans="1:59" s="486" customFormat="1" ht="18" customHeight="1" x14ac:dyDescent="0.2">
      <c r="A165" s="1369"/>
      <c r="B165" s="687"/>
      <c r="C165" s="463"/>
      <c r="D165" s="464"/>
      <c r="E165" s="465"/>
      <c r="F165" s="466"/>
      <c r="G165" s="620"/>
      <c r="H165" s="464"/>
      <c r="I165" s="467"/>
      <c r="J165" s="468"/>
      <c r="K165" s="490"/>
      <c r="L165" s="469"/>
      <c r="M165" s="683"/>
      <c r="N165" s="470"/>
      <c r="O165" s="468"/>
      <c r="P165" s="616"/>
      <c r="Q165" s="472"/>
      <c r="R165" s="472"/>
      <c r="S165" s="634"/>
      <c r="T165" s="470"/>
      <c r="U165" s="612"/>
      <c r="V165" s="464"/>
      <c r="W165" s="612"/>
      <c r="X165" s="473"/>
      <c r="Y165" s="497"/>
      <c r="Z165" s="449"/>
      <c r="AA165" s="497"/>
      <c r="AB165" s="476"/>
      <c r="AC165" s="497"/>
      <c r="AD165" s="568"/>
      <c r="AE165" s="476"/>
      <c r="AF165" s="568"/>
      <c r="AG165" s="476"/>
      <c r="AH165" s="476"/>
      <c r="AI165" s="477"/>
      <c r="AJ165" s="478"/>
      <c r="AK165" s="479"/>
      <c r="AL165" s="480"/>
      <c r="AM165" s="474"/>
      <c r="AN165" s="481"/>
      <c r="AO165" s="474"/>
      <c r="AP165" s="476"/>
      <c r="AQ165" s="482"/>
      <c r="AR165" s="478"/>
      <c r="AS165" s="478"/>
      <c r="AT165" s="476"/>
      <c r="AU165" s="482"/>
      <c r="AV165" s="478"/>
      <c r="AW165" s="483"/>
      <c r="AX165" s="476"/>
      <c r="AY165" s="482"/>
      <c r="AZ165" s="478"/>
      <c r="BA165" s="484"/>
      <c r="BB165" s="474"/>
      <c r="BC165" s="485"/>
      <c r="BD165" s="485"/>
      <c r="BG165" s="487"/>
    </row>
    <row r="166" spans="1:59" s="486" customFormat="1" ht="18" customHeight="1" x14ac:dyDescent="0.2">
      <c r="A166" s="1369"/>
      <c r="B166" s="687"/>
      <c r="C166" s="463"/>
      <c r="D166" s="464"/>
      <c r="E166" s="465"/>
      <c r="F166" s="466"/>
      <c r="G166" s="620"/>
      <c r="H166" s="464"/>
      <c r="I166" s="467"/>
      <c r="J166" s="468"/>
      <c r="K166" s="490"/>
      <c r="L166" s="469"/>
      <c r="M166" s="683"/>
      <c r="N166" s="470"/>
      <c r="O166" s="468"/>
      <c r="P166" s="616"/>
      <c r="Q166" s="472"/>
      <c r="R166" s="472"/>
      <c r="S166" s="634"/>
      <c r="T166" s="470"/>
      <c r="U166" s="612"/>
      <c r="V166" s="464"/>
      <c r="W166" s="612"/>
      <c r="X166" s="473"/>
      <c r="Y166" s="497"/>
      <c r="Z166" s="449"/>
      <c r="AA166" s="497"/>
      <c r="AB166" s="476"/>
      <c r="AC166" s="497"/>
      <c r="AD166" s="568"/>
      <c r="AE166" s="476"/>
      <c r="AF166" s="568"/>
      <c r="AG166" s="476"/>
      <c r="AH166" s="476"/>
      <c r="AI166" s="477"/>
      <c r="AJ166" s="478"/>
      <c r="AK166" s="479"/>
      <c r="AL166" s="480"/>
      <c r="AM166" s="474"/>
      <c r="AN166" s="481"/>
      <c r="AO166" s="474"/>
      <c r="AP166" s="476"/>
      <c r="AQ166" s="482"/>
      <c r="AR166" s="478"/>
      <c r="AS166" s="478"/>
      <c r="AT166" s="476"/>
      <c r="AU166" s="482"/>
      <c r="AV166" s="478"/>
      <c r="AW166" s="483"/>
      <c r="AX166" s="476"/>
      <c r="AY166" s="482"/>
      <c r="AZ166" s="478"/>
      <c r="BA166" s="484"/>
      <c r="BB166" s="474"/>
      <c r="BC166" s="485"/>
      <c r="BD166" s="485"/>
      <c r="BG166" s="487"/>
    </row>
    <row r="167" spans="1:59" s="486" customFormat="1" ht="18" customHeight="1" x14ac:dyDescent="0.2">
      <c r="A167" s="1369"/>
      <c r="B167" s="687"/>
      <c r="C167" s="463"/>
      <c r="D167" s="464"/>
      <c r="E167" s="465"/>
      <c r="F167" s="634"/>
      <c r="G167" s="620"/>
      <c r="H167" s="469" t="str">
        <f>IF(OR(AND(ISBLANK(E167),ISBLANK(G167)),ISTEXT(E167),ISTEXT(G167)),"",IF(#REF!-(YEAR(E167)-YEAR(#REF!))&lt;0,0,#REF!-(YEAR(E167)-YEAR(#REF!))))</f>
        <v/>
      </c>
      <c r="I167" s="467" t="str">
        <f>IF(OR(AND(ISBLANK(E167),ISBLANK(G167)),ISTEXT(E167),ISTEXT(G167)),"",IF(#REF!-E167&lt;0,0,#REF!-E167))</f>
        <v/>
      </c>
      <c r="J167" s="498" t="str">
        <f>IF(OR(AND(ISBLANK(E167),ISBLANK(G167)),ISTEXT(E167),ISTEXT(G167)),"",#REF!)</f>
        <v/>
      </c>
      <c r="K167" s="498"/>
      <c r="L167" s="469" t="str">
        <f>IF(OR(AND(ISBLANK(E167),ISBLANK(G167)),ISTEXT(E167),ISTEXT(G167)),"",ROUNDDOWN(G167/SUM($G$57:G165)*$H$57,0))</f>
        <v/>
      </c>
      <c r="M167" s="683" t="str">
        <f>IF(OR(AND(ISBLANK(E167),ISBLANK(G167)),ISTEXT(E167),ISTEXT(G167)),"",IF(H167+L167&gt;$H$57,$H$57-H167,L167))</f>
        <v/>
      </c>
      <c r="N167" s="470" t="str">
        <f>IF(OR(AND(ISBLANK(E167),ISBLANK(G167)),ISTEXT(E167),ISTEXT(G167)),"",H167+M167)</f>
        <v/>
      </c>
      <c r="O167" s="498" t="str">
        <f>IF(OR(AND(ISBLANK(E167),ISBLANK(G167)),ISTEXT(E167),ISTEXT(G167)),"",DATE(YEAR($J167)+M167,MONTH($J167),DAY($J167)))</f>
        <v/>
      </c>
      <c r="P167" s="748" t="str">
        <f>IF(OR(AND(ISBLANK(E167),ISBLANK(G167)),ISTEXT(E167),ISTEXT(G167)),"",#REF!-#REF!*(IF(J167&lt;E167,J167,E167)-#REF!))</f>
        <v/>
      </c>
      <c r="Q167" s="500" t="str">
        <f>IF(OR(AND(ISBLANK(E167),ISBLANK(G167)),ISTEXT(E167),ISTEXT(G167)),"",P167+G167)</f>
        <v/>
      </c>
      <c r="R167" s="501" t="str">
        <f>IF(OR(AND(ISBLANK(E167),ISBLANK(G167)),ISTEXT(E167),ISTEXT(G167)),"",IF(OR(E167&lt;DATE(2004,12,31),#REF!=0),0,Q167/#REF!))</f>
        <v/>
      </c>
      <c r="S167" s="502" t="str">
        <f>IF(OR(AND(ISBLANK(E167),ISBLANK(G167)),ISTEXT(E167),ISTEXT(G167)),"",IF(YEAR(E167)&lt;=YEAR(#REF!),"-",YEAR(E167)-1))</f>
        <v/>
      </c>
      <c r="T167" s="502"/>
      <c r="U167" s="612" t="str">
        <f>IF(OR(AND(ISBLANK(E167),ISBLANK(G167)),ISTEXT(E167),ISTEXT(G167)),"",IF(AND(J167&lt;=DATE(2004,12,31),E167&gt;J167),SUM($G167:G167),#REF!+#REF!+#REF!*IF(YEAR(E167)&lt;=YEAR(#REF!),0,(IF(DATE(YEAR(E167)-1,12,31)&gt;J167,J167,DATE(YEAR(E167)-1,12,31))-#REF!))))</f>
        <v/>
      </c>
      <c r="V167" s="503" t="str">
        <f>IF(OR(AND(ISBLANK(E167),ISBLANK(G167)),ISTEXT(E167),ISTEXT(G167)),"",IF(YEAR(E167)=YEAR(E168),E168,DATE(YEAR(E167),12,31)))</f>
        <v/>
      </c>
      <c r="W167" s="612" t="str">
        <f>IF(OR(AND(ISBLANK(E167),ISBLANK(G167)),ISTEXT(E167),ISTEXT(G167)),"",IF(Q167=0,0,IF(AND(J167&lt;=DATE(2004,12,31),E167&gt;=J167),Q167-U167,Q167-#REF!)))</f>
        <v/>
      </c>
      <c r="X167" s="504" t="str">
        <f>IF(OR(AND(ISBLANK(E167),ISBLANK(G167)),ISTEXT(E167),ISTEXT(G167)),"",$D$57&amp;"//"&amp;TEXT($E$57,"dd-mmm-yyyy")&amp;"//"&amp;#REF!)</f>
        <v/>
      </c>
      <c r="Y167" s="476"/>
      <c r="Z167" s="476"/>
      <c r="AA167" s="476"/>
      <c r="AB167" s="476"/>
      <c r="AC167" s="476"/>
      <c r="AD167" s="568"/>
      <c r="AE167" s="476"/>
      <c r="AF167" s="568"/>
      <c r="AG167" s="476"/>
      <c r="AH167" s="476"/>
      <c r="AI167" s="477"/>
      <c r="AJ167" s="478"/>
      <c r="AK167" s="479"/>
      <c r="AL167" s="480"/>
      <c r="AM167" s="474"/>
      <c r="AN167" s="481"/>
      <c r="AO167" s="474"/>
      <c r="AP167" s="476"/>
      <c r="AQ167" s="482"/>
      <c r="AR167" s="478"/>
      <c r="AS167" s="478"/>
      <c r="AT167" s="476"/>
      <c r="AU167" s="482"/>
      <c r="AV167" s="478"/>
      <c r="AW167" s="483"/>
      <c r="AX167" s="476"/>
      <c r="AY167" s="482"/>
      <c r="AZ167" s="478"/>
      <c r="BA167" s="484"/>
      <c r="BB167" s="474"/>
      <c r="BC167" s="485"/>
      <c r="BD167" s="485"/>
      <c r="BG167" s="487"/>
    </row>
    <row r="168" spans="1:59" s="526" customFormat="1" ht="18" customHeight="1" x14ac:dyDescent="0.2">
      <c r="A168" s="1370" t="s">
        <v>4184</v>
      </c>
      <c r="B168" s="1956" t="s">
        <v>4184</v>
      </c>
      <c r="C168" s="1957"/>
      <c r="D168" s="1957"/>
      <c r="E168" s="1957"/>
      <c r="F168" s="1958"/>
      <c r="G168" s="624">
        <f>SUM(G155:G167)</f>
        <v>1582534401</v>
      </c>
      <c r="H168" s="505"/>
      <c r="I168" s="506"/>
      <c r="J168" s="507"/>
      <c r="K168" s="507"/>
      <c r="L168" s="505"/>
      <c r="M168" s="684"/>
      <c r="N168" s="508"/>
      <c r="O168" s="507"/>
      <c r="P168" s="749"/>
      <c r="Q168" s="510"/>
      <c r="R168" s="511"/>
      <c r="S168" s="512"/>
      <c r="T168" s="512"/>
      <c r="U168" s="610">
        <f>SUM(U155:U167)</f>
        <v>730476704.44000006</v>
      </c>
      <c r="V168" s="513"/>
      <c r="W168" s="610">
        <f>G168-U168</f>
        <v>852057696.55999994</v>
      </c>
      <c r="X168" s="514"/>
      <c r="Y168" s="515"/>
      <c r="Z168" s="515"/>
      <c r="AA168" s="515"/>
      <c r="AB168" s="515"/>
      <c r="AC168" s="515"/>
      <c r="AD168" s="570"/>
      <c r="AE168" s="515"/>
      <c r="AF168" s="570">
        <v>685203273.25</v>
      </c>
      <c r="AG168" s="515"/>
      <c r="AH168" s="515"/>
      <c r="AI168" s="516"/>
      <c r="AJ168" s="517"/>
      <c r="AK168" s="518"/>
      <c r="AL168" s="519"/>
      <c r="AM168" s="520"/>
      <c r="AN168" s="521"/>
      <c r="AO168" s="520"/>
      <c r="AP168" s="515"/>
      <c r="AQ168" s="522"/>
      <c r="AR168" s="517"/>
      <c r="AS168" s="517"/>
      <c r="AT168" s="515"/>
      <c r="AU168" s="522"/>
      <c r="AV168" s="517"/>
      <c r="AW168" s="523"/>
      <c r="AX168" s="515"/>
      <c r="AY168" s="522"/>
      <c r="AZ168" s="517"/>
      <c r="BA168" s="524"/>
      <c r="BB168" s="520"/>
      <c r="BC168" s="525"/>
      <c r="BD168" s="525"/>
      <c r="BG168" s="527"/>
    </row>
    <row r="171" spans="1:59" s="422" customFormat="1" ht="18" customHeight="1" x14ac:dyDescent="0.2">
      <c r="A171" s="1366">
        <f>C171</f>
        <v>15</v>
      </c>
      <c r="B171" s="742" t="s">
        <v>4187</v>
      </c>
      <c r="C171" s="556">
        <v>15</v>
      </c>
      <c r="D171" s="553" t="str">
        <f>VLOOKUP(C171,RUAS,2,FALSE)</f>
        <v>SIMP. CAMBAI - MUNSALO</v>
      </c>
      <c r="E171" s="553"/>
      <c r="F171" s="421"/>
      <c r="G171" s="611"/>
      <c r="I171" s="423"/>
      <c r="J171" s="424"/>
      <c r="K171" s="424"/>
      <c r="M171" s="680"/>
      <c r="P171" s="611"/>
      <c r="U171" s="611"/>
      <c r="W171" s="611"/>
      <c r="Y171" s="425"/>
      <c r="Z171" s="425"/>
      <c r="AA171" s="425"/>
      <c r="AB171" s="425"/>
      <c r="AC171" s="425"/>
      <c r="AD171" s="563"/>
      <c r="AE171" s="425"/>
      <c r="AF171" s="563"/>
      <c r="AG171" s="425"/>
      <c r="AH171" s="425"/>
      <c r="AI171" s="425"/>
      <c r="AJ171" s="425"/>
      <c r="AK171" s="425"/>
      <c r="AL171" s="425"/>
      <c r="AM171" s="425"/>
      <c r="AN171" s="425"/>
      <c r="AO171" s="425"/>
      <c r="AP171" s="425"/>
      <c r="AQ171" s="425"/>
      <c r="AR171" s="425"/>
      <c r="AS171" s="425"/>
      <c r="AT171" s="425"/>
      <c r="AU171" s="425"/>
      <c r="AV171" s="425"/>
      <c r="AW171" s="425"/>
      <c r="AX171" s="425"/>
      <c r="AY171" s="425"/>
      <c r="AZ171" s="425"/>
      <c r="BA171" s="425"/>
      <c r="BB171" s="425"/>
    </row>
    <row r="172" spans="1:59" s="431" customFormat="1" ht="18" customHeight="1" x14ac:dyDescent="0.2">
      <c r="A172" s="1367"/>
      <c r="B172" s="1968" t="s">
        <v>5</v>
      </c>
      <c r="C172" s="1968" t="s">
        <v>2280</v>
      </c>
      <c r="D172" s="1968" t="s">
        <v>4157</v>
      </c>
      <c r="E172" s="1968" t="s">
        <v>4158</v>
      </c>
      <c r="F172" s="1968"/>
      <c r="G172" s="1969" t="s">
        <v>4159</v>
      </c>
      <c r="H172" s="1968" t="s">
        <v>4160</v>
      </c>
      <c r="I172" s="1968"/>
      <c r="J172" s="1968" t="s">
        <v>4185</v>
      </c>
      <c r="K172" s="1964" t="s">
        <v>4162</v>
      </c>
      <c r="L172" s="1968" t="s">
        <v>4163</v>
      </c>
      <c r="M172" s="1971" t="s">
        <v>4164</v>
      </c>
      <c r="N172" s="1962" t="s">
        <v>4165</v>
      </c>
      <c r="O172" s="1968" t="s">
        <v>4166</v>
      </c>
      <c r="P172" s="1972" t="s">
        <v>4167</v>
      </c>
      <c r="Q172" s="1973"/>
      <c r="R172" s="1250" t="s">
        <v>4186</v>
      </c>
      <c r="S172" s="1972" t="s">
        <v>4169</v>
      </c>
      <c r="T172" s="1974"/>
      <c r="U172" s="1973"/>
      <c r="V172" s="1975" t="s">
        <v>4170</v>
      </c>
      <c r="W172" s="1975"/>
      <c r="X172" s="1960" t="s">
        <v>4171</v>
      </c>
      <c r="Y172" s="1959"/>
      <c r="Z172" s="1246"/>
      <c r="AA172" s="426"/>
      <c r="AB172" s="426"/>
      <c r="AC172" s="426"/>
      <c r="AD172" s="564"/>
      <c r="AE172" s="426"/>
      <c r="AF172" s="564"/>
      <c r="AG172" s="426"/>
      <c r="AH172" s="426"/>
      <c r="AI172" s="427"/>
      <c r="AJ172" s="427"/>
      <c r="AK172" s="427"/>
      <c r="AL172" s="427"/>
      <c r="AM172" s="428"/>
      <c r="AN172" s="427"/>
      <c r="AO172" s="427"/>
      <c r="AP172" s="426"/>
      <c r="AQ172" s="427"/>
      <c r="AR172" s="427"/>
      <c r="AS172" s="427"/>
      <c r="AT172" s="426"/>
      <c r="AU172" s="427"/>
      <c r="AV172" s="427"/>
      <c r="AW172" s="427"/>
      <c r="AX172" s="426"/>
      <c r="AY172" s="427"/>
      <c r="AZ172" s="427"/>
      <c r="BA172" s="427"/>
      <c r="BB172" s="429"/>
      <c r="BC172" s="430"/>
      <c r="BD172" s="430"/>
    </row>
    <row r="173" spans="1:59" s="431" customFormat="1" ht="18" customHeight="1" x14ac:dyDescent="0.2">
      <c r="A173" s="1367"/>
      <c r="B173" s="1968"/>
      <c r="C173" s="1968"/>
      <c r="D173" s="1968"/>
      <c r="E173" s="1968"/>
      <c r="F173" s="1968"/>
      <c r="G173" s="1969"/>
      <c r="H173" s="1968"/>
      <c r="I173" s="1968"/>
      <c r="J173" s="1968"/>
      <c r="K173" s="1970"/>
      <c r="L173" s="1968"/>
      <c r="M173" s="1971"/>
      <c r="N173" s="1963"/>
      <c r="O173" s="1968"/>
      <c r="P173" s="2037" t="s">
        <v>4172</v>
      </c>
      <c r="Q173" s="1960" t="s">
        <v>4173</v>
      </c>
      <c r="R173" s="1962" t="s">
        <v>4159</v>
      </c>
      <c r="S173" s="1962" t="s">
        <v>4174</v>
      </c>
      <c r="T173" s="1964" t="s">
        <v>4175</v>
      </c>
      <c r="U173" s="1966" t="s">
        <v>4159</v>
      </c>
      <c r="V173" s="1975"/>
      <c r="W173" s="1975"/>
      <c r="X173" s="1976"/>
      <c r="Y173" s="1959"/>
      <c r="Z173" s="1246"/>
      <c r="AA173" s="426"/>
      <c r="AB173" s="426"/>
      <c r="AC173" s="426"/>
      <c r="AD173" s="564"/>
      <c r="AE173" s="426"/>
      <c r="AF173" s="564"/>
      <c r="AG173" s="426"/>
      <c r="AH173" s="426"/>
      <c r="AI173" s="427"/>
      <c r="AJ173" s="427"/>
      <c r="AK173" s="426"/>
      <c r="AL173" s="427"/>
      <c r="AM173" s="428"/>
      <c r="AN173" s="427"/>
      <c r="AO173" s="427"/>
      <c r="AP173" s="432"/>
      <c r="AQ173" s="427"/>
      <c r="AR173" s="427"/>
      <c r="AS173" s="427"/>
      <c r="AT173" s="432"/>
      <c r="AU173" s="427"/>
      <c r="AV173" s="427"/>
      <c r="AW173" s="427"/>
      <c r="AX173" s="432"/>
      <c r="AY173" s="427"/>
      <c r="AZ173" s="427"/>
      <c r="BA173" s="427"/>
      <c r="BB173" s="429"/>
      <c r="BC173" s="430"/>
      <c r="BD173" s="430"/>
    </row>
    <row r="174" spans="1:59" s="431" customFormat="1" ht="18" customHeight="1" x14ac:dyDescent="0.2">
      <c r="A174" s="1367"/>
      <c r="B174" s="1968"/>
      <c r="C174" s="1968"/>
      <c r="D174" s="1968"/>
      <c r="E174" s="433" t="s">
        <v>4176</v>
      </c>
      <c r="F174" s="434" t="s">
        <v>2288</v>
      </c>
      <c r="G174" s="1969"/>
      <c r="H174" s="1247" t="s">
        <v>2288</v>
      </c>
      <c r="I174" s="1247" t="s">
        <v>4177</v>
      </c>
      <c r="J174" s="1968"/>
      <c r="K174" s="1965"/>
      <c r="L174" s="435" t="s">
        <v>2288</v>
      </c>
      <c r="M174" s="681" t="s">
        <v>2288</v>
      </c>
      <c r="N174" s="1247" t="s">
        <v>2288</v>
      </c>
      <c r="O174" s="1968"/>
      <c r="P174" s="2038"/>
      <c r="Q174" s="1961"/>
      <c r="R174" s="1963"/>
      <c r="S174" s="1963"/>
      <c r="T174" s="1965"/>
      <c r="U174" s="1967"/>
      <c r="V174" s="1247" t="s">
        <v>4178</v>
      </c>
      <c r="W174" s="1248" t="s">
        <v>4159</v>
      </c>
      <c r="X174" s="1961"/>
      <c r="Y174" s="436"/>
      <c r="Z174" s="436"/>
      <c r="AA174" s="426"/>
      <c r="AB174" s="426"/>
      <c r="AC174" s="426"/>
      <c r="AD174" s="564"/>
      <c r="AE174" s="426"/>
      <c r="AF174" s="564"/>
      <c r="AG174" s="426"/>
      <c r="AH174" s="426"/>
      <c r="AI174" s="427"/>
      <c r="AJ174" s="432"/>
      <c r="AK174" s="432"/>
      <c r="AL174" s="427"/>
      <c r="AM174" s="428"/>
      <c r="AN174" s="432"/>
      <c r="AO174" s="427"/>
      <c r="AP174" s="432"/>
      <c r="AQ174" s="432"/>
      <c r="AR174" s="427"/>
      <c r="AS174" s="427"/>
      <c r="AT174" s="432"/>
      <c r="AU174" s="432"/>
      <c r="AV174" s="427"/>
      <c r="AW174" s="427"/>
      <c r="AX174" s="432"/>
      <c r="AY174" s="432"/>
      <c r="AZ174" s="427"/>
      <c r="BA174" s="427"/>
      <c r="BB174" s="429"/>
      <c r="BC174" s="430"/>
      <c r="BD174" s="430"/>
    </row>
    <row r="175" spans="1:59" s="461" customFormat="1" ht="18" customHeight="1" x14ac:dyDescent="0.2">
      <c r="A175" s="1368" t="str">
        <f>$D$171&amp;S175</f>
        <v>SIMP. CAMBAI - MUNSALO2001</v>
      </c>
      <c r="B175" s="1373">
        <v>1</v>
      </c>
      <c r="C175" s="532" t="s">
        <v>529</v>
      </c>
      <c r="D175" s="437" t="s">
        <v>2494</v>
      </c>
      <c r="E175" s="438"/>
      <c r="F175" s="439">
        <v>2001</v>
      </c>
      <c r="G175" s="623">
        <v>900000000</v>
      </c>
      <c r="H175" s="440">
        <f>VLOOKUP(LEFT(D175,8),UE,4)</f>
        <v>10</v>
      </c>
      <c r="I175" s="441"/>
      <c r="J175" s="442">
        <f>(F175+N175)-1</f>
        <v>2010</v>
      </c>
      <c r="K175" s="443"/>
      <c r="L175" s="440"/>
      <c r="M175" s="746">
        <f>IF(H175+L175&gt;$H175,$H175-H175,L175)</f>
        <v>0</v>
      </c>
      <c r="N175" s="444">
        <f>H175+M175</f>
        <v>10</v>
      </c>
      <c r="O175" s="442">
        <f>(F175+N175)-1</f>
        <v>2010</v>
      </c>
      <c r="P175" s="617">
        <f>G175</f>
        <v>900000000</v>
      </c>
      <c r="Q175" s="445">
        <v>0</v>
      </c>
      <c r="R175" s="445">
        <f>P175/N175</f>
        <v>90000000</v>
      </c>
      <c r="S175" s="446">
        <f>F175</f>
        <v>2001</v>
      </c>
      <c r="T175" s="447">
        <v>1</v>
      </c>
      <c r="U175" s="613">
        <f>R175*T175</f>
        <v>90000000</v>
      </c>
      <c r="V175" s="442">
        <f>F175</f>
        <v>2001</v>
      </c>
      <c r="W175" s="617">
        <f>IF(OR(AND(ISBLANK(E175),ISBLANK(G175)),ISTEXT(E175),ISTEXT(G175)),"",G175-R175)</f>
        <v>810000000</v>
      </c>
      <c r="X175" s="448"/>
      <c r="Y175" s="449"/>
      <c r="Z175" s="449"/>
      <c r="AA175" s="694"/>
      <c r="AB175" s="692"/>
      <c r="AC175" s="692"/>
      <c r="AD175" s="695"/>
      <c r="AE175" s="452"/>
      <c r="AF175" s="571"/>
      <c r="AG175" s="452"/>
      <c r="AH175" s="452"/>
      <c r="AI175" s="453"/>
      <c r="AJ175" s="449"/>
      <c r="AK175" s="453"/>
      <c r="AL175" s="454"/>
      <c r="AM175" s="455"/>
      <c r="AN175" s="456"/>
      <c r="AO175" s="455"/>
      <c r="AP175" s="452"/>
      <c r="AQ175" s="457"/>
      <c r="AR175" s="449"/>
      <c r="AS175" s="449"/>
      <c r="AT175" s="452"/>
      <c r="AU175" s="457"/>
      <c r="AV175" s="449"/>
      <c r="AW175" s="458"/>
      <c r="AX175" s="452"/>
      <c r="AY175" s="457"/>
      <c r="AZ175" s="449"/>
      <c r="BA175" s="459"/>
      <c r="BB175" s="455"/>
      <c r="BC175" s="460"/>
      <c r="BD175" s="460"/>
      <c r="BG175" s="462"/>
    </row>
    <row r="176" spans="1:59" s="486" customFormat="1" ht="18" customHeight="1" x14ac:dyDescent="0.2">
      <c r="A176" s="1368" t="str">
        <f t="shared" ref="A176:A186" si="116">$D$171&amp;S176</f>
        <v>SIMP. CAMBAI - MUNSALO2007</v>
      </c>
      <c r="B176" s="1373"/>
      <c r="C176" s="463"/>
      <c r="D176" s="572"/>
      <c r="E176" s="465"/>
      <c r="F176" s="466">
        <v>2007</v>
      </c>
      <c r="G176" s="620">
        <v>0</v>
      </c>
      <c r="H176" s="464">
        <f>IF(N175-(F176-F175)&lt;=0,0,(N175-(F176-F175)))</f>
        <v>4</v>
      </c>
      <c r="I176" s="467"/>
      <c r="J176" s="468">
        <f>(F176+N176)-1</f>
        <v>2010</v>
      </c>
      <c r="K176" s="490">
        <f>IF(G176=0,0,IF(H176=10,100%,G176/W175))</f>
        <v>0</v>
      </c>
      <c r="L176" s="469">
        <f>IF(K176=0%,0,IF(K176&lt;=30%,2,IF(K176&lt;=60%,5,10)))</f>
        <v>0</v>
      </c>
      <c r="M176" s="683">
        <f>IF(OR(AND(ISBLANK(E176),ISBLANK(G176)),ISTEXT(E176),ISTEXT(G176)),"",IF(H176+L176&gt;$H$175,$H$175-H176,L176))</f>
        <v>0</v>
      </c>
      <c r="N176" s="470">
        <f>IF(OR(AND(ISBLANK(F176),ISBLANK(G176)),ISTEXT(F176),ISTEXT(G176)),"",H176+M176)</f>
        <v>4</v>
      </c>
      <c r="O176" s="468">
        <f>(F176+N176)-1</f>
        <v>2010</v>
      </c>
      <c r="P176" s="616">
        <f>W175</f>
        <v>810000000</v>
      </c>
      <c r="Q176" s="472">
        <f>P176+G176</f>
        <v>810000000</v>
      </c>
      <c r="R176" s="472">
        <f>IF(L176=0,R175,Q176/N176)</f>
        <v>90000000</v>
      </c>
      <c r="S176" s="1189">
        <f>F176</f>
        <v>2007</v>
      </c>
      <c r="T176" s="470">
        <f>S176-S175</f>
        <v>6</v>
      </c>
      <c r="U176" s="612">
        <f>R176*T176</f>
        <v>540000000</v>
      </c>
      <c r="V176" s="464">
        <f>F176</f>
        <v>2007</v>
      </c>
      <c r="W176" s="612">
        <f>IF(OR(AND(ISBLANK(E176),ISBLANK(G176)),ISTEXT(E176),ISTEXT(G176)),"",Q176-U176)</f>
        <v>270000000</v>
      </c>
      <c r="X176" s="473"/>
      <c r="Y176" s="474"/>
      <c r="Z176" s="449"/>
      <c r="AA176" s="450" t="s">
        <v>4179</v>
      </c>
      <c r="AB176" s="760"/>
      <c r="AC176" s="760"/>
      <c r="AD176" s="744"/>
      <c r="AE176" s="476"/>
      <c r="AF176" s="568"/>
      <c r="AG176" s="476"/>
      <c r="AH176" s="476"/>
      <c r="AI176" s="477"/>
      <c r="AJ176" s="478"/>
      <c r="AK176" s="479"/>
      <c r="AL176" s="480"/>
      <c r="AM176" s="474"/>
      <c r="AN176" s="481"/>
      <c r="AO176" s="474"/>
      <c r="AP176" s="476"/>
      <c r="AQ176" s="482"/>
      <c r="AR176" s="478"/>
      <c r="AS176" s="478"/>
      <c r="AT176" s="476"/>
      <c r="AU176" s="482"/>
      <c r="AV176" s="478"/>
      <c r="AW176" s="483"/>
      <c r="AX176" s="476"/>
      <c r="AY176" s="482"/>
      <c r="AZ176" s="478"/>
      <c r="BA176" s="484"/>
      <c r="BB176" s="474"/>
      <c r="BC176" s="485"/>
      <c r="BD176" s="485"/>
      <c r="BG176" s="487"/>
    </row>
    <row r="177" spans="1:59" s="486" customFormat="1" ht="18" customHeight="1" x14ac:dyDescent="0.2">
      <c r="A177" s="1368" t="str">
        <f t="shared" si="116"/>
        <v>SIMP. CAMBAI - MUNSALO2008</v>
      </c>
      <c r="B177" s="1373"/>
      <c r="C177" s="493"/>
      <c r="D177" s="572"/>
      <c r="E177" s="465"/>
      <c r="F177" s="466">
        <v>2008</v>
      </c>
      <c r="G177" s="620">
        <v>0</v>
      </c>
      <c r="H177" s="464">
        <f t="shared" ref="H177:H186" si="117">IF(N176-(F177-F176)&lt;=0,0,(N176-(F177-F176)))</f>
        <v>3</v>
      </c>
      <c r="I177" s="467"/>
      <c r="J177" s="468">
        <f t="shared" ref="J177:J186" si="118">(F177+N177)-1</f>
        <v>2010</v>
      </c>
      <c r="K177" s="490">
        <f t="shared" ref="K177:K186" si="119">IF(G177=0,0,IF(H177=10,100%,G177/W176))</f>
        <v>0</v>
      </c>
      <c r="L177" s="469">
        <f t="shared" ref="L177:L186" si="120">IF(K177=0%,0,IF(K177&lt;=30%,2,IF(K177&lt;=60%,5,10)))</f>
        <v>0</v>
      </c>
      <c r="M177" s="683">
        <f t="shared" ref="M177:M187" si="121">IF(OR(AND(ISBLANK(E177),ISBLANK(G177)),ISTEXT(E177),ISTEXT(G177)),"",IF(H177+L177&gt;$H$175,$H$175-H177,L177))</f>
        <v>0</v>
      </c>
      <c r="N177" s="470">
        <f t="shared" ref="N177:N186" si="122">IF(OR(AND(ISBLANK(F177),ISBLANK(G177)),ISTEXT(F177),ISTEXT(G177)),"",H177+M177)</f>
        <v>3</v>
      </c>
      <c r="O177" s="468">
        <f t="shared" ref="O177:O186" si="123">(F177+N177)-1</f>
        <v>2010</v>
      </c>
      <c r="P177" s="616">
        <f t="shared" ref="P177:P186" si="124">W176</f>
        <v>270000000</v>
      </c>
      <c r="Q177" s="472">
        <f t="shared" ref="Q177:Q186" si="125">P177+G177</f>
        <v>270000000</v>
      </c>
      <c r="R177" s="472">
        <f t="shared" ref="R177:R186" si="126">IF(L177=0,R176,Q177/N177)</f>
        <v>90000000</v>
      </c>
      <c r="S177" s="1189">
        <f t="shared" ref="S177:S186" si="127">F177</f>
        <v>2008</v>
      </c>
      <c r="T177" s="470">
        <f t="shared" ref="T177:T186" si="128">S177-S176</f>
        <v>1</v>
      </c>
      <c r="U177" s="612">
        <f t="shared" ref="U177:U186" si="129">R177*T177</f>
        <v>90000000</v>
      </c>
      <c r="V177" s="464">
        <f t="shared" ref="V177:V186" si="130">F177</f>
        <v>2008</v>
      </c>
      <c r="W177" s="612">
        <f t="shared" ref="W177:W186" si="131">IF(OR(AND(ISBLANK(E177),ISBLANK(G177)),ISTEXT(E177),ISTEXT(G177)),"",Q177-U177)</f>
        <v>180000000</v>
      </c>
      <c r="X177" s="473"/>
      <c r="Y177" s="474"/>
      <c r="Z177" s="449"/>
      <c r="AA177" s="475"/>
      <c r="AB177" s="476"/>
      <c r="AC177" s="476"/>
      <c r="AD177" s="567"/>
      <c r="AE177" s="476"/>
      <c r="AF177" s="568"/>
      <c r="AG177" s="476"/>
      <c r="AH177" s="476"/>
      <c r="AI177" s="477"/>
      <c r="AJ177" s="478"/>
      <c r="AK177" s="479"/>
      <c r="AL177" s="480"/>
      <c r="AM177" s="474"/>
      <c r="AN177" s="481"/>
      <c r="AO177" s="474"/>
      <c r="AP177" s="476"/>
      <c r="AQ177" s="482"/>
      <c r="AR177" s="478"/>
      <c r="AS177" s="478"/>
      <c r="AT177" s="476"/>
      <c r="AU177" s="482"/>
      <c r="AV177" s="478"/>
      <c r="AW177" s="483"/>
      <c r="AX177" s="476"/>
      <c r="AY177" s="482"/>
      <c r="AZ177" s="478"/>
      <c r="BA177" s="484"/>
      <c r="BB177" s="474"/>
      <c r="BC177" s="485"/>
      <c r="BD177" s="485"/>
      <c r="BG177" s="487"/>
    </row>
    <row r="178" spans="1:59" s="486" customFormat="1" ht="18" customHeight="1" x14ac:dyDescent="0.2">
      <c r="A178" s="1368" t="str">
        <f t="shared" si="116"/>
        <v>SIMP. CAMBAI - MUNSALO2009</v>
      </c>
      <c r="B178" s="1373">
        <v>2</v>
      </c>
      <c r="C178" s="493" t="s">
        <v>5093</v>
      </c>
      <c r="D178" s="572"/>
      <c r="E178" s="465"/>
      <c r="F178" s="466">
        <v>2009</v>
      </c>
      <c r="G178" s="620">
        <v>1070365302.7795529</v>
      </c>
      <c r="H178" s="464">
        <f t="shared" si="117"/>
        <v>2</v>
      </c>
      <c r="I178" s="467"/>
      <c r="J178" s="468">
        <f t="shared" si="118"/>
        <v>2018</v>
      </c>
      <c r="K178" s="490">
        <f t="shared" si="119"/>
        <v>5.9464739043308494</v>
      </c>
      <c r="L178" s="469">
        <f t="shared" si="120"/>
        <v>10</v>
      </c>
      <c r="M178" s="683">
        <f t="shared" si="121"/>
        <v>8</v>
      </c>
      <c r="N178" s="470">
        <f t="shared" si="122"/>
        <v>10</v>
      </c>
      <c r="O178" s="468">
        <f t="shared" si="123"/>
        <v>2018</v>
      </c>
      <c r="P178" s="616">
        <f t="shared" si="124"/>
        <v>180000000</v>
      </c>
      <c r="Q178" s="472">
        <f t="shared" si="125"/>
        <v>1250365302.7795529</v>
      </c>
      <c r="R178" s="472">
        <f t="shared" si="126"/>
        <v>125036530.27795529</v>
      </c>
      <c r="S178" s="1189">
        <f t="shared" si="127"/>
        <v>2009</v>
      </c>
      <c r="T178" s="470">
        <f t="shared" si="128"/>
        <v>1</v>
      </c>
      <c r="U178" s="612">
        <f t="shared" si="129"/>
        <v>125036530.27795529</v>
      </c>
      <c r="V178" s="464">
        <f t="shared" si="130"/>
        <v>2009</v>
      </c>
      <c r="W178" s="612">
        <f t="shared" si="131"/>
        <v>1125328772.5015976</v>
      </c>
      <c r="X178" s="473"/>
      <c r="Y178" s="474"/>
      <c r="Z178" s="449"/>
      <c r="AA178" s="475" t="s">
        <v>4180</v>
      </c>
      <c r="AB178" s="476"/>
      <c r="AC178" s="476"/>
      <c r="AD178" s="567">
        <f>G189</f>
        <v>1970365302.7795529</v>
      </c>
      <c r="AE178" s="476"/>
      <c r="AF178" s="568"/>
      <c r="AG178" s="476"/>
      <c r="AH178" s="476"/>
      <c r="AI178" s="477"/>
      <c r="AJ178" s="478"/>
      <c r="AK178" s="479"/>
      <c r="AL178" s="480"/>
      <c r="AM178" s="474"/>
      <c r="AN178" s="481"/>
      <c r="AO178" s="474"/>
      <c r="AP178" s="476"/>
      <c r="AQ178" s="482"/>
      <c r="AR178" s="478"/>
      <c r="AS178" s="478"/>
      <c r="AT178" s="476"/>
      <c r="AU178" s="482"/>
      <c r="AV178" s="478"/>
      <c r="AW178" s="483"/>
      <c r="AX178" s="476"/>
      <c r="AY178" s="482"/>
      <c r="AZ178" s="478"/>
      <c r="BA178" s="484"/>
      <c r="BB178" s="474"/>
      <c r="BC178" s="485"/>
      <c r="BD178" s="485"/>
      <c r="BG178" s="487"/>
    </row>
    <row r="179" spans="1:59" s="486" customFormat="1" ht="18" customHeight="1" x14ac:dyDescent="0.2">
      <c r="A179" s="1368" t="str">
        <f t="shared" si="116"/>
        <v>SIMP. CAMBAI - MUNSALO2011</v>
      </c>
      <c r="B179" s="1373"/>
      <c r="C179" s="463"/>
      <c r="D179" s="572"/>
      <c r="E179" s="465"/>
      <c r="F179" s="466">
        <v>2011</v>
      </c>
      <c r="G179" s="620">
        <v>0</v>
      </c>
      <c r="H179" s="464">
        <f t="shared" si="117"/>
        <v>8</v>
      </c>
      <c r="I179" s="467"/>
      <c r="J179" s="468">
        <f t="shared" si="118"/>
        <v>2018</v>
      </c>
      <c r="K179" s="490">
        <f t="shared" si="119"/>
        <v>0</v>
      </c>
      <c r="L179" s="469">
        <f t="shared" si="120"/>
        <v>0</v>
      </c>
      <c r="M179" s="683">
        <f t="shared" si="121"/>
        <v>0</v>
      </c>
      <c r="N179" s="470">
        <f t="shared" si="122"/>
        <v>8</v>
      </c>
      <c r="O179" s="468">
        <f t="shared" si="123"/>
        <v>2018</v>
      </c>
      <c r="P179" s="616">
        <f t="shared" si="124"/>
        <v>1125328772.5015976</v>
      </c>
      <c r="Q179" s="472">
        <f t="shared" si="125"/>
        <v>1125328772.5015976</v>
      </c>
      <c r="R179" s="472">
        <f t="shared" si="126"/>
        <v>125036530.27795529</v>
      </c>
      <c r="S179" s="1189">
        <f t="shared" si="127"/>
        <v>2011</v>
      </c>
      <c r="T179" s="470">
        <f t="shared" si="128"/>
        <v>2</v>
      </c>
      <c r="U179" s="612">
        <f t="shared" si="129"/>
        <v>250073060.55591059</v>
      </c>
      <c r="V179" s="464">
        <f t="shared" si="130"/>
        <v>2011</v>
      </c>
      <c r="W179" s="612">
        <f t="shared" si="131"/>
        <v>875255711.94568706</v>
      </c>
      <c r="X179" s="473"/>
      <c r="Y179" s="478"/>
      <c r="Z179" s="449"/>
      <c r="AA179" s="475" t="s">
        <v>4181</v>
      </c>
      <c r="AB179" s="491"/>
      <c r="AC179" s="491"/>
      <c r="AD179" s="567">
        <f>U189</f>
        <v>1970365302.7795529</v>
      </c>
      <c r="AE179" s="491"/>
      <c r="AF179" s="568"/>
      <c r="AG179" s="491"/>
      <c r="AH179" s="491"/>
      <c r="AI179" s="477"/>
      <c r="AJ179" s="478"/>
      <c r="AK179" s="479"/>
      <c r="AL179" s="480"/>
      <c r="AM179" s="474"/>
      <c r="AN179" s="481"/>
      <c r="AO179" s="474"/>
      <c r="AP179" s="476"/>
      <c r="AQ179" s="482"/>
      <c r="AR179" s="478"/>
      <c r="AS179" s="478"/>
      <c r="AT179" s="476"/>
      <c r="AU179" s="482"/>
      <c r="AV179" s="478"/>
      <c r="AW179" s="483"/>
      <c r="AX179" s="476"/>
      <c r="AY179" s="482"/>
      <c r="AZ179" s="478"/>
      <c r="BA179" s="484"/>
      <c r="BB179" s="474"/>
      <c r="BC179" s="485"/>
      <c r="BD179" s="485"/>
      <c r="BG179" s="487"/>
    </row>
    <row r="180" spans="1:59" s="486" customFormat="1" ht="18" customHeight="1" x14ac:dyDescent="0.2">
      <c r="A180" s="1368" t="str">
        <f t="shared" si="116"/>
        <v>SIMP. CAMBAI - MUNSALO2012</v>
      </c>
      <c r="B180" s="1373"/>
      <c r="C180" s="463"/>
      <c r="D180" s="572"/>
      <c r="E180" s="465"/>
      <c r="F180" s="466">
        <v>2012</v>
      </c>
      <c r="G180" s="620">
        <v>0</v>
      </c>
      <c r="H180" s="464">
        <f t="shared" si="117"/>
        <v>7</v>
      </c>
      <c r="I180" s="467"/>
      <c r="J180" s="468">
        <f t="shared" si="118"/>
        <v>2018</v>
      </c>
      <c r="K180" s="490">
        <f t="shared" si="119"/>
        <v>0</v>
      </c>
      <c r="L180" s="469">
        <f t="shared" si="120"/>
        <v>0</v>
      </c>
      <c r="M180" s="683">
        <f t="shared" si="121"/>
        <v>0</v>
      </c>
      <c r="N180" s="470">
        <f t="shared" si="122"/>
        <v>7</v>
      </c>
      <c r="O180" s="468">
        <f t="shared" si="123"/>
        <v>2018</v>
      </c>
      <c r="P180" s="616">
        <f t="shared" si="124"/>
        <v>875255711.94568706</v>
      </c>
      <c r="Q180" s="472">
        <f t="shared" si="125"/>
        <v>875255711.94568706</v>
      </c>
      <c r="R180" s="472">
        <f t="shared" si="126"/>
        <v>125036530.27795529</v>
      </c>
      <c r="S180" s="1189">
        <f t="shared" si="127"/>
        <v>2012</v>
      </c>
      <c r="T180" s="470">
        <f t="shared" si="128"/>
        <v>1</v>
      </c>
      <c r="U180" s="612">
        <f t="shared" si="129"/>
        <v>125036530.27795529</v>
      </c>
      <c r="V180" s="464">
        <f t="shared" si="130"/>
        <v>2012</v>
      </c>
      <c r="W180" s="612">
        <f t="shared" si="131"/>
        <v>750219181.66773176</v>
      </c>
      <c r="X180" s="473"/>
      <c r="Y180" s="478"/>
      <c r="Z180" s="449"/>
      <c r="AA180" s="475"/>
      <c r="AB180" s="491"/>
      <c r="AC180" s="491"/>
      <c r="AD180" s="567"/>
      <c r="AE180" s="491"/>
      <c r="AF180" s="568"/>
      <c r="AG180" s="491"/>
      <c r="AH180" s="491"/>
      <c r="AI180" s="477"/>
      <c r="AJ180" s="478"/>
      <c r="AK180" s="479"/>
      <c r="AL180" s="480"/>
      <c r="AM180" s="474"/>
      <c r="AN180" s="481"/>
      <c r="AO180" s="474"/>
      <c r="AP180" s="476"/>
      <c r="AQ180" s="482"/>
      <c r="AR180" s="478"/>
      <c r="AS180" s="478"/>
      <c r="AT180" s="476"/>
      <c r="AU180" s="482"/>
      <c r="AV180" s="478"/>
      <c r="AW180" s="483"/>
      <c r="AX180" s="476"/>
      <c r="AY180" s="482"/>
      <c r="AZ180" s="478"/>
      <c r="BA180" s="484"/>
      <c r="BB180" s="474"/>
      <c r="BC180" s="485"/>
      <c r="BD180" s="485"/>
      <c r="BG180" s="487"/>
    </row>
    <row r="181" spans="1:59" s="486" customFormat="1" ht="18" customHeight="1" x14ac:dyDescent="0.2">
      <c r="A181" s="1368" t="str">
        <f t="shared" si="116"/>
        <v>SIMP. CAMBAI - MUNSALO2013</v>
      </c>
      <c r="B181" s="1373"/>
      <c r="C181" s="463"/>
      <c r="D181" s="572"/>
      <c r="E181" s="465"/>
      <c r="F181" s="466">
        <v>2013</v>
      </c>
      <c r="G181" s="620">
        <v>0</v>
      </c>
      <c r="H181" s="464">
        <f t="shared" si="117"/>
        <v>6</v>
      </c>
      <c r="I181" s="467"/>
      <c r="J181" s="468">
        <f t="shared" si="118"/>
        <v>2018</v>
      </c>
      <c r="K181" s="490">
        <f t="shared" si="119"/>
        <v>0</v>
      </c>
      <c r="L181" s="469">
        <f t="shared" si="120"/>
        <v>0</v>
      </c>
      <c r="M181" s="683">
        <f t="shared" si="121"/>
        <v>0</v>
      </c>
      <c r="N181" s="470">
        <f t="shared" si="122"/>
        <v>6</v>
      </c>
      <c r="O181" s="468">
        <f t="shared" si="123"/>
        <v>2018</v>
      </c>
      <c r="P181" s="616">
        <f t="shared" si="124"/>
        <v>750219181.66773176</v>
      </c>
      <c r="Q181" s="472">
        <f t="shared" si="125"/>
        <v>750219181.66773176</v>
      </c>
      <c r="R181" s="472">
        <f t="shared" si="126"/>
        <v>125036530.27795529</v>
      </c>
      <c r="S181" s="1189">
        <f t="shared" si="127"/>
        <v>2013</v>
      </c>
      <c r="T181" s="470">
        <f t="shared" si="128"/>
        <v>1</v>
      </c>
      <c r="U181" s="612">
        <f t="shared" si="129"/>
        <v>125036530.27795529</v>
      </c>
      <c r="V181" s="464">
        <f t="shared" si="130"/>
        <v>2013</v>
      </c>
      <c r="W181" s="612">
        <f t="shared" si="131"/>
        <v>625182651.38977647</v>
      </c>
      <c r="X181" s="473"/>
      <c r="Y181" s="478"/>
      <c r="Z181" s="449"/>
      <c r="AA181" s="475"/>
      <c r="AB181" s="491"/>
      <c r="AC181" s="491"/>
      <c r="AD181" s="567"/>
      <c r="AE181" s="491"/>
      <c r="AF181" s="568"/>
      <c r="AG181" s="491"/>
      <c r="AH181" s="491"/>
      <c r="AI181" s="477"/>
      <c r="AJ181" s="478"/>
      <c r="AK181" s="479"/>
      <c r="AL181" s="480"/>
      <c r="AM181" s="474"/>
      <c r="AN181" s="481"/>
      <c r="AO181" s="474"/>
      <c r="AP181" s="476"/>
      <c r="AQ181" s="482"/>
      <c r="AR181" s="478"/>
      <c r="AS181" s="478"/>
      <c r="AT181" s="476"/>
      <c r="AU181" s="482"/>
      <c r="AV181" s="478"/>
      <c r="AW181" s="483"/>
      <c r="AX181" s="476"/>
      <c r="AY181" s="482"/>
      <c r="AZ181" s="478"/>
      <c r="BA181" s="484"/>
      <c r="BB181" s="474"/>
      <c r="BC181" s="485"/>
      <c r="BD181" s="485"/>
      <c r="BG181" s="487"/>
    </row>
    <row r="182" spans="1:59" s="486" customFormat="1" ht="18" customHeight="1" x14ac:dyDescent="0.2">
      <c r="A182" s="1368" t="str">
        <f t="shared" si="116"/>
        <v>SIMP. CAMBAI - MUNSALO2014</v>
      </c>
      <c r="B182" s="1373"/>
      <c r="C182" s="488"/>
      <c r="D182" s="489"/>
      <c r="E182" s="465"/>
      <c r="F182" s="466">
        <v>2014</v>
      </c>
      <c r="G182" s="620">
        <v>0</v>
      </c>
      <c r="H182" s="464">
        <f t="shared" si="117"/>
        <v>5</v>
      </c>
      <c r="I182" s="467"/>
      <c r="J182" s="468">
        <f t="shared" si="118"/>
        <v>2018</v>
      </c>
      <c r="K182" s="490">
        <f t="shared" si="119"/>
        <v>0</v>
      </c>
      <c r="L182" s="469">
        <f t="shared" si="120"/>
        <v>0</v>
      </c>
      <c r="M182" s="683">
        <f t="shared" si="121"/>
        <v>0</v>
      </c>
      <c r="N182" s="470">
        <f t="shared" si="122"/>
        <v>5</v>
      </c>
      <c r="O182" s="468">
        <f t="shared" si="123"/>
        <v>2018</v>
      </c>
      <c r="P182" s="616">
        <f t="shared" si="124"/>
        <v>625182651.38977647</v>
      </c>
      <c r="Q182" s="472">
        <f t="shared" si="125"/>
        <v>625182651.38977647</v>
      </c>
      <c r="R182" s="472">
        <f t="shared" si="126"/>
        <v>125036530.27795529</v>
      </c>
      <c r="S182" s="1189">
        <f t="shared" si="127"/>
        <v>2014</v>
      </c>
      <c r="T182" s="470">
        <f t="shared" si="128"/>
        <v>1</v>
      </c>
      <c r="U182" s="612">
        <f t="shared" si="129"/>
        <v>125036530.27795529</v>
      </c>
      <c r="V182" s="464">
        <f t="shared" si="130"/>
        <v>2014</v>
      </c>
      <c r="W182" s="612">
        <f t="shared" si="131"/>
        <v>500146121.11182117</v>
      </c>
      <c r="X182" s="473"/>
      <c r="Y182" s="478"/>
      <c r="Z182" s="449"/>
      <c r="AA182" s="492" t="s">
        <v>4182</v>
      </c>
      <c r="AB182" s="476"/>
      <c r="AC182" s="476"/>
      <c r="AD182" s="567">
        <f>AD178-AD179</f>
        <v>0</v>
      </c>
      <c r="AE182" s="476"/>
      <c r="AF182" s="568"/>
      <c r="AG182" s="476"/>
      <c r="AH182" s="476"/>
      <c r="AI182" s="477"/>
      <c r="AJ182" s="478"/>
      <c r="AK182" s="479"/>
      <c r="AL182" s="480"/>
      <c r="AM182" s="474"/>
      <c r="AN182" s="481"/>
      <c r="AO182" s="474"/>
      <c r="AP182" s="476"/>
      <c r="AQ182" s="482"/>
      <c r="AR182" s="478"/>
      <c r="AS182" s="478"/>
      <c r="AT182" s="476"/>
      <c r="AU182" s="482"/>
      <c r="AV182" s="478"/>
      <c r="AW182" s="483"/>
      <c r="AX182" s="476"/>
      <c r="AY182" s="482"/>
      <c r="AZ182" s="478"/>
      <c r="BA182" s="484"/>
      <c r="BB182" s="474"/>
      <c r="BC182" s="485"/>
      <c r="BD182" s="485"/>
      <c r="BG182" s="487"/>
    </row>
    <row r="183" spans="1:59" s="486" customFormat="1" ht="18" customHeight="1" x14ac:dyDescent="0.2">
      <c r="A183" s="1368" t="str">
        <f t="shared" si="116"/>
        <v>SIMP. CAMBAI - MUNSALO2015</v>
      </c>
      <c r="B183" s="687"/>
      <c r="C183" s="463"/>
      <c r="D183" s="464"/>
      <c r="E183" s="465"/>
      <c r="F183" s="466">
        <v>2015</v>
      </c>
      <c r="G183" s="620">
        <v>0</v>
      </c>
      <c r="H183" s="464">
        <f t="shared" si="117"/>
        <v>4</v>
      </c>
      <c r="I183" s="467"/>
      <c r="J183" s="468">
        <f t="shared" si="118"/>
        <v>2018</v>
      </c>
      <c r="K183" s="490">
        <f t="shared" si="119"/>
        <v>0</v>
      </c>
      <c r="L183" s="469">
        <f t="shared" si="120"/>
        <v>0</v>
      </c>
      <c r="M183" s="683">
        <f t="shared" si="121"/>
        <v>0</v>
      </c>
      <c r="N183" s="470">
        <f t="shared" si="122"/>
        <v>4</v>
      </c>
      <c r="O183" s="468">
        <f t="shared" si="123"/>
        <v>2018</v>
      </c>
      <c r="P183" s="616">
        <f t="shared" si="124"/>
        <v>500146121.11182117</v>
      </c>
      <c r="Q183" s="472">
        <f t="shared" si="125"/>
        <v>500146121.11182117</v>
      </c>
      <c r="R183" s="472">
        <f t="shared" si="126"/>
        <v>125036530.27795529</v>
      </c>
      <c r="S183" s="1189">
        <f t="shared" si="127"/>
        <v>2015</v>
      </c>
      <c r="T183" s="470">
        <f t="shared" si="128"/>
        <v>1</v>
      </c>
      <c r="U183" s="612">
        <f t="shared" si="129"/>
        <v>125036530.27795529</v>
      </c>
      <c r="V183" s="464">
        <f t="shared" si="130"/>
        <v>2015</v>
      </c>
      <c r="W183" s="612">
        <f t="shared" si="131"/>
        <v>375109590.83386588</v>
      </c>
      <c r="X183" s="473"/>
      <c r="Y183" s="478"/>
      <c r="Z183" s="449"/>
      <c r="AA183" s="531" t="s">
        <v>4183</v>
      </c>
      <c r="AB183" s="496"/>
      <c r="AC183" s="496"/>
      <c r="AD183" s="569">
        <f>AD182-W189</f>
        <v>0</v>
      </c>
      <c r="AE183" s="476"/>
      <c r="AF183" s="568"/>
      <c r="AG183" s="476"/>
      <c r="AH183" s="476"/>
      <c r="AI183" s="477"/>
      <c r="AJ183" s="478"/>
      <c r="AK183" s="479"/>
      <c r="AL183" s="480"/>
      <c r="AM183" s="474"/>
      <c r="AN183" s="481"/>
      <c r="AO183" s="474"/>
      <c r="AP183" s="476"/>
      <c r="AQ183" s="482"/>
      <c r="AR183" s="478"/>
      <c r="AS183" s="478"/>
      <c r="AT183" s="476"/>
      <c r="AU183" s="482"/>
      <c r="AV183" s="478"/>
      <c r="AW183" s="483"/>
      <c r="AX183" s="476"/>
      <c r="AY183" s="482"/>
      <c r="AZ183" s="478"/>
      <c r="BA183" s="484"/>
      <c r="BB183" s="474"/>
      <c r="BC183" s="485"/>
      <c r="BD183" s="485"/>
      <c r="BG183" s="487"/>
    </row>
    <row r="184" spans="1:59" s="486" customFormat="1" ht="18" customHeight="1" x14ac:dyDescent="0.2">
      <c r="A184" s="1368" t="str">
        <f t="shared" si="116"/>
        <v>SIMP. CAMBAI - MUNSALO2016</v>
      </c>
      <c r="B184" s="687"/>
      <c r="C184" s="494" t="s">
        <v>383</v>
      </c>
      <c r="D184" s="494" t="s">
        <v>383</v>
      </c>
      <c r="E184" s="465"/>
      <c r="F184" s="466">
        <v>2016</v>
      </c>
      <c r="G184" s="620">
        <v>0</v>
      </c>
      <c r="H184" s="464">
        <f t="shared" si="117"/>
        <v>3</v>
      </c>
      <c r="I184" s="467"/>
      <c r="J184" s="468">
        <f t="shared" si="118"/>
        <v>2018</v>
      </c>
      <c r="K184" s="490">
        <f t="shared" si="119"/>
        <v>0</v>
      </c>
      <c r="L184" s="469">
        <f t="shared" si="120"/>
        <v>0</v>
      </c>
      <c r="M184" s="683">
        <f t="shared" si="121"/>
        <v>0</v>
      </c>
      <c r="N184" s="470">
        <f t="shared" si="122"/>
        <v>3</v>
      </c>
      <c r="O184" s="468">
        <f t="shared" si="123"/>
        <v>2018</v>
      </c>
      <c r="P184" s="616">
        <f t="shared" si="124"/>
        <v>375109590.83386588</v>
      </c>
      <c r="Q184" s="472">
        <f t="shared" si="125"/>
        <v>375109590.83386588</v>
      </c>
      <c r="R184" s="472">
        <f t="shared" si="126"/>
        <v>125036530.27795529</v>
      </c>
      <c r="S184" s="1189">
        <f t="shared" si="127"/>
        <v>2016</v>
      </c>
      <c r="T184" s="470">
        <f t="shared" si="128"/>
        <v>1</v>
      </c>
      <c r="U184" s="612">
        <f t="shared" si="129"/>
        <v>125036530.27795529</v>
      </c>
      <c r="V184" s="464">
        <f t="shared" si="130"/>
        <v>2016</v>
      </c>
      <c r="W184" s="612">
        <f t="shared" si="131"/>
        <v>250073060.55591059</v>
      </c>
      <c r="X184" s="473"/>
      <c r="Y184" s="478"/>
      <c r="Z184" s="449"/>
      <c r="AA184" s="497"/>
      <c r="AB184" s="476"/>
      <c r="AC184" s="476"/>
      <c r="AD184" s="568"/>
      <c r="AE184" s="476"/>
      <c r="AF184" s="568"/>
      <c r="AG184" s="476"/>
      <c r="AH184" s="476"/>
      <c r="AI184" s="477"/>
      <c r="AJ184" s="478"/>
      <c r="AK184" s="479"/>
      <c r="AL184" s="480"/>
      <c r="AM184" s="474"/>
      <c r="AN184" s="481"/>
      <c r="AO184" s="474"/>
      <c r="AP184" s="476"/>
      <c r="AQ184" s="482"/>
      <c r="AR184" s="478"/>
      <c r="AS184" s="478"/>
      <c r="AT184" s="476"/>
      <c r="AU184" s="482"/>
      <c r="AV184" s="478"/>
      <c r="AW184" s="483"/>
      <c r="AX184" s="476"/>
      <c r="AY184" s="482"/>
      <c r="AZ184" s="478"/>
      <c r="BA184" s="484"/>
      <c r="BB184" s="474"/>
      <c r="BC184" s="485"/>
      <c r="BD184" s="485"/>
      <c r="BG184" s="487"/>
    </row>
    <row r="185" spans="1:59" s="486" customFormat="1" ht="18" customHeight="1" x14ac:dyDescent="0.2">
      <c r="A185" s="1368" t="str">
        <f t="shared" si="116"/>
        <v>SIMP. CAMBAI - MUNSALO2017</v>
      </c>
      <c r="B185" s="687"/>
      <c r="C185" s="463"/>
      <c r="D185" s="464"/>
      <c r="E185" s="465"/>
      <c r="F185" s="466">
        <v>2017</v>
      </c>
      <c r="G185" s="620">
        <v>0</v>
      </c>
      <c r="H185" s="464">
        <f t="shared" si="117"/>
        <v>2</v>
      </c>
      <c r="I185" s="467"/>
      <c r="J185" s="468">
        <f t="shared" si="118"/>
        <v>2018</v>
      </c>
      <c r="K185" s="490">
        <f t="shared" si="119"/>
        <v>0</v>
      </c>
      <c r="L185" s="469">
        <f t="shared" si="120"/>
        <v>0</v>
      </c>
      <c r="M185" s="683">
        <f t="shared" si="121"/>
        <v>0</v>
      </c>
      <c r="N185" s="470">
        <f t="shared" si="122"/>
        <v>2</v>
      </c>
      <c r="O185" s="468">
        <f t="shared" si="123"/>
        <v>2018</v>
      </c>
      <c r="P185" s="616">
        <f t="shared" si="124"/>
        <v>250073060.55591059</v>
      </c>
      <c r="Q185" s="472">
        <f t="shared" si="125"/>
        <v>250073060.55591059</v>
      </c>
      <c r="R185" s="472">
        <f t="shared" si="126"/>
        <v>125036530.27795529</v>
      </c>
      <c r="S185" s="1189">
        <f t="shared" si="127"/>
        <v>2017</v>
      </c>
      <c r="T185" s="470">
        <f t="shared" si="128"/>
        <v>1</v>
      </c>
      <c r="U185" s="612">
        <f t="shared" si="129"/>
        <v>125036530.27795529</v>
      </c>
      <c r="V185" s="464">
        <f t="shared" si="130"/>
        <v>2017</v>
      </c>
      <c r="W185" s="612">
        <f t="shared" si="131"/>
        <v>125036530.27795529</v>
      </c>
      <c r="X185" s="473"/>
      <c r="Y185" s="497"/>
      <c r="Z185" s="449"/>
      <c r="AA185" s="497"/>
      <c r="AB185" s="476"/>
      <c r="AC185" s="497"/>
      <c r="AD185" s="568"/>
      <c r="AE185" s="476"/>
      <c r="AF185" s="568"/>
      <c r="AG185" s="476"/>
      <c r="AH185" s="476"/>
      <c r="AI185" s="477"/>
      <c r="AJ185" s="478"/>
      <c r="AK185" s="479"/>
      <c r="AL185" s="480"/>
      <c r="AM185" s="474"/>
      <c r="AN185" s="481"/>
      <c r="AO185" s="474"/>
      <c r="AP185" s="476"/>
      <c r="AQ185" s="482"/>
      <c r="AR185" s="478"/>
      <c r="AS185" s="478"/>
      <c r="AT185" s="476"/>
      <c r="AU185" s="482"/>
      <c r="AV185" s="478"/>
      <c r="AW185" s="483"/>
      <c r="AX185" s="476"/>
      <c r="AY185" s="482"/>
      <c r="AZ185" s="478"/>
      <c r="BA185" s="484"/>
      <c r="BB185" s="474"/>
      <c r="BC185" s="485"/>
      <c r="BD185" s="485"/>
      <c r="BG185" s="487"/>
    </row>
    <row r="186" spans="1:59" s="486" customFormat="1" ht="18" customHeight="1" x14ac:dyDescent="0.2">
      <c r="A186" s="1368" t="str">
        <f t="shared" si="116"/>
        <v>SIMP. CAMBAI - MUNSALO2018</v>
      </c>
      <c r="B186" s="687"/>
      <c r="C186" s="463"/>
      <c r="D186" s="464"/>
      <c r="E186" s="465"/>
      <c r="F186" s="466">
        <v>2018</v>
      </c>
      <c r="G186" s="620">
        <v>0</v>
      </c>
      <c r="H186" s="464">
        <f t="shared" si="117"/>
        <v>1</v>
      </c>
      <c r="I186" s="467"/>
      <c r="J186" s="468">
        <f t="shared" si="118"/>
        <v>2018</v>
      </c>
      <c r="K186" s="490">
        <f t="shared" si="119"/>
        <v>0</v>
      </c>
      <c r="L186" s="469">
        <f t="shared" si="120"/>
        <v>0</v>
      </c>
      <c r="M186" s="683">
        <f t="shared" si="121"/>
        <v>0</v>
      </c>
      <c r="N186" s="470">
        <f t="shared" si="122"/>
        <v>1</v>
      </c>
      <c r="O186" s="468">
        <f t="shared" si="123"/>
        <v>2018</v>
      </c>
      <c r="P186" s="616">
        <f t="shared" si="124"/>
        <v>125036530.27795529</v>
      </c>
      <c r="Q186" s="472">
        <f t="shared" si="125"/>
        <v>125036530.27795529</v>
      </c>
      <c r="R186" s="472">
        <f t="shared" si="126"/>
        <v>125036530.27795529</v>
      </c>
      <c r="S186" s="1189">
        <f t="shared" si="127"/>
        <v>2018</v>
      </c>
      <c r="T186" s="470">
        <f t="shared" si="128"/>
        <v>1</v>
      </c>
      <c r="U186" s="612">
        <f t="shared" si="129"/>
        <v>125036530.27795529</v>
      </c>
      <c r="V186" s="464">
        <f t="shared" si="130"/>
        <v>2018</v>
      </c>
      <c r="W186" s="612">
        <f t="shared" si="131"/>
        <v>0</v>
      </c>
      <c r="X186" s="473"/>
      <c r="Y186" s="497"/>
      <c r="Z186" s="449"/>
      <c r="AA186" s="497"/>
      <c r="AB186" s="476"/>
      <c r="AC186" s="497"/>
      <c r="AD186" s="568"/>
      <c r="AE186" s="476"/>
      <c r="AF186" s="568"/>
      <c r="AG186" s="476"/>
      <c r="AH186" s="476"/>
      <c r="AI186" s="477"/>
      <c r="AJ186" s="478"/>
      <c r="AK186" s="479"/>
      <c r="AL186" s="480"/>
      <c r="AM186" s="474"/>
      <c r="AN186" s="481"/>
      <c r="AO186" s="474"/>
      <c r="AP186" s="476"/>
      <c r="AQ186" s="482"/>
      <c r="AR186" s="478"/>
      <c r="AS186" s="478"/>
      <c r="AT186" s="476"/>
      <c r="AU186" s="482"/>
      <c r="AV186" s="478"/>
      <c r="AW186" s="483"/>
      <c r="AX186" s="476"/>
      <c r="AY186" s="482"/>
      <c r="AZ186" s="478"/>
      <c r="BA186" s="484"/>
      <c r="BB186" s="474"/>
      <c r="BC186" s="485"/>
      <c r="BD186" s="485"/>
      <c r="BG186" s="487"/>
    </row>
    <row r="187" spans="1:59" s="486" customFormat="1" ht="18" customHeight="1" x14ac:dyDescent="0.2">
      <c r="A187" s="1369"/>
      <c r="B187" s="687"/>
      <c r="C187" s="463"/>
      <c r="D187" s="464"/>
      <c r="E187" s="465"/>
      <c r="F187" s="466">
        <v>2019</v>
      </c>
      <c r="G187" s="620">
        <v>0</v>
      </c>
      <c r="H187" s="464">
        <f>IF(N186-(F187-F186)&lt;=0,0,(N186-(F187-F186)))</f>
        <v>0</v>
      </c>
      <c r="I187" s="467"/>
      <c r="J187" s="468">
        <f>(F187+N187)-1</f>
        <v>2018</v>
      </c>
      <c r="K187" s="490">
        <f>IF(G187=0,0,IF(H187=10,100%,G187/W186))</f>
        <v>0</v>
      </c>
      <c r="L187" s="469">
        <f>IF(K187=0%,0,IF(K187&lt;=30%,2,IF(K187&lt;=60%,5,10)))</f>
        <v>0</v>
      </c>
      <c r="M187" s="683">
        <f t="shared" si="121"/>
        <v>0</v>
      </c>
      <c r="N187" s="470">
        <f>IF(OR(AND(ISBLANK(F187),ISBLANK(G187)),ISTEXT(F187),ISTEXT(G187)),"",H187+M187)</f>
        <v>0</v>
      </c>
      <c r="O187" s="468">
        <f>(F187+N187)-1</f>
        <v>2018</v>
      </c>
      <c r="P187" s="616">
        <f>W186</f>
        <v>0</v>
      </c>
      <c r="Q187" s="472">
        <f>P187+G187</f>
        <v>0</v>
      </c>
      <c r="R187" s="472">
        <v>0</v>
      </c>
      <c r="S187" s="1189">
        <f>F187</f>
        <v>2019</v>
      </c>
      <c r="T187" s="470">
        <f>S187-S186</f>
        <v>1</v>
      </c>
      <c r="U187" s="612">
        <f>R187*T187</f>
        <v>0</v>
      </c>
      <c r="V187" s="464">
        <f>F187</f>
        <v>2019</v>
      </c>
      <c r="W187" s="612">
        <f>IF(OR(AND(ISBLANK(E187),ISBLANK(G187)),ISTEXT(E187),ISTEXT(G187)),"",Q187-U187)</f>
        <v>0</v>
      </c>
      <c r="X187" s="473"/>
      <c r="Y187" s="497"/>
      <c r="Z187" s="449"/>
      <c r="AA187" s="497"/>
      <c r="AB187" s="476"/>
      <c r="AC187" s="497"/>
      <c r="AD187" s="568"/>
      <c r="AE187" s="476"/>
      <c r="AF187" s="568"/>
      <c r="AG187" s="476"/>
      <c r="AH187" s="476"/>
      <c r="AI187" s="477"/>
      <c r="AJ187" s="478"/>
      <c r="AK187" s="479"/>
      <c r="AL187" s="480"/>
      <c r="AM187" s="474"/>
      <c r="AN187" s="481"/>
      <c r="AO187" s="474"/>
      <c r="AP187" s="476"/>
      <c r="AQ187" s="482"/>
      <c r="AR187" s="478"/>
      <c r="AS187" s="478"/>
      <c r="AT187" s="476"/>
      <c r="AU187" s="482"/>
      <c r="AV187" s="478"/>
      <c r="AW187" s="483"/>
      <c r="AX187" s="476"/>
      <c r="AY187" s="482"/>
      <c r="AZ187" s="478"/>
      <c r="BA187" s="484"/>
      <c r="BB187" s="474"/>
      <c r="BC187" s="485"/>
      <c r="BD187" s="485"/>
      <c r="BG187" s="487"/>
    </row>
    <row r="188" spans="1:59" s="486" customFormat="1" ht="18" customHeight="1" x14ac:dyDescent="0.2">
      <c r="A188" s="1369"/>
      <c r="B188" s="687"/>
      <c r="C188" s="463"/>
      <c r="D188" s="464"/>
      <c r="E188" s="465"/>
      <c r="F188" s="1189"/>
      <c r="G188" s="620"/>
      <c r="H188" s="469" t="str">
        <f>IF(OR(AND(ISBLANK(E188),ISBLANK(G188)),ISTEXT(E188),ISTEXT(G188)),"",IF(#REF!-(YEAR(E188)-YEAR(#REF!))&lt;0,0,#REF!-(YEAR(E188)-YEAR(#REF!))))</f>
        <v/>
      </c>
      <c r="I188" s="467" t="str">
        <f>IF(OR(AND(ISBLANK(E188),ISBLANK(G188)),ISTEXT(E188),ISTEXT(G188)),"",IF(#REF!-E188&lt;0,0,#REF!-E188))</f>
        <v/>
      </c>
      <c r="J188" s="498" t="str">
        <f>IF(OR(AND(ISBLANK(E188),ISBLANK(G188)),ISTEXT(E188),ISTEXT(G188)),"",#REF!)</f>
        <v/>
      </c>
      <c r="K188" s="498"/>
      <c r="L188" s="469" t="str">
        <f>IF(OR(AND(ISBLANK(E188),ISBLANK(G188)),ISTEXT(E188),ISTEXT(G188)),"",ROUNDDOWN(G188/SUM($G$57:G185)*$H$57,0))</f>
        <v/>
      </c>
      <c r="M188" s="683" t="str">
        <f>IF(OR(AND(ISBLANK(E188),ISBLANK(G188)),ISTEXT(E188),ISTEXT(G188)),"",IF(H188+L188&gt;$H$57,$H$57-H188,L188))</f>
        <v/>
      </c>
      <c r="N188" s="470" t="str">
        <f>IF(OR(AND(ISBLANK(E188),ISBLANK(G188)),ISTEXT(E188),ISTEXT(G188)),"",H188+M188)</f>
        <v/>
      </c>
      <c r="O188" s="498" t="str">
        <f>IF(OR(AND(ISBLANK(E188),ISBLANK(G188)),ISTEXT(E188),ISTEXT(G188)),"",DATE(YEAR($J188)+M188,MONTH($J188),DAY($J188)))</f>
        <v/>
      </c>
      <c r="P188" s="748" t="str">
        <f>IF(OR(AND(ISBLANK(E188),ISBLANK(G188)),ISTEXT(E188),ISTEXT(G188)),"",#REF!-#REF!*(IF(J188&lt;E188,J188,E188)-#REF!))</f>
        <v/>
      </c>
      <c r="Q188" s="500" t="str">
        <f>IF(OR(AND(ISBLANK(E188),ISBLANK(G188)),ISTEXT(E188),ISTEXT(G188)),"",P188+G188)</f>
        <v/>
      </c>
      <c r="R188" s="501" t="str">
        <f>IF(OR(AND(ISBLANK(E188),ISBLANK(G188)),ISTEXT(E188),ISTEXT(G188)),"",IF(OR(E188&lt;DATE(2004,12,31),#REF!=0),0,Q188/#REF!))</f>
        <v/>
      </c>
      <c r="S188" s="502" t="str">
        <f>IF(OR(AND(ISBLANK(E188),ISBLANK(G188)),ISTEXT(E188),ISTEXT(G188)),"",IF(YEAR(E188)&lt;=YEAR(#REF!),"-",YEAR(E188)-1))</f>
        <v/>
      </c>
      <c r="T188" s="502"/>
      <c r="U188" s="612" t="str">
        <f>IF(OR(AND(ISBLANK(E188),ISBLANK(G188)),ISTEXT(E188),ISTEXT(G188)),"",IF(AND(J188&lt;=DATE(2004,12,31),E188&gt;J188),SUM($G188:G188),#REF!+#REF!+#REF!*IF(YEAR(E188)&lt;=YEAR(#REF!),0,(IF(DATE(YEAR(E188)-1,12,31)&gt;J188,J188,DATE(YEAR(E188)-1,12,31))-#REF!))))</f>
        <v/>
      </c>
      <c r="V188" s="503" t="str">
        <f>IF(OR(AND(ISBLANK(E188),ISBLANK(G188)),ISTEXT(E188),ISTEXT(G188)),"",IF(YEAR(E188)=YEAR(E189),E189,DATE(YEAR(E188),12,31)))</f>
        <v/>
      </c>
      <c r="W188" s="612" t="str">
        <f>IF(OR(AND(ISBLANK(E188),ISBLANK(G188)),ISTEXT(E188),ISTEXT(G188)),"",IF(Q188=0,0,IF(AND(J188&lt;=DATE(2004,12,31),E188&gt;=J188),Q188-U188,Q188-#REF!)))</f>
        <v/>
      </c>
      <c r="X188" s="504" t="str">
        <f>IF(OR(AND(ISBLANK(E188),ISBLANK(G188)),ISTEXT(E188),ISTEXT(G188)),"",$D$57&amp;"//"&amp;TEXT($E$57,"dd-mmm-yyyy")&amp;"//"&amp;#REF!)</f>
        <v/>
      </c>
      <c r="Y188" s="476"/>
      <c r="Z188" s="476"/>
      <c r="AA188" s="476"/>
      <c r="AB188" s="476"/>
      <c r="AC188" s="476"/>
      <c r="AD188" s="568"/>
      <c r="AE188" s="476"/>
      <c r="AF188" s="568"/>
      <c r="AG188" s="476"/>
      <c r="AH188" s="476"/>
      <c r="AI188" s="477"/>
      <c r="AJ188" s="478"/>
      <c r="AK188" s="479"/>
      <c r="AL188" s="480"/>
      <c r="AM188" s="474"/>
      <c r="AN188" s="481"/>
      <c r="AO188" s="474"/>
      <c r="AP188" s="476"/>
      <c r="AQ188" s="482"/>
      <c r="AR188" s="478"/>
      <c r="AS188" s="478"/>
      <c r="AT188" s="476"/>
      <c r="AU188" s="482"/>
      <c r="AV188" s="478"/>
      <c r="AW188" s="483"/>
      <c r="AX188" s="476"/>
      <c r="AY188" s="482"/>
      <c r="AZ188" s="478"/>
      <c r="BA188" s="484"/>
      <c r="BB188" s="474"/>
      <c r="BC188" s="485"/>
      <c r="BD188" s="485"/>
      <c r="BG188" s="487"/>
    </row>
    <row r="189" spans="1:59" s="526" customFormat="1" ht="18" customHeight="1" x14ac:dyDescent="0.2">
      <c r="A189" s="1370" t="s">
        <v>4184</v>
      </c>
      <c r="B189" s="1956" t="s">
        <v>4184</v>
      </c>
      <c r="C189" s="1957"/>
      <c r="D189" s="1957"/>
      <c r="E189" s="1957"/>
      <c r="F189" s="1958"/>
      <c r="G189" s="624">
        <f>SUM(G175:G188)</f>
        <v>1970365302.7795529</v>
      </c>
      <c r="H189" s="505"/>
      <c r="I189" s="506"/>
      <c r="J189" s="507"/>
      <c r="K189" s="507"/>
      <c r="L189" s="505"/>
      <c r="M189" s="684"/>
      <c r="N189" s="508"/>
      <c r="O189" s="507"/>
      <c r="P189" s="749"/>
      <c r="Q189" s="510"/>
      <c r="R189" s="511"/>
      <c r="S189" s="512"/>
      <c r="T189" s="512"/>
      <c r="U189" s="610">
        <f>SUM(U175:U188)</f>
        <v>1970365302.7795529</v>
      </c>
      <c r="V189" s="513"/>
      <c r="W189" s="610">
        <f>G189-U189</f>
        <v>0</v>
      </c>
      <c r="X189" s="514"/>
      <c r="Y189" s="515"/>
      <c r="Z189" s="515"/>
      <c r="AA189" s="515"/>
      <c r="AB189" s="515"/>
      <c r="AC189" s="515"/>
      <c r="AD189" s="570"/>
      <c r="AE189" s="515"/>
      <c r="AF189" s="570">
        <v>685203273.25</v>
      </c>
      <c r="AG189" s="515"/>
      <c r="AH189" s="515"/>
      <c r="AI189" s="516"/>
      <c r="AJ189" s="517"/>
      <c r="AK189" s="518"/>
      <c r="AL189" s="519"/>
      <c r="AM189" s="520"/>
      <c r="AN189" s="521"/>
      <c r="AO189" s="520"/>
      <c r="AP189" s="515"/>
      <c r="AQ189" s="522"/>
      <c r="AR189" s="517"/>
      <c r="AS189" s="517"/>
      <c r="AT189" s="515"/>
      <c r="AU189" s="522"/>
      <c r="AV189" s="517"/>
      <c r="AW189" s="523"/>
      <c r="AX189" s="515"/>
      <c r="AY189" s="522"/>
      <c r="AZ189" s="517"/>
      <c r="BA189" s="524"/>
      <c r="BB189" s="520"/>
      <c r="BC189" s="525"/>
      <c r="BD189" s="525"/>
      <c r="BG189" s="527"/>
    </row>
    <row r="193" spans="1:59" s="422" customFormat="1" ht="18" customHeight="1" x14ac:dyDescent="0.2">
      <c r="A193" s="1366">
        <f>C193</f>
        <v>17</v>
      </c>
      <c r="B193" s="742" t="s">
        <v>4187</v>
      </c>
      <c r="C193" s="556">
        <v>17</v>
      </c>
      <c r="D193" s="553" t="str">
        <f>VLOOKUP(C193,RUAS,2,FALSE)</f>
        <v>SINAMBEK - STADION OLAHRAGA</v>
      </c>
      <c r="E193" s="553"/>
      <c r="F193" s="421"/>
      <c r="G193" s="611"/>
      <c r="I193" s="423"/>
      <c r="J193" s="424"/>
      <c r="K193" s="424"/>
      <c r="M193" s="680"/>
      <c r="P193" s="611"/>
      <c r="U193" s="611"/>
      <c r="W193" s="611"/>
      <c r="Y193" s="425"/>
      <c r="Z193" s="425"/>
      <c r="AA193" s="425"/>
      <c r="AB193" s="425"/>
      <c r="AC193" s="425"/>
      <c r="AD193" s="563"/>
      <c r="AE193" s="425"/>
      <c r="AF193" s="563"/>
      <c r="AG193" s="425"/>
      <c r="AH193" s="425"/>
      <c r="AI193" s="425"/>
      <c r="AJ193" s="425"/>
      <c r="AK193" s="425"/>
      <c r="AL193" s="425"/>
      <c r="AM193" s="425"/>
      <c r="AN193" s="425"/>
      <c r="AO193" s="425"/>
      <c r="AP193" s="425"/>
      <c r="AQ193" s="425"/>
      <c r="AR193" s="425"/>
      <c r="AS193" s="425"/>
      <c r="AT193" s="425"/>
      <c r="AU193" s="425"/>
      <c r="AV193" s="425"/>
      <c r="AW193" s="425"/>
      <c r="AX193" s="425"/>
      <c r="AY193" s="425"/>
      <c r="AZ193" s="425"/>
      <c r="BA193" s="425"/>
      <c r="BB193" s="425"/>
    </row>
    <row r="194" spans="1:59" s="431" customFormat="1" ht="18" customHeight="1" x14ac:dyDescent="0.2">
      <c r="A194" s="1367"/>
      <c r="B194" s="1968" t="s">
        <v>5</v>
      </c>
      <c r="C194" s="1968" t="s">
        <v>2280</v>
      </c>
      <c r="D194" s="1968" t="s">
        <v>4157</v>
      </c>
      <c r="E194" s="1968" t="s">
        <v>4158</v>
      </c>
      <c r="F194" s="1968"/>
      <c r="G194" s="1969" t="s">
        <v>4159</v>
      </c>
      <c r="H194" s="1968" t="s">
        <v>4160</v>
      </c>
      <c r="I194" s="1968"/>
      <c r="J194" s="1968" t="s">
        <v>4185</v>
      </c>
      <c r="K194" s="1964" t="s">
        <v>4162</v>
      </c>
      <c r="L194" s="1968" t="s">
        <v>4163</v>
      </c>
      <c r="M194" s="1971" t="s">
        <v>4164</v>
      </c>
      <c r="N194" s="1962" t="s">
        <v>4165</v>
      </c>
      <c r="O194" s="1968" t="s">
        <v>4166</v>
      </c>
      <c r="P194" s="1972" t="s">
        <v>4167</v>
      </c>
      <c r="Q194" s="1973"/>
      <c r="R194" s="636" t="s">
        <v>4186</v>
      </c>
      <c r="S194" s="1972" t="s">
        <v>4169</v>
      </c>
      <c r="T194" s="1974"/>
      <c r="U194" s="1973"/>
      <c r="V194" s="1975" t="s">
        <v>4170</v>
      </c>
      <c r="W194" s="1975"/>
      <c r="X194" s="1960" t="s">
        <v>4171</v>
      </c>
      <c r="Y194" s="1959"/>
      <c r="Z194" s="633"/>
      <c r="AA194" s="426"/>
      <c r="AB194" s="426"/>
      <c r="AC194" s="426"/>
      <c r="AD194" s="564"/>
      <c r="AE194" s="426"/>
      <c r="AF194" s="564"/>
      <c r="AG194" s="426"/>
      <c r="AH194" s="426"/>
      <c r="AI194" s="427"/>
      <c r="AJ194" s="427"/>
      <c r="AK194" s="427"/>
      <c r="AL194" s="427"/>
      <c r="AM194" s="428"/>
      <c r="AN194" s="427"/>
      <c r="AO194" s="427"/>
      <c r="AP194" s="426"/>
      <c r="AQ194" s="427"/>
      <c r="AR194" s="427"/>
      <c r="AS194" s="427"/>
      <c r="AT194" s="426"/>
      <c r="AU194" s="427"/>
      <c r="AV194" s="427"/>
      <c r="AW194" s="427"/>
      <c r="AX194" s="426"/>
      <c r="AY194" s="427"/>
      <c r="AZ194" s="427"/>
      <c r="BA194" s="427"/>
      <c r="BB194" s="429"/>
      <c r="BC194" s="430"/>
      <c r="BD194" s="430"/>
    </row>
    <row r="195" spans="1:59" s="431" customFormat="1" ht="18" customHeight="1" x14ac:dyDescent="0.2">
      <c r="A195" s="1367"/>
      <c r="B195" s="1968"/>
      <c r="C195" s="1968"/>
      <c r="D195" s="1968"/>
      <c r="E195" s="1968"/>
      <c r="F195" s="1968"/>
      <c r="G195" s="1969"/>
      <c r="H195" s="1968"/>
      <c r="I195" s="1968"/>
      <c r="J195" s="1968"/>
      <c r="K195" s="1970"/>
      <c r="L195" s="1968"/>
      <c r="M195" s="1971"/>
      <c r="N195" s="1963"/>
      <c r="O195" s="1968"/>
      <c r="P195" s="2037" t="s">
        <v>4172</v>
      </c>
      <c r="Q195" s="1960" t="s">
        <v>4173</v>
      </c>
      <c r="R195" s="1962" t="s">
        <v>4159</v>
      </c>
      <c r="S195" s="1962" t="s">
        <v>4174</v>
      </c>
      <c r="T195" s="1964" t="s">
        <v>4175</v>
      </c>
      <c r="U195" s="1966" t="s">
        <v>4159</v>
      </c>
      <c r="V195" s="1975"/>
      <c r="W195" s="1975"/>
      <c r="X195" s="1976"/>
      <c r="Y195" s="1959"/>
      <c r="Z195" s="633"/>
      <c r="AA195" s="426"/>
      <c r="AB195" s="426"/>
      <c r="AC195" s="426"/>
      <c r="AD195" s="564"/>
      <c r="AE195" s="426"/>
      <c r="AF195" s="564"/>
      <c r="AG195" s="426"/>
      <c r="AH195" s="426"/>
      <c r="AI195" s="427"/>
      <c r="AJ195" s="427"/>
      <c r="AK195" s="426"/>
      <c r="AL195" s="427"/>
      <c r="AM195" s="428"/>
      <c r="AN195" s="427"/>
      <c r="AO195" s="427"/>
      <c r="AP195" s="432"/>
      <c r="AQ195" s="427"/>
      <c r="AR195" s="427"/>
      <c r="AS195" s="427"/>
      <c r="AT195" s="432"/>
      <c r="AU195" s="427"/>
      <c r="AV195" s="427"/>
      <c r="AW195" s="427"/>
      <c r="AX195" s="432"/>
      <c r="AY195" s="427"/>
      <c r="AZ195" s="427"/>
      <c r="BA195" s="427"/>
      <c r="BB195" s="429"/>
      <c r="BC195" s="430"/>
      <c r="BD195" s="430"/>
    </row>
    <row r="196" spans="1:59" s="431" customFormat="1" ht="18" customHeight="1" x14ac:dyDescent="0.2">
      <c r="A196" s="1367"/>
      <c r="B196" s="1968"/>
      <c r="C196" s="1968"/>
      <c r="D196" s="1968"/>
      <c r="E196" s="433" t="s">
        <v>4176</v>
      </c>
      <c r="F196" s="434" t="s">
        <v>2288</v>
      </c>
      <c r="G196" s="1969"/>
      <c r="H196" s="635" t="s">
        <v>2288</v>
      </c>
      <c r="I196" s="635" t="s">
        <v>4177</v>
      </c>
      <c r="J196" s="1968"/>
      <c r="K196" s="1965"/>
      <c r="L196" s="435" t="s">
        <v>2288</v>
      </c>
      <c r="M196" s="681" t="s">
        <v>2288</v>
      </c>
      <c r="N196" s="635" t="s">
        <v>2288</v>
      </c>
      <c r="O196" s="1968"/>
      <c r="P196" s="2038"/>
      <c r="Q196" s="1961"/>
      <c r="R196" s="1963"/>
      <c r="S196" s="1963"/>
      <c r="T196" s="1965"/>
      <c r="U196" s="1967"/>
      <c r="V196" s="635" t="s">
        <v>4178</v>
      </c>
      <c r="W196" s="637" t="s">
        <v>4159</v>
      </c>
      <c r="X196" s="1961"/>
      <c r="Y196" s="436"/>
      <c r="Z196" s="436"/>
      <c r="AA196" s="426"/>
      <c r="AB196" s="426"/>
      <c r="AC196" s="426"/>
      <c r="AD196" s="564"/>
      <c r="AE196" s="426"/>
      <c r="AF196" s="564"/>
      <c r="AG196" s="426"/>
      <c r="AH196" s="426"/>
      <c r="AI196" s="427"/>
      <c r="AJ196" s="432"/>
      <c r="AK196" s="432"/>
      <c r="AL196" s="427"/>
      <c r="AM196" s="428"/>
      <c r="AN196" s="432"/>
      <c r="AO196" s="427"/>
      <c r="AP196" s="432"/>
      <c r="AQ196" s="432"/>
      <c r="AR196" s="427"/>
      <c r="AS196" s="427"/>
      <c r="AT196" s="432"/>
      <c r="AU196" s="432"/>
      <c r="AV196" s="427"/>
      <c r="AW196" s="427"/>
      <c r="AX196" s="432"/>
      <c r="AY196" s="432"/>
      <c r="AZ196" s="427"/>
      <c r="BA196" s="427"/>
      <c r="BB196" s="429"/>
      <c r="BC196" s="430"/>
      <c r="BD196" s="430"/>
    </row>
    <row r="197" spans="1:59" s="461" customFormat="1" ht="18" customHeight="1" x14ac:dyDescent="0.2">
      <c r="A197" s="1368" t="str">
        <f>$D$193&amp;S197</f>
        <v>SINAMBEK - STADION OLAHRAGA2001</v>
      </c>
      <c r="B197" s="1373">
        <v>1</v>
      </c>
      <c r="C197" s="532" t="s">
        <v>529</v>
      </c>
      <c r="D197" s="437" t="s">
        <v>2494</v>
      </c>
      <c r="E197" s="438"/>
      <c r="F197" s="439">
        <v>2001</v>
      </c>
      <c r="G197" s="623">
        <v>675000000</v>
      </c>
      <c r="H197" s="440">
        <f>VLOOKUP(LEFT(D197,8),UE,4)</f>
        <v>10</v>
      </c>
      <c r="I197" s="441"/>
      <c r="J197" s="442">
        <f>(F197+N197)-1</f>
        <v>2010</v>
      </c>
      <c r="K197" s="443"/>
      <c r="L197" s="440"/>
      <c r="M197" s="746">
        <f>IF(H197+L197&gt;$H197,$H197-H197,L197)</f>
        <v>0</v>
      </c>
      <c r="N197" s="444">
        <f>H197+M197</f>
        <v>10</v>
      </c>
      <c r="O197" s="442">
        <f>(F197+N197)-1</f>
        <v>2010</v>
      </c>
      <c r="P197" s="617">
        <f>G197</f>
        <v>675000000</v>
      </c>
      <c r="Q197" s="445">
        <v>0</v>
      </c>
      <c r="R197" s="445">
        <f>P197/N197</f>
        <v>67500000</v>
      </c>
      <c r="S197" s="446">
        <f>F197</f>
        <v>2001</v>
      </c>
      <c r="T197" s="447">
        <v>1</v>
      </c>
      <c r="U197" s="613">
        <f>R197*T197</f>
        <v>67500000</v>
      </c>
      <c r="V197" s="442">
        <f>F197</f>
        <v>2001</v>
      </c>
      <c r="W197" s="617">
        <f>IF(OR(AND(ISBLANK(E197),ISBLANK(G197)),ISTEXT(E197),ISTEXT(G197)),"",G197-R197)</f>
        <v>607500000</v>
      </c>
      <c r="X197" s="448"/>
      <c r="Y197" s="449"/>
      <c r="Z197" s="449"/>
      <c r="AA197" s="450" t="s">
        <v>4179</v>
      </c>
      <c r="AB197" s="452"/>
      <c r="AC197" s="452"/>
      <c r="AD197" s="571"/>
      <c r="AE197" s="452"/>
      <c r="AF197" s="571"/>
      <c r="AG197" s="452"/>
      <c r="AH197" s="452"/>
      <c r="AI197" s="453"/>
      <c r="AJ197" s="449"/>
      <c r="AK197" s="453"/>
      <c r="AL197" s="454"/>
      <c r="AM197" s="455"/>
      <c r="AN197" s="456"/>
      <c r="AO197" s="455"/>
      <c r="AP197" s="452"/>
      <c r="AQ197" s="457"/>
      <c r="AR197" s="449"/>
      <c r="AS197" s="449"/>
      <c r="AT197" s="452"/>
      <c r="AU197" s="457"/>
      <c r="AV197" s="449"/>
      <c r="AW197" s="458"/>
      <c r="AX197" s="452"/>
      <c r="AY197" s="457"/>
      <c r="AZ197" s="449"/>
      <c r="BA197" s="459"/>
      <c r="BB197" s="455"/>
      <c r="BC197" s="460"/>
      <c r="BD197" s="460"/>
      <c r="BG197" s="462"/>
    </row>
    <row r="198" spans="1:59" s="486" customFormat="1" ht="18" customHeight="1" x14ac:dyDescent="0.2">
      <c r="A198" s="1368" t="str">
        <f t="shared" ref="A198:A209" si="132">$D$193&amp;S198</f>
        <v>SINAMBEK - STADION OLAHRAGA2008</v>
      </c>
      <c r="B198" s="1373"/>
      <c r="C198" s="463"/>
      <c r="D198" s="464"/>
      <c r="E198" s="465"/>
      <c r="F198" s="466">
        <v>2008</v>
      </c>
      <c r="G198" s="620">
        <v>0</v>
      </c>
      <c r="H198" s="464">
        <f>IF(N197-(F198-F197)&lt;=0,0,(N197-(F198-F197)))</f>
        <v>3</v>
      </c>
      <c r="I198" s="467"/>
      <c r="J198" s="468">
        <f>(F198+N198)-1</f>
        <v>2010</v>
      </c>
      <c r="K198" s="490">
        <f>IF(G198=0,0,IF(H198=10,100%,G198/W197))</f>
        <v>0</v>
      </c>
      <c r="L198" s="469">
        <f>IF(K198=0%,0,IF(K198&lt;=30%,2,IF(K198&lt;=60%,5,10)))</f>
        <v>0</v>
      </c>
      <c r="M198" s="683">
        <f>IF(OR(AND(ISBLANK(E198),ISBLANK(G198)),ISTEXT(E198),ISTEXT(G198)),"",IF(H198+L198&gt;$H$197,$H$197-H198,L198))</f>
        <v>0</v>
      </c>
      <c r="N198" s="470">
        <f>IF(OR(AND(ISBLANK(F198),ISBLANK(G198)),ISTEXT(F198),ISTEXT(G198)),"",H198+M198)</f>
        <v>3</v>
      </c>
      <c r="O198" s="468">
        <f>(F198+N198)-1</f>
        <v>2010</v>
      </c>
      <c r="P198" s="616">
        <f>W197</f>
        <v>607500000</v>
      </c>
      <c r="Q198" s="472">
        <f>P198+G198</f>
        <v>607500000</v>
      </c>
      <c r="R198" s="472">
        <f>IF(L198=0,R197,Q198/N198)</f>
        <v>67500000</v>
      </c>
      <c r="S198" s="634">
        <f>F198</f>
        <v>2008</v>
      </c>
      <c r="T198" s="470">
        <f>S198-S197</f>
        <v>7</v>
      </c>
      <c r="U198" s="612">
        <f>R198*T198</f>
        <v>472500000</v>
      </c>
      <c r="V198" s="464">
        <f>F198</f>
        <v>2008</v>
      </c>
      <c r="W198" s="612">
        <f>IF(OR(AND(ISBLANK(E198),ISBLANK(G198)),ISTEXT(E198),ISTEXT(G198)),"",Q198-U198)</f>
        <v>135000000</v>
      </c>
      <c r="X198" s="473"/>
      <c r="Y198" s="474"/>
      <c r="Z198" s="449"/>
      <c r="AA198" s="475" t="s">
        <v>4180</v>
      </c>
      <c r="AB198" s="476"/>
      <c r="AC198" s="476"/>
      <c r="AD198" s="568">
        <f>G211</f>
        <v>12364452009.60512</v>
      </c>
      <c r="AE198" s="476"/>
      <c r="AF198" s="568"/>
      <c r="AG198" s="476"/>
      <c r="AH198" s="476"/>
      <c r="AI198" s="477"/>
      <c r="AJ198" s="478"/>
      <c r="AK198" s="479"/>
      <c r="AL198" s="480"/>
      <c r="AM198" s="474"/>
      <c r="AN198" s="481"/>
      <c r="AO198" s="474"/>
      <c r="AP198" s="476"/>
      <c r="AQ198" s="482"/>
      <c r="AR198" s="478"/>
      <c r="AS198" s="478"/>
      <c r="AT198" s="476"/>
      <c r="AU198" s="482"/>
      <c r="AV198" s="478"/>
      <c r="AW198" s="483"/>
      <c r="AX198" s="476"/>
      <c r="AY198" s="482"/>
      <c r="AZ198" s="478"/>
      <c r="BA198" s="484"/>
      <c r="BB198" s="474"/>
      <c r="BC198" s="485"/>
      <c r="BD198" s="485"/>
      <c r="BG198" s="487"/>
    </row>
    <row r="199" spans="1:59" s="486" customFormat="1" ht="18" customHeight="1" x14ac:dyDescent="0.2">
      <c r="A199" s="1368" t="str">
        <f t="shared" si="132"/>
        <v>SINAMBEK - STADION OLAHRAGA2009</v>
      </c>
      <c r="B199" s="1373"/>
      <c r="C199" s="463"/>
      <c r="D199" s="464"/>
      <c r="E199" s="465"/>
      <c r="F199" s="466">
        <v>2009</v>
      </c>
      <c r="G199" s="620">
        <v>0</v>
      </c>
      <c r="H199" s="464">
        <f t="shared" ref="H199:H208" si="133">IF(N198-(F199-F198)&lt;=0,0,(N198-(F199-F198)))</f>
        <v>2</v>
      </c>
      <c r="I199" s="467"/>
      <c r="J199" s="468">
        <f t="shared" ref="J199:J208" si="134">(F199+N199)-1</f>
        <v>2010</v>
      </c>
      <c r="K199" s="490">
        <f t="shared" ref="K199:K208" si="135">IF(G199=0,0,IF(H199=10,100%,G199/W198))</f>
        <v>0</v>
      </c>
      <c r="L199" s="469">
        <f t="shared" ref="L199:L208" si="136">IF(K199=0%,0,IF(K199&lt;=30%,2,IF(K199&lt;=60%,5,10)))</f>
        <v>0</v>
      </c>
      <c r="M199" s="683">
        <f t="shared" ref="M199:M209" si="137">IF(OR(AND(ISBLANK(E199),ISBLANK(G199)),ISTEXT(E199),ISTEXT(G199)),"",IF(H199+L199&gt;$H$197,$H$197-H199,L199))</f>
        <v>0</v>
      </c>
      <c r="N199" s="470">
        <f t="shared" ref="N199:N208" si="138">IF(OR(AND(ISBLANK(F199),ISBLANK(G199)),ISTEXT(F199),ISTEXT(G199)),"",H199+M199)</f>
        <v>2</v>
      </c>
      <c r="O199" s="468">
        <f t="shared" ref="O199:O208" si="139">(F199+N199)-1</f>
        <v>2010</v>
      </c>
      <c r="P199" s="616">
        <f t="shared" ref="P199:P208" si="140">W198</f>
        <v>135000000</v>
      </c>
      <c r="Q199" s="472">
        <f t="shared" ref="Q199:Q208" si="141">P199+G199</f>
        <v>135000000</v>
      </c>
      <c r="R199" s="472">
        <f t="shared" ref="R199:R208" si="142">IF(L199=0,R198,Q199/N199)</f>
        <v>67500000</v>
      </c>
      <c r="S199" s="1189">
        <f t="shared" ref="S199:S208" si="143">F199</f>
        <v>2009</v>
      </c>
      <c r="T199" s="470">
        <f t="shared" ref="T199:T208" si="144">S199-S198</f>
        <v>1</v>
      </c>
      <c r="U199" s="612">
        <f t="shared" ref="U199:U208" si="145">R199*T199</f>
        <v>67500000</v>
      </c>
      <c r="V199" s="464">
        <f t="shared" ref="V199:V208" si="146">F199</f>
        <v>2009</v>
      </c>
      <c r="W199" s="612">
        <f t="shared" ref="W199:W208" si="147">IF(OR(AND(ISBLANK(E199),ISBLANK(G199)),ISTEXT(E199),ISTEXT(G199)),"",Q199-U199)</f>
        <v>67500000</v>
      </c>
      <c r="X199" s="473"/>
      <c r="Y199" s="474"/>
      <c r="Z199" s="449"/>
      <c r="AA199" s="475"/>
      <c r="AB199" s="476"/>
      <c r="AC199" s="476"/>
      <c r="AD199" s="568"/>
      <c r="AE199" s="476"/>
      <c r="AF199" s="568"/>
      <c r="AG199" s="476"/>
      <c r="AH199" s="476"/>
      <c r="AI199" s="477"/>
      <c r="AJ199" s="478"/>
      <c r="AK199" s="479"/>
      <c r="AL199" s="480"/>
      <c r="AM199" s="474"/>
      <c r="AN199" s="481"/>
      <c r="AO199" s="474"/>
      <c r="AP199" s="476"/>
      <c r="AQ199" s="482"/>
      <c r="AR199" s="478"/>
      <c r="AS199" s="478"/>
      <c r="AT199" s="476"/>
      <c r="AU199" s="482"/>
      <c r="AV199" s="478"/>
      <c r="AW199" s="483"/>
      <c r="AX199" s="476"/>
      <c r="AY199" s="482"/>
      <c r="AZ199" s="478"/>
      <c r="BA199" s="484"/>
      <c r="BB199" s="474"/>
      <c r="BC199" s="485"/>
      <c r="BD199" s="485"/>
      <c r="BG199" s="487"/>
    </row>
    <row r="200" spans="1:59" s="486" customFormat="1" ht="18" customHeight="1" x14ac:dyDescent="0.2">
      <c r="A200" s="1368" t="str">
        <f t="shared" si="132"/>
        <v>SINAMBEK - STADION OLAHRAGA2010</v>
      </c>
      <c r="B200" s="1373">
        <v>2</v>
      </c>
      <c r="C200" s="493" t="s">
        <v>5094</v>
      </c>
      <c r="D200" s="464"/>
      <c r="E200" s="465"/>
      <c r="F200" s="466">
        <v>2010</v>
      </c>
      <c r="G200" s="620">
        <v>10736337149.30512</v>
      </c>
      <c r="H200" s="464">
        <f t="shared" si="133"/>
        <v>1</v>
      </c>
      <c r="I200" s="467"/>
      <c r="J200" s="468">
        <f t="shared" si="134"/>
        <v>2019</v>
      </c>
      <c r="K200" s="490">
        <f t="shared" si="135"/>
        <v>159.05684665637216</v>
      </c>
      <c r="L200" s="469">
        <f t="shared" si="136"/>
        <v>10</v>
      </c>
      <c r="M200" s="683">
        <f t="shared" si="137"/>
        <v>9</v>
      </c>
      <c r="N200" s="470">
        <f t="shared" si="138"/>
        <v>10</v>
      </c>
      <c r="O200" s="468">
        <f t="shared" si="139"/>
        <v>2019</v>
      </c>
      <c r="P200" s="616">
        <f t="shared" si="140"/>
        <v>67500000</v>
      </c>
      <c r="Q200" s="472">
        <f t="shared" si="141"/>
        <v>10803837149.30512</v>
      </c>
      <c r="R200" s="472">
        <f t="shared" si="142"/>
        <v>1080383714.930512</v>
      </c>
      <c r="S200" s="1189">
        <f t="shared" si="143"/>
        <v>2010</v>
      </c>
      <c r="T200" s="470">
        <f t="shared" si="144"/>
        <v>1</v>
      </c>
      <c r="U200" s="612">
        <f t="shared" si="145"/>
        <v>1080383714.930512</v>
      </c>
      <c r="V200" s="464">
        <f t="shared" si="146"/>
        <v>2010</v>
      </c>
      <c r="W200" s="612">
        <f t="shared" si="147"/>
        <v>9723453434.374609</v>
      </c>
      <c r="X200" s="473"/>
      <c r="Y200" s="474"/>
      <c r="Z200" s="449"/>
      <c r="AA200" s="475"/>
      <c r="AB200" s="476"/>
      <c r="AC200" s="476"/>
      <c r="AD200" s="568"/>
      <c r="AE200" s="476"/>
      <c r="AF200" s="568"/>
      <c r="AG200" s="476"/>
      <c r="AH200" s="476"/>
      <c r="AI200" s="477"/>
      <c r="AJ200" s="478"/>
      <c r="AK200" s="479"/>
      <c r="AL200" s="480"/>
      <c r="AM200" s="474"/>
      <c r="AN200" s="481"/>
      <c r="AO200" s="474"/>
      <c r="AP200" s="476"/>
      <c r="AQ200" s="482"/>
      <c r="AR200" s="478"/>
      <c r="AS200" s="478"/>
      <c r="AT200" s="476"/>
      <c r="AU200" s="482"/>
      <c r="AV200" s="478"/>
      <c r="AW200" s="483"/>
      <c r="AX200" s="476"/>
      <c r="AY200" s="482"/>
      <c r="AZ200" s="478"/>
      <c r="BA200" s="484"/>
      <c r="BB200" s="474"/>
      <c r="BC200" s="485"/>
      <c r="BD200" s="485"/>
      <c r="BG200" s="487"/>
    </row>
    <row r="201" spans="1:59" s="486" customFormat="1" ht="18" customHeight="1" x14ac:dyDescent="0.2">
      <c r="A201" s="1368" t="str">
        <f t="shared" si="132"/>
        <v>SINAMBEK - STADION OLAHRAGA2011</v>
      </c>
      <c r="B201" s="1373">
        <v>3</v>
      </c>
      <c r="C201" s="493" t="s">
        <v>1227</v>
      </c>
      <c r="D201" s="464" t="s">
        <v>2494</v>
      </c>
      <c r="E201" s="465"/>
      <c r="F201" s="466">
        <v>2011</v>
      </c>
      <c r="G201" s="620">
        <v>562181911.29999995</v>
      </c>
      <c r="H201" s="464">
        <f t="shared" si="133"/>
        <v>9</v>
      </c>
      <c r="I201" s="467"/>
      <c r="J201" s="468">
        <f t="shared" si="134"/>
        <v>2020</v>
      </c>
      <c r="K201" s="490">
        <f t="shared" si="135"/>
        <v>5.7817103264212653E-2</v>
      </c>
      <c r="L201" s="469">
        <f t="shared" si="136"/>
        <v>2</v>
      </c>
      <c r="M201" s="683">
        <f t="shared" si="137"/>
        <v>1</v>
      </c>
      <c r="N201" s="470">
        <f t="shared" si="138"/>
        <v>10</v>
      </c>
      <c r="O201" s="468">
        <f t="shared" si="139"/>
        <v>2020</v>
      </c>
      <c r="P201" s="616">
        <f t="shared" si="140"/>
        <v>9723453434.374609</v>
      </c>
      <c r="Q201" s="472">
        <f t="shared" si="141"/>
        <v>10285635345.674608</v>
      </c>
      <c r="R201" s="472">
        <f t="shared" si="142"/>
        <v>1028563534.5674608</v>
      </c>
      <c r="S201" s="1189">
        <f t="shared" si="143"/>
        <v>2011</v>
      </c>
      <c r="T201" s="470">
        <f t="shared" si="144"/>
        <v>1</v>
      </c>
      <c r="U201" s="612">
        <f t="shared" si="145"/>
        <v>1028563534.5674608</v>
      </c>
      <c r="V201" s="464">
        <f t="shared" si="146"/>
        <v>2011</v>
      </c>
      <c r="W201" s="612">
        <f t="shared" si="147"/>
        <v>9257071811.1071472</v>
      </c>
      <c r="X201" s="473"/>
      <c r="Y201" s="478"/>
      <c r="Z201" s="449"/>
      <c r="AA201" s="475" t="s">
        <v>4181</v>
      </c>
      <c r="AB201" s="491"/>
      <c r="AC201" s="491"/>
      <c r="AD201" s="568">
        <f>U211</f>
        <v>8979994536.1174622</v>
      </c>
      <c r="AE201" s="491"/>
      <c r="AF201" s="568"/>
      <c r="AG201" s="491"/>
      <c r="AH201" s="491"/>
      <c r="AI201" s="477"/>
      <c r="AJ201" s="478"/>
      <c r="AK201" s="479"/>
      <c r="AL201" s="480"/>
      <c r="AM201" s="474"/>
      <c r="AN201" s="481"/>
      <c r="AO201" s="474"/>
      <c r="AP201" s="476"/>
      <c r="AQ201" s="482"/>
      <c r="AR201" s="478"/>
      <c r="AS201" s="478"/>
      <c r="AT201" s="476"/>
      <c r="AU201" s="482"/>
      <c r="AV201" s="478"/>
      <c r="AW201" s="483"/>
      <c r="AX201" s="476"/>
      <c r="AY201" s="482"/>
      <c r="AZ201" s="478"/>
      <c r="BA201" s="484"/>
      <c r="BB201" s="474"/>
      <c r="BC201" s="485"/>
      <c r="BD201" s="485"/>
      <c r="BG201" s="487"/>
    </row>
    <row r="202" spans="1:59" s="486" customFormat="1" ht="18" customHeight="1" x14ac:dyDescent="0.2">
      <c r="A202" s="1368" t="str">
        <f t="shared" si="132"/>
        <v>SINAMBEK - STADION OLAHRAGA2012</v>
      </c>
      <c r="B202" s="1373"/>
      <c r="C202" s="463"/>
      <c r="D202" s="464"/>
      <c r="E202" s="465"/>
      <c r="F202" s="466">
        <v>2012</v>
      </c>
      <c r="G202" s="620">
        <v>0</v>
      </c>
      <c r="H202" s="464">
        <f t="shared" si="133"/>
        <v>9</v>
      </c>
      <c r="I202" s="467"/>
      <c r="J202" s="468">
        <f t="shared" si="134"/>
        <v>2020</v>
      </c>
      <c r="K202" s="490">
        <f t="shared" si="135"/>
        <v>0</v>
      </c>
      <c r="L202" s="469">
        <f t="shared" si="136"/>
        <v>0</v>
      </c>
      <c r="M202" s="683">
        <f t="shared" si="137"/>
        <v>0</v>
      </c>
      <c r="N202" s="470">
        <f t="shared" si="138"/>
        <v>9</v>
      </c>
      <c r="O202" s="468">
        <f t="shared" si="139"/>
        <v>2020</v>
      </c>
      <c r="P202" s="616">
        <f t="shared" si="140"/>
        <v>9257071811.1071472</v>
      </c>
      <c r="Q202" s="472">
        <f t="shared" si="141"/>
        <v>9257071811.1071472</v>
      </c>
      <c r="R202" s="472">
        <f t="shared" si="142"/>
        <v>1028563534.5674608</v>
      </c>
      <c r="S202" s="1189">
        <f t="shared" si="143"/>
        <v>2012</v>
      </c>
      <c r="T202" s="470">
        <f t="shared" si="144"/>
        <v>1</v>
      </c>
      <c r="U202" s="612">
        <f t="shared" si="145"/>
        <v>1028563534.5674608</v>
      </c>
      <c r="V202" s="464">
        <f t="shared" si="146"/>
        <v>2012</v>
      </c>
      <c r="W202" s="612">
        <f t="shared" si="147"/>
        <v>8228508276.5396862</v>
      </c>
      <c r="X202" s="473"/>
      <c r="Y202" s="478"/>
      <c r="Z202" s="449"/>
      <c r="AA202" s="475"/>
      <c r="AB202" s="491"/>
      <c r="AC202" s="491"/>
      <c r="AD202" s="568"/>
      <c r="AE202" s="491"/>
      <c r="AF202" s="568"/>
      <c r="AG202" s="491"/>
      <c r="AH202" s="491"/>
      <c r="AI202" s="477"/>
      <c r="AJ202" s="478"/>
      <c r="AK202" s="479"/>
      <c r="AL202" s="480"/>
      <c r="AM202" s="474"/>
      <c r="AN202" s="481"/>
      <c r="AO202" s="474"/>
      <c r="AP202" s="476"/>
      <c r="AQ202" s="482"/>
      <c r="AR202" s="478"/>
      <c r="AS202" s="478"/>
      <c r="AT202" s="476"/>
      <c r="AU202" s="482"/>
      <c r="AV202" s="478"/>
      <c r="AW202" s="483"/>
      <c r="AX202" s="476"/>
      <c r="AY202" s="482"/>
      <c r="AZ202" s="478"/>
      <c r="BA202" s="484"/>
      <c r="BB202" s="474"/>
      <c r="BC202" s="485"/>
      <c r="BD202" s="485"/>
      <c r="BG202" s="487"/>
    </row>
    <row r="203" spans="1:59" s="486" customFormat="1" ht="18" customHeight="1" x14ac:dyDescent="0.2">
      <c r="A203" s="1368" t="str">
        <f t="shared" si="132"/>
        <v>SINAMBEK - STADION OLAHRAGA2013</v>
      </c>
      <c r="B203" s="1373"/>
      <c r="C203" s="463"/>
      <c r="D203" s="464"/>
      <c r="E203" s="465"/>
      <c r="F203" s="466">
        <v>2013</v>
      </c>
      <c r="G203" s="620">
        <v>0</v>
      </c>
      <c r="H203" s="464">
        <f t="shared" si="133"/>
        <v>8</v>
      </c>
      <c r="I203" s="467"/>
      <c r="J203" s="468">
        <f t="shared" si="134"/>
        <v>2020</v>
      </c>
      <c r="K203" s="490">
        <f t="shared" si="135"/>
        <v>0</v>
      </c>
      <c r="L203" s="469">
        <f t="shared" si="136"/>
        <v>0</v>
      </c>
      <c r="M203" s="683">
        <f t="shared" si="137"/>
        <v>0</v>
      </c>
      <c r="N203" s="470">
        <f t="shared" si="138"/>
        <v>8</v>
      </c>
      <c r="O203" s="468">
        <f t="shared" si="139"/>
        <v>2020</v>
      </c>
      <c r="P203" s="616">
        <f t="shared" si="140"/>
        <v>8228508276.5396862</v>
      </c>
      <c r="Q203" s="472">
        <f t="shared" si="141"/>
        <v>8228508276.5396862</v>
      </c>
      <c r="R203" s="472">
        <f t="shared" si="142"/>
        <v>1028563534.5674608</v>
      </c>
      <c r="S203" s="1189">
        <f t="shared" si="143"/>
        <v>2013</v>
      </c>
      <c r="T203" s="470">
        <f t="shared" si="144"/>
        <v>1</v>
      </c>
      <c r="U203" s="612">
        <f t="shared" si="145"/>
        <v>1028563534.5674608</v>
      </c>
      <c r="V203" s="464">
        <f t="shared" si="146"/>
        <v>2013</v>
      </c>
      <c r="W203" s="612">
        <f t="shared" si="147"/>
        <v>7199944741.9722252</v>
      </c>
      <c r="X203" s="473"/>
      <c r="Y203" s="478"/>
      <c r="Z203" s="449"/>
      <c r="AA203" s="475"/>
      <c r="AB203" s="491"/>
      <c r="AC203" s="491"/>
      <c r="AD203" s="568"/>
      <c r="AE203" s="491"/>
      <c r="AF203" s="568"/>
      <c r="AG203" s="491"/>
      <c r="AH203" s="491"/>
      <c r="AI203" s="477"/>
      <c r="AJ203" s="478"/>
      <c r="AK203" s="479"/>
      <c r="AL203" s="480"/>
      <c r="AM203" s="474"/>
      <c r="AN203" s="481"/>
      <c r="AO203" s="474"/>
      <c r="AP203" s="476"/>
      <c r="AQ203" s="482"/>
      <c r="AR203" s="478"/>
      <c r="AS203" s="478"/>
      <c r="AT203" s="476"/>
      <c r="AU203" s="482"/>
      <c r="AV203" s="478"/>
      <c r="AW203" s="483"/>
      <c r="AX203" s="476"/>
      <c r="AY203" s="482"/>
      <c r="AZ203" s="478"/>
      <c r="BA203" s="484"/>
      <c r="BB203" s="474"/>
      <c r="BC203" s="485"/>
      <c r="BD203" s="485"/>
      <c r="BG203" s="487"/>
    </row>
    <row r="204" spans="1:59" s="486" customFormat="1" ht="18" customHeight="1" x14ac:dyDescent="0.2">
      <c r="A204" s="1368" t="str">
        <f t="shared" si="132"/>
        <v>SINAMBEK - STADION OLAHRAGA2014</v>
      </c>
      <c r="B204" s="1373">
        <v>4</v>
      </c>
      <c r="C204" s="488" t="s">
        <v>1302</v>
      </c>
      <c r="D204" s="464" t="s">
        <v>2494</v>
      </c>
      <c r="E204" s="465"/>
      <c r="F204" s="466">
        <v>2014</v>
      </c>
      <c r="G204" s="620">
        <v>197719954</v>
      </c>
      <c r="H204" s="464">
        <f t="shared" si="133"/>
        <v>7</v>
      </c>
      <c r="I204" s="467"/>
      <c r="J204" s="468">
        <f t="shared" si="134"/>
        <v>2022</v>
      </c>
      <c r="K204" s="490">
        <f t="shared" si="135"/>
        <v>2.7461315480296327E-2</v>
      </c>
      <c r="L204" s="469">
        <f t="shared" si="136"/>
        <v>2</v>
      </c>
      <c r="M204" s="683">
        <f t="shared" si="137"/>
        <v>2</v>
      </c>
      <c r="N204" s="470">
        <f t="shared" si="138"/>
        <v>9</v>
      </c>
      <c r="O204" s="468">
        <f t="shared" si="139"/>
        <v>2022</v>
      </c>
      <c r="P204" s="616">
        <f t="shared" si="140"/>
        <v>7199944741.9722252</v>
      </c>
      <c r="Q204" s="472">
        <f t="shared" si="141"/>
        <v>7397664695.9722252</v>
      </c>
      <c r="R204" s="472">
        <f t="shared" si="142"/>
        <v>821962743.99691391</v>
      </c>
      <c r="S204" s="1189">
        <f t="shared" si="143"/>
        <v>2014</v>
      </c>
      <c r="T204" s="470">
        <f t="shared" si="144"/>
        <v>1</v>
      </c>
      <c r="U204" s="612">
        <f t="shared" si="145"/>
        <v>821962743.99691391</v>
      </c>
      <c r="V204" s="464">
        <f t="shared" si="146"/>
        <v>2014</v>
      </c>
      <c r="W204" s="612">
        <f t="shared" si="147"/>
        <v>6575701951.9753113</v>
      </c>
      <c r="X204" s="473"/>
      <c r="Y204" s="478"/>
      <c r="Z204" s="449"/>
      <c r="AA204" s="492" t="s">
        <v>4182</v>
      </c>
      <c r="AB204" s="476"/>
      <c r="AC204" s="476"/>
      <c r="AD204" s="568">
        <f>AD198-AD201</f>
        <v>3384457473.4876575</v>
      </c>
      <c r="AE204" s="476"/>
      <c r="AF204" s="568"/>
      <c r="AG204" s="476"/>
      <c r="AH204" s="476"/>
      <c r="AI204" s="477"/>
      <c r="AJ204" s="478"/>
      <c r="AK204" s="479"/>
      <c r="AL204" s="480"/>
      <c r="AM204" s="474"/>
      <c r="AN204" s="481"/>
      <c r="AO204" s="474"/>
      <c r="AP204" s="476"/>
      <c r="AQ204" s="482"/>
      <c r="AR204" s="478"/>
      <c r="AS204" s="478"/>
      <c r="AT204" s="476"/>
      <c r="AU204" s="482"/>
      <c r="AV204" s="478"/>
      <c r="AW204" s="483"/>
      <c r="AX204" s="476"/>
      <c r="AY204" s="482"/>
      <c r="AZ204" s="478"/>
      <c r="BA204" s="484"/>
      <c r="BB204" s="474"/>
      <c r="BC204" s="485"/>
      <c r="BD204" s="485"/>
      <c r="BG204" s="487"/>
    </row>
    <row r="205" spans="1:59" s="486" customFormat="1" ht="18" customHeight="1" x14ac:dyDescent="0.2">
      <c r="A205" s="1368" t="str">
        <f t="shared" si="132"/>
        <v>SINAMBEK - STADION OLAHRAGA2015</v>
      </c>
      <c r="B205" s="687">
        <v>5</v>
      </c>
      <c r="C205" s="463" t="s">
        <v>1401</v>
      </c>
      <c r="D205" s="464" t="s">
        <v>2494</v>
      </c>
      <c r="E205" s="465"/>
      <c r="F205" s="466">
        <v>2015</v>
      </c>
      <c r="G205" s="620">
        <v>193212995</v>
      </c>
      <c r="H205" s="464">
        <f t="shared" si="133"/>
        <v>8</v>
      </c>
      <c r="I205" s="467"/>
      <c r="J205" s="468">
        <f t="shared" si="134"/>
        <v>2024</v>
      </c>
      <c r="K205" s="490">
        <f t="shared" si="135"/>
        <v>2.938286990668117E-2</v>
      </c>
      <c r="L205" s="469">
        <f t="shared" si="136"/>
        <v>2</v>
      </c>
      <c r="M205" s="683">
        <f t="shared" si="137"/>
        <v>2</v>
      </c>
      <c r="N205" s="470">
        <f t="shared" si="138"/>
        <v>10</v>
      </c>
      <c r="O205" s="468">
        <f t="shared" si="139"/>
        <v>2024</v>
      </c>
      <c r="P205" s="616">
        <f t="shared" si="140"/>
        <v>6575701951.9753113</v>
      </c>
      <c r="Q205" s="472">
        <f t="shared" si="141"/>
        <v>6768914946.9753113</v>
      </c>
      <c r="R205" s="472">
        <f t="shared" si="142"/>
        <v>676891494.6975311</v>
      </c>
      <c r="S205" s="1189">
        <f t="shared" si="143"/>
        <v>2015</v>
      </c>
      <c r="T205" s="470">
        <f t="shared" si="144"/>
        <v>1</v>
      </c>
      <c r="U205" s="612">
        <f t="shared" si="145"/>
        <v>676891494.6975311</v>
      </c>
      <c r="V205" s="464">
        <f t="shared" si="146"/>
        <v>2015</v>
      </c>
      <c r="W205" s="612">
        <f t="shared" si="147"/>
        <v>6092023452.2777805</v>
      </c>
      <c r="X205" s="473"/>
      <c r="Y205" s="478"/>
      <c r="Z205" s="449"/>
      <c r="AA205" s="531" t="s">
        <v>4183</v>
      </c>
      <c r="AB205" s="476"/>
      <c r="AC205" s="476"/>
      <c r="AD205" s="568">
        <f>AD204-W211</f>
        <v>0</v>
      </c>
      <c r="AE205" s="476"/>
      <c r="AF205" s="568"/>
      <c r="AG205" s="476"/>
      <c r="AH205" s="476"/>
      <c r="AI205" s="477"/>
      <c r="AJ205" s="478"/>
      <c r="AK205" s="479"/>
      <c r="AL205" s="480"/>
      <c r="AM205" s="474"/>
      <c r="AN205" s="481"/>
      <c r="AO205" s="474"/>
      <c r="AP205" s="476"/>
      <c r="AQ205" s="482"/>
      <c r="AR205" s="478"/>
      <c r="AS205" s="478"/>
      <c r="AT205" s="476"/>
      <c r="AU205" s="482"/>
      <c r="AV205" s="478"/>
      <c r="AW205" s="483"/>
      <c r="AX205" s="476"/>
      <c r="AY205" s="482"/>
      <c r="AZ205" s="478"/>
      <c r="BA205" s="484"/>
      <c r="BB205" s="474"/>
      <c r="BC205" s="485"/>
      <c r="BD205" s="485"/>
      <c r="BG205" s="487"/>
    </row>
    <row r="206" spans="1:59" s="486" customFormat="1" ht="18" customHeight="1" x14ac:dyDescent="0.2">
      <c r="A206" s="1368" t="str">
        <f t="shared" si="132"/>
        <v>SINAMBEK - STADION OLAHRAGA2016</v>
      </c>
      <c r="B206" s="687"/>
      <c r="C206" s="494" t="s">
        <v>383</v>
      </c>
      <c r="D206" s="494" t="s">
        <v>383</v>
      </c>
      <c r="E206" s="465"/>
      <c r="F206" s="466">
        <f>F205+1</f>
        <v>2016</v>
      </c>
      <c r="G206" s="620">
        <v>0</v>
      </c>
      <c r="H206" s="464">
        <f t="shared" si="133"/>
        <v>9</v>
      </c>
      <c r="I206" s="467"/>
      <c r="J206" s="468">
        <f t="shared" si="134"/>
        <v>2024</v>
      </c>
      <c r="K206" s="490">
        <f t="shared" si="135"/>
        <v>0</v>
      </c>
      <c r="L206" s="469">
        <f t="shared" si="136"/>
        <v>0</v>
      </c>
      <c r="M206" s="683">
        <f t="shared" si="137"/>
        <v>0</v>
      </c>
      <c r="N206" s="470">
        <f t="shared" si="138"/>
        <v>9</v>
      </c>
      <c r="O206" s="468">
        <f t="shared" si="139"/>
        <v>2024</v>
      </c>
      <c r="P206" s="616">
        <f t="shared" si="140"/>
        <v>6092023452.2777805</v>
      </c>
      <c r="Q206" s="472">
        <f t="shared" si="141"/>
        <v>6092023452.2777805</v>
      </c>
      <c r="R206" s="472">
        <f t="shared" si="142"/>
        <v>676891494.6975311</v>
      </c>
      <c r="S206" s="1189">
        <f t="shared" si="143"/>
        <v>2016</v>
      </c>
      <c r="T206" s="470">
        <f t="shared" si="144"/>
        <v>1</v>
      </c>
      <c r="U206" s="612">
        <f t="shared" si="145"/>
        <v>676891494.6975311</v>
      </c>
      <c r="V206" s="464">
        <f t="shared" si="146"/>
        <v>2016</v>
      </c>
      <c r="W206" s="612">
        <f t="shared" si="147"/>
        <v>5415131957.5802498</v>
      </c>
      <c r="X206" s="473"/>
      <c r="Y206" s="478"/>
      <c r="Z206" s="449"/>
      <c r="AA206" s="497"/>
      <c r="AB206" s="476"/>
      <c r="AC206" s="476"/>
      <c r="AD206" s="568"/>
      <c r="AE206" s="476"/>
      <c r="AF206" s="568"/>
      <c r="AG206" s="476"/>
      <c r="AH206" s="476"/>
      <c r="AI206" s="477"/>
      <c r="AJ206" s="478"/>
      <c r="AK206" s="479"/>
      <c r="AL206" s="480"/>
      <c r="AM206" s="474"/>
      <c r="AN206" s="481"/>
      <c r="AO206" s="474"/>
      <c r="AP206" s="476"/>
      <c r="AQ206" s="482"/>
      <c r="AR206" s="478"/>
      <c r="AS206" s="478"/>
      <c r="AT206" s="476"/>
      <c r="AU206" s="482"/>
      <c r="AV206" s="478"/>
      <c r="AW206" s="483"/>
      <c r="AX206" s="476"/>
      <c r="AY206" s="482"/>
      <c r="AZ206" s="478"/>
      <c r="BA206" s="484"/>
      <c r="BB206" s="474"/>
      <c r="BC206" s="485"/>
      <c r="BD206" s="485"/>
      <c r="BG206" s="487"/>
    </row>
    <row r="207" spans="1:59" s="486" customFormat="1" ht="18" customHeight="1" x14ac:dyDescent="0.2">
      <c r="A207" s="1368" t="str">
        <f t="shared" si="132"/>
        <v>SINAMBEK - STADION OLAHRAGA2017</v>
      </c>
      <c r="B207" s="687"/>
      <c r="C207" s="463"/>
      <c r="D207" s="464"/>
      <c r="E207" s="465"/>
      <c r="F207" s="466">
        <f>F206+1</f>
        <v>2017</v>
      </c>
      <c r="G207" s="620">
        <v>0</v>
      </c>
      <c r="H207" s="464">
        <f t="shared" si="133"/>
        <v>8</v>
      </c>
      <c r="I207" s="467"/>
      <c r="J207" s="468">
        <f t="shared" si="134"/>
        <v>2024</v>
      </c>
      <c r="K207" s="490">
        <f t="shared" si="135"/>
        <v>0</v>
      </c>
      <c r="L207" s="469">
        <f t="shared" si="136"/>
        <v>0</v>
      </c>
      <c r="M207" s="683">
        <f t="shared" si="137"/>
        <v>0</v>
      </c>
      <c r="N207" s="470">
        <f t="shared" si="138"/>
        <v>8</v>
      </c>
      <c r="O207" s="468">
        <f t="shared" si="139"/>
        <v>2024</v>
      </c>
      <c r="P207" s="616">
        <f t="shared" si="140"/>
        <v>5415131957.5802498</v>
      </c>
      <c r="Q207" s="472">
        <f t="shared" si="141"/>
        <v>5415131957.5802498</v>
      </c>
      <c r="R207" s="472">
        <f t="shared" si="142"/>
        <v>676891494.6975311</v>
      </c>
      <c r="S207" s="1189">
        <f t="shared" si="143"/>
        <v>2017</v>
      </c>
      <c r="T207" s="470">
        <f t="shared" si="144"/>
        <v>1</v>
      </c>
      <c r="U207" s="612">
        <f t="shared" si="145"/>
        <v>676891494.6975311</v>
      </c>
      <c r="V207" s="464">
        <f t="shared" si="146"/>
        <v>2017</v>
      </c>
      <c r="W207" s="612">
        <f t="shared" si="147"/>
        <v>4738240462.882719</v>
      </c>
      <c r="X207" s="473"/>
      <c r="Y207" s="497"/>
      <c r="Z207" s="449"/>
      <c r="AA207" s="497"/>
      <c r="AB207" s="476"/>
      <c r="AC207" s="497"/>
      <c r="AD207" s="568"/>
      <c r="AE207" s="476"/>
      <c r="AF207" s="568"/>
      <c r="AG207" s="476"/>
      <c r="AH207" s="476"/>
      <c r="AI207" s="477"/>
      <c r="AJ207" s="478"/>
      <c r="AK207" s="479"/>
      <c r="AL207" s="480"/>
      <c r="AM207" s="474"/>
      <c r="AN207" s="481"/>
      <c r="AO207" s="474"/>
      <c r="AP207" s="476"/>
      <c r="AQ207" s="482"/>
      <c r="AR207" s="478"/>
      <c r="AS207" s="478"/>
      <c r="AT207" s="476"/>
      <c r="AU207" s="482"/>
      <c r="AV207" s="478"/>
      <c r="AW207" s="483"/>
      <c r="AX207" s="476"/>
      <c r="AY207" s="482"/>
      <c r="AZ207" s="478"/>
      <c r="BA207" s="484"/>
      <c r="BB207" s="474"/>
      <c r="BC207" s="485"/>
      <c r="BD207" s="485"/>
      <c r="BG207" s="487"/>
    </row>
    <row r="208" spans="1:59" s="486" customFormat="1" ht="18" customHeight="1" x14ac:dyDescent="0.2">
      <c r="A208" s="1368" t="str">
        <f t="shared" si="132"/>
        <v>SINAMBEK - STADION OLAHRAGA2018</v>
      </c>
      <c r="B208" s="687"/>
      <c r="C208" s="463"/>
      <c r="D208" s="464"/>
      <c r="E208" s="465"/>
      <c r="F208" s="466">
        <v>2018</v>
      </c>
      <c r="G208" s="620">
        <v>0</v>
      </c>
      <c r="H208" s="464">
        <f t="shared" si="133"/>
        <v>7</v>
      </c>
      <c r="I208" s="467"/>
      <c r="J208" s="468">
        <f t="shared" si="134"/>
        <v>2024</v>
      </c>
      <c r="K208" s="490">
        <f t="shared" si="135"/>
        <v>0</v>
      </c>
      <c r="L208" s="469">
        <f t="shared" si="136"/>
        <v>0</v>
      </c>
      <c r="M208" s="683">
        <f t="shared" si="137"/>
        <v>0</v>
      </c>
      <c r="N208" s="470">
        <f t="shared" si="138"/>
        <v>7</v>
      </c>
      <c r="O208" s="468">
        <f t="shared" si="139"/>
        <v>2024</v>
      </c>
      <c r="P208" s="616">
        <f t="shared" si="140"/>
        <v>4738240462.882719</v>
      </c>
      <c r="Q208" s="472">
        <f t="shared" si="141"/>
        <v>4738240462.882719</v>
      </c>
      <c r="R208" s="472">
        <f t="shared" si="142"/>
        <v>676891494.6975311</v>
      </c>
      <c r="S208" s="1189">
        <f t="shared" si="143"/>
        <v>2018</v>
      </c>
      <c r="T208" s="470">
        <f t="shared" si="144"/>
        <v>1</v>
      </c>
      <c r="U208" s="612">
        <f t="shared" si="145"/>
        <v>676891494.6975311</v>
      </c>
      <c r="V208" s="464">
        <f t="shared" si="146"/>
        <v>2018</v>
      </c>
      <c r="W208" s="612">
        <f t="shared" si="147"/>
        <v>4061348968.1851878</v>
      </c>
      <c r="X208" s="473"/>
      <c r="Y208" s="497"/>
      <c r="Z208" s="449"/>
      <c r="AA208" s="497"/>
      <c r="AB208" s="476"/>
      <c r="AC208" s="497"/>
      <c r="AD208" s="568"/>
      <c r="AE208" s="476"/>
      <c r="AF208" s="568"/>
      <c r="AG208" s="476"/>
      <c r="AH208" s="476"/>
      <c r="AI208" s="477"/>
      <c r="AJ208" s="478"/>
      <c r="AK208" s="479"/>
      <c r="AL208" s="480"/>
      <c r="AM208" s="474"/>
      <c r="AN208" s="481"/>
      <c r="AO208" s="474"/>
      <c r="AP208" s="476"/>
      <c r="AQ208" s="482"/>
      <c r="AR208" s="478"/>
      <c r="AS208" s="478"/>
      <c r="AT208" s="476"/>
      <c r="AU208" s="482"/>
      <c r="AV208" s="478"/>
      <c r="AW208" s="483"/>
      <c r="AX208" s="476"/>
      <c r="AY208" s="482"/>
      <c r="AZ208" s="478"/>
      <c r="BA208" s="484"/>
      <c r="BB208" s="474"/>
      <c r="BC208" s="485"/>
      <c r="BD208" s="485"/>
      <c r="BG208" s="487"/>
    </row>
    <row r="209" spans="1:59" s="486" customFormat="1" ht="18" customHeight="1" x14ac:dyDescent="0.2">
      <c r="A209" s="1368" t="str">
        <f t="shared" si="132"/>
        <v>SINAMBEK - STADION OLAHRAGA2019</v>
      </c>
      <c r="B209" s="687"/>
      <c r="C209" s="463"/>
      <c r="D209" s="464"/>
      <c r="E209" s="465"/>
      <c r="F209" s="466">
        <v>2019</v>
      </c>
      <c r="G209" s="620">
        <v>0</v>
      </c>
      <c r="H209" s="464">
        <f>IF(N208-(F209-F208)&lt;=0,0,(N208-(F209-F208)))</f>
        <v>6</v>
      </c>
      <c r="I209" s="467"/>
      <c r="J209" s="468">
        <f>(F209+N209)-1</f>
        <v>2024</v>
      </c>
      <c r="K209" s="490">
        <f>IF(G209=0,0,IF(H209=10,100%,G209/W208))</f>
        <v>0</v>
      </c>
      <c r="L209" s="469">
        <f>IF(K209=0%,0,IF(K209&lt;=30%,2,IF(K209&lt;=60%,5,10)))</f>
        <v>0</v>
      </c>
      <c r="M209" s="683">
        <f t="shared" si="137"/>
        <v>0</v>
      </c>
      <c r="N209" s="470">
        <f>IF(OR(AND(ISBLANK(F209),ISBLANK(G209)),ISTEXT(F209),ISTEXT(G209)),"",H209+M209)</f>
        <v>6</v>
      </c>
      <c r="O209" s="468">
        <f>(F209+N209)-1</f>
        <v>2024</v>
      </c>
      <c r="P209" s="616">
        <f>W208</f>
        <v>4061348968.1851878</v>
      </c>
      <c r="Q209" s="472">
        <f>P209+G209</f>
        <v>4061348968.1851878</v>
      </c>
      <c r="R209" s="472">
        <f>IF(L209=0,R208,Q209/N209)</f>
        <v>676891494.6975311</v>
      </c>
      <c r="S209" s="1189">
        <f>F209</f>
        <v>2019</v>
      </c>
      <c r="T209" s="470">
        <f>S209-S208</f>
        <v>1</v>
      </c>
      <c r="U209" s="612">
        <f>R209*T209</f>
        <v>676891494.6975311</v>
      </c>
      <c r="V209" s="464">
        <f>F209</f>
        <v>2019</v>
      </c>
      <c r="W209" s="612">
        <f>IF(OR(AND(ISBLANK(E209),ISBLANK(G209)),ISTEXT(E209),ISTEXT(G209)),"",Q209-U209)</f>
        <v>3384457473.4876566</v>
      </c>
      <c r="X209" s="473"/>
      <c r="Y209" s="497"/>
      <c r="Z209" s="449"/>
      <c r="AA209" s="497"/>
      <c r="AB209" s="476"/>
      <c r="AC209" s="497"/>
      <c r="AD209" s="568"/>
      <c r="AE209" s="476"/>
      <c r="AF209" s="568"/>
      <c r="AG209" s="476"/>
      <c r="AH209" s="476"/>
      <c r="AI209" s="477"/>
      <c r="AJ209" s="478"/>
      <c r="AK209" s="479"/>
      <c r="AL209" s="480"/>
      <c r="AM209" s="474"/>
      <c r="AN209" s="481"/>
      <c r="AO209" s="474"/>
      <c r="AP209" s="476"/>
      <c r="AQ209" s="482"/>
      <c r="AR209" s="478"/>
      <c r="AS209" s="478"/>
      <c r="AT209" s="476"/>
      <c r="AU209" s="482"/>
      <c r="AV209" s="478"/>
      <c r="AW209" s="483"/>
      <c r="AX209" s="476"/>
      <c r="AY209" s="482"/>
      <c r="AZ209" s="478"/>
      <c r="BA209" s="484"/>
      <c r="BB209" s="474"/>
      <c r="BC209" s="485"/>
      <c r="BD209" s="485"/>
      <c r="BG209" s="487"/>
    </row>
    <row r="210" spans="1:59" s="486" customFormat="1" ht="18" customHeight="1" x14ac:dyDescent="0.2">
      <c r="A210" s="1369"/>
      <c r="B210" s="687"/>
      <c r="C210" s="463"/>
      <c r="D210" s="464"/>
      <c r="E210" s="465"/>
      <c r="F210" s="634"/>
      <c r="G210" s="620"/>
      <c r="H210" s="469" t="str">
        <f>IF(OR(AND(ISBLANK(E210),ISBLANK(G210)),ISTEXT(E210),ISTEXT(G210)),"",IF(#REF!-(YEAR(E210)-YEAR(#REF!))&lt;0,0,#REF!-(YEAR(E210)-YEAR(#REF!))))</f>
        <v/>
      </c>
      <c r="I210" s="467" t="str">
        <f>IF(OR(AND(ISBLANK(E210),ISBLANK(G210)),ISTEXT(E210),ISTEXT(G210)),"",IF(#REF!-E210&lt;0,0,#REF!-E210))</f>
        <v/>
      </c>
      <c r="J210" s="498" t="str">
        <f>IF(OR(AND(ISBLANK(E210),ISBLANK(G210)),ISTEXT(E210),ISTEXT(G210)),"",#REF!)</f>
        <v/>
      </c>
      <c r="K210" s="498"/>
      <c r="L210" s="469" t="str">
        <f>IF(OR(AND(ISBLANK(E210),ISBLANK(G210)),ISTEXT(E210),ISTEXT(G210)),"",ROUNDDOWN(G210/SUM($G$57:G207)*$H$57,0))</f>
        <v/>
      </c>
      <c r="M210" s="683" t="str">
        <f>IF(OR(AND(ISBLANK(E210),ISBLANK(G210)),ISTEXT(E210),ISTEXT(G210)),"",IF(H210+L210&gt;$H$57,$H$57-H210,L210))</f>
        <v/>
      </c>
      <c r="N210" s="470" t="str">
        <f>IF(OR(AND(ISBLANK(E210),ISBLANK(G210)),ISTEXT(E210),ISTEXT(G210)),"",H210+M210)</f>
        <v/>
      </c>
      <c r="O210" s="498" t="str">
        <f>IF(OR(AND(ISBLANK(E210),ISBLANK(G210)),ISTEXT(E210),ISTEXT(G210)),"",DATE(YEAR($J210)+M210,MONTH($J210),DAY($J210)))</f>
        <v/>
      </c>
      <c r="P210" s="748" t="str">
        <f>IF(OR(AND(ISBLANK(E210),ISBLANK(G210)),ISTEXT(E210),ISTEXT(G210)),"",#REF!-#REF!*(IF(J210&lt;E210,J210,E210)-#REF!))</f>
        <v/>
      </c>
      <c r="Q210" s="500" t="str">
        <f>IF(OR(AND(ISBLANK(E210),ISBLANK(G210)),ISTEXT(E210),ISTEXT(G210)),"",P210+G210)</f>
        <v/>
      </c>
      <c r="R210" s="501" t="str">
        <f>IF(OR(AND(ISBLANK(E210),ISBLANK(G210)),ISTEXT(E210),ISTEXT(G210)),"",IF(OR(E210&lt;DATE(2004,12,31),#REF!=0),0,Q210/#REF!))</f>
        <v/>
      </c>
      <c r="S210" s="502" t="str">
        <f>IF(OR(AND(ISBLANK(E210),ISBLANK(G210)),ISTEXT(E210),ISTEXT(G210)),"",IF(YEAR(E210)&lt;=YEAR(#REF!),"-",YEAR(E210)-1))</f>
        <v/>
      </c>
      <c r="T210" s="502"/>
      <c r="U210" s="612" t="str">
        <f>IF(OR(AND(ISBLANK(E210),ISBLANK(G210)),ISTEXT(E210),ISTEXT(G210)),"",IF(AND(J210&lt;=DATE(2004,12,31),E210&gt;J210),SUM($G210:G210),#REF!+#REF!+#REF!*IF(YEAR(E210)&lt;=YEAR(#REF!),0,(IF(DATE(YEAR(E210)-1,12,31)&gt;J210,J210,DATE(YEAR(E210)-1,12,31))-#REF!))))</f>
        <v/>
      </c>
      <c r="V210" s="503" t="str">
        <f>IF(OR(AND(ISBLANK(E210),ISBLANK(G210)),ISTEXT(E210),ISTEXT(G210)),"",IF(YEAR(E210)=YEAR(E211),E211,DATE(YEAR(E210),12,31)))</f>
        <v/>
      </c>
      <c r="W210" s="612" t="str">
        <f>IF(OR(AND(ISBLANK(E210),ISBLANK(G210)),ISTEXT(E210),ISTEXT(G210)),"",IF(Q210=0,0,IF(AND(J210&lt;=DATE(2004,12,31),E210&gt;=J210),Q210-U210,Q210-#REF!)))</f>
        <v/>
      </c>
      <c r="X210" s="504" t="str">
        <f>IF(OR(AND(ISBLANK(E210),ISBLANK(G210)),ISTEXT(E210),ISTEXT(G210)),"",$D$57&amp;"//"&amp;TEXT($E$57,"dd-mmm-yyyy")&amp;"//"&amp;#REF!)</f>
        <v/>
      </c>
      <c r="Y210" s="476"/>
      <c r="Z210" s="476"/>
      <c r="AA210" s="476"/>
      <c r="AB210" s="476"/>
      <c r="AC210" s="476"/>
      <c r="AD210" s="568"/>
      <c r="AE210" s="476"/>
      <c r="AF210" s="568"/>
      <c r="AG210" s="476"/>
      <c r="AH210" s="476"/>
      <c r="AI210" s="477"/>
      <c r="AJ210" s="478"/>
      <c r="AK210" s="479"/>
      <c r="AL210" s="480"/>
      <c r="AM210" s="474"/>
      <c r="AN210" s="481"/>
      <c r="AO210" s="474"/>
      <c r="AP210" s="476"/>
      <c r="AQ210" s="482"/>
      <c r="AR210" s="478"/>
      <c r="AS210" s="478"/>
      <c r="AT210" s="476"/>
      <c r="AU210" s="482"/>
      <c r="AV210" s="478"/>
      <c r="AW210" s="483"/>
      <c r="AX210" s="476"/>
      <c r="AY210" s="482"/>
      <c r="AZ210" s="478"/>
      <c r="BA210" s="484"/>
      <c r="BB210" s="474"/>
      <c r="BC210" s="485"/>
      <c r="BD210" s="485"/>
      <c r="BG210" s="487"/>
    </row>
    <row r="211" spans="1:59" s="526" customFormat="1" ht="18" customHeight="1" x14ac:dyDescent="0.2">
      <c r="A211" s="1370" t="s">
        <v>4184</v>
      </c>
      <c r="B211" s="1956" t="s">
        <v>4184</v>
      </c>
      <c r="C211" s="1957"/>
      <c r="D211" s="1957"/>
      <c r="E211" s="1957"/>
      <c r="F211" s="1958"/>
      <c r="G211" s="624">
        <f>SUM(G197:G210)</f>
        <v>12364452009.60512</v>
      </c>
      <c r="H211" s="505"/>
      <c r="I211" s="506"/>
      <c r="J211" s="507"/>
      <c r="K211" s="507"/>
      <c r="L211" s="505"/>
      <c r="M211" s="684"/>
      <c r="N211" s="508"/>
      <c r="O211" s="507"/>
      <c r="P211" s="749"/>
      <c r="Q211" s="510"/>
      <c r="R211" s="511"/>
      <c r="S211" s="512"/>
      <c r="T211" s="512"/>
      <c r="U211" s="610">
        <f>SUM(U197:U210)</f>
        <v>8979994536.1174622</v>
      </c>
      <c r="V211" s="513"/>
      <c r="W211" s="610">
        <f>G211-U211</f>
        <v>3384457473.4876575</v>
      </c>
      <c r="X211" s="514"/>
      <c r="Y211" s="515"/>
      <c r="Z211" s="515"/>
      <c r="AA211" s="515"/>
      <c r="AB211" s="515"/>
      <c r="AC211" s="515"/>
      <c r="AD211" s="570"/>
      <c r="AE211" s="515"/>
      <c r="AF211" s="570">
        <v>1216639920.1486001</v>
      </c>
      <c r="AG211" s="515"/>
      <c r="AH211" s="515"/>
      <c r="AI211" s="516"/>
      <c r="AJ211" s="517"/>
      <c r="AK211" s="518"/>
      <c r="AL211" s="519"/>
      <c r="AM211" s="520"/>
      <c r="AN211" s="521"/>
      <c r="AO211" s="520"/>
      <c r="AP211" s="515"/>
      <c r="AQ211" s="522"/>
      <c r="AR211" s="517"/>
      <c r="AS211" s="517"/>
      <c r="AT211" s="515"/>
      <c r="AU211" s="522"/>
      <c r="AV211" s="517"/>
      <c r="AW211" s="523"/>
      <c r="AX211" s="515"/>
      <c r="AY211" s="522"/>
      <c r="AZ211" s="517"/>
      <c r="BA211" s="524"/>
      <c r="BB211" s="520"/>
      <c r="BC211" s="525"/>
      <c r="BD211" s="525"/>
      <c r="BG211" s="527"/>
    </row>
    <row r="212" spans="1:59" x14ac:dyDescent="0.2">
      <c r="K212" s="627"/>
      <c r="AF212" s="562">
        <v>1192913525.6685998</v>
      </c>
    </row>
    <row r="214" spans="1:59" s="422" customFormat="1" ht="18" customHeight="1" x14ac:dyDescent="0.2">
      <c r="A214" s="1366">
        <f>C214</f>
        <v>18</v>
      </c>
      <c r="B214" s="742" t="s">
        <v>4187</v>
      </c>
      <c r="C214" s="556">
        <v>18</v>
      </c>
      <c r="D214" s="553" t="str">
        <f>VLOOKUP(C214,RUAS,2,FALSE)</f>
        <v>JL. DESA PL. KOPUNG - SEI. KUANTAN</v>
      </c>
      <c r="E214" s="553"/>
      <c r="F214" s="421"/>
      <c r="G214" s="611"/>
      <c r="I214" s="423"/>
      <c r="J214" s="424"/>
      <c r="K214" s="424"/>
      <c r="M214" s="680"/>
      <c r="P214" s="611"/>
      <c r="U214" s="611"/>
      <c r="W214" s="611"/>
      <c r="Y214" s="425"/>
      <c r="Z214" s="425"/>
      <c r="AA214" s="425"/>
      <c r="AB214" s="425"/>
      <c r="AC214" s="425"/>
      <c r="AD214" s="563"/>
      <c r="AE214" s="425"/>
      <c r="AF214" s="563"/>
      <c r="AG214" s="425"/>
      <c r="AH214" s="425"/>
      <c r="AI214" s="425"/>
      <c r="AJ214" s="425"/>
      <c r="AK214" s="425"/>
      <c r="AL214" s="425"/>
      <c r="AM214" s="425"/>
      <c r="AN214" s="425"/>
      <c r="AO214" s="425"/>
      <c r="AP214" s="425"/>
      <c r="AQ214" s="425"/>
      <c r="AR214" s="425"/>
      <c r="AS214" s="425"/>
      <c r="AT214" s="425"/>
      <c r="AU214" s="425"/>
      <c r="AV214" s="425"/>
      <c r="AW214" s="425"/>
      <c r="AX214" s="425"/>
      <c r="AY214" s="425"/>
      <c r="AZ214" s="425"/>
      <c r="BA214" s="425"/>
      <c r="BB214" s="425"/>
    </row>
    <row r="215" spans="1:59" s="431" customFormat="1" ht="18" customHeight="1" x14ac:dyDescent="0.2">
      <c r="A215" s="1367"/>
      <c r="B215" s="1968" t="s">
        <v>5</v>
      </c>
      <c r="C215" s="1968" t="s">
        <v>2280</v>
      </c>
      <c r="D215" s="1968" t="s">
        <v>4157</v>
      </c>
      <c r="E215" s="1968" t="s">
        <v>4158</v>
      </c>
      <c r="F215" s="1968"/>
      <c r="G215" s="1969" t="s">
        <v>4159</v>
      </c>
      <c r="H215" s="1968" t="s">
        <v>4160</v>
      </c>
      <c r="I215" s="1968"/>
      <c r="J215" s="1968" t="s">
        <v>4185</v>
      </c>
      <c r="K215" s="1964" t="s">
        <v>4162</v>
      </c>
      <c r="L215" s="1968" t="s">
        <v>4163</v>
      </c>
      <c r="M215" s="1971" t="s">
        <v>4164</v>
      </c>
      <c r="N215" s="1962" t="s">
        <v>4165</v>
      </c>
      <c r="O215" s="1968" t="s">
        <v>4166</v>
      </c>
      <c r="P215" s="1972" t="s">
        <v>4167</v>
      </c>
      <c r="Q215" s="1973"/>
      <c r="R215" s="1199" t="s">
        <v>4186</v>
      </c>
      <c r="S215" s="1972" t="s">
        <v>4169</v>
      </c>
      <c r="T215" s="1974"/>
      <c r="U215" s="1973"/>
      <c r="V215" s="1975" t="s">
        <v>4170</v>
      </c>
      <c r="W215" s="1975"/>
      <c r="X215" s="1960" t="s">
        <v>4171</v>
      </c>
      <c r="Y215" s="1959"/>
      <c r="Z215" s="1200"/>
      <c r="AA215" s="426"/>
      <c r="AB215" s="426"/>
      <c r="AC215" s="426"/>
      <c r="AD215" s="564"/>
      <c r="AE215" s="426"/>
      <c r="AF215" s="564"/>
      <c r="AG215" s="426"/>
      <c r="AH215" s="426"/>
      <c r="AI215" s="427"/>
      <c r="AJ215" s="427"/>
      <c r="AK215" s="427"/>
      <c r="AL215" s="427"/>
      <c r="AM215" s="428"/>
      <c r="AN215" s="427"/>
      <c r="AO215" s="427"/>
      <c r="AP215" s="426"/>
      <c r="AQ215" s="427"/>
      <c r="AR215" s="427"/>
      <c r="AS215" s="427"/>
      <c r="AT215" s="426"/>
      <c r="AU215" s="427"/>
      <c r="AV215" s="427"/>
      <c r="AW215" s="427"/>
      <c r="AX215" s="426"/>
      <c r="AY215" s="427"/>
      <c r="AZ215" s="427"/>
      <c r="BA215" s="427"/>
      <c r="BB215" s="429"/>
      <c r="BC215" s="430"/>
      <c r="BD215" s="430"/>
    </row>
    <row r="216" spans="1:59" s="431" customFormat="1" ht="18" customHeight="1" x14ac:dyDescent="0.2">
      <c r="A216" s="1367"/>
      <c r="B216" s="1968"/>
      <c r="C216" s="1968"/>
      <c r="D216" s="1968"/>
      <c r="E216" s="1968"/>
      <c r="F216" s="1968"/>
      <c r="G216" s="1969"/>
      <c r="H216" s="1968"/>
      <c r="I216" s="1968"/>
      <c r="J216" s="1968"/>
      <c r="K216" s="1970"/>
      <c r="L216" s="1968"/>
      <c r="M216" s="1971"/>
      <c r="N216" s="1963"/>
      <c r="O216" s="1968"/>
      <c r="P216" s="2037" t="s">
        <v>4172</v>
      </c>
      <c r="Q216" s="1960" t="s">
        <v>4173</v>
      </c>
      <c r="R216" s="1962" t="s">
        <v>4159</v>
      </c>
      <c r="S216" s="1962" t="s">
        <v>4174</v>
      </c>
      <c r="T216" s="1964" t="s">
        <v>4175</v>
      </c>
      <c r="U216" s="1966" t="s">
        <v>4159</v>
      </c>
      <c r="V216" s="1975"/>
      <c r="W216" s="1975"/>
      <c r="X216" s="1976"/>
      <c r="Y216" s="1959"/>
      <c r="Z216" s="1200"/>
      <c r="AA216" s="426"/>
      <c r="AB216" s="426"/>
      <c r="AC216" s="426"/>
      <c r="AD216" s="564"/>
      <c r="AE216" s="426"/>
      <c r="AF216" s="564"/>
      <c r="AG216" s="426"/>
      <c r="AH216" s="426"/>
      <c r="AI216" s="427"/>
      <c r="AJ216" s="427"/>
      <c r="AK216" s="426"/>
      <c r="AL216" s="427"/>
      <c r="AM216" s="428"/>
      <c r="AN216" s="427"/>
      <c r="AO216" s="427"/>
      <c r="AP216" s="432"/>
      <c r="AQ216" s="427"/>
      <c r="AR216" s="427"/>
      <c r="AS216" s="427"/>
      <c r="AT216" s="432"/>
      <c r="AU216" s="427"/>
      <c r="AV216" s="427"/>
      <c r="AW216" s="427"/>
      <c r="AX216" s="432"/>
      <c r="AY216" s="427"/>
      <c r="AZ216" s="427"/>
      <c r="BA216" s="427"/>
      <c r="BB216" s="429"/>
      <c r="BC216" s="430"/>
      <c r="BD216" s="430"/>
    </row>
    <row r="217" spans="1:59" s="431" customFormat="1" ht="18" customHeight="1" x14ac:dyDescent="0.2">
      <c r="A217" s="1367"/>
      <c r="B217" s="1968"/>
      <c r="C217" s="1968"/>
      <c r="D217" s="1968"/>
      <c r="E217" s="433" t="s">
        <v>4176</v>
      </c>
      <c r="F217" s="434" t="s">
        <v>2288</v>
      </c>
      <c r="G217" s="1969"/>
      <c r="H217" s="1197" t="s">
        <v>2288</v>
      </c>
      <c r="I217" s="1197" t="s">
        <v>4177</v>
      </c>
      <c r="J217" s="1968"/>
      <c r="K217" s="1965"/>
      <c r="L217" s="435" t="s">
        <v>2288</v>
      </c>
      <c r="M217" s="681" t="s">
        <v>2288</v>
      </c>
      <c r="N217" s="1197" t="s">
        <v>2288</v>
      </c>
      <c r="O217" s="1968"/>
      <c r="P217" s="2038"/>
      <c r="Q217" s="1961"/>
      <c r="R217" s="1963"/>
      <c r="S217" s="1963"/>
      <c r="T217" s="1965"/>
      <c r="U217" s="1967"/>
      <c r="V217" s="1197" t="s">
        <v>4178</v>
      </c>
      <c r="W217" s="1201" t="s">
        <v>4159</v>
      </c>
      <c r="X217" s="1961"/>
      <c r="Y217" s="436"/>
      <c r="Z217" s="436"/>
      <c r="AA217" s="426"/>
      <c r="AB217" s="426"/>
      <c r="AC217" s="426"/>
      <c r="AD217" s="564"/>
      <c r="AE217" s="426"/>
      <c r="AF217" s="564"/>
      <c r="AG217" s="426"/>
      <c r="AH217" s="426"/>
      <c r="AI217" s="427"/>
      <c r="AJ217" s="432"/>
      <c r="AK217" s="432"/>
      <c r="AL217" s="427"/>
      <c r="AM217" s="428"/>
      <c r="AN217" s="432"/>
      <c r="AO217" s="427"/>
      <c r="AP217" s="432"/>
      <c r="AQ217" s="432"/>
      <c r="AR217" s="427"/>
      <c r="AS217" s="427"/>
      <c r="AT217" s="432"/>
      <c r="AU217" s="432"/>
      <c r="AV217" s="427"/>
      <c r="AW217" s="427"/>
      <c r="AX217" s="432"/>
      <c r="AY217" s="432"/>
      <c r="AZ217" s="427"/>
      <c r="BA217" s="427"/>
      <c r="BB217" s="429"/>
      <c r="BC217" s="430"/>
      <c r="BD217" s="430"/>
    </row>
    <row r="218" spans="1:59" s="461" customFormat="1" ht="18" customHeight="1" x14ac:dyDescent="0.2">
      <c r="A218" s="1368" t="str">
        <f>$D$214&amp;S218</f>
        <v>JL. DESA PL. KOPUNG - SEI. KUANTAN2001</v>
      </c>
      <c r="B218" s="1373">
        <v>1</v>
      </c>
      <c r="C218" s="532" t="s">
        <v>529</v>
      </c>
      <c r="D218" s="437" t="s">
        <v>2494</v>
      </c>
      <c r="E218" s="438"/>
      <c r="F218" s="439">
        <v>2001</v>
      </c>
      <c r="G218" s="623">
        <v>540000000</v>
      </c>
      <c r="H218" s="440">
        <f>VLOOKUP(LEFT(D218,8),UE,4)</f>
        <v>10</v>
      </c>
      <c r="I218" s="441"/>
      <c r="J218" s="442">
        <f>(F218+N218)-1</f>
        <v>2010</v>
      </c>
      <c r="K218" s="443"/>
      <c r="L218" s="440"/>
      <c r="M218" s="746">
        <f>IF(H218+L218&gt;$H218,$H218-H218,L218)</f>
        <v>0</v>
      </c>
      <c r="N218" s="444">
        <f>H218+M218</f>
        <v>10</v>
      </c>
      <c r="O218" s="442">
        <f>(F218+N218)-1</f>
        <v>2010</v>
      </c>
      <c r="P218" s="617">
        <f>G218</f>
        <v>540000000</v>
      </c>
      <c r="Q218" s="445">
        <v>0</v>
      </c>
      <c r="R218" s="445">
        <f>P218/N218</f>
        <v>54000000</v>
      </c>
      <c r="S218" s="446">
        <f t="shared" ref="S218:S227" si="148">F218</f>
        <v>2001</v>
      </c>
      <c r="T218" s="447">
        <v>1</v>
      </c>
      <c r="U218" s="613">
        <f t="shared" ref="U218:U227" si="149">R218*T218</f>
        <v>54000000</v>
      </c>
      <c r="V218" s="442">
        <f>F218</f>
        <v>2001</v>
      </c>
      <c r="W218" s="617">
        <f>IF(OR(AND(ISBLANK(E218),ISBLANK(G218)),ISTEXT(E218),ISTEXT(G218)),"",G218-R218)</f>
        <v>486000000</v>
      </c>
      <c r="X218" s="448"/>
      <c r="Y218" s="449"/>
      <c r="Z218" s="449"/>
      <c r="AA218" s="450" t="s">
        <v>4179</v>
      </c>
      <c r="AB218" s="452"/>
      <c r="AC218" s="452"/>
      <c r="AD218" s="571"/>
      <c r="AE218" s="452"/>
      <c r="AF218" s="571"/>
      <c r="AG218" s="452"/>
      <c r="AH218" s="452"/>
      <c r="AI218" s="453"/>
      <c r="AJ218" s="449"/>
      <c r="AK218" s="453"/>
      <c r="AL218" s="454"/>
      <c r="AM218" s="455"/>
      <c r="AN218" s="456"/>
      <c r="AO218" s="455"/>
      <c r="AP218" s="452"/>
      <c r="AQ218" s="457"/>
      <c r="AR218" s="449"/>
      <c r="AS218" s="449"/>
      <c r="AT218" s="452"/>
      <c r="AU218" s="457"/>
      <c r="AV218" s="449"/>
      <c r="AW218" s="458"/>
      <c r="AX218" s="452"/>
      <c r="AY218" s="457"/>
      <c r="AZ218" s="449"/>
      <c r="BA218" s="459"/>
      <c r="BB218" s="455"/>
      <c r="BC218" s="460"/>
      <c r="BD218" s="460"/>
      <c r="BG218" s="462"/>
    </row>
    <row r="219" spans="1:59" s="486" customFormat="1" ht="18" customHeight="1" x14ac:dyDescent="0.2">
      <c r="A219" s="1368" t="str">
        <f t="shared" ref="A219:A228" si="150">$D$214&amp;S219</f>
        <v>JL. DESA PL. KOPUNG - SEI. KUANTAN2010</v>
      </c>
      <c r="B219" s="1373"/>
      <c r="C219" s="463"/>
      <c r="D219" s="464"/>
      <c r="E219" s="465"/>
      <c r="F219" s="466">
        <v>2010</v>
      </c>
      <c r="G219" s="620">
        <v>0</v>
      </c>
      <c r="H219" s="464">
        <f t="shared" ref="H219:H227" si="151">IF(N218-(F219-F218)&lt;=0,0,(N218-(F219-F218)))</f>
        <v>1</v>
      </c>
      <c r="I219" s="467"/>
      <c r="J219" s="468">
        <f t="shared" ref="J219:J227" si="152">(F219+N219)-1</f>
        <v>2010</v>
      </c>
      <c r="K219" s="490">
        <f t="shared" ref="K219:K227" si="153">IF(G219=0,0,IF(H219=10,100%,G219/W218))</f>
        <v>0</v>
      </c>
      <c r="L219" s="469">
        <f t="shared" ref="L219:L227" si="154">IF(K219=0%,0,IF(K219&lt;=30%,2,IF(K219&lt;=60%,5,10)))</f>
        <v>0</v>
      </c>
      <c r="M219" s="683">
        <f>IF(OR(AND(ISBLANK(E219),ISBLANK(G219)),ISTEXT(E219),ISTEXT(G219)),"",IF(H219+L219&gt;$H$218,$H$218-H219,L219))</f>
        <v>0</v>
      </c>
      <c r="N219" s="470">
        <f>IF(OR(AND(ISBLANK(F219),ISBLANK(G219)),ISTEXT(F219),ISTEXT(G219)),"",H219+M219)</f>
        <v>1</v>
      </c>
      <c r="O219" s="468">
        <f t="shared" ref="O219:O227" si="155">(F219+N219)-1</f>
        <v>2010</v>
      </c>
      <c r="P219" s="616">
        <f t="shared" ref="P219:P227" si="156">W218</f>
        <v>486000000</v>
      </c>
      <c r="Q219" s="472">
        <f t="shared" ref="Q219:Q227" si="157">P219+G219</f>
        <v>486000000</v>
      </c>
      <c r="R219" s="472">
        <f t="shared" ref="R219:R227" si="158">IF(L219=0,R218,Q219/N219)</f>
        <v>54000000</v>
      </c>
      <c r="S219" s="1189">
        <f t="shared" si="148"/>
        <v>2010</v>
      </c>
      <c r="T219" s="470">
        <f>S219-S218</f>
        <v>9</v>
      </c>
      <c r="U219" s="612">
        <f t="shared" si="149"/>
        <v>486000000</v>
      </c>
      <c r="V219" s="464">
        <f t="shared" ref="V219:V227" si="159">F219</f>
        <v>2010</v>
      </c>
      <c r="W219" s="612">
        <f t="shared" ref="W219:W227" si="160">IF(OR(AND(ISBLANK(E219),ISBLANK(G219)),ISTEXT(E219),ISTEXT(G219)),"",Q219-U219)</f>
        <v>0</v>
      </c>
      <c r="X219" s="473"/>
      <c r="Y219" s="474"/>
      <c r="Z219" s="449"/>
      <c r="AA219" s="475" t="s">
        <v>4180</v>
      </c>
      <c r="AB219" s="476"/>
      <c r="AC219" s="476"/>
      <c r="AD219" s="568">
        <f>G230</f>
        <v>734299755</v>
      </c>
      <c r="AE219" s="476"/>
      <c r="AF219" s="568"/>
      <c r="AG219" s="476"/>
      <c r="AH219" s="476"/>
      <c r="AI219" s="477"/>
      <c r="AJ219" s="478"/>
      <c r="AK219" s="479"/>
      <c r="AL219" s="480"/>
      <c r="AM219" s="474"/>
      <c r="AN219" s="481"/>
      <c r="AO219" s="474"/>
      <c r="AP219" s="476"/>
      <c r="AQ219" s="482"/>
      <c r="AR219" s="478"/>
      <c r="AS219" s="478"/>
      <c r="AT219" s="476"/>
      <c r="AU219" s="482"/>
      <c r="AV219" s="478"/>
      <c r="AW219" s="483"/>
      <c r="AX219" s="476"/>
      <c r="AY219" s="482"/>
      <c r="AZ219" s="478"/>
      <c r="BA219" s="484"/>
      <c r="BB219" s="474"/>
      <c r="BC219" s="485"/>
      <c r="BD219" s="485"/>
      <c r="BG219" s="487"/>
    </row>
    <row r="220" spans="1:59" s="486" customFormat="1" ht="18" customHeight="1" x14ac:dyDescent="0.2">
      <c r="A220" s="1368" t="str">
        <f t="shared" si="150"/>
        <v>JL. DESA PL. KOPUNG - SEI. KUANTAN2011</v>
      </c>
      <c r="B220" s="1373"/>
      <c r="C220" s="463"/>
      <c r="D220" s="464"/>
      <c r="E220" s="465"/>
      <c r="F220" s="466">
        <v>2011</v>
      </c>
      <c r="G220" s="620">
        <v>0</v>
      </c>
      <c r="H220" s="464">
        <f t="shared" si="151"/>
        <v>0</v>
      </c>
      <c r="I220" s="467"/>
      <c r="J220" s="468">
        <f t="shared" si="152"/>
        <v>2010</v>
      </c>
      <c r="K220" s="490">
        <f t="shared" si="153"/>
        <v>0</v>
      </c>
      <c r="L220" s="469">
        <f t="shared" si="154"/>
        <v>0</v>
      </c>
      <c r="M220" s="683">
        <f t="shared" ref="M220:M228" si="161">IF(OR(AND(ISBLANK(E220),ISBLANK(G220)),ISTEXT(E220),ISTEXT(G220)),"",IF(H220+L220&gt;$H$218,$H$218-H220,L220))</f>
        <v>0</v>
      </c>
      <c r="N220" s="470">
        <f t="shared" ref="N220:N227" si="162">IF(OR(AND(ISBLANK(F220),ISBLANK(G220)),ISTEXT(F220),ISTEXT(G220)),"",H220+M220)</f>
        <v>0</v>
      </c>
      <c r="O220" s="468">
        <f t="shared" si="155"/>
        <v>2010</v>
      </c>
      <c r="P220" s="616">
        <f t="shared" si="156"/>
        <v>0</v>
      </c>
      <c r="Q220" s="472">
        <f t="shared" si="157"/>
        <v>0</v>
      </c>
      <c r="R220" s="472">
        <v>0</v>
      </c>
      <c r="S220" s="1189">
        <f t="shared" si="148"/>
        <v>2011</v>
      </c>
      <c r="T220" s="470">
        <f t="shared" ref="T220:T227" si="163">S220-S219</f>
        <v>1</v>
      </c>
      <c r="U220" s="612">
        <f t="shared" si="149"/>
        <v>0</v>
      </c>
      <c r="V220" s="464">
        <f t="shared" si="159"/>
        <v>2011</v>
      </c>
      <c r="W220" s="612">
        <f t="shared" si="160"/>
        <v>0</v>
      </c>
      <c r="X220" s="473"/>
      <c r="Y220" s="478"/>
      <c r="Z220" s="449"/>
      <c r="AA220" s="475" t="s">
        <v>4181</v>
      </c>
      <c r="AB220" s="491"/>
      <c r="AC220" s="491"/>
      <c r="AD220" s="568">
        <f>U230</f>
        <v>637149877.5</v>
      </c>
      <c r="AE220" s="491"/>
      <c r="AF220" s="568"/>
      <c r="AG220" s="491"/>
      <c r="AH220" s="491"/>
      <c r="AI220" s="477"/>
      <c r="AJ220" s="478"/>
      <c r="AK220" s="479"/>
      <c r="AL220" s="480"/>
      <c r="AM220" s="474"/>
      <c r="AN220" s="481"/>
      <c r="AO220" s="474"/>
      <c r="AP220" s="476"/>
      <c r="AQ220" s="482"/>
      <c r="AR220" s="478"/>
      <c r="AS220" s="478"/>
      <c r="AT220" s="476"/>
      <c r="AU220" s="482"/>
      <c r="AV220" s="478"/>
      <c r="AW220" s="483"/>
      <c r="AX220" s="476"/>
      <c r="AY220" s="482"/>
      <c r="AZ220" s="478"/>
      <c r="BA220" s="484"/>
      <c r="BB220" s="474"/>
      <c r="BC220" s="485"/>
      <c r="BD220" s="485"/>
      <c r="BG220" s="487"/>
    </row>
    <row r="221" spans="1:59" s="486" customFormat="1" ht="18" customHeight="1" x14ac:dyDescent="0.2">
      <c r="A221" s="1368" t="str">
        <f t="shared" si="150"/>
        <v>JL. DESA PL. KOPUNG - SEI. KUANTAN2012</v>
      </c>
      <c r="B221" s="1373"/>
      <c r="C221" s="463"/>
      <c r="D221" s="464"/>
      <c r="E221" s="465"/>
      <c r="F221" s="466">
        <v>2012</v>
      </c>
      <c r="G221" s="620">
        <v>0</v>
      </c>
      <c r="H221" s="464">
        <f t="shared" si="151"/>
        <v>0</v>
      </c>
      <c r="I221" s="467"/>
      <c r="J221" s="468">
        <f t="shared" si="152"/>
        <v>2011</v>
      </c>
      <c r="K221" s="490">
        <f t="shared" si="153"/>
        <v>0</v>
      </c>
      <c r="L221" s="469">
        <f t="shared" si="154"/>
        <v>0</v>
      </c>
      <c r="M221" s="683">
        <f t="shared" si="161"/>
        <v>0</v>
      </c>
      <c r="N221" s="470">
        <f t="shared" si="162"/>
        <v>0</v>
      </c>
      <c r="O221" s="468">
        <f t="shared" si="155"/>
        <v>2011</v>
      </c>
      <c r="P221" s="616">
        <f t="shared" si="156"/>
        <v>0</v>
      </c>
      <c r="Q221" s="472">
        <f t="shared" si="157"/>
        <v>0</v>
      </c>
      <c r="R221" s="472">
        <f t="shared" si="158"/>
        <v>0</v>
      </c>
      <c r="S221" s="1189">
        <f t="shared" si="148"/>
        <v>2012</v>
      </c>
      <c r="T221" s="470">
        <f t="shared" si="163"/>
        <v>1</v>
      </c>
      <c r="U221" s="612">
        <f t="shared" si="149"/>
        <v>0</v>
      </c>
      <c r="V221" s="464">
        <f t="shared" si="159"/>
        <v>2012</v>
      </c>
      <c r="W221" s="612">
        <f t="shared" si="160"/>
        <v>0</v>
      </c>
      <c r="X221" s="473"/>
      <c r="Y221" s="478"/>
      <c r="Z221" s="449"/>
      <c r="AA221" s="475"/>
      <c r="AB221" s="491"/>
      <c r="AC221" s="491"/>
      <c r="AD221" s="568"/>
      <c r="AE221" s="491"/>
      <c r="AF221" s="568"/>
      <c r="AG221" s="491"/>
      <c r="AH221" s="491"/>
      <c r="AI221" s="477"/>
      <c r="AJ221" s="478"/>
      <c r="AK221" s="479"/>
      <c r="AL221" s="480"/>
      <c r="AM221" s="474"/>
      <c r="AN221" s="481"/>
      <c r="AO221" s="474"/>
      <c r="AP221" s="476"/>
      <c r="AQ221" s="482"/>
      <c r="AR221" s="478"/>
      <c r="AS221" s="478"/>
      <c r="AT221" s="476"/>
      <c r="AU221" s="482"/>
      <c r="AV221" s="478"/>
      <c r="AW221" s="483"/>
      <c r="AX221" s="476"/>
      <c r="AY221" s="482"/>
      <c r="AZ221" s="478"/>
      <c r="BA221" s="484"/>
      <c r="BB221" s="474"/>
      <c r="BC221" s="485"/>
      <c r="BD221" s="485"/>
      <c r="BG221" s="487"/>
    </row>
    <row r="222" spans="1:59" s="486" customFormat="1" ht="18" customHeight="1" x14ac:dyDescent="0.2">
      <c r="A222" s="1368" t="str">
        <f t="shared" si="150"/>
        <v>JL. DESA PL. KOPUNG - SEI. KUANTAN2013</v>
      </c>
      <c r="B222" s="1373"/>
      <c r="C222" s="463"/>
      <c r="D222" s="464"/>
      <c r="E222" s="465"/>
      <c r="F222" s="466">
        <v>2013</v>
      </c>
      <c r="G222" s="620">
        <v>0</v>
      </c>
      <c r="H222" s="464">
        <f t="shared" si="151"/>
        <v>0</v>
      </c>
      <c r="I222" s="467"/>
      <c r="J222" s="468">
        <f t="shared" si="152"/>
        <v>2012</v>
      </c>
      <c r="K222" s="490">
        <f t="shared" si="153"/>
        <v>0</v>
      </c>
      <c r="L222" s="469">
        <f t="shared" si="154"/>
        <v>0</v>
      </c>
      <c r="M222" s="683">
        <f t="shared" si="161"/>
        <v>0</v>
      </c>
      <c r="N222" s="470">
        <f t="shared" si="162"/>
        <v>0</v>
      </c>
      <c r="O222" s="468">
        <f t="shared" si="155"/>
        <v>2012</v>
      </c>
      <c r="P222" s="616">
        <f t="shared" si="156"/>
        <v>0</v>
      </c>
      <c r="Q222" s="472">
        <f t="shared" si="157"/>
        <v>0</v>
      </c>
      <c r="R222" s="472">
        <f t="shared" si="158"/>
        <v>0</v>
      </c>
      <c r="S222" s="1189">
        <f t="shared" si="148"/>
        <v>2013</v>
      </c>
      <c r="T222" s="470">
        <f t="shared" si="163"/>
        <v>1</v>
      </c>
      <c r="U222" s="612">
        <f t="shared" si="149"/>
        <v>0</v>
      </c>
      <c r="V222" s="464">
        <f t="shared" si="159"/>
        <v>2013</v>
      </c>
      <c r="W222" s="612">
        <f t="shared" si="160"/>
        <v>0</v>
      </c>
      <c r="X222" s="473"/>
      <c r="Y222" s="478"/>
      <c r="Z222" s="449"/>
      <c r="AA222" s="475"/>
      <c r="AB222" s="491"/>
      <c r="AC222" s="491"/>
      <c r="AD222" s="568"/>
      <c r="AE222" s="491"/>
      <c r="AF222" s="568"/>
      <c r="AG222" s="491"/>
      <c r="AH222" s="491"/>
      <c r="AI222" s="477"/>
      <c r="AJ222" s="478"/>
      <c r="AK222" s="479"/>
      <c r="AL222" s="480"/>
      <c r="AM222" s="474"/>
      <c r="AN222" s="481"/>
      <c r="AO222" s="474"/>
      <c r="AP222" s="476"/>
      <c r="AQ222" s="482"/>
      <c r="AR222" s="478"/>
      <c r="AS222" s="478"/>
      <c r="AT222" s="476"/>
      <c r="AU222" s="482"/>
      <c r="AV222" s="478"/>
      <c r="AW222" s="483"/>
      <c r="AX222" s="476"/>
      <c r="AY222" s="482"/>
      <c r="AZ222" s="478"/>
      <c r="BA222" s="484"/>
      <c r="BB222" s="474"/>
      <c r="BC222" s="485"/>
      <c r="BD222" s="485"/>
      <c r="BG222" s="487"/>
    </row>
    <row r="223" spans="1:59" s="486" customFormat="1" ht="18" customHeight="1" x14ac:dyDescent="0.2">
      <c r="A223" s="1368" t="str">
        <f t="shared" si="150"/>
        <v>JL. DESA PL. KOPUNG - SEI. KUANTAN2014</v>
      </c>
      <c r="B223" s="1373"/>
      <c r="C223" s="488"/>
      <c r="D223" s="464"/>
      <c r="E223" s="465"/>
      <c r="F223" s="466">
        <v>2014</v>
      </c>
      <c r="G223" s="620">
        <v>0</v>
      </c>
      <c r="H223" s="464">
        <f t="shared" si="151"/>
        <v>0</v>
      </c>
      <c r="I223" s="467"/>
      <c r="J223" s="468">
        <f t="shared" si="152"/>
        <v>2013</v>
      </c>
      <c r="K223" s="490">
        <f t="shared" si="153"/>
        <v>0</v>
      </c>
      <c r="L223" s="469">
        <f t="shared" si="154"/>
        <v>0</v>
      </c>
      <c r="M223" s="683">
        <f t="shared" si="161"/>
        <v>0</v>
      </c>
      <c r="N223" s="470">
        <f t="shared" si="162"/>
        <v>0</v>
      </c>
      <c r="O223" s="468">
        <f t="shared" si="155"/>
        <v>2013</v>
      </c>
      <c r="P223" s="616">
        <f t="shared" si="156"/>
        <v>0</v>
      </c>
      <c r="Q223" s="472">
        <f t="shared" si="157"/>
        <v>0</v>
      </c>
      <c r="R223" s="472">
        <f t="shared" si="158"/>
        <v>0</v>
      </c>
      <c r="S223" s="1189">
        <f t="shared" si="148"/>
        <v>2014</v>
      </c>
      <c r="T223" s="470">
        <f t="shared" si="163"/>
        <v>1</v>
      </c>
      <c r="U223" s="612">
        <f t="shared" si="149"/>
        <v>0</v>
      </c>
      <c r="V223" s="464">
        <f t="shared" si="159"/>
        <v>2014</v>
      </c>
      <c r="W223" s="612">
        <f t="shared" si="160"/>
        <v>0</v>
      </c>
      <c r="X223" s="473"/>
      <c r="Y223" s="478"/>
      <c r="Z223" s="449"/>
      <c r="AA223" s="492" t="s">
        <v>4182</v>
      </c>
      <c r="AB223" s="476"/>
      <c r="AC223" s="476"/>
      <c r="AD223" s="568">
        <f>AD219-AD220</f>
        <v>97149877.5</v>
      </c>
      <c r="AE223" s="476"/>
      <c r="AF223" s="568"/>
      <c r="AG223" s="476"/>
      <c r="AH223" s="476"/>
      <c r="AI223" s="477"/>
      <c r="AJ223" s="478"/>
      <c r="AK223" s="479"/>
      <c r="AL223" s="480"/>
      <c r="AM223" s="474"/>
      <c r="AN223" s="481"/>
      <c r="AO223" s="474"/>
      <c r="AP223" s="476"/>
      <c r="AQ223" s="482"/>
      <c r="AR223" s="478"/>
      <c r="AS223" s="478"/>
      <c r="AT223" s="476"/>
      <c r="AU223" s="482"/>
      <c r="AV223" s="478"/>
      <c r="AW223" s="483"/>
      <c r="AX223" s="476"/>
      <c r="AY223" s="482"/>
      <c r="AZ223" s="478"/>
      <c r="BA223" s="484"/>
      <c r="BB223" s="474"/>
      <c r="BC223" s="485"/>
      <c r="BD223" s="485"/>
      <c r="BG223" s="487"/>
    </row>
    <row r="224" spans="1:59" s="486" customFormat="1" ht="18" customHeight="1" x14ac:dyDescent="0.2">
      <c r="A224" s="1368" t="str">
        <f t="shared" si="150"/>
        <v>JL. DESA PL. KOPUNG - SEI. KUANTAN2015</v>
      </c>
      <c r="B224" s="687">
        <v>2</v>
      </c>
      <c r="C224" s="463" t="s">
        <v>1390</v>
      </c>
      <c r="D224" s="464" t="s">
        <v>2494</v>
      </c>
      <c r="E224" s="465"/>
      <c r="F224" s="466">
        <v>2015</v>
      </c>
      <c r="G224" s="620">
        <v>194299755</v>
      </c>
      <c r="H224" s="557">
        <f>VLOOKUP(LEFT(D224,8),UE,4)</f>
        <v>10</v>
      </c>
      <c r="I224" s="467"/>
      <c r="J224" s="468">
        <f t="shared" si="152"/>
        <v>2024</v>
      </c>
      <c r="K224" s="490">
        <f t="shared" si="153"/>
        <v>1</v>
      </c>
      <c r="L224" s="469">
        <f t="shared" si="154"/>
        <v>10</v>
      </c>
      <c r="M224" s="683">
        <f t="shared" si="161"/>
        <v>0</v>
      </c>
      <c r="N224" s="470">
        <f t="shared" si="162"/>
        <v>10</v>
      </c>
      <c r="O224" s="468">
        <f t="shared" si="155"/>
        <v>2024</v>
      </c>
      <c r="P224" s="616">
        <f t="shared" si="156"/>
        <v>0</v>
      </c>
      <c r="Q224" s="472">
        <f t="shared" si="157"/>
        <v>194299755</v>
      </c>
      <c r="R224" s="472">
        <f t="shared" si="158"/>
        <v>19429975.5</v>
      </c>
      <c r="S224" s="1189">
        <f t="shared" si="148"/>
        <v>2015</v>
      </c>
      <c r="T224" s="470">
        <f t="shared" si="163"/>
        <v>1</v>
      </c>
      <c r="U224" s="612">
        <f t="shared" si="149"/>
        <v>19429975.5</v>
      </c>
      <c r="V224" s="464">
        <f t="shared" si="159"/>
        <v>2015</v>
      </c>
      <c r="W224" s="612">
        <f t="shared" si="160"/>
        <v>174869779.5</v>
      </c>
      <c r="X224" s="473"/>
      <c r="Y224" s="478"/>
      <c r="Z224" s="449"/>
      <c r="AA224" s="531" t="s">
        <v>4183</v>
      </c>
      <c r="AB224" s="476"/>
      <c r="AC224" s="476"/>
      <c r="AD224" s="568">
        <f>AD223-W230</f>
        <v>0</v>
      </c>
      <c r="AE224" s="476"/>
      <c r="AF224" s="568"/>
      <c r="AG224" s="476"/>
      <c r="AH224" s="476"/>
      <c r="AI224" s="477"/>
      <c r="AJ224" s="478"/>
      <c r="AK224" s="479"/>
      <c r="AL224" s="480"/>
      <c r="AM224" s="474"/>
      <c r="AN224" s="481"/>
      <c r="AO224" s="474"/>
      <c r="AP224" s="476"/>
      <c r="AQ224" s="482"/>
      <c r="AR224" s="478"/>
      <c r="AS224" s="478"/>
      <c r="AT224" s="476"/>
      <c r="AU224" s="482"/>
      <c r="AV224" s="478"/>
      <c r="AW224" s="483"/>
      <c r="AX224" s="476"/>
      <c r="AY224" s="482"/>
      <c r="AZ224" s="478"/>
      <c r="BA224" s="484"/>
      <c r="BB224" s="474"/>
      <c r="BC224" s="485"/>
      <c r="BD224" s="485"/>
      <c r="BG224" s="487"/>
    </row>
    <row r="225" spans="1:59" s="486" customFormat="1" ht="18" customHeight="1" x14ac:dyDescent="0.2">
      <c r="A225" s="1368" t="str">
        <f t="shared" si="150"/>
        <v>JL. DESA PL. KOPUNG - SEI. KUANTAN2016</v>
      </c>
      <c r="B225" s="687"/>
      <c r="C225" s="494" t="s">
        <v>383</v>
      </c>
      <c r="D225" s="494" t="s">
        <v>383</v>
      </c>
      <c r="E225" s="465"/>
      <c r="F225" s="466">
        <f>F224+1</f>
        <v>2016</v>
      </c>
      <c r="G225" s="620">
        <v>0</v>
      </c>
      <c r="H225" s="464">
        <f t="shared" si="151"/>
        <v>9</v>
      </c>
      <c r="I225" s="467"/>
      <c r="J225" s="468">
        <f t="shared" si="152"/>
        <v>2024</v>
      </c>
      <c r="K225" s="490">
        <f t="shared" si="153"/>
        <v>0</v>
      </c>
      <c r="L225" s="469">
        <f t="shared" si="154"/>
        <v>0</v>
      </c>
      <c r="M225" s="683">
        <f t="shared" si="161"/>
        <v>0</v>
      </c>
      <c r="N225" s="470">
        <f t="shared" si="162"/>
        <v>9</v>
      </c>
      <c r="O225" s="468">
        <f t="shared" si="155"/>
        <v>2024</v>
      </c>
      <c r="P225" s="616">
        <f t="shared" si="156"/>
        <v>174869779.5</v>
      </c>
      <c r="Q225" s="472">
        <f t="shared" si="157"/>
        <v>174869779.5</v>
      </c>
      <c r="R225" s="472">
        <f t="shared" si="158"/>
        <v>19429975.5</v>
      </c>
      <c r="S225" s="1189">
        <f t="shared" si="148"/>
        <v>2016</v>
      </c>
      <c r="T225" s="470">
        <f t="shared" si="163"/>
        <v>1</v>
      </c>
      <c r="U225" s="612">
        <f t="shared" si="149"/>
        <v>19429975.5</v>
      </c>
      <c r="V225" s="464">
        <f t="shared" si="159"/>
        <v>2016</v>
      </c>
      <c r="W225" s="612">
        <f t="shared" si="160"/>
        <v>155439804</v>
      </c>
      <c r="X225" s="473"/>
      <c r="Y225" s="478"/>
      <c r="Z225" s="449"/>
      <c r="AA225" s="497"/>
      <c r="AB225" s="476"/>
      <c r="AC225" s="476"/>
      <c r="AD225" s="568"/>
      <c r="AE225" s="476"/>
      <c r="AF225" s="568"/>
      <c r="AG225" s="476"/>
      <c r="AH225" s="476"/>
      <c r="AI225" s="477"/>
      <c r="AJ225" s="478"/>
      <c r="AK225" s="479"/>
      <c r="AL225" s="480"/>
      <c r="AM225" s="474"/>
      <c r="AN225" s="481"/>
      <c r="AO225" s="474"/>
      <c r="AP225" s="476"/>
      <c r="AQ225" s="482"/>
      <c r="AR225" s="478"/>
      <c r="AS225" s="478"/>
      <c r="AT225" s="476"/>
      <c r="AU225" s="482"/>
      <c r="AV225" s="478"/>
      <c r="AW225" s="483"/>
      <c r="AX225" s="476"/>
      <c r="AY225" s="482"/>
      <c r="AZ225" s="478"/>
      <c r="BA225" s="484"/>
      <c r="BB225" s="474"/>
      <c r="BC225" s="485"/>
      <c r="BD225" s="485"/>
      <c r="BG225" s="487"/>
    </row>
    <row r="226" spans="1:59" s="486" customFormat="1" ht="18" customHeight="1" x14ac:dyDescent="0.2">
      <c r="A226" s="1368" t="str">
        <f t="shared" si="150"/>
        <v>JL. DESA PL. KOPUNG - SEI. KUANTAN2017</v>
      </c>
      <c r="B226" s="687"/>
      <c r="C226" s="463"/>
      <c r="D226" s="464"/>
      <c r="E226" s="465"/>
      <c r="F226" s="466">
        <f>F225+1</f>
        <v>2017</v>
      </c>
      <c r="G226" s="620">
        <v>0</v>
      </c>
      <c r="H226" s="464">
        <f t="shared" si="151"/>
        <v>8</v>
      </c>
      <c r="I226" s="467"/>
      <c r="J226" s="468">
        <f t="shared" si="152"/>
        <v>2024</v>
      </c>
      <c r="K226" s="490">
        <f t="shared" si="153"/>
        <v>0</v>
      </c>
      <c r="L226" s="469">
        <f t="shared" si="154"/>
        <v>0</v>
      </c>
      <c r="M226" s="683">
        <f t="shared" si="161"/>
        <v>0</v>
      </c>
      <c r="N226" s="470">
        <f t="shared" si="162"/>
        <v>8</v>
      </c>
      <c r="O226" s="468">
        <f t="shared" si="155"/>
        <v>2024</v>
      </c>
      <c r="P226" s="616">
        <f t="shared" si="156"/>
        <v>155439804</v>
      </c>
      <c r="Q226" s="472">
        <f t="shared" si="157"/>
        <v>155439804</v>
      </c>
      <c r="R226" s="472">
        <f t="shared" si="158"/>
        <v>19429975.5</v>
      </c>
      <c r="S226" s="1189">
        <f t="shared" si="148"/>
        <v>2017</v>
      </c>
      <c r="T226" s="470">
        <f t="shared" si="163"/>
        <v>1</v>
      </c>
      <c r="U226" s="612">
        <f t="shared" si="149"/>
        <v>19429975.5</v>
      </c>
      <c r="V226" s="464">
        <f t="shared" si="159"/>
        <v>2017</v>
      </c>
      <c r="W226" s="612">
        <f t="shared" si="160"/>
        <v>136009828.5</v>
      </c>
      <c r="X226" s="473"/>
      <c r="Y226" s="497"/>
      <c r="Z226" s="449"/>
      <c r="AA226" s="497"/>
      <c r="AB226" s="476"/>
      <c r="AC226" s="497"/>
      <c r="AD226" s="568"/>
      <c r="AE226" s="476"/>
      <c r="AF226" s="568"/>
      <c r="AG226" s="476"/>
      <c r="AH226" s="476"/>
      <c r="AI226" s="477"/>
      <c r="AJ226" s="478"/>
      <c r="AK226" s="479"/>
      <c r="AL226" s="480"/>
      <c r="AM226" s="474"/>
      <c r="AN226" s="481"/>
      <c r="AO226" s="474"/>
      <c r="AP226" s="476"/>
      <c r="AQ226" s="482"/>
      <c r="AR226" s="478"/>
      <c r="AS226" s="478"/>
      <c r="AT226" s="476"/>
      <c r="AU226" s="482"/>
      <c r="AV226" s="478"/>
      <c r="AW226" s="483"/>
      <c r="AX226" s="476"/>
      <c r="AY226" s="482"/>
      <c r="AZ226" s="478"/>
      <c r="BA226" s="484"/>
      <c r="BB226" s="474"/>
      <c r="BC226" s="485"/>
      <c r="BD226" s="485"/>
      <c r="BG226" s="487"/>
    </row>
    <row r="227" spans="1:59" s="486" customFormat="1" ht="18" customHeight="1" x14ac:dyDescent="0.2">
      <c r="A227" s="1368" t="str">
        <f t="shared" si="150"/>
        <v>JL. DESA PL. KOPUNG - SEI. KUANTAN2018</v>
      </c>
      <c r="B227" s="687"/>
      <c r="C227" s="463"/>
      <c r="D227" s="464"/>
      <c r="E227" s="465"/>
      <c r="F227" s="466">
        <v>2018</v>
      </c>
      <c r="G227" s="620">
        <v>0</v>
      </c>
      <c r="H227" s="464">
        <f t="shared" si="151"/>
        <v>7</v>
      </c>
      <c r="I227" s="467"/>
      <c r="J227" s="468">
        <f t="shared" si="152"/>
        <v>2024</v>
      </c>
      <c r="K227" s="490">
        <f t="shared" si="153"/>
        <v>0</v>
      </c>
      <c r="L227" s="469">
        <f t="shared" si="154"/>
        <v>0</v>
      </c>
      <c r="M227" s="683">
        <f t="shared" si="161"/>
        <v>0</v>
      </c>
      <c r="N227" s="470">
        <f t="shared" si="162"/>
        <v>7</v>
      </c>
      <c r="O227" s="468">
        <f t="shared" si="155"/>
        <v>2024</v>
      </c>
      <c r="P227" s="616">
        <f t="shared" si="156"/>
        <v>136009828.5</v>
      </c>
      <c r="Q227" s="472">
        <f t="shared" si="157"/>
        <v>136009828.5</v>
      </c>
      <c r="R227" s="472">
        <f t="shared" si="158"/>
        <v>19429975.5</v>
      </c>
      <c r="S227" s="1189">
        <f t="shared" si="148"/>
        <v>2018</v>
      </c>
      <c r="T227" s="470">
        <f t="shared" si="163"/>
        <v>1</v>
      </c>
      <c r="U227" s="612">
        <f t="shared" si="149"/>
        <v>19429975.5</v>
      </c>
      <c r="V227" s="464">
        <f t="shared" si="159"/>
        <v>2018</v>
      </c>
      <c r="W227" s="612">
        <f t="shared" si="160"/>
        <v>116579853</v>
      </c>
      <c r="X227" s="473"/>
      <c r="Y227" s="497"/>
      <c r="Z227" s="449"/>
      <c r="AA227" s="497"/>
      <c r="AB227" s="476"/>
      <c r="AC227" s="497"/>
      <c r="AD227" s="568"/>
      <c r="AE227" s="476"/>
      <c r="AF227" s="568"/>
      <c r="AG227" s="476"/>
      <c r="AH227" s="476"/>
      <c r="AI227" s="477"/>
      <c r="AJ227" s="478"/>
      <c r="AK227" s="479"/>
      <c r="AL227" s="480"/>
      <c r="AM227" s="474"/>
      <c r="AN227" s="481"/>
      <c r="AO227" s="474"/>
      <c r="AP227" s="476"/>
      <c r="AQ227" s="482"/>
      <c r="AR227" s="478"/>
      <c r="AS227" s="478"/>
      <c r="AT227" s="476"/>
      <c r="AU227" s="482"/>
      <c r="AV227" s="478"/>
      <c r="AW227" s="483"/>
      <c r="AX227" s="476"/>
      <c r="AY227" s="482"/>
      <c r="AZ227" s="478"/>
      <c r="BA227" s="484"/>
      <c r="BB227" s="474"/>
      <c r="BC227" s="485"/>
      <c r="BD227" s="485"/>
      <c r="BG227" s="487"/>
    </row>
    <row r="228" spans="1:59" s="486" customFormat="1" ht="18" customHeight="1" x14ac:dyDescent="0.2">
      <c r="A228" s="1368" t="str">
        <f t="shared" si="150"/>
        <v>JL. DESA PL. KOPUNG - SEI. KUANTAN2019</v>
      </c>
      <c r="B228" s="687"/>
      <c r="C228" s="463"/>
      <c r="D228" s="464"/>
      <c r="E228" s="465"/>
      <c r="F228" s="466">
        <v>2019</v>
      </c>
      <c r="G228" s="620">
        <v>0</v>
      </c>
      <c r="H228" s="464">
        <f>IF(N227-(F228-F227)&lt;=0,0,(N227-(F228-F227)))</f>
        <v>6</v>
      </c>
      <c r="I228" s="467"/>
      <c r="J228" s="468">
        <f>(F228+N228)-1</f>
        <v>2024</v>
      </c>
      <c r="K228" s="490">
        <f>IF(G228=0,0,IF(H228=10,100%,G228/W227))</f>
        <v>0</v>
      </c>
      <c r="L228" s="469">
        <f>IF(K228=0%,0,IF(K228&lt;=30%,2,IF(K228&lt;=60%,5,10)))</f>
        <v>0</v>
      </c>
      <c r="M228" s="683">
        <f t="shared" si="161"/>
        <v>0</v>
      </c>
      <c r="N228" s="470">
        <f>IF(OR(AND(ISBLANK(F228),ISBLANK(G228)),ISTEXT(F228),ISTEXT(G228)),"",H228+M228)</f>
        <v>6</v>
      </c>
      <c r="O228" s="468">
        <f>(F228+N228)-1</f>
        <v>2024</v>
      </c>
      <c r="P228" s="616">
        <f>W227</f>
        <v>116579853</v>
      </c>
      <c r="Q228" s="472">
        <f>P228+G228</f>
        <v>116579853</v>
      </c>
      <c r="R228" s="472">
        <f>IF(L228=0,R227,Q228/N228)</f>
        <v>19429975.5</v>
      </c>
      <c r="S228" s="1189">
        <f>F228</f>
        <v>2019</v>
      </c>
      <c r="T228" s="470">
        <f>S228-S227</f>
        <v>1</v>
      </c>
      <c r="U228" s="612">
        <f>R228*T228</f>
        <v>19429975.5</v>
      </c>
      <c r="V228" s="464">
        <f>F228</f>
        <v>2019</v>
      </c>
      <c r="W228" s="612">
        <f>IF(OR(AND(ISBLANK(E228),ISBLANK(G228)),ISTEXT(E228),ISTEXT(G228)),"",Q228-U228)</f>
        <v>97149877.5</v>
      </c>
      <c r="X228" s="473"/>
      <c r="Y228" s="497"/>
      <c r="Z228" s="449"/>
      <c r="AA228" s="497"/>
      <c r="AB228" s="476"/>
      <c r="AC228" s="497"/>
      <c r="AD228" s="568"/>
      <c r="AE228" s="476"/>
      <c r="AF228" s="568"/>
      <c r="AG228" s="476"/>
      <c r="AH228" s="476"/>
      <c r="AI228" s="477"/>
      <c r="AJ228" s="478"/>
      <c r="AK228" s="479"/>
      <c r="AL228" s="480"/>
      <c r="AM228" s="474"/>
      <c r="AN228" s="481"/>
      <c r="AO228" s="474"/>
      <c r="AP228" s="476"/>
      <c r="AQ228" s="482"/>
      <c r="AR228" s="478"/>
      <c r="AS228" s="478"/>
      <c r="AT228" s="476"/>
      <c r="AU228" s="482"/>
      <c r="AV228" s="478"/>
      <c r="AW228" s="483"/>
      <c r="AX228" s="476"/>
      <c r="AY228" s="482"/>
      <c r="AZ228" s="478"/>
      <c r="BA228" s="484"/>
      <c r="BB228" s="474"/>
      <c r="BC228" s="485"/>
      <c r="BD228" s="485"/>
      <c r="BG228" s="487"/>
    </row>
    <row r="229" spans="1:59" s="486" customFormat="1" ht="18" customHeight="1" x14ac:dyDescent="0.2">
      <c r="A229" s="1369"/>
      <c r="B229" s="687"/>
      <c r="C229" s="463"/>
      <c r="D229" s="464"/>
      <c r="E229" s="465"/>
      <c r="F229" s="1189"/>
      <c r="G229" s="620"/>
      <c r="H229" s="469" t="str">
        <f>IF(OR(AND(ISBLANK(E229),ISBLANK(G229)),ISTEXT(E229),ISTEXT(G229)),"",IF(#REF!-(YEAR(E229)-YEAR(#REF!))&lt;0,0,#REF!-(YEAR(E229)-YEAR(#REF!))))</f>
        <v/>
      </c>
      <c r="I229" s="467" t="str">
        <f>IF(OR(AND(ISBLANK(E229),ISBLANK(G229)),ISTEXT(E229),ISTEXT(G229)),"",IF(#REF!-E229&lt;0,0,#REF!-E229))</f>
        <v/>
      </c>
      <c r="J229" s="498" t="str">
        <f>IF(OR(AND(ISBLANK(E229),ISBLANK(G229)),ISTEXT(E229),ISTEXT(G229)),"",#REF!)</f>
        <v/>
      </c>
      <c r="K229" s="498"/>
      <c r="L229" s="469" t="str">
        <f>IF(OR(AND(ISBLANK(E229),ISBLANK(G229)),ISTEXT(E229),ISTEXT(G229)),"",ROUNDDOWN(G229/SUM($G$57:G226)*$H$57,0))</f>
        <v/>
      </c>
      <c r="M229" s="683" t="str">
        <f>IF(OR(AND(ISBLANK(E229),ISBLANK(G229)),ISTEXT(E229),ISTEXT(G229)),"",IF(H229+L229&gt;$H$57,$H$57-H229,L229))</f>
        <v/>
      </c>
      <c r="N229" s="470" t="str">
        <f>IF(OR(AND(ISBLANK(E229),ISBLANK(G229)),ISTEXT(E229),ISTEXT(G229)),"",H229+M229)</f>
        <v/>
      </c>
      <c r="O229" s="498" t="str">
        <f>IF(OR(AND(ISBLANK(E229),ISBLANK(G229)),ISTEXT(E229),ISTEXT(G229)),"",DATE(YEAR($J229)+M229,MONTH($J229),DAY($J229)))</f>
        <v/>
      </c>
      <c r="P229" s="748" t="str">
        <f>IF(OR(AND(ISBLANK(E229),ISBLANK(G229)),ISTEXT(E229),ISTEXT(G229)),"",#REF!-#REF!*(IF(J229&lt;E229,J229,E229)-#REF!))</f>
        <v/>
      </c>
      <c r="Q229" s="500" t="str">
        <f>IF(OR(AND(ISBLANK(E229),ISBLANK(G229)),ISTEXT(E229),ISTEXT(G229)),"",P229+G229)</f>
        <v/>
      </c>
      <c r="R229" s="501" t="str">
        <f>IF(OR(AND(ISBLANK(E229),ISBLANK(G229)),ISTEXT(E229),ISTEXT(G229)),"",IF(OR(E229&lt;DATE(2004,12,31),#REF!=0),0,Q229/#REF!))</f>
        <v/>
      </c>
      <c r="S229" s="502" t="str">
        <f>IF(OR(AND(ISBLANK(E229),ISBLANK(G229)),ISTEXT(E229),ISTEXT(G229)),"",IF(YEAR(E229)&lt;=YEAR(#REF!),"-",YEAR(E229)-1))</f>
        <v/>
      </c>
      <c r="T229" s="502"/>
      <c r="U229" s="612" t="str">
        <f>IF(OR(AND(ISBLANK(E229),ISBLANK(G229)),ISTEXT(E229),ISTEXT(G229)),"",IF(AND(J229&lt;=DATE(2004,12,31),E229&gt;J229),SUM($G229:G229),#REF!+#REF!+#REF!*IF(YEAR(E229)&lt;=YEAR(#REF!),0,(IF(DATE(YEAR(E229)-1,12,31)&gt;J229,J229,DATE(YEAR(E229)-1,12,31))-#REF!))))</f>
        <v/>
      </c>
      <c r="V229" s="503" t="str">
        <f>IF(OR(AND(ISBLANK(E229),ISBLANK(G229)),ISTEXT(E229),ISTEXT(G229)),"",IF(YEAR(E229)=YEAR(E230),E230,DATE(YEAR(E229),12,31)))</f>
        <v/>
      </c>
      <c r="W229" s="612" t="str">
        <f>IF(OR(AND(ISBLANK(E229),ISBLANK(G229)),ISTEXT(E229),ISTEXT(G229)),"",IF(Q229=0,0,IF(AND(J229&lt;=DATE(2004,12,31),E229&gt;=J229),Q229-U229,Q229-#REF!)))</f>
        <v/>
      </c>
      <c r="X229" s="504" t="str">
        <f>IF(OR(AND(ISBLANK(E229),ISBLANK(G229)),ISTEXT(E229),ISTEXT(G229)),"",$D$57&amp;"//"&amp;TEXT($E$57,"dd-mmm-yyyy")&amp;"//"&amp;#REF!)</f>
        <v/>
      </c>
      <c r="Y229" s="476"/>
      <c r="Z229" s="476"/>
      <c r="AA229" s="476"/>
      <c r="AB229" s="476"/>
      <c r="AC229" s="476"/>
      <c r="AD229" s="568"/>
      <c r="AE229" s="476"/>
      <c r="AF229" s="568"/>
      <c r="AG229" s="476"/>
      <c r="AH229" s="476"/>
      <c r="AI229" s="477"/>
      <c r="AJ229" s="478"/>
      <c r="AK229" s="479"/>
      <c r="AL229" s="480"/>
      <c r="AM229" s="474"/>
      <c r="AN229" s="481"/>
      <c r="AO229" s="474"/>
      <c r="AP229" s="476"/>
      <c r="AQ229" s="482"/>
      <c r="AR229" s="478"/>
      <c r="AS229" s="478"/>
      <c r="AT229" s="476"/>
      <c r="AU229" s="482"/>
      <c r="AV229" s="478"/>
      <c r="AW229" s="483"/>
      <c r="AX229" s="476"/>
      <c r="AY229" s="482"/>
      <c r="AZ229" s="478"/>
      <c r="BA229" s="484"/>
      <c r="BB229" s="474"/>
      <c r="BC229" s="485"/>
      <c r="BD229" s="485"/>
      <c r="BG229" s="487"/>
    </row>
    <row r="230" spans="1:59" s="526" customFormat="1" ht="18" customHeight="1" x14ac:dyDescent="0.2">
      <c r="A230" s="1370" t="s">
        <v>4184</v>
      </c>
      <c r="B230" s="1956" t="s">
        <v>4184</v>
      </c>
      <c r="C230" s="1957"/>
      <c r="D230" s="1957"/>
      <c r="E230" s="1957"/>
      <c r="F230" s="1958"/>
      <c r="G230" s="624">
        <f>SUM(G218:G229)</f>
        <v>734299755</v>
      </c>
      <c r="H230" s="505"/>
      <c r="I230" s="506"/>
      <c r="J230" s="507"/>
      <c r="K230" s="507"/>
      <c r="L230" s="505"/>
      <c r="M230" s="684"/>
      <c r="N230" s="508"/>
      <c r="O230" s="507"/>
      <c r="P230" s="749"/>
      <c r="Q230" s="510"/>
      <c r="R230" s="511"/>
      <c r="S230" s="512"/>
      <c r="T230" s="512"/>
      <c r="U230" s="610">
        <f>SUM(U218:U229)</f>
        <v>637149877.5</v>
      </c>
      <c r="V230" s="513"/>
      <c r="W230" s="610">
        <f>G230-U230</f>
        <v>97149877.5</v>
      </c>
      <c r="X230" s="514"/>
      <c r="Y230" s="515"/>
      <c r="Z230" s="515"/>
      <c r="AA230" s="515"/>
      <c r="AB230" s="515"/>
      <c r="AC230" s="515"/>
      <c r="AD230" s="570"/>
      <c r="AE230" s="515"/>
      <c r="AF230" s="570">
        <v>1216639920.1486001</v>
      </c>
      <c r="AG230" s="515"/>
      <c r="AH230" s="515"/>
      <c r="AI230" s="516"/>
      <c r="AJ230" s="517"/>
      <c r="AK230" s="518"/>
      <c r="AL230" s="519"/>
      <c r="AM230" s="520"/>
      <c r="AN230" s="521"/>
      <c r="AO230" s="520"/>
      <c r="AP230" s="515"/>
      <c r="AQ230" s="522"/>
      <c r="AR230" s="517"/>
      <c r="AS230" s="517"/>
      <c r="AT230" s="515"/>
      <c r="AU230" s="522"/>
      <c r="AV230" s="517"/>
      <c r="AW230" s="523"/>
      <c r="AX230" s="515"/>
      <c r="AY230" s="522"/>
      <c r="AZ230" s="517"/>
      <c r="BA230" s="524"/>
      <c r="BB230" s="520"/>
      <c r="BC230" s="525"/>
      <c r="BD230" s="525"/>
      <c r="BG230" s="527"/>
    </row>
    <row r="231" spans="1:59" x14ac:dyDescent="0.2">
      <c r="K231" s="627"/>
      <c r="AF231" s="562">
        <v>1192913525.6685998</v>
      </c>
    </row>
    <row r="235" spans="1:59" s="422" customFormat="1" ht="18" customHeight="1" x14ac:dyDescent="0.2">
      <c r="A235" s="1366">
        <f>C235</f>
        <v>24</v>
      </c>
      <c r="B235" s="742" t="s">
        <v>4187</v>
      </c>
      <c r="C235" s="556">
        <v>24</v>
      </c>
      <c r="D235" s="553" t="str">
        <f>VLOOKUP(C235,RUAS,2,FALSE)</f>
        <v>PERUMNAS - SIMPANG PERKANTORAN PEMDA</v>
      </c>
      <c r="E235" s="553"/>
      <c r="F235" s="421"/>
      <c r="G235" s="611"/>
      <c r="I235" s="423"/>
      <c r="J235" s="424"/>
      <c r="K235" s="424"/>
      <c r="M235" s="680"/>
      <c r="P235" s="611"/>
      <c r="U235" s="611"/>
      <c r="W235" s="611"/>
      <c r="Y235" s="425"/>
      <c r="Z235" s="425"/>
      <c r="AA235" s="425"/>
      <c r="AB235" s="425"/>
      <c r="AC235" s="425"/>
      <c r="AD235" s="563"/>
      <c r="AE235" s="425"/>
      <c r="AF235" s="563"/>
      <c r="AG235" s="425"/>
      <c r="AH235" s="425"/>
      <c r="AI235" s="425"/>
      <c r="AJ235" s="425"/>
      <c r="AK235" s="425"/>
      <c r="AL235" s="425"/>
      <c r="AM235" s="425"/>
      <c r="AN235" s="425"/>
      <c r="AO235" s="425"/>
      <c r="AP235" s="425"/>
      <c r="AQ235" s="425"/>
      <c r="AR235" s="425"/>
      <c r="AS235" s="425"/>
      <c r="AT235" s="425"/>
      <c r="AU235" s="425"/>
      <c r="AV235" s="425"/>
      <c r="AW235" s="425"/>
      <c r="AX235" s="425"/>
      <c r="AY235" s="425"/>
      <c r="AZ235" s="425"/>
      <c r="BA235" s="425"/>
      <c r="BB235" s="425"/>
    </row>
    <row r="236" spans="1:59" s="431" customFormat="1" ht="18" customHeight="1" x14ac:dyDescent="0.2">
      <c r="A236" s="1367"/>
      <c r="B236" s="1968" t="s">
        <v>5</v>
      </c>
      <c r="C236" s="1968" t="s">
        <v>2280</v>
      </c>
      <c r="D236" s="1968" t="s">
        <v>4157</v>
      </c>
      <c r="E236" s="1968" t="s">
        <v>4158</v>
      </c>
      <c r="F236" s="1968"/>
      <c r="G236" s="1969" t="s">
        <v>4159</v>
      </c>
      <c r="H236" s="1968" t="s">
        <v>4160</v>
      </c>
      <c r="I236" s="1968"/>
      <c r="J236" s="1968" t="s">
        <v>4185</v>
      </c>
      <c r="K236" s="1964" t="s">
        <v>4162</v>
      </c>
      <c r="L236" s="1968" t="s">
        <v>4163</v>
      </c>
      <c r="M236" s="1971" t="s">
        <v>4164</v>
      </c>
      <c r="N236" s="1962" t="s">
        <v>4165</v>
      </c>
      <c r="O236" s="1968" t="s">
        <v>4166</v>
      </c>
      <c r="P236" s="1972" t="s">
        <v>4167</v>
      </c>
      <c r="Q236" s="1973"/>
      <c r="R236" s="1159" t="s">
        <v>4186</v>
      </c>
      <c r="S236" s="1972" t="s">
        <v>4169</v>
      </c>
      <c r="T236" s="1974"/>
      <c r="U236" s="1973"/>
      <c r="V236" s="1975" t="s">
        <v>4170</v>
      </c>
      <c r="W236" s="1975"/>
      <c r="X236" s="1960" t="s">
        <v>4171</v>
      </c>
      <c r="Y236" s="1959"/>
      <c r="Z236" s="1155"/>
      <c r="AA236" s="426"/>
      <c r="AB236" s="426"/>
      <c r="AC236" s="426"/>
      <c r="AD236" s="564"/>
      <c r="AE236" s="426"/>
      <c r="AF236" s="564"/>
      <c r="AG236" s="426"/>
      <c r="AH236" s="426"/>
      <c r="AI236" s="427"/>
      <c r="AJ236" s="427"/>
      <c r="AK236" s="427"/>
      <c r="AL236" s="427"/>
      <c r="AM236" s="428"/>
      <c r="AN236" s="427"/>
      <c r="AO236" s="427"/>
      <c r="AP236" s="426"/>
      <c r="AQ236" s="427"/>
      <c r="AR236" s="427"/>
      <c r="AS236" s="427"/>
      <c r="AT236" s="426"/>
      <c r="AU236" s="427"/>
      <c r="AV236" s="427"/>
      <c r="AW236" s="427"/>
      <c r="AX236" s="426"/>
      <c r="AY236" s="427"/>
      <c r="AZ236" s="427"/>
      <c r="BA236" s="427"/>
      <c r="BB236" s="429"/>
      <c r="BC236" s="430"/>
      <c r="BD236" s="430"/>
    </row>
    <row r="237" spans="1:59" s="431" customFormat="1" ht="18" customHeight="1" x14ac:dyDescent="0.2">
      <c r="A237" s="1367"/>
      <c r="B237" s="1968"/>
      <c r="C237" s="1968"/>
      <c r="D237" s="1968"/>
      <c r="E237" s="1968"/>
      <c r="F237" s="1968"/>
      <c r="G237" s="1969"/>
      <c r="H237" s="1968"/>
      <c r="I237" s="1968"/>
      <c r="J237" s="1968"/>
      <c r="K237" s="1970"/>
      <c r="L237" s="1968"/>
      <c r="M237" s="1971"/>
      <c r="N237" s="1963"/>
      <c r="O237" s="1968"/>
      <c r="P237" s="2037" t="s">
        <v>4172</v>
      </c>
      <c r="Q237" s="1960" t="s">
        <v>4173</v>
      </c>
      <c r="R237" s="1962" t="s">
        <v>4159</v>
      </c>
      <c r="S237" s="1962" t="s">
        <v>4174</v>
      </c>
      <c r="T237" s="1964" t="s">
        <v>4175</v>
      </c>
      <c r="U237" s="1966" t="s">
        <v>4159</v>
      </c>
      <c r="V237" s="1975"/>
      <c r="W237" s="1975"/>
      <c r="X237" s="1976"/>
      <c r="Y237" s="1959"/>
      <c r="Z237" s="1155"/>
      <c r="AA237" s="426"/>
      <c r="AB237" s="426"/>
      <c r="AC237" s="426"/>
      <c r="AD237" s="564"/>
      <c r="AE237" s="426"/>
      <c r="AF237" s="564"/>
      <c r="AG237" s="426"/>
      <c r="AH237" s="426"/>
      <c r="AI237" s="427"/>
      <c r="AJ237" s="427"/>
      <c r="AK237" s="426"/>
      <c r="AL237" s="427"/>
      <c r="AM237" s="428"/>
      <c r="AN237" s="427"/>
      <c r="AO237" s="427"/>
      <c r="AP237" s="432"/>
      <c r="AQ237" s="427"/>
      <c r="AR237" s="427"/>
      <c r="AS237" s="427"/>
      <c r="AT237" s="432"/>
      <c r="AU237" s="427"/>
      <c r="AV237" s="427"/>
      <c r="AW237" s="427"/>
      <c r="AX237" s="432"/>
      <c r="AY237" s="427"/>
      <c r="AZ237" s="427"/>
      <c r="BA237" s="427"/>
      <c r="BB237" s="429"/>
      <c r="BC237" s="430"/>
      <c r="BD237" s="430"/>
    </row>
    <row r="238" spans="1:59" s="431" customFormat="1" ht="18" customHeight="1" x14ac:dyDescent="0.2">
      <c r="A238" s="1367"/>
      <c r="B238" s="1968"/>
      <c r="C238" s="1968"/>
      <c r="D238" s="1968"/>
      <c r="E238" s="433" t="s">
        <v>4176</v>
      </c>
      <c r="F238" s="434" t="s">
        <v>2288</v>
      </c>
      <c r="G238" s="1969"/>
      <c r="H238" s="1156" t="s">
        <v>2288</v>
      </c>
      <c r="I238" s="1156" t="s">
        <v>4177</v>
      </c>
      <c r="J238" s="1968"/>
      <c r="K238" s="1965"/>
      <c r="L238" s="435" t="s">
        <v>2288</v>
      </c>
      <c r="M238" s="681" t="s">
        <v>2288</v>
      </c>
      <c r="N238" s="1156" t="s">
        <v>2288</v>
      </c>
      <c r="O238" s="1968"/>
      <c r="P238" s="2038"/>
      <c r="Q238" s="1961"/>
      <c r="R238" s="1963"/>
      <c r="S238" s="1963"/>
      <c r="T238" s="1965"/>
      <c r="U238" s="1967"/>
      <c r="V238" s="1156" t="s">
        <v>4178</v>
      </c>
      <c r="W238" s="1157" t="s">
        <v>4159</v>
      </c>
      <c r="X238" s="1961"/>
      <c r="Y238" s="436"/>
      <c r="Z238" s="436"/>
      <c r="AA238" s="426"/>
      <c r="AB238" s="426"/>
      <c r="AC238" s="426"/>
      <c r="AD238" s="564"/>
      <c r="AE238" s="426"/>
      <c r="AF238" s="564"/>
      <c r="AG238" s="426"/>
      <c r="AH238" s="426"/>
      <c r="AI238" s="427"/>
      <c r="AJ238" s="432"/>
      <c r="AK238" s="432"/>
      <c r="AL238" s="427"/>
      <c r="AM238" s="428"/>
      <c r="AN238" s="432"/>
      <c r="AO238" s="427"/>
      <c r="AP238" s="432"/>
      <c r="AQ238" s="432"/>
      <c r="AR238" s="427"/>
      <c r="AS238" s="427"/>
      <c r="AT238" s="432"/>
      <c r="AU238" s="432"/>
      <c r="AV238" s="427"/>
      <c r="AW238" s="427"/>
      <c r="AX238" s="432"/>
      <c r="AY238" s="432"/>
      <c r="AZ238" s="427"/>
      <c r="BA238" s="427"/>
      <c r="BB238" s="429"/>
      <c r="BC238" s="430"/>
      <c r="BD238" s="430"/>
    </row>
    <row r="239" spans="1:59" s="461" customFormat="1" ht="18" customHeight="1" x14ac:dyDescent="0.2">
      <c r="A239" s="1368" t="str">
        <f>$D$235&amp;S239</f>
        <v>PERUMNAS - SIMPANG PERKANTORAN PEMDA2001</v>
      </c>
      <c r="B239" s="1373">
        <v>1</v>
      </c>
      <c r="C239" s="532" t="s">
        <v>529</v>
      </c>
      <c r="D239" s="437" t="s">
        <v>2494</v>
      </c>
      <c r="E239" s="438"/>
      <c r="F239" s="439">
        <v>2001</v>
      </c>
      <c r="G239" s="623">
        <v>4299750000</v>
      </c>
      <c r="H239" s="440">
        <f>VLOOKUP(LEFT(D239,8),UE,4)</f>
        <v>10</v>
      </c>
      <c r="I239" s="441"/>
      <c r="J239" s="442">
        <f>(F239+N239)-1</f>
        <v>2010</v>
      </c>
      <c r="K239" s="443"/>
      <c r="L239" s="440"/>
      <c r="M239" s="746">
        <f>IF(H239+L239&gt;$H239,$H239-H239,L239)</f>
        <v>0</v>
      </c>
      <c r="N239" s="444">
        <f>H239+M239</f>
        <v>10</v>
      </c>
      <c r="O239" s="442">
        <f>(F239+N239)-1</f>
        <v>2010</v>
      </c>
      <c r="P239" s="617">
        <f>G239</f>
        <v>4299750000</v>
      </c>
      <c r="Q239" s="445">
        <v>0</v>
      </c>
      <c r="R239" s="445">
        <f>P239/N239</f>
        <v>429975000</v>
      </c>
      <c r="S239" s="446">
        <f t="shared" ref="S239:S247" si="164">F239</f>
        <v>2001</v>
      </c>
      <c r="T239" s="447">
        <v>1</v>
      </c>
      <c r="U239" s="613">
        <f t="shared" ref="U239:U247" si="165">R239*T239</f>
        <v>429975000</v>
      </c>
      <c r="V239" s="442">
        <f>F239</f>
        <v>2001</v>
      </c>
      <c r="W239" s="617">
        <f>IF(OR(AND(ISBLANK(E239),ISBLANK(G239)),ISTEXT(E239),ISTEXT(G239)),"",G239-R239)</f>
        <v>3869775000</v>
      </c>
      <c r="X239" s="448"/>
      <c r="Y239" s="449"/>
      <c r="Z239" s="449"/>
      <c r="AA239" s="450" t="s">
        <v>4179</v>
      </c>
      <c r="AB239" s="452"/>
      <c r="AC239" s="452"/>
      <c r="AD239" s="571"/>
      <c r="AE239" s="452"/>
      <c r="AF239" s="571"/>
      <c r="AG239" s="452"/>
      <c r="AH239" s="452"/>
      <c r="AI239" s="453"/>
      <c r="AJ239" s="449"/>
      <c r="AK239" s="453"/>
      <c r="AL239" s="454"/>
      <c r="AM239" s="455"/>
      <c r="AN239" s="456"/>
      <c r="AO239" s="455"/>
      <c r="AP239" s="452"/>
      <c r="AQ239" s="457"/>
      <c r="AR239" s="449"/>
      <c r="AS239" s="449"/>
      <c r="AT239" s="452"/>
      <c r="AU239" s="457"/>
      <c r="AV239" s="449"/>
      <c r="AW239" s="458"/>
      <c r="AX239" s="452"/>
      <c r="AY239" s="457"/>
      <c r="AZ239" s="449"/>
      <c r="BA239" s="459"/>
      <c r="BB239" s="455"/>
      <c r="BC239" s="460"/>
      <c r="BD239" s="460"/>
      <c r="BG239" s="462"/>
    </row>
    <row r="240" spans="1:59" s="486" customFormat="1" ht="18" customHeight="1" x14ac:dyDescent="0.2">
      <c r="A240" s="1368" t="str">
        <f t="shared" ref="A240:A249" si="166">$D$235&amp;S240</f>
        <v>PERUMNAS - SIMPANG PERKANTORAN PEMDA2006</v>
      </c>
      <c r="B240" s="1373"/>
      <c r="C240" s="463"/>
      <c r="D240" s="464"/>
      <c r="E240" s="465"/>
      <c r="F240" s="466">
        <v>2006</v>
      </c>
      <c r="G240" s="620">
        <v>0</v>
      </c>
      <c r="H240" s="464">
        <f>IF(N239-(F240-F239)&lt;=0,0,(N239-(F240-F239)))</f>
        <v>5</v>
      </c>
      <c r="I240" s="467"/>
      <c r="J240" s="468">
        <f t="shared" ref="J240:J247" si="167">(F240+N240)-1</f>
        <v>2010</v>
      </c>
      <c r="K240" s="490">
        <f t="shared" ref="K240:K247" si="168">IF(G240=0,0,IF(H240=10,100%,G240/W239))</f>
        <v>0</v>
      </c>
      <c r="L240" s="469">
        <f t="shared" ref="L240:L247" si="169">IF(K240=0%,0,IF(K240&lt;=30%,2,IF(K240&lt;=60%,5,10)))</f>
        <v>0</v>
      </c>
      <c r="M240" s="683">
        <f>IF(OR(AND(ISBLANK(E240),ISBLANK(G240)),ISTEXT(E240),ISTEXT(G240)),"",IF(H240+L240&gt;$H$239,$H$239-H240,L240))</f>
        <v>0</v>
      </c>
      <c r="N240" s="470">
        <f>IF(OR(AND(ISBLANK(F240),ISBLANK(G240)),ISTEXT(F240),ISTEXT(G240)),"",H240+M240)</f>
        <v>5</v>
      </c>
      <c r="O240" s="468">
        <f t="shared" ref="O240:O247" si="170">(F240+N240)-1</f>
        <v>2010</v>
      </c>
      <c r="P240" s="616">
        <f t="shared" ref="P240:P247" si="171">W239</f>
        <v>3869775000</v>
      </c>
      <c r="Q240" s="472">
        <f t="shared" ref="Q240:Q247" si="172">P240+G240</f>
        <v>3869775000</v>
      </c>
      <c r="R240" s="472">
        <f t="shared" ref="R240:R247" si="173">IF(L240=0,R239,Q240/N240)</f>
        <v>429975000</v>
      </c>
      <c r="S240" s="1160">
        <f t="shared" si="164"/>
        <v>2006</v>
      </c>
      <c r="T240" s="470">
        <f>S240-S239</f>
        <v>5</v>
      </c>
      <c r="U240" s="612">
        <f t="shared" si="165"/>
        <v>2149875000</v>
      </c>
      <c r="V240" s="464">
        <f t="shared" ref="V240:V247" si="174">F240</f>
        <v>2006</v>
      </c>
      <c r="W240" s="612">
        <f t="shared" ref="W240:W247" si="175">IF(OR(AND(ISBLANK(E240),ISBLANK(G240)),ISTEXT(E240),ISTEXT(G240)),"",Q240-U240)</f>
        <v>1719900000</v>
      </c>
      <c r="X240" s="473"/>
      <c r="Y240" s="474"/>
      <c r="Z240" s="449"/>
      <c r="AA240" s="475" t="s">
        <v>4180</v>
      </c>
      <c r="AB240" s="476"/>
      <c r="AC240" s="476"/>
      <c r="AD240" s="568">
        <f>G252</f>
        <v>7310174270.3834801</v>
      </c>
      <c r="AE240" s="476"/>
      <c r="AF240" s="568"/>
      <c r="AG240" s="476"/>
      <c r="AH240" s="476"/>
      <c r="AI240" s="477"/>
      <c r="AJ240" s="478"/>
      <c r="AK240" s="479"/>
      <c r="AL240" s="480"/>
      <c r="AM240" s="474"/>
      <c r="AN240" s="481"/>
      <c r="AO240" s="474"/>
      <c r="AP240" s="476"/>
      <c r="AQ240" s="482"/>
      <c r="AR240" s="478"/>
      <c r="AS240" s="478"/>
      <c r="AT240" s="476"/>
      <c r="AU240" s="482"/>
      <c r="AV240" s="478"/>
      <c r="AW240" s="483"/>
      <c r="AX240" s="476"/>
      <c r="AY240" s="482"/>
      <c r="AZ240" s="478"/>
      <c r="BA240" s="484"/>
      <c r="BB240" s="474"/>
      <c r="BC240" s="485"/>
      <c r="BD240" s="485"/>
      <c r="BG240" s="487"/>
    </row>
    <row r="241" spans="1:59" s="486" customFormat="1" ht="18" customHeight="1" x14ac:dyDescent="0.2">
      <c r="A241" s="1368" t="str">
        <f t="shared" si="166"/>
        <v>PERUMNAS - SIMPANG PERKANTORAN PEMDA2007</v>
      </c>
      <c r="B241" s="1373">
        <v>2</v>
      </c>
      <c r="C241" s="463" t="s">
        <v>1152</v>
      </c>
      <c r="D241" s="464" t="s">
        <v>2494</v>
      </c>
      <c r="E241" s="465"/>
      <c r="F241" s="466">
        <v>2007</v>
      </c>
      <c r="G241" s="620">
        <f>1259881574.97391+1750542695.40957</f>
        <v>3010424270.3834801</v>
      </c>
      <c r="H241" s="464">
        <f>IF(N240-(F241-F240)&lt;=0,0,(N240-(F241-F240)))</f>
        <v>4</v>
      </c>
      <c r="I241" s="467"/>
      <c r="J241" s="468">
        <f t="shared" si="167"/>
        <v>2016</v>
      </c>
      <c r="K241" s="490">
        <f t="shared" si="168"/>
        <v>1.7503484332713994</v>
      </c>
      <c r="L241" s="469">
        <f t="shared" si="169"/>
        <v>10</v>
      </c>
      <c r="M241" s="683">
        <f t="shared" ref="M241:M250" si="176">IF(OR(AND(ISBLANK(E241),ISBLANK(G241)),ISTEXT(E241),ISTEXT(G241)),"",IF(H241+L241&gt;$H$239,$H$239-H241,L241))</f>
        <v>6</v>
      </c>
      <c r="N241" s="470">
        <f t="shared" ref="N241:N247" si="177">IF(OR(AND(ISBLANK(F241),ISBLANK(G241)),ISTEXT(F241),ISTEXT(G241)),"",H241+M241)</f>
        <v>10</v>
      </c>
      <c r="O241" s="468">
        <f t="shared" si="170"/>
        <v>2016</v>
      </c>
      <c r="P241" s="616">
        <f t="shared" si="171"/>
        <v>1719900000</v>
      </c>
      <c r="Q241" s="472">
        <f t="shared" si="172"/>
        <v>4730324270.3834801</v>
      </c>
      <c r="R241" s="472">
        <f t="shared" si="173"/>
        <v>473032427.03834802</v>
      </c>
      <c r="S241" s="1160">
        <f t="shared" si="164"/>
        <v>2007</v>
      </c>
      <c r="T241" s="470">
        <f t="shared" ref="T241:T247" si="178">S241-S240</f>
        <v>1</v>
      </c>
      <c r="U241" s="612">
        <f t="shared" si="165"/>
        <v>473032427.03834802</v>
      </c>
      <c r="V241" s="464">
        <f t="shared" si="174"/>
        <v>2007</v>
      </c>
      <c r="W241" s="612">
        <f t="shared" si="175"/>
        <v>4257291843.3451319</v>
      </c>
      <c r="X241" s="473"/>
      <c r="Y241" s="478"/>
      <c r="Z241" s="449"/>
      <c r="AA241" s="475" t="s">
        <v>4181</v>
      </c>
      <c r="AB241" s="491"/>
      <c r="AC241" s="491"/>
      <c r="AD241" s="568">
        <f>U252</f>
        <v>7310174270.383481</v>
      </c>
      <c r="AE241" s="491"/>
      <c r="AF241" s="568"/>
      <c r="AG241" s="491"/>
      <c r="AH241" s="491"/>
      <c r="AI241" s="477"/>
      <c r="AJ241" s="478"/>
      <c r="AK241" s="479"/>
      <c r="AL241" s="480"/>
      <c r="AM241" s="474"/>
      <c r="AN241" s="481"/>
      <c r="AO241" s="474"/>
      <c r="AP241" s="476"/>
      <c r="AQ241" s="482"/>
      <c r="AR241" s="478"/>
      <c r="AS241" s="478"/>
      <c r="AT241" s="476"/>
      <c r="AU241" s="482"/>
      <c r="AV241" s="478"/>
      <c r="AW241" s="483"/>
      <c r="AX241" s="476"/>
      <c r="AY241" s="482"/>
      <c r="AZ241" s="478"/>
      <c r="BA241" s="484"/>
      <c r="BB241" s="474"/>
      <c r="BC241" s="485"/>
      <c r="BD241" s="485"/>
      <c r="BG241" s="487"/>
    </row>
    <row r="242" spans="1:59" s="486" customFormat="1" ht="18" customHeight="1" x14ac:dyDescent="0.2">
      <c r="A242" s="1368" t="str">
        <f t="shared" si="166"/>
        <v>PERUMNAS - SIMPANG PERKANTORAN PEMDA2007</v>
      </c>
      <c r="B242" s="1373">
        <v>3</v>
      </c>
      <c r="C242" s="463" t="s">
        <v>1146</v>
      </c>
      <c r="D242" s="464"/>
      <c r="E242" s="465"/>
      <c r="F242" s="466">
        <v>2007</v>
      </c>
      <c r="G242" s="620">
        <v>0</v>
      </c>
      <c r="H242" s="464">
        <f>IF(N241-(F242-F241)&lt;=0,0,(N241-(F242-F241)))</f>
        <v>10</v>
      </c>
      <c r="I242" s="467"/>
      <c r="J242" s="468">
        <f t="shared" si="167"/>
        <v>2016</v>
      </c>
      <c r="K242" s="490">
        <f t="shared" si="168"/>
        <v>0</v>
      </c>
      <c r="L242" s="469">
        <f t="shared" si="169"/>
        <v>0</v>
      </c>
      <c r="M242" s="683">
        <f t="shared" si="176"/>
        <v>0</v>
      </c>
      <c r="N242" s="470">
        <f t="shared" si="177"/>
        <v>10</v>
      </c>
      <c r="O242" s="468">
        <f t="shared" si="170"/>
        <v>2016</v>
      </c>
      <c r="P242" s="616">
        <f t="shared" si="171"/>
        <v>4257291843.3451319</v>
      </c>
      <c r="Q242" s="472">
        <f t="shared" si="172"/>
        <v>4257291843.3451319</v>
      </c>
      <c r="R242" s="472">
        <f t="shared" si="173"/>
        <v>473032427.03834802</v>
      </c>
      <c r="S242" s="1160">
        <f t="shared" si="164"/>
        <v>2007</v>
      </c>
      <c r="T242" s="470">
        <f t="shared" si="178"/>
        <v>0</v>
      </c>
      <c r="U242" s="612">
        <f t="shared" si="165"/>
        <v>0</v>
      </c>
      <c r="V242" s="464">
        <f t="shared" si="174"/>
        <v>2007</v>
      </c>
      <c r="W242" s="612">
        <f t="shared" si="175"/>
        <v>4257291843.3451319</v>
      </c>
      <c r="X242" s="473"/>
      <c r="Y242" s="478"/>
      <c r="Z242" s="449"/>
      <c r="AA242" s="475"/>
      <c r="AB242" s="491"/>
      <c r="AC242" s="491"/>
      <c r="AD242" s="568"/>
      <c r="AE242" s="491"/>
      <c r="AF242" s="568"/>
      <c r="AG242" s="491"/>
      <c r="AH242" s="491"/>
      <c r="AI242" s="477"/>
      <c r="AJ242" s="478"/>
      <c r="AK242" s="479"/>
      <c r="AL242" s="480"/>
      <c r="AM242" s="474"/>
      <c r="AN242" s="481"/>
      <c r="AO242" s="474"/>
      <c r="AP242" s="476"/>
      <c r="AQ242" s="482"/>
      <c r="AR242" s="478"/>
      <c r="AS242" s="478"/>
      <c r="AT242" s="476"/>
      <c r="AU242" s="482"/>
      <c r="AV242" s="478"/>
      <c r="AW242" s="483"/>
      <c r="AX242" s="476"/>
      <c r="AY242" s="482"/>
      <c r="AZ242" s="478"/>
      <c r="BA242" s="484"/>
      <c r="BB242" s="474"/>
      <c r="BC242" s="485"/>
      <c r="BD242" s="485"/>
      <c r="BG242" s="487"/>
    </row>
    <row r="243" spans="1:59" s="486" customFormat="1" ht="18" customHeight="1" x14ac:dyDescent="0.2">
      <c r="A243" s="1368" t="str">
        <f t="shared" si="166"/>
        <v>PERUMNAS - SIMPANG PERKANTORAN PEMDA2010</v>
      </c>
      <c r="B243" s="1373"/>
      <c r="C243" s="463"/>
      <c r="D243" s="464"/>
      <c r="E243" s="465"/>
      <c r="F243" s="466">
        <v>2010</v>
      </c>
      <c r="G243" s="620">
        <v>0</v>
      </c>
      <c r="H243" s="464">
        <f>IF(N241-(F243-F241)&lt;=0,0,(N241-(F243-F241)))</f>
        <v>7</v>
      </c>
      <c r="I243" s="467"/>
      <c r="J243" s="468">
        <f t="shared" si="167"/>
        <v>2016</v>
      </c>
      <c r="K243" s="490">
        <f t="shared" si="168"/>
        <v>0</v>
      </c>
      <c r="L243" s="469">
        <f t="shared" si="169"/>
        <v>0</v>
      </c>
      <c r="M243" s="683">
        <f t="shared" si="176"/>
        <v>0</v>
      </c>
      <c r="N243" s="470">
        <f t="shared" si="177"/>
        <v>7</v>
      </c>
      <c r="O243" s="468">
        <f t="shared" si="170"/>
        <v>2016</v>
      </c>
      <c r="P243" s="616">
        <f t="shared" si="171"/>
        <v>4257291843.3451319</v>
      </c>
      <c r="Q243" s="472">
        <f t="shared" si="172"/>
        <v>4257291843.3451319</v>
      </c>
      <c r="R243" s="472">
        <f t="shared" si="173"/>
        <v>473032427.03834802</v>
      </c>
      <c r="S243" s="1160">
        <f t="shared" si="164"/>
        <v>2010</v>
      </c>
      <c r="T243" s="470">
        <f t="shared" si="178"/>
        <v>3</v>
      </c>
      <c r="U243" s="612">
        <f t="shared" si="165"/>
        <v>1419097281.1150441</v>
      </c>
      <c r="V243" s="464">
        <f t="shared" si="174"/>
        <v>2010</v>
      </c>
      <c r="W243" s="612">
        <f t="shared" si="175"/>
        <v>2838194562.2300878</v>
      </c>
      <c r="X243" s="473"/>
      <c r="Y243" s="478"/>
      <c r="Z243" s="449"/>
      <c r="AA243" s="475"/>
      <c r="AB243" s="491"/>
      <c r="AC243" s="491"/>
      <c r="AD243" s="568"/>
      <c r="AE243" s="491"/>
      <c r="AF243" s="568"/>
      <c r="AG243" s="491"/>
      <c r="AH243" s="491"/>
      <c r="AI243" s="477"/>
      <c r="AJ243" s="478"/>
      <c r="AK243" s="479"/>
      <c r="AL243" s="480"/>
      <c r="AM243" s="474"/>
      <c r="AN243" s="481"/>
      <c r="AO243" s="474"/>
      <c r="AP243" s="476"/>
      <c r="AQ243" s="482"/>
      <c r="AR243" s="478"/>
      <c r="AS243" s="478"/>
      <c r="AT243" s="476"/>
      <c r="AU243" s="482"/>
      <c r="AV243" s="478"/>
      <c r="AW243" s="483"/>
      <c r="AX243" s="476"/>
      <c r="AY243" s="482"/>
      <c r="AZ243" s="478"/>
      <c r="BA243" s="484"/>
      <c r="BB243" s="474"/>
      <c r="BC243" s="485"/>
      <c r="BD243" s="485"/>
      <c r="BG243" s="487"/>
    </row>
    <row r="244" spans="1:59" s="486" customFormat="1" ht="18" customHeight="1" x14ac:dyDescent="0.2">
      <c r="A244" s="1368" t="str">
        <f t="shared" si="166"/>
        <v>PERUMNAS - SIMPANG PERKANTORAN PEMDA2013</v>
      </c>
      <c r="B244" s="1373"/>
      <c r="C244" s="488"/>
      <c r="D244" s="464"/>
      <c r="E244" s="465"/>
      <c r="F244" s="466">
        <v>2013</v>
      </c>
      <c r="G244" s="620">
        <v>0</v>
      </c>
      <c r="H244" s="464">
        <f t="shared" ref="H244:H250" si="179">IF(N243-(F244-F243)&lt;=0,0,(N243-(F244-F243)))</f>
        <v>4</v>
      </c>
      <c r="I244" s="467"/>
      <c r="J244" s="468">
        <f t="shared" si="167"/>
        <v>2016</v>
      </c>
      <c r="K244" s="490">
        <f t="shared" si="168"/>
        <v>0</v>
      </c>
      <c r="L244" s="469">
        <f t="shared" si="169"/>
        <v>0</v>
      </c>
      <c r="M244" s="683">
        <f t="shared" si="176"/>
        <v>0</v>
      </c>
      <c r="N244" s="470">
        <f t="shared" si="177"/>
        <v>4</v>
      </c>
      <c r="O244" s="468">
        <f t="shared" si="170"/>
        <v>2016</v>
      </c>
      <c r="P244" s="616">
        <f t="shared" si="171"/>
        <v>2838194562.2300878</v>
      </c>
      <c r="Q244" s="472">
        <f t="shared" si="172"/>
        <v>2838194562.2300878</v>
      </c>
      <c r="R244" s="472">
        <f t="shared" si="173"/>
        <v>473032427.03834802</v>
      </c>
      <c r="S244" s="1160">
        <f t="shared" si="164"/>
        <v>2013</v>
      </c>
      <c r="T244" s="470">
        <f t="shared" si="178"/>
        <v>3</v>
      </c>
      <c r="U244" s="612">
        <f t="shared" si="165"/>
        <v>1419097281.1150441</v>
      </c>
      <c r="V244" s="464">
        <f t="shared" si="174"/>
        <v>2013</v>
      </c>
      <c r="W244" s="612">
        <f t="shared" si="175"/>
        <v>1419097281.1150436</v>
      </c>
      <c r="X244" s="473"/>
      <c r="Y244" s="478"/>
      <c r="Z244" s="449"/>
      <c r="AA244" s="492" t="s">
        <v>4182</v>
      </c>
      <c r="AB244" s="476"/>
      <c r="AC244" s="476"/>
      <c r="AD244" s="568">
        <f>AD240-AD241</f>
        <v>0</v>
      </c>
      <c r="AE244" s="476"/>
      <c r="AF244" s="568"/>
      <c r="AG244" s="476"/>
      <c r="AH244" s="476"/>
      <c r="AI244" s="477"/>
      <c r="AJ244" s="478"/>
      <c r="AK244" s="479"/>
      <c r="AL244" s="480"/>
      <c r="AM244" s="474"/>
      <c r="AN244" s="481"/>
      <c r="AO244" s="474"/>
      <c r="AP244" s="476"/>
      <c r="AQ244" s="482"/>
      <c r="AR244" s="478"/>
      <c r="AS244" s="478"/>
      <c r="AT244" s="476"/>
      <c r="AU244" s="482"/>
      <c r="AV244" s="478"/>
      <c r="AW244" s="483"/>
      <c r="AX244" s="476"/>
      <c r="AY244" s="482"/>
      <c r="AZ244" s="478"/>
      <c r="BA244" s="484"/>
      <c r="BB244" s="474"/>
      <c r="BC244" s="485"/>
      <c r="BD244" s="485"/>
      <c r="BG244" s="487"/>
    </row>
    <row r="245" spans="1:59" s="486" customFormat="1" ht="18" customHeight="1" x14ac:dyDescent="0.2">
      <c r="A245" s="1368" t="str">
        <f t="shared" si="166"/>
        <v>PERUMNAS - SIMPANG PERKANTORAN PEMDA2014</v>
      </c>
      <c r="B245" s="687"/>
      <c r="C245" s="463"/>
      <c r="D245" s="464"/>
      <c r="E245" s="465"/>
      <c r="F245" s="466">
        <v>2014</v>
      </c>
      <c r="G245" s="620">
        <v>0</v>
      </c>
      <c r="H245" s="464">
        <f t="shared" si="179"/>
        <v>3</v>
      </c>
      <c r="I245" s="467"/>
      <c r="J245" s="468">
        <f t="shared" si="167"/>
        <v>2016</v>
      </c>
      <c r="K245" s="490">
        <f t="shared" si="168"/>
        <v>0</v>
      </c>
      <c r="L245" s="469">
        <f t="shared" si="169"/>
        <v>0</v>
      </c>
      <c r="M245" s="683">
        <f t="shared" si="176"/>
        <v>0</v>
      </c>
      <c r="N245" s="470">
        <f t="shared" si="177"/>
        <v>3</v>
      </c>
      <c r="O245" s="468">
        <f t="shared" si="170"/>
        <v>2016</v>
      </c>
      <c r="P245" s="616">
        <f t="shared" si="171"/>
        <v>1419097281.1150436</v>
      </c>
      <c r="Q245" s="472">
        <f t="shared" si="172"/>
        <v>1419097281.1150436</v>
      </c>
      <c r="R245" s="472">
        <f t="shared" si="173"/>
        <v>473032427.03834802</v>
      </c>
      <c r="S245" s="1160">
        <f t="shared" si="164"/>
        <v>2014</v>
      </c>
      <c r="T245" s="470">
        <f t="shared" si="178"/>
        <v>1</v>
      </c>
      <c r="U245" s="612">
        <f t="shared" si="165"/>
        <v>473032427.03834802</v>
      </c>
      <c r="V245" s="464">
        <f t="shared" si="174"/>
        <v>2014</v>
      </c>
      <c r="W245" s="612">
        <f t="shared" si="175"/>
        <v>946064854.07669568</v>
      </c>
      <c r="X245" s="473"/>
      <c r="Y245" s="478"/>
      <c r="Z245" s="449"/>
      <c r="AA245" s="531" t="s">
        <v>4183</v>
      </c>
      <c r="AB245" s="476"/>
      <c r="AC245" s="476"/>
      <c r="AD245" s="568">
        <f>AD244-W252</f>
        <v>0</v>
      </c>
      <c r="AE245" s="476"/>
      <c r="AF245" s="568"/>
      <c r="AG245" s="476"/>
      <c r="AH245" s="476"/>
      <c r="AI245" s="477"/>
      <c r="AJ245" s="478"/>
      <c r="AK245" s="479"/>
      <c r="AL245" s="480"/>
      <c r="AM245" s="474"/>
      <c r="AN245" s="481"/>
      <c r="AO245" s="474"/>
      <c r="AP245" s="476"/>
      <c r="AQ245" s="482"/>
      <c r="AR245" s="478"/>
      <c r="AS245" s="478"/>
      <c r="AT245" s="476"/>
      <c r="AU245" s="482"/>
      <c r="AV245" s="478"/>
      <c r="AW245" s="483"/>
      <c r="AX245" s="476"/>
      <c r="AY245" s="482"/>
      <c r="AZ245" s="478"/>
      <c r="BA245" s="484"/>
      <c r="BB245" s="474"/>
      <c r="BC245" s="485"/>
      <c r="BD245" s="485"/>
      <c r="BG245" s="487"/>
    </row>
    <row r="246" spans="1:59" s="486" customFormat="1" ht="18" customHeight="1" x14ac:dyDescent="0.2">
      <c r="A246" s="1368" t="str">
        <f t="shared" si="166"/>
        <v>PERUMNAS - SIMPANG PERKANTORAN PEMDA2015</v>
      </c>
      <c r="B246" s="687"/>
      <c r="C246" s="494" t="s">
        <v>383</v>
      </c>
      <c r="D246" s="494" t="s">
        <v>383</v>
      </c>
      <c r="E246" s="465"/>
      <c r="F246" s="466">
        <f>F245+1</f>
        <v>2015</v>
      </c>
      <c r="G246" s="620">
        <v>0</v>
      </c>
      <c r="H246" s="464">
        <f t="shared" si="179"/>
        <v>2</v>
      </c>
      <c r="I246" s="467"/>
      <c r="J246" s="468">
        <f t="shared" si="167"/>
        <v>2016</v>
      </c>
      <c r="K246" s="490">
        <f t="shared" si="168"/>
        <v>0</v>
      </c>
      <c r="L246" s="469">
        <f t="shared" si="169"/>
        <v>0</v>
      </c>
      <c r="M246" s="683">
        <f t="shared" si="176"/>
        <v>0</v>
      </c>
      <c r="N246" s="470">
        <f t="shared" si="177"/>
        <v>2</v>
      </c>
      <c r="O246" s="468">
        <f t="shared" si="170"/>
        <v>2016</v>
      </c>
      <c r="P246" s="616">
        <f t="shared" si="171"/>
        <v>946064854.07669568</v>
      </c>
      <c r="Q246" s="472">
        <f t="shared" si="172"/>
        <v>946064854.07669568</v>
      </c>
      <c r="R246" s="472">
        <f t="shared" si="173"/>
        <v>473032427.03834802</v>
      </c>
      <c r="S246" s="1160">
        <f t="shared" si="164"/>
        <v>2015</v>
      </c>
      <c r="T246" s="470">
        <f t="shared" si="178"/>
        <v>1</v>
      </c>
      <c r="U246" s="612">
        <f t="shared" si="165"/>
        <v>473032427.03834802</v>
      </c>
      <c r="V246" s="464">
        <f t="shared" si="174"/>
        <v>2015</v>
      </c>
      <c r="W246" s="612">
        <f t="shared" si="175"/>
        <v>473032427.03834766</v>
      </c>
      <c r="X246" s="473"/>
      <c r="Y246" s="478"/>
      <c r="Z246" s="449"/>
      <c r="AA246" s="497"/>
      <c r="AB246" s="476"/>
      <c r="AC246" s="476"/>
      <c r="AD246" s="568"/>
      <c r="AE246" s="476"/>
      <c r="AF246" s="568"/>
      <c r="AG246" s="476"/>
      <c r="AH246" s="476"/>
      <c r="AI246" s="477"/>
      <c r="AJ246" s="478"/>
      <c r="AK246" s="479"/>
      <c r="AL246" s="480"/>
      <c r="AM246" s="474"/>
      <c r="AN246" s="481"/>
      <c r="AO246" s="474"/>
      <c r="AP246" s="476"/>
      <c r="AQ246" s="482"/>
      <c r="AR246" s="478"/>
      <c r="AS246" s="478"/>
      <c r="AT246" s="476"/>
      <c r="AU246" s="482"/>
      <c r="AV246" s="478"/>
      <c r="AW246" s="483"/>
      <c r="AX246" s="476"/>
      <c r="AY246" s="482"/>
      <c r="AZ246" s="478"/>
      <c r="BA246" s="484"/>
      <c r="BB246" s="474"/>
      <c r="BC246" s="485"/>
      <c r="BD246" s="485"/>
      <c r="BG246" s="487"/>
    </row>
    <row r="247" spans="1:59" s="486" customFormat="1" ht="18" customHeight="1" x14ac:dyDescent="0.2">
      <c r="A247" s="1368" t="str">
        <f t="shared" si="166"/>
        <v>PERUMNAS - SIMPANG PERKANTORAN PEMDA2016</v>
      </c>
      <c r="B247" s="687"/>
      <c r="C247" s="463"/>
      <c r="D247" s="464"/>
      <c r="E247" s="465"/>
      <c r="F247" s="466">
        <f>F246+1</f>
        <v>2016</v>
      </c>
      <c r="G247" s="620">
        <v>0</v>
      </c>
      <c r="H247" s="464">
        <f t="shared" si="179"/>
        <v>1</v>
      </c>
      <c r="I247" s="467"/>
      <c r="J247" s="468">
        <f t="shared" si="167"/>
        <v>2016</v>
      </c>
      <c r="K247" s="490">
        <f t="shared" si="168"/>
        <v>0</v>
      </c>
      <c r="L247" s="469">
        <f t="shared" si="169"/>
        <v>0</v>
      </c>
      <c r="M247" s="683">
        <f t="shared" si="176"/>
        <v>0</v>
      </c>
      <c r="N247" s="470">
        <f t="shared" si="177"/>
        <v>1</v>
      </c>
      <c r="O247" s="468">
        <f t="shared" si="170"/>
        <v>2016</v>
      </c>
      <c r="P247" s="616">
        <f t="shared" si="171"/>
        <v>473032427.03834766</v>
      </c>
      <c r="Q247" s="472">
        <f t="shared" si="172"/>
        <v>473032427.03834766</v>
      </c>
      <c r="R247" s="472">
        <f t="shared" si="173"/>
        <v>473032427.03834802</v>
      </c>
      <c r="S247" s="1160">
        <f t="shared" si="164"/>
        <v>2016</v>
      </c>
      <c r="T247" s="470">
        <f t="shared" si="178"/>
        <v>1</v>
      </c>
      <c r="U247" s="612">
        <f t="shared" si="165"/>
        <v>473032427.03834802</v>
      </c>
      <c r="V247" s="464">
        <f t="shared" si="174"/>
        <v>2016</v>
      </c>
      <c r="W247" s="612">
        <f t="shared" si="175"/>
        <v>-3.5762786865234375E-7</v>
      </c>
      <c r="X247" s="473"/>
      <c r="Y247" s="497"/>
      <c r="Z247" s="449"/>
      <c r="AA247" s="497"/>
      <c r="AB247" s="476"/>
      <c r="AC247" s="497"/>
      <c r="AD247" s="568"/>
      <c r="AE247" s="476"/>
      <c r="AF247" s="568"/>
      <c r="AG247" s="476"/>
      <c r="AH247" s="476"/>
      <c r="AI247" s="477"/>
      <c r="AJ247" s="478"/>
      <c r="AK247" s="479"/>
      <c r="AL247" s="480"/>
      <c r="AM247" s="474"/>
      <c r="AN247" s="481"/>
      <c r="AO247" s="474"/>
      <c r="AP247" s="476"/>
      <c r="AQ247" s="482"/>
      <c r="AR247" s="478"/>
      <c r="AS247" s="478"/>
      <c r="AT247" s="476"/>
      <c r="AU247" s="482"/>
      <c r="AV247" s="478"/>
      <c r="AW247" s="483"/>
      <c r="AX247" s="476"/>
      <c r="AY247" s="482"/>
      <c r="AZ247" s="478"/>
      <c r="BA247" s="484"/>
      <c r="BB247" s="474"/>
      <c r="BC247" s="485"/>
      <c r="BD247" s="485"/>
      <c r="BG247" s="487"/>
    </row>
    <row r="248" spans="1:59" s="486" customFormat="1" ht="18" customHeight="1" x14ac:dyDescent="0.2">
      <c r="A248" s="1368" t="str">
        <f t="shared" si="166"/>
        <v>PERUMNAS - SIMPANG PERKANTORAN PEMDA2017</v>
      </c>
      <c r="B248" s="687"/>
      <c r="C248" s="463"/>
      <c r="D248" s="464"/>
      <c r="E248" s="465"/>
      <c r="F248" s="466">
        <f>F247+1</f>
        <v>2017</v>
      </c>
      <c r="G248" s="620">
        <v>0</v>
      </c>
      <c r="H248" s="464">
        <f t="shared" si="179"/>
        <v>0</v>
      </c>
      <c r="I248" s="467"/>
      <c r="J248" s="468">
        <f>(F248+N248)-1</f>
        <v>2016</v>
      </c>
      <c r="K248" s="490">
        <f>IF(G248=0,0,IF(H248=10,100%,G248/W247))</f>
        <v>0</v>
      </c>
      <c r="L248" s="469">
        <f>IF(K248=0%,0,IF(K248&lt;=30%,2,IF(K248&lt;=60%,5,10)))</f>
        <v>0</v>
      </c>
      <c r="M248" s="683">
        <f t="shared" si="176"/>
        <v>0</v>
      </c>
      <c r="N248" s="470">
        <f>IF(OR(AND(ISBLANK(F248),ISBLANK(G248)),ISTEXT(F248),ISTEXT(G248)),"",H248+M248)</f>
        <v>0</v>
      </c>
      <c r="O248" s="468">
        <f>(F248+N248)-1</f>
        <v>2016</v>
      </c>
      <c r="P248" s="616">
        <f>W247</f>
        <v>-3.5762786865234375E-7</v>
      </c>
      <c r="Q248" s="472">
        <f>P248+G248</f>
        <v>-3.5762786865234375E-7</v>
      </c>
      <c r="R248" s="472">
        <v>0</v>
      </c>
      <c r="S248" s="1160">
        <f>F248</f>
        <v>2017</v>
      </c>
      <c r="T248" s="470">
        <f>S248-S247</f>
        <v>1</v>
      </c>
      <c r="U248" s="612">
        <f>R248*T248</f>
        <v>0</v>
      </c>
      <c r="V248" s="464">
        <f>F248</f>
        <v>2017</v>
      </c>
      <c r="W248" s="612">
        <f>IF(OR(AND(ISBLANK(E248),ISBLANK(G248)),ISTEXT(E248),ISTEXT(G248)),"",Q248-U248)</f>
        <v>-3.5762786865234375E-7</v>
      </c>
      <c r="X248" s="473"/>
      <c r="Y248" s="497"/>
      <c r="Z248" s="449"/>
      <c r="AA248" s="497"/>
      <c r="AB248" s="476"/>
      <c r="AC248" s="497"/>
      <c r="AD248" s="568"/>
      <c r="AE248" s="476"/>
      <c r="AF248" s="568"/>
      <c r="AG248" s="476"/>
      <c r="AH248" s="476"/>
      <c r="AI248" s="477"/>
      <c r="AJ248" s="478"/>
      <c r="AK248" s="479"/>
      <c r="AL248" s="480"/>
      <c r="AM248" s="474"/>
      <c r="AN248" s="481"/>
      <c r="AO248" s="474"/>
      <c r="AP248" s="476"/>
      <c r="AQ248" s="482"/>
      <c r="AR248" s="478"/>
      <c r="AS248" s="478"/>
      <c r="AT248" s="476"/>
      <c r="AU248" s="482"/>
      <c r="AV248" s="478"/>
      <c r="AW248" s="483"/>
      <c r="AX248" s="476"/>
      <c r="AY248" s="482"/>
      <c r="AZ248" s="478"/>
      <c r="BA248" s="484"/>
      <c r="BB248" s="474"/>
      <c r="BC248" s="485"/>
      <c r="BD248" s="485"/>
      <c r="BG248" s="487"/>
    </row>
    <row r="249" spans="1:59" s="486" customFormat="1" ht="18" customHeight="1" x14ac:dyDescent="0.2">
      <c r="A249" s="1368" t="str">
        <f t="shared" si="166"/>
        <v>PERUMNAS - SIMPANG PERKANTORAN PEMDA2018</v>
      </c>
      <c r="B249" s="687"/>
      <c r="C249" s="463"/>
      <c r="D249" s="464"/>
      <c r="E249" s="465"/>
      <c r="F249" s="466">
        <f>F248+1</f>
        <v>2018</v>
      </c>
      <c r="G249" s="620">
        <v>0</v>
      </c>
      <c r="H249" s="464">
        <f t="shared" si="179"/>
        <v>0</v>
      </c>
      <c r="I249" s="467"/>
      <c r="J249" s="468">
        <f>(F249+N249)-1</f>
        <v>2017</v>
      </c>
      <c r="K249" s="490">
        <f>IF(G249=0,0,IF(H249=10,100%,G249/W248))</f>
        <v>0</v>
      </c>
      <c r="L249" s="469">
        <f>IF(K249=0%,0,IF(K249&lt;=30%,2,IF(K249&lt;=60%,5,10)))</f>
        <v>0</v>
      </c>
      <c r="M249" s="683">
        <f t="shared" si="176"/>
        <v>0</v>
      </c>
      <c r="N249" s="470">
        <f>IF(OR(AND(ISBLANK(F249),ISBLANK(G249)),ISTEXT(F249),ISTEXT(G249)),"",H249+M249)</f>
        <v>0</v>
      </c>
      <c r="O249" s="468">
        <f>(F249+N249)-1</f>
        <v>2017</v>
      </c>
      <c r="P249" s="616">
        <f>W248</f>
        <v>-3.5762786865234375E-7</v>
      </c>
      <c r="Q249" s="472">
        <f>P249+G249</f>
        <v>-3.5762786865234375E-7</v>
      </c>
      <c r="R249" s="472">
        <f>IF(L249=0,R248,Q249/N249)</f>
        <v>0</v>
      </c>
      <c r="S249" s="1160">
        <f>F249</f>
        <v>2018</v>
      </c>
      <c r="T249" s="470">
        <f>S249-S248</f>
        <v>1</v>
      </c>
      <c r="U249" s="612">
        <f>R249*T249</f>
        <v>0</v>
      </c>
      <c r="V249" s="464">
        <f>F249</f>
        <v>2018</v>
      </c>
      <c r="W249" s="612">
        <f>IF(OR(AND(ISBLANK(E249),ISBLANK(G249)),ISTEXT(E249),ISTEXT(G249)),"",Q249-U249)</f>
        <v>-3.5762786865234375E-7</v>
      </c>
      <c r="X249" s="473"/>
      <c r="Y249" s="497"/>
      <c r="Z249" s="449"/>
      <c r="AA249" s="497"/>
      <c r="AB249" s="476"/>
      <c r="AC249" s="497"/>
      <c r="AD249" s="568"/>
      <c r="AE249" s="476"/>
      <c r="AF249" s="568"/>
      <c r="AG249" s="476"/>
      <c r="AH249" s="476"/>
      <c r="AI249" s="477"/>
      <c r="AJ249" s="478"/>
      <c r="AK249" s="479"/>
      <c r="AL249" s="480"/>
      <c r="AM249" s="474"/>
      <c r="AN249" s="481"/>
      <c r="AO249" s="474"/>
      <c r="AP249" s="476"/>
      <c r="AQ249" s="482"/>
      <c r="AR249" s="478"/>
      <c r="AS249" s="478"/>
      <c r="AT249" s="476"/>
      <c r="AU249" s="482"/>
      <c r="AV249" s="478"/>
      <c r="AW249" s="483"/>
      <c r="AX249" s="476"/>
      <c r="AY249" s="482"/>
      <c r="AZ249" s="478"/>
      <c r="BA249" s="484"/>
      <c r="BB249" s="474"/>
      <c r="BC249" s="485"/>
      <c r="BD249" s="485"/>
      <c r="BG249" s="487"/>
    </row>
    <row r="250" spans="1:59" s="486" customFormat="1" ht="18" customHeight="1" x14ac:dyDescent="0.2">
      <c r="A250" s="1368"/>
      <c r="B250" s="687"/>
      <c r="C250" s="463"/>
      <c r="D250" s="464"/>
      <c r="E250" s="465"/>
      <c r="F250" s="466">
        <v>2019</v>
      </c>
      <c r="G250" s="620">
        <v>0</v>
      </c>
      <c r="H250" s="464">
        <f t="shared" si="179"/>
        <v>0</v>
      </c>
      <c r="I250" s="467"/>
      <c r="J250" s="468">
        <f>(F250+N250)-1</f>
        <v>2018</v>
      </c>
      <c r="K250" s="490">
        <f>IF(G250=0,0,IF(H250=10,100%,G250/W249))</f>
        <v>0</v>
      </c>
      <c r="L250" s="469">
        <f>IF(K250=0%,0,IF(K250&lt;=30%,2,IF(K250&lt;=60%,5,10)))</f>
        <v>0</v>
      </c>
      <c r="M250" s="683">
        <f t="shared" si="176"/>
        <v>0</v>
      </c>
      <c r="N250" s="470">
        <f>IF(OR(AND(ISBLANK(F250),ISBLANK(G250)),ISTEXT(F250),ISTEXT(G250)),"",H250+M250)</f>
        <v>0</v>
      </c>
      <c r="O250" s="468">
        <f>(F250+N250)-1</f>
        <v>2018</v>
      </c>
      <c r="P250" s="616">
        <f>W249</f>
        <v>-3.5762786865234375E-7</v>
      </c>
      <c r="Q250" s="472">
        <f>P250+G250</f>
        <v>-3.5762786865234375E-7</v>
      </c>
      <c r="R250" s="472">
        <f>IF(L250=0,R249,Q250/N250)</f>
        <v>0</v>
      </c>
      <c r="S250" s="1189">
        <f>F250</f>
        <v>2019</v>
      </c>
      <c r="T250" s="470">
        <f>S250-S249</f>
        <v>1</v>
      </c>
      <c r="U250" s="612">
        <f>R250*T250</f>
        <v>0</v>
      </c>
      <c r="V250" s="464">
        <f>F250</f>
        <v>2019</v>
      </c>
      <c r="W250" s="612">
        <f>IF(OR(AND(ISBLANK(E250),ISBLANK(G250)),ISTEXT(E250),ISTEXT(G250)),"",Q250-U250)</f>
        <v>-3.5762786865234375E-7</v>
      </c>
      <c r="X250" s="473"/>
      <c r="Y250" s="497"/>
      <c r="Z250" s="449"/>
      <c r="AA250" s="497"/>
      <c r="AB250" s="476"/>
      <c r="AC250" s="497"/>
      <c r="AD250" s="568"/>
      <c r="AE250" s="476"/>
      <c r="AF250" s="568"/>
      <c r="AG250" s="476"/>
      <c r="AH250" s="476"/>
      <c r="AI250" s="477"/>
      <c r="AJ250" s="478"/>
      <c r="AK250" s="479"/>
      <c r="AL250" s="480"/>
      <c r="AM250" s="474"/>
      <c r="AN250" s="481"/>
      <c r="AO250" s="474"/>
      <c r="AP250" s="476"/>
      <c r="AQ250" s="482"/>
      <c r="AR250" s="478"/>
      <c r="AS250" s="478"/>
      <c r="AT250" s="476"/>
      <c r="AU250" s="482"/>
      <c r="AV250" s="478"/>
      <c r="AW250" s="483"/>
      <c r="AX250" s="476"/>
      <c r="AY250" s="482"/>
      <c r="AZ250" s="478"/>
      <c r="BA250" s="484"/>
      <c r="BB250" s="474"/>
      <c r="BC250" s="485"/>
      <c r="BD250" s="485"/>
      <c r="BG250" s="487"/>
    </row>
    <row r="251" spans="1:59" s="486" customFormat="1" ht="18" customHeight="1" x14ac:dyDescent="0.2">
      <c r="A251" s="1369"/>
      <c r="B251" s="687"/>
      <c r="C251" s="463"/>
      <c r="D251" s="464"/>
      <c r="E251" s="465"/>
      <c r="F251" s="1160"/>
      <c r="G251" s="620"/>
      <c r="H251" s="469" t="str">
        <f>IF(OR(AND(ISBLANK(E251),ISBLANK(G251)),ISTEXT(E251),ISTEXT(G251)),"",IF(#REF!-(YEAR(E251)-YEAR(#REF!))&lt;0,0,#REF!-(YEAR(E251)-YEAR(#REF!))))</f>
        <v/>
      </c>
      <c r="I251" s="467" t="str">
        <f>IF(OR(AND(ISBLANK(E251),ISBLANK(G251)),ISTEXT(E251),ISTEXT(G251)),"",IF(#REF!-E251&lt;0,0,#REF!-E251))</f>
        <v/>
      </c>
      <c r="J251" s="498" t="str">
        <f>IF(OR(AND(ISBLANK(E251),ISBLANK(G251)),ISTEXT(E251),ISTEXT(G251)),"",#REF!)</f>
        <v/>
      </c>
      <c r="K251" s="498"/>
      <c r="L251" s="469" t="str">
        <f>IF(OR(AND(ISBLANK(E251),ISBLANK(G251)),ISTEXT(E251),ISTEXT(G251)),"",ROUNDDOWN(G251/SUM($G$57:G247)*$H$57,0))</f>
        <v/>
      </c>
      <c r="M251" s="683" t="str">
        <f>IF(OR(AND(ISBLANK(E251),ISBLANK(G251)),ISTEXT(E251),ISTEXT(G251)),"",IF(H251+L251&gt;$H$57,$H$57-H251,L251))</f>
        <v/>
      </c>
      <c r="N251" s="470" t="str">
        <f>IF(OR(AND(ISBLANK(E251),ISBLANK(G251)),ISTEXT(E251),ISTEXT(G251)),"",H251+M251)</f>
        <v/>
      </c>
      <c r="O251" s="498" t="str">
        <f>IF(OR(AND(ISBLANK(E251),ISBLANK(G251)),ISTEXT(E251),ISTEXT(G251)),"",DATE(YEAR($J251)+M251,MONTH($J251),DAY($J251)))</f>
        <v/>
      </c>
      <c r="P251" s="748" t="str">
        <f>IF(OR(AND(ISBLANK(E251),ISBLANK(G251)),ISTEXT(E251),ISTEXT(G251)),"",#REF!-#REF!*(IF(J251&lt;E251,J251,E251)-#REF!))</f>
        <v/>
      </c>
      <c r="Q251" s="500" t="str">
        <f>IF(OR(AND(ISBLANK(E251),ISBLANK(G251)),ISTEXT(E251),ISTEXT(G251)),"",P251+G251)</f>
        <v/>
      </c>
      <c r="R251" s="501" t="str">
        <f>IF(OR(AND(ISBLANK(E251),ISBLANK(G251)),ISTEXT(E251),ISTEXT(G251)),"",IF(OR(E251&lt;DATE(2004,12,31),#REF!=0),0,Q251/#REF!))</f>
        <v/>
      </c>
      <c r="S251" s="502" t="str">
        <f>IF(OR(AND(ISBLANK(E251),ISBLANK(G251)),ISTEXT(E251),ISTEXT(G251)),"",IF(YEAR(E251)&lt;=YEAR(#REF!),"-",YEAR(E251)-1))</f>
        <v/>
      </c>
      <c r="T251" s="502"/>
      <c r="U251" s="612" t="str">
        <f>IF(OR(AND(ISBLANK(E251),ISBLANK(G251)),ISTEXT(E251),ISTEXT(G251)),"",IF(AND(J251&lt;=DATE(2004,12,31),E251&gt;J251),SUM($G251:G251),#REF!+#REF!+#REF!*IF(YEAR(E251)&lt;=YEAR(#REF!),0,(IF(DATE(YEAR(E251)-1,12,31)&gt;J251,J251,DATE(YEAR(E251)-1,12,31))-#REF!))))</f>
        <v/>
      </c>
      <c r="V251" s="503" t="str">
        <f>IF(OR(AND(ISBLANK(E251),ISBLANK(G251)),ISTEXT(E251),ISTEXT(G251)),"",IF(YEAR(E251)=YEAR(E252),E252,DATE(YEAR(E251),12,31)))</f>
        <v/>
      </c>
      <c r="W251" s="612" t="str">
        <f>IF(OR(AND(ISBLANK(E251),ISBLANK(G251)),ISTEXT(E251),ISTEXT(G251)),"",IF(Q251=0,0,IF(AND(J251&lt;=DATE(2004,12,31),E251&gt;=J251),Q251-U251,Q251-#REF!)))</f>
        <v/>
      </c>
      <c r="X251" s="504" t="str">
        <f>IF(OR(AND(ISBLANK(E251),ISBLANK(G251)),ISTEXT(E251),ISTEXT(G251)),"",$D$57&amp;"//"&amp;TEXT($E$57,"dd-mmm-yyyy")&amp;"//"&amp;#REF!)</f>
        <v/>
      </c>
      <c r="Y251" s="476"/>
      <c r="Z251" s="476"/>
      <c r="AA251" s="476"/>
      <c r="AB251" s="476"/>
      <c r="AC251" s="476"/>
      <c r="AD251" s="568"/>
      <c r="AE251" s="476"/>
      <c r="AF251" s="568"/>
      <c r="AG251" s="476"/>
      <c r="AH251" s="476"/>
      <c r="AI251" s="477"/>
      <c r="AJ251" s="478"/>
      <c r="AK251" s="479"/>
      <c r="AL251" s="480"/>
      <c r="AM251" s="474"/>
      <c r="AN251" s="481"/>
      <c r="AO251" s="474"/>
      <c r="AP251" s="476"/>
      <c r="AQ251" s="482"/>
      <c r="AR251" s="478"/>
      <c r="AS251" s="478"/>
      <c r="AT251" s="476"/>
      <c r="AU251" s="482"/>
      <c r="AV251" s="478"/>
      <c r="AW251" s="483"/>
      <c r="AX251" s="476"/>
      <c r="AY251" s="482"/>
      <c r="AZ251" s="478"/>
      <c r="BA251" s="484"/>
      <c r="BB251" s="474"/>
      <c r="BC251" s="485"/>
      <c r="BD251" s="485"/>
      <c r="BG251" s="487"/>
    </row>
    <row r="252" spans="1:59" s="526" customFormat="1" ht="18" customHeight="1" x14ac:dyDescent="0.2">
      <c r="A252" s="1370" t="s">
        <v>4184</v>
      </c>
      <c r="B252" s="1956" t="s">
        <v>4184</v>
      </c>
      <c r="C252" s="1957"/>
      <c r="D252" s="1957"/>
      <c r="E252" s="1957"/>
      <c r="F252" s="1958"/>
      <c r="G252" s="624">
        <f>SUM(G239:G251)</f>
        <v>7310174270.3834801</v>
      </c>
      <c r="H252" s="505"/>
      <c r="I252" s="506"/>
      <c r="J252" s="507"/>
      <c r="K252" s="507"/>
      <c r="L252" s="505"/>
      <c r="M252" s="684"/>
      <c r="N252" s="508"/>
      <c r="O252" s="507"/>
      <c r="P252" s="749"/>
      <c r="Q252" s="510"/>
      <c r="R252" s="511"/>
      <c r="S252" s="512"/>
      <c r="T252" s="512"/>
      <c r="U252" s="610">
        <f>SUM(U239:U251)</f>
        <v>7310174270.383481</v>
      </c>
      <c r="V252" s="513"/>
      <c r="W252" s="610">
        <f>G252-U252</f>
        <v>0</v>
      </c>
      <c r="X252" s="514"/>
      <c r="Y252" s="515"/>
      <c r="Z252" s="515"/>
      <c r="AA252" s="515"/>
      <c r="AB252" s="515"/>
      <c r="AC252" s="515"/>
      <c r="AD252" s="570"/>
      <c r="AE252" s="515"/>
      <c r="AF252" s="570">
        <v>1216639920.1486001</v>
      </c>
      <c r="AG252" s="515"/>
      <c r="AH252" s="515"/>
      <c r="AI252" s="516"/>
      <c r="AJ252" s="517"/>
      <c r="AK252" s="518"/>
      <c r="AL252" s="519"/>
      <c r="AM252" s="520"/>
      <c r="AN252" s="521"/>
      <c r="AO252" s="520"/>
      <c r="AP252" s="515"/>
      <c r="AQ252" s="522"/>
      <c r="AR252" s="517"/>
      <c r="AS252" s="517"/>
      <c r="AT252" s="515"/>
      <c r="AU252" s="522"/>
      <c r="AV252" s="517"/>
      <c r="AW252" s="523"/>
      <c r="AX252" s="515"/>
      <c r="AY252" s="522"/>
      <c r="AZ252" s="517"/>
      <c r="BA252" s="524"/>
      <c r="BB252" s="520"/>
      <c r="BC252" s="525"/>
      <c r="BD252" s="525"/>
      <c r="BG252" s="527"/>
    </row>
    <row r="253" spans="1:59" x14ac:dyDescent="0.2">
      <c r="K253" s="627"/>
      <c r="AF253" s="562">
        <v>1192913525.6685998</v>
      </c>
    </row>
    <row r="254" spans="1:59" x14ac:dyDescent="0.2">
      <c r="G254" s="1002"/>
      <c r="H254" s="627"/>
    </row>
    <row r="255" spans="1:59" s="422" customFormat="1" ht="18" customHeight="1" x14ac:dyDescent="0.2">
      <c r="A255" s="1366">
        <f>C255</f>
        <v>27</v>
      </c>
      <c r="B255" s="742" t="s">
        <v>4187</v>
      </c>
      <c r="C255" s="556">
        <v>27</v>
      </c>
      <c r="D255" s="553" t="str">
        <f>VLOOKUP(C255,RUAS,2,FALSE)</f>
        <v>JL. SEB. TELUK - SIBEROBAH</v>
      </c>
      <c r="E255" s="553"/>
      <c r="F255" s="421"/>
      <c r="G255" s="611"/>
      <c r="I255" s="423"/>
      <c r="J255" s="424"/>
      <c r="K255" s="424"/>
      <c r="M255" s="680"/>
      <c r="P255" s="611"/>
      <c r="U255" s="611"/>
      <c r="W255" s="611"/>
      <c r="Y255" s="425"/>
      <c r="Z255" s="425"/>
      <c r="AA255" s="425"/>
      <c r="AB255" s="425"/>
      <c r="AC255" s="425"/>
      <c r="AD255" s="563"/>
      <c r="AE255" s="425"/>
      <c r="AF255" s="563"/>
      <c r="AG255" s="425"/>
      <c r="AH255" s="425"/>
      <c r="AI255" s="425"/>
      <c r="AJ255" s="425"/>
      <c r="AK255" s="425"/>
      <c r="AL255" s="425"/>
      <c r="AM255" s="425"/>
      <c r="AN255" s="425"/>
      <c r="AO255" s="425"/>
      <c r="AP255" s="425"/>
      <c r="AQ255" s="425"/>
      <c r="AR255" s="425"/>
      <c r="AS255" s="425"/>
      <c r="AT255" s="425"/>
      <c r="AU255" s="425"/>
      <c r="AV255" s="425"/>
      <c r="AW255" s="425"/>
      <c r="AX255" s="425"/>
      <c r="AY255" s="425"/>
      <c r="AZ255" s="425"/>
      <c r="BA255" s="425"/>
      <c r="BB255" s="425"/>
    </row>
    <row r="256" spans="1:59" s="431" customFormat="1" ht="18" customHeight="1" x14ac:dyDescent="0.2">
      <c r="A256" s="1367"/>
      <c r="B256" s="1968" t="s">
        <v>5</v>
      </c>
      <c r="C256" s="1968" t="s">
        <v>2280</v>
      </c>
      <c r="D256" s="1968" t="s">
        <v>4157</v>
      </c>
      <c r="E256" s="1968" t="s">
        <v>4158</v>
      </c>
      <c r="F256" s="1968"/>
      <c r="G256" s="1969" t="s">
        <v>4159</v>
      </c>
      <c r="H256" s="1968" t="s">
        <v>4160</v>
      </c>
      <c r="I256" s="1968"/>
      <c r="J256" s="1968" t="s">
        <v>4185</v>
      </c>
      <c r="K256" s="1964" t="s">
        <v>4162</v>
      </c>
      <c r="L256" s="1968" t="s">
        <v>4163</v>
      </c>
      <c r="M256" s="1971" t="s">
        <v>4164</v>
      </c>
      <c r="N256" s="1962" t="s">
        <v>4165</v>
      </c>
      <c r="O256" s="1968" t="s">
        <v>4166</v>
      </c>
      <c r="P256" s="1972" t="s">
        <v>4167</v>
      </c>
      <c r="Q256" s="1973"/>
      <c r="R256" s="636" t="s">
        <v>4186</v>
      </c>
      <c r="S256" s="1972" t="s">
        <v>4169</v>
      </c>
      <c r="T256" s="1974"/>
      <c r="U256" s="1973"/>
      <c r="V256" s="1975" t="s">
        <v>4170</v>
      </c>
      <c r="W256" s="1975"/>
      <c r="X256" s="1960" t="s">
        <v>4171</v>
      </c>
      <c r="Y256" s="1959"/>
      <c r="Z256" s="633"/>
      <c r="AA256" s="426"/>
      <c r="AB256" s="426"/>
      <c r="AC256" s="426"/>
      <c r="AD256" s="564"/>
      <c r="AE256" s="426"/>
      <c r="AF256" s="564"/>
      <c r="AG256" s="426"/>
      <c r="AH256" s="426"/>
      <c r="AI256" s="427"/>
      <c r="AJ256" s="427"/>
      <c r="AK256" s="427"/>
      <c r="AL256" s="427"/>
      <c r="AM256" s="428"/>
      <c r="AN256" s="427"/>
      <c r="AO256" s="427"/>
      <c r="AP256" s="426"/>
      <c r="AQ256" s="427"/>
      <c r="AR256" s="427"/>
      <c r="AS256" s="427"/>
      <c r="AT256" s="426"/>
      <c r="AU256" s="427"/>
      <c r="AV256" s="427"/>
      <c r="AW256" s="427"/>
      <c r="AX256" s="426"/>
      <c r="AY256" s="427"/>
      <c r="AZ256" s="427"/>
      <c r="BA256" s="427"/>
      <c r="BB256" s="429"/>
      <c r="BC256" s="430"/>
      <c r="BD256" s="430"/>
    </row>
    <row r="257" spans="1:59" s="431" customFormat="1" ht="18" customHeight="1" x14ac:dyDescent="0.2">
      <c r="A257" s="1367"/>
      <c r="B257" s="1968"/>
      <c r="C257" s="1968"/>
      <c r="D257" s="1968"/>
      <c r="E257" s="1968"/>
      <c r="F257" s="1968"/>
      <c r="G257" s="1969"/>
      <c r="H257" s="1968"/>
      <c r="I257" s="1968"/>
      <c r="J257" s="1968"/>
      <c r="K257" s="1970"/>
      <c r="L257" s="1968"/>
      <c r="M257" s="1971"/>
      <c r="N257" s="1963"/>
      <c r="O257" s="1968"/>
      <c r="P257" s="2037" t="s">
        <v>4172</v>
      </c>
      <c r="Q257" s="1960" t="s">
        <v>4173</v>
      </c>
      <c r="R257" s="1962" t="s">
        <v>4159</v>
      </c>
      <c r="S257" s="1962" t="s">
        <v>4174</v>
      </c>
      <c r="T257" s="1964" t="s">
        <v>4175</v>
      </c>
      <c r="U257" s="1966" t="s">
        <v>4159</v>
      </c>
      <c r="V257" s="1975"/>
      <c r="W257" s="1975"/>
      <c r="X257" s="1976"/>
      <c r="Y257" s="1959"/>
      <c r="Z257" s="633"/>
      <c r="AA257" s="426"/>
      <c r="AB257" s="426"/>
      <c r="AC257" s="426"/>
      <c r="AD257" s="564"/>
      <c r="AE257" s="426"/>
      <c r="AF257" s="564"/>
      <c r="AG257" s="426"/>
      <c r="AH257" s="426"/>
      <c r="AI257" s="427"/>
      <c r="AJ257" s="427"/>
      <c r="AK257" s="426"/>
      <c r="AL257" s="427"/>
      <c r="AM257" s="428"/>
      <c r="AN257" s="427"/>
      <c r="AO257" s="427"/>
      <c r="AP257" s="432"/>
      <c r="AQ257" s="427"/>
      <c r="AR257" s="427"/>
      <c r="AS257" s="427"/>
      <c r="AT257" s="432"/>
      <c r="AU257" s="427"/>
      <c r="AV257" s="427"/>
      <c r="AW257" s="427"/>
      <c r="AX257" s="432"/>
      <c r="AY257" s="427"/>
      <c r="AZ257" s="427"/>
      <c r="BA257" s="427"/>
      <c r="BB257" s="429"/>
      <c r="BC257" s="430"/>
      <c r="BD257" s="430"/>
    </row>
    <row r="258" spans="1:59" s="431" customFormat="1" ht="18" customHeight="1" x14ac:dyDescent="0.2">
      <c r="A258" s="1367"/>
      <c r="B258" s="1968"/>
      <c r="C258" s="1968"/>
      <c r="D258" s="1968"/>
      <c r="E258" s="433" t="s">
        <v>4176</v>
      </c>
      <c r="F258" s="434" t="s">
        <v>2288</v>
      </c>
      <c r="G258" s="1969"/>
      <c r="H258" s="635" t="s">
        <v>2288</v>
      </c>
      <c r="I258" s="635" t="s">
        <v>4177</v>
      </c>
      <c r="J258" s="1968"/>
      <c r="K258" s="1965"/>
      <c r="L258" s="435" t="s">
        <v>2288</v>
      </c>
      <c r="M258" s="681" t="s">
        <v>2288</v>
      </c>
      <c r="N258" s="635" t="s">
        <v>2288</v>
      </c>
      <c r="O258" s="1968"/>
      <c r="P258" s="2038"/>
      <c r="Q258" s="1961"/>
      <c r="R258" s="1963"/>
      <c r="S258" s="1963"/>
      <c r="T258" s="1965"/>
      <c r="U258" s="1967"/>
      <c r="V258" s="635" t="s">
        <v>4178</v>
      </c>
      <c r="W258" s="637" t="s">
        <v>4159</v>
      </c>
      <c r="X258" s="1961"/>
      <c r="Y258" s="436"/>
      <c r="Z258" s="436"/>
      <c r="AA258" s="426"/>
      <c r="AB258" s="426"/>
      <c r="AC258" s="426"/>
      <c r="AD258" s="564"/>
      <c r="AE258" s="426"/>
      <c r="AF258" s="564"/>
      <c r="AG258" s="426"/>
      <c r="AH258" s="426"/>
      <c r="AI258" s="427"/>
      <c r="AJ258" s="432"/>
      <c r="AK258" s="432"/>
      <c r="AL258" s="427"/>
      <c r="AM258" s="428"/>
      <c r="AN258" s="432"/>
      <c r="AO258" s="427"/>
      <c r="AP258" s="432"/>
      <c r="AQ258" s="432"/>
      <c r="AR258" s="427"/>
      <c r="AS258" s="427"/>
      <c r="AT258" s="432"/>
      <c r="AU258" s="432"/>
      <c r="AV258" s="427"/>
      <c r="AW258" s="427"/>
      <c r="AX258" s="432"/>
      <c r="AY258" s="432"/>
      <c r="AZ258" s="427"/>
      <c r="BA258" s="427"/>
      <c r="BB258" s="429"/>
      <c r="BC258" s="430"/>
      <c r="BD258" s="430"/>
    </row>
    <row r="259" spans="1:59" s="461" customFormat="1" ht="18" customHeight="1" x14ac:dyDescent="0.2">
      <c r="A259" s="1368" t="str">
        <f>$D$255&amp;S259</f>
        <v>JL. SEB. TELUK - SIBEROBAH2001</v>
      </c>
      <c r="B259" s="1373">
        <v>1</v>
      </c>
      <c r="C259" s="532" t="s">
        <v>529</v>
      </c>
      <c r="D259" s="437" t="s">
        <v>2494</v>
      </c>
      <c r="E259" s="438"/>
      <c r="F259" s="439">
        <v>2001</v>
      </c>
      <c r="G259" s="623">
        <v>9359649503.9899998</v>
      </c>
      <c r="H259" s="440">
        <f>VLOOKUP(LEFT(D259,8),UE,4)</f>
        <v>10</v>
      </c>
      <c r="I259" s="441"/>
      <c r="J259" s="442">
        <f>(F259+N259)-1</f>
        <v>2010</v>
      </c>
      <c r="K259" s="443"/>
      <c r="L259" s="440"/>
      <c r="M259" s="746">
        <f>IF(H259+L259&gt;$H259,$H259-H259,L259)</f>
        <v>0</v>
      </c>
      <c r="N259" s="444">
        <f>H259+M259</f>
        <v>10</v>
      </c>
      <c r="O259" s="442">
        <f>(F259+N259)-1</f>
        <v>2010</v>
      </c>
      <c r="P259" s="617">
        <f>G259</f>
        <v>9359649503.9899998</v>
      </c>
      <c r="Q259" s="445">
        <v>0</v>
      </c>
      <c r="R259" s="445">
        <f>P259/N259</f>
        <v>935964950.39899993</v>
      </c>
      <c r="S259" s="446">
        <f>F259</f>
        <v>2001</v>
      </c>
      <c r="T259" s="447">
        <v>1</v>
      </c>
      <c r="U259" s="613">
        <f>R259*T259</f>
        <v>935964950.39899993</v>
      </c>
      <c r="V259" s="442">
        <f>F259</f>
        <v>2001</v>
      </c>
      <c r="W259" s="617">
        <f>IF(OR(AND(ISBLANK(E259),ISBLANK(G259)),ISTEXT(E259),ISTEXT(G259)),"",G259-R259)</f>
        <v>8423684553.5909996</v>
      </c>
      <c r="X259" s="448"/>
      <c r="Y259" s="449"/>
      <c r="Z259" s="449"/>
      <c r="AA259" s="693"/>
      <c r="AB259" s="452"/>
      <c r="AC259" s="452"/>
      <c r="AD259" s="571"/>
      <c r="AE259" s="452"/>
      <c r="AF259" s="571"/>
      <c r="AG259" s="452"/>
      <c r="AH259" s="452"/>
      <c r="AI259" s="453"/>
      <c r="AJ259" s="449"/>
      <c r="AK259" s="453"/>
      <c r="AL259" s="454"/>
      <c r="AM259" s="455"/>
      <c r="AN259" s="456"/>
      <c r="AO259" s="455"/>
      <c r="AP259" s="452"/>
      <c r="AQ259" s="457"/>
      <c r="AR259" s="449"/>
      <c r="AS259" s="449"/>
      <c r="AT259" s="452"/>
      <c r="AU259" s="457"/>
      <c r="AV259" s="449"/>
      <c r="AW259" s="458"/>
      <c r="AX259" s="452"/>
      <c r="AY259" s="457"/>
      <c r="AZ259" s="449"/>
      <c r="BA259" s="459"/>
      <c r="BB259" s="455"/>
      <c r="BC259" s="460"/>
      <c r="BD259" s="460"/>
      <c r="BG259" s="462"/>
    </row>
    <row r="260" spans="1:59" s="486" customFormat="1" ht="18" customHeight="1" x14ac:dyDescent="0.2">
      <c r="A260" s="1368" t="str">
        <f t="shared" ref="A260:A273" si="180">$D$255&amp;S260</f>
        <v>JL. SEB. TELUK - SIBEROBAH2007</v>
      </c>
      <c r="B260" s="1373"/>
      <c r="C260" s="463"/>
      <c r="D260" s="464"/>
      <c r="E260" s="465"/>
      <c r="F260" s="466">
        <v>2007</v>
      </c>
      <c r="G260" s="620">
        <v>0</v>
      </c>
      <c r="H260" s="464">
        <f>IF(N259-(F260-F259)&lt;=0,0,(N259-(F260-F259)))</f>
        <v>4</v>
      </c>
      <c r="I260" s="467"/>
      <c r="J260" s="468">
        <f>(F260+N260)-1</f>
        <v>2010</v>
      </c>
      <c r="K260" s="490">
        <f>IF(G260=0,0,IF(H260=10,100%,G260/W259))</f>
        <v>0</v>
      </c>
      <c r="L260" s="469">
        <f>IF(K260=0%,0,IF(K260&lt;=30%,2,IF(K260&lt;=60%,5,10)))</f>
        <v>0</v>
      </c>
      <c r="M260" s="683">
        <f>IF(OR(AND(ISBLANK(E260),ISBLANK(G260)),ISTEXT(E260),ISTEXT(G260)),"",IF(H260+L260&gt;$H$259,$H$259-H260,L260))</f>
        <v>0</v>
      </c>
      <c r="N260" s="470">
        <f>IF(OR(AND(ISBLANK(F260),ISBLANK(G260)),ISTEXT(F260),ISTEXT(G260)),"",H260+M260)</f>
        <v>4</v>
      </c>
      <c r="O260" s="468">
        <f>(F260+N260)-1</f>
        <v>2010</v>
      </c>
      <c r="P260" s="616">
        <f>W259</f>
        <v>8423684553.5909996</v>
      </c>
      <c r="Q260" s="472">
        <f>P260+G260</f>
        <v>8423684553.5909996</v>
      </c>
      <c r="R260" s="472">
        <f>IF(L260=0,R259,Q260/N260)</f>
        <v>935964950.39899993</v>
      </c>
      <c r="S260" s="634">
        <f>F260</f>
        <v>2007</v>
      </c>
      <c r="T260" s="470">
        <f>S260-S259</f>
        <v>6</v>
      </c>
      <c r="U260" s="612">
        <f>R260*T260</f>
        <v>5615789702.3939991</v>
      </c>
      <c r="V260" s="464">
        <f>F260</f>
        <v>2007</v>
      </c>
      <c r="W260" s="612">
        <f>IF(OR(AND(ISBLANK(E260),ISBLANK(G260)),ISTEXT(E260),ISTEXT(G260)),"",Q260-U260)</f>
        <v>2807894851.1970005</v>
      </c>
      <c r="X260" s="473"/>
      <c r="Y260" s="474"/>
      <c r="Z260" s="449"/>
      <c r="AA260" s="573"/>
      <c r="AB260" s="476"/>
      <c r="AC260" s="476"/>
      <c r="AD260" s="568"/>
      <c r="AE260" s="476"/>
      <c r="AF260" s="568"/>
      <c r="AG260" s="476"/>
      <c r="AH260" s="476"/>
      <c r="AI260" s="477"/>
      <c r="AJ260" s="478"/>
      <c r="AK260" s="479"/>
      <c r="AL260" s="480"/>
      <c r="AM260" s="474"/>
      <c r="AN260" s="481"/>
      <c r="AO260" s="474"/>
      <c r="AP260" s="476"/>
      <c r="AQ260" s="482"/>
      <c r="AR260" s="478"/>
      <c r="AS260" s="478"/>
      <c r="AT260" s="476"/>
      <c r="AU260" s="482"/>
      <c r="AV260" s="478"/>
      <c r="AW260" s="483"/>
      <c r="AX260" s="476"/>
      <c r="AY260" s="482"/>
      <c r="AZ260" s="478"/>
      <c r="BA260" s="484"/>
      <c r="BB260" s="474"/>
      <c r="BC260" s="485"/>
      <c r="BD260" s="485"/>
      <c r="BG260" s="487"/>
    </row>
    <row r="261" spans="1:59" s="486" customFormat="1" ht="18" customHeight="1" x14ac:dyDescent="0.2">
      <c r="A261" s="1368" t="str">
        <f t="shared" si="180"/>
        <v>JL. SEB. TELUK - SIBEROBAH2008</v>
      </c>
      <c r="B261" s="1373">
        <v>2</v>
      </c>
      <c r="C261" s="463" t="s">
        <v>5059</v>
      </c>
      <c r="D261" s="464"/>
      <c r="E261" s="465"/>
      <c r="F261" s="466">
        <v>2008</v>
      </c>
      <c r="G261" s="620">
        <f>1891537631+1322245832.25</f>
        <v>3213783463.25</v>
      </c>
      <c r="H261" s="464">
        <f t="shared" ref="H261:H272" si="181">IF(N260-(F261-F260)&lt;=0,0,(N260-(F261-F260)))</f>
        <v>3</v>
      </c>
      <c r="I261" s="467"/>
      <c r="J261" s="468">
        <f>(F261+N261)-1</f>
        <v>2017</v>
      </c>
      <c r="K261" s="490">
        <f>IF(G261=0,0,IF(H261=10,100%,G261/W260))</f>
        <v>1.1445526394551313</v>
      </c>
      <c r="L261" s="469">
        <f>IF(K261=0%,0,IF(K261&lt;=30%,2,IF(K261&lt;=60%,5,10)))</f>
        <v>10</v>
      </c>
      <c r="M261" s="683">
        <f t="shared" ref="M261:M273" si="182">IF(OR(AND(ISBLANK(E261),ISBLANK(G261)),ISTEXT(E261),ISTEXT(G261)),"",IF(H261+L261&gt;$H$259,$H$259-H261,L261))</f>
        <v>7</v>
      </c>
      <c r="N261" s="470">
        <f>IF(OR(AND(ISBLANK(F261),ISBLANK(G261)),ISTEXT(F261),ISTEXT(G261)),"",H261+M261)</f>
        <v>10</v>
      </c>
      <c r="O261" s="468">
        <f>(F261+N261)-1</f>
        <v>2017</v>
      </c>
      <c r="P261" s="616">
        <f>W260</f>
        <v>2807894851.1970005</v>
      </c>
      <c r="Q261" s="472">
        <f>P261+G261</f>
        <v>6021678314.4470005</v>
      </c>
      <c r="R261" s="472">
        <f>IF(L261=0,R260,Q261/N261)</f>
        <v>602167831.4447</v>
      </c>
      <c r="S261" s="1189">
        <f>F261</f>
        <v>2008</v>
      </c>
      <c r="T261" s="470">
        <f>S261-S260</f>
        <v>1</v>
      </c>
      <c r="U261" s="612">
        <f>R261*T261</f>
        <v>602167831.4447</v>
      </c>
      <c r="V261" s="464">
        <f>F261</f>
        <v>2008</v>
      </c>
      <c r="W261" s="612">
        <f>IF(OR(AND(ISBLANK(E261),ISBLANK(G261)),ISTEXT(E261),ISTEXT(G261)),"",Q261-U261)</f>
        <v>5419510483.0023003</v>
      </c>
      <c r="X261" s="473"/>
      <c r="Y261" s="474"/>
      <c r="Z261" s="449"/>
      <c r="AA261" s="573"/>
      <c r="AB261" s="476"/>
      <c r="AC261" s="476"/>
      <c r="AD261" s="568"/>
      <c r="AE261" s="476"/>
      <c r="AF261" s="568"/>
      <c r="AG261" s="476"/>
      <c r="AH261" s="476"/>
      <c r="AI261" s="477"/>
      <c r="AJ261" s="478"/>
      <c r="AK261" s="479"/>
      <c r="AL261" s="480"/>
      <c r="AM261" s="474"/>
      <c r="AN261" s="481"/>
      <c r="AO261" s="474"/>
      <c r="AP261" s="476"/>
      <c r="AQ261" s="482"/>
      <c r="AR261" s="478"/>
      <c r="AS261" s="478"/>
      <c r="AT261" s="476"/>
      <c r="AU261" s="482"/>
      <c r="AV261" s="478"/>
      <c r="AW261" s="483"/>
      <c r="AX261" s="476"/>
      <c r="AY261" s="482"/>
      <c r="AZ261" s="478"/>
      <c r="BA261" s="484"/>
      <c r="BB261" s="474"/>
      <c r="BC261" s="485"/>
      <c r="BD261" s="485"/>
      <c r="BG261" s="487"/>
    </row>
    <row r="262" spans="1:59" s="486" customFormat="1" ht="18" customHeight="1" x14ac:dyDescent="0.2">
      <c r="A262" s="1368" t="str">
        <f t="shared" si="180"/>
        <v>JL. SEB. TELUK - SIBEROBAH2010</v>
      </c>
      <c r="B262" s="1373">
        <v>3</v>
      </c>
      <c r="C262" s="463" t="s">
        <v>5096</v>
      </c>
      <c r="D262" s="464"/>
      <c r="E262" s="465"/>
      <c r="F262" s="466">
        <v>2010</v>
      </c>
      <c r="G262" s="620">
        <v>523779373</v>
      </c>
      <c r="H262" s="464">
        <f t="shared" si="181"/>
        <v>8</v>
      </c>
      <c r="I262" s="467"/>
      <c r="J262" s="468">
        <f t="shared" ref="J262:J272" si="183">(F262+N262)-1</f>
        <v>2019</v>
      </c>
      <c r="K262" s="490">
        <f t="shared" ref="K262:K272" si="184">IF(G262=0,0,IF(H262=10,100%,G262/W261))</f>
        <v>9.6646989546892936E-2</v>
      </c>
      <c r="L262" s="469">
        <f t="shared" ref="L262:L272" si="185">IF(K262=0%,0,IF(K262&lt;=30%,2,IF(K262&lt;=60%,5,10)))</f>
        <v>2</v>
      </c>
      <c r="M262" s="683">
        <f t="shared" si="182"/>
        <v>2</v>
      </c>
      <c r="N262" s="470">
        <f t="shared" ref="N262:N272" si="186">IF(OR(AND(ISBLANK(F262),ISBLANK(G262)),ISTEXT(F262),ISTEXT(G262)),"",H262+M262)</f>
        <v>10</v>
      </c>
      <c r="O262" s="468">
        <f t="shared" ref="O262:O272" si="187">(F262+N262)-1</f>
        <v>2019</v>
      </c>
      <c r="P262" s="616">
        <f t="shared" ref="P262:P272" si="188">W261</f>
        <v>5419510483.0023003</v>
      </c>
      <c r="Q262" s="472">
        <f t="shared" ref="Q262:Q272" si="189">P262+G262</f>
        <v>5943289856.0023003</v>
      </c>
      <c r="R262" s="472">
        <f t="shared" ref="R262:R272" si="190">IF(L262=0,R261,Q262/N262)</f>
        <v>594328985.60022998</v>
      </c>
      <c r="S262" s="1189">
        <f t="shared" ref="S262:S272" si="191">F262</f>
        <v>2010</v>
      </c>
      <c r="T262" s="470">
        <f t="shared" ref="T262:T272" si="192">S262-S261</f>
        <v>2</v>
      </c>
      <c r="U262" s="612">
        <f t="shared" ref="U262:U272" si="193">R262*T262</f>
        <v>1188657971.20046</v>
      </c>
      <c r="V262" s="464">
        <f t="shared" ref="V262:V272" si="194">F262</f>
        <v>2010</v>
      </c>
      <c r="W262" s="612">
        <f t="shared" ref="W262:W272" si="195">IF(OR(AND(ISBLANK(E262),ISBLANK(G262)),ISTEXT(E262),ISTEXT(G262)),"",Q262-U262)</f>
        <v>4754631884.8018398</v>
      </c>
      <c r="X262" s="473"/>
      <c r="Y262" s="474"/>
      <c r="Z262" s="449"/>
      <c r="AA262" s="573"/>
      <c r="AB262" s="476"/>
      <c r="AC262" s="476"/>
      <c r="AD262" s="568"/>
      <c r="AE262" s="476"/>
      <c r="AF262" s="568"/>
      <c r="AG262" s="476"/>
      <c r="AH262" s="476"/>
      <c r="AI262" s="477"/>
      <c r="AJ262" s="478"/>
      <c r="AK262" s="479"/>
      <c r="AL262" s="480"/>
      <c r="AM262" s="474"/>
      <c r="AN262" s="481"/>
      <c r="AO262" s="474"/>
      <c r="AP262" s="476"/>
      <c r="AQ262" s="482"/>
      <c r="AR262" s="478"/>
      <c r="AS262" s="478"/>
      <c r="AT262" s="476"/>
      <c r="AU262" s="482"/>
      <c r="AV262" s="478"/>
      <c r="AW262" s="483"/>
      <c r="AX262" s="476"/>
      <c r="AY262" s="482"/>
      <c r="AZ262" s="478"/>
      <c r="BA262" s="484"/>
      <c r="BB262" s="474"/>
      <c r="BC262" s="485"/>
      <c r="BD262" s="485"/>
      <c r="BG262" s="487"/>
    </row>
    <row r="263" spans="1:59" s="486" customFormat="1" ht="18" customHeight="1" x14ac:dyDescent="0.2">
      <c r="A263" s="1368" t="str">
        <f t="shared" si="180"/>
        <v>JL. SEB. TELUK - SIBEROBAH2011</v>
      </c>
      <c r="B263" s="1373">
        <v>4</v>
      </c>
      <c r="C263" s="463" t="s">
        <v>5066</v>
      </c>
      <c r="D263" s="464"/>
      <c r="E263" s="465"/>
      <c r="F263" s="466">
        <v>2011</v>
      </c>
      <c r="G263" s="620">
        <v>3474332846.1849999</v>
      </c>
      <c r="H263" s="464">
        <f t="shared" si="181"/>
        <v>9</v>
      </c>
      <c r="I263" s="467"/>
      <c r="J263" s="468">
        <f t="shared" si="183"/>
        <v>2020</v>
      </c>
      <c r="K263" s="490">
        <f t="shared" si="184"/>
        <v>0.73072593848762291</v>
      </c>
      <c r="L263" s="469">
        <f t="shared" si="185"/>
        <v>10</v>
      </c>
      <c r="M263" s="683">
        <f t="shared" si="182"/>
        <v>1</v>
      </c>
      <c r="N263" s="470">
        <f t="shared" si="186"/>
        <v>10</v>
      </c>
      <c r="O263" s="468">
        <f t="shared" si="187"/>
        <v>2020</v>
      </c>
      <c r="P263" s="616">
        <f t="shared" si="188"/>
        <v>4754631884.8018398</v>
      </c>
      <c r="Q263" s="472">
        <f t="shared" si="189"/>
        <v>8228964730.9868393</v>
      </c>
      <c r="R263" s="472">
        <f t="shared" si="190"/>
        <v>822896473.09868395</v>
      </c>
      <c r="S263" s="1189">
        <f t="shared" si="191"/>
        <v>2011</v>
      </c>
      <c r="T263" s="470">
        <f t="shared" si="192"/>
        <v>1</v>
      </c>
      <c r="U263" s="612">
        <f t="shared" si="193"/>
        <v>822896473.09868395</v>
      </c>
      <c r="V263" s="464">
        <f t="shared" si="194"/>
        <v>2011</v>
      </c>
      <c r="W263" s="612">
        <f t="shared" si="195"/>
        <v>7406068257.888155</v>
      </c>
      <c r="X263" s="473"/>
      <c r="Y263" s="474"/>
      <c r="Z263" s="449"/>
      <c r="AA263" s="573"/>
      <c r="AB263" s="476"/>
      <c r="AC263" s="476"/>
      <c r="AD263" s="568"/>
      <c r="AE263" s="476"/>
      <c r="AF263" s="568"/>
      <c r="AG263" s="476"/>
      <c r="AH263" s="476"/>
      <c r="AI263" s="477"/>
      <c r="AJ263" s="478"/>
      <c r="AK263" s="479"/>
      <c r="AL263" s="480"/>
      <c r="AM263" s="474"/>
      <c r="AN263" s="481"/>
      <c r="AO263" s="474"/>
      <c r="AP263" s="476"/>
      <c r="AQ263" s="482"/>
      <c r="AR263" s="478"/>
      <c r="AS263" s="478"/>
      <c r="AT263" s="476"/>
      <c r="AU263" s="482"/>
      <c r="AV263" s="478"/>
      <c r="AW263" s="483"/>
      <c r="AX263" s="476"/>
      <c r="AY263" s="482"/>
      <c r="AZ263" s="478"/>
      <c r="BA263" s="484"/>
      <c r="BB263" s="474"/>
      <c r="BC263" s="485"/>
      <c r="BD263" s="485"/>
      <c r="BG263" s="487"/>
    </row>
    <row r="264" spans="1:59" s="486" customFormat="1" ht="18" customHeight="1" x14ac:dyDescent="0.2">
      <c r="A264" s="1368" t="str">
        <f t="shared" si="180"/>
        <v>JL. SEB. TELUK - SIBEROBAH2012</v>
      </c>
      <c r="B264" s="1373"/>
      <c r="C264" s="463"/>
      <c r="D264" s="464"/>
      <c r="E264" s="465"/>
      <c r="F264" s="466">
        <v>2012</v>
      </c>
      <c r="G264" s="620">
        <v>0</v>
      </c>
      <c r="H264" s="464">
        <f t="shared" si="181"/>
        <v>9</v>
      </c>
      <c r="I264" s="467"/>
      <c r="J264" s="468">
        <f t="shared" si="183"/>
        <v>2020</v>
      </c>
      <c r="K264" s="490">
        <f t="shared" si="184"/>
        <v>0</v>
      </c>
      <c r="L264" s="469">
        <f t="shared" si="185"/>
        <v>0</v>
      </c>
      <c r="M264" s="683">
        <f t="shared" si="182"/>
        <v>0</v>
      </c>
      <c r="N264" s="470">
        <f t="shared" si="186"/>
        <v>9</v>
      </c>
      <c r="O264" s="468">
        <f t="shared" si="187"/>
        <v>2020</v>
      </c>
      <c r="P264" s="616">
        <f t="shared" si="188"/>
        <v>7406068257.888155</v>
      </c>
      <c r="Q264" s="472">
        <f t="shared" si="189"/>
        <v>7406068257.888155</v>
      </c>
      <c r="R264" s="472">
        <f t="shared" si="190"/>
        <v>822896473.09868395</v>
      </c>
      <c r="S264" s="1189">
        <f t="shared" si="191"/>
        <v>2012</v>
      </c>
      <c r="T264" s="470">
        <f t="shared" si="192"/>
        <v>1</v>
      </c>
      <c r="U264" s="612">
        <f t="shared" si="193"/>
        <v>822896473.09868395</v>
      </c>
      <c r="V264" s="464">
        <f t="shared" si="194"/>
        <v>2012</v>
      </c>
      <c r="W264" s="612">
        <f t="shared" si="195"/>
        <v>6583171784.7894707</v>
      </c>
      <c r="X264" s="473"/>
      <c r="Y264" s="474"/>
      <c r="Z264" s="449"/>
      <c r="AA264" s="573"/>
      <c r="AB264" s="476"/>
      <c r="AC264" s="476"/>
      <c r="AD264" s="568"/>
      <c r="AE264" s="476"/>
      <c r="AF264" s="568"/>
      <c r="AG264" s="476"/>
      <c r="AH264" s="476"/>
      <c r="AI264" s="477"/>
      <c r="AJ264" s="478"/>
      <c r="AK264" s="479"/>
      <c r="AL264" s="480"/>
      <c r="AM264" s="474"/>
      <c r="AN264" s="481"/>
      <c r="AO264" s="474"/>
      <c r="AP264" s="476"/>
      <c r="AQ264" s="482"/>
      <c r="AR264" s="478"/>
      <c r="AS264" s="478"/>
      <c r="AT264" s="476"/>
      <c r="AU264" s="482"/>
      <c r="AV264" s="478"/>
      <c r="AW264" s="483"/>
      <c r="AX264" s="476"/>
      <c r="AY264" s="482"/>
      <c r="AZ264" s="478"/>
      <c r="BA264" s="484"/>
      <c r="BB264" s="474"/>
      <c r="BC264" s="485"/>
      <c r="BD264" s="485"/>
      <c r="BG264" s="487"/>
    </row>
    <row r="265" spans="1:59" s="486" customFormat="1" ht="18" customHeight="1" x14ac:dyDescent="0.2">
      <c r="A265" s="1368" t="str">
        <f t="shared" si="180"/>
        <v>JL. SEB. TELUK - SIBEROBAH2013</v>
      </c>
      <c r="B265" s="1373"/>
      <c r="C265" s="463"/>
      <c r="D265" s="464"/>
      <c r="E265" s="465"/>
      <c r="F265" s="466">
        <v>2013</v>
      </c>
      <c r="G265" s="620">
        <v>0</v>
      </c>
      <c r="H265" s="464">
        <f t="shared" si="181"/>
        <v>8</v>
      </c>
      <c r="I265" s="467"/>
      <c r="J265" s="468">
        <f t="shared" si="183"/>
        <v>2020</v>
      </c>
      <c r="K265" s="490">
        <f t="shared" si="184"/>
        <v>0</v>
      </c>
      <c r="L265" s="469">
        <f t="shared" si="185"/>
        <v>0</v>
      </c>
      <c r="M265" s="683">
        <f t="shared" si="182"/>
        <v>0</v>
      </c>
      <c r="N265" s="470">
        <f t="shared" si="186"/>
        <v>8</v>
      </c>
      <c r="O265" s="468">
        <f t="shared" si="187"/>
        <v>2020</v>
      </c>
      <c r="P265" s="616">
        <f t="shared" si="188"/>
        <v>6583171784.7894707</v>
      </c>
      <c r="Q265" s="472">
        <f t="shared" si="189"/>
        <v>6583171784.7894707</v>
      </c>
      <c r="R265" s="472">
        <f t="shared" si="190"/>
        <v>822896473.09868395</v>
      </c>
      <c r="S265" s="1189">
        <f t="shared" si="191"/>
        <v>2013</v>
      </c>
      <c r="T265" s="470">
        <f t="shared" si="192"/>
        <v>1</v>
      </c>
      <c r="U265" s="612">
        <f t="shared" si="193"/>
        <v>822896473.09868395</v>
      </c>
      <c r="V265" s="464">
        <f t="shared" si="194"/>
        <v>2013</v>
      </c>
      <c r="W265" s="612">
        <f t="shared" si="195"/>
        <v>5760275311.6907864</v>
      </c>
      <c r="X265" s="473"/>
      <c r="Y265" s="474"/>
      <c r="Z265" s="449"/>
      <c r="AA265" s="739"/>
      <c r="AB265" s="496"/>
      <c r="AC265" s="496"/>
      <c r="AD265" s="740"/>
      <c r="AE265" s="476"/>
      <c r="AF265" s="568"/>
      <c r="AG265" s="476"/>
      <c r="AH265" s="476"/>
      <c r="AI265" s="477"/>
      <c r="AJ265" s="478"/>
      <c r="AK265" s="479"/>
      <c r="AL265" s="480"/>
      <c r="AM265" s="474"/>
      <c r="AN265" s="481"/>
      <c r="AO265" s="474"/>
      <c r="AP265" s="476"/>
      <c r="AQ265" s="482"/>
      <c r="AR265" s="478"/>
      <c r="AS265" s="478"/>
      <c r="AT265" s="476"/>
      <c r="AU265" s="482"/>
      <c r="AV265" s="478"/>
      <c r="AW265" s="483"/>
      <c r="AX265" s="476"/>
      <c r="AY265" s="482"/>
      <c r="AZ265" s="478"/>
      <c r="BA265" s="484"/>
      <c r="BB265" s="474"/>
      <c r="BC265" s="485"/>
      <c r="BD265" s="485"/>
      <c r="BG265" s="487"/>
    </row>
    <row r="266" spans="1:59" s="486" customFormat="1" ht="18" customHeight="1" x14ac:dyDescent="0.2">
      <c r="A266" s="1368" t="str">
        <f t="shared" si="180"/>
        <v>JL. SEB. TELUK - SIBEROBAH2014</v>
      </c>
      <c r="B266" s="1373"/>
      <c r="C266" s="463"/>
      <c r="D266" s="464"/>
      <c r="E266" s="465"/>
      <c r="F266" s="466">
        <v>2014</v>
      </c>
      <c r="G266" s="620">
        <v>0</v>
      </c>
      <c r="H266" s="464">
        <f t="shared" si="181"/>
        <v>7</v>
      </c>
      <c r="I266" s="467"/>
      <c r="J266" s="468">
        <f t="shared" si="183"/>
        <v>2020</v>
      </c>
      <c r="K266" s="490">
        <f t="shared" si="184"/>
        <v>0</v>
      </c>
      <c r="L266" s="469">
        <f t="shared" si="185"/>
        <v>0</v>
      </c>
      <c r="M266" s="683">
        <f t="shared" si="182"/>
        <v>0</v>
      </c>
      <c r="N266" s="470">
        <f t="shared" si="186"/>
        <v>7</v>
      </c>
      <c r="O266" s="468">
        <f t="shared" si="187"/>
        <v>2020</v>
      </c>
      <c r="P266" s="616">
        <f t="shared" si="188"/>
        <v>5760275311.6907864</v>
      </c>
      <c r="Q266" s="472">
        <f t="shared" si="189"/>
        <v>5760275311.6907864</v>
      </c>
      <c r="R266" s="472">
        <f t="shared" si="190"/>
        <v>822896473.09868395</v>
      </c>
      <c r="S266" s="1189">
        <f t="shared" si="191"/>
        <v>2014</v>
      </c>
      <c r="T266" s="470">
        <f t="shared" si="192"/>
        <v>1</v>
      </c>
      <c r="U266" s="612">
        <f t="shared" si="193"/>
        <v>822896473.09868395</v>
      </c>
      <c r="V266" s="464">
        <f t="shared" si="194"/>
        <v>2014</v>
      </c>
      <c r="W266" s="612">
        <f t="shared" si="195"/>
        <v>4937378838.5921021</v>
      </c>
      <c r="X266" s="473"/>
      <c r="Y266" s="474"/>
      <c r="Z266" s="449"/>
      <c r="AA266" s="554" t="s">
        <v>4179</v>
      </c>
      <c r="AB266" s="476"/>
      <c r="AC266" s="476"/>
      <c r="AD266" s="567"/>
      <c r="AE266" s="476"/>
      <c r="AF266" s="568"/>
      <c r="AG266" s="476"/>
      <c r="AH266" s="476"/>
      <c r="AI266" s="477"/>
      <c r="AJ266" s="478"/>
      <c r="AK266" s="479"/>
      <c r="AL266" s="480"/>
      <c r="AM266" s="474"/>
      <c r="AN266" s="481"/>
      <c r="AO266" s="474"/>
      <c r="AP266" s="476"/>
      <c r="AQ266" s="482"/>
      <c r="AR266" s="478"/>
      <c r="AS266" s="478"/>
      <c r="AT266" s="476"/>
      <c r="AU266" s="482"/>
      <c r="AV266" s="478"/>
      <c r="AW266" s="483"/>
      <c r="AX266" s="476"/>
      <c r="AY266" s="482"/>
      <c r="AZ266" s="478"/>
      <c r="BA266" s="484"/>
      <c r="BB266" s="474"/>
      <c r="BC266" s="485"/>
      <c r="BD266" s="485"/>
      <c r="BG266" s="487"/>
    </row>
    <row r="267" spans="1:59" s="486" customFormat="1" ht="18" customHeight="1" x14ac:dyDescent="0.2">
      <c r="A267" s="1368" t="str">
        <f t="shared" si="180"/>
        <v>JL. SEB. TELUK - SIBEROBAH2015</v>
      </c>
      <c r="B267" s="1373">
        <v>5</v>
      </c>
      <c r="C267" s="463" t="s">
        <v>1185</v>
      </c>
      <c r="D267" s="464" t="s">
        <v>2494</v>
      </c>
      <c r="E267" s="465"/>
      <c r="F267" s="466">
        <v>2015</v>
      </c>
      <c r="G267" s="620">
        <f>1400963703.44068+5113308736.9644</f>
        <v>6514272440.4050808</v>
      </c>
      <c r="H267" s="464">
        <f t="shared" si="181"/>
        <v>6</v>
      </c>
      <c r="I267" s="467"/>
      <c r="J267" s="468">
        <f t="shared" si="183"/>
        <v>2024</v>
      </c>
      <c r="K267" s="490">
        <f t="shared" si="184"/>
        <v>1.3193786933033138</v>
      </c>
      <c r="L267" s="469">
        <f t="shared" si="185"/>
        <v>10</v>
      </c>
      <c r="M267" s="683">
        <f t="shared" si="182"/>
        <v>4</v>
      </c>
      <c r="N267" s="470">
        <f t="shared" si="186"/>
        <v>10</v>
      </c>
      <c r="O267" s="468">
        <f t="shared" si="187"/>
        <v>2024</v>
      </c>
      <c r="P267" s="616">
        <f t="shared" si="188"/>
        <v>4937378838.5921021</v>
      </c>
      <c r="Q267" s="472">
        <f t="shared" si="189"/>
        <v>11451651278.997183</v>
      </c>
      <c r="R267" s="472">
        <f t="shared" si="190"/>
        <v>1145165127.8997183</v>
      </c>
      <c r="S267" s="1189">
        <f t="shared" si="191"/>
        <v>2015</v>
      </c>
      <c r="T267" s="470">
        <f t="shared" si="192"/>
        <v>1</v>
      </c>
      <c r="U267" s="612">
        <f t="shared" si="193"/>
        <v>1145165127.8997183</v>
      </c>
      <c r="V267" s="464">
        <f t="shared" si="194"/>
        <v>2015</v>
      </c>
      <c r="W267" s="612">
        <f t="shared" si="195"/>
        <v>10306486151.097466</v>
      </c>
      <c r="X267" s="473"/>
      <c r="Y267" s="474"/>
      <c r="Z267" s="449"/>
      <c r="AA267" s="450"/>
      <c r="AB267" s="451"/>
      <c r="AC267" s="451"/>
      <c r="AD267" s="565"/>
      <c r="AE267" s="476"/>
      <c r="AF267" s="568"/>
      <c r="AG267" s="476"/>
      <c r="AH267" s="476"/>
      <c r="AI267" s="477"/>
      <c r="AJ267" s="478"/>
      <c r="AK267" s="479"/>
      <c r="AL267" s="480"/>
      <c r="AM267" s="474"/>
      <c r="AN267" s="481"/>
      <c r="AO267" s="474"/>
      <c r="AP267" s="476"/>
      <c r="AQ267" s="482"/>
      <c r="AR267" s="478"/>
      <c r="AS267" s="478"/>
      <c r="AT267" s="476"/>
      <c r="AU267" s="482"/>
      <c r="AV267" s="478"/>
      <c r="AW267" s="483"/>
      <c r="AX267" s="476"/>
      <c r="AY267" s="482"/>
      <c r="AZ267" s="478"/>
      <c r="BA267" s="484"/>
      <c r="BB267" s="474"/>
      <c r="BC267" s="485"/>
      <c r="BD267" s="485"/>
      <c r="BG267" s="487"/>
    </row>
    <row r="268" spans="1:59" s="486" customFormat="1" ht="18" customHeight="1" x14ac:dyDescent="0.2">
      <c r="A268" s="1368" t="str">
        <f t="shared" si="180"/>
        <v>JL. SEB. TELUK - SIBEROBAH2015</v>
      </c>
      <c r="B268" s="1373">
        <v>6</v>
      </c>
      <c r="C268" s="493" t="s">
        <v>1387</v>
      </c>
      <c r="D268" s="464"/>
      <c r="E268" s="465"/>
      <c r="F268" s="466">
        <v>2015</v>
      </c>
      <c r="G268" s="620">
        <v>0</v>
      </c>
      <c r="H268" s="464">
        <f t="shared" si="181"/>
        <v>10</v>
      </c>
      <c r="I268" s="467"/>
      <c r="J268" s="468">
        <f t="shared" si="183"/>
        <v>2024</v>
      </c>
      <c r="K268" s="490">
        <f t="shared" si="184"/>
        <v>0</v>
      </c>
      <c r="L268" s="469">
        <f t="shared" si="185"/>
        <v>0</v>
      </c>
      <c r="M268" s="683">
        <f t="shared" si="182"/>
        <v>0</v>
      </c>
      <c r="N268" s="470">
        <f t="shared" si="186"/>
        <v>10</v>
      </c>
      <c r="O268" s="468">
        <f t="shared" si="187"/>
        <v>2024</v>
      </c>
      <c r="P268" s="616">
        <f t="shared" si="188"/>
        <v>10306486151.097466</v>
      </c>
      <c r="Q268" s="472">
        <f t="shared" si="189"/>
        <v>10306486151.097466</v>
      </c>
      <c r="R268" s="472">
        <f t="shared" si="190"/>
        <v>1145165127.8997183</v>
      </c>
      <c r="S268" s="1189">
        <f t="shared" si="191"/>
        <v>2015</v>
      </c>
      <c r="T268" s="470">
        <f t="shared" si="192"/>
        <v>0</v>
      </c>
      <c r="U268" s="612">
        <f t="shared" si="193"/>
        <v>0</v>
      </c>
      <c r="V268" s="464">
        <f t="shared" si="194"/>
        <v>2015</v>
      </c>
      <c r="W268" s="612">
        <f t="shared" si="195"/>
        <v>10306486151.097466</v>
      </c>
      <c r="X268" s="473"/>
      <c r="Y268" s="474"/>
      <c r="Z268" s="449"/>
      <c r="AA268" s="554"/>
      <c r="AB268" s="452"/>
      <c r="AC268" s="452"/>
      <c r="AD268" s="566"/>
      <c r="AE268" s="476"/>
      <c r="AF268" s="568"/>
      <c r="AG268" s="476"/>
      <c r="AH268" s="476"/>
      <c r="AI268" s="477"/>
      <c r="AJ268" s="478"/>
      <c r="AK268" s="479"/>
      <c r="AL268" s="480"/>
      <c r="AM268" s="474"/>
      <c r="AN268" s="481"/>
      <c r="AO268" s="474"/>
      <c r="AP268" s="476"/>
      <c r="AQ268" s="482"/>
      <c r="AR268" s="478"/>
      <c r="AS268" s="478"/>
      <c r="AT268" s="476"/>
      <c r="AU268" s="482"/>
      <c r="AV268" s="478"/>
      <c r="AW268" s="483"/>
      <c r="AX268" s="476"/>
      <c r="AY268" s="482"/>
      <c r="AZ268" s="478"/>
      <c r="BA268" s="484"/>
      <c r="BB268" s="474"/>
      <c r="BC268" s="485"/>
      <c r="BD268" s="485"/>
      <c r="BG268" s="487"/>
    </row>
    <row r="269" spans="1:59" s="486" customFormat="1" ht="18" customHeight="1" x14ac:dyDescent="0.2">
      <c r="A269" s="1368" t="str">
        <f t="shared" si="180"/>
        <v>JL. SEB. TELUK - SIBEROBAH2016</v>
      </c>
      <c r="B269" s="1373">
        <v>7</v>
      </c>
      <c r="C269" s="493" t="s">
        <v>1454</v>
      </c>
      <c r="D269" s="464"/>
      <c r="E269" s="465"/>
      <c r="F269" s="466">
        <v>2016</v>
      </c>
      <c r="G269" s="620">
        <v>5854757832.3698645</v>
      </c>
      <c r="H269" s="464">
        <f t="shared" si="181"/>
        <v>9</v>
      </c>
      <c r="I269" s="467"/>
      <c r="J269" s="468">
        <f t="shared" si="183"/>
        <v>2025</v>
      </c>
      <c r="K269" s="490">
        <f t="shared" si="184"/>
        <v>0.56806536646308226</v>
      </c>
      <c r="L269" s="469">
        <f t="shared" si="185"/>
        <v>5</v>
      </c>
      <c r="M269" s="683">
        <f t="shared" si="182"/>
        <v>1</v>
      </c>
      <c r="N269" s="470">
        <f t="shared" si="186"/>
        <v>10</v>
      </c>
      <c r="O269" s="468">
        <f t="shared" si="187"/>
        <v>2025</v>
      </c>
      <c r="P269" s="616">
        <f t="shared" si="188"/>
        <v>10306486151.097466</v>
      </c>
      <c r="Q269" s="472">
        <f t="shared" si="189"/>
        <v>16161243983.467331</v>
      </c>
      <c r="R269" s="472">
        <f t="shared" si="190"/>
        <v>1616124398.3467331</v>
      </c>
      <c r="S269" s="1189">
        <f t="shared" si="191"/>
        <v>2016</v>
      </c>
      <c r="T269" s="470">
        <f t="shared" si="192"/>
        <v>1</v>
      </c>
      <c r="U269" s="612">
        <f t="shared" si="193"/>
        <v>1616124398.3467331</v>
      </c>
      <c r="V269" s="464">
        <f t="shared" si="194"/>
        <v>2016</v>
      </c>
      <c r="W269" s="612">
        <f t="shared" si="195"/>
        <v>14545119585.120598</v>
      </c>
      <c r="X269" s="473"/>
      <c r="Y269" s="474"/>
      <c r="Z269" s="449"/>
      <c r="AA269" s="475" t="s">
        <v>4180</v>
      </c>
      <c r="AB269" s="476"/>
      <c r="AC269" s="476"/>
      <c r="AD269" s="567">
        <f>G277</f>
        <v>42834786877.199944</v>
      </c>
      <c r="AE269" s="476"/>
      <c r="AF269" s="568"/>
      <c r="AG269" s="476"/>
      <c r="AH269" s="476"/>
      <c r="AI269" s="477"/>
      <c r="AJ269" s="478"/>
      <c r="AK269" s="479"/>
      <c r="AL269" s="480"/>
      <c r="AM269" s="474"/>
      <c r="AN269" s="481"/>
      <c r="AO269" s="474"/>
      <c r="AP269" s="476"/>
      <c r="AQ269" s="482"/>
      <c r="AR269" s="478"/>
      <c r="AS269" s="478"/>
      <c r="AT269" s="476"/>
      <c r="AU269" s="482"/>
      <c r="AV269" s="478"/>
      <c r="AW269" s="483"/>
      <c r="AX269" s="476"/>
      <c r="AY269" s="482"/>
      <c r="AZ269" s="478"/>
      <c r="BA269" s="484"/>
      <c r="BB269" s="474"/>
      <c r="BC269" s="485"/>
      <c r="BD269" s="485"/>
      <c r="BG269" s="487"/>
    </row>
    <row r="270" spans="1:59" s="486" customFormat="1" ht="18" customHeight="1" x14ac:dyDescent="0.2">
      <c r="A270" s="1368" t="str">
        <f t="shared" si="180"/>
        <v>JL. SEB. TELUK - SIBEROBAH2017</v>
      </c>
      <c r="B270" s="1373">
        <v>8</v>
      </c>
      <c r="C270" s="493" t="s">
        <v>3034</v>
      </c>
      <c r="D270" s="489" t="s">
        <v>2494</v>
      </c>
      <c r="E270" s="465"/>
      <c r="F270" s="466">
        <v>2017</v>
      </c>
      <c r="G270" s="620">
        <f>6777598368+246620000</f>
        <v>7024218368</v>
      </c>
      <c r="H270" s="464">
        <f t="shared" si="181"/>
        <v>9</v>
      </c>
      <c r="I270" s="467"/>
      <c r="J270" s="468">
        <f t="shared" si="183"/>
        <v>2026</v>
      </c>
      <c r="K270" s="490">
        <f t="shared" si="184"/>
        <v>0.48292613387556138</v>
      </c>
      <c r="L270" s="469">
        <f t="shared" si="185"/>
        <v>5</v>
      </c>
      <c r="M270" s="683">
        <f t="shared" si="182"/>
        <v>1</v>
      </c>
      <c r="N270" s="470">
        <f t="shared" si="186"/>
        <v>10</v>
      </c>
      <c r="O270" s="468">
        <f t="shared" si="187"/>
        <v>2026</v>
      </c>
      <c r="P270" s="616">
        <f t="shared" si="188"/>
        <v>14545119585.120598</v>
      </c>
      <c r="Q270" s="472">
        <f t="shared" si="189"/>
        <v>21569337953.120598</v>
      </c>
      <c r="R270" s="472">
        <f t="shared" si="190"/>
        <v>2156933795.3120599</v>
      </c>
      <c r="S270" s="1189">
        <f t="shared" si="191"/>
        <v>2017</v>
      </c>
      <c r="T270" s="470">
        <f t="shared" si="192"/>
        <v>1</v>
      </c>
      <c r="U270" s="612">
        <f t="shared" si="193"/>
        <v>2156933795.3120599</v>
      </c>
      <c r="V270" s="464">
        <f t="shared" si="194"/>
        <v>2017</v>
      </c>
      <c r="W270" s="612">
        <f t="shared" si="195"/>
        <v>19412404157.808537</v>
      </c>
      <c r="X270" s="473"/>
      <c r="Y270" s="478"/>
      <c r="Z270" s="449"/>
      <c r="AA270" s="475" t="s">
        <v>4181</v>
      </c>
      <c r="AB270" s="491"/>
      <c r="AC270" s="491"/>
      <c r="AD270" s="567">
        <f>U277</f>
        <v>21808869110.953117</v>
      </c>
      <c r="AE270" s="491"/>
      <c r="AF270" s="568"/>
      <c r="AG270" s="491"/>
      <c r="AH270" s="491"/>
      <c r="AI270" s="477"/>
      <c r="AJ270" s="478"/>
      <c r="AK270" s="479"/>
      <c r="AL270" s="480"/>
      <c r="AM270" s="474"/>
      <c r="AN270" s="481"/>
      <c r="AO270" s="474"/>
      <c r="AP270" s="476"/>
      <c r="AQ270" s="482"/>
      <c r="AR270" s="478"/>
      <c r="AS270" s="478"/>
      <c r="AT270" s="476"/>
      <c r="AU270" s="482"/>
      <c r="AV270" s="478"/>
      <c r="AW270" s="483"/>
      <c r="AX270" s="476"/>
      <c r="AY270" s="482"/>
      <c r="AZ270" s="478"/>
      <c r="BA270" s="484"/>
      <c r="BB270" s="474"/>
      <c r="BC270" s="485"/>
      <c r="BD270" s="485"/>
      <c r="BG270" s="487"/>
    </row>
    <row r="271" spans="1:59" s="486" customFormat="1" ht="18" customHeight="1" x14ac:dyDescent="0.2">
      <c r="A271" s="1368" t="str">
        <f t="shared" si="180"/>
        <v>JL. SEB. TELUK - SIBEROBAH2017</v>
      </c>
      <c r="B271" s="1373">
        <v>9</v>
      </c>
      <c r="C271" s="488" t="s">
        <v>3039</v>
      </c>
      <c r="D271" s="489" t="s">
        <v>2494</v>
      </c>
      <c r="E271" s="465"/>
      <c r="F271" s="466">
        <v>2017</v>
      </c>
      <c r="G271" s="620">
        <v>0</v>
      </c>
      <c r="H271" s="464">
        <f t="shared" si="181"/>
        <v>10</v>
      </c>
      <c r="I271" s="467"/>
      <c r="J271" s="468">
        <f t="shared" si="183"/>
        <v>2026</v>
      </c>
      <c r="K271" s="490">
        <f t="shared" si="184"/>
        <v>0</v>
      </c>
      <c r="L271" s="469">
        <f t="shared" si="185"/>
        <v>0</v>
      </c>
      <c r="M271" s="683">
        <f t="shared" si="182"/>
        <v>0</v>
      </c>
      <c r="N271" s="470">
        <f t="shared" si="186"/>
        <v>10</v>
      </c>
      <c r="O271" s="468">
        <f t="shared" si="187"/>
        <v>2026</v>
      </c>
      <c r="P271" s="616">
        <f t="shared" si="188"/>
        <v>19412404157.808537</v>
      </c>
      <c r="Q271" s="472">
        <f t="shared" si="189"/>
        <v>19412404157.808537</v>
      </c>
      <c r="R271" s="472">
        <f t="shared" si="190"/>
        <v>2156933795.3120599</v>
      </c>
      <c r="S271" s="1189">
        <f t="shared" si="191"/>
        <v>2017</v>
      </c>
      <c r="T271" s="470">
        <f t="shared" si="192"/>
        <v>0</v>
      </c>
      <c r="U271" s="612">
        <f t="shared" si="193"/>
        <v>0</v>
      </c>
      <c r="V271" s="464">
        <f t="shared" si="194"/>
        <v>2017</v>
      </c>
      <c r="W271" s="612">
        <f t="shared" si="195"/>
        <v>19412404157.808537</v>
      </c>
      <c r="X271" s="473"/>
      <c r="Y271" s="478"/>
      <c r="Z271" s="449"/>
      <c r="AA271" s="492" t="s">
        <v>4182</v>
      </c>
      <c r="AB271" s="476"/>
      <c r="AC271" s="476"/>
      <c r="AD271" s="567">
        <f>AD269-AD270</f>
        <v>21025917766.246826</v>
      </c>
      <c r="AE271" s="476"/>
      <c r="AF271" s="568"/>
      <c r="AG271" s="476"/>
      <c r="AH271" s="476"/>
      <c r="AI271" s="477"/>
      <c r="AJ271" s="478"/>
      <c r="AK271" s="479"/>
      <c r="AL271" s="480"/>
      <c r="AM271" s="474"/>
      <c r="AN271" s="481"/>
      <c r="AO271" s="474"/>
      <c r="AP271" s="476"/>
      <c r="AQ271" s="482"/>
      <c r="AR271" s="478"/>
      <c r="AS271" s="478"/>
      <c r="AT271" s="476"/>
      <c r="AU271" s="482"/>
      <c r="AV271" s="478"/>
      <c r="AW271" s="483"/>
      <c r="AX271" s="476"/>
      <c r="AY271" s="482"/>
      <c r="AZ271" s="478"/>
      <c r="BA271" s="484"/>
      <c r="BB271" s="474"/>
      <c r="BC271" s="485"/>
      <c r="BD271" s="485"/>
      <c r="BG271" s="487"/>
    </row>
    <row r="272" spans="1:59" s="486" customFormat="1" ht="18" customHeight="1" x14ac:dyDescent="0.2">
      <c r="A272" s="1368" t="str">
        <f t="shared" si="180"/>
        <v>JL. SEB. TELUK - SIBEROBAH2018</v>
      </c>
      <c r="B272" s="1373">
        <v>10</v>
      </c>
      <c r="C272" s="463" t="s">
        <v>3336</v>
      </c>
      <c r="D272" s="489" t="s">
        <v>2494</v>
      </c>
      <c r="E272" s="465"/>
      <c r="F272" s="466">
        <v>2018</v>
      </c>
      <c r="G272" s="620">
        <v>6869993050</v>
      </c>
      <c r="H272" s="464">
        <f t="shared" si="181"/>
        <v>9</v>
      </c>
      <c r="I272" s="467"/>
      <c r="J272" s="468">
        <f t="shared" si="183"/>
        <v>2027</v>
      </c>
      <c r="K272" s="490">
        <f t="shared" si="184"/>
        <v>0.35389707499143436</v>
      </c>
      <c r="L272" s="469">
        <f t="shared" si="185"/>
        <v>5</v>
      </c>
      <c r="M272" s="683">
        <f t="shared" si="182"/>
        <v>1</v>
      </c>
      <c r="N272" s="470">
        <f t="shared" si="186"/>
        <v>10</v>
      </c>
      <c r="O272" s="468">
        <f t="shared" si="187"/>
        <v>2027</v>
      </c>
      <c r="P272" s="616">
        <f t="shared" si="188"/>
        <v>19412404157.808537</v>
      </c>
      <c r="Q272" s="472">
        <f t="shared" si="189"/>
        <v>26282397207.808537</v>
      </c>
      <c r="R272" s="472">
        <f t="shared" si="190"/>
        <v>2628239720.7808537</v>
      </c>
      <c r="S272" s="1189">
        <f t="shared" si="191"/>
        <v>2018</v>
      </c>
      <c r="T272" s="470">
        <f t="shared" si="192"/>
        <v>1</v>
      </c>
      <c r="U272" s="612">
        <f t="shared" si="193"/>
        <v>2628239720.7808537</v>
      </c>
      <c r="V272" s="464">
        <f t="shared" si="194"/>
        <v>2018</v>
      </c>
      <c r="W272" s="612">
        <f t="shared" si="195"/>
        <v>23654157487.027683</v>
      </c>
      <c r="X272" s="473"/>
      <c r="Y272" s="478"/>
      <c r="Z272" s="449"/>
      <c r="AA272" s="531" t="s">
        <v>4183</v>
      </c>
      <c r="AB272" s="496"/>
      <c r="AC272" s="496"/>
      <c r="AD272" s="569">
        <f>AD271-W277</f>
        <v>0</v>
      </c>
      <c r="AE272" s="476"/>
      <c r="AF272" s="568"/>
      <c r="AG272" s="476"/>
      <c r="AH272" s="476"/>
      <c r="AI272" s="477"/>
      <c r="AJ272" s="478"/>
      <c r="AK272" s="479"/>
      <c r="AL272" s="480"/>
      <c r="AM272" s="474"/>
      <c r="AN272" s="481"/>
      <c r="AO272" s="474"/>
      <c r="AP272" s="476"/>
      <c r="AQ272" s="482"/>
      <c r="AR272" s="478"/>
      <c r="AS272" s="478"/>
      <c r="AT272" s="476"/>
      <c r="AU272" s="482"/>
      <c r="AV272" s="478"/>
      <c r="AW272" s="483"/>
      <c r="AX272" s="476"/>
      <c r="AY272" s="482"/>
      <c r="AZ272" s="478"/>
      <c r="BA272" s="484"/>
      <c r="BB272" s="474"/>
      <c r="BC272" s="485"/>
      <c r="BD272" s="485"/>
      <c r="BG272" s="487"/>
    </row>
    <row r="273" spans="1:59" s="486" customFormat="1" ht="18" customHeight="1" x14ac:dyDescent="0.2">
      <c r="A273" s="1368" t="str">
        <f t="shared" si="180"/>
        <v>JL. SEB. TELUK - SIBEROBAH2019</v>
      </c>
      <c r="B273" s="687"/>
      <c r="C273" s="494" t="s">
        <v>383</v>
      </c>
      <c r="D273" s="494" t="s">
        <v>383</v>
      </c>
      <c r="E273" s="465"/>
      <c r="F273" s="466">
        <v>2019</v>
      </c>
      <c r="G273" s="620">
        <v>0</v>
      </c>
      <c r="H273" s="464">
        <f>IF(N272-(F273-F272)&lt;=0,0,(N272-(F273-F272)))</f>
        <v>9</v>
      </c>
      <c r="I273" s="467"/>
      <c r="J273" s="468">
        <f>(F273+N273)-1</f>
        <v>2027</v>
      </c>
      <c r="K273" s="490">
        <f>IF(G273=0,0,IF(H273=10,100%,G273/W272))</f>
        <v>0</v>
      </c>
      <c r="L273" s="469">
        <f>IF(K273=0%,0,IF(K273&lt;=30%,2,IF(K273&lt;=60%,5,10)))</f>
        <v>0</v>
      </c>
      <c r="M273" s="683">
        <f t="shared" si="182"/>
        <v>0</v>
      </c>
      <c r="N273" s="470">
        <f>IF(OR(AND(ISBLANK(F273),ISBLANK(G273)),ISTEXT(F273),ISTEXT(G273)),"",H273+M273)</f>
        <v>9</v>
      </c>
      <c r="O273" s="468">
        <f>(F273+N273)-1</f>
        <v>2027</v>
      </c>
      <c r="P273" s="616">
        <f>W272</f>
        <v>23654157487.027683</v>
      </c>
      <c r="Q273" s="472">
        <f>P273+G273</f>
        <v>23654157487.027683</v>
      </c>
      <c r="R273" s="472">
        <f>IF(L273=0,R272,Q273/N273)</f>
        <v>2628239720.7808537</v>
      </c>
      <c r="S273" s="1189">
        <f>F273</f>
        <v>2019</v>
      </c>
      <c r="T273" s="470">
        <f>S273-S272</f>
        <v>1</v>
      </c>
      <c r="U273" s="612">
        <f>R273*T273</f>
        <v>2628239720.7808537</v>
      </c>
      <c r="V273" s="464">
        <f>F273</f>
        <v>2019</v>
      </c>
      <c r="W273" s="612">
        <f>IF(OR(AND(ISBLANK(E273),ISBLANK(G273)),ISTEXT(E273),ISTEXT(G273)),"",Q273-U273)</f>
        <v>21025917766.24683</v>
      </c>
      <c r="X273" s="473"/>
      <c r="Y273" s="478"/>
      <c r="Z273" s="449"/>
      <c r="AA273" s="497"/>
      <c r="AB273" s="476"/>
      <c r="AC273" s="476"/>
      <c r="AD273" s="568"/>
      <c r="AE273" s="476"/>
      <c r="AF273" s="568"/>
      <c r="AG273" s="476"/>
      <c r="AH273" s="476"/>
      <c r="AI273" s="477"/>
      <c r="AJ273" s="478"/>
      <c r="AK273" s="479"/>
      <c r="AL273" s="480"/>
      <c r="AM273" s="474"/>
      <c r="AN273" s="481"/>
      <c r="AO273" s="474"/>
      <c r="AP273" s="476"/>
      <c r="AQ273" s="482"/>
      <c r="AR273" s="478"/>
      <c r="AS273" s="478"/>
      <c r="AT273" s="476"/>
      <c r="AU273" s="482"/>
      <c r="AV273" s="478"/>
      <c r="AW273" s="483"/>
      <c r="AX273" s="476"/>
      <c r="AY273" s="482"/>
      <c r="AZ273" s="478"/>
      <c r="BA273" s="484"/>
      <c r="BB273" s="474"/>
      <c r="BC273" s="485"/>
      <c r="BD273" s="485"/>
      <c r="BG273" s="487"/>
    </row>
    <row r="274" spans="1:59" s="486" customFormat="1" ht="18" customHeight="1" x14ac:dyDescent="0.2">
      <c r="A274" s="1369"/>
      <c r="B274" s="687"/>
      <c r="C274" s="463"/>
      <c r="D274" s="464"/>
      <c r="E274" s="465"/>
      <c r="F274" s="466"/>
      <c r="G274" s="620">
        <v>0</v>
      </c>
      <c r="H274" s="464"/>
      <c r="I274" s="467"/>
      <c r="J274" s="468"/>
      <c r="K274" s="490"/>
      <c r="L274" s="469"/>
      <c r="M274" s="683"/>
      <c r="N274" s="470"/>
      <c r="O274" s="468"/>
      <c r="P274" s="616"/>
      <c r="Q274" s="472"/>
      <c r="R274" s="472"/>
      <c r="S274" s="634"/>
      <c r="T274" s="470"/>
      <c r="U274" s="612"/>
      <c r="V274" s="464"/>
      <c r="W274" s="612"/>
      <c r="X274" s="473"/>
      <c r="Y274" s="497"/>
      <c r="Z274" s="449"/>
      <c r="AA274" s="497"/>
      <c r="AB274" s="476"/>
      <c r="AC274" s="497"/>
      <c r="AD274" s="568"/>
      <c r="AE274" s="476"/>
      <c r="AF274" s="568"/>
      <c r="AG274" s="476"/>
      <c r="AH274" s="476"/>
      <c r="AI274" s="477"/>
      <c r="AJ274" s="478"/>
      <c r="AK274" s="479"/>
      <c r="AL274" s="480"/>
      <c r="AM274" s="474"/>
      <c r="AN274" s="481"/>
      <c r="AO274" s="474"/>
      <c r="AP274" s="476"/>
      <c r="AQ274" s="482"/>
      <c r="AR274" s="478"/>
      <c r="AS274" s="478"/>
      <c r="AT274" s="476"/>
      <c r="AU274" s="482"/>
      <c r="AV274" s="478"/>
      <c r="AW274" s="483"/>
      <c r="AX274" s="476"/>
      <c r="AY274" s="482"/>
      <c r="AZ274" s="478"/>
      <c r="BA274" s="484"/>
      <c r="BB274" s="474"/>
      <c r="BC274" s="485"/>
      <c r="BD274" s="485"/>
      <c r="BG274" s="487"/>
    </row>
    <row r="275" spans="1:59" s="486" customFormat="1" ht="18" customHeight="1" x14ac:dyDescent="0.2">
      <c r="A275" s="1369"/>
      <c r="B275" s="687"/>
      <c r="C275" s="463"/>
      <c r="D275" s="464"/>
      <c r="E275" s="465"/>
      <c r="F275" s="466"/>
      <c r="G275" s="620">
        <v>0</v>
      </c>
      <c r="H275" s="464"/>
      <c r="I275" s="467"/>
      <c r="J275" s="468"/>
      <c r="K275" s="490"/>
      <c r="L275" s="469"/>
      <c r="M275" s="683"/>
      <c r="N275" s="470"/>
      <c r="O275" s="468"/>
      <c r="P275" s="616"/>
      <c r="Q275" s="472"/>
      <c r="R275" s="472"/>
      <c r="S275" s="634"/>
      <c r="T275" s="470"/>
      <c r="U275" s="612"/>
      <c r="V275" s="464"/>
      <c r="W275" s="612"/>
      <c r="X275" s="473"/>
      <c r="Y275" s="497"/>
      <c r="Z275" s="449"/>
      <c r="AA275" s="497"/>
      <c r="AB275" s="476"/>
      <c r="AC275" s="497"/>
      <c r="AD275" s="568"/>
      <c r="AE275" s="476"/>
      <c r="AF275" s="568"/>
      <c r="AG275" s="476"/>
      <c r="AH275" s="476"/>
      <c r="AI275" s="477"/>
      <c r="AJ275" s="478"/>
      <c r="AK275" s="479"/>
      <c r="AL275" s="480"/>
      <c r="AM275" s="474"/>
      <c r="AN275" s="481"/>
      <c r="AO275" s="474"/>
      <c r="AP275" s="476"/>
      <c r="AQ275" s="482"/>
      <c r="AR275" s="478"/>
      <c r="AS275" s="478"/>
      <c r="AT275" s="476"/>
      <c r="AU275" s="482"/>
      <c r="AV275" s="478"/>
      <c r="AW275" s="483"/>
      <c r="AX275" s="476"/>
      <c r="AY275" s="482"/>
      <c r="AZ275" s="478"/>
      <c r="BA275" s="484"/>
      <c r="BB275" s="474"/>
      <c r="BC275" s="485"/>
      <c r="BD275" s="485"/>
      <c r="BG275" s="487"/>
    </row>
    <row r="276" spans="1:59" s="486" customFormat="1" ht="18" customHeight="1" x14ac:dyDescent="0.2">
      <c r="A276" s="1369"/>
      <c r="B276" s="687"/>
      <c r="C276" s="463"/>
      <c r="D276" s="464"/>
      <c r="E276" s="465"/>
      <c r="F276" s="634"/>
      <c r="G276" s="620"/>
      <c r="H276" s="469" t="str">
        <f>IF(OR(AND(ISBLANK(E276),ISBLANK(G276)),ISTEXT(E276),ISTEXT(G276)),"",IF(#REF!-(YEAR(E276)-YEAR(#REF!))&lt;0,0,#REF!-(YEAR(E276)-YEAR(#REF!))))</f>
        <v/>
      </c>
      <c r="I276" s="467" t="str">
        <f>IF(OR(AND(ISBLANK(E276),ISBLANK(G276)),ISTEXT(E276),ISTEXT(G276)),"",IF(#REF!-E276&lt;0,0,#REF!-E276))</f>
        <v/>
      </c>
      <c r="J276" s="498" t="str">
        <f>IF(OR(AND(ISBLANK(E276),ISBLANK(G276)),ISTEXT(E276),ISTEXT(G276)),"",#REF!)</f>
        <v/>
      </c>
      <c r="K276" s="498"/>
      <c r="L276" s="469" t="str">
        <f>IF(OR(AND(ISBLANK(E276),ISBLANK(G276)),ISTEXT(E276),ISTEXT(G276)),"",ROUNDDOWN(G276/SUM($G$57:G274)*$H$57,0))</f>
        <v/>
      </c>
      <c r="M276" s="683" t="str">
        <f>IF(OR(AND(ISBLANK(E276),ISBLANK(G276)),ISTEXT(E276),ISTEXT(G276)),"",IF(H276+L276&gt;$H$57,$H$57-H276,L276))</f>
        <v/>
      </c>
      <c r="N276" s="470" t="str">
        <f>IF(OR(AND(ISBLANK(E276),ISBLANK(G276)),ISTEXT(E276),ISTEXT(G276)),"",H276+M276)</f>
        <v/>
      </c>
      <c r="O276" s="533" t="str">
        <f>IF(OR(AND(ISBLANK(E276),ISBLANK(G276)),ISTEXT(E276),ISTEXT(G276)),"",DATE(YEAR($J276)+M276,MONTH($J276),DAY($J276)))</f>
        <v/>
      </c>
      <c r="P276" s="748" t="str">
        <f>IF(OR(AND(ISBLANK(E276),ISBLANK(G276)),ISTEXT(E276),ISTEXT(G276)),"",#REF!-#REF!*(IF(J276&lt;E276,J276,E276)-#REF!))</f>
        <v/>
      </c>
      <c r="Q276" s="500" t="str">
        <f>IF(OR(AND(ISBLANK(E276),ISBLANK(G276)),ISTEXT(E276),ISTEXT(G276)),"",P276+G276)</f>
        <v/>
      </c>
      <c r="R276" s="501" t="str">
        <f>IF(OR(AND(ISBLANK(E276),ISBLANK(G276)),ISTEXT(E276),ISTEXT(G276)),"",IF(OR(E276&lt;DATE(2004,12,31),#REF!=0),0,Q276/#REF!))</f>
        <v/>
      </c>
      <c r="S276" s="502" t="str">
        <f>IF(OR(AND(ISBLANK(E276),ISBLANK(G276)),ISTEXT(E276),ISTEXT(G276)),"",IF(YEAR(E276)&lt;=YEAR(#REF!),"-",YEAR(E276)-1))</f>
        <v/>
      </c>
      <c r="T276" s="502"/>
      <c r="U276" s="612" t="str">
        <f>IF(OR(AND(ISBLANK(E276),ISBLANK(G276)),ISTEXT(E276),ISTEXT(G276)),"",IF(AND(J276&lt;=DATE(2004,12,31),E276&gt;J276),SUM($G276:G276),#REF!+#REF!+#REF!*IF(YEAR(E276)&lt;=YEAR(#REF!),0,(IF(DATE(YEAR(E276)-1,12,31)&gt;J276,J276,DATE(YEAR(E276)-1,12,31))-#REF!))))</f>
        <v/>
      </c>
      <c r="V276" s="503" t="str">
        <f>IF(OR(AND(ISBLANK(E276),ISBLANK(G276)),ISTEXT(E276),ISTEXT(G276)),"",IF(YEAR(E276)=YEAR(E277),E277,DATE(YEAR(E276),12,31)))</f>
        <v/>
      </c>
      <c r="W276" s="612" t="str">
        <f>IF(OR(AND(ISBLANK(E276),ISBLANK(G276)),ISTEXT(E276),ISTEXT(G276)),"",IF(Q276=0,0,IF(AND(J276&lt;=DATE(2004,12,31),E276&gt;=J276),Q276-U276,Q276-#REF!)))</f>
        <v/>
      </c>
      <c r="X276" s="504" t="str">
        <f>IF(OR(AND(ISBLANK(E276),ISBLANK(G276)),ISTEXT(E276),ISTEXT(G276)),"",$D$57&amp;"//"&amp;TEXT($E$57,"dd-mmm-yyyy")&amp;"//"&amp;#REF!)</f>
        <v/>
      </c>
      <c r="Y276" s="476"/>
      <c r="Z276" s="476"/>
      <c r="AA276" s="476"/>
      <c r="AB276" s="476"/>
      <c r="AC276" s="476"/>
      <c r="AD276" s="568"/>
      <c r="AE276" s="476"/>
      <c r="AF276" s="568"/>
      <c r="AG276" s="476"/>
      <c r="AH276" s="476"/>
      <c r="AI276" s="477"/>
      <c r="AJ276" s="478"/>
      <c r="AK276" s="479"/>
      <c r="AL276" s="480"/>
      <c r="AM276" s="474"/>
      <c r="AN276" s="481"/>
      <c r="AO276" s="474"/>
      <c r="AP276" s="476"/>
      <c r="AQ276" s="482"/>
      <c r="AR276" s="478"/>
      <c r="AS276" s="478"/>
      <c r="AT276" s="476"/>
      <c r="AU276" s="482"/>
      <c r="AV276" s="478"/>
      <c r="AW276" s="483"/>
      <c r="AX276" s="476"/>
      <c r="AY276" s="482"/>
      <c r="AZ276" s="478"/>
      <c r="BA276" s="484"/>
      <c r="BB276" s="474"/>
      <c r="BC276" s="485"/>
      <c r="BD276" s="485"/>
      <c r="BG276" s="487"/>
    </row>
    <row r="277" spans="1:59" s="526" customFormat="1" ht="18" customHeight="1" x14ac:dyDescent="0.2">
      <c r="A277" s="1370" t="s">
        <v>4184</v>
      </c>
      <c r="B277" s="1956" t="s">
        <v>4184</v>
      </c>
      <c r="C277" s="1957"/>
      <c r="D277" s="1957"/>
      <c r="E277" s="1957"/>
      <c r="F277" s="1958"/>
      <c r="G277" s="624">
        <f>SUM(G259:G276)</f>
        <v>42834786877.199944</v>
      </c>
      <c r="H277" s="505"/>
      <c r="I277" s="506"/>
      <c r="J277" s="507"/>
      <c r="K277" s="507"/>
      <c r="L277" s="505"/>
      <c r="M277" s="684"/>
      <c r="N277" s="508"/>
      <c r="O277" s="507"/>
      <c r="P277" s="749"/>
      <c r="Q277" s="510"/>
      <c r="R277" s="511"/>
      <c r="S277" s="512"/>
      <c r="T277" s="512"/>
      <c r="U277" s="610">
        <f>SUM(U259:U276)</f>
        <v>21808869110.953117</v>
      </c>
      <c r="V277" s="513"/>
      <c r="W277" s="610">
        <f>G277-U277</f>
        <v>21025917766.246826</v>
      </c>
      <c r="X277" s="514"/>
      <c r="Y277" s="515"/>
      <c r="Z277" s="515"/>
      <c r="AA277" s="515"/>
      <c r="AB277" s="515"/>
      <c r="AC277" s="515"/>
      <c r="AD277" s="562"/>
      <c r="AE277" s="515"/>
      <c r="AF277" s="570"/>
      <c r="AG277" s="515"/>
      <c r="AH277" s="515"/>
      <c r="AI277" s="516"/>
      <c r="AJ277" s="517"/>
      <c r="AK277" s="518"/>
      <c r="AL277" s="519"/>
      <c r="AM277" s="520"/>
      <c r="AN277" s="521"/>
      <c r="AO277" s="520"/>
      <c r="AP277" s="515"/>
      <c r="AQ277" s="522"/>
      <c r="AR277" s="517"/>
      <c r="AS277" s="517"/>
      <c r="AT277" s="515"/>
      <c r="AU277" s="522"/>
      <c r="AV277" s="517"/>
      <c r="AW277" s="523"/>
      <c r="AX277" s="515"/>
      <c r="AY277" s="522"/>
      <c r="AZ277" s="517"/>
      <c r="BA277" s="524"/>
      <c r="BB277" s="520"/>
      <c r="BC277" s="525"/>
      <c r="BD277" s="525"/>
      <c r="BG277" s="527"/>
    </row>
    <row r="281" spans="1:59" s="422" customFormat="1" ht="18" customHeight="1" x14ac:dyDescent="0.2">
      <c r="A281" s="1366">
        <f>C281</f>
        <v>28</v>
      </c>
      <c r="B281" s="742" t="s">
        <v>4187</v>
      </c>
      <c r="C281" s="556">
        <v>28</v>
      </c>
      <c r="D281" s="553" t="str">
        <f>VLOOKUP(C281,RUAS,2,FALSE)</f>
        <v>PL. KOMANG SENTAJO - KOTO SENTAJO</v>
      </c>
      <c r="E281" s="553"/>
      <c r="F281" s="421"/>
      <c r="G281" s="611"/>
      <c r="I281" s="423"/>
      <c r="J281" s="424"/>
      <c r="K281" s="424"/>
      <c r="M281" s="680"/>
      <c r="P281" s="611"/>
      <c r="U281" s="611"/>
      <c r="W281" s="611"/>
      <c r="Y281" s="425"/>
      <c r="Z281" s="425"/>
      <c r="AA281" s="425"/>
      <c r="AB281" s="425"/>
      <c r="AC281" s="425"/>
      <c r="AD281" s="563"/>
      <c r="AE281" s="425"/>
      <c r="AF281" s="563"/>
      <c r="AG281" s="425"/>
      <c r="AH281" s="425"/>
      <c r="AI281" s="425"/>
      <c r="AJ281" s="425"/>
      <c r="AK281" s="425"/>
      <c r="AL281" s="425"/>
      <c r="AM281" s="425"/>
      <c r="AN281" s="425"/>
      <c r="AO281" s="425"/>
      <c r="AP281" s="425"/>
      <c r="AQ281" s="425"/>
      <c r="AR281" s="425"/>
      <c r="AS281" s="425"/>
      <c r="AT281" s="425"/>
      <c r="AU281" s="425"/>
      <c r="AV281" s="425"/>
      <c r="AW281" s="425"/>
      <c r="AX281" s="425"/>
      <c r="AY281" s="425"/>
      <c r="AZ281" s="425"/>
      <c r="BA281" s="425"/>
      <c r="BB281" s="425"/>
    </row>
    <row r="282" spans="1:59" s="431" customFormat="1" ht="18" customHeight="1" x14ac:dyDescent="0.2">
      <c r="A282" s="1367"/>
      <c r="B282" s="1968" t="s">
        <v>5</v>
      </c>
      <c r="C282" s="1968" t="s">
        <v>2280</v>
      </c>
      <c r="D282" s="1968" t="s">
        <v>4157</v>
      </c>
      <c r="E282" s="1968" t="s">
        <v>4158</v>
      </c>
      <c r="F282" s="1968"/>
      <c r="G282" s="1969" t="s">
        <v>4159</v>
      </c>
      <c r="H282" s="1968" t="s">
        <v>4160</v>
      </c>
      <c r="I282" s="1968"/>
      <c r="J282" s="1968" t="s">
        <v>4185</v>
      </c>
      <c r="K282" s="1964" t="s">
        <v>4162</v>
      </c>
      <c r="L282" s="1968" t="s">
        <v>4163</v>
      </c>
      <c r="M282" s="1971" t="s">
        <v>4164</v>
      </c>
      <c r="N282" s="1962" t="s">
        <v>4165</v>
      </c>
      <c r="O282" s="1968" t="s">
        <v>4166</v>
      </c>
      <c r="P282" s="1972" t="s">
        <v>4167</v>
      </c>
      <c r="Q282" s="1973"/>
      <c r="R282" s="636" t="s">
        <v>4186</v>
      </c>
      <c r="S282" s="1972" t="s">
        <v>4169</v>
      </c>
      <c r="T282" s="1974"/>
      <c r="U282" s="1973"/>
      <c r="V282" s="1975" t="s">
        <v>4170</v>
      </c>
      <c r="W282" s="1975"/>
      <c r="X282" s="1960" t="s">
        <v>4171</v>
      </c>
      <c r="Y282" s="1959"/>
      <c r="Z282" s="633"/>
      <c r="AA282" s="426"/>
      <c r="AB282" s="426"/>
      <c r="AC282" s="426"/>
      <c r="AD282" s="564"/>
      <c r="AE282" s="426"/>
      <c r="AF282" s="564"/>
      <c r="AG282" s="426"/>
      <c r="AH282" s="426"/>
      <c r="AI282" s="427"/>
      <c r="AJ282" s="427"/>
      <c r="AK282" s="427"/>
      <c r="AL282" s="427"/>
      <c r="AM282" s="428"/>
      <c r="AN282" s="427"/>
      <c r="AO282" s="427"/>
      <c r="AP282" s="426"/>
      <c r="AQ282" s="427"/>
      <c r="AR282" s="427"/>
      <c r="AS282" s="427"/>
      <c r="AT282" s="426"/>
      <c r="AU282" s="427"/>
      <c r="AV282" s="427"/>
      <c r="AW282" s="427"/>
      <c r="AX282" s="426"/>
      <c r="AY282" s="427"/>
      <c r="AZ282" s="427"/>
      <c r="BA282" s="427"/>
      <c r="BB282" s="429"/>
      <c r="BC282" s="430"/>
      <c r="BD282" s="430"/>
    </row>
    <row r="283" spans="1:59" s="431" customFormat="1" ht="18" customHeight="1" x14ac:dyDescent="0.2">
      <c r="A283" s="1367"/>
      <c r="B283" s="1968"/>
      <c r="C283" s="1968"/>
      <c r="D283" s="1968"/>
      <c r="E283" s="1968"/>
      <c r="F283" s="1968"/>
      <c r="G283" s="1969"/>
      <c r="H283" s="1968"/>
      <c r="I283" s="1968"/>
      <c r="J283" s="1968"/>
      <c r="K283" s="1970"/>
      <c r="L283" s="1968"/>
      <c r="M283" s="1971"/>
      <c r="N283" s="1963"/>
      <c r="O283" s="1968"/>
      <c r="P283" s="2037" t="s">
        <v>4172</v>
      </c>
      <c r="Q283" s="1960" t="s">
        <v>4173</v>
      </c>
      <c r="R283" s="1962" t="s">
        <v>4159</v>
      </c>
      <c r="S283" s="1962" t="s">
        <v>4174</v>
      </c>
      <c r="T283" s="1964" t="s">
        <v>4175</v>
      </c>
      <c r="U283" s="1966" t="s">
        <v>4159</v>
      </c>
      <c r="V283" s="1975"/>
      <c r="W283" s="1975"/>
      <c r="X283" s="1976"/>
      <c r="Y283" s="1959"/>
      <c r="Z283" s="633"/>
      <c r="AA283" s="426"/>
      <c r="AB283" s="426"/>
      <c r="AC283" s="426"/>
      <c r="AD283" s="564"/>
      <c r="AE283" s="426"/>
      <c r="AF283" s="564"/>
      <c r="AG283" s="426"/>
      <c r="AH283" s="426"/>
      <c r="AI283" s="427"/>
      <c r="AJ283" s="427"/>
      <c r="AK283" s="426"/>
      <c r="AL283" s="427"/>
      <c r="AM283" s="428"/>
      <c r="AN283" s="427"/>
      <c r="AO283" s="427"/>
      <c r="AP283" s="432"/>
      <c r="AQ283" s="427"/>
      <c r="AR283" s="427"/>
      <c r="AS283" s="427"/>
      <c r="AT283" s="432"/>
      <c r="AU283" s="427"/>
      <c r="AV283" s="427"/>
      <c r="AW283" s="427"/>
      <c r="AX283" s="432"/>
      <c r="AY283" s="427"/>
      <c r="AZ283" s="427"/>
      <c r="BA283" s="427"/>
      <c r="BB283" s="429"/>
      <c r="BC283" s="430"/>
      <c r="BD283" s="430"/>
    </row>
    <row r="284" spans="1:59" s="431" customFormat="1" ht="18" customHeight="1" x14ac:dyDescent="0.2">
      <c r="A284" s="1367"/>
      <c r="B284" s="1968"/>
      <c r="C284" s="1968"/>
      <c r="D284" s="1968"/>
      <c r="E284" s="433" t="s">
        <v>4176</v>
      </c>
      <c r="F284" s="434" t="s">
        <v>2288</v>
      </c>
      <c r="G284" s="1969"/>
      <c r="H284" s="635" t="s">
        <v>2288</v>
      </c>
      <c r="I284" s="635" t="s">
        <v>4177</v>
      </c>
      <c r="J284" s="1968"/>
      <c r="K284" s="1965"/>
      <c r="L284" s="435" t="s">
        <v>2288</v>
      </c>
      <c r="M284" s="681" t="s">
        <v>2288</v>
      </c>
      <c r="N284" s="635" t="s">
        <v>2288</v>
      </c>
      <c r="O284" s="1968"/>
      <c r="P284" s="2038"/>
      <c r="Q284" s="1961"/>
      <c r="R284" s="1963"/>
      <c r="S284" s="1963"/>
      <c r="T284" s="1965"/>
      <c r="U284" s="1967"/>
      <c r="V284" s="635" t="s">
        <v>4178</v>
      </c>
      <c r="W284" s="637" t="s">
        <v>4159</v>
      </c>
      <c r="X284" s="1961"/>
      <c r="Y284" s="436"/>
      <c r="Z284" s="436"/>
      <c r="AA284" s="426"/>
      <c r="AB284" s="426"/>
      <c r="AC284" s="426"/>
      <c r="AD284" s="564"/>
      <c r="AE284" s="426"/>
      <c r="AF284" s="564"/>
      <c r="AG284" s="426"/>
      <c r="AH284" s="426"/>
      <c r="AI284" s="427"/>
      <c r="AJ284" s="432"/>
      <c r="AK284" s="432"/>
      <c r="AL284" s="427"/>
      <c r="AM284" s="428"/>
      <c r="AN284" s="432"/>
      <c r="AO284" s="427"/>
      <c r="AP284" s="432"/>
      <c r="AQ284" s="432"/>
      <c r="AR284" s="427"/>
      <c r="AS284" s="427"/>
      <c r="AT284" s="432"/>
      <c r="AU284" s="432"/>
      <c r="AV284" s="427"/>
      <c r="AW284" s="427"/>
      <c r="AX284" s="432"/>
      <c r="AY284" s="432"/>
      <c r="AZ284" s="427"/>
      <c r="BA284" s="427"/>
      <c r="BB284" s="429"/>
      <c r="BC284" s="430"/>
      <c r="BD284" s="430"/>
    </row>
    <row r="285" spans="1:59" s="461" customFormat="1" ht="18" customHeight="1" x14ac:dyDescent="0.2">
      <c r="A285" s="1368" t="str">
        <f>$D$281&amp;S285</f>
        <v>PL. KOMANG SENTAJO - KOTO SENTAJO2007</v>
      </c>
      <c r="B285" s="1373">
        <v>1</v>
      </c>
      <c r="C285" s="532" t="s">
        <v>1154</v>
      </c>
      <c r="D285" s="437" t="s">
        <v>2494</v>
      </c>
      <c r="E285" s="438"/>
      <c r="F285" s="439">
        <v>2007</v>
      </c>
      <c r="G285" s="623">
        <f>3995337645.17239+786272302.108779</f>
        <v>4781609947.2811689</v>
      </c>
      <c r="H285" s="440">
        <f>VLOOKUP(LEFT(D285,8),UE,4)</f>
        <v>10</v>
      </c>
      <c r="I285" s="441"/>
      <c r="J285" s="442">
        <f>(F285+N285)-1</f>
        <v>2016</v>
      </c>
      <c r="K285" s="443"/>
      <c r="L285" s="440"/>
      <c r="M285" s="746">
        <f>IF(H285+L285&gt;$H285,$H285-H285,L285)</f>
        <v>0</v>
      </c>
      <c r="N285" s="444">
        <f>H285+M285</f>
        <v>10</v>
      </c>
      <c r="O285" s="442">
        <f>(F285+N285)-1</f>
        <v>2016</v>
      </c>
      <c r="P285" s="617">
        <f>G285</f>
        <v>4781609947.2811689</v>
      </c>
      <c r="Q285" s="445">
        <v>0</v>
      </c>
      <c r="R285" s="445">
        <f>P285/N285</f>
        <v>478160994.72811687</v>
      </c>
      <c r="S285" s="446">
        <f>F285</f>
        <v>2007</v>
      </c>
      <c r="T285" s="447">
        <v>1</v>
      </c>
      <c r="U285" s="613">
        <f>R285*T285</f>
        <v>478160994.72811687</v>
      </c>
      <c r="V285" s="442">
        <f>F285</f>
        <v>2007</v>
      </c>
      <c r="W285" s="617">
        <f>IF(OR(AND(ISBLANK(E285),ISBLANK(G285)),ISTEXT(E285),ISTEXT(G285)),"",G285-R285)</f>
        <v>4303448952.5530519</v>
      </c>
      <c r="X285" s="448"/>
      <c r="Y285" s="449"/>
      <c r="Z285" s="449"/>
      <c r="AA285" s="450" t="s">
        <v>4179</v>
      </c>
      <c r="AB285" s="451"/>
      <c r="AC285" s="451"/>
      <c r="AD285" s="565"/>
      <c r="AE285" s="452"/>
      <c r="AF285" s="571"/>
      <c r="AG285" s="452"/>
      <c r="AH285" s="452"/>
      <c r="AI285" s="453"/>
      <c r="AJ285" s="449"/>
      <c r="AK285" s="453"/>
      <c r="AL285" s="454"/>
      <c r="AM285" s="455"/>
      <c r="AN285" s="456"/>
      <c r="AO285" s="455"/>
      <c r="AP285" s="452"/>
      <c r="AQ285" s="457"/>
      <c r="AR285" s="449"/>
      <c r="AS285" s="449"/>
      <c r="AT285" s="452"/>
      <c r="AU285" s="457"/>
      <c r="AV285" s="449"/>
      <c r="AW285" s="458"/>
      <c r="AX285" s="452"/>
      <c r="AY285" s="457"/>
      <c r="AZ285" s="449"/>
      <c r="BA285" s="459"/>
      <c r="BB285" s="455"/>
      <c r="BC285" s="460"/>
      <c r="BD285" s="460"/>
      <c r="BG285" s="462"/>
    </row>
    <row r="286" spans="1:59" s="486" customFormat="1" ht="18" customHeight="1" x14ac:dyDescent="0.2">
      <c r="A286" s="1368" t="str">
        <f t="shared" ref="A286:A296" si="196">$D$281&amp;S286</f>
        <v>PL. KOMANG SENTAJO - KOTO SENTAJO2007</v>
      </c>
      <c r="B286" s="1373">
        <v>2</v>
      </c>
      <c r="C286" s="463" t="s">
        <v>1181</v>
      </c>
      <c r="D286" s="464" t="s">
        <v>2494</v>
      </c>
      <c r="E286" s="465"/>
      <c r="F286" s="466">
        <v>2007</v>
      </c>
      <c r="G286" s="620">
        <v>0</v>
      </c>
      <c r="H286" s="464">
        <f>IF(N285-(F286-F285)&lt;=0,0,(N285-(F286-F285)))</f>
        <v>10</v>
      </c>
      <c r="I286" s="467"/>
      <c r="J286" s="468">
        <f>(F286+N286)-1</f>
        <v>2016</v>
      </c>
      <c r="K286" s="490">
        <f>IF(G286=0,0,IF(H286=10,100%,G286/W285))</f>
        <v>0</v>
      </c>
      <c r="L286" s="469">
        <f>IF(K286=0%,0,IF(K286&lt;=30%,2,IF(K286&lt;=60%,5,10)))</f>
        <v>0</v>
      </c>
      <c r="M286" s="683">
        <f>IF(OR(AND(ISBLANK(E286),ISBLANK(G286)),ISTEXT(E286),ISTEXT(G286)),"",IF(H286+L286&gt;$H$285,$H$285-H286,L286))</f>
        <v>0</v>
      </c>
      <c r="N286" s="470">
        <f>IF(OR(AND(ISBLANK(F286),ISBLANK(G286)),ISTEXT(F286),ISTEXT(G286)),"",H286+M286)</f>
        <v>10</v>
      </c>
      <c r="O286" s="468">
        <f>(F286+N286)-1</f>
        <v>2016</v>
      </c>
      <c r="P286" s="616">
        <f>W285</f>
        <v>4303448952.5530519</v>
      </c>
      <c r="Q286" s="472">
        <f>P286+G286</f>
        <v>4303448952.5530519</v>
      </c>
      <c r="R286" s="472">
        <f>IF(L286=0,R285,Q286/N286)</f>
        <v>478160994.72811687</v>
      </c>
      <c r="S286" s="634">
        <f>F286</f>
        <v>2007</v>
      </c>
      <c r="T286" s="470">
        <f>S286-S285</f>
        <v>0</v>
      </c>
      <c r="U286" s="612">
        <f>R286*T286</f>
        <v>0</v>
      </c>
      <c r="V286" s="464">
        <f>F286</f>
        <v>2007</v>
      </c>
      <c r="W286" s="612">
        <f>IF(OR(AND(ISBLANK(E286),ISBLANK(G286)),ISTEXT(E286),ISTEXT(G286)),"",Q286-U286)</f>
        <v>4303448952.5530519</v>
      </c>
      <c r="X286" s="473"/>
      <c r="Y286" s="474"/>
      <c r="Z286" s="449"/>
      <c r="AA286" s="475" t="s">
        <v>4180</v>
      </c>
      <c r="AB286" s="476"/>
      <c r="AC286" s="476"/>
      <c r="AD286" s="567">
        <f>G298</f>
        <v>10762474611.988241</v>
      </c>
      <c r="AE286" s="476"/>
      <c r="AF286" s="568"/>
      <c r="AG286" s="476"/>
      <c r="AH286" s="476"/>
      <c r="AI286" s="477"/>
      <c r="AJ286" s="478"/>
      <c r="AK286" s="479"/>
      <c r="AL286" s="480"/>
      <c r="AM286" s="474"/>
      <c r="AN286" s="481"/>
      <c r="AO286" s="474"/>
      <c r="AP286" s="476"/>
      <c r="AQ286" s="482"/>
      <c r="AR286" s="478"/>
      <c r="AS286" s="478"/>
      <c r="AT286" s="476"/>
      <c r="AU286" s="482"/>
      <c r="AV286" s="478"/>
      <c r="AW286" s="483"/>
      <c r="AX286" s="476"/>
      <c r="AY286" s="482"/>
      <c r="AZ286" s="478"/>
      <c r="BA286" s="484"/>
      <c r="BB286" s="474"/>
      <c r="BC286" s="485"/>
      <c r="BD286" s="485"/>
      <c r="BG286" s="487"/>
    </row>
    <row r="287" spans="1:59" s="486" customFormat="1" ht="18" customHeight="1" x14ac:dyDescent="0.2">
      <c r="A287" s="1368" t="str">
        <f t="shared" si="196"/>
        <v>PL. KOMANG SENTAJO - KOTO SENTAJO2008</v>
      </c>
      <c r="B287" s="1373">
        <v>3</v>
      </c>
      <c r="C287" s="493" t="s">
        <v>5099</v>
      </c>
      <c r="D287" s="464"/>
      <c r="E287" s="465"/>
      <c r="F287" s="466">
        <v>2008</v>
      </c>
      <c r="G287" s="620">
        <v>917028679.55707204</v>
      </c>
      <c r="H287" s="464">
        <f t="shared" ref="H287:H295" si="197">IF(N286-(F287-F286)&lt;=0,0,(N286-(F287-F286)))</f>
        <v>9</v>
      </c>
      <c r="I287" s="467"/>
      <c r="J287" s="468">
        <f t="shared" ref="J287:J295" si="198">(F287+N287)-1</f>
        <v>2017</v>
      </c>
      <c r="K287" s="490">
        <f t="shared" ref="K287:K295" si="199">IF(G287=0,0,IF(H287=10,100%,G287/W286))</f>
        <v>0.21309156671024021</v>
      </c>
      <c r="L287" s="469">
        <f t="shared" ref="L287:L295" si="200">IF(K287=0%,0,IF(K287&lt;=30%,2,IF(K287&lt;=60%,5,10)))</f>
        <v>2</v>
      </c>
      <c r="M287" s="683">
        <f t="shared" ref="M287:M297" si="201">IF(OR(AND(ISBLANK(E287),ISBLANK(G287)),ISTEXT(E287),ISTEXT(G287)),"",IF(H287+L287&gt;$H$285,$H$285-H287,L287))</f>
        <v>1</v>
      </c>
      <c r="N287" s="470">
        <f t="shared" ref="N287:N295" si="202">IF(OR(AND(ISBLANK(F287),ISBLANK(G287)),ISTEXT(F287),ISTEXT(G287)),"",H287+M287)</f>
        <v>10</v>
      </c>
      <c r="O287" s="468">
        <f t="shared" ref="O287:O295" si="203">(F287+N287)-1</f>
        <v>2017</v>
      </c>
      <c r="P287" s="616">
        <f t="shared" ref="P287:P295" si="204">W286</f>
        <v>4303448952.5530519</v>
      </c>
      <c r="Q287" s="472">
        <f t="shared" ref="Q287:Q295" si="205">P287+G287</f>
        <v>5220477632.1101236</v>
      </c>
      <c r="R287" s="472">
        <f t="shared" ref="R287:R295" si="206">IF(L287=0,R286,Q287/N287)</f>
        <v>522047763.21101236</v>
      </c>
      <c r="S287" s="1189">
        <f t="shared" ref="S287:S295" si="207">F287</f>
        <v>2008</v>
      </c>
      <c r="T287" s="470">
        <f t="shared" ref="T287:T295" si="208">S287-S286</f>
        <v>1</v>
      </c>
      <c r="U287" s="612">
        <f t="shared" ref="U287:U295" si="209">R287*T287</f>
        <v>522047763.21101236</v>
      </c>
      <c r="V287" s="464">
        <f t="shared" ref="V287:V295" si="210">F287</f>
        <v>2008</v>
      </c>
      <c r="W287" s="612">
        <f t="shared" ref="W287:W295" si="211">IF(OR(AND(ISBLANK(E287),ISBLANK(G287)),ISTEXT(E287),ISTEXT(G287)),"",Q287-U287)</f>
        <v>4698429868.8991108</v>
      </c>
      <c r="X287" s="473"/>
      <c r="Y287" s="474"/>
      <c r="Z287" s="449"/>
      <c r="AA287" s="475"/>
      <c r="AB287" s="476"/>
      <c r="AC287" s="476"/>
      <c r="AD287" s="567"/>
      <c r="AE287" s="476"/>
      <c r="AF287" s="568"/>
      <c r="AG287" s="476"/>
      <c r="AH287" s="476"/>
      <c r="AI287" s="477"/>
      <c r="AJ287" s="478"/>
      <c r="AK287" s="479"/>
      <c r="AL287" s="480"/>
      <c r="AM287" s="474"/>
      <c r="AN287" s="481"/>
      <c r="AO287" s="474"/>
      <c r="AP287" s="476"/>
      <c r="AQ287" s="482"/>
      <c r="AR287" s="478"/>
      <c r="AS287" s="478"/>
      <c r="AT287" s="476"/>
      <c r="AU287" s="482"/>
      <c r="AV287" s="478"/>
      <c r="AW287" s="483"/>
      <c r="AX287" s="476"/>
      <c r="AY287" s="482"/>
      <c r="AZ287" s="478"/>
      <c r="BA287" s="484"/>
      <c r="BB287" s="474"/>
      <c r="BC287" s="485"/>
      <c r="BD287" s="485"/>
      <c r="BG287" s="487"/>
    </row>
    <row r="288" spans="1:59" s="486" customFormat="1" ht="18" customHeight="1" x14ac:dyDescent="0.2">
      <c r="A288" s="1368" t="str">
        <f t="shared" si="196"/>
        <v>PL. KOMANG SENTAJO - KOTO SENTAJO2009</v>
      </c>
      <c r="B288" s="1373"/>
      <c r="C288" s="463"/>
      <c r="D288" s="464"/>
      <c r="E288" s="465"/>
      <c r="F288" s="466">
        <v>2009</v>
      </c>
      <c r="G288" s="620">
        <v>0</v>
      </c>
      <c r="H288" s="464">
        <f t="shared" si="197"/>
        <v>9</v>
      </c>
      <c r="I288" s="467"/>
      <c r="J288" s="468">
        <f t="shared" si="198"/>
        <v>2017</v>
      </c>
      <c r="K288" s="490">
        <f t="shared" si="199"/>
        <v>0</v>
      </c>
      <c r="L288" s="469">
        <f t="shared" si="200"/>
        <v>0</v>
      </c>
      <c r="M288" s="683">
        <f t="shared" si="201"/>
        <v>0</v>
      </c>
      <c r="N288" s="470">
        <f t="shared" si="202"/>
        <v>9</v>
      </c>
      <c r="O288" s="468">
        <f t="shared" si="203"/>
        <v>2017</v>
      </c>
      <c r="P288" s="616">
        <f t="shared" si="204"/>
        <v>4698429868.8991108</v>
      </c>
      <c r="Q288" s="472">
        <f t="shared" si="205"/>
        <v>4698429868.8991108</v>
      </c>
      <c r="R288" s="472">
        <f t="shared" si="206"/>
        <v>522047763.21101236</v>
      </c>
      <c r="S288" s="1189">
        <f t="shared" si="207"/>
        <v>2009</v>
      </c>
      <c r="T288" s="470">
        <f t="shared" si="208"/>
        <v>1</v>
      </c>
      <c r="U288" s="612">
        <f t="shared" si="209"/>
        <v>522047763.21101236</v>
      </c>
      <c r="V288" s="464">
        <f t="shared" si="210"/>
        <v>2009</v>
      </c>
      <c r="W288" s="612">
        <f t="shared" si="211"/>
        <v>4176382105.6880984</v>
      </c>
      <c r="X288" s="473"/>
      <c r="Y288" s="474"/>
      <c r="Z288" s="449"/>
      <c r="AA288" s="475"/>
      <c r="AB288" s="476"/>
      <c r="AC288" s="476"/>
      <c r="AD288" s="567"/>
      <c r="AE288" s="476"/>
      <c r="AF288" s="568"/>
      <c r="AG288" s="476"/>
      <c r="AH288" s="476"/>
      <c r="AI288" s="477"/>
      <c r="AJ288" s="478"/>
      <c r="AK288" s="479"/>
      <c r="AL288" s="480"/>
      <c r="AM288" s="474"/>
      <c r="AN288" s="481"/>
      <c r="AO288" s="474"/>
      <c r="AP288" s="476"/>
      <c r="AQ288" s="482"/>
      <c r="AR288" s="478"/>
      <c r="AS288" s="478"/>
      <c r="AT288" s="476"/>
      <c r="AU288" s="482"/>
      <c r="AV288" s="478"/>
      <c r="AW288" s="483"/>
      <c r="AX288" s="476"/>
      <c r="AY288" s="482"/>
      <c r="AZ288" s="478"/>
      <c r="BA288" s="484"/>
      <c r="BB288" s="474"/>
      <c r="BC288" s="485"/>
      <c r="BD288" s="485"/>
      <c r="BG288" s="487"/>
    </row>
    <row r="289" spans="1:59" s="486" customFormat="1" ht="18" customHeight="1" x14ac:dyDescent="0.2">
      <c r="A289" s="1368" t="str">
        <f t="shared" si="196"/>
        <v>PL. KOMANG SENTAJO - KOTO SENTAJO2010</v>
      </c>
      <c r="B289" s="1373"/>
      <c r="C289" s="463"/>
      <c r="D289" s="464"/>
      <c r="E289" s="465"/>
      <c r="F289" s="466">
        <v>2010</v>
      </c>
      <c r="G289" s="620">
        <v>0</v>
      </c>
      <c r="H289" s="464">
        <f t="shared" si="197"/>
        <v>8</v>
      </c>
      <c r="I289" s="467"/>
      <c r="J289" s="468">
        <f t="shared" si="198"/>
        <v>2017</v>
      </c>
      <c r="K289" s="490">
        <f t="shared" si="199"/>
        <v>0</v>
      </c>
      <c r="L289" s="469">
        <f t="shared" si="200"/>
        <v>0</v>
      </c>
      <c r="M289" s="683">
        <f t="shared" si="201"/>
        <v>0</v>
      </c>
      <c r="N289" s="470">
        <f t="shared" si="202"/>
        <v>8</v>
      </c>
      <c r="O289" s="468">
        <f t="shared" si="203"/>
        <v>2017</v>
      </c>
      <c r="P289" s="616">
        <f t="shared" si="204"/>
        <v>4176382105.6880984</v>
      </c>
      <c r="Q289" s="472">
        <f t="shared" si="205"/>
        <v>4176382105.6880984</v>
      </c>
      <c r="R289" s="472">
        <f t="shared" si="206"/>
        <v>522047763.21101236</v>
      </c>
      <c r="S289" s="1189">
        <f t="shared" si="207"/>
        <v>2010</v>
      </c>
      <c r="T289" s="470">
        <f t="shared" si="208"/>
        <v>1</v>
      </c>
      <c r="U289" s="612">
        <f t="shared" si="209"/>
        <v>522047763.21101236</v>
      </c>
      <c r="V289" s="464">
        <f t="shared" si="210"/>
        <v>2010</v>
      </c>
      <c r="W289" s="612">
        <f t="shared" si="211"/>
        <v>3654334342.4770861</v>
      </c>
      <c r="X289" s="473"/>
      <c r="Y289" s="474"/>
      <c r="Z289" s="449"/>
      <c r="AA289" s="475"/>
      <c r="AB289" s="476"/>
      <c r="AC289" s="476"/>
      <c r="AD289" s="567"/>
      <c r="AE289" s="476"/>
      <c r="AF289" s="568"/>
      <c r="AG289" s="476"/>
      <c r="AH289" s="476"/>
      <c r="AI289" s="477"/>
      <c r="AJ289" s="478"/>
      <c r="AK289" s="479"/>
      <c r="AL289" s="480"/>
      <c r="AM289" s="474"/>
      <c r="AN289" s="481"/>
      <c r="AO289" s="474"/>
      <c r="AP289" s="476"/>
      <c r="AQ289" s="482"/>
      <c r="AR289" s="478"/>
      <c r="AS289" s="478"/>
      <c r="AT289" s="476"/>
      <c r="AU289" s="482"/>
      <c r="AV289" s="478"/>
      <c r="AW289" s="483"/>
      <c r="AX289" s="476"/>
      <c r="AY289" s="482"/>
      <c r="AZ289" s="478"/>
      <c r="BA289" s="484"/>
      <c r="BB289" s="474"/>
      <c r="BC289" s="485"/>
      <c r="BD289" s="485"/>
      <c r="BG289" s="487"/>
    </row>
    <row r="290" spans="1:59" s="486" customFormat="1" ht="18" customHeight="1" x14ac:dyDescent="0.2">
      <c r="A290" s="1368" t="str">
        <f t="shared" si="196"/>
        <v>PL. KOMANG SENTAJO - KOTO SENTAJO2013</v>
      </c>
      <c r="B290" s="1373"/>
      <c r="C290" s="463"/>
      <c r="D290" s="464"/>
      <c r="E290" s="465"/>
      <c r="F290" s="466">
        <v>2013</v>
      </c>
      <c r="G290" s="620">
        <v>0</v>
      </c>
      <c r="H290" s="464">
        <f t="shared" si="197"/>
        <v>5</v>
      </c>
      <c r="I290" s="467"/>
      <c r="J290" s="468">
        <f t="shared" si="198"/>
        <v>2017</v>
      </c>
      <c r="K290" s="490">
        <f t="shared" si="199"/>
        <v>0</v>
      </c>
      <c r="L290" s="469">
        <f t="shared" si="200"/>
        <v>0</v>
      </c>
      <c r="M290" s="683">
        <f t="shared" si="201"/>
        <v>0</v>
      </c>
      <c r="N290" s="470">
        <f t="shared" si="202"/>
        <v>5</v>
      </c>
      <c r="O290" s="468">
        <f t="shared" si="203"/>
        <v>2017</v>
      </c>
      <c r="P290" s="616">
        <f t="shared" si="204"/>
        <v>3654334342.4770861</v>
      </c>
      <c r="Q290" s="472">
        <f t="shared" si="205"/>
        <v>3654334342.4770861</v>
      </c>
      <c r="R290" s="472">
        <f t="shared" si="206"/>
        <v>522047763.21101236</v>
      </c>
      <c r="S290" s="1189">
        <f t="shared" si="207"/>
        <v>2013</v>
      </c>
      <c r="T290" s="470">
        <f t="shared" si="208"/>
        <v>3</v>
      </c>
      <c r="U290" s="612">
        <f t="shared" si="209"/>
        <v>1566143289.6330371</v>
      </c>
      <c r="V290" s="464">
        <f t="shared" si="210"/>
        <v>2013</v>
      </c>
      <c r="W290" s="612">
        <f t="shared" si="211"/>
        <v>2088191052.844049</v>
      </c>
      <c r="X290" s="473"/>
      <c r="Y290" s="474"/>
      <c r="Z290" s="449"/>
      <c r="AA290" s="475"/>
      <c r="AB290" s="476"/>
      <c r="AC290" s="476"/>
      <c r="AD290" s="567"/>
      <c r="AE290" s="476"/>
      <c r="AF290" s="568"/>
      <c r="AG290" s="476"/>
      <c r="AH290" s="476"/>
      <c r="AI290" s="477"/>
      <c r="AJ290" s="478"/>
      <c r="AK290" s="479"/>
      <c r="AL290" s="480"/>
      <c r="AM290" s="474"/>
      <c r="AN290" s="481"/>
      <c r="AO290" s="474"/>
      <c r="AP290" s="476"/>
      <c r="AQ290" s="482"/>
      <c r="AR290" s="478"/>
      <c r="AS290" s="478"/>
      <c r="AT290" s="476"/>
      <c r="AU290" s="482"/>
      <c r="AV290" s="478"/>
      <c r="AW290" s="483"/>
      <c r="AX290" s="476"/>
      <c r="AY290" s="482"/>
      <c r="AZ290" s="478"/>
      <c r="BA290" s="484"/>
      <c r="BB290" s="474"/>
      <c r="BC290" s="485"/>
      <c r="BD290" s="485"/>
      <c r="BG290" s="487"/>
    </row>
    <row r="291" spans="1:59" s="486" customFormat="1" ht="18" customHeight="1" x14ac:dyDescent="0.2">
      <c r="A291" s="1368" t="str">
        <f t="shared" si="196"/>
        <v>PL. KOMANG SENTAJO - KOTO SENTAJO2014</v>
      </c>
      <c r="B291" s="1373">
        <v>4</v>
      </c>
      <c r="C291" s="488" t="s">
        <v>1327</v>
      </c>
      <c r="D291" s="464" t="s">
        <v>2494</v>
      </c>
      <c r="E291" s="465"/>
      <c r="F291" s="466">
        <v>2014</v>
      </c>
      <c r="G291" s="620">
        <v>1914115810</v>
      </c>
      <c r="H291" s="464">
        <f t="shared" si="197"/>
        <v>4</v>
      </c>
      <c r="I291" s="467"/>
      <c r="J291" s="468">
        <f t="shared" si="198"/>
        <v>2023</v>
      </c>
      <c r="K291" s="490">
        <f t="shared" si="199"/>
        <v>0.91663825845486502</v>
      </c>
      <c r="L291" s="469">
        <f t="shared" si="200"/>
        <v>10</v>
      </c>
      <c r="M291" s="683">
        <f t="shared" si="201"/>
        <v>6</v>
      </c>
      <c r="N291" s="470">
        <f t="shared" si="202"/>
        <v>10</v>
      </c>
      <c r="O291" s="468">
        <f t="shared" si="203"/>
        <v>2023</v>
      </c>
      <c r="P291" s="616">
        <f t="shared" si="204"/>
        <v>2088191052.844049</v>
      </c>
      <c r="Q291" s="472">
        <f t="shared" si="205"/>
        <v>4002306862.844049</v>
      </c>
      <c r="R291" s="472">
        <f t="shared" si="206"/>
        <v>400230686.28440487</v>
      </c>
      <c r="S291" s="1189">
        <f t="shared" si="207"/>
        <v>2014</v>
      </c>
      <c r="T291" s="470">
        <f t="shared" si="208"/>
        <v>1</v>
      </c>
      <c r="U291" s="612">
        <f t="shared" si="209"/>
        <v>400230686.28440487</v>
      </c>
      <c r="V291" s="464">
        <f t="shared" si="210"/>
        <v>2014</v>
      </c>
      <c r="W291" s="612">
        <f t="shared" si="211"/>
        <v>3602076176.5596442</v>
      </c>
      <c r="X291" s="473"/>
      <c r="Y291" s="478"/>
      <c r="Z291" s="449"/>
      <c r="AA291" s="475" t="s">
        <v>4181</v>
      </c>
      <c r="AB291" s="491"/>
      <c r="AC291" s="491"/>
      <c r="AD291" s="567">
        <f>U298</f>
        <v>6180038833.4403391</v>
      </c>
      <c r="AE291" s="491"/>
      <c r="AF291" s="568"/>
      <c r="AG291" s="491"/>
      <c r="AH291" s="491"/>
      <c r="AI291" s="477"/>
      <c r="AJ291" s="478"/>
      <c r="AK291" s="479"/>
      <c r="AL291" s="480"/>
      <c r="AM291" s="474"/>
      <c r="AN291" s="481"/>
      <c r="AO291" s="474"/>
      <c r="AP291" s="476"/>
      <c r="AQ291" s="482"/>
      <c r="AR291" s="478"/>
      <c r="AS291" s="478"/>
      <c r="AT291" s="476"/>
      <c r="AU291" s="482"/>
      <c r="AV291" s="478"/>
      <c r="AW291" s="483"/>
      <c r="AX291" s="476"/>
      <c r="AY291" s="482"/>
      <c r="AZ291" s="478"/>
      <c r="BA291" s="484"/>
      <c r="BB291" s="474"/>
      <c r="BC291" s="485"/>
      <c r="BD291" s="485"/>
      <c r="BG291" s="487"/>
    </row>
    <row r="292" spans="1:59" s="486" customFormat="1" ht="18" customHeight="1" x14ac:dyDescent="0.2">
      <c r="A292" s="1368" t="str">
        <f t="shared" si="196"/>
        <v>PL. KOMANG SENTAJO - KOTO SENTAJO2015</v>
      </c>
      <c r="B292" s="1373"/>
      <c r="C292" s="488"/>
      <c r="D292" s="464"/>
      <c r="E292" s="465"/>
      <c r="F292" s="466">
        <v>2015</v>
      </c>
      <c r="G292" s="620">
        <v>0</v>
      </c>
      <c r="H292" s="464">
        <f t="shared" si="197"/>
        <v>9</v>
      </c>
      <c r="I292" s="467"/>
      <c r="J292" s="468">
        <f t="shared" si="198"/>
        <v>2023</v>
      </c>
      <c r="K292" s="490">
        <f t="shared" si="199"/>
        <v>0</v>
      </c>
      <c r="L292" s="469">
        <f t="shared" si="200"/>
        <v>0</v>
      </c>
      <c r="M292" s="683">
        <f t="shared" si="201"/>
        <v>0</v>
      </c>
      <c r="N292" s="470">
        <f t="shared" si="202"/>
        <v>9</v>
      </c>
      <c r="O292" s="468">
        <f t="shared" si="203"/>
        <v>2023</v>
      </c>
      <c r="P292" s="616">
        <f t="shared" si="204"/>
        <v>3602076176.5596442</v>
      </c>
      <c r="Q292" s="472">
        <f t="shared" si="205"/>
        <v>3602076176.5596442</v>
      </c>
      <c r="R292" s="472">
        <f t="shared" si="206"/>
        <v>400230686.28440487</v>
      </c>
      <c r="S292" s="1189">
        <f t="shared" si="207"/>
        <v>2015</v>
      </c>
      <c r="T292" s="470">
        <f t="shared" si="208"/>
        <v>1</v>
      </c>
      <c r="U292" s="612">
        <f t="shared" si="209"/>
        <v>400230686.28440487</v>
      </c>
      <c r="V292" s="464">
        <f t="shared" si="210"/>
        <v>2015</v>
      </c>
      <c r="W292" s="612">
        <f t="shared" si="211"/>
        <v>3201845490.2752395</v>
      </c>
      <c r="X292" s="473"/>
      <c r="Y292" s="478"/>
      <c r="Z292" s="449"/>
      <c r="AA292" s="475"/>
      <c r="AB292" s="491"/>
      <c r="AC292" s="491"/>
      <c r="AD292" s="567"/>
      <c r="AE292" s="491"/>
      <c r="AF292" s="568"/>
      <c r="AG292" s="491"/>
      <c r="AH292" s="491"/>
      <c r="AI292" s="477"/>
      <c r="AJ292" s="478"/>
      <c r="AK292" s="479"/>
      <c r="AL292" s="480"/>
      <c r="AM292" s="474"/>
      <c r="AN292" s="481"/>
      <c r="AO292" s="474"/>
      <c r="AP292" s="476"/>
      <c r="AQ292" s="482"/>
      <c r="AR292" s="478"/>
      <c r="AS292" s="478"/>
      <c r="AT292" s="476"/>
      <c r="AU292" s="482"/>
      <c r="AV292" s="478"/>
      <c r="AW292" s="483"/>
      <c r="AX292" s="476"/>
      <c r="AY292" s="482"/>
      <c r="AZ292" s="478"/>
      <c r="BA292" s="484"/>
      <c r="BB292" s="474"/>
      <c r="BC292" s="485"/>
      <c r="BD292" s="485"/>
      <c r="BG292" s="487"/>
    </row>
    <row r="293" spans="1:59" s="486" customFormat="1" ht="18" customHeight="1" x14ac:dyDescent="0.2">
      <c r="A293" s="1368" t="str">
        <f t="shared" si="196"/>
        <v>PL. KOMANG SENTAJO - KOTO SENTAJO2016</v>
      </c>
      <c r="B293" s="1373">
        <v>5</v>
      </c>
      <c r="C293" s="463" t="s">
        <v>1463</v>
      </c>
      <c r="D293" s="464" t="s">
        <v>2494</v>
      </c>
      <c r="E293" s="465"/>
      <c r="F293" s="466">
        <v>2016</v>
      </c>
      <c r="G293" s="620">
        <v>998055696.14999998</v>
      </c>
      <c r="H293" s="464">
        <f t="shared" si="197"/>
        <v>8</v>
      </c>
      <c r="I293" s="467"/>
      <c r="J293" s="468">
        <f t="shared" si="198"/>
        <v>2025</v>
      </c>
      <c r="K293" s="490">
        <f t="shared" si="199"/>
        <v>0.31171263547267686</v>
      </c>
      <c r="L293" s="469">
        <f t="shared" si="200"/>
        <v>5</v>
      </c>
      <c r="M293" s="683">
        <f t="shared" si="201"/>
        <v>2</v>
      </c>
      <c r="N293" s="470">
        <f t="shared" si="202"/>
        <v>10</v>
      </c>
      <c r="O293" s="468">
        <f t="shared" si="203"/>
        <v>2025</v>
      </c>
      <c r="P293" s="616">
        <f t="shared" si="204"/>
        <v>3201845490.2752395</v>
      </c>
      <c r="Q293" s="472">
        <f t="shared" si="205"/>
        <v>4199901186.4252396</v>
      </c>
      <c r="R293" s="472">
        <f t="shared" si="206"/>
        <v>419990118.64252394</v>
      </c>
      <c r="S293" s="1189">
        <f t="shared" si="207"/>
        <v>2016</v>
      </c>
      <c r="T293" s="470">
        <f t="shared" si="208"/>
        <v>1</v>
      </c>
      <c r="U293" s="612">
        <f t="shared" si="209"/>
        <v>419990118.64252394</v>
      </c>
      <c r="V293" s="464">
        <f t="shared" si="210"/>
        <v>2016</v>
      </c>
      <c r="W293" s="612">
        <f t="shared" si="211"/>
        <v>3779911067.7827158</v>
      </c>
      <c r="X293" s="473"/>
      <c r="Y293" s="478"/>
      <c r="Z293" s="449"/>
      <c r="AA293" s="492" t="s">
        <v>4182</v>
      </c>
      <c r="AB293" s="476"/>
      <c r="AC293" s="476"/>
      <c r="AD293" s="567">
        <f>AD286-AD291</f>
        <v>4582435778.5479021</v>
      </c>
      <c r="AE293" s="476"/>
      <c r="AF293" s="568"/>
      <c r="AG293" s="476"/>
      <c r="AH293" s="476"/>
      <c r="AI293" s="477"/>
      <c r="AJ293" s="478"/>
      <c r="AK293" s="479"/>
      <c r="AL293" s="480"/>
      <c r="AM293" s="474"/>
      <c r="AN293" s="481"/>
      <c r="AO293" s="474"/>
      <c r="AP293" s="476"/>
      <c r="AQ293" s="482"/>
      <c r="AR293" s="478"/>
      <c r="AS293" s="478"/>
      <c r="AT293" s="476"/>
      <c r="AU293" s="482"/>
      <c r="AV293" s="478"/>
      <c r="AW293" s="483"/>
      <c r="AX293" s="476"/>
      <c r="AY293" s="482"/>
      <c r="AZ293" s="478"/>
      <c r="BA293" s="484"/>
      <c r="BB293" s="474"/>
      <c r="BC293" s="485"/>
      <c r="BD293" s="485"/>
      <c r="BG293" s="487"/>
    </row>
    <row r="294" spans="1:59" s="486" customFormat="1" ht="18" customHeight="1" x14ac:dyDescent="0.2">
      <c r="A294" s="1368" t="str">
        <f t="shared" si="196"/>
        <v>PL. KOMANG SENTAJO - KOTO SENTAJO2017</v>
      </c>
      <c r="B294" s="687"/>
      <c r="C294" s="463"/>
      <c r="D294" s="464"/>
      <c r="E294" s="465"/>
      <c r="F294" s="466">
        <f>F293+1</f>
        <v>2017</v>
      </c>
      <c r="G294" s="620">
        <v>0</v>
      </c>
      <c r="H294" s="464">
        <f t="shared" si="197"/>
        <v>9</v>
      </c>
      <c r="I294" s="467"/>
      <c r="J294" s="468">
        <f t="shared" si="198"/>
        <v>2025</v>
      </c>
      <c r="K294" s="490">
        <f t="shared" si="199"/>
        <v>0</v>
      </c>
      <c r="L294" s="469">
        <f t="shared" si="200"/>
        <v>0</v>
      </c>
      <c r="M294" s="683">
        <f t="shared" si="201"/>
        <v>0</v>
      </c>
      <c r="N294" s="470">
        <f t="shared" si="202"/>
        <v>9</v>
      </c>
      <c r="O294" s="468">
        <f t="shared" si="203"/>
        <v>2025</v>
      </c>
      <c r="P294" s="616">
        <f t="shared" si="204"/>
        <v>3779911067.7827158</v>
      </c>
      <c r="Q294" s="472">
        <f t="shared" si="205"/>
        <v>3779911067.7827158</v>
      </c>
      <c r="R294" s="472">
        <f t="shared" si="206"/>
        <v>419990118.64252394</v>
      </c>
      <c r="S294" s="1189">
        <f t="shared" si="207"/>
        <v>2017</v>
      </c>
      <c r="T294" s="470">
        <f t="shared" si="208"/>
        <v>1</v>
      </c>
      <c r="U294" s="612">
        <f t="shared" si="209"/>
        <v>419990118.64252394</v>
      </c>
      <c r="V294" s="464">
        <f t="shared" si="210"/>
        <v>2017</v>
      </c>
      <c r="W294" s="612">
        <f t="shared" si="211"/>
        <v>3359920949.140192</v>
      </c>
      <c r="X294" s="473"/>
      <c r="Y294" s="478"/>
      <c r="Z294" s="449"/>
      <c r="AA294" s="531" t="s">
        <v>4183</v>
      </c>
      <c r="AB294" s="496"/>
      <c r="AC294" s="496"/>
      <c r="AD294" s="569">
        <f>AD293-W298</f>
        <v>0</v>
      </c>
      <c r="AE294" s="476"/>
      <c r="AF294" s="568"/>
      <c r="AG294" s="476"/>
      <c r="AH294" s="476"/>
      <c r="AI294" s="477"/>
      <c r="AJ294" s="478"/>
      <c r="AK294" s="479"/>
      <c r="AL294" s="480"/>
      <c r="AM294" s="474"/>
      <c r="AN294" s="481"/>
      <c r="AO294" s="474"/>
      <c r="AP294" s="476"/>
      <c r="AQ294" s="482"/>
      <c r="AR294" s="478"/>
      <c r="AS294" s="478"/>
      <c r="AT294" s="476"/>
      <c r="AU294" s="482"/>
      <c r="AV294" s="478"/>
      <c r="AW294" s="483"/>
      <c r="AX294" s="476"/>
      <c r="AY294" s="482"/>
      <c r="AZ294" s="478"/>
      <c r="BA294" s="484"/>
      <c r="BB294" s="474"/>
      <c r="BC294" s="485"/>
      <c r="BD294" s="485"/>
      <c r="BG294" s="487"/>
    </row>
    <row r="295" spans="1:59" s="486" customFormat="1" ht="18" customHeight="1" x14ac:dyDescent="0.2">
      <c r="A295" s="1368" t="str">
        <f t="shared" si="196"/>
        <v>PL. KOMANG SENTAJO - KOTO SENTAJO2018</v>
      </c>
      <c r="B295" s="687"/>
      <c r="C295" s="463"/>
      <c r="D295" s="464"/>
      <c r="E295" s="465"/>
      <c r="F295" s="466">
        <f>F294+1</f>
        <v>2018</v>
      </c>
      <c r="G295" s="620">
        <v>0</v>
      </c>
      <c r="H295" s="464">
        <f t="shared" si="197"/>
        <v>8</v>
      </c>
      <c r="I295" s="467"/>
      <c r="J295" s="468">
        <f t="shared" si="198"/>
        <v>2025</v>
      </c>
      <c r="K295" s="490">
        <f t="shared" si="199"/>
        <v>0</v>
      </c>
      <c r="L295" s="469">
        <f t="shared" si="200"/>
        <v>0</v>
      </c>
      <c r="M295" s="683">
        <f t="shared" si="201"/>
        <v>0</v>
      </c>
      <c r="N295" s="470">
        <f t="shared" si="202"/>
        <v>8</v>
      </c>
      <c r="O295" s="468">
        <f t="shared" si="203"/>
        <v>2025</v>
      </c>
      <c r="P295" s="616">
        <f t="shared" si="204"/>
        <v>3359920949.140192</v>
      </c>
      <c r="Q295" s="472">
        <f t="shared" si="205"/>
        <v>3359920949.140192</v>
      </c>
      <c r="R295" s="472">
        <f t="shared" si="206"/>
        <v>419990118.64252394</v>
      </c>
      <c r="S295" s="1189">
        <f t="shared" si="207"/>
        <v>2018</v>
      </c>
      <c r="T295" s="470">
        <f t="shared" si="208"/>
        <v>1</v>
      </c>
      <c r="U295" s="612">
        <f t="shared" si="209"/>
        <v>419990118.64252394</v>
      </c>
      <c r="V295" s="464">
        <f t="shared" si="210"/>
        <v>2018</v>
      </c>
      <c r="W295" s="612">
        <f t="shared" si="211"/>
        <v>2939930830.4976683</v>
      </c>
      <c r="X295" s="473"/>
      <c r="Y295" s="478"/>
      <c r="Z295" s="449"/>
      <c r="AA295" s="573"/>
      <c r="AB295" s="476"/>
      <c r="AC295" s="476"/>
      <c r="AD295" s="568"/>
      <c r="AE295" s="476"/>
      <c r="AF295" s="568"/>
      <c r="AG295" s="476"/>
      <c r="AH295" s="476"/>
      <c r="AI295" s="477"/>
      <c r="AJ295" s="478"/>
      <c r="AK295" s="479"/>
      <c r="AL295" s="480"/>
      <c r="AM295" s="474"/>
      <c r="AN295" s="481"/>
      <c r="AO295" s="474"/>
      <c r="AP295" s="476"/>
      <c r="AQ295" s="482"/>
      <c r="AR295" s="478"/>
      <c r="AS295" s="478"/>
      <c r="AT295" s="476"/>
      <c r="AU295" s="482"/>
      <c r="AV295" s="478"/>
      <c r="AW295" s="483"/>
      <c r="AX295" s="476"/>
      <c r="AY295" s="482"/>
      <c r="AZ295" s="478"/>
      <c r="BA295" s="484"/>
      <c r="BB295" s="474"/>
      <c r="BC295" s="485"/>
      <c r="BD295" s="485"/>
      <c r="BG295" s="487"/>
    </row>
    <row r="296" spans="1:59" s="486" customFormat="1" ht="18" customHeight="1" x14ac:dyDescent="0.2">
      <c r="A296" s="1368" t="str">
        <f t="shared" si="196"/>
        <v>PL. KOMANG SENTAJO - KOTO SENTAJO2019</v>
      </c>
      <c r="B296" s="687">
        <v>6</v>
      </c>
      <c r="C296" s="463" t="s">
        <v>5696</v>
      </c>
      <c r="D296" s="464"/>
      <c r="E296" s="465"/>
      <c r="F296" s="466">
        <v>2019</v>
      </c>
      <c r="G296" s="620">
        <v>2151664479</v>
      </c>
      <c r="H296" s="464">
        <f>IF(N295-(F296-F295)&lt;=0,0,(N295-(F296-F295)))</f>
        <v>7</v>
      </c>
      <c r="I296" s="467"/>
      <c r="J296" s="468">
        <f>(F296+N296)-1</f>
        <v>2028</v>
      </c>
      <c r="K296" s="490">
        <f>IF(G296=0,0,IF(H296=10,100%,G296/W295))</f>
        <v>0.73187588520093472</v>
      </c>
      <c r="L296" s="469">
        <f>IF(K296=0%,0,IF(K296&lt;=30%,2,IF(K296&lt;=60%,5,10)))</f>
        <v>10</v>
      </c>
      <c r="M296" s="683">
        <f>IF(OR(AND(ISBLANK(E296),ISBLANK(G296)),ISTEXT(E296),ISTEXT(G296)),"",IF(H296+L296&gt;$H$285,$H$285-H296,L296))</f>
        <v>3</v>
      </c>
      <c r="N296" s="470">
        <f>IF(OR(AND(ISBLANK(F296),ISBLANK(G296)),ISTEXT(F296),ISTEXT(G296)),"",H296+M296)</f>
        <v>10</v>
      </c>
      <c r="O296" s="468">
        <f>(F296+N296)-1</f>
        <v>2028</v>
      </c>
      <c r="P296" s="616">
        <f>W295</f>
        <v>2939930830.4976683</v>
      </c>
      <c r="Q296" s="472">
        <f>P296+G296</f>
        <v>5091595309.4976683</v>
      </c>
      <c r="R296" s="472">
        <f>IF(L296=0,R295,Q296/N296)</f>
        <v>509159530.94976681</v>
      </c>
      <c r="S296" s="1189">
        <f>F296</f>
        <v>2019</v>
      </c>
      <c r="T296" s="470">
        <f>S296-S295</f>
        <v>1</v>
      </c>
      <c r="U296" s="612">
        <f>R296*T296</f>
        <v>509159530.94976681</v>
      </c>
      <c r="V296" s="464">
        <f>F296</f>
        <v>2019</v>
      </c>
      <c r="W296" s="612">
        <f>IF(OR(AND(ISBLANK(E296),ISBLANK(G296)),ISTEXT(E296),ISTEXT(G296)),"",Q296-U296)</f>
        <v>4582435778.5479012</v>
      </c>
      <c r="X296" s="473"/>
      <c r="Y296" s="478"/>
      <c r="Z296" s="449"/>
      <c r="AA296" s="573"/>
      <c r="AB296" s="476"/>
      <c r="AC296" s="476"/>
      <c r="AD296" s="568"/>
      <c r="AE296" s="476"/>
      <c r="AF296" s="568"/>
      <c r="AG296" s="476"/>
      <c r="AH296" s="476"/>
      <c r="AI296" s="477"/>
      <c r="AJ296" s="478"/>
      <c r="AK296" s="479"/>
      <c r="AL296" s="480"/>
      <c r="AM296" s="474"/>
      <c r="AN296" s="481"/>
      <c r="AO296" s="474"/>
      <c r="AP296" s="476"/>
      <c r="AQ296" s="482"/>
      <c r="AR296" s="478"/>
      <c r="AS296" s="478"/>
      <c r="AT296" s="476"/>
      <c r="AU296" s="482"/>
      <c r="AV296" s="478"/>
      <c r="AW296" s="483"/>
      <c r="AX296" s="476"/>
      <c r="AY296" s="482"/>
      <c r="AZ296" s="478"/>
      <c r="BA296" s="484"/>
      <c r="BB296" s="474"/>
      <c r="BC296" s="485"/>
      <c r="BD296" s="485"/>
      <c r="BG296" s="487"/>
    </row>
    <row r="297" spans="1:59" s="486" customFormat="1" ht="18" customHeight="1" x14ac:dyDescent="0.2">
      <c r="A297" s="1369"/>
      <c r="B297" s="687"/>
      <c r="C297" s="463"/>
      <c r="D297" s="464"/>
      <c r="E297" s="465"/>
      <c r="F297" s="634"/>
      <c r="G297" s="620"/>
      <c r="H297" s="469" t="str">
        <f>IF(OR(AND(ISBLANK(E297),ISBLANK(G297)),ISTEXT(E297),ISTEXT(G297)),"",IF(#REF!-(YEAR(E297)-YEAR(#REF!))&lt;0,0,#REF!-(YEAR(E297)-YEAR(#REF!))))</f>
        <v/>
      </c>
      <c r="I297" s="467" t="str">
        <f>IF(OR(AND(ISBLANK(E297),ISBLANK(G297)),ISTEXT(E297),ISTEXT(G297)),"",IF(#REF!-E297&lt;0,0,#REF!-E297))</f>
        <v/>
      </c>
      <c r="J297" s="498" t="str">
        <f>IF(OR(AND(ISBLANK(E297),ISBLANK(G297)),ISTEXT(E297),ISTEXT(G297)),"",#REF!)</f>
        <v/>
      </c>
      <c r="K297" s="498"/>
      <c r="L297" s="469" t="str">
        <f>IF(OR(AND(ISBLANK(E297),ISBLANK(G297)),ISTEXT(E297),ISTEXT(G297)),"",ROUNDDOWN(G297/SUM($G$57:G294)*$H$57,0))</f>
        <v/>
      </c>
      <c r="M297" s="683" t="str">
        <f t="shared" si="201"/>
        <v/>
      </c>
      <c r="N297" s="470" t="str">
        <f>IF(OR(AND(ISBLANK(E297),ISBLANK(G297)),ISTEXT(E297),ISTEXT(G297)),"",H297+M297)</f>
        <v/>
      </c>
      <c r="O297" s="498" t="str">
        <f>IF(OR(AND(ISBLANK(E297),ISBLANK(G297)),ISTEXT(E297),ISTEXT(G297)),"",DATE(YEAR($J297)+M297,MONTH($J297),DAY($J297)))</f>
        <v/>
      </c>
      <c r="P297" s="748" t="str">
        <f>IF(OR(AND(ISBLANK(E297),ISBLANK(G297)),ISTEXT(E297),ISTEXT(G297)),"",#REF!-#REF!*(IF(J297&lt;E297,J297,E297)-#REF!))</f>
        <v/>
      </c>
      <c r="Q297" s="500" t="str">
        <f>IF(OR(AND(ISBLANK(E297),ISBLANK(G297)),ISTEXT(E297),ISTEXT(G297)),"",P297+G297)</f>
        <v/>
      </c>
      <c r="R297" s="501" t="str">
        <f>IF(OR(AND(ISBLANK(E297),ISBLANK(G297)),ISTEXT(E297),ISTEXT(G297)),"",IF(OR(E297&lt;DATE(2004,12,31),#REF!=0),0,Q297/#REF!))</f>
        <v/>
      </c>
      <c r="S297" s="502" t="str">
        <f>IF(OR(AND(ISBLANK(E297),ISBLANK(G297)),ISTEXT(E297),ISTEXT(G297)),"",IF(YEAR(E297)&lt;=YEAR(#REF!),"-",YEAR(E297)-1))</f>
        <v/>
      </c>
      <c r="T297" s="502"/>
      <c r="U297" s="612" t="str">
        <f>IF(OR(AND(ISBLANK(E297),ISBLANK(G297)),ISTEXT(E297),ISTEXT(G297)),"",IF(AND(J297&lt;=DATE(2004,12,31),E297&gt;J297),SUM($G297:G297),#REF!+#REF!+#REF!*IF(YEAR(E297)&lt;=YEAR(#REF!),0,(IF(DATE(YEAR(E297)-1,12,31)&gt;J297,J297,DATE(YEAR(E297)-1,12,31))-#REF!))))</f>
        <v/>
      </c>
      <c r="V297" s="503" t="str">
        <f>IF(OR(AND(ISBLANK(E297),ISBLANK(G297)),ISTEXT(E297),ISTEXT(G297)),"",IF(YEAR(E297)=YEAR(E298),E298,DATE(YEAR(E297),12,31)))</f>
        <v/>
      </c>
      <c r="W297" s="612" t="str">
        <f>IF(OR(AND(ISBLANK(E297),ISBLANK(G297)),ISTEXT(E297),ISTEXT(G297)),"",IF(Q297=0,0,IF(AND(J297&lt;=DATE(2004,12,31),E297&gt;=J297),Q297-U297,Q297-#REF!)))</f>
        <v/>
      </c>
      <c r="X297" s="504" t="str">
        <f>IF(OR(AND(ISBLANK(E297),ISBLANK(G297)),ISTEXT(E297),ISTEXT(G297)),"",$D$57&amp;"//"&amp;TEXT($E$57,"dd-mmm-yyyy")&amp;"//"&amp;#REF!)</f>
        <v/>
      </c>
      <c r="Y297" s="476"/>
      <c r="Z297" s="476"/>
      <c r="AA297" s="476"/>
      <c r="AB297" s="476"/>
      <c r="AC297" s="476"/>
      <c r="AD297" s="568"/>
      <c r="AE297" s="476"/>
      <c r="AF297" s="568"/>
      <c r="AG297" s="476"/>
      <c r="AH297" s="476"/>
      <c r="AI297" s="477"/>
      <c r="AJ297" s="478"/>
      <c r="AK297" s="479"/>
      <c r="AL297" s="480"/>
      <c r="AM297" s="474"/>
      <c r="AN297" s="481"/>
      <c r="AO297" s="474"/>
      <c r="AP297" s="476"/>
      <c r="AQ297" s="482"/>
      <c r="AR297" s="478"/>
      <c r="AS297" s="478"/>
      <c r="AT297" s="476"/>
      <c r="AU297" s="482"/>
      <c r="AV297" s="478"/>
      <c r="AW297" s="483"/>
      <c r="AX297" s="476"/>
      <c r="AY297" s="482"/>
      <c r="AZ297" s="478"/>
      <c r="BA297" s="484"/>
      <c r="BB297" s="474"/>
      <c r="BC297" s="485"/>
      <c r="BD297" s="485"/>
      <c r="BG297" s="487"/>
    </row>
    <row r="298" spans="1:59" s="551" customFormat="1" ht="18" customHeight="1" x14ac:dyDescent="0.2">
      <c r="A298" s="1370" t="s">
        <v>4184</v>
      </c>
      <c r="B298" s="2039" t="s">
        <v>4184</v>
      </c>
      <c r="C298" s="2040"/>
      <c r="D298" s="2040"/>
      <c r="E298" s="2040"/>
      <c r="F298" s="2041"/>
      <c r="G298" s="625">
        <f>SUM(G285:G297)</f>
        <v>10762474611.988241</v>
      </c>
      <c r="H298" s="534"/>
      <c r="I298" s="535"/>
      <c r="J298" s="536"/>
      <c r="K298" s="536"/>
      <c r="L298" s="534"/>
      <c r="M298" s="706"/>
      <c r="N298" s="537"/>
      <c r="O298" s="536"/>
      <c r="P298" s="751"/>
      <c r="Q298" s="538"/>
      <c r="R298" s="539"/>
      <c r="S298" s="540"/>
      <c r="T298" s="540"/>
      <c r="U298" s="637">
        <f>SUM(U285:U297)</f>
        <v>6180038833.4403391</v>
      </c>
      <c r="V298" s="541"/>
      <c r="W298" s="637">
        <f>G298-U298</f>
        <v>4582435778.5479021</v>
      </c>
      <c r="X298" s="635"/>
      <c r="Y298" s="426"/>
      <c r="Z298" s="426"/>
      <c r="AA298" s="426"/>
      <c r="AB298" s="426"/>
      <c r="AC298" s="426"/>
      <c r="AD298" s="564"/>
      <c r="AE298" s="426"/>
      <c r="AF298" s="564">
        <v>6628630678.5496902</v>
      </c>
      <c r="AG298" s="426"/>
      <c r="AH298" s="426"/>
      <c r="AI298" s="542"/>
      <c r="AJ298" s="543"/>
      <c r="AK298" s="432"/>
      <c r="AL298" s="544"/>
      <c r="AM298" s="545"/>
      <c r="AN298" s="546"/>
      <c r="AO298" s="545"/>
      <c r="AP298" s="426"/>
      <c r="AQ298" s="547"/>
      <c r="AR298" s="543"/>
      <c r="AS298" s="543"/>
      <c r="AT298" s="426"/>
      <c r="AU298" s="547"/>
      <c r="AV298" s="543"/>
      <c r="AW298" s="548"/>
      <c r="AX298" s="426"/>
      <c r="AY298" s="547"/>
      <c r="AZ298" s="543"/>
      <c r="BA298" s="549"/>
      <c r="BB298" s="545"/>
      <c r="BC298" s="550"/>
      <c r="BD298" s="550"/>
      <c r="BG298" s="552"/>
    </row>
    <row r="302" spans="1:59" s="422" customFormat="1" ht="18" customHeight="1" x14ac:dyDescent="0.2">
      <c r="A302" s="1366">
        <f>C302</f>
        <v>29</v>
      </c>
      <c r="B302" s="742" t="s">
        <v>4187</v>
      </c>
      <c r="C302" s="556">
        <v>29</v>
      </c>
      <c r="D302" s="553" t="str">
        <f>VLOOKUP(C302,RUAS,2,FALSE)</f>
        <v>JL. STM (BELIBIS)</v>
      </c>
      <c r="E302" s="553"/>
      <c r="F302" s="421"/>
      <c r="G302" s="611"/>
      <c r="I302" s="423"/>
      <c r="J302" s="424"/>
      <c r="K302" s="424"/>
      <c r="M302" s="680"/>
      <c r="P302" s="611"/>
      <c r="U302" s="611"/>
      <c r="W302" s="611"/>
      <c r="Y302" s="425"/>
      <c r="Z302" s="425"/>
      <c r="AA302" s="425"/>
      <c r="AB302" s="425"/>
      <c r="AC302" s="425"/>
      <c r="AD302" s="563"/>
      <c r="AE302" s="425"/>
      <c r="AF302" s="563"/>
      <c r="AG302" s="425"/>
      <c r="AH302" s="425"/>
      <c r="AI302" s="425"/>
      <c r="AJ302" s="425"/>
      <c r="AK302" s="425"/>
      <c r="AL302" s="425"/>
      <c r="AM302" s="425"/>
      <c r="AN302" s="425"/>
      <c r="AO302" s="425"/>
      <c r="AP302" s="425"/>
      <c r="AQ302" s="425"/>
      <c r="AR302" s="425"/>
      <c r="AS302" s="425"/>
      <c r="AT302" s="425"/>
      <c r="AU302" s="425"/>
      <c r="AV302" s="425"/>
      <c r="AW302" s="425"/>
      <c r="AX302" s="425"/>
      <c r="AY302" s="425"/>
      <c r="AZ302" s="425"/>
      <c r="BA302" s="425"/>
      <c r="BB302" s="425"/>
    </row>
    <row r="303" spans="1:59" s="431" customFormat="1" ht="18" customHeight="1" x14ac:dyDescent="0.2">
      <c r="A303" s="1367"/>
      <c r="B303" s="1968" t="s">
        <v>5</v>
      </c>
      <c r="C303" s="1968" t="s">
        <v>2280</v>
      </c>
      <c r="D303" s="1968" t="s">
        <v>4157</v>
      </c>
      <c r="E303" s="1968" t="s">
        <v>4158</v>
      </c>
      <c r="F303" s="1968"/>
      <c r="G303" s="1969" t="s">
        <v>4159</v>
      </c>
      <c r="H303" s="1968" t="s">
        <v>4160</v>
      </c>
      <c r="I303" s="1968"/>
      <c r="J303" s="1968" t="s">
        <v>4185</v>
      </c>
      <c r="K303" s="1964" t="s">
        <v>4162</v>
      </c>
      <c r="L303" s="1968" t="s">
        <v>4163</v>
      </c>
      <c r="M303" s="1971" t="s">
        <v>4164</v>
      </c>
      <c r="N303" s="1962" t="s">
        <v>4165</v>
      </c>
      <c r="O303" s="1968" t="s">
        <v>4166</v>
      </c>
      <c r="P303" s="1972" t="s">
        <v>4167</v>
      </c>
      <c r="Q303" s="1973"/>
      <c r="R303" s="1164" t="s">
        <v>4186</v>
      </c>
      <c r="S303" s="1972" t="s">
        <v>4169</v>
      </c>
      <c r="T303" s="1974"/>
      <c r="U303" s="1973"/>
      <c r="V303" s="1975" t="s">
        <v>4170</v>
      </c>
      <c r="W303" s="1975"/>
      <c r="X303" s="1960" t="s">
        <v>4171</v>
      </c>
      <c r="Y303" s="1959"/>
      <c r="Z303" s="1165"/>
      <c r="AA303" s="426"/>
      <c r="AB303" s="426"/>
      <c r="AC303" s="426"/>
      <c r="AD303" s="564"/>
      <c r="AE303" s="426"/>
      <c r="AF303" s="564"/>
      <c r="AG303" s="426"/>
      <c r="AH303" s="426"/>
      <c r="AI303" s="427"/>
      <c r="AJ303" s="427"/>
      <c r="AK303" s="427"/>
      <c r="AL303" s="427"/>
      <c r="AM303" s="428"/>
      <c r="AN303" s="427"/>
      <c r="AO303" s="427"/>
      <c r="AP303" s="426"/>
      <c r="AQ303" s="427"/>
      <c r="AR303" s="427"/>
      <c r="AS303" s="427"/>
      <c r="AT303" s="426"/>
      <c r="AU303" s="427"/>
      <c r="AV303" s="427"/>
      <c r="AW303" s="427"/>
      <c r="AX303" s="426"/>
      <c r="AY303" s="427"/>
      <c r="AZ303" s="427"/>
      <c r="BA303" s="427"/>
      <c r="BB303" s="429"/>
      <c r="BC303" s="430"/>
      <c r="BD303" s="430"/>
    </row>
    <row r="304" spans="1:59" s="431" customFormat="1" ht="18" customHeight="1" x14ac:dyDescent="0.2">
      <c r="A304" s="1367"/>
      <c r="B304" s="1968"/>
      <c r="C304" s="1968"/>
      <c r="D304" s="1968"/>
      <c r="E304" s="1968"/>
      <c r="F304" s="1968"/>
      <c r="G304" s="1969"/>
      <c r="H304" s="1968"/>
      <c r="I304" s="1968"/>
      <c r="J304" s="1968"/>
      <c r="K304" s="1970"/>
      <c r="L304" s="1968"/>
      <c r="M304" s="1971"/>
      <c r="N304" s="1963"/>
      <c r="O304" s="1968"/>
      <c r="P304" s="2037" t="s">
        <v>4172</v>
      </c>
      <c r="Q304" s="1960" t="s">
        <v>4173</v>
      </c>
      <c r="R304" s="1962" t="s">
        <v>4159</v>
      </c>
      <c r="S304" s="1962" t="s">
        <v>4174</v>
      </c>
      <c r="T304" s="1964" t="s">
        <v>4175</v>
      </c>
      <c r="U304" s="1966" t="s">
        <v>4159</v>
      </c>
      <c r="V304" s="1975"/>
      <c r="W304" s="1975"/>
      <c r="X304" s="1976"/>
      <c r="Y304" s="1959"/>
      <c r="Z304" s="1165"/>
      <c r="AA304" s="426"/>
      <c r="AB304" s="426"/>
      <c r="AC304" s="426"/>
      <c r="AD304" s="564"/>
      <c r="AE304" s="426"/>
      <c r="AF304" s="564"/>
      <c r="AG304" s="426"/>
      <c r="AH304" s="426"/>
      <c r="AI304" s="427"/>
      <c r="AJ304" s="427"/>
      <c r="AK304" s="426"/>
      <c r="AL304" s="427"/>
      <c r="AM304" s="428"/>
      <c r="AN304" s="427"/>
      <c r="AO304" s="427"/>
      <c r="AP304" s="432"/>
      <c r="AQ304" s="427"/>
      <c r="AR304" s="427"/>
      <c r="AS304" s="427"/>
      <c r="AT304" s="432"/>
      <c r="AU304" s="427"/>
      <c r="AV304" s="427"/>
      <c r="AW304" s="427"/>
      <c r="AX304" s="432"/>
      <c r="AY304" s="427"/>
      <c r="AZ304" s="427"/>
      <c r="BA304" s="427"/>
      <c r="BB304" s="429"/>
      <c r="BC304" s="430"/>
      <c r="BD304" s="430"/>
    </row>
    <row r="305" spans="1:59" s="431" customFormat="1" ht="18" customHeight="1" x14ac:dyDescent="0.2">
      <c r="A305" s="1367"/>
      <c r="B305" s="1968"/>
      <c r="C305" s="1968"/>
      <c r="D305" s="1968"/>
      <c r="E305" s="433" t="s">
        <v>4176</v>
      </c>
      <c r="F305" s="434" t="s">
        <v>2288</v>
      </c>
      <c r="G305" s="1969"/>
      <c r="H305" s="1162" t="s">
        <v>2288</v>
      </c>
      <c r="I305" s="1162" t="s">
        <v>4177</v>
      </c>
      <c r="J305" s="1968"/>
      <c r="K305" s="1965"/>
      <c r="L305" s="435" t="s">
        <v>2288</v>
      </c>
      <c r="M305" s="681" t="s">
        <v>2288</v>
      </c>
      <c r="N305" s="1162" t="s">
        <v>2288</v>
      </c>
      <c r="O305" s="1968"/>
      <c r="P305" s="2038"/>
      <c r="Q305" s="1961"/>
      <c r="R305" s="1963"/>
      <c r="S305" s="1963"/>
      <c r="T305" s="1965"/>
      <c r="U305" s="1967"/>
      <c r="V305" s="1162" t="s">
        <v>4178</v>
      </c>
      <c r="W305" s="1166" t="s">
        <v>4159</v>
      </c>
      <c r="X305" s="1961"/>
      <c r="Y305" s="436"/>
      <c r="Z305" s="436"/>
      <c r="AA305" s="426"/>
      <c r="AB305" s="426"/>
      <c r="AC305" s="426"/>
      <c r="AD305" s="564"/>
      <c r="AE305" s="426"/>
      <c r="AF305" s="564"/>
      <c r="AG305" s="426"/>
      <c r="AH305" s="426"/>
      <c r="AI305" s="427"/>
      <c r="AJ305" s="432"/>
      <c r="AK305" s="432"/>
      <c r="AL305" s="427"/>
      <c r="AM305" s="428"/>
      <c r="AN305" s="432"/>
      <c r="AO305" s="427"/>
      <c r="AP305" s="432"/>
      <c r="AQ305" s="432"/>
      <c r="AR305" s="427"/>
      <c r="AS305" s="427"/>
      <c r="AT305" s="432"/>
      <c r="AU305" s="432"/>
      <c r="AV305" s="427"/>
      <c r="AW305" s="427"/>
      <c r="AX305" s="432"/>
      <c r="AY305" s="432"/>
      <c r="AZ305" s="427"/>
      <c r="BA305" s="427"/>
      <c r="BB305" s="429"/>
      <c r="BC305" s="430"/>
      <c r="BD305" s="430"/>
    </row>
    <row r="306" spans="1:59" s="461" customFormat="1" ht="18" customHeight="1" x14ac:dyDescent="0.2">
      <c r="A306" s="1368" t="str">
        <f>$D$302&amp;S306</f>
        <v>JL. STM (BELIBIS)2001</v>
      </c>
      <c r="B306" s="1373">
        <v>1</v>
      </c>
      <c r="C306" s="532" t="s">
        <v>529</v>
      </c>
      <c r="D306" s="437" t="s">
        <v>2494</v>
      </c>
      <c r="E306" s="438"/>
      <c r="F306" s="439">
        <v>2001</v>
      </c>
      <c r="G306" s="623">
        <v>2275000000</v>
      </c>
      <c r="H306" s="440">
        <f>VLOOKUP(LEFT(D306,8),UE,4)</f>
        <v>10</v>
      </c>
      <c r="I306" s="441"/>
      <c r="J306" s="442">
        <f>(F306+N306)-1</f>
        <v>2010</v>
      </c>
      <c r="K306" s="443"/>
      <c r="L306" s="440"/>
      <c r="M306" s="746">
        <f>IF(H306+L306&gt;$H306,$H306-H306,L306)</f>
        <v>0</v>
      </c>
      <c r="N306" s="444">
        <f>H306+M306</f>
        <v>10</v>
      </c>
      <c r="O306" s="442">
        <f>(F306+N306)-1</f>
        <v>2010</v>
      </c>
      <c r="P306" s="617">
        <f>G306</f>
        <v>2275000000</v>
      </c>
      <c r="Q306" s="445">
        <v>0</v>
      </c>
      <c r="R306" s="445">
        <f>P306/N306</f>
        <v>227500000</v>
      </c>
      <c r="S306" s="446">
        <f>F306</f>
        <v>2001</v>
      </c>
      <c r="T306" s="447">
        <v>1</v>
      </c>
      <c r="U306" s="613">
        <f>R306*T306</f>
        <v>227500000</v>
      </c>
      <c r="V306" s="442">
        <f>F306</f>
        <v>2001</v>
      </c>
      <c r="W306" s="617">
        <f>IF(OR(AND(ISBLANK(E306),ISBLANK(G306)),ISTEXT(E306),ISTEXT(G306)),"",G306-R306)</f>
        <v>2047500000</v>
      </c>
      <c r="X306" s="448"/>
      <c r="Y306" s="449"/>
      <c r="Z306" s="449"/>
      <c r="AA306" s="450" t="s">
        <v>4179</v>
      </c>
      <c r="AB306" s="451"/>
      <c r="AC306" s="451"/>
      <c r="AD306" s="565"/>
      <c r="AE306" s="452"/>
      <c r="AF306" s="571"/>
      <c r="AG306" s="452"/>
      <c r="AH306" s="452"/>
      <c r="AI306" s="453"/>
      <c r="AJ306" s="449"/>
      <c r="AK306" s="453"/>
      <c r="AL306" s="454"/>
      <c r="AM306" s="455"/>
      <c r="AN306" s="456"/>
      <c r="AO306" s="455"/>
      <c r="AP306" s="452"/>
      <c r="AQ306" s="457"/>
      <c r="AR306" s="449"/>
      <c r="AS306" s="449"/>
      <c r="AT306" s="452"/>
      <c r="AU306" s="457"/>
      <c r="AV306" s="449"/>
      <c r="AW306" s="458"/>
      <c r="AX306" s="452"/>
      <c r="AY306" s="457"/>
      <c r="AZ306" s="449"/>
      <c r="BA306" s="459"/>
      <c r="BB306" s="455"/>
      <c r="BC306" s="460"/>
      <c r="BD306" s="460"/>
      <c r="BG306" s="462"/>
    </row>
    <row r="307" spans="1:59" s="486" customFormat="1" ht="18" customHeight="1" x14ac:dyDescent="0.2">
      <c r="A307" s="1368" t="str">
        <f t="shared" ref="A307:A318" si="212">$D$302&amp;S307</f>
        <v>JL. STM (BELIBIS)2007</v>
      </c>
      <c r="B307" s="1373"/>
      <c r="C307" s="463"/>
      <c r="D307" s="464"/>
      <c r="E307" s="465"/>
      <c r="F307" s="466">
        <v>2007</v>
      </c>
      <c r="G307" s="620">
        <v>0</v>
      </c>
      <c r="H307" s="464">
        <f>IF(N306-(F307-F306)&lt;=0,0,(N306-(F307-F306)))</f>
        <v>4</v>
      </c>
      <c r="I307" s="467"/>
      <c r="J307" s="468">
        <f>(F307+N307)-1</f>
        <v>2010</v>
      </c>
      <c r="K307" s="490">
        <f>IF(G307=0,0,IF(H307=10,100%,G307/W306))</f>
        <v>0</v>
      </c>
      <c r="L307" s="469">
        <f>IF(K307=0%,0,IF(K307&lt;=30%,2,IF(K307&lt;=60%,5,10)))</f>
        <v>0</v>
      </c>
      <c r="M307" s="683">
        <f>IF(OR(AND(ISBLANK(E307),ISBLANK(G307)),ISTEXT(E307),ISTEXT(G307)),"",IF(H307+L307&gt;$H$306,$H$306-H307,L307))</f>
        <v>0</v>
      </c>
      <c r="N307" s="470">
        <f>IF(OR(AND(ISBLANK(F307),ISBLANK(G307)),ISTEXT(F307),ISTEXT(G307)),"",H307+M307)</f>
        <v>4</v>
      </c>
      <c r="O307" s="468">
        <f>(F307+N307)-1</f>
        <v>2010</v>
      </c>
      <c r="P307" s="616">
        <f>W306</f>
        <v>2047500000</v>
      </c>
      <c r="Q307" s="472">
        <f>P307+G307</f>
        <v>2047500000</v>
      </c>
      <c r="R307" s="472">
        <f>IF(L307=0,R306,Q307/N307)</f>
        <v>227500000</v>
      </c>
      <c r="S307" s="1167">
        <f>F307</f>
        <v>2007</v>
      </c>
      <c r="T307" s="470">
        <f>S307-S306</f>
        <v>6</v>
      </c>
      <c r="U307" s="612">
        <f>R307*T307</f>
        <v>1365000000</v>
      </c>
      <c r="V307" s="464">
        <f>F307</f>
        <v>2007</v>
      </c>
      <c r="W307" s="612">
        <f>IF(OR(AND(ISBLANK(E307),ISBLANK(G307)),ISTEXT(E307),ISTEXT(G307)),"",Q307-U307)</f>
        <v>682500000</v>
      </c>
      <c r="X307" s="473"/>
      <c r="Y307" s="474"/>
      <c r="Z307" s="449"/>
      <c r="AA307" s="475" t="s">
        <v>4180</v>
      </c>
      <c r="AB307" s="476"/>
      <c r="AC307" s="476"/>
      <c r="AD307" s="567">
        <f>G320</f>
        <v>5716986858.6148977</v>
      </c>
      <c r="AE307" s="476"/>
      <c r="AF307" s="568"/>
      <c r="AG307" s="476"/>
      <c r="AH307" s="476"/>
      <c r="AI307" s="477"/>
      <c r="AJ307" s="478"/>
      <c r="AK307" s="479"/>
      <c r="AL307" s="480"/>
      <c r="AM307" s="474"/>
      <c r="AN307" s="481"/>
      <c r="AO307" s="474"/>
      <c r="AP307" s="476"/>
      <c r="AQ307" s="482"/>
      <c r="AR307" s="478"/>
      <c r="AS307" s="478"/>
      <c r="AT307" s="476"/>
      <c r="AU307" s="482"/>
      <c r="AV307" s="478"/>
      <c r="AW307" s="483"/>
      <c r="AX307" s="476"/>
      <c r="AY307" s="482"/>
      <c r="AZ307" s="478"/>
      <c r="BA307" s="484"/>
      <c r="BB307" s="474"/>
      <c r="BC307" s="485"/>
      <c r="BD307" s="485"/>
      <c r="BG307" s="487"/>
    </row>
    <row r="308" spans="1:59" s="486" customFormat="1" ht="18" customHeight="1" x14ac:dyDescent="0.2">
      <c r="A308" s="1368" t="str">
        <f t="shared" si="212"/>
        <v>JL. STM (BELIBIS)2009</v>
      </c>
      <c r="B308" s="1373">
        <v>2</v>
      </c>
      <c r="C308" s="493" t="s">
        <v>5102</v>
      </c>
      <c r="D308" s="464"/>
      <c r="E308" s="465"/>
      <c r="F308" s="466">
        <v>2009</v>
      </c>
      <c r="G308" s="620">
        <v>1041794435.614898</v>
      </c>
      <c r="H308" s="464">
        <f t="shared" ref="H308:H317" si="213">IF(N307-(F308-F307)&lt;=0,0,(N307-(F308-F307)))</f>
        <v>2</v>
      </c>
      <c r="I308" s="467"/>
      <c r="J308" s="468">
        <f t="shared" ref="J308:J317" si="214">(F308+N308)-1</f>
        <v>2018</v>
      </c>
      <c r="K308" s="490">
        <f t="shared" ref="K308:K317" si="215">IF(G308=0,0,IF(H308=10,100%,G308/W307))</f>
        <v>1.526438733501682</v>
      </c>
      <c r="L308" s="469">
        <f t="shared" ref="L308:L317" si="216">IF(K308=0%,0,IF(K308&lt;=30%,2,IF(K308&lt;=60%,5,10)))</f>
        <v>10</v>
      </c>
      <c r="M308" s="683">
        <f t="shared" ref="M308:M318" si="217">IF(OR(AND(ISBLANK(E308),ISBLANK(G308)),ISTEXT(E308),ISTEXT(G308)),"",IF(H308+L308&gt;$H$306,$H$306-H308,L308))</f>
        <v>8</v>
      </c>
      <c r="N308" s="470">
        <f t="shared" ref="N308:N317" si="218">IF(OR(AND(ISBLANK(F308),ISBLANK(G308)),ISTEXT(F308),ISTEXT(G308)),"",H308+M308)</f>
        <v>10</v>
      </c>
      <c r="O308" s="468">
        <f t="shared" ref="O308:O317" si="219">(F308+N308)-1</f>
        <v>2018</v>
      </c>
      <c r="P308" s="616">
        <f t="shared" ref="P308:P317" si="220">W307</f>
        <v>682500000</v>
      </c>
      <c r="Q308" s="472">
        <f t="shared" ref="Q308:Q317" si="221">P308+G308</f>
        <v>1724294435.614898</v>
      </c>
      <c r="R308" s="472">
        <f t="shared" ref="R308:R317" si="222">IF(L308=0,R307,Q308/N308)</f>
        <v>172429443.56148979</v>
      </c>
      <c r="S308" s="1189">
        <f t="shared" ref="S308:S317" si="223">F308</f>
        <v>2009</v>
      </c>
      <c r="T308" s="470">
        <f t="shared" ref="T308:T317" si="224">S308-S307</f>
        <v>2</v>
      </c>
      <c r="U308" s="612">
        <f t="shared" ref="U308:U317" si="225">R308*T308</f>
        <v>344858887.12297958</v>
      </c>
      <c r="V308" s="464">
        <f t="shared" ref="V308:V317" si="226">F308</f>
        <v>2009</v>
      </c>
      <c r="W308" s="612">
        <f t="shared" ref="W308:W317" si="227">IF(OR(AND(ISBLANK(E308),ISBLANK(G308)),ISTEXT(E308),ISTEXT(G308)),"",Q308-U308)</f>
        <v>1379435548.4919183</v>
      </c>
      <c r="X308" s="473"/>
      <c r="Y308" s="474"/>
      <c r="Z308" s="449"/>
      <c r="AA308" s="475"/>
      <c r="AB308" s="476"/>
      <c r="AC308" s="476"/>
      <c r="AD308" s="567"/>
      <c r="AE308" s="476"/>
      <c r="AF308" s="568"/>
      <c r="AG308" s="476"/>
      <c r="AH308" s="476"/>
      <c r="AI308" s="477"/>
      <c r="AJ308" s="478"/>
      <c r="AK308" s="479"/>
      <c r="AL308" s="480"/>
      <c r="AM308" s="474"/>
      <c r="AN308" s="481"/>
      <c r="AO308" s="474"/>
      <c r="AP308" s="476"/>
      <c r="AQ308" s="482"/>
      <c r="AR308" s="478"/>
      <c r="AS308" s="478"/>
      <c r="AT308" s="476"/>
      <c r="AU308" s="482"/>
      <c r="AV308" s="478"/>
      <c r="AW308" s="483"/>
      <c r="AX308" s="476"/>
      <c r="AY308" s="482"/>
      <c r="AZ308" s="478"/>
      <c r="BA308" s="484"/>
      <c r="BB308" s="474"/>
      <c r="BC308" s="485"/>
      <c r="BD308" s="485"/>
      <c r="BG308" s="487"/>
    </row>
    <row r="309" spans="1:59" s="486" customFormat="1" ht="18" customHeight="1" x14ac:dyDescent="0.2">
      <c r="A309" s="1368" t="str">
        <f t="shared" si="212"/>
        <v>JL. STM (BELIBIS)2010</v>
      </c>
      <c r="B309" s="1373"/>
      <c r="C309" s="463"/>
      <c r="D309" s="464"/>
      <c r="E309" s="465"/>
      <c r="F309" s="466">
        <v>2010</v>
      </c>
      <c r="G309" s="620">
        <v>0</v>
      </c>
      <c r="H309" s="464">
        <f t="shared" si="213"/>
        <v>9</v>
      </c>
      <c r="I309" s="467"/>
      <c r="J309" s="468">
        <f t="shared" si="214"/>
        <v>2018</v>
      </c>
      <c r="K309" s="490">
        <f t="shared" si="215"/>
        <v>0</v>
      </c>
      <c r="L309" s="469">
        <f t="shared" si="216"/>
        <v>0</v>
      </c>
      <c r="M309" s="683">
        <f t="shared" si="217"/>
        <v>0</v>
      </c>
      <c r="N309" s="470">
        <f t="shared" si="218"/>
        <v>9</v>
      </c>
      <c r="O309" s="468">
        <f t="shared" si="219"/>
        <v>2018</v>
      </c>
      <c r="P309" s="616">
        <f t="shared" si="220"/>
        <v>1379435548.4919183</v>
      </c>
      <c r="Q309" s="472">
        <f t="shared" si="221"/>
        <v>1379435548.4919183</v>
      </c>
      <c r="R309" s="472">
        <f t="shared" si="222"/>
        <v>172429443.56148979</v>
      </c>
      <c r="S309" s="1189">
        <f t="shared" si="223"/>
        <v>2010</v>
      </c>
      <c r="T309" s="470">
        <f t="shared" si="224"/>
        <v>1</v>
      </c>
      <c r="U309" s="612">
        <f t="shared" si="225"/>
        <v>172429443.56148979</v>
      </c>
      <c r="V309" s="464">
        <f t="shared" si="226"/>
        <v>2010</v>
      </c>
      <c r="W309" s="612">
        <f t="shared" si="227"/>
        <v>1207006104.9304285</v>
      </c>
      <c r="X309" s="473"/>
      <c r="Y309" s="474"/>
      <c r="Z309" s="449"/>
      <c r="AA309" s="475"/>
      <c r="AB309" s="476"/>
      <c r="AC309" s="476"/>
      <c r="AD309" s="567"/>
      <c r="AE309" s="476"/>
      <c r="AF309" s="568"/>
      <c r="AG309" s="476"/>
      <c r="AH309" s="476"/>
      <c r="AI309" s="477"/>
      <c r="AJ309" s="478"/>
      <c r="AK309" s="479"/>
      <c r="AL309" s="480"/>
      <c r="AM309" s="474"/>
      <c r="AN309" s="481"/>
      <c r="AO309" s="474"/>
      <c r="AP309" s="476"/>
      <c r="AQ309" s="482"/>
      <c r="AR309" s="478"/>
      <c r="AS309" s="478"/>
      <c r="AT309" s="476"/>
      <c r="AU309" s="482"/>
      <c r="AV309" s="478"/>
      <c r="AW309" s="483"/>
      <c r="AX309" s="476"/>
      <c r="AY309" s="482"/>
      <c r="AZ309" s="478"/>
      <c r="BA309" s="484"/>
      <c r="BB309" s="474"/>
      <c r="BC309" s="485"/>
      <c r="BD309" s="485"/>
      <c r="BG309" s="487"/>
    </row>
    <row r="310" spans="1:59" s="486" customFormat="1" ht="18" customHeight="1" x14ac:dyDescent="0.2">
      <c r="A310" s="1368" t="str">
        <f t="shared" si="212"/>
        <v>JL. STM (BELIBIS)2011</v>
      </c>
      <c r="B310" s="1373"/>
      <c r="C310" s="463"/>
      <c r="D310" s="464"/>
      <c r="E310" s="465"/>
      <c r="F310" s="466">
        <v>2011</v>
      </c>
      <c r="G310" s="620">
        <v>0</v>
      </c>
      <c r="H310" s="464">
        <f t="shared" si="213"/>
        <v>8</v>
      </c>
      <c r="I310" s="467"/>
      <c r="J310" s="468">
        <f t="shared" si="214"/>
        <v>2018</v>
      </c>
      <c r="K310" s="490">
        <f t="shared" si="215"/>
        <v>0</v>
      </c>
      <c r="L310" s="469">
        <f t="shared" si="216"/>
        <v>0</v>
      </c>
      <c r="M310" s="683">
        <f t="shared" si="217"/>
        <v>0</v>
      </c>
      <c r="N310" s="470">
        <f t="shared" si="218"/>
        <v>8</v>
      </c>
      <c r="O310" s="468">
        <f t="shared" si="219"/>
        <v>2018</v>
      </c>
      <c r="P310" s="616">
        <f t="shared" si="220"/>
        <v>1207006104.9304285</v>
      </c>
      <c r="Q310" s="472">
        <f t="shared" si="221"/>
        <v>1207006104.9304285</v>
      </c>
      <c r="R310" s="472">
        <f t="shared" si="222"/>
        <v>172429443.56148979</v>
      </c>
      <c r="S310" s="1189">
        <f t="shared" si="223"/>
        <v>2011</v>
      </c>
      <c r="T310" s="470">
        <f t="shared" si="224"/>
        <v>1</v>
      </c>
      <c r="U310" s="612">
        <f t="shared" si="225"/>
        <v>172429443.56148979</v>
      </c>
      <c r="V310" s="464">
        <f t="shared" si="226"/>
        <v>2011</v>
      </c>
      <c r="W310" s="612">
        <f t="shared" si="227"/>
        <v>1034576661.3689387</v>
      </c>
      <c r="X310" s="473"/>
      <c r="Y310" s="474"/>
      <c r="Z310" s="449"/>
      <c r="AA310" s="475"/>
      <c r="AB310" s="476"/>
      <c r="AC310" s="476"/>
      <c r="AD310" s="567"/>
      <c r="AE310" s="476"/>
      <c r="AF310" s="568"/>
      <c r="AG310" s="476"/>
      <c r="AH310" s="476"/>
      <c r="AI310" s="477"/>
      <c r="AJ310" s="478"/>
      <c r="AK310" s="479"/>
      <c r="AL310" s="480"/>
      <c r="AM310" s="474"/>
      <c r="AN310" s="481"/>
      <c r="AO310" s="474"/>
      <c r="AP310" s="476"/>
      <c r="AQ310" s="482"/>
      <c r="AR310" s="478"/>
      <c r="AS310" s="478"/>
      <c r="AT310" s="476"/>
      <c r="AU310" s="482"/>
      <c r="AV310" s="478"/>
      <c r="AW310" s="483"/>
      <c r="AX310" s="476"/>
      <c r="AY310" s="482"/>
      <c r="AZ310" s="478"/>
      <c r="BA310" s="484"/>
      <c r="BB310" s="474"/>
      <c r="BC310" s="485"/>
      <c r="BD310" s="485"/>
      <c r="BG310" s="487"/>
    </row>
    <row r="311" spans="1:59" s="486" customFormat="1" ht="18" customHeight="1" x14ac:dyDescent="0.2">
      <c r="A311" s="1368" t="str">
        <f t="shared" si="212"/>
        <v>JL. STM (BELIBIS)2012</v>
      </c>
      <c r="B311" s="1373"/>
      <c r="C311" s="463"/>
      <c r="D311" s="464"/>
      <c r="E311" s="465"/>
      <c r="F311" s="466">
        <v>2012</v>
      </c>
      <c r="G311" s="620">
        <v>0</v>
      </c>
      <c r="H311" s="464">
        <f t="shared" si="213"/>
        <v>7</v>
      </c>
      <c r="I311" s="467"/>
      <c r="J311" s="468">
        <f t="shared" si="214"/>
        <v>2018</v>
      </c>
      <c r="K311" s="490">
        <f t="shared" si="215"/>
        <v>0</v>
      </c>
      <c r="L311" s="469">
        <f t="shared" si="216"/>
        <v>0</v>
      </c>
      <c r="M311" s="683">
        <f t="shared" si="217"/>
        <v>0</v>
      </c>
      <c r="N311" s="470">
        <f t="shared" si="218"/>
        <v>7</v>
      </c>
      <c r="O311" s="468">
        <f t="shared" si="219"/>
        <v>2018</v>
      </c>
      <c r="P311" s="616">
        <f t="shared" si="220"/>
        <v>1034576661.3689387</v>
      </c>
      <c r="Q311" s="472">
        <f t="shared" si="221"/>
        <v>1034576661.3689387</v>
      </c>
      <c r="R311" s="472">
        <f t="shared" si="222"/>
        <v>172429443.56148979</v>
      </c>
      <c r="S311" s="1189">
        <f t="shared" si="223"/>
        <v>2012</v>
      </c>
      <c r="T311" s="470">
        <f t="shared" si="224"/>
        <v>1</v>
      </c>
      <c r="U311" s="612">
        <f t="shared" si="225"/>
        <v>172429443.56148979</v>
      </c>
      <c r="V311" s="464">
        <f t="shared" si="226"/>
        <v>2012</v>
      </c>
      <c r="W311" s="612">
        <f t="shared" si="227"/>
        <v>862147217.80744886</v>
      </c>
      <c r="X311" s="473"/>
      <c r="Y311" s="474"/>
      <c r="Z311" s="449"/>
      <c r="AA311" s="475"/>
      <c r="AB311" s="476"/>
      <c r="AC311" s="476"/>
      <c r="AD311" s="567"/>
      <c r="AE311" s="476"/>
      <c r="AF311" s="568"/>
      <c r="AG311" s="476"/>
      <c r="AH311" s="476"/>
      <c r="AI311" s="477"/>
      <c r="AJ311" s="478"/>
      <c r="AK311" s="479"/>
      <c r="AL311" s="480"/>
      <c r="AM311" s="474"/>
      <c r="AN311" s="481"/>
      <c r="AO311" s="474"/>
      <c r="AP311" s="476"/>
      <c r="AQ311" s="482"/>
      <c r="AR311" s="478"/>
      <c r="AS311" s="478"/>
      <c r="AT311" s="476"/>
      <c r="AU311" s="482"/>
      <c r="AV311" s="478"/>
      <c r="AW311" s="483"/>
      <c r="AX311" s="476"/>
      <c r="AY311" s="482"/>
      <c r="AZ311" s="478"/>
      <c r="BA311" s="484"/>
      <c r="BB311" s="474"/>
      <c r="BC311" s="485"/>
      <c r="BD311" s="485"/>
      <c r="BG311" s="487"/>
    </row>
    <row r="312" spans="1:59" s="486" customFormat="1" ht="18" customHeight="1" x14ac:dyDescent="0.2">
      <c r="A312" s="1368" t="str">
        <f t="shared" si="212"/>
        <v>JL. STM (BELIBIS)2013</v>
      </c>
      <c r="B312" s="1373"/>
      <c r="C312" s="463"/>
      <c r="D312" s="464"/>
      <c r="E312" s="465"/>
      <c r="F312" s="466">
        <v>2013</v>
      </c>
      <c r="G312" s="620">
        <v>0</v>
      </c>
      <c r="H312" s="464">
        <f t="shared" si="213"/>
        <v>6</v>
      </c>
      <c r="I312" s="467"/>
      <c r="J312" s="468">
        <f t="shared" si="214"/>
        <v>2018</v>
      </c>
      <c r="K312" s="490">
        <f t="shared" si="215"/>
        <v>0</v>
      </c>
      <c r="L312" s="469">
        <f t="shared" si="216"/>
        <v>0</v>
      </c>
      <c r="M312" s="683">
        <f t="shared" si="217"/>
        <v>0</v>
      </c>
      <c r="N312" s="470">
        <f t="shared" si="218"/>
        <v>6</v>
      </c>
      <c r="O312" s="468">
        <f t="shared" si="219"/>
        <v>2018</v>
      </c>
      <c r="P312" s="616">
        <f t="shared" si="220"/>
        <v>862147217.80744886</v>
      </c>
      <c r="Q312" s="472">
        <f t="shared" si="221"/>
        <v>862147217.80744886</v>
      </c>
      <c r="R312" s="472">
        <f t="shared" si="222"/>
        <v>172429443.56148979</v>
      </c>
      <c r="S312" s="1189">
        <f t="shared" si="223"/>
        <v>2013</v>
      </c>
      <c r="T312" s="470">
        <f t="shared" si="224"/>
        <v>1</v>
      </c>
      <c r="U312" s="612">
        <f t="shared" si="225"/>
        <v>172429443.56148979</v>
      </c>
      <c r="V312" s="464">
        <f t="shared" si="226"/>
        <v>2013</v>
      </c>
      <c r="W312" s="612">
        <f t="shared" si="227"/>
        <v>689717774.24595904</v>
      </c>
      <c r="X312" s="473"/>
      <c r="Y312" s="478"/>
      <c r="Z312" s="449"/>
      <c r="AA312" s="475" t="s">
        <v>4181</v>
      </c>
      <c r="AB312" s="491"/>
      <c r="AC312" s="491"/>
      <c r="AD312" s="567">
        <f>U320</f>
        <v>4069956072.54111</v>
      </c>
      <c r="AE312" s="491"/>
      <c r="AF312" s="568"/>
      <c r="AG312" s="491"/>
      <c r="AH312" s="491"/>
      <c r="AI312" s="477"/>
      <c r="AJ312" s="478"/>
      <c r="AK312" s="479"/>
      <c r="AL312" s="480"/>
      <c r="AM312" s="474"/>
      <c r="AN312" s="481"/>
      <c r="AO312" s="474"/>
      <c r="AP312" s="476"/>
      <c r="AQ312" s="482"/>
      <c r="AR312" s="478"/>
      <c r="AS312" s="478"/>
      <c r="AT312" s="476"/>
      <c r="AU312" s="482"/>
      <c r="AV312" s="478"/>
      <c r="AW312" s="483"/>
      <c r="AX312" s="476"/>
      <c r="AY312" s="482"/>
      <c r="AZ312" s="478"/>
      <c r="BA312" s="484"/>
      <c r="BB312" s="474"/>
      <c r="BC312" s="485"/>
      <c r="BD312" s="485"/>
      <c r="BG312" s="487"/>
    </row>
    <row r="313" spans="1:59" s="486" customFormat="1" ht="18" customHeight="1" x14ac:dyDescent="0.2">
      <c r="A313" s="1368" t="str">
        <f t="shared" si="212"/>
        <v>JL. STM (BELIBIS)2014</v>
      </c>
      <c r="B313" s="1373"/>
      <c r="C313" s="488"/>
      <c r="D313" s="464"/>
      <c r="E313" s="465"/>
      <c r="F313" s="466">
        <v>2014</v>
      </c>
      <c r="G313" s="620">
        <v>0</v>
      </c>
      <c r="H313" s="464">
        <f t="shared" si="213"/>
        <v>5</v>
      </c>
      <c r="I313" s="467"/>
      <c r="J313" s="468">
        <f t="shared" si="214"/>
        <v>2018</v>
      </c>
      <c r="K313" s="490">
        <f t="shared" si="215"/>
        <v>0</v>
      </c>
      <c r="L313" s="469">
        <f t="shared" si="216"/>
        <v>0</v>
      </c>
      <c r="M313" s="683">
        <f t="shared" si="217"/>
        <v>0</v>
      </c>
      <c r="N313" s="470">
        <f t="shared" si="218"/>
        <v>5</v>
      </c>
      <c r="O313" s="468">
        <f t="shared" si="219"/>
        <v>2018</v>
      </c>
      <c r="P313" s="616">
        <f t="shared" si="220"/>
        <v>689717774.24595904</v>
      </c>
      <c r="Q313" s="472">
        <f t="shared" si="221"/>
        <v>689717774.24595904</v>
      </c>
      <c r="R313" s="472">
        <f t="shared" si="222"/>
        <v>172429443.56148979</v>
      </c>
      <c r="S313" s="1189">
        <f t="shared" si="223"/>
        <v>2014</v>
      </c>
      <c r="T313" s="470">
        <f t="shared" si="224"/>
        <v>1</v>
      </c>
      <c r="U313" s="612">
        <f t="shared" si="225"/>
        <v>172429443.56148979</v>
      </c>
      <c r="V313" s="464">
        <f t="shared" si="226"/>
        <v>2014</v>
      </c>
      <c r="W313" s="612">
        <f t="shared" si="227"/>
        <v>517288330.68446922</v>
      </c>
      <c r="X313" s="473"/>
      <c r="Y313" s="478"/>
      <c r="Z313" s="449"/>
      <c r="AA313" s="475"/>
      <c r="AB313" s="491"/>
      <c r="AC313" s="491"/>
      <c r="AD313" s="567"/>
      <c r="AE313" s="491"/>
      <c r="AF313" s="568"/>
      <c r="AG313" s="491"/>
      <c r="AH313" s="491"/>
      <c r="AI313" s="477"/>
      <c r="AJ313" s="478"/>
      <c r="AK313" s="479"/>
      <c r="AL313" s="480"/>
      <c r="AM313" s="474"/>
      <c r="AN313" s="481"/>
      <c r="AO313" s="474"/>
      <c r="AP313" s="476"/>
      <c r="AQ313" s="482"/>
      <c r="AR313" s="478"/>
      <c r="AS313" s="478"/>
      <c r="AT313" s="476"/>
      <c r="AU313" s="482"/>
      <c r="AV313" s="478"/>
      <c r="AW313" s="483"/>
      <c r="AX313" s="476"/>
      <c r="AY313" s="482"/>
      <c r="AZ313" s="478"/>
      <c r="BA313" s="484"/>
      <c r="BB313" s="474"/>
      <c r="BC313" s="485"/>
      <c r="BD313" s="485"/>
      <c r="BG313" s="487"/>
    </row>
    <row r="314" spans="1:59" s="486" customFormat="1" ht="18" customHeight="1" x14ac:dyDescent="0.2">
      <c r="A314" s="1368" t="str">
        <f t="shared" si="212"/>
        <v>JL. STM (BELIBIS)2015</v>
      </c>
      <c r="B314" s="1373"/>
      <c r="C314" s="488"/>
      <c r="D314" s="464"/>
      <c r="E314" s="465"/>
      <c r="F314" s="466">
        <v>2015</v>
      </c>
      <c r="G314" s="620">
        <v>0</v>
      </c>
      <c r="H314" s="464">
        <f t="shared" si="213"/>
        <v>4</v>
      </c>
      <c r="I314" s="467"/>
      <c r="J314" s="468">
        <f t="shared" si="214"/>
        <v>2018</v>
      </c>
      <c r="K314" s="490">
        <f t="shared" si="215"/>
        <v>0</v>
      </c>
      <c r="L314" s="469">
        <f t="shared" si="216"/>
        <v>0</v>
      </c>
      <c r="M314" s="683">
        <f t="shared" si="217"/>
        <v>0</v>
      </c>
      <c r="N314" s="470">
        <f t="shared" si="218"/>
        <v>4</v>
      </c>
      <c r="O314" s="468">
        <f t="shared" si="219"/>
        <v>2018</v>
      </c>
      <c r="P314" s="616">
        <f t="shared" si="220"/>
        <v>517288330.68446922</v>
      </c>
      <c r="Q314" s="472">
        <f t="shared" si="221"/>
        <v>517288330.68446922</v>
      </c>
      <c r="R314" s="472">
        <f t="shared" si="222"/>
        <v>172429443.56148979</v>
      </c>
      <c r="S314" s="1189">
        <f t="shared" si="223"/>
        <v>2015</v>
      </c>
      <c r="T314" s="470">
        <f t="shared" si="224"/>
        <v>1</v>
      </c>
      <c r="U314" s="612">
        <f t="shared" si="225"/>
        <v>172429443.56148979</v>
      </c>
      <c r="V314" s="464">
        <f t="shared" si="226"/>
        <v>2015</v>
      </c>
      <c r="W314" s="612">
        <f t="shared" si="227"/>
        <v>344858887.1229794</v>
      </c>
      <c r="X314" s="473"/>
      <c r="Y314" s="478"/>
      <c r="Z314" s="449"/>
      <c r="AA314" s="492" t="s">
        <v>4182</v>
      </c>
      <c r="AB314" s="476"/>
      <c r="AC314" s="476"/>
      <c r="AD314" s="567">
        <f>AD307-AD312</f>
        <v>1647030786.0737877</v>
      </c>
      <c r="AE314" s="476"/>
      <c r="AF314" s="568"/>
      <c r="AG314" s="476"/>
      <c r="AH314" s="476"/>
      <c r="AI314" s="477"/>
      <c r="AJ314" s="478"/>
      <c r="AK314" s="479"/>
      <c r="AL314" s="480"/>
      <c r="AM314" s="474"/>
      <c r="AN314" s="481"/>
      <c r="AO314" s="474"/>
      <c r="AP314" s="476"/>
      <c r="AQ314" s="482"/>
      <c r="AR314" s="478"/>
      <c r="AS314" s="478"/>
      <c r="AT314" s="476"/>
      <c r="AU314" s="482"/>
      <c r="AV314" s="478"/>
      <c r="AW314" s="483"/>
      <c r="AX314" s="476"/>
      <c r="AY314" s="482"/>
      <c r="AZ314" s="478"/>
      <c r="BA314" s="484"/>
      <c r="BB314" s="474"/>
      <c r="BC314" s="485"/>
      <c r="BD314" s="485"/>
      <c r="BG314" s="487"/>
    </row>
    <row r="315" spans="1:59" s="486" customFormat="1" ht="18" customHeight="1" x14ac:dyDescent="0.2">
      <c r="A315" s="1368" t="str">
        <f t="shared" si="212"/>
        <v>JL. STM (BELIBIS)2016</v>
      </c>
      <c r="B315" s="687">
        <v>3</v>
      </c>
      <c r="C315" s="463" t="s">
        <v>1444</v>
      </c>
      <c r="D315" s="464" t="s">
        <v>2494</v>
      </c>
      <c r="E315" s="465"/>
      <c r="F315" s="466">
        <v>2016</v>
      </c>
      <c r="G315" s="620">
        <v>2400192423</v>
      </c>
      <c r="H315" s="464">
        <f t="shared" si="213"/>
        <v>3</v>
      </c>
      <c r="I315" s="467"/>
      <c r="J315" s="468">
        <f t="shared" si="214"/>
        <v>2025</v>
      </c>
      <c r="K315" s="490">
        <f t="shared" si="215"/>
        <v>6.9599262557037491</v>
      </c>
      <c r="L315" s="469">
        <f t="shared" si="216"/>
        <v>10</v>
      </c>
      <c r="M315" s="683">
        <f t="shared" si="217"/>
        <v>7</v>
      </c>
      <c r="N315" s="470">
        <f t="shared" si="218"/>
        <v>10</v>
      </c>
      <c r="O315" s="468">
        <f t="shared" si="219"/>
        <v>2025</v>
      </c>
      <c r="P315" s="616">
        <f t="shared" si="220"/>
        <v>344858887.1229794</v>
      </c>
      <c r="Q315" s="472">
        <f t="shared" si="221"/>
        <v>2745051310.1229792</v>
      </c>
      <c r="R315" s="472">
        <f t="shared" si="222"/>
        <v>274505131.01229793</v>
      </c>
      <c r="S315" s="1189">
        <f t="shared" si="223"/>
        <v>2016</v>
      </c>
      <c r="T315" s="470">
        <f t="shared" si="224"/>
        <v>1</v>
      </c>
      <c r="U315" s="612">
        <f t="shared" si="225"/>
        <v>274505131.01229793</v>
      </c>
      <c r="V315" s="464">
        <f t="shared" si="226"/>
        <v>2016</v>
      </c>
      <c r="W315" s="612">
        <f t="shared" si="227"/>
        <v>2470546179.1106811</v>
      </c>
      <c r="X315" s="473"/>
      <c r="Y315" s="478"/>
      <c r="Z315" s="449"/>
      <c r="AA315" s="531" t="s">
        <v>4183</v>
      </c>
      <c r="AB315" s="496"/>
      <c r="AC315" s="496"/>
      <c r="AD315" s="569">
        <f>AD314-W320</f>
        <v>0</v>
      </c>
      <c r="AE315" s="476"/>
      <c r="AF315" s="568"/>
      <c r="AG315" s="476"/>
      <c r="AH315" s="476"/>
      <c r="AI315" s="477"/>
      <c r="AJ315" s="478"/>
      <c r="AK315" s="479"/>
      <c r="AL315" s="480"/>
      <c r="AM315" s="474"/>
      <c r="AN315" s="481"/>
      <c r="AO315" s="474"/>
      <c r="AP315" s="476"/>
      <c r="AQ315" s="482"/>
      <c r="AR315" s="478"/>
      <c r="AS315" s="478"/>
      <c r="AT315" s="476"/>
      <c r="AU315" s="482"/>
      <c r="AV315" s="478"/>
      <c r="AW315" s="483"/>
      <c r="AX315" s="476"/>
      <c r="AY315" s="482"/>
      <c r="AZ315" s="478"/>
      <c r="BA315" s="484"/>
      <c r="BB315" s="474"/>
      <c r="BC315" s="485"/>
      <c r="BD315" s="485"/>
      <c r="BG315" s="487"/>
    </row>
    <row r="316" spans="1:59" s="486" customFormat="1" ht="18" customHeight="1" x14ac:dyDescent="0.2">
      <c r="A316" s="1368" t="str">
        <f t="shared" si="212"/>
        <v>JL. STM (BELIBIS)2017</v>
      </c>
      <c r="B316" s="687"/>
      <c r="C316" s="463"/>
      <c r="D316" s="464"/>
      <c r="E316" s="465"/>
      <c r="F316" s="466">
        <f>F315+1</f>
        <v>2017</v>
      </c>
      <c r="G316" s="620">
        <v>0</v>
      </c>
      <c r="H316" s="464">
        <f t="shared" si="213"/>
        <v>9</v>
      </c>
      <c r="I316" s="467"/>
      <c r="J316" s="468">
        <f t="shared" si="214"/>
        <v>2025</v>
      </c>
      <c r="K316" s="490">
        <f t="shared" si="215"/>
        <v>0</v>
      </c>
      <c r="L316" s="469">
        <f t="shared" si="216"/>
        <v>0</v>
      </c>
      <c r="M316" s="683">
        <f t="shared" si="217"/>
        <v>0</v>
      </c>
      <c r="N316" s="470">
        <f t="shared" si="218"/>
        <v>9</v>
      </c>
      <c r="O316" s="468">
        <f t="shared" si="219"/>
        <v>2025</v>
      </c>
      <c r="P316" s="616">
        <f t="shared" si="220"/>
        <v>2470546179.1106811</v>
      </c>
      <c r="Q316" s="472">
        <f t="shared" si="221"/>
        <v>2470546179.1106811</v>
      </c>
      <c r="R316" s="472">
        <f t="shared" si="222"/>
        <v>274505131.01229793</v>
      </c>
      <c r="S316" s="1189">
        <f t="shared" si="223"/>
        <v>2017</v>
      </c>
      <c r="T316" s="470">
        <f t="shared" si="224"/>
        <v>1</v>
      </c>
      <c r="U316" s="612">
        <f t="shared" si="225"/>
        <v>274505131.01229793</v>
      </c>
      <c r="V316" s="464">
        <f t="shared" si="226"/>
        <v>2017</v>
      </c>
      <c r="W316" s="612">
        <f t="shared" si="227"/>
        <v>2196041048.0983829</v>
      </c>
      <c r="X316" s="473"/>
      <c r="Y316" s="478"/>
      <c r="Z316" s="449"/>
      <c r="AA316" s="573"/>
      <c r="AB316" s="476"/>
      <c r="AC316" s="476"/>
      <c r="AD316" s="568"/>
      <c r="AE316" s="476"/>
      <c r="AF316" s="568"/>
      <c r="AG316" s="476"/>
      <c r="AH316" s="476"/>
      <c r="AI316" s="477"/>
      <c r="AJ316" s="478"/>
      <c r="AK316" s="479"/>
      <c r="AL316" s="480"/>
      <c r="AM316" s="474"/>
      <c r="AN316" s="481"/>
      <c r="AO316" s="474"/>
      <c r="AP316" s="476"/>
      <c r="AQ316" s="482"/>
      <c r="AR316" s="478"/>
      <c r="AS316" s="478"/>
      <c r="AT316" s="476"/>
      <c r="AU316" s="482"/>
      <c r="AV316" s="478"/>
      <c r="AW316" s="483"/>
      <c r="AX316" s="476"/>
      <c r="AY316" s="482"/>
      <c r="AZ316" s="478"/>
      <c r="BA316" s="484"/>
      <c r="BB316" s="474"/>
      <c r="BC316" s="485"/>
      <c r="BD316" s="485"/>
      <c r="BG316" s="487"/>
    </row>
    <row r="317" spans="1:59" s="486" customFormat="1" ht="18" customHeight="1" x14ac:dyDescent="0.2">
      <c r="A317" s="1368" t="str">
        <f t="shared" si="212"/>
        <v>JL. STM (BELIBIS)2018</v>
      </c>
      <c r="B317" s="687"/>
      <c r="C317" s="463"/>
      <c r="D317" s="464"/>
      <c r="E317" s="465"/>
      <c r="F317" s="466">
        <f>F316+1</f>
        <v>2018</v>
      </c>
      <c r="G317" s="620">
        <v>0</v>
      </c>
      <c r="H317" s="464">
        <f t="shared" si="213"/>
        <v>8</v>
      </c>
      <c r="I317" s="467"/>
      <c r="J317" s="468">
        <f t="shared" si="214"/>
        <v>2025</v>
      </c>
      <c r="K317" s="490">
        <f t="shared" si="215"/>
        <v>0</v>
      </c>
      <c r="L317" s="469">
        <f t="shared" si="216"/>
        <v>0</v>
      </c>
      <c r="M317" s="683">
        <f t="shared" si="217"/>
        <v>0</v>
      </c>
      <c r="N317" s="470">
        <f t="shared" si="218"/>
        <v>8</v>
      </c>
      <c r="O317" s="468">
        <f t="shared" si="219"/>
        <v>2025</v>
      </c>
      <c r="P317" s="616">
        <f t="shared" si="220"/>
        <v>2196041048.0983829</v>
      </c>
      <c r="Q317" s="472">
        <f t="shared" si="221"/>
        <v>2196041048.0983829</v>
      </c>
      <c r="R317" s="472">
        <f t="shared" si="222"/>
        <v>274505131.01229793</v>
      </c>
      <c r="S317" s="1189">
        <f t="shared" si="223"/>
        <v>2018</v>
      </c>
      <c r="T317" s="470">
        <f t="shared" si="224"/>
        <v>1</v>
      </c>
      <c r="U317" s="612">
        <f t="shared" si="225"/>
        <v>274505131.01229793</v>
      </c>
      <c r="V317" s="464">
        <f t="shared" si="226"/>
        <v>2018</v>
      </c>
      <c r="W317" s="612">
        <f t="shared" si="227"/>
        <v>1921535917.0860851</v>
      </c>
      <c r="X317" s="473"/>
      <c r="Y317" s="478"/>
      <c r="Z317" s="449"/>
      <c r="AA317" s="573"/>
      <c r="AB317" s="476"/>
      <c r="AC317" s="476"/>
      <c r="AD317" s="568"/>
      <c r="AE317" s="476"/>
      <c r="AF317" s="568"/>
      <c r="AG317" s="476"/>
      <c r="AH317" s="476"/>
      <c r="AI317" s="477"/>
      <c r="AJ317" s="478"/>
      <c r="AK317" s="479"/>
      <c r="AL317" s="480"/>
      <c r="AM317" s="474"/>
      <c r="AN317" s="481"/>
      <c r="AO317" s="474"/>
      <c r="AP317" s="476"/>
      <c r="AQ317" s="482"/>
      <c r="AR317" s="478"/>
      <c r="AS317" s="478"/>
      <c r="AT317" s="476"/>
      <c r="AU317" s="482"/>
      <c r="AV317" s="478"/>
      <c r="AW317" s="483"/>
      <c r="AX317" s="476"/>
      <c r="AY317" s="482"/>
      <c r="AZ317" s="478"/>
      <c r="BA317" s="484"/>
      <c r="BB317" s="474"/>
      <c r="BC317" s="485"/>
      <c r="BD317" s="485"/>
      <c r="BG317" s="487"/>
    </row>
    <row r="318" spans="1:59" s="486" customFormat="1" ht="18" customHeight="1" x14ac:dyDescent="0.2">
      <c r="A318" s="1368" t="str">
        <f t="shared" si="212"/>
        <v>JL. STM (BELIBIS)2019</v>
      </c>
      <c r="B318" s="687"/>
      <c r="C318" s="463"/>
      <c r="D318" s="464"/>
      <c r="E318" s="465"/>
      <c r="F318" s="466">
        <v>2019</v>
      </c>
      <c r="G318" s="620">
        <v>0</v>
      </c>
      <c r="H318" s="464">
        <f>IF(N317-(F318-F317)&lt;=0,0,(N317-(F318-F317)))</f>
        <v>7</v>
      </c>
      <c r="I318" s="467"/>
      <c r="J318" s="468">
        <f>(F318+N318)-1</f>
        <v>2025</v>
      </c>
      <c r="K318" s="490">
        <f>IF(G318=0,0,IF(H318=10,100%,G318/W317))</f>
        <v>0</v>
      </c>
      <c r="L318" s="469">
        <f>IF(K318=0%,0,IF(K318&lt;=30%,2,IF(K318&lt;=60%,5,10)))</f>
        <v>0</v>
      </c>
      <c r="M318" s="683">
        <f t="shared" si="217"/>
        <v>0</v>
      </c>
      <c r="N318" s="470">
        <f>IF(OR(AND(ISBLANK(F318),ISBLANK(G318)),ISTEXT(F318),ISTEXT(G318)),"",H318+M318)</f>
        <v>7</v>
      </c>
      <c r="O318" s="468">
        <f>(F318+N318)-1</f>
        <v>2025</v>
      </c>
      <c r="P318" s="616">
        <f>W317</f>
        <v>1921535917.0860851</v>
      </c>
      <c r="Q318" s="472">
        <f>P318+G318</f>
        <v>1921535917.0860851</v>
      </c>
      <c r="R318" s="472">
        <f>IF(L318=0,R317,Q318/N318)</f>
        <v>274505131.01229793</v>
      </c>
      <c r="S318" s="1189">
        <f>F318</f>
        <v>2019</v>
      </c>
      <c r="T318" s="470">
        <f>S318-S317</f>
        <v>1</v>
      </c>
      <c r="U318" s="612">
        <f>R318*T318</f>
        <v>274505131.01229793</v>
      </c>
      <c r="V318" s="464">
        <f>F318</f>
        <v>2019</v>
      </c>
      <c r="W318" s="612">
        <f>IF(OR(AND(ISBLANK(E318),ISBLANK(G318)),ISTEXT(E318),ISTEXT(G318)),"",Q318-U318)</f>
        <v>1647030786.0737872</v>
      </c>
      <c r="X318" s="473"/>
      <c r="Y318" s="478"/>
      <c r="Z318" s="449"/>
      <c r="AA318" s="573"/>
      <c r="AB318" s="476"/>
      <c r="AC318" s="476"/>
      <c r="AD318" s="568"/>
      <c r="AE318" s="476"/>
      <c r="AF318" s="568"/>
      <c r="AG318" s="476"/>
      <c r="AH318" s="476"/>
      <c r="AI318" s="477"/>
      <c r="AJ318" s="478"/>
      <c r="AK318" s="479"/>
      <c r="AL318" s="480"/>
      <c r="AM318" s="474"/>
      <c r="AN318" s="481"/>
      <c r="AO318" s="474"/>
      <c r="AP318" s="476"/>
      <c r="AQ318" s="482"/>
      <c r="AR318" s="478"/>
      <c r="AS318" s="478"/>
      <c r="AT318" s="476"/>
      <c r="AU318" s="482"/>
      <c r="AV318" s="478"/>
      <c r="AW318" s="483"/>
      <c r="AX318" s="476"/>
      <c r="AY318" s="482"/>
      <c r="AZ318" s="478"/>
      <c r="BA318" s="484"/>
      <c r="BB318" s="474"/>
      <c r="BC318" s="485"/>
      <c r="BD318" s="485"/>
      <c r="BG318" s="487"/>
    </row>
    <row r="319" spans="1:59" s="486" customFormat="1" ht="18" customHeight="1" x14ac:dyDescent="0.2">
      <c r="A319" s="1369"/>
      <c r="B319" s="687"/>
      <c r="C319" s="463"/>
      <c r="D319" s="464"/>
      <c r="E319" s="465"/>
      <c r="F319" s="1167"/>
      <c r="G319" s="620"/>
      <c r="H319" s="469" t="str">
        <f>IF(OR(AND(ISBLANK(E319),ISBLANK(G319)),ISTEXT(E319),ISTEXT(G319)),"",IF(#REF!-(YEAR(E319)-YEAR(#REF!))&lt;0,0,#REF!-(YEAR(E319)-YEAR(#REF!))))</f>
        <v/>
      </c>
      <c r="I319" s="467" t="str">
        <f>IF(OR(AND(ISBLANK(E319),ISBLANK(G319)),ISTEXT(E319),ISTEXT(G319)),"",IF(#REF!-E319&lt;0,0,#REF!-E319))</f>
        <v/>
      </c>
      <c r="J319" s="498" t="str">
        <f>IF(OR(AND(ISBLANK(E319),ISBLANK(G319)),ISTEXT(E319),ISTEXT(G319)),"",#REF!)</f>
        <v/>
      </c>
      <c r="K319" s="498"/>
      <c r="L319" s="469" t="str">
        <f>IF(OR(AND(ISBLANK(E319),ISBLANK(G319)),ISTEXT(E319),ISTEXT(G319)),"",ROUNDDOWN(G319/SUM($G$57:G315)*$H$57,0))</f>
        <v/>
      </c>
      <c r="M319" s="683" t="str">
        <f>IF(OR(AND(ISBLANK(E319),ISBLANK(G319)),ISTEXT(E319),ISTEXT(G319)),"",IF(H319+L319&gt;$H$57,$H$57-H319,L319))</f>
        <v/>
      </c>
      <c r="N319" s="470" t="str">
        <f>IF(OR(AND(ISBLANK(E319),ISBLANK(G319)),ISTEXT(E319),ISTEXT(G319)),"",H319+M319)</f>
        <v/>
      </c>
      <c r="O319" s="498" t="str">
        <f>IF(OR(AND(ISBLANK(E319),ISBLANK(G319)),ISTEXT(E319),ISTEXT(G319)),"",DATE(YEAR($J319)+M319,MONTH($J319),DAY($J319)))</f>
        <v/>
      </c>
      <c r="P319" s="748" t="str">
        <f>IF(OR(AND(ISBLANK(E319),ISBLANK(G319)),ISTEXT(E319),ISTEXT(G319)),"",#REF!-#REF!*(IF(J319&lt;E319,J319,E319)-#REF!))</f>
        <v/>
      </c>
      <c r="Q319" s="500" t="str">
        <f>IF(OR(AND(ISBLANK(E319),ISBLANK(G319)),ISTEXT(E319),ISTEXT(G319)),"",P319+G319)</f>
        <v/>
      </c>
      <c r="R319" s="501" t="str">
        <f>IF(OR(AND(ISBLANK(E319),ISBLANK(G319)),ISTEXT(E319),ISTEXT(G319)),"",IF(OR(E319&lt;DATE(2004,12,31),#REF!=0),0,Q319/#REF!))</f>
        <v/>
      </c>
      <c r="S319" s="502" t="str">
        <f>IF(OR(AND(ISBLANK(E319),ISBLANK(G319)),ISTEXT(E319),ISTEXT(G319)),"",IF(YEAR(E319)&lt;=YEAR(#REF!),"-",YEAR(E319)-1))</f>
        <v/>
      </c>
      <c r="T319" s="502"/>
      <c r="U319" s="612" t="str">
        <f>IF(OR(AND(ISBLANK(E319),ISBLANK(G319)),ISTEXT(E319),ISTEXT(G319)),"",IF(AND(J319&lt;=DATE(2004,12,31),E319&gt;J319),SUM($G319:G319),#REF!+#REF!+#REF!*IF(YEAR(E319)&lt;=YEAR(#REF!),0,(IF(DATE(YEAR(E319)-1,12,31)&gt;J319,J319,DATE(YEAR(E319)-1,12,31))-#REF!))))</f>
        <v/>
      </c>
      <c r="V319" s="503" t="str">
        <f>IF(OR(AND(ISBLANK(E319),ISBLANK(G319)),ISTEXT(E319),ISTEXT(G319)),"",IF(YEAR(E319)=YEAR(E320),E320,DATE(YEAR(E319),12,31)))</f>
        <v/>
      </c>
      <c r="W319" s="612" t="str">
        <f>IF(OR(AND(ISBLANK(E319),ISBLANK(G319)),ISTEXT(E319),ISTEXT(G319)),"",IF(Q319=0,0,IF(AND(J319&lt;=DATE(2004,12,31),E319&gt;=J319),Q319-U319,Q319-#REF!)))</f>
        <v/>
      </c>
      <c r="X319" s="504" t="str">
        <f>IF(OR(AND(ISBLANK(E319),ISBLANK(G319)),ISTEXT(E319),ISTEXT(G319)),"",$D$57&amp;"//"&amp;TEXT($E$57,"dd-mmm-yyyy")&amp;"//"&amp;#REF!)</f>
        <v/>
      </c>
      <c r="Y319" s="476"/>
      <c r="Z319" s="476"/>
      <c r="AA319" s="476"/>
      <c r="AB319" s="476"/>
      <c r="AC319" s="476"/>
      <c r="AD319" s="568"/>
      <c r="AE319" s="476"/>
      <c r="AF319" s="568"/>
      <c r="AG319" s="476"/>
      <c r="AH319" s="476"/>
      <c r="AI319" s="477"/>
      <c r="AJ319" s="478"/>
      <c r="AK319" s="479"/>
      <c r="AL319" s="480"/>
      <c r="AM319" s="474"/>
      <c r="AN319" s="481"/>
      <c r="AO319" s="474"/>
      <c r="AP319" s="476"/>
      <c r="AQ319" s="482"/>
      <c r="AR319" s="478"/>
      <c r="AS319" s="478"/>
      <c r="AT319" s="476"/>
      <c r="AU319" s="482"/>
      <c r="AV319" s="478"/>
      <c r="AW319" s="483"/>
      <c r="AX319" s="476"/>
      <c r="AY319" s="482"/>
      <c r="AZ319" s="478"/>
      <c r="BA319" s="484"/>
      <c r="BB319" s="474"/>
      <c r="BC319" s="485"/>
      <c r="BD319" s="485"/>
      <c r="BG319" s="487"/>
    </row>
    <row r="320" spans="1:59" s="551" customFormat="1" ht="18" customHeight="1" x14ac:dyDescent="0.2">
      <c r="A320" s="1370" t="s">
        <v>4184</v>
      </c>
      <c r="B320" s="2039" t="s">
        <v>4184</v>
      </c>
      <c r="C320" s="2040"/>
      <c r="D320" s="2040"/>
      <c r="E320" s="2040"/>
      <c r="F320" s="2041"/>
      <c r="G320" s="625">
        <f>SUM(G306:G319)</f>
        <v>5716986858.6148977</v>
      </c>
      <c r="H320" s="534"/>
      <c r="I320" s="535"/>
      <c r="J320" s="536"/>
      <c r="K320" s="536"/>
      <c r="L320" s="534"/>
      <c r="M320" s="1163"/>
      <c r="N320" s="537"/>
      <c r="O320" s="536"/>
      <c r="P320" s="751"/>
      <c r="Q320" s="538"/>
      <c r="R320" s="539"/>
      <c r="S320" s="540"/>
      <c r="T320" s="540"/>
      <c r="U320" s="1166">
        <f>SUM(U306:U319)</f>
        <v>4069956072.54111</v>
      </c>
      <c r="V320" s="541"/>
      <c r="W320" s="1166">
        <f>G320-U320</f>
        <v>1647030786.0737877</v>
      </c>
      <c r="X320" s="1162"/>
      <c r="Y320" s="426"/>
      <c r="Z320" s="426"/>
      <c r="AA320" s="426"/>
      <c r="AB320" s="426"/>
      <c r="AC320" s="426"/>
      <c r="AD320" s="564"/>
      <c r="AE320" s="426"/>
      <c r="AF320" s="564">
        <v>6628630678.5496902</v>
      </c>
      <c r="AG320" s="426"/>
      <c r="AH320" s="426"/>
      <c r="AI320" s="542"/>
      <c r="AJ320" s="543"/>
      <c r="AK320" s="432"/>
      <c r="AL320" s="544"/>
      <c r="AM320" s="545"/>
      <c r="AN320" s="546"/>
      <c r="AO320" s="545"/>
      <c r="AP320" s="426"/>
      <c r="AQ320" s="547"/>
      <c r="AR320" s="543"/>
      <c r="AS320" s="543"/>
      <c r="AT320" s="426"/>
      <c r="AU320" s="547"/>
      <c r="AV320" s="543"/>
      <c r="AW320" s="548"/>
      <c r="AX320" s="426"/>
      <c r="AY320" s="547"/>
      <c r="AZ320" s="543"/>
      <c r="BA320" s="549"/>
      <c r="BB320" s="545"/>
      <c r="BC320" s="550"/>
      <c r="BD320" s="550"/>
      <c r="BG320" s="552"/>
    </row>
    <row r="323" spans="1:59" s="422" customFormat="1" ht="18" customHeight="1" x14ac:dyDescent="0.2">
      <c r="A323" s="1366">
        <f>C323</f>
        <v>32</v>
      </c>
      <c r="B323" s="742" t="s">
        <v>4187</v>
      </c>
      <c r="C323" s="556">
        <v>32</v>
      </c>
      <c r="D323" s="553" t="str">
        <f>VLOOKUP(C323,RUAS,2,FALSE)</f>
        <v>JL. SUDIRMAN - JP. KM. 164 + 500</v>
      </c>
      <c r="E323" s="553"/>
      <c r="F323" s="421"/>
      <c r="G323" s="611"/>
      <c r="I323" s="423"/>
      <c r="J323" s="424"/>
      <c r="K323" s="424"/>
      <c r="M323" s="680"/>
      <c r="P323" s="611"/>
      <c r="U323" s="611"/>
      <c r="W323" s="611"/>
      <c r="Y323" s="425"/>
      <c r="Z323" s="425"/>
      <c r="AA323" s="425"/>
      <c r="AB323" s="425"/>
      <c r="AC323" s="425"/>
      <c r="AD323" s="563"/>
      <c r="AE323" s="425"/>
      <c r="AF323" s="563"/>
      <c r="AG323" s="425"/>
      <c r="AH323" s="425"/>
      <c r="AI323" s="425"/>
      <c r="AJ323" s="425"/>
      <c r="AK323" s="425"/>
      <c r="AL323" s="425"/>
      <c r="AM323" s="425"/>
      <c r="AN323" s="425"/>
      <c r="AO323" s="425"/>
      <c r="AP323" s="425"/>
      <c r="AQ323" s="425"/>
      <c r="AR323" s="425"/>
      <c r="AS323" s="425"/>
      <c r="AT323" s="425"/>
      <c r="AU323" s="425"/>
      <c r="AV323" s="425"/>
      <c r="AW323" s="425"/>
      <c r="AX323" s="425"/>
      <c r="AY323" s="425"/>
      <c r="AZ323" s="425"/>
      <c r="BA323" s="425"/>
      <c r="BB323" s="425"/>
    </row>
    <row r="324" spans="1:59" s="431" customFormat="1" ht="18" customHeight="1" x14ac:dyDescent="0.2">
      <c r="A324" s="1367"/>
      <c r="B324" s="1968" t="s">
        <v>5</v>
      </c>
      <c r="C324" s="1968" t="s">
        <v>2280</v>
      </c>
      <c r="D324" s="1968" t="s">
        <v>4157</v>
      </c>
      <c r="E324" s="1968" t="s">
        <v>4158</v>
      </c>
      <c r="F324" s="1968"/>
      <c r="G324" s="1969" t="s">
        <v>4159</v>
      </c>
      <c r="H324" s="1968" t="s">
        <v>4160</v>
      </c>
      <c r="I324" s="1968"/>
      <c r="J324" s="1968" t="s">
        <v>4185</v>
      </c>
      <c r="K324" s="1964" t="s">
        <v>4162</v>
      </c>
      <c r="L324" s="1968" t="s">
        <v>4163</v>
      </c>
      <c r="M324" s="1971" t="s">
        <v>4164</v>
      </c>
      <c r="N324" s="1962" t="s">
        <v>4165</v>
      </c>
      <c r="O324" s="1968" t="s">
        <v>4166</v>
      </c>
      <c r="P324" s="1972" t="s">
        <v>4167</v>
      </c>
      <c r="Q324" s="1973"/>
      <c r="R324" s="1250" t="s">
        <v>4186</v>
      </c>
      <c r="S324" s="1972" t="s">
        <v>4169</v>
      </c>
      <c r="T324" s="1974"/>
      <c r="U324" s="1973"/>
      <c r="V324" s="1975" t="s">
        <v>4170</v>
      </c>
      <c r="W324" s="1975"/>
      <c r="X324" s="1960" t="s">
        <v>4171</v>
      </c>
      <c r="Y324" s="1959"/>
      <c r="Z324" s="1246"/>
      <c r="AA324" s="426"/>
      <c r="AB324" s="426"/>
      <c r="AC324" s="426"/>
      <c r="AD324" s="564"/>
      <c r="AE324" s="426"/>
      <c r="AF324" s="564"/>
      <c r="AG324" s="426"/>
      <c r="AH324" s="426"/>
      <c r="AI324" s="427"/>
      <c r="AJ324" s="427"/>
      <c r="AK324" s="427"/>
      <c r="AL324" s="427"/>
      <c r="AM324" s="428"/>
      <c r="AN324" s="427"/>
      <c r="AO324" s="427"/>
      <c r="AP324" s="426"/>
      <c r="AQ324" s="427"/>
      <c r="AR324" s="427"/>
      <c r="AS324" s="427"/>
      <c r="AT324" s="426"/>
      <c r="AU324" s="427"/>
      <c r="AV324" s="427"/>
      <c r="AW324" s="427"/>
      <c r="AX324" s="426"/>
      <c r="AY324" s="427"/>
      <c r="AZ324" s="427"/>
      <c r="BA324" s="427"/>
      <c r="BB324" s="429"/>
      <c r="BC324" s="430"/>
      <c r="BD324" s="430"/>
    </row>
    <row r="325" spans="1:59" s="431" customFormat="1" ht="18" customHeight="1" x14ac:dyDescent="0.2">
      <c r="A325" s="1367"/>
      <c r="B325" s="1968"/>
      <c r="C325" s="1968"/>
      <c r="D325" s="1968"/>
      <c r="E325" s="1968"/>
      <c r="F325" s="1968"/>
      <c r="G325" s="1969"/>
      <c r="H325" s="1968"/>
      <c r="I325" s="1968"/>
      <c r="J325" s="1968"/>
      <c r="K325" s="1970"/>
      <c r="L325" s="1968"/>
      <c r="M325" s="1971"/>
      <c r="N325" s="1963"/>
      <c r="O325" s="1968"/>
      <c r="P325" s="2037" t="s">
        <v>4172</v>
      </c>
      <c r="Q325" s="1960" t="s">
        <v>4173</v>
      </c>
      <c r="R325" s="1962" t="s">
        <v>4159</v>
      </c>
      <c r="S325" s="1962" t="s">
        <v>4174</v>
      </c>
      <c r="T325" s="1964" t="s">
        <v>4175</v>
      </c>
      <c r="U325" s="1966" t="s">
        <v>4159</v>
      </c>
      <c r="V325" s="1975"/>
      <c r="W325" s="1975"/>
      <c r="X325" s="1976"/>
      <c r="Y325" s="1959"/>
      <c r="Z325" s="1246"/>
      <c r="AA325" s="426"/>
      <c r="AB325" s="426"/>
      <c r="AC325" s="426"/>
      <c r="AD325" s="564"/>
      <c r="AE325" s="426"/>
      <c r="AF325" s="564"/>
      <c r="AG325" s="426"/>
      <c r="AH325" s="426"/>
      <c r="AI325" s="427"/>
      <c r="AJ325" s="427"/>
      <c r="AK325" s="426"/>
      <c r="AL325" s="427"/>
      <c r="AM325" s="428"/>
      <c r="AN325" s="427"/>
      <c r="AO325" s="427"/>
      <c r="AP325" s="432"/>
      <c r="AQ325" s="427"/>
      <c r="AR325" s="427"/>
      <c r="AS325" s="427"/>
      <c r="AT325" s="432"/>
      <c r="AU325" s="427"/>
      <c r="AV325" s="427"/>
      <c r="AW325" s="427"/>
      <c r="AX325" s="432"/>
      <c r="AY325" s="427"/>
      <c r="AZ325" s="427"/>
      <c r="BA325" s="427"/>
      <c r="BB325" s="429"/>
      <c r="BC325" s="430"/>
      <c r="BD325" s="430"/>
    </row>
    <row r="326" spans="1:59" s="431" customFormat="1" ht="18" customHeight="1" x14ac:dyDescent="0.2">
      <c r="A326" s="1367"/>
      <c r="B326" s="1968"/>
      <c r="C326" s="1968"/>
      <c r="D326" s="1968"/>
      <c r="E326" s="433" t="s">
        <v>4176</v>
      </c>
      <c r="F326" s="434" t="s">
        <v>2288</v>
      </c>
      <c r="G326" s="1969"/>
      <c r="H326" s="1247" t="s">
        <v>2288</v>
      </c>
      <c r="I326" s="1247" t="s">
        <v>4177</v>
      </c>
      <c r="J326" s="1968"/>
      <c r="K326" s="1965"/>
      <c r="L326" s="435" t="s">
        <v>2288</v>
      </c>
      <c r="M326" s="681" t="s">
        <v>2288</v>
      </c>
      <c r="N326" s="1247" t="s">
        <v>2288</v>
      </c>
      <c r="O326" s="1968"/>
      <c r="P326" s="2038"/>
      <c r="Q326" s="1961"/>
      <c r="R326" s="1963"/>
      <c r="S326" s="1963"/>
      <c r="T326" s="1965"/>
      <c r="U326" s="1967"/>
      <c r="V326" s="1247" t="s">
        <v>4178</v>
      </c>
      <c r="W326" s="1248" t="s">
        <v>4159</v>
      </c>
      <c r="X326" s="1961"/>
      <c r="Y326" s="436"/>
      <c r="Z326" s="436"/>
      <c r="AA326" s="426"/>
      <c r="AB326" s="426"/>
      <c r="AC326" s="426"/>
      <c r="AD326" s="564"/>
      <c r="AE326" s="426"/>
      <c r="AF326" s="564"/>
      <c r="AG326" s="426"/>
      <c r="AH326" s="426"/>
      <c r="AI326" s="427"/>
      <c r="AJ326" s="432"/>
      <c r="AK326" s="432"/>
      <c r="AL326" s="427"/>
      <c r="AM326" s="428"/>
      <c r="AN326" s="432"/>
      <c r="AO326" s="427"/>
      <c r="AP326" s="432"/>
      <c r="AQ326" s="432"/>
      <c r="AR326" s="427"/>
      <c r="AS326" s="427"/>
      <c r="AT326" s="432"/>
      <c r="AU326" s="432"/>
      <c r="AV326" s="427"/>
      <c r="AW326" s="427"/>
      <c r="AX326" s="432"/>
      <c r="AY326" s="432"/>
      <c r="AZ326" s="427"/>
      <c r="BA326" s="427"/>
      <c r="BB326" s="429"/>
      <c r="BC326" s="430"/>
      <c r="BD326" s="430"/>
    </row>
    <row r="327" spans="1:59" s="461" customFormat="1" ht="18" customHeight="1" x14ac:dyDescent="0.2">
      <c r="A327" s="1368" t="str">
        <f>$D$323&amp;S327</f>
        <v>JL. SUDIRMAN - JP. KM. 164 + 5002001</v>
      </c>
      <c r="B327" s="1373">
        <v>1</v>
      </c>
      <c r="C327" s="532" t="s">
        <v>529</v>
      </c>
      <c r="D327" s="437" t="s">
        <v>2494</v>
      </c>
      <c r="E327" s="438"/>
      <c r="F327" s="439">
        <v>2001</v>
      </c>
      <c r="G327" s="623">
        <f>56840000000+1742422500</f>
        <v>58582422500</v>
      </c>
      <c r="H327" s="440">
        <f>VLOOKUP(LEFT(D327,8),UE,4)</f>
        <v>10</v>
      </c>
      <c r="I327" s="441"/>
      <c r="J327" s="442">
        <f>(F327+N327)-1</f>
        <v>2010</v>
      </c>
      <c r="K327" s="443"/>
      <c r="L327" s="440"/>
      <c r="M327" s="746">
        <f>IF(H327+L327&gt;$H327,$H327-H327,L327)</f>
        <v>0</v>
      </c>
      <c r="N327" s="444">
        <f>H327+M327</f>
        <v>10</v>
      </c>
      <c r="O327" s="442">
        <f>(F327+N327)-1</f>
        <v>2010</v>
      </c>
      <c r="P327" s="617">
        <f>G327</f>
        <v>58582422500</v>
      </c>
      <c r="Q327" s="445">
        <v>0</v>
      </c>
      <c r="R327" s="445">
        <f>P327/N327</f>
        <v>5858242250</v>
      </c>
      <c r="S327" s="446">
        <f>F327</f>
        <v>2001</v>
      </c>
      <c r="T327" s="447">
        <v>1</v>
      </c>
      <c r="U327" s="613">
        <f>R327*T327</f>
        <v>5858242250</v>
      </c>
      <c r="V327" s="442">
        <f>F327</f>
        <v>2001</v>
      </c>
      <c r="W327" s="617">
        <f>IF(OR(AND(ISBLANK(E327),ISBLANK(G327)),ISTEXT(E327),ISTEXT(G327)),"",G327-R327)</f>
        <v>52724180250</v>
      </c>
      <c r="X327" s="448"/>
      <c r="Y327" s="449"/>
      <c r="Z327" s="449"/>
      <c r="AA327" s="450" t="s">
        <v>4179</v>
      </c>
      <c r="AB327" s="451"/>
      <c r="AC327" s="451"/>
      <c r="AD327" s="565"/>
      <c r="AE327" s="452"/>
      <c r="AF327" s="571"/>
      <c r="AG327" s="452"/>
      <c r="AH327" s="452"/>
      <c r="AI327" s="453"/>
      <c r="AJ327" s="449"/>
      <c r="AK327" s="453"/>
      <c r="AL327" s="454"/>
      <c r="AM327" s="455"/>
      <c r="AN327" s="456"/>
      <c r="AO327" s="455"/>
      <c r="AP327" s="452"/>
      <c r="AQ327" s="457"/>
      <c r="AR327" s="449"/>
      <c r="AS327" s="449"/>
      <c r="AT327" s="452"/>
      <c r="AU327" s="457"/>
      <c r="AV327" s="449"/>
      <c r="AW327" s="458"/>
      <c r="AX327" s="452"/>
      <c r="AY327" s="457"/>
      <c r="AZ327" s="449"/>
      <c r="BA327" s="459"/>
      <c r="BB327" s="455"/>
      <c r="BC327" s="460"/>
      <c r="BD327" s="460"/>
      <c r="BG327" s="462"/>
    </row>
    <row r="328" spans="1:59" s="486" customFormat="1" ht="18" customHeight="1" x14ac:dyDescent="0.2">
      <c r="A328" s="1368" t="str">
        <f t="shared" ref="A328:A340" si="228">$D$323&amp;S328</f>
        <v>JL. SUDIRMAN - JP. KM. 164 + 5002001</v>
      </c>
      <c r="B328" s="1373">
        <v>2</v>
      </c>
      <c r="C328" s="463" t="s">
        <v>529</v>
      </c>
      <c r="D328" s="464"/>
      <c r="E328" s="465"/>
      <c r="F328" s="466">
        <v>2001</v>
      </c>
      <c r="G328" s="620">
        <v>0</v>
      </c>
      <c r="H328" s="464">
        <f>IF(N327-(F328-F327)&lt;=0,0,(N327-(F328-F327)))</f>
        <v>10</v>
      </c>
      <c r="I328" s="467"/>
      <c r="J328" s="468">
        <f>(F328+N328)-1</f>
        <v>2010</v>
      </c>
      <c r="K328" s="490">
        <f>IF(G328=0,0,IF(H328=10,100%,G328/W327))</f>
        <v>0</v>
      </c>
      <c r="L328" s="469">
        <f>IF(K328=0%,0,IF(K328&lt;=30%,2,IF(K328&lt;=60%,5,10)))</f>
        <v>0</v>
      </c>
      <c r="M328" s="683">
        <f>IF(OR(AND(ISBLANK(E328),ISBLANK(G328)),ISTEXT(E328),ISTEXT(G328)),"",IF(H328+L328&gt;$H$8,$H$8-H328,L328))</f>
        <v>0</v>
      </c>
      <c r="N328" s="470">
        <f>IF(OR(AND(ISBLANK(F328),ISBLANK(G328)),ISTEXT(F328),ISTEXT(G328)),"",H328+M328)</f>
        <v>10</v>
      </c>
      <c r="O328" s="468">
        <f>(F328+N328)-1</f>
        <v>2010</v>
      </c>
      <c r="P328" s="616">
        <f>W327</f>
        <v>52724180250</v>
      </c>
      <c r="Q328" s="472">
        <f>P328+G328</f>
        <v>52724180250</v>
      </c>
      <c r="R328" s="472">
        <f>IF(L328=0,R327,Q328/N328)</f>
        <v>5858242250</v>
      </c>
      <c r="S328" s="1189">
        <f>F328</f>
        <v>2001</v>
      </c>
      <c r="T328" s="470">
        <f>S328-S327</f>
        <v>0</v>
      </c>
      <c r="U328" s="612">
        <f>R328*T328</f>
        <v>0</v>
      </c>
      <c r="V328" s="464">
        <f>F328</f>
        <v>2001</v>
      </c>
      <c r="W328" s="612">
        <f>IF(OR(AND(ISBLANK(E328),ISBLANK(G328)),ISTEXT(E328),ISTEXT(G328)),"",Q328-U328)</f>
        <v>52724180250</v>
      </c>
      <c r="X328" s="473"/>
      <c r="Y328" s="474"/>
      <c r="Z328" s="449"/>
      <c r="AA328" s="475" t="s">
        <v>4180</v>
      </c>
      <c r="AB328" s="476"/>
      <c r="AC328" s="476"/>
      <c r="AD328" s="567">
        <f>G343</f>
        <v>60701086483.622681</v>
      </c>
      <c r="AE328" s="476"/>
      <c r="AF328" s="568"/>
      <c r="AG328" s="476"/>
      <c r="AH328" s="476"/>
      <c r="AI328" s="477"/>
      <c r="AJ328" s="478"/>
      <c r="AK328" s="479"/>
      <c r="AL328" s="480"/>
      <c r="AM328" s="474"/>
      <c r="AN328" s="481"/>
      <c r="AO328" s="474"/>
      <c r="AP328" s="476"/>
      <c r="AQ328" s="482"/>
      <c r="AR328" s="478"/>
      <c r="AS328" s="478"/>
      <c r="AT328" s="476"/>
      <c r="AU328" s="482"/>
      <c r="AV328" s="478"/>
      <c r="AW328" s="483"/>
      <c r="AX328" s="476"/>
      <c r="AY328" s="482"/>
      <c r="AZ328" s="478"/>
      <c r="BA328" s="484"/>
      <c r="BB328" s="474"/>
      <c r="BC328" s="485"/>
      <c r="BD328" s="485"/>
      <c r="BG328" s="487"/>
    </row>
    <row r="329" spans="1:59" s="486" customFormat="1" ht="18" customHeight="1" x14ac:dyDescent="0.2">
      <c r="A329" s="1368" t="str">
        <f t="shared" si="228"/>
        <v>JL. SUDIRMAN - JP. KM. 164 + 5002007</v>
      </c>
      <c r="B329" s="1373"/>
      <c r="C329" s="493"/>
      <c r="D329" s="464"/>
      <c r="E329" s="465"/>
      <c r="F329" s="466">
        <v>2007</v>
      </c>
      <c r="G329" s="620">
        <v>0</v>
      </c>
      <c r="H329" s="464">
        <f>IF(N328-(F329-F328)&lt;=0,0,(N328-(F329-F328)))</f>
        <v>4</v>
      </c>
      <c r="I329" s="467"/>
      <c r="J329" s="468">
        <f>(F329+N329)-1</f>
        <v>2010</v>
      </c>
      <c r="K329" s="490">
        <f>IF(G329=0,0,IF(H329=10,100%,G329/W328))</f>
        <v>0</v>
      </c>
      <c r="L329" s="469">
        <f>IF(K329=0%,0,IF(K329&lt;=30%,2,IF(K329&lt;=60%,5,10)))</f>
        <v>0</v>
      </c>
      <c r="M329" s="683">
        <f>IF(OR(AND(ISBLANK(E329),ISBLANK(G329)),ISTEXT(E329),ISTEXT(G329)),"",IF(H329+L329&gt;$H$8,$H$8-H329,L329))</f>
        <v>0</v>
      </c>
      <c r="N329" s="470">
        <f>IF(OR(AND(ISBLANK(F329),ISBLANK(G329)),ISTEXT(F329),ISTEXT(G329)),"",H329+M329)</f>
        <v>4</v>
      </c>
      <c r="O329" s="468">
        <f>(F329+N329)-1</f>
        <v>2010</v>
      </c>
      <c r="P329" s="616">
        <f>W328</f>
        <v>52724180250</v>
      </c>
      <c r="Q329" s="472">
        <f>P329+G329</f>
        <v>52724180250</v>
      </c>
      <c r="R329" s="472">
        <f>IF(L329=0,R328,Q329/N329)</f>
        <v>5858242250</v>
      </c>
      <c r="S329" s="1189">
        <f>F329</f>
        <v>2007</v>
      </c>
      <c r="T329" s="470">
        <f>S329-S328</f>
        <v>6</v>
      </c>
      <c r="U329" s="612">
        <f>R329*T329</f>
        <v>35149453500</v>
      </c>
      <c r="V329" s="464">
        <f>F329</f>
        <v>2007</v>
      </c>
      <c r="W329" s="612">
        <f>IF(OR(AND(ISBLANK(E329),ISBLANK(G329)),ISTEXT(E329),ISTEXT(G329)),"",Q329-U329)</f>
        <v>17574726750</v>
      </c>
      <c r="X329" s="473"/>
      <c r="Y329" s="474"/>
      <c r="Z329" s="449"/>
      <c r="AA329" s="475"/>
      <c r="AB329" s="476"/>
      <c r="AC329" s="476"/>
      <c r="AD329" s="567"/>
      <c r="AE329" s="476"/>
      <c r="AF329" s="568"/>
      <c r="AG329" s="476"/>
      <c r="AH329" s="476"/>
      <c r="AI329" s="477"/>
      <c r="AJ329" s="478"/>
      <c r="AK329" s="479"/>
      <c r="AL329" s="480"/>
      <c r="AM329" s="474"/>
      <c r="AN329" s="481"/>
      <c r="AO329" s="474"/>
      <c r="AP329" s="476"/>
      <c r="AQ329" s="482"/>
      <c r="AR329" s="478"/>
      <c r="AS329" s="478"/>
      <c r="AT329" s="476"/>
      <c r="AU329" s="482"/>
      <c r="AV329" s="478"/>
      <c r="AW329" s="483"/>
      <c r="AX329" s="476"/>
      <c r="AY329" s="482"/>
      <c r="AZ329" s="478"/>
      <c r="BA329" s="484"/>
      <c r="BB329" s="474"/>
      <c r="BC329" s="485"/>
      <c r="BD329" s="485"/>
      <c r="BG329" s="487"/>
    </row>
    <row r="330" spans="1:59" s="486" customFormat="1" ht="18" customHeight="1" x14ac:dyDescent="0.2">
      <c r="A330" s="1368" t="str">
        <f t="shared" si="228"/>
        <v>JL. SUDIRMAN - JP. KM. 164 + 5002008</v>
      </c>
      <c r="B330" s="1373">
        <v>3</v>
      </c>
      <c r="C330" s="463" t="s">
        <v>5103</v>
      </c>
      <c r="D330" s="464"/>
      <c r="E330" s="465"/>
      <c r="F330" s="466">
        <v>2008</v>
      </c>
      <c r="G330" s="620">
        <v>2118663983.6226768</v>
      </c>
      <c r="H330" s="464">
        <f t="shared" ref="H330:H341" si="229">IF(N329-(F330-F329)&lt;=0,0,(N329-(F330-F329)))</f>
        <v>3</v>
      </c>
      <c r="I330" s="467"/>
      <c r="J330" s="468">
        <f t="shared" ref="J330:J341" si="230">(F330+N330)-1</f>
        <v>2012</v>
      </c>
      <c r="K330" s="490">
        <f t="shared" ref="K330:K341" si="231">IF(G330=0,0,IF(H330=10,100%,G330/W329))</f>
        <v>0.12055174534208202</v>
      </c>
      <c r="L330" s="469">
        <f t="shared" ref="L330:L341" si="232">IF(K330=0%,0,IF(K330&lt;=30%,2,IF(K330&lt;=60%,5,10)))</f>
        <v>2</v>
      </c>
      <c r="M330" s="683">
        <f t="shared" ref="M330:M341" si="233">IF(OR(AND(ISBLANK(E330),ISBLANK(G330)),ISTEXT(E330),ISTEXT(G330)),"",IF(H330+L330&gt;$H$8,$H$8-H330,L330))</f>
        <v>2</v>
      </c>
      <c r="N330" s="470">
        <f t="shared" ref="N330:N341" si="234">IF(OR(AND(ISBLANK(F330),ISBLANK(G330)),ISTEXT(F330),ISTEXT(G330)),"",H330+M330)</f>
        <v>5</v>
      </c>
      <c r="O330" s="468">
        <f t="shared" ref="O330:O341" si="235">(F330+N330)-1</f>
        <v>2012</v>
      </c>
      <c r="P330" s="616">
        <f t="shared" ref="P330:P341" si="236">W329</f>
        <v>17574726750</v>
      </c>
      <c r="Q330" s="472">
        <f t="shared" ref="Q330:Q341" si="237">P330+G330</f>
        <v>19693390733.622677</v>
      </c>
      <c r="R330" s="472">
        <f t="shared" ref="R330:R341" si="238">IF(L330=0,R329,Q330/N330)</f>
        <v>3938678146.7245355</v>
      </c>
      <c r="S330" s="1189">
        <f t="shared" ref="S330:S341" si="239">F330</f>
        <v>2008</v>
      </c>
      <c r="T330" s="470">
        <f t="shared" ref="T330:T341" si="240">S330-S329</f>
        <v>1</v>
      </c>
      <c r="U330" s="612">
        <f t="shared" ref="U330:U341" si="241">R330*T330</f>
        <v>3938678146.7245355</v>
      </c>
      <c r="V330" s="464">
        <f t="shared" ref="V330:V341" si="242">F330</f>
        <v>2008</v>
      </c>
      <c r="W330" s="612">
        <f t="shared" ref="W330:W341" si="243">IF(OR(AND(ISBLANK(E330),ISBLANK(G330)),ISTEXT(E330),ISTEXT(G330)),"",Q330-U330)</f>
        <v>15754712586.898142</v>
      </c>
      <c r="X330" s="473"/>
      <c r="Y330" s="474"/>
      <c r="Z330" s="449"/>
      <c r="AA330" s="475"/>
      <c r="AB330" s="476"/>
      <c r="AC330" s="476"/>
      <c r="AD330" s="567"/>
      <c r="AE330" s="476"/>
      <c r="AF330" s="568"/>
      <c r="AG330" s="476"/>
      <c r="AH330" s="476"/>
      <c r="AI330" s="477"/>
      <c r="AJ330" s="478"/>
      <c r="AK330" s="479"/>
      <c r="AL330" s="480"/>
      <c r="AM330" s="474"/>
      <c r="AN330" s="481"/>
      <c r="AO330" s="474"/>
      <c r="AP330" s="476"/>
      <c r="AQ330" s="482"/>
      <c r="AR330" s="478"/>
      <c r="AS330" s="478"/>
      <c r="AT330" s="476"/>
      <c r="AU330" s="482"/>
      <c r="AV330" s="478"/>
      <c r="AW330" s="483"/>
      <c r="AX330" s="476"/>
      <c r="AY330" s="482"/>
      <c r="AZ330" s="478"/>
      <c r="BA330" s="484"/>
      <c r="BB330" s="474"/>
      <c r="BC330" s="485"/>
      <c r="BD330" s="485"/>
      <c r="BG330" s="487"/>
    </row>
    <row r="331" spans="1:59" s="486" customFormat="1" ht="18" customHeight="1" x14ac:dyDescent="0.2">
      <c r="A331" s="1368" t="str">
        <f t="shared" si="228"/>
        <v>JL. SUDIRMAN - JP. KM. 164 + 5002009</v>
      </c>
      <c r="B331" s="1373"/>
      <c r="C331" s="463"/>
      <c r="D331" s="464"/>
      <c r="E331" s="465"/>
      <c r="F331" s="466">
        <v>2009</v>
      </c>
      <c r="G331" s="620">
        <v>0</v>
      </c>
      <c r="H331" s="464">
        <f t="shared" si="229"/>
        <v>4</v>
      </c>
      <c r="I331" s="467"/>
      <c r="J331" s="468">
        <f t="shared" si="230"/>
        <v>2012</v>
      </c>
      <c r="K331" s="490">
        <f t="shared" si="231"/>
        <v>0</v>
      </c>
      <c r="L331" s="469">
        <f t="shared" si="232"/>
        <v>0</v>
      </c>
      <c r="M331" s="683">
        <f t="shared" si="233"/>
        <v>0</v>
      </c>
      <c r="N331" s="470">
        <f t="shared" si="234"/>
        <v>4</v>
      </c>
      <c r="O331" s="468">
        <f t="shared" si="235"/>
        <v>2012</v>
      </c>
      <c r="P331" s="616">
        <f t="shared" si="236"/>
        <v>15754712586.898142</v>
      </c>
      <c r="Q331" s="472">
        <f t="shared" si="237"/>
        <v>15754712586.898142</v>
      </c>
      <c r="R331" s="472">
        <f t="shared" si="238"/>
        <v>3938678146.7245355</v>
      </c>
      <c r="S331" s="1189">
        <f t="shared" si="239"/>
        <v>2009</v>
      </c>
      <c r="T331" s="470">
        <f t="shared" si="240"/>
        <v>1</v>
      </c>
      <c r="U331" s="612">
        <f t="shared" si="241"/>
        <v>3938678146.7245355</v>
      </c>
      <c r="V331" s="464">
        <f t="shared" si="242"/>
        <v>2009</v>
      </c>
      <c r="W331" s="612">
        <f t="shared" si="243"/>
        <v>11816034440.173607</v>
      </c>
      <c r="X331" s="473"/>
      <c r="Y331" s="474"/>
      <c r="Z331" s="449"/>
      <c r="AA331" s="475"/>
      <c r="AB331" s="476"/>
      <c r="AC331" s="476"/>
      <c r="AD331" s="567"/>
      <c r="AE331" s="476"/>
      <c r="AF331" s="568"/>
      <c r="AG331" s="476"/>
      <c r="AH331" s="476"/>
      <c r="AI331" s="477"/>
      <c r="AJ331" s="478"/>
      <c r="AK331" s="479"/>
      <c r="AL331" s="480"/>
      <c r="AM331" s="474"/>
      <c r="AN331" s="481"/>
      <c r="AO331" s="474"/>
      <c r="AP331" s="476"/>
      <c r="AQ331" s="482"/>
      <c r="AR331" s="478"/>
      <c r="AS331" s="478"/>
      <c r="AT331" s="476"/>
      <c r="AU331" s="482"/>
      <c r="AV331" s="478"/>
      <c r="AW331" s="483"/>
      <c r="AX331" s="476"/>
      <c r="AY331" s="482"/>
      <c r="AZ331" s="478"/>
      <c r="BA331" s="484"/>
      <c r="BB331" s="474"/>
      <c r="BC331" s="485"/>
      <c r="BD331" s="485"/>
      <c r="BG331" s="487"/>
    </row>
    <row r="332" spans="1:59" s="486" customFormat="1" ht="18" customHeight="1" x14ac:dyDescent="0.2">
      <c r="A332" s="1368" t="str">
        <f t="shared" si="228"/>
        <v>JL. SUDIRMAN - JP. KM. 164 + 5002010</v>
      </c>
      <c r="B332" s="1373"/>
      <c r="C332" s="463"/>
      <c r="D332" s="464"/>
      <c r="E332" s="465"/>
      <c r="F332" s="466">
        <v>2010</v>
      </c>
      <c r="G332" s="620">
        <v>0</v>
      </c>
      <c r="H332" s="464">
        <f t="shared" si="229"/>
        <v>3</v>
      </c>
      <c r="I332" s="467"/>
      <c r="J332" s="468">
        <f t="shared" si="230"/>
        <v>2012</v>
      </c>
      <c r="K332" s="490">
        <f t="shared" si="231"/>
        <v>0</v>
      </c>
      <c r="L332" s="469">
        <f t="shared" si="232"/>
        <v>0</v>
      </c>
      <c r="M332" s="683">
        <f t="shared" si="233"/>
        <v>0</v>
      </c>
      <c r="N332" s="470">
        <f t="shared" si="234"/>
        <v>3</v>
      </c>
      <c r="O332" s="468">
        <f t="shared" si="235"/>
        <v>2012</v>
      </c>
      <c r="P332" s="616">
        <f t="shared" si="236"/>
        <v>11816034440.173607</v>
      </c>
      <c r="Q332" s="472">
        <f t="shared" si="237"/>
        <v>11816034440.173607</v>
      </c>
      <c r="R332" s="472">
        <f t="shared" si="238"/>
        <v>3938678146.7245355</v>
      </c>
      <c r="S332" s="1189">
        <f t="shared" si="239"/>
        <v>2010</v>
      </c>
      <c r="T332" s="470">
        <f t="shared" si="240"/>
        <v>1</v>
      </c>
      <c r="U332" s="612">
        <f t="shared" si="241"/>
        <v>3938678146.7245355</v>
      </c>
      <c r="V332" s="464">
        <f t="shared" si="242"/>
        <v>2010</v>
      </c>
      <c r="W332" s="612">
        <f t="shared" si="243"/>
        <v>7877356293.4490719</v>
      </c>
      <c r="X332" s="473"/>
      <c r="Y332" s="474"/>
      <c r="Z332" s="449"/>
      <c r="AA332" s="475"/>
      <c r="AB332" s="476"/>
      <c r="AC332" s="476"/>
      <c r="AD332" s="567"/>
      <c r="AE332" s="476"/>
      <c r="AF332" s="568"/>
      <c r="AG332" s="476"/>
      <c r="AH332" s="476"/>
      <c r="AI332" s="477"/>
      <c r="AJ332" s="478"/>
      <c r="AK332" s="479"/>
      <c r="AL332" s="480"/>
      <c r="AM332" s="474"/>
      <c r="AN332" s="481"/>
      <c r="AO332" s="474"/>
      <c r="AP332" s="476"/>
      <c r="AQ332" s="482"/>
      <c r="AR332" s="478"/>
      <c r="AS332" s="478"/>
      <c r="AT332" s="476"/>
      <c r="AU332" s="482"/>
      <c r="AV332" s="478"/>
      <c r="AW332" s="483"/>
      <c r="AX332" s="476"/>
      <c r="AY332" s="482"/>
      <c r="AZ332" s="478"/>
      <c r="BA332" s="484"/>
      <c r="BB332" s="474"/>
      <c r="BC332" s="485"/>
      <c r="BD332" s="485"/>
      <c r="BG332" s="487"/>
    </row>
    <row r="333" spans="1:59" s="486" customFormat="1" ht="18" customHeight="1" x14ac:dyDescent="0.2">
      <c r="A333" s="1368" t="str">
        <f t="shared" si="228"/>
        <v>JL. SUDIRMAN - JP. KM. 164 + 5002011</v>
      </c>
      <c r="B333" s="1373"/>
      <c r="C333" s="463"/>
      <c r="D333" s="464"/>
      <c r="E333" s="465"/>
      <c r="F333" s="466">
        <v>2011</v>
      </c>
      <c r="G333" s="620">
        <v>0</v>
      </c>
      <c r="H333" s="464">
        <f t="shared" si="229"/>
        <v>2</v>
      </c>
      <c r="I333" s="467"/>
      <c r="J333" s="468">
        <f t="shared" si="230"/>
        <v>2012</v>
      </c>
      <c r="K333" s="490">
        <f t="shared" si="231"/>
        <v>0</v>
      </c>
      <c r="L333" s="469">
        <f t="shared" si="232"/>
        <v>0</v>
      </c>
      <c r="M333" s="683">
        <f t="shared" si="233"/>
        <v>0</v>
      </c>
      <c r="N333" s="470">
        <f t="shared" si="234"/>
        <v>2</v>
      </c>
      <c r="O333" s="468">
        <f t="shared" si="235"/>
        <v>2012</v>
      </c>
      <c r="P333" s="616">
        <f t="shared" si="236"/>
        <v>7877356293.4490719</v>
      </c>
      <c r="Q333" s="472">
        <f t="shared" si="237"/>
        <v>7877356293.4490719</v>
      </c>
      <c r="R333" s="472">
        <f t="shared" si="238"/>
        <v>3938678146.7245355</v>
      </c>
      <c r="S333" s="1189">
        <f t="shared" si="239"/>
        <v>2011</v>
      </c>
      <c r="T333" s="470">
        <f t="shared" si="240"/>
        <v>1</v>
      </c>
      <c r="U333" s="612">
        <f t="shared" si="241"/>
        <v>3938678146.7245355</v>
      </c>
      <c r="V333" s="464">
        <f t="shared" si="242"/>
        <v>2011</v>
      </c>
      <c r="W333" s="612">
        <f t="shared" si="243"/>
        <v>3938678146.7245364</v>
      </c>
      <c r="X333" s="473"/>
      <c r="Y333" s="474"/>
      <c r="Z333" s="449"/>
      <c r="AA333" s="475"/>
      <c r="AB333" s="476"/>
      <c r="AC333" s="476"/>
      <c r="AD333" s="567"/>
      <c r="AE333" s="476"/>
      <c r="AF333" s="568"/>
      <c r="AG333" s="476"/>
      <c r="AH333" s="476"/>
      <c r="AI333" s="477"/>
      <c r="AJ333" s="478"/>
      <c r="AK333" s="479"/>
      <c r="AL333" s="480"/>
      <c r="AM333" s="474"/>
      <c r="AN333" s="481"/>
      <c r="AO333" s="474"/>
      <c r="AP333" s="476"/>
      <c r="AQ333" s="482"/>
      <c r="AR333" s="478"/>
      <c r="AS333" s="478"/>
      <c r="AT333" s="476"/>
      <c r="AU333" s="482"/>
      <c r="AV333" s="478"/>
      <c r="AW333" s="483"/>
      <c r="AX333" s="476"/>
      <c r="AY333" s="482"/>
      <c r="AZ333" s="478"/>
      <c r="BA333" s="484"/>
      <c r="BB333" s="474"/>
      <c r="BC333" s="485"/>
      <c r="BD333" s="485"/>
      <c r="BG333" s="487"/>
    </row>
    <row r="334" spans="1:59" s="486" customFormat="1" ht="18" customHeight="1" x14ac:dyDescent="0.2">
      <c r="A334" s="1368" t="str">
        <f t="shared" si="228"/>
        <v>JL. SUDIRMAN - JP. KM. 164 + 5002012</v>
      </c>
      <c r="B334" s="1373"/>
      <c r="C334" s="463"/>
      <c r="D334" s="464"/>
      <c r="E334" s="465"/>
      <c r="F334" s="466">
        <v>2012</v>
      </c>
      <c r="G334" s="620">
        <v>0</v>
      </c>
      <c r="H334" s="464">
        <f t="shared" si="229"/>
        <v>1</v>
      </c>
      <c r="I334" s="467"/>
      <c r="J334" s="468">
        <f t="shared" si="230"/>
        <v>2012</v>
      </c>
      <c r="K334" s="490">
        <f t="shared" si="231"/>
        <v>0</v>
      </c>
      <c r="L334" s="469">
        <f t="shared" si="232"/>
        <v>0</v>
      </c>
      <c r="M334" s="683">
        <f t="shared" si="233"/>
        <v>0</v>
      </c>
      <c r="N334" s="470">
        <f t="shared" si="234"/>
        <v>1</v>
      </c>
      <c r="O334" s="468">
        <f t="shared" si="235"/>
        <v>2012</v>
      </c>
      <c r="P334" s="616">
        <f t="shared" si="236"/>
        <v>3938678146.7245364</v>
      </c>
      <c r="Q334" s="472">
        <f t="shared" si="237"/>
        <v>3938678146.7245364</v>
      </c>
      <c r="R334" s="472">
        <f t="shared" si="238"/>
        <v>3938678146.7245355</v>
      </c>
      <c r="S334" s="1189">
        <f t="shared" si="239"/>
        <v>2012</v>
      </c>
      <c r="T334" s="470">
        <f t="shared" si="240"/>
        <v>1</v>
      </c>
      <c r="U334" s="612">
        <f t="shared" si="241"/>
        <v>3938678146.7245355</v>
      </c>
      <c r="V334" s="464">
        <f t="shared" si="242"/>
        <v>2012</v>
      </c>
      <c r="W334" s="612">
        <f t="shared" si="243"/>
        <v>9.5367431640625E-7</v>
      </c>
      <c r="X334" s="473"/>
      <c r="Y334" s="474"/>
      <c r="Z334" s="449"/>
      <c r="AA334" s="475"/>
      <c r="AB334" s="476"/>
      <c r="AC334" s="476"/>
      <c r="AD334" s="567"/>
      <c r="AE334" s="476"/>
      <c r="AF334" s="568"/>
      <c r="AG334" s="476"/>
      <c r="AH334" s="476"/>
      <c r="AI334" s="477"/>
      <c r="AJ334" s="478"/>
      <c r="AK334" s="479"/>
      <c r="AL334" s="480"/>
      <c r="AM334" s="474"/>
      <c r="AN334" s="481"/>
      <c r="AO334" s="474"/>
      <c r="AP334" s="476"/>
      <c r="AQ334" s="482"/>
      <c r="AR334" s="478"/>
      <c r="AS334" s="478"/>
      <c r="AT334" s="476"/>
      <c r="AU334" s="482"/>
      <c r="AV334" s="478"/>
      <c r="AW334" s="483"/>
      <c r="AX334" s="476"/>
      <c r="AY334" s="482"/>
      <c r="AZ334" s="478"/>
      <c r="BA334" s="484"/>
      <c r="BB334" s="474"/>
      <c r="BC334" s="485"/>
      <c r="BD334" s="485"/>
      <c r="BG334" s="487"/>
    </row>
    <row r="335" spans="1:59" s="486" customFormat="1" ht="18" customHeight="1" x14ac:dyDescent="0.2">
      <c r="A335" s="1368" t="str">
        <f t="shared" si="228"/>
        <v>JL. SUDIRMAN - JP. KM. 164 + 5002013</v>
      </c>
      <c r="B335" s="1373"/>
      <c r="C335" s="463"/>
      <c r="D335" s="464"/>
      <c r="E335" s="465"/>
      <c r="F335" s="466">
        <v>2013</v>
      </c>
      <c r="G335" s="620">
        <v>0</v>
      </c>
      <c r="H335" s="464">
        <f t="shared" si="229"/>
        <v>0</v>
      </c>
      <c r="I335" s="467"/>
      <c r="J335" s="468">
        <f t="shared" si="230"/>
        <v>2012</v>
      </c>
      <c r="K335" s="490">
        <f t="shared" si="231"/>
        <v>0</v>
      </c>
      <c r="L335" s="469">
        <f t="shared" si="232"/>
        <v>0</v>
      </c>
      <c r="M335" s="683">
        <f t="shared" si="233"/>
        <v>0</v>
      </c>
      <c r="N335" s="470">
        <f t="shared" si="234"/>
        <v>0</v>
      </c>
      <c r="O335" s="468">
        <f t="shared" si="235"/>
        <v>2012</v>
      </c>
      <c r="P335" s="616">
        <f t="shared" si="236"/>
        <v>9.5367431640625E-7</v>
      </c>
      <c r="Q335" s="472">
        <f t="shared" si="237"/>
        <v>9.5367431640625E-7</v>
      </c>
      <c r="R335" s="472">
        <v>0</v>
      </c>
      <c r="S335" s="1189">
        <f t="shared" si="239"/>
        <v>2013</v>
      </c>
      <c r="T335" s="470">
        <f t="shared" si="240"/>
        <v>1</v>
      </c>
      <c r="U335" s="612">
        <f t="shared" si="241"/>
        <v>0</v>
      </c>
      <c r="V335" s="464">
        <f t="shared" si="242"/>
        <v>2013</v>
      </c>
      <c r="W335" s="612">
        <f t="shared" si="243"/>
        <v>9.5367431640625E-7</v>
      </c>
      <c r="X335" s="473"/>
      <c r="Y335" s="478"/>
      <c r="Z335" s="449"/>
      <c r="AA335" s="475" t="s">
        <v>4181</v>
      </c>
      <c r="AB335" s="491"/>
      <c r="AC335" s="491"/>
      <c r="AD335" s="567">
        <f>U343</f>
        <v>60701086483.622665</v>
      </c>
      <c r="AE335" s="491"/>
      <c r="AF335" s="568"/>
      <c r="AG335" s="491"/>
      <c r="AH335" s="491"/>
      <c r="AI335" s="477"/>
      <c r="AJ335" s="478"/>
      <c r="AK335" s="479"/>
      <c r="AL335" s="480"/>
      <c r="AM335" s="474"/>
      <c r="AN335" s="481"/>
      <c r="AO335" s="474"/>
      <c r="AP335" s="476"/>
      <c r="AQ335" s="482"/>
      <c r="AR335" s="478"/>
      <c r="AS335" s="478"/>
      <c r="AT335" s="476"/>
      <c r="AU335" s="482"/>
      <c r="AV335" s="478"/>
      <c r="AW335" s="483"/>
      <c r="AX335" s="476"/>
      <c r="AY335" s="482"/>
      <c r="AZ335" s="478"/>
      <c r="BA335" s="484"/>
      <c r="BB335" s="474"/>
      <c r="BC335" s="485"/>
      <c r="BD335" s="485"/>
      <c r="BG335" s="487"/>
    </row>
    <row r="336" spans="1:59" s="486" customFormat="1" ht="18" customHeight="1" x14ac:dyDescent="0.2">
      <c r="A336" s="1368" t="str">
        <f t="shared" si="228"/>
        <v>JL. SUDIRMAN - JP. KM. 164 + 5002014</v>
      </c>
      <c r="B336" s="1373"/>
      <c r="C336" s="488"/>
      <c r="D336" s="464"/>
      <c r="E336" s="465"/>
      <c r="F336" s="466">
        <v>2014</v>
      </c>
      <c r="G336" s="620">
        <v>0</v>
      </c>
      <c r="H336" s="464">
        <f t="shared" si="229"/>
        <v>0</v>
      </c>
      <c r="I336" s="467"/>
      <c r="J336" s="468">
        <f t="shared" si="230"/>
        <v>2013</v>
      </c>
      <c r="K336" s="490">
        <f t="shared" si="231"/>
        <v>0</v>
      </c>
      <c r="L336" s="469">
        <f t="shared" si="232"/>
        <v>0</v>
      </c>
      <c r="M336" s="683">
        <f t="shared" si="233"/>
        <v>0</v>
      </c>
      <c r="N336" s="470">
        <f t="shared" si="234"/>
        <v>0</v>
      </c>
      <c r="O336" s="468">
        <f t="shared" si="235"/>
        <v>2013</v>
      </c>
      <c r="P336" s="616">
        <f t="shared" si="236"/>
        <v>9.5367431640625E-7</v>
      </c>
      <c r="Q336" s="472">
        <f t="shared" si="237"/>
        <v>9.5367431640625E-7</v>
      </c>
      <c r="R336" s="472">
        <f t="shared" si="238"/>
        <v>0</v>
      </c>
      <c r="S336" s="1189">
        <f t="shared" si="239"/>
        <v>2014</v>
      </c>
      <c r="T336" s="470">
        <f t="shared" si="240"/>
        <v>1</v>
      </c>
      <c r="U336" s="612">
        <f t="shared" si="241"/>
        <v>0</v>
      </c>
      <c r="V336" s="464">
        <f t="shared" si="242"/>
        <v>2014</v>
      </c>
      <c r="W336" s="612">
        <f t="shared" si="243"/>
        <v>9.5367431640625E-7</v>
      </c>
      <c r="X336" s="473"/>
      <c r="Y336" s="478"/>
      <c r="Z336" s="449"/>
      <c r="AA336" s="475"/>
      <c r="AB336" s="491"/>
      <c r="AC336" s="491"/>
      <c r="AD336" s="567"/>
      <c r="AE336" s="491"/>
      <c r="AF336" s="568"/>
      <c r="AG336" s="491"/>
      <c r="AH336" s="491"/>
      <c r="AI336" s="477"/>
      <c r="AJ336" s="478"/>
      <c r="AK336" s="479"/>
      <c r="AL336" s="480"/>
      <c r="AM336" s="474"/>
      <c r="AN336" s="481"/>
      <c r="AO336" s="474"/>
      <c r="AP336" s="476"/>
      <c r="AQ336" s="482"/>
      <c r="AR336" s="478"/>
      <c r="AS336" s="478"/>
      <c r="AT336" s="476"/>
      <c r="AU336" s="482"/>
      <c r="AV336" s="478"/>
      <c r="AW336" s="483"/>
      <c r="AX336" s="476"/>
      <c r="AY336" s="482"/>
      <c r="AZ336" s="478"/>
      <c r="BA336" s="484"/>
      <c r="BB336" s="474"/>
      <c r="BC336" s="485"/>
      <c r="BD336" s="485"/>
      <c r="BG336" s="487"/>
    </row>
    <row r="337" spans="1:59" s="486" customFormat="1" ht="18" customHeight="1" x14ac:dyDescent="0.2">
      <c r="A337" s="1368" t="str">
        <f t="shared" si="228"/>
        <v>JL. SUDIRMAN - JP. KM. 164 + 5002015</v>
      </c>
      <c r="B337" s="1373"/>
      <c r="C337" s="488"/>
      <c r="D337" s="464"/>
      <c r="E337" s="465"/>
      <c r="F337" s="466">
        <v>2015</v>
      </c>
      <c r="G337" s="620">
        <v>0</v>
      </c>
      <c r="H337" s="464">
        <f t="shared" si="229"/>
        <v>0</v>
      </c>
      <c r="I337" s="467"/>
      <c r="J337" s="468">
        <f t="shared" si="230"/>
        <v>2014</v>
      </c>
      <c r="K337" s="490">
        <f t="shared" si="231"/>
        <v>0</v>
      </c>
      <c r="L337" s="469">
        <f t="shared" si="232"/>
        <v>0</v>
      </c>
      <c r="M337" s="683">
        <f t="shared" si="233"/>
        <v>0</v>
      </c>
      <c r="N337" s="470">
        <f t="shared" si="234"/>
        <v>0</v>
      </c>
      <c r="O337" s="468">
        <f t="shared" si="235"/>
        <v>2014</v>
      </c>
      <c r="P337" s="616">
        <f t="shared" si="236"/>
        <v>9.5367431640625E-7</v>
      </c>
      <c r="Q337" s="472">
        <f t="shared" si="237"/>
        <v>9.5367431640625E-7</v>
      </c>
      <c r="R337" s="472">
        <f t="shared" si="238"/>
        <v>0</v>
      </c>
      <c r="S337" s="1189">
        <f t="shared" si="239"/>
        <v>2015</v>
      </c>
      <c r="T337" s="470">
        <f t="shared" si="240"/>
        <v>1</v>
      </c>
      <c r="U337" s="612">
        <f t="shared" si="241"/>
        <v>0</v>
      </c>
      <c r="V337" s="464">
        <f t="shared" si="242"/>
        <v>2015</v>
      </c>
      <c r="W337" s="612">
        <f t="shared" si="243"/>
        <v>9.5367431640625E-7</v>
      </c>
      <c r="X337" s="473"/>
      <c r="Y337" s="478"/>
      <c r="Z337" s="449"/>
      <c r="AA337" s="492" t="s">
        <v>4182</v>
      </c>
      <c r="AB337" s="476"/>
      <c r="AC337" s="476"/>
      <c r="AD337" s="567">
        <f>AD328-AD335</f>
        <v>0</v>
      </c>
      <c r="AE337" s="476"/>
      <c r="AF337" s="568"/>
      <c r="AG337" s="476"/>
      <c r="AH337" s="476"/>
      <c r="AI337" s="477"/>
      <c r="AJ337" s="478"/>
      <c r="AK337" s="479"/>
      <c r="AL337" s="480"/>
      <c r="AM337" s="474"/>
      <c r="AN337" s="481"/>
      <c r="AO337" s="474"/>
      <c r="AP337" s="476"/>
      <c r="AQ337" s="482"/>
      <c r="AR337" s="478"/>
      <c r="AS337" s="478"/>
      <c r="AT337" s="476"/>
      <c r="AU337" s="482"/>
      <c r="AV337" s="478"/>
      <c r="AW337" s="483"/>
      <c r="AX337" s="476"/>
      <c r="AY337" s="482"/>
      <c r="AZ337" s="478"/>
      <c r="BA337" s="484"/>
      <c r="BB337" s="474"/>
      <c r="BC337" s="485"/>
      <c r="BD337" s="485"/>
      <c r="BG337" s="487"/>
    </row>
    <row r="338" spans="1:59" s="486" customFormat="1" ht="18" customHeight="1" x14ac:dyDescent="0.2">
      <c r="A338" s="1368" t="str">
        <f t="shared" si="228"/>
        <v>JL. SUDIRMAN - JP. KM. 164 + 5002016</v>
      </c>
      <c r="B338" s="687"/>
      <c r="C338" s="463"/>
      <c r="D338" s="464"/>
      <c r="E338" s="465"/>
      <c r="F338" s="466">
        <v>2016</v>
      </c>
      <c r="G338" s="620">
        <v>0</v>
      </c>
      <c r="H338" s="464">
        <f t="shared" si="229"/>
        <v>0</v>
      </c>
      <c r="I338" s="467"/>
      <c r="J338" s="468">
        <f t="shared" si="230"/>
        <v>2015</v>
      </c>
      <c r="K338" s="490">
        <f t="shared" si="231"/>
        <v>0</v>
      </c>
      <c r="L338" s="469">
        <f t="shared" si="232"/>
        <v>0</v>
      </c>
      <c r="M338" s="683">
        <f t="shared" si="233"/>
        <v>0</v>
      </c>
      <c r="N338" s="470">
        <f t="shared" si="234"/>
        <v>0</v>
      </c>
      <c r="O338" s="468">
        <f t="shared" si="235"/>
        <v>2015</v>
      </c>
      <c r="P338" s="616">
        <f t="shared" si="236"/>
        <v>9.5367431640625E-7</v>
      </c>
      <c r="Q338" s="472">
        <f t="shared" si="237"/>
        <v>9.5367431640625E-7</v>
      </c>
      <c r="R338" s="472">
        <f t="shared" si="238"/>
        <v>0</v>
      </c>
      <c r="S338" s="1189">
        <f t="shared" si="239"/>
        <v>2016</v>
      </c>
      <c r="T338" s="470">
        <f t="shared" si="240"/>
        <v>1</v>
      </c>
      <c r="U338" s="612">
        <f t="shared" si="241"/>
        <v>0</v>
      </c>
      <c r="V338" s="464">
        <f t="shared" si="242"/>
        <v>2016</v>
      </c>
      <c r="W338" s="612">
        <f t="shared" si="243"/>
        <v>9.5367431640625E-7</v>
      </c>
      <c r="X338" s="473"/>
      <c r="Y338" s="478"/>
      <c r="Z338" s="449"/>
      <c r="AA338" s="531" t="s">
        <v>4183</v>
      </c>
      <c r="AB338" s="496"/>
      <c r="AC338" s="496"/>
      <c r="AD338" s="569">
        <f>AD337-W343</f>
        <v>0</v>
      </c>
      <c r="AE338" s="476"/>
      <c r="AF338" s="568"/>
      <c r="AG338" s="476"/>
      <c r="AH338" s="476"/>
      <c r="AI338" s="477"/>
      <c r="AJ338" s="478"/>
      <c r="AK338" s="479"/>
      <c r="AL338" s="480"/>
      <c r="AM338" s="474"/>
      <c r="AN338" s="481"/>
      <c r="AO338" s="474"/>
      <c r="AP338" s="476"/>
      <c r="AQ338" s="482"/>
      <c r="AR338" s="478"/>
      <c r="AS338" s="478"/>
      <c r="AT338" s="476"/>
      <c r="AU338" s="482"/>
      <c r="AV338" s="478"/>
      <c r="AW338" s="483"/>
      <c r="AX338" s="476"/>
      <c r="AY338" s="482"/>
      <c r="AZ338" s="478"/>
      <c r="BA338" s="484"/>
      <c r="BB338" s="474"/>
      <c r="BC338" s="485"/>
      <c r="BD338" s="485"/>
      <c r="BG338" s="487"/>
    </row>
    <row r="339" spans="1:59" s="486" customFormat="1" ht="18" customHeight="1" x14ac:dyDescent="0.2">
      <c r="A339" s="1368" t="str">
        <f t="shared" si="228"/>
        <v>JL. SUDIRMAN - JP. KM. 164 + 5002017</v>
      </c>
      <c r="B339" s="687"/>
      <c r="C339" s="463"/>
      <c r="D339" s="464"/>
      <c r="E339" s="465"/>
      <c r="F339" s="466">
        <f>F338+1</f>
        <v>2017</v>
      </c>
      <c r="G339" s="620">
        <v>0</v>
      </c>
      <c r="H339" s="464">
        <f t="shared" si="229"/>
        <v>0</v>
      </c>
      <c r="I339" s="467"/>
      <c r="J339" s="468">
        <f t="shared" si="230"/>
        <v>2016</v>
      </c>
      <c r="K339" s="490">
        <f t="shared" si="231"/>
        <v>0</v>
      </c>
      <c r="L339" s="469">
        <f t="shared" si="232"/>
        <v>0</v>
      </c>
      <c r="M339" s="683">
        <f t="shared" si="233"/>
        <v>0</v>
      </c>
      <c r="N339" s="470">
        <f t="shared" si="234"/>
        <v>0</v>
      </c>
      <c r="O339" s="468">
        <f t="shared" si="235"/>
        <v>2016</v>
      </c>
      <c r="P339" s="616">
        <f t="shared" si="236"/>
        <v>9.5367431640625E-7</v>
      </c>
      <c r="Q339" s="472">
        <f t="shared" si="237"/>
        <v>9.5367431640625E-7</v>
      </c>
      <c r="R339" s="472">
        <f t="shared" si="238"/>
        <v>0</v>
      </c>
      <c r="S339" s="1189">
        <f t="shared" si="239"/>
        <v>2017</v>
      </c>
      <c r="T339" s="470">
        <f t="shared" si="240"/>
        <v>1</v>
      </c>
      <c r="U339" s="612">
        <f t="shared" si="241"/>
        <v>0</v>
      </c>
      <c r="V339" s="464">
        <f t="shared" si="242"/>
        <v>2017</v>
      </c>
      <c r="W339" s="612">
        <f t="shared" si="243"/>
        <v>9.5367431640625E-7</v>
      </c>
      <c r="X339" s="473"/>
      <c r="Y339" s="478"/>
      <c r="Z339" s="449"/>
      <c r="AA339" s="573"/>
      <c r="AB339" s="476"/>
      <c r="AC339" s="476"/>
      <c r="AD339" s="568"/>
      <c r="AE339" s="476"/>
      <c r="AF339" s="568"/>
      <c r="AG339" s="476"/>
      <c r="AH339" s="476"/>
      <c r="AI339" s="477"/>
      <c r="AJ339" s="478"/>
      <c r="AK339" s="479"/>
      <c r="AL339" s="480"/>
      <c r="AM339" s="474"/>
      <c r="AN339" s="481"/>
      <c r="AO339" s="474"/>
      <c r="AP339" s="476"/>
      <c r="AQ339" s="482"/>
      <c r="AR339" s="478"/>
      <c r="AS339" s="478"/>
      <c r="AT339" s="476"/>
      <c r="AU339" s="482"/>
      <c r="AV339" s="478"/>
      <c r="AW339" s="483"/>
      <c r="AX339" s="476"/>
      <c r="AY339" s="482"/>
      <c r="AZ339" s="478"/>
      <c r="BA339" s="484"/>
      <c r="BB339" s="474"/>
      <c r="BC339" s="485"/>
      <c r="BD339" s="485"/>
      <c r="BG339" s="487"/>
    </row>
    <row r="340" spans="1:59" s="486" customFormat="1" ht="18" customHeight="1" x14ac:dyDescent="0.2">
      <c r="A340" s="1368" t="str">
        <f t="shared" si="228"/>
        <v>JL. SUDIRMAN - JP. KM. 164 + 5002018</v>
      </c>
      <c r="B340" s="687"/>
      <c r="C340" s="463"/>
      <c r="D340" s="464"/>
      <c r="E340" s="465"/>
      <c r="F340" s="466">
        <f>F339+1</f>
        <v>2018</v>
      </c>
      <c r="G340" s="620">
        <v>0</v>
      </c>
      <c r="H340" s="464">
        <f t="shared" si="229"/>
        <v>0</v>
      </c>
      <c r="I340" s="467"/>
      <c r="J340" s="468">
        <f t="shared" si="230"/>
        <v>2017</v>
      </c>
      <c r="K340" s="490">
        <f t="shared" si="231"/>
        <v>0</v>
      </c>
      <c r="L340" s="469">
        <f t="shared" si="232"/>
        <v>0</v>
      </c>
      <c r="M340" s="683">
        <f t="shared" si="233"/>
        <v>0</v>
      </c>
      <c r="N340" s="470">
        <f t="shared" si="234"/>
        <v>0</v>
      </c>
      <c r="O340" s="468">
        <f t="shared" si="235"/>
        <v>2017</v>
      </c>
      <c r="P340" s="616">
        <f t="shared" si="236"/>
        <v>9.5367431640625E-7</v>
      </c>
      <c r="Q340" s="472">
        <f t="shared" si="237"/>
        <v>9.5367431640625E-7</v>
      </c>
      <c r="R340" s="472">
        <f t="shared" si="238"/>
        <v>0</v>
      </c>
      <c r="S340" s="1189">
        <f t="shared" si="239"/>
        <v>2018</v>
      </c>
      <c r="T340" s="470">
        <f t="shared" si="240"/>
        <v>1</v>
      </c>
      <c r="U340" s="612">
        <f t="shared" si="241"/>
        <v>0</v>
      </c>
      <c r="V340" s="464">
        <f t="shared" si="242"/>
        <v>2018</v>
      </c>
      <c r="W340" s="612">
        <f t="shared" si="243"/>
        <v>9.5367431640625E-7</v>
      </c>
      <c r="X340" s="473"/>
      <c r="Y340" s="478"/>
      <c r="Z340" s="449"/>
      <c r="AA340" s="573"/>
      <c r="AB340" s="476"/>
      <c r="AC340" s="476"/>
      <c r="AD340" s="568"/>
      <c r="AE340" s="476"/>
      <c r="AF340" s="568"/>
      <c r="AG340" s="476"/>
      <c r="AH340" s="476"/>
      <c r="AI340" s="477"/>
      <c r="AJ340" s="478"/>
      <c r="AK340" s="479"/>
      <c r="AL340" s="480"/>
      <c r="AM340" s="474"/>
      <c r="AN340" s="481"/>
      <c r="AO340" s="474"/>
      <c r="AP340" s="476"/>
      <c r="AQ340" s="482"/>
      <c r="AR340" s="478"/>
      <c r="AS340" s="478"/>
      <c r="AT340" s="476"/>
      <c r="AU340" s="482"/>
      <c r="AV340" s="478"/>
      <c r="AW340" s="483"/>
      <c r="AX340" s="476"/>
      <c r="AY340" s="482"/>
      <c r="AZ340" s="478"/>
      <c r="BA340" s="484"/>
      <c r="BB340" s="474"/>
      <c r="BC340" s="485"/>
      <c r="BD340" s="485"/>
      <c r="BG340" s="487"/>
    </row>
    <row r="341" spans="1:59" s="486" customFormat="1" ht="18" customHeight="1" x14ac:dyDescent="0.2">
      <c r="A341" s="1368"/>
      <c r="B341" s="687"/>
      <c r="C341" s="463"/>
      <c r="D341" s="464"/>
      <c r="E341" s="465"/>
      <c r="F341" s="466">
        <v>2019</v>
      </c>
      <c r="G341" s="620">
        <v>0</v>
      </c>
      <c r="H341" s="464">
        <f t="shared" si="229"/>
        <v>0</v>
      </c>
      <c r="I341" s="467"/>
      <c r="J341" s="468">
        <f t="shared" si="230"/>
        <v>2018</v>
      </c>
      <c r="K341" s="490">
        <f t="shared" si="231"/>
        <v>0</v>
      </c>
      <c r="L341" s="469">
        <f t="shared" si="232"/>
        <v>0</v>
      </c>
      <c r="M341" s="683">
        <f t="shared" si="233"/>
        <v>0</v>
      </c>
      <c r="N341" s="470">
        <f t="shared" si="234"/>
        <v>0</v>
      </c>
      <c r="O341" s="468">
        <f t="shared" si="235"/>
        <v>2018</v>
      </c>
      <c r="P341" s="616">
        <f t="shared" si="236"/>
        <v>9.5367431640625E-7</v>
      </c>
      <c r="Q341" s="472">
        <f t="shared" si="237"/>
        <v>9.5367431640625E-7</v>
      </c>
      <c r="R341" s="472">
        <f t="shared" si="238"/>
        <v>0</v>
      </c>
      <c r="S341" s="1189">
        <f t="shared" si="239"/>
        <v>2019</v>
      </c>
      <c r="T341" s="470">
        <f t="shared" si="240"/>
        <v>1</v>
      </c>
      <c r="U341" s="612">
        <f t="shared" si="241"/>
        <v>0</v>
      </c>
      <c r="V341" s="464">
        <f t="shared" si="242"/>
        <v>2019</v>
      </c>
      <c r="W341" s="612">
        <f t="shared" si="243"/>
        <v>9.5367431640625E-7</v>
      </c>
      <c r="X341" s="473"/>
      <c r="Y341" s="478"/>
      <c r="Z341" s="449"/>
      <c r="AA341" s="573"/>
      <c r="AB341" s="476"/>
      <c r="AC341" s="476"/>
      <c r="AD341" s="568"/>
      <c r="AE341" s="476"/>
      <c r="AF341" s="568"/>
      <c r="AG341" s="476"/>
      <c r="AH341" s="476"/>
      <c r="AI341" s="477"/>
      <c r="AJ341" s="478"/>
      <c r="AK341" s="479"/>
      <c r="AL341" s="480"/>
      <c r="AM341" s="474"/>
      <c r="AN341" s="481"/>
      <c r="AO341" s="474"/>
      <c r="AP341" s="476"/>
      <c r="AQ341" s="482"/>
      <c r="AR341" s="478"/>
      <c r="AS341" s="478"/>
      <c r="AT341" s="476"/>
      <c r="AU341" s="482"/>
      <c r="AV341" s="478"/>
      <c r="AW341" s="483"/>
      <c r="AX341" s="476"/>
      <c r="AY341" s="482"/>
      <c r="AZ341" s="478"/>
      <c r="BA341" s="484"/>
      <c r="BB341" s="474"/>
      <c r="BC341" s="485"/>
      <c r="BD341" s="485"/>
      <c r="BG341" s="487"/>
    </row>
    <row r="342" spans="1:59" s="486" customFormat="1" ht="18" customHeight="1" x14ac:dyDescent="0.2">
      <c r="A342" s="1369"/>
      <c r="B342" s="687"/>
      <c r="C342" s="463"/>
      <c r="D342" s="464"/>
      <c r="E342" s="465"/>
      <c r="F342" s="1189"/>
      <c r="G342" s="620"/>
      <c r="H342" s="469" t="str">
        <f>IF(OR(AND(ISBLANK(E342),ISBLANK(G342)),ISTEXT(E342),ISTEXT(G342)),"",IF(#REF!-(YEAR(E342)-YEAR(#REF!))&lt;0,0,#REF!-(YEAR(E342)-YEAR(#REF!))))</f>
        <v/>
      </c>
      <c r="I342" s="467" t="str">
        <f>IF(OR(AND(ISBLANK(E342),ISBLANK(G342)),ISTEXT(E342),ISTEXT(G342)),"",IF(#REF!-E342&lt;0,0,#REF!-E342))</f>
        <v/>
      </c>
      <c r="J342" s="498" t="str">
        <f>IF(OR(AND(ISBLANK(E342),ISBLANK(G342)),ISTEXT(E342),ISTEXT(G342)),"",#REF!)</f>
        <v/>
      </c>
      <c r="K342" s="498"/>
      <c r="L342" s="469" t="str">
        <f>IF(OR(AND(ISBLANK(E342),ISBLANK(G342)),ISTEXT(E342),ISTEXT(G342)),"",ROUNDDOWN(G342/SUM($G$57:G338)*$H$57,0))</f>
        <v/>
      </c>
      <c r="M342" s="683" t="str">
        <f>IF(OR(AND(ISBLANK(E342),ISBLANK(G342)),ISTEXT(E342),ISTEXT(G342)),"",IF(H342+L342&gt;$H$57,$H$57-H342,L342))</f>
        <v/>
      </c>
      <c r="N342" s="470" t="str">
        <f>IF(OR(AND(ISBLANK(E342),ISBLANK(G342)),ISTEXT(E342),ISTEXT(G342)),"",H342+M342)</f>
        <v/>
      </c>
      <c r="O342" s="498" t="str">
        <f>IF(OR(AND(ISBLANK(E342),ISBLANK(G342)),ISTEXT(E342),ISTEXT(G342)),"",DATE(YEAR($J342)+M342,MONTH($J342),DAY($J342)))</f>
        <v/>
      </c>
      <c r="P342" s="748" t="str">
        <f>IF(OR(AND(ISBLANK(E342),ISBLANK(G342)),ISTEXT(E342),ISTEXT(G342)),"",#REF!-#REF!*(IF(J342&lt;E342,J342,E342)-#REF!))</f>
        <v/>
      </c>
      <c r="Q342" s="500" t="str">
        <f>IF(OR(AND(ISBLANK(E342),ISBLANK(G342)),ISTEXT(E342),ISTEXT(G342)),"",P342+G342)</f>
        <v/>
      </c>
      <c r="R342" s="501" t="str">
        <f>IF(OR(AND(ISBLANK(E342),ISBLANK(G342)),ISTEXT(E342),ISTEXT(G342)),"",IF(OR(E342&lt;DATE(2004,12,31),#REF!=0),0,Q342/#REF!))</f>
        <v/>
      </c>
      <c r="S342" s="502" t="str">
        <f>IF(OR(AND(ISBLANK(E342),ISBLANK(G342)),ISTEXT(E342),ISTEXT(G342)),"",IF(YEAR(E342)&lt;=YEAR(#REF!),"-",YEAR(E342)-1))</f>
        <v/>
      </c>
      <c r="T342" s="502"/>
      <c r="U342" s="612" t="str">
        <f>IF(OR(AND(ISBLANK(E342),ISBLANK(G342)),ISTEXT(E342),ISTEXT(G342)),"",IF(AND(J342&lt;=DATE(2004,12,31),E342&gt;J342),SUM($G342:G342),#REF!+#REF!+#REF!*IF(YEAR(E342)&lt;=YEAR(#REF!),0,(IF(DATE(YEAR(E342)-1,12,31)&gt;J342,J342,DATE(YEAR(E342)-1,12,31))-#REF!))))</f>
        <v/>
      </c>
      <c r="V342" s="503" t="str">
        <f>IF(OR(AND(ISBLANK(E342),ISBLANK(G342)),ISTEXT(E342),ISTEXT(G342)),"",IF(YEAR(E342)=YEAR(E343),E343,DATE(YEAR(E342),12,31)))</f>
        <v/>
      </c>
      <c r="W342" s="612" t="str">
        <f>IF(OR(AND(ISBLANK(E342),ISBLANK(G342)),ISTEXT(E342),ISTEXT(G342)),"",IF(Q342=0,0,IF(AND(J342&lt;=DATE(2004,12,31),E342&gt;=J342),Q342-U342,Q342-#REF!)))</f>
        <v/>
      </c>
      <c r="X342" s="504" t="str">
        <f>IF(OR(AND(ISBLANK(E342),ISBLANK(G342)),ISTEXT(E342),ISTEXT(G342)),"",$D$57&amp;"//"&amp;TEXT($E$57,"dd-mmm-yyyy")&amp;"//"&amp;#REF!)</f>
        <v/>
      </c>
      <c r="Y342" s="476"/>
      <c r="Z342" s="476"/>
      <c r="AA342" s="476"/>
      <c r="AB342" s="476"/>
      <c r="AC342" s="476"/>
      <c r="AD342" s="568"/>
      <c r="AE342" s="476"/>
      <c r="AF342" s="568"/>
      <c r="AG342" s="476"/>
      <c r="AH342" s="476"/>
      <c r="AI342" s="477"/>
      <c r="AJ342" s="478"/>
      <c r="AK342" s="479"/>
      <c r="AL342" s="480"/>
      <c r="AM342" s="474"/>
      <c r="AN342" s="481"/>
      <c r="AO342" s="474"/>
      <c r="AP342" s="476"/>
      <c r="AQ342" s="482"/>
      <c r="AR342" s="478"/>
      <c r="AS342" s="478"/>
      <c r="AT342" s="476"/>
      <c r="AU342" s="482"/>
      <c r="AV342" s="478"/>
      <c r="AW342" s="483"/>
      <c r="AX342" s="476"/>
      <c r="AY342" s="482"/>
      <c r="AZ342" s="478"/>
      <c r="BA342" s="484"/>
      <c r="BB342" s="474"/>
      <c r="BC342" s="485"/>
      <c r="BD342" s="485"/>
      <c r="BG342" s="487"/>
    </row>
    <row r="343" spans="1:59" s="551" customFormat="1" ht="18" customHeight="1" x14ac:dyDescent="0.2">
      <c r="A343" s="1370" t="s">
        <v>4184</v>
      </c>
      <c r="B343" s="2039" t="s">
        <v>4184</v>
      </c>
      <c r="C343" s="2040"/>
      <c r="D343" s="2040"/>
      <c r="E343" s="2040"/>
      <c r="F343" s="2041"/>
      <c r="G343" s="625">
        <f>SUM(G327:G342)</f>
        <v>60701086483.622681</v>
      </c>
      <c r="H343" s="534"/>
      <c r="I343" s="535"/>
      <c r="J343" s="536"/>
      <c r="K343" s="536"/>
      <c r="L343" s="534"/>
      <c r="M343" s="1249"/>
      <c r="N343" s="537"/>
      <c r="O343" s="536"/>
      <c r="P343" s="751"/>
      <c r="Q343" s="538"/>
      <c r="R343" s="539"/>
      <c r="S343" s="540"/>
      <c r="T343" s="540"/>
      <c r="U343" s="1248">
        <f>SUM(U327:U342)</f>
        <v>60701086483.622665</v>
      </c>
      <c r="V343" s="541"/>
      <c r="W343" s="1248">
        <f>G343-U343</f>
        <v>0</v>
      </c>
      <c r="X343" s="1247"/>
      <c r="Y343" s="426"/>
      <c r="Z343" s="426"/>
      <c r="AA343" s="426"/>
      <c r="AB343" s="426"/>
      <c r="AC343" s="426"/>
      <c r="AD343" s="564"/>
      <c r="AE343" s="426"/>
      <c r="AF343" s="564">
        <v>6628630678.5496902</v>
      </c>
      <c r="AG343" s="426"/>
      <c r="AH343" s="426"/>
      <c r="AI343" s="542"/>
      <c r="AJ343" s="543"/>
      <c r="AK343" s="432"/>
      <c r="AL343" s="544"/>
      <c r="AM343" s="545"/>
      <c r="AN343" s="546"/>
      <c r="AO343" s="545"/>
      <c r="AP343" s="426"/>
      <c r="AQ343" s="547"/>
      <c r="AR343" s="543"/>
      <c r="AS343" s="543"/>
      <c r="AT343" s="426"/>
      <c r="AU343" s="547"/>
      <c r="AV343" s="543"/>
      <c r="AW343" s="548"/>
      <c r="AX343" s="426"/>
      <c r="AY343" s="547"/>
      <c r="AZ343" s="543"/>
      <c r="BA343" s="549"/>
      <c r="BB343" s="545"/>
      <c r="BC343" s="550"/>
      <c r="BD343" s="550"/>
      <c r="BG343" s="552"/>
    </row>
    <row r="346" spans="1:59" s="422" customFormat="1" ht="18" customHeight="1" x14ac:dyDescent="0.2">
      <c r="A346" s="1366">
        <f>C346</f>
        <v>40</v>
      </c>
      <c r="B346" s="742" t="s">
        <v>4187</v>
      </c>
      <c r="C346" s="556">
        <v>40</v>
      </c>
      <c r="D346" s="553" t="str">
        <f>VLOOKUP(C346,RUAS,2,FALSE)</f>
        <v>JL. GUNUNG KESIANGAN - JL. SUDIRMAN</v>
      </c>
      <c r="E346" s="553"/>
      <c r="F346" s="421"/>
      <c r="G346" s="611"/>
      <c r="I346" s="423"/>
      <c r="J346" s="424"/>
      <c r="K346" s="424"/>
      <c r="M346" s="680"/>
      <c r="P346" s="611"/>
      <c r="U346" s="611"/>
      <c r="W346" s="611"/>
      <c r="Y346" s="425"/>
      <c r="Z346" s="425"/>
      <c r="AA346" s="425"/>
      <c r="AB346" s="425"/>
      <c r="AC346" s="425"/>
      <c r="AD346" s="563"/>
      <c r="AE346" s="425"/>
      <c r="AF346" s="563"/>
      <c r="AG346" s="425"/>
      <c r="AH346" s="425"/>
      <c r="AI346" s="425"/>
      <c r="AJ346" s="425"/>
      <c r="AK346" s="425"/>
      <c r="AL346" s="425"/>
      <c r="AM346" s="425"/>
      <c r="AN346" s="425"/>
      <c r="AO346" s="425"/>
      <c r="AP346" s="425"/>
      <c r="AQ346" s="425"/>
      <c r="AR346" s="425"/>
      <c r="AS346" s="425"/>
      <c r="AT346" s="425"/>
      <c r="AU346" s="425"/>
      <c r="AV346" s="425"/>
      <c r="AW346" s="425"/>
      <c r="AX346" s="425"/>
      <c r="AY346" s="425"/>
      <c r="AZ346" s="425"/>
      <c r="BA346" s="425"/>
      <c r="BB346" s="425"/>
    </row>
    <row r="347" spans="1:59" s="431" customFormat="1" ht="18" customHeight="1" x14ac:dyDescent="0.2">
      <c r="A347" s="1367"/>
      <c r="B347" s="1968" t="s">
        <v>5</v>
      </c>
      <c r="C347" s="1968" t="s">
        <v>2280</v>
      </c>
      <c r="D347" s="1968" t="s">
        <v>4157</v>
      </c>
      <c r="E347" s="1968" t="s">
        <v>4158</v>
      </c>
      <c r="F347" s="1968"/>
      <c r="G347" s="1969" t="s">
        <v>4159</v>
      </c>
      <c r="H347" s="1968" t="s">
        <v>4160</v>
      </c>
      <c r="I347" s="1968"/>
      <c r="J347" s="1968" t="s">
        <v>4185</v>
      </c>
      <c r="K347" s="1964" t="s">
        <v>4162</v>
      </c>
      <c r="L347" s="1968" t="s">
        <v>4163</v>
      </c>
      <c r="M347" s="1971" t="s">
        <v>4164</v>
      </c>
      <c r="N347" s="1962" t="s">
        <v>4165</v>
      </c>
      <c r="O347" s="1968" t="s">
        <v>4166</v>
      </c>
      <c r="P347" s="1972" t="s">
        <v>4167</v>
      </c>
      <c r="Q347" s="1973"/>
      <c r="R347" s="1159" t="s">
        <v>4186</v>
      </c>
      <c r="S347" s="1972" t="s">
        <v>4169</v>
      </c>
      <c r="T347" s="1974"/>
      <c r="U347" s="1973"/>
      <c r="V347" s="1975" t="s">
        <v>4170</v>
      </c>
      <c r="W347" s="1975"/>
      <c r="X347" s="1960" t="s">
        <v>4171</v>
      </c>
      <c r="Y347" s="1959"/>
      <c r="Z347" s="1155"/>
      <c r="AA347" s="426"/>
      <c r="AB347" s="426"/>
      <c r="AC347" s="426"/>
      <c r="AD347" s="564"/>
      <c r="AE347" s="426"/>
      <c r="AF347" s="564"/>
      <c r="AG347" s="426"/>
      <c r="AH347" s="426"/>
      <c r="AI347" s="427"/>
      <c r="AJ347" s="427"/>
      <c r="AK347" s="427"/>
      <c r="AL347" s="427"/>
      <c r="AM347" s="428"/>
      <c r="AN347" s="427"/>
      <c r="AO347" s="427"/>
      <c r="AP347" s="426"/>
      <c r="AQ347" s="427"/>
      <c r="AR347" s="427"/>
      <c r="AS347" s="427"/>
      <c r="AT347" s="426"/>
      <c r="AU347" s="427"/>
      <c r="AV347" s="427"/>
      <c r="AW347" s="427"/>
      <c r="AX347" s="426"/>
      <c r="AY347" s="427"/>
      <c r="AZ347" s="427"/>
      <c r="BA347" s="427"/>
      <c r="BB347" s="429"/>
      <c r="BC347" s="430"/>
      <c r="BD347" s="430"/>
    </row>
    <row r="348" spans="1:59" s="431" customFormat="1" ht="18" customHeight="1" x14ac:dyDescent="0.2">
      <c r="A348" s="1367"/>
      <c r="B348" s="1968"/>
      <c r="C348" s="1968"/>
      <c r="D348" s="1968"/>
      <c r="E348" s="1968"/>
      <c r="F348" s="1968"/>
      <c r="G348" s="1969"/>
      <c r="H348" s="1968"/>
      <c r="I348" s="1968"/>
      <c r="J348" s="1968"/>
      <c r="K348" s="1970"/>
      <c r="L348" s="1968"/>
      <c r="M348" s="1971"/>
      <c r="N348" s="1963"/>
      <c r="O348" s="1968"/>
      <c r="P348" s="2037" t="s">
        <v>4172</v>
      </c>
      <c r="Q348" s="1960" t="s">
        <v>4173</v>
      </c>
      <c r="R348" s="1962" t="s">
        <v>4159</v>
      </c>
      <c r="S348" s="1962" t="s">
        <v>4174</v>
      </c>
      <c r="T348" s="1964" t="s">
        <v>4175</v>
      </c>
      <c r="U348" s="1966" t="s">
        <v>4159</v>
      </c>
      <c r="V348" s="1975"/>
      <c r="W348" s="1975"/>
      <c r="X348" s="1976"/>
      <c r="Y348" s="1959"/>
      <c r="Z348" s="1155"/>
      <c r="AA348" s="426"/>
      <c r="AB348" s="426"/>
      <c r="AC348" s="426"/>
      <c r="AD348" s="564"/>
      <c r="AE348" s="426"/>
      <c r="AF348" s="564"/>
      <c r="AG348" s="426"/>
      <c r="AH348" s="426"/>
      <c r="AI348" s="427"/>
      <c r="AJ348" s="427"/>
      <c r="AK348" s="426"/>
      <c r="AL348" s="427"/>
      <c r="AM348" s="428"/>
      <c r="AN348" s="427"/>
      <c r="AO348" s="427"/>
      <c r="AP348" s="432"/>
      <c r="AQ348" s="427"/>
      <c r="AR348" s="427"/>
      <c r="AS348" s="427"/>
      <c r="AT348" s="432"/>
      <c r="AU348" s="427"/>
      <c r="AV348" s="427"/>
      <c r="AW348" s="427"/>
      <c r="AX348" s="432"/>
      <c r="AY348" s="427"/>
      <c r="AZ348" s="427"/>
      <c r="BA348" s="427"/>
      <c r="BB348" s="429"/>
      <c r="BC348" s="430"/>
      <c r="BD348" s="430"/>
    </row>
    <row r="349" spans="1:59" s="431" customFormat="1" ht="18" customHeight="1" x14ac:dyDescent="0.2">
      <c r="A349" s="1367"/>
      <c r="B349" s="1968"/>
      <c r="C349" s="1968"/>
      <c r="D349" s="1968"/>
      <c r="E349" s="433" t="s">
        <v>4176</v>
      </c>
      <c r="F349" s="434" t="s">
        <v>2288</v>
      </c>
      <c r="G349" s="1969"/>
      <c r="H349" s="1156" t="s">
        <v>2288</v>
      </c>
      <c r="I349" s="1156" t="s">
        <v>4177</v>
      </c>
      <c r="J349" s="1968"/>
      <c r="K349" s="1965"/>
      <c r="L349" s="435" t="s">
        <v>2288</v>
      </c>
      <c r="M349" s="681" t="s">
        <v>2288</v>
      </c>
      <c r="N349" s="1156" t="s">
        <v>2288</v>
      </c>
      <c r="O349" s="1968"/>
      <c r="P349" s="2038"/>
      <c r="Q349" s="1961"/>
      <c r="R349" s="1963"/>
      <c r="S349" s="1963"/>
      <c r="T349" s="1965"/>
      <c r="U349" s="1967"/>
      <c r="V349" s="1156" t="s">
        <v>4178</v>
      </c>
      <c r="W349" s="1157" t="s">
        <v>4159</v>
      </c>
      <c r="X349" s="1961"/>
      <c r="Y349" s="436"/>
      <c r="Z349" s="436"/>
      <c r="AA349" s="426"/>
      <c r="AB349" s="426"/>
      <c r="AC349" s="426"/>
      <c r="AD349" s="564"/>
      <c r="AE349" s="426"/>
      <c r="AF349" s="564"/>
      <c r="AG349" s="426"/>
      <c r="AH349" s="426"/>
      <c r="AI349" s="427"/>
      <c r="AJ349" s="432"/>
      <c r="AK349" s="432"/>
      <c r="AL349" s="427"/>
      <c r="AM349" s="428"/>
      <c r="AN349" s="432"/>
      <c r="AO349" s="427"/>
      <c r="AP349" s="432"/>
      <c r="AQ349" s="432"/>
      <c r="AR349" s="427"/>
      <c r="AS349" s="427"/>
      <c r="AT349" s="432"/>
      <c r="AU349" s="432"/>
      <c r="AV349" s="427"/>
      <c r="AW349" s="427"/>
      <c r="AX349" s="432"/>
      <c r="AY349" s="432"/>
      <c r="AZ349" s="427"/>
      <c r="BA349" s="427"/>
      <c r="BB349" s="429"/>
      <c r="BC349" s="430"/>
      <c r="BD349" s="430"/>
    </row>
    <row r="350" spans="1:59" s="461" customFormat="1" ht="18" customHeight="1" x14ac:dyDescent="0.2">
      <c r="A350" s="1368" t="str">
        <f>$D$346&amp;S350</f>
        <v>JL. GUNUNG KESIANGAN - JL. SUDIRMAN2001</v>
      </c>
      <c r="B350" s="1373">
        <v>1</v>
      </c>
      <c r="C350" s="532" t="s">
        <v>483</v>
      </c>
      <c r="D350" s="437" t="s">
        <v>2494</v>
      </c>
      <c r="E350" s="438"/>
      <c r="F350" s="439">
        <v>2001</v>
      </c>
      <c r="G350" s="623">
        <f>1680000000+87587500</f>
        <v>1767587500</v>
      </c>
      <c r="H350" s="440">
        <f>VLOOKUP(LEFT(D350,8),UE,4)</f>
        <v>10</v>
      </c>
      <c r="I350" s="441"/>
      <c r="J350" s="442">
        <f>(F350+N350)-1</f>
        <v>2010</v>
      </c>
      <c r="K350" s="443"/>
      <c r="L350" s="440"/>
      <c r="M350" s="746">
        <f>IF(H350+L350&gt;$H350,$H350-H350,L350)</f>
        <v>0</v>
      </c>
      <c r="N350" s="444">
        <f>H350+M350</f>
        <v>10</v>
      </c>
      <c r="O350" s="442">
        <f>(F350+N350)-1</f>
        <v>2010</v>
      </c>
      <c r="P350" s="617">
        <f>G350</f>
        <v>1767587500</v>
      </c>
      <c r="Q350" s="445">
        <v>0</v>
      </c>
      <c r="R350" s="445">
        <f>P350/N350</f>
        <v>176758750</v>
      </c>
      <c r="S350" s="446">
        <f t="shared" ref="S350:S356" si="244">F350</f>
        <v>2001</v>
      </c>
      <c r="T350" s="447">
        <v>1</v>
      </c>
      <c r="U350" s="613">
        <f t="shared" ref="U350:U356" si="245">R350*T350</f>
        <v>176758750</v>
      </c>
      <c r="V350" s="442">
        <f>F350</f>
        <v>2001</v>
      </c>
      <c r="W350" s="617">
        <f>IF(OR(AND(ISBLANK(E350),ISBLANK(G350)),ISTEXT(E350),ISTEXT(G350)),"",G350-R350)</f>
        <v>1590828750</v>
      </c>
      <c r="X350" s="448"/>
      <c r="Y350" s="449"/>
      <c r="Z350" s="449"/>
      <c r="AA350" s="450" t="s">
        <v>4179</v>
      </c>
      <c r="AB350" s="451"/>
      <c r="AC350" s="451"/>
      <c r="AD350" s="565"/>
      <c r="AE350" s="452"/>
      <c r="AF350" s="571"/>
      <c r="AG350" s="452"/>
      <c r="AH350" s="452"/>
      <c r="AI350" s="453"/>
      <c r="AJ350" s="449"/>
      <c r="AK350" s="453"/>
      <c r="AL350" s="454"/>
      <c r="AM350" s="455"/>
      <c r="AN350" s="456"/>
      <c r="AO350" s="455"/>
      <c r="AP350" s="452"/>
      <c r="AQ350" s="457"/>
      <c r="AR350" s="449"/>
      <c r="AS350" s="449"/>
      <c r="AT350" s="452"/>
      <c r="AU350" s="457"/>
      <c r="AV350" s="449"/>
      <c r="AW350" s="458"/>
      <c r="AX350" s="452"/>
      <c r="AY350" s="457"/>
      <c r="AZ350" s="449"/>
      <c r="BA350" s="459"/>
      <c r="BB350" s="455"/>
      <c r="BC350" s="460"/>
      <c r="BD350" s="460"/>
      <c r="BG350" s="462"/>
    </row>
    <row r="351" spans="1:59" s="486" customFormat="1" ht="18" customHeight="1" x14ac:dyDescent="0.2">
      <c r="A351" s="1368" t="str">
        <f t="shared" ref="A351:A359" si="246">$D$346&amp;S351</f>
        <v>JL. GUNUNG KESIANGAN - JL. SUDIRMAN2001</v>
      </c>
      <c r="B351" s="1373"/>
      <c r="C351" s="463" t="s">
        <v>529</v>
      </c>
      <c r="D351" s="464" t="s">
        <v>2494</v>
      </c>
      <c r="E351" s="465"/>
      <c r="F351" s="466">
        <v>2001</v>
      </c>
      <c r="G351" s="620">
        <v>0</v>
      </c>
      <c r="H351" s="464">
        <f t="shared" ref="H351:H356" si="247">IF(N350-(F351-F350)&lt;=0,0,(N350-(F351-F350)))</f>
        <v>10</v>
      </c>
      <c r="I351" s="467"/>
      <c r="J351" s="468">
        <f t="shared" ref="J351:J356" si="248">(F351+N351)-1</f>
        <v>2010</v>
      </c>
      <c r="K351" s="490">
        <f t="shared" ref="K351:K356" si="249">IF(G351=0,0,IF(H351=10,100%,G351/W350))</f>
        <v>0</v>
      </c>
      <c r="L351" s="469">
        <f t="shared" ref="L351:L356" si="250">IF(K351=0%,0,IF(K351&lt;=30%,2,IF(K351&lt;=60%,5,10)))</f>
        <v>0</v>
      </c>
      <c r="M351" s="683">
        <f t="shared" ref="M351:M359" si="251">IF(OR(AND(ISBLANK(E351),ISBLANK(G351)),ISTEXT(E351),ISTEXT(G351)),"",IF(H351+L351&gt;$H$8,$H$8-H351,L351))</f>
        <v>0</v>
      </c>
      <c r="N351" s="470">
        <f t="shared" ref="N351:N359" si="252">IF(OR(AND(ISBLANK(F351),ISBLANK(G351)),ISTEXT(F351),ISTEXT(G351)),"",H351+M351)</f>
        <v>10</v>
      </c>
      <c r="O351" s="468">
        <f t="shared" ref="O351:O356" si="253">(F351+N351)-1</f>
        <v>2010</v>
      </c>
      <c r="P351" s="616">
        <f t="shared" ref="P351:P356" si="254">W350</f>
        <v>1590828750</v>
      </c>
      <c r="Q351" s="472">
        <f t="shared" ref="Q351:Q356" si="255">P351+G351</f>
        <v>1590828750</v>
      </c>
      <c r="R351" s="472">
        <f t="shared" ref="R351:R356" si="256">IF(L351=0,R350,Q351/N351)</f>
        <v>176758750</v>
      </c>
      <c r="S351" s="1160">
        <f t="shared" si="244"/>
        <v>2001</v>
      </c>
      <c r="T351" s="470">
        <f t="shared" ref="T351:T359" si="257">S351-S350</f>
        <v>0</v>
      </c>
      <c r="U351" s="612">
        <f t="shared" si="245"/>
        <v>0</v>
      </c>
      <c r="V351" s="464">
        <f t="shared" ref="V351:V356" si="258">F351</f>
        <v>2001</v>
      </c>
      <c r="W351" s="612">
        <f t="shared" ref="W351:W356" si="259">IF(OR(AND(ISBLANK(E351),ISBLANK(G351)),ISTEXT(E351),ISTEXT(G351)),"",Q351-U351)</f>
        <v>1590828750</v>
      </c>
      <c r="X351" s="473"/>
      <c r="Y351" s="474"/>
      <c r="Z351" s="449"/>
      <c r="AA351" s="475" t="s">
        <v>4180</v>
      </c>
      <c r="AB351" s="476"/>
      <c r="AC351" s="476"/>
      <c r="AD351" s="567">
        <f>G362</f>
        <v>1767587500</v>
      </c>
      <c r="AE351" s="476"/>
      <c r="AF351" s="568"/>
      <c r="AG351" s="476"/>
      <c r="AH351" s="476"/>
      <c r="AI351" s="477"/>
      <c r="AJ351" s="478"/>
      <c r="AK351" s="479"/>
      <c r="AL351" s="480"/>
      <c r="AM351" s="474"/>
      <c r="AN351" s="481"/>
      <c r="AO351" s="474"/>
      <c r="AP351" s="476"/>
      <c r="AQ351" s="482"/>
      <c r="AR351" s="478"/>
      <c r="AS351" s="478"/>
      <c r="AT351" s="476"/>
      <c r="AU351" s="482"/>
      <c r="AV351" s="478"/>
      <c r="AW351" s="483"/>
      <c r="AX351" s="476"/>
      <c r="AY351" s="482"/>
      <c r="AZ351" s="478"/>
      <c r="BA351" s="484"/>
      <c r="BB351" s="474"/>
      <c r="BC351" s="485"/>
      <c r="BD351" s="485"/>
      <c r="BG351" s="487"/>
    </row>
    <row r="352" spans="1:59" s="486" customFormat="1" ht="18" customHeight="1" x14ac:dyDescent="0.2">
      <c r="A352" s="1368" t="str">
        <f t="shared" si="246"/>
        <v>JL. GUNUNG KESIANGAN - JL. SUDIRMAN2010</v>
      </c>
      <c r="B352" s="1373"/>
      <c r="C352" s="463"/>
      <c r="D352" s="464"/>
      <c r="E352" s="465"/>
      <c r="F352" s="466">
        <v>2010</v>
      </c>
      <c r="G352" s="620">
        <v>0</v>
      </c>
      <c r="H352" s="464">
        <f t="shared" si="247"/>
        <v>1</v>
      </c>
      <c r="I352" s="467"/>
      <c r="J352" s="468">
        <f t="shared" si="248"/>
        <v>2010</v>
      </c>
      <c r="K352" s="490">
        <f t="shared" si="249"/>
        <v>0</v>
      </c>
      <c r="L352" s="469">
        <f t="shared" si="250"/>
        <v>0</v>
      </c>
      <c r="M352" s="683">
        <f t="shared" si="251"/>
        <v>0</v>
      </c>
      <c r="N352" s="470">
        <f t="shared" si="252"/>
        <v>1</v>
      </c>
      <c r="O352" s="468">
        <f t="shared" si="253"/>
        <v>2010</v>
      </c>
      <c r="P352" s="616">
        <f t="shared" si="254"/>
        <v>1590828750</v>
      </c>
      <c r="Q352" s="472">
        <f t="shared" si="255"/>
        <v>1590828750</v>
      </c>
      <c r="R352" s="472">
        <f t="shared" si="256"/>
        <v>176758750</v>
      </c>
      <c r="S352" s="1160">
        <f t="shared" si="244"/>
        <v>2010</v>
      </c>
      <c r="T352" s="470">
        <f t="shared" si="257"/>
        <v>9</v>
      </c>
      <c r="U352" s="612">
        <f t="shared" si="245"/>
        <v>1590828750</v>
      </c>
      <c r="V352" s="464">
        <f t="shared" si="258"/>
        <v>2010</v>
      </c>
      <c r="W352" s="612">
        <f t="shared" si="259"/>
        <v>0</v>
      </c>
      <c r="X352" s="473"/>
      <c r="Y352" s="474"/>
      <c r="Z352" s="449"/>
      <c r="AA352" s="475"/>
      <c r="AB352" s="476"/>
      <c r="AC352" s="476"/>
      <c r="AD352" s="567"/>
      <c r="AE352" s="476"/>
      <c r="AF352" s="568"/>
      <c r="AG352" s="476"/>
      <c r="AH352" s="476"/>
      <c r="AI352" s="477"/>
      <c r="AJ352" s="478"/>
      <c r="AK352" s="479"/>
      <c r="AL352" s="480"/>
      <c r="AM352" s="474"/>
      <c r="AN352" s="481"/>
      <c r="AO352" s="474"/>
      <c r="AP352" s="476"/>
      <c r="AQ352" s="482"/>
      <c r="AR352" s="478"/>
      <c r="AS352" s="478"/>
      <c r="AT352" s="476"/>
      <c r="AU352" s="482"/>
      <c r="AV352" s="478"/>
      <c r="AW352" s="483"/>
      <c r="AX352" s="476"/>
      <c r="AY352" s="482"/>
      <c r="AZ352" s="478"/>
      <c r="BA352" s="484"/>
      <c r="BB352" s="474"/>
      <c r="BC352" s="485"/>
      <c r="BD352" s="485"/>
      <c r="BG352" s="487"/>
    </row>
    <row r="353" spans="1:59" s="486" customFormat="1" ht="18" customHeight="1" x14ac:dyDescent="0.2">
      <c r="A353" s="1368" t="str">
        <f t="shared" si="246"/>
        <v>JL. GUNUNG KESIANGAN - JL. SUDIRMAN2013</v>
      </c>
      <c r="B353" s="1373"/>
      <c r="C353" s="488"/>
      <c r="D353" s="464"/>
      <c r="E353" s="465"/>
      <c r="F353" s="466">
        <v>2013</v>
      </c>
      <c r="G353" s="620">
        <v>0</v>
      </c>
      <c r="H353" s="464">
        <f t="shared" si="247"/>
        <v>0</v>
      </c>
      <c r="I353" s="467"/>
      <c r="J353" s="468">
        <f t="shared" si="248"/>
        <v>2012</v>
      </c>
      <c r="K353" s="490">
        <f t="shared" si="249"/>
        <v>0</v>
      </c>
      <c r="L353" s="469">
        <f t="shared" si="250"/>
        <v>0</v>
      </c>
      <c r="M353" s="683">
        <f t="shared" si="251"/>
        <v>0</v>
      </c>
      <c r="N353" s="470">
        <f t="shared" si="252"/>
        <v>0</v>
      </c>
      <c r="O353" s="468">
        <f t="shared" si="253"/>
        <v>2012</v>
      </c>
      <c r="P353" s="616">
        <f t="shared" si="254"/>
        <v>0</v>
      </c>
      <c r="Q353" s="472">
        <f t="shared" si="255"/>
        <v>0</v>
      </c>
      <c r="R353" s="472">
        <v>0</v>
      </c>
      <c r="S353" s="1160">
        <f t="shared" si="244"/>
        <v>2013</v>
      </c>
      <c r="T353" s="470">
        <f t="shared" si="257"/>
        <v>3</v>
      </c>
      <c r="U353" s="612">
        <f t="shared" si="245"/>
        <v>0</v>
      </c>
      <c r="V353" s="464">
        <f t="shared" si="258"/>
        <v>2013</v>
      </c>
      <c r="W353" s="612">
        <f t="shared" si="259"/>
        <v>0</v>
      </c>
      <c r="X353" s="473"/>
      <c r="Y353" s="478"/>
      <c r="Z353" s="449"/>
      <c r="AA353" s="475" t="s">
        <v>4181</v>
      </c>
      <c r="AB353" s="491"/>
      <c r="AC353" s="491"/>
      <c r="AD353" s="567">
        <f>U362</f>
        <v>1767587500</v>
      </c>
      <c r="AE353" s="491"/>
      <c r="AF353" s="568"/>
      <c r="AG353" s="491"/>
      <c r="AH353" s="491"/>
      <c r="AI353" s="477"/>
      <c r="AJ353" s="478"/>
      <c r="AK353" s="479"/>
      <c r="AL353" s="480"/>
      <c r="AM353" s="474"/>
      <c r="AN353" s="481"/>
      <c r="AO353" s="474"/>
      <c r="AP353" s="476"/>
      <c r="AQ353" s="482"/>
      <c r="AR353" s="478"/>
      <c r="AS353" s="478"/>
      <c r="AT353" s="476"/>
      <c r="AU353" s="482"/>
      <c r="AV353" s="478"/>
      <c r="AW353" s="483"/>
      <c r="AX353" s="476"/>
      <c r="AY353" s="482"/>
      <c r="AZ353" s="478"/>
      <c r="BA353" s="484"/>
      <c r="BB353" s="474"/>
      <c r="BC353" s="485"/>
      <c r="BD353" s="485"/>
      <c r="BG353" s="487"/>
    </row>
    <row r="354" spans="1:59" s="486" customFormat="1" ht="18" customHeight="1" x14ac:dyDescent="0.2">
      <c r="A354" s="1368" t="str">
        <f t="shared" si="246"/>
        <v>JL. GUNUNG KESIANGAN - JL. SUDIRMAN2014</v>
      </c>
      <c r="B354" s="1373"/>
      <c r="C354" s="488"/>
      <c r="D354" s="464"/>
      <c r="E354" s="465"/>
      <c r="F354" s="466">
        <v>2014</v>
      </c>
      <c r="G354" s="620">
        <v>0</v>
      </c>
      <c r="H354" s="464">
        <f t="shared" si="247"/>
        <v>0</v>
      </c>
      <c r="I354" s="467"/>
      <c r="J354" s="468">
        <f t="shared" si="248"/>
        <v>2013</v>
      </c>
      <c r="K354" s="490">
        <f t="shared" si="249"/>
        <v>0</v>
      </c>
      <c r="L354" s="469">
        <f t="shared" si="250"/>
        <v>0</v>
      </c>
      <c r="M354" s="683">
        <f t="shared" si="251"/>
        <v>0</v>
      </c>
      <c r="N354" s="470">
        <f t="shared" si="252"/>
        <v>0</v>
      </c>
      <c r="O354" s="468">
        <f t="shared" si="253"/>
        <v>2013</v>
      </c>
      <c r="P354" s="616">
        <f t="shared" si="254"/>
        <v>0</v>
      </c>
      <c r="Q354" s="472">
        <f t="shared" si="255"/>
        <v>0</v>
      </c>
      <c r="R354" s="472">
        <f t="shared" si="256"/>
        <v>0</v>
      </c>
      <c r="S354" s="1160">
        <f t="shared" si="244"/>
        <v>2014</v>
      </c>
      <c r="T354" s="470">
        <f t="shared" si="257"/>
        <v>1</v>
      </c>
      <c r="U354" s="612">
        <f t="shared" si="245"/>
        <v>0</v>
      </c>
      <c r="V354" s="464">
        <f t="shared" si="258"/>
        <v>2014</v>
      </c>
      <c r="W354" s="612">
        <f t="shared" si="259"/>
        <v>0</v>
      </c>
      <c r="X354" s="473"/>
      <c r="Y354" s="478"/>
      <c r="Z354" s="449"/>
      <c r="AA354" s="475"/>
      <c r="AB354" s="491"/>
      <c r="AC354" s="491"/>
      <c r="AD354" s="567"/>
      <c r="AE354" s="491"/>
      <c r="AF354" s="568"/>
      <c r="AG354" s="491"/>
      <c r="AH354" s="491"/>
      <c r="AI354" s="477"/>
      <c r="AJ354" s="478"/>
      <c r="AK354" s="479"/>
      <c r="AL354" s="480"/>
      <c r="AM354" s="474"/>
      <c r="AN354" s="481"/>
      <c r="AO354" s="474"/>
      <c r="AP354" s="476"/>
      <c r="AQ354" s="482"/>
      <c r="AR354" s="478"/>
      <c r="AS354" s="478"/>
      <c r="AT354" s="476"/>
      <c r="AU354" s="482"/>
      <c r="AV354" s="478"/>
      <c r="AW354" s="483"/>
      <c r="AX354" s="476"/>
      <c r="AY354" s="482"/>
      <c r="AZ354" s="478"/>
      <c r="BA354" s="484"/>
      <c r="BB354" s="474"/>
      <c r="BC354" s="485"/>
      <c r="BD354" s="485"/>
      <c r="BG354" s="487"/>
    </row>
    <row r="355" spans="1:59" s="486" customFormat="1" ht="18" customHeight="1" x14ac:dyDescent="0.2">
      <c r="A355" s="1368" t="str">
        <f t="shared" si="246"/>
        <v>JL. GUNUNG KESIANGAN - JL. SUDIRMAN2015</v>
      </c>
      <c r="B355" s="1373"/>
      <c r="C355" s="463"/>
      <c r="D355" s="464"/>
      <c r="E355" s="465"/>
      <c r="F355" s="466">
        <v>2015</v>
      </c>
      <c r="G355" s="620">
        <v>0</v>
      </c>
      <c r="H355" s="464">
        <f t="shared" si="247"/>
        <v>0</v>
      </c>
      <c r="I355" s="467"/>
      <c r="J355" s="468">
        <f t="shared" si="248"/>
        <v>2014</v>
      </c>
      <c r="K355" s="490">
        <f t="shared" si="249"/>
        <v>0</v>
      </c>
      <c r="L355" s="469">
        <f t="shared" si="250"/>
        <v>0</v>
      </c>
      <c r="M355" s="683">
        <f t="shared" si="251"/>
        <v>0</v>
      </c>
      <c r="N355" s="470">
        <f t="shared" si="252"/>
        <v>0</v>
      </c>
      <c r="O355" s="468">
        <f t="shared" si="253"/>
        <v>2014</v>
      </c>
      <c r="P355" s="616">
        <f t="shared" si="254"/>
        <v>0</v>
      </c>
      <c r="Q355" s="472">
        <f t="shared" si="255"/>
        <v>0</v>
      </c>
      <c r="R355" s="472">
        <f t="shared" si="256"/>
        <v>0</v>
      </c>
      <c r="S355" s="1160">
        <f t="shared" si="244"/>
        <v>2015</v>
      </c>
      <c r="T355" s="470">
        <f t="shared" si="257"/>
        <v>1</v>
      </c>
      <c r="U355" s="612">
        <f t="shared" si="245"/>
        <v>0</v>
      </c>
      <c r="V355" s="464">
        <f t="shared" si="258"/>
        <v>2015</v>
      </c>
      <c r="W355" s="612">
        <f t="shared" si="259"/>
        <v>0</v>
      </c>
      <c r="X355" s="473"/>
      <c r="Y355" s="478"/>
      <c r="Z355" s="449"/>
      <c r="AA355" s="492" t="s">
        <v>4182</v>
      </c>
      <c r="AB355" s="476"/>
      <c r="AC355" s="476"/>
      <c r="AD355" s="567">
        <f>AD351-AD353</f>
        <v>0</v>
      </c>
      <c r="AE355" s="476"/>
      <c r="AF355" s="568"/>
      <c r="AG355" s="476"/>
      <c r="AH355" s="476"/>
      <c r="AI355" s="477"/>
      <c r="AJ355" s="478"/>
      <c r="AK355" s="479"/>
      <c r="AL355" s="480"/>
      <c r="AM355" s="474"/>
      <c r="AN355" s="481"/>
      <c r="AO355" s="474"/>
      <c r="AP355" s="476"/>
      <c r="AQ355" s="482"/>
      <c r="AR355" s="478"/>
      <c r="AS355" s="478"/>
      <c r="AT355" s="476"/>
      <c r="AU355" s="482"/>
      <c r="AV355" s="478"/>
      <c r="AW355" s="483"/>
      <c r="AX355" s="476"/>
      <c r="AY355" s="482"/>
      <c r="AZ355" s="478"/>
      <c r="BA355" s="484"/>
      <c r="BB355" s="474"/>
      <c r="BC355" s="485"/>
      <c r="BD355" s="485"/>
      <c r="BG355" s="487"/>
    </row>
    <row r="356" spans="1:59" s="486" customFormat="1" ht="18" customHeight="1" x14ac:dyDescent="0.2">
      <c r="A356" s="1368" t="str">
        <f t="shared" si="246"/>
        <v>JL. GUNUNG KESIANGAN - JL. SUDIRMAN2016</v>
      </c>
      <c r="B356" s="687"/>
      <c r="C356" s="463"/>
      <c r="D356" s="464"/>
      <c r="E356" s="465"/>
      <c r="F356" s="466">
        <v>2016</v>
      </c>
      <c r="G356" s="620">
        <v>0</v>
      </c>
      <c r="H356" s="464">
        <f t="shared" si="247"/>
        <v>0</v>
      </c>
      <c r="I356" s="467"/>
      <c r="J356" s="468">
        <f t="shared" si="248"/>
        <v>2015</v>
      </c>
      <c r="K356" s="490">
        <f t="shared" si="249"/>
        <v>0</v>
      </c>
      <c r="L356" s="469">
        <f t="shared" si="250"/>
        <v>0</v>
      </c>
      <c r="M356" s="683">
        <f t="shared" si="251"/>
        <v>0</v>
      </c>
      <c r="N356" s="470">
        <f t="shared" si="252"/>
        <v>0</v>
      </c>
      <c r="O356" s="468">
        <f t="shared" si="253"/>
        <v>2015</v>
      </c>
      <c r="P356" s="616">
        <f t="shared" si="254"/>
        <v>0</v>
      </c>
      <c r="Q356" s="472">
        <f t="shared" si="255"/>
        <v>0</v>
      </c>
      <c r="R356" s="472">
        <f t="shared" si="256"/>
        <v>0</v>
      </c>
      <c r="S356" s="1160">
        <f t="shared" si="244"/>
        <v>2016</v>
      </c>
      <c r="T356" s="470">
        <f t="shared" si="257"/>
        <v>1</v>
      </c>
      <c r="U356" s="612">
        <f t="shared" si="245"/>
        <v>0</v>
      </c>
      <c r="V356" s="464">
        <f t="shared" si="258"/>
        <v>2016</v>
      </c>
      <c r="W356" s="612">
        <f t="shared" si="259"/>
        <v>0</v>
      </c>
      <c r="X356" s="473"/>
      <c r="Y356" s="478"/>
      <c r="Z356" s="449"/>
      <c r="AA356" s="531" t="s">
        <v>4183</v>
      </c>
      <c r="AB356" s="496"/>
      <c r="AC356" s="496"/>
      <c r="AD356" s="569">
        <f>AD355-W362</f>
        <v>0</v>
      </c>
      <c r="AE356" s="476"/>
      <c r="AF356" s="568"/>
      <c r="AG356" s="476"/>
      <c r="AH356" s="476"/>
      <c r="AI356" s="477"/>
      <c r="AJ356" s="478"/>
      <c r="AK356" s="479"/>
      <c r="AL356" s="480"/>
      <c r="AM356" s="474"/>
      <c r="AN356" s="481"/>
      <c r="AO356" s="474"/>
      <c r="AP356" s="476"/>
      <c r="AQ356" s="482"/>
      <c r="AR356" s="478"/>
      <c r="AS356" s="478"/>
      <c r="AT356" s="476"/>
      <c r="AU356" s="482"/>
      <c r="AV356" s="478"/>
      <c r="AW356" s="483"/>
      <c r="AX356" s="476"/>
      <c r="AY356" s="482"/>
      <c r="AZ356" s="478"/>
      <c r="BA356" s="484"/>
      <c r="BB356" s="474"/>
      <c r="BC356" s="485"/>
      <c r="BD356" s="485"/>
      <c r="BG356" s="487"/>
    </row>
    <row r="357" spans="1:59" s="486" customFormat="1" ht="18" customHeight="1" x14ac:dyDescent="0.2">
      <c r="A357" s="1368" t="str">
        <f t="shared" si="246"/>
        <v>JL. GUNUNG KESIANGAN - JL. SUDIRMAN2017</v>
      </c>
      <c r="B357" s="687"/>
      <c r="C357" s="463"/>
      <c r="D357" s="464"/>
      <c r="E357" s="465"/>
      <c r="F357" s="466">
        <v>2017</v>
      </c>
      <c r="G357" s="620">
        <v>0</v>
      </c>
      <c r="H357" s="464">
        <f>IF(N356-(F357-F356)&lt;=0,0,(N356-(F357-F356)))</f>
        <v>0</v>
      </c>
      <c r="I357" s="467"/>
      <c r="J357" s="468">
        <f>(F357+N357)-1</f>
        <v>2016</v>
      </c>
      <c r="K357" s="490">
        <f>IF(G357=0,0,IF(H357=10,100%,G357/W356))</f>
        <v>0</v>
      </c>
      <c r="L357" s="469">
        <f>IF(K357=0%,0,IF(K357&lt;=30%,2,IF(K357&lt;=60%,5,10)))</f>
        <v>0</v>
      </c>
      <c r="M357" s="683">
        <f t="shared" si="251"/>
        <v>0</v>
      </c>
      <c r="N357" s="470">
        <f t="shared" si="252"/>
        <v>0</v>
      </c>
      <c r="O357" s="468">
        <f>(F357+N357)-1</f>
        <v>2016</v>
      </c>
      <c r="P357" s="616">
        <f>W356</f>
        <v>0</v>
      </c>
      <c r="Q357" s="472">
        <f>P357+G357</f>
        <v>0</v>
      </c>
      <c r="R357" s="472">
        <f>IF(L357=0,R356,Q357/N357)</f>
        <v>0</v>
      </c>
      <c r="S357" s="1160">
        <f>F357</f>
        <v>2017</v>
      </c>
      <c r="T357" s="470">
        <f t="shared" si="257"/>
        <v>1</v>
      </c>
      <c r="U357" s="612">
        <f>R357*T357</f>
        <v>0</v>
      </c>
      <c r="V357" s="464">
        <f>F357</f>
        <v>2017</v>
      </c>
      <c r="W357" s="612">
        <f>IF(OR(AND(ISBLANK(E357),ISBLANK(G357)),ISTEXT(E357),ISTEXT(G357)),"",Q357-U357)</f>
        <v>0</v>
      </c>
      <c r="X357" s="473"/>
      <c r="Y357" s="478"/>
      <c r="Z357" s="449"/>
      <c r="AA357" s="573"/>
      <c r="AB357" s="476"/>
      <c r="AC357" s="476"/>
      <c r="AD357" s="568"/>
      <c r="AE357" s="476"/>
      <c r="AF357" s="568"/>
      <c r="AG357" s="476"/>
      <c r="AH357" s="476"/>
      <c r="AI357" s="477"/>
      <c r="AJ357" s="478"/>
      <c r="AK357" s="479"/>
      <c r="AL357" s="480"/>
      <c r="AM357" s="474"/>
      <c r="AN357" s="481"/>
      <c r="AO357" s="474"/>
      <c r="AP357" s="476"/>
      <c r="AQ357" s="482"/>
      <c r="AR357" s="478"/>
      <c r="AS357" s="478"/>
      <c r="AT357" s="476"/>
      <c r="AU357" s="482"/>
      <c r="AV357" s="478"/>
      <c r="AW357" s="483"/>
      <c r="AX357" s="476"/>
      <c r="AY357" s="482"/>
      <c r="AZ357" s="478"/>
      <c r="BA357" s="484"/>
      <c r="BB357" s="474"/>
      <c r="BC357" s="485"/>
      <c r="BD357" s="485"/>
      <c r="BG357" s="487"/>
    </row>
    <row r="358" spans="1:59" s="486" customFormat="1" ht="18" customHeight="1" x14ac:dyDescent="0.2">
      <c r="A358" s="1368" t="str">
        <f t="shared" si="246"/>
        <v>JL. GUNUNG KESIANGAN - JL. SUDIRMAN2018</v>
      </c>
      <c r="B358" s="687"/>
      <c r="C358" s="463"/>
      <c r="D358" s="464"/>
      <c r="E358" s="465"/>
      <c r="F358" s="466">
        <v>2018</v>
      </c>
      <c r="G358" s="620">
        <v>0</v>
      </c>
      <c r="H358" s="464">
        <f>IF(N357-(F358-F357)&lt;=0,0,(N357-(F358-F357)))</f>
        <v>0</v>
      </c>
      <c r="I358" s="467"/>
      <c r="J358" s="468">
        <f>(F358+N358)-1</f>
        <v>2017</v>
      </c>
      <c r="K358" s="490">
        <f>IF(G358=0,0,IF(H358=10,100%,G358/W357))</f>
        <v>0</v>
      </c>
      <c r="L358" s="469">
        <f>IF(K358=0%,0,IF(K358&lt;=30%,2,IF(K358&lt;=60%,5,10)))</f>
        <v>0</v>
      </c>
      <c r="M358" s="683">
        <f t="shared" si="251"/>
        <v>0</v>
      </c>
      <c r="N358" s="470">
        <f t="shared" si="252"/>
        <v>0</v>
      </c>
      <c r="O358" s="468">
        <f>(F358+N358)-1</f>
        <v>2017</v>
      </c>
      <c r="P358" s="616">
        <f>W357</f>
        <v>0</v>
      </c>
      <c r="Q358" s="472">
        <f>P358+G358</f>
        <v>0</v>
      </c>
      <c r="R358" s="472">
        <f>IF(L358=0,R357,Q358/N358)</f>
        <v>0</v>
      </c>
      <c r="S358" s="1160">
        <f>F358</f>
        <v>2018</v>
      </c>
      <c r="T358" s="470">
        <f t="shared" si="257"/>
        <v>1</v>
      </c>
      <c r="U358" s="612">
        <f>R358*T358</f>
        <v>0</v>
      </c>
      <c r="V358" s="464">
        <f>F358</f>
        <v>2018</v>
      </c>
      <c r="W358" s="612">
        <f>IF(OR(AND(ISBLANK(E358),ISBLANK(G358)),ISTEXT(E358),ISTEXT(G358)),"",Q358-U358)</f>
        <v>0</v>
      </c>
      <c r="X358" s="473"/>
      <c r="Y358" s="478"/>
      <c r="Z358" s="449"/>
      <c r="AA358" s="573"/>
      <c r="AB358" s="476"/>
      <c r="AC358" s="476"/>
      <c r="AD358" s="568"/>
      <c r="AE358" s="476"/>
      <c r="AF358" s="568"/>
      <c r="AG358" s="476"/>
      <c r="AH358" s="476"/>
      <c r="AI358" s="477"/>
      <c r="AJ358" s="478"/>
      <c r="AK358" s="479"/>
      <c r="AL358" s="480"/>
      <c r="AM358" s="474"/>
      <c r="AN358" s="481"/>
      <c r="AO358" s="474"/>
      <c r="AP358" s="476"/>
      <c r="AQ358" s="482"/>
      <c r="AR358" s="478"/>
      <c r="AS358" s="478"/>
      <c r="AT358" s="476"/>
      <c r="AU358" s="482"/>
      <c r="AV358" s="478"/>
      <c r="AW358" s="483"/>
      <c r="AX358" s="476"/>
      <c r="AY358" s="482"/>
      <c r="AZ358" s="478"/>
      <c r="BA358" s="484"/>
      <c r="BB358" s="474"/>
      <c r="BC358" s="485"/>
      <c r="BD358" s="485"/>
      <c r="BG358" s="487"/>
    </row>
    <row r="359" spans="1:59" s="486" customFormat="1" ht="18" customHeight="1" x14ac:dyDescent="0.2">
      <c r="A359" s="1368" t="str">
        <f t="shared" si="246"/>
        <v>JL. GUNUNG KESIANGAN - JL. SUDIRMAN2019</v>
      </c>
      <c r="B359" s="687"/>
      <c r="C359" s="463"/>
      <c r="D359" s="464"/>
      <c r="E359" s="465"/>
      <c r="F359" s="466">
        <v>2019</v>
      </c>
      <c r="G359" s="620">
        <v>0</v>
      </c>
      <c r="H359" s="464">
        <f>IF(N358-(F359-F358)&lt;=0,0,(N358-(F359-F358)))</f>
        <v>0</v>
      </c>
      <c r="I359" s="467"/>
      <c r="J359" s="468">
        <f>(F359+N359)-1</f>
        <v>2018</v>
      </c>
      <c r="K359" s="490">
        <f>IF(G359=0,0,IF(H359=10,100%,G359/W358))</f>
        <v>0</v>
      </c>
      <c r="L359" s="469">
        <f>IF(K359=0%,0,IF(K359&lt;=30%,2,IF(K359&lt;=60%,5,10)))</f>
        <v>0</v>
      </c>
      <c r="M359" s="683">
        <f t="shared" si="251"/>
        <v>0</v>
      </c>
      <c r="N359" s="470">
        <f t="shared" si="252"/>
        <v>0</v>
      </c>
      <c r="O359" s="468">
        <f>(F359+N359)-1</f>
        <v>2018</v>
      </c>
      <c r="P359" s="616">
        <f>W358</f>
        <v>0</v>
      </c>
      <c r="Q359" s="472">
        <f>P359+G359</f>
        <v>0</v>
      </c>
      <c r="R359" s="472">
        <f>IF(L359=0,R358,Q359/N359)</f>
        <v>0</v>
      </c>
      <c r="S359" s="1189">
        <f>F359</f>
        <v>2019</v>
      </c>
      <c r="T359" s="470">
        <f t="shared" si="257"/>
        <v>1</v>
      </c>
      <c r="U359" s="612">
        <f>R359*T359</f>
        <v>0</v>
      </c>
      <c r="V359" s="464">
        <f>F359</f>
        <v>2019</v>
      </c>
      <c r="W359" s="612">
        <f>IF(OR(AND(ISBLANK(E359),ISBLANK(G359)),ISTEXT(E359),ISTEXT(G359)),"",Q359-U359)</f>
        <v>0</v>
      </c>
      <c r="X359" s="473"/>
      <c r="Y359" s="478"/>
      <c r="Z359" s="449"/>
      <c r="AA359" s="573"/>
      <c r="AB359" s="476"/>
      <c r="AC359" s="476"/>
      <c r="AD359" s="568"/>
      <c r="AE359" s="476"/>
      <c r="AF359" s="568"/>
      <c r="AG359" s="476"/>
      <c r="AH359" s="476"/>
      <c r="AI359" s="477"/>
      <c r="AJ359" s="478"/>
      <c r="AK359" s="479"/>
      <c r="AL359" s="480"/>
      <c r="AM359" s="474"/>
      <c r="AN359" s="481"/>
      <c r="AO359" s="474"/>
      <c r="AP359" s="476"/>
      <c r="AQ359" s="482"/>
      <c r="AR359" s="478"/>
      <c r="AS359" s="478"/>
      <c r="AT359" s="476"/>
      <c r="AU359" s="482"/>
      <c r="AV359" s="478"/>
      <c r="AW359" s="483"/>
      <c r="AX359" s="476"/>
      <c r="AY359" s="482"/>
      <c r="AZ359" s="478"/>
      <c r="BA359" s="484"/>
      <c r="BB359" s="474"/>
      <c r="BC359" s="485"/>
      <c r="BD359" s="485"/>
      <c r="BG359" s="487"/>
    </row>
    <row r="360" spans="1:59" s="486" customFormat="1" ht="18" customHeight="1" x14ac:dyDescent="0.2">
      <c r="A360" s="1369"/>
      <c r="B360" s="687"/>
      <c r="C360" s="463"/>
      <c r="D360" s="464"/>
      <c r="E360" s="465"/>
      <c r="F360" s="466"/>
      <c r="G360" s="620"/>
      <c r="H360" s="464"/>
      <c r="I360" s="467"/>
      <c r="J360" s="468"/>
      <c r="K360" s="490"/>
      <c r="L360" s="469"/>
      <c r="M360" s="683"/>
      <c r="N360" s="470"/>
      <c r="O360" s="468"/>
      <c r="P360" s="616"/>
      <c r="Q360" s="472"/>
      <c r="R360" s="472"/>
      <c r="S360" s="1160"/>
      <c r="T360" s="470"/>
      <c r="U360" s="612"/>
      <c r="V360" s="464"/>
      <c r="W360" s="612"/>
      <c r="X360" s="473"/>
      <c r="Y360" s="478"/>
      <c r="Z360" s="449"/>
      <c r="AA360" s="573"/>
      <c r="AB360" s="476"/>
      <c r="AC360" s="476"/>
      <c r="AD360" s="568"/>
      <c r="AE360" s="476"/>
      <c r="AF360" s="568"/>
      <c r="AG360" s="476"/>
      <c r="AH360" s="476"/>
      <c r="AI360" s="477"/>
      <c r="AJ360" s="478"/>
      <c r="AK360" s="479"/>
      <c r="AL360" s="480"/>
      <c r="AM360" s="474"/>
      <c r="AN360" s="481"/>
      <c r="AO360" s="474"/>
      <c r="AP360" s="476"/>
      <c r="AQ360" s="482"/>
      <c r="AR360" s="478"/>
      <c r="AS360" s="478"/>
      <c r="AT360" s="476"/>
      <c r="AU360" s="482"/>
      <c r="AV360" s="478"/>
      <c r="AW360" s="483"/>
      <c r="AX360" s="476"/>
      <c r="AY360" s="482"/>
      <c r="AZ360" s="478"/>
      <c r="BA360" s="484"/>
      <c r="BB360" s="474"/>
      <c r="BC360" s="485"/>
      <c r="BD360" s="485"/>
      <c r="BG360" s="487"/>
    </row>
    <row r="361" spans="1:59" s="486" customFormat="1" ht="18" customHeight="1" x14ac:dyDescent="0.2">
      <c r="A361" s="1369"/>
      <c r="B361" s="687"/>
      <c r="C361" s="463"/>
      <c r="D361" s="464"/>
      <c r="E361" s="465"/>
      <c r="F361" s="1160"/>
      <c r="G361" s="620"/>
      <c r="H361" s="469" t="str">
        <f>IF(OR(AND(ISBLANK(E361),ISBLANK(G361)),ISTEXT(E361),ISTEXT(G361)),"",IF(#REF!-(YEAR(E361)-YEAR(#REF!))&lt;0,0,#REF!-(YEAR(E361)-YEAR(#REF!))))</f>
        <v/>
      </c>
      <c r="I361" s="467" t="str">
        <f>IF(OR(AND(ISBLANK(E361),ISBLANK(G361)),ISTEXT(E361),ISTEXT(G361)),"",IF(#REF!-E361&lt;0,0,#REF!-E361))</f>
        <v/>
      </c>
      <c r="J361" s="498" t="str">
        <f>IF(OR(AND(ISBLANK(E361),ISBLANK(G361)),ISTEXT(E361),ISTEXT(G361)),"",#REF!)</f>
        <v/>
      </c>
      <c r="K361" s="498"/>
      <c r="L361" s="469" t="str">
        <f>IF(OR(AND(ISBLANK(E361),ISBLANK(G361)),ISTEXT(E361),ISTEXT(G361)),"",ROUNDDOWN(G361/SUM($G$57:G356)*$H$57,0))</f>
        <v/>
      </c>
      <c r="M361" s="683" t="str">
        <f>IF(OR(AND(ISBLANK(E361),ISBLANK(G361)),ISTEXT(E361),ISTEXT(G361)),"",IF(H361+L361&gt;$H$57,$H$57-H361,L361))</f>
        <v/>
      </c>
      <c r="N361" s="470" t="str">
        <f>IF(OR(AND(ISBLANK(E361),ISBLANK(G361)),ISTEXT(E361),ISTEXT(G361)),"",H361+M361)</f>
        <v/>
      </c>
      <c r="O361" s="498" t="str">
        <f>IF(OR(AND(ISBLANK(E361),ISBLANK(G361)),ISTEXT(E361),ISTEXT(G361)),"",DATE(YEAR($J361)+M361,MONTH($J361),DAY($J361)))</f>
        <v/>
      </c>
      <c r="P361" s="748" t="str">
        <f>IF(OR(AND(ISBLANK(E361),ISBLANK(G361)),ISTEXT(E361),ISTEXT(G361)),"",#REF!-#REF!*(IF(J361&lt;E361,J361,E361)-#REF!))</f>
        <v/>
      </c>
      <c r="Q361" s="500" t="str">
        <f>IF(OR(AND(ISBLANK(E361),ISBLANK(G361)),ISTEXT(E361),ISTEXT(G361)),"",P361+G361)</f>
        <v/>
      </c>
      <c r="R361" s="501" t="str">
        <f>IF(OR(AND(ISBLANK(E361),ISBLANK(G361)),ISTEXT(E361),ISTEXT(G361)),"",IF(OR(E361&lt;DATE(2004,12,31),#REF!=0),0,Q361/#REF!))</f>
        <v/>
      </c>
      <c r="S361" s="502" t="str">
        <f>IF(OR(AND(ISBLANK(E361),ISBLANK(G361)),ISTEXT(E361),ISTEXT(G361)),"",IF(YEAR(E361)&lt;=YEAR(#REF!),"-",YEAR(E361)-1))</f>
        <v/>
      </c>
      <c r="T361" s="502"/>
      <c r="U361" s="612" t="str">
        <f>IF(OR(AND(ISBLANK(E361),ISBLANK(G361)),ISTEXT(E361),ISTEXT(G361)),"",IF(AND(J361&lt;=DATE(2004,12,31),E361&gt;J361),SUM($G361:G361),#REF!+#REF!+#REF!*IF(YEAR(E361)&lt;=YEAR(#REF!),0,(IF(DATE(YEAR(E361)-1,12,31)&gt;J361,J361,DATE(YEAR(E361)-1,12,31))-#REF!))))</f>
        <v/>
      </c>
      <c r="V361" s="503" t="str">
        <f>IF(OR(AND(ISBLANK(E361),ISBLANK(G361)),ISTEXT(E361),ISTEXT(G361)),"",IF(YEAR(E361)=YEAR(E362),E362,DATE(YEAR(E361),12,31)))</f>
        <v/>
      </c>
      <c r="W361" s="612" t="str">
        <f>IF(OR(AND(ISBLANK(E361),ISBLANK(G361)),ISTEXT(E361),ISTEXT(G361)),"",IF(Q361=0,0,IF(AND(J361&lt;=DATE(2004,12,31),E361&gt;=J361),Q361-U361,Q361-#REF!)))</f>
        <v/>
      </c>
      <c r="X361" s="504" t="str">
        <f>IF(OR(AND(ISBLANK(E361),ISBLANK(G361)),ISTEXT(E361),ISTEXT(G361)),"",$D$57&amp;"//"&amp;TEXT($E$57,"dd-mmm-yyyy")&amp;"//"&amp;#REF!)</f>
        <v/>
      </c>
      <c r="Y361" s="476"/>
      <c r="Z361" s="476"/>
      <c r="AA361" s="476"/>
      <c r="AB361" s="476"/>
      <c r="AC361" s="476"/>
      <c r="AD361" s="568"/>
      <c r="AE361" s="476"/>
      <c r="AF361" s="568"/>
      <c r="AG361" s="476"/>
      <c r="AH361" s="476"/>
      <c r="AI361" s="477"/>
      <c r="AJ361" s="478"/>
      <c r="AK361" s="479"/>
      <c r="AL361" s="480"/>
      <c r="AM361" s="474"/>
      <c r="AN361" s="481"/>
      <c r="AO361" s="474"/>
      <c r="AP361" s="476"/>
      <c r="AQ361" s="482"/>
      <c r="AR361" s="478"/>
      <c r="AS361" s="478"/>
      <c r="AT361" s="476"/>
      <c r="AU361" s="482"/>
      <c r="AV361" s="478"/>
      <c r="AW361" s="483"/>
      <c r="AX361" s="476"/>
      <c r="AY361" s="482"/>
      <c r="AZ361" s="478"/>
      <c r="BA361" s="484"/>
      <c r="BB361" s="474"/>
      <c r="BC361" s="485"/>
      <c r="BD361" s="485"/>
      <c r="BG361" s="487"/>
    </row>
    <row r="362" spans="1:59" s="551" customFormat="1" ht="18" customHeight="1" x14ac:dyDescent="0.2">
      <c r="A362" s="1370" t="s">
        <v>4184</v>
      </c>
      <c r="B362" s="2039" t="s">
        <v>4184</v>
      </c>
      <c r="C362" s="2040"/>
      <c r="D362" s="2040"/>
      <c r="E362" s="2040"/>
      <c r="F362" s="2041"/>
      <c r="G362" s="625">
        <f>SUM(G350:G361)</f>
        <v>1767587500</v>
      </c>
      <c r="H362" s="534"/>
      <c r="I362" s="535"/>
      <c r="J362" s="536"/>
      <c r="K362" s="536"/>
      <c r="L362" s="534"/>
      <c r="M362" s="1158"/>
      <c r="N362" s="537"/>
      <c r="O362" s="536"/>
      <c r="P362" s="751"/>
      <c r="Q362" s="538"/>
      <c r="R362" s="539"/>
      <c r="S362" s="540"/>
      <c r="T362" s="540"/>
      <c r="U362" s="1157">
        <f>SUM(U350:U361)</f>
        <v>1767587500</v>
      </c>
      <c r="V362" s="541"/>
      <c r="W362" s="1157">
        <f>G362-U362</f>
        <v>0</v>
      </c>
      <c r="X362" s="1156"/>
      <c r="Y362" s="426"/>
      <c r="Z362" s="426"/>
      <c r="AA362" s="426"/>
      <c r="AB362" s="426"/>
      <c r="AC362" s="426"/>
      <c r="AD362" s="564"/>
      <c r="AE362" s="426"/>
      <c r="AF362" s="564">
        <v>6628630678.5496902</v>
      </c>
      <c r="AG362" s="426"/>
      <c r="AH362" s="426"/>
      <c r="AI362" s="542"/>
      <c r="AJ362" s="543"/>
      <c r="AK362" s="432"/>
      <c r="AL362" s="544"/>
      <c r="AM362" s="545"/>
      <c r="AN362" s="546"/>
      <c r="AO362" s="545"/>
      <c r="AP362" s="426"/>
      <c r="AQ362" s="547"/>
      <c r="AR362" s="543"/>
      <c r="AS362" s="543"/>
      <c r="AT362" s="426"/>
      <c r="AU362" s="547"/>
      <c r="AV362" s="543"/>
      <c r="AW362" s="548"/>
      <c r="AX362" s="426"/>
      <c r="AY362" s="547"/>
      <c r="AZ362" s="543"/>
      <c r="BA362" s="549"/>
      <c r="BB362" s="545"/>
      <c r="BC362" s="550"/>
      <c r="BD362" s="550"/>
      <c r="BG362" s="552"/>
    </row>
    <row r="365" spans="1:59" s="422" customFormat="1" ht="18" customHeight="1" x14ac:dyDescent="0.2">
      <c r="A365" s="1366">
        <f>C365</f>
        <v>42</v>
      </c>
      <c r="B365" s="742" t="s">
        <v>4187</v>
      </c>
      <c r="C365" s="556">
        <v>42</v>
      </c>
      <c r="D365" s="553" t="str">
        <f>VLOOKUP(C365,RUAS,2,FALSE)</f>
        <v>KAMPUNG DATAR - PL. KOMANG</v>
      </c>
      <c r="E365" s="553"/>
      <c r="F365" s="421"/>
      <c r="G365" s="611"/>
      <c r="I365" s="423"/>
      <c r="J365" s="424"/>
      <c r="K365" s="424"/>
      <c r="M365" s="680"/>
      <c r="P365" s="611"/>
      <c r="U365" s="611"/>
      <c r="W365" s="611"/>
      <c r="Y365" s="425"/>
      <c r="Z365" s="425"/>
      <c r="AA365" s="425"/>
      <c r="AB365" s="425"/>
      <c r="AC365" s="425"/>
      <c r="AD365" s="563"/>
      <c r="AE365" s="425"/>
      <c r="AF365" s="563"/>
      <c r="AG365" s="425"/>
      <c r="AH365" s="425"/>
      <c r="AI365" s="425"/>
      <c r="AJ365" s="425"/>
      <c r="AK365" s="425"/>
      <c r="AL365" s="425"/>
      <c r="AM365" s="425"/>
      <c r="AN365" s="425"/>
      <c r="AO365" s="425"/>
      <c r="AP365" s="425"/>
      <c r="AQ365" s="425"/>
      <c r="AR365" s="425"/>
      <c r="AS365" s="425"/>
      <c r="AT365" s="425"/>
      <c r="AU365" s="425"/>
      <c r="AV365" s="425"/>
      <c r="AW365" s="425"/>
      <c r="AX365" s="425"/>
      <c r="AY365" s="425"/>
      <c r="AZ365" s="425"/>
      <c r="BA365" s="425"/>
      <c r="BB365" s="425"/>
    </row>
    <row r="366" spans="1:59" s="431" customFormat="1" ht="18" customHeight="1" x14ac:dyDescent="0.2">
      <c r="A366" s="1367"/>
      <c r="B366" s="1968" t="s">
        <v>5</v>
      </c>
      <c r="C366" s="1968" t="s">
        <v>2280</v>
      </c>
      <c r="D366" s="1968" t="s">
        <v>4157</v>
      </c>
      <c r="E366" s="1968" t="s">
        <v>4158</v>
      </c>
      <c r="F366" s="1968"/>
      <c r="G366" s="1969" t="s">
        <v>4159</v>
      </c>
      <c r="H366" s="1968" t="s">
        <v>4160</v>
      </c>
      <c r="I366" s="1968"/>
      <c r="J366" s="1968" t="s">
        <v>4185</v>
      </c>
      <c r="K366" s="1964" t="s">
        <v>4162</v>
      </c>
      <c r="L366" s="1968" t="s">
        <v>4163</v>
      </c>
      <c r="M366" s="1971" t="s">
        <v>4164</v>
      </c>
      <c r="N366" s="1962" t="s">
        <v>4165</v>
      </c>
      <c r="O366" s="1968" t="s">
        <v>4166</v>
      </c>
      <c r="P366" s="1972" t="s">
        <v>4167</v>
      </c>
      <c r="Q366" s="1973"/>
      <c r="R366" s="1180" t="s">
        <v>4186</v>
      </c>
      <c r="S366" s="1972" t="s">
        <v>4169</v>
      </c>
      <c r="T366" s="1974"/>
      <c r="U366" s="1973"/>
      <c r="V366" s="1975" t="s">
        <v>4170</v>
      </c>
      <c r="W366" s="1975"/>
      <c r="X366" s="1960" t="s">
        <v>4171</v>
      </c>
      <c r="Y366" s="1959"/>
      <c r="Z366" s="1181"/>
      <c r="AA366" s="426"/>
      <c r="AB366" s="426"/>
      <c r="AC366" s="426"/>
      <c r="AD366" s="564"/>
      <c r="AE366" s="426"/>
      <c r="AF366" s="564"/>
      <c r="AG366" s="426"/>
      <c r="AH366" s="426"/>
      <c r="AI366" s="427"/>
      <c r="AJ366" s="427"/>
      <c r="AK366" s="427"/>
      <c r="AL366" s="427"/>
      <c r="AM366" s="428"/>
      <c r="AN366" s="427"/>
      <c r="AO366" s="427"/>
      <c r="AP366" s="426"/>
      <c r="AQ366" s="427"/>
      <c r="AR366" s="427"/>
      <c r="AS366" s="427"/>
      <c r="AT366" s="426"/>
      <c r="AU366" s="427"/>
      <c r="AV366" s="427"/>
      <c r="AW366" s="427"/>
      <c r="AX366" s="426"/>
      <c r="AY366" s="427"/>
      <c r="AZ366" s="427"/>
      <c r="BA366" s="427"/>
      <c r="BB366" s="429"/>
      <c r="BC366" s="430"/>
      <c r="BD366" s="430"/>
    </row>
    <row r="367" spans="1:59" s="431" customFormat="1" ht="18" customHeight="1" x14ac:dyDescent="0.2">
      <c r="A367" s="1367"/>
      <c r="B367" s="1968"/>
      <c r="C367" s="1968"/>
      <c r="D367" s="1968"/>
      <c r="E367" s="1968"/>
      <c r="F367" s="1968"/>
      <c r="G367" s="1969"/>
      <c r="H367" s="1968"/>
      <c r="I367" s="1968"/>
      <c r="J367" s="1968"/>
      <c r="K367" s="1970"/>
      <c r="L367" s="1968"/>
      <c r="M367" s="1971"/>
      <c r="N367" s="1963"/>
      <c r="O367" s="1968"/>
      <c r="P367" s="2037" t="s">
        <v>4172</v>
      </c>
      <c r="Q367" s="1960" t="s">
        <v>4173</v>
      </c>
      <c r="R367" s="1962" t="s">
        <v>4159</v>
      </c>
      <c r="S367" s="1962" t="s">
        <v>4174</v>
      </c>
      <c r="T367" s="1964" t="s">
        <v>4175</v>
      </c>
      <c r="U367" s="1966" t="s">
        <v>4159</v>
      </c>
      <c r="V367" s="1975"/>
      <c r="W367" s="1975"/>
      <c r="X367" s="1976"/>
      <c r="Y367" s="1959"/>
      <c r="Z367" s="1181"/>
      <c r="AA367" s="426"/>
      <c r="AB367" s="426"/>
      <c r="AC367" s="426"/>
      <c r="AD367" s="564"/>
      <c r="AE367" s="426"/>
      <c r="AF367" s="564"/>
      <c r="AG367" s="426"/>
      <c r="AH367" s="426"/>
      <c r="AI367" s="427"/>
      <c r="AJ367" s="427"/>
      <c r="AK367" s="426"/>
      <c r="AL367" s="427"/>
      <c r="AM367" s="428"/>
      <c r="AN367" s="427"/>
      <c r="AO367" s="427"/>
      <c r="AP367" s="432"/>
      <c r="AQ367" s="427"/>
      <c r="AR367" s="427"/>
      <c r="AS367" s="427"/>
      <c r="AT367" s="432"/>
      <c r="AU367" s="427"/>
      <c r="AV367" s="427"/>
      <c r="AW367" s="427"/>
      <c r="AX367" s="432"/>
      <c r="AY367" s="427"/>
      <c r="AZ367" s="427"/>
      <c r="BA367" s="427"/>
      <c r="BB367" s="429"/>
      <c r="BC367" s="430"/>
      <c r="BD367" s="430"/>
    </row>
    <row r="368" spans="1:59" s="431" customFormat="1" ht="18" customHeight="1" x14ac:dyDescent="0.2">
      <c r="A368" s="1367"/>
      <c r="B368" s="1968"/>
      <c r="C368" s="1968"/>
      <c r="D368" s="1968"/>
      <c r="E368" s="433" t="s">
        <v>4176</v>
      </c>
      <c r="F368" s="434" t="s">
        <v>2288</v>
      </c>
      <c r="G368" s="1969"/>
      <c r="H368" s="1178" t="s">
        <v>2288</v>
      </c>
      <c r="I368" s="1178" t="s">
        <v>4177</v>
      </c>
      <c r="J368" s="1968"/>
      <c r="K368" s="1965"/>
      <c r="L368" s="435" t="s">
        <v>2288</v>
      </c>
      <c r="M368" s="681" t="s">
        <v>2288</v>
      </c>
      <c r="N368" s="1178" t="s">
        <v>2288</v>
      </c>
      <c r="O368" s="1968"/>
      <c r="P368" s="2038"/>
      <c r="Q368" s="1961"/>
      <c r="R368" s="1963"/>
      <c r="S368" s="1963"/>
      <c r="T368" s="1965"/>
      <c r="U368" s="1967"/>
      <c r="V368" s="1178" t="s">
        <v>4178</v>
      </c>
      <c r="W368" s="1182" t="s">
        <v>4159</v>
      </c>
      <c r="X368" s="1961"/>
      <c r="Y368" s="436"/>
      <c r="Z368" s="436"/>
      <c r="AA368" s="426"/>
      <c r="AB368" s="426"/>
      <c r="AC368" s="426"/>
      <c r="AD368" s="564"/>
      <c r="AE368" s="426"/>
      <c r="AF368" s="564"/>
      <c r="AG368" s="426"/>
      <c r="AH368" s="426"/>
      <c r="AI368" s="427"/>
      <c r="AJ368" s="432"/>
      <c r="AK368" s="432"/>
      <c r="AL368" s="427"/>
      <c r="AM368" s="428"/>
      <c r="AN368" s="432"/>
      <c r="AO368" s="427"/>
      <c r="AP368" s="432"/>
      <c r="AQ368" s="432"/>
      <c r="AR368" s="427"/>
      <c r="AS368" s="427"/>
      <c r="AT368" s="432"/>
      <c r="AU368" s="432"/>
      <c r="AV368" s="427"/>
      <c r="AW368" s="427"/>
      <c r="AX368" s="432"/>
      <c r="AY368" s="432"/>
      <c r="AZ368" s="427"/>
      <c r="BA368" s="427"/>
      <c r="BB368" s="429"/>
      <c r="BC368" s="430"/>
      <c r="BD368" s="430"/>
    </row>
    <row r="369" spans="1:59" s="461" customFormat="1" ht="18" customHeight="1" x14ac:dyDescent="0.2">
      <c r="A369" s="1368" t="str">
        <f>$D$365&amp;S369</f>
        <v>KAMPUNG DATAR - PL. KOMANG2001</v>
      </c>
      <c r="B369" s="1373">
        <v>1</v>
      </c>
      <c r="C369" s="532" t="s">
        <v>529</v>
      </c>
      <c r="D369" s="437" t="s">
        <v>2494</v>
      </c>
      <c r="E369" s="438"/>
      <c r="F369" s="439">
        <v>2001</v>
      </c>
      <c r="G369" s="623">
        <v>1305000000</v>
      </c>
      <c r="H369" s="440">
        <f>VLOOKUP(LEFT(D369,8),UE,4)</f>
        <v>10</v>
      </c>
      <c r="I369" s="441"/>
      <c r="J369" s="442">
        <f>(F369+N369)-1</f>
        <v>2010</v>
      </c>
      <c r="K369" s="443"/>
      <c r="L369" s="440"/>
      <c r="M369" s="746">
        <f>IF(H369+L369&gt;$H369,$H369-H369,L369)</f>
        <v>0</v>
      </c>
      <c r="N369" s="444">
        <f>H369+M369</f>
        <v>10</v>
      </c>
      <c r="O369" s="442">
        <f>(F369+N369)-1</f>
        <v>2010</v>
      </c>
      <c r="P369" s="617">
        <f>G369</f>
        <v>1305000000</v>
      </c>
      <c r="Q369" s="445">
        <v>0</v>
      </c>
      <c r="R369" s="445">
        <f>P369/N369</f>
        <v>130500000</v>
      </c>
      <c r="S369" s="446">
        <f>F369</f>
        <v>2001</v>
      </c>
      <c r="T369" s="447">
        <v>1</v>
      </c>
      <c r="U369" s="613">
        <f>R369*T369</f>
        <v>130500000</v>
      </c>
      <c r="V369" s="442">
        <f>F369</f>
        <v>2001</v>
      </c>
      <c r="W369" s="617">
        <f>IF(OR(AND(ISBLANK(E369),ISBLANK(G369)),ISTEXT(E369),ISTEXT(G369)),"",G369-R369)</f>
        <v>1174500000</v>
      </c>
      <c r="X369" s="448"/>
      <c r="Y369" s="449"/>
      <c r="Z369" s="449"/>
      <c r="AA369" s="450" t="s">
        <v>4179</v>
      </c>
      <c r="AB369" s="451"/>
      <c r="AC369" s="451"/>
      <c r="AD369" s="565"/>
      <c r="AE369" s="452"/>
      <c r="AF369" s="571"/>
      <c r="AG369" s="452"/>
      <c r="AH369" s="452"/>
      <c r="AI369" s="453"/>
      <c r="AJ369" s="449"/>
      <c r="AK369" s="453"/>
      <c r="AL369" s="454"/>
      <c r="AM369" s="455"/>
      <c r="AN369" s="456"/>
      <c r="AO369" s="455"/>
      <c r="AP369" s="452"/>
      <c r="AQ369" s="457"/>
      <c r="AR369" s="449"/>
      <c r="AS369" s="449"/>
      <c r="AT369" s="452"/>
      <c r="AU369" s="457"/>
      <c r="AV369" s="449"/>
      <c r="AW369" s="458"/>
      <c r="AX369" s="452"/>
      <c r="AY369" s="457"/>
      <c r="AZ369" s="449"/>
      <c r="BA369" s="459"/>
      <c r="BB369" s="455"/>
      <c r="BC369" s="460"/>
      <c r="BD369" s="460"/>
      <c r="BG369" s="462"/>
    </row>
    <row r="370" spans="1:59" s="486" customFormat="1" ht="18" customHeight="1" x14ac:dyDescent="0.2">
      <c r="A370" s="1368" t="str">
        <f t="shared" ref="A370:A380" si="260">$D$365&amp;S370</f>
        <v>KAMPUNG DATAR - PL. KOMANG2001</v>
      </c>
      <c r="B370" s="1373"/>
      <c r="C370" s="463"/>
      <c r="D370" s="464"/>
      <c r="E370" s="465"/>
      <c r="F370" s="466">
        <v>2001</v>
      </c>
      <c r="G370" s="620">
        <v>0</v>
      </c>
      <c r="H370" s="464">
        <f>IF(N369-(F370-F369)&lt;=0,0,(N369-(F370-F369)))</f>
        <v>10</v>
      </c>
      <c r="I370" s="467"/>
      <c r="J370" s="468">
        <f>(F370+N370)-1</f>
        <v>2010</v>
      </c>
      <c r="K370" s="490">
        <f>IF(G370=0,0,IF(H370=10,100%,G370/W369))</f>
        <v>0</v>
      </c>
      <c r="L370" s="469">
        <f>IF(K370=0%,0,IF(K370&lt;=30%,2,IF(K370&lt;=60%,5,10)))</f>
        <v>0</v>
      </c>
      <c r="M370" s="683">
        <f>IF(OR(AND(ISBLANK(E370),ISBLANK(G370)),ISTEXT(E370),ISTEXT(G370)),"",IF(H370+L370&gt;$H$8,$H$8-H370,L370))</f>
        <v>0</v>
      </c>
      <c r="N370" s="470">
        <f>IF(OR(AND(ISBLANK(F370),ISBLANK(G370)),ISTEXT(F370),ISTEXT(G370)),"",H370+M370)</f>
        <v>10</v>
      </c>
      <c r="O370" s="468">
        <f>(F370+N370)-1</f>
        <v>2010</v>
      </c>
      <c r="P370" s="616">
        <f>W369</f>
        <v>1174500000</v>
      </c>
      <c r="Q370" s="472">
        <f>P370+G370</f>
        <v>1174500000</v>
      </c>
      <c r="R370" s="472">
        <f>IF(L370=0,R369,Q370/N370)</f>
        <v>130500000</v>
      </c>
      <c r="S370" s="1183">
        <f>F370</f>
        <v>2001</v>
      </c>
      <c r="T370" s="470">
        <f>S370-S369</f>
        <v>0</v>
      </c>
      <c r="U370" s="612">
        <f>R370*T370</f>
        <v>0</v>
      </c>
      <c r="V370" s="464">
        <f>F370</f>
        <v>2001</v>
      </c>
      <c r="W370" s="612">
        <f>IF(OR(AND(ISBLANK(E370),ISBLANK(G370)),ISTEXT(E370),ISTEXT(G370)),"",Q370-U370)</f>
        <v>1174500000</v>
      </c>
      <c r="X370" s="473"/>
      <c r="Y370" s="474"/>
      <c r="Z370" s="449"/>
      <c r="AA370" s="475" t="s">
        <v>4180</v>
      </c>
      <c r="AB370" s="476"/>
      <c r="AC370" s="476"/>
      <c r="AD370" s="567">
        <f>G383</f>
        <v>1502659444</v>
      </c>
      <c r="AE370" s="476"/>
      <c r="AF370" s="568"/>
      <c r="AG370" s="476"/>
      <c r="AH370" s="476"/>
      <c r="AI370" s="477"/>
      <c r="AJ370" s="478"/>
      <c r="AK370" s="479"/>
      <c r="AL370" s="480"/>
      <c r="AM370" s="474"/>
      <c r="AN370" s="481"/>
      <c r="AO370" s="474"/>
      <c r="AP370" s="476"/>
      <c r="AQ370" s="482"/>
      <c r="AR370" s="478"/>
      <c r="AS370" s="478"/>
      <c r="AT370" s="476"/>
      <c r="AU370" s="482"/>
      <c r="AV370" s="478"/>
      <c r="AW370" s="483"/>
      <c r="AX370" s="476"/>
      <c r="AY370" s="482"/>
      <c r="AZ370" s="478"/>
      <c r="BA370" s="484"/>
      <c r="BB370" s="474"/>
      <c r="BC370" s="485"/>
      <c r="BD370" s="485"/>
      <c r="BG370" s="487"/>
    </row>
    <row r="371" spans="1:59" s="486" customFormat="1" ht="18" customHeight="1" x14ac:dyDescent="0.2">
      <c r="A371" s="1368" t="str">
        <f t="shared" si="260"/>
        <v>KAMPUNG DATAR - PL. KOMANG2010</v>
      </c>
      <c r="B371" s="1373"/>
      <c r="C371" s="463"/>
      <c r="D371" s="464"/>
      <c r="E371" s="465"/>
      <c r="F371" s="466">
        <v>2010</v>
      </c>
      <c r="G371" s="620">
        <v>0</v>
      </c>
      <c r="H371" s="464">
        <f>IF(N370-(F371-F370)&lt;=0,0,(N370-(F371-F370)))</f>
        <v>1</v>
      </c>
      <c r="I371" s="467"/>
      <c r="J371" s="468">
        <f>(F371+N371)-1</f>
        <v>2010</v>
      </c>
      <c r="K371" s="490">
        <f>IF(G371=0,0,IF(H371=10,100%,G371/W370))</f>
        <v>0</v>
      </c>
      <c r="L371" s="469">
        <f>IF(K371=0%,0,IF(K371&lt;=30%,2,IF(K371&lt;=60%,5,10)))</f>
        <v>0</v>
      </c>
      <c r="M371" s="683">
        <f>IF(OR(AND(ISBLANK(E371),ISBLANK(G371)),ISTEXT(E371),ISTEXT(G371)),"",IF(H371+L371&gt;$H$8,$H$8-H371,L371))</f>
        <v>0</v>
      </c>
      <c r="N371" s="470">
        <f>IF(OR(AND(ISBLANK(F371),ISBLANK(G371)),ISTEXT(F371),ISTEXT(G371)),"",H371+M371)</f>
        <v>1</v>
      </c>
      <c r="O371" s="468">
        <f>(F371+N371)-1</f>
        <v>2010</v>
      </c>
      <c r="P371" s="616">
        <f>W370</f>
        <v>1174500000</v>
      </c>
      <c r="Q371" s="472">
        <f>P371+G371</f>
        <v>1174500000</v>
      </c>
      <c r="R371" s="472">
        <f>IF(L371=0,R370,Q371/N371)</f>
        <v>130500000</v>
      </c>
      <c r="S371" s="1183">
        <f>F371</f>
        <v>2010</v>
      </c>
      <c r="T371" s="470">
        <f>S371-S370</f>
        <v>9</v>
      </c>
      <c r="U371" s="612">
        <f>R371*T371</f>
        <v>1174500000</v>
      </c>
      <c r="V371" s="464">
        <f>F371</f>
        <v>2010</v>
      </c>
      <c r="W371" s="612">
        <f>IF(OR(AND(ISBLANK(E371),ISBLANK(G371)),ISTEXT(E371),ISTEXT(G371)),"",Q371-U371)</f>
        <v>0</v>
      </c>
      <c r="X371" s="473"/>
      <c r="Y371" s="474"/>
      <c r="Z371" s="449"/>
      <c r="AA371" s="475"/>
      <c r="AB371" s="476"/>
      <c r="AC371" s="476"/>
      <c r="AD371" s="567"/>
      <c r="AE371" s="476"/>
      <c r="AF371" s="568"/>
      <c r="AG371" s="476"/>
      <c r="AH371" s="476"/>
      <c r="AI371" s="477"/>
      <c r="AJ371" s="478"/>
      <c r="AK371" s="479"/>
      <c r="AL371" s="480"/>
      <c r="AM371" s="474"/>
      <c r="AN371" s="481"/>
      <c r="AO371" s="474"/>
      <c r="AP371" s="476"/>
      <c r="AQ371" s="482"/>
      <c r="AR371" s="478"/>
      <c r="AS371" s="478"/>
      <c r="AT371" s="476"/>
      <c r="AU371" s="482"/>
      <c r="AV371" s="478"/>
      <c r="AW371" s="483"/>
      <c r="AX371" s="476"/>
      <c r="AY371" s="482"/>
      <c r="AZ371" s="478"/>
      <c r="BA371" s="484"/>
      <c r="BB371" s="474"/>
      <c r="BC371" s="485"/>
      <c r="BD371" s="485"/>
      <c r="BG371" s="487"/>
    </row>
    <row r="372" spans="1:59" s="486" customFormat="1" ht="18" customHeight="1" x14ac:dyDescent="0.2">
      <c r="A372" s="1368" t="str">
        <f t="shared" si="260"/>
        <v>KAMPUNG DATAR - PL. KOMANG2011</v>
      </c>
      <c r="B372" s="1373"/>
      <c r="C372" s="463"/>
      <c r="D372" s="464"/>
      <c r="E372" s="465"/>
      <c r="F372" s="466">
        <v>2011</v>
      </c>
      <c r="G372" s="620">
        <v>0</v>
      </c>
      <c r="H372" s="464">
        <f t="shared" ref="H372:H379" si="261">IF(N371-(F372-F371)&lt;=0,0,(N371-(F372-F371)))</f>
        <v>0</v>
      </c>
      <c r="I372" s="467"/>
      <c r="J372" s="468">
        <f t="shared" ref="J372:J379" si="262">(F372+N372)-1</f>
        <v>2010</v>
      </c>
      <c r="K372" s="490">
        <f t="shared" ref="K372:K379" si="263">IF(G372=0,0,IF(H372=10,100%,G372/W371))</f>
        <v>0</v>
      </c>
      <c r="L372" s="469">
        <f t="shared" ref="L372:L379" si="264">IF(K372=0%,0,IF(K372&lt;=30%,2,IF(K372&lt;=60%,5,10)))</f>
        <v>0</v>
      </c>
      <c r="M372" s="683">
        <f t="shared" ref="M372:M379" si="265">IF(OR(AND(ISBLANK(E372),ISBLANK(G372)),ISTEXT(E372),ISTEXT(G372)),"",IF(H372+L372&gt;$H$8,$H$8-H372,L372))</f>
        <v>0</v>
      </c>
      <c r="N372" s="470">
        <f t="shared" ref="N372:N379" si="266">IF(OR(AND(ISBLANK(F372),ISBLANK(G372)),ISTEXT(F372),ISTEXT(G372)),"",H372+M372)</f>
        <v>0</v>
      </c>
      <c r="O372" s="468">
        <f t="shared" ref="O372:O379" si="267">(F372+N372)-1</f>
        <v>2010</v>
      </c>
      <c r="P372" s="616">
        <f t="shared" ref="P372:P379" si="268">W371</f>
        <v>0</v>
      </c>
      <c r="Q372" s="472">
        <f t="shared" ref="Q372:Q379" si="269">P372+G372</f>
        <v>0</v>
      </c>
      <c r="R372" s="472">
        <v>0</v>
      </c>
      <c r="S372" s="1189">
        <f t="shared" ref="S372:S379" si="270">F372</f>
        <v>2011</v>
      </c>
      <c r="T372" s="470">
        <f t="shared" ref="T372:T379" si="271">S372-S371</f>
        <v>1</v>
      </c>
      <c r="U372" s="612">
        <f t="shared" ref="U372:U379" si="272">R372*T372</f>
        <v>0</v>
      </c>
      <c r="V372" s="464">
        <f t="shared" ref="V372:V379" si="273">F372</f>
        <v>2011</v>
      </c>
      <c r="W372" s="612">
        <f t="shared" ref="W372:W379" si="274">IF(OR(AND(ISBLANK(E372),ISBLANK(G372)),ISTEXT(E372),ISTEXT(G372)),"",Q372-U372)</f>
        <v>0</v>
      </c>
      <c r="X372" s="473"/>
      <c r="Y372" s="474"/>
      <c r="Z372" s="449"/>
      <c r="AA372" s="475"/>
      <c r="AB372" s="476"/>
      <c r="AC372" s="476"/>
      <c r="AD372" s="567"/>
      <c r="AE372" s="476"/>
      <c r="AF372" s="568"/>
      <c r="AG372" s="476"/>
      <c r="AH372" s="476"/>
      <c r="AI372" s="477"/>
      <c r="AJ372" s="478"/>
      <c r="AK372" s="479"/>
      <c r="AL372" s="480"/>
      <c r="AM372" s="474"/>
      <c r="AN372" s="481"/>
      <c r="AO372" s="474"/>
      <c r="AP372" s="476"/>
      <c r="AQ372" s="482"/>
      <c r="AR372" s="478"/>
      <c r="AS372" s="478"/>
      <c r="AT372" s="476"/>
      <c r="AU372" s="482"/>
      <c r="AV372" s="478"/>
      <c r="AW372" s="483"/>
      <c r="AX372" s="476"/>
      <c r="AY372" s="482"/>
      <c r="AZ372" s="478"/>
      <c r="BA372" s="484"/>
      <c r="BB372" s="474"/>
      <c r="BC372" s="485"/>
      <c r="BD372" s="485"/>
      <c r="BG372" s="487"/>
    </row>
    <row r="373" spans="1:59" s="486" customFormat="1" ht="18" customHeight="1" x14ac:dyDescent="0.2">
      <c r="A373" s="1368" t="str">
        <f t="shared" si="260"/>
        <v>KAMPUNG DATAR - PL. KOMANG2012</v>
      </c>
      <c r="B373" s="1373"/>
      <c r="C373" s="463"/>
      <c r="D373" s="464"/>
      <c r="E373" s="465"/>
      <c r="F373" s="466">
        <v>2012</v>
      </c>
      <c r="G373" s="620">
        <v>0</v>
      </c>
      <c r="H373" s="464">
        <f t="shared" si="261"/>
        <v>0</v>
      </c>
      <c r="I373" s="467"/>
      <c r="J373" s="468">
        <f t="shared" si="262"/>
        <v>2011</v>
      </c>
      <c r="K373" s="490">
        <f t="shared" si="263"/>
        <v>0</v>
      </c>
      <c r="L373" s="469">
        <f t="shared" si="264"/>
        <v>0</v>
      </c>
      <c r="M373" s="683">
        <f t="shared" si="265"/>
        <v>0</v>
      </c>
      <c r="N373" s="470">
        <f t="shared" si="266"/>
        <v>0</v>
      </c>
      <c r="O373" s="468">
        <f t="shared" si="267"/>
        <v>2011</v>
      </c>
      <c r="P373" s="616">
        <f t="shared" si="268"/>
        <v>0</v>
      </c>
      <c r="Q373" s="472">
        <f t="shared" si="269"/>
        <v>0</v>
      </c>
      <c r="R373" s="472">
        <f t="shared" ref="R373:R379" si="275">IF(L373=0,R372,Q373/N373)</f>
        <v>0</v>
      </c>
      <c r="S373" s="1189">
        <f t="shared" si="270"/>
        <v>2012</v>
      </c>
      <c r="T373" s="470">
        <f t="shared" si="271"/>
        <v>1</v>
      </c>
      <c r="U373" s="612">
        <f t="shared" si="272"/>
        <v>0</v>
      </c>
      <c r="V373" s="464">
        <f t="shared" si="273"/>
        <v>2012</v>
      </c>
      <c r="W373" s="612">
        <f t="shared" si="274"/>
        <v>0</v>
      </c>
      <c r="X373" s="473"/>
      <c r="Y373" s="474"/>
      <c r="Z373" s="449"/>
      <c r="AA373" s="475"/>
      <c r="AB373" s="476"/>
      <c r="AC373" s="476"/>
      <c r="AD373" s="567"/>
      <c r="AE373" s="476"/>
      <c r="AF373" s="568"/>
      <c r="AG373" s="476"/>
      <c r="AH373" s="476"/>
      <c r="AI373" s="477"/>
      <c r="AJ373" s="478"/>
      <c r="AK373" s="479"/>
      <c r="AL373" s="480"/>
      <c r="AM373" s="474"/>
      <c r="AN373" s="481"/>
      <c r="AO373" s="474"/>
      <c r="AP373" s="476"/>
      <c r="AQ373" s="482"/>
      <c r="AR373" s="478"/>
      <c r="AS373" s="478"/>
      <c r="AT373" s="476"/>
      <c r="AU373" s="482"/>
      <c r="AV373" s="478"/>
      <c r="AW373" s="483"/>
      <c r="AX373" s="476"/>
      <c r="AY373" s="482"/>
      <c r="AZ373" s="478"/>
      <c r="BA373" s="484"/>
      <c r="BB373" s="474"/>
      <c r="BC373" s="485"/>
      <c r="BD373" s="485"/>
      <c r="BG373" s="487"/>
    </row>
    <row r="374" spans="1:59" s="486" customFormat="1" ht="18" customHeight="1" x14ac:dyDescent="0.2">
      <c r="A374" s="1368" t="str">
        <f t="shared" si="260"/>
        <v>KAMPUNG DATAR - PL. KOMANG2013</v>
      </c>
      <c r="B374" s="1373"/>
      <c r="C374" s="488"/>
      <c r="D374" s="464"/>
      <c r="E374" s="465"/>
      <c r="F374" s="466">
        <v>2013</v>
      </c>
      <c r="G374" s="620">
        <v>0</v>
      </c>
      <c r="H374" s="464">
        <f t="shared" si="261"/>
        <v>0</v>
      </c>
      <c r="I374" s="467"/>
      <c r="J374" s="468">
        <f t="shared" si="262"/>
        <v>2012</v>
      </c>
      <c r="K374" s="490">
        <f t="shared" si="263"/>
        <v>0</v>
      </c>
      <c r="L374" s="469">
        <f t="shared" si="264"/>
        <v>0</v>
      </c>
      <c r="M374" s="683">
        <f t="shared" si="265"/>
        <v>0</v>
      </c>
      <c r="N374" s="470">
        <f t="shared" si="266"/>
        <v>0</v>
      </c>
      <c r="O374" s="468">
        <f t="shared" si="267"/>
        <v>2012</v>
      </c>
      <c r="P374" s="616">
        <f t="shared" si="268"/>
        <v>0</v>
      </c>
      <c r="Q374" s="472">
        <f t="shared" si="269"/>
        <v>0</v>
      </c>
      <c r="R374" s="472">
        <f t="shared" si="275"/>
        <v>0</v>
      </c>
      <c r="S374" s="1189">
        <f t="shared" si="270"/>
        <v>2013</v>
      </c>
      <c r="T374" s="470">
        <f t="shared" si="271"/>
        <v>1</v>
      </c>
      <c r="U374" s="612">
        <f t="shared" si="272"/>
        <v>0</v>
      </c>
      <c r="V374" s="464">
        <f t="shared" si="273"/>
        <v>2013</v>
      </c>
      <c r="W374" s="612">
        <f t="shared" si="274"/>
        <v>0</v>
      </c>
      <c r="X374" s="473"/>
      <c r="Y374" s="478"/>
      <c r="Z374" s="449"/>
      <c r="AA374" s="475" t="s">
        <v>4181</v>
      </c>
      <c r="AB374" s="491"/>
      <c r="AC374" s="491"/>
      <c r="AD374" s="567">
        <f>U383</f>
        <v>1423595666.4000006</v>
      </c>
      <c r="AE374" s="491"/>
      <c r="AF374" s="568"/>
      <c r="AG374" s="491"/>
      <c r="AH374" s="491"/>
      <c r="AI374" s="477"/>
      <c r="AJ374" s="478"/>
      <c r="AK374" s="479"/>
      <c r="AL374" s="480"/>
      <c r="AM374" s="474"/>
      <c r="AN374" s="481"/>
      <c r="AO374" s="474"/>
      <c r="AP374" s="476"/>
      <c r="AQ374" s="482"/>
      <c r="AR374" s="478"/>
      <c r="AS374" s="478"/>
      <c r="AT374" s="476"/>
      <c r="AU374" s="482"/>
      <c r="AV374" s="478"/>
      <c r="AW374" s="483"/>
      <c r="AX374" s="476"/>
      <c r="AY374" s="482"/>
      <c r="AZ374" s="478"/>
      <c r="BA374" s="484"/>
      <c r="BB374" s="474"/>
      <c r="BC374" s="485"/>
      <c r="BD374" s="485"/>
      <c r="BG374" s="487"/>
    </row>
    <row r="375" spans="1:59" s="486" customFormat="1" ht="18" customHeight="1" x14ac:dyDescent="0.2">
      <c r="A375" s="1368" t="str">
        <f t="shared" si="260"/>
        <v>KAMPUNG DATAR - PL. KOMANG2014</v>
      </c>
      <c r="B375" s="1373"/>
      <c r="C375" s="488" t="s">
        <v>1342</v>
      </c>
      <c r="D375" s="464" t="s">
        <v>2494</v>
      </c>
      <c r="E375" s="465"/>
      <c r="F375" s="466">
        <v>2014</v>
      </c>
      <c r="G375" s="620">
        <v>197659444</v>
      </c>
      <c r="H375" s="557">
        <f>VLOOKUP(LEFT(D375,8),UE,4)</f>
        <v>10</v>
      </c>
      <c r="I375" s="467"/>
      <c r="J375" s="468">
        <f t="shared" si="262"/>
        <v>2023</v>
      </c>
      <c r="K375" s="490">
        <f t="shared" si="263"/>
        <v>1</v>
      </c>
      <c r="L375" s="469">
        <f t="shared" si="264"/>
        <v>10</v>
      </c>
      <c r="M375" s="683">
        <f t="shared" si="265"/>
        <v>0</v>
      </c>
      <c r="N375" s="470">
        <f t="shared" si="266"/>
        <v>10</v>
      </c>
      <c r="O375" s="468">
        <f t="shared" si="267"/>
        <v>2023</v>
      </c>
      <c r="P375" s="616">
        <f t="shared" si="268"/>
        <v>0</v>
      </c>
      <c r="Q375" s="472">
        <f t="shared" si="269"/>
        <v>197659444</v>
      </c>
      <c r="R375" s="472">
        <f t="shared" si="275"/>
        <v>19765944.399999999</v>
      </c>
      <c r="S375" s="1189">
        <f t="shared" si="270"/>
        <v>2014</v>
      </c>
      <c r="T375" s="470">
        <f t="shared" si="271"/>
        <v>1</v>
      </c>
      <c r="U375" s="612">
        <f t="shared" si="272"/>
        <v>19765944.399999999</v>
      </c>
      <c r="V375" s="464">
        <f t="shared" si="273"/>
        <v>2014</v>
      </c>
      <c r="W375" s="612">
        <f t="shared" si="274"/>
        <v>177893499.59999999</v>
      </c>
      <c r="X375" s="473"/>
      <c r="Y375" s="478"/>
      <c r="Z375" s="449"/>
      <c r="AA375" s="475"/>
      <c r="AB375" s="491"/>
      <c r="AC375" s="491"/>
      <c r="AD375" s="567"/>
      <c r="AE375" s="491"/>
      <c r="AF375" s="568"/>
      <c r="AG375" s="491"/>
      <c r="AH375" s="491"/>
      <c r="AI375" s="477"/>
      <c r="AJ375" s="478"/>
      <c r="AK375" s="479"/>
      <c r="AL375" s="480"/>
      <c r="AM375" s="474"/>
      <c r="AN375" s="481"/>
      <c r="AO375" s="474"/>
      <c r="AP375" s="476"/>
      <c r="AQ375" s="482"/>
      <c r="AR375" s="478"/>
      <c r="AS375" s="478"/>
      <c r="AT375" s="476"/>
      <c r="AU375" s="482"/>
      <c r="AV375" s="478"/>
      <c r="AW375" s="483"/>
      <c r="AX375" s="476"/>
      <c r="AY375" s="482"/>
      <c r="AZ375" s="478"/>
      <c r="BA375" s="484"/>
      <c r="BB375" s="474"/>
      <c r="BC375" s="485"/>
      <c r="BD375" s="485"/>
      <c r="BG375" s="487"/>
    </row>
    <row r="376" spans="1:59" s="486" customFormat="1" ht="18" customHeight="1" x14ac:dyDescent="0.2">
      <c r="A376" s="1368" t="str">
        <f t="shared" si="260"/>
        <v>KAMPUNG DATAR - PL. KOMANG2015</v>
      </c>
      <c r="B376" s="1373"/>
      <c r="C376" s="463"/>
      <c r="D376" s="464"/>
      <c r="E376" s="465"/>
      <c r="F376" s="466">
        <v>2015</v>
      </c>
      <c r="G376" s="620">
        <v>0</v>
      </c>
      <c r="H376" s="464">
        <f t="shared" si="261"/>
        <v>9</v>
      </c>
      <c r="I376" s="467"/>
      <c r="J376" s="468">
        <f t="shared" si="262"/>
        <v>2023</v>
      </c>
      <c r="K376" s="490">
        <f t="shared" si="263"/>
        <v>0</v>
      </c>
      <c r="L376" s="469">
        <f t="shared" si="264"/>
        <v>0</v>
      </c>
      <c r="M376" s="683">
        <f t="shared" si="265"/>
        <v>0</v>
      </c>
      <c r="N376" s="470">
        <f t="shared" si="266"/>
        <v>9</v>
      </c>
      <c r="O376" s="468">
        <f t="shared" si="267"/>
        <v>2023</v>
      </c>
      <c r="P376" s="616">
        <f t="shared" si="268"/>
        <v>177893499.59999999</v>
      </c>
      <c r="Q376" s="472">
        <f t="shared" si="269"/>
        <v>177893499.59999999</v>
      </c>
      <c r="R376" s="472">
        <f t="shared" si="275"/>
        <v>19765944.399999999</v>
      </c>
      <c r="S376" s="1189">
        <f t="shared" si="270"/>
        <v>2015</v>
      </c>
      <c r="T376" s="470">
        <f t="shared" si="271"/>
        <v>1</v>
      </c>
      <c r="U376" s="612">
        <f t="shared" si="272"/>
        <v>19765944.399999999</v>
      </c>
      <c r="V376" s="464">
        <f t="shared" si="273"/>
        <v>2015</v>
      </c>
      <c r="W376" s="612">
        <f t="shared" si="274"/>
        <v>158127555.19999999</v>
      </c>
      <c r="X376" s="473"/>
      <c r="Y376" s="478"/>
      <c r="Z376" s="449"/>
      <c r="AA376" s="492" t="s">
        <v>4182</v>
      </c>
      <c r="AB376" s="476"/>
      <c r="AC376" s="476"/>
      <c r="AD376" s="567">
        <f>AD370-AD374</f>
        <v>79063777.599999428</v>
      </c>
      <c r="AE376" s="476"/>
      <c r="AF376" s="568"/>
      <c r="AG376" s="476"/>
      <c r="AH376" s="476"/>
      <c r="AI376" s="477"/>
      <c r="AJ376" s="478"/>
      <c r="AK376" s="479"/>
      <c r="AL376" s="480"/>
      <c r="AM376" s="474"/>
      <c r="AN376" s="481"/>
      <c r="AO376" s="474"/>
      <c r="AP376" s="476"/>
      <c r="AQ376" s="482"/>
      <c r="AR376" s="478"/>
      <c r="AS376" s="478"/>
      <c r="AT376" s="476"/>
      <c r="AU376" s="482"/>
      <c r="AV376" s="478"/>
      <c r="AW376" s="483"/>
      <c r="AX376" s="476"/>
      <c r="AY376" s="482"/>
      <c r="AZ376" s="478"/>
      <c r="BA376" s="484"/>
      <c r="BB376" s="474"/>
      <c r="BC376" s="485"/>
      <c r="BD376" s="485"/>
      <c r="BG376" s="487"/>
    </row>
    <row r="377" spans="1:59" s="486" customFormat="1" ht="18" customHeight="1" x14ac:dyDescent="0.2">
      <c r="A377" s="1368" t="str">
        <f t="shared" si="260"/>
        <v>KAMPUNG DATAR - PL. KOMANG2016</v>
      </c>
      <c r="B377" s="687"/>
      <c r="C377" s="463"/>
      <c r="D377" s="464"/>
      <c r="E377" s="465"/>
      <c r="F377" s="466">
        <v>2016</v>
      </c>
      <c r="G377" s="620">
        <v>0</v>
      </c>
      <c r="H377" s="464">
        <f t="shared" si="261"/>
        <v>8</v>
      </c>
      <c r="I377" s="467"/>
      <c r="J377" s="468">
        <f t="shared" si="262"/>
        <v>2023</v>
      </c>
      <c r="K377" s="490">
        <f t="shared" si="263"/>
        <v>0</v>
      </c>
      <c r="L377" s="469">
        <f t="shared" si="264"/>
        <v>0</v>
      </c>
      <c r="M377" s="683">
        <f t="shared" si="265"/>
        <v>0</v>
      </c>
      <c r="N377" s="470">
        <f t="shared" si="266"/>
        <v>8</v>
      </c>
      <c r="O377" s="468">
        <f t="shared" si="267"/>
        <v>2023</v>
      </c>
      <c r="P377" s="616">
        <f t="shared" si="268"/>
        <v>158127555.19999999</v>
      </c>
      <c r="Q377" s="472">
        <f t="shared" si="269"/>
        <v>158127555.19999999</v>
      </c>
      <c r="R377" s="472">
        <f t="shared" si="275"/>
        <v>19765944.399999999</v>
      </c>
      <c r="S377" s="1189">
        <f t="shared" si="270"/>
        <v>2016</v>
      </c>
      <c r="T377" s="470">
        <f t="shared" si="271"/>
        <v>1</v>
      </c>
      <c r="U377" s="612">
        <f t="shared" si="272"/>
        <v>19765944.399999999</v>
      </c>
      <c r="V377" s="464">
        <f t="shared" si="273"/>
        <v>2016</v>
      </c>
      <c r="W377" s="612">
        <f t="shared" si="274"/>
        <v>138361610.79999998</v>
      </c>
      <c r="X377" s="473"/>
      <c r="Y377" s="478"/>
      <c r="Z377" s="449"/>
      <c r="AA377" s="531" t="s">
        <v>4183</v>
      </c>
      <c r="AB377" s="496"/>
      <c r="AC377" s="496"/>
      <c r="AD377" s="569">
        <f>AD376-W383</f>
        <v>0</v>
      </c>
      <c r="AE377" s="476"/>
      <c r="AF377" s="568"/>
      <c r="AG377" s="476"/>
      <c r="AH377" s="476"/>
      <c r="AI377" s="477"/>
      <c r="AJ377" s="478"/>
      <c r="AK377" s="479"/>
      <c r="AL377" s="480"/>
      <c r="AM377" s="474"/>
      <c r="AN377" s="481"/>
      <c r="AO377" s="474"/>
      <c r="AP377" s="476"/>
      <c r="AQ377" s="482"/>
      <c r="AR377" s="478"/>
      <c r="AS377" s="478"/>
      <c r="AT377" s="476"/>
      <c r="AU377" s="482"/>
      <c r="AV377" s="478"/>
      <c r="AW377" s="483"/>
      <c r="AX377" s="476"/>
      <c r="AY377" s="482"/>
      <c r="AZ377" s="478"/>
      <c r="BA377" s="484"/>
      <c r="BB377" s="474"/>
      <c r="BC377" s="485"/>
      <c r="BD377" s="485"/>
      <c r="BG377" s="487"/>
    </row>
    <row r="378" spans="1:59" s="486" customFormat="1" ht="18" customHeight="1" x14ac:dyDescent="0.2">
      <c r="A378" s="1368" t="str">
        <f t="shared" si="260"/>
        <v>KAMPUNG DATAR - PL. KOMANG2017</v>
      </c>
      <c r="B378" s="687"/>
      <c r="C378" s="463"/>
      <c r="D378" s="464"/>
      <c r="E378" s="465"/>
      <c r="F378" s="466">
        <v>2017</v>
      </c>
      <c r="G378" s="620">
        <v>0</v>
      </c>
      <c r="H378" s="464">
        <f t="shared" si="261"/>
        <v>7</v>
      </c>
      <c r="I378" s="467"/>
      <c r="J378" s="468">
        <f t="shared" si="262"/>
        <v>2023</v>
      </c>
      <c r="K378" s="490">
        <f t="shared" si="263"/>
        <v>0</v>
      </c>
      <c r="L378" s="469">
        <f t="shared" si="264"/>
        <v>0</v>
      </c>
      <c r="M378" s="683">
        <f t="shared" si="265"/>
        <v>0</v>
      </c>
      <c r="N378" s="470">
        <f t="shared" si="266"/>
        <v>7</v>
      </c>
      <c r="O378" s="468">
        <f t="shared" si="267"/>
        <v>2023</v>
      </c>
      <c r="P378" s="616">
        <f t="shared" si="268"/>
        <v>138361610.79999998</v>
      </c>
      <c r="Q378" s="472">
        <f t="shared" si="269"/>
        <v>138361610.79999998</v>
      </c>
      <c r="R378" s="472">
        <f t="shared" si="275"/>
        <v>19765944.399999999</v>
      </c>
      <c r="S378" s="1189">
        <f t="shared" si="270"/>
        <v>2017</v>
      </c>
      <c r="T378" s="470">
        <f t="shared" si="271"/>
        <v>1</v>
      </c>
      <c r="U378" s="612">
        <f t="shared" si="272"/>
        <v>19765944.399999999</v>
      </c>
      <c r="V378" s="464">
        <f t="shared" si="273"/>
        <v>2017</v>
      </c>
      <c r="W378" s="612">
        <f t="shared" si="274"/>
        <v>118595666.39999998</v>
      </c>
      <c r="X378" s="473"/>
      <c r="Y378" s="478"/>
      <c r="Z378" s="449"/>
      <c r="AA378" s="573"/>
      <c r="AB378" s="476"/>
      <c r="AC378" s="476"/>
      <c r="AD378" s="568"/>
      <c r="AE378" s="476"/>
      <c r="AF378" s="568"/>
      <c r="AG378" s="476"/>
      <c r="AH378" s="476"/>
      <c r="AI378" s="477"/>
      <c r="AJ378" s="478"/>
      <c r="AK378" s="479"/>
      <c r="AL378" s="480"/>
      <c r="AM378" s="474"/>
      <c r="AN378" s="481"/>
      <c r="AO378" s="474"/>
      <c r="AP378" s="476"/>
      <c r="AQ378" s="482"/>
      <c r="AR378" s="478"/>
      <c r="AS378" s="478"/>
      <c r="AT378" s="476"/>
      <c r="AU378" s="482"/>
      <c r="AV378" s="478"/>
      <c r="AW378" s="483"/>
      <c r="AX378" s="476"/>
      <c r="AY378" s="482"/>
      <c r="AZ378" s="478"/>
      <c r="BA378" s="484"/>
      <c r="BB378" s="474"/>
      <c r="BC378" s="485"/>
      <c r="BD378" s="485"/>
      <c r="BG378" s="487"/>
    </row>
    <row r="379" spans="1:59" s="486" customFormat="1" ht="18" customHeight="1" x14ac:dyDescent="0.2">
      <c r="A379" s="1368" t="str">
        <f t="shared" si="260"/>
        <v>KAMPUNG DATAR - PL. KOMANG2018</v>
      </c>
      <c r="B379" s="687"/>
      <c r="C379" s="463"/>
      <c r="D379" s="464"/>
      <c r="E379" s="465"/>
      <c r="F379" s="466">
        <v>2018</v>
      </c>
      <c r="G379" s="620">
        <v>0</v>
      </c>
      <c r="H379" s="464">
        <f t="shared" si="261"/>
        <v>6</v>
      </c>
      <c r="I379" s="467"/>
      <c r="J379" s="468">
        <f t="shared" si="262"/>
        <v>2023</v>
      </c>
      <c r="K379" s="490">
        <f t="shared" si="263"/>
        <v>0</v>
      </c>
      <c r="L379" s="469">
        <f t="shared" si="264"/>
        <v>0</v>
      </c>
      <c r="M379" s="683">
        <f t="shared" si="265"/>
        <v>0</v>
      </c>
      <c r="N379" s="470">
        <f t="shared" si="266"/>
        <v>6</v>
      </c>
      <c r="O379" s="468">
        <f t="shared" si="267"/>
        <v>2023</v>
      </c>
      <c r="P379" s="616">
        <f t="shared" si="268"/>
        <v>118595666.39999998</v>
      </c>
      <c r="Q379" s="472">
        <f t="shared" si="269"/>
        <v>118595666.39999998</v>
      </c>
      <c r="R379" s="472">
        <f t="shared" si="275"/>
        <v>19765944.399999999</v>
      </c>
      <c r="S379" s="1189">
        <f t="shared" si="270"/>
        <v>2018</v>
      </c>
      <c r="T379" s="470">
        <f t="shared" si="271"/>
        <v>1</v>
      </c>
      <c r="U379" s="612">
        <f t="shared" si="272"/>
        <v>19765944.399999999</v>
      </c>
      <c r="V379" s="464">
        <f t="shared" si="273"/>
        <v>2018</v>
      </c>
      <c r="W379" s="612">
        <f t="shared" si="274"/>
        <v>98829721.99999997</v>
      </c>
      <c r="X379" s="473"/>
      <c r="Y379" s="478"/>
      <c r="Z379" s="449"/>
      <c r="AA379" s="573"/>
      <c r="AB379" s="476"/>
      <c r="AC379" s="476"/>
      <c r="AD379" s="568"/>
      <c r="AE379" s="476"/>
      <c r="AF379" s="568"/>
      <c r="AG379" s="476"/>
      <c r="AH379" s="476"/>
      <c r="AI379" s="477"/>
      <c r="AJ379" s="478"/>
      <c r="AK379" s="479"/>
      <c r="AL379" s="480"/>
      <c r="AM379" s="474"/>
      <c r="AN379" s="481"/>
      <c r="AO379" s="474"/>
      <c r="AP379" s="476"/>
      <c r="AQ379" s="482"/>
      <c r="AR379" s="478"/>
      <c r="AS379" s="478"/>
      <c r="AT379" s="476"/>
      <c r="AU379" s="482"/>
      <c r="AV379" s="478"/>
      <c r="AW379" s="483"/>
      <c r="AX379" s="476"/>
      <c r="AY379" s="482"/>
      <c r="AZ379" s="478"/>
      <c r="BA379" s="484"/>
      <c r="BB379" s="474"/>
      <c r="BC379" s="485"/>
      <c r="BD379" s="485"/>
      <c r="BG379" s="487"/>
    </row>
    <row r="380" spans="1:59" s="486" customFormat="1" ht="18" customHeight="1" x14ac:dyDescent="0.2">
      <c r="A380" s="1368" t="str">
        <f t="shared" si="260"/>
        <v>KAMPUNG DATAR - PL. KOMANG2019</v>
      </c>
      <c r="B380" s="687"/>
      <c r="C380" s="463"/>
      <c r="D380" s="464"/>
      <c r="E380" s="465"/>
      <c r="F380" s="466">
        <v>2019</v>
      </c>
      <c r="G380" s="620">
        <v>0</v>
      </c>
      <c r="H380" s="464">
        <f>IF(N379-(F380-F379)&lt;=0,0,(N379-(F380-F379)))</f>
        <v>5</v>
      </c>
      <c r="I380" s="467"/>
      <c r="J380" s="468">
        <f>(F380+N380)-1</f>
        <v>2023</v>
      </c>
      <c r="K380" s="490">
        <f>IF(G380=0,0,IF(H380=10,100%,G380/W379))</f>
        <v>0</v>
      </c>
      <c r="L380" s="469">
        <f>IF(K380=0%,0,IF(K380&lt;=30%,2,IF(K380&lt;=60%,5,10)))</f>
        <v>0</v>
      </c>
      <c r="M380" s="683">
        <f>IF(OR(AND(ISBLANK(E380),ISBLANK(G380)),ISTEXT(E380),ISTEXT(G380)),"",IF(H380+L380&gt;$H$8,$H$8-H380,L380))</f>
        <v>0</v>
      </c>
      <c r="N380" s="470">
        <f>IF(OR(AND(ISBLANK(F380),ISBLANK(G380)),ISTEXT(F380),ISTEXT(G380)),"",H380+M380)</f>
        <v>5</v>
      </c>
      <c r="O380" s="468">
        <f>(F380+N380)-1</f>
        <v>2023</v>
      </c>
      <c r="P380" s="616">
        <f>W379</f>
        <v>98829721.99999997</v>
      </c>
      <c r="Q380" s="472">
        <f>P380+G380</f>
        <v>98829721.99999997</v>
      </c>
      <c r="R380" s="472">
        <f>IF(L380=0,R379,Q380/N380)</f>
        <v>19765944.399999999</v>
      </c>
      <c r="S380" s="1189">
        <f>F380</f>
        <v>2019</v>
      </c>
      <c r="T380" s="470">
        <f>S380-S379</f>
        <v>1</v>
      </c>
      <c r="U380" s="612">
        <f>R380*T380</f>
        <v>19765944.399999999</v>
      </c>
      <c r="V380" s="464">
        <f>F380</f>
        <v>2019</v>
      </c>
      <c r="W380" s="612">
        <f>IF(OR(AND(ISBLANK(E380),ISBLANK(G380)),ISTEXT(E380),ISTEXT(G380)),"",Q380-U380)</f>
        <v>79063777.599999964</v>
      </c>
      <c r="X380" s="473"/>
      <c r="Y380" s="478"/>
      <c r="Z380" s="449"/>
      <c r="AA380" s="573"/>
      <c r="AB380" s="476"/>
      <c r="AC380" s="476"/>
      <c r="AD380" s="568"/>
      <c r="AE380" s="476"/>
      <c r="AF380" s="568"/>
      <c r="AG380" s="476"/>
      <c r="AH380" s="476"/>
      <c r="AI380" s="477"/>
      <c r="AJ380" s="478"/>
      <c r="AK380" s="479"/>
      <c r="AL380" s="480"/>
      <c r="AM380" s="474"/>
      <c r="AN380" s="481"/>
      <c r="AO380" s="474"/>
      <c r="AP380" s="476"/>
      <c r="AQ380" s="482"/>
      <c r="AR380" s="478"/>
      <c r="AS380" s="478"/>
      <c r="AT380" s="476"/>
      <c r="AU380" s="482"/>
      <c r="AV380" s="478"/>
      <c r="AW380" s="483"/>
      <c r="AX380" s="476"/>
      <c r="AY380" s="482"/>
      <c r="AZ380" s="478"/>
      <c r="BA380" s="484"/>
      <c r="BB380" s="474"/>
      <c r="BC380" s="485"/>
      <c r="BD380" s="485"/>
      <c r="BG380" s="487"/>
    </row>
    <row r="381" spans="1:59" s="486" customFormat="1" ht="18" customHeight="1" x14ac:dyDescent="0.2">
      <c r="A381" s="1368"/>
      <c r="B381" s="687"/>
      <c r="C381" s="463"/>
      <c r="D381" s="464"/>
      <c r="E381" s="465"/>
      <c r="F381" s="466"/>
      <c r="G381" s="620"/>
      <c r="H381" s="464"/>
      <c r="I381" s="467"/>
      <c r="J381" s="468"/>
      <c r="K381" s="490"/>
      <c r="L381" s="469"/>
      <c r="M381" s="683"/>
      <c r="N381" s="470"/>
      <c r="O381" s="468"/>
      <c r="P381" s="616"/>
      <c r="Q381" s="472"/>
      <c r="R381" s="472"/>
      <c r="S381" s="1189"/>
      <c r="T381" s="470"/>
      <c r="U381" s="612"/>
      <c r="V381" s="464"/>
      <c r="W381" s="612"/>
      <c r="X381" s="473"/>
      <c r="Y381" s="478"/>
      <c r="Z381" s="449"/>
      <c r="AA381" s="573"/>
      <c r="AB381" s="476"/>
      <c r="AC381" s="476"/>
      <c r="AD381" s="568"/>
      <c r="AE381" s="476"/>
      <c r="AF381" s="568"/>
      <c r="AG381" s="476"/>
      <c r="AH381" s="476"/>
      <c r="AI381" s="477"/>
      <c r="AJ381" s="478"/>
      <c r="AK381" s="479"/>
      <c r="AL381" s="480"/>
      <c r="AM381" s="474"/>
      <c r="AN381" s="481"/>
      <c r="AO381" s="474"/>
      <c r="AP381" s="476"/>
      <c r="AQ381" s="482"/>
      <c r="AR381" s="478"/>
      <c r="AS381" s="478"/>
      <c r="AT381" s="476"/>
      <c r="AU381" s="482"/>
      <c r="AV381" s="478"/>
      <c r="AW381" s="483"/>
      <c r="AX381" s="476"/>
      <c r="AY381" s="482"/>
      <c r="AZ381" s="478"/>
      <c r="BA381" s="484"/>
      <c r="BB381" s="474"/>
      <c r="BC381" s="485"/>
      <c r="BD381" s="485"/>
      <c r="BG381" s="487"/>
    </row>
    <row r="382" spans="1:59" s="486" customFormat="1" ht="18" customHeight="1" x14ac:dyDescent="0.2">
      <c r="A382" s="1369"/>
      <c r="B382" s="687"/>
      <c r="C382" s="463"/>
      <c r="D382" s="464"/>
      <c r="E382" s="465"/>
      <c r="F382" s="1183"/>
      <c r="G382" s="620"/>
      <c r="H382" s="469" t="str">
        <f>IF(OR(AND(ISBLANK(E382),ISBLANK(G382)),ISTEXT(E382),ISTEXT(G382)),"",IF(#REF!-(YEAR(E382)-YEAR(#REF!))&lt;0,0,#REF!-(YEAR(E382)-YEAR(#REF!))))</f>
        <v/>
      </c>
      <c r="I382" s="467" t="str">
        <f>IF(OR(AND(ISBLANK(E382),ISBLANK(G382)),ISTEXT(E382),ISTEXT(G382)),"",IF(#REF!-E382&lt;0,0,#REF!-E382))</f>
        <v/>
      </c>
      <c r="J382" s="498" t="str">
        <f>IF(OR(AND(ISBLANK(E382),ISBLANK(G382)),ISTEXT(E382),ISTEXT(G382)),"",#REF!)</f>
        <v/>
      </c>
      <c r="K382" s="498"/>
      <c r="L382" s="469" t="str">
        <f>IF(OR(AND(ISBLANK(E382),ISBLANK(G382)),ISTEXT(E382),ISTEXT(G382)),"",ROUNDDOWN(G382/SUM($G$57:G377)*$H$57,0))</f>
        <v/>
      </c>
      <c r="M382" s="683" t="str">
        <f>IF(OR(AND(ISBLANK(E382),ISBLANK(G382)),ISTEXT(E382),ISTEXT(G382)),"",IF(H382+L382&gt;$H$57,$H$57-H382,L382))</f>
        <v/>
      </c>
      <c r="N382" s="470" t="str">
        <f>IF(OR(AND(ISBLANK(E382),ISBLANK(G382)),ISTEXT(E382),ISTEXT(G382)),"",H382+M382)</f>
        <v/>
      </c>
      <c r="O382" s="498" t="str">
        <f>IF(OR(AND(ISBLANK(E382),ISBLANK(G382)),ISTEXT(E382),ISTEXT(G382)),"",DATE(YEAR($J382)+M382,MONTH($J382),DAY($J382)))</f>
        <v/>
      </c>
      <c r="P382" s="748" t="str">
        <f>IF(OR(AND(ISBLANK(E382),ISBLANK(G382)),ISTEXT(E382),ISTEXT(G382)),"",#REF!-#REF!*(IF(J382&lt;E382,J382,E382)-#REF!))</f>
        <v/>
      </c>
      <c r="Q382" s="500" t="str">
        <f>IF(OR(AND(ISBLANK(E382),ISBLANK(G382)),ISTEXT(E382),ISTEXT(G382)),"",P382+G382)</f>
        <v/>
      </c>
      <c r="R382" s="501" t="str">
        <f>IF(OR(AND(ISBLANK(E382),ISBLANK(G382)),ISTEXT(E382),ISTEXT(G382)),"",IF(OR(E382&lt;DATE(2004,12,31),#REF!=0),0,Q382/#REF!))</f>
        <v/>
      </c>
      <c r="S382" s="502" t="str">
        <f>IF(OR(AND(ISBLANK(E382),ISBLANK(G382)),ISTEXT(E382),ISTEXT(G382)),"",IF(YEAR(E382)&lt;=YEAR(#REF!),"-",YEAR(E382)-1))</f>
        <v/>
      </c>
      <c r="T382" s="502"/>
      <c r="U382" s="612" t="str">
        <f>IF(OR(AND(ISBLANK(E382),ISBLANK(G382)),ISTEXT(E382),ISTEXT(G382)),"",IF(AND(J382&lt;=DATE(2004,12,31),E382&gt;J382),SUM($G382:G382),#REF!+#REF!+#REF!*IF(YEAR(E382)&lt;=YEAR(#REF!),0,(IF(DATE(YEAR(E382)-1,12,31)&gt;J382,J382,DATE(YEAR(E382)-1,12,31))-#REF!))))</f>
        <v/>
      </c>
      <c r="V382" s="503" t="str">
        <f>IF(OR(AND(ISBLANK(E382),ISBLANK(G382)),ISTEXT(E382),ISTEXT(G382)),"",IF(YEAR(E382)=YEAR(E383),E383,DATE(YEAR(E382),12,31)))</f>
        <v/>
      </c>
      <c r="W382" s="612" t="str">
        <f>IF(OR(AND(ISBLANK(E382),ISBLANK(G382)),ISTEXT(E382),ISTEXT(G382)),"",IF(Q382=0,0,IF(AND(J382&lt;=DATE(2004,12,31),E382&gt;=J382),Q382-U382,Q382-#REF!)))</f>
        <v/>
      </c>
      <c r="X382" s="504" t="str">
        <f>IF(OR(AND(ISBLANK(E382),ISBLANK(G382)),ISTEXT(E382),ISTEXT(G382)),"",$D$57&amp;"//"&amp;TEXT($E$57,"dd-mmm-yyyy")&amp;"//"&amp;#REF!)</f>
        <v/>
      </c>
      <c r="Y382" s="476"/>
      <c r="Z382" s="476"/>
      <c r="AA382" s="476"/>
      <c r="AB382" s="476"/>
      <c r="AC382" s="476"/>
      <c r="AD382" s="568"/>
      <c r="AE382" s="476"/>
      <c r="AF382" s="568"/>
      <c r="AG382" s="476"/>
      <c r="AH382" s="476"/>
      <c r="AI382" s="477"/>
      <c r="AJ382" s="478"/>
      <c r="AK382" s="479"/>
      <c r="AL382" s="480"/>
      <c r="AM382" s="474"/>
      <c r="AN382" s="481"/>
      <c r="AO382" s="474"/>
      <c r="AP382" s="476"/>
      <c r="AQ382" s="482"/>
      <c r="AR382" s="478"/>
      <c r="AS382" s="478"/>
      <c r="AT382" s="476"/>
      <c r="AU382" s="482"/>
      <c r="AV382" s="478"/>
      <c r="AW382" s="483"/>
      <c r="AX382" s="476"/>
      <c r="AY382" s="482"/>
      <c r="AZ382" s="478"/>
      <c r="BA382" s="484"/>
      <c r="BB382" s="474"/>
      <c r="BC382" s="485"/>
      <c r="BD382" s="485"/>
      <c r="BG382" s="487"/>
    </row>
    <row r="383" spans="1:59" s="551" customFormat="1" ht="18" customHeight="1" x14ac:dyDescent="0.2">
      <c r="A383" s="1370" t="s">
        <v>4184</v>
      </c>
      <c r="B383" s="2039" t="s">
        <v>4184</v>
      </c>
      <c r="C383" s="2040"/>
      <c r="D383" s="2040"/>
      <c r="E383" s="2040"/>
      <c r="F383" s="2041"/>
      <c r="G383" s="625">
        <f>SUM(G369:G382)</f>
        <v>1502659444</v>
      </c>
      <c r="H383" s="534"/>
      <c r="I383" s="535"/>
      <c r="J383" s="536"/>
      <c r="K383" s="536"/>
      <c r="L383" s="534"/>
      <c r="M383" s="1179"/>
      <c r="N383" s="537"/>
      <c r="O383" s="536"/>
      <c r="P383" s="751"/>
      <c r="Q383" s="538"/>
      <c r="R383" s="539"/>
      <c r="S383" s="540"/>
      <c r="T383" s="540"/>
      <c r="U383" s="1182">
        <f>SUM(U369:U382)</f>
        <v>1423595666.4000006</v>
      </c>
      <c r="V383" s="541"/>
      <c r="W383" s="1182">
        <f>G383-U383</f>
        <v>79063777.599999428</v>
      </c>
      <c r="X383" s="1178"/>
      <c r="Y383" s="426"/>
      <c r="Z383" s="426"/>
      <c r="AA383" s="426"/>
      <c r="AB383" s="426"/>
      <c r="AC383" s="426"/>
      <c r="AD383" s="564"/>
      <c r="AE383" s="426"/>
      <c r="AF383" s="564">
        <v>6628630678.5496902</v>
      </c>
      <c r="AG383" s="426"/>
      <c r="AH383" s="426"/>
      <c r="AI383" s="542"/>
      <c r="AJ383" s="543"/>
      <c r="AK383" s="432"/>
      <c r="AL383" s="544"/>
      <c r="AM383" s="545"/>
      <c r="AN383" s="546"/>
      <c r="AO383" s="545"/>
      <c r="AP383" s="426"/>
      <c r="AQ383" s="547"/>
      <c r="AR383" s="543"/>
      <c r="AS383" s="543"/>
      <c r="AT383" s="426"/>
      <c r="AU383" s="547"/>
      <c r="AV383" s="543"/>
      <c r="AW383" s="548"/>
      <c r="AX383" s="426"/>
      <c r="AY383" s="547"/>
      <c r="AZ383" s="543"/>
      <c r="BA383" s="549"/>
      <c r="BB383" s="545"/>
      <c r="BC383" s="550"/>
      <c r="BD383" s="550"/>
      <c r="BG383" s="552"/>
    </row>
    <row r="386" spans="1:59" s="422" customFormat="1" ht="18" customHeight="1" x14ac:dyDescent="0.2">
      <c r="A386" s="1366">
        <f>C386</f>
        <v>49</v>
      </c>
      <c r="B386" s="742" t="s">
        <v>4187</v>
      </c>
      <c r="C386" s="556">
        <v>49</v>
      </c>
      <c r="D386" s="553" t="str">
        <f>VLOOKUP(C386,RUAS,2,FALSE)</f>
        <v>JL. TOPAN - RUAS 41/41</v>
      </c>
      <c r="E386" s="553"/>
      <c r="F386" s="421"/>
      <c r="G386" s="611"/>
      <c r="I386" s="423"/>
      <c r="J386" s="424"/>
      <c r="K386" s="424"/>
      <c r="M386" s="680"/>
      <c r="P386" s="611"/>
      <c r="U386" s="611"/>
      <c r="W386" s="611"/>
      <c r="Y386" s="425"/>
      <c r="Z386" s="425"/>
      <c r="AA386" s="425"/>
      <c r="AB386" s="425"/>
      <c r="AC386" s="425"/>
      <c r="AD386" s="563"/>
      <c r="AE386" s="425"/>
      <c r="AF386" s="563"/>
      <c r="AG386" s="425"/>
      <c r="AH386" s="425"/>
      <c r="AI386" s="425"/>
      <c r="AJ386" s="425"/>
      <c r="AK386" s="425"/>
      <c r="AL386" s="425"/>
      <c r="AM386" s="425"/>
      <c r="AN386" s="425"/>
      <c r="AO386" s="425"/>
      <c r="AP386" s="425"/>
      <c r="AQ386" s="425"/>
      <c r="AR386" s="425"/>
      <c r="AS386" s="425"/>
      <c r="AT386" s="425"/>
      <c r="AU386" s="425"/>
      <c r="AV386" s="425"/>
      <c r="AW386" s="425"/>
      <c r="AX386" s="425"/>
      <c r="AY386" s="425"/>
      <c r="AZ386" s="425"/>
      <c r="BA386" s="425"/>
      <c r="BB386" s="425"/>
    </row>
    <row r="387" spans="1:59" s="431" customFormat="1" ht="18" customHeight="1" x14ac:dyDescent="0.2">
      <c r="A387" s="1367"/>
      <c r="B387" s="1968" t="s">
        <v>5</v>
      </c>
      <c r="C387" s="1968" t="s">
        <v>2280</v>
      </c>
      <c r="D387" s="1968" t="s">
        <v>4157</v>
      </c>
      <c r="E387" s="1968" t="s">
        <v>4158</v>
      </c>
      <c r="F387" s="1968"/>
      <c r="G387" s="1969" t="s">
        <v>4159</v>
      </c>
      <c r="H387" s="1968" t="s">
        <v>4160</v>
      </c>
      <c r="I387" s="1968"/>
      <c r="J387" s="1968" t="s">
        <v>4185</v>
      </c>
      <c r="K387" s="1964" t="s">
        <v>4162</v>
      </c>
      <c r="L387" s="1968" t="s">
        <v>4163</v>
      </c>
      <c r="M387" s="1971" t="s">
        <v>4164</v>
      </c>
      <c r="N387" s="1962" t="s">
        <v>4165</v>
      </c>
      <c r="O387" s="1968" t="s">
        <v>4166</v>
      </c>
      <c r="P387" s="1972" t="s">
        <v>4167</v>
      </c>
      <c r="Q387" s="1973"/>
      <c r="R387" s="1199" t="s">
        <v>4186</v>
      </c>
      <c r="S387" s="1972" t="s">
        <v>4169</v>
      </c>
      <c r="T387" s="1974"/>
      <c r="U387" s="1973"/>
      <c r="V387" s="1975" t="s">
        <v>4170</v>
      </c>
      <c r="W387" s="1975"/>
      <c r="X387" s="1960" t="s">
        <v>4171</v>
      </c>
      <c r="Y387" s="1959"/>
      <c r="Z387" s="1200"/>
      <c r="AA387" s="426"/>
      <c r="AB387" s="426"/>
      <c r="AC387" s="426"/>
      <c r="AD387" s="564"/>
      <c r="AE387" s="426"/>
      <c r="AF387" s="564"/>
      <c r="AG387" s="426"/>
      <c r="AH387" s="426"/>
      <c r="AI387" s="427"/>
      <c r="AJ387" s="427"/>
      <c r="AK387" s="427"/>
      <c r="AL387" s="427"/>
      <c r="AM387" s="428"/>
      <c r="AN387" s="427"/>
      <c r="AO387" s="427"/>
      <c r="AP387" s="426"/>
      <c r="AQ387" s="427"/>
      <c r="AR387" s="427"/>
      <c r="AS387" s="427"/>
      <c r="AT387" s="426"/>
      <c r="AU387" s="427"/>
      <c r="AV387" s="427"/>
      <c r="AW387" s="427"/>
      <c r="AX387" s="426"/>
      <c r="AY387" s="427"/>
      <c r="AZ387" s="427"/>
      <c r="BA387" s="427"/>
      <c r="BB387" s="429"/>
      <c r="BC387" s="430"/>
      <c r="BD387" s="430"/>
    </row>
    <row r="388" spans="1:59" s="431" customFormat="1" ht="18" customHeight="1" x14ac:dyDescent="0.2">
      <c r="A388" s="1367"/>
      <c r="B388" s="1968"/>
      <c r="C388" s="1968"/>
      <c r="D388" s="1968"/>
      <c r="E388" s="1968"/>
      <c r="F388" s="1968"/>
      <c r="G388" s="1969"/>
      <c r="H388" s="1968"/>
      <c r="I388" s="1968"/>
      <c r="J388" s="1968"/>
      <c r="K388" s="1970"/>
      <c r="L388" s="1968"/>
      <c r="M388" s="1971"/>
      <c r="N388" s="1963"/>
      <c r="O388" s="1968"/>
      <c r="P388" s="2037" t="s">
        <v>4172</v>
      </c>
      <c r="Q388" s="1960" t="s">
        <v>4173</v>
      </c>
      <c r="R388" s="1962" t="s">
        <v>4159</v>
      </c>
      <c r="S388" s="1962" t="s">
        <v>4174</v>
      </c>
      <c r="T388" s="1964" t="s">
        <v>4175</v>
      </c>
      <c r="U388" s="1966" t="s">
        <v>4159</v>
      </c>
      <c r="V388" s="1975"/>
      <c r="W388" s="1975"/>
      <c r="X388" s="1976"/>
      <c r="Y388" s="1959"/>
      <c r="Z388" s="1200"/>
      <c r="AA388" s="426"/>
      <c r="AB388" s="426"/>
      <c r="AC388" s="426"/>
      <c r="AD388" s="564"/>
      <c r="AE388" s="426"/>
      <c r="AF388" s="564"/>
      <c r="AG388" s="426"/>
      <c r="AH388" s="426"/>
      <c r="AI388" s="427"/>
      <c r="AJ388" s="427"/>
      <c r="AK388" s="426"/>
      <c r="AL388" s="427"/>
      <c r="AM388" s="428"/>
      <c r="AN388" s="427"/>
      <c r="AO388" s="427"/>
      <c r="AP388" s="432"/>
      <c r="AQ388" s="427"/>
      <c r="AR388" s="427"/>
      <c r="AS388" s="427"/>
      <c r="AT388" s="432"/>
      <c r="AU388" s="427"/>
      <c r="AV388" s="427"/>
      <c r="AW388" s="427"/>
      <c r="AX388" s="432"/>
      <c r="AY388" s="427"/>
      <c r="AZ388" s="427"/>
      <c r="BA388" s="427"/>
      <c r="BB388" s="429"/>
      <c r="BC388" s="430"/>
      <c r="BD388" s="430"/>
    </row>
    <row r="389" spans="1:59" s="431" customFormat="1" ht="18" customHeight="1" x14ac:dyDescent="0.2">
      <c r="A389" s="1367"/>
      <c r="B389" s="1968"/>
      <c r="C389" s="1968"/>
      <c r="D389" s="1968"/>
      <c r="E389" s="433" t="s">
        <v>4176</v>
      </c>
      <c r="F389" s="434" t="s">
        <v>2288</v>
      </c>
      <c r="G389" s="1969"/>
      <c r="H389" s="1197" t="s">
        <v>2288</v>
      </c>
      <c r="I389" s="1197" t="s">
        <v>4177</v>
      </c>
      <c r="J389" s="1968"/>
      <c r="K389" s="1965"/>
      <c r="L389" s="435" t="s">
        <v>2288</v>
      </c>
      <c r="M389" s="681" t="s">
        <v>2288</v>
      </c>
      <c r="N389" s="1197" t="s">
        <v>2288</v>
      </c>
      <c r="O389" s="1968"/>
      <c r="P389" s="2038"/>
      <c r="Q389" s="1961"/>
      <c r="R389" s="1963"/>
      <c r="S389" s="1963"/>
      <c r="T389" s="1965"/>
      <c r="U389" s="1967"/>
      <c r="V389" s="1197" t="s">
        <v>4178</v>
      </c>
      <c r="W389" s="1201" t="s">
        <v>4159</v>
      </c>
      <c r="X389" s="1961"/>
      <c r="Y389" s="436"/>
      <c r="Z389" s="436"/>
      <c r="AA389" s="426"/>
      <c r="AB389" s="426"/>
      <c r="AC389" s="426"/>
      <c r="AD389" s="564"/>
      <c r="AE389" s="426"/>
      <c r="AF389" s="564"/>
      <c r="AG389" s="426"/>
      <c r="AH389" s="426"/>
      <c r="AI389" s="427"/>
      <c r="AJ389" s="432"/>
      <c r="AK389" s="432"/>
      <c r="AL389" s="427"/>
      <c r="AM389" s="428"/>
      <c r="AN389" s="432"/>
      <c r="AO389" s="427"/>
      <c r="AP389" s="432"/>
      <c r="AQ389" s="432"/>
      <c r="AR389" s="427"/>
      <c r="AS389" s="427"/>
      <c r="AT389" s="432"/>
      <c r="AU389" s="432"/>
      <c r="AV389" s="427"/>
      <c r="AW389" s="427"/>
      <c r="AX389" s="432"/>
      <c r="AY389" s="432"/>
      <c r="AZ389" s="427"/>
      <c r="BA389" s="427"/>
      <c r="BB389" s="429"/>
      <c r="BC389" s="430"/>
      <c r="BD389" s="430"/>
    </row>
    <row r="390" spans="1:59" s="461" customFormat="1" ht="18" customHeight="1" x14ac:dyDescent="0.2">
      <c r="A390" s="1368" t="str">
        <f t="shared" ref="A390:A395" si="276">$D$386&amp;S390</f>
        <v>JL. TOPAN - RUAS 41/412001</v>
      </c>
      <c r="B390" s="1373">
        <v>1</v>
      </c>
      <c r="C390" s="532" t="s">
        <v>529</v>
      </c>
      <c r="D390" s="437" t="s">
        <v>2494</v>
      </c>
      <c r="E390" s="438"/>
      <c r="F390" s="439">
        <v>2001</v>
      </c>
      <c r="G390" s="623">
        <v>1134000000</v>
      </c>
      <c r="H390" s="440">
        <f>VLOOKUP(LEFT(D390,8),UE,4)</f>
        <v>10</v>
      </c>
      <c r="I390" s="441"/>
      <c r="J390" s="442">
        <f>(F390+N390)-1</f>
        <v>2010</v>
      </c>
      <c r="K390" s="443"/>
      <c r="L390" s="440"/>
      <c r="M390" s="746">
        <f>IF(H390+L390&gt;$H390,$H390-H390,L390)</f>
        <v>0</v>
      </c>
      <c r="N390" s="444">
        <f>H390+M390</f>
        <v>10</v>
      </c>
      <c r="O390" s="442">
        <f>(F390+N390)-1</f>
        <v>2010</v>
      </c>
      <c r="P390" s="617">
        <f>G390</f>
        <v>1134000000</v>
      </c>
      <c r="Q390" s="445">
        <v>0</v>
      </c>
      <c r="R390" s="445">
        <f>P390/N390</f>
        <v>113400000</v>
      </c>
      <c r="S390" s="446">
        <f>F390</f>
        <v>2001</v>
      </c>
      <c r="T390" s="447">
        <v>1</v>
      </c>
      <c r="U390" s="613">
        <f>R390*T390</f>
        <v>113400000</v>
      </c>
      <c r="V390" s="442">
        <f>F390</f>
        <v>2001</v>
      </c>
      <c r="W390" s="617">
        <f>IF(OR(AND(ISBLANK(E390),ISBLANK(G390)),ISTEXT(E390),ISTEXT(G390)),"",G390-R390)</f>
        <v>1020600000</v>
      </c>
      <c r="X390" s="448"/>
      <c r="Y390" s="449"/>
      <c r="Z390" s="449"/>
      <c r="AA390" s="450" t="s">
        <v>4179</v>
      </c>
      <c r="AB390" s="451"/>
      <c r="AC390" s="451"/>
      <c r="AD390" s="565"/>
      <c r="AE390" s="452"/>
      <c r="AF390" s="571"/>
      <c r="AG390" s="452"/>
      <c r="AH390" s="452"/>
      <c r="AI390" s="453"/>
      <c r="AJ390" s="449"/>
      <c r="AK390" s="453"/>
      <c r="AL390" s="454"/>
      <c r="AM390" s="455"/>
      <c r="AN390" s="456"/>
      <c r="AO390" s="455"/>
      <c r="AP390" s="452"/>
      <c r="AQ390" s="457"/>
      <c r="AR390" s="449"/>
      <c r="AS390" s="449"/>
      <c r="AT390" s="452"/>
      <c r="AU390" s="457"/>
      <c r="AV390" s="449"/>
      <c r="AW390" s="458"/>
      <c r="AX390" s="452"/>
      <c r="AY390" s="457"/>
      <c r="AZ390" s="449"/>
      <c r="BA390" s="459"/>
      <c r="BB390" s="455"/>
      <c r="BC390" s="460"/>
      <c r="BD390" s="460"/>
      <c r="BG390" s="462"/>
    </row>
    <row r="391" spans="1:59" s="486" customFormat="1" ht="18" customHeight="1" x14ac:dyDescent="0.2">
      <c r="A391" s="1368" t="str">
        <f t="shared" si="276"/>
        <v>JL. TOPAN - RUAS 41/412001</v>
      </c>
      <c r="B391" s="1373"/>
      <c r="C391" s="463"/>
      <c r="D391" s="464"/>
      <c r="E391" s="465"/>
      <c r="F391" s="466">
        <v>2001</v>
      </c>
      <c r="G391" s="620">
        <v>0</v>
      </c>
      <c r="H391" s="464">
        <f>IF(N390-(F391-F390)&lt;=0,0,(N390-(F391-F390)))</f>
        <v>10</v>
      </c>
      <c r="I391" s="467"/>
      <c r="J391" s="468">
        <f>(F391+N391)-1</f>
        <v>2010</v>
      </c>
      <c r="K391" s="490">
        <f>IF(G391=0,0,IF(H391=10,100%,G391/W390))</f>
        <v>0</v>
      </c>
      <c r="L391" s="469">
        <f>IF(K391=0%,0,IF(K391&lt;=30%,2,IF(K391&lt;=60%,5,10)))</f>
        <v>0</v>
      </c>
      <c r="M391" s="683">
        <f>IF(OR(AND(ISBLANK(E391),ISBLANK(G391)),ISTEXT(E391),ISTEXT(G391)),"",IF(H391+L391&gt;$H$8,$H$8-H391,L391))</f>
        <v>0</v>
      </c>
      <c r="N391" s="470">
        <f>IF(OR(AND(ISBLANK(F391),ISBLANK(G391)),ISTEXT(F391),ISTEXT(G391)),"",H391+M391)</f>
        <v>10</v>
      </c>
      <c r="O391" s="468">
        <f>(F391+N391)-1</f>
        <v>2010</v>
      </c>
      <c r="P391" s="616">
        <f>W390</f>
        <v>1020600000</v>
      </c>
      <c r="Q391" s="472">
        <f>P391+G391</f>
        <v>1020600000</v>
      </c>
      <c r="R391" s="472">
        <f>IF(L391=0,R390,Q391/N391)</f>
        <v>113400000</v>
      </c>
      <c r="S391" s="1189">
        <f>F391</f>
        <v>2001</v>
      </c>
      <c r="T391" s="470">
        <f>S391-S390</f>
        <v>0</v>
      </c>
      <c r="U391" s="612">
        <f>R391*T391</f>
        <v>0</v>
      </c>
      <c r="V391" s="464">
        <f>F391</f>
        <v>2001</v>
      </c>
      <c r="W391" s="612">
        <f>IF(OR(AND(ISBLANK(E391),ISBLANK(G391)),ISTEXT(E391),ISTEXT(G391)),"",Q391-U391)</f>
        <v>1020600000</v>
      </c>
      <c r="X391" s="473"/>
      <c r="Y391" s="474"/>
      <c r="Z391" s="449"/>
      <c r="AA391" s="475" t="s">
        <v>4180</v>
      </c>
      <c r="AB391" s="476"/>
      <c r="AC391" s="476"/>
      <c r="AD391" s="567">
        <f>G403</f>
        <v>1328194110</v>
      </c>
      <c r="AE391" s="476"/>
      <c r="AF391" s="568"/>
      <c r="AG391" s="476"/>
      <c r="AH391" s="476"/>
      <c r="AI391" s="477"/>
      <c r="AJ391" s="478"/>
      <c r="AK391" s="479"/>
      <c r="AL391" s="480"/>
      <c r="AM391" s="474"/>
      <c r="AN391" s="481"/>
      <c r="AO391" s="474"/>
      <c r="AP391" s="476"/>
      <c r="AQ391" s="482"/>
      <c r="AR391" s="478"/>
      <c r="AS391" s="478"/>
      <c r="AT391" s="476"/>
      <c r="AU391" s="482"/>
      <c r="AV391" s="478"/>
      <c r="AW391" s="483"/>
      <c r="AX391" s="476"/>
      <c r="AY391" s="482"/>
      <c r="AZ391" s="478"/>
      <c r="BA391" s="484"/>
      <c r="BB391" s="474"/>
      <c r="BC391" s="485"/>
      <c r="BD391" s="485"/>
      <c r="BG391" s="487"/>
    </row>
    <row r="392" spans="1:59" s="486" customFormat="1" ht="18" customHeight="1" x14ac:dyDescent="0.2">
      <c r="A392" s="1368" t="str">
        <f t="shared" si="276"/>
        <v>JL. TOPAN - RUAS 41/412010</v>
      </c>
      <c r="B392" s="1373"/>
      <c r="C392" s="463"/>
      <c r="D392" s="464"/>
      <c r="E392" s="465"/>
      <c r="F392" s="466">
        <v>2010</v>
      </c>
      <c r="G392" s="620">
        <v>0</v>
      </c>
      <c r="H392" s="464">
        <f>IF(N391-(F392-F391)&lt;=0,0,(N391-(F392-F391)))</f>
        <v>1</v>
      </c>
      <c r="I392" s="467"/>
      <c r="J392" s="468">
        <f>(F392+N392)-1</f>
        <v>2010</v>
      </c>
      <c r="K392" s="490">
        <f>IF(G392=0,0,IF(H392=10,100%,G392/W391))</f>
        <v>0</v>
      </c>
      <c r="L392" s="469">
        <f>IF(K392=0%,0,IF(K392&lt;=30%,2,IF(K392&lt;=60%,5,10)))</f>
        <v>0</v>
      </c>
      <c r="M392" s="683">
        <f>IF(OR(AND(ISBLANK(E392),ISBLANK(G392)),ISTEXT(E392),ISTEXT(G392)),"",IF(H392+L392&gt;$H$8,$H$8-H392,L392))</f>
        <v>0</v>
      </c>
      <c r="N392" s="470">
        <f>IF(OR(AND(ISBLANK(F392),ISBLANK(G392)),ISTEXT(F392),ISTEXT(G392)),"",H392+M392)</f>
        <v>1</v>
      </c>
      <c r="O392" s="468">
        <f>(F392+N392)-1</f>
        <v>2010</v>
      </c>
      <c r="P392" s="616">
        <f>W391</f>
        <v>1020600000</v>
      </c>
      <c r="Q392" s="472">
        <f>P392+G392</f>
        <v>1020600000</v>
      </c>
      <c r="R392" s="472">
        <f>IF(L392=0,R391,Q392/N392)</f>
        <v>113400000</v>
      </c>
      <c r="S392" s="1189">
        <f>F392</f>
        <v>2010</v>
      </c>
      <c r="T392" s="470">
        <f>S392-S391</f>
        <v>9</v>
      </c>
      <c r="U392" s="612">
        <f>R392*T392</f>
        <v>1020600000</v>
      </c>
      <c r="V392" s="464">
        <f>F392</f>
        <v>2010</v>
      </c>
      <c r="W392" s="612">
        <f>IF(OR(AND(ISBLANK(E392),ISBLANK(G392)),ISTEXT(E392),ISTEXT(G392)),"",Q392-U392)</f>
        <v>0</v>
      </c>
      <c r="X392" s="473"/>
      <c r="Y392" s="474"/>
      <c r="Z392" s="449"/>
      <c r="AA392" s="475"/>
      <c r="AB392" s="476"/>
      <c r="AC392" s="476"/>
      <c r="AD392" s="567"/>
      <c r="AE392" s="476"/>
      <c r="AF392" s="568"/>
      <c r="AG392" s="476"/>
      <c r="AH392" s="476"/>
      <c r="AI392" s="477"/>
      <c r="AJ392" s="478"/>
      <c r="AK392" s="479"/>
      <c r="AL392" s="480"/>
      <c r="AM392" s="474"/>
      <c r="AN392" s="481"/>
      <c r="AO392" s="474"/>
      <c r="AP392" s="476"/>
      <c r="AQ392" s="482"/>
      <c r="AR392" s="478"/>
      <c r="AS392" s="478"/>
      <c r="AT392" s="476"/>
      <c r="AU392" s="482"/>
      <c r="AV392" s="478"/>
      <c r="AW392" s="483"/>
      <c r="AX392" s="476"/>
      <c r="AY392" s="482"/>
      <c r="AZ392" s="478"/>
      <c r="BA392" s="484"/>
      <c r="BB392" s="474"/>
      <c r="BC392" s="485"/>
      <c r="BD392" s="485"/>
      <c r="BG392" s="487"/>
    </row>
    <row r="393" spans="1:59" s="486" customFormat="1" ht="18" customHeight="1" x14ac:dyDescent="0.2">
      <c r="A393" s="1368" t="str">
        <f t="shared" si="276"/>
        <v>JL. TOPAN - RUAS 41/412011</v>
      </c>
      <c r="B393" s="1373"/>
      <c r="C393" s="463"/>
      <c r="D393" s="464"/>
      <c r="E393" s="465"/>
      <c r="F393" s="466">
        <v>2011</v>
      </c>
      <c r="G393" s="620">
        <v>0</v>
      </c>
      <c r="H393" s="464">
        <f t="shared" ref="H393:H401" si="277">IF(N392-(F393-F392)&lt;=0,0,(N392-(F393-F392)))</f>
        <v>0</v>
      </c>
      <c r="I393" s="467"/>
      <c r="J393" s="468">
        <f t="shared" ref="J393:J401" si="278">(F393+N393)-1</f>
        <v>2010</v>
      </c>
      <c r="K393" s="490">
        <f t="shared" ref="K393:K401" si="279">IF(G393=0,0,IF(H393=10,100%,G393/W392))</f>
        <v>0</v>
      </c>
      <c r="L393" s="469">
        <f t="shared" ref="L393:L401" si="280">IF(K393=0%,0,IF(K393&lt;=30%,2,IF(K393&lt;=60%,5,10)))</f>
        <v>0</v>
      </c>
      <c r="M393" s="683">
        <f t="shared" ref="M393:M401" si="281">IF(OR(AND(ISBLANK(E393),ISBLANK(G393)),ISTEXT(E393),ISTEXT(G393)),"",IF(H393+L393&gt;$H$8,$H$8-H393,L393))</f>
        <v>0</v>
      </c>
      <c r="N393" s="470">
        <f t="shared" ref="N393:N401" si="282">IF(OR(AND(ISBLANK(F393),ISBLANK(G393)),ISTEXT(F393),ISTEXT(G393)),"",H393+M393)</f>
        <v>0</v>
      </c>
      <c r="O393" s="468">
        <f t="shared" ref="O393:O401" si="283">(F393+N393)-1</f>
        <v>2010</v>
      </c>
      <c r="P393" s="616">
        <f t="shared" ref="P393:P401" si="284">W392</f>
        <v>0</v>
      </c>
      <c r="Q393" s="472">
        <f t="shared" ref="Q393:Q401" si="285">P393+G393</f>
        <v>0</v>
      </c>
      <c r="R393" s="472">
        <v>0</v>
      </c>
      <c r="S393" s="1189">
        <f t="shared" ref="S393:S401" si="286">F393</f>
        <v>2011</v>
      </c>
      <c r="T393" s="470">
        <f t="shared" ref="T393:T401" si="287">S393-S392</f>
        <v>1</v>
      </c>
      <c r="U393" s="612">
        <f t="shared" ref="U393:U401" si="288">R393*T393</f>
        <v>0</v>
      </c>
      <c r="V393" s="464">
        <f t="shared" ref="V393:V401" si="289">F393</f>
        <v>2011</v>
      </c>
      <c r="W393" s="612">
        <f t="shared" ref="W393:W401" si="290">IF(OR(AND(ISBLANK(E393),ISBLANK(G393)),ISTEXT(E393),ISTEXT(G393)),"",Q393-U393)</f>
        <v>0</v>
      </c>
      <c r="X393" s="473"/>
      <c r="Y393" s="474"/>
      <c r="Z393" s="449"/>
      <c r="AA393" s="475"/>
      <c r="AB393" s="476"/>
      <c r="AC393" s="476"/>
      <c r="AD393" s="567"/>
      <c r="AE393" s="476"/>
      <c r="AF393" s="568"/>
      <c r="AG393" s="476"/>
      <c r="AH393" s="476"/>
      <c r="AI393" s="477"/>
      <c r="AJ393" s="478"/>
      <c r="AK393" s="479"/>
      <c r="AL393" s="480"/>
      <c r="AM393" s="474"/>
      <c r="AN393" s="481"/>
      <c r="AO393" s="474"/>
      <c r="AP393" s="476"/>
      <c r="AQ393" s="482"/>
      <c r="AR393" s="478"/>
      <c r="AS393" s="478"/>
      <c r="AT393" s="476"/>
      <c r="AU393" s="482"/>
      <c r="AV393" s="478"/>
      <c r="AW393" s="483"/>
      <c r="AX393" s="476"/>
      <c r="AY393" s="482"/>
      <c r="AZ393" s="478"/>
      <c r="BA393" s="484"/>
      <c r="BB393" s="474"/>
      <c r="BC393" s="485"/>
      <c r="BD393" s="485"/>
      <c r="BG393" s="487"/>
    </row>
    <row r="394" spans="1:59" s="486" customFormat="1" ht="18" customHeight="1" x14ac:dyDescent="0.2">
      <c r="A394" s="1368" t="str">
        <f t="shared" si="276"/>
        <v>JL. TOPAN - RUAS 41/412012</v>
      </c>
      <c r="B394" s="1373"/>
      <c r="C394" s="463"/>
      <c r="D394" s="464"/>
      <c r="E394" s="465"/>
      <c r="F394" s="466">
        <v>2012</v>
      </c>
      <c r="G394" s="620">
        <v>0</v>
      </c>
      <c r="H394" s="464">
        <f t="shared" si="277"/>
        <v>0</v>
      </c>
      <c r="I394" s="467"/>
      <c r="J394" s="468">
        <f t="shared" si="278"/>
        <v>2011</v>
      </c>
      <c r="K394" s="490">
        <f t="shared" si="279"/>
        <v>0</v>
      </c>
      <c r="L394" s="469">
        <f t="shared" si="280"/>
        <v>0</v>
      </c>
      <c r="M394" s="683">
        <f t="shared" si="281"/>
        <v>0</v>
      </c>
      <c r="N394" s="470">
        <f t="shared" si="282"/>
        <v>0</v>
      </c>
      <c r="O394" s="468">
        <f t="shared" si="283"/>
        <v>2011</v>
      </c>
      <c r="P394" s="616">
        <f t="shared" si="284"/>
        <v>0</v>
      </c>
      <c r="Q394" s="472">
        <f t="shared" si="285"/>
        <v>0</v>
      </c>
      <c r="R394" s="472">
        <f t="shared" ref="R394:R401" si="291">IF(L394=0,R393,Q394/N394)</f>
        <v>0</v>
      </c>
      <c r="S394" s="1189">
        <f t="shared" si="286"/>
        <v>2012</v>
      </c>
      <c r="T394" s="470">
        <f t="shared" si="287"/>
        <v>1</v>
      </c>
      <c r="U394" s="612">
        <f t="shared" si="288"/>
        <v>0</v>
      </c>
      <c r="V394" s="464">
        <f t="shared" si="289"/>
        <v>2012</v>
      </c>
      <c r="W394" s="612">
        <f t="shared" si="290"/>
        <v>0</v>
      </c>
      <c r="X394" s="473"/>
      <c r="Y394" s="474"/>
      <c r="Z394" s="449"/>
      <c r="AA394" s="475"/>
      <c r="AB394" s="476"/>
      <c r="AC394" s="476"/>
      <c r="AD394" s="567"/>
      <c r="AE394" s="476"/>
      <c r="AF394" s="568"/>
      <c r="AG394" s="476"/>
      <c r="AH394" s="476"/>
      <c r="AI394" s="477"/>
      <c r="AJ394" s="478"/>
      <c r="AK394" s="479"/>
      <c r="AL394" s="480"/>
      <c r="AM394" s="474"/>
      <c r="AN394" s="481"/>
      <c r="AO394" s="474"/>
      <c r="AP394" s="476"/>
      <c r="AQ394" s="482"/>
      <c r="AR394" s="478"/>
      <c r="AS394" s="478"/>
      <c r="AT394" s="476"/>
      <c r="AU394" s="482"/>
      <c r="AV394" s="478"/>
      <c r="AW394" s="483"/>
      <c r="AX394" s="476"/>
      <c r="AY394" s="482"/>
      <c r="AZ394" s="478"/>
      <c r="BA394" s="484"/>
      <c r="BB394" s="474"/>
      <c r="BC394" s="485"/>
      <c r="BD394" s="485"/>
      <c r="BG394" s="487"/>
    </row>
    <row r="395" spans="1:59" s="486" customFormat="1" ht="18" customHeight="1" x14ac:dyDescent="0.2">
      <c r="A395" s="1368" t="str">
        <f t="shared" si="276"/>
        <v>JL. TOPAN - RUAS 41/412013</v>
      </c>
      <c r="B395" s="1373"/>
      <c r="C395" s="488"/>
      <c r="D395" s="464"/>
      <c r="E395" s="465"/>
      <c r="F395" s="466">
        <v>2013</v>
      </c>
      <c r="G395" s="620">
        <v>0</v>
      </c>
      <c r="H395" s="464">
        <f t="shared" si="277"/>
        <v>0</v>
      </c>
      <c r="I395" s="467"/>
      <c r="J395" s="468">
        <f t="shared" si="278"/>
        <v>2012</v>
      </c>
      <c r="K395" s="490">
        <f t="shared" si="279"/>
        <v>0</v>
      </c>
      <c r="L395" s="469">
        <f t="shared" si="280"/>
        <v>0</v>
      </c>
      <c r="M395" s="683">
        <f t="shared" si="281"/>
        <v>0</v>
      </c>
      <c r="N395" s="470">
        <f t="shared" si="282"/>
        <v>0</v>
      </c>
      <c r="O395" s="468">
        <f t="shared" si="283"/>
        <v>2012</v>
      </c>
      <c r="P395" s="616">
        <f t="shared" si="284"/>
        <v>0</v>
      </c>
      <c r="Q395" s="472">
        <f t="shared" si="285"/>
        <v>0</v>
      </c>
      <c r="R395" s="472">
        <f t="shared" si="291"/>
        <v>0</v>
      </c>
      <c r="S395" s="1189">
        <f t="shared" si="286"/>
        <v>2013</v>
      </c>
      <c r="T395" s="470">
        <f t="shared" si="287"/>
        <v>1</v>
      </c>
      <c r="U395" s="612">
        <f t="shared" si="288"/>
        <v>0</v>
      </c>
      <c r="V395" s="464">
        <f t="shared" si="289"/>
        <v>2013</v>
      </c>
      <c r="W395" s="612">
        <f t="shared" si="290"/>
        <v>0</v>
      </c>
      <c r="X395" s="473"/>
      <c r="Y395" s="478"/>
      <c r="Z395" s="449"/>
      <c r="AA395" s="475" t="s">
        <v>4181</v>
      </c>
      <c r="AB395" s="491"/>
      <c r="AC395" s="491"/>
      <c r="AD395" s="567">
        <f>U403</f>
        <v>1231097055</v>
      </c>
      <c r="AE395" s="491"/>
      <c r="AF395" s="568"/>
      <c r="AG395" s="491"/>
      <c r="AH395" s="491"/>
      <c r="AI395" s="477"/>
      <c r="AJ395" s="478"/>
      <c r="AK395" s="479"/>
      <c r="AL395" s="480"/>
      <c r="AM395" s="474"/>
      <c r="AN395" s="481"/>
      <c r="AO395" s="474"/>
      <c r="AP395" s="476"/>
      <c r="AQ395" s="482"/>
      <c r="AR395" s="478"/>
      <c r="AS395" s="478"/>
      <c r="AT395" s="476"/>
      <c r="AU395" s="482"/>
      <c r="AV395" s="478"/>
      <c r="AW395" s="483"/>
      <c r="AX395" s="476"/>
      <c r="AY395" s="482"/>
      <c r="AZ395" s="478"/>
      <c r="BA395" s="484"/>
      <c r="BB395" s="474"/>
      <c r="BC395" s="485"/>
      <c r="BD395" s="485"/>
      <c r="BG395" s="487"/>
    </row>
    <row r="396" spans="1:59" s="486" customFormat="1" ht="18" customHeight="1" x14ac:dyDescent="0.2">
      <c r="A396" s="1368" t="str">
        <f t="shared" ref="A396:A401" si="292">$D$386&amp;S396</f>
        <v>JL. TOPAN - RUAS 41/412014</v>
      </c>
      <c r="B396" s="1373"/>
      <c r="C396" s="488"/>
      <c r="D396" s="464"/>
      <c r="E396" s="465"/>
      <c r="F396" s="466">
        <v>2014</v>
      </c>
      <c r="G396" s="620">
        <v>0</v>
      </c>
      <c r="H396" s="464">
        <f t="shared" si="277"/>
        <v>0</v>
      </c>
      <c r="I396" s="467"/>
      <c r="J396" s="468">
        <f t="shared" si="278"/>
        <v>2013</v>
      </c>
      <c r="K396" s="490">
        <f t="shared" si="279"/>
        <v>0</v>
      </c>
      <c r="L396" s="469">
        <f t="shared" si="280"/>
        <v>0</v>
      </c>
      <c r="M396" s="683">
        <f t="shared" si="281"/>
        <v>0</v>
      </c>
      <c r="N396" s="470">
        <f t="shared" si="282"/>
        <v>0</v>
      </c>
      <c r="O396" s="468">
        <f t="shared" si="283"/>
        <v>2013</v>
      </c>
      <c r="P396" s="616">
        <f t="shared" si="284"/>
        <v>0</v>
      </c>
      <c r="Q396" s="472">
        <f t="shared" si="285"/>
        <v>0</v>
      </c>
      <c r="R396" s="472">
        <f t="shared" si="291"/>
        <v>0</v>
      </c>
      <c r="S396" s="1189">
        <f t="shared" si="286"/>
        <v>2014</v>
      </c>
      <c r="T396" s="470">
        <f t="shared" si="287"/>
        <v>1</v>
      </c>
      <c r="U396" s="612">
        <f t="shared" si="288"/>
        <v>0</v>
      </c>
      <c r="V396" s="464">
        <f t="shared" si="289"/>
        <v>2014</v>
      </c>
      <c r="W396" s="612">
        <f t="shared" si="290"/>
        <v>0</v>
      </c>
      <c r="X396" s="473"/>
      <c r="Y396" s="478"/>
      <c r="Z396" s="449"/>
      <c r="AA396" s="475"/>
      <c r="AB396" s="491"/>
      <c r="AC396" s="491"/>
      <c r="AD396" s="567"/>
      <c r="AE396" s="491"/>
      <c r="AF396" s="568"/>
      <c r="AG396" s="491"/>
      <c r="AH396" s="491"/>
      <c r="AI396" s="477"/>
      <c r="AJ396" s="478"/>
      <c r="AK396" s="479"/>
      <c r="AL396" s="480"/>
      <c r="AM396" s="474"/>
      <c r="AN396" s="481"/>
      <c r="AO396" s="474"/>
      <c r="AP396" s="476"/>
      <c r="AQ396" s="482"/>
      <c r="AR396" s="478"/>
      <c r="AS396" s="478"/>
      <c r="AT396" s="476"/>
      <c r="AU396" s="482"/>
      <c r="AV396" s="478"/>
      <c r="AW396" s="483"/>
      <c r="AX396" s="476"/>
      <c r="AY396" s="482"/>
      <c r="AZ396" s="478"/>
      <c r="BA396" s="484"/>
      <c r="BB396" s="474"/>
      <c r="BC396" s="485"/>
      <c r="BD396" s="485"/>
      <c r="BG396" s="487"/>
    </row>
    <row r="397" spans="1:59" s="486" customFormat="1" ht="18" customHeight="1" x14ac:dyDescent="0.2">
      <c r="A397" s="1368" t="str">
        <f t="shared" si="292"/>
        <v>JL. TOPAN - RUAS 41/412015</v>
      </c>
      <c r="B397" s="1373"/>
      <c r="C397" s="463" t="s">
        <v>1398</v>
      </c>
      <c r="D397" s="464" t="s">
        <v>2494</v>
      </c>
      <c r="E397" s="465"/>
      <c r="F397" s="466">
        <v>2015</v>
      </c>
      <c r="G397" s="620">
        <v>194194110</v>
      </c>
      <c r="H397" s="557">
        <f>VLOOKUP(LEFT(D397,8),UE,4)</f>
        <v>10</v>
      </c>
      <c r="I397" s="467"/>
      <c r="J397" s="468">
        <f t="shared" si="278"/>
        <v>2024</v>
      </c>
      <c r="K397" s="490">
        <f t="shared" si="279"/>
        <v>1</v>
      </c>
      <c r="L397" s="469">
        <f t="shared" si="280"/>
        <v>10</v>
      </c>
      <c r="M397" s="683">
        <f t="shared" si="281"/>
        <v>0</v>
      </c>
      <c r="N397" s="470">
        <f t="shared" si="282"/>
        <v>10</v>
      </c>
      <c r="O397" s="468">
        <f t="shared" si="283"/>
        <v>2024</v>
      </c>
      <c r="P397" s="616">
        <f t="shared" si="284"/>
        <v>0</v>
      </c>
      <c r="Q397" s="472">
        <f t="shared" si="285"/>
        <v>194194110</v>
      </c>
      <c r="R397" s="472">
        <f t="shared" si="291"/>
        <v>19419411</v>
      </c>
      <c r="S397" s="1189">
        <f t="shared" si="286"/>
        <v>2015</v>
      </c>
      <c r="T397" s="470">
        <f t="shared" si="287"/>
        <v>1</v>
      </c>
      <c r="U397" s="612">
        <f t="shared" si="288"/>
        <v>19419411</v>
      </c>
      <c r="V397" s="464">
        <f t="shared" si="289"/>
        <v>2015</v>
      </c>
      <c r="W397" s="612">
        <f t="shared" si="290"/>
        <v>174774699</v>
      </c>
      <c r="X397" s="473"/>
      <c r="Y397" s="478"/>
      <c r="Z397" s="449"/>
      <c r="AA397" s="492" t="s">
        <v>4182</v>
      </c>
      <c r="AB397" s="476"/>
      <c r="AC397" s="476"/>
      <c r="AD397" s="567">
        <f>AD391-AD395</f>
        <v>97097055</v>
      </c>
      <c r="AE397" s="476"/>
      <c r="AF397" s="568"/>
      <c r="AG397" s="476"/>
      <c r="AH397" s="476"/>
      <c r="AI397" s="477"/>
      <c r="AJ397" s="478"/>
      <c r="AK397" s="479"/>
      <c r="AL397" s="480"/>
      <c r="AM397" s="474"/>
      <c r="AN397" s="481"/>
      <c r="AO397" s="474"/>
      <c r="AP397" s="476"/>
      <c r="AQ397" s="482"/>
      <c r="AR397" s="478"/>
      <c r="AS397" s="478"/>
      <c r="AT397" s="476"/>
      <c r="AU397" s="482"/>
      <c r="AV397" s="478"/>
      <c r="AW397" s="483"/>
      <c r="AX397" s="476"/>
      <c r="AY397" s="482"/>
      <c r="AZ397" s="478"/>
      <c r="BA397" s="484"/>
      <c r="BB397" s="474"/>
      <c r="BC397" s="485"/>
      <c r="BD397" s="485"/>
      <c r="BG397" s="487"/>
    </row>
    <row r="398" spans="1:59" s="486" customFormat="1" ht="18" customHeight="1" x14ac:dyDescent="0.2">
      <c r="A398" s="1368" t="str">
        <f t="shared" si="292"/>
        <v>JL. TOPAN - RUAS 41/412016</v>
      </c>
      <c r="B398" s="687"/>
      <c r="C398" s="463"/>
      <c r="D398" s="464"/>
      <c r="E398" s="465"/>
      <c r="F398" s="466">
        <v>2016</v>
      </c>
      <c r="G398" s="620">
        <v>0</v>
      </c>
      <c r="H398" s="464">
        <f t="shared" si="277"/>
        <v>9</v>
      </c>
      <c r="I398" s="467"/>
      <c r="J398" s="468">
        <f t="shared" si="278"/>
        <v>2024</v>
      </c>
      <c r="K398" s="490">
        <f t="shared" si="279"/>
        <v>0</v>
      </c>
      <c r="L398" s="469">
        <f t="shared" si="280"/>
        <v>0</v>
      </c>
      <c r="M398" s="683">
        <f t="shared" si="281"/>
        <v>0</v>
      </c>
      <c r="N398" s="470">
        <f t="shared" si="282"/>
        <v>9</v>
      </c>
      <c r="O398" s="468">
        <f t="shared" si="283"/>
        <v>2024</v>
      </c>
      <c r="P398" s="616">
        <f t="shared" si="284"/>
        <v>174774699</v>
      </c>
      <c r="Q398" s="472">
        <f t="shared" si="285"/>
        <v>174774699</v>
      </c>
      <c r="R398" s="472">
        <f t="shared" si="291"/>
        <v>19419411</v>
      </c>
      <c r="S398" s="1189">
        <f t="shared" si="286"/>
        <v>2016</v>
      </c>
      <c r="T398" s="470">
        <f t="shared" si="287"/>
        <v>1</v>
      </c>
      <c r="U398" s="612">
        <f t="shared" si="288"/>
        <v>19419411</v>
      </c>
      <c r="V398" s="464">
        <f t="shared" si="289"/>
        <v>2016</v>
      </c>
      <c r="W398" s="612">
        <f t="shared" si="290"/>
        <v>155355288</v>
      </c>
      <c r="X398" s="473"/>
      <c r="Y398" s="478"/>
      <c r="Z398" s="449"/>
      <c r="AA398" s="531" t="s">
        <v>4183</v>
      </c>
      <c r="AB398" s="496"/>
      <c r="AC398" s="496"/>
      <c r="AD398" s="569">
        <f>AD397-W403</f>
        <v>0</v>
      </c>
      <c r="AE398" s="476"/>
      <c r="AF398" s="568"/>
      <c r="AG398" s="476"/>
      <c r="AH398" s="476"/>
      <c r="AI398" s="477"/>
      <c r="AJ398" s="478"/>
      <c r="AK398" s="479"/>
      <c r="AL398" s="480"/>
      <c r="AM398" s="474"/>
      <c r="AN398" s="481"/>
      <c r="AO398" s="474"/>
      <c r="AP398" s="476"/>
      <c r="AQ398" s="482"/>
      <c r="AR398" s="478"/>
      <c r="AS398" s="478"/>
      <c r="AT398" s="476"/>
      <c r="AU398" s="482"/>
      <c r="AV398" s="478"/>
      <c r="AW398" s="483"/>
      <c r="AX398" s="476"/>
      <c r="AY398" s="482"/>
      <c r="AZ398" s="478"/>
      <c r="BA398" s="484"/>
      <c r="BB398" s="474"/>
      <c r="BC398" s="485"/>
      <c r="BD398" s="485"/>
      <c r="BG398" s="487"/>
    </row>
    <row r="399" spans="1:59" s="486" customFormat="1" ht="18" customHeight="1" x14ac:dyDescent="0.2">
      <c r="A399" s="1368" t="str">
        <f t="shared" si="292"/>
        <v>JL. TOPAN - RUAS 41/412017</v>
      </c>
      <c r="B399" s="687"/>
      <c r="C399" s="463"/>
      <c r="D399" s="464"/>
      <c r="E399" s="465"/>
      <c r="F399" s="466">
        <v>2017</v>
      </c>
      <c r="G399" s="620">
        <v>0</v>
      </c>
      <c r="H399" s="464">
        <f t="shared" si="277"/>
        <v>8</v>
      </c>
      <c r="I399" s="467"/>
      <c r="J399" s="468">
        <f t="shared" si="278"/>
        <v>2024</v>
      </c>
      <c r="K399" s="490">
        <f t="shared" si="279"/>
        <v>0</v>
      </c>
      <c r="L399" s="469">
        <f t="shared" si="280"/>
        <v>0</v>
      </c>
      <c r="M399" s="683">
        <f t="shared" si="281"/>
        <v>0</v>
      </c>
      <c r="N399" s="470">
        <f t="shared" si="282"/>
        <v>8</v>
      </c>
      <c r="O399" s="468">
        <f t="shared" si="283"/>
        <v>2024</v>
      </c>
      <c r="P399" s="616">
        <f t="shared" si="284"/>
        <v>155355288</v>
      </c>
      <c r="Q399" s="472">
        <f t="shared" si="285"/>
        <v>155355288</v>
      </c>
      <c r="R399" s="472">
        <f t="shared" si="291"/>
        <v>19419411</v>
      </c>
      <c r="S399" s="1189">
        <f t="shared" si="286"/>
        <v>2017</v>
      </c>
      <c r="T399" s="470">
        <f t="shared" si="287"/>
        <v>1</v>
      </c>
      <c r="U399" s="612">
        <f t="shared" si="288"/>
        <v>19419411</v>
      </c>
      <c r="V399" s="464">
        <f t="shared" si="289"/>
        <v>2017</v>
      </c>
      <c r="W399" s="612">
        <f t="shared" si="290"/>
        <v>135935877</v>
      </c>
      <c r="X399" s="473"/>
      <c r="Y399" s="478"/>
      <c r="Z399" s="449"/>
      <c r="AA399" s="573"/>
      <c r="AB399" s="476"/>
      <c r="AC399" s="476"/>
      <c r="AD399" s="568"/>
      <c r="AE399" s="476"/>
      <c r="AF399" s="568"/>
      <c r="AG399" s="476"/>
      <c r="AH399" s="476"/>
      <c r="AI399" s="477"/>
      <c r="AJ399" s="478"/>
      <c r="AK399" s="479"/>
      <c r="AL399" s="480"/>
      <c r="AM399" s="474"/>
      <c r="AN399" s="481"/>
      <c r="AO399" s="474"/>
      <c r="AP399" s="476"/>
      <c r="AQ399" s="482"/>
      <c r="AR399" s="478"/>
      <c r="AS399" s="478"/>
      <c r="AT399" s="476"/>
      <c r="AU399" s="482"/>
      <c r="AV399" s="478"/>
      <c r="AW399" s="483"/>
      <c r="AX399" s="476"/>
      <c r="AY399" s="482"/>
      <c r="AZ399" s="478"/>
      <c r="BA399" s="484"/>
      <c r="BB399" s="474"/>
      <c r="BC399" s="485"/>
      <c r="BD399" s="485"/>
      <c r="BG399" s="487"/>
    </row>
    <row r="400" spans="1:59" s="486" customFormat="1" ht="18" customHeight="1" x14ac:dyDescent="0.2">
      <c r="A400" s="1368" t="str">
        <f t="shared" si="292"/>
        <v>JL. TOPAN - RUAS 41/412018</v>
      </c>
      <c r="B400" s="687"/>
      <c r="C400" s="463"/>
      <c r="D400" s="464"/>
      <c r="E400" s="465"/>
      <c r="F400" s="466">
        <v>2018</v>
      </c>
      <c r="G400" s="620">
        <v>0</v>
      </c>
      <c r="H400" s="464">
        <f t="shared" si="277"/>
        <v>7</v>
      </c>
      <c r="I400" s="467"/>
      <c r="J400" s="468">
        <f t="shared" si="278"/>
        <v>2024</v>
      </c>
      <c r="K400" s="490">
        <f t="shared" si="279"/>
        <v>0</v>
      </c>
      <c r="L400" s="469">
        <f t="shared" si="280"/>
        <v>0</v>
      </c>
      <c r="M400" s="683">
        <f t="shared" si="281"/>
        <v>0</v>
      </c>
      <c r="N400" s="470">
        <f t="shared" si="282"/>
        <v>7</v>
      </c>
      <c r="O400" s="468">
        <f t="shared" si="283"/>
        <v>2024</v>
      </c>
      <c r="P400" s="616">
        <f t="shared" si="284"/>
        <v>135935877</v>
      </c>
      <c r="Q400" s="472">
        <f t="shared" si="285"/>
        <v>135935877</v>
      </c>
      <c r="R400" s="472">
        <f t="shared" si="291"/>
        <v>19419411</v>
      </c>
      <c r="S400" s="1189">
        <f t="shared" si="286"/>
        <v>2018</v>
      </c>
      <c r="T400" s="470">
        <f t="shared" si="287"/>
        <v>1</v>
      </c>
      <c r="U400" s="612">
        <f t="shared" si="288"/>
        <v>19419411</v>
      </c>
      <c r="V400" s="464">
        <f t="shared" si="289"/>
        <v>2018</v>
      </c>
      <c r="W400" s="612">
        <f t="shared" si="290"/>
        <v>116516466</v>
      </c>
      <c r="X400" s="473"/>
      <c r="Y400" s="478"/>
      <c r="Z400" s="449"/>
      <c r="AA400" s="573"/>
      <c r="AB400" s="476"/>
      <c r="AC400" s="476"/>
      <c r="AD400" s="568"/>
      <c r="AE400" s="476"/>
      <c r="AF400" s="568"/>
      <c r="AG400" s="476"/>
      <c r="AH400" s="476"/>
      <c r="AI400" s="477"/>
      <c r="AJ400" s="478"/>
      <c r="AK400" s="479"/>
      <c r="AL400" s="480"/>
      <c r="AM400" s="474"/>
      <c r="AN400" s="481"/>
      <c r="AO400" s="474"/>
      <c r="AP400" s="476"/>
      <c r="AQ400" s="482"/>
      <c r="AR400" s="478"/>
      <c r="AS400" s="478"/>
      <c r="AT400" s="476"/>
      <c r="AU400" s="482"/>
      <c r="AV400" s="478"/>
      <c r="AW400" s="483"/>
      <c r="AX400" s="476"/>
      <c r="AY400" s="482"/>
      <c r="AZ400" s="478"/>
      <c r="BA400" s="484"/>
      <c r="BB400" s="474"/>
      <c r="BC400" s="485"/>
      <c r="BD400" s="485"/>
      <c r="BG400" s="487"/>
    </row>
    <row r="401" spans="1:59" s="486" customFormat="1" ht="18" customHeight="1" x14ac:dyDescent="0.2">
      <c r="A401" s="1368" t="str">
        <f t="shared" si="292"/>
        <v>JL. TOPAN - RUAS 41/412019</v>
      </c>
      <c r="B401" s="687"/>
      <c r="C401" s="463"/>
      <c r="D401" s="464"/>
      <c r="E401" s="465"/>
      <c r="F401" s="466">
        <v>2019</v>
      </c>
      <c r="G401" s="620">
        <v>0</v>
      </c>
      <c r="H401" s="464">
        <f t="shared" si="277"/>
        <v>6</v>
      </c>
      <c r="I401" s="467"/>
      <c r="J401" s="468">
        <f t="shared" si="278"/>
        <v>2024</v>
      </c>
      <c r="K401" s="490">
        <f t="shared" si="279"/>
        <v>0</v>
      </c>
      <c r="L401" s="469">
        <f t="shared" si="280"/>
        <v>0</v>
      </c>
      <c r="M401" s="683">
        <f t="shared" si="281"/>
        <v>0</v>
      </c>
      <c r="N401" s="470">
        <f t="shared" si="282"/>
        <v>6</v>
      </c>
      <c r="O401" s="468">
        <f t="shared" si="283"/>
        <v>2024</v>
      </c>
      <c r="P401" s="616">
        <f t="shared" si="284"/>
        <v>116516466</v>
      </c>
      <c r="Q401" s="472">
        <f t="shared" si="285"/>
        <v>116516466</v>
      </c>
      <c r="R401" s="472">
        <f t="shared" si="291"/>
        <v>19419411</v>
      </c>
      <c r="S401" s="1189">
        <f t="shared" si="286"/>
        <v>2019</v>
      </c>
      <c r="T401" s="470">
        <f t="shared" si="287"/>
        <v>1</v>
      </c>
      <c r="U401" s="612">
        <f t="shared" si="288"/>
        <v>19419411</v>
      </c>
      <c r="V401" s="464">
        <f t="shared" si="289"/>
        <v>2019</v>
      </c>
      <c r="W401" s="612">
        <f t="shared" si="290"/>
        <v>97097055</v>
      </c>
      <c r="X401" s="473"/>
      <c r="Y401" s="478"/>
      <c r="Z401" s="449"/>
      <c r="AA401" s="573"/>
      <c r="AB401" s="476"/>
      <c r="AC401" s="476"/>
      <c r="AD401" s="568"/>
      <c r="AE401" s="476"/>
      <c r="AF401" s="568"/>
      <c r="AG401" s="476"/>
      <c r="AH401" s="476"/>
      <c r="AI401" s="477"/>
      <c r="AJ401" s="478"/>
      <c r="AK401" s="479"/>
      <c r="AL401" s="480"/>
      <c r="AM401" s="474"/>
      <c r="AN401" s="481"/>
      <c r="AO401" s="474"/>
      <c r="AP401" s="476"/>
      <c r="AQ401" s="482"/>
      <c r="AR401" s="478"/>
      <c r="AS401" s="478"/>
      <c r="AT401" s="476"/>
      <c r="AU401" s="482"/>
      <c r="AV401" s="478"/>
      <c r="AW401" s="483"/>
      <c r="AX401" s="476"/>
      <c r="AY401" s="482"/>
      <c r="AZ401" s="478"/>
      <c r="BA401" s="484"/>
      <c r="BB401" s="474"/>
      <c r="BC401" s="485"/>
      <c r="BD401" s="485"/>
      <c r="BG401" s="487"/>
    </row>
    <row r="402" spans="1:59" s="486" customFormat="1" ht="18" customHeight="1" x14ac:dyDescent="0.2">
      <c r="A402" s="1369"/>
      <c r="B402" s="687"/>
      <c r="C402" s="463"/>
      <c r="D402" s="464"/>
      <c r="E402" s="465"/>
      <c r="F402" s="1189"/>
      <c r="G402" s="620"/>
      <c r="H402" s="469" t="str">
        <f>IF(OR(AND(ISBLANK(E402),ISBLANK(G402)),ISTEXT(E402),ISTEXT(G402)),"",IF(#REF!-(YEAR(E402)-YEAR(#REF!))&lt;0,0,#REF!-(YEAR(E402)-YEAR(#REF!))))</f>
        <v/>
      </c>
      <c r="I402" s="467" t="str">
        <f>IF(OR(AND(ISBLANK(E402),ISBLANK(G402)),ISTEXT(E402),ISTEXT(G402)),"",IF(#REF!-E402&lt;0,0,#REF!-E402))</f>
        <v/>
      </c>
      <c r="J402" s="498" t="str">
        <f>IF(OR(AND(ISBLANK(E402),ISBLANK(G402)),ISTEXT(E402),ISTEXT(G402)),"",#REF!)</f>
        <v/>
      </c>
      <c r="K402" s="498"/>
      <c r="L402" s="469" t="str">
        <f>IF(OR(AND(ISBLANK(E402),ISBLANK(G402)),ISTEXT(E402),ISTEXT(G402)),"",ROUNDDOWN(G402/SUM($G$57:G398)*$H$57,0))</f>
        <v/>
      </c>
      <c r="M402" s="683" t="str">
        <f>IF(OR(AND(ISBLANK(E402),ISBLANK(G402)),ISTEXT(E402),ISTEXT(G402)),"",IF(H402+L402&gt;$H$57,$H$57-H402,L402))</f>
        <v/>
      </c>
      <c r="N402" s="470" t="str">
        <f>IF(OR(AND(ISBLANK(E402),ISBLANK(G402)),ISTEXT(E402),ISTEXT(G402)),"",H402+M402)</f>
        <v/>
      </c>
      <c r="O402" s="498" t="str">
        <f>IF(OR(AND(ISBLANK(E402),ISBLANK(G402)),ISTEXT(E402),ISTEXT(G402)),"",DATE(YEAR($J402)+M402,MONTH($J402),DAY($J402)))</f>
        <v/>
      </c>
      <c r="P402" s="748" t="str">
        <f>IF(OR(AND(ISBLANK(E402),ISBLANK(G402)),ISTEXT(E402),ISTEXT(G402)),"",#REF!-#REF!*(IF(J402&lt;E402,J402,E402)-#REF!))</f>
        <v/>
      </c>
      <c r="Q402" s="500" t="str">
        <f>IF(OR(AND(ISBLANK(E402),ISBLANK(G402)),ISTEXT(E402),ISTEXT(G402)),"",P402+G402)</f>
        <v/>
      </c>
      <c r="R402" s="501" t="str">
        <f>IF(OR(AND(ISBLANK(E402),ISBLANK(G402)),ISTEXT(E402),ISTEXT(G402)),"",IF(OR(E402&lt;DATE(2004,12,31),#REF!=0),0,Q402/#REF!))</f>
        <v/>
      </c>
      <c r="S402" s="502" t="str">
        <f>IF(OR(AND(ISBLANK(E402),ISBLANK(G402)),ISTEXT(E402),ISTEXT(G402)),"",IF(YEAR(E402)&lt;=YEAR(#REF!),"-",YEAR(E402)-1))</f>
        <v/>
      </c>
      <c r="T402" s="502"/>
      <c r="U402" s="612" t="str">
        <f>IF(OR(AND(ISBLANK(E402),ISBLANK(G402)),ISTEXT(E402),ISTEXT(G402)),"",IF(AND(J402&lt;=DATE(2004,12,31),E402&gt;J402),SUM($G402:G402),#REF!+#REF!+#REF!*IF(YEAR(E402)&lt;=YEAR(#REF!),0,(IF(DATE(YEAR(E402)-1,12,31)&gt;J402,J402,DATE(YEAR(E402)-1,12,31))-#REF!))))</f>
        <v/>
      </c>
      <c r="V402" s="503" t="str">
        <f>IF(OR(AND(ISBLANK(E402),ISBLANK(G402)),ISTEXT(E402),ISTEXT(G402)),"",IF(YEAR(E402)=YEAR(E403),E403,DATE(YEAR(E402),12,31)))</f>
        <v/>
      </c>
      <c r="W402" s="612" t="str">
        <f>IF(OR(AND(ISBLANK(E402),ISBLANK(G402)),ISTEXT(E402),ISTEXT(G402)),"",IF(Q402=0,0,IF(AND(J402&lt;=DATE(2004,12,31),E402&gt;=J402),Q402-U402,Q402-#REF!)))</f>
        <v/>
      </c>
      <c r="X402" s="504" t="str">
        <f>IF(OR(AND(ISBLANK(E402),ISBLANK(G402)),ISTEXT(E402),ISTEXT(G402)),"",$D$57&amp;"//"&amp;TEXT($E$57,"dd-mmm-yyyy")&amp;"//"&amp;#REF!)</f>
        <v/>
      </c>
      <c r="Y402" s="476"/>
      <c r="Z402" s="476"/>
      <c r="AA402" s="476"/>
      <c r="AB402" s="476"/>
      <c r="AC402" s="476"/>
      <c r="AD402" s="568"/>
      <c r="AE402" s="476"/>
      <c r="AF402" s="568"/>
      <c r="AG402" s="476"/>
      <c r="AH402" s="476"/>
      <c r="AI402" s="477"/>
      <c r="AJ402" s="478"/>
      <c r="AK402" s="479"/>
      <c r="AL402" s="480"/>
      <c r="AM402" s="474"/>
      <c r="AN402" s="481"/>
      <c r="AO402" s="474"/>
      <c r="AP402" s="476"/>
      <c r="AQ402" s="482"/>
      <c r="AR402" s="478"/>
      <c r="AS402" s="478"/>
      <c r="AT402" s="476"/>
      <c r="AU402" s="482"/>
      <c r="AV402" s="478"/>
      <c r="AW402" s="483"/>
      <c r="AX402" s="476"/>
      <c r="AY402" s="482"/>
      <c r="AZ402" s="478"/>
      <c r="BA402" s="484"/>
      <c r="BB402" s="474"/>
      <c r="BC402" s="485"/>
      <c r="BD402" s="485"/>
      <c r="BG402" s="487"/>
    </row>
    <row r="403" spans="1:59" s="551" customFormat="1" ht="18" customHeight="1" x14ac:dyDescent="0.2">
      <c r="A403" s="1370" t="s">
        <v>4184</v>
      </c>
      <c r="B403" s="2039" t="s">
        <v>4184</v>
      </c>
      <c r="C403" s="2040"/>
      <c r="D403" s="2040"/>
      <c r="E403" s="2040"/>
      <c r="F403" s="2041"/>
      <c r="G403" s="625">
        <f>SUM(G390:G402)</f>
        <v>1328194110</v>
      </c>
      <c r="H403" s="534"/>
      <c r="I403" s="535"/>
      <c r="J403" s="536"/>
      <c r="K403" s="536"/>
      <c r="L403" s="534"/>
      <c r="M403" s="1198"/>
      <c r="N403" s="537"/>
      <c r="O403" s="536"/>
      <c r="P403" s="751"/>
      <c r="Q403" s="538"/>
      <c r="R403" s="539"/>
      <c r="S403" s="540"/>
      <c r="T403" s="540"/>
      <c r="U403" s="1201">
        <f>SUM(U390:U402)</f>
        <v>1231097055</v>
      </c>
      <c r="V403" s="541"/>
      <c r="W403" s="1201">
        <f>G403-U403</f>
        <v>97097055</v>
      </c>
      <c r="X403" s="1197"/>
      <c r="Y403" s="426"/>
      <c r="Z403" s="426"/>
      <c r="AA403" s="426"/>
      <c r="AB403" s="426"/>
      <c r="AC403" s="426"/>
      <c r="AD403" s="564"/>
      <c r="AE403" s="426"/>
      <c r="AF403" s="564">
        <v>6628630678.5496902</v>
      </c>
      <c r="AG403" s="426"/>
      <c r="AH403" s="426"/>
      <c r="AI403" s="542"/>
      <c r="AJ403" s="543"/>
      <c r="AK403" s="432"/>
      <c r="AL403" s="544"/>
      <c r="AM403" s="545"/>
      <c r="AN403" s="546"/>
      <c r="AO403" s="545"/>
      <c r="AP403" s="426"/>
      <c r="AQ403" s="547"/>
      <c r="AR403" s="543"/>
      <c r="AS403" s="543"/>
      <c r="AT403" s="426"/>
      <c r="AU403" s="547"/>
      <c r="AV403" s="543"/>
      <c r="AW403" s="548"/>
      <c r="AX403" s="426"/>
      <c r="AY403" s="547"/>
      <c r="AZ403" s="543"/>
      <c r="BA403" s="549"/>
      <c r="BB403" s="545"/>
      <c r="BC403" s="550"/>
      <c r="BD403" s="550"/>
      <c r="BG403" s="552"/>
    </row>
    <row r="406" spans="1:59" s="422" customFormat="1" ht="18" customHeight="1" x14ac:dyDescent="0.2">
      <c r="A406" s="1366">
        <f>C406</f>
        <v>52</v>
      </c>
      <c r="B406" s="742" t="s">
        <v>4187</v>
      </c>
      <c r="C406" s="556">
        <v>52</v>
      </c>
      <c r="D406" s="553" t="str">
        <f>VLOOKUP(C406,RUAS,2,FALSE)</f>
        <v>TERMINAL - SENTAJO</v>
      </c>
      <c r="E406" s="553"/>
      <c r="F406" s="421"/>
      <c r="G406" s="611"/>
      <c r="I406" s="423"/>
      <c r="J406" s="424"/>
      <c r="K406" s="424"/>
      <c r="M406" s="680"/>
      <c r="P406" s="611"/>
      <c r="U406" s="611"/>
      <c r="W406" s="611"/>
      <c r="Y406" s="425"/>
      <c r="Z406" s="425"/>
      <c r="AA406" s="425"/>
      <c r="AB406" s="425"/>
      <c r="AC406" s="425"/>
      <c r="AD406" s="563"/>
      <c r="AE406" s="425"/>
      <c r="AF406" s="563"/>
      <c r="AG406" s="425"/>
      <c r="AH406" s="425"/>
      <c r="AI406" s="425"/>
      <c r="AJ406" s="425"/>
      <c r="AK406" s="425"/>
      <c r="AL406" s="425"/>
      <c r="AM406" s="425"/>
      <c r="AN406" s="425"/>
      <c r="AO406" s="425"/>
      <c r="AP406" s="425"/>
      <c r="AQ406" s="425"/>
      <c r="AR406" s="425"/>
      <c r="AS406" s="425"/>
      <c r="AT406" s="425"/>
      <c r="AU406" s="425"/>
      <c r="AV406" s="425"/>
      <c r="AW406" s="425"/>
      <c r="AX406" s="425"/>
      <c r="AY406" s="425"/>
      <c r="AZ406" s="425"/>
      <c r="BA406" s="425"/>
      <c r="BB406" s="425"/>
    </row>
    <row r="407" spans="1:59" s="431" customFormat="1" ht="18" customHeight="1" x14ac:dyDescent="0.2">
      <c r="A407" s="1367"/>
      <c r="B407" s="1968" t="s">
        <v>5</v>
      </c>
      <c r="C407" s="1968" t="s">
        <v>2280</v>
      </c>
      <c r="D407" s="1968" t="s">
        <v>4157</v>
      </c>
      <c r="E407" s="1968" t="s">
        <v>4158</v>
      </c>
      <c r="F407" s="1968"/>
      <c r="G407" s="2042" t="s">
        <v>4159</v>
      </c>
      <c r="H407" s="1968" t="s">
        <v>4160</v>
      </c>
      <c r="I407" s="1968"/>
      <c r="J407" s="1968" t="s">
        <v>4185</v>
      </c>
      <c r="K407" s="1964" t="s">
        <v>4162</v>
      </c>
      <c r="L407" s="1968" t="s">
        <v>4163</v>
      </c>
      <c r="M407" s="1971" t="s">
        <v>4164</v>
      </c>
      <c r="N407" s="1962" t="s">
        <v>4165</v>
      </c>
      <c r="O407" s="1968" t="s">
        <v>4166</v>
      </c>
      <c r="P407" s="1972" t="s">
        <v>4167</v>
      </c>
      <c r="Q407" s="1973"/>
      <c r="R407" s="636" t="s">
        <v>4186</v>
      </c>
      <c r="S407" s="1972" t="s">
        <v>4169</v>
      </c>
      <c r="T407" s="1974"/>
      <c r="U407" s="1973"/>
      <c r="V407" s="1975" t="s">
        <v>4170</v>
      </c>
      <c r="W407" s="1975"/>
      <c r="X407" s="1960" t="s">
        <v>4171</v>
      </c>
      <c r="Y407" s="1959"/>
      <c r="Z407" s="633"/>
      <c r="AA407" s="426"/>
      <c r="AB407" s="426"/>
      <c r="AC407" s="426"/>
      <c r="AD407" s="564"/>
      <c r="AE407" s="426"/>
      <c r="AF407" s="564"/>
      <c r="AG407" s="426"/>
      <c r="AH407" s="426"/>
      <c r="AI407" s="427"/>
      <c r="AJ407" s="427"/>
      <c r="AK407" s="427"/>
      <c r="AL407" s="427"/>
      <c r="AM407" s="428"/>
      <c r="AN407" s="427"/>
      <c r="AO407" s="427"/>
      <c r="AP407" s="426"/>
      <c r="AQ407" s="427"/>
      <c r="AR407" s="427"/>
      <c r="AS407" s="427"/>
      <c r="AT407" s="426"/>
      <c r="AU407" s="427"/>
      <c r="AV407" s="427"/>
      <c r="AW407" s="427"/>
      <c r="AX407" s="426"/>
      <c r="AY407" s="427"/>
      <c r="AZ407" s="427"/>
      <c r="BA407" s="427"/>
      <c r="BB407" s="429"/>
      <c r="BC407" s="430"/>
      <c r="BD407" s="430"/>
    </row>
    <row r="408" spans="1:59" s="431" customFormat="1" ht="18" customHeight="1" x14ac:dyDescent="0.2">
      <c r="A408" s="1367"/>
      <c r="B408" s="1968"/>
      <c r="C408" s="1968"/>
      <c r="D408" s="1968"/>
      <c r="E408" s="1968"/>
      <c r="F408" s="1968"/>
      <c r="G408" s="2042"/>
      <c r="H408" s="1968"/>
      <c r="I408" s="1968"/>
      <c r="J408" s="1968"/>
      <c r="K408" s="1970"/>
      <c r="L408" s="1968"/>
      <c r="M408" s="1971"/>
      <c r="N408" s="1963"/>
      <c r="O408" s="1968"/>
      <c r="P408" s="2037" t="s">
        <v>4172</v>
      </c>
      <c r="Q408" s="1960" t="s">
        <v>4173</v>
      </c>
      <c r="R408" s="1962" t="s">
        <v>4159</v>
      </c>
      <c r="S408" s="1962" t="s">
        <v>4174</v>
      </c>
      <c r="T408" s="1964" t="s">
        <v>4175</v>
      </c>
      <c r="U408" s="1966" t="s">
        <v>4159</v>
      </c>
      <c r="V408" s="1975"/>
      <c r="W408" s="1975"/>
      <c r="X408" s="1976"/>
      <c r="Y408" s="1959"/>
      <c r="Z408" s="633"/>
      <c r="AA408" s="426"/>
      <c r="AB408" s="426"/>
      <c r="AC408" s="426"/>
      <c r="AD408" s="564"/>
      <c r="AE408" s="426"/>
      <c r="AF408" s="564"/>
      <c r="AG408" s="426"/>
      <c r="AH408" s="426"/>
      <c r="AI408" s="427"/>
      <c r="AJ408" s="427"/>
      <c r="AK408" s="426"/>
      <c r="AL408" s="427"/>
      <c r="AM408" s="428"/>
      <c r="AN408" s="427"/>
      <c r="AO408" s="427"/>
      <c r="AP408" s="432"/>
      <c r="AQ408" s="427"/>
      <c r="AR408" s="427"/>
      <c r="AS408" s="427"/>
      <c r="AT408" s="432"/>
      <c r="AU408" s="427"/>
      <c r="AV408" s="427"/>
      <c r="AW408" s="427"/>
      <c r="AX408" s="432"/>
      <c r="AY408" s="427"/>
      <c r="AZ408" s="427"/>
      <c r="BA408" s="427"/>
      <c r="BB408" s="429"/>
      <c r="BC408" s="430"/>
      <c r="BD408" s="430"/>
    </row>
    <row r="409" spans="1:59" s="431" customFormat="1" ht="18" customHeight="1" x14ac:dyDescent="0.2">
      <c r="A409" s="1367"/>
      <c r="B409" s="1968"/>
      <c r="C409" s="1968"/>
      <c r="D409" s="1968"/>
      <c r="E409" s="433" t="s">
        <v>4176</v>
      </c>
      <c r="F409" s="434" t="s">
        <v>2288</v>
      </c>
      <c r="G409" s="2042"/>
      <c r="H409" s="635" t="s">
        <v>2288</v>
      </c>
      <c r="I409" s="635" t="s">
        <v>4177</v>
      </c>
      <c r="J409" s="1968"/>
      <c r="K409" s="1965"/>
      <c r="L409" s="435" t="s">
        <v>2288</v>
      </c>
      <c r="M409" s="681" t="s">
        <v>2288</v>
      </c>
      <c r="N409" s="635" t="s">
        <v>2288</v>
      </c>
      <c r="O409" s="1968"/>
      <c r="P409" s="2038"/>
      <c r="Q409" s="1961"/>
      <c r="R409" s="1963"/>
      <c r="S409" s="1963"/>
      <c r="T409" s="1965"/>
      <c r="U409" s="1967"/>
      <c r="V409" s="635" t="s">
        <v>4178</v>
      </c>
      <c r="W409" s="637" t="s">
        <v>4159</v>
      </c>
      <c r="X409" s="1961"/>
      <c r="Y409" s="436"/>
      <c r="Z409" s="436"/>
      <c r="AA409" s="426"/>
      <c r="AB409" s="426"/>
      <c r="AC409" s="426"/>
      <c r="AD409" s="564"/>
      <c r="AE409" s="426"/>
      <c r="AF409" s="564"/>
      <c r="AG409" s="426"/>
      <c r="AH409" s="426"/>
      <c r="AI409" s="427"/>
      <c r="AJ409" s="432"/>
      <c r="AK409" s="432"/>
      <c r="AL409" s="427"/>
      <c r="AM409" s="428"/>
      <c r="AN409" s="432"/>
      <c r="AO409" s="427"/>
      <c r="AP409" s="432"/>
      <c r="AQ409" s="432"/>
      <c r="AR409" s="427"/>
      <c r="AS409" s="427"/>
      <c r="AT409" s="432"/>
      <c r="AU409" s="432"/>
      <c r="AV409" s="427"/>
      <c r="AW409" s="427"/>
      <c r="AX409" s="432"/>
      <c r="AY409" s="432"/>
      <c r="AZ409" s="427"/>
      <c r="BA409" s="427"/>
      <c r="BB409" s="429"/>
      <c r="BC409" s="430"/>
      <c r="BD409" s="430"/>
    </row>
    <row r="410" spans="1:59" s="461" customFormat="1" ht="18" customHeight="1" x14ac:dyDescent="0.2">
      <c r="A410" s="1368" t="str">
        <f>$D$406&amp;S410</f>
        <v>TERMINAL - SENTAJO2001</v>
      </c>
      <c r="B410" s="1373">
        <v>1</v>
      </c>
      <c r="C410" s="532" t="s">
        <v>1136</v>
      </c>
      <c r="D410" s="437" t="s">
        <v>2494</v>
      </c>
      <c r="E410" s="438"/>
      <c r="F410" s="439">
        <v>2001</v>
      </c>
      <c r="G410" s="623">
        <v>31588402771.260002</v>
      </c>
      <c r="H410" s="440">
        <f>VLOOKUP(LEFT(D410,8),UE,4)</f>
        <v>10</v>
      </c>
      <c r="I410" s="441"/>
      <c r="J410" s="442">
        <f>(F410+N410)-1</f>
        <v>2010</v>
      </c>
      <c r="K410" s="443"/>
      <c r="L410" s="440"/>
      <c r="M410" s="746">
        <f>IF(H410+L410&gt;$H410,$H410-H410,L410)</f>
        <v>0</v>
      </c>
      <c r="N410" s="444">
        <f>H410+M410</f>
        <v>10</v>
      </c>
      <c r="O410" s="442">
        <f>(F410+N410)-1</f>
        <v>2010</v>
      </c>
      <c r="P410" s="617">
        <f>G410</f>
        <v>31588402771.260002</v>
      </c>
      <c r="Q410" s="445">
        <v>0</v>
      </c>
      <c r="R410" s="445">
        <f>P410/N410</f>
        <v>3158840277.1260004</v>
      </c>
      <c r="S410" s="446">
        <f>F410</f>
        <v>2001</v>
      </c>
      <c r="T410" s="447">
        <v>1</v>
      </c>
      <c r="U410" s="613">
        <f>R410*T410</f>
        <v>3158840277.1260004</v>
      </c>
      <c r="V410" s="442">
        <f>F410</f>
        <v>2001</v>
      </c>
      <c r="W410" s="617">
        <f>IF(OR(AND(ISBLANK(E410),ISBLANK(G410)),ISTEXT(E410),ISTEXT(G410)),"",G410-R410)</f>
        <v>28429562494.134003</v>
      </c>
      <c r="X410" s="448"/>
      <c r="Y410" s="449"/>
      <c r="Z410" s="449"/>
      <c r="AA410" s="450" t="s">
        <v>4179</v>
      </c>
      <c r="AB410" s="451"/>
      <c r="AC410" s="451"/>
      <c r="AD410" s="565"/>
      <c r="AE410" s="452"/>
      <c r="AF410" s="571"/>
      <c r="AG410" s="452"/>
      <c r="AH410" s="452"/>
      <c r="AI410" s="453"/>
      <c r="AJ410" s="449"/>
      <c r="AK410" s="453"/>
      <c r="AL410" s="454"/>
      <c r="AM410" s="455"/>
      <c r="AN410" s="456"/>
      <c r="AO410" s="455"/>
      <c r="AP410" s="452"/>
      <c r="AQ410" s="457"/>
      <c r="AR410" s="449"/>
      <c r="AS410" s="449"/>
      <c r="AT410" s="452"/>
      <c r="AU410" s="457"/>
      <c r="AV410" s="449"/>
      <c r="AW410" s="458"/>
      <c r="AX410" s="452"/>
      <c r="AY410" s="457"/>
      <c r="AZ410" s="449"/>
      <c r="BA410" s="459"/>
      <c r="BB410" s="455"/>
      <c r="BC410" s="460"/>
      <c r="BD410" s="460"/>
      <c r="BG410" s="462"/>
    </row>
    <row r="411" spans="1:59" s="486" customFormat="1" ht="18" customHeight="1" x14ac:dyDescent="0.2">
      <c r="A411" s="1368" t="str">
        <f t="shared" ref="A411:A427" si="293">$D$406&amp;S411</f>
        <v>TERMINAL - SENTAJO2005</v>
      </c>
      <c r="B411" s="1373"/>
      <c r="C411" s="493"/>
      <c r="D411" s="464"/>
      <c r="E411" s="465"/>
      <c r="F411" s="466">
        <v>2005</v>
      </c>
      <c r="G411" s="620">
        <v>0</v>
      </c>
      <c r="H411" s="464">
        <f>IF(N410-(F411-F410)&lt;=0,0,(N410-(F411-F410)))</f>
        <v>6</v>
      </c>
      <c r="I411" s="467"/>
      <c r="J411" s="468">
        <f>(F411+N411)-1</f>
        <v>2010</v>
      </c>
      <c r="K411" s="490">
        <f>IF(G411=0,0,IF(H411=10,100%,G411/W410))</f>
        <v>0</v>
      </c>
      <c r="L411" s="469">
        <f>IF(K411=0%,0,IF(K411&lt;=30%,2,IF(K411&lt;=60%,5,10)))</f>
        <v>0</v>
      </c>
      <c r="M411" s="683">
        <f>IF(OR(AND(ISBLANK(E411),ISBLANK(G411)),ISTEXT(E411),ISTEXT(G411)),"",IF(H411+L411&gt;$H$8,$H$8-H411,L411))</f>
        <v>0</v>
      </c>
      <c r="N411" s="470">
        <f>IF(OR(AND(ISBLANK(F411),ISBLANK(G411)),ISTEXT(F411),ISTEXT(G411)),"",H411+M411)</f>
        <v>6</v>
      </c>
      <c r="O411" s="468">
        <f>(F411+N411)-1</f>
        <v>2010</v>
      </c>
      <c r="P411" s="616">
        <f>W410</f>
        <v>28429562494.134003</v>
      </c>
      <c r="Q411" s="472">
        <f>P411+G411</f>
        <v>28429562494.134003</v>
      </c>
      <c r="R411" s="472">
        <f>IF(L411=0,R410,Q411/N411)</f>
        <v>3158840277.1260004</v>
      </c>
      <c r="S411" s="1189">
        <f>F411</f>
        <v>2005</v>
      </c>
      <c r="T411" s="470">
        <f>S411-S410</f>
        <v>4</v>
      </c>
      <c r="U411" s="612">
        <f>R411*T411</f>
        <v>12635361108.504002</v>
      </c>
      <c r="V411" s="464">
        <f>F411</f>
        <v>2005</v>
      </c>
      <c r="W411" s="612">
        <f>IF(OR(AND(ISBLANK(E411),ISBLANK(G411)),ISTEXT(E411),ISTEXT(G411)),"",Q411-U411)</f>
        <v>15794201385.630001</v>
      </c>
      <c r="X411" s="473"/>
      <c r="Y411" s="474"/>
      <c r="Z411" s="449"/>
      <c r="AA411" s="475" t="s">
        <v>4180</v>
      </c>
      <c r="AB411" s="476"/>
      <c r="AC411" s="476"/>
      <c r="AD411" s="567">
        <f>G429</f>
        <v>44376620720.124733</v>
      </c>
      <c r="AE411" s="476"/>
      <c r="AF411" s="568"/>
      <c r="AG411" s="476"/>
      <c r="AH411" s="476"/>
      <c r="AI411" s="477"/>
      <c r="AJ411" s="478"/>
      <c r="AK411" s="479"/>
      <c r="AL411" s="480"/>
      <c r="AM411" s="474"/>
      <c r="AN411" s="481"/>
      <c r="AO411" s="474"/>
      <c r="AP411" s="476"/>
      <c r="AQ411" s="482"/>
      <c r="AR411" s="478"/>
      <c r="AS411" s="478"/>
      <c r="AT411" s="476"/>
      <c r="AU411" s="482"/>
      <c r="AV411" s="478"/>
      <c r="AW411" s="483"/>
      <c r="AX411" s="476"/>
      <c r="AY411" s="482"/>
      <c r="AZ411" s="478"/>
      <c r="BA411" s="484"/>
      <c r="BB411" s="474"/>
      <c r="BC411" s="485"/>
      <c r="BD411" s="485"/>
      <c r="BG411" s="487"/>
    </row>
    <row r="412" spans="1:59" s="486" customFormat="1" ht="18" customHeight="1" x14ac:dyDescent="0.2">
      <c r="A412" s="1368" t="str">
        <f t="shared" si="293"/>
        <v>TERMINAL - SENTAJO2006</v>
      </c>
      <c r="B412" s="1373"/>
      <c r="C412" s="493"/>
      <c r="D412" s="464"/>
      <c r="E412" s="465"/>
      <c r="F412" s="466">
        <v>2006</v>
      </c>
      <c r="G412" s="620">
        <v>0</v>
      </c>
      <c r="H412" s="464">
        <f t="shared" ref="H412:H426" si="294">IF(N411-(F412-F411)&lt;=0,0,(N411-(F412-F411)))</f>
        <v>5</v>
      </c>
      <c r="I412" s="467"/>
      <c r="J412" s="468">
        <f t="shared" ref="J412:J426" si="295">(F412+N412)-1</f>
        <v>2010</v>
      </c>
      <c r="K412" s="490">
        <f t="shared" ref="K412:K426" si="296">IF(G412=0,0,IF(H412=10,100%,G412/W411))</f>
        <v>0</v>
      </c>
      <c r="L412" s="469">
        <f t="shared" ref="L412:L426" si="297">IF(K412=0%,0,IF(K412&lt;=30%,2,IF(K412&lt;=60%,5,10)))</f>
        <v>0</v>
      </c>
      <c r="M412" s="683">
        <f t="shared" ref="M412:M426" si="298">IF(OR(AND(ISBLANK(E412),ISBLANK(G412)),ISTEXT(E412),ISTEXT(G412)),"",IF(H412+L412&gt;$H$8,$H$8-H412,L412))</f>
        <v>0</v>
      </c>
      <c r="N412" s="470">
        <f t="shared" ref="N412:N426" si="299">IF(OR(AND(ISBLANK(F412),ISBLANK(G412)),ISTEXT(F412),ISTEXT(G412)),"",H412+M412)</f>
        <v>5</v>
      </c>
      <c r="O412" s="468">
        <f t="shared" ref="O412:O426" si="300">(F412+N412)-1</f>
        <v>2010</v>
      </c>
      <c r="P412" s="616">
        <f t="shared" ref="P412:P426" si="301">W411</f>
        <v>15794201385.630001</v>
      </c>
      <c r="Q412" s="472">
        <f t="shared" ref="Q412:Q426" si="302">P412+G412</f>
        <v>15794201385.630001</v>
      </c>
      <c r="R412" s="472">
        <f t="shared" ref="R412:R426" si="303">IF(L412=0,R411,Q412/N412)</f>
        <v>3158840277.1260004</v>
      </c>
      <c r="S412" s="1189">
        <f t="shared" ref="S412:S426" si="304">F412</f>
        <v>2006</v>
      </c>
      <c r="T412" s="470">
        <f t="shared" ref="T412:T426" si="305">S412-S411</f>
        <v>1</v>
      </c>
      <c r="U412" s="612">
        <f t="shared" ref="U412:U426" si="306">R412*T412</f>
        <v>3158840277.1260004</v>
      </c>
      <c r="V412" s="464">
        <f t="shared" ref="V412:V426" si="307">F412</f>
        <v>2006</v>
      </c>
      <c r="W412" s="612">
        <f t="shared" ref="W412:W426" si="308">IF(OR(AND(ISBLANK(E412),ISBLANK(G412)),ISTEXT(E412),ISTEXT(G412)),"",Q412-U412)</f>
        <v>12635361108.504002</v>
      </c>
      <c r="X412" s="473"/>
      <c r="Y412" s="474"/>
      <c r="Z412" s="449"/>
      <c r="AA412" s="475"/>
      <c r="AB412" s="476"/>
      <c r="AC412" s="476"/>
      <c r="AD412" s="567"/>
      <c r="AE412" s="476"/>
      <c r="AF412" s="568"/>
      <c r="AG412" s="476"/>
      <c r="AH412" s="476"/>
      <c r="AI412" s="477"/>
      <c r="AJ412" s="478"/>
      <c r="AK412" s="479"/>
      <c r="AL412" s="480"/>
      <c r="AM412" s="474"/>
      <c r="AN412" s="481"/>
      <c r="AO412" s="474"/>
      <c r="AP412" s="476"/>
      <c r="AQ412" s="482"/>
      <c r="AR412" s="478"/>
      <c r="AS412" s="478"/>
      <c r="AT412" s="476"/>
      <c r="AU412" s="482"/>
      <c r="AV412" s="478"/>
      <c r="AW412" s="483"/>
      <c r="AX412" s="476"/>
      <c r="AY412" s="482"/>
      <c r="AZ412" s="478"/>
      <c r="BA412" s="484"/>
      <c r="BB412" s="474"/>
      <c r="BC412" s="485"/>
      <c r="BD412" s="485"/>
      <c r="BG412" s="487"/>
    </row>
    <row r="413" spans="1:59" s="486" customFormat="1" ht="18" customHeight="1" x14ac:dyDescent="0.2">
      <c r="A413" s="1368" t="str">
        <f t="shared" si="293"/>
        <v>TERMINAL - SENTAJO2007</v>
      </c>
      <c r="B413" s="1373"/>
      <c r="C413" s="493"/>
      <c r="D413" s="464"/>
      <c r="E413" s="465"/>
      <c r="F413" s="466">
        <v>2007</v>
      </c>
      <c r="G413" s="620">
        <v>0</v>
      </c>
      <c r="H413" s="464">
        <f t="shared" si="294"/>
        <v>4</v>
      </c>
      <c r="I413" s="467"/>
      <c r="J413" s="468">
        <f t="shared" si="295"/>
        <v>2010</v>
      </c>
      <c r="K413" s="490">
        <f t="shared" si="296"/>
        <v>0</v>
      </c>
      <c r="L413" s="469">
        <f t="shared" si="297"/>
        <v>0</v>
      </c>
      <c r="M413" s="683">
        <f t="shared" si="298"/>
        <v>0</v>
      </c>
      <c r="N413" s="470">
        <f t="shared" si="299"/>
        <v>4</v>
      </c>
      <c r="O413" s="468">
        <f t="shared" si="300"/>
        <v>2010</v>
      </c>
      <c r="P413" s="616">
        <f t="shared" si="301"/>
        <v>12635361108.504002</v>
      </c>
      <c r="Q413" s="472">
        <f t="shared" si="302"/>
        <v>12635361108.504002</v>
      </c>
      <c r="R413" s="472">
        <f t="shared" si="303"/>
        <v>3158840277.1260004</v>
      </c>
      <c r="S413" s="1189">
        <f t="shared" si="304"/>
        <v>2007</v>
      </c>
      <c r="T413" s="470">
        <f t="shared" si="305"/>
        <v>1</v>
      </c>
      <c r="U413" s="612">
        <f t="shared" si="306"/>
        <v>3158840277.1260004</v>
      </c>
      <c r="V413" s="464">
        <f t="shared" si="307"/>
        <v>2007</v>
      </c>
      <c r="W413" s="612">
        <f t="shared" si="308"/>
        <v>9476520831.3780022</v>
      </c>
      <c r="X413" s="473"/>
      <c r="Y413" s="474"/>
      <c r="Z413" s="449"/>
      <c r="AA413" s="475"/>
      <c r="AB413" s="476"/>
      <c r="AC413" s="476"/>
      <c r="AD413" s="567"/>
      <c r="AE413" s="476"/>
      <c r="AF413" s="568"/>
      <c r="AG413" s="476"/>
      <c r="AH413" s="476"/>
      <c r="AI413" s="477"/>
      <c r="AJ413" s="478"/>
      <c r="AK413" s="479"/>
      <c r="AL413" s="480"/>
      <c r="AM413" s="474"/>
      <c r="AN413" s="481"/>
      <c r="AO413" s="474"/>
      <c r="AP413" s="476"/>
      <c r="AQ413" s="482"/>
      <c r="AR413" s="478"/>
      <c r="AS413" s="478"/>
      <c r="AT413" s="476"/>
      <c r="AU413" s="482"/>
      <c r="AV413" s="478"/>
      <c r="AW413" s="483"/>
      <c r="AX413" s="476"/>
      <c r="AY413" s="482"/>
      <c r="AZ413" s="478"/>
      <c r="BA413" s="484"/>
      <c r="BB413" s="474"/>
      <c r="BC413" s="485"/>
      <c r="BD413" s="485"/>
      <c r="BG413" s="487"/>
    </row>
    <row r="414" spans="1:59" s="486" customFormat="1" ht="18" customHeight="1" x14ac:dyDescent="0.2">
      <c r="A414" s="1368" t="str">
        <f t="shared" si="293"/>
        <v>TERMINAL - SENTAJO2008</v>
      </c>
      <c r="B414" s="1373">
        <v>2</v>
      </c>
      <c r="C414" s="493" t="s">
        <v>5105</v>
      </c>
      <c r="D414" s="464"/>
      <c r="E414" s="465"/>
      <c r="F414" s="466">
        <v>2008</v>
      </c>
      <c r="G414" s="620">
        <v>1367704316.8979061</v>
      </c>
      <c r="H414" s="464">
        <f t="shared" si="294"/>
        <v>3</v>
      </c>
      <c r="I414" s="467"/>
      <c r="J414" s="468">
        <f t="shared" si="295"/>
        <v>2012</v>
      </c>
      <c r="K414" s="490">
        <f t="shared" si="296"/>
        <v>0.14432557488495756</v>
      </c>
      <c r="L414" s="469">
        <f t="shared" si="297"/>
        <v>2</v>
      </c>
      <c r="M414" s="683">
        <f t="shared" si="298"/>
        <v>2</v>
      </c>
      <c r="N414" s="470">
        <f t="shared" si="299"/>
        <v>5</v>
      </c>
      <c r="O414" s="468">
        <f t="shared" si="300"/>
        <v>2012</v>
      </c>
      <c r="P414" s="616">
        <f t="shared" si="301"/>
        <v>9476520831.3780022</v>
      </c>
      <c r="Q414" s="472">
        <f t="shared" si="302"/>
        <v>10844225148.275908</v>
      </c>
      <c r="R414" s="472">
        <f t="shared" si="303"/>
        <v>2168845029.6551814</v>
      </c>
      <c r="S414" s="1189">
        <f t="shared" si="304"/>
        <v>2008</v>
      </c>
      <c r="T414" s="470">
        <f t="shared" si="305"/>
        <v>1</v>
      </c>
      <c r="U414" s="612">
        <f t="shared" si="306"/>
        <v>2168845029.6551814</v>
      </c>
      <c r="V414" s="464">
        <f t="shared" si="307"/>
        <v>2008</v>
      </c>
      <c r="W414" s="612">
        <f t="shared" si="308"/>
        <v>8675380118.6207256</v>
      </c>
      <c r="X414" s="473"/>
      <c r="Y414" s="474"/>
      <c r="Z414" s="449"/>
      <c r="AA414" s="475"/>
      <c r="AB414" s="476"/>
      <c r="AC414" s="476"/>
      <c r="AD414" s="567"/>
      <c r="AE414" s="476"/>
      <c r="AF414" s="568"/>
      <c r="AG414" s="476"/>
      <c r="AH414" s="476"/>
      <c r="AI414" s="477"/>
      <c r="AJ414" s="478"/>
      <c r="AK414" s="479"/>
      <c r="AL414" s="480"/>
      <c r="AM414" s="474"/>
      <c r="AN414" s="481"/>
      <c r="AO414" s="474"/>
      <c r="AP414" s="476"/>
      <c r="AQ414" s="482"/>
      <c r="AR414" s="478"/>
      <c r="AS414" s="478"/>
      <c r="AT414" s="476"/>
      <c r="AU414" s="482"/>
      <c r="AV414" s="478"/>
      <c r="AW414" s="483"/>
      <c r="AX414" s="476"/>
      <c r="AY414" s="482"/>
      <c r="AZ414" s="478"/>
      <c r="BA414" s="484"/>
      <c r="BB414" s="474"/>
      <c r="BC414" s="485"/>
      <c r="BD414" s="485"/>
      <c r="BG414" s="487"/>
    </row>
    <row r="415" spans="1:59" s="486" customFormat="1" ht="18" customHeight="1" x14ac:dyDescent="0.2">
      <c r="A415" s="1368" t="str">
        <f t="shared" si="293"/>
        <v>TERMINAL - SENTAJO2009</v>
      </c>
      <c r="B415" s="1373">
        <v>3</v>
      </c>
      <c r="C415" s="463" t="s">
        <v>5075</v>
      </c>
      <c r="D415" s="464"/>
      <c r="E415" s="465"/>
      <c r="F415" s="466">
        <v>2009</v>
      </c>
      <c r="G415" s="620">
        <f>714841086.6+2858191425.24251</f>
        <v>3573032511.8425097</v>
      </c>
      <c r="H415" s="464">
        <f t="shared" si="294"/>
        <v>4</v>
      </c>
      <c r="I415" s="467"/>
      <c r="J415" s="468">
        <f t="shared" si="295"/>
        <v>2017</v>
      </c>
      <c r="K415" s="490">
        <f t="shared" si="296"/>
        <v>0.41185889989689306</v>
      </c>
      <c r="L415" s="469">
        <f t="shared" si="297"/>
        <v>5</v>
      </c>
      <c r="M415" s="683">
        <f t="shared" si="298"/>
        <v>5</v>
      </c>
      <c r="N415" s="470">
        <f t="shared" si="299"/>
        <v>9</v>
      </c>
      <c r="O415" s="468">
        <f t="shared" si="300"/>
        <v>2017</v>
      </c>
      <c r="P415" s="616">
        <f t="shared" si="301"/>
        <v>8675380118.6207256</v>
      </c>
      <c r="Q415" s="472">
        <f t="shared" si="302"/>
        <v>12248412630.463236</v>
      </c>
      <c r="R415" s="472">
        <f t="shared" si="303"/>
        <v>1360934736.7181373</v>
      </c>
      <c r="S415" s="1189">
        <f t="shared" si="304"/>
        <v>2009</v>
      </c>
      <c r="T415" s="470">
        <f t="shared" si="305"/>
        <v>1</v>
      </c>
      <c r="U415" s="612">
        <f t="shared" si="306"/>
        <v>1360934736.7181373</v>
      </c>
      <c r="V415" s="464">
        <f t="shared" si="307"/>
        <v>2009</v>
      </c>
      <c r="W415" s="612">
        <f t="shared" si="308"/>
        <v>10887477893.745098</v>
      </c>
      <c r="X415" s="473"/>
      <c r="Y415" s="474"/>
      <c r="Z415" s="449"/>
      <c r="AA415" s="475"/>
      <c r="AB415" s="476"/>
      <c r="AC415" s="476"/>
      <c r="AD415" s="567"/>
      <c r="AE415" s="476"/>
      <c r="AF415" s="568"/>
      <c r="AG415" s="476"/>
      <c r="AH415" s="476"/>
      <c r="AI415" s="477"/>
      <c r="AJ415" s="478"/>
      <c r="AK415" s="479"/>
      <c r="AL415" s="480"/>
      <c r="AM415" s="474"/>
      <c r="AN415" s="481"/>
      <c r="AO415" s="474"/>
      <c r="AP415" s="476"/>
      <c r="AQ415" s="482"/>
      <c r="AR415" s="478"/>
      <c r="AS415" s="478"/>
      <c r="AT415" s="476"/>
      <c r="AU415" s="482"/>
      <c r="AV415" s="478"/>
      <c r="AW415" s="483"/>
      <c r="AX415" s="476"/>
      <c r="AY415" s="482"/>
      <c r="AZ415" s="478"/>
      <c r="BA415" s="484"/>
      <c r="BB415" s="474"/>
      <c r="BC415" s="485"/>
      <c r="BD415" s="485"/>
      <c r="BG415" s="487"/>
    </row>
    <row r="416" spans="1:59" s="486" customFormat="1" ht="18" customHeight="1" x14ac:dyDescent="0.2">
      <c r="A416" s="1368" t="str">
        <f t="shared" si="293"/>
        <v>TERMINAL - SENTAJO2010</v>
      </c>
      <c r="B416" s="1373">
        <v>4</v>
      </c>
      <c r="C416" s="463" t="s">
        <v>5107</v>
      </c>
      <c r="D416" s="464"/>
      <c r="E416" s="465"/>
      <c r="F416" s="466">
        <v>2010</v>
      </c>
      <c r="G416" s="620">
        <v>591050899</v>
      </c>
      <c r="H416" s="464">
        <f t="shared" si="294"/>
        <v>8</v>
      </c>
      <c r="I416" s="467"/>
      <c r="J416" s="468">
        <f t="shared" si="295"/>
        <v>2019</v>
      </c>
      <c r="K416" s="490">
        <f t="shared" si="296"/>
        <v>5.4287219204326581E-2</v>
      </c>
      <c r="L416" s="469">
        <f t="shared" si="297"/>
        <v>2</v>
      </c>
      <c r="M416" s="683">
        <f t="shared" si="298"/>
        <v>2</v>
      </c>
      <c r="N416" s="470">
        <f t="shared" si="299"/>
        <v>10</v>
      </c>
      <c r="O416" s="468">
        <f t="shared" si="300"/>
        <v>2019</v>
      </c>
      <c r="P416" s="616">
        <f t="shared" si="301"/>
        <v>10887477893.745098</v>
      </c>
      <c r="Q416" s="472">
        <f t="shared" si="302"/>
        <v>11478528792.745098</v>
      </c>
      <c r="R416" s="472">
        <f t="shared" si="303"/>
        <v>1147852879.2745099</v>
      </c>
      <c r="S416" s="1189">
        <f t="shared" si="304"/>
        <v>2010</v>
      </c>
      <c r="T416" s="470">
        <f t="shared" si="305"/>
        <v>1</v>
      </c>
      <c r="U416" s="612">
        <f t="shared" si="306"/>
        <v>1147852879.2745099</v>
      </c>
      <c r="V416" s="464">
        <f t="shared" si="307"/>
        <v>2010</v>
      </c>
      <c r="W416" s="612">
        <f t="shared" si="308"/>
        <v>10330675913.470589</v>
      </c>
      <c r="X416" s="473"/>
      <c r="Y416" s="474"/>
      <c r="Z416" s="449"/>
      <c r="AA416" s="475"/>
      <c r="AB416" s="476"/>
      <c r="AC416" s="476"/>
      <c r="AD416" s="567"/>
      <c r="AE416" s="476"/>
      <c r="AF416" s="568"/>
      <c r="AG416" s="476"/>
      <c r="AH416" s="476"/>
      <c r="AI416" s="477"/>
      <c r="AJ416" s="478"/>
      <c r="AK416" s="479"/>
      <c r="AL416" s="480"/>
      <c r="AM416" s="474"/>
      <c r="AN416" s="481"/>
      <c r="AO416" s="474"/>
      <c r="AP416" s="476"/>
      <c r="AQ416" s="482"/>
      <c r="AR416" s="478"/>
      <c r="AS416" s="478"/>
      <c r="AT416" s="476"/>
      <c r="AU416" s="482"/>
      <c r="AV416" s="478"/>
      <c r="AW416" s="483"/>
      <c r="AX416" s="476"/>
      <c r="AY416" s="482"/>
      <c r="AZ416" s="478"/>
      <c r="BA416" s="484"/>
      <c r="BB416" s="474"/>
      <c r="BC416" s="485"/>
      <c r="BD416" s="485"/>
      <c r="BG416" s="487"/>
    </row>
    <row r="417" spans="1:59" s="486" customFormat="1" ht="18" customHeight="1" x14ac:dyDescent="0.2">
      <c r="A417" s="1368" t="str">
        <f t="shared" si="293"/>
        <v>TERMINAL - SENTAJO2011</v>
      </c>
      <c r="B417" s="1373">
        <v>5</v>
      </c>
      <c r="C417" s="463" t="s">
        <v>1219</v>
      </c>
      <c r="D417" s="464" t="s">
        <v>2494</v>
      </c>
      <c r="E417" s="465"/>
      <c r="F417" s="466">
        <v>2011</v>
      </c>
      <c r="G417" s="620">
        <v>3557254334.12431</v>
      </c>
      <c r="H417" s="464">
        <f t="shared" si="294"/>
        <v>9</v>
      </c>
      <c r="I417" s="467"/>
      <c r="J417" s="468">
        <f t="shared" si="295"/>
        <v>2020</v>
      </c>
      <c r="K417" s="490">
        <f t="shared" si="296"/>
        <v>0.34433897296941252</v>
      </c>
      <c r="L417" s="469">
        <f t="shared" si="297"/>
        <v>5</v>
      </c>
      <c r="M417" s="683">
        <f t="shared" si="298"/>
        <v>1</v>
      </c>
      <c r="N417" s="470">
        <f t="shared" si="299"/>
        <v>10</v>
      </c>
      <c r="O417" s="468">
        <f t="shared" si="300"/>
        <v>2020</v>
      </c>
      <c r="P417" s="616">
        <f t="shared" si="301"/>
        <v>10330675913.470589</v>
      </c>
      <c r="Q417" s="472">
        <f t="shared" si="302"/>
        <v>13887930247.594898</v>
      </c>
      <c r="R417" s="472">
        <f t="shared" si="303"/>
        <v>1388793024.7594898</v>
      </c>
      <c r="S417" s="1189">
        <f t="shared" si="304"/>
        <v>2011</v>
      </c>
      <c r="T417" s="470">
        <f t="shared" si="305"/>
        <v>1</v>
      </c>
      <c r="U417" s="612">
        <f t="shared" si="306"/>
        <v>1388793024.7594898</v>
      </c>
      <c r="V417" s="464">
        <f t="shared" si="307"/>
        <v>2011</v>
      </c>
      <c r="W417" s="612">
        <f t="shared" si="308"/>
        <v>12499137222.835409</v>
      </c>
      <c r="X417" s="473"/>
      <c r="Y417" s="474"/>
      <c r="Z417" s="449"/>
      <c r="AA417" s="475"/>
      <c r="AB417" s="476"/>
      <c r="AC417" s="476"/>
      <c r="AD417" s="567"/>
      <c r="AE417" s="476"/>
      <c r="AF417" s="568"/>
      <c r="AG417" s="476"/>
      <c r="AH417" s="476"/>
      <c r="AI417" s="477"/>
      <c r="AJ417" s="478"/>
      <c r="AK417" s="479"/>
      <c r="AL417" s="480"/>
      <c r="AM417" s="474"/>
      <c r="AN417" s="481"/>
      <c r="AO417" s="474"/>
      <c r="AP417" s="476"/>
      <c r="AQ417" s="482"/>
      <c r="AR417" s="478"/>
      <c r="AS417" s="478"/>
      <c r="AT417" s="476"/>
      <c r="AU417" s="482"/>
      <c r="AV417" s="478"/>
      <c r="AW417" s="483"/>
      <c r="AX417" s="476"/>
      <c r="AY417" s="482"/>
      <c r="AZ417" s="478"/>
      <c r="BA417" s="484"/>
      <c r="BB417" s="474"/>
      <c r="BC417" s="485"/>
      <c r="BD417" s="485"/>
      <c r="BG417" s="487"/>
    </row>
    <row r="418" spans="1:59" s="486" customFormat="1" ht="18" customHeight="1" x14ac:dyDescent="0.2">
      <c r="A418" s="1368" t="str">
        <f t="shared" si="293"/>
        <v>TERMINAL - SENTAJO2012</v>
      </c>
      <c r="B418" s="1373"/>
      <c r="C418" s="463"/>
      <c r="D418" s="464"/>
      <c r="E418" s="465"/>
      <c r="F418" s="466">
        <v>2012</v>
      </c>
      <c r="G418" s="620">
        <v>0</v>
      </c>
      <c r="H418" s="464">
        <f t="shared" si="294"/>
        <v>9</v>
      </c>
      <c r="I418" s="467"/>
      <c r="J418" s="468">
        <f t="shared" si="295"/>
        <v>2020</v>
      </c>
      <c r="K418" s="490">
        <f t="shared" si="296"/>
        <v>0</v>
      </c>
      <c r="L418" s="469">
        <f t="shared" si="297"/>
        <v>0</v>
      </c>
      <c r="M418" s="683">
        <f t="shared" si="298"/>
        <v>0</v>
      </c>
      <c r="N418" s="470">
        <f t="shared" si="299"/>
        <v>9</v>
      </c>
      <c r="O418" s="468">
        <f t="shared" si="300"/>
        <v>2020</v>
      </c>
      <c r="P418" s="616">
        <f t="shared" si="301"/>
        <v>12499137222.835409</v>
      </c>
      <c r="Q418" s="472">
        <f t="shared" si="302"/>
        <v>12499137222.835409</v>
      </c>
      <c r="R418" s="472">
        <f t="shared" si="303"/>
        <v>1388793024.7594898</v>
      </c>
      <c r="S418" s="1189">
        <f t="shared" si="304"/>
        <v>2012</v>
      </c>
      <c r="T418" s="470">
        <f t="shared" si="305"/>
        <v>1</v>
      </c>
      <c r="U418" s="612">
        <f t="shared" si="306"/>
        <v>1388793024.7594898</v>
      </c>
      <c r="V418" s="464">
        <f t="shared" si="307"/>
        <v>2012</v>
      </c>
      <c r="W418" s="612">
        <f t="shared" si="308"/>
        <v>11110344198.07592</v>
      </c>
      <c r="X418" s="473"/>
      <c r="Y418" s="474"/>
      <c r="Z418" s="449"/>
      <c r="AA418" s="475"/>
      <c r="AB418" s="476"/>
      <c r="AC418" s="476"/>
      <c r="AD418" s="567"/>
      <c r="AE418" s="476"/>
      <c r="AF418" s="568"/>
      <c r="AG418" s="476"/>
      <c r="AH418" s="476"/>
      <c r="AI418" s="477"/>
      <c r="AJ418" s="478"/>
      <c r="AK418" s="479"/>
      <c r="AL418" s="480"/>
      <c r="AM418" s="474"/>
      <c r="AN418" s="481"/>
      <c r="AO418" s="474"/>
      <c r="AP418" s="476"/>
      <c r="AQ418" s="482"/>
      <c r="AR418" s="478"/>
      <c r="AS418" s="478"/>
      <c r="AT418" s="476"/>
      <c r="AU418" s="482"/>
      <c r="AV418" s="478"/>
      <c r="AW418" s="483"/>
      <c r="AX418" s="476"/>
      <c r="AY418" s="482"/>
      <c r="AZ418" s="478"/>
      <c r="BA418" s="484"/>
      <c r="BB418" s="474"/>
      <c r="BC418" s="485"/>
      <c r="BD418" s="485"/>
      <c r="BG418" s="487"/>
    </row>
    <row r="419" spans="1:59" s="486" customFormat="1" ht="18" customHeight="1" x14ac:dyDescent="0.2">
      <c r="A419" s="1368" t="str">
        <f t="shared" si="293"/>
        <v>TERMINAL - SENTAJO2013</v>
      </c>
      <c r="B419" s="1373">
        <v>6</v>
      </c>
      <c r="C419" s="463" t="s">
        <v>1274</v>
      </c>
      <c r="D419" s="464"/>
      <c r="E419" s="465"/>
      <c r="F419" s="466">
        <v>2013</v>
      </c>
      <c r="G419" s="620">
        <v>2219297579</v>
      </c>
      <c r="H419" s="464">
        <f t="shared" si="294"/>
        <v>8</v>
      </c>
      <c r="I419" s="467"/>
      <c r="J419" s="468">
        <f t="shared" si="295"/>
        <v>2022</v>
      </c>
      <c r="K419" s="490">
        <f t="shared" si="296"/>
        <v>0.19975056932838642</v>
      </c>
      <c r="L419" s="469">
        <f t="shared" si="297"/>
        <v>2</v>
      </c>
      <c r="M419" s="683">
        <f t="shared" si="298"/>
        <v>2</v>
      </c>
      <c r="N419" s="470">
        <f t="shared" si="299"/>
        <v>10</v>
      </c>
      <c r="O419" s="468">
        <f t="shared" si="300"/>
        <v>2022</v>
      </c>
      <c r="P419" s="616">
        <f t="shared" si="301"/>
        <v>11110344198.07592</v>
      </c>
      <c r="Q419" s="472">
        <f t="shared" si="302"/>
        <v>13329641777.07592</v>
      </c>
      <c r="R419" s="472">
        <f t="shared" si="303"/>
        <v>1332964177.707592</v>
      </c>
      <c r="S419" s="1189">
        <f t="shared" si="304"/>
        <v>2013</v>
      </c>
      <c r="T419" s="470">
        <f t="shared" si="305"/>
        <v>1</v>
      </c>
      <c r="U419" s="612">
        <f t="shared" si="306"/>
        <v>1332964177.707592</v>
      </c>
      <c r="V419" s="464">
        <f t="shared" si="307"/>
        <v>2013</v>
      </c>
      <c r="W419" s="612">
        <f t="shared" si="308"/>
        <v>11996677599.368328</v>
      </c>
      <c r="X419" s="473"/>
      <c r="Y419" s="474"/>
      <c r="Z419" s="449"/>
      <c r="AA419" s="475"/>
      <c r="AB419" s="476"/>
      <c r="AC419" s="476"/>
      <c r="AD419" s="567"/>
      <c r="AE419" s="476"/>
      <c r="AF419" s="568"/>
      <c r="AG419" s="476"/>
      <c r="AH419" s="476"/>
      <c r="AI419" s="477"/>
      <c r="AJ419" s="478"/>
      <c r="AK419" s="479"/>
      <c r="AL419" s="480"/>
      <c r="AM419" s="474"/>
      <c r="AN419" s="481"/>
      <c r="AO419" s="474"/>
      <c r="AP419" s="476"/>
      <c r="AQ419" s="482"/>
      <c r="AR419" s="478"/>
      <c r="AS419" s="478"/>
      <c r="AT419" s="476"/>
      <c r="AU419" s="482"/>
      <c r="AV419" s="478"/>
      <c r="AW419" s="483"/>
      <c r="AX419" s="476"/>
      <c r="AY419" s="482"/>
      <c r="AZ419" s="478"/>
      <c r="BA419" s="484"/>
      <c r="BB419" s="474"/>
      <c r="BC419" s="485"/>
      <c r="BD419" s="485"/>
      <c r="BG419" s="487"/>
    </row>
    <row r="420" spans="1:59" s="486" customFormat="1" ht="18" customHeight="1" x14ac:dyDescent="0.2">
      <c r="A420" s="1368" t="str">
        <f t="shared" si="293"/>
        <v>TERMINAL - SENTAJO2014</v>
      </c>
      <c r="B420" s="1373">
        <v>7</v>
      </c>
      <c r="C420" s="463" t="s">
        <v>1351</v>
      </c>
      <c r="D420" s="464" t="s">
        <v>2494</v>
      </c>
      <c r="E420" s="465"/>
      <c r="F420" s="466">
        <v>2014</v>
      </c>
      <c r="G420" s="620">
        <f>49779000+197436525</f>
        <v>247215525</v>
      </c>
      <c r="H420" s="464">
        <f t="shared" si="294"/>
        <v>9</v>
      </c>
      <c r="I420" s="467"/>
      <c r="J420" s="468">
        <f t="shared" si="295"/>
        <v>2023</v>
      </c>
      <c r="K420" s="490">
        <f t="shared" si="296"/>
        <v>2.0606999142247256E-2</v>
      </c>
      <c r="L420" s="469">
        <f t="shared" si="297"/>
        <v>2</v>
      </c>
      <c r="M420" s="683">
        <f t="shared" si="298"/>
        <v>1</v>
      </c>
      <c r="N420" s="470">
        <f t="shared" si="299"/>
        <v>10</v>
      </c>
      <c r="O420" s="468">
        <f t="shared" si="300"/>
        <v>2023</v>
      </c>
      <c r="P420" s="616">
        <f t="shared" si="301"/>
        <v>11996677599.368328</v>
      </c>
      <c r="Q420" s="472">
        <f t="shared" si="302"/>
        <v>12243893124.368328</v>
      </c>
      <c r="R420" s="472">
        <f t="shared" si="303"/>
        <v>1224389312.4368329</v>
      </c>
      <c r="S420" s="1189">
        <f t="shared" si="304"/>
        <v>2014</v>
      </c>
      <c r="T420" s="470">
        <f t="shared" si="305"/>
        <v>1</v>
      </c>
      <c r="U420" s="612">
        <f t="shared" si="306"/>
        <v>1224389312.4368329</v>
      </c>
      <c r="V420" s="464">
        <f t="shared" si="307"/>
        <v>2014</v>
      </c>
      <c r="W420" s="612">
        <f t="shared" si="308"/>
        <v>11019503811.931496</v>
      </c>
      <c r="X420" s="473"/>
      <c r="Y420" s="478"/>
      <c r="Z420" s="449"/>
      <c r="AA420" s="475" t="s">
        <v>4181</v>
      </c>
      <c r="AB420" s="491"/>
      <c r="AC420" s="491"/>
      <c r="AD420" s="567">
        <f>U429</f>
        <v>38250537422.658981</v>
      </c>
      <c r="AE420" s="491"/>
      <c r="AF420" s="568"/>
      <c r="AG420" s="491"/>
      <c r="AH420" s="491"/>
      <c r="AI420" s="477"/>
      <c r="AJ420" s="478"/>
      <c r="AK420" s="479"/>
      <c r="AL420" s="480"/>
      <c r="AM420" s="474"/>
      <c r="AN420" s="481"/>
      <c r="AO420" s="474"/>
      <c r="AP420" s="476"/>
      <c r="AQ420" s="482"/>
      <c r="AR420" s="478"/>
      <c r="AS420" s="478"/>
      <c r="AT420" s="476"/>
      <c r="AU420" s="482"/>
      <c r="AV420" s="478"/>
      <c r="AW420" s="483"/>
      <c r="AX420" s="476"/>
      <c r="AY420" s="482"/>
      <c r="AZ420" s="478"/>
      <c r="BA420" s="484"/>
      <c r="BB420" s="474"/>
      <c r="BC420" s="485"/>
      <c r="BD420" s="485"/>
      <c r="BG420" s="487"/>
    </row>
    <row r="421" spans="1:59" s="486" customFormat="1" ht="18" customHeight="1" x14ac:dyDescent="0.2">
      <c r="A421" s="1368" t="str">
        <f t="shared" si="293"/>
        <v>TERMINAL - SENTAJO2014</v>
      </c>
      <c r="B421" s="1373">
        <v>8</v>
      </c>
      <c r="C421" s="493" t="s">
        <v>1338</v>
      </c>
      <c r="D421" s="464"/>
      <c r="E421" s="465"/>
      <c r="F421" s="466">
        <v>2014</v>
      </c>
      <c r="G421" s="620">
        <v>0</v>
      </c>
      <c r="H421" s="464">
        <f t="shared" si="294"/>
        <v>10</v>
      </c>
      <c r="I421" s="467"/>
      <c r="J421" s="468">
        <f t="shared" si="295"/>
        <v>2023</v>
      </c>
      <c r="K421" s="490">
        <f t="shared" si="296"/>
        <v>0</v>
      </c>
      <c r="L421" s="469">
        <f t="shared" si="297"/>
        <v>0</v>
      </c>
      <c r="M421" s="683">
        <f t="shared" si="298"/>
        <v>0</v>
      </c>
      <c r="N421" s="470">
        <f t="shared" si="299"/>
        <v>10</v>
      </c>
      <c r="O421" s="468">
        <f t="shared" si="300"/>
        <v>2023</v>
      </c>
      <c r="P421" s="616">
        <f t="shared" si="301"/>
        <v>11019503811.931496</v>
      </c>
      <c r="Q421" s="472">
        <f t="shared" si="302"/>
        <v>11019503811.931496</v>
      </c>
      <c r="R421" s="472">
        <f t="shared" si="303"/>
        <v>1224389312.4368329</v>
      </c>
      <c r="S421" s="1189">
        <f t="shared" si="304"/>
        <v>2014</v>
      </c>
      <c r="T421" s="470">
        <f t="shared" si="305"/>
        <v>0</v>
      </c>
      <c r="U421" s="612">
        <f t="shared" si="306"/>
        <v>0</v>
      </c>
      <c r="V421" s="464">
        <f t="shared" si="307"/>
        <v>2014</v>
      </c>
      <c r="W421" s="612">
        <f t="shared" si="308"/>
        <v>11019503811.931496</v>
      </c>
      <c r="X421" s="473"/>
      <c r="Y421" s="478"/>
      <c r="Z421" s="449"/>
      <c r="AA421" s="475"/>
      <c r="AB421" s="491"/>
      <c r="AC421" s="491"/>
      <c r="AD421" s="567"/>
      <c r="AE421" s="491"/>
      <c r="AF421" s="568"/>
      <c r="AG421" s="491"/>
      <c r="AH421" s="491"/>
      <c r="AI421" s="477"/>
      <c r="AJ421" s="478"/>
      <c r="AK421" s="479"/>
      <c r="AL421" s="480"/>
      <c r="AM421" s="474"/>
      <c r="AN421" s="481"/>
      <c r="AO421" s="474"/>
      <c r="AP421" s="476"/>
      <c r="AQ421" s="482"/>
      <c r="AR421" s="478"/>
      <c r="AS421" s="478"/>
      <c r="AT421" s="476"/>
      <c r="AU421" s="482"/>
      <c r="AV421" s="478"/>
      <c r="AW421" s="483"/>
      <c r="AX421" s="476"/>
      <c r="AY421" s="482"/>
      <c r="AZ421" s="478"/>
      <c r="BA421" s="484"/>
      <c r="BB421" s="474"/>
      <c r="BC421" s="485"/>
      <c r="BD421" s="485"/>
      <c r="BG421" s="487"/>
    </row>
    <row r="422" spans="1:59" s="486" customFormat="1" ht="18" customHeight="1" x14ac:dyDescent="0.2">
      <c r="A422" s="1368" t="str">
        <f t="shared" si="293"/>
        <v>TERMINAL - SENTAJO2015</v>
      </c>
      <c r="B422" s="1373">
        <v>9</v>
      </c>
      <c r="C422" s="488" t="s">
        <v>1359</v>
      </c>
      <c r="D422" s="464" t="s">
        <v>2494</v>
      </c>
      <c r="E422" s="465"/>
      <c r="F422" s="466">
        <v>2015</v>
      </c>
      <c r="G422" s="620">
        <f>1038080204+194582579</f>
        <v>1232662783</v>
      </c>
      <c r="H422" s="464">
        <f t="shared" si="294"/>
        <v>9</v>
      </c>
      <c r="I422" s="467"/>
      <c r="J422" s="468">
        <f t="shared" si="295"/>
        <v>2024</v>
      </c>
      <c r="K422" s="490">
        <f t="shared" si="296"/>
        <v>0.11186191357049308</v>
      </c>
      <c r="L422" s="469">
        <f t="shared" si="297"/>
        <v>2</v>
      </c>
      <c r="M422" s="683">
        <f t="shared" si="298"/>
        <v>1</v>
      </c>
      <c r="N422" s="470">
        <f t="shared" si="299"/>
        <v>10</v>
      </c>
      <c r="O422" s="468">
        <f t="shared" si="300"/>
        <v>2024</v>
      </c>
      <c r="P422" s="616">
        <f t="shared" si="301"/>
        <v>11019503811.931496</v>
      </c>
      <c r="Q422" s="472">
        <f t="shared" si="302"/>
        <v>12252166594.931496</v>
      </c>
      <c r="R422" s="472">
        <f t="shared" si="303"/>
        <v>1225216659.4931495</v>
      </c>
      <c r="S422" s="1189">
        <f t="shared" si="304"/>
        <v>2015</v>
      </c>
      <c r="T422" s="470">
        <f t="shared" si="305"/>
        <v>1</v>
      </c>
      <c r="U422" s="612">
        <f t="shared" si="306"/>
        <v>1225216659.4931495</v>
      </c>
      <c r="V422" s="464">
        <f t="shared" si="307"/>
        <v>2015</v>
      </c>
      <c r="W422" s="612">
        <f t="shared" si="308"/>
        <v>11026949935.438347</v>
      </c>
      <c r="X422" s="473"/>
      <c r="Y422" s="478"/>
      <c r="Z422" s="449"/>
      <c r="AA422" s="492" t="s">
        <v>4182</v>
      </c>
      <c r="AB422" s="476"/>
      <c r="AC422" s="476"/>
      <c r="AD422" s="567">
        <f>AD411-AD420</f>
        <v>6126083297.4657516</v>
      </c>
      <c r="AE422" s="476"/>
      <c r="AF422" s="568"/>
      <c r="AG422" s="476"/>
      <c r="AH422" s="476"/>
      <c r="AI422" s="477"/>
      <c r="AJ422" s="478"/>
      <c r="AK422" s="479"/>
      <c r="AL422" s="480"/>
      <c r="AM422" s="474"/>
      <c r="AN422" s="481"/>
      <c r="AO422" s="474"/>
      <c r="AP422" s="476"/>
      <c r="AQ422" s="482"/>
      <c r="AR422" s="478"/>
      <c r="AS422" s="478"/>
      <c r="AT422" s="476"/>
      <c r="AU422" s="482"/>
      <c r="AV422" s="478"/>
      <c r="AW422" s="483"/>
      <c r="AX422" s="476"/>
      <c r="AY422" s="482"/>
      <c r="AZ422" s="478"/>
      <c r="BA422" s="484"/>
      <c r="BB422" s="474"/>
      <c r="BC422" s="485"/>
      <c r="BD422" s="485"/>
      <c r="BG422" s="487"/>
    </row>
    <row r="423" spans="1:59" s="486" customFormat="1" ht="18" customHeight="1" x14ac:dyDescent="0.2">
      <c r="A423" s="1368" t="str">
        <f t="shared" si="293"/>
        <v>TERMINAL - SENTAJO2015</v>
      </c>
      <c r="B423" s="1373">
        <v>10</v>
      </c>
      <c r="C423" s="463" t="s">
        <v>1396</v>
      </c>
      <c r="D423" s="464" t="s">
        <v>2494</v>
      </c>
      <c r="E423" s="465"/>
      <c r="F423" s="466">
        <v>2015</v>
      </c>
      <c r="G423" s="620">
        <v>0</v>
      </c>
      <c r="H423" s="464">
        <f t="shared" si="294"/>
        <v>10</v>
      </c>
      <c r="I423" s="467"/>
      <c r="J423" s="468">
        <f t="shared" si="295"/>
        <v>2024</v>
      </c>
      <c r="K423" s="490">
        <f t="shared" si="296"/>
        <v>0</v>
      </c>
      <c r="L423" s="469">
        <f t="shared" si="297"/>
        <v>0</v>
      </c>
      <c r="M423" s="683">
        <f t="shared" si="298"/>
        <v>0</v>
      </c>
      <c r="N423" s="470">
        <f t="shared" si="299"/>
        <v>10</v>
      </c>
      <c r="O423" s="468">
        <f t="shared" si="300"/>
        <v>2024</v>
      </c>
      <c r="P423" s="616">
        <f t="shared" si="301"/>
        <v>11026949935.438347</v>
      </c>
      <c r="Q423" s="472">
        <f t="shared" si="302"/>
        <v>11026949935.438347</v>
      </c>
      <c r="R423" s="472">
        <f t="shared" si="303"/>
        <v>1225216659.4931495</v>
      </c>
      <c r="S423" s="1189">
        <f t="shared" si="304"/>
        <v>2015</v>
      </c>
      <c r="T423" s="470">
        <f t="shared" si="305"/>
        <v>0</v>
      </c>
      <c r="U423" s="612">
        <f t="shared" si="306"/>
        <v>0</v>
      </c>
      <c r="V423" s="464">
        <f t="shared" si="307"/>
        <v>2015</v>
      </c>
      <c r="W423" s="612">
        <f t="shared" si="308"/>
        <v>11026949935.438347</v>
      </c>
      <c r="X423" s="473"/>
      <c r="Y423" s="478"/>
      <c r="Z423" s="449"/>
      <c r="AA423" s="531" t="s">
        <v>4183</v>
      </c>
      <c r="AB423" s="496"/>
      <c r="AC423" s="496"/>
      <c r="AD423" s="569">
        <f>AD422-W429</f>
        <v>0</v>
      </c>
      <c r="AE423" s="476"/>
      <c r="AF423" s="568"/>
      <c r="AG423" s="476"/>
      <c r="AH423" s="476"/>
      <c r="AI423" s="477"/>
      <c r="AJ423" s="478"/>
      <c r="AK423" s="479"/>
      <c r="AL423" s="480"/>
      <c r="AM423" s="474"/>
      <c r="AN423" s="481"/>
      <c r="AO423" s="474"/>
      <c r="AP423" s="476"/>
      <c r="AQ423" s="482"/>
      <c r="AR423" s="478"/>
      <c r="AS423" s="478"/>
      <c r="AT423" s="476"/>
      <c r="AU423" s="482"/>
      <c r="AV423" s="478"/>
      <c r="AW423" s="483"/>
      <c r="AX423" s="476"/>
      <c r="AY423" s="482"/>
      <c r="AZ423" s="478"/>
      <c r="BA423" s="484"/>
      <c r="BB423" s="474"/>
      <c r="BC423" s="485"/>
      <c r="BD423" s="485"/>
      <c r="BG423" s="487"/>
    </row>
    <row r="424" spans="1:59" s="486" customFormat="1" ht="18" customHeight="1" x14ac:dyDescent="0.2">
      <c r="A424" s="1368" t="str">
        <f t="shared" si="293"/>
        <v>TERMINAL - SENTAJO2016</v>
      </c>
      <c r="B424" s="687"/>
      <c r="C424" s="463"/>
      <c r="D424" s="464"/>
      <c r="E424" s="465"/>
      <c r="F424" s="466">
        <v>2016</v>
      </c>
      <c r="G424" s="620">
        <v>0</v>
      </c>
      <c r="H424" s="464">
        <f t="shared" si="294"/>
        <v>9</v>
      </c>
      <c r="I424" s="467"/>
      <c r="J424" s="468">
        <f t="shared" si="295"/>
        <v>2024</v>
      </c>
      <c r="K424" s="490">
        <f t="shared" si="296"/>
        <v>0</v>
      </c>
      <c r="L424" s="469">
        <f t="shared" si="297"/>
        <v>0</v>
      </c>
      <c r="M424" s="683">
        <f t="shared" si="298"/>
        <v>0</v>
      </c>
      <c r="N424" s="470">
        <f t="shared" si="299"/>
        <v>9</v>
      </c>
      <c r="O424" s="468">
        <f t="shared" si="300"/>
        <v>2024</v>
      </c>
      <c r="P424" s="616">
        <f t="shared" si="301"/>
        <v>11026949935.438347</v>
      </c>
      <c r="Q424" s="472">
        <f t="shared" si="302"/>
        <v>11026949935.438347</v>
      </c>
      <c r="R424" s="472">
        <f t="shared" si="303"/>
        <v>1225216659.4931495</v>
      </c>
      <c r="S424" s="1189">
        <f t="shared" si="304"/>
        <v>2016</v>
      </c>
      <c r="T424" s="470">
        <f t="shared" si="305"/>
        <v>1</v>
      </c>
      <c r="U424" s="612">
        <f t="shared" si="306"/>
        <v>1225216659.4931495</v>
      </c>
      <c r="V424" s="464">
        <f t="shared" si="307"/>
        <v>2016</v>
      </c>
      <c r="W424" s="612">
        <f t="shared" si="308"/>
        <v>9801733275.9451981</v>
      </c>
      <c r="X424" s="473"/>
      <c r="Y424" s="478"/>
      <c r="Z424" s="449"/>
      <c r="AA424" s="573"/>
      <c r="AB424" s="476"/>
      <c r="AC424" s="476"/>
      <c r="AD424" s="568"/>
      <c r="AE424" s="476"/>
      <c r="AF424" s="568"/>
      <c r="AG424" s="476"/>
      <c r="AH424" s="476"/>
      <c r="AI424" s="477"/>
      <c r="AJ424" s="478"/>
      <c r="AK424" s="479"/>
      <c r="AL424" s="480"/>
      <c r="AM424" s="474"/>
      <c r="AN424" s="481"/>
      <c r="AO424" s="474"/>
      <c r="AP424" s="476"/>
      <c r="AQ424" s="482"/>
      <c r="AR424" s="478"/>
      <c r="AS424" s="478"/>
      <c r="AT424" s="476"/>
      <c r="AU424" s="482"/>
      <c r="AV424" s="478"/>
      <c r="AW424" s="483"/>
      <c r="AX424" s="476"/>
      <c r="AY424" s="482"/>
      <c r="AZ424" s="478"/>
      <c r="BA424" s="484"/>
      <c r="BB424" s="474"/>
      <c r="BC424" s="485"/>
      <c r="BD424" s="485"/>
      <c r="BG424" s="487"/>
    </row>
    <row r="425" spans="1:59" s="486" customFormat="1" ht="18" customHeight="1" x14ac:dyDescent="0.2">
      <c r="A425" s="1368" t="str">
        <f t="shared" si="293"/>
        <v>TERMINAL - SENTAJO2017</v>
      </c>
      <c r="B425" s="687"/>
      <c r="C425" s="463"/>
      <c r="D425" s="464"/>
      <c r="E425" s="465"/>
      <c r="F425" s="466">
        <v>2017</v>
      </c>
      <c r="G425" s="620">
        <v>0</v>
      </c>
      <c r="H425" s="464">
        <f t="shared" si="294"/>
        <v>8</v>
      </c>
      <c r="I425" s="467"/>
      <c r="J425" s="468">
        <f t="shared" si="295"/>
        <v>2024</v>
      </c>
      <c r="K425" s="490">
        <f t="shared" si="296"/>
        <v>0</v>
      </c>
      <c r="L425" s="469">
        <f t="shared" si="297"/>
        <v>0</v>
      </c>
      <c r="M425" s="683">
        <f t="shared" si="298"/>
        <v>0</v>
      </c>
      <c r="N425" s="470">
        <f t="shared" si="299"/>
        <v>8</v>
      </c>
      <c r="O425" s="468">
        <f t="shared" si="300"/>
        <v>2024</v>
      </c>
      <c r="P425" s="616">
        <f t="shared" si="301"/>
        <v>9801733275.9451981</v>
      </c>
      <c r="Q425" s="472">
        <f t="shared" si="302"/>
        <v>9801733275.9451981</v>
      </c>
      <c r="R425" s="472">
        <f t="shared" si="303"/>
        <v>1225216659.4931495</v>
      </c>
      <c r="S425" s="1189">
        <f t="shared" si="304"/>
        <v>2017</v>
      </c>
      <c r="T425" s="470">
        <f t="shared" si="305"/>
        <v>1</v>
      </c>
      <c r="U425" s="612">
        <f t="shared" si="306"/>
        <v>1225216659.4931495</v>
      </c>
      <c r="V425" s="464">
        <f t="shared" si="307"/>
        <v>2017</v>
      </c>
      <c r="W425" s="612">
        <f t="shared" si="308"/>
        <v>8576516616.4520483</v>
      </c>
      <c r="X425" s="473"/>
      <c r="Y425" s="478"/>
      <c r="Z425" s="449"/>
      <c r="AA425" s="573"/>
      <c r="AB425" s="476"/>
      <c r="AC425" s="476"/>
      <c r="AD425" s="568"/>
      <c r="AE425" s="476"/>
      <c r="AF425" s="568"/>
      <c r="AG425" s="476"/>
      <c r="AH425" s="476"/>
      <c r="AI425" s="477"/>
      <c r="AJ425" s="478"/>
      <c r="AK425" s="479"/>
      <c r="AL425" s="480"/>
      <c r="AM425" s="474"/>
      <c r="AN425" s="481"/>
      <c r="AO425" s="474"/>
      <c r="AP425" s="476"/>
      <c r="AQ425" s="482"/>
      <c r="AR425" s="478"/>
      <c r="AS425" s="478"/>
      <c r="AT425" s="476"/>
      <c r="AU425" s="482"/>
      <c r="AV425" s="478"/>
      <c r="AW425" s="483"/>
      <c r="AX425" s="476"/>
      <c r="AY425" s="482"/>
      <c r="AZ425" s="478"/>
      <c r="BA425" s="484"/>
      <c r="BB425" s="474"/>
      <c r="BC425" s="485"/>
      <c r="BD425" s="485"/>
      <c r="BG425" s="487"/>
    </row>
    <row r="426" spans="1:59" s="486" customFormat="1" ht="18" customHeight="1" x14ac:dyDescent="0.2">
      <c r="A426" s="1368" t="str">
        <f t="shared" si="293"/>
        <v>TERMINAL - SENTAJO2018</v>
      </c>
      <c r="B426" s="687"/>
      <c r="C426" s="463"/>
      <c r="D426" s="464"/>
      <c r="E426" s="465"/>
      <c r="F426" s="466">
        <v>2018</v>
      </c>
      <c r="G426" s="620">
        <v>0</v>
      </c>
      <c r="H426" s="464">
        <f t="shared" si="294"/>
        <v>7</v>
      </c>
      <c r="I426" s="467"/>
      <c r="J426" s="468">
        <f t="shared" si="295"/>
        <v>2024</v>
      </c>
      <c r="K426" s="490">
        <f t="shared" si="296"/>
        <v>0</v>
      </c>
      <c r="L426" s="469">
        <f t="shared" si="297"/>
        <v>0</v>
      </c>
      <c r="M426" s="683">
        <f t="shared" si="298"/>
        <v>0</v>
      </c>
      <c r="N426" s="470">
        <f t="shared" si="299"/>
        <v>7</v>
      </c>
      <c r="O426" s="468">
        <f t="shared" si="300"/>
        <v>2024</v>
      </c>
      <c r="P426" s="616">
        <f t="shared" si="301"/>
        <v>8576516616.4520483</v>
      </c>
      <c r="Q426" s="472">
        <f t="shared" si="302"/>
        <v>8576516616.4520483</v>
      </c>
      <c r="R426" s="472">
        <f t="shared" si="303"/>
        <v>1225216659.4931495</v>
      </c>
      <c r="S426" s="1189">
        <f t="shared" si="304"/>
        <v>2018</v>
      </c>
      <c r="T426" s="470">
        <f t="shared" si="305"/>
        <v>1</v>
      </c>
      <c r="U426" s="612">
        <f t="shared" si="306"/>
        <v>1225216659.4931495</v>
      </c>
      <c r="V426" s="464">
        <f t="shared" si="307"/>
        <v>2018</v>
      </c>
      <c r="W426" s="612">
        <f t="shared" si="308"/>
        <v>7351299956.9588985</v>
      </c>
      <c r="X426" s="473"/>
      <c r="Y426" s="478"/>
      <c r="Z426" s="449"/>
      <c r="AA426" s="573"/>
      <c r="AB426" s="476"/>
      <c r="AC426" s="476"/>
      <c r="AD426" s="568"/>
      <c r="AE426" s="476"/>
      <c r="AF426" s="568"/>
      <c r="AG426" s="476"/>
      <c r="AH426" s="476"/>
      <c r="AI426" s="477"/>
      <c r="AJ426" s="478"/>
      <c r="AK426" s="479"/>
      <c r="AL426" s="480"/>
      <c r="AM426" s="474"/>
      <c r="AN426" s="481"/>
      <c r="AO426" s="474"/>
      <c r="AP426" s="476"/>
      <c r="AQ426" s="482"/>
      <c r="AR426" s="478"/>
      <c r="AS426" s="478"/>
      <c r="AT426" s="476"/>
      <c r="AU426" s="482"/>
      <c r="AV426" s="478"/>
      <c r="AW426" s="483"/>
      <c r="AX426" s="476"/>
      <c r="AY426" s="482"/>
      <c r="AZ426" s="478"/>
      <c r="BA426" s="484"/>
      <c r="BB426" s="474"/>
      <c r="BC426" s="485"/>
      <c r="BD426" s="485"/>
      <c r="BG426" s="487"/>
    </row>
    <row r="427" spans="1:59" s="486" customFormat="1" ht="18" customHeight="1" x14ac:dyDescent="0.2">
      <c r="A427" s="1368" t="str">
        <f t="shared" si="293"/>
        <v>TERMINAL - SENTAJO2019</v>
      </c>
      <c r="B427" s="687"/>
      <c r="C427" s="463"/>
      <c r="D427" s="464"/>
      <c r="E427" s="465"/>
      <c r="F427" s="466">
        <v>2019</v>
      </c>
      <c r="G427" s="620">
        <v>0</v>
      </c>
      <c r="H427" s="464">
        <f>IF(N426-(F427-F426)&lt;=0,0,(N426-(F427-F426)))</f>
        <v>6</v>
      </c>
      <c r="I427" s="467"/>
      <c r="J427" s="468">
        <f>(F427+N427)-1</f>
        <v>2024</v>
      </c>
      <c r="K427" s="490">
        <f>IF(G427=0,0,IF(H427=10,100%,G427/W426))</f>
        <v>0</v>
      </c>
      <c r="L427" s="469">
        <f>IF(K427=0%,0,IF(K427&lt;=30%,2,IF(K427&lt;=60%,5,10)))</f>
        <v>0</v>
      </c>
      <c r="M427" s="683">
        <f>IF(OR(AND(ISBLANK(E427),ISBLANK(G427)),ISTEXT(E427),ISTEXT(G427)),"",IF(H427+L427&gt;$H$8,$H$8-H427,L427))</f>
        <v>0</v>
      </c>
      <c r="N427" s="470">
        <f>IF(OR(AND(ISBLANK(F427),ISBLANK(G427)),ISTEXT(F427),ISTEXT(G427)),"",H427+M427)</f>
        <v>6</v>
      </c>
      <c r="O427" s="468">
        <f>(F427+N427)-1</f>
        <v>2024</v>
      </c>
      <c r="P427" s="616">
        <f>W426</f>
        <v>7351299956.9588985</v>
      </c>
      <c r="Q427" s="472">
        <f>P427+G427</f>
        <v>7351299956.9588985</v>
      </c>
      <c r="R427" s="472">
        <f>IF(L427=0,R426,Q427/N427)</f>
        <v>1225216659.4931495</v>
      </c>
      <c r="S427" s="1189">
        <f>F427</f>
        <v>2019</v>
      </c>
      <c r="T427" s="470">
        <f>S427-S426</f>
        <v>1</v>
      </c>
      <c r="U427" s="612">
        <f>R427*T427</f>
        <v>1225216659.4931495</v>
      </c>
      <c r="V427" s="464">
        <f>F427</f>
        <v>2019</v>
      </c>
      <c r="W427" s="612">
        <f>IF(OR(AND(ISBLANK(E427),ISBLANK(G427)),ISTEXT(E427),ISTEXT(G427)),"",Q427-U427)</f>
        <v>6126083297.4657488</v>
      </c>
      <c r="X427" s="473"/>
      <c r="Y427" s="478"/>
      <c r="Z427" s="449"/>
      <c r="AA427" s="573"/>
      <c r="AB427" s="476"/>
      <c r="AC427" s="476"/>
      <c r="AD427" s="568"/>
      <c r="AE427" s="476"/>
      <c r="AF427" s="568"/>
      <c r="AG427" s="476"/>
      <c r="AH427" s="476"/>
      <c r="AI427" s="477"/>
      <c r="AJ427" s="478"/>
      <c r="AK427" s="479"/>
      <c r="AL427" s="480"/>
      <c r="AM427" s="474"/>
      <c r="AN427" s="481"/>
      <c r="AO427" s="474"/>
      <c r="AP427" s="476"/>
      <c r="AQ427" s="482"/>
      <c r="AR427" s="478"/>
      <c r="AS427" s="478"/>
      <c r="AT427" s="476"/>
      <c r="AU427" s="482"/>
      <c r="AV427" s="478"/>
      <c r="AW427" s="483"/>
      <c r="AX427" s="476"/>
      <c r="AY427" s="482"/>
      <c r="AZ427" s="478"/>
      <c r="BA427" s="484"/>
      <c r="BB427" s="474"/>
      <c r="BC427" s="485"/>
      <c r="BD427" s="485"/>
      <c r="BG427" s="487"/>
    </row>
    <row r="428" spans="1:59" s="486" customFormat="1" ht="18" customHeight="1" x14ac:dyDescent="0.2">
      <c r="A428" s="1369"/>
      <c r="B428" s="687"/>
      <c r="C428" s="463"/>
      <c r="D428" s="464"/>
      <c r="E428" s="465"/>
      <c r="F428" s="634"/>
      <c r="G428" s="620"/>
      <c r="H428" s="469" t="str">
        <f>IF(OR(AND(ISBLANK(E428),ISBLANK(G428)),ISTEXT(E428),ISTEXT(G428)),"",IF(#REF!-(YEAR(E428)-YEAR(#REF!))&lt;0,0,#REF!-(YEAR(E428)-YEAR(#REF!))))</f>
        <v/>
      </c>
      <c r="I428" s="467" t="str">
        <f>IF(OR(AND(ISBLANK(E428),ISBLANK(G428)),ISTEXT(E428),ISTEXT(G428)),"",IF(#REF!-E428&lt;0,0,#REF!-E428))</f>
        <v/>
      </c>
      <c r="J428" s="498" t="str">
        <f>IF(OR(AND(ISBLANK(E428),ISBLANK(G428)),ISTEXT(E428),ISTEXT(G428)),"",#REF!)</f>
        <v/>
      </c>
      <c r="K428" s="498"/>
      <c r="L428" s="469" t="str">
        <f>IF(OR(AND(ISBLANK(E428),ISBLANK(G428)),ISTEXT(E428),ISTEXT(G428)),"",ROUNDDOWN(G428/SUM($G$57:G423)*$H$57,0))</f>
        <v/>
      </c>
      <c r="M428" s="683" t="str">
        <f>IF(OR(AND(ISBLANK(E428),ISBLANK(G428)),ISTEXT(E428),ISTEXT(G428)),"",IF(H428+L428&gt;$H$57,$H$57-H428,L428))</f>
        <v/>
      </c>
      <c r="N428" s="470" t="str">
        <f>IF(OR(AND(ISBLANK(E428),ISBLANK(G428)),ISTEXT(E428),ISTEXT(G428)),"",H428+M428)</f>
        <v/>
      </c>
      <c r="O428" s="498" t="str">
        <f>IF(OR(AND(ISBLANK(E428),ISBLANK(G428)),ISTEXT(E428),ISTEXT(G428)),"",DATE(YEAR($J428)+M428,MONTH($J428),DAY($J428)))</f>
        <v/>
      </c>
      <c r="P428" s="748" t="str">
        <f>IF(OR(AND(ISBLANK(E428),ISBLANK(G428)),ISTEXT(E428),ISTEXT(G428)),"",#REF!-#REF!*(IF(J428&lt;E428,J428,E428)-#REF!))</f>
        <v/>
      </c>
      <c r="Q428" s="500" t="str">
        <f>IF(OR(AND(ISBLANK(E428),ISBLANK(G428)),ISTEXT(E428),ISTEXT(G428)),"",P428+G428)</f>
        <v/>
      </c>
      <c r="R428" s="501" t="str">
        <f>IF(OR(AND(ISBLANK(E428),ISBLANK(G428)),ISTEXT(E428),ISTEXT(G428)),"",IF(OR(E428&lt;DATE(2004,12,31),#REF!=0),0,Q428/#REF!))</f>
        <v/>
      </c>
      <c r="S428" s="502" t="str">
        <f>IF(OR(AND(ISBLANK(E428),ISBLANK(G428)),ISTEXT(E428),ISTEXT(G428)),"",IF(YEAR(E428)&lt;=YEAR(#REF!),"-",YEAR(E428)-1))</f>
        <v/>
      </c>
      <c r="T428" s="502"/>
      <c r="U428" s="612" t="str">
        <f>IF(OR(AND(ISBLANK(E428),ISBLANK(G428)),ISTEXT(E428),ISTEXT(G428)),"",IF(AND(J428&lt;=DATE(2004,12,31),E428&gt;J428),SUM($G428:G428),#REF!+#REF!+#REF!*IF(YEAR(E428)&lt;=YEAR(#REF!),0,(IF(DATE(YEAR(E428)-1,12,31)&gt;J428,J428,DATE(YEAR(E428)-1,12,31))-#REF!))))</f>
        <v/>
      </c>
      <c r="V428" s="503" t="str">
        <f>IF(OR(AND(ISBLANK(E428),ISBLANK(G428)),ISTEXT(E428),ISTEXT(G428)),"",IF(YEAR(E428)=YEAR(E429),E429,DATE(YEAR(E428),12,31)))</f>
        <v/>
      </c>
      <c r="W428" s="612" t="str">
        <f>IF(OR(AND(ISBLANK(E428),ISBLANK(G428)),ISTEXT(E428),ISTEXT(G428)),"",IF(Q428=0,0,IF(AND(J428&lt;=DATE(2004,12,31),E428&gt;=J428),Q428-U428,Q428-#REF!)))</f>
        <v/>
      </c>
      <c r="X428" s="504" t="str">
        <f>IF(OR(AND(ISBLANK(E428),ISBLANK(G428)),ISTEXT(E428),ISTEXT(G428)),"",$D$57&amp;"//"&amp;TEXT($E$57,"dd-mmm-yyyy")&amp;"//"&amp;#REF!)</f>
        <v/>
      </c>
      <c r="Y428" s="476"/>
      <c r="Z428" s="476"/>
      <c r="AA428" s="476"/>
      <c r="AB428" s="476"/>
      <c r="AC428" s="476"/>
      <c r="AD428" s="568"/>
      <c r="AE428" s="476"/>
      <c r="AF428" s="568"/>
      <c r="AG428" s="476"/>
      <c r="AH428" s="476"/>
      <c r="AI428" s="477"/>
      <c r="AJ428" s="478"/>
      <c r="AK428" s="479"/>
      <c r="AL428" s="480"/>
      <c r="AM428" s="474"/>
      <c r="AN428" s="481"/>
      <c r="AO428" s="474"/>
      <c r="AP428" s="476"/>
      <c r="AQ428" s="482"/>
      <c r="AR428" s="478"/>
      <c r="AS428" s="478"/>
      <c r="AT428" s="476"/>
      <c r="AU428" s="482"/>
      <c r="AV428" s="478"/>
      <c r="AW428" s="483"/>
      <c r="AX428" s="476"/>
      <c r="AY428" s="482"/>
      <c r="AZ428" s="478"/>
      <c r="BA428" s="484"/>
      <c r="BB428" s="474"/>
      <c r="BC428" s="485"/>
      <c r="BD428" s="485"/>
      <c r="BG428" s="487"/>
    </row>
    <row r="429" spans="1:59" s="551" customFormat="1" ht="18" customHeight="1" x14ac:dyDescent="0.2">
      <c r="A429" s="1370" t="s">
        <v>4184</v>
      </c>
      <c r="B429" s="2039" t="s">
        <v>4184</v>
      </c>
      <c r="C429" s="2040"/>
      <c r="D429" s="2040"/>
      <c r="E429" s="2040"/>
      <c r="F429" s="2041"/>
      <c r="G429" s="625">
        <f>SUM(G410:G428)</f>
        <v>44376620720.124733</v>
      </c>
      <c r="H429" s="534"/>
      <c r="I429" s="535"/>
      <c r="J429" s="536"/>
      <c r="K429" s="536"/>
      <c r="L429" s="534"/>
      <c r="M429" s="706"/>
      <c r="N429" s="537"/>
      <c r="O429" s="536"/>
      <c r="P429" s="751"/>
      <c r="Q429" s="538"/>
      <c r="R429" s="539"/>
      <c r="S429" s="540"/>
      <c r="T429" s="540"/>
      <c r="U429" s="637">
        <f>SUM(U410:U428)</f>
        <v>38250537422.658981</v>
      </c>
      <c r="V429" s="541"/>
      <c r="W429" s="637">
        <f>G429-U429</f>
        <v>6126083297.4657516</v>
      </c>
      <c r="X429" s="635"/>
      <c r="Y429" s="426"/>
      <c r="Z429" s="426"/>
      <c r="AA429" s="426"/>
      <c r="AB429" s="426"/>
      <c r="AC429" s="426"/>
      <c r="AD429" s="564"/>
      <c r="AE429" s="426"/>
      <c r="AF429" s="564"/>
      <c r="AG429" s="426"/>
      <c r="AH429" s="426"/>
      <c r="AI429" s="542"/>
      <c r="AJ429" s="543"/>
      <c r="AK429" s="432"/>
      <c r="AL429" s="544"/>
      <c r="AM429" s="545"/>
      <c r="AN429" s="546"/>
      <c r="AO429" s="545"/>
      <c r="AP429" s="426"/>
      <c r="AQ429" s="547"/>
      <c r="AR429" s="543"/>
      <c r="AS429" s="543"/>
      <c r="AT429" s="426"/>
      <c r="AU429" s="547"/>
      <c r="AV429" s="543"/>
      <c r="AW429" s="548"/>
      <c r="AX429" s="426"/>
      <c r="AY429" s="547"/>
      <c r="AZ429" s="543"/>
      <c r="BA429" s="549"/>
      <c r="BB429" s="545"/>
      <c r="BC429" s="550"/>
      <c r="BD429" s="550"/>
      <c r="BG429" s="552"/>
    </row>
    <row r="430" spans="1:59" s="551" customFormat="1" ht="18" customHeight="1" x14ac:dyDescent="0.2">
      <c r="A430" s="1371"/>
      <c r="B430" s="575"/>
      <c r="C430" s="575"/>
      <c r="D430" s="575"/>
      <c r="E430" s="575"/>
      <c r="F430" s="575"/>
      <c r="G430" s="761"/>
      <c r="H430" s="576"/>
      <c r="I430" s="577"/>
      <c r="J430" s="578"/>
      <c r="K430" s="578"/>
      <c r="L430" s="576"/>
      <c r="M430" s="546"/>
      <c r="N430" s="579"/>
      <c r="O430" s="578"/>
      <c r="P430" s="752"/>
      <c r="Q430" s="580"/>
      <c r="R430" s="581"/>
      <c r="S430" s="582"/>
      <c r="T430" s="582"/>
      <c r="U430" s="564"/>
      <c r="V430" s="583"/>
      <c r="W430" s="564"/>
      <c r="X430" s="426"/>
      <c r="Y430" s="426"/>
      <c r="Z430" s="426"/>
      <c r="AA430" s="426"/>
      <c r="AB430" s="426"/>
      <c r="AC430" s="426"/>
      <c r="AD430" s="564"/>
      <c r="AE430" s="426"/>
      <c r="AF430" s="564"/>
      <c r="AG430" s="426"/>
      <c r="AH430" s="426"/>
      <c r="AI430" s="542"/>
      <c r="AJ430" s="543"/>
      <c r="AK430" s="432"/>
      <c r="AL430" s="544"/>
      <c r="AM430" s="545"/>
      <c r="AN430" s="546"/>
      <c r="AO430" s="545"/>
      <c r="AP430" s="426"/>
      <c r="AQ430" s="547"/>
      <c r="AR430" s="543"/>
      <c r="AS430" s="543"/>
      <c r="AT430" s="426"/>
      <c r="AU430" s="547"/>
      <c r="AV430" s="543"/>
      <c r="AW430" s="548"/>
      <c r="AX430" s="426"/>
      <c r="AY430" s="547"/>
      <c r="AZ430" s="543"/>
      <c r="BA430" s="549"/>
      <c r="BB430" s="545"/>
      <c r="BC430" s="550"/>
      <c r="BD430" s="550"/>
      <c r="BG430" s="552"/>
    </row>
    <row r="431" spans="1:59" s="551" customFormat="1" ht="18" customHeight="1" x14ac:dyDescent="0.2">
      <c r="A431" s="1371"/>
      <c r="B431" s="575"/>
      <c r="C431" s="575"/>
      <c r="D431" s="575"/>
      <c r="E431" s="575"/>
      <c r="F431" s="575"/>
      <c r="G431" s="761"/>
      <c r="H431" s="576"/>
      <c r="I431" s="577"/>
      <c r="J431" s="578"/>
      <c r="K431" s="578"/>
      <c r="L431" s="576"/>
      <c r="M431" s="546"/>
      <c r="N431" s="579"/>
      <c r="O431" s="578"/>
      <c r="P431" s="752"/>
      <c r="Q431" s="580"/>
      <c r="R431" s="581"/>
      <c r="S431" s="582"/>
      <c r="T431" s="582"/>
      <c r="U431" s="564"/>
      <c r="V431" s="583"/>
      <c r="W431" s="564"/>
      <c r="X431" s="426"/>
      <c r="Y431" s="426"/>
      <c r="Z431" s="426"/>
      <c r="AA431" s="426"/>
      <c r="AB431" s="426"/>
      <c r="AC431" s="426"/>
      <c r="AD431" s="564"/>
      <c r="AE431" s="426"/>
      <c r="AF431" s="564"/>
      <c r="AG431" s="426"/>
      <c r="AH431" s="426"/>
      <c r="AI431" s="542"/>
      <c r="AJ431" s="543"/>
      <c r="AK431" s="432"/>
      <c r="AL431" s="544"/>
      <c r="AM431" s="545"/>
      <c r="AN431" s="546"/>
      <c r="AO431" s="545"/>
      <c r="AP431" s="426"/>
      <c r="AQ431" s="547"/>
      <c r="AR431" s="543"/>
      <c r="AS431" s="543"/>
      <c r="AT431" s="426"/>
      <c r="AU431" s="547"/>
      <c r="AV431" s="543"/>
      <c r="AW431" s="548"/>
      <c r="AX431" s="426"/>
      <c r="AY431" s="547"/>
      <c r="AZ431" s="543"/>
      <c r="BA431" s="549"/>
      <c r="BB431" s="545"/>
      <c r="BC431" s="550"/>
      <c r="BD431" s="550"/>
      <c r="BG431" s="552"/>
    </row>
    <row r="432" spans="1:59" s="422" customFormat="1" ht="18" customHeight="1" x14ac:dyDescent="0.2">
      <c r="A432" s="1366">
        <f>C432</f>
        <v>53</v>
      </c>
      <c r="B432" s="742" t="s">
        <v>4187</v>
      </c>
      <c r="C432" s="556">
        <v>53</v>
      </c>
      <c r="D432" s="553" t="str">
        <f>VLOOKUP(C432,RUAS,2,FALSE)</f>
        <v>JL. PL. ARO - PL. ARO</v>
      </c>
      <c r="E432" s="553"/>
      <c r="F432" s="421"/>
      <c r="G432" s="611"/>
      <c r="I432" s="423"/>
      <c r="J432" s="424"/>
      <c r="K432" s="424"/>
      <c r="M432" s="680"/>
      <c r="P432" s="611"/>
      <c r="U432" s="611"/>
      <c r="W432" s="611"/>
      <c r="Y432" s="425"/>
      <c r="Z432" s="425"/>
      <c r="AA432" s="425"/>
      <c r="AB432" s="425"/>
      <c r="AC432" s="425"/>
      <c r="AD432" s="563"/>
      <c r="AE432" s="425"/>
      <c r="AF432" s="563"/>
      <c r="AG432" s="425"/>
      <c r="AH432" s="425"/>
      <c r="AI432" s="425"/>
      <c r="AJ432" s="425"/>
      <c r="AK432" s="425"/>
      <c r="AL432" s="425"/>
      <c r="AM432" s="425"/>
      <c r="AN432" s="425"/>
      <c r="AO432" s="425"/>
      <c r="AP432" s="425"/>
      <c r="AQ432" s="425"/>
      <c r="AR432" s="425"/>
      <c r="AS432" s="425"/>
      <c r="AT432" s="425"/>
      <c r="AU432" s="425"/>
      <c r="AV432" s="425"/>
      <c r="AW432" s="425"/>
      <c r="AX432" s="425"/>
      <c r="AY432" s="425"/>
      <c r="AZ432" s="425"/>
      <c r="BA432" s="425"/>
      <c r="BB432" s="425"/>
    </row>
    <row r="433" spans="1:59" s="431" customFormat="1" ht="18" customHeight="1" x14ac:dyDescent="0.2">
      <c r="A433" s="1367"/>
      <c r="B433" s="1968" t="s">
        <v>5</v>
      </c>
      <c r="C433" s="1968" t="s">
        <v>2280</v>
      </c>
      <c r="D433" s="1968" t="s">
        <v>4157</v>
      </c>
      <c r="E433" s="1968" t="s">
        <v>4158</v>
      </c>
      <c r="F433" s="1968"/>
      <c r="G433" s="2042" t="s">
        <v>4159</v>
      </c>
      <c r="H433" s="1968" t="s">
        <v>4160</v>
      </c>
      <c r="I433" s="1968"/>
      <c r="J433" s="1968" t="s">
        <v>4185</v>
      </c>
      <c r="K433" s="1964" t="s">
        <v>4162</v>
      </c>
      <c r="L433" s="1968" t="s">
        <v>4163</v>
      </c>
      <c r="M433" s="1971" t="s">
        <v>4164</v>
      </c>
      <c r="N433" s="1962" t="s">
        <v>4165</v>
      </c>
      <c r="O433" s="1968" t="s">
        <v>4166</v>
      </c>
      <c r="P433" s="1972" t="s">
        <v>4167</v>
      </c>
      <c r="Q433" s="1973"/>
      <c r="R433" s="1195" t="s">
        <v>4186</v>
      </c>
      <c r="S433" s="1972" t="s">
        <v>4169</v>
      </c>
      <c r="T433" s="1974"/>
      <c r="U433" s="1973"/>
      <c r="V433" s="1975" t="s">
        <v>4170</v>
      </c>
      <c r="W433" s="1975"/>
      <c r="X433" s="1960" t="s">
        <v>4171</v>
      </c>
      <c r="Y433" s="1959"/>
      <c r="Z433" s="1191"/>
      <c r="AA433" s="426"/>
      <c r="AB433" s="426"/>
      <c r="AC433" s="426"/>
      <c r="AD433" s="564"/>
      <c r="AE433" s="426"/>
      <c r="AF433" s="564"/>
      <c r="AG433" s="426"/>
      <c r="AH433" s="426"/>
      <c r="AI433" s="427"/>
      <c r="AJ433" s="427"/>
      <c r="AK433" s="427"/>
      <c r="AL433" s="427"/>
      <c r="AM433" s="428"/>
      <c r="AN433" s="427"/>
      <c r="AO433" s="427"/>
      <c r="AP433" s="426"/>
      <c r="AQ433" s="427"/>
      <c r="AR433" s="427"/>
      <c r="AS433" s="427"/>
      <c r="AT433" s="426"/>
      <c r="AU433" s="427"/>
      <c r="AV433" s="427"/>
      <c r="AW433" s="427"/>
      <c r="AX433" s="426"/>
      <c r="AY433" s="427"/>
      <c r="AZ433" s="427"/>
      <c r="BA433" s="427"/>
      <c r="BB433" s="429"/>
      <c r="BC433" s="430"/>
      <c r="BD433" s="430"/>
    </row>
    <row r="434" spans="1:59" s="431" customFormat="1" ht="18" customHeight="1" x14ac:dyDescent="0.2">
      <c r="A434" s="1367"/>
      <c r="B434" s="1968"/>
      <c r="C434" s="1968"/>
      <c r="D434" s="1968"/>
      <c r="E434" s="1968"/>
      <c r="F434" s="1968"/>
      <c r="G434" s="2042"/>
      <c r="H434" s="1968"/>
      <c r="I434" s="1968"/>
      <c r="J434" s="1968"/>
      <c r="K434" s="1970"/>
      <c r="L434" s="1968"/>
      <c r="M434" s="1971"/>
      <c r="N434" s="1963"/>
      <c r="O434" s="1968"/>
      <c r="P434" s="2037" t="s">
        <v>4172</v>
      </c>
      <c r="Q434" s="1960" t="s">
        <v>4173</v>
      </c>
      <c r="R434" s="1962" t="s">
        <v>4159</v>
      </c>
      <c r="S434" s="1962" t="s">
        <v>4174</v>
      </c>
      <c r="T434" s="1964" t="s">
        <v>4175</v>
      </c>
      <c r="U434" s="1966" t="s">
        <v>4159</v>
      </c>
      <c r="V434" s="1975"/>
      <c r="W434" s="1975"/>
      <c r="X434" s="1976"/>
      <c r="Y434" s="1959"/>
      <c r="Z434" s="1191"/>
      <c r="AA434" s="426"/>
      <c r="AB434" s="426"/>
      <c r="AC434" s="426"/>
      <c r="AD434" s="564"/>
      <c r="AE434" s="426"/>
      <c r="AF434" s="564"/>
      <c r="AG434" s="426"/>
      <c r="AH434" s="426"/>
      <c r="AI434" s="427"/>
      <c r="AJ434" s="427"/>
      <c r="AK434" s="426"/>
      <c r="AL434" s="427"/>
      <c r="AM434" s="428"/>
      <c r="AN434" s="427"/>
      <c r="AO434" s="427"/>
      <c r="AP434" s="432"/>
      <c r="AQ434" s="427"/>
      <c r="AR434" s="427"/>
      <c r="AS434" s="427"/>
      <c r="AT434" s="432"/>
      <c r="AU434" s="427"/>
      <c r="AV434" s="427"/>
      <c r="AW434" s="427"/>
      <c r="AX434" s="432"/>
      <c r="AY434" s="427"/>
      <c r="AZ434" s="427"/>
      <c r="BA434" s="427"/>
      <c r="BB434" s="429"/>
      <c r="BC434" s="430"/>
      <c r="BD434" s="430"/>
    </row>
    <row r="435" spans="1:59" s="431" customFormat="1" ht="18" customHeight="1" x14ac:dyDescent="0.2">
      <c r="A435" s="1367"/>
      <c r="B435" s="1968"/>
      <c r="C435" s="1968"/>
      <c r="D435" s="1968"/>
      <c r="E435" s="433" t="s">
        <v>4176</v>
      </c>
      <c r="F435" s="434" t="s">
        <v>2288</v>
      </c>
      <c r="G435" s="2042"/>
      <c r="H435" s="1192" t="s">
        <v>2288</v>
      </c>
      <c r="I435" s="1192" t="s">
        <v>4177</v>
      </c>
      <c r="J435" s="1968"/>
      <c r="K435" s="1965"/>
      <c r="L435" s="435" t="s">
        <v>2288</v>
      </c>
      <c r="M435" s="681" t="s">
        <v>2288</v>
      </c>
      <c r="N435" s="1192" t="s">
        <v>2288</v>
      </c>
      <c r="O435" s="1968"/>
      <c r="P435" s="2038"/>
      <c r="Q435" s="1961"/>
      <c r="R435" s="1963"/>
      <c r="S435" s="1963"/>
      <c r="T435" s="1965"/>
      <c r="U435" s="1967"/>
      <c r="V435" s="1192" t="s">
        <v>4178</v>
      </c>
      <c r="W435" s="1193" t="s">
        <v>4159</v>
      </c>
      <c r="X435" s="1961"/>
      <c r="Y435" s="436"/>
      <c r="Z435" s="436"/>
      <c r="AA435" s="426"/>
      <c r="AB435" s="426"/>
      <c r="AC435" s="426"/>
      <c r="AD435" s="564"/>
      <c r="AE435" s="426"/>
      <c r="AF435" s="564"/>
      <c r="AG435" s="426"/>
      <c r="AH435" s="426"/>
      <c r="AI435" s="427"/>
      <c r="AJ435" s="432"/>
      <c r="AK435" s="432"/>
      <c r="AL435" s="427"/>
      <c r="AM435" s="428"/>
      <c r="AN435" s="432"/>
      <c r="AO435" s="427"/>
      <c r="AP435" s="432"/>
      <c r="AQ435" s="432"/>
      <c r="AR435" s="427"/>
      <c r="AS435" s="427"/>
      <c r="AT435" s="432"/>
      <c r="AU435" s="432"/>
      <c r="AV435" s="427"/>
      <c r="AW435" s="427"/>
      <c r="AX435" s="432"/>
      <c r="AY435" s="432"/>
      <c r="AZ435" s="427"/>
      <c r="BA435" s="427"/>
      <c r="BB435" s="429"/>
      <c r="BC435" s="430"/>
      <c r="BD435" s="430"/>
    </row>
    <row r="436" spans="1:59" s="461" customFormat="1" ht="18" customHeight="1" x14ac:dyDescent="0.2">
      <c r="A436" s="1368" t="str">
        <f>$D$432&amp;S436</f>
        <v>JL. PL. ARO - PL. ARO2001</v>
      </c>
      <c r="B436" s="1373">
        <v>1</v>
      </c>
      <c r="C436" s="532" t="s">
        <v>529</v>
      </c>
      <c r="D436" s="437" t="s">
        <v>2494</v>
      </c>
      <c r="E436" s="438"/>
      <c r="F436" s="439">
        <v>2001</v>
      </c>
      <c r="G436" s="623">
        <v>2856000000</v>
      </c>
      <c r="H436" s="440">
        <f>VLOOKUP(LEFT(D436,8),UE,4)</f>
        <v>10</v>
      </c>
      <c r="I436" s="441"/>
      <c r="J436" s="442">
        <f t="shared" ref="J436:J446" si="309">(F436+N436)-1</f>
        <v>2010</v>
      </c>
      <c r="K436" s="443"/>
      <c r="L436" s="440"/>
      <c r="M436" s="746">
        <f>IF(H436+L436&gt;$H436,$H436-H436,L436)</f>
        <v>0</v>
      </c>
      <c r="N436" s="444">
        <f>H436+M436</f>
        <v>10</v>
      </c>
      <c r="O436" s="442">
        <f t="shared" ref="O436:O446" si="310">(F436+N436)-1</f>
        <v>2010</v>
      </c>
      <c r="P436" s="617">
        <f>G436</f>
        <v>2856000000</v>
      </c>
      <c r="Q436" s="445">
        <v>0</v>
      </c>
      <c r="R436" s="445">
        <f>P436/N436</f>
        <v>285600000</v>
      </c>
      <c r="S436" s="446">
        <f t="shared" ref="S436:S446" si="311">F436</f>
        <v>2001</v>
      </c>
      <c r="T436" s="447">
        <v>1</v>
      </c>
      <c r="U436" s="613">
        <f t="shared" ref="U436:U446" si="312">R436*T436</f>
        <v>285600000</v>
      </c>
      <c r="V436" s="442">
        <f t="shared" ref="V436:V446" si="313">F436</f>
        <v>2001</v>
      </c>
      <c r="W436" s="617">
        <f>IF(OR(AND(ISBLANK(E436),ISBLANK(G436)),ISTEXT(E436),ISTEXT(G436)),"",G436-R436)</f>
        <v>2570400000</v>
      </c>
      <c r="X436" s="448"/>
      <c r="Y436" s="449"/>
      <c r="Z436" s="449"/>
      <c r="AA436" s="450" t="s">
        <v>4179</v>
      </c>
      <c r="AB436" s="451"/>
      <c r="AC436" s="451"/>
      <c r="AD436" s="565"/>
      <c r="AE436" s="452"/>
      <c r="AF436" s="571"/>
      <c r="AG436" s="452"/>
      <c r="AH436" s="452"/>
      <c r="AI436" s="453"/>
      <c r="AJ436" s="449"/>
      <c r="AK436" s="453"/>
      <c r="AL436" s="454"/>
      <c r="AM436" s="455"/>
      <c r="AN436" s="456"/>
      <c r="AO436" s="455"/>
      <c r="AP436" s="452"/>
      <c r="AQ436" s="457"/>
      <c r="AR436" s="449"/>
      <c r="AS436" s="449"/>
      <c r="AT436" s="452"/>
      <c r="AU436" s="457"/>
      <c r="AV436" s="449"/>
      <c r="AW436" s="458"/>
      <c r="AX436" s="452"/>
      <c r="AY436" s="457"/>
      <c r="AZ436" s="449"/>
      <c r="BA436" s="459"/>
      <c r="BB436" s="455"/>
      <c r="BC436" s="460"/>
      <c r="BD436" s="460"/>
      <c r="BG436" s="462"/>
    </row>
    <row r="437" spans="1:59" s="486" customFormat="1" ht="18" customHeight="1" x14ac:dyDescent="0.2">
      <c r="A437" s="1368" t="str">
        <f t="shared" ref="A437:A446" si="314">$D$432&amp;S437</f>
        <v>JL. PL. ARO - PL. ARO2010</v>
      </c>
      <c r="B437" s="1373"/>
      <c r="C437" s="463"/>
      <c r="D437" s="464"/>
      <c r="E437" s="465"/>
      <c r="F437" s="466">
        <v>2010</v>
      </c>
      <c r="G437" s="620">
        <v>0</v>
      </c>
      <c r="H437" s="464">
        <f t="shared" ref="H437:H445" si="315">IF(N436-(F437-F436)&lt;=0,0,(N436-(F437-F436)))</f>
        <v>1</v>
      </c>
      <c r="I437" s="467"/>
      <c r="J437" s="468">
        <f t="shared" si="309"/>
        <v>2010</v>
      </c>
      <c r="K437" s="490">
        <f t="shared" ref="K437:K446" si="316">IF(G437=0,0,IF(H437=10,100%,G437/W436))</f>
        <v>0</v>
      </c>
      <c r="L437" s="469">
        <f t="shared" ref="L437:L446" si="317">IF(K437=0%,0,IF(K437&lt;=30%,2,IF(K437&lt;=60%,5,10)))</f>
        <v>0</v>
      </c>
      <c r="M437" s="683">
        <f t="shared" ref="M437:M446" si="318">IF(OR(AND(ISBLANK(E437),ISBLANK(G437)),ISTEXT(E437),ISTEXT(G437)),"",IF(H437+L437&gt;$H$8,$H$8-H437,L437))</f>
        <v>0</v>
      </c>
      <c r="N437" s="470">
        <f t="shared" ref="N437:N446" si="319">IF(OR(AND(ISBLANK(F437),ISBLANK(G437)),ISTEXT(F437),ISTEXT(G437)),"",H437+M437)</f>
        <v>1</v>
      </c>
      <c r="O437" s="468">
        <f t="shared" si="310"/>
        <v>2010</v>
      </c>
      <c r="P437" s="616">
        <f t="shared" ref="P437:P446" si="320">W436</f>
        <v>2570400000</v>
      </c>
      <c r="Q437" s="472">
        <f t="shared" ref="Q437:Q446" si="321">P437+G437</f>
        <v>2570400000</v>
      </c>
      <c r="R437" s="472">
        <f>IF(L437=0,R436,Q437/N437)</f>
        <v>285600000</v>
      </c>
      <c r="S437" s="1189">
        <f t="shared" si="311"/>
        <v>2010</v>
      </c>
      <c r="T437" s="470">
        <f t="shared" ref="T437:T446" si="322">S437-S436</f>
        <v>9</v>
      </c>
      <c r="U437" s="612">
        <f t="shared" si="312"/>
        <v>2570400000</v>
      </c>
      <c r="V437" s="464">
        <f t="shared" si="313"/>
        <v>2010</v>
      </c>
      <c r="W437" s="612">
        <f t="shared" ref="W437:W446" si="323">IF(OR(AND(ISBLANK(E437),ISBLANK(G437)),ISTEXT(E437),ISTEXT(G437)),"",Q437-U437)</f>
        <v>0</v>
      </c>
      <c r="X437" s="473"/>
      <c r="Y437" s="474"/>
      <c r="Z437" s="449"/>
      <c r="AA437" s="475" t="s">
        <v>4180</v>
      </c>
      <c r="AB437" s="476"/>
      <c r="AC437" s="476"/>
      <c r="AD437" s="567">
        <f>G448</f>
        <v>4866808564</v>
      </c>
      <c r="AE437" s="476"/>
      <c r="AF437" s="568"/>
      <c r="AG437" s="476"/>
      <c r="AH437" s="476"/>
      <c r="AI437" s="477"/>
      <c r="AJ437" s="478"/>
      <c r="AK437" s="479"/>
      <c r="AL437" s="480"/>
      <c r="AM437" s="474"/>
      <c r="AN437" s="481"/>
      <c r="AO437" s="474"/>
      <c r="AP437" s="476"/>
      <c r="AQ437" s="482"/>
      <c r="AR437" s="478"/>
      <c r="AS437" s="478"/>
      <c r="AT437" s="476"/>
      <c r="AU437" s="482"/>
      <c r="AV437" s="478"/>
      <c r="AW437" s="483"/>
      <c r="AX437" s="476"/>
      <c r="AY437" s="482"/>
      <c r="AZ437" s="478"/>
      <c r="BA437" s="484"/>
      <c r="BB437" s="474"/>
      <c r="BC437" s="485"/>
      <c r="BD437" s="485"/>
      <c r="BG437" s="487"/>
    </row>
    <row r="438" spans="1:59" s="486" customFormat="1" ht="18" customHeight="1" x14ac:dyDescent="0.2">
      <c r="A438" s="1368" t="str">
        <f t="shared" si="314"/>
        <v>JL. PL. ARO - PL. ARO2011</v>
      </c>
      <c r="B438" s="1373"/>
      <c r="C438" s="463"/>
      <c r="D438" s="464"/>
      <c r="E438" s="465"/>
      <c r="F438" s="466">
        <v>2011</v>
      </c>
      <c r="G438" s="620">
        <v>0</v>
      </c>
      <c r="H438" s="464">
        <f t="shared" si="315"/>
        <v>0</v>
      </c>
      <c r="I438" s="467"/>
      <c r="J438" s="468">
        <f t="shared" si="309"/>
        <v>2010</v>
      </c>
      <c r="K438" s="490">
        <f t="shared" si="316"/>
        <v>0</v>
      </c>
      <c r="L438" s="469">
        <f t="shared" si="317"/>
        <v>0</v>
      </c>
      <c r="M438" s="683">
        <f t="shared" si="318"/>
        <v>0</v>
      </c>
      <c r="N438" s="470">
        <f t="shared" si="319"/>
        <v>0</v>
      </c>
      <c r="O438" s="468">
        <f t="shared" si="310"/>
        <v>2010</v>
      </c>
      <c r="P438" s="616">
        <f t="shared" si="320"/>
        <v>0</v>
      </c>
      <c r="Q438" s="472">
        <f t="shared" si="321"/>
        <v>0</v>
      </c>
      <c r="R438" s="472">
        <v>0</v>
      </c>
      <c r="S438" s="1189">
        <f t="shared" si="311"/>
        <v>2011</v>
      </c>
      <c r="T438" s="470">
        <f t="shared" si="322"/>
        <v>1</v>
      </c>
      <c r="U438" s="612">
        <f t="shared" si="312"/>
        <v>0</v>
      </c>
      <c r="V438" s="464">
        <f t="shared" si="313"/>
        <v>2011</v>
      </c>
      <c r="W438" s="612">
        <f t="shared" si="323"/>
        <v>0</v>
      </c>
      <c r="X438" s="473"/>
      <c r="Y438" s="474"/>
      <c r="Z438" s="449"/>
      <c r="AA438" s="475"/>
      <c r="AB438" s="476"/>
      <c r="AC438" s="476"/>
      <c r="AD438" s="567"/>
      <c r="AE438" s="476"/>
      <c r="AF438" s="568"/>
      <c r="AG438" s="476"/>
      <c r="AH438" s="476"/>
      <c r="AI438" s="477"/>
      <c r="AJ438" s="478"/>
      <c r="AK438" s="479"/>
      <c r="AL438" s="480"/>
      <c r="AM438" s="474"/>
      <c r="AN438" s="481"/>
      <c r="AO438" s="474"/>
      <c r="AP438" s="476"/>
      <c r="AQ438" s="482"/>
      <c r="AR438" s="478"/>
      <c r="AS438" s="478"/>
      <c r="AT438" s="476"/>
      <c r="AU438" s="482"/>
      <c r="AV438" s="478"/>
      <c r="AW438" s="483"/>
      <c r="AX438" s="476"/>
      <c r="AY438" s="482"/>
      <c r="AZ438" s="478"/>
      <c r="BA438" s="484"/>
      <c r="BB438" s="474"/>
      <c r="BC438" s="485"/>
      <c r="BD438" s="485"/>
      <c r="BG438" s="487"/>
    </row>
    <row r="439" spans="1:59" s="486" customFormat="1" ht="18" customHeight="1" x14ac:dyDescent="0.2">
      <c r="A439" s="1368" t="str">
        <f t="shared" si="314"/>
        <v>JL. PL. ARO - PL. ARO2012</v>
      </c>
      <c r="B439" s="1373"/>
      <c r="C439" s="463"/>
      <c r="D439" s="464"/>
      <c r="E439" s="465"/>
      <c r="F439" s="466">
        <v>2012</v>
      </c>
      <c r="G439" s="620">
        <v>0</v>
      </c>
      <c r="H439" s="464">
        <f t="shared" si="315"/>
        <v>0</v>
      </c>
      <c r="I439" s="467"/>
      <c r="J439" s="468">
        <f t="shared" si="309"/>
        <v>2011</v>
      </c>
      <c r="K439" s="490">
        <f t="shared" si="316"/>
        <v>0</v>
      </c>
      <c r="L439" s="469">
        <f t="shared" si="317"/>
        <v>0</v>
      </c>
      <c r="M439" s="683">
        <f t="shared" si="318"/>
        <v>0</v>
      </c>
      <c r="N439" s="470">
        <f t="shared" si="319"/>
        <v>0</v>
      </c>
      <c r="O439" s="468">
        <f t="shared" si="310"/>
        <v>2011</v>
      </c>
      <c r="P439" s="616">
        <f t="shared" si="320"/>
        <v>0</v>
      </c>
      <c r="Q439" s="472">
        <f t="shared" si="321"/>
        <v>0</v>
      </c>
      <c r="R439" s="472">
        <f t="shared" ref="R439:R446" si="324">IF(L439=0,R438,Q439/N439)</f>
        <v>0</v>
      </c>
      <c r="S439" s="1189">
        <f t="shared" si="311"/>
        <v>2012</v>
      </c>
      <c r="T439" s="470">
        <f t="shared" si="322"/>
        <v>1</v>
      </c>
      <c r="U439" s="612">
        <f t="shared" si="312"/>
        <v>0</v>
      </c>
      <c r="V439" s="464">
        <f t="shared" si="313"/>
        <v>2012</v>
      </c>
      <c r="W439" s="612">
        <f t="shared" si="323"/>
        <v>0</v>
      </c>
      <c r="X439" s="473"/>
      <c r="Y439" s="474"/>
      <c r="Z439" s="449"/>
      <c r="AA439" s="475"/>
      <c r="AB439" s="476"/>
      <c r="AC439" s="476"/>
      <c r="AD439" s="567"/>
      <c r="AE439" s="476"/>
      <c r="AF439" s="568"/>
      <c r="AG439" s="476"/>
      <c r="AH439" s="476"/>
      <c r="AI439" s="477"/>
      <c r="AJ439" s="478"/>
      <c r="AK439" s="479"/>
      <c r="AL439" s="480"/>
      <c r="AM439" s="474"/>
      <c r="AN439" s="481"/>
      <c r="AO439" s="474"/>
      <c r="AP439" s="476"/>
      <c r="AQ439" s="482"/>
      <c r="AR439" s="478"/>
      <c r="AS439" s="478"/>
      <c r="AT439" s="476"/>
      <c r="AU439" s="482"/>
      <c r="AV439" s="478"/>
      <c r="AW439" s="483"/>
      <c r="AX439" s="476"/>
      <c r="AY439" s="482"/>
      <c r="AZ439" s="478"/>
      <c r="BA439" s="484"/>
      <c r="BB439" s="474"/>
      <c r="BC439" s="485"/>
      <c r="BD439" s="485"/>
      <c r="BG439" s="487"/>
    </row>
    <row r="440" spans="1:59" s="486" customFormat="1" ht="18" customHeight="1" x14ac:dyDescent="0.2">
      <c r="A440" s="1368" t="str">
        <f t="shared" si="314"/>
        <v>JL. PL. ARO - PL. ARO2013</v>
      </c>
      <c r="B440" s="1373"/>
      <c r="C440" s="463"/>
      <c r="D440" s="464"/>
      <c r="E440" s="465"/>
      <c r="F440" s="466">
        <v>2013</v>
      </c>
      <c r="G440" s="620">
        <v>0</v>
      </c>
      <c r="H440" s="464">
        <f t="shared" si="315"/>
        <v>0</v>
      </c>
      <c r="I440" s="467"/>
      <c r="J440" s="468">
        <f t="shared" si="309"/>
        <v>2012</v>
      </c>
      <c r="K440" s="490">
        <f t="shared" si="316"/>
        <v>0</v>
      </c>
      <c r="L440" s="469">
        <f t="shared" si="317"/>
        <v>0</v>
      </c>
      <c r="M440" s="683">
        <f t="shared" si="318"/>
        <v>0</v>
      </c>
      <c r="N440" s="470">
        <f t="shared" si="319"/>
        <v>0</v>
      </c>
      <c r="O440" s="468">
        <f t="shared" si="310"/>
        <v>2012</v>
      </c>
      <c r="P440" s="616">
        <f t="shared" si="320"/>
        <v>0</v>
      </c>
      <c r="Q440" s="472">
        <f t="shared" si="321"/>
        <v>0</v>
      </c>
      <c r="R440" s="472">
        <f t="shared" si="324"/>
        <v>0</v>
      </c>
      <c r="S440" s="1189">
        <f t="shared" si="311"/>
        <v>2013</v>
      </c>
      <c r="T440" s="470">
        <f t="shared" si="322"/>
        <v>1</v>
      </c>
      <c r="U440" s="612">
        <f t="shared" si="312"/>
        <v>0</v>
      </c>
      <c r="V440" s="464">
        <f t="shared" si="313"/>
        <v>2013</v>
      </c>
      <c r="W440" s="612">
        <f t="shared" si="323"/>
        <v>0</v>
      </c>
      <c r="X440" s="473"/>
      <c r="Y440" s="478"/>
      <c r="Z440" s="449"/>
      <c r="AA440" s="475" t="s">
        <v>4181</v>
      </c>
      <c r="AB440" s="491"/>
      <c r="AC440" s="491"/>
      <c r="AD440" s="567">
        <f>U448</f>
        <v>3486002502.8199997</v>
      </c>
      <c r="AE440" s="491"/>
      <c r="AF440" s="568"/>
      <c r="AG440" s="491"/>
      <c r="AH440" s="491"/>
      <c r="AI440" s="477"/>
      <c r="AJ440" s="478"/>
      <c r="AK440" s="479"/>
      <c r="AL440" s="480"/>
      <c r="AM440" s="474"/>
      <c r="AN440" s="481"/>
      <c r="AO440" s="474"/>
      <c r="AP440" s="476"/>
      <c r="AQ440" s="482"/>
      <c r="AR440" s="478"/>
      <c r="AS440" s="478"/>
      <c r="AT440" s="476"/>
      <c r="AU440" s="482"/>
      <c r="AV440" s="478"/>
      <c r="AW440" s="483"/>
      <c r="AX440" s="476"/>
      <c r="AY440" s="482"/>
      <c r="AZ440" s="478"/>
      <c r="BA440" s="484"/>
      <c r="BB440" s="474"/>
      <c r="BC440" s="485"/>
      <c r="BD440" s="485"/>
      <c r="BG440" s="487"/>
    </row>
    <row r="441" spans="1:59" s="486" customFormat="1" ht="18" customHeight="1" x14ac:dyDescent="0.2">
      <c r="A441" s="1368" t="str">
        <f t="shared" si="314"/>
        <v>JL. PL. ARO - PL. ARO2014</v>
      </c>
      <c r="B441" s="1373"/>
      <c r="C441" s="493"/>
      <c r="D441" s="464"/>
      <c r="E441" s="465"/>
      <c r="F441" s="466">
        <v>2014</v>
      </c>
      <c r="G441" s="620">
        <v>0</v>
      </c>
      <c r="H441" s="464">
        <f t="shared" si="315"/>
        <v>0</v>
      </c>
      <c r="I441" s="467"/>
      <c r="J441" s="468">
        <f t="shared" si="309"/>
        <v>2013</v>
      </c>
      <c r="K441" s="490">
        <f t="shared" si="316"/>
        <v>0</v>
      </c>
      <c r="L441" s="469">
        <f t="shared" si="317"/>
        <v>0</v>
      </c>
      <c r="M441" s="683">
        <f t="shared" si="318"/>
        <v>0</v>
      </c>
      <c r="N441" s="470">
        <f t="shared" si="319"/>
        <v>0</v>
      </c>
      <c r="O441" s="468">
        <f t="shared" si="310"/>
        <v>2013</v>
      </c>
      <c r="P441" s="616">
        <f t="shared" si="320"/>
        <v>0</v>
      </c>
      <c r="Q441" s="472">
        <f t="shared" si="321"/>
        <v>0</v>
      </c>
      <c r="R441" s="472">
        <f t="shared" si="324"/>
        <v>0</v>
      </c>
      <c r="S441" s="1189">
        <f t="shared" si="311"/>
        <v>2014</v>
      </c>
      <c r="T441" s="470">
        <f t="shared" si="322"/>
        <v>1</v>
      </c>
      <c r="U441" s="612">
        <f t="shared" si="312"/>
        <v>0</v>
      </c>
      <c r="V441" s="464">
        <f t="shared" si="313"/>
        <v>2014</v>
      </c>
      <c r="W441" s="612">
        <f t="shared" si="323"/>
        <v>0</v>
      </c>
      <c r="X441" s="473"/>
      <c r="Y441" s="478"/>
      <c r="Z441" s="449"/>
      <c r="AA441" s="475"/>
      <c r="AB441" s="491"/>
      <c r="AC441" s="491"/>
      <c r="AD441" s="567"/>
      <c r="AE441" s="491"/>
      <c r="AF441" s="568"/>
      <c r="AG441" s="491"/>
      <c r="AH441" s="491"/>
      <c r="AI441" s="477"/>
      <c r="AJ441" s="478"/>
      <c r="AK441" s="479"/>
      <c r="AL441" s="480"/>
      <c r="AM441" s="474"/>
      <c r="AN441" s="481"/>
      <c r="AO441" s="474"/>
      <c r="AP441" s="476"/>
      <c r="AQ441" s="482"/>
      <c r="AR441" s="478"/>
      <c r="AS441" s="478"/>
      <c r="AT441" s="476"/>
      <c r="AU441" s="482"/>
      <c r="AV441" s="478"/>
      <c r="AW441" s="483"/>
      <c r="AX441" s="476"/>
      <c r="AY441" s="482"/>
      <c r="AZ441" s="478"/>
      <c r="BA441" s="484"/>
      <c r="BB441" s="474"/>
      <c r="BC441" s="485"/>
      <c r="BD441" s="485"/>
      <c r="BG441" s="487"/>
    </row>
    <row r="442" spans="1:59" s="486" customFormat="1" ht="18" customHeight="1" x14ac:dyDescent="0.2">
      <c r="A442" s="1368" t="str">
        <f t="shared" si="314"/>
        <v>JL. PL. ARO - PL. ARO2015</v>
      </c>
      <c r="B442" s="1373">
        <v>2</v>
      </c>
      <c r="C442" s="488" t="s">
        <v>1412</v>
      </c>
      <c r="D442" s="464" t="s">
        <v>2494</v>
      </c>
      <c r="E442" s="465"/>
      <c r="F442" s="466">
        <v>2015</v>
      </c>
      <c r="G442" s="620">
        <v>191142383</v>
      </c>
      <c r="H442" s="557">
        <f>VLOOKUP(LEFT(D442,8),UE,4)</f>
        <v>10</v>
      </c>
      <c r="I442" s="467"/>
      <c r="J442" s="468">
        <f t="shared" si="309"/>
        <v>2024</v>
      </c>
      <c r="K442" s="490">
        <f t="shared" si="316"/>
        <v>1</v>
      </c>
      <c r="L442" s="469">
        <f t="shared" si="317"/>
        <v>10</v>
      </c>
      <c r="M442" s="683">
        <f t="shared" si="318"/>
        <v>0</v>
      </c>
      <c r="N442" s="470">
        <f t="shared" si="319"/>
        <v>10</v>
      </c>
      <c r="O442" s="468">
        <f t="shared" si="310"/>
        <v>2024</v>
      </c>
      <c r="P442" s="616">
        <f t="shared" si="320"/>
        <v>0</v>
      </c>
      <c r="Q442" s="472">
        <f t="shared" si="321"/>
        <v>191142383</v>
      </c>
      <c r="R442" s="472">
        <f t="shared" si="324"/>
        <v>19114238.300000001</v>
      </c>
      <c r="S442" s="1189">
        <f t="shared" si="311"/>
        <v>2015</v>
      </c>
      <c r="T442" s="470">
        <f t="shared" si="322"/>
        <v>1</v>
      </c>
      <c r="U442" s="612">
        <f t="shared" si="312"/>
        <v>19114238.300000001</v>
      </c>
      <c r="V442" s="464">
        <f t="shared" si="313"/>
        <v>2015</v>
      </c>
      <c r="W442" s="612">
        <f t="shared" si="323"/>
        <v>172028144.69999999</v>
      </c>
      <c r="X442" s="473"/>
      <c r="Y442" s="478"/>
      <c r="Z442" s="449"/>
      <c r="AA442" s="492" t="s">
        <v>4182</v>
      </c>
      <c r="AB442" s="476"/>
      <c r="AC442" s="476"/>
      <c r="AD442" s="567">
        <f>AD437-AD440</f>
        <v>1380806061.1800003</v>
      </c>
      <c r="AE442" s="476"/>
      <c r="AF442" s="568"/>
      <c r="AG442" s="476"/>
      <c r="AH442" s="476"/>
      <c r="AI442" s="477"/>
      <c r="AJ442" s="478"/>
      <c r="AK442" s="479"/>
      <c r="AL442" s="480"/>
      <c r="AM442" s="474"/>
      <c r="AN442" s="481"/>
      <c r="AO442" s="474"/>
      <c r="AP442" s="476"/>
      <c r="AQ442" s="482"/>
      <c r="AR442" s="478"/>
      <c r="AS442" s="478"/>
      <c r="AT442" s="476"/>
      <c r="AU442" s="482"/>
      <c r="AV442" s="478"/>
      <c r="AW442" s="483"/>
      <c r="AX442" s="476"/>
      <c r="AY442" s="482"/>
      <c r="AZ442" s="478"/>
      <c r="BA442" s="484"/>
      <c r="BB442" s="474"/>
      <c r="BC442" s="485"/>
      <c r="BD442" s="485"/>
      <c r="BG442" s="487"/>
    </row>
    <row r="443" spans="1:59" s="486" customFormat="1" ht="18" customHeight="1" x14ac:dyDescent="0.2">
      <c r="A443" s="1368" t="str">
        <f t="shared" si="314"/>
        <v>JL. PL. ARO - PL. ARO2016</v>
      </c>
      <c r="B443" s="687"/>
      <c r="C443" s="463"/>
      <c r="D443" s="464"/>
      <c r="E443" s="465"/>
      <c r="F443" s="466">
        <v>2016</v>
      </c>
      <c r="G443" s="620">
        <v>0</v>
      </c>
      <c r="H443" s="464">
        <f t="shared" si="315"/>
        <v>9</v>
      </c>
      <c r="I443" s="467"/>
      <c r="J443" s="468">
        <f t="shared" si="309"/>
        <v>2024</v>
      </c>
      <c r="K443" s="490">
        <f t="shared" si="316"/>
        <v>0</v>
      </c>
      <c r="L443" s="469">
        <f t="shared" si="317"/>
        <v>0</v>
      </c>
      <c r="M443" s="683">
        <f t="shared" si="318"/>
        <v>0</v>
      </c>
      <c r="N443" s="470">
        <f t="shared" si="319"/>
        <v>9</v>
      </c>
      <c r="O443" s="468">
        <f t="shared" si="310"/>
        <v>2024</v>
      </c>
      <c r="P443" s="616">
        <f t="shared" si="320"/>
        <v>172028144.69999999</v>
      </c>
      <c r="Q443" s="472">
        <f t="shared" si="321"/>
        <v>172028144.69999999</v>
      </c>
      <c r="R443" s="472">
        <f t="shared" si="324"/>
        <v>19114238.300000001</v>
      </c>
      <c r="S443" s="1189">
        <f t="shared" si="311"/>
        <v>2016</v>
      </c>
      <c r="T443" s="470">
        <f t="shared" si="322"/>
        <v>1</v>
      </c>
      <c r="U443" s="612">
        <f t="shared" si="312"/>
        <v>19114238.300000001</v>
      </c>
      <c r="V443" s="464">
        <f t="shared" si="313"/>
        <v>2016</v>
      </c>
      <c r="W443" s="612">
        <f t="shared" si="323"/>
        <v>152913906.39999998</v>
      </c>
      <c r="X443" s="473"/>
      <c r="Y443" s="478"/>
      <c r="Z443" s="449"/>
      <c r="AA443" s="573"/>
      <c r="AB443" s="476"/>
      <c r="AC443" s="476"/>
      <c r="AD443" s="568"/>
      <c r="AE443" s="476"/>
      <c r="AF443" s="568"/>
      <c r="AG443" s="476"/>
      <c r="AH443" s="476"/>
      <c r="AI443" s="477"/>
      <c r="AJ443" s="478"/>
      <c r="AK443" s="479"/>
      <c r="AL443" s="480"/>
      <c r="AM443" s="474"/>
      <c r="AN443" s="481"/>
      <c r="AO443" s="474"/>
      <c r="AP443" s="476"/>
      <c r="AQ443" s="482"/>
      <c r="AR443" s="478"/>
      <c r="AS443" s="478"/>
      <c r="AT443" s="476"/>
      <c r="AU443" s="482"/>
      <c r="AV443" s="478"/>
      <c r="AW443" s="483"/>
      <c r="AX443" s="476"/>
      <c r="AY443" s="482"/>
      <c r="AZ443" s="478"/>
      <c r="BA443" s="484"/>
      <c r="BB443" s="474"/>
      <c r="BC443" s="485"/>
      <c r="BD443" s="485"/>
      <c r="BG443" s="487"/>
    </row>
    <row r="444" spans="1:59" s="486" customFormat="1" ht="18" customHeight="1" x14ac:dyDescent="0.2">
      <c r="A444" s="1368" t="str">
        <f t="shared" si="314"/>
        <v>JL. PL. ARO - PL. ARO2017</v>
      </c>
      <c r="B444" s="687">
        <v>3</v>
      </c>
      <c r="C444" s="463" t="s">
        <v>3073</v>
      </c>
      <c r="D444" s="464" t="s">
        <v>2494</v>
      </c>
      <c r="E444" s="465"/>
      <c r="F444" s="466">
        <v>2017</v>
      </c>
      <c r="G444" s="620">
        <v>1819666181</v>
      </c>
      <c r="H444" s="464">
        <f t="shared" si="315"/>
        <v>8</v>
      </c>
      <c r="I444" s="467"/>
      <c r="J444" s="468">
        <f t="shared" si="309"/>
        <v>2026</v>
      </c>
      <c r="K444" s="490">
        <f t="shared" si="316"/>
        <v>11.899939147719008</v>
      </c>
      <c r="L444" s="469">
        <f t="shared" si="317"/>
        <v>10</v>
      </c>
      <c r="M444" s="683">
        <f t="shared" si="318"/>
        <v>2</v>
      </c>
      <c r="N444" s="470">
        <f t="shared" si="319"/>
        <v>10</v>
      </c>
      <c r="O444" s="468">
        <f t="shared" si="310"/>
        <v>2026</v>
      </c>
      <c r="P444" s="616">
        <f t="shared" si="320"/>
        <v>152913906.39999998</v>
      </c>
      <c r="Q444" s="472">
        <f t="shared" si="321"/>
        <v>1972580087.4000001</v>
      </c>
      <c r="R444" s="472">
        <f t="shared" si="324"/>
        <v>197258008.74000001</v>
      </c>
      <c r="S444" s="1189">
        <f t="shared" si="311"/>
        <v>2017</v>
      </c>
      <c r="T444" s="470">
        <f t="shared" si="322"/>
        <v>1</v>
      </c>
      <c r="U444" s="612">
        <f t="shared" si="312"/>
        <v>197258008.74000001</v>
      </c>
      <c r="V444" s="464">
        <f t="shared" si="313"/>
        <v>2017</v>
      </c>
      <c r="W444" s="612">
        <f t="shared" si="323"/>
        <v>1775322078.6600001</v>
      </c>
      <c r="X444" s="473"/>
      <c r="Y444" s="478"/>
      <c r="Z444" s="449"/>
      <c r="AA444" s="573"/>
      <c r="AB444" s="476"/>
      <c r="AC444" s="476"/>
      <c r="AD444" s="568"/>
      <c r="AE444" s="476"/>
      <c r="AF444" s="568"/>
      <c r="AG444" s="476"/>
      <c r="AH444" s="476"/>
      <c r="AI444" s="477"/>
      <c r="AJ444" s="478"/>
      <c r="AK444" s="479"/>
      <c r="AL444" s="480"/>
      <c r="AM444" s="474"/>
      <c r="AN444" s="481"/>
      <c r="AO444" s="474"/>
      <c r="AP444" s="476"/>
      <c r="AQ444" s="482"/>
      <c r="AR444" s="478"/>
      <c r="AS444" s="478"/>
      <c r="AT444" s="476"/>
      <c r="AU444" s="482"/>
      <c r="AV444" s="478"/>
      <c r="AW444" s="483"/>
      <c r="AX444" s="476"/>
      <c r="AY444" s="482"/>
      <c r="AZ444" s="478"/>
      <c r="BA444" s="484"/>
      <c r="BB444" s="474"/>
      <c r="BC444" s="485"/>
      <c r="BD444" s="485"/>
      <c r="BG444" s="487"/>
    </row>
    <row r="445" spans="1:59" s="486" customFormat="1" ht="18" customHeight="1" x14ac:dyDescent="0.2">
      <c r="A445" s="1368" t="str">
        <f t="shared" si="314"/>
        <v>JL. PL. ARO - PL. ARO2018</v>
      </c>
      <c r="B445" s="687"/>
      <c r="C445" s="463"/>
      <c r="D445" s="464"/>
      <c r="E445" s="465"/>
      <c r="F445" s="466">
        <v>2018</v>
      </c>
      <c r="G445" s="620">
        <v>0</v>
      </c>
      <c r="H445" s="464">
        <f t="shared" si="315"/>
        <v>9</v>
      </c>
      <c r="I445" s="467"/>
      <c r="J445" s="468">
        <f t="shared" si="309"/>
        <v>2026</v>
      </c>
      <c r="K445" s="490">
        <f t="shared" si="316"/>
        <v>0</v>
      </c>
      <c r="L445" s="469">
        <f t="shared" si="317"/>
        <v>0</v>
      </c>
      <c r="M445" s="683">
        <f t="shared" si="318"/>
        <v>0</v>
      </c>
      <c r="N445" s="470">
        <f t="shared" si="319"/>
        <v>9</v>
      </c>
      <c r="O445" s="468">
        <f t="shared" si="310"/>
        <v>2026</v>
      </c>
      <c r="P445" s="616">
        <f t="shared" si="320"/>
        <v>1775322078.6600001</v>
      </c>
      <c r="Q445" s="472">
        <f t="shared" si="321"/>
        <v>1775322078.6600001</v>
      </c>
      <c r="R445" s="472">
        <f t="shared" si="324"/>
        <v>197258008.74000001</v>
      </c>
      <c r="S445" s="1189">
        <f t="shared" si="311"/>
        <v>2018</v>
      </c>
      <c r="T445" s="470">
        <f t="shared" si="322"/>
        <v>1</v>
      </c>
      <c r="U445" s="612">
        <f t="shared" si="312"/>
        <v>197258008.74000001</v>
      </c>
      <c r="V445" s="464">
        <f t="shared" si="313"/>
        <v>2018</v>
      </c>
      <c r="W445" s="612">
        <f t="shared" si="323"/>
        <v>1578064069.9200001</v>
      </c>
      <c r="X445" s="473"/>
      <c r="Y445" s="478"/>
      <c r="Z445" s="449"/>
      <c r="AA445" s="573"/>
      <c r="AB445" s="476"/>
      <c r="AC445" s="476"/>
      <c r="AD445" s="568"/>
      <c r="AE445" s="476"/>
      <c r="AF445" s="568"/>
      <c r="AG445" s="476"/>
      <c r="AH445" s="476"/>
      <c r="AI445" s="477"/>
      <c r="AJ445" s="478"/>
      <c r="AK445" s="479"/>
      <c r="AL445" s="480"/>
      <c r="AM445" s="474"/>
      <c r="AN445" s="481"/>
      <c r="AO445" s="474"/>
      <c r="AP445" s="476"/>
      <c r="AQ445" s="482"/>
      <c r="AR445" s="478"/>
      <c r="AS445" s="478"/>
      <c r="AT445" s="476"/>
      <c r="AU445" s="482"/>
      <c r="AV445" s="478"/>
      <c r="AW445" s="483"/>
      <c r="AX445" s="476"/>
      <c r="AY445" s="482"/>
      <c r="AZ445" s="478"/>
      <c r="BA445" s="484"/>
      <c r="BB445" s="474"/>
      <c r="BC445" s="485"/>
      <c r="BD445" s="485"/>
      <c r="BG445" s="487"/>
    </row>
    <row r="446" spans="1:59" s="486" customFormat="1" ht="18" customHeight="1" x14ac:dyDescent="0.2">
      <c r="A446" s="1368" t="str">
        <f t="shared" si="314"/>
        <v>JL. PL. ARO - PL. ARO2019</v>
      </c>
      <c r="B446" s="687"/>
      <c r="C446" s="463"/>
      <c r="D446" s="464"/>
      <c r="E446" s="465"/>
      <c r="F446" s="466">
        <v>2019</v>
      </c>
      <c r="G446" s="620">
        <v>0</v>
      </c>
      <c r="H446" s="464">
        <f>IF(N445-(F446-F445)&lt;=0,0,(N445-(F446-F445)))</f>
        <v>8</v>
      </c>
      <c r="I446" s="467"/>
      <c r="J446" s="468">
        <f t="shared" si="309"/>
        <v>2026</v>
      </c>
      <c r="K446" s="490">
        <f t="shared" si="316"/>
        <v>0</v>
      </c>
      <c r="L446" s="469">
        <f t="shared" si="317"/>
        <v>0</v>
      </c>
      <c r="M446" s="683">
        <f t="shared" si="318"/>
        <v>0</v>
      </c>
      <c r="N446" s="470">
        <f t="shared" si="319"/>
        <v>8</v>
      </c>
      <c r="O446" s="468">
        <f t="shared" si="310"/>
        <v>2026</v>
      </c>
      <c r="P446" s="616">
        <f t="shared" si="320"/>
        <v>1578064069.9200001</v>
      </c>
      <c r="Q446" s="472">
        <f t="shared" si="321"/>
        <v>1578064069.9200001</v>
      </c>
      <c r="R446" s="472">
        <f t="shared" si="324"/>
        <v>197258008.74000001</v>
      </c>
      <c r="S446" s="1189">
        <f t="shared" si="311"/>
        <v>2019</v>
      </c>
      <c r="T446" s="470">
        <f t="shared" si="322"/>
        <v>1</v>
      </c>
      <c r="U446" s="612">
        <f t="shared" si="312"/>
        <v>197258008.74000001</v>
      </c>
      <c r="V446" s="464">
        <f t="shared" si="313"/>
        <v>2019</v>
      </c>
      <c r="W446" s="612">
        <f t="shared" si="323"/>
        <v>1380806061.1800001</v>
      </c>
      <c r="X446" s="473"/>
      <c r="Y446" s="478"/>
      <c r="Z446" s="449"/>
      <c r="AA446" s="573"/>
      <c r="AB446" s="476"/>
      <c r="AC446" s="476"/>
      <c r="AD446" s="568"/>
      <c r="AE446" s="476"/>
      <c r="AF446" s="568"/>
      <c r="AG446" s="476"/>
      <c r="AH446" s="476"/>
      <c r="AI446" s="477"/>
      <c r="AJ446" s="478"/>
      <c r="AK446" s="479"/>
      <c r="AL446" s="480"/>
      <c r="AM446" s="474"/>
      <c r="AN446" s="481"/>
      <c r="AO446" s="474"/>
      <c r="AP446" s="476"/>
      <c r="AQ446" s="482"/>
      <c r="AR446" s="478"/>
      <c r="AS446" s="478"/>
      <c r="AT446" s="476"/>
      <c r="AU446" s="482"/>
      <c r="AV446" s="478"/>
      <c r="AW446" s="483"/>
      <c r="AX446" s="476"/>
      <c r="AY446" s="482"/>
      <c r="AZ446" s="478"/>
      <c r="BA446" s="484"/>
      <c r="BB446" s="474"/>
      <c r="BC446" s="485"/>
      <c r="BD446" s="485"/>
      <c r="BG446" s="487"/>
    </row>
    <row r="447" spans="1:59" s="486" customFormat="1" ht="18" customHeight="1" x14ac:dyDescent="0.2">
      <c r="A447" s="1369"/>
      <c r="B447" s="687"/>
      <c r="C447" s="463"/>
      <c r="D447" s="464"/>
      <c r="E447" s="465"/>
      <c r="F447" s="1189"/>
      <c r="G447" s="620"/>
      <c r="H447" s="469" t="str">
        <f>IF(OR(AND(ISBLANK(E447),ISBLANK(G447)),ISTEXT(E447),ISTEXT(G447)),"",IF(#REF!-(YEAR(E447)-YEAR(#REF!))&lt;0,0,#REF!-(YEAR(E447)-YEAR(#REF!))))</f>
        <v/>
      </c>
      <c r="I447" s="467" t="str">
        <f>IF(OR(AND(ISBLANK(E447),ISBLANK(G447)),ISTEXT(E447),ISTEXT(G447)),"",IF(#REF!-E447&lt;0,0,#REF!-E447))</f>
        <v/>
      </c>
      <c r="J447" s="498" t="str">
        <f>IF(OR(AND(ISBLANK(E447),ISBLANK(G447)),ISTEXT(E447),ISTEXT(G447)),"",#REF!)</f>
        <v/>
      </c>
      <c r="K447" s="498"/>
      <c r="L447" s="469" t="str">
        <f>IF(OR(AND(ISBLANK(E447),ISBLANK(G447)),ISTEXT(E447),ISTEXT(G447)),"",ROUNDDOWN(G447/SUM($G$57:G442)*$H$57,0))</f>
        <v/>
      </c>
      <c r="M447" s="683" t="str">
        <f>IF(OR(AND(ISBLANK(E447),ISBLANK(G447)),ISTEXT(E447),ISTEXT(G447)),"",IF(H447+L447&gt;$H$57,$H$57-H447,L447))</f>
        <v/>
      </c>
      <c r="N447" s="470" t="str">
        <f>IF(OR(AND(ISBLANK(E447),ISBLANK(G447)),ISTEXT(E447),ISTEXT(G447)),"",H447+M447)</f>
        <v/>
      </c>
      <c r="O447" s="498" t="str">
        <f>IF(OR(AND(ISBLANK(E447),ISBLANK(G447)),ISTEXT(E447),ISTEXT(G447)),"",DATE(YEAR($J447)+M447,MONTH($J447),DAY($J447)))</f>
        <v/>
      </c>
      <c r="P447" s="748" t="str">
        <f>IF(OR(AND(ISBLANK(E447),ISBLANK(G447)),ISTEXT(E447),ISTEXT(G447)),"",#REF!-#REF!*(IF(J447&lt;E447,J447,E447)-#REF!))</f>
        <v/>
      </c>
      <c r="Q447" s="500" t="str">
        <f>IF(OR(AND(ISBLANK(E447),ISBLANK(G447)),ISTEXT(E447),ISTEXT(G447)),"",P447+G447)</f>
        <v/>
      </c>
      <c r="R447" s="501" t="str">
        <f>IF(OR(AND(ISBLANK(E447),ISBLANK(G447)),ISTEXT(E447),ISTEXT(G447)),"",IF(OR(E447&lt;DATE(2004,12,31),#REF!=0),0,Q447/#REF!))</f>
        <v/>
      </c>
      <c r="S447" s="502" t="str">
        <f>IF(OR(AND(ISBLANK(E447),ISBLANK(G447)),ISTEXT(E447),ISTEXT(G447)),"",IF(YEAR(E447)&lt;=YEAR(#REF!),"-",YEAR(E447)-1))</f>
        <v/>
      </c>
      <c r="T447" s="502"/>
      <c r="U447" s="612" t="str">
        <f>IF(OR(AND(ISBLANK(E447),ISBLANK(G447)),ISTEXT(E447),ISTEXT(G447)),"",IF(AND(J447&lt;=DATE(2004,12,31),E447&gt;J447),SUM($G447:G447),#REF!+#REF!+#REF!*IF(YEAR(E447)&lt;=YEAR(#REF!),0,(IF(DATE(YEAR(E447)-1,12,31)&gt;J447,J447,DATE(YEAR(E447)-1,12,31))-#REF!))))</f>
        <v/>
      </c>
      <c r="V447" s="503" t="str">
        <f>IF(OR(AND(ISBLANK(E447),ISBLANK(G447)),ISTEXT(E447),ISTEXT(G447)),"",IF(YEAR(E447)=YEAR(E448),E448,DATE(YEAR(E447),12,31)))</f>
        <v/>
      </c>
      <c r="W447" s="612" t="str">
        <f>IF(OR(AND(ISBLANK(E447),ISBLANK(G447)),ISTEXT(E447),ISTEXT(G447)),"",IF(Q447=0,0,IF(AND(J447&lt;=DATE(2004,12,31),E447&gt;=J447),Q447-U447,Q447-#REF!)))</f>
        <v/>
      </c>
      <c r="X447" s="504" t="str">
        <f>IF(OR(AND(ISBLANK(E447),ISBLANK(G447)),ISTEXT(E447),ISTEXT(G447)),"",$D$57&amp;"//"&amp;TEXT($E$57,"dd-mmm-yyyy")&amp;"//"&amp;#REF!)</f>
        <v/>
      </c>
      <c r="Y447" s="476"/>
      <c r="Z447" s="476"/>
      <c r="AA447" s="476"/>
      <c r="AB447" s="476"/>
      <c r="AC447" s="476"/>
      <c r="AD447" s="568"/>
      <c r="AE447" s="476"/>
      <c r="AF447" s="568"/>
      <c r="AG447" s="476"/>
      <c r="AH447" s="476"/>
      <c r="AI447" s="477"/>
      <c r="AJ447" s="478"/>
      <c r="AK447" s="479"/>
      <c r="AL447" s="480"/>
      <c r="AM447" s="474"/>
      <c r="AN447" s="481"/>
      <c r="AO447" s="474"/>
      <c r="AP447" s="476"/>
      <c r="AQ447" s="482"/>
      <c r="AR447" s="478"/>
      <c r="AS447" s="478"/>
      <c r="AT447" s="476"/>
      <c r="AU447" s="482"/>
      <c r="AV447" s="478"/>
      <c r="AW447" s="483"/>
      <c r="AX447" s="476"/>
      <c r="AY447" s="482"/>
      <c r="AZ447" s="478"/>
      <c r="BA447" s="484"/>
      <c r="BB447" s="474"/>
      <c r="BC447" s="485"/>
      <c r="BD447" s="485"/>
      <c r="BG447" s="487"/>
    </row>
    <row r="448" spans="1:59" s="551" customFormat="1" ht="18" customHeight="1" x14ac:dyDescent="0.2">
      <c r="A448" s="1370" t="s">
        <v>4184</v>
      </c>
      <c r="B448" s="2039" t="s">
        <v>4184</v>
      </c>
      <c r="C448" s="2040"/>
      <c r="D448" s="2040"/>
      <c r="E448" s="2040"/>
      <c r="F448" s="2041"/>
      <c r="G448" s="625">
        <f>SUM(G436:G447)</f>
        <v>4866808564</v>
      </c>
      <c r="H448" s="534"/>
      <c r="I448" s="535"/>
      <c r="J448" s="536"/>
      <c r="K448" s="536"/>
      <c r="L448" s="534"/>
      <c r="M448" s="1194"/>
      <c r="N448" s="537"/>
      <c r="O448" s="536"/>
      <c r="P448" s="751"/>
      <c r="Q448" s="538"/>
      <c r="R448" s="539"/>
      <c r="S448" s="540"/>
      <c r="T448" s="540"/>
      <c r="U448" s="1193">
        <f>SUM(U436:U447)</f>
        <v>3486002502.8199997</v>
      </c>
      <c r="V448" s="541"/>
      <c r="W448" s="1193">
        <f>G448-U448</f>
        <v>1380806061.1800003</v>
      </c>
      <c r="X448" s="1192"/>
      <c r="Y448" s="426"/>
      <c r="Z448" s="426"/>
      <c r="AA448" s="426"/>
      <c r="AB448" s="426"/>
      <c r="AC448" s="426"/>
      <c r="AD448" s="564"/>
      <c r="AE448" s="426"/>
      <c r="AF448" s="564"/>
      <c r="AG448" s="426"/>
      <c r="AH448" s="426"/>
      <c r="AI448" s="542"/>
      <c r="AJ448" s="543"/>
      <c r="AK448" s="432"/>
      <c r="AL448" s="544"/>
      <c r="AM448" s="545"/>
      <c r="AN448" s="546"/>
      <c r="AO448" s="545"/>
      <c r="AP448" s="426"/>
      <c r="AQ448" s="547"/>
      <c r="AR448" s="543"/>
      <c r="AS448" s="543"/>
      <c r="AT448" s="426"/>
      <c r="AU448" s="547"/>
      <c r="AV448" s="543"/>
      <c r="AW448" s="548"/>
      <c r="AX448" s="426"/>
      <c r="AY448" s="547"/>
      <c r="AZ448" s="543"/>
      <c r="BA448" s="549"/>
      <c r="BB448" s="545"/>
      <c r="BC448" s="550"/>
      <c r="BD448" s="550"/>
      <c r="BG448" s="552"/>
    </row>
    <row r="449" spans="1:59" s="551" customFormat="1" ht="18" customHeight="1" x14ac:dyDescent="0.2">
      <c r="A449" s="1371"/>
      <c r="B449" s="575"/>
      <c r="C449" s="575"/>
      <c r="D449" s="575"/>
      <c r="E449" s="575"/>
      <c r="F449" s="575"/>
      <c r="G449" s="761"/>
      <c r="H449" s="576"/>
      <c r="I449" s="577"/>
      <c r="J449" s="578"/>
      <c r="K449" s="578"/>
      <c r="L449" s="576"/>
      <c r="M449" s="546"/>
      <c r="N449" s="579"/>
      <c r="O449" s="578"/>
      <c r="P449" s="752"/>
      <c r="Q449" s="580"/>
      <c r="R449" s="581"/>
      <c r="S449" s="582"/>
      <c r="T449" s="582"/>
      <c r="U449" s="564"/>
      <c r="V449" s="583"/>
      <c r="W449" s="564"/>
      <c r="X449" s="426"/>
      <c r="Y449" s="426"/>
      <c r="Z449" s="426"/>
      <c r="AA449" s="426"/>
      <c r="AB449" s="426"/>
      <c r="AC449" s="426"/>
      <c r="AD449" s="564"/>
      <c r="AE449" s="426"/>
      <c r="AF449" s="564"/>
      <c r="AG449" s="426"/>
      <c r="AH449" s="426"/>
      <c r="AI449" s="542"/>
      <c r="AJ449" s="543"/>
      <c r="AK449" s="432"/>
      <c r="AL449" s="544"/>
      <c r="AM449" s="545"/>
      <c r="AN449" s="546"/>
      <c r="AO449" s="545"/>
      <c r="AP449" s="426"/>
      <c r="AQ449" s="547"/>
      <c r="AR449" s="543"/>
      <c r="AS449" s="543"/>
      <c r="AT449" s="426"/>
      <c r="AU449" s="547"/>
      <c r="AV449" s="543"/>
      <c r="AW449" s="548"/>
      <c r="AX449" s="426"/>
      <c r="AY449" s="547"/>
      <c r="AZ449" s="543"/>
      <c r="BA449" s="549"/>
      <c r="BB449" s="545"/>
      <c r="BC449" s="550"/>
      <c r="BD449" s="550"/>
      <c r="BG449" s="552"/>
    </row>
    <row r="450" spans="1:59" s="551" customFormat="1" ht="18" customHeight="1" x14ac:dyDescent="0.2">
      <c r="A450" s="1371"/>
      <c r="B450" s="575"/>
      <c r="C450" s="575"/>
      <c r="D450" s="575"/>
      <c r="E450" s="575"/>
      <c r="F450" s="575"/>
      <c r="G450" s="761"/>
      <c r="H450" s="576"/>
      <c r="I450" s="577"/>
      <c r="J450" s="578"/>
      <c r="K450" s="578"/>
      <c r="L450" s="576"/>
      <c r="M450" s="546"/>
      <c r="N450" s="579"/>
      <c r="O450" s="578"/>
      <c r="P450" s="752"/>
      <c r="Q450" s="580"/>
      <c r="R450" s="581"/>
      <c r="S450" s="582"/>
      <c r="T450" s="582"/>
      <c r="U450" s="564"/>
      <c r="V450" s="583"/>
      <c r="W450" s="564"/>
      <c r="X450" s="426"/>
      <c r="Y450" s="426"/>
      <c r="Z450" s="426"/>
      <c r="AA450" s="426"/>
      <c r="AB450" s="426"/>
      <c r="AC450" s="426"/>
      <c r="AD450" s="564"/>
      <c r="AE450" s="426"/>
      <c r="AF450" s="564"/>
      <c r="AG450" s="426"/>
      <c r="AH450" s="426"/>
      <c r="AI450" s="542"/>
      <c r="AJ450" s="543"/>
      <c r="AK450" s="432"/>
      <c r="AL450" s="544"/>
      <c r="AM450" s="545"/>
      <c r="AN450" s="546"/>
      <c r="AO450" s="545"/>
      <c r="AP450" s="426"/>
      <c r="AQ450" s="547"/>
      <c r="AR450" s="543"/>
      <c r="AS450" s="543"/>
      <c r="AT450" s="426"/>
      <c r="AU450" s="547"/>
      <c r="AV450" s="543"/>
      <c r="AW450" s="548"/>
      <c r="AX450" s="426"/>
      <c r="AY450" s="547"/>
      <c r="AZ450" s="543"/>
      <c r="BA450" s="549"/>
      <c r="BB450" s="545"/>
      <c r="BC450" s="550"/>
      <c r="BD450" s="550"/>
      <c r="BG450" s="552"/>
    </row>
    <row r="451" spans="1:59" s="422" customFormat="1" ht="18" customHeight="1" x14ac:dyDescent="0.2">
      <c r="A451" s="1366">
        <f>C451</f>
        <v>65</v>
      </c>
      <c r="B451" s="742" t="s">
        <v>4187</v>
      </c>
      <c r="C451" s="556">
        <v>65</v>
      </c>
      <c r="D451" s="553" t="str">
        <f>VLOOKUP(C451,RUAS,2,FALSE)</f>
        <v>SIMP. STM BERINGIN - SAWAH</v>
      </c>
      <c r="E451" s="553"/>
      <c r="F451" s="421"/>
      <c r="G451" s="611"/>
      <c r="I451" s="423"/>
      <c r="J451" s="424"/>
      <c r="K451" s="424"/>
      <c r="M451" s="680"/>
      <c r="P451" s="611"/>
      <c r="U451" s="611"/>
      <c r="W451" s="611"/>
      <c r="Y451" s="425"/>
      <c r="Z451" s="425"/>
      <c r="AA451" s="425"/>
      <c r="AB451" s="425"/>
      <c r="AC451" s="425"/>
      <c r="AD451" s="563"/>
      <c r="AE451" s="425"/>
      <c r="AF451" s="563"/>
      <c r="AG451" s="425"/>
      <c r="AH451" s="425"/>
      <c r="AI451" s="425"/>
      <c r="AJ451" s="425"/>
      <c r="AK451" s="425"/>
      <c r="AL451" s="425"/>
      <c r="AM451" s="425"/>
      <c r="AN451" s="425"/>
      <c r="AO451" s="425"/>
      <c r="AP451" s="425"/>
      <c r="AQ451" s="425"/>
      <c r="AR451" s="425"/>
      <c r="AS451" s="425"/>
      <c r="AT451" s="425"/>
      <c r="AU451" s="425"/>
      <c r="AV451" s="425"/>
      <c r="AW451" s="425"/>
      <c r="AX451" s="425"/>
      <c r="AY451" s="425"/>
      <c r="AZ451" s="425"/>
      <c r="BA451" s="425"/>
      <c r="BB451" s="425"/>
    </row>
    <row r="452" spans="1:59" s="431" customFormat="1" ht="18" customHeight="1" x14ac:dyDescent="0.2">
      <c r="A452" s="1367"/>
      <c r="B452" s="1968" t="s">
        <v>5</v>
      </c>
      <c r="C452" s="1968" t="s">
        <v>2280</v>
      </c>
      <c r="D452" s="1968" t="s">
        <v>4157</v>
      </c>
      <c r="E452" s="1968" t="s">
        <v>4158</v>
      </c>
      <c r="F452" s="1968"/>
      <c r="G452" s="1969" t="s">
        <v>4159</v>
      </c>
      <c r="H452" s="1968" t="s">
        <v>4160</v>
      </c>
      <c r="I452" s="1968"/>
      <c r="J452" s="1968" t="s">
        <v>4185</v>
      </c>
      <c r="K452" s="1964" t="s">
        <v>4162</v>
      </c>
      <c r="L452" s="1968" t="s">
        <v>4163</v>
      </c>
      <c r="M452" s="1971" t="s">
        <v>4164</v>
      </c>
      <c r="N452" s="1962" t="s">
        <v>4165</v>
      </c>
      <c r="O452" s="1968" t="s">
        <v>4166</v>
      </c>
      <c r="P452" s="1972" t="s">
        <v>4167</v>
      </c>
      <c r="Q452" s="1973"/>
      <c r="R452" s="636" t="s">
        <v>4186</v>
      </c>
      <c r="S452" s="1972" t="s">
        <v>4169</v>
      </c>
      <c r="T452" s="1974"/>
      <c r="U452" s="1973"/>
      <c r="V452" s="1975" t="s">
        <v>4170</v>
      </c>
      <c r="W452" s="1975"/>
      <c r="X452" s="1960" t="s">
        <v>4171</v>
      </c>
      <c r="Y452" s="1959"/>
      <c r="Z452" s="633"/>
      <c r="AA452" s="426"/>
      <c r="AB452" s="426"/>
      <c r="AC452" s="426"/>
      <c r="AD452" s="564"/>
      <c r="AE452" s="426"/>
      <c r="AF452" s="564"/>
      <c r="AG452" s="426"/>
      <c r="AH452" s="426"/>
      <c r="AI452" s="427"/>
      <c r="AJ452" s="427"/>
      <c r="AK452" s="427"/>
      <c r="AL452" s="427"/>
      <c r="AM452" s="428"/>
      <c r="AN452" s="427"/>
      <c r="AO452" s="427"/>
      <c r="AP452" s="426"/>
      <c r="AQ452" s="427"/>
      <c r="AR452" s="427"/>
      <c r="AS452" s="427"/>
      <c r="AT452" s="426"/>
      <c r="AU452" s="427"/>
      <c r="AV452" s="427"/>
      <c r="AW452" s="427"/>
      <c r="AX452" s="426"/>
      <c r="AY452" s="427"/>
      <c r="AZ452" s="427"/>
      <c r="BA452" s="427"/>
      <c r="BB452" s="429"/>
      <c r="BC452" s="430"/>
      <c r="BD452" s="430"/>
    </row>
    <row r="453" spans="1:59" s="431" customFormat="1" ht="18" customHeight="1" x14ac:dyDescent="0.2">
      <c r="A453" s="1367"/>
      <c r="B453" s="1968"/>
      <c r="C453" s="1968"/>
      <c r="D453" s="1968"/>
      <c r="E453" s="1968"/>
      <c r="F453" s="1968"/>
      <c r="G453" s="1969"/>
      <c r="H453" s="1968"/>
      <c r="I453" s="1968"/>
      <c r="J453" s="1968"/>
      <c r="K453" s="1970"/>
      <c r="L453" s="1968"/>
      <c r="M453" s="1971"/>
      <c r="N453" s="1963"/>
      <c r="O453" s="1968"/>
      <c r="P453" s="2037" t="s">
        <v>4172</v>
      </c>
      <c r="Q453" s="1960" t="s">
        <v>4173</v>
      </c>
      <c r="R453" s="1962" t="s">
        <v>4159</v>
      </c>
      <c r="S453" s="1962" t="s">
        <v>4174</v>
      </c>
      <c r="T453" s="1964" t="s">
        <v>4175</v>
      </c>
      <c r="U453" s="1966" t="s">
        <v>4159</v>
      </c>
      <c r="V453" s="1975"/>
      <c r="W453" s="1975"/>
      <c r="X453" s="1976"/>
      <c r="Y453" s="1959"/>
      <c r="Z453" s="633"/>
      <c r="AA453" s="426"/>
      <c r="AB453" s="426"/>
      <c r="AC453" s="426"/>
      <c r="AD453" s="564"/>
      <c r="AE453" s="426"/>
      <c r="AF453" s="564"/>
      <c r="AG453" s="426"/>
      <c r="AH453" s="426"/>
      <c r="AI453" s="427"/>
      <c r="AJ453" s="427"/>
      <c r="AK453" s="426"/>
      <c r="AL453" s="427"/>
      <c r="AM453" s="428"/>
      <c r="AN453" s="427"/>
      <c r="AO453" s="427"/>
      <c r="AP453" s="432"/>
      <c r="AQ453" s="427"/>
      <c r="AR453" s="427"/>
      <c r="AS453" s="427"/>
      <c r="AT453" s="432"/>
      <c r="AU453" s="427"/>
      <c r="AV453" s="427"/>
      <c r="AW453" s="427"/>
      <c r="AX453" s="432"/>
      <c r="AY453" s="427"/>
      <c r="AZ453" s="427"/>
      <c r="BA453" s="427"/>
      <c r="BB453" s="429"/>
      <c r="BC453" s="430"/>
      <c r="BD453" s="430"/>
    </row>
    <row r="454" spans="1:59" s="431" customFormat="1" ht="18" customHeight="1" x14ac:dyDescent="0.2">
      <c r="A454" s="1367"/>
      <c r="B454" s="1968"/>
      <c r="C454" s="1968"/>
      <c r="D454" s="1968"/>
      <c r="E454" s="433" t="s">
        <v>4176</v>
      </c>
      <c r="F454" s="434" t="s">
        <v>2288</v>
      </c>
      <c r="G454" s="1969"/>
      <c r="H454" s="635" t="s">
        <v>2288</v>
      </c>
      <c r="I454" s="635" t="s">
        <v>4177</v>
      </c>
      <c r="J454" s="1968"/>
      <c r="K454" s="1965"/>
      <c r="L454" s="435" t="s">
        <v>2288</v>
      </c>
      <c r="M454" s="681" t="s">
        <v>2288</v>
      </c>
      <c r="N454" s="635" t="s">
        <v>2288</v>
      </c>
      <c r="O454" s="1968"/>
      <c r="P454" s="2038"/>
      <c r="Q454" s="1961"/>
      <c r="R454" s="1963"/>
      <c r="S454" s="1963"/>
      <c r="T454" s="1965"/>
      <c r="U454" s="1967"/>
      <c r="V454" s="635" t="s">
        <v>4178</v>
      </c>
      <c r="W454" s="637" t="s">
        <v>4159</v>
      </c>
      <c r="X454" s="1961"/>
      <c r="Y454" s="436"/>
      <c r="Z454" s="436"/>
      <c r="AA454" s="426"/>
      <c r="AB454" s="426"/>
      <c r="AC454" s="426"/>
      <c r="AD454" s="564"/>
      <c r="AE454" s="426"/>
      <c r="AF454" s="564"/>
      <c r="AG454" s="426"/>
      <c r="AH454" s="426"/>
      <c r="AI454" s="427"/>
      <c r="AJ454" s="432"/>
      <c r="AK454" s="432"/>
      <c r="AL454" s="427"/>
      <c r="AM454" s="428"/>
      <c r="AN454" s="432"/>
      <c r="AO454" s="427"/>
      <c r="AP454" s="432"/>
      <c r="AQ454" s="432"/>
      <c r="AR454" s="427"/>
      <c r="AS454" s="427"/>
      <c r="AT454" s="432"/>
      <c r="AU454" s="432"/>
      <c r="AV454" s="427"/>
      <c r="AW454" s="427"/>
      <c r="AX454" s="432"/>
      <c r="AY454" s="432"/>
      <c r="AZ454" s="427"/>
      <c r="BA454" s="427"/>
      <c r="BB454" s="429"/>
      <c r="BC454" s="430"/>
      <c r="BD454" s="430"/>
    </row>
    <row r="455" spans="1:59" s="461" customFormat="1" ht="18" customHeight="1" x14ac:dyDescent="0.2">
      <c r="A455" s="1368" t="str">
        <f>$D$451&amp;S455</f>
        <v>SIMP. STM BERINGIN - SAWAH2001</v>
      </c>
      <c r="B455" s="1373">
        <v>1</v>
      </c>
      <c r="C455" s="532" t="s">
        <v>529</v>
      </c>
      <c r="D455" s="437" t="s">
        <v>2494</v>
      </c>
      <c r="E455" s="438"/>
      <c r="F455" s="439">
        <v>2001</v>
      </c>
      <c r="G455" s="623">
        <v>4725000000</v>
      </c>
      <c r="H455" s="440">
        <f>VLOOKUP(LEFT(D455,8),UE,4)</f>
        <v>10</v>
      </c>
      <c r="I455" s="441"/>
      <c r="J455" s="442">
        <f t="shared" ref="J455:J464" si="325">(F455+N455)-1</f>
        <v>2010</v>
      </c>
      <c r="K455" s="443"/>
      <c r="L455" s="440"/>
      <c r="M455" s="746">
        <f>IF(H455+L455&gt;$H455,$H455-H455,L455)</f>
        <v>0</v>
      </c>
      <c r="N455" s="444">
        <f>H455+M455</f>
        <v>10</v>
      </c>
      <c r="O455" s="442">
        <f t="shared" ref="O455:O464" si="326">(F455+N455)-1</f>
        <v>2010</v>
      </c>
      <c r="P455" s="617">
        <f>G455</f>
        <v>4725000000</v>
      </c>
      <c r="Q455" s="445">
        <v>0</v>
      </c>
      <c r="R455" s="445">
        <f>P455/N455</f>
        <v>472500000</v>
      </c>
      <c r="S455" s="446">
        <f t="shared" ref="S455:S464" si="327">F455</f>
        <v>2001</v>
      </c>
      <c r="T455" s="447">
        <v>1</v>
      </c>
      <c r="U455" s="613">
        <f t="shared" ref="U455:U464" si="328">R455*T455</f>
        <v>472500000</v>
      </c>
      <c r="V455" s="442">
        <f t="shared" ref="V455:V464" si="329">F455</f>
        <v>2001</v>
      </c>
      <c r="W455" s="617">
        <f>IF(OR(AND(ISBLANK(E455),ISBLANK(G455)),ISTEXT(E455),ISTEXT(G455)),"",G455-R455)</f>
        <v>4252500000</v>
      </c>
      <c r="X455" s="448"/>
      <c r="Y455" s="449"/>
      <c r="Z455" s="449"/>
      <c r="AA455" s="693"/>
      <c r="AB455" s="452"/>
      <c r="AC455" s="452"/>
      <c r="AD455" s="571"/>
      <c r="AE455" s="452"/>
      <c r="AF455" s="571"/>
      <c r="AG455" s="452"/>
      <c r="AH455" s="452"/>
      <c r="AI455" s="453"/>
      <c r="AJ455" s="449"/>
      <c r="AK455" s="453"/>
      <c r="AL455" s="454"/>
      <c r="AM455" s="455"/>
      <c r="AN455" s="456"/>
      <c r="AO455" s="455"/>
      <c r="AP455" s="452"/>
      <c r="AQ455" s="457"/>
      <c r="AR455" s="449"/>
      <c r="AS455" s="449"/>
      <c r="AT455" s="452"/>
      <c r="AU455" s="457"/>
      <c r="AV455" s="449"/>
      <c r="AW455" s="458"/>
      <c r="AX455" s="452"/>
      <c r="AY455" s="457"/>
      <c r="AZ455" s="449"/>
      <c r="BA455" s="459"/>
      <c r="BB455" s="455"/>
      <c r="BC455" s="460"/>
      <c r="BD455" s="460"/>
      <c r="BG455" s="462"/>
    </row>
    <row r="456" spans="1:59" s="461" customFormat="1" ht="18" customHeight="1" x14ac:dyDescent="0.2">
      <c r="A456" s="1368" t="str">
        <f t="shared" ref="A456:A464" si="330">$D$451&amp;S456</f>
        <v>SIMP. STM BERINGIN - SAWAH2006</v>
      </c>
      <c r="B456" s="1373"/>
      <c r="C456" s="488"/>
      <c r="D456" s="489"/>
      <c r="E456" s="558"/>
      <c r="F456" s="559">
        <v>2006</v>
      </c>
      <c r="G456" s="619">
        <v>0</v>
      </c>
      <c r="H456" s="464">
        <f t="shared" ref="H456:H464" si="331">IF(N455-(F456-F455)&lt;=0,0,(N455-(F456-F455)))</f>
        <v>5</v>
      </c>
      <c r="I456" s="560"/>
      <c r="J456" s="468">
        <f t="shared" si="325"/>
        <v>2010</v>
      </c>
      <c r="K456" s="490">
        <f t="shared" ref="K456:K464" si="332">IF(G456=0,0,IF(H456=10,100%,G456/W455))</f>
        <v>0</v>
      </c>
      <c r="L456" s="469">
        <f t="shared" ref="L456:L464" si="333">IF(K456=0%,0,IF(K456&lt;=30%,2,IF(K456&lt;=60%,5,10)))</f>
        <v>0</v>
      </c>
      <c r="M456" s="683">
        <f t="shared" ref="M456:M464" si="334">IF(OR(AND(ISBLANK(E456),ISBLANK(G456)),ISTEXT(E456),ISTEXT(G456)),"",IF(H456+L456&gt;$H$8,$H$8-H456,L456))</f>
        <v>0</v>
      </c>
      <c r="N456" s="470">
        <f t="shared" ref="N456:N464" si="335">IF(OR(AND(ISBLANK(F456),ISBLANK(G456)),ISTEXT(F456),ISTEXT(G456)),"",H456+M456)</f>
        <v>5</v>
      </c>
      <c r="O456" s="468">
        <f t="shared" si="326"/>
        <v>2010</v>
      </c>
      <c r="P456" s="616">
        <f t="shared" ref="P456:P464" si="336">W455</f>
        <v>4252500000</v>
      </c>
      <c r="Q456" s="472">
        <f t="shared" ref="Q456:Q464" si="337">P456+G456</f>
        <v>4252500000</v>
      </c>
      <c r="R456" s="472">
        <f t="shared" ref="R456:R464" si="338">IF(L456=0,R455,Q456/N456)</f>
        <v>472500000</v>
      </c>
      <c r="S456" s="754">
        <f t="shared" si="327"/>
        <v>2006</v>
      </c>
      <c r="T456" s="470">
        <f>S456-S455</f>
        <v>5</v>
      </c>
      <c r="U456" s="612">
        <f t="shared" si="328"/>
        <v>2362500000</v>
      </c>
      <c r="V456" s="464">
        <f t="shared" si="329"/>
        <v>2006</v>
      </c>
      <c r="W456" s="612">
        <f t="shared" ref="W456:W464" si="339">IF(OR(AND(ISBLANK(E456),ISBLANK(G456)),ISTEXT(E456),ISTEXT(G456)),"",Q456-U456)</f>
        <v>1890000000</v>
      </c>
      <c r="X456" s="561"/>
      <c r="Y456" s="449"/>
      <c r="Z456" s="449"/>
      <c r="AA456" s="693"/>
      <c r="AB456" s="452"/>
      <c r="AC456" s="452"/>
      <c r="AD456" s="571"/>
      <c r="AE456" s="452"/>
      <c r="AF456" s="571"/>
      <c r="AG456" s="452"/>
      <c r="AH456" s="452"/>
      <c r="AI456" s="453"/>
      <c r="AJ456" s="449"/>
      <c r="AK456" s="453"/>
      <c r="AL456" s="454"/>
      <c r="AM456" s="455"/>
      <c r="AN456" s="456"/>
      <c r="AO456" s="455"/>
      <c r="AP456" s="452"/>
      <c r="AQ456" s="457"/>
      <c r="AR456" s="449"/>
      <c r="AS456" s="449"/>
      <c r="AT456" s="452"/>
      <c r="AU456" s="457"/>
      <c r="AV456" s="449"/>
      <c r="AW456" s="458"/>
      <c r="AX456" s="452"/>
      <c r="AY456" s="457"/>
      <c r="AZ456" s="449"/>
      <c r="BA456" s="459"/>
      <c r="BB456" s="455"/>
      <c r="BC456" s="460"/>
      <c r="BD456" s="460"/>
      <c r="BG456" s="462"/>
    </row>
    <row r="457" spans="1:59" s="461" customFormat="1" ht="18" customHeight="1" x14ac:dyDescent="0.2">
      <c r="A457" s="1368" t="str">
        <f t="shared" si="330"/>
        <v>SIMP. STM BERINGIN - SAWAH2007</v>
      </c>
      <c r="B457" s="1373">
        <v>2</v>
      </c>
      <c r="C457" s="488" t="s">
        <v>1149</v>
      </c>
      <c r="D457" s="489" t="s">
        <v>2494</v>
      </c>
      <c r="E457" s="558"/>
      <c r="F457" s="559">
        <v>2007</v>
      </c>
      <c r="G457" s="619">
        <v>1990033077.2583308</v>
      </c>
      <c r="H457" s="464">
        <f t="shared" si="331"/>
        <v>4</v>
      </c>
      <c r="I457" s="560"/>
      <c r="J457" s="468">
        <f t="shared" si="325"/>
        <v>2016</v>
      </c>
      <c r="K457" s="490">
        <f t="shared" si="332"/>
        <v>1.052927554104937</v>
      </c>
      <c r="L457" s="469">
        <f t="shared" si="333"/>
        <v>10</v>
      </c>
      <c r="M457" s="683">
        <f t="shared" si="334"/>
        <v>6</v>
      </c>
      <c r="N457" s="470">
        <f t="shared" si="335"/>
        <v>10</v>
      </c>
      <c r="O457" s="468">
        <f t="shared" si="326"/>
        <v>2016</v>
      </c>
      <c r="P457" s="616">
        <f t="shared" si="336"/>
        <v>1890000000</v>
      </c>
      <c r="Q457" s="472">
        <f t="shared" si="337"/>
        <v>3880033077.2583308</v>
      </c>
      <c r="R457" s="472">
        <f t="shared" si="338"/>
        <v>388003307.72583306</v>
      </c>
      <c r="S457" s="754">
        <f t="shared" si="327"/>
        <v>2007</v>
      </c>
      <c r="T457" s="470">
        <f t="shared" ref="T457:T463" si="340">S457-S456</f>
        <v>1</v>
      </c>
      <c r="U457" s="612">
        <f t="shared" si="328"/>
        <v>388003307.72583306</v>
      </c>
      <c r="V457" s="464">
        <f t="shared" si="329"/>
        <v>2007</v>
      </c>
      <c r="W457" s="612">
        <f t="shared" si="339"/>
        <v>3492029769.5324979</v>
      </c>
      <c r="X457" s="561"/>
      <c r="Y457" s="449"/>
      <c r="Z457" s="449"/>
      <c r="AA457" s="694"/>
      <c r="AB457" s="692"/>
      <c r="AC457" s="692"/>
      <c r="AD457" s="695"/>
      <c r="AE457" s="452"/>
      <c r="AF457" s="571"/>
      <c r="AG457" s="452"/>
      <c r="AH457" s="452"/>
      <c r="AI457" s="453"/>
      <c r="AJ457" s="449"/>
      <c r="AK457" s="453"/>
      <c r="AL457" s="454"/>
      <c r="AM457" s="455"/>
      <c r="AN457" s="456"/>
      <c r="AO457" s="455"/>
      <c r="AP457" s="452"/>
      <c r="AQ457" s="457"/>
      <c r="AR457" s="449"/>
      <c r="AS457" s="449"/>
      <c r="AT457" s="452"/>
      <c r="AU457" s="457"/>
      <c r="AV457" s="449"/>
      <c r="AW457" s="458"/>
      <c r="AX457" s="452"/>
      <c r="AY457" s="457"/>
      <c r="AZ457" s="449"/>
      <c r="BA457" s="459"/>
      <c r="BB457" s="455"/>
      <c r="BC457" s="460"/>
      <c r="BD457" s="460"/>
      <c r="BG457" s="462"/>
    </row>
    <row r="458" spans="1:59" s="461" customFormat="1" ht="18" customHeight="1" x14ac:dyDescent="0.2">
      <c r="A458" s="1368" t="str">
        <f t="shared" si="330"/>
        <v>SIMP. STM BERINGIN - SAWAH2013</v>
      </c>
      <c r="B458" s="1373"/>
      <c r="C458" s="488"/>
      <c r="D458" s="489"/>
      <c r="E458" s="558"/>
      <c r="F458" s="559">
        <v>2013</v>
      </c>
      <c r="G458" s="619">
        <v>0</v>
      </c>
      <c r="H458" s="464">
        <f t="shared" si="331"/>
        <v>4</v>
      </c>
      <c r="I458" s="560"/>
      <c r="J458" s="468">
        <f t="shared" si="325"/>
        <v>2016</v>
      </c>
      <c r="K458" s="490">
        <f t="shared" si="332"/>
        <v>0</v>
      </c>
      <c r="L458" s="469">
        <f t="shared" si="333"/>
        <v>0</v>
      </c>
      <c r="M458" s="683">
        <f t="shared" si="334"/>
        <v>0</v>
      </c>
      <c r="N458" s="470">
        <f t="shared" si="335"/>
        <v>4</v>
      </c>
      <c r="O458" s="468">
        <f t="shared" si="326"/>
        <v>2016</v>
      </c>
      <c r="P458" s="616">
        <f t="shared" si="336"/>
        <v>3492029769.5324979</v>
      </c>
      <c r="Q458" s="472">
        <f t="shared" si="337"/>
        <v>3492029769.5324979</v>
      </c>
      <c r="R458" s="472">
        <f t="shared" si="338"/>
        <v>388003307.72583306</v>
      </c>
      <c r="S458" s="754">
        <f t="shared" si="327"/>
        <v>2013</v>
      </c>
      <c r="T458" s="470">
        <f t="shared" si="340"/>
        <v>6</v>
      </c>
      <c r="U458" s="612">
        <f t="shared" si="328"/>
        <v>2328019846.3549986</v>
      </c>
      <c r="V458" s="464">
        <f t="shared" si="329"/>
        <v>2013</v>
      </c>
      <c r="W458" s="612">
        <f t="shared" si="339"/>
        <v>1164009923.1774993</v>
      </c>
      <c r="X458" s="561"/>
      <c r="Y458" s="449"/>
      <c r="Z458" s="449"/>
      <c r="AA458" s="554" t="s">
        <v>4179</v>
      </c>
      <c r="AB458" s="452"/>
      <c r="AC458" s="452"/>
      <c r="AD458" s="566"/>
      <c r="AE458" s="452"/>
      <c r="AF458" s="571"/>
      <c r="AG458" s="452"/>
      <c r="AH458" s="452"/>
      <c r="AI458" s="453"/>
      <c r="AJ458" s="449"/>
      <c r="AK458" s="453"/>
      <c r="AL458" s="454"/>
      <c r="AM458" s="455"/>
      <c r="AN458" s="456"/>
      <c r="AO458" s="455"/>
      <c r="AP458" s="452"/>
      <c r="AQ458" s="457"/>
      <c r="AR458" s="449"/>
      <c r="AS458" s="449"/>
      <c r="AT458" s="452"/>
      <c r="AU458" s="457"/>
      <c r="AV458" s="449"/>
      <c r="AW458" s="458"/>
      <c r="AX458" s="452"/>
      <c r="AY458" s="457"/>
      <c r="AZ458" s="449"/>
      <c r="BA458" s="459"/>
      <c r="BB458" s="455"/>
      <c r="BC458" s="460"/>
      <c r="BD458" s="460"/>
      <c r="BG458" s="462"/>
    </row>
    <row r="459" spans="1:59" s="461" customFormat="1" ht="18" customHeight="1" x14ac:dyDescent="0.2">
      <c r="A459" s="1368" t="str">
        <f t="shared" si="330"/>
        <v>SIMP. STM BERINGIN - SAWAH2014</v>
      </c>
      <c r="B459" s="1373"/>
      <c r="C459" s="488"/>
      <c r="D459" s="489"/>
      <c r="E459" s="558"/>
      <c r="F459" s="559">
        <v>2014</v>
      </c>
      <c r="G459" s="619">
        <v>0</v>
      </c>
      <c r="H459" s="464">
        <f t="shared" si="331"/>
        <v>3</v>
      </c>
      <c r="I459" s="560"/>
      <c r="J459" s="468">
        <f t="shared" si="325"/>
        <v>2016</v>
      </c>
      <c r="K459" s="490">
        <f t="shared" si="332"/>
        <v>0</v>
      </c>
      <c r="L459" s="469">
        <f t="shared" si="333"/>
        <v>0</v>
      </c>
      <c r="M459" s="683">
        <f t="shared" si="334"/>
        <v>0</v>
      </c>
      <c r="N459" s="470">
        <f t="shared" si="335"/>
        <v>3</v>
      </c>
      <c r="O459" s="468">
        <f t="shared" si="326"/>
        <v>2016</v>
      </c>
      <c r="P459" s="616">
        <f t="shared" si="336"/>
        <v>1164009923.1774993</v>
      </c>
      <c r="Q459" s="472">
        <f t="shared" si="337"/>
        <v>1164009923.1774993</v>
      </c>
      <c r="R459" s="472">
        <f t="shared" si="338"/>
        <v>388003307.72583306</v>
      </c>
      <c r="S459" s="754">
        <f t="shared" si="327"/>
        <v>2014</v>
      </c>
      <c r="T459" s="470">
        <f t="shared" si="340"/>
        <v>1</v>
      </c>
      <c r="U459" s="612">
        <f t="shared" si="328"/>
        <v>388003307.72583306</v>
      </c>
      <c r="V459" s="464">
        <f t="shared" si="329"/>
        <v>2014</v>
      </c>
      <c r="W459" s="612">
        <f t="shared" si="339"/>
        <v>776006615.45166624</v>
      </c>
      <c r="X459" s="561"/>
      <c r="Y459" s="449"/>
      <c r="Z459" s="449"/>
      <c r="AA459" s="554"/>
      <c r="AB459" s="452"/>
      <c r="AC459" s="452"/>
      <c r="AD459" s="566"/>
      <c r="AE459" s="452"/>
      <c r="AF459" s="571"/>
      <c r="AG459" s="452"/>
      <c r="AH459" s="452"/>
      <c r="AI459" s="453"/>
      <c r="AJ459" s="449"/>
      <c r="AK459" s="453"/>
      <c r="AL459" s="454"/>
      <c r="AM459" s="455"/>
      <c r="AN459" s="456"/>
      <c r="AO459" s="455"/>
      <c r="AP459" s="452"/>
      <c r="AQ459" s="457"/>
      <c r="AR459" s="449"/>
      <c r="AS459" s="449"/>
      <c r="AT459" s="452"/>
      <c r="AU459" s="457"/>
      <c r="AV459" s="449"/>
      <c r="AW459" s="458"/>
      <c r="AX459" s="452"/>
      <c r="AY459" s="457"/>
      <c r="AZ459" s="449"/>
      <c r="BA459" s="459"/>
      <c r="BB459" s="455"/>
      <c r="BC459" s="460"/>
      <c r="BD459" s="460"/>
      <c r="BG459" s="462"/>
    </row>
    <row r="460" spans="1:59" s="486" customFormat="1" ht="18" customHeight="1" x14ac:dyDescent="0.2">
      <c r="A460" s="1368" t="str">
        <f t="shared" si="330"/>
        <v>SIMP. STM BERINGIN - SAWAH2015</v>
      </c>
      <c r="B460" s="1373">
        <v>3</v>
      </c>
      <c r="C460" s="463" t="s">
        <v>1352</v>
      </c>
      <c r="D460" s="489" t="s">
        <v>2494</v>
      </c>
      <c r="E460" s="465"/>
      <c r="F460" s="466">
        <v>2015</v>
      </c>
      <c r="G460" s="620">
        <v>5771596592</v>
      </c>
      <c r="H460" s="464">
        <f t="shared" si="331"/>
        <v>2</v>
      </c>
      <c r="I460" s="560"/>
      <c r="J460" s="468">
        <f t="shared" si="325"/>
        <v>2024</v>
      </c>
      <c r="K460" s="490">
        <f t="shared" si="332"/>
        <v>7.4375610685235003</v>
      </c>
      <c r="L460" s="469">
        <f t="shared" si="333"/>
        <v>10</v>
      </c>
      <c r="M460" s="683">
        <f t="shared" si="334"/>
        <v>8</v>
      </c>
      <c r="N460" s="470">
        <f t="shared" si="335"/>
        <v>10</v>
      </c>
      <c r="O460" s="468">
        <f t="shared" si="326"/>
        <v>2024</v>
      </c>
      <c r="P460" s="616">
        <f t="shared" si="336"/>
        <v>776006615.45166624</v>
      </c>
      <c r="Q460" s="472">
        <f t="shared" si="337"/>
        <v>6547603207.4516659</v>
      </c>
      <c r="R460" s="472">
        <f t="shared" si="338"/>
        <v>654760320.74516654</v>
      </c>
      <c r="S460" s="754">
        <f t="shared" si="327"/>
        <v>2015</v>
      </c>
      <c r="T460" s="470">
        <f t="shared" si="340"/>
        <v>1</v>
      </c>
      <c r="U460" s="612">
        <f t="shared" si="328"/>
        <v>654760320.74516654</v>
      </c>
      <c r="V460" s="464">
        <f t="shared" si="329"/>
        <v>2015</v>
      </c>
      <c r="W460" s="612">
        <f t="shared" si="339"/>
        <v>5892842886.7064991</v>
      </c>
      <c r="X460" s="473"/>
      <c r="Y460" s="474"/>
      <c r="Z460" s="449"/>
      <c r="AA460" s="475" t="s">
        <v>4180</v>
      </c>
      <c r="AB460" s="476"/>
      <c r="AC460" s="476"/>
      <c r="AD460" s="567">
        <f>G467</f>
        <v>22272006869.258331</v>
      </c>
      <c r="AE460" s="476"/>
      <c r="AF460" s="568"/>
      <c r="AG460" s="476"/>
      <c r="AH460" s="476"/>
      <c r="AI460" s="477"/>
      <c r="AJ460" s="478"/>
      <c r="AK460" s="479"/>
      <c r="AL460" s="480"/>
      <c r="AM460" s="474"/>
      <c r="AN460" s="481"/>
      <c r="AO460" s="474"/>
      <c r="AP460" s="476"/>
      <c r="AQ460" s="482"/>
      <c r="AR460" s="478"/>
      <c r="AS460" s="478"/>
      <c r="AT460" s="476"/>
      <c r="AU460" s="482"/>
      <c r="AV460" s="478"/>
      <c r="AW460" s="483"/>
      <c r="AX460" s="476"/>
      <c r="AY460" s="482"/>
      <c r="AZ460" s="478"/>
      <c r="BA460" s="484"/>
      <c r="BB460" s="474"/>
      <c r="BC460" s="485"/>
      <c r="BD460" s="485"/>
      <c r="BG460" s="487"/>
    </row>
    <row r="461" spans="1:59" s="486" customFormat="1" ht="18" customHeight="1" x14ac:dyDescent="0.2">
      <c r="A461" s="1368" t="str">
        <f t="shared" si="330"/>
        <v>SIMP. STM BERINGIN - SAWAH2016</v>
      </c>
      <c r="B461" s="1373">
        <v>4</v>
      </c>
      <c r="C461" s="488" t="s">
        <v>1443</v>
      </c>
      <c r="D461" s="489" t="s">
        <v>2494</v>
      </c>
      <c r="E461" s="465"/>
      <c r="F461" s="466">
        <v>2016</v>
      </c>
      <c r="G461" s="620">
        <v>9785377200</v>
      </c>
      <c r="H461" s="464">
        <f t="shared" si="331"/>
        <v>9</v>
      </c>
      <c r="I461" s="560"/>
      <c r="J461" s="468">
        <f t="shared" si="325"/>
        <v>2025</v>
      </c>
      <c r="K461" s="490">
        <f t="shared" si="332"/>
        <v>1.6605528754337844</v>
      </c>
      <c r="L461" s="469">
        <f t="shared" si="333"/>
        <v>10</v>
      </c>
      <c r="M461" s="683">
        <f t="shared" si="334"/>
        <v>1</v>
      </c>
      <c r="N461" s="470">
        <f t="shared" si="335"/>
        <v>10</v>
      </c>
      <c r="O461" s="468">
        <f t="shared" si="326"/>
        <v>2025</v>
      </c>
      <c r="P461" s="616">
        <f t="shared" si="336"/>
        <v>5892842886.7064991</v>
      </c>
      <c r="Q461" s="472">
        <f t="shared" si="337"/>
        <v>15678220086.706499</v>
      </c>
      <c r="R461" s="472">
        <f t="shared" si="338"/>
        <v>1567822008.67065</v>
      </c>
      <c r="S461" s="754">
        <f t="shared" si="327"/>
        <v>2016</v>
      </c>
      <c r="T461" s="470">
        <f t="shared" si="340"/>
        <v>1</v>
      </c>
      <c r="U461" s="612">
        <f t="shared" si="328"/>
        <v>1567822008.67065</v>
      </c>
      <c r="V461" s="464">
        <f t="shared" si="329"/>
        <v>2016</v>
      </c>
      <c r="W461" s="612">
        <f t="shared" si="339"/>
        <v>14110398078.035849</v>
      </c>
      <c r="X461" s="473"/>
      <c r="Y461" s="478"/>
      <c r="Z461" s="449"/>
      <c r="AA461" s="475" t="s">
        <v>4181</v>
      </c>
      <c r="AB461" s="491"/>
      <c r="AC461" s="491"/>
      <c r="AD461" s="567">
        <f>U467</f>
        <v>12865074817.234432</v>
      </c>
      <c r="AE461" s="491"/>
      <c r="AF461" s="568"/>
      <c r="AG461" s="491"/>
      <c r="AH461" s="491"/>
      <c r="AI461" s="477"/>
      <c r="AJ461" s="478"/>
      <c r="AK461" s="479"/>
      <c r="AL461" s="480"/>
      <c r="AM461" s="474"/>
      <c r="AN461" s="481"/>
      <c r="AO461" s="474"/>
      <c r="AP461" s="476"/>
      <c r="AQ461" s="482"/>
      <c r="AR461" s="478"/>
      <c r="AS461" s="478"/>
      <c r="AT461" s="476"/>
      <c r="AU461" s="482"/>
      <c r="AV461" s="478"/>
      <c r="AW461" s="483"/>
      <c r="AX461" s="476"/>
      <c r="AY461" s="482"/>
      <c r="AZ461" s="478"/>
      <c r="BA461" s="484"/>
      <c r="BB461" s="474"/>
      <c r="BC461" s="485"/>
      <c r="BD461" s="485"/>
      <c r="BG461" s="487"/>
    </row>
    <row r="462" spans="1:59" s="486" customFormat="1" ht="18" customHeight="1" x14ac:dyDescent="0.2">
      <c r="A462" s="1368" t="str">
        <f t="shared" si="330"/>
        <v>SIMP. STM BERINGIN - SAWAH2017</v>
      </c>
      <c r="B462" s="1373"/>
      <c r="C462" s="463"/>
      <c r="D462" s="489"/>
      <c r="E462" s="465"/>
      <c r="F462" s="466">
        <v>2017</v>
      </c>
      <c r="G462" s="620">
        <v>0</v>
      </c>
      <c r="H462" s="464">
        <f t="shared" si="331"/>
        <v>9</v>
      </c>
      <c r="I462" s="560"/>
      <c r="J462" s="468">
        <f t="shared" si="325"/>
        <v>2025</v>
      </c>
      <c r="K462" s="490">
        <f t="shared" si="332"/>
        <v>0</v>
      </c>
      <c r="L462" s="469">
        <f t="shared" si="333"/>
        <v>0</v>
      </c>
      <c r="M462" s="683">
        <f t="shared" si="334"/>
        <v>0</v>
      </c>
      <c r="N462" s="470">
        <f t="shared" si="335"/>
        <v>9</v>
      </c>
      <c r="O462" s="468">
        <f t="shared" si="326"/>
        <v>2025</v>
      </c>
      <c r="P462" s="616">
        <f t="shared" si="336"/>
        <v>14110398078.035849</v>
      </c>
      <c r="Q462" s="472">
        <f t="shared" si="337"/>
        <v>14110398078.035849</v>
      </c>
      <c r="R462" s="472">
        <f t="shared" si="338"/>
        <v>1567822008.67065</v>
      </c>
      <c r="S462" s="754">
        <f t="shared" si="327"/>
        <v>2017</v>
      </c>
      <c r="T462" s="470">
        <f t="shared" si="340"/>
        <v>1</v>
      </c>
      <c r="U462" s="612">
        <f t="shared" si="328"/>
        <v>1567822008.67065</v>
      </c>
      <c r="V462" s="464">
        <f t="shared" si="329"/>
        <v>2017</v>
      </c>
      <c r="W462" s="612">
        <f t="shared" si="339"/>
        <v>12542576069.365198</v>
      </c>
      <c r="X462" s="473"/>
      <c r="Y462" s="478"/>
      <c r="Z462" s="449"/>
      <c r="AA462" s="492" t="s">
        <v>4182</v>
      </c>
      <c r="AB462" s="476"/>
      <c r="AC462" s="476"/>
      <c r="AD462" s="567">
        <f>AD460-AD461</f>
        <v>9406932052.0238991</v>
      </c>
      <c r="AE462" s="476"/>
      <c r="AF462" s="568"/>
      <c r="AG462" s="476"/>
      <c r="AH462" s="476"/>
      <c r="AI462" s="477"/>
      <c r="AJ462" s="478"/>
      <c r="AK462" s="479"/>
      <c r="AL462" s="480"/>
      <c r="AM462" s="474"/>
      <c r="AN462" s="481"/>
      <c r="AO462" s="474"/>
      <c r="AP462" s="476"/>
      <c r="AQ462" s="482"/>
      <c r="AR462" s="478"/>
      <c r="AS462" s="478"/>
      <c r="AT462" s="476"/>
      <c r="AU462" s="482"/>
      <c r="AV462" s="478"/>
      <c r="AW462" s="483"/>
      <c r="AX462" s="476"/>
      <c r="AY462" s="482"/>
      <c r="AZ462" s="478"/>
      <c r="BA462" s="484"/>
      <c r="BB462" s="474"/>
      <c r="BC462" s="485"/>
      <c r="BD462" s="485"/>
      <c r="BG462" s="487"/>
    </row>
    <row r="463" spans="1:59" s="486" customFormat="1" ht="18" customHeight="1" x14ac:dyDescent="0.2">
      <c r="A463" s="1368" t="str">
        <f t="shared" si="330"/>
        <v>SIMP. STM BERINGIN - SAWAH2018</v>
      </c>
      <c r="B463" s="687"/>
      <c r="C463" s="463"/>
      <c r="D463" s="489"/>
      <c r="E463" s="465"/>
      <c r="F463" s="466">
        <v>2018</v>
      </c>
      <c r="G463" s="620">
        <v>0</v>
      </c>
      <c r="H463" s="464">
        <f t="shared" si="331"/>
        <v>8</v>
      </c>
      <c r="I463" s="560"/>
      <c r="J463" s="468">
        <f t="shared" si="325"/>
        <v>2025</v>
      </c>
      <c r="K463" s="490">
        <f t="shared" si="332"/>
        <v>0</v>
      </c>
      <c r="L463" s="469">
        <f t="shared" si="333"/>
        <v>0</v>
      </c>
      <c r="M463" s="683">
        <f t="shared" si="334"/>
        <v>0</v>
      </c>
      <c r="N463" s="470">
        <f t="shared" si="335"/>
        <v>8</v>
      </c>
      <c r="O463" s="468">
        <f t="shared" si="326"/>
        <v>2025</v>
      </c>
      <c r="P463" s="616">
        <f t="shared" si="336"/>
        <v>12542576069.365198</v>
      </c>
      <c r="Q463" s="472">
        <f t="shared" si="337"/>
        <v>12542576069.365198</v>
      </c>
      <c r="R463" s="472">
        <f t="shared" si="338"/>
        <v>1567822008.67065</v>
      </c>
      <c r="S463" s="754">
        <f t="shared" si="327"/>
        <v>2018</v>
      </c>
      <c r="T463" s="470">
        <f t="shared" si="340"/>
        <v>1</v>
      </c>
      <c r="U463" s="612">
        <f t="shared" si="328"/>
        <v>1567822008.67065</v>
      </c>
      <c r="V463" s="464">
        <f t="shared" si="329"/>
        <v>2018</v>
      </c>
      <c r="W463" s="612">
        <f t="shared" si="339"/>
        <v>10974754060.694548</v>
      </c>
      <c r="X463" s="473"/>
      <c r="Y463" s="478"/>
      <c r="Z463" s="449"/>
      <c r="AA463" s="531" t="s">
        <v>4183</v>
      </c>
      <c r="AB463" s="496"/>
      <c r="AC463" s="496"/>
      <c r="AD463" s="569">
        <f>AD462-W467</f>
        <v>0</v>
      </c>
      <c r="AE463" s="476"/>
      <c r="AF463" s="568"/>
      <c r="AG463" s="476"/>
      <c r="AH463" s="476"/>
      <c r="AI463" s="477"/>
      <c r="AJ463" s="478"/>
      <c r="AK463" s="479"/>
      <c r="AL463" s="480"/>
      <c r="AM463" s="474"/>
      <c r="AN463" s="481"/>
      <c r="AO463" s="474"/>
      <c r="AP463" s="476"/>
      <c r="AQ463" s="482"/>
      <c r="AR463" s="478"/>
      <c r="AS463" s="478"/>
      <c r="AT463" s="476"/>
      <c r="AU463" s="482"/>
      <c r="AV463" s="478"/>
      <c r="AW463" s="483"/>
      <c r="AX463" s="476"/>
      <c r="AY463" s="482"/>
      <c r="AZ463" s="478"/>
      <c r="BA463" s="484"/>
      <c r="BB463" s="474"/>
      <c r="BC463" s="485"/>
      <c r="BD463" s="485"/>
      <c r="BG463" s="487"/>
    </row>
    <row r="464" spans="1:59" s="486" customFormat="1" ht="18" customHeight="1" x14ac:dyDescent="0.2">
      <c r="A464" s="1368" t="str">
        <f t="shared" si="330"/>
        <v>SIMP. STM BERINGIN - SAWAH2019</v>
      </c>
      <c r="B464" s="687"/>
      <c r="C464" s="463"/>
      <c r="D464" s="489"/>
      <c r="E464" s="465"/>
      <c r="F464" s="466">
        <v>2019</v>
      </c>
      <c r="G464" s="620">
        <v>0</v>
      </c>
      <c r="H464" s="464">
        <f t="shared" si="331"/>
        <v>7</v>
      </c>
      <c r="I464" s="560"/>
      <c r="J464" s="468">
        <f t="shared" si="325"/>
        <v>2025</v>
      </c>
      <c r="K464" s="490">
        <f t="shared" si="332"/>
        <v>0</v>
      </c>
      <c r="L464" s="469">
        <f t="shared" si="333"/>
        <v>0</v>
      </c>
      <c r="M464" s="683">
        <f t="shared" si="334"/>
        <v>0</v>
      </c>
      <c r="N464" s="470">
        <f t="shared" si="335"/>
        <v>7</v>
      </c>
      <c r="O464" s="468">
        <f t="shared" si="326"/>
        <v>2025</v>
      </c>
      <c r="P464" s="616">
        <f t="shared" si="336"/>
        <v>10974754060.694548</v>
      </c>
      <c r="Q464" s="472">
        <f t="shared" si="337"/>
        <v>10974754060.694548</v>
      </c>
      <c r="R464" s="472">
        <f t="shared" si="338"/>
        <v>1567822008.67065</v>
      </c>
      <c r="S464" s="1189">
        <f t="shared" si="327"/>
        <v>2019</v>
      </c>
      <c r="T464" s="470">
        <f>S464-S463</f>
        <v>1</v>
      </c>
      <c r="U464" s="612">
        <f t="shared" si="328"/>
        <v>1567822008.67065</v>
      </c>
      <c r="V464" s="464">
        <f t="shared" si="329"/>
        <v>2019</v>
      </c>
      <c r="W464" s="612">
        <f t="shared" si="339"/>
        <v>9406932052.0238972</v>
      </c>
      <c r="X464" s="473"/>
      <c r="Y464" s="497"/>
      <c r="Z464" s="449"/>
      <c r="AA464" s="497"/>
      <c r="AB464" s="476"/>
      <c r="AC464" s="497"/>
      <c r="AD464" s="568"/>
      <c r="AE464" s="476"/>
      <c r="AF464" s="568"/>
      <c r="AG464" s="476"/>
      <c r="AH464" s="476"/>
      <c r="AI464" s="477"/>
      <c r="AJ464" s="478"/>
      <c r="AK464" s="479"/>
      <c r="AL464" s="480"/>
      <c r="AM464" s="474"/>
      <c r="AN464" s="481"/>
      <c r="AO464" s="474"/>
      <c r="AP464" s="476"/>
      <c r="AQ464" s="482"/>
      <c r="AR464" s="478"/>
      <c r="AS464" s="478"/>
      <c r="AT464" s="476"/>
      <c r="AU464" s="482"/>
      <c r="AV464" s="478"/>
      <c r="AW464" s="483"/>
      <c r="AX464" s="476"/>
      <c r="AY464" s="482"/>
      <c r="AZ464" s="478"/>
      <c r="BA464" s="484"/>
      <c r="BB464" s="474"/>
      <c r="BC464" s="485"/>
      <c r="BD464" s="485"/>
      <c r="BG464" s="487"/>
    </row>
    <row r="465" spans="1:59" s="486" customFormat="1" ht="18" customHeight="1" x14ac:dyDescent="0.2">
      <c r="A465" s="1368"/>
      <c r="B465" s="687"/>
      <c r="C465" s="463"/>
      <c r="D465" s="489"/>
      <c r="E465" s="465"/>
      <c r="F465" s="466"/>
      <c r="G465" s="620"/>
      <c r="H465" s="464"/>
      <c r="I465" s="467"/>
      <c r="J465" s="468"/>
      <c r="K465" s="490"/>
      <c r="L465" s="469"/>
      <c r="M465" s="683"/>
      <c r="N465" s="470"/>
      <c r="O465" s="468"/>
      <c r="P465" s="616"/>
      <c r="Q465" s="472"/>
      <c r="R465" s="472"/>
      <c r="S465" s="634"/>
      <c r="T465" s="470"/>
      <c r="U465" s="612"/>
      <c r="V465" s="464"/>
      <c r="W465" s="612"/>
      <c r="X465" s="473"/>
      <c r="Y465" s="497"/>
      <c r="Z465" s="449"/>
      <c r="AA465" s="497"/>
      <c r="AB465" s="476"/>
      <c r="AC465" s="497"/>
      <c r="AD465" s="568"/>
      <c r="AE465" s="476"/>
      <c r="AF465" s="568"/>
      <c r="AG465" s="476"/>
      <c r="AH465" s="476"/>
      <c r="AI465" s="477"/>
      <c r="AJ465" s="478"/>
      <c r="AK465" s="479"/>
      <c r="AL465" s="480"/>
      <c r="AM465" s="474"/>
      <c r="AN465" s="481"/>
      <c r="AO465" s="474"/>
      <c r="AP465" s="476"/>
      <c r="AQ465" s="482"/>
      <c r="AR465" s="478"/>
      <c r="AS465" s="478"/>
      <c r="AT465" s="476"/>
      <c r="AU465" s="482"/>
      <c r="AV465" s="478"/>
      <c r="AW465" s="483"/>
      <c r="AX465" s="476"/>
      <c r="AY465" s="482"/>
      <c r="AZ465" s="478"/>
      <c r="BA465" s="484"/>
      <c r="BB465" s="474"/>
      <c r="BC465" s="485"/>
      <c r="BD465" s="485"/>
      <c r="BG465" s="487"/>
    </row>
    <row r="466" spans="1:59" s="486" customFormat="1" ht="18" customHeight="1" x14ac:dyDescent="0.2">
      <c r="A466" s="1369"/>
      <c r="B466" s="687"/>
      <c r="C466" s="463"/>
      <c r="D466" s="464"/>
      <c r="E466" s="465"/>
      <c r="F466" s="634"/>
      <c r="G466" s="620"/>
      <c r="H466" s="469" t="str">
        <f>IF(OR(AND(ISBLANK(E466),ISBLANK(G466)),ISTEXT(E466),ISTEXT(G466)),"",IF(#REF!-(YEAR(E466)-YEAR(#REF!))&lt;0,0,#REF!-(YEAR(E466)-YEAR(#REF!))))</f>
        <v/>
      </c>
      <c r="I466" s="467" t="str">
        <f>IF(OR(AND(ISBLANK(E466),ISBLANK(G466)),ISTEXT(E466),ISTEXT(G466)),"",IF(#REF!-E466&lt;0,0,#REF!-E466))</f>
        <v/>
      </c>
      <c r="J466" s="498" t="str">
        <f>IF(OR(AND(ISBLANK(E466),ISBLANK(G466)),ISTEXT(E466),ISTEXT(G466)),"",#REF!)</f>
        <v/>
      </c>
      <c r="K466" s="498"/>
      <c r="L466" s="469" t="str">
        <f>IF(OR(AND(ISBLANK(E466),ISBLANK(G466)),ISTEXT(E466),ISTEXT(G466)),"",ROUNDDOWN(G466/SUM($G$57:G463)*$H$57,0))</f>
        <v/>
      </c>
      <c r="M466" s="683" t="str">
        <f>IF(OR(AND(ISBLANK(E466),ISBLANK(G466)),ISTEXT(E466),ISTEXT(G466)),"",IF(H466+L466&gt;$H$57,$H$57-H466,L466))</f>
        <v/>
      </c>
      <c r="N466" s="470" t="str">
        <f>IF(OR(AND(ISBLANK(E466),ISBLANK(G466)),ISTEXT(E466),ISTEXT(G466)),"",H466+M466)</f>
        <v/>
      </c>
      <c r="O466" s="498" t="str">
        <f>IF(OR(AND(ISBLANK(E466),ISBLANK(G466)),ISTEXT(E466),ISTEXT(G466)),"",DATE(YEAR($J466)+M466,MONTH($J466),DAY($J466)))</f>
        <v/>
      </c>
      <c r="P466" s="748" t="str">
        <f>IF(OR(AND(ISBLANK(E466),ISBLANK(G466)),ISTEXT(E466),ISTEXT(G466)),"",#REF!-#REF!*(IF(J466&lt;E466,J466,E466)-#REF!))</f>
        <v/>
      </c>
      <c r="Q466" s="500" t="str">
        <f>IF(OR(AND(ISBLANK(E466),ISBLANK(G466)),ISTEXT(E466),ISTEXT(G466)),"",P466+G466)</f>
        <v/>
      </c>
      <c r="R466" s="501" t="str">
        <f>IF(OR(AND(ISBLANK(E466),ISBLANK(G466)),ISTEXT(E466),ISTEXT(G466)),"",IF(OR(E466&lt;DATE(2004,12,31),#REF!=0),0,Q466/#REF!))</f>
        <v/>
      </c>
      <c r="S466" s="502" t="str">
        <f>IF(OR(AND(ISBLANK(E466),ISBLANK(G466)),ISTEXT(E466),ISTEXT(G466)),"",IF(YEAR(E466)&lt;=YEAR(#REF!),"-",YEAR(E466)-1))</f>
        <v/>
      </c>
      <c r="T466" s="502"/>
      <c r="U466" s="612" t="str">
        <f>IF(OR(AND(ISBLANK(E466),ISBLANK(G466)),ISTEXT(E466),ISTEXT(G466)),"",IF(AND(J466&lt;=DATE(2004,12,31),E466&gt;J466),SUM($G466:G466),#REF!+#REF!+#REF!*IF(YEAR(E466)&lt;=YEAR(#REF!),0,(IF(DATE(YEAR(E466)-1,12,31)&gt;J466,J466,DATE(YEAR(E466)-1,12,31))-#REF!))))</f>
        <v/>
      </c>
      <c r="V466" s="503" t="str">
        <f>IF(OR(AND(ISBLANK(E466),ISBLANK(G466)),ISTEXT(E466),ISTEXT(G466)),"",IF(YEAR(E466)=YEAR(E467),E467,DATE(YEAR(E466),12,31)))</f>
        <v/>
      </c>
      <c r="W466" s="612" t="str">
        <f>IF(OR(AND(ISBLANK(E466),ISBLANK(G466)),ISTEXT(E466),ISTEXT(G466)),"",IF(Q466=0,0,IF(AND(J466&lt;=DATE(2004,12,31),E466&gt;=J466),Q466-U466,Q466-#REF!)))</f>
        <v/>
      </c>
      <c r="X466" s="504" t="str">
        <f>IF(OR(AND(ISBLANK(E466),ISBLANK(G466)),ISTEXT(E466),ISTEXT(G466)),"",$D$57&amp;"//"&amp;TEXT($E$57,"dd-mmm-yyyy")&amp;"//"&amp;#REF!)</f>
        <v/>
      </c>
      <c r="Y466" s="476"/>
      <c r="Z466" s="476"/>
      <c r="AA466" s="476"/>
      <c r="AB466" s="476"/>
      <c r="AC466" s="476"/>
      <c r="AD466" s="568"/>
      <c r="AE466" s="476"/>
      <c r="AF466" s="568"/>
      <c r="AG466" s="476"/>
      <c r="AH466" s="476"/>
      <c r="AI466" s="477"/>
      <c r="AJ466" s="478"/>
      <c r="AK466" s="479"/>
      <c r="AL466" s="480"/>
      <c r="AM466" s="474"/>
      <c r="AN466" s="481"/>
      <c r="AO466" s="474"/>
      <c r="AP466" s="476"/>
      <c r="AQ466" s="482"/>
      <c r="AR466" s="478"/>
      <c r="AS466" s="478"/>
      <c r="AT466" s="476"/>
      <c r="AU466" s="482"/>
      <c r="AV466" s="478"/>
      <c r="AW466" s="483"/>
      <c r="AX466" s="476"/>
      <c r="AY466" s="482"/>
      <c r="AZ466" s="478"/>
      <c r="BA466" s="484"/>
      <c r="BB466" s="474"/>
      <c r="BC466" s="485"/>
      <c r="BD466" s="485"/>
      <c r="BG466" s="487"/>
    </row>
    <row r="467" spans="1:59" s="526" customFormat="1" ht="18" customHeight="1" x14ac:dyDescent="0.2">
      <c r="A467" s="1370" t="s">
        <v>4184</v>
      </c>
      <c r="B467" s="1956" t="s">
        <v>4184</v>
      </c>
      <c r="C467" s="1957"/>
      <c r="D467" s="1957"/>
      <c r="E467" s="1957"/>
      <c r="F467" s="1958"/>
      <c r="G467" s="624">
        <f>SUM(G455:G466)</f>
        <v>22272006869.258331</v>
      </c>
      <c r="H467" s="505"/>
      <c r="I467" s="506"/>
      <c r="J467" s="507"/>
      <c r="K467" s="507"/>
      <c r="L467" s="505"/>
      <c r="M467" s="684"/>
      <c r="N467" s="508"/>
      <c r="O467" s="507"/>
      <c r="P467" s="749"/>
      <c r="Q467" s="510"/>
      <c r="R467" s="511"/>
      <c r="S467" s="512"/>
      <c r="T467" s="512"/>
      <c r="U467" s="610">
        <f>SUM(U455:U466)</f>
        <v>12865074817.234432</v>
      </c>
      <c r="V467" s="513"/>
      <c r="W467" s="610">
        <f>G467-U467</f>
        <v>9406932052.0238991</v>
      </c>
      <c r="X467" s="514"/>
      <c r="Y467" s="515"/>
      <c r="Z467" s="515"/>
      <c r="AA467" s="515"/>
      <c r="AB467" s="515"/>
      <c r="AC467" s="515"/>
      <c r="AD467" s="570"/>
      <c r="AE467" s="515"/>
      <c r="AF467" s="570">
        <v>14322901096.106277</v>
      </c>
      <c r="AG467" s="515"/>
      <c r="AH467" s="515"/>
      <c r="AI467" s="516"/>
      <c r="AJ467" s="517"/>
      <c r="AK467" s="518"/>
      <c r="AL467" s="519"/>
      <c r="AM467" s="520"/>
      <c r="AN467" s="521"/>
      <c r="AO467" s="520"/>
      <c r="AP467" s="515"/>
      <c r="AQ467" s="522"/>
      <c r="AR467" s="517"/>
      <c r="AS467" s="517"/>
      <c r="AT467" s="515"/>
      <c r="AU467" s="522"/>
      <c r="AV467" s="517"/>
      <c r="AW467" s="523"/>
      <c r="AX467" s="515"/>
      <c r="AY467" s="522"/>
      <c r="AZ467" s="517"/>
      <c r="BA467" s="524"/>
      <c r="BB467" s="520"/>
      <c r="BC467" s="525"/>
      <c r="BD467" s="525"/>
      <c r="BG467" s="527"/>
    </row>
    <row r="470" spans="1:59" s="422" customFormat="1" ht="18" customHeight="1" x14ac:dyDescent="0.2">
      <c r="A470" s="1366">
        <f>C470</f>
        <v>75</v>
      </c>
      <c r="B470" s="742" t="s">
        <v>4187</v>
      </c>
      <c r="C470" s="556">
        <v>75</v>
      </c>
      <c r="D470" s="553" t="str">
        <f>VLOOKUP(C470,RUAS,2,FALSE)</f>
        <v>BUNDARAN DPRD - JL. PROPINSI</v>
      </c>
      <c r="E470" s="553"/>
      <c r="F470" s="421"/>
      <c r="G470" s="611"/>
      <c r="I470" s="423"/>
      <c r="J470" s="424"/>
      <c r="K470" s="424"/>
      <c r="M470" s="680"/>
      <c r="P470" s="611"/>
      <c r="U470" s="611"/>
      <c r="W470" s="611"/>
      <c r="Y470" s="425"/>
      <c r="Z470" s="425"/>
      <c r="AA470" s="425"/>
      <c r="AB470" s="425"/>
      <c r="AC470" s="425"/>
      <c r="AD470" s="563"/>
      <c r="AE470" s="425"/>
      <c r="AF470" s="563"/>
      <c r="AG470" s="425"/>
      <c r="AH470" s="425"/>
      <c r="AI470" s="425"/>
      <c r="AJ470" s="425"/>
      <c r="AK470" s="425"/>
      <c r="AL470" s="425"/>
      <c r="AM470" s="425"/>
      <c r="AN470" s="425"/>
      <c r="AO470" s="425"/>
      <c r="AP470" s="425"/>
      <c r="AQ470" s="425"/>
      <c r="AR470" s="425"/>
      <c r="AS470" s="425"/>
      <c r="AT470" s="425"/>
      <c r="AU470" s="425"/>
      <c r="AV470" s="425"/>
      <c r="AW470" s="425"/>
      <c r="AX470" s="425"/>
      <c r="AY470" s="425"/>
      <c r="AZ470" s="425"/>
      <c r="BA470" s="425"/>
      <c r="BB470" s="425"/>
    </row>
    <row r="471" spans="1:59" s="431" customFormat="1" ht="18" customHeight="1" x14ac:dyDescent="0.2">
      <c r="A471" s="1367"/>
      <c r="B471" s="1968" t="s">
        <v>5</v>
      </c>
      <c r="C471" s="1968" t="s">
        <v>2280</v>
      </c>
      <c r="D471" s="1968" t="s">
        <v>4157</v>
      </c>
      <c r="E471" s="1968" t="s">
        <v>4158</v>
      </c>
      <c r="F471" s="1968"/>
      <c r="G471" s="1969" t="s">
        <v>4159</v>
      </c>
      <c r="H471" s="1968" t="s">
        <v>4160</v>
      </c>
      <c r="I471" s="1968"/>
      <c r="J471" s="1968" t="s">
        <v>4185</v>
      </c>
      <c r="K471" s="1964" t="s">
        <v>4162</v>
      </c>
      <c r="L471" s="1968" t="s">
        <v>4163</v>
      </c>
      <c r="M471" s="1971" t="s">
        <v>4164</v>
      </c>
      <c r="N471" s="1962" t="s">
        <v>4165</v>
      </c>
      <c r="O471" s="1968" t="s">
        <v>4166</v>
      </c>
      <c r="P471" s="1972" t="s">
        <v>4167</v>
      </c>
      <c r="Q471" s="1973"/>
      <c r="R471" s="636" t="s">
        <v>4186</v>
      </c>
      <c r="S471" s="1972" t="s">
        <v>4169</v>
      </c>
      <c r="T471" s="1974"/>
      <c r="U471" s="1973"/>
      <c r="V471" s="1975" t="s">
        <v>4170</v>
      </c>
      <c r="W471" s="1975"/>
      <c r="X471" s="1960" t="s">
        <v>4171</v>
      </c>
      <c r="Y471" s="1959"/>
      <c r="Z471" s="633"/>
      <c r="AA471" s="426"/>
      <c r="AB471" s="426"/>
      <c r="AC471" s="426"/>
      <c r="AD471" s="564"/>
      <c r="AE471" s="426"/>
      <c r="AF471" s="564"/>
      <c r="AG471" s="426"/>
      <c r="AH471" s="426"/>
      <c r="AI471" s="427"/>
      <c r="AJ471" s="427"/>
      <c r="AK471" s="427"/>
      <c r="AL471" s="427"/>
      <c r="AM471" s="428"/>
      <c r="AN471" s="427"/>
      <c r="AO471" s="427"/>
      <c r="AP471" s="426"/>
      <c r="AQ471" s="427"/>
      <c r="AR471" s="427"/>
      <c r="AS471" s="427"/>
      <c r="AT471" s="426"/>
      <c r="AU471" s="427"/>
      <c r="AV471" s="427"/>
      <c r="AW471" s="427"/>
      <c r="AX471" s="426"/>
      <c r="AY471" s="427"/>
      <c r="AZ471" s="427"/>
      <c r="BA471" s="427"/>
      <c r="BB471" s="429"/>
      <c r="BC471" s="430"/>
      <c r="BD471" s="430"/>
    </row>
    <row r="472" spans="1:59" s="431" customFormat="1" ht="18" customHeight="1" x14ac:dyDescent="0.2">
      <c r="A472" s="1367"/>
      <c r="B472" s="1968"/>
      <c r="C472" s="1968"/>
      <c r="D472" s="1968"/>
      <c r="E472" s="1968"/>
      <c r="F472" s="1968"/>
      <c r="G472" s="1969"/>
      <c r="H472" s="1968"/>
      <c r="I472" s="1968"/>
      <c r="J472" s="1968"/>
      <c r="K472" s="1970"/>
      <c r="L472" s="1968"/>
      <c r="M472" s="1971"/>
      <c r="N472" s="1963"/>
      <c r="O472" s="1968"/>
      <c r="P472" s="2037" t="s">
        <v>4172</v>
      </c>
      <c r="Q472" s="1960" t="s">
        <v>4173</v>
      </c>
      <c r="R472" s="1962" t="s">
        <v>4159</v>
      </c>
      <c r="S472" s="1962" t="s">
        <v>4174</v>
      </c>
      <c r="T472" s="1964" t="s">
        <v>4175</v>
      </c>
      <c r="U472" s="1966" t="s">
        <v>4159</v>
      </c>
      <c r="V472" s="1975"/>
      <c r="W472" s="1975"/>
      <c r="X472" s="1976"/>
      <c r="Y472" s="1959"/>
      <c r="Z472" s="633"/>
      <c r="AA472" s="426"/>
      <c r="AB472" s="426"/>
      <c r="AC472" s="426"/>
      <c r="AD472" s="564"/>
      <c r="AE472" s="426"/>
      <c r="AF472" s="564"/>
      <c r="AG472" s="426"/>
      <c r="AH472" s="426"/>
      <c r="AI472" s="427"/>
      <c r="AJ472" s="427"/>
      <c r="AK472" s="426"/>
      <c r="AL472" s="427"/>
      <c r="AM472" s="428"/>
      <c r="AN472" s="427"/>
      <c r="AO472" s="427"/>
      <c r="AP472" s="432"/>
      <c r="AQ472" s="427"/>
      <c r="AR472" s="427"/>
      <c r="AS472" s="427"/>
      <c r="AT472" s="432"/>
      <c r="AU472" s="427"/>
      <c r="AV472" s="427"/>
      <c r="AW472" s="427"/>
      <c r="AX472" s="432"/>
      <c r="AY472" s="427"/>
      <c r="AZ472" s="427"/>
      <c r="BA472" s="427"/>
      <c r="BB472" s="429"/>
      <c r="BC472" s="430"/>
      <c r="BD472" s="430"/>
    </row>
    <row r="473" spans="1:59" s="431" customFormat="1" ht="18" customHeight="1" x14ac:dyDescent="0.2">
      <c r="A473" s="1367"/>
      <c r="B473" s="1968"/>
      <c r="C473" s="1968"/>
      <c r="D473" s="1968"/>
      <c r="E473" s="433" t="s">
        <v>4176</v>
      </c>
      <c r="F473" s="434" t="s">
        <v>2288</v>
      </c>
      <c r="G473" s="1969"/>
      <c r="H473" s="635" t="s">
        <v>2288</v>
      </c>
      <c r="I473" s="635" t="s">
        <v>4177</v>
      </c>
      <c r="J473" s="1968"/>
      <c r="K473" s="1965"/>
      <c r="L473" s="435" t="s">
        <v>2288</v>
      </c>
      <c r="M473" s="681" t="s">
        <v>2288</v>
      </c>
      <c r="N473" s="635" t="s">
        <v>2288</v>
      </c>
      <c r="O473" s="1968"/>
      <c r="P473" s="2038"/>
      <c r="Q473" s="1961"/>
      <c r="R473" s="1963"/>
      <c r="S473" s="1963"/>
      <c r="T473" s="1965"/>
      <c r="U473" s="1967"/>
      <c r="V473" s="635" t="s">
        <v>4178</v>
      </c>
      <c r="W473" s="637" t="s">
        <v>4159</v>
      </c>
      <c r="X473" s="1961"/>
      <c r="Y473" s="436"/>
      <c r="Z473" s="436"/>
      <c r="AA473" s="426"/>
      <c r="AB473" s="426"/>
      <c r="AC473" s="426"/>
      <c r="AD473" s="564"/>
      <c r="AE473" s="426"/>
      <c r="AF473" s="564"/>
      <c r="AG473" s="426"/>
      <c r="AH473" s="426"/>
      <c r="AI473" s="427"/>
      <c r="AJ473" s="432"/>
      <c r="AK473" s="432"/>
      <c r="AL473" s="427"/>
      <c r="AM473" s="428"/>
      <c r="AN473" s="432"/>
      <c r="AO473" s="427"/>
      <c r="AP473" s="432"/>
      <c r="AQ473" s="432"/>
      <c r="AR473" s="427"/>
      <c r="AS473" s="427"/>
      <c r="AT473" s="432"/>
      <c r="AU473" s="432"/>
      <c r="AV473" s="427"/>
      <c r="AW473" s="427"/>
      <c r="AX473" s="432"/>
      <c r="AY473" s="432"/>
      <c r="AZ473" s="427"/>
      <c r="BA473" s="427"/>
      <c r="BB473" s="429"/>
      <c r="BC473" s="430"/>
      <c r="BD473" s="430"/>
    </row>
    <row r="474" spans="1:59" s="461" customFormat="1" ht="18" customHeight="1" x14ac:dyDescent="0.2">
      <c r="A474" s="1368" t="str">
        <f>$D$470&amp;S474</f>
        <v>BUNDARAN DPRD - JL. PROPINSI2001</v>
      </c>
      <c r="B474" s="1373">
        <v>1</v>
      </c>
      <c r="C474" s="488" t="s">
        <v>529</v>
      </c>
      <c r="D474" s="489" t="s">
        <v>2494</v>
      </c>
      <c r="E474" s="558"/>
      <c r="F474" s="559">
        <v>2001</v>
      </c>
      <c r="G474" s="619">
        <v>5670000000</v>
      </c>
      <c r="H474" s="440">
        <f>VLOOKUP(LEFT(D474,8),UE,4)</f>
        <v>10</v>
      </c>
      <c r="I474" s="560"/>
      <c r="J474" s="468">
        <f>(F474+N474)-1</f>
        <v>2010</v>
      </c>
      <c r="K474" s="595"/>
      <c r="L474" s="557"/>
      <c r="M474" s="682">
        <f>IF(H474+L474&gt;$H474,$H474-H474,L474)</f>
        <v>0</v>
      </c>
      <c r="N474" s="584">
        <f>H474+M474</f>
        <v>10</v>
      </c>
      <c r="O474" s="468">
        <f>(F474+N474)-1</f>
        <v>2010</v>
      </c>
      <c r="P474" s="616">
        <f>G474</f>
        <v>5670000000</v>
      </c>
      <c r="Q474" s="472">
        <v>0</v>
      </c>
      <c r="R474" s="472">
        <f>P474/N474</f>
        <v>567000000</v>
      </c>
      <c r="S474" s="596">
        <f>F474</f>
        <v>2001</v>
      </c>
      <c r="T474" s="470">
        <v>1</v>
      </c>
      <c r="U474" s="612">
        <f t="shared" ref="U474:U483" si="341">R474*T474</f>
        <v>567000000</v>
      </c>
      <c r="V474" s="468">
        <f>F474</f>
        <v>2001</v>
      </c>
      <c r="W474" s="616">
        <f>IF(OR(AND(ISBLANK(E474),ISBLANK(G474)),ISTEXT(E474),ISTEXT(G474)),"",G474-R474)</f>
        <v>5103000000</v>
      </c>
      <c r="X474" s="561"/>
      <c r="Y474" s="449"/>
      <c r="Z474" s="449"/>
      <c r="AA474" s="450" t="s">
        <v>4179</v>
      </c>
      <c r="AB474" s="451"/>
      <c r="AC474" s="451"/>
      <c r="AD474" s="565"/>
      <c r="AE474" s="452"/>
      <c r="AF474" s="571"/>
      <c r="AG474" s="452"/>
      <c r="AH474" s="452"/>
      <c r="AI474" s="453"/>
      <c r="AJ474" s="449"/>
      <c r="AK474" s="453"/>
      <c r="AL474" s="454"/>
      <c r="AM474" s="455"/>
      <c r="AN474" s="456"/>
      <c r="AO474" s="455"/>
      <c r="AP474" s="452"/>
      <c r="AQ474" s="457"/>
      <c r="AR474" s="449"/>
      <c r="AS474" s="449"/>
      <c r="AT474" s="452"/>
      <c r="AU474" s="457"/>
      <c r="AV474" s="449"/>
      <c r="AW474" s="458"/>
      <c r="AX474" s="452"/>
      <c r="AY474" s="457"/>
      <c r="AZ474" s="449"/>
      <c r="BA474" s="459"/>
      <c r="BB474" s="455"/>
      <c r="BC474" s="460"/>
      <c r="BD474" s="460"/>
      <c r="BG474" s="462"/>
    </row>
    <row r="475" spans="1:59" s="461" customFormat="1" ht="18" customHeight="1" x14ac:dyDescent="0.2">
      <c r="A475" s="1368" t="str">
        <f t="shared" ref="A475:A485" si="342">$D$470&amp;S475</f>
        <v>BUNDARAN DPRD - JL. PROPINSI2006</v>
      </c>
      <c r="B475" s="1373"/>
      <c r="C475" s="488"/>
      <c r="D475" s="489"/>
      <c r="E475" s="558"/>
      <c r="F475" s="559">
        <v>2006</v>
      </c>
      <c r="G475" s="619">
        <v>0</v>
      </c>
      <c r="H475" s="464">
        <f>IF(N474-(F475-F474)&lt;=0,0,(N474-(F475-F474)))</f>
        <v>5</v>
      </c>
      <c r="I475" s="560"/>
      <c r="J475" s="468">
        <f>(F475+N475)-1</f>
        <v>2010</v>
      </c>
      <c r="K475" s="490">
        <f>IF(G475=0,0,IF(H475=10,100%,G475/W474))</f>
        <v>0</v>
      </c>
      <c r="L475" s="469">
        <f>IF(K475=0%,0,IF(K475&lt;=30%,2,IF(K475&lt;=60%,5,10)))</f>
        <v>0</v>
      </c>
      <c r="M475" s="683">
        <f>IF(OR(AND(ISBLANK(E475),ISBLANK(G475)),ISTEXT(E475),ISTEXT(G475)),"",IF(H475+L475&gt;$H$8,$H$8-H475,L475))</f>
        <v>0</v>
      </c>
      <c r="N475" s="470">
        <f>IF(OR(AND(ISBLANK(F475),ISBLANK(G475)),ISTEXT(F475),ISTEXT(G475)),"",H475+M475)</f>
        <v>5</v>
      </c>
      <c r="O475" s="468">
        <f>(F475+N475)-1</f>
        <v>2010</v>
      </c>
      <c r="P475" s="616">
        <f t="shared" ref="P475:P483" si="343">W474</f>
        <v>5103000000</v>
      </c>
      <c r="Q475" s="472">
        <f t="shared" ref="Q475:Q483" si="344">P475+G475</f>
        <v>5103000000</v>
      </c>
      <c r="R475" s="472">
        <f t="shared" ref="R475:R480" si="345">IF(L475=0,R474,Q475/N475)</f>
        <v>567000000</v>
      </c>
      <c r="S475" s="634">
        <f>F475</f>
        <v>2006</v>
      </c>
      <c r="T475" s="470">
        <f t="shared" ref="T475:T483" si="346">S475-S474</f>
        <v>5</v>
      </c>
      <c r="U475" s="612">
        <f>R475*T475</f>
        <v>2835000000</v>
      </c>
      <c r="V475" s="464">
        <f>F475</f>
        <v>2006</v>
      </c>
      <c r="W475" s="612">
        <f>IF(OR(AND(ISBLANK(E475),ISBLANK(G475)),ISTEXT(E475),ISTEXT(G475)),"",Q475-U475)</f>
        <v>2268000000</v>
      </c>
      <c r="X475" s="561"/>
      <c r="Y475" s="449"/>
      <c r="Z475" s="449"/>
      <c r="AA475" s="554"/>
      <c r="AB475" s="452"/>
      <c r="AC475" s="452"/>
      <c r="AD475" s="566"/>
      <c r="AE475" s="452"/>
      <c r="AF475" s="571"/>
      <c r="AG475" s="452"/>
      <c r="AH475" s="452"/>
      <c r="AI475" s="453"/>
      <c r="AJ475" s="449"/>
      <c r="AK475" s="453"/>
      <c r="AL475" s="454"/>
      <c r="AM475" s="455"/>
      <c r="AN475" s="456"/>
      <c r="AO475" s="455"/>
      <c r="AP475" s="452"/>
      <c r="AQ475" s="457"/>
      <c r="AR475" s="449"/>
      <c r="AS475" s="449"/>
      <c r="AT475" s="452"/>
      <c r="AU475" s="457"/>
      <c r="AV475" s="449"/>
      <c r="AW475" s="458"/>
      <c r="AX475" s="452"/>
      <c r="AY475" s="457"/>
      <c r="AZ475" s="449"/>
      <c r="BA475" s="459"/>
      <c r="BB475" s="455"/>
      <c r="BC475" s="460"/>
      <c r="BD475" s="460"/>
      <c r="BG475" s="462"/>
    </row>
    <row r="476" spans="1:59" s="461" customFormat="1" ht="18" customHeight="1" x14ac:dyDescent="0.2">
      <c r="A476" s="1368" t="str">
        <f t="shared" si="342"/>
        <v>BUNDARAN DPRD - JL. PROPINSI2007</v>
      </c>
      <c r="B476" s="1373">
        <v>2</v>
      </c>
      <c r="C476" s="488" t="s">
        <v>1147</v>
      </c>
      <c r="D476" s="489" t="s">
        <v>2494</v>
      </c>
      <c r="E476" s="558"/>
      <c r="F476" s="559">
        <v>2007</v>
      </c>
      <c r="G476" s="619">
        <v>1797674273.4540961</v>
      </c>
      <c r="H476" s="464">
        <f>IF(N474-(F476-F474)&lt;=0,0,(N474-(F476-F474)))</f>
        <v>4</v>
      </c>
      <c r="I476" s="560"/>
      <c r="J476" s="468">
        <f>(F476+N476)-1</f>
        <v>2015</v>
      </c>
      <c r="K476" s="490">
        <f>IF(G476=0,0,IF(H476=10,100%,G476/W474))</f>
        <v>0.35227792934628571</v>
      </c>
      <c r="L476" s="469">
        <f>IF(K476=0%,0,IF(K476&lt;=30%,2,IF(K476&lt;=60%,5,10)))</f>
        <v>5</v>
      </c>
      <c r="M476" s="683">
        <f>IF(OR(AND(ISBLANK(E476),ISBLANK(G476)),ISTEXT(E476),ISTEXT(G476)),"",IF(H476+L476&gt;$H$8,$H$8-H476,L476))</f>
        <v>5</v>
      </c>
      <c r="N476" s="470">
        <f>IF(OR(AND(ISBLANK(F476),ISBLANK(G476)),ISTEXT(F476),ISTEXT(G476)),"",H476+M476)</f>
        <v>9</v>
      </c>
      <c r="O476" s="468">
        <f>(F476+N476)-1</f>
        <v>2015</v>
      </c>
      <c r="P476" s="616">
        <f t="shared" si="343"/>
        <v>2268000000</v>
      </c>
      <c r="Q476" s="472">
        <f t="shared" si="344"/>
        <v>4065674273.4540958</v>
      </c>
      <c r="R476" s="472">
        <f t="shared" si="345"/>
        <v>451741585.93934399</v>
      </c>
      <c r="S476" s="634">
        <f>F476</f>
        <v>2007</v>
      </c>
      <c r="T476" s="470">
        <f t="shared" si="346"/>
        <v>1</v>
      </c>
      <c r="U476" s="612">
        <f t="shared" si="341"/>
        <v>451741585.93934399</v>
      </c>
      <c r="V476" s="464">
        <f>F476</f>
        <v>2007</v>
      </c>
      <c r="W476" s="612">
        <f t="shared" ref="W476:W483" si="347">IF(OR(AND(ISBLANK(E476),ISBLANK(G476)),ISTEXT(E476),ISTEXT(G476)),"",Q476-U476)</f>
        <v>3613932687.5147519</v>
      </c>
      <c r="X476" s="561"/>
      <c r="Y476" s="449"/>
      <c r="Z476" s="449"/>
      <c r="AA476" s="554"/>
      <c r="AB476" s="452"/>
      <c r="AC476" s="452"/>
      <c r="AD476" s="566"/>
      <c r="AE476" s="452"/>
      <c r="AF476" s="571"/>
      <c r="AG476" s="452"/>
      <c r="AH476" s="452"/>
      <c r="AI476" s="453"/>
      <c r="AJ476" s="449"/>
      <c r="AK476" s="453"/>
      <c r="AL476" s="454"/>
      <c r="AM476" s="455"/>
      <c r="AN476" s="456"/>
      <c r="AO476" s="455"/>
      <c r="AP476" s="452"/>
      <c r="AQ476" s="457"/>
      <c r="AR476" s="449"/>
      <c r="AS476" s="449"/>
      <c r="AT476" s="452"/>
      <c r="AU476" s="457"/>
      <c r="AV476" s="449"/>
      <c r="AW476" s="458"/>
      <c r="AX476" s="452"/>
      <c r="AY476" s="457"/>
      <c r="AZ476" s="449"/>
      <c r="BA476" s="459"/>
      <c r="BB476" s="455"/>
      <c r="BC476" s="460"/>
      <c r="BD476" s="460"/>
      <c r="BG476" s="462"/>
    </row>
    <row r="477" spans="1:59" s="461" customFormat="1" ht="18" customHeight="1" x14ac:dyDescent="0.2">
      <c r="A477" s="1368" t="str">
        <f t="shared" si="342"/>
        <v>BUNDARAN DPRD - JL. PROPINSI2010</v>
      </c>
      <c r="B477" s="1373"/>
      <c r="C477" s="488"/>
      <c r="D477" s="489"/>
      <c r="E477" s="558"/>
      <c r="F477" s="559">
        <v>2010</v>
      </c>
      <c r="G477" s="619">
        <v>0</v>
      </c>
      <c r="H477" s="464">
        <f t="shared" ref="H477:H483" si="348">IF(N476-(F477-F476)&lt;=0,0,(N476-(F477-F476)))</f>
        <v>6</v>
      </c>
      <c r="I477" s="560"/>
      <c r="J477" s="468">
        <f>(F477+N477)-1</f>
        <v>2015</v>
      </c>
      <c r="K477" s="490">
        <f>IF(G477=0,0,IF(H477=10,100%,G477/W476))</f>
        <v>0</v>
      </c>
      <c r="L477" s="469">
        <f>IF(K477=0%,0,IF(K477&lt;=30%,2,IF(K477&lt;=60%,5,10)))</f>
        <v>0</v>
      </c>
      <c r="M477" s="683">
        <f>IF(OR(AND(ISBLANK(E477),ISBLANK(G477)),ISTEXT(E477),ISTEXT(G477)),"",IF(H477+L477&gt;$H$8,$H$8-H477,L477))</f>
        <v>0</v>
      </c>
      <c r="N477" s="470">
        <f>IF(OR(AND(ISBLANK(F477),ISBLANK(G477)),ISTEXT(F477),ISTEXT(G477)),"",H477+M477)</f>
        <v>6</v>
      </c>
      <c r="O477" s="468">
        <f>(F477+N477)-1</f>
        <v>2015</v>
      </c>
      <c r="P477" s="616">
        <f t="shared" si="343"/>
        <v>3613932687.5147519</v>
      </c>
      <c r="Q477" s="472">
        <f t="shared" si="344"/>
        <v>3613932687.5147519</v>
      </c>
      <c r="R477" s="472">
        <f t="shared" si="345"/>
        <v>451741585.93934399</v>
      </c>
      <c r="S477" s="634">
        <f>F477</f>
        <v>2010</v>
      </c>
      <c r="T477" s="470">
        <f t="shared" si="346"/>
        <v>3</v>
      </c>
      <c r="U477" s="612">
        <f t="shared" si="341"/>
        <v>1355224757.818032</v>
      </c>
      <c r="V477" s="464">
        <f>F477</f>
        <v>2010</v>
      </c>
      <c r="W477" s="612">
        <f t="shared" si="347"/>
        <v>2258707929.6967201</v>
      </c>
      <c r="X477" s="561"/>
      <c r="Y477" s="449"/>
      <c r="Z477" s="449"/>
      <c r="AA477" s="554"/>
      <c r="AB477" s="452"/>
      <c r="AC477" s="452"/>
      <c r="AD477" s="566"/>
      <c r="AE477" s="452"/>
      <c r="AF477" s="571"/>
      <c r="AG477" s="452"/>
      <c r="AH477" s="452"/>
      <c r="AI477" s="453"/>
      <c r="AJ477" s="449"/>
      <c r="AK477" s="453"/>
      <c r="AL477" s="454"/>
      <c r="AM477" s="455"/>
      <c r="AN477" s="456"/>
      <c r="AO477" s="455"/>
      <c r="AP477" s="452"/>
      <c r="AQ477" s="457"/>
      <c r="AR477" s="449"/>
      <c r="AS477" s="449"/>
      <c r="AT477" s="452"/>
      <c r="AU477" s="457"/>
      <c r="AV477" s="449"/>
      <c r="AW477" s="458"/>
      <c r="AX477" s="452"/>
      <c r="AY477" s="457"/>
      <c r="AZ477" s="449"/>
      <c r="BA477" s="459"/>
      <c r="BB477" s="455"/>
      <c r="BC477" s="460"/>
      <c r="BD477" s="460"/>
      <c r="BG477" s="462"/>
    </row>
    <row r="478" spans="1:59" s="461" customFormat="1" ht="18" customHeight="1" x14ac:dyDescent="0.2">
      <c r="A478" s="1368" t="str">
        <f t="shared" si="342"/>
        <v>BUNDARAN DPRD - JL. PROPINSI2011</v>
      </c>
      <c r="B478" s="1373"/>
      <c r="C478" s="488"/>
      <c r="D478" s="489"/>
      <c r="E478" s="558"/>
      <c r="F478" s="559">
        <v>2011</v>
      </c>
      <c r="G478" s="619">
        <v>0</v>
      </c>
      <c r="H478" s="464">
        <f t="shared" si="348"/>
        <v>5</v>
      </c>
      <c r="I478" s="560"/>
      <c r="J478" s="468">
        <f t="shared" ref="J478:J483" si="349">(F478+N478)-1</f>
        <v>2015</v>
      </c>
      <c r="K478" s="490">
        <f t="shared" ref="K478:K483" si="350">IF(G478=0,0,IF(H478=10,100%,G478/W477))</f>
        <v>0</v>
      </c>
      <c r="L478" s="469">
        <f t="shared" ref="L478:L483" si="351">IF(K478=0%,0,IF(K478&lt;=30%,2,IF(K478&lt;=60%,5,10)))</f>
        <v>0</v>
      </c>
      <c r="M478" s="683">
        <f t="shared" ref="M478:M483" si="352">IF(OR(AND(ISBLANK(E478),ISBLANK(G478)),ISTEXT(E478),ISTEXT(G478)),"",IF(H478+L478&gt;$H$8,$H$8-H478,L478))</f>
        <v>0</v>
      </c>
      <c r="N478" s="470">
        <f t="shared" ref="N478:N483" si="353">IF(OR(AND(ISBLANK(F478),ISBLANK(G478)),ISTEXT(F478),ISTEXT(G478)),"",H478+M478)</f>
        <v>5</v>
      </c>
      <c r="O478" s="468">
        <f t="shared" ref="O478:O483" si="354">(F478+N478)-1</f>
        <v>2015</v>
      </c>
      <c r="P478" s="616">
        <f t="shared" si="343"/>
        <v>2258707929.6967201</v>
      </c>
      <c r="Q478" s="472">
        <f t="shared" si="344"/>
        <v>2258707929.6967201</v>
      </c>
      <c r="R478" s="472">
        <f t="shared" si="345"/>
        <v>451741585.93934399</v>
      </c>
      <c r="S478" s="634">
        <f t="shared" ref="S478:S483" si="355">F478</f>
        <v>2011</v>
      </c>
      <c r="T478" s="470">
        <f t="shared" si="346"/>
        <v>1</v>
      </c>
      <c r="U478" s="612">
        <f t="shared" si="341"/>
        <v>451741585.93934399</v>
      </c>
      <c r="V478" s="464">
        <f t="shared" ref="V478:V483" si="356">F478</f>
        <v>2011</v>
      </c>
      <c r="W478" s="612">
        <f t="shared" si="347"/>
        <v>1806966343.7573762</v>
      </c>
      <c r="X478" s="561"/>
      <c r="Y478" s="449"/>
      <c r="Z478" s="449"/>
      <c r="AA478" s="554"/>
      <c r="AB478" s="452"/>
      <c r="AC478" s="452"/>
      <c r="AD478" s="566"/>
      <c r="AE478" s="452"/>
      <c r="AF478" s="571"/>
      <c r="AG478" s="452"/>
      <c r="AH478" s="452"/>
      <c r="AI478" s="453"/>
      <c r="AJ478" s="449"/>
      <c r="AK478" s="453"/>
      <c r="AL478" s="454"/>
      <c r="AM478" s="455"/>
      <c r="AN478" s="456"/>
      <c r="AO478" s="455"/>
      <c r="AP478" s="452"/>
      <c r="AQ478" s="457"/>
      <c r="AR478" s="449"/>
      <c r="AS478" s="449"/>
      <c r="AT478" s="452"/>
      <c r="AU478" s="457"/>
      <c r="AV478" s="449"/>
      <c r="AW478" s="458"/>
      <c r="AX478" s="452"/>
      <c r="AY478" s="457"/>
      <c r="AZ478" s="449"/>
      <c r="BA478" s="459"/>
      <c r="BB478" s="455"/>
      <c r="BC478" s="460"/>
      <c r="BD478" s="460"/>
      <c r="BG478" s="462"/>
    </row>
    <row r="479" spans="1:59" s="461" customFormat="1" ht="18" customHeight="1" x14ac:dyDescent="0.2">
      <c r="A479" s="1368" t="str">
        <f t="shared" si="342"/>
        <v>BUNDARAN DPRD - JL. PROPINSI2013</v>
      </c>
      <c r="B479" s="1373"/>
      <c r="C479" s="488"/>
      <c r="D479" s="489"/>
      <c r="E479" s="558"/>
      <c r="F479" s="559">
        <v>2013</v>
      </c>
      <c r="G479" s="619">
        <v>0</v>
      </c>
      <c r="H479" s="464">
        <f t="shared" si="348"/>
        <v>3</v>
      </c>
      <c r="I479" s="560"/>
      <c r="J479" s="468">
        <f t="shared" si="349"/>
        <v>2015</v>
      </c>
      <c r="K479" s="490">
        <f t="shared" si="350"/>
        <v>0</v>
      </c>
      <c r="L479" s="469">
        <f t="shared" si="351"/>
        <v>0</v>
      </c>
      <c r="M479" s="683">
        <f t="shared" si="352"/>
        <v>0</v>
      </c>
      <c r="N479" s="470">
        <f t="shared" si="353"/>
        <v>3</v>
      </c>
      <c r="O479" s="468">
        <f t="shared" si="354"/>
        <v>2015</v>
      </c>
      <c r="P479" s="616">
        <f t="shared" si="343"/>
        <v>1806966343.7573762</v>
      </c>
      <c r="Q479" s="472">
        <f t="shared" si="344"/>
        <v>1806966343.7573762</v>
      </c>
      <c r="R479" s="472">
        <f t="shared" si="345"/>
        <v>451741585.93934399</v>
      </c>
      <c r="S479" s="634">
        <f t="shared" si="355"/>
        <v>2013</v>
      </c>
      <c r="T479" s="470">
        <f t="shared" si="346"/>
        <v>2</v>
      </c>
      <c r="U479" s="612">
        <f t="shared" si="341"/>
        <v>903483171.87868798</v>
      </c>
      <c r="V479" s="464">
        <f t="shared" si="356"/>
        <v>2013</v>
      </c>
      <c r="W479" s="612">
        <f t="shared" si="347"/>
        <v>903483171.87868822</v>
      </c>
      <c r="X479" s="561"/>
      <c r="Y479" s="449"/>
      <c r="Z479" s="449"/>
      <c r="AA479" s="554"/>
      <c r="AB479" s="452"/>
      <c r="AC479" s="452"/>
      <c r="AD479" s="566"/>
      <c r="AE479" s="452"/>
      <c r="AF479" s="571"/>
      <c r="AG479" s="452"/>
      <c r="AH479" s="452"/>
      <c r="AI479" s="453"/>
      <c r="AJ479" s="449"/>
      <c r="AK479" s="453"/>
      <c r="AL479" s="454"/>
      <c r="AM479" s="455"/>
      <c r="AN479" s="456"/>
      <c r="AO479" s="455"/>
      <c r="AP479" s="452"/>
      <c r="AQ479" s="457"/>
      <c r="AR479" s="449"/>
      <c r="AS479" s="449"/>
      <c r="AT479" s="452"/>
      <c r="AU479" s="457"/>
      <c r="AV479" s="449"/>
      <c r="AW479" s="458"/>
      <c r="AX479" s="452"/>
      <c r="AY479" s="457"/>
      <c r="AZ479" s="449"/>
      <c r="BA479" s="459"/>
      <c r="BB479" s="455"/>
      <c r="BC479" s="460"/>
      <c r="BD479" s="460"/>
      <c r="BG479" s="462"/>
    </row>
    <row r="480" spans="1:59" s="461" customFormat="1" ht="18" customHeight="1" x14ac:dyDescent="0.2">
      <c r="A480" s="1368" t="str">
        <f t="shared" si="342"/>
        <v>BUNDARAN DPRD - JL. PROPINSI2014</v>
      </c>
      <c r="B480" s="1373"/>
      <c r="C480" s="488"/>
      <c r="D480" s="489"/>
      <c r="E480" s="558"/>
      <c r="F480" s="466">
        <v>2014</v>
      </c>
      <c r="G480" s="619">
        <v>0</v>
      </c>
      <c r="H480" s="464">
        <f t="shared" si="348"/>
        <v>2</v>
      </c>
      <c r="I480" s="560"/>
      <c r="J480" s="468">
        <f t="shared" si="349"/>
        <v>2015</v>
      </c>
      <c r="K480" s="490">
        <f t="shared" si="350"/>
        <v>0</v>
      </c>
      <c r="L480" s="469">
        <f t="shared" si="351"/>
        <v>0</v>
      </c>
      <c r="M480" s="683">
        <f t="shared" si="352"/>
        <v>0</v>
      </c>
      <c r="N480" s="470">
        <f t="shared" si="353"/>
        <v>2</v>
      </c>
      <c r="O480" s="468">
        <f t="shared" si="354"/>
        <v>2015</v>
      </c>
      <c r="P480" s="616">
        <f t="shared" si="343"/>
        <v>903483171.87868822</v>
      </c>
      <c r="Q480" s="472">
        <f t="shared" si="344"/>
        <v>903483171.87868822</v>
      </c>
      <c r="R480" s="472">
        <f t="shared" si="345"/>
        <v>451741585.93934399</v>
      </c>
      <c r="S480" s="634">
        <f t="shared" si="355"/>
        <v>2014</v>
      </c>
      <c r="T480" s="470">
        <f t="shared" si="346"/>
        <v>1</v>
      </c>
      <c r="U480" s="612">
        <f t="shared" si="341"/>
        <v>451741585.93934399</v>
      </c>
      <c r="V480" s="464">
        <f t="shared" si="356"/>
        <v>2014</v>
      </c>
      <c r="W480" s="612">
        <f t="shared" si="347"/>
        <v>451741585.93934423</v>
      </c>
      <c r="X480" s="561"/>
      <c r="Y480" s="449"/>
      <c r="Z480" s="449"/>
      <c r="AA480" s="554"/>
      <c r="AB480" s="452"/>
      <c r="AC480" s="452"/>
      <c r="AD480" s="566"/>
      <c r="AE480" s="452"/>
      <c r="AF480" s="571"/>
      <c r="AG480" s="452"/>
      <c r="AH480" s="452"/>
      <c r="AI480" s="453"/>
      <c r="AJ480" s="449"/>
      <c r="AK480" s="453"/>
      <c r="AL480" s="454"/>
      <c r="AM480" s="455"/>
      <c r="AN480" s="456"/>
      <c r="AO480" s="455"/>
      <c r="AP480" s="452"/>
      <c r="AQ480" s="457"/>
      <c r="AR480" s="449"/>
      <c r="AS480" s="449"/>
      <c r="AT480" s="452"/>
      <c r="AU480" s="457"/>
      <c r="AV480" s="449"/>
      <c r="AW480" s="458"/>
      <c r="AX480" s="452"/>
      <c r="AY480" s="457"/>
      <c r="AZ480" s="449"/>
      <c r="BA480" s="459"/>
      <c r="BB480" s="455"/>
      <c r="BC480" s="460"/>
      <c r="BD480" s="460"/>
      <c r="BG480" s="462"/>
    </row>
    <row r="481" spans="1:59" s="461" customFormat="1" ht="18" customHeight="1" x14ac:dyDescent="0.2">
      <c r="A481" s="1368" t="str">
        <f t="shared" si="342"/>
        <v>BUNDARAN DPRD - JL. PROPINSI2015</v>
      </c>
      <c r="B481" s="1373"/>
      <c r="C481" s="488"/>
      <c r="D481" s="489"/>
      <c r="E481" s="558"/>
      <c r="F481" s="466">
        <v>2015</v>
      </c>
      <c r="G481" s="619">
        <v>0</v>
      </c>
      <c r="H481" s="464">
        <f>IF(N480-(F481-F480)&lt;=0,0,(N480-(F481-F480)))</f>
        <v>1</v>
      </c>
      <c r="I481" s="560"/>
      <c r="J481" s="468">
        <f t="shared" si="349"/>
        <v>2015</v>
      </c>
      <c r="K481" s="490">
        <f>IF(G481=0,0,IF(H481=10,100%,G481/W480))</f>
        <v>0</v>
      </c>
      <c r="L481" s="469">
        <f t="shared" si="351"/>
        <v>0</v>
      </c>
      <c r="M481" s="683">
        <f t="shared" si="352"/>
        <v>0</v>
      </c>
      <c r="N481" s="470">
        <f t="shared" si="353"/>
        <v>1</v>
      </c>
      <c r="O481" s="468">
        <f t="shared" si="354"/>
        <v>2015</v>
      </c>
      <c r="P481" s="616">
        <f>W480</f>
        <v>451741585.93934423</v>
      </c>
      <c r="Q481" s="472">
        <f t="shared" si="344"/>
        <v>451741585.93934423</v>
      </c>
      <c r="R481" s="472">
        <f>IF(L481=0,R480,Q481/N481)</f>
        <v>451741585.93934399</v>
      </c>
      <c r="S481" s="634">
        <f t="shared" si="355"/>
        <v>2015</v>
      </c>
      <c r="T481" s="470">
        <f>S481-S480</f>
        <v>1</v>
      </c>
      <c r="U481" s="612">
        <f t="shared" si="341"/>
        <v>451741585.93934399</v>
      </c>
      <c r="V481" s="464">
        <f t="shared" si="356"/>
        <v>2015</v>
      </c>
      <c r="W481" s="612">
        <f t="shared" si="347"/>
        <v>2.384185791015625E-7</v>
      </c>
      <c r="X481" s="561"/>
      <c r="Y481" s="449"/>
      <c r="Z481" s="449"/>
      <c r="AA481" s="554"/>
      <c r="AB481" s="452"/>
      <c r="AC481" s="452"/>
      <c r="AD481" s="566"/>
      <c r="AE481" s="452"/>
      <c r="AF481" s="571"/>
      <c r="AG481" s="452"/>
      <c r="AH481" s="452"/>
      <c r="AI481" s="453"/>
      <c r="AJ481" s="449"/>
      <c r="AK481" s="453"/>
      <c r="AL481" s="454"/>
      <c r="AM481" s="455"/>
      <c r="AN481" s="456"/>
      <c r="AO481" s="455"/>
      <c r="AP481" s="452"/>
      <c r="AQ481" s="457"/>
      <c r="AR481" s="449"/>
      <c r="AS481" s="449"/>
      <c r="AT481" s="452"/>
      <c r="AU481" s="457"/>
      <c r="AV481" s="449"/>
      <c r="AW481" s="458"/>
      <c r="AX481" s="452"/>
      <c r="AY481" s="457"/>
      <c r="AZ481" s="449"/>
      <c r="BA481" s="459"/>
      <c r="BB481" s="455"/>
      <c r="BC481" s="460"/>
      <c r="BD481" s="460"/>
      <c r="BG481" s="462"/>
    </row>
    <row r="482" spans="1:59" s="486" customFormat="1" ht="18" customHeight="1" x14ac:dyDescent="0.2">
      <c r="A482" s="1368" t="str">
        <f t="shared" si="342"/>
        <v>BUNDARAN DPRD - JL. PROPINSI2016</v>
      </c>
      <c r="B482" s="1373"/>
      <c r="C482" s="463"/>
      <c r="D482" s="489"/>
      <c r="E482" s="465"/>
      <c r="F482" s="466">
        <v>2016</v>
      </c>
      <c r="G482" s="620">
        <v>0</v>
      </c>
      <c r="H482" s="464">
        <f t="shared" si="348"/>
        <v>0</v>
      </c>
      <c r="I482" s="560"/>
      <c r="J482" s="468">
        <f t="shared" si="349"/>
        <v>2015</v>
      </c>
      <c r="K482" s="490">
        <f t="shared" si="350"/>
        <v>0</v>
      </c>
      <c r="L482" s="469">
        <f t="shared" si="351"/>
        <v>0</v>
      </c>
      <c r="M482" s="683">
        <f t="shared" si="352"/>
        <v>0</v>
      </c>
      <c r="N482" s="470">
        <f t="shared" si="353"/>
        <v>0</v>
      </c>
      <c r="O482" s="468">
        <f t="shared" si="354"/>
        <v>2015</v>
      </c>
      <c r="P482" s="616">
        <f t="shared" si="343"/>
        <v>2.384185791015625E-7</v>
      </c>
      <c r="Q482" s="472">
        <f t="shared" si="344"/>
        <v>2.384185791015625E-7</v>
      </c>
      <c r="R482" s="472">
        <v>0</v>
      </c>
      <c r="S482" s="634">
        <f t="shared" si="355"/>
        <v>2016</v>
      </c>
      <c r="T482" s="470">
        <f t="shared" si="346"/>
        <v>1</v>
      </c>
      <c r="U482" s="612">
        <f t="shared" si="341"/>
        <v>0</v>
      </c>
      <c r="V482" s="464">
        <f t="shared" si="356"/>
        <v>2016</v>
      </c>
      <c r="W482" s="612">
        <f t="shared" si="347"/>
        <v>2.384185791015625E-7</v>
      </c>
      <c r="X482" s="473"/>
      <c r="Y482" s="474"/>
      <c r="Z482" s="449"/>
      <c r="AA482" s="475" t="s">
        <v>4180</v>
      </c>
      <c r="AB482" s="476"/>
      <c r="AC482" s="476"/>
      <c r="AD482" s="567">
        <f>G489</f>
        <v>7467674273.4540958</v>
      </c>
      <c r="AE482" s="476"/>
      <c r="AF482" s="568"/>
      <c r="AG482" s="476"/>
      <c r="AH482" s="476"/>
      <c r="AI482" s="477"/>
      <c r="AJ482" s="478"/>
      <c r="AK482" s="479"/>
      <c r="AL482" s="480"/>
      <c r="AM482" s="474"/>
      <c r="AN482" s="481"/>
      <c r="AO482" s="474"/>
      <c r="AP482" s="476"/>
      <c r="AQ482" s="482"/>
      <c r="AR482" s="478"/>
      <c r="AS482" s="478"/>
      <c r="AT482" s="476"/>
      <c r="AU482" s="482"/>
      <c r="AV482" s="478"/>
      <c r="AW482" s="483"/>
      <c r="AX482" s="476"/>
      <c r="AY482" s="482"/>
      <c r="AZ482" s="478"/>
      <c r="BA482" s="484"/>
      <c r="BB482" s="474"/>
      <c r="BC482" s="485"/>
      <c r="BD482" s="485"/>
      <c r="BG482" s="487"/>
    </row>
    <row r="483" spans="1:59" s="486" customFormat="1" ht="18" customHeight="1" x14ac:dyDescent="0.2">
      <c r="A483" s="1368" t="str">
        <f t="shared" si="342"/>
        <v>BUNDARAN DPRD - JL. PROPINSI2017</v>
      </c>
      <c r="B483" s="1373"/>
      <c r="C483" s="488"/>
      <c r="D483" s="489"/>
      <c r="E483" s="465"/>
      <c r="F483" s="466">
        <v>2017</v>
      </c>
      <c r="G483" s="620">
        <v>0</v>
      </c>
      <c r="H483" s="464">
        <f t="shared" si="348"/>
        <v>0</v>
      </c>
      <c r="I483" s="560"/>
      <c r="J483" s="468">
        <f t="shared" si="349"/>
        <v>2016</v>
      </c>
      <c r="K483" s="490">
        <f t="shared" si="350"/>
        <v>0</v>
      </c>
      <c r="L483" s="469">
        <f t="shared" si="351"/>
        <v>0</v>
      </c>
      <c r="M483" s="683">
        <f t="shared" si="352"/>
        <v>0</v>
      </c>
      <c r="N483" s="470">
        <f t="shared" si="353"/>
        <v>0</v>
      </c>
      <c r="O483" s="468">
        <f t="shared" si="354"/>
        <v>2016</v>
      </c>
      <c r="P483" s="616">
        <f t="shared" si="343"/>
        <v>2.384185791015625E-7</v>
      </c>
      <c r="Q483" s="472">
        <f t="shared" si="344"/>
        <v>2.384185791015625E-7</v>
      </c>
      <c r="R483" s="472">
        <v>0</v>
      </c>
      <c r="S483" s="634">
        <f t="shared" si="355"/>
        <v>2017</v>
      </c>
      <c r="T483" s="470">
        <f t="shared" si="346"/>
        <v>1</v>
      </c>
      <c r="U483" s="612">
        <f t="shared" si="341"/>
        <v>0</v>
      </c>
      <c r="V483" s="464">
        <f t="shared" si="356"/>
        <v>2017</v>
      </c>
      <c r="W483" s="612">
        <f t="shared" si="347"/>
        <v>2.384185791015625E-7</v>
      </c>
      <c r="X483" s="473"/>
      <c r="Y483" s="478"/>
      <c r="Z483" s="449"/>
      <c r="AA483" s="475" t="s">
        <v>4181</v>
      </c>
      <c r="AB483" s="491"/>
      <c r="AC483" s="491"/>
      <c r="AD483" s="567">
        <f>U489</f>
        <v>7467674273.4540968</v>
      </c>
      <c r="AE483" s="491"/>
      <c r="AF483" s="568"/>
      <c r="AG483" s="491"/>
      <c r="AH483" s="491"/>
      <c r="AI483" s="477"/>
      <c r="AJ483" s="478"/>
      <c r="AK483" s="479"/>
      <c r="AL483" s="480"/>
      <c r="AM483" s="474"/>
      <c r="AN483" s="481"/>
      <c r="AO483" s="474"/>
      <c r="AP483" s="476"/>
      <c r="AQ483" s="482"/>
      <c r="AR483" s="478"/>
      <c r="AS483" s="478"/>
      <c r="AT483" s="476"/>
      <c r="AU483" s="482"/>
      <c r="AV483" s="478"/>
      <c r="AW483" s="483"/>
      <c r="AX483" s="476"/>
      <c r="AY483" s="482"/>
      <c r="AZ483" s="478"/>
      <c r="BA483" s="484"/>
      <c r="BB483" s="474"/>
      <c r="BC483" s="485"/>
      <c r="BD483" s="485"/>
      <c r="BG483" s="487"/>
    </row>
    <row r="484" spans="1:59" s="486" customFormat="1" ht="18" customHeight="1" x14ac:dyDescent="0.2">
      <c r="A484" s="1368" t="str">
        <f t="shared" si="342"/>
        <v>BUNDARAN DPRD - JL. PROPINSI2018</v>
      </c>
      <c r="B484" s="1373"/>
      <c r="C484" s="463"/>
      <c r="D484" s="489"/>
      <c r="E484" s="465"/>
      <c r="F484" s="466">
        <v>2018</v>
      </c>
      <c r="G484" s="620">
        <v>0</v>
      </c>
      <c r="H484" s="464">
        <f>IF(N483-(F484-F483)&lt;=0,0,(N483-(F484-F483)))</f>
        <v>0</v>
      </c>
      <c r="I484" s="560"/>
      <c r="J484" s="468">
        <f>(F484+N484)-1</f>
        <v>2017</v>
      </c>
      <c r="K484" s="490">
        <f>IF(G484=0,0,IF(H484=10,100%,G484/W483))</f>
        <v>0</v>
      </c>
      <c r="L484" s="469">
        <f>IF(K484=0%,0,IF(K484&lt;=30%,2,IF(K484&lt;=60%,5,10)))</f>
        <v>0</v>
      </c>
      <c r="M484" s="683">
        <f>IF(OR(AND(ISBLANK(E484),ISBLANK(G484)),ISTEXT(E484),ISTEXT(G484)),"",IF(H484+L484&gt;$H$8,$H$8-H484,L484))</f>
        <v>0</v>
      </c>
      <c r="N484" s="470">
        <f>IF(OR(AND(ISBLANK(F484),ISBLANK(G484)),ISTEXT(F484),ISTEXT(G484)),"",H484+M484)</f>
        <v>0</v>
      </c>
      <c r="O484" s="468">
        <f>(F484+N484)-1</f>
        <v>2017</v>
      </c>
      <c r="P484" s="616">
        <f>W483</f>
        <v>2.384185791015625E-7</v>
      </c>
      <c r="Q484" s="472">
        <f>P484+G484</f>
        <v>2.384185791015625E-7</v>
      </c>
      <c r="R484" s="472">
        <v>0</v>
      </c>
      <c r="S484" s="754">
        <f>F484</f>
        <v>2018</v>
      </c>
      <c r="T484" s="470">
        <f>S484-S483</f>
        <v>1</v>
      </c>
      <c r="U484" s="612">
        <f>R484*T484</f>
        <v>0</v>
      </c>
      <c r="V484" s="464">
        <f>F484</f>
        <v>2018</v>
      </c>
      <c r="W484" s="612">
        <f>IF(OR(AND(ISBLANK(E484),ISBLANK(G484)),ISTEXT(E484),ISTEXT(G484)),"",Q484-U484)</f>
        <v>2.384185791015625E-7</v>
      </c>
      <c r="X484" s="473"/>
      <c r="Y484" s="478"/>
      <c r="Z484" s="449"/>
      <c r="AA484" s="492" t="s">
        <v>4182</v>
      </c>
      <c r="AB484" s="476"/>
      <c r="AC484" s="476"/>
      <c r="AD484" s="567">
        <f>AD482-AD483</f>
        <v>0</v>
      </c>
      <c r="AE484" s="476"/>
      <c r="AF484" s="568"/>
      <c r="AG484" s="476"/>
      <c r="AH484" s="476"/>
      <c r="AI484" s="477"/>
      <c r="AJ484" s="478"/>
      <c r="AK484" s="479"/>
      <c r="AL484" s="480"/>
      <c r="AM484" s="474"/>
      <c r="AN484" s="481"/>
      <c r="AO484" s="474"/>
      <c r="AP484" s="476"/>
      <c r="AQ484" s="482"/>
      <c r="AR484" s="478"/>
      <c r="AS484" s="478"/>
      <c r="AT484" s="476"/>
      <c r="AU484" s="482"/>
      <c r="AV484" s="478"/>
      <c r="AW484" s="483"/>
      <c r="AX484" s="476"/>
      <c r="AY484" s="482"/>
      <c r="AZ484" s="478"/>
      <c r="BA484" s="484"/>
      <c r="BB484" s="474"/>
      <c r="BC484" s="485"/>
      <c r="BD484" s="485"/>
      <c r="BG484" s="487"/>
    </row>
    <row r="485" spans="1:59" s="486" customFormat="1" ht="18" customHeight="1" x14ac:dyDescent="0.2">
      <c r="A485" s="1368" t="str">
        <f t="shared" si="342"/>
        <v>BUNDARAN DPRD - JL. PROPINSI2019</v>
      </c>
      <c r="B485" s="687"/>
      <c r="C485" s="463"/>
      <c r="D485" s="489"/>
      <c r="E485" s="465"/>
      <c r="F485" s="466">
        <v>2019</v>
      </c>
      <c r="G485" s="620">
        <v>0</v>
      </c>
      <c r="H485" s="464">
        <f>IF(N484-(F485-F484)&lt;=0,0,(N484-(F485-F484)))</f>
        <v>0</v>
      </c>
      <c r="I485" s="560"/>
      <c r="J485" s="468">
        <f>(F485+N485)-1</f>
        <v>2018</v>
      </c>
      <c r="K485" s="490">
        <f>IF(G485=0,0,IF(H485=10,100%,G485/W484))</f>
        <v>0</v>
      </c>
      <c r="L485" s="469">
        <f>IF(K485=0%,0,IF(K485&lt;=30%,2,IF(K485&lt;=60%,5,10)))</f>
        <v>0</v>
      </c>
      <c r="M485" s="683">
        <f>IF(OR(AND(ISBLANK(E485),ISBLANK(G485)),ISTEXT(E485),ISTEXT(G485)),"",IF(H485+L485&gt;$H$8,$H$8-H485,L485))</f>
        <v>0</v>
      </c>
      <c r="N485" s="470">
        <f>IF(OR(AND(ISBLANK(F485),ISBLANK(G485)),ISTEXT(F485),ISTEXT(G485)),"",H485+M485)</f>
        <v>0</v>
      </c>
      <c r="O485" s="468">
        <f>(F485+N485)-1</f>
        <v>2018</v>
      </c>
      <c r="P485" s="616">
        <f>W484</f>
        <v>2.384185791015625E-7</v>
      </c>
      <c r="Q485" s="472">
        <f>P485+G485</f>
        <v>2.384185791015625E-7</v>
      </c>
      <c r="R485" s="472">
        <v>0</v>
      </c>
      <c r="S485" s="1189">
        <f>F485</f>
        <v>2019</v>
      </c>
      <c r="T485" s="470">
        <f>S485-S484</f>
        <v>1</v>
      </c>
      <c r="U485" s="612">
        <f>R485*T485</f>
        <v>0</v>
      </c>
      <c r="V485" s="464">
        <f>F485</f>
        <v>2019</v>
      </c>
      <c r="W485" s="612">
        <f>IF(OR(AND(ISBLANK(E485),ISBLANK(G485)),ISTEXT(E485),ISTEXT(G485)),"",Q485-U485)</f>
        <v>2.384185791015625E-7</v>
      </c>
      <c r="X485" s="473"/>
      <c r="Y485" s="478"/>
      <c r="Z485" s="449"/>
      <c r="AA485" s="531" t="s">
        <v>4183</v>
      </c>
      <c r="AB485" s="496"/>
      <c r="AC485" s="496"/>
      <c r="AD485" s="569">
        <f>AD484-W489</f>
        <v>0</v>
      </c>
      <c r="AE485" s="476"/>
      <c r="AF485" s="568"/>
      <c r="AG485" s="476"/>
      <c r="AH485" s="476"/>
      <c r="AI485" s="477"/>
      <c r="AJ485" s="478"/>
      <c r="AK485" s="479"/>
      <c r="AL485" s="480"/>
      <c r="AM485" s="474"/>
      <c r="AN485" s="481"/>
      <c r="AO485" s="474"/>
      <c r="AP485" s="476"/>
      <c r="AQ485" s="482"/>
      <c r="AR485" s="478"/>
      <c r="AS485" s="478"/>
      <c r="AT485" s="476"/>
      <c r="AU485" s="482"/>
      <c r="AV485" s="478"/>
      <c r="AW485" s="483"/>
      <c r="AX485" s="476"/>
      <c r="AY485" s="482"/>
      <c r="AZ485" s="478"/>
      <c r="BA485" s="484"/>
      <c r="BB485" s="474"/>
      <c r="BC485" s="485"/>
      <c r="BD485" s="485"/>
      <c r="BG485" s="487"/>
    </row>
    <row r="486" spans="1:59" s="486" customFormat="1" ht="18" customHeight="1" x14ac:dyDescent="0.2">
      <c r="A486" s="1368" t="str">
        <f>LEFT(D486,8)</f>
        <v/>
      </c>
      <c r="B486" s="687"/>
      <c r="C486" s="463"/>
      <c r="D486" s="489"/>
      <c r="E486" s="465"/>
      <c r="F486" s="466"/>
      <c r="G486" s="620"/>
      <c r="H486" s="557"/>
      <c r="I486" s="467"/>
      <c r="J486" s="468"/>
      <c r="K486" s="490"/>
      <c r="L486" s="469"/>
      <c r="M486" s="683"/>
      <c r="N486" s="470"/>
      <c r="O486" s="468"/>
      <c r="P486" s="616"/>
      <c r="Q486" s="472"/>
      <c r="R486" s="472"/>
      <c r="S486" s="634"/>
      <c r="T486" s="470"/>
      <c r="U486" s="612"/>
      <c r="V486" s="464"/>
      <c r="W486" s="612"/>
      <c r="X486" s="473"/>
      <c r="Y486" s="497"/>
      <c r="Z486" s="449"/>
      <c r="AA486" s="497"/>
      <c r="AB486" s="476"/>
      <c r="AC486" s="497"/>
      <c r="AD486" s="568"/>
      <c r="AE486" s="476"/>
      <c r="AF486" s="568"/>
      <c r="AG486" s="476"/>
      <c r="AH486" s="476"/>
      <c r="AI486" s="477"/>
      <c r="AJ486" s="478"/>
      <c r="AK486" s="479"/>
      <c r="AL486" s="480"/>
      <c r="AM486" s="474"/>
      <c r="AN486" s="481"/>
      <c r="AO486" s="474"/>
      <c r="AP486" s="476"/>
      <c r="AQ486" s="482"/>
      <c r="AR486" s="478"/>
      <c r="AS486" s="478"/>
      <c r="AT486" s="476"/>
      <c r="AU486" s="482"/>
      <c r="AV486" s="478"/>
      <c r="AW486" s="483"/>
      <c r="AX486" s="476"/>
      <c r="AY486" s="482"/>
      <c r="AZ486" s="478"/>
      <c r="BA486" s="484"/>
      <c r="BB486" s="474"/>
      <c r="BC486" s="485"/>
      <c r="BD486" s="485"/>
      <c r="BG486" s="487"/>
    </row>
    <row r="487" spans="1:59" s="486" customFormat="1" ht="18" customHeight="1" x14ac:dyDescent="0.2">
      <c r="A487" s="1368"/>
      <c r="B487" s="687"/>
      <c r="C487" s="463"/>
      <c r="D487" s="489"/>
      <c r="E487" s="465"/>
      <c r="F487" s="466"/>
      <c r="G487" s="620"/>
      <c r="H487" s="464"/>
      <c r="I487" s="467"/>
      <c r="J487" s="468"/>
      <c r="K487" s="490"/>
      <c r="L487" s="469"/>
      <c r="M487" s="683"/>
      <c r="N487" s="470"/>
      <c r="O487" s="468"/>
      <c r="P487" s="616"/>
      <c r="Q487" s="472"/>
      <c r="R487" s="472"/>
      <c r="S487" s="634"/>
      <c r="T487" s="470"/>
      <c r="U487" s="612"/>
      <c r="V487" s="464"/>
      <c r="W487" s="612"/>
      <c r="X487" s="473"/>
      <c r="Y487" s="497"/>
      <c r="Z487" s="449"/>
      <c r="AA487" s="497"/>
      <c r="AB487" s="476"/>
      <c r="AC487" s="497"/>
      <c r="AD487" s="568"/>
      <c r="AE487" s="476"/>
      <c r="AF487" s="568"/>
      <c r="AG487" s="476"/>
      <c r="AH487" s="476"/>
      <c r="AI487" s="477"/>
      <c r="AJ487" s="478"/>
      <c r="AK487" s="479"/>
      <c r="AL487" s="480"/>
      <c r="AM487" s="474"/>
      <c r="AN487" s="481"/>
      <c r="AO487" s="474"/>
      <c r="AP487" s="476"/>
      <c r="AQ487" s="482"/>
      <c r="AR487" s="478"/>
      <c r="AS487" s="478"/>
      <c r="AT487" s="476"/>
      <c r="AU487" s="482"/>
      <c r="AV487" s="478"/>
      <c r="AW487" s="483"/>
      <c r="AX487" s="476"/>
      <c r="AY487" s="482"/>
      <c r="AZ487" s="478"/>
      <c r="BA487" s="484"/>
      <c r="BB487" s="474"/>
      <c r="BC487" s="485"/>
      <c r="BD487" s="485"/>
      <c r="BG487" s="487"/>
    </row>
    <row r="488" spans="1:59" s="486" customFormat="1" ht="18" customHeight="1" x14ac:dyDescent="0.2">
      <c r="A488" s="1369"/>
      <c r="B488" s="687"/>
      <c r="C488" s="463"/>
      <c r="D488" s="464"/>
      <c r="E488" s="465"/>
      <c r="F488" s="634"/>
      <c r="G488" s="620"/>
      <c r="H488" s="469" t="str">
        <f>IF(OR(AND(ISBLANK(E488),ISBLANK(G488)),ISTEXT(E488),ISTEXT(G488)),"",IF(#REF!-(YEAR(E488)-YEAR(#REF!))&lt;0,0,#REF!-(YEAR(E488)-YEAR(#REF!))))</f>
        <v/>
      </c>
      <c r="I488" s="467" t="str">
        <f>IF(OR(AND(ISBLANK(E488),ISBLANK(G488)),ISTEXT(E488),ISTEXT(G488)),"",IF(#REF!-E488&lt;0,0,#REF!-E488))</f>
        <v/>
      </c>
      <c r="J488" s="498" t="str">
        <f>IF(OR(AND(ISBLANK(E488),ISBLANK(G488)),ISTEXT(E488),ISTEXT(G488)),"",#REF!)</f>
        <v/>
      </c>
      <c r="K488" s="498"/>
      <c r="L488" s="469" t="str">
        <f>IF(OR(AND(ISBLANK(E488),ISBLANK(G488)),ISTEXT(E488),ISTEXT(G488)),"",ROUNDDOWN(G488/SUM($G$57:G485)*$H$57,0))</f>
        <v/>
      </c>
      <c r="M488" s="683" t="str">
        <f>IF(OR(AND(ISBLANK(E488),ISBLANK(G488)),ISTEXT(E488),ISTEXT(G488)),"",IF(H488+L488&gt;$H$57,$H$57-H488,L488))</f>
        <v/>
      </c>
      <c r="N488" s="470" t="str">
        <f>IF(OR(AND(ISBLANK(E488),ISBLANK(G488)),ISTEXT(E488),ISTEXT(G488)),"",H488+M488)</f>
        <v/>
      </c>
      <c r="O488" s="498" t="str">
        <f>IF(OR(AND(ISBLANK(E488),ISBLANK(G488)),ISTEXT(E488),ISTEXT(G488)),"",DATE(YEAR($J488)+M488,MONTH($J488),DAY($J488)))</f>
        <v/>
      </c>
      <c r="P488" s="748" t="str">
        <f>IF(OR(AND(ISBLANK(E488),ISBLANK(G488)),ISTEXT(E488),ISTEXT(G488)),"",#REF!-#REF!*(IF(J488&lt;E488,J488,E488)-#REF!))</f>
        <v/>
      </c>
      <c r="Q488" s="500" t="str">
        <f>IF(OR(AND(ISBLANK(E488),ISBLANK(G488)),ISTEXT(E488),ISTEXT(G488)),"",P488+G488)</f>
        <v/>
      </c>
      <c r="R488" s="501" t="str">
        <f>IF(OR(AND(ISBLANK(E488),ISBLANK(G488)),ISTEXT(E488),ISTEXT(G488)),"",IF(OR(E488&lt;DATE(2004,12,31),#REF!=0),0,Q488/#REF!))</f>
        <v/>
      </c>
      <c r="S488" s="502" t="str">
        <f>IF(OR(AND(ISBLANK(E488),ISBLANK(G488)),ISTEXT(E488),ISTEXT(G488)),"",IF(YEAR(E488)&lt;=YEAR(#REF!),"-",YEAR(E488)-1))</f>
        <v/>
      </c>
      <c r="T488" s="502"/>
      <c r="U488" s="612" t="str">
        <f>IF(OR(AND(ISBLANK(E488),ISBLANK(G488)),ISTEXT(E488),ISTEXT(G488)),"",IF(AND(J488&lt;=DATE(2004,12,31),E488&gt;J488),SUM($G488:G488),#REF!+#REF!+#REF!*IF(YEAR(E488)&lt;=YEAR(#REF!),0,(IF(DATE(YEAR(E488)-1,12,31)&gt;J488,J488,DATE(YEAR(E488)-1,12,31))-#REF!))))</f>
        <v/>
      </c>
      <c r="V488" s="503" t="str">
        <f>IF(OR(AND(ISBLANK(E488),ISBLANK(G488)),ISTEXT(E488),ISTEXT(G488)),"",IF(YEAR(E488)=YEAR(E489),E489,DATE(YEAR(E488),12,31)))</f>
        <v/>
      </c>
      <c r="W488" s="612" t="str">
        <f>IF(OR(AND(ISBLANK(E488),ISBLANK(G488)),ISTEXT(E488),ISTEXT(G488)),"",IF(Q488=0,0,IF(AND(J488&lt;=DATE(2004,12,31),E488&gt;=J488),Q488-U488,Q488-#REF!)))</f>
        <v/>
      </c>
      <c r="X488" s="504" t="str">
        <f>IF(OR(AND(ISBLANK(E488),ISBLANK(G488)),ISTEXT(E488),ISTEXT(G488)),"",$D$57&amp;"//"&amp;TEXT($E$57,"dd-mmm-yyyy")&amp;"//"&amp;#REF!)</f>
        <v/>
      </c>
      <c r="Y488" s="476"/>
      <c r="Z488" s="476"/>
      <c r="AA488" s="476"/>
      <c r="AB488" s="476"/>
      <c r="AC488" s="476"/>
      <c r="AD488" s="568"/>
      <c r="AE488" s="476"/>
      <c r="AF488" s="568"/>
      <c r="AG488" s="476"/>
      <c r="AH488" s="476"/>
      <c r="AI488" s="477"/>
      <c r="AJ488" s="478"/>
      <c r="AK488" s="479"/>
      <c r="AL488" s="480"/>
      <c r="AM488" s="474"/>
      <c r="AN488" s="481"/>
      <c r="AO488" s="474"/>
      <c r="AP488" s="476"/>
      <c r="AQ488" s="482"/>
      <c r="AR488" s="478"/>
      <c r="AS488" s="478"/>
      <c r="AT488" s="476"/>
      <c r="AU488" s="482"/>
      <c r="AV488" s="478"/>
      <c r="AW488" s="483"/>
      <c r="AX488" s="476"/>
      <c r="AY488" s="482"/>
      <c r="AZ488" s="478"/>
      <c r="BA488" s="484"/>
      <c r="BB488" s="474"/>
      <c r="BC488" s="485"/>
      <c r="BD488" s="485"/>
      <c r="BG488" s="487"/>
    </row>
    <row r="489" spans="1:59" s="526" customFormat="1" ht="18" customHeight="1" x14ac:dyDescent="0.2">
      <c r="A489" s="1370" t="s">
        <v>4184</v>
      </c>
      <c r="B489" s="1956" t="s">
        <v>4184</v>
      </c>
      <c r="C489" s="1957"/>
      <c r="D489" s="1957"/>
      <c r="E489" s="1957"/>
      <c r="F489" s="1958"/>
      <c r="G489" s="621">
        <f>SUM(G474:G488)</f>
        <v>7467674273.4540958</v>
      </c>
      <c r="H489" s="505"/>
      <c r="I489" s="506"/>
      <c r="J489" s="507"/>
      <c r="K489" s="507"/>
      <c r="L489" s="505"/>
      <c r="M489" s="684"/>
      <c r="N489" s="508"/>
      <c r="O489" s="507"/>
      <c r="P489" s="749"/>
      <c r="Q489" s="510"/>
      <c r="R489" s="511"/>
      <c r="S489" s="512"/>
      <c r="T489" s="512"/>
      <c r="U489" s="610">
        <f>SUM(U474:U488)</f>
        <v>7467674273.4540968</v>
      </c>
      <c r="V489" s="513"/>
      <c r="W489" s="610">
        <f>G489-U489</f>
        <v>0</v>
      </c>
      <c r="X489" s="514"/>
      <c r="Y489" s="515"/>
      <c r="Z489" s="515"/>
      <c r="AA489" s="515"/>
      <c r="AB489" s="515"/>
      <c r="AC489" s="515"/>
      <c r="AD489" s="570"/>
      <c r="AE489" s="515"/>
      <c r="AF489" s="570">
        <v>7467674273.4540977</v>
      </c>
      <c r="AG489" s="515"/>
      <c r="AH489" s="515"/>
      <c r="AI489" s="516"/>
      <c r="AJ489" s="517"/>
      <c r="AK489" s="518"/>
      <c r="AL489" s="519"/>
      <c r="AM489" s="520"/>
      <c r="AN489" s="521"/>
      <c r="AO489" s="520"/>
      <c r="AP489" s="515"/>
      <c r="AQ489" s="522"/>
      <c r="AR489" s="517"/>
      <c r="AS489" s="517"/>
      <c r="AT489" s="515"/>
      <c r="AU489" s="522"/>
      <c r="AV489" s="517"/>
      <c r="AW489" s="523"/>
      <c r="AX489" s="515"/>
      <c r="AY489" s="522"/>
      <c r="AZ489" s="517"/>
      <c r="BA489" s="524"/>
      <c r="BB489" s="520"/>
      <c r="BC489" s="525"/>
      <c r="BD489" s="525"/>
      <c r="BG489" s="527"/>
    </row>
    <row r="492" spans="1:59" s="422" customFormat="1" ht="18" customHeight="1" x14ac:dyDescent="0.2">
      <c r="A492" s="1366">
        <f>C492</f>
        <v>76</v>
      </c>
      <c r="B492" s="742" t="s">
        <v>4187</v>
      </c>
      <c r="C492" s="556">
        <v>76</v>
      </c>
      <c r="D492" s="553" t="str">
        <f>VLOOKUP(C492,RUAS,2,FALSE)</f>
        <v>JL. PERINDAGKOP</v>
      </c>
      <c r="E492" s="553"/>
      <c r="F492" s="421"/>
      <c r="G492" s="611"/>
      <c r="I492" s="423"/>
      <c r="J492" s="424"/>
      <c r="K492" s="424"/>
      <c r="M492" s="680"/>
      <c r="P492" s="611"/>
      <c r="U492" s="611"/>
      <c r="W492" s="611"/>
      <c r="Y492" s="425"/>
      <c r="Z492" s="425"/>
      <c r="AA492" s="425"/>
      <c r="AB492" s="425"/>
      <c r="AC492" s="425"/>
      <c r="AD492" s="563"/>
      <c r="AE492" s="425"/>
      <c r="AF492" s="563"/>
      <c r="AG492" s="425"/>
      <c r="AH492" s="425"/>
      <c r="AI492" s="425"/>
      <c r="AJ492" s="425"/>
      <c r="AK492" s="425"/>
      <c r="AL492" s="425"/>
      <c r="AM492" s="425"/>
      <c r="AN492" s="425"/>
      <c r="AO492" s="425"/>
      <c r="AP492" s="425"/>
      <c r="AQ492" s="425"/>
      <c r="AR492" s="425"/>
      <c r="AS492" s="425"/>
      <c r="AT492" s="425"/>
      <c r="AU492" s="425"/>
      <c r="AV492" s="425"/>
      <c r="AW492" s="425"/>
      <c r="AX492" s="425"/>
      <c r="AY492" s="425"/>
      <c r="AZ492" s="425"/>
      <c r="BA492" s="425"/>
      <c r="BB492" s="425"/>
    </row>
    <row r="493" spans="1:59" s="431" customFormat="1" ht="18" customHeight="1" x14ac:dyDescent="0.2">
      <c r="A493" s="1367"/>
      <c r="B493" s="1968" t="s">
        <v>5</v>
      </c>
      <c r="C493" s="1968" t="s">
        <v>2280</v>
      </c>
      <c r="D493" s="1968" t="s">
        <v>4157</v>
      </c>
      <c r="E493" s="1968" t="s">
        <v>4158</v>
      </c>
      <c r="F493" s="1968"/>
      <c r="G493" s="1969" t="s">
        <v>4159</v>
      </c>
      <c r="H493" s="1968" t="s">
        <v>4160</v>
      </c>
      <c r="I493" s="1968"/>
      <c r="J493" s="1968" t="s">
        <v>4185</v>
      </c>
      <c r="K493" s="1964" t="s">
        <v>4162</v>
      </c>
      <c r="L493" s="1968" t="s">
        <v>4163</v>
      </c>
      <c r="M493" s="1971" t="s">
        <v>4164</v>
      </c>
      <c r="N493" s="1962" t="s">
        <v>4165</v>
      </c>
      <c r="O493" s="1968" t="s">
        <v>4166</v>
      </c>
      <c r="P493" s="1972" t="s">
        <v>4167</v>
      </c>
      <c r="Q493" s="1973"/>
      <c r="R493" s="1255" t="s">
        <v>4186</v>
      </c>
      <c r="S493" s="1972" t="s">
        <v>4169</v>
      </c>
      <c r="T493" s="1974"/>
      <c r="U493" s="1973"/>
      <c r="V493" s="1975" t="s">
        <v>4170</v>
      </c>
      <c r="W493" s="1975"/>
      <c r="X493" s="1960" t="s">
        <v>4171</v>
      </c>
      <c r="Y493" s="1959"/>
      <c r="Z493" s="1256"/>
      <c r="AA493" s="426"/>
      <c r="AB493" s="426"/>
      <c r="AC493" s="426"/>
      <c r="AD493" s="564"/>
      <c r="AE493" s="426"/>
      <c r="AF493" s="564"/>
      <c r="AG493" s="426"/>
      <c r="AH493" s="426"/>
      <c r="AI493" s="427"/>
      <c r="AJ493" s="427"/>
      <c r="AK493" s="427"/>
      <c r="AL493" s="427"/>
      <c r="AM493" s="428"/>
      <c r="AN493" s="427"/>
      <c r="AO493" s="427"/>
      <c r="AP493" s="426"/>
      <c r="AQ493" s="427"/>
      <c r="AR493" s="427"/>
      <c r="AS493" s="427"/>
      <c r="AT493" s="426"/>
      <c r="AU493" s="427"/>
      <c r="AV493" s="427"/>
      <c r="AW493" s="427"/>
      <c r="AX493" s="426"/>
      <c r="AY493" s="427"/>
      <c r="AZ493" s="427"/>
      <c r="BA493" s="427"/>
      <c r="BB493" s="429"/>
      <c r="BC493" s="430"/>
      <c r="BD493" s="430"/>
    </row>
    <row r="494" spans="1:59" s="431" customFormat="1" ht="18" customHeight="1" x14ac:dyDescent="0.2">
      <c r="A494" s="1367"/>
      <c r="B494" s="1968"/>
      <c r="C494" s="1968"/>
      <c r="D494" s="1968"/>
      <c r="E494" s="1968"/>
      <c r="F494" s="1968"/>
      <c r="G494" s="1969"/>
      <c r="H494" s="1968"/>
      <c r="I494" s="1968"/>
      <c r="J494" s="1968"/>
      <c r="K494" s="1970"/>
      <c r="L494" s="1968"/>
      <c r="M494" s="1971"/>
      <c r="N494" s="1963"/>
      <c r="O494" s="1968"/>
      <c r="P494" s="2037" t="s">
        <v>4172</v>
      </c>
      <c r="Q494" s="1960" t="s">
        <v>4173</v>
      </c>
      <c r="R494" s="1962" t="s">
        <v>4159</v>
      </c>
      <c r="S494" s="1962" t="s">
        <v>4174</v>
      </c>
      <c r="T494" s="1964" t="s">
        <v>4175</v>
      </c>
      <c r="U494" s="1966" t="s">
        <v>4159</v>
      </c>
      <c r="V494" s="1975"/>
      <c r="W494" s="1975"/>
      <c r="X494" s="1976"/>
      <c r="Y494" s="1959"/>
      <c r="Z494" s="1256"/>
      <c r="AA494" s="426"/>
      <c r="AB494" s="426"/>
      <c r="AC494" s="426"/>
      <c r="AD494" s="564"/>
      <c r="AE494" s="426"/>
      <c r="AF494" s="564"/>
      <c r="AG494" s="426"/>
      <c r="AH494" s="426"/>
      <c r="AI494" s="427"/>
      <c r="AJ494" s="427"/>
      <c r="AK494" s="426"/>
      <c r="AL494" s="427"/>
      <c r="AM494" s="428"/>
      <c r="AN494" s="427"/>
      <c r="AO494" s="427"/>
      <c r="AP494" s="432"/>
      <c r="AQ494" s="427"/>
      <c r="AR494" s="427"/>
      <c r="AS494" s="427"/>
      <c r="AT494" s="432"/>
      <c r="AU494" s="427"/>
      <c r="AV494" s="427"/>
      <c r="AW494" s="427"/>
      <c r="AX494" s="432"/>
      <c r="AY494" s="427"/>
      <c r="AZ494" s="427"/>
      <c r="BA494" s="427"/>
      <c r="BB494" s="429"/>
      <c r="BC494" s="430"/>
      <c r="BD494" s="430"/>
    </row>
    <row r="495" spans="1:59" s="431" customFormat="1" ht="18" customHeight="1" x14ac:dyDescent="0.2">
      <c r="A495" s="1367"/>
      <c r="B495" s="1968"/>
      <c r="C495" s="1968"/>
      <c r="D495" s="1968"/>
      <c r="E495" s="433" t="s">
        <v>4176</v>
      </c>
      <c r="F495" s="434" t="s">
        <v>2288</v>
      </c>
      <c r="G495" s="1969"/>
      <c r="H495" s="1254" t="s">
        <v>2288</v>
      </c>
      <c r="I495" s="1254" t="s">
        <v>4177</v>
      </c>
      <c r="J495" s="1968"/>
      <c r="K495" s="1965"/>
      <c r="L495" s="435" t="s">
        <v>2288</v>
      </c>
      <c r="M495" s="681" t="s">
        <v>2288</v>
      </c>
      <c r="N495" s="1254" t="s">
        <v>2288</v>
      </c>
      <c r="O495" s="1968"/>
      <c r="P495" s="2038"/>
      <c r="Q495" s="1961"/>
      <c r="R495" s="1963"/>
      <c r="S495" s="1963"/>
      <c r="T495" s="1965"/>
      <c r="U495" s="1967"/>
      <c r="V495" s="1254" t="s">
        <v>4178</v>
      </c>
      <c r="W495" s="1257" t="s">
        <v>4159</v>
      </c>
      <c r="X495" s="1961"/>
      <c r="Y495" s="436"/>
      <c r="Z495" s="436"/>
      <c r="AA495" s="426"/>
      <c r="AB495" s="426"/>
      <c r="AC495" s="426"/>
      <c r="AD495" s="564"/>
      <c r="AE495" s="426"/>
      <c r="AF495" s="564"/>
      <c r="AG495" s="426"/>
      <c r="AH495" s="426"/>
      <c r="AI495" s="427"/>
      <c r="AJ495" s="432"/>
      <c r="AK495" s="432"/>
      <c r="AL495" s="427"/>
      <c r="AM495" s="428"/>
      <c r="AN495" s="432"/>
      <c r="AO495" s="427"/>
      <c r="AP495" s="432"/>
      <c r="AQ495" s="432"/>
      <c r="AR495" s="427"/>
      <c r="AS495" s="427"/>
      <c r="AT495" s="432"/>
      <c r="AU495" s="432"/>
      <c r="AV495" s="427"/>
      <c r="AW495" s="427"/>
      <c r="AX495" s="432"/>
      <c r="AY495" s="432"/>
      <c r="AZ495" s="427"/>
      <c r="BA495" s="427"/>
      <c r="BB495" s="429"/>
      <c r="BC495" s="430"/>
      <c r="BD495" s="430"/>
    </row>
    <row r="496" spans="1:59" s="461" customFormat="1" ht="18" customHeight="1" x14ac:dyDescent="0.2">
      <c r="A496" s="1368" t="str">
        <f>$D$492&amp;S496</f>
        <v>JL. PERINDAGKOP2001</v>
      </c>
      <c r="B496" s="1373">
        <v>1</v>
      </c>
      <c r="C496" s="488" t="s">
        <v>1135</v>
      </c>
      <c r="D496" s="489" t="s">
        <v>2494</v>
      </c>
      <c r="E496" s="558"/>
      <c r="F496" s="559">
        <v>2001</v>
      </c>
      <c r="G496" s="619">
        <v>3741417795</v>
      </c>
      <c r="H496" s="440">
        <f>VLOOKUP(LEFT(D496,8),UE,4)</f>
        <v>10</v>
      </c>
      <c r="I496" s="560"/>
      <c r="J496" s="468">
        <f>(F496+N496)-1</f>
        <v>2010</v>
      </c>
      <c r="K496" s="595"/>
      <c r="L496" s="557"/>
      <c r="M496" s="682">
        <f>IF(H496+L496&gt;$H496,$H496-H496,L496)</f>
        <v>0</v>
      </c>
      <c r="N496" s="584">
        <f>H496+M496</f>
        <v>10</v>
      </c>
      <c r="O496" s="468">
        <f>(F496+N496)-1</f>
        <v>2010</v>
      </c>
      <c r="P496" s="616">
        <f>G496</f>
        <v>3741417795</v>
      </c>
      <c r="Q496" s="472">
        <v>0</v>
      </c>
      <c r="R496" s="472">
        <f>P496/N496</f>
        <v>374141779.5</v>
      </c>
      <c r="S496" s="596">
        <f>F496</f>
        <v>2001</v>
      </c>
      <c r="T496" s="470">
        <v>1</v>
      </c>
      <c r="U496" s="612">
        <f>R496*T496</f>
        <v>374141779.5</v>
      </c>
      <c r="V496" s="468">
        <f>F496</f>
        <v>2001</v>
      </c>
      <c r="W496" s="616">
        <f>IF(OR(AND(ISBLANK(E496),ISBLANK(G496)),ISTEXT(E496),ISTEXT(G496)),"",G496-R496)</f>
        <v>3367276015.5</v>
      </c>
      <c r="X496" s="561"/>
      <c r="Y496" s="449"/>
      <c r="Z496" s="449"/>
      <c r="AA496" s="450" t="s">
        <v>4179</v>
      </c>
      <c r="AB496" s="451"/>
      <c r="AC496" s="451"/>
      <c r="AD496" s="565"/>
      <c r="AE496" s="452"/>
      <c r="AF496" s="571"/>
      <c r="AG496" s="452"/>
      <c r="AH496" s="452"/>
      <c r="AI496" s="453"/>
      <c r="AJ496" s="449"/>
      <c r="AK496" s="453"/>
      <c r="AL496" s="454"/>
      <c r="AM496" s="455"/>
      <c r="AN496" s="456"/>
      <c r="AO496" s="455"/>
      <c r="AP496" s="452"/>
      <c r="AQ496" s="457"/>
      <c r="AR496" s="449"/>
      <c r="AS496" s="449"/>
      <c r="AT496" s="452"/>
      <c r="AU496" s="457"/>
      <c r="AV496" s="449"/>
      <c r="AW496" s="458"/>
      <c r="AX496" s="452"/>
      <c r="AY496" s="457"/>
      <c r="AZ496" s="449"/>
      <c r="BA496" s="459"/>
      <c r="BB496" s="455"/>
      <c r="BC496" s="460"/>
      <c r="BD496" s="460"/>
      <c r="BG496" s="462"/>
    </row>
    <row r="497" spans="1:59" s="461" customFormat="1" ht="18" customHeight="1" x14ac:dyDescent="0.2">
      <c r="A497" s="1368" t="str">
        <f t="shared" ref="A497:A510" si="357">$D$492&amp;S497</f>
        <v>JL. PERINDAGKOP2006</v>
      </c>
      <c r="B497" s="1373"/>
      <c r="C497" s="488"/>
      <c r="D497" s="489"/>
      <c r="E497" s="558"/>
      <c r="F497" s="559">
        <v>2006</v>
      </c>
      <c r="G497" s="619">
        <v>0</v>
      </c>
      <c r="H497" s="464">
        <f>IF(N496-(F497-F496)&lt;=0,0,(N496-(F497-F496)))</f>
        <v>5</v>
      </c>
      <c r="I497" s="560"/>
      <c r="J497" s="468">
        <f>(F497+N497)-1</f>
        <v>2010</v>
      </c>
      <c r="K497" s="490">
        <f>IF(G497=0,0,IF(H497=10,100%,G497/W496))</f>
        <v>0</v>
      </c>
      <c r="L497" s="469">
        <f>IF(K497=0%,0,IF(K497&lt;=30%,2,IF(K497&lt;=60%,5,10)))</f>
        <v>0</v>
      </c>
      <c r="M497" s="683">
        <f>IF(OR(AND(ISBLANK(E497),ISBLANK(G497)),ISTEXT(E497),ISTEXT(G497)),"",IF(H497+L497&gt;$H$8,$H$8-H497,L497))</f>
        <v>0</v>
      </c>
      <c r="N497" s="470">
        <f>IF(OR(AND(ISBLANK(F497),ISBLANK(G497)),ISTEXT(F497),ISTEXT(G497)),"",H497+M497)</f>
        <v>5</v>
      </c>
      <c r="O497" s="468">
        <f>(F497+N497)-1</f>
        <v>2010</v>
      </c>
      <c r="P497" s="616">
        <f>W496</f>
        <v>3367276015.5</v>
      </c>
      <c r="Q497" s="472">
        <f>P497+G497</f>
        <v>3367276015.5</v>
      </c>
      <c r="R497" s="472">
        <f>IF(L497=0,R496,Q497/N497)</f>
        <v>374141779.5</v>
      </c>
      <c r="S497" s="1189">
        <f>F497</f>
        <v>2006</v>
      </c>
      <c r="T497" s="470">
        <f>S497-S496</f>
        <v>5</v>
      </c>
      <c r="U497" s="612">
        <f>R497*T497</f>
        <v>1870708897.5</v>
      </c>
      <c r="V497" s="464">
        <f>F497</f>
        <v>2006</v>
      </c>
      <c r="W497" s="612">
        <f>IF(OR(AND(ISBLANK(E497),ISBLANK(G497)),ISTEXT(E497),ISTEXT(G497)),"",Q497-U497)</f>
        <v>1496567118</v>
      </c>
      <c r="X497" s="561"/>
      <c r="Y497" s="449"/>
      <c r="Z497" s="449"/>
      <c r="AA497" s="554"/>
      <c r="AB497" s="452"/>
      <c r="AC497" s="452"/>
      <c r="AD497" s="566"/>
      <c r="AE497" s="452"/>
      <c r="AF497" s="571"/>
      <c r="AG497" s="452"/>
      <c r="AH497" s="452"/>
      <c r="AI497" s="453"/>
      <c r="AJ497" s="449"/>
      <c r="AK497" s="453"/>
      <c r="AL497" s="454"/>
      <c r="AM497" s="455"/>
      <c r="AN497" s="456"/>
      <c r="AO497" s="455"/>
      <c r="AP497" s="452"/>
      <c r="AQ497" s="457"/>
      <c r="AR497" s="449"/>
      <c r="AS497" s="449"/>
      <c r="AT497" s="452"/>
      <c r="AU497" s="457"/>
      <c r="AV497" s="449"/>
      <c r="AW497" s="458"/>
      <c r="AX497" s="452"/>
      <c r="AY497" s="457"/>
      <c r="AZ497" s="449"/>
      <c r="BA497" s="459"/>
      <c r="BB497" s="455"/>
      <c r="BC497" s="460"/>
      <c r="BD497" s="460"/>
      <c r="BG497" s="462"/>
    </row>
    <row r="498" spans="1:59" s="461" customFormat="1" ht="18" customHeight="1" x14ac:dyDescent="0.2">
      <c r="A498" s="1368" t="str">
        <f t="shared" si="357"/>
        <v>JL. PERINDAGKOP2007</v>
      </c>
      <c r="B498" s="1373"/>
      <c r="C498" s="488"/>
      <c r="D498" s="489"/>
      <c r="E498" s="558"/>
      <c r="F498" s="559">
        <v>2007</v>
      </c>
      <c r="G498" s="619">
        <v>0</v>
      </c>
      <c r="H498" s="464">
        <f t="shared" ref="H498:H509" si="358">IF(N497-(F498-F497)&lt;=0,0,(N497-(F498-F497)))</f>
        <v>4</v>
      </c>
      <c r="I498" s="560"/>
      <c r="J498" s="468">
        <f t="shared" ref="J498:J509" si="359">(F498+N498)-1</f>
        <v>2010</v>
      </c>
      <c r="K498" s="490">
        <f t="shared" ref="K498:K509" si="360">IF(G498=0,0,IF(H498=10,100%,G498/W497))</f>
        <v>0</v>
      </c>
      <c r="L498" s="469">
        <f t="shared" ref="L498:L509" si="361">IF(K498=0%,0,IF(K498&lt;=30%,2,IF(K498&lt;=60%,5,10)))</f>
        <v>0</v>
      </c>
      <c r="M498" s="683">
        <f t="shared" ref="M498:M509" si="362">IF(OR(AND(ISBLANK(E498),ISBLANK(G498)),ISTEXT(E498),ISTEXT(G498)),"",IF(H498+L498&gt;$H$8,$H$8-H498,L498))</f>
        <v>0</v>
      </c>
      <c r="N498" s="470">
        <f t="shared" ref="N498:N509" si="363">IF(OR(AND(ISBLANK(F498),ISBLANK(G498)),ISTEXT(F498),ISTEXT(G498)),"",H498+M498)</f>
        <v>4</v>
      </c>
      <c r="O498" s="468">
        <f t="shared" ref="O498:O509" si="364">(F498+N498)-1</f>
        <v>2010</v>
      </c>
      <c r="P498" s="616">
        <f t="shared" ref="P498:P509" si="365">W497</f>
        <v>1496567118</v>
      </c>
      <c r="Q498" s="472">
        <f t="shared" ref="Q498:Q509" si="366">P498+G498</f>
        <v>1496567118</v>
      </c>
      <c r="R498" s="472">
        <f t="shared" ref="R498:R510" si="367">IF(L498=0,R497,Q498/N498)</f>
        <v>374141779.5</v>
      </c>
      <c r="S498" s="1189">
        <f t="shared" ref="S498:S509" si="368">F498</f>
        <v>2007</v>
      </c>
      <c r="T498" s="470">
        <f t="shared" ref="T498:T509" si="369">S498-S497</f>
        <v>1</v>
      </c>
      <c r="U498" s="612">
        <f t="shared" ref="U498:U509" si="370">R498*T498</f>
        <v>374141779.5</v>
      </c>
      <c r="V498" s="464">
        <f t="shared" ref="V498:V509" si="371">F498</f>
        <v>2007</v>
      </c>
      <c r="W498" s="612">
        <f t="shared" ref="W498:W509" si="372">IF(OR(AND(ISBLANK(E498),ISBLANK(G498)),ISTEXT(E498),ISTEXT(G498)),"",Q498-U498)</f>
        <v>1122425338.5</v>
      </c>
      <c r="X498" s="561"/>
      <c r="Y498" s="449"/>
      <c r="Z498" s="449"/>
      <c r="AA498" s="554"/>
      <c r="AB498" s="452"/>
      <c r="AC498" s="452"/>
      <c r="AD498" s="566"/>
      <c r="AE498" s="452"/>
      <c r="AF498" s="571"/>
      <c r="AG498" s="452"/>
      <c r="AH498" s="452"/>
      <c r="AI498" s="453"/>
      <c r="AJ498" s="449"/>
      <c r="AK498" s="453"/>
      <c r="AL498" s="454"/>
      <c r="AM498" s="455"/>
      <c r="AN498" s="456"/>
      <c r="AO498" s="455"/>
      <c r="AP498" s="452"/>
      <c r="AQ498" s="457"/>
      <c r="AR498" s="449"/>
      <c r="AS498" s="449"/>
      <c r="AT498" s="452"/>
      <c r="AU498" s="457"/>
      <c r="AV498" s="449"/>
      <c r="AW498" s="458"/>
      <c r="AX498" s="452"/>
      <c r="AY498" s="457"/>
      <c r="AZ498" s="449"/>
      <c r="BA498" s="459"/>
      <c r="BB498" s="455"/>
      <c r="BC498" s="460"/>
      <c r="BD498" s="460"/>
      <c r="BG498" s="462"/>
    </row>
    <row r="499" spans="1:59" s="461" customFormat="1" ht="18" customHeight="1" x14ac:dyDescent="0.2">
      <c r="A499" s="1368" t="str">
        <f t="shared" si="357"/>
        <v>JL. PERINDAGKOP2008</v>
      </c>
      <c r="B499" s="1373">
        <v>2</v>
      </c>
      <c r="C499" s="488" t="s">
        <v>5112</v>
      </c>
      <c r="D499" s="489"/>
      <c r="E499" s="558"/>
      <c r="F499" s="559">
        <v>2008</v>
      </c>
      <c r="G499" s="619">
        <v>1119035576.9979775</v>
      </c>
      <c r="H499" s="464">
        <f t="shared" si="358"/>
        <v>3</v>
      </c>
      <c r="I499" s="560"/>
      <c r="J499" s="468">
        <f t="shared" si="359"/>
        <v>2017</v>
      </c>
      <c r="K499" s="490">
        <f t="shared" si="360"/>
        <v>0.99697996705370839</v>
      </c>
      <c r="L499" s="469">
        <f t="shared" si="361"/>
        <v>10</v>
      </c>
      <c r="M499" s="683">
        <f t="shared" si="362"/>
        <v>7</v>
      </c>
      <c r="N499" s="470">
        <f t="shared" si="363"/>
        <v>10</v>
      </c>
      <c r="O499" s="468">
        <f t="shared" si="364"/>
        <v>2017</v>
      </c>
      <c r="P499" s="616">
        <f t="shared" si="365"/>
        <v>1122425338.5</v>
      </c>
      <c r="Q499" s="472">
        <f t="shared" si="366"/>
        <v>2241460915.4979773</v>
      </c>
      <c r="R499" s="472">
        <f t="shared" si="367"/>
        <v>224146091.54979771</v>
      </c>
      <c r="S499" s="1189">
        <f t="shared" si="368"/>
        <v>2008</v>
      </c>
      <c r="T499" s="470">
        <f t="shared" si="369"/>
        <v>1</v>
      </c>
      <c r="U499" s="612">
        <f t="shared" si="370"/>
        <v>224146091.54979771</v>
      </c>
      <c r="V499" s="464">
        <f t="shared" si="371"/>
        <v>2008</v>
      </c>
      <c r="W499" s="612">
        <f t="shared" si="372"/>
        <v>2017314823.9481795</v>
      </c>
      <c r="X499" s="561"/>
      <c r="Y499" s="449"/>
      <c r="Z499" s="449"/>
      <c r="AA499" s="554"/>
      <c r="AB499" s="452"/>
      <c r="AC499" s="452"/>
      <c r="AD499" s="566"/>
      <c r="AE499" s="452"/>
      <c r="AF499" s="571"/>
      <c r="AG499" s="452"/>
      <c r="AH499" s="452"/>
      <c r="AI499" s="453"/>
      <c r="AJ499" s="449"/>
      <c r="AK499" s="453"/>
      <c r="AL499" s="454"/>
      <c r="AM499" s="455"/>
      <c r="AN499" s="456"/>
      <c r="AO499" s="455"/>
      <c r="AP499" s="452"/>
      <c r="AQ499" s="457"/>
      <c r="AR499" s="449"/>
      <c r="AS499" s="449"/>
      <c r="AT499" s="452"/>
      <c r="AU499" s="457"/>
      <c r="AV499" s="449"/>
      <c r="AW499" s="458"/>
      <c r="AX499" s="452"/>
      <c r="AY499" s="457"/>
      <c r="AZ499" s="449"/>
      <c r="BA499" s="459"/>
      <c r="BB499" s="455"/>
      <c r="BC499" s="460"/>
      <c r="BD499" s="460"/>
      <c r="BG499" s="462"/>
    </row>
    <row r="500" spans="1:59" s="461" customFormat="1" ht="18" customHeight="1" x14ac:dyDescent="0.2">
      <c r="A500" s="1368" t="str">
        <f t="shared" si="357"/>
        <v>JL. PERINDAGKOP2009</v>
      </c>
      <c r="B500" s="1373"/>
      <c r="C500" s="488"/>
      <c r="D500" s="489"/>
      <c r="E500" s="558"/>
      <c r="F500" s="559">
        <v>2009</v>
      </c>
      <c r="G500" s="619">
        <v>0</v>
      </c>
      <c r="H500" s="464">
        <f t="shared" si="358"/>
        <v>9</v>
      </c>
      <c r="I500" s="560"/>
      <c r="J500" s="468">
        <f t="shared" si="359"/>
        <v>2017</v>
      </c>
      <c r="K500" s="490">
        <f t="shared" si="360"/>
        <v>0</v>
      </c>
      <c r="L500" s="469">
        <f t="shared" si="361"/>
        <v>0</v>
      </c>
      <c r="M500" s="683">
        <f t="shared" si="362"/>
        <v>0</v>
      </c>
      <c r="N500" s="470">
        <f t="shared" si="363"/>
        <v>9</v>
      </c>
      <c r="O500" s="468">
        <f t="shared" si="364"/>
        <v>2017</v>
      </c>
      <c r="P500" s="616">
        <f t="shared" si="365"/>
        <v>2017314823.9481795</v>
      </c>
      <c r="Q500" s="472">
        <f t="shared" si="366"/>
        <v>2017314823.9481795</v>
      </c>
      <c r="R500" s="472">
        <f t="shared" si="367"/>
        <v>224146091.54979771</v>
      </c>
      <c r="S500" s="1189">
        <f t="shared" si="368"/>
        <v>2009</v>
      </c>
      <c r="T500" s="470">
        <f t="shared" si="369"/>
        <v>1</v>
      </c>
      <c r="U500" s="612">
        <f t="shared" si="370"/>
        <v>224146091.54979771</v>
      </c>
      <c r="V500" s="464">
        <f t="shared" si="371"/>
        <v>2009</v>
      </c>
      <c r="W500" s="612">
        <f t="shared" si="372"/>
        <v>1793168732.3983817</v>
      </c>
      <c r="X500" s="561"/>
      <c r="Y500" s="449"/>
      <c r="Z500" s="449"/>
      <c r="AA500" s="554"/>
      <c r="AB500" s="452"/>
      <c r="AC500" s="452"/>
      <c r="AD500" s="566"/>
      <c r="AE500" s="452"/>
      <c r="AF500" s="571"/>
      <c r="AG500" s="452"/>
      <c r="AH500" s="452"/>
      <c r="AI500" s="453"/>
      <c r="AJ500" s="449"/>
      <c r="AK500" s="453"/>
      <c r="AL500" s="454"/>
      <c r="AM500" s="455"/>
      <c r="AN500" s="456"/>
      <c r="AO500" s="455"/>
      <c r="AP500" s="452"/>
      <c r="AQ500" s="457"/>
      <c r="AR500" s="449"/>
      <c r="AS500" s="449"/>
      <c r="AT500" s="452"/>
      <c r="AU500" s="457"/>
      <c r="AV500" s="449"/>
      <c r="AW500" s="458"/>
      <c r="AX500" s="452"/>
      <c r="AY500" s="457"/>
      <c r="AZ500" s="449"/>
      <c r="BA500" s="459"/>
      <c r="BB500" s="455"/>
      <c r="BC500" s="460"/>
      <c r="BD500" s="460"/>
      <c r="BG500" s="462"/>
    </row>
    <row r="501" spans="1:59" s="461" customFormat="1" ht="18" customHeight="1" x14ac:dyDescent="0.2">
      <c r="A501" s="1368" t="str">
        <f t="shared" si="357"/>
        <v>JL. PERINDAGKOP2010</v>
      </c>
      <c r="B501" s="1373"/>
      <c r="C501" s="488"/>
      <c r="D501" s="489"/>
      <c r="E501" s="558"/>
      <c r="F501" s="559">
        <v>2010</v>
      </c>
      <c r="G501" s="619">
        <v>0</v>
      </c>
      <c r="H501" s="464">
        <f t="shared" si="358"/>
        <v>8</v>
      </c>
      <c r="I501" s="560"/>
      <c r="J501" s="468">
        <f t="shared" si="359"/>
        <v>2017</v>
      </c>
      <c r="K501" s="490">
        <f t="shared" si="360"/>
        <v>0</v>
      </c>
      <c r="L501" s="469">
        <f t="shared" si="361"/>
        <v>0</v>
      </c>
      <c r="M501" s="683">
        <f t="shared" si="362"/>
        <v>0</v>
      </c>
      <c r="N501" s="470">
        <f t="shared" si="363"/>
        <v>8</v>
      </c>
      <c r="O501" s="468">
        <f t="shared" si="364"/>
        <v>2017</v>
      </c>
      <c r="P501" s="616">
        <f t="shared" si="365"/>
        <v>1793168732.3983817</v>
      </c>
      <c r="Q501" s="472">
        <f t="shared" si="366"/>
        <v>1793168732.3983817</v>
      </c>
      <c r="R501" s="472">
        <f t="shared" si="367"/>
        <v>224146091.54979771</v>
      </c>
      <c r="S501" s="1189">
        <f t="shared" si="368"/>
        <v>2010</v>
      </c>
      <c r="T501" s="470">
        <f t="shared" si="369"/>
        <v>1</v>
      </c>
      <c r="U501" s="612">
        <f t="shared" si="370"/>
        <v>224146091.54979771</v>
      </c>
      <c r="V501" s="464">
        <f t="shared" si="371"/>
        <v>2010</v>
      </c>
      <c r="W501" s="612">
        <f t="shared" si="372"/>
        <v>1569022640.8485839</v>
      </c>
      <c r="X501" s="561"/>
      <c r="Y501" s="449"/>
      <c r="Z501" s="449"/>
      <c r="AA501" s="554"/>
      <c r="AB501" s="452"/>
      <c r="AC501" s="452"/>
      <c r="AD501" s="566"/>
      <c r="AE501" s="452"/>
      <c r="AF501" s="571"/>
      <c r="AG501" s="452"/>
      <c r="AH501" s="452"/>
      <c r="AI501" s="453"/>
      <c r="AJ501" s="449"/>
      <c r="AK501" s="453"/>
      <c r="AL501" s="454"/>
      <c r="AM501" s="455"/>
      <c r="AN501" s="456"/>
      <c r="AO501" s="455"/>
      <c r="AP501" s="452"/>
      <c r="AQ501" s="457"/>
      <c r="AR501" s="449"/>
      <c r="AS501" s="449"/>
      <c r="AT501" s="452"/>
      <c r="AU501" s="457"/>
      <c r="AV501" s="449"/>
      <c r="AW501" s="458"/>
      <c r="AX501" s="452"/>
      <c r="AY501" s="457"/>
      <c r="AZ501" s="449"/>
      <c r="BA501" s="459"/>
      <c r="BB501" s="455"/>
      <c r="BC501" s="460"/>
      <c r="BD501" s="460"/>
      <c r="BG501" s="462"/>
    </row>
    <row r="502" spans="1:59" s="461" customFormat="1" ht="18" customHeight="1" x14ac:dyDescent="0.2">
      <c r="A502" s="1368" t="str">
        <f t="shared" si="357"/>
        <v>JL. PERINDAGKOP2011</v>
      </c>
      <c r="B502" s="1373"/>
      <c r="C502" s="488"/>
      <c r="D502" s="489"/>
      <c r="E502" s="558"/>
      <c r="F502" s="559">
        <v>2011</v>
      </c>
      <c r="G502" s="619">
        <v>0</v>
      </c>
      <c r="H502" s="464">
        <f t="shared" si="358"/>
        <v>7</v>
      </c>
      <c r="I502" s="560"/>
      <c r="J502" s="468">
        <f t="shared" si="359"/>
        <v>2017</v>
      </c>
      <c r="K502" s="490">
        <f t="shared" si="360"/>
        <v>0</v>
      </c>
      <c r="L502" s="469">
        <f t="shared" si="361"/>
        <v>0</v>
      </c>
      <c r="M502" s="683">
        <f t="shared" si="362"/>
        <v>0</v>
      </c>
      <c r="N502" s="470">
        <f t="shared" si="363"/>
        <v>7</v>
      </c>
      <c r="O502" s="468">
        <f t="shared" si="364"/>
        <v>2017</v>
      </c>
      <c r="P502" s="616">
        <f t="shared" si="365"/>
        <v>1569022640.8485839</v>
      </c>
      <c r="Q502" s="472">
        <f t="shared" si="366"/>
        <v>1569022640.8485839</v>
      </c>
      <c r="R502" s="472">
        <f t="shared" si="367"/>
        <v>224146091.54979771</v>
      </c>
      <c r="S502" s="1189">
        <f t="shared" si="368"/>
        <v>2011</v>
      </c>
      <c r="T502" s="470">
        <f t="shared" si="369"/>
        <v>1</v>
      </c>
      <c r="U502" s="612">
        <f t="shared" si="370"/>
        <v>224146091.54979771</v>
      </c>
      <c r="V502" s="464">
        <f t="shared" si="371"/>
        <v>2011</v>
      </c>
      <c r="W502" s="612">
        <f t="shared" si="372"/>
        <v>1344876549.2987862</v>
      </c>
      <c r="X502" s="561"/>
      <c r="Y502" s="449"/>
      <c r="Z502" s="449"/>
      <c r="AA502" s="554"/>
      <c r="AB502" s="452"/>
      <c r="AC502" s="452"/>
      <c r="AD502" s="566"/>
      <c r="AE502" s="452"/>
      <c r="AF502" s="571"/>
      <c r="AG502" s="452"/>
      <c r="AH502" s="452"/>
      <c r="AI502" s="453"/>
      <c r="AJ502" s="449"/>
      <c r="AK502" s="453"/>
      <c r="AL502" s="454"/>
      <c r="AM502" s="455"/>
      <c r="AN502" s="456"/>
      <c r="AO502" s="455"/>
      <c r="AP502" s="452"/>
      <c r="AQ502" s="457"/>
      <c r="AR502" s="449"/>
      <c r="AS502" s="449"/>
      <c r="AT502" s="452"/>
      <c r="AU502" s="457"/>
      <c r="AV502" s="449"/>
      <c r="AW502" s="458"/>
      <c r="AX502" s="452"/>
      <c r="AY502" s="457"/>
      <c r="AZ502" s="449"/>
      <c r="BA502" s="459"/>
      <c r="BB502" s="455"/>
      <c r="BC502" s="460"/>
      <c r="BD502" s="460"/>
      <c r="BG502" s="462"/>
    </row>
    <row r="503" spans="1:59" s="461" customFormat="1" ht="18" customHeight="1" x14ac:dyDescent="0.2">
      <c r="A503" s="1368" t="str">
        <f t="shared" si="357"/>
        <v>JL. PERINDAGKOP2012</v>
      </c>
      <c r="B503" s="1373"/>
      <c r="C503" s="488"/>
      <c r="D503" s="489"/>
      <c r="E503" s="558"/>
      <c r="F503" s="559">
        <v>2012</v>
      </c>
      <c r="G503" s="619">
        <v>0</v>
      </c>
      <c r="H503" s="464">
        <f t="shared" si="358"/>
        <v>6</v>
      </c>
      <c r="I503" s="560"/>
      <c r="J503" s="468">
        <f t="shared" si="359"/>
        <v>2017</v>
      </c>
      <c r="K503" s="490">
        <f t="shared" si="360"/>
        <v>0</v>
      </c>
      <c r="L503" s="469">
        <f t="shared" si="361"/>
        <v>0</v>
      </c>
      <c r="M503" s="683">
        <f t="shared" si="362"/>
        <v>0</v>
      </c>
      <c r="N503" s="470">
        <f t="shared" si="363"/>
        <v>6</v>
      </c>
      <c r="O503" s="468">
        <f t="shared" si="364"/>
        <v>2017</v>
      </c>
      <c r="P503" s="616">
        <f t="shared" si="365"/>
        <v>1344876549.2987862</v>
      </c>
      <c r="Q503" s="472">
        <f t="shared" si="366"/>
        <v>1344876549.2987862</v>
      </c>
      <c r="R503" s="472">
        <f t="shared" si="367"/>
        <v>224146091.54979771</v>
      </c>
      <c r="S503" s="1189">
        <f t="shared" si="368"/>
        <v>2012</v>
      </c>
      <c r="T503" s="470">
        <f t="shared" si="369"/>
        <v>1</v>
      </c>
      <c r="U503" s="612">
        <f t="shared" si="370"/>
        <v>224146091.54979771</v>
      </c>
      <c r="V503" s="464">
        <f t="shared" si="371"/>
        <v>2012</v>
      </c>
      <c r="W503" s="612">
        <f t="shared" si="372"/>
        <v>1120730457.7489884</v>
      </c>
      <c r="X503" s="561"/>
      <c r="Y503" s="449"/>
      <c r="Z503" s="449"/>
      <c r="AA503" s="554"/>
      <c r="AB503" s="452"/>
      <c r="AC503" s="452"/>
      <c r="AD503" s="566"/>
      <c r="AE503" s="452"/>
      <c r="AF503" s="571"/>
      <c r="AG503" s="452"/>
      <c r="AH503" s="452"/>
      <c r="AI503" s="453"/>
      <c r="AJ503" s="449"/>
      <c r="AK503" s="453"/>
      <c r="AL503" s="454"/>
      <c r="AM503" s="455"/>
      <c r="AN503" s="456"/>
      <c r="AO503" s="455"/>
      <c r="AP503" s="452"/>
      <c r="AQ503" s="457"/>
      <c r="AR503" s="449"/>
      <c r="AS503" s="449"/>
      <c r="AT503" s="452"/>
      <c r="AU503" s="457"/>
      <c r="AV503" s="449"/>
      <c r="AW503" s="458"/>
      <c r="AX503" s="452"/>
      <c r="AY503" s="457"/>
      <c r="AZ503" s="449"/>
      <c r="BA503" s="459"/>
      <c r="BB503" s="455"/>
      <c r="BC503" s="460"/>
      <c r="BD503" s="460"/>
      <c r="BG503" s="462"/>
    </row>
    <row r="504" spans="1:59" s="486" customFormat="1" ht="18" customHeight="1" x14ac:dyDescent="0.2">
      <c r="A504" s="1368" t="str">
        <f t="shared" si="357"/>
        <v>JL. PERINDAGKOP2013</v>
      </c>
      <c r="B504" s="1373"/>
      <c r="C504" s="463"/>
      <c r="D504" s="489"/>
      <c r="E504" s="465"/>
      <c r="F504" s="559">
        <v>2013</v>
      </c>
      <c r="G504" s="620">
        <v>0</v>
      </c>
      <c r="H504" s="464">
        <f t="shared" si="358"/>
        <v>5</v>
      </c>
      <c r="I504" s="560"/>
      <c r="J504" s="468">
        <f t="shared" si="359"/>
        <v>2017</v>
      </c>
      <c r="K504" s="490">
        <f t="shared" si="360"/>
        <v>0</v>
      </c>
      <c r="L504" s="469">
        <f t="shared" si="361"/>
        <v>0</v>
      </c>
      <c r="M504" s="683">
        <f t="shared" si="362"/>
        <v>0</v>
      </c>
      <c r="N504" s="470">
        <f t="shared" si="363"/>
        <v>5</v>
      </c>
      <c r="O504" s="468">
        <f t="shared" si="364"/>
        <v>2017</v>
      </c>
      <c r="P504" s="616">
        <f t="shared" si="365"/>
        <v>1120730457.7489884</v>
      </c>
      <c r="Q504" s="472">
        <f t="shared" si="366"/>
        <v>1120730457.7489884</v>
      </c>
      <c r="R504" s="472">
        <f t="shared" si="367"/>
        <v>224146091.54979771</v>
      </c>
      <c r="S504" s="1189">
        <f t="shared" si="368"/>
        <v>2013</v>
      </c>
      <c r="T504" s="470">
        <f t="shared" si="369"/>
        <v>1</v>
      </c>
      <c r="U504" s="612">
        <f t="shared" si="370"/>
        <v>224146091.54979771</v>
      </c>
      <c r="V504" s="464">
        <f t="shared" si="371"/>
        <v>2013</v>
      </c>
      <c r="W504" s="612">
        <f t="shared" si="372"/>
        <v>896584366.19919062</v>
      </c>
      <c r="X504" s="473"/>
      <c r="Y504" s="474"/>
      <c r="Z504" s="449"/>
      <c r="AA504" s="475" t="s">
        <v>4180</v>
      </c>
      <c r="AB504" s="476"/>
      <c r="AC504" s="476"/>
      <c r="AD504" s="567">
        <f>G512</f>
        <v>4860453371.9979773</v>
      </c>
      <c r="AE504" s="476"/>
      <c r="AF504" s="568"/>
      <c r="AG504" s="476"/>
      <c r="AH504" s="476"/>
      <c r="AI504" s="477"/>
      <c r="AJ504" s="478"/>
      <c r="AK504" s="479"/>
      <c r="AL504" s="480"/>
      <c r="AM504" s="474"/>
      <c r="AN504" s="481"/>
      <c r="AO504" s="474"/>
      <c r="AP504" s="476"/>
      <c r="AQ504" s="482"/>
      <c r="AR504" s="478"/>
      <c r="AS504" s="478"/>
      <c r="AT504" s="476"/>
      <c r="AU504" s="482"/>
      <c r="AV504" s="478"/>
      <c r="AW504" s="483"/>
      <c r="AX504" s="476"/>
      <c r="AY504" s="482"/>
      <c r="AZ504" s="478"/>
      <c r="BA504" s="484"/>
      <c r="BB504" s="474"/>
      <c r="BC504" s="485"/>
      <c r="BD504" s="485"/>
      <c r="BG504" s="487"/>
    </row>
    <row r="505" spans="1:59" s="486" customFormat="1" ht="18" customHeight="1" x14ac:dyDescent="0.2">
      <c r="A505" s="1368" t="str">
        <f t="shared" si="357"/>
        <v>JL. PERINDAGKOP2014</v>
      </c>
      <c r="B505" s="1373"/>
      <c r="C505" s="488"/>
      <c r="D505" s="489"/>
      <c r="E505" s="465"/>
      <c r="F505" s="559">
        <v>2014</v>
      </c>
      <c r="G505" s="620">
        <v>0</v>
      </c>
      <c r="H505" s="464">
        <f t="shared" si="358"/>
        <v>4</v>
      </c>
      <c r="I505" s="560"/>
      <c r="J505" s="468">
        <f t="shared" si="359"/>
        <v>2017</v>
      </c>
      <c r="K505" s="490">
        <f t="shared" si="360"/>
        <v>0</v>
      </c>
      <c r="L505" s="469">
        <f t="shared" si="361"/>
        <v>0</v>
      </c>
      <c r="M505" s="683">
        <f t="shared" si="362"/>
        <v>0</v>
      </c>
      <c r="N505" s="470">
        <f t="shared" si="363"/>
        <v>4</v>
      </c>
      <c r="O505" s="468">
        <f t="shared" si="364"/>
        <v>2017</v>
      </c>
      <c r="P505" s="616">
        <f t="shared" si="365"/>
        <v>896584366.19919062</v>
      </c>
      <c r="Q505" s="472">
        <f t="shared" si="366"/>
        <v>896584366.19919062</v>
      </c>
      <c r="R505" s="472">
        <f t="shared" si="367"/>
        <v>224146091.54979771</v>
      </c>
      <c r="S505" s="1189">
        <f t="shared" si="368"/>
        <v>2014</v>
      </c>
      <c r="T505" s="470">
        <f t="shared" si="369"/>
        <v>1</v>
      </c>
      <c r="U505" s="612">
        <f t="shared" si="370"/>
        <v>224146091.54979771</v>
      </c>
      <c r="V505" s="464">
        <f t="shared" si="371"/>
        <v>2014</v>
      </c>
      <c r="W505" s="612">
        <f t="shared" si="372"/>
        <v>672438274.64939284</v>
      </c>
      <c r="X505" s="473"/>
      <c r="Y505" s="478"/>
      <c r="Z505" s="449"/>
      <c r="AA505" s="475" t="s">
        <v>4181</v>
      </c>
      <c r="AB505" s="491"/>
      <c r="AC505" s="491"/>
      <c r="AD505" s="567">
        <f>U512</f>
        <v>4860453371.9979763</v>
      </c>
      <c r="AE505" s="491"/>
      <c r="AF505" s="568"/>
      <c r="AG505" s="491"/>
      <c r="AH505" s="491"/>
      <c r="AI505" s="477"/>
      <c r="AJ505" s="478"/>
      <c r="AK505" s="479"/>
      <c r="AL505" s="480"/>
      <c r="AM505" s="474"/>
      <c r="AN505" s="481"/>
      <c r="AO505" s="474"/>
      <c r="AP505" s="476"/>
      <c r="AQ505" s="482"/>
      <c r="AR505" s="478"/>
      <c r="AS505" s="478"/>
      <c r="AT505" s="476"/>
      <c r="AU505" s="482"/>
      <c r="AV505" s="478"/>
      <c r="AW505" s="483"/>
      <c r="AX505" s="476"/>
      <c r="AY505" s="482"/>
      <c r="AZ505" s="478"/>
      <c r="BA505" s="484"/>
      <c r="BB505" s="474"/>
      <c r="BC505" s="485"/>
      <c r="BD505" s="485"/>
      <c r="BG505" s="487"/>
    </row>
    <row r="506" spans="1:59" s="486" customFormat="1" ht="18" customHeight="1" x14ac:dyDescent="0.2">
      <c r="A506" s="1368" t="str">
        <f t="shared" si="357"/>
        <v>JL. PERINDAGKOP2015</v>
      </c>
      <c r="B506" s="1373"/>
      <c r="C506" s="463"/>
      <c r="D506" s="489"/>
      <c r="E506" s="465"/>
      <c r="F506" s="559">
        <v>2015</v>
      </c>
      <c r="G506" s="620">
        <v>0</v>
      </c>
      <c r="H506" s="464">
        <f t="shared" si="358"/>
        <v>3</v>
      </c>
      <c r="I506" s="560"/>
      <c r="J506" s="468">
        <f t="shared" si="359"/>
        <v>2017</v>
      </c>
      <c r="K506" s="490">
        <f t="shared" si="360"/>
        <v>0</v>
      </c>
      <c r="L506" s="469">
        <f t="shared" si="361"/>
        <v>0</v>
      </c>
      <c r="M506" s="683">
        <f t="shared" si="362"/>
        <v>0</v>
      </c>
      <c r="N506" s="470">
        <f t="shared" si="363"/>
        <v>3</v>
      </c>
      <c r="O506" s="468">
        <f t="shared" si="364"/>
        <v>2017</v>
      </c>
      <c r="P506" s="616">
        <f t="shared" si="365"/>
        <v>672438274.64939284</v>
      </c>
      <c r="Q506" s="472">
        <f t="shared" si="366"/>
        <v>672438274.64939284</v>
      </c>
      <c r="R506" s="472">
        <f t="shared" si="367"/>
        <v>224146091.54979771</v>
      </c>
      <c r="S506" s="1189">
        <f t="shared" si="368"/>
        <v>2015</v>
      </c>
      <c r="T506" s="470">
        <f t="shared" si="369"/>
        <v>1</v>
      </c>
      <c r="U506" s="612">
        <f t="shared" si="370"/>
        <v>224146091.54979771</v>
      </c>
      <c r="V506" s="464">
        <f t="shared" si="371"/>
        <v>2015</v>
      </c>
      <c r="W506" s="612">
        <f t="shared" si="372"/>
        <v>448292183.09959513</v>
      </c>
      <c r="X506" s="473"/>
      <c r="Y506" s="478"/>
      <c r="Z506" s="449"/>
      <c r="AA506" s="492" t="s">
        <v>4182</v>
      </c>
      <c r="AB506" s="476"/>
      <c r="AC506" s="476"/>
      <c r="AD506" s="567">
        <f>AD504-AD505</f>
        <v>0</v>
      </c>
      <c r="AE506" s="476"/>
      <c r="AF506" s="568"/>
      <c r="AG506" s="476"/>
      <c r="AH506" s="476"/>
      <c r="AI506" s="477"/>
      <c r="AJ506" s="478"/>
      <c r="AK506" s="479"/>
      <c r="AL506" s="480"/>
      <c r="AM506" s="474"/>
      <c r="AN506" s="481"/>
      <c r="AO506" s="474"/>
      <c r="AP506" s="476"/>
      <c r="AQ506" s="482"/>
      <c r="AR506" s="478"/>
      <c r="AS506" s="478"/>
      <c r="AT506" s="476"/>
      <c r="AU506" s="482"/>
      <c r="AV506" s="478"/>
      <c r="AW506" s="483"/>
      <c r="AX506" s="476"/>
      <c r="AY506" s="482"/>
      <c r="AZ506" s="478"/>
      <c r="BA506" s="484"/>
      <c r="BB506" s="474"/>
      <c r="BC506" s="485"/>
      <c r="BD506" s="485"/>
      <c r="BG506" s="487"/>
    </row>
    <row r="507" spans="1:59" s="486" customFormat="1" ht="18" customHeight="1" x14ac:dyDescent="0.2">
      <c r="A507" s="1368" t="str">
        <f t="shared" si="357"/>
        <v>JL. PERINDAGKOP2016</v>
      </c>
      <c r="B507" s="687"/>
      <c r="C507" s="463"/>
      <c r="D507" s="489"/>
      <c r="E507" s="465"/>
      <c r="F507" s="559">
        <v>2016</v>
      </c>
      <c r="G507" s="620">
        <v>0</v>
      </c>
      <c r="H507" s="464">
        <f t="shared" si="358"/>
        <v>2</v>
      </c>
      <c r="I507" s="560"/>
      <c r="J507" s="468">
        <f t="shared" si="359"/>
        <v>2017</v>
      </c>
      <c r="K507" s="490">
        <f t="shared" si="360"/>
        <v>0</v>
      </c>
      <c r="L507" s="469">
        <f t="shared" si="361"/>
        <v>0</v>
      </c>
      <c r="M507" s="683">
        <f t="shared" si="362"/>
        <v>0</v>
      </c>
      <c r="N507" s="470">
        <f t="shared" si="363"/>
        <v>2</v>
      </c>
      <c r="O507" s="468">
        <f t="shared" si="364"/>
        <v>2017</v>
      </c>
      <c r="P507" s="616">
        <f t="shared" si="365"/>
        <v>448292183.09959513</v>
      </c>
      <c r="Q507" s="472">
        <f t="shared" si="366"/>
        <v>448292183.09959513</v>
      </c>
      <c r="R507" s="472">
        <f t="shared" si="367"/>
        <v>224146091.54979771</v>
      </c>
      <c r="S507" s="1189">
        <f t="shared" si="368"/>
        <v>2016</v>
      </c>
      <c r="T507" s="470">
        <f t="shared" si="369"/>
        <v>1</v>
      </c>
      <c r="U507" s="612">
        <f t="shared" si="370"/>
        <v>224146091.54979771</v>
      </c>
      <c r="V507" s="464">
        <f t="shared" si="371"/>
        <v>2016</v>
      </c>
      <c r="W507" s="612">
        <f t="shared" si="372"/>
        <v>224146091.54979742</v>
      </c>
      <c r="X507" s="473"/>
      <c r="Y507" s="478"/>
      <c r="Z507" s="449"/>
      <c r="AA507" s="531" t="s">
        <v>4183</v>
      </c>
      <c r="AB507" s="496"/>
      <c r="AC507" s="496"/>
      <c r="AD507" s="569">
        <f>AD506-W512</f>
        <v>0</v>
      </c>
      <c r="AE507" s="476"/>
      <c r="AF507" s="568"/>
      <c r="AG507" s="476"/>
      <c r="AH507" s="476"/>
      <c r="AI507" s="477"/>
      <c r="AJ507" s="478"/>
      <c r="AK507" s="479"/>
      <c r="AL507" s="480"/>
      <c r="AM507" s="474"/>
      <c r="AN507" s="481"/>
      <c r="AO507" s="474"/>
      <c r="AP507" s="476"/>
      <c r="AQ507" s="482"/>
      <c r="AR507" s="478"/>
      <c r="AS507" s="478"/>
      <c r="AT507" s="476"/>
      <c r="AU507" s="482"/>
      <c r="AV507" s="478"/>
      <c r="AW507" s="483"/>
      <c r="AX507" s="476"/>
      <c r="AY507" s="482"/>
      <c r="AZ507" s="478"/>
      <c r="BA507" s="484"/>
      <c r="BB507" s="474"/>
      <c r="BC507" s="485"/>
      <c r="BD507" s="485"/>
      <c r="BG507" s="487"/>
    </row>
    <row r="508" spans="1:59" s="486" customFormat="1" ht="18" customHeight="1" x14ac:dyDescent="0.2">
      <c r="A508" s="1368" t="str">
        <f t="shared" si="357"/>
        <v>JL. PERINDAGKOP2017</v>
      </c>
      <c r="B508" s="687"/>
      <c r="C508" s="463"/>
      <c r="D508" s="489"/>
      <c r="E508" s="465"/>
      <c r="F508" s="559">
        <v>2017</v>
      </c>
      <c r="G508" s="620">
        <v>0</v>
      </c>
      <c r="H508" s="464">
        <f t="shared" si="358"/>
        <v>1</v>
      </c>
      <c r="I508" s="560"/>
      <c r="J508" s="468">
        <f t="shared" si="359"/>
        <v>2017</v>
      </c>
      <c r="K508" s="490">
        <f t="shared" si="360"/>
        <v>0</v>
      </c>
      <c r="L508" s="469">
        <f t="shared" si="361"/>
        <v>0</v>
      </c>
      <c r="M508" s="683">
        <f t="shared" si="362"/>
        <v>0</v>
      </c>
      <c r="N508" s="470">
        <f t="shared" si="363"/>
        <v>1</v>
      </c>
      <c r="O508" s="468">
        <f t="shared" si="364"/>
        <v>2017</v>
      </c>
      <c r="P508" s="616">
        <f t="shared" si="365"/>
        <v>224146091.54979742</v>
      </c>
      <c r="Q508" s="472">
        <f t="shared" si="366"/>
        <v>224146091.54979742</v>
      </c>
      <c r="R508" s="472">
        <f t="shared" si="367"/>
        <v>224146091.54979771</v>
      </c>
      <c r="S508" s="1189">
        <f t="shared" si="368"/>
        <v>2017</v>
      </c>
      <c r="T508" s="470">
        <f t="shared" si="369"/>
        <v>1</v>
      </c>
      <c r="U508" s="612">
        <f t="shared" si="370"/>
        <v>224146091.54979771</v>
      </c>
      <c r="V508" s="464">
        <f t="shared" si="371"/>
        <v>2017</v>
      </c>
      <c r="W508" s="612">
        <f t="shared" si="372"/>
        <v>-2.9802322387695312E-7</v>
      </c>
      <c r="X508" s="473"/>
      <c r="Y508" s="497"/>
      <c r="Z508" s="449"/>
      <c r="AA508" s="497"/>
      <c r="AB508" s="476"/>
      <c r="AC508" s="497"/>
      <c r="AD508" s="568"/>
      <c r="AE508" s="476"/>
      <c r="AF508" s="568"/>
      <c r="AG508" s="476"/>
      <c r="AH508" s="476"/>
      <c r="AI508" s="477"/>
      <c r="AJ508" s="478"/>
      <c r="AK508" s="479"/>
      <c r="AL508" s="480"/>
      <c r="AM508" s="474"/>
      <c r="AN508" s="481"/>
      <c r="AO508" s="474"/>
      <c r="AP508" s="476"/>
      <c r="AQ508" s="482"/>
      <c r="AR508" s="478"/>
      <c r="AS508" s="478"/>
      <c r="AT508" s="476"/>
      <c r="AU508" s="482"/>
      <c r="AV508" s="478"/>
      <c r="AW508" s="483"/>
      <c r="AX508" s="476"/>
      <c r="AY508" s="482"/>
      <c r="AZ508" s="478"/>
      <c r="BA508" s="484"/>
      <c r="BB508" s="474"/>
      <c r="BC508" s="485"/>
      <c r="BD508" s="485"/>
      <c r="BG508" s="487"/>
    </row>
    <row r="509" spans="1:59" s="486" customFormat="1" ht="18" customHeight="1" x14ac:dyDescent="0.2">
      <c r="A509" s="1368" t="str">
        <f t="shared" si="357"/>
        <v>JL. PERINDAGKOP2018</v>
      </c>
      <c r="B509" s="687"/>
      <c r="C509" s="463"/>
      <c r="D509" s="489"/>
      <c r="E509" s="465"/>
      <c r="F509" s="559">
        <v>2018</v>
      </c>
      <c r="G509" s="620">
        <v>0</v>
      </c>
      <c r="H509" s="464">
        <f t="shared" si="358"/>
        <v>0</v>
      </c>
      <c r="I509" s="560"/>
      <c r="J509" s="468">
        <f t="shared" si="359"/>
        <v>2017</v>
      </c>
      <c r="K509" s="490">
        <f t="shared" si="360"/>
        <v>0</v>
      </c>
      <c r="L509" s="469">
        <f t="shared" si="361"/>
        <v>0</v>
      </c>
      <c r="M509" s="683">
        <f t="shared" si="362"/>
        <v>0</v>
      </c>
      <c r="N509" s="470">
        <f t="shared" si="363"/>
        <v>0</v>
      </c>
      <c r="O509" s="468">
        <f t="shared" si="364"/>
        <v>2017</v>
      </c>
      <c r="P509" s="616">
        <f t="shared" si="365"/>
        <v>-2.9802322387695312E-7</v>
      </c>
      <c r="Q509" s="472">
        <f t="shared" si="366"/>
        <v>-2.9802322387695312E-7</v>
      </c>
      <c r="R509" s="472">
        <v>0</v>
      </c>
      <c r="S509" s="1189">
        <f t="shared" si="368"/>
        <v>2018</v>
      </c>
      <c r="T509" s="470">
        <f t="shared" si="369"/>
        <v>1</v>
      </c>
      <c r="U509" s="612">
        <f t="shared" si="370"/>
        <v>0</v>
      </c>
      <c r="V509" s="464">
        <f t="shared" si="371"/>
        <v>2018</v>
      </c>
      <c r="W509" s="612">
        <f t="shared" si="372"/>
        <v>-2.9802322387695312E-7</v>
      </c>
      <c r="X509" s="473"/>
      <c r="Y509" s="497"/>
      <c r="Z509" s="449"/>
      <c r="AA509" s="497"/>
      <c r="AB509" s="476"/>
      <c r="AC509" s="497"/>
      <c r="AD509" s="568"/>
      <c r="AE509" s="476"/>
      <c r="AF509" s="568"/>
      <c r="AG509" s="476"/>
      <c r="AH509" s="476"/>
      <c r="AI509" s="477"/>
      <c r="AJ509" s="478"/>
      <c r="AK509" s="479"/>
      <c r="AL509" s="480"/>
      <c r="AM509" s="474"/>
      <c r="AN509" s="481"/>
      <c r="AO509" s="474"/>
      <c r="AP509" s="476"/>
      <c r="AQ509" s="482"/>
      <c r="AR509" s="478"/>
      <c r="AS509" s="478"/>
      <c r="AT509" s="476"/>
      <c r="AU509" s="482"/>
      <c r="AV509" s="478"/>
      <c r="AW509" s="483"/>
      <c r="AX509" s="476"/>
      <c r="AY509" s="482"/>
      <c r="AZ509" s="478"/>
      <c r="BA509" s="484"/>
      <c r="BB509" s="474"/>
      <c r="BC509" s="485"/>
      <c r="BD509" s="485"/>
      <c r="BG509" s="487"/>
    </row>
    <row r="510" spans="1:59" s="486" customFormat="1" ht="18" customHeight="1" x14ac:dyDescent="0.2">
      <c r="A510" s="1368" t="str">
        <f t="shared" si="357"/>
        <v>JL. PERINDAGKOP2019</v>
      </c>
      <c r="B510" s="687"/>
      <c r="C510" s="463"/>
      <c r="D510" s="489"/>
      <c r="E510" s="465"/>
      <c r="F510" s="559">
        <v>2019</v>
      </c>
      <c r="G510" s="620">
        <v>0</v>
      </c>
      <c r="H510" s="464">
        <f>IF(N509-(F510-F509)&lt;=0,0,(N509-(F510-F509)))</f>
        <v>0</v>
      </c>
      <c r="I510" s="560"/>
      <c r="J510" s="468">
        <f>(F510+N510)-1</f>
        <v>2018</v>
      </c>
      <c r="K510" s="490">
        <f>IF(G510=0,0,IF(H510=10,100%,G510/W509))</f>
        <v>0</v>
      </c>
      <c r="L510" s="469">
        <f>IF(K510=0%,0,IF(K510&lt;=30%,2,IF(K510&lt;=60%,5,10)))</f>
        <v>0</v>
      </c>
      <c r="M510" s="683">
        <f>IF(OR(AND(ISBLANK(E510),ISBLANK(G510)),ISTEXT(E510),ISTEXT(G510)),"",IF(H510+L510&gt;$H$8,$H$8-H510,L510))</f>
        <v>0</v>
      </c>
      <c r="N510" s="470">
        <f>IF(OR(AND(ISBLANK(F510),ISBLANK(G510)),ISTEXT(F510),ISTEXT(G510)),"",H510+M510)</f>
        <v>0</v>
      </c>
      <c r="O510" s="468">
        <f>(F510+N510)-1</f>
        <v>2018</v>
      </c>
      <c r="P510" s="616">
        <f>W509</f>
        <v>-2.9802322387695312E-7</v>
      </c>
      <c r="Q510" s="472">
        <f>P510+G510</f>
        <v>-2.9802322387695312E-7</v>
      </c>
      <c r="R510" s="472">
        <f t="shared" si="367"/>
        <v>0</v>
      </c>
      <c r="S510" s="1189">
        <f>F510</f>
        <v>2019</v>
      </c>
      <c r="T510" s="470">
        <f>S510-S509</f>
        <v>1</v>
      </c>
      <c r="U510" s="612">
        <f>R510*T510</f>
        <v>0</v>
      </c>
      <c r="V510" s="464">
        <f>F510</f>
        <v>2019</v>
      </c>
      <c r="W510" s="612">
        <f>IF(OR(AND(ISBLANK(E510),ISBLANK(G510)),ISTEXT(E510),ISTEXT(G510)),"",Q510-U510)</f>
        <v>-2.9802322387695312E-7</v>
      </c>
      <c r="X510" s="473"/>
      <c r="Y510" s="497"/>
      <c r="Z510" s="449"/>
      <c r="AA510" s="497"/>
      <c r="AB510" s="476"/>
      <c r="AC510" s="497"/>
      <c r="AD510" s="568"/>
      <c r="AE510" s="476"/>
      <c r="AF510" s="568"/>
      <c r="AG510" s="476"/>
      <c r="AH510" s="476"/>
      <c r="AI510" s="477"/>
      <c r="AJ510" s="478"/>
      <c r="AK510" s="479"/>
      <c r="AL510" s="480"/>
      <c r="AM510" s="474"/>
      <c r="AN510" s="481"/>
      <c r="AO510" s="474"/>
      <c r="AP510" s="476"/>
      <c r="AQ510" s="482"/>
      <c r="AR510" s="478"/>
      <c r="AS510" s="478"/>
      <c r="AT510" s="476"/>
      <c r="AU510" s="482"/>
      <c r="AV510" s="478"/>
      <c r="AW510" s="483"/>
      <c r="AX510" s="476"/>
      <c r="AY510" s="482"/>
      <c r="AZ510" s="478"/>
      <c r="BA510" s="484"/>
      <c r="BB510" s="474"/>
      <c r="BC510" s="485"/>
      <c r="BD510" s="485"/>
      <c r="BG510" s="487"/>
    </row>
    <row r="511" spans="1:59" s="486" customFormat="1" ht="18" customHeight="1" x14ac:dyDescent="0.2">
      <c r="A511" s="1369"/>
      <c r="B511" s="687"/>
      <c r="C511" s="463"/>
      <c r="D511" s="464"/>
      <c r="E511" s="465"/>
      <c r="F511" s="1189"/>
      <c r="G511" s="620"/>
      <c r="H511" s="469" t="str">
        <f>IF(OR(AND(ISBLANK(E511),ISBLANK(G511)),ISTEXT(E511),ISTEXT(G511)),"",IF(#REF!-(YEAR(E511)-YEAR(#REF!))&lt;0,0,#REF!-(YEAR(E511)-YEAR(#REF!))))</f>
        <v/>
      </c>
      <c r="I511" s="467" t="str">
        <f>IF(OR(AND(ISBLANK(E511),ISBLANK(G511)),ISTEXT(E511),ISTEXT(G511)),"",IF(#REF!-E511&lt;0,0,#REF!-E511))</f>
        <v/>
      </c>
      <c r="J511" s="498" t="str">
        <f>IF(OR(AND(ISBLANK(E511),ISBLANK(G511)),ISTEXT(E511),ISTEXT(G511)),"",#REF!)</f>
        <v/>
      </c>
      <c r="K511" s="498"/>
      <c r="L511" s="469" t="str">
        <f>IF(OR(AND(ISBLANK(E511),ISBLANK(G511)),ISTEXT(E511),ISTEXT(G511)),"",ROUNDDOWN(G511/SUM($G$57:G507)*$H$57,0))</f>
        <v/>
      </c>
      <c r="M511" s="683" t="str">
        <f>IF(OR(AND(ISBLANK(E511),ISBLANK(G511)),ISTEXT(E511),ISTEXT(G511)),"",IF(H511+L511&gt;$H$57,$H$57-H511,L511))</f>
        <v/>
      </c>
      <c r="N511" s="470" t="str">
        <f>IF(OR(AND(ISBLANK(E511),ISBLANK(G511)),ISTEXT(E511),ISTEXT(G511)),"",H511+M511)</f>
        <v/>
      </c>
      <c r="O511" s="498" t="str">
        <f>IF(OR(AND(ISBLANK(E511),ISBLANK(G511)),ISTEXT(E511),ISTEXT(G511)),"",DATE(YEAR($J511)+M511,MONTH($J511),DAY($J511)))</f>
        <v/>
      </c>
      <c r="P511" s="748" t="str">
        <f>IF(OR(AND(ISBLANK(E511),ISBLANK(G511)),ISTEXT(E511),ISTEXT(G511)),"",#REF!-#REF!*(IF(J511&lt;E511,J511,E511)-#REF!))</f>
        <v/>
      </c>
      <c r="Q511" s="500" t="str">
        <f>IF(OR(AND(ISBLANK(E511),ISBLANK(G511)),ISTEXT(E511),ISTEXT(G511)),"",P511+G511)</f>
        <v/>
      </c>
      <c r="R511" s="501" t="str">
        <f>IF(OR(AND(ISBLANK(E511),ISBLANK(G511)),ISTEXT(E511),ISTEXT(G511)),"",IF(OR(E511&lt;DATE(2004,12,31),#REF!=0),0,Q511/#REF!))</f>
        <v/>
      </c>
      <c r="S511" s="502" t="str">
        <f>IF(OR(AND(ISBLANK(E511),ISBLANK(G511)),ISTEXT(E511),ISTEXT(G511)),"",IF(YEAR(E511)&lt;=YEAR(#REF!),"-",YEAR(E511)-1))</f>
        <v/>
      </c>
      <c r="T511" s="502"/>
      <c r="U511" s="612" t="str">
        <f>IF(OR(AND(ISBLANK(E511),ISBLANK(G511)),ISTEXT(E511),ISTEXT(G511)),"",IF(AND(J511&lt;=DATE(2004,12,31),E511&gt;J511),SUM($G511:G511),#REF!+#REF!+#REF!*IF(YEAR(E511)&lt;=YEAR(#REF!),0,(IF(DATE(YEAR(E511)-1,12,31)&gt;J511,J511,DATE(YEAR(E511)-1,12,31))-#REF!))))</f>
        <v/>
      </c>
      <c r="V511" s="503" t="str">
        <f>IF(OR(AND(ISBLANK(E511),ISBLANK(G511)),ISTEXT(E511),ISTEXT(G511)),"",IF(YEAR(E511)=YEAR(E512),E512,DATE(YEAR(E511),12,31)))</f>
        <v/>
      </c>
      <c r="W511" s="612" t="str">
        <f>IF(OR(AND(ISBLANK(E511),ISBLANK(G511)),ISTEXT(E511),ISTEXT(G511)),"",IF(Q511=0,0,IF(AND(J511&lt;=DATE(2004,12,31),E511&gt;=J511),Q511-U511,Q511-#REF!)))</f>
        <v/>
      </c>
      <c r="X511" s="504" t="str">
        <f>IF(OR(AND(ISBLANK(E511),ISBLANK(G511)),ISTEXT(E511),ISTEXT(G511)),"",$D$57&amp;"//"&amp;TEXT($E$57,"dd-mmm-yyyy")&amp;"//"&amp;#REF!)</f>
        <v/>
      </c>
      <c r="Y511" s="476"/>
      <c r="Z511" s="476"/>
      <c r="AA511" s="476"/>
      <c r="AB511" s="476"/>
      <c r="AC511" s="476"/>
      <c r="AD511" s="568"/>
      <c r="AE511" s="476"/>
      <c r="AF511" s="568"/>
      <c r="AG511" s="476"/>
      <c r="AH511" s="476"/>
      <c r="AI511" s="477"/>
      <c r="AJ511" s="478"/>
      <c r="AK511" s="479"/>
      <c r="AL511" s="480"/>
      <c r="AM511" s="474"/>
      <c r="AN511" s="481"/>
      <c r="AO511" s="474"/>
      <c r="AP511" s="476"/>
      <c r="AQ511" s="482"/>
      <c r="AR511" s="478"/>
      <c r="AS511" s="478"/>
      <c r="AT511" s="476"/>
      <c r="AU511" s="482"/>
      <c r="AV511" s="478"/>
      <c r="AW511" s="483"/>
      <c r="AX511" s="476"/>
      <c r="AY511" s="482"/>
      <c r="AZ511" s="478"/>
      <c r="BA511" s="484"/>
      <c r="BB511" s="474"/>
      <c r="BC511" s="485"/>
      <c r="BD511" s="485"/>
      <c r="BG511" s="487"/>
    </row>
    <row r="512" spans="1:59" s="526" customFormat="1" ht="18" customHeight="1" x14ac:dyDescent="0.2">
      <c r="A512" s="1370" t="s">
        <v>4184</v>
      </c>
      <c r="B512" s="1956" t="s">
        <v>4184</v>
      </c>
      <c r="C512" s="1957"/>
      <c r="D512" s="1957"/>
      <c r="E512" s="1957"/>
      <c r="F512" s="1958"/>
      <c r="G512" s="621">
        <f>SUM(G496:G511)</f>
        <v>4860453371.9979773</v>
      </c>
      <c r="H512" s="505"/>
      <c r="I512" s="506"/>
      <c r="J512" s="507"/>
      <c r="K512" s="507"/>
      <c r="L512" s="505"/>
      <c r="M512" s="684"/>
      <c r="N512" s="508"/>
      <c r="O512" s="507"/>
      <c r="P512" s="749"/>
      <c r="Q512" s="510"/>
      <c r="R512" s="511"/>
      <c r="S512" s="512"/>
      <c r="T512" s="512"/>
      <c r="U512" s="610">
        <f>SUM(U496:U511)</f>
        <v>4860453371.9979763</v>
      </c>
      <c r="V512" s="513"/>
      <c r="W512" s="610">
        <f>G512-U512</f>
        <v>0</v>
      </c>
      <c r="X512" s="514"/>
      <c r="Y512" s="515"/>
      <c r="Z512" s="515"/>
      <c r="AA512" s="515"/>
      <c r="AB512" s="515"/>
      <c r="AC512" s="515"/>
      <c r="AD512" s="570"/>
      <c r="AE512" s="515"/>
      <c r="AF512" s="570">
        <v>7467674273.4540977</v>
      </c>
      <c r="AG512" s="515"/>
      <c r="AH512" s="515"/>
      <c r="AI512" s="516"/>
      <c r="AJ512" s="517"/>
      <c r="AK512" s="518"/>
      <c r="AL512" s="519"/>
      <c r="AM512" s="520"/>
      <c r="AN512" s="521"/>
      <c r="AO512" s="520"/>
      <c r="AP512" s="515"/>
      <c r="AQ512" s="522"/>
      <c r="AR512" s="517"/>
      <c r="AS512" s="517"/>
      <c r="AT512" s="515"/>
      <c r="AU512" s="522"/>
      <c r="AV512" s="517"/>
      <c r="AW512" s="523"/>
      <c r="AX512" s="515"/>
      <c r="AY512" s="522"/>
      <c r="AZ512" s="517"/>
      <c r="BA512" s="524"/>
      <c r="BB512" s="520"/>
      <c r="BC512" s="525"/>
      <c r="BD512" s="525"/>
      <c r="BG512" s="527"/>
    </row>
    <row r="516" spans="1:59" s="422" customFormat="1" ht="18" customHeight="1" x14ac:dyDescent="0.2">
      <c r="A516" s="1366">
        <f>C516</f>
        <v>83</v>
      </c>
      <c r="B516" s="742" t="s">
        <v>4187</v>
      </c>
      <c r="C516" s="556">
        <v>83</v>
      </c>
      <c r="D516" s="553" t="str">
        <f>VLOOKUP(C516,RUAS,2,FALSE)</f>
        <v>LUBUK JAMBI - LUBUK AMBACANG</v>
      </c>
      <c r="E516" s="553"/>
      <c r="F516" s="421"/>
      <c r="G516" s="611"/>
      <c r="I516" s="423"/>
      <c r="J516" s="424"/>
      <c r="K516" s="424"/>
      <c r="M516" s="680"/>
      <c r="P516" s="611"/>
      <c r="U516" s="611"/>
      <c r="W516" s="611"/>
      <c r="Y516" s="425"/>
      <c r="Z516" s="425"/>
      <c r="AA516" s="425"/>
      <c r="AB516" s="425"/>
      <c r="AC516" s="425"/>
      <c r="AD516" s="563"/>
      <c r="AE516" s="425"/>
      <c r="AF516" s="563"/>
      <c r="AG516" s="425"/>
      <c r="AH516" s="425"/>
      <c r="AI516" s="425"/>
      <c r="AJ516" s="425"/>
      <c r="AK516" s="425"/>
      <c r="AL516" s="425"/>
      <c r="AM516" s="425"/>
      <c r="AN516" s="425"/>
      <c r="AO516" s="425"/>
      <c r="AP516" s="425"/>
      <c r="AQ516" s="425"/>
      <c r="AR516" s="425"/>
      <c r="AS516" s="425"/>
      <c r="AT516" s="425"/>
      <c r="AU516" s="425"/>
      <c r="AV516" s="425"/>
      <c r="AW516" s="425"/>
      <c r="AX516" s="425"/>
      <c r="AY516" s="425"/>
      <c r="AZ516" s="425"/>
      <c r="BA516" s="425"/>
      <c r="BB516" s="425"/>
    </row>
    <row r="517" spans="1:59" s="431" customFormat="1" ht="18" customHeight="1" x14ac:dyDescent="0.2">
      <c r="A517" s="1367"/>
      <c r="B517" s="1968" t="s">
        <v>5</v>
      </c>
      <c r="C517" s="1968" t="s">
        <v>2280</v>
      </c>
      <c r="D517" s="1968" t="s">
        <v>4157</v>
      </c>
      <c r="E517" s="1968" t="s">
        <v>4158</v>
      </c>
      <c r="F517" s="1968"/>
      <c r="G517" s="1969" t="s">
        <v>4159</v>
      </c>
      <c r="H517" s="1968" t="s">
        <v>4160</v>
      </c>
      <c r="I517" s="1968"/>
      <c r="J517" s="1968" t="s">
        <v>4185</v>
      </c>
      <c r="K517" s="1964" t="s">
        <v>4162</v>
      </c>
      <c r="L517" s="1968" t="s">
        <v>4163</v>
      </c>
      <c r="M517" s="1971" t="s">
        <v>4164</v>
      </c>
      <c r="N517" s="1962" t="s">
        <v>4165</v>
      </c>
      <c r="O517" s="1968" t="s">
        <v>4166</v>
      </c>
      <c r="P517" s="1972" t="s">
        <v>4167</v>
      </c>
      <c r="Q517" s="1973"/>
      <c r="R517" s="1159" t="s">
        <v>4186</v>
      </c>
      <c r="S517" s="1972" t="s">
        <v>4169</v>
      </c>
      <c r="T517" s="1974"/>
      <c r="U517" s="1973"/>
      <c r="V517" s="1975" t="s">
        <v>4170</v>
      </c>
      <c r="W517" s="1975"/>
      <c r="X517" s="1960" t="s">
        <v>4171</v>
      </c>
      <c r="Y517" s="1959"/>
      <c r="Z517" s="1155"/>
      <c r="AA517" s="426"/>
      <c r="AB517" s="426"/>
      <c r="AC517" s="426"/>
      <c r="AD517" s="564"/>
      <c r="AE517" s="426"/>
      <c r="AF517" s="564"/>
      <c r="AG517" s="426"/>
      <c r="AH517" s="426"/>
      <c r="AI517" s="427"/>
      <c r="AJ517" s="427"/>
      <c r="AK517" s="427"/>
      <c r="AL517" s="427"/>
      <c r="AM517" s="428"/>
      <c r="AN517" s="427"/>
      <c r="AO517" s="427"/>
      <c r="AP517" s="426"/>
      <c r="AQ517" s="427"/>
      <c r="AR517" s="427"/>
      <c r="AS517" s="427"/>
      <c r="AT517" s="426"/>
      <c r="AU517" s="427"/>
      <c r="AV517" s="427"/>
      <c r="AW517" s="427"/>
      <c r="AX517" s="426"/>
      <c r="AY517" s="427"/>
      <c r="AZ517" s="427"/>
      <c r="BA517" s="427"/>
      <c r="BB517" s="429"/>
      <c r="BC517" s="430"/>
      <c r="BD517" s="430"/>
    </row>
    <row r="518" spans="1:59" s="431" customFormat="1" ht="18" customHeight="1" x14ac:dyDescent="0.2">
      <c r="A518" s="1367"/>
      <c r="B518" s="1968"/>
      <c r="C518" s="1968"/>
      <c r="D518" s="1968"/>
      <c r="E518" s="1968"/>
      <c r="F518" s="1968"/>
      <c r="G518" s="1969"/>
      <c r="H518" s="1968"/>
      <c r="I518" s="1968"/>
      <c r="J518" s="1968"/>
      <c r="K518" s="1970"/>
      <c r="L518" s="1968"/>
      <c r="M518" s="1971"/>
      <c r="N518" s="1963"/>
      <c r="O518" s="1968"/>
      <c r="P518" s="2037" t="s">
        <v>4172</v>
      </c>
      <c r="Q518" s="1960" t="s">
        <v>4173</v>
      </c>
      <c r="R518" s="1962" t="s">
        <v>4159</v>
      </c>
      <c r="S518" s="1962" t="s">
        <v>4174</v>
      </c>
      <c r="T518" s="1964" t="s">
        <v>4175</v>
      </c>
      <c r="U518" s="1966" t="s">
        <v>4159</v>
      </c>
      <c r="V518" s="1975"/>
      <c r="W518" s="1975"/>
      <c r="X518" s="1976"/>
      <c r="Y518" s="1959"/>
      <c r="Z518" s="1155"/>
      <c r="AA518" s="426"/>
      <c r="AB518" s="426"/>
      <c r="AC518" s="426"/>
      <c r="AD518" s="564"/>
      <c r="AE518" s="426"/>
      <c r="AF518" s="564"/>
      <c r="AG518" s="426"/>
      <c r="AH518" s="426"/>
      <c r="AI518" s="427"/>
      <c r="AJ518" s="427"/>
      <c r="AK518" s="426"/>
      <c r="AL518" s="427"/>
      <c r="AM518" s="428"/>
      <c r="AN518" s="427"/>
      <c r="AO518" s="427"/>
      <c r="AP518" s="432"/>
      <c r="AQ518" s="427"/>
      <c r="AR518" s="427"/>
      <c r="AS518" s="427"/>
      <c r="AT518" s="432"/>
      <c r="AU518" s="427"/>
      <c r="AV518" s="427"/>
      <c r="AW518" s="427"/>
      <c r="AX518" s="432"/>
      <c r="AY518" s="427"/>
      <c r="AZ518" s="427"/>
      <c r="BA518" s="427"/>
      <c r="BB518" s="429"/>
      <c r="BC518" s="430"/>
      <c r="BD518" s="430"/>
    </row>
    <row r="519" spans="1:59" s="431" customFormat="1" ht="18" customHeight="1" x14ac:dyDescent="0.2">
      <c r="A519" s="1367"/>
      <c r="B519" s="1968"/>
      <c r="C519" s="1968"/>
      <c r="D519" s="1968"/>
      <c r="E519" s="433" t="s">
        <v>4176</v>
      </c>
      <c r="F519" s="434" t="s">
        <v>2288</v>
      </c>
      <c r="G519" s="1969"/>
      <c r="H519" s="1156" t="s">
        <v>2288</v>
      </c>
      <c r="I519" s="1156" t="s">
        <v>4177</v>
      </c>
      <c r="J519" s="1968"/>
      <c r="K519" s="1965"/>
      <c r="L519" s="435" t="s">
        <v>2288</v>
      </c>
      <c r="M519" s="681" t="s">
        <v>2288</v>
      </c>
      <c r="N519" s="1156" t="s">
        <v>2288</v>
      </c>
      <c r="O519" s="1968"/>
      <c r="P519" s="2038"/>
      <c r="Q519" s="1961"/>
      <c r="R519" s="1963"/>
      <c r="S519" s="1963"/>
      <c r="T519" s="1965"/>
      <c r="U519" s="1967"/>
      <c r="V519" s="1156" t="s">
        <v>4178</v>
      </c>
      <c r="W519" s="1157" t="s">
        <v>4159</v>
      </c>
      <c r="X519" s="1961"/>
      <c r="Y519" s="436"/>
      <c r="Z519" s="436"/>
      <c r="AA519" s="426"/>
      <c r="AB519" s="426"/>
      <c r="AC519" s="426"/>
      <c r="AD519" s="564"/>
      <c r="AE519" s="426"/>
      <c r="AF519" s="564"/>
      <c r="AG519" s="426"/>
      <c r="AH519" s="426"/>
      <c r="AI519" s="427"/>
      <c r="AJ519" s="432"/>
      <c r="AK519" s="432"/>
      <c r="AL519" s="427"/>
      <c r="AM519" s="428"/>
      <c r="AN519" s="432"/>
      <c r="AO519" s="427"/>
      <c r="AP519" s="432"/>
      <c r="AQ519" s="432"/>
      <c r="AR519" s="427"/>
      <c r="AS519" s="427"/>
      <c r="AT519" s="432"/>
      <c r="AU519" s="432"/>
      <c r="AV519" s="427"/>
      <c r="AW519" s="427"/>
      <c r="AX519" s="432"/>
      <c r="AY519" s="432"/>
      <c r="AZ519" s="427"/>
      <c r="BA519" s="427"/>
      <c r="BB519" s="429"/>
      <c r="BC519" s="430"/>
      <c r="BD519" s="430"/>
    </row>
    <row r="520" spans="1:59" s="461" customFormat="1" ht="18" customHeight="1" x14ac:dyDescent="0.2">
      <c r="A520" s="1368" t="str">
        <f>$D$516&amp;S520</f>
        <v>LUBUK JAMBI - LUBUK AMBACANG2001</v>
      </c>
      <c r="B520" s="1373">
        <v>1</v>
      </c>
      <c r="C520" s="532" t="s">
        <v>1134</v>
      </c>
      <c r="D520" s="437" t="s">
        <v>2494</v>
      </c>
      <c r="E520" s="438"/>
      <c r="F520" s="439">
        <v>2001</v>
      </c>
      <c r="G520" s="623">
        <v>9141204662</v>
      </c>
      <c r="H520" s="440">
        <f>VLOOKUP(LEFT(D520,8),UE,4)</f>
        <v>10</v>
      </c>
      <c r="I520" s="441"/>
      <c r="J520" s="442">
        <f>(F520+N520)-1</f>
        <v>2010</v>
      </c>
      <c r="K520" s="443"/>
      <c r="L520" s="440"/>
      <c r="M520" s="746">
        <f>IF(H520+L520&gt;$H520,$H520-H520,L520)</f>
        <v>0</v>
      </c>
      <c r="N520" s="444">
        <f>H520+M520</f>
        <v>10</v>
      </c>
      <c r="O520" s="442">
        <f>(F520+N520)-1</f>
        <v>2010</v>
      </c>
      <c r="P520" s="617">
        <f>G520</f>
        <v>9141204662</v>
      </c>
      <c r="Q520" s="445">
        <v>0</v>
      </c>
      <c r="R520" s="445">
        <f>P520/N520</f>
        <v>914120466.20000005</v>
      </c>
      <c r="S520" s="446">
        <f>F520</f>
        <v>2001</v>
      </c>
      <c r="T520" s="447">
        <v>1</v>
      </c>
      <c r="U520" s="613">
        <f>R520*T520</f>
        <v>914120466.20000005</v>
      </c>
      <c r="V520" s="442">
        <f>F520</f>
        <v>2001</v>
      </c>
      <c r="W520" s="617">
        <f>IF(OR(AND(ISBLANK(E520),ISBLANK(G520)),ISTEXT(E520),ISTEXT(G520)),"",G520-R520)</f>
        <v>8227084195.8000002</v>
      </c>
      <c r="X520" s="448"/>
      <c r="Y520" s="449"/>
      <c r="Z520" s="449"/>
      <c r="AA520" s="693"/>
      <c r="AB520" s="452"/>
      <c r="AC520" s="452"/>
      <c r="AD520" s="571"/>
      <c r="AE520" s="452"/>
      <c r="AF520" s="571"/>
      <c r="AG520" s="452"/>
      <c r="AH520" s="452"/>
      <c r="AI520" s="453"/>
      <c r="AJ520" s="449"/>
      <c r="AK520" s="453"/>
      <c r="AL520" s="454"/>
      <c r="AM520" s="455"/>
      <c r="AN520" s="456"/>
      <c r="AO520" s="455"/>
      <c r="AP520" s="452"/>
      <c r="AQ520" s="457"/>
      <c r="AR520" s="449"/>
      <c r="AS520" s="449"/>
      <c r="AT520" s="452"/>
      <c r="AU520" s="457"/>
      <c r="AV520" s="449"/>
      <c r="AW520" s="458"/>
      <c r="AX520" s="452"/>
      <c r="AY520" s="457"/>
      <c r="AZ520" s="449"/>
      <c r="BA520" s="459"/>
      <c r="BB520" s="455"/>
      <c r="BC520" s="460"/>
      <c r="BD520" s="460"/>
      <c r="BG520" s="462"/>
    </row>
    <row r="521" spans="1:59" s="461" customFormat="1" ht="18" customHeight="1" x14ac:dyDescent="0.2">
      <c r="A521" s="1368" t="str">
        <f t="shared" ref="A521:A534" si="373">$D$516&amp;S521</f>
        <v>LUBUK JAMBI - LUBUK AMBACANG2006</v>
      </c>
      <c r="B521" s="1373"/>
      <c r="C521" s="488"/>
      <c r="D521" s="489"/>
      <c r="E521" s="558"/>
      <c r="F521" s="559">
        <v>2006</v>
      </c>
      <c r="G521" s="619">
        <v>0</v>
      </c>
      <c r="H521" s="464">
        <f>IF(N520-(F521-F520)&lt;=0,0,(N520-(F521-F520)))</f>
        <v>5</v>
      </c>
      <c r="I521" s="560"/>
      <c r="J521" s="468">
        <f>(F521+N521)-1</f>
        <v>2010</v>
      </c>
      <c r="K521" s="490">
        <f>IF(G521=0,0,IF(H521=10,100%,G521/W520))</f>
        <v>0</v>
      </c>
      <c r="L521" s="469">
        <f>IF(K521=0%,0,IF(K521&lt;=30%,2,IF(K521&lt;=60%,5,10)))</f>
        <v>0</v>
      </c>
      <c r="M521" s="683">
        <f>IF(OR(AND(ISBLANK(E521),ISBLANK(G521)),ISTEXT(E521),ISTEXT(G521)),"",IF(H521+L521&gt;$H$8,$H$8-H521,L521))</f>
        <v>0</v>
      </c>
      <c r="N521" s="470">
        <f>IF(OR(AND(ISBLANK(F521),ISBLANK(G521)),ISTEXT(F521),ISTEXT(G521)),"",H521+M521)</f>
        <v>5</v>
      </c>
      <c r="O521" s="468">
        <f>(F521+N521)-1</f>
        <v>2010</v>
      </c>
      <c r="P521" s="616">
        <f>W520</f>
        <v>8227084195.8000002</v>
      </c>
      <c r="Q521" s="472">
        <f>P521+G521</f>
        <v>8227084195.8000002</v>
      </c>
      <c r="R521" s="472">
        <f>IF(L521=0,R520,Q521/N521)</f>
        <v>914120466.20000005</v>
      </c>
      <c r="S521" s="1160">
        <f>F521</f>
        <v>2006</v>
      </c>
      <c r="T521" s="470">
        <f>S521-S520</f>
        <v>5</v>
      </c>
      <c r="U521" s="612">
        <f>R521*T521</f>
        <v>4570602331</v>
      </c>
      <c r="V521" s="464">
        <f>F521</f>
        <v>2006</v>
      </c>
      <c r="W521" s="612">
        <f>IF(OR(AND(ISBLANK(E521),ISBLANK(G521)),ISTEXT(E521),ISTEXT(G521)),"",Q521-U521)</f>
        <v>3656481864.8000002</v>
      </c>
      <c r="X521" s="561"/>
      <c r="Y521" s="449"/>
      <c r="Z521" s="449"/>
      <c r="AA521" s="694"/>
      <c r="AB521" s="692"/>
      <c r="AC521" s="692"/>
      <c r="AD521" s="695"/>
      <c r="AE521" s="452"/>
      <c r="AF521" s="571"/>
      <c r="AG521" s="452"/>
      <c r="AH521" s="452"/>
      <c r="AI521" s="453"/>
      <c r="AJ521" s="449"/>
      <c r="AK521" s="453"/>
      <c r="AL521" s="454"/>
      <c r="AM521" s="455"/>
      <c r="AN521" s="456"/>
      <c r="AO521" s="455"/>
      <c r="AP521" s="452"/>
      <c r="AQ521" s="457"/>
      <c r="AR521" s="449"/>
      <c r="AS521" s="449"/>
      <c r="AT521" s="452"/>
      <c r="AU521" s="457"/>
      <c r="AV521" s="449"/>
      <c r="AW521" s="458"/>
      <c r="AX521" s="452"/>
      <c r="AY521" s="457"/>
      <c r="AZ521" s="449"/>
      <c r="BA521" s="459"/>
      <c r="BB521" s="455"/>
      <c r="BC521" s="460"/>
      <c r="BD521" s="460"/>
      <c r="BG521" s="462"/>
    </row>
    <row r="522" spans="1:59" s="461" customFormat="1" ht="18" customHeight="1" x14ac:dyDescent="0.2">
      <c r="A522" s="1368" t="str">
        <f t="shared" si="373"/>
        <v>LUBUK JAMBI - LUBUK AMBACANG2007</v>
      </c>
      <c r="B522" s="1373">
        <v>2</v>
      </c>
      <c r="C522" s="488" t="s">
        <v>1158</v>
      </c>
      <c r="D522" s="489" t="s">
        <v>2494</v>
      </c>
      <c r="E522" s="558"/>
      <c r="F522" s="559">
        <v>2007</v>
      </c>
      <c r="G522" s="619">
        <f>1601590326.33984+442451120.538846</f>
        <v>2044041446.878686</v>
      </c>
      <c r="H522" s="464">
        <f t="shared" ref="H522:H533" si="374">IF(N521-(F522-F521)&lt;=0,0,(N521-(F522-F521)))</f>
        <v>4</v>
      </c>
      <c r="I522" s="560"/>
      <c r="J522" s="468">
        <f t="shared" ref="J522:J533" si="375">(F522+N522)-1</f>
        <v>2015</v>
      </c>
      <c r="K522" s="490">
        <f t="shared" ref="K522:K533" si="376">IF(G522=0,0,IF(H522=10,100%,G522/W521))</f>
        <v>0.55901862020871518</v>
      </c>
      <c r="L522" s="469">
        <f t="shared" ref="L522:L533" si="377">IF(K522=0%,0,IF(K522&lt;=30%,2,IF(K522&lt;=60%,5,10)))</f>
        <v>5</v>
      </c>
      <c r="M522" s="683">
        <f t="shared" ref="M522:M533" si="378">IF(OR(AND(ISBLANK(E522),ISBLANK(G522)),ISTEXT(E522),ISTEXT(G522)),"",IF(H522+L522&gt;$H$8,$H$8-H522,L522))</f>
        <v>5</v>
      </c>
      <c r="N522" s="470">
        <f t="shared" ref="N522:N533" si="379">IF(OR(AND(ISBLANK(F522),ISBLANK(G522)),ISTEXT(F522),ISTEXT(G522)),"",H522+M522)</f>
        <v>9</v>
      </c>
      <c r="O522" s="468">
        <f t="shared" ref="O522:O533" si="380">(F522+N522)-1</f>
        <v>2015</v>
      </c>
      <c r="P522" s="616">
        <f t="shared" ref="P522:P533" si="381">W521</f>
        <v>3656481864.8000002</v>
      </c>
      <c r="Q522" s="472">
        <f t="shared" ref="Q522:Q533" si="382">P522+G522</f>
        <v>5700523311.6786861</v>
      </c>
      <c r="R522" s="472">
        <f t="shared" ref="R522:R533" si="383">IF(L522=0,R521,Q522/N522)</f>
        <v>633391479.07540953</v>
      </c>
      <c r="S522" s="1189">
        <f t="shared" ref="S522:S533" si="384">F522</f>
        <v>2007</v>
      </c>
      <c r="T522" s="470">
        <f t="shared" ref="T522:T533" si="385">S522-S521</f>
        <v>1</v>
      </c>
      <c r="U522" s="612">
        <f t="shared" ref="U522:U533" si="386">R522*T522</f>
        <v>633391479.07540953</v>
      </c>
      <c r="V522" s="464">
        <f t="shared" ref="V522:V533" si="387">F522</f>
        <v>2007</v>
      </c>
      <c r="W522" s="612">
        <f t="shared" ref="W522:W533" si="388">IF(OR(AND(ISBLANK(E522),ISBLANK(G522)),ISTEXT(E522),ISTEXT(G522)),"",Q522-U522)</f>
        <v>5067131832.6032763</v>
      </c>
      <c r="X522" s="561"/>
      <c r="Y522" s="449"/>
      <c r="Z522" s="449"/>
      <c r="AA522" s="554" t="s">
        <v>4179</v>
      </c>
      <c r="AB522" s="452"/>
      <c r="AC522" s="452"/>
      <c r="AD522" s="566"/>
      <c r="AE522" s="452"/>
      <c r="AF522" s="571"/>
      <c r="AG522" s="452"/>
      <c r="AH522" s="452"/>
      <c r="AI522" s="453"/>
      <c r="AJ522" s="449"/>
      <c r="AK522" s="453"/>
      <c r="AL522" s="454"/>
      <c r="AM522" s="455"/>
      <c r="AN522" s="456"/>
      <c r="AO522" s="455"/>
      <c r="AP522" s="452"/>
      <c r="AQ522" s="457"/>
      <c r="AR522" s="449"/>
      <c r="AS522" s="449"/>
      <c r="AT522" s="452"/>
      <c r="AU522" s="457"/>
      <c r="AV522" s="449"/>
      <c r="AW522" s="458"/>
      <c r="AX522" s="452"/>
      <c r="AY522" s="457"/>
      <c r="AZ522" s="449"/>
      <c r="BA522" s="459"/>
      <c r="BB522" s="455"/>
      <c r="BC522" s="460"/>
      <c r="BD522" s="460"/>
      <c r="BG522" s="462"/>
    </row>
    <row r="523" spans="1:59" s="461" customFormat="1" ht="18" customHeight="1" x14ac:dyDescent="0.2">
      <c r="A523" s="1368" t="str">
        <f t="shared" si="373"/>
        <v>LUBUK JAMBI - LUBUK AMBACANG2008</v>
      </c>
      <c r="B523" s="1373">
        <v>3</v>
      </c>
      <c r="C523" s="488" t="s">
        <v>5114</v>
      </c>
      <c r="D523" s="489"/>
      <c r="E523" s="558"/>
      <c r="F523" s="559">
        <v>2008</v>
      </c>
      <c r="G523" s="619">
        <v>399330194.19144249</v>
      </c>
      <c r="H523" s="464">
        <f t="shared" si="374"/>
        <v>8</v>
      </c>
      <c r="I523" s="560"/>
      <c r="J523" s="468">
        <f t="shared" si="375"/>
        <v>2017</v>
      </c>
      <c r="K523" s="490">
        <f t="shared" si="376"/>
        <v>7.8807934623300227E-2</v>
      </c>
      <c r="L523" s="469">
        <f t="shared" si="377"/>
        <v>2</v>
      </c>
      <c r="M523" s="683">
        <f t="shared" si="378"/>
        <v>2</v>
      </c>
      <c r="N523" s="470">
        <f t="shared" si="379"/>
        <v>10</v>
      </c>
      <c r="O523" s="468">
        <f t="shared" si="380"/>
        <v>2017</v>
      </c>
      <c r="P523" s="616">
        <f t="shared" si="381"/>
        <v>5067131832.6032763</v>
      </c>
      <c r="Q523" s="472">
        <f t="shared" si="382"/>
        <v>5466462026.7947187</v>
      </c>
      <c r="R523" s="472">
        <f t="shared" si="383"/>
        <v>546646202.67947185</v>
      </c>
      <c r="S523" s="1189">
        <f t="shared" si="384"/>
        <v>2008</v>
      </c>
      <c r="T523" s="470">
        <f t="shared" si="385"/>
        <v>1</v>
      </c>
      <c r="U523" s="612">
        <f t="shared" si="386"/>
        <v>546646202.67947185</v>
      </c>
      <c r="V523" s="464">
        <f t="shared" si="387"/>
        <v>2008</v>
      </c>
      <c r="W523" s="612">
        <f t="shared" si="388"/>
        <v>4919815824.1152468</v>
      </c>
      <c r="X523" s="561"/>
      <c r="Y523" s="449"/>
      <c r="Z523" s="449"/>
      <c r="AA523" s="554"/>
      <c r="AB523" s="452"/>
      <c r="AC523" s="452"/>
      <c r="AD523" s="566"/>
      <c r="AE523" s="452"/>
      <c r="AF523" s="571"/>
      <c r="AG523" s="452"/>
      <c r="AH523" s="452"/>
      <c r="AI523" s="453"/>
      <c r="AJ523" s="449"/>
      <c r="AK523" s="453"/>
      <c r="AL523" s="454"/>
      <c r="AM523" s="455"/>
      <c r="AN523" s="456"/>
      <c r="AO523" s="455"/>
      <c r="AP523" s="452"/>
      <c r="AQ523" s="457"/>
      <c r="AR523" s="449"/>
      <c r="AS523" s="449"/>
      <c r="AT523" s="452"/>
      <c r="AU523" s="457"/>
      <c r="AV523" s="449"/>
      <c r="AW523" s="458"/>
      <c r="AX523" s="452"/>
      <c r="AY523" s="457"/>
      <c r="AZ523" s="449"/>
      <c r="BA523" s="459"/>
      <c r="BB523" s="455"/>
      <c r="BC523" s="460"/>
      <c r="BD523" s="460"/>
      <c r="BG523" s="462"/>
    </row>
    <row r="524" spans="1:59" s="486" customFormat="1" ht="18" customHeight="1" x14ac:dyDescent="0.2">
      <c r="A524" s="1368" t="str">
        <f t="shared" si="373"/>
        <v>LUBUK JAMBI - LUBUK AMBACANG2009</v>
      </c>
      <c r="B524" s="1373">
        <v>4</v>
      </c>
      <c r="C524" s="493" t="s">
        <v>5115</v>
      </c>
      <c r="D524" s="489"/>
      <c r="E524" s="465"/>
      <c r="F524" s="466">
        <v>2009</v>
      </c>
      <c r="G524" s="619">
        <v>1028907709.2648308</v>
      </c>
      <c r="H524" s="464">
        <f t="shared" si="374"/>
        <v>9</v>
      </c>
      <c r="I524" s="560"/>
      <c r="J524" s="468">
        <f t="shared" si="375"/>
        <v>2018</v>
      </c>
      <c r="K524" s="490">
        <f t="shared" si="376"/>
        <v>0.20913541198462729</v>
      </c>
      <c r="L524" s="469">
        <f t="shared" si="377"/>
        <v>2</v>
      </c>
      <c r="M524" s="683">
        <f t="shared" si="378"/>
        <v>1</v>
      </c>
      <c r="N524" s="470">
        <f t="shared" si="379"/>
        <v>10</v>
      </c>
      <c r="O524" s="468">
        <f t="shared" si="380"/>
        <v>2018</v>
      </c>
      <c r="P524" s="616">
        <f t="shared" si="381"/>
        <v>4919815824.1152468</v>
      </c>
      <c r="Q524" s="472">
        <f t="shared" si="382"/>
        <v>5948723533.3800774</v>
      </c>
      <c r="R524" s="472">
        <f t="shared" si="383"/>
        <v>594872353.33800769</v>
      </c>
      <c r="S524" s="1189">
        <f t="shared" si="384"/>
        <v>2009</v>
      </c>
      <c r="T524" s="470">
        <f t="shared" si="385"/>
        <v>1</v>
      </c>
      <c r="U524" s="612">
        <f t="shared" si="386"/>
        <v>594872353.33800769</v>
      </c>
      <c r="V524" s="464">
        <f t="shared" si="387"/>
        <v>2009</v>
      </c>
      <c r="W524" s="612">
        <f t="shared" si="388"/>
        <v>5353851180.0420694</v>
      </c>
      <c r="X524" s="473"/>
      <c r="Y524" s="474"/>
      <c r="Z524" s="449"/>
      <c r="AA524" s="475" t="s">
        <v>4180</v>
      </c>
      <c r="AB524" s="476"/>
      <c r="AC524" s="476"/>
      <c r="AD524" s="567">
        <f>G536</f>
        <v>30588193452.977364</v>
      </c>
      <c r="AE524" s="476"/>
      <c r="AF524" s="568"/>
      <c r="AG524" s="476"/>
      <c r="AH524" s="476"/>
      <c r="AI524" s="477"/>
      <c r="AJ524" s="478"/>
      <c r="AK524" s="479"/>
      <c r="AL524" s="480"/>
      <c r="AM524" s="474"/>
      <c r="AN524" s="481"/>
      <c r="AO524" s="474"/>
      <c r="AP524" s="476"/>
      <c r="AQ524" s="482"/>
      <c r="AR524" s="478"/>
      <c r="AS524" s="478"/>
      <c r="AT524" s="476"/>
      <c r="AU524" s="482"/>
      <c r="AV524" s="478"/>
      <c r="AW524" s="483"/>
      <c r="AX524" s="476"/>
      <c r="AY524" s="482"/>
      <c r="AZ524" s="478"/>
      <c r="BA524" s="484"/>
      <c r="BB524" s="474"/>
      <c r="BC524" s="485"/>
      <c r="BD524" s="485"/>
      <c r="BG524" s="487"/>
    </row>
    <row r="525" spans="1:59" s="486" customFormat="1" ht="18" customHeight="1" x14ac:dyDescent="0.2">
      <c r="A525" s="1368" t="str">
        <f t="shared" si="373"/>
        <v>LUBUK JAMBI - LUBUK AMBACANG2010</v>
      </c>
      <c r="B525" s="1373"/>
      <c r="C525" s="463"/>
      <c r="D525" s="489"/>
      <c r="E525" s="465"/>
      <c r="F525" s="466">
        <v>2010</v>
      </c>
      <c r="G525" s="619">
        <v>0</v>
      </c>
      <c r="H525" s="464">
        <f t="shared" si="374"/>
        <v>9</v>
      </c>
      <c r="I525" s="560"/>
      <c r="J525" s="468">
        <f t="shared" si="375"/>
        <v>2018</v>
      </c>
      <c r="K525" s="490">
        <f t="shared" si="376"/>
        <v>0</v>
      </c>
      <c r="L525" s="469">
        <f t="shared" si="377"/>
        <v>0</v>
      </c>
      <c r="M525" s="683">
        <f t="shared" si="378"/>
        <v>0</v>
      </c>
      <c r="N525" s="470">
        <f t="shared" si="379"/>
        <v>9</v>
      </c>
      <c r="O525" s="468">
        <f t="shared" si="380"/>
        <v>2018</v>
      </c>
      <c r="P525" s="616">
        <f t="shared" si="381"/>
        <v>5353851180.0420694</v>
      </c>
      <c r="Q525" s="472">
        <f t="shared" si="382"/>
        <v>5353851180.0420694</v>
      </c>
      <c r="R525" s="472">
        <f t="shared" si="383"/>
        <v>594872353.33800769</v>
      </c>
      <c r="S525" s="1189">
        <f t="shared" si="384"/>
        <v>2010</v>
      </c>
      <c r="T525" s="470">
        <f t="shared" si="385"/>
        <v>1</v>
      </c>
      <c r="U525" s="612">
        <f t="shared" si="386"/>
        <v>594872353.33800769</v>
      </c>
      <c r="V525" s="464">
        <f t="shared" si="387"/>
        <v>2010</v>
      </c>
      <c r="W525" s="612">
        <f t="shared" si="388"/>
        <v>4758978826.7040615</v>
      </c>
      <c r="X525" s="473"/>
      <c r="Y525" s="474"/>
      <c r="Z525" s="449"/>
      <c r="AA525" s="475"/>
      <c r="AB525" s="476"/>
      <c r="AC525" s="476"/>
      <c r="AD525" s="567"/>
      <c r="AE525" s="476"/>
      <c r="AF525" s="568"/>
      <c r="AG525" s="476"/>
      <c r="AH525" s="476"/>
      <c r="AI525" s="477"/>
      <c r="AJ525" s="478"/>
      <c r="AK525" s="479"/>
      <c r="AL525" s="480"/>
      <c r="AM525" s="474"/>
      <c r="AN525" s="481"/>
      <c r="AO525" s="474"/>
      <c r="AP525" s="476"/>
      <c r="AQ525" s="482"/>
      <c r="AR525" s="478"/>
      <c r="AS525" s="478"/>
      <c r="AT525" s="476"/>
      <c r="AU525" s="482"/>
      <c r="AV525" s="478"/>
      <c r="AW525" s="483"/>
      <c r="AX525" s="476"/>
      <c r="AY525" s="482"/>
      <c r="AZ525" s="478"/>
      <c r="BA525" s="484"/>
      <c r="BB525" s="474"/>
      <c r="BC525" s="485"/>
      <c r="BD525" s="485"/>
      <c r="BG525" s="487"/>
    </row>
    <row r="526" spans="1:59" s="486" customFormat="1" ht="18" customHeight="1" x14ac:dyDescent="0.2">
      <c r="A526" s="1368" t="str">
        <f t="shared" si="373"/>
        <v>LUBUK JAMBI - LUBUK AMBACANG2011</v>
      </c>
      <c r="B526" s="1373"/>
      <c r="C526" s="463"/>
      <c r="D526" s="489"/>
      <c r="E526" s="465"/>
      <c r="F526" s="466">
        <v>2011</v>
      </c>
      <c r="G526" s="619">
        <v>0</v>
      </c>
      <c r="H526" s="464">
        <f t="shared" si="374"/>
        <v>8</v>
      </c>
      <c r="I526" s="560"/>
      <c r="J526" s="468">
        <f t="shared" si="375"/>
        <v>2018</v>
      </c>
      <c r="K526" s="490">
        <f t="shared" si="376"/>
        <v>0</v>
      </c>
      <c r="L526" s="469">
        <f t="shared" si="377"/>
        <v>0</v>
      </c>
      <c r="M526" s="683">
        <f t="shared" si="378"/>
        <v>0</v>
      </c>
      <c r="N526" s="470">
        <f t="shared" si="379"/>
        <v>8</v>
      </c>
      <c r="O526" s="468">
        <f t="shared" si="380"/>
        <v>2018</v>
      </c>
      <c r="P526" s="616">
        <f t="shared" si="381"/>
        <v>4758978826.7040615</v>
      </c>
      <c r="Q526" s="472">
        <f t="shared" si="382"/>
        <v>4758978826.7040615</v>
      </c>
      <c r="R526" s="472">
        <f t="shared" si="383"/>
        <v>594872353.33800769</v>
      </c>
      <c r="S526" s="1189">
        <f t="shared" si="384"/>
        <v>2011</v>
      </c>
      <c r="T526" s="470">
        <f t="shared" si="385"/>
        <v>1</v>
      </c>
      <c r="U526" s="612">
        <f t="shared" si="386"/>
        <v>594872353.33800769</v>
      </c>
      <c r="V526" s="464">
        <f t="shared" si="387"/>
        <v>2011</v>
      </c>
      <c r="W526" s="612">
        <f t="shared" si="388"/>
        <v>4164106473.3660536</v>
      </c>
      <c r="X526" s="473"/>
      <c r="Y526" s="474"/>
      <c r="Z526" s="449"/>
      <c r="AA526" s="475"/>
      <c r="AB526" s="476"/>
      <c r="AC526" s="476"/>
      <c r="AD526" s="567"/>
      <c r="AE526" s="476"/>
      <c r="AF526" s="568"/>
      <c r="AG526" s="476"/>
      <c r="AH526" s="476"/>
      <c r="AI526" s="477"/>
      <c r="AJ526" s="478"/>
      <c r="AK526" s="479"/>
      <c r="AL526" s="480"/>
      <c r="AM526" s="474"/>
      <c r="AN526" s="481"/>
      <c r="AO526" s="474"/>
      <c r="AP526" s="476"/>
      <c r="AQ526" s="482"/>
      <c r="AR526" s="478"/>
      <c r="AS526" s="478"/>
      <c r="AT526" s="476"/>
      <c r="AU526" s="482"/>
      <c r="AV526" s="478"/>
      <c r="AW526" s="483"/>
      <c r="AX526" s="476"/>
      <c r="AY526" s="482"/>
      <c r="AZ526" s="478"/>
      <c r="BA526" s="484"/>
      <c r="BB526" s="474"/>
      <c r="BC526" s="485"/>
      <c r="BD526" s="485"/>
      <c r="BG526" s="487"/>
    </row>
    <row r="527" spans="1:59" s="486" customFormat="1" ht="18" customHeight="1" x14ac:dyDescent="0.2">
      <c r="A527" s="1368" t="str">
        <f t="shared" si="373"/>
        <v>LUBUK JAMBI - LUBUK AMBACANG2012</v>
      </c>
      <c r="B527" s="1373"/>
      <c r="C527" s="488"/>
      <c r="D527" s="489"/>
      <c r="E527" s="465"/>
      <c r="F527" s="466">
        <v>2012</v>
      </c>
      <c r="G527" s="619">
        <v>0</v>
      </c>
      <c r="H527" s="464">
        <f t="shared" si="374"/>
        <v>7</v>
      </c>
      <c r="I527" s="560"/>
      <c r="J527" s="468">
        <f t="shared" si="375"/>
        <v>2018</v>
      </c>
      <c r="K527" s="490">
        <f t="shared" si="376"/>
        <v>0</v>
      </c>
      <c r="L527" s="469">
        <f t="shared" si="377"/>
        <v>0</v>
      </c>
      <c r="M527" s="683">
        <f t="shared" si="378"/>
        <v>0</v>
      </c>
      <c r="N527" s="470">
        <f t="shared" si="379"/>
        <v>7</v>
      </c>
      <c r="O527" s="468">
        <f t="shared" si="380"/>
        <v>2018</v>
      </c>
      <c r="P527" s="616">
        <f t="shared" si="381"/>
        <v>4164106473.3660536</v>
      </c>
      <c r="Q527" s="472">
        <f t="shared" si="382"/>
        <v>4164106473.3660536</v>
      </c>
      <c r="R527" s="472">
        <f t="shared" si="383"/>
        <v>594872353.33800769</v>
      </c>
      <c r="S527" s="1189">
        <f t="shared" si="384"/>
        <v>2012</v>
      </c>
      <c r="T527" s="470">
        <f t="shared" si="385"/>
        <v>1</v>
      </c>
      <c r="U527" s="612">
        <f t="shared" si="386"/>
        <v>594872353.33800769</v>
      </c>
      <c r="V527" s="464">
        <f t="shared" si="387"/>
        <v>2012</v>
      </c>
      <c r="W527" s="612">
        <f t="shared" si="388"/>
        <v>3569234120.0280457</v>
      </c>
      <c r="X527" s="473"/>
      <c r="Y527" s="478"/>
      <c r="Z527" s="449"/>
      <c r="AA527" s="475" t="s">
        <v>4181</v>
      </c>
      <c r="AB527" s="491"/>
      <c r="AC527" s="491"/>
      <c r="AD527" s="567">
        <f>U536</f>
        <v>19554969627.576462</v>
      </c>
      <c r="AE527" s="491"/>
      <c r="AF527" s="568"/>
      <c r="AG527" s="491"/>
      <c r="AH527" s="491"/>
      <c r="AI527" s="477"/>
      <c r="AJ527" s="478"/>
      <c r="AK527" s="479"/>
      <c r="AL527" s="480"/>
      <c r="AM527" s="474"/>
      <c r="AN527" s="481"/>
      <c r="AO527" s="474"/>
      <c r="AP527" s="476"/>
      <c r="AQ527" s="482"/>
      <c r="AR527" s="478"/>
      <c r="AS527" s="478"/>
      <c r="AT527" s="476"/>
      <c r="AU527" s="482"/>
      <c r="AV527" s="478"/>
      <c r="AW527" s="483"/>
      <c r="AX527" s="476"/>
      <c r="AY527" s="482"/>
      <c r="AZ527" s="478"/>
      <c r="BA527" s="484"/>
      <c r="BB527" s="474"/>
      <c r="BC527" s="485"/>
      <c r="BD527" s="485"/>
      <c r="BG527" s="487"/>
    </row>
    <row r="528" spans="1:59" s="486" customFormat="1" ht="18" customHeight="1" x14ac:dyDescent="0.2">
      <c r="A528" s="1368" t="str">
        <f t="shared" si="373"/>
        <v>LUBUK JAMBI - LUBUK AMBACANG2013</v>
      </c>
      <c r="B528" s="1373"/>
      <c r="C528" s="463"/>
      <c r="D528" s="489"/>
      <c r="E528" s="465"/>
      <c r="F528" s="466">
        <v>2013</v>
      </c>
      <c r="G528" s="620">
        <v>0</v>
      </c>
      <c r="H528" s="464">
        <f t="shared" si="374"/>
        <v>6</v>
      </c>
      <c r="I528" s="560"/>
      <c r="J528" s="468">
        <f t="shared" si="375"/>
        <v>2018</v>
      </c>
      <c r="K528" s="490">
        <f t="shared" si="376"/>
        <v>0</v>
      </c>
      <c r="L528" s="469">
        <f t="shared" si="377"/>
        <v>0</v>
      </c>
      <c r="M528" s="683">
        <f t="shared" si="378"/>
        <v>0</v>
      </c>
      <c r="N528" s="470">
        <f t="shared" si="379"/>
        <v>6</v>
      </c>
      <c r="O528" s="468">
        <f t="shared" si="380"/>
        <v>2018</v>
      </c>
      <c r="P528" s="616">
        <f t="shared" si="381"/>
        <v>3569234120.0280457</v>
      </c>
      <c r="Q528" s="472">
        <f t="shared" si="382"/>
        <v>3569234120.0280457</v>
      </c>
      <c r="R528" s="472">
        <f t="shared" si="383"/>
        <v>594872353.33800769</v>
      </c>
      <c r="S528" s="1189">
        <f t="shared" si="384"/>
        <v>2013</v>
      </c>
      <c r="T528" s="470">
        <f t="shared" si="385"/>
        <v>1</v>
      </c>
      <c r="U528" s="612">
        <f t="shared" si="386"/>
        <v>594872353.33800769</v>
      </c>
      <c r="V528" s="464">
        <f t="shared" si="387"/>
        <v>2013</v>
      </c>
      <c r="W528" s="612">
        <f t="shared" si="388"/>
        <v>2974361766.6900377</v>
      </c>
      <c r="X528" s="473"/>
      <c r="Y528" s="478"/>
      <c r="Z528" s="449"/>
      <c r="AA528" s="492" t="s">
        <v>4182</v>
      </c>
      <c r="AB528" s="476"/>
      <c r="AC528" s="476"/>
      <c r="AD528" s="567">
        <f>AD524-AD527</f>
        <v>11033223825.400902</v>
      </c>
      <c r="AE528" s="476"/>
      <c r="AF528" s="568"/>
      <c r="AG528" s="476"/>
      <c r="AH528" s="476"/>
      <c r="AI528" s="477"/>
      <c r="AJ528" s="478"/>
      <c r="AK528" s="479"/>
      <c r="AL528" s="480"/>
      <c r="AM528" s="474"/>
      <c r="AN528" s="481"/>
      <c r="AO528" s="474"/>
      <c r="AP528" s="476"/>
      <c r="AQ528" s="482"/>
      <c r="AR528" s="478"/>
      <c r="AS528" s="478"/>
      <c r="AT528" s="476"/>
      <c r="AU528" s="482"/>
      <c r="AV528" s="478"/>
      <c r="AW528" s="483"/>
      <c r="AX528" s="476"/>
      <c r="AY528" s="482"/>
      <c r="AZ528" s="478"/>
      <c r="BA528" s="484"/>
      <c r="BB528" s="474"/>
      <c r="BC528" s="485"/>
      <c r="BD528" s="485"/>
      <c r="BG528" s="487"/>
    </row>
    <row r="529" spans="1:59" s="486" customFormat="1" ht="18" customHeight="1" x14ac:dyDescent="0.2">
      <c r="A529" s="1368" t="str">
        <f t="shared" si="373"/>
        <v>LUBUK JAMBI - LUBUK AMBACANG2014</v>
      </c>
      <c r="B529" s="687">
        <v>5</v>
      </c>
      <c r="C529" s="463" t="s">
        <v>1318</v>
      </c>
      <c r="D529" s="489"/>
      <c r="E529" s="465"/>
      <c r="F529" s="466">
        <v>2014</v>
      </c>
      <c r="G529" s="620">
        <v>9827462391.6313477</v>
      </c>
      <c r="H529" s="464">
        <f t="shared" si="374"/>
        <v>5</v>
      </c>
      <c r="I529" s="560"/>
      <c r="J529" s="468">
        <f t="shared" si="375"/>
        <v>2023</v>
      </c>
      <c r="K529" s="490">
        <f t="shared" si="376"/>
        <v>3.304057529816776</v>
      </c>
      <c r="L529" s="469">
        <f t="shared" si="377"/>
        <v>10</v>
      </c>
      <c r="M529" s="683">
        <f t="shared" si="378"/>
        <v>5</v>
      </c>
      <c r="N529" s="470">
        <f t="shared" si="379"/>
        <v>10</v>
      </c>
      <c r="O529" s="468">
        <f t="shared" si="380"/>
        <v>2023</v>
      </c>
      <c r="P529" s="616">
        <f t="shared" si="381"/>
        <v>2974361766.6900377</v>
      </c>
      <c r="Q529" s="472">
        <f t="shared" si="382"/>
        <v>12801824158.321384</v>
      </c>
      <c r="R529" s="472">
        <f t="shared" si="383"/>
        <v>1280182415.8321385</v>
      </c>
      <c r="S529" s="1189">
        <f t="shared" si="384"/>
        <v>2014</v>
      </c>
      <c r="T529" s="470">
        <f t="shared" si="385"/>
        <v>1</v>
      </c>
      <c r="U529" s="612">
        <f t="shared" si="386"/>
        <v>1280182415.8321385</v>
      </c>
      <c r="V529" s="464">
        <f t="shared" si="387"/>
        <v>2014</v>
      </c>
      <c r="W529" s="612">
        <f t="shared" si="388"/>
        <v>11521641742.489246</v>
      </c>
      <c r="X529" s="473"/>
      <c r="Y529" s="478"/>
      <c r="Z529" s="449"/>
      <c r="AA529" s="531" t="s">
        <v>4183</v>
      </c>
      <c r="AB529" s="496"/>
      <c r="AC529" s="496"/>
      <c r="AD529" s="569">
        <f>AD528-W536</f>
        <v>0</v>
      </c>
      <c r="AE529" s="476"/>
      <c r="AF529" s="568"/>
      <c r="AG529" s="476"/>
      <c r="AH529" s="476"/>
      <c r="AI529" s="477"/>
      <c r="AJ529" s="478"/>
      <c r="AK529" s="479"/>
      <c r="AL529" s="480"/>
      <c r="AM529" s="474"/>
      <c r="AN529" s="481"/>
      <c r="AO529" s="474"/>
      <c r="AP529" s="476"/>
      <c r="AQ529" s="482"/>
      <c r="AR529" s="478"/>
      <c r="AS529" s="478"/>
      <c r="AT529" s="476"/>
      <c r="AU529" s="482"/>
      <c r="AV529" s="478"/>
      <c r="AW529" s="483"/>
      <c r="AX529" s="476"/>
      <c r="AY529" s="482"/>
      <c r="AZ529" s="478"/>
      <c r="BA529" s="484"/>
      <c r="BB529" s="474"/>
      <c r="BC529" s="485"/>
      <c r="BD529" s="485"/>
      <c r="BG529" s="487"/>
    </row>
    <row r="530" spans="1:59" s="486" customFormat="1" ht="18" customHeight="1" x14ac:dyDescent="0.2">
      <c r="A530" s="1368" t="str">
        <f t="shared" si="373"/>
        <v>LUBUK JAMBI - LUBUK AMBACANG2015</v>
      </c>
      <c r="B530" s="687">
        <v>6</v>
      </c>
      <c r="C530" s="463"/>
      <c r="D530" s="489"/>
      <c r="E530" s="465"/>
      <c r="F530" s="466">
        <v>2015</v>
      </c>
      <c r="G530" s="620">
        <v>0</v>
      </c>
      <c r="H530" s="464">
        <f t="shared" si="374"/>
        <v>9</v>
      </c>
      <c r="I530" s="560"/>
      <c r="J530" s="468">
        <f t="shared" si="375"/>
        <v>2023</v>
      </c>
      <c r="K530" s="490">
        <f t="shared" si="376"/>
        <v>0</v>
      </c>
      <c r="L530" s="469">
        <f t="shared" si="377"/>
        <v>0</v>
      </c>
      <c r="M530" s="683">
        <f t="shared" si="378"/>
        <v>0</v>
      </c>
      <c r="N530" s="470">
        <f t="shared" si="379"/>
        <v>9</v>
      </c>
      <c r="O530" s="468">
        <f t="shared" si="380"/>
        <v>2023</v>
      </c>
      <c r="P530" s="616">
        <f t="shared" si="381"/>
        <v>11521641742.489246</v>
      </c>
      <c r="Q530" s="472">
        <f t="shared" si="382"/>
        <v>11521641742.489246</v>
      </c>
      <c r="R530" s="472">
        <f t="shared" si="383"/>
        <v>1280182415.8321385</v>
      </c>
      <c r="S530" s="1189">
        <f t="shared" si="384"/>
        <v>2015</v>
      </c>
      <c r="T530" s="470">
        <f t="shared" si="385"/>
        <v>1</v>
      </c>
      <c r="U530" s="612">
        <f t="shared" si="386"/>
        <v>1280182415.8321385</v>
      </c>
      <c r="V530" s="464">
        <f t="shared" si="387"/>
        <v>2015</v>
      </c>
      <c r="W530" s="612">
        <f t="shared" si="388"/>
        <v>10241459326.657108</v>
      </c>
      <c r="X530" s="473"/>
      <c r="Y530" s="497"/>
      <c r="Z530" s="449"/>
      <c r="AA530" s="497"/>
      <c r="AB530" s="476"/>
      <c r="AC530" s="497"/>
      <c r="AD530" s="568"/>
      <c r="AE530" s="476"/>
      <c r="AF530" s="568"/>
      <c r="AG530" s="476"/>
      <c r="AH530" s="476"/>
      <c r="AI530" s="477"/>
      <c r="AJ530" s="478"/>
      <c r="AK530" s="479"/>
      <c r="AL530" s="480"/>
      <c r="AM530" s="474"/>
      <c r="AN530" s="481"/>
      <c r="AO530" s="474"/>
      <c r="AP530" s="476"/>
      <c r="AQ530" s="482"/>
      <c r="AR530" s="478"/>
      <c r="AS530" s="478"/>
      <c r="AT530" s="476"/>
      <c r="AU530" s="482"/>
      <c r="AV530" s="478"/>
      <c r="AW530" s="483"/>
      <c r="AX530" s="476"/>
      <c r="AY530" s="482"/>
      <c r="AZ530" s="478"/>
      <c r="BA530" s="484"/>
      <c r="BB530" s="474"/>
      <c r="BC530" s="485"/>
      <c r="BD530" s="485"/>
      <c r="BG530" s="487"/>
    </row>
    <row r="531" spans="1:59" s="486" customFormat="1" ht="18" customHeight="1" x14ac:dyDescent="0.2">
      <c r="A531" s="1368" t="str">
        <f t="shared" si="373"/>
        <v>LUBUK JAMBI - LUBUK AMBACANG2016</v>
      </c>
      <c r="B531" s="687">
        <v>7</v>
      </c>
      <c r="C531" s="493" t="s">
        <v>1437</v>
      </c>
      <c r="D531" s="489" t="s">
        <v>2494</v>
      </c>
      <c r="E531" s="465"/>
      <c r="F531" s="466">
        <v>2016</v>
      </c>
      <c r="G531" s="620">
        <v>8147247049.011054</v>
      </c>
      <c r="H531" s="464">
        <f t="shared" si="374"/>
        <v>8</v>
      </c>
      <c r="I531" s="560"/>
      <c r="J531" s="468">
        <f t="shared" si="375"/>
        <v>2025</v>
      </c>
      <c r="K531" s="490">
        <f t="shared" si="376"/>
        <v>0.79551622372847708</v>
      </c>
      <c r="L531" s="469">
        <f t="shared" si="377"/>
        <v>10</v>
      </c>
      <c r="M531" s="683">
        <f t="shared" si="378"/>
        <v>2</v>
      </c>
      <c r="N531" s="470">
        <f t="shared" si="379"/>
        <v>10</v>
      </c>
      <c r="O531" s="468">
        <f t="shared" si="380"/>
        <v>2025</v>
      </c>
      <c r="P531" s="616">
        <f t="shared" si="381"/>
        <v>10241459326.657108</v>
      </c>
      <c r="Q531" s="472">
        <f t="shared" si="382"/>
        <v>18388706375.668163</v>
      </c>
      <c r="R531" s="472">
        <f t="shared" si="383"/>
        <v>1838870637.5668163</v>
      </c>
      <c r="S531" s="1189">
        <f t="shared" si="384"/>
        <v>2016</v>
      </c>
      <c r="T531" s="470">
        <f t="shared" si="385"/>
        <v>1</v>
      </c>
      <c r="U531" s="612">
        <f t="shared" si="386"/>
        <v>1838870637.5668163</v>
      </c>
      <c r="V531" s="464">
        <f t="shared" si="387"/>
        <v>2016</v>
      </c>
      <c r="W531" s="612">
        <f t="shared" si="388"/>
        <v>16549835738.101347</v>
      </c>
      <c r="X531" s="473"/>
      <c r="Y531" s="497"/>
      <c r="Z531" s="449"/>
      <c r="AA531" s="497"/>
      <c r="AB531" s="476"/>
      <c r="AC531" s="497"/>
      <c r="AD531" s="568"/>
      <c r="AE531" s="476"/>
      <c r="AF531" s="568"/>
      <c r="AG531" s="476"/>
      <c r="AH531" s="476"/>
      <c r="AI531" s="477"/>
      <c r="AJ531" s="478"/>
      <c r="AK531" s="479"/>
      <c r="AL531" s="480"/>
      <c r="AM531" s="474"/>
      <c r="AN531" s="481"/>
      <c r="AO531" s="474"/>
      <c r="AP531" s="476"/>
      <c r="AQ531" s="482"/>
      <c r="AR531" s="478"/>
      <c r="AS531" s="478"/>
      <c r="AT531" s="476"/>
      <c r="AU531" s="482"/>
      <c r="AV531" s="478"/>
      <c r="AW531" s="483"/>
      <c r="AX531" s="476"/>
      <c r="AY531" s="482"/>
      <c r="AZ531" s="478"/>
      <c r="BA531" s="484"/>
      <c r="BB531" s="474"/>
      <c r="BC531" s="485"/>
      <c r="BD531" s="485"/>
      <c r="BG531" s="487"/>
    </row>
    <row r="532" spans="1:59" s="486" customFormat="1" ht="18" customHeight="1" x14ac:dyDescent="0.2">
      <c r="A532" s="1368" t="str">
        <f t="shared" si="373"/>
        <v>LUBUK JAMBI - LUBUK AMBACANG2017</v>
      </c>
      <c r="B532" s="687"/>
      <c r="C532" s="463"/>
      <c r="D532" s="489"/>
      <c r="E532" s="465"/>
      <c r="F532" s="466">
        <v>2017</v>
      </c>
      <c r="G532" s="620">
        <v>0</v>
      </c>
      <c r="H532" s="464">
        <f t="shared" si="374"/>
        <v>9</v>
      </c>
      <c r="I532" s="560"/>
      <c r="J532" s="468">
        <f t="shared" si="375"/>
        <v>2025</v>
      </c>
      <c r="K532" s="490">
        <f t="shared" si="376"/>
        <v>0</v>
      </c>
      <c r="L532" s="469">
        <f t="shared" si="377"/>
        <v>0</v>
      </c>
      <c r="M532" s="683">
        <f t="shared" si="378"/>
        <v>0</v>
      </c>
      <c r="N532" s="470">
        <f t="shared" si="379"/>
        <v>9</v>
      </c>
      <c r="O532" s="468">
        <f t="shared" si="380"/>
        <v>2025</v>
      </c>
      <c r="P532" s="616">
        <f t="shared" si="381"/>
        <v>16549835738.101347</v>
      </c>
      <c r="Q532" s="472">
        <f t="shared" si="382"/>
        <v>16549835738.101347</v>
      </c>
      <c r="R532" s="472">
        <f t="shared" si="383"/>
        <v>1838870637.5668163</v>
      </c>
      <c r="S532" s="1189">
        <f t="shared" si="384"/>
        <v>2017</v>
      </c>
      <c r="T532" s="470">
        <f t="shared" si="385"/>
        <v>1</v>
      </c>
      <c r="U532" s="612">
        <f t="shared" si="386"/>
        <v>1838870637.5668163</v>
      </c>
      <c r="V532" s="464">
        <f t="shared" si="387"/>
        <v>2017</v>
      </c>
      <c r="W532" s="612">
        <f t="shared" si="388"/>
        <v>14710965100.534531</v>
      </c>
      <c r="X532" s="473"/>
      <c r="Y532" s="497"/>
      <c r="Z532" s="449"/>
      <c r="AA532" s="497"/>
      <c r="AB532" s="476"/>
      <c r="AC532" s="497"/>
      <c r="AD532" s="568"/>
      <c r="AE532" s="476"/>
      <c r="AF532" s="568"/>
      <c r="AG532" s="476"/>
      <c r="AH532" s="476"/>
      <c r="AI532" s="477"/>
      <c r="AJ532" s="478"/>
      <c r="AK532" s="479"/>
      <c r="AL532" s="480"/>
      <c r="AM532" s="474"/>
      <c r="AN532" s="481"/>
      <c r="AO532" s="474"/>
      <c r="AP532" s="476"/>
      <c r="AQ532" s="482"/>
      <c r="AR532" s="478"/>
      <c r="AS532" s="478"/>
      <c r="AT532" s="476"/>
      <c r="AU532" s="482"/>
      <c r="AV532" s="478"/>
      <c r="AW532" s="483"/>
      <c r="AX532" s="476"/>
      <c r="AY532" s="482"/>
      <c r="AZ532" s="478"/>
      <c r="BA532" s="484"/>
      <c r="BB532" s="474"/>
      <c r="BC532" s="485"/>
      <c r="BD532" s="485"/>
      <c r="BG532" s="487"/>
    </row>
    <row r="533" spans="1:59" s="486" customFormat="1" ht="18" customHeight="1" x14ac:dyDescent="0.2">
      <c r="A533" s="1368" t="str">
        <f t="shared" si="373"/>
        <v>LUBUK JAMBI - LUBUK AMBACANG2018</v>
      </c>
      <c r="B533" s="687"/>
      <c r="C533" s="463"/>
      <c r="D533" s="489"/>
      <c r="E533" s="465"/>
      <c r="F533" s="466">
        <v>2018</v>
      </c>
      <c r="G533" s="620">
        <v>0</v>
      </c>
      <c r="H533" s="464">
        <f t="shared" si="374"/>
        <v>8</v>
      </c>
      <c r="I533" s="560"/>
      <c r="J533" s="468">
        <f t="shared" si="375"/>
        <v>2025</v>
      </c>
      <c r="K533" s="490">
        <f t="shared" si="376"/>
        <v>0</v>
      </c>
      <c r="L533" s="469">
        <f t="shared" si="377"/>
        <v>0</v>
      </c>
      <c r="M533" s="683">
        <f t="shared" si="378"/>
        <v>0</v>
      </c>
      <c r="N533" s="470">
        <f t="shared" si="379"/>
        <v>8</v>
      </c>
      <c r="O533" s="468">
        <f t="shared" si="380"/>
        <v>2025</v>
      </c>
      <c r="P533" s="616">
        <f t="shared" si="381"/>
        <v>14710965100.534531</v>
      </c>
      <c r="Q533" s="472">
        <f t="shared" si="382"/>
        <v>14710965100.534531</v>
      </c>
      <c r="R533" s="472">
        <f t="shared" si="383"/>
        <v>1838870637.5668163</v>
      </c>
      <c r="S533" s="1189">
        <f t="shared" si="384"/>
        <v>2018</v>
      </c>
      <c r="T533" s="470">
        <f t="shared" si="385"/>
        <v>1</v>
      </c>
      <c r="U533" s="612">
        <f t="shared" si="386"/>
        <v>1838870637.5668163</v>
      </c>
      <c r="V533" s="464">
        <f t="shared" si="387"/>
        <v>2018</v>
      </c>
      <c r="W533" s="612">
        <f t="shared" si="388"/>
        <v>12872094462.967714</v>
      </c>
      <c r="X533" s="473"/>
      <c r="Y533" s="497"/>
      <c r="Z533" s="449"/>
      <c r="AA533" s="497"/>
      <c r="AB533" s="476"/>
      <c r="AC533" s="497"/>
      <c r="AD533" s="568"/>
      <c r="AE533" s="476"/>
      <c r="AF533" s="568"/>
      <c r="AG533" s="476"/>
      <c r="AH533" s="476"/>
      <c r="AI533" s="477"/>
      <c r="AJ533" s="478"/>
      <c r="AK533" s="479"/>
      <c r="AL533" s="480"/>
      <c r="AM533" s="474"/>
      <c r="AN533" s="481"/>
      <c r="AO533" s="474"/>
      <c r="AP533" s="476"/>
      <c r="AQ533" s="482"/>
      <c r="AR533" s="478"/>
      <c r="AS533" s="478"/>
      <c r="AT533" s="476"/>
      <c r="AU533" s="482"/>
      <c r="AV533" s="478"/>
      <c r="AW533" s="483"/>
      <c r="AX533" s="476"/>
      <c r="AY533" s="482"/>
      <c r="AZ533" s="478"/>
      <c r="BA533" s="484"/>
      <c r="BB533" s="474"/>
      <c r="BC533" s="485"/>
      <c r="BD533" s="485"/>
      <c r="BG533" s="487"/>
    </row>
    <row r="534" spans="1:59" s="486" customFormat="1" ht="18" customHeight="1" x14ac:dyDescent="0.2">
      <c r="A534" s="1368" t="str">
        <f t="shared" si="373"/>
        <v>LUBUK JAMBI - LUBUK AMBACANG2019</v>
      </c>
      <c r="B534" s="687"/>
      <c r="C534" s="463"/>
      <c r="D534" s="489"/>
      <c r="E534" s="465"/>
      <c r="F534" s="466">
        <v>2019</v>
      </c>
      <c r="G534" s="620">
        <v>0</v>
      </c>
      <c r="H534" s="464">
        <f>IF(N533-(F534-F533)&lt;=0,0,(N533-(F534-F533)))</f>
        <v>7</v>
      </c>
      <c r="I534" s="560"/>
      <c r="J534" s="468">
        <f>(F534+N534)-1</f>
        <v>2025</v>
      </c>
      <c r="K534" s="490">
        <f>IF(G534=0,0,IF(H534=10,100%,G534/W533))</f>
        <v>0</v>
      </c>
      <c r="L534" s="469">
        <f>IF(K534=0%,0,IF(K534&lt;=30%,2,IF(K534&lt;=60%,5,10)))</f>
        <v>0</v>
      </c>
      <c r="M534" s="683">
        <f>IF(OR(AND(ISBLANK(E534),ISBLANK(G534)),ISTEXT(E534),ISTEXT(G534)),"",IF(H534+L534&gt;$H$8,$H$8-H534,L534))</f>
        <v>0</v>
      </c>
      <c r="N534" s="470">
        <f>IF(OR(AND(ISBLANK(F534),ISBLANK(G534)),ISTEXT(F534),ISTEXT(G534)),"",H534+M534)</f>
        <v>7</v>
      </c>
      <c r="O534" s="468">
        <f>(F534+N534)-1</f>
        <v>2025</v>
      </c>
      <c r="P534" s="616">
        <f>W533</f>
        <v>12872094462.967714</v>
      </c>
      <c r="Q534" s="472">
        <f>P534+G534</f>
        <v>12872094462.967714</v>
      </c>
      <c r="R534" s="472">
        <f>IF(L534=0,R533,Q534/N534)</f>
        <v>1838870637.5668163</v>
      </c>
      <c r="S534" s="1189">
        <f>F534</f>
        <v>2019</v>
      </c>
      <c r="T534" s="470">
        <f>S534-S533</f>
        <v>1</v>
      </c>
      <c r="U534" s="612">
        <f>R534*T534</f>
        <v>1838870637.5668163</v>
      </c>
      <c r="V534" s="464">
        <f>F534</f>
        <v>2019</v>
      </c>
      <c r="W534" s="612">
        <f>IF(OR(AND(ISBLANK(E534),ISBLANK(G534)),ISTEXT(E534),ISTEXT(G534)),"",Q534-U534)</f>
        <v>11033223825.400898</v>
      </c>
      <c r="X534" s="473"/>
      <c r="Y534" s="497"/>
      <c r="Z534" s="449"/>
      <c r="AA534" s="497"/>
      <c r="AB534" s="476"/>
      <c r="AC534" s="497"/>
      <c r="AD534" s="568"/>
      <c r="AE534" s="476"/>
      <c r="AF534" s="568"/>
      <c r="AG534" s="476"/>
      <c r="AH534" s="476"/>
      <c r="AI534" s="477"/>
      <c r="AJ534" s="478"/>
      <c r="AK534" s="479"/>
      <c r="AL534" s="480"/>
      <c r="AM534" s="474"/>
      <c r="AN534" s="481"/>
      <c r="AO534" s="474"/>
      <c r="AP534" s="476"/>
      <c r="AQ534" s="482"/>
      <c r="AR534" s="478"/>
      <c r="AS534" s="478"/>
      <c r="AT534" s="476"/>
      <c r="AU534" s="482"/>
      <c r="AV534" s="478"/>
      <c r="AW534" s="483"/>
      <c r="AX534" s="476"/>
      <c r="AY534" s="482"/>
      <c r="AZ534" s="478"/>
      <c r="BA534" s="484"/>
      <c r="BB534" s="474"/>
      <c r="BC534" s="485"/>
      <c r="BD534" s="485"/>
      <c r="BG534" s="487"/>
    </row>
    <row r="535" spans="1:59" s="486" customFormat="1" ht="18" customHeight="1" x14ac:dyDescent="0.2">
      <c r="A535" s="1369"/>
      <c r="B535" s="687"/>
      <c r="C535" s="463"/>
      <c r="D535" s="464"/>
      <c r="E535" s="465"/>
      <c r="F535" s="1160"/>
      <c r="G535" s="620"/>
      <c r="H535" s="469" t="str">
        <f>IF(OR(AND(ISBLANK(E535),ISBLANK(G535)),ISTEXT(E535),ISTEXT(G535)),"",IF(#REF!-(YEAR(E535)-YEAR(#REF!))&lt;0,0,#REF!-(YEAR(E535)-YEAR(#REF!))))</f>
        <v/>
      </c>
      <c r="I535" s="467" t="str">
        <f>IF(OR(AND(ISBLANK(E535),ISBLANK(G535)),ISTEXT(E535),ISTEXT(G535)),"",IF(#REF!-E535&lt;0,0,#REF!-E535))</f>
        <v/>
      </c>
      <c r="J535" s="498" t="str">
        <f>IF(OR(AND(ISBLANK(E535),ISBLANK(G535)),ISTEXT(E535),ISTEXT(G535)),"",#REF!)</f>
        <v/>
      </c>
      <c r="K535" s="498"/>
      <c r="L535" s="469" t="str">
        <f>IF(OR(AND(ISBLANK(E535),ISBLANK(G535)),ISTEXT(E535),ISTEXT(G535)),"",ROUNDDOWN(G535/SUM($G$57:G529)*$H$57,0))</f>
        <v/>
      </c>
      <c r="M535" s="683" t="str">
        <f>IF(OR(AND(ISBLANK(E535),ISBLANK(G535)),ISTEXT(E535),ISTEXT(G535)),"",IF(H535+L535&gt;$H$57,$H$57-H535,L535))</f>
        <v/>
      </c>
      <c r="N535" s="470" t="str">
        <f>IF(OR(AND(ISBLANK(E535),ISBLANK(G535)),ISTEXT(E535),ISTEXT(G535)),"",H535+M535)</f>
        <v/>
      </c>
      <c r="O535" s="498" t="str">
        <f>IF(OR(AND(ISBLANK(E535),ISBLANK(G535)),ISTEXT(E535),ISTEXT(G535)),"",DATE(YEAR($J535)+M535,MONTH($J535),DAY($J535)))</f>
        <v/>
      </c>
      <c r="P535" s="748" t="str">
        <f>IF(OR(AND(ISBLANK(E535),ISBLANK(G535)),ISTEXT(E535),ISTEXT(G535)),"",#REF!-#REF!*(IF(J535&lt;E535,J535,E535)-#REF!))</f>
        <v/>
      </c>
      <c r="Q535" s="500" t="str">
        <f>IF(OR(AND(ISBLANK(E535),ISBLANK(G535)),ISTEXT(E535),ISTEXT(G535)),"",P535+G535)</f>
        <v/>
      </c>
      <c r="R535" s="501" t="str">
        <f>IF(OR(AND(ISBLANK(E535),ISBLANK(G535)),ISTEXT(E535),ISTEXT(G535)),"",IF(OR(E535&lt;DATE(2004,12,31),#REF!=0),0,Q535/#REF!))</f>
        <v/>
      </c>
      <c r="S535" s="502" t="str">
        <f>IF(OR(AND(ISBLANK(E535),ISBLANK(G535)),ISTEXT(E535),ISTEXT(G535)),"",IF(YEAR(E535)&lt;=YEAR(#REF!),"-",YEAR(E535)-1))</f>
        <v/>
      </c>
      <c r="T535" s="502"/>
      <c r="U535" s="612" t="str">
        <f>IF(OR(AND(ISBLANK(E535),ISBLANK(G535)),ISTEXT(E535),ISTEXT(G535)),"",IF(AND(J535&lt;=DATE(2004,12,31),E535&gt;J535),SUM($G535:G535),#REF!+#REF!+#REF!*IF(YEAR(E535)&lt;=YEAR(#REF!),0,(IF(DATE(YEAR(E535)-1,12,31)&gt;J535,J535,DATE(YEAR(E535)-1,12,31))-#REF!))))</f>
        <v/>
      </c>
      <c r="V535" s="503" t="str">
        <f>IF(OR(AND(ISBLANK(E535),ISBLANK(G535)),ISTEXT(E535),ISTEXT(G535)),"",IF(YEAR(E535)=YEAR(E536),E536,DATE(YEAR(E535),12,31)))</f>
        <v/>
      </c>
      <c r="W535" s="612" t="str">
        <f>IF(OR(AND(ISBLANK(E535),ISBLANK(G535)),ISTEXT(E535),ISTEXT(G535)),"",IF(Q535=0,0,IF(AND(J535&lt;=DATE(2004,12,31),E535&gt;=J535),Q535-U535,Q535-#REF!)))</f>
        <v/>
      </c>
      <c r="X535" s="504" t="str">
        <f>IF(OR(AND(ISBLANK(E535),ISBLANK(G535)),ISTEXT(E535),ISTEXT(G535)),"",$D$57&amp;"//"&amp;TEXT($E$57,"dd-mmm-yyyy")&amp;"//"&amp;#REF!)</f>
        <v/>
      </c>
      <c r="Y535" s="476"/>
      <c r="Z535" s="476"/>
      <c r="AA535" s="476"/>
      <c r="AB535" s="476"/>
      <c r="AC535" s="476"/>
      <c r="AD535" s="568"/>
      <c r="AE535" s="476"/>
      <c r="AF535" s="568"/>
      <c r="AG535" s="476"/>
      <c r="AH535" s="476"/>
      <c r="AI535" s="477"/>
      <c r="AJ535" s="478"/>
      <c r="AK535" s="479"/>
      <c r="AL535" s="480"/>
      <c r="AM535" s="474"/>
      <c r="AN535" s="481"/>
      <c r="AO535" s="474"/>
      <c r="AP535" s="476"/>
      <c r="AQ535" s="482"/>
      <c r="AR535" s="478"/>
      <c r="AS535" s="478"/>
      <c r="AT535" s="476"/>
      <c r="AU535" s="482"/>
      <c r="AV535" s="478"/>
      <c r="AW535" s="483"/>
      <c r="AX535" s="476"/>
      <c r="AY535" s="482"/>
      <c r="AZ535" s="478"/>
      <c r="BA535" s="484"/>
      <c r="BB535" s="474"/>
      <c r="BC535" s="485"/>
      <c r="BD535" s="485"/>
      <c r="BG535" s="487"/>
    </row>
    <row r="536" spans="1:59" s="526" customFormat="1" ht="18" customHeight="1" x14ac:dyDescent="0.2">
      <c r="A536" s="1370" t="s">
        <v>4184</v>
      </c>
      <c r="B536" s="1956" t="s">
        <v>4184</v>
      </c>
      <c r="C536" s="1957"/>
      <c r="D536" s="1957"/>
      <c r="E536" s="1957"/>
      <c r="F536" s="1958"/>
      <c r="G536" s="624">
        <f>SUM(G520:G535)</f>
        <v>30588193452.977364</v>
      </c>
      <c r="H536" s="505"/>
      <c r="I536" s="506"/>
      <c r="J536" s="507"/>
      <c r="K536" s="507"/>
      <c r="L536" s="505"/>
      <c r="M536" s="684"/>
      <c r="N536" s="508"/>
      <c r="O536" s="507"/>
      <c r="P536" s="749"/>
      <c r="Q536" s="510"/>
      <c r="R536" s="511"/>
      <c r="S536" s="512"/>
      <c r="T536" s="512"/>
      <c r="U536" s="610">
        <f>SUM(U520:U535)</f>
        <v>19554969627.576462</v>
      </c>
      <c r="V536" s="513"/>
      <c r="W536" s="610">
        <f>G536-U536</f>
        <v>11033223825.400902</v>
      </c>
      <c r="X536" s="514"/>
      <c r="Y536" s="515"/>
      <c r="Z536" s="515"/>
      <c r="AA536" s="515"/>
      <c r="AB536" s="515"/>
      <c r="AC536" s="515"/>
      <c r="AD536" s="570"/>
      <c r="AE536" s="515"/>
      <c r="AF536" s="570">
        <v>6881607257.9469938</v>
      </c>
      <c r="AG536" s="515"/>
      <c r="AH536" s="515"/>
      <c r="AI536" s="516"/>
      <c r="AJ536" s="517"/>
      <c r="AK536" s="518"/>
      <c r="AL536" s="519"/>
      <c r="AM536" s="520"/>
      <c r="AN536" s="521"/>
      <c r="AO536" s="520"/>
      <c r="AP536" s="515"/>
      <c r="AQ536" s="522"/>
      <c r="AR536" s="517"/>
      <c r="AS536" s="517"/>
      <c r="AT536" s="515"/>
      <c r="AU536" s="522"/>
      <c r="AV536" s="517"/>
      <c r="AW536" s="523"/>
      <c r="AX536" s="515"/>
      <c r="AY536" s="522"/>
      <c r="AZ536" s="517"/>
      <c r="BA536" s="524"/>
      <c r="BB536" s="520"/>
      <c r="BC536" s="525"/>
      <c r="BD536" s="525"/>
      <c r="BG536" s="527"/>
    </row>
    <row r="539" spans="1:59" s="422" customFormat="1" ht="18" customHeight="1" x14ac:dyDescent="0.2">
      <c r="A539" s="1366">
        <f>C539</f>
        <v>86</v>
      </c>
      <c r="B539" s="742" t="s">
        <v>4187</v>
      </c>
      <c r="C539" s="556">
        <v>86</v>
      </c>
      <c r="D539" s="553" t="str">
        <f>VLOOKUP(C539,RUAS,2,FALSE)</f>
        <v>PANTAI - AIR BULUH</v>
      </c>
      <c r="E539" s="553"/>
      <c r="F539" s="421"/>
      <c r="G539" s="611"/>
      <c r="I539" s="423"/>
      <c r="J539" s="424"/>
      <c r="K539" s="424"/>
      <c r="M539" s="680"/>
      <c r="P539" s="611"/>
      <c r="U539" s="611"/>
      <c r="W539" s="611"/>
      <c r="Y539" s="425"/>
      <c r="Z539" s="425"/>
      <c r="AA539" s="425"/>
      <c r="AB539" s="425"/>
      <c r="AC539" s="425"/>
      <c r="AD539" s="563"/>
      <c r="AE539" s="425"/>
      <c r="AF539" s="563"/>
      <c r="AG539" s="425"/>
      <c r="AH539" s="425"/>
      <c r="AI539" s="425"/>
      <c r="AJ539" s="425"/>
      <c r="AK539" s="425"/>
      <c r="AL539" s="425"/>
      <c r="AM539" s="425"/>
      <c r="AN539" s="425"/>
      <c r="AO539" s="425"/>
      <c r="AP539" s="425"/>
      <c r="AQ539" s="425"/>
      <c r="AR539" s="425"/>
      <c r="AS539" s="425"/>
      <c r="AT539" s="425"/>
      <c r="AU539" s="425"/>
      <c r="AV539" s="425"/>
      <c r="AW539" s="425"/>
      <c r="AX539" s="425"/>
      <c r="AY539" s="425"/>
      <c r="AZ539" s="425"/>
      <c r="BA539" s="425"/>
      <c r="BB539" s="425"/>
    </row>
    <row r="540" spans="1:59" s="431" customFormat="1" ht="18" customHeight="1" x14ac:dyDescent="0.2">
      <c r="A540" s="1367"/>
      <c r="B540" s="1968" t="s">
        <v>5</v>
      </c>
      <c r="C540" s="1968" t="s">
        <v>2280</v>
      </c>
      <c r="D540" s="1968" t="s">
        <v>4157</v>
      </c>
      <c r="E540" s="1968" t="s">
        <v>4158</v>
      </c>
      <c r="F540" s="1968"/>
      <c r="G540" s="1969" t="s">
        <v>4159</v>
      </c>
      <c r="H540" s="1968" t="s">
        <v>4160</v>
      </c>
      <c r="I540" s="1968"/>
      <c r="J540" s="1968" t="s">
        <v>4185</v>
      </c>
      <c r="K540" s="1964" t="s">
        <v>4162</v>
      </c>
      <c r="L540" s="1968" t="s">
        <v>4163</v>
      </c>
      <c r="M540" s="1971" t="s">
        <v>4164</v>
      </c>
      <c r="N540" s="1962" t="s">
        <v>4165</v>
      </c>
      <c r="O540" s="1968" t="s">
        <v>4166</v>
      </c>
      <c r="P540" s="1972" t="s">
        <v>4167</v>
      </c>
      <c r="Q540" s="1973"/>
      <c r="R540" s="636" t="s">
        <v>4186</v>
      </c>
      <c r="S540" s="1972" t="s">
        <v>4169</v>
      </c>
      <c r="T540" s="1974"/>
      <c r="U540" s="1973"/>
      <c r="V540" s="1975" t="s">
        <v>4170</v>
      </c>
      <c r="W540" s="1975"/>
      <c r="X540" s="1960" t="s">
        <v>4171</v>
      </c>
      <c r="Y540" s="1959"/>
      <c r="Z540" s="633"/>
      <c r="AA540" s="426"/>
      <c r="AB540" s="426"/>
      <c r="AC540" s="426"/>
      <c r="AD540" s="564"/>
      <c r="AE540" s="426"/>
      <c r="AF540" s="564"/>
      <c r="AG540" s="426"/>
      <c r="AH540" s="426"/>
      <c r="AI540" s="427"/>
      <c r="AJ540" s="427"/>
      <c r="AK540" s="427"/>
      <c r="AL540" s="427"/>
      <c r="AM540" s="428"/>
      <c r="AN540" s="427"/>
      <c r="AO540" s="427"/>
      <c r="AP540" s="426"/>
      <c r="AQ540" s="427"/>
      <c r="AR540" s="427"/>
      <c r="AS540" s="427"/>
      <c r="AT540" s="426"/>
      <c r="AU540" s="427"/>
      <c r="AV540" s="427"/>
      <c r="AW540" s="427"/>
      <c r="AX540" s="426"/>
      <c r="AY540" s="427"/>
      <c r="AZ540" s="427"/>
      <c r="BA540" s="427"/>
      <c r="BB540" s="429"/>
      <c r="BC540" s="430"/>
      <c r="BD540" s="430"/>
    </row>
    <row r="541" spans="1:59" s="431" customFormat="1" ht="18" customHeight="1" x14ac:dyDescent="0.2">
      <c r="A541" s="1367"/>
      <c r="B541" s="1968"/>
      <c r="C541" s="1968"/>
      <c r="D541" s="1968"/>
      <c r="E541" s="1968"/>
      <c r="F541" s="1968"/>
      <c r="G541" s="1969"/>
      <c r="H541" s="1968"/>
      <c r="I541" s="1968"/>
      <c r="J541" s="1968"/>
      <c r="K541" s="1970"/>
      <c r="L541" s="1968"/>
      <c r="M541" s="1971"/>
      <c r="N541" s="1963"/>
      <c r="O541" s="1968"/>
      <c r="P541" s="2037" t="s">
        <v>4172</v>
      </c>
      <c r="Q541" s="1960" t="s">
        <v>4173</v>
      </c>
      <c r="R541" s="1962" t="s">
        <v>4159</v>
      </c>
      <c r="S541" s="1962" t="s">
        <v>4174</v>
      </c>
      <c r="T541" s="1964" t="s">
        <v>4175</v>
      </c>
      <c r="U541" s="1966" t="s">
        <v>4159</v>
      </c>
      <c r="V541" s="1975"/>
      <c r="W541" s="1975"/>
      <c r="X541" s="1976"/>
      <c r="Y541" s="1959"/>
      <c r="Z541" s="633"/>
      <c r="AA541" s="426"/>
      <c r="AB541" s="426"/>
      <c r="AC541" s="426"/>
      <c r="AD541" s="564"/>
      <c r="AE541" s="426"/>
      <c r="AF541" s="564"/>
      <c r="AG541" s="426"/>
      <c r="AH541" s="426"/>
      <c r="AI541" s="427"/>
      <c r="AJ541" s="427"/>
      <c r="AK541" s="426"/>
      <c r="AL541" s="427"/>
      <c r="AM541" s="428"/>
      <c r="AN541" s="427"/>
      <c r="AO541" s="427"/>
      <c r="AP541" s="432"/>
      <c r="AQ541" s="427"/>
      <c r="AR541" s="427"/>
      <c r="AS541" s="427"/>
      <c r="AT541" s="432"/>
      <c r="AU541" s="427"/>
      <c r="AV541" s="427"/>
      <c r="AW541" s="427"/>
      <c r="AX541" s="432"/>
      <c r="AY541" s="427"/>
      <c r="AZ541" s="427"/>
      <c r="BA541" s="427"/>
      <c r="BB541" s="429"/>
      <c r="BC541" s="430"/>
      <c r="BD541" s="430"/>
    </row>
    <row r="542" spans="1:59" s="431" customFormat="1" ht="18" customHeight="1" x14ac:dyDescent="0.2">
      <c r="A542" s="1367"/>
      <c r="B542" s="1968"/>
      <c r="C542" s="1968"/>
      <c r="D542" s="1968"/>
      <c r="E542" s="433" t="s">
        <v>4176</v>
      </c>
      <c r="F542" s="434" t="s">
        <v>2288</v>
      </c>
      <c r="G542" s="1969"/>
      <c r="H542" s="635" t="s">
        <v>2288</v>
      </c>
      <c r="I542" s="635" t="s">
        <v>4177</v>
      </c>
      <c r="J542" s="1968"/>
      <c r="K542" s="1965"/>
      <c r="L542" s="435" t="s">
        <v>2288</v>
      </c>
      <c r="M542" s="681" t="s">
        <v>2288</v>
      </c>
      <c r="N542" s="635" t="s">
        <v>2288</v>
      </c>
      <c r="O542" s="1968"/>
      <c r="P542" s="2038"/>
      <c r="Q542" s="1961"/>
      <c r="R542" s="1963"/>
      <c r="S542" s="1963"/>
      <c r="T542" s="1965"/>
      <c r="U542" s="1967"/>
      <c r="V542" s="635" t="s">
        <v>4178</v>
      </c>
      <c r="W542" s="637" t="s">
        <v>4159</v>
      </c>
      <c r="X542" s="1961"/>
      <c r="Y542" s="436"/>
      <c r="Z542" s="436"/>
      <c r="AA542" s="426"/>
      <c r="AB542" s="426"/>
      <c r="AC542" s="426"/>
      <c r="AD542" s="564"/>
      <c r="AE542" s="426"/>
      <c r="AF542" s="564"/>
      <c r="AG542" s="426"/>
      <c r="AH542" s="426"/>
      <c r="AI542" s="427"/>
      <c r="AJ542" s="432"/>
      <c r="AK542" s="432"/>
      <c r="AL542" s="427"/>
      <c r="AM542" s="428"/>
      <c r="AN542" s="432"/>
      <c r="AO542" s="427"/>
      <c r="AP542" s="432"/>
      <c r="AQ542" s="432"/>
      <c r="AR542" s="427"/>
      <c r="AS542" s="427"/>
      <c r="AT542" s="432"/>
      <c r="AU542" s="432"/>
      <c r="AV542" s="427"/>
      <c r="AW542" s="427"/>
      <c r="AX542" s="432"/>
      <c r="AY542" s="432"/>
      <c r="AZ542" s="427"/>
      <c r="BA542" s="427"/>
      <c r="BB542" s="429"/>
      <c r="BC542" s="430"/>
      <c r="BD542" s="430"/>
    </row>
    <row r="543" spans="1:59" s="461" customFormat="1" ht="18" customHeight="1" x14ac:dyDescent="0.2">
      <c r="A543" s="1368" t="str">
        <f>$D$539&amp;S543</f>
        <v>PANTAI - AIR BULUH2001</v>
      </c>
      <c r="B543" s="1373">
        <v>1</v>
      </c>
      <c r="C543" s="532" t="s">
        <v>529</v>
      </c>
      <c r="D543" s="437" t="s">
        <v>2494</v>
      </c>
      <c r="E543" s="438"/>
      <c r="F543" s="439">
        <v>2001</v>
      </c>
      <c r="G543" s="623">
        <v>2080000000</v>
      </c>
      <c r="H543" s="440">
        <f>VLOOKUP(LEFT(D543,8),UE,4)</f>
        <v>10</v>
      </c>
      <c r="I543" s="441"/>
      <c r="J543" s="442">
        <f>(F543+N543)-1</f>
        <v>2010</v>
      </c>
      <c r="K543" s="443"/>
      <c r="L543" s="440"/>
      <c r="M543" s="746">
        <f>IF(H543+L543&gt;$H543,$H543-H543,L543)</f>
        <v>0</v>
      </c>
      <c r="N543" s="444">
        <f>H543+M543</f>
        <v>10</v>
      </c>
      <c r="O543" s="442">
        <f>(F543+N543)-1</f>
        <v>2010</v>
      </c>
      <c r="P543" s="617">
        <f>G543</f>
        <v>2080000000</v>
      </c>
      <c r="Q543" s="445">
        <v>0</v>
      </c>
      <c r="R543" s="445">
        <f>P543/N543</f>
        <v>208000000</v>
      </c>
      <c r="S543" s="446">
        <f>F543</f>
        <v>2001</v>
      </c>
      <c r="T543" s="447">
        <v>1</v>
      </c>
      <c r="U543" s="613">
        <f>R543*T543</f>
        <v>208000000</v>
      </c>
      <c r="V543" s="442">
        <f>F543</f>
        <v>2001</v>
      </c>
      <c r="W543" s="617">
        <f>IF(OR(AND(ISBLANK(E543),ISBLANK(G543)),ISTEXT(E543),ISTEXT(G543)),"",G543-R543)</f>
        <v>1872000000</v>
      </c>
      <c r="X543" s="448"/>
      <c r="Y543" s="449"/>
      <c r="Z543" s="449"/>
      <c r="AA543" s="693"/>
      <c r="AB543" s="452"/>
      <c r="AC543" s="452"/>
      <c r="AD543" s="571"/>
      <c r="AE543" s="452"/>
      <c r="AF543" s="571"/>
      <c r="AG543" s="452"/>
      <c r="AH543" s="452"/>
      <c r="AI543" s="453"/>
      <c r="AJ543" s="449"/>
      <c r="AK543" s="453"/>
      <c r="AL543" s="454"/>
      <c r="AM543" s="455"/>
      <c r="AN543" s="456"/>
      <c r="AO543" s="455"/>
      <c r="AP543" s="452"/>
      <c r="AQ543" s="457"/>
      <c r="AR543" s="449"/>
      <c r="AS543" s="449"/>
      <c r="AT543" s="452"/>
      <c r="AU543" s="457"/>
      <c r="AV543" s="449"/>
      <c r="AW543" s="458"/>
      <c r="AX543" s="452"/>
      <c r="AY543" s="457"/>
      <c r="AZ543" s="449"/>
      <c r="BA543" s="459"/>
      <c r="BB543" s="455"/>
      <c r="BC543" s="460"/>
      <c r="BD543" s="460"/>
      <c r="BG543" s="462"/>
    </row>
    <row r="544" spans="1:59" s="461" customFormat="1" ht="18" customHeight="1" x14ac:dyDescent="0.2">
      <c r="A544" s="1368" t="str">
        <f t="shared" ref="A544:A555" si="389">$D$539&amp;S544</f>
        <v>PANTAI - AIR BULUH2006</v>
      </c>
      <c r="B544" s="1373"/>
      <c r="C544" s="488"/>
      <c r="D544" s="489"/>
      <c r="E544" s="558"/>
      <c r="F544" s="559">
        <v>2006</v>
      </c>
      <c r="G544" s="619">
        <v>0</v>
      </c>
      <c r="H544" s="464">
        <f>IF(N543-(F544-F543)&lt;=0,0,(N543-(F544-F543)))</f>
        <v>5</v>
      </c>
      <c r="I544" s="560"/>
      <c r="J544" s="468">
        <f>(F544+N544)-1</f>
        <v>2010</v>
      </c>
      <c r="K544" s="490">
        <f>IF(G544=0,0,IF(H544=10,100%,G544/W543))</f>
        <v>0</v>
      </c>
      <c r="L544" s="469">
        <f>IF(K544=0%,0,IF(K544&lt;=30%,2,IF(K544&lt;=60%,5,10)))</f>
        <v>0</v>
      </c>
      <c r="M544" s="683">
        <f>IF(OR(AND(ISBLANK(E544),ISBLANK(G544)),ISTEXT(E544),ISTEXT(G544)),"",IF(H544+L544&gt;$H$8,$H$8-H544,L544))</f>
        <v>0</v>
      </c>
      <c r="N544" s="470">
        <f>IF(OR(AND(ISBLANK(F544),ISBLANK(G544)),ISTEXT(F544),ISTEXT(G544)),"",H544+M544)</f>
        <v>5</v>
      </c>
      <c r="O544" s="468">
        <f>(F544+N544)-1</f>
        <v>2010</v>
      </c>
      <c r="P544" s="616">
        <f>W543</f>
        <v>1872000000</v>
      </c>
      <c r="Q544" s="472">
        <f>P544+G544</f>
        <v>1872000000</v>
      </c>
      <c r="R544" s="472">
        <f>IF(L544=0,R543,Q544/N544)</f>
        <v>208000000</v>
      </c>
      <c r="S544" s="754">
        <f>F544</f>
        <v>2006</v>
      </c>
      <c r="T544" s="470">
        <f>S544-S543</f>
        <v>5</v>
      </c>
      <c r="U544" s="612">
        <f>R544*T544</f>
        <v>1040000000</v>
      </c>
      <c r="V544" s="464">
        <f>F544</f>
        <v>2006</v>
      </c>
      <c r="W544" s="612">
        <f>IF(OR(AND(ISBLANK(E544),ISBLANK(G544)),ISTEXT(E544),ISTEXT(G544)),"",Q544-U544)</f>
        <v>832000000</v>
      </c>
      <c r="X544" s="561"/>
      <c r="Y544" s="449"/>
      <c r="Z544" s="449"/>
      <c r="AA544" s="694"/>
      <c r="AB544" s="692"/>
      <c r="AC544" s="692"/>
      <c r="AD544" s="695"/>
      <c r="AE544" s="452"/>
      <c r="AF544" s="571"/>
      <c r="AG544" s="452"/>
      <c r="AH544" s="452"/>
      <c r="AI544" s="453"/>
      <c r="AJ544" s="449"/>
      <c r="AK544" s="453"/>
      <c r="AL544" s="454"/>
      <c r="AM544" s="455"/>
      <c r="AN544" s="456"/>
      <c r="AO544" s="455"/>
      <c r="AP544" s="452"/>
      <c r="AQ544" s="457"/>
      <c r="AR544" s="449"/>
      <c r="AS544" s="449"/>
      <c r="AT544" s="452"/>
      <c r="AU544" s="457"/>
      <c r="AV544" s="449"/>
      <c r="AW544" s="458"/>
      <c r="AX544" s="452"/>
      <c r="AY544" s="457"/>
      <c r="AZ544" s="449"/>
      <c r="BA544" s="459"/>
      <c r="BB544" s="455"/>
      <c r="BC544" s="460"/>
      <c r="BD544" s="460"/>
      <c r="BG544" s="462"/>
    </row>
    <row r="545" spans="1:59" s="461" customFormat="1" ht="18" customHeight="1" x14ac:dyDescent="0.2">
      <c r="A545" s="1368" t="str">
        <f t="shared" si="389"/>
        <v>PANTAI - AIR BULUH2007</v>
      </c>
      <c r="B545" s="1373">
        <v>2</v>
      </c>
      <c r="C545" s="488" t="s">
        <v>1182</v>
      </c>
      <c r="D545" s="489" t="s">
        <v>2494</v>
      </c>
      <c r="E545" s="558"/>
      <c r="F545" s="559">
        <v>2007</v>
      </c>
      <c r="G545" s="619">
        <v>695109994.81529498</v>
      </c>
      <c r="H545" s="464">
        <f t="shared" ref="H545:H554" si="390">IF(N544-(F545-F544)&lt;=0,0,(N544-(F545-F544)))</f>
        <v>4</v>
      </c>
      <c r="I545" s="560"/>
      <c r="J545" s="468">
        <f t="shared" ref="J545:J554" si="391">(F545+N545)-1</f>
        <v>2016</v>
      </c>
      <c r="K545" s="490">
        <f t="shared" ref="K545:K554" si="392">IF(G545=0,0,IF(H545=10,100%,G545/W544))</f>
        <v>0.83546874376838343</v>
      </c>
      <c r="L545" s="469">
        <f t="shared" ref="L545:L554" si="393">IF(K545=0%,0,IF(K545&lt;=30%,2,IF(K545&lt;=60%,5,10)))</f>
        <v>10</v>
      </c>
      <c r="M545" s="683">
        <f t="shared" ref="M545:M554" si="394">IF(OR(AND(ISBLANK(E545),ISBLANK(G545)),ISTEXT(E545),ISTEXT(G545)),"",IF(H545+L545&gt;$H$8,$H$8-H545,L545))</f>
        <v>6</v>
      </c>
      <c r="N545" s="470">
        <f t="shared" ref="N545:N554" si="395">IF(OR(AND(ISBLANK(F545),ISBLANK(G545)),ISTEXT(F545),ISTEXT(G545)),"",H545+M545)</f>
        <v>10</v>
      </c>
      <c r="O545" s="468">
        <f t="shared" ref="O545:O554" si="396">(F545+N545)-1</f>
        <v>2016</v>
      </c>
      <c r="P545" s="616">
        <f t="shared" ref="P545:P554" si="397">W544</f>
        <v>832000000</v>
      </c>
      <c r="Q545" s="472">
        <f t="shared" ref="Q545:Q554" si="398">P545+G545</f>
        <v>1527109994.815295</v>
      </c>
      <c r="R545" s="472">
        <f t="shared" ref="R545:R554" si="399">IF(L545=0,R544,Q545/N545)</f>
        <v>152710999.4815295</v>
      </c>
      <c r="S545" s="754">
        <f t="shared" ref="S545:S554" si="400">F545</f>
        <v>2007</v>
      </c>
      <c r="T545" s="470">
        <f t="shared" ref="T545:T554" si="401">S545-S544</f>
        <v>1</v>
      </c>
      <c r="U545" s="612">
        <f t="shared" ref="U545:U554" si="402">R545*T545</f>
        <v>152710999.4815295</v>
      </c>
      <c r="V545" s="464">
        <f t="shared" ref="V545:V554" si="403">F545</f>
        <v>2007</v>
      </c>
      <c r="W545" s="612">
        <f t="shared" ref="W545:W554" si="404">IF(OR(AND(ISBLANK(E545),ISBLANK(G545)),ISTEXT(E545),ISTEXT(G545)),"",Q545-U545)</f>
        <v>1374398995.3337655</v>
      </c>
      <c r="X545" s="561"/>
      <c r="Y545" s="449"/>
      <c r="Z545" s="449"/>
      <c r="AA545" s="554" t="s">
        <v>4179</v>
      </c>
      <c r="AB545" s="452"/>
      <c r="AC545" s="452"/>
      <c r="AD545" s="566"/>
      <c r="AE545" s="452"/>
      <c r="AF545" s="571"/>
      <c r="AG545" s="452"/>
      <c r="AH545" s="452"/>
      <c r="AI545" s="453"/>
      <c r="AJ545" s="449"/>
      <c r="AK545" s="453"/>
      <c r="AL545" s="454"/>
      <c r="AM545" s="455"/>
      <c r="AN545" s="456"/>
      <c r="AO545" s="455"/>
      <c r="AP545" s="452"/>
      <c r="AQ545" s="457"/>
      <c r="AR545" s="449"/>
      <c r="AS545" s="449"/>
      <c r="AT545" s="452"/>
      <c r="AU545" s="457"/>
      <c r="AV545" s="449"/>
      <c r="AW545" s="458"/>
      <c r="AX545" s="452"/>
      <c r="AY545" s="457"/>
      <c r="AZ545" s="449"/>
      <c r="BA545" s="459"/>
      <c r="BB545" s="455"/>
      <c r="BC545" s="460"/>
      <c r="BD545" s="460"/>
      <c r="BG545" s="462"/>
    </row>
    <row r="546" spans="1:59" s="461" customFormat="1" ht="18" customHeight="1" x14ac:dyDescent="0.2">
      <c r="A546" s="1368" t="str">
        <f t="shared" si="389"/>
        <v>PANTAI - AIR BULUH2010</v>
      </c>
      <c r="B546" s="1373">
        <v>3</v>
      </c>
      <c r="C546" s="488" t="s">
        <v>5117</v>
      </c>
      <c r="D546" s="489"/>
      <c r="E546" s="558"/>
      <c r="F546" s="559">
        <v>2010</v>
      </c>
      <c r="G546" s="619">
        <v>705494899.14059925</v>
      </c>
      <c r="H546" s="464">
        <f t="shared" si="390"/>
        <v>7</v>
      </c>
      <c r="I546" s="560"/>
      <c r="J546" s="468">
        <f t="shared" si="391"/>
        <v>2019</v>
      </c>
      <c r="K546" s="490">
        <f t="shared" si="392"/>
        <v>0.51331156493553287</v>
      </c>
      <c r="L546" s="469">
        <f t="shared" si="393"/>
        <v>5</v>
      </c>
      <c r="M546" s="683">
        <f t="shared" si="394"/>
        <v>3</v>
      </c>
      <c r="N546" s="470">
        <f t="shared" si="395"/>
        <v>10</v>
      </c>
      <c r="O546" s="468">
        <f t="shared" si="396"/>
        <v>2019</v>
      </c>
      <c r="P546" s="616">
        <f t="shared" si="397"/>
        <v>1374398995.3337655</v>
      </c>
      <c r="Q546" s="472">
        <f t="shared" si="398"/>
        <v>2079893894.4743648</v>
      </c>
      <c r="R546" s="472">
        <f t="shared" si="399"/>
        <v>207989389.44743648</v>
      </c>
      <c r="S546" s="754">
        <f t="shared" si="400"/>
        <v>2010</v>
      </c>
      <c r="T546" s="470">
        <f t="shared" si="401"/>
        <v>3</v>
      </c>
      <c r="U546" s="612">
        <f t="shared" si="402"/>
        <v>623968168.34230947</v>
      </c>
      <c r="V546" s="464">
        <f t="shared" si="403"/>
        <v>2010</v>
      </c>
      <c r="W546" s="612">
        <f t="shared" si="404"/>
        <v>1455925726.1320553</v>
      </c>
      <c r="X546" s="561"/>
      <c r="Y546" s="449"/>
      <c r="Z546" s="449"/>
      <c r="AA546" s="554"/>
      <c r="AB546" s="452"/>
      <c r="AC546" s="452"/>
      <c r="AD546" s="566"/>
      <c r="AE546" s="452"/>
      <c r="AF546" s="571"/>
      <c r="AG546" s="452"/>
      <c r="AH546" s="452"/>
      <c r="AI546" s="453"/>
      <c r="AJ546" s="449"/>
      <c r="AK546" s="453"/>
      <c r="AL546" s="454"/>
      <c r="AM546" s="455"/>
      <c r="AN546" s="456"/>
      <c r="AO546" s="455"/>
      <c r="AP546" s="452"/>
      <c r="AQ546" s="457"/>
      <c r="AR546" s="449"/>
      <c r="AS546" s="449"/>
      <c r="AT546" s="452"/>
      <c r="AU546" s="457"/>
      <c r="AV546" s="449"/>
      <c r="AW546" s="458"/>
      <c r="AX546" s="452"/>
      <c r="AY546" s="457"/>
      <c r="AZ546" s="449"/>
      <c r="BA546" s="459"/>
      <c r="BB546" s="455"/>
      <c r="BC546" s="460"/>
      <c r="BD546" s="460"/>
      <c r="BG546" s="462"/>
    </row>
    <row r="547" spans="1:59" s="486" customFormat="1" ht="18" customHeight="1" x14ac:dyDescent="0.2">
      <c r="A547" s="1368" t="str">
        <f t="shared" si="389"/>
        <v>PANTAI - AIR BULUH2011</v>
      </c>
      <c r="B547" s="1373">
        <v>4</v>
      </c>
      <c r="C547" s="463" t="s">
        <v>1233</v>
      </c>
      <c r="D547" s="489" t="s">
        <v>2494</v>
      </c>
      <c r="E547" s="465"/>
      <c r="F547" s="466">
        <v>2011</v>
      </c>
      <c r="G547" s="620">
        <v>3830922576</v>
      </c>
      <c r="H547" s="464">
        <f t="shared" si="390"/>
        <v>9</v>
      </c>
      <c r="I547" s="467"/>
      <c r="J547" s="468">
        <f t="shared" si="391"/>
        <v>2020</v>
      </c>
      <c r="K547" s="490">
        <f t="shared" si="392"/>
        <v>2.6312623695286828</v>
      </c>
      <c r="L547" s="469">
        <f t="shared" si="393"/>
        <v>10</v>
      </c>
      <c r="M547" s="683">
        <f t="shared" si="394"/>
        <v>1</v>
      </c>
      <c r="N547" s="470">
        <f t="shared" si="395"/>
        <v>10</v>
      </c>
      <c r="O547" s="468">
        <f t="shared" si="396"/>
        <v>2020</v>
      </c>
      <c r="P547" s="616">
        <f t="shared" si="397"/>
        <v>1455925726.1320553</v>
      </c>
      <c r="Q547" s="472">
        <f t="shared" si="398"/>
        <v>5286848302.1320553</v>
      </c>
      <c r="R547" s="472">
        <f t="shared" si="399"/>
        <v>528684830.21320552</v>
      </c>
      <c r="S547" s="754">
        <f t="shared" si="400"/>
        <v>2011</v>
      </c>
      <c r="T547" s="470">
        <f t="shared" si="401"/>
        <v>1</v>
      </c>
      <c r="U547" s="612">
        <f t="shared" si="402"/>
        <v>528684830.21320552</v>
      </c>
      <c r="V547" s="464">
        <f t="shared" si="403"/>
        <v>2011</v>
      </c>
      <c r="W547" s="612">
        <f t="shared" si="404"/>
        <v>4758163471.9188499</v>
      </c>
      <c r="X547" s="473"/>
      <c r="Y547" s="474"/>
      <c r="Z547" s="449"/>
      <c r="AA547" s="475" t="s">
        <v>4180</v>
      </c>
      <c r="AB547" s="476"/>
      <c r="AC547" s="476"/>
      <c r="AD547" s="567">
        <f>G557</f>
        <v>8910337970.6710606</v>
      </c>
      <c r="AE547" s="476"/>
      <c r="AF547" s="568"/>
      <c r="AG547" s="476"/>
      <c r="AH547" s="476"/>
      <c r="AI547" s="477"/>
      <c r="AJ547" s="478"/>
      <c r="AK547" s="479"/>
      <c r="AL547" s="480"/>
      <c r="AM547" s="474"/>
      <c r="AN547" s="481"/>
      <c r="AO547" s="474"/>
      <c r="AP547" s="476"/>
      <c r="AQ547" s="482"/>
      <c r="AR547" s="478"/>
      <c r="AS547" s="478"/>
      <c r="AT547" s="476"/>
      <c r="AU547" s="482"/>
      <c r="AV547" s="478"/>
      <c r="AW547" s="483"/>
      <c r="AX547" s="476"/>
      <c r="AY547" s="482"/>
      <c r="AZ547" s="478"/>
      <c r="BA547" s="484"/>
      <c r="BB547" s="474"/>
      <c r="BC547" s="485"/>
      <c r="BD547" s="485"/>
      <c r="BG547" s="487"/>
    </row>
    <row r="548" spans="1:59" s="486" customFormat="1" ht="18" customHeight="1" x14ac:dyDescent="0.2">
      <c r="A548" s="1368" t="str">
        <f t="shared" si="389"/>
        <v>PANTAI - AIR BULUH2012</v>
      </c>
      <c r="B548" s="1373">
        <v>5</v>
      </c>
      <c r="C548" s="488" t="s">
        <v>1252</v>
      </c>
      <c r="D548" s="489" t="s">
        <v>2494</v>
      </c>
      <c r="E548" s="465"/>
      <c r="F548" s="466">
        <v>2012</v>
      </c>
      <c r="G548" s="620">
        <v>1598810500.7151661</v>
      </c>
      <c r="H548" s="464">
        <f t="shared" si="390"/>
        <v>9</v>
      </c>
      <c r="I548" s="467"/>
      <c r="J548" s="468">
        <f t="shared" si="391"/>
        <v>2021</v>
      </c>
      <c r="K548" s="490">
        <f t="shared" si="392"/>
        <v>0.33601420172947638</v>
      </c>
      <c r="L548" s="469">
        <f t="shared" si="393"/>
        <v>5</v>
      </c>
      <c r="M548" s="683">
        <f t="shared" si="394"/>
        <v>1</v>
      </c>
      <c r="N548" s="470">
        <f t="shared" si="395"/>
        <v>10</v>
      </c>
      <c r="O548" s="468">
        <f t="shared" si="396"/>
        <v>2021</v>
      </c>
      <c r="P548" s="616">
        <f t="shared" si="397"/>
        <v>4758163471.9188499</v>
      </c>
      <c r="Q548" s="472">
        <f t="shared" si="398"/>
        <v>6356973972.634016</v>
      </c>
      <c r="R548" s="472">
        <f t="shared" si="399"/>
        <v>635697397.26340163</v>
      </c>
      <c r="S548" s="754">
        <f t="shared" si="400"/>
        <v>2012</v>
      </c>
      <c r="T548" s="470">
        <f t="shared" si="401"/>
        <v>1</v>
      </c>
      <c r="U548" s="612">
        <f t="shared" si="402"/>
        <v>635697397.26340163</v>
      </c>
      <c r="V548" s="464">
        <f t="shared" si="403"/>
        <v>2012</v>
      </c>
      <c r="W548" s="612">
        <f t="shared" si="404"/>
        <v>5721276575.3706141</v>
      </c>
      <c r="X548" s="473"/>
      <c r="Y548" s="478"/>
      <c r="Z548" s="449"/>
      <c r="AA548" s="475" t="s">
        <v>4181</v>
      </c>
      <c r="AB548" s="491"/>
      <c r="AC548" s="491"/>
      <c r="AD548" s="567">
        <f>U557</f>
        <v>7638943176.1442595</v>
      </c>
      <c r="AE548" s="491"/>
      <c r="AF548" s="568"/>
      <c r="AG548" s="491"/>
      <c r="AH548" s="491"/>
      <c r="AI548" s="477"/>
      <c r="AJ548" s="478"/>
      <c r="AK548" s="479"/>
      <c r="AL548" s="480"/>
      <c r="AM548" s="474"/>
      <c r="AN548" s="481"/>
      <c r="AO548" s="474"/>
      <c r="AP548" s="476"/>
      <c r="AQ548" s="482"/>
      <c r="AR548" s="478"/>
      <c r="AS548" s="478"/>
      <c r="AT548" s="476"/>
      <c r="AU548" s="482"/>
      <c r="AV548" s="478"/>
      <c r="AW548" s="483"/>
      <c r="AX548" s="476"/>
      <c r="AY548" s="482"/>
      <c r="AZ548" s="478"/>
      <c r="BA548" s="484"/>
      <c r="BB548" s="474"/>
      <c r="BC548" s="485"/>
      <c r="BD548" s="485"/>
      <c r="BG548" s="487"/>
    </row>
    <row r="549" spans="1:59" s="486" customFormat="1" ht="18" customHeight="1" x14ac:dyDescent="0.2">
      <c r="A549" s="1368" t="str">
        <f t="shared" si="389"/>
        <v>PANTAI - AIR BULUH2013</v>
      </c>
      <c r="B549" s="1373"/>
      <c r="C549" s="463"/>
      <c r="D549" s="489"/>
      <c r="E549" s="465"/>
      <c r="F549" s="466">
        <v>2013</v>
      </c>
      <c r="G549" s="620">
        <v>0</v>
      </c>
      <c r="H549" s="464">
        <f t="shared" si="390"/>
        <v>9</v>
      </c>
      <c r="I549" s="467"/>
      <c r="J549" s="468">
        <f t="shared" si="391"/>
        <v>2021</v>
      </c>
      <c r="K549" s="490">
        <f t="shared" si="392"/>
        <v>0</v>
      </c>
      <c r="L549" s="469">
        <f t="shared" si="393"/>
        <v>0</v>
      </c>
      <c r="M549" s="683">
        <f t="shared" si="394"/>
        <v>0</v>
      </c>
      <c r="N549" s="470">
        <f t="shared" si="395"/>
        <v>9</v>
      </c>
      <c r="O549" s="468">
        <f t="shared" si="396"/>
        <v>2021</v>
      </c>
      <c r="P549" s="616">
        <f t="shared" si="397"/>
        <v>5721276575.3706141</v>
      </c>
      <c r="Q549" s="472">
        <f t="shared" si="398"/>
        <v>5721276575.3706141</v>
      </c>
      <c r="R549" s="472">
        <f t="shared" si="399"/>
        <v>635697397.26340163</v>
      </c>
      <c r="S549" s="754">
        <f t="shared" si="400"/>
        <v>2013</v>
      </c>
      <c r="T549" s="470">
        <f t="shared" si="401"/>
        <v>1</v>
      </c>
      <c r="U549" s="612">
        <f t="shared" si="402"/>
        <v>635697397.26340163</v>
      </c>
      <c r="V549" s="464">
        <f t="shared" si="403"/>
        <v>2013</v>
      </c>
      <c r="W549" s="612">
        <f t="shared" si="404"/>
        <v>5085579178.1072121</v>
      </c>
      <c r="X549" s="473"/>
      <c r="Y549" s="478"/>
      <c r="Z549" s="449"/>
      <c r="AA549" s="492" t="s">
        <v>4182</v>
      </c>
      <c r="AB549" s="476"/>
      <c r="AC549" s="476"/>
      <c r="AD549" s="567">
        <f>AD547-AD548</f>
        <v>1271394794.5268011</v>
      </c>
      <c r="AE549" s="476"/>
      <c r="AF549" s="568"/>
      <c r="AG549" s="476"/>
      <c r="AH549" s="476"/>
      <c r="AI549" s="477"/>
      <c r="AJ549" s="478"/>
      <c r="AK549" s="479"/>
      <c r="AL549" s="480"/>
      <c r="AM549" s="474"/>
      <c r="AN549" s="481"/>
      <c r="AO549" s="474"/>
      <c r="AP549" s="476"/>
      <c r="AQ549" s="482"/>
      <c r="AR549" s="478"/>
      <c r="AS549" s="478"/>
      <c r="AT549" s="476"/>
      <c r="AU549" s="482"/>
      <c r="AV549" s="478"/>
      <c r="AW549" s="483"/>
      <c r="AX549" s="476"/>
      <c r="AY549" s="482"/>
      <c r="AZ549" s="478"/>
      <c r="BA549" s="484"/>
      <c r="BB549" s="474"/>
      <c r="BC549" s="485"/>
      <c r="BD549" s="485"/>
      <c r="BG549" s="487"/>
    </row>
    <row r="550" spans="1:59" s="486" customFormat="1" ht="18" customHeight="1" x14ac:dyDescent="0.2">
      <c r="A550" s="1368" t="str">
        <f t="shared" si="389"/>
        <v>PANTAI - AIR BULUH2014</v>
      </c>
      <c r="B550" s="687"/>
      <c r="C550" s="463"/>
      <c r="D550" s="489"/>
      <c r="E550" s="465"/>
      <c r="F550" s="466">
        <v>2014</v>
      </c>
      <c r="G550" s="620">
        <v>0</v>
      </c>
      <c r="H550" s="464">
        <f t="shared" si="390"/>
        <v>8</v>
      </c>
      <c r="I550" s="467"/>
      <c r="J550" s="468">
        <f t="shared" si="391"/>
        <v>2021</v>
      </c>
      <c r="K550" s="490">
        <f t="shared" si="392"/>
        <v>0</v>
      </c>
      <c r="L550" s="469">
        <f t="shared" si="393"/>
        <v>0</v>
      </c>
      <c r="M550" s="683">
        <f t="shared" si="394"/>
        <v>0</v>
      </c>
      <c r="N550" s="470">
        <f t="shared" si="395"/>
        <v>8</v>
      </c>
      <c r="O550" s="468">
        <f t="shared" si="396"/>
        <v>2021</v>
      </c>
      <c r="P550" s="616">
        <f t="shared" si="397"/>
        <v>5085579178.1072121</v>
      </c>
      <c r="Q550" s="472">
        <f t="shared" si="398"/>
        <v>5085579178.1072121</v>
      </c>
      <c r="R550" s="472">
        <f t="shared" si="399"/>
        <v>635697397.26340163</v>
      </c>
      <c r="S550" s="754">
        <f t="shared" si="400"/>
        <v>2014</v>
      </c>
      <c r="T550" s="470">
        <f t="shared" si="401"/>
        <v>1</v>
      </c>
      <c r="U550" s="612">
        <f t="shared" si="402"/>
        <v>635697397.26340163</v>
      </c>
      <c r="V550" s="464">
        <f t="shared" si="403"/>
        <v>2014</v>
      </c>
      <c r="W550" s="612">
        <f t="shared" si="404"/>
        <v>4449881780.8438101</v>
      </c>
      <c r="X550" s="473"/>
      <c r="Y550" s="478"/>
      <c r="Z550" s="449"/>
      <c r="AA550" s="531" t="s">
        <v>4183</v>
      </c>
      <c r="AB550" s="496"/>
      <c r="AC550" s="496"/>
      <c r="AD550" s="569">
        <f>AD549-W557</f>
        <v>0</v>
      </c>
      <c r="AE550" s="476"/>
      <c r="AF550" s="568"/>
      <c r="AG550" s="476"/>
      <c r="AH550" s="476"/>
      <c r="AI550" s="477"/>
      <c r="AJ550" s="478"/>
      <c r="AK550" s="479"/>
      <c r="AL550" s="480"/>
      <c r="AM550" s="474"/>
      <c r="AN550" s="481"/>
      <c r="AO550" s="474"/>
      <c r="AP550" s="476"/>
      <c r="AQ550" s="482"/>
      <c r="AR550" s="478"/>
      <c r="AS550" s="478"/>
      <c r="AT550" s="476"/>
      <c r="AU550" s="482"/>
      <c r="AV550" s="478"/>
      <c r="AW550" s="483"/>
      <c r="AX550" s="476"/>
      <c r="AY550" s="482"/>
      <c r="AZ550" s="478"/>
      <c r="BA550" s="484"/>
      <c r="BB550" s="474"/>
      <c r="BC550" s="485"/>
      <c r="BD550" s="485"/>
      <c r="BG550" s="487"/>
    </row>
    <row r="551" spans="1:59" s="486" customFormat="1" ht="18" customHeight="1" x14ac:dyDescent="0.2">
      <c r="A551" s="1368" t="str">
        <f t="shared" si="389"/>
        <v>PANTAI - AIR BULUH2015</v>
      </c>
      <c r="B551" s="687"/>
      <c r="C551" s="463"/>
      <c r="D551" s="489"/>
      <c r="E551" s="465"/>
      <c r="F551" s="466">
        <v>2015</v>
      </c>
      <c r="G551" s="620">
        <v>0</v>
      </c>
      <c r="H551" s="464">
        <f t="shared" si="390"/>
        <v>7</v>
      </c>
      <c r="I551" s="467"/>
      <c r="J551" s="468">
        <f t="shared" si="391"/>
        <v>2021</v>
      </c>
      <c r="K551" s="490">
        <f t="shared" si="392"/>
        <v>0</v>
      </c>
      <c r="L551" s="469">
        <f t="shared" si="393"/>
        <v>0</v>
      </c>
      <c r="M551" s="683">
        <f t="shared" si="394"/>
        <v>0</v>
      </c>
      <c r="N551" s="470">
        <f t="shared" si="395"/>
        <v>7</v>
      </c>
      <c r="O551" s="468">
        <f t="shared" si="396"/>
        <v>2021</v>
      </c>
      <c r="P551" s="616">
        <f t="shared" si="397"/>
        <v>4449881780.8438101</v>
      </c>
      <c r="Q551" s="472">
        <f t="shared" si="398"/>
        <v>4449881780.8438101</v>
      </c>
      <c r="R551" s="472">
        <f t="shared" si="399"/>
        <v>635697397.26340163</v>
      </c>
      <c r="S551" s="754">
        <f t="shared" si="400"/>
        <v>2015</v>
      </c>
      <c r="T551" s="470">
        <f t="shared" si="401"/>
        <v>1</v>
      </c>
      <c r="U551" s="612">
        <f t="shared" si="402"/>
        <v>635697397.26340163</v>
      </c>
      <c r="V551" s="464">
        <f t="shared" si="403"/>
        <v>2015</v>
      </c>
      <c r="W551" s="612">
        <f t="shared" si="404"/>
        <v>3814184383.5804086</v>
      </c>
      <c r="X551" s="473"/>
      <c r="Y551" s="497"/>
      <c r="Z551" s="449"/>
      <c r="AA551" s="497"/>
      <c r="AB551" s="476"/>
      <c r="AC551" s="497"/>
      <c r="AD551" s="568"/>
      <c r="AE551" s="476"/>
      <c r="AF551" s="568"/>
      <c r="AG551" s="476"/>
      <c r="AH551" s="476"/>
      <c r="AI551" s="477"/>
      <c r="AJ551" s="478"/>
      <c r="AK551" s="479"/>
      <c r="AL551" s="480"/>
      <c r="AM551" s="474"/>
      <c r="AN551" s="481"/>
      <c r="AO551" s="474"/>
      <c r="AP551" s="476"/>
      <c r="AQ551" s="482"/>
      <c r="AR551" s="478"/>
      <c r="AS551" s="478"/>
      <c r="AT551" s="476"/>
      <c r="AU551" s="482"/>
      <c r="AV551" s="478"/>
      <c r="AW551" s="483"/>
      <c r="AX551" s="476"/>
      <c r="AY551" s="482"/>
      <c r="AZ551" s="478"/>
      <c r="BA551" s="484"/>
      <c r="BB551" s="474"/>
      <c r="BC551" s="485"/>
      <c r="BD551" s="485"/>
      <c r="BG551" s="487"/>
    </row>
    <row r="552" spans="1:59" s="486" customFormat="1" ht="18" customHeight="1" x14ac:dyDescent="0.2">
      <c r="A552" s="1368" t="str">
        <f t="shared" si="389"/>
        <v>PANTAI - AIR BULUH2016</v>
      </c>
      <c r="B552" s="687"/>
      <c r="C552" s="463"/>
      <c r="D552" s="489"/>
      <c r="E552" s="465"/>
      <c r="F552" s="466">
        <v>2016</v>
      </c>
      <c r="G552" s="620">
        <v>0</v>
      </c>
      <c r="H552" s="464">
        <f t="shared" si="390"/>
        <v>6</v>
      </c>
      <c r="I552" s="467"/>
      <c r="J552" s="468">
        <f t="shared" si="391"/>
        <v>2021</v>
      </c>
      <c r="K552" s="490">
        <f t="shared" si="392"/>
        <v>0</v>
      </c>
      <c r="L552" s="469">
        <f t="shared" si="393"/>
        <v>0</v>
      </c>
      <c r="M552" s="683">
        <f t="shared" si="394"/>
        <v>0</v>
      </c>
      <c r="N552" s="470">
        <f t="shared" si="395"/>
        <v>6</v>
      </c>
      <c r="O552" s="468">
        <f t="shared" si="396"/>
        <v>2021</v>
      </c>
      <c r="P552" s="616">
        <f t="shared" si="397"/>
        <v>3814184383.5804086</v>
      </c>
      <c r="Q552" s="472">
        <f t="shared" si="398"/>
        <v>3814184383.5804086</v>
      </c>
      <c r="R552" s="472">
        <f t="shared" si="399"/>
        <v>635697397.26340163</v>
      </c>
      <c r="S552" s="754">
        <f t="shared" si="400"/>
        <v>2016</v>
      </c>
      <c r="T552" s="470">
        <f t="shared" si="401"/>
        <v>1</v>
      </c>
      <c r="U552" s="612">
        <f t="shared" si="402"/>
        <v>635697397.26340163</v>
      </c>
      <c r="V552" s="464">
        <f t="shared" si="403"/>
        <v>2016</v>
      </c>
      <c r="W552" s="612">
        <f t="shared" si="404"/>
        <v>3178486986.3170071</v>
      </c>
      <c r="X552" s="473"/>
      <c r="Y552" s="497"/>
      <c r="Z552" s="449"/>
      <c r="AA552" s="497"/>
      <c r="AB552" s="476"/>
      <c r="AC552" s="497"/>
      <c r="AD552" s="568"/>
      <c r="AE552" s="476"/>
      <c r="AF552" s="568"/>
      <c r="AG552" s="476"/>
      <c r="AH552" s="476"/>
      <c r="AI552" s="477"/>
      <c r="AJ552" s="478"/>
      <c r="AK552" s="479"/>
      <c r="AL552" s="480"/>
      <c r="AM552" s="474"/>
      <c r="AN552" s="481"/>
      <c r="AO552" s="474"/>
      <c r="AP552" s="476"/>
      <c r="AQ552" s="482"/>
      <c r="AR552" s="478"/>
      <c r="AS552" s="478"/>
      <c r="AT552" s="476"/>
      <c r="AU552" s="482"/>
      <c r="AV552" s="478"/>
      <c r="AW552" s="483"/>
      <c r="AX552" s="476"/>
      <c r="AY552" s="482"/>
      <c r="AZ552" s="478"/>
      <c r="BA552" s="484"/>
      <c r="BB552" s="474"/>
      <c r="BC552" s="485"/>
      <c r="BD552" s="485"/>
      <c r="BG552" s="487"/>
    </row>
    <row r="553" spans="1:59" s="486" customFormat="1" ht="18" customHeight="1" x14ac:dyDescent="0.2">
      <c r="A553" s="1368" t="str">
        <f t="shared" si="389"/>
        <v>PANTAI - AIR BULUH2017</v>
      </c>
      <c r="B553" s="687"/>
      <c r="C553" s="463"/>
      <c r="D553" s="489"/>
      <c r="E553" s="465"/>
      <c r="F553" s="466">
        <v>2017</v>
      </c>
      <c r="G553" s="620">
        <v>0</v>
      </c>
      <c r="H553" s="464">
        <f t="shared" si="390"/>
        <v>5</v>
      </c>
      <c r="I553" s="467"/>
      <c r="J553" s="468">
        <f t="shared" si="391"/>
        <v>2021</v>
      </c>
      <c r="K553" s="490">
        <f t="shared" si="392"/>
        <v>0</v>
      </c>
      <c r="L553" s="469">
        <f t="shared" si="393"/>
        <v>0</v>
      </c>
      <c r="M553" s="683">
        <f t="shared" si="394"/>
        <v>0</v>
      </c>
      <c r="N553" s="470">
        <f t="shared" si="395"/>
        <v>5</v>
      </c>
      <c r="O553" s="468">
        <f t="shared" si="396"/>
        <v>2021</v>
      </c>
      <c r="P553" s="616">
        <f t="shared" si="397"/>
        <v>3178486986.3170071</v>
      </c>
      <c r="Q553" s="472">
        <f t="shared" si="398"/>
        <v>3178486986.3170071</v>
      </c>
      <c r="R553" s="472">
        <f t="shared" si="399"/>
        <v>635697397.26340163</v>
      </c>
      <c r="S553" s="754">
        <f t="shared" si="400"/>
        <v>2017</v>
      </c>
      <c r="T553" s="470">
        <f t="shared" si="401"/>
        <v>1</v>
      </c>
      <c r="U553" s="612">
        <f t="shared" si="402"/>
        <v>635697397.26340163</v>
      </c>
      <c r="V553" s="464">
        <f t="shared" si="403"/>
        <v>2017</v>
      </c>
      <c r="W553" s="612">
        <f t="shared" si="404"/>
        <v>2542789589.0536056</v>
      </c>
      <c r="X553" s="473"/>
      <c r="Y553" s="497"/>
      <c r="Z553" s="449"/>
      <c r="AA553" s="497"/>
      <c r="AB553" s="476"/>
      <c r="AC553" s="497"/>
      <c r="AD553" s="568"/>
      <c r="AE553" s="476"/>
      <c r="AF553" s="568"/>
      <c r="AG553" s="476"/>
      <c r="AH553" s="476"/>
      <c r="AI553" s="477"/>
      <c r="AJ553" s="478"/>
      <c r="AK553" s="479"/>
      <c r="AL553" s="480"/>
      <c r="AM553" s="474"/>
      <c r="AN553" s="481"/>
      <c r="AO553" s="474"/>
      <c r="AP553" s="476"/>
      <c r="AQ553" s="482"/>
      <c r="AR553" s="478"/>
      <c r="AS553" s="478"/>
      <c r="AT553" s="476"/>
      <c r="AU553" s="482"/>
      <c r="AV553" s="478"/>
      <c r="AW553" s="483"/>
      <c r="AX553" s="476"/>
      <c r="AY553" s="482"/>
      <c r="AZ553" s="478"/>
      <c r="BA553" s="484"/>
      <c r="BB553" s="474"/>
      <c r="BC553" s="485"/>
      <c r="BD553" s="485"/>
      <c r="BG553" s="487"/>
    </row>
    <row r="554" spans="1:59" s="486" customFormat="1" ht="18" customHeight="1" x14ac:dyDescent="0.2">
      <c r="A554" s="1368" t="str">
        <f t="shared" si="389"/>
        <v>PANTAI - AIR BULUH2018</v>
      </c>
      <c r="B554" s="687"/>
      <c r="C554" s="463"/>
      <c r="D554" s="489"/>
      <c r="E554" s="465"/>
      <c r="F554" s="466">
        <v>2018</v>
      </c>
      <c r="G554" s="620">
        <v>0</v>
      </c>
      <c r="H554" s="464">
        <f t="shared" si="390"/>
        <v>4</v>
      </c>
      <c r="I554" s="467"/>
      <c r="J554" s="468">
        <f t="shared" si="391"/>
        <v>2021</v>
      </c>
      <c r="K554" s="490">
        <f t="shared" si="392"/>
        <v>0</v>
      </c>
      <c r="L554" s="469">
        <f t="shared" si="393"/>
        <v>0</v>
      </c>
      <c r="M554" s="683">
        <f t="shared" si="394"/>
        <v>0</v>
      </c>
      <c r="N554" s="470">
        <f t="shared" si="395"/>
        <v>4</v>
      </c>
      <c r="O554" s="468">
        <f t="shared" si="396"/>
        <v>2021</v>
      </c>
      <c r="P554" s="616">
        <f t="shared" si="397"/>
        <v>2542789589.0536056</v>
      </c>
      <c r="Q554" s="472">
        <f t="shared" si="398"/>
        <v>2542789589.0536056</v>
      </c>
      <c r="R554" s="472">
        <f t="shared" si="399"/>
        <v>635697397.26340163</v>
      </c>
      <c r="S554" s="754">
        <f t="shared" si="400"/>
        <v>2018</v>
      </c>
      <c r="T554" s="470">
        <f t="shared" si="401"/>
        <v>1</v>
      </c>
      <c r="U554" s="612">
        <f t="shared" si="402"/>
        <v>635697397.26340163</v>
      </c>
      <c r="V554" s="464">
        <f t="shared" si="403"/>
        <v>2018</v>
      </c>
      <c r="W554" s="612">
        <f t="shared" si="404"/>
        <v>1907092191.790204</v>
      </c>
      <c r="X554" s="473"/>
      <c r="Y554" s="497"/>
      <c r="Z554" s="449"/>
      <c r="AA554" s="497"/>
      <c r="AB554" s="476"/>
      <c r="AC554" s="497"/>
      <c r="AD554" s="568"/>
      <c r="AE554" s="476"/>
      <c r="AF554" s="568"/>
      <c r="AG554" s="476"/>
      <c r="AH554" s="476"/>
      <c r="AI554" s="477"/>
      <c r="AJ554" s="478"/>
      <c r="AK554" s="479"/>
      <c r="AL554" s="480"/>
      <c r="AM554" s="474"/>
      <c r="AN554" s="481"/>
      <c r="AO554" s="474"/>
      <c r="AP554" s="476"/>
      <c r="AQ554" s="482"/>
      <c r="AR554" s="478"/>
      <c r="AS554" s="478"/>
      <c r="AT554" s="476"/>
      <c r="AU554" s="482"/>
      <c r="AV554" s="478"/>
      <c r="AW554" s="483"/>
      <c r="AX554" s="476"/>
      <c r="AY554" s="482"/>
      <c r="AZ554" s="478"/>
      <c r="BA554" s="484"/>
      <c r="BB554" s="474"/>
      <c r="BC554" s="485"/>
      <c r="BD554" s="485"/>
      <c r="BG554" s="487"/>
    </row>
    <row r="555" spans="1:59" s="486" customFormat="1" ht="18" customHeight="1" x14ac:dyDescent="0.2">
      <c r="A555" s="1368" t="str">
        <f t="shared" si="389"/>
        <v>PANTAI - AIR BULUH2019</v>
      </c>
      <c r="B555" s="687"/>
      <c r="C555" s="463"/>
      <c r="D555" s="489"/>
      <c r="E555" s="465"/>
      <c r="F555" s="466">
        <v>2019</v>
      </c>
      <c r="G555" s="620">
        <v>0</v>
      </c>
      <c r="H555" s="464">
        <f>IF(N554-(F555-F554)&lt;=0,0,(N554-(F555-F554)))</f>
        <v>3</v>
      </c>
      <c r="I555" s="467"/>
      <c r="J555" s="468">
        <f>(F555+N555)-1</f>
        <v>2021</v>
      </c>
      <c r="K555" s="490">
        <f>IF(G555=0,0,IF(H555=10,100%,G555/W554))</f>
        <v>0</v>
      </c>
      <c r="L555" s="469">
        <f>IF(K555=0%,0,IF(K555&lt;=30%,2,IF(K555&lt;=60%,5,10)))</f>
        <v>0</v>
      </c>
      <c r="M555" s="683">
        <f>IF(OR(AND(ISBLANK(E555),ISBLANK(G555)),ISTEXT(E555),ISTEXT(G555)),"",IF(H555+L555&gt;$H$8,$H$8-H555,L555))</f>
        <v>0</v>
      </c>
      <c r="N555" s="470">
        <f>IF(OR(AND(ISBLANK(F555),ISBLANK(G555)),ISTEXT(F555),ISTEXT(G555)),"",H555+M555)</f>
        <v>3</v>
      </c>
      <c r="O555" s="468">
        <f>(F555+N555)-1</f>
        <v>2021</v>
      </c>
      <c r="P555" s="616">
        <f>W554</f>
        <v>1907092191.790204</v>
      </c>
      <c r="Q555" s="472">
        <f>P555+G555</f>
        <v>1907092191.790204</v>
      </c>
      <c r="R555" s="472">
        <f>IF(L555=0,R554,Q555/N555)</f>
        <v>635697397.26340163</v>
      </c>
      <c r="S555" s="1189">
        <f>F555</f>
        <v>2019</v>
      </c>
      <c r="T555" s="470">
        <f>S555-S554</f>
        <v>1</v>
      </c>
      <c r="U555" s="612">
        <f>R555*T555</f>
        <v>635697397.26340163</v>
      </c>
      <c r="V555" s="464">
        <f>F555</f>
        <v>2019</v>
      </c>
      <c r="W555" s="612">
        <f>IF(OR(AND(ISBLANK(E555),ISBLANK(G555)),ISTEXT(E555),ISTEXT(G555)),"",Q555-U555)</f>
        <v>1271394794.5268025</v>
      </c>
      <c r="X555" s="473"/>
      <c r="Y555" s="497"/>
      <c r="Z555" s="449"/>
      <c r="AA555" s="497"/>
      <c r="AB555" s="476"/>
      <c r="AC555" s="497"/>
      <c r="AD555" s="568"/>
      <c r="AE555" s="476"/>
      <c r="AF555" s="568"/>
      <c r="AG555" s="476"/>
      <c r="AH555" s="476"/>
      <c r="AI555" s="477"/>
      <c r="AJ555" s="478"/>
      <c r="AK555" s="479"/>
      <c r="AL555" s="480"/>
      <c r="AM555" s="474"/>
      <c r="AN555" s="481"/>
      <c r="AO555" s="474"/>
      <c r="AP555" s="476"/>
      <c r="AQ555" s="482"/>
      <c r="AR555" s="478"/>
      <c r="AS555" s="478"/>
      <c r="AT555" s="476"/>
      <c r="AU555" s="482"/>
      <c r="AV555" s="478"/>
      <c r="AW555" s="483"/>
      <c r="AX555" s="476"/>
      <c r="AY555" s="482"/>
      <c r="AZ555" s="478"/>
      <c r="BA555" s="484"/>
      <c r="BB555" s="474"/>
      <c r="BC555" s="485"/>
      <c r="BD555" s="485"/>
      <c r="BG555" s="487"/>
    </row>
    <row r="556" spans="1:59" s="486" customFormat="1" ht="18" customHeight="1" x14ac:dyDescent="0.2">
      <c r="A556" s="1369"/>
      <c r="B556" s="687"/>
      <c r="C556" s="463"/>
      <c r="D556" s="464"/>
      <c r="E556" s="465"/>
      <c r="F556" s="634"/>
      <c r="G556" s="620"/>
      <c r="H556" s="469" t="str">
        <f>IF(OR(AND(ISBLANK(E556),ISBLANK(G556)),ISTEXT(E556),ISTEXT(G556)),"",IF(#REF!-(YEAR(E556)-YEAR(#REF!))&lt;0,0,#REF!-(YEAR(E556)-YEAR(#REF!))))</f>
        <v/>
      </c>
      <c r="I556" s="467" t="str">
        <f>IF(OR(AND(ISBLANK(E556),ISBLANK(G556)),ISTEXT(E556),ISTEXT(G556)),"",IF(#REF!-E556&lt;0,0,#REF!-E556))</f>
        <v/>
      </c>
      <c r="J556" s="498" t="str">
        <f>IF(OR(AND(ISBLANK(E556),ISBLANK(G556)),ISTEXT(E556),ISTEXT(G556)),"",#REF!)</f>
        <v/>
      </c>
      <c r="K556" s="498"/>
      <c r="L556" s="469" t="str">
        <f>IF(OR(AND(ISBLANK(E556),ISBLANK(G556)),ISTEXT(E556),ISTEXT(G556)),"",ROUNDDOWN(G556/SUM($G$57:G550)*$H$57,0))</f>
        <v/>
      </c>
      <c r="M556" s="683" t="str">
        <f>IF(OR(AND(ISBLANK(E556),ISBLANK(G556)),ISTEXT(E556),ISTEXT(G556)),"",IF(H556+L556&gt;$H$57,$H$57-H556,L556))</f>
        <v/>
      </c>
      <c r="N556" s="470" t="str">
        <f>IF(OR(AND(ISBLANK(E556),ISBLANK(G556)),ISTEXT(E556),ISTEXT(G556)),"",H556+M556)</f>
        <v/>
      </c>
      <c r="O556" s="498" t="str">
        <f>IF(OR(AND(ISBLANK(E556),ISBLANK(G556)),ISTEXT(E556),ISTEXT(G556)),"",DATE(YEAR($J556)+M556,MONTH($J556),DAY($J556)))</f>
        <v/>
      </c>
      <c r="P556" s="748" t="str">
        <f>IF(OR(AND(ISBLANK(E556),ISBLANK(G556)),ISTEXT(E556),ISTEXT(G556)),"",#REF!-#REF!*(IF(J556&lt;E556,J556,E556)-#REF!))</f>
        <v/>
      </c>
      <c r="Q556" s="500" t="str">
        <f>IF(OR(AND(ISBLANK(E556),ISBLANK(G556)),ISTEXT(E556),ISTEXT(G556)),"",P556+G556)</f>
        <v/>
      </c>
      <c r="R556" s="501" t="str">
        <f>IF(OR(AND(ISBLANK(E556),ISBLANK(G556)),ISTEXT(E556),ISTEXT(G556)),"",IF(OR(E556&lt;DATE(2004,12,31),#REF!=0),0,Q556/#REF!))</f>
        <v/>
      </c>
      <c r="S556" s="502" t="str">
        <f>IF(OR(AND(ISBLANK(E556),ISBLANK(G556)),ISTEXT(E556),ISTEXT(G556)),"",IF(YEAR(E556)&lt;=YEAR(#REF!),"-",YEAR(E556)-1))</f>
        <v/>
      </c>
      <c r="T556" s="502"/>
      <c r="U556" s="612" t="str">
        <f>IF(OR(AND(ISBLANK(E556),ISBLANK(G556)),ISTEXT(E556),ISTEXT(G556)),"",IF(AND(J556&lt;=DATE(2004,12,31),E556&gt;J556),SUM($G556:G556),#REF!+#REF!+#REF!*IF(YEAR(E556)&lt;=YEAR(#REF!),0,(IF(DATE(YEAR(E556)-1,12,31)&gt;J556,J556,DATE(YEAR(E556)-1,12,31))-#REF!))))</f>
        <v/>
      </c>
      <c r="V556" s="503" t="str">
        <f>IF(OR(AND(ISBLANK(E556),ISBLANK(G556)),ISTEXT(E556),ISTEXT(G556)),"",IF(YEAR(E556)=YEAR(E557),E557,DATE(YEAR(E556),12,31)))</f>
        <v/>
      </c>
      <c r="W556" s="612" t="str">
        <f>IF(OR(AND(ISBLANK(E556),ISBLANK(G556)),ISTEXT(E556),ISTEXT(G556)),"",IF(Q556=0,0,IF(AND(J556&lt;=DATE(2004,12,31),E556&gt;=J556),Q556-U556,Q556-#REF!)))</f>
        <v/>
      </c>
      <c r="X556" s="504" t="str">
        <f>IF(OR(AND(ISBLANK(E556),ISBLANK(G556)),ISTEXT(E556),ISTEXT(G556)),"",$D$57&amp;"//"&amp;TEXT($E$57,"dd-mmm-yyyy")&amp;"//"&amp;#REF!)</f>
        <v/>
      </c>
      <c r="Y556" s="476"/>
      <c r="Z556" s="476"/>
      <c r="AA556" s="476"/>
      <c r="AB556" s="476"/>
      <c r="AC556" s="476"/>
      <c r="AD556" s="568"/>
      <c r="AE556" s="476"/>
      <c r="AF556" s="568"/>
      <c r="AG556" s="476"/>
      <c r="AH556" s="476"/>
      <c r="AI556" s="477"/>
      <c r="AJ556" s="478"/>
      <c r="AK556" s="479"/>
      <c r="AL556" s="480"/>
      <c r="AM556" s="474"/>
      <c r="AN556" s="481"/>
      <c r="AO556" s="474"/>
      <c r="AP556" s="476"/>
      <c r="AQ556" s="482"/>
      <c r="AR556" s="478"/>
      <c r="AS556" s="478"/>
      <c r="AT556" s="476"/>
      <c r="AU556" s="482"/>
      <c r="AV556" s="478"/>
      <c r="AW556" s="483"/>
      <c r="AX556" s="476"/>
      <c r="AY556" s="482"/>
      <c r="AZ556" s="478"/>
      <c r="BA556" s="484"/>
      <c r="BB556" s="474"/>
      <c r="BC556" s="485"/>
      <c r="BD556" s="485"/>
      <c r="BG556" s="487"/>
    </row>
    <row r="557" spans="1:59" s="526" customFormat="1" ht="18" customHeight="1" x14ac:dyDescent="0.2">
      <c r="A557" s="1370" t="s">
        <v>4184</v>
      </c>
      <c r="B557" s="1956" t="s">
        <v>4184</v>
      </c>
      <c r="C557" s="1957"/>
      <c r="D557" s="1957"/>
      <c r="E557" s="1957"/>
      <c r="F557" s="1958"/>
      <c r="G557" s="624">
        <f>SUM(G543:G556)</f>
        <v>8910337970.6710606</v>
      </c>
      <c r="H557" s="505"/>
      <c r="I557" s="506"/>
      <c r="J557" s="507"/>
      <c r="K557" s="507"/>
      <c r="L557" s="505"/>
      <c r="M557" s="684"/>
      <c r="N557" s="508"/>
      <c r="O557" s="507"/>
      <c r="P557" s="749"/>
      <c r="Q557" s="510"/>
      <c r="R557" s="511"/>
      <c r="S557" s="512"/>
      <c r="T557" s="512"/>
      <c r="U557" s="610">
        <f>SUM(U543:U556)</f>
        <v>7638943176.1442595</v>
      </c>
      <c r="V557" s="513"/>
      <c r="W557" s="610">
        <f>G557-U557</f>
        <v>1271394794.5268011</v>
      </c>
      <c r="X557" s="514"/>
      <c r="Y557" s="515"/>
      <c r="Z557" s="515"/>
      <c r="AA557" s="515"/>
      <c r="AB557" s="515"/>
      <c r="AC557" s="515"/>
      <c r="AD557" s="570"/>
      <c r="AE557" s="515"/>
      <c r="AF557" s="570">
        <v>6881607257.9469938</v>
      </c>
      <c r="AG557" s="515"/>
      <c r="AH557" s="515"/>
      <c r="AI557" s="516"/>
      <c r="AJ557" s="517"/>
      <c r="AK557" s="518"/>
      <c r="AL557" s="519"/>
      <c r="AM557" s="520"/>
      <c r="AN557" s="521"/>
      <c r="AO557" s="520"/>
      <c r="AP557" s="515"/>
      <c r="AQ557" s="522"/>
      <c r="AR557" s="517"/>
      <c r="AS557" s="517"/>
      <c r="AT557" s="515"/>
      <c r="AU557" s="522"/>
      <c r="AV557" s="517"/>
      <c r="AW557" s="523"/>
      <c r="AX557" s="515"/>
      <c r="AY557" s="522"/>
      <c r="AZ557" s="517"/>
      <c r="BA557" s="524"/>
      <c r="BB557" s="520"/>
      <c r="BC557" s="525"/>
      <c r="BD557" s="525"/>
      <c r="BG557" s="527"/>
    </row>
    <row r="560" spans="1:59" s="422" customFormat="1" ht="18" customHeight="1" x14ac:dyDescent="0.2">
      <c r="A560" s="1366">
        <f>C560</f>
        <v>87</v>
      </c>
      <c r="B560" s="742" t="s">
        <v>4187</v>
      </c>
      <c r="C560" s="556">
        <v>87</v>
      </c>
      <c r="D560" s="553" t="str">
        <f>VLOOKUP(C560,RUAS,2,FALSE)</f>
        <v>SEI. BESAR - BTS. SUMBAR</v>
      </c>
      <c r="E560" s="553"/>
      <c r="F560" s="421"/>
      <c r="G560" s="611"/>
      <c r="I560" s="423"/>
      <c r="J560" s="424"/>
      <c r="K560" s="424"/>
      <c r="M560" s="680"/>
      <c r="P560" s="611"/>
      <c r="U560" s="611"/>
      <c r="W560" s="611"/>
      <c r="Y560" s="425"/>
      <c r="Z560" s="425"/>
      <c r="AA560" s="425"/>
      <c r="AB560" s="425"/>
      <c r="AC560" s="425"/>
      <c r="AD560" s="563"/>
      <c r="AE560" s="425"/>
      <c r="AF560" s="563"/>
      <c r="AG560" s="425"/>
      <c r="AH560" s="425"/>
      <c r="AI560" s="425"/>
      <c r="AJ560" s="425"/>
      <c r="AK560" s="425"/>
      <c r="AL560" s="425"/>
      <c r="AM560" s="425"/>
      <c r="AN560" s="425"/>
      <c r="AO560" s="425"/>
      <c r="AP560" s="425"/>
      <c r="AQ560" s="425"/>
      <c r="AR560" s="425"/>
      <c r="AS560" s="425"/>
      <c r="AT560" s="425"/>
      <c r="AU560" s="425"/>
      <c r="AV560" s="425"/>
      <c r="AW560" s="425"/>
      <c r="AX560" s="425"/>
      <c r="AY560" s="425"/>
      <c r="AZ560" s="425"/>
      <c r="BA560" s="425"/>
      <c r="BB560" s="425"/>
    </row>
    <row r="561" spans="1:59" s="431" customFormat="1" ht="18" customHeight="1" x14ac:dyDescent="0.2">
      <c r="A561" s="1367"/>
      <c r="B561" s="1968" t="s">
        <v>5</v>
      </c>
      <c r="C561" s="1968" t="s">
        <v>2280</v>
      </c>
      <c r="D561" s="1968" t="s">
        <v>4157</v>
      </c>
      <c r="E561" s="1968" t="s">
        <v>4158</v>
      </c>
      <c r="F561" s="1968"/>
      <c r="G561" s="1969" t="s">
        <v>4159</v>
      </c>
      <c r="H561" s="1968" t="s">
        <v>4160</v>
      </c>
      <c r="I561" s="1968"/>
      <c r="J561" s="1968" t="s">
        <v>4185</v>
      </c>
      <c r="K561" s="1964" t="s">
        <v>4162</v>
      </c>
      <c r="L561" s="1968" t="s">
        <v>4163</v>
      </c>
      <c r="M561" s="1971" t="s">
        <v>4164</v>
      </c>
      <c r="N561" s="1962" t="s">
        <v>4165</v>
      </c>
      <c r="O561" s="1968" t="s">
        <v>4166</v>
      </c>
      <c r="P561" s="1972" t="s">
        <v>4167</v>
      </c>
      <c r="Q561" s="1973"/>
      <c r="R561" s="1029" t="s">
        <v>4186</v>
      </c>
      <c r="S561" s="1972" t="s">
        <v>4169</v>
      </c>
      <c r="T561" s="1974"/>
      <c r="U561" s="1973"/>
      <c r="V561" s="1975" t="s">
        <v>4170</v>
      </c>
      <c r="W561" s="1975"/>
      <c r="X561" s="1960" t="s">
        <v>4171</v>
      </c>
      <c r="Y561" s="1959"/>
      <c r="Z561" s="1030"/>
      <c r="AA561" s="426"/>
      <c r="AB561" s="426"/>
      <c r="AC561" s="426"/>
      <c r="AD561" s="564"/>
      <c r="AE561" s="426"/>
      <c r="AF561" s="564"/>
      <c r="AG561" s="426"/>
      <c r="AH561" s="426"/>
      <c r="AI561" s="427"/>
      <c r="AJ561" s="427"/>
      <c r="AK561" s="427"/>
      <c r="AL561" s="427"/>
      <c r="AM561" s="428"/>
      <c r="AN561" s="427"/>
      <c r="AO561" s="427"/>
      <c r="AP561" s="426"/>
      <c r="AQ561" s="427"/>
      <c r="AR561" s="427"/>
      <c r="AS561" s="427"/>
      <c r="AT561" s="426"/>
      <c r="AU561" s="427"/>
      <c r="AV561" s="427"/>
      <c r="AW561" s="427"/>
      <c r="AX561" s="426"/>
      <c r="AY561" s="427"/>
      <c r="AZ561" s="427"/>
      <c r="BA561" s="427"/>
      <c r="BB561" s="429"/>
      <c r="BC561" s="430"/>
      <c r="BD561" s="430"/>
    </row>
    <row r="562" spans="1:59" s="431" customFormat="1" ht="18" customHeight="1" x14ac:dyDescent="0.2">
      <c r="A562" s="1367"/>
      <c r="B562" s="1968"/>
      <c r="C562" s="1968"/>
      <c r="D562" s="1968"/>
      <c r="E562" s="1968"/>
      <c r="F562" s="1968"/>
      <c r="G562" s="1969"/>
      <c r="H562" s="1968"/>
      <c r="I562" s="1968"/>
      <c r="J562" s="1968"/>
      <c r="K562" s="1970"/>
      <c r="L562" s="1968"/>
      <c r="M562" s="1971"/>
      <c r="N562" s="1963"/>
      <c r="O562" s="1968"/>
      <c r="P562" s="2037" t="s">
        <v>4172</v>
      </c>
      <c r="Q562" s="1960" t="s">
        <v>4173</v>
      </c>
      <c r="R562" s="1962" t="s">
        <v>4159</v>
      </c>
      <c r="S562" s="1962" t="s">
        <v>4174</v>
      </c>
      <c r="T562" s="1964" t="s">
        <v>4175</v>
      </c>
      <c r="U562" s="1966" t="s">
        <v>4159</v>
      </c>
      <c r="V562" s="1975"/>
      <c r="W562" s="1975"/>
      <c r="X562" s="1976"/>
      <c r="Y562" s="1959"/>
      <c r="Z562" s="1030"/>
      <c r="AA562" s="426"/>
      <c r="AB562" s="426"/>
      <c r="AC562" s="426"/>
      <c r="AD562" s="564"/>
      <c r="AE562" s="426"/>
      <c r="AF562" s="564"/>
      <c r="AG562" s="426"/>
      <c r="AH562" s="426"/>
      <c r="AI562" s="427"/>
      <c r="AJ562" s="427"/>
      <c r="AK562" s="426"/>
      <c r="AL562" s="427"/>
      <c r="AM562" s="428"/>
      <c r="AN562" s="427"/>
      <c r="AO562" s="427"/>
      <c r="AP562" s="432"/>
      <c r="AQ562" s="427"/>
      <c r="AR562" s="427"/>
      <c r="AS562" s="427"/>
      <c r="AT562" s="432"/>
      <c r="AU562" s="427"/>
      <c r="AV562" s="427"/>
      <c r="AW562" s="427"/>
      <c r="AX562" s="432"/>
      <c r="AY562" s="427"/>
      <c r="AZ562" s="427"/>
      <c r="BA562" s="427"/>
      <c r="BB562" s="429"/>
      <c r="BC562" s="430"/>
      <c r="BD562" s="430"/>
    </row>
    <row r="563" spans="1:59" s="431" customFormat="1" ht="18" customHeight="1" x14ac:dyDescent="0.2">
      <c r="A563" s="1367"/>
      <c r="B563" s="1968"/>
      <c r="C563" s="1968"/>
      <c r="D563" s="1968"/>
      <c r="E563" s="433" t="s">
        <v>4176</v>
      </c>
      <c r="F563" s="434" t="s">
        <v>2288</v>
      </c>
      <c r="G563" s="1969"/>
      <c r="H563" s="1028" t="s">
        <v>2288</v>
      </c>
      <c r="I563" s="1028" t="s">
        <v>4177</v>
      </c>
      <c r="J563" s="1968"/>
      <c r="K563" s="1965"/>
      <c r="L563" s="435" t="s">
        <v>2288</v>
      </c>
      <c r="M563" s="681" t="s">
        <v>2288</v>
      </c>
      <c r="N563" s="1028" t="s">
        <v>2288</v>
      </c>
      <c r="O563" s="1968"/>
      <c r="P563" s="2038"/>
      <c r="Q563" s="1961"/>
      <c r="R563" s="1963"/>
      <c r="S563" s="1963"/>
      <c r="T563" s="1965"/>
      <c r="U563" s="1967"/>
      <c r="V563" s="1028" t="s">
        <v>4178</v>
      </c>
      <c r="W563" s="1031" t="s">
        <v>4159</v>
      </c>
      <c r="X563" s="1961"/>
      <c r="Y563" s="436"/>
      <c r="Z563" s="436"/>
      <c r="AA563" s="426"/>
      <c r="AB563" s="426"/>
      <c r="AC563" s="426"/>
      <c r="AD563" s="564"/>
      <c r="AE563" s="426"/>
      <c r="AF563" s="564"/>
      <c r="AG563" s="426"/>
      <c r="AH563" s="426"/>
      <c r="AI563" s="427"/>
      <c r="AJ563" s="432"/>
      <c r="AK563" s="432"/>
      <c r="AL563" s="427"/>
      <c r="AM563" s="428"/>
      <c r="AN563" s="432"/>
      <c r="AO563" s="427"/>
      <c r="AP563" s="432"/>
      <c r="AQ563" s="432"/>
      <c r="AR563" s="427"/>
      <c r="AS563" s="427"/>
      <c r="AT563" s="432"/>
      <c r="AU563" s="432"/>
      <c r="AV563" s="427"/>
      <c r="AW563" s="427"/>
      <c r="AX563" s="432"/>
      <c r="AY563" s="432"/>
      <c r="AZ563" s="427"/>
      <c r="BA563" s="427"/>
      <c r="BB563" s="429"/>
      <c r="BC563" s="430"/>
      <c r="BD563" s="430"/>
    </row>
    <row r="564" spans="1:59" s="461" customFormat="1" ht="18" customHeight="1" x14ac:dyDescent="0.2">
      <c r="A564" s="1368" t="str">
        <f>$D$560&amp;S564</f>
        <v>SEI. BESAR - BTS. SUMBAR2001</v>
      </c>
      <c r="B564" s="1373">
        <v>1</v>
      </c>
      <c r="C564" s="532" t="s">
        <v>529</v>
      </c>
      <c r="D564" s="437" t="s">
        <v>2494</v>
      </c>
      <c r="E564" s="438"/>
      <c r="F564" s="439">
        <v>2001</v>
      </c>
      <c r="G564" s="623">
        <v>6048000000</v>
      </c>
      <c r="H564" s="440">
        <f>VLOOKUP(LEFT(D564,8),UE,4)</f>
        <v>10</v>
      </c>
      <c r="I564" s="441"/>
      <c r="J564" s="442">
        <f>(F564+N564)-1</f>
        <v>2010</v>
      </c>
      <c r="K564" s="443"/>
      <c r="L564" s="440"/>
      <c r="M564" s="746">
        <f>IF(H564+L564&gt;$H564,$H564-H564,L564)</f>
        <v>0</v>
      </c>
      <c r="N564" s="444">
        <f>H564+M564</f>
        <v>10</v>
      </c>
      <c r="O564" s="442">
        <f>(F564+N564)-1</f>
        <v>2010</v>
      </c>
      <c r="P564" s="617">
        <f>G564</f>
        <v>6048000000</v>
      </c>
      <c r="Q564" s="445">
        <v>0</v>
      </c>
      <c r="R564" s="445">
        <f>P564/N564</f>
        <v>604800000</v>
      </c>
      <c r="S564" s="446">
        <f>F564</f>
        <v>2001</v>
      </c>
      <c r="T564" s="447">
        <v>1</v>
      </c>
      <c r="U564" s="613">
        <f>R564*T564</f>
        <v>604800000</v>
      </c>
      <c r="V564" s="442">
        <f>F564</f>
        <v>2001</v>
      </c>
      <c r="W564" s="617">
        <f>IF(OR(AND(ISBLANK(E564),ISBLANK(G564)),ISTEXT(E564),ISTEXT(G564)),"",G564-R564)</f>
        <v>5443200000</v>
      </c>
      <c r="X564" s="448"/>
      <c r="Y564" s="449"/>
      <c r="Z564" s="449"/>
      <c r="AA564" s="693"/>
      <c r="AB564" s="452"/>
      <c r="AC564" s="452"/>
      <c r="AD564" s="571"/>
      <c r="AE564" s="452"/>
      <c r="AF564" s="571"/>
      <c r="AG564" s="452"/>
      <c r="AH564" s="452"/>
      <c r="AI564" s="453"/>
      <c r="AJ564" s="449"/>
      <c r="AK564" s="453"/>
      <c r="AL564" s="454"/>
      <c r="AM564" s="455"/>
      <c r="AN564" s="456"/>
      <c r="AO564" s="455"/>
      <c r="AP564" s="452"/>
      <c r="AQ564" s="457"/>
      <c r="AR564" s="449"/>
      <c r="AS564" s="449"/>
      <c r="AT564" s="452"/>
      <c r="AU564" s="457"/>
      <c r="AV564" s="449"/>
      <c r="AW564" s="458"/>
      <c r="AX564" s="452"/>
      <c r="AY564" s="457"/>
      <c r="AZ564" s="449"/>
      <c r="BA564" s="459"/>
      <c r="BB564" s="455"/>
      <c r="BC564" s="460"/>
      <c r="BD564" s="460"/>
      <c r="BG564" s="462"/>
    </row>
    <row r="565" spans="1:59" s="461" customFormat="1" ht="18" customHeight="1" x14ac:dyDescent="0.2">
      <c r="A565" s="1368" t="str">
        <f t="shared" ref="A565:A578" si="405">$D$560&amp;S565</f>
        <v>SEI. BESAR - BTS. SUMBAR2006</v>
      </c>
      <c r="B565" s="1373"/>
      <c r="C565" s="488"/>
      <c r="D565" s="489"/>
      <c r="E565" s="558"/>
      <c r="F565" s="559">
        <v>2006</v>
      </c>
      <c r="G565" s="619">
        <v>0</v>
      </c>
      <c r="H565" s="464">
        <f>IF(N564-(F565-F564)&lt;=0,0,(N564-(F565-F564)))</f>
        <v>5</v>
      </c>
      <c r="I565" s="560"/>
      <c r="J565" s="468">
        <f>(F565+N565)-1</f>
        <v>2010</v>
      </c>
      <c r="K565" s="490">
        <f>IF(G565=0,0,IF(H565=10,100%,G565/W564))</f>
        <v>0</v>
      </c>
      <c r="L565" s="469">
        <f>IF(K565=0%,0,IF(K565&lt;=30%,2,IF(K565&lt;=60%,5,10)))</f>
        <v>0</v>
      </c>
      <c r="M565" s="683">
        <f>IF(OR(AND(ISBLANK(E565),ISBLANK(G565)),ISTEXT(E565),ISTEXT(G565)),"",IF(H565+L565&gt;$H$8,$H$8-H565,L565))</f>
        <v>0</v>
      </c>
      <c r="N565" s="470">
        <f>IF(OR(AND(ISBLANK(F565),ISBLANK(G565)),ISTEXT(F565),ISTEXT(G565)),"",H565+M565)</f>
        <v>5</v>
      </c>
      <c r="O565" s="468">
        <f>(F565+N565)-1</f>
        <v>2010</v>
      </c>
      <c r="P565" s="616">
        <f>W564</f>
        <v>5443200000</v>
      </c>
      <c r="Q565" s="472">
        <f>P565+G565</f>
        <v>5443200000</v>
      </c>
      <c r="R565" s="472">
        <f>IF(L565=0,R564,Q565/N565)</f>
        <v>604800000</v>
      </c>
      <c r="S565" s="1033">
        <f>F565</f>
        <v>2006</v>
      </c>
      <c r="T565" s="470">
        <f>S565-S564</f>
        <v>5</v>
      </c>
      <c r="U565" s="612">
        <f>R565*T565</f>
        <v>3024000000</v>
      </c>
      <c r="V565" s="464">
        <f>F565</f>
        <v>2006</v>
      </c>
      <c r="W565" s="612">
        <f>IF(OR(AND(ISBLANK(E565),ISBLANK(G565)),ISTEXT(E565),ISTEXT(G565)),"",Q565-U565)</f>
        <v>2419200000</v>
      </c>
      <c r="X565" s="561"/>
      <c r="Y565" s="449"/>
      <c r="Z565" s="449"/>
      <c r="AA565" s="694"/>
      <c r="AB565" s="692"/>
      <c r="AC565" s="692"/>
      <c r="AD565" s="695"/>
      <c r="AE565" s="452"/>
      <c r="AF565" s="571"/>
      <c r="AG565" s="452"/>
      <c r="AH565" s="452"/>
      <c r="AI565" s="453"/>
      <c r="AJ565" s="449"/>
      <c r="AK565" s="453"/>
      <c r="AL565" s="454"/>
      <c r="AM565" s="455"/>
      <c r="AN565" s="456"/>
      <c r="AO565" s="455"/>
      <c r="AP565" s="452"/>
      <c r="AQ565" s="457"/>
      <c r="AR565" s="449"/>
      <c r="AS565" s="449"/>
      <c r="AT565" s="452"/>
      <c r="AU565" s="457"/>
      <c r="AV565" s="449"/>
      <c r="AW565" s="458"/>
      <c r="AX565" s="452"/>
      <c r="AY565" s="457"/>
      <c r="AZ565" s="449"/>
      <c r="BA565" s="459"/>
      <c r="BB565" s="455"/>
      <c r="BC565" s="460"/>
      <c r="BD565" s="460"/>
      <c r="BG565" s="462"/>
    </row>
    <row r="566" spans="1:59" s="461" customFormat="1" ht="18" customHeight="1" x14ac:dyDescent="0.2">
      <c r="A566" s="1368" t="str">
        <f t="shared" si="405"/>
        <v>SEI. BESAR - BTS. SUMBAR2007</v>
      </c>
      <c r="B566" s="1373">
        <v>2</v>
      </c>
      <c r="C566" s="488" t="s">
        <v>1160</v>
      </c>
      <c r="D566" s="489"/>
      <c r="E566" s="558"/>
      <c r="F566" s="559">
        <v>2007</v>
      </c>
      <c r="G566" s="619">
        <f>1286184534.39299+318168883.042123</f>
        <v>1604353417.4351132</v>
      </c>
      <c r="H566" s="464">
        <f t="shared" ref="H566:H577" si="406">IF(N565-(F566-F565)&lt;=0,0,(N565-(F566-F565)))</f>
        <v>4</v>
      </c>
      <c r="I566" s="560"/>
      <c r="J566" s="468">
        <f t="shared" ref="J566:J577" si="407">(F566+N566)-1</f>
        <v>2016</v>
      </c>
      <c r="K566" s="490">
        <f t="shared" ref="K566:K577" si="408">IF(G566=0,0,IF(H566=10,100%,G566/W565))</f>
        <v>0.66317518908528161</v>
      </c>
      <c r="L566" s="469">
        <f t="shared" ref="L566:L577" si="409">IF(K566=0%,0,IF(K566&lt;=30%,2,IF(K566&lt;=60%,5,10)))</f>
        <v>10</v>
      </c>
      <c r="M566" s="683">
        <f t="shared" ref="M566:M577" si="410">IF(OR(AND(ISBLANK(E566),ISBLANK(G566)),ISTEXT(E566),ISTEXT(G566)),"",IF(H566+L566&gt;$H$8,$H$8-H566,L566))</f>
        <v>6</v>
      </c>
      <c r="N566" s="470">
        <f t="shared" ref="N566:N577" si="411">IF(OR(AND(ISBLANK(F566),ISBLANK(G566)),ISTEXT(F566),ISTEXT(G566)),"",H566+M566)</f>
        <v>10</v>
      </c>
      <c r="O566" s="468">
        <f t="shared" ref="O566:O577" si="412">(F566+N566)-1</f>
        <v>2016</v>
      </c>
      <c r="P566" s="616">
        <f t="shared" ref="P566:P577" si="413">W565</f>
        <v>2419200000</v>
      </c>
      <c r="Q566" s="472">
        <f t="shared" ref="Q566:Q577" si="414">P566+G566</f>
        <v>4023553417.435113</v>
      </c>
      <c r="R566" s="472">
        <f t="shared" ref="R566:R577" si="415">IF(L566=0,R565,Q566/N566)</f>
        <v>402355341.74351132</v>
      </c>
      <c r="S566" s="1189">
        <f t="shared" ref="S566:S577" si="416">F566</f>
        <v>2007</v>
      </c>
      <c r="T566" s="470">
        <f t="shared" ref="T566:T577" si="417">S566-S565</f>
        <v>1</v>
      </c>
      <c r="U566" s="612">
        <f t="shared" ref="U566:U577" si="418">R566*T566</f>
        <v>402355341.74351132</v>
      </c>
      <c r="V566" s="464">
        <f t="shared" ref="V566:V577" si="419">F566</f>
        <v>2007</v>
      </c>
      <c r="W566" s="612">
        <f t="shared" ref="W566:W577" si="420">IF(OR(AND(ISBLANK(E566),ISBLANK(G566)),ISTEXT(E566),ISTEXT(G566)),"",Q566-U566)</f>
        <v>3621198075.6916018</v>
      </c>
      <c r="X566" s="561"/>
      <c r="Y566" s="449"/>
      <c r="Z566" s="449"/>
      <c r="AA566" s="554" t="s">
        <v>4179</v>
      </c>
      <c r="AB566" s="452"/>
      <c r="AC566" s="452"/>
      <c r="AD566" s="566"/>
      <c r="AE566" s="452"/>
      <c r="AF566" s="571"/>
      <c r="AG566" s="452"/>
      <c r="AH566" s="452"/>
      <c r="AI566" s="453"/>
      <c r="AJ566" s="449"/>
      <c r="AK566" s="453"/>
      <c r="AL566" s="454"/>
      <c r="AM566" s="455"/>
      <c r="AN566" s="456"/>
      <c r="AO566" s="455"/>
      <c r="AP566" s="452"/>
      <c r="AQ566" s="457"/>
      <c r="AR566" s="449"/>
      <c r="AS566" s="449"/>
      <c r="AT566" s="452"/>
      <c r="AU566" s="457"/>
      <c r="AV566" s="449"/>
      <c r="AW566" s="458"/>
      <c r="AX566" s="452"/>
      <c r="AY566" s="457"/>
      <c r="AZ566" s="449"/>
      <c r="BA566" s="459"/>
      <c r="BB566" s="455"/>
      <c r="BC566" s="460"/>
      <c r="BD566" s="460"/>
      <c r="BG566" s="462"/>
    </row>
    <row r="567" spans="1:59" s="461" customFormat="1" ht="18" customHeight="1" x14ac:dyDescent="0.2">
      <c r="A567" s="1368" t="str">
        <f t="shared" si="405"/>
        <v>SEI. BESAR - BTS. SUMBAR2008</v>
      </c>
      <c r="B567" s="1373"/>
      <c r="C567" s="488" t="s">
        <v>5120</v>
      </c>
      <c r="D567" s="489"/>
      <c r="E567" s="558"/>
      <c r="F567" s="559">
        <v>2008</v>
      </c>
      <c r="G567" s="619">
        <f>219063911.593811+1267638302.74368</f>
        <v>1486702214.337491</v>
      </c>
      <c r="H567" s="464">
        <f t="shared" si="406"/>
        <v>9</v>
      </c>
      <c r="I567" s="560"/>
      <c r="J567" s="468">
        <f t="shared" si="407"/>
        <v>2017</v>
      </c>
      <c r="K567" s="490">
        <f t="shared" si="408"/>
        <v>0.41055534197851085</v>
      </c>
      <c r="L567" s="469">
        <f t="shared" si="409"/>
        <v>5</v>
      </c>
      <c r="M567" s="683">
        <f t="shared" si="410"/>
        <v>1</v>
      </c>
      <c r="N567" s="470">
        <f t="shared" si="411"/>
        <v>10</v>
      </c>
      <c r="O567" s="468">
        <f t="shared" si="412"/>
        <v>2017</v>
      </c>
      <c r="P567" s="616">
        <f t="shared" si="413"/>
        <v>3621198075.6916018</v>
      </c>
      <c r="Q567" s="472">
        <f t="shared" si="414"/>
        <v>5107900290.0290928</v>
      </c>
      <c r="R567" s="472">
        <f t="shared" si="415"/>
        <v>510790029.0029093</v>
      </c>
      <c r="S567" s="1189">
        <f t="shared" si="416"/>
        <v>2008</v>
      </c>
      <c r="T567" s="470">
        <f t="shared" si="417"/>
        <v>1</v>
      </c>
      <c r="U567" s="612">
        <f t="shared" si="418"/>
        <v>510790029.0029093</v>
      </c>
      <c r="V567" s="464">
        <f t="shared" si="419"/>
        <v>2008</v>
      </c>
      <c r="W567" s="612">
        <f t="shared" si="420"/>
        <v>4597110261.0261831</v>
      </c>
      <c r="X567" s="561"/>
      <c r="Y567" s="449"/>
      <c r="Z567" s="449"/>
      <c r="AA567" s="554"/>
      <c r="AB567" s="452"/>
      <c r="AC567" s="452"/>
      <c r="AD567" s="566"/>
      <c r="AE567" s="452"/>
      <c r="AF567" s="571"/>
      <c r="AG567" s="452"/>
      <c r="AH567" s="452"/>
      <c r="AI567" s="453"/>
      <c r="AJ567" s="449"/>
      <c r="AK567" s="453"/>
      <c r="AL567" s="454"/>
      <c r="AM567" s="455"/>
      <c r="AN567" s="456"/>
      <c r="AO567" s="455"/>
      <c r="AP567" s="452"/>
      <c r="AQ567" s="457"/>
      <c r="AR567" s="449"/>
      <c r="AS567" s="449"/>
      <c r="AT567" s="452"/>
      <c r="AU567" s="457"/>
      <c r="AV567" s="449"/>
      <c r="AW567" s="458"/>
      <c r="AX567" s="452"/>
      <c r="AY567" s="457"/>
      <c r="AZ567" s="449"/>
      <c r="BA567" s="459"/>
      <c r="BB567" s="455"/>
      <c r="BC567" s="460"/>
      <c r="BD567" s="460"/>
      <c r="BG567" s="462"/>
    </row>
    <row r="568" spans="1:59" s="461" customFormat="1" ht="18" customHeight="1" x14ac:dyDescent="0.2">
      <c r="A568" s="1368" t="str">
        <f t="shared" si="405"/>
        <v>SEI. BESAR - BTS. SUMBAR2009</v>
      </c>
      <c r="B568" s="1373">
        <v>3</v>
      </c>
      <c r="C568" s="488" t="s">
        <v>5072</v>
      </c>
      <c r="D568" s="489"/>
      <c r="E568" s="558"/>
      <c r="F568" s="559">
        <v>2009</v>
      </c>
      <c r="G568" s="619">
        <f>714841086.6+1305259998.91484</f>
        <v>2020101085.5148401</v>
      </c>
      <c r="H568" s="464">
        <f t="shared" si="406"/>
        <v>9</v>
      </c>
      <c r="I568" s="560"/>
      <c r="J568" s="468">
        <f t="shared" si="407"/>
        <v>2018</v>
      </c>
      <c r="K568" s="490">
        <f t="shared" si="408"/>
        <v>0.43942846066605024</v>
      </c>
      <c r="L568" s="469">
        <f t="shared" si="409"/>
        <v>5</v>
      </c>
      <c r="M568" s="683">
        <f t="shared" si="410"/>
        <v>1</v>
      </c>
      <c r="N568" s="470">
        <f t="shared" si="411"/>
        <v>10</v>
      </c>
      <c r="O568" s="468">
        <f t="shared" si="412"/>
        <v>2018</v>
      </c>
      <c r="P568" s="616">
        <f t="shared" si="413"/>
        <v>4597110261.0261831</v>
      </c>
      <c r="Q568" s="472">
        <f t="shared" si="414"/>
        <v>6617211346.5410233</v>
      </c>
      <c r="R568" s="472">
        <f t="shared" si="415"/>
        <v>661721134.65410233</v>
      </c>
      <c r="S568" s="1189">
        <f t="shared" si="416"/>
        <v>2009</v>
      </c>
      <c r="T568" s="470">
        <f t="shared" si="417"/>
        <v>1</v>
      </c>
      <c r="U568" s="612">
        <f t="shared" si="418"/>
        <v>661721134.65410233</v>
      </c>
      <c r="V568" s="464">
        <f t="shared" si="419"/>
        <v>2009</v>
      </c>
      <c r="W568" s="612">
        <f t="shared" si="420"/>
        <v>5955490211.8869209</v>
      </c>
      <c r="X568" s="561"/>
      <c r="Y568" s="449"/>
      <c r="Z568" s="449"/>
      <c r="AA568" s="554"/>
      <c r="AB568" s="452"/>
      <c r="AC568" s="452"/>
      <c r="AD568" s="566"/>
      <c r="AE568" s="452"/>
      <c r="AF568" s="571"/>
      <c r="AG568" s="452"/>
      <c r="AH568" s="452"/>
      <c r="AI568" s="453"/>
      <c r="AJ568" s="449"/>
      <c r="AK568" s="453"/>
      <c r="AL568" s="454"/>
      <c r="AM568" s="455"/>
      <c r="AN568" s="456"/>
      <c r="AO568" s="455"/>
      <c r="AP568" s="452"/>
      <c r="AQ568" s="457"/>
      <c r="AR568" s="449"/>
      <c r="AS568" s="449"/>
      <c r="AT568" s="452"/>
      <c r="AU568" s="457"/>
      <c r="AV568" s="449"/>
      <c r="AW568" s="458"/>
      <c r="AX568" s="452"/>
      <c r="AY568" s="457"/>
      <c r="AZ568" s="449"/>
      <c r="BA568" s="459"/>
      <c r="BB568" s="455"/>
      <c r="BC568" s="460"/>
      <c r="BD568" s="460"/>
      <c r="BG568" s="462"/>
    </row>
    <row r="569" spans="1:59" s="461" customFormat="1" ht="18" customHeight="1" x14ac:dyDescent="0.2">
      <c r="A569" s="1368" t="str">
        <f t="shared" si="405"/>
        <v>SEI. BESAR - BTS. SUMBAR2010</v>
      </c>
      <c r="B569" s="1373"/>
      <c r="C569" s="488" t="s">
        <v>5123</v>
      </c>
      <c r="D569" s="489"/>
      <c r="E569" s="558"/>
      <c r="F569" s="559">
        <v>2010</v>
      </c>
      <c r="G569" s="619">
        <v>862802357</v>
      </c>
      <c r="H569" s="464">
        <f t="shared" si="406"/>
        <v>9</v>
      </c>
      <c r="I569" s="560"/>
      <c r="J569" s="468">
        <f t="shared" si="407"/>
        <v>2019</v>
      </c>
      <c r="K569" s="490">
        <f t="shared" si="408"/>
        <v>0.14487511964638627</v>
      </c>
      <c r="L569" s="469">
        <f t="shared" si="409"/>
        <v>2</v>
      </c>
      <c r="M569" s="683">
        <f t="shared" si="410"/>
        <v>1</v>
      </c>
      <c r="N569" s="470">
        <f t="shared" si="411"/>
        <v>10</v>
      </c>
      <c r="O569" s="468">
        <f t="shared" si="412"/>
        <v>2019</v>
      </c>
      <c r="P569" s="616">
        <f t="shared" si="413"/>
        <v>5955490211.8869209</v>
      </c>
      <c r="Q569" s="472">
        <f t="shared" si="414"/>
        <v>6818292568.8869209</v>
      </c>
      <c r="R569" s="472">
        <f t="shared" si="415"/>
        <v>681829256.88869214</v>
      </c>
      <c r="S569" s="1189">
        <f t="shared" si="416"/>
        <v>2010</v>
      </c>
      <c r="T569" s="470">
        <f t="shared" si="417"/>
        <v>1</v>
      </c>
      <c r="U569" s="612">
        <f t="shared" si="418"/>
        <v>681829256.88869214</v>
      </c>
      <c r="V569" s="464">
        <f t="shared" si="419"/>
        <v>2010</v>
      </c>
      <c r="W569" s="612">
        <f t="shared" si="420"/>
        <v>6136463311.998229</v>
      </c>
      <c r="X569" s="561"/>
      <c r="Y569" s="449"/>
      <c r="Z569" s="449"/>
      <c r="AA569" s="554"/>
      <c r="AB569" s="452"/>
      <c r="AC569" s="452"/>
      <c r="AD569" s="566"/>
      <c r="AE569" s="452"/>
      <c r="AF569" s="571"/>
      <c r="AG569" s="452"/>
      <c r="AH569" s="452"/>
      <c r="AI569" s="453"/>
      <c r="AJ569" s="449"/>
      <c r="AK569" s="453"/>
      <c r="AL569" s="454"/>
      <c r="AM569" s="455"/>
      <c r="AN569" s="456"/>
      <c r="AO569" s="455"/>
      <c r="AP569" s="452"/>
      <c r="AQ569" s="457"/>
      <c r="AR569" s="449"/>
      <c r="AS569" s="449"/>
      <c r="AT569" s="452"/>
      <c r="AU569" s="457"/>
      <c r="AV569" s="449"/>
      <c r="AW569" s="458"/>
      <c r="AX569" s="452"/>
      <c r="AY569" s="457"/>
      <c r="AZ569" s="449"/>
      <c r="BA569" s="459"/>
      <c r="BB569" s="455"/>
      <c r="BC569" s="460"/>
      <c r="BD569" s="460"/>
      <c r="BG569" s="462"/>
    </row>
    <row r="570" spans="1:59" s="486" customFormat="1" ht="18" customHeight="1" x14ac:dyDescent="0.2">
      <c r="A570" s="1368" t="str">
        <f t="shared" si="405"/>
        <v>SEI. BESAR - BTS. SUMBAR2011</v>
      </c>
      <c r="B570" s="1373">
        <v>4</v>
      </c>
      <c r="C570" s="488" t="s">
        <v>1236</v>
      </c>
      <c r="D570" s="489" t="s">
        <v>2494</v>
      </c>
      <c r="E570" s="558"/>
      <c r="F570" s="559">
        <v>2011</v>
      </c>
      <c r="G570" s="619">
        <f>7667608917.55+672970829.958442</f>
        <v>8340579747.5084419</v>
      </c>
      <c r="H570" s="464">
        <f t="shared" si="406"/>
        <v>9</v>
      </c>
      <c r="I570" s="560"/>
      <c r="J570" s="468">
        <f t="shared" si="407"/>
        <v>2020</v>
      </c>
      <c r="K570" s="490">
        <f t="shared" si="408"/>
        <v>1.359183510671472</v>
      </c>
      <c r="L570" s="469">
        <f t="shared" si="409"/>
        <v>10</v>
      </c>
      <c r="M570" s="683">
        <f t="shared" si="410"/>
        <v>1</v>
      </c>
      <c r="N570" s="470">
        <f t="shared" si="411"/>
        <v>10</v>
      </c>
      <c r="O570" s="468">
        <f t="shared" si="412"/>
        <v>2020</v>
      </c>
      <c r="P570" s="616">
        <f t="shared" si="413"/>
        <v>6136463311.998229</v>
      </c>
      <c r="Q570" s="472">
        <f t="shared" si="414"/>
        <v>14477043059.506672</v>
      </c>
      <c r="R570" s="472">
        <f t="shared" si="415"/>
        <v>1447704305.9506671</v>
      </c>
      <c r="S570" s="1189">
        <f t="shared" si="416"/>
        <v>2011</v>
      </c>
      <c r="T570" s="470">
        <f t="shared" si="417"/>
        <v>1</v>
      </c>
      <c r="U570" s="612">
        <f t="shared" si="418"/>
        <v>1447704305.9506671</v>
      </c>
      <c r="V570" s="464">
        <f t="shared" si="419"/>
        <v>2011</v>
      </c>
      <c r="W570" s="612">
        <f t="shared" si="420"/>
        <v>13029338753.556005</v>
      </c>
      <c r="X570" s="473"/>
      <c r="Y570" s="474"/>
      <c r="Z570" s="449"/>
      <c r="AA570" s="475" t="s">
        <v>4180</v>
      </c>
      <c r="AB570" s="476"/>
      <c r="AC570" s="476"/>
      <c r="AD570" s="567">
        <f>G581</f>
        <v>28763122842.725887</v>
      </c>
      <c r="AE570" s="476"/>
      <c r="AF570" s="568"/>
      <c r="AG570" s="476"/>
      <c r="AH570" s="476"/>
      <c r="AI570" s="477"/>
      <c r="AJ570" s="478"/>
      <c r="AK570" s="479"/>
      <c r="AL570" s="480"/>
      <c r="AM570" s="474"/>
      <c r="AN570" s="481"/>
      <c r="AO570" s="474"/>
      <c r="AP570" s="476"/>
      <c r="AQ570" s="482"/>
      <c r="AR570" s="478"/>
      <c r="AS570" s="478"/>
      <c r="AT570" s="476"/>
      <c r="AU570" s="482"/>
      <c r="AV570" s="478"/>
      <c r="AW570" s="483"/>
      <c r="AX570" s="476"/>
      <c r="AY570" s="482"/>
      <c r="AZ570" s="478"/>
      <c r="BA570" s="484"/>
      <c r="BB570" s="474"/>
      <c r="BC570" s="485"/>
      <c r="BD570" s="485"/>
      <c r="BG570" s="487"/>
    </row>
    <row r="571" spans="1:59" s="486" customFormat="1" ht="18" customHeight="1" x14ac:dyDescent="0.2">
      <c r="A571" s="1368" t="str">
        <f t="shared" si="405"/>
        <v>SEI. BESAR - BTS. SUMBAR2012</v>
      </c>
      <c r="B571" s="1373"/>
      <c r="C571" s="488"/>
      <c r="D571" s="489"/>
      <c r="E571" s="465"/>
      <c r="F571" s="466">
        <v>2012</v>
      </c>
      <c r="G571" s="619">
        <v>0</v>
      </c>
      <c r="H571" s="464">
        <f t="shared" si="406"/>
        <v>9</v>
      </c>
      <c r="I571" s="560"/>
      <c r="J571" s="468">
        <f t="shared" si="407"/>
        <v>2020</v>
      </c>
      <c r="K571" s="490">
        <f t="shared" si="408"/>
        <v>0</v>
      </c>
      <c r="L571" s="469">
        <f t="shared" si="409"/>
        <v>0</v>
      </c>
      <c r="M571" s="683">
        <f t="shared" si="410"/>
        <v>0</v>
      </c>
      <c r="N571" s="470">
        <f t="shared" si="411"/>
        <v>9</v>
      </c>
      <c r="O571" s="468">
        <f t="shared" si="412"/>
        <v>2020</v>
      </c>
      <c r="P571" s="616">
        <f t="shared" si="413"/>
        <v>13029338753.556005</v>
      </c>
      <c r="Q571" s="472">
        <f t="shared" si="414"/>
        <v>13029338753.556005</v>
      </c>
      <c r="R571" s="472">
        <f t="shared" si="415"/>
        <v>1447704305.9506671</v>
      </c>
      <c r="S571" s="1189">
        <f t="shared" si="416"/>
        <v>2012</v>
      </c>
      <c r="T571" s="470">
        <f t="shared" si="417"/>
        <v>1</v>
      </c>
      <c r="U571" s="612">
        <f t="shared" si="418"/>
        <v>1447704305.9506671</v>
      </c>
      <c r="V571" s="464">
        <f t="shared" si="419"/>
        <v>2012</v>
      </c>
      <c r="W571" s="612">
        <f t="shared" si="420"/>
        <v>11581634447.605339</v>
      </c>
      <c r="X571" s="473"/>
      <c r="Y571" s="478"/>
      <c r="Z571" s="449"/>
      <c r="AA571" s="475" t="s">
        <v>4181</v>
      </c>
      <c r="AB571" s="491"/>
      <c r="AC571" s="491"/>
      <c r="AD571" s="567">
        <f>U581</f>
        <v>18265436250.761982</v>
      </c>
      <c r="AE571" s="491"/>
      <c r="AF571" s="568"/>
      <c r="AG571" s="491"/>
      <c r="AH571" s="491"/>
      <c r="AI571" s="477"/>
      <c r="AJ571" s="478"/>
      <c r="AK571" s="479"/>
      <c r="AL571" s="480"/>
      <c r="AM571" s="474"/>
      <c r="AN571" s="481"/>
      <c r="AO571" s="474"/>
      <c r="AP571" s="476"/>
      <c r="AQ571" s="482"/>
      <c r="AR571" s="478"/>
      <c r="AS571" s="478"/>
      <c r="AT571" s="476"/>
      <c r="AU571" s="482"/>
      <c r="AV571" s="478"/>
      <c r="AW571" s="483"/>
      <c r="AX571" s="476"/>
      <c r="AY571" s="482"/>
      <c r="AZ571" s="478"/>
      <c r="BA571" s="484"/>
      <c r="BB571" s="474"/>
      <c r="BC571" s="485"/>
      <c r="BD571" s="485"/>
      <c r="BG571" s="487"/>
    </row>
    <row r="572" spans="1:59" s="486" customFormat="1" ht="18" customHeight="1" x14ac:dyDescent="0.2">
      <c r="A572" s="1368" t="str">
        <f t="shared" si="405"/>
        <v>SEI. BESAR - BTS. SUMBAR2013</v>
      </c>
      <c r="B572" s="1373"/>
      <c r="C572" s="488"/>
      <c r="D572" s="489"/>
      <c r="E572" s="465"/>
      <c r="F572" s="559">
        <v>2013</v>
      </c>
      <c r="G572" s="619">
        <v>0</v>
      </c>
      <c r="H572" s="464">
        <f t="shared" si="406"/>
        <v>8</v>
      </c>
      <c r="I572" s="560"/>
      <c r="J572" s="468">
        <f t="shared" si="407"/>
        <v>2020</v>
      </c>
      <c r="K572" s="490">
        <f t="shared" si="408"/>
        <v>0</v>
      </c>
      <c r="L572" s="469">
        <f t="shared" si="409"/>
        <v>0</v>
      </c>
      <c r="M572" s="683">
        <f t="shared" si="410"/>
        <v>0</v>
      </c>
      <c r="N572" s="470">
        <f t="shared" si="411"/>
        <v>8</v>
      </c>
      <c r="O572" s="468">
        <f t="shared" si="412"/>
        <v>2020</v>
      </c>
      <c r="P572" s="616">
        <f t="shared" si="413"/>
        <v>11581634447.605339</v>
      </c>
      <c r="Q572" s="472">
        <f t="shared" si="414"/>
        <v>11581634447.605339</v>
      </c>
      <c r="R572" s="472">
        <f t="shared" si="415"/>
        <v>1447704305.9506671</v>
      </c>
      <c r="S572" s="1189">
        <f t="shared" si="416"/>
        <v>2013</v>
      </c>
      <c r="T572" s="470">
        <f t="shared" si="417"/>
        <v>1</v>
      </c>
      <c r="U572" s="612">
        <f t="shared" si="418"/>
        <v>1447704305.9506671</v>
      </c>
      <c r="V572" s="464">
        <f t="shared" si="419"/>
        <v>2013</v>
      </c>
      <c r="W572" s="612">
        <f t="shared" si="420"/>
        <v>10133930141.654673</v>
      </c>
      <c r="X572" s="473"/>
      <c r="Y572" s="478"/>
      <c r="Z572" s="449"/>
      <c r="AA572" s="492" t="s">
        <v>4182</v>
      </c>
      <c r="AB572" s="476"/>
      <c r="AC572" s="476"/>
      <c r="AD572" s="567">
        <f>AD570-AD571</f>
        <v>10497686591.963905</v>
      </c>
      <c r="AE572" s="476"/>
      <c r="AF572" s="568"/>
      <c r="AG572" s="476"/>
      <c r="AH572" s="476"/>
      <c r="AI572" s="477"/>
      <c r="AJ572" s="478"/>
      <c r="AK572" s="479"/>
      <c r="AL572" s="480"/>
      <c r="AM572" s="474"/>
      <c r="AN572" s="481"/>
      <c r="AO572" s="474"/>
      <c r="AP572" s="476"/>
      <c r="AQ572" s="482"/>
      <c r="AR572" s="478"/>
      <c r="AS572" s="478"/>
      <c r="AT572" s="476"/>
      <c r="AU572" s="482"/>
      <c r="AV572" s="478"/>
      <c r="AW572" s="483"/>
      <c r="AX572" s="476"/>
      <c r="AY572" s="482"/>
      <c r="AZ572" s="478"/>
      <c r="BA572" s="484"/>
      <c r="BB572" s="474"/>
      <c r="BC572" s="485"/>
      <c r="BD572" s="485"/>
      <c r="BG572" s="487"/>
    </row>
    <row r="573" spans="1:59" s="486" customFormat="1" ht="18" customHeight="1" x14ac:dyDescent="0.2">
      <c r="A573" s="1368" t="str">
        <f t="shared" si="405"/>
        <v>SEI. BESAR - BTS. SUMBAR2014</v>
      </c>
      <c r="B573" s="1373"/>
      <c r="C573" s="463"/>
      <c r="D573" s="489"/>
      <c r="E573" s="465"/>
      <c r="F573" s="466">
        <v>2014</v>
      </c>
      <c r="G573" s="619">
        <v>0</v>
      </c>
      <c r="H573" s="464">
        <f t="shared" si="406"/>
        <v>7</v>
      </c>
      <c r="I573" s="560"/>
      <c r="J573" s="468">
        <f t="shared" si="407"/>
        <v>2020</v>
      </c>
      <c r="K573" s="490">
        <f t="shared" si="408"/>
        <v>0</v>
      </c>
      <c r="L573" s="469">
        <f t="shared" si="409"/>
        <v>0</v>
      </c>
      <c r="M573" s="683">
        <f t="shared" si="410"/>
        <v>0</v>
      </c>
      <c r="N573" s="470">
        <f t="shared" si="411"/>
        <v>7</v>
      </c>
      <c r="O573" s="468">
        <f t="shared" si="412"/>
        <v>2020</v>
      </c>
      <c r="P573" s="616">
        <f t="shared" si="413"/>
        <v>10133930141.654673</v>
      </c>
      <c r="Q573" s="472">
        <f t="shared" si="414"/>
        <v>10133930141.654673</v>
      </c>
      <c r="R573" s="472">
        <f t="shared" si="415"/>
        <v>1447704305.9506671</v>
      </c>
      <c r="S573" s="1189">
        <f t="shared" si="416"/>
        <v>2014</v>
      </c>
      <c r="T573" s="470">
        <f t="shared" si="417"/>
        <v>1</v>
      </c>
      <c r="U573" s="612">
        <f t="shared" si="418"/>
        <v>1447704305.9506671</v>
      </c>
      <c r="V573" s="464">
        <f t="shared" si="419"/>
        <v>2014</v>
      </c>
      <c r="W573" s="612">
        <f t="shared" si="420"/>
        <v>8686225835.7040062</v>
      </c>
      <c r="X573" s="473"/>
      <c r="Y573" s="478"/>
      <c r="Z573" s="449"/>
      <c r="AA573" s="531" t="s">
        <v>4183</v>
      </c>
      <c r="AB573" s="496"/>
      <c r="AC573" s="496"/>
      <c r="AD573" s="569">
        <f>AD572-W581</f>
        <v>0</v>
      </c>
      <c r="AE573" s="476"/>
      <c r="AF573" s="568"/>
      <c r="AG573" s="476"/>
      <c r="AH573" s="476"/>
      <c r="AI573" s="477"/>
      <c r="AJ573" s="478"/>
      <c r="AK573" s="479"/>
      <c r="AL573" s="480"/>
      <c r="AM573" s="474"/>
      <c r="AN573" s="481"/>
      <c r="AO573" s="474"/>
      <c r="AP573" s="476"/>
      <c r="AQ573" s="482"/>
      <c r="AR573" s="478"/>
      <c r="AS573" s="478"/>
      <c r="AT573" s="476"/>
      <c r="AU573" s="482"/>
      <c r="AV573" s="478"/>
      <c r="AW573" s="483"/>
      <c r="AX573" s="476"/>
      <c r="AY573" s="482"/>
      <c r="AZ573" s="478"/>
      <c r="BA573" s="484"/>
      <c r="BB573" s="474"/>
      <c r="BC573" s="485"/>
      <c r="BD573" s="485"/>
      <c r="BG573" s="487"/>
    </row>
    <row r="574" spans="1:59" s="486" customFormat="1" ht="18" customHeight="1" x14ac:dyDescent="0.2">
      <c r="A574" s="1368" t="str">
        <f t="shared" si="405"/>
        <v>SEI. BESAR - BTS. SUMBAR2015</v>
      </c>
      <c r="B574" s="687">
        <v>5</v>
      </c>
      <c r="C574" s="488" t="s">
        <v>1373</v>
      </c>
      <c r="D574" s="489" t="s">
        <v>2494</v>
      </c>
      <c r="E574" s="465"/>
      <c r="F574" s="466">
        <v>2015</v>
      </c>
      <c r="G574" s="619">
        <v>3760564386.1999998</v>
      </c>
      <c r="H574" s="464">
        <f t="shared" si="406"/>
        <v>6</v>
      </c>
      <c r="I574" s="560"/>
      <c r="J574" s="468">
        <f t="shared" si="407"/>
        <v>2024</v>
      </c>
      <c r="K574" s="490">
        <f t="shared" si="408"/>
        <v>0.43293421761411199</v>
      </c>
      <c r="L574" s="469">
        <f t="shared" si="409"/>
        <v>5</v>
      </c>
      <c r="M574" s="683">
        <f t="shared" si="410"/>
        <v>4</v>
      </c>
      <c r="N574" s="470">
        <f t="shared" si="411"/>
        <v>10</v>
      </c>
      <c r="O574" s="468">
        <f t="shared" si="412"/>
        <v>2024</v>
      </c>
      <c r="P574" s="616">
        <f t="shared" si="413"/>
        <v>8686225835.7040062</v>
      </c>
      <c r="Q574" s="472">
        <f t="shared" si="414"/>
        <v>12446790221.904007</v>
      </c>
      <c r="R574" s="472">
        <f t="shared" si="415"/>
        <v>1244679022.1904006</v>
      </c>
      <c r="S574" s="1189">
        <f t="shared" si="416"/>
        <v>2015</v>
      </c>
      <c r="T574" s="470">
        <f t="shared" si="417"/>
        <v>1</v>
      </c>
      <c r="U574" s="612">
        <f t="shared" si="418"/>
        <v>1244679022.1904006</v>
      </c>
      <c r="V574" s="464">
        <f t="shared" si="419"/>
        <v>2015</v>
      </c>
      <c r="W574" s="612">
        <f t="shared" si="420"/>
        <v>11202111199.713606</v>
      </c>
      <c r="X574" s="473"/>
      <c r="Y574" s="497"/>
      <c r="Z574" s="449"/>
      <c r="AA574" s="497"/>
      <c r="AB574" s="476"/>
      <c r="AC574" s="497"/>
      <c r="AD574" s="568"/>
      <c r="AE574" s="476"/>
      <c r="AF574" s="568"/>
      <c r="AG574" s="476"/>
      <c r="AH574" s="476"/>
      <c r="AI574" s="477"/>
      <c r="AJ574" s="478"/>
      <c r="AK574" s="479"/>
      <c r="AL574" s="480"/>
      <c r="AM574" s="474"/>
      <c r="AN574" s="481"/>
      <c r="AO574" s="474"/>
      <c r="AP574" s="476"/>
      <c r="AQ574" s="482"/>
      <c r="AR574" s="478"/>
      <c r="AS574" s="478"/>
      <c r="AT574" s="476"/>
      <c r="AU574" s="482"/>
      <c r="AV574" s="478"/>
      <c r="AW574" s="483"/>
      <c r="AX574" s="476"/>
      <c r="AY574" s="482"/>
      <c r="AZ574" s="478"/>
      <c r="BA574" s="484"/>
      <c r="BB574" s="474"/>
      <c r="BC574" s="485"/>
      <c r="BD574" s="485"/>
      <c r="BG574" s="487"/>
    </row>
    <row r="575" spans="1:59" s="486" customFormat="1" ht="18" customHeight="1" x14ac:dyDescent="0.2">
      <c r="A575" s="1368" t="str">
        <f t="shared" si="405"/>
        <v>SEI. BESAR - BTS. SUMBAR2016</v>
      </c>
      <c r="B575" s="687">
        <v>6</v>
      </c>
      <c r="C575" s="463" t="s">
        <v>1451</v>
      </c>
      <c r="D575" s="489"/>
      <c r="E575" s="465"/>
      <c r="F575" s="466">
        <v>2016</v>
      </c>
      <c r="G575" s="620">
        <v>2398001772.73</v>
      </c>
      <c r="H575" s="464">
        <f t="shared" si="406"/>
        <v>9</v>
      </c>
      <c r="I575" s="560"/>
      <c r="J575" s="468">
        <f t="shared" si="407"/>
        <v>2025</v>
      </c>
      <c r="K575" s="490">
        <f t="shared" si="408"/>
        <v>0.21406694952209612</v>
      </c>
      <c r="L575" s="469">
        <f t="shared" si="409"/>
        <v>2</v>
      </c>
      <c r="M575" s="683">
        <f t="shared" si="410"/>
        <v>1</v>
      </c>
      <c r="N575" s="470">
        <f t="shared" si="411"/>
        <v>10</v>
      </c>
      <c r="O575" s="468">
        <f t="shared" si="412"/>
        <v>2025</v>
      </c>
      <c r="P575" s="616">
        <f t="shared" si="413"/>
        <v>11202111199.713606</v>
      </c>
      <c r="Q575" s="472">
        <f t="shared" si="414"/>
        <v>13600112972.443605</v>
      </c>
      <c r="R575" s="472">
        <f t="shared" si="415"/>
        <v>1360011297.2443604</v>
      </c>
      <c r="S575" s="1189">
        <f t="shared" si="416"/>
        <v>2016</v>
      </c>
      <c r="T575" s="470">
        <f t="shared" si="417"/>
        <v>1</v>
      </c>
      <c r="U575" s="612">
        <f t="shared" si="418"/>
        <v>1360011297.2443604</v>
      </c>
      <c r="V575" s="464">
        <f t="shared" si="419"/>
        <v>2016</v>
      </c>
      <c r="W575" s="612">
        <f t="shared" si="420"/>
        <v>12240101675.199245</v>
      </c>
      <c r="X575" s="473"/>
      <c r="Y575" s="497"/>
      <c r="Z575" s="449"/>
      <c r="AA575" s="497"/>
      <c r="AB575" s="476"/>
      <c r="AC575" s="497"/>
      <c r="AD575" s="568"/>
      <c r="AE575" s="476"/>
      <c r="AF575" s="568"/>
      <c r="AG575" s="476"/>
      <c r="AH575" s="476"/>
      <c r="AI575" s="477"/>
      <c r="AJ575" s="478"/>
      <c r="AK575" s="479"/>
      <c r="AL575" s="480"/>
      <c r="AM575" s="474"/>
      <c r="AN575" s="481"/>
      <c r="AO575" s="474"/>
      <c r="AP575" s="476"/>
      <c r="AQ575" s="482"/>
      <c r="AR575" s="478"/>
      <c r="AS575" s="478"/>
      <c r="AT575" s="476"/>
      <c r="AU575" s="482"/>
      <c r="AV575" s="478"/>
      <c r="AW575" s="483"/>
      <c r="AX575" s="476"/>
      <c r="AY575" s="482"/>
      <c r="AZ575" s="478"/>
      <c r="BA575" s="484"/>
      <c r="BB575" s="474"/>
      <c r="BC575" s="485"/>
      <c r="BD575" s="485"/>
      <c r="BG575" s="487"/>
    </row>
    <row r="576" spans="1:59" s="486" customFormat="1" ht="18" customHeight="1" x14ac:dyDescent="0.2">
      <c r="A576" s="1368" t="str">
        <f t="shared" si="405"/>
        <v>SEI. BESAR - BTS. SUMBAR2017</v>
      </c>
      <c r="B576" s="687"/>
      <c r="C576" s="463"/>
      <c r="D576" s="489"/>
      <c r="E576" s="465"/>
      <c r="F576" s="466">
        <v>2017</v>
      </c>
      <c r="G576" s="620">
        <v>0</v>
      </c>
      <c r="H576" s="464">
        <f t="shared" si="406"/>
        <v>9</v>
      </c>
      <c r="I576" s="560"/>
      <c r="J576" s="468">
        <f t="shared" si="407"/>
        <v>2025</v>
      </c>
      <c r="K576" s="490">
        <f t="shared" si="408"/>
        <v>0</v>
      </c>
      <c r="L576" s="469">
        <f t="shared" si="409"/>
        <v>0</v>
      </c>
      <c r="M576" s="683">
        <f t="shared" si="410"/>
        <v>0</v>
      </c>
      <c r="N576" s="470">
        <f t="shared" si="411"/>
        <v>9</v>
      </c>
      <c r="O576" s="468">
        <f t="shared" si="412"/>
        <v>2025</v>
      </c>
      <c r="P576" s="616">
        <f t="shared" si="413"/>
        <v>12240101675.199245</v>
      </c>
      <c r="Q576" s="472">
        <f t="shared" si="414"/>
        <v>12240101675.199245</v>
      </c>
      <c r="R576" s="472">
        <f t="shared" si="415"/>
        <v>1360011297.2443604</v>
      </c>
      <c r="S576" s="1189">
        <f t="shared" si="416"/>
        <v>2017</v>
      </c>
      <c r="T576" s="470">
        <f t="shared" si="417"/>
        <v>1</v>
      </c>
      <c r="U576" s="612">
        <f t="shared" si="418"/>
        <v>1360011297.2443604</v>
      </c>
      <c r="V576" s="464">
        <f t="shared" si="419"/>
        <v>2017</v>
      </c>
      <c r="W576" s="612">
        <f t="shared" si="420"/>
        <v>10880090377.954885</v>
      </c>
      <c r="X576" s="473"/>
      <c r="Y576" s="497"/>
      <c r="Z576" s="449"/>
      <c r="AA576" s="497"/>
      <c r="AB576" s="476"/>
      <c r="AC576" s="497"/>
      <c r="AD576" s="568"/>
      <c r="AE576" s="476"/>
      <c r="AF576" s="568"/>
      <c r="AG576" s="476"/>
      <c r="AH576" s="476"/>
      <c r="AI576" s="477"/>
      <c r="AJ576" s="478"/>
      <c r="AK576" s="479"/>
      <c r="AL576" s="480"/>
      <c r="AM576" s="474"/>
      <c r="AN576" s="481"/>
      <c r="AO576" s="474"/>
      <c r="AP576" s="476"/>
      <c r="AQ576" s="482"/>
      <c r="AR576" s="478"/>
      <c r="AS576" s="478"/>
      <c r="AT576" s="476"/>
      <c r="AU576" s="482"/>
      <c r="AV576" s="478"/>
      <c r="AW576" s="483"/>
      <c r="AX576" s="476"/>
      <c r="AY576" s="482"/>
      <c r="AZ576" s="478"/>
      <c r="BA576" s="484"/>
      <c r="BB576" s="474"/>
      <c r="BC576" s="485"/>
      <c r="BD576" s="485"/>
      <c r="BG576" s="487"/>
    </row>
    <row r="577" spans="1:59" s="486" customFormat="1" ht="18" customHeight="1" x14ac:dyDescent="0.2">
      <c r="A577" s="1368" t="str">
        <f t="shared" si="405"/>
        <v>SEI. BESAR - BTS. SUMBAR2018</v>
      </c>
      <c r="B577" s="687">
        <v>7</v>
      </c>
      <c r="C577" s="463" t="s">
        <v>3334</v>
      </c>
      <c r="D577" s="489"/>
      <c r="E577" s="465"/>
      <c r="F577" s="466">
        <v>2018</v>
      </c>
      <c r="G577" s="620">
        <v>2242017862</v>
      </c>
      <c r="H577" s="464">
        <f t="shared" si="406"/>
        <v>8</v>
      </c>
      <c r="I577" s="560"/>
      <c r="J577" s="468">
        <f t="shared" si="407"/>
        <v>2027</v>
      </c>
      <c r="K577" s="490">
        <f t="shared" si="408"/>
        <v>0.20606610644914777</v>
      </c>
      <c r="L577" s="469">
        <f t="shared" si="409"/>
        <v>2</v>
      </c>
      <c r="M577" s="683">
        <f t="shared" si="410"/>
        <v>2</v>
      </c>
      <c r="N577" s="470">
        <f t="shared" si="411"/>
        <v>10</v>
      </c>
      <c r="O577" s="468">
        <f t="shared" si="412"/>
        <v>2027</v>
      </c>
      <c r="P577" s="616">
        <f t="shared" si="413"/>
        <v>10880090377.954885</v>
      </c>
      <c r="Q577" s="472">
        <f t="shared" si="414"/>
        <v>13122108239.954885</v>
      </c>
      <c r="R577" s="472">
        <f t="shared" si="415"/>
        <v>1312210823.9954886</v>
      </c>
      <c r="S577" s="1189">
        <f t="shared" si="416"/>
        <v>2018</v>
      </c>
      <c r="T577" s="470">
        <f t="shared" si="417"/>
        <v>1</v>
      </c>
      <c r="U577" s="612">
        <f t="shared" si="418"/>
        <v>1312210823.9954886</v>
      </c>
      <c r="V577" s="464">
        <f t="shared" si="419"/>
        <v>2018</v>
      </c>
      <c r="W577" s="612">
        <f t="shared" si="420"/>
        <v>11809897415.959396</v>
      </c>
      <c r="X577" s="473"/>
      <c r="Y577" s="497"/>
      <c r="Z577" s="449"/>
      <c r="AA577" s="497"/>
      <c r="AB577" s="476"/>
      <c r="AC577" s="497"/>
      <c r="AD577" s="568"/>
      <c r="AE577" s="476"/>
      <c r="AF577" s="568"/>
      <c r="AG577" s="476"/>
      <c r="AH577" s="476"/>
      <c r="AI577" s="477"/>
      <c r="AJ577" s="478"/>
      <c r="AK577" s="479"/>
      <c r="AL577" s="480"/>
      <c r="AM577" s="474"/>
      <c r="AN577" s="481"/>
      <c r="AO577" s="474"/>
      <c r="AP577" s="476"/>
      <c r="AQ577" s="482"/>
      <c r="AR577" s="478"/>
      <c r="AS577" s="478"/>
      <c r="AT577" s="476"/>
      <c r="AU577" s="482"/>
      <c r="AV577" s="478"/>
      <c r="AW577" s="483"/>
      <c r="AX577" s="476"/>
      <c r="AY577" s="482"/>
      <c r="AZ577" s="478"/>
      <c r="BA577" s="484"/>
      <c r="BB577" s="474"/>
      <c r="BC577" s="485"/>
      <c r="BD577" s="485"/>
      <c r="BG577" s="487"/>
    </row>
    <row r="578" spans="1:59" s="486" customFormat="1" ht="18" customHeight="1" x14ac:dyDescent="0.2">
      <c r="A578" s="1368" t="str">
        <f t="shared" si="405"/>
        <v>SEI. BESAR - BTS. SUMBAR2019</v>
      </c>
      <c r="B578" s="687"/>
      <c r="C578" s="463"/>
      <c r="D578" s="489"/>
      <c r="E578" s="465"/>
      <c r="F578" s="466">
        <v>2019</v>
      </c>
      <c r="G578" s="620">
        <v>0</v>
      </c>
      <c r="H578" s="464">
        <f>IF(N577-(F578-F577)&lt;=0,0,(N577-(F578-F577)))</f>
        <v>9</v>
      </c>
      <c r="I578" s="560"/>
      <c r="J578" s="468">
        <f>(F578+N578)-1</f>
        <v>2027</v>
      </c>
      <c r="K578" s="490">
        <f>IF(G578=0,0,IF(H578=10,100%,G578/W577))</f>
        <v>0</v>
      </c>
      <c r="L578" s="469">
        <f>IF(K578=0%,0,IF(K578&lt;=30%,2,IF(K578&lt;=60%,5,10)))</f>
        <v>0</v>
      </c>
      <c r="M578" s="683">
        <f>IF(OR(AND(ISBLANK(E578),ISBLANK(G578)),ISTEXT(E578),ISTEXT(G578)),"",IF(H578+L578&gt;$H$8,$H$8-H578,L578))</f>
        <v>0</v>
      </c>
      <c r="N578" s="470">
        <f>IF(OR(AND(ISBLANK(F578),ISBLANK(G578)),ISTEXT(F578),ISTEXT(G578)),"",H578+M578)</f>
        <v>9</v>
      </c>
      <c r="O578" s="468">
        <f>(F578+N578)-1</f>
        <v>2027</v>
      </c>
      <c r="P578" s="616">
        <f>W577</f>
        <v>11809897415.959396</v>
      </c>
      <c r="Q578" s="472">
        <f>P578+G578</f>
        <v>11809897415.959396</v>
      </c>
      <c r="R578" s="472">
        <f>IF(L578=0,R577,Q578/N578)</f>
        <v>1312210823.9954886</v>
      </c>
      <c r="S578" s="1189">
        <f>F578</f>
        <v>2019</v>
      </c>
      <c r="T578" s="470">
        <f>S578-S577</f>
        <v>1</v>
      </c>
      <c r="U578" s="612">
        <f>R578*T578</f>
        <v>1312210823.9954886</v>
      </c>
      <c r="V578" s="464">
        <f>F578</f>
        <v>2019</v>
      </c>
      <c r="W578" s="612">
        <f>IF(OR(AND(ISBLANK(E578),ISBLANK(G578)),ISTEXT(E578),ISTEXT(G578)),"",Q578-U578)</f>
        <v>10497686591.963907</v>
      </c>
      <c r="X578" s="473"/>
      <c r="Y578" s="497"/>
      <c r="Z578" s="449"/>
      <c r="AA578" s="497"/>
      <c r="AB578" s="476"/>
      <c r="AC578" s="497"/>
      <c r="AD578" s="568"/>
      <c r="AE578" s="476"/>
      <c r="AF578" s="568"/>
      <c r="AG578" s="476"/>
      <c r="AH578" s="476"/>
      <c r="AI578" s="477"/>
      <c r="AJ578" s="478"/>
      <c r="AK578" s="479"/>
      <c r="AL578" s="480"/>
      <c r="AM578" s="474"/>
      <c r="AN578" s="481"/>
      <c r="AO578" s="474"/>
      <c r="AP578" s="476"/>
      <c r="AQ578" s="482"/>
      <c r="AR578" s="478"/>
      <c r="AS578" s="478"/>
      <c r="AT578" s="476"/>
      <c r="AU578" s="482"/>
      <c r="AV578" s="478"/>
      <c r="AW578" s="483"/>
      <c r="AX578" s="476"/>
      <c r="AY578" s="482"/>
      <c r="AZ578" s="478"/>
      <c r="BA578" s="484"/>
      <c r="BB578" s="474"/>
      <c r="BC578" s="485"/>
      <c r="BD578" s="485"/>
      <c r="BG578" s="487"/>
    </row>
    <row r="579" spans="1:59" s="486" customFormat="1" ht="18" customHeight="1" x14ac:dyDescent="0.2">
      <c r="A579" s="1368"/>
      <c r="B579" s="687"/>
      <c r="C579" s="463"/>
      <c r="D579" s="489"/>
      <c r="E579" s="465"/>
      <c r="F579" s="466"/>
      <c r="G579" s="620"/>
      <c r="H579" s="464"/>
      <c r="I579" s="467"/>
      <c r="J579" s="468"/>
      <c r="K579" s="490"/>
      <c r="L579" s="469"/>
      <c r="M579" s="683"/>
      <c r="N579" s="470"/>
      <c r="O579" s="468"/>
      <c r="P579" s="616"/>
      <c r="Q579" s="472"/>
      <c r="R579" s="472"/>
      <c r="S579" s="1160"/>
      <c r="T579" s="470"/>
      <c r="U579" s="612"/>
      <c r="V579" s="464"/>
      <c r="W579" s="612"/>
      <c r="X579" s="473"/>
      <c r="Y579" s="497"/>
      <c r="Z579" s="449"/>
      <c r="AA579" s="497"/>
      <c r="AB579" s="476"/>
      <c r="AC579" s="497"/>
      <c r="AD579" s="568"/>
      <c r="AE579" s="476"/>
      <c r="AF579" s="568"/>
      <c r="AG579" s="476"/>
      <c r="AH579" s="476"/>
      <c r="AI579" s="477"/>
      <c r="AJ579" s="478"/>
      <c r="AK579" s="479"/>
      <c r="AL579" s="480"/>
      <c r="AM579" s="474"/>
      <c r="AN579" s="481"/>
      <c r="AO579" s="474"/>
      <c r="AP579" s="476"/>
      <c r="AQ579" s="482"/>
      <c r="AR579" s="478"/>
      <c r="AS579" s="478"/>
      <c r="AT579" s="476"/>
      <c r="AU579" s="482"/>
      <c r="AV579" s="478"/>
      <c r="AW579" s="483"/>
      <c r="AX579" s="476"/>
      <c r="AY579" s="482"/>
      <c r="AZ579" s="478"/>
      <c r="BA579" s="484"/>
      <c r="BB579" s="474"/>
      <c r="BC579" s="485"/>
      <c r="BD579" s="485"/>
      <c r="BG579" s="487"/>
    </row>
    <row r="580" spans="1:59" s="486" customFormat="1" ht="18" customHeight="1" x14ac:dyDescent="0.2">
      <c r="A580" s="1369"/>
      <c r="B580" s="687"/>
      <c r="C580" s="463"/>
      <c r="D580" s="464"/>
      <c r="E580" s="465"/>
      <c r="F580" s="1033"/>
      <c r="G580" s="620"/>
      <c r="H580" s="469" t="str">
        <f>IF(OR(AND(ISBLANK(E580),ISBLANK(G580)),ISTEXT(E580),ISTEXT(G580)),"",IF(#REF!-(YEAR(E580)-YEAR(#REF!))&lt;0,0,#REF!-(YEAR(E580)-YEAR(#REF!))))</f>
        <v/>
      </c>
      <c r="I580" s="467" t="str">
        <f>IF(OR(AND(ISBLANK(E580),ISBLANK(G580)),ISTEXT(E580),ISTEXT(G580)),"",IF(#REF!-E580&lt;0,0,#REF!-E580))</f>
        <v/>
      </c>
      <c r="J580" s="498" t="str">
        <f>IF(OR(AND(ISBLANK(E580),ISBLANK(G580)),ISTEXT(E580),ISTEXT(G580)),"",#REF!)</f>
        <v/>
      </c>
      <c r="K580" s="498"/>
      <c r="L580" s="469" t="str">
        <f>IF(OR(AND(ISBLANK(E580),ISBLANK(G580)),ISTEXT(E580),ISTEXT(G580)),"",ROUNDDOWN(G580/SUM($G$57:G573)*$H$57,0))</f>
        <v/>
      </c>
      <c r="M580" s="683" t="str">
        <f>IF(OR(AND(ISBLANK(E580),ISBLANK(G580)),ISTEXT(E580),ISTEXT(G580)),"",IF(H580+L580&gt;$H$57,$H$57-H580,L580))</f>
        <v/>
      </c>
      <c r="N580" s="470" t="str">
        <f>IF(OR(AND(ISBLANK(E580),ISBLANK(G580)),ISTEXT(E580),ISTEXT(G580)),"",H580+M580)</f>
        <v/>
      </c>
      <c r="O580" s="498" t="str">
        <f>IF(OR(AND(ISBLANK(E580),ISBLANK(G580)),ISTEXT(E580),ISTEXT(G580)),"",DATE(YEAR($J580)+M580,MONTH($J580),DAY($J580)))</f>
        <v/>
      </c>
      <c r="P580" s="748" t="str">
        <f>IF(OR(AND(ISBLANK(E580),ISBLANK(G580)),ISTEXT(E580),ISTEXT(G580)),"",#REF!-#REF!*(IF(J580&lt;E580,J580,E580)-#REF!))</f>
        <v/>
      </c>
      <c r="Q580" s="500" t="str">
        <f>IF(OR(AND(ISBLANK(E580),ISBLANK(G580)),ISTEXT(E580),ISTEXT(G580)),"",P580+G580)</f>
        <v/>
      </c>
      <c r="R580" s="501" t="str">
        <f>IF(OR(AND(ISBLANK(E580),ISBLANK(G580)),ISTEXT(E580),ISTEXT(G580)),"",IF(OR(E580&lt;DATE(2004,12,31),#REF!=0),0,Q580/#REF!))</f>
        <v/>
      </c>
      <c r="S580" s="502" t="str">
        <f>IF(OR(AND(ISBLANK(E580),ISBLANK(G580)),ISTEXT(E580),ISTEXT(G580)),"",IF(YEAR(E580)&lt;=YEAR(#REF!),"-",YEAR(E580)-1))</f>
        <v/>
      </c>
      <c r="T580" s="502"/>
      <c r="U580" s="612" t="str">
        <f>IF(OR(AND(ISBLANK(E580),ISBLANK(G580)),ISTEXT(E580),ISTEXT(G580)),"",IF(AND(J580&lt;=DATE(2004,12,31),E580&gt;J580),SUM($G580:G580),#REF!+#REF!+#REF!*IF(YEAR(E580)&lt;=YEAR(#REF!),0,(IF(DATE(YEAR(E580)-1,12,31)&gt;J580,J580,DATE(YEAR(E580)-1,12,31))-#REF!))))</f>
        <v/>
      </c>
      <c r="V580" s="503" t="str">
        <f>IF(OR(AND(ISBLANK(E580),ISBLANK(G580)),ISTEXT(E580),ISTEXT(G580)),"",IF(YEAR(E580)=YEAR(E581),E581,DATE(YEAR(E580),12,31)))</f>
        <v/>
      </c>
      <c r="W580" s="612" t="str">
        <f>IF(OR(AND(ISBLANK(E580),ISBLANK(G580)),ISTEXT(E580),ISTEXT(G580)),"",IF(Q580=0,0,IF(AND(J580&lt;=DATE(2004,12,31),E580&gt;=J580),Q580-U580,Q580-#REF!)))</f>
        <v/>
      </c>
      <c r="X580" s="504" t="str">
        <f>IF(OR(AND(ISBLANK(E580),ISBLANK(G580)),ISTEXT(E580),ISTEXT(G580)),"",$D$57&amp;"//"&amp;TEXT($E$57,"dd-mmm-yyyy")&amp;"//"&amp;#REF!)</f>
        <v/>
      </c>
      <c r="Y580" s="476"/>
      <c r="Z580" s="476"/>
      <c r="AA580" s="476"/>
      <c r="AB580" s="476"/>
      <c r="AC580" s="476"/>
      <c r="AD580" s="568"/>
      <c r="AE580" s="476"/>
      <c r="AF580" s="568"/>
      <c r="AG580" s="476"/>
      <c r="AH580" s="476"/>
      <c r="AI580" s="477"/>
      <c r="AJ580" s="478"/>
      <c r="AK580" s="479"/>
      <c r="AL580" s="480"/>
      <c r="AM580" s="474"/>
      <c r="AN580" s="481"/>
      <c r="AO580" s="474"/>
      <c r="AP580" s="476"/>
      <c r="AQ580" s="482"/>
      <c r="AR580" s="478"/>
      <c r="AS580" s="478"/>
      <c r="AT580" s="476"/>
      <c r="AU580" s="482"/>
      <c r="AV580" s="478"/>
      <c r="AW580" s="483"/>
      <c r="AX580" s="476"/>
      <c r="AY580" s="482"/>
      <c r="AZ580" s="478"/>
      <c r="BA580" s="484"/>
      <c r="BB580" s="474"/>
      <c r="BC580" s="485"/>
      <c r="BD580" s="485"/>
      <c r="BG580" s="487"/>
    </row>
    <row r="581" spans="1:59" s="526" customFormat="1" ht="18" customHeight="1" x14ac:dyDescent="0.2">
      <c r="A581" s="1370" t="s">
        <v>4184</v>
      </c>
      <c r="B581" s="1956" t="s">
        <v>4184</v>
      </c>
      <c r="C581" s="1957"/>
      <c r="D581" s="1957"/>
      <c r="E581" s="1957"/>
      <c r="F581" s="1958"/>
      <c r="G581" s="624">
        <f>SUM(G564:G580)</f>
        <v>28763122842.725887</v>
      </c>
      <c r="H581" s="505"/>
      <c r="I581" s="506"/>
      <c r="J581" s="507"/>
      <c r="K581" s="507"/>
      <c r="L581" s="505"/>
      <c r="M581" s="684"/>
      <c r="N581" s="508"/>
      <c r="O581" s="507"/>
      <c r="P581" s="749"/>
      <c r="Q581" s="510"/>
      <c r="R581" s="511"/>
      <c r="S581" s="512"/>
      <c r="T581" s="512"/>
      <c r="U581" s="610">
        <f>SUM(U564:U580)</f>
        <v>18265436250.761982</v>
      </c>
      <c r="V581" s="513"/>
      <c r="W581" s="610">
        <f>G581-U581</f>
        <v>10497686591.963905</v>
      </c>
      <c r="X581" s="514"/>
      <c r="Y581" s="515"/>
      <c r="Z581" s="515"/>
      <c r="AA581" s="515"/>
      <c r="AB581" s="515"/>
      <c r="AC581" s="515"/>
      <c r="AD581" s="570"/>
      <c r="AE581" s="515"/>
      <c r="AF581" s="570">
        <v>6881607257.9469938</v>
      </c>
      <c r="AG581" s="515"/>
      <c r="AH581" s="515"/>
      <c r="AI581" s="516"/>
      <c r="AJ581" s="517"/>
      <c r="AK581" s="518"/>
      <c r="AL581" s="519"/>
      <c r="AM581" s="520"/>
      <c r="AN581" s="521"/>
      <c r="AO581" s="520"/>
      <c r="AP581" s="515"/>
      <c r="AQ581" s="522"/>
      <c r="AR581" s="517"/>
      <c r="AS581" s="517"/>
      <c r="AT581" s="515"/>
      <c r="AU581" s="522"/>
      <c r="AV581" s="517"/>
      <c r="AW581" s="523"/>
      <c r="AX581" s="515"/>
      <c r="AY581" s="522"/>
      <c r="AZ581" s="517"/>
      <c r="BA581" s="524"/>
      <c r="BB581" s="520"/>
      <c r="BC581" s="525"/>
      <c r="BD581" s="525"/>
      <c r="BG581" s="527"/>
    </row>
    <row r="584" spans="1:59" s="422" customFormat="1" ht="18" customHeight="1" x14ac:dyDescent="0.2">
      <c r="A584" s="1366">
        <f>C584</f>
        <v>90</v>
      </c>
      <c r="B584" s="742" t="s">
        <v>4187</v>
      </c>
      <c r="C584" s="556">
        <v>90</v>
      </c>
      <c r="D584" s="553" t="str">
        <f>VLOOKUP(C584,RUAS,2,FALSE)</f>
        <v>SANGAU - SIBEROBAH</v>
      </c>
      <c r="E584" s="553"/>
      <c r="F584" s="421"/>
      <c r="G584" s="611"/>
      <c r="I584" s="423"/>
      <c r="J584" s="424"/>
      <c r="K584" s="424"/>
      <c r="M584" s="680"/>
      <c r="P584" s="611"/>
      <c r="U584" s="611"/>
      <c r="W584" s="611"/>
      <c r="Y584" s="425"/>
      <c r="Z584" s="425"/>
      <c r="AA584" s="425"/>
      <c r="AB584" s="425"/>
      <c r="AC584" s="425"/>
      <c r="AD584" s="563"/>
      <c r="AE584" s="425"/>
      <c r="AF584" s="563"/>
      <c r="AG584" s="425"/>
      <c r="AH584" s="425"/>
      <c r="AI584" s="425"/>
      <c r="AJ584" s="425"/>
      <c r="AK584" s="425"/>
      <c r="AL584" s="425"/>
      <c r="AM584" s="425"/>
      <c r="AN584" s="425"/>
      <c r="AO584" s="425"/>
      <c r="AP584" s="425"/>
      <c r="AQ584" s="425"/>
      <c r="AR584" s="425"/>
      <c r="AS584" s="425"/>
      <c r="AT584" s="425"/>
      <c r="AU584" s="425"/>
      <c r="AV584" s="425"/>
      <c r="AW584" s="425"/>
      <c r="AX584" s="425"/>
      <c r="AY584" s="425"/>
      <c r="AZ584" s="425"/>
      <c r="BA584" s="425"/>
      <c r="BB584" s="425"/>
    </row>
    <row r="585" spans="1:59" s="431" customFormat="1" ht="18" customHeight="1" x14ac:dyDescent="0.2">
      <c r="A585" s="1367"/>
      <c r="B585" s="1968" t="s">
        <v>5</v>
      </c>
      <c r="C585" s="1968" t="s">
        <v>2280</v>
      </c>
      <c r="D585" s="1968" t="s">
        <v>4157</v>
      </c>
      <c r="E585" s="1968" t="s">
        <v>4158</v>
      </c>
      <c r="F585" s="1968"/>
      <c r="G585" s="1969" t="s">
        <v>4159</v>
      </c>
      <c r="H585" s="1968" t="s">
        <v>4160</v>
      </c>
      <c r="I585" s="1968"/>
      <c r="J585" s="1968" t="s">
        <v>4185</v>
      </c>
      <c r="K585" s="1964" t="s">
        <v>4162</v>
      </c>
      <c r="L585" s="1968" t="s">
        <v>4163</v>
      </c>
      <c r="M585" s="1971" t="s">
        <v>4164</v>
      </c>
      <c r="N585" s="1962" t="s">
        <v>4165</v>
      </c>
      <c r="O585" s="1968" t="s">
        <v>4166</v>
      </c>
      <c r="P585" s="1972" t="s">
        <v>4167</v>
      </c>
      <c r="Q585" s="1973"/>
      <c r="R585" s="1221" t="s">
        <v>4186</v>
      </c>
      <c r="S585" s="1972" t="s">
        <v>4169</v>
      </c>
      <c r="T585" s="1974"/>
      <c r="U585" s="1973"/>
      <c r="V585" s="1975" t="s">
        <v>4170</v>
      </c>
      <c r="W585" s="1975"/>
      <c r="X585" s="1960" t="s">
        <v>4171</v>
      </c>
      <c r="Y585" s="1959"/>
      <c r="Z585" s="1218"/>
      <c r="AA585" s="426"/>
      <c r="AB585" s="426"/>
      <c r="AC585" s="426"/>
      <c r="AD585" s="564"/>
      <c r="AE585" s="426"/>
      <c r="AF585" s="564"/>
      <c r="AG585" s="426"/>
      <c r="AH585" s="426"/>
      <c r="AI585" s="427"/>
      <c r="AJ585" s="427"/>
      <c r="AK585" s="427"/>
      <c r="AL585" s="427"/>
      <c r="AM585" s="428"/>
      <c r="AN585" s="427"/>
      <c r="AO585" s="427"/>
      <c r="AP585" s="426"/>
      <c r="AQ585" s="427"/>
      <c r="AR585" s="427"/>
      <c r="AS585" s="427"/>
      <c r="AT585" s="426"/>
      <c r="AU585" s="427"/>
      <c r="AV585" s="427"/>
      <c r="AW585" s="427"/>
      <c r="AX585" s="426"/>
      <c r="AY585" s="427"/>
      <c r="AZ585" s="427"/>
      <c r="BA585" s="427"/>
      <c r="BB585" s="429"/>
      <c r="BC585" s="430"/>
      <c r="BD585" s="430"/>
    </row>
    <row r="586" spans="1:59" s="431" customFormat="1" ht="18" customHeight="1" x14ac:dyDescent="0.2">
      <c r="A586" s="1367"/>
      <c r="B586" s="1968"/>
      <c r="C586" s="1968"/>
      <c r="D586" s="1968"/>
      <c r="E586" s="1968"/>
      <c r="F586" s="1968"/>
      <c r="G586" s="1969"/>
      <c r="H586" s="1968"/>
      <c r="I586" s="1968"/>
      <c r="J586" s="1968"/>
      <c r="K586" s="1970"/>
      <c r="L586" s="1968"/>
      <c r="M586" s="1971"/>
      <c r="N586" s="1963"/>
      <c r="O586" s="1968"/>
      <c r="P586" s="2037" t="s">
        <v>4172</v>
      </c>
      <c r="Q586" s="1960" t="s">
        <v>4173</v>
      </c>
      <c r="R586" s="1962" t="s">
        <v>4159</v>
      </c>
      <c r="S586" s="1962" t="s">
        <v>4174</v>
      </c>
      <c r="T586" s="1964" t="s">
        <v>4175</v>
      </c>
      <c r="U586" s="1966" t="s">
        <v>4159</v>
      </c>
      <c r="V586" s="1975"/>
      <c r="W586" s="1975"/>
      <c r="X586" s="1976"/>
      <c r="Y586" s="1959"/>
      <c r="Z586" s="1218"/>
      <c r="AA586" s="426"/>
      <c r="AB586" s="426"/>
      <c r="AC586" s="426"/>
      <c r="AD586" s="564"/>
      <c r="AE586" s="426"/>
      <c r="AF586" s="564"/>
      <c r="AG586" s="426"/>
      <c r="AH586" s="426"/>
      <c r="AI586" s="427"/>
      <c r="AJ586" s="427"/>
      <c r="AK586" s="426"/>
      <c r="AL586" s="427"/>
      <c r="AM586" s="428"/>
      <c r="AN586" s="427"/>
      <c r="AO586" s="427"/>
      <c r="AP586" s="432"/>
      <c r="AQ586" s="427"/>
      <c r="AR586" s="427"/>
      <c r="AS586" s="427"/>
      <c r="AT586" s="432"/>
      <c r="AU586" s="427"/>
      <c r="AV586" s="427"/>
      <c r="AW586" s="427"/>
      <c r="AX586" s="432"/>
      <c r="AY586" s="427"/>
      <c r="AZ586" s="427"/>
      <c r="BA586" s="427"/>
      <c r="BB586" s="429"/>
      <c r="BC586" s="430"/>
      <c r="BD586" s="430"/>
    </row>
    <row r="587" spans="1:59" s="431" customFormat="1" ht="18" customHeight="1" x14ac:dyDescent="0.2">
      <c r="A587" s="1367"/>
      <c r="B587" s="1968"/>
      <c r="C587" s="1968"/>
      <c r="D587" s="1968"/>
      <c r="E587" s="433" t="s">
        <v>4176</v>
      </c>
      <c r="F587" s="434" t="s">
        <v>2288</v>
      </c>
      <c r="G587" s="1969"/>
      <c r="H587" s="1219" t="s">
        <v>2288</v>
      </c>
      <c r="I587" s="1219" t="s">
        <v>4177</v>
      </c>
      <c r="J587" s="1968"/>
      <c r="K587" s="1965"/>
      <c r="L587" s="435" t="s">
        <v>2288</v>
      </c>
      <c r="M587" s="681" t="s">
        <v>2288</v>
      </c>
      <c r="N587" s="1219" t="s">
        <v>2288</v>
      </c>
      <c r="O587" s="1968"/>
      <c r="P587" s="2038"/>
      <c r="Q587" s="1961"/>
      <c r="R587" s="1963"/>
      <c r="S587" s="1963"/>
      <c r="T587" s="1965"/>
      <c r="U587" s="1967"/>
      <c r="V587" s="1219" t="s">
        <v>4178</v>
      </c>
      <c r="W587" s="1220" t="s">
        <v>4159</v>
      </c>
      <c r="X587" s="1961"/>
      <c r="Y587" s="436"/>
      <c r="Z587" s="436"/>
      <c r="AA587" s="426"/>
      <c r="AB587" s="426"/>
      <c r="AC587" s="426"/>
      <c r="AD587" s="564"/>
      <c r="AE587" s="426"/>
      <c r="AF587" s="564"/>
      <c r="AG587" s="426"/>
      <c r="AH587" s="426"/>
      <c r="AI587" s="427"/>
      <c r="AJ587" s="432"/>
      <c r="AK587" s="432"/>
      <c r="AL587" s="427"/>
      <c r="AM587" s="428"/>
      <c r="AN587" s="432"/>
      <c r="AO587" s="427"/>
      <c r="AP587" s="432"/>
      <c r="AQ587" s="432"/>
      <c r="AR587" s="427"/>
      <c r="AS587" s="427"/>
      <c r="AT587" s="432"/>
      <c r="AU587" s="432"/>
      <c r="AV587" s="427"/>
      <c r="AW587" s="427"/>
      <c r="AX587" s="432"/>
      <c r="AY587" s="432"/>
      <c r="AZ587" s="427"/>
      <c r="BA587" s="427"/>
      <c r="BB587" s="429"/>
      <c r="BC587" s="430"/>
      <c r="BD587" s="430"/>
    </row>
    <row r="588" spans="1:59" s="461" customFormat="1" ht="18" customHeight="1" x14ac:dyDescent="0.2">
      <c r="A588" s="1368" t="str">
        <f>$D$584&amp;S588</f>
        <v>SANGAU - SIBEROBAH2007</v>
      </c>
      <c r="B588" s="1373">
        <v>1</v>
      </c>
      <c r="C588" s="532" t="s">
        <v>1159</v>
      </c>
      <c r="D588" s="437" t="s">
        <v>2494</v>
      </c>
      <c r="E588" s="438"/>
      <c r="F588" s="439">
        <v>2007</v>
      </c>
      <c r="G588" s="623">
        <v>1236351311.7744997</v>
      </c>
      <c r="H588" s="440">
        <f>VLOOKUP(LEFT(D588,8),UE,4)</f>
        <v>10</v>
      </c>
      <c r="I588" s="441"/>
      <c r="J588" s="442">
        <f>(F588+N588)-1</f>
        <v>2016</v>
      </c>
      <c r="K588" s="443"/>
      <c r="L588" s="440"/>
      <c r="M588" s="746">
        <f>IF(H588+L588&gt;$H588,$H588-H588,L588)</f>
        <v>0</v>
      </c>
      <c r="N588" s="444">
        <f>H588+M588</f>
        <v>10</v>
      </c>
      <c r="O588" s="442">
        <f>(F588+N588)-1</f>
        <v>2016</v>
      </c>
      <c r="P588" s="617">
        <f>G588</f>
        <v>1236351311.7744997</v>
      </c>
      <c r="Q588" s="445">
        <v>0</v>
      </c>
      <c r="R588" s="445">
        <f>P588/N588</f>
        <v>123635131.17744997</v>
      </c>
      <c r="S588" s="446">
        <f>F588</f>
        <v>2007</v>
      </c>
      <c r="T588" s="447">
        <v>1</v>
      </c>
      <c r="U588" s="613">
        <f>R588*T588</f>
        <v>123635131.17744997</v>
      </c>
      <c r="V588" s="442">
        <f>F588</f>
        <v>2007</v>
      </c>
      <c r="W588" s="617">
        <f>IF(OR(AND(ISBLANK(E588),ISBLANK(G588)),ISTEXT(E588),ISTEXT(G588)),"",G588-R588)</f>
        <v>1112716180.5970497</v>
      </c>
      <c r="X588" s="448"/>
      <c r="Y588" s="449"/>
      <c r="Z588" s="449"/>
      <c r="AA588" s="693"/>
      <c r="AB588" s="452"/>
      <c r="AC588" s="452"/>
      <c r="AD588" s="571"/>
      <c r="AE588" s="452"/>
      <c r="AF588" s="571"/>
      <c r="AG588" s="452"/>
      <c r="AH588" s="452"/>
      <c r="AI588" s="453"/>
      <c r="AJ588" s="449"/>
      <c r="AK588" s="453"/>
      <c r="AL588" s="454"/>
      <c r="AM588" s="455"/>
      <c r="AN588" s="456"/>
      <c r="AO588" s="455"/>
      <c r="AP588" s="452"/>
      <c r="AQ588" s="457"/>
      <c r="AR588" s="449"/>
      <c r="AS588" s="449"/>
      <c r="AT588" s="452"/>
      <c r="AU588" s="457"/>
      <c r="AV588" s="449"/>
      <c r="AW588" s="458"/>
      <c r="AX588" s="452"/>
      <c r="AY588" s="457"/>
      <c r="AZ588" s="449"/>
      <c r="BA588" s="459"/>
      <c r="BB588" s="455"/>
      <c r="BC588" s="460"/>
      <c r="BD588" s="460"/>
      <c r="BG588" s="462"/>
    </row>
    <row r="589" spans="1:59" s="461" customFormat="1" ht="18" customHeight="1" x14ac:dyDescent="0.2">
      <c r="A589" s="1368" t="str">
        <f t="shared" ref="A589:A600" si="421">$D$584&amp;S589</f>
        <v>SANGAU - SIBEROBAH2008</v>
      </c>
      <c r="B589" s="1373"/>
      <c r="C589" s="488"/>
      <c r="D589" s="489"/>
      <c r="E589" s="558"/>
      <c r="F589" s="559">
        <v>2008</v>
      </c>
      <c r="G589" s="619">
        <v>0</v>
      </c>
      <c r="H589" s="464">
        <f>IF(N588-(F589-F588)&lt;=0,0,(N588-(F589-F588)))</f>
        <v>9</v>
      </c>
      <c r="I589" s="560"/>
      <c r="J589" s="468">
        <f>(F589+N589)-1</f>
        <v>2016</v>
      </c>
      <c r="K589" s="490">
        <f>IF(G589=0,0,IF(H589=10,100%,G589/W588))</f>
        <v>0</v>
      </c>
      <c r="L589" s="469">
        <f>IF(K589=0%,0,IF(K589&lt;=30%,2,IF(K589&lt;=60%,5,10)))</f>
        <v>0</v>
      </c>
      <c r="M589" s="683">
        <f>IF(OR(AND(ISBLANK(E589),ISBLANK(G589)),ISTEXT(E589),ISTEXT(G589)),"",IF(H589+L589&gt;$H$8,$H$8-H589,L589))</f>
        <v>0</v>
      </c>
      <c r="N589" s="470">
        <f>IF(OR(AND(ISBLANK(F589),ISBLANK(G589)),ISTEXT(F589),ISTEXT(G589)),"",H589+M589)</f>
        <v>9</v>
      </c>
      <c r="O589" s="468">
        <f>(F589+N589)-1</f>
        <v>2016</v>
      </c>
      <c r="P589" s="616">
        <f>W588</f>
        <v>1112716180.5970497</v>
      </c>
      <c r="Q589" s="472">
        <f>P589+G589</f>
        <v>1112716180.5970497</v>
      </c>
      <c r="R589" s="472">
        <f>IF(L589=0,R588,Q589/N589)</f>
        <v>123635131.17744997</v>
      </c>
      <c r="S589" s="1189">
        <f>F589</f>
        <v>2008</v>
      </c>
      <c r="T589" s="470">
        <f>S589-S588</f>
        <v>1</v>
      </c>
      <c r="U589" s="612">
        <f>R589*T589</f>
        <v>123635131.17744997</v>
      </c>
      <c r="V589" s="464">
        <f>F589</f>
        <v>2008</v>
      </c>
      <c r="W589" s="612">
        <f>IF(OR(AND(ISBLANK(E589),ISBLANK(G589)),ISTEXT(E589),ISTEXT(G589)),"",Q589-U589)</f>
        <v>989081049.41959977</v>
      </c>
      <c r="X589" s="561"/>
      <c r="Y589" s="449"/>
      <c r="Z589" s="449"/>
      <c r="AA589" s="694"/>
      <c r="AB589" s="692"/>
      <c r="AC589" s="692"/>
      <c r="AD589" s="695"/>
      <c r="AE589" s="452"/>
      <c r="AF589" s="571"/>
      <c r="AG589" s="452"/>
      <c r="AH589" s="452"/>
      <c r="AI589" s="453"/>
      <c r="AJ589" s="449"/>
      <c r="AK589" s="453"/>
      <c r="AL589" s="454"/>
      <c r="AM589" s="455"/>
      <c r="AN589" s="456"/>
      <c r="AO589" s="455"/>
      <c r="AP589" s="452"/>
      <c r="AQ589" s="457"/>
      <c r="AR589" s="449"/>
      <c r="AS589" s="449"/>
      <c r="AT589" s="452"/>
      <c r="AU589" s="457"/>
      <c r="AV589" s="449"/>
      <c r="AW589" s="458"/>
      <c r="AX589" s="452"/>
      <c r="AY589" s="457"/>
      <c r="AZ589" s="449"/>
      <c r="BA589" s="459"/>
      <c r="BB589" s="455"/>
      <c r="BC589" s="460"/>
      <c r="BD589" s="460"/>
      <c r="BG589" s="462"/>
    </row>
    <row r="590" spans="1:59" s="461" customFormat="1" ht="18" customHeight="1" x14ac:dyDescent="0.2">
      <c r="A590" s="1368" t="str">
        <f t="shared" si="421"/>
        <v>SANGAU - SIBEROBAH2009</v>
      </c>
      <c r="B590" s="1373"/>
      <c r="C590" s="488"/>
      <c r="D590" s="489"/>
      <c r="E590" s="558"/>
      <c r="F590" s="559">
        <v>2009</v>
      </c>
      <c r="G590" s="619">
        <v>0</v>
      </c>
      <c r="H590" s="464">
        <f t="shared" ref="H590:H599" si="422">IF(N589-(F590-F589)&lt;=0,0,(N589-(F590-F589)))</f>
        <v>8</v>
      </c>
      <c r="I590" s="560"/>
      <c r="J590" s="468">
        <f t="shared" ref="J590:J599" si="423">(F590+N590)-1</f>
        <v>2016</v>
      </c>
      <c r="K590" s="490">
        <f t="shared" ref="K590:K599" si="424">IF(G590=0,0,IF(H590=10,100%,G590/W589))</f>
        <v>0</v>
      </c>
      <c r="L590" s="469">
        <f t="shared" ref="L590:L599" si="425">IF(K590=0%,0,IF(K590&lt;=30%,2,IF(K590&lt;=60%,5,10)))</f>
        <v>0</v>
      </c>
      <c r="M590" s="683">
        <f t="shared" ref="M590:M599" si="426">IF(OR(AND(ISBLANK(E590),ISBLANK(G590)),ISTEXT(E590),ISTEXT(G590)),"",IF(H590+L590&gt;$H$8,$H$8-H590,L590))</f>
        <v>0</v>
      </c>
      <c r="N590" s="470">
        <f t="shared" ref="N590:N599" si="427">IF(OR(AND(ISBLANK(F590),ISBLANK(G590)),ISTEXT(F590),ISTEXT(G590)),"",H590+M590)</f>
        <v>8</v>
      </c>
      <c r="O590" s="468">
        <f t="shared" ref="O590:O599" si="428">(F590+N590)-1</f>
        <v>2016</v>
      </c>
      <c r="P590" s="616">
        <f t="shared" ref="P590:P599" si="429">W589</f>
        <v>989081049.41959977</v>
      </c>
      <c r="Q590" s="472">
        <f t="shared" ref="Q590:Q599" si="430">P590+G590</f>
        <v>989081049.41959977</v>
      </c>
      <c r="R590" s="472">
        <f t="shared" ref="R590:R599" si="431">IF(L590=0,R589,Q590/N590)</f>
        <v>123635131.17744997</v>
      </c>
      <c r="S590" s="1189">
        <f t="shared" ref="S590:S599" si="432">F590</f>
        <v>2009</v>
      </c>
      <c r="T590" s="470">
        <f t="shared" ref="T590:T599" si="433">S590-S589</f>
        <v>1</v>
      </c>
      <c r="U590" s="612">
        <f t="shared" ref="U590:U599" si="434">R590*T590</f>
        <v>123635131.17744997</v>
      </c>
      <c r="V590" s="464">
        <f t="shared" ref="V590:V599" si="435">F590</f>
        <v>2009</v>
      </c>
      <c r="W590" s="612">
        <f t="shared" ref="W590:W599" si="436">IF(OR(AND(ISBLANK(E590),ISBLANK(G590)),ISTEXT(E590),ISTEXT(G590)),"",Q590-U590)</f>
        <v>865445918.24214983</v>
      </c>
      <c r="X590" s="561"/>
      <c r="Y590" s="449"/>
      <c r="Z590" s="449"/>
      <c r="AA590" s="554" t="s">
        <v>4179</v>
      </c>
      <c r="AB590" s="452"/>
      <c r="AC590" s="452"/>
      <c r="AD590" s="566"/>
      <c r="AE590" s="452"/>
      <c r="AF590" s="571"/>
      <c r="AG590" s="452"/>
      <c r="AH590" s="452"/>
      <c r="AI590" s="453"/>
      <c r="AJ590" s="449"/>
      <c r="AK590" s="453"/>
      <c r="AL590" s="454"/>
      <c r="AM590" s="455"/>
      <c r="AN590" s="456"/>
      <c r="AO590" s="455"/>
      <c r="AP590" s="452"/>
      <c r="AQ590" s="457"/>
      <c r="AR590" s="449"/>
      <c r="AS590" s="449"/>
      <c r="AT590" s="452"/>
      <c r="AU590" s="457"/>
      <c r="AV590" s="449"/>
      <c r="AW590" s="458"/>
      <c r="AX590" s="452"/>
      <c r="AY590" s="457"/>
      <c r="AZ590" s="449"/>
      <c r="BA590" s="459"/>
      <c r="BB590" s="455"/>
      <c r="BC590" s="460"/>
      <c r="BD590" s="460"/>
      <c r="BG590" s="462"/>
    </row>
    <row r="591" spans="1:59" s="461" customFormat="1" ht="18" customHeight="1" x14ac:dyDescent="0.2">
      <c r="A591" s="1368" t="str">
        <f t="shared" si="421"/>
        <v>SANGAU - SIBEROBAH2010</v>
      </c>
      <c r="B591" s="1373"/>
      <c r="C591" s="488"/>
      <c r="D591" s="489"/>
      <c r="E591" s="558"/>
      <c r="F591" s="559">
        <v>2010</v>
      </c>
      <c r="G591" s="619">
        <v>0</v>
      </c>
      <c r="H591" s="464">
        <f t="shared" si="422"/>
        <v>7</v>
      </c>
      <c r="I591" s="560"/>
      <c r="J591" s="468">
        <f t="shared" si="423"/>
        <v>2016</v>
      </c>
      <c r="K591" s="490">
        <f t="shared" si="424"/>
        <v>0</v>
      </c>
      <c r="L591" s="469">
        <f t="shared" si="425"/>
        <v>0</v>
      </c>
      <c r="M591" s="683">
        <f t="shared" si="426"/>
        <v>0</v>
      </c>
      <c r="N591" s="470">
        <f t="shared" si="427"/>
        <v>7</v>
      </c>
      <c r="O591" s="468">
        <f t="shared" si="428"/>
        <v>2016</v>
      </c>
      <c r="P591" s="616">
        <f t="shared" si="429"/>
        <v>865445918.24214983</v>
      </c>
      <c r="Q591" s="472">
        <f t="shared" si="430"/>
        <v>865445918.24214983</v>
      </c>
      <c r="R591" s="472">
        <f t="shared" si="431"/>
        <v>123635131.17744997</v>
      </c>
      <c r="S591" s="1189">
        <f t="shared" si="432"/>
        <v>2010</v>
      </c>
      <c r="T591" s="470">
        <f t="shared" si="433"/>
        <v>1</v>
      </c>
      <c r="U591" s="612">
        <f t="shared" si="434"/>
        <v>123635131.17744997</v>
      </c>
      <c r="V591" s="464">
        <f t="shared" si="435"/>
        <v>2010</v>
      </c>
      <c r="W591" s="612">
        <f t="shared" si="436"/>
        <v>741810787.06469989</v>
      </c>
      <c r="X591" s="561"/>
      <c r="Y591" s="449"/>
      <c r="Z591" s="449"/>
      <c r="AA591" s="554"/>
      <c r="AB591" s="452"/>
      <c r="AC591" s="452"/>
      <c r="AD591" s="566"/>
      <c r="AE591" s="452"/>
      <c r="AF591" s="571"/>
      <c r="AG591" s="452"/>
      <c r="AH591" s="452"/>
      <c r="AI591" s="453"/>
      <c r="AJ591" s="449"/>
      <c r="AK591" s="453"/>
      <c r="AL591" s="454"/>
      <c r="AM591" s="455"/>
      <c r="AN591" s="456"/>
      <c r="AO591" s="455"/>
      <c r="AP591" s="452"/>
      <c r="AQ591" s="457"/>
      <c r="AR591" s="449"/>
      <c r="AS591" s="449"/>
      <c r="AT591" s="452"/>
      <c r="AU591" s="457"/>
      <c r="AV591" s="449"/>
      <c r="AW591" s="458"/>
      <c r="AX591" s="452"/>
      <c r="AY591" s="457"/>
      <c r="AZ591" s="449"/>
      <c r="BA591" s="459"/>
      <c r="BB591" s="455"/>
      <c r="BC591" s="460"/>
      <c r="BD591" s="460"/>
      <c r="BG591" s="462"/>
    </row>
    <row r="592" spans="1:59" s="486" customFormat="1" ht="18" customHeight="1" x14ac:dyDescent="0.2">
      <c r="A592" s="1368" t="str">
        <f t="shared" si="421"/>
        <v>SANGAU - SIBEROBAH2011</v>
      </c>
      <c r="B592" s="1373">
        <v>2</v>
      </c>
      <c r="C592" s="488" t="s">
        <v>5067</v>
      </c>
      <c r="D592" s="489" t="s">
        <v>2494</v>
      </c>
      <c r="E592" s="558"/>
      <c r="F592" s="559">
        <v>2011</v>
      </c>
      <c r="G592" s="619">
        <v>3474332846.1849999</v>
      </c>
      <c r="H592" s="464">
        <f t="shared" si="422"/>
        <v>6</v>
      </c>
      <c r="I592" s="560"/>
      <c r="J592" s="468">
        <f t="shared" si="423"/>
        <v>2020</v>
      </c>
      <c r="K592" s="490">
        <f t="shared" si="424"/>
        <v>4.6835836129220008</v>
      </c>
      <c r="L592" s="469">
        <f t="shared" si="425"/>
        <v>10</v>
      </c>
      <c r="M592" s="683">
        <f t="shared" si="426"/>
        <v>4</v>
      </c>
      <c r="N592" s="470">
        <f t="shared" si="427"/>
        <v>10</v>
      </c>
      <c r="O592" s="468">
        <f t="shared" si="428"/>
        <v>2020</v>
      </c>
      <c r="P592" s="616">
        <f t="shared" si="429"/>
        <v>741810787.06469989</v>
      </c>
      <c r="Q592" s="472">
        <f t="shared" si="430"/>
        <v>4216143633.2496996</v>
      </c>
      <c r="R592" s="472">
        <f t="shared" si="431"/>
        <v>421614363.32496995</v>
      </c>
      <c r="S592" s="1189">
        <f t="shared" si="432"/>
        <v>2011</v>
      </c>
      <c r="T592" s="470">
        <f t="shared" si="433"/>
        <v>1</v>
      </c>
      <c r="U592" s="612">
        <f t="shared" si="434"/>
        <v>421614363.32496995</v>
      </c>
      <c r="V592" s="464">
        <f t="shared" si="435"/>
        <v>2011</v>
      </c>
      <c r="W592" s="612">
        <f t="shared" si="436"/>
        <v>3794529269.9247298</v>
      </c>
      <c r="X592" s="473"/>
      <c r="Y592" s="474"/>
      <c r="Z592" s="449"/>
      <c r="AA592" s="475" t="s">
        <v>4180</v>
      </c>
      <c r="AB592" s="476"/>
      <c r="AC592" s="476"/>
      <c r="AD592" s="567">
        <f>G603</f>
        <v>4710684157.9594994</v>
      </c>
      <c r="AE592" s="476"/>
      <c r="AF592" s="568"/>
      <c r="AG592" s="476"/>
      <c r="AH592" s="476"/>
      <c r="AI592" s="477"/>
      <c r="AJ592" s="478"/>
      <c r="AK592" s="479"/>
      <c r="AL592" s="480"/>
      <c r="AM592" s="474"/>
      <c r="AN592" s="481"/>
      <c r="AO592" s="474"/>
      <c r="AP592" s="476"/>
      <c r="AQ592" s="482"/>
      <c r="AR592" s="478"/>
      <c r="AS592" s="478"/>
      <c r="AT592" s="476"/>
      <c r="AU592" s="482"/>
      <c r="AV592" s="478"/>
      <c r="AW592" s="483"/>
      <c r="AX592" s="476"/>
      <c r="AY592" s="482"/>
      <c r="AZ592" s="478"/>
      <c r="BA592" s="484"/>
      <c r="BB592" s="474"/>
      <c r="BC592" s="485"/>
      <c r="BD592" s="485"/>
      <c r="BG592" s="487"/>
    </row>
    <row r="593" spans="1:59" s="486" customFormat="1" ht="18" customHeight="1" x14ac:dyDescent="0.2">
      <c r="A593" s="1368" t="str">
        <f t="shared" si="421"/>
        <v>SANGAU - SIBEROBAH2012</v>
      </c>
      <c r="B593" s="1373"/>
      <c r="C593" s="488"/>
      <c r="D593" s="489"/>
      <c r="E593" s="465"/>
      <c r="F593" s="466">
        <v>2012</v>
      </c>
      <c r="G593" s="619">
        <v>0</v>
      </c>
      <c r="H593" s="464">
        <f t="shared" si="422"/>
        <v>9</v>
      </c>
      <c r="I593" s="560"/>
      <c r="J593" s="468">
        <f t="shared" si="423"/>
        <v>2020</v>
      </c>
      <c r="K593" s="490">
        <f t="shared" si="424"/>
        <v>0</v>
      </c>
      <c r="L593" s="469">
        <f t="shared" si="425"/>
        <v>0</v>
      </c>
      <c r="M593" s="683">
        <f t="shared" si="426"/>
        <v>0</v>
      </c>
      <c r="N593" s="470">
        <f t="shared" si="427"/>
        <v>9</v>
      </c>
      <c r="O593" s="468">
        <f t="shared" si="428"/>
        <v>2020</v>
      </c>
      <c r="P593" s="616">
        <f t="shared" si="429"/>
        <v>3794529269.9247298</v>
      </c>
      <c r="Q593" s="472">
        <f t="shared" si="430"/>
        <v>3794529269.9247298</v>
      </c>
      <c r="R593" s="472">
        <f t="shared" si="431"/>
        <v>421614363.32496995</v>
      </c>
      <c r="S593" s="1189">
        <f t="shared" si="432"/>
        <v>2012</v>
      </c>
      <c r="T593" s="470">
        <f t="shared" si="433"/>
        <v>1</v>
      </c>
      <c r="U593" s="612">
        <f t="shared" si="434"/>
        <v>421614363.32496995</v>
      </c>
      <c r="V593" s="464">
        <f t="shared" si="435"/>
        <v>2012</v>
      </c>
      <c r="W593" s="612">
        <f t="shared" si="436"/>
        <v>3372914906.5997601</v>
      </c>
      <c r="X593" s="473"/>
      <c r="Y593" s="478"/>
      <c r="Z593" s="449"/>
      <c r="AA593" s="475" t="s">
        <v>4181</v>
      </c>
      <c r="AB593" s="491"/>
      <c r="AC593" s="491"/>
      <c r="AD593" s="567">
        <f>U603</f>
        <v>4289069794.6345286</v>
      </c>
      <c r="AE593" s="491"/>
      <c r="AF593" s="568"/>
      <c r="AG593" s="491"/>
      <c r="AH593" s="491"/>
      <c r="AI593" s="477"/>
      <c r="AJ593" s="478"/>
      <c r="AK593" s="479"/>
      <c r="AL593" s="480"/>
      <c r="AM593" s="474"/>
      <c r="AN593" s="481"/>
      <c r="AO593" s="474"/>
      <c r="AP593" s="476"/>
      <c r="AQ593" s="482"/>
      <c r="AR593" s="478"/>
      <c r="AS593" s="478"/>
      <c r="AT593" s="476"/>
      <c r="AU593" s="482"/>
      <c r="AV593" s="478"/>
      <c r="AW593" s="483"/>
      <c r="AX593" s="476"/>
      <c r="AY593" s="482"/>
      <c r="AZ593" s="478"/>
      <c r="BA593" s="484"/>
      <c r="BB593" s="474"/>
      <c r="BC593" s="485"/>
      <c r="BD593" s="485"/>
      <c r="BG593" s="487"/>
    </row>
    <row r="594" spans="1:59" s="486" customFormat="1" ht="18" customHeight="1" x14ac:dyDescent="0.2">
      <c r="A594" s="1368" t="str">
        <f t="shared" si="421"/>
        <v>SANGAU - SIBEROBAH2013</v>
      </c>
      <c r="B594" s="1373"/>
      <c r="C594" s="488"/>
      <c r="D594" s="489"/>
      <c r="E594" s="465"/>
      <c r="F594" s="559">
        <v>2013</v>
      </c>
      <c r="G594" s="619">
        <v>0</v>
      </c>
      <c r="H594" s="464">
        <f t="shared" si="422"/>
        <v>8</v>
      </c>
      <c r="I594" s="560"/>
      <c r="J594" s="468">
        <f t="shared" si="423"/>
        <v>2020</v>
      </c>
      <c r="K594" s="490">
        <f t="shared" si="424"/>
        <v>0</v>
      </c>
      <c r="L594" s="469">
        <f t="shared" si="425"/>
        <v>0</v>
      </c>
      <c r="M594" s="683">
        <f t="shared" si="426"/>
        <v>0</v>
      </c>
      <c r="N594" s="470">
        <f t="shared" si="427"/>
        <v>8</v>
      </c>
      <c r="O594" s="468">
        <f t="shared" si="428"/>
        <v>2020</v>
      </c>
      <c r="P594" s="616">
        <f t="shared" si="429"/>
        <v>3372914906.5997601</v>
      </c>
      <c r="Q594" s="472">
        <f t="shared" si="430"/>
        <v>3372914906.5997601</v>
      </c>
      <c r="R594" s="472">
        <f t="shared" si="431"/>
        <v>421614363.32496995</v>
      </c>
      <c r="S594" s="1189">
        <f t="shared" si="432"/>
        <v>2013</v>
      </c>
      <c r="T594" s="470">
        <f t="shared" si="433"/>
        <v>1</v>
      </c>
      <c r="U594" s="612">
        <f t="shared" si="434"/>
        <v>421614363.32496995</v>
      </c>
      <c r="V594" s="464">
        <f t="shared" si="435"/>
        <v>2013</v>
      </c>
      <c r="W594" s="612">
        <f t="shared" si="436"/>
        <v>2951300543.2747903</v>
      </c>
      <c r="X594" s="473"/>
      <c r="Y594" s="478"/>
      <c r="Z594" s="449"/>
      <c r="AA594" s="492" t="s">
        <v>4182</v>
      </c>
      <c r="AB594" s="476"/>
      <c r="AC594" s="476"/>
      <c r="AD594" s="567">
        <f>AD592-AD593</f>
        <v>421614363.32497072</v>
      </c>
      <c r="AE594" s="476"/>
      <c r="AF594" s="568"/>
      <c r="AG594" s="476"/>
      <c r="AH594" s="476"/>
      <c r="AI594" s="477"/>
      <c r="AJ594" s="478"/>
      <c r="AK594" s="479"/>
      <c r="AL594" s="480"/>
      <c r="AM594" s="474"/>
      <c r="AN594" s="481"/>
      <c r="AO594" s="474"/>
      <c r="AP594" s="476"/>
      <c r="AQ594" s="482"/>
      <c r="AR594" s="478"/>
      <c r="AS594" s="478"/>
      <c r="AT594" s="476"/>
      <c r="AU594" s="482"/>
      <c r="AV594" s="478"/>
      <c r="AW594" s="483"/>
      <c r="AX594" s="476"/>
      <c r="AY594" s="482"/>
      <c r="AZ594" s="478"/>
      <c r="BA594" s="484"/>
      <c r="BB594" s="474"/>
      <c r="BC594" s="485"/>
      <c r="BD594" s="485"/>
      <c r="BG594" s="487"/>
    </row>
    <row r="595" spans="1:59" s="486" customFormat="1" ht="18" customHeight="1" x14ac:dyDescent="0.2">
      <c r="A595" s="1368" t="str">
        <f t="shared" si="421"/>
        <v>SANGAU - SIBEROBAH2014</v>
      </c>
      <c r="B595" s="1373"/>
      <c r="C595" s="463"/>
      <c r="D595" s="489"/>
      <c r="E595" s="465"/>
      <c r="F595" s="466">
        <v>2014</v>
      </c>
      <c r="G595" s="619">
        <v>0</v>
      </c>
      <c r="H595" s="464">
        <f t="shared" si="422"/>
        <v>7</v>
      </c>
      <c r="I595" s="560"/>
      <c r="J595" s="468">
        <f t="shared" si="423"/>
        <v>2020</v>
      </c>
      <c r="K595" s="490">
        <f t="shared" si="424"/>
        <v>0</v>
      </c>
      <c r="L595" s="469">
        <f t="shared" si="425"/>
        <v>0</v>
      </c>
      <c r="M595" s="683">
        <f t="shared" si="426"/>
        <v>0</v>
      </c>
      <c r="N595" s="470">
        <f t="shared" si="427"/>
        <v>7</v>
      </c>
      <c r="O595" s="468">
        <f t="shared" si="428"/>
        <v>2020</v>
      </c>
      <c r="P595" s="616">
        <f t="shared" si="429"/>
        <v>2951300543.2747903</v>
      </c>
      <c r="Q595" s="472">
        <f t="shared" si="430"/>
        <v>2951300543.2747903</v>
      </c>
      <c r="R595" s="472">
        <f t="shared" si="431"/>
        <v>421614363.32496995</v>
      </c>
      <c r="S595" s="1189">
        <f t="shared" si="432"/>
        <v>2014</v>
      </c>
      <c r="T595" s="470">
        <f t="shared" si="433"/>
        <v>1</v>
      </c>
      <c r="U595" s="612">
        <f t="shared" si="434"/>
        <v>421614363.32496995</v>
      </c>
      <c r="V595" s="464">
        <f t="shared" si="435"/>
        <v>2014</v>
      </c>
      <c r="W595" s="612">
        <f t="shared" si="436"/>
        <v>2529686179.9498205</v>
      </c>
      <c r="X595" s="473"/>
      <c r="Y595" s="478"/>
      <c r="Z595" s="449"/>
      <c r="AA595" s="531" t="s">
        <v>4183</v>
      </c>
      <c r="AB595" s="496"/>
      <c r="AC595" s="496"/>
      <c r="AD595" s="569">
        <f>AD594-W603</f>
        <v>0</v>
      </c>
      <c r="AE595" s="476"/>
      <c r="AF595" s="568"/>
      <c r="AG595" s="476"/>
      <c r="AH595" s="476"/>
      <c r="AI595" s="477"/>
      <c r="AJ595" s="478"/>
      <c r="AK595" s="479"/>
      <c r="AL595" s="480"/>
      <c r="AM595" s="474"/>
      <c r="AN595" s="481"/>
      <c r="AO595" s="474"/>
      <c r="AP595" s="476"/>
      <c r="AQ595" s="482"/>
      <c r="AR595" s="478"/>
      <c r="AS595" s="478"/>
      <c r="AT595" s="476"/>
      <c r="AU595" s="482"/>
      <c r="AV595" s="478"/>
      <c r="AW595" s="483"/>
      <c r="AX595" s="476"/>
      <c r="AY595" s="482"/>
      <c r="AZ595" s="478"/>
      <c r="BA595" s="484"/>
      <c r="BB595" s="474"/>
      <c r="BC595" s="485"/>
      <c r="BD595" s="485"/>
      <c r="BG595" s="487"/>
    </row>
    <row r="596" spans="1:59" s="486" customFormat="1" ht="18" customHeight="1" x14ac:dyDescent="0.2">
      <c r="A596" s="1368" t="str">
        <f t="shared" si="421"/>
        <v>SANGAU - SIBEROBAH2015</v>
      </c>
      <c r="B596" s="687"/>
      <c r="C596" s="488"/>
      <c r="D596" s="489"/>
      <c r="E596" s="465"/>
      <c r="F596" s="466">
        <v>2015</v>
      </c>
      <c r="G596" s="619">
        <v>0</v>
      </c>
      <c r="H596" s="464">
        <f t="shared" si="422"/>
        <v>6</v>
      </c>
      <c r="I596" s="560"/>
      <c r="J596" s="468">
        <f t="shared" si="423"/>
        <v>2020</v>
      </c>
      <c r="K596" s="490">
        <f t="shared" si="424"/>
        <v>0</v>
      </c>
      <c r="L596" s="469">
        <f t="shared" si="425"/>
        <v>0</v>
      </c>
      <c r="M596" s="683">
        <f t="shared" si="426"/>
        <v>0</v>
      </c>
      <c r="N596" s="470">
        <f t="shared" si="427"/>
        <v>6</v>
      </c>
      <c r="O596" s="468">
        <f t="shared" si="428"/>
        <v>2020</v>
      </c>
      <c r="P596" s="616">
        <f t="shared" si="429"/>
        <v>2529686179.9498205</v>
      </c>
      <c r="Q596" s="472">
        <f t="shared" si="430"/>
        <v>2529686179.9498205</v>
      </c>
      <c r="R596" s="472">
        <f t="shared" si="431"/>
        <v>421614363.32496995</v>
      </c>
      <c r="S596" s="1189">
        <f t="shared" si="432"/>
        <v>2015</v>
      </c>
      <c r="T596" s="470">
        <f t="shared" si="433"/>
        <v>1</v>
      </c>
      <c r="U596" s="612">
        <f t="shared" si="434"/>
        <v>421614363.32496995</v>
      </c>
      <c r="V596" s="464">
        <f t="shared" si="435"/>
        <v>2015</v>
      </c>
      <c r="W596" s="612">
        <f t="shared" si="436"/>
        <v>2108071816.6248505</v>
      </c>
      <c r="X596" s="473"/>
      <c r="Y596" s="497"/>
      <c r="Z596" s="449"/>
      <c r="AA596" s="497"/>
      <c r="AB596" s="476"/>
      <c r="AC596" s="497"/>
      <c r="AD596" s="568"/>
      <c r="AE596" s="476"/>
      <c r="AF596" s="568"/>
      <c r="AG596" s="476"/>
      <c r="AH596" s="476"/>
      <c r="AI596" s="477"/>
      <c r="AJ596" s="478"/>
      <c r="AK596" s="479"/>
      <c r="AL596" s="480"/>
      <c r="AM596" s="474"/>
      <c r="AN596" s="481"/>
      <c r="AO596" s="474"/>
      <c r="AP596" s="476"/>
      <c r="AQ596" s="482"/>
      <c r="AR596" s="478"/>
      <c r="AS596" s="478"/>
      <c r="AT596" s="476"/>
      <c r="AU596" s="482"/>
      <c r="AV596" s="478"/>
      <c r="AW596" s="483"/>
      <c r="AX596" s="476"/>
      <c r="AY596" s="482"/>
      <c r="AZ596" s="478"/>
      <c r="BA596" s="484"/>
      <c r="BB596" s="474"/>
      <c r="BC596" s="485"/>
      <c r="BD596" s="485"/>
      <c r="BG596" s="487"/>
    </row>
    <row r="597" spans="1:59" s="486" customFormat="1" ht="18" customHeight="1" x14ac:dyDescent="0.2">
      <c r="A597" s="1368" t="str">
        <f t="shared" si="421"/>
        <v>SANGAU - SIBEROBAH2016</v>
      </c>
      <c r="B597" s="687"/>
      <c r="C597" s="463"/>
      <c r="D597" s="489"/>
      <c r="E597" s="465"/>
      <c r="F597" s="466">
        <v>2016</v>
      </c>
      <c r="G597" s="619">
        <v>0</v>
      </c>
      <c r="H597" s="464">
        <f t="shared" si="422"/>
        <v>5</v>
      </c>
      <c r="I597" s="560"/>
      <c r="J597" s="468">
        <f t="shared" si="423"/>
        <v>2020</v>
      </c>
      <c r="K597" s="490">
        <f t="shared" si="424"/>
        <v>0</v>
      </c>
      <c r="L597" s="469">
        <f t="shared" si="425"/>
        <v>0</v>
      </c>
      <c r="M597" s="683">
        <f t="shared" si="426"/>
        <v>0</v>
      </c>
      <c r="N597" s="470">
        <f t="shared" si="427"/>
        <v>5</v>
      </c>
      <c r="O597" s="468">
        <f t="shared" si="428"/>
        <v>2020</v>
      </c>
      <c r="P597" s="616">
        <f t="shared" si="429"/>
        <v>2108071816.6248505</v>
      </c>
      <c r="Q597" s="472">
        <f t="shared" si="430"/>
        <v>2108071816.6248505</v>
      </c>
      <c r="R597" s="472">
        <f t="shared" si="431"/>
        <v>421614363.32496995</v>
      </c>
      <c r="S597" s="1189">
        <f t="shared" si="432"/>
        <v>2016</v>
      </c>
      <c r="T597" s="470">
        <f t="shared" si="433"/>
        <v>1</v>
      </c>
      <c r="U597" s="612">
        <f t="shared" si="434"/>
        <v>421614363.32496995</v>
      </c>
      <c r="V597" s="464">
        <f t="shared" si="435"/>
        <v>2016</v>
      </c>
      <c r="W597" s="612">
        <f t="shared" si="436"/>
        <v>1686457453.2998805</v>
      </c>
      <c r="X597" s="473"/>
      <c r="Y597" s="497"/>
      <c r="Z597" s="449"/>
      <c r="AA597" s="497"/>
      <c r="AB597" s="476"/>
      <c r="AC597" s="497"/>
      <c r="AD597" s="568"/>
      <c r="AE597" s="476"/>
      <c r="AF597" s="568"/>
      <c r="AG597" s="476"/>
      <c r="AH597" s="476"/>
      <c r="AI597" s="477"/>
      <c r="AJ597" s="478"/>
      <c r="AK597" s="479"/>
      <c r="AL597" s="480"/>
      <c r="AM597" s="474"/>
      <c r="AN597" s="481"/>
      <c r="AO597" s="474"/>
      <c r="AP597" s="476"/>
      <c r="AQ597" s="482"/>
      <c r="AR597" s="478"/>
      <c r="AS597" s="478"/>
      <c r="AT597" s="476"/>
      <c r="AU597" s="482"/>
      <c r="AV597" s="478"/>
      <c r="AW597" s="483"/>
      <c r="AX597" s="476"/>
      <c r="AY597" s="482"/>
      <c r="AZ597" s="478"/>
      <c r="BA597" s="484"/>
      <c r="BB597" s="474"/>
      <c r="BC597" s="485"/>
      <c r="BD597" s="485"/>
      <c r="BG597" s="487"/>
    </row>
    <row r="598" spans="1:59" s="486" customFormat="1" ht="18" customHeight="1" x14ac:dyDescent="0.2">
      <c r="A598" s="1368" t="str">
        <f t="shared" si="421"/>
        <v>SANGAU - SIBEROBAH2017</v>
      </c>
      <c r="B598" s="687"/>
      <c r="C598" s="463"/>
      <c r="D598" s="489"/>
      <c r="E598" s="465"/>
      <c r="F598" s="466">
        <v>2017</v>
      </c>
      <c r="G598" s="619">
        <v>0</v>
      </c>
      <c r="H598" s="464">
        <f t="shared" si="422"/>
        <v>4</v>
      </c>
      <c r="I598" s="560"/>
      <c r="J598" s="468">
        <f t="shared" si="423"/>
        <v>2020</v>
      </c>
      <c r="K598" s="490">
        <f t="shared" si="424"/>
        <v>0</v>
      </c>
      <c r="L598" s="469">
        <f t="shared" si="425"/>
        <v>0</v>
      </c>
      <c r="M598" s="683">
        <f t="shared" si="426"/>
        <v>0</v>
      </c>
      <c r="N598" s="470">
        <f t="shared" si="427"/>
        <v>4</v>
      </c>
      <c r="O598" s="468">
        <f t="shared" si="428"/>
        <v>2020</v>
      </c>
      <c r="P598" s="616">
        <f t="shared" si="429"/>
        <v>1686457453.2998805</v>
      </c>
      <c r="Q598" s="472">
        <f t="shared" si="430"/>
        <v>1686457453.2998805</v>
      </c>
      <c r="R598" s="472">
        <f t="shared" si="431"/>
        <v>421614363.32496995</v>
      </c>
      <c r="S598" s="1189">
        <f t="shared" si="432"/>
        <v>2017</v>
      </c>
      <c r="T598" s="470">
        <f t="shared" si="433"/>
        <v>1</v>
      </c>
      <c r="U598" s="612">
        <f t="shared" si="434"/>
        <v>421614363.32496995</v>
      </c>
      <c r="V598" s="464">
        <f t="shared" si="435"/>
        <v>2017</v>
      </c>
      <c r="W598" s="612">
        <f t="shared" si="436"/>
        <v>1264843089.9749105</v>
      </c>
      <c r="X598" s="473"/>
      <c r="Y598" s="497"/>
      <c r="Z598" s="449"/>
      <c r="AA598" s="497"/>
      <c r="AB598" s="476"/>
      <c r="AC598" s="497"/>
      <c r="AD598" s="568"/>
      <c r="AE598" s="476"/>
      <c r="AF598" s="568"/>
      <c r="AG598" s="476"/>
      <c r="AH598" s="476"/>
      <c r="AI598" s="477"/>
      <c r="AJ598" s="478"/>
      <c r="AK598" s="479"/>
      <c r="AL598" s="480"/>
      <c r="AM598" s="474"/>
      <c r="AN598" s="481"/>
      <c r="AO598" s="474"/>
      <c r="AP598" s="476"/>
      <c r="AQ598" s="482"/>
      <c r="AR598" s="478"/>
      <c r="AS598" s="478"/>
      <c r="AT598" s="476"/>
      <c r="AU598" s="482"/>
      <c r="AV598" s="478"/>
      <c r="AW598" s="483"/>
      <c r="AX598" s="476"/>
      <c r="AY598" s="482"/>
      <c r="AZ598" s="478"/>
      <c r="BA598" s="484"/>
      <c r="BB598" s="474"/>
      <c r="BC598" s="485"/>
      <c r="BD598" s="485"/>
      <c r="BG598" s="487"/>
    </row>
    <row r="599" spans="1:59" s="486" customFormat="1" ht="18" customHeight="1" x14ac:dyDescent="0.2">
      <c r="A599" s="1368" t="str">
        <f t="shared" si="421"/>
        <v>SANGAU - SIBEROBAH2018</v>
      </c>
      <c r="B599" s="687"/>
      <c r="C599" s="463"/>
      <c r="D599" s="489"/>
      <c r="E599" s="465"/>
      <c r="F599" s="466">
        <v>2018</v>
      </c>
      <c r="G599" s="619">
        <v>0</v>
      </c>
      <c r="H599" s="464">
        <f t="shared" si="422"/>
        <v>3</v>
      </c>
      <c r="I599" s="560"/>
      <c r="J599" s="468">
        <f t="shared" si="423"/>
        <v>2020</v>
      </c>
      <c r="K599" s="490">
        <f t="shared" si="424"/>
        <v>0</v>
      </c>
      <c r="L599" s="469">
        <f t="shared" si="425"/>
        <v>0</v>
      </c>
      <c r="M599" s="683">
        <f t="shared" si="426"/>
        <v>0</v>
      </c>
      <c r="N599" s="470">
        <f t="shared" si="427"/>
        <v>3</v>
      </c>
      <c r="O599" s="468">
        <f t="shared" si="428"/>
        <v>2020</v>
      </c>
      <c r="P599" s="616">
        <f t="shared" si="429"/>
        <v>1264843089.9749105</v>
      </c>
      <c r="Q599" s="472">
        <f t="shared" si="430"/>
        <v>1264843089.9749105</v>
      </c>
      <c r="R599" s="472">
        <f t="shared" si="431"/>
        <v>421614363.32496995</v>
      </c>
      <c r="S599" s="1189">
        <f t="shared" si="432"/>
        <v>2018</v>
      </c>
      <c r="T599" s="470">
        <f t="shared" si="433"/>
        <v>1</v>
      </c>
      <c r="U599" s="612">
        <f t="shared" si="434"/>
        <v>421614363.32496995</v>
      </c>
      <c r="V599" s="464">
        <f t="shared" si="435"/>
        <v>2018</v>
      </c>
      <c r="W599" s="612">
        <f t="shared" si="436"/>
        <v>843228726.64994049</v>
      </c>
      <c r="X599" s="473"/>
      <c r="Y599" s="497"/>
      <c r="Z599" s="449"/>
      <c r="AA599" s="497"/>
      <c r="AB599" s="476"/>
      <c r="AC599" s="497"/>
      <c r="AD599" s="568"/>
      <c r="AE599" s="476"/>
      <c r="AF599" s="568"/>
      <c r="AG599" s="476"/>
      <c r="AH599" s="476"/>
      <c r="AI599" s="477"/>
      <c r="AJ599" s="478"/>
      <c r="AK599" s="479"/>
      <c r="AL599" s="480"/>
      <c r="AM599" s="474"/>
      <c r="AN599" s="481"/>
      <c r="AO599" s="474"/>
      <c r="AP599" s="476"/>
      <c r="AQ599" s="482"/>
      <c r="AR599" s="478"/>
      <c r="AS599" s="478"/>
      <c r="AT599" s="476"/>
      <c r="AU599" s="482"/>
      <c r="AV599" s="478"/>
      <c r="AW599" s="483"/>
      <c r="AX599" s="476"/>
      <c r="AY599" s="482"/>
      <c r="AZ599" s="478"/>
      <c r="BA599" s="484"/>
      <c r="BB599" s="474"/>
      <c r="BC599" s="485"/>
      <c r="BD599" s="485"/>
      <c r="BG599" s="487"/>
    </row>
    <row r="600" spans="1:59" s="486" customFormat="1" ht="18" customHeight="1" x14ac:dyDescent="0.2">
      <c r="A600" s="1368" t="str">
        <f t="shared" si="421"/>
        <v>SANGAU - SIBEROBAH2019</v>
      </c>
      <c r="B600" s="687"/>
      <c r="C600" s="463"/>
      <c r="D600" s="489"/>
      <c r="E600" s="465"/>
      <c r="F600" s="466">
        <v>2019</v>
      </c>
      <c r="G600" s="619">
        <v>0</v>
      </c>
      <c r="H600" s="464">
        <f>IF(N599-(F600-F599)&lt;=0,0,(N599-(F600-F599)))</f>
        <v>2</v>
      </c>
      <c r="I600" s="560"/>
      <c r="J600" s="468">
        <f>(F600+N600)-1</f>
        <v>2020</v>
      </c>
      <c r="K600" s="490">
        <f>IF(G600=0,0,IF(H600=10,100%,G600/W599))</f>
        <v>0</v>
      </c>
      <c r="L600" s="469">
        <f>IF(K600=0%,0,IF(K600&lt;=30%,2,IF(K600&lt;=60%,5,10)))</f>
        <v>0</v>
      </c>
      <c r="M600" s="683">
        <f>IF(OR(AND(ISBLANK(E600),ISBLANK(G600)),ISTEXT(E600),ISTEXT(G600)),"",IF(H600+L600&gt;$H$8,$H$8-H600,L600))</f>
        <v>0</v>
      </c>
      <c r="N600" s="470">
        <f>IF(OR(AND(ISBLANK(F600),ISBLANK(G600)),ISTEXT(F600),ISTEXT(G600)),"",H600+M600)</f>
        <v>2</v>
      </c>
      <c r="O600" s="468">
        <f>(F600+N600)-1</f>
        <v>2020</v>
      </c>
      <c r="P600" s="616">
        <f>W599</f>
        <v>843228726.64994049</v>
      </c>
      <c r="Q600" s="472">
        <f>P600+G600</f>
        <v>843228726.64994049</v>
      </c>
      <c r="R600" s="472">
        <f>IF(L600=0,R599,Q600/N600)</f>
        <v>421614363.32496995</v>
      </c>
      <c r="S600" s="1189">
        <f>F600</f>
        <v>2019</v>
      </c>
      <c r="T600" s="470">
        <f>S600-S599</f>
        <v>1</v>
      </c>
      <c r="U600" s="612">
        <f>R600*T600</f>
        <v>421614363.32496995</v>
      </c>
      <c r="V600" s="464">
        <f>F600</f>
        <v>2019</v>
      </c>
      <c r="W600" s="612">
        <f>IF(OR(AND(ISBLANK(E600),ISBLANK(G600)),ISTEXT(E600),ISTEXT(G600)),"",Q600-U600)</f>
        <v>421614363.32497054</v>
      </c>
      <c r="X600" s="473"/>
      <c r="Y600" s="497"/>
      <c r="Z600" s="449"/>
      <c r="AA600" s="497"/>
      <c r="AB600" s="476"/>
      <c r="AC600" s="497"/>
      <c r="AD600" s="568"/>
      <c r="AE600" s="476"/>
      <c r="AF600" s="568"/>
      <c r="AG600" s="476"/>
      <c r="AH600" s="476"/>
      <c r="AI600" s="477"/>
      <c r="AJ600" s="478"/>
      <c r="AK600" s="479"/>
      <c r="AL600" s="480"/>
      <c r="AM600" s="474"/>
      <c r="AN600" s="481"/>
      <c r="AO600" s="474"/>
      <c r="AP600" s="476"/>
      <c r="AQ600" s="482"/>
      <c r="AR600" s="478"/>
      <c r="AS600" s="478"/>
      <c r="AT600" s="476"/>
      <c r="AU600" s="482"/>
      <c r="AV600" s="478"/>
      <c r="AW600" s="483"/>
      <c r="AX600" s="476"/>
      <c r="AY600" s="482"/>
      <c r="AZ600" s="478"/>
      <c r="BA600" s="484"/>
      <c r="BB600" s="474"/>
      <c r="BC600" s="485"/>
      <c r="BD600" s="485"/>
      <c r="BG600" s="487"/>
    </row>
    <row r="601" spans="1:59" s="486" customFormat="1" ht="18" customHeight="1" x14ac:dyDescent="0.2">
      <c r="A601" s="1368"/>
      <c r="B601" s="687"/>
      <c r="C601" s="463"/>
      <c r="D601" s="489"/>
      <c r="E601" s="465"/>
      <c r="F601" s="466"/>
      <c r="G601" s="620"/>
      <c r="H601" s="464"/>
      <c r="I601" s="467"/>
      <c r="J601" s="468"/>
      <c r="K601" s="490"/>
      <c r="L601" s="469"/>
      <c r="M601" s="683"/>
      <c r="N601" s="470"/>
      <c r="O601" s="468"/>
      <c r="P601" s="616"/>
      <c r="Q601" s="472"/>
      <c r="R601" s="472"/>
      <c r="S601" s="1189"/>
      <c r="T601" s="470"/>
      <c r="U601" s="612"/>
      <c r="V601" s="464"/>
      <c r="W601" s="612"/>
      <c r="X601" s="473"/>
      <c r="Y601" s="497"/>
      <c r="Z601" s="449"/>
      <c r="AA601" s="497"/>
      <c r="AB601" s="476"/>
      <c r="AC601" s="497"/>
      <c r="AD601" s="568"/>
      <c r="AE601" s="476"/>
      <c r="AF601" s="568"/>
      <c r="AG601" s="476"/>
      <c r="AH601" s="476"/>
      <c r="AI601" s="477"/>
      <c r="AJ601" s="478"/>
      <c r="AK601" s="479"/>
      <c r="AL601" s="480"/>
      <c r="AM601" s="474"/>
      <c r="AN601" s="481"/>
      <c r="AO601" s="474"/>
      <c r="AP601" s="476"/>
      <c r="AQ601" s="482"/>
      <c r="AR601" s="478"/>
      <c r="AS601" s="478"/>
      <c r="AT601" s="476"/>
      <c r="AU601" s="482"/>
      <c r="AV601" s="478"/>
      <c r="AW601" s="483"/>
      <c r="AX601" s="476"/>
      <c r="AY601" s="482"/>
      <c r="AZ601" s="478"/>
      <c r="BA601" s="484"/>
      <c r="BB601" s="474"/>
      <c r="BC601" s="485"/>
      <c r="BD601" s="485"/>
      <c r="BG601" s="487"/>
    </row>
    <row r="602" spans="1:59" s="486" customFormat="1" ht="18" customHeight="1" x14ac:dyDescent="0.2">
      <c r="A602" s="1369"/>
      <c r="B602" s="687"/>
      <c r="C602" s="463"/>
      <c r="D602" s="464"/>
      <c r="E602" s="465"/>
      <c r="F602" s="1189"/>
      <c r="G602" s="620"/>
      <c r="H602" s="469" t="str">
        <f>IF(OR(AND(ISBLANK(E602),ISBLANK(G602)),ISTEXT(E602),ISTEXT(G602)),"",IF(#REF!-(YEAR(E602)-YEAR(#REF!))&lt;0,0,#REF!-(YEAR(E602)-YEAR(#REF!))))</f>
        <v/>
      </c>
      <c r="I602" s="467" t="str">
        <f>IF(OR(AND(ISBLANK(E602),ISBLANK(G602)),ISTEXT(E602),ISTEXT(G602)),"",IF(#REF!-E602&lt;0,0,#REF!-E602))</f>
        <v/>
      </c>
      <c r="J602" s="498" t="str">
        <f>IF(OR(AND(ISBLANK(E602),ISBLANK(G602)),ISTEXT(E602),ISTEXT(G602)),"",#REF!)</f>
        <v/>
      </c>
      <c r="K602" s="498"/>
      <c r="L602" s="469" t="str">
        <f>IF(OR(AND(ISBLANK(E602),ISBLANK(G602)),ISTEXT(E602),ISTEXT(G602)),"",ROUNDDOWN(G602/SUM($G$57:G595)*$H$57,0))</f>
        <v/>
      </c>
      <c r="M602" s="683" t="str">
        <f>IF(OR(AND(ISBLANK(E602),ISBLANK(G602)),ISTEXT(E602),ISTEXT(G602)),"",IF(H602+L602&gt;$H$57,$H$57-H602,L602))</f>
        <v/>
      </c>
      <c r="N602" s="470" t="str">
        <f>IF(OR(AND(ISBLANK(E602),ISBLANK(G602)),ISTEXT(E602),ISTEXT(G602)),"",H602+M602)</f>
        <v/>
      </c>
      <c r="O602" s="498" t="str">
        <f>IF(OR(AND(ISBLANK(E602),ISBLANK(G602)),ISTEXT(E602),ISTEXT(G602)),"",DATE(YEAR($J602)+M602,MONTH($J602),DAY($J602)))</f>
        <v/>
      </c>
      <c r="P602" s="748" t="str">
        <f>IF(OR(AND(ISBLANK(E602),ISBLANK(G602)),ISTEXT(E602),ISTEXT(G602)),"",#REF!-#REF!*(IF(J602&lt;E602,J602,E602)-#REF!))</f>
        <v/>
      </c>
      <c r="Q602" s="500" t="str">
        <f>IF(OR(AND(ISBLANK(E602),ISBLANK(G602)),ISTEXT(E602),ISTEXT(G602)),"",P602+G602)</f>
        <v/>
      </c>
      <c r="R602" s="501" t="str">
        <f>IF(OR(AND(ISBLANK(E602),ISBLANK(G602)),ISTEXT(E602),ISTEXT(G602)),"",IF(OR(E602&lt;DATE(2004,12,31),#REF!=0),0,Q602/#REF!))</f>
        <v/>
      </c>
      <c r="S602" s="502" t="str">
        <f>IF(OR(AND(ISBLANK(E602),ISBLANK(G602)),ISTEXT(E602),ISTEXT(G602)),"",IF(YEAR(E602)&lt;=YEAR(#REF!),"-",YEAR(E602)-1))</f>
        <v/>
      </c>
      <c r="T602" s="502"/>
      <c r="U602" s="612" t="str">
        <f>IF(OR(AND(ISBLANK(E602),ISBLANK(G602)),ISTEXT(E602),ISTEXT(G602)),"",IF(AND(J602&lt;=DATE(2004,12,31),E602&gt;J602),SUM($G602:G602),#REF!+#REF!+#REF!*IF(YEAR(E602)&lt;=YEAR(#REF!),0,(IF(DATE(YEAR(E602)-1,12,31)&gt;J602,J602,DATE(YEAR(E602)-1,12,31))-#REF!))))</f>
        <v/>
      </c>
      <c r="V602" s="503" t="str">
        <f>IF(OR(AND(ISBLANK(E602),ISBLANK(G602)),ISTEXT(E602),ISTEXT(G602)),"",IF(YEAR(E602)=YEAR(E603),E603,DATE(YEAR(E602),12,31)))</f>
        <v/>
      </c>
      <c r="W602" s="612" t="str">
        <f>IF(OR(AND(ISBLANK(E602),ISBLANK(G602)),ISTEXT(E602),ISTEXT(G602)),"",IF(Q602=0,0,IF(AND(J602&lt;=DATE(2004,12,31),E602&gt;=J602),Q602-U602,Q602-#REF!)))</f>
        <v/>
      </c>
      <c r="X602" s="504" t="str">
        <f>IF(OR(AND(ISBLANK(E602),ISBLANK(G602)),ISTEXT(E602),ISTEXT(G602)),"",$D$57&amp;"//"&amp;TEXT($E$57,"dd-mmm-yyyy")&amp;"//"&amp;#REF!)</f>
        <v/>
      </c>
      <c r="Y602" s="476"/>
      <c r="Z602" s="476"/>
      <c r="AA602" s="476"/>
      <c r="AB602" s="476"/>
      <c r="AC602" s="476"/>
      <c r="AD602" s="568"/>
      <c r="AE602" s="476"/>
      <c r="AF602" s="568"/>
      <c r="AG602" s="476"/>
      <c r="AH602" s="476"/>
      <c r="AI602" s="477"/>
      <c r="AJ602" s="478"/>
      <c r="AK602" s="479"/>
      <c r="AL602" s="480"/>
      <c r="AM602" s="474"/>
      <c r="AN602" s="481"/>
      <c r="AO602" s="474"/>
      <c r="AP602" s="476"/>
      <c r="AQ602" s="482"/>
      <c r="AR602" s="478"/>
      <c r="AS602" s="478"/>
      <c r="AT602" s="476"/>
      <c r="AU602" s="482"/>
      <c r="AV602" s="478"/>
      <c r="AW602" s="483"/>
      <c r="AX602" s="476"/>
      <c r="AY602" s="482"/>
      <c r="AZ602" s="478"/>
      <c r="BA602" s="484"/>
      <c r="BB602" s="474"/>
      <c r="BC602" s="485"/>
      <c r="BD602" s="485"/>
      <c r="BG602" s="487"/>
    </row>
    <row r="603" spans="1:59" s="526" customFormat="1" ht="18" customHeight="1" x14ac:dyDescent="0.2">
      <c r="A603" s="1370" t="s">
        <v>4184</v>
      </c>
      <c r="B603" s="1956" t="s">
        <v>4184</v>
      </c>
      <c r="C603" s="1957"/>
      <c r="D603" s="1957"/>
      <c r="E603" s="1957"/>
      <c r="F603" s="1958"/>
      <c r="G603" s="624">
        <f>SUM(G588:G602)</f>
        <v>4710684157.9594994</v>
      </c>
      <c r="H603" s="505"/>
      <c r="I603" s="506"/>
      <c r="J603" s="507"/>
      <c r="K603" s="507"/>
      <c r="L603" s="505"/>
      <c r="M603" s="684"/>
      <c r="N603" s="508"/>
      <c r="O603" s="507"/>
      <c r="P603" s="749"/>
      <c r="Q603" s="510"/>
      <c r="R603" s="511"/>
      <c r="S603" s="512"/>
      <c r="T603" s="512"/>
      <c r="U603" s="610">
        <f>SUM(U588:U602)</f>
        <v>4289069794.6345286</v>
      </c>
      <c r="V603" s="513"/>
      <c r="W603" s="610">
        <f>G603-U603</f>
        <v>421614363.32497072</v>
      </c>
      <c r="X603" s="514"/>
      <c r="Y603" s="515"/>
      <c r="Z603" s="515"/>
      <c r="AA603" s="515"/>
      <c r="AB603" s="515"/>
      <c r="AC603" s="515"/>
      <c r="AD603" s="570"/>
      <c r="AE603" s="515"/>
      <c r="AF603" s="570">
        <v>6881607257.9469938</v>
      </c>
      <c r="AG603" s="515"/>
      <c r="AH603" s="515"/>
      <c r="AI603" s="516"/>
      <c r="AJ603" s="517"/>
      <c r="AK603" s="518"/>
      <c r="AL603" s="519"/>
      <c r="AM603" s="520"/>
      <c r="AN603" s="521"/>
      <c r="AO603" s="520"/>
      <c r="AP603" s="515"/>
      <c r="AQ603" s="522"/>
      <c r="AR603" s="517"/>
      <c r="AS603" s="517"/>
      <c r="AT603" s="515"/>
      <c r="AU603" s="522"/>
      <c r="AV603" s="517"/>
      <c r="AW603" s="523"/>
      <c r="AX603" s="515"/>
      <c r="AY603" s="522"/>
      <c r="AZ603" s="517"/>
      <c r="BA603" s="524"/>
      <c r="BB603" s="520"/>
      <c r="BC603" s="525"/>
      <c r="BD603" s="525"/>
      <c r="BG603" s="527"/>
    </row>
    <row r="606" spans="1:59" s="422" customFormat="1" ht="18" customHeight="1" x14ac:dyDescent="0.2">
      <c r="A606" s="1366">
        <f>C606</f>
        <v>91</v>
      </c>
      <c r="B606" s="742" t="s">
        <v>4187</v>
      </c>
      <c r="C606" s="556">
        <v>91</v>
      </c>
      <c r="D606" s="553" t="str">
        <f>VLOOKUP(C606,RUAS,2,FALSE)</f>
        <v>LUBUK JAMBI - SAIK</v>
      </c>
      <c r="E606" s="553"/>
      <c r="F606" s="421"/>
      <c r="G606" s="611"/>
      <c r="I606" s="423"/>
      <c r="J606" s="424"/>
      <c r="K606" s="424"/>
      <c r="M606" s="680"/>
      <c r="P606" s="611"/>
      <c r="U606" s="611"/>
      <c r="W606" s="611"/>
      <c r="Y606" s="425"/>
      <c r="Z606" s="425"/>
      <c r="AA606" s="425"/>
      <c r="AB606" s="425"/>
      <c r="AC606" s="425"/>
      <c r="AD606" s="563"/>
      <c r="AE606" s="425"/>
      <c r="AF606" s="563"/>
      <c r="AG606" s="425"/>
      <c r="AH606" s="425"/>
      <c r="AI606" s="425"/>
      <c r="AJ606" s="425"/>
      <c r="AK606" s="425"/>
      <c r="AL606" s="425"/>
      <c r="AM606" s="425"/>
      <c r="AN606" s="425"/>
      <c r="AO606" s="425"/>
      <c r="AP606" s="425"/>
      <c r="AQ606" s="425"/>
      <c r="AR606" s="425"/>
      <c r="AS606" s="425"/>
      <c r="AT606" s="425"/>
      <c r="AU606" s="425"/>
      <c r="AV606" s="425"/>
      <c r="AW606" s="425"/>
      <c r="AX606" s="425"/>
      <c r="AY606" s="425"/>
      <c r="AZ606" s="425"/>
      <c r="BA606" s="425"/>
      <c r="BB606" s="425"/>
    </row>
    <row r="607" spans="1:59" s="431" customFormat="1" ht="18" customHeight="1" x14ac:dyDescent="0.2">
      <c r="A607" s="1367"/>
      <c r="B607" s="1968" t="s">
        <v>5</v>
      </c>
      <c r="C607" s="1968" t="s">
        <v>2280</v>
      </c>
      <c r="D607" s="1968" t="s">
        <v>4157</v>
      </c>
      <c r="E607" s="1968" t="s">
        <v>4158</v>
      </c>
      <c r="F607" s="1968"/>
      <c r="G607" s="1969" t="s">
        <v>4159</v>
      </c>
      <c r="H607" s="1968" t="s">
        <v>4160</v>
      </c>
      <c r="I607" s="1968"/>
      <c r="J607" s="1968" t="s">
        <v>4185</v>
      </c>
      <c r="K607" s="1964" t="s">
        <v>4162</v>
      </c>
      <c r="L607" s="1968" t="s">
        <v>4163</v>
      </c>
      <c r="M607" s="1971" t="s">
        <v>4164</v>
      </c>
      <c r="N607" s="1962" t="s">
        <v>4165</v>
      </c>
      <c r="O607" s="1968" t="s">
        <v>4166</v>
      </c>
      <c r="P607" s="1972" t="s">
        <v>4167</v>
      </c>
      <c r="Q607" s="1973"/>
      <c r="R607" s="636" t="s">
        <v>4186</v>
      </c>
      <c r="S607" s="1972" t="s">
        <v>4169</v>
      </c>
      <c r="T607" s="1974"/>
      <c r="U607" s="1973"/>
      <c r="V607" s="1975" t="s">
        <v>4170</v>
      </c>
      <c r="W607" s="1975"/>
      <c r="X607" s="1960" t="s">
        <v>4171</v>
      </c>
      <c r="Y607" s="1959"/>
      <c r="Z607" s="633"/>
      <c r="AA607" s="426"/>
      <c r="AB607" s="426"/>
      <c r="AC607" s="426"/>
      <c r="AD607" s="564"/>
      <c r="AE607" s="426"/>
      <c r="AF607" s="564"/>
      <c r="AG607" s="426"/>
      <c r="AH607" s="426"/>
      <c r="AI607" s="427"/>
      <c r="AJ607" s="427"/>
      <c r="AK607" s="427"/>
      <c r="AL607" s="427"/>
      <c r="AM607" s="428"/>
      <c r="AN607" s="427"/>
      <c r="AO607" s="427"/>
      <c r="AP607" s="426"/>
      <c r="AQ607" s="427"/>
      <c r="AR607" s="427"/>
      <c r="AS607" s="427"/>
      <c r="AT607" s="426"/>
      <c r="AU607" s="427"/>
      <c r="AV607" s="427"/>
      <c r="AW607" s="427"/>
      <c r="AX607" s="426"/>
      <c r="AY607" s="427"/>
      <c r="AZ607" s="427"/>
      <c r="BA607" s="427"/>
      <c r="BB607" s="429"/>
      <c r="BC607" s="430"/>
      <c r="BD607" s="430"/>
    </row>
    <row r="608" spans="1:59" s="431" customFormat="1" ht="18" customHeight="1" x14ac:dyDescent="0.2">
      <c r="A608" s="1367"/>
      <c r="B608" s="1968"/>
      <c r="C608" s="1968"/>
      <c r="D608" s="1968"/>
      <c r="E608" s="1968"/>
      <c r="F608" s="1968"/>
      <c r="G608" s="1969"/>
      <c r="H608" s="1968"/>
      <c r="I608" s="1968"/>
      <c r="J608" s="1968"/>
      <c r="K608" s="1970"/>
      <c r="L608" s="1968"/>
      <c r="M608" s="1971"/>
      <c r="N608" s="1963"/>
      <c r="O608" s="1968"/>
      <c r="P608" s="2037" t="s">
        <v>4172</v>
      </c>
      <c r="Q608" s="1960" t="s">
        <v>4173</v>
      </c>
      <c r="R608" s="1962" t="s">
        <v>4159</v>
      </c>
      <c r="S608" s="1962" t="s">
        <v>4174</v>
      </c>
      <c r="T608" s="1964" t="s">
        <v>4175</v>
      </c>
      <c r="U608" s="1966" t="s">
        <v>4159</v>
      </c>
      <c r="V608" s="1975"/>
      <c r="W608" s="1975"/>
      <c r="X608" s="1976"/>
      <c r="Y608" s="1959"/>
      <c r="Z608" s="633"/>
      <c r="AA608" s="426"/>
      <c r="AB608" s="426"/>
      <c r="AC608" s="426"/>
      <c r="AD608" s="564"/>
      <c r="AE608" s="426"/>
      <c r="AF608" s="564"/>
      <c r="AG608" s="426"/>
      <c r="AH608" s="426"/>
      <c r="AI608" s="427"/>
      <c r="AJ608" s="427"/>
      <c r="AK608" s="426"/>
      <c r="AL608" s="427"/>
      <c r="AM608" s="428"/>
      <c r="AN608" s="427"/>
      <c r="AO608" s="427"/>
      <c r="AP608" s="432"/>
      <c r="AQ608" s="427"/>
      <c r="AR608" s="427"/>
      <c r="AS608" s="427"/>
      <c r="AT608" s="432"/>
      <c r="AU608" s="427"/>
      <c r="AV608" s="427"/>
      <c r="AW608" s="427"/>
      <c r="AX608" s="432"/>
      <c r="AY608" s="427"/>
      <c r="AZ608" s="427"/>
      <c r="BA608" s="427"/>
      <c r="BB608" s="429"/>
      <c r="BC608" s="430"/>
      <c r="BD608" s="430"/>
    </row>
    <row r="609" spans="1:59" s="431" customFormat="1" ht="18" customHeight="1" x14ac:dyDescent="0.2">
      <c r="A609" s="1367"/>
      <c r="B609" s="1968"/>
      <c r="C609" s="1968"/>
      <c r="D609" s="1968"/>
      <c r="E609" s="433" t="s">
        <v>4176</v>
      </c>
      <c r="F609" s="434" t="s">
        <v>2288</v>
      </c>
      <c r="G609" s="1969"/>
      <c r="H609" s="635" t="s">
        <v>2288</v>
      </c>
      <c r="I609" s="635" t="s">
        <v>4177</v>
      </c>
      <c r="J609" s="1968"/>
      <c r="K609" s="1965"/>
      <c r="L609" s="435" t="s">
        <v>2288</v>
      </c>
      <c r="M609" s="681" t="s">
        <v>2288</v>
      </c>
      <c r="N609" s="635" t="s">
        <v>2288</v>
      </c>
      <c r="O609" s="1968"/>
      <c r="P609" s="2038"/>
      <c r="Q609" s="1961"/>
      <c r="R609" s="1963"/>
      <c r="S609" s="1963"/>
      <c r="T609" s="1965"/>
      <c r="U609" s="1967"/>
      <c r="V609" s="635" t="s">
        <v>4178</v>
      </c>
      <c r="W609" s="637" t="s">
        <v>4159</v>
      </c>
      <c r="X609" s="1961"/>
      <c r="Y609" s="436"/>
      <c r="Z609" s="436"/>
      <c r="AA609" s="426"/>
      <c r="AB609" s="426"/>
      <c r="AC609" s="426"/>
      <c r="AD609" s="564"/>
      <c r="AE609" s="426"/>
      <c r="AF609" s="564"/>
      <c r="AG609" s="426"/>
      <c r="AH609" s="426"/>
      <c r="AI609" s="427"/>
      <c r="AJ609" s="432"/>
      <c r="AK609" s="432"/>
      <c r="AL609" s="427"/>
      <c r="AM609" s="428"/>
      <c r="AN609" s="432"/>
      <c r="AO609" s="427"/>
      <c r="AP609" s="432"/>
      <c r="AQ609" s="432"/>
      <c r="AR609" s="427"/>
      <c r="AS609" s="427"/>
      <c r="AT609" s="432"/>
      <c r="AU609" s="432"/>
      <c r="AV609" s="427"/>
      <c r="AW609" s="427"/>
      <c r="AX609" s="432"/>
      <c r="AY609" s="432"/>
      <c r="AZ609" s="427"/>
      <c r="BA609" s="427"/>
      <c r="BB609" s="429"/>
      <c r="BC609" s="430"/>
      <c r="BD609" s="430"/>
    </row>
    <row r="610" spans="1:59" s="461" customFormat="1" ht="18" customHeight="1" x14ac:dyDescent="0.2">
      <c r="A610" s="1368" t="str">
        <f>$D$606&amp;S610</f>
        <v>LUBUK JAMBI - SAIK2012</v>
      </c>
      <c r="B610" s="1373">
        <v>1</v>
      </c>
      <c r="C610" s="532" t="s">
        <v>1262</v>
      </c>
      <c r="D610" s="437" t="s">
        <v>2494</v>
      </c>
      <c r="E610" s="438"/>
      <c r="F610" s="439">
        <v>2012</v>
      </c>
      <c r="G610" s="623">
        <v>11987663158.4603</v>
      </c>
      <c r="H610" s="440">
        <f>VLOOKUP(LEFT(D610,8),UE,4)</f>
        <v>10</v>
      </c>
      <c r="I610" s="441"/>
      <c r="J610" s="442">
        <f>F610+N610-1</f>
        <v>2021</v>
      </c>
      <c r="K610" s="443"/>
      <c r="L610" s="440"/>
      <c r="M610" s="746">
        <f>IF(H610+L610&gt;$H610,$H610-H610,L610)</f>
        <v>0</v>
      </c>
      <c r="N610" s="444">
        <f>H610+M610</f>
        <v>10</v>
      </c>
      <c r="O610" s="442">
        <f>F610+N610-1</f>
        <v>2021</v>
      </c>
      <c r="P610" s="617">
        <f>G610</f>
        <v>11987663158.4603</v>
      </c>
      <c r="Q610" s="445">
        <v>0</v>
      </c>
      <c r="R610" s="445">
        <f>P610/N610</f>
        <v>1198766315.84603</v>
      </c>
      <c r="S610" s="446">
        <f t="shared" ref="S610:S617" si="437">F610</f>
        <v>2012</v>
      </c>
      <c r="T610" s="447">
        <v>1</v>
      </c>
      <c r="U610" s="613">
        <f t="shared" ref="U610:U617" si="438">R610*T610</f>
        <v>1198766315.84603</v>
      </c>
      <c r="V610" s="442">
        <f t="shared" ref="V610:V617" si="439">F610</f>
        <v>2012</v>
      </c>
      <c r="W610" s="617">
        <f>IF(OR(AND(ISBLANK(E610),ISBLANK(G610)),ISTEXT(E610),ISTEXT(G610)),"",G610-R610)</f>
        <v>10788896842.614271</v>
      </c>
      <c r="X610" s="448"/>
      <c r="Y610" s="449"/>
      <c r="Z610" s="449"/>
      <c r="AA610" s="693"/>
      <c r="AB610" s="452"/>
      <c r="AC610" s="452"/>
      <c r="AD610" s="571"/>
      <c r="AE610" s="452"/>
      <c r="AF610" s="571"/>
      <c r="AG610" s="452"/>
      <c r="AH610" s="452"/>
      <c r="AI610" s="453"/>
      <c r="AJ610" s="449"/>
      <c r="AK610" s="453"/>
      <c r="AL610" s="454"/>
      <c r="AM610" s="455"/>
      <c r="AN610" s="456"/>
      <c r="AO610" s="455"/>
      <c r="AP610" s="452"/>
      <c r="AQ610" s="457"/>
      <c r="AR610" s="449"/>
      <c r="AS610" s="449"/>
      <c r="AT610" s="452"/>
      <c r="AU610" s="457"/>
      <c r="AV610" s="449"/>
      <c r="AW610" s="458"/>
      <c r="AX610" s="452"/>
      <c r="AY610" s="457"/>
      <c r="AZ610" s="449"/>
      <c r="BA610" s="459"/>
      <c r="BB610" s="455"/>
      <c r="BC610" s="460"/>
      <c r="BD610" s="460"/>
      <c r="BG610" s="462"/>
    </row>
    <row r="611" spans="1:59" s="461" customFormat="1" ht="18" customHeight="1" x14ac:dyDescent="0.2">
      <c r="A611" s="1368" t="str">
        <f t="shared" ref="A611:A617" si="440">$D$606&amp;S611</f>
        <v>LUBUK JAMBI - SAIK2013</v>
      </c>
      <c r="B611" s="1373"/>
      <c r="C611" s="488"/>
      <c r="D611" s="489"/>
      <c r="E611" s="558"/>
      <c r="F611" s="559">
        <v>2013</v>
      </c>
      <c r="G611" s="619">
        <v>0</v>
      </c>
      <c r="H611" s="464">
        <f t="shared" ref="H611:H617" si="441">IF(N610-(F611-F610)&lt;=0,0,(N610-(F611-F610)))</f>
        <v>9</v>
      </c>
      <c r="I611" s="560"/>
      <c r="J611" s="468">
        <f t="shared" ref="J611:J617" si="442">(F611+N611)-1</f>
        <v>2021</v>
      </c>
      <c r="K611" s="490">
        <f t="shared" ref="K611:K617" si="443">IF(G611=0,0,IF(H611=10,100%,G611/W610))</f>
        <v>0</v>
      </c>
      <c r="L611" s="469">
        <f t="shared" ref="L611:L617" si="444">IF(K611=0%,0,IF(K611&lt;=30%,2,IF(K611&lt;=60%,5,10)))</f>
        <v>0</v>
      </c>
      <c r="M611" s="683">
        <f t="shared" ref="M611:M617" si="445">IF(OR(AND(ISBLANK(E611),ISBLANK(G611)),ISTEXT(E611),ISTEXT(G611)),"",IF(H611+L611&gt;$H$8,$H$8-H611,L611))</f>
        <v>0</v>
      </c>
      <c r="N611" s="470">
        <f t="shared" ref="N611:N617" si="446">IF(OR(AND(ISBLANK(F611),ISBLANK(G611)),ISTEXT(F611),ISTEXT(G611)),"",H611+M611)</f>
        <v>9</v>
      </c>
      <c r="O611" s="468">
        <f t="shared" ref="O611:O617" si="447">(F611+N611)-1</f>
        <v>2021</v>
      </c>
      <c r="P611" s="616">
        <f t="shared" ref="P611:P617" si="448">W610</f>
        <v>10788896842.614271</v>
      </c>
      <c r="Q611" s="472">
        <f t="shared" ref="Q611:Q617" si="449">P611+G611</f>
        <v>10788896842.614271</v>
      </c>
      <c r="R611" s="472">
        <f t="shared" ref="R611:R617" si="450">IF(L611=0,R610,Q611/N611)</f>
        <v>1198766315.84603</v>
      </c>
      <c r="S611" s="754">
        <f t="shared" si="437"/>
        <v>2013</v>
      </c>
      <c r="T611" s="470">
        <f t="shared" ref="T611:T617" si="451">S611-S610</f>
        <v>1</v>
      </c>
      <c r="U611" s="612">
        <f t="shared" si="438"/>
        <v>1198766315.84603</v>
      </c>
      <c r="V611" s="464">
        <f t="shared" si="439"/>
        <v>2013</v>
      </c>
      <c r="W611" s="612">
        <f t="shared" ref="W611:W617" si="452">IF(OR(AND(ISBLANK(E611),ISBLANK(G611)),ISTEXT(E611),ISTEXT(G611)),"",Q611-U611)</f>
        <v>9590130526.7682419</v>
      </c>
      <c r="X611" s="561"/>
      <c r="Y611" s="449"/>
      <c r="Z611" s="449"/>
      <c r="AA611" s="693"/>
      <c r="AB611" s="452"/>
      <c r="AC611" s="452"/>
      <c r="AD611" s="571"/>
      <c r="AE611" s="452"/>
      <c r="AF611" s="571"/>
      <c r="AG611" s="452"/>
      <c r="AH611" s="452"/>
      <c r="AI611" s="453"/>
      <c r="AJ611" s="449"/>
      <c r="AK611" s="453"/>
      <c r="AL611" s="454"/>
      <c r="AM611" s="455"/>
      <c r="AN611" s="456"/>
      <c r="AO611" s="455"/>
      <c r="AP611" s="452"/>
      <c r="AQ611" s="457"/>
      <c r="AR611" s="449"/>
      <c r="AS611" s="449"/>
      <c r="AT611" s="452"/>
      <c r="AU611" s="457"/>
      <c r="AV611" s="449"/>
      <c r="AW611" s="458"/>
      <c r="AX611" s="452"/>
      <c r="AY611" s="457"/>
      <c r="AZ611" s="449"/>
      <c r="BA611" s="459"/>
      <c r="BB611" s="455"/>
      <c r="BC611" s="460"/>
      <c r="BD611" s="460"/>
      <c r="BG611" s="462"/>
    </row>
    <row r="612" spans="1:59" s="461" customFormat="1" ht="18" customHeight="1" x14ac:dyDescent="0.2">
      <c r="A612" s="1368" t="str">
        <f t="shared" si="440"/>
        <v>LUBUK JAMBI - SAIK2014</v>
      </c>
      <c r="B612" s="1373"/>
      <c r="C612" s="488"/>
      <c r="D612" s="489"/>
      <c r="E612" s="558"/>
      <c r="F612" s="559">
        <v>2014</v>
      </c>
      <c r="G612" s="619">
        <v>0</v>
      </c>
      <c r="H612" s="464">
        <f t="shared" si="441"/>
        <v>8</v>
      </c>
      <c r="I612" s="560"/>
      <c r="J612" s="468">
        <f t="shared" si="442"/>
        <v>2021</v>
      </c>
      <c r="K612" s="490">
        <f t="shared" si="443"/>
        <v>0</v>
      </c>
      <c r="L612" s="469">
        <f t="shared" si="444"/>
        <v>0</v>
      </c>
      <c r="M612" s="683">
        <f t="shared" si="445"/>
        <v>0</v>
      </c>
      <c r="N612" s="470">
        <f t="shared" si="446"/>
        <v>8</v>
      </c>
      <c r="O612" s="468">
        <f t="shared" si="447"/>
        <v>2021</v>
      </c>
      <c r="P612" s="616">
        <f t="shared" si="448"/>
        <v>9590130526.7682419</v>
      </c>
      <c r="Q612" s="472">
        <f t="shared" si="449"/>
        <v>9590130526.7682419</v>
      </c>
      <c r="R612" s="472">
        <f t="shared" si="450"/>
        <v>1198766315.84603</v>
      </c>
      <c r="S612" s="754">
        <f t="shared" si="437"/>
        <v>2014</v>
      </c>
      <c r="T612" s="470">
        <f t="shared" si="451"/>
        <v>1</v>
      </c>
      <c r="U612" s="612">
        <f t="shared" si="438"/>
        <v>1198766315.84603</v>
      </c>
      <c r="V612" s="464">
        <f t="shared" si="439"/>
        <v>2014</v>
      </c>
      <c r="W612" s="612">
        <f t="shared" si="452"/>
        <v>8391364210.9222116</v>
      </c>
      <c r="X612" s="561"/>
      <c r="Y612" s="449"/>
      <c r="Z612" s="449"/>
      <c r="AA612" s="693"/>
      <c r="AB612" s="452"/>
      <c r="AC612" s="452"/>
      <c r="AD612" s="571"/>
      <c r="AE612" s="452"/>
      <c r="AF612" s="571"/>
      <c r="AG612" s="452"/>
      <c r="AH612" s="452"/>
      <c r="AI612" s="453"/>
      <c r="AJ612" s="449"/>
      <c r="AK612" s="453"/>
      <c r="AL612" s="454"/>
      <c r="AM612" s="455"/>
      <c r="AN612" s="456"/>
      <c r="AO612" s="455"/>
      <c r="AP612" s="452"/>
      <c r="AQ612" s="457"/>
      <c r="AR612" s="449"/>
      <c r="AS612" s="449"/>
      <c r="AT612" s="452"/>
      <c r="AU612" s="457"/>
      <c r="AV612" s="449"/>
      <c r="AW612" s="458"/>
      <c r="AX612" s="452"/>
      <c r="AY612" s="457"/>
      <c r="AZ612" s="449"/>
      <c r="BA612" s="459"/>
      <c r="BB612" s="455"/>
      <c r="BC612" s="460"/>
      <c r="BD612" s="460"/>
      <c r="BG612" s="462"/>
    </row>
    <row r="613" spans="1:59" s="461" customFormat="1" ht="18" customHeight="1" x14ac:dyDescent="0.2">
      <c r="A613" s="1368" t="str">
        <f t="shared" si="440"/>
        <v>LUBUK JAMBI - SAIK2015</v>
      </c>
      <c r="B613" s="1373"/>
      <c r="C613" s="488"/>
      <c r="D613" s="489"/>
      <c r="E613" s="558"/>
      <c r="F613" s="559">
        <v>2015</v>
      </c>
      <c r="G613" s="619">
        <v>0</v>
      </c>
      <c r="H613" s="464">
        <f t="shared" si="441"/>
        <v>7</v>
      </c>
      <c r="I613" s="560"/>
      <c r="J613" s="468">
        <f t="shared" si="442"/>
        <v>2021</v>
      </c>
      <c r="K613" s="490">
        <f t="shared" si="443"/>
        <v>0</v>
      </c>
      <c r="L613" s="469">
        <f t="shared" si="444"/>
        <v>0</v>
      </c>
      <c r="M613" s="683">
        <f t="shared" si="445"/>
        <v>0</v>
      </c>
      <c r="N613" s="470">
        <f t="shared" si="446"/>
        <v>7</v>
      </c>
      <c r="O613" s="468">
        <f t="shared" si="447"/>
        <v>2021</v>
      </c>
      <c r="P613" s="616">
        <f t="shared" si="448"/>
        <v>8391364210.9222116</v>
      </c>
      <c r="Q613" s="472">
        <f t="shared" si="449"/>
        <v>8391364210.9222116</v>
      </c>
      <c r="R613" s="472">
        <f t="shared" si="450"/>
        <v>1198766315.84603</v>
      </c>
      <c r="S613" s="754">
        <f t="shared" si="437"/>
        <v>2015</v>
      </c>
      <c r="T613" s="470">
        <f t="shared" si="451"/>
        <v>1</v>
      </c>
      <c r="U613" s="612">
        <f t="shared" si="438"/>
        <v>1198766315.84603</v>
      </c>
      <c r="V613" s="464">
        <f t="shared" si="439"/>
        <v>2015</v>
      </c>
      <c r="W613" s="612">
        <f t="shared" si="452"/>
        <v>7192597895.0761814</v>
      </c>
      <c r="X613" s="561"/>
      <c r="Y613" s="449"/>
      <c r="Z613" s="449"/>
      <c r="AA613" s="694"/>
      <c r="AB613" s="692"/>
      <c r="AC613" s="692"/>
      <c r="AD613" s="695"/>
      <c r="AE613" s="452"/>
      <c r="AF613" s="571"/>
      <c r="AG613" s="452"/>
      <c r="AH613" s="452"/>
      <c r="AI613" s="453"/>
      <c r="AJ613" s="449"/>
      <c r="AK613" s="453"/>
      <c r="AL613" s="454"/>
      <c r="AM613" s="455"/>
      <c r="AN613" s="456"/>
      <c r="AO613" s="455"/>
      <c r="AP613" s="452"/>
      <c r="AQ613" s="457"/>
      <c r="AR613" s="449"/>
      <c r="AS613" s="449"/>
      <c r="AT613" s="452"/>
      <c r="AU613" s="457"/>
      <c r="AV613" s="449"/>
      <c r="AW613" s="458"/>
      <c r="AX613" s="452"/>
      <c r="AY613" s="457"/>
      <c r="AZ613" s="449"/>
      <c r="BA613" s="459"/>
      <c r="BB613" s="455"/>
      <c r="BC613" s="460"/>
      <c r="BD613" s="460"/>
      <c r="BG613" s="462"/>
    </row>
    <row r="614" spans="1:59" s="461" customFormat="1" ht="18" customHeight="1" x14ac:dyDescent="0.2">
      <c r="A614" s="1368" t="str">
        <f t="shared" si="440"/>
        <v>LUBUK JAMBI - SAIK2016</v>
      </c>
      <c r="B614" s="1373"/>
      <c r="C614" s="488" t="s">
        <v>1436</v>
      </c>
      <c r="D614" s="489" t="s">
        <v>2494</v>
      </c>
      <c r="E614" s="558"/>
      <c r="F614" s="559">
        <v>2016</v>
      </c>
      <c r="G614" s="619">
        <v>8141572842.6999998</v>
      </c>
      <c r="H614" s="464">
        <f t="shared" si="441"/>
        <v>6</v>
      </c>
      <c r="I614" s="560"/>
      <c r="J614" s="468">
        <f t="shared" si="442"/>
        <v>2025</v>
      </c>
      <c r="K614" s="490">
        <f t="shared" si="443"/>
        <v>1.1319377172848013</v>
      </c>
      <c r="L614" s="469">
        <f t="shared" si="444"/>
        <v>10</v>
      </c>
      <c r="M614" s="683">
        <f t="shared" si="445"/>
        <v>4</v>
      </c>
      <c r="N614" s="470">
        <f t="shared" si="446"/>
        <v>10</v>
      </c>
      <c r="O614" s="468">
        <f t="shared" si="447"/>
        <v>2025</v>
      </c>
      <c r="P614" s="616">
        <f t="shared" si="448"/>
        <v>7192597895.0761814</v>
      </c>
      <c r="Q614" s="472">
        <f t="shared" si="449"/>
        <v>15334170737.77618</v>
      </c>
      <c r="R614" s="472">
        <f t="shared" si="450"/>
        <v>1533417073.7776179</v>
      </c>
      <c r="S614" s="754">
        <f t="shared" si="437"/>
        <v>2016</v>
      </c>
      <c r="T614" s="470">
        <f t="shared" si="451"/>
        <v>1</v>
      </c>
      <c r="U614" s="612">
        <f t="shared" si="438"/>
        <v>1533417073.7776179</v>
      </c>
      <c r="V614" s="464">
        <f t="shared" si="439"/>
        <v>2016</v>
      </c>
      <c r="W614" s="612">
        <f t="shared" si="452"/>
        <v>13800753663.998562</v>
      </c>
      <c r="X614" s="561"/>
      <c r="Y614" s="449"/>
      <c r="Z614" s="449"/>
      <c r="AA614" s="554" t="s">
        <v>4179</v>
      </c>
      <c r="AB614" s="452"/>
      <c r="AC614" s="452"/>
      <c r="AD614" s="566"/>
      <c r="AE614" s="452"/>
      <c r="AF614" s="571"/>
      <c r="AG614" s="452"/>
      <c r="AH614" s="452"/>
      <c r="AI614" s="453"/>
      <c r="AJ614" s="449"/>
      <c r="AK614" s="453"/>
      <c r="AL614" s="454"/>
      <c r="AM614" s="455"/>
      <c r="AN614" s="456"/>
      <c r="AO614" s="455"/>
      <c r="AP614" s="452"/>
      <c r="AQ614" s="457"/>
      <c r="AR614" s="449"/>
      <c r="AS614" s="449"/>
      <c r="AT614" s="452"/>
      <c r="AU614" s="457"/>
      <c r="AV614" s="449"/>
      <c r="AW614" s="458"/>
      <c r="AX614" s="452"/>
      <c r="AY614" s="457"/>
      <c r="AZ614" s="449"/>
      <c r="BA614" s="459"/>
      <c r="BB614" s="455"/>
      <c r="BC614" s="460"/>
      <c r="BD614" s="460"/>
      <c r="BG614" s="462"/>
    </row>
    <row r="615" spans="1:59" s="461" customFormat="1" ht="18" customHeight="1" x14ac:dyDescent="0.2">
      <c r="A615" s="1368" t="str">
        <f t="shared" si="440"/>
        <v>LUBUK JAMBI - SAIK2017</v>
      </c>
      <c r="B615" s="1373"/>
      <c r="C615" s="488"/>
      <c r="D615" s="489"/>
      <c r="E615" s="558"/>
      <c r="F615" s="559">
        <v>2017</v>
      </c>
      <c r="G615" s="619">
        <v>0</v>
      </c>
      <c r="H615" s="464">
        <f t="shared" si="441"/>
        <v>9</v>
      </c>
      <c r="I615" s="560"/>
      <c r="J615" s="468">
        <f t="shared" si="442"/>
        <v>2025</v>
      </c>
      <c r="K615" s="490">
        <f t="shared" si="443"/>
        <v>0</v>
      </c>
      <c r="L615" s="469">
        <f t="shared" si="444"/>
        <v>0</v>
      </c>
      <c r="M615" s="683">
        <f t="shared" si="445"/>
        <v>0</v>
      </c>
      <c r="N615" s="470">
        <f t="shared" si="446"/>
        <v>9</v>
      </c>
      <c r="O615" s="468">
        <f t="shared" si="447"/>
        <v>2025</v>
      </c>
      <c r="P615" s="616">
        <f t="shared" si="448"/>
        <v>13800753663.998562</v>
      </c>
      <c r="Q615" s="472">
        <f t="shared" si="449"/>
        <v>13800753663.998562</v>
      </c>
      <c r="R615" s="472">
        <f t="shared" si="450"/>
        <v>1533417073.7776179</v>
      </c>
      <c r="S615" s="754">
        <f t="shared" si="437"/>
        <v>2017</v>
      </c>
      <c r="T615" s="470">
        <f t="shared" si="451"/>
        <v>1</v>
      </c>
      <c r="U615" s="612">
        <f t="shared" si="438"/>
        <v>1533417073.7776179</v>
      </c>
      <c r="V615" s="464">
        <f t="shared" si="439"/>
        <v>2017</v>
      </c>
      <c r="W615" s="612">
        <f t="shared" si="452"/>
        <v>12267336590.220943</v>
      </c>
      <c r="X615" s="561"/>
      <c r="Y615" s="449"/>
      <c r="Z615" s="449"/>
      <c r="AA615" s="554"/>
      <c r="AB615" s="452"/>
      <c r="AC615" s="452"/>
      <c r="AD615" s="566"/>
      <c r="AE615" s="452"/>
      <c r="AF615" s="571"/>
      <c r="AG615" s="452"/>
      <c r="AH615" s="452"/>
      <c r="AI615" s="453"/>
      <c r="AJ615" s="449"/>
      <c r="AK615" s="453"/>
      <c r="AL615" s="454"/>
      <c r="AM615" s="455"/>
      <c r="AN615" s="456"/>
      <c r="AO615" s="455"/>
      <c r="AP615" s="452"/>
      <c r="AQ615" s="457"/>
      <c r="AR615" s="449"/>
      <c r="AS615" s="449"/>
      <c r="AT615" s="452"/>
      <c r="AU615" s="457"/>
      <c r="AV615" s="449"/>
      <c r="AW615" s="458"/>
      <c r="AX615" s="452"/>
      <c r="AY615" s="457"/>
      <c r="AZ615" s="449"/>
      <c r="BA615" s="459"/>
      <c r="BB615" s="455"/>
      <c r="BC615" s="460"/>
      <c r="BD615" s="460"/>
      <c r="BG615" s="462"/>
    </row>
    <row r="616" spans="1:59" s="486" customFormat="1" ht="18" customHeight="1" x14ac:dyDescent="0.2">
      <c r="A616" s="1368" t="str">
        <f t="shared" si="440"/>
        <v>LUBUK JAMBI - SAIK2018</v>
      </c>
      <c r="B616" s="1373"/>
      <c r="C616" s="463" t="s">
        <v>3337</v>
      </c>
      <c r="D616" s="489" t="s">
        <v>2494</v>
      </c>
      <c r="E616" s="465"/>
      <c r="F616" s="466">
        <v>2018</v>
      </c>
      <c r="G616" s="620">
        <v>5963828226</v>
      </c>
      <c r="H616" s="464">
        <f t="shared" si="441"/>
        <v>8</v>
      </c>
      <c r="I616" s="560"/>
      <c r="J616" s="468">
        <f t="shared" si="442"/>
        <v>2027</v>
      </c>
      <c r="K616" s="490">
        <f t="shared" si="443"/>
        <v>0.48615509830831072</v>
      </c>
      <c r="L616" s="469">
        <f t="shared" si="444"/>
        <v>5</v>
      </c>
      <c r="M616" s="683">
        <f t="shared" si="445"/>
        <v>2</v>
      </c>
      <c r="N616" s="470">
        <f t="shared" si="446"/>
        <v>10</v>
      </c>
      <c r="O616" s="468">
        <f t="shared" si="447"/>
        <v>2027</v>
      </c>
      <c r="P616" s="616">
        <f t="shared" si="448"/>
        <v>12267336590.220943</v>
      </c>
      <c r="Q616" s="472">
        <f t="shared" si="449"/>
        <v>18231164816.220943</v>
      </c>
      <c r="R616" s="472">
        <f t="shared" si="450"/>
        <v>1823116481.6220944</v>
      </c>
      <c r="S616" s="754">
        <f t="shared" si="437"/>
        <v>2018</v>
      </c>
      <c r="T616" s="470">
        <f t="shared" si="451"/>
        <v>1</v>
      </c>
      <c r="U616" s="612">
        <f t="shared" si="438"/>
        <v>1823116481.6220944</v>
      </c>
      <c r="V616" s="464">
        <f t="shared" si="439"/>
        <v>2018</v>
      </c>
      <c r="W616" s="612">
        <f t="shared" si="452"/>
        <v>16408048334.598848</v>
      </c>
      <c r="X616" s="473"/>
      <c r="Y616" s="474"/>
      <c r="Z616" s="449"/>
      <c r="AA616" s="475" t="s">
        <v>4180</v>
      </c>
      <c r="AB616" s="476"/>
      <c r="AC616" s="476"/>
      <c r="AD616" s="567">
        <f>G623</f>
        <v>26093064227.160301</v>
      </c>
      <c r="AE616" s="476"/>
      <c r="AF616" s="568"/>
      <c r="AG616" s="476"/>
      <c r="AH616" s="476"/>
      <c r="AI616" s="477"/>
      <c r="AJ616" s="478"/>
      <c r="AK616" s="479"/>
      <c r="AL616" s="480"/>
      <c r="AM616" s="474"/>
      <c r="AN616" s="481"/>
      <c r="AO616" s="474"/>
      <c r="AP616" s="476"/>
      <c r="AQ616" s="482"/>
      <c r="AR616" s="478"/>
      <c r="AS616" s="478"/>
      <c r="AT616" s="476"/>
      <c r="AU616" s="482"/>
      <c r="AV616" s="478"/>
      <c r="AW616" s="483"/>
      <c r="AX616" s="476"/>
      <c r="AY616" s="482"/>
      <c r="AZ616" s="478"/>
      <c r="BA616" s="484"/>
      <c r="BB616" s="474"/>
      <c r="BC616" s="485"/>
      <c r="BD616" s="485"/>
      <c r="BG616" s="487"/>
    </row>
    <row r="617" spans="1:59" s="486" customFormat="1" ht="18" customHeight="1" x14ac:dyDescent="0.2">
      <c r="A617" s="1368" t="str">
        <f t="shared" si="440"/>
        <v>LUBUK JAMBI - SAIK2019</v>
      </c>
      <c r="B617" s="1373"/>
      <c r="C617" s="488"/>
      <c r="D617" s="489"/>
      <c r="E617" s="465"/>
      <c r="F617" s="466">
        <v>2019</v>
      </c>
      <c r="G617" s="620">
        <v>0</v>
      </c>
      <c r="H617" s="464">
        <f t="shared" si="441"/>
        <v>9</v>
      </c>
      <c r="I617" s="560"/>
      <c r="J617" s="468">
        <f t="shared" si="442"/>
        <v>2027</v>
      </c>
      <c r="K617" s="490">
        <f t="shared" si="443"/>
        <v>0</v>
      </c>
      <c r="L617" s="469">
        <f t="shared" si="444"/>
        <v>0</v>
      </c>
      <c r="M617" s="683">
        <f t="shared" si="445"/>
        <v>0</v>
      </c>
      <c r="N617" s="470">
        <f t="shared" si="446"/>
        <v>9</v>
      </c>
      <c r="O617" s="468">
        <f t="shared" si="447"/>
        <v>2027</v>
      </c>
      <c r="P617" s="616">
        <f t="shared" si="448"/>
        <v>16408048334.598848</v>
      </c>
      <c r="Q617" s="472">
        <f t="shared" si="449"/>
        <v>16408048334.598848</v>
      </c>
      <c r="R617" s="472">
        <f t="shared" si="450"/>
        <v>1823116481.6220944</v>
      </c>
      <c r="S617" s="1189">
        <f t="shared" si="437"/>
        <v>2019</v>
      </c>
      <c r="T617" s="470">
        <f t="shared" si="451"/>
        <v>1</v>
      </c>
      <c r="U617" s="612">
        <f t="shared" si="438"/>
        <v>1823116481.6220944</v>
      </c>
      <c r="V617" s="464">
        <f t="shared" si="439"/>
        <v>2019</v>
      </c>
      <c r="W617" s="612">
        <f t="shared" si="452"/>
        <v>14584931852.976753</v>
      </c>
      <c r="X617" s="473"/>
      <c r="Y617" s="478"/>
      <c r="Z617" s="449"/>
      <c r="AA617" s="475" t="s">
        <v>4181</v>
      </c>
      <c r="AB617" s="491"/>
      <c r="AC617" s="491"/>
      <c r="AD617" s="567">
        <f>U623</f>
        <v>11508132374.183546</v>
      </c>
      <c r="AE617" s="491"/>
      <c r="AF617" s="568"/>
      <c r="AG617" s="491"/>
      <c r="AH617" s="491"/>
      <c r="AI617" s="477"/>
      <c r="AJ617" s="478"/>
      <c r="AK617" s="479"/>
      <c r="AL617" s="480"/>
      <c r="AM617" s="474"/>
      <c r="AN617" s="481"/>
      <c r="AO617" s="474"/>
      <c r="AP617" s="476"/>
      <c r="AQ617" s="482"/>
      <c r="AR617" s="478"/>
      <c r="AS617" s="478"/>
      <c r="AT617" s="476"/>
      <c r="AU617" s="482"/>
      <c r="AV617" s="478"/>
      <c r="AW617" s="483"/>
      <c r="AX617" s="476"/>
      <c r="AY617" s="482"/>
      <c r="AZ617" s="478"/>
      <c r="BA617" s="484"/>
      <c r="BB617" s="474"/>
      <c r="BC617" s="485"/>
      <c r="BD617" s="485"/>
      <c r="BG617" s="487"/>
    </row>
    <row r="618" spans="1:59" s="486" customFormat="1" ht="18" customHeight="1" x14ac:dyDescent="0.2">
      <c r="A618" s="1368" t="str">
        <f>LEFT(D618,8)</f>
        <v/>
      </c>
      <c r="B618" s="1373"/>
      <c r="C618" s="463"/>
      <c r="D618" s="489"/>
      <c r="E618" s="465"/>
      <c r="F618" s="466"/>
      <c r="G618" s="620"/>
      <c r="H618" s="464"/>
      <c r="I618" s="467"/>
      <c r="J618" s="468"/>
      <c r="K618" s="574"/>
      <c r="L618" s="469"/>
      <c r="M618" s="683"/>
      <c r="N618" s="470"/>
      <c r="O618" s="468"/>
      <c r="P618" s="616"/>
      <c r="Q618" s="472"/>
      <c r="R618" s="472"/>
      <c r="S618" s="634"/>
      <c r="T618" s="470"/>
      <c r="U618" s="612"/>
      <c r="V618" s="464"/>
      <c r="W618" s="612"/>
      <c r="X618" s="473"/>
      <c r="Y618" s="478"/>
      <c r="Z618" s="449"/>
      <c r="AA618" s="492" t="s">
        <v>4182</v>
      </c>
      <c r="AB618" s="476"/>
      <c r="AC618" s="476"/>
      <c r="AD618" s="567">
        <f>AD616-AD617</f>
        <v>14584931852.976755</v>
      </c>
      <c r="AE618" s="476"/>
      <c r="AF618" s="568"/>
      <c r="AG618" s="476"/>
      <c r="AH618" s="476"/>
      <c r="AI618" s="477"/>
      <c r="AJ618" s="478"/>
      <c r="AK618" s="479"/>
      <c r="AL618" s="480"/>
      <c r="AM618" s="474"/>
      <c r="AN618" s="481"/>
      <c r="AO618" s="474"/>
      <c r="AP618" s="476"/>
      <c r="AQ618" s="482"/>
      <c r="AR618" s="478"/>
      <c r="AS618" s="478"/>
      <c r="AT618" s="476"/>
      <c r="AU618" s="482"/>
      <c r="AV618" s="478"/>
      <c r="AW618" s="483"/>
      <c r="AX618" s="476"/>
      <c r="AY618" s="482"/>
      <c r="AZ618" s="478"/>
      <c r="BA618" s="484"/>
      <c r="BB618" s="474"/>
      <c r="BC618" s="485"/>
      <c r="BD618" s="485"/>
      <c r="BG618" s="487"/>
    </row>
    <row r="619" spans="1:59" s="486" customFormat="1" ht="18" customHeight="1" x14ac:dyDescent="0.2">
      <c r="A619" s="1368" t="str">
        <f>LEFT(D619,8)</f>
        <v/>
      </c>
      <c r="B619" s="687"/>
      <c r="C619" s="463"/>
      <c r="D619" s="489"/>
      <c r="E619" s="465"/>
      <c r="F619" s="466"/>
      <c r="G619" s="620"/>
      <c r="H619" s="464"/>
      <c r="I619" s="467"/>
      <c r="J619" s="468"/>
      <c r="K619" s="574"/>
      <c r="L619" s="469"/>
      <c r="M619" s="683"/>
      <c r="N619" s="470"/>
      <c r="O619" s="468"/>
      <c r="P619" s="616"/>
      <c r="Q619" s="472"/>
      <c r="R619" s="472"/>
      <c r="S619" s="634"/>
      <c r="T619" s="470"/>
      <c r="U619" s="612"/>
      <c r="V619" s="464"/>
      <c r="W619" s="612"/>
      <c r="X619" s="473"/>
      <c r="Y619" s="478"/>
      <c r="Z619" s="449"/>
      <c r="AA619" s="531" t="s">
        <v>4183</v>
      </c>
      <c r="AB619" s="496"/>
      <c r="AC619" s="496"/>
      <c r="AD619" s="569">
        <f>AD618-W623</f>
        <v>0</v>
      </c>
      <c r="AE619" s="476"/>
      <c r="AF619" s="568"/>
      <c r="AG619" s="476"/>
      <c r="AH619" s="476"/>
      <c r="AI619" s="477"/>
      <c r="AJ619" s="478"/>
      <c r="AK619" s="479"/>
      <c r="AL619" s="480"/>
      <c r="AM619" s="474"/>
      <c r="AN619" s="481"/>
      <c r="AO619" s="474"/>
      <c r="AP619" s="476"/>
      <c r="AQ619" s="482"/>
      <c r="AR619" s="478"/>
      <c r="AS619" s="478"/>
      <c r="AT619" s="476"/>
      <c r="AU619" s="482"/>
      <c r="AV619" s="478"/>
      <c r="AW619" s="483"/>
      <c r="AX619" s="476"/>
      <c r="AY619" s="482"/>
      <c r="AZ619" s="478"/>
      <c r="BA619" s="484"/>
      <c r="BB619" s="474"/>
      <c r="BC619" s="485"/>
      <c r="BD619" s="485"/>
      <c r="BG619" s="487"/>
    </row>
    <row r="620" spans="1:59" s="486" customFormat="1" ht="18" customHeight="1" x14ac:dyDescent="0.2">
      <c r="A620" s="1368" t="str">
        <f>LEFT(D620,8)</f>
        <v/>
      </c>
      <c r="B620" s="687"/>
      <c r="C620" s="463"/>
      <c r="D620" s="489"/>
      <c r="E620" s="465"/>
      <c r="F620" s="466"/>
      <c r="G620" s="620"/>
      <c r="H620" s="557"/>
      <c r="I620" s="467"/>
      <c r="J620" s="468"/>
      <c r="K620" s="490"/>
      <c r="L620" s="469"/>
      <c r="M620" s="683"/>
      <c r="N620" s="470"/>
      <c r="O620" s="468"/>
      <c r="P620" s="616"/>
      <c r="Q620" s="472"/>
      <c r="R620" s="472"/>
      <c r="S620" s="634"/>
      <c r="T620" s="470"/>
      <c r="U620" s="612"/>
      <c r="V620" s="464"/>
      <c r="W620" s="612"/>
      <c r="X620" s="473"/>
      <c r="Y620" s="497"/>
      <c r="Z620" s="449"/>
      <c r="AA620" s="497"/>
      <c r="AB620" s="476"/>
      <c r="AC620" s="497"/>
      <c r="AD620" s="568"/>
      <c r="AE620" s="476"/>
      <c r="AF620" s="568"/>
      <c r="AG620" s="476"/>
      <c r="AH620" s="476"/>
      <c r="AI620" s="477"/>
      <c r="AJ620" s="478"/>
      <c r="AK620" s="479"/>
      <c r="AL620" s="480"/>
      <c r="AM620" s="474"/>
      <c r="AN620" s="481"/>
      <c r="AO620" s="474"/>
      <c r="AP620" s="476"/>
      <c r="AQ620" s="482"/>
      <c r="AR620" s="478"/>
      <c r="AS620" s="478"/>
      <c r="AT620" s="476"/>
      <c r="AU620" s="482"/>
      <c r="AV620" s="478"/>
      <c r="AW620" s="483"/>
      <c r="AX620" s="476"/>
      <c r="AY620" s="482"/>
      <c r="AZ620" s="478"/>
      <c r="BA620" s="484"/>
      <c r="BB620" s="474"/>
      <c r="BC620" s="485"/>
      <c r="BD620" s="485"/>
      <c r="BG620" s="487"/>
    </row>
    <row r="621" spans="1:59" s="486" customFormat="1" ht="18" customHeight="1" x14ac:dyDescent="0.2">
      <c r="A621" s="1368"/>
      <c r="B621" s="687"/>
      <c r="C621" s="463"/>
      <c r="D621" s="489"/>
      <c r="E621" s="465"/>
      <c r="F621" s="466"/>
      <c r="G621" s="620"/>
      <c r="H621" s="464"/>
      <c r="I621" s="467"/>
      <c r="J621" s="468"/>
      <c r="K621" s="490"/>
      <c r="L621" s="469"/>
      <c r="M621" s="683"/>
      <c r="N621" s="470"/>
      <c r="O621" s="468"/>
      <c r="P621" s="616"/>
      <c r="Q621" s="472"/>
      <c r="R621" s="472"/>
      <c r="S621" s="634"/>
      <c r="T621" s="470"/>
      <c r="U621" s="612"/>
      <c r="V621" s="464"/>
      <c r="W621" s="612"/>
      <c r="X621" s="473"/>
      <c r="Y621" s="497"/>
      <c r="Z621" s="449"/>
      <c r="AA621" s="497"/>
      <c r="AB621" s="476"/>
      <c r="AC621" s="497"/>
      <c r="AD621" s="568"/>
      <c r="AE621" s="476"/>
      <c r="AF621" s="568"/>
      <c r="AG621" s="476"/>
      <c r="AH621" s="476"/>
      <c r="AI621" s="477"/>
      <c r="AJ621" s="478"/>
      <c r="AK621" s="479"/>
      <c r="AL621" s="480"/>
      <c r="AM621" s="474"/>
      <c r="AN621" s="481"/>
      <c r="AO621" s="474"/>
      <c r="AP621" s="476"/>
      <c r="AQ621" s="482"/>
      <c r="AR621" s="478"/>
      <c r="AS621" s="478"/>
      <c r="AT621" s="476"/>
      <c r="AU621" s="482"/>
      <c r="AV621" s="478"/>
      <c r="AW621" s="483"/>
      <c r="AX621" s="476"/>
      <c r="AY621" s="482"/>
      <c r="AZ621" s="478"/>
      <c r="BA621" s="484"/>
      <c r="BB621" s="474"/>
      <c r="BC621" s="485"/>
      <c r="BD621" s="485"/>
      <c r="BG621" s="487"/>
    </row>
    <row r="622" spans="1:59" s="486" customFormat="1" ht="18" customHeight="1" x14ac:dyDescent="0.2">
      <c r="A622" s="1369"/>
      <c r="B622" s="687"/>
      <c r="C622" s="463"/>
      <c r="D622" s="464"/>
      <c r="E622" s="465"/>
      <c r="F622" s="634"/>
      <c r="G622" s="620"/>
      <c r="H622" s="469" t="str">
        <f>IF(OR(AND(ISBLANK(E622),ISBLANK(G622)),ISTEXT(E622),ISTEXT(G622)),"",IF(#REF!-(YEAR(E622)-YEAR(#REF!))&lt;0,0,#REF!-(YEAR(E622)-YEAR(#REF!))))</f>
        <v/>
      </c>
      <c r="I622" s="467" t="str">
        <f>IF(OR(AND(ISBLANK(E622),ISBLANK(G622)),ISTEXT(E622),ISTEXT(G622)),"",IF(#REF!-E622&lt;0,0,#REF!-E622))</f>
        <v/>
      </c>
      <c r="J622" s="498" t="str">
        <f>IF(OR(AND(ISBLANK(E622),ISBLANK(G622)),ISTEXT(E622),ISTEXT(G622)),"",#REF!)</f>
        <v/>
      </c>
      <c r="K622" s="498"/>
      <c r="L622" s="469" t="str">
        <f>IF(OR(AND(ISBLANK(E622),ISBLANK(G622)),ISTEXT(E622),ISTEXT(G622)),"",ROUNDDOWN(G622/SUM($G$57:G619)*$H$57,0))</f>
        <v/>
      </c>
      <c r="M622" s="683" t="str">
        <f>IF(OR(AND(ISBLANK(E622),ISBLANK(G622)),ISTEXT(E622),ISTEXT(G622)),"",IF(H622+L622&gt;$H$57,$H$57-H622,L622))</f>
        <v/>
      </c>
      <c r="N622" s="470" t="str">
        <f>IF(OR(AND(ISBLANK(E622),ISBLANK(G622)),ISTEXT(E622),ISTEXT(G622)),"",H622+M622)</f>
        <v/>
      </c>
      <c r="O622" s="498" t="str">
        <f>IF(OR(AND(ISBLANK(E622),ISBLANK(G622)),ISTEXT(E622),ISTEXT(G622)),"",DATE(YEAR($J622)+M622,MONTH($J622),DAY($J622)))</f>
        <v/>
      </c>
      <c r="P622" s="748" t="str">
        <f>IF(OR(AND(ISBLANK(E622),ISBLANK(G622)),ISTEXT(E622),ISTEXT(G622)),"",#REF!-#REF!*(IF(J622&lt;E622,J622,E622)-#REF!))</f>
        <v/>
      </c>
      <c r="Q622" s="500" t="str">
        <f>IF(OR(AND(ISBLANK(E622),ISBLANK(G622)),ISTEXT(E622),ISTEXT(G622)),"",P622+G622)</f>
        <v/>
      </c>
      <c r="R622" s="501" t="str">
        <f>IF(OR(AND(ISBLANK(E622),ISBLANK(G622)),ISTEXT(E622),ISTEXT(G622)),"",IF(OR(E622&lt;DATE(2004,12,31),#REF!=0),0,Q622/#REF!))</f>
        <v/>
      </c>
      <c r="S622" s="502" t="str">
        <f>IF(OR(AND(ISBLANK(E622),ISBLANK(G622)),ISTEXT(E622),ISTEXT(G622)),"",IF(YEAR(E622)&lt;=YEAR(#REF!),"-",YEAR(E622)-1))</f>
        <v/>
      </c>
      <c r="T622" s="502"/>
      <c r="U622" s="612" t="str">
        <f>IF(OR(AND(ISBLANK(E622),ISBLANK(G622)),ISTEXT(E622),ISTEXT(G622)),"",IF(AND(J622&lt;=DATE(2004,12,31),E622&gt;J622),SUM($G622:G622),#REF!+#REF!+#REF!*IF(YEAR(E622)&lt;=YEAR(#REF!),0,(IF(DATE(YEAR(E622)-1,12,31)&gt;J622,J622,DATE(YEAR(E622)-1,12,31))-#REF!))))</f>
        <v/>
      </c>
      <c r="V622" s="503" t="str">
        <f>IF(OR(AND(ISBLANK(E622),ISBLANK(G622)),ISTEXT(E622),ISTEXT(G622)),"",IF(YEAR(E622)=YEAR(E623),E623,DATE(YEAR(E622),12,31)))</f>
        <v/>
      </c>
      <c r="W622" s="612" t="str">
        <f>IF(OR(AND(ISBLANK(E622),ISBLANK(G622)),ISTEXT(E622),ISTEXT(G622)),"",IF(Q622=0,0,IF(AND(J622&lt;=DATE(2004,12,31),E622&gt;=J622),Q622-U622,Q622-#REF!)))</f>
        <v/>
      </c>
      <c r="X622" s="504" t="str">
        <f>IF(OR(AND(ISBLANK(E622),ISBLANK(G622)),ISTEXT(E622),ISTEXT(G622)),"",$D$57&amp;"//"&amp;TEXT($E$57,"dd-mmm-yyyy")&amp;"//"&amp;#REF!)</f>
        <v/>
      </c>
      <c r="Y622" s="476"/>
      <c r="Z622" s="476"/>
      <c r="AA622" s="476"/>
      <c r="AB622" s="476"/>
      <c r="AC622" s="476"/>
      <c r="AD622" s="568"/>
      <c r="AE622" s="476"/>
      <c r="AF622" s="568"/>
      <c r="AG622" s="476"/>
      <c r="AH622" s="476"/>
      <c r="AI622" s="477"/>
      <c r="AJ622" s="478"/>
      <c r="AK622" s="479"/>
      <c r="AL622" s="480"/>
      <c r="AM622" s="474"/>
      <c r="AN622" s="481"/>
      <c r="AO622" s="474"/>
      <c r="AP622" s="476"/>
      <c r="AQ622" s="482"/>
      <c r="AR622" s="478"/>
      <c r="AS622" s="478"/>
      <c r="AT622" s="476"/>
      <c r="AU622" s="482"/>
      <c r="AV622" s="478"/>
      <c r="AW622" s="483"/>
      <c r="AX622" s="476"/>
      <c r="AY622" s="482"/>
      <c r="AZ622" s="478"/>
      <c r="BA622" s="484"/>
      <c r="BB622" s="474"/>
      <c r="BC622" s="485"/>
      <c r="BD622" s="485"/>
      <c r="BG622" s="487"/>
    </row>
    <row r="623" spans="1:59" s="526" customFormat="1" ht="18" customHeight="1" x14ac:dyDescent="0.2">
      <c r="A623" s="1370" t="s">
        <v>4184</v>
      </c>
      <c r="B623" s="1956" t="s">
        <v>4184</v>
      </c>
      <c r="C623" s="1957"/>
      <c r="D623" s="1957"/>
      <c r="E623" s="1957"/>
      <c r="F623" s="1958"/>
      <c r="G623" s="624">
        <f>SUM(G610:G622)</f>
        <v>26093064227.160301</v>
      </c>
      <c r="H623" s="505"/>
      <c r="I623" s="506"/>
      <c r="J623" s="507"/>
      <c r="K623" s="507"/>
      <c r="L623" s="505"/>
      <c r="M623" s="684"/>
      <c r="N623" s="508"/>
      <c r="O623" s="507"/>
      <c r="P623" s="749"/>
      <c r="Q623" s="510"/>
      <c r="R623" s="511"/>
      <c r="S623" s="512"/>
      <c r="T623" s="512"/>
      <c r="U623" s="610">
        <f>SUM(U610:U622)</f>
        <v>11508132374.183546</v>
      </c>
      <c r="V623" s="513"/>
      <c r="W623" s="610">
        <f>G623-U623</f>
        <v>14584931852.976755</v>
      </c>
      <c r="X623" s="514"/>
      <c r="Y623" s="515"/>
      <c r="Z623" s="515"/>
      <c r="AA623" s="515"/>
      <c r="AB623" s="515"/>
      <c r="AC623" s="515"/>
      <c r="AD623" s="570"/>
      <c r="AE623" s="515"/>
      <c r="AF623" s="570">
        <v>13434142513.25548</v>
      </c>
      <c r="AG623" s="515"/>
      <c r="AH623" s="515"/>
      <c r="AI623" s="516"/>
      <c r="AJ623" s="517"/>
      <c r="AK623" s="518"/>
      <c r="AL623" s="519"/>
      <c r="AM623" s="520"/>
      <c r="AN623" s="521"/>
      <c r="AO623" s="520"/>
      <c r="AP623" s="515"/>
      <c r="AQ623" s="522"/>
      <c r="AR623" s="517"/>
      <c r="AS623" s="517"/>
      <c r="AT623" s="515"/>
      <c r="AU623" s="522"/>
      <c r="AV623" s="517"/>
      <c r="AW623" s="523"/>
      <c r="AX623" s="515"/>
      <c r="AY623" s="522"/>
      <c r="AZ623" s="517"/>
      <c r="BA623" s="524"/>
      <c r="BB623" s="520"/>
      <c r="BC623" s="525"/>
      <c r="BD623" s="525"/>
      <c r="BG623" s="527"/>
    </row>
    <row r="626" spans="1:59" s="422" customFormat="1" ht="18" customHeight="1" x14ac:dyDescent="0.2">
      <c r="A626" s="1366">
        <f>C626</f>
        <v>92</v>
      </c>
      <c r="B626" s="742" t="s">
        <v>4187</v>
      </c>
      <c r="C626" s="556">
        <v>92</v>
      </c>
      <c r="D626" s="553" t="str">
        <f>VLOOKUP(C626,RUAS,2,FALSE)</f>
        <v>SIMP. 4 PANGKALAN - MUARA PETAI</v>
      </c>
      <c r="E626" s="553"/>
      <c r="F626" s="421"/>
      <c r="G626" s="611"/>
      <c r="I626" s="423"/>
      <c r="J626" s="424"/>
      <c r="K626" s="424"/>
      <c r="M626" s="680"/>
      <c r="P626" s="611"/>
      <c r="U626" s="611"/>
      <c r="W626" s="611"/>
      <c r="Y626" s="425"/>
      <c r="Z626" s="425"/>
      <c r="AA626" s="425"/>
      <c r="AB626" s="425"/>
      <c r="AC626" s="425"/>
      <c r="AD626" s="563"/>
      <c r="AE626" s="425"/>
      <c r="AF626" s="563"/>
      <c r="AG626" s="425"/>
      <c r="AH626" s="425"/>
      <c r="AI626" s="425"/>
      <c r="AJ626" s="425"/>
      <c r="AK626" s="425"/>
      <c r="AL626" s="425"/>
      <c r="AM626" s="425"/>
      <c r="AN626" s="425"/>
      <c r="AO626" s="425"/>
      <c r="AP626" s="425"/>
      <c r="AQ626" s="425"/>
      <c r="AR626" s="425"/>
      <c r="AS626" s="425"/>
      <c r="AT626" s="425"/>
      <c r="AU626" s="425"/>
      <c r="AV626" s="425"/>
      <c r="AW626" s="425"/>
      <c r="AX626" s="425"/>
      <c r="AY626" s="425"/>
      <c r="AZ626" s="425"/>
      <c r="BA626" s="425"/>
      <c r="BB626" s="425"/>
    </row>
    <row r="627" spans="1:59" s="431" customFormat="1" ht="18" customHeight="1" x14ac:dyDescent="0.2">
      <c r="A627" s="1367"/>
      <c r="B627" s="1968" t="s">
        <v>5</v>
      </c>
      <c r="C627" s="1968" t="s">
        <v>2280</v>
      </c>
      <c r="D627" s="1968" t="s">
        <v>4157</v>
      </c>
      <c r="E627" s="1968" t="s">
        <v>4158</v>
      </c>
      <c r="F627" s="1968"/>
      <c r="G627" s="1969" t="s">
        <v>4159</v>
      </c>
      <c r="H627" s="1968" t="s">
        <v>4160</v>
      </c>
      <c r="I627" s="1968"/>
      <c r="J627" s="1968" t="s">
        <v>4185</v>
      </c>
      <c r="K627" s="1964" t="s">
        <v>4162</v>
      </c>
      <c r="L627" s="1968" t="s">
        <v>4163</v>
      </c>
      <c r="M627" s="1971" t="s">
        <v>4164</v>
      </c>
      <c r="N627" s="1962" t="s">
        <v>4165</v>
      </c>
      <c r="O627" s="1968" t="s">
        <v>4166</v>
      </c>
      <c r="P627" s="1972" t="s">
        <v>4167</v>
      </c>
      <c r="Q627" s="1973"/>
      <c r="R627" s="636" t="s">
        <v>4186</v>
      </c>
      <c r="S627" s="1972" t="s">
        <v>4169</v>
      </c>
      <c r="T627" s="1974"/>
      <c r="U627" s="1973"/>
      <c r="V627" s="1975" t="s">
        <v>4170</v>
      </c>
      <c r="W627" s="1975"/>
      <c r="X627" s="1960" t="s">
        <v>4171</v>
      </c>
      <c r="Y627" s="1959"/>
      <c r="Z627" s="633"/>
      <c r="AA627" s="426"/>
      <c r="AB627" s="426"/>
      <c r="AC627" s="426"/>
      <c r="AD627" s="564"/>
      <c r="AE627" s="426"/>
      <c r="AF627" s="564"/>
      <c r="AG627" s="426"/>
      <c r="AH627" s="426"/>
      <c r="AI627" s="427"/>
      <c r="AJ627" s="427"/>
      <c r="AK627" s="427"/>
      <c r="AL627" s="427"/>
      <c r="AM627" s="428"/>
      <c r="AN627" s="427"/>
      <c r="AO627" s="427"/>
      <c r="AP627" s="426"/>
      <c r="AQ627" s="427"/>
      <c r="AR627" s="427"/>
      <c r="AS627" s="427"/>
      <c r="AT627" s="426"/>
      <c r="AU627" s="427"/>
      <c r="AV627" s="427"/>
      <c r="AW627" s="427"/>
      <c r="AX627" s="426"/>
      <c r="AY627" s="427"/>
      <c r="AZ627" s="427"/>
      <c r="BA627" s="427"/>
      <c r="BB627" s="429"/>
      <c r="BC627" s="430"/>
      <c r="BD627" s="430"/>
    </row>
    <row r="628" spans="1:59" s="431" customFormat="1" ht="18" customHeight="1" x14ac:dyDescent="0.2">
      <c r="A628" s="1367"/>
      <c r="B628" s="1968"/>
      <c r="C628" s="1968"/>
      <c r="D628" s="1968"/>
      <c r="E628" s="1968"/>
      <c r="F628" s="1968"/>
      <c r="G628" s="1969"/>
      <c r="H628" s="1968"/>
      <c r="I628" s="1968"/>
      <c r="J628" s="1968"/>
      <c r="K628" s="1970"/>
      <c r="L628" s="1968"/>
      <c r="M628" s="1971"/>
      <c r="N628" s="1963"/>
      <c r="O628" s="1968"/>
      <c r="P628" s="2037" t="s">
        <v>4172</v>
      </c>
      <c r="Q628" s="1960" t="s">
        <v>4173</v>
      </c>
      <c r="R628" s="1962" t="s">
        <v>4159</v>
      </c>
      <c r="S628" s="1962" t="s">
        <v>4174</v>
      </c>
      <c r="T628" s="1964" t="s">
        <v>4175</v>
      </c>
      <c r="U628" s="1966" t="s">
        <v>4159</v>
      </c>
      <c r="V628" s="1975"/>
      <c r="W628" s="1975"/>
      <c r="X628" s="1976"/>
      <c r="Y628" s="1959"/>
      <c r="Z628" s="633"/>
      <c r="AA628" s="426"/>
      <c r="AB628" s="426"/>
      <c r="AC628" s="426"/>
      <c r="AD628" s="564"/>
      <c r="AE628" s="426"/>
      <c r="AF628" s="564"/>
      <c r="AG628" s="426"/>
      <c r="AH628" s="426"/>
      <c r="AI628" s="427"/>
      <c r="AJ628" s="427"/>
      <c r="AK628" s="426"/>
      <c r="AL628" s="427"/>
      <c r="AM628" s="428"/>
      <c r="AN628" s="427"/>
      <c r="AO628" s="427"/>
      <c r="AP628" s="432"/>
      <c r="AQ628" s="427"/>
      <c r="AR628" s="427"/>
      <c r="AS628" s="427"/>
      <c r="AT628" s="432"/>
      <c r="AU628" s="427"/>
      <c r="AV628" s="427"/>
      <c r="AW628" s="427"/>
      <c r="AX628" s="432"/>
      <c r="AY628" s="427"/>
      <c r="AZ628" s="427"/>
      <c r="BA628" s="427"/>
      <c r="BB628" s="429"/>
      <c r="BC628" s="430"/>
      <c r="BD628" s="430"/>
    </row>
    <row r="629" spans="1:59" s="431" customFormat="1" ht="18" customHeight="1" x14ac:dyDescent="0.2">
      <c r="A629" s="1367"/>
      <c r="B629" s="1968"/>
      <c r="C629" s="1968"/>
      <c r="D629" s="1968"/>
      <c r="E629" s="433" t="s">
        <v>4176</v>
      </c>
      <c r="F629" s="434" t="s">
        <v>2288</v>
      </c>
      <c r="G629" s="1969"/>
      <c r="H629" s="635" t="s">
        <v>2288</v>
      </c>
      <c r="I629" s="635" t="s">
        <v>4177</v>
      </c>
      <c r="J629" s="1968"/>
      <c r="K629" s="1965"/>
      <c r="L629" s="435" t="s">
        <v>2288</v>
      </c>
      <c r="M629" s="681" t="s">
        <v>2288</v>
      </c>
      <c r="N629" s="635" t="s">
        <v>2288</v>
      </c>
      <c r="O629" s="1968"/>
      <c r="P629" s="2038"/>
      <c r="Q629" s="1961"/>
      <c r="R629" s="1963"/>
      <c r="S629" s="1963"/>
      <c r="T629" s="1965"/>
      <c r="U629" s="1967"/>
      <c r="V629" s="635" t="s">
        <v>4178</v>
      </c>
      <c r="W629" s="637" t="s">
        <v>4159</v>
      </c>
      <c r="X629" s="1961"/>
      <c r="Y629" s="436"/>
      <c r="Z629" s="436"/>
      <c r="AA629" s="426"/>
      <c r="AB629" s="426"/>
      <c r="AC629" s="426"/>
      <c r="AD629" s="564"/>
      <c r="AE629" s="426"/>
      <c r="AF629" s="564"/>
      <c r="AG629" s="426"/>
      <c r="AH629" s="426"/>
      <c r="AI629" s="427"/>
      <c r="AJ629" s="432"/>
      <c r="AK629" s="432"/>
      <c r="AL629" s="427"/>
      <c r="AM629" s="428"/>
      <c r="AN629" s="432"/>
      <c r="AO629" s="427"/>
      <c r="AP629" s="432"/>
      <c r="AQ629" s="432"/>
      <c r="AR629" s="427"/>
      <c r="AS629" s="427"/>
      <c r="AT629" s="432"/>
      <c r="AU629" s="432"/>
      <c r="AV629" s="427"/>
      <c r="AW629" s="427"/>
      <c r="AX629" s="432"/>
      <c r="AY629" s="432"/>
      <c r="AZ629" s="427"/>
      <c r="BA629" s="427"/>
      <c r="BB629" s="429"/>
      <c r="BC629" s="430"/>
      <c r="BD629" s="430"/>
    </row>
    <row r="630" spans="1:59" s="461" customFormat="1" ht="18" customHeight="1" x14ac:dyDescent="0.2">
      <c r="A630" s="1368" t="str">
        <f>$D$626&amp;S630</f>
        <v>SIMP. 4 PANGKALAN - MUARA PETAI2007</v>
      </c>
      <c r="B630" s="1373">
        <v>1</v>
      </c>
      <c r="C630" s="532" t="s">
        <v>5053</v>
      </c>
      <c r="D630" s="437" t="s">
        <v>2494</v>
      </c>
      <c r="E630" s="438"/>
      <c r="F630" s="439">
        <v>2007</v>
      </c>
      <c r="G630" s="623">
        <v>318168883.04212302</v>
      </c>
      <c r="H630" s="440">
        <f>VLOOKUP(LEFT(D630,8),UE,4)</f>
        <v>10</v>
      </c>
      <c r="I630" s="441"/>
      <c r="J630" s="442">
        <f>F630+N630-1</f>
        <v>2016</v>
      </c>
      <c r="K630" s="443"/>
      <c r="L630" s="440"/>
      <c r="M630" s="746">
        <f>IF(H630+L630&gt;$H630,$H630-H630,L630)</f>
        <v>0</v>
      </c>
      <c r="N630" s="444">
        <f>H630+M630</f>
        <v>10</v>
      </c>
      <c r="O630" s="442">
        <f>F630+N630-1</f>
        <v>2016</v>
      </c>
      <c r="P630" s="617">
        <f>G630</f>
        <v>318168883.04212302</v>
      </c>
      <c r="Q630" s="445">
        <v>0</v>
      </c>
      <c r="R630" s="445">
        <f>P630/N630</f>
        <v>31816888.304212302</v>
      </c>
      <c r="S630" s="446">
        <f>F630</f>
        <v>2007</v>
      </c>
      <c r="T630" s="447">
        <v>1</v>
      </c>
      <c r="U630" s="613">
        <f>R630*T630</f>
        <v>31816888.304212302</v>
      </c>
      <c r="V630" s="442">
        <f>F630</f>
        <v>2007</v>
      </c>
      <c r="W630" s="617">
        <f>IF(OR(AND(ISBLANK(E630),ISBLANK(G630)),ISTEXT(E630),ISTEXT(G630)),"",G630-R630)</f>
        <v>286351994.73791075</v>
      </c>
      <c r="X630" s="448"/>
      <c r="Y630" s="449"/>
      <c r="Z630" s="449"/>
      <c r="AA630" s="450" t="s">
        <v>4179</v>
      </c>
      <c r="AB630" s="451"/>
      <c r="AC630" s="451"/>
      <c r="AD630" s="565"/>
      <c r="AE630" s="452"/>
      <c r="AF630" s="571"/>
      <c r="AG630" s="452"/>
      <c r="AH630" s="452"/>
      <c r="AI630" s="453"/>
      <c r="AJ630" s="449"/>
      <c r="AK630" s="453"/>
      <c r="AL630" s="454"/>
      <c r="AM630" s="455"/>
      <c r="AN630" s="456"/>
      <c r="AO630" s="455"/>
      <c r="AP630" s="452"/>
      <c r="AQ630" s="457"/>
      <c r="AR630" s="449"/>
      <c r="AS630" s="449"/>
      <c r="AT630" s="452"/>
      <c r="AU630" s="457"/>
      <c r="AV630" s="449"/>
      <c r="AW630" s="458"/>
      <c r="AX630" s="452"/>
      <c r="AY630" s="457"/>
      <c r="AZ630" s="449"/>
      <c r="BA630" s="459"/>
      <c r="BB630" s="455"/>
      <c r="BC630" s="460"/>
      <c r="BD630" s="460"/>
      <c r="BG630" s="462"/>
    </row>
    <row r="631" spans="1:59" s="461" customFormat="1" ht="18" customHeight="1" x14ac:dyDescent="0.2">
      <c r="A631" s="1368" t="str">
        <f t="shared" ref="A631:A641" si="453">$D$626&amp;S631</f>
        <v>SIMP. 4 PANGKALAN - MUARA PETAI2008</v>
      </c>
      <c r="B631" s="1373"/>
      <c r="C631" s="488" t="s">
        <v>5125</v>
      </c>
      <c r="D631" s="489"/>
      <c r="E631" s="558"/>
      <c r="F631" s="559">
        <v>2008</v>
      </c>
      <c r="G631" s="619">
        <v>219063911.59381068</v>
      </c>
      <c r="H631" s="464">
        <f>IF(N630-(F631-F630)&lt;=0,0,(N630-(F631-F630)))</f>
        <v>9</v>
      </c>
      <c r="I631" s="560"/>
      <c r="J631" s="468">
        <f>(F631+N631)-1</f>
        <v>2017</v>
      </c>
      <c r="K631" s="490">
        <f>IF(G631=0,0,IF(H631=10,100%,G631/W630))</f>
        <v>0.76501618853506925</v>
      </c>
      <c r="L631" s="469">
        <f>IF(K631=0%,0,IF(K631&lt;=30%,2,IF(K631&lt;=60%,5,10)))</f>
        <v>10</v>
      </c>
      <c r="M631" s="683">
        <f>IF(OR(AND(ISBLANK(E631),ISBLANK(G631)),ISTEXT(E631),ISTEXT(G631)),"",IF(H631+L631&gt;$H$630,$H$630-H631,L631))</f>
        <v>1</v>
      </c>
      <c r="N631" s="470">
        <f>IF(OR(AND(ISBLANK(F631),ISBLANK(G631)),ISTEXT(F631),ISTEXT(G631)),"",H631+M631)</f>
        <v>10</v>
      </c>
      <c r="O631" s="468">
        <f>(F631+N631)-1</f>
        <v>2017</v>
      </c>
      <c r="P631" s="616">
        <f>W630</f>
        <v>286351994.73791075</v>
      </c>
      <c r="Q631" s="472">
        <f>P631+G631</f>
        <v>505415906.33172143</v>
      </c>
      <c r="R631" s="472">
        <f>IF(L631=0,R630,Q631/N631)</f>
        <v>50541590.63317214</v>
      </c>
      <c r="S631" s="1189">
        <f>F631</f>
        <v>2008</v>
      </c>
      <c r="T631" s="470">
        <f>S631-S630</f>
        <v>1</v>
      </c>
      <c r="U631" s="612">
        <f>R631*T631</f>
        <v>50541590.63317214</v>
      </c>
      <c r="V631" s="464">
        <f>F631</f>
        <v>2008</v>
      </c>
      <c r="W631" s="612">
        <f>IF(OR(AND(ISBLANK(E631),ISBLANK(G631)),ISTEXT(E631),ISTEXT(G631)),"",Q631-U631)</f>
        <v>454874315.69854927</v>
      </c>
      <c r="X631" s="561"/>
      <c r="Y631" s="449"/>
      <c r="Z631" s="449"/>
      <c r="AA631" s="554"/>
      <c r="AB631" s="452"/>
      <c r="AC631" s="452"/>
      <c r="AD631" s="566"/>
      <c r="AE631" s="452"/>
      <c r="AF631" s="571"/>
      <c r="AG631" s="452"/>
      <c r="AH631" s="452"/>
      <c r="AI631" s="453"/>
      <c r="AJ631" s="449"/>
      <c r="AK631" s="453"/>
      <c r="AL631" s="454"/>
      <c r="AM631" s="455"/>
      <c r="AN631" s="456"/>
      <c r="AO631" s="455"/>
      <c r="AP631" s="452"/>
      <c r="AQ631" s="457"/>
      <c r="AR631" s="449"/>
      <c r="AS631" s="449"/>
      <c r="AT631" s="452"/>
      <c r="AU631" s="457"/>
      <c r="AV631" s="449"/>
      <c r="AW631" s="458"/>
      <c r="AX631" s="452"/>
      <c r="AY631" s="457"/>
      <c r="AZ631" s="449"/>
      <c r="BA631" s="459"/>
      <c r="BB631" s="455"/>
      <c r="BC631" s="460"/>
      <c r="BD631" s="460"/>
      <c r="BG631" s="462"/>
    </row>
    <row r="632" spans="1:59" s="461" customFormat="1" ht="18" customHeight="1" x14ac:dyDescent="0.2">
      <c r="A632" s="1368" t="str">
        <f t="shared" si="453"/>
        <v>SIMP. 4 PANGKALAN - MUARA PETAI2009</v>
      </c>
      <c r="B632" s="1373"/>
      <c r="C632" s="488"/>
      <c r="D632" s="489"/>
      <c r="E632" s="558"/>
      <c r="F632" s="559">
        <v>2009</v>
      </c>
      <c r="G632" s="619">
        <v>0</v>
      </c>
      <c r="H632" s="464">
        <f t="shared" ref="H632:H640" si="454">IF(N631-(F632-F631)&lt;=0,0,(N631-(F632-F631)))</f>
        <v>9</v>
      </c>
      <c r="I632" s="560"/>
      <c r="J632" s="468">
        <f t="shared" ref="J632:J640" si="455">(F632+N632)-1</f>
        <v>2017</v>
      </c>
      <c r="K632" s="490">
        <f t="shared" ref="K632:K640" si="456">IF(G632=0,0,IF(H632=10,100%,G632/W631))</f>
        <v>0</v>
      </c>
      <c r="L632" s="469">
        <f t="shared" ref="L632:L640" si="457">IF(K632=0%,0,IF(K632&lt;=30%,2,IF(K632&lt;=60%,5,10)))</f>
        <v>0</v>
      </c>
      <c r="M632" s="683">
        <f t="shared" ref="M632:M641" si="458">IF(OR(AND(ISBLANK(E632),ISBLANK(G632)),ISTEXT(E632),ISTEXT(G632)),"",IF(H632+L632&gt;$H$630,$H$630-H632,L632))</f>
        <v>0</v>
      </c>
      <c r="N632" s="470">
        <f t="shared" ref="N632:N640" si="459">IF(OR(AND(ISBLANK(F632),ISBLANK(G632)),ISTEXT(F632),ISTEXT(G632)),"",H632+M632)</f>
        <v>9</v>
      </c>
      <c r="O632" s="468">
        <f t="shared" ref="O632:O640" si="460">(F632+N632)-1</f>
        <v>2017</v>
      </c>
      <c r="P632" s="616">
        <f t="shared" ref="P632:P640" si="461">W631</f>
        <v>454874315.69854927</v>
      </c>
      <c r="Q632" s="472">
        <f t="shared" ref="Q632:Q640" si="462">P632+G632</f>
        <v>454874315.69854927</v>
      </c>
      <c r="R632" s="472">
        <f t="shared" ref="R632:R640" si="463">IF(L632=0,R631,Q632/N632)</f>
        <v>50541590.63317214</v>
      </c>
      <c r="S632" s="1189">
        <f t="shared" ref="S632:S640" si="464">F632</f>
        <v>2009</v>
      </c>
      <c r="T632" s="470">
        <f t="shared" ref="T632:T640" si="465">S632-S631</f>
        <v>1</v>
      </c>
      <c r="U632" s="612">
        <f t="shared" ref="U632:U640" si="466">R632*T632</f>
        <v>50541590.63317214</v>
      </c>
      <c r="V632" s="464">
        <f t="shared" ref="V632:V640" si="467">F632</f>
        <v>2009</v>
      </c>
      <c r="W632" s="612">
        <f t="shared" ref="W632:W640" si="468">IF(OR(AND(ISBLANK(E632),ISBLANK(G632)),ISTEXT(E632),ISTEXT(G632)),"",Q632-U632)</f>
        <v>404332725.06537712</v>
      </c>
      <c r="X632" s="561"/>
      <c r="Y632" s="449"/>
      <c r="Z632" s="449"/>
      <c r="AA632" s="554"/>
      <c r="AB632" s="452"/>
      <c r="AC632" s="452"/>
      <c r="AD632" s="566"/>
      <c r="AE632" s="452"/>
      <c r="AF632" s="571"/>
      <c r="AG632" s="452"/>
      <c r="AH632" s="452"/>
      <c r="AI632" s="453"/>
      <c r="AJ632" s="449"/>
      <c r="AK632" s="453"/>
      <c r="AL632" s="454"/>
      <c r="AM632" s="455"/>
      <c r="AN632" s="456"/>
      <c r="AO632" s="455"/>
      <c r="AP632" s="452"/>
      <c r="AQ632" s="457"/>
      <c r="AR632" s="449"/>
      <c r="AS632" s="449"/>
      <c r="AT632" s="452"/>
      <c r="AU632" s="457"/>
      <c r="AV632" s="449"/>
      <c r="AW632" s="458"/>
      <c r="AX632" s="452"/>
      <c r="AY632" s="457"/>
      <c r="AZ632" s="449"/>
      <c r="BA632" s="459"/>
      <c r="BB632" s="455"/>
      <c r="BC632" s="460"/>
      <c r="BD632" s="460"/>
      <c r="BG632" s="462"/>
    </row>
    <row r="633" spans="1:59" s="461" customFormat="1" ht="18" customHeight="1" x14ac:dyDescent="0.2">
      <c r="A633" s="1368" t="str">
        <f t="shared" si="453"/>
        <v>SIMP. 4 PANGKALAN - MUARA PETAI2010</v>
      </c>
      <c r="B633" s="1373"/>
      <c r="C633" s="488"/>
      <c r="D633" s="489"/>
      <c r="E633" s="558"/>
      <c r="F633" s="559">
        <v>2010</v>
      </c>
      <c r="G633" s="619">
        <v>0</v>
      </c>
      <c r="H633" s="464">
        <f t="shared" si="454"/>
        <v>8</v>
      </c>
      <c r="I633" s="560"/>
      <c r="J633" s="468">
        <f t="shared" si="455"/>
        <v>2017</v>
      </c>
      <c r="K633" s="490">
        <f t="shared" si="456"/>
        <v>0</v>
      </c>
      <c r="L633" s="469">
        <f t="shared" si="457"/>
        <v>0</v>
      </c>
      <c r="M633" s="683">
        <f t="shared" si="458"/>
        <v>0</v>
      </c>
      <c r="N633" s="470">
        <f t="shared" si="459"/>
        <v>8</v>
      </c>
      <c r="O633" s="468">
        <f t="shared" si="460"/>
        <v>2017</v>
      </c>
      <c r="P633" s="616">
        <f t="shared" si="461"/>
        <v>404332725.06537712</v>
      </c>
      <c r="Q633" s="472">
        <f t="shared" si="462"/>
        <v>404332725.06537712</v>
      </c>
      <c r="R633" s="472">
        <f t="shared" si="463"/>
        <v>50541590.63317214</v>
      </c>
      <c r="S633" s="1189">
        <f t="shared" si="464"/>
        <v>2010</v>
      </c>
      <c r="T633" s="470">
        <f t="shared" si="465"/>
        <v>1</v>
      </c>
      <c r="U633" s="612">
        <f t="shared" si="466"/>
        <v>50541590.63317214</v>
      </c>
      <c r="V633" s="464">
        <f t="shared" si="467"/>
        <v>2010</v>
      </c>
      <c r="W633" s="612">
        <f t="shared" si="468"/>
        <v>353791134.43220496</v>
      </c>
      <c r="X633" s="561"/>
      <c r="Y633" s="449"/>
      <c r="Z633" s="449"/>
      <c r="AA633" s="554"/>
      <c r="AB633" s="452"/>
      <c r="AC633" s="452"/>
      <c r="AD633" s="566"/>
      <c r="AE633" s="452"/>
      <c r="AF633" s="571"/>
      <c r="AG633" s="452"/>
      <c r="AH633" s="452"/>
      <c r="AI633" s="453"/>
      <c r="AJ633" s="449"/>
      <c r="AK633" s="453"/>
      <c r="AL633" s="454"/>
      <c r="AM633" s="455"/>
      <c r="AN633" s="456"/>
      <c r="AO633" s="455"/>
      <c r="AP633" s="452"/>
      <c r="AQ633" s="457"/>
      <c r="AR633" s="449"/>
      <c r="AS633" s="449"/>
      <c r="AT633" s="452"/>
      <c r="AU633" s="457"/>
      <c r="AV633" s="449"/>
      <c r="AW633" s="458"/>
      <c r="AX633" s="452"/>
      <c r="AY633" s="457"/>
      <c r="AZ633" s="449"/>
      <c r="BA633" s="459"/>
      <c r="BB633" s="455"/>
      <c r="BC633" s="460"/>
      <c r="BD633" s="460"/>
      <c r="BG633" s="462"/>
    </row>
    <row r="634" spans="1:59" s="461" customFormat="1" ht="18" customHeight="1" x14ac:dyDescent="0.2">
      <c r="A634" s="1368" t="str">
        <f t="shared" si="453"/>
        <v>SIMP. 4 PANGKALAN - MUARA PETAI2012</v>
      </c>
      <c r="B634" s="1373"/>
      <c r="C634" s="488"/>
      <c r="D634" s="489"/>
      <c r="E634" s="558"/>
      <c r="F634" s="559">
        <v>2012</v>
      </c>
      <c r="G634" s="619">
        <v>0</v>
      </c>
      <c r="H634" s="464">
        <f t="shared" si="454"/>
        <v>6</v>
      </c>
      <c r="I634" s="560"/>
      <c r="J634" s="468">
        <f t="shared" si="455"/>
        <v>2017</v>
      </c>
      <c r="K634" s="490">
        <f t="shared" si="456"/>
        <v>0</v>
      </c>
      <c r="L634" s="469">
        <f t="shared" si="457"/>
        <v>0</v>
      </c>
      <c r="M634" s="683">
        <f t="shared" si="458"/>
        <v>0</v>
      </c>
      <c r="N634" s="470">
        <f t="shared" si="459"/>
        <v>6</v>
      </c>
      <c r="O634" s="468">
        <f t="shared" si="460"/>
        <v>2017</v>
      </c>
      <c r="P634" s="616">
        <f t="shared" si="461"/>
        <v>353791134.43220496</v>
      </c>
      <c r="Q634" s="472">
        <f t="shared" si="462"/>
        <v>353791134.43220496</v>
      </c>
      <c r="R634" s="472">
        <f t="shared" si="463"/>
        <v>50541590.63317214</v>
      </c>
      <c r="S634" s="1189">
        <f t="shared" si="464"/>
        <v>2012</v>
      </c>
      <c r="T634" s="470">
        <f t="shared" si="465"/>
        <v>2</v>
      </c>
      <c r="U634" s="612">
        <f t="shared" si="466"/>
        <v>101083181.26634428</v>
      </c>
      <c r="V634" s="464">
        <f t="shared" si="467"/>
        <v>2012</v>
      </c>
      <c r="W634" s="612">
        <f t="shared" si="468"/>
        <v>252707953.16586068</v>
      </c>
      <c r="X634" s="561"/>
      <c r="Y634" s="449"/>
      <c r="Z634" s="449"/>
      <c r="AA634" s="554"/>
      <c r="AB634" s="452"/>
      <c r="AC634" s="452"/>
      <c r="AD634" s="566"/>
      <c r="AE634" s="452"/>
      <c r="AF634" s="571"/>
      <c r="AG634" s="452"/>
      <c r="AH634" s="452"/>
      <c r="AI634" s="453"/>
      <c r="AJ634" s="449"/>
      <c r="AK634" s="453"/>
      <c r="AL634" s="454"/>
      <c r="AM634" s="455"/>
      <c r="AN634" s="456"/>
      <c r="AO634" s="455"/>
      <c r="AP634" s="452"/>
      <c r="AQ634" s="457"/>
      <c r="AR634" s="449"/>
      <c r="AS634" s="449"/>
      <c r="AT634" s="452"/>
      <c r="AU634" s="457"/>
      <c r="AV634" s="449"/>
      <c r="AW634" s="458"/>
      <c r="AX634" s="452"/>
      <c r="AY634" s="457"/>
      <c r="AZ634" s="449"/>
      <c r="BA634" s="459"/>
      <c r="BB634" s="455"/>
      <c r="BC634" s="460"/>
      <c r="BD634" s="460"/>
      <c r="BG634" s="462"/>
    </row>
    <row r="635" spans="1:59" s="461" customFormat="1" ht="18" customHeight="1" x14ac:dyDescent="0.2">
      <c r="A635" s="1368" t="str">
        <f t="shared" si="453"/>
        <v>SIMP. 4 PANGKALAN - MUARA PETAI2013</v>
      </c>
      <c r="B635" s="1373">
        <v>2</v>
      </c>
      <c r="C635" s="488" t="s">
        <v>1283</v>
      </c>
      <c r="D635" s="489"/>
      <c r="E635" s="558"/>
      <c r="F635" s="559">
        <v>2013</v>
      </c>
      <c r="G635" s="619">
        <v>3025459495</v>
      </c>
      <c r="H635" s="464">
        <f t="shared" si="454"/>
        <v>5</v>
      </c>
      <c r="I635" s="560"/>
      <c r="J635" s="468">
        <f t="shared" si="455"/>
        <v>2022</v>
      </c>
      <c r="K635" s="490">
        <f t="shared" si="456"/>
        <v>11.972157809431069</v>
      </c>
      <c r="L635" s="469">
        <f t="shared" si="457"/>
        <v>10</v>
      </c>
      <c r="M635" s="683">
        <f t="shared" si="458"/>
        <v>5</v>
      </c>
      <c r="N635" s="470">
        <f t="shared" si="459"/>
        <v>10</v>
      </c>
      <c r="O635" s="468">
        <f t="shared" si="460"/>
        <v>2022</v>
      </c>
      <c r="P635" s="616">
        <f t="shared" si="461"/>
        <v>252707953.16586068</v>
      </c>
      <c r="Q635" s="472">
        <f t="shared" si="462"/>
        <v>3278167448.1658607</v>
      </c>
      <c r="R635" s="472">
        <f t="shared" si="463"/>
        <v>327816744.81658608</v>
      </c>
      <c r="S635" s="1189">
        <f t="shared" si="464"/>
        <v>2013</v>
      </c>
      <c r="T635" s="470">
        <f t="shared" si="465"/>
        <v>1</v>
      </c>
      <c r="U635" s="612">
        <f t="shared" si="466"/>
        <v>327816744.81658608</v>
      </c>
      <c r="V635" s="464">
        <f t="shared" si="467"/>
        <v>2013</v>
      </c>
      <c r="W635" s="612">
        <f t="shared" si="468"/>
        <v>2950350703.3492746</v>
      </c>
      <c r="X635" s="561"/>
      <c r="Y635" s="449"/>
      <c r="Z635" s="449"/>
      <c r="AA635" s="554"/>
      <c r="AB635" s="452"/>
      <c r="AC635" s="452"/>
      <c r="AD635" s="566"/>
      <c r="AE635" s="452"/>
      <c r="AF635" s="571"/>
      <c r="AG635" s="452"/>
      <c r="AH635" s="452"/>
      <c r="AI635" s="453"/>
      <c r="AJ635" s="449"/>
      <c r="AK635" s="453"/>
      <c r="AL635" s="454"/>
      <c r="AM635" s="455"/>
      <c r="AN635" s="456"/>
      <c r="AO635" s="455"/>
      <c r="AP635" s="452"/>
      <c r="AQ635" s="457"/>
      <c r="AR635" s="449"/>
      <c r="AS635" s="449"/>
      <c r="AT635" s="452"/>
      <c r="AU635" s="457"/>
      <c r="AV635" s="449"/>
      <c r="AW635" s="458"/>
      <c r="AX635" s="452"/>
      <c r="AY635" s="457"/>
      <c r="AZ635" s="449"/>
      <c r="BA635" s="459"/>
      <c r="BB635" s="455"/>
      <c r="BC635" s="460"/>
      <c r="BD635" s="460"/>
      <c r="BG635" s="462"/>
    </row>
    <row r="636" spans="1:59" s="461" customFormat="1" ht="18" customHeight="1" x14ac:dyDescent="0.2">
      <c r="A636" s="1368" t="str">
        <f t="shared" si="453"/>
        <v>SIMP. 4 PANGKALAN - MUARA PETAI2014</v>
      </c>
      <c r="B636" s="1373"/>
      <c r="C636" s="488"/>
      <c r="D636" s="489"/>
      <c r="E636" s="558"/>
      <c r="F636" s="559">
        <v>2014</v>
      </c>
      <c r="G636" s="619">
        <v>0</v>
      </c>
      <c r="H636" s="464">
        <f t="shared" si="454"/>
        <v>9</v>
      </c>
      <c r="I636" s="560"/>
      <c r="J636" s="468">
        <f t="shared" si="455"/>
        <v>2022</v>
      </c>
      <c r="K636" s="490">
        <f t="shared" si="456"/>
        <v>0</v>
      </c>
      <c r="L636" s="469">
        <f t="shared" si="457"/>
        <v>0</v>
      </c>
      <c r="M636" s="683">
        <f t="shared" si="458"/>
        <v>0</v>
      </c>
      <c r="N636" s="470">
        <f t="shared" si="459"/>
        <v>9</v>
      </c>
      <c r="O636" s="468">
        <f t="shared" si="460"/>
        <v>2022</v>
      </c>
      <c r="P636" s="616">
        <f t="shared" si="461"/>
        <v>2950350703.3492746</v>
      </c>
      <c r="Q636" s="472">
        <f t="shared" si="462"/>
        <v>2950350703.3492746</v>
      </c>
      <c r="R636" s="472">
        <f t="shared" si="463"/>
        <v>327816744.81658608</v>
      </c>
      <c r="S636" s="1189">
        <f t="shared" si="464"/>
        <v>2014</v>
      </c>
      <c r="T636" s="470">
        <f t="shared" si="465"/>
        <v>1</v>
      </c>
      <c r="U636" s="612">
        <f t="shared" si="466"/>
        <v>327816744.81658608</v>
      </c>
      <c r="V636" s="464">
        <f t="shared" si="467"/>
        <v>2014</v>
      </c>
      <c r="W636" s="612">
        <f t="shared" si="468"/>
        <v>2622533958.5326886</v>
      </c>
      <c r="X636" s="561"/>
      <c r="Y636" s="449"/>
      <c r="Z636" s="449"/>
      <c r="AA636" s="554"/>
      <c r="AB636" s="452"/>
      <c r="AC636" s="452"/>
      <c r="AD636" s="566"/>
      <c r="AE636" s="452"/>
      <c r="AF636" s="571"/>
      <c r="AG636" s="452"/>
      <c r="AH636" s="452"/>
      <c r="AI636" s="453"/>
      <c r="AJ636" s="449"/>
      <c r="AK636" s="453"/>
      <c r="AL636" s="454"/>
      <c r="AM636" s="455"/>
      <c r="AN636" s="456"/>
      <c r="AO636" s="455"/>
      <c r="AP636" s="452"/>
      <c r="AQ636" s="457"/>
      <c r="AR636" s="449"/>
      <c r="AS636" s="449"/>
      <c r="AT636" s="452"/>
      <c r="AU636" s="457"/>
      <c r="AV636" s="449"/>
      <c r="AW636" s="458"/>
      <c r="AX636" s="452"/>
      <c r="AY636" s="457"/>
      <c r="AZ636" s="449"/>
      <c r="BA636" s="459"/>
      <c r="BB636" s="455"/>
      <c r="BC636" s="460"/>
      <c r="BD636" s="460"/>
      <c r="BG636" s="462"/>
    </row>
    <row r="637" spans="1:59" s="461" customFormat="1" ht="18" customHeight="1" x14ac:dyDescent="0.2">
      <c r="A637" s="1368" t="str">
        <f t="shared" si="453"/>
        <v>SIMP. 4 PANGKALAN - MUARA PETAI2015</v>
      </c>
      <c r="B637" s="1373">
        <v>2</v>
      </c>
      <c r="C637" s="488" t="s">
        <v>1381</v>
      </c>
      <c r="D637" s="489"/>
      <c r="E637" s="558"/>
      <c r="F637" s="559">
        <v>2015</v>
      </c>
      <c r="G637" s="619">
        <v>2083405986.2</v>
      </c>
      <c r="H637" s="464">
        <f t="shared" si="454"/>
        <v>8</v>
      </c>
      <c r="I637" s="560"/>
      <c r="J637" s="468">
        <f t="shared" si="455"/>
        <v>2024</v>
      </c>
      <c r="K637" s="490">
        <f t="shared" si="456"/>
        <v>0.79442478882739376</v>
      </c>
      <c r="L637" s="469">
        <f t="shared" si="457"/>
        <v>10</v>
      </c>
      <c r="M637" s="683">
        <f t="shared" si="458"/>
        <v>2</v>
      </c>
      <c r="N637" s="470">
        <f t="shared" si="459"/>
        <v>10</v>
      </c>
      <c r="O637" s="468">
        <f t="shared" si="460"/>
        <v>2024</v>
      </c>
      <c r="P637" s="616">
        <f t="shared" si="461"/>
        <v>2622533958.5326886</v>
      </c>
      <c r="Q637" s="472">
        <f t="shared" si="462"/>
        <v>4705939944.7326889</v>
      </c>
      <c r="R637" s="472">
        <f t="shared" si="463"/>
        <v>470593994.47326887</v>
      </c>
      <c r="S637" s="1189">
        <f t="shared" si="464"/>
        <v>2015</v>
      </c>
      <c r="T637" s="470">
        <f t="shared" si="465"/>
        <v>1</v>
      </c>
      <c r="U637" s="612">
        <f t="shared" si="466"/>
        <v>470593994.47326887</v>
      </c>
      <c r="V637" s="464">
        <f t="shared" si="467"/>
        <v>2015</v>
      </c>
      <c r="W637" s="612">
        <f t="shared" si="468"/>
        <v>4235345950.2594199</v>
      </c>
      <c r="X637" s="561"/>
      <c r="Y637" s="449"/>
      <c r="Z637" s="449"/>
      <c r="AA637" s="554"/>
      <c r="AB637" s="452"/>
      <c r="AC637" s="452"/>
      <c r="AD637" s="566"/>
      <c r="AE637" s="452"/>
      <c r="AF637" s="571"/>
      <c r="AG637" s="452"/>
      <c r="AH637" s="452"/>
      <c r="AI637" s="453"/>
      <c r="AJ637" s="449"/>
      <c r="AK637" s="453"/>
      <c r="AL637" s="454"/>
      <c r="AM637" s="455"/>
      <c r="AN637" s="456"/>
      <c r="AO637" s="455"/>
      <c r="AP637" s="452"/>
      <c r="AQ637" s="457"/>
      <c r="AR637" s="449"/>
      <c r="AS637" s="449"/>
      <c r="AT637" s="452"/>
      <c r="AU637" s="457"/>
      <c r="AV637" s="449"/>
      <c r="AW637" s="458"/>
      <c r="AX637" s="452"/>
      <c r="AY637" s="457"/>
      <c r="AZ637" s="449"/>
      <c r="BA637" s="459"/>
      <c r="BB637" s="455"/>
      <c r="BC637" s="460"/>
      <c r="BD637" s="460"/>
      <c r="BG637" s="462"/>
    </row>
    <row r="638" spans="1:59" s="461" customFormat="1" ht="18" customHeight="1" x14ac:dyDescent="0.2">
      <c r="A638" s="1368" t="str">
        <f t="shared" si="453"/>
        <v>SIMP. 4 PANGKALAN - MUARA PETAI2016</v>
      </c>
      <c r="B638" s="1373">
        <v>3</v>
      </c>
      <c r="C638" s="488" t="s">
        <v>1452</v>
      </c>
      <c r="D638" s="489" t="s">
        <v>2494</v>
      </c>
      <c r="E638" s="558"/>
      <c r="F638" s="559">
        <v>2016</v>
      </c>
      <c r="G638" s="619">
        <v>4682270294.1660614</v>
      </c>
      <c r="H638" s="464">
        <f t="shared" si="454"/>
        <v>9</v>
      </c>
      <c r="I638" s="560"/>
      <c r="J638" s="468">
        <f t="shared" si="455"/>
        <v>2025</v>
      </c>
      <c r="K638" s="490">
        <f t="shared" si="456"/>
        <v>1.1055225120109178</v>
      </c>
      <c r="L638" s="469">
        <f t="shared" si="457"/>
        <v>10</v>
      </c>
      <c r="M638" s="683">
        <f t="shared" si="458"/>
        <v>1</v>
      </c>
      <c r="N638" s="470">
        <f t="shared" si="459"/>
        <v>10</v>
      </c>
      <c r="O638" s="468">
        <f t="shared" si="460"/>
        <v>2025</v>
      </c>
      <c r="P638" s="616">
        <f t="shared" si="461"/>
        <v>4235345950.2594199</v>
      </c>
      <c r="Q638" s="472">
        <f t="shared" si="462"/>
        <v>8917616244.4254818</v>
      </c>
      <c r="R638" s="472">
        <f t="shared" si="463"/>
        <v>891761624.44254816</v>
      </c>
      <c r="S638" s="1189">
        <f t="shared" si="464"/>
        <v>2016</v>
      </c>
      <c r="T638" s="470">
        <f t="shared" si="465"/>
        <v>1</v>
      </c>
      <c r="U638" s="612">
        <f t="shared" si="466"/>
        <v>891761624.44254816</v>
      </c>
      <c r="V638" s="464">
        <f t="shared" si="467"/>
        <v>2016</v>
      </c>
      <c r="W638" s="612">
        <f t="shared" si="468"/>
        <v>8025854619.982934</v>
      </c>
      <c r="X638" s="561"/>
      <c r="Y638" s="449"/>
      <c r="Z638" s="449"/>
      <c r="AA638" s="554"/>
      <c r="AB638" s="452"/>
      <c r="AC638" s="452"/>
      <c r="AD638" s="566"/>
      <c r="AE638" s="452"/>
      <c r="AF638" s="571"/>
      <c r="AG638" s="452"/>
      <c r="AH638" s="452"/>
      <c r="AI638" s="453"/>
      <c r="AJ638" s="449"/>
      <c r="AK638" s="453"/>
      <c r="AL638" s="454"/>
      <c r="AM638" s="455"/>
      <c r="AN638" s="456"/>
      <c r="AO638" s="455"/>
      <c r="AP638" s="452"/>
      <c r="AQ638" s="457"/>
      <c r="AR638" s="449"/>
      <c r="AS638" s="449"/>
      <c r="AT638" s="452"/>
      <c r="AU638" s="457"/>
      <c r="AV638" s="449"/>
      <c r="AW638" s="458"/>
      <c r="AX638" s="452"/>
      <c r="AY638" s="457"/>
      <c r="AZ638" s="449"/>
      <c r="BA638" s="459"/>
      <c r="BB638" s="455"/>
      <c r="BC638" s="460"/>
      <c r="BD638" s="460"/>
      <c r="BG638" s="462"/>
    </row>
    <row r="639" spans="1:59" s="486" customFormat="1" ht="18" customHeight="1" x14ac:dyDescent="0.2">
      <c r="A639" s="1368" t="str">
        <f t="shared" si="453"/>
        <v>SIMP. 4 PANGKALAN - MUARA PETAI2017</v>
      </c>
      <c r="B639" s="1373"/>
      <c r="C639" s="463"/>
      <c r="D639" s="489"/>
      <c r="E639" s="465"/>
      <c r="F639" s="466">
        <v>2017</v>
      </c>
      <c r="G639" s="620">
        <v>0</v>
      </c>
      <c r="H639" s="464">
        <f t="shared" si="454"/>
        <v>9</v>
      </c>
      <c r="I639" s="560"/>
      <c r="J639" s="468">
        <f t="shared" si="455"/>
        <v>2025</v>
      </c>
      <c r="K639" s="490">
        <f t="shared" si="456"/>
        <v>0</v>
      </c>
      <c r="L639" s="469">
        <f t="shared" si="457"/>
        <v>0</v>
      </c>
      <c r="M639" s="683">
        <f t="shared" si="458"/>
        <v>0</v>
      </c>
      <c r="N639" s="470">
        <f t="shared" si="459"/>
        <v>9</v>
      </c>
      <c r="O639" s="468">
        <f t="shared" si="460"/>
        <v>2025</v>
      </c>
      <c r="P639" s="616">
        <f t="shared" si="461"/>
        <v>8025854619.982934</v>
      </c>
      <c r="Q639" s="472">
        <f t="shared" si="462"/>
        <v>8025854619.982934</v>
      </c>
      <c r="R639" s="472">
        <f t="shared" si="463"/>
        <v>891761624.44254816</v>
      </c>
      <c r="S639" s="1189">
        <f t="shared" si="464"/>
        <v>2017</v>
      </c>
      <c r="T639" s="470">
        <f t="shared" si="465"/>
        <v>1</v>
      </c>
      <c r="U639" s="612">
        <f t="shared" si="466"/>
        <v>891761624.44254816</v>
      </c>
      <c r="V639" s="464">
        <f t="shared" si="467"/>
        <v>2017</v>
      </c>
      <c r="W639" s="612">
        <f t="shared" si="468"/>
        <v>7134092995.5403862</v>
      </c>
      <c r="X639" s="561"/>
      <c r="Y639" s="474"/>
      <c r="Z639" s="449"/>
      <c r="AA639" s="475" t="s">
        <v>4180</v>
      </c>
      <c r="AB639" s="476"/>
      <c r="AC639" s="476"/>
      <c r="AD639" s="567">
        <f>G646</f>
        <v>12355948320.001995</v>
      </c>
      <c r="AE639" s="476"/>
      <c r="AF639" s="568"/>
      <c r="AG639" s="476"/>
      <c r="AH639" s="476"/>
      <c r="AI639" s="477"/>
      <c r="AJ639" s="478"/>
      <c r="AK639" s="479"/>
      <c r="AL639" s="480"/>
      <c r="AM639" s="474"/>
      <c r="AN639" s="481"/>
      <c r="AO639" s="474"/>
      <c r="AP639" s="476"/>
      <c r="AQ639" s="482"/>
      <c r="AR639" s="478"/>
      <c r="AS639" s="478"/>
      <c r="AT639" s="476"/>
      <c r="AU639" s="482"/>
      <c r="AV639" s="478"/>
      <c r="AW639" s="483"/>
      <c r="AX639" s="476"/>
      <c r="AY639" s="482"/>
      <c r="AZ639" s="478"/>
      <c r="BA639" s="484"/>
      <c r="BB639" s="474"/>
      <c r="BC639" s="485"/>
      <c r="BD639" s="485"/>
      <c r="BG639" s="487"/>
    </row>
    <row r="640" spans="1:59" s="486" customFormat="1" ht="18" customHeight="1" x14ac:dyDescent="0.2">
      <c r="A640" s="1368" t="str">
        <f t="shared" si="453"/>
        <v>SIMP. 4 PANGKALAN - MUARA PETAI2018</v>
      </c>
      <c r="B640" s="1373"/>
      <c r="C640" s="488"/>
      <c r="D640" s="489"/>
      <c r="E640" s="465"/>
      <c r="F640" s="466">
        <v>2018</v>
      </c>
      <c r="G640" s="620">
        <v>0</v>
      </c>
      <c r="H640" s="464">
        <f t="shared" si="454"/>
        <v>8</v>
      </c>
      <c r="I640" s="560"/>
      <c r="J640" s="468">
        <f t="shared" si="455"/>
        <v>2025</v>
      </c>
      <c r="K640" s="490">
        <f t="shared" si="456"/>
        <v>0</v>
      </c>
      <c r="L640" s="469">
        <f t="shared" si="457"/>
        <v>0</v>
      </c>
      <c r="M640" s="683">
        <f t="shared" si="458"/>
        <v>0</v>
      </c>
      <c r="N640" s="470">
        <f t="shared" si="459"/>
        <v>8</v>
      </c>
      <c r="O640" s="468">
        <f t="shared" si="460"/>
        <v>2025</v>
      </c>
      <c r="P640" s="616">
        <f t="shared" si="461"/>
        <v>7134092995.5403862</v>
      </c>
      <c r="Q640" s="472">
        <f t="shared" si="462"/>
        <v>7134092995.5403862</v>
      </c>
      <c r="R640" s="472">
        <f t="shared" si="463"/>
        <v>891761624.44254816</v>
      </c>
      <c r="S640" s="1189">
        <f t="shared" si="464"/>
        <v>2018</v>
      </c>
      <c r="T640" s="470">
        <f t="shared" si="465"/>
        <v>1</v>
      </c>
      <c r="U640" s="612">
        <f t="shared" si="466"/>
        <v>891761624.44254816</v>
      </c>
      <c r="V640" s="464">
        <f t="shared" si="467"/>
        <v>2018</v>
      </c>
      <c r="W640" s="612">
        <f t="shared" si="468"/>
        <v>6242331371.0978384</v>
      </c>
      <c r="X640" s="561"/>
      <c r="Y640" s="478"/>
      <c r="Z640" s="449"/>
      <c r="AA640" s="475" t="s">
        <v>4181</v>
      </c>
      <c r="AB640" s="491"/>
      <c r="AC640" s="491"/>
      <c r="AD640" s="567">
        <f>U646</f>
        <v>4913028311.0139427</v>
      </c>
      <c r="AE640" s="491"/>
      <c r="AF640" s="568"/>
      <c r="AG640" s="491"/>
      <c r="AH640" s="491"/>
      <c r="AI640" s="477"/>
      <c r="AJ640" s="478"/>
      <c r="AK640" s="479"/>
      <c r="AL640" s="480"/>
      <c r="AM640" s="474"/>
      <c r="AN640" s="481"/>
      <c r="AO640" s="474"/>
      <c r="AP640" s="476"/>
      <c r="AQ640" s="482"/>
      <c r="AR640" s="478"/>
      <c r="AS640" s="478"/>
      <c r="AT640" s="476"/>
      <c r="AU640" s="482"/>
      <c r="AV640" s="478"/>
      <c r="AW640" s="483"/>
      <c r="AX640" s="476"/>
      <c r="AY640" s="482"/>
      <c r="AZ640" s="478"/>
      <c r="BA640" s="484"/>
      <c r="BB640" s="474"/>
      <c r="BC640" s="485"/>
      <c r="BD640" s="485"/>
      <c r="BG640" s="487"/>
    </row>
    <row r="641" spans="1:59" s="486" customFormat="1" ht="18" customHeight="1" x14ac:dyDescent="0.2">
      <c r="A641" s="1368" t="str">
        <f t="shared" si="453"/>
        <v>SIMP. 4 PANGKALAN - MUARA PETAI2019</v>
      </c>
      <c r="B641" s="1373">
        <v>4</v>
      </c>
      <c r="C641" s="463" t="s">
        <v>5477</v>
      </c>
      <c r="D641" s="489" t="s">
        <v>2494</v>
      </c>
      <c r="E641" s="465"/>
      <c r="F641" s="466">
        <v>2019</v>
      </c>
      <c r="G641" s="620">
        <v>2027579750</v>
      </c>
      <c r="H641" s="464">
        <f>IF(N640-(F641-F640)&lt;=0,0,(N640-(F641-F640)))</f>
        <v>7</v>
      </c>
      <c r="I641" s="560"/>
      <c r="J641" s="468">
        <f>(F641+N641)-1</f>
        <v>2028</v>
      </c>
      <c r="K641" s="490">
        <f>IF(G641=0,0,IF(H641=10,100%,G641/W640))</f>
        <v>0.32481129716819401</v>
      </c>
      <c r="L641" s="469">
        <f>IF(K641=0%,0,IF(K641&lt;=30%,2,IF(K641&lt;=60%,5,10)))</f>
        <v>5</v>
      </c>
      <c r="M641" s="683">
        <f t="shared" si="458"/>
        <v>3</v>
      </c>
      <c r="N641" s="470">
        <f>IF(OR(AND(ISBLANK(F641),ISBLANK(G641)),ISTEXT(F641),ISTEXT(G641)),"",H641+M641)</f>
        <v>10</v>
      </c>
      <c r="O641" s="468">
        <f>(F641+N641)-1</f>
        <v>2028</v>
      </c>
      <c r="P641" s="616">
        <f>W640</f>
        <v>6242331371.0978384</v>
      </c>
      <c r="Q641" s="472">
        <f>P641+G641</f>
        <v>8269911121.0978384</v>
      </c>
      <c r="R641" s="472">
        <f>IF(L641=0,R640,Q641/N641)</f>
        <v>826991112.10978389</v>
      </c>
      <c r="S641" s="1189">
        <f>F641</f>
        <v>2019</v>
      </c>
      <c r="T641" s="470">
        <f>S641-S640</f>
        <v>1</v>
      </c>
      <c r="U641" s="612">
        <f>R641*T641</f>
        <v>826991112.10978389</v>
      </c>
      <c r="V641" s="464">
        <f>F641</f>
        <v>2019</v>
      </c>
      <c r="W641" s="612">
        <f>IF(OR(AND(ISBLANK(E641),ISBLANK(G641)),ISTEXT(E641),ISTEXT(G641)),"",Q641-U641)</f>
        <v>7442920008.9880543</v>
      </c>
      <c r="X641" s="473"/>
      <c r="Y641" s="478"/>
      <c r="Z641" s="449"/>
      <c r="AA641" s="492" t="s">
        <v>4182</v>
      </c>
      <c r="AB641" s="476"/>
      <c r="AC641" s="476"/>
      <c r="AD641" s="567">
        <f>AD639-AD640</f>
        <v>7442920008.9880524</v>
      </c>
      <c r="AE641" s="476"/>
      <c r="AF641" s="568"/>
      <c r="AG641" s="476"/>
      <c r="AH641" s="476"/>
      <c r="AI641" s="477"/>
      <c r="AJ641" s="478"/>
      <c r="AK641" s="479"/>
      <c r="AL641" s="480"/>
      <c r="AM641" s="474"/>
      <c r="AN641" s="481"/>
      <c r="AO641" s="474"/>
      <c r="AP641" s="476"/>
      <c r="AQ641" s="482"/>
      <c r="AR641" s="478"/>
      <c r="AS641" s="478"/>
      <c r="AT641" s="476"/>
      <c r="AU641" s="482"/>
      <c r="AV641" s="478"/>
      <c r="AW641" s="483"/>
      <c r="AX641" s="476"/>
      <c r="AY641" s="482"/>
      <c r="AZ641" s="478"/>
      <c r="BA641" s="484"/>
      <c r="BB641" s="474"/>
      <c r="BC641" s="485"/>
      <c r="BD641" s="485"/>
      <c r="BG641" s="487"/>
    </row>
    <row r="642" spans="1:59" s="486" customFormat="1" ht="18" customHeight="1" x14ac:dyDescent="0.2">
      <c r="A642" s="1368" t="str">
        <f>LEFT(D642,8)</f>
        <v/>
      </c>
      <c r="B642" s="687"/>
      <c r="C642" s="463"/>
      <c r="D642" s="489"/>
      <c r="E642" s="465"/>
      <c r="F642" s="466"/>
      <c r="G642" s="620"/>
      <c r="H642" s="464"/>
      <c r="I642" s="467"/>
      <c r="J642" s="468"/>
      <c r="K642" s="574"/>
      <c r="L642" s="469"/>
      <c r="M642" s="683"/>
      <c r="N642" s="470"/>
      <c r="O642" s="468"/>
      <c r="P642" s="616"/>
      <c r="Q642" s="472"/>
      <c r="R642" s="472"/>
      <c r="S642" s="634"/>
      <c r="T642" s="470"/>
      <c r="U642" s="612"/>
      <c r="V642" s="464"/>
      <c r="W642" s="612"/>
      <c r="X642" s="473"/>
      <c r="Y642" s="478"/>
      <c r="Z642" s="449"/>
      <c r="AA642" s="531" t="s">
        <v>4183</v>
      </c>
      <c r="AB642" s="496"/>
      <c r="AC642" s="496"/>
      <c r="AD642" s="569">
        <f>AD641-W646</f>
        <v>0</v>
      </c>
      <c r="AE642" s="476"/>
      <c r="AF642" s="568"/>
      <c r="AG642" s="476"/>
      <c r="AH642" s="476"/>
      <c r="AI642" s="477"/>
      <c r="AJ642" s="478"/>
      <c r="AK642" s="479"/>
      <c r="AL642" s="480"/>
      <c r="AM642" s="474"/>
      <c r="AN642" s="481"/>
      <c r="AO642" s="474"/>
      <c r="AP642" s="476"/>
      <c r="AQ642" s="482"/>
      <c r="AR642" s="478"/>
      <c r="AS642" s="478"/>
      <c r="AT642" s="476"/>
      <c r="AU642" s="482"/>
      <c r="AV642" s="478"/>
      <c r="AW642" s="483"/>
      <c r="AX642" s="476"/>
      <c r="AY642" s="482"/>
      <c r="AZ642" s="478"/>
      <c r="BA642" s="484"/>
      <c r="BB642" s="474"/>
      <c r="BC642" s="485"/>
      <c r="BD642" s="485"/>
      <c r="BG642" s="487"/>
    </row>
    <row r="643" spans="1:59" s="486" customFormat="1" ht="18" customHeight="1" x14ac:dyDescent="0.2">
      <c r="A643" s="1368" t="str">
        <f>LEFT(D643,8)</f>
        <v/>
      </c>
      <c r="B643" s="687"/>
      <c r="C643" s="463"/>
      <c r="D643" s="489"/>
      <c r="E643" s="465"/>
      <c r="F643" s="466"/>
      <c r="G643" s="620"/>
      <c r="H643" s="557"/>
      <c r="I643" s="467"/>
      <c r="J643" s="468"/>
      <c r="K643" s="490"/>
      <c r="L643" s="469"/>
      <c r="M643" s="683"/>
      <c r="N643" s="470"/>
      <c r="O643" s="468"/>
      <c r="P643" s="616"/>
      <c r="Q643" s="472"/>
      <c r="R643" s="472"/>
      <c r="S643" s="634"/>
      <c r="T643" s="470"/>
      <c r="U643" s="612"/>
      <c r="V643" s="464"/>
      <c r="W643" s="612"/>
      <c r="X643" s="473"/>
      <c r="Y643" s="497"/>
      <c r="Z643" s="449"/>
      <c r="AA643" s="497"/>
      <c r="AB643" s="476"/>
      <c r="AC643" s="497"/>
      <c r="AD643" s="568"/>
      <c r="AE643" s="476"/>
      <c r="AF643" s="568"/>
      <c r="AG643" s="476"/>
      <c r="AH643" s="476"/>
      <c r="AI643" s="477"/>
      <c r="AJ643" s="478"/>
      <c r="AK643" s="479"/>
      <c r="AL643" s="480"/>
      <c r="AM643" s="474"/>
      <c r="AN643" s="481"/>
      <c r="AO643" s="474"/>
      <c r="AP643" s="476"/>
      <c r="AQ643" s="482"/>
      <c r="AR643" s="478"/>
      <c r="AS643" s="478"/>
      <c r="AT643" s="476"/>
      <c r="AU643" s="482"/>
      <c r="AV643" s="478"/>
      <c r="AW643" s="483"/>
      <c r="AX643" s="476"/>
      <c r="AY643" s="482"/>
      <c r="AZ643" s="478"/>
      <c r="BA643" s="484"/>
      <c r="BB643" s="474"/>
      <c r="BC643" s="485"/>
      <c r="BD643" s="485"/>
      <c r="BG643" s="487"/>
    </row>
    <row r="644" spans="1:59" s="486" customFormat="1" ht="18" customHeight="1" x14ac:dyDescent="0.2">
      <c r="A644" s="1368"/>
      <c r="B644" s="687"/>
      <c r="C644" s="463"/>
      <c r="D644" s="489"/>
      <c r="E644" s="465"/>
      <c r="F644" s="466"/>
      <c r="G644" s="620"/>
      <c r="H644" s="464"/>
      <c r="I644" s="467"/>
      <c r="J644" s="468"/>
      <c r="K644" s="490"/>
      <c r="L644" s="469"/>
      <c r="M644" s="683"/>
      <c r="N644" s="470"/>
      <c r="O644" s="468"/>
      <c r="P644" s="616"/>
      <c r="Q644" s="472"/>
      <c r="R644" s="472"/>
      <c r="S644" s="634"/>
      <c r="T644" s="470"/>
      <c r="U644" s="612"/>
      <c r="V644" s="464"/>
      <c r="W644" s="612"/>
      <c r="X644" s="473"/>
      <c r="Y644" s="497"/>
      <c r="Z644" s="449"/>
      <c r="AA644" s="497"/>
      <c r="AB644" s="476"/>
      <c r="AC644" s="497"/>
      <c r="AD644" s="568"/>
      <c r="AE644" s="476"/>
      <c r="AF644" s="568"/>
      <c r="AG644" s="476"/>
      <c r="AH644" s="476"/>
      <c r="AI644" s="477"/>
      <c r="AJ644" s="478"/>
      <c r="AK644" s="479"/>
      <c r="AL644" s="480"/>
      <c r="AM644" s="474"/>
      <c r="AN644" s="481"/>
      <c r="AO644" s="474"/>
      <c r="AP644" s="476"/>
      <c r="AQ644" s="482"/>
      <c r="AR644" s="478"/>
      <c r="AS644" s="478"/>
      <c r="AT644" s="476"/>
      <c r="AU644" s="482"/>
      <c r="AV644" s="478"/>
      <c r="AW644" s="483"/>
      <c r="AX644" s="476"/>
      <c r="AY644" s="482"/>
      <c r="AZ644" s="478"/>
      <c r="BA644" s="484"/>
      <c r="BB644" s="474"/>
      <c r="BC644" s="485"/>
      <c r="BD644" s="485"/>
      <c r="BG644" s="487"/>
    </row>
    <row r="645" spans="1:59" s="486" customFormat="1" ht="18" customHeight="1" x14ac:dyDescent="0.2">
      <c r="A645" s="1369"/>
      <c r="B645" s="687"/>
      <c r="C645" s="463"/>
      <c r="D645" s="464"/>
      <c r="E645" s="465"/>
      <c r="F645" s="634"/>
      <c r="G645" s="620"/>
      <c r="H645" s="469" t="str">
        <f>IF(OR(AND(ISBLANK(E645),ISBLANK(G645)),ISTEXT(E645),ISTEXT(G645)),"",IF(#REF!-(YEAR(E645)-YEAR(#REF!))&lt;0,0,#REF!-(YEAR(E645)-YEAR(#REF!))))</f>
        <v/>
      </c>
      <c r="I645" s="467" t="str">
        <f>IF(OR(AND(ISBLANK(E645),ISBLANK(G645)),ISTEXT(E645),ISTEXT(G645)),"",IF(#REF!-E645&lt;0,0,#REF!-E645))</f>
        <v/>
      </c>
      <c r="J645" s="498" t="str">
        <f>IF(OR(AND(ISBLANK(E645),ISBLANK(G645)),ISTEXT(E645),ISTEXT(G645)),"",#REF!)</f>
        <v/>
      </c>
      <c r="K645" s="498"/>
      <c r="L645" s="469" t="str">
        <f>IF(OR(AND(ISBLANK(E645),ISBLANK(G645)),ISTEXT(E645),ISTEXT(G645)),"",ROUNDDOWN(G645/SUM($G$57:G642)*$H$57,0))</f>
        <v/>
      </c>
      <c r="M645" s="683" t="str">
        <f>IF(OR(AND(ISBLANK(E645),ISBLANK(G645)),ISTEXT(E645),ISTEXT(G645)),"",IF(H645+L645&gt;$H$57,$H$57-H645,L645))</f>
        <v/>
      </c>
      <c r="N645" s="470" t="str">
        <f>IF(OR(AND(ISBLANK(E645),ISBLANK(G645)),ISTEXT(E645),ISTEXT(G645)),"",H645+M645)</f>
        <v/>
      </c>
      <c r="O645" s="498" t="str">
        <f>IF(OR(AND(ISBLANK(E645),ISBLANK(G645)),ISTEXT(E645),ISTEXT(G645)),"",DATE(YEAR($J645)+M645,MONTH($J645),DAY($J645)))</f>
        <v/>
      </c>
      <c r="P645" s="748" t="str">
        <f>IF(OR(AND(ISBLANK(E645),ISBLANK(G645)),ISTEXT(E645),ISTEXT(G645)),"",#REF!-#REF!*(IF(J645&lt;E645,J645,E645)-#REF!))</f>
        <v/>
      </c>
      <c r="Q645" s="500" t="str">
        <f>IF(OR(AND(ISBLANK(E645),ISBLANK(G645)),ISTEXT(E645),ISTEXT(G645)),"",P645+G645)</f>
        <v/>
      </c>
      <c r="R645" s="501" t="str">
        <f>IF(OR(AND(ISBLANK(E645),ISBLANK(G645)),ISTEXT(E645),ISTEXT(G645)),"",IF(OR(E645&lt;DATE(2004,12,31),#REF!=0),0,Q645/#REF!))</f>
        <v/>
      </c>
      <c r="S645" s="502" t="str">
        <f>IF(OR(AND(ISBLANK(E645),ISBLANK(G645)),ISTEXT(E645),ISTEXT(G645)),"",IF(YEAR(E645)&lt;=YEAR(#REF!),"-",YEAR(E645)-1))</f>
        <v/>
      </c>
      <c r="T645" s="502"/>
      <c r="U645" s="612" t="str">
        <f>IF(OR(AND(ISBLANK(E645),ISBLANK(G645)),ISTEXT(E645),ISTEXT(G645)),"",IF(AND(J645&lt;=DATE(2004,12,31),E645&gt;J645),SUM($G645:G645),#REF!+#REF!+#REF!*IF(YEAR(E645)&lt;=YEAR(#REF!),0,(IF(DATE(YEAR(E645)-1,12,31)&gt;J645,J645,DATE(YEAR(E645)-1,12,31))-#REF!))))</f>
        <v/>
      </c>
      <c r="V645" s="503" t="str">
        <f>IF(OR(AND(ISBLANK(E645),ISBLANK(G645)),ISTEXT(E645),ISTEXT(G645)),"",IF(YEAR(E645)=YEAR(E646),E646,DATE(YEAR(E645),12,31)))</f>
        <v/>
      </c>
      <c r="W645" s="612" t="str">
        <f>IF(OR(AND(ISBLANK(E645),ISBLANK(G645)),ISTEXT(E645),ISTEXT(G645)),"",IF(Q645=0,0,IF(AND(J645&lt;=DATE(2004,12,31),E645&gt;=J645),Q645-U645,Q645-#REF!)))</f>
        <v/>
      </c>
      <c r="X645" s="504" t="str">
        <f>IF(OR(AND(ISBLANK(E645),ISBLANK(G645)),ISTEXT(E645),ISTEXT(G645)),"",$D$57&amp;"//"&amp;TEXT($E$57,"dd-mmm-yyyy")&amp;"//"&amp;#REF!)</f>
        <v/>
      </c>
      <c r="Y645" s="476"/>
      <c r="Z645" s="476"/>
      <c r="AA645" s="476"/>
      <c r="AB645" s="476"/>
      <c r="AC645" s="476"/>
      <c r="AD645" s="568"/>
      <c r="AE645" s="476"/>
      <c r="AF645" s="568"/>
      <c r="AG645" s="476"/>
      <c r="AH645" s="476"/>
      <c r="AI645" s="477"/>
      <c r="AJ645" s="478"/>
      <c r="AK645" s="479"/>
      <c r="AL645" s="480"/>
      <c r="AM645" s="474"/>
      <c r="AN645" s="481"/>
      <c r="AO645" s="474"/>
      <c r="AP645" s="476"/>
      <c r="AQ645" s="482"/>
      <c r="AR645" s="478"/>
      <c r="AS645" s="478"/>
      <c r="AT645" s="476"/>
      <c r="AU645" s="482"/>
      <c r="AV645" s="478"/>
      <c r="AW645" s="483"/>
      <c r="AX645" s="476"/>
      <c r="AY645" s="482"/>
      <c r="AZ645" s="478"/>
      <c r="BA645" s="484"/>
      <c r="BB645" s="474"/>
      <c r="BC645" s="485"/>
      <c r="BD645" s="485"/>
      <c r="BG645" s="487"/>
    </row>
    <row r="646" spans="1:59" s="526" customFormat="1" ht="18" customHeight="1" x14ac:dyDescent="0.2">
      <c r="A646" s="1370" t="s">
        <v>4184</v>
      </c>
      <c r="B646" s="1956" t="s">
        <v>4184</v>
      </c>
      <c r="C646" s="1957"/>
      <c r="D646" s="1957"/>
      <c r="E646" s="1957"/>
      <c r="F646" s="1958"/>
      <c r="G646" s="624">
        <f>SUM(G630:G645)</f>
        <v>12355948320.001995</v>
      </c>
      <c r="H646" s="505"/>
      <c r="I646" s="506"/>
      <c r="J646" s="507"/>
      <c r="K646" s="507"/>
      <c r="L646" s="505"/>
      <c r="M646" s="684"/>
      <c r="N646" s="508"/>
      <c r="O646" s="507"/>
      <c r="P646" s="749"/>
      <c r="Q646" s="510"/>
      <c r="R646" s="511"/>
      <c r="S646" s="512"/>
      <c r="T646" s="512"/>
      <c r="U646" s="610">
        <f>SUM(U630:U645)</f>
        <v>4913028311.0139427</v>
      </c>
      <c r="V646" s="513"/>
      <c r="W646" s="610">
        <f>G646-U646</f>
        <v>7442920008.9880524</v>
      </c>
      <c r="X646" s="514"/>
      <c r="Y646" s="515"/>
      <c r="Z646" s="515"/>
      <c r="AA646" s="515"/>
      <c r="AB646" s="515"/>
      <c r="AC646" s="515"/>
      <c r="AD646" s="570"/>
      <c r="AE646" s="515"/>
      <c r="AF646" s="570">
        <v>4005137869.3330307</v>
      </c>
      <c r="AG646" s="515"/>
      <c r="AH646" s="515"/>
      <c r="AI646" s="516"/>
      <c r="AJ646" s="517"/>
      <c r="AK646" s="518"/>
      <c r="AL646" s="519"/>
      <c r="AM646" s="520"/>
      <c r="AN646" s="521"/>
      <c r="AO646" s="520"/>
      <c r="AP646" s="515"/>
      <c r="AQ646" s="522"/>
      <c r="AR646" s="517"/>
      <c r="AS646" s="517"/>
      <c r="AT646" s="515"/>
      <c r="AU646" s="522"/>
      <c r="AV646" s="517"/>
      <c r="AW646" s="523"/>
      <c r="AX646" s="515"/>
      <c r="AY646" s="522"/>
      <c r="AZ646" s="517"/>
      <c r="BA646" s="524"/>
      <c r="BB646" s="520"/>
      <c r="BC646" s="525"/>
      <c r="BD646" s="525"/>
      <c r="BG646" s="527"/>
    </row>
    <row r="649" spans="1:59" s="422" customFormat="1" ht="18" customHeight="1" x14ac:dyDescent="0.2">
      <c r="A649" s="1366">
        <f>C649</f>
        <v>93</v>
      </c>
      <c r="B649" s="742" t="s">
        <v>4187</v>
      </c>
      <c r="C649" s="556">
        <v>93</v>
      </c>
      <c r="D649" s="553" t="str">
        <f>VLOOKUP(C649,RUAS,2,FALSE)</f>
        <v>SIMP. KINALI - BUKIT KAUMAN</v>
      </c>
      <c r="E649" s="553"/>
      <c r="F649" s="421"/>
      <c r="G649" s="611"/>
      <c r="I649" s="423"/>
      <c r="J649" s="424"/>
      <c r="K649" s="424"/>
      <c r="M649" s="680"/>
      <c r="P649" s="611"/>
      <c r="U649" s="611"/>
      <c r="W649" s="611"/>
      <c r="Y649" s="425"/>
      <c r="Z649" s="425"/>
      <c r="AA649" s="425"/>
      <c r="AB649" s="425"/>
      <c r="AC649" s="425"/>
      <c r="AD649" s="563"/>
      <c r="AE649" s="425"/>
      <c r="AF649" s="563"/>
      <c r="AG649" s="425"/>
      <c r="AH649" s="425"/>
      <c r="AI649" s="425"/>
      <c r="AJ649" s="425"/>
      <c r="AK649" s="425"/>
      <c r="AL649" s="425"/>
      <c r="AM649" s="425"/>
      <c r="AN649" s="425"/>
      <c r="AO649" s="425"/>
      <c r="AP649" s="425"/>
      <c r="AQ649" s="425"/>
      <c r="AR649" s="425"/>
      <c r="AS649" s="425"/>
      <c r="AT649" s="425"/>
      <c r="AU649" s="425"/>
      <c r="AV649" s="425"/>
      <c r="AW649" s="425"/>
      <c r="AX649" s="425"/>
      <c r="AY649" s="425"/>
      <c r="AZ649" s="425"/>
      <c r="BA649" s="425"/>
      <c r="BB649" s="425"/>
    </row>
    <row r="650" spans="1:59" s="431" customFormat="1" ht="18" customHeight="1" x14ac:dyDescent="0.2">
      <c r="A650" s="1367"/>
      <c r="B650" s="1968" t="s">
        <v>5</v>
      </c>
      <c r="C650" s="1968" t="s">
        <v>2280</v>
      </c>
      <c r="D650" s="1968" t="s">
        <v>4157</v>
      </c>
      <c r="E650" s="1968" t="s">
        <v>4158</v>
      </c>
      <c r="F650" s="1968"/>
      <c r="G650" s="1969" t="s">
        <v>4159</v>
      </c>
      <c r="H650" s="1968" t="s">
        <v>4160</v>
      </c>
      <c r="I650" s="1968"/>
      <c r="J650" s="1968" t="s">
        <v>4185</v>
      </c>
      <c r="K650" s="1964" t="s">
        <v>4162</v>
      </c>
      <c r="L650" s="1968" t="s">
        <v>4163</v>
      </c>
      <c r="M650" s="1971" t="s">
        <v>4164</v>
      </c>
      <c r="N650" s="1962" t="s">
        <v>4165</v>
      </c>
      <c r="O650" s="1968" t="s">
        <v>4166</v>
      </c>
      <c r="P650" s="1972" t="s">
        <v>4167</v>
      </c>
      <c r="Q650" s="1973"/>
      <c r="R650" s="636" t="s">
        <v>4186</v>
      </c>
      <c r="S650" s="1972" t="s">
        <v>4169</v>
      </c>
      <c r="T650" s="1974"/>
      <c r="U650" s="1973"/>
      <c r="V650" s="1975" t="s">
        <v>4170</v>
      </c>
      <c r="W650" s="1975"/>
      <c r="X650" s="1960" t="s">
        <v>4171</v>
      </c>
      <c r="Y650" s="1959"/>
      <c r="Z650" s="633"/>
      <c r="AA650" s="426"/>
      <c r="AB650" s="426"/>
      <c r="AC650" s="426"/>
      <c r="AD650" s="564"/>
      <c r="AE650" s="426"/>
      <c r="AF650" s="564"/>
      <c r="AG650" s="426"/>
      <c r="AH650" s="426"/>
      <c r="AI650" s="427"/>
      <c r="AJ650" s="427"/>
      <c r="AK650" s="427"/>
      <c r="AL650" s="427"/>
      <c r="AM650" s="428"/>
      <c r="AN650" s="427"/>
      <c r="AO650" s="427"/>
      <c r="AP650" s="426"/>
      <c r="AQ650" s="427"/>
      <c r="AR650" s="427"/>
      <c r="AS650" s="427"/>
      <c r="AT650" s="426"/>
      <c r="AU650" s="427"/>
      <c r="AV650" s="427"/>
      <c r="AW650" s="427"/>
      <c r="AX650" s="426"/>
      <c r="AY650" s="427"/>
      <c r="AZ650" s="427"/>
      <c r="BA650" s="427"/>
      <c r="BB650" s="429"/>
      <c r="BC650" s="430"/>
      <c r="BD650" s="430"/>
    </row>
    <row r="651" spans="1:59" s="431" customFormat="1" ht="18" customHeight="1" x14ac:dyDescent="0.2">
      <c r="A651" s="1367"/>
      <c r="B651" s="1968"/>
      <c r="C651" s="1968"/>
      <c r="D651" s="1968"/>
      <c r="E651" s="1968"/>
      <c r="F651" s="1968"/>
      <c r="G651" s="1969"/>
      <c r="H651" s="1968"/>
      <c r="I651" s="1968"/>
      <c r="J651" s="1968"/>
      <c r="K651" s="1970"/>
      <c r="L651" s="1968"/>
      <c r="M651" s="1971"/>
      <c r="N651" s="1963"/>
      <c r="O651" s="1968"/>
      <c r="P651" s="2037" t="s">
        <v>4172</v>
      </c>
      <c r="Q651" s="1960" t="s">
        <v>4173</v>
      </c>
      <c r="R651" s="1962" t="s">
        <v>4159</v>
      </c>
      <c r="S651" s="1962" t="s">
        <v>4174</v>
      </c>
      <c r="T651" s="1964" t="s">
        <v>4175</v>
      </c>
      <c r="U651" s="1966" t="s">
        <v>4159</v>
      </c>
      <c r="V651" s="1975"/>
      <c r="W651" s="1975"/>
      <c r="X651" s="1976"/>
      <c r="Y651" s="1959"/>
      <c r="Z651" s="633"/>
      <c r="AA651" s="426"/>
      <c r="AB651" s="426"/>
      <c r="AC651" s="426"/>
      <c r="AD651" s="564"/>
      <c r="AE651" s="426"/>
      <c r="AF651" s="564"/>
      <c r="AG651" s="426"/>
      <c r="AH651" s="426"/>
      <c r="AI651" s="427"/>
      <c r="AJ651" s="427"/>
      <c r="AK651" s="426"/>
      <c r="AL651" s="427"/>
      <c r="AM651" s="428"/>
      <c r="AN651" s="427"/>
      <c r="AO651" s="427"/>
      <c r="AP651" s="432"/>
      <c r="AQ651" s="427"/>
      <c r="AR651" s="427"/>
      <c r="AS651" s="427"/>
      <c r="AT651" s="432"/>
      <c r="AU651" s="427"/>
      <c r="AV651" s="427"/>
      <c r="AW651" s="427"/>
      <c r="AX651" s="432"/>
      <c r="AY651" s="427"/>
      <c r="AZ651" s="427"/>
      <c r="BA651" s="427"/>
      <c r="BB651" s="429"/>
      <c r="BC651" s="430"/>
      <c r="BD651" s="430"/>
    </row>
    <row r="652" spans="1:59" s="431" customFormat="1" ht="18" customHeight="1" x14ac:dyDescent="0.2">
      <c r="A652" s="1367"/>
      <c r="B652" s="1968"/>
      <c r="C652" s="1968"/>
      <c r="D652" s="1968"/>
      <c r="E652" s="433" t="s">
        <v>4176</v>
      </c>
      <c r="F652" s="434" t="s">
        <v>2288</v>
      </c>
      <c r="G652" s="1969"/>
      <c r="H652" s="635" t="s">
        <v>2288</v>
      </c>
      <c r="I652" s="635" t="s">
        <v>4177</v>
      </c>
      <c r="J652" s="1968"/>
      <c r="K652" s="1965"/>
      <c r="L652" s="435" t="s">
        <v>2288</v>
      </c>
      <c r="M652" s="681" t="s">
        <v>2288</v>
      </c>
      <c r="N652" s="635" t="s">
        <v>2288</v>
      </c>
      <c r="O652" s="1968"/>
      <c r="P652" s="2038"/>
      <c r="Q652" s="1961"/>
      <c r="R652" s="1963"/>
      <c r="S652" s="1963"/>
      <c r="T652" s="1965"/>
      <c r="U652" s="1967"/>
      <c r="V652" s="635" t="s">
        <v>4178</v>
      </c>
      <c r="W652" s="637" t="s">
        <v>4159</v>
      </c>
      <c r="X652" s="1961"/>
      <c r="Y652" s="436"/>
      <c r="Z652" s="436"/>
      <c r="AA652" s="426"/>
      <c r="AB652" s="426"/>
      <c r="AC652" s="426"/>
      <c r="AD652" s="564"/>
      <c r="AE652" s="426"/>
      <c r="AF652" s="564"/>
      <c r="AG652" s="426"/>
      <c r="AH652" s="426"/>
      <c r="AI652" s="427"/>
      <c r="AJ652" s="432"/>
      <c r="AK652" s="432"/>
      <c r="AL652" s="427"/>
      <c r="AM652" s="428"/>
      <c r="AN652" s="432"/>
      <c r="AO652" s="427"/>
      <c r="AP652" s="432"/>
      <c r="AQ652" s="432"/>
      <c r="AR652" s="427"/>
      <c r="AS652" s="427"/>
      <c r="AT652" s="432"/>
      <c r="AU652" s="432"/>
      <c r="AV652" s="427"/>
      <c r="AW652" s="427"/>
      <c r="AX652" s="432"/>
      <c r="AY652" s="432"/>
      <c r="AZ652" s="427"/>
      <c r="BA652" s="427"/>
      <c r="BB652" s="429"/>
      <c r="BC652" s="430"/>
      <c r="BD652" s="430"/>
    </row>
    <row r="653" spans="1:59" s="461" customFormat="1" ht="18" customHeight="1" x14ac:dyDescent="0.2">
      <c r="A653" s="1368" t="str">
        <f>$D$649&amp;S653</f>
        <v>SIMP. KINALI - BUKIT KAUMAN2001</v>
      </c>
      <c r="B653" s="1373">
        <v>1</v>
      </c>
      <c r="C653" s="532" t="s">
        <v>529</v>
      </c>
      <c r="D653" s="437" t="s">
        <v>2494</v>
      </c>
      <c r="E653" s="438"/>
      <c r="F653" s="439">
        <v>2001</v>
      </c>
      <c r="G653" s="623">
        <v>3640000000</v>
      </c>
      <c r="H653" s="440">
        <f>VLOOKUP(LEFT(D653,8),UE,4)</f>
        <v>10</v>
      </c>
      <c r="I653" s="441"/>
      <c r="J653" s="442">
        <f>F653+N653-1</f>
        <v>2010</v>
      </c>
      <c r="K653" s="443"/>
      <c r="L653" s="440"/>
      <c r="M653" s="746">
        <f>IF(H653+L653&gt;$H653,$H653-H653,L653)</f>
        <v>0</v>
      </c>
      <c r="N653" s="444">
        <f>H653+M653</f>
        <v>10</v>
      </c>
      <c r="O653" s="442">
        <f>F653+N653-1</f>
        <v>2010</v>
      </c>
      <c r="P653" s="617">
        <f>G653</f>
        <v>3640000000</v>
      </c>
      <c r="Q653" s="445">
        <v>0</v>
      </c>
      <c r="R653" s="445">
        <f>P653/N653</f>
        <v>364000000</v>
      </c>
      <c r="S653" s="446">
        <f>F653</f>
        <v>2001</v>
      </c>
      <c r="T653" s="447">
        <v>1</v>
      </c>
      <c r="U653" s="613">
        <f>R653*T653</f>
        <v>364000000</v>
      </c>
      <c r="V653" s="442">
        <f>F653</f>
        <v>2001</v>
      </c>
      <c r="W653" s="617">
        <f>IF(OR(AND(ISBLANK(E653),ISBLANK(G653)),ISTEXT(E653),ISTEXT(G653)),"",G653-R653)</f>
        <v>3276000000</v>
      </c>
      <c r="X653" s="448"/>
      <c r="Y653" s="449"/>
      <c r="Z653" s="449"/>
      <c r="AA653" s="693"/>
      <c r="AB653" s="452"/>
      <c r="AC653" s="452"/>
      <c r="AD653" s="571"/>
      <c r="AE653" s="452"/>
      <c r="AF653" s="571"/>
      <c r="AG653" s="452"/>
      <c r="AH653" s="452"/>
      <c r="AI653" s="453"/>
      <c r="AJ653" s="449"/>
      <c r="AK653" s="453"/>
      <c r="AL653" s="454"/>
      <c r="AM653" s="455"/>
      <c r="AN653" s="456"/>
      <c r="AO653" s="455"/>
      <c r="AP653" s="452"/>
      <c r="AQ653" s="457"/>
      <c r="AR653" s="449"/>
      <c r="AS653" s="449"/>
      <c r="AT653" s="452"/>
      <c r="AU653" s="457"/>
      <c r="AV653" s="449"/>
      <c r="AW653" s="458"/>
      <c r="AX653" s="452"/>
      <c r="AY653" s="457"/>
      <c r="AZ653" s="449"/>
      <c r="BA653" s="459"/>
      <c r="BB653" s="455"/>
      <c r="BC653" s="460"/>
      <c r="BD653" s="460"/>
      <c r="BG653" s="462"/>
    </row>
    <row r="654" spans="1:59" s="461" customFormat="1" ht="18" customHeight="1" x14ac:dyDescent="0.2">
      <c r="A654" s="1368" t="str">
        <f t="shared" ref="A654:A661" si="469">$D$649&amp;S654</f>
        <v>SIMP. KINALI - BUKIT KAUMAN2010</v>
      </c>
      <c r="B654" s="1373"/>
      <c r="C654" s="488"/>
      <c r="D654" s="489"/>
      <c r="E654" s="558"/>
      <c r="F654" s="559">
        <v>2010</v>
      </c>
      <c r="G654" s="619">
        <v>0</v>
      </c>
      <c r="H654" s="464">
        <f t="shared" ref="H654:H660" si="470">IF(N653-(F654-F653)&lt;=0,0,(N653-(F654-F653)))</f>
        <v>1</v>
      </c>
      <c r="I654" s="560"/>
      <c r="J654" s="468">
        <f>F654+N654-1</f>
        <v>2010</v>
      </c>
      <c r="K654" s="490">
        <f>IF(G654=0,0,IF(H654=10,100%,G654/W653))</f>
        <v>0</v>
      </c>
      <c r="L654" s="469">
        <f>IF(K654=0%,0,IF(K654&lt;=30%,2,IF(K654&lt;=60%,5,10)))</f>
        <v>0</v>
      </c>
      <c r="M654" s="683">
        <f>IF(OR(AND(ISBLANK(E654),ISBLANK(G654)),ISTEXT(E654),ISTEXT(G654)),"",IF(H654+L654&gt;$H$8,$H$8-H654,L654))</f>
        <v>0</v>
      </c>
      <c r="N654" s="470">
        <f>IF(OR(AND(ISBLANK(F654),ISBLANK(G654)),ISTEXT(F654),ISTEXT(G654)),"",H654+M654)</f>
        <v>1</v>
      </c>
      <c r="O654" s="468">
        <f>F654+N654-1</f>
        <v>2010</v>
      </c>
      <c r="P654" s="616">
        <f>W653</f>
        <v>3276000000</v>
      </c>
      <c r="Q654" s="472">
        <f>P654+G654</f>
        <v>3276000000</v>
      </c>
      <c r="R654" s="472">
        <f>IF(L654=0,R653,Q654/N654)</f>
        <v>364000000</v>
      </c>
      <c r="S654" s="634">
        <f>F654</f>
        <v>2010</v>
      </c>
      <c r="T654" s="470">
        <f>S654-S653</f>
        <v>9</v>
      </c>
      <c r="U654" s="612">
        <f>R654*T654</f>
        <v>3276000000</v>
      </c>
      <c r="V654" s="464">
        <f>F654</f>
        <v>2010</v>
      </c>
      <c r="W654" s="612">
        <f>IF(OR(AND(ISBLANK(E654),ISBLANK(G654)),ISTEXT(E654),ISTEXT(G654)),"",Q654-U654)</f>
        <v>0</v>
      </c>
      <c r="X654" s="561"/>
      <c r="Y654" s="449"/>
      <c r="Z654" s="449"/>
      <c r="AA654" s="693"/>
      <c r="AB654" s="452"/>
      <c r="AC654" s="452"/>
      <c r="AD654" s="571"/>
      <c r="AE654" s="452"/>
      <c r="AF654" s="571"/>
      <c r="AG654" s="452"/>
      <c r="AH654" s="452"/>
      <c r="AI654" s="453"/>
      <c r="AJ654" s="449"/>
      <c r="AK654" s="453"/>
      <c r="AL654" s="454"/>
      <c r="AM654" s="455"/>
      <c r="AN654" s="456"/>
      <c r="AO654" s="455"/>
      <c r="AP654" s="452"/>
      <c r="AQ654" s="457"/>
      <c r="AR654" s="449"/>
      <c r="AS654" s="449"/>
      <c r="AT654" s="452"/>
      <c r="AU654" s="457"/>
      <c r="AV654" s="449"/>
      <c r="AW654" s="458"/>
      <c r="AX654" s="452"/>
      <c r="AY654" s="457"/>
      <c r="AZ654" s="449"/>
      <c r="BA654" s="459"/>
      <c r="BB654" s="455"/>
      <c r="BC654" s="460"/>
      <c r="BD654" s="460"/>
      <c r="BG654" s="462"/>
    </row>
    <row r="655" spans="1:59" s="461" customFormat="1" ht="18" customHeight="1" x14ac:dyDescent="0.2">
      <c r="A655" s="1368" t="str">
        <f t="shared" si="469"/>
        <v>SIMP. KINALI - BUKIT KAUMAN2013</v>
      </c>
      <c r="B655" s="1373"/>
      <c r="C655" s="488"/>
      <c r="D655" s="489"/>
      <c r="E655" s="558"/>
      <c r="F655" s="559">
        <v>2013</v>
      </c>
      <c r="G655" s="619">
        <v>0</v>
      </c>
      <c r="H655" s="464">
        <f t="shared" si="470"/>
        <v>0</v>
      </c>
      <c r="I655" s="560"/>
      <c r="J655" s="468">
        <f t="shared" ref="J655:J660" si="471">F655+N655-1</f>
        <v>2012</v>
      </c>
      <c r="K655" s="490">
        <f t="shared" ref="K655:K660" si="472">IF(G655=0,0,IF(H655=10,100%,G655/W654))</f>
        <v>0</v>
      </c>
      <c r="L655" s="469">
        <f t="shared" ref="L655:L660" si="473">IF(K655=0%,0,IF(K655&lt;=30%,2,IF(K655&lt;=60%,5,10)))</f>
        <v>0</v>
      </c>
      <c r="M655" s="683">
        <f t="shared" ref="M655:M660" si="474">IF(OR(AND(ISBLANK(E655),ISBLANK(G655)),ISTEXT(E655),ISTEXT(G655)),"",IF(H655+L655&gt;$H$8,$H$8-H655,L655))</f>
        <v>0</v>
      </c>
      <c r="N655" s="470">
        <f t="shared" ref="N655:N660" si="475">IF(OR(AND(ISBLANK(F655),ISBLANK(G655)),ISTEXT(F655),ISTEXT(G655)),"",H655+M655)</f>
        <v>0</v>
      </c>
      <c r="O655" s="468">
        <f t="shared" ref="O655:O660" si="476">F655+N655-1</f>
        <v>2012</v>
      </c>
      <c r="P655" s="616">
        <f t="shared" ref="P655:P660" si="477">W654</f>
        <v>0</v>
      </c>
      <c r="Q655" s="472">
        <f t="shared" ref="Q655:Q660" si="478">P655+G655</f>
        <v>0</v>
      </c>
      <c r="R655" s="472">
        <v>0</v>
      </c>
      <c r="S655" s="754">
        <f t="shared" ref="S655:S660" si="479">F655</f>
        <v>2013</v>
      </c>
      <c r="T655" s="470">
        <f t="shared" ref="T655:T660" si="480">S655-S654</f>
        <v>3</v>
      </c>
      <c r="U655" s="612">
        <f t="shared" ref="U655:U660" si="481">R655*T655</f>
        <v>0</v>
      </c>
      <c r="V655" s="464">
        <f t="shared" ref="V655:V660" si="482">F655</f>
        <v>2013</v>
      </c>
      <c r="W655" s="612">
        <f t="shared" ref="W655:W660" si="483">IF(OR(AND(ISBLANK(E655),ISBLANK(G655)),ISTEXT(E655),ISTEXT(G655)),"",Q655-U655)</f>
        <v>0</v>
      </c>
      <c r="X655" s="561"/>
      <c r="Y655" s="449"/>
      <c r="Z655" s="449"/>
      <c r="AA655" s="693"/>
      <c r="AB655" s="452"/>
      <c r="AC655" s="452"/>
      <c r="AD655" s="571"/>
      <c r="AE655" s="452"/>
      <c r="AF655" s="571"/>
      <c r="AG655" s="452"/>
      <c r="AH655" s="452"/>
      <c r="AI655" s="453"/>
      <c r="AJ655" s="449"/>
      <c r="AK655" s="453"/>
      <c r="AL655" s="454"/>
      <c r="AM655" s="455"/>
      <c r="AN655" s="456"/>
      <c r="AO655" s="455"/>
      <c r="AP655" s="452"/>
      <c r="AQ655" s="457"/>
      <c r="AR655" s="449"/>
      <c r="AS655" s="449"/>
      <c r="AT655" s="452"/>
      <c r="AU655" s="457"/>
      <c r="AV655" s="449"/>
      <c r="AW655" s="458"/>
      <c r="AX655" s="452"/>
      <c r="AY655" s="457"/>
      <c r="AZ655" s="449"/>
      <c r="BA655" s="459"/>
      <c r="BB655" s="455"/>
      <c r="BC655" s="460"/>
      <c r="BD655" s="460"/>
      <c r="BG655" s="462"/>
    </row>
    <row r="656" spans="1:59" s="461" customFormat="1" ht="18" customHeight="1" x14ac:dyDescent="0.2">
      <c r="A656" s="1368" t="str">
        <f t="shared" si="469"/>
        <v>SIMP. KINALI - BUKIT KAUMAN2014</v>
      </c>
      <c r="B656" s="1373"/>
      <c r="C656" s="488"/>
      <c r="D656" s="489"/>
      <c r="E656" s="558"/>
      <c r="F656" s="559">
        <v>2014</v>
      </c>
      <c r="G656" s="619">
        <v>0</v>
      </c>
      <c r="H656" s="464">
        <f t="shared" si="470"/>
        <v>0</v>
      </c>
      <c r="I656" s="560"/>
      <c r="J656" s="468">
        <f t="shared" si="471"/>
        <v>2013</v>
      </c>
      <c r="K656" s="490">
        <f t="shared" si="472"/>
        <v>0</v>
      </c>
      <c r="L656" s="469">
        <f t="shared" si="473"/>
        <v>0</v>
      </c>
      <c r="M656" s="683">
        <f t="shared" si="474"/>
        <v>0</v>
      </c>
      <c r="N656" s="470">
        <f t="shared" si="475"/>
        <v>0</v>
      </c>
      <c r="O656" s="468">
        <f t="shared" si="476"/>
        <v>2013</v>
      </c>
      <c r="P656" s="616">
        <f t="shared" si="477"/>
        <v>0</v>
      </c>
      <c r="Q656" s="472">
        <f t="shared" si="478"/>
        <v>0</v>
      </c>
      <c r="R656" s="472">
        <f t="shared" ref="R656:R661" si="484">IF(L656=0,R655,Q656/N656)</f>
        <v>0</v>
      </c>
      <c r="S656" s="754">
        <f t="shared" si="479"/>
        <v>2014</v>
      </c>
      <c r="T656" s="470">
        <f t="shared" si="480"/>
        <v>1</v>
      </c>
      <c r="U656" s="612">
        <f t="shared" si="481"/>
        <v>0</v>
      </c>
      <c r="V656" s="464">
        <f t="shared" si="482"/>
        <v>2014</v>
      </c>
      <c r="W656" s="612">
        <f t="shared" si="483"/>
        <v>0</v>
      </c>
      <c r="X656" s="561"/>
      <c r="Y656" s="449"/>
      <c r="Z656" s="449"/>
      <c r="AA656" s="694"/>
      <c r="AB656" s="692"/>
      <c r="AC656" s="692"/>
      <c r="AD656" s="695"/>
      <c r="AE656" s="452"/>
      <c r="AF656" s="571"/>
      <c r="AG656" s="452"/>
      <c r="AH656" s="452"/>
      <c r="AI656" s="453"/>
      <c r="AJ656" s="449"/>
      <c r="AK656" s="453"/>
      <c r="AL656" s="454"/>
      <c r="AM656" s="455"/>
      <c r="AN656" s="456"/>
      <c r="AO656" s="455"/>
      <c r="AP656" s="452"/>
      <c r="AQ656" s="457"/>
      <c r="AR656" s="449"/>
      <c r="AS656" s="449"/>
      <c r="AT656" s="452"/>
      <c r="AU656" s="457"/>
      <c r="AV656" s="449"/>
      <c r="AW656" s="458"/>
      <c r="AX656" s="452"/>
      <c r="AY656" s="457"/>
      <c r="AZ656" s="449"/>
      <c r="BA656" s="459"/>
      <c r="BB656" s="455"/>
      <c r="BC656" s="460"/>
      <c r="BD656" s="460"/>
      <c r="BG656" s="462"/>
    </row>
    <row r="657" spans="1:59" s="486" customFormat="1" ht="18" customHeight="1" x14ac:dyDescent="0.2">
      <c r="A657" s="1368" t="str">
        <f t="shared" si="469"/>
        <v>SIMP. KINALI - BUKIT KAUMAN2015</v>
      </c>
      <c r="B657" s="1373">
        <v>2</v>
      </c>
      <c r="C657" s="488" t="s">
        <v>1372</v>
      </c>
      <c r="D657" s="489" t="s">
        <v>2494</v>
      </c>
      <c r="E657" s="558"/>
      <c r="F657" s="559">
        <v>2015</v>
      </c>
      <c r="G657" s="619">
        <v>1656251100</v>
      </c>
      <c r="H657" s="557">
        <f>VLOOKUP(LEFT(D657,8),UE,4)</f>
        <v>10</v>
      </c>
      <c r="I657" s="467"/>
      <c r="J657" s="468">
        <f t="shared" si="471"/>
        <v>2024</v>
      </c>
      <c r="K657" s="490">
        <f t="shared" si="472"/>
        <v>1</v>
      </c>
      <c r="L657" s="469">
        <f t="shared" si="473"/>
        <v>10</v>
      </c>
      <c r="M657" s="683">
        <f t="shared" si="474"/>
        <v>0</v>
      </c>
      <c r="N657" s="470">
        <f t="shared" si="475"/>
        <v>10</v>
      </c>
      <c r="O657" s="468">
        <f t="shared" si="476"/>
        <v>2024</v>
      </c>
      <c r="P657" s="616">
        <f t="shared" si="477"/>
        <v>0</v>
      </c>
      <c r="Q657" s="472">
        <f t="shared" si="478"/>
        <v>1656251100</v>
      </c>
      <c r="R657" s="472">
        <f t="shared" si="484"/>
        <v>165625110</v>
      </c>
      <c r="S657" s="754">
        <f t="shared" si="479"/>
        <v>2015</v>
      </c>
      <c r="T657" s="470">
        <f t="shared" si="480"/>
        <v>1</v>
      </c>
      <c r="U657" s="612">
        <f t="shared" si="481"/>
        <v>165625110</v>
      </c>
      <c r="V657" s="464">
        <f t="shared" si="482"/>
        <v>2015</v>
      </c>
      <c r="W657" s="612">
        <f t="shared" si="483"/>
        <v>1490625990</v>
      </c>
      <c r="X657" s="473"/>
      <c r="Y657" s="474"/>
      <c r="Z657" s="449"/>
      <c r="AA657" s="554" t="s">
        <v>4179</v>
      </c>
      <c r="AB657" s="476"/>
      <c r="AC657" s="476"/>
      <c r="AD657" s="567"/>
      <c r="AE657" s="476"/>
      <c r="AF657" s="568"/>
      <c r="AG657" s="476"/>
      <c r="AH657" s="476"/>
      <c r="AI657" s="477"/>
      <c r="AJ657" s="478"/>
      <c r="AK657" s="479"/>
      <c r="AL657" s="480"/>
      <c r="AM657" s="474"/>
      <c r="AN657" s="481"/>
      <c r="AO657" s="474"/>
      <c r="AP657" s="476"/>
      <c r="AQ657" s="482"/>
      <c r="AR657" s="478"/>
      <c r="AS657" s="478"/>
      <c r="AT657" s="476"/>
      <c r="AU657" s="482"/>
      <c r="AV657" s="478"/>
      <c r="AW657" s="483"/>
      <c r="AX657" s="476"/>
      <c r="AY657" s="482"/>
      <c r="AZ657" s="478"/>
      <c r="BA657" s="484"/>
      <c r="BB657" s="474"/>
      <c r="BC657" s="485"/>
      <c r="BD657" s="485"/>
      <c r="BG657" s="487"/>
    </row>
    <row r="658" spans="1:59" s="486" customFormat="1" ht="18" customHeight="1" x14ac:dyDescent="0.2">
      <c r="A658" s="1368" t="str">
        <f t="shared" si="469"/>
        <v>SIMP. KINALI - BUKIT KAUMAN2016</v>
      </c>
      <c r="B658" s="1373"/>
      <c r="C658" s="488"/>
      <c r="D658" s="489"/>
      <c r="E658" s="558"/>
      <c r="F658" s="559">
        <v>2016</v>
      </c>
      <c r="G658" s="619">
        <v>0</v>
      </c>
      <c r="H658" s="464">
        <f t="shared" si="470"/>
        <v>9</v>
      </c>
      <c r="I658" s="467"/>
      <c r="J658" s="468">
        <f t="shared" si="471"/>
        <v>2024</v>
      </c>
      <c r="K658" s="490">
        <f t="shared" si="472"/>
        <v>0</v>
      </c>
      <c r="L658" s="469">
        <f t="shared" si="473"/>
        <v>0</v>
      </c>
      <c r="M658" s="683">
        <f t="shared" si="474"/>
        <v>0</v>
      </c>
      <c r="N658" s="470">
        <f t="shared" si="475"/>
        <v>9</v>
      </c>
      <c r="O658" s="468">
        <f t="shared" si="476"/>
        <v>2024</v>
      </c>
      <c r="P658" s="616">
        <f t="shared" si="477"/>
        <v>1490625990</v>
      </c>
      <c r="Q658" s="472">
        <f t="shared" si="478"/>
        <v>1490625990</v>
      </c>
      <c r="R658" s="472">
        <f t="shared" si="484"/>
        <v>165625110</v>
      </c>
      <c r="S658" s="754">
        <f t="shared" si="479"/>
        <v>2016</v>
      </c>
      <c r="T658" s="470">
        <f t="shared" si="480"/>
        <v>1</v>
      </c>
      <c r="U658" s="612">
        <f t="shared" si="481"/>
        <v>165625110</v>
      </c>
      <c r="V658" s="464">
        <f t="shared" si="482"/>
        <v>2016</v>
      </c>
      <c r="W658" s="612">
        <f t="shared" si="483"/>
        <v>1325000880</v>
      </c>
      <c r="X658" s="473"/>
      <c r="Y658" s="474"/>
      <c r="Z658" s="449"/>
      <c r="AA658" s="475"/>
      <c r="AB658" s="476"/>
      <c r="AC658" s="476"/>
      <c r="AD658" s="567"/>
      <c r="AE658" s="476"/>
      <c r="AF658" s="568"/>
      <c r="AG658" s="476"/>
      <c r="AH658" s="476"/>
      <c r="AI658" s="477"/>
      <c r="AJ658" s="478"/>
      <c r="AK658" s="479"/>
      <c r="AL658" s="480"/>
      <c r="AM658" s="474"/>
      <c r="AN658" s="481"/>
      <c r="AO658" s="474"/>
      <c r="AP658" s="476"/>
      <c r="AQ658" s="482"/>
      <c r="AR658" s="478"/>
      <c r="AS658" s="478"/>
      <c r="AT658" s="476"/>
      <c r="AU658" s="482"/>
      <c r="AV658" s="478"/>
      <c r="AW658" s="483"/>
      <c r="AX658" s="476"/>
      <c r="AY658" s="482"/>
      <c r="AZ658" s="478"/>
      <c r="BA658" s="484"/>
      <c r="BB658" s="474"/>
      <c r="BC658" s="485"/>
      <c r="BD658" s="485"/>
      <c r="BG658" s="487"/>
    </row>
    <row r="659" spans="1:59" s="486" customFormat="1" ht="18" customHeight="1" x14ac:dyDescent="0.2">
      <c r="A659" s="1368" t="str">
        <f t="shared" si="469"/>
        <v>SIMP. KINALI - BUKIT KAUMAN2017</v>
      </c>
      <c r="B659" s="1373"/>
      <c r="C659" s="488"/>
      <c r="D659" s="489"/>
      <c r="E659" s="558"/>
      <c r="F659" s="559">
        <v>2017</v>
      </c>
      <c r="G659" s="619">
        <v>0</v>
      </c>
      <c r="H659" s="464">
        <f t="shared" si="470"/>
        <v>8</v>
      </c>
      <c r="I659" s="467"/>
      <c r="J659" s="468">
        <f t="shared" si="471"/>
        <v>2024</v>
      </c>
      <c r="K659" s="490">
        <f t="shared" si="472"/>
        <v>0</v>
      </c>
      <c r="L659" s="469">
        <f t="shared" si="473"/>
        <v>0</v>
      </c>
      <c r="M659" s="683">
        <f t="shared" si="474"/>
        <v>0</v>
      </c>
      <c r="N659" s="470">
        <f t="shared" si="475"/>
        <v>8</v>
      </c>
      <c r="O659" s="468">
        <f t="shared" si="476"/>
        <v>2024</v>
      </c>
      <c r="P659" s="616">
        <f t="shared" si="477"/>
        <v>1325000880</v>
      </c>
      <c r="Q659" s="472">
        <f t="shared" si="478"/>
        <v>1325000880</v>
      </c>
      <c r="R659" s="472">
        <f t="shared" si="484"/>
        <v>165625110</v>
      </c>
      <c r="S659" s="754">
        <f t="shared" si="479"/>
        <v>2017</v>
      </c>
      <c r="T659" s="470">
        <f t="shared" si="480"/>
        <v>1</v>
      </c>
      <c r="U659" s="612">
        <f t="shared" si="481"/>
        <v>165625110</v>
      </c>
      <c r="V659" s="464">
        <f t="shared" si="482"/>
        <v>2017</v>
      </c>
      <c r="W659" s="612">
        <f t="shared" si="483"/>
        <v>1159375770</v>
      </c>
      <c r="X659" s="473"/>
      <c r="Y659" s="474"/>
      <c r="Z659" s="449"/>
      <c r="AA659" s="475" t="s">
        <v>4180</v>
      </c>
      <c r="AB659" s="476"/>
      <c r="AC659" s="476"/>
      <c r="AD659" s="567">
        <f>G666</f>
        <v>5296251100</v>
      </c>
      <c r="AE659" s="476"/>
      <c r="AF659" s="568"/>
      <c r="AG659" s="476"/>
      <c r="AH659" s="476"/>
      <c r="AI659" s="477"/>
      <c r="AJ659" s="478"/>
      <c r="AK659" s="479"/>
      <c r="AL659" s="480"/>
      <c r="AM659" s="474"/>
      <c r="AN659" s="481"/>
      <c r="AO659" s="474"/>
      <c r="AP659" s="476"/>
      <c r="AQ659" s="482"/>
      <c r="AR659" s="478"/>
      <c r="AS659" s="478"/>
      <c r="AT659" s="476"/>
      <c r="AU659" s="482"/>
      <c r="AV659" s="478"/>
      <c r="AW659" s="483"/>
      <c r="AX659" s="476"/>
      <c r="AY659" s="482"/>
      <c r="AZ659" s="478"/>
      <c r="BA659" s="484"/>
      <c r="BB659" s="474"/>
      <c r="BC659" s="485"/>
      <c r="BD659" s="485"/>
      <c r="BG659" s="487"/>
    </row>
    <row r="660" spans="1:59" s="486" customFormat="1" ht="18" customHeight="1" x14ac:dyDescent="0.2">
      <c r="A660" s="1368" t="str">
        <f t="shared" si="469"/>
        <v>SIMP. KINALI - BUKIT KAUMAN2018</v>
      </c>
      <c r="B660" s="1373"/>
      <c r="C660" s="463"/>
      <c r="D660" s="489"/>
      <c r="E660" s="465"/>
      <c r="F660" s="466">
        <v>2018</v>
      </c>
      <c r="G660" s="619">
        <v>0</v>
      </c>
      <c r="H660" s="464">
        <f t="shared" si="470"/>
        <v>7</v>
      </c>
      <c r="I660" s="467"/>
      <c r="J660" s="468">
        <f t="shared" si="471"/>
        <v>2024</v>
      </c>
      <c r="K660" s="490">
        <f t="shared" si="472"/>
        <v>0</v>
      </c>
      <c r="L660" s="469">
        <f t="shared" si="473"/>
        <v>0</v>
      </c>
      <c r="M660" s="683">
        <f t="shared" si="474"/>
        <v>0</v>
      </c>
      <c r="N660" s="470">
        <f t="shared" si="475"/>
        <v>7</v>
      </c>
      <c r="O660" s="468">
        <f t="shared" si="476"/>
        <v>2024</v>
      </c>
      <c r="P660" s="616">
        <f t="shared" si="477"/>
        <v>1159375770</v>
      </c>
      <c r="Q660" s="472">
        <f t="shared" si="478"/>
        <v>1159375770</v>
      </c>
      <c r="R660" s="472">
        <f t="shared" si="484"/>
        <v>165625110</v>
      </c>
      <c r="S660" s="754">
        <f t="shared" si="479"/>
        <v>2018</v>
      </c>
      <c r="T660" s="470">
        <f t="shared" si="480"/>
        <v>1</v>
      </c>
      <c r="U660" s="612">
        <f t="shared" si="481"/>
        <v>165625110</v>
      </c>
      <c r="V660" s="464">
        <f t="shared" si="482"/>
        <v>2018</v>
      </c>
      <c r="W660" s="612">
        <f t="shared" si="483"/>
        <v>993750660</v>
      </c>
      <c r="X660" s="473"/>
      <c r="Y660" s="478"/>
      <c r="Z660" s="449"/>
      <c r="AA660" s="475" t="s">
        <v>4181</v>
      </c>
      <c r="AB660" s="491"/>
      <c r="AC660" s="491"/>
      <c r="AD660" s="567">
        <f>U666</f>
        <v>4468125550</v>
      </c>
      <c r="AE660" s="491"/>
      <c r="AF660" s="568"/>
      <c r="AG660" s="491"/>
      <c r="AH660" s="491"/>
      <c r="AI660" s="477"/>
      <c r="AJ660" s="478"/>
      <c r="AK660" s="479"/>
      <c r="AL660" s="480"/>
      <c r="AM660" s="474"/>
      <c r="AN660" s="481"/>
      <c r="AO660" s="474"/>
      <c r="AP660" s="476"/>
      <c r="AQ660" s="482"/>
      <c r="AR660" s="478"/>
      <c r="AS660" s="478"/>
      <c r="AT660" s="476"/>
      <c r="AU660" s="482"/>
      <c r="AV660" s="478"/>
      <c r="AW660" s="483"/>
      <c r="AX660" s="476"/>
      <c r="AY660" s="482"/>
      <c r="AZ660" s="478"/>
      <c r="BA660" s="484"/>
      <c r="BB660" s="474"/>
      <c r="BC660" s="485"/>
      <c r="BD660" s="485"/>
      <c r="BG660" s="487"/>
    </row>
    <row r="661" spans="1:59" s="486" customFormat="1" ht="18" customHeight="1" x14ac:dyDescent="0.2">
      <c r="A661" s="1368" t="str">
        <f t="shared" si="469"/>
        <v>SIMP. KINALI - BUKIT KAUMAN2019</v>
      </c>
      <c r="B661" s="1373"/>
      <c r="C661" s="463"/>
      <c r="D661" s="489"/>
      <c r="E661" s="465"/>
      <c r="F661" s="466">
        <v>2019</v>
      </c>
      <c r="G661" s="619">
        <v>0</v>
      </c>
      <c r="H661" s="464">
        <f>IF(N660-(F661-F660)&lt;=0,0,(N660-(F661-F660)))</f>
        <v>6</v>
      </c>
      <c r="I661" s="467"/>
      <c r="J661" s="468">
        <f>F661+N661-1</f>
        <v>2024</v>
      </c>
      <c r="K661" s="490">
        <f>IF(G661=0,0,IF(H661=10,100%,G661/W660))</f>
        <v>0</v>
      </c>
      <c r="L661" s="469">
        <f>IF(K661=0%,0,IF(K661&lt;=30%,2,IF(K661&lt;=60%,5,10)))</f>
        <v>0</v>
      </c>
      <c r="M661" s="683">
        <f>IF(OR(AND(ISBLANK(E661),ISBLANK(G661)),ISTEXT(E661),ISTEXT(G661)),"",IF(H661+L661&gt;$H$8,$H$8-H661,L661))</f>
        <v>0</v>
      </c>
      <c r="N661" s="470">
        <f>IF(OR(AND(ISBLANK(F661),ISBLANK(G661)),ISTEXT(F661),ISTEXT(G661)),"",H661+M661)</f>
        <v>6</v>
      </c>
      <c r="O661" s="468">
        <f>F661+N661-1</f>
        <v>2024</v>
      </c>
      <c r="P661" s="616">
        <f>W660</f>
        <v>993750660</v>
      </c>
      <c r="Q661" s="472">
        <f>P661+G661</f>
        <v>993750660</v>
      </c>
      <c r="R661" s="472">
        <f t="shared" si="484"/>
        <v>165625110</v>
      </c>
      <c r="S661" s="1189">
        <f>F661</f>
        <v>2019</v>
      </c>
      <c r="T661" s="470">
        <f>S661-S660</f>
        <v>1</v>
      </c>
      <c r="U661" s="612">
        <f>R661*T661</f>
        <v>165625110</v>
      </c>
      <c r="V661" s="464">
        <f>F661</f>
        <v>2019</v>
      </c>
      <c r="W661" s="612">
        <f>IF(OR(AND(ISBLANK(E661),ISBLANK(G661)),ISTEXT(E661),ISTEXT(G661)),"",Q661-U661)</f>
        <v>828125550</v>
      </c>
      <c r="X661" s="473"/>
      <c r="Y661" s="478"/>
      <c r="Z661" s="449"/>
      <c r="AA661" s="492" t="s">
        <v>4182</v>
      </c>
      <c r="AB661" s="476"/>
      <c r="AC661" s="476"/>
      <c r="AD661" s="567">
        <f>AD659-AD660</f>
        <v>828125550</v>
      </c>
      <c r="AE661" s="476"/>
      <c r="AF661" s="568"/>
      <c r="AG661" s="476"/>
      <c r="AH661" s="476"/>
      <c r="AI661" s="477"/>
      <c r="AJ661" s="478"/>
      <c r="AK661" s="479"/>
      <c r="AL661" s="480"/>
      <c r="AM661" s="474"/>
      <c r="AN661" s="481"/>
      <c r="AO661" s="474"/>
      <c r="AP661" s="476"/>
      <c r="AQ661" s="482"/>
      <c r="AR661" s="478"/>
      <c r="AS661" s="478"/>
      <c r="AT661" s="476"/>
      <c r="AU661" s="482"/>
      <c r="AV661" s="478"/>
      <c r="AW661" s="483"/>
      <c r="AX661" s="476"/>
      <c r="AY661" s="482"/>
      <c r="AZ661" s="478"/>
      <c r="BA661" s="484"/>
      <c r="BB661" s="474"/>
      <c r="BC661" s="485"/>
      <c r="BD661" s="485"/>
      <c r="BG661" s="487"/>
    </row>
    <row r="662" spans="1:59" s="486" customFormat="1" ht="18" customHeight="1" x14ac:dyDescent="0.2">
      <c r="A662" s="1368" t="str">
        <f>LEFT(D662,8)</f>
        <v/>
      </c>
      <c r="B662" s="687"/>
      <c r="C662" s="463"/>
      <c r="D662" s="489"/>
      <c r="E662" s="465"/>
      <c r="F662" s="466"/>
      <c r="G662" s="620"/>
      <c r="H662" s="464"/>
      <c r="I662" s="467"/>
      <c r="J662" s="468"/>
      <c r="K662" s="574"/>
      <c r="L662" s="469"/>
      <c r="M662" s="683"/>
      <c r="N662" s="470"/>
      <c r="O662" s="468"/>
      <c r="P662" s="616"/>
      <c r="Q662" s="472"/>
      <c r="R662" s="472"/>
      <c r="S662" s="634"/>
      <c r="T662" s="470"/>
      <c r="U662" s="612"/>
      <c r="V662" s="464"/>
      <c r="W662" s="612"/>
      <c r="X662" s="473"/>
      <c r="Y662" s="478"/>
      <c r="Z662" s="449"/>
      <c r="AA662" s="531" t="s">
        <v>4183</v>
      </c>
      <c r="AB662" s="496"/>
      <c r="AC662" s="496"/>
      <c r="AD662" s="569">
        <f>AD661-W666</f>
        <v>0</v>
      </c>
      <c r="AE662" s="476"/>
      <c r="AF662" s="568"/>
      <c r="AG662" s="476"/>
      <c r="AH662" s="476"/>
      <c r="AI662" s="477"/>
      <c r="AJ662" s="478"/>
      <c r="AK662" s="479"/>
      <c r="AL662" s="480"/>
      <c r="AM662" s="474"/>
      <c r="AN662" s="481"/>
      <c r="AO662" s="474"/>
      <c r="AP662" s="476"/>
      <c r="AQ662" s="482"/>
      <c r="AR662" s="478"/>
      <c r="AS662" s="478"/>
      <c r="AT662" s="476"/>
      <c r="AU662" s="482"/>
      <c r="AV662" s="478"/>
      <c r="AW662" s="483"/>
      <c r="AX662" s="476"/>
      <c r="AY662" s="482"/>
      <c r="AZ662" s="478"/>
      <c r="BA662" s="484"/>
      <c r="BB662" s="474"/>
      <c r="BC662" s="485"/>
      <c r="BD662" s="485"/>
      <c r="BG662" s="487"/>
    </row>
    <row r="663" spans="1:59" s="486" customFormat="1" ht="18" customHeight="1" x14ac:dyDescent="0.2">
      <c r="A663" s="1368" t="str">
        <f>LEFT(D663,8)</f>
        <v/>
      </c>
      <c r="B663" s="687"/>
      <c r="C663" s="463"/>
      <c r="D663" s="489"/>
      <c r="E663" s="465"/>
      <c r="F663" s="466"/>
      <c r="G663" s="620"/>
      <c r="H663" s="557"/>
      <c r="I663" s="467"/>
      <c r="J663" s="468"/>
      <c r="K663" s="490"/>
      <c r="L663" s="469"/>
      <c r="M663" s="683"/>
      <c r="N663" s="470"/>
      <c r="O663" s="468"/>
      <c r="P663" s="616"/>
      <c r="Q663" s="472"/>
      <c r="R663" s="472"/>
      <c r="S663" s="634"/>
      <c r="T663" s="470"/>
      <c r="U663" s="612"/>
      <c r="V663" s="464"/>
      <c r="W663" s="612"/>
      <c r="X663" s="473"/>
      <c r="Y663" s="497"/>
      <c r="Z663" s="449"/>
      <c r="AA663" s="497"/>
      <c r="AB663" s="476"/>
      <c r="AC663" s="497"/>
      <c r="AD663" s="568"/>
      <c r="AE663" s="476"/>
      <c r="AF663" s="568"/>
      <c r="AG663" s="476"/>
      <c r="AH663" s="476"/>
      <c r="AI663" s="477"/>
      <c r="AJ663" s="478"/>
      <c r="AK663" s="479"/>
      <c r="AL663" s="480"/>
      <c r="AM663" s="474"/>
      <c r="AN663" s="481"/>
      <c r="AO663" s="474"/>
      <c r="AP663" s="476"/>
      <c r="AQ663" s="482"/>
      <c r="AR663" s="478"/>
      <c r="AS663" s="478"/>
      <c r="AT663" s="476"/>
      <c r="AU663" s="482"/>
      <c r="AV663" s="478"/>
      <c r="AW663" s="483"/>
      <c r="AX663" s="476"/>
      <c r="AY663" s="482"/>
      <c r="AZ663" s="478"/>
      <c r="BA663" s="484"/>
      <c r="BB663" s="474"/>
      <c r="BC663" s="485"/>
      <c r="BD663" s="485"/>
      <c r="BG663" s="487"/>
    </row>
    <row r="664" spans="1:59" s="486" customFormat="1" ht="18" customHeight="1" x14ac:dyDescent="0.2">
      <c r="A664" s="1368"/>
      <c r="B664" s="687"/>
      <c r="C664" s="463"/>
      <c r="D664" s="489"/>
      <c r="E664" s="465"/>
      <c r="F664" s="466"/>
      <c r="G664" s="620"/>
      <c r="H664" s="464"/>
      <c r="I664" s="467"/>
      <c r="J664" s="468"/>
      <c r="K664" s="490"/>
      <c r="L664" s="469"/>
      <c r="M664" s="683"/>
      <c r="N664" s="470"/>
      <c r="O664" s="468"/>
      <c r="P664" s="616"/>
      <c r="Q664" s="472"/>
      <c r="R664" s="472"/>
      <c r="S664" s="634"/>
      <c r="T664" s="470"/>
      <c r="U664" s="612"/>
      <c r="V664" s="464"/>
      <c r="W664" s="612"/>
      <c r="X664" s="473"/>
      <c r="Y664" s="497"/>
      <c r="Z664" s="449"/>
      <c r="AA664" s="497"/>
      <c r="AB664" s="476"/>
      <c r="AC664" s="497"/>
      <c r="AD664" s="568"/>
      <c r="AE664" s="476"/>
      <c r="AF664" s="568"/>
      <c r="AG664" s="476"/>
      <c r="AH664" s="476"/>
      <c r="AI664" s="477"/>
      <c r="AJ664" s="478"/>
      <c r="AK664" s="479"/>
      <c r="AL664" s="480"/>
      <c r="AM664" s="474"/>
      <c r="AN664" s="481"/>
      <c r="AO664" s="474"/>
      <c r="AP664" s="476"/>
      <c r="AQ664" s="482"/>
      <c r="AR664" s="478"/>
      <c r="AS664" s="478"/>
      <c r="AT664" s="476"/>
      <c r="AU664" s="482"/>
      <c r="AV664" s="478"/>
      <c r="AW664" s="483"/>
      <c r="AX664" s="476"/>
      <c r="AY664" s="482"/>
      <c r="AZ664" s="478"/>
      <c r="BA664" s="484"/>
      <c r="BB664" s="474"/>
      <c r="BC664" s="485"/>
      <c r="BD664" s="485"/>
      <c r="BG664" s="487"/>
    </row>
    <row r="665" spans="1:59" s="486" customFormat="1" ht="18" customHeight="1" x14ac:dyDescent="0.2">
      <c r="A665" s="1369"/>
      <c r="B665" s="687"/>
      <c r="C665" s="463"/>
      <c r="D665" s="464"/>
      <c r="E665" s="465"/>
      <c r="F665" s="634"/>
      <c r="G665" s="620"/>
      <c r="H665" s="469" t="str">
        <f>IF(OR(AND(ISBLANK(E665),ISBLANK(G665)),ISTEXT(E665),ISTEXT(G665)),"",IF(#REF!-(YEAR(E665)-YEAR(#REF!))&lt;0,0,#REF!-(YEAR(E665)-YEAR(#REF!))))</f>
        <v/>
      </c>
      <c r="I665" s="467" t="str">
        <f>IF(OR(AND(ISBLANK(E665),ISBLANK(G665)),ISTEXT(E665),ISTEXT(G665)),"",IF(#REF!-E665&lt;0,0,#REF!-E665))</f>
        <v/>
      </c>
      <c r="J665" s="498" t="str">
        <f>IF(OR(AND(ISBLANK(E665),ISBLANK(G665)),ISTEXT(E665),ISTEXT(G665)),"",#REF!)</f>
        <v/>
      </c>
      <c r="K665" s="498"/>
      <c r="L665" s="469" t="str">
        <f>IF(OR(AND(ISBLANK(E665),ISBLANK(G665)),ISTEXT(E665),ISTEXT(G665)),"",ROUNDDOWN(G665/SUM($G$57:G662)*$H$57,0))</f>
        <v/>
      </c>
      <c r="M665" s="683" t="str">
        <f>IF(OR(AND(ISBLANK(E665),ISBLANK(G665)),ISTEXT(E665),ISTEXT(G665)),"",IF(H665+L665&gt;$H$57,$H$57-H665,L665))</f>
        <v/>
      </c>
      <c r="N665" s="470" t="str">
        <f>IF(OR(AND(ISBLANK(E665),ISBLANK(G665)),ISTEXT(E665),ISTEXT(G665)),"",H665+M665)</f>
        <v/>
      </c>
      <c r="O665" s="498" t="str">
        <f>IF(OR(AND(ISBLANK(E665),ISBLANK(G665)),ISTEXT(E665),ISTEXT(G665)),"",DATE(YEAR($J665)+M665,MONTH($J665),DAY($J665)))</f>
        <v/>
      </c>
      <c r="P665" s="748" t="str">
        <f>IF(OR(AND(ISBLANK(E665),ISBLANK(G665)),ISTEXT(E665),ISTEXT(G665)),"",#REF!-#REF!*(IF(J665&lt;E665,J665,E665)-#REF!))</f>
        <v/>
      </c>
      <c r="Q665" s="500" t="str">
        <f>IF(OR(AND(ISBLANK(E665),ISBLANK(G665)),ISTEXT(E665),ISTEXT(G665)),"",P665+G665)</f>
        <v/>
      </c>
      <c r="R665" s="501" t="str">
        <f>IF(OR(AND(ISBLANK(E665),ISBLANK(G665)),ISTEXT(E665),ISTEXT(G665)),"",IF(OR(E665&lt;DATE(2004,12,31),#REF!=0),0,Q665/#REF!))</f>
        <v/>
      </c>
      <c r="S665" s="502" t="str">
        <f>IF(OR(AND(ISBLANK(E665),ISBLANK(G665)),ISTEXT(E665),ISTEXT(G665)),"",IF(YEAR(E665)&lt;=YEAR(#REF!),"-",YEAR(E665)-1))</f>
        <v/>
      </c>
      <c r="T665" s="502"/>
      <c r="U665" s="612" t="str">
        <f>IF(OR(AND(ISBLANK(E665),ISBLANK(G665)),ISTEXT(E665),ISTEXT(G665)),"",IF(AND(J665&lt;=DATE(2004,12,31),E665&gt;J665),SUM($G665:G665),#REF!+#REF!+#REF!*IF(YEAR(E665)&lt;=YEAR(#REF!),0,(IF(DATE(YEAR(E665)-1,12,31)&gt;J665,J665,DATE(YEAR(E665)-1,12,31))-#REF!))))</f>
        <v/>
      </c>
      <c r="V665" s="503" t="str">
        <f>IF(OR(AND(ISBLANK(E665),ISBLANK(G665)),ISTEXT(E665),ISTEXT(G665)),"",IF(YEAR(E665)=YEAR(E666),E666,DATE(YEAR(E665),12,31)))</f>
        <v/>
      </c>
      <c r="W665" s="612" t="str">
        <f>IF(OR(AND(ISBLANK(E665),ISBLANK(G665)),ISTEXT(E665),ISTEXT(G665)),"",IF(Q665=0,0,IF(AND(J665&lt;=DATE(2004,12,31),E665&gt;=J665),Q665-U665,Q665-#REF!)))</f>
        <v/>
      </c>
      <c r="X665" s="504" t="str">
        <f>IF(OR(AND(ISBLANK(E665),ISBLANK(G665)),ISTEXT(E665),ISTEXT(G665)),"",$D$57&amp;"//"&amp;TEXT($E$57,"dd-mmm-yyyy")&amp;"//"&amp;#REF!)</f>
        <v/>
      </c>
      <c r="Y665" s="476"/>
      <c r="Z665" s="476"/>
      <c r="AA665" s="476"/>
      <c r="AB665" s="476"/>
      <c r="AC665" s="476"/>
      <c r="AD665" s="568"/>
      <c r="AE665" s="476"/>
      <c r="AF665" s="568"/>
      <c r="AG665" s="476"/>
      <c r="AH665" s="476"/>
      <c r="AI665" s="477"/>
      <c r="AJ665" s="478"/>
      <c r="AK665" s="479"/>
      <c r="AL665" s="480"/>
      <c r="AM665" s="474"/>
      <c r="AN665" s="481"/>
      <c r="AO665" s="474"/>
      <c r="AP665" s="476"/>
      <c r="AQ665" s="482"/>
      <c r="AR665" s="478"/>
      <c r="AS665" s="478"/>
      <c r="AT665" s="476"/>
      <c r="AU665" s="482"/>
      <c r="AV665" s="478"/>
      <c r="AW665" s="483"/>
      <c r="AX665" s="476"/>
      <c r="AY665" s="482"/>
      <c r="AZ665" s="478"/>
      <c r="BA665" s="484"/>
      <c r="BB665" s="474"/>
      <c r="BC665" s="485"/>
      <c r="BD665" s="485"/>
      <c r="BG665" s="487"/>
    </row>
    <row r="666" spans="1:59" s="526" customFormat="1" ht="18" customHeight="1" x14ac:dyDescent="0.2">
      <c r="A666" s="1370" t="s">
        <v>4184</v>
      </c>
      <c r="B666" s="1956" t="s">
        <v>4184</v>
      </c>
      <c r="C666" s="1957"/>
      <c r="D666" s="1957"/>
      <c r="E666" s="1957"/>
      <c r="F666" s="1958"/>
      <c r="G666" s="624">
        <f>SUM(G653:G665)</f>
        <v>5296251100</v>
      </c>
      <c r="H666" s="505"/>
      <c r="I666" s="506"/>
      <c r="J666" s="507"/>
      <c r="K666" s="507"/>
      <c r="L666" s="505"/>
      <c r="M666" s="684"/>
      <c r="N666" s="508"/>
      <c r="O666" s="507"/>
      <c r="P666" s="749"/>
      <c r="Q666" s="510"/>
      <c r="R666" s="511"/>
      <c r="S666" s="512"/>
      <c r="T666" s="512"/>
      <c r="U666" s="610">
        <f>SUM(U653:U665)</f>
        <v>4468125550</v>
      </c>
      <c r="V666" s="513"/>
      <c r="W666" s="610">
        <f>G666-U666</f>
        <v>828125550</v>
      </c>
      <c r="X666" s="514"/>
      <c r="Y666" s="515"/>
      <c r="Z666" s="515"/>
      <c r="AA666" s="515"/>
      <c r="AB666" s="515"/>
      <c r="AC666" s="515"/>
      <c r="AD666" s="570"/>
      <c r="AE666" s="515"/>
      <c r="AF666" s="570">
        <v>4965000880</v>
      </c>
      <c r="AG666" s="515"/>
      <c r="AH666" s="515"/>
      <c r="AI666" s="516"/>
      <c r="AJ666" s="517"/>
      <c r="AK666" s="518"/>
      <c r="AL666" s="519"/>
      <c r="AM666" s="520"/>
      <c r="AN666" s="521"/>
      <c r="AO666" s="520"/>
      <c r="AP666" s="515"/>
      <c r="AQ666" s="522"/>
      <c r="AR666" s="517"/>
      <c r="AS666" s="517"/>
      <c r="AT666" s="515"/>
      <c r="AU666" s="522"/>
      <c r="AV666" s="517"/>
      <c r="AW666" s="523"/>
      <c r="AX666" s="515"/>
      <c r="AY666" s="522"/>
      <c r="AZ666" s="517"/>
      <c r="BA666" s="524"/>
      <c r="BB666" s="520"/>
      <c r="BC666" s="525"/>
      <c r="BD666" s="525"/>
      <c r="BG666" s="527"/>
    </row>
    <row r="667" spans="1:59" ht="18" customHeight="1" x14ac:dyDescent="0.2"/>
    <row r="668" spans="1:59" ht="18" customHeight="1" x14ac:dyDescent="0.2"/>
    <row r="669" spans="1:59" s="422" customFormat="1" ht="18" customHeight="1" x14ac:dyDescent="0.2">
      <c r="A669" s="1366">
        <f>C669</f>
        <v>113</v>
      </c>
      <c r="B669" s="742" t="s">
        <v>4187</v>
      </c>
      <c r="C669" s="556">
        <v>113</v>
      </c>
      <c r="D669" s="553" t="str">
        <f>VLOOKUP(C669,RUAS,2,FALSE)</f>
        <v>JL. DALAM KOTA KP. BARU TOAR - JP. KM 178 + 000</v>
      </c>
      <c r="E669" s="553"/>
      <c r="F669" s="421"/>
      <c r="G669" s="611"/>
      <c r="I669" s="423"/>
      <c r="J669" s="424"/>
      <c r="K669" s="424"/>
      <c r="M669" s="680"/>
      <c r="P669" s="611"/>
      <c r="U669" s="611"/>
      <c r="W669" s="611"/>
      <c r="Y669" s="425"/>
      <c r="Z669" s="425"/>
      <c r="AA669" s="425"/>
      <c r="AB669" s="425"/>
      <c r="AC669" s="425"/>
      <c r="AD669" s="563"/>
      <c r="AE669" s="425"/>
      <c r="AF669" s="563"/>
      <c r="AG669" s="425"/>
      <c r="AH669" s="425"/>
      <c r="AI669" s="425"/>
      <c r="AJ669" s="425"/>
      <c r="AK669" s="425"/>
      <c r="AL669" s="425"/>
      <c r="AM669" s="425"/>
      <c r="AN669" s="425"/>
      <c r="AO669" s="425"/>
      <c r="AP669" s="425"/>
      <c r="AQ669" s="425"/>
      <c r="AR669" s="425"/>
      <c r="AS669" s="425"/>
      <c r="AT669" s="425"/>
      <c r="AU669" s="425"/>
      <c r="AV669" s="425"/>
      <c r="AW669" s="425"/>
      <c r="AX669" s="425"/>
      <c r="AY669" s="425"/>
      <c r="AZ669" s="425"/>
      <c r="BA669" s="425"/>
      <c r="BB669" s="425"/>
    </row>
    <row r="670" spans="1:59" s="431" customFormat="1" ht="18" customHeight="1" x14ac:dyDescent="0.2">
      <c r="A670" s="1367"/>
      <c r="B670" s="1968" t="s">
        <v>5</v>
      </c>
      <c r="C670" s="1968" t="s">
        <v>2280</v>
      </c>
      <c r="D670" s="1968" t="s">
        <v>4157</v>
      </c>
      <c r="E670" s="1968" t="s">
        <v>4158</v>
      </c>
      <c r="F670" s="1968"/>
      <c r="G670" s="1969" t="s">
        <v>4159</v>
      </c>
      <c r="H670" s="1968" t="s">
        <v>4160</v>
      </c>
      <c r="I670" s="1968"/>
      <c r="J670" s="1968" t="s">
        <v>4185</v>
      </c>
      <c r="K670" s="1964" t="s">
        <v>4162</v>
      </c>
      <c r="L670" s="1968" t="s">
        <v>4163</v>
      </c>
      <c r="M670" s="1971" t="s">
        <v>4164</v>
      </c>
      <c r="N670" s="1962" t="s">
        <v>4165</v>
      </c>
      <c r="O670" s="1968" t="s">
        <v>4166</v>
      </c>
      <c r="P670" s="1972" t="s">
        <v>4167</v>
      </c>
      <c r="Q670" s="1973"/>
      <c r="R670" s="1129" t="s">
        <v>4186</v>
      </c>
      <c r="S670" s="1972" t="s">
        <v>4169</v>
      </c>
      <c r="T670" s="1974"/>
      <c r="U670" s="1973"/>
      <c r="V670" s="1975" t="s">
        <v>4170</v>
      </c>
      <c r="W670" s="1975"/>
      <c r="X670" s="1960" t="s">
        <v>4171</v>
      </c>
      <c r="Y670" s="1959"/>
      <c r="Z670" s="1130"/>
      <c r="AA670" s="426"/>
      <c r="AB670" s="426"/>
      <c r="AC670" s="426"/>
      <c r="AD670" s="564"/>
      <c r="AE670" s="426"/>
      <c r="AF670" s="564"/>
      <c r="AG670" s="426"/>
      <c r="AH670" s="426"/>
      <c r="AI670" s="427"/>
      <c r="AJ670" s="427"/>
      <c r="AK670" s="427"/>
      <c r="AL670" s="427"/>
      <c r="AM670" s="428"/>
      <c r="AN670" s="427"/>
      <c r="AO670" s="427"/>
      <c r="AP670" s="426"/>
      <c r="AQ670" s="427"/>
      <c r="AR670" s="427"/>
      <c r="AS670" s="427"/>
      <c r="AT670" s="426"/>
      <c r="AU670" s="427"/>
      <c r="AV670" s="427"/>
      <c r="AW670" s="427"/>
      <c r="AX670" s="426"/>
      <c r="AY670" s="427"/>
      <c r="AZ670" s="427"/>
      <c r="BA670" s="427"/>
      <c r="BB670" s="429"/>
      <c r="BC670" s="430"/>
      <c r="BD670" s="430"/>
    </row>
    <row r="671" spans="1:59" s="431" customFormat="1" ht="18" customHeight="1" x14ac:dyDescent="0.2">
      <c r="A671" s="1367"/>
      <c r="B671" s="1968"/>
      <c r="C671" s="1968"/>
      <c r="D671" s="1968"/>
      <c r="E671" s="1968"/>
      <c r="F671" s="1968"/>
      <c r="G671" s="1969"/>
      <c r="H671" s="1968"/>
      <c r="I671" s="1968"/>
      <c r="J671" s="1968"/>
      <c r="K671" s="1970"/>
      <c r="L671" s="1968"/>
      <c r="M671" s="1971"/>
      <c r="N671" s="1963"/>
      <c r="O671" s="1968"/>
      <c r="P671" s="2037" t="s">
        <v>4172</v>
      </c>
      <c r="Q671" s="1960" t="s">
        <v>4173</v>
      </c>
      <c r="R671" s="1962" t="s">
        <v>4159</v>
      </c>
      <c r="S671" s="1962" t="s">
        <v>4174</v>
      </c>
      <c r="T671" s="1964" t="s">
        <v>4175</v>
      </c>
      <c r="U671" s="1966" t="s">
        <v>4159</v>
      </c>
      <c r="V671" s="1975"/>
      <c r="W671" s="1975"/>
      <c r="X671" s="1976"/>
      <c r="Y671" s="1959"/>
      <c r="Z671" s="1130"/>
      <c r="AA671" s="426"/>
      <c r="AB671" s="426"/>
      <c r="AC671" s="426"/>
      <c r="AD671" s="564"/>
      <c r="AE671" s="426"/>
      <c r="AF671" s="564"/>
      <c r="AG671" s="426"/>
      <c r="AH671" s="426"/>
      <c r="AI671" s="427"/>
      <c r="AJ671" s="427"/>
      <c r="AK671" s="426"/>
      <c r="AL671" s="427"/>
      <c r="AM671" s="428"/>
      <c r="AN671" s="427"/>
      <c r="AO671" s="427"/>
      <c r="AP671" s="432"/>
      <c r="AQ671" s="427"/>
      <c r="AR671" s="427"/>
      <c r="AS671" s="427"/>
      <c r="AT671" s="432"/>
      <c r="AU671" s="427"/>
      <c r="AV671" s="427"/>
      <c r="AW671" s="427"/>
      <c r="AX671" s="432"/>
      <c r="AY671" s="427"/>
      <c r="AZ671" s="427"/>
      <c r="BA671" s="427"/>
      <c r="BB671" s="429"/>
      <c r="BC671" s="430"/>
      <c r="BD671" s="430"/>
    </row>
    <row r="672" spans="1:59" s="431" customFormat="1" ht="18" customHeight="1" x14ac:dyDescent="0.2">
      <c r="A672" s="1367"/>
      <c r="B672" s="1968"/>
      <c r="C672" s="1968"/>
      <c r="D672" s="1968"/>
      <c r="E672" s="433" t="s">
        <v>4176</v>
      </c>
      <c r="F672" s="434" t="s">
        <v>2288</v>
      </c>
      <c r="G672" s="1969"/>
      <c r="H672" s="1128" t="s">
        <v>2288</v>
      </c>
      <c r="I672" s="1128" t="s">
        <v>4177</v>
      </c>
      <c r="J672" s="1968"/>
      <c r="K672" s="1965"/>
      <c r="L672" s="435" t="s">
        <v>2288</v>
      </c>
      <c r="M672" s="681" t="s">
        <v>2288</v>
      </c>
      <c r="N672" s="1128" t="s">
        <v>2288</v>
      </c>
      <c r="O672" s="1968"/>
      <c r="P672" s="2038"/>
      <c r="Q672" s="1961"/>
      <c r="R672" s="1963"/>
      <c r="S672" s="1963"/>
      <c r="T672" s="1965"/>
      <c r="U672" s="1967"/>
      <c r="V672" s="1128" t="s">
        <v>4178</v>
      </c>
      <c r="W672" s="1131" t="s">
        <v>4159</v>
      </c>
      <c r="X672" s="1961"/>
      <c r="Y672" s="436"/>
      <c r="Z672" s="436"/>
      <c r="AA672" s="426"/>
      <c r="AB672" s="426"/>
      <c r="AC672" s="426"/>
      <c r="AD672" s="564"/>
      <c r="AE672" s="426"/>
      <c r="AF672" s="564"/>
      <c r="AG672" s="426"/>
      <c r="AH672" s="426"/>
      <c r="AI672" s="427"/>
      <c r="AJ672" s="432"/>
      <c r="AK672" s="432"/>
      <c r="AL672" s="427"/>
      <c r="AM672" s="428"/>
      <c r="AN672" s="432"/>
      <c r="AO672" s="427"/>
      <c r="AP672" s="432"/>
      <c r="AQ672" s="432"/>
      <c r="AR672" s="427"/>
      <c r="AS672" s="427"/>
      <c r="AT672" s="432"/>
      <c r="AU672" s="432"/>
      <c r="AV672" s="427"/>
      <c r="AW672" s="427"/>
      <c r="AX672" s="432"/>
      <c r="AY672" s="432"/>
      <c r="AZ672" s="427"/>
      <c r="BA672" s="427"/>
      <c r="BB672" s="429"/>
      <c r="BC672" s="430"/>
      <c r="BD672" s="430"/>
    </row>
    <row r="673" spans="1:59" s="461" customFormat="1" ht="18" customHeight="1" x14ac:dyDescent="0.2">
      <c r="A673" s="1368" t="str">
        <f>$D$669&amp;S673</f>
        <v>JL. DALAM KOTA KP. BARU TOAR - JP. KM 178 + 0002001</v>
      </c>
      <c r="B673" s="1373">
        <v>1</v>
      </c>
      <c r="C673" s="532" t="s">
        <v>529</v>
      </c>
      <c r="D673" s="437" t="s">
        <v>2494</v>
      </c>
      <c r="E673" s="438"/>
      <c r="F673" s="439">
        <v>2001</v>
      </c>
      <c r="G673" s="623">
        <f>1755000000+1215000000</f>
        <v>2970000000</v>
      </c>
      <c r="H673" s="440">
        <f>VLOOKUP(LEFT(D673,8),UE,4)</f>
        <v>10</v>
      </c>
      <c r="I673" s="441"/>
      <c r="J673" s="442">
        <f t="shared" ref="J673:J686" si="485">F673+N673-1</f>
        <v>2010</v>
      </c>
      <c r="K673" s="443"/>
      <c r="L673" s="440"/>
      <c r="M673" s="746">
        <f>IF(H673+L673&gt;$H673,$H673-H673,L673)</f>
        <v>0</v>
      </c>
      <c r="N673" s="444">
        <f>H673+M673</f>
        <v>10</v>
      </c>
      <c r="O673" s="442">
        <f t="shared" ref="O673:O686" si="486">F673+N673-1</f>
        <v>2010</v>
      </c>
      <c r="P673" s="617">
        <f>G673</f>
        <v>2970000000</v>
      </c>
      <c r="Q673" s="445">
        <v>0</v>
      </c>
      <c r="R673" s="445">
        <f>P673/N673</f>
        <v>297000000</v>
      </c>
      <c r="S673" s="446">
        <f t="shared" ref="S673:S679" si="487">F673</f>
        <v>2001</v>
      </c>
      <c r="T673" s="447">
        <v>1</v>
      </c>
      <c r="U673" s="613">
        <f t="shared" ref="U673:U679" si="488">R673*T673</f>
        <v>297000000</v>
      </c>
      <c r="V673" s="442">
        <f>F673</f>
        <v>2001</v>
      </c>
      <c r="W673" s="617">
        <f>IF(OR(AND(ISBLANK(E673),ISBLANK(G673)),ISTEXT(E673),ISTEXT(G673)),"",G673-R673)</f>
        <v>2673000000</v>
      </c>
      <c r="X673" s="448"/>
      <c r="Y673" s="449"/>
      <c r="Z673" s="449"/>
      <c r="AA673" s="693"/>
      <c r="AB673" s="452"/>
      <c r="AC673" s="452"/>
      <c r="AD673" s="571"/>
      <c r="AE673" s="452"/>
      <c r="AF673" s="571"/>
      <c r="AG673" s="452"/>
      <c r="AH673" s="452"/>
      <c r="AI673" s="453"/>
      <c r="AJ673" s="449"/>
      <c r="AK673" s="453"/>
      <c r="AL673" s="454"/>
      <c r="AM673" s="455"/>
      <c r="AN673" s="456"/>
      <c r="AO673" s="455"/>
      <c r="AP673" s="452"/>
      <c r="AQ673" s="457"/>
      <c r="AR673" s="449"/>
      <c r="AS673" s="449"/>
      <c r="AT673" s="452"/>
      <c r="AU673" s="457"/>
      <c r="AV673" s="449"/>
      <c r="AW673" s="458"/>
      <c r="AX673" s="452"/>
      <c r="AY673" s="457"/>
      <c r="AZ673" s="449"/>
      <c r="BA673" s="459"/>
      <c r="BB673" s="455"/>
      <c r="BC673" s="460"/>
      <c r="BD673" s="460"/>
      <c r="BG673" s="462"/>
    </row>
    <row r="674" spans="1:59" s="461" customFormat="1" ht="18" customHeight="1" x14ac:dyDescent="0.2">
      <c r="A674" s="1368" t="str">
        <f t="shared" ref="A674:A686" si="489">$D$669&amp;S674</f>
        <v>JL. DALAM KOTA KP. BARU TOAR - JP. KM 178 + 0002001</v>
      </c>
      <c r="B674" s="1373">
        <v>2</v>
      </c>
      <c r="C674" s="488" t="s">
        <v>529</v>
      </c>
      <c r="D674" s="489"/>
      <c r="E674" s="558"/>
      <c r="F674" s="559">
        <v>2001</v>
      </c>
      <c r="G674" s="619">
        <v>0</v>
      </c>
      <c r="H674" s="464">
        <f t="shared" ref="H674:H686" si="490">IF(N673-(F674-F673)&lt;=0,0,(N673-(F674-F673)))</f>
        <v>10</v>
      </c>
      <c r="I674" s="560"/>
      <c r="J674" s="468">
        <f t="shared" si="485"/>
        <v>2010</v>
      </c>
      <c r="K674" s="490">
        <f t="shared" ref="K674:K679" si="491">IF(G674=0,0,IF(H674=10,100%,G674/W673))</f>
        <v>0</v>
      </c>
      <c r="L674" s="469">
        <f t="shared" ref="L674:L679" si="492">IF(K674=0%,0,IF(K674&lt;=30%,2,IF(K674&lt;=60%,5,10)))</f>
        <v>0</v>
      </c>
      <c r="M674" s="683">
        <f t="shared" ref="M674:M686" si="493">IF(OR(AND(ISBLANK(E674),ISBLANK(G674)),ISTEXT(E674),ISTEXT(G674)),"",IF(H674+L674&gt;$H$8,$H$8-H674,L674))</f>
        <v>0</v>
      </c>
      <c r="N674" s="470">
        <f t="shared" ref="N674:N686" si="494">IF(OR(AND(ISBLANK(F674),ISBLANK(G674)),ISTEXT(F674),ISTEXT(G674)),"",H674+M674)</f>
        <v>10</v>
      </c>
      <c r="O674" s="468">
        <f t="shared" si="486"/>
        <v>2010</v>
      </c>
      <c r="P674" s="616">
        <f t="shared" ref="P674:P679" si="495">W673</f>
        <v>2673000000</v>
      </c>
      <c r="Q674" s="472">
        <f t="shared" ref="Q674:Q679" si="496">P674+G674</f>
        <v>2673000000</v>
      </c>
      <c r="R674" s="472">
        <f t="shared" ref="R674:R683" si="497">IF(L674=0,R673,Q674/N674)</f>
        <v>297000000</v>
      </c>
      <c r="S674" s="1132">
        <f t="shared" si="487"/>
        <v>2001</v>
      </c>
      <c r="T674" s="470">
        <f t="shared" ref="T674:T686" si="498">S674-S673</f>
        <v>0</v>
      </c>
      <c r="U674" s="612">
        <f t="shared" si="488"/>
        <v>0</v>
      </c>
      <c r="V674" s="464">
        <f t="shared" ref="V674:V679" si="499">F674</f>
        <v>2001</v>
      </c>
      <c r="W674" s="612">
        <f t="shared" ref="W674:W679" si="500">IF(OR(AND(ISBLANK(E674),ISBLANK(G674)),ISTEXT(E674),ISTEXT(G674)),"",Q674-U674)</f>
        <v>2673000000</v>
      </c>
      <c r="X674" s="561"/>
      <c r="Y674" s="449"/>
      <c r="Z674" s="449"/>
      <c r="AA674" s="693"/>
      <c r="AB674" s="452"/>
      <c r="AC674" s="452"/>
      <c r="AD674" s="571"/>
      <c r="AE674" s="452"/>
      <c r="AF674" s="571"/>
      <c r="AG674" s="452"/>
      <c r="AH674" s="452"/>
      <c r="AI674" s="453"/>
      <c r="AJ674" s="449"/>
      <c r="AK674" s="453"/>
      <c r="AL674" s="454"/>
      <c r="AM674" s="455"/>
      <c r="AN674" s="456"/>
      <c r="AO674" s="455"/>
      <c r="AP674" s="452"/>
      <c r="AQ674" s="457"/>
      <c r="AR674" s="449"/>
      <c r="AS674" s="449"/>
      <c r="AT674" s="452"/>
      <c r="AU674" s="457"/>
      <c r="AV674" s="449"/>
      <c r="AW674" s="458"/>
      <c r="AX674" s="452"/>
      <c r="AY674" s="457"/>
      <c r="AZ674" s="449"/>
      <c r="BA674" s="459"/>
      <c r="BB674" s="455"/>
      <c r="BC674" s="460"/>
      <c r="BD674" s="460"/>
      <c r="BG674" s="462"/>
    </row>
    <row r="675" spans="1:59" s="461" customFormat="1" ht="18" customHeight="1" x14ac:dyDescent="0.2">
      <c r="A675" s="1368" t="str">
        <f t="shared" si="489"/>
        <v>JL. DALAM KOTA KP. BARU TOAR - JP. KM 178 + 0002006</v>
      </c>
      <c r="B675" s="1373"/>
      <c r="C675" s="488"/>
      <c r="D675" s="489"/>
      <c r="E675" s="558"/>
      <c r="F675" s="559">
        <v>2006</v>
      </c>
      <c r="G675" s="619">
        <v>0</v>
      </c>
      <c r="H675" s="464">
        <f t="shared" si="490"/>
        <v>5</v>
      </c>
      <c r="I675" s="560"/>
      <c r="J675" s="468">
        <f t="shared" si="485"/>
        <v>2010</v>
      </c>
      <c r="K675" s="490">
        <f t="shared" si="491"/>
        <v>0</v>
      </c>
      <c r="L675" s="469">
        <f t="shared" si="492"/>
        <v>0</v>
      </c>
      <c r="M675" s="683">
        <f t="shared" si="493"/>
        <v>0</v>
      </c>
      <c r="N675" s="470">
        <f t="shared" si="494"/>
        <v>5</v>
      </c>
      <c r="O675" s="468">
        <f t="shared" si="486"/>
        <v>2010</v>
      </c>
      <c r="P675" s="616">
        <f t="shared" si="495"/>
        <v>2673000000</v>
      </c>
      <c r="Q675" s="472">
        <f t="shared" si="496"/>
        <v>2673000000</v>
      </c>
      <c r="R675" s="472">
        <f t="shared" si="497"/>
        <v>297000000</v>
      </c>
      <c r="S675" s="1132">
        <f t="shared" si="487"/>
        <v>2006</v>
      </c>
      <c r="T675" s="470">
        <f t="shared" si="498"/>
        <v>5</v>
      </c>
      <c r="U675" s="612">
        <f t="shared" si="488"/>
        <v>1485000000</v>
      </c>
      <c r="V675" s="464">
        <f t="shared" si="499"/>
        <v>2006</v>
      </c>
      <c r="W675" s="612">
        <f t="shared" si="500"/>
        <v>1188000000</v>
      </c>
      <c r="X675" s="561"/>
      <c r="Y675" s="449"/>
      <c r="Z675" s="449"/>
      <c r="AA675" s="693"/>
      <c r="AB675" s="452"/>
      <c r="AC675" s="452"/>
      <c r="AD675" s="571"/>
      <c r="AE675" s="452"/>
      <c r="AF675" s="571"/>
      <c r="AG675" s="452"/>
      <c r="AH675" s="452"/>
      <c r="AI675" s="453"/>
      <c r="AJ675" s="449"/>
      <c r="AK675" s="453"/>
      <c r="AL675" s="454"/>
      <c r="AM675" s="455"/>
      <c r="AN675" s="456"/>
      <c r="AO675" s="455"/>
      <c r="AP675" s="452"/>
      <c r="AQ675" s="457"/>
      <c r="AR675" s="449"/>
      <c r="AS675" s="449"/>
      <c r="AT675" s="452"/>
      <c r="AU675" s="457"/>
      <c r="AV675" s="449"/>
      <c r="AW675" s="458"/>
      <c r="AX675" s="452"/>
      <c r="AY675" s="457"/>
      <c r="AZ675" s="449"/>
      <c r="BA675" s="459"/>
      <c r="BB675" s="455"/>
      <c r="BC675" s="460"/>
      <c r="BD675" s="460"/>
      <c r="BG675" s="462"/>
    </row>
    <row r="676" spans="1:59" s="461" customFormat="1" ht="18" customHeight="1" x14ac:dyDescent="0.2">
      <c r="A676" s="1368" t="str">
        <f t="shared" si="489"/>
        <v>JL. DALAM KOTA KP. BARU TOAR - JP. KM 178 + 0002007</v>
      </c>
      <c r="B676" s="1373">
        <v>3</v>
      </c>
      <c r="C676" s="488" t="s">
        <v>1167</v>
      </c>
      <c r="D676" s="489"/>
      <c r="E676" s="558"/>
      <c r="F676" s="559">
        <v>2007</v>
      </c>
      <c r="G676" s="619">
        <v>2746245475.7522197</v>
      </c>
      <c r="H676" s="464">
        <f t="shared" si="490"/>
        <v>4</v>
      </c>
      <c r="I676" s="560"/>
      <c r="J676" s="468">
        <f t="shared" si="485"/>
        <v>2016</v>
      </c>
      <c r="K676" s="490">
        <f t="shared" si="491"/>
        <v>2.311654440868872</v>
      </c>
      <c r="L676" s="469">
        <f t="shared" si="492"/>
        <v>10</v>
      </c>
      <c r="M676" s="683">
        <f t="shared" si="493"/>
        <v>6</v>
      </c>
      <c r="N676" s="470">
        <f t="shared" si="494"/>
        <v>10</v>
      </c>
      <c r="O676" s="468">
        <f t="shared" si="486"/>
        <v>2016</v>
      </c>
      <c r="P676" s="616">
        <f t="shared" si="495"/>
        <v>1188000000</v>
      </c>
      <c r="Q676" s="472">
        <f t="shared" si="496"/>
        <v>3934245475.7522197</v>
      </c>
      <c r="R676" s="472">
        <f t="shared" si="497"/>
        <v>393424547.57522196</v>
      </c>
      <c r="S676" s="1132">
        <f t="shared" si="487"/>
        <v>2007</v>
      </c>
      <c r="T676" s="470">
        <f t="shared" si="498"/>
        <v>1</v>
      </c>
      <c r="U676" s="612">
        <f t="shared" si="488"/>
        <v>393424547.57522196</v>
      </c>
      <c r="V676" s="464">
        <f t="shared" si="499"/>
        <v>2007</v>
      </c>
      <c r="W676" s="612">
        <f t="shared" si="500"/>
        <v>3540820928.1769977</v>
      </c>
      <c r="X676" s="561"/>
      <c r="Y676" s="449"/>
      <c r="Z676" s="449"/>
      <c r="AA676" s="694"/>
      <c r="AB676" s="692"/>
      <c r="AC676" s="692"/>
      <c r="AD676" s="695"/>
      <c r="AE676" s="452"/>
      <c r="AF676" s="571"/>
      <c r="AG676" s="452"/>
      <c r="AH676" s="452"/>
      <c r="AI676" s="453"/>
      <c r="AJ676" s="449"/>
      <c r="AK676" s="453"/>
      <c r="AL676" s="454"/>
      <c r="AM676" s="455"/>
      <c r="AN676" s="456"/>
      <c r="AO676" s="455"/>
      <c r="AP676" s="452"/>
      <c r="AQ676" s="457"/>
      <c r="AR676" s="449"/>
      <c r="AS676" s="449"/>
      <c r="AT676" s="452"/>
      <c r="AU676" s="457"/>
      <c r="AV676" s="449"/>
      <c r="AW676" s="458"/>
      <c r="AX676" s="452"/>
      <c r="AY676" s="457"/>
      <c r="AZ676" s="449"/>
      <c r="BA676" s="459"/>
      <c r="BB676" s="455"/>
      <c r="BC676" s="460"/>
      <c r="BD676" s="460"/>
      <c r="BG676" s="462"/>
    </row>
    <row r="677" spans="1:59" s="486" customFormat="1" ht="18" customHeight="1" x14ac:dyDescent="0.2">
      <c r="A677" s="1368" t="str">
        <f t="shared" si="489"/>
        <v>JL. DALAM KOTA KP. BARU TOAR - JP. KM 178 + 0002010</v>
      </c>
      <c r="B677" s="1373"/>
      <c r="C677" s="488"/>
      <c r="D677" s="489"/>
      <c r="E677" s="558"/>
      <c r="F677" s="559">
        <v>2010</v>
      </c>
      <c r="G677" s="619">
        <v>0</v>
      </c>
      <c r="H677" s="464">
        <f t="shared" si="490"/>
        <v>7</v>
      </c>
      <c r="I677" s="467"/>
      <c r="J677" s="468">
        <f t="shared" si="485"/>
        <v>2016</v>
      </c>
      <c r="K677" s="490">
        <f t="shared" si="491"/>
        <v>0</v>
      </c>
      <c r="L677" s="469">
        <f t="shared" si="492"/>
        <v>0</v>
      </c>
      <c r="M677" s="683">
        <f t="shared" si="493"/>
        <v>0</v>
      </c>
      <c r="N677" s="470">
        <f t="shared" si="494"/>
        <v>7</v>
      </c>
      <c r="O677" s="468">
        <f t="shared" si="486"/>
        <v>2016</v>
      </c>
      <c r="P677" s="616">
        <f t="shared" si="495"/>
        <v>3540820928.1769977</v>
      </c>
      <c r="Q677" s="472">
        <f t="shared" si="496"/>
        <v>3540820928.1769977</v>
      </c>
      <c r="R677" s="472">
        <f t="shared" si="497"/>
        <v>393424547.57522196</v>
      </c>
      <c r="S677" s="1132">
        <f t="shared" si="487"/>
        <v>2010</v>
      </c>
      <c r="T677" s="470">
        <f t="shared" si="498"/>
        <v>3</v>
      </c>
      <c r="U677" s="612">
        <f t="shared" si="488"/>
        <v>1180273642.7256658</v>
      </c>
      <c r="V677" s="464">
        <f t="shared" si="499"/>
        <v>2010</v>
      </c>
      <c r="W677" s="612">
        <f t="shared" si="500"/>
        <v>2360547285.4513321</v>
      </c>
      <c r="X677" s="473"/>
      <c r="Y677" s="474"/>
      <c r="Z677" s="449"/>
      <c r="AA677" s="554" t="s">
        <v>4179</v>
      </c>
      <c r="AB677" s="476"/>
      <c r="AC677" s="476"/>
      <c r="AD677" s="567"/>
      <c r="AE677" s="476"/>
      <c r="AF677" s="568"/>
      <c r="AG677" s="476"/>
      <c r="AH677" s="476"/>
      <c r="AI677" s="477"/>
      <c r="AJ677" s="478"/>
      <c r="AK677" s="479"/>
      <c r="AL677" s="480"/>
      <c r="AM677" s="474"/>
      <c r="AN677" s="481"/>
      <c r="AO677" s="474"/>
      <c r="AP677" s="476"/>
      <c r="AQ677" s="482"/>
      <c r="AR677" s="478"/>
      <c r="AS677" s="478"/>
      <c r="AT677" s="476"/>
      <c r="AU677" s="482"/>
      <c r="AV677" s="478"/>
      <c r="AW677" s="483"/>
      <c r="AX677" s="476"/>
      <c r="AY677" s="482"/>
      <c r="AZ677" s="478"/>
      <c r="BA677" s="484"/>
      <c r="BB677" s="474"/>
      <c r="BC677" s="485"/>
      <c r="BD677" s="485"/>
      <c r="BG677" s="487"/>
    </row>
    <row r="678" spans="1:59" s="486" customFormat="1" ht="18" customHeight="1" x14ac:dyDescent="0.2">
      <c r="A678" s="1368" t="str">
        <f t="shared" si="489"/>
        <v>JL. DALAM KOTA KP. BARU TOAR - JP. KM 178 + 0002011</v>
      </c>
      <c r="B678" s="1373"/>
      <c r="C678" s="488"/>
      <c r="D678" s="489"/>
      <c r="E678" s="558"/>
      <c r="F678" s="559">
        <v>2011</v>
      </c>
      <c r="G678" s="619">
        <v>0</v>
      </c>
      <c r="H678" s="464">
        <f t="shared" si="490"/>
        <v>6</v>
      </c>
      <c r="I678" s="467"/>
      <c r="J678" s="468">
        <f t="shared" si="485"/>
        <v>2016</v>
      </c>
      <c r="K678" s="490">
        <f t="shared" si="491"/>
        <v>0</v>
      </c>
      <c r="L678" s="469">
        <f t="shared" si="492"/>
        <v>0</v>
      </c>
      <c r="M678" s="683">
        <f t="shared" si="493"/>
        <v>0</v>
      </c>
      <c r="N678" s="470">
        <f t="shared" si="494"/>
        <v>6</v>
      </c>
      <c r="O678" s="468">
        <f t="shared" si="486"/>
        <v>2016</v>
      </c>
      <c r="P678" s="616">
        <f t="shared" si="495"/>
        <v>2360547285.4513321</v>
      </c>
      <c r="Q678" s="472">
        <f t="shared" si="496"/>
        <v>2360547285.4513321</v>
      </c>
      <c r="R678" s="472">
        <f t="shared" si="497"/>
        <v>393424547.57522196</v>
      </c>
      <c r="S678" s="1132">
        <f t="shared" si="487"/>
        <v>2011</v>
      </c>
      <c r="T678" s="470">
        <f t="shared" si="498"/>
        <v>1</v>
      </c>
      <c r="U678" s="612">
        <f t="shared" si="488"/>
        <v>393424547.57522196</v>
      </c>
      <c r="V678" s="464">
        <f t="shared" si="499"/>
        <v>2011</v>
      </c>
      <c r="W678" s="612">
        <f t="shared" si="500"/>
        <v>1967122737.8761101</v>
      </c>
      <c r="X678" s="473"/>
      <c r="Y678" s="474"/>
      <c r="Z678" s="449"/>
      <c r="AA678" s="475"/>
      <c r="AB678" s="476"/>
      <c r="AC678" s="476"/>
      <c r="AD678" s="567"/>
      <c r="AE678" s="476"/>
      <c r="AF678" s="568"/>
      <c r="AG678" s="476"/>
      <c r="AH678" s="476"/>
      <c r="AI678" s="477"/>
      <c r="AJ678" s="478"/>
      <c r="AK678" s="479"/>
      <c r="AL678" s="480"/>
      <c r="AM678" s="474"/>
      <c r="AN678" s="481"/>
      <c r="AO678" s="474"/>
      <c r="AP678" s="476"/>
      <c r="AQ678" s="482"/>
      <c r="AR678" s="478"/>
      <c r="AS678" s="478"/>
      <c r="AT678" s="476"/>
      <c r="AU678" s="482"/>
      <c r="AV678" s="478"/>
      <c r="AW678" s="483"/>
      <c r="AX678" s="476"/>
      <c r="AY678" s="482"/>
      <c r="AZ678" s="478"/>
      <c r="BA678" s="484"/>
      <c r="BB678" s="474"/>
      <c r="BC678" s="485"/>
      <c r="BD678" s="485"/>
      <c r="BG678" s="487"/>
    </row>
    <row r="679" spans="1:59" s="486" customFormat="1" ht="18" customHeight="1" x14ac:dyDescent="0.2">
      <c r="A679" s="1368" t="str">
        <f t="shared" si="489"/>
        <v>JL. DALAM KOTA KP. BARU TOAR - JP. KM 178 + 0002012</v>
      </c>
      <c r="B679" s="1373"/>
      <c r="C679" s="488"/>
      <c r="D679" s="489"/>
      <c r="E679" s="558"/>
      <c r="F679" s="559">
        <v>2012</v>
      </c>
      <c r="G679" s="619">
        <v>0</v>
      </c>
      <c r="H679" s="464">
        <f t="shared" si="490"/>
        <v>5</v>
      </c>
      <c r="I679" s="467"/>
      <c r="J679" s="468">
        <f t="shared" si="485"/>
        <v>2016</v>
      </c>
      <c r="K679" s="490">
        <f t="shared" si="491"/>
        <v>0</v>
      </c>
      <c r="L679" s="469">
        <f t="shared" si="492"/>
        <v>0</v>
      </c>
      <c r="M679" s="683">
        <f t="shared" si="493"/>
        <v>0</v>
      </c>
      <c r="N679" s="470">
        <f t="shared" si="494"/>
        <v>5</v>
      </c>
      <c r="O679" s="468">
        <f t="shared" si="486"/>
        <v>2016</v>
      </c>
      <c r="P679" s="616">
        <f t="shared" si="495"/>
        <v>1967122737.8761101</v>
      </c>
      <c r="Q679" s="472">
        <f t="shared" si="496"/>
        <v>1967122737.8761101</v>
      </c>
      <c r="R679" s="472">
        <f t="shared" si="497"/>
        <v>393424547.57522196</v>
      </c>
      <c r="S679" s="1132">
        <f t="shared" si="487"/>
        <v>2012</v>
      </c>
      <c r="T679" s="470">
        <f t="shared" si="498"/>
        <v>1</v>
      </c>
      <c r="U679" s="612">
        <f t="shared" si="488"/>
        <v>393424547.57522196</v>
      </c>
      <c r="V679" s="464">
        <f t="shared" si="499"/>
        <v>2012</v>
      </c>
      <c r="W679" s="612">
        <f t="shared" si="500"/>
        <v>1573698190.3008881</v>
      </c>
      <c r="X679" s="473"/>
      <c r="Y679" s="474"/>
      <c r="Z679" s="449"/>
      <c r="AA679" s="475" t="s">
        <v>4180</v>
      </c>
      <c r="AB679" s="476"/>
      <c r="AC679" s="476"/>
      <c r="AD679" s="567">
        <f>G688</f>
        <v>5716245475.7522202</v>
      </c>
      <c r="AE679" s="476"/>
      <c r="AF679" s="568"/>
      <c r="AG679" s="476"/>
      <c r="AH679" s="476"/>
      <c r="AI679" s="477"/>
      <c r="AJ679" s="478"/>
      <c r="AK679" s="479"/>
      <c r="AL679" s="480"/>
      <c r="AM679" s="474"/>
      <c r="AN679" s="481"/>
      <c r="AO679" s="474"/>
      <c r="AP679" s="476"/>
      <c r="AQ679" s="482"/>
      <c r="AR679" s="478"/>
      <c r="AS679" s="478"/>
      <c r="AT679" s="476"/>
      <c r="AU679" s="482"/>
      <c r="AV679" s="478"/>
      <c r="AW679" s="483"/>
      <c r="AX679" s="476"/>
      <c r="AY679" s="482"/>
      <c r="AZ679" s="478"/>
      <c r="BA679" s="484"/>
      <c r="BB679" s="474"/>
      <c r="BC679" s="485"/>
      <c r="BD679" s="485"/>
      <c r="BG679" s="487"/>
    </row>
    <row r="680" spans="1:59" s="486" customFormat="1" ht="18" customHeight="1" x14ac:dyDescent="0.2">
      <c r="A680" s="1368" t="str">
        <f t="shared" si="489"/>
        <v>JL. DALAM KOTA KP. BARU TOAR - JP. KM 178 + 0002013</v>
      </c>
      <c r="B680" s="1373"/>
      <c r="C680" s="488"/>
      <c r="D680" s="489"/>
      <c r="E680" s="558"/>
      <c r="F680" s="559">
        <v>2013</v>
      </c>
      <c r="G680" s="619">
        <v>0</v>
      </c>
      <c r="H680" s="464">
        <f t="shared" si="490"/>
        <v>4</v>
      </c>
      <c r="I680" s="467"/>
      <c r="J680" s="468">
        <f t="shared" si="485"/>
        <v>2016</v>
      </c>
      <c r="K680" s="490">
        <f t="shared" ref="K680:K686" si="501">IF(G680=0,0,IF(H680=10,100%,G680/W679))</f>
        <v>0</v>
      </c>
      <c r="L680" s="469">
        <f t="shared" ref="L680:L686" si="502">IF(K680=0%,0,IF(K680&lt;=30%,2,IF(K680&lt;=60%,5,10)))</f>
        <v>0</v>
      </c>
      <c r="M680" s="683">
        <f t="shared" si="493"/>
        <v>0</v>
      </c>
      <c r="N680" s="470">
        <f t="shared" si="494"/>
        <v>4</v>
      </c>
      <c r="O680" s="468">
        <f t="shared" si="486"/>
        <v>2016</v>
      </c>
      <c r="P680" s="616">
        <f t="shared" ref="P680:P686" si="503">W679</f>
        <v>1573698190.3008881</v>
      </c>
      <c r="Q680" s="472">
        <f t="shared" ref="Q680:Q686" si="504">P680+G680</f>
        <v>1573698190.3008881</v>
      </c>
      <c r="R680" s="472">
        <f t="shared" si="497"/>
        <v>393424547.57522196</v>
      </c>
      <c r="S680" s="1132">
        <f t="shared" ref="S680:S686" si="505">F680</f>
        <v>2013</v>
      </c>
      <c r="T680" s="470">
        <f t="shared" si="498"/>
        <v>1</v>
      </c>
      <c r="U680" s="612">
        <f t="shared" ref="U680:U686" si="506">R680*T680</f>
        <v>393424547.57522196</v>
      </c>
      <c r="V680" s="464">
        <f t="shared" ref="V680:V686" si="507">F680</f>
        <v>2013</v>
      </c>
      <c r="W680" s="612">
        <f t="shared" ref="W680:W686" si="508">IF(OR(AND(ISBLANK(E680),ISBLANK(G680)),ISTEXT(E680),ISTEXT(G680)),"",Q680-U680)</f>
        <v>1180273642.725666</v>
      </c>
      <c r="X680" s="473"/>
      <c r="Y680" s="478"/>
      <c r="Z680" s="449"/>
      <c r="AA680" s="475" t="s">
        <v>4181</v>
      </c>
      <c r="AB680" s="491"/>
      <c r="AC680" s="491"/>
      <c r="AD680" s="567">
        <f>U688</f>
        <v>5716245475.7522202</v>
      </c>
      <c r="AE680" s="491"/>
      <c r="AF680" s="568"/>
      <c r="AG680" s="491"/>
      <c r="AH680" s="491"/>
      <c r="AI680" s="477"/>
      <c r="AJ680" s="478"/>
      <c r="AK680" s="479"/>
      <c r="AL680" s="480"/>
      <c r="AM680" s="474"/>
      <c r="AN680" s="481"/>
      <c r="AO680" s="474"/>
      <c r="AP680" s="476"/>
      <c r="AQ680" s="482"/>
      <c r="AR680" s="478"/>
      <c r="AS680" s="478"/>
      <c r="AT680" s="476"/>
      <c r="AU680" s="482"/>
      <c r="AV680" s="478"/>
      <c r="AW680" s="483"/>
      <c r="AX680" s="476"/>
      <c r="AY680" s="482"/>
      <c r="AZ680" s="478"/>
      <c r="BA680" s="484"/>
      <c r="BB680" s="474"/>
      <c r="BC680" s="485"/>
      <c r="BD680" s="485"/>
      <c r="BG680" s="487"/>
    </row>
    <row r="681" spans="1:59" s="486" customFormat="1" ht="18" customHeight="1" x14ac:dyDescent="0.2">
      <c r="A681" s="1368" t="str">
        <f t="shared" si="489"/>
        <v>JL. DALAM KOTA KP. BARU TOAR - JP. KM 178 + 0002014</v>
      </c>
      <c r="B681" s="1373"/>
      <c r="C681" s="463"/>
      <c r="D681" s="489"/>
      <c r="E681" s="465"/>
      <c r="F681" s="559">
        <v>2014</v>
      </c>
      <c r="G681" s="619">
        <v>0</v>
      </c>
      <c r="H681" s="464">
        <f t="shared" si="490"/>
        <v>3</v>
      </c>
      <c r="I681" s="467"/>
      <c r="J681" s="468">
        <f t="shared" si="485"/>
        <v>2016</v>
      </c>
      <c r="K681" s="490">
        <f t="shared" si="501"/>
        <v>0</v>
      </c>
      <c r="L681" s="469">
        <f t="shared" si="502"/>
        <v>0</v>
      </c>
      <c r="M681" s="683">
        <f t="shared" si="493"/>
        <v>0</v>
      </c>
      <c r="N681" s="470">
        <f t="shared" si="494"/>
        <v>3</v>
      </c>
      <c r="O681" s="468">
        <f t="shared" si="486"/>
        <v>2016</v>
      </c>
      <c r="P681" s="616">
        <f t="shared" si="503"/>
        <v>1180273642.725666</v>
      </c>
      <c r="Q681" s="472">
        <f t="shared" si="504"/>
        <v>1180273642.725666</v>
      </c>
      <c r="R681" s="472">
        <f t="shared" si="497"/>
        <v>393424547.57522196</v>
      </c>
      <c r="S681" s="1132">
        <f t="shared" si="505"/>
        <v>2014</v>
      </c>
      <c r="T681" s="470">
        <f t="shared" si="498"/>
        <v>1</v>
      </c>
      <c r="U681" s="612">
        <f t="shared" si="506"/>
        <v>393424547.57522196</v>
      </c>
      <c r="V681" s="464">
        <f t="shared" si="507"/>
        <v>2014</v>
      </c>
      <c r="W681" s="612">
        <f t="shared" si="508"/>
        <v>786849095.15044403</v>
      </c>
      <c r="X681" s="473"/>
      <c r="Y681" s="478"/>
      <c r="Z681" s="449"/>
      <c r="AA681" s="492" t="s">
        <v>4182</v>
      </c>
      <c r="AB681" s="476"/>
      <c r="AC681" s="476"/>
      <c r="AD681" s="567">
        <f>AD679-AD680</f>
        <v>0</v>
      </c>
      <c r="AE681" s="476"/>
      <c r="AF681" s="568"/>
      <c r="AG681" s="476"/>
      <c r="AH681" s="476"/>
      <c r="AI681" s="477"/>
      <c r="AJ681" s="478"/>
      <c r="AK681" s="479"/>
      <c r="AL681" s="480"/>
      <c r="AM681" s="474"/>
      <c r="AN681" s="481"/>
      <c r="AO681" s="474"/>
      <c r="AP681" s="476"/>
      <c r="AQ681" s="482"/>
      <c r="AR681" s="478"/>
      <c r="AS681" s="478"/>
      <c r="AT681" s="476"/>
      <c r="AU681" s="482"/>
      <c r="AV681" s="478"/>
      <c r="AW681" s="483"/>
      <c r="AX681" s="476"/>
      <c r="AY681" s="482"/>
      <c r="AZ681" s="478"/>
      <c r="BA681" s="484"/>
      <c r="BB681" s="474"/>
      <c r="BC681" s="485"/>
      <c r="BD681" s="485"/>
      <c r="BG681" s="487"/>
    </row>
    <row r="682" spans="1:59" s="486" customFormat="1" ht="18" customHeight="1" x14ac:dyDescent="0.2">
      <c r="A682" s="1368" t="str">
        <f t="shared" si="489"/>
        <v>JL. DALAM KOTA KP. BARU TOAR - JP. KM 178 + 0002015</v>
      </c>
      <c r="B682" s="1373"/>
      <c r="C682" s="463"/>
      <c r="D682" s="489"/>
      <c r="E682" s="465"/>
      <c r="F682" s="559">
        <v>2015</v>
      </c>
      <c r="G682" s="619">
        <v>0</v>
      </c>
      <c r="H682" s="464">
        <f t="shared" si="490"/>
        <v>2</v>
      </c>
      <c r="I682" s="467"/>
      <c r="J682" s="468">
        <f t="shared" si="485"/>
        <v>2016</v>
      </c>
      <c r="K682" s="490">
        <f t="shared" si="501"/>
        <v>0</v>
      </c>
      <c r="L682" s="469">
        <f t="shared" si="502"/>
        <v>0</v>
      </c>
      <c r="M682" s="683">
        <f t="shared" si="493"/>
        <v>0</v>
      </c>
      <c r="N682" s="470">
        <f t="shared" si="494"/>
        <v>2</v>
      </c>
      <c r="O682" s="468">
        <f t="shared" si="486"/>
        <v>2016</v>
      </c>
      <c r="P682" s="616">
        <f t="shared" si="503"/>
        <v>786849095.15044403</v>
      </c>
      <c r="Q682" s="472">
        <f t="shared" si="504"/>
        <v>786849095.15044403</v>
      </c>
      <c r="R682" s="472">
        <f t="shared" si="497"/>
        <v>393424547.57522196</v>
      </c>
      <c r="S682" s="1132">
        <f t="shared" si="505"/>
        <v>2015</v>
      </c>
      <c r="T682" s="470">
        <f t="shared" si="498"/>
        <v>1</v>
      </c>
      <c r="U682" s="612">
        <f t="shared" si="506"/>
        <v>393424547.57522196</v>
      </c>
      <c r="V682" s="464">
        <f t="shared" si="507"/>
        <v>2015</v>
      </c>
      <c r="W682" s="612">
        <f t="shared" si="508"/>
        <v>393424547.57522207</v>
      </c>
      <c r="X682" s="473"/>
      <c r="Y682" s="478"/>
      <c r="Z682" s="449"/>
      <c r="AA682" s="531" t="s">
        <v>4183</v>
      </c>
      <c r="AB682" s="496"/>
      <c r="AC682" s="496"/>
      <c r="AD682" s="569">
        <f>AD681-W688</f>
        <v>0</v>
      </c>
      <c r="AE682" s="476"/>
      <c r="AF682" s="568"/>
      <c r="AG682" s="476"/>
      <c r="AH682" s="476"/>
      <c r="AI682" s="477"/>
      <c r="AJ682" s="478"/>
      <c r="AK682" s="479"/>
      <c r="AL682" s="480"/>
      <c r="AM682" s="474"/>
      <c r="AN682" s="481"/>
      <c r="AO682" s="474"/>
      <c r="AP682" s="476"/>
      <c r="AQ682" s="482"/>
      <c r="AR682" s="478"/>
      <c r="AS682" s="478"/>
      <c r="AT682" s="476"/>
      <c r="AU682" s="482"/>
      <c r="AV682" s="478"/>
      <c r="AW682" s="483"/>
      <c r="AX682" s="476"/>
      <c r="AY682" s="482"/>
      <c r="AZ682" s="478"/>
      <c r="BA682" s="484"/>
      <c r="BB682" s="474"/>
      <c r="BC682" s="485"/>
      <c r="BD682" s="485"/>
      <c r="BG682" s="487"/>
    </row>
    <row r="683" spans="1:59" s="486" customFormat="1" ht="18" customHeight="1" x14ac:dyDescent="0.2">
      <c r="A683" s="1368" t="str">
        <f t="shared" si="489"/>
        <v>JL. DALAM KOTA KP. BARU TOAR - JP. KM 178 + 0002016</v>
      </c>
      <c r="B683" s="687"/>
      <c r="C683" s="463"/>
      <c r="D683" s="489"/>
      <c r="E683" s="465"/>
      <c r="F683" s="559">
        <v>2016</v>
      </c>
      <c r="G683" s="619">
        <v>0</v>
      </c>
      <c r="H683" s="464">
        <f t="shared" si="490"/>
        <v>1</v>
      </c>
      <c r="I683" s="467"/>
      <c r="J683" s="468">
        <f t="shared" si="485"/>
        <v>2016</v>
      </c>
      <c r="K683" s="490">
        <f t="shared" si="501"/>
        <v>0</v>
      </c>
      <c r="L683" s="469">
        <f t="shared" si="502"/>
        <v>0</v>
      </c>
      <c r="M683" s="683">
        <f t="shared" si="493"/>
        <v>0</v>
      </c>
      <c r="N683" s="470">
        <f t="shared" si="494"/>
        <v>1</v>
      </c>
      <c r="O683" s="468">
        <f t="shared" si="486"/>
        <v>2016</v>
      </c>
      <c r="P683" s="616">
        <f t="shared" si="503"/>
        <v>393424547.57522207</v>
      </c>
      <c r="Q683" s="472">
        <f t="shared" si="504"/>
        <v>393424547.57522207</v>
      </c>
      <c r="R683" s="472">
        <f t="shared" si="497"/>
        <v>393424547.57522196</v>
      </c>
      <c r="S683" s="1160">
        <f t="shared" si="505"/>
        <v>2016</v>
      </c>
      <c r="T683" s="470">
        <f t="shared" si="498"/>
        <v>1</v>
      </c>
      <c r="U683" s="612">
        <f t="shared" si="506"/>
        <v>393424547.57522196</v>
      </c>
      <c r="V683" s="464">
        <f t="shared" si="507"/>
        <v>2016</v>
      </c>
      <c r="W683" s="612">
        <f t="shared" si="508"/>
        <v>1.1920928955078125E-7</v>
      </c>
      <c r="X683" s="473"/>
      <c r="Y683" s="497"/>
      <c r="Z683" s="449"/>
      <c r="AA683" s="497"/>
      <c r="AB683" s="476"/>
      <c r="AC683" s="497"/>
      <c r="AD683" s="568"/>
      <c r="AE683" s="476"/>
      <c r="AF683" s="568"/>
      <c r="AG683" s="476"/>
      <c r="AH683" s="476"/>
      <c r="AI683" s="477"/>
      <c r="AJ683" s="478"/>
      <c r="AK683" s="479"/>
      <c r="AL683" s="480"/>
      <c r="AM683" s="474"/>
      <c r="AN683" s="481"/>
      <c r="AO683" s="474"/>
      <c r="AP683" s="476"/>
      <c r="AQ683" s="482"/>
      <c r="AR683" s="478"/>
      <c r="AS683" s="478"/>
      <c r="AT683" s="476"/>
      <c r="AU683" s="482"/>
      <c r="AV683" s="478"/>
      <c r="AW683" s="483"/>
      <c r="AX683" s="476"/>
      <c r="AY683" s="482"/>
      <c r="AZ683" s="478"/>
      <c r="BA683" s="484"/>
      <c r="BB683" s="474"/>
      <c r="BC683" s="485"/>
      <c r="BD683" s="485"/>
      <c r="BG683" s="487"/>
    </row>
    <row r="684" spans="1:59" s="486" customFormat="1" ht="18" customHeight="1" x14ac:dyDescent="0.2">
      <c r="A684" s="1368" t="str">
        <f t="shared" si="489"/>
        <v>JL. DALAM KOTA KP. BARU TOAR - JP. KM 178 + 0002017</v>
      </c>
      <c r="B684" s="687"/>
      <c r="C684" s="463"/>
      <c r="D684" s="489"/>
      <c r="E684" s="465"/>
      <c r="F684" s="559">
        <v>2017</v>
      </c>
      <c r="G684" s="619">
        <v>0</v>
      </c>
      <c r="H684" s="464">
        <f t="shared" si="490"/>
        <v>0</v>
      </c>
      <c r="I684" s="467"/>
      <c r="J684" s="468">
        <f t="shared" si="485"/>
        <v>2016</v>
      </c>
      <c r="K684" s="490">
        <f t="shared" si="501"/>
        <v>0</v>
      </c>
      <c r="L684" s="469">
        <f t="shared" si="502"/>
        <v>0</v>
      </c>
      <c r="M684" s="683">
        <f t="shared" si="493"/>
        <v>0</v>
      </c>
      <c r="N684" s="470">
        <f t="shared" si="494"/>
        <v>0</v>
      </c>
      <c r="O684" s="468">
        <f t="shared" si="486"/>
        <v>2016</v>
      </c>
      <c r="P684" s="616">
        <f t="shared" si="503"/>
        <v>1.1920928955078125E-7</v>
      </c>
      <c r="Q684" s="472">
        <f t="shared" si="504"/>
        <v>1.1920928955078125E-7</v>
      </c>
      <c r="R684" s="472">
        <v>0</v>
      </c>
      <c r="S684" s="1160">
        <f t="shared" si="505"/>
        <v>2017</v>
      </c>
      <c r="T684" s="470">
        <f t="shared" si="498"/>
        <v>1</v>
      </c>
      <c r="U684" s="612">
        <f t="shared" si="506"/>
        <v>0</v>
      </c>
      <c r="V684" s="464">
        <f t="shared" si="507"/>
        <v>2017</v>
      </c>
      <c r="W684" s="612">
        <f t="shared" si="508"/>
        <v>1.1920928955078125E-7</v>
      </c>
      <c r="X684" s="473"/>
      <c r="Y684" s="497"/>
      <c r="Z684" s="449"/>
      <c r="AA684" s="497"/>
      <c r="AB684" s="476"/>
      <c r="AC684" s="497"/>
      <c r="AD684" s="568"/>
      <c r="AE684" s="476"/>
      <c r="AF684" s="568"/>
      <c r="AG684" s="476"/>
      <c r="AH684" s="476"/>
      <c r="AI684" s="477"/>
      <c r="AJ684" s="478"/>
      <c r="AK684" s="479"/>
      <c r="AL684" s="480"/>
      <c r="AM684" s="474"/>
      <c r="AN684" s="481"/>
      <c r="AO684" s="474"/>
      <c r="AP684" s="476"/>
      <c r="AQ684" s="482"/>
      <c r="AR684" s="478"/>
      <c r="AS684" s="478"/>
      <c r="AT684" s="476"/>
      <c r="AU684" s="482"/>
      <c r="AV684" s="478"/>
      <c r="AW684" s="483"/>
      <c r="AX684" s="476"/>
      <c r="AY684" s="482"/>
      <c r="AZ684" s="478"/>
      <c r="BA684" s="484"/>
      <c r="BB684" s="474"/>
      <c r="BC684" s="485"/>
      <c r="BD684" s="485"/>
      <c r="BG684" s="487"/>
    </row>
    <row r="685" spans="1:59" s="486" customFormat="1" ht="18" customHeight="1" x14ac:dyDescent="0.2">
      <c r="A685" s="1368" t="str">
        <f t="shared" si="489"/>
        <v>JL. DALAM KOTA KP. BARU TOAR - JP. KM 178 + 0002018</v>
      </c>
      <c r="B685" s="687"/>
      <c r="C685" s="463"/>
      <c r="D685" s="489"/>
      <c r="E685" s="465"/>
      <c r="F685" s="559">
        <v>2018</v>
      </c>
      <c r="G685" s="620">
        <v>0</v>
      </c>
      <c r="H685" s="464">
        <f t="shared" si="490"/>
        <v>0</v>
      </c>
      <c r="I685" s="467"/>
      <c r="J685" s="468">
        <f t="shared" si="485"/>
        <v>2017</v>
      </c>
      <c r="K685" s="490">
        <f t="shared" si="501"/>
        <v>0</v>
      </c>
      <c r="L685" s="469">
        <f t="shared" si="502"/>
        <v>0</v>
      </c>
      <c r="M685" s="683">
        <f t="shared" si="493"/>
        <v>0</v>
      </c>
      <c r="N685" s="470">
        <f t="shared" si="494"/>
        <v>0</v>
      </c>
      <c r="O685" s="468">
        <f t="shared" si="486"/>
        <v>2017</v>
      </c>
      <c r="P685" s="616">
        <f t="shared" si="503"/>
        <v>1.1920928955078125E-7</v>
      </c>
      <c r="Q685" s="472">
        <f t="shared" si="504"/>
        <v>1.1920928955078125E-7</v>
      </c>
      <c r="R685" s="472">
        <f>IF(L685=0,R684,Q685/N685)</f>
        <v>0</v>
      </c>
      <c r="S685" s="1160">
        <f t="shared" si="505"/>
        <v>2018</v>
      </c>
      <c r="T685" s="470">
        <f t="shared" si="498"/>
        <v>1</v>
      </c>
      <c r="U685" s="612">
        <f t="shared" si="506"/>
        <v>0</v>
      </c>
      <c r="V685" s="464">
        <f t="shared" si="507"/>
        <v>2018</v>
      </c>
      <c r="W685" s="612">
        <f t="shared" si="508"/>
        <v>1.1920928955078125E-7</v>
      </c>
      <c r="X685" s="473"/>
      <c r="Y685" s="497"/>
      <c r="Z685" s="449"/>
      <c r="AA685" s="497"/>
      <c r="AB685" s="476"/>
      <c r="AC685" s="497"/>
      <c r="AD685" s="568"/>
      <c r="AE685" s="476"/>
      <c r="AF685" s="568"/>
      <c r="AG685" s="476"/>
      <c r="AH685" s="476"/>
      <c r="AI685" s="477"/>
      <c r="AJ685" s="478"/>
      <c r="AK685" s="479"/>
      <c r="AL685" s="480"/>
      <c r="AM685" s="474"/>
      <c r="AN685" s="481"/>
      <c r="AO685" s="474"/>
      <c r="AP685" s="476"/>
      <c r="AQ685" s="482"/>
      <c r="AR685" s="478"/>
      <c r="AS685" s="478"/>
      <c r="AT685" s="476"/>
      <c r="AU685" s="482"/>
      <c r="AV685" s="478"/>
      <c r="AW685" s="483"/>
      <c r="AX685" s="476"/>
      <c r="AY685" s="482"/>
      <c r="AZ685" s="478"/>
      <c r="BA685" s="484"/>
      <c r="BB685" s="474"/>
      <c r="BC685" s="485"/>
      <c r="BD685" s="485"/>
      <c r="BG685" s="487"/>
    </row>
    <row r="686" spans="1:59" s="486" customFormat="1" ht="18" customHeight="1" x14ac:dyDescent="0.2">
      <c r="A686" s="1368" t="str">
        <f t="shared" si="489"/>
        <v>JL. DALAM KOTA KP. BARU TOAR - JP. KM 178 + 0002019</v>
      </c>
      <c r="B686" s="687"/>
      <c r="C686" s="463"/>
      <c r="D686" s="489"/>
      <c r="E686" s="465"/>
      <c r="F686" s="559">
        <v>2019</v>
      </c>
      <c r="G686" s="620">
        <v>0</v>
      </c>
      <c r="H686" s="464">
        <f t="shared" si="490"/>
        <v>0</v>
      </c>
      <c r="I686" s="467"/>
      <c r="J686" s="468">
        <f t="shared" si="485"/>
        <v>2018</v>
      </c>
      <c r="K686" s="490">
        <f t="shared" si="501"/>
        <v>0</v>
      </c>
      <c r="L686" s="469">
        <f t="shared" si="502"/>
        <v>0</v>
      </c>
      <c r="M686" s="683">
        <f t="shared" si="493"/>
        <v>0</v>
      </c>
      <c r="N686" s="470">
        <f t="shared" si="494"/>
        <v>0</v>
      </c>
      <c r="O686" s="468">
        <f t="shared" si="486"/>
        <v>2018</v>
      </c>
      <c r="P686" s="616">
        <f t="shared" si="503"/>
        <v>1.1920928955078125E-7</v>
      </c>
      <c r="Q686" s="472">
        <f t="shared" si="504"/>
        <v>1.1920928955078125E-7</v>
      </c>
      <c r="R686" s="472">
        <f>IF(L686=0,R685,Q686/N686)</f>
        <v>0</v>
      </c>
      <c r="S686" s="1189">
        <f t="shared" si="505"/>
        <v>2019</v>
      </c>
      <c r="T686" s="470">
        <f t="shared" si="498"/>
        <v>1</v>
      </c>
      <c r="U686" s="612">
        <f t="shared" si="506"/>
        <v>0</v>
      </c>
      <c r="V686" s="464">
        <f t="shared" si="507"/>
        <v>2019</v>
      </c>
      <c r="W686" s="612">
        <f t="shared" si="508"/>
        <v>1.1920928955078125E-7</v>
      </c>
      <c r="X686" s="473"/>
      <c r="Y686" s="497"/>
      <c r="Z686" s="449"/>
      <c r="AA686" s="497"/>
      <c r="AB686" s="476"/>
      <c r="AC686" s="497"/>
      <c r="AD686" s="568"/>
      <c r="AE686" s="476"/>
      <c r="AF686" s="568"/>
      <c r="AG686" s="476"/>
      <c r="AH686" s="476"/>
      <c r="AI686" s="477"/>
      <c r="AJ686" s="478"/>
      <c r="AK686" s="479"/>
      <c r="AL686" s="480"/>
      <c r="AM686" s="474"/>
      <c r="AN686" s="481"/>
      <c r="AO686" s="474"/>
      <c r="AP686" s="476"/>
      <c r="AQ686" s="482"/>
      <c r="AR686" s="478"/>
      <c r="AS686" s="478"/>
      <c r="AT686" s="476"/>
      <c r="AU686" s="482"/>
      <c r="AV686" s="478"/>
      <c r="AW686" s="483"/>
      <c r="AX686" s="476"/>
      <c r="AY686" s="482"/>
      <c r="AZ686" s="478"/>
      <c r="BA686" s="484"/>
      <c r="BB686" s="474"/>
      <c r="BC686" s="485"/>
      <c r="BD686" s="485"/>
      <c r="BG686" s="487"/>
    </row>
    <row r="687" spans="1:59" s="486" customFormat="1" ht="18" customHeight="1" x14ac:dyDescent="0.2">
      <c r="A687" s="1369"/>
      <c r="B687" s="687"/>
      <c r="C687" s="463"/>
      <c r="D687" s="464"/>
      <c r="E687" s="465"/>
      <c r="F687" s="1132"/>
      <c r="G687" s="620"/>
      <c r="H687" s="469" t="str">
        <f>IF(OR(AND(ISBLANK(E687),ISBLANK(G687)),ISTEXT(E687),ISTEXT(G687)),"",IF(#REF!-(YEAR(E687)-YEAR(#REF!))&lt;0,0,#REF!-(YEAR(E687)-YEAR(#REF!))))</f>
        <v/>
      </c>
      <c r="I687" s="467" t="str">
        <f>IF(OR(AND(ISBLANK(E687),ISBLANK(G687)),ISTEXT(E687),ISTEXT(G687)),"",IF(#REF!-E687&lt;0,0,#REF!-E687))</f>
        <v/>
      </c>
      <c r="J687" s="498" t="str">
        <f>IF(OR(AND(ISBLANK(E687),ISBLANK(G687)),ISTEXT(E687),ISTEXT(G687)),"",#REF!)</f>
        <v/>
      </c>
      <c r="K687" s="498"/>
      <c r="L687" s="469" t="str">
        <f>IF(OR(AND(ISBLANK(E687),ISBLANK(G687)),ISTEXT(E687),ISTEXT(G687)),"",ROUNDDOWN(G687/SUM($G$57:G682)*$H$57,0))</f>
        <v/>
      </c>
      <c r="M687" s="683" t="str">
        <f>IF(OR(AND(ISBLANK(E687),ISBLANK(G687)),ISTEXT(E687),ISTEXT(G687)),"",IF(H687+L687&gt;$H$57,$H$57-H687,L687))</f>
        <v/>
      </c>
      <c r="N687" s="470" t="str">
        <f>IF(OR(AND(ISBLANK(E687),ISBLANK(G687)),ISTEXT(E687),ISTEXT(G687)),"",H687+M687)</f>
        <v/>
      </c>
      <c r="O687" s="498" t="str">
        <f>IF(OR(AND(ISBLANK(E687),ISBLANK(G687)),ISTEXT(E687),ISTEXT(G687)),"",DATE(YEAR($J687)+M687,MONTH($J687),DAY($J687)))</f>
        <v/>
      </c>
      <c r="P687" s="748" t="str">
        <f>IF(OR(AND(ISBLANK(E687),ISBLANK(G687)),ISTEXT(E687),ISTEXT(G687)),"",#REF!-#REF!*(IF(J687&lt;E687,J687,E687)-#REF!))</f>
        <v/>
      </c>
      <c r="Q687" s="500" t="str">
        <f>IF(OR(AND(ISBLANK(E687),ISBLANK(G687)),ISTEXT(E687),ISTEXT(G687)),"",P687+G687)</f>
        <v/>
      </c>
      <c r="R687" s="501" t="str">
        <f>IF(OR(AND(ISBLANK(E687),ISBLANK(G687)),ISTEXT(E687),ISTEXT(G687)),"",IF(OR(E687&lt;DATE(2004,12,31),#REF!=0),0,Q687/#REF!))</f>
        <v/>
      </c>
      <c r="S687" s="502" t="str">
        <f>IF(OR(AND(ISBLANK(E687),ISBLANK(G687)),ISTEXT(E687),ISTEXT(G687)),"",IF(YEAR(E687)&lt;=YEAR(#REF!),"-",YEAR(E687)-1))</f>
        <v/>
      </c>
      <c r="T687" s="502"/>
      <c r="U687" s="612" t="str">
        <f>IF(OR(AND(ISBLANK(E687),ISBLANK(G687)),ISTEXT(E687),ISTEXT(G687)),"",IF(AND(J687&lt;=DATE(2004,12,31),E687&gt;J687),SUM($G687:G687),#REF!+#REF!+#REF!*IF(YEAR(E687)&lt;=YEAR(#REF!),0,(IF(DATE(YEAR(E687)-1,12,31)&gt;J687,J687,DATE(YEAR(E687)-1,12,31))-#REF!))))</f>
        <v/>
      </c>
      <c r="V687" s="503" t="str">
        <f>IF(OR(AND(ISBLANK(E687),ISBLANK(G687)),ISTEXT(E687),ISTEXT(G687)),"",IF(YEAR(E687)=YEAR(E688),E688,DATE(YEAR(E687),12,31)))</f>
        <v/>
      </c>
      <c r="W687" s="612" t="str">
        <f>IF(OR(AND(ISBLANK(E687),ISBLANK(G687)),ISTEXT(E687),ISTEXT(G687)),"",IF(Q687=0,0,IF(AND(J687&lt;=DATE(2004,12,31),E687&gt;=J687),Q687-U687,Q687-#REF!)))</f>
        <v/>
      </c>
      <c r="X687" s="504" t="str">
        <f>IF(OR(AND(ISBLANK(E687),ISBLANK(G687)),ISTEXT(E687),ISTEXT(G687)),"",$D$57&amp;"//"&amp;TEXT($E$57,"dd-mmm-yyyy")&amp;"//"&amp;#REF!)</f>
        <v/>
      </c>
      <c r="Y687" s="476"/>
      <c r="Z687" s="476"/>
      <c r="AA687" s="476"/>
      <c r="AB687" s="476"/>
      <c r="AC687" s="476"/>
      <c r="AD687" s="568"/>
      <c r="AE687" s="476"/>
      <c r="AF687" s="568"/>
      <c r="AG687" s="476"/>
      <c r="AH687" s="476"/>
      <c r="AI687" s="477"/>
      <c r="AJ687" s="478"/>
      <c r="AK687" s="479"/>
      <c r="AL687" s="480"/>
      <c r="AM687" s="474"/>
      <c r="AN687" s="481"/>
      <c r="AO687" s="474"/>
      <c r="AP687" s="476"/>
      <c r="AQ687" s="482"/>
      <c r="AR687" s="478"/>
      <c r="AS687" s="478"/>
      <c r="AT687" s="476"/>
      <c r="AU687" s="482"/>
      <c r="AV687" s="478"/>
      <c r="AW687" s="483"/>
      <c r="AX687" s="476"/>
      <c r="AY687" s="482"/>
      <c r="AZ687" s="478"/>
      <c r="BA687" s="484"/>
      <c r="BB687" s="474"/>
      <c r="BC687" s="485"/>
      <c r="BD687" s="485"/>
      <c r="BG687" s="487"/>
    </row>
    <row r="688" spans="1:59" s="526" customFormat="1" ht="18" customHeight="1" x14ac:dyDescent="0.2">
      <c r="A688" s="1370" t="s">
        <v>4184</v>
      </c>
      <c r="B688" s="1956" t="s">
        <v>4184</v>
      </c>
      <c r="C688" s="1957"/>
      <c r="D688" s="1957"/>
      <c r="E688" s="1957"/>
      <c r="F688" s="1958"/>
      <c r="G688" s="624">
        <f>SUM(G673:G687)</f>
        <v>5716245475.7522202</v>
      </c>
      <c r="H688" s="505"/>
      <c r="I688" s="506"/>
      <c r="J688" s="507"/>
      <c r="K688" s="507"/>
      <c r="L688" s="505"/>
      <c r="M688" s="684"/>
      <c r="N688" s="508"/>
      <c r="O688" s="507"/>
      <c r="P688" s="749"/>
      <c r="Q688" s="510"/>
      <c r="R688" s="511"/>
      <c r="S688" s="512"/>
      <c r="T688" s="512"/>
      <c r="U688" s="610">
        <f>SUM(U673:U687)</f>
        <v>5716245475.7522202</v>
      </c>
      <c r="V688" s="513"/>
      <c r="W688" s="610">
        <f>G688-U688</f>
        <v>0</v>
      </c>
      <c r="X688" s="514"/>
      <c r="Y688" s="515"/>
      <c r="Z688" s="515"/>
      <c r="AA688" s="515"/>
      <c r="AB688" s="515"/>
      <c r="AC688" s="515"/>
      <c r="AD688" s="570"/>
      <c r="AE688" s="515"/>
      <c r="AF688" s="570">
        <v>4965000880</v>
      </c>
      <c r="AG688" s="515"/>
      <c r="AH688" s="515"/>
      <c r="AI688" s="516"/>
      <c r="AJ688" s="517"/>
      <c r="AK688" s="518"/>
      <c r="AL688" s="519"/>
      <c r="AM688" s="520"/>
      <c r="AN688" s="521"/>
      <c r="AO688" s="520"/>
      <c r="AP688" s="515"/>
      <c r="AQ688" s="522"/>
      <c r="AR688" s="517"/>
      <c r="AS688" s="517"/>
      <c r="AT688" s="515"/>
      <c r="AU688" s="522"/>
      <c r="AV688" s="517"/>
      <c r="AW688" s="523"/>
      <c r="AX688" s="515"/>
      <c r="AY688" s="522"/>
      <c r="AZ688" s="517"/>
      <c r="BA688" s="524"/>
      <c r="BB688" s="520"/>
      <c r="BC688" s="525"/>
      <c r="BD688" s="525"/>
      <c r="BG688" s="527"/>
    </row>
    <row r="689" spans="1:59" ht="18" customHeight="1" x14ac:dyDescent="0.2"/>
    <row r="690" spans="1:59" ht="18" customHeight="1" x14ac:dyDescent="0.2"/>
    <row r="691" spans="1:59" s="422" customFormat="1" ht="18" customHeight="1" x14ac:dyDescent="0.2">
      <c r="A691" s="1366">
        <f>C691</f>
        <v>115</v>
      </c>
      <c r="B691" s="742" t="s">
        <v>4187</v>
      </c>
      <c r="C691" s="556">
        <v>115</v>
      </c>
      <c r="D691" s="553" t="str">
        <f>VLOOKUP(C691,RUAS,2,FALSE)</f>
        <v>GUNUNG - PL. MUNGKUR</v>
      </c>
      <c r="E691" s="553"/>
      <c r="F691" s="421"/>
      <c r="G691" s="611"/>
      <c r="I691" s="423"/>
      <c r="J691" s="424"/>
      <c r="K691" s="424"/>
      <c r="M691" s="680"/>
      <c r="P691" s="611"/>
      <c r="U691" s="611"/>
      <c r="W691" s="611"/>
      <c r="Y691" s="425"/>
      <c r="Z691" s="425"/>
      <c r="AA691" s="425"/>
      <c r="AB691" s="425"/>
      <c r="AC691" s="425"/>
      <c r="AD691" s="563"/>
      <c r="AE691" s="425"/>
      <c r="AF691" s="563"/>
      <c r="AG691" s="425"/>
      <c r="AH691" s="425"/>
      <c r="AI691" s="425"/>
      <c r="AJ691" s="425"/>
      <c r="AK691" s="425"/>
      <c r="AL691" s="425"/>
      <c r="AM691" s="425"/>
      <c r="AN691" s="425"/>
      <c r="AO691" s="425"/>
      <c r="AP691" s="425"/>
      <c r="AQ691" s="425"/>
      <c r="AR691" s="425"/>
      <c r="AS691" s="425"/>
      <c r="AT691" s="425"/>
      <c r="AU691" s="425"/>
      <c r="AV691" s="425"/>
      <c r="AW691" s="425"/>
      <c r="AX691" s="425"/>
      <c r="AY691" s="425"/>
      <c r="AZ691" s="425"/>
      <c r="BA691" s="425"/>
      <c r="BB691" s="425"/>
    </row>
    <row r="692" spans="1:59" s="431" customFormat="1" ht="18" customHeight="1" x14ac:dyDescent="0.2">
      <c r="A692" s="1367"/>
      <c r="B692" s="1968" t="s">
        <v>5</v>
      </c>
      <c r="C692" s="1968" t="s">
        <v>2280</v>
      </c>
      <c r="D692" s="1968" t="s">
        <v>4157</v>
      </c>
      <c r="E692" s="1968" t="s">
        <v>4158</v>
      </c>
      <c r="F692" s="1968"/>
      <c r="G692" s="1969" t="s">
        <v>4159</v>
      </c>
      <c r="H692" s="1968" t="s">
        <v>4160</v>
      </c>
      <c r="I692" s="1968"/>
      <c r="J692" s="1968" t="s">
        <v>4185</v>
      </c>
      <c r="K692" s="1964" t="s">
        <v>4162</v>
      </c>
      <c r="L692" s="1968" t="s">
        <v>4163</v>
      </c>
      <c r="M692" s="1971" t="s">
        <v>4164</v>
      </c>
      <c r="N692" s="1962" t="s">
        <v>4165</v>
      </c>
      <c r="O692" s="1968" t="s">
        <v>4166</v>
      </c>
      <c r="P692" s="1972" t="s">
        <v>4167</v>
      </c>
      <c r="Q692" s="1973"/>
      <c r="R692" s="1186" t="s">
        <v>4186</v>
      </c>
      <c r="S692" s="1972" t="s">
        <v>4169</v>
      </c>
      <c r="T692" s="1974"/>
      <c r="U692" s="1973"/>
      <c r="V692" s="1975" t="s">
        <v>4170</v>
      </c>
      <c r="W692" s="1975"/>
      <c r="X692" s="1960" t="s">
        <v>4171</v>
      </c>
      <c r="Y692" s="1959"/>
      <c r="Z692" s="1187"/>
      <c r="AA692" s="426"/>
      <c r="AB692" s="426"/>
      <c r="AC692" s="426"/>
      <c r="AD692" s="564"/>
      <c r="AE692" s="426"/>
      <c r="AF692" s="564"/>
      <c r="AG692" s="426"/>
      <c r="AH692" s="426"/>
      <c r="AI692" s="427"/>
      <c r="AJ692" s="427"/>
      <c r="AK692" s="427"/>
      <c r="AL692" s="427"/>
      <c r="AM692" s="428"/>
      <c r="AN692" s="427"/>
      <c r="AO692" s="427"/>
      <c r="AP692" s="426"/>
      <c r="AQ692" s="427"/>
      <c r="AR692" s="427"/>
      <c r="AS692" s="427"/>
      <c r="AT692" s="426"/>
      <c r="AU692" s="427"/>
      <c r="AV692" s="427"/>
      <c r="AW692" s="427"/>
      <c r="AX692" s="426"/>
      <c r="AY692" s="427"/>
      <c r="AZ692" s="427"/>
      <c r="BA692" s="427"/>
      <c r="BB692" s="429"/>
      <c r="BC692" s="430"/>
      <c r="BD692" s="430"/>
    </row>
    <row r="693" spans="1:59" s="431" customFormat="1" ht="18" customHeight="1" x14ac:dyDescent="0.2">
      <c r="A693" s="1367"/>
      <c r="B693" s="1968"/>
      <c r="C693" s="1968"/>
      <c r="D693" s="1968"/>
      <c r="E693" s="1968"/>
      <c r="F693" s="1968"/>
      <c r="G693" s="1969"/>
      <c r="H693" s="1968"/>
      <c r="I693" s="1968"/>
      <c r="J693" s="1968"/>
      <c r="K693" s="1970"/>
      <c r="L693" s="1968"/>
      <c r="M693" s="1971"/>
      <c r="N693" s="1963"/>
      <c r="O693" s="1968"/>
      <c r="P693" s="2037" t="s">
        <v>4172</v>
      </c>
      <c r="Q693" s="1960" t="s">
        <v>4173</v>
      </c>
      <c r="R693" s="1962" t="s">
        <v>4159</v>
      </c>
      <c r="S693" s="1962" t="s">
        <v>4174</v>
      </c>
      <c r="T693" s="1964" t="s">
        <v>4175</v>
      </c>
      <c r="U693" s="1966" t="s">
        <v>4159</v>
      </c>
      <c r="V693" s="1975"/>
      <c r="W693" s="1975"/>
      <c r="X693" s="1976"/>
      <c r="Y693" s="1959"/>
      <c r="Z693" s="1187"/>
      <c r="AA693" s="426"/>
      <c r="AB693" s="426"/>
      <c r="AC693" s="426"/>
      <c r="AD693" s="564"/>
      <c r="AE693" s="426"/>
      <c r="AF693" s="564"/>
      <c r="AG693" s="426"/>
      <c r="AH693" s="426"/>
      <c r="AI693" s="427"/>
      <c r="AJ693" s="427"/>
      <c r="AK693" s="426"/>
      <c r="AL693" s="427"/>
      <c r="AM693" s="428"/>
      <c r="AN693" s="427"/>
      <c r="AO693" s="427"/>
      <c r="AP693" s="432"/>
      <c r="AQ693" s="427"/>
      <c r="AR693" s="427"/>
      <c r="AS693" s="427"/>
      <c r="AT693" s="432"/>
      <c r="AU693" s="427"/>
      <c r="AV693" s="427"/>
      <c r="AW693" s="427"/>
      <c r="AX693" s="432"/>
      <c r="AY693" s="427"/>
      <c r="AZ693" s="427"/>
      <c r="BA693" s="427"/>
      <c r="BB693" s="429"/>
      <c r="BC693" s="430"/>
      <c r="BD693" s="430"/>
    </row>
    <row r="694" spans="1:59" s="431" customFormat="1" ht="18" customHeight="1" x14ac:dyDescent="0.2">
      <c r="A694" s="1367"/>
      <c r="B694" s="1968"/>
      <c r="C694" s="1968"/>
      <c r="D694" s="1968"/>
      <c r="E694" s="433" t="s">
        <v>4176</v>
      </c>
      <c r="F694" s="434" t="s">
        <v>2288</v>
      </c>
      <c r="G694" s="1969"/>
      <c r="H694" s="1185" t="s">
        <v>2288</v>
      </c>
      <c r="I694" s="1185" t="s">
        <v>4177</v>
      </c>
      <c r="J694" s="1968"/>
      <c r="K694" s="1965"/>
      <c r="L694" s="435" t="s">
        <v>2288</v>
      </c>
      <c r="M694" s="681" t="s">
        <v>2288</v>
      </c>
      <c r="N694" s="1185" t="s">
        <v>2288</v>
      </c>
      <c r="O694" s="1968"/>
      <c r="P694" s="2038"/>
      <c r="Q694" s="1961"/>
      <c r="R694" s="1963"/>
      <c r="S694" s="1963"/>
      <c r="T694" s="1965"/>
      <c r="U694" s="1967"/>
      <c r="V694" s="1185" t="s">
        <v>4178</v>
      </c>
      <c r="W694" s="1188" t="s">
        <v>4159</v>
      </c>
      <c r="X694" s="1961"/>
      <c r="Y694" s="436"/>
      <c r="Z694" s="436"/>
      <c r="AA694" s="426"/>
      <c r="AB694" s="426"/>
      <c r="AC694" s="426"/>
      <c r="AD694" s="564"/>
      <c r="AE694" s="426"/>
      <c r="AF694" s="564"/>
      <c r="AG694" s="426"/>
      <c r="AH694" s="426"/>
      <c r="AI694" s="427"/>
      <c r="AJ694" s="432"/>
      <c r="AK694" s="432"/>
      <c r="AL694" s="427"/>
      <c r="AM694" s="428"/>
      <c r="AN694" s="432"/>
      <c r="AO694" s="427"/>
      <c r="AP694" s="432"/>
      <c r="AQ694" s="432"/>
      <c r="AR694" s="427"/>
      <c r="AS694" s="427"/>
      <c r="AT694" s="432"/>
      <c r="AU694" s="432"/>
      <c r="AV694" s="427"/>
      <c r="AW694" s="427"/>
      <c r="AX694" s="432"/>
      <c r="AY694" s="432"/>
      <c r="AZ694" s="427"/>
      <c r="BA694" s="427"/>
      <c r="BB694" s="429"/>
      <c r="BC694" s="430"/>
      <c r="BD694" s="430"/>
    </row>
    <row r="695" spans="1:59" s="461" customFormat="1" ht="18" customHeight="1" x14ac:dyDescent="0.2">
      <c r="A695" s="1368" t="str">
        <f>$D$691&amp;S695</f>
        <v>GUNUNG - PL. MUNGKUR2001</v>
      </c>
      <c r="B695" s="1373">
        <v>1</v>
      </c>
      <c r="C695" s="532" t="s">
        <v>696</v>
      </c>
      <c r="D695" s="437" t="s">
        <v>2494</v>
      </c>
      <c r="E695" s="438"/>
      <c r="F695" s="439">
        <v>2001</v>
      </c>
      <c r="G695" s="623">
        <v>1770000000</v>
      </c>
      <c r="H695" s="440">
        <f>VLOOKUP(LEFT(D695,8),UE,4)</f>
        <v>10</v>
      </c>
      <c r="I695" s="441"/>
      <c r="J695" s="442">
        <f>F695+N695-1</f>
        <v>2010</v>
      </c>
      <c r="K695" s="443"/>
      <c r="L695" s="440"/>
      <c r="M695" s="746">
        <f>IF(H695+L695&gt;$H695,$H695-H695,L695)</f>
        <v>0</v>
      </c>
      <c r="N695" s="444">
        <f>H695+M695</f>
        <v>10</v>
      </c>
      <c r="O695" s="442">
        <f>F695+N695-1</f>
        <v>2010</v>
      </c>
      <c r="P695" s="617">
        <f>G695</f>
        <v>1770000000</v>
      </c>
      <c r="Q695" s="445">
        <v>0</v>
      </c>
      <c r="R695" s="445">
        <f>P695/N695</f>
        <v>177000000</v>
      </c>
      <c r="S695" s="446">
        <f>F695</f>
        <v>2001</v>
      </c>
      <c r="T695" s="447">
        <v>1</v>
      </c>
      <c r="U695" s="613">
        <f>R695*T695</f>
        <v>177000000</v>
      </c>
      <c r="V695" s="442">
        <f>F695</f>
        <v>2001</v>
      </c>
      <c r="W695" s="617">
        <f>IF(OR(AND(ISBLANK(E695),ISBLANK(G695)),ISTEXT(E695),ISTEXT(G695)),"",G695-R695)</f>
        <v>1593000000</v>
      </c>
      <c r="X695" s="448"/>
      <c r="Y695" s="449"/>
      <c r="Z695" s="449"/>
      <c r="AA695" s="693"/>
      <c r="AB695" s="452"/>
      <c r="AC695" s="452"/>
      <c r="AD695" s="571"/>
      <c r="AE695" s="452"/>
      <c r="AF695" s="571"/>
      <c r="AG695" s="452"/>
      <c r="AH695" s="452"/>
      <c r="AI695" s="453"/>
      <c r="AJ695" s="449"/>
      <c r="AK695" s="453"/>
      <c r="AL695" s="454"/>
      <c r="AM695" s="455"/>
      <c r="AN695" s="456"/>
      <c r="AO695" s="455"/>
      <c r="AP695" s="452"/>
      <c r="AQ695" s="457"/>
      <c r="AR695" s="449"/>
      <c r="AS695" s="449"/>
      <c r="AT695" s="452"/>
      <c r="AU695" s="457"/>
      <c r="AV695" s="449"/>
      <c r="AW695" s="458"/>
      <c r="AX695" s="452"/>
      <c r="AY695" s="457"/>
      <c r="AZ695" s="449"/>
      <c r="BA695" s="459"/>
      <c r="BB695" s="455"/>
      <c r="BC695" s="460"/>
      <c r="BD695" s="460"/>
      <c r="BG695" s="462"/>
    </row>
    <row r="696" spans="1:59" s="461" customFormat="1" ht="18" customHeight="1" x14ac:dyDescent="0.2">
      <c r="A696" s="1368" t="str">
        <f t="shared" ref="A696:A710" si="509">$D$691&amp;S696</f>
        <v>GUNUNG - PL. MUNGKUR2001</v>
      </c>
      <c r="B696" s="1373"/>
      <c r="C696" s="488"/>
      <c r="D696" s="489"/>
      <c r="E696" s="558"/>
      <c r="F696" s="559">
        <v>2001</v>
      </c>
      <c r="G696" s="619">
        <v>0</v>
      </c>
      <c r="H696" s="464">
        <f>IF(N695-(F696-F695)&lt;=0,0,(N695-(F696-F695)))</f>
        <v>10</v>
      </c>
      <c r="I696" s="560"/>
      <c r="J696" s="468">
        <f>F696+N696-1</f>
        <v>2010</v>
      </c>
      <c r="K696" s="490">
        <f>IF(G696=0,0,IF(H696=10,100%,G696/W695))</f>
        <v>0</v>
      </c>
      <c r="L696" s="469">
        <f>IF(K696=0%,0,IF(K696&lt;=30%,2,IF(K696&lt;=60%,5,10)))</f>
        <v>0</v>
      </c>
      <c r="M696" s="683">
        <f>IF(OR(AND(ISBLANK(E696),ISBLANK(G696)),ISTEXT(E696),ISTEXT(G696)),"",IF(H696+L696&gt;$H$8,$H$8-H696,L696))</f>
        <v>0</v>
      </c>
      <c r="N696" s="470">
        <f>IF(OR(AND(ISBLANK(F696),ISBLANK(G696)),ISTEXT(F696),ISTEXT(G696)),"",H696+M696)</f>
        <v>10</v>
      </c>
      <c r="O696" s="468">
        <f>F696+N696-1</f>
        <v>2010</v>
      </c>
      <c r="P696" s="616">
        <f>W695</f>
        <v>1593000000</v>
      </c>
      <c r="Q696" s="472">
        <f>P696+G696</f>
        <v>1593000000</v>
      </c>
      <c r="R696" s="472">
        <f>IF(L696=0,R695,Q696/N696)</f>
        <v>177000000</v>
      </c>
      <c r="S696" s="1189">
        <f>F696</f>
        <v>2001</v>
      </c>
      <c r="T696" s="470">
        <f>S696-S695</f>
        <v>0</v>
      </c>
      <c r="U696" s="612">
        <f>R696*T696</f>
        <v>0</v>
      </c>
      <c r="V696" s="464">
        <f>F696</f>
        <v>2001</v>
      </c>
      <c r="W696" s="612">
        <f>IF(OR(AND(ISBLANK(E696),ISBLANK(G696)),ISTEXT(E696),ISTEXT(G696)),"",Q696-U696)</f>
        <v>1593000000</v>
      </c>
      <c r="X696" s="561"/>
      <c r="Y696" s="449"/>
      <c r="Z696" s="449"/>
      <c r="AA696" s="693"/>
      <c r="AB696" s="452"/>
      <c r="AC696" s="452"/>
      <c r="AD696" s="571"/>
      <c r="AE696" s="452"/>
      <c r="AF696" s="571"/>
      <c r="AG696" s="452"/>
      <c r="AH696" s="452"/>
      <c r="AI696" s="453"/>
      <c r="AJ696" s="449"/>
      <c r="AK696" s="453"/>
      <c r="AL696" s="454"/>
      <c r="AM696" s="455"/>
      <c r="AN696" s="456"/>
      <c r="AO696" s="455"/>
      <c r="AP696" s="452"/>
      <c r="AQ696" s="457"/>
      <c r="AR696" s="449"/>
      <c r="AS696" s="449"/>
      <c r="AT696" s="452"/>
      <c r="AU696" s="457"/>
      <c r="AV696" s="449"/>
      <c r="AW696" s="458"/>
      <c r="AX696" s="452"/>
      <c r="AY696" s="457"/>
      <c r="AZ696" s="449"/>
      <c r="BA696" s="459"/>
      <c r="BB696" s="455"/>
      <c r="BC696" s="460"/>
      <c r="BD696" s="460"/>
      <c r="BG696" s="462"/>
    </row>
    <row r="697" spans="1:59" s="461" customFormat="1" ht="18" customHeight="1" x14ac:dyDescent="0.2">
      <c r="A697" s="1368" t="str">
        <f t="shared" si="509"/>
        <v>GUNUNG - PL. MUNGKUR2006</v>
      </c>
      <c r="B697" s="1373"/>
      <c r="C697" s="488"/>
      <c r="D697" s="489"/>
      <c r="E697" s="558"/>
      <c r="F697" s="559">
        <v>2006</v>
      </c>
      <c r="G697" s="619">
        <v>0</v>
      </c>
      <c r="H697" s="464">
        <f t="shared" ref="H697:H709" si="510">IF(N696-(F697-F696)&lt;=0,0,(N696-(F697-F696)))</f>
        <v>5</v>
      </c>
      <c r="I697" s="560"/>
      <c r="J697" s="468">
        <f t="shared" ref="J697:J709" si="511">F697+N697-1</f>
        <v>2010</v>
      </c>
      <c r="K697" s="490">
        <f t="shared" ref="K697:K709" si="512">IF(G697=0,0,IF(H697=10,100%,G697/W696))</f>
        <v>0</v>
      </c>
      <c r="L697" s="469">
        <f t="shared" ref="L697:L709" si="513">IF(K697=0%,0,IF(K697&lt;=30%,2,IF(K697&lt;=60%,5,10)))</f>
        <v>0</v>
      </c>
      <c r="M697" s="683">
        <f t="shared" ref="M697:M709" si="514">IF(OR(AND(ISBLANK(E697),ISBLANK(G697)),ISTEXT(E697),ISTEXT(G697)),"",IF(H697+L697&gt;$H$8,$H$8-H697,L697))</f>
        <v>0</v>
      </c>
      <c r="N697" s="470">
        <f t="shared" ref="N697:N709" si="515">IF(OR(AND(ISBLANK(F697),ISBLANK(G697)),ISTEXT(F697),ISTEXT(G697)),"",H697+M697)</f>
        <v>5</v>
      </c>
      <c r="O697" s="468">
        <f t="shared" ref="O697:O709" si="516">F697+N697-1</f>
        <v>2010</v>
      </c>
      <c r="P697" s="616">
        <f t="shared" ref="P697:P709" si="517">W696</f>
        <v>1593000000</v>
      </c>
      <c r="Q697" s="472">
        <f t="shared" ref="Q697:Q709" si="518">P697+G697</f>
        <v>1593000000</v>
      </c>
      <c r="R697" s="472">
        <f t="shared" ref="R697:R709" si="519">IF(L697=0,R696,Q697/N697)</f>
        <v>177000000</v>
      </c>
      <c r="S697" s="1189">
        <f t="shared" ref="S697:S709" si="520">F697</f>
        <v>2006</v>
      </c>
      <c r="T697" s="470">
        <f t="shared" ref="T697:T709" si="521">S697-S696</f>
        <v>5</v>
      </c>
      <c r="U697" s="612">
        <f t="shared" ref="U697:U709" si="522">R697*T697</f>
        <v>885000000</v>
      </c>
      <c r="V697" s="464">
        <f t="shared" ref="V697:V709" si="523">F697</f>
        <v>2006</v>
      </c>
      <c r="W697" s="612">
        <f t="shared" ref="W697:W709" si="524">IF(OR(AND(ISBLANK(E697),ISBLANK(G697)),ISTEXT(E697),ISTEXT(G697)),"",Q697-U697)</f>
        <v>708000000</v>
      </c>
      <c r="X697" s="561"/>
      <c r="Y697" s="449"/>
      <c r="Z697" s="449"/>
      <c r="AA697" s="693"/>
      <c r="AB697" s="452"/>
      <c r="AC697" s="452"/>
      <c r="AD697" s="571"/>
      <c r="AE697" s="452"/>
      <c r="AF697" s="571"/>
      <c r="AG697" s="452"/>
      <c r="AH697" s="452"/>
      <c r="AI697" s="453"/>
      <c r="AJ697" s="449"/>
      <c r="AK697" s="453"/>
      <c r="AL697" s="454"/>
      <c r="AM697" s="455"/>
      <c r="AN697" s="456"/>
      <c r="AO697" s="455"/>
      <c r="AP697" s="452"/>
      <c r="AQ697" s="457"/>
      <c r="AR697" s="449"/>
      <c r="AS697" s="449"/>
      <c r="AT697" s="452"/>
      <c r="AU697" s="457"/>
      <c r="AV697" s="449"/>
      <c r="AW697" s="458"/>
      <c r="AX697" s="452"/>
      <c r="AY697" s="457"/>
      <c r="AZ697" s="449"/>
      <c r="BA697" s="459"/>
      <c r="BB697" s="455"/>
      <c r="BC697" s="460"/>
      <c r="BD697" s="460"/>
      <c r="BG697" s="462"/>
    </row>
    <row r="698" spans="1:59" s="461" customFormat="1" ht="18" customHeight="1" x14ac:dyDescent="0.2">
      <c r="A698" s="1368" t="str">
        <f t="shared" si="509"/>
        <v>GUNUNG - PL. MUNGKUR2007</v>
      </c>
      <c r="B698" s="1373"/>
      <c r="C698" s="488"/>
      <c r="D698" s="489"/>
      <c r="E698" s="558"/>
      <c r="F698" s="559">
        <v>2007</v>
      </c>
      <c r="G698" s="619">
        <v>0</v>
      </c>
      <c r="H698" s="464">
        <f t="shared" si="510"/>
        <v>4</v>
      </c>
      <c r="I698" s="560"/>
      <c r="J698" s="468">
        <f t="shared" si="511"/>
        <v>2010</v>
      </c>
      <c r="K698" s="490">
        <f t="shared" si="512"/>
        <v>0</v>
      </c>
      <c r="L698" s="469">
        <f t="shared" si="513"/>
        <v>0</v>
      </c>
      <c r="M698" s="683">
        <f t="shared" si="514"/>
        <v>0</v>
      </c>
      <c r="N698" s="470">
        <f t="shared" si="515"/>
        <v>4</v>
      </c>
      <c r="O698" s="468">
        <f t="shared" si="516"/>
        <v>2010</v>
      </c>
      <c r="P698" s="616">
        <f t="shared" si="517"/>
        <v>708000000</v>
      </c>
      <c r="Q698" s="472">
        <f t="shared" si="518"/>
        <v>708000000</v>
      </c>
      <c r="R698" s="472">
        <f t="shared" si="519"/>
        <v>177000000</v>
      </c>
      <c r="S698" s="1189">
        <f t="shared" si="520"/>
        <v>2007</v>
      </c>
      <c r="T698" s="470">
        <f t="shared" si="521"/>
        <v>1</v>
      </c>
      <c r="U698" s="612">
        <f t="shared" si="522"/>
        <v>177000000</v>
      </c>
      <c r="V698" s="464">
        <f t="shared" si="523"/>
        <v>2007</v>
      </c>
      <c r="W698" s="612">
        <f t="shared" si="524"/>
        <v>531000000</v>
      </c>
      <c r="X698" s="561"/>
      <c r="Y698" s="449"/>
      <c r="Z698" s="449"/>
      <c r="AA698" s="694"/>
      <c r="AB698" s="692"/>
      <c r="AC698" s="692"/>
      <c r="AD698" s="695"/>
      <c r="AE698" s="452"/>
      <c r="AF698" s="571"/>
      <c r="AG698" s="452"/>
      <c r="AH698" s="452"/>
      <c r="AI698" s="453"/>
      <c r="AJ698" s="449"/>
      <c r="AK698" s="453"/>
      <c r="AL698" s="454"/>
      <c r="AM698" s="455"/>
      <c r="AN698" s="456"/>
      <c r="AO698" s="455"/>
      <c r="AP698" s="452"/>
      <c r="AQ698" s="457"/>
      <c r="AR698" s="449"/>
      <c r="AS698" s="449"/>
      <c r="AT698" s="452"/>
      <c r="AU698" s="457"/>
      <c r="AV698" s="449"/>
      <c r="AW698" s="458"/>
      <c r="AX698" s="452"/>
      <c r="AY698" s="457"/>
      <c r="AZ698" s="449"/>
      <c r="BA698" s="459"/>
      <c r="BB698" s="455"/>
      <c r="BC698" s="460"/>
      <c r="BD698" s="460"/>
      <c r="BG698" s="462"/>
    </row>
    <row r="699" spans="1:59" s="461" customFormat="1" ht="18" customHeight="1" x14ac:dyDescent="0.2">
      <c r="A699" s="1368" t="str">
        <f t="shared" si="509"/>
        <v>GUNUNG - PL. MUNGKUR2008</v>
      </c>
      <c r="B699" s="1373">
        <v>2</v>
      </c>
      <c r="C699" s="488" t="s">
        <v>5131</v>
      </c>
      <c r="D699" s="489"/>
      <c r="E699" s="558"/>
      <c r="F699" s="559">
        <v>2008</v>
      </c>
      <c r="G699" s="619">
        <v>443067147.13593698</v>
      </c>
      <c r="H699" s="464">
        <f t="shared" si="510"/>
        <v>3</v>
      </c>
      <c r="I699" s="560"/>
      <c r="J699" s="468">
        <f t="shared" si="511"/>
        <v>2017</v>
      </c>
      <c r="K699" s="490">
        <f t="shared" si="512"/>
        <v>0.8344014070356629</v>
      </c>
      <c r="L699" s="469">
        <f t="shared" si="513"/>
        <v>10</v>
      </c>
      <c r="M699" s="683">
        <f t="shared" si="514"/>
        <v>7</v>
      </c>
      <c r="N699" s="470">
        <f t="shared" si="515"/>
        <v>10</v>
      </c>
      <c r="O699" s="468">
        <f t="shared" si="516"/>
        <v>2017</v>
      </c>
      <c r="P699" s="616">
        <f t="shared" si="517"/>
        <v>531000000</v>
      </c>
      <c r="Q699" s="472">
        <f t="shared" si="518"/>
        <v>974067147.13593698</v>
      </c>
      <c r="R699" s="472">
        <f t="shared" si="519"/>
        <v>97406714.713593692</v>
      </c>
      <c r="S699" s="1189">
        <f t="shared" si="520"/>
        <v>2008</v>
      </c>
      <c r="T699" s="470">
        <f t="shared" si="521"/>
        <v>1</v>
      </c>
      <c r="U699" s="612">
        <f t="shared" si="522"/>
        <v>97406714.713593692</v>
      </c>
      <c r="V699" s="464">
        <f t="shared" si="523"/>
        <v>2008</v>
      </c>
      <c r="W699" s="612">
        <f t="shared" si="524"/>
        <v>876660432.42234325</v>
      </c>
      <c r="X699" s="561"/>
      <c r="Y699" s="449"/>
      <c r="Z699" s="449"/>
      <c r="AA699" s="693"/>
      <c r="AB699" s="452"/>
      <c r="AC699" s="452"/>
      <c r="AD699" s="571"/>
      <c r="AE699" s="452"/>
      <c r="AF699" s="571"/>
      <c r="AG699" s="452"/>
      <c r="AH699" s="452"/>
      <c r="AI699" s="453"/>
      <c r="AJ699" s="449"/>
      <c r="AK699" s="453"/>
      <c r="AL699" s="454"/>
      <c r="AM699" s="455"/>
      <c r="AN699" s="456"/>
      <c r="AO699" s="455"/>
      <c r="AP699" s="452"/>
      <c r="AQ699" s="457"/>
      <c r="AR699" s="449"/>
      <c r="AS699" s="449"/>
      <c r="AT699" s="452"/>
      <c r="AU699" s="457"/>
      <c r="AV699" s="449"/>
      <c r="AW699" s="458"/>
      <c r="AX699" s="452"/>
      <c r="AY699" s="457"/>
      <c r="AZ699" s="449"/>
      <c r="BA699" s="459"/>
      <c r="BB699" s="455"/>
      <c r="BC699" s="460"/>
      <c r="BD699" s="460"/>
      <c r="BG699" s="462"/>
    </row>
    <row r="700" spans="1:59" s="461" customFormat="1" ht="18" customHeight="1" x14ac:dyDescent="0.2">
      <c r="A700" s="1368" t="str">
        <f t="shared" si="509"/>
        <v>GUNUNG - PL. MUNGKUR2009</v>
      </c>
      <c r="B700" s="1373">
        <v>3</v>
      </c>
      <c r="C700" s="488" t="s">
        <v>5073</v>
      </c>
      <c r="D700" s="489"/>
      <c r="E700" s="558"/>
      <c r="F700" s="559">
        <v>2009</v>
      </c>
      <c r="G700" s="619">
        <f>714841086.6+1012296853.68042</f>
        <v>1727137940.2804201</v>
      </c>
      <c r="H700" s="464">
        <f t="shared" si="510"/>
        <v>9</v>
      </c>
      <c r="I700" s="560"/>
      <c r="J700" s="468">
        <f t="shared" si="511"/>
        <v>2018</v>
      </c>
      <c r="K700" s="490">
        <f t="shared" si="512"/>
        <v>1.9701333337334284</v>
      </c>
      <c r="L700" s="469">
        <f t="shared" si="513"/>
        <v>10</v>
      </c>
      <c r="M700" s="683">
        <f t="shared" si="514"/>
        <v>1</v>
      </c>
      <c r="N700" s="470">
        <f t="shared" si="515"/>
        <v>10</v>
      </c>
      <c r="O700" s="468">
        <f t="shared" si="516"/>
        <v>2018</v>
      </c>
      <c r="P700" s="616">
        <f t="shared" si="517"/>
        <v>876660432.42234325</v>
      </c>
      <c r="Q700" s="472">
        <f t="shared" si="518"/>
        <v>2603798372.7027636</v>
      </c>
      <c r="R700" s="472">
        <f t="shared" si="519"/>
        <v>260379837.27027637</v>
      </c>
      <c r="S700" s="1189">
        <f t="shared" si="520"/>
        <v>2009</v>
      </c>
      <c r="T700" s="470">
        <f t="shared" si="521"/>
        <v>1</v>
      </c>
      <c r="U700" s="612">
        <f t="shared" si="522"/>
        <v>260379837.27027637</v>
      </c>
      <c r="V700" s="464">
        <f t="shared" si="523"/>
        <v>2009</v>
      </c>
      <c r="W700" s="612">
        <f t="shared" si="524"/>
        <v>2343418535.432487</v>
      </c>
      <c r="X700" s="561"/>
      <c r="Y700" s="449"/>
      <c r="Z700" s="449"/>
      <c r="AA700" s="693"/>
      <c r="AB700" s="452"/>
      <c r="AC700" s="452"/>
      <c r="AD700" s="571"/>
      <c r="AE700" s="452"/>
      <c r="AF700" s="571"/>
      <c r="AG700" s="452"/>
      <c r="AH700" s="452"/>
      <c r="AI700" s="453"/>
      <c r="AJ700" s="449"/>
      <c r="AK700" s="453"/>
      <c r="AL700" s="454"/>
      <c r="AM700" s="455"/>
      <c r="AN700" s="456"/>
      <c r="AO700" s="455"/>
      <c r="AP700" s="452"/>
      <c r="AQ700" s="457"/>
      <c r="AR700" s="449"/>
      <c r="AS700" s="449"/>
      <c r="AT700" s="452"/>
      <c r="AU700" s="457"/>
      <c r="AV700" s="449"/>
      <c r="AW700" s="458"/>
      <c r="AX700" s="452"/>
      <c r="AY700" s="457"/>
      <c r="AZ700" s="449"/>
      <c r="BA700" s="459"/>
      <c r="BB700" s="455"/>
      <c r="BC700" s="460"/>
      <c r="BD700" s="460"/>
      <c r="BG700" s="462"/>
    </row>
    <row r="701" spans="1:59" s="486" customFormat="1" ht="18" customHeight="1" x14ac:dyDescent="0.2">
      <c r="A701" s="1368" t="str">
        <f t="shared" si="509"/>
        <v>GUNUNG - PL. MUNGKUR2010</v>
      </c>
      <c r="B701" s="1373"/>
      <c r="C701" s="488"/>
      <c r="D701" s="489"/>
      <c r="E701" s="558"/>
      <c r="F701" s="559">
        <v>2010</v>
      </c>
      <c r="G701" s="619">
        <v>0</v>
      </c>
      <c r="H701" s="464">
        <f t="shared" si="510"/>
        <v>9</v>
      </c>
      <c r="I701" s="560"/>
      <c r="J701" s="468">
        <f t="shared" si="511"/>
        <v>2018</v>
      </c>
      <c r="K701" s="490">
        <f t="shared" si="512"/>
        <v>0</v>
      </c>
      <c r="L701" s="469">
        <f t="shared" si="513"/>
        <v>0</v>
      </c>
      <c r="M701" s="683">
        <f t="shared" si="514"/>
        <v>0</v>
      </c>
      <c r="N701" s="470">
        <f t="shared" si="515"/>
        <v>9</v>
      </c>
      <c r="O701" s="468">
        <f t="shared" si="516"/>
        <v>2018</v>
      </c>
      <c r="P701" s="616">
        <f t="shared" si="517"/>
        <v>2343418535.432487</v>
      </c>
      <c r="Q701" s="472">
        <f t="shared" si="518"/>
        <v>2343418535.432487</v>
      </c>
      <c r="R701" s="472">
        <f t="shared" si="519"/>
        <v>260379837.27027637</v>
      </c>
      <c r="S701" s="1189">
        <f t="shared" si="520"/>
        <v>2010</v>
      </c>
      <c r="T701" s="470">
        <f t="shared" si="521"/>
        <v>1</v>
      </c>
      <c r="U701" s="612">
        <f t="shared" si="522"/>
        <v>260379837.27027637</v>
      </c>
      <c r="V701" s="464">
        <f t="shared" si="523"/>
        <v>2010</v>
      </c>
      <c r="W701" s="612">
        <f t="shared" si="524"/>
        <v>2083038698.1622107</v>
      </c>
      <c r="X701" s="473"/>
      <c r="Y701" s="474"/>
      <c r="Z701" s="449"/>
      <c r="AA701" s="554" t="s">
        <v>4179</v>
      </c>
      <c r="AB701" s="476"/>
      <c r="AC701" s="476"/>
      <c r="AD701" s="567"/>
      <c r="AE701" s="476"/>
      <c r="AF701" s="568"/>
      <c r="AG701" s="476"/>
      <c r="AH701" s="476"/>
      <c r="AI701" s="477"/>
      <c r="AJ701" s="478"/>
      <c r="AK701" s="479"/>
      <c r="AL701" s="480"/>
      <c r="AM701" s="474"/>
      <c r="AN701" s="481"/>
      <c r="AO701" s="474"/>
      <c r="AP701" s="476"/>
      <c r="AQ701" s="482"/>
      <c r="AR701" s="478"/>
      <c r="AS701" s="478"/>
      <c r="AT701" s="476"/>
      <c r="AU701" s="482"/>
      <c r="AV701" s="478"/>
      <c r="AW701" s="483"/>
      <c r="AX701" s="476"/>
      <c r="AY701" s="482"/>
      <c r="AZ701" s="478"/>
      <c r="BA701" s="484"/>
      <c r="BB701" s="474"/>
      <c r="BC701" s="485"/>
      <c r="BD701" s="485"/>
      <c r="BG701" s="487"/>
    </row>
    <row r="702" spans="1:59" s="486" customFormat="1" ht="18" customHeight="1" x14ac:dyDescent="0.2">
      <c r="A702" s="1368" t="str">
        <f t="shared" si="509"/>
        <v>GUNUNG - PL. MUNGKUR2011</v>
      </c>
      <c r="B702" s="1373"/>
      <c r="C702" s="488"/>
      <c r="D702" s="489"/>
      <c r="E702" s="558"/>
      <c r="F702" s="559">
        <v>2011</v>
      </c>
      <c r="G702" s="619">
        <v>0</v>
      </c>
      <c r="H702" s="464">
        <f t="shared" si="510"/>
        <v>8</v>
      </c>
      <c r="I702" s="560"/>
      <c r="J702" s="468">
        <f t="shared" si="511"/>
        <v>2018</v>
      </c>
      <c r="K702" s="490">
        <f t="shared" si="512"/>
        <v>0</v>
      </c>
      <c r="L702" s="469">
        <f t="shared" si="513"/>
        <v>0</v>
      </c>
      <c r="M702" s="683">
        <f t="shared" si="514"/>
        <v>0</v>
      </c>
      <c r="N702" s="470">
        <f t="shared" si="515"/>
        <v>8</v>
      </c>
      <c r="O702" s="468">
        <f t="shared" si="516"/>
        <v>2018</v>
      </c>
      <c r="P702" s="616">
        <f t="shared" si="517"/>
        <v>2083038698.1622107</v>
      </c>
      <c r="Q702" s="472">
        <f t="shared" si="518"/>
        <v>2083038698.1622107</v>
      </c>
      <c r="R702" s="472">
        <f t="shared" si="519"/>
        <v>260379837.27027637</v>
      </c>
      <c r="S702" s="1189">
        <f t="shared" si="520"/>
        <v>2011</v>
      </c>
      <c r="T702" s="470">
        <f t="shared" si="521"/>
        <v>1</v>
      </c>
      <c r="U702" s="612">
        <f t="shared" si="522"/>
        <v>260379837.27027637</v>
      </c>
      <c r="V702" s="464">
        <f t="shared" si="523"/>
        <v>2011</v>
      </c>
      <c r="W702" s="612">
        <f t="shared" si="524"/>
        <v>1822658860.8919344</v>
      </c>
      <c r="X702" s="473"/>
      <c r="Y702" s="474"/>
      <c r="Z702" s="449"/>
      <c r="AA702" s="475"/>
      <c r="AB702" s="476"/>
      <c r="AC702" s="476"/>
      <c r="AD702" s="567"/>
      <c r="AE702" s="476"/>
      <c r="AF702" s="568"/>
      <c r="AG702" s="476"/>
      <c r="AH702" s="476"/>
      <c r="AI702" s="477"/>
      <c r="AJ702" s="478"/>
      <c r="AK702" s="479"/>
      <c r="AL702" s="480"/>
      <c r="AM702" s="474"/>
      <c r="AN702" s="481"/>
      <c r="AO702" s="474"/>
      <c r="AP702" s="476"/>
      <c r="AQ702" s="482"/>
      <c r="AR702" s="478"/>
      <c r="AS702" s="478"/>
      <c r="AT702" s="476"/>
      <c r="AU702" s="482"/>
      <c r="AV702" s="478"/>
      <c r="AW702" s="483"/>
      <c r="AX702" s="476"/>
      <c r="AY702" s="482"/>
      <c r="AZ702" s="478"/>
      <c r="BA702" s="484"/>
      <c r="BB702" s="474"/>
      <c r="BC702" s="485"/>
      <c r="BD702" s="485"/>
      <c r="BG702" s="487"/>
    </row>
    <row r="703" spans="1:59" s="486" customFormat="1" ht="18" customHeight="1" x14ac:dyDescent="0.2">
      <c r="A703" s="1368" t="str">
        <f t="shared" si="509"/>
        <v>GUNUNG - PL. MUNGKUR2012</v>
      </c>
      <c r="B703" s="1373"/>
      <c r="C703" s="488"/>
      <c r="D703" s="489"/>
      <c r="E703" s="558"/>
      <c r="F703" s="559">
        <v>2012</v>
      </c>
      <c r="G703" s="619">
        <v>0</v>
      </c>
      <c r="H703" s="464">
        <f t="shared" si="510"/>
        <v>7</v>
      </c>
      <c r="I703" s="560"/>
      <c r="J703" s="468">
        <f t="shared" si="511"/>
        <v>2018</v>
      </c>
      <c r="K703" s="490">
        <f t="shared" si="512"/>
        <v>0</v>
      </c>
      <c r="L703" s="469">
        <f t="shared" si="513"/>
        <v>0</v>
      </c>
      <c r="M703" s="683">
        <f t="shared" si="514"/>
        <v>0</v>
      </c>
      <c r="N703" s="470">
        <f t="shared" si="515"/>
        <v>7</v>
      </c>
      <c r="O703" s="468">
        <f t="shared" si="516"/>
        <v>2018</v>
      </c>
      <c r="P703" s="616">
        <f t="shared" si="517"/>
        <v>1822658860.8919344</v>
      </c>
      <c r="Q703" s="472">
        <f t="shared" si="518"/>
        <v>1822658860.8919344</v>
      </c>
      <c r="R703" s="472">
        <f t="shared" si="519"/>
        <v>260379837.27027637</v>
      </c>
      <c r="S703" s="1189">
        <f t="shared" si="520"/>
        <v>2012</v>
      </c>
      <c r="T703" s="470">
        <f t="shared" si="521"/>
        <v>1</v>
      </c>
      <c r="U703" s="612">
        <f t="shared" si="522"/>
        <v>260379837.27027637</v>
      </c>
      <c r="V703" s="464">
        <f t="shared" si="523"/>
        <v>2012</v>
      </c>
      <c r="W703" s="612">
        <f t="shared" si="524"/>
        <v>1562279023.6216581</v>
      </c>
      <c r="X703" s="473"/>
      <c r="Y703" s="474"/>
      <c r="Z703" s="449"/>
      <c r="AA703" s="475" t="s">
        <v>4180</v>
      </c>
      <c r="AB703" s="476"/>
      <c r="AC703" s="476"/>
      <c r="AD703" s="567">
        <f>G712</f>
        <v>8142530004.416357</v>
      </c>
      <c r="AE703" s="476"/>
      <c r="AF703" s="568"/>
      <c r="AG703" s="476"/>
      <c r="AH703" s="476"/>
      <c r="AI703" s="477"/>
      <c r="AJ703" s="478"/>
      <c r="AK703" s="479"/>
      <c r="AL703" s="480"/>
      <c r="AM703" s="474"/>
      <c r="AN703" s="481"/>
      <c r="AO703" s="474"/>
      <c r="AP703" s="476"/>
      <c r="AQ703" s="482"/>
      <c r="AR703" s="478"/>
      <c r="AS703" s="478"/>
      <c r="AT703" s="476"/>
      <c r="AU703" s="482"/>
      <c r="AV703" s="478"/>
      <c r="AW703" s="483"/>
      <c r="AX703" s="476"/>
      <c r="AY703" s="482"/>
      <c r="AZ703" s="478"/>
      <c r="BA703" s="484"/>
      <c r="BB703" s="474"/>
      <c r="BC703" s="485"/>
      <c r="BD703" s="485"/>
      <c r="BG703" s="487"/>
    </row>
    <row r="704" spans="1:59" s="486" customFormat="1" ht="18" customHeight="1" x14ac:dyDescent="0.2">
      <c r="A704" s="1368" t="str">
        <f t="shared" si="509"/>
        <v>GUNUNG - PL. MUNGKUR2013</v>
      </c>
      <c r="B704" s="1373"/>
      <c r="C704" s="488"/>
      <c r="D704" s="489"/>
      <c r="E704" s="558"/>
      <c r="F704" s="559">
        <v>2013</v>
      </c>
      <c r="G704" s="619">
        <v>0</v>
      </c>
      <c r="H704" s="464">
        <f t="shared" si="510"/>
        <v>6</v>
      </c>
      <c r="I704" s="560"/>
      <c r="J704" s="468">
        <f t="shared" si="511"/>
        <v>2018</v>
      </c>
      <c r="K704" s="490">
        <f t="shared" si="512"/>
        <v>0</v>
      </c>
      <c r="L704" s="469">
        <f t="shared" si="513"/>
        <v>0</v>
      </c>
      <c r="M704" s="683">
        <f t="shared" si="514"/>
        <v>0</v>
      </c>
      <c r="N704" s="470">
        <f t="shared" si="515"/>
        <v>6</v>
      </c>
      <c r="O704" s="468">
        <f t="shared" si="516"/>
        <v>2018</v>
      </c>
      <c r="P704" s="616">
        <f t="shared" si="517"/>
        <v>1562279023.6216581</v>
      </c>
      <c r="Q704" s="472">
        <f t="shared" si="518"/>
        <v>1562279023.6216581</v>
      </c>
      <c r="R704" s="472">
        <f t="shared" si="519"/>
        <v>260379837.27027637</v>
      </c>
      <c r="S704" s="1189">
        <f t="shared" si="520"/>
        <v>2013</v>
      </c>
      <c r="T704" s="470">
        <f t="shared" si="521"/>
        <v>1</v>
      </c>
      <c r="U704" s="612">
        <f t="shared" si="522"/>
        <v>260379837.27027637</v>
      </c>
      <c r="V704" s="464">
        <f t="shared" si="523"/>
        <v>2013</v>
      </c>
      <c r="W704" s="612">
        <f t="shared" si="524"/>
        <v>1301899186.3513818</v>
      </c>
      <c r="X704" s="473"/>
      <c r="Y704" s="478"/>
      <c r="Z704" s="449"/>
      <c r="AA704" s="475" t="s">
        <v>4181</v>
      </c>
      <c r="AB704" s="491"/>
      <c r="AC704" s="491"/>
      <c r="AD704" s="567">
        <f>U712</f>
        <v>4664354312.3709383</v>
      </c>
      <c r="AE704" s="491"/>
      <c r="AF704" s="568"/>
      <c r="AG704" s="491"/>
      <c r="AH704" s="491"/>
      <c r="AI704" s="477"/>
      <c r="AJ704" s="478"/>
      <c r="AK704" s="479"/>
      <c r="AL704" s="480"/>
      <c r="AM704" s="474"/>
      <c r="AN704" s="481"/>
      <c r="AO704" s="474"/>
      <c r="AP704" s="476"/>
      <c r="AQ704" s="482"/>
      <c r="AR704" s="478"/>
      <c r="AS704" s="478"/>
      <c r="AT704" s="476"/>
      <c r="AU704" s="482"/>
      <c r="AV704" s="478"/>
      <c r="AW704" s="483"/>
      <c r="AX704" s="476"/>
      <c r="AY704" s="482"/>
      <c r="AZ704" s="478"/>
      <c r="BA704" s="484"/>
      <c r="BB704" s="474"/>
      <c r="BC704" s="485"/>
      <c r="BD704" s="485"/>
      <c r="BG704" s="487"/>
    </row>
    <row r="705" spans="1:59" s="486" customFormat="1" ht="18" customHeight="1" x14ac:dyDescent="0.2">
      <c r="A705" s="1368" t="str">
        <f t="shared" si="509"/>
        <v>GUNUNG - PL. MUNGKUR2014</v>
      </c>
      <c r="B705" s="1373"/>
      <c r="C705" s="463"/>
      <c r="D705" s="489"/>
      <c r="E705" s="465"/>
      <c r="F705" s="559">
        <v>2014</v>
      </c>
      <c r="G705" s="619">
        <v>0</v>
      </c>
      <c r="H705" s="464">
        <f t="shared" si="510"/>
        <v>5</v>
      </c>
      <c r="I705" s="560"/>
      <c r="J705" s="468">
        <f t="shared" si="511"/>
        <v>2018</v>
      </c>
      <c r="K705" s="490">
        <f t="shared" si="512"/>
        <v>0</v>
      </c>
      <c r="L705" s="469">
        <f t="shared" si="513"/>
        <v>0</v>
      </c>
      <c r="M705" s="683">
        <f t="shared" si="514"/>
        <v>0</v>
      </c>
      <c r="N705" s="470">
        <f t="shared" si="515"/>
        <v>5</v>
      </c>
      <c r="O705" s="468">
        <f t="shared" si="516"/>
        <v>2018</v>
      </c>
      <c r="P705" s="616">
        <f t="shared" si="517"/>
        <v>1301899186.3513818</v>
      </c>
      <c r="Q705" s="472">
        <f t="shared" si="518"/>
        <v>1301899186.3513818</v>
      </c>
      <c r="R705" s="472">
        <f t="shared" si="519"/>
        <v>260379837.27027637</v>
      </c>
      <c r="S705" s="1189">
        <f t="shared" si="520"/>
        <v>2014</v>
      </c>
      <c r="T705" s="470">
        <f t="shared" si="521"/>
        <v>1</v>
      </c>
      <c r="U705" s="612">
        <f t="shared" si="522"/>
        <v>260379837.27027637</v>
      </c>
      <c r="V705" s="464">
        <f t="shared" si="523"/>
        <v>2014</v>
      </c>
      <c r="W705" s="612">
        <f t="shared" si="524"/>
        <v>1041519349.0811055</v>
      </c>
      <c r="X705" s="473"/>
      <c r="Y705" s="478"/>
      <c r="Z705" s="449"/>
      <c r="AA705" s="492" t="s">
        <v>4182</v>
      </c>
      <c r="AB705" s="476"/>
      <c r="AC705" s="476"/>
      <c r="AD705" s="567">
        <f>AD703-AD704</f>
        <v>3478175692.0454187</v>
      </c>
      <c r="AE705" s="476"/>
      <c r="AF705" s="568"/>
      <c r="AG705" s="476"/>
      <c r="AH705" s="476"/>
      <c r="AI705" s="477"/>
      <c r="AJ705" s="478"/>
      <c r="AK705" s="479"/>
      <c r="AL705" s="480"/>
      <c r="AM705" s="474"/>
      <c r="AN705" s="481"/>
      <c r="AO705" s="474"/>
      <c r="AP705" s="476"/>
      <c r="AQ705" s="482"/>
      <c r="AR705" s="478"/>
      <c r="AS705" s="478"/>
      <c r="AT705" s="476"/>
      <c r="AU705" s="482"/>
      <c r="AV705" s="478"/>
      <c r="AW705" s="483"/>
      <c r="AX705" s="476"/>
      <c r="AY705" s="482"/>
      <c r="AZ705" s="478"/>
      <c r="BA705" s="484"/>
      <c r="BB705" s="474"/>
      <c r="BC705" s="485"/>
      <c r="BD705" s="485"/>
      <c r="BG705" s="487"/>
    </row>
    <row r="706" spans="1:59" s="486" customFormat="1" ht="18" customHeight="1" x14ac:dyDescent="0.2">
      <c r="A706" s="1368" t="str">
        <f t="shared" si="509"/>
        <v>GUNUNG - PL. MUNGKUR2015</v>
      </c>
      <c r="B706" s="1373">
        <v>4</v>
      </c>
      <c r="C706" s="463" t="s">
        <v>1393</v>
      </c>
      <c r="D706" s="489" t="s">
        <v>2494</v>
      </c>
      <c r="E706" s="465"/>
      <c r="F706" s="559">
        <v>2015</v>
      </c>
      <c r="G706" s="619">
        <v>1945562821</v>
      </c>
      <c r="H706" s="464">
        <f t="shared" si="510"/>
        <v>4</v>
      </c>
      <c r="I706" s="560"/>
      <c r="J706" s="468">
        <f t="shared" si="511"/>
        <v>2024</v>
      </c>
      <c r="K706" s="490">
        <f t="shared" si="512"/>
        <v>1.8680044904749</v>
      </c>
      <c r="L706" s="469">
        <f t="shared" si="513"/>
        <v>10</v>
      </c>
      <c r="M706" s="683">
        <f t="shared" si="514"/>
        <v>6</v>
      </c>
      <c r="N706" s="470">
        <f t="shared" si="515"/>
        <v>10</v>
      </c>
      <c r="O706" s="468">
        <f t="shared" si="516"/>
        <v>2024</v>
      </c>
      <c r="P706" s="616">
        <f t="shared" si="517"/>
        <v>1041519349.0811055</v>
      </c>
      <c r="Q706" s="472">
        <f t="shared" si="518"/>
        <v>2987082170.0811052</v>
      </c>
      <c r="R706" s="472">
        <f t="shared" si="519"/>
        <v>298708217.00811052</v>
      </c>
      <c r="S706" s="1189">
        <f t="shared" si="520"/>
        <v>2015</v>
      </c>
      <c r="T706" s="470">
        <f t="shared" si="521"/>
        <v>1</v>
      </c>
      <c r="U706" s="612">
        <f t="shared" si="522"/>
        <v>298708217.00811052</v>
      </c>
      <c r="V706" s="464">
        <f t="shared" si="523"/>
        <v>2015</v>
      </c>
      <c r="W706" s="612">
        <f t="shared" si="524"/>
        <v>2688373953.0729947</v>
      </c>
      <c r="X706" s="473"/>
      <c r="Y706" s="478"/>
      <c r="Z706" s="449"/>
      <c r="AA706" s="531" t="s">
        <v>4183</v>
      </c>
      <c r="AB706" s="496"/>
      <c r="AC706" s="496"/>
      <c r="AD706" s="569">
        <f>AD705-W712</f>
        <v>0</v>
      </c>
      <c r="AE706" s="476"/>
      <c r="AF706" s="568"/>
      <c r="AG706" s="476"/>
      <c r="AH706" s="476"/>
      <c r="AI706" s="477"/>
      <c r="AJ706" s="478"/>
      <c r="AK706" s="479"/>
      <c r="AL706" s="480"/>
      <c r="AM706" s="474"/>
      <c r="AN706" s="481"/>
      <c r="AO706" s="474"/>
      <c r="AP706" s="476"/>
      <c r="AQ706" s="482"/>
      <c r="AR706" s="478"/>
      <c r="AS706" s="478"/>
      <c r="AT706" s="476"/>
      <c r="AU706" s="482"/>
      <c r="AV706" s="478"/>
      <c r="AW706" s="483"/>
      <c r="AX706" s="476"/>
      <c r="AY706" s="482"/>
      <c r="AZ706" s="478"/>
      <c r="BA706" s="484"/>
      <c r="BB706" s="474"/>
      <c r="BC706" s="485"/>
      <c r="BD706" s="485"/>
      <c r="BG706" s="487"/>
    </row>
    <row r="707" spans="1:59" s="486" customFormat="1" ht="18" customHeight="1" x14ac:dyDescent="0.2">
      <c r="A707" s="1368" t="str">
        <f t="shared" si="509"/>
        <v>GUNUNG - PL. MUNGKUR2016</v>
      </c>
      <c r="B707" s="687"/>
      <c r="C707" s="463"/>
      <c r="D707" s="489"/>
      <c r="E707" s="465"/>
      <c r="F707" s="559">
        <v>2016</v>
      </c>
      <c r="G707" s="619">
        <v>0</v>
      </c>
      <c r="H707" s="464">
        <f t="shared" si="510"/>
        <v>9</v>
      </c>
      <c r="I707" s="560"/>
      <c r="J707" s="468">
        <f t="shared" si="511"/>
        <v>2024</v>
      </c>
      <c r="K707" s="490">
        <f t="shared" si="512"/>
        <v>0</v>
      </c>
      <c r="L707" s="469">
        <f t="shared" si="513"/>
        <v>0</v>
      </c>
      <c r="M707" s="683">
        <f t="shared" si="514"/>
        <v>0</v>
      </c>
      <c r="N707" s="470">
        <f t="shared" si="515"/>
        <v>9</v>
      </c>
      <c r="O707" s="468">
        <f t="shared" si="516"/>
        <v>2024</v>
      </c>
      <c r="P707" s="616">
        <f t="shared" si="517"/>
        <v>2688373953.0729947</v>
      </c>
      <c r="Q707" s="472">
        <f t="shared" si="518"/>
        <v>2688373953.0729947</v>
      </c>
      <c r="R707" s="472">
        <f t="shared" si="519"/>
        <v>298708217.00811052</v>
      </c>
      <c r="S707" s="1189">
        <f t="shared" si="520"/>
        <v>2016</v>
      </c>
      <c r="T707" s="470">
        <f t="shared" si="521"/>
        <v>1</v>
      </c>
      <c r="U707" s="612">
        <f t="shared" si="522"/>
        <v>298708217.00811052</v>
      </c>
      <c r="V707" s="464">
        <f t="shared" si="523"/>
        <v>2016</v>
      </c>
      <c r="W707" s="612">
        <f t="shared" si="524"/>
        <v>2389665736.0648842</v>
      </c>
      <c r="X707" s="473"/>
      <c r="Y707" s="497"/>
      <c r="Z707" s="449"/>
      <c r="AA707" s="497"/>
      <c r="AB707" s="476"/>
      <c r="AC707" s="497"/>
      <c r="AD707" s="568"/>
      <c r="AE707" s="476"/>
      <c r="AF707" s="568"/>
      <c r="AG707" s="476"/>
      <c r="AH707" s="476"/>
      <c r="AI707" s="477"/>
      <c r="AJ707" s="478"/>
      <c r="AK707" s="479"/>
      <c r="AL707" s="480"/>
      <c r="AM707" s="474"/>
      <c r="AN707" s="481"/>
      <c r="AO707" s="474"/>
      <c r="AP707" s="476"/>
      <c r="AQ707" s="482"/>
      <c r="AR707" s="478"/>
      <c r="AS707" s="478"/>
      <c r="AT707" s="476"/>
      <c r="AU707" s="482"/>
      <c r="AV707" s="478"/>
      <c r="AW707" s="483"/>
      <c r="AX707" s="476"/>
      <c r="AY707" s="482"/>
      <c r="AZ707" s="478"/>
      <c r="BA707" s="484"/>
      <c r="BB707" s="474"/>
      <c r="BC707" s="485"/>
      <c r="BD707" s="485"/>
      <c r="BG707" s="487"/>
    </row>
    <row r="708" spans="1:59" s="486" customFormat="1" ht="18" customHeight="1" x14ac:dyDescent="0.2">
      <c r="A708" s="1368" t="str">
        <f t="shared" si="509"/>
        <v>GUNUNG - PL. MUNGKUR2017</v>
      </c>
      <c r="B708" s="687"/>
      <c r="C708" s="463"/>
      <c r="D708" s="489"/>
      <c r="E708" s="465"/>
      <c r="F708" s="559">
        <v>2017</v>
      </c>
      <c r="G708" s="619">
        <v>0</v>
      </c>
      <c r="H708" s="464">
        <f t="shared" si="510"/>
        <v>8</v>
      </c>
      <c r="I708" s="560"/>
      <c r="J708" s="468">
        <f t="shared" si="511"/>
        <v>2024</v>
      </c>
      <c r="K708" s="490">
        <f t="shared" si="512"/>
        <v>0</v>
      </c>
      <c r="L708" s="469">
        <f t="shared" si="513"/>
        <v>0</v>
      </c>
      <c r="M708" s="683">
        <f t="shared" si="514"/>
        <v>0</v>
      </c>
      <c r="N708" s="470">
        <f t="shared" si="515"/>
        <v>8</v>
      </c>
      <c r="O708" s="468">
        <f t="shared" si="516"/>
        <v>2024</v>
      </c>
      <c r="P708" s="616">
        <f t="shared" si="517"/>
        <v>2389665736.0648842</v>
      </c>
      <c r="Q708" s="472">
        <f t="shared" si="518"/>
        <v>2389665736.0648842</v>
      </c>
      <c r="R708" s="472">
        <f t="shared" si="519"/>
        <v>298708217.00811052</v>
      </c>
      <c r="S708" s="1189">
        <f t="shared" si="520"/>
        <v>2017</v>
      </c>
      <c r="T708" s="470">
        <f t="shared" si="521"/>
        <v>1</v>
      </c>
      <c r="U708" s="612">
        <f t="shared" si="522"/>
        <v>298708217.00811052</v>
      </c>
      <c r="V708" s="464">
        <f t="shared" si="523"/>
        <v>2017</v>
      </c>
      <c r="W708" s="612">
        <f t="shared" si="524"/>
        <v>2090957519.0567737</v>
      </c>
      <c r="X708" s="473"/>
      <c r="Y708" s="497"/>
      <c r="Z708" s="449"/>
      <c r="AA708" s="497"/>
      <c r="AB708" s="476"/>
      <c r="AC708" s="497"/>
      <c r="AD708" s="568"/>
      <c r="AE708" s="476"/>
      <c r="AF708" s="568"/>
      <c r="AG708" s="476"/>
      <c r="AH708" s="476"/>
      <c r="AI708" s="477"/>
      <c r="AJ708" s="478"/>
      <c r="AK708" s="479"/>
      <c r="AL708" s="480"/>
      <c r="AM708" s="474"/>
      <c r="AN708" s="481"/>
      <c r="AO708" s="474"/>
      <c r="AP708" s="476"/>
      <c r="AQ708" s="482"/>
      <c r="AR708" s="478"/>
      <c r="AS708" s="478"/>
      <c r="AT708" s="476"/>
      <c r="AU708" s="482"/>
      <c r="AV708" s="478"/>
      <c r="AW708" s="483"/>
      <c r="AX708" s="476"/>
      <c r="AY708" s="482"/>
      <c r="AZ708" s="478"/>
      <c r="BA708" s="484"/>
      <c r="BB708" s="474"/>
      <c r="BC708" s="485"/>
      <c r="BD708" s="485"/>
      <c r="BG708" s="487"/>
    </row>
    <row r="709" spans="1:59" s="486" customFormat="1" ht="18" customHeight="1" x14ac:dyDescent="0.2">
      <c r="A709" s="1368" t="str">
        <f t="shared" si="509"/>
        <v>GUNUNG - PL. MUNGKUR2018</v>
      </c>
      <c r="B709" s="687">
        <v>5</v>
      </c>
      <c r="C709" s="463" t="s">
        <v>3325</v>
      </c>
      <c r="D709" s="489" t="s">
        <v>2494</v>
      </c>
      <c r="E709" s="465"/>
      <c r="F709" s="559">
        <v>2018</v>
      </c>
      <c r="G709" s="620">
        <v>2256762096</v>
      </c>
      <c r="H709" s="464">
        <f t="shared" si="510"/>
        <v>7</v>
      </c>
      <c r="I709" s="560"/>
      <c r="J709" s="468">
        <f t="shared" si="511"/>
        <v>2027</v>
      </c>
      <c r="K709" s="490">
        <f t="shared" si="512"/>
        <v>1.07929600454916</v>
      </c>
      <c r="L709" s="469">
        <f t="shared" si="513"/>
        <v>10</v>
      </c>
      <c r="M709" s="683">
        <f t="shared" si="514"/>
        <v>3</v>
      </c>
      <c r="N709" s="470">
        <f t="shared" si="515"/>
        <v>10</v>
      </c>
      <c r="O709" s="468">
        <f t="shared" si="516"/>
        <v>2027</v>
      </c>
      <c r="P709" s="616">
        <f t="shared" si="517"/>
        <v>2090957519.0567737</v>
      </c>
      <c r="Q709" s="472">
        <f t="shared" si="518"/>
        <v>4347719615.0567741</v>
      </c>
      <c r="R709" s="472">
        <f t="shared" si="519"/>
        <v>434771961.5056774</v>
      </c>
      <c r="S709" s="1189">
        <f t="shared" si="520"/>
        <v>2018</v>
      </c>
      <c r="T709" s="470">
        <f t="shared" si="521"/>
        <v>1</v>
      </c>
      <c r="U709" s="612">
        <f t="shared" si="522"/>
        <v>434771961.5056774</v>
      </c>
      <c r="V709" s="464">
        <f t="shared" si="523"/>
        <v>2018</v>
      </c>
      <c r="W709" s="612">
        <f t="shared" si="524"/>
        <v>3912947653.5510969</v>
      </c>
      <c r="X709" s="473"/>
      <c r="Y709" s="497"/>
      <c r="Z709" s="449"/>
      <c r="AA709" s="497"/>
      <c r="AB709" s="476"/>
      <c r="AC709" s="497"/>
      <c r="AD709" s="568"/>
      <c r="AE709" s="476"/>
      <c r="AF709" s="568"/>
      <c r="AG709" s="476"/>
      <c r="AH709" s="476"/>
      <c r="AI709" s="477"/>
      <c r="AJ709" s="478"/>
      <c r="AK709" s="479"/>
      <c r="AL709" s="480"/>
      <c r="AM709" s="474"/>
      <c r="AN709" s="481"/>
      <c r="AO709" s="474"/>
      <c r="AP709" s="476"/>
      <c r="AQ709" s="482"/>
      <c r="AR709" s="478"/>
      <c r="AS709" s="478"/>
      <c r="AT709" s="476"/>
      <c r="AU709" s="482"/>
      <c r="AV709" s="478"/>
      <c r="AW709" s="483"/>
      <c r="AX709" s="476"/>
      <c r="AY709" s="482"/>
      <c r="AZ709" s="478"/>
      <c r="BA709" s="484"/>
      <c r="BB709" s="474"/>
      <c r="BC709" s="485"/>
      <c r="BD709" s="485"/>
      <c r="BG709" s="487"/>
    </row>
    <row r="710" spans="1:59" s="486" customFormat="1" ht="18" customHeight="1" x14ac:dyDescent="0.2">
      <c r="A710" s="1368" t="str">
        <f t="shared" si="509"/>
        <v>GUNUNG - PL. MUNGKUR2019</v>
      </c>
      <c r="B710" s="687"/>
      <c r="C710" s="463"/>
      <c r="D710" s="489"/>
      <c r="E710" s="465"/>
      <c r="F710" s="559">
        <v>2019</v>
      </c>
      <c r="G710" s="620">
        <v>0</v>
      </c>
      <c r="H710" s="464">
        <f>IF(N709-(F710-F709)&lt;=0,0,(N709-(F710-F709)))</f>
        <v>9</v>
      </c>
      <c r="I710" s="560"/>
      <c r="J710" s="468">
        <f>F710+N710-1</f>
        <v>2027</v>
      </c>
      <c r="K710" s="490">
        <f>IF(G710=0,0,IF(H710=10,100%,G710/W709))</f>
        <v>0</v>
      </c>
      <c r="L710" s="469">
        <f>IF(K710=0%,0,IF(K710&lt;=30%,2,IF(K710&lt;=60%,5,10)))</f>
        <v>0</v>
      </c>
      <c r="M710" s="683">
        <f>IF(OR(AND(ISBLANK(E710),ISBLANK(G710)),ISTEXT(E710),ISTEXT(G710)),"",IF(H710+L710&gt;$H$8,$H$8-H710,L710))</f>
        <v>0</v>
      </c>
      <c r="N710" s="470">
        <f>IF(OR(AND(ISBLANK(F710),ISBLANK(G710)),ISTEXT(F710),ISTEXT(G710)),"",H710+M710)</f>
        <v>9</v>
      </c>
      <c r="O710" s="468">
        <f>F710+N710-1</f>
        <v>2027</v>
      </c>
      <c r="P710" s="616">
        <f>W709</f>
        <v>3912947653.5510969</v>
      </c>
      <c r="Q710" s="472">
        <f>P710+G710</f>
        <v>3912947653.5510969</v>
      </c>
      <c r="R710" s="472">
        <f>IF(L710=0,R709,Q710/N710)</f>
        <v>434771961.5056774</v>
      </c>
      <c r="S710" s="1189">
        <f>F710</f>
        <v>2019</v>
      </c>
      <c r="T710" s="470">
        <f>S710-S709</f>
        <v>1</v>
      </c>
      <c r="U710" s="612">
        <f>R710*T710</f>
        <v>434771961.5056774</v>
      </c>
      <c r="V710" s="464">
        <f>F710</f>
        <v>2019</v>
      </c>
      <c r="W710" s="612">
        <f>IF(OR(AND(ISBLANK(E710),ISBLANK(G710)),ISTEXT(E710),ISTEXT(G710)),"",Q710-U710)</f>
        <v>3478175692.0454197</v>
      </c>
      <c r="X710" s="473"/>
      <c r="Y710" s="497"/>
      <c r="Z710" s="449"/>
      <c r="AA710" s="497"/>
      <c r="AB710" s="476"/>
      <c r="AC710" s="497"/>
      <c r="AD710" s="568"/>
      <c r="AE710" s="476"/>
      <c r="AF710" s="568"/>
      <c r="AG710" s="476"/>
      <c r="AH710" s="476"/>
      <c r="AI710" s="477"/>
      <c r="AJ710" s="478"/>
      <c r="AK710" s="479"/>
      <c r="AL710" s="480"/>
      <c r="AM710" s="474"/>
      <c r="AN710" s="481"/>
      <c r="AO710" s="474"/>
      <c r="AP710" s="476"/>
      <c r="AQ710" s="482"/>
      <c r="AR710" s="478"/>
      <c r="AS710" s="478"/>
      <c r="AT710" s="476"/>
      <c r="AU710" s="482"/>
      <c r="AV710" s="478"/>
      <c r="AW710" s="483"/>
      <c r="AX710" s="476"/>
      <c r="AY710" s="482"/>
      <c r="AZ710" s="478"/>
      <c r="BA710" s="484"/>
      <c r="BB710" s="474"/>
      <c r="BC710" s="485"/>
      <c r="BD710" s="485"/>
      <c r="BG710" s="487"/>
    </row>
    <row r="711" spans="1:59" s="486" customFormat="1" ht="18" customHeight="1" x14ac:dyDescent="0.2">
      <c r="A711" s="1369"/>
      <c r="B711" s="687"/>
      <c r="C711" s="463"/>
      <c r="D711" s="464"/>
      <c r="E711" s="465"/>
      <c r="F711" s="1189"/>
      <c r="G711" s="620"/>
      <c r="H711" s="469" t="str">
        <f>IF(OR(AND(ISBLANK(E711),ISBLANK(G711)),ISTEXT(E711),ISTEXT(G711)),"",IF(#REF!-(YEAR(E711)-YEAR(#REF!))&lt;0,0,#REF!-(YEAR(E711)-YEAR(#REF!))))</f>
        <v/>
      </c>
      <c r="I711" s="467" t="str">
        <f>IF(OR(AND(ISBLANK(E711),ISBLANK(G711)),ISTEXT(E711),ISTEXT(G711)),"",IF(#REF!-E711&lt;0,0,#REF!-E711))</f>
        <v/>
      </c>
      <c r="J711" s="498" t="str">
        <f>IF(OR(AND(ISBLANK(E711),ISBLANK(G711)),ISTEXT(E711),ISTEXT(G711)),"",#REF!)</f>
        <v/>
      </c>
      <c r="K711" s="498"/>
      <c r="L711" s="469" t="str">
        <f>IF(OR(AND(ISBLANK(E711),ISBLANK(G711)),ISTEXT(E711),ISTEXT(G711)),"",ROUNDDOWN(G711/SUM($G$57:G706)*$H$57,0))</f>
        <v/>
      </c>
      <c r="M711" s="683" t="str">
        <f>IF(OR(AND(ISBLANK(E711),ISBLANK(G711)),ISTEXT(E711),ISTEXT(G711)),"",IF(H711+L711&gt;$H$57,$H$57-H711,L711))</f>
        <v/>
      </c>
      <c r="N711" s="470" t="str">
        <f>IF(OR(AND(ISBLANK(E711),ISBLANK(G711)),ISTEXT(E711),ISTEXT(G711)),"",H711+M711)</f>
        <v/>
      </c>
      <c r="O711" s="498" t="str">
        <f>IF(OR(AND(ISBLANK(E711),ISBLANK(G711)),ISTEXT(E711),ISTEXT(G711)),"",DATE(YEAR($J711)+M711,MONTH($J711),DAY($J711)))</f>
        <v/>
      </c>
      <c r="P711" s="748" t="str">
        <f>IF(OR(AND(ISBLANK(E711),ISBLANK(G711)),ISTEXT(E711),ISTEXT(G711)),"",#REF!-#REF!*(IF(J711&lt;E711,J711,E711)-#REF!))</f>
        <v/>
      </c>
      <c r="Q711" s="500" t="str">
        <f>IF(OR(AND(ISBLANK(E711),ISBLANK(G711)),ISTEXT(E711),ISTEXT(G711)),"",P711+G711)</f>
        <v/>
      </c>
      <c r="R711" s="501" t="str">
        <f>IF(OR(AND(ISBLANK(E711),ISBLANK(G711)),ISTEXT(E711),ISTEXT(G711)),"",IF(OR(E711&lt;DATE(2004,12,31),#REF!=0),0,Q711/#REF!))</f>
        <v/>
      </c>
      <c r="S711" s="502" t="str">
        <f>IF(OR(AND(ISBLANK(E711),ISBLANK(G711)),ISTEXT(E711),ISTEXT(G711)),"",IF(YEAR(E711)&lt;=YEAR(#REF!),"-",YEAR(E711)-1))</f>
        <v/>
      </c>
      <c r="T711" s="502"/>
      <c r="U711" s="612" t="str">
        <f>IF(OR(AND(ISBLANK(E711),ISBLANK(G711)),ISTEXT(E711),ISTEXT(G711)),"",IF(AND(J711&lt;=DATE(2004,12,31),E711&gt;J711),SUM($G711:G711),#REF!+#REF!+#REF!*IF(YEAR(E711)&lt;=YEAR(#REF!),0,(IF(DATE(YEAR(E711)-1,12,31)&gt;J711,J711,DATE(YEAR(E711)-1,12,31))-#REF!))))</f>
        <v/>
      </c>
      <c r="V711" s="503" t="str">
        <f>IF(OR(AND(ISBLANK(E711),ISBLANK(G711)),ISTEXT(E711),ISTEXT(G711)),"",IF(YEAR(E711)=YEAR(E712),E712,DATE(YEAR(E711),12,31)))</f>
        <v/>
      </c>
      <c r="W711" s="612" t="str">
        <f>IF(OR(AND(ISBLANK(E711),ISBLANK(G711)),ISTEXT(E711),ISTEXT(G711)),"",IF(Q711=0,0,IF(AND(J711&lt;=DATE(2004,12,31),E711&gt;=J711),Q711-U711,Q711-#REF!)))</f>
        <v/>
      </c>
      <c r="X711" s="504" t="str">
        <f>IF(OR(AND(ISBLANK(E711),ISBLANK(G711)),ISTEXT(E711),ISTEXT(G711)),"",$D$57&amp;"//"&amp;TEXT($E$57,"dd-mmm-yyyy")&amp;"//"&amp;#REF!)</f>
        <v/>
      </c>
      <c r="Y711" s="476"/>
      <c r="Z711" s="476"/>
      <c r="AA711" s="476"/>
      <c r="AB711" s="476"/>
      <c r="AC711" s="476"/>
      <c r="AD711" s="568"/>
      <c r="AE711" s="476"/>
      <c r="AF711" s="568"/>
      <c r="AG711" s="476"/>
      <c r="AH711" s="476"/>
      <c r="AI711" s="477"/>
      <c r="AJ711" s="478"/>
      <c r="AK711" s="479"/>
      <c r="AL711" s="480"/>
      <c r="AM711" s="474"/>
      <c r="AN711" s="481"/>
      <c r="AO711" s="474"/>
      <c r="AP711" s="476"/>
      <c r="AQ711" s="482"/>
      <c r="AR711" s="478"/>
      <c r="AS711" s="478"/>
      <c r="AT711" s="476"/>
      <c r="AU711" s="482"/>
      <c r="AV711" s="478"/>
      <c r="AW711" s="483"/>
      <c r="AX711" s="476"/>
      <c r="AY711" s="482"/>
      <c r="AZ711" s="478"/>
      <c r="BA711" s="484"/>
      <c r="BB711" s="474"/>
      <c r="BC711" s="485"/>
      <c r="BD711" s="485"/>
      <c r="BG711" s="487"/>
    </row>
    <row r="712" spans="1:59" s="526" customFormat="1" ht="18" customHeight="1" x14ac:dyDescent="0.2">
      <c r="A712" s="1370" t="s">
        <v>4184</v>
      </c>
      <c r="B712" s="1956" t="s">
        <v>4184</v>
      </c>
      <c r="C712" s="1957"/>
      <c r="D712" s="1957"/>
      <c r="E712" s="1957"/>
      <c r="F712" s="1958"/>
      <c r="G712" s="624">
        <f>SUM(G695:G711)</f>
        <v>8142530004.416357</v>
      </c>
      <c r="H712" s="505"/>
      <c r="I712" s="506"/>
      <c r="J712" s="507"/>
      <c r="K712" s="507"/>
      <c r="L712" s="505"/>
      <c r="M712" s="684"/>
      <c r="N712" s="508"/>
      <c r="O712" s="507"/>
      <c r="P712" s="749"/>
      <c r="Q712" s="510"/>
      <c r="R712" s="511"/>
      <c r="S712" s="512"/>
      <c r="T712" s="512"/>
      <c r="U712" s="610">
        <f>SUM(U695:U711)</f>
        <v>4664354312.3709383</v>
      </c>
      <c r="V712" s="513"/>
      <c r="W712" s="610">
        <f>G712-U712</f>
        <v>3478175692.0454187</v>
      </c>
      <c r="X712" s="514"/>
      <c r="Y712" s="515"/>
      <c r="Z712" s="515"/>
      <c r="AA712" s="515"/>
      <c r="AB712" s="515"/>
      <c r="AC712" s="515"/>
      <c r="AD712" s="570"/>
      <c r="AE712" s="515"/>
      <c r="AF712" s="570">
        <v>4965000880</v>
      </c>
      <c r="AG712" s="515"/>
      <c r="AH712" s="515"/>
      <c r="AI712" s="516"/>
      <c r="AJ712" s="517"/>
      <c r="AK712" s="518"/>
      <c r="AL712" s="519"/>
      <c r="AM712" s="520"/>
      <c r="AN712" s="521"/>
      <c r="AO712" s="520"/>
      <c r="AP712" s="515"/>
      <c r="AQ712" s="522"/>
      <c r="AR712" s="517"/>
      <c r="AS712" s="517"/>
      <c r="AT712" s="515"/>
      <c r="AU712" s="522"/>
      <c r="AV712" s="517"/>
      <c r="AW712" s="523"/>
      <c r="AX712" s="515"/>
      <c r="AY712" s="522"/>
      <c r="AZ712" s="517"/>
      <c r="BA712" s="524"/>
      <c r="BB712" s="520"/>
      <c r="BC712" s="525"/>
      <c r="BD712" s="525"/>
      <c r="BG712" s="527"/>
    </row>
    <row r="713" spans="1:59" ht="18" customHeight="1" x14ac:dyDescent="0.2"/>
    <row r="714" spans="1:59" ht="18" customHeight="1" x14ac:dyDescent="0.2"/>
    <row r="715" spans="1:59" s="422" customFormat="1" ht="18" customHeight="1" x14ac:dyDescent="0.2">
      <c r="A715" s="1366">
        <f>C715</f>
        <v>116</v>
      </c>
      <c r="B715" s="742" t="s">
        <v>4187</v>
      </c>
      <c r="C715" s="556">
        <v>116</v>
      </c>
      <c r="D715" s="553" t="str">
        <f>VLOOKUP(C715,RUAS,2,FALSE)</f>
        <v>JL. DESA TEBERAU PANJANG - SEI. KUANTAN</v>
      </c>
      <c r="E715" s="553"/>
      <c r="F715" s="421"/>
      <c r="G715" s="611"/>
      <c r="I715" s="423"/>
      <c r="J715" s="424"/>
      <c r="K715" s="424"/>
      <c r="M715" s="680"/>
      <c r="P715" s="611"/>
      <c r="U715" s="611"/>
      <c r="W715" s="611"/>
      <c r="Y715" s="425"/>
      <c r="Z715" s="425"/>
      <c r="AA715" s="425"/>
      <c r="AB715" s="425"/>
      <c r="AC715" s="425"/>
      <c r="AD715" s="563"/>
      <c r="AE715" s="425"/>
      <c r="AF715" s="563"/>
      <c r="AG715" s="425"/>
      <c r="AH715" s="425"/>
      <c r="AI715" s="425"/>
      <c r="AJ715" s="425"/>
      <c r="AK715" s="425"/>
      <c r="AL715" s="425"/>
      <c r="AM715" s="425"/>
      <c r="AN715" s="425"/>
      <c r="AO715" s="425"/>
      <c r="AP715" s="425"/>
      <c r="AQ715" s="425"/>
      <c r="AR715" s="425"/>
      <c r="AS715" s="425"/>
      <c r="AT715" s="425"/>
      <c r="AU715" s="425"/>
      <c r="AV715" s="425"/>
      <c r="AW715" s="425"/>
      <c r="AX715" s="425"/>
      <c r="AY715" s="425"/>
      <c r="AZ715" s="425"/>
      <c r="BA715" s="425"/>
      <c r="BB715" s="425"/>
    </row>
    <row r="716" spans="1:59" s="431" customFormat="1" ht="18" customHeight="1" x14ac:dyDescent="0.2">
      <c r="A716" s="1367"/>
      <c r="B716" s="1968" t="s">
        <v>5</v>
      </c>
      <c r="C716" s="1968" t="s">
        <v>2280</v>
      </c>
      <c r="D716" s="1968" t="s">
        <v>4157</v>
      </c>
      <c r="E716" s="1968" t="s">
        <v>4158</v>
      </c>
      <c r="F716" s="1968"/>
      <c r="G716" s="1969" t="s">
        <v>4159</v>
      </c>
      <c r="H716" s="1968" t="s">
        <v>4160</v>
      </c>
      <c r="I716" s="1968"/>
      <c r="J716" s="1968" t="s">
        <v>4185</v>
      </c>
      <c r="K716" s="1964" t="s">
        <v>4162</v>
      </c>
      <c r="L716" s="1968" t="s">
        <v>4163</v>
      </c>
      <c r="M716" s="1971" t="s">
        <v>4164</v>
      </c>
      <c r="N716" s="1962" t="s">
        <v>4165</v>
      </c>
      <c r="O716" s="1968" t="s">
        <v>4166</v>
      </c>
      <c r="P716" s="1972" t="s">
        <v>4167</v>
      </c>
      <c r="Q716" s="1973"/>
      <c r="R716" s="1212" t="s">
        <v>4186</v>
      </c>
      <c r="S716" s="1972" t="s">
        <v>4169</v>
      </c>
      <c r="T716" s="1974"/>
      <c r="U716" s="1973"/>
      <c r="V716" s="1975" t="s">
        <v>4170</v>
      </c>
      <c r="W716" s="1975"/>
      <c r="X716" s="1960" t="s">
        <v>4171</v>
      </c>
      <c r="Y716" s="1959"/>
      <c r="Z716" s="1209"/>
      <c r="AA716" s="426"/>
      <c r="AB716" s="426"/>
      <c r="AC716" s="426"/>
      <c r="AD716" s="564"/>
      <c r="AE716" s="426"/>
      <c r="AF716" s="564"/>
      <c r="AG716" s="426"/>
      <c r="AH716" s="426"/>
      <c r="AI716" s="427"/>
      <c r="AJ716" s="427"/>
      <c r="AK716" s="427"/>
      <c r="AL716" s="427"/>
      <c r="AM716" s="428"/>
      <c r="AN716" s="427"/>
      <c r="AO716" s="427"/>
      <c r="AP716" s="426"/>
      <c r="AQ716" s="427"/>
      <c r="AR716" s="427"/>
      <c r="AS716" s="427"/>
      <c r="AT716" s="426"/>
      <c r="AU716" s="427"/>
      <c r="AV716" s="427"/>
      <c r="AW716" s="427"/>
      <c r="AX716" s="426"/>
      <c r="AY716" s="427"/>
      <c r="AZ716" s="427"/>
      <c r="BA716" s="427"/>
      <c r="BB716" s="429"/>
      <c r="BC716" s="430"/>
      <c r="BD716" s="430"/>
    </row>
    <row r="717" spans="1:59" s="431" customFormat="1" ht="18" customHeight="1" x14ac:dyDescent="0.2">
      <c r="A717" s="1367"/>
      <c r="B717" s="1968"/>
      <c r="C717" s="1968"/>
      <c r="D717" s="1968"/>
      <c r="E717" s="1968"/>
      <c r="F717" s="1968"/>
      <c r="G717" s="1969"/>
      <c r="H717" s="1968"/>
      <c r="I717" s="1968"/>
      <c r="J717" s="1968"/>
      <c r="K717" s="1970"/>
      <c r="L717" s="1968"/>
      <c r="M717" s="1971"/>
      <c r="N717" s="1963"/>
      <c r="O717" s="1968"/>
      <c r="P717" s="2037" t="s">
        <v>4172</v>
      </c>
      <c r="Q717" s="1960" t="s">
        <v>4173</v>
      </c>
      <c r="R717" s="1962" t="s">
        <v>4159</v>
      </c>
      <c r="S717" s="1962" t="s">
        <v>4174</v>
      </c>
      <c r="T717" s="1964" t="s">
        <v>4175</v>
      </c>
      <c r="U717" s="1966" t="s">
        <v>4159</v>
      </c>
      <c r="V717" s="1975"/>
      <c r="W717" s="1975"/>
      <c r="X717" s="1976"/>
      <c r="Y717" s="1959"/>
      <c r="Z717" s="1209"/>
      <c r="AA717" s="426"/>
      <c r="AB717" s="426"/>
      <c r="AC717" s="426"/>
      <c r="AD717" s="564"/>
      <c r="AE717" s="426"/>
      <c r="AF717" s="564"/>
      <c r="AG717" s="426"/>
      <c r="AH717" s="426"/>
      <c r="AI717" s="427"/>
      <c r="AJ717" s="427"/>
      <c r="AK717" s="426"/>
      <c r="AL717" s="427"/>
      <c r="AM717" s="428"/>
      <c r="AN717" s="427"/>
      <c r="AO717" s="427"/>
      <c r="AP717" s="432"/>
      <c r="AQ717" s="427"/>
      <c r="AR717" s="427"/>
      <c r="AS717" s="427"/>
      <c r="AT717" s="432"/>
      <c r="AU717" s="427"/>
      <c r="AV717" s="427"/>
      <c r="AW717" s="427"/>
      <c r="AX717" s="432"/>
      <c r="AY717" s="427"/>
      <c r="AZ717" s="427"/>
      <c r="BA717" s="427"/>
      <c r="BB717" s="429"/>
      <c r="BC717" s="430"/>
      <c r="BD717" s="430"/>
    </row>
    <row r="718" spans="1:59" s="431" customFormat="1" ht="18" customHeight="1" x14ac:dyDescent="0.2">
      <c r="A718" s="1367"/>
      <c r="B718" s="1968"/>
      <c r="C718" s="1968"/>
      <c r="D718" s="1968"/>
      <c r="E718" s="433" t="s">
        <v>4176</v>
      </c>
      <c r="F718" s="434" t="s">
        <v>2288</v>
      </c>
      <c r="G718" s="1969"/>
      <c r="H718" s="1210" t="s">
        <v>2288</v>
      </c>
      <c r="I718" s="1210" t="s">
        <v>4177</v>
      </c>
      <c r="J718" s="1968"/>
      <c r="K718" s="1965"/>
      <c r="L718" s="435" t="s">
        <v>2288</v>
      </c>
      <c r="M718" s="681" t="s">
        <v>2288</v>
      </c>
      <c r="N718" s="1210" t="s">
        <v>2288</v>
      </c>
      <c r="O718" s="1968"/>
      <c r="P718" s="2038"/>
      <c r="Q718" s="1961"/>
      <c r="R718" s="1963"/>
      <c r="S718" s="1963"/>
      <c r="T718" s="1965"/>
      <c r="U718" s="1967"/>
      <c r="V718" s="1210" t="s">
        <v>4178</v>
      </c>
      <c r="W718" s="1211" t="s">
        <v>4159</v>
      </c>
      <c r="X718" s="1961"/>
      <c r="Y718" s="436"/>
      <c r="Z718" s="436"/>
      <c r="AA718" s="426"/>
      <c r="AB718" s="426"/>
      <c r="AC718" s="426"/>
      <c r="AD718" s="564"/>
      <c r="AE718" s="426"/>
      <c r="AF718" s="564"/>
      <c r="AG718" s="426"/>
      <c r="AH718" s="426"/>
      <c r="AI718" s="427"/>
      <c r="AJ718" s="432"/>
      <c r="AK718" s="432"/>
      <c r="AL718" s="427"/>
      <c r="AM718" s="428"/>
      <c r="AN718" s="432"/>
      <c r="AO718" s="427"/>
      <c r="AP718" s="432"/>
      <c r="AQ718" s="432"/>
      <c r="AR718" s="427"/>
      <c r="AS718" s="427"/>
      <c r="AT718" s="432"/>
      <c r="AU718" s="432"/>
      <c r="AV718" s="427"/>
      <c r="AW718" s="427"/>
      <c r="AX718" s="432"/>
      <c r="AY718" s="432"/>
      <c r="AZ718" s="427"/>
      <c r="BA718" s="427"/>
      <c r="BB718" s="429"/>
      <c r="BC718" s="430"/>
      <c r="BD718" s="430"/>
    </row>
    <row r="719" spans="1:59" s="461" customFormat="1" ht="18" customHeight="1" x14ac:dyDescent="0.2">
      <c r="A719" s="1368" t="str">
        <f>$D$715&amp;S719</f>
        <v>JL. DESA TEBERAU PANJANG - SEI. KUANTAN2001</v>
      </c>
      <c r="B719" s="1373">
        <v>1</v>
      </c>
      <c r="C719" s="532" t="s">
        <v>529</v>
      </c>
      <c r="D719" s="437" t="s">
        <v>2494</v>
      </c>
      <c r="E719" s="438"/>
      <c r="F719" s="439">
        <v>2001</v>
      </c>
      <c r="G719" s="623">
        <f>1190400000+453375000</f>
        <v>1643775000</v>
      </c>
      <c r="H719" s="440">
        <f>VLOOKUP(LEFT(D719,8),UE,4)</f>
        <v>10</v>
      </c>
      <c r="I719" s="441"/>
      <c r="J719" s="442">
        <f t="shared" ref="J719:J725" si="525">F719+N719-1</f>
        <v>2010</v>
      </c>
      <c r="K719" s="443"/>
      <c r="L719" s="440"/>
      <c r="M719" s="746">
        <f>IF(H719+L719&gt;$H719,$H719-H719,L719)</f>
        <v>0</v>
      </c>
      <c r="N719" s="444">
        <f>H719+M719</f>
        <v>10</v>
      </c>
      <c r="O719" s="442">
        <f t="shared" ref="O719:O725" si="526">F719+N719-1</f>
        <v>2010</v>
      </c>
      <c r="P719" s="617">
        <f>G719</f>
        <v>1643775000</v>
      </c>
      <c r="Q719" s="445">
        <v>0</v>
      </c>
      <c r="R719" s="445">
        <f>P719/N719</f>
        <v>164377500</v>
      </c>
      <c r="S719" s="446">
        <f t="shared" ref="S719:S725" si="527">F719</f>
        <v>2001</v>
      </c>
      <c r="T719" s="447">
        <v>1</v>
      </c>
      <c r="U719" s="613">
        <f t="shared" ref="U719:U725" si="528">R719*T719</f>
        <v>164377500</v>
      </c>
      <c r="V719" s="442">
        <f>F719</f>
        <v>2001</v>
      </c>
      <c r="W719" s="617">
        <f>IF(OR(AND(ISBLANK(E719),ISBLANK(G719)),ISTEXT(E719),ISTEXT(G719)),"",G719-R719)</f>
        <v>1479397500</v>
      </c>
      <c r="X719" s="448"/>
      <c r="Y719" s="449"/>
      <c r="Z719" s="449"/>
      <c r="AA719" s="693"/>
      <c r="AB719" s="452"/>
      <c r="AC719" s="452"/>
      <c r="AD719" s="571"/>
      <c r="AE719" s="452"/>
      <c r="AF719" s="571"/>
      <c r="AG719" s="452"/>
      <c r="AH719" s="452"/>
      <c r="AI719" s="453"/>
      <c r="AJ719" s="449"/>
      <c r="AK719" s="453"/>
      <c r="AL719" s="454"/>
      <c r="AM719" s="455"/>
      <c r="AN719" s="456"/>
      <c r="AO719" s="455"/>
      <c r="AP719" s="452"/>
      <c r="AQ719" s="457"/>
      <c r="AR719" s="449"/>
      <c r="AS719" s="449"/>
      <c r="AT719" s="452"/>
      <c r="AU719" s="457"/>
      <c r="AV719" s="449"/>
      <c r="AW719" s="458"/>
      <c r="AX719" s="452"/>
      <c r="AY719" s="457"/>
      <c r="AZ719" s="449"/>
      <c r="BA719" s="459"/>
      <c r="BB719" s="455"/>
      <c r="BC719" s="460"/>
      <c r="BD719" s="460"/>
      <c r="BG719" s="462"/>
    </row>
    <row r="720" spans="1:59" s="461" customFormat="1" ht="18" customHeight="1" x14ac:dyDescent="0.2">
      <c r="A720" s="1368" t="str">
        <f t="shared" ref="A720:A732" si="529">$D$715&amp;S720</f>
        <v>JL. DESA TEBERAU PANJANG - SEI. KUANTAN2001</v>
      </c>
      <c r="B720" s="1373"/>
      <c r="C720" s="488" t="s">
        <v>696</v>
      </c>
      <c r="D720" s="489"/>
      <c r="E720" s="558"/>
      <c r="F720" s="559">
        <v>2001</v>
      </c>
      <c r="G720" s="619">
        <v>0</v>
      </c>
      <c r="H720" s="464">
        <f t="shared" ref="H720:H725" si="530">IF(N719-(F720-F719)&lt;=0,0,(N719-(F720-F719)))</f>
        <v>10</v>
      </c>
      <c r="I720" s="560"/>
      <c r="J720" s="468">
        <f t="shared" si="525"/>
        <v>2010</v>
      </c>
      <c r="K720" s="490">
        <f t="shared" ref="K720:K725" si="531">IF(G720=0,0,IF(H720=10,100%,G720/W719))</f>
        <v>0</v>
      </c>
      <c r="L720" s="469">
        <f t="shared" ref="L720:L725" si="532">IF(K720=0%,0,IF(K720&lt;=30%,2,IF(K720&lt;=60%,5,10)))</f>
        <v>0</v>
      </c>
      <c r="M720" s="683">
        <f t="shared" ref="M720:M725" si="533">IF(OR(AND(ISBLANK(E720),ISBLANK(G720)),ISTEXT(E720),ISTEXT(G720)),"",IF(H720+L720&gt;$H$8,$H$8-H720,L720))</f>
        <v>0</v>
      </c>
      <c r="N720" s="470">
        <f t="shared" ref="N720:N725" si="534">IF(OR(AND(ISBLANK(F720),ISBLANK(G720)),ISTEXT(F720),ISTEXT(G720)),"",H720+M720)</f>
        <v>10</v>
      </c>
      <c r="O720" s="468">
        <f t="shared" si="526"/>
        <v>2010</v>
      </c>
      <c r="P720" s="616">
        <f t="shared" ref="P720:P725" si="535">W719</f>
        <v>1479397500</v>
      </c>
      <c r="Q720" s="472">
        <f t="shared" ref="Q720:Q725" si="536">P720+G720</f>
        <v>1479397500</v>
      </c>
      <c r="R720" s="472">
        <f>IF(L720=0,R719,Q720/N720)</f>
        <v>164377500</v>
      </c>
      <c r="S720" s="1189">
        <f t="shared" si="527"/>
        <v>2001</v>
      </c>
      <c r="T720" s="470">
        <f t="shared" ref="T720:T725" si="537">S720-S719</f>
        <v>0</v>
      </c>
      <c r="U720" s="612">
        <f t="shared" si="528"/>
        <v>0</v>
      </c>
      <c r="V720" s="464">
        <f t="shared" ref="V720:V725" si="538">F720</f>
        <v>2001</v>
      </c>
      <c r="W720" s="612">
        <f t="shared" ref="W720:W725" si="539">IF(OR(AND(ISBLANK(E720),ISBLANK(G720)),ISTEXT(E720),ISTEXT(G720)),"",Q720-U720)</f>
        <v>1479397500</v>
      </c>
      <c r="X720" s="561"/>
      <c r="Y720" s="449"/>
      <c r="Z720" s="449"/>
      <c r="AA720" s="693"/>
      <c r="AB720" s="452"/>
      <c r="AC720" s="452"/>
      <c r="AD720" s="571"/>
      <c r="AE720" s="452"/>
      <c r="AF720" s="571"/>
      <c r="AG720" s="452"/>
      <c r="AH720" s="452"/>
      <c r="AI720" s="453"/>
      <c r="AJ720" s="449"/>
      <c r="AK720" s="453"/>
      <c r="AL720" s="454"/>
      <c r="AM720" s="455"/>
      <c r="AN720" s="456"/>
      <c r="AO720" s="455"/>
      <c r="AP720" s="452"/>
      <c r="AQ720" s="457"/>
      <c r="AR720" s="449"/>
      <c r="AS720" s="449"/>
      <c r="AT720" s="452"/>
      <c r="AU720" s="457"/>
      <c r="AV720" s="449"/>
      <c r="AW720" s="458"/>
      <c r="AX720" s="452"/>
      <c r="AY720" s="457"/>
      <c r="AZ720" s="449"/>
      <c r="BA720" s="459"/>
      <c r="BB720" s="455"/>
      <c r="BC720" s="460"/>
      <c r="BD720" s="460"/>
      <c r="BG720" s="462"/>
    </row>
    <row r="721" spans="1:59" s="461" customFormat="1" ht="18" customHeight="1" x14ac:dyDescent="0.2">
      <c r="A721" s="1368" t="str">
        <f t="shared" si="529"/>
        <v>JL. DESA TEBERAU PANJANG - SEI. KUANTAN2006</v>
      </c>
      <c r="B721" s="1373"/>
      <c r="C721" s="488"/>
      <c r="D721" s="489"/>
      <c r="E721" s="558"/>
      <c r="F721" s="559">
        <v>2006</v>
      </c>
      <c r="G721" s="619">
        <v>0</v>
      </c>
      <c r="H721" s="464">
        <f t="shared" si="530"/>
        <v>5</v>
      </c>
      <c r="I721" s="560"/>
      <c r="J721" s="468">
        <f t="shared" si="525"/>
        <v>2010</v>
      </c>
      <c r="K721" s="490">
        <f t="shared" si="531"/>
        <v>0</v>
      </c>
      <c r="L721" s="469">
        <f t="shared" si="532"/>
        <v>0</v>
      </c>
      <c r="M721" s="683">
        <f t="shared" si="533"/>
        <v>0</v>
      </c>
      <c r="N721" s="470">
        <f t="shared" si="534"/>
        <v>5</v>
      </c>
      <c r="O721" s="468">
        <f t="shared" si="526"/>
        <v>2010</v>
      </c>
      <c r="P721" s="616">
        <f t="shared" si="535"/>
        <v>1479397500</v>
      </c>
      <c r="Q721" s="472">
        <f t="shared" si="536"/>
        <v>1479397500</v>
      </c>
      <c r="R721" s="472">
        <f>IF(L721=0,R720,Q721/N721)</f>
        <v>164377500</v>
      </c>
      <c r="S721" s="1189">
        <f t="shared" si="527"/>
        <v>2006</v>
      </c>
      <c r="T721" s="470">
        <f t="shared" si="537"/>
        <v>5</v>
      </c>
      <c r="U721" s="612">
        <f t="shared" si="528"/>
        <v>821887500</v>
      </c>
      <c r="V721" s="464">
        <f t="shared" si="538"/>
        <v>2006</v>
      </c>
      <c r="W721" s="612">
        <f t="shared" si="539"/>
        <v>657510000</v>
      </c>
      <c r="X721" s="561"/>
      <c r="Y721" s="449"/>
      <c r="Z721" s="449"/>
      <c r="AA721" s="693"/>
      <c r="AB721" s="452"/>
      <c r="AC721" s="452"/>
      <c r="AD721" s="571"/>
      <c r="AE721" s="452"/>
      <c r="AF721" s="571"/>
      <c r="AG721" s="452"/>
      <c r="AH721" s="452"/>
      <c r="AI721" s="453"/>
      <c r="AJ721" s="449"/>
      <c r="AK721" s="453"/>
      <c r="AL721" s="454"/>
      <c r="AM721" s="455"/>
      <c r="AN721" s="456"/>
      <c r="AO721" s="455"/>
      <c r="AP721" s="452"/>
      <c r="AQ721" s="457"/>
      <c r="AR721" s="449"/>
      <c r="AS721" s="449"/>
      <c r="AT721" s="452"/>
      <c r="AU721" s="457"/>
      <c r="AV721" s="449"/>
      <c r="AW721" s="458"/>
      <c r="AX721" s="452"/>
      <c r="AY721" s="457"/>
      <c r="AZ721" s="449"/>
      <c r="BA721" s="459"/>
      <c r="BB721" s="455"/>
      <c r="BC721" s="460"/>
      <c r="BD721" s="460"/>
      <c r="BG721" s="462"/>
    </row>
    <row r="722" spans="1:59" s="461" customFormat="1" ht="18" customHeight="1" x14ac:dyDescent="0.2">
      <c r="A722" s="1368" t="str">
        <f t="shared" si="529"/>
        <v>JL. DESA TEBERAU PANJANG - SEI. KUANTAN2007</v>
      </c>
      <c r="B722" s="1373"/>
      <c r="C722" s="488"/>
      <c r="D722" s="489"/>
      <c r="E722" s="558"/>
      <c r="F722" s="559">
        <v>2007</v>
      </c>
      <c r="G722" s="619">
        <v>0</v>
      </c>
      <c r="H722" s="464">
        <f t="shared" si="530"/>
        <v>4</v>
      </c>
      <c r="I722" s="560"/>
      <c r="J722" s="468">
        <f t="shared" si="525"/>
        <v>2010</v>
      </c>
      <c r="K722" s="490">
        <f t="shared" si="531"/>
        <v>0</v>
      </c>
      <c r="L722" s="469">
        <f t="shared" si="532"/>
        <v>0</v>
      </c>
      <c r="M722" s="683">
        <f t="shared" si="533"/>
        <v>0</v>
      </c>
      <c r="N722" s="470">
        <f t="shared" si="534"/>
        <v>4</v>
      </c>
      <c r="O722" s="468">
        <f t="shared" si="526"/>
        <v>2010</v>
      </c>
      <c r="P722" s="616">
        <f t="shared" si="535"/>
        <v>657510000</v>
      </c>
      <c r="Q722" s="472">
        <f t="shared" si="536"/>
        <v>657510000</v>
      </c>
      <c r="R722" s="472">
        <f>IF(L722=0,R721,Q722/N722)</f>
        <v>164377500</v>
      </c>
      <c r="S722" s="1189">
        <f t="shared" si="527"/>
        <v>2007</v>
      </c>
      <c r="T722" s="470">
        <f t="shared" si="537"/>
        <v>1</v>
      </c>
      <c r="U722" s="612">
        <f t="shared" si="528"/>
        <v>164377500</v>
      </c>
      <c r="V722" s="464">
        <f t="shared" si="538"/>
        <v>2007</v>
      </c>
      <c r="W722" s="612">
        <f t="shared" si="539"/>
        <v>493132500</v>
      </c>
      <c r="X722" s="561"/>
      <c r="Y722" s="449"/>
      <c r="Z722" s="449"/>
      <c r="AA722" s="694"/>
      <c r="AB722" s="692"/>
      <c r="AC722" s="692"/>
      <c r="AD722" s="695"/>
      <c r="AE722" s="452"/>
      <c r="AF722" s="571"/>
      <c r="AG722" s="452"/>
      <c r="AH722" s="452"/>
      <c r="AI722" s="453"/>
      <c r="AJ722" s="449"/>
      <c r="AK722" s="453"/>
      <c r="AL722" s="454"/>
      <c r="AM722" s="455"/>
      <c r="AN722" s="456"/>
      <c r="AO722" s="455"/>
      <c r="AP722" s="452"/>
      <c r="AQ722" s="457"/>
      <c r="AR722" s="449"/>
      <c r="AS722" s="449"/>
      <c r="AT722" s="452"/>
      <c r="AU722" s="457"/>
      <c r="AV722" s="449"/>
      <c r="AW722" s="458"/>
      <c r="AX722" s="452"/>
      <c r="AY722" s="457"/>
      <c r="AZ722" s="449"/>
      <c r="BA722" s="459"/>
      <c r="BB722" s="455"/>
      <c r="BC722" s="460"/>
      <c r="BD722" s="460"/>
      <c r="BG722" s="462"/>
    </row>
    <row r="723" spans="1:59" s="486" customFormat="1" ht="18" customHeight="1" x14ac:dyDescent="0.2">
      <c r="A723" s="1368" t="str">
        <f t="shared" si="529"/>
        <v>JL. DESA TEBERAU PANJANG - SEI. KUANTAN2010</v>
      </c>
      <c r="B723" s="1373"/>
      <c r="C723" s="488"/>
      <c r="D723" s="489"/>
      <c r="E723" s="558"/>
      <c r="F723" s="559">
        <v>2010</v>
      </c>
      <c r="G723" s="619">
        <v>0</v>
      </c>
      <c r="H723" s="464">
        <f t="shared" si="530"/>
        <v>1</v>
      </c>
      <c r="I723" s="467"/>
      <c r="J723" s="468">
        <f t="shared" si="525"/>
        <v>2010</v>
      </c>
      <c r="K723" s="490">
        <f t="shared" si="531"/>
        <v>0</v>
      </c>
      <c r="L723" s="469">
        <f t="shared" si="532"/>
        <v>0</v>
      </c>
      <c r="M723" s="683">
        <f t="shared" si="533"/>
        <v>0</v>
      </c>
      <c r="N723" s="470">
        <f t="shared" si="534"/>
        <v>1</v>
      </c>
      <c r="O723" s="468">
        <f t="shared" si="526"/>
        <v>2010</v>
      </c>
      <c r="P723" s="616">
        <f t="shared" si="535"/>
        <v>493132500</v>
      </c>
      <c r="Q723" s="472">
        <f t="shared" si="536"/>
        <v>493132500</v>
      </c>
      <c r="R723" s="472">
        <f>IF(L723=0,R722,Q723/N723)</f>
        <v>164377500</v>
      </c>
      <c r="S723" s="1189">
        <f t="shared" si="527"/>
        <v>2010</v>
      </c>
      <c r="T723" s="470">
        <f t="shared" si="537"/>
        <v>3</v>
      </c>
      <c r="U723" s="612">
        <f t="shared" si="528"/>
        <v>493132500</v>
      </c>
      <c r="V723" s="464">
        <f t="shared" si="538"/>
        <v>2010</v>
      </c>
      <c r="W723" s="612">
        <f t="shared" si="539"/>
        <v>0</v>
      </c>
      <c r="X723" s="473"/>
      <c r="Y723" s="474"/>
      <c r="Z723" s="449"/>
      <c r="AA723" s="554" t="s">
        <v>4179</v>
      </c>
      <c r="AB723" s="476"/>
      <c r="AC723" s="476"/>
      <c r="AD723" s="567"/>
      <c r="AE723" s="476"/>
      <c r="AF723" s="568"/>
      <c r="AG723" s="476"/>
      <c r="AH723" s="476"/>
      <c r="AI723" s="477"/>
      <c r="AJ723" s="478"/>
      <c r="AK723" s="479"/>
      <c r="AL723" s="480"/>
      <c r="AM723" s="474"/>
      <c r="AN723" s="481"/>
      <c r="AO723" s="474"/>
      <c r="AP723" s="476"/>
      <c r="AQ723" s="482"/>
      <c r="AR723" s="478"/>
      <c r="AS723" s="478"/>
      <c r="AT723" s="476"/>
      <c r="AU723" s="482"/>
      <c r="AV723" s="478"/>
      <c r="AW723" s="483"/>
      <c r="AX723" s="476"/>
      <c r="AY723" s="482"/>
      <c r="AZ723" s="478"/>
      <c r="BA723" s="484"/>
      <c r="BB723" s="474"/>
      <c r="BC723" s="485"/>
      <c r="BD723" s="485"/>
      <c r="BG723" s="487"/>
    </row>
    <row r="724" spans="1:59" s="486" customFormat="1" ht="18" customHeight="1" x14ac:dyDescent="0.2">
      <c r="A724" s="1368" t="str">
        <f t="shared" si="529"/>
        <v>JL. DESA TEBERAU PANJANG - SEI. KUANTAN2011</v>
      </c>
      <c r="B724" s="1373"/>
      <c r="C724" s="488"/>
      <c r="D724" s="489"/>
      <c r="E724" s="558"/>
      <c r="F724" s="559">
        <v>2011</v>
      </c>
      <c r="G724" s="619">
        <v>0</v>
      </c>
      <c r="H724" s="464">
        <f t="shared" si="530"/>
        <v>0</v>
      </c>
      <c r="I724" s="467"/>
      <c r="J724" s="468">
        <f t="shared" si="525"/>
        <v>2010</v>
      </c>
      <c r="K724" s="490">
        <f t="shared" si="531"/>
        <v>0</v>
      </c>
      <c r="L724" s="469">
        <f t="shared" si="532"/>
        <v>0</v>
      </c>
      <c r="M724" s="683">
        <f t="shared" si="533"/>
        <v>0</v>
      </c>
      <c r="N724" s="470">
        <f t="shared" si="534"/>
        <v>0</v>
      </c>
      <c r="O724" s="468">
        <f t="shared" si="526"/>
        <v>2010</v>
      </c>
      <c r="P724" s="616">
        <f t="shared" si="535"/>
        <v>0</v>
      </c>
      <c r="Q724" s="472">
        <f t="shared" si="536"/>
        <v>0</v>
      </c>
      <c r="R724" s="472">
        <v>0</v>
      </c>
      <c r="S724" s="1189">
        <f t="shared" si="527"/>
        <v>2011</v>
      </c>
      <c r="T724" s="470">
        <f t="shared" si="537"/>
        <v>1</v>
      </c>
      <c r="U724" s="612">
        <f t="shared" si="528"/>
        <v>0</v>
      </c>
      <c r="V724" s="464">
        <f t="shared" si="538"/>
        <v>2011</v>
      </c>
      <c r="W724" s="612">
        <f t="shared" si="539"/>
        <v>0</v>
      </c>
      <c r="X724" s="473"/>
      <c r="Y724" s="474"/>
      <c r="Z724" s="449"/>
      <c r="AA724" s="475"/>
      <c r="AB724" s="476"/>
      <c r="AC724" s="476"/>
      <c r="AD724" s="567"/>
      <c r="AE724" s="476"/>
      <c r="AF724" s="568"/>
      <c r="AG724" s="476"/>
      <c r="AH724" s="476"/>
      <c r="AI724" s="477"/>
      <c r="AJ724" s="478"/>
      <c r="AK724" s="479"/>
      <c r="AL724" s="480"/>
      <c r="AM724" s="474"/>
      <c r="AN724" s="481"/>
      <c r="AO724" s="474"/>
      <c r="AP724" s="476"/>
      <c r="AQ724" s="482"/>
      <c r="AR724" s="478"/>
      <c r="AS724" s="478"/>
      <c r="AT724" s="476"/>
      <c r="AU724" s="482"/>
      <c r="AV724" s="478"/>
      <c r="AW724" s="483"/>
      <c r="AX724" s="476"/>
      <c r="AY724" s="482"/>
      <c r="AZ724" s="478"/>
      <c r="BA724" s="484"/>
      <c r="BB724" s="474"/>
      <c r="BC724" s="485"/>
      <c r="BD724" s="485"/>
      <c r="BG724" s="487"/>
    </row>
    <row r="725" spans="1:59" s="486" customFormat="1" ht="18" customHeight="1" x14ac:dyDescent="0.2">
      <c r="A725" s="1368" t="str">
        <f t="shared" si="529"/>
        <v>JL. DESA TEBERAU PANJANG - SEI. KUANTAN2012</v>
      </c>
      <c r="B725" s="1373"/>
      <c r="C725" s="488"/>
      <c r="D725" s="489"/>
      <c r="E725" s="558"/>
      <c r="F725" s="559">
        <v>2012</v>
      </c>
      <c r="G725" s="619">
        <v>0</v>
      </c>
      <c r="H725" s="464">
        <f t="shared" si="530"/>
        <v>0</v>
      </c>
      <c r="I725" s="467"/>
      <c r="J725" s="468">
        <f t="shared" si="525"/>
        <v>2011</v>
      </c>
      <c r="K725" s="490">
        <f t="shared" si="531"/>
        <v>0</v>
      </c>
      <c r="L725" s="469">
        <f t="shared" si="532"/>
        <v>0</v>
      </c>
      <c r="M725" s="683">
        <f t="shared" si="533"/>
        <v>0</v>
      </c>
      <c r="N725" s="470">
        <f t="shared" si="534"/>
        <v>0</v>
      </c>
      <c r="O725" s="468">
        <f t="shared" si="526"/>
        <v>2011</v>
      </c>
      <c r="P725" s="616">
        <f t="shared" si="535"/>
        <v>0</v>
      </c>
      <c r="Q725" s="472">
        <f t="shared" si="536"/>
        <v>0</v>
      </c>
      <c r="R725" s="472">
        <f>IF(L725=0,R724,Q725/N725)</f>
        <v>0</v>
      </c>
      <c r="S725" s="1189">
        <f t="shared" si="527"/>
        <v>2012</v>
      </c>
      <c r="T725" s="470">
        <f t="shared" si="537"/>
        <v>1</v>
      </c>
      <c r="U725" s="612">
        <f t="shared" si="528"/>
        <v>0</v>
      </c>
      <c r="V725" s="464">
        <f t="shared" si="538"/>
        <v>2012</v>
      </c>
      <c r="W725" s="612">
        <f t="shared" si="539"/>
        <v>0</v>
      </c>
      <c r="X725" s="473"/>
      <c r="Y725" s="474"/>
      <c r="Z725" s="449"/>
      <c r="AA725" s="475" t="s">
        <v>4180</v>
      </c>
      <c r="AB725" s="476"/>
      <c r="AC725" s="476"/>
      <c r="AD725" s="567">
        <f>G734</f>
        <v>1643775000</v>
      </c>
      <c r="AE725" s="476"/>
      <c r="AF725" s="568"/>
      <c r="AG725" s="476"/>
      <c r="AH725" s="476"/>
      <c r="AI725" s="477"/>
      <c r="AJ725" s="478"/>
      <c r="AK725" s="479"/>
      <c r="AL725" s="480"/>
      <c r="AM725" s="474"/>
      <c r="AN725" s="481"/>
      <c r="AO725" s="474"/>
      <c r="AP725" s="476"/>
      <c r="AQ725" s="482"/>
      <c r="AR725" s="478"/>
      <c r="AS725" s="478"/>
      <c r="AT725" s="476"/>
      <c r="AU725" s="482"/>
      <c r="AV725" s="478"/>
      <c r="AW725" s="483"/>
      <c r="AX725" s="476"/>
      <c r="AY725" s="482"/>
      <c r="AZ725" s="478"/>
      <c r="BA725" s="484"/>
      <c r="BB725" s="474"/>
      <c r="BC725" s="485"/>
      <c r="BD725" s="485"/>
      <c r="BG725" s="487"/>
    </row>
    <row r="726" spans="1:59" s="486" customFormat="1" ht="18" customHeight="1" x14ac:dyDescent="0.2">
      <c r="A726" s="1368" t="str">
        <f t="shared" si="529"/>
        <v>JL. DESA TEBERAU PANJANG - SEI. KUANTAN2013</v>
      </c>
      <c r="B726" s="1373"/>
      <c r="C726" s="488"/>
      <c r="D726" s="489"/>
      <c r="E726" s="558"/>
      <c r="F726" s="559">
        <v>2013</v>
      </c>
      <c r="G726" s="619">
        <v>0</v>
      </c>
      <c r="H726" s="464">
        <f t="shared" ref="H726:H731" si="540">IF(N725-(F726-F725)&lt;=0,0,(N725-(F726-F725)))</f>
        <v>0</v>
      </c>
      <c r="I726" s="467"/>
      <c r="J726" s="468">
        <f t="shared" ref="J726:J731" si="541">F726+N726-1</f>
        <v>2012</v>
      </c>
      <c r="K726" s="490">
        <f t="shared" ref="K726:K731" si="542">IF(G726=0,0,IF(H726=10,100%,G726/W725))</f>
        <v>0</v>
      </c>
      <c r="L726" s="469">
        <f t="shared" ref="L726:L731" si="543">IF(K726=0%,0,IF(K726&lt;=30%,2,IF(K726&lt;=60%,5,10)))</f>
        <v>0</v>
      </c>
      <c r="M726" s="683">
        <f t="shared" ref="M726:M731" si="544">IF(OR(AND(ISBLANK(E726),ISBLANK(G726)),ISTEXT(E726),ISTEXT(G726)),"",IF(H726+L726&gt;$H$8,$H$8-H726,L726))</f>
        <v>0</v>
      </c>
      <c r="N726" s="470">
        <f t="shared" ref="N726:N731" si="545">IF(OR(AND(ISBLANK(F726),ISBLANK(G726)),ISTEXT(F726),ISTEXT(G726)),"",H726+M726)</f>
        <v>0</v>
      </c>
      <c r="O726" s="468">
        <f t="shared" ref="O726:O731" si="546">F726+N726-1</f>
        <v>2012</v>
      </c>
      <c r="P726" s="616">
        <f t="shared" ref="P726:P731" si="547">W725</f>
        <v>0</v>
      </c>
      <c r="Q726" s="472">
        <f t="shared" ref="Q726:Q731" si="548">P726+G726</f>
        <v>0</v>
      </c>
      <c r="R726" s="472">
        <f t="shared" ref="R726:R731" si="549">IF(L726=0,R725,Q726/N726)</f>
        <v>0</v>
      </c>
      <c r="S726" s="1189">
        <f t="shared" ref="S726:S731" si="550">F726</f>
        <v>2013</v>
      </c>
      <c r="T726" s="470">
        <f t="shared" ref="T726:T731" si="551">S726-S725</f>
        <v>1</v>
      </c>
      <c r="U726" s="612">
        <f t="shared" ref="U726:U731" si="552">R726*T726</f>
        <v>0</v>
      </c>
      <c r="V726" s="464">
        <f t="shared" ref="V726:V731" si="553">F726</f>
        <v>2013</v>
      </c>
      <c r="W726" s="612">
        <f t="shared" ref="W726:W731" si="554">IF(OR(AND(ISBLANK(E726),ISBLANK(G726)),ISTEXT(E726),ISTEXT(G726)),"",Q726-U726)</f>
        <v>0</v>
      </c>
      <c r="X726" s="473"/>
      <c r="Y726" s="478"/>
      <c r="Z726" s="449"/>
      <c r="AA726" s="475" t="s">
        <v>4181</v>
      </c>
      <c r="AB726" s="491"/>
      <c r="AC726" s="491"/>
      <c r="AD726" s="567">
        <f>U734</f>
        <v>1643775000</v>
      </c>
      <c r="AE726" s="491"/>
      <c r="AF726" s="568"/>
      <c r="AG726" s="491"/>
      <c r="AH726" s="491"/>
      <c r="AI726" s="477"/>
      <c r="AJ726" s="478"/>
      <c r="AK726" s="479"/>
      <c r="AL726" s="480"/>
      <c r="AM726" s="474"/>
      <c r="AN726" s="481"/>
      <c r="AO726" s="474"/>
      <c r="AP726" s="476"/>
      <c r="AQ726" s="482"/>
      <c r="AR726" s="478"/>
      <c r="AS726" s="478"/>
      <c r="AT726" s="476"/>
      <c r="AU726" s="482"/>
      <c r="AV726" s="478"/>
      <c r="AW726" s="483"/>
      <c r="AX726" s="476"/>
      <c r="AY726" s="482"/>
      <c r="AZ726" s="478"/>
      <c r="BA726" s="484"/>
      <c r="BB726" s="474"/>
      <c r="BC726" s="485"/>
      <c r="BD726" s="485"/>
      <c r="BG726" s="487"/>
    </row>
    <row r="727" spans="1:59" s="486" customFormat="1" ht="18" customHeight="1" x14ac:dyDescent="0.2">
      <c r="A727" s="1368" t="str">
        <f t="shared" si="529"/>
        <v>JL. DESA TEBERAU PANJANG - SEI. KUANTAN2014</v>
      </c>
      <c r="B727" s="1373"/>
      <c r="C727" s="463"/>
      <c r="D727" s="489"/>
      <c r="E727" s="465"/>
      <c r="F727" s="559">
        <v>2014</v>
      </c>
      <c r="G727" s="619">
        <v>0</v>
      </c>
      <c r="H727" s="464">
        <f t="shared" si="540"/>
        <v>0</v>
      </c>
      <c r="I727" s="467"/>
      <c r="J727" s="468">
        <f t="shared" si="541"/>
        <v>2013</v>
      </c>
      <c r="K727" s="490">
        <f t="shared" si="542"/>
        <v>0</v>
      </c>
      <c r="L727" s="469">
        <f t="shared" si="543"/>
        <v>0</v>
      </c>
      <c r="M727" s="683">
        <f t="shared" si="544"/>
        <v>0</v>
      </c>
      <c r="N727" s="470">
        <f t="shared" si="545"/>
        <v>0</v>
      </c>
      <c r="O727" s="468">
        <f t="shared" si="546"/>
        <v>2013</v>
      </c>
      <c r="P727" s="616">
        <f t="shared" si="547"/>
        <v>0</v>
      </c>
      <c r="Q727" s="472">
        <f t="shared" si="548"/>
        <v>0</v>
      </c>
      <c r="R727" s="472">
        <f t="shared" si="549"/>
        <v>0</v>
      </c>
      <c r="S727" s="1189">
        <f t="shared" si="550"/>
        <v>2014</v>
      </c>
      <c r="T727" s="470">
        <f t="shared" si="551"/>
        <v>1</v>
      </c>
      <c r="U727" s="612">
        <f t="shared" si="552"/>
        <v>0</v>
      </c>
      <c r="V727" s="464">
        <f t="shared" si="553"/>
        <v>2014</v>
      </c>
      <c r="W727" s="612">
        <f t="shared" si="554"/>
        <v>0</v>
      </c>
      <c r="X727" s="473"/>
      <c r="Y727" s="478"/>
      <c r="Z727" s="449"/>
      <c r="AA727" s="492" t="s">
        <v>4182</v>
      </c>
      <c r="AB727" s="476"/>
      <c r="AC727" s="476"/>
      <c r="AD727" s="567">
        <f>AD725-AD726</f>
        <v>0</v>
      </c>
      <c r="AE727" s="476"/>
      <c r="AF727" s="568"/>
      <c r="AG727" s="476"/>
      <c r="AH727" s="476"/>
      <c r="AI727" s="477"/>
      <c r="AJ727" s="478"/>
      <c r="AK727" s="479"/>
      <c r="AL727" s="480"/>
      <c r="AM727" s="474"/>
      <c r="AN727" s="481"/>
      <c r="AO727" s="474"/>
      <c r="AP727" s="476"/>
      <c r="AQ727" s="482"/>
      <c r="AR727" s="478"/>
      <c r="AS727" s="478"/>
      <c r="AT727" s="476"/>
      <c r="AU727" s="482"/>
      <c r="AV727" s="478"/>
      <c r="AW727" s="483"/>
      <c r="AX727" s="476"/>
      <c r="AY727" s="482"/>
      <c r="AZ727" s="478"/>
      <c r="BA727" s="484"/>
      <c r="BB727" s="474"/>
      <c r="BC727" s="485"/>
      <c r="BD727" s="485"/>
      <c r="BG727" s="487"/>
    </row>
    <row r="728" spans="1:59" s="486" customFormat="1" ht="18" customHeight="1" x14ac:dyDescent="0.2">
      <c r="A728" s="1368" t="str">
        <f t="shared" si="529"/>
        <v>JL. DESA TEBERAU PANJANG - SEI. KUANTAN2015</v>
      </c>
      <c r="B728" s="1373"/>
      <c r="C728" s="463"/>
      <c r="D728" s="489"/>
      <c r="E728" s="465"/>
      <c r="F728" s="559">
        <v>2015</v>
      </c>
      <c r="G728" s="619">
        <v>0</v>
      </c>
      <c r="H728" s="464">
        <f t="shared" si="540"/>
        <v>0</v>
      </c>
      <c r="I728" s="467"/>
      <c r="J728" s="468">
        <f t="shared" si="541"/>
        <v>2014</v>
      </c>
      <c r="K728" s="490">
        <f t="shared" si="542"/>
        <v>0</v>
      </c>
      <c r="L728" s="469">
        <f t="shared" si="543"/>
        <v>0</v>
      </c>
      <c r="M728" s="683">
        <f t="shared" si="544"/>
        <v>0</v>
      </c>
      <c r="N728" s="470">
        <f t="shared" si="545"/>
        <v>0</v>
      </c>
      <c r="O728" s="468">
        <f t="shared" si="546"/>
        <v>2014</v>
      </c>
      <c r="P728" s="616">
        <f t="shared" si="547"/>
        <v>0</v>
      </c>
      <c r="Q728" s="472">
        <f t="shared" si="548"/>
        <v>0</v>
      </c>
      <c r="R728" s="472">
        <f t="shared" si="549"/>
        <v>0</v>
      </c>
      <c r="S728" s="1189">
        <f t="shared" si="550"/>
        <v>2015</v>
      </c>
      <c r="T728" s="470">
        <f t="shared" si="551"/>
        <v>1</v>
      </c>
      <c r="U728" s="612">
        <f t="shared" si="552"/>
        <v>0</v>
      </c>
      <c r="V728" s="464">
        <f t="shared" si="553"/>
        <v>2015</v>
      </c>
      <c r="W728" s="612">
        <f t="shared" si="554"/>
        <v>0</v>
      </c>
      <c r="X728" s="473"/>
      <c r="Y728" s="478"/>
      <c r="Z728" s="449"/>
      <c r="AA728" s="531" t="s">
        <v>4183</v>
      </c>
      <c r="AB728" s="496"/>
      <c r="AC728" s="496"/>
      <c r="AD728" s="569">
        <f>AD727-W734</f>
        <v>0</v>
      </c>
      <c r="AE728" s="476"/>
      <c r="AF728" s="568"/>
      <c r="AG728" s="476"/>
      <c r="AH728" s="476"/>
      <c r="AI728" s="477"/>
      <c r="AJ728" s="478"/>
      <c r="AK728" s="479"/>
      <c r="AL728" s="480"/>
      <c r="AM728" s="474"/>
      <c r="AN728" s="481"/>
      <c r="AO728" s="474"/>
      <c r="AP728" s="476"/>
      <c r="AQ728" s="482"/>
      <c r="AR728" s="478"/>
      <c r="AS728" s="478"/>
      <c r="AT728" s="476"/>
      <c r="AU728" s="482"/>
      <c r="AV728" s="478"/>
      <c r="AW728" s="483"/>
      <c r="AX728" s="476"/>
      <c r="AY728" s="482"/>
      <c r="AZ728" s="478"/>
      <c r="BA728" s="484"/>
      <c r="BB728" s="474"/>
      <c r="BC728" s="485"/>
      <c r="BD728" s="485"/>
      <c r="BG728" s="487"/>
    </row>
    <row r="729" spans="1:59" s="486" customFormat="1" ht="18" customHeight="1" x14ac:dyDescent="0.2">
      <c r="A729" s="1368" t="str">
        <f t="shared" si="529"/>
        <v>JL. DESA TEBERAU PANJANG - SEI. KUANTAN2016</v>
      </c>
      <c r="B729" s="687"/>
      <c r="C729" s="463"/>
      <c r="D729" s="489"/>
      <c r="E729" s="465"/>
      <c r="F729" s="559">
        <v>2016</v>
      </c>
      <c r="G729" s="619">
        <v>0</v>
      </c>
      <c r="H729" s="464">
        <f t="shared" si="540"/>
        <v>0</v>
      </c>
      <c r="I729" s="467"/>
      <c r="J729" s="468">
        <f t="shared" si="541"/>
        <v>2015</v>
      </c>
      <c r="K729" s="490">
        <f t="shared" si="542"/>
        <v>0</v>
      </c>
      <c r="L729" s="469">
        <f t="shared" si="543"/>
        <v>0</v>
      </c>
      <c r="M729" s="683">
        <f t="shared" si="544"/>
        <v>0</v>
      </c>
      <c r="N729" s="470">
        <f t="shared" si="545"/>
        <v>0</v>
      </c>
      <c r="O729" s="468">
        <f t="shared" si="546"/>
        <v>2015</v>
      </c>
      <c r="P729" s="616">
        <f t="shared" si="547"/>
        <v>0</v>
      </c>
      <c r="Q729" s="472">
        <f t="shared" si="548"/>
        <v>0</v>
      </c>
      <c r="R729" s="472">
        <f t="shared" si="549"/>
        <v>0</v>
      </c>
      <c r="S729" s="1189">
        <f t="shared" si="550"/>
        <v>2016</v>
      </c>
      <c r="T729" s="470">
        <f t="shared" si="551"/>
        <v>1</v>
      </c>
      <c r="U729" s="612">
        <f t="shared" si="552"/>
        <v>0</v>
      </c>
      <c r="V729" s="464">
        <f t="shared" si="553"/>
        <v>2016</v>
      </c>
      <c r="W729" s="612">
        <f t="shared" si="554"/>
        <v>0</v>
      </c>
      <c r="X729" s="473"/>
      <c r="Y729" s="497"/>
      <c r="Z729" s="449"/>
      <c r="AA729" s="497"/>
      <c r="AB729" s="476"/>
      <c r="AC729" s="497"/>
      <c r="AD729" s="568"/>
      <c r="AE729" s="476"/>
      <c r="AF729" s="568"/>
      <c r="AG729" s="476"/>
      <c r="AH729" s="476"/>
      <c r="AI729" s="477"/>
      <c r="AJ729" s="478"/>
      <c r="AK729" s="479"/>
      <c r="AL729" s="480"/>
      <c r="AM729" s="474"/>
      <c r="AN729" s="481"/>
      <c r="AO729" s="474"/>
      <c r="AP729" s="476"/>
      <c r="AQ729" s="482"/>
      <c r="AR729" s="478"/>
      <c r="AS729" s="478"/>
      <c r="AT729" s="476"/>
      <c r="AU729" s="482"/>
      <c r="AV729" s="478"/>
      <c r="AW729" s="483"/>
      <c r="AX729" s="476"/>
      <c r="AY729" s="482"/>
      <c r="AZ729" s="478"/>
      <c r="BA729" s="484"/>
      <c r="BB729" s="474"/>
      <c r="BC729" s="485"/>
      <c r="BD729" s="485"/>
      <c r="BG729" s="487"/>
    </row>
    <row r="730" spans="1:59" s="486" customFormat="1" ht="18" customHeight="1" x14ac:dyDescent="0.2">
      <c r="A730" s="1368" t="str">
        <f t="shared" si="529"/>
        <v>JL. DESA TEBERAU PANJANG - SEI. KUANTAN2017</v>
      </c>
      <c r="B730" s="687"/>
      <c r="C730" s="463"/>
      <c r="D730" s="489"/>
      <c r="E730" s="465"/>
      <c r="F730" s="559">
        <v>2017</v>
      </c>
      <c r="G730" s="619">
        <v>0</v>
      </c>
      <c r="H730" s="464">
        <f t="shared" si="540"/>
        <v>0</v>
      </c>
      <c r="I730" s="467"/>
      <c r="J730" s="468">
        <f t="shared" si="541"/>
        <v>2016</v>
      </c>
      <c r="K730" s="490">
        <f t="shared" si="542"/>
        <v>0</v>
      </c>
      <c r="L730" s="469">
        <f t="shared" si="543"/>
        <v>0</v>
      </c>
      <c r="M730" s="683">
        <f t="shared" si="544"/>
        <v>0</v>
      </c>
      <c r="N730" s="470">
        <f t="shared" si="545"/>
        <v>0</v>
      </c>
      <c r="O730" s="468">
        <f t="shared" si="546"/>
        <v>2016</v>
      </c>
      <c r="P730" s="616">
        <f t="shared" si="547"/>
        <v>0</v>
      </c>
      <c r="Q730" s="472">
        <f t="shared" si="548"/>
        <v>0</v>
      </c>
      <c r="R730" s="472">
        <f t="shared" si="549"/>
        <v>0</v>
      </c>
      <c r="S730" s="1189">
        <f t="shared" si="550"/>
        <v>2017</v>
      </c>
      <c r="T730" s="470">
        <f t="shared" si="551"/>
        <v>1</v>
      </c>
      <c r="U730" s="612">
        <f t="shared" si="552"/>
        <v>0</v>
      </c>
      <c r="V730" s="464">
        <f t="shared" si="553"/>
        <v>2017</v>
      </c>
      <c r="W730" s="612">
        <f t="shared" si="554"/>
        <v>0</v>
      </c>
      <c r="X730" s="473"/>
      <c r="Y730" s="497"/>
      <c r="Z730" s="449"/>
      <c r="AA730" s="497"/>
      <c r="AB730" s="476"/>
      <c r="AC730" s="497"/>
      <c r="AD730" s="568"/>
      <c r="AE730" s="476"/>
      <c r="AF730" s="568"/>
      <c r="AG730" s="476"/>
      <c r="AH730" s="476"/>
      <c r="AI730" s="477"/>
      <c r="AJ730" s="478"/>
      <c r="AK730" s="479"/>
      <c r="AL730" s="480"/>
      <c r="AM730" s="474"/>
      <c r="AN730" s="481"/>
      <c r="AO730" s="474"/>
      <c r="AP730" s="476"/>
      <c r="AQ730" s="482"/>
      <c r="AR730" s="478"/>
      <c r="AS730" s="478"/>
      <c r="AT730" s="476"/>
      <c r="AU730" s="482"/>
      <c r="AV730" s="478"/>
      <c r="AW730" s="483"/>
      <c r="AX730" s="476"/>
      <c r="AY730" s="482"/>
      <c r="AZ730" s="478"/>
      <c r="BA730" s="484"/>
      <c r="BB730" s="474"/>
      <c r="BC730" s="485"/>
      <c r="BD730" s="485"/>
      <c r="BG730" s="487"/>
    </row>
    <row r="731" spans="1:59" s="486" customFormat="1" ht="18" customHeight="1" x14ac:dyDescent="0.2">
      <c r="A731" s="1368" t="str">
        <f t="shared" si="529"/>
        <v>JL. DESA TEBERAU PANJANG - SEI. KUANTAN2018</v>
      </c>
      <c r="B731" s="687"/>
      <c r="C731" s="463"/>
      <c r="D731" s="489"/>
      <c r="E731" s="465"/>
      <c r="F731" s="559">
        <v>2018</v>
      </c>
      <c r="G731" s="619">
        <v>0</v>
      </c>
      <c r="H731" s="464">
        <f t="shared" si="540"/>
        <v>0</v>
      </c>
      <c r="I731" s="467"/>
      <c r="J731" s="468">
        <f t="shared" si="541"/>
        <v>2017</v>
      </c>
      <c r="K731" s="490">
        <f t="shared" si="542"/>
        <v>0</v>
      </c>
      <c r="L731" s="469">
        <f t="shared" si="543"/>
        <v>0</v>
      </c>
      <c r="M731" s="683">
        <f t="shared" si="544"/>
        <v>0</v>
      </c>
      <c r="N731" s="470">
        <f t="shared" si="545"/>
        <v>0</v>
      </c>
      <c r="O731" s="468">
        <f t="shared" si="546"/>
        <v>2017</v>
      </c>
      <c r="P731" s="616">
        <f t="shared" si="547"/>
        <v>0</v>
      </c>
      <c r="Q731" s="472">
        <f t="shared" si="548"/>
        <v>0</v>
      </c>
      <c r="R731" s="472">
        <f t="shared" si="549"/>
        <v>0</v>
      </c>
      <c r="S731" s="1189">
        <f t="shared" si="550"/>
        <v>2018</v>
      </c>
      <c r="T731" s="470">
        <f t="shared" si="551"/>
        <v>1</v>
      </c>
      <c r="U731" s="612">
        <f t="shared" si="552"/>
        <v>0</v>
      </c>
      <c r="V731" s="464">
        <f t="shared" si="553"/>
        <v>2018</v>
      </c>
      <c r="W731" s="612">
        <f t="shared" si="554"/>
        <v>0</v>
      </c>
      <c r="X731" s="473"/>
      <c r="Y731" s="497"/>
      <c r="Z731" s="449"/>
      <c r="AA731" s="497"/>
      <c r="AB731" s="476"/>
      <c r="AC731" s="497"/>
      <c r="AD731" s="568"/>
      <c r="AE731" s="476"/>
      <c r="AF731" s="568"/>
      <c r="AG731" s="476"/>
      <c r="AH731" s="476"/>
      <c r="AI731" s="477"/>
      <c r="AJ731" s="478"/>
      <c r="AK731" s="479"/>
      <c r="AL731" s="480"/>
      <c r="AM731" s="474"/>
      <c r="AN731" s="481"/>
      <c r="AO731" s="474"/>
      <c r="AP731" s="476"/>
      <c r="AQ731" s="482"/>
      <c r="AR731" s="478"/>
      <c r="AS731" s="478"/>
      <c r="AT731" s="476"/>
      <c r="AU731" s="482"/>
      <c r="AV731" s="478"/>
      <c r="AW731" s="483"/>
      <c r="AX731" s="476"/>
      <c r="AY731" s="482"/>
      <c r="AZ731" s="478"/>
      <c r="BA731" s="484"/>
      <c r="BB731" s="474"/>
      <c r="BC731" s="485"/>
      <c r="BD731" s="485"/>
      <c r="BG731" s="487"/>
    </row>
    <row r="732" spans="1:59" s="486" customFormat="1" ht="18" customHeight="1" x14ac:dyDescent="0.2">
      <c r="A732" s="1368" t="str">
        <f t="shared" si="529"/>
        <v>JL. DESA TEBERAU PANJANG - SEI. KUANTAN2019</v>
      </c>
      <c r="B732" s="687"/>
      <c r="C732" s="463"/>
      <c r="D732" s="489"/>
      <c r="E732" s="465"/>
      <c r="F732" s="559">
        <v>2019</v>
      </c>
      <c r="G732" s="619">
        <v>0</v>
      </c>
      <c r="H732" s="464">
        <f>IF(N731-(F732-F731)&lt;=0,0,(N731-(F732-F731)))</f>
        <v>0</v>
      </c>
      <c r="I732" s="467"/>
      <c r="J732" s="468">
        <f>F732+N732-1</f>
        <v>2018</v>
      </c>
      <c r="K732" s="490">
        <f>IF(G732=0,0,IF(H732=10,100%,G732/W731))</f>
        <v>0</v>
      </c>
      <c r="L732" s="469">
        <f>IF(K732=0%,0,IF(K732&lt;=30%,2,IF(K732&lt;=60%,5,10)))</f>
        <v>0</v>
      </c>
      <c r="M732" s="683">
        <f>IF(OR(AND(ISBLANK(E732),ISBLANK(G732)),ISTEXT(E732),ISTEXT(G732)),"",IF(H732+L732&gt;$H$8,$H$8-H732,L732))</f>
        <v>0</v>
      </c>
      <c r="N732" s="470">
        <f>IF(OR(AND(ISBLANK(F732),ISBLANK(G732)),ISTEXT(F732),ISTEXT(G732)),"",H732+M732)</f>
        <v>0</v>
      </c>
      <c r="O732" s="468">
        <f>F732+N732-1</f>
        <v>2018</v>
      </c>
      <c r="P732" s="616">
        <f>W731</f>
        <v>0</v>
      </c>
      <c r="Q732" s="472">
        <f>P732+G732</f>
        <v>0</v>
      </c>
      <c r="R732" s="472">
        <f>IF(L732=0,R731,Q732/N732)</f>
        <v>0</v>
      </c>
      <c r="S732" s="1189">
        <f>F732</f>
        <v>2019</v>
      </c>
      <c r="T732" s="470">
        <f>S732-S731</f>
        <v>1</v>
      </c>
      <c r="U732" s="612">
        <f>R732*T732</f>
        <v>0</v>
      </c>
      <c r="V732" s="464">
        <f>F732</f>
        <v>2019</v>
      </c>
      <c r="W732" s="612">
        <f>IF(OR(AND(ISBLANK(E732),ISBLANK(G732)),ISTEXT(E732),ISTEXT(G732)),"",Q732-U732)</f>
        <v>0</v>
      </c>
      <c r="X732" s="473"/>
      <c r="Y732" s="497"/>
      <c r="Z732" s="449"/>
      <c r="AA732" s="497"/>
      <c r="AB732" s="476"/>
      <c r="AC732" s="497"/>
      <c r="AD732" s="568"/>
      <c r="AE732" s="476"/>
      <c r="AF732" s="568"/>
      <c r="AG732" s="476"/>
      <c r="AH732" s="476"/>
      <c r="AI732" s="477"/>
      <c r="AJ732" s="478"/>
      <c r="AK732" s="479"/>
      <c r="AL732" s="480"/>
      <c r="AM732" s="474"/>
      <c r="AN732" s="481"/>
      <c r="AO732" s="474"/>
      <c r="AP732" s="476"/>
      <c r="AQ732" s="482"/>
      <c r="AR732" s="478"/>
      <c r="AS732" s="478"/>
      <c r="AT732" s="476"/>
      <c r="AU732" s="482"/>
      <c r="AV732" s="478"/>
      <c r="AW732" s="483"/>
      <c r="AX732" s="476"/>
      <c r="AY732" s="482"/>
      <c r="AZ732" s="478"/>
      <c r="BA732" s="484"/>
      <c r="BB732" s="474"/>
      <c r="BC732" s="485"/>
      <c r="BD732" s="485"/>
      <c r="BG732" s="487"/>
    </row>
    <row r="733" spans="1:59" s="486" customFormat="1" ht="18" customHeight="1" x14ac:dyDescent="0.2">
      <c r="A733" s="1369"/>
      <c r="B733" s="687"/>
      <c r="C733" s="463"/>
      <c r="D733" s="464"/>
      <c r="E733" s="465"/>
      <c r="F733" s="1189"/>
      <c r="G733" s="620"/>
      <c r="H733" s="469" t="str">
        <f>IF(OR(AND(ISBLANK(E733),ISBLANK(G733)),ISTEXT(E733),ISTEXT(G733)),"",IF(#REF!-(YEAR(E733)-YEAR(#REF!))&lt;0,0,#REF!-(YEAR(E733)-YEAR(#REF!))))</f>
        <v/>
      </c>
      <c r="I733" s="467" t="str">
        <f>IF(OR(AND(ISBLANK(E733),ISBLANK(G733)),ISTEXT(E733),ISTEXT(G733)),"",IF(#REF!-E733&lt;0,0,#REF!-E733))</f>
        <v/>
      </c>
      <c r="J733" s="498" t="str">
        <f>IF(OR(AND(ISBLANK(E733),ISBLANK(G733)),ISTEXT(E733),ISTEXT(G733)),"",#REF!)</f>
        <v/>
      </c>
      <c r="K733" s="498"/>
      <c r="L733" s="469" t="str">
        <f>IF(OR(AND(ISBLANK(E733),ISBLANK(G733)),ISTEXT(E733),ISTEXT(G733)),"",ROUNDDOWN(G733/SUM($G$57:G728)*$H$57,0))</f>
        <v/>
      </c>
      <c r="M733" s="683" t="str">
        <f>IF(OR(AND(ISBLANK(E733),ISBLANK(G733)),ISTEXT(E733),ISTEXT(G733)),"",IF(H733+L733&gt;$H$57,$H$57-H733,L733))</f>
        <v/>
      </c>
      <c r="N733" s="470" t="str">
        <f>IF(OR(AND(ISBLANK(E733),ISBLANK(G733)),ISTEXT(E733),ISTEXT(G733)),"",H733+M733)</f>
        <v/>
      </c>
      <c r="O733" s="498" t="str">
        <f>IF(OR(AND(ISBLANK(E733),ISBLANK(G733)),ISTEXT(E733),ISTEXT(G733)),"",DATE(YEAR($J733)+M733,MONTH($J733),DAY($J733)))</f>
        <v/>
      </c>
      <c r="P733" s="748" t="str">
        <f>IF(OR(AND(ISBLANK(E733),ISBLANK(G733)),ISTEXT(E733),ISTEXT(G733)),"",#REF!-#REF!*(IF(J733&lt;E733,J733,E733)-#REF!))</f>
        <v/>
      </c>
      <c r="Q733" s="500" t="str">
        <f>IF(OR(AND(ISBLANK(E733),ISBLANK(G733)),ISTEXT(E733),ISTEXT(G733)),"",P733+G733)</f>
        <v/>
      </c>
      <c r="R733" s="501" t="str">
        <f>IF(OR(AND(ISBLANK(E733),ISBLANK(G733)),ISTEXT(E733),ISTEXT(G733)),"",IF(OR(E733&lt;DATE(2004,12,31),#REF!=0),0,Q733/#REF!))</f>
        <v/>
      </c>
      <c r="S733" s="502" t="str">
        <f>IF(OR(AND(ISBLANK(E733),ISBLANK(G733)),ISTEXT(E733),ISTEXT(G733)),"",IF(YEAR(E733)&lt;=YEAR(#REF!),"-",YEAR(E733)-1))</f>
        <v/>
      </c>
      <c r="T733" s="502"/>
      <c r="U733" s="612" t="str">
        <f>IF(OR(AND(ISBLANK(E733),ISBLANK(G733)),ISTEXT(E733),ISTEXT(G733)),"",IF(AND(J733&lt;=DATE(2004,12,31),E733&gt;J733),SUM($G733:G733),#REF!+#REF!+#REF!*IF(YEAR(E733)&lt;=YEAR(#REF!),0,(IF(DATE(YEAR(E733)-1,12,31)&gt;J733,J733,DATE(YEAR(E733)-1,12,31))-#REF!))))</f>
        <v/>
      </c>
      <c r="V733" s="503" t="str">
        <f>IF(OR(AND(ISBLANK(E733),ISBLANK(G733)),ISTEXT(E733),ISTEXT(G733)),"",IF(YEAR(E733)=YEAR(E734),E734,DATE(YEAR(E733),12,31)))</f>
        <v/>
      </c>
      <c r="W733" s="612" t="str">
        <f>IF(OR(AND(ISBLANK(E733),ISBLANK(G733)),ISTEXT(E733),ISTEXT(G733)),"",IF(Q733=0,0,IF(AND(J733&lt;=DATE(2004,12,31),E733&gt;=J733),Q733-U733,Q733-#REF!)))</f>
        <v/>
      </c>
      <c r="X733" s="504" t="str">
        <f>IF(OR(AND(ISBLANK(E733),ISBLANK(G733)),ISTEXT(E733),ISTEXT(G733)),"",$D$57&amp;"//"&amp;TEXT($E$57,"dd-mmm-yyyy")&amp;"//"&amp;#REF!)</f>
        <v/>
      </c>
      <c r="Y733" s="476"/>
      <c r="Z733" s="476"/>
      <c r="AA733" s="476"/>
      <c r="AB733" s="476"/>
      <c r="AC733" s="476"/>
      <c r="AD733" s="568"/>
      <c r="AE733" s="476"/>
      <c r="AF733" s="568"/>
      <c r="AG733" s="476"/>
      <c r="AH733" s="476"/>
      <c r="AI733" s="477"/>
      <c r="AJ733" s="478"/>
      <c r="AK733" s="479"/>
      <c r="AL733" s="480"/>
      <c r="AM733" s="474"/>
      <c r="AN733" s="481"/>
      <c r="AO733" s="474"/>
      <c r="AP733" s="476"/>
      <c r="AQ733" s="482"/>
      <c r="AR733" s="478"/>
      <c r="AS733" s="478"/>
      <c r="AT733" s="476"/>
      <c r="AU733" s="482"/>
      <c r="AV733" s="478"/>
      <c r="AW733" s="483"/>
      <c r="AX733" s="476"/>
      <c r="AY733" s="482"/>
      <c r="AZ733" s="478"/>
      <c r="BA733" s="484"/>
      <c r="BB733" s="474"/>
      <c r="BC733" s="485"/>
      <c r="BD733" s="485"/>
      <c r="BG733" s="487"/>
    </row>
    <row r="734" spans="1:59" s="526" customFormat="1" ht="18" customHeight="1" x14ac:dyDescent="0.2">
      <c r="A734" s="1370" t="s">
        <v>4184</v>
      </c>
      <c r="B734" s="1956" t="s">
        <v>4184</v>
      </c>
      <c r="C734" s="1957"/>
      <c r="D734" s="1957"/>
      <c r="E734" s="1957"/>
      <c r="F734" s="1958"/>
      <c r="G734" s="624">
        <f>SUM(G719:G733)</f>
        <v>1643775000</v>
      </c>
      <c r="H734" s="505"/>
      <c r="I734" s="506"/>
      <c r="J734" s="507"/>
      <c r="K734" s="507"/>
      <c r="L734" s="505"/>
      <c r="M734" s="684"/>
      <c r="N734" s="508"/>
      <c r="O734" s="507"/>
      <c r="P734" s="749"/>
      <c r="Q734" s="510"/>
      <c r="R734" s="511"/>
      <c r="S734" s="512"/>
      <c r="T734" s="512"/>
      <c r="U734" s="610">
        <f>SUM(U719:U733)</f>
        <v>1643775000</v>
      </c>
      <c r="V734" s="513"/>
      <c r="W734" s="610">
        <f>G734-U734</f>
        <v>0</v>
      </c>
      <c r="X734" s="514"/>
      <c r="Y734" s="515"/>
      <c r="Z734" s="515"/>
      <c r="AA734" s="515"/>
      <c r="AB734" s="515"/>
      <c r="AC734" s="515"/>
      <c r="AD734" s="570"/>
      <c r="AE734" s="515"/>
      <c r="AF734" s="570">
        <v>4965000880</v>
      </c>
      <c r="AG734" s="515"/>
      <c r="AH734" s="515"/>
      <c r="AI734" s="516"/>
      <c r="AJ734" s="517"/>
      <c r="AK734" s="518"/>
      <c r="AL734" s="519"/>
      <c r="AM734" s="520"/>
      <c r="AN734" s="521"/>
      <c r="AO734" s="520"/>
      <c r="AP734" s="515"/>
      <c r="AQ734" s="522"/>
      <c r="AR734" s="517"/>
      <c r="AS734" s="517"/>
      <c r="AT734" s="515"/>
      <c r="AU734" s="522"/>
      <c r="AV734" s="517"/>
      <c r="AW734" s="523"/>
      <c r="AX734" s="515"/>
      <c r="AY734" s="522"/>
      <c r="AZ734" s="517"/>
      <c r="BA734" s="524"/>
      <c r="BB734" s="520"/>
      <c r="BC734" s="525"/>
      <c r="BD734" s="525"/>
      <c r="BG734" s="527"/>
    </row>
    <row r="735" spans="1:59" ht="18" customHeight="1" x14ac:dyDescent="0.2"/>
    <row r="736" spans="1:59" ht="18" customHeight="1" x14ac:dyDescent="0.2"/>
    <row r="737" spans="1:59" s="422" customFormat="1" ht="18" customHeight="1" x14ac:dyDescent="0.2">
      <c r="A737" s="1366">
        <f>C737</f>
        <v>117</v>
      </c>
      <c r="B737" s="742" t="s">
        <v>4187</v>
      </c>
      <c r="C737" s="556">
        <v>117</v>
      </c>
      <c r="D737" s="553" t="str">
        <f>VLOOKUP(C737,RUAS,2,FALSE)</f>
        <v>KAMPUNG BARU TOAR - GUNUNG</v>
      </c>
      <c r="E737" s="553"/>
      <c r="F737" s="421"/>
      <c r="G737" s="611"/>
      <c r="I737" s="423"/>
      <c r="J737" s="424"/>
      <c r="K737" s="424"/>
      <c r="M737" s="680"/>
      <c r="P737" s="611"/>
      <c r="U737" s="611"/>
      <c r="W737" s="611"/>
      <c r="Y737" s="425"/>
      <c r="Z737" s="425"/>
      <c r="AA737" s="425"/>
      <c r="AB737" s="425"/>
      <c r="AC737" s="425"/>
      <c r="AD737" s="563"/>
      <c r="AE737" s="425"/>
      <c r="AF737" s="563"/>
      <c r="AG737" s="425"/>
      <c r="AH737" s="425"/>
      <c r="AI737" s="425"/>
      <c r="AJ737" s="425"/>
      <c r="AK737" s="425"/>
      <c r="AL737" s="425"/>
      <c r="AM737" s="425"/>
      <c r="AN737" s="425"/>
      <c r="AO737" s="425"/>
      <c r="AP737" s="425"/>
      <c r="AQ737" s="425"/>
      <c r="AR737" s="425"/>
      <c r="AS737" s="425"/>
      <c r="AT737" s="425"/>
      <c r="AU737" s="425"/>
      <c r="AV737" s="425"/>
      <c r="AW737" s="425"/>
      <c r="AX737" s="425"/>
      <c r="AY737" s="425"/>
      <c r="AZ737" s="425"/>
      <c r="BA737" s="425"/>
      <c r="BB737" s="425"/>
    </row>
    <row r="738" spans="1:59" s="431" customFormat="1" ht="18" customHeight="1" x14ac:dyDescent="0.2">
      <c r="A738" s="1367"/>
      <c r="B738" s="1968" t="s">
        <v>5</v>
      </c>
      <c r="C738" s="1968" t="s">
        <v>2280</v>
      </c>
      <c r="D738" s="1968" t="s">
        <v>4157</v>
      </c>
      <c r="E738" s="1968" t="s">
        <v>4158</v>
      </c>
      <c r="F738" s="1968"/>
      <c r="G738" s="1969" t="s">
        <v>4159</v>
      </c>
      <c r="H738" s="1968" t="s">
        <v>4160</v>
      </c>
      <c r="I738" s="1968"/>
      <c r="J738" s="1968" t="s">
        <v>4185</v>
      </c>
      <c r="K738" s="1964" t="s">
        <v>4162</v>
      </c>
      <c r="L738" s="1968" t="s">
        <v>4163</v>
      </c>
      <c r="M738" s="1971" t="s">
        <v>4164</v>
      </c>
      <c r="N738" s="1962" t="s">
        <v>4165</v>
      </c>
      <c r="O738" s="1968" t="s">
        <v>4166</v>
      </c>
      <c r="P738" s="1972" t="s">
        <v>4167</v>
      </c>
      <c r="Q738" s="1973"/>
      <c r="R738" s="636" t="s">
        <v>4186</v>
      </c>
      <c r="S738" s="1972" t="s">
        <v>4169</v>
      </c>
      <c r="T738" s="1974"/>
      <c r="U738" s="1973"/>
      <c r="V738" s="1975" t="s">
        <v>4170</v>
      </c>
      <c r="W738" s="1975"/>
      <c r="X738" s="1960" t="s">
        <v>4171</v>
      </c>
      <c r="Y738" s="1959"/>
      <c r="Z738" s="633"/>
      <c r="AA738" s="426"/>
      <c r="AB738" s="426"/>
      <c r="AC738" s="426"/>
      <c r="AD738" s="564"/>
      <c r="AE738" s="426"/>
      <c r="AF738" s="564"/>
      <c r="AG738" s="426"/>
      <c r="AH738" s="426"/>
      <c r="AI738" s="427"/>
      <c r="AJ738" s="427"/>
      <c r="AK738" s="427"/>
      <c r="AL738" s="427"/>
      <c r="AM738" s="428"/>
      <c r="AN738" s="427"/>
      <c r="AO738" s="427"/>
      <c r="AP738" s="426"/>
      <c r="AQ738" s="427"/>
      <c r="AR738" s="427"/>
      <c r="AS738" s="427"/>
      <c r="AT738" s="426"/>
      <c r="AU738" s="427"/>
      <c r="AV738" s="427"/>
      <c r="AW738" s="427"/>
      <c r="AX738" s="426"/>
      <c r="AY738" s="427"/>
      <c r="AZ738" s="427"/>
      <c r="BA738" s="427"/>
      <c r="BB738" s="429"/>
      <c r="BC738" s="430"/>
      <c r="BD738" s="430"/>
    </row>
    <row r="739" spans="1:59" s="431" customFormat="1" ht="18" customHeight="1" x14ac:dyDescent="0.2">
      <c r="A739" s="1367"/>
      <c r="B739" s="1968"/>
      <c r="C739" s="1968"/>
      <c r="D739" s="1968"/>
      <c r="E739" s="1968"/>
      <c r="F739" s="1968"/>
      <c r="G739" s="1969"/>
      <c r="H739" s="1968"/>
      <c r="I739" s="1968"/>
      <c r="J739" s="1968"/>
      <c r="K739" s="1970"/>
      <c r="L739" s="1968"/>
      <c r="M739" s="1971"/>
      <c r="N739" s="1963"/>
      <c r="O739" s="1968"/>
      <c r="P739" s="2037" t="s">
        <v>4172</v>
      </c>
      <c r="Q739" s="1960" t="s">
        <v>4173</v>
      </c>
      <c r="R739" s="1962" t="s">
        <v>4159</v>
      </c>
      <c r="S739" s="1962" t="s">
        <v>4174</v>
      </c>
      <c r="T739" s="1964" t="s">
        <v>4175</v>
      </c>
      <c r="U739" s="1966" t="s">
        <v>4159</v>
      </c>
      <c r="V739" s="1975"/>
      <c r="W739" s="1975"/>
      <c r="X739" s="1976"/>
      <c r="Y739" s="1959"/>
      <c r="Z739" s="633"/>
      <c r="AA739" s="426"/>
      <c r="AB739" s="426"/>
      <c r="AC739" s="426"/>
      <c r="AD739" s="564"/>
      <c r="AE739" s="426"/>
      <c r="AF739" s="564"/>
      <c r="AG739" s="426"/>
      <c r="AH739" s="426"/>
      <c r="AI739" s="427"/>
      <c r="AJ739" s="427"/>
      <c r="AK739" s="426"/>
      <c r="AL739" s="427"/>
      <c r="AM739" s="428"/>
      <c r="AN739" s="427"/>
      <c r="AO739" s="427"/>
      <c r="AP739" s="432"/>
      <c r="AQ739" s="427"/>
      <c r="AR739" s="427"/>
      <c r="AS739" s="427"/>
      <c r="AT739" s="432"/>
      <c r="AU739" s="427"/>
      <c r="AV739" s="427"/>
      <c r="AW739" s="427"/>
      <c r="AX739" s="432"/>
      <c r="AY739" s="427"/>
      <c r="AZ739" s="427"/>
      <c r="BA739" s="427"/>
      <c r="BB739" s="429"/>
      <c r="BC739" s="430"/>
      <c r="BD739" s="430"/>
    </row>
    <row r="740" spans="1:59" s="431" customFormat="1" ht="18" customHeight="1" x14ac:dyDescent="0.2">
      <c r="A740" s="1367"/>
      <c r="B740" s="1968"/>
      <c r="C740" s="1968"/>
      <c r="D740" s="1968"/>
      <c r="E740" s="433" t="s">
        <v>4176</v>
      </c>
      <c r="F740" s="434" t="s">
        <v>2288</v>
      </c>
      <c r="G740" s="1969"/>
      <c r="H740" s="635" t="s">
        <v>2288</v>
      </c>
      <c r="I740" s="635" t="s">
        <v>4177</v>
      </c>
      <c r="J740" s="1968"/>
      <c r="K740" s="1965"/>
      <c r="L740" s="435" t="s">
        <v>2288</v>
      </c>
      <c r="M740" s="681" t="s">
        <v>2288</v>
      </c>
      <c r="N740" s="635" t="s">
        <v>2288</v>
      </c>
      <c r="O740" s="1968"/>
      <c r="P740" s="2038"/>
      <c r="Q740" s="1961"/>
      <c r="R740" s="1963"/>
      <c r="S740" s="1963"/>
      <c r="T740" s="1965"/>
      <c r="U740" s="1967"/>
      <c r="V740" s="635" t="s">
        <v>4178</v>
      </c>
      <c r="W740" s="637" t="s">
        <v>4159</v>
      </c>
      <c r="X740" s="1961"/>
      <c r="Y740" s="436"/>
      <c r="Z740" s="436"/>
      <c r="AA740" s="426"/>
      <c r="AB740" s="426"/>
      <c r="AC740" s="426"/>
      <c r="AD740" s="564"/>
      <c r="AE740" s="426"/>
      <c r="AF740" s="564"/>
      <c r="AG740" s="426"/>
      <c r="AH740" s="426"/>
      <c r="AI740" s="427"/>
      <c r="AJ740" s="432"/>
      <c r="AK740" s="432"/>
      <c r="AL740" s="427"/>
      <c r="AM740" s="428"/>
      <c r="AN740" s="432"/>
      <c r="AO740" s="427"/>
      <c r="AP740" s="432"/>
      <c r="AQ740" s="432"/>
      <c r="AR740" s="427"/>
      <c r="AS740" s="427"/>
      <c r="AT740" s="432"/>
      <c r="AU740" s="432"/>
      <c r="AV740" s="427"/>
      <c r="AW740" s="427"/>
      <c r="AX740" s="432"/>
      <c r="AY740" s="432"/>
      <c r="AZ740" s="427"/>
      <c r="BA740" s="427"/>
      <c r="BB740" s="429"/>
      <c r="BC740" s="430"/>
      <c r="BD740" s="430"/>
    </row>
    <row r="741" spans="1:59" s="461" customFormat="1" ht="18" customHeight="1" x14ac:dyDescent="0.2">
      <c r="A741" s="1368" t="str">
        <f>$D$737&amp;S741</f>
        <v>KAMPUNG BARU TOAR - GUNUNG2001</v>
      </c>
      <c r="B741" s="1373">
        <v>1</v>
      </c>
      <c r="C741" s="532" t="s">
        <v>529</v>
      </c>
      <c r="D741" s="437" t="s">
        <v>2494</v>
      </c>
      <c r="E741" s="438"/>
      <c r="F741" s="439">
        <v>2001</v>
      </c>
      <c r="G741" s="623">
        <f>1248000000+1248000000</f>
        <v>2496000000</v>
      </c>
      <c r="H741" s="440">
        <f>VLOOKUP(LEFT(D741,8),UE,4)</f>
        <v>10</v>
      </c>
      <c r="I741" s="441"/>
      <c r="J741" s="442">
        <f t="shared" ref="J741:J751" si="555">F741+N741-1</f>
        <v>2010</v>
      </c>
      <c r="K741" s="443"/>
      <c r="L741" s="440"/>
      <c r="M741" s="746">
        <f>IF(H741+L741&gt;$H741,$H741-H741,L741)</f>
        <v>0</v>
      </c>
      <c r="N741" s="444">
        <f>H741+M741</f>
        <v>10</v>
      </c>
      <c r="O741" s="442">
        <f t="shared" ref="O741:O751" si="556">F741+N741-1</f>
        <v>2010</v>
      </c>
      <c r="P741" s="617">
        <f>G741</f>
        <v>2496000000</v>
      </c>
      <c r="Q741" s="445">
        <v>0</v>
      </c>
      <c r="R741" s="445">
        <f>P741/N741</f>
        <v>249600000</v>
      </c>
      <c r="S741" s="446">
        <f t="shared" ref="S741:S751" si="557">F741</f>
        <v>2001</v>
      </c>
      <c r="T741" s="447">
        <v>1</v>
      </c>
      <c r="U741" s="613">
        <f t="shared" ref="U741:U751" si="558">R741*T741</f>
        <v>249600000</v>
      </c>
      <c r="V741" s="442">
        <f t="shared" ref="V741:V751" si="559">F741</f>
        <v>2001</v>
      </c>
      <c r="W741" s="617">
        <f>IF(OR(AND(ISBLANK(E741),ISBLANK(G741)),ISTEXT(E741),ISTEXT(G741)),"",G741-R741)</f>
        <v>2246400000</v>
      </c>
      <c r="X741" s="448"/>
      <c r="Y741" s="449"/>
      <c r="Z741" s="449"/>
      <c r="AA741" s="693"/>
      <c r="AB741" s="452"/>
      <c r="AC741" s="452"/>
      <c r="AD741" s="571"/>
      <c r="AE741" s="452"/>
      <c r="AF741" s="571"/>
      <c r="AG741" s="452"/>
      <c r="AH741" s="452"/>
      <c r="AI741" s="453"/>
      <c r="AJ741" s="449"/>
      <c r="AK741" s="453"/>
      <c r="AL741" s="454"/>
      <c r="AM741" s="455"/>
      <c r="AN741" s="456"/>
      <c r="AO741" s="455"/>
      <c r="AP741" s="452"/>
      <c r="AQ741" s="457"/>
      <c r="AR741" s="449"/>
      <c r="AS741" s="449"/>
      <c r="AT741" s="452"/>
      <c r="AU741" s="457"/>
      <c r="AV741" s="449"/>
      <c r="AW741" s="458"/>
      <c r="AX741" s="452"/>
      <c r="AY741" s="457"/>
      <c r="AZ741" s="449"/>
      <c r="BA741" s="459"/>
      <c r="BB741" s="455"/>
      <c r="BC741" s="460"/>
      <c r="BD741" s="460"/>
      <c r="BG741" s="462"/>
    </row>
    <row r="742" spans="1:59" s="461" customFormat="1" ht="18" customHeight="1" x14ac:dyDescent="0.2">
      <c r="A742" s="1368" t="str">
        <f t="shared" ref="A742:A751" si="560">$D$737&amp;S742</f>
        <v>KAMPUNG BARU TOAR - GUNUNG2010</v>
      </c>
      <c r="B742" s="1373"/>
      <c r="C742" s="488"/>
      <c r="D742" s="489"/>
      <c r="E742" s="558"/>
      <c r="F742" s="559">
        <v>2010</v>
      </c>
      <c r="G742" s="619">
        <v>0</v>
      </c>
      <c r="H742" s="464">
        <f t="shared" ref="H742:H750" si="561">IF(N741-(F742-F741)&lt;=0,0,(N741-(F742-F741)))</f>
        <v>1</v>
      </c>
      <c r="I742" s="560"/>
      <c r="J742" s="468">
        <f t="shared" si="555"/>
        <v>2010</v>
      </c>
      <c r="K742" s="490">
        <f t="shared" ref="K742:K751" si="562">IF(G742=0,0,IF(H742=10,100%,G742/W741))</f>
        <v>0</v>
      </c>
      <c r="L742" s="469">
        <f t="shared" ref="L742:L751" si="563">IF(K742=0%,0,IF(K742&lt;=30%,2,IF(K742&lt;=60%,5,10)))</f>
        <v>0</v>
      </c>
      <c r="M742" s="683">
        <f t="shared" ref="M742:M751" si="564">IF(OR(AND(ISBLANK(E742),ISBLANK(G742)),ISTEXT(E742),ISTEXT(G742)),"",IF(H742+L742&gt;$H$8,$H$8-H742,L742))</f>
        <v>0</v>
      </c>
      <c r="N742" s="470">
        <f t="shared" ref="N742:N751" si="565">IF(OR(AND(ISBLANK(F742),ISBLANK(G742)),ISTEXT(F742),ISTEXT(G742)),"",H742+M742)</f>
        <v>1</v>
      </c>
      <c r="O742" s="468">
        <f t="shared" si="556"/>
        <v>2010</v>
      </c>
      <c r="P742" s="616">
        <f t="shared" ref="P742:P751" si="566">W741</f>
        <v>2246400000</v>
      </c>
      <c r="Q742" s="472">
        <f t="shared" ref="Q742:Q751" si="567">P742+G742</f>
        <v>2246400000</v>
      </c>
      <c r="R742" s="472">
        <f>IF(L742=0,R741,Q742/N742)</f>
        <v>249600000</v>
      </c>
      <c r="S742" s="634">
        <f t="shared" si="557"/>
        <v>2010</v>
      </c>
      <c r="T742" s="470">
        <f t="shared" ref="T742:T751" si="568">S742-S741</f>
        <v>9</v>
      </c>
      <c r="U742" s="612">
        <f t="shared" si="558"/>
        <v>2246400000</v>
      </c>
      <c r="V742" s="464">
        <f t="shared" si="559"/>
        <v>2010</v>
      </c>
      <c r="W742" s="612">
        <f t="shared" ref="W742:W751" si="569">IF(OR(AND(ISBLANK(E742),ISBLANK(G742)),ISTEXT(E742),ISTEXT(G742)),"",Q742-U742)</f>
        <v>0</v>
      </c>
      <c r="X742" s="561"/>
      <c r="Y742" s="449"/>
      <c r="Z742" s="449"/>
      <c r="AA742" s="693"/>
      <c r="AB742" s="452"/>
      <c r="AC742" s="452"/>
      <c r="AD742" s="571"/>
      <c r="AE742" s="452"/>
      <c r="AF742" s="571"/>
      <c r="AG742" s="452"/>
      <c r="AH742" s="452"/>
      <c r="AI742" s="453"/>
      <c r="AJ742" s="449"/>
      <c r="AK742" s="453"/>
      <c r="AL742" s="454"/>
      <c r="AM742" s="455"/>
      <c r="AN742" s="456"/>
      <c r="AO742" s="455"/>
      <c r="AP742" s="452"/>
      <c r="AQ742" s="457"/>
      <c r="AR742" s="449"/>
      <c r="AS742" s="449"/>
      <c r="AT742" s="452"/>
      <c r="AU742" s="457"/>
      <c r="AV742" s="449"/>
      <c r="AW742" s="458"/>
      <c r="AX742" s="452"/>
      <c r="AY742" s="457"/>
      <c r="AZ742" s="449"/>
      <c r="BA742" s="459"/>
      <c r="BB742" s="455"/>
      <c r="BC742" s="460"/>
      <c r="BD742" s="460"/>
      <c r="BG742" s="462"/>
    </row>
    <row r="743" spans="1:59" s="461" customFormat="1" ht="18" customHeight="1" x14ac:dyDescent="0.2">
      <c r="A743" s="1368" t="str">
        <f t="shared" si="560"/>
        <v>KAMPUNG BARU TOAR - GUNUNG2011</v>
      </c>
      <c r="B743" s="1373"/>
      <c r="C743" s="488"/>
      <c r="D743" s="489"/>
      <c r="E743" s="558"/>
      <c r="F743" s="559">
        <v>2011</v>
      </c>
      <c r="G743" s="619">
        <v>0</v>
      </c>
      <c r="H743" s="464">
        <f>IF(N742-(F743-F742)&lt;=0,0,(N742-(F743-F742)))</f>
        <v>0</v>
      </c>
      <c r="I743" s="560"/>
      <c r="J743" s="468">
        <f t="shared" si="555"/>
        <v>2010</v>
      </c>
      <c r="K743" s="490">
        <f t="shared" si="562"/>
        <v>0</v>
      </c>
      <c r="L743" s="469">
        <f t="shared" si="563"/>
        <v>0</v>
      </c>
      <c r="M743" s="683">
        <f t="shared" si="564"/>
        <v>0</v>
      </c>
      <c r="N743" s="470">
        <f t="shared" si="565"/>
        <v>0</v>
      </c>
      <c r="O743" s="468">
        <f t="shared" si="556"/>
        <v>2010</v>
      </c>
      <c r="P743" s="616">
        <f t="shared" si="566"/>
        <v>0</v>
      </c>
      <c r="Q743" s="472">
        <f t="shared" si="567"/>
        <v>0</v>
      </c>
      <c r="R743" s="472">
        <v>0</v>
      </c>
      <c r="S743" s="754">
        <f t="shared" si="557"/>
        <v>2011</v>
      </c>
      <c r="T743" s="470">
        <f t="shared" si="568"/>
        <v>1</v>
      </c>
      <c r="U743" s="612">
        <f t="shared" si="558"/>
        <v>0</v>
      </c>
      <c r="V743" s="464">
        <f t="shared" si="559"/>
        <v>2011</v>
      </c>
      <c r="W743" s="612">
        <f t="shared" si="569"/>
        <v>0</v>
      </c>
      <c r="X743" s="561"/>
      <c r="Y743" s="449"/>
      <c r="Z743" s="449"/>
      <c r="AA743" s="693"/>
      <c r="AB743" s="452"/>
      <c r="AC743" s="452"/>
      <c r="AD743" s="571"/>
      <c r="AE743" s="452"/>
      <c r="AF743" s="571"/>
      <c r="AG743" s="452"/>
      <c r="AH743" s="452"/>
      <c r="AI743" s="453"/>
      <c r="AJ743" s="449"/>
      <c r="AK743" s="453"/>
      <c r="AL743" s="454"/>
      <c r="AM743" s="455"/>
      <c r="AN743" s="456"/>
      <c r="AO743" s="455"/>
      <c r="AP743" s="452"/>
      <c r="AQ743" s="457"/>
      <c r="AR743" s="449"/>
      <c r="AS743" s="449"/>
      <c r="AT743" s="452"/>
      <c r="AU743" s="457"/>
      <c r="AV743" s="449"/>
      <c r="AW743" s="458"/>
      <c r="AX743" s="452"/>
      <c r="AY743" s="457"/>
      <c r="AZ743" s="449"/>
      <c r="BA743" s="459"/>
      <c r="BB743" s="455"/>
      <c r="BC743" s="460"/>
      <c r="BD743" s="460"/>
      <c r="BG743" s="462"/>
    </row>
    <row r="744" spans="1:59" s="461" customFormat="1" ht="18" customHeight="1" x14ac:dyDescent="0.2">
      <c r="A744" s="1368" t="str">
        <f t="shared" si="560"/>
        <v>KAMPUNG BARU TOAR - GUNUNG2012</v>
      </c>
      <c r="B744" s="1373"/>
      <c r="C744" s="488"/>
      <c r="D744" s="489"/>
      <c r="E744" s="558"/>
      <c r="F744" s="559">
        <v>2012</v>
      </c>
      <c r="G744" s="619">
        <v>0</v>
      </c>
      <c r="H744" s="464">
        <f>IF(N743-(F744-F743)&lt;=0,0,(N743-(F744-F743)))</f>
        <v>0</v>
      </c>
      <c r="I744" s="560"/>
      <c r="J744" s="468">
        <f t="shared" si="555"/>
        <v>2011</v>
      </c>
      <c r="K744" s="490">
        <f t="shared" si="562"/>
        <v>0</v>
      </c>
      <c r="L744" s="469">
        <f t="shared" si="563"/>
        <v>0</v>
      </c>
      <c r="M744" s="683">
        <f t="shared" si="564"/>
        <v>0</v>
      </c>
      <c r="N744" s="470">
        <f t="shared" si="565"/>
        <v>0</v>
      </c>
      <c r="O744" s="468">
        <f t="shared" si="556"/>
        <v>2011</v>
      </c>
      <c r="P744" s="616">
        <f t="shared" si="566"/>
        <v>0</v>
      </c>
      <c r="Q744" s="472">
        <f t="shared" si="567"/>
        <v>0</v>
      </c>
      <c r="R744" s="472">
        <f t="shared" ref="R744:R751" si="570">IF(L744=0,R743,Q744/N744)</f>
        <v>0</v>
      </c>
      <c r="S744" s="754">
        <f t="shared" si="557"/>
        <v>2012</v>
      </c>
      <c r="T744" s="470">
        <f t="shared" si="568"/>
        <v>1</v>
      </c>
      <c r="U744" s="612">
        <f t="shared" si="558"/>
        <v>0</v>
      </c>
      <c r="V744" s="464">
        <f t="shared" si="559"/>
        <v>2012</v>
      </c>
      <c r="W744" s="612">
        <f t="shared" si="569"/>
        <v>0</v>
      </c>
      <c r="X744" s="561"/>
      <c r="Y744" s="449"/>
      <c r="Z744" s="449"/>
      <c r="AA744" s="693"/>
      <c r="AB744" s="452"/>
      <c r="AC744" s="452"/>
      <c r="AD744" s="571"/>
      <c r="AE744" s="452"/>
      <c r="AF744" s="571"/>
      <c r="AG744" s="452"/>
      <c r="AH744" s="452"/>
      <c r="AI744" s="453"/>
      <c r="AJ744" s="449"/>
      <c r="AK744" s="453"/>
      <c r="AL744" s="454"/>
      <c r="AM744" s="455"/>
      <c r="AN744" s="456"/>
      <c r="AO744" s="455"/>
      <c r="AP744" s="452"/>
      <c r="AQ744" s="457"/>
      <c r="AR744" s="449"/>
      <c r="AS744" s="449"/>
      <c r="AT744" s="452"/>
      <c r="AU744" s="457"/>
      <c r="AV744" s="449"/>
      <c r="AW744" s="458"/>
      <c r="AX744" s="452"/>
      <c r="AY744" s="457"/>
      <c r="AZ744" s="449"/>
      <c r="BA744" s="459"/>
      <c r="BB744" s="455"/>
      <c r="BC744" s="460"/>
      <c r="BD744" s="460"/>
      <c r="BG744" s="462"/>
    </row>
    <row r="745" spans="1:59" s="486" customFormat="1" ht="18" customHeight="1" x14ac:dyDescent="0.2">
      <c r="A745" s="1368" t="str">
        <f t="shared" si="560"/>
        <v>KAMPUNG BARU TOAR - GUNUNG2013</v>
      </c>
      <c r="B745" s="1373">
        <v>2</v>
      </c>
      <c r="C745" s="488" t="s">
        <v>1291</v>
      </c>
      <c r="D745" s="489" t="s">
        <v>2494</v>
      </c>
      <c r="E745" s="558"/>
      <c r="F745" s="559">
        <v>2013</v>
      </c>
      <c r="G745" s="619">
        <v>1701051417</v>
      </c>
      <c r="H745" s="557">
        <f>VLOOKUP(LEFT(D745,8),UE,4)</f>
        <v>10</v>
      </c>
      <c r="I745" s="467"/>
      <c r="J745" s="468">
        <f t="shared" si="555"/>
        <v>2022</v>
      </c>
      <c r="K745" s="490">
        <f t="shared" si="562"/>
        <v>1</v>
      </c>
      <c r="L745" s="469">
        <f t="shared" si="563"/>
        <v>10</v>
      </c>
      <c r="M745" s="683">
        <f t="shared" si="564"/>
        <v>0</v>
      </c>
      <c r="N745" s="470">
        <f t="shared" si="565"/>
        <v>10</v>
      </c>
      <c r="O745" s="468">
        <f t="shared" si="556"/>
        <v>2022</v>
      </c>
      <c r="P745" s="616">
        <f t="shared" si="566"/>
        <v>0</v>
      </c>
      <c r="Q745" s="472">
        <f t="shared" si="567"/>
        <v>1701051417</v>
      </c>
      <c r="R745" s="472">
        <f t="shared" si="570"/>
        <v>170105141.69999999</v>
      </c>
      <c r="S745" s="754">
        <f t="shared" si="557"/>
        <v>2013</v>
      </c>
      <c r="T745" s="470">
        <f t="shared" si="568"/>
        <v>1</v>
      </c>
      <c r="U745" s="612">
        <f t="shared" si="558"/>
        <v>170105141.69999999</v>
      </c>
      <c r="V745" s="464">
        <f t="shared" si="559"/>
        <v>2013</v>
      </c>
      <c r="W745" s="612">
        <f t="shared" si="569"/>
        <v>1530946275.3</v>
      </c>
      <c r="X745" s="473"/>
      <c r="Y745" s="474"/>
      <c r="Z745" s="449"/>
      <c r="AA745" s="739"/>
      <c r="AB745" s="496"/>
      <c r="AC745" s="496"/>
      <c r="AD745" s="740"/>
      <c r="AE745" s="476"/>
      <c r="AF745" s="568"/>
      <c r="AG745" s="476"/>
      <c r="AH745" s="476"/>
      <c r="AI745" s="477"/>
      <c r="AJ745" s="478"/>
      <c r="AK745" s="479"/>
      <c r="AL745" s="480"/>
      <c r="AM745" s="474"/>
      <c r="AN745" s="481"/>
      <c r="AO745" s="474"/>
      <c r="AP745" s="476"/>
      <c r="AQ745" s="482"/>
      <c r="AR745" s="478"/>
      <c r="AS745" s="478"/>
      <c r="AT745" s="476"/>
      <c r="AU745" s="482"/>
      <c r="AV745" s="478"/>
      <c r="AW745" s="483"/>
      <c r="AX745" s="476"/>
      <c r="AY745" s="482"/>
      <c r="AZ745" s="478"/>
      <c r="BA745" s="484"/>
      <c r="BB745" s="474"/>
      <c r="BC745" s="485"/>
      <c r="BD745" s="485"/>
      <c r="BG745" s="487"/>
    </row>
    <row r="746" spans="1:59" s="486" customFormat="1" ht="18" customHeight="1" x14ac:dyDescent="0.2">
      <c r="A746" s="1368" t="str">
        <f t="shared" si="560"/>
        <v>KAMPUNG BARU TOAR - GUNUNG2014</v>
      </c>
      <c r="B746" s="1373"/>
      <c r="C746" s="463"/>
      <c r="D746" s="489"/>
      <c r="E746" s="465"/>
      <c r="F746" s="466">
        <v>2014</v>
      </c>
      <c r="G746" s="620">
        <v>0</v>
      </c>
      <c r="H746" s="464">
        <f t="shared" si="561"/>
        <v>9</v>
      </c>
      <c r="I746" s="467"/>
      <c r="J746" s="468">
        <f t="shared" si="555"/>
        <v>2022</v>
      </c>
      <c r="K746" s="490">
        <f t="shared" si="562"/>
        <v>0</v>
      </c>
      <c r="L746" s="469">
        <f t="shared" si="563"/>
        <v>0</v>
      </c>
      <c r="M746" s="683">
        <f t="shared" si="564"/>
        <v>0</v>
      </c>
      <c r="N746" s="470">
        <f t="shared" si="565"/>
        <v>9</v>
      </c>
      <c r="O746" s="468">
        <f t="shared" si="556"/>
        <v>2022</v>
      </c>
      <c r="P746" s="616">
        <f t="shared" si="566"/>
        <v>1530946275.3</v>
      </c>
      <c r="Q746" s="472">
        <f t="shared" si="567"/>
        <v>1530946275.3</v>
      </c>
      <c r="R746" s="472">
        <f t="shared" si="570"/>
        <v>170105141.69999999</v>
      </c>
      <c r="S746" s="754">
        <f t="shared" si="557"/>
        <v>2014</v>
      </c>
      <c r="T746" s="470">
        <f t="shared" si="568"/>
        <v>1</v>
      </c>
      <c r="U746" s="612">
        <f t="shared" si="558"/>
        <v>170105141.69999999</v>
      </c>
      <c r="V746" s="464">
        <f t="shared" si="559"/>
        <v>2014</v>
      </c>
      <c r="W746" s="612">
        <f t="shared" si="569"/>
        <v>1360841133.5999999</v>
      </c>
      <c r="X746" s="473"/>
      <c r="Y746" s="478"/>
      <c r="Z746" s="449"/>
      <c r="AA746" s="554" t="s">
        <v>4179</v>
      </c>
      <c r="AB746" s="491"/>
      <c r="AC746" s="491"/>
      <c r="AD746" s="567"/>
      <c r="AE746" s="491"/>
      <c r="AF746" s="568"/>
      <c r="AG746" s="491"/>
      <c r="AH746" s="491"/>
      <c r="AI746" s="477"/>
      <c r="AJ746" s="478"/>
      <c r="AK746" s="479"/>
      <c r="AL746" s="480"/>
      <c r="AM746" s="474"/>
      <c r="AN746" s="481"/>
      <c r="AO746" s="474"/>
      <c r="AP746" s="476"/>
      <c r="AQ746" s="482"/>
      <c r="AR746" s="478"/>
      <c r="AS746" s="478"/>
      <c r="AT746" s="476"/>
      <c r="AU746" s="482"/>
      <c r="AV746" s="478"/>
      <c r="AW746" s="483"/>
      <c r="AX746" s="476"/>
      <c r="AY746" s="482"/>
      <c r="AZ746" s="478"/>
      <c r="BA746" s="484"/>
      <c r="BB746" s="474"/>
      <c r="BC746" s="485"/>
      <c r="BD746" s="485"/>
      <c r="BG746" s="487"/>
    </row>
    <row r="747" spans="1:59" s="486" customFormat="1" ht="18" customHeight="1" x14ac:dyDescent="0.2">
      <c r="A747" s="1368" t="str">
        <f t="shared" si="560"/>
        <v>KAMPUNG BARU TOAR - GUNUNG2015</v>
      </c>
      <c r="B747" s="1373"/>
      <c r="C747" s="463"/>
      <c r="D747" s="489"/>
      <c r="E747" s="465"/>
      <c r="F747" s="559">
        <v>2015</v>
      </c>
      <c r="G747" s="620">
        <v>0</v>
      </c>
      <c r="H747" s="464">
        <f t="shared" si="561"/>
        <v>8</v>
      </c>
      <c r="I747" s="467"/>
      <c r="J747" s="468">
        <f t="shared" si="555"/>
        <v>2022</v>
      </c>
      <c r="K747" s="490">
        <f t="shared" si="562"/>
        <v>0</v>
      </c>
      <c r="L747" s="469">
        <f t="shared" si="563"/>
        <v>0</v>
      </c>
      <c r="M747" s="683">
        <f t="shared" si="564"/>
        <v>0</v>
      </c>
      <c r="N747" s="470">
        <f t="shared" si="565"/>
        <v>8</v>
      </c>
      <c r="O747" s="468">
        <f t="shared" si="556"/>
        <v>2022</v>
      </c>
      <c r="P747" s="616">
        <f t="shared" si="566"/>
        <v>1360841133.5999999</v>
      </c>
      <c r="Q747" s="472">
        <f t="shared" si="567"/>
        <v>1360841133.5999999</v>
      </c>
      <c r="R747" s="472">
        <f t="shared" si="570"/>
        <v>170105141.69999999</v>
      </c>
      <c r="S747" s="754">
        <f t="shared" si="557"/>
        <v>2015</v>
      </c>
      <c r="T747" s="470">
        <f t="shared" si="568"/>
        <v>1</v>
      </c>
      <c r="U747" s="612">
        <f t="shared" si="558"/>
        <v>170105141.69999999</v>
      </c>
      <c r="V747" s="464">
        <f t="shared" si="559"/>
        <v>2015</v>
      </c>
      <c r="W747" s="612">
        <f t="shared" si="569"/>
        <v>1190735991.8999999</v>
      </c>
      <c r="X747" s="473"/>
      <c r="Y747" s="478"/>
      <c r="Z747" s="449"/>
      <c r="AA747" s="492"/>
      <c r="AB747" s="476"/>
      <c r="AC747" s="476"/>
      <c r="AD747" s="567"/>
      <c r="AE747" s="476"/>
      <c r="AF747" s="568"/>
      <c r="AG747" s="476"/>
      <c r="AH747" s="476"/>
      <c r="AI747" s="477"/>
      <c r="AJ747" s="478"/>
      <c r="AK747" s="479"/>
      <c r="AL747" s="480"/>
      <c r="AM747" s="474"/>
      <c r="AN747" s="481"/>
      <c r="AO747" s="474"/>
      <c r="AP747" s="476"/>
      <c r="AQ747" s="482"/>
      <c r="AR747" s="478"/>
      <c r="AS747" s="478"/>
      <c r="AT747" s="476"/>
      <c r="AU747" s="482"/>
      <c r="AV747" s="478"/>
      <c r="AW747" s="483"/>
      <c r="AX747" s="476"/>
      <c r="AY747" s="482"/>
      <c r="AZ747" s="478"/>
      <c r="BA747" s="484"/>
      <c r="BB747" s="474"/>
      <c r="BC747" s="485"/>
      <c r="BD747" s="485"/>
      <c r="BG747" s="487"/>
    </row>
    <row r="748" spans="1:59" s="486" customFormat="1" ht="18" customHeight="1" x14ac:dyDescent="0.2">
      <c r="A748" s="1368" t="str">
        <f t="shared" si="560"/>
        <v>KAMPUNG BARU TOAR - GUNUNG2016</v>
      </c>
      <c r="B748" s="1373"/>
      <c r="C748" s="463"/>
      <c r="D748" s="489"/>
      <c r="E748" s="465"/>
      <c r="F748" s="466">
        <v>2016</v>
      </c>
      <c r="G748" s="620">
        <v>0</v>
      </c>
      <c r="H748" s="464">
        <f t="shared" si="561"/>
        <v>7</v>
      </c>
      <c r="I748" s="467"/>
      <c r="J748" s="468">
        <f t="shared" si="555"/>
        <v>2022</v>
      </c>
      <c r="K748" s="490">
        <f t="shared" si="562"/>
        <v>0</v>
      </c>
      <c r="L748" s="469">
        <f t="shared" si="563"/>
        <v>0</v>
      </c>
      <c r="M748" s="683">
        <f t="shared" si="564"/>
        <v>0</v>
      </c>
      <c r="N748" s="470">
        <f t="shared" si="565"/>
        <v>7</v>
      </c>
      <c r="O748" s="468">
        <f t="shared" si="556"/>
        <v>2022</v>
      </c>
      <c r="P748" s="616">
        <f t="shared" si="566"/>
        <v>1190735991.8999999</v>
      </c>
      <c r="Q748" s="472">
        <f t="shared" si="567"/>
        <v>1190735991.8999999</v>
      </c>
      <c r="R748" s="472">
        <f t="shared" si="570"/>
        <v>170105141.69999999</v>
      </c>
      <c r="S748" s="754">
        <f t="shared" si="557"/>
        <v>2016</v>
      </c>
      <c r="T748" s="470">
        <f t="shared" si="568"/>
        <v>1</v>
      </c>
      <c r="U748" s="612">
        <f t="shared" si="558"/>
        <v>170105141.69999999</v>
      </c>
      <c r="V748" s="464">
        <f t="shared" si="559"/>
        <v>2016</v>
      </c>
      <c r="W748" s="612">
        <f t="shared" si="569"/>
        <v>1020630850.1999998</v>
      </c>
      <c r="X748" s="473"/>
      <c r="Y748" s="478"/>
      <c r="Z748" s="449"/>
      <c r="AA748" s="475" t="s">
        <v>4180</v>
      </c>
      <c r="AB748" s="476"/>
      <c r="AC748" s="476"/>
      <c r="AD748" s="567">
        <f>G753</f>
        <v>6356100993</v>
      </c>
      <c r="AE748" s="476"/>
      <c r="AF748" s="568"/>
      <c r="AG748" s="476"/>
      <c r="AH748" s="476"/>
      <c r="AI748" s="477"/>
      <c r="AJ748" s="478"/>
      <c r="AK748" s="479"/>
      <c r="AL748" s="480"/>
      <c r="AM748" s="474"/>
      <c r="AN748" s="481"/>
      <c r="AO748" s="474"/>
      <c r="AP748" s="476"/>
      <c r="AQ748" s="482"/>
      <c r="AR748" s="478"/>
      <c r="AS748" s="478"/>
      <c r="AT748" s="476"/>
      <c r="AU748" s="482"/>
      <c r="AV748" s="478"/>
      <c r="AW748" s="483"/>
      <c r="AX748" s="476"/>
      <c r="AY748" s="482"/>
      <c r="AZ748" s="478"/>
      <c r="BA748" s="484"/>
      <c r="BB748" s="474"/>
      <c r="BC748" s="485"/>
      <c r="BD748" s="485"/>
      <c r="BG748" s="487"/>
    </row>
    <row r="749" spans="1:59" s="486" customFormat="1" ht="18" customHeight="1" x14ac:dyDescent="0.2">
      <c r="A749" s="1368" t="str">
        <f t="shared" si="560"/>
        <v>KAMPUNG BARU TOAR - GUNUNG2017</v>
      </c>
      <c r="B749" s="1373"/>
      <c r="C749" s="463"/>
      <c r="D749" s="489"/>
      <c r="E749" s="465"/>
      <c r="F749" s="559">
        <v>2017</v>
      </c>
      <c r="G749" s="620">
        <v>0</v>
      </c>
      <c r="H749" s="464">
        <f t="shared" si="561"/>
        <v>6</v>
      </c>
      <c r="I749" s="467"/>
      <c r="J749" s="468">
        <f t="shared" si="555"/>
        <v>2022</v>
      </c>
      <c r="K749" s="490">
        <f t="shared" si="562"/>
        <v>0</v>
      </c>
      <c r="L749" s="469">
        <f t="shared" si="563"/>
        <v>0</v>
      </c>
      <c r="M749" s="683">
        <f t="shared" si="564"/>
        <v>0</v>
      </c>
      <c r="N749" s="470">
        <f t="shared" si="565"/>
        <v>6</v>
      </c>
      <c r="O749" s="468">
        <f t="shared" si="556"/>
        <v>2022</v>
      </c>
      <c r="P749" s="616">
        <f t="shared" si="566"/>
        <v>1020630850.1999998</v>
      </c>
      <c r="Q749" s="472">
        <f t="shared" si="567"/>
        <v>1020630850.1999998</v>
      </c>
      <c r="R749" s="472">
        <f t="shared" si="570"/>
        <v>170105141.69999999</v>
      </c>
      <c r="S749" s="754">
        <f t="shared" si="557"/>
        <v>2017</v>
      </c>
      <c r="T749" s="470">
        <f t="shared" si="568"/>
        <v>1</v>
      </c>
      <c r="U749" s="612">
        <f t="shared" si="558"/>
        <v>170105141.69999999</v>
      </c>
      <c r="V749" s="464">
        <f t="shared" si="559"/>
        <v>2017</v>
      </c>
      <c r="W749" s="612">
        <f t="shared" si="569"/>
        <v>850525708.49999976</v>
      </c>
      <c r="X749" s="473"/>
      <c r="Y749" s="478"/>
      <c r="Z749" s="449"/>
      <c r="AA749" s="475" t="s">
        <v>4181</v>
      </c>
      <c r="AB749" s="491"/>
      <c r="AC749" s="491"/>
      <c r="AD749" s="567">
        <f>U753</f>
        <v>3948440765.3999987</v>
      </c>
      <c r="AE749" s="476"/>
      <c r="AF749" s="568"/>
      <c r="AG749" s="476"/>
      <c r="AH749" s="476"/>
      <c r="AI749" s="477"/>
      <c r="AJ749" s="478"/>
      <c r="AK749" s="479"/>
      <c r="AL749" s="480"/>
      <c r="AM749" s="474"/>
      <c r="AN749" s="481"/>
      <c r="AO749" s="474"/>
      <c r="AP749" s="476"/>
      <c r="AQ749" s="482"/>
      <c r="AR749" s="478"/>
      <c r="AS749" s="478"/>
      <c r="AT749" s="476"/>
      <c r="AU749" s="482"/>
      <c r="AV749" s="478"/>
      <c r="AW749" s="483"/>
      <c r="AX749" s="476"/>
      <c r="AY749" s="482"/>
      <c r="AZ749" s="478"/>
      <c r="BA749" s="484"/>
      <c r="BB749" s="474"/>
      <c r="BC749" s="485"/>
      <c r="BD749" s="485"/>
      <c r="BG749" s="487"/>
    </row>
    <row r="750" spans="1:59" s="486" customFormat="1" ht="18" customHeight="1" x14ac:dyDescent="0.2">
      <c r="A750" s="1368" t="str">
        <f t="shared" si="560"/>
        <v>KAMPUNG BARU TOAR - GUNUNG2018</v>
      </c>
      <c r="B750" s="1373">
        <v>3</v>
      </c>
      <c r="C750" s="463" t="s">
        <v>3312</v>
      </c>
      <c r="D750" s="489"/>
      <c r="E750" s="465"/>
      <c r="F750" s="466">
        <v>2018</v>
      </c>
      <c r="G750" s="620">
        <v>2159049576</v>
      </c>
      <c r="H750" s="464">
        <f t="shared" si="561"/>
        <v>5</v>
      </c>
      <c r="I750" s="467"/>
      <c r="J750" s="468">
        <f t="shared" si="555"/>
        <v>2027</v>
      </c>
      <c r="K750" s="490">
        <f t="shared" si="562"/>
        <v>2.5384883189571461</v>
      </c>
      <c r="L750" s="469">
        <f t="shared" si="563"/>
        <v>10</v>
      </c>
      <c r="M750" s="683">
        <f t="shared" si="564"/>
        <v>5</v>
      </c>
      <c r="N750" s="470">
        <f t="shared" si="565"/>
        <v>10</v>
      </c>
      <c r="O750" s="468">
        <f t="shared" si="556"/>
        <v>2027</v>
      </c>
      <c r="P750" s="616">
        <f t="shared" si="566"/>
        <v>850525708.49999976</v>
      </c>
      <c r="Q750" s="472">
        <f t="shared" si="567"/>
        <v>3009575284.5</v>
      </c>
      <c r="R750" s="472">
        <f t="shared" si="570"/>
        <v>300957528.44999999</v>
      </c>
      <c r="S750" s="754">
        <f t="shared" si="557"/>
        <v>2018</v>
      </c>
      <c r="T750" s="470">
        <f t="shared" si="568"/>
        <v>1</v>
      </c>
      <c r="U750" s="612">
        <f t="shared" si="558"/>
        <v>300957528.44999999</v>
      </c>
      <c r="V750" s="464">
        <f t="shared" si="559"/>
        <v>2018</v>
      </c>
      <c r="W750" s="612">
        <f t="shared" si="569"/>
        <v>2708617756.0500002</v>
      </c>
      <c r="X750" s="473"/>
      <c r="Y750" s="478"/>
      <c r="Z750" s="449"/>
      <c r="AA750" s="492" t="s">
        <v>4182</v>
      </c>
      <c r="AB750" s="476"/>
      <c r="AC750" s="476"/>
      <c r="AD750" s="567">
        <f>AD748-AD749</f>
        <v>2407660227.6000013</v>
      </c>
      <c r="AE750" s="476"/>
      <c r="AF750" s="568"/>
      <c r="AG750" s="476"/>
      <c r="AH750" s="476"/>
      <c r="AI750" s="477"/>
      <c r="AJ750" s="478"/>
      <c r="AK750" s="479"/>
      <c r="AL750" s="480"/>
      <c r="AM750" s="474"/>
      <c r="AN750" s="481"/>
      <c r="AO750" s="474"/>
      <c r="AP750" s="476"/>
      <c r="AQ750" s="482"/>
      <c r="AR750" s="478"/>
      <c r="AS750" s="478"/>
      <c r="AT750" s="476"/>
      <c r="AU750" s="482"/>
      <c r="AV750" s="478"/>
      <c r="AW750" s="483"/>
      <c r="AX750" s="476"/>
      <c r="AY750" s="482"/>
      <c r="AZ750" s="478"/>
      <c r="BA750" s="484"/>
      <c r="BB750" s="474"/>
      <c r="BC750" s="485"/>
      <c r="BD750" s="485"/>
      <c r="BG750" s="487"/>
    </row>
    <row r="751" spans="1:59" s="486" customFormat="1" ht="18" customHeight="1" x14ac:dyDescent="0.2">
      <c r="A751" s="1368" t="str">
        <f t="shared" si="560"/>
        <v>KAMPUNG BARU TOAR - GUNUNG2019</v>
      </c>
      <c r="B751" s="1373"/>
      <c r="C751" s="463"/>
      <c r="D751" s="489"/>
      <c r="E751" s="465"/>
      <c r="F751" s="466">
        <v>2019</v>
      </c>
      <c r="G751" s="620">
        <v>0</v>
      </c>
      <c r="H751" s="464">
        <f>IF(N750-(F751-F750)&lt;=0,0,(N750-(F751-F750)))</f>
        <v>9</v>
      </c>
      <c r="I751" s="467"/>
      <c r="J751" s="468">
        <f t="shared" si="555"/>
        <v>2027</v>
      </c>
      <c r="K751" s="490">
        <f t="shared" si="562"/>
        <v>0</v>
      </c>
      <c r="L751" s="469">
        <f t="shared" si="563"/>
        <v>0</v>
      </c>
      <c r="M751" s="683">
        <f t="shared" si="564"/>
        <v>0</v>
      </c>
      <c r="N751" s="470">
        <f t="shared" si="565"/>
        <v>9</v>
      </c>
      <c r="O751" s="468">
        <f t="shared" si="556"/>
        <v>2027</v>
      </c>
      <c r="P751" s="616">
        <f t="shared" si="566"/>
        <v>2708617756.0500002</v>
      </c>
      <c r="Q751" s="472">
        <f t="shared" si="567"/>
        <v>2708617756.0500002</v>
      </c>
      <c r="R751" s="472">
        <f t="shared" si="570"/>
        <v>300957528.44999999</v>
      </c>
      <c r="S751" s="1189">
        <f t="shared" si="557"/>
        <v>2019</v>
      </c>
      <c r="T751" s="470">
        <f t="shared" si="568"/>
        <v>1</v>
      </c>
      <c r="U751" s="612">
        <f t="shared" si="558"/>
        <v>300957528.44999999</v>
      </c>
      <c r="V751" s="464">
        <f t="shared" si="559"/>
        <v>2019</v>
      </c>
      <c r="W751" s="612">
        <f t="shared" si="569"/>
        <v>2407660227.6000004</v>
      </c>
      <c r="X751" s="473"/>
      <c r="Y751" s="478"/>
      <c r="Z751" s="449"/>
      <c r="AA751" s="492"/>
      <c r="AB751" s="476"/>
      <c r="AC751" s="476"/>
      <c r="AD751" s="567"/>
      <c r="AE751" s="476"/>
      <c r="AF751" s="568"/>
      <c r="AG751" s="476"/>
      <c r="AH751" s="476"/>
      <c r="AI751" s="477"/>
      <c r="AJ751" s="478"/>
      <c r="AK751" s="479"/>
      <c r="AL751" s="480"/>
      <c r="AM751" s="474"/>
      <c r="AN751" s="481"/>
      <c r="AO751" s="474"/>
      <c r="AP751" s="476"/>
      <c r="AQ751" s="482"/>
      <c r="AR751" s="478"/>
      <c r="AS751" s="478"/>
      <c r="AT751" s="476"/>
      <c r="AU751" s="482"/>
      <c r="AV751" s="478"/>
      <c r="AW751" s="483"/>
      <c r="AX751" s="476"/>
      <c r="AY751" s="482"/>
      <c r="AZ751" s="478"/>
      <c r="BA751" s="484"/>
      <c r="BB751" s="474"/>
      <c r="BC751" s="485"/>
      <c r="BD751" s="485"/>
      <c r="BG751" s="487"/>
    </row>
    <row r="752" spans="1:59" s="486" customFormat="1" ht="18" customHeight="1" x14ac:dyDescent="0.2">
      <c r="A752" s="1368" t="str">
        <f>LEFT(D752,8)</f>
        <v/>
      </c>
      <c r="B752" s="687"/>
      <c r="C752" s="463"/>
      <c r="D752" s="489"/>
      <c r="E752" s="465"/>
      <c r="F752" s="466"/>
      <c r="G752" s="620"/>
      <c r="H752" s="464"/>
      <c r="I752" s="467"/>
      <c r="J752" s="468"/>
      <c r="K752" s="574"/>
      <c r="L752" s="469"/>
      <c r="M752" s="683"/>
      <c r="N752" s="470"/>
      <c r="O752" s="468"/>
      <c r="P752" s="616"/>
      <c r="Q752" s="472"/>
      <c r="R752" s="472"/>
      <c r="S752" s="634"/>
      <c r="T752" s="470"/>
      <c r="U752" s="612"/>
      <c r="V752" s="464"/>
      <c r="W752" s="612"/>
      <c r="X752" s="473"/>
      <c r="Y752" s="478"/>
      <c r="Z752" s="449"/>
      <c r="AA752" s="531" t="s">
        <v>4183</v>
      </c>
      <c r="AB752" s="496"/>
      <c r="AC752" s="496"/>
      <c r="AD752" s="569">
        <f>AD750-W753</f>
        <v>0</v>
      </c>
      <c r="AE752" s="476"/>
      <c r="AF752" s="568"/>
      <c r="AG752" s="476"/>
      <c r="AH752" s="476"/>
      <c r="AI752" s="477"/>
      <c r="AJ752" s="478"/>
      <c r="AK752" s="479"/>
      <c r="AL752" s="480"/>
      <c r="AM752" s="474"/>
      <c r="AN752" s="481"/>
      <c r="AO752" s="474"/>
      <c r="AP752" s="476"/>
      <c r="AQ752" s="482"/>
      <c r="AR752" s="478"/>
      <c r="AS752" s="478"/>
      <c r="AT752" s="476"/>
      <c r="AU752" s="482"/>
      <c r="AV752" s="478"/>
      <c r="AW752" s="483"/>
      <c r="AX752" s="476"/>
      <c r="AY752" s="482"/>
      <c r="AZ752" s="478"/>
      <c r="BA752" s="484"/>
      <c r="BB752" s="474"/>
      <c r="BC752" s="485"/>
      <c r="BD752" s="485"/>
      <c r="BG752" s="487"/>
    </row>
    <row r="753" spans="1:59" s="526" customFormat="1" ht="18" customHeight="1" x14ac:dyDescent="0.2">
      <c r="A753" s="1370" t="s">
        <v>4184</v>
      </c>
      <c r="B753" s="1956" t="s">
        <v>4184</v>
      </c>
      <c r="C753" s="1957"/>
      <c r="D753" s="1957"/>
      <c r="E753" s="1957"/>
      <c r="F753" s="1958"/>
      <c r="G753" s="624">
        <f>SUM(G741:G752)</f>
        <v>6356100993</v>
      </c>
      <c r="H753" s="505"/>
      <c r="I753" s="506"/>
      <c r="J753" s="507"/>
      <c r="K753" s="507"/>
      <c r="L753" s="505"/>
      <c r="M753" s="684"/>
      <c r="N753" s="508"/>
      <c r="O753" s="507"/>
      <c r="P753" s="749"/>
      <c r="Q753" s="510"/>
      <c r="R753" s="511"/>
      <c r="S753" s="512"/>
      <c r="T753" s="512"/>
      <c r="U753" s="610">
        <f>SUM(U741:U752)</f>
        <v>3948440765.3999987</v>
      </c>
      <c r="V753" s="513"/>
      <c r="W753" s="610">
        <f>G753-U753</f>
        <v>2407660227.6000013</v>
      </c>
      <c r="X753" s="514"/>
      <c r="Y753" s="515"/>
      <c r="Z753" s="515"/>
      <c r="AA753" s="515"/>
      <c r="AB753" s="515"/>
      <c r="AC753" s="515"/>
      <c r="AD753" s="570"/>
      <c r="AE753" s="515"/>
      <c r="AF753" s="570">
        <v>1758315425.0999999</v>
      </c>
      <c r="AG753" s="515"/>
      <c r="AH753" s="515"/>
      <c r="AI753" s="516"/>
      <c r="AJ753" s="517"/>
      <c r="AK753" s="518"/>
      <c r="AL753" s="519"/>
      <c r="AM753" s="520"/>
      <c r="AN753" s="521"/>
      <c r="AO753" s="520"/>
      <c r="AP753" s="515"/>
      <c r="AQ753" s="522"/>
      <c r="AR753" s="517"/>
      <c r="AS753" s="517"/>
      <c r="AT753" s="515"/>
      <c r="AU753" s="522"/>
      <c r="AV753" s="517"/>
      <c r="AW753" s="523"/>
      <c r="AX753" s="515"/>
      <c r="AY753" s="522"/>
      <c r="AZ753" s="517"/>
      <c r="BA753" s="524"/>
      <c r="BB753" s="520"/>
      <c r="BC753" s="525"/>
      <c r="BD753" s="525"/>
      <c r="BG753" s="527"/>
    </row>
    <row r="754" spans="1:59" x14ac:dyDescent="0.2">
      <c r="AF754" s="562">
        <v>2608841133.5999994</v>
      </c>
    </row>
    <row r="755" spans="1:59" x14ac:dyDescent="0.2">
      <c r="AF755" s="562">
        <v>2268630850.2000003</v>
      </c>
    </row>
    <row r="756" spans="1:59" s="422" customFormat="1" ht="18" customHeight="1" x14ac:dyDescent="0.2">
      <c r="A756" s="1366">
        <f>C756</f>
        <v>121</v>
      </c>
      <c r="B756" s="742" t="s">
        <v>4187</v>
      </c>
      <c r="C756" s="556">
        <v>121</v>
      </c>
      <c r="D756" s="553" t="str">
        <f>VLOOKUP(C756,RUAS,2,FALSE)</f>
        <v>SIMP. SEI. ALA - SEI. ALA</v>
      </c>
      <c r="E756" s="553"/>
      <c r="F756" s="421"/>
      <c r="G756" s="611"/>
      <c r="I756" s="423"/>
      <c r="J756" s="424"/>
      <c r="K756" s="424"/>
      <c r="M756" s="680"/>
      <c r="P756" s="611"/>
      <c r="U756" s="611"/>
      <c r="W756" s="611"/>
      <c r="Y756" s="425"/>
      <c r="Z756" s="425"/>
      <c r="AA756" s="425"/>
      <c r="AB756" s="425"/>
      <c r="AC756" s="425"/>
      <c r="AD756" s="563"/>
      <c r="AE756" s="425"/>
      <c r="AF756" s="563"/>
      <c r="AG756" s="425"/>
      <c r="AH756" s="425"/>
      <c r="AI756" s="425"/>
      <c r="AJ756" s="425"/>
      <c r="AK756" s="425"/>
      <c r="AL756" s="425"/>
      <c r="AM756" s="425"/>
      <c r="AN756" s="425"/>
      <c r="AO756" s="425"/>
      <c r="AP756" s="425"/>
      <c r="AQ756" s="425"/>
      <c r="AR756" s="425"/>
      <c r="AS756" s="425"/>
      <c r="AT756" s="425"/>
      <c r="AU756" s="425"/>
      <c r="AV756" s="425"/>
      <c r="AW756" s="425"/>
      <c r="AX756" s="425"/>
      <c r="AY756" s="425"/>
      <c r="AZ756" s="425"/>
      <c r="BA756" s="425"/>
      <c r="BB756" s="425"/>
    </row>
    <row r="757" spans="1:59" s="431" customFormat="1" ht="18" customHeight="1" x14ac:dyDescent="0.2">
      <c r="A757" s="1367"/>
      <c r="B757" s="1968" t="s">
        <v>5</v>
      </c>
      <c r="C757" s="1968" t="s">
        <v>2280</v>
      </c>
      <c r="D757" s="1968" t="s">
        <v>4157</v>
      </c>
      <c r="E757" s="1968" t="s">
        <v>4158</v>
      </c>
      <c r="F757" s="1968"/>
      <c r="G757" s="1969" t="s">
        <v>4159</v>
      </c>
      <c r="H757" s="1968" t="s">
        <v>4160</v>
      </c>
      <c r="I757" s="1968"/>
      <c r="J757" s="1968" t="s">
        <v>4185</v>
      </c>
      <c r="K757" s="1964" t="s">
        <v>4162</v>
      </c>
      <c r="L757" s="1968" t="s">
        <v>4163</v>
      </c>
      <c r="M757" s="1971" t="s">
        <v>4164</v>
      </c>
      <c r="N757" s="1962" t="s">
        <v>4165</v>
      </c>
      <c r="O757" s="1968" t="s">
        <v>4166</v>
      </c>
      <c r="P757" s="1972" t="s">
        <v>4167</v>
      </c>
      <c r="Q757" s="1973"/>
      <c r="R757" s="1361" t="s">
        <v>4186</v>
      </c>
      <c r="S757" s="1972" t="s">
        <v>4169</v>
      </c>
      <c r="T757" s="1974"/>
      <c r="U757" s="1973"/>
      <c r="V757" s="1975" t="s">
        <v>4170</v>
      </c>
      <c r="W757" s="1975"/>
      <c r="X757" s="1960" t="s">
        <v>4171</v>
      </c>
      <c r="Y757" s="1959"/>
      <c r="Z757" s="1358"/>
      <c r="AA757" s="426"/>
      <c r="AB757" s="426"/>
      <c r="AC757" s="426"/>
      <c r="AD757" s="564"/>
      <c r="AE757" s="426"/>
      <c r="AF757" s="564"/>
      <c r="AG757" s="426"/>
      <c r="AH757" s="426"/>
      <c r="AI757" s="427"/>
      <c r="AJ757" s="427"/>
      <c r="AK757" s="427"/>
      <c r="AL757" s="427"/>
      <c r="AM757" s="428"/>
      <c r="AN757" s="427"/>
      <c r="AO757" s="427"/>
      <c r="AP757" s="426"/>
      <c r="AQ757" s="427"/>
      <c r="AR757" s="427"/>
      <c r="AS757" s="427"/>
      <c r="AT757" s="426"/>
      <c r="AU757" s="427"/>
      <c r="AV757" s="427"/>
      <c r="AW757" s="427"/>
      <c r="AX757" s="426"/>
      <c r="AY757" s="427"/>
      <c r="AZ757" s="427"/>
      <c r="BA757" s="427"/>
      <c r="BB757" s="429"/>
      <c r="BC757" s="430"/>
      <c r="BD757" s="430"/>
    </row>
    <row r="758" spans="1:59" s="431" customFormat="1" ht="18" customHeight="1" x14ac:dyDescent="0.2">
      <c r="A758" s="1367"/>
      <c r="B758" s="1968"/>
      <c r="C758" s="1968"/>
      <c r="D758" s="1968"/>
      <c r="E758" s="1968"/>
      <c r="F758" s="1968"/>
      <c r="G758" s="1969"/>
      <c r="H758" s="1968"/>
      <c r="I758" s="1968"/>
      <c r="J758" s="1968"/>
      <c r="K758" s="1970"/>
      <c r="L758" s="1968"/>
      <c r="M758" s="1971"/>
      <c r="N758" s="1963"/>
      <c r="O758" s="1968"/>
      <c r="P758" s="2037" t="s">
        <v>4172</v>
      </c>
      <c r="Q758" s="1960" t="s">
        <v>4173</v>
      </c>
      <c r="R758" s="1962" t="s">
        <v>4159</v>
      </c>
      <c r="S758" s="1962" t="s">
        <v>4174</v>
      </c>
      <c r="T758" s="1964" t="s">
        <v>4175</v>
      </c>
      <c r="U758" s="1966" t="s">
        <v>4159</v>
      </c>
      <c r="V758" s="1975"/>
      <c r="W758" s="1975"/>
      <c r="X758" s="1976"/>
      <c r="Y758" s="1959"/>
      <c r="Z758" s="1358"/>
      <c r="AA758" s="426"/>
      <c r="AB758" s="426"/>
      <c r="AC758" s="426"/>
      <c r="AD758" s="564"/>
      <c r="AE758" s="426"/>
      <c r="AF758" s="564"/>
      <c r="AG758" s="426"/>
      <c r="AH758" s="426"/>
      <c r="AI758" s="427"/>
      <c r="AJ758" s="427"/>
      <c r="AK758" s="426"/>
      <c r="AL758" s="427"/>
      <c r="AM758" s="428"/>
      <c r="AN758" s="427"/>
      <c r="AO758" s="427"/>
      <c r="AP758" s="432"/>
      <c r="AQ758" s="427"/>
      <c r="AR758" s="427"/>
      <c r="AS758" s="427"/>
      <c r="AT758" s="432"/>
      <c r="AU758" s="427"/>
      <c r="AV758" s="427"/>
      <c r="AW758" s="427"/>
      <c r="AX758" s="432"/>
      <c r="AY758" s="427"/>
      <c r="AZ758" s="427"/>
      <c r="BA758" s="427"/>
      <c r="BB758" s="429"/>
      <c r="BC758" s="430"/>
      <c r="BD758" s="430"/>
    </row>
    <row r="759" spans="1:59" s="431" customFormat="1" ht="18" customHeight="1" x14ac:dyDescent="0.2">
      <c r="A759" s="1367"/>
      <c r="B759" s="1968"/>
      <c r="C759" s="1968"/>
      <c r="D759" s="1968"/>
      <c r="E759" s="433" t="s">
        <v>4176</v>
      </c>
      <c r="F759" s="434" t="s">
        <v>2288</v>
      </c>
      <c r="G759" s="1969"/>
      <c r="H759" s="1359" t="s">
        <v>2288</v>
      </c>
      <c r="I759" s="1359" t="s">
        <v>4177</v>
      </c>
      <c r="J759" s="1968"/>
      <c r="K759" s="1965"/>
      <c r="L759" s="435" t="s">
        <v>2288</v>
      </c>
      <c r="M759" s="681" t="s">
        <v>2288</v>
      </c>
      <c r="N759" s="1359" t="s">
        <v>2288</v>
      </c>
      <c r="O759" s="1968"/>
      <c r="P759" s="2038"/>
      <c r="Q759" s="1961"/>
      <c r="R759" s="1963"/>
      <c r="S759" s="1963"/>
      <c r="T759" s="1965"/>
      <c r="U759" s="1967"/>
      <c r="V759" s="1359" t="s">
        <v>4178</v>
      </c>
      <c r="W759" s="1360" t="s">
        <v>4159</v>
      </c>
      <c r="X759" s="1961"/>
      <c r="Y759" s="436"/>
      <c r="Z759" s="436"/>
      <c r="AA759" s="426"/>
      <c r="AB759" s="426"/>
      <c r="AC759" s="426"/>
      <c r="AD759" s="564"/>
      <c r="AE759" s="426"/>
      <c r="AF759" s="564"/>
      <c r="AG759" s="426"/>
      <c r="AH759" s="426"/>
      <c r="AI759" s="427"/>
      <c r="AJ759" s="432"/>
      <c r="AK759" s="432"/>
      <c r="AL759" s="427"/>
      <c r="AM759" s="428"/>
      <c r="AN759" s="432"/>
      <c r="AO759" s="427"/>
      <c r="AP759" s="432"/>
      <c r="AQ759" s="432"/>
      <c r="AR759" s="427"/>
      <c r="AS759" s="427"/>
      <c r="AT759" s="432"/>
      <c r="AU759" s="432"/>
      <c r="AV759" s="427"/>
      <c r="AW759" s="427"/>
      <c r="AX759" s="432"/>
      <c r="AY759" s="432"/>
      <c r="AZ759" s="427"/>
      <c r="BA759" s="427"/>
      <c r="BB759" s="429"/>
      <c r="BC759" s="430"/>
      <c r="BD759" s="430"/>
    </row>
    <row r="760" spans="1:59" s="461" customFormat="1" ht="18" customHeight="1" x14ac:dyDescent="0.2">
      <c r="A760" s="1368" t="str">
        <f>$D$756&amp;S760</f>
        <v>SIMP. SEI. ALA - SEI. ALA2001</v>
      </c>
      <c r="B760" s="1373">
        <v>1</v>
      </c>
      <c r="C760" s="532" t="s">
        <v>483</v>
      </c>
      <c r="D760" s="437" t="s">
        <v>3820</v>
      </c>
      <c r="E760" s="438"/>
      <c r="F760" s="439">
        <v>2001</v>
      </c>
      <c r="G760" s="623">
        <v>1056000000</v>
      </c>
      <c r="H760" s="440">
        <f>VLOOKUP(LEFT(D760,8),UE,4)</f>
        <v>10</v>
      </c>
      <c r="I760" s="441"/>
      <c r="J760" s="442">
        <f>F760+N760-1</f>
        <v>2010</v>
      </c>
      <c r="K760" s="443"/>
      <c r="L760" s="440"/>
      <c r="M760" s="746">
        <f>IF(H760+L760&gt;$H760,$H760-H760,L760)</f>
        <v>0</v>
      </c>
      <c r="N760" s="444">
        <f>H760+M760</f>
        <v>10</v>
      </c>
      <c r="O760" s="442">
        <f>F760+N760-1</f>
        <v>2010</v>
      </c>
      <c r="P760" s="617">
        <f>G760</f>
        <v>1056000000</v>
      </c>
      <c r="Q760" s="445">
        <v>0</v>
      </c>
      <c r="R760" s="445">
        <f>P760/N760</f>
        <v>105600000</v>
      </c>
      <c r="S760" s="446">
        <f>F760</f>
        <v>2001</v>
      </c>
      <c r="T760" s="447">
        <v>1</v>
      </c>
      <c r="U760" s="613">
        <f>R760*T760</f>
        <v>105600000</v>
      </c>
      <c r="V760" s="442">
        <f>F760</f>
        <v>2001</v>
      </c>
      <c r="W760" s="617">
        <f>IF(OR(AND(ISBLANK(E760),ISBLANK(G760)),ISTEXT(E760),ISTEXT(G760)),"",G760-R760)</f>
        <v>950400000</v>
      </c>
      <c r="X760" s="448"/>
      <c r="Y760" s="449"/>
      <c r="Z760" s="449"/>
      <c r="AA760" s="693"/>
      <c r="AB760" s="452"/>
      <c r="AC760" s="452"/>
      <c r="AD760" s="571"/>
      <c r="AE760" s="452"/>
      <c r="AF760" s="571"/>
      <c r="AG760" s="452"/>
      <c r="AH760" s="452"/>
      <c r="AI760" s="453"/>
      <c r="AJ760" s="449"/>
      <c r="AK760" s="453"/>
      <c r="AL760" s="454"/>
      <c r="AM760" s="455"/>
      <c r="AN760" s="456"/>
      <c r="AO760" s="455"/>
      <c r="AP760" s="452"/>
      <c r="AQ760" s="457"/>
      <c r="AR760" s="449"/>
      <c r="AS760" s="449"/>
      <c r="AT760" s="452"/>
      <c r="AU760" s="457"/>
      <c r="AV760" s="449"/>
      <c r="AW760" s="458"/>
      <c r="AX760" s="452"/>
      <c r="AY760" s="457"/>
      <c r="AZ760" s="449"/>
      <c r="BA760" s="459"/>
      <c r="BB760" s="455"/>
      <c r="BC760" s="460"/>
      <c r="BD760" s="460"/>
      <c r="BG760" s="462"/>
    </row>
    <row r="761" spans="1:59" s="461" customFormat="1" ht="18" customHeight="1" x14ac:dyDescent="0.2">
      <c r="A761" s="1368" t="str">
        <f t="shared" ref="A761:A770" si="571">$D$756&amp;S761</f>
        <v>SIMP. SEI. ALA - SEI. ALA2010</v>
      </c>
      <c r="B761" s="1373"/>
      <c r="C761" s="488"/>
      <c r="D761" s="489"/>
      <c r="E761" s="558"/>
      <c r="F761" s="559">
        <v>2010</v>
      </c>
      <c r="G761" s="619">
        <v>0</v>
      </c>
      <c r="H761" s="464">
        <f>IF(N760-(F761-F760)&lt;=0,0,(N760-(F761-F760)))</f>
        <v>1</v>
      </c>
      <c r="I761" s="560"/>
      <c r="J761" s="468">
        <f>F761+N761-1</f>
        <v>2010</v>
      </c>
      <c r="K761" s="490">
        <f>IF(G761=0,0,IF(H761=10,100%,G761/W760))</f>
        <v>0</v>
      </c>
      <c r="L761" s="469">
        <f>IF(K761=0%,0,IF(K761&lt;=30%,2,IF(K761&lt;=60%,5,10)))</f>
        <v>0</v>
      </c>
      <c r="M761" s="683">
        <f>IF(OR(AND(ISBLANK(E761),ISBLANK(G761)),ISTEXT(E761),ISTEXT(G761)),"",IF(H761+L761&gt;$H$760,$H$760-H761,L761))</f>
        <v>0</v>
      </c>
      <c r="N761" s="470">
        <f>IF(OR(AND(ISBLANK(F761),ISBLANK(G761)),ISTEXT(F761),ISTEXT(G761)),"",H761+M761)</f>
        <v>1</v>
      </c>
      <c r="O761" s="468">
        <f>F761+N761-1</f>
        <v>2010</v>
      </c>
      <c r="P761" s="616">
        <f>W760</f>
        <v>950400000</v>
      </c>
      <c r="Q761" s="472">
        <f>P761+G761</f>
        <v>950400000</v>
      </c>
      <c r="R761" s="472">
        <f>IF(L761=0,R760,Q761/N761)</f>
        <v>105600000</v>
      </c>
      <c r="S761" s="1189">
        <f>F761</f>
        <v>2010</v>
      </c>
      <c r="T761" s="470">
        <f>S761-S760</f>
        <v>9</v>
      </c>
      <c r="U761" s="612">
        <f>R761*T761</f>
        <v>950400000</v>
      </c>
      <c r="V761" s="464">
        <f>F761</f>
        <v>2010</v>
      </c>
      <c r="W761" s="612">
        <f>IF(OR(AND(ISBLANK(E761),ISBLANK(G761)),ISTEXT(E761),ISTEXT(G761)),"",Q761-U761)</f>
        <v>0</v>
      </c>
      <c r="X761" s="561"/>
      <c r="Y761" s="449"/>
      <c r="Z761" s="449"/>
      <c r="AA761" s="693"/>
      <c r="AB761" s="452"/>
      <c r="AC761" s="452"/>
      <c r="AD761" s="571"/>
      <c r="AE761" s="452"/>
      <c r="AF761" s="571"/>
      <c r="AG761" s="452"/>
      <c r="AH761" s="452"/>
      <c r="AI761" s="453"/>
      <c r="AJ761" s="449"/>
      <c r="AK761" s="453"/>
      <c r="AL761" s="454"/>
      <c r="AM761" s="455"/>
      <c r="AN761" s="456"/>
      <c r="AO761" s="455"/>
      <c r="AP761" s="452"/>
      <c r="AQ761" s="457"/>
      <c r="AR761" s="449"/>
      <c r="AS761" s="449"/>
      <c r="AT761" s="452"/>
      <c r="AU761" s="457"/>
      <c r="AV761" s="449"/>
      <c r="AW761" s="458"/>
      <c r="AX761" s="452"/>
      <c r="AY761" s="457"/>
      <c r="AZ761" s="449"/>
      <c r="BA761" s="459"/>
      <c r="BB761" s="455"/>
      <c r="BC761" s="460"/>
      <c r="BD761" s="460"/>
      <c r="BG761" s="462"/>
    </row>
    <row r="762" spans="1:59" s="461" customFormat="1" ht="18" customHeight="1" x14ac:dyDescent="0.2">
      <c r="A762" s="1368" t="str">
        <f t="shared" si="571"/>
        <v>SIMP. SEI. ALA - SEI. ALA2011</v>
      </c>
      <c r="B762" s="1373"/>
      <c r="C762" s="488"/>
      <c r="D762" s="489"/>
      <c r="E762" s="558"/>
      <c r="F762" s="559">
        <v>2011</v>
      </c>
      <c r="G762" s="619">
        <v>0</v>
      </c>
      <c r="H762" s="464">
        <f t="shared" ref="H762:H769" si="572">IF(N761-(F762-F761)&lt;=0,0,(N761-(F762-F761)))</f>
        <v>0</v>
      </c>
      <c r="I762" s="560"/>
      <c r="J762" s="468">
        <f t="shared" ref="J762:J770" si="573">F762+N762-1</f>
        <v>2010</v>
      </c>
      <c r="K762" s="490">
        <f t="shared" ref="K762:K770" si="574">IF(G762=0,0,IF(H762=10,100%,G762/W761))</f>
        <v>0</v>
      </c>
      <c r="L762" s="469">
        <f t="shared" ref="L762:L770" si="575">IF(K762=0%,0,IF(K762&lt;=30%,2,IF(K762&lt;=60%,5,10)))</f>
        <v>0</v>
      </c>
      <c r="M762" s="683">
        <f t="shared" ref="M762:M770" si="576">IF(OR(AND(ISBLANK(E762),ISBLANK(G762)),ISTEXT(E762),ISTEXT(G762)),"",IF(H762+L762&gt;$H$760,$H$760-H762,L762))</f>
        <v>0</v>
      </c>
      <c r="N762" s="470">
        <f t="shared" ref="N762:N770" si="577">IF(OR(AND(ISBLANK(F762),ISBLANK(G762)),ISTEXT(F762),ISTEXT(G762)),"",H762+M762)</f>
        <v>0</v>
      </c>
      <c r="O762" s="468">
        <f t="shared" ref="O762:O770" si="578">F762+N762-1</f>
        <v>2010</v>
      </c>
      <c r="P762" s="616">
        <f t="shared" ref="P762:P770" si="579">W761</f>
        <v>0</v>
      </c>
      <c r="Q762" s="472">
        <f t="shared" ref="Q762:Q770" si="580">P762+G762</f>
        <v>0</v>
      </c>
      <c r="R762" s="472">
        <v>0</v>
      </c>
      <c r="S762" s="1189">
        <f t="shared" ref="S762:S770" si="581">F762</f>
        <v>2011</v>
      </c>
      <c r="T762" s="470">
        <f t="shared" ref="T762:T770" si="582">S762-S761</f>
        <v>1</v>
      </c>
      <c r="U762" s="612">
        <f t="shared" ref="U762:U770" si="583">R762*T762</f>
        <v>0</v>
      </c>
      <c r="V762" s="464">
        <f t="shared" ref="V762:V770" si="584">F762</f>
        <v>2011</v>
      </c>
      <c r="W762" s="612">
        <f t="shared" ref="W762:W770" si="585">IF(OR(AND(ISBLANK(E762),ISBLANK(G762)),ISTEXT(E762),ISTEXT(G762)),"",Q762-U762)</f>
        <v>0</v>
      </c>
      <c r="X762" s="561"/>
      <c r="Y762" s="449"/>
      <c r="Z762" s="449"/>
      <c r="AA762" s="693"/>
      <c r="AB762" s="452"/>
      <c r="AC762" s="452"/>
      <c r="AD762" s="571"/>
      <c r="AE762" s="452"/>
      <c r="AF762" s="571"/>
      <c r="AG762" s="452"/>
      <c r="AH762" s="452"/>
      <c r="AI762" s="453"/>
      <c r="AJ762" s="449"/>
      <c r="AK762" s="453"/>
      <c r="AL762" s="454"/>
      <c r="AM762" s="455"/>
      <c r="AN762" s="456"/>
      <c r="AO762" s="455"/>
      <c r="AP762" s="452"/>
      <c r="AQ762" s="457"/>
      <c r="AR762" s="449"/>
      <c r="AS762" s="449"/>
      <c r="AT762" s="452"/>
      <c r="AU762" s="457"/>
      <c r="AV762" s="449"/>
      <c r="AW762" s="458"/>
      <c r="AX762" s="452"/>
      <c r="AY762" s="457"/>
      <c r="AZ762" s="449"/>
      <c r="BA762" s="459"/>
      <c r="BB762" s="455"/>
      <c r="BC762" s="460"/>
      <c r="BD762" s="460"/>
      <c r="BG762" s="462"/>
    </row>
    <row r="763" spans="1:59" s="461" customFormat="1" ht="18" customHeight="1" x14ac:dyDescent="0.2">
      <c r="A763" s="1368" t="str">
        <f t="shared" si="571"/>
        <v>SIMP. SEI. ALA - SEI. ALA2012</v>
      </c>
      <c r="B763" s="1373"/>
      <c r="C763" s="488"/>
      <c r="D763" s="489"/>
      <c r="E763" s="558"/>
      <c r="F763" s="559">
        <v>2012</v>
      </c>
      <c r="G763" s="619">
        <v>0</v>
      </c>
      <c r="H763" s="464">
        <f t="shared" si="572"/>
        <v>0</v>
      </c>
      <c r="I763" s="560"/>
      <c r="J763" s="468">
        <f t="shared" si="573"/>
        <v>2011</v>
      </c>
      <c r="K763" s="490">
        <f t="shared" si="574"/>
        <v>0</v>
      </c>
      <c r="L763" s="469">
        <f t="shared" si="575"/>
        <v>0</v>
      </c>
      <c r="M763" s="683">
        <f t="shared" si="576"/>
        <v>0</v>
      </c>
      <c r="N763" s="470">
        <f t="shared" si="577"/>
        <v>0</v>
      </c>
      <c r="O763" s="468">
        <f t="shared" si="578"/>
        <v>2011</v>
      </c>
      <c r="P763" s="616">
        <f t="shared" si="579"/>
        <v>0</v>
      </c>
      <c r="Q763" s="472">
        <f t="shared" si="580"/>
        <v>0</v>
      </c>
      <c r="R763" s="472">
        <f t="shared" ref="R763:R770" si="586">IF(L763=0,R762,Q763/N763)</f>
        <v>0</v>
      </c>
      <c r="S763" s="1189">
        <f t="shared" si="581"/>
        <v>2012</v>
      </c>
      <c r="T763" s="470">
        <f t="shared" si="582"/>
        <v>1</v>
      </c>
      <c r="U763" s="612">
        <f t="shared" si="583"/>
        <v>0</v>
      </c>
      <c r="V763" s="464">
        <f t="shared" si="584"/>
        <v>2012</v>
      </c>
      <c r="W763" s="612">
        <f t="shared" si="585"/>
        <v>0</v>
      </c>
      <c r="X763" s="561"/>
      <c r="Y763" s="449"/>
      <c r="Z763" s="449"/>
      <c r="AA763" s="693"/>
      <c r="AB763" s="452"/>
      <c r="AC763" s="452"/>
      <c r="AD763" s="571"/>
      <c r="AE763" s="452"/>
      <c r="AF763" s="571"/>
      <c r="AG763" s="452"/>
      <c r="AH763" s="452"/>
      <c r="AI763" s="453"/>
      <c r="AJ763" s="449"/>
      <c r="AK763" s="453"/>
      <c r="AL763" s="454"/>
      <c r="AM763" s="455"/>
      <c r="AN763" s="456"/>
      <c r="AO763" s="455"/>
      <c r="AP763" s="452"/>
      <c r="AQ763" s="457"/>
      <c r="AR763" s="449"/>
      <c r="AS763" s="449"/>
      <c r="AT763" s="452"/>
      <c r="AU763" s="457"/>
      <c r="AV763" s="449"/>
      <c r="AW763" s="458"/>
      <c r="AX763" s="452"/>
      <c r="AY763" s="457"/>
      <c r="AZ763" s="449"/>
      <c r="BA763" s="459"/>
      <c r="BB763" s="455"/>
      <c r="BC763" s="460"/>
      <c r="BD763" s="460"/>
      <c r="BG763" s="462"/>
    </row>
    <row r="764" spans="1:59" s="486" customFormat="1" ht="18" customHeight="1" x14ac:dyDescent="0.2">
      <c r="A764" s="1368" t="str">
        <f t="shared" si="571"/>
        <v>SIMP. SEI. ALA - SEI. ALA2013</v>
      </c>
      <c r="B764" s="1373"/>
      <c r="C764" s="488"/>
      <c r="D764" s="489"/>
      <c r="E764" s="558"/>
      <c r="F764" s="559">
        <v>2013</v>
      </c>
      <c r="G764" s="619">
        <v>0</v>
      </c>
      <c r="H764" s="464">
        <f t="shared" si="572"/>
        <v>0</v>
      </c>
      <c r="I764" s="560"/>
      <c r="J764" s="468">
        <f t="shared" si="573"/>
        <v>2012</v>
      </c>
      <c r="K764" s="490">
        <f t="shared" si="574"/>
        <v>0</v>
      </c>
      <c r="L764" s="469">
        <f t="shared" si="575"/>
        <v>0</v>
      </c>
      <c r="M764" s="683">
        <f t="shared" si="576"/>
        <v>0</v>
      </c>
      <c r="N764" s="470">
        <f t="shared" si="577"/>
        <v>0</v>
      </c>
      <c r="O764" s="468">
        <f t="shared" si="578"/>
        <v>2012</v>
      </c>
      <c r="P764" s="616">
        <f t="shared" si="579"/>
        <v>0</v>
      </c>
      <c r="Q764" s="472">
        <f t="shared" si="580"/>
        <v>0</v>
      </c>
      <c r="R764" s="472">
        <f t="shared" si="586"/>
        <v>0</v>
      </c>
      <c r="S764" s="1189">
        <f t="shared" si="581"/>
        <v>2013</v>
      </c>
      <c r="T764" s="470">
        <f t="shared" si="582"/>
        <v>1</v>
      </c>
      <c r="U764" s="612">
        <f t="shared" si="583"/>
        <v>0</v>
      </c>
      <c r="V764" s="464">
        <f t="shared" si="584"/>
        <v>2013</v>
      </c>
      <c r="W764" s="612">
        <f t="shared" si="585"/>
        <v>0</v>
      </c>
      <c r="X764" s="473"/>
      <c r="Y764" s="474"/>
      <c r="Z764" s="449"/>
      <c r="AA764" s="739"/>
      <c r="AB764" s="496"/>
      <c r="AC764" s="496"/>
      <c r="AD764" s="740"/>
      <c r="AE764" s="476"/>
      <c r="AF764" s="568"/>
      <c r="AG764" s="476"/>
      <c r="AH764" s="476"/>
      <c r="AI764" s="477"/>
      <c r="AJ764" s="478"/>
      <c r="AK764" s="479"/>
      <c r="AL764" s="480"/>
      <c r="AM764" s="474"/>
      <c r="AN764" s="481"/>
      <c r="AO764" s="474"/>
      <c r="AP764" s="476"/>
      <c r="AQ764" s="482"/>
      <c r="AR764" s="478"/>
      <c r="AS764" s="478"/>
      <c r="AT764" s="476"/>
      <c r="AU764" s="482"/>
      <c r="AV764" s="478"/>
      <c r="AW764" s="483"/>
      <c r="AX764" s="476"/>
      <c r="AY764" s="482"/>
      <c r="AZ764" s="478"/>
      <c r="BA764" s="484"/>
      <c r="BB764" s="474"/>
      <c r="BC764" s="485"/>
      <c r="BD764" s="485"/>
      <c r="BG764" s="487"/>
    </row>
    <row r="765" spans="1:59" s="486" customFormat="1" ht="18" customHeight="1" x14ac:dyDescent="0.2">
      <c r="A765" s="1368" t="str">
        <f t="shared" si="571"/>
        <v>SIMP. SEI. ALA - SEI. ALA2014</v>
      </c>
      <c r="B765" s="1373"/>
      <c r="C765" s="463"/>
      <c r="D765" s="489"/>
      <c r="E765" s="465"/>
      <c r="F765" s="466">
        <v>2014</v>
      </c>
      <c r="G765" s="620">
        <v>0</v>
      </c>
      <c r="H765" s="464">
        <f t="shared" si="572"/>
        <v>0</v>
      </c>
      <c r="I765" s="560"/>
      <c r="J765" s="468">
        <f t="shared" si="573"/>
        <v>2013</v>
      </c>
      <c r="K765" s="490">
        <f t="shared" si="574"/>
        <v>0</v>
      </c>
      <c r="L765" s="469">
        <f t="shared" si="575"/>
        <v>0</v>
      </c>
      <c r="M765" s="683">
        <f t="shared" si="576"/>
        <v>0</v>
      </c>
      <c r="N765" s="470">
        <f t="shared" si="577"/>
        <v>0</v>
      </c>
      <c r="O765" s="468">
        <f t="shared" si="578"/>
        <v>2013</v>
      </c>
      <c r="P765" s="616">
        <f t="shared" si="579"/>
        <v>0</v>
      </c>
      <c r="Q765" s="472">
        <f t="shared" si="580"/>
        <v>0</v>
      </c>
      <c r="R765" s="472">
        <f t="shared" si="586"/>
        <v>0</v>
      </c>
      <c r="S765" s="1189">
        <f t="shared" si="581"/>
        <v>2014</v>
      </c>
      <c r="T765" s="470">
        <f t="shared" si="582"/>
        <v>1</v>
      </c>
      <c r="U765" s="612">
        <f t="shared" si="583"/>
        <v>0</v>
      </c>
      <c r="V765" s="464">
        <f t="shared" si="584"/>
        <v>2014</v>
      </c>
      <c r="W765" s="612">
        <f t="shared" si="585"/>
        <v>0</v>
      </c>
      <c r="X765" s="473"/>
      <c r="Y765" s="478"/>
      <c r="Z765" s="449"/>
      <c r="AA765" s="554" t="s">
        <v>4179</v>
      </c>
      <c r="AB765" s="491"/>
      <c r="AC765" s="491"/>
      <c r="AD765" s="567"/>
      <c r="AE765" s="491"/>
      <c r="AF765" s="568"/>
      <c r="AG765" s="491"/>
      <c r="AH765" s="491"/>
      <c r="AI765" s="477"/>
      <c r="AJ765" s="478"/>
      <c r="AK765" s="479"/>
      <c r="AL765" s="480"/>
      <c r="AM765" s="474"/>
      <c r="AN765" s="481"/>
      <c r="AO765" s="474"/>
      <c r="AP765" s="476"/>
      <c r="AQ765" s="482"/>
      <c r="AR765" s="478"/>
      <c r="AS765" s="478"/>
      <c r="AT765" s="476"/>
      <c r="AU765" s="482"/>
      <c r="AV765" s="478"/>
      <c r="AW765" s="483"/>
      <c r="AX765" s="476"/>
      <c r="AY765" s="482"/>
      <c r="AZ765" s="478"/>
      <c r="BA765" s="484"/>
      <c r="BB765" s="474"/>
      <c r="BC765" s="485"/>
      <c r="BD765" s="485"/>
      <c r="BG765" s="487"/>
    </row>
    <row r="766" spans="1:59" s="486" customFormat="1" ht="18" customHeight="1" x14ac:dyDescent="0.2">
      <c r="A766" s="1368" t="str">
        <f t="shared" si="571"/>
        <v>SIMP. SEI. ALA - SEI. ALA2015</v>
      </c>
      <c r="B766" s="1373"/>
      <c r="C766" s="463"/>
      <c r="D766" s="489"/>
      <c r="E766" s="465"/>
      <c r="F766" s="559">
        <v>2015</v>
      </c>
      <c r="G766" s="620">
        <v>0</v>
      </c>
      <c r="H766" s="464">
        <f t="shared" si="572"/>
        <v>0</v>
      </c>
      <c r="I766" s="560"/>
      <c r="J766" s="468">
        <f t="shared" si="573"/>
        <v>2014</v>
      </c>
      <c r="K766" s="490">
        <f t="shared" si="574"/>
        <v>0</v>
      </c>
      <c r="L766" s="469">
        <f t="shared" si="575"/>
        <v>0</v>
      </c>
      <c r="M766" s="683">
        <f t="shared" si="576"/>
        <v>0</v>
      </c>
      <c r="N766" s="470">
        <f t="shared" si="577"/>
        <v>0</v>
      </c>
      <c r="O766" s="468">
        <f t="shared" si="578"/>
        <v>2014</v>
      </c>
      <c r="P766" s="616">
        <f t="shared" si="579"/>
        <v>0</v>
      </c>
      <c r="Q766" s="472">
        <f t="shared" si="580"/>
        <v>0</v>
      </c>
      <c r="R766" s="472">
        <f t="shared" si="586"/>
        <v>0</v>
      </c>
      <c r="S766" s="1189">
        <f t="shared" si="581"/>
        <v>2015</v>
      </c>
      <c r="T766" s="470">
        <f t="shared" si="582"/>
        <v>1</v>
      </c>
      <c r="U766" s="612">
        <f t="shared" si="583"/>
        <v>0</v>
      </c>
      <c r="V766" s="464">
        <f t="shared" si="584"/>
        <v>2015</v>
      </c>
      <c r="W766" s="612">
        <f t="shared" si="585"/>
        <v>0</v>
      </c>
      <c r="X766" s="473"/>
      <c r="Y766" s="478"/>
      <c r="Z766" s="449"/>
      <c r="AA766" s="492"/>
      <c r="AB766" s="476"/>
      <c r="AC766" s="476"/>
      <c r="AD766" s="567"/>
      <c r="AE766" s="476"/>
      <c r="AF766" s="568"/>
      <c r="AG766" s="476"/>
      <c r="AH766" s="476"/>
      <c r="AI766" s="477"/>
      <c r="AJ766" s="478"/>
      <c r="AK766" s="479"/>
      <c r="AL766" s="480"/>
      <c r="AM766" s="474"/>
      <c r="AN766" s="481"/>
      <c r="AO766" s="474"/>
      <c r="AP766" s="476"/>
      <c r="AQ766" s="482"/>
      <c r="AR766" s="478"/>
      <c r="AS766" s="478"/>
      <c r="AT766" s="476"/>
      <c r="AU766" s="482"/>
      <c r="AV766" s="478"/>
      <c r="AW766" s="483"/>
      <c r="AX766" s="476"/>
      <c r="AY766" s="482"/>
      <c r="AZ766" s="478"/>
      <c r="BA766" s="484"/>
      <c r="BB766" s="474"/>
      <c r="BC766" s="485"/>
      <c r="BD766" s="485"/>
      <c r="BG766" s="487"/>
    </row>
    <row r="767" spans="1:59" s="486" customFormat="1" ht="18" customHeight="1" x14ac:dyDescent="0.2">
      <c r="A767" s="1368" t="str">
        <f t="shared" si="571"/>
        <v>SIMP. SEI. ALA - SEI. ALA2016</v>
      </c>
      <c r="B767" s="1373"/>
      <c r="C767" s="463"/>
      <c r="D767" s="489"/>
      <c r="E767" s="465"/>
      <c r="F767" s="466">
        <v>2016</v>
      </c>
      <c r="G767" s="620">
        <v>0</v>
      </c>
      <c r="H767" s="464">
        <f t="shared" si="572"/>
        <v>0</v>
      </c>
      <c r="I767" s="560"/>
      <c r="J767" s="468">
        <f t="shared" si="573"/>
        <v>2015</v>
      </c>
      <c r="K767" s="490">
        <f t="shared" si="574"/>
        <v>0</v>
      </c>
      <c r="L767" s="469">
        <f t="shared" si="575"/>
        <v>0</v>
      </c>
      <c r="M767" s="683">
        <f t="shared" si="576"/>
        <v>0</v>
      </c>
      <c r="N767" s="470">
        <f t="shared" si="577"/>
        <v>0</v>
      </c>
      <c r="O767" s="468">
        <f t="shared" si="578"/>
        <v>2015</v>
      </c>
      <c r="P767" s="616">
        <f t="shared" si="579"/>
        <v>0</v>
      </c>
      <c r="Q767" s="472">
        <f t="shared" si="580"/>
        <v>0</v>
      </c>
      <c r="R767" s="472">
        <f t="shared" si="586"/>
        <v>0</v>
      </c>
      <c r="S767" s="1189">
        <f t="shared" si="581"/>
        <v>2016</v>
      </c>
      <c r="T767" s="470">
        <f t="shared" si="582"/>
        <v>1</v>
      </c>
      <c r="U767" s="612">
        <f t="shared" si="583"/>
        <v>0</v>
      </c>
      <c r="V767" s="464">
        <f t="shared" si="584"/>
        <v>2016</v>
      </c>
      <c r="W767" s="612">
        <f t="shared" si="585"/>
        <v>0</v>
      </c>
      <c r="X767" s="473"/>
      <c r="Y767" s="478"/>
      <c r="Z767" s="449"/>
      <c r="AA767" s="475" t="s">
        <v>4180</v>
      </c>
      <c r="AB767" s="476"/>
      <c r="AC767" s="476"/>
      <c r="AD767" s="567">
        <f>G772</f>
        <v>3329426000</v>
      </c>
      <c r="AE767" s="476"/>
      <c r="AF767" s="568"/>
      <c r="AG767" s="476"/>
      <c r="AH767" s="476"/>
      <c r="AI767" s="477"/>
      <c r="AJ767" s="478"/>
      <c r="AK767" s="479"/>
      <c r="AL767" s="480"/>
      <c r="AM767" s="474"/>
      <c r="AN767" s="481"/>
      <c r="AO767" s="474"/>
      <c r="AP767" s="476"/>
      <c r="AQ767" s="482"/>
      <c r="AR767" s="478"/>
      <c r="AS767" s="478"/>
      <c r="AT767" s="476"/>
      <c r="AU767" s="482"/>
      <c r="AV767" s="478"/>
      <c r="AW767" s="483"/>
      <c r="AX767" s="476"/>
      <c r="AY767" s="482"/>
      <c r="AZ767" s="478"/>
      <c r="BA767" s="484"/>
      <c r="BB767" s="474"/>
      <c r="BC767" s="485"/>
      <c r="BD767" s="485"/>
      <c r="BG767" s="487"/>
    </row>
    <row r="768" spans="1:59" s="486" customFormat="1" ht="18" customHeight="1" x14ac:dyDescent="0.2">
      <c r="A768" s="1368" t="str">
        <f t="shared" si="571"/>
        <v>SIMP. SEI. ALA - SEI. ALA2017</v>
      </c>
      <c r="B768" s="1373"/>
      <c r="C768" s="463"/>
      <c r="D768" s="489"/>
      <c r="E768" s="465"/>
      <c r="F768" s="559">
        <v>2017</v>
      </c>
      <c r="G768" s="620">
        <v>0</v>
      </c>
      <c r="H768" s="464">
        <f t="shared" si="572"/>
        <v>0</v>
      </c>
      <c r="I768" s="560"/>
      <c r="J768" s="468">
        <f t="shared" si="573"/>
        <v>2016</v>
      </c>
      <c r="K768" s="490">
        <f t="shared" si="574"/>
        <v>0</v>
      </c>
      <c r="L768" s="469">
        <f t="shared" si="575"/>
        <v>0</v>
      </c>
      <c r="M768" s="683">
        <f t="shared" si="576"/>
        <v>0</v>
      </c>
      <c r="N768" s="470">
        <f t="shared" si="577"/>
        <v>0</v>
      </c>
      <c r="O768" s="468">
        <f t="shared" si="578"/>
        <v>2016</v>
      </c>
      <c r="P768" s="616">
        <f t="shared" si="579"/>
        <v>0</v>
      </c>
      <c r="Q768" s="472">
        <f t="shared" si="580"/>
        <v>0</v>
      </c>
      <c r="R768" s="472">
        <f t="shared" si="586"/>
        <v>0</v>
      </c>
      <c r="S768" s="1189">
        <f t="shared" si="581"/>
        <v>2017</v>
      </c>
      <c r="T768" s="470">
        <f t="shared" si="582"/>
        <v>1</v>
      </c>
      <c r="U768" s="612">
        <f t="shared" si="583"/>
        <v>0</v>
      </c>
      <c r="V768" s="464">
        <f t="shared" si="584"/>
        <v>2017</v>
      </c>
      <c r="W768" s="612">
        <f t="shared" si="585"/>
        <v>0</v>
      </c>
      <c r="X768" s="473"/>
      <c r="Y768" s="478"/>
      <c r="Z768" s="449"/>
      <c r="AA768" s="475" t="s">
        <v>4181</v>
      </c>
      <c r="AB768" s="491"/>
      <c r="AC768" s="491"/>
      <c r="AD768" s="567">
        <f>U772</f>
        <v>1283342600</v>
      </c>
      <c r="AE768" s="476"/>
      <c r="AF768" s="568"/>
      <c r="AG768" s="476"/>
      <c r="AH768" s="476"/>
      <c r="AI768" s="477"/>
      <c r="AJ768" s="478"/>
      <c r="AK768" s="479"/>
      <c r="AL768" s="480"/>
      <c r="AM768" s="474"/>
      <c r="AN768" s="481"/>
      <c r="AO768" s="474"/>
      <c r="AP768" s="476"/>
      <c r="AQ768" s="482"/>
      <c r="AR768" s="478"/>
      <c r="AS768" s="478"/>
      <c r="AT768" s="476"/>
      <c r="AU768" s="482"/>
      <c r="AV768" s="478"/>
      <c r="AW768" s="483"/>
      <c r="AX768" s="476"/>
      <c r="AY768" s="482"/>
      <c r="AZ768" s="478"/>
      <c r="BA768" s="484"/>
      <c r="BB768" s="474"/>
      <c r="BC768" s="485"/>
      <c r="BD768" s="485"/>
      <c r="BG768" s="487"/>
    </row>
    <row r="769" spans="1:59" s="486" customFormat="1" ht="18" customHeight="1" x14ac:dyDescent="0.2">
      <c r="A769" s="1368" t="str">
        <f t="shared" si="571"/>
        <v>SIMP. SEI. ALA - SEI. ALA2018</v>
      </c>
      <c r="B769" s="1373"/>
      <c r="C769" s="463"/>
      <c r="D769" s="489"/>
      <c r="E769" s="465"/>
      <c r="F769" s="466">
        <v>2018</v>
      </c>
      <c r="G769" s="620">
        <v>0</v>
      </c>
      <c r="H769" s="464">
        <f t="shared" si="572"/>
        <v>0</v>
      </c>
      <c r="I769" s="560"/>
      <c r="J769" s="468">
        <f t="shared" si="573"/>
        <v>2017</v>
      </c>
      <c r="K769" s="490">
        <f t="shared" si="574"/>
        <v>0</v>
      </c>
      <c r="L769" s="469">
        <f t="shared" si="575"/>
        <v>0</v>
      </c>
      <c r="M769" s="683">
        <f t="shared" si="576"/>
        <v>0</v>
      </c>
      <c r="N769" s="470">
        <f t="shared" si="577"/>
        <v>0</v>
      </c>
      <c r="O769" s="468">
        <f t="shared" si="578"/>
        <v>2017</v>
      </c>
      <c r="P769" s="616">
        <f t="shared" si="579"/>
        <v>0</v>
      </c>
      <c r="Q769" s="472">
        <f t="shared" si="580"/>
        <v>0</v>
      </c>
      <c r="R769" s="472">
        <f t="shared" si="586"/>
        <v>0</v>
      </c>
      <c r="S769" s="1189">
        <f t="shared" si="581"/>
        <v>2018</v>
      </c>
      <c r="T769" s="470">
        <f t="shared" si="582"/>
        <v>1</v>
      </c>
      <c r="U769" s="612">
        <f t="shared" si="583"/>
        <v>0</v>
      </c>
      <c r="V769" s="464">
        <f t="shared" si="584"/>
        <v>2018</v>
      </c>
      <c r="W769" s="612">
        <f t="shared" si="585"/>
        <v>0</v>
      </c>
      <c r="X769" s="473"/>
      <c r="Y769" s="478"/>
      <c r="Z769" s="449"/>
      <c r="AA769" s="492" t="s">
        <v>4182</v>
      </c>
      <c r="AB769" s="476"/>
      <c r="AC769" s="476"/>
      <c r="AD769" s="567">
        <f>AD767-AD768</f>
        <v>2046083400</v>
      </c>
      <c r="AE769" s="476"/>
      <c r="AF769" s="568"/>
      <c r="AG769" s="476"/>
      <c r="AH769" s="476"/>
      <c r="AI769" s="477"/>
      <c r="AJ769" s="478"/>
      <c r="AK769" s="479"/>
      <c r="AL769" s="480"/>
      <c r="AM769" s="474"/>
      <c r="AN769" s="481"/>
      <c r="AO769" s="474"/>
      <c r="AP769" s="476"/>
      <c r="AQ769" s="482"/>
      <c r="AR769" s="478"/>
      <c r="AS769" s="478"/>
      <c r="AT769" s="476"/>
      <c r="AU769" s="482"/>
      <c r="AV769" s="478"/>
      <c r="AW769" s="483"/>
      <c r="AX769" s="476"/>
      <c r="AY769" s="482"/>
      <c r="AZ769" s="478"/>
      <c r="BA769" s="484"/>
      <c r="BB769" s="474"/>
      <c r="BC769" s="485"/>
      <c r="BD769" s="485"/>
      <c r="BG769" s="487"/>
    </row>
    <row r="770" spans="1:59" s="486" customFormat="1" ht="18" customHeight="1" x14ac:dyDescent="0.2">
      <c r="A770" s="1368" t="str">
        <f t="shared" si="571"/>
        <v>SIMP. SEI. ALA - SEI. ALA2019</v>
      </c>
      <c r="B770" s="1373">
        <v>2</v>
      </c>
      <c r="C770" s="463" t="s">
        <v>5684</v>
      </c>
      <c r="D770" s="489" t="s">
        <v>3820</v>
      </c>
      <c r="E770" s="465"/>
      <c r="F770" s="466">
        <v>2019</v>
      </c>
      <c r="G770" s="620">
        <v>2273426000</v>
      </c>
      <c r="H770" s="557">
        <f>VLOOKUP(LEFT(D770,8),UE,4)</f>
        <v>10</v>
      </c>
      <c r="I770" s="560"/>
      <c r="J770" s="468">
        <f t="shared" si="573"/>
        <v>2028</v>
      </c>
      <c r="K770" s="490">
        <f t="shared" si="574"/>
        <v>1</v>
      </c>
      <c r="L770" s="469">
        <f t="shared" si="575"/>
        <v>10</v>
      </c>
      <c r="M770" s="683">
        <f t="shared" si="576"/>
        <v>0</v>
      </c>
      <c r="N770" s="470">
        <f t="shared" si="577"/>
        <v>10</v>
      </c>
      <c r="O770" s="468">
        <f t="shared" si="578"/>
        <v>2028</v>
      </c>
      <c r="P770" s="616">
        <f t="shared" si="579"/>
        <v>0</v>
      </c>
      <c r="Q770" s="472">
        <f t="shared" si="580"/>
        <v>2273426000</v>
      </c>
      <c r="R770" s="472">
        <f t="shared" si="586"/>
        <v>227342600</v>
      </c>
      <c r="S770" s="1189">
        <f t="shared" si="581"/>
        <v>2019</v>
      </c>
      <c r="T770" s="470">
        <f t="shared" si="582"/>
        <v>1</v>
      </c>
      <c r="U770" s="612">
        <f t="shared" si="583"/>
        <v>227342600</v>
      </c>
      <c r="V770" s="464">
        <f t="shared" si="584"/>
        <v>2019</v>
      </c>
      <c r="W770" s="612">
        <f t="shared" si="585"/>
        <v>2046083400</v>
      </c>
      <c r="X770" s="473"/>
      <c r="Y770" s="478"/>
      <c r="Z770" s="449"/>
      <c r="AA770" s="492"/>
      <c r="AB770" s="476"/>
      <c r="AC770" s="476"/>
      <c r="AD770" s="567"/>
      <c r="AE770" s="476"/>
      <c r="AF770" s="568"/>
      <c r="AG770" s="476"/>
      <c r="AH770" s="476"/>
      <c r="AI770" s="477"/>
      <c r="AJ770" s="478"/>
      <c r="AK770" s="479"/>
      <c r="AL770" s="480"/>
      <c r="AM770" s="474"/>
      <c r="AN770" s="481"/>
      <c r="AO770" s="474"/>
      <c r="AP770" s="476"/>
      <c r="AQ770" s="482"/>
      <c r="AR770" s="478"/>
      <c r="AS770" s="478"/>
      <c r="AT770" s="476"/>
      <c r="AU770" s="482"/>
      <c r="AV770" s="478"/>
      <c r="AW770" s="483"/>
      <c r="AX770" s="476"/>
      <c r="AY770" s="482"/>
      <c r="AZ770" s="478"/>
      <c r="BA770" s="484"/>
      <c r="BB770" s="474"/>
      <c r="BC770" s="485"/>
      <c r="BD770" s="485"/>
      <c r="BG770" s="487"/>
    </row>
    <row r="771" spans="1:59" s="486" customFormat="1" ht="18" customHeight="1" x14ac:dyDescent="0.2">
      <c r="A771" s="1368" t="str">
        <f>LEFT(D771,8)</f>
        <v/>
      </c>
      <c r="B771" s="687"/>
      <c r="C771" s="463"/>
      <c r="D771" s="489"/>
      <c r="E771" s="465"/>
      <c r="F771" s="466"/>
      <c r="G771" s="620"/>
      <c r="H771" s="464"/>
      <c r="I771" s="467"/>
      <c r="J771" s="468"/>
      <c r="K771" s="574"/>
      <c r="L771" s="469"/>
      <c r="M771" s="683"/>
      <c r="N771" s="470"/>
      <c r="O771" s="468"/>
      <c r="P771" s="616"/>
      <c r="Q771" s="472"/>
      <c r="R771" s="472"/>
      <c r="S771" s="1189"/>
      <c r="T771" s="470"/>
      <c r="U771" s="612"/>
      <c r="V771" s="464"/>
      <c r="W771" s="612"/>
      <c r="X771" s="473"/>
      <c r="Y771" s="478"/>
      <c r="Z771" s="449"/>
      <c r="AA771" s="531" t="s">
        <v>4183</v>
      </c>
      <c r="AB771" s="496"/>
      <c r="AC771" s="496"/>
      <c r="AD771" s="569">
        <f>AD769-W772</f>
        <v>0</v>
      </c>
      <c r="AE771" s="476"/>
      <c r="AF771" s="568"/>
      <c r="AG771" s="476"/>
      <c r="AH771" s="476"/>
      <c r="AI771" s="477"/>
      <c r="AJ771" s="478"/>
      <c r="AK771" s="479"/>
      <c r="AL771" s="480"/>
      <c r="AM771" s="474"/>
      <c r="AN771" s="481"/>
      <c r="AO771" s="474"/>
      <c r="AP771" s="476"/>
      <c r="AQ771" s="482"/>
      <c r="AR771" s="478"/>
      <c r="AS771" s="478"/>
      <c r="AT771" s="476"/>
      <c r="AU771" s="482"/>
      <c r="AV771" s="478"/>
      <c r="AW771" s="483"/>
      <c r="AX771" s="476"/>
      <c r="AY771" s="482"/>
      <c r="AZ771" s="478"/>
      <c r="BA771" s="484"/>
      <c r="BB771" s="474"/>
      <c r="BC771" s="485"/>
      <c r="BD771" s="485"/>
      <c r="BG771" s="487"/>
    </row>
    <row r="772" spans="1:59" s="526" customFormat="1" ht="18" customHeight="1" x14ac:dyDescent="0.2">
      <c r="A772" s="1370" t="s">
        <v>4184</v>
      </c>
      <c r="B772" s="1956" t="s">
        <v>4184</v>
      </c>
      <c r="C772" s="1957"/>
      <c r="D772" s="1957"/>
      <c r="E772" s="1957"/>
      <c r="F772" s="1958"/>
      <c r="G772" s="624">
        <f>SUM(G760:G771)</f>
        <v>3329426000</v>
      </c>
      <c r="H772" s="505"/>
      <c r="I772" s="506"/>
      <c r="J772" s="507"/>
      <c r="K772" s="507"/>
      <c r="L772" s="505"/>
      <c r="M772" s="684"/>
      <c r="N772" s="508"/>
      <c r="O772" s="507"/>
      <c r="P772" s="749"/>
      <c r="Q772" s="510"/>
      <c r="R772" s="511"/>
      <c r="S772" s="512"/>
      <c r="T772" s="512"/>
      <c r="U772" s="610">
        <f>SUM(U760:U771)</f>
        <v>1283342600</v>
      </c>
      <c r="V772" s="513"/>
      <c r="W772" s="610">
        <f>G772-U772</f>
        <v>2046083400</v>
      </c>
      <c r="X772" s="514"/>
      <c r="Y772" s="515"/>
      <c r="Z772" s="515"/>
      <c r="AA772" s="515"/>
      <c r="AB772" s="515"/>
      <c r="AC772" s="515"/>
      <c r="AD772" s="570"/>
      <c r="AE772" s="515"/>
      <c r="AF772" s="570">
        <v>1758315425.0999999</v>
      </c>
      <c r="AG772" s="515"/>
      <c r="AH772" s="515"/>
      <c r="AI772" s="516"/>
      <c r="AJ772" s="517"/>
      <c r="AK772" s="518"/>
      <c r="AL772" s="519"/>
      <c r="AM772" s="520"/>
      <c r="AN772" s="521"/>
      <c r="AO772" s="520"/>
      <c r="AP772" s="515"/>
      <c r="AQ772" s="522"/>
      <c r="AR772" s="517"/>
      <c r="AS772" s="517"/>
      <c r="AT772" s="515"/>
      <c r="AU772" s="522"/>
      <c r="AV772" s="517"/>
      <c r="AW772" s="523"/>
      <c r="AX772" s="515"/>
      <c r="AY772" s="522"/>
      <c r="AZ772" s="517"/>
      <c r="BA772" s="524"/>
      <c r="BB772" s="520"/>
      <c r="BC772" s="525"/>
      <c r="BD772" s="525"/>
      <c r="BG772" s="527"/>
    </row>
    <row r="773" spans="1:59" x14ac:dyDescent="0.2">
      <c r="AF773" s="562">
        <v>2608841133.5999994</v>
      </c>
    </row>
    <row r="775" spans="1:59" s="422" customFormat="1" ht="18" customHeight="1" x14ac:dyDescent="0.2">
      <c r="A775" s="1366">
        <f>C775</f>
        <v>122</v>
      </c>
      <c r="B775" s="742" t="s">
        <v>4187</v>
      </c>
      <c r="C775" s="556">
        <v>122</v>
      </c>
      <c r="D775" s="553" t="str">
        <f>VLOOKUP(C775,RUAS,2,FALSE)</f>
        <v>SIMP. SEI. PINANG - TANJUNG</v>
      </c>
      <c r="E775" s="553"/>
      <c r="F775" s="421"/>
      <c r="G775" s="611"/>
      <c r="I775" s="423"/>
      <c r="J775" s="424"/>
      <c r="K775" s="424"/>
      <c r="M775" s="680"/>
      <c r="P775" s="611"/>
      <c r="U775" s="611"/>
      <c r="W775" s="611"/>
      <c r="Y775" s="425"/>
      <c r="Z775" s="425"/>
      <c r="AA775" s="425"/>
      <c r="AB775" s="425"/>
      <c r="AC775" s="425"/>
      <c r="AD775" s="563"/>
      <c r="AE775" s="425"/>
      <c r="AF775" s="563"/>
      <c r="AG775" s="425"/>
      <c r="AH775" s="425"/>
      <c r="AI775" s="425"/>
      <c r="AJ775" s="425"/>
      <c r="AK775" s="425"/>
      <c r="AL775" s="425"/>
      <c r="AM775" s="425"/>
      <c r="AN775" s="425"/>
      <c r="AO775" s="425"/>
      <c r="AP775" s="425"/>
      <c r="AQ775" s="425"/>
      <c r="AR775" s="425"/>
      <c r="AS775" s="425"/>
      <c r="AT775" s="425"/>
      <c r="AU775" s="425"/>
      <c r="AV775" s="425"/>
      <c r="AW775" s="425"/>
      <c r="AX775" s="425"/>
      <c r="AY775" s="425"/>
      <c r="AZ775" s="425"/>
      <c r="BA775" s="425"/>
      <c r="BB775" s="425"/>
    </row>
    <row r="776" spans="1:59" s="431" customFormat="1" ht="18" customHeight="1" x14ac:dyDescent="0.2">
      <c r="A776" s="1367"/>
      <c r="B776" s="1968" t="s">
        <v>5</v>
      </c>
      <c r="C776" s="1968" t="s">
        <v>2280</v>
      </c>
      <c r="D776" s="1968" t="s">
        <v>4157</v>
      </c>
      <c r="E776" s="1968" t="s">
        <v>4158</v>
      </c>
      <c r="F776" s="1968"/>
      <c r="G776" s="1969" t="s">
        <v>4159</v>
      </c>
      <c r="H776" s="1968" t="s">
        <v>4160</v>
      </c>
      <c r="I776" s="1968"/>
      <c r="J776" s="1968" t="s">
        <v>4185</v>
      </c>
      <c r="K776" s="1964" t="s">
        <v>4162</v>
      </c>
      <c r="L776" s="1968" t="s">
        <v>4163</v>
      </c>
      <c r="M776" s="1971" t="s">
        <v>4164</v>
      </c>
      <c r="N776" s="1962" t="s">
        <v>4165</v>
      </c>
      <c r="O776" s="1968" t="s">
        <v>4166</v>
      </c>
      <c r="P776" s="1972" t="s">
        <v>4167</v>
      </c>
      <c r="Q776" s="1973"/>
      <c r="R776" s="1164" t="s">
        <v>4186</v>
      </c>
      <c r="S776" s="1972" t="s">
        <v>4169</v>
      </c>
      <c r="T776" s="1974"/>
      <c r="U776" s="1973"/>
      <c r="V776" s="1975" t="s">
        <v>4170</v>
      </c>
      <c r="W776" s="1975"/>
      <c r="X776" s="1960" t="s">
        <v>4171</v>
      </c>
      <c r="Y776" s="1959"/>
      <c r="Z776" s="1165"/>
      <c r="AA776" s="426"/>
      <c r="AB776" s="426"/>
      <c r="AC776" s="426"/>
      <c r="AD776" s="564"/>
      <c r="AE776" s="426"/>
      <c r="AF776" s="564"/>
      <c r="AG776" s="426"/>
      <c r="AH776" s="426"/>
      <c r="AI776" s="427"/>
      <c r="AJ776" s="427"/>
      <c r="AK776" s="427"/>
      <c r="AL776" s="427"/>
      <c r="AM776" s="428"/>
      <c r="AN776" s="427"/>
      <c r="AO776" s="427"/>
      <c r="AP776" s="426"/>
      <c r="AQ776" s="427"/>
      <c r="AR776" s="427"/>
      <c r="AS776" s="427"/>
      <c r="AT776" s="426"/>
      <c r="AU776" s="427"/>
      <c r="AV776" s="427"/>
      <c r="AW776" s="427"/>
      <c r="AX776" s="426"/>
      <c r="AY776" s="427"/>
      <c r="AZ776" s="427"/>
      <c r="BA776" s="427"/>
      <c r="BB776" s="429"/>
      <c r="BC776" s="430"/>
      <c r="BD776" s="430"/>
    </row>
    <row r="777" spans="1:59" s="431" customFormat="1" ht="18" customHeight="1" x14ac:dyDescent="0.2">
      <c r="A777" s="1367"/>
      <c r="B777" s="1968"/>
      <c r="C777" s="1968"/>
      <c r="D777" s="1968"/>
      <c r="E777" s="1968"/>
      <c r="F777" s="1968"/>
      <c r="G777" s="1969"/>
      <c r="H777" s="1968"/>
      <c r="I777" s="1968"/>
      <c r="J777" s="1968"/>
      <c r="K777" s="1970"/>
      <c r="L777" s="1968"/>
      <c r="M777" s="1971"/>
      <c r="N777" s="1963"/>
      <c r="O777" s="1968"/>
      <c r="P777" s="2037" t="s">
        <v>4172</v>
      </c>
      <c r="Q777" s="1960" t="s">
        <v>4173</v>
      </c>
      <c r="R777" s="1962" t="s">
        <v>4159</v>
      </c>
      <c r="S777" s="1962" t="s">
        <v>4174</v>
      </c>
      <c r="T777" s="1964" t="s">
        <v>4175</v>
      </c>
      <c r="U777" s="1966" t="s">
        <v>4159</v>
      </c>
      <c r="V777" s="1975"/>
      <c r="W777" s="1975"/>
      <c r="X777" s="1976"/>
      <c r="Y777" s="1959"/>
      <c r="Z777" s="1165"/>
      <c r="AA777" s="426"/>
      <c r="AB777" s="426"/>
      <c r="AC777" s="426"/>
      <c r="AD777" s="564"/>
      <c r="AE777" s="426"/>
      <c r="AF777" s="564"/>
      <c r="AG777" s="426"/>
      <c r="AH777" s="426"/>
      <c r="AI777" s="427"/>
      <c r="AJ777" s="427"/>
      <c r="AK777" s="426"/>
      <c r="AL777" s="427"/>
      <c r="AM777" s="428"/>
      <c r="AN777" s="427"/>
      <c r="AO777" s="427"/>
      <c r="AP777" s="432"/>
      <c r="AQ777" s="427"/>
      <c r="AR777" s="427"/>
      <c r="AS777" s="427"/>
      <c r="AT777" s="432"/>
      <c r="AU777" s="427"/>
      <c r="AV777" s="427"/>
      <c r="AW777" s="427"/>
      <c r="AX777" s="432"/>
      <c r="AY777" s="427"/>
      <c r="AZ777" s="427"/>
      <c r="BA777" s="427"/>
      <c r="BB777" s="429"/>
      <c r="BC777" s="430"/>
      <c r="BD777" s="430"/>
    </row>
    <row r="778" spans="1:59" s="431" customFormat="1" ht="18" customHeight="1" x14ac:dyDescent="0.2">
      <c r="A778" s="1367"/>
      <c r="B778" s="1968"/>
      <c r="C778" s="1968"/>
      <c r="D778" s="1968"/>
      <c r="E778" s="433" t="s">
        <v>4176</v>
      </c>
      <c r="F778" s="434" t="s">
        <v>2288</v>
      </c>
      <c r="G778" s="1969"/>
      <c r="H778" s="1162" t="s">
        <v>2288</v>
      </c>
      <c r="I778" s="1162" t="s">
        <v>4177</v>
      </c>
      <c r="J778" s="1968"/>
      <c r="K778" s="1965"/>
      <c r="L778" s="435" t="s">
        <v>2288</v>
      </c>
      <c r="M778" s="681" t="s">
        <v>2288</v>
      </c>
      <c r="N778" s="1162" t="s">
        <v>2288</v>
      </c>
      <c r="O778" s="1968"/>
      <c r="P778" s="2038"/>
      <c r="Q778" s="1961"/>
      <c r="R778" s="1963"/>
      <c r="S778" s="1963"/>
      <c r="T778" s="1965"/>
      <c r="U778" s="1967"/>
      <c r="V778" s="1162" t="s">
        <v>4178</v>
      </c>
      <c r="W778" s="1166" t="s">
        <v>4159</v>
      </c>
      <c r="X778" s="1961"/>
      <c r="Y778" s="436"/>
      <c r="Z778" s="436"/>
      <c r="AA778" s="426"/>
      <c r="AB778" s="426"/>
      <c r="AC778" s="426"/>
      <c r="AD778" s="564"/>
      <c r="AE778" s="426"/>
      <c r="AF778" s="564"/>
      <c r="AG778" s="426"/>
      <c r="AH778" s="426"/>
      <c r="AI778" s="427"/>
      <c r="AJ778" s="432"/>
      <c r="AK778" s="432"/>
      <c r="AL778" s="427"/>
      <c r="AM778" s="428"/>
      <c r="AN778" s="432"/>
      <c r="AO778" s="427"/>
      <c r="AP778" s="432"/>
      <c r="AQ778" s="432"/>
      <c r="AR778" s="427"/>
      <c r="AS778" s="427"/>
      <c r="AT778" s="432"/>
      <c r="AU778" s="432"/>
      <c r="AV778" s="427"/>
      <c r="AW778" s="427"/>
      <c r="AX778" s="432"/>
      <c r="AY778" s="432"/>
      <c r="AZ778" s="427"/>
      <c r="BA778" s="427"/>
      <c r="BB778" s="429"/>
      <c r="BC778" s="430"/>
      <c r="BD778" s="430"/>
    </row>
    <row r="779" spans="1:59" s="461" customFormat="1" ht="18" customHeight="1" x14ac:dyDescent="0.2">
      <c r="A779" s="1368" t="str">
        <f>$D$775&amp;S779</f>
        <v>SIMP. SEI. PINANG - TANJUNG2001</v>
      </c>
      <c r="B779" s="1373">
        <v>1</v>
      </c>
      <c r="C779" s="532" t="s">
        <v>483</v>
      </c>
      <c r="D779" s="437" t="s">
        <v>2494</v>
      </c>
      <c r="E779" s="438"/>
      <c r="F779" s="439">
        <v>2001</v>
      </c>
      <c r="G779" s="623">
        <v>4029052001.6100001</v>
      </c>
      <c r="H779" s="440">
        <f>VLOOKUP(LEFT(D779,8),UE,4)</f>
        <v>10</v>
      </c>
      <c r="I779" s="441"/>
      <c r="J779" s="442">
        <f>F779+N779-1</f>
        <v>2010</v>
      </c>
      <c r="K779" s="443"/>
      <c r="L779" s="440"/>
      <c r="M779" s="746">
        <f>IF(H779+L779&gt;$H779,$H779-H779,L779)</f>
        <v>0</v>
      </c>
      <c r="N779" s="444">
        <f>H779+M779</f>
        <v>10</v>
      </c>
      <c r="O779" s="442">
        <f>F779+N779-1</f>
        <v>2010</v>
      </c>
      <c r="P779" s="617">
        <f>G779</f>
        <v>4029052001.6100001</v>
      </c>
      <c r="Q779" s="445">
        <v>0</v>
      </c>
      <c r="R779" s="445">
        <f>P779/N779</f>
        <v>402905200.16100001</v>
      </c>
      <c r="S779" s="446">
        <f t="shared" ref="S779:S788" si="587">F779</f>
        <v>2001</v>
      </c>
      <c r="T779" s="447">
        <v>1</v>
      </c>
      <c r="U779" s="613">
        <f t="shared" ref="U779:U788" si="588">R779*T779</f>
        <v>402905200.16100001</v>
      </c>
      <c r="V779" s="442">
        <f>F779</f>
        <v>2001</v>
      </c>
      <c r="W779" s="617">
        <f>IF(OR(AND(ISBLANK(E779),ISBLANK(G779)),ISTEXT(E779),ISTEXT(G779)),"",G779-R779)</f>
        <v>3626146801.4490004</v>
      </c>
      <c r="X779" s="448"/>
      <c r="Y779" s="449"/>
      <c r="Z779" s="449"/>
      <c r="AA779" s="693"/>
      <c r="AB779" s="452"/>
      <c r="AC779" s="452"/>
      <c r="AD779" s="571"/>
      <c r="AE779" s="452"/>
      <c r="AF779" s="571"/>
      <c r="AG779" s="452"/>
      <c r="AH779" s="452"/>
      <c r="AI779" s="453"/>
      <c r="AJ779" s="449"/>
      <c r="AK779" s="453"/>
      <c r="AL779" s="454"/>
      <c r="AM779" s="455"/>
      <c r="AN779" s="456"/>
      <c r="AO779" s="455"/>
      <c r="AP779" s="452"/>
      <c r="AQ779" s="457"/>
      <c r="AR779" s="449"/>
      <c r="AS779" s="449"/>
      <c r="AT779" s="452"/>
      <c r="AU779" s="457"/>
      <c r="AV779" s="449"/>
      <c r="AW779" s="458"/>
      <c r="AX779" s="452"/>
      <c r="AY779" s="457"/>
      <c r="AZ779" s="449"/>
      <c r="BA779" s="459"/>
      <c r="BB779" s="455"/>
      <c r="BC779" s="460"/>
      <c r="BD779" s="460"/>
      <c r="BG779" s="462"/>
    </row>
    <row r="780" spans="1:59" s="461" customFormat="1" ht="18" customHeight="1" x14ac:dyDescent="0.2">
      <c r="A780" s="1368" t="str">
        <f t="shared" ref="A780:A789" si="589">$D$775&amp;S780</f>
        <v>SIMP. SEI. PINANG - TANJUNG2010</v>
      </c>
      <c r="B780" s="1373"/>
      <c r="C780" s="488"/>
      <c r="D780" s="489"/>
      <c r="E780" s="558"/>
      <c r="F780" s="559">
        <v>2010</v>
      </c>
      <c r="G780" s="619">
        <v>0</v>
      </c>
      <c r="H780" s="464">
        <f t="shared" ref="H780:H786" si="590">IF(N779-(F780-F779)&lt;=0,0,(N779-(F780-F779)))</f>
        <v>1</v>
      </c>
      <c r="I780" s="560"/>
      <c r="J780" s="468">
        <f>F780+N780-1</f>
        <v>2010</v>
      </c>
      <c r="K780" s="490">
        <f t="shared" ref="K780:K788" si="591">IF(G780=0,0,IF(H780=10,100%,G780/W779))</f>
        <v>0</v>
      </c>
      <c r="L780" s="469">
        <f t="shared" ref="L780:L788" si="592">IF(K780=0%,0,IF(K780&lt;=30%,2,IF(K780&lt;=60%,5,10)))</f>
        <v>0</v>
      </c>
      <c r="M780" s="683">
        <f>IF(OR(AND(ISBLANK(E780),ISBLANK(G780)),ISTEXT(E780),ISTEXT(G780)),"",IF(H780+L780&gt;$H$8,$H$8-H780,L780))</f>
        <v>0</v>
      </c>
      <c r="N780" s="470">
        <f>IF(OR(AND(ISBLANK(F780),ISBLANK(G780)),ISTEXT(F780),ISTEXT(G780)),"",H780+M780)</f>
        <v>1</v>
      </c>
      <c r="O780" s="468">
        <f>F780+N780-1</f>
        <v>2010</v>
      </c>
      <c r="P780" s="616">
        <f t="shared" ref="P780:P788" si="593">W779</f>
        <v>3626146801.4490004</v>
      </c>
      <c r="Q780" s="472">
        <f t="shared" ref="Q780:Q788" si="594">P780+G780</f>
        <v>3626146801.4490004</v>
      </c>
      <c r="R780" s="472">
        <f>IF(L780=0,R779,Q780/N780)</f>
        <v>402905200.16100001</v>
      </c>
      <c r="S780" s="1167">
        <f t="shared" si="587"/>
        <v>2010</v>
      </c>
      <c r="T780" s="470">
        <f>S780-S779</f>
        <v>9</v>
      </c>
      <c r="U780" s="612">
        <f t="shared" si="588"/>
        <v>3626146801.4490004</v>
      </c>
      <c r="V780" s="464">
        <f t="shared" ref="V780:V788" si="595">F780</f>
        <v>2010</v>
      </c>
      <c r="W780" s="612">
        <f t="shared" ref="W780:W788" si="596">IF(OR(AND(ISBLANK(E780),ISBLANK(G780)),ISTEXT(E780),ISTEXT(G780)),"",Q780-U780)</f>
        <v>0</v>
      </c>
      <c r="X780" s="561"/>
      <c r="Y780" s="449"/>
      <c r="Z780" s="449"/>
      <c r="AA780" s="693"/>
      <c r="AB780" s="452"/>
      <c r="AC780" s="452"/>
      <c r="AD780" s="571"/>
      <c r="AE780" s="452"/>
      <c r="AF780" s="571"/>
      <c r="AG780" s="452"/>
      <c r="AH780" s="452"/>
      <c r="AI780" s="453"/>
      <c r="AJ780" s="449"/>
      <c r="AK780" s="453"/>
      <c r="AL780" s="454"/>
      <c r="AM780" s="455"/>
      <c r="AN780" s="456"/>
      <c r="AO780" s="455"/>
      <c r="AP780" s="452"/>
      <c r="AQ780" s="457"/>
      <c r="AR780" s="449"/>
      <c r="AS780" s="449"/>
      <c r="AT780" s="452"/>
      <c r="AU780" s="457"/>
      <c r="AV780" s="449"/>
      <c r="AW780" s="458"/>
      <c r="AX780" s="452"/>
      <c r="AY780" s="457"/>
      <c r="AZ780" s="449"/>
      <c r="BA780" s="459"/>
      <c r="BB780" s="455"/>
      <c r="BC780" s="460"/>
      <c r="BD780" s="460"/>
      <c r="BG780" s="462"/>
    </row>
    <row r="781" spans="1:59" s="461" customFormat="1" ht="18" customHeight="1" x14ac:dyDescent="0.2">
      <c r="A781" s="1368" t="str">
        <f t="shared" si="589"/>
        <v>SIMP. SEI. PINANG - TANJUNG2011</v>
      </c>
      <c r="B781" s="1373"/>
      <c r="C781" s="488"/>
      <c r="D781" s="489"/>
      <c r="E781" s="558"/>
      <c r="F781" s="559">
        <v>2011</v>
      </c>
      <c r="G781" s="619">
        <v>0</v>
      </c>
      <c r="H781" s="464">
        <f t="shared" si="590"/>
        <v>0</v>
      </c>
      <c r="I781" s="560"/>
      <c r="J781" s="468">
        <f t="shared" ref="J781:J788" si="597">F781+N781-1</f>
        <v>2010</v>
      </c>
      <c r="K781" s="490">
        <f t="shared" si="591"/>
        <v>0</v>
      </c>
      <c r="L781" s="469">
        <f t="shared" si="592"/>
        <v>0</v>
      </c>
      <c r="M781" s="683">
        <f t="shared" ref="M781:M788" si="598">IF(OR(AND(ISBLANK(E781),ISBLANK(G781)),ISTEXT(E781),ISTEXT(G781)),"",IF(H781+L781&gt;$H$8,$H$8-H781,L781))</f>
        <v>0</v>
      </c>
      <c r="N781" s="470">
        <f t="shared" ref="N781:N788" si="599">IF(OR(AND(ISBLANK(F781),ISBLANK(G781)),ISTEXT(F781),ISTEXT(G781)),"",H781+M781)</f>
        <v>0</v>
      </c>
      <c r="O781" s="468">
        <f t="shared" ref="O781:O788" si="600">F781+N781-1</f>
        <v>2010</v>
      </c>
      <c r="P781" s="616">
        <f t="shared" si="593"/>
        <v>0</v>
      </c>
      <c r="Q781" s="472">
        <f t="shared" si="594"/>
        <v>0</v>
      </c>
      <c r="R781" s="472">
        <v>0</v>
      </c>
      <c r="S781" s="1167">
        <f t="shared" si="587"/>
        <v>2011</v>
      </c>
      <c r="T781" s="470">
        <f t="shared" ref="T781:T788" si="601">S781-S780</f>
        <v>1</v>
      </c>
      <c r="U781" s="612">
        <f t="shared" si="588"/>
        <v>0</v>
      </c>
      <c r="V781" s="464">
        <f t="shared" si="595"/>
        <v>2011</v>
      </c>
      <c r="W781" s="612">
        <f t="shared" si="596"/>
        <v>0</v>
      </c>
      <c r="X781" s="561"/>
      <c r="Y781" s="449"/>
      <c r="Z781" s="449"/>
      <c r="AA781" s="693"/>
      <c r="AB781" s="452"/>
      <c r="AC781" s="452"/>
      <c r="AD781" s="571"/>
      <c r="AE781" s="452"/>
      <c r="AF781" s="571"/>
      <c r="AG781" s="452"/>
      <c r="AH781" s="452"/>
      <c r="AI781" s="453"/>
      <c r="AJ781" s="449"/>
      <c r="AK781" s="453"/>
      <c r="AL781" s="454"/>
      <c r="AM781" s="455"/>
      <c r="AN781" s="456"/>
      <c r="AO781" s="455"/>
      <c r="AP781" s="452"/>
      <c r="AQ781" s="457"/>
      <c r="AR781" s="449"/>
      <c r="AS781" s="449"/>
      <c r="AT781" s="452"/>
      <c r="AU781" s="457"/>
      <c r="AV781" s="449"/>
      <c r="AW781" s="458"/>
      <c r="AX781" s="452"/>
      <c r="AY781" s="457"/>
      <c r="AZ781" s="449"/>
      <c r="BA781" s="459"/>
      <c r="BB781" s="455"/>
      <c r="BC781" s="460"/>
      <c r="BD781" s="460"/>
      <c r="BG781" s="462"/>
    </row>
    <row r="782" spans="1:59" s="461" customFormat="1" ht="18" customHeight="1" x14ac:dyDescent="0.2">
      <c r="A782" s="1368" t="str">
        <f t="shared" si="589"/>
        <v>SIMP. SEI. PINANG - TANJUNG2012</v>
      </c>
      <c r="B782" s="1373"/>
      <c r="C782" s="488"/>
      <c r="D782" s="489"/>
      <c r="E782" s="558"/>
      <c r="F782" s="559">
        <v>2012</v>
      </c>
      <c r="G782" s="619">
        <v>0</v>
      </c>
      <c r="H782" s="464">
        <f t="shared" si="590"/>
        <v>0</v>
      </c>
      <c r="I782" s="560"/>
      <c r="J782" s="468">
        <f t="shared" si="597"/>
        <v>2011</v>
      </c>
      <c r="K782" s="490">
        <f t="shared" si="591"/>
        <v>0</v>
      </c>
      <c r="L782" s="469">
        <f t="shared" si="592"/>
        <v>0</v>
      </c>
      <c r="M782" s="683">
        <f t="shared" si="598"/>
        <v>0</v>
      </c>
      <c r="N782" s="470">
        <f t="shared" si="599"/>
        <v>0</v>
      </c>
      <c r="O782" s="468">
        <f t="shared" si="600"/>
        <v>2011</v>
      </c>
      <c r="P782" s="616">
        <f t="shared" si="593"/>
        <v>0</v>
      </c>
      <c r="Q782" s="472">
        <f t="shared" si="594"/>
        <v>0</v>
      </c>
      <c r="R782" s="472">
        <f t="shared" ref="R782:R788" si="602">IF(L782=0,R781,Q782/N782)</f>
        <v>0</v>
      </c>
      <c r="S782" s="1167">
        <f t="shared" si="587"/>
        <v>2012</v>
      </c>
      <c r="T782" s="470">
        <f t="shared" si="601"/>
        <v>1</v>
      </c>
      <c r="U782" s="612">
        <f t="shared" si="588"/>
        <v>0</v>
      </c>
      <c r="V782" s="464">
        <f t="shared" si="595"/>
        <v>2012</v>
      </c>
      <c r="W782" s="612">
        <f t="shared" si="596"/>
        <v>0</v>
      </c>
      <c r="X782" s="561"/>
      <c r="Y782" s="449"/>
      <c r="Z782" s="449"/>
      <c r="AA782" s="693"/>
      <c r="AB782" s="452"/>
      <c r="AC782" s="452"/>
      <c r="AD782" s="571"/>
      <c r="AE782" s="452"/>
      <c r="AF782" s="571"/>
      <c r="AG782" s="452"/>
      <c r="AH782" s="452"/>
      <c r="AI782" s="453"/>
      <c r="AJ782" s="449"/>
      <c r="AK782" s="453"/>
      <c r="AL782" s="454"/>
      <c r="AM782" s="455"/>
      <c r="AN782" s="456"/>
      <c r="AO782" s="455"/>
      <c r="AP782" s="452"/>
      <c r="AQ782" s="457"/>
      <c r="AR782" s="449"/>
      <c r="AS782" s="449"/>
      <c r="AT782" s="452"/>
      <c r="AU782" s="457"/>
      <c r="AV782" s="449"/>
      <c r="AW782" s="458"/>
      <c r="AX782" s="452"/>
      <c r="AY782" s="457"/>
      <c r="AZ782" s="449"/>
      <c r="BA782" s="459"/>
      <c r="BB782" s="455"/>
      <c r="BC782" s="460"/>
      <c r="BD782" s="460"/>
      <c r="BG782" s="462"/>
    </row>
    <row r="783" spans="1:59" s="486" customFormat="1" ht="18" customHeight="1" x14ac:dyDescent="0.2">
      <c r="A783" s="1368" t="str">
        <f t="shared" si="589"/>
        <v>SIMP. SEI. PINANG - TANJUNG2013</v>
      </c>
      <c r="B783" s="1373"/>
      <c r="C783" s="488"/>
      <c r="D783" s="489"/>
      <c r="E783" s="558"/>
      <c r="F783" s="559">
        <v>2013</v>
      </c>
      <c r="G783" s="619">
        <v>0</v>
      </c>
      <c r="H783" s="464">
        <f t="shared" si="590"/>
        <v>0</v>
      </c>
      <c r="I783" s="467"/>
      <c r="J783" s="468">
        <f t="shared" si="597"/>
        <v>2012</v>
      </c>
      <c r="K783" s="490">
        <f t="shared" si="591"/>
        <v>0</v>
      </c>
      <c r="L783" s="469">
        <f t="shared" si="592"/>
        <v>0</v>
      </c>
      <c r="M783" s="683">
        <f t="shared" si="598"/>
        <v>0</v>
      </c>
      <c r="N783" s="470">
        <f t="shared" si="599"/>
        <v>0</v>
      </c>
      <c r="O783" s="468">
        <f t="shared" si="600"/>
        <v>2012</v>
      </c>
      <c r="P783" s="616">
        <f t="shared" si="593"/>
        <v>0</v>
      </c>
      <c r="Q783" s="472">
        <f t="shared" si="594"/>
        <v>0</v>
      </c>
      <c r="R783" s="472">
        <f t="shared" si="602"/>
        <v>0</v>
      </c>
      <c r="S783" s="1167">
        <f t="shared" si="587"/>
        <v>2013</v>
      </c>
      <c r="T783" s="470">
        <f t="shared" si="601"/>
        <v>1</v>
      </c>
      <c r="U783" s="612">
        <f t="shared" si="588"/>
        <v>0</v>
      </c>
      <c r="V783" s="464">
        <f t="shared" si="595"/>
        <v>2013</v>
      </c>
      <c r="W783" s="612">
        <f t="shared" si="596"/>
        <v>0</v>
      </c>
      <c r="X783" s="473"/>
      <c r="Y783" s="474"/>
      <c r="Z783" s="449"/>
      <c r="AA783" s="739"/>
      <c r="AB783" s="496"/>
      <c r="AC783" s="496"/>
      <c r="AD783" s="740"/>
      <c r="AE783" s="476"/>
      <c r="AF783" s="568"/>
      <c r="AG783" s="476"/>
      <c r="AH783" s="476"/>
      <c r="AI783" s="477"/>
      <c r="AJ783" s="478"/>
      <c r="AK783" s="479"/>
      <c r="AL783" s="480"/>
      <c r="AM783" s="474"/>
      <c r="AN783" s="481"/>
      <c r="AO783" s="474"/>
      <c r="AP783" s="476"/>
      <c r="AQ783" s="482"/>
      <c r="AR783" s="478"/>
      <c r="AS783" s="478"/>
      <c r="AT783" s="476"/>
      <c r="AU783" s="482"/>
      <c r="AV783" s="478"/>
      <c r="AW783" s="483"/>
      <c r="AX783" s="476"/>
      <c r="AY783" s="482"/>
      <c r="AZ783" s="478"/>
      <c r="BA783" s="484"/>
      <c r="BB783" s="474"/>
      <c r="BC783" s="485"/>
      <c r="BD783" s="485"/>
      <c r="BG783" s="487"/>
    </row>
    <row r="784" spans="1:59" s="486" customFormat="1" ht="18" customHeight="1" x14ac:dyDescent="0.2">
      <c r="A784" s="1368" t="str">
        <f t="shared" si="589"/>
        <v>SIMP. SEI. PINANG - TANJUNG2014</v>
      </c>
      <c r="B784" s="1373">
        <v>2</v>
      </c>
      <c r="C784" s="493" t="s">
        <v>1350</v>
      </c>
      <c r="D784" s="489" t="s">
        <v>2494</v>
      </c>
      <c r="E784" s="465"/>
      <c r="F784" s="466">
        <v>2014</v>
      </c>
      <c r="G784" s="620">
        <v>197861466</v>
      </c>
      <c r="H784" s="557">
        <f>VLOOKUP(LEFT(D784,8),UE,4)</f>
        <v>10</v>
      </c>
      <c r="I784" s="467"/>
      <c r="J784" s="468">
        <f t="shared" si="597"/>
        <v>2023</v>
      </c>
      <c r="K784" s="490">
        <f t="shared" si="591"/>
        <v>1</v>
      </c>
      <c r="L784" s="469">
        <f t="shared" si="592"/>
        <v>10</v>
      </c>
      <c r="M784" s="683">
        <f t="shared" si="598"/>
        <v>0</v>
      </c>
      <c r="N784" s="470">
        <f t="shared" si="599"/>
        <v>10</v>
      </c>
      <c r="O784" s="468">
        <f t="shared" si="600"/>
        <v>2023</v>
      </c>
      <c r="P784" s="616">
        <f t="shared" si="593"/>
        <v>0</v>
      </c>
      <c r="Q784" s="472">
        <f t="shared" si="594"/>
        <v>197861466</v>
      </c>
      <c r="R784" s="472">
        <f t="shared" si="602"/>
        <v>19786146.600000001</v>
      </c>
      <c r="S784" s="1167">
        <f t="shared" si="587"/>
        <v>2014</v>
      </c>
      <c r="T784" s="470">
        <f t="shared" si="601"/>
        <v>1</v>
      </c>
      <c r="U784" s="612">
        <f t="shared" si="588"/>
        <v>19786146.600000001</v>
      </c>
      <c r="V784" s="464">
        <f t="shared" si="595"/>
        <v>2014</v>
      </c>
      <c r="W784" s="612">
        <f t="shared" si="596"/>
        <v>178075319.40000001</v>
      </c>
      <c r="X784" s="473"/>
      <c r="Y784" s="478"/>
      <c r="Z784" s="449"/>
      <c r="AA784" s="554" t="s">
        <v>4179</v>
      </c>
      <c r="AB784" s="491"/>
      <c r="AC784" s="491"/>
      <c r="AD784" s="567"/>
      <c r="AE784" s="491"/>
      <c r="AF784" s="568"/>
      <c r="AG784" s="491"/>
      <c r="AH784" s="491"/>
      <c r="AI784" s="477"/>
      <c r="AJ784" s="478"/>
      <c r="AK784" s="479"/>
      <c r="AL784" s="480"/>
      <c r="AM784" s="474"/>
      <c r="AN784" s="481"/>
      <c r="AO784" s="474"/>
      <c r="AP784" s="476"/>
      <c r="AQ784" s="482"/>
      <c r="AR784" s="478"/>
      <c r="AS784" s="478"/>
      <c r="AT784" s="476"/>
      <c r="AU784" s="482"/>
      <c r="AV784" s="478"/>
      <c r="AW784" s="483"/>
      <c r="AX784" s="476"/>
      <c r="AY784" s="482"/>
      <c r="AZ784" s="478"/>
      <c r="BA784" s="484"/>
      <c r="BB784" s="474"/>
      <c r="BC784" s="485"/>
      <c r="BD784" s="485"/>
      <c r="BG784" s="487"/>
    </row>
    <row r="785" spans="1:59" s="486" customFormat="1" ht="18" customHeight="1" x14ac:dyDescent="0.2">
      <c r="A785" s="1368" t="str">
        <f t="shared" si="589"/>
        <v>SIMP. SEI. PINANG - TANJUNG2015</v>
      </c>
      <c r="B785" s="1373"/>
      <c r="C785" s="463"/>
      <c r="D785" s="489"/>
      <c r="E785" s="465"/>
      <c r="F785" s="559">
        <v>2015</v>
      </c>
      <c r="G785" s="620">
        <v>0</v>
      </c>
      <c r="H785" s="464">
        <f t="shared" si="590"/>
        <v>9</v>
      </c>
      <c r="I785" s="467"/>
      <c r="J785" s="468">
        <f t="shared" si="597"/>
        <v>2023</v>
      </c>
      <c r="K785" s="490">
        <f t="shared" si="591"/>
        <v>0</v>
      </c>
      <c r="L785" s="469">
        <f t="shared" si="592"/>
        <v>0</v>
      </c>
      <c r="M785" s="683">
        <f t="shared" si="598"/>
        <v>0</v>
      </c>
      <c r="N785" s="470">
        <f t="shared" si="599"/>
        <v>9</v>
      </c>
      <c r="O785" s="468">
        <f t="shared" si="600"/>
        <v>2023</v>
      </c>
      <c r="P785" s="616">
        <f t="shared" si="593"/>
        <v>178075319.40000001</v>
      </c>
      <c r="Q785" s="472">
        <f t="shared" si="594"/>
        <v>178075319.40000001</v>
      </c>
      <c r="R785" s="472">
        <f t="shared" si="602"/>
        <v>19786146.600000001</v>
      </c>
      <c r="S785" s="1167">
        <f t="shared" si="587"/>
        <v>2015</v>
      </c>
      <c r="T785" s="470">
        <f t="shared" si="601"/>
        <v>1</v>
      </c>
      <c r="U785" s="612">
        <f t="shared" si="588"/>
        <v>19786146.600000001</v>
      </c>
      <c r="V785" s="464">
        <f t="shared" si="595"/>
        <v>2015</v>
      </c>
      <c r="W785" s="612">
        <f t="shared" si="596"/>
        <v>158289172.80000001</v>
      </c>
      <c r="X785" s="473"/>
      <c r="Y785" s="478"/>
      <c r="Z785" s="449"/>
      <c r="AA785" s="492"/>
      <c r="AB785" s="476"/>
      <c r="AC785" s="476"/>
      <c r="AD785" s="567"/>
      <c r="AE785" s="476"/>
      <c r="AF785" s="568"/>
      <c r="AG785" s="476"/>
      <c r="AH785" s="476"/>
      <c r="AI785" s="477"/>
      <c r="AJ785" s="478"/>
      <c r="AK785" s="479"/>
      <c r="AL785" s="480"/>
      <c r="AM785" s="474"/>
      <c r="AN785" s="481"/>
      <c r="AO785" s="474"/>
      <c r="AP785" s="476"/>
      <c r="AQ785" s="482"/>
      <c r="AR785" s="478"/>
      <c r="AS785" s="478"/>
      <c r="AT785" s="476"/>
      <c r="AU785" s="482"/>
      <c r="AV785" s="478"/>
      <c r="AW785" s="483"/>
      <c r="AX785" s="476"/>
      <c r="AY785" s="482"/>
      <c r="AZ785" s="478"/>
      <c r="BA785" s="484"/>
      <c r="BB785" s="474"/>
      <c r="BC785" s="485"/>
      <c r="BD785" s="485"/>
      <c r="BG785" s="487"/>
    </row>
    <row r="786" spans="1:59" s="486" customFormat="1" ht="18" customHeight="1" x14ac:dyDescent="0.2">
      <c r="A786" s="1368" t="str">
        <f t="shared" si="589"/>
        <v>SIMP. SEI. PINANG - TANJUNG2016</v>
      </c>
      <c r="B786" s="1373">
        <v>3</v>
      </c>
      <c r="C786" s="493" t="s">
        <v>1438</v>
      </c>
      <c r="D786" s="489" t="s">
        <v>2494</v>
      </c>
      <c r="E786" s="465"/>
      <c r="F786" s="466">
        <v>2016</v>
      </c>
      <c r="G786" s="620">
        <v>2960652854.1300001</v>
      </c>
      <c r="H786" s="464">
        <f t="shared" si="590"/>
        <v>8</v>
      </c>
      <c r="I786" s="467"/>
      <c r="J786" s="468">
        <f t="shared" si="597"/>
        <v>2025</v>
      </c>
      <c r="K786" s="490">
        <f t="shared" si="591"/>
        <v>18.704076859829289</v>
      </c>
      <c r="L786" s="469">
        <f t="shared" si="592"/>
        <v>10</v>
      </c>
      <c r="M786" s="683">
        <f t="shared" si="598"/>
        <v>2</v>
      </c>
      <c r="N786" s="470">
        <f t="shared" si="599"/>
        <v>10</v>
      </c>
      <c r="O786" s="468">
        <f t="shared" si="600"/>
        <v>2025</v>
      </c>
      <c r="P786" s="616">
        <f t="shared" si="593"/>
        <v>158289172.80000001</v>
      </c>
      <c r="Q786" s="472">
        <f t="shared" si="594"/>
        <v>3118942026.9300003</v>
      </c>
      <c r="R786" s="472">
        <f t="shared" si="602"/>
        <v>311894202.69300002</v>
      </c>
      <c r="S786" s="1167">
        <f t="shared" si="587"/>
        <v>2016</v>
      </c>
      <c r="T786" s="470">
        <f t="shared" si="601"/>
        <v>1</v>
      </c>
      <c r="U786" s="612">
        <f t="shared" si="588"/>
        <v>311894202.69300002</v>
      </c>
      <c r="V786" s="464">
        <f t="shared" si="595"/>
        <v>2016</v>
      </c>
      <c r="W786" s="612">
        <f t="shared" si="596"/>
        <v>2807047824.2370005</v>
      </c>
      <c r="X786" s="473"/>
      <c r="Y786" s="478"/>
      <c r="Z786" s="449"/>
      <c r="AA786" s="475" t="s">
        <v>4180</v>
      </c>
      <c r="AB786" s="476"/>
      <c r="AC786" s="476"/>
      <c r="AD786" s="567">
        <f>G791</f>
        <v>9445150832.7399998</v>
      </c>
      <c r="AE786" s="476"/>
      <c r="AF786" s="568"/>
      <c r="AG786" s="476"/>
      <c r="AH786" s="476"/>
      <c r="AI786" s="477"/>
      <c r="AJ786" s="478"/>
      <c r="AK786" s="479"/>
      <c r="AL786" s="480"/>
      <c r="AM786" s="474"/>
      <c r="AN786" s="481"/>
      <c r="AO786" s="474"/>
      <c r="AP786" s="476"/>
      <c r="AQ786" s="482"/>
      <c r="AR786" s="478"/>
      <c r="AS786" s="478"/>
      <c r="AT786" s="476"/>
      <c r="AU786" s="482"/>
      <c r="AV786" s="478"/>
      <c r="AW786" s="483"/>
      <c r="AX786" s="476"/>
      <c r="AY786" s="482"/>
      <c r="AZ786" s="478"/>
      <c r="BA786" s="484"/>
      <c r="BB786" s="474"/>
      <c r="BC786" s="485"/>
      <c r="BD786" s="485"/>
      <c r="BG786" s="487"/>
    </row>
    <row r="787" spans="1:59" s="486" customFormat="1" ht="18" customHeight="1" x14ac:dyDescent="0.2">
      <c r="A787" s="1368" t="str">
        <f t="shared" si="589"/>
        <v>SIMP. SEI. PINANG - TANJUNG2017</v>
      </c>
      <c r="B787" s="1373"/>
      <c r="C787" s="463"/>
      <c r="D787" s="489"/>
      <c r="E787" s="465"/>
      <c r="F787" s="559">
        <v>2017</v>
      </c>
      <c r="G787" s="620">
        <v>0</v>
      </c>
      <c r="H787" s="464">
        <f>IF(N786-(F787-F786)&lt;=0,0,(N786-(F787-F786)))</f>
        <v>9</v>
      </c>
      <c r="I787" s="467"/>
      <c r="J787" s="468">
        <f t="shared" si="597"/>
        <v>2025</v>
      </c>
      <c r="K787" s="490">
        <f t="shared" si="591"/>
        <v>0</v>
      </c>
      <c r="L787" s="469">
        <f t="shared" si="592"/>
        <v>0</v>
      </c>
      <c r="M787" s="683">
        <f t="shared" si="598"/>
        <v>0</v>
      </c>
      <c r="N787" s="470">
        <f t="shared" si="599"/>
        <v>9</v>
      </c>
      <c r="O787" s="468">
        <f t="shared" si="600"/>
        <v>2025</v>
      </c>
      <c r="P787" s="616">
        <f t="shared" si="593"/>
        <v>2807047824.2370005</v>
      </c>
      <c r="Q787" s="472">
        <f t="shared" si="594"/>
        <v>2807047824.2370005</v>
      </c>
      <c r="R787" s="472">
        <f t="shared" si="602"/>
        <v>311894202.69300002</v>
      </c>
      <c r="S787" s="1167">
        <f t="shared" si="587"/>
        <v>2017</v>
      </c>
      <c r="T787" s="470">
        <f t="shared" si="601"/>
        <v>1</v>
      </c>
      <c r="U787" s="612">
        <f t="shared" si="588"/>
        <v>311894202.69300002</v>
      </c>
      <c r="V787" s="464">
        <f t="shared" si="595"/>
        <v>2017</v>
      </c>
      <c r="W787" s="612">
        <f t="shared" si="596"/>
        <v>2495153621.5440006</v>
      </c>
      <c r="X787" s="473"/>
      <c r="Y787" s="478"/>
      <c r="Z787" s="449"/>
      <c r="AA787" s="475" t="s">
        <v>4181</v>
      </c>
      <c r="AB787" s="491"/>
      <c r="AC787" s="491"/>
      <c r="AD787" s="567">
        <f>U791</f>
        <v>5642960326.7048006</v>
      </c>
      <c r="AE787" s="476"/>
      <c r="AF787" s="568"/>
      <c r="AG787" s="476"/>
      <c r="AH787" s="476"/>
      <c r="AI787" s="477"/>
      <c r="AJ787" s="478"/>
      <c r="AK787" s="479"/>
      <c r="AL787" s="480"/>
      <c r="AM787" s="474"/>
      <c r="AN787" s="481"/>
      <c r="AO787" s="474"/>
      <c r="AP787" s="476"/>
      <c r="AQ787" s="482"/>
      <c r="AR787" s="478"/>
      <c r="AS787" s="478"/>
      <c r="AT787" s="476"/>
      <c r="AU787" s="482"/>
      <c r="AV787" s="478"/>
      <c r="AW787" s="483"/>
      <c r="AX787" s="476"/>
      <c r="AY787" s="482"/>
      <c r="AZ787" s="478"/>
      <c r="BA787" s="484"/>
      <c r="BB787" s="474"/>
      <c r="BC787" s="485"/>
      <c r="BD787" s="485"/>
      <c r="BG787" s="487"/>
    </row>
    <row r="788" spans="1:59" s="486" customFormat="1" ht="18" customHeight="1" x14ac:dyDescent="0.2">
      <c r="A788" s="1368" t="str">
        <f t="shared" si="589"/>
        <v>SIMP. SEI. PINANG - TANJUNG2018</v>
      </c>
      <c r="B788" s="1373">
        <v>4</v>
      </c>
      <c r="C788" s="463" t="s">
        <v>3318</v>
      </c>
      <c r="D788" s="489"/>
      <c r="E788" s="465"/>
      <c r="F788" s="466">
        <v>2018</v>
      </c>
      <c r="G788" s="620">
        <v>2257584511</v>
      </c>
      <c r="H788" s="464">
        <f>IF(N787-(F788-F787)&lt;=0,0,(N787-(F788-F787)))</f>
        <v>8</v>
      </c>
      <c r="I788" s="467"/>
      <c r="J788" s="468">
        <f t="shared" si="597"/>
        <v>2027</v>
      </c>
      <c r="K788" s="490">
        <f t="shared" si="591"/>
        <v>0.90478778200558529</v>
      </c>
      <c r="L788" s="469">
        <f t="shared" si="592"/>
        <v>10</v>
      </c>
      <c r="M788" s="683">
        <f t="shared" si="598"/>
        <v>2</v>
      </c>
      <c r="N788" s="470">
        <f t="shared" si="599"/>
        <v>10</v>
      </c>
      <c r="O788" s="468">
        <f t="shared" si="600"/>
        <v>2027</v>
      </c>
      <c r="P788" s="616">
        <f t="shared" si="593"/>
        <v>2495153621.5440006</v>
      </c>
      <c r="Q788" s="472">
        <f t="shared" si="594"/>
        <v>4752738132.5440006</v>
      </c>
      <c r="R788" s="472">
        <f t="shared" si="602"/>
        <v>475273813.25440007</v>
      </c>
      <c r="S788" s="1167">
        <f t="shared" si="587"/>
        <v>2018</v>
      </c>
      <c r="T788" s="470">
        <f t="shared" si="601"/>
        <v>1</v>
      </c>
      <c r="U788" s="612">
        <f t="shared" si="588"/>
        <v>475273813.25440007</v>
      </c>
      <c r="V788" s="464">
        <f t="shared" si="595"/>
        <v>2018</v>
      </c>
      <c r="W788" s="612">
        <f t="shared" si="596"/>
        <v>4277464319.2896004</v>
      </c>
      <c r="X788" s="473"/>
      <c r="Y788" s="478"/>
      <c r="Z788" s="449"/>
      <c r="AA788" s="492" t="s">
        <v>4182</v>
      </c>
      <c r="AB788" s="476"/>
      <c r="AC788" s="476"/>
      <c r="AD788" s="567">
        <f>AD786-AD787</f>
        <v>3802190506.0351992</v>
      </c>
      <c r="AE788" s="476"/>
      <c r="AF788" s="568"/>
      <c r="AG788" s="476"/>
      <c r="AH788" s="476"/>
      <c r="AI788" s="477"/>
      <c r="AJ788" s="478"/>
      <c r="AK788" s="479"/>
      <c r="AL788" s="480"/>
      <c r="AM788" s="474"/>
      <c r="AN788" s="481"/>
      <c r="AO788" s="474"/>
      <c r="AP788" s="476"/>
      <c r="AQ788" s="482"/>
      <c r="AR788" s="478"/>
      <c r="AS788" s="478"/>
      <c r="AT788" s="476"/>
      <c r="AU788" s="482"/>
      <c r="AV788" s="478"/>
      <c r="AW788" s="483"/>
      <c r="AX788" s="476"/>
      <c r="AY788" s="482"/>
      <c r="AZ788" s="478"/>
      <c r="BA788" s="484"/>
      <c r="BB788" s="474"/>
      <c r="BC788" s="485"/>
      <c r="BD788" s="485"/>
      <c r="BG788" s="487"/>
    </row>
    <row r="789" spans="1:59" s="486" customFormat="1" ht="18" customHeight="1" x14ac:dyDescent="0.2">
      <c r="A789" s="1368" t="str">
        <f t="shared" si="589"/>
        <v>SIMP. SEI. PINANG - TANJUNG2019</v>
      </c>
      <c r="B789" s="1373"/>
      <c r="C789" s="463"/>
      <c r="D789" s="489"/>
      <c r="E789" s="465"/>
      <c r="F789" s="466">
        <v>2019</v>
      </c>
      <c r="G789" s="620">
        <v>0</v>
      </c>
      <c r="H789" s="464">
        <f>IF(N788-(F789-F788)&lt;=0,0,(N788-(F789-F788)))</f>
        <v>9</v>
      </c>
      <c r="I789" s="467"/>
      <c r="J789" s="468">
        <f>F789+N789-1</f>
        <v>2027</v>
      </c>
      <c r="K789" s="490">
        <f>IF(G789=0,0,IF(H789=10,100%,G789/W788))</f>
        <v>0</v>
      </c>
      <c r="L789" s="469">
        <f>IF(K789=0%,0,IF(K789&lt;=30%,2,IF(K789&lt;=60%,5,10)))</f>
        <v>0</v>
      </c>
      <c r="M789" s="683">
        <f>IF(OR(AND(ISBLANK(E789),ISBLANK(G789)),ISTEXT(E789),ISTEXT(G789)),"",IF(H789+L789&gt;$H$8,$H$8-H789,L789))</f>
        <v>0</v>
      </c>
      <c r="N789" s="470">
        <f>IF(OR(AND(ISBLANK(F789),ISBLANK(G789)),ISTEXT(F789),ISTEXT(G789)),"",H789+M789)</f>
        <v>9</v>
      </c>
      <c r="O789" s="468">
        <f>F789+N789-1</f>
        <v>2027</v>
      </c>
      <c r="P789" s="616">
        <f>W788</f>
        <v>4277464319.2896004</v>
      </c>
      <c r="Q789" s="472">
        <f>P789+G789</f>
        <v>4277464319.2896004</v>
      </c>
      <c r="R789" s="472">
        <f>IF(L789=0,R788,Q789/N789)</f>
        <v>475273813.25440007</v>
      </c>
      <c r="S789" s="1189">
        <f>F789</f>
        <v>2019</v>
      </c>
      <c r="T789" s="470">
        <f>S789-S788</f>
        <v>1</v>
      </c>
      <c r="U789" s="612">
        <f>R789*T789</f>
        <v>475273813.25440007</v>
      </c>
      <c r="V789" s="464">
        <f>F789</f>
        <v>2019</v>
      </c>
      <c r="W789" s="612">
        <f>IF(OR(AND(ISBLANK(E789),ISBLANK(G789)),ISTEXT(E789),ISTEXT(G789)),"",Q789-U789)</f>
        <v>3802190506.0352001</v>
      </c>
      <c r="X789" s="473"/>
      <c r="Y789" s="478"/>
      <c r="Z789" s="449"/>
      <c r="AA789" s="492"/>
      <c r="AB789" s="476"/>
      <c r="AC789" s="476"/>
      <c r="AD789" s="567"/>
      <c r="AE789" s="476"/>
      <c r="AF789" s="568"/>
      <c r="AG789" s="476"/>
      <c r="AH789" s="476"/>
      <c r="AI789" s="477"/>
      <c r="AJ789" s="478"/>
      <c r="AK789" s="479"/>
      <c r="AL789" s="480"/>
      <c r="AM789" s="474"/>
      <c r="AN789" s="481"/>
      <c r="AO789" s="474"/>
      <c r="AP789" s="476"/>
      <c r="AQ789" s="482"/>
      <c r="AR789" s="478"/>
      <c r="AS789" s="478"/>
      <c r="AT789" s="476"/>
      <c r="AU789" s="482"/>
      <c r="AV789" s="478"/>
      <c r="AW789" s="483"/>
      <c r="AX789" s="476"/>
      <c r="AY789" s="482"/>
      <c r="AZ789" s="478"/>
      <c r="BA789" s="484"/>
      <c r="BB789" s="474"/>
      <c r="BC789" s="485"/>
      <c r="BD789" s="485"/>
      <c r="BG789" s="487"/>
    </row>
    <row r="790" spans="1:59" s="486" customFormat="1" ht="18" customHeight="1" x14ac:dyDescent="0.2">
      <c r="A790" s="1368" t="str">
        <f>LEFT(D790,8)</f>
        <v/>
      </c>
      <c r="B790" s="687"/>
      <c r="C790" s="463"/>
      <c r="D790" s="489"/>
      <c r="E790" s="465"/>
      <c r="F790" s="466"/>
      <c r="G790" s="620"/>
      <c r="H790" s="464"/>
      <c r="I790" s="467"/>
      <c r="J790" s="468"/>
      <c r="K790" s="574"/>
      <c r="L790" s="469"/>
      <c r="M790" s="683"/>
      <c r="N790" s="470"/>
      <c r="O790" s="468"/>
      <c r="P790" s="616"/>
      <c r="Q790" s="472"/>
      <c r="R790" s="472"/>
      <c r="S790" s="1167"/>
      <c r="T790" s="470"/>
      <c r="U790" s="612"/>
      <c r="V790" s="464"/>
      <c r="W790" s="612"/>
      <c r="X790" s="473"/>
      <c r="Y790" s="478"/>
      <c r="Z790" s="449"/>
      <c r="AA790" s="531" t="s">
        <v>4183</v>
      </c>
      <c r="AB790" s="496"/>
      <c r="AC790" s="496"/>
      <c r="AD790" s="569">
        <f>AD788-W791</f>
        <v>0</v>
      </c>
      <c r="AE790" s="476"/>
      <c r="AF790" s="568"/>
      <c r="AG790" s="476"/>
      <c r="AH790" s="476"/>
      <c r="AI790" s="477"/>
      <c r="AJ790" s="478"/>
      <c r="AK790" s="479"/>
      <c r="AL790" s="480"/>
      <c r="AM790" s="474"/>
      <c r="AN790" s="481"/>
      <c r="AO790" s="474"/>
      <c r="AP790" s="476"/>
      <c r="AQ790" s="482"/>
      <c r="AR790" s="478"/>
      <c r="AS790" s="478"/>
      <c r="AT790" s="476"/>
      <c r="AU790" s="482"/>
      <c r="AV790" s="478"/>
      <c r="AW790" s="483"/>
      <c r="AX790" s="476"/>
      <c r="AY790" s="482"/>
      <c r="AZ790" s="478"/>
      <c r="BA790" s="484"/>
      <c r="BB790" s="474"/>
      <c r="BC790" s="485"/>
      <c r="BD790" s="485"/>
      <c r="BG790" s="487"/>
    </row>
    <row r="791" spans="1:59" s="526" customFormat="1" ht="18" customHeight="1" x14ac:dyDescent="0.2">
      <c r="A791" s="1370" t="s">
        <v>4184</v>
      </c>
      <c r="B791" s="1956" t="s">
        <v>4184</v>
      </c>
      <c r="C791" s="1957"/>
      <c r="D791" s="1957"/>
      <c r="E791" s="1957"/>
      <c r="F791" s="1958"/>
      <c r="G791" s="624">
        <f>SUM(G779:G790)</f>
        <v>9445150832.7399998</v>
      </c>
      <c r="H791" s="505"/>
      <c r="I791" s="506"/>
      <c r="J791" s="507"/>
      <c r="K791" s="507"/>
      <c r="L791" s="505"/>
      <c r="M791" s="684"/>
      <c r="N791" s="508"/>
      <c r="O791" s="507"/>
      <c r="P791" s="749"/>
      <c r="Q791" s="510"/>
      <c r="R791" s="511"/>
      <c r="S791" s="512"/>
      <c r="T791" s="512"/>
      <c r="U791" s="610">
        <f>SUM(U779:U790)</f>
        <v>5642960326.7048006</v>
      </c>
      <c r="V791" s="513"/>
      <c r="W791" s="610">
        <f>G791-U791</f>
        <v>3802190506.0351992</v>
      </c>
      <c r="X791" s="514"/>
      <c r="Y791" s="515"/>
      <c r="Z791" s="515"/>
      <c r="AA791" s="515"/>
      <c r="AB791" s="515"/>
      <c r="AC791" s="515"/>
      <c r="AD791" s="570"/>
      <c r="AE791" s="515"/>
      <c r="AF791" s="570">
        <v>1758315425.0999999</v>
      </c>
      <c r="AG791" s="515"/>
      <c r="AH791" s="515"/>
      <c r="AI791" s="516"/>
      <c r="AJ791" s="517"/>
      <c r="AK791" s="518"/>
      <c r="AL791" s="519"/>
      <c r="AM791" s="520"/>
      <c r="AN791" s="521"/>
      <c r="AO791" s="520"/>
      <c r="AP791" s="515"/>
      <c r="AQ791" s="522"/>
      <c r="AR791" s="517"/>
      <c r="AS791" s="517"/>
      <c r="AT791" s="515"/>
      <c r="AU791" s="522"/>
      <c r="AV791" s="517"/>
      <c r="AW791" s="523"/>
      <c r="AX791" s="515"/>
      <c r="AY791" s="522"/>
      <c r="AZ791" s="517"/>
      <c r="BA791" s="524"/>
      <c r="BB791" s="520"/>
      <c r="BC791" s="525"/>
      <c r="BD791" s="525"/>
      <c r="BG791" s="527"/>
    </row>
    <row r="792" spans="1:59" x14ac:dyDescent="0.2">
      <c r="AF792" s="562">
        <v>2608841133.5999994</v>
      </c>
    </row>
    <row r="793" spans="1:59" x14ac:dyDescent="0.2">
      <c r="AF793" s="562">
        <v>2268630850.2000003</v>
      </c>
    </row>
    <row r="794" spans="1:59" s="422" customFormat="1" ht="18" customHeight="1" x14ac:dyDescent="0.2">
      <c r="A794" s="1366">
        <f>C794</f>
        <v>123</v>
      </c>
      <c r="B794" s="742" t="s">
        <v>4187</v>
      </c>
      <c r="C794" s="556">
        <v>123</v>
      </c>
      <c r="D794" s="553" t="str">
        <f>VLOOKUP(C794,RUAS,2,FALSE)</f>
        <v>SAIK - KOTO KOMBU</v>
      </c>
      <c r="E794" s="553"/>
      <c r="F794" s="421"/>
      <c r="G794" s="611"/>
      <c r="I794" s="423"/>
      <c r="J794" s="424"/>
      <c r="K794" s="424"/>
      <c r="M794" s="680"/>
      <c r="P794" s="611"/>
      <c r="U794" s="611"/>
      <c r="W794" s="611"/>
      <c r="Y794" s="425"/>
      <c r="Z794" s="425"/>
      <c r="AA794" s="425"/>
      <c r="AB794" s="425"/>
      <c r="AC794" s="425"/>
      <c r="AD794" s="563"/>
      <c r="AE794" s="425"/>
      <c r="AF794" s="563"/>
      <c r="AG794" s="425"/>
      <c r="AH794" s="425"/>
      <c r="AI794" s="425"/>
      <c r="AJ794" s="425"/>
      <c r="AK794" s="425"/>
      <c r="AL794" s="425"/>
      <c r="AM794" s="425"/>
      <c r="AN794" s="425"/>
      <c r="AO794" s="425"/>
      <c r="AP794" s="425"/>
      <c r="AQ794" s="425"/>
      <c r="AR794" s="425"/>
      <c r="AS794" s="425"/>
      <c r="AT794" s="425"/>
      <c r="AU794" s="425"/>
      <c r="AV794" s="425"/>
      <c r="AW794" s="425"/>
      <c r="AX794" s="425"/>
      <c r="AY794" s="425"/>
      <c r="AZ794" s="425"/>
      <c r="BA794" s="425"/>
      <c r="BB794" s="425"/>
    </row>
    <row r="795" spans="1:59" s="431" customFormat="1" ht="18" customHeight="1" x14ac:dyDescent="0.2">
      <c r="A795" s="1367"/>
      <c r="B795" s="1968" t="s">
        <v>5</v>
      </c>
      <c r="C795" s="1968" t="s">
        <v>2280</v>
      </c>
      <c r="D795" s="1968" t="s">
        <v>4157</v>
      </c>
      <c r="E795" s="1968" t="s">
        <v>4158</v>
      </c>
      <c r="F795" s="1968"/>
      <c r="G795" s="1969" t="s">
        <v>4159</v>
      </c>
      <c r="H795" s="1968" t="s">
        <v>4160</v>
      </c>
      <c r="I795" s="1968"/>
      <c r="J795" s="1968" t="s">
        <v>4185</v>
      </c>
      <c r="K795" s="1964" t="s">
        <v>4162</v>
      </c>
      <c r="L795" s="1968" t="s">
        <v>4163</v>
      </c>
      <c r="M795" s="1971" t="s">
        <v>4164</v>
      </c>
      <c r="N795" s="1962" t="s">
        <v>4165</v>
      </c>
      <c r="O795" s="1968" t="s">
        <v>4166</v>
      </c>
      <c r="P795" s="1972" t="s">
        <v>4167</v>
      </c>
      <c r="Q795" s="1973"/>
      <c r="R795" s="1159" t="s">
        <v>4186</v>
      </c>
      <c r="S795" s="1972" t="s">
        <v>4169</v>
      </c>
      <c r="T795" s="1974"/>
      <c r="U795" s="1973"/>
      <c r="V795" s="1975" t="s">
        <v>4170</v>
      </c>
      <c r="W795" s="1975"/>
      <c r="X795" s="1960" t="s">
        <v>4171</v>
      </c>
      <c r="Y795" s="1959"/>
      <c r="Z795" s="1155"/>
      <c r="AA795" s="426"/>
      <c r="AB795" s="426"/>
      <c r="AC795" s="426"/>
      <c r="AD795" s="564"/>
      <c r="AE795" s="426"/>
      <c r="AF795" s="564"/>
      <c r="AG795" s="426"/>
      <c r="AH795" s="426"/>
      <c r="AI795" s="427"/>
      <c r="AJ795" s="427"/>
      <c r="AK795" s="427"/>
      <c r="AL795" s="427"/>
      <c r="AM795" s="428"/>
      <c r="AN795" s="427"/>
      <c r="AO795" s="427"/>
      <c r="AP795" s="426"/>
      <c r="AQ795" s="427"/>
      <c r="AR795" s="427"/>
      <c r="AS795" s="427"/>
      <c r="AT795" s="426"/>
      <c r="AU795" s="427"/>
      <c r="AV795" s="427"/>
      <c r="AW795" s="427"/>
      <c r="AX795" s="426"/>
      <c r="AY795" s="427"/>
      <c r="AZ795" s="427"/>
      <c r="BA795" s="427"/>
      <c r="BB795" s="429"/>
      <c r="BC795" s="430"/>
      <c r="BD795" s="430"/>
    </row>
    <row r="796" spans="1:59" s="431" customFormat="1" ht="18" customHeight="1" x14ac:dyDescent="0.2">
      <c r="A796" s="1367"/>
      <c r="B796" s="1968"/>
      <c r="C796" s="1968"/>
      <c r="D796" s="1968"/>
      <c r="E796" s="1968"/>
      <c r="F796" s="1968"/>
      <c r="G796" s="1969"/>
      <c r="H796" s="1968"/>
      <c r="I796" s="1968"/>
      <c r="J796" s="1968"/>
      <c r="K796" s="1970"/>
      <c r="L796" s="1968"/>
      <c r="M796" s="1971"/>
      <c r="N796" s="1963"/>
      <c r="O796" s="1968"/>
      <c r="P796" s="2037" t="s">
        <v>4172</v>
      </c>
      <c r="Q796" s="1960" t="s">
        <v>4173</v>
      </c>
      <c r="R796" s="1962" t="s">
        <v>4159</v>
      </c>
      <c r="S796" s="1962" t="s">
        <v>4174</v>
      </c>
      <c r="T796" s="1964" t="s">
        <v>4175</v>
      </c>
      <c r="U796" s="1966" t="s">
        <v>4159</v>
      </c>
      <c r="V796" s="1975"/>
      <c r="W796" s="1975"/>
      <c r="X796" s="1976"/>
      <c r="Y796" s="1959"/>
      <c r="Z796" s="1155"/>
      <c r="AA796" s="426"/>
      <c r="AB796" s="426"/>
      <c r="AC796" s="426"/>
      <c r="AD796" s="564"/>
      <c r="AE796" s="426"/>
      <c r="AF796" s="564"/>
      <c r="AG796" s="426"/>
      <c r="AH796" s="426"/>
      <c r="AI796" s="427"/>
      <c r="AJ796" s="427"/>
      <c r="AK796" s="426"/>
      <c r="AL796" s="427"/>
      <c r="AM796" s="428"/>
      <c r="AN796" s="427"/>
      <c r="AO796" s="427"/>
      <c r="AP796" s="432"/>
      <c r="AQ796" s="427"/>
      <c r="AR796" s="427"/>
      <c r="AS796" s="427"/>
      <c r="AT796" s="432"/>
      <c r="AU796" s="427"/>
      <c r="AV796" s="427"/>
      <c r="AW796" s="427"/>
      <c r="AX796" s="432"/>
      <c r="AY796" s="427"/>
      <c r="AZ796" s="427"/>
      <c r="BA796" s="427"/>
      <c r="BB796" s="429"/>
      <c r="BC796" s="430"/>
      <c r="BD796" s="430"/>
    </row>
    <row r="797" spans="1:59" s="431" customFormat="1" ht="18" customHeight="1" x14ac:dyDescent="0.2">
      <c r="A797" s="1367"/>
      <c r="B797" s="1968"/>
      <c r="C797" s="1968"/>
      <c r="D797" s="1968"/>
      <c r="E797" s="433" t="s">
        <v>4176</v>
      </c>
      <c r="F797" s="434" t="s">
        <v>2288</v>
      </c>
      <c r="G797" s="1969"/>
      <c r="H797" s="1156" t="s">
        <v>2288</v>
      </c>
      <c r="I797" s="1156" t="s">
        <v>4177</v>
      </c>
      <c r="J797" s="1968"/>
      <c r="K797" s="1965"/>
      <c r="L797" s="435" t="s">
        <v>2288</v>
      </c>
      <c r="M797" s="681" t="s">
        <v>2288</v>
      </c>
      <c r="N797" s="1156" t="s">
        <v>2288</v>
      </c>
      <c r="O797" s="1968"/>
      <c r="P797" s="2038"/>
      <c r="Q797" s="1961"/>
      <c r="R797" s="1963"/>
      <c r="S797" s="1963"/>
      <c r="T797" s="1965"/>
      <c r="U797" s="1967"/>
      <c r="V797" s="1156" t="s">
        <v>4178</v>
      </c>
      <c r="W797" s="1157" t="s">
        <v>4159</v>
      </c>
      <c r="X797" s="1961"/>
      <c r="Y797" s="436"/>
      <c r="Z797" s="436"/>
      <c r="AA797" s="426"/>
      <c r="AB797" s="426"/>
      <c r="AC797" s="426"/>
      <c r="AD797" s="564"/>
      <c r="AE797" s="426"/>
      <c r="AF797" s="564"/>
      <c r="AG797" s="426"/>
      <c r="AH797" s="426"/>
      <c r="AI797" s="427"/>
      <c r="AJ797" s="432"/>
      <c r="AK797" s="432"/>
      <c r="AL797" s="427"/>
      <c r="AM797" s="428"/>
      <c r="AN797" s="432"/>
      <c r="AO797" s="427"/>
      <c r="AP797" s="432"/>
      <c r="AQ797" s="432"/>
      <c r="AR797" s="427"/>
      <c r="AS797" s="427"/>
      <c r="AT797" s="432"/>
      <c r="AU797" s="432"/>
      <c r="AV797" s="427"/>
      <c r="AW797" s="427"/>
      <c r="AX797" s="432"/>
      <c r="AY797" s="432"/>
      <c r="AZ797" s="427"/>
      <c r="BA797" s="427"/>
      <c r="BB797" s="429"/>
      <c r="BC797" s="430"/>
      <c r="BD797" s="430"/>
    </row>
    <row r="798" spans="1:59" s="461" customFormat="1" ht="18" customHeight="1" x14ac:dyDescent="0.2">
      <c r="A798" s="1368" t="str">
        <f>$D$794&amp;S798</f>
        <v>SAIK - KOTO KOMBU2001</v>
      </c>
      <c r="B798" s="1373">
        <v>1</v>
      </c>
      <c r="C798" s="532" t="s">
        <v>529</v>
      </c>
      <c r="D798" s="437" t="s">
        <v>2494</v>
      </c>
      <c r="E798" s="438"/>
      <c r="F798" s="439">
        <v>2001</v>
      </c>
      <c r="G798" s="623">
        <v>1440000000</v>
      </c>
      <c r="H798" s="440">
        <f>VLOOKUP(LEFT(D798,8),UE,4)</f>
        <v>10</v>
      </c>
      <c r="I798" s="441"/>
      <c r="J798" s="442">
        <f>F798+N798-1</f>
        <v>2010</v>
      </c>
      <c r="K798" s="443"/>
      <c r="L798" s="440"/>
      <c r="M798" s="746">
        <f>IF(H798+L798&gt;$H798,$H798-H798,L798)</f>
        <v>0</v>
      </c>
      <c r="N798" s="444">
        <f>H798+M798</f>
        <v>10</v>
      </c>
      <c r="O798" s="442">
        <f>F798+N798-1</f>
        <v>2010</v>
      </c>
      <c r="P798" s="617">
        <f>G798</f>
        <v>1440000000</v>
      </c>
      <c r="Q798" s="445">
        <v>0</v>
      </c>
      <c r="R798" s="445">
        <f>P798/N798</f>
        <v>144000000</v>
      </c>
      <c r="S798" s="446">
        <f t="shared" ref="S798:S807" si="603">F798</f>
        <v>2001</v>
      </c>
      <c r="T798" s="447">
        <v>1</v>
      </c>
      <c r="U798" s="613">
        <f t="shared" ref="U798:U807" si="604">R798*T798</f>
        <v>144000000</v>
      </c>
      <c r="V798" s="442">
        <f>F798</f>
        <v>2001</v>
      </c>
      <c r="W798" s="617">
        <f>IF(OR(AND(ISBLANK(E798),ISBLANK(G798)),ISTEXT(E798),ISTEXT(G798)),"",G798-R798)</f>
        <v>1296000000</v>
      </c>
      <c r="X798" s="448"/>
      <c r="Y798" s="449"/>
      <c r="Z798" s="449"/>
      <c r="AA798" s="693"/>
      <c r="AB798" s="452"/>
      <c r="AC798" s="452"/>
      <c r="AD798" s="571"/>
      <c r="AE798" s="452"/>
      <c r="AF798" s="571"/>
      <c r="AG798" s="452"/>
      <c r="AH798" s="452"/>
      <c r="AI798" s="453"/>
      <c r="AJ798" s="449"/>
      <c r="AK798" s="453"/>
      <c r="AL798" s="454"/>
      <c r="AM798" s="455"/>
      <c r="AN798" s="456"/>
      <c r="AO798" s="455"/>
      <c r="AP798" s="452"/>
      <c r="AQ798" s="457"/>
      <c r="AR798" s="449"/>
      <c r="AS798" s="449"/>
      <c r="AT798" s="452"/>
      <c r="AU798" s="457"/>
      <c r="AV798" s="449"/>
      <c r="AW798" s="458"/>
      <c r="AX798" s="452"/>
      <c r="AY798" s="457"/>
      <c r="AZ798" s="449"/>
      <c r="BA798" s="459"/>
      <c r="BB798" s="455"/>
      <c r="BC798" s="460"/>
      <c r="BD798" s="460"/>
      <c r="BG798" s="462"/>
    </row>
    <row r="799" spans="1:59" s="461" customFormat="1" ht="18" customHeight="1" x14ac:dyDescent="0.2">
      <c r="A799" s="1368" t="str">
        <f t="shared" ref="A799:A808" si="605">$D$794&amp;S799</f>
        <v>SAIK - KOTO KOMBU2010</v>
      </c>
      <c r="B799" s="1373"/>
      <c r="C799" s="488"/>
      <c r="D799" s="489"/>
      <c r="E799" s="558"/>
      <c r="F799" s="559">
        <v>2010</v>
      </c>
      <c r="G799" s="619">
        <v>0</v>
      </c>
      <c r="H799" s="464">
        <f>IF(N798-(F799-F798)&lt;=0,0,(N798-(F799-F798)))</f>
        <v>1</v>
      </c>
      <c r="I799" s="560"/>
      <c r="J799" s="468">
        <f>F799+N799-1</f>
        <v>2010</v>
      </c>
      <c r="K799" s="490">
        <f t="shared" ref="K799:K807" si="606">IF(G799=0,0,IF(H799=10,100%,G799/W798))</f>
        <v>0</v>
      </c>
      <c r="L799" s="469">
        <f t="shared" ref="L799:L807" si="607">IF(K799=0%,0,IF(K799&lt;=30%,2,IF(K799&lt;=60%,5,10)))</f>
        <v>0</v>
      </c>
      <c r="M799" s="683">
        <f>IF(OR(AND(ISBLANK(E799),ISBLANK(G799)),ISTEXT(E799),ISTEXT(G799)),"",IF(H799+L799&gt;$H$8,$H$8-H799,L799))</f>
        <v>0</v>
      </c>
      <c r="N799" s="470">
        <f>IF(OR(AND(ISBLANK(F799),ISBLANK(G799)),ISTEXT(F799),ISTEXT(G799)),"",H799+M799)</f>
        <v>1</v>
      </c>
      <c r="O799" s="468">
        <f>F799+N799-1</f>
        <v>2010</v>
      </c>
      <c r="P799" s="616">
        <f t="shared" ref="P799:P807" si="608">W798</f>
        <v>1296000000</v>
      </c>
      <c r="Q799" s="472">
        <f t="shared" ref="Q799:Q807" si="609">P799+G799</f>
        <v>1296000000</v>
      </c>
      <c r="R799" s="472">
        <f>IF(L799=0,R798,Q799/N799)</f>
        <v>144000000</v>
      </c>
      <c r="S799" s="1160">
        <f t="shared" si="603"/>
        <v>2010</v>
      </c>
      <c r="T799" s="470">
        <f>S799-S798</f>
        <v>9</v>
      </c>
      <c r="U799" s="612">
        <f t="shared" si="604"/>
        <v>1296000000</v>
      </c>
      <c r="V799" s="464">
        <f t="shared" ref="V799:V807" si="610">F799</f>
        <v>2010</v>
      </c>
      <c r="W799" s="612">
        <f t="shared" ref="W799:W807" si="611">IF(OR(AND(ISBLANK(E799),ISBLANK(G799)),ISTEXT(E799),ISTEXT(G799)),"",Q799-U799)</f>
        <v>0</v>
      </c>
      <c r="X799" s="561"/>
      <c r="Y799" s="449"/>
      <c r="Z799" s="449"/>
      <c r="AA799" s="693"/>
      <c r="AB799" s="452"/>
      <c r="AC799" s="452"/>
      <c r="AD799" s="571"/>
      <c r="AE799" s="452"/>
      <c r="AF799" s="571"/>
      <c r="AG799" s="452"/>
      <c r="AH799" s="452"/>
      <c r="AI799" s="453"/>
      <c r="AJ799" s="449"/>
      <c r="AK799" s="453"/>
      <c r="AL799" s="454"/>
      <c r="AM799" s="455"/>
      <c r="AN799" s="456"/>
      <c r="AO799" s="455"/>
      <c r="AP799" s="452"/>
      <c r="AQ799" s="457"/>
      <c r="AR799" s="449"/>
      <c r="AS799" s="449"/>
      <c r="AT799" s="452"/>
      <c r="AU799" s="457"/>
      <c r="AV799" s="449"/>
      <c r="AW799" s="458"/>
      <c r="AX799" s="452"/>
      <c r="AY799" s="457"/>
      <c r="AZ799" s="449"/>
      <c r="BA799" s="459"/>
      <c r="BB799" s="455"/>
      <c r="BC799" s="460"/>
      <c r="BD799" s="460"/>
      <c r="BG799" s="462"/>
    </row>
    <row r="800" spans="1:59" s="461" customFormat="1" ht="18" customHeight="1" x14ac:dyDescent="0.2">
      <c r="A800" s="1368" t="str">
        <f t="shared" si="605"/>
        <v>SAIK - KOTO KOMBU2011</v>
      </c>
      <c r="B800" s="1373"/>
      <c r="C800" s="488"/>
      <c r="D800" s="489"/>
      <c r="E800" s="558"/>
      <c r="F800" s="559">
        <v>2011</v>
      </c>
      <c r="G800" s="619">
        <v>0</v>
      </c>
      <c r="H800" s="464">
        <f>IF(N799-(F800-F799)&lt;=0,0,(N799-(F800-F799)))</f>
        <v>0</v>
      </c>
      <c r="I800" s="560"/>
      <c r="J800" s="468">
        <f t="shared" ref="J800:J807" si="612">F800+N800-1</f>
        <v>2010</v>
      </c>
      <c r="K800" s="490">
        <f t="shared" si="606"/>
        <v>0</v>
      </c>
      <c r="L800" s="469">
        <f t="shared" si="607"/>
        <v>0</v>
      </c>
      <c r="M800" s="683">
        <f t="shared" ref="M800:M807" si="613">IF(OR(AND(ISBLANK(E800),ISBLANK(G800)),ISTEXT(E800),ISTEXT(G800)),"",IF(H800+L800&gt;$H$8,$H$8-H800,L800))</f>
        <v>0</v>
      </c>
      <c r="N800" s="470">
        <f t="shared" ref="N800:N807" si="614">IF(OR(AND(ISBLANK(F800),ISBLANK(G800)),ISTEXT(F800),ISTEXT(G800)),"",H800+M800)</f>
        <v>0</v>
      </c>
      <c r="O800" s="468">
        <f t="shared" ref="O800:O807" si="615">F800+N800-1</f>
        <v>2010</v>
      </c>
      <c r="P800" s="616">
        <f t="shared" si="608"/>
        <v>0</v>
      </c>
      <c r="Q800" s="472">
        <f t="shared" si="609"/>
        <v>0</v>
      </c>
      <c r="R800" s="472">
        <v>0</v>
      </c>
      <c r="S800" s="1160">
        <f t="shared" si="603"/>
        <v>2011</v>
      </c>
      <c r="T800" s="470">
        <f t="shared" ref="T800:T807" si="616">S800-S799</f>
        <v>1</v>
      </c>
      <c r="U800" s="612">
        <f t="shared" si="604"/>
        <v>0</v>
      </c>
      <c r="V800" s="464">
        <f t="shared" si="610"/>
        <v>2011</v>
      </c>
      <c r="W800" s="612">
        <f t="shared" si="611"/>
        <v>0</v>
      </c>
      <c r="X800" s="561"/>
      <c r="Y800" s="449"/>
      <c r="Z800" s="449"/>
      <c r="AA800" s="693"/>
      <c r="AB800" s="452"/>
      <c r="AC800" s="452"/>
      <c r="AD800" s="571"/>
      <c r="AE800" s="452"/>
      <c r="AF800" s="571"/>
      <c r="AG800" s="452"/>
      <c r="AH800" s="452"/>
      <c r="AI800" s="453"/>
      <c r="AJ800" s="449"/>
      <c r="AK800" s="453"/>
      <c r="AL800" s="454"/>
      <c r="AM800" s="455"/>
      <c r="AN800" s="456"/>
      <c r="AO800" s="455"/>
      <c r="AP800" s="452"/>
      <c r="AQ800" s="457"/>
      <c r="AR800" s="449"/>
      <c r="AS800" s="449"/>
      <c r="AT800" s="452"/>
      <c r="AU800" s="457"/>
      <c r="AV800" s="449"/>
      <c r="AW800" s="458"/>
      <c r="AX800" s="452"/>
      <c r="AY800" s="457"/>
      <c r="AZ800" s="449"/>
      <c r="BA800" s="459"/>
      <c r="BB800" s="455"/>
      <c r="BC800" s="460"/>
      <c r="BD800" s="460"/>
      <c r="BG800" s="462"/>
    </row>
    <row r="801" spans="1:59" s="461" customFormat="1" ht="18" customHeight="1" x14ac:dyDescent="0.2">
      <c r="A801" s="1368" t="str">
        <f t="shared" si="605"/>
        <v>SAIK - KOTO KOMBU2012</v>
      </c>
      <c r="B801" s="1373"/>
      <c r="C801" s="488"/>
      <c r="D801" s="489"/>
      <c r="E801" s="558"/>
      <c r="F801" s="559">
        <v>2012</v>
      </c>
      <c r="G801" s="619">
        <v>0</v>
      </c>
      <c r="H801" s="464">
        <f>IF(N800-(F801-F800)&lt;=0,0,(N800-(F801-F800)))</f>
        <v>0</v>
      </c>
      <c r="I801" s="560"/>
      <c r="J801" s="468">
        <f t="shared" si="612"/>
        <v>2011</v>
      </c>
      <c r="K801" s="490">
        <f t="shared" si="606"/>
        <v>0</v>
      </c>
      <c r="L801" s="469">
        <f t="shared" si="607"/>
        <v>0</v>
      </c>
      <c r="M801" s="683">
        <f t="shared" si="613"/>
        <v>0</v>
      </c>
      <c r="N801" s="470">
        <f t="shared" si="614"/>
        <v>0</v>
      </c>
      <c r="O801" s="468">
        <f t="shared" si="615"/>
        <v>2011</v>
      </c>
      <c r="P801" s="616">
        <f t="shared" si="608"/>
        <v>0</v>
      </c>
      <c r="Q801" s="472">
        <f t="shared" si="609"/>
        <v>0</v>
      </c>
      <c r="R801" s="472">
        <f t="shared" ref="R801:R807" si="617">IF(L801=0,R800,Q801/N801)</f>
        <v>0</v>
      </c>
      <c r="S801" s="1160">
        <f t="shared" si="603"/>
        <v>2012</v>
      </c>
      <c r="T801" s="470">
        <f t="shared" si="616"/>
        <v>1</v>
      </c>
      <c r="U801" s="612">
        <f t="shared" si="604"/>
        <v>0</v>
      </c>
      <c r="V801" s="464">
        <f t="shared" si="610"/>
        <v>2012</v>
      </c>
      <c r="W801" s="612">
        <f t="shared" si="611"/>
        <v>0</v>
      </c>
      <c r="X801" s="561"/>
      <c r="Y801" s="449"/>
      <c r="Z801" s="449"/>
      <c r="AA801" s="693"/>
      <c r="AB801" s="452"/>
      <c r="AC801" s="452"/>
      <c r="AD801" s="571"/>
      <c r="AE801" s="452"/>
      <c r="AF801" s="571"/>
      <c r="AG801" s="452"/>
      <c r="AH801" s="452"/>
      <c r="AI801" s="453"/>
      <c r="AJ801" s="449"/>
      <c r="AK801" s="453"/>
      <c r="AL801" s="454"/>
      <c r="AM801" s="455"/>
      <c r="AN801" s="456"/>
      <c r="AO801" s="455"/>
      <c r="AP801" s="452"/>
      <c r="AQ801" s="457"/>
      <c r="AR801" s="449"/>
      <c r="AS801" s="449"/>
      <c r="AT801" s="452"/>
      <c r="AU801" s="457"/>
      <c r="AV801" s="449"/>
      <c r="AW801" s="458"/>
      <c r="AX801" s="452"/>
      <c r="AY801" s="457"/>
      <c r="AZ801" s="449"/>
      <c r="BA801" s="459"/>
      <c r="BB801" s="455"/>
      <c r="BC801" s="460"/>
      <c r="BD801" s="460"/>
      <c r="BG801" s="462"/>
    </row>
    <row r="802" spans="1:59" s="486" customFormat="1" ht="18" customHeight="1" x14ac:dyDescent="0.2">
      <c r="A802" s="1368" t="str">
        <f t="shared" si="605"/>
        <v>SAIK - KOTO KOMBU2013</v>
      </c>
      <c r="B802" s="1373"/>
      <c r="C802" s="488"/>
      <c r="D802" s="489"/>
      <c r="E802" s="558"/>
      <c r="F802" s="559">
        <v>2013</v>
      </c>
      <c r="G802" s="619">
        <v>0</v>
      </c>
      <c r="H802" s="464">
        <f>IF(N801-(F802-F801)&lt;=0,0,(N801-(F802-F801)))</f>
        <v>0</v>
      </c>
      <c r="I802" s="467"/>
      <c r="J802" s="468">
        <f t="shared" si="612"/>
        <v>2012</v>
      </c>
      <c r="K802" s="490">
        <f t="shared" si="606"/>
        <v>0</v>
      </c>
      <c r="L802" s="469">
        <f t="shared" si="607"/>
        <v>0</v>
      </c>
      <c r="M802" s="683">
        <f t="shared" si="613"/>
        <v>0</v>
      </c>
      <c r="N802" s="470">
        <f t="shared" si="614"/>
        <v>0</v>
      </c>
      <c r="O802" s="468">
        <f t="shared" si="615"/>
        <v>2012</v>
      </c>
      <c r="P802" s="616">
        <f t="shared" si="608"/>
        <v>0</v>
      </c>
      <c r="Q802" s="472">
        <f t="shared" si="609"/>
        <v>0</v>
      </c>
      <c r="R802" s="472">
        <f t="shared" si="617"/>
        <v>0</v>
      </c>
      <c r="S802" s="1160">
        <f t="shared" si="603"/>
        <v>2013</v>
      </c>
      <c r="T802" s="470">
        <f t="shared" si="616"/>
        <v>1</v>
      </c>
      <c r="U802" s="612">
        <f t="shared" si="604"/>
        <v>0</v>
      </c>
      <c r="V802" s="464">
        <f t="shared" si="610"/>
        <v>2013</v>
      </c>
      <c r="W802" s="612">
        <f t="shared" si="611"/>
        <v>0</v>
      </c>
      <c r="X802" s="473"/>
      <c r="Y802" s="474"/>
      <c r="Z802" s="449"/>
      <c r="AA802" s="739"/>
      <c r="AB802" s="496"/>
      <c r="AC802" s="496"/>
      <c r="AD802" s="740"/>
      <c r="AE802" s="476"/>
      <c r="AF802" s="568"/>
      <c r="AG802" s="476"/>
      <c r="AH802" s="476"/>
      <c r="AI802" s="477"/>
      <c r="AJ802" s="478"/>
      <c r="AK802" s="479"/>
      <c r="AL802" s="480"/>
      <c r="AM802" s="474"/>
      <c r="AN802" s="481"/>
      <c r="AO802" s="474"/>
      <c r="AP802" s="476"/>
      <c r="AQ802" s="482"/>
      <c r="AR802" s="478"/>
      <c r="AS802" s="478"/>
      <c r="AT802" s="476"/>
      <c r="AU802" s="482"/>
      <c r="AV802" s="478"/>
      <c r="AW802" s="483"/>
      <c r="AX802" s="476"/>
      <c r="AY802" s="482"/>
      <c r="AZ802" s="478"/>
      <c r="BA802" s="484"/>
      <c r="BB802" s="474"/>
      <c r="BC802" s="485"/>
      <c r="BD802" s="485"/>
      <c r="BG802" s="487"/>
    </row>
    <row r="803" spans="1:59" s="486" customFormat="1" ht="18" customHeight="1" x14ac:dyDescent="0.2">
      <c r="A803" s="1368" t="str">
        <f t="shared" si="605"/>
        <v>SAIK - KOTO KOMBU2014</v>
      </c>
      <c r="B803" s="1373">
        <v>2</v>
      </c>
      <c r="C803" s="463" t="s">
        <v>1320</v>
      </c>
      <c r="D803" s="489" t="s">
        <v>2494</v>
      </c>
      <c r="E803" s="465"/>
      <c r="F803" s="466">
        <v>2014</v>
      </c>
      <c r="G803" s="620">
        <v>197462951</v>
      </c>
      <c r="H803" s="557">
        <f>VLOOKUP(LEFT(D803,8),UE,4)</f>
        <v>10</v>
      </c>
      <c r="I803" s="467"/>
      <c r="J803" s="468">
        <f t="shared" si="612"/>
        <v>2023</v>
      </c>
      <c r="K803" s="490">
        <f t="shared" si="606"/>
        <v>1</v>
      </c>
      <c r="L803" s="469">
        <f t="shared" si="607"/>
        <v>10</v>
      </c>
      <c r="M803" s="683">
        <f t="shared" si="613"/>
        <v>0</v>
      </c>
      <c r="N803" s="470">
        <f t="shared" si="614"/>
        <v>10</v>
      </c>
      <c r="O803" s="468">
        <f t="shared" si="615"/>
        <v>2023</v>
      </c>
      <c r="P803" s="616">
        <f t="shared" si="608"/>
        <v>0</v>
      </c>
      <c r="Q803" s="472">
        <f t="shared" si="609"/>
        <v>197462951</v>
      </c>
      <c r="R803" s="472">
        <f t="shared" si="617"/>
        <v>19746295.100000001</v>
      </c>
      <c r="S803" s="1160">
        <f t="shared" si="603"/>
        <v>2014</v>
      </c>
      <c r="T803" s="470">
        <f t="shared" si="616"/>
        <v>1</v>
      </c>
      <c r="U803" s="612">
        <f t="shared" si="604"/>
        <v>19746295.100000001</v>
      </c>
      <c r="V803" s="464">
        <f t="shared" si="610"/>
        <v>2014</v>
      </c>
      <c r="W803" s="612">
        <f t="shared" si="611"/>
        <v>177716655.90000001</v>
      </c>
      <c r="X803" s="473"/>
      <c r="Y803" s="478"/>
      <c r="Z803" s="449"/>
      <c r="AA803" s="554" t="s">
        <v>4179</v>
      </c>
      <c r="AB803" s="491"/>
      <c r="AC803" s="491"/>
      <c r="AD803" s="567"/>
      <c r="AE803" s="491"/>
      <c r="AF803" s="568"/>
      <c r="AG803" s="491"/>
      <c r="AH803" s="491"/>
      <c r="AI803" s="477"/>
      <c r="AJ803" s="478"/>
      <c r="AK803" s="479"/>
      <c r="AL803" s="480"/>
      <c r="AM803" s="474"/>
      <c r="AN803" s="481"/>
      <c r="AO803" s="474"/>
      <c r="AP803" s="476"/>
      <c r="AQ803" s="482"/>
      <c r="AR803" s="478"/>
      <c r="AS803" s="478"/>
      <c r="AT803" s="476"/>
      <c r="AU803" s="482"/>
      <c r="AV803" s="478"/>
      <c r="AW803" s="483"/>
      <c r="AX803" s="476"/>
      <c r="AY803" s="482"/>
      <c r="AZ803" s="478"/>
      <c r="BA803" s="484"/>
      <c r="BB803" s="474"/>
      <c r="BC803" s="485"/>
      <c r="BD803" s="485"/>
      <c r="BG803" s="487"/>
    </row>
    <row r="804" spans="1:59" s="486" customFormat="1" ht="18" customHeight="1" x14ac:dyDescent="0.2">
      <c r="A804" s="1368" t="str">
        <f t="shared" si="605"/>
        <v>SAIK - KOTO KOMBU2015</v>
      </c>
      <c r="B804" s="1373"/>
      <c r="C804" s="463"/>
      <c r="D804" s="489"/>
      <c r="E804" s="465"/>
      <c r="F804" s="559">
        <v>2015</v>
      </c>
      <c r="G804" s="620">
        <v>0</v>
      </c>
      <c r="H804" s="464">
        <f>IF(N803-(F804-F803)&lt;=0,0,(N803-(F804-F803)))</f>
        <v>9</v>
      </c>
      <c r="I804" s="467"/>
      <c r="J804" s="468">
        <f t="shared" si="612"/>
        <v>2023</v>
      </c>
      <c r="K804" s="490">
        <f t="shared" si="606"/>
        <v>0</v>
      </c>
      <c r="L804" s="469">
        <f t="shared" si="607"/>
        <v>0</v>
      </c>
      <c r="M804" s="683">
        <f t="shared" si="613"/>
        <v>0</v>
      </c>
      <c r="N804" s="470">
        <f t="shared" si="614"/>
        <v>9</v>
      </c>
      <c r="O804" s="468">
        <f t="shared" si="615"/>
        <v>2023</v>
      </c>
      <c r="P804" s="616">
        <f t="shared" si="608"/>
        <v>177716655.90000001</v>
      </c>
      <c r="Q804" s="472">
        <f t="shared" si="609"/>
        <v>177716655.90000001</v>
      </c>
      <c r="R804" s="472">
        <f t="shared" si="617"/>
        <v>19746295.100000001</v>
      </c>
      <c r="S804" s="1160">
        <f t="shared" si="603"/>
        <v>2015</v>
      </c>
      <c r="T804" s="470">
        <f t="shared" si="616"/>
        <v>1</v>
      </c>
      <c r="U804" s="612">
        <f t="shared" si="604"/>
        <v>19746295.100000001</v>
      </c>
      <c r="V804" s="464">
        <f t="shared" si="610"/>
        <v>2015</v>
      </c>
      <c r="W804" s="612">
        <f t="shared" si="611"/>
        <v>157970360.80000001</v>
      </c>
      <c r="X804" s="473"/>
      <c r="Y804" s="478"/>
      <c r="Z804" s="449"/>
      <c r="AA804" s="492"/>
      <c r="AB804" s="476"/>
      <c r="AC804" s="476"/>
      <c r="AD804" s="567"/>
      <c r="AE804" s="476"/>
      <c r="AF804" s="568"/>
      <c r="AG804" s="476"/>
      <c r="AH804" s="476"/>
      <c r="AI804" s="477"/>
      <c r="AJ804" s="478"/>
      <c r="AK804" s="479"/>
      <c r="AL804" s="480"/>
      <c r="AM804" s="474"/>
      <c r="AN804" s="481"/>
      <c r="AO804" s="474"/>
      <c r="AP804" s="476"/>
      <c r="AQ804" s="482"/>
      <c r="AR804" s="478"/>
      <c r="AS804" s="478"/>
      <c r="AT804" s="476"/>
      <c r="AU804" s="482"/>
      <c r="AV804" s="478"/>
      <c r="AW804" s="483"/>
      <c r="AX804" s="476"/>
      <c r="AY804" s="482"/>
      <c r="AZ804" s="478"/>
      <c r="BA804" s="484"/>
      <c r="BB804" s="474"/>
      <c r="BC804" s="485"/>
      <c r="BD804" s="485"/>
      <c r="BG804" s="487"/>
    </row>
    <row r="805" spans="1:59" s="486" customFormat="1" ht="18" customHeight="1" x14ac:dyDescent="0.2">
      <c r="A805" s="1368" t="str">
        <f t="shared" si="605"/>
        <v>SAIK - KOTO KOMBU2016</v>
      </c>
      <c r="B805" s="1373"/>
      <c r="C805" s="463"/>
      <c r="D805" s="489"/>
      <c r="E805" s="465"/>
      <c r="F805" s="466">
        <v>2016</v>
      </c>
      <c r="G805" s="620">
        <v>0</v>
      </c>
      <c r="H805" s="464">
        <f>IF(N804-(F805-F804)&lt;=0,0,(N804-(F805-F804)))</f>
        <v>8</v>
      </c>
      <c r="I805" s="467"/>
      <c r="J805" s="468">
        <f t="shared" si="612"/>
        <v>2023</v>
      </c>
      <c r="K805" s="490">
        <f t="shared" si="606"/>
        <v>0</v>
      </c>
      <c r="L805" s="469">
        <f t="shared" si="607"/>
        <v>0</v>
      </c>
      <c r="M805" s="683">
        <f t="shared" si="613"/>
        <v>0</v>
      </c>
      <c r="N805" s="470">
        <f t="shared" si="614"/>
        <v>8</v>
      </c>
      <c r="O805" s="468">
        <f t="shared" si="615"/>
        <v>2023</v>
      </c>
      <c r="P805" s="616">
        <f t="shared" si="608"/>
        <v>157970360.80000001</v>
      </c>
      <c r="Q805" s="472">
        <f t="shared" si="609"/>
        <v>157970360.80000001</v>
      </c>
      <c r="R805" s="472">
        <f t="shared" si="617"/>
        <v>19746295.100000001</v>
      </c>
      <c r="S805" s="1160">
        <f t="shared" si="603"/>
        <v>2016</v>
      </c>
      <c r="T805" s="470">
        <f t="shared" si="616"/>
        <v>1</v>
      </c>
      <c r="U805" s="612">
        <f t="shared" si="604"/>
        <v>19746295.100000001</v>
      </c>
      <c r="V805" s="464">
        <f t="shared" si="610"/>
        <v>2016</v>
      </c>
      <c r="W805" s="612">
        <f t="shared" si="611"/>
        <v>138224065.70000002</v>
      </c>
      <c r="X805" s="473"/>
      <c r="Y805" s="478"/>
      <c r="Z805" s="449"/>
      <c r="AA805" s="475" t="s">
        <v>4180</v>
      </c>
      <c r="AB805" s="476"/>
      <c r="AC805" s="476"/>
      <c r="AD805" s="567">
        <f>G810</f>
        <v>1637462951</v>
      </c>
      <c r="AE805" s="476"/>
      <c r="AF805" s="568"/>
      <c r="AG805" s="476"/>
      <c r="AH805" s="476"/>
      <c r="AI805" s="477"/>
      <c r="AJ805" s="478"/>
      <c r="AK805" s="479"/>
      <c r="AL805" s="480"/>
      <c r="AM805" s="474"/>
      <c r="AN805" s="481"/>
      <c r="AO805" s="474"/>
      <c r="AP805" s="476"/>
      <c r="AQ805" s="482"/>
      <c r="AR805" s="478"/>
      <c r="AS805" s="478"/>
      <c r="AT805" s="476"/>
      <c r="AU805" s="482"/>
      <c r="AV805" s="478"/>
      <c r="AW805" s="483"/>
      <c r="AX805" s="476"/>
      <c r="AY805" s="482"/>
      <c r="AZ805" s="478"/>
      <c r="BA805" s="484"/>
      <c r="BB805" s="474"/>
      <c r="BC805" s="485"/>
      <c r="BD805" s="485"/>
      <c r="BG805" s="487"/>
    </row>
    <row r="806" spans="1:59" s="486" customFormat="1" ht="18" customHeight="1" x14ac:dyDescent="0.2">
      <c r="A806" s="1368" t="str">
        <f t="shared" si="605"/>
        <v>SAIK - KOTO KOMBU2017</v>
      </c>
      <c r="B806" s="1373"/>
      <c r="C806" s="463"/>
      <c r="D806" s="489"/>
      <c r="E806" s="465"/>
      <c r="F806" s="559">
        <v>2017</v>
      </c>
      <c r="G806" s="620">
        <v>0</v>
      </c>
      <c r="H806" s="464">
        <f>IF(N805-(F806-F805)&lt;=0,0,(N805-(F806-F805)))</f>
        <v>7</v>
      </c>
      <c r="I806" s="467"/>
      <c r="J806" s="468">
        <f t="shared" si="612"/>
        <v>2023</v>
      </c>
      <c r="K806" s="490">
        <f t="shared" si="606"/>
        <v>0</v>
      </c>
      <c r="L806" s="469">
        <f t="shared" si="607"/>
        <v>0</v>
      </c>
      <c r="M806" s="683">
        <f t="shared" si="613"/>
        <v>0</v>
      </c>
      <c r="N806" s="470">
        <f t="shared" si="614"/>
        <v>7</v>
      </c>
      <c r="O806" s="468">
        <f t="shared" si="615"/>
        <v>2023</v>
      </c>
      <c r="P806" s="616">
        <f t="shared" si="608"/>
        <v>138224065.70000002</v>
      </c>
      <c r="Q806" s="472">
        <f t="shared" si="609"/>
        <v>138224065.70000002</v>
      </c>
      <c r="R806" s="472">
        <f t="shared" si="617"/>
        <v>19746295.100000001</v>
      </c>
      <c r="S806" s="1160">
        <f t="shared" si="603"/>
        <v>2017</v>
      </c>
      <c r="T806" s="470">
        <f t="shared" si="616"/>
        <v>1</v>
      </c>
      <c r="U806" s="612">
        <f t="shared" si="604"/>
        <v>19746295.100000001</v>
      </c>
      <c r="V806" s="464">
        <f t="shared" si="610"/>
        <v>2017</v>
      </c>
      <c r="W806" s="612">
        <f t="shared" si="611"/>
        <v>118477770.60000002</v>
      </c>
      <c r="X806" s="473"/>
      <c r="Y806" s="478"/>
      <c r="Z806" s="449"/>
      <c r="AA806" s="475" t="s">
        <v>4181</v>
      </c>
      <c r="AB806" s="491"/>
      <c r="AC806" s="491"/>
      <c r="AD806" s="567">
        <f>U810</f>
        <v>1558477770.5999994</v>
      </c>
      <c r="AE806" s="476"/>
      <c r="AF806" s="568"/>
      <c r="AG806" s="476"/>
      <c r="AH806" s="476"/>
      <c r="AI806" s="477"/>
      <c r="AJ806" s="478"/>
      <c r="AK806" s="479"/>
      <c r="AL806" s="480"/>
      <c r="AM806" s="474"/>
      <c r="AN806" s="481"/>
      <c r="AO806" s="474"/>
      <c r="AP806" s="476"/>
      <c r="AQ806" s="482"/>
      <c r="AR806" s="478"/>
      <c r="AS806" s="478"/>
      <c r="AT806" s="476"/>
      <c r="AU806" s="482"/>
      <c r="AV806" s="478"/>
      <c r="AW806" s="483"/>
      <c r="AX806" s="476"/>
      <c r="AY806" s="482"/>
      <c r="AZ806" s="478"/>
      <c r="BA806" s="484"/>
      <c r="BB806" s="474"/>
      <c r="BC806" s="485"/>
      <c r="BD806" s="485"/>
      <c r="BG806" s="487"/>
    </row>
    <row r="807" spans="1:59" s="486" customFormat="1" ht="18" customHeight="1" x14ac:dyDescent="0.2">
      <c r="A807" s="1368" t="str">
        <f t="shared" si="605"/>
        <v>SAIK - KOTO KOMBU2018</v>
      </c>
      <c r="B807" s="1373"/>
      <c r="C807" s="463"/>
      <c r="D807" s="489"/>
      <c r="E807" s="465"/>
      <c r="F807" s="466">
        <v>2018</v>
      </c>
      <c r="G807" s="620">
        <v>0</v>
      </c>
      <c r="H807" s="464">
        <f>IF(N806-(F807-F806)&lt;=0,0,(N806-(F807-F806)))</f>
        <v>6</v>
      </c>
      <c r="I807" s="467"/>
      <c r="J807" s="468">
        <f t="shared" si="612"/>
        <v>2023</v>
      </c>
      <c r="K807" s="490">
        <f t="shared" si="606"/>
        <v>0</v>
      </c>
      <c r="L807" s="469">
        <f t="shared" si="607"/>
        <v>0</v>
      </c>
      <c r="M807" s="683">
        <f t="shared" si="613"/>
        <v>0</v>
      </c>
      <c r="N807" s="470">
        <f t="shared" si="614"/>
        <v>6</v>
      </c>
      <c r="O807" s="468">
        <f t="shared" si="615"/>
        <v>2023</v>
      </c>
      <c r="P807" s="616">
        <f t="shared" si="608"/>
        <v>118477770.60000002</v>
      </c>
      <c r="Q807" s="472">
        <f t="shared" si="609"/>
        <v>118477770.60000002</v>
      </c>
      <c r="R807" s="472">
        <f t="shared" si="617"/>
        <v>19746295.100000001</v>
      </c>
      <c r="S807" s="1160">
        <f t="shared" si="603"/>
        <v>2018</v>
      </c>
      <c r="T807" s="470">
        <f t="shared" si="616"/>
        <v>1</v>
      </c>
      <c r="U807" s="612">
        <f t="shared" si="604"/>
        <v>19746295.100000001</v>
      </c>
      <c r="V807" s="464">
        <f t="shared" si="610"/>
        <v>2018</v>
      </c>
      <c r="W807" s="612">
        <f t="shared" si="611"/>
        <v>98731475.50000003</v>
      </c>
      <c r="X807" s="473"/>
      <c r="Y807" s="478"/>
      <c r="Z807" s="449"/>
      <c r="AA807" s="492" t="s">
        <v>4182</v>
      </c>
      <c r="AB807" s="476"/>
      <c r="AC807" s="476"/>
      <c r="AD807" s="567">
        <f>AD805-AD806</f>
        <v>78985180.400000572</v>
      </c>
      <c r="AE807" s="476"/>
      <c r="AF807" s="568"/>
      <c r="AG807" s="476"/>
      <c r="AH807" s="476"/>
      <c r="AI807" s="477"/>
      <c r="AJ807" s="478"/>
      <c r="AK807" s="479"/>
      <c r="AL807" s="480"/>
      <c r="AM807" s="474"/>
      <c r="AN807" s="481"/>
      <c r="AO807" s="474"/>
      <c r="AP807" s="476"/>
      <c r="AQ807" s="482"/>
      <c r="AR807" s="478"/>
      <c r="AS807" s="478"/>
      <c r="AT807" s="476"/>
      <c r="AU807" s="482"/>
      <c r="AV807" s="478"/>
      <c r="AW807" s="483"/>
      <c r="AX807" s="476"/>
      <c r="AY807" s="482"/>
      <c r="AZ807" s="478"/>
      <c r="BA807" s="484"/>
      <c r="BB807" s="474"/>
      <c r="BC807" s="485"/>
      <c r="BD807" s="485"/>
      <c r="BG807" s="487"/>
    </row>
    <row r="808" spans="1:59" s="486" customFormat="1" ht="18" customHeight="1" x14ac:dyDescent="0.2">
      <c r="A808" s="1368" t="str">
        <f t="shared" si="605"/>
        <v>SAIK - KOTO KOMBU2019</v>
      </c>
      <c r="B808" s="1373"/>
      <c r="C808" s="463"/>
      <c r="D808" s="489"/>
      <c r="E808" s="465"/>
      <c r="F808" s="466">
        <v>2019</v>
      </c>
      <c r="G808" s="620">
        <v>0</v>
      </c>
      <c r="H808" s="464">
        <f>IF(N807-(F808-F807)&lt;=0,0,(N807-(F808-F807)))</f>
        <v>5</v>
      </c>
      <c r="I808" s="467"/>
      <c r="J808" s="468">
        <f>F808+N808-1</f>
        <v>2023</v>
      </c>
      <c r="K808" s="490">
        <f>IF(G808=0,0,IF(H808=10,100%,G808/W807))</f>
        <v>0</v>
      </c>
      <c r="L808" s="469">
        <f>IF(K808=0%,0,IF(K808&lt;=30%,2,IF(K808&lt;=60%,5,10)))</f>
        <v>0</v>
      </c>
      <c r="M808" s="683">
        <f>IF(OR(AND(ISBLANK(E808),ISBLANK(G808)),ISTEXT(E808),ISTEXT(G808)),"",IF(H808+L808&gt;$H$8,$H$8-H808,L808))</f>
        <v>0</v>
      </c>
      <c r="N808" s="470">
        <f>IF(OR(AND(ISBLANK(F808),ISBLANK(G808)),ISTEXT(F808),ISTEXT(G808)),"",H808+M808)</f>
        <v>5</v>
      </c>
      <c r="O808" s="468">
        <f>F808+N808-1</f>
        <v>2023</v>
      </c>
      <c r="P808" s="616">
        <f>W807</f>
        <v>98731475.50000003</v>
      </c>
      <c r="Q808" s="472">
        <f>P808+G808</f>
        <v>98731475.50000003</v>
      </c>
      <c r="R808" s="472">
        <f>IF(L808=0,R807,Q808/N808)</f>
        <v>19746295.100000001</v>
      </c>
      <c r="S808" s="1189">
        <f>F808</f>
        <v>2019</v>
      </c>
      <c r="T808" s="470">
        <f>S808-S807</f>
        <v>1</v>
      </c>
      <c r="U808" s="612">
        <f>R808*T808</f>
        <v>19746295.100000001</v>
      </c>
      <c r="V808" s="464">
        <f>F808</f>
        <v>2019</v>
      </c>
      <c r="W808" s="612">
        <f>IF(OR(AND(ISBLANK(E808),ISBLANK(G808)),ISTEXT(E808),ISTEXT(G808)),"",Q808-U808)</f>
        <v>78985180.400000036</v>
      </c>
      <c r="X808" s="473"/>
      <c r="Y808" s="478"/>
      <c r="Z808" s="449"/>
      <c r="AA808" s="492"/>
      <c r="AB808" s="476"/>
      <c r="AC808" s="476"/>
      <c r="AD808" s="567"/>
      <c r="AE808" s="476"/>
      <c r="AF808" s="568"/>
      <c r="AG808" s="476"/>
      <c r="AH808" s="476"/>
      <c r="AI808" s="477"/>
      <c r="AJ808" s="478"/>
      <c r="AK808" s="479"/>
      <c r="AL808" s="480"/>
      <c r="AM808" s="474"/>
      <c r="AN808" s="481"/>
      <c r="AO808" s="474"/>
      <c r="AP808" s="476"/>
      <c r="AQ808" s="482"/>
      <c r="AR808" s="478"/>
      <c r="AS808" s="478"/>
      <c r="AT808" s="476"/>
      <c r="AU808" s="482"/>
      <c r="AV808" s="478"/>
      <c r="AW808" s="483"/>
      <c r="AX808" s="476"/>
      <c r="AY808" s="482"/>
      <c r="AZ808" s="478"/>
      <c r="BA808" s="484"/>
      <c r="BB808" s="474"/>
      <c r="BC808" s="485"/>
      <c r="BD808" s="485"/>
      <c r="BG808" s="487"/>
    </row>
    <row r="809" spans="1:59" s="486" customFormat="1" ht="18" customHeight="1" x14ac:dyDescent="0.2">
      <c r="A809" s="1368" t="str">
        <f>LEFT(D809,8)</f>
        <v/>
      </c>
      <c r="B809" s="687"/>
      <c r="C809" s="463"/>
      <c r="D809" s="489"/>
      <c r="E809" s="465"/>
      <c r="F809" s="466"/>
      <c r="G809" s="620"/>
      <c r="H809" s="464"/>
      <c r="I809" s="467"/>
      <c r="J809" s="468"/>
      <c r="K809" s="574"/>
      <c r="L809" s="469"/>
      <c r="M809" s="683"/>
      <c r="N809" s="470"/>
      <c r="O809" s="468"/>
      <c r="P809" s="616"/>
      <c r="Q809" s="472"/>
      <c r="R809" s="472"/>
      <c r="S809" s="1160"/>
      <c r="T809" s="470"/>
      <c r="U809" s="612"/>
      <c r="V809" s="464"/>
      <c r="W809" s="612"/>
      <c r="X809" s="473"/>
      <c r="Y809" s="478"/>
      <c r="Z809" s="449"/>
      <c r="AA809" s="531" t="s">
        <v>4183</v>
      </c>
      <c r="AB809" s="496"/>
      <c r="AC809" s="496"/>
      <c r="AD809" s="569">
        <f>AD807-W810</f>
        <v>0</v>
      </c>
      <c r="AE809" s="476"/>
      <c r="AF809" s="568"/>
      <c r="AG809" s="476"/>
      <c r="AH809" s="476"/>
      <c r="AI809" s="477"/>
      <c r="AJ809" s="478"/>
      <c r="AK809" s="479"/>
      <c r="AL809" s="480"/>
      <c r="AM809" s="474"/>
      <c r="AN809" s="481"/>
      <c r="AO809" s="474"/>
      <c r="AP809" s="476"/>
      <c r="AQ809" s="482"/>
      <c r="AR809" s="478"/>
      <c r="AS809" s="478"/>
      <c r="AT809" s="476"/>
      <c r="AU809" s="482"/>
      <c r="AV809" s="478"/>
      <c r="AW809" s="483"/>
      <c r="AX809" s="476"/>
      <c r="AY809" s="482"/>
      <c r="AZ809" s="478"/>
      <c r="BA809" s="484"/>
      <c r="BB809" s="474"/>
      <c r="BC809" s="485"/>
      <c r="BD809" s="485"/>
      <c r="BG809" s="487"/>
    </row>
    <row r="810" spans="1:59" s="526" customFormat="1" ht="18" customHeight="1" x14ac:dyDescent="0.2">
      <c r="A810" s="1370" t="s">
        <v>4184</v>
      </c>
      <c r="B810" s="1956" t="s">
        <v>4184</v>
      </c>
      <c r="C810" s="1957"/>
      <c r="D810" s="1957"/>
      <c r="E810" s="1957"/>
      <c r="F810" s="1958"/>
      <c r="G810" s="624">
        <f>SUM(G798:G809)</f>
        <v>1637462951</v>
      </c>
      <c r="H810" s="505"/>
      <c r="I810" s="506"/>
      <c r="J810" s="507"/>
      <c r="K810" s="507"/>
      <c r="L810" s="505"/>
      <c r="M810" s="684"/>
      <c r="N810" s="508"/>
      <c r="O810" s="507"/>
      <c r="P810" s="749"/>
      <c r="Q810" s="510"/>
      <c r="R810" s="511"/>
      <c r="S810" s="512"/>
      <c r="T810" s="512"/>
      <c r="U810" s="610">
        <f>SUM(U798:U809)</f>
        <v>1558477770.5999994</v>
      </c>
      <c r="V810" s="513"/>
      <c r="W810" s="610">
        <f>G810-U810</f>
        <v>78985180.400000572</v>
      </c>
      <c r="X810" s="514"/>
      <c r="Y810" s="515"/>
      <c r="Z810" s="515"/>
      <c r="AA810" s="515"/>
      <c r="AB810" s="515"/>
      <c r="AC810" s="515"/>
      <c r="AD810" s="570"/>
      <c r="AE810" s="515"/>
      <c r="AF810" s="570">
        <v>1758315425.0999999</v>
      </c>
      <c r="AG810" s="515"/>
      <c r="AH810" s="515"/>
      <c r="AI810" s="516"/>
      <c r="AJ810" s="517"/>
      <c r="AK810" s="518"/>
      <c r="AL810" s="519"/>
      <c r="AM810" s="520"/>
      <c r="AN810" s="521"/>
      <c r="AO810" s="520"/>
      <c r="AP810" s="515"/>
      <c r="AQ810" s="522"/>
      <c r="AR810" s="517"/>
      <c r="AS810" s="517"/>
      <c r="AT810" s="515"/>
      <c r="AU810" s="522"/>
      <c r="AV810" s="517"/>
      <c r="AW810" s="523"/>
      <c r="AX810" s="515"/>
      <c r="AY810" s="522"/>
      <c r="AZ810" s="517"/>
      <c r="BA810" s="524"/>
      <c r="BB810" s="520"/>
      <c r="BC810" s="525"/>
      <c r="BD810" s="525"/>
      <c r="BG810" s="527"/>
    </row>
    <row r="811" spans="1:59" x14ac:dyDescent="0.2">
      <c r="AF811" s="562">
        <v>2608841133.5999994</v>
      </c>
    </row>
    <row r="812" spans="1:59" x14ac:dyDescent="0.2">
      <c r="AF812" s="562">
        <v>2268630850.2000003</v>
      </c>
    </row>
    <row r="813" spans="1:59" s="422" customFormat="1" ht="18" customHeight="1" x14ac:dyDescent="0.2">
      <c r="A813" s="1366">
        <f>C813</f>
        <v>124</v>
      </c>
      <c r="B813" s="742" t="s">
        <v>4187</v>
      </c>
      <c r="C813" s="556">
        <v>124</v>
      </c>
      <c r="D813" s="553" t="str">
        <f>VLOOKUP(C813,RUAS,2,FALSE)</f>
        <v>MUDIK ULO - SUMPU</v>
      </c>
      <c r="E813" s="553"/>
      <c r="F813" s="421"/>
      <c r="G813" s="611"/>
      <c r="I813" s="423"/>
      <c r="J813" s="424"/>
      <c r="K813" s="424"/>
      <c r="M813" s="680"/>
      <c r="P813" s="611"/>
      <c r="U813" s="611"/>
      <c r="W813" s="611"/>
      <c r="Y813" s="425"/>
      <c r="Z813" s="425"/>
      <c r="AA813" s="425"/>
      <c r="AB813" s="425"/>
      <c r="AC813" s="425"/>
      <c r="AD813" s="563"/>
      <c r="AE813" s="425"/>
      <c r="AF813" s="563"/>
      <c r="AG813" s="425"/>
      <c r="AH813" s="425"/>
      <c r="AI813" s="425"/>
      <c r="AJ813" s="425"/>
      <c r="AK813" s="425"/>
      <c r="AL813" s="425"/>
      <c r="AM813" s="425"/>
      <c r="AN813" s="425"/>
      <c r="AO813" s="425"/>
      <c r="AP813" s="425"/>
      <c r="AQ813" s="425"/>
      <c r="AR813" s="425"/>
      <c r="AS813" s="425"/>
      <c r="AT813" s="425"/>
      <c r="AU813" s="425"/>
      <c r="AV813" s="425"/>
      <c r="AW813" s="425"/>
      <c r="AX813" s="425"/>
      <c r="AY813" s="425"/>
      <c r="AZ813" s="425"/>
      <c r="BA813" s="425"/>
      <c r="BB813" s="425"/>
    </row>
    <row r="814" spans="1:59" s="431" customFormat="1" ht="18" customHeight="1" x14ac:dyDescent="0.2">
      <c r="A814" s="1367"/>
      <c r="B814" s="1968" t="s">
        <v>5</v>
      </c>
      <c r="C814" s="1968" t="s">
        <v>2280</v>
      </c>
      <c r="D814" s="1968" t="s">
        <v>4157</v>
      </c>
      <c r="E814" s="1968" t="s">
        <v>4158</v>
      </c>
      <c r="F814" s="1968"/>
      <c r="G814" s="2042" t="s">
        <v>4159</v>
      </c>
      <c r="H814" s="1968" t="s">
        <v>4160</v>
      </c>
      <c r="I814" s="1968"/>
      <c r="J814" s="1968" t="s">
        <v>4185</v>
      </c>
      <c r="K814" s="1964" t="s">
        <v>4162</v>
      </c>
      <c r="L814" s="1968" t="s">
        <v>4163</v>
      </c>
      <c r="M814" s="1971" t="s">
        <v>4164</v>
      </c>
      <c r="N814" s="1962" t="s">
        <v>4165</v>
      </c>
      <c r="O814" s="1968" t="s">
        <v>4166</v>
      </c>
      <c r="P814" s="1972" t="s">
        <v>4167</v>
      </c>
      <c r="Q814" s="1973"/>
      <c r="R814" s="636" t="s">
        <v>4186</v>
      </c>
      <c r="S814" s="1972" t="s">
        <v>4169</v>
      </c>
      <c r="T814" s="1974"/>
      <c r="U814" s="1973"/>
      <c r="V814" s="1975" t="s">
        <v>4170</v>
      </c>
      <c r="W814" s="1975"/>
      <c r="X814" s="1960" t="s">
        <v>4171</v>
      </c>
      <c r="Y814" s="1959"/>
      <c r="Z814" s="633"/>
      <c r="AA814" s="426"/>
      <c r="AB814" s="426"/>
      <c r="AC814" s="426"/>
      <c r="AD814" s="564"/>
      <c r="AE814" s="426"/>
      <c r="AF814" s="564"/>
      <c r="AG814" s="426"/>
      <c r="AH814" s="426"/>
      <c r="AI814" s="427"/>
      <c r="AJ814" s="427"/>
      <c r="AK814" s="427"/>
      <c r="AL814" s="427"/>
      <c r="AM814" s="428"/>
      <c r="AN814" s="427"/>
      <c r="AO814" s="427"/>
      <c r="AP814" s="426"/>
      <c r="AQ814" s="427"/>
      <c r="AR814" s="427"/>
      <c r="AS814" s="427"/>
      <c r="AT814" s="426"/>
      <c r="AU814" s="427"/>
      <c r="AV814" s="427"/>
      <c r="AW814" s="427"/>
      <c r="AX814" s="426"/>
      <c r="AY814" s="427"/>
      <c r="AZ814" s="427"/>
      <c r="BA814" s="427"/>
      <c r="BB814" s="429"/>
      <c r="BC814" s="430"/>
      <c r="BD814" s="430"/>
    </row>
    <row r="815" spans="1:59" s="431" customFormat="1" ht="18" customHeight="1" x14ac:dyDescent="0.2">
      <c r="A815" s="1367"/>
      <c r="B815" s="1968"/>
      <c r="C815" s="1968"/>
      <c r="D815" s="1968"/>
      <c r="E815" s="1968"/>
      <c r="F815" s="1968"/>
      <c r="G815" s="2042"/>
      <c r="H815" s="1968"/>
      <c r="I815" s="1968"/>
      <c r="J815" s="1968"/>
      <c r="K815" s="1970"/>
      <c r="L815" s="1968"/>
      <c r="M815" s="1971"/>
      <c r="N815" s="1963"/>
      <c r="O815" s="1968"/>
      <c r="P815" s="2037" t="s">
        <v>4172</v>
      </c>
      <c r="Q815" s="1960" t="s">
        <v>4173</v>
      </c>
      <c r="R815" s="1962" t="s">
        <v>4159</v>
      </c>
      <c r="S815" s="1962" t="s">
        <v>4174</v>
      </c>
      <c r="T815" s="1964" t="s">
        <v>4175</v>
      </c>
      <c r="U815" s="1966" t="s">
        <v>4159</v>
      </c>
      <c r="V815" s="1975"/>
      <c r="W815" s="1975"/>
      <c r="X815" s="1976"/>
      <c r="Y815" s="1959"/>
      <c r="Z815" s="633"/>
      <c r="AA815" s="426"/>
      <c r="AB815" s="426"/>
      <c r="AC815" s="426"/>
      <c r="AD815" s="564"/>
      <c r="AE815" s="426"/>
      <c r="AF815" s="564"/>
      <c r="AG815" s="426"/>
      <c r="AH815" s="426"/>
      <c r="AI815" s="427"/>
      <c r="AJ815" s="427"/>
      <c r="AK815" s="426"/>
      <c r="AL815" s="427"/>
      <c r="AM815" s="428"/>
      <c r="AN815" s="427"/>
      <c r="AO815" s="427"/>
      <c r="AP815" s="432"/>
      <c r="AQ815" s="427"/>
      <c r="AR815" s="427"/>
      <c r="AS815" s="427"/>
      <c r="AT815" s="432"/>
      <c r="AU815" s="427"/>
      <c r="AV815" s="427"/>
      <c r="AW815" s="427"/>
      <c r="AX815" s="432"/>
      <c r="AY815" s="427"/>
      <c r="AZ815" s="427"/>
      <c r="BA815" s="427"/>
      <c r="BB815" s="429"/>
      <c r="BC815" s="430"/>
      <c r="BD815" s="430"/>
    </row>
    <row r="816" spans="1:59" s="431" customFormat="1" ht="18" customHeight="1" x14ac:dyDescent="0.2">
      <c r="A816" s="1367"/>
      <c r="B816" s="1968"/>
      <c r="C816" s="1968"/>
      <c r="D816" s="1968"/>
      <c r="E816" s="433" t="s">
        <v>4176</v>
      </c>
      <c r="F816" s="434" t="s">
        <v>2288</v>
      </c>
      <c r="G816" s="2042"/>
      <c r="H816" s="635" t="s">
        <v>2288</v>
      </c>
      <c r="I816" s="635" t="s">
        <v>4177</v>
      </c>
      <c r="J816" s="1968"/>
      <c r="K816" s="1965"/>
      <c r="L816" s="435" t="s">
        <v>2288</v>
      </c>
      <c r="M816" s="681" t="s">
        <v>2288</v>
      </c>
      <c r="N816" s="635" t="s">
        <v>2288</v>
      </c>
      <c r="O816" s="1968"/>
      <c r="P816" s="2038"/>
      <c r="Q816" s="1961"/>
      <c r="R816" s="1963"/>
      <c r="S816" s="1963"/>
      <c r="T816" s="1965"/>
      <c r="U816" s="1967"/>
      <c r="V816" s="635" t="s">
        <v>4178</v>
      </c>
      <c r="W816" s="637" t="s">
        <v>4159</v>
      </c>
      <c r="X816" s="1961"/>
      <c r="Y816" s="436"/>
      <c r="Z816" s="436"/>
      <c r="AA816" s="426"/>
      <c r="AB816" s="426"/>
      <c r="AC816" s="426"/>
      <c r="AD816" s="564"/>
      <c r="AE816" s="426"/>
      <c r="AF816" s="564"/>
      <c r="AG816" s="426"/>
      <c r="AH816" s="426"/>
      <c r="AI816" s="427"/>
      <c r="AJ816" s="432"/>
      <c r="AK816" s="432"/>
      <c r="AL816" s="427"/>
      <c r="AM816" s="428"/>
      <c r="AN816" s="432"/>
      <c r="AO816" s="427"/>
      <c r="AP816" s="432"/>
      <c r="AQ816" s="432"/>
      <c r="AR816" s="427"/>
      <c r="AS816" s="427"/>
      <c r="AT816" s="432"/>
      <c r="AU816" s="432"/>
      <c r="AV816" s="427"/>
      <c r="AW816" s="427"/>
      <c r="AX816" s="432"/>
      <c r="AY816" s="432"/>
      <c r="AZ816" s="427"/>
      <c r="BA816" s="427"/>
      <c r="BB816" s="429"/>
      <c r="BC816" s="430"/>
      <c r="BD816" s="430"/>
    </row>
    <row r="817" spans="1:59" s="461" customFormat="1" ht="18" customHeight="1" x14ac:dyDescent="0.2">
      <c r="A817" s="1368" t="str">
        <f>$D$813&amp;S817</f>
        <v>MUDIK ULO - SUMPU2001</v>
      </c>
      <c r="B817" s="1373">
        <v>1</v>
      </c>
      <c r="C817" s="532" t="s">
        <v>529</v>
      </c>
      <c r="D817" s="437" t="s">
        <v>2494</v>
      </c>
      <c r="E817" s="438"/>
      <c r="F817" s="439">
        <v>2001</v>
      </c>
      <c r="G817" s="623">
        <f>864000000+540000000</f>
        <v>1404000000</v>
      </c>
      <c r="H817" s="440">
        <f>VLOOKUP(LEFT(D817,8),UE,4)</f>
        <v>10</v>
      </c>
      <c r="I817" s="441"/>
      <c r="J817" s="442">
        <f>F817+N817-1</f>
        <v>2010</v>
      </c>
      <c r="K817" s="443"/>
      <c r="L817" s="440"/>
      <c r="M817" s="746">
        <f>IF(H817+L817&gt;$H817,$H817-H817,L817)</f>
        <v>0</v>
      </c>
      <c r="N817" s="444">
        <f>H817+M817</f>
        <v>10</v>
      </c>
      <c r="O817" s="442">
        <f>F817+N817-1</f>
        <v>2010</v>
      </c>
      <c r="P817" s="617">
        <f>G817</f>
        <v>1404000000</v>
      </c>
      <c r="Q817" s="445">
        <v>0</v>
      </c>
      <c r="R817" s="445">
        <f>P817/N817</f>
        <v>140400000</v>
      </c>
      <c r="S817" s="446">
        <f>F817</f>
        <v>2001</v>
      </c>
      <c r="T817" s="447">
        <v>1</v>
      </c>
      <c r="U817" s="613">
        <f>R817*T817</f>
        <v>140400000</v>
      </c>
      <c r="V817" s="442">
        <f>F817</f>
        <v>2001</v>
      </c>
      <c r="W817" s="617">
        <f>IF(OR(AND(ISBLANK(E817),ISBLANK(G817)),ISTEXT(E817),ISTEXT(G817)),"",G817-R817)</f>
        <v>1263600000</v>
      </c>
      <c r="X817" s="448"/>
      <c r="Y817" s="449"/>
      <c r="Z817" s="449"/>
      <c r="AA817" s="693"/>
      <c r="AB817" s="452"/>
      <c r="AC817" s="452"/>
      <c r="AD817" s="571"/>
      <c r="AE817" s="452"/>
      <c r="AF817" s="571"/>
      <c r="AG817" s="452"/>
      <c r="AH817" s="452"/>
      <c r="AI817" s="453"/>
      <c r="AJ817" s="449"/>
      <c r="AK817" s="453"/>
      <c r="AL817" s="454"/>
      <c r="AM817" s="455"/>
      <c r="AN817" s="456"/>
      <c r="AO817" s="455"/>
      <c r="AP817" s="452"/>
      <c r="AQ817" s="457"/>
      <c r="AR817" s="449"/>
      <c r="AS817" s="449"/>
      <c r="AT817" s="452"/>
      <c r="AU817" s="457"/>
      <c r="AV817" s="449"/>
      <c r="AW817" s="458"/>
      <c r="AX817" s="452"/>
      <c r="AY817" s="457"/>
      <c r="AZ817" s="449"/>
      <c r="BA817" s="459"/>
      <c r="BB817" s="455"/>
      <c r="BC817" s="460"/>
      <c r="BD817" s="460"/>
      <c r="BG817" s="462"/>
    </row>
    <row r="818" spans="1:59" s="461" customFormat="1" ht="18" customHeight="1" x14ac:dyDescent="0.2">
      <c r="A818" s="1368" t="str">
        <f t="shared" ref="A818:A829" si="618">$D$813&amp;S818</f>
        <v>MUDIK ULO - SUMPU2001</v>
      </c>
      <c r="B818" s="1373"/>
      <c r="C818" s="488" t="s">
        <v>529</v>
      </c>
      <c r="D818" s="489" t="s">
        <v>2494</v>
      </c>
      <c r="E818" s="558"/>
      <c r="F818" s="559">
        <v>2001</v>
      </c>
      <c r="G818" s="619">
        <v>0</v>
      </c>
      <c r="H818" s="464">
        <f>IF(N817-(F818-F817)&lt;=0,0,(N817-(F818-F817)))</f>
        <v>10</v>
      </c>
      <c r="I818" s="560"/>
      <c r="J818" s="468">
        <f>F818+N818-1</f>
        <v>2010</v>
      </c>
      <c r="K818" s="490">
        <f>IF(G818=0,0,IF(H818=10,100%,G818/W817))</f>
        <v>0</v>
      </c>
      <c r="L818" s="469">
        <f>IF(K818=0%,0,IF(K818&lt;=30%,2,IF(K818&lt;=60%,5,10)))</f>
        <v>0</v>
      </c>
      <c r="M818" s="683">
        <f>IF(OR(AND(ISBLANK(E818),ISBLANK(G818)),ISTEXT(E818),ISTEXT(G818)),"",IF(H818+L818&gt;$H$817,$H$817-H818,L818))</f>
        <v>0</v>
      </c>
      <c r="N818" s="470">
        <f>IF(OR(AND(ISBLANK(F818),ISBLANK(G818)),ISTEXT(F818),ISTEXT(G818)),"",H818+M818)</f>
        <v>10</v>
      </c>
      <c r="O818" s="468">
        <f>F818+N818-1</f>
        <v>2010</v>
      </c>
      <c r="P818" s="616">
        <f>W817</f>
        <v>1263600000</v>
      </c>
      <c r="Q818" s="472">
        <f>P818+G818</f>
        <v>1263600000</v>
      </c>
      <c r="R818" s="472">
        <f>IF(L818=0,R817,Q818/N818)</f>
        <v>140400000</v>
      </c>
      <c r="S818" s="634">
        <f>F818</f>
        <v>2001</v>
      </c>
      <c r="T818" s="470">
        <f>S818-S817</f>
        <v>0</v>
      </c>
      <c r="U818" s="612">
        <f>R818*T818</f>
        <v>0</v>
      </c>
      <c r="V818" s="464">
        <f>F818</f>
        <v>2001</v>
      </c>
      <c r="W818" s="612">
        <f>IF(OR(AND(ISBLANK(E818),ISBLANK(G818)),ISTEXT(E818),ISTEXT(G818)),"",Q818-U818)</f>
        <v>1263600000</v>
      </c>
      <c r="X818" s="561"/>
      <c r="Y818" s="449"/>
      <c r="Z818" s="449"/>
      <c r="AA818" s="693"/>
      <c r="AB818" s="452"/>
      <c r="AC818" s="452"/>
      <c r="AD818" s="571"/>
      <c r="AE818" s="452"/>
      <c r="AF818" s="571"/>
      <c r="AG818" s="452"/>
      <c r="AH818" s="452"/>
      <c r="AI818" s="453"/>
      <c r="AJ818" s="449"/>
      <c r="AK818" s="453"/>
      <c r="AL818" s="454"/>
      <c r="AM818" s="455"/>
      <c r="AN818" s="456"/>
      <c r="AO818" s="455"/>
      <c r="AP818" s="452"/>
      <c r="AQ818" s="457"/>
      <c r="AR818" s="449"/>
      <c r="AS818" s="449"/>
      <c r="AT818" s="452"/>
      <c r="AU818" s="457"/>
      <c r="AV818" s="449"/>
      <c r="AW818" s="458"/>
      <c r="AX818" s="452"/>
      <c r="AY818" s="457"/>
      <c r="AZ818" s="449"/>
      <c r="BA818" s="459"/>
      <c r="BB818" s="455"/>
      <c r="BC818" s="460"/>
      <c r="BD818" s="460"/>
      <c r="BG818" s="462"/>
    </row>
    <row r="819" spans="1:59" s="486" customFormat="1" ht="18" customHeight="1" x14ac:dyDescent="0.2">
      <c r="A819" s="1368" t="str">
        <f t="shared" si="618"/>
        <v>MUDIK ULO - SUMPU2006</v>
      </c>
      <c r="B819" s="1373"/>
      <c r="C819" s="488"/>
      <c r="D819" s="489"/>
      <c r="E819" s="558"/>
      <c r="F819" s="559">
        <v>2006</v>
      </c>
      <c r="G819" s="619">
        <v>0</v>
      </c>
      <c r="H819" s="464">
        <f t="shared" ref="H819:H828" si="619">IF(N818-(F819-F818)&lt;=0,0,(N818-(F819-F818)))</f>
        <v>5</v>
      </c>
      <c r="I819" s="560"/>
      <c r="J819" s="468">
        <f t="shared" ref="J819:J828" si="620">F819+N819-1</f>
        <v>2010</v>
      </c>
      <c r="K819" s="490">
        <f t="shared" ref="K819:K828" si="621">IF(G819=0,0,IF(H819=10,100%,G819/W818))</f>
        <v>0</v>
      </c>
      <c r="L819" s="469">
        <f t="shared" ref="L819:L828" si="622">IF(K819=0%,0,IF(K819&lt;=30%,2,IF(K819&lt;=60%,5,10)))</f>
        <v>0</v>
      </c>
      <c r="M819" s="683">
        <f t="shared" ref="M819:M828" si="623">IF(OR(AND(ISBLANK(E819),ISBLANK(G819)),ISTEXT(E819),ISTEXT(G819)),"",IF(H819+L819&gt;$H$817,$H$817-H819,L819))</f>
        <v>0</v>
      </c>
      <c r="N819" s="470">
        <f t="shared" ref="N819:N828" si="624">IF(OR(AND(ISBLANK(F819),ISBLANK(G819)),ISTEXT(F819),ISTEXT(G819)),"",H819+M819)</f>
        <v>5</v>
      </c>
      <c r="O819" s="468">
        <f t="shared" ref="O819:O828" si="625">F819+N819-1</f>
        <v>2010</v>
      </c>
      <c r="P819" s="616">
        <f t="shared" ref="P819:P828" si="626">W818</f>
        <v>1263600000</v>
      </c>
      <c r="Q819" s="472">
        <f t="shared" ref="Q819:Q828" si="627">P819+G819</f>
        <v>1263600000</v>
      </c>
      <c r="R819" s="472">
        <f t="shared" ref="R819:R828" si="628">IF(L819=0,R818,Q819/N819)</f>
        <v>140400000</v>
      </c>
      <c r="S819" s="1189">
        <f t="shared" ref="S819:S828" si="629">F819</f>
        <v>2006</v>
      </c>
      <c r="T819" s="470">
        <f t="shared" ref="T819:T828" si="630">S819-S818</f>
        <v>5</v>
      </c>
      <c r="U819" s="612">
        <f t="shared" ref="U819:U828" si="631">R819*T819</f>
        <v>702000000</v>
      </c>
      <c r="V819" s="464">
        <f t="shared" ref="V819:V828" si="632">F819</f>
        <v>2006</v>
      </c>
      <c r="W819" s="612">
        <f t="shared" ref="W819:W828" si="633">IF(OR(AND(ISBLANK(E819),ISBLANK(G819)),ISTEXT(E819),ISTEXT(G819)),"",Q819-U819)</f>
        <v>561600000</v>
      </c>
      <c r="X819" s="473"/>
      <c r="Y819" s="474"/>
      <c r="Z819" s="449"/>
      <c r="AA819" s="573"/>
      <c r="AB819" s="476"/>
      <c r="AC819" s="476"/>
      <c r="AD819" s="568"/>
      <c r="AE819" s="476"/>
      <c r="AF819" s="568"/>
      <c r="AG819" s="476"/>
      <c r="AH819" s="476"/>
      <c r="AI819" s="477"/>
      <c r="AJ819" s="478"/>
      <c r="AK819" s="479"/>
      <c r="AL819" s="480"/>
      <c r="AM819" s="474"/>
      <c r="AN819" s="481"/>
      <c r="AO819" s="474"/>
      <c r="AP819" s="476"/>
      <c r="AQ819" s="482"/>
      <c r="AR819" s="478"/>
      <c r="AS819" s="478"/>
      <c r="AT819" s="476"/>
      <c r="AU819" s="482"/>
      <c r="AV819" s="478"/>
      <c r="AW819" s="483"/>
      <c r="AX819" s="476"/>
      <c r="AY819" s="482"/>
      <c r="AZ819" s="478"/>
      <c r="BA819" s="484"/>
      <c r="BB819" s="474"/>
      <c r="BC819" s="485"/>
      <c r="BD819" s="485"/>
      <c r="BG819" s="487"/>
    </row>
    <row r="820" spans="1:59" s="486" customFormat="1" ht="18" customHeight="1" x14ac:dyDescent="0.2">
      <c r="A820" s="1368" t="str">
        <f t="shared" si="618"/>
        <v>MUDIK ULO - SUMPU2007</v>
      </c>
      <c r="B820" s="1373"/>
      <c r="C820" s="488" t="s">
        <v>5056</v>
      </c>
      <c r="D820" s="489"/>
      <c r="E820" s="558"/>
      <c r="F820" s="559">
        <v>2007</v>
      </c>
      <c r="G820" s="619">
        <v>442451120.5388456</v>
      </c>
      <c r="H820" s="464">
        <f t="shared" si="619"/>
        <v>4</v>
      </c>
      <c r="I820" s="560"/>
      <c r="J820" s="468">
        <f t="shared" si="620"/>
        <v>2016</v>
      </c>
      <c r="K820" s="490">
        <f t="shared" si="621"/>
        <v>0.78784031434979629</v>
      </c>
      <c r="L820" s="469">
        <f t="shared" si="622"/>
        <v>10</v>
      </c>
      <c r="M820" s="683">
        <f t="shared" si="623"/>
        <v>6</v>
      </c>
      <c r="N820" s="470">
        <f t="shared" si="624"/>
        <v>10</v>
      </c>
      <c r="O820" s="468">
        <f t="shared" si="625"/>
        <v>2016</v>
      </c>
      <c r="P820" s="616">
        <f t="shared" si="626"/>
        <v>561600000</v>
      </c>
      <c r="Q820" s="472">
        <f t="shared" si="627"/>
        <v>1004051120.5388455</v>
      </c>
      <c r="R820" s="472">
        <f t="shared" si="628"/>
        <v>100405112.05388455</v>
      </c>
      <c r="S820" s="1189">
        <f t="shared" si="629"/>
        <v>2007</v>
      </c>
      <c r="T820" s="470">
        <f t="shared" si="630"/>
        <v>1</v>
      </c>
      <c r="U820" s="612">
        <f t="shared" si="631"/>
        <v>100405112.05388455</v>
      </c>
      <c r="V820" s="464">
        <f t="shared" si="632"/>
        <v>2007</v>
      </c>
      <c r="W820" s="612">
        <f t="shared" si="633"/>
        <v>903646008.48496103</v>
      </c>
      <c r="X820" s="473"/>
      <c r="Y820" s="474"/>
      <c r="Z820" s="449"/>
      <c r="AA820" s="573"/>
      <c r="AB820" s="476"/>
      <c r="AC820" s="476"/>
      <c r="AD820" s="568"/>
      <c r="AE820" s="476"/>
      <c r="AF820" s="568"/>
      <c r="AG820" s="476"/>
      <c r="AH820" s="476"/>
      <c r="AI820" s="477"/>
      <c r="AJ820" s="478"/>
      <c r="AK820" s="479"/>
      <c r="AL820" s="480"/>
      <c r="AM820" s="474"/>
      <c r="AN820" s="481"/>
      <c r="AO820" s="474"/>
      <c r="AP820" s="476"/>
      <c r="AQ820" s="482"/>
      <c r="AR820" s="478"/>
      <c r="AS820" s="478"/>
      <c r="AT820" s="476"/>
      <c r="AU820" s="482"/>
      <c r="AV820" s="478"/>
      <c r="AW820" s="483"/>
      <c r="AX820" s="476"/>
      <c r="AY820" s="482"/>
      <c r="AZ820" s="478"/>
      <c r="BA820" s="484"/>
      <c r="BB820" s="474"/>
      <c r="BC820" s="485"/>
      <c r="BD820" s="485"/>
      <c r="BG820" s="487"/>
    </row>
    <row r="821" spans="1:59" s="486" customFormat="1" ht="18" customHeight="1" x14ac:dyDescent="0.2">
      <c r="A821" s="1368" t="str">
        <f t="shared" si="618"/>
        <v>MUDIK ULO - SUMPU2008</v>
      </c>
      <c r="B821" s="1373"/>
      <c r="C821" s="488" t="s">
        <v>5134</v>
      </c>
      <c r="D821" s="489"/>
      <c r="E821" s="558"/>
      <c r="F821" s="559">
        <v>2008</v>
      </c>
      <c r="G821" s="619">
        <v>399330194.19144249</v>
      </c>
      <c r="H821" s="464">
        <f t="shared" si="619"/>
        <v>9</v>
      </c>
      <c r="I821" s="560"/>
      <c r="J821" s="468">
        <f t="shared" si="620"/>
        <v>2017</v>
      </c>
      <c r="K821" s="490">
        <f t="shared" si="621"/>
        <v>0.44190998515110286</v>
      </c>
      <c r="L821" s="469">
        <f t="shared" si="622"/>
        <v>5</v>
      </c>
      <c r="M821" s="683">
        <f t="shared" si="623"/>
        <v>1</v>
      </c>
      <c r="N821" s="470">
        <f t="shared" si="624"/>
        <v>10</v>
      </c>
      <c r="O821" s="468">
        <f t="shared" si="625"/>
        <v>2017</v>
      </c>
      <c r="P821" s="616">
        <f t="shared" si="626"/>
        <v>903646008.48496103</v>
      </c>
      <c r="Q821" s="472">
        <f t="shared" si="627"/>
        <v>1302976202.6764035</v>
      </c>
      <c r="R821" s="472">
        <f t="shared" si="628"/>
        <v>130297620.26764035</v>
      </c>
      <c r="S821" s="1189">
        <f t="shared" si="629"/>
        <v>2008</v>
      </c>
      <c r="T821" s="470">
        <f t="shared" si="630"/>
        <v>1</v>
      </c>
      <c r="U821" s="612">
        <f t="shared" si="631"/>
        <v>130297620.26764035</v>
      </c>
      <c r="V821" s="464">
        <f t="shared" si="632"/>
        <v>2008</v>
      </c>
      <c r="W821" s="612">
        <f t="shared" si="633"/>
        <v>1172678582.4087632</v>
      </c>
      <c r="X821" s="473"/>
      <c r="Y821" s="474"/>
      <c r="Z821" s="449"/>
      <c r="AA821" s="573"/>
      <c r="AB821" s="476"/>
      <c r="AC821" s="476"/>
      <c r="AD821" s="568"/>
      <c r="AE821" s="476"/>
      <c r="AF821" s="568"/>
      <c r="AG821" s="476"/>
      <c r="AH821" s="476"/>
      <c r="AI821" s="477"/>
      <c r="AJ821" s="478"/>
      <c r="AK821" s="479"/>
      <c r="AL821" s="480"/>
      <c r="AM821" s="474"/>
      <c r="AN821" s="481"/>
      <c r="AO821" s="474"/>
      <c r="AP821" s="476"/>
      <c r="AQ821" s="482"/>
      <c r="AR821" s="478"/>
      <c r="AS821" s="478"/>
      <c r="AT821" s="476"/>
      <c r="AU821" s="482"/>
      <c r="AV821" s="478"/>
      <c r="AW821" s="483"/>
      <c r="AX821" s="476"/>
      <c r="AY821" s="482"/>
      <c r="AZ821" s="478"/>
      <c r="BA821" s="484"/>
      <c r="BB821" s="474"/>
      <c r="BC821" s="485"/>
      <c r="BD821" s="485"/>
      <c r="BG821" s="487"/>
    </row>
    <row r="822" spans="1:59" s="486" customFormat="1" ht="18" customHeight="1" x14ac:dyDescent="0.2">
      <c r="A822" s="1368" t="str">
        <f t="shared" si="618"/>
        <v>MUDIK ULO - SUMPU2010</v>
      </c>
      <c r="B822" s="1373"/>
      <c r="C822" s="488"/>
      <c r="D822" s="489"/>
      <c r="E822" s="558"/>
      <c r="F822" s="559">
        <v>2010</v>
      </c>
      <c r="G822" s="619">
        <v>0</v>
      </c>
      <c r="H822" s="464">
        <f t="shared" si="619"/>
        <v>8</v>
      </c>
      <c r="I822" s="560"/>
      <c r="J822" s="468">
        <f t="shared" si="620"/>
        <v>2017</v>
      </c>
      <c r="K822" s="490">
        <f t="shared" si="621"/>
        <v>0</v>
      </c>
      <c r="L822" s="469">
        <f t="shared" si="622"/>
        <v>0</v>
      </c>
      <c r="M822" s="683">
        <f t="shared" si="623"/>
        <v>0</v>
      </c>
      <c r="N822" s="470">
        <f t="shared" si="624"/>
        <v>8</v>
      </c>
      <c r="O822" s="468">
        <f t="shared" si="625"/>
        <v>2017</v>
      </c>
      <c r="P822" s="616">
        <f t="shared" si="626"/>
        <v>1172678582.4087632</v>
      </c>
      <c r="Q822" s="472">
        <f t="shared" si="627"/>
        <v>1172678582.4087632</v>
      </c>
      <c r="R822" s="472">
        <f t="shared" si="628"/>
        <v>130297620.26764035</v>
      </c>
      <c r="S822" s="1189">
        <f t="shared" si="629"/>
        <v>2010</v>
      </c>
      <c r="T822" s="470">
        <f t="shared" si="630"/>
        <v>2</v>
      </c>
      <c r="U822" s="612">
        <f t="shared" si="631"/>
        <v>260595240.5352807</v>
      </c>
      <c r="V822" s="464">
        <f t="shared" si="632"/>
        <v>2010</v>
      </c>
      <c r="W822" s="612">
        <f t="shared" si="633"/>
        <v>912083341.87348247</v>
      </c>
      <c r="X822" s="473"/>
      <c r="Y822" s="474"/>
      <c r="Z822" s="449"/>
      <c r="AA822" s="739"/>
      <c r="AB822" s="496"/>
      <c r="AC822" s="496"/>
      <c r="AD822" s="740"/>
      <c r="AE822" s="476"/>
      <c r="AF822" s="568"/>
      <c r="AG822" s="476"/>
      <c r="AH822" s="476"/>
      <c r="AI822" s="477"/>
      <c r="AJ822" s="478"/>
      <c r="AK822" s="479"/>
      <c r="AL822" s="480"/>
      <c r="AM822" s="474"/>
      <c r="AN822" s="481"/>
      <c r="AO822" s="474"/>
      <c r="AP822" s="476"/>
      <c r="AQ822" s="482"/>
      <c r="AR822" s="478"/>
      <c r="AS822" s="478"/>
      <c r="AT822" s="476"/>
      <c r="AU822" s="482"/>
      <c r="AV822" s="478"/>
      <c r="AW822" s="483"/>
      <c r="AX822" s="476"/>
      <c r="AY822" s="482"/>
      <c r="AZ822" s="478"/>
      <c r="BA822" s="484"/>
      <c r="BB822" s="474"/>
      <c r="BC822" s="485"/>
      <c r="BD822" s="485"/>
      <c r="BG822" s="487"/>
    </row>
    <row r="823" spans="1:59" s="486" customFormat="1" ht="18" customHeight="1" x14ac:dyDescent="0.2">
      <c r="A823" s="1368" t="str">
        <f t="shared" si="618"/>
        <v>MUDIK ULO - SUMPU2013</v>
      </c>
      <c r="B823" s="1373"/>
      <c r="C823" s="488"/>
      <c r="D823" s="489"/>
      <c r="E823" s="558"/>
      <c r="F823" s="559">
        <v>2013</v>
      </c>
      <c r="G823" s="619">
        <v>0</v>
      </c>
      <c r="H823" s="464">
        <f t="shared" si="619"/>
        <v>5</v>
      </c>
      <c r="I823" s="560"/>
      <c r="J823" s="468">
        <f t="shared" si="620"/>
        <v>2017</v>
      </c>
      <c r="K823" s="490">
        <f t="shared" si="621"/>
        <v>0</v>
      </c>
      <c r="L823" s="469">
        <f t="shared" si="622"/>
        <v>0</v>
      </c>
      <c r="M823" s="683">
        <f t="shared" si="623"/>
        <v>0</v>
      </c>
      <c r="N823" s="470">
        <f t="shared" si="624"/>
        <v>5</v>
      </c>
      <c r="O823" s="468">
        <f t="shared" si="625"/>
        <v>2017</v>
      </c>
      <c r="P823" s="616">
        <f t="shared" si="626"/>
        <v>912083341.87348247</v>
      </c>
      <c r="Q823" s="472">
        <f t="shared" si="627"/>
        <v>912083341.87348247</v>
      </c>
      <c r="R823" s="472">
        <f t="shared" si="628"/>
        <v>130297620.26764035</v>
      </c>
      <c r="S823" s="1189">
        <f t="shared" si="629"/>
        <v>2013</v>
      </c>
      <c r="T823" s="470">
        <f t="shared" si="630"/>
        <v>3</v>
      </c>
      <c r="U823" s="612">
        <f t="shared" si="631"/>
        <v>390892860.80292106</v>
      </c>
      <c r="V823" s="464">
        <f t="shared" si="632"/>
        <v>2013</v>
      </c>
      <c r="W823" s="612">
        <f t="shared" si="633"/>
        <v>521190481.07056141</v>
      </c>
      <c r="X823" s="473"/>
      <c r="Y823" s="474"/>
      <c r="Z823" s="449"/>
      <c r="AA823" s="573"/>
      <c r="AB823" s="476"/>
      <c r="AC823" s="476"/>
      <c r="AD823" s="568"/>
      <c r="AE823" s="476"/>
      <c r="AF823" s="568"/>
      <c r="AG823" s="476"/>
      <c r="AH823" s="476"/>
      <c r="AI823" s="477"/>
      <c r="AJ823" s="478"/>
      <c r="AK823" s="479"/>
      <c r="AL823" s="480"/>
      <c r="AM823" s="474"/>
      <c r="AN823" s="481"/>
      <c r="AO823" s="474"/>
      <c r="AP823" s="476"/>
      <c r="AQ823" s="482"/>
      <c r="AR823" s="478"/>
      <c r="AS823" s="478"/>
      <c r="AT823" s="476"/>
      <c r="AU823" s="482"/>
      <c r="AV823" s="478"/>
      <c r="AW823" s="483"/>
      <c r="AX823" s="476"/>
      <c r="AY823" s="482"/>
      <c r="AZ823" s="478"/>
      <c r="BA823" s="484"/>
      <c r="BB823" s="474"/>
      <c r="BC823" s="485"/>
      <c r="BD823" s="485"/>
      <c r="BG823" s="487"/>
    </row>
    <row r="824" spans="1:59" s="486" customFormat="1" ht="18" customHeight="1" x14ac:dyDescent="0.2">
      <c r="A824" s="1368" t="str">
        <f t="shared" si="618"/>
        <v>MUDIK ULO - SUMPU2014</v>
      </c>
      <c r="B824" s="1373"/>
      <c r="C824" s="488"/>
      <c r="D824" s="489"/>
      <c r="E824" s="558"/>
      <c r="F824" s="559">
        <v>2014</v>
      </c>
      <c r="G824" s="619">
        <v>0</v>
      </c>
      <c r="H824" s="464">
        <f t="shared" si="619"/>
        <v>4</v>
      </c>
      <c r="I824" s="560"/>
      <c r="J824" s="468">
        <f t="shared" si="620"/>
        <v>2017</v>
      </c>
      <c r="K824" s="490">
        <f t="shared" si="621"/>
        <v>0</v>
      </c>
      <c r="L824" s="469">
        <f t="shared" si="622"/>
        <v>0</v>
      </c>
      <c r="M824" s="683">
        <f t="shared" si="623"/>
        <v>0</v>
      </c>
      <c r="N824" s="470">
        <f t="shared" si="624"/>
        <v>4</v>
      </c>
      <c r="O824" s="468">
        <f t="shared" si="625"/>
        <v>2017</v>
      </c>
      <c r="P824" s="616">
        <f t="shared" si="626"/>
        <v>521190481.07056141</v>
      </c>
      <c r="Q824" s="472">
        <f t="shared" si="627"/>
        <v>521190481.07056141</v>
      </c>
      <c r="R824" s="472">
        <f t="shared" si="628"/>
        <v>130297620.26764035</v>
      </c>
      <c r="S824" s="1189">
        <f t="shared" si="629"/>
        <v>2014</v>
      </c>
      <c r="T824" s="470">
        <f t="shared" si="630"/>
        <v>1</v>
      </c>
      <c r="U824" s="612">
        <f t="shared" si="631"/>
        <v>130297620.26764035</v>
      </c>
      <c r="V824" s="464">
        <f t="shared" si="632"/>
        <v>2014</v>
      </c>
      <c r="W824" s="612">
        <f t="shared" si="633"/>
        <v>390892860.80292106</v>
      </c>
      <c r="X824" s="473"/>
      <c r="Y824" s="474"/>
      <c r="Z824" s="449"/>
      <c r="AA824" s="554" t="s">
        <v>4179</v>
      </c>
      <c r="AB824" s="476"/>
      <c r="AC824" s="476"/>
      <c r="AD824" s="567"/>
      <c r="AE824" s="476"/>
      <c r="AF824" s="568"/>
      <c r="AG824" s="476"/>
      <c r="AH824" s="476"/>
      <c r="AI824" s="477"/>
      <c r="AJ824" s="478"/>
      <c r="AK824" s="479"/>
      <c r="AL824" s="480"/>
      <c r="AM824" s="474"/>
      <c r="AN824" s="481"/>
      <c r="AO824" s="474"/>
      <c r="AP824" s="476"/>
      <c r="AQ824" s="482"/>
      <c r="AR824" s="478"/>
      <c r="AS824" s="478"/>
      <c r="AT824" s="476"/>
      <c r="AU824" s="482"/>
      <c r="AV824" s="478"/>
      <c r="AW824" s="483"/>
      <c r="AX824" s="476"/>
      <c r="AY824" s="482"/>
      <c r="AZ824" s="478"/>
      <c r="BA824" s="484"/>
      <c r="BB824" s="474"/>
      <c r="BC824" s="485"/>
      <c r="BD824" s="485"/>
      <c r="BG824" s="487"/>
    </row>
    <row r="825" spans="1:59" s="486" customFormat="1" ht="18" customHeight="1" x14ac:dyDescent="0.2">
      <c r="A825" s="1368" t="str">
        <f t="shared" si="618"/>
        <v>MUDIK ULO - SUMPU2015</v>
      </c>
      <c r="B825" s="1373"/>
      <c r="C825" s="488"/>
      <c r="D825" s="489"/>
      <c r="E825" s="558"/>
      <c r="F825" s="559">
        <v>2015</v>
      </c>
      <c r="G825" s="619">
        <v>0</v>
      </c>
      <c r="H825" s="464">
        <f t="shared" si="619"/>
        <v>3</v>
      </c>
      <c r="I825" s="560"/>
      <c r="J825" s="468">
        <f t="shared" si="620"/>
        <v>2017</v>
      </c>
      <c r="K825" s="490">
        <f t="shared" si="621"/>
        <v>0</v>
      </c>
      <c r="L825" s="469">
        <f t="shared" si="622"/>
        <v>0</v>
      </c>
      <c r="M825" s="683">
        <f t="shared" si="623"/>
        <v>0</v>
      </c>
      <c r="N825" s="470">
        <f t="shared" si="624"/>
        <v>3</v>
      </c>
      <c r="O825" s="468">
        <f t="shared" si="625"/>
        <v>2017</v>
      </c>
      <c r="P825" s="616">
        <f t="shared" si="626"/>
        <v>390892860.80292106</v>
      </c>
      <c r="Q825" s="472">
        <f t="shared" si="627"/>
        <v>390892860.80292106</v>
      </c>
      <c r="R825" s="472">
        <f t="shared" si="628"/>
        <v>130297620.26764035</v>
      </c>
      <c r="S825" s="1189">
        <f t="shared" si="629"/>
        <v>2015</v>
      </c>
      <c r="T825" s="470">
        <f t="shared" si="630"/>
        <v>1</v>
      </c>
      <c r="U825" s="612">
        <f>R825*T825</f>
        <v>130297620.26764035</v>
      </c>
      <c r="V825" s="464">
        <f t="shared" si="632"/>
        <v>2015</v>
      </c>
      <c r="W825" s="612">
        <f t="shared" si="633"/>
        <v>260595240.5352807</v>
      </c>
      <c r="X825" s="473"/>
      <c r="Y825" s="474"/>
      <c r="Z825" s="449"/>
      <c r="AA825" s="475"/>
      <c r="AB825" s="476"/>
      <c r="AC825" s="476"/>
      <c r="AD825" s="567"/>
      <c r="AE825" s="476"/>
      <c r="AF825" s="568"/>
      <c r="AG825" s="476"/>
      <c r="AH825" s="476"/>
      <c r="AI825" s="477"/>
      <c r="AJ825" s="478"/>
      <c r="AK825" s="479"/>
      <c r="AL825" s="480"/>
      <c r="AM825" s="474"/>
      <c r="AN825" s="481"/>
      <c r="AO825" s="474"/>
      <c r="AP825" s="476"/>
      <c r="AQ825" s="482"/>
      <c r="AR825" s="478"/>
      <c r="AS825" s="478"/>
      <c r="AT825" s="476"/>
      <c r="AU825" s="482"/>
      <c r="AV825" s="478"/>
      <c r="AW825" s="483"/>
      <c r="AX825" s="476"/>
      <c r="AY825" s="482"/>
      <c r="AZ825" s="478"/>
      <c r="BA825" s="484"/>
      <c r="BB825" s="474"/>
      <c r="BC825" s="485"/>
      <c r="BD825" s="485"/>
      <c r="BG825" s="487"/>
    </row>
    <row r="826" spans="1:59" s="486" customFormat="1" ht="18" customHeight="1" x14ac:dyDescent="0.2">
      <c r="A826" s="1368" t="str">
        <f t="shared" si="618"/>
        <v>MUDIK ULO - SUMPU2016</v>
      </c>
      <c r="B826" s="1373"/>
      <c r="C826" s="488" t="s">
        <v>1439</v>
      </c>
      <c r="D826" s="489" t="s">
        <v>2494</v>
      </c>
      <c r="E826" s="558"/>
      <c r="F826" s="559">
        <v>2016</v>
      </c>
      <c r="G826" s="619">
        <v>1997824226.8399999</v>
      </c>
      <c r="H826" s="464">
        <f t="shared" si="619"/>
        <v>2</v>
      </c>
      <c r="I826" s="560"/>
      <c r="J826" s="468">
        <f t="shared" si="620"/>
        <v>2025</v>
      </c>
      <c r="K826" s="490">
        <f t="shared" si="621"/>
        <v>7.6663880074568143</v>
      </c>
      <c r="L826" s="469">
        <f t="shared" si="622"/>
        <v>10</v>
      </c>
      <c r="M826" s="683">
        <f t="shared" si="623"/>
        <v>8</v>
      </c>
      <c r="N826" s="470">
        <f t="shared" si="624"/>
        <v>10</v>
      </c>
      <c r="O826" s="468">
        <f t="shared" si="625"/>
        <v>2025</v>
      </c>
      <c r="P826" s="616">
        <f t="shared" si="626"/>
        <v>260595240.5352807</v>
      </c>
      <c r="Q826" s="472">
        <f t="shared" si="627"/>
        <v>2258419467.3752804</v>
      </c>
      <c r="R826" s="472">
        <f t="shared" si="628"/>
        <v>225841946.73752803</v>
      </c>
      <c r="S826" s="1189">
        <f t="shared" si="629"/>
        <v>2016</v>
      </c>
      <c r="T826" s="470">
        <f t="shared" si="630"/>
        <v>1</v>
      </c>
      <c r="U826" s="612">
        <f t="shared" si="631"/>
        <v>225841946.73752803</v>
      </c>
      <c r="V826" s="464">
        <f t="shared" si="632"/>
        <v>2016</v>
      </c>
      <c r="W826" s="612">
        <f t="shared" si="633"/>
        <v>2032577520.6377523</v>
      </c>
      <c r="X826" s="473"/>
      <c r="Y826" s="478"/>
      <c r="Z826" s="449"/>
      <c r="AA826" s="475" t="s">
        <v>4180</v>
      </c>
      <c r="AB826" s="476"/>
      <c r="AC826" s="476"/>
      <c r="AD826" s="567">
        <f>G833</f>
        <v>6867448288.5702877</v>
      </c>
      <c r="AE826" s="491"/>
      <c r="AF826" s="568"/>
      <c r="AG826" s="491"/>
      <c r="AH826" s="491"/>
      <c r="AI826" s="477"/>
      <c r="AJ826" s="478"/>
      <c r="AK826" s="479"/>
      <c r="AL826" s="480"/>
      <c r="AM826" s="474"/>
      <c r="AN826" s="481"/>
      <c r="AO826" s="474"/>
      <c r="AP826" s="476"/>
      <c r="AQ826" s="482"/>
      <c r="AR826" s="478"/>
      <c r="AS826" s="478"/>
      <c r="AT826" s="476"/>
      <c r="AU826" s="482"/>
      <c r="AV826" s="478"/>
      <c r="AW826" s="483"/>
      <c r="AX826" s="476"/>
      <c r="AY826" s="482"/>
      <c r="AZ826" s="478"/>
      <c r="BA826" s="484"/>
      <c r="BB826" s="474"/>
      <c r="BC826" s="485"/>
      <c r="BD826" s="485"/>
      <c r="BG826" s="487"/>
    </row>
    <row r="827" spans="1:59" s="486" customFormat="1" ht="18" customHeight="1" x14ac:dyDescent="0.2">
      <c r="A827" s="1368" t="str">
        <f t="shared" si="618"/>
        <v>MUDIK ULO - SUMPU2017</v>
      </c>
      <c r="B827" s="1373"/>
      <c r="C827" s="488"/>
      <c r="D827" s="489"/>
      <c r="E827" s="558"/>
      <c r="F827" s="559">
        <v>2017</v>
      </c>
      <c r="G827" s="619">
        <v>0</v>
      </c>
      <c r="H827" s="464">
        <f t="shared" si="619"/>
        <v>9</v>
      </c>
      <c r="I827" s="560"/>
      <c r="J827" s="468">
        <f t="shared" si="620"/>
        <v>2025</v>
      </c>
      <c r="K827" s="490">
        <f t="shared" si="621"/>
        <v>0</v>
      </c>
      <c r="L827" s="469">
        <f t="shared" si="622"/>
        <v>0</v>
      </c>
      <c r="M827" s="683">
        <f t="shared" si="623"/>
        <v>0</v>
      </c>
      <c r="N827" s="470">
        <f t="shared" si="624"/>
        <v>9</v>
      </c>
      <c r="O827" s="468">
        <f t="shared" si="625"/>
        <v>2025</v>
      </c>
      <c r="P827" s="616">
        <f t="shared" si="626"/>
        <v>2032577520.6377523</v>
      </c>
      <c r="Q827" s="472">
        <f t="shared" si="627"/>
        <v>2032577520.6377523</v>
      </c>
      <c r="R827" s="472">
        <f t="shared" si="628"/>
        <v>225841946.73752803</v>
      </c>
      <c r="S827" s="1189">
        <f t="shared" si="629"/>
        <v>2017</v>
      </c>
      <c r="T827" s="470">
        <f t="shared" si="630"/>
        <v>1</v>
      </c>
      <c r="U827" s="612">
        <f t="shared" si="631"/>
        <v>225841946.73752803</v>
      </c>
      <c r="V827" s="464">
        <f t="shared" si="632"/>
        <v>2017</v>
      </c>
      <c r="W827" s="612">
        <f t="shared" si="633"/>
        <v>1806735573.9002242</v>
      </c>
      <c r="X827" s="473"/>
      <c r="Y827" s="478"/>
      <c r="Z827" s="449"/>
      <c r="AA827" s="475" t="s">
        <v>4181</v>
      </c>
      <c r="AB827" s="491"/>
      <c r="AC827" s="491"/>
      <c r="AD827" s="567">
        <f>U833</f>
        <v>3077787631.4111056</v>
      </c>
      <c r="AE827" s="491"/>
      <c r="AF827" s="568"/>
      <c r="AG827" s="491"/>
      <c r="AH827" s="491"/>
      <c r="AI827" s="477"/>
      <c r="AJ827" s="478"/>
      <c r="AK827" s="479"/>
      <c r="AL827" s="480"/>
      <c r="AM827" s="474"/>
      <c r="AN827" s="481"/>
      <c r="AO827" s="474"/>
      <c r="AP827" s="476"/>
      <c r="AQ827" s="482"/>
      <c r="AR827" s="478"/>
      <c r="AS827" s="478"/>
      <c r="AT827" s="476"/>
      <c r="AU827" s="482"/>
      <c r="AV827" s="478"/>
      <c r="AW827" s="483"/>
      <c r="AX827" s="476"/>
      <c r="AY827" s="482"/>
      <c r="AZ827" s="478"/>
      <c r="BA827" s="484"/>
      <c r="BB827" s="474"/>
      <c r="BC827" s="485"/>
      <c r="BD827" s="485"/>
      <c r="BG827" s="487"/>
    </row>
    <row r="828" spans="1:59" s="486" customFormat="1" ht="18" customHeight="1" x14ac:dyDescent="0.2">
      <c r="A828" s="1368" t="str">
        <f t="shared" si="618"/>
        <v>MUDIK ULO - SUMPU2018</v>
      </c>
      <c r="B828" s="1373"/>
      <c r="C828" s="463" t="s">
        <v>3340</v>
      </c>
      <c r="D828" s="489" t="s">
        <v>2494</v>
      </c>
      <c r="E828" s="465"/>
      <c r="F828" s="466">
        <v>2018</v>
      </c>
      <c r="G828" s="620">
        <v>391707000</v>
      </c>
      <c r="H828" s="464">
        <f t="shared" si="619"/>
        <v>8</v>
      </c>
      <c r="I828" s="560"/>
      <c r="J828" s="468">
        <f t="shared" si="620"/>
        <v>2027</v>
      </c>
      <c r="K828" s="490">
        <f t="shared" si="621"/>
        <v>0.21680372360987882</v>
      </c>
      <c r="L828" s="469">
        <f t="shared" si="622"/>
        <v>2</v>
      </c>
      <c r="M828" s="683">
        <f t="shared" si="623"/>
        <v>2</v>
      </c>
      <c r="N828" s="470">
        <f t="shared" si="624"/>
        <v>10</v>
      </c>
      <c r="O828" s="468">
        <f t="shared" si="625"/>
        <v>2027</v>
      </c>
      <c r="P828" s="616">
        <f t="shared" si="626"/>
        <v>1806735573.9002242</v>
      </c>
      <c r="Q828" s="472">
        <f t="shared" si="627"/>
        <v>2198442573.9002242</v>
      </c>
      <c r="R828" s="472">
        <f t="shared" si="628"/>
        <v>219844257.39002243</v>
      </c>
      <c r="S828" s="1189">
        <f t="shared" si="629"/>
        <v>2018</v>
      </c>
      <c r="T828" s="470">
        <f t="shared" si="630"/>
        <v>1</v>
      </c>
      <c r="U828" s="612">
        <f t="shared" si="631"/>
        <v>219844257.39002243</v>
      </c>
      <c r="V828" s="464">
        <f t="shared" si="632"/>
        <v>2018</v>
      </c>
      <c r="W828" s="612">
        <f t="shared" si="633"/>
        <v>1978598316.5102017</v>
      </c>
      <c r="X828" s="473"/>
      <c r="Y828" s="478"/>
      <c r="Z828" s="449"/>
      <c r="AA828" s="492" t="s">
        <v>4182</v>
      </c>
      <c r="AB828" s="476"/>
      <c r="AC828" s="476"/>
      <c r="AD828" s="567">
        <f>AD826-AD827</f>
        <v>3789660657.1591821</v>
      </c>
      <c r="AE828" s="476"/>
      <c r="AF828" s="568"/>
      <c r="AG828" s="476"/>
      <c r="AH828" s="476"/>
      <c r="AI828" s="477"/>
      <c r="AJ828" s="478"/>
      <c r="AK828" s="479"/>
      <c r="AL828" s="480"/>
      <c r="AM828" s="474"/>
      <c r="AN828" s="481"/>
      <c r="AO828" s="474"/>
      <c r="AP828" s="476"/>
      <c r="AQ828" s="482"/>
      <c r="AR828" s="478"/>
      <c r="AS828" s="478"/>
      <c r="AT828" s="476"/>
      <c r="AU828" s="482"/>
      <c r="AV828" s="478"/>
      <c r="AW828" s="483"/>
      <c r="AX828" s="476"/>
      <c r="AY828" s="482"/>
      <c r="AZ828" s="478"/>
      <c r="BA828" s="484"/>
      <c r="BB828" s="474"/>
      <c r="BC828" s="485"/>
      <c r="BD828" s="485"/>
      <c r="BG828" s="487"/>
    </row>
    <row r="829" spans="1:59" s="486" customFormat="1" ht="18" customHeight="1" x14ac:dyDescent="0.2">
      <c r="A829" s="1368" t="str">
        <f t="shared" si="618"/>
        <v>MUDIK ULO - SUMPU2019</v>
      </c>
      <c r="B829" s="687"/>
      <c r="C829" s="463" t="s">
        <v>5677</v>
      </c>
      <c r="D829" s="489" t="s">
        <v>2494</v>
      </c>
      <c r="E829" s="465"/>
      <c r="F829" s="466">
        <v>2019</v>
      </c>
      <c r="G829" s="620">
        <v>2232135747</v>
      </c>
      <c r="H829" s="464">
        <f>IF(N828-(F829-F828)&lt;=0,0,(N828-(F829-F828)))</f>
        <v>9</v>
      </c>
      <c r="I829" s="560"/>
      <c r="J829" s="468">
        <f>F829+N829-1</f>
        <v>2028</v>
      </c>
      <c r="K829" s="490">
        <f>IF(G829=0,0,IF(H829=10,100%,G829/W828))</f>
        <v>1.1281399202527276</v>
      </c>
      <c r="L829" s="469">
        <f>IF(K829=0%,0,IF(K829&lt;=30%,2,IF(K829&lt;=60%,5,10)))</f>
        <v>10</v>
      </c>
      <c r="M829" s="683">
        <f>IF(OR(AND(ISBLANK(E829),ISBLANK(G829)),ISTEXT(E829),ISTEXT(G829)),"",IF(H829+L829&gt;$H$817,$H$817-H829,L829))</f>
        <v>1</v>
      </c>
      <c r="N829" s="470">
        <f>IF(OR(AND(ISBLANK(F829),ISBLANK(G829)),ISTEXT(F829),ISTEXT(G829)),"",H829+M829)</f>
        <v>10</v>
      </c>
      <c r="O829" s="468">
        <f>F829+N829-1</f>
        <v>2028</v>
      </c>
      <c r="P829" s="616">
        <f>W828</f>
        <v>1978598316.5102017</v>
      </c>
      <c r="Q829" s="472">
        <f>P829+G829</f>
        <v>4210734063.5102015</v>
      </c>
      <c r="R829" s="472">
        <f>IF(L829=0,R828,Q829/N829)</f>
        <v>421073406.35102016</v>
      </c>
      <c r="S829" s="1189">
        <f>F829</f>
        <v>2019</v>
      </c>
      <c r="T829" s="470">
        <f>S829-S828</f>
        <v>1</v>
      </c>
      <c r="U829" s="612">
        <f>R829*T829</f>
        <v>421073406.35102016</v>
      </c>
      <c r="V829" s="464">
        <f>F829</f>
        <v>2019</v>
      </c>
      <c r="W829" s="612">
        <f>IF(OR(AND(ISBLANK(E829),ISBLANK(G829)),ISTEXT(E829),ISTEXT(G829)),"",Q829-U829)</f>
        <v>3789660657.1591811</v>
      </c>
      <c r="X829" s="473"/>
      <c r="Y829" s="478"/>
      <c r="Z829" s="449"/>
      <c r="AA829" s="531" t="s">
        <v>4183</v>
      </c>
      <c r="AB829" s="496"/>
      <c r="AC829" s="496"/>
      <c r="AD829" s="569">
        <f>AD828-W833</f>
        <v>0</v>
      </c>
      <c r="AE829" s="476"/>
      <c r="AF829" s="568"/>
      <c r="AG829" s="476"/>
      <c r="AH829" s="476"/>
      <c r="AI829" s="477"/>
      <c r="AJ829" s="478"/>
      <c r="AK829" s="479"/>
      <c r="AL829" s="480"/>
      <c r="AM829" s="474"/>
      <c r="AN829" s="481"/>
      <c r="AO829" s="474"/>
      <c r="AP829" s="476"/>
      <c r="AQ829" s="482"/>
      <c r="AR829" s="478"/>
      <c r="AS829" s="478"/>
      <c r="AT829" s="476"/>
      <c r="AU829" s="482"/>
      <c r="AV829" s="478"/>
      <c r="AW829" s="483"/>
      <c r="AX829" s="476"/>
      <c r="AY829" s="482"/>
      <c r="AZ829" s="478"/>
      <c r="BA829" s="484"/>
      <c r="BB829" s="474"/>
      <c r="BC829" s="485"/>
      <c r="BD829" s="485"/>
      <c r="BG829" s="487"/>
    </row>
    <row r="830" spans="1:59" s="486" customFormat="1" ht="18" customHeight="1" x14ac:dyDescent="0.2">
      <c r="A830" s="1368" t="str">
        <f>LEFT(D830,8)</f>
        <v/>
      </c>
      <c r="B830" s="687"/>
      <c r="C830" s="463"/>
      <c r="D830" s="489"/>
      <c r="E830" s="465"/>
      <c r="F830" s="466"/>
      <c r="G830" s="620"/>
      <c r="H830" s="557"/>
      <c r="I830" s="467"/>
      <c r="J830" s="468"/>
      <c r="K830" s="490"/>
      <c r="L830" s="469"/>
      <c r="M830" s="683"/>
      <c r="N830" s="470"/>
      <c r="O830" s="468"/>
      <c r="P830" s="616"/>
      <c r="Q830" s="472"/>
      <c r="R830" s="472"/>
      <c r="S830" s="634"/>
      <c r="T830" s="470"/>
      <c r="U830" s="612"/>
      <c r="V830" s="464"/>
      <c r="W830" s="612"/>
      <c r="X830" s="473"/>
      <c r="Y830" s="497"/>
      <c r="Z830" s="449"/>
      <c r="AA830" s="497"/>
      <c r="AB830" s="476"/>
      <c r="AC830" s="497"/>
      <c r="AD830" s="568"/>
      <c r="AE830" s="476"/>
      <c r="AF830" s="568"/>
      <c r="AG830" s="476"/>
      <c r="AH830" s="476"/>
      <c r="AI830" s="477"/>
      <c r="AJ830" s="478"/>
      <c r="AK830" s="479"/>
      <c r="AL830" s="480"/>
      <c r="AM830" s="474"/>
      <c r="AN830" s="481"/>
      <c r="AO830" s="474"/>
      <c r="AP830" s="476"/>
      <c r="AQ830" s="482"/>
      <c r="AR830" s="478"/>
      <c r="AS830" s="478"/>
      <c r="AT830" s="476"/>
      <c r="AU830" s="482"/>
      <c r="AV830" s="478"/>
      <c r="AW830" s="483"/>
      <c r="AX830" s="476"/>
      <c r="AY830" s="482"/>
      <c r="AZ830" s="478"/>
      <c r="BA830" s="484"/>
      <c r="BB830" s="474"/>
      <c r="BC830" s="485"/>
      <c r="BD830" s="485"/>
      <c r="BG830" s="487"/>
    </row>
    <row r="831" spans="1:59" s="486" customFormat="1" ht="18" customHeight="1" x14ac:dyDescent="0.2">
      <c r="A831" s="1368"/>
      <c r="B831" s="687"/>
      <c r="C831" s="463"/>
      <c r="D831" s="489"/>
      <c r="E831" s="465"/>
      <c r="F831" s="466"/>
      <c r="G831" s="620"/>
      <c r="H831" s="464"/>
      <c r="I831" s="467"/>
      <c r="J831" s="468"/>
      <c r="K831" s="490"/>
      <c r="L831" s="469"/>
      <c r="M831" s="683"/>
      <c r="N831" s="470"/>
      <c r="O831" s="468"/>
      <c r="P831" s="616"/>
      <c r="Q831" s="472"/>
      <c r="R831" s="472"/>
      <c r="S831" s="634"/>
      <c r="T831" s="470"/>
      <c r="U831" s="612"/>
      <c r="V831" s="464"/>
      <c r="W831" s="612"/>
      <c r="X831" s="473"/>
      <c r="Y831" s="497"/>
      <c r="Z831" s="449"/>
      <c r="AA831" s="497"/>
      <c r="AB831" s="476"/>
      <c r="AC831" s="497"/>
      <c r="AD831" s="568"/>
      <c r="AE831" s="476"/>
      <c r="AF831" s="568"/>
      <c r="AG831" s="476"/>
      <c r="AH831" s="476"/>
      <c r="AI831" s="477"/>
      <c r="AJ831" s="478"/>
      <c r="AK831" s="479"/>
      <c r="AL831" s="480"/>
      <c r="AM831" s="474"/>
      <c r="AN831" s="481"/>
      <c r="AO831" s="474"/>
      <c r="AP831" s="476"/>
      <c r="AQ831" s="482"/>
      <c r="AR831" s="478"/>
      <c r="AS831" s="478"/>
      <c r="AT831" s="476"/>
      <c r="AU831" s="482"/>
      <c r="AV831" s="478"/>
      <c r="AW831" s="483"/>
      <c r="AX831" s="476"/>
      <c r="AY831" s="482"/>
      <c r="AZ831" s="478"/>
      <c r="BA831" s="484"/>
      <c r="BB831" s="474"/>
      <c r="BC831" s="485"/>
      <c r="BD831" s="485"/>
      <c r="BG831" s="487"/>
    </row>
    <row r="832" spans="1:59" s="486" customFormat="1" ht="18" customHeight="1" x14ac:dyDescent="0.2">
      <c r="A832" s="1369"/>
      <c r="B832" s="687"/>
      <c r="C832" s="463"/>
      <c r="D832" s="464"/>
      <c r="E832" s="465"/>
      <c r="F832" s="634"/>
      <c r="G832" s="620"/>
      <c r="H832" s="469" t="str">
        <f>IF(OR(AND(ISBLANK(E832),ISBLANK(G832)),ISTEXT(E832),ISTEXT(G832)),"",IF(#REF!-(YEAR(E832)-YEAR(#REF!))&lt;0,0,#REF!-(YEAR(E832)-YEAR(#REF!))))</f>
        <v/>
      </c>
      <c r="I832" s="467" t="str">
        <f>IF(OR(AND(ISBLANK(E832),ISBLANK(G832)),ISTEXT(E832),ISTEXT(G832)),"",IF(#REF!-E832&lt;0,0,#REF!-E832))</f>
        <v/>
      </c>
      <c r="J832" s="498" t="str">
        <f>IF(OR(AND(ISBLANK(E832),ISBLANK(G832)),ISTEXT(E832),ISTEXT(G832)),"",#REF!)</f>
        <v/>
      </c>
      <c r="K832" s="498"/>
      <c r="L832" s="469" t="str">
        <f>IF(OR(AND(ISBLANK(E832),ISBLANK(G832)),ISTEXT(E832),ISTEXT(G832)),"",ROUNDDOWN(G832/SUM($G$57:G829)*$H$57,0))</f>
        <v/>
      </c>
      <c r="M832" s="683" t="str">
        <f>IF(OR(AND(ISBLANK(E832),ISBLANK(G832)),ISTEXT(E832),ISTEXT(G832)),"",IF(H832+L832&gt;$H$57,$H$57-H832,L832))</f>
        <v/>
      </c>
      <c r="N832" s="470" t="str">
        <f>IF(OR(AND(ISBLANK(E832),ISBLANK(G832)),ISTEXT(E832),ISTEXT(G832)),"",H832+M832)</f>
        <v/>
      </c>
      <c r="O832" s="498" t="str">
        <f>IF(OR(AND(ISBLANK(E832),ISBLANK(G832)),ISTEXT(E832),ISTEXT(G832)),"",DATE(YEAR($J832)+M832,MONTH($J832),DAY($J832)))</f>
        <v/>
      </c>
      <c r="P832" s="748" t="str">
        <f>IF(OR(AND(ISBLANK(E832),ISBLANK(G832)),ISTEXT(E832),ISTEXT(G832)),"",#REF!-#REF!*(IF(J832&lt;E832,J832,E832)-#REF!))</f>
        <v/>
      </c>
      <c r="Q832" s="500" t="str">
        <f>IF(OR(AND(ISBLANK(E832),ISBLANK(G832)),ISTEXT(E832),ISTEXT(G832)),"",P832+G832)</f>
        <v/>
      </c>
      <c r="R832" s="501" t="str">
        <f>IF(OR(AND(ISBLANK(E832),ISBLANK(G832)),ISTEXT(E832),ISTEXT(G832)),"",IF(OR(E832&lt;DATE(2004,12,31),#REF!=0),0,Q832/#REF!))</f>
        <v/>
      </c>
      <c r="S832" s="502" t="str">
        <f>IF(OR(AND(ISBLANK(E832),ISBLANK(G832)),ISTEXT(E832),ISTEXT(G832)),"",IF(YEAR(E832)&lt;=YEAR(#REF!),"-",YEAR(E832)-1))</f>
        <v/>
      </c>
      <c r="T832" s="502"/>
      <c r="U832" s="612" t="str">
        <f>IF(OR(AND(ISBLANK(E832),ISBLANK(G832)),ISTEXT(E832),ISTEXT(G832)),"",IF(AND(J832&lt;=DATE(2004,12,31),E832&gt;J832),SUM($G832:G832),#REF!+#REF!+#REF!*IF(YEAR(E832)&lt;=YEAR(#REF!),0,(IF(DATE(YEAR(E832)-1,12,31)&gt;J832,J832,DATE(YEAR(E832)-1,12,31))-#REF!))))</f>
        <v/>
      </c>
      <c r="V832" s="503" t="str">
        <f>IF(OR(AND(ISBLANK(E832),ISBLANK(G832)),ISTEXT(E832),ISTEXT(G832)),"",IF(YEAR(E832)=YEAR(E833),E833,DATE(YEAR(E832),12,31)))</f>
        <v/>
      </c>
      <c r="W832" s="612" t="str">
        <f>IF(OR(AND(ISBLANK(E832),ISBLANK(G832)),ISTEXT(E832),ISTEXT(G832)),"",IF(Q832=0,0,IF(AND(J832&lt;=DATE(2004,12,31),E832&gt;=J832),Q832-U832,Q832-#REF!)))</f>
        <v/>
      </c>
      <c r="X832" s="504" t="str">
        <f>IF(OR(AND(ISBLANK(E832),ISBLANK(G832)),ISTEXT(E832),ISTEXT(G832)),"",$D$57&amp;"//"&amp;TEXT($E$57,"dd-mmm-yyyy")&amp;"//"&amp;#REF!)</f>
        <v/>
      </c>
      <c r="Y832" s="476"/>
      <c r="Z832" s="476"/>
      <c r="AA832" s="476"/>
      <c r="AB832" s="476"/>
      <c r="AC832" s="476"/>
      <c r="AD832" s="568"/>
      <c r="AE832" s="476"/>
      <c r="AF832" s="568"/>
      <c r="AG832" s="476"/>
      <c r="AH832" s="476"/>
      <c r="AI832" s="477"/>
      <c r="AJ832" s="478"/>
      <c r="AK832" s="479"/>
      <c r="AL832" s="480"/>
      <c r="AM832" s="474"/>
      <c r="AN832" s="481"/>
      <c r="AO832" s="474"/>
      <c r="AP832" s="476"/>
      <c r="AQ832" s="482"/>
      <c r="AR832" s="478"/>
      <c r="AS832" s="478"/>
      <c r="AT832" s="476"/>
      <c r="AU832" s="482"/>
      <c r="AV832" s="478"/>
      <c r="AW832" s="483"/>
      <c r="AX832" s="476"/>
      <c r="AY832" s="482"/>
      <c r="AZ832" s="478"/>
      <c r="BA832" s="484"/>
      <c r="BB832" s="474"/>
      <c r="BC832" s="485"/>
      <c r="BD832" s="485"/>
      <c r="BG832" s="487"/>
    </row>
    <row r="833" spans="1:59" s="526" customFormat="1" ht="18" customHeight="1" x14ac:dyDescent="0.2">
      <c r="A833" s="1370" t="s">
        <v>4184</v>
      </c>
      <c r="B833" s="1956" t="s">
        <v>4184</v>
      </c>
      <c r="C833" s="1957"/>
      <c r="D833" s="1957"/>
      <c r="E833" s="1957"/>
      <c r="F833" s="1958"/>
      <c r="G833" s="624">
        <f>SUM(G817:G832)</f>
        <v>6867448288.5702877</v>
      </c>
      <c r="H833" s="505"/>
      <c r="I833" s="506"/>
      <c r="J833" s="507"/>
      <c r="K833" s="507"/>
      <c r="L833" s="505"/>
      <c r="M833" s="684"/>
      <c r="N833" s="508"/>
      <c r="O833" s="507"/>
      <c r="P833" s="749"/>
      <c r="Q833" s="510"/>
      <c r="R833" s="511"/>
      <c r="S833" s="512"/>
      <c r="T833" s="512"/>
      <c r="U833" s="610">
        <f>SUM(U817:U832)</f>
        <v>3077787631.4111056</v>
      </c>
      <c r="V833" s="513"/>
      <c r="W833" s="610">
        <f>G833-U833</f>
        <v>3789660657.1591821</v>
      </c>
      <c r="X833" s="514"/>
      <c r="Y833" s="515"/>
      <c r="Z833" s="515"/>
      <c r="AA833" s="515"/>
      <c r="AB833" s="515"/>
      <c r="AC833" s="515"/>
      <c r="AD833" s="570"/>
      <c r="AE833" s="515"/>
      <c r="AF833" s="570">
        <v>2840861874.2512002</v>
      </c>
      <c r="AG833" s="515"/>
      <c r="AH833" s="515"/>
      <c r="AI833" s="516"/>
      <c r="AJ833" s="517"/>
      <c r="AK833" s="518"/>
      <c r="AL833" s="519"/>
      <c r="AM833" s="520"/>
      <c r="AN833" s="521"/>
      <c r="AO833" s="520"/>
      <c r="AP833" s="515"/>
      <c r="AQ833" s="522"/>
      <c r="AR833" s="517"/>
      <c r="AS833" s="517"/>
      <c r="AT833" s="515"/>
      <c r="AU833" s="522"/>
      <c r="AV833" s="517"/>
      <c r="AW833" s="523"/>
      <c r="AX833" s="515"/>
      <c r="AY833" s="522"/>
      <c r="AZ833" s="517"/>
      <c r="BA833" s="524"/>
      <c r="BB833" s="520"/>
      <c r="BC833" s="525"/>
      <c r="BD833" s="525"/>
      <c r="BG833" s="527"/>
    </row>
    <row r="834" spans="1:59" x14ac:dyDescent="0.2">
      <c r="AF834" s="562">
        <v>2002561483.5152001</v>
      </c>
    </row>
    <row r="836" spans="1:59" s="422" customFormat="1" ht="18" customHeight="1" x14ac:dyDescent="0.2">
      <c r="A836" s="1366">
        <f>C836</f>
        <v>126</v>
      </c>
      <c r="B836" s="742" t="s">
        <v>4187</v>
      </c>
      <c r="C836" s="556">
        <v>126</v>
      </c>
      <c r="D836" s="553" t="str">
        <f>VLOOKUP(C836,RUAS,2,FALSE)</f>
        <v>MUDIK ULO - TANJUNG MEDANG</v>
      </c>
      <c r="E836" s="553"/>
      <c r="F836" s="421"/>
      <c r="G836" s="611"/>
      <c r="I836" s="423"/>
      <c r="J836" s="424"/>
      <c r="K836" s="424"/>
      <c r="M836" s="680"/>
      <c r="P836" s="611"/>
      <c r="U836" s="611"/>
      <c r="W836" s="611"/>
      <c r="Y836" s="425"/>
      <c r="Z836" s="425"/>
      <c r="AA836" s="425"/>
      <c r="AB836" s="425"/>
      <c r="AC836" s="425"/>
      <c r="AD836" s="563"/>
      <c r="AE836" s="425"/>
      <c r="AF836" s="563"/>
      <c r="AG836" s="425"/>
      <c r="AH836" s="425"/>
      <c r="AI836" s="425"/>
      <c r="AJ836" s="425"/>
      <c r="AK836" s="425"/>
      <c r="AL836" s="425"/>
      <c r="AM836" s="425"/>
      <c r="AN836" s="425"/>
      <c r="AO836" s="425"/>
      <c r="AP836" s="425"/>
      <c r="AQ836" s="425"/>
      <c r="AR836" s="425"/>
      <c r="AS836" s="425"/>
      <c r="AT836" s="425"/>
      <c r="AU836" s="425"/>
      <c r="AV836" s="425"/>
      <c r="AW836" s="425"/>
      <c r="AX836" s="425"/>
      <c r="AY836" s="425"/>
      <c r="AZ836" s="425"/>
      <c r="BA836" s="425"/>
      <c r="BB836" s="425"/>
    </row>
    <row r="837" spans="1:59" s="431" customFormat="1" ht="18" customHeight="1" x14ac:dyDescent="0.2">
      <c r="A837" s="1367"/>
      <c r="B837" s="1968" t="s">
        <v>5</v>
      </c>
      <c r="C837" s="1968" t="s">
        <v>2280</v>
      </c>
      <c r="D837" s="1968" t="s">
        <v>4157</v>
      </c>
      <c r="E837" s="1968" t="s">
        <v>4158</v>
      </c>
      <c r="F837" s="1968"/>
      <c r="G837" s="2042" t="s">
        <v>4159</v>
      </c>
      <c r="H837" s="1968" t="s">
        <v>4160</v>
      </c>
      <c r="I837" s="1968"/>
      <c r="J837" s="1968" t="s">
        <v>4185</v>
      </c>
      <c r="K837" s="1964" t="s">
        <v>4162</v>
      </c>
      <c r="L837" s="1968" t="s">
        <v>4163</v>
      </c>
      <c r="M837" s="1971" t="s">
        <v>4164</v>
      </c>
      <c r="N837" s="1962" t="s">
        <v>4165</v>
      </c>
      <c r="O837" s="1968" t="s">
        <v>4166</v>
      </c>
      <c r="P837" s="1972" t="s">
        <v>4167</v>
      </c>
      <c r="Q837" s="1973"/>
      <c r="R837" s="1221" t="s">
        <v>4186</v>
      </c>
      <c r="S837" s="1972" t="s">
        <v>4169</v>
      </c>
      <c r="T837" s="1974"/>
      <c r="U837" s="1973"/>
      <c r="V837" s="1975" t="s">
        <v>4170</v>
      </c>
      <c r="W837" s="1975"/>
      <c r="X837" s="1960" t="s">
        <v>4171</v>
      </c>
      <c r="Y837" s="1959"/>
      <c r="Z837" s="1218"/>
      <c r="AA837" s="426"/>
      <c r="AB837" s="426"/>
      <c r="AC837" s="426"/>
      <c r="AD837" s="564"/>
      <c r="AE837" s="426"/>
      <c r="AF837" s="564"/>
      <c r="AG837" s="426"/>
      <c r="AH837" s="426"/>
      <c r="AI837" s="427"/>
      <c r="AJ837" s="427"/>
      <c r="AK837" s="427"/>
      <c r="AL837" s="427"/>
      <c r="AM837" s="428"/>
      <c r="AN837" s="427"/>
      <c r="AO837" s="427"/>
      <c r="AP837" s="426"/>
      <c r="AQ837" s="427"/>
      <c r="AR837" s="427"/>
      <c r="AS837" s="427"/>
      <c r="AT837" s="426"/>
      <c r="AU837" s="427"/>
      <c r="AV837" s="427"/>
      <c r="AW837" s="427"/>
      <c r="AX837" s="426"/>
      <c r="AY837" s="427"/>
      <c r="AZ837" s="427"/>
      <c r="BA837" s="427"/>
      <c r="BB837" s="429"/>
      <c r="BC837" s="430"/>
      <c r="BD837" s="430"/>
    </row>
    <row r="838" spans="1:59" s="431" customFormat="1" ht="18" customHeight="1" x14ac:dyDescent="0.2">
      <c r="A838" s="1367"/>
      <c r="B838" s="1968"/>
      <c r="C838" s="1968"/>
      <c r="D838" s="1968"/>
      <c r="E838" s="1968"/>
      <c r="F838" s="1968"/>
      <c r="G838" s="2042"/>
      <c r="H838" s="1968"/>
      <c r="I838" s="1968"/>
      <c r="J838" s="1968"/>
      <c r="K838" s="1970"/>
      <c r="L838" s="1968"/>
      <c r="M838" s="1971"/>
      <c r="N838" s="1963"/>
      <c r="O838" s="1968"/>
      <c r="P838" s="2037" t="s">
        <v>4172</v>
      </c>
      <c r="Q838" s="1960" t="s">
        <v>4173</v>
      </c>
      <c r="R838" s="1962" t="s">
        <v>4159</v>
      </c>
      <c r="S838" s="1962" t="s">
        <v>4174</v>
      </c>
      <c r="T838" s="1964" t="s">
        <v>4175</v>
      </c>
      <c r="U838" s="1966" t="s">
        <v>4159</v>
      </c>
      <c r="V838" s="1975"/>
      <c r="W838" s="1975"/>
      <c r="X838" s="1976"/>
      <c r="Y838" s="1959"/>
      <c r="Z838" s="1218"/>
      <c r="AA838" s="426"/>
      <c r="AB838" s="426"/>
      <c r="AC838" s="426"/>
      <c r="AD838" s="564"/>
      <c r="AE838" s="426"/>
      <c r="AF838" s="564"/>
      <c r="AG838" s="426"/>
      <c r="AH838" s="426"/>
      <c r="AI838" s="427"/>
      <c r="AJ838" s="427"/>
      <c r="AK838" s="426"/>
      <c r="AL838" s="427"/>
      <c r="AM838" s="428"/>
      <c r="AN838" s="427"/>
      <c r="AO838" s="427"/>
      <c r="AP838" s="432"/>
      <c r="AQ838" s="427"/>
      <c r="AR838" s="427"/>
      <c r="AS838" s="427"/>
      <c r="AT838" s="432"/>
      <c r="AU838" s="427"/>
      <c r="AV838" s="427"/>
      <c r="AW838" s="427"/>
      <c r="AX838" s="432"/>
      <c r="AY838" s="427"/>
      <c r="AZ838" s="427"/>
      <c r="BA838" s="427"/>
      <c r="BB838" s="429"/>
      <c r="BC838" s="430"/>
      <c r="BD838" s="430"/>
    </row>
    <row r="839" spans="1:59" s="431" customFormat="1" ht="18" customHeight="1" x14ac:dyDescent="0.2">
      <c r="A839" s="1367"/>
      <c r="B839" s="1968"/>
      <c r="C839" s="1968"/>
      <c r="D839" s="1968"/>
      <c r="E839" s="433" t="s">
        <v>4176</v>
      </c>
      <c r="F839" s="434" t="s">
        <v>2288</v>
      </c>
      <c r="G839" s="2042"/>
      <c r="H839" s="1219" t="s">
        <v>2288</v>
      </c>
      <c r="I839" s="1219" t="s">
        <v>4177</v>
      </c>
      <c r="J839" s="1968"/>
      <c r="K839" s="1965"/>
      <c r="L839" s="435" t="s">
        <v>2288</v>
      </c>
      <c r="M839" s="681" t="s">
        <v>2288</v>
      </c>
      <c r="N839" s="1219" t="s">
        <v>2288</v>
      </c>
      <c r="O839" s="1968"/>
      <c r="P839" s="2038"/>
      <c r="Q839" s="1961"/>
      <c r="R839" s="1963"/>
      <c r="S839" s="1963"/>
      <c r="T839" s="1965"/>
      <c r="U839" s="1967"/>
      <c r="V839" s="1219" t="s">
        <v>4178</v>
      </c>
      <c r="W839" s="1220" t="s">
        <v>4159</v>
      </c>
      <c r="X839" s="1961"/>
      <c r="Y839" s="436"/>
      <c r="Z839" s="436"/>
      <c r="AA839" s="426"/>
      <c r="AB839" s="426"/>
      <c r="AC839" s="426"/>
      <c r="AD839" s="564"/>
      <c r="AE839" s="426"/>
      <c r="AF839" s="564"/>
      <c r="AG839" s="426"/>
      <c r="AH839" s="426"/>
      <c r="AI839" s="427"/>
      <c r="AJ839" s="432"/>
      <c r="AK839" s="432"/>
      <c r="AL839" s="427"/>
      <c r="AM839" s="428"/>
      <c r="AN839" s="432"/>
      <c r="AO839" s="427"/>
      <c r="AP839" s="432"/>
      <c r="AQ839" s="432"/>
      <c r="AR839" s="427"/>
      <c r="AS839" s="427"/>
      <c r="AT839" s="432"/>
      <c r="AU839" s="432"/>
      <c r="AV839" s="427"/>
      <c r="AW839" s="427"/>
      <c r="AX839" s="432"/>
      <c r="AY839" s="432"/>
      <c r="AZ839" s="427"/>
      <c r="BA839" s="427"/>
      <c r="BB839" s="429"/>
      <c r="BC839" s="430"/>
      <c r="BD839" s="430"/>
    </row>
    <row r="840" spans="1:59" s="461" customFormat="1" ht="18" customHeight="1" x14ac:dyDescent="0.2">
      <c r="A840" s="1368" t="str">
        <f>$D$836&amp;S840</f>
        <v>MUDIK ULO - TANJUNG MEDANG2001</v>
      </c>
      <c r="B840" s="1373">
        <v>1</v>
      </c>
      <c r="C840" s="532" t="s">
        <v>529</v>
      </c>
      <c r="D840" s="437" t="s">
        <v>2494</v>
      </c>
      <c r="E840" s="438"/>
      <c r="F840" s="439">
        <v>2001</v>
      </c>
      <c r="G840" s="623">
        <v>643500000</v>
      </c>
      <c r="H840" s="440">
        <f>VLOOKUP(LEFT(D840,8),UE,4)</f>
        <v>10</v>
      </c>
      <c r="I840" s="441"/>
      <c r="J840" s="442">
        <f>F840+N840-1</f>
        <v>2010</v>
      </c>
      <c r="K840" s="443"/>
      <c r="L840" s="440"/>
      <c r="M840" s="746">
        <f>IF(H840+L840&gt;$H840,$H840-H840,L840)</f>
        <v>0</v>
      </c>
      <c r="N840" s="444">
        <f>H840+M840</f>
        <v>10</v>
      </c>
      <c r="O840" s="442">
        <f>F840+N840-1</f>
        <v>2010</v>
      </c>
      <c r="P840" s="617">
        <f>G840</f>
        <v>643500000</v>
      </c>
      <c r="Q840" s="445">
        <v>0</v>
      </c>
      <c r="R840" s="445">
        <f>P840/N840</f>
        <v>64350000</v>
      </c>
      <c r="S840" s="446">
        <f>F840</f>
        <v>2001</v>
      </c>
      <c r="T840" s="447">
        <v>1</v>
      </c>
      <c r="U840" s="613">
        <f>R840*T840</f>
        <v>64350000</v>
      </c>
      <c r="V840" s="442">
        <f>F840</f>
        <v>2001</v>
      </c>
      <c r="W840" s="617">
        <f>IF(OR(AND(ISBLANK(E840),ISBLANK(G840)),ISTEXT(E840),ISTEXT(G840)),"",G840-R840)</f>
        <v>579150000</v>
      </c>
      <c r="X840" s="448"/>
      <c r="Y840" s="449"/>
      <c r="Z840" s="449"/>
      <c r="AA840" s="693"/>
      <c r="AB840" s="452"/>
      <c r="AC840" s="452"/>
      <c r="AD840" s="571"/>
      <c r="AE840" s="452"/>
      <c r="AF840" s="571"/>
      <c r="AG840" s="452"/>
      <c r="AH840" s="452"/>
      <c r="AI840" s="453"/>
      <c r="AJ840" s="449"/>
      <c r="AK840" s="453"/>
      <c r="AL840" s="454"/>
      <c r="AM840" s="455"/>
      <c r="AN840" s="456"/>
      <c r="AO840" s="455"/>
      <c r="AP840" s="452"/>
      <c r="AQ840" s="457"/>
      <c r="AR840" s="449"/>
      <c r="AS840" s="449"/>
      <c r="AT840" s="452"/>
      <c r="AU840" s="457"/>
      <c r="AV840" s="449"/>
      <c r="AW840" s="458"/>
      <c r="AX840" s="452"/>
      <c r="AY840" s="457"/>
      <c r="AZ840" s="449"/>
      <c r="BA840" s="459"/>
      <c r="BB840" s="455"/>
      <c r="BC840" s="460"/>
      <c r="BD840" s="460"/>
      <c r="BG840" s="462"/>
    </row>
    <row r="841" spans="1:59" s="461" customFormat="1" ht="18" customHeight="1" x14ac:dyDescent="0.2">
      <c r="A841" s="1368" t="str">
        <f t="shared" ref="A841:A855" si="634">$D$836&amp;S841</f>
        <v>MUDIK ULO - TANJUNG MEDANG2001</v>
      </c>
      <c r="B841" s="1373"/>
      <c r="C841" s="488"/>
      <c r="D841" s="489"/>
      <c r="E841" s="558"/>
      <c r="F841" s="559">
        <v>2001</v>
      </c>
      <c r="G841" s="619">
        <v>0</v>
      </c>
      <c r="H841" s="464">
        <f>IF(N840-(F841-F840)&lt;=0,0,(N840-(F841-F840)))</f>
        <v>10</v>
      </c>
      <c r="I841" s="560"/>
      <c r="J841" s="468">
        <f>F841+N841-1</f>
        <v>2010</v>
      </c>
      <c r="K841" s="490">
        <f>IF(G841=0,0,IF(H841=10,100%,G841/W840))</f>
        <v>0</v>
      </c>
      <c r="L841" s="469">
        <f>IF(K841=0%,0,IF(K841&lt;=30%,2,IF(K841&lt;=60%,5,10)))</f>
        <v>0</v>
      </c>
      <c r="M841" s="683">
        <f>IF(OR(AND(ISBLANK(E841),ISBLANK(G841)),ISTEXT(E841),ISTEXT(G841)),"",IF(H841+L841&gt;$H$8,$H$8-H841,L841))</f>
        <v>0</v>
      </c>
      <c r="N841" s="470">
        <f>IF(OR(AND(ISBLANK(F841),ISBLANK(G841)),ISTEXT(F841),ISTEXT(G841)),"",H841+M841)</f>
        <v>10</v>
      </c>
      <c r="O841" s="468">
        <f>F841+N841-1</f>
        <v>2010</v>
      </c>
      <c r="P841" s="616">
        <f>W840</f>
        <v>579150000</v>
      </c>
      <c r="Q841" s="472">
        <f>P841+G841</f>
        <v>579150000</v>
      </c>
      <c r="R841" s="472">
        <f>IF(L841=0,R840,Q841/N841)</f>
        <v>64350000</v>
      </c>
      <c r="S841" s="1189">
        <f>F841</f>
        <v>2001</v>
      </c>
      <c r="T841" s="470">
        <f>S841-S840</f>
        <v>0</v>
      </c>
      <c r="U841" s="612">
        <f>R841*T841</f>
        <v>0</v>
      </c>
      <c r="V841" s="464">
        <f>F841</f>
        <v>2001</v>
      </c>
      <c r="W841" s="612">
        <f>IF(OR(AND(ISBLANK(E841),ISBLANK(G841)),ISTEXT(E841),ISTEXT(G841)),"",Q841-U841)</f>
        <v>579150000</v>
      </c>
      <c r="X841" s="561"/>
      <c r="Y841" s="449"/>
      <c r="Z841" s="449"/>
      <c r="AA841" s="693"/>
      <c r="AB841" s="452"/>
      <c r="AC841" s="452"/>
      <c r="AD841" s="571"/>
      <c r="AE841" s="452"/>
      <c r="AF841" s="571"/>
      <c r="AG841" s="452"/>
      <c r="AH841" s="452"/>
      <c r="AI841" s="453"/>
      <c r="AJ841" s="449"/>
      <c r="AK841" s="453"/>
      <c r="AL841" s="454"/>
      <c r="AM841" s="455"/>
      <c r="AN841" s="456"/>
      <c r="AO841" s="455"/>
      <c r="AP841" s="452"/>
      <c r="AQ841" s="457"/>
      <c r="AR841" s="449"/>
      <c r="AS841" s="449"/>
      <c r="AT841" s="452"/>
      <c r="AU841" s="457"/>
      <c r="AV841" s="449"/>
      <c r="AW841" s="458"/>
      <c r="AX841" s="452"/>
      <c r="AY841" s="457"/>
      <c r="AZ841" s="449"/>
      <c r="BA841" s="459"/>
      <c r="BB841" s="455"/>
      <c r="BC841" s="460"/>
      <c r="BD841" s="460"/>
      <c r="BG841" s="462"/>
    </row>
    <row r="842" spans="1:59" s="486" customFormat="1" ht="18" customHeight="1" x14ac:dyDescent="0.2">
      <c r="A842" s="1368" t="str">
        <f t="shared" si="634"/>
        <v>MUDIK ULO - TANJUNG MEDANG2006</v>
      </c>
      <c r="B842" s="1373"/>
      <c r="C842" s="488"/>
      <c r="D842" s="489"/>
      <c r="E842" s="558"/>
      <c r="F842" s="559">
        <v>2006</v>
      </c>
      <c r="G842" s="619">
        <v>0</v>
      </c>
      <c r="H842" s="464">
        <f t="shared" ref="H842:H854" si="635">IF(N841-(F842-F841)&lt;=0,0,(N841-(F842-F841)))</f>
        <v>5</v>
      </c>
      <c r="I842" s="560"/>
      <c r="J842" s="468">
        <f t="shared" ref="J842:J854" si="636">F842+N842-1</f>
        <v>2010</v>
      </c>
      <c r="K842" s="490">
        <f t="shared" ref="K842:K854" si="637">IF(G842=0,0,IF(H842=10,100%,G842/W841))</f>
        <v>0</v>
      </c>
      <c r="L842" s="469">
        <f t="shared" ref="L842:L854" si="638">IF(K842=0%,0,IF(K842&lt;=30%,2,IF(K842&lt;=60%,5,10)))</f>
        <v>0</v>
      </c>
      <c r="M842" s="683">
        <f t="shared" ref="M842:M854" si="639">IF(OR(AND(ISBLANK(E842),ISBLANK(G842)),ISTEXT(E842),ISTEXT(G842)),"",IF(H842+L842&gt;$H$8,$H$8-H842,L842))</f>
        <v>0</v>
      </c>
      <c r="N842" s="470">
        <f t="shared" ref="N842:N854" si="640">IF(OR(AND(ISBLANK(F842),ISBLANK(G842)),ISTEXT(F842),ISTEXT(G842)),"",H842+M842)</f>
        <v>5</v>
      </c>
      <c r="O842" s="468">
        <f t="shared" ref="O842:O854" si="641">F842+N842-1</f>
        <v>2010</v>
      </c>
      <c r="P842" s="616">
        <f t="shared" ref="P842:P854" si="642">W841</f>
        <v>579150000</v>
      </c>
      <c r="Q842" s="472">
        <f t="shared" ref="Q842:Q854" si="643">P842+G842</f>
        <v>579150000</v>
      </c>
      <c r="R842" s="472">
        <f t="shared" ref="R842:R854" si="644">IF(L842=0,R841,Q842/N842)</f>
        <v>64350000</v>
      </c>
      <c r="S842" s="1189">
        <f t="shared" ref="S842:S854" si="645">F842</f>
        <v>2006</v>
      </c>
      <c r="T842" s="470">
        <f t="shared" ref="T842:T854" si="646">S842-S841</f>
        <v>5</v>
      </c>
      <c r="U842" s="612">
        <f t="shared" ref="U842:U854" si="647">R842*T842</f>
        <v>321750000</v>
      </c>
      <c r="V842" s="464">
        <f t="shared" ref="V842:V854" si="648">F842</f>
        <v>2006</v>
      </c>
      <c r="W842" s="612">
        <f t="shared" ref="W842:W854" si="649">IF(OR(AND(ISBLANK(E842),ISBLANK(G842)),ISTEXT(E842),ISTEXT(G842)),"",Q842-U842)</f>
        <v>257400000</v>
      </c>
      <c r="X842" s="473"/>
      <c r="Y842" s="474"/>
      <c r="Z842" s="449"/>
      <c r="AA842" s="573"/>
      <c r="AB842" s="476"/>
      <c r="AC842" s="476"/>
      <c r="AD842" s="568"/>
      <c r="AE842" s="476"/>
      <c r="AF842" s="568"/>
      <c r="AG842" s="476"/>
      <c r="AH842" s="476"/>
      <c r="AI842" s="477"/>
      <c r="AJ842" s="478"/>
      <c r="AK842" s="479"/>
      <c r="AL842" s="480"/>
      <c r="AM842" s="474"/>
      <c r="AN842" s="481"/>
      <c r="AO842" s="474"/>
      <c r="AP842" s="476"/>
      <c r="AQ842" s="482"/>
      <c r="AR842" s="478"/>
      <c r="AS842" s="478"/>
      <c r="AT842" s="476"/>
      <c r="AU842" s="482"/>
      <c r="AV842" s="478"/>
      <c r="AW842" s="483"/>
      <c r="AX842" s="476"/>
      <c r="AY842" s="482"/>
      <c r="AZ842" s="478"/>
      <c r="BA842" s="484"/>
      <c r="BB842" s="474"/>
      <c r="BC842" s="485"/>
      <c r="BD842" s="485"/>
      <c r="BG842" s="487"/>
    </row>
    <row r="843" spans="1:59" s="486" customFormat="1" ht="18" customHeight="1" x14ac:dyDescent="0.2">
      <c r="A843" s="1368" t="str">
        <f t="shared" si="634"/>
        <v>MUDIK ULO - TANJUNG MEDANG2007</v>
      </c>
      <c r="B843" s="1373"/>
      <c r="C843" s="488"/>
      <c r="D843" s="489"/>
      <c r="E843" s="558"/>
      <c r="F843" s="559">
        <v>2007</v>
      </c>
      <c r="G843" s="619">
        <v>0</v>
      </c>
      <c r="H843" s="464">
        <f t="shared" si="635"/>
        <v>4</v>
      </c>
      <c r="I843" s="560"/>
      <c r="J843" s="468">
        <f t="shared" si="636"/>
        <v>2010</v>
      </c>
      <c r="K843" s="490">
        <f t="shared" si="637"/>
        <v>0</v>
      </c>
      <c r="L843" s="469">
        <f t="shared" si="638"/>
        <v>0</v>
      </c>
      <c r="M843" s="683">
        <f t="shared" si="639"/>
        <v>0</v>
      </c>
      <c r="N843" s="470">
        <f t="shared" si="640"/>
        <v>4</v>
      </c>
      <c r="O843" s="468">
        <f t="shared" si="641"/>
        <v>2010</v>
      </c>
      <c r="P843" s="616">
        <f t="shared" si="642"/>
        <v>257400000</v>
      </c>
      <c r="Q843" s="472">
        <f t="shared" si="643"/>
        <v>257400000</v>
      </c>
      <c r="R843" s="472">
        <f t="shared" si="644"/>
        <v>64350000</v>
      </c>
      <c r="S843" s="1189">
        <f t="shared" si="645"/>
        <v>2007</v>
      </c>
      <c r="T843" s="470">
        <f t="shared" si="646"/>
        <v>1</v>
      </c>
      <c r="U843" s="612">
        <f t="shared" si="647"/>
        <v>64350000</v>
      </c>
      <c r="V843" s="464">
        <f t="shared" si="648"/>
        <v>2007</v>
      </c>
      <c r="W843" s="612">
        <f t="shared" si="649"/>
        <v>193050000</v>
      </c>
      <c r="X843" s="473"/>
      <c r="Y843" s="474"/>
      <c r="Z843" s="449"/>
      <c r="AA843" s="573"/>
      <c r="AB843" s="476"/>
      <c r="AC843" s="476"/>
      <c r="AD843" s="568"/>
      <c r="AE843" s="476"/>
      <c r="AF843" s="568"/>
      <c r="AG843" s="476"/>
      <c r="AH843" s="476"/>
      <c r="AI843" s="477"/>
      <c r="AJ843" s="478"/>
      <c r="AK843" s="479"/>
      <c r="AL843" s="480"/>
      <c r="AM843" s="474"/>
      <c r="AN843" s="481"/>
      <c r="AO843" s="474"/>
      <c r="AP843" s="476"/>
      <c r="AQ843" s="482"/>
      <c r="AR843" s="478"/>
      <c r="AS843" s="478"/>
      <c r="AT843" s="476"/>
      <c r="AU843" s="482"/>
      <c r="AV843" s="478"/>
      <c r="AW843" s="483"/>
      <c r="AX843" s="476"/>
      <c r="AY843" s="482"/>
      <c r="AZ843" s="478"/>
      <c r="BA843" s="484"/>
      <c r="BB843" s="474"/>
      <c r="BC843" s="485"/>
      <c r="BD843" s="485"/>
      <c r="BG843" s="487"/>
    </row>
    <row r="844" spans="1:59" s="486" customFormat="1" ht="18" customHeight="1" x14ac:dyDescent="0.2">
      <c r="A844" s="1368" t="str">
        <f t="shared" si="634"/>
        <v>MUDIK ULO - TANJUNG MEDANG2008</v>
      </c>
      <c r="B844" s="1373">
        <v>2</v>
      </c>
      <c r="C844" s="488" t="s">
        <v>5139</v>
      </c>
      <c r="D844" s="489"/>
      <c r="E844" s="558"/>
      <c r="F844" s="559">
        <v>2008</v>
      </c>
      <c r="G844" s="619">
        <v>1123483902.1985209</v>
      </c>
      <c r="H844" s="464">
        <f t="shared" si="635"/>
        <v>3</v>
      </c>
      <c r="I844" s="560"/>
      <c r="J844" s="468">
        <f t="shared" si="636"/>
        <v>2017</v>
      </c>
      <c r="K844" s="490">
        <f t="shared" si="637"/>
        <v>5.8196524330407717</v>
      </c>
      <c r="L844" s="469">
        <f t="shared" si="638"/>
        <v>10</v>
      </c>
      <c r="M844" s="683">
        <f t="shared" si="639"/>
        <v>7</v>
      </c>
      <c r="N844" s="470">
        <f t="shared" si="640"/>
        <v>10</v>
      </c>
      <c r="O844" s="468">
        <f t="shared" si="641"/>
        <v>2017</v>
      </c>
      <c r="P844" s="616">
        <f t="shared" si="642"/>
        <v>193050000</v>
      </c>
      <c r="Q844" s="472">
        <f t="shared" si="643"/>
        <v>1316533902.1985209</v>
      </c>
      <c r="R844" s="472">
        <f t="shared" si="644"/>
        <v>131653390.21985209</v>
      </c>
      <c r="S844" s="1189">
        <f t="shared" si="645"/>
        <v>2008</v>
      </c>
      <c r="T844" s="470">
        <f t="shared" si="646"/>
        <v>1</v>
      </c>
      <c r="U844" s="612">
        <f t="shared" si="647"/>
        <v>131653390.21985209</v>
      </c>
      <c r="V844" s="464">
        <f t="shared" si="648"/>
        <v>2008</v>
      </c>
      <c r="W844" s="612">
        <f t="shared" si="649"/>
        <v>1184880511.9786687</v>
      </c>
      <c r="X844" s="473"/>
      <c r="Y844" s="474"/>
      <c r="Z844" s="449"/>
      <c r="AA844" s="739"/>
      <c r="AB844" s="496"/>
      <c r="AC844" s="496"/>
      <c r="AD844" s="740"/>
      <c r="AE844" s="476"/>
      <c r="AF844" s="568"/>
      <c r="AG844" s="476"/>
      <c r="AH844" s="476"/>
      <c r="AI844" s="477"/>
      <c r="AJ844" s="478"/>
      <c r="AK844" s="479"/>
      <c r="AL844" s="480"/>
      <c r="AM844" s="474"/>
      <c r="AN844" s="481"/>
      <c r="AO844" s="474"/>
      <c r="AP844" s="476"/>
      <c r="AQ844" s="482"/>
      <c r="AR844" s="478"/>
      <c r="AS844" s="478"/>
      <c r="AT844" s="476"/>
      <c r="AU844" s="482"/>
      <c r="AV844" s="478"/>
      <c r="AW844" s="483"/>
      <c r="AX844" s="476"/>
      <c r="AY844" s="482"/>
      <c r="AZ844" s="478"/>
      <c r="BA844" s="484"/>
      <c r="BB844" s="474"/>
      <c r="BC844" s="485"/>
      <c r="BD844" s="485"/>
      <c r="BG844" s="487"/>
    </row>
    <row r="845" spans="1:59" s="486" customFormat="1" ht="18" customHeight="1" x14ac:dyDescent="0.2">
      <c r="A845" s="1368" t="str">
        <f t="shared" si="634"/>
        <v>MUDIK ULO - TANJUNG MEDANG2009</v>
      </c>
      <c r="B845" s="1373">
        <v>3</v>
      </c>
      <c r="C845" s="488" t="s">
        <v>5071</v>
      </c>
      <c r="D845" s="489"/>
      <c r="E845" s="558"/>
      <c r="F845" s="559">
        <v>2009</v>
      </c>
      <c r="G845" s="619">
        <v>714841086.60000002</v>
      </c>
      <c r="H845" s="464">
        <f t="shared" si="635"/>
        <v>9</v>
      </c>
      <c r="I845" s="560"/>
      <c r="J845" s="468">
        <f t="shared" si="636"/>
        <v>2018</v>
      </c>
      <c r="K845" s="490">
        <f t="shared" si="637"/>
        <v>0.60330225653409109</v>
      </c>
      <c r="L845" s="469">
        <f t="shared" si="638"/>
        <v>10</v>
      </c>
      <c r="M845" s="683">
        <f t="shared" si="639"/>
        <v>1</v>
      </c>
      <c r="N845" s="470">
        <f t="shared" si="640"/>
        <v>10</v>
      </c>
      <c r="O845" s="468">
        <f t="shared" si="641"/>
        <v>2018</v>
      </c>
      <c r="P845" s="616">
        <f t="shared" si="642"/>
        <v>1184880511.9786687</v>
      </c>
      <c r="Q845" s="472">
        <f t="shared" si="643"/>
        <v>1899721598.5786686</v>
      </c>
      <c r="R845" s="472">
        <f t="shared" si="644"/>
        <v>189972159.85786685</v>
      </c>
      <c r="S845" s="1189">
        <f t="shared" si="645"/>
        <v>2009</v>
      </c>
      <c r="T845" s="470">
        <f t="shared" si="646"/>
        <v>1</v>
      </c>
      <c r="U845" s="612">
        <f t="shared" si="647"/>
        <v>189972159.85786685</v>
      </c>
      <c r="V845" s="464">
        <f t="shared" si="648"/>
        <v>2009</v>
      </c>
      <c r="W845" s="612">
        <f t="shared" si="649"/>
        <v>1709749438.7208018</v>
      </c>
      <c r="X845" s="473"/>
      <c r="Y845" s="474"/>
      <c r="Z845" s="449"/>
      <c r="AA845" s="573"/>
      <c r="AB845" s="476"/>
      <c r="AC845" s="476"/>
      <c r="AD845" s="568"/>
      <c r="AE845" s="476"/>
      <c r="AF845" s="568"/>
      <c r="AG845" s="476"/>
      <c r="AH845" s="476"/>
      <c r="AI845" s="477"/>
      <c r="AJ845" s="478"/>
      <c r="AK845" s="479"/>
      <c r="AL845" s="480"/>
      <c r="AM845" s="474"/>
      <c r="AN845" s="481"/>
      <c r="AO845" s="474"/>
      <c r="AP845" s="476"/>
      <c r="AQ845" s="482"/>
      <c r="AR845" s="478"/>
      <c r="AS845" s="478"/>
      <c r="AT845" s="476"/>
      <c r="AU845" s="482"/>
      <c r="AV845" s="478"/>
      <c r="AW845" s="483"/>
      <c r="AX845" s="476"/>
      <c r="AY845" s="482"/>
      <c r="AZ845" s="478"/>
      <c r="BA845" s="484"/>
      <c r="BB845" s="474"/>
      <c r="BC845" s="485"/>
      <c r="BD845" s="485"/>
      <c r="BG845" s="487"/>
    </row>
    <row r="846" spans="1:59" s="486" customFormat="1" ht="18" customHeight="1" x14ac:dyDescent="0.2">
      <c r="A846" s="1368" t="str">
        <f t="shared" si="634"/>
        <v>MUDIK ULO - TANJUNG MEDANG2010</v>
      </c>
      <c r="B846" s="1373"/>
      <c r="C846" s="488"/>
      <c r="D846" s="489"/>
      <c r="E846" s="558"/>
      <c r="F846" s="559">
        <v>2010</v>
      </c>
      <c r="G846" s="619">
        <v>0</v>
      </c>
      <c r="H846" s="464">
        <f t="shared" si="635"/>
        <v>9</v>
      </c>
      <c r="I846" s="560"/>
      <c r="J846" s="468">
        <f t="shared" si="636"/>
        <v>2018</v>
      </c>
      <c r="K846" s="490">
        <f t="shared" si="637"/>
        <v>0</v>
      </c>
      <c r="L846" s="469">
        <f t="shared" si="638"/>
        <v>0</v>
      </c>
      <c r="M846" s="683">
        <f t="shared" si="639"/>
        <v>0</v>
      </c>
      <c r="N846" s="470">
        <f t="shared" si="640"/>
        <v>9</v>
      </c>
      <c r="O846" s="468">
        <f t="shared" si="641"/>
        <v>2018</v>
      </c>
      <c r="P846" s="616">
        <f t="shared" si="642"/>
        <v>1709749438.7208018</v>
      </c>
      <c r="Q846" s="472">
        <f t="shared" si="643"/>
        <v>1709749438.7208018</v>
      </c>
      <c r="R846" s="472">
        <f t="shared" si="644"/>
        <v>189972159.85786685</v>
      </c>
      <c r="S846" s="1189">
        <f t="shared" si="645"/>
        <v>2010</v>
      </c>
      <c r="T846" s="470">
        <f t="shared" si="646"/>
        <v>1</v>
      </c>
      <c r="U846" s="612">
        <f t="shared" si="647"/>
        <v>189972159.85786685</v>
      </c>
      <c r="V846" s="464">
        <f t="shared" si="648"/>
        <v>2010</v>
      </c>
      <c r="W846" s="612">
        <f t="shared" si="649"/>
        <v>1519777278.8629351</v>
      </c>
      <c r="X846" s="473"/>
      <c r="Y846" s="474"/>
      <c r="Z846" s="449"/>
      <c r="AA846" s="554" t="s">
        <v>4179</v>
      </c>
      <c r="AB846" s="476"/>
      <c r="AC846" s="476"/>
      <c r="AD846" s="567"/>
      <c r="AE846" s="476"/>
      <c r="AF846" s="568"/>
      <c r="AG846" s="476"/>
      <c r="AH846" s="476"/>
      <c r="AI846" s="477"/>
      <c r="AJ846" s="478"/>
      <c r="AK846" s="479"/>
      <c r="AL846" s="480"/>
      <c r="AM846" s="474"/>
      <c r="AN846" s="481"/>
      <c r="AO846" s="474"/>
      <c r="AP846" s="476"/>
      <c r="AQ846" s="482"/>
      <c r="AR846" s="478"/>
      <c r="AS846" s="478"/>
      <c r="AT846" s="476"/>
      <c r="AU846" s="482"/>
      <c r="AV846" s="478"/>
      <c r="AW846" s="483"/>
      <c r="AX846" s="476"/>
      <c r="AY846" s="482"/>
      <c r="AZ846" s="478"/>
      <c r="BA846" s="484"/>
      <c r="BB846" s="474"/>
      <c r="BC846" s="485"/>
      <c r="BD846" s="485"/>
      <c r="BG846" s="487"/>
    </row>
    <row r="847" spans="1:59" s="486" customFormat="1" ht="18" customHeight="1" x14ac:dyDescent="0.2">
      <c r="A847" s="1368" t="str">
        <f t="shared" si="634"/>
        <v>MUDIK ULO - TANJUNG MEDANG2011</v>
      </c>
      <c r="B847" s="1373"/>
      <c r="C847" s="488"/>
      <c r="D847" s="489"/>
      <c r="E847" s="558"/>
      <c r="F847" s="559">
        <v>2011</v>
      </c>
      <c r="G847" s="619">
        <v>0</v>
      </c>
      <c r="H847" s="464">
        <f t="shared" si="635"/>
        <v>8</v>
      </c>
      <c r="I847" s="560"/>
      <c r="J847" s="468">
        <f t="shared" si="636"/>
        <v>2018</v>
      </c>
      <c r="K847" s="490">
        <f t="shared" si="637"/>
        <v>0</v>
      </c>
      <c r="L847" s="469">
        <f t="shared" si="638"/>
        <v>0</v>
      </c>
      <c r="M847" s="683">
        <f t="shared" si="639"/>
        <v>0</v>
      </c>
      <c r="N847" s="470">
        <f t="shared" si="640"/>
        <v>8</v>
      </c>
      <c r="O847" s="468">
        <f t="shared" si="641"/>
        <v>2018</v>
      </c>
      <c r="P847" s="616">
        <f t="shared" si="642"/>
        <v>1519777278.8629351</v>
      </c>
      <c r="Q847" s="472">
        <f t="shared" si="643"/>
        <v>1519777278.8629351</v>
      </c>
      <c r="R847" s="472">
        <f t="shared" si="644"/>
        <v>189972159.85786685</v>
      </c>
      <c r="S847" s="1189">
        <f t="shared" si="645"/>
        <v>2011</v>
      </c>
      <c r="T847" s="470">
        <f t="shared" si="646"/>
        <v>1</v>
      </c>
      <c r="U847" s="612">
        <f t="shared" si="647"/>
        <v>189972159.85786685</v>
      </c>
      <c r="V847" s="464">
        <f t="shared" si="648"/>
        <v>2011</v>
      </c>
      <c r="W847" s="612">
        <f t="shared" si="649"/>
        <v>1329805119.0050683</v>
      </c>
      <c r="X847" s="473"/>
      <c r="Y847" s="474"/>
      <c r="Z847" s="449"/>
      <c r="AA847" s="475"/>
      <c r="AB847" s="476"/>
      <c r="AC847" s="476"/>
      <c r="AD847" s="567"/>
      <c r="AE847" s="476"/>
      <c r="AF847" s="568"/>
      <c r="AG847" s="476"/>
      <c r="AH847" s="476"/>
      <c r="AI847" s="477"/>
      <c r="AJ847" s="478"/>
      <c r="AK847" s="479"/>
      <c r="AL847" s="480"/>
      <c r="AM847" s="474"/>
      <c r="AN847" s="481"/>
      <c r="AO847" s="474"/>
      <c r="AP847" s="476"/>
      <c r="AQ847" s="482"/>
      <c r="AR847" s="478"/>
      <c r="AS847" s="478"/>
      <c r="AT847" s="476"/>
      <c r="AU847" s="482"/>
      <c r="AV847" s="478"/>
      <c r="AW847" s="483"/>
      <c r="AX847" s="476"/>
      <c r="AY847" s="482"/>
      <c r="AZ847" s="478"/>
      <c r="BA847" s="484"/>
      <c r="BB847" s="474"/>
      <c r="BC847" s="485"/>
      <c r="BD847" s="485"/>
      <c r="BG847" s="487"/>
    </row>
    <row r="848" spans="1:59" s="486" customFormat="1" ht="18" customHeight="1" x14ac:dyDescent="0.2">
      <c r="A848" s="1368" t="str">
        <f t="shared" si="634"/>
        <v>MUDIK ULO - TANJUNG MEDANG2012</v>
      </c>
      <c r="B848" s="1373"/>
      <c r="C848" s="488"/>
      <c r="D848" s="489"/>
      <c r="E848" s="558"/>
      <c r="F848" s="559">
        <v>2012</v>
      </c>
      <c r="G848" s="619">
        <v>0</v>
      </c>
      <c r="H848" s="464">
        <f t="shared" si="635"/>
        <v>7</v>
      </c>
      <c r="I848" s="560"/>
      <c r="J848" s="468">
        <f t="shared" si="636"/>
        <v>2018</v>
      </c>
      <c r="K848" s="490">
        <f t="shared" si="637"/>
        <v>0</v>
      </c>
      <c r="L848" s="469">
        <f t="shared" si="638"/>
        <v>0</v>
      </c>
      <c r="M848" s="683">
        <f t="shared" si="639"/>
        <v>0</v>
      </c>
      <c r="N848" s="470">
        <f t="shared" si="640"/>
        <v>7</v>
      </c>
      <c r="O848" s="468">
        <f t="shared" si="641"/>
        <v>2018</v>
      </c>
      <c r="P848" s="616">
        <f t="shared" si="642"/>
        <v>1329805119.0050683</v>
      </c>
      <c r="Q848" s="472">
        <f t="shared" si="643"/>
        <v>1329805119.0050683</v>
      </c>
      <c r="R848" s="472">
        <f t="shared" si="644"/>
        <v>189972159.85786685</v>
      </c>
      <c r="S848" s="1189">
        <f t="shared" si="645"/>
        <v>2012</v>
      </c>
      <c r="T848" s="470">
        <f t="shared" si="646"/>
        <v>1</v>
      </c>
      <c r="U848" s="612">
        <f t="shared" si="647"/>
        <v>189972159.85786685</v>
      </c>
      <c r="V848" s="464">
        <f t="shared" si="648"/>
        <v>2012</v>
      </c>
      <c r="W848" s="612">
        <f t="shared" si="649"/>
        <v>1139832959.1472015</v>
      </c>
      <c r="X848" s="473"/>
      <c r="Y848" s="478"/>
      <c r="Z848" s="449"/>
      <c r="AA848" s="475" t="s">
        <v>4180</v>
      </c>
      <c r="AB848" s="476"/>
      <c r="AC848" s="476"/>
      <c r="AD848" s="567">
        <f>G857</f>
        <v>2481824988.798521</v>
      </c>
      <c r="AE848" s="491"/>
      <c r="AF848" s="568"/>
      <c r="AG848" s="491"/>
      <c r="AH848" s="491"/>
      <c r="AI848" s="477"/>
      <c r="AJ848" s="478"/>
      <c r="AK848" s="479"/>
      <c r="AL848" s="480"/>
      <c r="AM848" s="474"/>
      <c r="AN848" s="481"/>
      <c r="AO848" s="474"/>
      <c r="AP848" s="476"/>
      <c r="AQ848" s="482"/>
      <c r="AR848" s="478"/>
      <c r="AS848" s="478"/>
      <c r="AT848" s="476"/>
      <c r="AU848" s="482"/>
      <c r="AV848" s="478"/>
      <c r="AW848" s="483"/>
      <c r="AX848" s="476"/>
      <c r="AY848" s="482"/>
      <c r="AZ848" s="478"/>
      <c r="BA848" s="484"/>
      <c r="BB848" s="474"/>
      <c r="BC848" s="485"/>
      <c r="BD848" s="485"/>
      <c r="BG848" s="487"/>
    </row>
    <row r="849" spans="1:59" s="486" customFormat="1" ht="18" customHeight="1" x14ac:dyDescent="0.2">
      <c r="A849" s="1368" t="str">
        <f t="shared" si="634"/>
        <v>MUDIK ULO - TANJUNG MEDANG2013</v>
      </c>
      <c r="B849" s="1373"/>
      <c r="C849" s="488"/>
      <c r="D849" s="489"/>
      <c r="E849" s="558"/>
      <c r="F849" s="559">
        <v>2013</v>
      </c>
      <c r="G849" s="619">
        <v>0</v>
      </c>
      <c r="H849" s="464">
        <f t="shared" si="635"/>
        <v>6</v>
      </c>
      <c r="I849" s="560"/>
      <c r="J849" s="468">
        <f t="shared" si="636"/>
        <v>2018</v>
      </c>
      <c r="K849" s="490">
        <f t="shared" si="637"/>
        <v>0</v>
      </c>
      <c r="L849" s="469">
        <f t="shared" si="638"/>
        <v>0</v>
      </c>
      <c r="M849" s="683">
        <f t="shared" si="639"/>
        <v>0</v>
      </c>
      <c r="N849" s="470">
        <f t="shared" si="640"/>
        <v>6</v>
      </c>
      <c r="O849" s="468">
        <f t="shared" si="641"/>
        <v>2018</v>
      </c>
      <c r="P849" s="616">
        <f t="shared" si="642"/>
        <v>1139832959.1472015</v>
      </c>
      <c r="Q849" s="472">
        <f t="shared" si="643"/>
        <v>1139832959.1472015</v>
      </c>
      <c r="R849" s="472">
        <f t="shared" si="644"/>
        <v>189972159.85786685</v>
      </c>
      <c r="S849" s="1189">
        <f t="shared" si="645"/>
        <v>2013</v>
      </c>
      <c r="T849" s="470">
        <f t="shared" si="646"/>
        <v>1</v>
      </c>
      <c r="U849" s="612">
        <f t="shared" si="647"/>
        <v>189972159.85786685</v>
      </c>
      <c r="V849" s="464">
        <f t="shared" si="648"/>
        <v>2013</v>
      </c>
      <c r="W849" s="612">
        <f t="shared" si="649"/>
        <v>949860799.28933465</v>
      </c>
      <c r="X849" s="473"/>
      <c r="Y849" s="478"/>
      <c r="Z849" s="449"/>
      <c r="AA849" s="475" t="s">
        <v>4181</v>
      </c>
      <c r="AB849" s="491"/>
      <c r="AC849" s="491"/>
      <c r="AD849" s="567">
        <f>U857</f>
        <v>2481824988.7985201</v>
      </c>
      <c r="AE849" s="491"/>
      <c r="AF849" s="568"/>
      <c r="AG849" s="491"/>
      <c r="AH849" s="491"/>
      <c r="AI849" s="477"/>
      <c r="AJ849" s="478"/>
      <c r="AK849" s="479"/>
      <c r="AL849" s="480"/>
      <c r="AM849" s="474"/>
      <c r="AN849" s="481"/>
      <c r="AO849" s="474"/>
      <c r="AP849" s="476"/>
      <c r="AQ849" s="482"/>
      <c r="AR849" s="478"/>
      <c r="AS849" s="478"/>
      <c r="AT849" s="476"/>
      <c r="AU849" s="482"/>
      <c r="AV849" s="478"/>
      <c r="AW849" s="483"/>
      <c r="AX849" s="476"/>
      <c r="AY849" s="482"/>
      <c r="AZ849" s="478"/>
      <c r="BA849" s="484"/>
      <c r="BB849" s="474"/>
      <c r="BC849" s="485"/>
      <c r="BD849" s="485"/>
      <c r="BG849" s="487"/>
    </row>
    <row r="850" spans="1:59" s="486" customFormat="1" ht="18" customHeight="1" x14ac:dyDescent="0.2">
      <c r="A850" s="1368" t="str">
        <f t="shared" si="634"/>
        <v>MUDIK ULO - TANJUNG MEDANG2014</v>
      </c>
      <c r="B850" s="1373"/>
      <c r="C850" s="463"/>
      <c r="D850" s="489"/>
      <c r="E850" s="465"/>
      <c r="F850" s="559">
        <v>2014</v>
      </c>
      <c r="G850" s="619">
        <v>0</v>
      </c>
      <c r="H850" s="464">
        <f t="shared" si="635"/>
        <v>5</v>
      </c>
      <c r="I850" s="560"/>
      <c r="J850" s="468">
        <f t="shared" si="636"/>
        <v>2018</v>
      </c>
      <c r="K850" s="490">
        <f t="shared" si="637"/>
        <v>0</v>
      </c>
      <c r="L850" s="469">
        <f t="shared" si="638"/>
        <v>0</v>
      </c>
      <c r="M850" s="683">
        <f t="shared" si="639"/>
        <v>0</v>
      </c>
      <c r="N850" s="470">
        <f t="shared" si="640"/>
        <v>5</v>
      </c>
      <c r="O850" s="468">
        <f t="shared" si="641"/>
        <v>2018</v>
      </c>
      <c r="P850" s="616">
        <f t="shared" si="642"/>
        <v>949860799.28933465</v>
      </c>
      <c r="Q850" s="472">
        <f t="shared" si="643"/>
        <v>949860799.28933465</v>
      </c>
      <c r="R850" s="472">
        <f t="shared" si="644"/>
        <v>189972159.85786685</v>
      </c>
      <c r="S850" s="1189">
        <f t="shared" si="645"/>
        <v>2014</v>
      </c>
      <c r="T850" s="470">
        <f t="shared" si="646"/>
        <v>1</v>
      </c>
      <c r="U850" s="612">
        <f t="shared" si="647"/>
        <v>189972159.85786685</v>
      </c>
      <c r="V850" s="464">
        <f t="shared" si="648"/>
        <v>2014</v>
      </c>
      <c r="W850" s="612">
        <f t="shared" si="649"/>
        <v>759888639.43146777</v>
      </c>
      <c r="X850" s="473"/>
      <c r="Y850" s="478"/>
      <c r="Z850" s="449"/>
      <c r="AA850" s="492" t="s">
        <v>4182</v>
      </c>
      <c r="AB850" s="476"/>
      <c r="AC850" s="476"/>
      <c r="AD850" s="567">
        <f>AD848-AD849</f>
        <v>0</v>
      </c>
      <c r="AE850" s="476"/>
      <c r="AF850" s="568"/>
      <c r="AG850" s="476"/>
      <c r="AH850" s="476"/>
      <c r="AI850" s="477"/>
      <c r="AJ850" s="478"/>
      <c r="AK850" s="479"/>
      <c r="AL850" s="480"/>
      <c r="AM850" s="474"/>
      <c r="AN850" s="481"/>
      <c r="AO850" s="474"/>
      <c r="AP850" s="476"/>
      <c r="AQ850" s="482"/>
      <c r="AR850" s="478"/>
      <c r="AS850" s="478"/>
      <c r="AT850" s="476"/>
      <c r="AU850" s="482"/>
      <c r="AV850" s="478"/>
      <c r="AW850" s="483"/>
      <c r="AX850" s="476"/>
      <c r="AY850" s="482"/>
      <c r="AZ850" s="478"/>
      <c r="BA850" s="484"/>
      <c r="BB850" s="474"/>
      <c r="BC850" s="485"/>
      <c r="BD850" s="485"/>
      <c r="BG850" s="487"/>
    </row>
    <row r="851" spans="1:59" s="486" customFormat="1" ht="18" customHeight="1" x14ac:dyDescent="0.2">
      <c r="A851" s="1368" t="str">
        <f t="shared" si="634"/>
        <v>MUDIK ULO - TANJUNG MEDANG2015</v>
      </c>
      <c r="B851" s="687"/>
      <c r="C851" s="463"/>
      <c r="D851" s="489"/>
      <c r="E851" s="465"/>
      <c r="F851" s="559">
        <v>2015</v>
      </c>
      <c r="G851" s="619">
        <v>0</v>
      </c>
      <c r="H851" s="464">
        <f t="shared" si="635"/>
        <v>4</v>
      </c>
      <c r="I851" s="560"/>
      <c r="J851" s="468">
        <f t="shared" si="636"/>
        <v>2018</v>
      </c>
      <c r="K851" s="490">
        <f t="shared" si="637"/>
        <v>0</v>
      </c>
      <c r="L851" s="469">
        <f t="shared" si="638"/>
        <v>0</v>
      </c>
      <c r="M851" s="683">
        <f t="shared" si="639"/>
        <v>0</v>
      </c>
      <c r="N851" s="470">
        <f t="shared" si="640"/>
        <v>4</v>
      </c>
      <c r="O851" s="468">
        <f t="shared" si="641"/>
        <v>2018</v>
      </c>
      <c r="P851" s="616">
        <f t="shared" si="642"/>
        <v>759888639.43146777</v>
      </c>
      <c r="Q851" s="472">
        <f t="shared" si="643"/>
        <v>759888639.43146777</v>
      </c>
      <c r="R851" s="472">
        <f t="shared" si="644"/>
        <v>189972159.85786685</v>
      </c>
      <c r="S851" s="1189">
        <f t="shared" si="645"/>
        <v>2015</v>
      </c>
      <c r="T851" s="470">
        <f t="shared" si="646"/>
        <v>1</v>
      </c>
      <c r="U851" s="612">
        <f t="shared" si="647"/>
        <v>189972159.85786685</v>
      </c>
      <c r="V851" s="464">
        <f t="shared" si="648"/>
        <v>2015</v>
      </c>
      <c r="W851" s="612">
        <f t="shared" si="649"/>
        <v>569916479.57360089</v>
      </c>
      <c r="X851" s="473"/>
      <c r="Y851" s="478"/>
      <c r="Z851" s="449"/>
      <c r="AA851" s="531" t="s">
        <v>4183</v>
      </c>
      <c r="AB851" s="496"/>
      <c r="AC851" s="496"/>
      <c r="AD851" s="569">
        <f>AD850-W857</f>
        <v>0</v>
      </c>
      <c r="AE851" s="476"/>
      <c r="AF851" s="568"/>
      <c r="AG851" s="476"/>
      <c r="AH851" s="476"/>
      <c r="AI851" s="477"/>
      <c r="AJ851" s="478"/>
      <c r="AK851" s="479"/>
      <c r="AL851" s="480"/>
      <c r="AM851" s="474"/>
      <c r="AN851" s="481"/>
      <c r="AO851" s="474"/>
      <c r="AP851" s="476"/>
      <c r="AQ851" s="482"/>
      <c r="AR851" s="478"/>
      <c r="AS851" s="478"/>
      <c r="AT851" s="476"/>
      <c r="AU851" s="482"/>
      <c r="AV851" s="478"/>
      <c r="AW851" s="483"/>
      <c r="AX851" s="476"/>
      <c r="AY851" s="482"/>
      <c r="AZ851" s="478"/>
      <c r="BA851" s="484"/>
      <c r="BB851" s="474"/>
      <c r="BC851" s="485"/>
      <c r="BD851" s="485"/>
      <c r="BG851" s="487"/>
    </row>
    <row r="852" spans="1:59" s="486" customFormat="1" ht="18" customHeight="1" x14ac:dyDescent="0.2">
      <c r="A852" s="1368" t="str">
        <f t="shared" si="634"/>
        <v>MUDIK ULO - TANJUNG MEDANG2016</v>
      </c>
      <c r="B852" s="687"/>
      <c r="C852" s="463"/>
      <c r="D852" s="489"/>
      <c r="E852" s="465"/>
      <c r="F852" s="559">
        <v>2016</v>
      </c>
      <c r="G852" s="619">
        <v>0</v>
      </c>
      <c r="H852" s="464">
        <f t="shared" si="635"/>
        <v>3</v>
      </c>
      <c r="I852" s="560"/>
      <c r="J852" s="468">
        <f t="shared" si="636"/>
        <v>2018</v>
      </c>
      <c r="K852" s="490">
        <f t="shared" si="637"/>
        <v>0</v>
      </c>
      <c r="L852" s="469">
        <f t="shared" si="638"/>
        <v>0</v>
      </c>
      <c r="M852" s="683">
        <f t="shared" si="639"/>
        <v>0</v>
      </c>
      <c r="N852" s="470">
        <f t="shared" si="640"/>
        <v>3</v>
      </c>
      <c r="O852" s="468">
        <f t="shared" si="641"/>
        <v>2018</v>
      </c>
      <c r="P852" s="616">
        <f t="shared" si="642"/>
        <v>569916479.57360089</v>
      </c>
      <c r="Q852" s="472">
        <f t="shared" si="643"/>
        <v>569916479.57360089</v>
      </c>
      <c r="R852" s="472">
        <f t="shared" si="644"/>
        <v>189972159.85786685</v>
      </c>
      <c r="S852" s="1189">
        <f t="shared" si="645"/>
        <v>2016</v>
      </c>
      <c r="T852" s="470">
        <f t="shared" si="646"/>
        <v>1</v>
      </c>
      <c r="U852" s="612">
        <f t="shared" si="647"/>
        <v>189972159.85786685</v>
      </c>
      <c r="V852" s="464">
        <f t="shared" si="648"/>
        <v>2016</v>
      </c>
      <c r="W852" s="612">
        <f t="shared" si="649"/>
        <v>379944319.715734</v>
      </c>
      <c r="X852" s="473"/>
      <c r="Y852" s="497"/>
      <c r="Z852" s="449"/>
      <c r="AA852" s="497"/>
      <c r="AB852" s="476"/>
      <c r="AC852" s="497"/>
      <c r="AD852" s="568"/>
      <c r="AE852" s="476"/>
      <c r="AF852" s="568"/>
      <c r="AG852" s="476"/>
      <c r="AH852" s="476"/>
      <c r="AI852" s="477"/>
      <c r="AJ852" s="478"/>
      <c r="AK852" s="479"/>
      <c r="AL852" s="480"/>
      <c r="AM852" s="474"/>
      <c r="AN852" s="481"/>
      <c r="AO852" s="474"/>
      <c r="AP852" s="476"/>
      <c r="AQ852" s="482"/>
      <c r="AR852" s="478"/>
      <c r="AS852" s="478"/>
      <c r="AT852" s="476"/>
      <c r="AU852" s="482"/>
      <c r="AV852" s="478"/>
      <c r="AW852" s="483"/>
      <c r="AX852" s="476"/>
      <c r="AY852" s="482"/>
      <c r="AZ852" s="478"/>
      <c r="BA852" s="484"/>
      <c r="BB852" s="474"/>
      <c r="BC852" s="485"/>
      <c r="BD852" s="485"/>
      <c r="BG852" s="487"/>
    </row>
    <row r="853" spans="1:59" s="486" customFormat="1" ht="18" customHeight="1" x14ac:dyDescent="0.2">
      <c r="A853" s="1368" t="str">
        <f t="shared" si="634"/>
        <v>MUDIK ULO - TANJUNG MEDANG2017</v>
      </c>
      <c r="B853" s="687"/>
      <c r="C853" s="463"/>
      <c r="D853" s="489"/>
      <c r="E853" s="465"/>
      <c r="F853" s="559">
        <v>2017</v>
      </c>
      <c r="G853" s="619">
        <v>0</v>
      </c>
      <c r="H853" s="464">
        <f t="shared" si="635"/>
        <v>2</v>
      </c>
      <c r="I853" s="560"/>
      <c r="J853" s="468">
        <f t="shared" si="636"/>
        <v>2018</v>
      </c>
      <c r="K853" s="490">
        <f t="shared" si="637"/>
        <v>0</v>
      </c>
      <c r="L853" s="469">
        <f t="shared" si="638"/>
        <v>0</v>
      </c>
      <c r="M853" s="683">
        <f t="shared" si="639"/>
        <v>0</v>
      </c>
      <c r="N853" s="470">
        <f t="shared" si="640"/>
        <v>2</v>
      </c>
      <c r="O853" s="468">
        <f t="shared" si="641"/>
        <v>2018</v>
      </c>
      <c r="P853" s="616">
        <f t="shared" si="642"/>
        <v>379944319.715734</v>
      </c>
      <c r="Q853" s="472">
        <f t="shared" si="643"/>
        <v>379944319.715734</v>
      </c>
      <c r="R853" s="472">
        <f t="shared" si="644"/>
        <v>189972159.85786685</v>
      </c>
      <c r="S853" s="1189">
        <f t="shared" si="645"/>
        <v>2017</v>
      </c>
      <c r="T853" s="470">
        <f t="shared" si="646"/>
        <v>1</v>
      </c>
      <c r="U853" s="612">
        <f t="shared" si="647"/>
        <v>189972159.85786685</v>
      </c>
      <c r="V853" s="464">
        <f t="shared" si="648"/>
        <v>2017</v>
      </c>
      <c r="W853" s="612">
        <f t="shared" si="649"/>
        <v>189972159.85786715</v>
      </c>
      <c r="X853" s="473"/>
      <c r="Y853" s="497"/>
      <c r="Z853" s="449"/>
      <c r="AA853" s="497"/>
      <c r="AB853" s="476"/>
      <c r="AC853" s="497"/>
      <c r="AD853" s="568"/>
      <c r="AE853" s="476"/>
      <c r="AF853" s="568"/>
      <c r="AG853" s="476"/>
      <c r="AH853" s="476"/>
      <c r="AI853" s="477"/>
      <c r="AJ853" s="478"/>
      <c r="AK853" s="479"/>
      <c r="AL853" s="480"/>
      <c r="AM853" s="474"/>
      <c r="AN853" s="481"/>
      <c r="AO853" s="474"/>
      <c r="AP853" s="476"/>
      <c r="AQ853" s="482"/>
      <c r="AR853" s="478"/>
      <c r="AS853" s="478"/>
      <c r="AT853" s="476"/>
      <c r="AU853" s="482"/>
      <c r="AV853" s="478"/>
      <c r="AW853" s="483"/>
      <c r="AX853" s="476"/>
      <c r="AY853" s="482"/>
      <c r="AZ853" s="478"/>
      <c r="BA853" s="484"/>
      <c r="BB853" s="474"/>
      <c r="BC853" s="485"/>
      <c r="BD853" s="485"/>
      <c r="BG853" s="487"/>
    </row>
    <row r="854" spans="1:59" s="486" customFormat="1" ht="18" customHeight="1" x14ac:dyDescent="0.2">
      <c r="A854" s="1368" t="str">
        <f t="shared" si="634"/>
        <v>MUDIK ULO - TANJUNG MEDANG2018</v>
      </c>
      <c r="B854" s="687"/>
      <c r="C854" s="463"/>
      <c r="D854" s="489"/>
      <c r="E854" s="465"/>
      <c r="F854" s="559">
        <v>2018</v>
      </c>
      <c r="G854" s="619">
        <v>0</v>
      </c>
      <c r="H854" s="464">
        <f t="shared" si="635"/>
        <v>1</v>
      </c>
      <c r="I854" s="560"/>
      <c r="J854" s="468">
        <f t="shared" si="636"/>
        <v>2018</v>
      </c>
      <c r="K854" s="490">
        <f t="shared" si="637"/>
        <v>0</v>
      </c>
      <c r="L854" s="469">
        <f t="shared" si="638"/>
        <v>0</v>
      </c>
      <c r="M854" s="683">
        <f t="shared" si="639"/>
        <v>0</v>
      </c>
      <c r="N854" s="470">
        <f t="shared" si="640"/>
        <v>1</v>
      </c>
      <c r="O854" s="468">
        <f t="shared" si="641"/>
        <v>2018</v>
      </c>
      <c r="P854" s="616">
        <f t="shared" si="642"/>
        <v>189972159.85786715</v>
      </c>
      <c r="Q854" s="472">
        <f t="shared" si="643"/>
        <v>189972159.85786715</v>
      </c>
      <c r="R854" s="472">
        <f t="shared" si="644"/>
        <v>189972159.85786685</v>
      </c>
      <c r="S854" s="1189">
        <f t="shared" si="645"/>
        <v>2018</v>
      </c>
      <c r="T854" s="470">
        <f t="shared" si="646"/>
        <v>1</v>
      </c>
      <c r="U854" s="612">
        <f t="shared" si="647"/>
        <v>189972159.85786685</v>
      </c>
      <c r="V854" s="464">
        <f t="shared" si="648"/>
        <v>2018</v>
      </c>
      <c r="W854" s="612">
        <f t="shared" si="649"/>
        <v>2.9802322387695312E-7</v>
      </c>
      <c r="X854" s="473"/>
      <c r="Y854" s="497"/>
      <c r="Z854" s="449"/>
      <c r="AA854" s="497"/>
      <c r="AB854" s="476"/>
      <c r="AC854" s="497"/>
      <c r="AD854" s="568"/>
      <c r="AE854" s="476"/>
      <c r="AF854" s="568"/>
      <c r="AG854" s="476"/>
      <c r="AH854" s="476"/>
      <c r="AI854" s="477"/>
      <c r="AJ854" s="478"/>
      <c r="AK854" s="479"/>
      <c r="AL854" s="480"/>
      <c r="AM854" s="474"/>
      <c r="AN854" s="481"/>
      <c r="AO854" s="474"/>
      <c r="AP854" s="476"/>
      <c r="AQ854" s="482"/>
      <c r="AR854" s="478"/>
      <c r="AS854" s="478"/>
      <c r="AT854" s="476"/>
      <c r="AU854" s="482"/>
      <c r="AV854" s="478"/>
      <c r="AW854" s="483"/>
      <c r="AX854" s="476"/>
      <c r="AY854" s="482"/>
      <c r="AZ854" s="478"/>
      <c r="BA854" s="484"/>
      <c r="BB854" s="474"/>
      <c r="BC854" s="485"/>
      <c r="BD854" s="485"/>
      <c r="BG854" s="487"/>
    </row>
    <row r="855" spans="1:59" s="486" customFormat="1" ht="18" customHeight="1" x14ac:dyDescent="0.2">
      <c r="A855" s="1368" t="str">
        <f t="shared" si="634"/>
        <v>MUDIK ULO - TANJUNG MEDANG2019</v>
      </c>
      <c r="B855" s="687"/>
      <c r="C855" s="463"/>
      <c r="D855" s="489"/>
      <c r="E855" s="465"/>
      <c r="F855" s="559">
        <v>2019</v>
      </c>
      <c r="G855" s="619">
        <v>0</v>
      </c>
      <c r="H855" s="464">
        <f>IF(N854-(F855-F854)&lt;=0,0,(N854-(F855-F854)))</f>
        <v>0</v>
      </c>
      <c r="I855" s="560"/>
      <c r="J855" s="468">
        <f>F855+N855-1</f>
        <v>2018</v>
      </c>
      <c r="K855" s="490">
        <f>IF(G855=0,0,IF(H855=10,100%,G855/W854))</f>
        <v>0</v>
      </c>
      <c r="L855" s="469">
        <f>IF(K855=0%,0,IF(K855&lt;=30%,2,IF(K855&lt;=60%,5,10)))</f>
        <v>0</v>
      </c>
      <c r="M855" s="683">
        <f>IF(OR(AND(ISBLANK(E855),ISBLANK(G855)),ISTEXT(E855),ISTEXT(G855)),"",IF(H855+L855&gt;$H$8,$H$8-H855,L855))</f>
        <v>0</v>
      </c>
      <c r="N855" s="470">
        <f>IF(OR(AND(ISBLANK(F855),ISBLANK(G855)),ISTEXT(F855),ISTEXT(G855)),"",H855+M855)</f>
        <v>0</v>
      </c>
      <c r="O855" s="468">
        <f>F855+N855-1</f>
        <v>2018</v>
      </c>
      <c r="P855" s="616">
        <f>W854</f>
        <v>2.9802322387695312E-7</v>
      </c>
      <c r="Q855" s="472">
        <f>P855+G855</f>
        <v>2.9802322387695312E-7</v>
      </c>
      <c r="R855" s="472">
        <v>0</v>
      </c>
      <c r="S855" s="1189">
        <f>F855</f>
        <v>2019</v>
      </c>
      <c r="T855" s="470">
        <f>S855-S854</f>
        <v>1</v>
      </c>
      <c r="U855" s="612">
        <f>R855*T855</f>
        <v>0</v>
      </c>
      <c r="V855" s="464">
        <f>F855</f>
        <v>2019</v>
      </c>
      <c r="W855" s="612">
        <f>IF(OR(AND(ISBLANK(E855),ISBLANK(G855)),ISTEXT(E855),ISTEXT(G855)),"",Q855-U855)</f>
        <v>2.9802322387695312E-7</v>
      </c>
      <c r="X855" s="473"/>
      <c r="Y855" s="497"/>
      <c r="Z855" s="449"/>
      <c r="AA855" s="497"/>
      <c r="AB855" s="476"/>
      <c r="AC855" s="497"/>
      <c r="AD855" s="568"/>
      <c r="AE855" s="476"/>
      <c r="AF855" s="568"/>
      <c r="AG855" s="476"/>
      <c r="AH855" s="476"/>
      <c r="AI855" s="477"/>
      <c r="AJ855" s="478"/>
      <c r="AK855" s="479"/>
      <c r="AL855" s="480"/>
      <c r="AM855" s="474"/>
      <c r="AN855" s="481"/>
      <c r="AO855" s="474"/>
      <c r="AP855" s="476"/>
      <c r="AQ855" s="482"/>
      <c r="AR855" s="478"/>
      <c r="AS855" s="478"/>
      <c r="AT855" s="476"/>
      <c r="AU855" s="482"/>
      <c r="AV855" s="478"/>
      <c r="AW855" s="483"/>
      <c r="AX855" s="476"/>
      <c r="AY855" s="482"/>
      <c r="AZ855" s="478"/>
      <c r="BA855" s="484"/>
      <c r="BB855" s="474"/>
      <c r="BC855" s="485"/>
      <c r="BD855" s="485"/>
      <c r="BG855" s="487"/>
    </row>
    <row r="856" spans="1:59" s="486" customFormat="1" ht="18" customHeight="1" x14ac:dyDescent="0.2">
      <c r="A856" s="1369"/>
      <c r="B856" s="687"/>
      <c r="C856" s="463"/>
      <c r="D856" s="464"/>
      <c r="E856" s="465"/>
      <c r="F856" s="1189"/>
      <c r="G856" s="620"/>
      <c r="H856" s="469" t="str">
        <f>IF(OR(AND(ISBLANK(E856),ISBLANK(G856)),ISTEXT(E856),ISTEXT(G856)),"",IF(#REF!-(YEAR(E856)-YEAR(#REF!))&lt;0,0,#REF!-(YEAR(E856)-YEAR(#REF!))))</f>
        <v/>
      </c>
      <c r="I856" s="467" t="str">
        <f>IF(OR(AND(ISBLANK(E856),ISBLANK(G856)),ISTEXT(E856),ISTEXT(G856)),"",IF(#REF!-E856&lt;0,0,#REF!-E856))</f>
        <v/>
      </c>
      <c r="J856" s="498" t="str">
        <f>IF(OR(AND(ISBLANK(E856),ISBLANK(G856)),ISTEXT(E856),ISTEXT(G856)),"",#REF!)</f>
        <v/>
      </c>
      <c r="K856" s="498"/>
      <c r="L856" s="469" t="str">
        <f>IF(OR(AND(ISBLANK(E856),ISBLANK(G856)),ISTEXT(E856),ISTEXT(G856)),"",ROUNDDOWN(G856/SUM($G$57:G851)*$H$57,0))</f>
        <v/>
      </c>
      <c r="M856" s="683" t="str">
        <f>IF(OR(AND(ISBLANK(E856),ISBLANK(G856)),ISTEXT(E856),ISTEXT(G856)),"",IF(H856+L856&gt;$H$57,$H$57-H856,L856))</f>
        <v/>
      </c>
      <c r="N856" s="470" t="str">
        <f>IF(OR(AND(ISBLANK(E856),ISBLANK(G856)),ISTEXT(E856),ISTEXT(G856)),"",H856+M856)</f>
        <v/>
      </c>
      <c r="O856" s="498" t="str">
        <f>IF(OR(AND(ISBLANK(E856),ISBLANK(G856)),ISTEXT(E856),ISTEXT(G856)),"",DATE(YEAR($J856)+M856,MONTH($J856),DAY($J856)))</f>
        <v/>
      </c>
      <c r="P856" s="748" t="str">
        <f>IF(OR(AND(ISBLANK(E856),ISBLANK(G856)),ISTEXT(E856),ISTEXT(G856)),"",#REF!-#REF!*(IF(J856&lt;E856,J856,E856)-#REF!))</f>
        <v/>
      </c>
      <c r="Q856" s="500" t="str">
        <f>IF(OR(AND(ISBLANK(E856),ISBLANK(G856)),ISTEXT(E856),ISTEXT(G856)),"",P856+G856)</f>
        <v/>
      </c>
      <c r="R856" s="501" t="str">
        <f>IF(OR(AND(ISBLANK(E856),ISBLANK(G856)),ISTEXT(E856),ISTEXT(G856)),"",IF(OR(E856&lt;DATE(2004,12,31),#REF!=0),0,Q856/#REF!))</f>
        <v/>
      </c>
      <c r="S856" s="502" t="str">
        <f>IF(OR(AND(ISBLANK(E856),ISBLANK(G856)),ISTEXT(E856),ISTEXT(G856)),"",IF(YEAR(E856)&lt;=YEAR(#REF!),"-",YEAR(E856)-1))</f>
        <v/>
      </c>
      <c r="T856" s="502"/>
      <c r="U856" s="612" t="str">
        <f>IF(OR(AND(ISBLANK(E856),ISBLANK(G856)),ISTEXT(E856),ISTEXT(G856)),"",IF(AND(J856&lt;=DATE(2004,12,31),E856&gt;J856),SUM($G856:G856),#REF!+#REF!+#REF!*IF(YEAR(E856)&lt;=YEAR(#REF!),0,(IF(DATE(YEAR(E856)-1,12,31)&gt;J856,J856,DATE(YEAR(E856)-1,12,31))-#REF!))))</f>
        <v/>
      </c>
      <c r="V856" s="503" t="str">
        <f>IF(OR(AND(ISBLANK(E856),ISBLANK(G856)),ISTEXT(E856),ISTEXT(G856)),"",IF(YEAR(E856)=YEAR(E857),E857,DATE(YEAR(E856),12,31)))</f>
        <v/>
      </c>
      <c r="W856" s="612" t="str">
        <f>IF(OR(AND(ISBLANK(E856),ISBLANK(G856)),ISTEXT(E856),ISTEXT(G856)),"",IF(Q856=0,0,IF(AND(J856&lt;=DATE(2004,12,31),E856&gt;=J856),Q856-U856,Q856-#REF!)))</f>
        <v/>
      </c>
      <c r="X856" s="504" t="str">
        <f>IF(OR(AND(ISBLANK(E856),ISBLANK(G856)),ISTEXT(E856),ISTEXT(G856)),"",$D$57&amp;"//"&amp;TEXT($E$57,"dd-mmm-yyyy")&amp;"//"&amp;#REF!)</f>
        <v/>
      </c>
      <c r="Y856" s="476"/>
      <c r="Z856" s="476"/>
      <c r="AA856" s="476"/>
      <c r="AB856" s="476"/>
      <c r="AC856" s="476"/>
      <c r="AD856" s="568"/>
      <c r="AE856" s="476"/>
      <c r="AF856" s="568"/>
      <c r="AG856" s="476"/>
      <c r="AH856" s="476"/>
      <c r="AI856" s="477"/>
      <c r="AJ856" s="478"/>
      <c r="AK856" s="479"/>
      <c r="AL856" s="480"/>
      <c r="AM856" s="474"/>
      <c r="AN856" s="481"/>
      <c r="AO856" s="474"/>
      <c r="AP856" s="476"/>
      <c r="AQ856" s="482"/>
      <c r="AR856" s="478"/>
      <c r="AS856" s="478"/>
      <c r="AT856" s="476"/>
      <c r="AU856" s="482"/>
      <c r="AV856" s="478"/>
      <c r="AW856" s="483"/>
      <c r="AX856" s="476"/>
      <c r="AY856" s="482"/>
      <c r="AZ856" s="478"/>
      <c r="BA856" s="484"/>
      <c r="BB856" s="474"/>
      <c r="BC856" s="485"/>
      <c r="BD856" s="485"/>
      <c r="BG856" s="487"/>
    </row>
    <row r="857" spans="1:59" s="526" customFormat="1" ht="18" customHeight="1" x14ac:dyDescent="0.2">
      <c r="A857" s="1370" t="s">
        <v>4184</v>
      </c>
      <c r="B857" s="1956" t="s">
        <v>4184</v>
      </c>
      <c r="C857" s="1957"/>
      <c r="D857" s="1957"/>
      <c r="E857" s="1957"/>
      <c r="F857" s="1958"/>
      <c r="G857" s="624">
        <f>SUM(G840:G856)</f>
        <v>2481824988.798521</v>
      </c>
      <c r="H857" s="505"/>
      <c r="I857" s="506"/>
      <c r="J857" s="507"/>
      <c r="K857" s="507"/>
      <c r="L857" s="505"/>
      <c r="M857" s="684"/>
      <c r="N857" s="508"/>
      <c r="O857" s="507"/>
      <c r="P857" s="749"/>
      <c r="Q857" s="510"/>
      <c r="R857" s="511"/>
      <c r="S857" s="512"/>
      <c r="T857" s="512"/>
      <c r="U857" s="610">
        <f>SUM(U840:U856)</f>
        <v>2481824988.7985201</v>
      </c>
      <c r="V857" s="513"/>
      <c r="W857" s="610">
        <f>G857-U857</f>
        <v>0</v>
      </c>
      <c r="X857" s="514"/>
      <c r="Y857" s="515"/>
      <c r="Z857" s="515"/>
      <c r="AA857" s="515"/>
      <c r="AB857" s="515"/>
      <c r="AC857" s="515"/>
      <c r="AD857" s="570"/>
      <c r="AE857" s="515"/>
      <c r="AF857" s="570">
        <v>2840861874.2512002</v>
      </c>
      <c r="AG857" s="515"/>
      <c r="AH857" s="515"/>
      <c r="AI857" s="516"/>
      <c r="AJ857" s="517"/>
      <c r="AK857" s="518"/>
      <c r="AL857" s="519"/>
      <c r="AM857" s="520"/>
      <c r="AN857" s="521"/>
      <c r="AO857" s="520"/>
      <c r="AP857" s="515"/>
      <c r="AQ857" s="522"/>
      <c r="AR857" s="517"/>
      <c r="AS857" s="517"/>
      <c r="AT857" s="515"/>
      <c r="AU857" s="522"/>
      <c r="AV857" s="517"/>
      <c r="AW857" s="523"/>
      <c r="AX857" s="515"/>
      <c r="AY857" s="522"/>
      <c r="AZ857" s="517"/>
      <c r="BA857" s="524"/>
      <c r="BB857" s="520"/>
      <c r="BC857" s="525"/>
      <c r="BD857" s="525"/>
      <c r="BG857" s="527"/>
    </row>
    <row r="858" spans="1:59" x14ac:dyDescent="0.2">
      <c r="AF858" s="562">
        <v>2002561483.5152001</v>
      </c>
    </row>
    <row r="860" spans="1:59" s="422" customFormat="1" ht="18" customHeight="1" x14ac:dyDescent="0.2">
      <c r="A860" s="1366">
        <f>C860</f>
        <v>129</v>
      </c>
      <c r="B860" s="742" t="s">
        <v>4187</v>
      </c>
      <c r="C860" s="556">
        <v>129</v>
      </c>
      <c r="D860" s="553" t="str">
        <f>VLOOKUP(C860,RUAS,2,FALSE)</f>
        <v>BASERAH - PERHENTIAN LUAS</v>
      </c>
      <c r="E860" s="553"/>
      <c r="F860" s="421"/>
      <c r="G860" s="611"/>
      <c r="I860" s="423"/>
      <c r="J860" s="424"/>
      <c r="K860" s="424"/>
      <c r="M860" s="680"/>
      <c r="P860" s="611"/>
      <c r="U860" s="611"/>
      <c r="W860" s="611"/>
      <c r="Y860" s="425"/>
      <c r="Z860" s="425"/>
      <c r="AA860" s="425"/>
      <c r="AB860" s="425"/>
      <c r="AC860" s="425"/>
      <c r="AD860" s="563"/>
      <c r="AE860" s="425"/>
      <c r="AF860" s="563"/>
      <c r="AG860" s="425"/>
      <c r="AH860" s="425"/>
      <c r="AI860" s="425"/>
      <c r="AJ860" s="425"/>
      <c r="AK860" s="425"/>
      <c r="AL860" s="425"/>
      <c r="AM860" s="425"/>
      <c r="AN860" s="425"/>
      <c r="AO860" s="425"/>
      <c r="AP860" s="425"/>
      <c r="AQ860" s="425"/>
      <c r="AR860" s="425"/>
      <c r="AS860" s="425"/>
      <c r="AT860" s="425"/>
      <c r="AU860" s="425"/>
      <c r="AV860" s="425"/>
      <c r="AW860" s="425"/>
      <c r="AX860" s="425"/>
      <c r="AY860" s="425"/>
      <c r="AZ860" s="425"/>
      <c r="BA860" s="425"/>
      <c r="BB860" s="425"/>
    </row>
    <row r="861" spans="1:59" s="431" customFormat="1" ht="18" customHeight="1" x14ac:dyDescent="0.2">
      <c r="A861" s="1367"/>
      <c r="B861" s="1968" t="s">
        <v>5</v>
      </c>
      <c r="C861" s="1968" t="s">
        <v>2280</v>
      </c>
      <c r="D861" s="1968" t="s">
        <v>4157</v>
      </c>
      <c r="E861" s="1968" t="s">
        <v>4158</v>
      </c>
      <c r="F861" s="1968"/>
      <c r="G861" s="1969" t="s">
        <v>4159</v>
      </c>
      <c r="H861" s="1968" t="s">
        <v>4160</v>
      </c>
      <c r="I861" s="1968"/>
      <c r="J861" s="1968" t="s">
        <v>4185</v>
      </c>
      <c r="K861" s="1964" t="s">
        <v>4162</v>
      </c>
      <c r="L861" s="1968" t="s">
        <v>4163</v>
      </c>
      <c r="M861" s="1971" t="s">
        <v>4164</v>
      </c>
      <c r="N861" s="1962" t="s">
        <v>4165</v>
      </c>
      <c r="O861" s="1968" t="s">
        <v>4166</v>
      </c>
      <c r="P861" s="1972" t="s">
        <v>4167</v>
      </c>
      <c r="Q861" s="1973"/>
      <c r="R861" s="636" t="s">
        <v>4186</v>
      </c>
      <c r="S861" s="1972" t="s">
        <v>4169</v>
      </c>
      <c r="T861" s="1974"/>
      <c r="U861" s="1973"/>
      <c r="V861" s="1975" t="s">
        <v>4170</v>
      </c>
      <c r="W861" s="1975"/>
      <c r="X861" s="1960" t="s">
        <v>4171</v>
      </c>
      <c r="Y861" s="1959"/>
      <c r="Z861" s="633"/>
      <c r="AA861" s="426"/>
      <c r="AB861" s="426"/>
      <c r="AC861" s="426"/>
      <c r="AD861" s="564"/>
      <c r="AE861" s="426"/>
      <c r="AF861" s="564"/>
      <c r="AG861" s="426"/>
      <c r="AH861" s="426"/>
      <c r="AI861" s="427"/>
      <c r="AJ861" s="427"/>
      <c r="AK861" s="427"/>
      <c r="AL861" s="427"/>
      <c r="AM861" s="428"/>
      <c r="AN861" s="427"/>
      <c r="AO861" s="427"/>
      <c r="AP861" s="426"/>
      <c r="AQ861" s="427"/>
      <c r="AR861" s="427"/>
      <c r="AS861" s="427"/>
      <c r="AT861" s="426"/>
      <c r="AU861" s="427"/>
      <c r="AV861" s="427"/>
      <c r="AW861" s="427"/>
      <c r="AX861" s="426"/>
      <c r="AY861" s="427"/>
      <c r="AZ861" s="427"/>
      <c r="BA861" s="427"/>
      <c r="BB861" s="429"/>
      <c r="BC861" s="430"/>
      <c r="BD861" s="430"/>
    </row>
    <row r="862" spans="1:59" s="431" customFormat="1" ht="18" customHeight="1" x14ac:dyDescent="0.2">
      <c r="A862" s="1367"/>
      <c r="B862" s="1968"/>
      <c r="C862" s="1968"/>
      <c r="D862" s="1968"/>
      <c r="E862" s="1968"/>
      <c r="F862" s="1968"/>
      <c r="G862" s="1969"/>
      <c r="H862" s="1968"/>
      <c r="I862" s="1968"/>
      <c r="J862" s="1968"/>
      <c r="K862" s="1970"/>
      <c r="L862" s="1968"/>
      <c r="M862" s="1971"/>
      <c r="N862" s="1963"/>
      <c r="O862" s="1968"/>
      <c r="P862" s="2037" t="s">
        <v>4172</v>
      </c>
      <c r="Q862" s="1960" t="s">
        <v>4173</v>
      </c>
      <c r="R862" s="1962" t="s">
        <v>4159</v>
      </c>
      <c r="S862" s="1962" t="s">
        <v>4174</v>
      </c>
      <c r="T862" s="1964" t="s">
        <v>4175</v>
      </c>
      <c r="U862" s="1966" t="s">
        <v>4159</v>
      </c>
      <c r="V862" s="1975"/>
      <c r="W862" s="1975"/>
      <c r="X862" s="1976"/>
      <c r="Y862" s="1959"/>
      <c r="Z862" s="633"/>
      <c r="AA862" s="426"/>
      <c r="AB862" s="426"/>
      <c r="AC862" s="426"/>
      <c r="AD862" s="564"/>
      <c r="AE862" s="426"/>
      <c r="AF862" s="564"/>
      <c r="AG862" s="426"/>
      <c r="AH862" s="426"/>
      <c r="AI862" s="427"/>
      <c r="AJ862" s="427"/>
      <c r="AK862" s="426"/>
      <c r="AL862" s="427"/>
      <c r="AM862" s="428"/>
      <c r="AN862" s="427"/>
      <c r="AO862" s="427"/>
      <c r="AP862" s="432"/>
      <c r="AQ862" s="427"/>
      <c r="AR862" s="427"/>
      <c r="AS862" s="427"/>
      <c r="AT862" s="432"/>
      <c r="AU862" s="427"/>
      <c r="AV862" s="427"/>
      <c r="AW862" s="427"/>
      <c r="AX862" s="432"/>
      <c r="AY862" s="427"/>
      <c r="AZ862" s="427"/>
      <c r="BA862" s="427"/>
      <c r="BB862" s="429"/>
      <c r="BC862" s="430"/>
      <c r="BD862" s="430"/>
    </row>
    <row r="863" spans="1:59" s="431" customFormat="1" ht="18" customHeight="1" x14ac:dyDescent="0.2">
      <c r="A863" s="1367"/>
      <c r="B863" s="1968"/>
      <c r="C863" s="1968"/>
      <c r="D863" s="1968"/>
      <c r="E863" s="433" t="s">
        <v>4176</v>
      </c>
      <c r="F863" s="434" t="s">
        <v>2288</v>
      </c>
      <c r="G863" s="1969"/>
      <c r="H863" s="635" t="s">
        <v>2288</v>
      </c>
      <c r="I863" s="635" t="s">
        <v>4177</v>
      </c>
      <c r="J863" s="1968"/>
      <c r="K863" s="1965"/>
      <c r="L863" s="435" t="s">
        <v>2288</v>
      </c>
      <c r="M863" s="681" t="s">
        <v>2288</v>
      </c>
      <c r="N863" s="635" t="s">
        <v>2288</v>
      </c>
      <c r="O863" s="1968"/>
      <c r="P863" s="2038"/>
      <c r="Q863" s="1961"/>
      <c r="R863" s="1963"/>
      <c r="S863" s="1963"/>
      <c r="T863" s="1965"/>
      <c r="U863" s="1967"/>
      <c r="V863" s="635" t="s">
        <v>4178</v>
      </c>
      <c r="W863" s="637" t="s">
        <v>4159</v>
      </c>
      <c r="X863" s="1961"/>
      <c r="Y863" s="436"/>
      <c r="Z863" s="436"/>
      <c r="AA863" s="426"/>
      <c r="AB863" s="426"/>
      <c r="AC863" s="426"/>
      <c r="AD863" s="564"/>
      <c r="AE863" s="426"/>
      <c r="AF863" s="564"/>
      <c r="AG863" s="426"/>
      <c r="AH863" s="426"/>
      <c r="AI863" s="427"/>
      <c r="AJ863" s="432"/>
      <c r="AK863" s="432"/>
      <c r="AL863" s="427"/>
      <c r="AM863" s="428"/>
      <c r="AN863" s="432"/>
      <c r="AO863" s="427"/>
      <c r="AP863" s="432"/>
      <c r="AQ863" s="432"/>
      <c r="AR863" s="427"/>
      <c r="AS863" s="427"/>
      <c r="AT863" s="432"/>
      <c r="AU863" s="432"/>
      <c r="AV863" s="427"/>
      <c r="AW863" s="427"/>
      <c r="AX863" s="432"/>
      <c r="AY863" s="432"/>
      <c r="AZ863" s="427"/>
      <c r="BA863" s="427"/>
      <c r="BB863" s="429"/>
      <c r="BC863" s="430"/>
      <c r="BD863" s="430"/>
    </row>
    <row r="864" spans="1:59" s="461" customFormat="1" ht="18" customHeight="1" x14ac:dyDescent="0.2">
      <c r="A864" s="1368" t="str">
        <f>$D$860&amp;S864</f>
        <v>BASERAH - PERHENTIAN LUAS2001</v>
      </c>
      <c r="B864" s="1373">
        <v>1</v>
      </c>
      <c r="C864" s="532" t="s">
        <v>529</v>
      </c>
      <c r="D864" s="437" t="s">
        <v>2494</v>
      </c>
      <c r="E864" s="438"/>
      <c r="F864" s="439">
        <v>2001</v>
      </c>
      <c r="G864" s="623">
        <v>3159000000</v>
      </c>
      <c r="H864" s="440">
        <f>VLOOKUP(LEFT(D864,8),UE,4)</f>
        <v>10</v>
      </c>
      <c r="I864" s="441"/>
      <c r="J864" s="442">
        <f>F864+N864-1</f>
        <v>2010</v>
      </c>
      <c r="K864" s="443"/>
      <c r="L864" s="440"/>
      <c r="M864" s="746">
        <f>IF(H864+L864&gt;$H864,$H864-H864,L864)</f>
        <v>0</v>
      </c>
      <c r="N864" s="444">
        <f>H864+M864</f>
        <v>10</v>
      </c>
      <c r="O864" s="442">
        <f>F864+N864-1</f>
        <v>2010</v>
      </c>
      <c r="P864" s="617">
        <f>G864</f>
        <v>3159000000</v>
      </c>
      <c r="Q864" s="445">
        <v>0</v>
      </c>
      <c r="R864" s="445">
        <f>P864/N864</f>
        <v>315900000</v>
      </c>
      <c r="S864" s="446">
        <f>F864</f>
        <v>2001</v>
      </c>
      <c r="T864" s="447">
        <v>1</v>
      </c>
      <c r="U864" s="613">
        <f>R864*T864</f>
        <v>315900000</v>
      </c>
      <c r="V864" s="442">
        <f>F864</f>
        <v>2001</v>
      </c>
      <c r="W864" s="617">
        <f>IF(OR(AND(ISBLANK(E864),ISBLANK(G864)),ISTEXT(E864),ISTEXT(G864)),"",G864-R864)</f>
        <v>2843100000</v>
      </c>
      <c r="X864" s="448"/>
      <c r="Y864" s="449"/>
      <c r="Z864" s="449"/>
      <c r="AA864" s="693"/>
      <c r="AB864" s="452"/>
      <c r="AC864" s="452"/>
      <c r="AD864" s="571"/>
      <c r="AE864" s="452"/>
      <c r="AF864" s="571"/>
      <c r="AG864" s="452"/>
      <c r="AH864" s="452"/>
      <c r="AI864" s="453"/>
      <c r="AJ864" s="449"/>
      <c r="AK864" s="453"/>
      <c r="AL864" s="454"/>
      <c r="AM864" s="455"/>
      <c r="AN864" s="456"/>
      <c r="AO864" s="455"/>
      <c r="AP864" s="452"/>
      <c r="AQ864" s="457"/>
      <c r="AR864" s="449"/>
      <c r="AS864" s="449"/>
      <c r="AT864" s="452"/>
      <c r="AU864" s="457"/>
      <c r="AV864" s="449"/>
      <c r="AW864" s="458"/>
      <c r="AX864" s="452"/>
      <c r="AY864" s="457"/>
      <c r="AZ864" s="449"/>
      <c r="BA864" s="459"/>
      <c r="BB864" s="455"/>
      <c r="BC864" s="460"/>
      <c r="BD864" s="460"/>
      <c r="BG864" s="462"/>
    </row>
    <row r="865" spans="1:59" s="461" customFormat="1" ht="18" customHeight="1" x14ac:dyDescent="0.2">
      <c r="A865" s="1368" t="str">
        <f t="shared" ref="A865:A879" si="650">$D$860&amp;S865</f>
        <v>BASERAH - PERHENTIAN LUAS2002</v>
      </c>
      <c r="B865" s="1373"/>
      <c r="C865" s="488"/>
      <c r="D865" s="489"/>
      <c r="E865" s="558"/>
      <c r="F865" s="559">
        <v>2002</v>
      </c>
      <c r="G865" s="619">
        <v>0</v>
      </c>
      <c r="H865" s="464">
        <f>IF(N864-(F865-F864)&lt;=0,0,(N864-(F865-F864)))</f>
        <v>9</v>
      </c>
      <c r="I865" s="560"/>
      <c r="J865" s="468">
        <f>F865+N865-1</f>
        <v>2010</v>
      </c>
      <c r="K865" s="490">
        <f>IF(G865=0,0,IF(H865=10,100%,G865/W864))</f>
        <v>0</v>
      </c>
      <c r="L865" s="469">
        <f>IF(K865=0%,0,IF(K865&lt;=30%,2,IF(K865&lt;=60%,5,10)))</f>
        <v>0</v>
      </c>
      <c r="M865" s="683">
        <f>IF(OR(AND(ISBLANK(E865),ISBLANK(G865)),ISTEXT(E865),ISTEXT(G865)),"",IF(H865+L865&gt;$H$8,$H$8-H865,L865))</f>
        <v>0</v>
      </c>
      <c r="N865" s="470">
        <f>IF(OR(AND(ISBLANK(F865),ISBLANK(G865)),ISTEXT(F865),ISTEXT(G865)),"",H865+M865)</f>
        <v>9</v>
      </c>
      <c r="O865" s="468">
        <f>F865+N865-1</f>
        <v>2010</v>
      </c>
      <c r="P865" s="616">
        <f>W864</f>
        <v>2843100000</v>
      </c>
      <c r="Q865" s="472">
        <f>P865+G865</f>
        <v>2843100000</v>
      </c>
      <c r="R865" s="472">
        <f>IF(L865=0,R864,Q865/N865)</f>
        <v>315900000</v>
      </c>
      <c r="S865" s="1132">
        <f>F865</f>
        <v>2002</v>
      </c>
      <c r="T865" s="470">
        <f>S865-S864</f>
        <v>1</v>
      </c>
      <c r="U865" s="612">
        <f>R865*T865</f>
        <v>315900000</v>
      </c>
      <c r="V865" s="464">
        <f>F865</f>
        <v>2002</v>
      </c>
      <c r="W865" s="612">
        <f>IF(OR(AND(ISBLANK(E865),ISBLANK(G865)),ISTEXT(E865),ISTEXT(G865)),"",Q865-U865)</f>
        <v>2527200000</v>
      </c>
      <c r="X865" s="561"/>
      <c r="Y865" s="449"/>
      <c r="Z865" s="449"/>
      <c r="AA865" s="693"/>
      <c r="AB865" s="452"/>
      <c r="AC865" s="452"/>
      <c r="AD865" s="571"/>
      <c r="AE865" s="452"/>
      <c r="AF865" s="571"/>
      <c r="AG865" s="452"/>
      <c r="AH865" s="452"/>
      <c r="AI865" s="453"/>
      <c r="AJ865" s="449"/>
      <c r="AK865" s="453"/>
      <c r="AL865" s="454"/>
      <c r="AM865" s="455"/>
      <c r="AN865" s="456"/>
      <c r="AO865" s="455"/>
      <c r="AP865" s="452"/>
      <c r="AQ865" s="457"/>
      <c r="AR865" s="449"/>
      <c r="AS865" s="449"/>
      <c r="AT865" s="452"/>
      <c r="AU865" s="457"/>
      <c r="AV865" s="449"/>
      <c r="AW865" s="458"/>
      <c r="AX865" s="452"/>
      <c r="AY865" s="457"/>
      <c r="AZ865" s="449"/>
      <c r="BA865" s="459"/>
      <c r="BB865" s="455"/>
      <c r="BC865" s="460"/>
      <c r="BD865" s="460"/>
      <c r="BG865" s="462"/>
    </row>
    <row r="866" spans="1:59" s="461" customFormat="1" ht="18" customHeight="1" x14ac:dyDescent="0.2">
      <c r="A866" s="1368" t="str">
        <f t="shared" si="650"/>
        <v>BASERAH - PERHENTIAN LUAS2006</v>
      </c>
      <c r="B866" s="1373"/>
      <c r="C866" s="488"/>
      <c r="D866" s="489"/>
      <c r="E866" s="558"/>
      <c r="F866" s="559">
        <v>2006</v>
      </c>
      <c r="G866" s="619">
        <v>0</v>
      </c>
      <c r="H866" s="464">
        <f t="shared" ref="H866:H878" si="651">IF(N865-(F866-F865)&lt;=0,0,(N865-(F866-F865)))</f>
        <v>5</v>
      </c>
      <c r="I866" s="560"/>
      <c r="J866" s="468">
        <f t="shared" ref="J866:J878" si="652">F866+N866-1</f>
        <v>2010</v>
      </c>
      <c r="K866" s="490">
        <f t="shared" ref="K866:K878" si="653">IF(G866=0,0,IF(H866=10,100%,G866/W865))</f>
        <v>0</v>
      </c>
      <c r="L866" s="469">
        <f t="shared" ref="L866:L878" si="654">IF(K866=0%,0,IF(K866&lt;=30%,2,IF(K866&lt;=60%,5,10)))</f>
        <v>0</v>
      </c>
      <c r="M866" s="683">
        <f t="shared" ref="M866:M878" si="655">IF(OR(AND(ISBLANK(E866),ISBLANK(G866)),ISTEXT(E866),ISTEXT(G866)),"",IF(H866+L866&gt;$H$8,$H$8-H866,L866))</f>
        <v>0</v>
      </c>
      <c r="N866" s="470">
        <f t="shared" ref="N866:N878" si="656">IF(OR(AND(ISBLANK(F866),ISBLANK(G866)),ISTEXT(F866),ISTEXT(G866)),"",H866+M866)</f>
        <v>5</v>
      </c>
      <c r="O866" s="468">
        <f t="shared" ref="O866:O878" si="657">F866+N866-1</f>
        <v>2010</v>
      </c>
      <c r="P866" s="616">
        <f t="shared" ref="P866:P878" si="658">W865</f>
        <v>2527200000</v>
      </c>
      <c r="Q866" s="472">
        <f t="shared" ref="Q866:Q878" si="659">P866+G866</f>
        <v>2527200000</v>
      </c>
      <c r="R866" s="472">
        <f t="shared" ref="R866:R878" si="660">IF(L866=0,R865,Q866/N866)</f>
        <v>315900000</v>
      </c>
      <c r="S866" s="1189">
        <f t="shared" ref="S866:S878" si="661">F866</f>
        <v>2006</v>
      </c>
      <c r="T866" s="470">
        <f t="shared" ref="T866:T878" si="662">S866-S865</f>
        <v>4</v>
      </c>
      <c r="U866" s="612">
        <f t="shared" ref="U866:U878" si="663">R866*T866</f>
        <v>1263600000</v>
      </c>
      <c r="V866" s="464">
        <f t="shared" ref="V866:V878" si="664">F866</f>
        <v>2006</v>
      </c>
      <c r="W866" s="612">
        <f t="shared" ref="W866:W878" si="665">IF(OR(AND(ISBLANK(E866),ISBLANK(G866)),ISTEXT(E866),ISTEXT(G866)),"",Q866-U866)</f>
        <v>1263600000</v>
      </c>
      <c r="X866" s="561"/>
      <c r="Y866" s="449"/>
      <c r="Z866" s="449"/>
      <c r="AA866" s="694"/>
      <c r="AB866" s="692"/>
      <c r="AC866" s="692"/>
      <c r="AD866" s="695"/>
      <c r="AE866" s="452"/>
      <c r="AF866" s="571"/>
      <c r="AG866" s="452"/>
      <c r="AH866" s="452"/>
      <c r="AI866" s="453"/>
      <c r="AJ866" s="449"/>
      <c r="AK866" s="453"/>
      <c r="AL866" s="454"/>
      <c r="AM866" s="455"/>
      <c r="AN866" s="456"/>
      <c r="AO866" s="455"/>
      <c r="AP866" s="452"/>
      <c r="AQ866" s="457"/>
      <c r="AR866" s="449"/>
      <c r="AS866" s="449"/>
      <c r="AT866" s="452"/>
      <c r="AU866" s="457"/>
      <c r="AV866" s="449"/>
      <c r="AW866" s="458"/>
      <c r="AX866" s="452"/>
      <c r="AY866" s="457"/>
      <c r="AZ866" s="449"/>
      <c r="BA866" s="459"/>
      <c r="BB866" s="455"/>
      <c r="BC866" s="460"/>
      <c r="BD866" s="460"/>
      <c r="BG866" s="462"/>
    </row>
    <row r="867" spans="1:59" s="461" customFormat="1" ht="18" customHeight="1" x14ac:dyDescent="0.2">
      <c r="A867" s="1368" t="str">
        <f t="shared" si="650"/>
        <v>BASERAH - PERHENTIAN LUAS2007</v>
      </c>
      <c r="B867" s="1373">
        <v>2</v>
      </c>
      <c r="C867" s="488" t="s">
        <v>1220</v>
      </c>
      <c r="D867" s="489" t="s">
        <v>2494</v>
      </c>
      <c r="E867" s="558"/>
      <c r="F867" s="559">
        <v>2007</v>
      </c>
      <c r="G867" s="619">
        <f>659658905.785839+555029847.824666</f>
        <v>1214688753.6105051</v>
      </c>
      <c r="H867" s="464">
        <f t="shared" si="651"/>
        <v>4</v>
      </c>
      <c r="I867" s="560"/>
      <c r="J867" s="468">
        <f t="shared" si="652"/>
        <v>2016</v>
      </c>
      <c r="K867" s="490">
        <f t="shared" si="653"/>
        <v>0.96129214435779131</v>
      </c>
      <c r="L867" s="469">
        <f t="shared" si="654"/>
        <v>10</v>
      </c>
      <c r="M867" s="683">
        <f t="shared" si="655"/>
        <v>6</v>
      </c>
      <c r="N867" s="470">
        <f t="shared" si="656"/>
        <v>10</v>
      </c>
      <c r="O867" s="468">
        <f t="shared" si="657"/>
        <v>2016</v>
      </c>
      <c r="P867" s="616">
        <f t="shared" si="658"/>
        <v>1263600000</v>
      </c>
      <c r="Q867" s="472">
        <f t="shared" si="659"/>
        <v>2478288753.6105051</v>
      </c>
      <c r="R867" s="472">
        <f t="shared" si="660"/>
        <v>247828875.36105052</v>
      </c>
      <c r="S867" s="1189">
        <f t="shared" si="661"/>
        <v>2007</v>
      </c>
      <c r="T867" s="470">
        <f t="shared" si="662"/>
        <v>1</v>
      </c>
      <c r="U867" s="612">
        <f t="shared" si="663"/>
        <v>247828875.36105052</v>
      </c>
      <c r="V867" s="464">
        <f t="shared" si="664"/>
        <v>2007</v>
      </c>
      <c r="W867" s="612">
        <f t="shared" si="665"/>
        <v>2230459878.2494545</v>
      </c>
      <c r="X867" s="561"/>
      <c r="Y867" s="449"/>
      <c r="Z867" s="449"/>
      <c r="AA867" s="554" t="s">
        <v>4179</v>
      </c>
      <c r="AB867" s="452"/>
      <c r="AC867" s="452"/>
      <c r="AD867" s="566"/>
      <c r="AE867" s="452"/>
      <c r="AF867" s="571"/>
      <c r="AG867" s="452"/>
      <c r="AH867" s="452"/>
      <c r="AI867" s="453"/>
      <c r="AJ867" s="449"/>
      <c r="AK867" s="453"/>
      <c r="AL867" s="454"/>
      <c r="AM867" s="455"/>
      <c r="AN867" s="456"/>
      <c r="AO867" s="455"/>
      <c r="AP867" s="452"/>
      <c r="AQ867" s="457"/>
      <c r="AR867" s="449"/>
      <c r="AS867" s="449"/>
      <c r="AT867" s="452"/>
      <c r="AU867" s="457"/>
      <c r="AV867" s="449"/>
      <c r="AW867" s="458"/>
      <c r="AX867" s="452"/>
      <c r="AY867" s="457"/>
      <c r="AZ867" s="449"/>
      <c r="BA867" s="459"/>
      <c r="BB867" s="455"/>
      <c r="BC867" s="460"/>
      <c r="BD867" s="460"/>
      <c r="BG867" s="462"/>
    </row>
    <row r="868" spans="1:59" s="461" customFormat="1" ht="18" customHeight="1" x14ac:dyDescent="0.2">
      <c r="A868" s="1368" t="str">
        <f t="shared" si="650"/>
        <v>BASERAH - PERHENTIAN LUAS2008</v>
      </c>
      <c r="B868" s="1373">
        <v>3</v>
      </c>
      <c r="C868" s="488" t="s">
        <v>5141</v>
      </c>
      <c r="D868" s="489"/>
      <c r="E868" s="558"/>
      <c r="F868" s="559">
        <v>2008</v>
      </c>
      <c r="G868" s="619">
        <v>992854526.88886106</v>
      </c>
      <c r="H868" s="464">
        <f t="shared" si="651"/>
        <v>9</v>
      </c>
      <c r="I868" s="560"/>
      <c r="J868" s="468">
        <f t="shared" si="652"/>
        <v>2017</v>
      </c>
      <c r="K868" s="490">
        <f t="shared" si="653"/>
        <v>0.44513444808883501</v>
      </c>
      <c r="L868" s="469">
        <f t="shared" si="654"/>
        <v>5</v>
      </c>
      <c r="M868" s="683">
        <f t="shared" si="655"/>
        <v>1</v>
      </c>
      <c r="N868" s="470">
        <f t="shared" si="656"/>
        <v>10</v>
      </c>
      <c r="O868" s="468">
        <f t="shared" si="657"/>
        <v>2017</v>
      </c>
      <c r="P868" s="616">
        <f t="shared" si="658"/>
        <v>2230459878.2494545</v>
      </c>
      <c r="Q868" s="472">
        <f t="shared" si="659"/>
        <v>3223314405.1383157</v>
      </c>
      <c r="R868" s="472">
        <f t="shared" si="660"/>
        <v>322331440.51383156</v>
      </c>
      <c r="S868" s="1189">
        <f t="shared" si="661"/>
        <v>2008</v>
      </c>
      <c r="T868" s="470">
        <f t="shared" si="662"/>
        <v>1</v>
      </c>
      <c r="U868" s="612">
        <f t="shared" si="663"/>
        <v>322331440.51383156</v>
      </c>
      <c r="V868" s="464">
        <f t="shared" si="664"/>
        <v>2008</v>
      </c>
      <c r="W868" s="612">
        <f t="shared" si="665"/>
        <v>2900982964.6244841</v>
      </c>
      <c r="X868" s="561"/>
      <c r="Y868" s="449"/>
      <c r="Z868" s="449"/>
      <c r="AA868" s="554"/>
      <c r="AB868" s="452"/>
      <c r="AC868" s="452"/>
      <c r="AD868" s="566"/>
      <c r="AE868" s="452"/>
      <c r="AF868" s="571"/>
      <c r="AG868" s="452"/>
      <c r="AH868" s="452"/>
      <c r="AI868" s="453"/>
      <c r="AJ868" s="449"/>
      <c r="AK868" s="453"/>
      <c r="AL868" s="454"/>
      <c r="AM868" s="455"/>
      <c r="AN868" s="456"/>
      <c r="AO868" s="455"/>
      <c r="AP868" s="452"/>
      <c r="AQ868" s="457"/>
      <c r="AR868" s="449"/>
      <c r="AS868" s="449"/>
      <c r="AT868" s="452"/>
      <c r="AU868" s="457"/>
      <c r="AV868" s="449"/>
      <c r="AW868" s="458"/>
      <c r="AX868" s="452"/>
      <c r="AY868" s="457"/>
      <c r="AZ868" s="449"/>
      <c r="BA868" s="459"/>
      <c r="BB868" s="455"/>
      <c r="BC868" s="460"/>
      <c r="BD868" s="460"/>
      <c r="BG868" s="462"/>
    </row>
    <row r="869" spans="1:59" s="461" customFormat="1" ht="18" customHeight="1" x14ac:dyDescent="0.2">
      <c r="A869" s="1368" t="str">
        <f t="shared" si="650"/>
        <v>BASERAH - PERHENTIAN LUAS2009</v>
      </c>
      <c r="B869" s="1373">
        <v>4</v>
      </c>
      <c r="C869" s="488" t="s">
        <v>5074</v>
      </c>
      <c r="D869" s="489"/>
      <c r="E869" s="558"/>
      <c r="F869" s="559">
        <v>2009</v>
      </c>
      <c r="G869" s="619">
        <v>714841086.60000002</v>
      </c>
      <c r="H869" s="464">
        <f t="shared" si="651"/>
        <v>9</v>
      </c>
      <c r="I869" s="560"/>
      <c r="J869" s="468">
        <f t="shared" si="652"/>
        <v>2018</v>
      </c>
      <c r="K869" s="490">
        <f t="shared" si="653"/>
        <v>0.24641340377279058</v>
      </c>
      <c r="L869" s="469">
        <f t="shared" si="654"/>
        <v>2</v>
      </c>
      <c r="M869" s="683">
        <f t="shared" si="655"/>
        <v>1</v>
      </c>
      <c r="N869" s="470">
        <f t="shared" si="656"/>
        <v>10</v>
      </c>
      <c r="O869" s="468">
        <f t="shared" si="657"/>
        <v>2018</v>
      </c>
      <c r="P869" s="616">
        <f t="shared" si="658"/>
        <v>2900982964.6244841</v>
      </c>
      <c r="Q869" s="472">
        <f t="shared" si="659"/>
        <v>3615824051.224484</v>
      </c>
      <c r="R869" s="472">
        <f t="shared" si="660"/>
        <v>361582405.12244838</v>
      </c>
      <c r="S869" s="1189">
        <f t="shared" si="661"/>
        <v>2009</v>
      </c>
      <c r="T869" s="470">
        <f t="shared" si="662"/>
        <v>1</v>
      </c>
      <c r="U869" s="612">
        <f t="shared" si="663"/>
        <v>361582405.12244838</v>
      </c>
      <c r="V869" s="464">
        <f t="shared" si="664"/>
        <v>2009</v>
      </c>
      <c r="W869" s="612">
        <f t="shared" si="665"/>
        <v>3254241646.1020355</v>
      </c>
      <c r="X869" s="561"/>
      <c r="Y869" s="449"/>
      <c r="Z869" s="449"/>
      <c r="AA869" s="554"/>
      <c r="AB869" s="452"/>
      <c r="AC869" s="452"/>
      <c r="AD869" s="566"/>
      <c r="AE869" s="452"/>
      <c r="AF869" s="571"/>
      <c r="AG869" s="452"/>
      <c r="AH869" s="452"/>
      <c r="AI869" s="453"/>
      <c r="AJ869" s="449"/>
      <c r="AK869" s="453"/>
      <c r="AL869" s="454"/>
      <c r="AM869" s="455"/>
      <c r="AN869" s="456"/>
      <c r="AO869" s="455"/>
      <c r="AP869" s="452"/>
      <c r="AQ869" s="457"/>
      <c r="AR869" s="449"/>
      <c r="AS869" s="449"/>
      <c r="AT869" s="452"/>
      <c r="AU869" s="457"/>
      <c r="AV869" s="449"/>
      <c r="AW869" s="458"/>
      <c r="AX869" s="452"/>
      <c r="AY869" s="457"/>
      <c r="AZ869" s="449"/>
      <c r="BA869" s="459"/>
      <c r="BB869" s="455"/>
      <c r="BC869" s="460"/>
      <c r="BD869" s="460"/>
      <c r="BG869" s="462"/>
    </row>
    <row r="870" spans="1:59" s="461" customFormat="1" ht="18" customHeight="1" x14ac:dyDescent="0.2">
      <c r="A870" s="1368" t="str">
        <f t="shared" si="650"/>
        <v>BASERAH - PERHENTIAN LUAS2010</v>
      </c>
      <c r="B870" s="1373">
        <v>5</v>
      </c>
      <c r="C870" s="488" t="s">
        <v>5142</v>
      </c>
      <c r="D870" s="489"/>
      <c r="E870" s="558"/>
      <c r="F870" s="559">
        <v>2010</v>
      </c>
      <c r="G870" s="619">
        <v>289786013.50989223</v>
      </c>
      <c r="H870" s="464">
        <f t="shared" si="651"/>
        <v>9</v>
      </c>
      <c r="I870" s="560"/>
      <c r="J870" s="468">
        <f t="shared" si="652"/>
        <v>2019</v>
      </c>
      <c r="K870" s="490">
        <f t="shared" si="653"/>
        <v>8.9048707817073428E-2</v>
      </c>
      <c r="L870" s="469">
        <f t="shared" si="654"/>
        <v>2</v>
      </c>
      <c r="M870" s="683">
        <f t="shared" si="655"/>
        <v>1</v>
      </c>
      <c r="N870" s="470">
        <f t="shared" si="656"/>
        <v>10</v>
      </c>
      <c r="O870" s="468">
        <f t="shared" si="657"/>
        <v>2019</v>
      </c>
      <c r="P870" s="616">
        <f t="shared" si="658"/>
        <v>3254241646.1020355</v>
      </c>
      <c r="Q870" s="472">
        <f t="shared" si="659"/>
        <v>3544027659.611928</v>
      </c>
      <c r="R870" s="472">
        <f t="shared" si="660"/>
        <v>354402765.96119279</v>
      </c>
      <c r="S870" s="1189">
        <f t="shared" si="661"/>
        <v>2010</v>
      </c>
      <c r="T870" s="470">
        <f t="shared" si="662"/>
        <v>1</v>
      </c>
      <c r="U870" s="612">
        <f t="shared" si="663"/>
        <v>354402765.96119279</v>
      </c>
      <c r="V870" s="464">
        <f t="shared" si="664"/>
        <v>2010</v>
      </c>
      <c r="W870" s="612">
        <f t="shared" si="665"/>
        <v>3189624893.6507354</v>
      </c>
      <c r="X870" s="561"/>
      <c r="Y870" s="449"/>
      <c r="Z870" s="449"/>
      <c r="AA870" s="554"/>
      <c r="AB870" s="452"/>
      <c r="AC870" s="452"/>
      <c r="AD870" s="566"/>
      <c r="AE870" s="452"/>
      <c r="AF870" s="571"/>
      <c r="AG870" s="452"/>
      <c r="AH870" s="452"/>
      <c r="AI870" s="453"/>
      <c r="AJ870" s="449"/>
      <c r="AK870" s="453"/>
      <c r="AL870" s="454"/>
      <c r="AM870" s="455"/>
      <c r="AN870" s="456"/>
      <c r="AO870" s="455"/>
      <c r="AP870" s="452"/>
      <c r="AQ870" s="457"/>
      <c r="AR870" s="449"/>
      <c r="AS870" s="449"/>
      <c r="AT870" s="452"/>
      <c r="AU870" s="457"/>
      <c r="AV870" s="449"/>
      <c r="AW870" s="458"/>
      <c r="AX870" s="452"/>
      <c r="AY870" s="457"/>
      <c r="AZ870" s="449"/>
      <c r="BA870" s="459"/>
      <c r="BB870" s="455"/>
      <c r="BC870" s="460"/>
      <c r="BD870" s="460"/>
      <c r="BG870" s="462"/>
    </row>
    <row r="871" spans="1:59" s="461" customFormat="1" ht="18" customHeight="1" x14ac:dyDescent="0.2">
      <c r="A871" s="1368" t="str">
        <f t="shared" si="650"/>
        <v>BASERAH - PERHENTIAN LUAS2011</v>
      </c>
      <c r="B871" s="1373">
        <v>6</v>
      </c>
      <c r="C871" s="488" t="s">
        <v>1220</v>
      </c>
      <c r="D871" s="489" t="s">
        <v>2494</v>
      </c>
      <c r="E871" s="558"/>
      <c r="F871" s="559">
        <v>2011</v>
      </c>
      <c r="G871" s="619">
        <v>3257404911.7153997</v>
      </c>
      <c r="H871" s="464">
        <f t="shared" si="651"/>
        <v>9</v>
      </c>
      <c r="I871" s="560"/>
      <c r="J871" s="468">
        <f t="shared" si="652"/>
        <v>2020</v>
      </c>
      <c r="K871" s="490">
        <f t="shared" si="653"/>
        <v>1.0212501533329474</v>
      </c>
      <c r="L871" s="469">
        <f t="shared" si="654"/>
        <v>10</v>
      </c>
      <c r="M871" s="683">
        <f t="shared" si="655"/>
        <v>1</v>
      </c>
      <c r="N871" s="470">
        <f t="shared" si="656"/>
        <v>10</v>
      </c>
      <c r="O871" s="468">
        <f t="shared" si="657"/>
        <v>2020</v>
      </c>
      <c r="P871" s="616">
        <f t="shared" si="658"/>
        <v>3189624893.6507354</v>
      </c>
      <c r="Q871" s="472">
        <f t="shared" si="659"/>
        <v>6447029805.3661346</v>
      </c>
      <c r="R871" s="472">
        <f t="shared" si="660"/>
        <v>644702980.53661346</v>
      </c>
      <c r="S871" s="1189">
        <f t="shared" si="661"/>
        <v>2011</v>
      </c>
      <c r="T871" s="470">
        <f t="shared" si="662"/>
        <v>1</v>
      </c>
      <c r="U871" s="612">
        <f t="shared" si="663"/>
        <v>644702980.53661346</v>
      </c>
      <c r="V871" s="464">
        <f t="shared" si="664"/>
        <v>2011</v>
      </c>
      <c r="W871" s="612">
        <f t="shared" si="665"/>
        <v>5802326824.8295212</v>
      </c>
      <c r="X871" s="561"/>
      <c r="Y871" s="449"/>
      <c r="Z871" s="449"/>
      <c r="AA871" s="554"/>
      <c r="AB871" s="452"/>
      <c r="AC871" s="452"/>
      <c r="AD871" s="566"/>
      <c r="AE871" s="452"/>
      <c r="AF871" s="571"/>
      <c r="AG871" s="452"/>
      <c r="AH871" s="452"/>
      <c r="AI871" s="453"/>
      <c r="AJ871" s="449"/>
      <c r="AK871" s="453"/>
      <c r="AL871" s="454"/>
      <c r="AM871" s="455"/>
      <c r="AN871" s="456"/>
      <c r="AO871" s="455"/>
      <c r="AP871" s="452"/>
      <c r="AQ871" s="457"/>
      <c r="AR871" s="449"/>
      <c r="AS871" s="449"/>
      <c r="AT871" s="452"/>
      <c r="AU871" s="457"/>
      <c r="AV871" s="449"/>
      <c r="AW871" s="458"/>
      <c r="AX871" s="452"/>
      <c r="AY871" s="457"/>
      <c r="AZ871" s="449"/>
      <c r="BA871" s="459"/>
      <c r="BB871" s="455"/>
      <c r="BC871" s="460"/>
      <c r="BD871" s="460"/>
      <c r="BG871" s="462"/>
    </row>
    <row r="872" spans="1:59" s="486" customFormat="1" ht="18" customHeight="1" x14ac:dyDescent="0.2">
      <c r="A872" s="1368" t="str">
        <f t="shared" si="650"/>
        <v>BASERAH - PERHENTIAN LUAS2012</v>
      </c>
      <c r="B872" s="1373">
        <v>7</v>
      </c>
      <c r="C872" s="488" t="s">
        <v>1260</v>
      </c>
      <c r="D872" s="489" t="s">
        <v>2494</v>
      </c>
      <c r="E872" s="558"/>
      <c r="F872" s="559">
        <v>2012</v>
      </c>
      <c r="G872" s="619">
        <v>1536783053.2370956</v>
      </c>
      <c r="H872" s="464">
        <f t="shared" si="651"/>
        <v>9</v>
      </c>
      <c r="I872" s="560"/>
      <c r="J872" s="468">
        <f t="shared" si="652"/>
        <v>2021</v>
      </c>
      <c r="K872" s="490">
        <f t="shared" si="653"/>
        <v>0.26485634119416362</v>
      </c>
      <c r="L872" s="469">
        <f t="shared" si="654"/>
        <v>2</v>
      </c>
      <c r="M872" s="683">
        <f t="shared" si="655"/>
        <v>1</v>
      </c>
      <c r="N872" s="470">
        <f t="shared" si="656"/>
        <v>10</v>
      </c>
      <c r="O872" s="468">
        <f t="shared" si="657"/>
        <v>2021</v>
      </c>
      <c r="P872" s="616">
        <f t="shared" si="658"/>
        <v>5802326824.8295212</v>
      </c>
      <c r="Q872" s="472">
        <f t="shared" si="659"/>
        <v>7339109878.066617</v>
      </c>
      <c r="R872" s="472">
        <f t="shared" si="660"/>
        <v>733910987.80666173</v>
      </c>
      <c r="S872" s="1189">
        <f t="shared" si="661"/>
        <v>2012</v>
      </c>
      <c r="T872" s="470">
        <f t="shared" si="662"/>
        <v>1</v>
      </c>
      <c r="U872" s="612">
        <f t="shared" si="663"/>
        <v>733910987.80666173</v>
      </c>
      <c r="V872" s="464">
        <f t="shared" si="664"/>
        <v>2012</v>
      </c>
      <c r="W872" s="612">
        <f t="shared" si="665"/>
        <v>6605198890.2599554</v>
      </c>
      <c r="X872" s="473"/>
      <c r="Y872" s="474"/>
      <c r="Z872" s="449"/>
      <c r="AA872" s="475" t="s">
        <v>4180</v>
      </c>
      <c r="AB872" s="476"/>
      <c r="AC872" s="476"/>
      <c r="AD872" s="567">
        <f>G882</f>
        <v>11165358345.561752</v>
      </c>
      <c r="AE872" s="476"/>
      <c r="AF872" s="568"/>
      <c r="AG872" s="476"/>
      <c r="AH872" s="476"/>
      <c r="AI872" s="477"/>
      <c r="AJ872" s="478"/>
      <c r="AK872" s="479"/>
      <c r="AL872" s="480"/>
      <c r="AM872" s="474"/>
      <c r="AN872" s="481"/>
      <c r="AO872" s="474"/>
      <c r="AP872" s="476"/>
      <c r="AQ872" s="482"/>
      <c r="AR872" s="478"/>
      <c r="AS872" s="478"/>
      <c r="AT872" s="476"/>
      <c r="AU872" s="482"/>
      <c r="AV872" s="478"/>
      <c r="AW872" s="483"/>
      <c r="AX872" s="476"/>
      <c r="AY872" s="482"/>
      <c r="AZ872" s="478"/>
      <c r="BA872" s="484"/>
      <c r="BB872" s="474"/>
      <c r="BC872" s="485"/>
      <c r="BD872" s="485"/>
      <c r="BG872" s="487"/>
    </row>
    <row r="873" spans="1:59" s="486" customFormat="1" ht="18" customHeight="1" x14ac:dyDescent="0.2">
      <c r="A873" s="1368" t="str">
        <f t="shared" si="650"/>
        <v>BASERAH - PERHENTIAN LUAS2013</v>
      </c>
      <c r="B873" s="1373"/>
      <c r="C873" s="488"/>
      <c r="D873" s="489"/>
      <c r="E873" s="558"/>
      <c r="F873" s="559">
        <v>2013</v>
      </c>
      <c r="G873" s="619">
        <v>0</v>
      </c>
      <c r="H873" s="464">
        <f t="shared" si="651"/>
        <v>9</v>
      </c>
      <c r="I873" s="560"/>
      <c r="J873" s="468">
        <f t="shared" si="652"/>
        <v>2021</v>
      </c>
      <c r="K873" s="490">
        <f t="shared" si="653"/>
        <v>0</v>
      </c>
      <c r="L873" s="469">
        <f t="shared" si="654"/>
        <v>0</v>
      </c>
      <c r="M873" s="683">
        <f t="shared" si="655"/>
        <v>0</v>
      </c>
      <c r="N873" s="470">
        <f t="shared" si="656"/>
        <v>9</v>
      </c>
      <c r="O873" s="468">
        <f t="shared" si="657"/>
        <v>2021</v>
      </c>
      <c r="P873" s="616">
        <f t="shared" si="658"/>
        <v>6605198890.2599554</v>
      </c>
      <c r="Q873" s="472">
        <f t="shared" si="659"/>
        <v>6605198890.2599554</v>
      </c>
      <c r="R873" s="472">
        <f t="shared" si="660"/>
        <v>733910987.80666173</v>
      </c>
      <c r="S873" s="1189">
        <f t="shared" si="661"/>
        <v>2013</v>
      </c>
      <c r="T873" s="470">
        <f t="shared" si="662"/>
        <v>1</v>
      </c>
      <c r="U873" s="612">
        <f t="shared" si="663"/>
        <v>733910987.80666173</v>
      </c>
      <c r="V873" s="464">
        <f t="shared" si="664"/>
        <v>2013</v>
      </c>
      <c r="W873" s="612">
        <f t="shared" si="665"/>
        <v>5871287902.4532938</v>
      </c>
      <c r="X873" s="473"/>
      <c r="Y873" s="478"/>
      <c r="Z873" s="449"/>
      <c r="AA873" s="475" t="s">
        <v>4181</v>
      </c>
      <c r="AB873" s="491"/>
      <c r="AC873" s="491"/>
      <c r="AD873" s="567">
        <f>U882</f>
        <v>9697536369.948431</v>
      </c>
      <c r="AE873" s="491"/>
      <c r="AF873" s="568"/>
      <c r="AG873" s="491"/>
      <c r="AH873" s="491"/>
      <c r="AI873" s="477"/>
      <c r="AJ873" s="478"/>
      <c r="AK873" s="479"/>
      <c r="AL873" s="480"/>
      <c r="AM873" s="474"/>
      <c r="AN873" s="481"/>
      <c r="AO873" s="474"/>
      <c r="AP873" s="476"/>
      <c r="AQ873" s="482"/>
      <c r="AR873" s="478"/>
      <c r="AS873" s="478"/>
      <c r="AT873" s="476"/>
      <c r="AU873" s="482"/>
      <c r="AV873" s="478"/>
      <c r="AW873" s="483"/>
      <c r="AX873" s="476"/>
      <c r="AY873" s="482"/>
      <c r="AZ873" s="478"/>
      <c r="BA873" s="484"/>
      <c r="BB873" s="474"/>
      <c r="BC873" s="485"/>
      <c r="BD873" s="485"/>
      <c r="BG873" s="487"/>
    </row>
    <row r="874" spans="1:59" s="486" customFormat="1" ht="18" customHeight="1" x14ac:dyDescent="0.2">
      <c r="A874" s="1368" t="str">
        <f t="shared" si="650"/>
        <v>BASERAH - PERHENTIAN LUAS2014</v>
      </c>
      <c r="B874" s="1373"/>
      <c r="C874" s="463"/>
      <c r="D874" s="489"/>
      <c r="E874" s="465"/>
      <c r="F874" s="559">
        <v>2014</v>
      </c>
      <c r="G874" s="619">
        <v>0</v>
      </c>
      <c r="H874" s="464">
        <f t="shared" si="651"/>
        <v>8</v>
      </c>
      <c r="I874" s="560"/>
      <c r="J874" s="468">
        <f t="shared" si="652"/>
        <v>2021</v>
      </c>
      <c r="K874" s="490">
        <f t="shared" si="653"/>
        <v>0</v>
      </c>
      <c r="L874" s="469">
        <f t="shared" si="654"/>
        <v>0</v>
      </c>
      <c r="M874" s="683">
        <f t="shared" si="655"/>
        <v>0</v>
      </c>
      <c r="N874" s="470">
        <f t="shared" si="656"/>
        <v>8</v>
      </c>
      <c r="O874" s="468">
        <f t="shared" si="657"/>
        <v>2021</v>
      </c>
      <c r="P874" s="616">
        <f t="shared" si="658"/>
        <v>5871287902.4532938</v>
      </c>
      <c r="Q874" s="472">
        <f t="shared" si="659"/>
        <v>5871287902.4532938</v>
      </c>
      <c r="R874" s="472">
        <f t="shared" si="660"/>
        <v>733910987.80666173</v>
      </c>
      <c r="S874" s="1189">
        <f t="shared" si="661"/>
        <v>2014</v>
      </c>
      <c r="T874" s="470">
        <f t="shared" si="662"/>
        <v>1</v>
      </c>
      <c r="U874" s="612">
        <f t="shared" si="663"/>
        <v>733910987.80666173</v>
      </c>
      <c r="V874" s="464">
        <f t="shared" si="664"/>
        <v>2014</v>
      </c>
      <c r="W874" s="612">
        <f t="shared" si="665"/>
        <v>5137376914.6466322</v>
      </c>
      <c r="X874" s="473"/>
      <c r="Y874" s="478"/>
      <c r="Z874" s="449"/>
      <c r="AA874" s="492" t="s">
        <v>4182</v>
      </c>
      <c r="AB874" s="476"/>
      <c r="AC874" s="476"/>
      <c r="AD874" s="567">
        <f>AD872-AD873</f>
        <v>1467821975.6133213</v>
      </c>
      <c r="AE874" s="476"/>
      <c r="AF874" s="568"/>
      <c r="AG874" s="476"/>
      <c r="AH874" s="476"/>
      <c r="AI874" s="477"/>
      <c r="AJ874" s="478"/>
      <c r="AK874" s="479"/>
      <c r="AL874" s="480"/>
      <c r="AM874" s="474"/>
      <c r="AN874" s="481"/>
      <c r="AO874" s="474"/>
      <c r="AP874" s="476"/>
      <c r="AQ874" s="482"/>
      <c r="AR874" s="478"/>
      <c r="AS874" s="478"/>
      <c r="AT874" s="476"/>
      <c r="AU874" s="482"/>
      <c r="AV874" s="478"/>
      <c r="AW874" s="483"/>
      <c r="AX874" s="476"/>
      <c r="AY874" s="482"/>
      <c r="AZ874" s="478"/>
      <c r="BA874" s="484"/>
      <c r="BB874" s="474"/>
      <c r="BC874" s="485"/>
      <c r="BD874" s="485"/>
      <c r="BG874" s="487"/>
    </row>
    <row r="875" spans="1:59" s="486" customFormat="1" ht="18" customHeight="1" x14ac:dyDescent="0.2">
      <c r="A875" s="1368" t="str">
        <f t="shared" si="650"/>
        <v>BASERAH - PERHENTIAN LUAS2015</v>
      </c>
      <c r="B875" s="687"/>
      <c r="C875" s="463"/>
      <c r="D875" s="489"/>
      <c r="E875" s="465"/>
      <c r="F875" s="559">
        <v>2015</v>
      </c>
      <c r="G875" s="619">
        <v>0</v>
      </c>
      <c r="H875" s="464">
        <f t="shared" si="651"/>
        <v>7</v>
      </c>
      <c r="I875" s="560"/>
      <c r="J875" s="468">
        <f t="shared" si="652"/>
        <v>2021</v>
      </c>
      <c r="K875" s="490">
        <f t="shared" si="653"/>
        <v>0</v>
      </c>
      <c r="L875" s="469">
        <f t="shared" si="654"/>
        <v>0</v>
      </c>
      <c r="M875" s="683">
        <f t="shared" si="655"/>
        <v>0</v>
      </c>
      <c r="N875" s="470">
        <f t="shared" si="656"/>
        <v>7</v>
      </c>
      <c r="O875" s="468">
        <f t="shared" si="657"/>
        <v>2021</v>
      </c>
      <c r="P875" s="616">
        <f t="shared" si="658"/>
        <v>5137376914.6466322</v>
      </c>
      <c r="Q875" s="472">
        <f t="shared" si="659"/>
        <v>5137376914.6466322</v>
      </c>
      <c r="R875" s="472">
        <f t="shared" si="660"/>
        <v>733910987.80666173</v>
      </c>
      <c r="S875" s="1189">
        <f t="shared" si="661"/>
        <v>2015</v>
      </c>
      <c r="T875" s="470">
        <f t="shared" si="662"/>
        <v>1</v>
      </c>
      <c r="U875" s="612">
        <f t="shared" si="663"/>
        <v>733910987.80666173</v>
      </c>
      <c r="V875" s="464">
        <f t="shared" si="664"/>
        <v>2015</v>
      </c>
      <c r="W875" s="612">
        <f t="shared" si="665"/>
        <v>4403465926.8399706</v>
      </c>
      <c r="X875" s="473"/>
      <c r="Y875" s="478"/>
      <c r="Z875" s="449"/>
      <c r="AA875" s="531" t="s">
        <v>4183</v>
      </c>
      <c r="AB875" s="496"/>
      <c r="AC875" s="496"/>
      <c r="AD875" s="569">
        <f>AD874-W882</f>
        <v>0</v>
      </c>
      <c r="AE875" s="476"/>
      <c r="AF875" s="568"/>
      <c r="AG875" s="476"/>
      <c r="AH875" s="476"/>
      <c r="AI875" s="477"/>
      <c r="AJ875" s="478"/>
      <c r="AK875" s="479"/>
      <c r="AL875" s="480"/>
      <c r="AM875" s="474"/>
      <c r="AN875" s="481"/>
      <c r="AO875" s="474"/>
      <c r="AP875" s="476"/>
      <c r="AQ875" s="482"/>
      <c r="AR875" s="478"/>
      <c r="AS875" s="478"/>
      <c r="AT875" s="476"/>
      <c r="AU875" s="482"/>
      <c r="AV875" s="478"/>
      <c r="AW875" s="483"/>
      <c r="AX875" s="476"/>
      <c r="AY875" s="482"/>
      <c r="AZ875" s="478"/>
      <c r="BA875" s="484"/>
      <c r="BB875" s="474"/>
      <c r="BC875" s="485"/>
      <c r="BD875" s="485"/>
      <c r="BG875" s="487"/>
    </row>
    <row r="876" spans="1:59" s="486" customFormat="1" ht="18" customHeight="1" x14ac:dyDescent="0.2">
      <c r="A876" s="1368" t="str">
        <f t="shared" si="650"/>
        <v>BASERAH - PERHENTIAN LUAS2016</v>
      </c>
      <c r="B876" s="687"/>
      <c r="C876" s="463"/>
      <c r="D876" s="489"/>
      <c r="E876" s="465"/>
      <c r="F876" s="559">
        <v>2016</v>
      </c>
      <c r="G876" s="619">
        <v>0</v>
      </c>
      <c r="H876" s="464">
        <f t="shared" si="651"/>
        <v>6</v>
      </c>
      <c r="I876" s="560"/>
      <c r="J876" s="468">
        <f t="shared" si="652"/>
        <v>2021</v>
      </c>
      <c r="K876" s="490">
        <f t="shared" si="653"/>
        <v>0</v>
      </c>
      <c r="L876" s="469">
        <f t="shared" si="654"/>
        <v>0</v>
      </c>
      <c r="M876" s="683">
        <f t="shared" si="655"/>
        <v>0</v>
      </c>
      <c r="N876" s="470">
        <f t="shared" si="656"/>
        <v>6</v>
      </c>
      <c r="O876" s="468">
        <f t="shared" si="657"/>
        <v>2021</v>
      </c>
      <c r="P876" s="616">
        <f t="shared" si="658"/>
        <v>4403465926.8399706</v>
      </c>
      <c r="Q876" s="472">
        <f t="shared" si="659"/>
        <v>4403465926.8399706</v>
      </c>
      <c r="R876" s="472">
        <f t="shared" si="660"/>
        <v>733910987.80666173</v>
      </c>
      <c r="S876" s="1189">
        <f t="shared" si="661"/>
        <v>2016</v>
      </c>
      <c r="T876" s="470">
        <f t="shared" si="662"/>
        <v>1</v>
      </c>
      <c r="U876" s="612">
        <f t="shared" si="663"/>
        <v>733910987.80666173</v>
      </c>
      <c r="V876" s="464">
        <f t="shared" si="664"/>
        <v>2016</v>
      </c>
      <c r="W876" s="612">
        <f t="shared" si="665"/>
        <v>3669554939.033309</v>
      </c>
      <c r="X876" s="473"/>
      <c r="Y876" s="478"/>
      <c r="Z876" s="449"/>
      <c r="AA876" s="573"/>
      <c r="AB876" s="476"/>
      <c r="AC876" s="476"/>
      <c r="AD876" s="568"/>
      <c r="AE876" s="476"/>
      <c r="AF876" s="568"/>
      <c r="AG876" s="476"/>
      <c r="AH876" s="476"/>
      <c r="AI876" s="477"/>
      <c r="AJ876" s="478"/>
      <c r="AK876" s="479"/>
      <c r="AL876" s="480"/>
      <c r="AM876" s="474"/>
      <c r="AN876" s="481"/>
      <c r="AO876" s="474"/>
      <c r="AP876" s="476"/>
      <c r="AQ876" s="482"/>
      <c r="AR876" s="478"/>
      <c r="AS876" s="478"/>
      <c r="AT876" s="476"/>
      <c r="AU876" s="482"/>
      <c r="AV876" s="478"/>
      <c r="AW876" s="483"/>
      <c r="AX876" s="476"/>
      <c r="AY876" s="482"/>
      <c r="AZ876" s="478"/>
      <c r="BA876" s="484"/>
      <c r="BB876" s="474"/>
      <c r="BC876" s="485"/>
      <c r="BD876" s="485"/>
      <c r="BG876" s="487"/>
    </row>
    <row r="877" spans="1:59" s="486" customFormat="1" ht="18" customHeight="1" x14ac:dyDescent="0.2">
      <c r="A877" s="1368" t="str">
        <f t="shared" si="650"/>
        <v>BASERAH - PERHENTIAN LUAS2017</v>
      </c>
      <c r="B877" s="687"/>
      <c r="C877" s="463"/>
      <c r="D877" s="489"/>
      <c r="E877" s="465"/>
      <c r="F877" s="559">
        <v>2017</v>
      </c>
      <c r="G877" s="619">
        <v>0</v>
      </c>
      <c r="H877" s="464">
        <f t="shared" si="651"/>
        <v>5</v>
      </c>
      <c r="I877" s="560"/>
      <c r="J877" s="468">
        <f t="shared" si="652"/>
        <v>2021</v>
      </c>
      <c r="K877" s="490">
        <f t="shared" si="653"/>
        <v>0</v>
      </c>
      <c r="L877" s="469">
        <f t="shared" si="654"/>
        <v>0</v>
      </c>
      <c r="M877" s="683">
        <f t="shared" si="655"/>
        <v>0</v>
      </c>
      <c r="N877" s="470">
        <f t="shared" si="656"/>
        <v>5</v>
      </c>
      <c r="O877" s="468">
        <f t="shared" si="657"/>
        <v>2021</v>
      </c>
      <c r="P877" s="616">
        <f t="shared" si="658"/>
        <v>3669554939.033309</v>
      </c>
      <c r="Q877" s="472">
        <f t="shared" si="659"/>
        <v>3669554939.033309</v>
      </c>
      <c r="R877" s="472">
        <f t="shared" si="660"/>
        <v>733910987.80666173</v>
      </c>
      <c r="S877" s="1189">
        <f t="shared" si="661"/>
        <v>2017</v>
      </c>
      <c r="T877" s="470">
        <f t="shared" si="662"/>
        <v>1</v>
      </c>
      <c r="U877" s="612">
        <f t="shared" si="663"/>
        <v>733910987.80666173</v>
      </c>
      <c r="V877" s="464">
        <f t="shared" si="664"/>
        <v>2017</v>
      </c>
      <c r="W877" s="612">
        <f t="shared" si="665"/>
        <v>2935643951.2266474</v>
      </c>
      <c r="X877" s="473"/>
      <c r="Y877" s="478"/>
      <c r="Z877" s="449"/>
      <c r="AA877" s="573"/>
      <c r="AB877" s="476"/>
      <c r="AC877" s="476"/>
      <c r="AD877" s="568"/>
      <c r="AE877" s="476"/>
      <c r="AF877" s="568"/>
      <c r="AG877" s="476"/>
      <c r="AH877" s="476"/>
      <c r="AI877" s="477"/>
      <c r="AJ877" s="478"/>
      <c r="AK877" s="479"/>
      <c r="AL877" s="480"/>
      <c r="AM877" s="474"/>
      <c r="AN877" s="481"/>
      <c r="AO877" s="474"/>
      <c r="AP877" s="476"/>
      <c r="AQ877" s="482"/>
      <c r="AR877" s="478"/>
      <c r="AS877" s="478"/>
      <c r="AT877" s="476"/>
      <c r="AU877" s="482"/>
      <c r="AV877" s="478"/>
      <c r="AW877" s="483"/>
      <c r="AX877" s="476"/>
      <c r="AY877" s="482"/>
      <c r="AZ877" s="478"/>
      <c r="BA877" s="484"/>
      <c r="BB877" s="474"/>
      <c r="BC877" s="485"/>
      <c r="BD877" s="485"/>
      <c r="BG877" s="487"/>
    </row>
    <row r="878" spans="1:59" s="486" customFormat="1" ht="18" customHeight="1" x14ac:dyDescent="0.2">
      <c r="A878" s="1368" t="str">
        <f t="shared" si="650"/>
        <v>BASERAH - PERHENTIAN LUAS2018</v>
      </c>
      <c r="B878" s="687"/>
      <c r="C878" s="463"/>
      <c r="D878" s="489"/>
      <c r="E878" s="465"/>
      <c r="F878" s="559">
        <v>2018</v>
      </c>
      <c r="G878" s="619">
        <v>0</v>
      </c>
      <c r="H878" s="464">
        <f t="shared" si="651"/>
        <v>4</v>
      </c>
      <c r="I878" s="560"/>
      <c r="J878" s="468">
        <f t="shared" si="652"/>
        <v>2021</v>
      </c>
      <c r="K878" s="490">
        <f t="shared" si="653"/>
        <v>0</v>
      </c>
      <c r="L878" s="469">
        <f t="shared" si="654"/>
        <v>0</v>
      </c>
      <c r="M878" s="683">
        <f t="shared" si="655"/>
        <v>0</v>
      </c>
      <c r="N878" s="470">
        <f t="shared" si="656"/>
        <v>4</v>
      </c>
      <c r="O878" s="468">
        <f t="shared" si="657"/>
        <v>2021</v>
      </c>
      <c r="P878" s="616">
        <f t="shared" si="658"/>
        <v>2935643951.2266474</v>
      </c>
      <c r="Q878" s="472">
        <f t="shared" si="659"/>
        <v>2935643951.2266474</v>
      </c>
      <c r="R878" s="472">
        <f t="shared" si="660"/>
        <v>733910987.80666173</v>
      </c>
      <c r="S878" s="1189">
        <f t="shared" si="661"/>
        <v>2018</v>
      </c>
      <c r="T878" s="470">
        <f t="shared" si="662"/>
        <v>1</v>
      </c>
      <c r="U878" s="612">
        <f t="shared" si="663"/>
        <v>733910987.80666173</v>
      </c>
      <c r="V878" s="464">
        <f t="shared" si="664"/>
        <v>2018</v>
      </c>
      <c r="W878" s="612">
        <f t="shared" si="665"/>
        <v>2201732963.4199858</v>
      </c>
      <c r="X878" s="473"/>
      <c r="Y878" s="478"/>
      <c r="Z878" s="449"/>
      <c r="AA878" s="573"/>
      <c r="AB878" s="476"/>
      <c r="AC878" s="476"/>
      <c r="AD878" s="568"/>
      <c r="AE878" s="476"/>
      <c r="AF878" s="568"/>
      <c r="AG878" s="476"/>
      <c r="AH878" s="476"/>
      <c r="AI878" s="477"/>
      <c r="AJ878" s="478"/>
      <c r="AK878" s="479"/>
      <c r="AL878" s="480"/>
      <c r="AM878" s="474"/>
      <c r="AN878" s="481"/>
      <c r="AO878" s="474"/>
      <c r="AP878" s="476"/>
      <c r="AQ878" s="482"/>
      <c r="AR878" s="478"/>
      <c r="AS878" s="478"/>
      <c r="AT878" s="476"/>
      <c r="AU878" s="482"/>
      <c r="AV878" s="478"/>
      <c r="AW878" s="483"/>
      <c r="AX878" s="476"/>
      <c r="AY878" s="482"/>
      <c r="AZ878" s="478"/>
      <c r="BA878" s="484"/>
      <c r="BB878" s="474"/>
      <c r="BC878" s="485"/>
      <c r="BD878" s="485"/>
      <c r="BG878" s="487"/>
    </row>
    <row r="879" spans="1:59" s="486" customFormat="1" ht="18" customHeight="1" x14ac:dyDescent="0.2">
      <c r="A879" s="1368" t="str">
        <f t="shared" si="650"/>
        <v>BASERAH - PERHENTIAN LUAS2019</v>
      </c>
      <c r="B879" s="687"/>
      <c r="C879" s="463"/>
      <c r="D879" s="489"/>
      <c r="E879" s="465"/>
      <c r="F879" s="559">
        <v>2019</v>
      </c>
      <c r="G879" s="619">
        <v>0</v>
      </c>
      <c r="H879" s="464">
        <f>IF(N878-(F879-F878)&lt;=0,0,(N878-(F879-F878)))</f>
        <v>3</v>
      </c>
      <c r="I879" s="560"/>
      <c r="J879" s="468">
        <f>F879+N879-1</f>
        <v>2021</v>
      </c>
      <c r="K879" s="490">
        <f>IF(G879=0,0,IF(H879=10,100%,G879/W878))</f>
        <v>0</v>
      </c>
      <c r="L879" s="469">
        <f>IF(K879=0%,0,IF(K879&lt;=30%,2,IF(K879&lt;=60%,5,10)))</f>
        <v>0</v>
      </c>
      <c r="M879" s="683">
        <f>IF(OR(AND(ISBLANK(E879),ISBLANK(G879)),ISTEXT(E879),ISTEXT(G879)),"",IF(H879+L879&gt;$H$8,$H$8-H879,L879))</f>
        <v>0</v>
      </c>
      <c r="N879" s="470">
        <f>IF(OR(AND(ISBLANK(F879),ISBLANK(G879)),ISTEXT(F879),ISTEXT(G879)),"",H879+M879)</f>
        <v>3</v>
      </c>
      <c r="O879" s="468">
        <f>F879+N879-1</f>
        <v>2021</v>
      </c>
      <c r="P879" s="616">
        <f>W878</f>
        <v>2201732963.4199858</v>
      </c>
      <c r="Q879" s="472">
        <f>P879+G879</f>
        <v>2201732963.4199858</v>
      </c>
      <c r="R879" s="472">
        <f>IF(L879=0,R878,Q879/N879)</f>
        <v>733910987.80666173</v>
      </c>
      <c r="S879" s="1189">
        <f>F879</f>
        <v>2019</v>
      </c>
      <c r="T879" s="470">
        <f>S879-S878</f>
        <v>1</v>
      </c>
      <c r="U879" s="612">
        <f>R879*T879</f>
        <v>733910987.80666173</v>
      </c>
      <c r="V879" s="464">
        <f>F879</f>
        <v>2019</v>
      </c>
      <c r="W879" s="612">
        <f>IF(OR(AND(ISBLANK(E879),ISBLANK(G879)),ISTEXT(E879),ISTEXT(G879)),"",Q879-U879)</f>
        <v>1467821975.6133242</v>
      </c>
      <c r="X879" s="473"/>
      <c r="Y879" s="478"/>
      <c r="Z879" s="449"/>
      <c r="AA879" s="573"/>
      <c r="AB879" s="476"/>
      <c r="AC879" s="476"/>
      <c r="AD879" s="568"/>
      <c r="AE879" s="476"/>
      <c r="AF879" s="568"/>
      <c r="AG879" s="476"/>
      <c r="AH879" s="476"/>
      <c r="AI879" s="477"/>
      <c r="AJ879" s="478"/>
      <c r="AK879" s="479"/>
      <c r="AL879" s="480"/>
      <c r="AM879" s="474"/>
      <c r="AN879" s="481"/>
      <c r="AO879" s="474"/>
      <c r="AP879" s="476"/>
      <c r="AQ879" s="482"/>
      <c r="AR879" s="478"/>
      <c r="AS879" s="478"/>
      <c r="AT879" s="476"/>
      <c r="AU879" s="482"/>
      <c r="AV879" s="478"/>
      <c r="AW879" s="483"/>
      <c r="AX879" s="476"/>
      <c r="AY879" s="482"/>
      <c r="AZ879" s="478"/>
      <c r="BA879" s="484"/>
      <c r="BB879" s="474"/>
      <c r="BC879" s="485"/>
      <c r="BD879" s="485"/>
      <c r="BG879" s="487"/>
    </row>
    <row r="880" spans="1:59" s="486" customFormat="1" ht="18" customHeight="1" x14ac:dyDescent="0.2">
      <c r="A880" s="1368"/>
      <c r="B880" s="687"/>
      <c r="C880" s="463"/>
      <c r="D880" s="489"/>
      <c r="E880" s="465"/>
      <c r="F880" s="559"/>
      <c r="G880" s="619"/>
      <c r="H880" s="464"/>
      <c r="I880" s="467"/>
      <c r="J880" s="468"/>
      <c r="K880" s="490"/>
      <c r="L880" s="469"/>
      <c r="M880" s="683"/>
      <c r="N880" s="470"/>
      <c r="O880" s="468"/>
      <c r="P880" s="616"/>
      <c r="Q880" s="472"/>
      <c r="R880" s="472"/>
      <c r="S880" s="1132"/>
      <c r="T880" s="470"/>
      <c r="U880" s="612"/>
      <c r="V880" s="464"/>
      <c r="W880" s="612"/>
      <c r="X880" s="473"/>
      <c r="Y880" s="478"/>
      <c r="Z880" s="449"/>
      <c r="AA880" s="573"/>
      <c r="AB880" s="476"/>
      <c r="AC880" s="476"/>
      <c r="AD880" s="568"/>
      <c r="AE880" s="476"/>
      <c r="AF880" s="568"/>
      <c r="AG880" s="476"/>
      <c r="AH880" s="476"/>
      <c r="AI880" s="477"/>
      <c r="AJ880" s="478"/>
      <c r="AK880" s="479"/>
      <c r="AL880" s="480"/>
      <c r="AM880" s="474"/>
      <c r="AN880" s="481"/>
      <c r="AO880" s="474"/>
      <c r="AP880" s="476"/>
      <c r="AQ880" s="482"/>
      <c r="AR880" s="478"/>
      <c r="AS880" s="478"/>
      <c r="AT880" s="476"/>
      <c r="AU880" s="482"/>
      <c r="AV880" s="478"/>
      <c r="AW880" s="483"/>
      <c r="AX880" s="476"/>
      <c r="AY880" s="482"/>
      <c r="AZ880" s="478"/>
      <c r="BA880" s="484"/>
      <c r="BB880" s="474"/>
      <c r="BC880" s="485"/>
      <c r="BD880" s="485"/>
      <c r="BG880" s="487"/>
    </row>
    <row r="881" spans="1:59" s="486" customFormat="1" ht="18" customHeight="1" x14ac:dyDescent="0.2">
      <c r="A881" s="1368" t="str">
        <f>LEFT(D881,8)</f>
        <v/>
      </c>
      <c r="B881" s="687"/>
      <c r="C881" s="463"/>
      <c r="D881" s="489"/>
      <c r="E881" s="465"/>
      <c r="F881" s="466"/>
      <c r="G881" s="620"/>
      <c r="H881" s="557"/>
      <c r="I881" s="467"/>
      <c r="J881" s="468"/>
      <c r="K881" s="490"/>
      <c r="L881" s="469"/>
      <c r="M881" s="683"/>
      <c r="N881" s="470"/>
      <c r="O881" s="468"/>
      <c r="P881" s="616"/>
      <c r="Q881" s="472"/>
      <c r="R881" s="472"/>
      <c r="S881" s="634"/>
      <c r="T881" s="470"/>
      <c r="U881" s="612"/>
      <c r="V881" s="464"/>
      <c r="W881" s="612"/>
      <c r="X881" s="473"/>
      <c r="Y881" s="497"/>
      <c r="Z881" s="449"/>
      <c r="AA881" s="497"/>
      <c r="AB881" s="476"/>
      <c r="AC881" s="497"/>
      <c r="AD881" s="568"/>
      <c r="AE881" s="476"/>
      <c r="AF881" s="568"/>
      <c r="AG881" s="476"/>
      <c r="AH881" s="476"/>
      <c r="AI881" s="477"/>
      <c r="AJ881" s="478"/>
      <c r="AK881" s="479"/>
      <c r="AL881" s="480"/>
      <c r="AM881" s="474"/>
      <c r="AN881" s="481"/>
      <c r="AO881" s="474"/>
      <c r="AP881" s="476"/>
      <c r="AQ881" s="482"/>
      <c r="AR881" s="478"/>
      <c r="AS881" s="478"/>
      <c r="AT881" s="476"/>
      <c r="AU881" s="482"/>
      <c r="AV881" s="478"/>
      <c r="AW881" s="483"/>
      <c r="AX881" s="476"/>
      <c r="AY881" s="482"/>
      <c r="AZ881" s="478"/>
      <c r="BA881" s="484"/>
      <c r="BB881" s="474"/>
      <c r="BC881" s="485"/>
      <c r="BD881" s="485"/>
      <c r="BG881" s="487"/>
    </row>
    <row r="882" spans="1:59" s="526" customFormat="1" ht="18" customHeight="1" x14ac:dyDescent="0.2">
      <c r="A882" s="1370" t="s">
        <v>4184</v>
      </c>
      <c r="B882" s="1956" t="s">
        <v>4184</v>
      </c>
      <c r="C882" s="1957"/>
      <c r="D882" s="1957"/>
      <c r="E882" s="1957"/>
      <c r="F882" s="1958"/>
      <c r="G882" s="624">
        <f>SUM(G864:G881)</f>
        <v>11165358345.561752</v>
      </c>
      <c r="H882" s="505"/>
      <c r="I882" s="506"/>
      <c r="J882" s="507"/>
      <c r="K882" s="507"/>
      <c r="L882" s="505"/>
      <c r="M882" s="684"/>
      <c r="N882" s="508"/>
      <c r="O882" s="507"/>
      <c r="P882" s="749"/>
      <c r="Q882" s="510"/>
      <c r="R882" s="511"/>
      <c r="S882" s="512"/>
      <c r="T882" s="512"/>
      <c r="U882" s="610">
        <f>SUM(U864:U881)</f>
        <v>9697536369.948431</v>
      </c>
      <c r="V882" s="513"/>
      <c r="W882" s="610">
        <f>G882-U882</f>
        <v>1467821975.6133213</v>
      </c>
      <c r="X882" s="514"/>
      <c r="Y882" s="515"/>
      <c r="Z882" s="515"/>
      <c r="AA882" s="515"/>
      <c r="AB882" s="515"/>
      <c r="AC882" s="515"/>
      <c r="AD882" s="570"/>
      <c r="AE882" s="515"/>
      <c r="AF882" s="570">
        <v>3453653722.8182082</v>
      </c>
      <c r="AG882" s="515"/>
      <c r="AH882" s="515"/>
      <c r="AI882" s="516"/>
      <c r="AJ882" s="517"/>
      <c r="AK882" s="518"/>
      <c r="AL882" s="519"/>
      <c r="AM882" s="520"/>
      <c r="AN882" s="521"/>
      <c r="AO882" s="520"/>
      <c r="AP882" s="515"/>
      <c r="AQ882" s="522"/>
      <c r="AR882" s="517"/>
      <c r="AS882" s="517"/>
      <c r="AT882" s="515"/>
      <c r="AU882" s="522"/>
      <c r="AV882" s="517"/>
      <c r="AW882" s="523"/>
      <c r="AX882" s="515"/>
      <c r="AY882" s="522"/>
      <c r="AZ882" s="517"/>
      <c r="BA882" s="524"/>
      <c r="BB882" s="520"/>
      <c r="BC882" s="525"/>
      <c r="BD882" s="525"/>
      <c r="BG882" s="527"/>
    </row>
    <row r="885" spans="1:59" s="422" customFormat="1" ht="18" customHeight="1" x14ac:dyDescent="0.2">
      <c r="A885" s="1366">
        <f>C885</f>
        <v>131</v>
      </c>
      <c r="B885" s="742" t="s">
        <v>4187</v>
      </c>
      <c r="C885" s="556">
        <v>131</v>
      </c>
      <c r="D885" s="553" t="str">
        <f>VLOOKUP(C885,RUAS,2,FALSE)</f>
        <v>SIMP. TERATAK BARU - TERATAK BARU</v>
      </c>
      <c r="E885" s="553"/>
      <c r="F885" s="421"/>
      <c r="G885" s="611"/>
      <c r="I885" s="423"/>
      <c r="J885" s="424"/>
      <c r="K885" s="424"/>
      <c r="M885" s="680"/>
      <c r="P885" s="611"/>
      <c r="U885" s="611"/>
      <c r="W885" s="611"/>
      <c r="Y885" s="425"/>
      <c r="Z885" s="425"/>
      <c r="AA885" s="425"/>
      <c r="AB885" s="425"/>
      <c r="AC885" s="425"/>
      <c r="AD885" s="563"/>
      <c r="AE885" s="425"/>
      <c r="AF885" s="563"/>
      <c r="AG885" s="425"/>
      <c r="AH885" s="425"/>
      <c r="AI885" s="425"/>
      <c r="AJ885" s="425"/>
      <c r="AK885" s="425"/>
      <c r="AL885" s="425"/>
      <c r="AM885" s="425"/>
      <c r="AN885" s="425"/>
      <c r="AO885" s="425"/>
      <c r="AP885" s="425"/>
      <c r="AQ885" s="425"/>
      <c r="AR885" s="425"/>
      <c r="AS885" s="425"/>
      <c r="AT885" s="425"/>
      <c r="AU885" s="425"/>
      <c r="AV885" s="425"/>
      <c r="AW885" s="425"/>
      <c r="AX885" s="425"/>
      <c r="AY885" s="425"/>
      <c r="AZ885" s="425"/>
      <c r="BA885" s="425"/>
      <c r="BB885" s="425"/>
    </row>
    <row r="886" spans="1:59" s="431" customFormat="1" ht="18" customHeight="1" x14ac:dyDescent="0.2">
      <c r="A886" s="1367"/>
      <c r="B886" s="1968" t="s">
        <v>5</v>
      </c>
      <c r="C886" s="1968" t="s">
        <v>2280</v>
      </c>
      <c r="D886" s="1968" t="s">
        <v>4157</v>
      </c>
      <c r="E886" s="1968" t="s">
        <v>4158</v>
      </c>
      <c r="F886" s="1968"/>
      <c r="G886" s="1969" t="s">
        <v>4159</v>
      </c>
      <c r="H886" s="1968" t="s">
        <v>4160</v>
      </c>
      <c r="I886" s="1968"/>
      <c r="J886" s="1968" t="s">
        <v>4185</v>
      </c>
      <c r="K886" s="1964" t="s">
        <v>4162</v>
      </c>
      <c r="L886" s="1968" t="s">
        <v>4163</v>
      </c>
      <c r="M886" s="1971" t="s">
        <v>4164</v>
      </c>
      <c r="N886" s="1962" t="s">
        <v>4165</v>
      </c>
      <c r="O886" s="1968" t="s">
        <v>4166</v>
      </c>
      <c r="P886" s="1972" t="s">
        <v>4167</v>
      </c>
      <c r="Q886" s="1973"/>
      <c r="R886" s="1199" t="s">
        <v>4186</v>
      </c>
      <c r="S886" s="1972" t="s">
        <v>4169</v>
      </c>
      <c r="T886" s="1974"/>
      <c r="U886" s="1973"/>
      <c r="V886" s="1975" t="s">
        <v>4170</v>
      </c>
      <c r="W886" s="1975"/>
      <c r="X886" s="1960" t="s">
        <v>4171</v>
      </c>
      <c r="Y886" s="1959"/>
      <c r="Z886" s="1200"/>
      <c r="AA886" s="426"/>
      <c r="AB886" s="426"/>
      <c r="AC886" s="426"/>
      <c r="AD886" s="564"/>
      <c r="AE886" s="426"/>
      <c r="AF886" s="564"/>
      <c r="AG886" s="426"/>
      <c r="AH886" s="426"/>
      <c r="AI886" s="427"/>
      <c r="AJ886" s="427"/>
      <c r="AK886" s="427"/>
      <c r="AL886" s="427"/>
      <c r="AM886" s="428"/>
      <c r="AN886" s="427"/>
      <c r="AO886" s="427"/>
      <c r="AP886" s="426"/>
      <c r="AQ886" s="427"/>
      <c r="AR886" s="427"/>
      <c r="AS886" s="427"/>
      <c r="AT886" s="426"/>
      <c r="AU886" s="427"/>
      <c r="AV886" s="427"/>
      <c r="AW886" s="427"/>
      <c r="AX886" s="426"/>
      <c r="AY886" s="427"/>
      <c r="AZ886" s="427"/>
      <c r="BA886" s="427"/>
      <c r="BB886" s="429"/>
      <c r="BC886" s="430"/>
      <c r="BD886" s="430"/>
    </row>
    <row r="887" spans="1:59" s="431" customFormat="1" ht="18" customHeight="1" x14ac:dyDescent="0.2">
      <c r="A887" s="1367"/>
      <c r="B887" s="1968"/>
      <c r="C887" s="1968"/>
      <c r="D887" s="1968"/>
      <c r="E887" s="1968"/>
      <c r="F887" s="1968"/>
      <c r="G887" s="1969"/>
      <c r="H887" s="1968"/>
      <c r="I887" s="1968"/>
      <c r="J887" s="1968"/>
      <c r="K887" s="1970"/>
      <c r="L887" s="1968"/>
      <c r="M887" s="1971"/>
      <c r="N887" s="1963"/>
      <c r="O887" s="1968"/>
      <c r="P887" s="2037" t="s">
        <v>4172</v>
      </c>
      <c r="Q887" s="1960" t="s">
        <v>4173</v>
      </c>
      <c r="R887" s="1962" t="s">
        <v>4159</v>
      </c>
      <c r="S887" s="1962" t="s">
        <v>4174</v>
      </c>
      <c r="T887" s="1964" t="s">
        <v>4175</v>
      </c>
      <c r="U887" s="1966" t="s">
        <v>4159</v>
      </c>
      <c r="V887" s="1975"/>
      <c r="W887" s="1975"/>
      <c r="X887" s="1976"/>
      <c r="Y887" s="1959"/>
      <c r="Z887" s="1200"/>
      <c r="AA887" s="426"/>
      <c r="AB887" s="426"/>
      <c r="AC887" s="426"/>
      <c r="AD887" s="564"/>
      <c r="AE887" s="426"/>
      <c r="AF887" s="564"/>
      <c r="AG887" s="426"/>
      <c r="AH887" s="426"/>
      <c r="AI887" s="427"/>
      <c r="AJ887" s="427"/>
      <c r="AK887" s="426"/>
      <c r="AL887" s="427"/>
      <c r="AM887" s="428"/>
      <c r="AN887" s="427"/>
      <c r="AO887" s="427"/>
      <c r="AP887" s="432"/>
      <c r="AQ887" s="427"/>
      <c r="AR887" s="427"/>
      <c r="AS887" s="427"/>
      <c r="AT887" s="432"/>
      <c r="AU887" s="427"/>
      <c r="AV887" s="427"/>
      <c r="AW887" s="427"/>
      <c r="AX887" s="432"/>
      <c r="AY887" s="427"/>
      <c r="AZ887" s="427"/>
      <c r="BA887" s="427"/>
      <c r="BB887" s="429"/>
      <c r="BC887" s="430"/>
      <c r="BD887" s="430"/>
    </row>
    <row r="888" spans="1:59" s="431" customFormat="1" ht="18" customHeight="1" x14ac:dyDescent="0.2">
      <c r="A888" s="1367"/>
      <c r="B888" s="1968"/>
      <c r="C888" s="1968"/>
      <c r="D888" s="1968"/>
      <c r="E888" s="433" t="s">
        <v>4176</v>
      </c>
      <c r="F888" s="434" t="s">
        <v>2288</v>
      </c>
      <c r="G888" s="1969"/>
      <c r="H888" s="1197" t="s">
        <v>2288</v>
      </c>
      <c r="I888" s="1197" t="s">
        <v>4177</v>
      </c>
      <c r="J888" s="1968"/>
      <c r="K888" s="1965"/>
      <c r="L888" s="435" t="s">
        <v>2288</v>
      </c>
      <c r="M888" s="681" t="s">
        <v>2288</v>
      </c>
      <c r="N888" s="1197" t="s">
        <v>2288</v>
      </c>
      <c r="O888" s="1968"/>
      <c r="P888" s="2038"/>
      <c r="Q888" s="1961"/>
      <c r="R888" s="1963"/>
      <c r="S888" s="1963"/>
      <c r="T888" s="1965"/>
      <c r="U888" s="1967"/>
      <c r="V888" s="1197" t="s">
        <v>4178</v>
      </c>
      <c r="W888" s="1201" t="s">
        <v>4159</v>
      </c>
      <c r="X888" s="1961"/>
      <c r="Y888" s="436"/>
      <c r="Z888" s="436"/>
      <c r="AA888" s="426"/>
      <c r="AB888" s="426"/>
      <c r="AC888" s="426"/>
      <c r="AD888" s="564"/>
      <c r="AE888" s="426"/>
      <c r="AF888" s="564"/>
      <c r="AG888" s="426"/>
      <c r="AH888" s="426"/>
      <c r="AI888" s="427"/>
      <c r="AJ888" s="432"/>
      <c r="AK888" s="432"/>
      <c r="AL888" s="427"/>
      <c r="AM888" s="428"/>
      <c r="AN888" s="432"/>
      <c r="AO888" s="427"/>
      <c r="AP888" s="432"/>
      <c r="AQ888" s="432"/>
      <c r="AR888" s="427"/>
      <c r="AS888" s="427"/>
      <c r="AT888" s="432"/>
      <c r="AU888" s="432"/>
      <c r="AV888" s="427"/>
      <c r="AW888" s="427"/>
      <c r="AX888" s="432"/>
      <c r="AY888" s="432"/>
      <c r="AZ888" s="427"/>
      <c r="BA888" s="427"/>
      <c r="BB888" s="429"/>
      <c r="BC888" s="430"/>
      <c r="BD888" s="430"/>
    </row>
    <row r="889" spans="1:59" s="461" customFormat="1" ht="18" customHeight="1" x14ac:dyDescent="0.2">
      <c r="A889" s="1368" t="str">
        <f>$D$885&amp;S889</f>
        <v>SIMP. TERATAK BARU - TERATAK BARU2012</v>
      </c>
      <c r="B889" s="1373">
        <v>1</v>
      </c>
      <c r="C889" s="532" t="s">
        <v>1257</v>
      </c>
      <c r="D889" s="437" t="s">
        <v>2494</v>
      </c>
      <c r="E889" s="438"/>
      <c r="F889" s="439">
        <v>2012</v>
      </c>
      <c r="G889" s="623">
        <v>1462268233.7791154</v>
      </c>
      <c r="H889" s="440">
        <f>VLOOKUP(LEFT(D889,8),UE,4)</f>
        <v>10</v>
      </c>
      <c r="I889" s="441"/>
      <c r="J889" s="442">
        <f t="shared" ref="J889:J896" si="666">F889+N889-1</f>
        <v>2021</v>
      </c>
      <c r="K889" s="443"/>
      <c r="L889" s="440"/>
      <c r="M889" s="746">
        <f>IF(H889+L889&gt;$H889,$H889-H889,L889)</f>
        <v>0</v>
      </c>
      <c r="N889" s="444">
        <f>H889+M889</f>
        <v>10</v>
      </c>
      <c r="O889" s="442">
        <f t="shared" ref="O889:O896" si="667">F889+N889-1</f>
        <v>2021</v>
      </c>
      <c r="P889" s="617">
        <f>G889</f>
        <v>1462268233.7791154</v>
      </c>
      <c r="Q889" s="445">
        <v>0</v>
      </c>
      <c r="R889" s="445">
        <f>P889/N889</f>
        <v>146226823.37791154</v>
      </c>
      <c r="S889" s="446">
        <f t="shared" ref="S889:S895" si="668">F889</f>
        <v>2012</v>
      </c>
      <c r="T889" s="447">
        <v>1</v>
      </c>
      <c r="U889" s="613">
        <f t="shared" ref="U889:U895" si="669">R889*T889</f>
        <v>146226823.37791154</v>
      </c>
      <c r="V889" s="442">
        <f>F889</f>
        <v>2012</v>
      </c>
      <c r="W889" s="617">
        <f>IF(OR(AND(ISBLANK(E889),ISBLANK(G889)),ISTEXT(E889),ISTEXT(G889)),"",G889-R889)</f>
        <v>1316041410.4012039</v>
      </c>
      <c r="X889" s="448"/>
      <c r="Y889" s="449"/>
      <c r="Z889" s="449"/>
      <c r="AA889" s="693"/>
      <c r="AB889" s="452"/>
      <c r="AC889" s="452"/>
      <c r="AD889" s="571"/>
      <c r="AE889" s="452"/>
      <c r="AF889" s="571"/>
      <c r="AG889" s="452"/>
      <c r="AH889" s="452"/>
      <c r="AI889" s="453"/>
      <c r="AJ889" s="449"/>
      <c r="AK889" s="453"/>
      <c r="AL889" s="454"/>
      <c r="AM889" s="455"/>
      <c r="AN889" s="456"/>
      <c r="AO889" s="455"/>
      <c r="AP889" s="452"/>
      <c r="AQ889" s="457"/>
      <c r="AR889" s="449"/>
      <c r="AS889" s="449"/>
      <c r="AT889" s="452"/>
      <c r="AU889" s="457"/>
      <c r="AV889" s="449"/>
      <c r="AW889" s="458"/>
      <c r="AX889" s="452"/>
      <c r="AY889" s="457"/>
      <c r="AZ889" s="449"/>
      <c r="BA889" s="459"/>
      <c r="BB889" s="455"/>
      <c r="BC889" s="460"/>
      <c r="BD889" s="460"/>
      <c r="BG889" s="462"/>
    </row>
    <row r="890" spans="1:59" s="461" customFormat="1" ht="18" customHeight="1" x14ac:dyDescent="0.2">
      <c r="A890" s="1368" t="str">
        <f t="shared" ref="A890:A896" si="670">$D$885&amp;S890</f>
        <v>SIMP. TERATAK BARU - TERATAK BARU2013</v>
      </c>
      <c r="B890" s="1373"/>
      <c r="C890" s="488"/>
      <c r="D890" s="489"/>
      <c r="E890" s="558"/>
      <c r="F890" s="559">
        <v>2013</v>
      </c>
      <c r="G890" s="619">
        <v>0</v>
      </c>
      <c r="H890" s="464">
        <f t="shared" ref="H890:H895" si="671">IF(N889-(F890-F889)&lt;=0,0,(N889-(F890-F889)))</f>
        <v>9</v>
      </c>
      <c r="I890" s="560"/>
      <c r="J890" s="468">
        <f t="shared" si="666"/>
        <v>2021</v>
      </c>
      <c r="K890" s="490">
        <f t="shared" ref="K890:K895" si="672">IF(G890=0,0,IF(H890=10,100%,G890/W889))</f>
        <v>0</v>
      </c>
      <c r="L890" s="469">
        <f t="shared" ref="L890:L895" si="673">IF(K890=0%,0,IF(K890&lt;=30%,2,IF(K890&lt;=60%,5,10)))</f>
        <v>0</v>
      </c>
      <c r="M890" s="683">
        <f t="shared" ref="M890:M896" si="674">IF(OR(AND(ISBLANK(E890),ISBLANK(G890)),ISTEXT(E890),ISTEXT(G890)),"",IF(H890+L890&gt;$H$8,$H$8-H890,L890))</f>
        <v>0</v>
      </c>
      <c r="N890" s="470">
        <f t="shared" ref="N890:N896" si="675">IF(OR(AND(ISBLANK(F890),ISBLANK(G890)),ISTEXT(F890),ISTEXT(G890)),"",H890+M890)</f>
        <v>9</v>
      </c>
      <c r="O890" s="468">
        <f t="shared" si="667"/>
        <v>2021</v>
      </c>
      <c r="P890" s="616">
        <f t="shared" ref="P890:P895" si="676">W889</f>
        <v>1316041410.4012039</v>
      </c>
      <c r="Q890" s="472">
        <f t="shared" ref="Q890:Q895" si="677">P890+G890</f>
        <v>1316041410.4012039</v>
      </c>
      <c r="R890" s="472">
        <f t="shared" ref="R890:R896" si="678">IF(L890=0,R889,Q890/N890)</f>
        <v>146226823.37791154</v>
      </c>
      <c r="S890" s="1189">
        <f t="shared" si="668"/>
        <v>2013</v>
      </c>
      <c r="T890" s="470">
        <f t="shared" ref="T890:T896" si="679">S890-S889</f>
        <v>1</v>
      </c>
      <c r="U890" s="612">
        <f t="shared" si="669"/>
        <v>146226823.37791154</v>
      </c>
      <c r="V890" s="464">
        <f t="shared" ref="V890:V895" si="680">F890</f>
        <v>2013</v>
      </c>
      <c r="W890" s="612">
        <f t="shared" ref="W890:W895" si="681">IF(OR(AND(ISBLANK(E890),ISBLANK(G890)),ISTEXT(E890),ISTEXT(G890)),"",Q890-U890)</f>
        <v>1169814587.0232923</v>
      </c>
      <c r="X890" s="561"/>
      <c r="Y890" s="449"/>
      <c r="Z890" s="449"/>
      <c r="AA890" s="693"/>
      <c r="AB890" s="452"/>
      <c r="AC890" s="452"/>
      <c r="AD890" s="571"/>
      <c r="AE890" s="452"/>
      <c r="AF890" s="571"/>
      <c r="AG890" s="452"/>
      <c r="AH890" s="452"/>
      <c r="AI890" s="453"/>
      <c r="AJ890" s="449"/>
      <c r="AK890" s="453"/>
      <c r="AL890" s="454"/>
      <c r="AM890" s="455"/>
      <c r="AN890" s="456"/>
      <c r="AO890" s="455"/>
      <c r="AP890" s="452"/>
      <c r="AQ890" s="457"/>
      <c r="AR890" s="449"/>
      <c r="AS890" s="449"/>
      <c r="AT890" s="452"/>
      <c r="AU890" s="457"/>
      <c r="AV890" s="449"/>
      <c r="AW890" s="458"/>
      <c r="AX890" s="452"/>
      <c r="AY890" s="457"/>
      <c r="AZ890" s="449"/>
      <c r="BA890" s="459"/>
      <c r="BB890" s="455"/>
      <c r="BC890" s="460"/>
      <c r="BD890" s="460"/>
      <c r="BG890" s="462"/>
    </row>
    <row r="891" spans="1:59" s="461" customFormat="1" ht="18" customHeight="1" x14ac:dyDescent="0.2">
      <c r="A891" s="1368" t="str">
        <f t="shared" si="670"/>
        <v>SIMP. TERATAK BARU - TERATAK BARU2014</v>
      </c>
      <c r="B891" s="1373"/>
      <c r="C891" s="488"/>
      <c r="D891" s="489"/>
      <c r="E891" s="558"/>
      <c r="F891" s="559">
        <v>2014</v>
      </c>
      <c r="G891" s="619">
        <v>0</v>
      </c>
      <c r="H891" s="464">
        <f t="shared" si="671"/>
        <v>8</v>
      </c>
      <c r="I891" s="560"/>
      <c r="J891" s="468">
        <f t="shared" si="666"/>
        <v>2021</v>
      </c>
      <c r="K891" s="490">
        <f t="shared" si="672"/>
        <v>0</v>
      </c>
      <c r="L891" s="469">
        <f t="shared" si="673"/>
        <v>0</v>
      </c>
      <c r="M891" s="683">
        <f t="shared" si="674"/>
        <v>0</v>
      </c>
      <c r="N891" s="470">
        <f t="shared" si="675"/>
        <v>8</v>
      </c>
      <c r="O891" s="468">
        <f t="shared" si="667"/>
        <v>2021</v>
      </c>
      <c r="P891" s="616">
        <f t="shared" si="676"/>
        <v>1169814587.0232923</v>
      </c>
      <c r="Q891" s="472">
        <f t="shared" si="677"/>
        <v>1169814587.0232923</v>
      </c>
      <c r="R891" s="472">
        <f t="shared" si="678"/>
        <v>146226823.37791154</v>
      </c>
      <c r="S891" s="1189">
        <f t="shared" si="668"/>
        <v>2014</v>
      </c>
      <c r="T891" s="470">
        <f t="shared" si="679"/>
        <v>1</v>
      </c>
      <c r="U891" s="612">
        <f t="shared" si="669"/>
        <v>146226823.37791154</v>
      </c>
      <c r="V891" s="464">
        <f t="shared" si="680"/>
        <v>2014</v>
      </c>
      <c r="W891" s="612">
        <f t="shared" si="681"/>
        <v>1023587763.6453807</v>
      </c>
      <c r="X891" s="561"/>
      <c r="Y891" s="449"/>
      <c r="Z891" s="449"/>
      <c r="AA891" s="694"/>
      <c r="AB891" s="692"/>
      <c r="AC891" s="692"/>
      <c r="AD891" s="695"/>
      <c r="AE891" s="452"/>
      <c r="AF891" s="571"/>
      <c r="AG891" s="452"/>
      <c r="AH891" s="452"/>
      <c r="AI891" s="453"/>
      <c r="AJ891" s="449"/>
      <c r="AK891" s="453"/>
      <c r="AL891" s="454"/>
      <c r="AM891" s="455"/>
      <c r="AN891" s="456"/>
      <c r="AO891" s="455"/>
      <c r="AP891" s="452"/>
      <c r="AQ891" s="457"/>
      <c r="AR891" s="449"/>
      <c r="AS891" s="449"/>
      <c r="AT891" s="452"/>
      <c r="AU891" s="457"/>
      <c r="AV891" s="449"/>
      <c r="AW891" s="458"/>
      <c r="AX891" s="452"/>
      <c r="AY891" s="457"/>
      <c r="AZ891" s="449"/>
      <c r="BA891" s="459"/>
      <c r="BB891" s="455"/>
      <c r="BC891" s="460"/>
      <c r="BD891" s="460"/>
      <c r="BG891" s="462"/>
    </row>
    <row r="892" spans="1:59" s="461" customFormat="1" ht="18" customHeight="1" x14ac:dyDescent="0.2">
      <c r="A892" s="1368" t="str">
        <f t="shared" si="670"/>
        <v>SIMP. TERATAK BARU - TERATAK BARU2015</v>
      </c>
      <c r="B892" s="1373"/>
      <c r="C892" s="488"/>
      <c r="D892" s="489"/>
      <c r="E892" s="558"/>
      <c r="F892" s="559">
        <v>2015</v>
      </c>
      <c r="G892" s="619">
        <v>0</v>
      </c>
      <c r="H892" s="464">
        <f t="shared" si="671"/>
        <v>7</v>
      </c>
      <c r="I892" s="560"/>
      <c r="J892" s="468">
        <f t="shared" si="666"/>
        <v>2021</v>
      </c>
      <c r="K892" s="490">
        <f t="shared" si="672"/>
        <v>0</v>
      </c>
      <c r="L892" s="469">
        <f t="shared" si="673"/>
        <v>0</v>
      </c>
      <c r="M892" s="683">
        <f t="shared" si="674"/>
        <v>0</v>
      </c>
      <c r="N892" s="470">
        <f t="shared" si="675"/>
        <v>7</v>
      </c>
      <c r="O892" s="468">
        <f t="shared" si="667"/>
        <v>2021</v>
      </c>
      <c r="P892" s="616">
        <f t="shared" si="676"/>
        <v>1023587763.6453807</v>
      </c>
      <c r="Q892" s="472">
        <f t="shared" si="677"/>
        <v>1023587763.6453807</v>
      </c>
      <c r="R892" s="472">
        <f t="shared" si="678"/>
        <v>146226823.37791154</v>
      </c>
      <c r="S892" s="1189">
        <f t="shared" si="668"/>
        <v>2015</v>
      </c>
      <c r="T892" s="470">
        <f t="shared" si="679"/>
        <v>1</v>
      </c>
      <c r="U892" s="612">
        <f t="shared" si="669"/>
        <v>146226823.37791154</v>
      </c>
      <c r="V892" s="464">
        <f t="shared" si="680"/>
        <v>2015</v>
      </c>
      <c r="W892" s="612">
        <f t="shared" si="681"/>
        <v>877360940.26746917</v>
      </c>
      <c r="X892" s="561"/>
      <c r="Y892" s="449"/>
      <c r="Z892" s="449"/>
      <c r="AA892" s="554" t="s">
        <v>4179</v>
      </c>
      <c r="AB892" s="452"/>
      <c r="AC892" s="452"/>
      <c r="AD892" s="566"/>
      <c r="AE892" s="452"/>
      <c r="AF892" s="571"/>
      <c r="AG892" s="452"/>
      <c r="AH892" s="452"/>
      <c r="AI892" s="453"/>
      <c r="AJ892" s="449"/>
      <c r="AK892" s="453"/>
      <c r="AL892" s="454"/>
      <c r="AM892" s="455"/>
      <c r="AN892" s="456"/>
      <c r="AO892" s="455"/>
      <c r="AP892" s="452"/>
      <c r="AQ892" s="457"/>
      <c r="AR892" s="449"/>
      <c r="AS892" s="449"/>
      <c r="AT892" s="452"/>
      <c r="AU892" s="457"/>
      <c r="AV892" s="449"/>
      <c r="AW892" s="458"/>
      <c r="AX892" s="452"/>
      <c r="AY892" s="457"/>
      <c r="AZ892" s="449"/>
      <c r="BA892" s="459"/>
      <c r="BB892" s="455"/>
      <c r="BC892" s="460"/>
      <c r="BD892" s="460"/>
      <c r="BG892" s="462"/>
    </row>
    <row r="893" spans="1:59" s="461" customFormat="1" ht="18" customHeight="1" x14ac:dyDescent="0.2">
      <c r="A893" s="1368" t="str">
        <f t="shared" si="670"/>
        <v>SIMP. TERATAK BARU - TERATAK BARU2016</v>
      </c>
      <c r="B893" s="1373">
        <v>2</v>
      </c>
      <c r="C893" s="488" t="s">
        <v>1465</v>
      </c>
      <c r="D893" s="489"/>
      <c r="E893" s="558"/>
      <c r="F893" s="559">
        <v>2016</v>
      </c>
      <c r="G893" s="619">
        <v>197669566</v>
      </c>
      <c r="H893" s="464">
        <f t="shared" si="671"/>
        <v>6</v>
      </c>
      <c r="I893" s="560"/>
      <c r="J893" s="468">
        <f t="shared" si="666"/>
        <v>2023</v>
      </c>
      <c r="K893" s="490">
        <f t="shared" si="672"/>
        <v>0.22530016658792579</v>
      </c>
      <c r="L893" s="469">
        <f t="shared" si="673"/>
        <v>2</v>
      </c>
      <c r="M893" s="683">
        <f t="shared" si="674"/>
        <v>2</v>
      </c>
      <c r="N893" s="470">
        <f t="shared" si="675"/>
        <v>8</v>
      </c>
      <c r="O893" s="468">
        <f t="shared" si="667"/>
        <v>2023</v>
      </c>
      <c r="P893" s="616">
        <f t="shared" si="676"/>
        <v>877360940.26746917</v>
      </c>
      <c r="Q893" s="472">
        <f t="shared" si="677"/>
        <v>1075030506.2674692</v>
      </c>
      <c r="R893" s="472">
        <f t="shared" si="678"/>
        <v>134378813.28343365</v>
      </c>
      <c r="S893" s="1189">
        <f t="shared" si="668"/>
        <v>2016</v>
      </c>
      <c r="T893" s="470">
        <f t="shared" si="679"/>
        <v>1</v>
      </c>
      <c r="U893" s="612">
        <f t="shared" si="669"/>
        <v>134378813.28343365</v>
      </c>
      <c r="V893" s="464">
        <f t="shared" si="680"/>
        <v>2016</v>
      </c>
      <c r="W893" s="612">
        <f t="shared" si="681"/>
        <v>940651692.98403549</v>
      </c>
      <c r="X893" s="561"/>
      <c r="Y893" s="449"/>
      <c r="Z893" s="449"/>
      <c r="AA893" s="554"/>
      <c r="AB893" s="452"/>
      <c r="AC893" s="452"/>
      <c r="AD893" s="566"/>
      <c r="AE893" s="452"/>
      <c r="AF893" s="571"/>
      <c r="AG893" s="452"/>
      <c r="AH893" s="452"/>
      <c r="AI893" s="453"/>
      <c r="AJ893" s="449"/>
      <c r="AK893" s="453"/>
      <c r="AL893" s="454"/>
      <c r="AM893" s="455"/>
      <c r="AN893" s="456"/>
      <c r="AO893" s="455"/>
      <c r="AP893" s="452"/>
      <c r="AQ893" s="457"/>
      <c r="AR893" s="449"/>
      <c r="AS893" s="449"/>
      <c r="AT893" s="452"/>
      <c r="AU893" s="457"/>
      <c r="AV893" s="449"/>
      <c r="AW893" s="458"/>
      <c r="AX893" s="452"/>
      <c r="AY893" s="457"/>
      <c r="AZ893" s="449"/>
      <c r="BA893" s="459"/>
      <c r="BB893" s="455"/>
      <c r="BC893" s="460"/>
      <c r="BD893" s="460"/>
      <c r="BG893" s="462"/>
    </row>
    <row r="894" spans="1:59" s="461" customFormat="1" ht="18" customHeight="1" x14ac:dyDescent="0.2">
      <c r="A894" s="1368" t="str">
        <f t="shared" si="670"/>
        <v>SIMP. TERATAK BARU - TERATAK BARU2017</v>
      </c>
      <c r="B894" s="1373"/>
      <c r="C894" s="488"/>
      <c r="D894" s="489"/>
      <c r="E894" s="558"/>
      <c r="F894" s="559">
        <v>2017</v>
      </c>
      <c r="G894" s="619">
        <v>0</v>
      </c>
      <c r="H894" s="464">
        <f t="shared" si="671"/>
        <v>7</v>
      </c>
      <c r="I894" s="560"/>
      <c r="J894" s="468">
        <f t="shared" si="666"/>
        <v>2023</v>
      </c>
      <c r="K894" s="490">
        <f t="shared" si="672"/>
        <v>0</v>
      </c>
      <c r="L894" s="469">
        <f t="shared" si="673"/>
        <v>0</v>
      </c>
      <c r="M894" s="683">
        <f t="shared" si="674"/>
        <v>0</v>
      </c>
      <c r="N894" s="470">
        <f t="shared" si="675"/>
        <v>7</v>
      </c>
      <c r="O894" s="468">
        <f t="shared" si="667"/>
        <v>2023</v>
      </c>
      <c r="P894" s="616">
        <f t="shared" si="676"/>
        <v>940651692.98403549</v>
      </c>
      <c r="Q894" s="472">
        <f t="shared" si="677"/>
        <v>940651692.98403549</v>
      </c>
      <c r="R894" s="472">
        <f t="shared" si="678"/>
        <v>134378813.28343365</v>
      </c>
      <c r="S894" s="1189">
        <f t="shared" si="668"/>
        <v>2017</v>
      </c>
      <c r="T894" s="470">
        <f t="shared" si="679"/>
        <v>1</v>
      </c>
      <c r="U894" s="612">
        <f t="shared" si="669"/>
        <v>134378813.28343365</v>
      </c>
      <c r="V894" s="464">
        <f t="shared" si="680"/>
        <v>2017</v>
      </c>
      <c r="W894" s="612">
        <f t="shared" si="681"/>
        <v>806272879.70060182</v>
      </c>
      <c r="X894" s="561"/>
      <c r="Y894" s="449"/>
      <c r="Z894" s="449"/>
      <c r="AA894" s="554"/>
      <c r="AB894" s="452"/>
      <c r="AC894" s="452"/>
      <c r="AD894" s="566"/>
      <c r="AE894" s="452"/>
      <c r="AF894" s="571"/>
      <c r="AG894" s="452"/>
      <c r="AH894" s="452"/>
      <c r="AI894" s="453"/>
      <c r="AJ894" s="449"/>
      <c r="AK894" s="453"/>
      <c r="AL894" s="454"/>
      <c r="AM894" s="455"/>
      <c r="AN894" s="456"/>
      <c r="AO894" s="455"/>
      <c r="AP894" s="452"/>
      <c r="AQ894" s="457"/>
      <c r="AR894" s="449"/>
      <c r="AS894" s="449"/>
      <c r="AT894" s="452"/>
      <c r="AU894" s="457"/>
      <c r="AV894" s="449"/>
      <c r="AW894" s="458"/>
      <c r="AX894" s="452"/>
      <c r="AY894" s="457"/>
      <c r="AZ894" s="449"/>
      <c r="BA894" s="459"/>
      <c r="BB894" s="455"/>
      <c r="BC894" s="460"/>
      <c r="BD894" s="460"/>
      <c r="BG894" s="462"/>
    </row>
    <row r="895" spans="1:59" s="461" customFormat="1" ht="18" customHeight="1" x14ac:dyDescent="0.2">
      <c r="A895" s="1368" t="str">
        <f t="shared" si="670"/>
        <v>SIMP. TERATAK BARU - TERATAK BARU2018</v>
      </c>
      <c r="B895" s="1373"/>
      <c r="C895" s="488"/>
      <c r="D895" s="489"/>
      <c r="E895" s="558"/>
      <c r="F895" s="559">
        <v>2018</v>
      </c>
      <c r="G895" s="619">
        <v>0</v>
      </c>
      <c r="H895" s="464">
        <f t="shared" si="671"/>
        <v>6</v>
      </c>
      <c r="I895" s="560"/>
      <c r="J895" s="468">
        <f t="shared" si="666"/>
        <v>2023</v>
      </c>
      <c r="K895" s="490">
        <f t="shared" si="672"/>
        <v>0</v>
      </c>
      <c r="L895" s="469">
        <f t="shared" si="673"/>
        <v>0</v>
      </c>
      <c r="M895" s="683">
        <f t="shared" si="674"/>
        <v>0</v>
      </c>
      <c r="N895" s="470">
        <f t="shared" si="675"/>
        <v>6</v>
      </c>
      <c r="O895" s="468">
        <f t="shared" si="667"/>
        <v>2023</v>
      </c>
      <c r="P895" s="616">
        <f t="shared" si="676"/>
        <v>806272879.70060182</v>
      </c>
      <c r="Q895" s="472">
        <f t="shared" si="677"/>
        <v>806272879.70060182</v>
      </c>
      <c r="R895" s="472">
        <f t="shared" si="678"/>
        <v>134378813.28343365</v>
      </c>
      <c r="S895" s="1189">
        <f t="shared" si="668"/>
        <v>2018</v>
      </c>
      <c r="T895" s="470">
        <f t="shared" si="679"/>
        <v>1</v>
      </c>
      <c r="U895" s="612">
        <f t="shared" si="669"/>
        <v>134378813.28343365</v>
      </c>
      <c r="V895" s="464">
        <f t="shared" si="680"/>
        <v>2018</v>
      </c>
      <c r="W895" s="612">
        <f t="shared" si="681"/>
        <v>671894066.41716814</v>
      </c>
      <c r="X895" s="561"/>
      <c r="Y895" s="449"/>
      <c r="Z895" s="449"/>
      <c r="AA895" s="554"/>
      <c r="AB895" s="452"/>
      <c r="AC895" s="452"/>
      <c r="AD895" s="566"/>
      <c r="AE895" s="452"/>
      <c r="AF895" s="571"/>
      <c r="AG895" s="452"/>
      <c r="AH895" s="452"/>
      <c r="AI895" s="453"/>
      <c r="AJ895" s="449"/>
      <c r="AK895" s="453"/>
      <c r="AL895" s="454"/>
      <c r="AM895" s="455"/>
      <c r="AN895" s="456"/>
      <c r="AO895" s="455"/>
      <c r="AP895" s="452"/>
      <c r="AQ895" s="457"/>
      <c r="AR895" s="449"/>
      <c r="AS895" s="449"/>
      <c r="AT895" s="452"/>
      <c r="AU895" s="457"/>
      <c r="AV895" s="449"/>
      <c r="AW895" s="458"/>
      <c r="AX895" s="452"/>
      <c r="AY895" s="457"/>
      <c r="AZ895" s="449"/>
      <c r="BA895" s="459"/>
      <c r="BB895" s="455"/>
      <c r="BC895" s="460"/>
      <c r="BD895" s="460"/>
      <c r="BG895" s="462"/>
    </row>
    <row r="896" spans="1:59" s="486" customFormat="1" ht="18" customHeight="1" x14ac:dyDescent="0.2">
      <c r="A896" s="1368" t="str">
        <f t="shared" si="670"/>
        <v>SIMP. TERATAK BARU - TERATAK BARU2019</v>
      </c>
      <c r="B896" s="1373"/>
      <c r="C896" s="488"/>
      <c r="D896" s="489"/>
      <c r="E896" s="558"/>
      <c r="F896" s="559">
        <v>2019</v>
      </c>
      <c r="G896" s="619">
        <v>0</v>
      </c>
      <c r="H896" s="464">
        <f>IF(N895-(F896-F895)&lt;=0,0,(N895-(F896-F895)))</f>
        <v>5</v>
      </c>
      <c r="I896" s="560"/>
      <c r="J896" s="468">
        <f t="shared" si="666"/>
        <v>2023</v>
      </c>
      <c r="K896" s="490">
        <f>IF(G896=0,0,IF(H896=10,100%,G896/W895))</f>
        <v>0</v>
      </c>
      <c r="L896" s="469">
        <f>IF(K896=0%,0,IF(K896&lt;=30%,2,IF(K896&lt;=60%,5,10)))</f>
        <v>0</v>
      </c>
      <c r="M896" s="683">
        <f t="shared" si="674"/>
        <v>0</v>
      </c>
      <c r="N896" s="470">
        <f t="shared" si="675"/>
        <v>5</v>
      </c>
      <c r="O896" s="468">
        <f t="shared" si="667"/>
        <v>2023</v>
      </c>
      <c r="P896" s="616">
        <f>W895</f>
        <v>671894066.41716814</v>
      </c>
      <c r="Q896" s="472">
        <f>P896+G896</f>
        <v>671894066.41716814</v>
      </c>
      <c r="R896" s="472">
        <f t="shared" si="678"/>
        <v>134378813.28343365</v>
      </c>
      <c r="S896" s="1189">
        <f>F896</f>
        <v>2019</v>
      </c>
      <c r="T896" s="470">
        <f t="shared" si="679"/>
        <v>1</v>
      </c>
      <c r="U896" s="612">
        <f>R896*T896</f>
        <v>134378813.28343365</v>
      </c>
      <c r="V896" s="464">
        <f>F896</f>
        <v>2019</v>
      </c>
      <c r="W896" s="612">
        <f>IF(OR(AND(ISBLANK(E896),ISBLANK(G896)),ISTEXT(E896),ISTEXT(G896)),"",Q896-U896)</f>
        <v>537515253.13373446</v>
      </c>
      <c r="X896" s="473"/>
      <c r="Y896" s="474"/>
      <c r="Z896" s="449"/>
      <c r="AA896" s="475" t="s">
        <v>4180</v>
      </c>
      <c r="AB896" s="476"/>
      <c r="AC896" s="476"/>
      <c r="AD896" s="567">
        <f>G905</f>
        <v>1659937799.7791154</v>
      </c>
      <c r="AE896" s="476"/>
      <c r="AF896" s="568"/>
      <c r="AG896" s="476"/>
      <c r="AH896" s="476"/>
      <c r="AI896" s="477"/>
      <c r="AJ896" s="478"/>
      <c r="AK896" s="479"/>
      <c r="AL896" s="480"/>
      <c r="AM896" s="474"/>
      <c r="AN896" s="481"/>
      <c r="AO896" s="474"/>
      <c r="AP896" s="476"/>
      <c r="AQ896" s="482"/>
      <c r="AR896" s="478"/>
      <c r="AS896" s="478"/>
      <c r="AT896" s="476"/>
      <c r="AU896" s="482"/>
      <c r="AV896" s="478"/>
      <c r="AW896" s="483"/>
      <c r="AX896" s="476"/>
      <c r="AY896" s="482"/>
      <c r="AZ896" s="478"/>
      <c r="BA896" s="484"/>
      <c r="BB896" s="474"/>
      <c r="BC896" s="485"/>
      <c r="BD896" s="485"/>
      <c r="BG896" s="487"/>
    </row>
    <row r="897" spans="1:59" s="486" customFormat="1" ht="18" customHeight="1" x14ac:dyDescent="0.2">
      <c r="A897" s="1368" t="str">
        <f>LEFT(D897,8)</f>
        <v/>
      </c>
      <c r="B897" s="1373"/>
      <c r="C897" s="488"/>
      <c r="D897" s="489"/>
      <c r="E897" s="558"/>
      <c r="F897" s="559"/>
      <c r="G897" s="619"/>
      <c r="H897" s="464"/>
      <c r="I897" s="560"/>
      <c r="J897" s="468"/>
      <c r="K897" s="490"/>
      <c r="L897" s="469"/>
      <c r="M897" s="683"/>
      <c r="N897" s="470"/>
      <c r="O897" s="468"/>
      <c r="P897" s="616"/>
      <c r="Q897" s="472"/>
      <c r="R897" s="472"/>
      <c r="S897" s="1189"/>
      <c r="T897" s="470"/>
      <c r="U897" s="612"/>
      <c r="V897" s="464"/>
      <c r="W897" s="612"/>
      <c r="X897" s="473"/>
      <c r="Y897" s="478"/>
      <c r="Z897" s="449"/>
      <c r="AA897" s="475" t="s">
        <v>4181</v>
      </c>
      <c r="AB897" s="491"/>
      <c r="AC897" s="491"/>
      <c r="AD897" s="567">
        <f>U905</f>
        <v>1122422546.6453807</v>
      </c>
      <c r="AE897" s="491"/>
      <c r="AF897" s="568"/>
      <c r="AG897" s="491"/>
      <c r="AH897" s="491"/>
      <c r="AI897" s="477"/>
      <c r="AJ897" s="478"/>
      <c r="AK897" s="479"/>
      <c r="AL897" s="480"/>
      <c r="AM897" s="474"/>
      <c r="AN897" s="481"/>
      <c r="AO897" s="474"/>
      <c r="AP897" s="476"/>
      <c r="AQ897" s="482"/>
      <c r="AR897" s="478"/>
      <c r="AS897" s="478"/>
      <c r="AT897" s="476"/>
      <c r="AU897" s="482"/>
      <c r="AV897" s="478"/>
      <c r="AW897" s="483"/>
      <c r="AX897" s="476"/>
      <c r="AY897" s="482"/>
      <c r="AZ897" s="478"/>
      <c r="BA897" s="484"/>
      <c r="BB897" s="474"/>
      <c r="BC897" s="485"/>
      <c r="BD897" s="485"/>
      <c r="BG897" s="487"/>
    </row>
    <row r="898" spans="1:59" s="486" customFormat="1" ht="18" customHeight="1" x14ac:dyDescent="0.2">
      <c r="A898" s="1368" t="str">
        <f>LEFT(D898,8)</f>
        <v/>
      </c>
      <c r="B898" s="1373"/>
      <c r="C898" s="463"/>
      <c r="D898" s="489"/>
      <c r="E898" s="465"/>
      <c r="F898" s="559"/>
      <c r="G898" s="619"/>
      <c r="H898" s="464"/>
      <c r="I898" s="560"/>
      <c r="J898" s="468"/>
      <c r="K898" s="490"/>
      <c r="L898" s="469"/>
      <c r="M898" s="683"/>
      <c r="N898" s="470"/>
      <c r="O898" s="468"/>
      <c r="P898" s="616"/>
      <c r="Q898" s="472"/>
      <c r="R898" s="472"/>
      <c r="S898" s="1189"/>
      <c r="T898" s="470"/>
      <c r="U898" s="612"/>
      <c r="V898" s="464"/>
      <c r="W898" s="612"/>
      <c r="X898" s="473"/>
      <c r="Y898" s="478"/>
      <c r="Z898" s="449"/>
      <c r="AA898" s="492" t="s">
        <v>4182</v>
      </c>
      <c r="AB898" s="476"/>
      <c r="AC898" s="476"/>
      <c r="AD898" s="567">
        <f>AD896-AD897</f>
        <v>537515253.1337347</v>
      </c>
      <c r="AE898" s="476"/>
      <c r="AF898" s="568"/>
      <c r="AG898" s="476"/>
      <c r="AH898" s="476"/>
      <c r="AI898" s="477"/>
      <c r="AJ898" s="478"/>
      <c r="AK898" s="479"/>
      <c r="AL898" s="480"/>
      <c r="AM898" s="474"/>
      <c r="AN898" s="481"/>
      <c r="AO898" s="474"/>
      <c r="AP898" s="476"/>
      <c r="AQ898" s="482"/>
      <c r="AR898" s="478"/>
      <c r="AS898" s="478"/>
      <c r="AT898" s="476"/>
      <c r="AU898" s="482"/>
      <c r="AV898" s="478"/>
      <c r="AW898" s="483"/>
      <c r="AX898" s="476"/>
      <c r="AY898" s="482"/>
      <c r="AZ898" s="478"/>
      <c r="BA898" s="484"/>
      <c r="BB898" s="474"/>
      <c r="BC898" s="485"/>
      <c r="BD898" s="485"/>
      <c r="BG898" s="487"/>
    </row>
    <row r="899" spans="1:59" s="486" customFormat="1" ht="18" customHeight="1" x14ac:dyDescent="0.2">
      <c r="A899" s="1368" t="str">
        <f>LEFT(D899,8)</f>
        <v/>
      </c>
      <c r="B899" s="687"/>
      <c r="C899" s="463"/>
      <c r="D899" s="489"/>
      <c r="E899" s="465"/>
      <c r="F899" s="559"/>
      <c r="G899" s="619"/>
      <c r="H899" s="464"/>
      <c r="I899" s="560"/>
      <c r="J899" s="468"/>
      <c r="K899" s="490"/>
      <c r="L899" s="469"/>
      <c r="M899" s="683"/>
      <c r="N899" s="470"/>
      <c r="O899" s="468"/>
      <c r="P899" s="616"/>
      <c r="Q899" s="472"/>
      <c r="R899" s="472"/>
      <c r="S899" s="1189"/>
      <c r="T899" s="470"/>
      <c r="U899" s="612"/>
      <c r="V899" s="464"/>
      <c r="W899" s="612"/>
      <c r="X899" s="473"/>
      <c r="Y899" s="478"/>
      <c r="Z899" s="449"/>
      <c r="AA899" s="531" t="s">
        <v>4183</v>
      </c>
      <c r="AB899" s="496"/>
      <c r="AC899" s="496"/>
      <c r="AD899" s="569">
        <f>AD898-W905</f>
        <v>0</v>
      </c>
      <c r="AE899" s="476"/>
      <c r="AF899" s="568"/>
      <c r="AG899" s="476"/>
      <c r="AH899" s="476"/>
      <c r="AI899" s="477"/>
      <c r="AJ899" s="478"/>
      <c r="AK899" s="479"/>
      <c r="AL899" s="480"/>
      <c r="AM899" s="474"/>
      <c r="AN899" s="481"/>
      <c r="AO899" s="474"/>
      <c r="AP899" s="476"/>
      <c r="AQ899" s="482"/>
      <c r="AR899" s="478"/>
      <c r="AS899" s="478"/>
      <c r="AT899" s="476"/>
      <c r="AU899" s="482"/>
      <c r="AV899" s="478"/>
      <c r="AW899" s="483"/>
      <c r="AX899" s="476"/>
      <c r="AY899" s="482"/>
      <c r="AZ899" s="478"/>
      <c r="BA899" s="484"/>
      <c r="BB899" s="474"/>
      <c r="BC899" s="485"/>
      <c r="BD899" s="485"/>
      <c r="BG899" s="487"/>
    </row>
    <row r="900" spans="1:59" s="486" customFormat="1" ht="18" customHeight="1" x14ac:dyDescent="0.2">
      <c r="A900" s="1368"/>
      <c r="B900" s="687"/>
      <c r="C900" s="463"/>
      <c r="D900" s="489"/>
      <c r="E900" s="465"/>
      <c r="F900" s="559"/>
      <c r="G900" s="619"/>
      <c r="H900" s="464"/>
      <c r="I900" s="560"/>
      <c r="J900" s="468"/>
      <c r="K900" s="490"/>
      <c r="L900" s="469"/>
      <c r="M900" s="683"/>
      <c r="N900" s="470"/>
      <c r="O900" s="468"/>
      <c r="P900" s="616"/>
      <c r="Q900" s="472"/>
      <c r="R900" s="472"/>
      <c r="S900" s="1189"/>
      <c r="T900" s="470"/>
      <c r="U900" s="612"/>
      <c r="V900" s="464"/>
      <c r="W900" s="612"/>
      <c r="X900" s="473"/>
      <c r="Y900" s="478"/>
      <c r="Z900" s="449"/>
      <c r="AA900" s="573"/>
      <c r="AB900" s="476"/>
      <c r="AC900" s="476"/>
      <c r="AD900" s="568"/>
      <c r="AE900" s="476"/>
      <c r="AF900" s="568"/>
      <c r="AG900" s="476"/>
      <c r="AH900" s="476"/>
      <c r="AI900" s="477"/>
      <c r="AJ900" s="478"/>
      <c r="AK900" s="479"/>
      <c r="AL900" s="480"/>
      <c r="AM900" s="474"/>
      <c r="AN900" s="481"/>
      <c r="AO900" s="474"/>
      <c r="AP900" s="476"/>
      <c r="AQ900" s="482"/>
      <c r="AR900" s="478"/>
      <c r="AS900" s="478"/>
      <c r="AT900" s="476"/>
      <c r="AU900" s="482"/>
      <c r="AV900" s="478"/>
      <c r="AW900" s="483"/>
      <c r="AX900" s="476"/>
      <c r="AY900" s="482"/>
      <c r="AZ900" s="478"/>
      <c r="BA900" s="484"/>
      <c r="BB900" s="474"/>
      <c r="BC900" s="485"/>
      <c r="BD900" s="485"/>
      <c r="BG900" s="487"/>
    </row>
    <row r="901" spans="1:59" s="486" customFormat="1" ht="18" customHeight="1" x14ac:dyDescent="0.2">
      <c r="A901" s="1368"/>
      <c r="B901" s="687"/>
      <c r="C901" s="463"/>
      <c r="D901" s="489"/>
      <c r="E901" s="465"/>
      <c r="F901" s="559"/>
      <c r="G901" s="619"/>
      <c r="H901" s="464"/>
      <c r="I901" s="560"/>
      <c r="J901" s="468"/>
      <c r="K901" s="490"/>
      <c r="L901" s="469"/>
      <c r="M901" s="683"/>
      <c r="N901" s="470"/>
      <c r="O901" s="468"/>
      <c r="P901" s="616"/>
      <c r="Q901" s="472"/>
      <c r="R901" s="472"/>
      <c r="S901" s="1189"/>
      <c r="T901" s="470"/>
      <c r="U901" s="612"/>
      <c r="V901" s="464"/>
      <c r="W901" s="612"/>
      <c r="X901" s="473"/>
      <c r="Y901" s="478"/>
      <c r="Z901" s="449"/>
      <c r="AA901" s="573"/>
      <c r="AB901" s="476"/>
      <c r="AC901" s="476"/>
      <c r="AD901" s="568"/>
      <c r="AE901" s="476"/>
      <c r="AF901" s="568"/>
      <c r="AG901" s="476"/>
      <c r="AH901" s="476"/>
      <c r="AI901" s="477"/>
      <c r="AJ901" s="478"/>
      <c r="AK901" s="479"/>
      <c r="AL901" s="480"/>
      <c r="AM901" s="474"/>
      <c r="AN901" s="481"/>
      <c r="AO901" s="474"/>
      <c r="AP901" s="476"/>
      <c r="AQ901" s="482"/>
      <c r="AR901" s="478"/>
      <c r="AS901" s="478"/>
      <c r="AT901" s="476"/>
      <c r="AU901" s="482"/>
      <c r="AV901" s="478"/>
      <c r="AW901" s="483"/>
      <c r="AX901" s="476"/>
      <c r="AY901" s="482"/>
      <c r="AZ901" s="478"/>
      <c r="BA901" s="484"/>
      <c r="BB901" s="474"/>
      <c r="BC901" s="485"/>
      <c r="BD901" s="485"/>
      <c r="BG901" s="487"/>
    </row>
    <row r="902" spans="1:59" s="486" customFormat="1" ht="18" customHeight="1" x14ac:dyDescent="0.2">
      <c r="A902" s="1368"/>
      <c r="B902" s="687"/>
      <c r="C902" s="463"/>
      <c r="D902" s="489"/>
      <c r="E902" s="465"/>
      <c r="F902" s="559"/>
      <c r="G902" s="619"/>
      <c r="H902" s="464"/>
      <c r="I902" s="560"/>
      <c r="J902" s="468"/>
      <c r="K902" s="490"/>
      <c r="L902" s="469"/>
      <c r="M902" s="683"/>
      <c r="N902" s="470"/>
      <c r="O902" s="468"/>
      <c r="P902" s="616"/>
      <c r="Q902" s="472"/>
      <c r="R902" s="472"/>
      <c r="S902" s="1189"/>
      <c r="T902" s="470"/>
      <c r="U902" s="612"/>
      <c r="V902" s="464"/>
      <c r="W902" s="612"/>
      <c r="X902" s="473"/>
      <c r="Y902" s="478"/>
      <c r="Z902" s="449"/>
      <c r="AA902" s="573"/>
      <c r="AB902" s="476"/>
      <c r="AC902" s="476"/>
      <c r="AD902" s="568"/>
      <c r="AE902" s="476"/>
      <c r="AF902" s="568"/>
      <c r="AG902" s="476"/>
      <c r="AH902" s="476"/>
      <c r="AI902" s="477"/>
      <c r="AJ902" s="478"/>
      <c r="AK902" s="479"/>
      <c r="AL902" s="480"/>
      <c r="AM902" s="474"/>
      <c r="AN902" s="481"/>
      <c r="AO902" s="474"/>
      <c r="AP902" s="476"/>
      <c r="AQ902" s="482"/>
      <c r="AR902" s="478"/>
      <c r="AS902" s="478"/>
      <c r="AT902" s="476"/>
      <c r="AU902" s="482"/>
      <c r="AV902" s="478"/>
      <c r="AW902" s="483"/>
      <c r="AX902" s="476"/>
      <c r="AY902" s="482"/>
      <c r="AZ902" s="478"/>
      <c r="BA902" s="484"/>
      <c r="BB902" s="474"/>
      <c r="BC902" s="485"/>
      <c r="BD902" s="485"/>
      <c r="BG902" s="487"/>
    </row>
    <row r="903" spans="1:59" s="486" customFormat="1" ht="18" customHeight="1" x14ac:dyDescent="0.2">
      <c r="A903" s="1368"/>
      <c r="B903" s="687"/>
      <c r="C903" s="463"/>
      <c r="D903" s="489"/>
      <c r="E903" s="465"/>
      <c r="F903" s="559"/>
      <c r="G903" s="619"/>
      <c r="H903" s="464"/>
      <c r="I903" s="467"/>
      <c r="J903" s="468"/>
      <c r="K903" s="490"/>
      <c r="L903" s="469"/>
      <c r="M903" s="683"/>
      <c r="N903" s="470"/>
      <c r="O903" s="468"/>
      <c r="P903" s="616"/>
      <c r="Q903" s="472"/>
      <c r="R903" s="472"/>
      <c r="S903" s="1189"/>
      <c r="T903" s="470"/>
      <c r="U903" s="612"/>
      <c r="V903" s="464"/>
      <c r="W903" s="612"/>
      <c r="X903" s="473"/>
      <c r="Y903" s="478"/>
      <c r="Z903" s="449"/>
      <c r="AA903" s="573"/>
      <c r="AB903" s="476"/>
      <c r="AC903" s="476"/>
      <c r="AD903" s="568"/>
      <c r="AE903" s="476"/>
      <c r="AF903" s="568"/>
      <c r="AG903" s="476"/>
      <c r="AH903" s="476"/>
      <c r="AI903" s="477"/>
      <c r="AJ903" s="478"/>
      <c r="AK903" s="479"/>
      <c r="AL903" s="480"/>
      <c r="AM903" s="474"/>
      <c r="AN903" s="481"/>
      <c r="AO903" s="474"/>
      <c r="AP903" s="476"/>
      <c r="AQ903" s="482"/>
      <c r="AR903" s="478"/>
      <c r="AS903" s="478"/>
      <c r="AT903" s="476"/>
      <c r="AU903" s="482"/>
      <c r="AV903" s="478"/>
      <c r="AW903" s="483"/>
      <c r="AX903" s="476"/>
      <c r="AY903" s="482"/>
      <c r="AZ903" s="478"/>
      <c r="BA903" s="484"/>
      <c r="BB903" s="474"/>
      <c r="BC903" s="485"/>
      <c r="BD903" s="485"/>
      <c r="BG903" s="487"/>
    </row>
    <row r="904" spans="1:59" s="486" customFormat="1" ht="18" customHeight="1" x14ac:dyDescent="0.2">
      <c r="A904" s="1368" t="str">
        <f>LEFT(D904,8)</f>
        <v/>
      </c>
      <c r="B904" s="687"/>
      <c r="C904" s="463"/>
      <c r="D904" s="489"/>
      <c r="E904" s="465"/>
      <c r="F904" s="466"/>
      <c r="G904" s="620"/>
      <c r="H904" s="557"/>
      <c r="I904" s="467"/>
      <c r="J904" s="468"/>
      <c r="K904" s="490"/>
      <c r="L904" s="469"/>
      <c r="M904" s="683"/>
      <c r="N904" s="470"/>
      <c r="O904" s="468"/>
      <c r="P904" s="616"/>
      <c r="Q904" s="472"/>
      <c r="R904" s="472"/>
      <c r="S904" s="1189"/>
      <c r="T904" s="470"/>
      <c r="U904" s="612"/>
      <c r="V904" s="464"/>
      <c r="W904" s="612"/>
      <c r="X904" s="473"/>
      <c r="Y904" s="497"/>
      <c r="Z904" s="449"/>
      <c r="AA904" s="497"/>
      <c r="AB904" s="476"/>
      <c r="AC904" s="497"/>
      <c r="AD904" s="568"/>
      <c r="AE904" s="476"/>
      <c r="AF904" s="568"/>
      <c r="AG904" s="476"/>
      <c r="AH904" s="476"/>
      <c r="AI904" s="477"/>
      <c r="AJ904" s="478"/>
      <c r="AK904" s="479"/>
      <c r="AL904" s="480"/>
      <c r="AM904" s="474"/>
      <c r="AN904" s="481"/>
      <c r="AO904" s="474"/>
      <c r="AP904" s="476"/>
      <c r="AQ904" s="482"/>
      <c r="AR904" s="478"/>
      <c r="AS904" s="478"/>
      <c r="AT904" s="476"/>
      <c r="AU904" s="482"/>
      <c r="AV904" s="478"/>
      <c r="AW904" s="483"/>
      <c r="AX904" s="476"/>
      <c r="AY904" s="482"/>
      <c r="AZ904" s="478"/>
      <c r="BA904" s="484"/>
      <c r="BB904" s="474"/>
      <c r="BC904" s="485"/>
      <c r="BD904" s="485"/>
      <c r="BG904" s="487"/>
    </row>
    <row r="905" spans="1:59" s="526" customFormat="1" ht="18" customHeight="1" x14ac:dyDescent="0.2">
      <c r="A905" s="1370" t="s">
        <v>4184</v>
      </c>
      <c r="B905" s="1956" t="s">
        <v>4184</v>
      </c>
      <c r="C905" s="1957"/>
      <c r="D905" s="1957"/>
      <c r="E905" s="1957"/>
      <c r="F905" s="1958"/>
      <c r="G905" s="624">
        <f>SUM(G889:G904)</f>
        <v>1659937799.7791154</v>
      </c>
      <c r="H905" s="505"/>
      <c r="I905" s="506"/>
      <c r="J905" s="507"/>
      <c r="K905" s="507"/>
      <c r="L905" s="505"/>
      <c r="M905" s="684"/>
      <c r="N905" s="508"/>
      <c r="O905" s="507"/>
      <c r="P905" s="749"/>
      <c r="Q905" s="510"/>
      <c r="R905" s="511"/>
      <c r="S905" s="512"/>
      <c r="T905" s="512"/>
      <c r="U905" s="610">
        <f>SUM(U889:U904)</f>
        <v>1122422546.6453807</v>
      </c>
      <c r="V905" s="513"/>
      <c r="W905" s="610">
        <f>G905-U905</f>
        <v>537515253.1337347</v>
      </c>
      <c r="X905" s="514"/>
      <c r="Y905" s="515"/>
      <c r="Z905" s="515"/>
      <c r="AA905" s="515"/>
      <c r="AB905" s="515"/>
      <c r="AC905" s="515"/>
      <c r="AD905" s="570"/>
      <c r="AE905" s="515"/>
      <c r="AF905" s="570">
        <v>3453653722.8182082</v>
      </c>
      <c r="AG905" s="515"/>
      <c r="AH905" s="515"/>
      <c r="AI905" s="516"/>
      <c r="AJ905" s="517"/>
      <c r="AK905" s="518"/>
      <c r="AL905" s="519"/>
      <c r="AM905" s="520"/>
      <c r="AN905" s="521"/>
      <c r="AO905" s="520"/>
      <c r="AP905" s="515"/>
      <c r="AQ905" s="522"/>
      <c r="AR905" s="517"/>
      <c r="AS905" s="517"/>
      <c r="AT905" s="515"/>
      <c r="AU905" s="522"/>
      <c r="AV905" s="517"/>
      <c r="AW905" s="523"/>
      <c r="AX905" s="515"/>
      <c r="AY905" s="522"/>
      <c r="AZ905" s="517"/>
      <c r="BA905" s="524"/>
      <c r="BB905" s="520"/>
      <c r="BC905" s="525"/>
      <c r="BD905" s="525"/>
      <c r="BG905" s="527"/>
    </row>
    <row r="908" spans="1:59" s="422" customFormat="1" ht="18" customHeight="1" x14ac:dyDescent="0.2">
      <c r="A908" s="1366">
        <f>C908</f>
        <v>132</v>
      </c>
      <c r="B908" s="742" t="s">
        <v>4187</v>
      </c>
      <c r="C908" s="556">
        <v>132</v>
      </c>
      <c r="D908" s="553" t="str">
        <f>VLOOKUP(C908,RUAS,2,FALSE)</f>
        <v>DUSUN TUO - GUNUNG MELINTANG</v>
      </c>
      <c r="E908" s="553"/>
      <c r="F908" s="421"/>
      <c r="G908" s="611"/>
      <c r="I908" s="423"/>
      <c r="J908" s="424"/>
      <c r="K908" s="424"/>
      <c r="M908" s="680"/>
      <c r="P908" s="611"/>
      <c r="U908" s="611"/>
      <c r="W908" s="611"/>
      <c r="Y908" s="425"/>
      <c r="Z908" s="425"/>
      <c r="AA908" s="425"/>
      <c r="AB908" s="425"/>
      <c r="AC908" s="425"/>
      <c r="AD908" s="563"/>
      <c r="AE908" s="425"/>
      <c r="AF908" s="563"/>
      <c r="AG908" s="425"/>
      <c r="AH908" s="425"/>
      <c r="AI908" s="425"/>
      <c r="AJ908" s="425"/>
      <c r="AK908" s="425"/>
      <c r="AL908" s="425"/>
      <c r="AM908" s="425"/>
      <c r="AN908" s="425"/>
      <c r="AO908" s="425"/>
      <c r="AP908" s="425"/>
      <c r="AQ908" s="425"/>
      <c r="AR908" s="425"/>
      <c r="AS908" s="425"/>
      <c r="AT908" s="425"/>
      <c r="AU908" s="425"/>
      <c r="AV908" s="425"/>
      <c r="AW908" s="425"/>
      <c r="AX908" s="425"/>
      <c r="AY908" s="425"/>
      <c r="AZ908" s="425"/>
      <c r="BA908" s="425"/>
      <c r="BB908" s="425"/>
    </row>
    <row r="909" spans="1:59" s="431" customFormat="1" ht="18" customHeight="1" x14ac:dyDescent="0.2">
      <c r="A909" s="1367"/>
      <c r="B909" s="1968" t="s">
        <v>5</v>
      </c>
      <c r="C909" s="1968" t="s">
        <v>2280</v>
      </c>
      <c r="D909" s="1968" t="s">
        <v>4157</v>
      </c>
      <c r="E909" s="1968" t="s">
        <v>4158</v>
      </c>
      <c r="F909" s="1968"/>
      <c r="G909" s="1969" t="s">
        <v>4159</v>
      </c>
      <c r="H909" s="1968" t="s">
        <v>4160</v>
      </c>
      <c r="I909" s="1968"/>
      <c r="J909" s="1968" t="s">
        <v>4185</v>
      </c>
      <c r="K909" s="1964" t="s">
        <v>4162</v>
      </c>
      <c r="L909" s="1968" t="s">
        <v>4163</v>
      </c>
      <c r="M909" s="1971" t="s">
        <v>4164</v>
      </c>
      <c r="N909" s="1962" t="s">
        <v>4165</v>
      </c>
      <c r="O909" s="1968" t="s">
        <v>4166</v>
      </c>
      <c r="P909" s="1972" t="s">
        <v>4167</v>
      </c>
      <c r="Q909" s="1973"/>
      <c r="R909" s="1243" t="s">
        <v>4186</v>
      </c>
      <c r="S909" s="1972" t="s">
        <v>4169</v>
      </c>
      <c r="T909" s="1974"/>
      <c r="U909" s="1973"/>
      <c r="V909" s="1975" t="s">
        <v>4170</v>
      </c>
      <c r="W909" s="1975"/>
      <c r="X909" s="1960" t="s">
        <v>4171</v>
      </c>
      <c r="Y909" s="1959"/>
      <c r="Z909" s="1244"/>
      <c r="AA909" s="426"/>
      <c r="AB909" s="426"/>
      <c r="AC909" s="426"/>
      <c r="AD909" s="564"/>
      <c r="AE909" s="426"/>
      <c r="AF909" s="564"/>
      <c r="AG909" s="426"/>
      <c r="AH909" s="426"/>
      <c r="AI909" s="427"/>
      <c r="AJ909" s="427"/>
      <c r="AK909" s="427"/>
      <c r="AL909" s="427"/>
      <c r="AM909" s="428"/>
      <c r="AN909" s="427"/>
      <c r="AO909" s="427"/>
      <c r="AP909" s="426"/>
      <c r="AQ909" s="427"/>
      <c r="AR909" s="427"/>
      <c r="AS909" s="427"/>
      <c r="AT909" s="426"/>
      <c r="AU909" s="427"/>
      <c r="AV909" s="427"/>
      <c r="AW909" s="427"/>
      <c r="AX909" s="426"/>
      <c r="AY909" s="427"/>
      <c r="AZ909" s="427"/>
      <c r="BA909" s="427"/>
      <c r="BB909" s="429"/>
      <c r="BC909" s="430"/>
      <c r="BD909" s="430"/>
    </row>
    <row r="910" spans="1:59" s="431" customFormat="1" ht="18" customHeight="1" x14ac:dyDescent="0.2">
      <c r="A910" s="1367"/>
      <c r="B910" s="1968"/>
      <c r="C910" s="1968"/>
      <c r="D910" s="1968"/>
      <c r="E910" s="1968"/>
      <c r="F910" s="1968"/>
      <c r="G910" s="1969"/>
      <c r="H910" s="1968"/>
      <c r="I910" s="1968"/>
      <c r="J910" s="1968"/>
      <c r="K910" s="1970"/>
      <c r="L910" s="1968"/>
      <c r="M910" s="1971"/>
      <c r="N910" s="1963"/>
      <c r="O910" s="1968"/>
      <c r="P910" s="2037" t="s">
        <v>4172</v>
      </c>
      <c r="Q910" s="1960" t="s">
        <v>4173</v>
      </c>
      <c r="R910" s="1962" t="s">
        <v>4159</v>
      </c>
      <c r="S910" s="1962" t="s">
        <v>4174</v>
      </c>
      <c r="T910" s="1964" t="s">
        <v>4175</v>
      </c>
      <c r="U910" s="1966" t="s">
        <v>4159</v>
      </c>
      <c r="V910" s="1975"/>
      <c r="W910" s="1975"/>
      <c r="X910" s="1976"/>
      <c r="Y910" s="1959"/>
      <c r="Z910" s="1244"/>
      <c r="AA910" s="426"/>
      <c r="AB910" s="426"/>
      <c r="AC910" s="426"/>
      <c r="AD910" s="564"/>
      <c r="AE910" s="426"/>
      <c r="AF910" s="564"/>
      <c r="AG910" s="426"/>
      <c r="AH910" s="426"/>
      <c r="AI910" s="427"/>
      <c r="AJ910" s="427"/>
      <c r="AK910" s="426"/>
      <c r="AL910" s="427"/>
      <c r="AM910" s="428"/>
      <c r="AN910" s="427"/>
      <c r="AO910" s="427"/>
      <c r="AP910" s="432"/>
      <c r="AQ910" s="427"/>
      <c r="AR910" s="427"/>
      <c r="AS910" s="427"/>
      <c r="AT910" s="432"/>
      <c r="AU910" s="427"/>
      <c r="AV910" s="427"/>
      <c r="AW910" s="427"/>
      <c r="AX910" s="432"/>
      <c r="AY910" s="427"/>
      <c r="AZ910" s="427"/>
      <c r="BA910" s="427"/>
      <c r="BB910" s="429"/>
      <c r="BC910" s="430"/>
      <c r="BD910" s="430"/>
    </row>
    <row r="911" spans="1:59" s="431" customFormat="1" ht="18" customHeight="1" x14ac:dyDescent="0.2">
      <c r="A911" s="1367"/>
      <c r="B911" s="1968"/>
      <c r="C911" s="1968"/>
      <c r="D911" s="1968"/>
      <c r="E911" s="433" t="s">
        <v>4176</v>
      </c>
      <c r="F911" s="434" t="s">
        <v>2288</v>
      </c>
      <c r="G911" s="1969"/>
      <c r="H911" s="1242" t="s">
        <v>2288</v>
      </c>
      <c r="I911" s="1242" t="s">
        <v>4177</v>
      </c>
      <c r="J911" s="1968"/>
      <c r="K911" s="1965"/>
      <c r="L911" s="435" t="s">
        <v>2288</v>
      </c>
      <c r="M911" s="681" t="s">
        <v>2288</v>
      </c>
      <c r="N911" s="1242" t="s">
        <v>2288</v>
      </c>
      <c r="O911" s="1968"/>
      <c r="P911" s="2038"/>
      <c r="Q911" s="1961"/>
      <c r="R911" s="1963"/>
      <c r="S911" s="1963"/>
      <c r="T911" s="1965"/>
      <c r="U911" s="1967"/>
      <c r="V911" s="1242" t="s">
        <v>4178</v>
      </c>
      <c r="W911" s="1245" t="s">
        <v>4159</v>
      </c>
      <c r="X911" s="1961"/>
      <c r="Y911" s="436"/>
      <c r="Z911" s="436"/>
      <c r="AA911" s="426"/>
      <c r="AB911" s="426"/>
      <c r="AC911" s="426"/>
      <c r="AD911" s="564"/>
      <c r="AE911" s="426"/>
      <c r="AF911" s="564"/>
      <c r="AG911" s="426"/>
      <c r="AH911" s="426"/>
      <c r="AI911" s="427"/>
      <c r="AJ911" s="432"/>
      <c r="AK911" s="432"/>
      <c r="AL911" s="427"/>
      <c r="AM911" s="428"/>
      <c r="AN911" s="432"/>
      <c r="AO911" s="427"/>
      <c r="AP911" s="432"/>
      <c r="AQ911" s="432"/>
      <c r="AR911" s="427"/>
      <c r="AS911" s="427"/>
      <c r="AT911" s="432"/>
      <c r="AU911" s="432"/>
      <c r="AV911" s="427"/>
      <c r="AW911" s="427"/>
      <c r="AX911" s="432"/>
      <c r="AY911" s="432"/>
      <c r="AZ911" s="427"/>
      <c r="BA911" s="427"/>
      <c r="BB911" s="429"/>
      <c r="BC911" s="430"/>
      <c r="BD911" s="430"/>
    </row>
    <row r="912" spans="1:59" s="461" customFormat="1" ht="18" customHeight="1" x14ac:dyDescent="0.2">
      <c r="A912" s="1368" t="str">
        <f>$D$908&amp;S912</f>
        <v>DUSUN TUO - GUNUNG MELINTANG2007</v>
      </c>
      <c r="B912" s="1373">
        <v>1</v>
      </c>
      <c r="C912" s="532" t="s">
        <v>5077</v>
      </c>
      <c r="D912" s="437" t="s">
        <v>2494</v>
      </c>
      <c r="E912" s="438"/>
      <c r="F912" s="439">
        <v>2007</v>
      </c>
      <c r="G912" s="623">
        <v>555029847.82466555</v>
      </c>
      <c r="H912" s="440">
        <f>VLOOKUP(LEFT(D912,8),UE,4)</f>
        <v>10</v>
      </c>
      <c r="I912" s="441"/>
      <c r="J912" s="442">
        <f>F912+N912-1</f>
        <v>2016</v>
      </c>
      <c r="K912" s="443"/>
      <c r="L912" s="440"/>
      <c r="M912" s="746">
        <f>IF(H912+L912&gt;$H912,$H912-H912,L912)</f>
        <v>0</v>
      </c>
      <c r="N912" s="444">
        <f>H912+M912</f>
        <v>10</v>
      </c>
      <c r="O912" s="442">
        <f>F912+N912-1</f>
        <v>2016</v>
      </c>
      <c r="P912" s="617">
        <f>G912</f>
        <v>555029847.82466555</v>
      </c>
      <c r="Q912" s="445">
        <v>0</v>
      </c>
      <c r="R912" s="445">
        <f>P912/N912</f>
        <v>55502984.782466553</v>
      </c>
      <c r="S912" s="446">
        <f>F912</f>
        <v>2007</v>
      </c>
      <c r="T912" s="447">
        <v>1</v>
      </c>
      <c r="U912" s="613">
        <f>R912*T912</f>
        <v>55502984.782466553</v>
      </c>
      <c r="V912" s="442">
        <f>F912</f>
        <v>2007</v>
      </c>
      <c r="W912" s="617">
        <f>IF(OR(AND(ISBLANK(E912),ISBLANK(G912)),ISTEXT(E912),ISTEXT(G912)),"",G912-R912)</f>
        <v>499526863.04219902</v>
      </c>
      <c r="X912" s="448"/>
      <c r="Y912" s="449"/>
      <c r="Z912" s="449"/>
      <c r="AA912" s="693"/>
      <c r="AB912" s="452"/>
      <c r="AC912" s="452"/>
      <c r="AD912" s="571"/>
      <c r="AE912" s="452"/>
      <c r="AF912" s="571"/>
      <c r="AG912" s="452"/>
      <c r="AH912" s="452"/>
      <c r="AI912" s="453"/>
      <c r="AJ912" s="449"/>
      <c r="AK912" s="453"/>
      <c r="AL912" s="454"/>
      <c r="AM912" s="455"/>
      <c r="AN912" s="456"/>
      <c r="AO912" s="455"/>
      <c r="AP912" s="452"/>
      <c r="AQ912" s="457"/>
      <c r="AR912" s="449"/>
      <c r="AS912" s="449"/>
      <c r="AT912" s="452"/>
      <c r="AU912" s="457"/>
      <c r="AV912" s="449"/>
      <c r="AW912" s="458"/>
      <c r="AX912" s="452"/>
      <c r="AY912" s="457"/>
      <c r="AZ912" s="449"/>
      <c r="BA912" s="459"/>
      <c r="BB912" s="455"/>
      <c r="BC912" s="460"/>
      <c r="BD912" s="460"/>
      <c r="BG912" s="462"/>
    </row>
    <row r="913" spans="1:59" s="461" customFormat="1" ht="18" customHeight="1" x14ac:dyDescent="0.2">
      <c r="A913" s="1368" t="str">
        <f t="shared" ref="A913:A922" si="682">$D$908&amp;S913</f>
        <v>DUSUN TUO - GUNUNG MELINTANG2010</v>
      </c>
      <c r="B913" s="1373"/>
      <c r="C913" s="488"/>
      <c r="D913" s="489"/>
      <c r="E913" s="558"/>
      <c r="F913" s="559">
        <v>2010</v>
      </c>
      <c r="G913" s="619">
        <v>0</v>
      </c>
      <c r="H913" s="464">
        <f>IF(N912-(F913-F912)&lt;=0,0,(N912-(F913-F912)))</f>
        <v>7</v>
      </c>
      <c r="I913" s="560"/>
      <c r="J913" s="468">
        <f>F913+N913-1</f>
        <v>2016</v>
      </c>
      <c r="K913" s="490">
        <f>IF(G913=0,0,IF(H913=10,100%,G913/W912))</f>
        <v>0</v>
      </c>
      <c r="L913" s="469">
        <f>IF(K913=0%,0,IF(K913&lt;=30%,2,IF(K913&lt;=60%,5,10)))</f>
        <v>0</v>
      </c>
      <c r="M913" s="683">
        <f>IF(OR(AND(ISBLANK(E913),ISBLANK(G913)),ISTEXT(E913),ISTEXT(G913)),"",IF(H913+L913&gt;$H$912,$H$912-H913,L913))</f>
        <v>0</v>
      </c>
      <c r="N913" s="470">
        <f>IF(OR(AND(ISBLANK(F913),ISBLANK(G913)),ISTEXT(F913),ISTEXT(G913)),"",H913+M913)</f>
        <v>7</v>
      </c>
      <c r="O913" s="468">
        <f>F913+N913-1</f>
        <v>2016</v>
      </c>
      <c r="P913" s="616">
        <f>W912</f>
        <v>499526863.04219902</v>
      </c>
      <c r="Q913" s="472">
        <f>P913+G913</f>
        <v>499526863.04219902</v>
      </c>
      <c r="R913" s="472">
        <f>IF(L913=0,R912,Q913/N913)</f>
        <v>55502984.782466553</v>
      </c>
      <c r="S913" s="1189">
        <f>F913</f>
        <v>2010</v>
      </c>
      <c r="T913" s="470">
        <f>S913-S912</f>
        <v>3</v>
      </c>
      <c r="U913" s="612">
        <f>R913*T913</f>
        <v>166508954.34739965</v>
      </c>
      <c r="V913" s="464">
        <f>F913</f>
        <v>2010</v>
      </c>
      <c r="W913" s="612">
        <f>IF(OR(AND(ISBLANK(E913),ISBLANK(G913)),ISTEXT(E913),ISTEXT(G913)),"",Q913-U913)</f>
        <v>333017908.69479936</v>
      </c>
      <c r="X913" s="561"/>
      <c r="Y913" s="449"/>
      <c r="Z913" s="449"/>
      <c r="AA913" s="693"/>
      <c r="AB913" s="452"/>
      <c r="AC913" s="452"/>
      <c r="AD913" s="571"/>
      <c r="AE913" s="452"/>
      <c r="AF913" s="571"/>
      <c r="AG913" s="452"/>
      <c r="AH913" s="452"/>
      <c r="AI913" s="453"/>
      <c r="AJ913" s="449"/>
      <c r="AK913" s="453"/>
      <c r="AL913" s="454"/>
      <c r="AM913" s="455"/>
      <c r="AN913" s="456"/>
      <c r="AO913" s="455"/>
      <c r="AP913" s="452"/>
      <c r="AQ913" s="457"/>
      <c r="AR913" s="449"/>
      <c r="AS913" s="449"/>
      <c r="AT913" s="452"/>
      <c r="AU913" s="457"/>
      <c r="AV913" s="449"/>
      <c r="AW913" s="458"/>
      <c r="AX913" s="452"/>
      <c r="AY913" s="457"/>
      <c r="AZ913" s="449"/>
      <c r="BA913" s="459"/>
      <c r="BB913" s="455"/>
      <c r="BC913" s="460"/>
      <c r="BD913" s="460"/>
      <c r="BG913" s="462"/>
    </row>
    <row r="914" spans="1:59" s="461" customFormat="1" ht="18" customHeight="1" x14ac:dyDescent="0.2">
      <c r="A914" s="1368" t="str">
        <f t="shared" si="682"/>
        <v>DUSUN TUO - GUNUNG MELINTANG2011</v>
      </c>
      <c r="B914" s="1373"/>
      <c r="C914" s="488"/>
      <c r="D914" s="489"/>
      <c r="E914" s="558"/>
      <c r="F914" s="559">
        <v>2011</v>
      </c>
      <c r="G914" s="619">
        <v>0</v>
      </c>
      <c r="H914" s="464">
        <f t="shared" ref="H914:H921" si="683">IF(N913-(F914-F913)&lt;=0,0,(N913-(F914-F913)))</f>
        <v>6</v>
      </c>
      <c r="I914" s="560"/>
      <c r="J914" s="468">
        <f t="shared" ref="J914:J921" si="684">F914+N914-1</f>
        <v>2016</v>
      </c>
      <c r="K914" s="490">
        <f t="shared" ref="K914:K921" si="685">IF(G914=0,0,IF(H914=10,100%,G914/W913))</f>
        <v>0</v>
      </c>
      <c r="L914" s="469">
        <f t="shared" ref="L914:L921" si="686">IF(K914=0%,0,IF(K914&lt;=30%,2,IF(K914&lt;=60%,5,10)))</f>
        <v>0</v>
      </c>
      <c r="M914" s="683">
        <f t="shared" ref="M914:M921" si="687">IF(OR(AND(ISBLANK(E914),ISBLANK(G914)),ISTEXT(E914),ISTEXT(G914)),"",IF(H914+L914&gt;$H$912,$H$912-H914,L914))</f>
        <v>0</v>
      </c>
      <c r="N914" s="470">
        <f t="shared" ref="N914:N921" si="688">IF(OR(AND(ISBLANK(F914),ISBLANK(G914)),ISTEXT(F914),ISTEXT(G914)),"",H914+M914)</f>
        <v>6</v>
      </c>
      <c r="O914" s="468">
        <f t="shared" ref="O914:O921" si="689">F914+N914-1</f>
        <v>2016</v>
      </c>
      <c r="P914" s="616">
        <f t="shared" ref="P914:P921" si="690">W913</f>
        <v>333017908.69479936</v>
      </c>
      <c r="Q914" s="472">
        <f t="shared" ref="Q914:Q921" si="691">P914+G914</f>
        <v>333017908.69479936</v>
      </c>
      <c r="R914" s="472">
        <f t="shared" ref="R914:R921" si="692">IF(L914=0,R913,Q914/N914)</f>
        <v>55502984.782466553</v>
      </c>
      <c r="S914" s="1189">
        <f t="shared" ref="S914:S921" si="693">F914</f>
        <v>2011</v>
      </c>
      <c r="T914" s="470">
        <f t="shared" ref="T914:T921" si="694">S914-S913</f>
        <v>1</v>
      </c>
      <c r="U914" s="612">
        <f t="shared" ref="U914:U921" si="695">R914*T914</f>
        <v>55502984.782466553</v>
      </c>
      <c r="V914" s="464">
        <f t="shared" ref="V914:V921" si="696">F914</f>
        <v>2011</v>
      </c>
      <c r="W914" s="612">
        <f t="shared" ref="W914:W921" si="697">IF(OR(AND(ISBLANK(E914),ISBLANK(G914)),ISTEXT(E914),ISTEXT(G914)),"",Q914-U914)</f>
        <v>277514923.91233283</v>
      </c>
      <c r="X914" s="561"/>
      <c r="Y914" s="449"/>
      <c r="Z914" s="449"/>
      <c r="AA914" s="694"/>
      <c r="AB914" s="692"/>
      <c r="AC914" s="692"/>
      <c r="AD914" s="695"/>
      <c r="AE914" s="452"/>
      <c r="AF914" s="571"/>
      <c r="AG914" s="452"/>
      <c r="AH914" s="452"/>
      <c r="AI914" s="453"/>
      <c r="AJ914" s="449"/>
      <c r="AK914" s="453"/>
      <c r="AL914" s="454"/>
      <c r="AM914" s="455"/>
      <c r="AN914" s="456"/>
      <c r="AO914" s="455"/>
      <c r="AP914" s="452"/>
      <c r="AQ914" s="457"/>
      <c r="AR914" s="449"/>
      <c r="AS914" s="449"/>
      <c r="AT914" s="452"/>
      <c r="AU914" s="457"/>
      <c r="AV914" s="449"/>
      <c r="AW914" s="458"/>
      <c r="AX914" s="452"/>
      <c r="AY914" s="457"/>
      <c r="AZ914" s="449"/>
      <c r="BA914" s="459"/>
      <c r="BB914" s="455"/>
      <c r="BC914" s="460"/>
      <c r="BD914" s="460"/>
      <c r="BG914" s="462"/>
    </row>
    <row r="915" spans="1:59" s="461" customFormat="1" ht="18" customHeight="1" x14ac:dyDescent="0.2">
      <c r="A915" s="1368" t="str">
        <f t="shared" si="682"/>
        <v>DUSUN TUO - GUNUNG MELINTANG2012</v>
      </c>
      <c r="B915" s="1373"/>
      <c r="C915" s="488"/>
      <c r="D915" s="489"/>
      <c r="E915" s="558"/>
      <c r="F915" s="559">
        <v>2012</v>
      </c>
      <c r="G915" s="619">
        <v>0</v>
      </c>
      <c r="H915" s="464">
        <f t="shared" si="683"/>
        <v>5</v>
      </c>
      <c r="I915" s="560"/>
      <c r="J915" s="468">
        <f t="shared" si="684"/>
        <v>2016</v>
      </c>
      <c r="K915" s="490">
        <f t="shared" si="685"/>
        <v>0</v>
      </c>
      <c r="L915" s="469">
        <f t="shared" si="686"/>
        <v>0</v>
      </c>
      <c r="M915" s="683">
        <f t="shared" si="687"/>
        <v>0</v>
      </c>
      <c r="N915" s="470">
        <f t="shared" si="688"/>
        <v>5</v>
      </c>
      <c r="O915" s="468">
        <f t="shared" si="689"/>
        <v>2016</v>
      </c>
      <c r="P915" s="616">
        <f t="shared" si="690"/>
        <v>277514923.91233283</v>
      </c>
      <c r="Q915" s="472">
        <f t="shared" si="691"/>
        <v>277514923.91233283</v>
      </c>
      <c r="R915" s="472">
        <f t="shared" si="692"/>
        <v>55502984.782466553</v>
      </c>
      <c r="S915" s="1189">
        <f t="shared" si="693"/>
        <v>2012</v>
      </c>
      <c r="T915" s="470">
        <f t="shared" si="694"/>
        <v>1</v>
      </c>
      <c r="U915" s="612">
        <f t="shared" si="695"/>
        <v>55502984.782466553</v>
      </c>
      <c r="V915" s="464">
        <f t="shared" si="696"/>
        <v>2012</v>
      </c>
      <c r="W915" s="612">
        <f t="shared" si="697"/>
        <v>222011939.12986627</v>
      </c>
      <c r="X915" s="561"/>
      <c r="Y915" s="449"/>
      <c r="Z915" s="449"/>
      <c r="AA915" s="554" t="s">
        <v>4179</v>
      </c>
      <c r="AB915" s="452"/>
      <c r="AC915" s="452"/>
      <c r="AD915" s="566"/>
      <c r="AE915" s="452"/>
      <c r="AF915" s="571"/>
      <c r="AG915" s="452"/>
      <c r="AH915" s="452"/>
      <c r="AI915" s="453"/>
      <c r="AJ915" s="449"/>
      <c r="AK915" s="453"/>
      <c r="AL915" s="454"/>
      <c r="AM915" s="455"/>
      <c r="AN915" s="456"/>
      <c r="AO915" s="455"/>
      <c r="AP915" s="452"/>
      <c r="AQ915" s="457"/>
      <c r="AR915" s="449"/>
      <c r="AS915" s="449"/>
      <c r="AT915" s="452"/>
      <c r="AU915" s="457"/>
      <c r="AV915" s="449"/>
      <c r="AW915" s="458"/>
      <c r="AX915" s="452"/>
      <c r="AY915" s="457"/>
      <c r="AZ915" s="449"/>
      <c r="BA915" s="459"/>
      <c r="BB915" s="455"/>
      <c r="BC915" s="460"/>
      <c r="BD915" s="460"/>
      <c r="BG915" s="462"/>
    </row>
    <row r="916" spans="1:59" s="461" customFormat="1" ht="18" customHeight="1" x14ac:dyDescent="0.2">
      <c r="A916" s="1368" t="str">
        <f t="shared" si="682"/>
        <v>DUSUN TUO - GUNUNG MELINTANG2013</v>
      </c>
      <c r="B916" s="1373"/>
      <c r="C916" s="488"/>
      <c r="D916" s="489"/>
      <c r="E916" s="558"/>
      <c r="F916" s="559">
        <v>2013</v>
      </c>
      <c r="G916" s="619">
        <v>0</v>
      </c>
      <c r="H916" s="464">
        <f t="shared" si="683"/>
        <v>4</v>
      </c>
      <c r="I916" s="560"/>
      <c r="J916" s="468">
        <f t="shared" si="684"/>
        <v>2016</v>
      </c>
      <c r="K916" s="490">
        <f t="shared" si="685"/>
        <v>0</v>
      </c>
      <c r="L916" s="469">
        <f t="shared" si="686"/>
        <v>0</v>
      </c>
      <c r="M916" s="683">
        <f t="shared" si="687"/>
        <v>0</v>
      </c>
      <c r="N916" s="470">
        <f t="shared" si="688"/>
        <v>4</v>
      </c>
      <c r="O916" s="468">
        <f t="shared" si="689"/>
        <v>2016</v>
      </c>
      <c r="P916" s="616">
        <f t="shared" si="690"/>
        <v>222011939.12986627</v>
      </c>
      <c r="Q916" s="472">
        <f t="shared" si="691"/>
        <v>222011939.12986627</v>
      </c>
      <c r="R916" s="472">
        <f t="shared" si="692"/>
        <v>55502984.782466553</v>
      </c>
      <c r="S916" s="1189">
        <f t="shared" si="693"/>
        <v>2013</v>
      </c>
      <c r="T916" s="470">
        <f t="shared" si="694"/>
        <v>1</v>
      </c>
      <c r="U916" s="612">
        <f t="shared" si="695"/>
        <v>55502984.782466553</v>
      </c>
      <c r="V916" s="464">
        <f t="shared" si="696"/>
        <v>2013</v>
      </c>
      <c r="W916" s="612">
        <f t="shared" si="697"/>
        <v>166508954.34739971</v>
      </c>
      <c r="X916" s="561"/>
      <c r="Y916" s="449"/>
      <c r="Z916" s="449"/>
      <c r="AA916" s="554"/>
      <c r="AB916" s="452"/>
      <c r="AC916" s="452"/>
      <c r="AD916" s="566"/>
      <c r="AE916" s="452"/>
      <c r="AF916" s="571"/>
      <c r="AG916" s="452"/>
      <c r="AH916" s="452"/>
      <c r="AI916" s="453"/>
      <c r="AJ916" s="449"/>
      <c r="AK916" s="453"/>
      <c r="AL916" s="454"/>
      <c r="AM916" s="455"/>
      <c r="AN916" s="456"/>
      <c r="AO916" s="455"/>
      <c r="AP916" s="452"/>
      <c r="AQ916" s="457"/>
      <c r="AR916" s="449"/>
      <c r="AS916" s="449"/>
      <c r="AT916" s="452"/>
      <c r="AU916" s="457"/>
      <c r="AV916" s="449"/>
      <c r="AW916" s="458"/>
      <c r="AX916" s="452"/>
      <c r="AY916" s="457"/>
      <c r="AZ916" s="449"/>
      <c r="BA916" s="459"/>
      <c r="BB916" s="455"/>
      <c r="BC916" s="460"/>
      <c r="BD916" s="460"/>
      <c r="BG916" s="462"/>
    </row>
    <row r="917" spans="1:59" s="461" customFormat="1" ht="18" customHeight="1" x14ac:dyDescent="0.2">
      <c r="A917" s="1368" t="str">
        <f t="shared" si="682"/>
        <v>DUSUN TUO - GUNUNG MELINTANG2014</v>
      </c>
      <c r="B917" s="1373">
        <v>2</v>
      </c>
      <c r="C917" s="488" t="s">
        <v>1312</v>
      </c>
      <c r="D917" s="489"/>
      <c r="E917" s="558"/>
      <c r="F917" s="559">
        <v>2014</v>
      </c>
      <c r="G917" s="619">
        <v>2410554234</v>
      </c>
      <c r="H917" s="464">
        <f t="shared" si="683"/>
        <v>3</v>
      </c>
      <c r="I917" s="560"/>
      <c r="J917" s="468">
        <f t="shared" si="684"/>
        <v>2023</v>
      </c>
      <c r="K917" s="490">
        <f t="shared" si="685"/>
        <v>14.477024634787423</v>
      </c>
      <c r="L917" s="469">
        <f t="shared" si="686"/>
        <v>10</v>
      </c>
      <c r="M917" s="683">
        <f t="shared" si="687"/>
        <v>7</v>
      </c>
      <c r="N917" s="470">
        <f t="shared" si="688"/>
        <v>10</v>
      </c>
      <c r="O917" s="468">
        <f t="shared" si="689"/>
        <v>2023</v>
      </c>
      <c r="P917" s="616">
        <f t="shared" si="690"/>
        <v>166508954.34739971</v>
      </c>
      <c r="Q917" s="472">
        <f t="shared" si="691"/>
        <v>2577063188.3473997</v>
      </c>
      <c r="R917" s="472">
        <f t="shared" si="692"/>
        <v>257706318.83473998</v>
      </c>
      <c r="S917" s="1189">
        <f t="shared" si="693"/>
        <v>2014</v>
      </c>
      <c r="T917" s="470">
        <f t="shared" si="694"/>
        <v>1</v>
      </c>
      <c r="U917" s="612">
        <f t="shared" si="695"/>
        <v>257706318.83473998</v>
      </c>
      <c r="V917" s="464">
        <f t="shared" si="696"/>
        <v>2014</v>
      </c>
      <c r="W917" s="612">
        <f t="shared" si="697"/>
        <v>2319356869.5126595</v>
      </c>
      <c r="X917" s="561"/>
      <c r="Y917" s="449"/>
      <c r="Z917" s="449"/>
      <c r="AA917" s="554"/>
      <c r="AB917" s="452"/>
      <c r="AC917" s="452"/>
      <c r="AD917" s="566"/>
      <c r="AE917" s="452"/>
      <c r="AF917" s="571"/>
      <c r="AG917" s="452"/>
      <c r="AH917" s="452"/>
      <c r="AI917" s="453"/>
      <c r="AJ917" s="449"/>
      <c r="AK917" s="453"/>
      <c r="AL917" s="454"/>
      <c r="AM917" s="455"/>
      <c r="AN917" s="456"/>
      <c r="AO917" s="455"/>
      <c r="AP917" s="452"/>
      <c r="AQ917" s="457"/>
      <c r="AR917" s="449"/>
      <c r="AS917" s="449"/>
      <c r="AT917" s="452"/>
      <c r="AU917" s="457"/>
      <c r="AV917" s="449"/>
      <c r="AW917" s="458"/>
      <c r="AX917" s="452"/>
      <c r="AY917" s="457"/>
      <c r="AZ917" s="449"/>
      <c r="BA917" s="459"/>
      <c r="BB917" s="455"/>
      <c r="BC917" s="460"/>
      <c r="BD917" s="460"/>
      <c r="BG917" s="462"/>
    </row>
    <row r="918" spans="1:59" s="461" customFormat="1" ht="18" customHeight="1" x14ac:dyDescent="0.2">
      <c r="A918" s="1368" t="str">
        <f t="shared" si="682"/>
        <v>DUSUN TUO - GUNUNG MELINTANG2015</v>
      </c>
      <c r="B918" s="1373"/>
      <c r="C918" s="488"/>
      <c r="D918" s="489"/>
      <c r="E918" s="558"/>
      <c r="F918" s="559">
        <v>2015</v>
      </c>
      <c r="G918" s="619">
        <v>0</v>
      </c>
      <c r="H918" s="464">
        <f t="shared" si="683"/>
        <v>9</v>
      </c>
      <c r="I918" s="560"/>
      <c r="J918" s="468">
        <f t="shared" si="684"/>
        <v>2023</v>
      </c>
      <c r="K918" s="490">
        <f t="shared" si="685"/>
        <v>0</v>
      </c>
      <c r="L918" s="469">
        <f t="shared" si="686"/>
        <v>0</v>
      </c>
      <c r="M918" s="683">
        <f t="shared" si="687"/>
        <v>0</v>
      </c>
      <c r="N918" s="470">
        <f t="shared" si="688"/>
        <v>9</v>
      </c>
      <c r="O918" s="468">
        <f t="shared" si="689"/>
        <v>2023</v>
      </c>
      <c r="P918" s="616">
        <f t="shared" si="690"/>
        <v>2319356869.5126595</v>
      </c>
      <c r="Q918" s="472">
        <f t="shared" si="691"/>
        <v>2319356869.5126595</v>
      </c>
      <c r="R918" s="472">
        <f t="shared" si="692"/>
        <v>257706318.83473998</v>
      </c>
      <c r="S918" s="1189">
        <f t="shared" si="693"/>
        <v>2015</v>
      </c>
      <c r="T918" s="470">
        <f t="shared" si="694"/>
        <v>1</v>
      </c>
      <c r="U918" s="612">
        <f t="shared" si="695"/>
        <v>257706318.83473998</v>
      </c>
      <c r="V918" s="464">
        <f t="shared" si="696"/>
        <v>2015</v>
      </c>
      <c r="W918" s="612">
        <f t="shared" si="697"/>
        <v>2061650550.6779196</v>
      </c>
      <c r="X918" s="561"/>
      <c r="Y918" s="449"/>
      <c r="Z918" s="449"/>
      <c r="AA918" s="554"/>
      <c r="AB918" s="452"/>
      <c r="AC918" s="452"/>
      <c r="AD918" s="566"/>
      <c r="AE918" s="452"/>
      <c r="AF918" s="571"/>
      <c r="AG918" s="452"/>
      <c r="AH918" s="452"/>
      <c r="AI918" s="453"/>
      <c r="AJ918" s="449"/>
      <c r="AK918" s="453"/>
      <c r="AL918" s="454"/>
      <c r="AM918" s="455"/>
      <c r="AN918" s="456"/>
      <c r="AO918" s="455"/>
      <c r="AP918" s="452"/>
      <c r="AQ918" s="457"/>
      <c r="AR918" s="449"/>
      <c r="AS918" s="449"/>
      <c r="AT918" s="452"/>
      <c r="AU918" s="457"/>
      <c r="AV918" s="449"/>
      <c r="AW918" s="458"/>
      <c r="AX918" s="452"/>
      <c r="AY918" s="457"/>
      <c r="AZ918" s="449"/>
      <c r="BA918" s="459"/>
      <c r="BB918" s="455"/>
      <c r="BC918" s="460"/>
      <c r="BD918" s="460"/>
      <c r="BG918" s="462"/>
    </row>
    <row r="919" spans="1:59" s="486" customFormat="1" ht="18" customHeight="1" x14ac:dyDescent="0.2">
      <c r="A919" s="1368" t="str">
        <f t="shared" si="682"/>
        <v>DUSUN TUO - GUNUNG MELINTANG2016</v>
      </c>
      <c r="B919" s="1373"/>
      <c r="C919" s="488"/>
      <c r="D919" s="489"/>
      <c r="E919" s="558"/>
      <c r="F919" s="559">
        <v>2016</v>
      </c>
      <c r="G919" s="619">
        <v>0</v>
      </c>
      <c r="H919" s="464">
        <f t="shared" si="683"/>
        <v>8</v>
      </c>
      <c r="I919" s="560"/>
      <c r="J919" s="468">
        <f t="shared" si="684"/>
        <v>2023</v>
      </c>
      <c r="K919" s="490">
        <f t="shared" si="685"/>
        <v>0</v>
      </c>
      <c r="L919" s="469">
        <f t="shared" si="686"/>
        <v>0</v>
      </c>
      <c r="M919" s="683">
        <f t="shared" si="687"/>
        <v>0</v>
      </c>
      <c r="N919" s="470">
        <f t="shared" si="688"/>
        <v>8</v>
      </c>
      <c r="O919" s="468">
        <f t="shared" si="689"/>
        <v>2023</v>
      </c>
      <c r="P919" s="616">
        <f t="shared" si="690"/>
        <v>2061650550.6779196</v>
      </c>
      <c r="Q919" s="472">
        <f t="shared" si="691"/>
        <v>2061650550.6779196</v>
      </c>
      <c r="R919" s="472">
        <f t="shared" si="692"/>
        <v>257706318.83473998</v>
      </c>
      <c r="S919" s="1189">
        <f t="shared" si="693"/>
        <v>2016</v>
      </c>
      <c r="T919" s="470">
        <f t="shared" si="694"/>
        <v>1</v>
      </c>
      <c r="U919" s="612">
        <f t="shared" si="695"/>
        <v>257706318.83473998</v>
      </c>
      <c r="V919" s="464">
        <f t="shared" si="696"/>
        <v>2016</v>
      </c>
      <c r="W919" s="612">
        <f t="shared" si="697"/>
        <v>1803944231.8431797</v>
      </c>
      <c r="X919" s="473"/>
      <c r="Y919" s="474"/>
      <c r="Z919" s="449"/>
      <c r="AA919" s="475" t="s">
        <v>4180</v>
      </c>
      <c r="AB919" s="476"/>
      <c r="AC919" s="476"/>
      <c r="AD919" s="567">
        <f>G928</f>
        <v>5160370759.8246651</v>
      </c>
      <c r="AE919" s="476"/>
      <c r="AF919" s="568"/>
      <c r="AG919" s="476"/>
      <c r="AH919" s="476"/>
      <c r="AI919" s="477"/>
      <c r="AJ919" s="478"/>
      <c r="AK919" s="479"/>
      <c r="AL919" s="480"/>
      <c r="AM919" s="474"/>
      <c r="AN919" s="481"/>
      <c r="AO919" s="474"/>
      <c r="AP919" s="476"/>
      <c r="AQ919" s="482"/>
      <c r="AR919" s="478"/>
      <c r="AS919" s="478"/>
      <c r="AT919" s="476"/>
      <c r="AU919" s="482"/>
      <c r="AV919" s="478"/>
      <c r="AW919" s="483"/>
      <c r="AX919" s="476"/>
      <c r="AY919" s="482"/>
      <c r="AZ919" s="478"/>
      <c r="BA919" s="484"/>
      <c r="BB919" s="474"/>
      <c r="BC919" s="485"/>
      <c r="BD919" s="485"/>
      <c r="BG919" s="487"/>
    </row>
    <row r="920" spans="1:59" s="486" customFormat="1" ht="18" customHeight="1" x14ac:dyDescent="0.2">
      <c r="A920" s="1368" t="str">
        <f t="shared" si="682"/>
        <v>DUSUN TUO - GUNUNG MELINTANG2017</v>
      </c>
      <c r="B920" s="1373"/>
      <c r="C920" s="488"/>
      <c r="D920" s="489"/>
      <c r="E920" s="558"/>
      <c r="F920" s="559">
        <v>2017</v>
      </c>
      <c r="G920" s="619">
        <v>0</v>
      </c>
      <c r="H920" s="464">
        <f t="shared" si="683"/>
        <v>7</v>
      </c>
      <c r="I920" s="560"/>
      <c r="J920" s="468">
        <f t="shared" si="684"/>
        <v>2023</v>
      </c>
      <c r="K920" s="490">
        <f t="shared" si="685"/>
        <v>0</v>
      </c>
      <c r="L920" s="469">
        <f t="shared" si="686"/>
        <v>0</v>
      </c>
      <c r="M920" s="683">
        <f t="shared" si="687"/>
        <v>0</v>
      </c>
      <c r="N920" s="470">
        <f t="shared" si="688"/>
        <v>7</v>
      </c>
      <c r="O920" s="468">
        <f t="shared" si="689"/>
        <v>2023</v>
      </c>
      <c r="P920" s="616">
        <f t="shared" si="690"/>
        <v>1803944231.8431797</v>
      </c>
      <c r="Q920" s="472">
        <f t="shared" si="691"/>
        <v>1803944231.8431797</v>
      </c>
      <c r="R920" s="472">
        <f t="shared" si="692"/>
        <v>257706318.83473998</v>
      </c>
      <c r="S920" s="1189">
        <f t="shared" si="693"/>
        <v>2017</v>
      </c>
      <c r="T920" s="470">
        <f t="shared" si="694"/>
        <v>1</v>
      </c>
      <c r="U920" s="612">
        <f t="shared" si="695"/>
        <v>257706318.83473998</v>
      </c>
      <c r="V920" s="464">
        <f t="shared" si="696"/>
        <v>2017</v>
      </c>
      <c r="W920" s="612">
        <f t="shared" si="697"/>
        <v>1546237913.0084398</v>
      </c>
      <c r="X920" s="473"/>
      <c r="Y920" s="478"/>
      <c r="Z920" s="449"/>
      <c r="AA920" s="475" t="s">
        <v>4181</v>
      </c>
      <c r="AB920" s="491"/>
      <c r="AC920" s="491"/>
      <c r="AD920" s="567">
        <f>U928</f>
        <v>2025384314.8683355</v>
      </c>
      <c r="AE920" s="491"/>
      <c r="AF920" s="568"/>
      <c r="AG920" s="491"/>
      <c r="AH920" s="491"/>
      <c r="AI920" s="477"/>
      <c r="AJ920" s="478"/>
      <c r="AK920" s="479"/>
      <c r="AL920" s="480"/>
      <c r="AM920" s="474"/>
      <c r="AN920" s="481"/>
      <c r="AO920" s="474"/>
      <c r="AP920" s="476"/>
      <c r="AQ920" s="482"/>
      <c r="AR920" s="478"/>
      <c r="AS920" s="478"/>
      <c r="AT920" s="476"/>
      <c r="AU920" s="482"/>
      <c r="AV920" s="478"/>
      <c r="AW920" s="483"/>
      <c r="AX920" s="476"/>
      <c r="AY920" s="482"/>
      <c r="AZ920" s="478"/>
      <c r="BA920" s="484"/>
      <c r="BB920" s="474"/>
      <c r="BC920" s="485"/>
      <c r="BD920" s="485"/>
      <c r="BG920" s="487"/>
    </row>
    <row r="921" spans="1:59" s="486" customFormat="1" ht="18" customHeight="1" x14ac:dyDescent="0.2">
      <c r="A921" s="1368" t="str">
        <f t="shared" si="682"/>
        <v>DUSUN TUO - GUNUNG MELINTANG2018</v>
      </c>
      <c r="B921" s="1373"/>
      <c r="C921" s="463"/>
      <c r="D921" s="489"/>
      <c r="E921" s="465"/>
      <c r="F921" s="559">
        <v>2018</v>
      </c>
      <c r="G921" s="619">
        <v>0</v>
      </c>
      <c r="H921" s="464">
        <f t="shared" si="683"/>
        <v>6</v>
      </c>
      <c r="I921" s="560"/>
      <c r="J921" s="468">
        <f t="shared" si="684"/>
        <v>2023</v>
      </c>
      <c r="K921" s="490">
        <f t="shared" si="685"/>
        <v>0</v>
      </c>
      <c r="L921" s="469">
        <f t="shared" si="686"/>
        <v>0</v>
      </c>
      <c r="M921" s="683">
        <f t="shared" si="687"/>
        <v>0</v>
      </c>
      <c r="N921" s="470">
        <f t="shared" si="688"/>
        <v>6</v>
      </c>
      <c r="O921" s="468">
        <f t="shared" si="689"/>
        <v>2023</v>
      </c>
      <c r="P921" s="616">
        <f t="shared" si="690"/>
        <v>1546237913.0084398</v>
      </c>
      <c r="Q921" s="472">
        <f t="shared" si="691"/>
        <v>1546237913.0084398</v>
      </c>
      <c r="R921" s="472">
        <f t="shared" si="692"/>
        <v>257706318.83473998</v>
      </c>
      <c r="S921" s="1189">
        <f t="shared" si="693"/>
        <v>2018</v>
      </c>
      <c r="T921" s="470">
        <f t="shared" si="694"/>
        <v>1</v>
      </c>
      <c r="U921" s="612">
        <f t="shared" si="695"/>
        <v>257706318.83473998</v>
      </c>
      <c r="V921" s="464">
        <f t="shared" si="696"/>
        <v>2018</v>
      </c>
      <c r="W921" s="612">
        <f t="shared" si="697"/>
        <v>1288531594.1736999</v>
      </c>
      <c r="X921" s="473"/>
      <c r="Y921" s="478"/>
      <c r="Z921" s="449"/>
      <c r="AA921" s="492" t="s">
        <v>4182</v>
      </c>
      <c r="AB921" s="476"/>
      <c r="AC921" s="476"/>
      <c r="AD921" s="567">
        <f>AD919-AD920</f>
        <v>3134986444.9563293</v>
      </c>
      <c r="AE921" s="476"/>
      <c r="AF921" s="568"/>
      <c r="AG921" s="476"/>
      <c r="AH921" s="476"/>
      <c r="AI921" s="477"/>
      <c r="AJ921" s="478"/>
      <c r="AK921" s="479"/>
      <c r="AL921" s="480"/>
      <c r="AM921" s="474"/>
      <c r="AN921" s="481"/>
      <c r="AO921" s="474"/>
      <c r="AP921" s="476"/>
      <c r="AQ921" s="482"/>
      <c r="AR921" s="478"/>
      <c r="AS921" s="478"/>
      <c r="AT921" s="476"/>
      <c r="AU921" s="482"/>
      <c r="AV921" s="478"/>
      <c r="AW921" s="483"/>
      <c r="AX921" s="476"/>
      <c r="AY921" s="482"/>
      <c r="AZ921" s="478"/>
      <c r="BA921" s="484"/>
      <c r="BB921" s="474"/>
      <c r="BC921" s="485"/>
      <c r="BD921" s="485"/>
      <c r="BG921" s="487"/>
    </row>
    <row r="922" spans="1:59" s="486" customFormat="1" ht="18" customHeight="1" x14ac:dyDescent="0.2">
      <c r="A922" s="1368" t="str">
        <f t="shared" si="682"/>
        <v>DUSUN TUO - GUNUNG MELINTANG2019</v>
      </c>
      <c r="B922" s="687">
        <v>3</v>
      </c>
      <c r="C922" s="463" t="s">
        <v>5506</v>
      </c>
      <c r="D922" s="489"/>
      <c r="E922" s="465"/>
      <c r="F922" s="559">
        <v>2019</v>
      </c>
      <c r="G922" s="619">
        <v>2194786678</v>
      </c>
      <c r="H922" s="464">
        <f>IF(N921-(F922-F921)&lt;=0,0,(N921-(F922-F921)))</f>
        <v>5</v>
      </c>
      <c r="I922" s="560"/>
      <c r="J922" s="468">
        <f>F922+N922-1</f>
        <v>2028</v>
      </c>
      <c r="K922" s="490">
        <f>IF(G922=0,0,IF(H922=10,100%,G922/W921))</f>
        <v>1.7033239137667064</v>
      </c>
      <c r="L922" s="469">
        <f>IF(K922=0%,0,IF(K922&lt;=30%,2,IF(K922&lt;=60%,5,10)))</f>
        <v>10</v>
      </c>
      <c r="M922" s="683">
        <f>IF(OR(AND(ISBLANK(E922),ISBLANK(G922)),ISTEXT(E922),ISTEXT(G922)),"",IF(H922+L922&gt;$H$912,$H$912-H922,L922))</f>
        <v>5</v>
      </c>
      <c r="N922" s="470">
        <f>IF(OR(AND(ISBLANK(F922),ISBLANK(G922)),ISTEXT(F922),ISTEXT(G922)),"",H922+M922)</f>
        <v>10</v>
      </c>
      <c r="O922" s="468">
        <f>F922+N922-1</f>
        <v>2028</v>
      </c>
      <c r="P922" s="616">
        <f>W921</f>
        <v>1288531594.1736999</v>
      </c>
      <c r="Q922" s="472">
        <f>P922+G922</f>
        <v>3483318272.1736999</v>
      </c>
      <c r="R922" s="472">
        <f>IF(L922=0,R921,Q922/N922)</f>
        <v>348331827.21736997</v>
      </c>
      <c r="S922" s="1189">
        <f>F922</f>
        <v>2019</v>
      </c>
      <c r="T922" s="470">
        <f>S922-S921</f>
        <v>1</v>
      </c>
      <c r="U922" s="612">
        <f>R922*T922</f>
        <v>348331827.21736997</v>
      </c>
      <c r="V922" s="464">
        <f>F922</f>
        <v>2019</v>
      </c>
      <c r="W922" s="612">
        <f>IF(OR(AND(ISBLANK(E922),ISBLANK(G922)),ISTEXT(E922),ISTEXT(G922)),"",Q922-U922)</f>
        <v>3134986444.9563298</v>
      </c>
      <c r="X922" s="473"/>
      <c r="Y922" s="478"/>
      <c r="Z922" s="449"/>
      <c r="AA922" s="531" t="s">
        <v>4183</v>
      </c>
      <c r="AB922" s="496"/>
      <c r="AC922" s="496"/>
      <c r="AD922" s="569">
        <f>AD921-W928</f>
        <v>0</v>
      </c>
      <c r="AE922" s="476"/>
      <c r="AF922" s="568"/>
      <c r="AG922" s="476"/>
      <c r="AH922" s="476"/>
      <c r="AI922" s="477"/>
      <c r="AJ922" s="478"/>
      <c r="AK922" s="479"/>
      <c r="AL922" s="480"/>
      <c r="AM922" s="474"/>
      <c r="AN922" s="481"/>
      <c r="AO922" s="474"/>
      <c r="AP922" s="476"/>
      <c r="AQ922" s="482"/>
      <c r="AR922" s="478"/>
      <c r="AS922" s="478"/>
      <c r="AT922" s="476"/>
      <c r="AU922" s="482"/>
      <c r="AV922" s="478"/>
      <c r="AW922" s="483"/>
      <c r="AX922" s="476"/>
      <c r="AY922" s="482"/>
      <c r="AZ922" s="478"/>
      <c r="BA922" s="484"/>
      <c r="BB922" s="474"/>
      <c r="BC922" s="485"/>
      <c r="BD922" s="485"/>
      <c r="BG922" s="487"/>
    </row>
    <row r="923" spans="1:59" s="486" customFormat="1" ht="18" customHeight="1" x14ac:dyDescent="0.2">
      <c r="A923" s="1368"/>
      <c r="B923" s="687"/>
      <c r="C923" s="463"/>
      <c r="D923" s="489"/>
      <c r="E923" s="465"/>
      <c r="F923" s="559"/>
      <c r="G923" s="619"/>
      <c r="H923" s="464"/>
      <c r="I923" s="560"/>
      <c r="J923" s="468"/>
      <c r="K923" s="490"/>
      <c r="L923" s="469"/>
      <c r="M923" s="683"/>
      <c r="N923" s="470"/>
      <c r="O923" s="468"/>
      <c r="P923" s="616"/>
      <c r="Q923" s="472"/>
      <c r="R923" s="472"/>
      <c r="S923" s="1189"/>
      <c r="T923" s="470"/>
      <c r="U923" s="612"/>
      <c r="V923" s="464"/>
      <c r="W923" s="612"/>
      <c r="X923" s="473"/>
      <c r="Y923" s="478"/>
      <c r="Z923" s="449"/>
      <c r="AA923" s="573"/>
      <c r="AB923" s="476"/>
      <c r="AC923" s="476"/>
      <c r="AD923" s="568"/>
      <c r="AE923" s="476"/>
      <c r="AF923" s="568"/>
      <c r="AG923" s="476"/>
      <c r="AH923" s="476"/>
      <c r="AI923" s="477"/>
      <c r="AJ923" s="478"/>
      <c r="AK923" s="479"/>
      <c r="AL923" s="480"/>
      <c r="AM923" s="474"/>
      <c r="AN923" s="481"/>
      <c r="AO923" s="474"/>
      <c r="AP923" s="476"/>
      <c r="AQ923" s="482"/>
      <c r="AR923" s="478"/>
      <c r="AS923" s="478"/>
      <c r="AT923" s="476"/>
      <c r="AU923" s="482"/>
      <c r="AV923" s="478"/>
      <c r="AW923" s="483"/>
      <c r="AX923" s="476"/>
      <c r="AY923" s="482"/>
      <c r="AZ923" s="478"/>
      <c r="BA923" s="484"/>
      <c r="BB923" s="474"/>
      <c r="BC923" s="485"/>
      <c r="BD923" s="485"/>
      <c r="BG923" s="487"/>
    </row>
    <row r="924" spans="1:59" s="486" customFormat="1" ht="18" customHeight="1" x14ac:dyDescent="0.2">
      <c r="A924" s="1368"/>
      <c r="B924" s="687"/>
      <c r="C924" s="463"/>
      <c r="D924" s="489"/>
      <c r="E924" s="465"/>
      <c r="F924" s="559"/>
      <c r="G924" s="619"/>
      <c r="H924" s="464"/>
      <c r="I924" s="560"/>
      <c r="J924" s="468"/>
      <c r="K924" s="490"/>
      <c r="L924" s="469"/>
      <c r="M924" s="683"/>
      <c r="N924" s="470"/>
      <c r="O924" s="468"/>
      <c r="P924" s="616"/>
      <c r="Q924" s="472"/>
      <c r="R924" s="472"/>
      <c r="S924" s="1189"/>
      <c r="T924" s="470"/>
      <c r="U924" s="612"/>
      <c r="V924" s="464"/>
      <c r="W924" s="612"/>
      <c r="X924" s="473"/>
      <c r="Y924" s="478"/>
      <c r="Z924" s="449"/>
      <c r="AA924" s="573"/>
      <c r="AB924" s="476"/>
      <c r="AC924" s="476"/>
      <c r="AD924" s="568"/>
      <c r="AE924" s="476"/>
      <c r="AF924" s="568"/>
      <c r="AG924" s="476"/>
      <c r="AH924" s="476"/>
      <c r="AI924" s="477"/>
      <c r="AJ924" s="478"/>
      <c r="AK924" s="479"/>
      <c r="AL924" s="480"/>
      <c r="AM924" s="474"/>
      <c r="AN924" s="481"/>
      <c r="AO924" s="474"/>
      <c r="AP924" s="476"/>
      <c r="AQ924" s="482"/>
      <c r="AR924" s="478"/>
      <c r="AS924" s="478"/>
      <c r="AT924" s="476"/>
      <c r="AU924" s="482"/>
      <c r="AV924" s="478"/>
      <c r="AW924" s="483"/>
      <c r="AX924" s="476"/>
      <c r="AY924" s="482"/>
      <c r="AZ924" s="478"/>
      <c r="BA924" s="484"/>
      <c r="BB924" s="474"/>
      <c r="BC924" s="485"/>
      <c r="BD924" s="485"/>
      <c r="BG924" s="487"/>
    </row>
    <row r="925" spans="1:59" s="486" customFormat="1" ht="18" customHeight="1" x14ac:dyDescent="0.2">
      <c r="A925" s="1368"/>
      <c r="B925" s="687"/>
      <c r="C925" s="463"/>
      <c r="D925" s="489"/>
      <c r="E925" s="465"/>
      <c r="F925" s="559"/>
      <c r="G925" s="619"/>
      <c r="H925" s="464"/>
      <c r="I925" s="560"/>
      <c r="J925" s="468"/>
      <c r="K925" s="490"/>
      <c r="L925" s="469"/>
      <c r="M925" s="683"/>
      <c r="N925" s="470"/>
      <c r="O925" s="468"/>
      <c r="P925" s="616"/>
      <c r="Q925" s="472"/>
      <c r="R925" s="472"/>
      <c r="S925" s="1189"/>
      <c r="T925" s="470"/>
      <c r="U925" s="612"/>
      <c r="V925" s="464"/>
      <c r="W925" s="612"/>
      <c r="X925" s="473"/>
      <c r="Y925" s="478"/>
      <c r="Z925" s="449"/>
      <c r="AA925" s="573"/>
      <c r="AB925" s="476"/>
      <c r="AC925" s="476"/>
      <c r="AD925" s="568"/>
      <c r="AE925" s="476"/>
      <c r="AF925" s="568"/>
      <c r="AG925" s="476"/>
      <c r="AH925" s="476"/>
      <c r="AI925" s="477"/>
      <c r="AJ925" s="478"/>
      <c r="AK925" s="479"/>
      <c r="AL925" s="480"/>
      <c r="AM925" s="474"/>
      <c r="AN925" s="481"/>
      <c r="AO925" s="474"/>
      <c r="AP925" s="476"/>
      <c r="AQ925" s="482"/>
      <c r="AR925" s="478"/>
      <c r="AS925" s="478"/>
      <c r="AT925" s="476"/>
      <c r="AU925" s="482"/>
      <c r="AV925" s="478"/>
      <c r="AW925" s="483"/>
      <c r="AX925" s="476"/>
      <c r="AY925" s="482"/>
      <c r="AZ925" s="478"/>
      <c r="BA925" s="484"/>
      <c r="BB925" s="474"/>
      <c r="BC925" s="485"/>
      <c r="BD925" s="485"/>
      <c r="BG925" s="487"/>
    </row>
    <row r="926" spans="1:59" s="486" customFormat="1" ht="18" customHeight="1" x14ac:dyDescent="0.2">
      <c r="A926" s="1368"/>
      <c r="B926" s="687"/>
      <c r="C926" s="463"/>
      <c r="D926" s="489"/>
      <c r="E926" s="465"/>
      <c r="F926" s="559"/>
      <c r="G926" s="619"/>
      <c r="H926" s="464"/>
      <c r="I926" s="467"/>
      <c r="J926" s="468"/>
      <c r="K926" s="490"/>
      <c r="L926" s="469"/>
      <c r="M926" s="683"/>
      <c r="N926" s="470"/>
      <c r="O926" s="468"/>
      <c r="P926" s="616"/>
      <c r="Q926" s="472"/>
      <c r="R926" s="472"/>
      <c r="S926" s="1189"/>
      <c r="T926" s="470"/>
      <c r="U926" s="612"/>
      <c r="V926" s="464"/>
      <c r="W926" s="612"/>
      <c r="X926" s="473"/>
      <c r="Y926" s="478"/>
      <c r="Z926" s="449"/>
      <c r="AA926" s="573"/>
      <c r="AB926" s="476"/>
      <c r="AC926" s="476"/>
      <c r="AD926" s="568"/>
      <c r="AE926" s="476"/>
      <c r="AF926" s="568"/>
      <c r="AG926" s="476"/>
      <c r="AH926" s="476"/>
      <c r="AI926" s="477"/>
      <c r="AJ926" s="478"/>
      <c r="AK926" s="479"/>
      <c r="AL926" s="480"/>
      <c r="AM926" s="474"/>
      <c r="AN926" s="481"/>
      <c r="AO926" s="474"/>
      <c r="AP926" s="476"/>
      <c r="AQ926" s="482"/>
      <c r="AR926" s="478"/>
      <c r="AS926" s="478"/>
      <c r="AT926" s="476"/>
      <c r="AU926" s="482"/>
      <c r="AV926" s="478"/>
      <c r="AW926" s="483"/>
      <c r="AX926" s="476"/>
      <c r="AY926" s="482"/>
      <c r="AZ926" s="478"/>
      <c r="BA926" s="484"/>
      <c r="BB926" s="474"/>
      <c r="BC926" s="485"/>
      <c r="BD926" s="485"/>
      <c r="BG926" s="487"/>
    </row>
    <row r="927" spans="1:59" s="486" customFormat="1" ht="18" customHeight="1" x14ac:dyDescent="0.2">
      <c r="A927" s="1368" t="str">
        <f>LEFT(D927,8)</f>
        <v/>
      </c>
      <c r="B927" s="687"/>
      <c r="C927" s="463"/>
      <c r="D927" s="489"/>
      <c r="E927" s="465"/>
      <c r="F927" s="466"/>
      <c r="G927" s="620"/>
      <c r="H927" s="557"/>
      <c r="I927" s="467"/>
      <c r="J927" s="468"/>
      <c r="K927" s="490"/>
      <c r="L927" s="469"/>
      <c r="M927" s="683"/>
      <c r="N927" s="470"/>
      <c r="O927" s="468"/>
      <c r="P927" s="616"/>
      <c r="Q927" s="472"/>
      <c r="R927" s="472"/>
      <c r="S927" s="1189"/>
      <c r="T927" s="470"/>
      <c r="U927" s="612"/>
      <c r="V927" s="464"/>
      <c r="W927" s="612"/>
      <c r="X927" s="473"/>
      <c r="Y927" s="497"/>
      <c r="Z927" s="449"/>
      <c r="AA927" s="497"/>
      <c r="AB927" s="476"/>
      <c r="AC927" s="497"/>
      <c r="AD927" s="568"/>
      <c r="AE927" s="476"/>
      <c r="AF927" s="568"/>
      <c r="AG927" s="476"/>
      <c r="AH927" s="476"/>
      <c r="AI927" s="477"/>
      <c r="AJ927" s="478"/>
      <c r="AK927" s="479"/>
      <c r="AL927" s="480"/>
      <c r="AM927" s="474"/>
      <c r="AN927" s="481"/>
      <c r="AO927" s="474"/>
      <c r="AP927" s="476"/>
      <c r="AQ927" s="482"/>
      <c r="AR927" s="478"/>
      <c r="AS927" s="478"/>
      <c r="AT927" s="476"/>
      <c r="AU927" s="482"/>
      <c r="AV927" s="478"/>
      <c r="AW927" s="483"/>
      <c r="AX927" s="476"/>
      <c r="AY927" s="482"/>
      <c r="AZ927" s="478"/>
      <c r="BA927" s="484"/>
      <c r="BB927" s="474"/>
      <c r="BC927" s="485"/>
      <c r="BD927" s="485"/>
      <c r="BG927" s="487"/>
    </row>
    <row r="928" spans="1:59" s="526" customFormat="1" ht="18" customHeight="1" x14ac:dyDescent="0.2">
      <c r="A928" s="1370" t="s">
        <v>4184</v>
      </c>
      <c r="B928" s="1956" t="s">
        <v>4184</v>
      </c>
      <c r="C928" s="1957"/>
      <c r="D928" s="1957"/>
      <c r="E928" s="1957"/>
      <c r="F928" s="1958"/>
      <c r="G928" s="624">
        <f>SUM(G912:G927)</f>
        <v>5160370759.8246651</v>
      </c>
      <c r="H928" s="505"/>
      <c r="I928" s="506"/>
      <c r="J928" s="507"/>
      <c r="K928" s="507"/>
      <c r="L928" s="505"/>
      <c r="M928" s="684"/>
      <c r="N928" s="508"/>
      <c r="O928" s="507"/>
      <c r="P928" s="749"/>
      <c r="Q928" s="510"/>
      <c r="R928" s="511"/>
      <c r="S928" s="512"/>
      <c r="T928" s="512"/>
      <c r="U928" s="610">
        <f>SUM(U912:U927)</f>
        <v>2025384314.8683355</v>
      </c>
      <c r="V928" s="513"/>
      <c r="W928" s="610">
        <f>G928-U928</f>
        <v>3134986444.9563293</v>
      </c>
      <c r="X928" s="514"/>
      <c r="Y928" s="515"/>
      <c r="Z928" s="515"/>
      <c r="AA928" s="515"/>
      <c r="AB928" s="515"/>
      <c r="AC928" s="515"/>
      <c r="AD928" s="570"/>
      <c r="AE928" s="515"/>
      <c r="AF928" s="570">
        <v>3453653722.8182082</v>
      </c>
      <c r="AG928" s="515"/>
      <c r="AH928" s="515"/>
      <c r="AI928" s="516"/>
      <c r="AJ928" s="517"/>
      <c r="AK928" s="518"/>
      <c r="AL928" s="519"/>
      <c r="AM928" s="520"/>
      <c r="AN928" s="521"/>
      <c r="AO928" s="520"/>
      <c r="AP928" s="515"/>
      <c r="AQ928" s="522"/>
      <c r="AR928" s="517"/>
      <c r="AS928" s="517"/>
      <c r="AT928" s="515"/>
      <c r="AU928" s="522"/>
      <c r="AV928" s="517"/>
      <c r="AW928" s="523"/>
      <c r="AX928" s="515"/>
      <c r="AY928" s="522"/>
      <c r="AZ928" s="517"/>
      <c r="BA928" s="524"/>
      <c r="BB928" s="520"/>
      <c r="BC928" s="525"/>
      <c r="BD928" s="525"/>
      <c r="BG928" s="527"/>
    </row>
    <row r="932" spans="1:59" s="422" customFormat="1" ht="18" customHeight="1" x14ac:dyDescent="0.2">
      <c r="A932" s="1376">
        <f>C932</f>
        <v>161</v>
      </c>
      <c r="B932" s="742" t="s">
        <v>4187</v>
      </c>
      <c r="C932" s="556">
        <v>161</v>
      </c>
      <c r="D932" s="553" t="str">
        <f>VLOOKUP(C932,RUAS,2,FALSE)</f>
        <v>KOTO RAJO - PL. JAMBU</v>
      </c>
      <c r="E932" s="553"/>
      <c r="F932" s="421"/>
      <c r="G932" s="611"/>
      <c r="I932" s="423"/>
      <c r="J932" s="424"/>
      <c r="K932" s="424"/>
      <c r="M932" s="680"/>
      <c r="P932" s="611"/>
      <c r="U932" s="611"/>
      <c r="W932" s="611"/>
      <c r="Y932" s="425"/>
      <c r="Z932" s="425"/>
      <c r="AA932" s="425"/>
      <c r="AB932" s="425"/>
      <c r="AC932" s="425"/>
      <c r="AD932" s="563"/>
      <c r="AE932" s="425"/>
      <c r="AF932" s="563"/>
      <c r="AG932" s="425"/>
      <c r="AH932" s="425"/>
      <c r="AI932" s="425"/>
      <c r="AJ932" s="425"/>
      <c r="AK932" s="425"/>
      <c r="AL932" s="425"/>
      <c r="AM932" s="425"/>
      <c r="AN932" s="425"/>
      <c r="AO932" s="425"/>
      <c r="AP932" s="425"/>
      <c r="AQ932" s="425"/>
      <c r="AR932" s="425"/>
      <c r="AS932" s="425"/>
      <c r="AT932" s="425"/>
      <c r="AU932" s="425"/>
      <c r="AV932" s="425"/>
      <c r="AW932" s="425"/>
      <c r="AX932" s="425"/>
      <c r="AY932" s="425"/>
      <c r="AZ932" s="425"/>
      <c r="BA932" s="425"/>
      <c r="BB932" s="425"/>
    </row>
    <row r="933" spans="1:59" s="431" customFormat="1" ht="18" customHeight="1" x14ac:dyDescent="0.2">
      <c r="A933" s="1367"/>
      <c r="B933" s="1968" t="s">
        <v>5</v>
      </c>
      <c r="C933" s="1968" t="s">
        <v>2280</v>
      </c>
      <c r="D933" s="1968" t="s">
        <v>4157</v>
      </c>
      <c r="E933" s="1968" t="s">
        <v>4158</v>
      </c>
      <c r="F933" s="1968"/>
      <c r="G933" s="1969" t="s">
        <v>4159</v>
      </c>
      <c r="H933" s="1968" t="s">
        <v>4160</v>
      </c>
      <c r="I933" s="1968"/>
      <c r="J933" s="1968" t="s">
        <v>4185</v>
      </c>
      <c r="K933" s="1964" t="s">
        <v>4162</v>
      </c>
      <c r="L933" s="1968" t="s">
        <v>4163</v>
      </c>
      <c r="M933" s="1971" t="s">
        <v>4164</v>
      </c>
      <c r="N933" s="1962" t="s">
        <v>4165</v>
      </c>
      <c r="O933" s="1968" t="s">
        <v>4166</v>
      </c>
      <c r="P933" s="1972" t="s">
        <v>4167</v>
      </c>
      <c r="Q933" s="1973"/>
      <c r="R933" s="636" t="s">
        <v>4186</v>
      </c>
      <c r="S933" s="1972" t="s">
        <v>4169</v>
      </c>
      <c r="T933" s="1974"/>
      <c r="U933" s="1973"/>
      <c r="V933" s="1975" t="s">
        <v>4170</v>
      </c>
      <c r="W933" s="1975"/>
      <c r="X933" s="1960" t="s">
        <v>4171</v>
      </c>
      <c r="Y933" s="1959"/>
      <c r="Z933" s="633"/>
      <c r="AA933" s="426"/>
      <c r="AB933" s="426"/>
      <c r="AC933" s="426"/>
      <c r="AD933" s="564"/>
      <c r="AE933" s="426"/>
      <c r="AF933" s="564"/>
      <c r="AG933" s="426"/>
      <c r="AH933" s="426"/>
      <c r="AI933" s="427"/>
      <c r="AJ933" s="427"/>
      <c r="AK933" s="427"/>
      <c r="AL933" s="427"/>
      <c r="AM933" s="428"/>
      <c r="AN933" s="427"/>
      <c r="AO933" s="427"/>
      <c r="AP933" s="426"/>
      <c r="AQ933" s="427"/>
      <c r="AR933" s="427"/>
      <c r="AS933" s="427"/>
      <c r="AT933" s="426"/>
      <c r="AU933" s="427"/>
      <c r="AV933" s="427"/>
      <c r="AW933" s="427"/>
      <c r="AX933" s="426"/>
      <c r="AY933" s="427"/>
      <c r="AZ933" s="427"/>
      <c r="BA933" s="427"/>
      <c r="BB933" s="429"/>
      <c r="BC933" s="430"/>
      <c r="BD933" s="430"/>
    </row>
    <row r="934" spans="1:59" s="431" customFormat="1" ht="18" customHeight="1" x14ac:dyDescent="0.2">
      <c r="A934" s="1367"/>
      <c r="B934" s="1968"/>
      <c r="C934" s="1968"/>
      <c r="D934" s="1968"/>
      <c r="E934" s="1968"/>
      <c r="F934" s="1968"/>
      <c r="G934" s="1969"/>
      <c r="H934" s="1968"/>
      <c r="I934" s="1968"/>
      <c r="J934" s="1968"/>
      <c r="K934" s="1970"/>
      <c r="L934" s="1968"/>
      <c r="M934" s="1971"/>
      <c r="N934" s="1963"/>
      <c r="O934" s="1968"/>
      <c r="P934" s="2037" t="s">
        <v>4172</v>
      </c>
      <c r="Q934" s="1960" t="s">
        <v>4173</v>
      </c>
      <c r="R934" s="1962" t="s">
        <v>4159</v>
      </c>
      <c r="S934" s="1962" t="s">
        <v>4174</v>
      </c>
      <c r="T934" s="1964" t="s">
        <v>4175</v>
      </c>
      <c r="U934" s="1966" t="s">
        <v>4159</v>
      </c>
      <c r="V934" s="1975"/>
      <c r="W934" s="1975"/>
      <c r="X934" s="1976"/>
      <c r="Y934" s="1959"/>
      <c r="Z934" s="633"/>
      <c r="AA934" s="426"/>
      <c r="AB934" s="426"/>
      <c r="AC934" s="426"/>
      <c r="AD934" s="564"/>
      <c r="AE934" s="426"/>
      <c r="AF934" s="564"/>
      <c r="AG934" s="426"/>
      <c r="AH934" s="426"/>
      <c r="AI934" s="427"/>
      <c r="AJ934" s="427"/>
      <c r="AK934" s="426"/>
      <c r="AL934" s="427"/>
      <c r="AM934" s="428"/>
      <c r="AN934" s="427"/>
      <c r="AO934" s="427"/>
      <c r="AP934" s="432"/>
      <c r="AQ934" s="427"/>
      <c r="AR934" s="427"/>
      <c r="AS934" s="427"/>
      <c r="AT934" s="432"/>
      <c r="AU934" s="427"/>
      <c r="AV934" s="427"/>
      <c r="AW934" s="427"/>
      <c r="AX934" s="432"/>
      <c r="AY934" s="427"/>
      <c r="AZ934" s="427"/>
      <c r="BA934" s="427"/>
      <c r="BB934" s="429"/>
      <c r="BC934" s="430"/>
      <c r="BD934" s="430"/>
    </row>
    <row r="935" spans="1:59" s="431" customFormat="1" ht="18" customHeight="1" x14ac:dyDescent="0.2">
      <c r="A935" s="1367"/>
      <c r="B935" s="1968"/>
      <c r="C935" s="1968"/>
      <c r="D935" s="1968"/>
      <c r="E935" s="433" t="s">
        <v>4176</v>
      </c>
      <c r="F935" s="434" t="s">
        <v>2288</v>
      </c>
      <c r="G935" s="1969"/>
      <c r="H935" s="635" t="s">
        <v>2288</v>
      </c>
      <c r="I935" s="635" t="s">
        <v>4177</v>
      </c>
      <c r="J935" s="1968"/>
      <c r="K935" s="1965"/>
      <c r="L935" s="435" t="s">
        <v>2288</v>
      </c>
      <c r="M935" s="681" t="s">
        <v>2288</v>
      </c>
      <c r="N935" s="635" t="s">
        <v>2288</v>
      </c>
      <c r="O935" s="1968"/>
      <c r="P935" s="2038"/>
      <c r="Q935" s="1961"/>
      <c r="R935" s="1963"/>
      <c r="S935" s="1963"/>
      <c r="T935" s="1965"/>
      <c r="U935" s="1967"/>
      <c r="V935" s="635" t="s">
        <v>4178</v>
      </c>
      <c r="W935" s="637" t="s">
        <v>4159</v>
      </c>
      <c r="X935" s="1961"/>
      <c r="Y935" s="436"/>
      <c r="Z935" s="436"/>
      <c r="AA935" s="426"/>
      <c r="AB935" s="426"/>
      <c r="AC935" s="426"/>
      <c r="AD935" s="564"/>
      <c r="AE935" s="426"/>
      <c r="AF935" s="564"/>
      <c r="AG935" s="426"/>
      <c r="AH935" s="426"/>
      <c r="AI935" s="427"/>
      <c r="AJ935" s="432"/>
      <c r="AK935" s="432"/>
      <c r="AL935" s="427"/>
      <c r="AM935" s="428"/>
      <c r="AN935" s="432"/>
      <c r="AO935" s="427"/>
      <c r="AP935" s="432"/>
      <c r="AQ935" s="432"/>
      <c r="AR935" s="427"/>
      <c r="AS935" s="427"/>
      <c r="AT935" s="432"/>
      <c r="AU935" s="432"/>
      <c r="AV935" s="427"/>
      <c r="AW935" s="427"/>
      <c r="AX935" s="432"/>
      <c r="AY935" s="432"/>
      <c r="AZ935" s="427"/>
      <c r="BA935" s="427"/>
      <c r="BB935" s="429"/>
      <c r="BC935" s="430"/>
      <c r="BD935" s="430"/>
    </row>
    <row r="936" spans="1:59" s="461" customFormat="1" ht="18" customHeight="1" x14ac:dyDescent="0.2">
      <c r="A936" s="1368" t="str">
        <f>$D$932&amp;S936</f>
        <v>KOTO RAJO - PL. JAMBU2001</v>
      </c>
      <c r="B936" s="1373">
        <v>1</v>
      </c>
      <c r="C936" s="532" t="s">
        <v>1140</v>
      </c>
      <c r="D936" s="437" t="s">
        <v>2494</v>
      </c>
      <c r="E936" s="438"/>
      <c r="F936" s="439">
        <v>2001</v>
      </c>
      <c r="G936" s="623">
        <v>15371093732.342295</v>
      </c>
      <c r="H936" s="440">
        <f>VLOOKUP(LEFT(D936,8),UE,4)</f>
        <v>10</v>
      </c>
      <c r="I936" s="441"/>
      <c r="J936" s="442">
        <f>F936+N936-1</f>
        <v>2010</v>
      </c>
      <c r="K936" s="443"/>
      <c r="L936" s="440"/>
      <c r="M936" s="746">
        <f>IF(H936+L936&gt;$H936,$H936-H936,L936)</f>
        <v>0</v>
      </c>
      <c r="N936" s="444">
        <f>H936+M936</f>
        <v>10</v>
      </c>
      <c r="O936" s="442">
        <f>F936+N936-1</f>
        <v>2010</v>
      </c>
      <c r="P936" s="617">
        <f>G936</f>
        <v>15371093732.342295</v>
      </c>
      <c r="Q936" s="445">
        <v>0</v>
      </c>
      <c r="R936" s="445">
        <f>P936/N936</f>
        <v>1537109373.2342296</v>
      </c>
      <c r="S936" s="446">
        <f>F936</f>
        <v>2001</v>
      </c>
      <c r="T936" s="447">
        <v>1</v>
      </c>
      <c r="U936" s="613">
        <f>R936*T936</f>
        <v>1537109373.2342296</v>
      </c>
      <c r="V936" s="442">
        <f>F936</f>
        <v>2001</v>
      </c>
      <c r="W936" s="617">
        <f>IF(OR(AND(ISBLANK(E936),ISBLANK(G936)),ISTEXT(E936),ISTEXT(G936)),"",G936-R936)</f>
        <v>13833984359.108065</v>
      </c>
      <c r="X936" s="448"/>
      <c r="Y936" s="449"/>
      <c r="Z936" s="449"/>
      <c r="AA936" s="450" t="s">
        <v>4179</v>
      </c>
      <c r="AB936" s="451"/>
      <c r="AC936" s="451"/>
      <c r="AD936" s="565"/>
      <c r="AE936" s="452"/>
      <c r="AF936" s="571"/>
      <c r="AG936" s="452"/>
      <c r="AH936" s="452"/>
      <c r="AI936" s="453"/>
      <c r="AJ936" s="449"/>
      <c r="AK936" s="453"/>
      <c r="AL936" s="454"/>
      <c r="AM936" s="455"/>
      <c r="AN936" s="456"/>
      <c r="AO936" s="455"/>
      <c r="AP936" s="452"/>
      <c r="AQ936" s="457"/>
      <c r="AR936" s="449"/>
      <c r="AS936" s="449"/>
      <c r="AT936" s="452"/>
      <c r="AU936" s="457"/>
      <c r="AV936" s="449"/>
      <c r="AW936" s="458"/>
      <c r="AX936" s="452"/>
      <c r="AY936" s="457"/>
      <c r="AZ936" s="449"/>
      <c r="BA936" s="459"/>
      <c r="BB936" s="455"/>
      <c r="BC936" s="460"/>
      <c r="BD936" s="460"/>
      <c r="BG936" s="462"/>
    </row>
    <row r="937" spans="1:59" s="461" customFormat="1" ht="18" customHeight="1" x14ac:dyDescent="0.2">
      <c r="A937" s="1368" t="str">
        <f>$D$932&amp;S937</f>
        <v>KOTO RAJO - PL. JAMBU2006</v>
      </c>
      <c r="B937" s="1373"/>
      <c r="C937" s="488"/>
      <c r="D937" s="489"/>
      <c r="E937" s="558"/>
      <c r="F937" s="559">
        <v>2006</v>
      </c>
      <c r="G937" s="619">
        <v>0</v>
      </c>
      <c r="H937" s="464">
        <f>IF(N936-(F937-F936)&lt;=0,0,(N936-(F937-F936)))</f>
        <v>5</v>
      </c>
      <c r="I937" s="560"/>
      <c r="J937" s="468">
        <f>F937+N937-1</f>
        <v>2010</v>
      </c>
      <c r="K937" s="490">
        <f>IF(G937=0,0,IF(H937=10,100%,G937/W936))</f>
        <v>0</v>
      </c>
      <c r="L937" s="469">
        <f>IF(K937=0%,0,IF(K937&lt;=30%,2,IF(K937&lt;=60%,5,10)))</f>
        <v>0</v>
      </c>
      <c r="M937" s="683">
        <f>IF(OR(AND(ISBLANK(E937),ISBLANK(G937)),ISTEXT(E937),ISTEXT(G937)),"",IF(H937+L937&gt;$H$8,$H$8-H937,L937))</f>
        <v>0</v>
      </c>
      <c r="N937" s="470">
        <f>IF(OR(AND(ISBLANK(F937),ISBLANK(G937)),ISTEXT(F937),ISTEXT(G937)),"",H937+M937)</f>
        <v>5</v>
      </c>
      <c r="O937" s="468">
        <f>F937+N937-1</f>
        <v>2010</v>
      </c>
      <c r="P937" s="616">
        <f>W936</f>
        <v>13833984359.108065</v>
      </c>
      <c r="Q937" s="472">
        <f>P937+G937</f>
        <v>13833984359.108065</v>
      </c>
      <c r="R937" s="472">
        <f>IF(L937=0,R936,Q937/N937)</f>
        <v>1537109373.2342296</v>
      </c>
      <c r="S937" s="634">
        <f>F937</f>
        <v>2006</v>
      </c>
      <c r="T937" s="470">
        <f>S937-S936</f>
        <v>5</v>
      </c>
      <c r="U937" s="612">
        <f>R937*T937</f>
        <v>7685546866.1711483</v>
      </c>
      <c r="V937" s="464">
        <f>F937</f>
        <v>2006</v>
      </c>
      <c r="W937" s="612">
        <f>IF(OR(AND(ISBLANK(E937),ISBLANK(G937)),ISTEXT(E937),ISTEXT(G937)),"",Q937-U937)</f>
        <v>6148437492.9369164</v>
      </c>
      <c r="X937" s="561"/>
      <c r="Y937" s="449"/>
      <c r="Z937" s="449"/>
      <c r="AA937" s="554"/>
      <c r="AB937" s="452"/>
      <c r="AC937" s="452"/>
      <c r="AD937" s="566"/>
      <c r="AE937" s="452"/>
      <c r="AF937" s="571"/>
      <c r="AG937" s="452"/>
      <c r="AH937" s="452"/>
      <c r="AI937" s="453"/>
      <c r="AJ937" s="449"/>
      <c r="AK937" s="453"/>
      <c r="AL937" s="454"/>
      <c r="AM937" s="455"/>
      <c r="AN937" s="456"/>
      <c r="AO937" s="455"/>
      <c r="AP937" s="452"/>
      <c r="AQ937" s="457"/>
      <c r="AR937" s="449"/>
      <c r="AS937" s="449"/>
      <c r="AT937" s="452"/>
      <c r="AU937" s="457"/>
      <c r="AV937" s="449"/>
      <c r="AW937" s="458"/>
      <c r="AX937" s="452"/>
      <c r="AY937" s="457"/>
      <c r="AZ937" s="449"/>
      <c r="BA937" s="459"/>
      <c r="BB937" s="455"/>
      <c r="BC937" s="460"/>
      <c r="BD937" s="460"/>
      <c r="BG937" s="462"/>
    </row>
    <row r="938" spans="1:59" s="461" customFormat="1" ht="18" customHeight="1" x14ac:dyDescent="0.2">
      <c r="A938" s="1368" t="str">
        <f>$D$932&amp;S938</f>
        <v>KOTO RAJO - PL. JAMBU2007</v>
      </c>
      <c r="B938" s="1375"/>
      <c r="C938" s="488"/>
      <c r="D938" s="489"/>
      <c r="E938" s="558"/>
      <c r="F938" s="559">
        <v>2007</v>
      </c>
      <c r="G938" s="619">
        <v>0</v>
      </c>
      <c r="H938" s="464">
        <f t="shared" ref="H938:H950" si="698">IF(N937-(F938-F937)&lt;=0,0,(N937-(F938-F937)))</f>
        <v>4</v>
      </c>
      <c r="I938" s="560"/>
      <c r="J938" s="468">
        <f t="shared" ref="J938:J950" si="699">F938+N938-1</f>
        <v>2010</v>
      </c>
      <c r="K938" s="490">
        <f t="shared" ref="K938:K950" si="700">IF(G938=0,0,IF(H938=10,100%,G938/W937))</f>
        <v>0</v>
      </c>
      <c r="L938" s="469">
        <f t="shared" ref="L938:L950" si="701">IF(K938=0%,0,IF(K938&lt;=30%,2,IF(K938&lt;=60%,5,10)))</f>
        <v>0</v>
      </c>
      <c r="M938" s="683">
        <f t="shared" ref="M938:M950" si="702">IF(OR(AND(ISBLANK(E938),ISBLANK(G938)),ISTEXT(E938),ISTEXT(G938)),"",IF(H938+L938&gt;$H$8,$H$8-H938,L938))</f>
        <v>0</v>
      </c>
      <c r="N938" s="470">
        <f t="shared" ref="N938:N950" si="703">IF(OR(AND(ISBLANK(F938),ISBLANK(G938)),ISTEXT(F938),ISTEXT(G938)),"",H938+M938)</f>
        <v>4</v>
      </c>
      <c r="O938" s="468">
        <f t="shared" ref="O938:O950" si="704">F938+N938-1</f>
        <v>2010</v>
      </c>
      <c r="P938" s="616">
        <f t="shared" ref="P938:P950" si="705">W937</f>
        <v>6148437492.9369164</v>
      </c>
      <c r="Q938" s="472">
        <f t="shared" ref="Q938:Q950" si="706">P938+G938</f>
        <v>6148437492.9369164</v>
      </c>
      <c r="R938" s="472">
        <f t="shared" ref="R938:R950" si="707">IF(L938=0,R937,Q938/N938)</f>
        <v>1537109373.2342296</v>
      </c>
      <c r="S938" s="1189">
        <f t="shared" ref="S938:S950" si="708">F938</f>
        <v>2007</v>
      </c>
      <c r="T938" s="470">
        <f t="shared" ref="T938:T950" si="709">S938-S937</f>
        <v>1</v>
      </c>
      <c r="U938" s="612">
        <f t="shared" ref="U938:U950" si="710">R938*T938</f>
        <v>1537109373.2342296</v>
      </c>
      <c r="V938" s="464">
        <f t="shared" ref="V938:V950" si="711">F938</f>
        <v>2007</v>
      </c>
      <c r="W938" s="612">
        <f t="shared" ref="W938:W950" si="712">IF(OR(AND(ISBLANK(E938),ISBLANK(G938)),ISTEXT(E938),ISTEXT(G938)),"",Q938-U938)</f>
        <v>4611328119.7026863</v>
      </c>
      <c r="X938" s="561"/>
      <c r="Y938" s="449"/>
      <c r="Z938" s="449"/>
      <c r="AA938" s="554"/>
      <c r="AB938" s="452"/>
      <c r="AC938" s="452"/>
      <c r="AD938" s="566"/>
      <c r="AE938" s="452"/>
      <c r="AF938" s="571"/>
      <c r="AG938" s="452"/>
      <c r="AH938" s="452"/>
      <c r="AI938" s="453"/>
      <c r="AJ938" s="449"/>
      <c r="AK938" s="453"/>
      <c r="AL938" s="454"/>
      <c r="AM938" s="455"/>
      <c r="AN938" s="456"/>
      <c r="AO938" s="455"/>
      <c r="AP938" s="452"/>
      <c r="AQ938" s="457"/>
      <c r="AR938" s="449"/>
      <c r="AS938" s="449"/>
      <c r="AT938" s="452"/>
      <c r="AU938" s="457"/>
      <c r="AV938" s="449"/>
      <c r="AW938" s="458"/>
      <c r="AX938" s="452"/>
      <c r="AY938" s="457"/>
      <c r="AZ938" s="449"/>
      <c r="BA938" s="459"/>
      <c r="BB938" s="455"/>
      <c r="BC938" s="460"/>
      <c r="BD938" s="460"/>
      <c r="BG938" s="462"/>
    </row>
    <row r="939" spans="1:59" s="461" customFormat="1" ht="18" customHeight="1" x14ac:dyDescent="0.2">
      <c r="A939" s="1368" t="str">
        <f>$D$932&amp;S939</f>
        <v>KOTO RAJO - PL. JAMBU2008</v>
      </c>
      <c r="B939" s="1373"/>
      <c r="C939" s="488" t="s">
        <v>5058</v>
      </c>
      <c r="D939" s="489"/>
      <c r="E939" s="558"/>
      <c r="F939" s="559">
        <v>2008</v>
      </c>
      <c r="G939" s="619">
        <f>1891537631+1322245832.25</f>
        <v>3213783463.25</v>
      </c>
      <c r="H939" s="464">
        <f t="shared" si="698"/>
        <v>3</v>
      </c>
      <c r="I939" s="560"/>
      <c r="J939" s="468">
        <f t="shared" si="699"/>
        <v>2017</v>
      </c>
      <c r="K939" s="490">
        <f t="shared" si="700"/>
        <v>0.69693228931564455</v>
      </c>
      <c r="L939" s="469">
        <f t="shared" si="701"/>
        <v>10</v>
      </c>
      <c r="M939" s="683">
        <f t="shared" si="702"/>
        <v>7</v>
      </c>
      <c r="N939" s="470">
        <f t="shared" si="703"/>
        <v>10</v>
      </c>
      <c r="O939" s="468">
        <f t="shared" si="704"/>
        <v>2017</v>
      </c>
      <c r="P939" s="616">
        <f t="shared" si="705"/>
        <v>4611328119.7026863</v>
      </c>
      <c r="Q939" s="472">
        <f t="shared" si="706"/>
        <v>7825111582.9526863</v>
      </c>
      <c r="R939" s="472">
        <f t="shared" si="707"/>
        <v>782511158.29526865</v>
      </c>
      <c r="S939" s="1189">
        <f t="shared" si="708"/>
        <v>2008</v>
      </c>
      <c r="T939" s="470">
        <f t="shared" si="709"/>
        <v>1</v>
      </c>
      <c r="U939" s="612">
        <f t="shared" si="710"/>
        <v>782511158.29526865</v>
      </c>
      <c r="V939" s="464">
        <f t="shared" si="711"/>
        <v>2008</v>
      </c>
      <c r="W939" s="612">
        <f t="shared" si="712"/>
        <v>7042600424.6574173</v>
      </c>
      <c r="X939" s="561"/>
      <c r="Y939" s="449"/>
      <c r="Z939" s="449"/>
      <c r="AA939" s="554"/>
      <c r="AB939" s="452"/>
      <c r="AC939" s="452"/>
      <c r="AD939" s="566"/>
      <c r="AE939" s="452"/>
      <c r="AF939" s="571"/>
      <c r="AG939" s="452"/>
      <c r="AH939" s="452"/>
      <c r="AI939" s="453"/>
      <c r="AJ939" s="449"/>
      <c r="AK939" s="453"/>
      <c r="AL939" s="454"/>
      <c r="AM939" s="455"/>
      <c r="AN939" s="456"/>
      <c r="AO939" s="455"/>
      <c r="AP939" s="452"/>
      <c r="AQ939" s="457"/>
      <c r="AR939" s="449"/>
      <c r="AS939" s="449"/>
      <c r="AT939" s="452"/>
      <c r="AU939" s="457"/>
      <c r="AV939" s="449"/>
      <c r="AW939" s="458"/>
      <c r="AX939" s="452"/>
      <c r="AY939" s="457"/>
      <c r="AZ939" s="449"/>
      <c r="BA939" s="459"/>
      <c r="BB939" s="455"/>
      <c r="BC939" s="460"/>
      <c r="BD939" s="460"/>
      <c r="BG939" s="462"/>
    </row>
    <row r="940" spans="1:59" s="461" customFormat="1" ht="18" customHeight="1" x14ac:dyDescent="0.2">
      <c r="A940" s="1368" t="str">
        <f>$D$932&amp;S940</f>
        <v>KOTO RAJO - PL. JAMBU2010</v>
      </c>
      <c r="B940" s="1373"/>
      <c r="C940" s="488"/>
      <c r="D940" s="489"/>
      <c r="E940" s="558"/>
      <c r="F940" s="559">
        <v>2010</v>
      </c>
      <c r="G940" s="619">
        <v>0</v>
      </c>
      <c r="H940" s="464">
        <f t="shared" si="698"/>
        <v>8</v>
      </c>
      <c r="I940" s="560"/>
      <c r="J940" s="468">
        <f t="shared" si="699"/>
        <v>2017</v>
      </c>
      <c r="K940" s="490">
        <f t="shared" si="700"/>
        <v>0</v>
      </c>
      <c r="L940" s="469">
        <f t="shared" si="701"/>
        <v>0</v>
      </c>
      <c r="M940" s="683">
        <f t="shared" si="702"/>
        <v>0</v>
      </c>
      <c r="N940" s="470">
        <f t="shared" si="703"/>
        <v>8</v>
      </c>
      <c r="O940" s="468">
        <f t="shared" si="704"/>
        <v>2017</v>
      </c>
      <c r="P940" s="616">
        <f t="shared" si="705"/>
        <v>7042600424.6574173</v>
      </c>
      <c r="Q940" s="472">
        <f t="shared" si="706"/>
        <v>7042600424.6574173</v>
      </c>
      <c r="R940" s="472">
        <f t="shared" si="707"/>
        <v>782511158.29526865</v>
      </c>
      <c r="S940" s="1189">
        <f t="shared" si="708"/>
        <v>2010</v>
      </c>
      <c r="T940" s="470">
        <f t="shared" si="709"/>
        <v>2</v>
      </c>
      <c r="U940" s="612">
        <f t="shared" si="710"/>
        <v>1565022316.5905373</v>
      </c>
      <c r="V940" s="464">
        <f t="shared" si="711"/>
        <v>2010</v>
      </c>
      <c r="W940" s="612">
        <f t="shared" si="712"/>
        <v>5477578108.0668802</v>
      </c>
      <c r="X940" s="561"/>
      <c r="Y940" s="449"/>
      <c r="Z940" s="449"/>
      <c r="AA940" s="554"/>
      <c r="AB940" s="452"/>
      <c r="AC940" s="452"/>
      <c r="AD940" s="566"/>
      <c r="AE940" s="452"/>
      <c r="AF940" s="571"/>
      <c r="AG940" s="452"/>
      <c r="AH940" s="452"/>
      <c r="AI940" s="453"/>
      <c r="AJ940" s="449"/>
      <c r="AK940" s="453"/>
      <c r="AL940" s="454"/>
      <c r="AM940" s="455"/>
      <c r="AN940" s="456"/>
      <c r="AO940" s="455"/>
      <c r="AP940" s="452"/>
      <c r="AQ940" s="457"/>
      <c r="AR940" s="449"/>
      <c r="AS940" s="449"/>
      <c r="AT940" s="452"/>
      <c r="AU940" s="457"/>
      <c r="AV940" s="449"/>
      <c r="AW940" s="458"/>
      <c r="AX940" s="452"/>
      <c r="AY940" s="457"/>
      <c r="AZ940" s="449"/>
      <c r="BA940" s="459"/>
      <c r="BB940" s="455"/>
      <c r="BC940" s="460"/>
      <c r="BD940" s="460"/>
      <c r="BG940" s="462"/>
    </row>
    <row r="941" spans="1:59" s="461" customFormat="1" ht="18" customHeight="1" x14ac:dyDescent="0.2">
      <c r="A941" s="1368" t="str">
        <f t="shared" ref="A941:A950" si="713">$D$932&amp;S941</f>
        <v>KOTO RAJO - PL. JAMBU2011</v>
      </c>
      <c r="B941" s="1373"/>
      <c r="C941" s="488"/>
      <c r="D941" s="489"/>
      <c r="E941" s="558"/>
      <c r="F941" s="559">
        <v>2011</v>
      </c>
      <c r="G941" s="619">
        <v>0</v>
      </c>
      <c r="H941" s="464">
        <f t="shared" si="698"/>
        <v>7</v>
      </c>
      <c r="I941" s="560"/>
      <c r="J941" s="468">
        <f t="shared" si="699"/>
        <v>2017</v>
      </c>
      <c r="K941" s="490">
        <f t="shared" si="700"/>
        <v>0</v>
      </c>
      <c r="L941" s="469">
        <f t="shared" si="701"/>
        <v>0</v>
      </c>
      <c r="M941" s="683">
        <f t="shared" si="702"/>
        <v>0</v>
      </c>
      <c r="N941" s="470">
        <f t="shared" si="703"/>
        <v>7</v>
      </c>
      <c r="O941" s="468">
        <f t="shared" si="704"/>
        <v>2017</v>
      </c>
      <c r="P941" s="616">
        <f t="shared" si="705"/>
        <v>5477578108.0668802</v>
      </c>
      <c r="Q941" s="472">
        <f t="shared" si="706"/>
        <v>5477578108.0668802</v>
      </c>
      <c r="R941" s="472">
        <f t="shared" si="707"/>
        <v>782511158.29526865</v>
      </c>
      <c r="S941" s="1189">
        <f t="shared" si="708"/>
        <v>2011</v>
      </c>
      <c r="T941" s="470">
        <f t="shared" si="709"/>
        <v>1</v>
      </c>
      <c r="U941" s="612">
        <f t="shared" si="710"/>
        <v>782511158.29526865</v>
      </c>
      <c r="V941" s="464">
        <f t="shared" si="711"/>
        <v>2011</v>
      </c>
      <c r="W941" s="612">
        <f t="shared" si="712"/>
        <v>4695066949.7716112</v>
      </c>
      <c r="X941" s="561"/>
      <c r="Y941" s="449"/>
      <c r="Z941" s="449"/>
      <c r="AA941" s="554"/>
      <c r="AB941" s="452"/>
      <c r="AC941" s="452"/>
      <c r="AD941" s="566"/>
      <c r="AE941" s="452"/>
      <c r="AF941" s="571"/>
      <c r="AG941" s="452"/>
      <c r="AH941" s="452"/>
      <c r="AI941" s="453"/>
      <c r="AJ941" s="449"/>
      <c r="AK941" s="453"/>
      <c r="AL941" s="454"/>
      <c r="AM941" s="455"/>
      <c r="AN941" s="456"/>
      <c r="AO941" s="455"/>
      <c r="AP941" s="452"/>
      <c r="AQ941" s="457"/>
      <c r="AR941" s="449"/>
      <c r="AS941" s="449"/>
      <c r="AT941" s="452"/>
      <c r="AU941" s="457"/>
      <c r="AV941" s="449"/>
      <c r="AW941" s="458"/>
      <c r="AX941" s="452"/>
      <c r="AY941" s="457"/>
      <c r="AZ941" s="449"/>
      <c r="BA941" s="459"/>
      <c r="BB941" s="455"/>
      <c r="BC941" s="460"/>
      <c r="BD941" s="460"/>
      <c r="BG941" s="462"/>
    </row>
    <row r="942" spans="1:59" s="461" customFormat="1" ht="18" customHeight="1" x14ac:dyDescent="0.2">
      <c r="A942" s="1368" t="str">
        <f t="shared" si="713"/>
        <v>KOTO RAJO - PL. JAMBU2012</v>
      </c>
      <c r="B942" s="1373"/>
      <c r="C942" s="488"/>
      <c r="D942" s="489"/>
      <c r="E942" s="558"/>
      <c r="F942" s="559">
        <v>2012</v>
      </c>
      <c r="G942" s="619">
        <v>0</v>
      </c>
      <c r="H942" s="464">
        <f t="shared" si="698"/>
        <v>6</v>
      </c>
      <c r="I942" s="560"/>
      <c r="J942" s="468">
        <f t="shared" si="699"/>
        <v>2017</v>
      </c>
      <c r="K942" s="490">
        <f t="shared" si="700"/>
        <v>0</v>
      </c>
      <c r="L942" s="469">
        <f t="shared" si="701"/>
        <v>0</v>
      </c>
      <c r="M942" s="683">
        <f t="shared" si="702"/>
        <v>0</v>
      </c>
      <c r="N942" s="470">
        <f t="shared" si="703"/>
        <v>6</v>
      </c>
      <c r="O942" s="468">
        <f t="shared" si="704"/>
        <v>2017</v>
      </c>
      <c r="P942" s="616">
        <f t="shared" si="705"/>
        <v>4695066949.7716112</v>
      </c>
      <c r="Q942" s="472">
        <f t="shared" si="706"/>
        <v>4695066949.7716112</v>
      </c>
      <c r="R942" s="472">
        <f t="shared" si="707"/>
        <v>782511158.29526865</v>
      </c>
      <c r="S942" s="1189">
        <f t="shared" si="708"/>
        <v>2012</v>
      </c>
      <c r="T942" s="470">
        <f t="shared" si="709"/>
        <v>1</v>
      </c>
      <c r="U942" s="612">
        <f t="shared" si="710"/>
        <v>782511158.29526865</v>
      </c>
      <c r="V942" s="464">
        <f t="shared" si="711"/>
        <v>2012</v>
      </c>
      <c r="W942" s="612">
        <f t="shared" si="712"/>
        <v>3912555791.4763427</v>
      </c>
      <c r="X942" s="561"/>
      <c r="Y942" s="449"/>
      <c r="Z942" s="449"/>
      <c r="AA942" s="554"/>
      <c r="AB942" s="452"/>
      <c r="AC942" s="452"/>
      <c r="AD942" s="566"/>
      <c r="AE942" s="452"/>
      <c r="AF942" s="571"/>
      <c r="AG942" s="452"/>
      <c r="AH942" s="452"/>
      <c r="AI942" s="453"/>
      <c r="AJ942" s="449"/>
      <c r="AK942" s="453"/>
      <c r="AL942" s="454"/>
      <c r="AM942" s="455"/>
      <c r="AN942" s="456"/>
      <c r="AO942" s="455"/>
      <c r="AP942" s="452"/>
      <c r="AQ942" s="457"/>
      <c r="AR942" s="449"/>
      <c r="AS942" s="449"/>
      <c r="AT942" s="452"/>
      <c r="AU942" s="457"/>
      <c r="AV942" s="449"/>
      <c r="AW942" s="458"/>
      <c r="AX942" s="452"/>
      <c r="AY942" s="457"/>
      <c r="AZ942" s="449"/>
      <c r="BA942" s="459"/>
      <c r="BB942" s="455"/>
      <c r="BC942" s="460"/>
      <c r="BD942" s="460"/>
      <c r="BG942" s="462"/>
    </row>
    <row r="943" spans="1:59" s="461" customFormat="1" ht="18" customHeight="1" x14ac:dyDescent="0.2">
      <c r="A943" s="1368" t="str">
        <f t="shared" si="713"/>
        <v>KOTO RAJO - PL. JAMBU2013</v>
      </c>
      <c r="B943" s="1373"/>
      <c r="C943" s="488"/>
      <c r="D943" s="489"/>
      <c r="E943" s="558"/>
      <c r="F943" s="559">
        <v>2013</v>
      </c>
      <c r="G943" s="619">
        <v>0</v>
      </c>
      <c r="H943" s="464">
        <f t="shared" si="698"/>
        <v>5</v>
      </c>
      <c r="I943" s="560"/>
      <c r="J943" s="468">
        <f t="shared" si="699"/>
        <v>2017</v>
      </c>
      <c r="K943" s="490">
        <f t="shared" si="700"/>
        <v>0</v>
      </c>
      <c r="L943" s="469">
        <f t="shared" si="701"/>
        <v>0</v>
      </c>
      <c r="M943" s="683">
        <f t="shared" si="702"/>
        <v>0</v>
      </c>
      <c r="N943" s="470">
        <f t="shared" si="703"/>
        <v>5</v>
      </c>
      <c r="O943" s="468">
        <f t="shared" si="704"/>
        <v>2017</v>
      </c>
      <c r="P943" s="616">
        <f t="shared" si="705"/>
        <v>3912555791.4763427</v>
      </c>
      <c r="Q943" s="472">
        <f t="shared" si="706"/>
        <v>3912555791.4763427</v>
      </c>
      <c r="R943" s="472">
        <f t="shared" si="707"/>
        <v>782511158.29526865</v>
      </c>
      <c r="S943" s="1189">
        <f t="shared" si="708"/>
        <v>2013</v>
      </c>
      <c r="T943" s="470">
        <f t="shared" si="709"/>
        <v>1</v>
      </c>
      <c r="U943" s="612">
        <f t="shared" si="710"/>
        <v>782511158.29526865</v>
      </c>
      <c r="V943" s="464">
        <f t="shared" si="711"/>
        <v>2013</v>
      </c>
      <c r="W943" s="612">
        <f t="shared" si="712"/>
        <v>3130044633.1810741</v>
      </c>
      <c r="X943" s="561"/>
      <c r="Y943" s="449"/>
      <c r="Z943" s="449"/>
      <c r="AA943" s="554"/>
      <c r="AB943" s="452"/>
      <c r="AC943" s="452"/>
      <c r="AD943" s="566"/>
      <c r="AE943" s="452"/>
      <c r="AF943" s="571"/>
      <c r="AG943" s="452"/>
      <c r="AH943" s="452"/>
      <c r="AI943" s="453"/>
      <c r="AJ943" s="449"/>
      <c r="AK943" s="453"/>
      <c r="AL943" s="454"/>
      <c r="AM943" s="455"/>
      <c r="AN943" s="456"/>
      <c r="AO943" s="455"/>
      <c r="AP943" s="452"/>
      <c r="AQ943" s="457"/>
      <c r="AR943" s="449"/>
      <c r="AS943" s="449"/>
      <c r="AT943" s="452"/>
      <c r="AU943" s="457"/>
      <c r="AV943" s="449"/>
      <c r="AW943" s="458"/>
      <c r="AX943" s="452"/>
      <c r="AY943" s="457"/>
      <c r="AZ943" s="449"/>
      <c r="BA943" s="459"/>
      <c r="BB943" s="455"/>
      <c r="BC943" s="460"/>
      <c r="BD943" s="460"/>
      <c r="BG943" s="462"/>
    </row>
    <row r="944" spans="1:59" s="461" customFormat="1" ht="18" customHeight="1" x14ac:dyDescent="0.2">
      <c r="A944" s="1368" t="str">
        <f t="shared" si="713"/>
        <v>KOTO RAJO - PL. JAMBU2014</v>
      </c>
      <c r="B944" s="1373"/>
      <c r="C944" s="488"/>
      <c r="D944" s="489"/>
      <c r="E944" s="558"/>
      <c r="F944" s="559">
        <v>2014</v>
      </c>
      <c r="G944" s="619">
        <v>0</v>
      </c>
      <c r="H944" s="464">
        <f t="shared" si="698"/>
        <v>4</v>
      </c>
      <c r="I944" s="560"/>
      <c r="J944" s="468">
        <f t="shared" si="699"/>
        <v>2017</v>
      </c>
      <c r="K944" s="490">
        <f t="shared" si="700"/>
        <v>0</v>
      </c>
      <c r="L944" s="469">
        <f t="shared" si="701"/>
        <v>0</v>
      </c>
      <c r="M944" s="683">
        <f t="shared" si="702"/>
        <v>0</v>
      </c>
      <c r="N944" s="470">
        <f t="shared" si="703"/>
        <v>4</v>
      </c>
      <c r="O944" s="468">
        <f t="shared" si="704"/>
        <v>2017</v>
      </c>
      <c r="P944" s="616">
        <f t="shared" si="705"/>
        <v>3130044633.1810741</v>
      </c>
      <c r="Q944" s="472">
        <f t="shared" si="706"/>
        <v>3130044633.1810741</v>
      </c>
      <c r="R944" s="472">
        <f t="shared" si="707"/>
        <v>782511158.29526865</v>
      </c>
      <c r="S944" s="1189">
        <f t="shared" si="708"/>
        <v>2014</v>
      </c>
      <c r="T944" s="470">
        <f t="shared" si="709"/>
        <v>1</v>
      </c>
      <c r="U944" s="612">
        <f t="shared" si="710"/>
        <v>782511158.29526865</v>
      </c>
      <c r="V944" s="464">
        <f t="shared" si="711"/>
        <v>2014</v>
      </c>
      <c r="W944" s="612">
        <f t="shared" si="712"/>
        <v>2347533474.8858056</v>
      </c>
      <c r="X944" s="561"/>
      <c r="Y944" s="449"/>
      <c r="Z944" s="449"/>
      <c r="AA944" s="554"/>
      <c r="AB944" s="452"/>
      <c r="AC944" s="452"/>
      <c r="AD944" s="566"/>
      <c r="AE944" s="452"/>
      <c r="AF944" s="571"/>
      <c r="AG944" s="452"/>
      <c r="AH944" s="452"/>
      <c r="AI944" s="453"/>
      <c r="AJ944" s="449"/>
      <c r="AK944" s="453"/>
      <c r="AL944" s="454"/>
      <c r="AM944" s="455"/>
      <c r="AN944" s="456"/>
      <c r="AO944" s="455"/>
      <c r="AP944" s="452"/>
      <c r="AQ944" s="457"/>
      <c r="AR944" s="449"/>
      <c r="AS944" s="449"/>
      <c r="AT944" s="452"/>
      <c r="AU944" s="457"/>
      <c r="AV944" s="449"/>
      <c r="AW944" s="458"/>
      <c r="AX944" s="452"/>
      <c r="AY944" s="457"/>
      <c r="AZ944" s="449"/>
      <c r="BA944" s="459"/>
      <c r="BB944" s="455"/>
      <c r="BC944" s="460"/>
      <c r="BD944" s="460"/>
      <c r="BG944" s="462"/>
    </row>
    <row r="945" spans="1:59" s="486" customFormat="1" ht="18" customHeight="1" x14ac:dyDescent="0.2">
      <c r="A945" s="1368" t="str">
        <f t="shared" si="713"/>
        <v>KOTO RAJO - PL. JAMBU2015</v>
      </c>
      <c r="B945" s="1373"/>
      <c r="C945" s="488" t="s">
        <v>1368</v>
      </c>
      <c r="D945" s="489" t="s">
        <v>2494</v>
      </c>
      <c r="E945" s="558"/>
      <c r="F945" s="559">
        <v>2015</v>
      </c>
      <c r="G945" s="619">
        <f>2122086666+6147420832.63006</f>
        <v>8269507498.6300602</v>
      </c>
      <c r="H945" s="464">
        <f t="shared" si="698"/>
        <v>3</v>
      </c>
      <c r="I945" s="560"/>
      <c r="J945" s="468">
        <f t="shared" si="699"/>
        <v>2024</v>
      </c>
      <c r="K945" s="490">
        <f t="shared" si="700"/>
        <v>3.5226366682725687</v>
      </c>
      <c r="L945" s="469">
        <f t="shared" si="701"/>
        <v>10</v>
      </c>
      <c r="M945" s="683">
        <f t="shared" si="702"/>
        <v>7</v>
      </c>
      <c r="N945" s="470">
        <f t="shared" si="703"/>
        <v>10</v>
      </c>
      <c r="O945" s="468">
        <f t="shared" si="704"/>
        <v>2024</v>
      </c>
      <c r="P945" s="616">
        <f t="shared" si="705"/>
        <v>2347533474.8858056</v>
      </c>
      <c r="Q945" s="472">
        <f t="shared" si="706"/>
        <v>10617040973.515865</v>
      </c>
      <c r="R945" s="472">
        <f t="shared" si="707"/>
        <v>1061704097.3515866</v>
      </c>
      <c r="S945" s="1189">
        <f t="shared" si="708"/>
        <v>2015</v>
      </c>
      <c r="T945" s="470">
        <f t="shared" si="709"/>
        <v>1</v>
      </c>
      <c r="U945" s="612">
        <f t="shared" si="710"/>
        <v>1061704097.3515866</v>
      </c>
      <c r="V945" s="464">
        <f t="shared" si="711"/>
        <v>2015</v>
      </c>
      <c r="W945" s="612">
        <f t="shared" si="712"/>
        <v>9555336876.164278</v>
      </c>
      <c r="X945" s="473"/>
      <c r="Y945" s="474"/>
      <c r="Z945" s="449"/>
      <c r="AA945" s="475" t="s">
        <v>4180</v>
      </c>
      <c r="AB945" s="476"/>
      <c r="AC945" s="476"/>
      <c r="AD945" s="567">
        <f>G952</f>
        <v>30924458422.545406</v>
      </c>
      <c r="AE945" s="476"/>
      <c r="AF945" s="568"/>
      <c r="AG945" s="476"/>
      <c r="AH945" s="476"/>
      <c r="AI945" s="477"/>
      <c r="AJ945" s="478"/>
      <c r="AK945" s="479"/>
      <c r="AL945" s="480"/>
      <c r="AM945" s="474"/>
      <c r="AN945" s="481"/>
      <c r="AO945" s="474"/>
      <c r="AP945" s="476"/>
      <c r="AQ945" s="482"/>
      <c r="AR945" s="478"/>
      <c r="AS945" s="478"/>
      <c r="AT945" s="476"/>
      <c r="AU945" s="482"/>
      <c r="AV945" s="478"/>
      <c r="AW945" s="483"/>
      <c r="AX945" s="476"/>
      <c r="AY945" s="482"/>
      <c r="AZ945" s="478"/>
      <c r="BA945" s="484"/>
      <c r="BB945" s="474"/>
      <c r="BC945" s="485"/>
      <c r="BD945" s="485"/>
      <c r="BG945" s="487"/>
    </row>
    <row r="946" spans="1:59" s="486" customFormat="1" ht="18" customHeight="1" x14ac:dyDescent="0.2">
      <c r="A946" s="1368" t="str">
        <f t="shared" si="713"/>
        <v>KOTO RAJO - PL. JAMBU2015</v>
      </c>
      <c r="B946" s="1373"/>
      <c r="C946" s="488" t="s">
        <v>1388</v>
      </c>
      <c r="D946" s="489" t="s">
        <v>2494</v>
      </c>
      <c r="E946" s="558"/>
      <c r="F946" s="559">
        <v>2015</v>
      </c>
      <c r="G946" s="619">
        <v>0</v>
      </c>
      <c r="H946" s="464">
        <f t="shared" si="698"/>
        <v>10</v>
      </c>
      <c r="I946" s="560"/>
      <c r="J946" s="468">
        <f t="shared" si="699"/>
        <v>2024</v>
      </c>
      <c r="K946" s="490">
        <f t="shared" si="700"/>
        <v>0</v>
      </c>
      <c r="L946" s="469">
        <f t="shared" si="701"/>
        <v>0</v>
      </c>
      <c r="M946" s="683">
        <f t="shared" si="702"/>
        <v>0</v>
      </c>
      <c r="N946" s="470">
        <f t="shared" si="703"/>
        <v>10</v>
      </c>
      <c r="O946" s="468">
        <f t="shared" si="704"/>
        <v>2024</v>
      </c>
      <c r="P946" s="616">
        <f t="shared" si="705"/>
        <v>9555336876.164278</v>
      </c>
      <c r="Q946" s="472">
        <f t="shared" si="706"/>
        <v>9555336876.164278</v>
      </c>
      <c r="R946" s="472">
        <f t="shared" si="707"/>
        <v>1061704097.3515866</v>
      </c>
      <c r="S946" s="1189">
        <f t="shared" si="708"/>
        <v>2015</v>
      </c>
      <c r="T946" s="470">
        <f t="shared" si="709"/>
        <v>0</v>
      </c>
      <c r="U946" s="612">
        <f t="shared" si="710"/>
        <v>0</v>
      </c>
      <c r="V946" s="464">
        <f t="shared" si="711"/>
        <v>2015</v>
      </c>
      <c r="W946" s="612">
        <f t="shared" si="712"/>
        <v>9555336876.164278</v>
      </c>
      <c r="X946" s="473"/>
      <c r="Y946" s="478"/>
      <c r="Z946" s="449"/>
      <c r="AA946" s="475" t="s">
        <v>4181</v>
      </c>
      <c r="AB946" s="491"/>
      <c r="AC946" s="491"/>
      <c r="AD946" s="567">
        <f>U952</f>
        <v>22749212059.853016</v>
      </c>
      <c r="AE946" s="491"/>
      <c r="AF946" s="568"/>
      <c r="AG946" s="491"/>
      <c r="AH946" s="491"/>
      <c r="AI946" s="477"/>
      <c r="AJ946" s="478"/>
      <c r="AK946" s="479"/>
      <c r="AL946" s="480"/>
      <c r="AM946" s="474"/>
      <c r="AN946" s="481"/>
      <c r="AO946" s="474"/>
      <c r="AP946" s="476"/>
      <c r="AQ946" s="482"/>
      <c r="AR946" s="478"/>
      <c r="AS946" s="478"/>
      <c r="AT946" s="476"/>
      <c r="AU946" s="482"/>
      <c r="AV946" s="478"/>
      <c r="AW946" s="483"/>
      <c r="AX946" s="476"/>
      <c r="AY946" s="482"/>
      <c r="AZ946" s="478"/>
      <c r="BA946" s="484"/>
      <c r="BB946" s="474"/>
      <c r="BC946" s="485"/>
      <c r="BD946" s="485"/>
      <c r="BG946" s="487"/>
    </row>
    <row r="947" spans="1:59" s="486" customFormat="1" ht="18" customHeight="1" x14ac:dyDescent="0.2">
      <c r="A947" s="1368" t="str">
        <f t="shared" si="713"/>
        <v>KOTO RAJO - PL. JAMBU2016</v>
      </c>
      <c r="B947" s="1373"/>
      <c r="C947" s="488" t="s">
        <v>1455</v>
      </c>
      <c r="D947" s="489" t="s">
        <v>2494</v>
      </c>
      <c r="E947" s="558"/>
      <c r="F947" s="559">
        <v>2016</v>
      </c>
      <c r="G947" s="619">
        <v>4070073728.3230543</v>
      </c>
      <c r="H947" s="464">
        <f t="shared" si="698"/>
        <v>9</v>
      </c>
      <c r="I947" s="560"/>
      <c r="J947" s="468">
        <f t="shared" si="699"/>
        <v>2025</v>
      </c>
      <c r="K947" s="490">
        <f t="shared" si="700"/>
        <v>0.42594769614829858</v>
      </c>
      <c r="L947" s="469">
        <f t="shared" si="701"/>
        <v>5</v>
      </c>
      <c r="M947" s="683">
        <f t="shared" si="702"/>
        <v>1</v>
      </c>
      <c r="N947" s="470">
        <f t="shared" si="703"/>
        <v>10</v>
      </c>
      <c r="O947" s="468">
        <f t="shared" si="704"/>
        <v>2025</v>
      </c>
      <c r="P947" s="616">
        <f t="shared" si="705"/>
        <v>9555336876.164278</v>
      </c>
      <c r="Q947" s="472">
        <f t="shared" si="706"/>
        <v>13625410604.487331</v>
      </c>
      <c r="R947" s="472">
        <f t="shared" si="707"/>
        <v>1362541060.4487331</v>
      </c>
      <c r="S947" s="1189">
        <f t="shared" si="708"/>
        <v>2016</v>
      </c>
      <c r="T947" s="470">
        <f t="shared" si="709"/>
        <v>1</v>
      </c>
      <c r="U947" s="612">
        <f t="shared" si="710"/>
        <v>1362541060.4487331</v>
      </c>
      <c r="V947" s="464">
        <f t="shared" si="711"/>
        <v>2016</v>
      </c>
      <c r="W947" s="612">
        <f t="shared" si="712"/>
        <v>12262869544.038599</v>
      </c>
      <c r="X947" s="473"/>
      <c r="Y947" s="478"/>
      <c r="Z947" s="449"/>
      <c r="AA947" s="492" t="s">
        <v>4182</v>
      </c>
      <c r="AB947" s="476"/>
      <c r="AC947" s="476"/>
      <c r="AD947" s="567">
        <f>AD945-AD946</f>
        <v>8175246362.6923904</v>
      </c>
      <c r="AE947" s="476"/>
      <c r="AF947" s="568"/>
      <c r="AG947" s="476"/>
      <c r="AH947" s="476"/>
      <c r="AI947" s="477"/>
      <c r="AJ947" s="478"/>
      <c r="AK947" s="479"/>
      <c r="AL947" s="480"/>
      <c r="AM947" s="474"/>
      <c r="AN947" s="481"/>
      <c r="AO947" s="474"/>
      <c r="AP947" s="476"/>
      <c r="AQ947" s="482"/>
      <c r="AR947" s="478"/>
      <c r="AS947" s="478"/>
      <c r="AT947" s="476"/>
      <c r="AU947" s="482"/>
      <c r="AV947" s="478"/>
      <c r="AW947" s="483"/>
      <c r="AX947" s="476"/>
      <c r="AY947" s="482"/>
      <c r="AZ947" s="478"/>
      <c r="BA947" s="484"/>
      <c r="BB947" s="474"/>
      <c r="BC947" s="485"/>
      <c r="BD947" s="485"/>
      <c r="BG947" s="487"/>
    </row>
    <row r="948" spans="1:59" s="486" customFormat="1" ht="18" customHeight="1" x14ac:dyDescent="0.2">
      <c r="A948" s="1368" t="str">
        <f t="shared" si="713"/>
        <v>KOTO RAJO - PL. JAMBU2017</v>
      </c>
      <c r="B948" s="1373"/>
      <c r="C948" s="488"/>
      <c r="D948" s="489"/>
      <c r="E948" s="558"/>
      <c r="F948" s="559">
        <v>2017</v>
      </c>
      <c r="G948" s="619">
        <v>0</v>
      </c>
      <c r="H948" s="464">
        <f t="shared" si="698"/>
        <v>9</v>
      </c>
      <c r="I948" s="560"/>
      <c r="J948" s="468">
        <f t="shared" si="699"/>
        <v>2025</v>
      </c>
      <c r="K948" s="490">
        <f t="shared" si="700"/>
        <v>0</v>
      </c>
      <c r="L948" s="469">
        <f t="shared" si="701"/>
        <v>0</v>
      </c>
      <c r="M948" s="683">
        <f t="shared" si="702"/>
        <v>0</v>
      </c>
      <c r="N948" s="470">
        <f t="shared" si="703"/>
        <v>9</v>
      </c>
      <c r="O948" s="468">
        <f t="shared" si="704"/>
        <v>2025</v>
      </c>
      <c r="P948" s="616">
        <f t="shared" si="705"/>
        <v>12262869544.038599</v>
      </c>
      <c r="Q948" s="472">
        <f t="shared" si="706"/>
        <v>12262869544.038599</v>
      </c>
      <c r="R948" s="472">
        <f t="shared" si="707"/>
        <v>1362541060.4487331</v>
      </c>
      <c r="S948" s="1189">
        <f t="shared" si="708"/>
        <v>2017</v>
      </c>
      <c r="T948" s="470">
        <f t="shared" si="709"/>
        <v>1</v>
      </c>
      <c r="U948" s="612">
        <f t="shared" si="710"/>
        <v>1362541060.4487331</v>
      </c>
      <c r="V948" s="464">
        <f t="shared" si="711"/>
        <v>2017</v>
      </c>
      <c r="W948" s="612">
        <f t="shared" si="712"/>
        <v>10900328483.589867</v>
      </c>
      <c r="X948" s="473"/>
      <c r="Y948" s="478"/>
      <c r="Z948" s="449"/>
      <c r="AA948" s="492"/>
      <c r="AB948" s="476"/>
      <c r="AC948" s="476"/>
      <c r="AD948" s="567"/>
      <c r="AE948" s="476"/>
      <c r="AF948" s="568"/>
      <c r="AG948" s="476"/>
      <c r="AH948" s="476"/>
      <c r="AI948" s="477"/>
      <c r="AJ948" s="478"/>
      <c r="AK948" s="479"/>
      <c r="AL948" s="480"/>
      <c r="AM948" s="474"/>
      <c r="AN948" s="481"/>
      <c r="AO948" s="474"/>
      <c r="AP948" s="476"/>
      <c r="AQ948" s="482"/>
      <c r="AR948" s="478"/>
      <c r="AS948" s="478"/>
      <c r="AT948" s="476"/>
      <c r="AU948" s="482"/>
      <c r="AV948" s="478"/>
      <c r="AW948" s="483"/>
      <c r="AX948" s="476"/>
      <c r="AY948" s="482"/>
      <c r="AZ948" s="478"/>
      <c r="BA948" s="484"/>
      <c r="BB948" s="474"/>
      <c r="BC948" s="485"/>
      <c r="BD948" s="485"/>
      <c r="BG948" s="487"/>
    </row>
    <row r="949" spans="1:59" s="486" customFormat="1" ht="18" customHeight="1" x14ac:dyDescent="0.2">
      <c r="A949" s="1368" t="str">
        <f t="shared" si="713"/>
        <v>KOTO RAJO - PL. JAMBU2018</v>
      </c>
      <c r="B949" s="687"/>
      <c r="C949" s="463"/>
      <c r="D949" s="489"/>
      <c r="E949" s="465"/>
      <c r="F949" s="466">
        <v>2018</v>
      </c>
      <c r="G949" s="620">
        <v>0</v>
      </c>
      <c r="H949" s="464">
        <f t="shared" si="698"/>
        <v>8</v>
      </c>
      <c r="I949" s="560"/>
      <c r="J949" s="468">
        <f t="shared" si="699"/>
        <v>2025</v>
      </c>
      <c r="K949" s="490">
        <f t="shared" si="700"/>
        <v>0</v>
      </c>
      <c r="L949" s="469">
        <f t="shared" si="701"/>
        <v>0</v>
      </c>
      <c r="M949" s="683">
        <f t="shared" si="702"/>
        <v>0</v>
      </c>
      <c r="N949" s="470">
        <f t="shared" si="703"/>
        <v>8</v>
      </c>
      <c r="O949" s="468">
        <f t="shared" si="704"/>
        <v>2025</v>
      </c>
      <c r="P949" s="616">
        <f t="shared" si="705"/>
        <v>10900328483.589867</v>
      </c>
      <c r="Q949" s="472">
        <f t="shared" si="706"/>
        <v>10900328483.589867</v>
      </c>
      <c r="R949" s="472">
        <f t="shared" si="707"/>
        <v>1362541060.4487331</v>
      </c>
      <c r="S949" s="1189">
        <f t="shared" si="708"/>
        <v>2018</v>
      </c>
      <c r="T949" s="470">
        <f t="shared" si="709"/>
        <v>1</v>
      </c>
      <c r="U949" s="612">
        <f t="shared" si="710"/>
        <v>1362541060.4487331</v>
      </c>
      <c r="V949" s="464">
        <f t="shared" si="711"/>
        <v>2018</v>
      </c>
      <c r="W949" s="612">
        <f t="shared" si="712"/>
        <v>9537787423.1411343</v>
      </c>
      <c r="X949" s="473"/>
      <c r="Y949" s="478"/>
      <c r="Z949" s="449"/>
      <c r="AA949" s="531" t="s">
        <v>4183</v>
      </c>
      <c r="AB949" s="496"/>
      <c r="AC949" s="496"/>
      <c r="AD949" s="569">
        <f>AD947-W952</f>
        <v>0</v>
      </c>
      <c r="AE949" s="476"/>
      <c r="AF949" s="568"/>
      <c r="AG949" s="476"/>
      <c r="AH949" s="476"/>
      <c r="AI949" s="477"/>
      <c r="AJ949" s="478"/>
      <c r="AK949" s="479"/>
      <c r="AL949" s="480"/>
      <c r="AM949" s="474"/>
      <c r="AN949" s="481"/>
      <c r="AO949" s="474"/>
      <c r="AP949" s="476"/>
      <c r="AQ949" s="482"/>
      <c r="AR949" s="478"/>
      <c r="AS949" s="478"/>
      <c r="AT949" s="476"/>
      <c r="AU949" s="482"/>
      <c r="AV949" s="478"/>
      <c r="AW949" s="483"/>
      <c r="AX949" s="476"/>
      <c r="AY949" s="482"/>
      <c r="AZ949" s="478"/>
      <c r="BA949" s="484"/>
      <c r="BB949" s="474"/>
      <c r="BC949" s="485"/>
      <c r="BD949" s="485"/>
      <c r="BG949" s="487"/>
    </row>
    <row r="950" spans="1:59" s="486" customFormat="1" ht="18" customHeight="1" x14ac:dyDescent="0.2">
      <c r="A950" s="1368" t="str">
        <f t="shared" si="713"/>
        <v>KOTO RAJO - PL. JAMBU2019</v>
      </c>
      <c r="B950" s="687"/>
      <c r="C950" s="463"/>
      <c r="D950" s="489"/>
      <c r="E950" s="465"/>
      <c r="F950" s="466">
        <v>2019</v>
      </c>
      <c r="G950" s="620">
        <v>0</v>
      </c>
      <c r="H950" s="464">
        <f t="shared" si="698"/>
        <v>7</v>
      </c>
      <c r="I950" s="560"/>
      <c r="J950" s="468">
        <f t="shared" si="699"/>
        <v>2025</v>
      </c>
      <c r="K950" s="490">
        <f t="shared" si="700"/>
        <v>0</v>
      </c>
      <c r="L950" s="469">
        <f t="shared" si="701"/>
        <v>0</v>
      </c>
      <c r="M950" s="683">
        <f t="shared" si="702"/>
        <v>0</v>
      </c>
      <c r="N950" s="470">
        <f t="shared" si="703"/>
        <v>7</v>
      </c>
      <c r="O950" s="468">
        <f t="shared" si="704"/>
        <v>2025</v>
      </c>
      <c r="P950" s="616">
        <f t="shared" si="705"/>
        <v>9537787423.1411343</v>
      </c>
      <c r="Q950" s="472">
        <f t="shared" si="706"/>
        <v>9537787423.1411343</v>
      </c>
      <c r="R950" s="472">
        <f t="shared" si="707"/>
        <v>1362541060.4487331</v>
      </c>
      <c r="S950" s="1189">
        <f t="shared" si="708"/>
        <v>2019</v>
      </c>
      <c r="T950" s="470">
        <f t="shared" si="709"/>
        <v>1</v>
      </c>
      <c r="U950" s="612">
        <f t="shared" si="710"/>
        <v>1362541060.4487331</v>
      </c>
      <c r="V950" s="464">
        <f t="shared" si="711"/>
        <v>2019</v>
      </c>
      <c r="W950" s="612">
        <f t="shared" si="712"/>
        <v>8175246362.6924009</v>
      </c>
      <c r="X950" s="473"/>
      <c r="Y950" s="478"/>
      <c r="Z950" s="449"/>
      <c r="AA950" s="573"/>
      <c r="AB950" s="476"/>
      <c r="AC950" s="476"/>
      <c r="AD950" s="568"/>
      <c r="AE950" s="476"/>
      <c r="AF950" s="568"/>
      <c r="AG950" s="476"/>
      <c r="AH950" s="476"/>
      <c r="AI950" s="477"/>
      <c r="AJ950" s="478"/>
      <c r="AK950" s="479"/>
      <c r="AL950" s="480"/>
      <c r="AM950" s="474"/>
      <c r="AN950" s="481"/>
      <c r="AO950" s="474"/>
      <c r="AP950" s="476"/>
      <c r="AQ950" s="482"/>
      <c r="AR950" s="478"/>
      <c r="AS950" s="478"/>
      <c r="AT950" s="476"/>
      <c r="AU950" s="482"/>
      <c r="AV950" s="478"/>
      <c r="AW950" s="483"/>
      <c r="AX950" s="476"/>
      <c r="AY950" s="482"/>
      <c r="AZ950" s="478"/>
      <c r="BA950" s="484"/>
      <c r="BB950" s="474"/>
      <c r="BC950" s="485"/>
      <c r="BD950" s="485"/>
      <c r="BG950" s="487"/>
    </row>
    <row r="951" spans="1:59" s="486" customFormat="1" ht="18" customHeight="1" x14ac:dyDescent="0.2">
      <c r="A951" s="1368" t="str">
        <f>LEFT(D951,8)</f>
        <v/>
      </c>
      <c r="B951" s="687"/>
      <c r="C951" s="463"/>
      <c r="D951" s="489"/>
      <c r="E951" s="465"/>
      <c r="F951" s="466"/>
      <c r="G951" s="620"/>
      <c r="H951" s="557"/>
      <c r="I951" s="467"/>
      <c r="J951" s="468"/>
      <c r="K951" s="490"/>
      <c r="L951" s="469"/>
      <c r="M951" s="683"/>
      <c r="N951" s="470"/>
      <c r="O951" s="468"/>
      <c r="P951" s="616"/>
      <c r="Q951" s="472"/>
      <c r="R951" s="472"/>
      <c r="S951" s="634"/>
      <c r="T951" s="470"/>
      <c r="U951" s="612"/>
      <c r="V951" s="464"/>
      <c r="W951" s="612"/>
      <c r="X951" s="473"/>
      <c r="Y951" s="497"/>
      <c r="Z951" s="449"/>
      <c r="AA951" s="497"/>
      <c r="AB951" s="476"/>
      <c r="AC951" s="497"/>
      <c r="AD951" s="568"/>
      <c r="AE951" s="476"/>
      <c r="AF951" s="568"/>
      <c r="AG951" s="476"/>
      <c r="AH951" s="476"/>
      <c r="AI951" s="477"/>
      <c r="AJ951" s="478"/>
      <c r="AK951" s="479"/>
      <c r="AL951" s="480"/>
      <c r="AM951" s="474"/>
      <c r="AN951" s="481"/>
      <c r="AO951" s="474"/>
      <c r="AP951" s="476"/>
      <c r="AQ951" s="482"/>
      <c r="AR951" s="478"/>
      <c r="AS951" s="478"/>
      <c r="AT951" s="476"/>
      <c r="AU951" s="482"/>
      <c r="AV951" s="478"/>
      <c r="AW951" s="483"/>
      <c r="AX951" s="476"/>
      <c r="AY951" s="482"/>
      <c r="AZ951" s="478"/>
      <c r="BA951" s="484"/>
      <c r="BB951" s="474"/>
      <c r="BC951" s="485"/>
      <c r="BD951" s="485"/>
      <c r="BG951" s="487"/>
    </row>
    <row r="952" spans="1:59" s="526" customFormat="1" ht="18" customHeight="1" x14ac:dyDescent="0.2">
      <c r="A952" s="1370" t="s">
        <v>4184</v>
      </c>
      <c r="B952" s="1956" t="s">
        <v>4184</v>
      </c>
      <c r="C952" s="1957"/>
      <c r="D952" s="1957"/>
      <c r="E952" s="1957"/>
      <c r="F952" s="1958"/>
      <c r="G952" s="624">
        <f>SUM(G936:G951)</f>
        <v>30924458422.545406</v>
      </c>
      <c r="H952" s="505"/>
      <c r="I952" s="506"/>
      <c r="J952" s="507"/>
      <c r="K952" s="507"/>
      <c r="L952" s="505"/>
      <c r="M952" s="684"/>
      <c r="N952" s="508"/>
      <c r="O952" s="507"/>
      <c r="P952" s="749"/>
      <c r="Q952" s="510"/>
      <c r="R952" s="511"/>
      <c r="S952" s="512"/>
      <c r="T952" s="512"/>
      <c r="U952" s="610">
        <f>SUM(U936:U951)</f>
        <v>22749212059.853016</v>
      </c>
      <c r="V952" s="513"/>
      <c r="W952" s="610">
        <f>G952-U952</f>
        <v>8175246362.6923904</v>
      </c>
      <c r="X952" s="514"/>
      <c r="Y952" s="515"/>
      <c r="Z952" s="515"/>
      <c r="AA952" s="515"/>
      <c r="AB952" s="515"/>
      <c r="AC952" s="515"/>
      <c r="AD952" s="570"/>
      <c r="AE952" s="515"/>
      <c r="AF952" s="570"/>
      <c r="AG952" s="515"/>
      <c r="AH952" s="515"/>
      <c r="AI952" s="516"/>
      <c r="AJ952" s="517"/>
      <c r="AK952" s="518"/>
      <c r="AL952" s="519"/>
      <c r="AM952" s="520"/>
      <c r="AN952" s="521"/>
      <c r="AO952" s="520"/>
      <c r="AP952" s="515"/>
      <c r="AQ952" s="522"/>
      <c r="AR952" s="517"/>
      <c r="AS952" s="517"/>
      <c r="AT952" s="515"/>
      <c r="AU952" s="522"/>
      <c r="AV952" s="517"/>
      <c r="AW952" s="523"/>
      <c r="AX952" s="515"/>
      <c r="AY952" s="522"/>
      <c r="AZ952" s="517"/>
      <c r="BA952" s="524"/>
      <c r="BB952" s="520"/>
      <c r="BC952" s="525"/>
      <c r="BD952" s="525"/>
      <c r="BG952" s="527"/>
    </row>
    <row r="955" spans="1:59" s="422" customFormat="1" ht="18" customHeight="1" x14ac:dyDescent="0.2">
      <c r="A955" s="1366">
        <f>C955</f>
        <v>163</v>
      </c>
      <c r="B955" s="742" t="s">
        <v>4187</v>
      </c>
      <c r="C955" s="556">
        <v>163</v>
      </c>
      <c r="D955" s="553" t="str">
        <f>VLOOKUP(C955,RUAS,2,FALSE)</f>
        <v>PANGEAN - PL. KUMPAI</v>
      </c>
      <c r="E955" s="553"/>
      <c r="F955" s="421"/>
      <c r="G955" s="611"/>
      <c r="I955" s="423"/>
      <c r="J955" s="424"/>
      <c r="K955" s="424"/>
      <c r="M955" s="680"/>
      <c r="P955" s="611"/>
      <c r="U955" s="611"/>
      <c r="W955" s="611"/>
      <c r="Y955" s="425"/>
      <c r="Z955" s="425"/>
      <c r="AA955" s="425"/>
      <c r="AB955" s="425"/>
      <c r="AC955" s="425"/>
      <c r="AD955" s="563"/>
      <c r="AE955" s="425"/>
      <c r="AF955" s="563"/>
      <c r="AG955" s="425"/>
      <c r="AH955" s="425"/>
      <c r="AI955" s="425"/>
      <c r="AJ955" s="425"/>
      <c r="AK955" s="425"/>
      <c r="AL955" s="425"/>
      <c r="AM955" s="425"/>
      <c r="AN955" s="425"/>
      <c r="AO955" s="425"/>
      <c r="AP955" s="425"/>
      <c r="AQ955" s="425"/>
      <c r="AR955" s="425"/>
      <c r="AS955" s="425"/>
      <c r="AT955" s="425"/>
      <c r="AU955" s="425"/>
      <c r="AV955" s="425"/>
      <c r="AW955" s="425"/>
      <c r="AX955" s="425"/>
      <c r="AY955" s="425"/>
      <c r="AZ955" s="425"/>
      <c r="BA955" s="425"/>
      <c r="BB955" s="425"/>
    </row>
    <row r="956" spans="1:59" s="431" customFormat="1" ht="18" customHeight="1" x14ac:dyDescent="0.2">
      <c r="A956" s="1367"/>
      <c r="B956" s="1968" t="s">
        <v>5</v>
      </c>
      <c r="C956" s="1968" t="s">
        <v>2280</v>
      </c>
      <c r="D956" s="1968" t="s">
        <v>4157</v>
      </c>
      <c r="E956" s="1968" t="s">
        <v>4158</v>
      </c>
      <c r="F956" s="1968"/>
      <c r="G956" s="2042" t="s">
        <v>4159</v>
      </c>
      <c r="H956" s="1968" t="s">
        <v>4160</v>
      </c>
      <c r="I956" s="1968"/>
      <c r="J956" s="1968" t="s">
        <v>4185</v>
      </c>
      <c r="K956" s="1964" t="s">
        <v>4162</v>
      </c>
      <c r="L956" s="1968" t="s">
        <v>4163</v>
      </c>
      <c r="M956" s="1971" t="s">
        <v>4164</v>
      </c>
      <c r="N956" s="1962" t="s">
        <v>4165</v>
      </c>
      <c r="O956" s="1968" t="s">
        <v>4166</v>
      </c>
      <c r="P956" s="1972" t="s">
        <v>4167</v>
      </c>
      <c r="Q956" s="1973"/>
      <c r="R956" s="636" t="s">
        <v>4186</v>
      </c>
      <c r="S956" s="1972" t="s">
        <v>4169</v>
      </c>
      <c r="T956" s="1974"/>
      <c r="U956" s="1973"/>
      <c r="V956" s="1975" t="s">
        <v>4170</v>
      </c>
      <c r="W956" s="1975"/>
      <c r="X956" s="1960" t="s">
        <v>4171</v>
      </c>
      <c r="Y956" s="1959"/>
      <c r="Z956" s="633"/>
      <c r="AA956" s="426"/>
      <c r="AB956" s="426"/>
      <c r="AC956" s="426"/>
      <c r="AD956" s="564"/>
      <c r="AE956" s="426"/>
      <c r="AF956" s="564"/>
      <c r="AG956" s="426"/>
      <c r="AH956" s="426"/>
      <c r="AI956" s="427"/>
      <c r="AJ956" s="427"/>
      <c r="AK956" s="427"/>
      <c r="AL956" s="427"/>
      <c r="AM956" s="428"/>
      <c r="AN956" s="427"/>
      <c r="AO956" s="427"/>
      <c r="AP956" s="426"/>
      <c r="AQ956" s="427"/>
      <c r="AR956" s="427"/>
      <c r="AS956" s="427"/>
      <c r="AT956" s="426"/>
      <c r="AU956" s="427"/>
      <c r="AV956" s="427"/>
      <c r="AW956" s="427"/>
      <c r="AX956" s="426"/>
      <c r="AY956" s="427"/>
      <c r="AZ956" s="427"/>
      <c r="BA956" s="427"/>
      <c r="BB956" s="429"/>
      <c r="BC956" s="430"/>
      <c r="BD956" s="430"/>
    </row>
    <row r="957" spans="1:59" s="431" customFormat="1" ht="18" customHeight="1" x14ac:dyDescent="0.2">
      <c r="A957" s="1367"/>
      <c r="B957" s="1968"/>
      <c r="C957" s="1968"/>
      <c r="D957" s="1968"/>
      <c r="E957" s="1968"/>
      <c r="F957" s="1968"/>
      <c r="G957" s="2042"/>
      <c r="H957" s="1968"/>
      <c r="I957" s="1968"/>
      <c r="J957" s="1968"/>
      <c r="K957" s="1970"/>
      <c r="L957" s="1968"/>
      <c r="M957" s="1971"/>
      <c r="N957" s="1963"/>
      <c r="O957" s="1968"/>
      <c r="P957" s="2037" t="s">
        <v>4172</v>
      </c>
      <c r="Q957" s="1960" t="s">
        <v>4173</v>
      </c>
      <c r="R957" s="1962" t="s">
        <v>4159</v>
      </c>
      <c r="S957" s="1962" t="s">
        <v>4174</v>
      </c>
      <c r="T957" s="1964" t="s">
        <v>4175</v>
      </c>
      <c r="U957" s="1966" t="s">
        <v>4159</v>
      </c>
      <c r="V957" s="1975"/>
      <c r="W957" s="1975"/>
      <c r="X957" s="1976"/>
      <c r="Y957" s="1959"/>
      <c r="Z957" s="633"/>
      <c r="AA957" s="426"/>
      <c r="AB957" s="426"/>
      <c r="AC957" s="426"/>
      <c r="AD957" s="564"/>
      <c r="AE957" s="426"/>
      <c r="AF957" s="564"/>
      <c r="AG957" s="426"/>
      <c r="AH957" s="426"/>
      <c r="AI957" s="427"/>
      <c r="AJ957" s="427"/>
      <c r="AK957" s="426"/>
      <c r="AL957" s="427"/>
      <c r="AM957" s="428"/>
      <c r="AN957" s="427"/>
      <c r="AO957" s="427"/>
      <c r="AP957" s="432"/>
      <c r="AQ957" s="427"/>
      <c r="AR957" s="427"/>
      <c r="AS957" s="427"/>
      <c r="AT957" s="432"/>
      <c r="AU957" s="427"/>
      <c r="AV957" s="427"/>
      <c r="AW957" s="427"/>
      <c r="AX957" s="432"/>
      <c r="AY957" s="427"/>
      <c r="AZ957" s="427"/>
      <c r="BA957" s="427"/>
      <c r="BB957" s="429"/>
      <c r="BC957" s="430"/>
      <c r="BD957" s="430"/>
    </row>
    <row r="958" spans="1:59" s="431" customFormat="1" ht="18" customHeight="1" x14ac:dyDescent="0.2">
      <c r="A958" s="1367"/>
      <c r="B958" s="1968"/>
      <c r="C958" s="1968"/>
      <c r="D958" s="1968"/>
      <c r="E958" s="433" t="s">
        <v>4176</v>
      </c>
      <c r="F958" s="434" t="s">
        <v>2288</v>
      </c>
      <c r="G958" s="2042"/>
      <c r="H958" s="635" t="s">
        <v>2288</v>
      </c>
      <c r="I958" s="635" t="s">
        <v>4177</v>
      </c>
      <c r="J958" s="1968"/>
      <c r="K958" s="1965"/>
      <c r="L958" s="435" t="s">
        <v>2288</v>
      </c>
      <c r="M958" s="681" t="s">
        <v>2288</v>
      </c>
      <c r="N958" s="635" t="s">
        <v>2288</v>
      </c>
      <c r="O958" s="1968"/>
      <c r="P958" s="2038"/>
      <c r="Q958" s="1961"/>
      <c r="R958" s="1963"/>
      <c r="S958" s="1963"/>
      <c r="T958" s="1965"/>
      <c r="U958" s="1967"/>
      <c r="V958" s="635" t="s">
        <v>4178</v>
      </c>
      <c r="W958" s="637" t="s">
        <v>4159</v>
      </c>
      <c r="X958" s="1961"/>
      <c r="Y958" s="436"/>
      <c r="Z958" s="436"/>
      <c r="AA958" s="426"/>
      <c r="AB958" s="426"/>
      <c r="AC958" s="426"/>
      <c r="AD958" s="564"/>
      <c r="AE958" s="426"/>
      <c r="AF958" s="564"/>
      <c r="AG958" s="426"/>
      <c r="AH958" s="426"/>
      <c r="AI958" s="427"/>
      <c r="AJ958" s="432"/>
      <c r="AK958" s="432"/>
      <c r="AL958" s="427"/>
      <c r="AM958" s="428"/>
      <c r="AN958" s="432"/>
      <c r="AO958" s="427"/>
      <c r="AP958" s="432"/>
      <c r="AQ958" s="432"/>
      <c r="AR958" s="427"/>
      <c r="AS958" s="427"/>
      <c r="AT958" s="432"/>
      <c r="AU958" s="432"/>
      <c r="AV958" s="427"/>
      <c r="AW958" s="427"/>
      <c r="AX958" s="432"/>
      <c r="AY958" s="432"/>
      <c r="AZ958" s="427"/>
      <c r="BA958" s="427"/>
      <c r="BB958" s="429"/>
      <c r="BC958" s="430"/>
      <c r="BD958" s="430"/>
    </row>
    <row r="959" spans="1:59" s="461" customFormat="1" ht="18" customHeight="1" x14ac:dyDescent="0.2">
      <c r="A959" s="1368" t="str">
        <f>$D$955&amp;S959</f>
        <v>PANGEAN - PL. KUMPAI2001</v>
      </c>
      <c r="B959" s="1373">
        <v>1</v>
      </c>
      <c r="C959" s="532" t="s">
        <v>1144</v>
      </c>
      <c r="D959" s="437" t="s">
        <v>2494</v>
      </c>
      <c r="E959" s="438"/>
      <c r="F959" s="439">
        <v>2001</v>
      </c>
      <c r="G959" s="623">
        <v>4613760526</v>
      </c>
      <c r="H959" s="440">
        <f>VLOOKUP(LEFT(D959,8),UE,4)</f>
        <v>10</v>
      </c>
      <c r="I959" s="441"/>
      <c r="J959" s="442">
        <f>F959+N959-1</f>
        <v>2010</v>
      </c>
      <c r="K959" s="443"/>
      <c r="L959" s="440"/>
      <c r="M959" s="746">
        <f>IF(H959+L959&gt;$H959,$H959-H959,L959)</f>
        <v>0</v>
      </c>
      <c r="N959" s="444">
        <f>H959+M959</f>
        <v>10</v>
      </c>
      <c r="O959" s="442">
        <f>F959+N959-1</f>
        <v>2010</v>
      </c>
      <c r="P959" s="617">
        <f>G959</f>
        <v>4613760526</v>
      </c>
      <c r="Q959" s="445">
        <v>0</v>
      </c>
      <c r="R959" s="445">
        <f>P959/N959</f>
        <v>461376052.60000002</v>
      </c>
      <c r="S959" s="446">
        <f>F959</f>
        <v>2001</v>
      </c>
      <c r="T959" s="447">
        <v>1</v>
      </c>
      <c r="U959" s="613">
        <f>R959*T959</f>
        <v>461376052.60000002</v>
      </c>
      <c r="V959" s="442">
        <f>F959</f>
        <v>2001</v>
      </c>
      <c r="W959" s="617">
        <f>IF(OR(AND(ISBLANK(E959),ISBLANK(G959)),ISTEXT(E959),ISTEXT(G959)),"",G959-R959)</f>
        <v>4152384473.4000001</v>
      </c>
      <c r="X959" s="448"/>
      <c r="Y959" s="449"/>
      <c r="Z959" s="449"/>
      <c r="AA959" s="693"/>
      <c r="AB959" s="452"/>
      <c r="AC959" s="452"/>
      <c r="AD959" s="571"/>
      <c r="AE959" s="452"/>
      <c r="AF959" s="571"/>
      <c r="AG959" s="452"/>
      <c r="AH959" s="452"/>
      <c r="AI959" s="453"/>
      <c r="AJ959" s="449"/>
      <c r="AK959" s="453"/>
      <c r="AL959" s="454"/>
      <c r="AM959" s="455"/>
      <c r="AN959" s="456"/>
      <c r="AO959" s="455"/>
      <c r="AP959" s="452"/>
      <c r="AQ959" s="457"/>
      <c r="AR959" s="449"/>
      <c r="AS959" s="449"/>
      <c r="AT959" s="452"/>
      <c r="AU959" s="457"/>
      <c r="AV959" s="449"/>
      <c r="AW959" s="458"/>
      <c r="AX959" s="452"/>
      <c r="AY959" s="457"/>
      <c r="AZ959" s="449"/>
      <c r="BA959" s="459"/>
      <c r="BB959" s="455"/>
      <c r="BC959" s="460"/>
      <c r="BD959" s="460"/>
      <c r="BG959" s="462"/>
    </row>
    <row r="960" spans="1:59" s="461" customFormat="1" ht="18" customHeight="1" x14ac:dyDescent="0.2">
      <c r="A960" s="1368" t="str">
        <f t="shared" ref="A960:A972" si="714">$D$955&amp;S960</f>
        <v>PANGEAN - PL. KUMPAI2006</v>
      </c>
      <c r="B960" s="1373"/>
      <c r="C960" s="488"/>
      <c r="D960" s="489"/>
      <c r="E960" s="558"/>
      <c r="F960" s="559">
        <v>2006</v>
      </c>
      <c r="G960" s="619">
        <v>0</v>
      </c>
      <c r="H960" s="464">
        <f>IF(N959-(F960-F959)&lt;=0,0,(N959-(F960-F959)))</f>
        <v>5</v>
      </c>
      <c r="I960" s="560"/>
      <c r="J960" s="468">
        <f>F960+N960-1</f>
        <v>2010</v>
      </c>
      <c r="K960" s="490">
        <f>IF(G960=0,0,IF(H960=10,100%,G960/W959))</f>
        <v>0</v>
      </c>
      <c r="L960" s="469">
        <f>IF(K960=0%,0,IF(K960&lt;=30%,2,IF(K960&lt;=60%,5,10)))</f>
        <v>0</v>
      </c>
      <c r="M960" s="683">
        <f>IF(OR(AND(ISBLANK(E960),ISBLANK(G960)),ISTEXT(E960),ISTEXT(G960)),"",IF(H960+L960&gt;$H$8,$H$8-H960,L960))</f>
        <v>0</v>
      </c>
      <c r="N960" s="470">
        <f>IF(OR(AND(ISBLANK(F960),ISBLANK(G960)),ISTEXT(F960),ISTEXT(G960)),"",H960+M960)</f>
        <v>5</v>
      </c>
      <c r="O960" s="468">
        <f>F960+N960-1</f>
        <v>2010</v>
      </c>
      <c r="P960" s="616">
        <f>W959</f>
        <v>4152384473.4000001</v>
      </c>
      <c r="Q960" s="472">
        <f>P960+G960</f>
        <v>4152384473.4000001</v>
      </c>
      <c r="R960" s="472">
        <f>IF(L960=0,R959,Q960/N960)</f>
        <v>461376052.60000002</v>
      </c>
      <c r="S960" s="634">
        <f>F960</f>
        <v>2006</v>
      </c>
      <c r="T960" s="470">
        <f>S960-S959</f>
        <v>5</v>
      </c>
      <c r="U960" s="612">
        <f>R960*T960</f>
        <v>2306880263</v>
      </c>
      <c r="V960" s="464">
        <f>F960</f>
        <v>2006</v>
      </c>
      <c r="W960" s="612">
        <f>IF(OR(AND(ISBLANK(E960),ISBLANK(G960)),ISTEXT(E960),ISTEXT(G960)),"",Q960-U960)</f>
        <v>1845504210.4000001</v>
      </c>
      <c r="X960" s="561"/>
      <c r="Y960" s="449"/>
      <c r="Z960" s="449"/>
      <c r="AA960" s="693"/>
      <c r="AB960" s="452"/>
      <c r="AC960" s="452"/>
      <c r="AD960" s="571"/>
      <c r="AE960" s="452"/>
      <c r="AF960" s="571"/>
      <c r="AG960" s="452"/>
      <c r="AH960" s="452"/>
      <c r="AI960" s="453"/>
      <c r="AJ960" s="449"/>
      <c r="AK960" s="453"/>
      <c r="AL960" s="454"/>
      <c r="AM960" s="455"/>
      <c r="AN960" s="456"/>
      <c r="AO960" s="455"/>
      <c r="AP960" s="452"/>
      <c r="AQ960" s="457"/>
      <c r="AR960" s="449"/>
      <c r="AS960" s="449"/>
      <c r="AT960" s="452"/>
      <c r="AU960" s="457"/>
      <c r="AV960" s="449"/>
      <c r="AW960" s="458"/>
      <c r="AX960" s="452"/>
      <c r="AY960" s="457"/>
      <c r="AZ960" s="449"/>
      <c r="BA960" s="459"/>
      <c r="BB960" s="455"/>
      <c r="BC960" s="460"/>
      <c r="BD960" s="460"/>
      <c r="BG960" s="462"/>
    </row>
    <row r="961" spans="1:59" s="461" customFormat="1" ht="18" customHeight="1" x14ac:dyDescent="0.2">
      <c r="A961" s="1368" t="str">
        <f t="shared" si="714"/>
        <v>PANGEAN - PL. KUMPAI2007</v>
      </c>
      <c r="B961" s="1373">
        <v>2</v>
      </c>
      <c r="C961" s="488" t="s">
        <v>1162</v>
      </c>
      <c r="D961" s="489" t="s">
        <v>2494</v>
      </c>
      <c r="E961" s="558"/>
      <c r="F961" s="559">
        <v>2007</v>
      </c>
      <c r="G961" s="619">
        <v>2746245475.7522197</v>
      </c>
      <c r="H961" s="464">
        <f t="shared" ref="H961:H971" si="715">IF(N960-(F961-F960)&lt;=0,0,(N960-(F961-F960)))</f>
        <v>4</v>
      </c>
      <c r="I961" s="560"/>
      <c r="J961" s="468">
        <f t="shared" ref="J961:J971" si="716">F961+N961-1</f>
        <v>2016</v>
      </c>
      <c r="K961" s="490">
        <f t="shared" ref="K961:K971" si="717">IF(G961=0,0,IF(H961=10,100%,G961/W960))</f>
        <v>1.4880732648976132</v>
      </c>
      <c r="L961" s="469">
        <f t="shared" ref="L961:L971" si="718">IF(K961=0%,0,IF(K961&lt;=30%,2,IF(K961&lt;=60%,5,10)))</f>
        <v>10</v>
      </c>
      <c r="M961" s="683">
        <f t="shared" ref="M961:M971" si="719">IF(OR(AND(ISBLANK(E961),ISBLANK(G961)),ISTEXT(E961),ISTEXT(G961)),"",IF(H961+L961&gt;$H$8,$H$8-H961,L961))</f>
        <v>6</v>
      </c>
      <c r="N961" s="470">
        <f t="shared" ref="N961:N971" si="720">IF(OR(AND(ISBLANK(F961),ISBLANK(G961)),ISTEXT(F961),ISTEXT(G961)),"",H961+M961)</f>
        <v>10</v>
      </c>
      <c r="O961" s="468">
        <f t="shared" ref="O961:O971" si="721">F961+N961-1</f>
        <v>2016</v>
      </c>
      <c r="P961" s="616">
        <f t="shared" ref="P961:P971" si="722">W960</f>
        <v>1845504210.4000001</v>
      </c>
      <c r="Q961" s="472">
        <f t="shared" ref="Q961:Q971" si="723">P961+G961</f>
        <v>4591749686.1522198</v>
      </c>
      <c r="R961" s="472">
        <f t="shared" ref="R961:R971" si="724">IF(L961=0,R960,Q961/N961)</f>
        <v>459174968.61522198</v>
      </c>
      <c r="S961" s="1189">
        <f t="shared" ref="S961:S971" si="725">F961</f>
        <v>2007</v>
      </c>
      <c r="T961" s="470">
        <f t="shared" ref="T961:T971" si="726">S961-S960</f>
        <v>1</v>
      </c>
      <c r="U961" s="612">
        <f t="shared" ref="U961:U971" si="727">R961*T961</f>
        <v>459174968.61522198</v>
      </c>
      <c r="V961" s="464">
        <f t="shared" ref="V961:V971" si="728">F961</f>
        <v>2007</v>
      </c>
      <c r="W961" s="612">
        <f t="shared" ref="W961:W971" si="729">IF(OR(AND(ISBLANK(E961),ISBLANK(G961)),ISTEXT(E961),ISTEXT(G961)),"",Q961-U961)</f>
        <v>4132574717.5369978</v>
      </c>
      <c r="X961" s="561"/>
      <c r="Y961" s="449"/>
      <c r="Z961" s="449"/>
      <c r="AA961" s="693"/>
      <c r="AB961" s="452"/>
      <c r="AC961" s="452"/>
      <c r="AD961" s="571"/>
      <c r="AE961" s="452"/>
      <c r="AF961" s="571"/>
      <c r="AG961" s="452"/>
      <c r="AH961" s="452"/>
      <c r="AI961" s="453"/>
      <c r="AJ961" s="449"/>
      <c r="AK961" s="453"/>
      <c r="AL961" s="454"/>
      <c r="AM961" s="455"/>
      <c r="AN961" s="456"/>
      <c r="AO961" s="455"/>
      <c r="AP961" s="452"/>
      <c r="AQ961" s="457"/>
      <c r="AR961" s="449"/>
      <c r="AS961" s="449"/>
      <c r="AT961" s="452"/>
      <c r="AU961" s="457"/>
      <c r="AV961" s="449"/>
      <c r="AW961" s="458"/>
      <c r="AX961" s="452"/>
      <c r="AY961" s="457"/>
      <c r="AZ961" s="449"/>
      <c r="BA961" s="459"/>
      <c r="BB961" s="455"/>
      <c r="BC961" s="460"/>
      <c r="BD961" s="460"/>
      <c r="BG961" s="462"/>
    </row>
    <row r="962" spans="1:59" s="461" customFormat="1" ht="18" customHeight="1" x14ac:dyDescent="0.2">
      <c r="A962" s="1368" t="str">
        <f t="shared" si="714"/>
        <v>PANGEAN - PL. KUMPAI2008</v>
      </c>
      <c r="B962" s="1373"/>
      <c r="C962" s="488" t="s">
        <v>5150</v>
      </c>
      <c r="D962" s="489"/>
      <c r="E962" s="558"/>
      <c r="F962" s="559">
        <v>2008</v>
      </c>
      <c r="G962" s="619">
        <v>433953444.23257333</v>
      </c>
      <c r="H962" s="464">
        <f t="shared" si="715"/>
        <v>9</v>
      </c>
      <c r="I962" s="560"/>
      <c r="J962" s="468">
        <f t="shared" si="716"/>
        <v>2017</v>
      </c>
      <c r="K962" s="490">
        <f t="shared" si="717"/>
        <v>0.10500800926624462</v>
      </c>
      <c r="L962" s="469">
        <f t="shared" si="718"/>
        <v>2</v>
      </c>
      <c r="M962" s="683">
        <f t="shared" si="719"/>
        <v>1</v>
      </c>
      <c r="N962" s="470">
        <f t="shared" si="720"/>
        <v>10</v>
      </c>
      <c r="O962" s="468">
        <f t="shared" si="721"/>
        <v>2017</v>
      </c>
      <c r="P962" s="616">
        <f t="shared" si="722"/>
        <v>4132574717.5369978</v>
      </c>
      <c r="Q962" s="472">
        <f t="shared" si="723"/>
        <v>4566528161.7695713</v>
      </c>
      <c r="R962" s="472">
        <f t="shared" si="724"/>
        <v>456652816.17695713</v>
      </c>
      <c r="S962" s="1189">
        <f t="shared" si="725"/>
        <v>2008</v>
      </c>
      <c r="T962" s="470">
        <f t="shared" si="726"/>
        <v>1</v>
      </c>
      <c r="U962" s="612">
        <f t="shared" si="727"/>
        <v>456652816.17695713</v>
      </c>
      <c r="V962" s="464">
        <f t="shared" si="728"/>
        <v>2008</v>
      </c>
      <c r="W962" s="612">
        <f t="shared" si="729"/>
        <v>4109875345.5926142</v>
      </c>
      <c r="X962" s="561"/>
      <c r="Y962" s="449"/>
      <c r="Z962" s="449"/>
      <c r="AA962" s="693"/>
      <c r="AB962" s="452"/>
      <c r="AC962" s="452"/>
      <c r="AD962" s="571"/>
      <c r="AE962" s="452"/>
      <c r="AF962" s="571"/>
      <c r="AG962" s="452"/>
      <c r="AH962" s="452"/>
      <c r="AI962" s="453"/>
      <c r="AJ962" s="449"/>
      <c r="AK962" s="453"/>
      <c r="AL962" s="454"/>
      <c r="AM962" s="455"/>
      <c r="AN962" s="456"/>
      <c r="AO962" s="455"/>
      <c r="AP962" s="452"/>
      <c r="AQ962" s="457"/>
      <c r="AR962" s="449"/>
      <c r="AS962" s="449"/>
      <c r="AT962" s="452"/>
      <c r="AU962" s="457"/>
      <c r="AV962" s="449"/>
      <c r="AW962" s="458"/>
      <c r="AX962" s="452"/>
      <c r="AY962" s="457"/>
      <c r="AZ962" s="449"/>
      <c r="BA962" s="459"/>
      <c r="BB962" s="455"/>
      <c r="BC962" s="460"/>
      <c r="BD962" s="460"/>
      <c r="BG962" s="462"/>
    </row>
    <row r="963" spans="1:59" s="486" customFormat="1" ht="18" customHeight="1" x14ac:dyDescent="0.2">
      <c r="A963" s="1368" t="str">
        <f t="shared" si="714"/>
        <v>PANGEAN - PL. KUMPAI2010</v>
      </c>
      <c r="B963" s="1373"/>
      <c r="C963" s="488"/>
      <c r="D963" s="489"/>
      <c r="E963" s="558"/>
      <c r="F963" s="559">
        <v>2010</v>
      </c>
      <c r="G963" s="619">
        <v>0</v>
      </c>
      <c r="H963" s="464">
        <f t="shared" si="715"/>
        <v>8</v>
      </c>
      <c r="I963" s="560"/>
      <c r="J963" s="468">
        <f t="shared" si="716"/>
        <v>2017</v>
      </c>
      <c r="K963" s="490">
        <f t="shared" si="717"/>
        <v>0</v>
      </c>
      <c r="L963" s="469">
        <f t="shared" si="718"/>
        <v>0</v>
      </c>
      <c r="M963" s="683">
        <f t="shared" si="719"/>
        <v>0</v>
      </c>
      <c r="N963" s="470">
        <f t="shared" si="720"/>
        <v>8</v>
      </c>
      <c r="O963" s="468">
        <f t="shared" si="721"/>
        <v>2017</v>
      </c>
      <c r="P963" s="616">
        <f t="shared" si="722"/>
        <v>4109875345.5926142</v>
      </c>
      <c r="Q963" s="472">
        <f t="shared" si="723"/>
        <v>4109875345.5926142</v>
      </c>
      <c r="R963" s="472">
        <f t="shared" si="724"/>
        <v>456652816.17695713</v>
      </c>
      <c r="S963" s="1189">
        <f t="shared" si="725"/>
        <v>2010</v>
      </c>
      <c r="T963" s="470">
        <f t="shared" si="726"/>
        <v>2</v>
      </c>
      <c r="U963" s="612">
        <f t="shared" si="727"/>
        <v>913305632.35391426</v>
      </c>
      <c r="V963" s="464">
        <f t="shared" si="728"/>
        <v>2010</v>
      </c>
      <c r="W963" s="612">
        <f t="shared" si="729"/>
        <v>3196569713.2386999</v>
      </c>
      <c r="X963" s="473"/>
      <c r="Y963" s="474"/>
      <c r="Z963" s="449"/>
      <c r="AA963" s="739"/>
      <c r="AB963" s="496"/>
      <c r="AC963" s="496"/>
      <c r="AD963" s="740"/>
      <c r="AE963" s="476"/>
      <c r="AF963" s="568"/>
      <c r="AG963" s="476"/>
      <c r="AH963" s="476"/>
      <c r="AI963" s="477"/>
      <c r="AJ963" s="478"/>
      <c r="AK963" s="479"/>
      <c r="AL963" s="480"/>
      <c r="AM963" s="474"/>
      <c r="AN963" s="481"/>
      <c r="AO963" s="474"/>
      <c r="AP963" s="476"/>
      <c r="AQ963" s="482"/>
      <c r="AR963" s="478"/>
      <c r="AS963" s="478"/>
      <c r="AT963" s="476"/>
      <c r="AU963" s="482"/>
      <c r="AV963" s="478"/>
      <c r="AW963" s="483"/>
      <c r="AX963" s="476"/>
      <c r="AY963" s="482"/>
      <c r="AZ963" s="478"/>
      <c r="BA963" s="484"/>
      <c r="BB963" s="474"/>
      <c r="BC963" s="485"/>
      <c r="BD963" s="485"/>
      <c r="BG963" s="487"/>
    </row>
    <row r="964" spans="1:59" s="486" customFormat="1" ht="18" customHeight="1" x14ac:dyDescent="0.2">
      <c r="A964" s="1368" t="str">
        <f t="shared" si="714"/>
        <v>PANGEAN - PL. KUMPAI2011</v>
      </c>
      <c r="B964" s="1373"/>
      <c r="C964" s="488"/>
      <c r="D964" s="489"/>
      <c r="E964" s="558"/>
      <c r="F964" s="559">
        <v>2011</v>
      </c>
      <c r="G964" s="619">
        <v>0</v>
      </c>
      <c r="H964" s="464">
        <f t="shared" si="715"/>
        <v>7</v>
      </c>
      <c r="I964" s="560"/>
      <c r="J964" s="468">
        <f t="shared" si="716"/>
        <v>2017</v>
      </c>
      <c r="K964" s="490">
        <f t="shared" si="717"/>
        <v>0</v>
      </c>
      <c r="L964" s="469">
        <f t="shared" si="718"/>
        <v>0</v>
      </c>
      <c r="M964" s="683">
        <f t="shared" si="719"/>
        <v>0</v>
      </c>
      <c r="N964" s="470">
        <f t="shared" si="720"/>
        <v>7</v>
      </c>
      <c r="O964" s="468">
        <f t="shared" si="721"/>
        <v>2017</v>
      </c>
      <c r="P964" s="616">
        <f t="shared" si="722"/>
        <v>3196569713.2386999</v>
      </c>
      <c r="Q964" s="472">
        <f t="shared" si="723"/>
        <v>3196569713.2386999</v>
      </c>
      <c r="R964" s="472">
        <f t="shared" si="724"/>
        <v>456652816.17695713</v>
      </c>
      <c r="S964" s="1189">
        <f t="shared" si="725"/>
        <v>2011</v>
      </c>
      <c r="T964" s="470">
        <f t="shared" si="726"/>
        <v>1</v>
      </c>
      <c r="U964" s="612">
        <f t="shared" si="727"/>
        <v>456652816.17695713</v>
      </c>
      <c r="V964" s="464">
        <f t="shared" si="728"/>
        <v>2011</v>
      </c>
      <c r="W964" s="612">
        <f t="shared" si="729"/>
        <v>2739916897.0617428</v>
      </c>
      <c r="X964" s="473"/>
      <c r="Y964" s="474"/>
      <c r="Z964" s="449"/>
      <c r="AA964" s="554" t="s">
        <v>4179</v>
      </c>
      <c r="AB964" s="476"/>
      <c r="AC964" s="476"/>
      <c r="AD964" s="567"/>
      <c r="AE964" s="476"/>
      <c r="AF964" s="568"/>
      <c r="AG964" s="476"/>
      <c r="AH964" s="476"/>
      <c r="AI964" s="477"/>
      <c r="AJ964" s="478"/>
      <c r="AK964" s="479"/>
      <c r="AL964" s="480"/>
      <c r="AM964" s="474"/>
      <c r="AN964" s="481"/>
      <c r="AO964" s="474"/>
      <c r="AP964" s="476"/>
      <c r="AQ964" s="482"/>
      <c r="AR964" s="478"/>
      <c r="AS964" s="478"/>
      <c r="AT964" s="476"/>
      <c r="AU964" s="482"/>
      <c r="AV964" s="478"/>
      <c r="AW964" s="483"/>
      <c r="AX964" s="476"/>
      <c r="AY964" s="482"/>
      <c r="AZ964" s="478"/>
      <c r="BA964" s="484"/>
      <c r="BB964" s="474"/>
      <c r="BC964" s="485"/>
      <c r="BD964" s="485"/>
      <c r="BG964" s="487"/>
    </row>
    <row r="965" spans="1:59" s="486" customFormat="1" ht="18" customHeight="1" x14ac:dyDescent="0.2">
      <c r="A965" s="1368" t="str">
        <f t="shared" si="714"/>
        <v>PANGEAN - PL. KUMPAI2012</v>
      </c>
      <c r="B965" s="1373">
        <v>3</v>
      </c>
      <c r="C965" s="488" t="s">
        <v>1259</v>
      </c>
      <c r="D965" s="489" t="s">
        <v>2494</v>
      </c>
      <c r="E965" s="558"/>
      <c r="F965" s="559">
        <v>2012</v>
      </c>
      <c r="G965" s="619">
        <v>1600078073.018373</v>
      </c>
      <c r="H965" s="464">
        <f t="shared" si="715"/>
        <v>6</v>
      </c>
      <c r="I965" s="560"/>
      <c r="J965" s="468">
        <f t="shared" si="716"/>
        <v>2021</v>
      </c>
      <c r="K965" s="490">
        <f t="shared" si="717"/>
        <v>0.58398781172315095</v>
      </c>
      <c r="L965" s="469">
        <f t="shared" si="718"/>
        <v>5</v>
      </c>
      <c r="M965" s="683">
        <f t="shared" si="719"/>
        <v>4</v>
      </c>
      <c r="N965" s="470">
        <f t="shared" si="720"/>
        <v>10</v>
      </c>
      <c r="O965" s="468">
        <f t="shared" si="721"/>
        <v>2021</v>
      </c>
      <c r="P965" s="616">
        <f t="shared" si="722"/>
        <v>2739916897.0617428</v>
      </c>
      <c r="Q965" s="472">
        <f t="shared" si="723"/>
        <v>4339994970.0801163</v>
      </c>
      <c r="R965" s="472">
        <f t="shared" si="724"/>
        <v>433999497.00801164</v>
      </c>
      <c r="S965" s="1189">
        <f t="shared" si="725"/>
        <v>2012</v>
      </c>
      <c r="T965" s="470">
        <f t="shared" si="726"/>
        <v>1</v>
      </c>
      <c r="U965" s="612">
        <f t="shared" si="727"/>
        <v>433999497.00801164</v>
      </c>
      <c r="V965" s="464">
        <f t="shared" si="728"/>
        <v>2012</v>
      </c>
      <c r="W965" s="612">
        <f t="shared" si="729"/>
        <v>3905995473.0721045</v>
      </c>
      <c r="X965" s="473"/>
      <c r="Y965" s="474"/>
      <c r="Z965" s="449"/>
      <c r="AA965" s="475"/>
      <c r="AB965" s="476"/>
      <c r="AC965" s="476"/>
      <c r="AD965" s="567"/>
      <c r="AE965" s="476"/>
      <c r="AF965" s="568"/>
      <c r="AG965" s="476"/>
      <c r="AH965" s="476"/>
      <c r="AI965" s="477"/>
      <c r="AJ965" s="478"/>
      <c r="AK965" s="479"/>
      <c r="AL965" s="480"/>
      <c r="AM965" s="474"/>
      <c r="AN965" s="481"/>
      <c r="AO965" s="474"/>
      <c r="AP965" s="476"/>
      <c r="AQ965" s="482"/>
      <c r="AR965" s="478"/>
      <c r="AS965" s="478"/>
      <c r="AT965" s="476"/>
      <c r="AU965" s="482"/>
      <c r="AV965" s="478"/>
      <c r="AW965" s="483"/>
      <c r="AX965" s="476"/>
      <c r="AY965" s="482"/>
      <c r="AZ965" s="478"/>
      <c r="BA965" s="484"/>
      <c r="BB965" s="474"/>
      <c r="BC965" s="485"/>
      <c r="BD965" s="485"/>
      <c r="BG965" s="487"/>
    </row>
    <row r="966" spans="1:59" s="486" customFormat="1" ht="18" customHeight="1" x14ac:dyDescent="0.2">
      <c r="A966" s="1368" t="str">
        <f t="shared" si="714"/>
        <v>PANGEAN - PL. KUMPAI2013</v>
      </c>
      <c r="B966" s="1373"/>
      <c r="C966" s="488"/>
      <c r="D966" s="489"/>
      <c r="E966" s="558"/>
      <c r="F966" s="559">
        <v>2013</v>
      </c>
      <c r="G966" s="619">
        <v>0</v>
      </c>
      <c r="H966" s="464">
        <f t="shared" si="715"/>
        <v>9</v>
      </c>
      <c r="I966" s="560"/>
      <c r="J966" s="468">
        <f t="shared" si="716"/>
        <v>2021</v>
      </c>
      <c r="K966" s="490">
        <f t="shared" si="717"/>
        <v>0</v>
      </c>
      <c r="L966" s="469">
        <f t="shared" si="718"/>
        <v>0</v>
      </c>
      <c r="M966" s="683">
        <f t="shared" si="719"/>
        <v>0</v>
      </c>
      <c r="N966" s="470">
        <f t="shared" si="720"/>
        <v>9</v>
      </c>
      <c r="O966" s="468">
        <f t="shared" si="721"/>
        <v>2021</v>
      </c>
      <c r="P966" s="616">
        <f t="shared" si="722"/>
        <v>3905995473.0721045</v>
      </c>
      <c r="Q966" s="472">
        <f t="shared" si="723"/>
        <v>3905995473.0721045</v>
      </c>
      <c r="R966" s="472">
        <f t="shared" si="724"/>
        <v>433999497.00801164</v>
      </c>
      <c r="S966" s="1189">
        <f t="shared" si="725"/>
        <v>2013</v>
      </c>
      <c r="T966" s="470">
        <f t="shared" si="726"/>
        <v>1</v>
      </c>
      <c r="U966" s="612">
        <f t="shared" si="727"/>
        <v>433999497.00801164</v>
      </c>
      <c r="V966" s="464">
        <f t="shared" si="728"/>
        <v>2013</v>
      </c>
      <c r="W966" s="612">
        <f t="shared" si="729"/>
        <v>3471995976.0640926</v>
      </c>
      <c r="X966" s="473"/>
      <c r="Y966" s="474"/>
      <c r="Z966" s="449"/>
      <c r="AA966" s="475" t="s">
        <v>4180</v>
      </c>
      <c r="AB966" s="476"/>
      <c r="AC966" s="476"/>
      <c r="AD966" s="567">
        <f>G974</f>
        <v>11339941059.103167</v>
      </c>
      <c r="AE966" s="476"/>
      <c r="AF966" s="568"/>
      <c r="AG966" s="476"/>
      <c r="AH966" s="476"/>
      <c r="AI966" s="477"/>
      <c r="AJ966" s="478"/>
      <c r="AK966" s="479"/>
      <c r="AL966" s="480"/>
      <c r="AM966" s="474"/>
      <c r="AN966" s="481"/>
      <c r="AO966" s="474"/>
      <c r="AP966" s="476"/>
      <c r="AQ966" s="482"/>
      <c r="AR966" s="478"/>
      <c r="AS966" s="478"/>
      <c r="AT966" s="476"/>
      <c r="AU966" s="482"/>
      <c r="AV966" s="478"/>
      <c r="AW966" s="483"/>
      <c r="AX966" s="476"/>
      <c r="AY966" s="482"/>
      <c r="AZ966" s="478"/>
      <c r="BA966" s="484"/>
      <c r="BB966" s="474"/>
      <c r="BC966" s="485"/>
      <c r="BD966" s="485"/>
      <c r="BG966" s="487"/>
    </row>
    <row r="967" spans="1:59" s="486" customFormat="1" ht="18" customHeight="1" x14ac:dyDescent="0.2">
      <c r="A967" s="1368" t="str">
        <f t="shared" si="714"/>
        <v>PANGEAN - PL. KUMPAI2014</v>
      </c>
      <c r="B967" s="1373"/>
      <c r="C967" s="488"/>
      <c r="D967" s="489"/>
      <c r="E967" s="558"/>
      <c r="F967" s="559">
        <v>2014</v>
      </c>
      <c r="G967" s="619">
        <v>0</v>
      </c>
      <c r="H967" s="464">
        <f t="shared" si="715"/>
        <v>8</v>
      </c>
      <c r="I967" s="560"/>
      <c r="J967" s="468">
        <f t="shared" si="716"/>
        <v>2021</v>
      </c>
      <c r="K967" s="490">
        <f t="shared" si="717"/>
        <v>0</v>
      </c>
      <c r="L967" s="469">
        <f t="shared" si="718"/>
        <v>0</v>
      </c>
      <c r="M967" s="683">
        <f t="shared" si="719"/>
        <v>0</v>
      </c>
      <c r="N967" s="470">
        <f t="shared" si="720"/>
        <v>8</v>
      </c>
      <c r="O967" s="468">
        <f t="shared" si="721"/>
        <v>2021</v>
      </c>
      <c r="P967" s="616">
        <f t="shared" si="722"/>
        <v>3471995976.0640926</v>
      </c>
      <c r="Q967" s="472">
        <f t="shared" si="723"/>
        <v>3471995976.0640926</v>
      </c>
      <c r="R967" s="472">
        <f t="shared" si="724"/>
        <v>433999497.00801164</v>
      </c>
      <c r="S967" s="1189">
        <f t="shared" si="725"/>
        <v>2014</v>
      </c>
      <c r="T967" s="470">
        <f t="shared" si="726"/>
        <v>1</v>
      </c>
      <c r="U967" s="612">
        <f t="shared" si="727"/>
        <v>433999497.00801164</v>
      </c>
      <c r="V967" s="464">
        <f t="shared" si="728"/>
        <v>2014</v>
      </c>
      <c r="W967" s="612">
        <f t="shared" si="729"/>
        <v>3037996479.0560808</v>
      </c>
      <c r="X967" s="473"/>
      <c r="Y967" s="478"/>
      <c r="Z967" s="449"/>
      <c r="AA967" s="475" t="s">
        <v>4181</v>
      </c>
      <c r="AB967" s="491"/>
      <c r="AC967" s="491"/>
      <c r="AD967" s="567">
        <f>U974</f>
        <v>8610000745.8143253</v>
      </c>
      <c r="AE967" s="491"/>
      <c r="AF967" s="568"/>
      <c r="AG967" s="491"/>
      <c r="AH967" s="491"/>
      <c r="AI967" s="477"/>
      <c r="AJ967" s="478"/>
      <c r="AK967" s="479"/>
      <c r="AL967" s="480"/>
      <c r="AM967" s="474"/>
      <c r="AN967" s="481"/>
      <c r="AO967" s="474"/>
      <c r="AP967" s="476"/>
      <c r="AQ967" s="482"/>
      <c r="AR967" s="478"/>
      <c r="AS967" s="478"/>
      <c r="AT967" s="476"/>
      <c r="AU967" s="482"/>
      <c r="AV967" s="478"/>
      <c r="AW967" s="483"/>
      <c r="AX967" s="476"/>
      <c r="AY967" s="482"/>
      <c r="AZ967" s="478"/>
      <c r="BA967" s="484"/>
      <c r="BB967" s="474"/>
      <c r="BC967" s="485"/>
      <c r="BD967" s="485"/>
      <c r="BG967" s="487"/>
    </row>
    <row r="968" spans="1:59" s="486" customFormat="1" ht="18" customHeight="1" x14ac:dyDescent="0.2">
      <c r="A968" s="1368" t="str">
        <f t="shared" si="714"/>
        <v>PANGEAN - PL. KUMPAI2015</v>
      </c>
      <c r="B968" s="1373"/>
      <c r="C968" s="488"/>
      <c r="D968" s="489"/>
      <c r="E968" s="558"/>
      <c r="F968" s="559">
        <v>2015</v>
      </c>
      <c r="G968" s="619">
        <v>0</v>
      </c>
      <c r="H968" s="464">
        <f t="shared" si="715"/>
        <v>7</v>
      </c>
      <c r="I968" s="560"/>
      <c r="J968" s="468">
        <f t="shared" si="716"/>
        <v>2021</v>
      </c>
      <c r="K968" s="490">
        <f t="shared" si="717"/>
        <v>0</v>
      </c>
      <c r="L968" s="469">
        <f t="shared" si="718"/>
        <v>0</v>
      </c>
      <c r="M968" s="683">
        <f t="shared" si="719"/>
        <v>0</v>
      </c>
      <c r="N968" s="470">
        <f t="shared" si="720"/>
        <v>7</v>
      </c>
      <c r="O968" s="468">
        <f t="shared" si="721"/>
        <v>2021</v>
      </c>
      <c r="P968" s="616">
        <f t="shared" si="722"/>
        <v>3037996479.0560808</v>
      </c>
      <c r="Q968" s="472">
        <f t="shared" si="723"/>
        <v>3037996479.0560808</v>
      </c>
      <c r="R968" s="472">
        <f t="shared" si="724"/>
        <v>433999497.00801164</v>
      </c>
      <c r="S968" s="1189">
        <f t="shared" si="725"/>
        <v>2015</v>
      </c>
      <c r="T968" s="470">
        <f t="shared" si="726"/>
        <v>1</v>
      </c>
      <c r="U968" s="612">
        <f t="shared" si="727"/>
        <v>433999497.00801164</v>
      </c>
      <c r="V968" s="464">
        <f t="shared" si="728"/>
        <v>2015</v>
      </c>
      <c r="W968" s="612">
        <f t="shared" si="729"/>
        <v>2603996982.048069</v>
      </c>
      <c r="X968" s="473"/>
      <c r="Y968" s="478"/>
      <c r="Z968" s="449"/>
      <c r="AA968" s="492" t="s">
        <v>4182</v>
      </c>
      <c r="AB968" s="476"/>
      <c r="AC968" s="476"/>
      <c r="AD968" s="567">
        <f>AD966-AD967</f>
        <v>2729940313.2888412</v>
      </c>
      <c r="AE968" s="491"/>
      <c r="AF968" s="568"/>
      <c r="AG968" s="491"/>
      <c r="AH968" s="491"/>
      <c r="AI968" s="477"/>
      <c r="AJ968" s="478"/>
      <c r="AK968" s="479"/>
      <c r="AL968" s="480"/>
      <c r="AM968" s="474"/>
      <c r="AN968" s="481"/>
      <c r="AO968" s="474"/>
      <c r="AP968" s="476"/>
      <c r="AQ968" s="482"/>
      <c r="AR968" s="478"/>
      <c r="AS968" s="478"/>
      <c r="AT968" s="476"/>
      <c r="AU968" s="482"/>
      <c r="AV968" s="478"/>
      <c r="AW968" s="483"/>
      <c r="AX968" s="476"/>
      <c r="AY968" s="482"/>
      <c r="AZ968" s="478"/>
      <c r="BA968" s="484"/>
      <c r="BB968" s="474"/>
      <c r="BC968" s="485"/>
      <c r="BD968" s="485"/>
      <c r="BG968" s="487"/>
    </row>
    <row r="969" spans="1:59" s="486" customFormat="1" ht="18" customHeight="1" x14ac:dyDescent="0.2">
      <c r="A969" s="1368" t="str">
        <f t="shared" si="714"/>
        <v>PANGEAN - PL. KUMPAI2016</v>
      </c>
      <c r="B969" s="1373">
        <v>4</v>
      </c>
      <c r="C969" s="488" t="s">
        <v>1441</v>
      </c>
      <c r="D969" s="489" t="s">
        <v>2494</v>
      </c>
      <c r="E969" s="558"/>
      <c r="F969" s="559">
        <v>2016</v>
      </c>
      <c r="G969" s="619">
        <v>1945903540.0999999</v>
      </c>
      <c r="H969" s="464">
        <f t="shared" si="715"/>
        <v>6</v>
      </c>
      <c r="I969" s="560"/>
      <c r="J969" s="468">
        <f t="shared" si="716"/>
        <v>2025</v>
      </c>
      <c r="K969" s="490">
        <f t="shared" si="717"/>
        <v>0.7472756510529931</v>
      </c>
      <c r="L969" s="469">
        <f t="shared" si="718"/>
        <v>10</v>
      </c>
      <c r="M969" s="683">
        <f t="shared" si="719"/>
        <v>4</v>
      </c>
      <c r="N969" s="470">
        <f t="shared" si="720"/>
        <v>10</v>
      </c>
      <c r="O969" s="468">
        <f t="shared" si="721"/>
        <v>2025</v>
      </c>
      <c r="P969" s="616">
        <f t="shared" si="722"/>
        <v>2603996982.048069</v>
      </c>
      <c r="Q969" s="472">
        <f t="shared" si="723"/>
        <v>4549900522.1480694</v>
      </c>
      <c r="R969" s="472">
        <f t="shared" si="724"/>
        <v>454990052.21480691</v>
      </c>
      <c r="S969" s="1189">
        <f t="shared" si="725"/>
        <v>2016</v>
      </c>
      <c r="T969" s="470">
        <f t="shared" si="726"/>
        <v>1</v>
      </c>
      <c r="U969" s="612">
        <f t="shared" si="727"/>
        <v>454990052.21480691</v>
      </c>
      <c r="V969" s="464">
        <f t="shared" si="728"/>
        <v>2016</v>
      </c>
      <c r="W969" s="612">
        <f t="shared" si="729"/>
        <v>4094910469.9332623</v>
      </c>
      <c r="X969" s="473"/>
      <c r="Y969" s="478"/>
      <c r="Z969" s="449"/>
      <c r="AA969" s="531" t="s">
        <v>4183</v>
      </c>
      <c r="AB969" s="496"/>
      <c r="AC969" s="496"/>
      <c r="AD969" s="569">
        <f>AD968-W974</f>
        <v>0</v>
      </c>
      <c r="AE969" s="476"/>
      <c r="AF969" s="568"/>
      <c r="AG969" s="476"/>
      <c r="AH969" s="476"/>
      <c r="AI969" s="477"/>
      <c r="AJ969" s="478"/>
      <c r="AK969" s="479"/>
      <c r="AL969" s="480"/>
      <c r="AM969" s="474"/>
      <c r="AN969" s="481"/>
      <c r="AO969" s="474"/>
      <c r="AP969" s="476"/>
      <c r="AQ969" s="482"/>
      <c r="AR969" s="478"/>
      <c r="AS969" s="478"/>
      <c r="AT969" s="476"/>
      <c r="AU969" s="482"/>
      <c r="AV969" s="478"/>
      <c r="AW969" s="483"/>
      <c r="AX969" s="476"/>
      <c r="AY969" s="482"/>
      <c r="AZ969" s="478"/>
      <c r="BA969" s="484"/>
      <c r="BB969" s="474"/>
      <c r="BC969" s="485"/>
      <c r="BD969" s="485"/>
      <c r="BG969" s="487"/>
    </row>
    <row r="970" spans="1:59" s="486" customFormat="1" ht="18" customHeight="1" x14ac:dyDescent="0.2">
      <c r="A970" s="1368" t="str">
        <f t="shared" si="714"/>
        <v>PANGEAN - PL. KUMPAI2017</v>
      </c>
      <c r="B970" s="687"/>
      <c r="C970" s="488"/>
      <c r="D970" s="489"/>
      <c r="E970" s="558"/>
      <c r="F970" s="559">
        <v>2017</v>
      </c>
      <c r="G970" s="619">
        <v>0</v>
      </c>
      <c r="H970" s="464">
        <f t="shared" si="715"/>
        <v>9</v>
      </c>
      <c r="I970" s="560"/>
      <c r="J970" s="468">
        <f t="shared" si="716"/>
        <v>2025</v>
      </c>
      <c r="K970" s="490">
        <f t="shared" si="717"/>
        <v>0</v>
      </c>
      <c r="L970" s="469">
        <f t="shared" si="718"/>
        <v>0</v>
      </c>
      <c r="M970" s="683">
        <f t="shared" si="719"/>
        <v>0</v>
      </c>
      <c r="N970" s="470">
        <f t="shared" si="720"/>
        <v>9</v>
      </c>
      <c r="O970" s="468">
        <f t="shared" si="721"/>
        <v>2025</v>
      </c>
      <c r="P970" s="616">
        <f t="shared" si="722"/>
        <v>4094910469.9332623</v>
      </c>
      <c r="Q970" s="472">
        <f t="shared" si="723"/>
        <v>4094910469.9332623</v>
      </c>
      <c r="R970" s="472">
        <f t="shared" si="724"/>
        <v>454990052.21480691</v>
      </c>
      <c r="S970" s="1189">
        <f t="shared" si="725"/>
        <v>2017</v>
      </c>
      <c r="T970" s="470">
        <f t="shared" si="726"/>
        <v>1</v>
      </c>
      <c r="U970" s="612">
        <f t="shared" si="727"/>
        <v>454990052.21480691</v>
      </c>
      <c r="V970" s="464">
        <f t="shared" si="728"/>
        <v>2017</v>
      </c>
      <c r="W970" s="612">
        <f t="shared" si="729"/>
        <v>3639920417.7184553</v>
      </c>
      <c r="X970" s="473"/>
      <c r="Y970" s="478"/>
      <c r="Z970" s="449"/>
      <c r="AA970" s="531"/>
      <c r="AB970" s="496"/>
      <c r="AC970" s="496"/>
      <c r="AD970" s="569"/>
      <c r="AE970" s="476"/>
      <c r="AF970" s="568"/>
      <c r="AG970" s="476"/>
      <c r="AH970" s="476"/>
      <c r="AI970" s="477"/>
      <c r="AJ970" s="478"/>
      <c r="AK970" s="479"/>
      <c r="AL970" s="480"/>
      <c r="AM970" s="474"/>
      <c r="AN970" s="481"/>
      <c r="AO970" s="474"/>
      <c r="AP970" s="476"/>
      <c r="AQ970" s="482"/>
      <c r="AR970" s="478"/>
      <c r="AS970" s="478"/>
      <c r="AT970" s="476"/>
      <c r="AU970" s="482"/>
      <c r="AV970" s="478"/>
      <c r="AW970" s="483"/>
      <c r="AX970" s="476"/>
      <c r="AY970" s="482"/>
      <c r="AZ970" s="478"/>
      <c r="BA970" s="484"/>
      <c r="BB970" s="474"/>
      <c r="BC970" s="485"/>
      <c r="BD970" s="485"/>
      <c r="BG970" s="487"/>
    </row>
    <row r="971" spans="1:59" s="486" customFormat="1" ht="18" customHeight="1" x14ac:dyDescent="0.2">
      <c r="A971" s="1368" t="str">
        <f t="shared" si="714"/>
        <v>PANGEAN - PL. KUMPAI2018</v>
      </c>
      <c r="B971" s="687"/>
      <c r="C971" s="488"/>
      <c r="D971" s="489"/>
      <c r="E971" s="558"/>
      <c r="F971" s="559">
        <v>2018</v>
      </c>
      <c r="G971" s="619">
        <v>0</v>
      </c>
      <c r="H971" s="464">
        <f t="shared" si="715"/>
        <v>8</v>
      </c>
      <c r="I971" s="560"/>
      <c r="J971" s="468">
        <f t="shared" si="716"/>
        <v>2025</v>
      </c>
      <c r="K971" s="490">
        <f t="shared" si="717"/>
        <v>0</v>
      </c>
      <c r="L971" s="469">
        <f t="shared" si="718"/>
        <v>0</v>
      </c>
      <c r="M971" s="683">
        <f t="shared" si="719"/>
        <v>0</v>
      </c>
      <c r="N971" s="470">
        <f t="shared" si="720"/>
        <v>8</v>
      </c>
      <c r="O971" s="468">
        <f t="shared" si="721"/>
        <v>2025</v>
      </c>
      <c r="P971" s="616">
        <f t="shared" si="722"/>
        <v>3639920417.7184553</v>
      </c>
      <c r="Q971" s="472">
        <f t="shared" si="723"/>
        <v>3639920417.7184553</v>
      </c>
      <c r="R971" s="472">
        <f t="shared" si="724"/>
        <v>454990052.21480691</v>
      </c>
      <c r="S971" s="1189">
        <f t="shared" si="725"/>
        <v>2018</v>
      </c>
      <c r="T971" s="470">
        <f t="shared" si="726"/>
        <v>1</v>
      </c>
      <c r="U971" s="612">
        <f t="shared" si="727"/>
        <v>454990052.21480691</v>
      </c>
      <c r="V971" s="464">
        <f t="shared" si="728"/>
        <v>2018</v>
      </c>
      <c r="W971" s="612">
        <f t="shared" si="729"/>
        <v>3184930365.5036483</v>
      </c>
      <c r="X971" s="473"/>
      <c r="Y971" s="478"/>
      <c r="Z971" s="449"/>
      <c r="AA971" s="573"/>
      <c r="AB971" s="476"/>
      <c r="AC971" s="476"/>
      <c r="AD971" s="568"/>
      <c r="AE971" s="476"/>
      <c r="AF971" s="568"/>
      <c r="AG971" s="476"/>
      <c r="AH971" s="476"/>
      <c r="AI971" s="477"/>
      <c r="AJ971" s="478"/>
      <c r="AK971" s="479"/>
      <c r="AL971" s="480"/>
      <c r="AM971" s="474"/>
      <c r="AN971" s="481"/>
      <c r="AO971" s="474"/>
      <c r="AP971" s="476"/>
      <c r="AQ971" s="482"/>
      <c r="AR971" s="478"/>
      <c r="AS971" s="478"/>
      <c r="AT971" s="476"/>
      <c r="AU971" s="482"/>
      <c r="AV971" s="478"/>
      <c r="AW971" s="483"/>
      <c r="AX971" s="476"/>
      <c r="AY971" s="482"/>
      <c r="AZ971" s="478"/>
      <c r="BA971" s="484"/>
      <c r="BB971" s="474"/>
      <c r="BC971" s="485"/>
      <c r="BD971" s="485"/>
      <c r="BG971" s="487"/>
    </row>
    <row r="972" spans="1:59" s="486" customFormat="1" ht="18" customHeight="1" x14ac:dyDescent="0.2">
      <c r="A972" s="1368" t="str">
        <f t="shared" si="714"/>
        <v>PANGEAN - PL. KUMPAI2019</v>
      </c>
      <c r="B972" s="687"/>
      <c r="C972" s="488"/>
      <c r="D972" s="489"/>
      <c r="E972" s="558"/>
      <c r="F972" s="559">
        <v>2019</v>
      </c>
      <c r="G972" s="619">
        <v>0</v>
      </c>
      <c r="H972" s="464">
        <f>IF(N971-(F972-F971)&lt;=0,0,(N971-(F972-F971)))</f>
        <v>7</v>
      </c>
      <c r="I972" s="560"/>
      <c r="J972" s="468">
        <f>F972+N972-1</f>
        <v>2025</v>
      </c>
      <c r="K972" s="490">
        <f>IF(G972=0,0,IF(H972=10,100%,G972/W971))</f>
        <v>0</v>
      </c>
      <c r="L972" s="469">
        <f>IF(K972=0%,0,IF(K972&lt;=30%,2,IF(K972&lt;=60%,5,10)))</f>
        <v>0</v>
      </c>
      <c r="M972" s="683">
        <f>IF(OR(AND(ISBLANK(E972),ISBLANK(G972)),ISTEXT(E972),ISTEXT(G972)),"",IF(H972+L972&gt;$H$8,$H$8-H972,L972))</f>
        <v>0</v>
      </c>
      <c r="N972" s="470">
        <f>IF(OR(AND(ISBLANK(F972),ISBLANK(G972)),ISTEXT(F972),ISTEXT(G972)),"",H972+M972)</f>
        <v>7</v>
      </c>
      <c r="O972" s="468">
        <f>F972+N972-1</f>
        <v>2025</v>
      </c>
      <c r="P972" s="616">
        <f>W971</f>
        <v>3184930365.5036483</v>
      </c>
      <c r="Q972" s="472">
        <f>P972+G972</f>
        <v>3184930365.5036483</v>
      </c>
      <c r="R972" s="472">
        <f>IF(L972=0,R971,Q972/N972)</f>
        <v>454990052.21480691</v>
      </c>
      <c r="S972" s="1189">
        <f>F972</f>
        <v>2019</v>
      </c>
      <c r="T972" s="470">
        <f>S972-S971</f>
        <v>1</v>
      </c>
      <c r="U972" s="612">
        <f>R972*T972</f>
        <v>454990052.21480691</v>
      </c>
      <c r="V972" s="464">
        <f>F972</f>
        <v>2019</v>
      </c>
      <c r="W972" s="612">
        <f>IF(OR(AND(ISBLANK(E972),ISBLANK(G972)),ISTEXT(E972),ISTEXT(G972)),"",Q972-U972)</f>
        <v>2729940313.2888412</v>
      </c>
      <c r="X972" s="473"/>
      <c r="Y972" s="478"/>
      <c r="Z972" s="449"/>
      <c r="AA972" s="573"/>
      <c r="AB972" s="476"/>
      <c r="AC972" s="476"/>
      <c r="AD972" s="568"/>
      <c r="AE972" s="476"/>
      <c r="AF972" s="568"/>
      <c r="AG972" s="476"/>
      <c r="AH972" s="476"/>
      <c r="AI972" s="477"/>
      <c r="AJ972" s="478"/>
      <c r="AK972" s="479"/>
      <c r="AL972" s="480"/>
      <c r="AM972" s="474"/>
      <c r="AN972" s="481"/>
      <c r="AO972" s="474"/>
      <c r="AP972" s="476"/>
      <c r="AQ972" s="482"/>
      <c r="AR972" s="478"/>
      <c r="AS972" s="478"/>
      <c r="AT972" s="476"/>
      <c r="AU972" s="482"/>
      <c r="AV972" s="478"/>
      <c r="AW972" s="483"/>
      <c r="AX972" s="476"/>
      <c r="AY972" s="482"/>
      <c r="AZ972" s="478"/>
      <c r="BA972" s="484"/>
      <c r="BB972" s="474"/>
      <c r="BC972" s="485"/>
      <c r="BD972" s="485"/>
      <c r="BG972" s="487"/>
    </row>
    <row r="973" spans="1:59" s="486" customFormat="1" ht="18" customHeight="1" x14ac:dyDescent="0.2">
      <c r="A973" s="1368" t="str">
        <f>LEFT(D973,8)</f>
        <v/>
      </c>
      <c r="B973" s="687"/>
      <c r="C973" s="463"/>
      <c r="D973" s="489"/>
      <c r="E973" s="465"/>
      <c r="F973" s="466"/>
      <c r="G973" s="620"/>
      <c r="H973" s="557"/>
      <c r="I973" s="467"/>
      <c r="J973" s="468"/>
      <c r="K973" s="490"/>
      <c r="L973" s="469"/>
      <c r="M973" s="683"/>
      <c r="N973" s="470"/>
      <c r="O973" s="468"/>
      <c r="P973" s="616"/>
      <c r="Q973" s="472"/>
      <c r="R973" s="472"/>
      <c r="S973" s="634"/>
      <c r="T973" s="470"/>
      <c r="U973" s="612"/>
      <c r="V973" s="464"/>
      <c r="W973" s="612"/>
      <c r="X973" s="473"/>
      <c r="Y973" s="497"/>
      <c r="Z973" s="449"/>
      <c r="AA973" s="497"/>
      <c r="AB973" s="476"/>
      <c r="AC973" s="497"/>
      <c r="AD973" s="568"/>
      <c r="AE973" s="476"/>
      <c r="AF973" s="568"/>
      <c r="AG973" s="476"/>
      <c r="AH973" s="476"/>
      <c r="AI973" s="477"/>
      <c r="AJ973" s="478"/>
      <c r="AK973" s="479"/>
      <c r="AL973" s="480"/>
      <c r="AM973" s="474"/>
      <c r="AN973" s="481"/>
      <c r="AO973" s="474"/>
      <c r="AP973" s="476"/>
      <c r="AQ973" s="482"/>
      <c r="AR973" s="478"/>
      <c r="AS973" s="478"/>
      <c r="AT973" s="476"/>
      <c r="AU973" s="482"/>
      <c r="AV973" s="478"/>
      <c r="AW973" s="483"/>
      <c r="AX973" s="476"/>
      <c r="AY973" s="482"/>
      <c r="AZ973" s="478"/>
      <c r="BA973" s="484"/>
      <c r="BB973" s="474"/>
      <c r="BC973" s="485"/>
      <c r="BD973" s="485"/>
      <c r="BG973" s="487"/>
    </row>
    <row r="974" spans="1:59" s="526" customFormat="1" ht="18" customHeight="1" x14ac:dyDescent="0.2">
      <c r="A974" s="1370" t="s">
        <v>4184</v>
      </c>
      <c r="B974" s="1956" t="s">
        <v>4184</v>
      </c>
      <c r="C974" s="1957"/>
      <c r="D974" s="1957"/>
      <c r="E974" s="1957"/>
      <c r="F974" s="1958"/>
      <c r="G974" s="624">
        <f>SUM(G959:G973)</f>
        <v>11339941059.103167</v>
      </c>
      <c r="H974" s="505"/>
      <c r="I974" s="506"/>
      <c r="J974" s="507"/>
      <c r="K974" s="507"/>
      <c r="L974" s="505"/>
      <c r="M974" s="684"/>
      <c r="N974" s="508"/>
      <c r="O974" s="507"/>
      <c r="P974" s="749"/>
      <c r="Q974" s="510"/>
      <c r="R974" s="511"/>
      <c r="S974" s="512"/>
      <c r="T974" s="512"/>
      <c r="U974" s="610">
        <f>SUM(U959:U973)</f>
        <v>8610000745.8143253</v>
      </c>
      <c r="V974" s="513"/>
      <c r="W974" s="610">
        <f>G974-U974</f>
        <v>2729940313.2888412</v>
      </c>
      <c r="X974" s="514"/>
      <c r="Y974" s="515"/>
      <c r="Z974" s="515"/>
      <c r="AA974" s="515"/>
      <c r="AB974" s="515"/>
      <c r="AC974" s="515"/>
      <c r="AD974" s="570"/>
      <c r="AE974" s="515"/>
      <c r="AF974" s="570">
        <v>6869355739.7124939</v>
      </c>
      <c r="AG974" s="515"/>
      <c r="AH974" s="515"/>
      <c r="AI974" s="516"/>
      <c r="AJ974" s="517"/>
      <c r="AK974" s="518"/>
      <c r="AL974" s="519"/>
      <c r="AM974" s="520"/>
      <c r="AN974" s="521"/>
      <c r="AO974" s="520"/>
      <c r="AP974" s="515"/>
      <c r="AQ974" s="522"/>
      <c r="AR974" s="517"/>
      <c r="AS974" s="517"/>
      <c r="AT974" s="515"/>
      <c r="AU974" s="522"/>
      <c r="AV974" s="517"/>
      <c r="AW974" s="523"/>
      <c r="AX974" s="515"/>
      <c r="AY974" s="522"/>
      <c r="AZ974" s="517"/>
      <c r="BA974" s="524"/>
      <c r="BB974" s="520"/>
      <c r="BC974" s="525"/>
      <c r="BD974" s="525"/>
      <c r="BG974" s="527"/>
    </row>
    <row r="977" spans="1:59" s="422" customFormat="1" ht="18" customHeight="1" x14ac:dyDescent="0.2">
      <c r="A977" s="1366">
        <f>C977</f>
        <v>164</v>
      </c>
      <c r="B977" s="742" t="s">
        <v>4187</v>
      </c>
      <c r="C977" s="556">
        <v>164</v>
      </c>
      <c r="D977" s="553" t="str">
        <f>VLOOKUP(C977,RUAS,2,FALSE)</f>
        <v>PANGEAN - BATAS PELALAWAN</v>
      </c>
      <c r="E977" s="553"/>
      <c r="F977" s="421"/>
      <c r="G977" s="611"/>
      <c r="I977" s="423"/>
      <c r="J977" s="424"/>
      <c r="K977" s="424"/>
      <c r="M977" s="680"/>
      <c r="P977" s="611"/>
      <c r="U977" s="611"/>
      <c r="W977" s="611"/>
      <c r="Y977" s="425"/>
      <c r="Z977" s="425"/>
      <c r="AA977" s="425"/>
      <c r="AB977" s="425"/>
      <c r="AC977" s="425"/>
      <c r="AD977" s="563"/>
      <c r="AE977" s="425"/>
      <c r="AF977" s="563"/>
      <c r="AG977" s="425"/>
      <c r="AH977" s="425"/>
      <c r="AI977" s="425"/>
      <c r="AJ977" s="425"/>
      <c r="AK977" s="425"/>
      <c r="AL977" s="425"/>
      <c r="AM977" s="425"/>
      <c r="AN977" s="425"/>
      <c r="AO977" s="425"/>
      <c r="AP977" s="425"/>
      <c r="AQ977" s="425"/>
      <c r="AR977" s="425"/>
      <c r="AS977" s="425"/>
      <c r="AT977" s="425"/>
      <c r="AU977" s="425"/>
      <c r="AV977" s="425"/>
      <c r="AW977" s="425"/>
      <c r="AX977" s="425"/>
      <c r="AY977" s="425"/>
      <c r="AZ977" s="425"/>
      <c r="BA977" s="425"/>
      <c r="BB977" s="425"/>
    </row>
    <row r="978" spans="1:59" s="431" customFormat="1" ht="18" customHeight="1" x14ac:dyDescent="0.2">
      <c r="A978" s="1367"/>
      <c r="B978" s="1968" t="s">
        <v>5</v>
      </c>
      <c r="C978" s="1968" t="s">
        <v>2280</v>
      </c>
      <c r="D978" s="1968" t="s">
        <v>4157</v>
      </c>
      <c r="E978" s="1968" t="s">
        <v>4158</v>
      </c>
      <c r="F978" s="1968"/>
      <c r="G978" s="1969" t="s">
        <v>4159</v>
      </c>
      <c r="H978" s="1968" t="s">
        <v>4160</v>
      </c>
      <c r="I978" s="1968"/>
      <c r="J978" s="1968" t="s">
        <v>4185</v>
      </c>
      <c r="K978" s="1964" t="s">
        <v>4162</v>
      </c>
      <c r="L978" s="1968" t="s">
        <v>4163</v>
      </c>
      <c r="M978" s="1971" t="s">
        <v>4164</v>
      </c>
      <c r="N978" s="1962" t="s">
        <v>4165</v>
      </c>
      <c r="O978" s="1968" t="s">
        <v>4166</v>
      </c>
      <c r="P978" s="1972" t="s">
        <v>4167</v>
      </c>
      <c r="Q978" s="1973"/>
      <c r="R978" s="636" t="s">
        <v>4186</v>
      </c>
      <c r="S978" s="1972" t="s">
        <v>4169</v>
      </c>
      <c r="T978" s="1974"/>
      <c r="U978" s="1973"/>
      <c r="V978" s="1975" t="s">
        <v>4170</v>
      </c>
      <c r="W978" s="1975"/>
      <c r="X978" s="1960" t="s">
        <v>4171</v>
      </c>
      <c r="Y978" s="1959"/>
      <c r="Z978" s="633"/>
      <c r="AA978" s="426"/>
      <c r="AB978" s="426"/>
      <c r="AC978" s="426"/>
      <c r="AD978" s="564"/>
      <c r="AE978" s="426"/>
      <c r="AF978" s="564"/>
      <c r="AG978" s="426"/>
      <c r="AH978" s="426"/>
      <c r="AI978" s="427"/>
      <c r="AJ978" s="427"/>
      <c r="AK978" s="427"/>
      <c r="AL978" s="427"/>
      <c r="AM978" s="428"/>
      <c r="AN978" s="427"/>
      <c r="AO978" s="427"/>
      <c r="AP978" s="426"/>
      <c r="AQ978" s="427"/>
      <c r="AR978" s="427"/>
      <c r="AS978" s="427"/>
      <c r="AT978" s="426"/>
      <c r="AU978" s="427"/>
      <c r="AV978" s="427"/>
      <c r="AW978" s="427"/>
      <c r="AX978" s="426"/>
      <c r="AY978" s="427"/>
      <c r="AZ978" s="427"/>
      <c r="BA978" s="427"/>
      <c r="BB978" s="429"/>
      <c r="BC978" s="430"/>
      <c r="BD978" s="430"/>
    </row>
    <row r="979" spans="1:59" s="431" customFormat="1" ht="18" customHeight="1" x14ac:dyDescent="0.2">
      <c r="A979" s="1367"/>
      <c r="B979" s="1968"/>
      <c r="C979" s="1968"/>
      <c r="D979" s="1968"/>
      <c r="E979" s="1968"/>
      <c r="F979" s="1968"/>
      <c r="G979" s="1969"/>
      <c r="H979" s="1968"/>
      <c r="I979" s="1968"/>
      <c r="J979" s="1968"/>
      <c r="K979" s="1970"/>
      <c r="L979" s="1968"/>
      <c r="M979" s="1971"/>
      <c r="N979" s="1963"/>
      <c r="O979" s="1968"/>
      <c r="P979" s="2037" t="s">
        <v>4172</v>
      </c>
      <c r="Q979" s="1960" t="s">
        <v>4173</v>
      </c>
      <c r="R979" s="1962" t="s">
        <v>4159</v>
      </c>
      <c r="S979" s="1962" t="s">
        <v>4174</v>
      </c>
      <c r="T979" s="1964" t="s">
        <v>4175</v>
      </c>
      <c r="U979" s="1966" t="s">
        <v>4159</v>
      </c>
      <c r="V979" s="1975"/>
      <c r="W979" s="1975"/>
      <c r="X979" s="1976"/>
      <c r="Y979" s="1959"/>
      <c r="Z979" s="633"/>
      <c r="AA979" s="426"/>
      <c r="AB979" s="426"/>
      <c r="AC979" s="426"/>
      <c r="AD979" s="564"/>
      <c r="AE979" s="426"/>
      <c r="AF979" s="564"/>
      <c r="AG979" s="426"/>
      <c r="AH979" s="426"/>
      <c r="AI979" s="427"/>
      <c r="AJ979" s="427"/>
      <c r="AK979" s="426"/>
      <c r="AL979" s="427"/>
      <c r="AM979" s="428"/>
      <c r="AN979" s="427"/>
      <c r="AO979" s="427"/>
      <c r="AP979" s="432"/>
      <c r="AQ979" s="427"/>
      <c r="AR979" s="427"/>
      <c r="AS979" s="427"/>
      <c r="AT979" s="432"/>
      <c r="AU979" s="427"/>
      <c r="AV979" s="427"/>
      <c r="AW979" s="427"/>
      <c r="AX979" s="432"/>
      <c r="AY979" s="427"/>
      <c r="AZ979" s="427"/>
      <c r="BA979" s="427"/>
      <c r="BB979" s="429"/>
      <c r="BC979" s="430"/>
      <c r="BD979" s="430"/>
    </row>
    <row r="980" spans="1:59" s="431" customFormat="1" ht="18" customHeight="1" x14ac:dyDescent="0.2">
      <c r="A980" s="1367"/>
      <c r="B980" s="1968"/>
      <c r="C980" s="1968"/>
      <c r="D980" s="1968"/>
      <c r="E980" s="433" t="s">
        <v>4176</v>
      </c>
      <c r="F980" s="434" t="s">
        <v>2288</v>
      </c>
      <c r="G980" s="1969"/>
      <c r="H980" s="635" t="s">
        <v>2288</v>
      </c>
      <c r="I980" s="635" t="s">
        <v>4177</v>
      </c>
      <c r="J980" s="1968"/>
      <c r="K980" s="1965"/>
      <c r="L980" s="435" t="s">
        <v>2288</v>
      </c>
      <c r="M980" s="681" t="s">
        <v>2288</v>
      </c>
      <c r="N980" s="635" t="s">
        <v>2288</v>
      </c>
      <c r="O980" s="1968"/>
      <c r="P980" s="2038"/>
      <c r="Q980" s="1961"/>
      <c r="R980" s="1963"/>
      <c r="S980" s="1963"/>
      <c r="T980" s="1965"/>
      <c r="U980" s="1967"/>
      <c r="V980" s="635" t="s">
        <v>4178</v>
      </c>
      <c r="W980" s="637" t="s">
        <v>4159</v>
      </c>
      <c r="X980" s="1961"/>
      <c r="Y980" s="436"/>
      <c r="Z980" s="436"/>
      <c r="AA980" s="426"/>
      <c r="AB980" s="426"/>
      <c r="AC980" s="426"/>
      <c r="AD980" s="564"/>
      <c r="AE980" s="426"/>
      <c r="AF980" s="564"/>
      <c r="AG980" s="426"/>
      <c r="AH980" s="426"/>
      <c r="AI980" s="427"/>
      <c r="AJ980" s="432"/>
      <c r="AK980" s="432"/>
      <c r="AL980" s="427"/>
      <c r="AM980" s="428"/>
      <c r="AN980" s="432"/>
      <c r="AO980" s="427"/>
      <c r="AP980" s="432"/>
      <c r="AQ980" s="432"/>
      <c r="AR980" s="427"/>
      <c r="AS980" s="427"/>
      <c r="AT980" s="432"/>
      <c r="AU980" s="432"/>
      <c r="AV980" s="427"/>
      <c r="AW980" s="427"/>
      <c r="AX980" s="432"/>
      <c r="AY980" s="432"/>
      <c r="AZ980" s="427"/>
      <c r="BA980" s="427"/>
      <c r="BB980" s="429"/>
      <c r="BC980" s="430"/>
      <c r="BD980" s="430"/>
    </row>
    <row r="981" spans="1:59" s="461" customFormat="1" ht="18" customHeight="1" x14ac:dyDescent="0.2">
      <c r="A981" s="1368" t="str">
        <f>$D$977&amp;S981</f>
        <v>PANGEAN - BATAS PELALAWAN2001</v>
      </c>
      <c r="B981" s="1373">
        <v>1</v>
      </c>
      <c r="C981" s="532" t="s">
        <v>529</v>
      </c>
      <c r="D981" s="437" t="s">
        <v>2494</v>
      </c>
      <c r="E981" s="438"/>
      <c r="F981" s="439">
        <v>2001</v>
      </c>
      <c r="G981" s="623">
        <v>1848000000</v>
      </c>
      <c r="H981" s="440">
        <f>VLOOKUP(LEFT(D981,8),UE,4)</f>
        <v>10</v>
      </c>
      <c r="I981" s="441"/>
      <c r="J981" s="442">
        <f>F981+N981-1</f>
        <v>2010</v>
      </c>
      <c r="K981" s="443"/>
      <c r="L981" s="440"/>
      <c r="M981" s="746">
        <f>IF(H981+L981&gt;$H981,$H981-H981,L981)</f>
        <v>0</v>
      </c>
      <c r="N981" s="444">
        <f>H981+M981</f>
        <v>10</v>
      </c>
      <c r="O981" s="442">
        <f>F981+N981-1</f>
        <v>2010</v>
      </c>
      <c r="P981" s="617">
        <f>G981</f>
        <v>1848000000</v>
      </c>
      <c r="Q981" s="445">
        <v>0</v>
      </c>
      <c r="R981" s="445">
        <f>P981/N981</f>
        <v>184800000</v>
      </c>
      <c r="S981" s="446">
        <f>F981</f>
        <v>2001</v>
      </c>
      <c r="T981" s="447">
        <v>1</v>
      </c>
      <c r="U981" s="613">
        <f>R981*T981</f>
        <v>184800000</v>
      </c>
      <c r="V981" s="442">
        <f>F981</f>
        <v>2001</v>
      </c>
      <c r="W981" s="617">
        <f>IF(OR(AND(ISBLANK(E981),ISBLANK(G981)),ISTEXT(E981),ISTEXT(G981)),"",G981-R981)</f>
        <v>1663200000</v>
      </c>
      <c r="X981" s="448"/>
      <c r="Y981" s="449"/>
      <c r="Z981" s="449"/>
      <c r="AA981" s="693"/>
      <c r="AB981" s="452"/>
      <c r="AC981" s="452"/>
      <c r="AD981" s="571"/>
      <c r="AE981" s="452"/>
      <c r="AF981" s="571"/>
      <c r="AG981" s="452"/>
      <c r="AH981" s="452"/>
      <c r="AI981" s="453"/>
      <c r="AJ981" s="449"/>
      <c r="AK981" s="453"/>
      <c r="AL981" s="454"/>
      <c r="AM981" s="455"/>
      <c r="AN981" s="456"/>
      <c r="AO981" s="455"/>
      <c r="AP981" s="452"/>
      <c r="AQ981" s="457"/>
      <c r="AR981" s="449"/>
      <c r="AS981" s="449"/>
      <c r="AT981" s="452"/>
      <c r="AU981" s="457"/>
      <c r="AV981" s="449"/>
      <c r="AW981" s="458"/>
      <c r="AX981" s="452"/>
      <c r="AY981" s="457"/>
      <c r="AZ981" s="449"/>
      <c r="BA981" s="459"/>
      <c r="BB981" s="455"/>
      <c r="BC981" s="460"/>
      <c r="BD981" s="460"/>
      <c r="BG981" s="462"/>
    </row>
    <row r="982" spans="1:59" s="461" customFormat="1" ht="18" customHeight="1" x14ac:dyDescent="0.2">
      <c r="A982" s="1368" t="str">
        <f t="shared" ref="A982:A997" si="730">$D$977&amp;S982</f>
        <v>PANGEAN - BATAS PELALAWAN2006</v>
      </c>
      <c r="B982" s="1373"/>
      <c r="C982" s="488"/>
      <c r="D982" s="489"/>
      <c r="E982" s="558"/>
      <c r="F982" s="559">
        <v>2006</v>
      </c>
      <c r="G982" s="619">
        <v>0</v>
      </c>
      <c r="H982" s="464">
        <f>IF(N981-(F982-F981)&lt;=0,0,(N981-(F982-F981)))</f>
        <v>5</v>
      </c>
      <c r="I982" s="560"/>
      <c r="J982" s="468">
        <f>F982+N982-1</f>
        <v>2010</v>
      </c>
      <c r="K982" s="490">
        <f>IF(G982=0,0,IF(H982=10,100%,G982/W981))</f>
        <v>0</v>
      </c>
      <c r="L982" s="469">
        <f>IF(K982=0%,0,IF(K982&lt;=30%,2,IF(K982&lt;=60%,5,10)))</f>
        <v>0</v>
      </c>
      <c r="M982" s="683">
        <f>IF(OR(AND(ISBLANK(E982),ISBLANK(G982)),ISTEXT(E982),ISTEXT(G982)),"",IF(H982+L982&gt;$H$8,$H$8-H982,L982))</f>
        <v>0</v>
      </c>
      <c r="N982" s="470">
        <f>IF(OR(AND(ISBLANK(F982),ISBLANK(G982)),ISTEXT(F982),ISTEXT(G982)),"",H982+M982)</f>
        <v>5</v>
      </c>
      <c r="O982" s="468">
        <f>F982+N982-1</f>
        <v>2010</v>
      </c>
      <c r="P982" s="616">
        <f>W981</f>
        <v>1663200000</v>
      </c>
      <c r="Q982" s="472">
        <f>P982+G982</f>
        <v>1663200000</v>
      </c>
      <c r="R982" s="472">
        <f>IF(L982=0,R981,Q982/N982)</f>
        <v>184800000</v>
      </c>
      <c r="S982" s="754">
        <f>F982</f>
        <v>2006</v>
      </c>
      <c r="T982" s="470">
        <f>S982-S981</f>
        <v>5</v>
      </c>
      <c r="U982" s="612">
        <f>R982*T982</f>
        <v>924000000</v>
      </c>
      <c r="V982" s="464">
        <f>F982</f>
        <v>2006</v>
      </c>
      <c r="W982" s="612">
        <f>IF(OR(AND(ISBLANK(E982),ISBLANK(G982)),ISTEXT(E982),ISTEXT(G982)),"",Q982-U982)</f>
        <v>739200000</v>
      </c>
      <c r="X982" s="561"/>
      <c r="Y982" s="449"/>
      <c r="Z982" s="449"/>
      <c r="AA982" s="693"/>
      <c r="AB982" s="452"/>
      <c r="AC982" s="452"/>
      <c r="AD982" s="571"/>
      <c r="AE982" s="452"/>
      <c r="AF982" s="571"/>
      <c r="AG982" s="452"/>
      <c r="AH982" s="452"/>
      <c r="AI982" s="453"/>
      <c r="AJ982" s="449"/>
      <c r="AK982" s="453"/>
      <c r="AL982" s="454"/>
      <c r="AM982" s="455"/>
      <c r="AN982" s="456"/>
      <c r="AO982" s="455"/>
      <c r="AP982" s="452"/>
      <c r="AQ982" s="457"/>
      <c r="AR982" s="449"/>
      <c r="AS982" s="449"/>
      <c r="AT982" s="452"/>
      <c r="AU982" s="457"/>
      <c r="AV982" s="449"/>
      <c r="AW982" s="458"/>
      <c r="AX982" s="452"/>
      <c r="AY982" s="457"/>
      <c r="AZ982" s="449"/>
      <c r="BA982" s="459"/>
      <c r="BB982" s="455"/>
      <c r="BC982" s="460"/>
      <c r="BD982" s="460"/>
      <c r="BG982" s="462"/>
    </row>
    <row r="983" spans="1:59" s="461" customFormat="1" ht="18" customHeight="1" x14ac:dyDescent="0.2">
      <c r="A983" s="1368" t="str">
        <f t="shared" si="730"/>
        <v>PANGEAN - BATAS PELALAWAN2007</v>
      </c>
      <c r="B983" s="1373">
        <v>2</v>
      </c>
      <c r="C983" s="488" t="s">
        <v>1164</v>
      </c>
      <c r="D983" s="489" t="s">
        <v>2494</v>
      </c>
      <c r="E983" s="558"/>
      <c r="F983" s="559">
        <v>2007</v>
      </c>
      <c r="G983" s="619">
        <f>5825831760.31963+1327353361.61654</f>
        <v>7153185121.9361696</v>
      </c>
      <c r="H983" s="464">
        <f t="shared" ref="H983:H996" si="731">IF(N982-(F983-F982)&lt;=0,0,(N982-(F983-F982)))</f>
        <v>4</v>
      </c>
      <c r="I983" s="560"/>
      <c r="J983" s="468">
        <f t="shared" ref="J983:J996" si="732">F983+N983-1</f>
        <v>2016</v>
      </c>
      <c r="K983" s="490">
        <f t="shared" ref="K983:K996" si="733">IF(G983=0,0,IF(H983=10,100%,G983/W982))</f>
        <v>9.6769279246971998</v>
      </c>
      <c r="L983" s="469">
        <f t="shared" ref="L983:L996" si="734">IF(K983=0%,0,IF(K983&lt;=30%,2,IF(K983&lt;=60%,5,10)))</f>
        <v>10</v>
      </c>
      <c r="M983" s="683">
        <f t="shared" ref="M983:M996" si="735">IF(OR(AND(ISBLANK(E983),ISBLANK(G983)),ISTEXT(E983),ISTEXT(G983)),"",IF(H983+L983&gt;$H$8,$H$8-H983,L983))</f>
        <v>6</v>
      </c>
      <c r="N983" s="470">
        <f t="shared" ref="N983:N996" si="736">IF(OR(AND(ISBLANK(F983),ISBLANK(G983)),ISTEXT(F983),ISTEXT(G983)),"",H983+M983)</f>
        <v>10</v>
      </c>
      <c r="O983" s="468">
        <f t="shared" ref="O983:O996" si="737">F983+N983-1</f>
        <v>2016</v>
      </c>
      <c r="P983" s="616">
        <f t="shared" ref="P983:P996" si="738">W982</f>
        <v>739200000</v>
      </c>
      <c r="Q983" s="472">
        <f t="shared" ref="Q983:Q996" si="739">P983+G983</f>
        <v>7892385121.9361696</v>
      </c>
      <c r="R983" s="472">
        <f t="shared" ref="R983:R996" si="740">IF(L983=0,R982,Q983/N983)</f>
        <v>789238512.19361699</v>
      </c>
      <c r="S983" s="1189">
        <f t="shared" ref="S983:S996" si="741">F983</f>
        <v>2007</v>
      </c>
      <c r="T983" s="470">
        <f t="shared" ref="T983:T996" si="742">S983-S982</f>
        <v>1</v>
      </c>
      <c r="U983" s="612">
        <f t="shared" ref="U983:U996" si="743">R983*T983</f>
        <v>789238512.19361699</v>
      </c>
      <c r="V983" s="464">
        <f t="shared" ref="V983:V996" si="744">F983</f>
        <v>2007</v>
      </c>
      <c r="W983" s="612">
        <f t="shared" ref="W983:W996" si="745">IF(OR(AND(ISBLANK(E983),ISBLANK(G983)),ISTEXT(E983),ISTEXT(G983)),"",Q983-U983)</f>
        <v>7103146609.7425528</v>
      </c>
      <c r="X983" s="561"/>
      <c r="Y983" s="449"/>
      <c r="Z983" s="449"/>
      <c r="AA983" s="694"/>
      <c r="AB983" s="692"/>
      <c r="AC983" s="692"/>
      <c r="AD983" s="695"/>
      <c r="AE983" s="452"/>
      <c r="AF983" s="571"/>
      <c r="AG983" s="452"/>
      <c r="AH983" s="452"/>
      <c r="AI983" s="453"/>
      <c r="AJ983" s="449"/>
      <c r="AK983" s="453"/>
      <c r="AL983" s="454"/>
      <c r="AM983" s="455"/>
      <c r="AN983" s="456"/>
      <c r="AO983" s="455"/>
      <c r="AP983" s="452"/>
      <c r="AQ983" s="457"/>
      <c r="AR983" s="449"/>
      <c r="AS983" s="449"/>
      <c r="AT983" s="452"/>
      <c r="AU983" s="457"/>
      <c r="AV983" s="449"/>
      <c r="AW983" s="458"/>
      <c r="AX983" s="452"/>
      <c r="AY983" s="457"/>
      <c r="AZ983" s="449"/>
      <c r="BA983" s="459"/>
      <c r="BB983" s="455"/>
      <c r="BC983" s="460"/>
      <c r="BD983" s="460"/>
      <c r="BG983" s="462"/>
    </row>
    <row r="984" spans="1:59" s="486" customFormat="1" ht="18" customHeight="1" x14ac:dyDescent="0.2">
      <c r="A984" s="1368" t="str">
        <f t="shared" si="730"/>
        <v>PANGEAN - BATAS PELALAWAN2007</v>
      </c>
      <c r="B984" s="1373">
        <v>3</v>
      </c>
      <c r="C984" s="488" t="s">
        <v>1194</v>
      </c>
      <c r="D984" s="489" t="s">
        <v>2494</v>
      </c>
      <c r="E984" s="558"/>
      <c r="F984" s="559">
        <v>2007</v>
      </c>
      <c r="G984" s="619">
        <v>0</v>
      </c>
      <c r="H984" s="464">
        <f t="shared" si="731"/>
        <v>10</v>
      </c>
      <c r="I984" s="560"/>
      <c r="J984" s="468">
        <f t="shared" si="732"/>
        <v>2016</v>
      </c>
      <c r="K984" s="490">
        <f t="shared" si="733"/>
        <v>0</v>
      </c>
      <c r="L984" s="469">
        <f t="shared" si="734"/>
        <v>0</v>
      </c>
      <c r="M984" s="683">
        <f t="shared" si="735"/>
        <v>0</v>
      </c>
      <c r="N984" s="470">
        <f t="shared" si="736"/>
        <v>10</v>
      </c>
      <c r="O984" s="468">
        <f t="shared" si="737"/>
        <v>2016</v>
      </c>
      <c r="P984" s="616">
        <f t="shared" si="738"/>
        <v>7103146609.7425528</v>
      </c>
      <c r="Q984" s="472">
        <f t="shared" si="739"/>
        <v>7103146609.7425528</v>
      </c>
      <c r="R984" s="472">
        <f t="shared" si="740"/>
        <v>789238512.19361699</v>
      </c>
      <c r="S984" s="1189">
        <f t="shared" si="741"/>
        <v>2007</v>
      </c>
      <c r="T984" s="470">
        <f t="shared" si="742"/>
        <v>0</v>
      </c>
      <c r="U984" s="612">
        <f t="shared" si="743"/>
        <v>0</v>
      </c>
      <c r="V984" s="464">
        <f t="shared" si="744"/>
        <v>2007</v>
      </c>
      <c r="W984" s="612">
        <f t="shared" si="745"/>
        <v>7103146609.7425528</v>
      </c>
      <c r="X984" s="473"/>
      <c r="Y984" s="474"/>
      <c r="Z984" s="449"/>
      <c r="AA984" s="554" t="s">
        <v>4179</v>
      </c>
      <c r="AB984" s="476"/>
      <c r="AC984" s="476"/>
      <c r="AD984" s="567"/>
      <c r="AE984" s="476"/>
      <c r="AF984" s="568"/>
      <c r="AG984" s="476"/>
      <c r="AH984" s="476"/>
      <c r="AI984" s="477"/>
      <c r="AJ984" s="478"/>
      <c r="AK984" s="479"/>
      <c r="AL984" s="480"/>
      <c r="AM984" s="474"/>
      <c r="AN984" s="481"/>
      <c r="AO984" s="474"/>
      <c r="AP984" s="476"/>
      <c r="AQ984" s="482"/>
      <c r="AR984" s="478"/>
      <c r="AS984" s="478"/>
      <c r="AT984" s="476"/>
      <c r="AU984" s="482"/>
      <c r="AV984" s="478"/>
      <c r="AW984" s="483"/>
      <c r="AX984" s="476"/>
      <c r="AY984" s="482"/>
      <c r="AZ984" s="478"/>
      <c r="BA984" s="484"/>
      <c r="BB984" s="474"/>
      <c r="BC984" s="485"/>
      <c r="BD984" s="485"/>
      <c r="BG984" s="487"/>
    </row>
    <row r="985" spans="1:59" s="486" customFormat="1" ht="18" customHeight="1" x14ac:dyDescent="0.2">
      <c r="A985" s="1368" t="str">
        <f t="shared" si="730"/>
        <v>PANGEAN - BATAS PELALAWAN2008</v>
      </c>
      <c r="B985" s="1373">
        <v>4</v>
      </c>
      <c r="C985" s="488" t="s">
        <v>5147</v>
      </c>
      <c r="D985" s="489"/>
      <c r="E985" s="558"/>
      <c r="F985" s="559">
        <v>2008</v>
      </c>
      <c r="G985" s="619">
        <f>1022988789.82604+942281942.425873</f>
        <v>1965270732.2519131</v>
      </c>
      <c r="H985" s="464">
        <f t="shared" si="731"/>
        <v>9</v>
      </c>
      <c r="I985" s="560"/>
      <c r="J985" s="468">
        <f t="shared" si="732"/>
        <v>2017</v>
      </c>
      <c r="K985" s="490">
        <f t="shared" si="733"/>
        <v>0.27667607614298456</v>
      </c>
      <c r="L985" s="469">
        <f t="shared" si="734"/>
        <v>2</v>
      </c>
      <c r="M985" s="683">
        <f t="shared" si="735"/>
        <v>1</v>
      </c>
      <c r="N985" s="470">
        <f t="shared" si="736"/>
        <v>10</v>
      </c>
      <c r="O985" s="468">
        <f t="shared" si="737"/>
        <v>2017</v>
      </c>
      <c r="P985" s="616">
        <f t="shared" si="738"/>
        <v>7103146609.7425528</v>
      </c>
      <c r="Q985" s="472">
        <f t="shared" si="739"/>
        <v>9068417341.9944649</v>
      </c>
      <c r="R985" s="472">
        <f t="shared" si="740"/>
        <v>906841734.19944644</v>
      </c>
      <c r="S985" s="1189">
        <f t="shared" si="741"/>
        <v>2008</v>
      </c>
      <c r="T985" s="470">
        <f t="shared" si="742"/>
        <v>1</v>
      </c>
      <c r="U985" s="612">
        <f t="shared" si="743"/>
        <v>906841734.19944644</v>
      </c>
      <c r="V985" s="464">
        <f t="shared" si="744"/>
        <v>2008</v>
      </c>
      <c r="W985" s="612">
        <f t="shared" si="745"/>
        <v>8161575607.7950182</v>
      </c>
      <c r="X985" s="473"/>
      <c r="Y985" s="474"/>
      <c r="Z985" s="449"/>
      <c r="AA985" s="554"/>
      <c r="AB985" s="476"/>
      <c r="AC985" s="476"/>
      <c r="AD985" s="567"/>
      <c r="AE985" s="476"/>
      <c r="AF985" s="568"/>
      <c r="AG985" s="476"/>
      <c r="AH985" s="476"/>
      <c r="AI985" s="477"/>
      <c r="AJ985" s="478"/>
      <c r="AK985" s="479"/>
      <c r="AL985" s="480"/>
      <c r="AM985" s="474"/>
      <c r="AN985" s="481"/>
      <c r="AO985" s="474"/>
      <c r="AP985" s="476"/>
      <c r="AQ985" s="482"/>
      <c r="AR985" s="478"/>
      <c r="AS985" s="478"/>
      <c r="AT985" s="476"/>
      <c r="AU985" s="482"/>
      <c r="AV985" s="478"/>
      <c r="AW985" s="483"/>
      <c r="AX985" s="476"/>
      <c r="AY985" s="482"/>
      <c r="AZ985" s="478"/>
      <c r="BA985" s="484"/>
      <c r="BB985" s="474"/>
      <c r="BC985" s="485"/>
      <c r="BD985" s="485"/>
      <c r="BG985" s="487"/>
    </row>
    <row r="986" spans="1:59" s="486" customFormat="1" ht="18" customHeight="1" x14ac:dyDescent="0.2">
      <c r="A986" s="1368" t="str">
        <f t="shared" si="730"/>
        <v>PANGEAN - BATAS PELALAWAN2009</v>
      </c>
      <c r="B986" s="1373"/>
      <c r="C986" s="488"/>
      <c r="D986" s="489"/>
      <c r="E986" s="558"/>
      <c r="F986" s="559">
        <v>2009</v>
      </c>
      <c r="G986" s="619">
        <v>0</v>
      </c>
      <c r="H986" s="464">
        <f t="shared" si="731"/>
        <v>9</v>
      </c>
      <c r="I986" s="560"/>
      <c r="J986" s="468">
        <f t="shared" si="732"/>
        <v>2017</v>
      </c>
      <c r="K986" s="490">
        <f t="shared" si="733"/>
        <v>0</v>
      </c>
      <c r="L986" s="469">
        <f t="shared" si="734"/>
        <v>0</v>
      </c>
      <c r="M986" s="683">
        <f t="shared" si="735"/>
        <v>0</v>
      </c>
      <c r="N986" s="470">
        <f t="shared" si="736"/>
        <v>9</v>
      </c>
      <c r="O986" s="468">
        <f t="shared" si="737"/>
        <v>2017</v>
      </c>
      <c r="P986" s="616">
        <f t="shared" si="738"/>
        <v>8161575607.7950182</v>
      </c>
      <c r="Q986" s="472">
        <f t="shared" si="739"/>
        <v>8161575607.7950182</v>
      </c>
      <c r="R986" s="472">
        <f t="shared" si="740"/>
        <v>906841734.19944644</v>
      </c>
      <c r="S986" s="1189">
        <f t="shared" si="741"/>
        <v>2009</v>
      </c>
      <c r="T986" s="470">
        <f t="shared" si="742"/>
        <v>1</v>
      </c>
      <c r="U986" s="612">
        <f t="shared" si="743"/>
        <v>906841734.19944644</v>
      </c>
      <c r="V986" s="464">
        <f t="shared" si="744"/>
        <v>2009</v>
      </c>
      <c r="W986" s="612">
        <f t="shared" si="745"/>
        <v>7254733873.5955715</v>
      </c>
      <c r="X986" s="473"/>
      <c r="Y986" s="474"/>
      <c r="Z986" s="449"/>
      <c r="AA986" s="554"/>
      <c r="AB986" s="476"/>
      <c r="AC986" s="476"/>
      <c r="AD986" s="567"/>
      <c r="AE986" s="476"/>
      <c r="AF986" s="568"/>
      <c r="AG986" s="476"/>
      <c r="AH986" s="476"/>
      <c r="AI986" s="477"/>
      <c r="AJ986" s="478"/>
      <c r="AK986" s="479"/>
      <c r="AL986" s="480"/>
      <c r="AM986" s="474"/>
      <c r="AN986" s="481"/>
      <c r="AO986" s="474"/>
      <c r="AP986" s="476"/>
      <c r="AQ986" s="482"/>
      <c r="AR986" s="478"/>
      <c r="AS986" s="478"/>
      <c r="AT986" s="476"/>
      <c r="AU986" s="482"/>
      <c r="AV986" s="478"/>
      <c r="AW986" s="483"/>
      <c r="AX986" s="476"/>
      <c r="AY986" s="482"/>
      <c r="AZ986" s="478"/>
      <c r="BA986" s="484"/>
      <c r="BB986" s="474"/>
      <c r="BC986" s="485"/>
      <c r="BD986" s="485"/>
      <c r="BG986" s="487"/>
    </row>
    <row r="987" spans="1:59" s="486" customFormat="1" ht="18" customHeight="1" x14ac:dyDescent="0.2">
      <c r="A987" s="1368" t="str">
        <f t="shared" si="730"/>
        <v>PANGEAN - BATAS PELALAWAN2010</v>
      </c>
      <c r="B987" s="1373">
        <v>5</v>
      </c>
      <c r="C987" s="488" t="s">
        <v>5148</v>
      </c>
      <c r="D987" s="489"/>
      <c r="E987" s="558"/>
      <c r="F987" s="559">
        <v>2010</v>
      </c>
      <c r="G987" s="619">
        <v>2295175066.3124514</v>
      </c>
      <c r="H987" s="464">
        <f t="shared" si="731"/>
        <v>8</v>
      </c>
      <c r="I987" s="560"/>
      <c r="J987" s="468">
        <f t="shared" si="732"/>
        <v>2019</v>
      </c>
      <c r="K987" s="490">
        <f t="shared" si="733"/>
        <v>0.31636929848881185</v>
      </c>
      <c r="L987" s="469">
        <f t="shared" si="734"/>
        <v>5</v>
      </c>
      <c r="M987" s="683">
        <f t="shared" si="735"/>
        <v>2</v>
      </c>
      <c r="N987" s="470">
        <f t="shared" si="736"/>
        <v>10</v>
      </c>
      <c r="O987" s="468">
        <f t="shared" si="737"/>
        <v>2019</v>
      </c>
      <c r="P987" s="616">
        <f t="shared" si="738"/>
        <v>7254733873.5955715</v>
      </c>
      <c r="Q987" s="472">
        <f t="shared" si="739"/>
        <v>9549908939.9080238</v>
      </c>
      <c r="R987" s="472">
        <f t="shared" si="740"/>
        <v>954990893.99080241</v>
      </c>
      <c r="S987" s="1189">
        <f t="shared" si="741"/>
        <v>2010</v>
      </c>
      <c r="T987" s="470">
        <f t="shared" si="742"/>
        <v>1</v>
      </c>
      <c r="U987" s="612">
        <f t="shared" si="743"/>
        <v>954990893.99080241</v>
      </c>
      <c r="V987" s="464">
        <f t="shared" si="744"/>
        <v>2010</v>
      </c>
      <c r="W987" s="612">
        <f t="shared" si="745"/>
        <v>8594918045.9172211</v>
      </c>
      <c r="X987" s="473"/>
      <c r="Y987" s="474"/>
      <c r="Z987" s="449"/>
      <c r="AA987" s="554"/>
      <c r="AB987" s="476"/>
      <c r="AC987" s="476"/>
      <c r="AD987" s="567"/>
      <c r="AE987" s="476"/>
      <c r="AF987" s="568"/>
      <c r="AG987" s="476"/>
      <c r="AH987" s="476"/>
      <c r="AI987" s="477"/>
      <c r="AJ987" s="478"/>
      <c r="AK987" s="479"/>
      <c r="AL987" s="480"/>
      <c r="AM987" s="474"/>
      <c r="AN987" s="481"/>
      <c r="AO987" s="474"/>
      <c r="AP987" s="476"/>
      <c r="AQ987" s="482"/>
      <c r="AR987" s="478"/>
      <c r="AS987" s="478"/>
      <c r="AT987" s="476"/>
      <c r="AU987" s="482"/>
      <c r="AV987" s="478"/>
      <c r="AW987" s="483"/>
      <c r="AX987" s="476"/>
      <c r="AY987" s="482"/>
      <c r="AZ987" s="478"/>
      <c r="BA987" s="484"/>
      <c r="BB987" s="474"/>
      <c r="BC987" s="485"/>
      <c r="BD987" s="485"/>
      <c r="BG987" s="487"/>
    </row>
    <row r="988" spans="1:59" s="486" customFormat="1" ht="18" customHeight="1" x14ac:dyDescent="0.2">
      <c r="A988" s="1368" t="str">
        <f t="shared" si="730"/>
        <v>PANGEAN - BATAS PELALAWAN2011</v>
      </c>
      <c r="B988" s="1373"/>
      <c r="C988" s="488"/>
      <c r="D988" s="489"/>
      <c r="E988" s="558"/>
      <c r="F988" s="559">
        <v>2011</v>
      </c>
      <c r="G988" s="619">
        <v>0</v>
      </c>
      <c r="H988" s="464">
        <f t="shared" si="731"/>
        <v>9</v>
      </c>
      <c r="I988" s="560"/>
      <c r="J988" s="468">
        <f t="shared" si="732"/>
        <v>2019</v>
      </c>
      <c r="K988" s="490">
        <f t="shared" si="733"/>
        <v>0</v>
      </c>
      <c r="L988" s="469">
        <f t="shared" si="734"/>
        <v>0</v>
      </c>
      <c r="M988" s="683">
        <f t="shared" si="735"/>
        <v>0</v>
      </c>
      <c r="N988" s="470">
        <f t="shared" si="736"/>
        <v>9</v>
      </c>
      <c r="O988" s="468">
        <f t="shared" si="737"/>
        <v>2019</v>
      </c>
      <c r="P988" s="616">
        <f t="shared" si="738"/>
        <v>8594918045.9172211</v>
      </c>
      <c r="Q988" s="472">
        <f t="shared" si="739"/>
        <v>8594918045.9172211</v>
      </c>
      <c r="R988" s="472">
        <f t="shared" si="740"/>
        <v>954990893.99080241</v>
      </c>
      <c r="S988" s="1189">
        <f t="shared" si="741"/>
        <v>2011</v>
      </c>
      <c r="T988" s="470">
        <f t="shared" si="742"/>
        <v>1</v>
      </c>
      <c r="U988" s="612">
        <f t="shared" si="743"/>
        <v>954990893.99080241</v>
      </c>
      <c r="V988" s="464">
        <f t="shared" si="744"/>
        <v>2011</v>
      </c>
      <c r="W988" s="612">
        <f t="shared" si="745"/>
        <v>7639927151.9264183</v>
      </c>
      <c r="X988" s="473"/>
      <c r="Y988" s="474"/>
      <c r="Z988" s="449"/>
      <c r="AA988" s="554"/>
      <c r="AB988" s="476"/>
      <c r="AC988" s="476"/>
      <c r="AD988" s="567"/>
      <c r="AE988" s="476"/>
      <c r="AF988" s="568"/>
      <c r="AG988" s="476"/>
      <c r="AH988" s="476"/>
      <c r="AI988" s="477"/>
      <c r="AJ988" s="478"/>
      <c r="AK988" s="479"/>
      <c r="AL988" s="480"/>
      <c r="AM988" s="474"/>
      <c r="AN988" s="481"/>
      <c r="AO988" s="474"/>
      <c r="AP988" s="476"/>
      <c r="AQ988" s="482"/>
      <c r="AR988" s="478"/>
      <c r="AS988" s="478"/>
      <c r="AT988" s="476"/>
      <c r="AU988" s="482"/>
      <c r="AV988" s="478"/>
      <c r="AW988" s="483"/>
      <c r="AX988" s="476"/>
      <c r="AY988" s="482"/>
      <c r="AZ988" s="478"/>
      <c r="BA988" s="484"/>
      <c r="BB988" s="474"/>
      <c r="BC988" s="485"/>
      <c r="BD988" s="485"/>
      <c r="BG988" s="487"/>
    </row>
    <row r="989" spans="1:59" s="486" customFormat="1" ht="18" customHeight="1" x14ac:dyDescent="0.2">
      <c r="A989" s="1368" t="str">
        <f t="shared" si="730"/>
        <v>PANGEAN - BATAS PELALAWAN2012</v>
      </c>
      <c r="B989" s="1373"/>
      <c r="C989" s="488"/>
      <c r="D989" s="489"/>
      <c r="E989" s="558"/>
      <c r="F989" s="559">
        <v>2012</v>
      </c>
      <c r="G989" s="619">
        <v>0</v>
      </c>
      <c r="H989" s="464">
        <f t="shared" si="731"/>
        <v>8</v>
      </c>
      <c r="I989" s="560"/>
      <c r="J989" s="468">
        <f t="shared" si="732"/>
        <v>2019</v>
      </c>
      <c r="K989" s="490">
        <f t="shared" si="733"/>
        <v>0</v>
      </c>
      <c r="L989" s="469">
        <f t="shared" si="734"/>
        <v>0</v>
      </c>
      <c r="M989" s="683">
        <f t="shared" si="735"/>
        <v>0</v>
      </c>
      <c r="N989" s="470">
        <f t="shared" si="736"/>
        <v>8</v>
      </c>
      <c r="O989" s="468">
        <f t="shared" si="737"/>
        <v>2019</v>
      </c>
      <c r="P989" s="616">
        <f t="shared" si="738"/>
        <v>7639927151.9264183</v>
      </c>
      <c r="Q989" s="472">
        <f t="shared" si="739"/>
        <v>7639927151.9264183</v>
      </c>
      <c r="R989" s="472">
        <f t="shared" si="740"/>
        <v>954990893.99080241</v>
      </c>
      <c r="S989" s="1189">
        <f t="shared" si="741"/>
        <v>2012</v>
      </c>
      <c r="T989" s="470">
        <f t="shared" si="742"/>
        <v>1</v>
      </c>
      <c r="U989" s="612">
        <f t="shared" si="743"/>
        <v>954990893.99080241</v>
      </c>
      <c r="V989" s="464">
        <f t="shared" si="744"/>
        <v>2012</v>
      </c>
      <c r="W989" s="612">
        <f t="shared" si="745"/>
        <v>6684936257.9356155</v>
      </c>
      <c r="X989" s="473"/>
      <c r="Y989" s="474"/>
      <c r="Z989" s="449"/>
      <c r="AA989" s="475"/>
      <c r="AB989" s="476"/>
      <c r="AC989" s="476"/>
      <c r="AD989" s="567"/>
      <c r="AE989" s="476"/>
      <c r="AF989" s="568"/>
      <c r="AG989" s="476"/>
      <c r="AH989" s="476"/>
      <c r="AI989" s="477"/>
      <c r="AJ989" s="478"/>
      <c r="AK989" s="479"/>
      <c r="AL989" s="480"/>
      <c r="AM989" s="474"/>
      <c r="AN989" s="481"/>
      <c r="AO989" s="474"/>
      <c r="AP989" s="476"/>
      <c r="AQ989" s="482"/>
      <c r="AR989" s="478"/>
      <c r="AS989" s="478"/>
      <c r="AT989" s="476"/>
      <c r="AU989" s="482"/>
      <c r="AV989" s="478"/>
      <c r="AW989" s="483"/>
      <c r="AX989" s="476"/>
      <c r="AY989" s="482"/>
      <c r="AZ989" s="478"/>
      <c r="BA989" s="484"/>
      <c r="BB989" s="474"/>
      <c r="BC989" s="485"/>
      <c r="BD989" s="485"/>
      <c r="BG989" s="487"/>
    </row>
    <row r="990" spans="1:59" s="486" customFormat="1" ht="18" customHeight="1" x14ac:dyDescent="0.2">
      <c r="A990" s="1368" t="str">
        <f t="shared" si="730"/>
        <v>PANGEAN - BATAS PELALAWAN2013</v>
      </c>
      <c r="B990" s="1373">
        <v>6</v>
      </c>
      <c r="C990" s="488" t="s">
        <v>1280</v>
      </c>
      <c r="D990" s="489" t="s">
        <v>2494</v>
      </c>
      <c r="E990" s="558"/>
      <c r="F990" s="559">
        <v>2013</v>
      </c>
      <c r="G990" s="619">
        <v>1768063472</v>
      </c>
      <c r="H990" s="464">
        <f t="shared" si="731"/>
        <v>7</v>
      </c>
      <c r="I990" s="560"/>
      <c r="J990" s="468">
        <f t="shared" si="732"/>
        <v>2021</v>
      </c>
      <c r="K990" s="490">
        <f t="shared" si="733"/>
        <v>0.26448471664948953</v>
      </c>
      <c r="L990" s="469">
        <f t="shared" si="734"/>
        <v>2</v>
      </c>
      <c r="M990" s="683">
        <f t="shared" si="735"/>
        <v>2</v>
      </c>
      <c r="N990" s="470">
        <f t="shared" si="736"/>
        <v>9</v>
      </c>
      <c r="O990" s="468">
        <f t="shared" si="737"/>
        <v>2021</v>
      </c>
      <c r="P990" s="616">
        <f t="shared" si="738"/>
        <v>6684936257.9356155</v>
      </c>
      <c r="Q990" s="472">
        <f t="shared" si="739"/>
        <v>8452999729.9356155</v>
      </c>
      <c r="R990" s="472">
        <f t="shared" si="740"/>
        <v>939222192.21506834</v>
      </c>
      <c r="S990" s="1189">
        <f t="shared" si="741"/>
        <v>2013</v>
      </c>
      <c r="T990" s="470">
        <f t="shared" si="742"/>
        <v>1</v>
      </c>
      <c r="U990" s="612">
        <f t="shared" si="743"/>
        <v>939222192.21506834</v>
      </c>
      <c r="V990" s="464">
        <f t="shared" si="744"/>
        <v>2013</v>
      </c>
      <c r="W990" s="612">
        <f t="shared" si="745"/>
        <v>7513777537.7205467</v>
      </c>
      <c r="X990" s="473"/>
      <c r="Y990" s="478"/>
      <c r="Z990" s="449"/>
      <c r="AA990" s="475" t="s">
        <v>4180</v>
      </c>
      <c r="AB990" s="491"/>
      <c r="AC990" s="491"/>
      <c r="AD990" s="567">
        <f>G999</f>
        <v>34895750294.700531</v>
      </c>
      <c r="AE990" s="491"/>
      <c r="AF990" s="568"/>
      <c r="AG990" s="491"/>
      <c r="AH990" s="491"/>
      <c r="AI990" s="477"/>
      <c r="AJ990" s="478"/>
      <c r="AK990" s="479"/>
      <c r="AL990" s="480"/>
      <c r="AM990" s="474"/>
      <c r="AN990" s="481"/>
      <c r="AO990" s="474"/>
      <c r="AP990" s="476"/>
      <c r="AQ990" s="482"/>
      <c r="AR990" s="478"/>
      <c r="AS990" s="478"/>
      <c r="AT990" s="476"/>
      <c r="AU990" s="482"/>
      <c r="AV990" s="478"/>
      <c r="AW990" s="483"/>
      <c r="AX990" s="476"/>
      <c r="AY990" s="482"/>
      <c r="AZ990" s="478"/>
      <c r="BA990" s="484"/>
      <c r="BB990" s="474"/>
      <c r="BC990" s="485"/>
      <c r="BD990" s="485"/>
      <c r="BG990" s="487"/>
    </row>
    <row r="991" spans="1:59" s="486" customFormat="1" ht="18" customHeight="1" x14ac:dyDescent="0.2">
      <c r="A991" s="1368" t="str">
        <f t="shared" si="730"/>
        <v>PANGEAN - BATAS PELALAWAN2014</v>
      </c>
      <c r="B991" s="1373"/>
      <c r="C991" s="488"/>
      <c r="D991" s="489"/>
      <c r="E991" s="558"/>
      <c r="F991" s="559">
        <v>2014</v>
      </c>
      <c r="G991" s="619">
        <v>0</v>
      </c>
      <c r="H991" s="464">
        <f t="shared" si="731"/>
        <v>8</v>
      </c>
      <c r="I991" s="560"/>
      <c r="J991" s="468">
        <f t="shared" si="732"/>
        <v>2021</v>
      </c>
      <c r="K991" s="490">
        <f t="shared" si="733"/>
        <v>0</v>
      </c>
      <c r="L991" s="469">
        <f t="shared" si="734"/>
        <v>0</v>
      </c>
      <c r="M991" s="683">
        <f t="shared" si="735"/>
        <v>0</v>
      </c>
      <c r="N991" s="470">
        <f t="shared" si="736"/>
        <v>8</v>
      </c>
      <c r="O991" s="468">
        <f t="shared" si="737"/>
        <v>2021</v>
      </c>
      <c r="P991" s="616">
        <f t="shared" si="738"/>
        <v>7513777537.7205467</v>
      </c>
      <c r="Q991" s="472">
        <f t="shared" si="739"/>
        <v>7513777537.7205467</v>
      </c>
      <c r="R991" s="472">
        <f t="shared" si="740"/>
        <v>939222192.21506834</v>
      </c>
      <c r="S991" s="1189">
        <f t="shared" si="741"/>
        <v>2014</v>
      </c>
      <c r="T991" s="470">
        <f t="shared" si="742"/>
        <v>1</v>
      </c>
      <c r="U991" s="612">
        <f t="shared" si="743"/>
        <v>939222192.21506834</v>
      </c>
      <c r="V991" s="464">
        <f t="shared" si="744"/>
        <v>2014</v>
      </c>
      <c r="W991" s="612">
        <f t="shared" si="745"/>
        <v>6574555345.5054779</v>
      </c>
      <c r="X991" s="473"/>
      <c r="Y991" s="478"/>
      <c r="Z991" s="449"/>
      <c r="AA991" s="475" t="s">
        <v>4181</v>
      </c>
      <c r="AB991" s="491"/>
      <c r="AC991" s="491"/>
      <c r="AD991" s="567">
        <f>U999</f>
        <v>19188599729.33453</v>
      </c>
      <c r="AE991" s="491"/>
      <c r="AF991" s="568"/>
      <c r="AG991" s="491"/>
      <c r="AH991" s="491"/>
      <c r="AI991" s="477"/>
      <c r="AJ991" s="478"/>
      <c r="AK991" s="479"/>
      <c r="AL991" s="480"/>
      <c r="AM991" s="474"/>
      <c r="AN991" s="481"/>
      <c r="AO991" s="474"/>
      <c r="AP991" s="476"/>
      <c r="AQ991" s="482"/>
      <c r="AR991" s="478"/>
      <c r="AS991" s="478"/>
      <c r="AT991" s="476"/>
      <c r="AU991" s="482"/>
      <c r="AV991" s="478"/>
      <c r="AW991" s="483"/>
      <c r="AX991" s="476"/>
      <c r="AY991" s="482"/>
      <c r="AZ991" s="478"/>
      <c r="BA991" s="484"/>
      <c r="BB991" s="474"/>
      <c r="BC991" s="485"/>
      <c r="BD991" s="485"/>
      <c r="BG991" s="487"/>
    </row>
    <row r="992" spans="1:59" s="486" customFormat="1" ht="18" customHeight="1" x14ac:dyDescent="0.2">
      <c r="A992" s="1368" t="str">
        <f t="shared" si="730"/>
        <v>PANGEAN - BATAS PELALAWAN2015</v>
      </c>
      <c r="B992" s="1373">
        <v>7</v>
      </c>
      <c r="C992" s="488" t="s">
        <v>1358</v>
      </c>
      <c r="D992" s="489" t="s">
        <v>2494</v>
      </c>
      <c r="E992" s="558"/>
      <c r="F992" s="559">
        <v>2015</v>
      </c>
      <c r="G992" s="619">
        <v>8656542443.2000008</v>
      </c>
      <c r="H992" s="464">
        <f t="shared" si="731"/>
        <v>7</v>
      </c>
      <c r="I992" s="560"/>
      <c r="J992" s="468">
        <f t="shared" si="732"/>
        <v>2024</v>
      </c>
      <c r="K992" s="490">
        <f t="shared" si="733"/>
        <v>1.3166734460784209</v>
      </c>
      <c r="L992" s="469">
        <f t="shared" si="734"/>
        <v>10</v>
      </c>
      <c r="M992" s="683">
        <f t="shared" si="735"/>
        <v>3</v>
      </c>
      <c r="N992" s="470">
        <f t="shared" si="736"/>
        <v>10</v>
      </c>
      <c r="O992" s="468">
        <f t="shared" si="737"/>
        <v>2024</v>
      </c>
      <c r="P992" s="616">
        <f t="shared" si="738"/>
        <v>6574555345.5054779</v>
      </c>
      <c r="Q992" s="472">
        <f t="shared" si="739"/>
        <v>15231097788.705479</v>
      </c>
      <c r="R992" s="472">
        <f t="shared" si="740"/>
        <v>1523109778.8705478</v>
      </c>
      <c r="S992" s="1189">
        <f t="shared" si="741"/>
        <v>2015</v>
      </c>
      <c r="T992" s="470">
        <f t="shared" si="742"/>
        <v>1</v>
      </c>
      <c r="U992" s="612">
        <f t="shared" si="743"/>
        <v>1523109778.8705478</v>
      </c>
      <c r="V992" s="464">
        <f t="shared" si="744"/>
        <v>2015</v>
      </c>
      <c r="W992" s="612">
        <f t="shared" si="745"/>
        <v>13707988009.83493</v>
      </c>
      <c r="X992" s="473"/>
      <c r="Y992" s="478"/>
      <c r="Z992" s="449"/>
      <c r="AA992" s="492" t="s">
        <v>4182</v>
      </c>
      <c r="AB992" s="476"/>
      <c r="AC992" s="476"/>
      <c r="AD992" s="567">
        <f>AD990-AD991</f>
        <v>15707150565.366001</v>
      </c>
      <c r="AE992" s="476"/>
      <c r="AF992" s="568"/>
      <c r="AG992" s="476"/>
      <c r="AH992" s="476"/>
      <c r="AI992" s="477"/>
      <c r="AJ992" s="478"/>
      <c r="AK992" s="479"/>
      <c r="AL992" s="480"/>
      <c r="AM992" s="474"/>
      <c r="AN992" s="481"/>
      <c r="AO992" s="474"/>
      <c r="AP992" s="476"/>
      <c r="AQ992" s="482"/>
      <c r="AR992" s="478"/>
      <c r="AS992" s="478"/>
      <c r="AT992" s="476"/>
      <c r="AU992" s="482"/>
      <c r="AV992" s="478"/>
      <c r="AW992" s="483"/>
      <c r="AX992" s="476"/>
      <c r="AY992" s="482"/>
      <c r="AZ992" s="478"/>
      <c r="BA992" s="484"/>
      <c r="BB992" s="474"/>
      <c r="BC992" s="485"/>
      <c r="BD992" s="485"/>
      <c r="BG992" s="487"/>
    </row>
    <row r="993" spans="1:59" s="486" customFormat="1" ht="18" customHeight="1" x14ac:dyDescent="0.2">
      <c r="A993" s="1368" t="str">
        <f t="shared" si="730"/>
        <v>PANGEAN - BATAS PELALAWAN2016</v>
      </c>
      <c r="B993" s="687">
        <v>8</v>
      </c>
      <c r="C993" s="463" t="s">
        <v>1446</v>
      </c>
      <c r="D993" s="489" t="s">
        <v>2494</v>
      </c>
      <c r="E993" s="465"/>
      <c r="F993" s="466">
        <v>2016</v>
      </c>
      <c r="G993" s="620">
        <f>5591436679.16+5487724779.84</f>
        <v>11079161459</v>
      </c>
      <c r="H993" s="464">
        <f t="shared" si="731"/>
        <v>9</v>
      </c>
      <c r="I993" s="560"/>
      <c r="J993" s="468">
        <f t="shared" si="732"/>
        <v>2025</v>
      </c>
      <c r="K993" s="490">
        <f t="shared" si="733"/>
        <v>0.80822666689313905</v>
      </c>
      <c r="L993" s="469">
        <f t="shared" si="734"/>
        <v>10</v>
      </c>
      <c r="M993" s="683">
        <f t="shared" si="735"/>
        <v>1</v>
      </c>
      <c r="N993" s="470">
        <f t="shared" si="736"/>
        <v>10</v>
      </c>
      <c r="O993" s="468">
        <f t="shared" si="737"/>
        <v>2025</v>
      </c>
      <c r="P993" s="616">
        <f t="shared" si="738"/>
        <v>13707988009.83493</v>
      </c>
      <c r="Q993" s="472">
        <f t="shared" si="739"/>
        <v>24787149468.83493</v>
      </c>
      <c r="R993" s="472">
        <f t="shared" si="740"/>
        <v>2478714946.8834929</v>
      </c>
      <c r="S993" s="1189">
        <f t="shared" si="741"/>
        <v>2016</v>
      </c>
      <c r="T993" s="470">
        <f t="shared" si="742"/>
        <v>1</v>
      </c>
      <c r="U993" s="612">
        <f t="shared" si="743"/>
        <v>2478714946.8834929</v>
      </c>
      <c r="V993" s="464">
        <f t="shared" si="744"/>
        <v>2016</v>
      </c>
      <c r="W993" s="612">
        <f t="shared" si="745"/>
        <v>22308434521.951439</v>
      </c>
      <c r="X993" s="473"/>
      <c r="Y993" s="478"/>
      <c r="Z993" s="449"/>
      <c r="AA993" s="531" t="s">
        <v>4183</v>
      </c>
      <c r="AB993" s="496"/>
      <c r="AC993" s="496"/>
      <c r="AD993" s="569">
        <f>AD992-W999</f>
        <v>0</v>
      </c>
      <c r="AE993" s="476"/>
      <c r="AF993" s="568"/>
      <c r="AG993" s="476"/>
      <c r="AH993" s="476"/>
      <c r="AI993" s="477"/>
      <c r="AJ993" s="478"/>
      <c r="AK993" s="479"/>
      <c r="AL993" s="480"/>
      <c r="AM993" s="474"/>
      <c r="AN993" s="481"/>
      <c r="AO993" s="474"/>
      <c r="AP993" s="476"/>
      <c r="AQ993" s="482"/>
      <c r="AR993" s="478"/>
      <c r="AS993" s="478"/>
      <c r="AT993" s="476"/>
      <c r="AU993" s="482"/>
      <c r="AV993" s="478"/>
      <c r="AW993" s="483"/>
      <c r="AX993" s="476"/>
      <c r="AY993" s="482"/>
      <c r="AZ993" s="478"/>
      <c r="BA993" s="484"/>
      <c r="BB993" s="474"/>
      <c r="BC993" s="485"/>
      <c r="BD993" s="485"/>
      <c r="BG993" s="487"/>
    </row>
    <row r="994" spans="1:59" s="486" customFormat="1" ht="18" customHeight="1" x14ac:dyDescent="0.2">
      <c r="A994" s="1368" t="str">
        <f t="shared" si="730"/>
        <v>PANGEAN - BATAS PELALAWAN2016</v>
      </c>
      <c r="B994" s="687">
        <v>9</v>
      </c>
      <c r="C994" s="463" t="s">
        <v>1447</v>
      </c>
      <c r="D994" s="489" t="s">
        <v>2494</v>
      </c>
      <c r="E994" s="465"/>
      <c r="F994" s="466">
        <v>2016</v>
      </c>
      <c r="G994" s="620">
        <v>0</v>
      </c>
      <c r="H994" s="464">
        <f t="shared" si="731"/>
        <v>10</v>
      </c>
      <c r="I994" s="560"/>
      <c r="J994" s="468">
        <f t="shared" si="732"/>
        <v>2025</v>
      </c>
      <c r="K994" s="490">
        <f t="shared" si="733"/>
        <v>0</v>
      </c>
      <c r="L994" s="469">
        <f t="shared" si="734"/>
        <v>0</v>
      </c>
      <c r="M994" s="683">
        <f t="shared" si="735"/>
        <v>0</v>
      </c>
      <c r="N994" s="470">
        <f t="shared" si="736"/>
        <v>10</v>
      </c>
      <c r="O994" s="468">
        <f t="shared" si="737"/>
        <v>2025</v>
      </c>
      <c r="P994" s="616">
        <f t="shared" si="738"/>
        <v>22308434521.951439</v>
      </c>
      <c r="Q994" s="472">
        <f t="shared" si="739"/>
        <v>22308434521.951439</v>
      </c>
      <c r="R994" s="472">
        <f t="shared" si="740"/>
        <v>2478714946.8834929</v>
      </c>
      <c r="S994" s="1189">
        <f t="shared" si="741"/>
        <v>2016</v>
      </c>
      <c r="T994" s="470">
        <f t="shared" si="742"/>
        <v>0</v>
      </c>
      <c r="U994" s="612">
        <f t="shared" si="743"/>
        <v>0</v>
      </c>
      <c r="V994" s="464">
        <f t="shared" si="744"/>
        <v>2016</v>
      </c>
      <c r="W994" s="612">
        <f t="shared" si="745"/>
        <v>22308434521.951439</v>
      </c>
      <c r="X994" s="473"/>
      <c r="Y994" s="478"/>
      <c r="Z994" s="449"/>
      <c r="AA994" s="573"/>
      <c r="AB994" s="476"/>
      <c r="AC994" s="476"/>
      <c r="AD994" s="568"/>
      <c r="AE994" s="476"/>
      <c r="AF994" s="568"/>
      <c r="AG994" s="476"/>
      <c r="AH994" s="476"/>
      <c r="AI994" s="477"/>
      <c r="AJ994" s="478"/>
      <c r="AK994" s="479"/>
      <c r="AL994" s="480"/>
      <c r="AM994" s="474"/>
      <c r="AN994" s="481"/>
      <c r="AO994" s="474"/>
      <c r="AP994" s="476"/>
      <c r="AQ994" s="482"/>
      <c r="AR994" s="478"/>
      <c r="AS994" s="478"/>
      <c r="AT994" s="476"/>
      <c r="AU994" s="482"/>
      <c r="AV994" s="478"/>
      <c r="AW994" s="483"/>
      <c r="AX994" s="476"/>
      <c r="AY994" s="482"/>
      <c r="AZ994" s="478"/>
      <c r="BA994" s="484"/>
      <c r="BB994" s="474"/>
      <c r="BC994" s="485"/>
      <c r="BD994" s="485"/>
      <c r="BG994" s="487"/>
    </row>
    <row r="995" spans="1:59" s="486" customFormat="1" ht="18" customHeight="1" x14ac:dyDescent="0.2">
      <c r="A995" s="1368" t="str">
        <f t="shared" si="730"/>
        <v>PANGEAN - BATAS PELALAWAN2017</v>
      </c>
      <c r="B995" s="687">
        <v>10</v>
      </c>
      <c r="C995" s="493" t="s">
        <v>3051</v>
      </c>
      <c r="D995" s="489"/>
      <c r="E995" s="465"/>
      <c r="F995" s="466">
        <v>2017</v>
      </c>
      <c r="G995" s="620">
        <v>130352000</v>
      </c>
      <c r="H995" s="464">
        <f t="shared" si="731"/>
        <v>9</v>
      </c>
      <c r="I995" s="560"/>
      <c r="J995" s="468">
        <f t="shared" si="732"/>
        <v>2026</v>
      </c>
      <c r="K995" s="490">
        <f t="shared" si="733"/>
        <v>5.8431711051590814E-3</v>
      </c>
      <c r="L995" s="469">
        <f t="shared" si="734"/>
        <v>2</v>
      </c>
      <c r="M995" s="683">
        <f t="shared" si="735"/>
        <v>1</v>
      </c>
      <c r="N995" s="470">
        <f t="shared" si="736"/>
        <v>10</v>
      </c>
      <c r="O995" s="468">
        <f t="shared" si="737"/>
        <v>2026</v>
      </c>
      <c r="P995" s="616">
        <f t="shared" si="738"/>
        <v>22308434521.951439</v>
      </c>
      <c r="Q995" s="472">
        <f t="shared" si="739"/>
        <v>22438786521.951439</v>
      </c>
      <c r="R995" s="472">
        <f t="shared" si="740"/>
        <v>2243878652.1951437</v>
      </c>
      <c r="S995" s="1189">
        <f t="shared" si="741"/>
        <v>2017</v>
      </c>
      <c r="T995" s="470">
        <f t="shared" si="742"/>
        <v>1</v>
      </c>
      <c r="U995" s="612">
        <f t="shared" si="743"/>
        <v>2243878652.1951437</v>
      </c>
      <c r="V995" s="464">
        <f t="shared" si="744"/>
        <v>2017</v>
      </c>
      <c r="W995" s="612">
        <f t="shared" si="745"/>
        <v>20194907869.756294</v>
      </c>
      <c r="X995" s="473"/>
      <c r="Y995" s="478"/>
      <c r="Z995" s="449"/>
      <c r="AA995" s="573"/>
      <c r="AB995" s="476"/>
      <c r="AC995" s="476"/>
      <c r="AD995" s="568"/>
      <c r="AE995" s="476"/>
      <c r="AF995" s="568"/>
      <c r="AG995" s="476"/>
      <c r="AH995" s="476"/>
      <c r="AI995" s="477"/>
      <c r="AJ995" s="478"/>
      <c r="AK995" s="479"/>
      <c r="AL995" s="480"/>
      <c r="AM995" s="474"/>
      <c r="AN995" s="481"/>
      <c r="AO995" s="474"/>
      <c r="AP995" s="476"/>
      <c r="AQ995" s="482"/>
      <c r="AR995" s="478"/>
      <c r="AS995" s="478"/>
      <c r="AT995" s="476"/>
      <c r="AU995" s="482"/>
      <c r="AV995" s="478"/>
      <c r="AW995" s="483"/>
      <c r="AX995" s="476"/>
      <c r="AY995" s="482"/>
      <c r="AZ995" s="478"/>
      <c r="BA995" s="484"/>
      <c r="BB995" s="474"/>
      <c r="BC995" s="485"/>
      <c r="BD995" s="485"/>
      <c r="BG995" s="487"/>
    </row>
    <row r="996" spans="1:59" s="486" customFormat="1" ht="18" customHeight="1" x14ac:dyDescent="0.2">
      <c r="A996" s="1368" t="str">
        <f t="shared" si="730"/>
        <v>PANGEAN - BATAS PELALAWAN2018</v>
      </c>
      <c r="B996" s="687"/>
      <c r="C996" s="463"/>
      <c r="D996" s="489"/>
      <c r="E996" s="465"/>
      <c r="F996" s="466">
        <v>2018</v>
      </c>
      <c r="G996" s="620">
        <v>0</v>
      </c>
      <c r="H996" s="464">
        <f t="shared" si="731"/>
        <v>9</v>
      </c>
      <c r="I996" s="560"/>
      <c r="J996" s="468">
        <f t="shared" si="732"/>
        <v>2026</v>
      </c>
      <c r="K996" s="490">
        <f t="shared" si="733"/>
        <v>0</v>
      </c>
      <c r="L996" s="469">
        <f t="shared" si="734"/>
        <v>0</v>
      </c>
      <c r="M996" s="683">
        <f t="shared" si="735"/>
        <v>0</v>
      </c>
      <c r="N996" s="470">
        <f t="shared" si="736"/>
        <v>9</v>
      </c>
      <c r="O996" s="468">
        <f t="shared" si="737"/>
        <v>2026</v>
      </c>
      <c r="P996" s="616">
        <f t="shared" si="738"/>
        <v>20194907869.756294</v>
      </c>
      <c r="Q996" s="472">
        <f t="shared" si="739"/>
        <v>20194907869.756294</v>
      </c>
      <c r="R996" s="472">
        <f t="shared" si="740"/>
        <v>2243878652.1951437</v>
      </c>
      <c r="S996" s="1189">
        <f t="shared" si="741"/>
        <v>2018</v>
      </c>
      <c r="T996" s="470">
        <f t="shared" si="742"/>
        <v>1</v>
      </c>
      <c r="U996" s="612">
        <f t="shared" si="743"/>
        <v>2243878652.1951437</v>
      </c>
      <c r="V996" s="464">
        <f t="shared" si="744"/>
        <v>2018</v>
      </c>
      <c r="W996" s="612">
        <f t="shared" si="745"/>
        <v>17951029217.56115</v>
      </c>
      <c r="X996" s="473"/>
      <c r="Y996" s="478"/>
      <c r="Z996" s="449"/>
      <c r="AA996" s="573"/>
      <c r="AB996" s="476"/>
      <c r="AC996" s="476"/>
      <c r="AD996" s="568"/>
      <c r="AE996" s="476"/>
      <c r="AF996" s="568"/>
      <c r="AG996" s="476"/>
      <c r="AH996" s="476"/>
      <c r="AI996" s="477"/>
      <c r="AJ996" s="478"/>
      <c r="AK996" s="479"/>
      <c r="AL996" s="480"/>
      <c r="AM996" s="474"/>
      <c r="AN996" s="481"/>
      <c r="AO996" s="474"/>
      <c r="AP996" s="476"/>
      <c r="AQ996" s="482"/>
      <c r="AR996" s="478"/>
      <c r="AS996" s="478"/>
      <c r="AT996" s="476"/>
      <c r="AU996" s="482"/>
      <c r="AV996" s="478"/>
      <c r="AW996" s="483"/>
      <c r="AX996" s="476"/>
      <c r="AY996" s="482"/>
      <c r="AZ996" s="478"/>
      <c r="BA996" s="484"/>
      <c r="BB996" s="474"/>
      <c r="BC996" s="485"/>
      <c r="BD996" s="485"/>
      <c r="BG996" s="487"/>
    </row>
    <row r="997" spans="1:59" s="486" customFormat="1" ht="18" customHeight="1" x14ac:dyDescent="0.2">
      <c r="A997" s="1368" t="str">
        <f t="shared" si="730"/>
        <v>PANGEAN - BATAS PELALAWAN2019</v>
      </c>
      <c r="B997" s="687"/>
      <c r="C997" s="463"/>
      <c r="D997" s="489"/>
      <c r="E997" s="465"/>
      <c r="F997" s="466">
        <v>2019</v>
      </c>
      <c r="G997" s="620">
        <v>0</v>
      </c>
      <c r="H997" s="464">
        <f>IF(N996-(F997-F996)&lt;=0,0,(N996-(F997-F996)))</f>
        <v>8</v>
      </c>
      <c r="I997" s="560"/>
      <c r="J997" s="468">
        <f>F997+N997-1</f>
        <v>2026</v>
      </c>
      <c r="K997" s="490">
        <f>IF(G997=0,0,IF(H997=10,100%,G997/W996))</f>
        <v>0</v>
      </c>
      <c r="L997" s="469">
        <f>IF(K997=0%,0,IF(K997&lt;=30%,2,IF(K997&lt;=60%,5,10)))</f>
        <v>0</v>
      </c>
      <c r="M997" s="683">
        <f>IF(OR(AND(ISBLANK(E997),ISBLANK(G997)),ISTEXT(E997),ISTEXT(G997)),"",IF(H997+L997&gt;$H$8,$H$8-H997,L997))</f>
        <v>0</v>
      </c>
      <c r="N997" s="470">
        <f>IF(OR(AND(ISBLANK(F997),ISBLANK(G997)),ISTEXT(F997),ISTEXT(G997)),"",H997+M997)</f>
        <v>8</v>
      </c>
      <c r="O997" s="468">
        <f>F997+N997-1</f>
        <v>2026</v>
      </c>
      <c r="P997" s="616">
        <f>W996</f>
        <v>17951029217.56115</v>
      </c>
      <c r="Q997" s="472">
        <f>P997+G997</f>
        <v>17951029217.56115</v>
      </c>
      <c r="R997" s="472">
        <f>IF(L997=0,R996,Q997/N997)</f>
        <v>2243878652.1951437</v>
      </c>
      <c r="S997" s="1189">
        <f>F997</f>
        <v>2019</v>
      </c>
      <c r="T997" s="470">
        <f>S997-S996</f>
        <v>1</v>
      </c>
      <c r="U997" s="612">
        <f>R997*T997</f>
        <v>2243878652.1951437</v>
      </c>
      <c r="V997" s="464">
        <f>F997</f>
        <v>2019</v>
      </c>
      <c r="W997" s="612">
        <f>IF(OR(AND(ISBLANK(E997),ISBLANK(G997)),ISTEXT(E997),ISTEXT(G997)),"",Q997-U997)</f>
        <v>15707150565.366005</v>
      </c>
      <c r="X997" s="473"/>
      <c r="Y997" s="478"/>
      <c r="Z997" s="449"/>
      <c r="AA997" s="573"/>
      <c r="AB997" s="476"/>
      <c r="AC997" s="476"/>
      <c r="AD997" s="568"/>
      <c r="AE997" s="476"/>
      <c r="AF997" s="568"/>
      <c r="AG997" s="476"/>
      <c r="AH997" s="476"/>
      <c r="AI997" s="477"/>
      <c r="AJ997" s="478"/>
      <c r="AK997" s="479"/>
      <c r="AL997" s="480"/>
      <c r="AM997" s="474"/>
      <c r="AN997" s="481"/>
      <c r="AO997" s="474"/>
      <c r="AP997" s="476"/>
      <c r="AQ997" s="482"/>
      <c r="AR997" s="478"/>
      <c r="AS997" s="478"/>
      <c r="AT997" s="476"/>
      <c r="AU997" s="482"/>
      <c r="AV997" s="478"/>
      <c r="AW997" s="483"/>
      <c r="AX997" s="476"/>
      <c r="AY997" s="482"/>
      <c r="AZ997" s="478"/>
      <c r="BA997" s="484"/>
      <c r="BB997" s="474"/>
      <c r="BC997" s="485"/>
      <c r="BD997" s="485"/>
      <c r="BG997" s="487"/>
    </row>
    <row r="998" spans="1:59" s="486" customFormat="1" ht="18" customHeight="1" x14ac:dyDescent="0.2">
      <c r="A998" s="1368" t="str">
        <f>LEFT(D998,8)</f>
        <v/>
      </c>
      <c r="B998" s="687"/>
      <c r="C998" s="463"/>
      <c r="D998" s="489"/>
      <c r="E998" s="465"/>
      <c r="F998" s="466"/>
      <c r="G998" s="620"/>
      <c r="H998" s="557"/>
      <c r="I998" s="467"/>
      <c r="J998" s="468"/>
      <c r="K998" s="490"/>
      <c r="L998" s="469"/>
      <c r="M998" s="683"/>
      <c r="N998" s="470"/>
      <c r="O998" s="468"/>
      <c r="P998" s="616"/>
      <c r="Q998" s="472"/>
      <c r="R998" s="472"/>
      <c r="S998" s="634"/>
      <c r="T998" s="470"/>
      <c r="U998" s="612"/>
      <c r="V998" s="464"/>
      <c r="W998" s="612"/>
      <c r="X998" s="473"/>
      <c r="Y998" s="497"/>
      <c r="Z998" s="449"/>
      <c r="AA998" s="497"/>
      <c r="AB998" s="476"/>
      <c r="AC998" s="497"/>
      <c r="AD998" s="568"/>
      <c r="AE998" s="476"/>
      <c r="AF998" s="568"/>
      <c r="AG998" s="476"/>
      <c r="AH998" s="476"/>
      <c r="AI998" s="477"/>
      <c r="AJ998" s="478"/>
      <c r="AK998" s="479"/>
      <c r="AL998" s="480"/>
      <c r="AM998" s="474"/>
      <c r="AN998" s="481"/>
      <c r="AO998" s="474"/>
      <c r="AP998" s="476"/>
      <c r="AQ998" s="482"/>
      <c r="AR998" s="478"/>
      <c r="AS998" s="478"/>
      <c r="AT998" s="476"/>
      <c r="AU998" s="482"/>
      <c r="AV998" s="478"/>
      <c r="AW998" s="483"/>
      <c r="AX998" s="476"/>
      <c r="AY998" s="482"/>
      <c r="AZ998" s="478"/>
      <c r="BA998" s="484"/>
      <c r="BB998" s="474"/>
      <c r="BC998" s="485"/>
      <c r="BD998" s="485"/>
      <c r="BG998" s="487"/>
    </row>
    <row r="999" spans="1:59" s="526" customFormat="1" ht="18" customHeight="1" x14ac:dyDescent="0.2">
      <c r="A999" s="1370" t="s">
        <v>4184</v>
      </c>
      <c r="B999" s="1956" t="s">
        <v>4184</v>
      </c>
      <c r="C999" s="1957"/>
      <c r="D999" s="1957"/>
      <c r="E999" s="1957"/>
      <c r="F999" s="1958"/>
      <c r="G999" s="624">
        <f>SUM(G981:G998)</f>
        <v>34895750294.700531</v>
      </c>
      <c r="H999" s="505"/>
      <c r="I999" s="506"/>
      <c r="J999" s="507"/>
      <c r="K999" s="507"/>
      <c r="L999" s="505"/>
      <c r="M999" s="684"/>
      <c r="N999" s="508"/>
      <c r="O999" s="507"/>
      <c r="P999" s="749"/>
      <c r="Q999" s="510"/>
      <c r="R999" s="511"/>
      <c r="S999" s="512"/>
      <c r="T999" s="512"/>
      <c r="U999" s="610">
        <f>SUM(U981:U998)</f>
        <v>19188599729.33453</v>
      </c>
      <c r="V999" s="513"/>
      <c r="W999" s="610">
        <f>G999-U999</f>
        <v>15707150565.366001</v>
      </c>
      <c r="X999" s="514"/>
      <c r="Y999" s="515"/>
      <c r="Z999" s="515"/>
      <c r="AA999" s="515"/>
      <c r="AB999" s="515"/>
      <c r="AC999" s="515"/>
      <c r="AD999" s="570"/>
      <c r="AE999" s="515"/>
      <c r="AF999" s="570">
        <v>16913547102.76627</v>
      </c>
      <c r="AG999" s="515"/>
      <c r="AH999" s="515"/>
      <c r="AI999" s="516"/>
      <c r="AJ999" s="517"/>
      <c r="AK999" s="518"/>
      <c r="AL999" s="519"/>
      <c r="AM999" s="520"/>
      <c r="AN999" s="521"/>
      <c r="AO999" s="520"/>
      <c r="AP999" s="515"/>
      <c r="AQ999" s="522"/>
      <c r="AR999" s="517"/>
      <c r="AS999" s="517"/>
      <c r="AT999" s="515"/>
      <c r="AU999" s="522"/>
      <c r="AV999" s="517"/>
      <c r="AW999" s="523"/>
      <c r="AX999" s="515"/>
      <c r="AY999" s="522"/>
      <c r="AZ999" s="517"/>
      <c r="BA999" s="524"/>
      <c r="BB999" s="520"/>
      <c r="BC999" s="525"/>
      <c r="BD999" s="525"/>
      <c r="BG999" s="527"/>
    </row>
    <row r="1002" spans="1:59" s="422" customFormat="1" ht="18" customHeight="1" x14ac:dyDescent="0.2">
      <c r="A1002" s="1376">
        <f>C1002</f>
        <v>165</v>
      </c>
      <c r="B1002" s="742" t="s">
        <v>4187</v>
      </c>
      <c r="C1002" s="556">
        <v>165</v>
      </c>
      <c r="D1002" s="553" t="str">
        <f>VLOOKUP(C1002,RUAS,2,FALSE)</f>
        <v>SAKO - TRANS SKP II</v>
      </c>
      <c r="E1002" s="553"/>
      <c r="F1002" s="421"/>
      <c r="G1002" s="611"/>
      <c r="I1002" s="423"/>
      <c r="J1002" s="424"/>
      <c r="K1002" s="424"/>
      <c r="M1002" s="680"/>
      <c r="P1002" s="611"/>
      <c r="U1002" s="611"/>
      <c r="W1002" s="611"/>
      <c r="Y1002" s="425"/>
      <c r="Z1002" s="425"/>
      <c r="AA1002" s="425"/>
      <c r="AB1002" s="425"/>
      <c r="AC1002" s="425"/>
      <c r="AD1002" s="563"/>
      <c r="AE1002" s="425"/>
      <c r="AF1002" s="563"/>
      <c r="AG1002" s="425"/>
      <c r="AH1002" s="425"/>
      <c r="AI1002" s="425"/>
      <c r="AJ1002" s="425"/>
      <c r="AK1002" s="425"/>
      <c r="AL1002" s="425"/>
      <c r="AM1002" s="425"/>
      <c r="AN1002" s="425"/>
      <c r="AO1002" s="425"/>
      <c r="AP1002" s="425"/>
      <c r="AQ1002" s="425"/>
      <c r="AR1002" s="425"/>
      <c r="AS1002" s="425"/>
      <c r="AT1002" s="425"/>
      <c r="AU1002" s="425"/>
      <c r="AV1002" s="425"/>
      <c r="AW1002" s="425"/>
      <c r="AX1002" s="425"/>
      <c r="AY1002" s="425"/>
      <c r="AZ1002" s="425"/>
      <c r="BA1002" s="425"/>
      <c r="BB1002" s="425"/>
    </row>
    <row r="1003" spans="1:59" s="431" customFormat="1" ht="18" customHeight="1" x14ac:dyDescent="0.2">
      <c r="A1003" s="1367"/>
      <c r="B1003" s="1968" t="s">
        <v>5</v>
      </c>
      <c r="C1003" s="1968" t="s">
        <v>2280</v>
      </c>
      <c r="D1003" s="1968" t="s">
        <v>4157</v>
      </c>
      <c r="E1003" s="1968" t="s">
        <v>4158</v>
      </c>
      <c r="F1003" s="1968"/>
      <c r="G1003" s="1969" t="s">
        <v>4159</v>
      </c>
      <c r="H1003" s="1968" t="s">
        <v>4160</v>
      </c>
      <c r="I1003" s="1968"/>
      <c r="J1003" s="1968" t="s">
        <v>4185</v>
      </c>
      <c r="K1003" s="1964" t="s">
        <v>4162</v>
      </c>
      <c r="L1003" s="1968" t="s">
        <v>4163</v>
      </c>
      <c r="M1003" s="1971" t="s">
        <v>4164</v>
      </c>
      <c r="N1003" s="1962" t="s">
        <v>4165</v>
      </c>
      <c r="O1003" s="1968" t="s">
        <v>4166</v>
      </c>
      <c r="P1003" s="1972" t="s">
        <v>4167</v>
      </c>
      <c r="Q1003" s="1973"/>
      <c r="R1003" s="636" t="s">
        <v>4186</v>
      </c>
      <c r="S1003" s="1972" t="s">
        <v>4169</v>
      </c>
      <c r="T1003" s="1974"/>
      <c r="U1003" s="1973"/>
      <c r="V1003" s="1975" t="s">
        <v>4170</v>
      </c>
      <c r="W1003" s="1975"/>
      <c r="X1003" s="1960" t="s">
        <v>4171</v>
      </c>
      <c r="Y1003" s="1959"/>
      <c r="Z1003" s="633"/>
      <c r="AA1003" s="426"/>
      <c r="AB1003" s="426"/>
      <c r="AC1003" s="426"/>
      <c r="AD1003" s="564"/>
      <c r="AE1003" s="426"/>
      <c r="AF1003" s="564"/>
      <c r="AG1003" s="426"/>
      <c r="AH1003" s="426"/>
      <c r="AI1003" s="427"/>
      <c r="AJ1003" s="427"/>
      <c r="AK1003" s="427"/>
      <c r="AL1003" s="427"/>
      <c r="AM1003" s="428"/>
      <c r="AN1003" s="427"/>
      <c r="AO1003" s="427"/>
      <c r="AP1003" s="426"/>
      <c r="AQ1003" s="427"/>
      <c r="AR1003" s="427"/>
      <c r="AS1003" s="427"/>
      <c r="AT1003" s="426"/>
      <c r="AU1003" s="427"/>
      <c r="AV1003" s="427"/>
      <c r="AW1003" s="427"/>
      <c r="AX1003" s="426"/>
      <c r="AY1003" s="427"/>
      <c r="AZ1003" s="427"/>
      <c r="BA1003" s="427"/>
      <c r="BB1003" s="429"/>
      <c r="BC1003" s="430"/>
      <c r="BD1003" s="430"/>
    </row>
    <row r="1004" spans="1:59" s="431" customFormat="1" ht="18" customHeight="1" x14ac:dyDescent="0.2">
      <c r="A1004" s="1367"/>
      <c r="B1004" s="1968"/>
      <c r="C1004" s="1968"/>
      <c r="D1004" s="1968"/>
      <c r="E1004" s="1968"/>
      <c r="F1004" s="1968"/>
      <c r="G1004" s="1969"/>
      <c r="H1004" s="1968"/>
      <c r="I1004" s="1968"/>
      <c r="J1004" s="1968"/>
      <c r="K1004" s="1970"/>
      <c r="L1004" s="1968"/>
      <c r="M1004" s="1971"/>
      <c r="N1004" s="1963"/>
      <c r="O1004" s="1968"/>
      <c r="P1004" s="2037" t="s">
        <v>4172</v>
      </c>
      <c r="Q1004" s="1960" t="s">
        <v>4173</v>
      </c>
      <c r="R1004" s="1962" t="s">
        <v>4159</v>
      </c>
      <c r="S1004" s="1962" t="s">
        <v>4174</v>
      </c>
      <c r="T1004" s="1964" t="s">
        <v>4175</v>
      </c>
      <c r="U1004" s="1966" t="s">
        <v>4159</v>
      </c>
      <c r="V1004" s="1975"/>
      <c r="W1004" s="1975"/>
      <c r="X1004" s="1976"/>
      <c r="Y1004" s="1959"/>
      <c r="Z1004" s="633"/>
      <c r="AA1004" s="426"/>
      <c r="AB1004" s="426"/>
      <c r="AC1004" s="426"/>
      <c r="AD1004" s="564"/>
      <c r="AE1004" s="426"/>
      <c r="AF1004" s="564"/>
      <c r="AG1004" s="426"/>
      <c r="AH1004" s="426"/>
      <c r="AI1004" s="427"/>
      <c r="AJ1004" s="427"/>
      <c r="AK1004" s="426"/>
      <c r="AL1004" s="427"/>
      <c r="AM1004" s="428"/>
      <c r="AN1004" s="427"/>
      <c r="AO1004" s="427"/>
      <c r="AP1004" s="432"/>
      <c r="AQ1004" s="427"/>
      <c r="AR1004" s="427"/>
      <c r="AS1004" s="427"/>
      <c r="AT1004" s="432"/>
      <c r="AU1004" s="427"/>
      <c r="AV1004" s="427"/>
      <c r="AW1004" s="427"/>
      <c r="AX1004" s="432"/>
      <c r="AY1004" s="427"/>
      <c r="AZ1004" s="427"/>
      <c r="BA1004" s="427"/>
      <c r="BB1004" s="429"/>
      <c r="BC1004" s="430"/>
      <c r="BD1004" s="430"/>
    </row>
    <row r="1005" spans="1:59" s="431" customFormat="1" ht="18" customHeight="1" x14ac:dyDescent="0.2">
      <c r="A1005" s="1367"/>
      <c r="B1005" s="1968"/>
      <c r="C1005" s="1968"/>
      <c r="D1005" s="1968"/>
      <c r="E1005" s="433" t="s">
        <v>4176</v>
      </c>
      <c r="F1005" s="434" t="s">
        <v>2288</v>
      </c>
      <c r="G1005" s="1969"/>
      <c r="H1005" s="635" t="s">
        <v>2288</v>
      </c>
      <c r="I1005" s="635" t="s">
        <v>4177</v>
      </c>
      <c r="J1005" s="1968"/>
      <c r="K1005" s="1965"/>
      <c r="L1005" s="435" t="s">
        <v>2288</v>
      </c>
      <c r="M1005" s="681" t="s">
        <v>2288</v>
      </c>
      <c r="N1005" s="635" t="s">
        <v>2288</v>
      </c>
      <c r="O1005" s="1968"/>
      <c r="P1005" s="2038"/>
      <c r="Q1005" s="1961"/>
      <c r="R1005" s="1963"/>
      <c r="S1005" s="1963"/>
      <c r="T1005" s="1965"/>
      <c r="U1005" s="1967"/>
      <c r="V1005" s="635" t="s">
        <v>4178</v>
      </c>
      <c r="W1005" s="637" t="s">
        <v>4159</v>
      </c>
      <c r="X1005" s="1961"/>
      <c r="Y1005" s="436"/>
      <c r="Z1005" s="436"/>
      <c r="AA1005" s="426"/>
      <c r="AB1005" s="426"/>
      <c r="AC1005" s="426"/>
      <c r="AD1005" s="564"/>
      <c r="AE1005" s="426"/>
      <c r="AF1005" s="564"/>
      <c r="AG1005" s="426"/>
      <c r="AH1005" s="426"/>
      <c r="AI1005" s="427"/>
      <c r="AJ1005" s="432"/>
      <c r="AK1005" s="432"/>
      <c r="AL1005" s="427"/>
      <c r="AM1005" s="428"/>
      <c r="AN1005" s="432"/>
      <c r="AO1005" s="427"/>
      <c r="AP1005" s="432"/>
      <c r="AQ1005" s="432"/>
      <c r="AR1005" s="427"/>
      <c r="AS1005" s="427"/>
      <c r="AT1005" s="432"/>
      <c r="AU1005" s="432"/>
      <c r="AV1005" s="427"/>
      <c r="AW1005" s="427"/>
      <c r="AX1005" s="432"/>
      <c r="AY1005" s="432"/>
      <c r="AZ1005" s="427"/>
      <c r="BA1005" s="427"/>
      <c r="BB1005" s="429"/>
      <c r="BC1005" s="430"/>
      <c r="BD1005" s="430"/>
    </row>
    <row r="1006" spans="1:59" s="461" customFormat="1" ht="18" customHeight="1" x14ac:dyDescent="0.2">
      <c r="A1006" s="1368" t="str">
        <f>$D$1002&amp;S1006</f>
        <v>SAKO - TRANS SKP II2001</v>
      </c>
      <c r="B1006" s="1373">
        <v>1</v>
      </c>
      <c r="C1006" s="532" t="s">
        <v>529</v>
      </c>
      <c r="D1006" s="437" t="s">
        <v>2494</v>
      </c>
      <c r="E1006" s="438"/>
      <c r="F1006" s="439">
        <v>2001</v>
      </c>
      <c r="G1006" s="623">
        <f>4200000000+4992000000</f>
        <v>9192000000</v>
      </c>
      <c r="H1006" s="440">
        <f>VLOOKUP(LEFT(D1006,8),UE,4)</f>
        <v>10</v>
      </c>
      <c r="I1006" s="441"/>
      <c r="J1006" s="442">
        <f>F1006+N1006-1</f>
        <v>2010</v>
      </c>
      <c r="K1006" s="443"/>
      <c r="L1006" s="440"/>
      <c r="M1006" s="746">
        <f>IF(H1006+L1006&gt;$H1006,$H1006-H1006,L1006)</f>
        <v>0</v>
      </c>
      <c r="N1006" s="444">
        <f>H1006+M1006</f>
        <v>10</v>
      </c>
      <c r="O1006" s="442">
        <f>F1006+N1006-1</f>
        <v>2010</v>
      </c>
      <c r="P1006" s="617">
        <f>G1006</f>
        <v>9192000000</v>
      </c>
      <c r="Q1006" s="445">
        <v>0</v>
      </c>
      <c r="R1006" s="445">
        <f>P1006/N1006</f>
        <v>919200000</v>
      </c>
      <c r="S1006" s="446">
        <f>F1006</f>
        <v>2001</v>
      </c>
      <c r="T1006" s="447">
        <v>1</v>
      </c>
      <c r="U1006" s="613">
        <f>R1006*T1006</f>
        <v>919200000</v>
      </c>
      <c r="V1006" s="442">
        <f>F1006</f>
        <v>2001</v>
      </c>
      <c r="W1006" s="617">
        <f>IF(OR(AND(ISBLANK(E1006),ISBLANK(G1006)),ISTEXT(E1006),ISTEXT(G1006)),"",G1006-R1006)</f>
        <v>8272800000</v>
      </c>
      <c r="X1006" s="448"/>
      <c r="Y1006" s="449"/>
      <c r="Z1006" s="449"/>
      <c r="AA1006" s="693"/>
      <c r="AB1006" s="452"/>
      <c r="AC1006" s="452"/>
      <c r="AD1006" s="571"/>
      <c r="AE1006" s="452"/>
      <c r="AF1006" s="571"/>
      <c r="AG1006" s="452"/>
      <c r="AH1006" s="452"/>
      <c r="AI1006" s="453"/>
      <c r="AJ1006" s="449"/>
      <c r="AK1006" s="453"/>
      <c r="AL1006" s="454"/>
      <c r="AM1006" s="455"/>
      <c r="AN1006" s="456"/>
      <c r="AO1006" s="455"/>
      <c r="AP1006" s="452"/>
      <c r="AQ1006" s="457"/>
      <c r="AR1006" s="449"/>
      <c r="AS1006" s="449"/>
      <c r="AT1006" s="452"/>
      <c r="AU1006" s="457"/>
      <c r="AV1006" s="449"/>
      <c r="AW1006" s="458"/>
      <c r="AX1006" s="452"/>
      <c r="AY1006" s="457"/>
      <c r="AZ1006" s="449"/>
      <c r="BA1006" s="459"/>
      <c r="BB1006" s="455"/>
      <c r="BC1006" s="460"/>
      <c r="BD1006" s="460"/>
      <c r="BG1006" s="462"/>
    </row>
    <row r="1007" spans="1:59" s="461" customFormat="1" ht="18" customHeight="1" x14ac:dyDescent="0.2">
      <c r="A1007" s="1368" t="str">
        <f t="shared" ref="A1007:A1024" si="746">$D$1002&amp;S1007</f>
        <v>SAKO - TRANS SKP II2001</v>
      </c>
      <c r="B1007" s="1373"/>
      <c r="C1007" s="488" t="s">
        <v>529</v>
      </c>
      <c r="D1007" s="489"/>
      <c r="E1007" s="558"/>
      <c r="F1007" s="559">
        <v>2001</v>
      </c>
      <c r="G1007" s="619">
        <v>0</v>
      </c>
      <c r="H1007" s="464">
        <f>IF(N1006-(F1007-F1006)&lt;=0,0,(N1006-(F1007-F1006)))</f>
        <v>10</v>
      </c>
      <c r="I1007" s="560"/>
      <c r="J1007" s="468">
        <f>F1007+N1007-1</f>
        <v>2010</v>
      </c>
      <c r="K1007" s="490">
        <f>IF(G1007=0,0,IF(H1007=10,100%,G1007/W1006))</f>
        <v>0</v>
      </c>
      <c r="L1007" s="469">
        <f>IF(K1007=0%,0,IF(K1007&lt;=30%,2,IF(K1007&lt;=60%,5,10)))</f>
        <v>0</v>
      </c>
      <c r="M1007" s="683">
        <f>IF(OR(AND(ISBLANK(E1007),ISBLANK(G1007)),ISTEXT(E1007),ISTEXT(G1007)),"",IF(H1007+L1007&gt;$H$1006,$H$1006-H1007,L1007))</f>
        <v>0</v>
      </c>
      <c r="N1007" s="470">
        <f>IF(OR(AND(ISBLANK(F1007),ISBLANK(G1007)),ISTEXT(F1007),ISTEXT(G1007)),"",H1007+M1007)</f>
        <v>10</v>
      </c>
      <c r="O1007" s="468">
        <f>F1007+N1007-1</f>
        <v>2010</v>
      </c>
      <c r="P1007" s="616">
        <f>W1006</f>
        <v>8272800000</v>
      </c>
      <c r="Q1007" s="472">
        <f>P1007+G1007</f>
        <v>8272800000</v>
      </c>
      <c r="R1007" s="472">
        <f>IF(L1007=0,R1006,Q1007/N1007)</f>
        <v>919200000</v>
      </c>
      <c r="S1007" s="634">
        <f>F1007</f>
        <v>2001</v>
      </c>
      <c r="T1007" s="470">
        <f>S1007-S1006</f>
        <v>0</v>
      </c>
      <c r="U1007" s="612">
        <f>R1007*T1007</f>
        <v>0</v>
      </c>
      <c r="V1007" s="464">
        <f>F1007</f>
        <v>2001</v>
      </c>
      <c r="W1007" s="612">
        <f>IF(OR(AND(ISBLANK(E1007),ISBLANK(G1007)),ISTEXT(E1007),ISTEXT(G1007)),"",Q1007-U1007)</f>
        <v>8272800000</v>
      </c>
      <c r="X1007" s="561"/>
      <c r="Y1007" s="449"/>
      <c r="Z1007" s="449"/>
      <c r="AA1007" s="694"/>
      <c r="AB1007" s="692"/>
      <c r="AC1007" s="692"/>
      <c r="AD1007" s="695"/>
      <c r="AE1007" s="452"/>
      <c r="AF1007" s="571"/>
      <c r="AG1007" s="452"/>
      <c r="AH1007" s="452"/>
      <c r="AI1007" s="453"/>
      <c r="AJ1007" s="449"/>
      <c r="AK1007" s="453"/>
      <c r="AL1007" s="454"/>
      <c r="AM1007" s="455"/>
      <c r="AN1007" s="456"/>
      <c r="AO1007" s="455"/>
      <c r="AP1007" s="452"/>
      <c r="AQ1007" s="457"/>
      <c r="AR1007" s="449"/>
      <c r="AS1007" s="449"/>
      <c r="AT1007" s="452"/>
      <c r="AU1007" s="457"/>
      <c r="AV1007" s="449"/>
      <c r="AW1007" s="458"/>
      <c r="AX1007" s="452"/>
      <c r="AY1007" s="457"/>
      <c r="AZ1007" s="449"/>
      <c r="BA1007" s="459"/>
      <c r="BB1007" s="455"/>
      <c r="BC1007" s="460"/>
      <c r="BD1007" s="460"/>
      <c r="BG1007" s="462"/>
    </row>
    <row r="1008" spans="1:59" s="461" customFormat="1" ht="18" customHeight="1" x14ac:dyDescent="0.2">
      <c r="A1008" s="1368" t="str">
        <f t="shared" si="746"/>
        <v>SAKO - TRANS SKP II2006</v>
      </c>
      <c r="B1008" s="1373"/>
      <c r="C1008" s="488"/>
      <c r="D1008" s="489"/>
      <c r="E1008" s="558"/>
      <c r="F1008" s="559">
        <v>2006</v>
      </c>
      <c r="G1008" s="619">
        <v>0</v>
      </c>
      <c r="H1008" s="464">
        <f t="shared" ref="H1008:H1024" si="747">IF(N1007-(F1008-F1007)&lt;=0,0,(N1007-(F1008-F1007)))</f>
        <v>5</v>
      </c>
      <c r="I1008" s="560"/>
      <c r="J1008" s="468">
        <f t="shared" ref="J1008:J1024" si="748">F1008+N1008-1</f>
        <v>2010</v>
      </c>
      <c r="K1008" s="490">
        <f t="shared" ref="K1008:K1024" si="749">IF(G1008=0,0,IF(H1008=10,100%,G1008/W1007))</f>
        <v>0</v>
      </c>
      <c r="L1008" s="469">
        <f t="shared" ref="L1008:L1024" si="750">IF(K1008=0%,0,IF(K1008&lt;=30%,2,IF(K1008&lt;=60%,5,10)))</f>
        <v>0</v>
      </c>
      <c r="M1008" s="683">
        <f t="shared" ref="M1008:M1024" si="751">IF(OR(AND(ISBLANK(E1008),ISBLANK(G1008)),ISTEXT(E1008),ISTEXT(G1008)),"",IF(H1008+L1008&gt;$H$1006,$H$1006-H1008,L1008))</f>
        <v>0</v>
      </c>
      <c r="N1008" s="470">
        <f t="shared" ref="N1008:N1024" si="752">IF(OR(AND(ISBLANK(F1008),ISBLANK(G1008)),ISTEXT(F1008),ISTEXT(G1008)),"",H1008+M1008)</f>
        <v>5</v>
      </c>
      <c r="O1008" s="468">
        <f t="shared" ref="O1008:O1024" si="753">F1008+N1008-1</f>
        <v>2010</v>
      </c>
      <c r="P1008" s="616">
        <f t="shared" ref="P1008:P1024" si="754">W1007</f>
        <v>8272800000</v>
      </c>
      <c r="Q1008" s="472">
        <f t="shared" ref="Q1008:Q1024" si="755">P1008+G1008</f>
        <v>8272800000</v>
      </c>
      <c r="R1008" s="472">
        <f t="shared" ref="R1008:R1024" si="756">IF(L1008=0,R1007,Q1008/N1008)</f>
        <v>919200000</v>
      </c>
      <c r="S1008" s="1189">
        <f t="shared" ref="S1008:S1024" si="757">F1008</f>
        <v>2006</v>
      </c>
      <c r="T1008" s="470">
        <f t="shared" ref="T1008:T1024" si="758">S1008-S1007</f>
        <v>5</v>
      </c>
      <c r="U1008" s="612">
        <f t="shared" ref="U1008:U1024" si="759">R1008*T1008</f>
        <v>4596000000</v>
      </c>
      <c r="V1008" s="464">
        <f t="shared" ref="V1008:V1024" si="760">F1008</f>
        <v>2006</v>
      </c>
      <c r="W1008" s="612">
        <f t="shared" ref="W1008:W1024" si="761">IF(OR(AND(ISBLANK(E1008),ISBLANK(G1008)),ISTEXT(E1008),ISTEXT(G1008)),"",Q1008-U1008)</f>
        <v>3676800000</v>
      </c>
      <c r="X1008" s="561"/>
      <c r="Y1008" s="449"/>
      <c r="Z1008" s="449"/>
      <c r="AA1008" s="554" t="s">
        <v>4179</v>
      </c>
      <c r="AB1008" s="452"/>
      <c r="AC1008" s="452"/>
      <c r="AD1008" s="566"/>
      <c r="AE1008" s="452"/>
      <c r="AF1008" s="571"/>
      <c r="AG1008" s="452"/>
      <c r="AH1008" s="452"/>
      <c r="AI1008" s="453"/>
      <c r="AJ1008" s="449"/>
      <c r="AK1008" s="453"/>
      <c r="AL1008" s="454"/>
      <c r="AM1008" s="455"/>
      <c r="AN1008" s="456"/>
      <c r="AO1008" s="455"/>
      <c r="AP1008" s="452"/>
      <c r="AQ1008" s="457"/>
      <c r="AR1008" s="449"/>
      <c r="AS1008" s="449"/>
      <c r="AT1008" s="452"/>
      <c r="AU1008" s="457"/>
      <c r="AV1008" s="449"/>
      <c r="AW1008" s="458"/>
      <c r="AX1008" s="452"/>
      <c r="AY1008" s="457"/>
      <c r="AZ1008" s="449"/>
      <c r="BA1008" s="459"/>
      <c r="BB1008" s="455"/>
      <c r="BC1008" s="460"/>
      <c r="BD1008" s="460"/>
      <c r="BG1008" s="462"/>
    </row>
    <row r="1009" spans="1:59" s="486" customFormat="1" ht="18" customHeight="1" x14ac:dyDescent="0.2">
      <c r="A1009" s="1368" t="str">
        <f t="shared" si="746"/>
        <v>SAKO - TRANS SKP II2007</v>
      </c>
      <c r="B1009" s="1373"/>
      <c r="C1009" s="488" t="s">
        <v>1172</v>
      </c>
      <c r="D1009" s="489" t="s">
        <v>2494</v>
      </c>
      <c r="E1009" s="558"/>
      <c r="F1009" s="559">
        <v>2007</v>
      </c>
      <c r="G1009" s="619">
        <v>732909624.99453104</v>
      </c>
      <c r="H1009" s="464">
        <f t="shared" si="747"/>
        <v>4</v>
      </c>
      <c r="I1009" s="560"/>
      <c r="J1009" s="468">
        <f t="shared" si="748"/>
        <v>2012</v>
      </c>
      <c r="K1009" s="490">
        <f t="shared" si="749"/>
        <v>0.19933355771174147</v>
      </c>
      <c r="L1009" s="469">
        <f t="shared" si="750"/>
        <v>2</v>
      </c>
      <c r="M1009" s="683">
        <f t="shared" si="751"/>
        <v>2</v>
      </c>
      <c r="N1009" s="470">
        <f t="shared" si="752"/>
        <v>6</v>
      </c>
      <c r="O1009" s="468">
        <f t="shared" si="753"/>
        <v>2012</v>
      </c>
      <c r="P1009" s="616">
        <f t="shared" si="754"/>
        <v>3676800000</v>
      </c>
      <c r="Q1009" s="472">
        <f t="shared" si="755"/>
        <v>4409709624.9945307</v>
      </c>
      <c r="R1009" s="472">
        <f t="shared" si="756"/>
        <v>734951604.16575515</v>
      </c>
      <c r="S1009" s="1189">
        <f t="shared" si="757"/>
        <v>2007</v>
      </c>
      <c r="T1009" s="470">
        <f t="shared" si="758"/>
        <v>1</v>
      </c>
      <c r="U1009" s="612">
        <f t="shared" si="759"/>
        <v>734951604.16575515</v>
      </c>
      <c r="V1009" s="464">
        <f t="shared" si="760"/>
        <v>2007</v>
      </c>
      <c r="W1009" s="612">
        <f t="shared" si="761"/>
        <v>3674758020.8287754</v>
      </c>
      <c r="X1009" s="473"/>
      <c r="Y1009" s="474"/>
      <c r="Z1009" s="449"/>
      <c r="AA1009" s="475"/>
      <c r="AB1009" s="476"/>
      <c r="AC1009" s="476"/>
      <c r="AD1009" s="567"/>
      <c r="AE1009" s="476"/>
      <c r="AF1009" s="568"/>
      <c r="AG1009" s="476"/>
      <c r="AH1009" s="476"/>
      <c r="AI1009" s="477"/>
      <c r="AJ1009" s="478"/>
      <c r="AK1009" s="479"/>
      <c r="AL1009" s="480"/>
      <c r="AM1009" s="474"/>
      <c r="AN1009" s="481"/>
      <c r="AO1009" s="474"/>
      <c r="AP1009" s="476"/>
      <c r="AQ1009" s="482"/>
      <c r="AR1009" s="478"/>
      <c r="AS1009" s="478"/>
      <c r="AT1009" s="476"/>
      <c r="AU1009" s="482"/>
      <c r="AV1009" s="478"/>
      <c r="AW1009" s="483"/>
      <c r="AX1009" s="476"/>
      <c r="AY1009" s="482"/>
      <c r="AZ1009" s="478"/>
      <c r="BA1009" s="484"/>
      <c r="BB1009" s="474"/>
      <c r="BC1009" s="485"/>
      <c r="BD1009" s="485"/>
      <c r="BG1009" s="487"/>
    </row>
    <row r="1010" spans="1:59" s="486" customFormat="1" ht="18" customHeight="1" x14ac:dyDescent="0.2">
      <c r="A1010" s="1368" t="str">
        <f t="shared" si="746"/>
        <v>SAKO - TRANS SKP II2008</v>
      </c>
      <c r="B1010" s="1373"/>
      <c r="C1010" s="488"/>
      <c r="D1010" s="489"/>
      <c r="E1010" s="558"/>
      <c r="F1010" s="559">
        <v>2008</v>
      </c>
      <c r="G1010" s="619">
        <v>0</v>
      </c>
      <c r="H1010" s="464">
        <f t="shared" si="747"/>
        <v>5</v>
      </c>
      <c r="I1010" s="560"/>
      <c r="J1010" s="468">
        <f t="shared" si="748"/>
        <v>2012</v>
      </c>
      <c r="K1010" s="490">
        <f t="shared" si="749"/>
        <v>0</v>
      </c>
      <c r="L1010" s="469">
        <f t="shared" si="750"/>
        <v>0</v>
      </c>
      <c r="M1010" s="683">
        <f t="shared" si="751"/>
        <v>0</v>
      </c>
      <c r="N1010" s="470">
        <f t="shared" si="752"/>
        <v>5</v>
      </c>
      <c r="O1010" s="468">
        <f t="shared" si="753"/>
        <v>2012</v>
      </c>
      <c r="P1010" s="616">
        <f t="shared" si="754"/>
        <v>3674758020.8287754</v>
      </c>
      <c r="Q1010" s="472">
        <f t="shared" si="755"/>
        <v>3674758020.8287754</v>
      </c>
      <c r="R1010" s="472">
        <f t="shared" si="756"/>
        <v>734951604.16575515</v>
      </c>
      <c r="S1010" s="1189">
        <f t="shared" si="757"/>
        <v>2008</v>
      </c>
      <c r="T1010" s="470">
        <f t="shared" si="758"/>
        <v>1</v>
      </c>
      <c r="U1010" s="612">
        <f t="shared" si="759"/>
        <v>734951604.16575515</v>
      </c>
      <c r="V1010" s="464">
        <f t="shared" si="760"/>
        <v>2008</v>
      </c>
      <c r="W1010" s="612">
        <f t="shared" si="761"/>
        <v>2939806416.6630201</v>
      </c>
      <c r="X1010" s="473"/>
      <c r="Y1010" s="474"/>
      <c r="Z1010" s="449"/>
      <c r="AA1010" s="475"/>
      <c r="AB1010" s="476"/>
      <c r="AC1010" s="476"/>
      <c r="AD1010" s="567"/>
      <c r="AE1010" s="476"/>
      <c r="AF1010" s="568"/>
      <c r="AG1010" s="476"/>
      <c r="AH1010" s="476"/>
      <c r="AI1010" s="477"/>
      <c r="AJ1010" s="478"/>
      <c r="AK1010" s="479"/>
      <c r="AL1010" s="480"/>
      <c r="AM1010" s="474"/>
      <c r="AN1010" s="481"/>
      <c r="AO1010" s="474"/>
      <c r="AP1010" s="476"/>
      <c r="AQ1010" s="482"/>
      <c r="AR1010" s="478"/>
      <c r="AS1010" s="478"/>
      <c r="AT1010" s="476"/>
      <c r="AU1010" s="482"/>
      <c r="AV1010" s="478"/>
      <c r="AW1010" s="483"/>
      <c r="AX1010" s="476"/>
      <c r="AY1010" s="482"/>
      <c r="AZ1010" s="478"/>
      <c r="BA1010" s="484"/>
      <c r="BB1010" s="474"/>
      <c r="BC1010" s="485"/>
      <c r="BD1010" s="485"/>
      <c r="BG1010" s="487"/>
    </row>
    <row r="1011" spans="1:59" s="486" customFormat="1" ht="18" customHeight="1" x14ac:dyDescent="0.2">
      <c r="A1011" s="1368" t="str">
        <f t="shared" si="746"/>
        <v>SAKO - TRANS SKP II2009</v>
      </c>
      <c r="B1011" s="1373"/>
      <c r="C1011" s="488"/>
      <c r="D1011" s="489"/>
      <c r="E1011" s="558"/>
      <c r="F1011" s="559">
        <v>2009</v>
      </c>
      <c r="G1011" s="619">
        <v>0</v>
      </c>
      <c r="H1011" s="464">
        <f t="shared" si="747"/>
        <v>4</v>
      </c>
      <c r="I1011" s="560"/>
      <c r="J1011" s="468">
        <f t="shared" si="748"/>
        <v>2012</v>
      </c>
      <c r="K1011" s="490">
        <f t="shared" si="749"/>
        <v>0</v>
      </c>
      <c r="L1011" s="469">
        <f t="shared" si="750"/>
        <v>0</v>
      </c>
      <c r="M1011" s="683">
        <f t="shared" si="751"/>
        <v>0</v>
      </c>
      <c r="N1011" s="470">
        <f t="shared" si="752"/>
        <v>4</v>
      </c>
      <c r="O1011" s="468">
        <f t="shared" si="753"/>
        <v>2012</v>
      </c>
      <c r="P1011" s="616">
        <f t="shared" si="754"/>
        <v>2939806416.6630201</v>
      </c>
      <c r="Q1011" s="472">
        <f t="shared" si="755"/>
        <v>2939806416.6630201</v>
      </c>
      <c r="R1011" s="472">
        <f t="shared" si="756"/>
        <v>734951604.16575515</v>
      </c>
      <c r="S1011" s="1189">
        <f t="shared" si="757"/>
        <v>2009</v>
      </c>
      <c r="T1011" s="470">
        <f t="shared" si="758"/>
        <v>1</v>
      </c>
      <c r="U1011" s="612">
        <f t="shared" si="759"/>
        <v>734951604.16575515</v>
      </c>
      <c r="V1011" s="464">
        <f t="shared" si="760"/>
        <v>2009</v>
      </c>
      <c r="W1011" s="612">
        <f t="shared" si="761"/>
        <v>2204854812.4972649</v>
      </c>
      <c r="X1011" s="473"/>
      <c r="Y1011" s="474"/>
      <c r="Z1011" s="449"/>
      <c r="AA1011" s="475"/>
      <c r="AB1011" s="476"/>
      <c r="AC1011" s="476"/>
      <c r="AD1011" s="567"/>
      <c r="AE1011" s="476"/>
      <c r="AF1011" s="568"/>
      <c r="AG1011" s="476"/>
      <c r="AH1011" s="476"/>
      <c r="AI1011" s="477"/>
      <c r="AJ1011" s="478"/>
      <c r="AK1011" s="479"/>
      <c r="AL1011" s="480"/>
      <c r="AM1011" s="474"/>
      <c r="AN1011" s="481"/>
      <c r="AO1011" s="474"/>
      <c r="AP1011" s="476"/>
      <c r="AQ1011" s="482"/>
      <c r="AR1011" s="478"/>
      <c r="AS1011" s="478"/>
      <c r="AT1011" s="476"/>
      <c r="AU1011" s="482"/>
      <c r="AV1011" s="478"/>
      <c r="AW1011" s="483"/>
      <c r="AX1011" s="476"/>
      <c r="AY1011" s="482"/>
      <c r="AZ1011" s="478"/>
      <c r="BA1011" s="484"/>
      <c r="BB1011" s="474"/>
      <c r="BC1011" s="485"/>
      <c r="BD1011" s="485"/>
      <c r="BG1011" s="487"/>
    </row>
    <row r="1012" spans="1:59" s="486" customFormat="1" ht="18" customHeight="1" x14ac:dyDescent="0.2">
      <c r="A1012" s="1368" t="str">
        <f t="shared" si="746"/>
        <v>SAKO - TRANS SKP II2010</v>
      </c>
      <c r="B1012" s="1373"/>
      <c r="C1012" s="488" t="s">
        <v>5151</v>
      </c>
      <c r="D1012" s="489"/>
      <c r="E1012" s="558"/>
      <c r="F1012" s="559">
        <v>2010</v>
      </c>
      <c r="G1012" s="619">
        <f>1087914426.75015+1053470743.59257</f>
        <v>2141385170.34272</v>
      </c>
      <c r="H1012" s="464">
        <f t="shared" si="747"/>
        <v>3</v>
      </c>
      <c r="I1012" s="560"/>
      <c r="J1012" s="468">
        <f t="shared" si="748"/>
        <v>2019</v>
      </c>
      <c r="K1012" s="490">
        <f t="shared" si="749"/>
        <v>0.97121368636392991</v>
      </c>
      <c r="L1012" s="469">
        <f t="shared" si="750"/>
        <v>10</v>
      </c>
      <c r="M1012" s="683">
        <f t="shared" si="751"/>
        <v>7</v>
      </c>
      <c r="N1012" s="470">
        <f t="shared" si="752"/>
        <v>10</v>
      </c>
      <c r="O1012" s="468">
        <f t="shared" si="753"/>
        <v>2019</v>
      </c>
      <c r="P1012" s="616">
        <f t="shared" si="754"/>
        <v>2204854812.4972649</v>
      </c>
      <c r="Q1012" s="472">
        <f t="shared" si="755"/>
        <v>4346239982.8399849</v>
      </c>
      <c r="R1012" s="472">
        <f t="shared" si="756"/>
        <v>434623998.28399849</v>
      </c>
      <c r="S1012" s="1189">
        <f t="shared" si="757"/>
        <v>2010</v>
      </c>
      <c r="T1012" s="470">
        <f t="shared" si="758"/>
        <v>1</v>
      </c>
      <c r="U1012" s="612">
        <f t="shared" si="759"/>
        <v>434623998.28399849</v>
      </c>
      <c r="V1012" s="464">
        <f t="shared" si="760"/>
        <v>2010</v>
      </c>
      <c r="W1012" s="612">
        <f t="shared" si="761"/>
        <v>3911615984.5559864</v>
      </c>
      <c r="X1012" s="473"/>
      <c r="Y1012" s="474"/>
      <c r="Z1012" s="449"/>
      <c r="AA1012" s="475" t="s">
        <v>4180</v>
      </c>
      <c r="AB1012" s="476"/>
      <c r="AC1012" s="476"/>
      <c r="AD1012" s="567">
        <f>G1027</f>
        <v>26026479571.771793</v>
      </c>
      <c r="AE1012" s="476"/>
      <c r="AF1012" s="568"/>
      <c r="AG1012" s="476"/>
      <c r="AH1012" s="476"/>
      <c r="AI1012" s="477"/>
      <c r="AJ1012" s="478"/>
      <c r="AK1012" s="479"/>
      <c r="AL1012" s="480"/>
      <c r="AM1012" s="474"/>
      <c r="AN1012" s="481"/>
      <c r="AO1012" s="474"/>
      <c r="AP1012" s="476"/>
      <c r="AQ1012" s="482"/>
      <c r="AR1012" s="478"/>
      <c r="AS1012" s="478"/>
      <c r="AT1012" s="476"/>
      <c r="AU1012" s="482"/>
      <c r="AV1012" s="478"/>
      <c r="AW1012" s="483"/>
      <c r="AX1012" s="476"/>
      <c r="AY1012" s="482"/>
      <c r="AZ1012" s="478"/>
      <c r="BA1012" s="484"/>
      <c r="BB1012" s="474"/>
      <c r="BC1012" s="485"/>
      <c r="BD1012" s="485"/>
      <c r="BG1012" s="487"/>
    </row>
    <row r="1013" spans="1:59" s="486" customFormat="1" ht="18" customHeight="1" x14ac:dyDescent="0.2">
      <c r="A1013" s="1368" t="str">
        <f t="shared" si="746"/>
        <v>SAKO - TRANS SKP II2010</v>
      </c>
      <c r="B1013" s="1373"/>
      <c r="C1013" s="488" t="s">
        <v>5152</v>
      </c>
      <c r="D1013" s="489"/>
      <c r="E1013" s="558"/>
      <c r="F1013" s="559">
        <v>2010</v>
      </c>
      <c r="G1013" s="619">
        <v>0</v>
      </c>
      <c r="H1013" s="464">
        <f t="shared" si="747"/>
        <v>10</v>
      </c>
      <c r="I1013" s="560"/>
      <c r="J1013" s="468">
        <f t="shared" si="748"/>
        <v>2019</v>
      </c>
      <c r="K1013" s="490">
        <f t="shared" si="749"/>
        <v>0</v>
      </c>
      <c r="L1013" s="469">
        <f t="shared" si="750"/>
        <v>0</v>
      </c>
      <c r="M1013" s="683">
        <f t="shared" si="751"/>
        <v>0</v>
      </c>
      <c r="N1013" s="470">
        <f t="shared" si="752"/>
        <v>10</v>
      </c>
      <c r="O1013" s="468">
        <f t="shared" si="753"/>
        <v>2019</v>
      </c>
      <c r="P1013" s="616">
        <f t="shared" si="754"/>
        <v>3911615984.5559864</v>
      </c>
      <c r="Q1013" s="472">
        <f t="shared" si="755"/>
        <v>3911615984.5559864</v>
      </c>
      <c r="R1013" s="472">
        <f t="shared" si="756"/>
        <v>434623998.28399849</v>
      </c>
      <c r="S1013" s="1189">
        <f t="shared" si="757"/>
        <v>2010</v>
      </c>
      <c r="T1013" s="470">
        <f t="shared" si="758"/>
        <v>0</v>
      </c>
      <c r="U1013" s="612">
        <f t="shared" si="759"/>
        <v>0</v>
      </c>
      <c r="V1013" s="464">
        <f t="shared" si="760"/>
        <v>2010</v>
      </c>
      <c r="W1013" s="612">
        <f t="shared" si="761"/>
        <v>3911615984.5559864</v>
      </c>
      <c r="X1013" s="473"/>
      <c r="Y1013" s="474"/>
      <c r="Z1013" s="449"/>
      <c r="AA1013" s="475"/>
      <c r="AB1013" s="476"/>
      <c r="AC1013" s="476"/>
      <c r="AD1013" s="567"/>
      <c r="AE1013" s="476"/>
      <c r="AF1013" s="568"/>
      <c r="AG1013" s="476"/>
      <c r="AH1013" s="476"/>
      <c r="AI1013" s="477"/>
      <c r="AJ1013" s="478"/>
      <c r="AK1013" s="479"/>
      <c r="AL1013" s="480"/>
      <c r="AM1013" s="474"/>
      <c r="AN1013" s="481"/>
      <c r="AO1013" s="474"/>
      <c r="AP1013" s="476"/>
      <c r="AQ1013" s="482"/>
      <c r="AR1013" s="478"/>
      <c r="AS1013" s="478"/>
      <c r="AT1013" s="476"/>
      <c r="AU1013" s="482"/>
      <c r="AV1013" s="478"/>
      <c r="AW1013" s="483"/>
      <c r="AX1013" s="476"/>
      <c r="AY1013" s="482"/>
      <c r="AZ1013" s="478"/>
      <c r="BA1013" s="484"/>
      <c r="BB1013" s="474"/>
      <c r="BC1013" s="485"/>
      <c r="BD1013" s="485"/>
      <c r="BG1013" s="487"/>
    </row>
    <row r="1014" spans="1:59" s="486" customFormat="1" ht="18" customHeight="1" x14ac:dyDescent="0.2">
      <c r="A1014" s="1368" t="str">
        <f t="shared" si="746"/>
        <v>SAKO - TRANS SKP II2011</v>
      </c>
      <c r="B1014" s="1373"/>
      <c r="C1014" s="488" t="s">
        <v>1230</v>
      </c>
      <c r="D1014" s="489" t="s">
        <v>2494</v>
      </c>
      <c r="E1014" s="558"/>
      <c r="F1014" s="559">
        <v>2011</v>
      </c>
      <c r="G1014" s="619">
        <f>56964700+1798246935</f>
        <v>1855211635</v>
      </c>
      <c r="H1014" s="464">
        <f t="shared" si="747"/>
        <v>9</v>
      </c>
      <c r="I1014" s="560"/>
      <c r="J1014" s="468">
        <f t="shared" si="748"/>
        <v>2020</v>
      </c>
      <c r="K1014" s="490">
        <f t="shared" si="749"/>
        <v>0.47428266024191224</v>
      </c>
      <c r="L1014" s="469">
        <f t="shared" si="750"/>
        <v>5</v>
      </c>
      <c r="M1014" s="683">
        <f t="shared" si="751"/>
        <v>1</v>
      </c>
      <c r="N1014" s="470">
        <f t="shared" si="752"/>
        <v>10</v>
      </c>
      <c r="O1014" s="468">
        <f t="shared" si="753"/>
        <v>2020</v>
      </c>
      <c r="P1014" s="616">
        <f t="shared" si="754"/>
        <v>3911615984.5559864</v>
      </c>
      <c r="Q1014" s="472">
        <f t="shared" si="755"/>
        <v>5766827619.5559864</v>
      </c>
      <c r="R1014" s="472">
        <f t="shared" si="756"/>
        <v>576682761.95559859</v>
      </c>
      <c r="S1014" s="1189">
        <f t="shared" si="757"/>
        <v>2011</v>
      </c>
      <c r="T1014" s="470">
        <f t="shared" si="758"/>
        <v>1</v>
      </c>
      <c r="U1014" s="612">
        <f t="shared" si="759"/>
        <v>576682761.95559859</v>
      </c>
      <c r="V1014" s="464">
        <f t="shared" si="760"/>
        <v>2011</v>
      </c>
      <c r="W1014" s="612">
        <f t="shared" si="761"/>
        <v>5190144857.6003876</v>
      </c>
      <c r="X1014" s="473"/>
      <c r="Y1014" s="478"/>
      <c r="Z1014" s="449"/>
      <c r="AA1014" s="475" t="s">
        <v>4181</v>
      </c>
      <c r="AB1014" s="491"/>
      <c r="AC1014" s="491"/>
      <c r="AD1014" s="567">
        <f>U1027</f>
        <v>15175691563.533182</v>
      </c>
      <c r="AE1014" s="491"/>
      <c r="AF1014" s="568"/>
      <c r="AG1014" s="491"/>
      <c r="AH1014" s="491"/>
      <c r="AI1014" s="477"/>
      <c r="AJ1014" s="478"/>
      <c r="AK1014" s="479"/>
      <c r="AL1014" s="480"/>
      <c r="AM1014" s="474"/>
      <c r="AN1014" s="481"/>
      <c r="AO1014" s="474"/>
      <c r="AP1014" s="476"/>
      <c r="AQ1014" s="482"/>
      <c r="AR1014" s="478"/>
      <c r="AS1014" s="478"/>
      <c r="AT1014" s="476"/>
      <c r="AU1014" s="482"/>
      <c r="AV1014" s="478"/>
      <c r="AW1014" s="483"/>
      <c r="AX1014" s="476"/>
      <c r="AY1014" s="482"/>
      <c r="AZ1014" s="478"/>
      <c r="BA1014" s="484"/>
      <c r="BB1014" s="474"/>
      <c r="BC1014" s="485"/>
      <c r="BD1014" s="485"/>
      <c r="BG1014" s="487"/>
    </row>
    <row r="1015" spans="1:59" s="486" customFormat="1" ht="18" customHeight="1" x14ac:dyDescent="0.2">
      <c r="A1015" s="1368" t="str">
        <f t="shared" si="746"/>
        <v>SAKO - TRANS SKP II2011</v>
      </c>
      <c r="B1015" s="1373"/>
      <c r="C1015" s="488" t="s">
        <v>1231</v>
      </c>
      <c r="D1015" s="489" t="s">
        <v>2494</v>
      </c>
      <c r="E1015" s="558"/>
      <c r="F1015" s="559">
        <v>2011</v>
      </c>
      <c r="G1015" s="619">
        <v>0</v>
      </c>
      <c r="H1015" s="464">
        <f t="shared" si="747"/>
        <v>10</v>
      </c>
      <c r="I1015" s="560"/>
      <c r="J1015" s="468">
        <f t="shared" si="748"/>
        <v>2020</v>
      </c>
      <c r="K1015" s="490">
        <f t="shared" si="749"/>
        <v>0</v>
      </c>
      <c r="L1015" s="469">
        <f t="shared" si="750"/>
        <v>0</v>
      </c>
      <c r="M1015" s="683">
        <f t="shared" si="751"/>
        <v>0</v>
      </c>
      <c r="N1015" s="470">
        <f t="shared" si="752"/>
        <v>10</v>
      </c>
      <c r="O1015" s="468">
        <f t="shared" si="753"/>
        <v>2020</v>
      </c>
      <c r="P1015" s="616">
        <f t="shared" si="754"/>
        <v>5190144857.6003876</v>
      </c>
      <c r="Q1015" s="472">
        <f t="shared" si="755"/>
        <v>5190144857.6003876</v>
      </c>
      <c r="R1015" s="472">
        <f t="shared" si="756"/>
        <v>576682761.95559859</v>
      </c>
      <c r="S1015" s="1189">
        <f t="shared" si="757"/>
        <v>2011</v>
      </c>
      <c r="T1015" s="470">
        <f t="shared" si="758"/>
        <v>0</v>
      </c>
      <c r="U1015" s="612">
        <f t="shared" si="759"/>
        <v>0</v>
      </c>
      <c r="V1015" s="464">
        <f t="shared" si="760"/>
        <v>2011</v>
      </c>
      <c r="W1015" s="612">
        <f t="shared" si="761"/>
        <v>5190144857.6003876</v>
      </c>
      <c r="X1015" s="473"/>
      <c r="Y1015" s="478"/>
      <c r="Z1015" s="449"/>
      <c r="AA1015" s="492" t="s">
        <v>4182</v>
      </c>
      <c r="AB1015" s="476"/>
      <c r="AC1015" s="476"/>
      <c r="AD1015" s="567">
        <f>U1027</f>
        <v>15175691563.533182</v>
      </c>
      <c r="AE1015" s="476"/>
      <c r="AF1015" s="568"/>
      <c r="AG1015" s="476"/>
      <c r="AH1015" s="476"/>
      <c r="AI1015" s="477"/>
      <c r="AJ1015" s="478"/>
      <c r="AK1015" s="479"/>
      <c r="AL1015" s="480"/>
      <c r="AM1015" s="474"/>
      <c r="AN1015" s="481"/>
      <c r="AO1015" s="474"/>
      <c r="AP1015" s="476"/>
      <c r="AQ1015" s="482"/>
      <c r="AR1015" s="478"/>
      <c r="AS1015" s="478"/>
      <c r="AT1015" s="476"/>
      <c r="AU1015" s="482"/>
      <c r="AV1015" s="478"/>
      <c r="AW1015" s="483"/>
      <c r="AX1015" s="476"/>
      <c r="AY1015" s="482"/>
      <c r="AZ1015" s="478"/>
      <c r="BA1015" s="484"/>
      <c r="BB1015" s="474"/>
      <c r="BC1015" s="485"/>
      <c r="BD1015" s="485"/>
      <c r="BG1015" s="487"/>
    </row>
    <row r="1016" spans="1:59" s="486" customFormat="1" ht="18" customHeight="1" x14ac:dyDescent="0.2">
      <c r="A1016" s="1368" t="str">
        <f t="shared" si="746"/>
        <v>SAKO - TRANS SKP II2012</v>
      </c>
      <c r="B1016" s="687"/>
      <c r="C1016" s="463" t="s">
        <v>1254</v>
      </c>
      <c r="D1016" s="489" t="s">
        <v>2494</v>
      </c>
      <c r="E1016" s="465"/>
      <c r="F1016" s="466">
        <v>2012</v>
      </c>
      <c r="G1016" s="620">
        <v>1571078911.2345409</v>
      </c>
      <c r="H1016" s="464">
        <f t="shared" si="747"/>
        <v>9</v>
      </c>
      <c r="I1016" s="560"/>
      <c r="J1016" s="468">
        <f t="shared" si="748"/>
        <v>2021</v>
      </c>
      <c r="K1016" s="490">
        <f t="shared" si="749"/>
        <v>0.30270425091004372</v>
      </c>
      <c r="L1016" s="469">
        <f t="shared" si="750"/>
        <v>5</v>
      </c>
      <c r="M1016" s="683">
        <f t="shared" si="751"/>
        <v>1</v>
      </c>
      <c r="N1016" s="470">
        <f t="shared" si="752"/>
        <v>10</v>
      </c>
      <c r="O1016" s="468">
        <f t="shared" si="753"/>
        <v>2021</v>
      </c>
      <c r="P1016" s="616">
        <f t="shared" si="754"/>
        <v>5190144857.6003876</v>
      </c>
      <c r="Q1016" s="472">
        <f t="shared" si="755"/>
        <v>6761223768.8349285</v>
      </c>
      <c r="R1016" s="472">
        <f t="shared" si="756"/>
        <v>676122376.88349283</v>
      </c>
      <c r="S1016" s="1189">
        <f t="shared" si="757"/>
        <v>2012</v>
      </c>
      <c r="T1016" s="470">
        <f t="shared" si="758"/>
        <v>1</v>
      </c>
      <c r="U1016" s="612">
        <f t="shared" si="759"/>
        <v>676122376.88349283</v>
      </c>
      <c r="V1016" s="464">
        <f t="shared" si="760"/>
        <v>2012</v>
      </c>
      <c r="W1016" s="612">
        <f t="shared" si="761"/>
        <v>6085101391.951436</v>
      </c>
      <c r="X1016" s="473"/>
      <c r="Y1016" s="478"/>
      <c r="Z1016" s="449"/>
      <c r="AA1016" s="531" t="s">
        <v>4183</v>
      </c>
      <c r="AB1016" s="496"/>
      <c r="AC1016" s="496"/>
      <c r="AD1016" s="569">
        <f>AD1014-AD1015</f>
        <v>0</v>
      </c>
      <c r="AE1016" s="476"/>
      <c r="AF1016" s="568"/>
      <c r="AG1016" s="476"/>
      <c r="AH1016" s="476"/>
      <c r="AI1016" s="477"/>
      <c r="AJ1016" s="478"/>
      <c r="AK1016" s="479"/>
      <c r="AL1016" s="480"/>
      <c r="AM1016" s="474"/>
      <c r="AN1016" s="481"/>
      <c r="AO1016" s="474"/>
      <c r="AP1016" s="476"/>
      <c r="AQ1016" s="482"/>
      <c r="AR1016" s="478"/>
      <c r="AS1016" s="478"/>
      <c r="AT1016" s="476"/>
      <c r="AU1016" s="482"/>
      <c r="AV1016" s="478"/>
      <c r="AW1016" s="483"/>
      <c r="AX1016" s="476"/>
      <c r="AY1016" s="482"/>
      <c r="AZ1016" s="478"/>
      <c r="BA1016" s="484"/>
      <c r="BB1016" s="474"/>
      <c r="BC1016" s="485"/>
      <c r="BD1016" s="485"/>
      <c r="BG1016" s="487"/>
    </row>
    <row r="1017" spans="1:59" s="486" customFormat="1" ht="18" customHeight="1" x14ac:dyDescent="0.2">
      <c r="A1017" s="1368" t="str">
        <f t="shared" si="746"/>
        <v>SAKO - TRANS SKP II2013</v>
      </c>
      <c r="B1017" s="687"/>
      <c r="C1017" s="463"/>
      <c r="D1017" s="489"/>
      <c r="E1017" s="465"/>
      <c r="F1017" s="466">
        <v>2013</v>
      </c>
      <c r="G1017" s="619">
        <v>0</v>
      </c>
      <c r="H1017" s="464">
        <f t="shared" si="747"/>
        <v>9</v>
      </c>
      <c r="I1017" s="560"/>
      <c r="J1017" s="468">
        <f t="shared" si="748"/>
        <v>2021</v>
      </c>
      <c r="K1017" s="490">
        <f t="shared" si="749"/>
        <v>0</v>
      </c>
      <c r="L1017" s="469">
        <f t="shared" si="750"/>
        <v>0</v>
      </c>
      <c r="M1017" s="683">
        <f t="shared" si="751"/>
        <v>0</v>
      </c>
      <c r="N1017" s="470">
        <f t="shared" si="752"/>
        <v>9</v>
      </c>
      <c r="O1017" s="468">
        <f t="shared" si="753"/>
        <v>2021</v>
      </c>
      <c r="P1017" s="616">
        <f t="shared" si="754"/>
        <v>6085101391.951436</v>
      </c>
      <c r="Q1017" s="472">
        <f t="shared" si="755"/>
        <v>6085101391.951436</v>
      </c>
      <c r="R1017" s="472">
        <f t="shared" si="756"/>
        <v>676122376.88349283</v>
      </c>
      <c r="S1017" s="1189">
        <f t="shared" si="757"/>
        <v>2013</v>
      </c>
      <c r="T1017" s="470">
        <f t="shared" si="758"/>
        <v>1</v>
      </c>
      <c r="U1017" s="612">
        <f t="shared" si="759"/>
        <v>676122376.88349283</v>
      </c>
      <c r="V1017" s="464">
        <f t="shared" si="760"/>
        <v>2013</v>
      </c>
      <c r="W1017" s="612">
        <f t="shared" si="761"/>
        <v>5408979015.0679436</v>
      </c>
      <c r="X1017" s="473"/>
      <c r="Y1017" s="478"/>
      <c r="Z1017" s="449"/>
      <c r="AA1017" s="573"/>
      <c r="AB1017" s="476"/>
      <c r="AC1017" s="476"/>
      <c r="AD1017" s="568"/>
      <c r="AE1017" s="476"/>
      <c r="AF1017" s="568"/>
      <c r="AG1017" s="476"/>
      <c r="AH1017" s="476"/>
      <c r="AI1017" s="477"/>
      <c r="AJ1017" s="478"/>
      <c r="AK1017" s="479"/>
      <c r="AL1017" s="480"/>
      <c r="AM1017" s="474"/>
      <c r="AN1017" s="481"/>
      <c r="AO1017" s="474"/>
      <c r="AP1017" s="476"/>
      <c r="AQ1017" s="482"/>
      <c r="AR1017" s="478"/>
      <c r="AS1017" s="478"/>
      <c r="AT1017" s="476"/>
      <c r="AU1017" s="482"/>
      <c r="AV1017" s="478"/>
      <c r="AW1017" s="483"/>
      <c r="AX1017" s="476"/>
      <c r="AY1017" s="482"/>
      <c r="AZ1017" s="478"/>
      <c r="BA1017" s="484"/>
      <c r="BB1017" s="474"/>
      <c r="BC1017" s="485"/>
      <c r="BD1017" s="485"/>
      <c r="BG1017" s="487"/>
    </row>
    <row r="1018" spans="1:59" s="486" customFormat="1" ht="18" customHeight="1" x14ac:dyDescent="0.2">
      <c r="A1018" s="1368" t="str">
        <f t="shared" si="746"/>
        <v>SAKO - TRANS SKP II2014</v>
      </c>
      <c r="B1018" s="687"/>
      <c r="C1018" s="463"/>
      <c r="D1018" s="489"/>
      <c r="E1018" s="465"/>
      <c r="F1018" s="466">
        <v>2014</v>
      </c>
      <c r="G1018" s="619">
        <v>0</v>
      </c>
      <c r="H1018" s="464">
        <f t="shared" si="747"/>
        <v>8</v>
      </c>
      <c r="I1018" s="560"/>
      <c r="J1018" s="468">
        <f t="shared" si="748"/>
        <v>2021</v>
      </c>
      <c r="K1018" s="490">
        <f t="shared" si="749"/>
        <v>0</v>
      </c>
      <c r="L1018" s="469">
        <f t="shared" si="750"/>
        <v>0</v>
      </c>
      <c r="M1018" s="683">
        <f t="shared" si="751"/>
        <v>0</v>
      </c>
      <c r="N1018" s="470">
        <f t="shared" si="752"/>
        <v>8</v>
      </c>
      <c r="O1018" s="468">
        <f t="shared" si="753"/>
        <v>2021</v>
      </c>
      <c r="P1018" s="616">
        <f t="shared" si="754"/>
        <v>5408979015.0679436</v>
      </c>
      <c r="Q1018" s="472">
        <f t="shared" si="755"/>
        <v>5408979015.0679436</v>
      </c>
      <c r="R1018" s="472">
        <f t="shared" si="756"/>
        <v>676122376.88349283</v>
      </c>
      <c r="S1018" s="1189">
        <f t="shared" si="757"/>
        <v>2014</v>
      </c>
      <c r="T1018" s="470">
        <f t="shared" si="758"/>
        <v>1</v>
      </c>
      <c r="U1018" s="612">
        <f t="shared" si="759"/>
        <v>676122376.88349283</v>
      </c>
      <c r="V1018" s="464">
        <f t="shared" si="760"/>
        <v>2014</v>
      </c>
      <c r="W1018" s="612">
        <f t="shared" si="761"/>
        <v>4732856638.1844511</v>
      </c>
      <c r="X1018" s="473"/>
      <c r="Y1018" s="478"/>
      <c r="Z1018" s="449"/>
      <c r="AA1018" s="573"/>
      <c r="AB1018" s="476"/>
      <c r="AC1018" s="476"/>
      <c r="AD1018" s="568"/>
      <c r="AE1018" s="476"/>
      <c r="AF1018" s="568"/>
      <c r="AG1018" s="476"/>
      <c r="AH1018" s="476"/>
      <c r="AI1018" s="477"/>
      <c r="AJ1018" s="478"/>
      <c r="AK1018" s="479"/>
      <c r="AL1018" s="480"/>
      <c r="AM1018" s="474"/>
      <c r="AN1018" s="481"/>
      <c r="AO1018" s="474"/>
      <c r="AP1018" s="476"/>
      <c r="AQ1018" s="482"/>
      <c r="AR1018" s="478"/>
      <c r="AS1018" s="478"/>
      <c r="AT1018" s="476"/>
      <c r="AU1018" s="482"/>
      <c r="AV1018" s="478"/>
      <c r="AW1018" s="483"/>
      <c r="AX1018" s="476"/>
      <c r="AY1018" s="482"/>
      <c r="AZ1018" s="478"/>
      <c r="BA1018" s="484"/>
      <c r="BB1018" s="474"/>
      <c r="BC1018" s="485"/>
      <c r="BD1018" s="485"/>
      <c r="BG1018" s="487"/>
    </row>
    <row r="1019" spans="1:59" s="486" customFormat="1" ht="18" customHeight="1" x14ac:dyDescent="0.2">
      <c r="A1019" s="1368" t="str">
        <f t="shared" si="746"/>
        <v>SAKO - TRANS SKP II2015</v>
      </c>
      <c r="B1019" s="687"/>
      <c r="C1019" s="463" t="s">
        <v>1364</v>
      </c>
      <c r="D1019" s="489" t="s">
        <v>2494</v>
      </c>
      <c r="E1019" s="465"/>
      <c r="F1019" s="466">
        <v>2015</v>
      </c>
      <c r="G1019" s="620">
        <v>2126653104.2</v>
      </c>
      <c r="H1019" s="464">
        <f t="shared" si="747"/>
        <v>7</v>
      </c>
      <c r="I1019" s="560"/>
      <c r="J1019" s="468">
        <f t="shared" si="748"/>
        <v>2024</v>
      </c>
      <c r="K1019" s="490">
        <f t="shared" si="749"/>
        <v>0.44933816229341683</v>
      </c>
      <c r="L1019" s="469">
        <f t="shared" si="750"/>
        <v>5</v>
      </c>
      <c r="M1019" s="683">
        <f t="shared" si="751"/>
        <v>3</v>
      </c>
      <c r="N1019" s="470">
        <f t="shared" si="752"/>
        <v>10</v>
      </c>
      <c r="O1019" s="468">
        <f t="shared" si="753"/>
        <v>2024</v>
      </c>
      <c r="P1019" s="616">
        <f t="shared" si="754"/>
        <v>4732856638.1844511</v>
      </c>
      <c r="Q1019" s="472">
        <f t="shared" si="755"/>
        <v>6859509742.3844509</v>
      </c>
      <c r="R1019" s="472">
        <f t="shared" si="756"/>
        <v>685950974.23844504</v>
      </c>
      <c r="S1019" s="1189">
        <f t="shared" si="757"/>
        <v>2015</v>
      </c>
      <c r="T1019" s="470">
        <f t="shared" si="758"/>
        <v>1</v>
      </c>
      <c r="U1019" s="612">
        <f t="shared" si="759"/>
        <v>685950974.23844504</v>
      </c>
      <c r="V1019" s="464">
        <f t="shared" si="760"/>
        <v>2015</v>
      </c>
      <c r="W1019" s="612">
        <f t="shared" si="761"/>
        <v>6173558768.1460056</v>
      </c>
      <c r="X1019" s="473"/>
      <c r="Y1019" s="478"/>
      <c r="Z1019" s="449"/>
      <c r="AA1019" s="573"/>
      <c r="AB1019" s="476"/>
      <c r="AC1019" s="476"/>
      <c r="AD1019" s="568"/>
      <c r="AE1019" s="476"/>
      <c r="AF1019" s="568"/>
      <c r="AG1019" s="476"/>
      <c r="AH1019" s="476"/>
      <c r="AI1019" s="477"/>
      <c r="AJ1019" s="478"/>
      <c r="AK1019" s="479"/>
      <c r="AL1019" s="480"/>
      <c r="AM1019" s="474"/>
      <c r="AN1019" s="481"/>
      <c r="AO1019" s="474"/>
      <c r="AP1019" s="476"/>
      <c r="AQ1019" s="482"/>
      <c r="AR1019" s="478"/>
      <c r="AS1019" s="478"/>
      <c r="AT1019" s="476"/>
      <c r="AU1019" s="482"/>
      <c r="AV1019" s="478"/>
      <c r="AW1019" s="483"/>
      <c r="AX1019" s="476"/>
      <c r="AY1019" s="482"/>
      <c r="AZ1019" s="478"/>
      <c r="BA1019" s="484"/>
      <c r="BB1019" s="474"/>
      <c r="BC1019" s="485"/>
      <c r="BD1019" s="485"/>
      <c r="BG1019" s="487"/>
    </row>
    <row r="1020" spans="1:59" s="486" customFormat="1" ht="18" customHeight="1" x14ac:dyDescent="0.2">
      <c r="A1020" s="1368" t="str">
        <f t="shared" si="746"/>
        <v>SAKO - TRANS SKP II2016</v>
      </c>
      <c r="B1020" s="687"/>
      <c r="C1020" s="463"/>
      <c r="D1020" s="489"/>
      <c r="E1020" s="465"/>
      <c r="F1020" s="466">
        <v>2016</v>
      </c>
      <c r="G1020" s="619">
        <v>0</v>
      </c>
      <c r="H1020" s="464">
        <f t="shared" si="747"/>
        <v>9</v>
      </c>
      <c r="I1020" s="560"/>
      <c r="J1020" s="468">
        <f t="shared" si="748"/>
        <v>2024</v>
      </c>
      <c r="K1020" s="490">
        <f t="shared" si="749"/>
        <v>0</v>
      </c>
      <c r="L1020" s="469">
        <f t="shared" si="750"/>
        <v>0</v>
      </c>
      <c r="M1020" s="683">
        <f t="shared" si="751"/>
        <v>0</v>
      </c>
      <c r="N1020" s="470">
        <f t="shared" si="752"/>
        <v>9</v>
      </c>
      <c r="O1020" s="468">
        <f t="shared" si="753"/>
        <v>2024</v>
      </c>
      <c r="P1020" s="616">
        <f t="shared" si="754"/>
        <v>6173558768.1460056</v>
      </c>
      <c r="Q1020" s="472">
        <f t="shared" si="755"/>
        <v>6173558768.1460056</v>
      </c>
      <c r="R1020" s="472">
        <f t="shared" si="756"/>
        <v>685950974.23844504</v>
      </c>
      <c r="S1020" s="1189">
        <f t="shared" si="757"/>
        <v>2016</v>
      </c>
      <c r="T1020" s="470">
        <f t="shared" si="758"/>
        <v>1</v>
      </c>
      <c r="U1020" s="612">
        <f t="shared" si="759"/>
        <v>685950974.23844504</v>
      </c>
      <c r="V1020" s="464">
        <f t="shared" si="760"/>
        <v>2016</v>
      </c>
      <c r="W1020" s="612">
        <f t="shared" si="761"/>
        <v>5487607793.9075603</v>
      </c>
      <c r="X1020" s="473"/>
      <c r="Y1020" s="478"/>
      <c r="Z1020" s="449"/>
      <c r="AA1020" s="573"/>
      <c r="AB1020" s="476"/>
      <c r="AC1020" s="476"/>
      <c r="AD1020" s="568"/>
      <c r="AE1020" s="476"/>
      <c r="AF1020" s="568"/>
      <c r="AG1020" s="476"/>
      <c r="AH1020" s="476"/>
      <c r="AI1020" s="477"/>
      <c r="AJ1020" s="478"/>
      <c r="AK1020" s="479"/>
      <c r="AL1020" s="480"/>
      <c r="AM1020" s="474"/>
      <c r="AN1020" s="481"/>
      <c r="AO1020" s="474"/>
      <c r="AP1020" s="476"/>
      <c r="AQ1020" s="482"/>
      <c r="AR1020" s="478"/>
      <c r="AS1020" s="478"/>
      <c r="AT1020" s="476"/>
      <c r="AU1020" s="482"/>
      <c r="AV1020" s="478"/>
      <c r="AW1020" s="483"/>
      <c r="AX1020" s="476"/>
      <c r="AY1020" s="482"/>
      <c r="AZ1020" s="478"/>
      <c r="BA1020" s="484"/>
      <c r="BB1020" s="474"/>
      <c r="BC1020" s="485"/>
      <c r="BD1020" s="485"/>
      <c r="BG1020" s="487"/>
    </row>
    <row r="1021" spans="1:59" s="486" customFormat="1" ht="18" customHeight="1" x14ac:dyDescent="0.2">
      <c r="A1021" s="1368" t="str">
        <f t="shared" si="746"/>
        <v>SAKO - TRANS SKP II2017</v>
      </c>
      <c r="B1021" s="687"/>
      <c r="C1021" s="463" t="s">
        <v>3060</v>
      </c>
      <c r="D1021" s="489" t="s">
        <v>2494</v>
      </c>
      <c r="E1021" s="465"/>
      <c r="F1021" s="466">
        <v>2017</v>
      </c>
      <c r="G1021" s="620">
        <v>1808380700</v>
      </c>
      <c r="H1021" s="464">
        <f t="shared" si="747"/>
        <v>8</v>
      </c>
      <c r="I1021" s="560"/>
      <c r="J1021" s="468">
        <f t="shared" si="748"/>
        <v>2026</v>
      </c>
      <c r="K1021" s="490">
        <f t="shared" si="749"/>
        <v>0.32953898454763775</v>
      </c>
      <c r="L1021" s="469">
        <f t="shared" si="750"/>
        <v>5</v>
      </c>
      <c r="M1021" s="683">
        <f t="shared" si="751"/>
        <v>2</v>
      </c>
      <c r="N1021" s="470">
        <f t="shared" si="752"/>
        <v>10</v>
      </c>
      <c r="O1021" s="468">
        <f t="shared" si="753"/>
        <v>2026</v>
      </c>
      <c r="P1021" s="616">
        <f t="shared" si="754"/>
        <v>5487607793.9075603</v>
      </c>
      <c r="Q1021" s="472">
        <f t="shared" si="755"/>
        <v>7295988493.9075603</v>
      </c>
      <c r="R1021" s="472">
        <f t="shared" si="756"/>
        <v>729598849.39075601</v>
      </c>
      <c r="S1021" s="1189">
        <f t="shared" si="757"/>
        <v>2017</v>
      </c>
      <c r="T1021" s="470">
        <f t="shared" si="758"/>
        <v>1</v>
      </c>
      <c r="U1021" s="612">
        <f t="shared" si="759"/>
        <v>729598849.39075601</v>
      </c>
      <c r="V1021" s="464">
        <f t="shared" si="760"/>
        <v>2017</v>
      </c>
      <c r="W1021" s="612">
        <f t="shared" si="761"/>
        <v>6566389644.5168047</v>
      </c>
      <c r="X1021" s="473"/>
      <c r="Y1021" s="478"/>
      <c r="Z1021" s="449"/>
      <c r="AA1021" s="573"/>
      <c r="AB1021" s="476"/>
      <c r="AC1021" s="476"/>
      <c r="AD1021" s="568"/>
      <c r="AE1021" s="476"/>
      <c r="AF1021" s="568"/>
      <c r="AG1021" s="476"/>
      <c r="AH1021" s="476"/>
      <c r="AI1021" s="477"/>
      <c r="AJ1021" s="478"/>
      <c r="AK1021" s="479"/>
      <c r="AL1021" s="480"/>
      <c r="AM1021" s="474"/>
      <c r="AN1021" s="481"/>
      <c r="AO1021" s="474"/>
      <c r="AP1021" s="476"/>
      <c r="AQ1021" s="482"/>
      <c r="AR1021" s="478"/>
      <c r="AS1021" s="478"/>
      <c r="AT1021" s="476"/>
      <c r="AU1021" s="482"/>
      <c r="AV1021" s="478"/>
      <c r="AW1021" s="483"/>
      <c r="AX1021" s="476"/>
      <c r="AY1021" s="482"/>
      <c r="AZ1021" s="478"/>
      <c r="BA1021" s="484"/>
      <c r="BB1021" s="474"/>
      <c r="BC1021" s="485"/>
      <c r="BD1021" s="485"/>
      <c r="BG1021" s="487"/>
    </row>
    <row r="1022" spans="1:59" s="486" customFormat="1" ht="18" customHeight="1" x14ac:dyDescent="0.2">
      <c r="A1022" s="1368" t="str">
        <f t="shared" si="746"/>
        <v>SAKO - TRANS SKP II2018</v>
      </c>
      <c r="B1022" s="687"/>
      <c r="C1022" s="463" t="s">
        <v>3317</v>
      </c>
      <c r="D1022" s="489" t="s">
        <v>2494</v>
      </c>
      <c r="E1022" s="465"/>
      <c r="F1022" s="466">
        <v>2018</v>
      </c>
      <c r="G1022" s="620">
        <f>2269492372+2252307486</f>
        <v>4521799858</v>
      </c>
      <c r="H1022" s="464">
        <f t="shared" si="747"/>
        <v>9</v>
      </c>
      <c r="I1022" s="560"/>
      <c r="J1022" s="468">
        <f t="shared" si="748"/>
        <v>2027</v>
      </c>
      <c r="K1022" s="490">
        <f t="shared" si="749"/>
        <v>0.68862801368722948</v>
      </c>
      <c r="L1022" s="469">
        <f t="shared" si="750"/>
        <v>10</v>
      </c>
      <c r="M1022" s="683">
        <f t="shared" si="751"/>
        <v>1</v>
      </c>
      <c r="N1022" s="470">
        <f t="shared" si="752"/>
        <v>10</v>
      </c>
      <c r="O1022" s="468">
        <f t="shared" si="753"/>
        <v>2027</v>
      </c>
      <c r="P1022" s="616">
        <f t="shared" si="754"/>
        <v>6566389644.5168047</v>
      </c>
      <c r="Q1022" s="472">
        <f t="shared" si="755"/>
        <v>11088189502.516804</v>
      </c>
      <c r="R1022" s="472">
        <f t="shared" si="756"/>
        <v>1108818950.2516804</v>
      </c>
      <c r="S1022" s="1189">
        <f t="shared" si="757"/>
        <v>2018</v>
      </c>
      <c r="T1022" s="470">
        <f t="shared" si="758"/>
        <v>1</v>
      </c>
      <c r="U1022" s="612">
        <f t="shared" si="759"/>
        <v>1108818950.2516804</v>
      </c>
      <c r="V1022" s="464">
        <f t="shared" si="760"/>
        <v>2018</v>
      </c>
      <c r="W1022" s="612">
        <f t="shared" si="761"/>
        <v>9979370552.2651234</v>
      </c>
      <c r="X1022" s="473"/>
      <c r="Y1022" s="478"/>
      <c r="Z1022" s="449"/>
      <c r="AA1022" s="573"/>
      <c r="AB1022" s="476"/>
      <c r="AC1022" s="476"/>
      <c r="AD1022" s="568"/>
      <c r="AE1022" s="476"/>
      <c r="AF1022" s="568"/>
      <c r="AG1022" s="476"/>
      <c r="AH1022" s="476"/>
      <c r="AI1022" s="477"/>
      <c r="AJ1022" s="478"/>
      <c r="AK1022" s="479"/>
      <c r="AL1022" s="480"/>
      <c r="AM1022" s="474"/>
      <c r="AN1022" s="481"/>
      <c r="AO1022" s="474"/>
      <c r="AP1022" s="476"/>
      <c r="AQ1022" s="482"/>
      <c r="AR1022" s="478"/>
      <c r="AS1022" s="478"/>
      <c r="AT1022" s="476"/>
      <c r="AU1022" s="482"/>
      <c r="AV1022" s="478"/>
      <c r="AW1022" s="483"/>
      <c r="AX1022" s="476"/>
      <c r="AY1022" s="482"/>
      <c r="AZ1022" s="478"/>
      <c r="BA1022" s="484"/>
      <c r="BB1022" s="474"/>
      <c r="BC1022" s="485"/>
      <c r="BD1022" s="485"/>
      <c r="BG1022" s="487"/>
    </row>
    <row r="1023" spans="1:59" s="486" customFormat="1" ht="18" customHeight="1" x14ac:dyDescent="0.2">
      <c r="A1023" s="1368" t="str">
        <f t="shared" si="746"/>
        <v>SAKO - TRANS SKP II2018</v>
      </c>
      <c r="B1023" s="687"/>
      <c r="C1023" s="463" t="s">
        <v>3333</v>
      </c>
      <c r="D1023" s="489"/>
      <c r="E1023" s="465"/>
      <c r="F1023" s="466">
        <v>2018</v>
      </c>
      <c r="G1023" s="620">
        <v>0</v>
      </c>
      <c r="H1023" s="464">
        <f t="shared" si="747"/>
        <v>10</v>
      </c>
      <c r="I1023" s="560"/>
      <c r="J1023" s="468">
        <f t="shared" si="748"/>
        <v>2027</v>
      </c>
      <c r="K1023" s="490">
        <f t="shared" si="749"/>
        <v>0</v>
      </c>
      <c r="L1023" s="469">
        <f t="shared" si="750"/>
        <v>0</v>
      </c>
      <c r="M1023" s="683">
        <f t="shared" si="751"/>
        <v>0</v>
      </c>
      <c r="N1023" s="470">
        <f t="shared" si="752"/>
        <v>10</v>
      </c>
      <c r="O1023" s="468">
        <f t="shared" si="753"/>
        <v>2027</v>
      </c>
      <c r="P1023" s="616">
        <f t="shared" si="754"/>
        <v>9979370552.2651234</v>
      </c>
      <c r="Q1023" s="472">
        <f t="shared" si="755"/>
        <v>9979370552.2651234</v>
      </c>
      <c r="R1023" s="472">
        <f t="shared" si="756"/>
        <v>1108818950.2516804</v>
      </c>
      <c r="S1023" s="1189">
        <f t="shared" si="757"/>
        <v>2018</v>
      </c>
      <c r="T1023" s="470">
        <f t="shared" si="758"/>
        <v>0</v>
      </c>
      <c r="U1023" s="612">
        <f t="shared" si="759"/>
        <v>0</v>
      </c>
      <c r="V1023" s="464">
        <f t="shared" si="760"/>
        <v>2018</v>
      </c>
      <c r="W1023" s="612">
        <f t="shared" si="761"/>
        <v>9979370552.2651234</v>
      </c>
      <c r="X1023" s="473"/>
      <c r="Y1023" s="478"/>
      <c r="Z1023" s="449"/>
      <c r="AA1023" s="573"/>
      <c r="AB1023" s="476"/>
      <c r="AC1023" s="476"/>
      <c r="AD1023" s="568"/>
      <c r="AE1023" s="476"/>
      <c r="AF1023" s="568"/>
      <c r="AG1023" s="476"/>
      <c r="AH1023" s="476"/>
      <c r="AI1023" s="477"/>
      <c r="AJ1023" s="478"/>
      <c r="AK1023" s="479"/>
      <c r="AL1023" s="480"/>
      <c r="AM1023" s="474"/>
      <c r="AN1023" s="481"/>
      <c r="AO1023" s="474"/>
      <c r="AP1023" s="476"/>
      <c r="AQ1023" s="482"/>
      <c r="AR1023" s="478"/>
      <c r="AS1023" s="478"/>
      <c r="AT1023" s="476"/>
      <c r="AU1023" s="482"/>
      <c r="AV1023" s="478"/>
      <c r="AW1023" s="483"/>
      <c r="AX1023" s="476"/>
      <c r="AY1023" s="482"/>
      <c r="AZ1023" s="478"/>
      <c r="BA1023" s="484"/>
      <c r="BB1023" s="474"/>
      <c r="BC1023" s="485"/>
      <c r="BD1023" s="485"/>
      <c r="BG1023" s="487"/>
    </row>
    <row r="1024" spans="1:59" s="486" customFormat="1" ht="18" customHeight="1" x14ac:dyDescent="0.2">
      <c r="A1024" s="1368" t="str">
        <f t="shared" si="746"/>
        <v>SAKO - TRANS SKP II2019</v>
      </c>
      <c r="B1024" s="687"/>
      <c r="C1024" s="463" t="s">
        <v>5517</v>
      </c>
      <c r="D1024" s="489"/>
      <c r="E1024" s="465"/>
      <c r="F1024" s="466">
        <v>2019</v>
      </c>
      <c r="G1024" s="620">
        <v>2077060568</v>
      </c>
      <c r="H1024" s="464">
        <f t="shared" si="747"/>
        <v>9</v>
      </c>
      <c r="I1024" s="560"/>
      <c r="J1024" s="468">
        <f t="shared" si="748"/>
        <v>2028</v>
      </c>
      <c r="K1024" s="490">
        <f t="shared" si="749"/>
        <v>0.20813542869480356</v>
      </c>
      <c r="L1024" s="469">
        <f t="shared" si="750"/>
        <v>2</v>
      </c>
      <c r="M1024" s="683">
        <f t="shared" si="751"/>
        <v>1</v>
      </c>
      <c r="N1024" s="470">
        <f t="shared" si="752"/>
        <v>10</v>
      </c>
      <c r="O1024" s="468">
        <f t="shared" si="753"/>
        <v>2028</v>
      </c>
      <c r="P1024" s="616">
        <f t="shared" si="754"/>
        <v>9979370552.2651234</v>
      </c>
      <c r="Q1024" s="472">
        <f t="shared" si="755"/>
        <v>12056431120.265123</v>
      </c>
      <c r="R1024" s="472">
        <f t="shared" si="756"/>
        <v>1205643112.0265124</v>
      </c>
      <c r="S1024" s="1189">
        <f t="shared" si="757"/>
        <v>2019</v>
      </c>
      <c r="T1024" s="470">
        <f t="shared" si="758"/>
        <v>1</v>
      </c>
      <c r="U1024" s="612">
        <f t="shared" si="759"/>
        <v>1205643112.0265124</v>
      </c>
      <c r="V1024" s="464">
        <f t="shared" si="760"/>
        <v>2019</v>
      </c>
      <c r="W1024" s="612">
        <f t="shared" si="761"/>
        <v>10850788008.238611</v>
      </c>
      <c r="X1024" s="473"/>
      <c r="Y1024" s="478"/>
      <c r="Z1024" s="449"/>
      <c r="AA1024" s="573"/>
      <c r="AB1024" s="476"/>
      <c r="AC1024" s="476"/>
      <c r="AD1024" s="568"/>
      <c r="AE1024" s="476"/>
      <c r="AF1024" s="568"/>
      <c r="AG1024" s="476"/>
      <c r="AH1024" s="476"/>
      <c r="AI1024" s="477"/>
      <c r="AJ1024" s="478"/>
      <c r="AK1024" s="479"/>
      <c r="AL1024" s="480"/>
      <c r="AM1024" s="474"/>
      <c r="AN1024" s="481"/>
      <c r="AO1024" s="474"/>
      <c r="AP1024" s="476"/>
      <c r="AQ1024" s="482"/>
      <c r="AR1024" s="478"/>
      <c r="AS1024" s="478"/>
      <c r="AT1024" s="476"/>
      <c r="AU1024" s="482"/>
      <c r="AV1024" s="478"/>
      <c r="AW1024" s="483"/>
      <c r="AX1024" s="476"/>
      <c r="AY1024" s="482"/>
      <c r="AZ1024" s="478"/>
      <c r="BA1024" s="484"/>
      <c r="BB1024" s="474"/>
      <c r="BC1024" s="485"/>
      <c r="BD1024" s="485"/>
      <c r="BG1024" s="487"/>
    </row>
    <row r="1025" spans="1:59" s="486" customFormat="1" ht="18" customHeight="1" x14ac:dyDescent="0.2">
      <c r="A1025" s="1368"/>
      <c r="B1025" s="687"/>
      <c r="C1025" s="463"/>
      <c r="D1025" s="489"/>
      <c r="E1025" s="465"/>
      <c r="F1025" s="466"/>
      <c r="G1025" s="620"/>
      <c r="H1025" s="464"/>
      <c r="I1025" s="467"/>
      <c r="J1025" s="468"/>
      <c r="K1025" s="574"/>
      <c r="L1025" s="469"/>
      <c r="M1025" s="683"/>
      <c r="N1025" s="470"/>
      <c r="O1025" s="468"/>
      <c r="P1025" s="616"/>
      <c r="Q1025" s="472"/>
      <c r="R1025" s="472"/>
      <c r="S1025" s="634"/>
      <c r="T1025" s="470"/>
      <c r="U1025" s="612"/>
      <c r="V1025" s="464"/>
      <c r="W1025" s="612"/>
      <c r="X1025" s="473"/>
      <c r="Y1025" s="478"/>
      <c r="Z1025" s="449"/>
      <c r="AA1025" s="573"/>
      <c r="AB1025" s="476"/>
      <c r="AC1025" s="476"/>
      <c r="AD1025" s="568"/>
      <c r="AE1025" s="476"/>
      <c r="AF1025" s="568"/>
      <c r="AG1025" s="476"/>
      <c r="AH1025" s="476"/>
      <c r="AI1025" s="477"/>
      <c r="AJ1025" s="478"/>
      <c r="AK1025" s="479"/>
      <c r="AL1025" s="480"/>
      <c r="AM1025" s="474"/>
      <c r="AN1025" s="481"/>
      <c r="AO1025" s="474"/>
      <c r="AP1025" s="476"/>
      <c r="AQ1025" s="482"/>
      <c r="AR1025" s="478"/>
      <c r="AS1025" s="478"/>
      <c r="AT1025" s="476"/>
      <c r="AU1025" s="482"/>
      <c r="AV1025" s="478"/>
      <c r="AW1025" s="483"/>
      <c r="AX1025" s="476"/>
      <c r="AY1025" s="482"/>
      <c r="AZ1025" s="478"/>
      <c r="BA1025" s="484"/>
      <c r="BB1025" s="474"/>
      <c r="BC1025" s="485"/>
      <c r="BD1025" s="485"/>
      <c r="BG1025" s="487"/>
    </row>
    <row r="1026" spans="1:59" s="486" customFormat="1" ht="18" customHeight="1" x14ac:dyDescent="0.2">
      <c r="A1026" s="1368" t="str">
        <f>LEFT(D1026,8)</f>
        <v/>
      </c>
      <c r="B1026" s="687"/>
      <c r="C1026" s="463"/>
      <c r="D1026" s="489"/>
      <c r="E1026" s="465"/>
      <c r="F1026" s="466"/>
      <c r="G1026" s="620"/>
      <c r="H1026" s="557"/>
      <c r="I1026" s="467"/>
      <c r="J1026" s="468"/>
      <c r="K1026" s="490"/>
      <c r="L1026" s="469"/>
      <c r="M1026" s="683"/>
      <c r="N1026" s="470"/>
      <c r="O1026" s="468"/>
      <c r="P1026" s="616"/>
      <c r="Q1026" s="472"/>
      <c r="R1026" s="472"/>
      <c r="S1026" s="634"/>
      <c r="T1026" s="470"/>
      <c r="U1026" s="612"/>
      <c r="V1026" s="464"/>
      <c r="W1026" s="612"/>
      <c r="X1026" s="473"/>
      <c r="Y1026" s="497"/>
      <c r="Z1026" s="449"/>
      <c r="AA1026" s="497"/>
      <c r="AB1026" s="476"/>
      <c r="AC1026" s="497"/>
      <c r="AD1026" s="568"/>
      <c r="AE1026" s="476"/>
      <c r="AF1026" s="568"/>
      <c r="AG1026" s="476"/>
      <c r="AH1026" s="476"/>
      <c r="AI1026" s="477"/>
      <c r="AJ1026" s="478"/>
      <c r="AK1026" s="479"/>
      <c r="AL1026" s="480"/>
      <c r="AM1026" s="474"/>
      <c r="AN1026" s="481"/>
      <c r="AO1026" s="474"/>
      <c r="AP1026" s="476"/>
      <c r="AQ1026" s="482"/>
      <c r="AR1026" s="478"/>
      <c r="AS1026" s="478"/>
      <c r="AT1026" s="476"/>
      <c r="AU1026" s="482"/>
      <c r="AV1026" s="478"/>
      <c r="AW1026" s="483"/>
      <c r="AX1026" s="476"/>
      <c r="AY1026" s="482"/>
      <c r="AZ1026" s="478"/>
      <c r="BA1026" s="484"/>
      <c r="BB1026" s="474"/>
      <c r="BC1026" s="485"/>
      <c r="BD1026" s="485"/>
      <c r="BG1026" s="487"/>
    </row>
    <row r="1027" spans="1:59" s="526" customFormat="1" ht="18" customHeight="1" x14ac:dyDescent="0.2">
      <c r="A1027" s="1370" t="s">
        <v>4184</v>
      </c>
      <c r="B1027" s="1956" t="s">
        <v>4184</v>
      </c>
      <c r="C1027" s="1957"/>
      <c r="D1027" s="1957"/>
      <c r="E1027" s="1957"/>
      <c r="F1027" s="1958"/>
      <c r="G1027" s="624">
        <f>SUM(G1006:G1026)</f>
        <v>26026479571.771793</v>
      </c>
      <c r="H1027" s="505"/>
      <c r="I1027" s="506"/>
      <c r="J1027" s="507"/>
      <c r="K1027" s="507"/>
      <c r="L1027" s="505"/>
      <c r="M1027" s="684"/>
      <c r="N1027" s="508"/>
      <c r="O1027" s="507"/>
      <c r="P1027" s="749"/>
      <c r="Q1027" s="510"/>
      <c r="R1027" s="511"/>
      <c r="S1027" s="512"/>
      <c r="T1027" s="512"/>
      <c r="U1027" s="610">
        <f>SUM(U1006:U1026)</f>
        <v>15175691563.533182</v>
      </c>
      <c r="V1027" s="513"/>
      <c r="W1027" s="610">
        <f>G1027-U1027</f>
        <v>10850788008.238611</v>
      </c>
      <c r="X1027" s="514"/>
      <c r="Y1027" s="515"/>
      <c r="Z1027" s="515"/>
      <c r="AA1027" s="515"/>
      <c r="AB1027" s="1362">
        <v>15277291820.410139</v>
      </c>
      <c r="AC1027" s="1372">
        <f>U1027-AB1027</f>
        <v>-101600256.87695694</v>
      </c>
      <c r="AD1027" s="570"/>
      <c r="AE1027" s="515"/>
      <c r="AF1027" s="570">
        <v>14426674549.976284</v>
      </c>
      <c r="AG1027" s="515"/>
      <c r="AH1027" s="515"/>
      <c r="AI1027" s="516"/>
      <c r="AJ1027" s="517"/>
      <c r="AK1027" s="518"/>
      <c r="AL1027" s="519"/>
      <c r="AM1027" s="520"/>
      <c r="AN1027" s="521"/>
      <c r="AO1027" s="520"/>
      <c r="AP1027" s="515"/>
      <c r="AQ1027" s="522"/>
      <c r="AR1027" s="517"/>
      <c r="AS1027" s="517"/>
      <c r="AT1027" s="515"/>
      <c r="AU1027" s="522"/>
      <c r="AV1027" s="517"/>
      <c r="AW1027" s="523"/>
      <c r="AX1027" s="515"/>
      <c r="AY1027" s="522"/>
      <c r="AZ1027" s="517"/>
      <c r="BA1027" s="524"/>
      <c r="BB1027" s="520"/>
      <c r="BC1027" s="525"/>
      <c r="BD1027" s="525"/>
      <c r="BG1027" s="527"/>
    </row>
    <row r="1030" spans="1:59" s="422" customFormat="1" ht="18" customHeight="1" x14ac:dyDescent="0.2">
      <c r="A1030" s="1366">
        <f>C1030</f>
        <v>166</v>
      </c>
      <c r="B1030" s="742" t="s">
        <v>4187</v>
      </c>
      <c r="C1030" s="556">
        <v>166</v>
      </c>
      <c r="D1030" s="553" t="str">
        <f>VLOOKUP(C1030,RUAS,2,FALSE)</f>
        <v>PAUH ANGIT - PS. USANG PANGEAN</v>
      </c>
      <c r="E1030" s="553"/>
      <c r="F1030" s="421"/>
      <c r="G1030" s="611"/>
      <c r="I1030" s="423"/>
      <c r="J1030" s="424"/>
      <c r="K1030" s="424"/>
      <c r="M1030" s="680"/>
      <c r="P1030" s="611"/>
      <c r="U1030" s="611"/>
      <c r="W1030" s="611"/>
      <c r="Y1030" s="425"/>
      <c r="Z1030" s="425"/>
      <c r="AA1030" s="425"/>
      <c r="AB1030" s="425"/>
      <c r="AC1030" s="425"/>
      <c r="AD1030" s="563"/>
      <c r="AE1030" s="425"/>
      <c r="AF1030" s="563"/>
      <c r="AG1030" s="425"/>
      <c r="AH1030" s="425"/>
      <c r="AI1030" s="425"/>
      <c r="AJ1030" s="425"/>
      <c r="AK1030" s="425"/>
      <c r="AL1030" s="425"/>
      <c r="AM1030" s="425"/>
      <c r="AN1030" s="425"/>
      <c r="AO1030" s="425"/>
      <c r="AP1030" s="425"/>
      <c r="AQ1030" s="425"/>
      <c r="AR1030" s="425"/>
      <c r="AS1030" s="425"/>
      <c r="AT1030" s="425"/>
      <c r="AU1030" s="425"/>
      <c r="AV1030" s="425"/>
      <c r="AW1030" s="425"/>
      <c r="AX1030" s="425"/>
      <c r="AY1030" s="425"/>
      <c r="AZ1030" s="425"/>
      <c r="BA1030" s="425"/>
      <c r="BB1030" s="425"/>
    </row>
    <row r="1031" spans="1:59" s="431" customFormat="1" ht="18" customHeight="1" x14ac:dyDescent="0.2">
      <c r="A1031" s="1367"/>
      <c r="B1031" s="1968" t="s">
        <v>5</v>
      </c>
      <c r="C1031" s="1968" t="s">
        <v>2280</v>
      </c>
      <c r="D1031" s="1968" t="s">
        <v>4157</v>
      </c>
      <c r="E1031" s="1968" t="s">
        <v>4158</v>
      </c>
      <c r="F1031" s="1968"/>
      <c r="G1031" s="1969" t="s">
        <v>4159</v>
      </c>
      <c r="H1031" s="1968" t="s">
        <v>4160</v>
      </c>
      <c r="I1031" s="1968"/>
      <c r="J1031" s="1968" t="s">
        <v>4185</v>
      </c>
      <c r="K1031" s="1964" t="s">
        <v>4162</v>
      </c>
      <c r="L1031" s="1968" t="s">
        <v>4163</v>
      </c>
      <c r="M1031" s="1971" t="s">
        <v>4164</v>
      </c>
      <c r="N1031" s="1962" t="s">
        <v>4165</v>
      </c>
      <c r="O1031" s="1968" t="s">
        <v>4166</v>
      </c>
      <c r="P1031" s="1972" t="s">
        <v>4167</v>
      </c>
      <c r="Q1031" s="1973"/>
      <c r="R1031" s="636" t="s">
        <v>4186</v>
      </c>
      <c r="S1031" s="1972" t="s">
        <v>4169</v>
      </c>
      <c r="T1031" s="1974"/>
      <c r="U1031" s="1973"/>
      <c r="V1031" s="1975" t="s">
        <v>4170</v>
      </c>
      <c r="W1031" s="1975"/>
      <c r="X1031" s="1960" t="s">
        <v>4171</v>
      </c>
      <c r="Y1031" s="1959"/>
      <c r="Z1031" s="633"/>
      <c r="AA1031" s="426"/>
      <c r="AB1031" s="426"/>
      <c r="AC1031" s="426"/>
      <c r="AD1031" s="564"/>
      <c r="AE1031" s="426"/>
      <c r="AF1031" s="564"/>
      <c r="AG1031" s="426"/>
      <c r="AH1031" s="426"/>
      <c r="AI1031" s="427"/>
      <c r="AJ1031" s="427"/>
      <c r="AK1031" s="427"/>
      <c r="AL1031" s="427"/>
      <c r="AM1031" s="428"/>
      <c r="AN1031" s="427"/>
      <c r="AO1031" s="427"/>
      <c r="AP1031" s="426"/>
      <c r="AQ1031" s="427"/>
      <c r="AR1031" s="427"/>
      <c r="AS1031" s="427"/>
      <c r="AT1031" s="426"/>
      <c r="AU1031" s="427"/>
      <c r="AV1031" s="427"/>
      <c r="AW1031" s="427"/>
      <c r="AX1031" s="426"/>
      <c r="AY1031" s="427"/>
      <c r="AZ1031" s="427"/>
      <c r="BA1031" s="427"/>
      <c r="BB1031" s="429"/>
      <c r="BC1031" s="430"/>
      <c r="BD1031" s="430"/>
    </row>
    <row r="1032" spans="1:59" s="431" customFormat="1" ht="18" customHeight="1" x14ac:dyDescent="0.2">
      <c r="A1032" s="1367"/>
      <c r="B1032" s="1968"/>
      <c r="C1032" s="1968"/>
      <c r="D1032" s="1968"/>
      <c r="E1032" s="1968"/>
      <c r="F1032" s="1968"/>
      <c r="G1032" s="1969"/>
      <c r="H1032" s="1968"/>
      <c r="I1032" s="1968"/>
      <c r="J1032" s="1968"/>
      <c r="K1032" s="1970"/>
      <c r="L1032" s="1968"/>
      <c r="M1032" s="1971"/>
      <c r="N1032" s="1963"/>
      <c r="O1032" s="1968"/>
      <c r="P1032" s="2037" t="s">
        <v>4172</v>
      </c>
      <c r="Q1032" s="1960" t="s">
        <v>4173</v>
      </c>
      <c r="R1032" s="1962" t="s">
        <v>4159</v>
      </c>
      <c r="S1032" s="1962" t="s">
        <v>4174</v>
      </c>
      <c r="T1032" s="1964" t="s">
        <v>4175</v>
      </c>
      <c r="U1032" s="1966" t="s">
        <v>4159</v>
      </c>
      <c r="V1032" s="1975"/>
      <c r="W1032" s="1975"/>
      <c r="X1032" s="1976"/>
      <c r="Y1032" s="1959"/>
      <c r="Z1032" s="633"/>
      <c r="AA1032" s="426"/>
      <c r="AB1032" s="426"/>
      <c r="AC1032" s="426"/>
      <c r="AD1032" s="564"/>
      <c r="AE1032" s="426"/>
      <c r="AF1032" s="564"/>
      <c r="AG1032" s="426"/>
      <c r="AH1032" s="426"/>
      <c r="AI1032" s="427"/>
      <c r="AJ1032" s="427"/>
      <c r="AK1032" s="426"/>
      <c r="AL1032" s="427"/>
      <c r="AM1032" s="428"/>
      <c r="AN1032" s="427"/>
      <c r="AO1032" s="427"/>
      <c r="AP1032" s="432"/>
      <c r="AQ1032" s="427"/>
      <c r="AR1032" s="427"/>
      <c r="AS1032" s="427"/>
      <c r="AT1032" s="432"/>
      <c r="AU1032" s="427"/>
      <c r="AV1032" s="427"/>
      <c r="AW1032" s="427"/>
      <c r="AX1032" s="432"/>
      <c r="AY1032" s="427"/>
      <c r="AZ1032" s="427"/>
      <c r="BA1032" s="427"/>
      <c r="BB1032" s="429"/>
      <c r="BC1032" s="430"/>
      <c r="BD1032" s="430"/>
    </row>
    <row r="1033" spans="1:59" s="431" customFormat="1" ht="18" customHeight="1" x14ac:dyDescent="0.2">
      <c r="A1033" s="1367"/>
      <c r="B1033" s="1968"/>
      <c r="C1033" s="1968"/>
      <c r="D1033" s="1968"/>
      <c r="E1033" s="433" t="s">
        <v>4176</v>
      </c>
      <c r="F1033" s="434" t="s">
        <v>2288</v>
      </c>
      <c r="G1033" s="1969"/>
      <c r="H1033" s="635" t="s">
        <v>2288</v>
      </c>
      <c r="I1033" s="635" t="s">
        <v>4177</v>
      </c>
      <c r="J1033" s="1968"/>
      <c r="K1033" s="1965"/>
      <c r="L1033" s="435" t="s">
        <v>2288</v>
      </c>
      <c r="M1033" s="681" t="s">
        <v>2288</v>
      </c>
      <c r="N1033" s="635" t="s">
        <v>2288</v>
      </c>
      <c r="O1033" s="1968"/>
      <c r="P1033" s="2038"/>
      <c r="Q1033" s="1961"/>
      <c r="R1033" s="1963"/>
      <c r="S1033" s="1963"/>
      <c r="T1033" s="1965"/>
      <c r="U1033" s="1967"/>
      <c r="V1033" s="635" t="s">
        <v>4178</v>
      </c>
      <c r="W1033" s="637" t="s">
        <v>4159</v>
      </c>
      <c r="X1033" s="1961"/>
      <c r="Y1033" s="436"/>
      <c r="Z1033" s="436"/>
      <c r="AA1033" s="426"/>
      <c r="AB1033" s="426"/>
      <c r="AC1033" s="426"/>
      <c r="AD1033" s="564"/>
      <c r="AE1033" s="426"/>
      <c r="AF1033" s="564"/>
      <c r="AG1033" s="426"/>
      <c r="AH1033" s="426"/>
      <c r="AI1033" s="427"/>
      <c r="AJ1033" s="432"/>
      <c r="AK1033" s="432"/>
      <c r="AL1033" s="427"/>
      <c r="AM1033" s="428"/>
      <c r="AN1033" s="432"/>
      <c r="AO1033" s="427"/>
      <c r="AP1033" s="432"/>
      <c r="AQ1033" s="432"/>
      <c r="AR1033" s="427"/>
      <c r="AS1033" s="427"/>
      <c r="AT1033" s="432"/>
      <c r="AU1033" s="432"/>
      <c r="AV1033" s="427"/>
      <c r="AW1033" s="427"/>
      <c r="AX1033" s="432"/>
      <c r="AY1033" s="432"/>
      <c r="AZ1033" s="427"/>
      <c r="BA1033" s="427"/>
      <c r="BB1033" s="429"/>
      <c r="BC1033" s="430"/>
      <c r="BD1033" s="430"/>
    </row>
    <row r="1034" spans="1:59" s="461" customFormat="1" ht="18" customHeight="1" x14ac:dyDescent="0.2">
      <c r="A1034" s="1368" t="str">
        <f>$D$1030&amp;S1034</f>
        <v>PAUH ANGIT - PS. USANG PANGEAN2001</v>
      </c>
      <c r="B1034" s="1373">
        <v>1</v>
      </c>
      <c r="C1034" s="532" t="s">
        <v>696</v>
      </c>
      <c r="D1034" s="437" t="s">
        <v>3821</v>
      </c>
      <c r="E1034" s="438"/>
      <c r="F1034" s="439">
        <v>2001</v>
      </c>
      <c r="G1034" s="623">
        <v>187200000</v>
      </c>
      <c r="H1034" s="440">
        <f>VLOOKUP(LEFT(D1034,8),UE,4)</f>
        <v>10</v>
      </c>
      <c r="I1034" s="441"/>
      <c r="J1034" s="442">
        <f>F1034+N1034-1</f>
        <v>2010</v>
      </c>
      <c r="K1034" s="443"/>
      <c r="L1034" s="440"/>
      <c r="M1034" s="746">
        <f>IF(H1034+L1034&gt;$H1034,$H1034-H1034,L1034)</f>
        <v>0</v>
      </c>
      <c r="N1034" s="444">
        <f>H1034+M1034</f>
        <v>10</v>
      </c>
      <c r="O1034" s="442">
        <f>F1034+N1034-1</f>
        <v>2010</v>
      </c>
      <c r="P1034" s="617">
        <f>G1034</f>
        <v>187200000</v>
      </c>
      <c r="Q1034" s="445">
        <v>0</v>
      </c>
      <c r="R1034" s="445">
        <f>P1034/N1034</f>
        <v>18720000</v>
      </c>
      <c r="S1034" s="446">
        <f>F1034</f>
        <v>2001</v>
      </c>
      <c r="T1034" s="447">
        <v>1</v>
      </c>
      <c r="U1034" s="613">
        <f>R1034*T1034</f>
        <v>18720000</v>
      </c>
      <c r="V1034" s="442">
        <f>F1034</f>
        <v>2001</v>
      </c>
      <c r="W1034" s="617">
        <f>IF(OR(AND(ISBLANK(E1034),ISBLANK(G1034)),ISTEXT(E1034),ISTEXT(G1034)),"",G1034-R1034)</f>
        <v>168480000</v>
      </c>
      <c r="X1034" s="448"/>
      <c r="Y1034" s="449"/>
      <c r="Z1034" s="449"/>
      <c r="AA1034" s="693"/>
      <c r="AB1034" s="452"/>
      <c r="AC1034" s="452"/>
      <c r="AD1034" s="571"/>
      <c r="AE1034" s="452"/>
      <c r="AF1034" s="571"/>
      <c r="AG1034" s="452"/>
      <c r="AH1034" s="452"/>
      <c r="AI1034" s="453"/>
      <c r="AJ1034" s="449"/>
      <c r="AK1034" s="453"/>
      <c r="AL1034" s="454"/>
      <c r="AM1034" s="455"/>
      <c r="AN1034" s="456"/>
      <c r="AO1034" s="455"/>
      <c r="AP1034" s="452"/>
      <c r="AQ1034" s="457"/>
      <c r="AR1034" s="449"/>
      <c r="AS1034" s="449"/>
      <c r="AT1034" s="452"/>
      <c r="AU1034" s="457"/>
      <c r="AV1034" s="449"/>
      <c r="AW1034" s="458"/>
      <c r="AX1034" s="452"/>
      <c r="AY1034" s="457"/>
      <c r="AZ1034" s="449"/>
      <c r="BA1034" s="459"/>
      <c r="BB1034" s="455"/>
      <c r="BC1034" s="460"/>
      <c r="BD1034" s="460"/>
      <c r="BG1034" s="462"/>
    </row>
    <row r="1035" spans="1:59" s="461" customFormat="1" ht="18" customHeight="1" x14ac:dyDescent="0.2">
      <c r="A1035" s="1368" t="str">
        <f t="shared" ref="A1035:A1043" si="762">$D$1030&amp;S1035</f>
        <v>PAUH ANGIT - PS. USANG PANGEAN2010</v>
      </c>
      <c r="B1035" s="1373"/>
      <c r="C1035" s="488"/>
      <c r="D1035" s="489"/>
      <c r="E1035" s="558"/>
      <c r="F1035" s="559">
        <v>2010</v>
      </c>
      <c r="G1035" s="619">
        <v>0</v>
      </c>
      <c r="H1035" s="464">
        <f>IF(N1034-(F1035-F1034)&lt;=0,0,(N1034-(F1035-F1034)))</f>
        <v>1</v>
      </c>
      <c r="I1035" s="560"/>
      <c r="J1035" s="468">
        <f>F1035+N1035-1</f>
        <v>2010</v>
      </c>
      <c r="K1035" s="490">
        <f>IF(G1035=0,0,IF(H1035=10,100%,G1035/W1034))</f>
        <v>0</v>
      </c>
      <c r="L1035" s="469">
        <f>IF(K1035=0%,0,IF(K1035&lt;=30%,2,IF(K1035&lt;=60%,5,10)))</f>
        <v>0</v>
      </c>
      <c r="M1035" s="683">
        <f>IF(OR(AND(ISBLANK(E1035),ISBLANK(G1035)),ISTEXT(E1035),ISTEXT(G1035)),"",IF(H1035+L1035&gt;$H$8,$H$8-H1035,L1035))</f>
        <v>0</v>
      </c>
      <c r="N1035" s="470">
        <f>IF(OR(AND(ISBLANK(F1035),ISBLANK(G1035)),ISTEXT(F1035),ISTEXT(G1035)),"",H1035+M1035)</f>
        <v>1</v>
      </c>
      <c r="O1035" s="468">
        <f>F1035+N1035-1</f>
        <v>2010</v>
      </c>
      <c r="P1035" s="616">
        <f>W1034</f>
        <v>168480000</v>
      </c>
      <c r="Q1035" s="472">
        <f>P1035+G1035</f>
        <v>168480000</v>
      </c>
      <c r="R1035" s="472">
        <f>IF(L1035=0,R1034,Q1035/N1035)</f>
        <v>18720000</v>
      </c>
      <c r="S1035" s="634">
        <f>F1035</f>
        <v>2010</v>
      </c>
      <c r="T1035" s="470">
        <f>S1035-S1034</f>
        <v>9</v>
      </c>
      <c r="U1035" s="612">
        <f>R1035*T1035</f>
        <v>168480000</v>
      </c>
      <c r="V1035" s="464">
        <f>F1035</f>
        <v>2010</v>
      </c>
      <c r="W1035" s="612">
        <f>IF(OR(AND(ISBLANK(E1035),ISBLANK(G1035)),ISTEXT(E1035),ISTEXT(G1035)),"",Q1035-U1035)</f>
        <v>0</v>
      </c>
      <c r="X1035" s="561"/>
      <c r="Y1035" s="449"/>
      <c r="Z1035" s="449"/>
      <c r="AA1035" s="693"/>
      <c r="AB1035" s="452"/>
      <c r="AC1035" s="452"/>
      <c r="AD1035" s="571"/>
      <c r="AE1035" s="452"/>
      <c r="AF1035" s="571"/>
      <c r="AG1035" s="452"/>
      <c r="AH1035" s="452"/>
      <c r="AI1035" s="453"/>
      <c r="AJ1035" s="449"/>
      <c r="AK1035" s="453"/>
      <c r="AL1035" s="454"/>
      <c r="AM1035" s="455"/>
      <c r="AN1035" s="456"/>
      <c r="AO1035" s="455"/>
      <c r="AP1035" s="452"/>
      <c r="AQ1035" s="457"/>
      <c r="AR1035" s="449"/>
      <c r="AS1035" s="449"/>
      <c r="AT1035" s="452"/>
      <c r="AU1035" s="457"/>
      <c r="AV1035" s="449"/>
      <c r="AW1035" s="458"/>
      <c r="AX1035" s="452"/>
      <c r="AY1035" s="457"/>
      <c r="AZ1035" s="449"/>
      <c r="BA1035" s="459"/>
      <c r="BB1035" s="455"/>
      <c r="BC1035" s="460"/>
      <c r="BD1035" s="460"/>
      <c r="BG1035" s="462"/>
    </row>
    <row r="1036" spans="1:59" s="461" customFormat="1" ht="18" customHeight="1" x14ac:dyDescent="0.2">
      <c r="A1036" s="1368" t="str">
        <f t="shared" si="762"/>
        <v>PAUH ANGIT - PS. USANG PANGEAN2011</v>
      </c>
      <c r="B1036" s="1373"/>
      <c r="C1036" s="488"/>
      <c r="D1036" s="489"/>
      <c r="E1036" s="558"/>
      <c r="F1036" s="559">
        <v>2011</v>
      </c>
      <c r="G1036" s="619">
        <v>0</v>
      </c>
      <c r="H1036" s="464">
        <f>IF(N1035-(F1036-F1035)&lt;=0,0,(N1035-(F1036-F1035)))</f>
        <v>0</v>
      </c>
      <c r="I1036" s="560"/>
      <c r="J1036" s="468">
        <f t="shared" ref="J1036:J1042" si="763">F1036+N1036-1</f>
        <v>2010</v>
      </c>
      <c r="K1036" s="490">
        <f t="shared" ref="K1036:K1042" si="764">IF(G1036=0,0,IF(H1036=10,100%,G1036/W1035))</f>
        <v>0</v>
      </c>
      <c r="L1036" s="469">
        <f t="shared" ref="L1036:L1042" si="765">IF(K1036=0%,0,IF(K1036&lt;=30%,2,IF(K1036&lt;=60%,5,10)))</f>
        <v>0</v>
      </c>
      <c r="M1036" s="683">
        <f t="shared" ref="M1036:M1042" si="766">IF(OR(AND(ISBLANK(E1036),ISBLANK(G1036)),ISTEXT(E1036),ISTEXT(G1036)),"",IF(H1036+L1036&gt;$H$8,$H$8-H1036,L1036))</f>
        <v>0</v>
      </c>
      <c r="N1036" s="470">
        <f t="shared" ref="N1036:N1042" si="767">IF(OR(AND(ISBLANK(F1036),ISBLANK(G1036)),ISTEXT(F1036),ISTEXT(G1036)),"",H1036+M1036)</f>
        <v>0</v>
      </c>
      <c r="O1036" s="468">
        <f t="shared" ref="O1036:O1042" si="768">F1036+N1036-1</f>
        <v>2010</v>
      </c>
      <c r="P1036" s="616">
        <f t="shared" ref="P1036:P1042" si="769">W1035</f>
        <v>0</v>
      </c>
      <c r="Q1036" s="472">
        <f t="shared" ref="Q1036:Q1042" si="770">P1036+G1036</f>
        <v>0</v>
      </c>
      <c r="R1036" s="472">
        <v>0</v>
      </c>
      <c r="S1036" s="759">
        <f t="shared" ref="S1036:S1042" si="771">F1036</f>
        <v>2011</v>
      </c>
      <c r="T1036" s="470">
        <f t="shared" ref="T1036:T1042" si="772">S1036-S1035</f>
        <v>1</v>
      </c>
      <c r="U1036" s="612">
        <f t="shared" ref="U1036:U1042" si="773">R1036*T1036</f>
        <v>0</v>
      </c>
      <c r="V1036" s="464">
        <f t="shared" ref="V1036:V1042" si="774">F1036</f>
        <v>2011</v>
      </c>
      <c r="W1036" s="612">
        <f t="shared" ref="W1036:W1042" si="775">IF(OR(AND(ISBLANK(E1036),ISBLANK(G1036)),ISTEXT(E1036),ISTEXT(G1036)),"",Q1036-U1036)</f>
        <v>0</v>
      </c>
      <c r="X1036" s="561"/>
      <c r="Y1036" s="449"/>
      <c r="Z1036" s="449"/>
      <c r="AA1036" s="694"/>
      <c r="AB1036" s="692"/>
      <c r="AC1036" s="692"/>
      <c r="AD1036" s="695"/>
      <c r="AE1036" s="452"/>
      <c r="AF1036" s="571"/>
      <c r="AG1036" s="452"/>
      <c r="AH1036" s="452"/>
      <c r="AI1036" s="453"/>
      <c r="AJ1036" s="449"/>
      <c r="AK1036" s="453"/>
      <c r="AL1036" s="454"/>
      <c r="AM1036" s="455"/>
      <c r="AN1036" s="456"/>
      <c r="AO1036" s="455"/>
      <c r="AP1036" s="452"/>
      <c r="AQ1036" s="457"/>
      <c r="AR1036" s="449"/>
      <c r="AS1036" s="449"/>
      <c r="AT1036" s="452"/>
      <c r="AU1036" s="457"/>
      <c r="AV1036" s="449"/>
      <c r="AW1036" s="458"/>
      <c r="AX1036" s="452"/>
      <c r="AY1036" s="457"/>
      <c r="AZ1036" s="449"/>
      <c r="BA1036" s="459"/>
      <c r="BB1036" s="455"/>
      <c r="BC1036" s="460"/>
      <c r="BD1036" s="460"/>
      <c r="BG1036" s="462"/>
    </row>
    <row r="1037" spans="1:59" s="461" customFormat="1" ht="18" customHeight="1" x14ac:dyDescent="0.2">
      <c r="A1037" s="1368" t="str">
        <f t="shared" si="762"/>
        <v>PAUH ANGIT - PS. USANG PANGEAN2013</v>
      </c>
      <c r="B1037" s="1373"/>
      <c r="C1037" s="488"/>
      <c r="D1037" s="489"/>
      <c r="E1037" s="558"/>
      <c r="F1037" s="559">
        <v>2013</v>
      </c>
      <c r="G1037" s="619">
        <v>0</v>
      </c>
      <c r="H1037" s="464">
        <f>IF(N1036-(F1037-F1036)&lt;=0,0,(N1036-(F1037-F1036)))</f>
        <v>0</v>
      </c>
      <c r="I1037" s="560"/>
      <c r="J1037" s="468">
        <f t="shared" si="763"/>
        <v>2012</v>
      </c>
      <c r="K1037" s="490">
        <f t="shared" si="764"/>
        <v>0</v>
      </c>
      <c r="L1037" s="469">
        <f t="shared" si="765"/>
        <v>0</v>
      </c>
      <c r="M1037" s="683">
        <f t="shared" si="766"/>
        <v>0</v>
      </c>
      <c r="N1037" s="470">
        <f t="shared" si="767"/>
        <v>0</v>
      </c>
      <c r="O1037" s="468">
        <f t="shared" si="768"/>
        <v>2012</v>
      </c>
      <c r="P1037" s="616">
        <f t="shared" si="769"/>
        <v>0</v>
      </c>
      <c r="Q1037" s="472">
        <f t="shared" si="770"/>
        <v>0</v>
      </c>
      <c r="R1037" s="472">
        <f t="shared" ref="R1037:R1042" si="776">IF(L1037=0,R1036,Q1037/N1037)</f>
        <v>0</v>
      </c>
      <c r="S1037" s="759">
        <f t="shared" si="771"/>
        <v>2013</v>
      </c>
      <c r="T1037" s="470">
        <f t="shared" si="772"/>
        <v>2</v>
      </c>
      <c r="U1037" s="612">
        <f t="shared" si="773"/>
        <v>0</v>
      </c>
      <c r="V1037" s="464">
        <f t="shared" si="774"/>
        <v>2013</v>
      </c>
      <c r="W1037" s="612">
        <f t="shared" si="775"/>
        <v>0</v>
      </c>
      <c r="X1037" s="561"/>
      <c r="Y1037" s="449"/>
      <c r="Z1037" s="449"/>
      <c r="AA1037" s="554" t="s">
        <v>4179</v>
      </c>
      <c r="AB1037" s="452"/>
      <c r="AC1037" s="452"/>
      <c r="AD1037" s="566"/>
      <c r="AE1037" s="452"/>
      <c r="AF1037" s="571"/>
      <c r="AG1037" s="452"/>
      <c r="AH1037" s="452"/>
      <c r="AI1037" s="453"/>
      <c r="AJ1037" s="449"/>
      <c r="AK1037" s="453"/>
      <c r="AL1037" s="454"/>
      <c r="AM1037" s="455"/>
      <c r="AN1037" s="456"/>
      <c r="AO1037" s="455"/>
      <c r="AP1037" s="452"/>
      <c r="AQ1037" s="457"/>
      <c r="AR1037" s="449"/>
      <c r="AS1037" s="449"/>
      <c r="AT1037" s="452"/>
      <c r="AU1037" s="457"/>
      <c r="AV1037" s="449"/>
      <c r="AW1037" s="458"/>
      <c r="AX1037" s="452"/>
      <c r="AY1037" s="457"/>
      <c r="AZ1037" s="449"/>
      <c r="BA1037" s="459"/>
      <c r="BB1037" s="455"/>
      <c r="BC1037" s="460"/>
      <c r="BD1037" s="460"/>
      <c r="BG1037" s="462"/>
    </row>
    <row r="1038" spans="1:59" s="461" customFormat="1" ht="18" customHeight="1" x14ac:dyDescent="0.2">
      <c r="A1038" s="1368" t="str">
        <f t="shared" si="762"/>
        <v>PAUH ANGIT - PS. USANG PANGEAN2014</v>
      </c>
      <c r="B1038" s="1373"/>
      <c r="C1038" s="488"/>
      <c r="D1038" s="489"/>
      <c r="E1038" s="558"/>
      <c r="F1038" s="559">
        <v>2014</v>
      </c>
      <c r="G1038" s="619">
        <v>0</v>
      </c>
      <c r="H1038" s="464">
        <f>IF(N1037-(F1038-F1037)&lt;=0,0,(N1037-(F1038-F1037)))</f>
        <v>0</v>
      </c>
      <c r="I1038" s="560"/>
      <c r="J1038" s="468">
        <f t="shared" si="763"/>
        <v>2013</v>
      </c>
      <c r="K1038" s="490">
        <f t="shared" si="764"/>
        <v>0</v>
      </c>
      <c r="L1038" s="469">
        <f t="shared" si="765"/>
        <v>0</v>
      </c>
      <c r="M1038" s="683">
        <f t="shared" si="766"/>
        <v>0</v>
      </c>
      <c r="N1038" s="470">
        <f t="shared" si="767"/>
        <v>0</v>
      </c>
      <c r="O1038" s="468">
        <f t="shared" si="768"/>
        <v>2013</v>
      </c>
      <c r="P1038" s="616">
        <f t="shared" si="769"/>
        <v>0</v>
      </c>
      <c r="Q1038" s="472">
        <f t="shared" si="770"/>
        <v>0</v>
      </c>
      <c r="R1038" s="472">
        <f t="shared" si="776"/>
        <v>0</v>
      </c>
      <c r="S1038" s="759">
        <f t="shared" si="771"/>
        <v>2014</v>
      </c>
      <c r="T1038" s="470">
        <f t="shared" si="772"/>
        <v>1</v>
      </c>
      <c r="U1038" s="612">
        <f t="shared" si="773"/>
        <v>0</v>
      </c>
      <c r="V1038" s="464">
        <f t="shared" si="774"/>
        <v>2014</v>
      </c>
      <c r="W1038" s="612">
        <f t="shared" si="775"/>
        <v>0</v>
      </c>
      <c r="X1038" s="561"/>
      <c r="Y1038" s="449"/>
      <c r="Z1038" s="449"/>
      <c r="AA1038" s="554"/>
      <c r="AB1038" s="452"/>
      <c r="AC1038" s="452"/>
      <c r="AD1038" s="566"/>
      <c r="AE1038" s="452"/>
      <c r="AF1038" s="571"/>
      <c r="AG1038" s="452"/>
      <c r="AH1038" s="452"/>
      <c r="AI1038" s="453"/>
      <c r="AJ1038" s="449"/>
      <c r="AK1038" s="453"/>
      <c r="AL1038" s="454"/>
      <c r="AM1038" s="455"/>
      <c r="AN1038" s="456"/>
      <c r="AO1038" s="455"/>
      <c r="AP1038" s="452"/>
      <c r="AQ1038" s="457"/>
      <c r="AR1038" s="449"/>
      <c r="AS1038" s="449"/>
      <c r="AT1038" s="452"/>
      <c r="AU1038" s="457"/>
      <c r="AV1038" s="449"/>
      <c r="AW1038" s="458"/>
      <c r="AX1038" s="452"/>
      <c r="AY1038" s="457"/>
      <c r="AZ1038" s="449"/>
      <c r="BA1038" s="459"/>
      <c r="BB1038" s="455"/>
      <c r="BC1038" s="460"/>
      <c r="BD1038" s="460"/>
      <c r="BG1038" s="462"/>
    </row>
    <row r="1039" spans="1:59" s="486" customFormat="1" ht="18" customHeight="1" x14ac:dyDescent="0.2">
      <c r="A1039" s="1368" t="str">
        <f t="shared" si="762"/>
        <v>PAUH ANGIT - PS. USANG PANGEAN2015</v>
      </c>
      <c r="B1039" s="1373">
        <v>2</v>
      </c>
      <c r="C1039" s="488" t="s">
        <v>1410</v>
      </c>
      <c r="D1039" s="489" t="s">
        <v>3821</v>
      </c>
      <c r="E1039" s="558"/>
      <c r="F1039" s="559">
        <v>2015</v>
      </c>
      <c r="G1039" s="619">
        <v>2059213886</v>
      </c>
      <c r="H1039" s="557">
        <f>VLOOKUP(LEFT(D1039,8),UE,4)</f>
        <v>10</v>
      </c>
      <c r="I1039" s="467"/>
      <c r="J1039" s="468">
        <f t="shared" si="763"/>
        <v>2024</v>
      </c>
      <c r="K1039" s="490">
        <f t="shared" si="764"/>
        <v>1</v>
      </c>
      <c r="L1039" s="469">
        <f t="shared" si="765"/>
        <v>10</v>
      </c>
      <c r="M1039" s="683">
        <f t="shared" si="766"/>
        <v>0</v>
      </c>
      <c r="N1039" s="470">
        <f t="shared" si="767"/>
        <v>10</v>
      </c>
      <c r="O1039" s="468">
        <f t="shared" si="768"/>
        <v>2024</v>
      </c>
      <c r="P1039" s="616">
        <f t="shared" si="769"/>
        <v>0</v>
      </c>
      <c r="Q1039" s="472">
        <f t="shared" si="770"/>
        <v>2059213886</v>
      </c>
      <c r="R1039" s="472">
        <f t="shared" si="776"/>
        <v>205921388.59999999</v>
      </c>
      <c r="S1039" s="759">
        <f t="shared" si="771"/>
        <v>2015</v>
      </c>
      <c r="T1039" s="470">
        <f t="shared" si="772"/>
        <v>1</v>
      </c>
      <c r="U1039" s="612">
        <f t="shared" si="773"/>
        <v>205921388.59999999</v>
      </c>
      <c r="V1039" s="464">
        <f t="shared" si="774"/>
        <v>2015</v>
      </c>
      <c r="W1039" s="612">
        <f t="shared" si="775"/>
        <v>1853292497.4000001</v>
      </c>
      <c r="X1039" s="473"/>
      <c r="Y1039" s="474"/>
      <c r="Z1039" s="449"/>
      <c r="AA1039" s="475" t="s">
        <v>4180</v>
      </c>
      <c r="AB1039" s="476"/>
      <c r="AC1039" s="476"/>
      <c r="AD1039" s="567">
        <f>G1045</f>
        <v>2246413886</v>
      </c>
      <c r="AE1039" s="476"/>
      <c r="AF1039" s="568"/>
      <c r="AG1039" s="476"/>
      <c r="AH1039" s="476"/>
      <c r="AI1039" s="477"/>
      <c r="AJ1039" s="478"/>
      <c r="AK1039" s="479"/>
      <c r="AL1039" s="480"/>
      <c r="AM1039" s="474"/>
      <c r="AN1039" s="481"/>
      <c r="AO1039" s="474"/>
      <c r="AP1039" s="476"/>
      <c r="AQ1039" s="482"/>
      <c r="AR1039" s="478"/>
      <c r="AS1039" s="478"/>
      <c r="AT1039" s="476"/>
      <c r="AU1039" s="482"/>
      <c r="AV1039" s="478"/>
      <c r="AW1039" s="483"/>
      <c r="AX1039" s="476"/>
      <c r="AY1039" s="482"/>
      <c r="AZ1039" s="478"/>
      <c r="BA1039" s="484"/>
      <c r="BB1039" s="474"/>
      <c r="BC1039" s="485"/>
      <c r="BD1039" s="485"/>
      <c r="BG1039" s="487"/>
    </row>
    <row r="1040" spans="1:59" s="486" customFormat="1" ht="18" customHeight="1" x14ac:dyDescent="0.2">
      <c r="A1040" s="1368" t="str">
        <f t="shared" si="762"/>
        <v>PAUH ANGIT - PS. USANG PANGEAN2016</v>
      </c>
      <c r="B1040" s="1373"/>
      <c r="C1040" s="488"/>
      <c r="D1040" s="489"/>
      <c r="E1040" s="558"/>
      <c r="F1040" s="559">
        <v>2016</v>
      </c>
      <c r="G1040" s="619">
        <v>0</v>
      </c>
      <c r="H1040" s="464">
        <f>IF(N1039-(F1040-F1039)&lt;=0,0,(N1039-(F1040-F1039)))</f>
        <v>9</v>
      </c>
      <c r="I1040" s="467"/>
      <c r="J1040" s="468">
        <f t="shared" si="763"/>
        <v>2024</v>
      </c>
      <c r="K1040" s="490">
        <f t="shared" si="764"/>
        <v>0</v>
      </c>
      <c r="L1040" s="469">
        <f t="shared" si="765"/>
        <v>0</v>
      </c>
      <c r="M1040" s="683">
        <f t="shared" si="766"/>
        <v>0</v>
      </c>
      <c r="N1040" s="470">
        <f t="shared" si="767"/>
        <v>9</v>
      </c>
      <c r="O1040" s="468">
        <f t="shared" si="768"/>
        <v>2024</v>
      </c>
      <c r="P1040" s="616">
        <f t="shared" si="769"/>
        <v>1853292497.4000001</v>
      </c>
      <c r="Q1040" s="472">
        <f t="shared" si="770"/>
        <v>1853292497.4000001</v>
      </c>
      <c r="R1040" s="472">
        <f t="shared" si="776"/>
        <v>205921388.59999999</v>
      </c>
      <c r="S1040" s="759">
        <f t="shared" si="771"/>
        <v>2016</v>
      </c>
      <c r="T1040" s="470">
        <f t="shared" si="772"/>
        <v>1</v>
      </c>
      <c r="U1040" s="612">
        <f t="shared" si="773"/>
        <v>205921388.59999999</v>
      </c>
      <c r="V1040" s="464">
        <f t="shared" si="774"/>
        <v>2016</v>
      </c>
      <c r="W1040" s="612">
        <f t="shared" si="775"/>
        <v>1647371108.8000002</v>
      </c>
      <c r="X1040" s="473"/>
      <c r="Y1040" s="478"/>
      <c r="Z1040" s="449"/>
      <c r="AA1040" s="475" t="s">
        <v>4181</v>
      </c>
      <c r="AB1040" s="491"/>
      <c r="AC1040" s="491"/>
      <c r="AD1040" s="567">
        <f>U1045</f>
        <v>1216806943</v>
      </c>
      <c r="AE1040" s="491"/>
      <c r="AF1040" s="568"/>
      <c r="AG1040" s="491"/>
      <c r="AH1040" s="491"/>
      <c r="AI1040" s="477"/>
      <c r="AJ1040" s="478"/>
      <c r="AK1040" s="479"/>
      <c r="AL1040" s="480"/>
      <c r="AM1040" s="474"/>
      <c r="AN1040" s="481"/>
      <c r="AO1040" s="474"/>
      <c r="AP1040" s="476"/>
      <c r="AQ1040" s="482"/>
      <c r="AR1040" s="478"/>
      <c r="AS1040" s="478"/>
      <c r="AT1040" s="476"/>
      <c r="AU1040" s="482"/>
      <c r="AV1040" s="478"/>
      <c r="AW1040" s="483"/>
      <c r="AX1040" s="476"/>
      <c r="AY1040" s="482"/>
      <c r="AZ1040" s="478"/>
      <c r="BA1040" s="484"/>
      <c r="BB1040" s="474"/>
      <c r="BC1040" s="485"/>
      <c r="BD1040" s="485"/>
      <c r="BG1040" s="487"/>
    </row>
    <row r="1041" spans="1:59" s="486" customFormat="1" ht="18" customHeight="1" x14ac:dyDescent="0.2">
      <c r="A1041" s="1368" t="str">
        <f t="shared" si="762"/>
        <v>PAUH ANGIT - PS. USANG PANGEAN2017</v>
      </c>
      <c r="B1041" s="1373"/>
      <c r="C1041" s="488"/>
      <c r="D1041" s="489"/>
      <c r="E1041" s="558"/>
      <c r="F1041" s="559">
        <v>2017</v>
      </c>
      <c r="G1041" s="619">
        <v>0</v>
      </c>
      <c r="H1041" s="464">
        <f>IF(N1040-(F1041-F1040)&lt;=0,0,(N1040-(F1041-F1040)))</f>
        <v>8</v>
      </c>
      <c r="I1041" s="467"/>
      <c r="J1041" s="468">
        <f t="shared" si="763"/>
        <v>2024</v>
      </c>
      <c r="K1041" s="490">
        <f t="shared" si="764"/>
        <v>0</v>
      </c>
      <c r="L1041" s="469">
        <f t="shared" si="765"/>
        <v>0</v>
      </c>
      <c r="M1041" s="683">
        <f t="shared" si="766"/>
        <v>0</v>
      </c>
      <c r="N1041" s="470">
        <f t="shared" si="767"/>
        <v>8</v>
      </c>
      <c r="O1041" s="468">
        <f t="shared" si="768"/>
        <v>2024</v>
      </c>
      <c r="P1041" s="616">
        <f t="shared" si="769"/>
        <v>1647371108.8000002</v>
      </c>
      <c r="Q1041" s="472">
        <f t="shared" si="770"/>
        <v>1647371108.8000002</v>
      </c>
      <c r="R1041" s="472">
        <f t="shared" si="776"/>
        <v>205921388.59999999</v>
      </c>
      <c r="S1041" s="759">
        <f t="shared" si="771"/>
        <v>2017</v>
      </c>
      <c r="T1041" s="470">
        <f t="shared" si="772"/>
        <v>1</v>
      </c>
      <c r="U1041" s="612">
        <f t="shared" si="773"/>
        <v>205921388.59999999</v>
      </c>
      <c r="V1041" s="464">
        <f t="shared" si="774"/>
        <v>2017</v>
      </c>
      <c r="W1041" s="612">
        <f t="shared" si="775"/>
        <v>1441449720.2000003</v>
      </c>
      <c r="X1041" s="473"/>
      <c r="Y1041" s="478"/>
      <c r="Z1041" s="449"/>
      <c r="AA1041" s="492" t="s">
        <v>4182</v>
      </c>
      <c r="AB1041" s="476"/>
      <c r="AC1041" s="476"/>
      <c r="AD1041" s="567">
        <f>AD1039-AD1040</f>
        <v>1029606943</v>
      </c>
      <c r="AE1041" s="476"/>
      <c r="AF1041" s="568"/>
      <c r="AG1041" s="476"/>
      <c r="AH1041" s="476"/>
      <c r="AI1041" s="477"/>
      <c r="AJ1041" s="478"/>
      <c r="AK1041" s="479"/>
      <c r="AL1041" s="480"/>
      <c r="AM1041" s="474"/>
      <c r="AN1041" s="481"/>
      <c r="AO1041" s="474"/>
      <c r="AP1041" s="476"/>
      <c r="AQ1041" s="482"/>
      <c r="AR1041" s="478"/>
      <c r="AS1041" s="478"/>
      <c r="AT1041" s="476"/>
      <c r="AU1041" s="482"/>
      <c r="AV1041" s="478"/>
      <c r="AW1041" s="483"/>
      <c r="AX1041" s="476"/>
      <c r="AY1041" s="482"/>
      <c r="AZ1041" s="478"/>
      <c r="BA1041" s="484"/>
      <c r="BB1041" s="474"/>
      <c r="BC1041" s="485"/>
      <c r="BD1041" s="485"/>
      <c r="BG1041" s="487"/>
    </row>
    <row r="1042" spans="1:59" s="486" customFormat="1" ht="18" customHeight="1" x14ac:dyDescent="0.2">
      <c r="A1042" s="1368" t="str">
        <f t="shared" si="762"/>
        <v>PAUH ANGIT - PS. USANG PANGEAN2018</v>
      </c>
      <c r="B1042" s="687"/>
      <c r="C1042" s="463"/>
      <c r="D1042" s="489"/>
      <c r="E1042" s="465"/>
      <c r="F1042" s="559">
        <v>2018</v>
      </c>
      <c r="G1042" s="619">
        <v>0</v>
      </c>
      <c r="H1042" s="464">
        <f>IF(N1041-(F1042-F1041)&lt;=0,0,(N1041-(F1042-F1041)))</f>
        <v>7</v>
      </c>
      <c r="I1042" s="467"/>
      <c r="J1042" s="468">
        <f t="shared" si="763"/>
        <v>2024</v>
      </c>
      <c r="K1042" s="490">
        <f t="shared" si="764"/>
        <v>0</v>
      </c>
      <c r="L1042" s="469">
        <f t="shared" si="765"/>
        <v>0</v>
      </c>
      <c r="M1042" s="683">
        <f t="shared" si="766"/>
        <v>0</v>
      </c>
      <c r="N1042" s="470">
        <f t="shared" si="767"/>
        <v>7</v>
      </c>
      <c r="O1042" s="468">
        <f t="shared" si="768"/>
        <v>2024</v>
      </c>
      <c r="P1042" s="616">
        <f t="shared" si="769"/>
        <v>1441449720.2000003</v>
      </c>
      <c r="Q1042" s="472">
        <f t="shared" si="770"/>
        <v>1441449720.2000003</v>
      </c>
      <c r="R1042" s="472">
        <f t="shared" si="776"/>
        <v>205921388.59999999</v>
      </c>
      <c r="S1042" s="759">
        <f t="shared" si="771"/>
        <v>2018</v>
      </c>
      <c r="T1042" s="470">
        <f t="shared" si="772"/>
        <v>1</v>
      </c>
      <c r="U1042" s="612">
        <f t="shared" si="773"/>
        <v>205921388.59999999</v>
      </c>
      <c r="V1042" s="464">
        <f t="shared" si="774"/>
        <v>2018</v>
      </c>
      <c r="W1042" s="612">
        <f t="shared" si="775"/>
        <v>1235528331.6000004</v>
      </c>
      <c r="X1042" s="473"/>
      <c r="Y1042" s="478"/>
      <c r="Z1042" s="449"/>
      <c r="AA1042" s="531" t="s">
        <v>4183</v>
      </c>
      <c r="AB1042" s="496"/>
      <c r="AC1042" s="496"/>
      <c r="AD1042" s="569">
        <f>AD1041-W1045</f>
        <v>0</v>
      </c>
      <c r="AE1042" s="476"/>
      <c r="AF1042" s="568"/>
      <c r="AG1042" s="476"/>
      <c r="AH1042" s="476"/>
      <c r="AI1042" s="477"/>
      <c r="AJ1042" s="478"/>
      <c r="AK1042" s="479"/>
      <c r="AL1042" s="480"/>
      <c r="AM1042" s="474"/>
      <c r="AN1042" s="481"/>
      <c r="AO1042" s="474"/>
      <c r="AP1042" s="476"/>
      <c r="AQ1042" s="482"/>
      <c r="AR1042" s="478"/>
      <c r="AS1042" s="478"/>
      <c r="AT1042" s="476"/>
      <c r="AU1042" s="482"/>
      <c r="AV1042" s="478"/>
      <c r="AW1042" s="483"/>
      <c r="AX1042" s="476"/>
      <c r="AY1042" s="482"/>
      <c r="AZ1042" s="478"/>
      <c r="BA1042" s="484"/>
      <c r="BB1042" s="474"/>
      <c r="BC1042" s="485"/>
      <c r="BD1042" s="485"/>
      <c r="BG1042" s="487"/>
    </row>
    <row r="1043" spans="1:59" s="486" customFormat="1" ht="18" customHeight="1" x14ac:dyDescent="0.2">
      <c r="A1043" s="1368" t="str">
        <f t="shared" si="762"/>
        <v>PAUH ANGIT - PS. USANG PANGEAN2019</v>
      </c>
      <c r="B1043" s="687"/>
      <c r="C1043" s="463"/>
      <c r="D1043" s="489"/>
      <c r="E1043" s="465"/>
      <c r="F1043" s="559">
        <v>2019</v>
      </c>
      <c r="G1043" s="619">
        <v>0</v>
      </c>
      <c r="H1043" s="464">
        <f>IF(N1042-(F1043-F1042)&lt;=0,0,(N1042-(F1043-F1042)))</f>
        <v>6</v>
      </c>
      <c r="I1043" s="467"/>
      <c r="J1043" s="468">
        <f>F1043+N1043-1</f>
        <v>2024</v>
      </c>
      <c r="K1043" s="490">
        <f>IF(G1043=0,0,IF(H1043=10,100%,G1043/W1042))</f>
        <v>0</v>
      </c>
      <c r="L1043" s="469">
        <f>IF(K1043=0%,0,IF(K1043&lt;=30%,2,IF(K1043&lt;=60%,5,10)))</f>
        <v>0</v>
      </c>
      <c r="M1043" s="683">
        <f>IF(OR(AND(ISBLANK(E1043),ISBLANK(G1043)),ISTEXT(E1043),ISTEXT(G1043)),"",IF(H1043+L1043&gt;$H$8,$H$8-H1043,L1043))</f>
        <v>0</v>
      </c>
      <c r="N1043" s="470">
        <f>IF(OR(AND(ISBLANK(F1043),ISBLANK(G1043)),ISTEXT(F1043),ISTEXT(G1043)),"",H1043+M1043)</f>
        <v>6</v>
      </c>
      <c r="O1043" s="468">
        <f>F1043+N1043-1</f>
        <v>2024</v>
      </c>
      <c r="P1043" s="616">
        <f>W1042</f>
        <v>1235528331.6000004</v>
      </c>
      <c r="Q1043" s="472">
        <f>P1043+G1043</f>
        <v>1235528331.6000004</v>
      </c>
      <c r="R1043" s="472">
        <f>IF(L1043=0,R1042,Q1043/N1043)</f>
        <v>205921388.59999999</v>
      </c>
      <c r="S1043" s="1189">
        <f>F1043</f>
        <v>2019</v>
      </c>
      <c r="T1043" s="470">
        <f>S1043-S1042</f>
        <v>1</v>
      </c>
      <c r="U1043" s="612">
        <f>R1043*T1043</f>
        <v>205921388.59999999</v>
      </c>
      <c r="V1043" s="464">
        <f>F1043</f>
        <v>2019</v>
      </c>
      <c r="W1043" s="612">
        <f>IF(OR(AND(ISBLANK(E1043),ISBLANK(G1043)),ISTEXT(E1043),ISTEXT(G1043)),"",Q1043-U1043)</f>
        <v>1029606943.0000004</v>
      </c>
      <c r="X1043" s="473"/>
      <c r="Y1043" s="478"/>
      <c r="Z1043" s="449"/>
      <c r="AA1043" s="573"/>
      <c r="AB1043" s="476"/>
      <c r="AC1043" s="476"/>
      <c r="AD1043" s="568"/>
      <c r="AE1043" s="476"/>
      <c r="AF1043" s="568"/>
      <c r="AG1043" s="476"/>
      <c r="AH1043" s="476"/>
      <c r="AI1043" s="477"/>
      <c r="AJ1043" s="478"/>
      <c r="AK1043" s="479"/>
      <c r="AL1043" s="480"/>
      <c r="AM1043" s="474"/>
      <c r="AN1043" s="481"/>
      <c r="AO1043" s="474"/>
      <c r="AP1043" s="476"/>
      <c r="AQ1043" s="482"/>
      <c r="AR1043" s="478"/>
      <c r="AS1043" s="478"/>
      <c r="AT1043" s="476"/>
      <c r="AU1043" s="482"/>
      <c r="AV1043" s="478"/>
      <c r="AW1043" s="483"/>
      <c r="AX1043" s="476"/>
      <c r="AY1043" s="482"/>
      <c r="AZ1043" s="478"/>
      <c r="BA1043" s="484"/>
      <c r="BB1043" s="474"/>
      <c r="BC1043" s="485"/>
      <c r="BD1043" s="485"/>
      <c r="BG1043" s="487"/>
    </row>
    <row r="1044" spans="1:59" s="486" customFormat="1" ht="18" customHeight="1" x14ac:dyDescent="0.2">
      <c r="A1044" s="1368" t="str">
        <f>LEFT(D1044,8)</f>
        <v/>
      </c>
      <c r="B1044" s="687"/>
      <c r="C1044" s="463"/>
      <c r="D1044" s="489"/>
      <c r="E1044" s="465"/>
      <c r="F1044" s="466"/>
      <c r="G1044" s="620"/>
      <c r="H1044" s="464"/>
      <c r="I1044" s="467"/>
      <c r="J1044" s="468"/>
      <c r="K1044" s="574"/>
      <c r="L1044" s="469"/>
      <c r="M1044" s="683"/>
      <c r="N1044" s="470"/>
      <c r="O1044" s="468"/>
      <c r="P1044" s="616"/>
      <c r="Q1044" s="472"/>
      <c r="R1044" s="472"/>
      <c r="S1044" s="634"/>
      <c r="T1044" s="470"/>
      <c r="U1044" s="612"/>
      <c r="V1044" s="464"/>
      <c r="W1044" s="612"/>
      <c r="X1044" s="473"/>
      <c r="Y1044" s="478"/>
      <c r="Z1044" s="449"/>
      <c r="AA1044" s="573"/>
      <c r="AB1044" s="476"/>
      <c r="AC1044" s="476"/>
      <c r="AD1044" s="568"/>
      <c r="AE1044" s="476"/>
      <c r="AF1044" s="568"/>
      <c r="AG1044" s="476"/>
      <c r="AH1044" s="476"/>
      <c r="AI1044" s="477"/>
      <c r="AJ1044" s="478"/>
      <c r="AK1044" s="479"/>
      <c r="AL1044" s="480"/>
      <c r="AM1044" s="474"/>
      <c r="AN1044" s="481"/>
      <c r="AO1044" s="474"/>
      <c r="AP1044" s="476"/>
      <c r="AQ1044" s="482"/>
      <c r="AR1044" s="478"/>
      <c r="AS1044" s="478"/>
      <c r="AT1044" s="476"/>
      <c r="AU1044" s="482"/>
      <c r="AV1044" s="478"/>
      <c r="AW1044" s="483"/>
      <c r="AX1044" s="476"/>
      <c r="AY1044" s="482"/>
      <c r="AZ1044" s="478"/>
      <c r="BA1044" s="484"/>
      <c r="BB1044" s="474"/>
      <c r="BC1044" s="485"/>
      <c r="BD1044" s="485"/>
      <c r="BG1044" s="487"/>
    </row>
    <row r="1045" spans="1:59" s="526" customFormat="1" ht="18" customHeight="1" x14ac:dyDescent="0.2">
      <c r="A1045" s="1370" t="s">
        <v>4184</v>
      </c>
      <c r="B1045" s="1956" t="s">
        <v>4184</v>
      </c>
      <c r="C1045" s="1957"/>
      <c r="D1045" s="1957"/>
      <c r="E1045" s="1957"/>
      <c r="F1045" s="1958"/>
      <c r="G1045" s="624">
        <f>SUM(G1034:G1044)</f>
        <v>2246413886</v>
      </c>
      <c r="H1045" s="505"/>
      <c r="I1045" s="506"/>
      <c r="J1045" s="507"/>
      <c r="K1045" s="507"/>
      <c r="L1045" s="505"/>
      <c r="M1045" s="684"/>
      <c r="N1045" s="508"/>
      <c r="O1045" s="507"/>
      <c r="P1045" s="749"/>
      <c r="Q1045" s="510"/>
      <c r="R1045" s="511"/>
      <c r="S1045" s="512"/>
      <c r="T1045" s="512"/>
      <c r="U1045" s="610">
        <f>SUM(U1034:U1044)</f>
        <v>1216806943</v>
      </c>
      <c r="V1045" s="513"/>
      <c r="W1045" s="610">
        <f>G1045-U1045</f>
        <v>1029606943</v>
      </c>
      <c r="X1045" s="514"/>
      <c r="Y1045" s="515"/>
      <c r="Z1045" s="515"/>
      <c r="AA1045" s="515"/>
      <c r="AB1045" s="515"/>
      <c r="AC1045" s="515"/>
      <c r="AD1045" s="570"/>
      <c r="AE1045" s="515"/>
      <c r="AF1045" s="570">
        <v>1422728331.5999999</v>
      </c>
      <c r="AG1045" s="515"/>
      <c r="AH1045" s="515"/>
      <c r="AI1045" s="516"/>
      <c r="AJ1045" s="517"/>
      <c r="AK1045" s="518"/>
      <c r="AL1045" s="519"/>
      <c r="AM1045" s="520"/>
      <c r="AN1045" s="521"/>
      <c r="AO1045" s="520"/>
      <c r="AP1045" s="515"/>
      <c r="AQ1045" s="522"/>
      <c r="AR1045" s="517"/>
      <c r="AS1045" s="517"/>
      <c r="AT1045" s="515"/>
      <c r="AU1045" s="522"/>
      <c r="AV1045" s="517"/>
      <c r="AW1045" s="523"/>
      <c r="AX1045" s="515"/>
      <c r="AY1045" s="522"/>
      <c r="AZ1045" s="517"/>
      <c r="BA1045" s="524"/>
      <c r="BB1045" s="520"/>
      <c r="BC1045" s="525"/>
      <c r="BD1045" s="525"/>
      <c r="BG1045" s="527"/>
    </row>
    <row r="1048" spans="1:59" s="422" customFormat="1" ht="18" customHeight="1" x14ac:dyDescent="0.2">
      <c r="A1048" s="1366">
        <f>C1048</f>
        <v>167</v>
      </c>
      <c r="B1048" s="742" t="s">
        <v>4187</v>
      </c>
      <c r="C1048" s="556">
        <v>167</v>
      </c>
      <c r="D1048" s="553" t="str">
        <f>VLOOKUP(C1048,RUAS,2,FALSE)</f>
        <v>JK. RUAS 190/190 KM 7 + 000 - TANAH BEKALI</v>
      </c>
      <c r="E1048" s="553"/>
      <c r="F1048" s="421"/>
      <c r="G1048" s="611"/>
      <c r="I1048" s="423"/>
      <c r="J1048" s="424"/>
      <c r="K1048" s="424"/>
      <c r="M1048" s="680"/>
      <c r="P1048" s="611"/>
      <c r="U1048" s="611"/>
      <c r="W1048" s="611"/>
      <c r="Y1048" s="425"/>
      <c r="Z1048" s="425"/>
      <c r="AA1048" s="425"/>
      <c r="AB1048" s="425"/>
      <c r="AC1048" s="425"/>
      <c r="AD1048" s="563"/>
      <c r="AE1048" s="425"/>
      <c r="AF1048" s="563"/>
      <c r="AG1048" s="425"/>
      <c r="AH1048" s="425"/>
      <c r="AI1048" s="425"/>
      <c r="AJ1048" s="425"/>
      <c r="AK1048" s="425"/>
      <c r="AL1048" s="425"/>
      <c r="AM1048" s="425"/>
      <c r="AN1048" s="425"/>
      <c r="AO1048" s="425"/>
      <c r="AP1048" s="425"/>
      <c r="AQ1048" s="425"/>
      <c r="AR1048" s="425"/>
      <c r="AS1048" s="425"/>
      <c r="AT1048" s="425"/>
      <c r="AU1048" s="425"/>
      <c r="AV1048" s="425"/>
      <c r="AW1048" s="425"/>
      <c r="AX1048" s="425"/>
      <c r="AY1048" s="425"/>
      <c r="AZ1048" s="425"/>
      <c r="BA1048" s="425"/>
      <c r="BB1048" s="425"/>
    </row>
    <row r="1049" spans="1:59" s="431" customFormat="1" ht="18" customHeight="1" x14ac:dyDescent="0.2">
      <c r="A1049" s="1367"/>
      <c r="B1049" s="1968" t="s">
        <v>5</v>
      </c>
      <c r="C1049" s="1968" t="s">
        <v>2280</v>
      </c>
      <c r="D1049" s="1968" t="s">
        <v>4157</v>
      </c>
      <c r="E1049" s="1968" t="s">
        <v>4158</v>
      </c>
      <c r="F1049" s="1968"/>
      <c r="G1049" s="2042" t="s">
        <v>4159</v>
      </c>
      <c r="H1049" s="1968" t="s">
        <v>4160</v>
      </c>
      <c r="I1049" s="1968"/>
      <c r="J1049" s="1968" t="s">
        <v>4185</v>
      </c>
      <c r="K1049" s="1964" t="s">
        <v>4162</v>
      </c>
      <c r="L1049" s="1968" t="s">
        <v>4163</v>
      </c>
      <c r="M1049" s="1971" t="s">
        <v>4164</v>
      </c>
      <c r="N1049" s="1962" t="s">
        <v>4165</v>
      </c>
      <c r="O1049" s="1968" t="s">
        <v>4166</v>
      </c>
      <c r="P1049" s="1972" t="s">
        <v>4167</v>
      </c>
      <c r="Q1049" s="1973"/>
      <c r="R1049" s="636" t="s">
        <v>4186</v>
      </c>
      <c r="S1049" s="1972" t="s">
        <v>4169</v>
      </c>
      <c r="T1049" s="1974"/>
      <c r="U1049" s="1973"/>
      <c r="V1049" s="1975" t="s">
        <v>4170</v>
      </c>
      <c r="W1049" s="1975"/>
      <c r="X1049" s="1960" t="s">
        <v>4171</v>
      </c>
      <c r="Y1049" s="1959"/>
      <c r="Z1049" s="633"/>
      <c r="AA1049" s="426"/>
      <c r="AB1049" s="426"/>
      <c r="AC1049" s="426"/>
      <c r="AD1049" s="564"/>
      <c r="AE1049" s="426"/>
      <c r="AF1049" s="564"/>
      <c r="AG1049" s="426"/>
      <c r="AH1049" s="426"/>
      <c r="AI1049" s="427"/>
      <c r="AJ1049" s="427"/>
      <c r="AK1049" s="427"/>
      <c r="AL1049" s="427"/>
      <c r="AM1049" s="428"/>
      <c r="AN1049" s="427"/>
      <c r="AO1049" s="427"/>
      <c r="AP1049" s="426"/>
      <c r="AQ1049" s="427"/>
      <c r="AR1049" s="427"/>
      <c r="AS1049" s="427"/>
      <c r="AT1049" s="426"/>
      <c r="AU1049" s="427"/>
      <c r="AV1049" s="427"/>
      <c r="AW1049" s="427"/>
      <c r="AX1049" s="426"/>
      <c r="AY1049" s="427"/>
      <c r="AZ1049" s="427"/>
      <c r="BA1049" s="427"/>
      <c r="BB1049" s="429"/>
      <c r="BC1049" s="430"/>
      <c r="BD1049" s="430"/>
    </row>
    <row r="1050" spans="1:59" s="431" customFormat="1" ht="18" customHeight="1" x14ac:dyDescent="0.2">
      <c r="A1050" s="1367"/>
      <c r="B1050" s="1968"/>
      <c r="C1050" s="1968"/>
      <c r="D1050" s="1968"/>
      <c r="E1050" s="1968"/>
      <c r="F1050" s="1968"/>
      <c r="G1050" s="2042"/>
      <c r="H1050" s="1968"/>
      <c r="I1050" s="1968"/>
      <c r="J1050" s="1968"/>
      <c r="K1050" s="1970"/>
      <c r="L1050" s="1968"/>
      <c r="M1050" s="1971"/>
      <c r="N1050" s="1963"/>
      <c r="O1050" s="1968"/>
      <c r="P1050" s="2037" t="s">
        <v>4172</v>
      </c>
      <c r="Q1050" s="1960" t="s">
        <v>4173</v>
      </c>
      <c r="R1050" s="1962" t="s">
        <v>4159</v>
      </c>
      <c r="S1050" s="1962" t="s">
        <v>4174</v>
      </c>
      <c r="T1050" s="1964" t="s">
        <v>4175</v>
      </c>
      <c r="U1050" s="1966" t="s">
        <v>4159</v>
      </c>
      <c r="V1050" s="1975"/>
      <c r="W1050" s="1975"/>
      <c r="X1050" s="1976"/>
      <c r="Y1050" s="1959"/>
      <c r="Z1050" s="633"/>
      <c r="AA1050" s="426"/>
      <c r="AB1050" s="426"/>
      <c r="AC1050" s="426"/>
      <c r="AD1050" s="564"/>
      <c r="AE1050" s="426"/>
      <c r="AF1050" s="564"/>
      <c r="AG1050" s="426"/>
      <c r="AH1050" s="426"/>
      <c r="AI1050" s="427"/>
      <c r="AJ1050" s="427"/>
      <c r="AK1050" s="426"/>
      <c r="AL1050" s="427"/>
      <c r="AM1050" s="428"/>
      <c r="AN1050" s="427"/>
      <c r="AO1050" s="427"/>
      <c r="AP1050" s="432"/>
      <c r="AQ1050" s="427"/>
      <c r="AR1050" s="427"/>
      <c r="AS1050" s="427"/>
      <c r="AT1050" s="432"/>
      <c r="AU1050" s="427"/>
      <c r="AV1050" s="427"/>
      <c r="AW1050" s="427"/>
      <c r="AX1050" s="432"/>
      <c r="AY1050" s="427"/>
      <c r="AZ1050" s="427"/>
      <c r="BA1050" s="427"/>
      <c r="BB1050" s="429"/>
      <c r="BC1050" s="430"/>
      <c r="BD1050" s="430"/>
    </row>
    <row r="1051" spans="1:59" s="431" customFormat="1" ht="18" customHeight="1" x14ac:dyDescent="0.2">
      <c r="A1051" s="1367"/>
      <c r="B1051" s="1968"/>
      <c r="C1051" s="1968"/>
      <c r="D1051" s="1968"/>
      <c r="E1051" s="433" t="s">
        <v>4176</v>
      </c>
      <c r="F1051" s="434" t="s">
        <v>2288</v>
      </c>
      <c r="G1051" s="2042"/>
      <c r="H1051" s="635" t="s">
        <v>2288</v>
      </c>
      <c r="I1051" s="635" t="s">
        <v>4177</v>
      </c>
      <c r="J1051" s="1968"/>
      <c r="K1051" s="1965"/>
      <c r="L1051" s="435" t="s">
        <v>2288</v>
      </c>
      <c r="M1051" s="681" t="s">
        <v>2288</v>
      </c>
      <c r="N1051" s="635" t="s">
        <v>2288</v>
      </c>
      <c r="O1051" s="1968"/>
      <c r="P1051" s="2038"/>
      <c r="Q1051" s="1961"/>
      <c r="R1051" s="1963"/>
      <c r="S1051" s="1963"/>
      <c r="T1051" s="1965"/>
      <c r="U1051" s="1967"/>
      <c r="V1051" s="635" t="s">
        <v>4178</v>
      </c>
      <c r="W1051" s="637" t="s">
        <v>4159</v>
      </c>
      <c r="X1051" s="1961"/>
      <c r="Y1051" s="436"/>
      <c r="Z1051" s="436"/>
      <c r="AA1051" s="426"/>
      <c r="AB1051" s="426"/>
      <c r="AC1051" s="426"/>
      <c r="AD1051" s="564"/>
      <c r="AE1051" s="426"/>
      <c r="AF1051" s="564"/>
      <c r="AG1051" s="426"/>
      <c r="AH1051" s="426"/>
      <c r="AI1051" s="427"/>
      <c r="AJ1051" s="432"/>
      <c r="AK1051" s="432"/>
      <c r="AL1051" s="427"/>
      <c r="AM1051" s="428"/>
      <c r="AN1051" s="432"/>
      <c r="AO1051" s="427"/>
      <c r="AP1051" s="432"/>
      <c r="AQ1051" s="432"/>
      <c r="AR1051" s="427"/>
      <c r="AS1051" s="427"/>
      <c r="AT1051" s="432"/>
      <c r="AU1051" s="432"/>
      <c r="AV1051" s="427"/>
      <c r="AW1051" s="427"/>
      <c r="AX1051" s="432"/>
      <c r="AY1051" s="432"/>
      <c r="AZ1051" s="427"/>
      <c r="BA1051" s="427"/>
      <c r="BB1051" s="429"/>
      <c r="BC1051" s="430"/>
      <c r="BD1051" s="430"/>
    </row>
    <row r="1052" spans="1:59" s="461" customFormat="1" ht="18" customHeight="1" x14ac:dyDescent="0.2">
      <c r="A1052" s="1368" t="str">
        <f>$D$1048&amp;S1052</f>
        <v>JK. RUAS 190/190 KM 7 + 000 - TANAH BEKALI2013</v>
      </c>
      <c r="B1052" s="1373">
        <v>1</v>
      </c>
      <c r="C1052" s="532" t="s">
        <v>1277</v>
      </c>
      <c r="D1052" s="437" t="s">
        <v>3821</v>
      </c>
      <c r="E1052" s="438"/>
      <c r="F1052" s="439">
        <v>2013</v>
      </c>
      <c r="G1052" s="623">
        <v>1663779645</v>
      </c>
      <c r="H1052" s="440">
        <f>VLOOKUP(LEFT(D1052,8),UE,4)</f>
        <v>10</v>
      </c>
      <c r="I1052" s="441"/>
      <c r="J1052" s="442">
        <f t="shared" ref="J1052:J1058" si="777">F1052+N1052-1</f>
        <v>2022</v>
      </c>
      <c r="K1052" s="443"/>
      <c r="L1052" s="440"/>
      <c r="M1052" s="746">
        <f>IF(H1052+L1052&gt;$H1052,$H1052-H1052,L1052)</f>
        <v>0</v>
      </c>
      <c r="N1052" s="444">
        <f>H1052+M1052</f>
        <v>10</v>
      </c>
      <c r="O1052" s="442">
        <f t="shared" ref="O1052:O1058" si="778">F1052+N1052-1</f>
        <v>2022</v>
      </c>
      <c r="P1052" s="617">
        <f>G1052</f>
        <v>1663779645</v>
      </c>
      <c r="Q1052" s="445">
        <v>0</v>
      </c>
      <c r="R1052" s="445">
        <f>P1052/N1052</f>
        <v>166377964.5</v>
      </c>
      <c r="S1052" s="446">
        <f t="shared" ref="S1052:S1058" si="779">F1052</f>
        <v>2013</v>
      </c>
      <c r="T1052" s="447">
        <v>1</v>
      </c>
      <c r="U1052" s="613">
        <f t="shared" ref="U1052:U1058" si="780">R1052*T1052</f>
        <v>166377964.5</v>
      </c>
      <c r="V1052" s="442">
        <f t="shared" ref="V1052:V1058" si="781">F1052</f>
        <v>2013</v>
      </c>
      <c r="W1052" s="617">
        <f>IF(OR(AND(ISBLANK(E1052),ISBLANK(G1052)),ISTEXT(E1052),ISTEXT(G1052)),"",G1052-R1052)</f>
        <v>1497401680.5</v>
      </c>
      <c r="X1052" s="448"/>
      <c r="Y1052" s="449"/>
      <c r="Z1052" s="449"/>
      <c r="AA1052" s="450" t="s">
        <v>4179</v>
      </c>
      <c r="AB1052" s="451"/>
      <c r="AC1052" s="451"/>
      <c r="AD1052" s="565"/>
      <c r="AE1052" s="452"/>
      <c r="AF1052" s="571"/>
      <c r="AG1052" s="452"/>
      <c r="AH1052" s="452"/>
      <c r="AI1052" s="453"/>
      <c r="AJ1052" s="449"/>
      <c r="AK1052" s="453"/>
      <c r="AL1052" s="454"/>
      <c r="AM1052" s="455"/>
      <c r="AN1052" s="456"/>
      <c r="AO1052" s="455"/>
      <c r="AP1052" s="452"/>
      <c r="AQ1052" s="457"/>
      <c r="AR1052" s="449"/>
      <c r="AS1052" s="449"/>
      <c r="AT1052" s="452"/>
      <c r="AU1052" s="457"/>
      <c r="AV1052" s="449"/>
      <c r="AW1052" s="458"/>
      <c r="AX1052" s="452"/>
      <c r="AY1052" s="457"/>
      <c r="AZ1052" s="449"/>
      <c r="BA1052" s="459"/>
      <c r="BB1052" s="455"/>
      <c r="BC1052" s="460"/>
      <c r="BD1052" s="460"/>
      <c r="BG1052" s="462"/>
    </row>
    <row r="1053" spans="1:59" s="461" customFormat="1" ht="18" customHeight="1" x14ac:dyDescent="0.2">
      <c r="A1053" s="1368" t="str">
        <f t="shared" ref="A1053:A1058" si="782">$D$1048&amp;S1053</f>
        <v>JK. RUAS 190/190 KM 7 + 000 - TANAH BEKALI2014</v>
      </c>
      <c r="B1053" s="1373"/>
      <c r="C1053" s="488"/>
      <c r="D1053" s="489"/>
      <c r="E1053" s="558"/>
      <c r="F1053" s="559">
        <v>2014</v>
      </c>
      <c r="G1053" s="619">
        <v>0</v>
      </c>
      <c r="H1053" s="464">
        <f t="shared" ref="H1053:H1058" si="783">IF(N1052-(F1053-F1052)&lt;=0,0,(N1052-(F1053-F1052)))</f>
        <v>9</v>
      </c>
      <c r="I1053" s="560"/>
      <c r="J1053" s="468">
        <f t="shared" si="777"/>
        <v>2022</v>
      </c>
      <c r="K1053" s="490">
        <f t="shared" ref="K1053:K1058" si="784">IF(G1053=0,0,IF(H1053=10,100%,G1053/W1052))</f>
        <v>0</v>
      </c>
      <c r="L1053" s="469">
        <f t="shared" ref="L1053:L1058" si="785">IF(K1053=0%,0,IF(K1053&lt;=30%,2,IF(K1053&lt;=60%,5,10)))</f>
        <v>0</v>
      </c>
      <c r="M1053" s="683">
        <f t="shared" ref="M1053:M1058" si="786">IF(OR(AND(ISBLANK(E1053),ISBLANK(G1053)),ISTEXT(E1053),ISTEXT(G1053)),"",IF(H1053+L1053&gt;$H$8,$H$8-H1053,L1053))</f>
        <v>0</v>
      </c>
      <c r="N1053" s="470">
        <f t="shared" ref="N1053:N1058" si="787">IF(OR(AND(ISBLANK(F1053),ISBLANK(G1053)),ISTEXT(F1053),ISTEXT(G1053)),"",H1053+M1053)</f>
        <v>9</v>
      </c>
      <c r="O1053" s="468">
        <f t="shared" si="778"/>
        <v>2022</v>
      </c>
      <c r="P1053" s="616">
        <f t="shared" ref="P1053:P1058" si="788">W1052</f>
        <v>1497401680.5</v>
      </c>
      <c r="Q1053" s="472">
        <f t="shared" ref="Q1053:Q1058" si="789">P1053+G1053</f>
        <v>1497401680.5</v>
      </c>
      <c r="R1053" s="472">
        <f t="shared" ref="R1053:R1058" si="790">IF(L1053=0,R1052,Q1053/N1053)</f>
        <v>166377964.5</v>
      </c>
      <c r="S1053" s="759">
        <f t="shared" si="779"/>
        <v>2014</v>
      </c>
      <c r="T1053" s="470">
        <f t="shared" ref="T1053:T1058" si="791">S1053-S1052</f>
        <v>1</v>
      </c>
      <c r="U1053" s="612">
        <f t="shared" si="780"/>
        <v>166377964.5</v>
      </c>
      <c r="V1053" s="464">
        <f t="shared" si="781"/>
        <v>2014</v>
      </c>
      <c r="W1053" s="612">
        <f t="shared" ref="W1053:W1058" si="792">IF(OR(AND(ISBLANK(E1053),ISBLANK(G1053)),ISTEXT(E1053),ISTEXT(G1053)),"",Q1053-U1053)</f>
        <v>1331023716</v>
      </c>
      <c r="X1053" s="561"/>
      <c r="Y1053" s="449"/>
      <c r="Z1053" s="449"/>
      <c r="AA1053" s="554"/>
      <c r="AB1053" s="452"/>
      <c r="AC1053" s="452"/>
      <c r="AD1053" s="566"/>
      <c r="AE1053" s="452"/>
      <c r="AF1053" s="571"/>
      <c r="AG1053" s="452"/>
      <c r="AH1053" s="452"/>
      <c r="AI1053" s="453"/>
      <c r="AJ1053" s="449"/>
      <c r="AK1053" s="453"/>
      <c r="AL1053" s="454"/>
      <c r="AM1053" s="455"/>
      <c r="AN1053" s="456"/>
      <c r="AO1053" s="455"/>
      <c r="AP1053" s="452"/>
      <c r="AQ1053" s="457"/>
      <c r="AR1053" s="449"/>
      <c r="AS1053" s="449"/>
      <c r="AT1053" s="452"/>
      <c r="AU1053" s="457"/>
      <c r="AV1053" s="449"/>
      <c r="AW1053" s="458"/>
      <c r="AX1053" s="452"/>
      <c r="AY1053" s="457"/>
      <c r="AZ1053" s="449"/>
      <c r="BA1053" s="459"/>
      <c r="BB1053" s="455"/>
      <c r="BC1053" s="460"/>
      <c r="BD1053" s="460"/>
      <c r="BG1053" s="462"/>
    </row>
    <row r="1054" spans="1:59" s="461" customFormat="1" ht="18" customHeight="1" x14ac:dyDescent="0.2">
      <c r="A1054" s="1368" t="str">
        <f t="shared" si="782"/>
        <v>JK. RUAS 190/190 KM 7 + 000 - TANAH BEKALI2015</v>
      </c>
      <c r="B1054" s="1373"/>
      <c r="C1054" s="488" t="s">
        <v>1363</v>
      </c>
      <c r="D1054" s="489"/>
      <c r="E1054" s="558"/>
      <c r="F1054" s="559">
        <v>2015</v>
      </c>
      <c r="G1054" s="619">
        <v>2091776958</v>
      </c>
      <c r="H1054" s="464">
        <f t="shared" si="783"/>
        <v>8</v>
      </c>
      <c r="I1054" s="560"/>
      <c r="J1054" s="468">
        <f t="shared" si="777"/>
        <v>2024</v>
      </c>
      <c r="K1054" s="490">
        <f t="shared" si="784"/>
        <v>1.5715549864777916</v>
      </c>
      <c r="L1054" s="469">
        <f t="shared" si="785"/>
        <v>10</v>
      </c>
      <c r="M1054" s="683">
        <f t="shared" si="786"/>
        <v>2</v>
      </c>
      <c r="N1054" s="470">
        <f t="shared" si="787"/>
        <v>10</v>
      </c>
      <c r="O1054" s="468">
        <f t="shared" si="778"/>
        <v>2024</v>
      </c>
      <c r="P1054" s="616">
        <f t="shared" si="788"/>
        <v>1331023716</v>
      </c>
      <c r="Q1054" s="472">
        <f t="shared" si="789"/>
        <v>3422800674</v>
      </c>
      <c r="R1054" s="472">
        <f t="shared" si="790"/>
        <v>342280067.39999998</v>
      </c>
      <c r="S1054" s="759">
        <f t="shared" si="779"/>
        <v>2015</v>
      </c>
      <c r="T1054" s="470">
        <f t="shared" si="791"/>
        <v>1</v>
      </c>
      <c r="U1054" s="612">
        <f t="shared" si="780"/>
        <v>342280067.39999998</v>
      </c>
      <c r="V1054" s="464">
        <f t="shared" si="781"/>
        <v>2015</v>
      </c>
      <c r="W1054" s="612">
        <f t="shared" si="792"/>
        <v>3080520606.5999999</v>
      </c>
      <c r="X1054" s="561"/>
      <c r="Y1054" s="449"/>
      <c r="Z1054" s="449"/>
      <c r="AA1054" s="554"/>
      <c r="AB1054" s="452"/>
      <c r="AC1054" s="452"/>
      <c r="AD1054" s="566"/>
      <c r="AE1054" s="452"/>
      <c r="AF1054" s="571"/>
      <c r="AG1054" s="452"/>
      <c r="AH1054" s="452"/>
      <c r="AI1054" s="453"/>
      <c r="AJ1054" s="449"/>
      <c r="AK1054" s="453"/>
      <c r="AL1054" s="454"/>
      <c r="AM1054" s="455"/>
      <c r="AN1054" s="456"/>
      <c r="AO1054" s="455"/>
      <c r="AP1054" s="452"/>
      <c r="AQ1054" s="457"/>
      <c r="AR1054" s="449"/>
      <c r="AS1054" s="449"/>
      <c r="AT1054" s="452"/>
      <c r="AU1054" s="457"/>
      <c r="AV1054" s="449"/>
      <c r="AW1054" s="458"/>
      <c r="AX1054" s="452"/>
      <c r="AY1054" s="457"/>
      <c r="AZ1054" s="449"/>
      <c r="BA1054" s="459"/>
      <c r="BB1054" s="455"/>
      <c r="BC1054" s="460"/>
      <c r="BD1054" s="460"/>
      <c r="BG1054" s="462"/>
    </row>
    <row r="1055" spans="1:59" s="486" customFormat="1" ht="18" customHeight="1" x14ac:dyDescent="0.2">
      <c r="A1055" s="1368" t="str">
        <f t="shared" si="782"/>
        <v>JK. RUAS 190/190 KM 7 + 000 - TANAH BEKALI2016</v>
      </c>
      <c r="B1055" s="1373"/>
      <c r="C1055" s="488" t="s">
        <v>1448</v>
      </c>
      <c r="D1055" s="489" t="s">
        <v>3821</v>
      </c>
      <c r="E1055" s="558"/>
      <c r="F1055" s="559">
        <v>2016</v>
      </c>
      <c r="G1055" s="619">
        <v>1890595464.96</v>
      </c>
      <c r="H1055" s="464">
        <f t="shared" si="783"/>
        <v>9</v>
      </c>
      <c r="I1055" s="560"/>
      <c r="J1055" s="468">
        <f t="shared" si="777"/>
        <v>2025</v>
      </c>
      <c r="K1055" s="490">
        <f t="shared" si="784"/>
        <v>0.61372595947237252</v>
      </c>
      <c r="L1055" s="469">
        <f t="shared" si="785"/>
        <v>10</v>
      </c>
      <c r="M1055" s="683">
        <f t="shared" si="786"/>
        <v>1</v>
      </c>
      <c r="N1055" s="470">
        <f t="shared" si="787"/>
        <v>10</v>
      </c>
      <c r="O1055" s="468">
        <f t="shared" si="778"/>
        <v>2025</v>
      </c>
      <c r="P1055" s="616">
        <f t="shared" si="788"/>
        <v>3080520606.5999999</v>
      </c>
      <c r="Q1055" s="472">
        <f t="shared" si="789"/>
        <v>4971116071.5599995</v>
      </c>
      <c r="R1055" s="472">
        <f t="shared" si="790"/>
        <v>497111607.15599996</v>
      </c>
      <c r="S1055" s="759">
        <f t="shared" si="779"/>
        <v>2016</v>
      </c>
      <c r="T1055" s="470">
        <f t="shared" si="791"/>
        <v>1</v>
      </c>
      <c r="U1055" s="612">
        <f t="shared" si="780"/>
        <v>497111607.15599996</v>
      </c>
      <c r="V1055" s="464">
        <f t="shared" si="781"/>
        <v>2016</v>
      </c>
      <c r="W1055" s="612">
        <f t="shared" si="792"/>
        <v>4474004464.4039993</v>
      </c>
      <c r="X1055" s="473"/>
      <c r="Y1055" s="474"/>
      <c r="Z1055" s="449"/>
      <c r="AA1055" s="475" t="s">
        <v>4180</v>
      </c>
      <c r="AB1055" s="476"/>
      <c r="AC1055" s="476"/>
      <c r="AD1055" s="567">
        <f>G1061</f>
        <v>5646152067.96</v>
      </c>
      <c r="AE1055" s="476"/>
      <c r="AF1055" s="568"/>
      <c r="AG1055" s="476"/>
      <c r="AH1055" s="476"/>
      <c r="AI1055" s="477"/>
      <c r="AJ1055" s="478"/>
      <c r="AK1055" s="479"/>
      <c r="AL1055" s="480"/>
      <c r="AM1055" s="474"/>
      <c r="AN1055" s="481"/>
      <c r="AO1055" s="474"/>
      <c r="AP1055" s="476"/>
      <c r="AQ1055" s="482"/>
      <c r="AR1055" s="478"/>
      <c r="AS1055" s="478"/>
      <c r="AT1055" s="476"/>
      <c r="AU1055" s="482"/>
      <c r="AV1055" s="478"/>
      <c r="AW1055" s="483"/>
      <c r="AX1055" s="476"/>
      <c r="AY1055" s="482"/>
      <c r="AZ1055" s="478"/>
      <c r="BA1055" s="484"/>
      <c r="BB1055" s="474"/>
      <c r="BC1055" s="485"/>
      <c r="BD1055" s="485"/>
      <c r="BG1055" s="487"/>
    </row>
    <row r="1056" spans="1:59" s="486" customFormat="1" ht="18" customHeight="1" x14ac:dyDescent="0.2">
      <c r="A1056" s="1368" t="str">
        <f t="shared" si="782"/>
        <v>JK. RUAS 190/190 KM 7 + 000 - TANAH BEKALI2017</v>
      </c>
      <c r="B1056" s="1373"/>
      <c r="C1056" s="488"/>
      <c r="D1056" s="489"/>
      <c r="E1056" s="558"/>
      <c r="F1056" s="559">
        <v>2017</v>
      </c>
      <c r="G1056" s="619">
        <v>0</v>
      </c>
      <c r="H1056" s="464">
        <f t="shared" si="783"/>
        <v>9</v>
      </c>
      <c r="I1056" s="560"/>
      <c r="J1056" s="468">
        <f t="shared" si="777"/>
        <v>2025</v>
      </c>
      <c r="K1056" s="490">
        <f t="shared" si="784"/>
        <v>0</v>
      </c>
      <c r="L1056" s="469">
        <f t="shared" si="785"/>
        <v>0</v>
      </c>
      <c r="M1056" s="683">
        <f t="shared" si="786"/>
        <v>0</v>
      </c>
      <c r="N1056" s="470">
        <f t="shared" si="787"/>
        <v>9</v>
      </c>
      <c r="O1056" s="468">
        <f t="shared" si="778"/>
        <v>2025</v>
      </c>
      <c r="P1056" s="616">
        <f t="shared" si="788"/>
        <v>4474004464.4039993</v>
      </c>
      <c r="Q1056" s="472">
        <f t="shared" si="789"/>
        <v>4474004464.4039993</v>
      </c>
      <c r="R1056" s="472">
        <f t="shared" si="790"/>
        <v>497111607.15599996</v>
      </c>
      <c r="S1056" s="759">
        <f t="shared" si="779"/>
        <v>2017</v>
      </c>
      <c r="T1056" s="470">
        <f t="shared" si="791"/>
        <v>1</v>
      </c>
      <c r="U1056" s="612">
        <f t="shared" si="780"/>
        <v>497111607.15599996</v>
      </c>
      <c r="V1056" s="464">
        <f t="shared" si="781"/>
        <v>2017</v>
      </c>
      <c r="W1056" s="612">
        <f t="shared" si="792"/>
        <v>3976892857.2479992</v>
      </c>
      <c r="X1056" s="473"/>
      <c r="Y1056" s="478"/>
      <c r="Z1056" s="449"/>
      <c r="AA1056" s="475" t="s">
        <v>4181</v>
      </c>
      <c r="AB1056" s="491"/>
      <c r="AC1056" s="491"/>
      <c r="AD1056" s="567">
        <f>U1061</f>
        <v>2663482425.0240002</v>
      </c>
      <c r="AE1056" s="491"/>
      <c r="AF1056" s="568"/>
      <c r="AG1056" s="491"/>
      <c r="AH1056" s="491"/>
      <c r="AI1056" s="477"/>
      <c r="AJ1056" s="478"/>
      <c r="AK1056" s="479"/>
      <c r="AL1056" s="480"/>
      <c r="AM1056" s="474"/>
      <c r="AN1056" s="481"/>
      <c r="AO1056" s="474"/>
      <c r="AP1056" s="476"/>
      <c r="AQ1056" s="482"/>
      <c r="AR1056" s="478"/>
      <c r="AS1056" s="478"/>
      <c r="AT1056" s="476"/>
      <c r="AU1056" s="482"/>
      <c r="AV1056" s="478"/>
      <c r="AW1056" s="483"/>
      <c r="AX1056" s="476"/>
      <c r="AY1056" s="482"/>
      <c r="AZ1056" s="478"/>
      <c r="BA1056" s="484"/>
      <c r="BB1056" s="474"/>
      <c r="BC1056" s="485"/>
      <c r="BD1056" s="485"/>
      <c r="BG1056" s="487"/>
    </row>
    <row r="1057" spans="1:59" s="486" customFormat="1" ht="18" customHeight="1" x14ac:dyDescent="0.2">
      <c r="A1057" s="1368" t="str">
        <f t="shared" si="782"/>
        <v>JK. RUAS 190/190 KM 7 + 000 - TANAH BEKALI2018</v>
      </c>
      <c r="B1057" s="1373"/>
      <c r="C1057" s="488"/>
      <c r="D1057" s="489"/>
      <c r="E1057" s="558"/>
      <c r="F1057" s="559">
        <v>2018</v>
      </c>
      <c r="G1057" s="619">
        <v>0</v>
      </c>
      <c r="H1057" s="464">
        <f t="shared" si="783"/>
        <v>8</v>
      </c>
      <c r="I1057" s="560"/>
      <c r="J1057" s="468">
        <f t="shared" si="777"/>
        <v>2025</v>
      </c>
      <c r="K1057" s="490">
        <f t="shared" si="784"/>
        <v>0</v>
      </c>
      <c r="L1057" s="469">
        <f t="shared" si="785"/>
        <v>0</v>
      </c>
      <c r="M1057" s="683">
        <f t="shared" si="786"/>
        <v>0</v>
      </c>
      <c r="N1057" s="470">
        <f t="shared" si="787"/>
        <v>8</v>
      </c>
      <c r="O1057" s="468">
        <f t="shared" si="778"/>
        <v>2025</v>
      </c>
      <c r="P1057" s="616">
        <f t="shared" si="788"/>
        <v>3976892857.2479992</v>
      </c>
      <c r="Q1057" s="472">
        <f t="shared" si="789"/>
        <v>3976892857.2479992</v>
      </c>
      <c r="R1057" s="472">
        <f t="shared" si="790"/>
        <v>497111607.15599996</v>
      </c>
      <c r="S1057" s="759">
        <f t="shared" si="779"/>
        <v>2018</v>
      </c>
      <c r="T1057" s="470">
        <f t="shared" si="791"/>
        <v>1</v>
      </c>
      <c r="U1057" s="612">
        <f t="shared" si="780"/>
        <v>497111607.15599996</v>
      </c>
      <c r="V1057" s="464">
        <f t="shared" si="781"/>
        <v>2018</v>
      </c>
      <c r="W1057" s="612">
        <f t="shared" si="792"/>
        <v>3479781250.0919991</v>
      </c>
      <c r="X1057" s="473"/>
      <c r="Y1057" s="478"/>
      <c r="Z1057" s="449"/>
      <c r="AA1057" s="492" t="s">
        <v>4182</v>
      </c>
      <c r="AB1057" s="476"/>
      <c r="AC1057" s="476"/>
      <c r="AD1057" s="567">
        <f>AD1055-AD1056</f>
        <v>2982669642.9359999</v>
      </c>
      <c r="AE1057" s="476"/>
      <c r="AF1057" s="568"/>
      <c r="AG1057" s="476"/>
      <c r="AH1057" s="476"/>
      <c r="AI1057" s="477"/>
      <c r="AJ1057" s="478"/>
      <c r="AK1057" s="479"/>
      <c r="AL1057" s="480"/>
      <c r="AM1057" s="474"/>
      <c r="AN1057" s="481"/>
      <c r="AO1057" s="474"/>
      <c r="AP1057" s="476"/>
      <c r="AQ1057" s="482"/>
      <c r="AR1057" s="478"/>
      <c r="AS1057" s="478"/>
      <c r="AT1057" s="476"/>
      <c r="AU1057" s="482"/>
      <c r="AV1057" s="478"/>
      <c r="AW1057" s="483"/>
      <c r="AX1057" s="476"/>
      <c r="AY1057" s="482"/>
      <c r="AZ1057" s="478"/>
      <c r="BA1057" s="484"/>
      <c r="BB1057" s="474"/>
      <c r="BC1057" s="485"/>
      <c r="BD1057" s="485"/>
      <c r="BG1057" s="487"/>
    </row>
    <row r="1058" spans="1:59" s="486" customFormat="1" ht="18" customHeight="1" x14ac:dyDescent="0.2">
      <c r="A1058" s="1368" t="str">
        <f t="shared" si="782"/>
        <v>JK. RUAS 190/190 KM 7 + 000 - TANAH BEKALI2019</v>
      </c>
      <c r="B1058" s="1373"/>
      <c r="C1058" s="488"/>
      <c r="D1058" s="489"/>
      <c r="E1058" s="558"/>
      <c r="F1058" s="559">
        <v>2019</v>
      </c>
      <c r="G1058" s="619">
        <v>0</v>
      </c>
      <c r="H1058" s="464">
        <f t="shared" si="783"/>
        <v>7</v>
      </c>
      <c r="I1058" s="560"/>
      <c r="J1058" s="468">
        <f t="shared" si="777"/>
        <v>2025</v>
      </c>
      <c r="K1058" s="490">
        <f t="shared" si="784"/>
        <v>0</v>
      </c>
      <c r="L1058" s="469">
        <f t="shared" si="785"/>
        <v>0</v>
      </c>
      <c r="M1058" s="683">
        <f t="shared" si="786"/>
        <v>0</v>
      </c>
      <c r="N1058" s="470">
        <f t="shared" si="787"/>
        <v>7</v>
      </c>
      <c r="O1058" s="468">
        <f t="shared" si="778"/>
        <v>2025</v>
      </c>
      <c r="P1058" s="616">
        <f t="shared" si="788"/>
        <v>3479781250.0919991</v>
      </c>
      <c r="Q1058" s="472">
        <f t="shared" si="789"/>
        <v>3479781250.0919991</v>
      </c>
      <c r="R1058" s="472">
        <f t="shared" si="790"/>
        <v>497111607.15599996</v>
      </c>
      <c r="S1058" s="1189">
        <f t="shared" si="779"/>
        <v>2019</v>
      </c>
      <c r="T1058" s="470">
        <f t="shared" si="791"/>
        <v>1</v>
      </c>
      <c r="U1058" s="612">
        <f t="shared" si="780"/>
        <v>497111607.15599996</v>
      </c>
      <c r="V1058" s="464">
        <f t="shared" si="781"/>
        <v>2019</v>
      </c>
      <c r="W1058" s="612">
        <f t="shared" si="792"/>
        <v>2982669642.9359989</v>
      </c>
      <c r="X1058" s="473"/>
      <c r="Y1058" s="478"/>
      <c r="Z1058" s="449"/>
      <c r="AA1058" s="492"/>
      <c r="AB1058" s="476"/>
      <c r="AC1058" s="476"/>
      <c r="AD1058" s="567"/>
      <c r="AE1058" s="476"/>
      <c r="AF1058" s="568"/>
      <c r="AG1058" s="476"/>
      <c r="AH1058" s="476"/>
      <c r="AI1058" s="477"/>
      <c r="AJ1058" s="478"/>
      <c r="AK1058" s="479"/>
      <c r="AL1058" s="480"/>
      <c r="AM1058" s="474"/>
      <c r="AN1058" s="481"/>
      <c r="AO1058" s="474"/>
      <c r="AP1058" s="476"/>
      <c r="AQ1058" s="482"/>
      <c r="AR1058" s="478"/>
      <c r="AS1058" s="478"/>
      <c r="AT1058" s="476"/>
      <c r="AU1058" s="482"/>
      <c r="AV1058" s="478"/>
      <c r="AW1058" s="483"/>
      <c r="AX1058" s="476"/>
      <c r="AY1058" s="482"/>
      <c r="AZ1058" s="478"/>
      <c r="BA1058" s="484"/>
      <c r="BB1058" s="474"/>
      <c r="BC1058" s="485"/>
      <c r="BD1058" s="485"/>
      <c r="BG1058" s="487"/>
    </row>
    <row r="1059" spans="1:59" s="486" customFormat="1" ht="18" customHeight="1" x14ac:dyDescent="0.2">
      <c r="A1059" s="1368" t="str">
        <f>LEFT(D1059,8)</f>
        <v/>
      </c>
      <c r="B1059" s="687"/>
      <c r="C1059" s="463"/>
      <c r="D1059" s="489"/>
      <c r="E1059" s="465"/>
      <c r="F1059" s="466"/>
      <c r="G1059" s="620"/>
      <c r="H1059" s="464"/>
      <c r="I1059" s="467"/>
      <c r="J1059" s="468"/>
      <c r="K1059" s="574"/>
      <c r="L1059" s="469"/>
      <c r="M1059" s="683"/>
      <c r="N1059" s="470"/>
      <c r="O1059" s="468"/>
      <c r="P1059" s="616"/>
      <c r="Q1059" s="472"/>
      <c r="R1059" s="472"/>
      <c r="S1059" s="634"/>
      <c r="T1059" s="470"/>
      <c r="U1059" s="612"/>
      <c r="V1059" s="464"/>
      <c r="W1059" s="612"/>
      <c r="X1059" s="473"/>
      <c r="Y1059" s="478"/>
      <c r="Z1059" s="449"/>
      <c r="AA1059" s="531" t="s">
        <v>4183</v>
      </c>
      <c r="AB1059" s="496"/>
      <c r="AC1059" s="496"/>
      <c r="AD1059" s="569">
        <f>AD1057-W1061</f>
        <v>0</v>
      </c>
      <c r="AE1059" s="476"/>
      <c r="AF1059" s="568"/>
      <c r="AG1059" s="476"/>
      <c r="AH1059" s="476"/>
      <c r="AI1059" s="477"/>
      <c r="AJ1059" s="478"/>
      <c r="AK1059" s="479"/>
      <c r="AL1059" s="480"/>
      <c r="AM1059" s="474"/>
      <c r="AN1059" s="481"/>
      <c r="AO1059" s="474"/>
      <c r="AP1059" s="476"/>
      <c r="AQ1059" s="482"/>
      <c r="AR1059" s="478"/>
      <c r="AS1059" s="478"/>
      <c r="AT1059" s="476"/>
      <c r="AU1059" s="482"/>
      <c r="AV1059" s="478"/>
      <c r="AW1059" s="483"/>
      <c r="AX1059" s="476"/>
      <c r="AY1059" s="482"/>
      <c r="AZ1059" s="478"/>
      <c r="BA1059" s="484"/>
      <c r="BB1059" s="474"/>
      <c r="BC1059" s="485"/>
      <c r="BD1059" s="485"/>
      <c r="BG1059" s="487"/>
    </row>
    <row r="1060" spans="1:59" s="486" customFormat="1" ht="18" customHeight="1" x14ac:dyDescent="0.2">
      <c r="A1060" s="1368" t="str">
        <f>LEFT(D1060,8)</f>
        <v/>
      </c>
      <c r="B1060" s="687"/>
      <c r="C1060" s="463"/>
      <c r="D1060" s="489"/>
      <c r="E1060" s="465"/>
      <c r="F1060" s="466"/>
      <c r="G1060" s="620"/>
      <c r="H1060" s="464"/>
      <c r="I1060" s="467"/>
      <c r="J1060" s="468"/>
      <c r="K1060" s="574"/>
      <c r="L1060" s="469"/>
      <c r="M1060" s="683"/>
      <c r="N1060" s="470"/>
      <c r="O1060" s="468"/>
      <c r="P1060" s="616"/>
      <c r="Q1060" s="472"/>
      <c r="R1060" s="472"/>
      <c r="S1060" s="634"/>
      <c r="T1060" s="470"/>
      <c r="U1060" s="612"/>
      <c r="V1060" s="464"/>
      <c r="W1060" s="612"/>
      <c r="X1060" s="473"/>
      <c r="Y1060" s="478"/>
      <c r="Z1060" s="449"/>
      <c r="AA1060" s="573"/>
      <c r="AB1060" s="476"/>
      <c r="AC1060" s="476"/>
      <c r="AD1060" s="568"/>
      <c r="AE1060" s="476"/>
      <c r="AF1060" s="568"/>
      <c r="AG1060" s="476"/>
      <c r="AH1060" s="476"/>
      <c r="AI1060" s="477"/>
      <c r="AJ1060" s="478"/>
      <c r="AK1060" s="479"/>
      <c r="AL1060" s="480"/>
      <c r="AM1060" s="474"/>
      <c r="AN1060" s="481"/>
      <c r="AO1060" s="474"/>
      <c r="AP1060" s="476"/>
      <c r="AQ1060" s="482"/>
      <c r="AR1060" s="478"/>
      <c r="AS1060" s="478"/>
      <c r="AT1060" s="476"/>
      <c r="AU1060" s="482"/>
      <c r="AV1060" s="478"/>
      <c r="AW1060" s="483"/>
      <c r="AX1060" s="476"/>
      <c r="AY1060" s="482"/>
      <c r="AZ1060" s="478"/>
      <c r="BA1060" s="484"/>
      <c r="BB1060" s="474"/>
      <c r="BC1060" s="485"/>
      <c r="BD1060" s="485"/>
      <c r="BG1060" s="487"/>
    </row>
    <row r="1061" spans="1:59" s="526" customFormat="1" ht="18" customHeight="1" x14ac:dyDescent="0.2">
      <c r="A1061" s="1370" t="s">
        <v>4184</v>
      </c>
      <c r="B1061" s="1956" t="s">
        <v>4184</v>
      </c>
      <c r="C1061" s="1957"/>
      <c r="D1061" s="1957"/>
      <c r="E1061" s="1957"/>
      <c r="F1061" s="1958"/>
      <c r="G1061" s="624">
        <f>SUM(G1052:G1060)</f>
        <v>5646152067.96</v>
      </c>
      <c r="H1061" s="505"/>
      <c r="I1061" s="506"/>
      <c r="J1061" s="507"/>
      <c r="K1061" s="507"/>
      <c r="L1061" s="505"/>
      <c r="M1061" s="684"/>
      <c r="N1061" s="508"/>
      <c r="O1061" s="507"/>
      <c r="P1061" s="749"/>
      <c r="Q1061" s="510"/>
      <c r="R1061" s="511"/>
      <c r="S1061" s="512"/>
      <c r="T1061" s="512"/>
      <c r="U1061" s="610">
        <f>SUM(U1052:U1060)</f>
        <v>2663482425.0240002</v>
      </c>
      <c r="V1061" s="513"/>
      <c r="W1061" s="610">
        <f>G1061-U1061</f>
        <v>2982669642.9359999</v>
      </c>
      <c r="X1061" s="514"/>
      <c r="Y1061" s="515"/>
      <c r="Z1061" s="515"/>
      <c r="AA1061" s="515"/>
      <c r="AB1061" s="515"/>
      <c r="AC1061" s="515"/>
      <c r="AD1061" s="570"/>
      <c r="AE1061" s="515"/>
      <c r="AF1061" s="570">
        <v>1836601367.352</v>
      </c>
      <c r="AG1061" s="515"/>
      <c r="AH1061" s="515"/>
      <c r="AI1061" s="516"/>
      <c r="AJ1061" s="517"/>
      <c r="AK1061" s="518"/>
      <c r="AL1061" s="519"/>
      <c r="AM1061" s="520"/>
      <c r="AN1061" s="521"/>
      <c r="AO1061" s="520"/>
      <c r="AP1061" s="515"/>
      <c r="AQ1061" s="522"/>
      <c r="AR1061" s="517"/>
      <c r="AS1061" s="517"/>
      <c r="AT1061" s="515"/>
      <c r="AU1061" s="522"/>
      <c r="AV1061" s="517"/>
      <c r="AW1061" s="523"/>
      <c r="AX1061" s="515"/>
      <c r="AY1061" s="522"/>
      <c r="AZ1061" s="517"/>
      <c r="BA1061" s="524"/>
      <c r="BB1061" s="520"/>
      <c r="BC1061" s="525"/>
      <c r="BD1061" s="525"/>
      <c r="BG1061" s="527"/>
    </row>
    <row r="1064" spans="1:59" s="422" customFormat="1" ht="18" customHeight="1" x14ac:dyDescent="0.2">
      <c r="A1064" s="1366">
        <f>C1064</f>
        <v>172</v>
      </c>
      <c r="B1064" s="742" t="s">
        <v>4187</v>
      </c>
      <c r="C1064" s="556">
        <v>172</v>
      </c>
      <c r="D1064" s="553" t="str">
        <f>VLOOKUP(C1064,RUAS,2,FALSE)</f>
        <v>JL. DESA PL. TENGAH - SIKAPING</v>
      </c>
      <c r="E1064" s="553"/>
      <c r="F1064" s="421"/>
      <c r="G1064" s="611"/>
      <c r="I1064" s="423"/>
      <c r="J1064" s="424"/>
      <c r="K1064" s="424"/>
      <c r="M1064" s="680"/>
      <c r="P1064" s="611"/>
      <c r="U1064" s="611"/>
      <c r="W1064" s="611"/>
      <c r="Y1064" s="425"/>
      <c r="Z1064" s="425"/>
      <c r="AA1064" s="425"/>
      <c r="AB1064" s="425"/>
      <c r="AC1064" s="425"/>
      <c r="AD1064" s="563"/>
      <c r="AE1064" s="425"/>
      <c r="AF1064" s="563"/>
      <c r="AG1064" s="425"/>
      <c r="AH1064" s="425"/>
      <c r="AI1064" s="425"/>
      <c r="AJ1064" s="425"/>
      <c r="AK1064" s="425"/>
      <c r="AL1064" s="425"/>
      <c r="AM1064" s="425"/>
      <c r="AN1064" s="425"/>
      <c r="AO1064" s="425"/>
      <c r="AP1064" s="425"/>
      <c r="AQ1064" s="425"/>
      <c r="AR1064" s="425"/>
      <c r="AS1064" s="425"/>
      <c r="AT1064" s="425"/>
      <c r="AU1064" s="425"/>
      <c r="AV1064" s="425"/>
      <c r="AW1064" s="425"/>
      <c r="AX1064" s="425"/>
      <c r="AY1064" s="425"/>
      <c r="AZ1064" s="425"/>
      <c r="BA1064" s="425"/>
      <c r="BB1064" s="425"/>
    </row>
    <row r="1065" spans="1:59" s="431" customFormat="1" ht="18" customHeight="1" x14ac:dyDescent="0.2">
      <c r="A1065" s="1367"/>
      <c r="B1065" s="1968" t="s">
        <v>5</v>
      </c>
      <c r="C1065" s="1968" t="s">
        <v>2280</v>
      </c>
      <c r="D1065" s="1968" t="s">
        <v>4157</v>
      </c>
      <c r="E1065" s="1968" t="s">
        <v>4158</v>
      </c>
      <c r="F1065" s="1968"/>
      <c r="G1065" s="2042" t="s">
        <v>4159</v>
      </c>
      <c r="H1065" s="1968" t="s">
        <v>4160</v>
      </c>
      <c r="I1065" s="1968"/>
      <c r="J1065" s="1968" t="s">
        <v>4185</v>
      </c>
      <c r="K1065" s="1964" t="s">
        <v>4162</v>
      </c>
      <c r="L1065" s="1968" t="s">
        <v>4163</v>
      </c>
      <c r="M1065" s="1971" t="s">
        <v>4164</v>
      </c>
      <c r="N1065" s="1962" t="s">
        <v>4165</v>
      </c>
      <c r="O1065" s="1968" t="s">
        <v>4166</v>
      </c>
      <c r="P1065" s="1972" t="s">
        <v>4167</v>
      </c>
      <c r="Q1065" s="1973"/>
      <c r="R1065" s="1186" t="s">
        <v>4186</v>
      </c>
      <c r="S1065" s="1972" t="s">
        <v>4169</v>
      </c>
      <c r="T1065" s="1974"/>
      <c r="U1065" s="1973"/>
      <c r="V1065" s="1975" t="s">
        <v>4170</v>
      </c>
      <c r="W1065" s="1975"/>
      <c r="X1065" s="1960" t="s">
        <v>4171</v>
      </c>
      <c r="Y1065" s="1959"/>
      <c r="Z1065" s="1187"/>
      <c r="AA1065" s="426"/>
      <c r="AB1065" s="426"/>
      <c r="AC1065" s="426"/>
      <c r="AD1065" s="564"/>
      <c r="AE1065" s="426"/>
      <c r="AF1065" s="564"/>
      <c r="AG1065" s="426"/>
      <c r="AH1065" s="426"/>
      <c r="AI1065" s="427"/>
      <c r="AJ1065" s="427"/>
      <c r="AK1065" s="427"/>
      <c r="AL1065" s="427"/>
      <c r="AM1065" s="428"/>
      <c r="AN1065" s="427"/>
      <c r="AO1065" s="427"/>
      <c r="AP1065" s="426"/>
      <c r="AQ1065" s="427"/>
      <c r="AR1065" s="427"/>
      <c r="AS1065" s="427"/>
      <c r="AT1065" s="426"/>
      <c r="AU1065" s="427"/>
      <c r="AV1065" s="427"/>
      <c r="AW1065" s="427"/>
      <c r="AX1065" s="426"/>
      <c r="AY1065" s="427"/>
      <c r="AZ1065" s="427"/>
      <c r="BA1065" s="427"/>
      <c r="BB1065" s="429"/>
      <c r="BC1065" s="430"/>
      <c r="BD1065" s="430"/>
    </row>
    <row r="1066" spans="1:59" s="431" customFormat="1" ht="18" customHeight="1" x14ac:dyDescent="0.2">
      <c r="A1066" s="1367"/>
      <c r="B1066" s="1968"/>
      <c r="C1066" s="1968"/>
      <c r="D1066" s="1968"/>
      <c r="E1066" s="1968"/>
      <c r="F1066" s="1968"/>
      <c r="G1066" s="2042"/>
      <c r="H1066" s="1968"/>
      <c r="I1066" s="1968"/>
      <c r="J1066" s="1968"/>
      <c r="K1066" s="1970"/>
      <c r="L1066" s="1968"/>
      <c r="M1066" s="1971"/>
      <c r="N1066" s="1963"/>
      <c r="O1066" s="1968"/>
      <c r="P1066" s="2037" t="s">
        <v>4172</v>
      </c>
      <c r="Q1066" s="1960" t="s">
        <v>4173</v>
      </c>
      <c r="R1066" s="1962" t="s">
        <v>4159</v>
      </c>
      <c r="S1066" s="1962" t="s">
        <v>4174</v>
      </c>
      <c r="T1066" s="1964" t="s">
        <v>4175</v>
      </c>
      <c r="U1066" s="1966" t="s">
        <v>4159</v>
      </c>
      <c r="V1066" s="1975"/>
      <c r="W1066" s="1975"/>
      <c r="X1066" s="1976"/>
      <c r="Y1066" s="1959"/>
      <c r="Z1066" s="1187"/>
      <c r="AA1066" s="426"/>
      <c r="AB1066" s="426"/>
      <c r="AC1066" s="426"/>
      <c r="AD1066" s="564"/>
      <c r="AE1066" s="426"/>
      <c r="AF1066" s="564"/>
      <c r="AG1066" s="426"/>
      <c r="AH1066" s="426"/>
      <c r="AI1066" s="427"/>
      <c r="AJ1066" s="427"/>
      <c r="AK1066" s="426"/>
      <c r="AL1066" s="427"/>
      <c r="AM1066" s="428"/>
      <c r="AN1066" s="427"/>
      <c r="AO1066" s="427"/>
      <c r="AP1066" s="432"/>
      <c r="AQ1066" s="427"/>
      <c r="AR1066" s="427"/>
      <c r="AS1066" s="427"/>
      <c r="AT1066" s="432"/>
      <c r="AU1066" s="427"/>
      <c r="AV1066" s="427"/>
      <c r="AW1066" s="427"/>
      <c r="AX1066" s="432"/>
      <c r="AY1066" s="427"/>
      <c r="AZ1066" s="427"/>
      <c r="BA1066" s="427"/>
      <c r="BB1066" s="429"/>
      <c r="BC1066" s="430"/>
      <c r="BD1066" s="430"/>
    </row>
    <row r="1067" spans="1:59" s="431" customFormat="1" ht="18" customHeight="1" x14ac:dyDescent="0.2">
      <c r="A1067" s="1367"/>
      <c r="B1067" s="1968"/>
      <c r="C1067" s="1968"/>
      <c r="D1067" s="1968"/>
      <c r="E1067" s="433" t="s">
        <v>4176</v>
      </c>
      <c r="F1067" s="434" t="s">
        <v>2288</v>
      </c>
      <c r="G1067" s="2042"/>
      <c r="H1067" s="1185" t="s">
        <v>2288</v>
      </c>
      <c r="I1067" s="1185" t="s">
        <v>4177</v>
      </c>
      <c r="J1067" s="1968"/>
      <c r="K1067" s="1965"/>
      <c r="L1067" s="435" t="s">
        <v>2288</v>
      </c>
      <c r="M1067" s="681" t="s">
        <v>2288</v>
      </c>
      <c r="N1067" s="1185" t="s">
        <v>2288</v>
      </c>
      <c r="O1067" s="1968"/>
      <c r="P1067" s="2038"/>
      <c r="Q1067" s="1961"/>
      <c r="R1067" s="1963"/>
      <c r="S1067" s="1963"/>
      <c r="T1067" s="1965"/>
      <c r="U1067" s="1967"/>
      <c r="V1067" s="1185" t="s">
        <v>4178</v>
      </c>
      <c r="W1067" s="1188" t="s">
        <v>4159</v>
      </c>
      <c r="X1067" s="1961"/>
      <c r="Y1067" s="436"/>
      <c r="Z1067" s="436"/>
      <c r="AA1067" s="426"/>
      <c r="AB1067" s="426"/>
      <c r="AC1067" s="426"/>
      <c r="AD1067" s="564"/>
      <c r="AE1067" s="426"/>
      <c r="AF1067" s="564"/>
      <c r="AG1067" s="426"/>
      <c r="AH1067" s="426"/>
      <c r="AI1067" s="427"/>
      <c r="AJ1067" s="432"/>
      <c r="AK1067" s="432"/>
      <c r="AL1067" s="427"/>
      <c r="AM1067" s="428"/>
      <c r="AN1067" s="432"/>
      <c r="AO1067" s="427"/>
      <c r="AP1067" s="432"/>
      <c r="AQ1067" s="432"/>
      <c r="AR1067" s="427"/>
      <c r="AS1067" s="427"/>
      <c r="AT1067" s="432"/>
      <c r="AU1067" s="432"/>
      <c r="AV1067" s="427"/>
      <c r="AW1067" s="427"/>
      <c r="AX1067" s="432"/>
      <c r="AY1067" s="432"/>
      <c r="AZ1067" s="427"/>
      <c r="BA1067" s="427"/>
      <c r="BB1067" s="429"/>
      <c r="BC1067" s="430"/>
      <c r="BD1067" s="430"/>
    </row>
    <row r="1068" spans="1:59" s="461" customFormat="1" ht="18" customHeight="1" x14ac:dyDescent="0.2">
      <c r="A1068" s="1368" t="str">
        <f>$D$1064&amp;S1068</f>
        <v>JL. DESA PL. TENGAH - SIKAPING2001</v>
      </c>
      <c r="B1068" s="1373">
        <v>1</v>
      </c>
      <c r="C1068" s="532" t="s">
        <v>696</v>
      </c>
      <c r="D1068" s="437" t="s">
        <v>3821</v>
      </c>
      <c r="E1068" s="438"/>
      <c r="F1068" s="439">
        <v>2001</v>
      </c>
      <c r="G1068" s="623">
        <v>243750000</v>
      </c>
      <c r="H1068" s="440">
        <f>VLOOKUP(LEFT(D1068,8),UE,4)</f>
        <v>10</v>
      </c>
      <c r="I1068" s="441"/>
      <c r="J1068" s="442">
        <f t="shared" ref="J1068:J1077" si="793">F1068+N1068-1</f>
        <v>2010</v>
      </c>
      <c r="K1068" s="443"/>
      <c r="L1068" s="440"/>
      <c r="M1068" s="746">
        <f>IF(H1068+L1068&gt;$H1068,$H1068-H1068,L1068)</f>
        <v>0</v>
      </c>
      <c r="N1068" s="444">
        <f>H1068+M1068</f>
        <v>10</v>
      </c>
      <c r="O1068" s="442">
        <f t="shared" ref="O1068:O1077" si="794">F1068+N1068-1</f>
        <v>2010</v>
      </c>
      <c r="P1068" s="617">
        <f>G1068</f>
        <v>243750000</v>
      </c>
      <c r="Q1068" s="445">
        <v>0</v>
      </c>
      <c r="R1068" s="445">
        <f>P1068/N1068</f>
        <v>24375000</v>
      </c>
      <c r="S1068" s="446">
        <f t="shared" ref="S1068:S1077" si="795">F1068</f>
        <v>2001</v>
      </c>
      <c r="T1068" s="447">
        <v>1</v>
      </c>
      <c r="U1068" s="613">
        <f t="shared" ref="U1068:U1077" si="796">R1068*T1068</f>
        <v>24375000</v>
      </c>
      <c r="V1068" s="442">
        <f t="shared" ref="V1068:V1077" si="797">F1068</f>
        <v>2001</v>
      </c>
      <c r="W1068" s="617">
        <f>IF(OR(AND(ISBLANK(E1068),ISBLANK(G1068)),ISTEXT(E1068),ISTEXT(G1068)),"",G1068-R1068)</f>
        <v>219375000</v>
      </c>
      <c r="X1068" s="448"/>
      <c r="Y1068" s="449"/>
      <c r="Z1068" s="449"/>
      <c r="AA1068" s="450" t="s">
        <v>4179</v>
      </c>
      <c r="AB1068" s="451"/>
      <c r="AC1068" s="451"/>
      <c r="AD1068" s="565"/>
      <c r="AE1068" s="452"/>
      <c r="AF1068" s="571"/>
      <c r="AG1068" s="452"/>
      <c r="AH1068" s="452"/>
      <c r="AI1068" s="453"/>
      <c r="AJ1068" s="449"/>
      <c r="AK1068" s="453"/>
      <c r="AL1068" s="454"/>
      <c r="AM1068" s="455"/>
      <c r="AN1068" s="456"/>
      <c r="AO1068" s="455"/>
      <c r="AP1068" s="452"/>
      <c r="AQ1068" s="457"/>
      <c r="AR1068" s="449"/>
      <c r="AS1068" s="449"/>
      <c r="AT1068" s="452"/>
      <c r="AU1068" s="457"/>
      <c r="AV1068" s="449"/>
      <c r="AW1068" s="458"/>
      <c r="AX1068" s="452"/>
      <c r="AY1068" s="457"/>
      <c r="AZ1068" s="449"/>
      <c r="BA1068" s="459"/>
      <c r="BB1068" s="455"/>
      <c r="BC1068" s="460"/>
      <c r="BD1068" s="460"/>
      <c r="BG1068" s="462"/>
    </row>
    <row r="1069" spans="1:59" s="461" customFormat="1" ht="18" customHeight="1" x14ac:dyDescent="0.2">
      <c r="A1069" s="1368" t="str">
        <f t="shared" ref="A1069:A1077" si="798">$D$1064&amp;S1069</f>
        <v>JL. DESA PL. TENGAH - SIKAPING2010</v>
      </c>
      <c r="B1069" s="1373"/>
      <c r="C1069" s="488"/>
      <c r="D1069" s="489"/>
      <c r="E1069" s="558"/>
      <c r="F1069" s="559">
        <v>2010</v>
      </c>
      <c r="G1069" s="619">
        <v>0</v>
      </c>
      <c r="H1069" s="464">
        <f t="shared" ref="H1069:H1075" si="799">IF(N1068-(F1069-F1068)&lt;=0,0,(N1068-(F1069-F1068)))</f>
        <v>1</v>
      </c>
      <c r="I1069" s="560"/>
      <c r="J1069" s="468">
        <f t="shared" si="793"/>
        <v>2010</v>
      </c>
      <c r="K1069" s="490">
        <f t="shared" ref="K1069:K1077" si="800">IF(G1069=0,0,IF(H1069=10,100%,G1069/W1068))</f>
        <v>0</v>
      </c>
      <c r="L1069" s="469">
        <f t="shared" ref="L1069:L1077" si="801">IF(K1069=0%,0,IF(K1069&lt;=30%,2,IF(K1069&lt;=60%,5,10)))</f>
        <v>0</v>
      </c>
      <c r="M1069" s="683">
        <f t="shared" ref="M1069:M1077" si="802">IF(OR(AND(ISBLANK(E1069),ISBLANK(G1069)),ISTEXT(E1069),ISTEXT(G1069)),"",IF(H1069+L1069&gt;$H$8,$H$8-H1069,L1069))</f>
        <v>0</v>
      </c>
      <c r="N1069" s="470">
        <f t="shared" ref="N1069:N1077" si="803">IF(OR(AND(ISBLANK(F1069),ISBLANK(G1069)),ISTEXT(F1069),ISTEXT(G1069)),"",H1069+M1069)</f>
        <v>1</v>
      </c>
      <c r="O1069" s="468">
        <f t="shared" si="794"/>
        <v>2010</v>
      </c>
      <c r="P1069" s="616">
        <f t="shared" ref="P1069:P1077" si="804">W1068</f>
        <v>219375000</v>
      </c>
      <c r="Q1069" s="472">
        <f t="shared" ref="Q1069:Q1077" si="805">P1069+G1069</f>
        <v>219375000</v>
      </c>
      <c r="R1069" s="472">
        <f>IF(L1069=0,R1068,Q1069/N1069)</f>
        <v>24375000</v>
      </c>
      <c r="S1069" s="1189">
        <f t="shared" si="795"/>
        <v>2010</v>
      </c>
      <c r="T1069" s="470">
        <f t="shared" ref="T1069:T1077" si="806">S1069-S1068</f>
        <v>9</v>
      </c>
      <c r="U1069" s="612">
        <f t="shared" si="796"/>
        <v>219375000</v>
      </c>
      <c r="V1069" s="464">
        <f t="shared" si="797"/>
        <v>2010</v>
      </c>
      <c r="W1069" s="612">
        <f t="shared" ref="W1069:W1077" si="807">IF(OR(AND(ISBLANK(E1069),ISBLANK(G1069)),ISTEXT(E1069),ISTEXT(G1069)),"",Q1069-U1069)</f>
        <v>0</v>
      </c>
      <c r="X1069" s="561"/>
      <c r="Y1069" s="449"/>
      <c r="Z1069" s="449"/>
      <c r="AA1069" s="554"/>
      <c r="AB1069" s="452"/>
      <c r="AC1069" s="452"/>
      <c r="AD1069" s="566"/>
      <c r="AE1069" s="452"/>
      <c r="AF1069" s="571"/>
      <c r="AG1069" s="452"/>
      <c r="AH1069" s="452"/>
      <c r="AI1069" s="453"/>
      <c r="AJ1069" s="449"/>
      <c r="AK1069" s="453"/>
      <c r="AL1069" s="454"/>
      <c r="AM1069" s="455"/>
      <c r="AN1069" s="456"/>
      <c r="AO1069" s="455"/>
      <c r="AP1069" s="452"/>
      <c r="AQ1069" s="457"/>
      <c r="AR1069" s="449"/>
      <c r="AS1069" s="449"/>
      <c r="AT1069" s="452"/>
      <c r="AU1069" s="457"/>
      <c r="AV1069" s="449"/>
      <c r="AW1069" s="458"/>
      <c r="AX1069" s="452"/>
      <c r="AY1069" s="457"/>
      <c r="AZ1069" s="449"/>
      <c r="BA1069" s="459"/>
      <c r="BB1069" s="455"/>
      <c r="BC1069" s="460"/>
      <c r="BD1069" s="460"/>
      <c r="BG1069" s="462"/>
    </row>
    <row r="1070" spans="1:59" s="461" customFormat="1" ht="18" customHeight="1" x14ac:dyDescent="0.2">
      <c r="A1070" s="1368" t="str">
        <f t="shared" si="798"/>
        <v>JL. DESA PL. TENGAH - SIKAPING2011</v>
      </c>
      <c r="B1070" s="1373"/>
      <c r="C1070" s="488"/>
      <c r="D1070" s="489"/>
      <c r="E1070" s="558"/>
      <c r="F1070" s="559">
        <v>2011</v>
      </c>
      <c r="G1070" s="619">
        <v>0</v>
      </c>
      <c r="H1070" s="464">
        <f>IF(N1069-(F1070-F1069)&lt;=0,0,(N1069-(F1070-F1069)))</f>
        <v>0</v>
      </c>
      <c r="I1070" s="560"/>
      <c r="J1070" s="468">
        <f t="shared" si="793"/>
        <v>2010</v>
      </c>
      <c r="K1070" s="490">
        <f t="shared" si="800"/>
        <v>0</v>
      </c>
      <c r="L1070" s="469">
        <f t="shared" si="801"/>
        <v>0</v>
      </c>
      <c r="M1070" s="683">
        <f t="shared" si="802"/>
        <v>0</v>
      </c>
      <c r="N1070" s="470">
        <f t="shared" si="803"/>
        <v>0</v>
      </c>
      <c r="O1070" s="468">
        <f t="shared" si="794"/>
        <v>2010</v>
      </c>
      <c r="P1070" s="616">
        <f t="shared" si="804"/>
        <v>0</v>
      </c>
      <c r="Q1070" s="472">
        <f t="shared" si="805"/>
        <v>0</v>
      </c>
      <c r="R1070" s="472">
        <v>0</v>
      </c>
      <c r="S1070" s="1189">
        <f t="shared" si="795"/>
        <v>2011</v>
      </c>
      <c r="T1070" s="470">
        <f t="shared" si="806"/>
        <v>1</v>
      </c>
      <c r="U1070" s="612">
        <f t="shared" si="796"/>
        <v>0</v>
      </c>
      <c r="V1070" s="464">
        <f t="shared" si="797"/>
        <v>2011</v>
      </c>
      <c r="W1070" s="612">
        <f t="shared" si="807"/>
        <v>0</v>
      </c>
      <c r="X1070" s="561"/>
      <c r="Y1070" s="449"/>
      <c r="Z1070" s="449"/>
      <c r="AA1070" s="554"/>
      <c r="AB1070" s="452"/>
      <c r="AC1070" s="452"/>
      <c r="AD1070" s="566"/>
      <c r="AE1070" s="452"/>
      <c r="AF1070" s="571"/>
      <c r="AG1070" s="452"/>
      <c r="AH1070" s="452"/>
      <c r="AI1070" s="453"/>
      <c r="AJ1070" s="449"/>
      <c r="AK1070" s="453"/>
      <c r="AL1070" s="454"/>
      <c r="AM1070" s="455"/>
      <c r="AN1070" s="456"/>
      <c r="AO1070" s="455"/>
      <c r="AP1070" s="452"/>
      <c r="AQ1070" s="457"/>
      <c r="AR1070" s="449"/>
      <c r="AS1070" s="449"/>
      <c r="AT1070" s="452"/>
      <c r="AU1070" s="457"/>
      <c r="AV1070" s="449"/>
      <c r="AW1070" s="458"/>
      <c r="AX1070" s="452"/>
      <c r="AY1070" s="457"/>
      <c r="AZ1070" s="449"/>
      <c r="BA1070" s="459"/>
      <c r="BB1070" s="455"/>
      <c r="BC1070" s="460"/>
      <c r="BD1070" s="460"/>
      <c r="BG1070" s="462"/>
    </row>
    <row r="1071" spans="1:59" s="461" customFormat="1" ht="18" customHeight="1" x14ac:dyDescent="0.2">
      <c r="A1071" s="1368" t="str">
        <f t="shared" si="798"/>
        <v>JL. DESA PL. TENGAH - SIKAPING2013</v>
      </c>
      <c r="B1071" s="1373"/>
      <c r="C1071" s="488"/>
      <c r="D1071" s="489"/>
      <c r="E1071" s="558"/>
      <c r="F1071" s="559">
        <v>2013</v>
      </c>
      <c r="G1071" s="619">
        <v>0</v>
      </c>
      <c r="H1071" s="464">
        <f>IF(N1070-(F1071-F1070)&lt;=0,0,(N1070-(F1071-F1070)))</f>
        <v>0</v>
      </c>
      <c r="I1071" s="560"/>
      <c r="J1071" s="468">
        <f t="shared" si="793"/>
        <v>2012</v>
      </c>
      <c r="K1071" s="490">
        <f t="shared" si="800"/>
        <v>0</v>
      </c>
      <c r="L1071" s="469">
        <f t="shared" si="801"/>
        <v>0</v>
      </c>
      <c r="M1071" s="683">
        <f t="shared" si="802"/>
        <v>0</v>
      </c>
      <c r="N1071" s="470">
        <f t="shared" si="803"/>
        <v>0</v>
      </c>
      <c r="O1071" s="468">
        <f t="shared" si="794"/>
        <v>2012</v>
      </c>
      <c r="P1071" s="616">
        <f t="shared" si="804"/>
        <v>0</v>
      </c>
      <c r="Q1071" s="472">
        <f t="shared" si="805"/>
        <v>0</v>
      </c>
      <c r="R1071" s="472">
        <f t="shared" ref="R1071:R1077" si="808">IF(L1071=0,R1070,Q1071/N1071)</f>
        <v>0</v>
      </c>
      <c r="S1071" s="1189">
        <f t="shared" si="795"/>
        <v>2013</v>
      </c>
      <c r="T1071" s="470">
        <f t="shared" si="806"/>
        <v>2</v>
      </c>
      <c r="U1071" s="612">
        <f t="shared" si="796"/>
        <v>0</v>
      </c>
      <c r="V1071" s="464">
        <f t="shared" si="797"/>
        <v>2013</v>
      </c>
      <c r="W1071" s="612">
        <f t="shared" si="807"/>
        <v>0</v>
      </c>
      <c r="X1071" s="561"/>
      <c r="Y1071" s="449"/>
      <c r="Z1071" s="449"/>
      <c r="AA1071" s="554"/>
      <c r="AB1071" s="452"/>
      <c r="AC1071" s="452"/>
      <c r="AD1071" s="566"/>
      <c r="AE1071" s="452"/>
      <c r="AF1071" s="571"/>
      <c r="AG1071" s="452"/>
      <c r="AH1071" s="452"/>
      <c r="AI1071" s="453"/>
      <c r="AJ1071" s="449"/>
      <c r="AK1071" s="453"/>
      <c r="AL1071" s="454"/>
      <c r="AM1071" s="455"/>
      <c r="AN1071" s="456"/>
      <c r="AO1071" s="455"/>
      <c r="AP1071" s="452"/>
      <c r="AQ1071" s="457"/>
      <c r="AR1071" s="449"/>
      <c r="AS1071" s="449"/>
      <c r="AT1071" s="452"/>
      <c r="AU1071" s="457"/>
      <c r="AV1071" s="449"/>
      <c r="AW1071" s="458"/>
      <c r="AX1071" s="452"/>
      <c r="AY1071" s="457"/>
      <c r="AZ1071" s="449"/>
      <c r="BA1071" s="459"/>
      <c r="BB1071" s="455"/>
      <c r="BC1071" s="460"/>
      <c r="BD1071" s="460"/>
      <c r="BG1071" s="462"/>
    </row>
    <row r="1072" spans="1:59" s="486" customFormat="1" ht="18" customHeight="1" x14ac:dyDescent="0.2">
      <c r="A1072" s="1368" t="str">
        <f t="shared" si="798"/>
        <v>JL. DESA PL. TENGAH - SIKAPING2014</v>
      </c>
      <c r="B1072" s="1373"/>
      <c r="C1072" s="488"/>
      <c r="D1072" s="489"/>
      <c r="E1072" s="558"/>
      <c r="F1072" s="559">
        <v>2014</v>
      </c>
      <c r="G1072" s="619">
        <v>0</v>
      </c>
      <c r="H1072" s="464">
        <f>IF(N1071-(F1072-F1071)&lt;=0,0,(N1071-(F1072-F1071)))</f>
        <v>0</v>
      </c>
      <c r="I1072" s="560"/>
      <c r="J1072" s="468">
        <f t="shared" si="793"/>
        <v>2013</v>
      </c>
      <c r="K1072" s="490">
        <f t="shared" si="800"/>
        <v>0</v>
      </c>
      <c r="L1072" s="469">
        <f t="shared" si="801"/>
        <v>0</v>
      </c>
      <c r="M1072" s="683">
        <f t="shared" si="802"/>
        <v>0</v>
      </c>
      <c r="N1072" s="470">
        <f t="shared" si="803"/>
        <v>0</v>
      </c>
      <c r="O1072" s="468">
        <f t="shared" si="794"/>
        <v>2013</v>
      </c>
      <c r="P1072" s="616">
        <f t="shared" si="804"/>
        <v>0</v>
      </c>
      <c r="Q1072" s="472">
        <f t="shared" si="805"/>
        <v>0</v>
      </c>
      <c r="R1072" s="472">
        <f t="shared" si="808"/>
        <v>0</v>
      </c>
      <c r="S1072" s="1189">
        <f t="shared" si="795"/>
        <v>2014</v>
      </c>
      <c r="T1072" s="470">
        <f t="shared" si="806"/>
        <v>1</v>
      </c>
      <c r="U1072" s="612">
        <f t="shared" si="796"/>
        <v>0</v>
      </c>
      <c r="V1072" s="464">
        <f t="shared" si="797"/>
        <v>2014</v>
      </c>
      <c r="W1072" s="612">
        <f t="shared" si="807"/>
        <v>0</v>
      </c>
      <c r="X1072" s="473"/>
      <c r="Y1072" s="474"/>
      <c r="Z1072" s="449"/>
      <c r="AA1072" s="475" t="s">
        <v>4180</v>
      </c>
      <c r="AB1072" s="476"/>
      <c r="AC1072" s="476"/>
      <c r="AD1072" s="567">
        <f>G1079</f>
        <v>2541829202</v>
      </c>
      <c r="AE1072" s="476"/>
      <c r="AF1072" s="568"/>
      <c r="AG1072" s="476"/>
      <c r="AH1072" s="476"/>
      <c r="AI1072" s="477"/>
      <c r="AJ1072" s="478"/>
      <c r="AK1072" s="479"/>
      <c r="AL1072" s="480"/>
      <c r="AM1072" s="474"/>
      <c r="AN1072" s="481"/>
      <c r="AO1072" s="474"/>
      <c r="AP1072" s="476"/>
      <c r="AQ1072" s="482"/>
      <c r="AR1072" s="478"/>
      <c r="AS1072" s="478"/>
      <c r="AT1072" s="476"/>
      <c r="AU1072" s="482"/>
      <c r="AV1072" s="478"/>
      <c r="AW1072" s="483"/>
      <c r="AX1072" s="476"/>
      <c r="AY1072" s="482"/>
      <c r="AZ1072" s="478"/>
      <c r="BA1072" s="484"/>
      <c r="BB1072" s="474"/>
      <c r="BC1072" s="485"/>
      <c r="BD1072" s="485"/>
      <c r="BG1072" s="487"/>
    </row>
    <row r="1073" spans="1:59" s="486" customFormat="1" ht="18" customHeight="1" x14ac:dyDescent="0.2">
      <c r="A1073" s="1368" t="str">
        <f t="shared" si="798"/>
        <v>JL. DESA PL. TENGAH - SIKAPING2015</v>
      </c>
      <c r="B1073" s="1373"/>
      <c r="C1073" s="488"/>
      <c r="D1073" s="489"/>
      <c r="E1073" s="558"/>
      <c r="F1073" s="559">
        <v>2015</v>
      </c>
      <c r="G1073" s="619">
        <v>0</v>
      </c>
      <c r="H1073" s="464">
        <f t="shared" si="799"/>
        <v>0</v>
      </c>
      <c r="I1073" s="560"/>
      <c r="J1073" s="468">
        <f t="shared" si="793"/>
        <v>2014</v>
      </c>
      <c r="K1073" s="490">
        <f t="shared" si="800"/>
        <v>0</v>
      </c>
      <c r="L1073" s="469">
        <f t="shared" si="801"/>
        <v>0</v>
      </c>
      <c r="M1073" s="683">
        <f t="shared" si="802"/>
        <v>0</v>
      </c>
      <c r="N1073" s="470">
        <f t="shared" si="803"/>
        <v>0</v>
      </c>
      <c r="O1073" s="468">
        <f t="shared" si="794"/>
        <v>2014</v>
      </c>
      <c r="P1073" s="616">
        <f t="shared" si="804"/>
        <v>0</v>
      </c>
      <c r="Q1073" s="472">
        <f t="shared" si="805"/>
        <v>0</v>
      </c>
      <c r="R1073" s="472">
        <f t="shared" si="808"/>
        <v>0</v>
      </c>
      <c r="S1073" s="1189">
        <f t="shared" si="795"/>
        <v>2015</v>
      </c>
      <c r="T1073" s="470">
        <f t="shared" si="806"/>
        <v>1</v>
      </c>
      <c r="U1073" s="612">
        <f t="shared" si="796"/>
        <v>0</v>
      </c>
      <c r="V1073" s="464">
        <f t="shared" si="797"/>
        <v>2015</v>
      </c>
      <c r="W1073" s="612">
        <f t="shared" si="807"/>
        <v>0</v>
      </c>
      <c r="X1073" s="473"/>
      <c r="Y1073" s="478"/>
      <c r="Z1073" s="449"/>
      <c r="AA1073" s="475" t="s">
        <v>4181</v>
      </c>
      <c r="AB1073" s="491"/>
      <c r="AC1073" s="491"/>
      <c r="AD1073" s="567">
        <f>U1079</f>
        <v>703365840.39999998</v>
      </c>
      <c r="AE1073" s="491"/>
      <c r="AF1073" s="568"/>
      <c r="AG1073" s="491"/>
      <c r="AH1073" s="491"/>
      <c r="AI1073" s="477"/>
      <c r="AJ1073" s="478"/>
      <c r="AK1073" s="479"/>
      <c r="AL1073" s="480"/>
      <c r="AM1073" s="474"/>
      <c r="AN1073" s="481"/>
      <c r="AO1073" s="474"/>
      <c r="AP1073" s="476"/>
      <c r="AQ1073" s="482"/>
      <c r="AR1073" s="478"/>
      <c r="AS1073" s="478"/>
      <c r="AT1073" s="476"/>
      <c r="AU1073" s="482"/>
      <c r="AV1073" s="478"/>
      <c r="AW1073" s="483"/>
      <c r="AX1073" s="476"/>
      <c r="AY1073" s="482"/>
      <c r="AZ1073" s="478"/>
      <c r="BA1073" s="484"/>
      <c r="BB1073" s="474"/>
      <c r="BC1073" s="485"/>
      <c r="BD1073" s="485"/>
      <c r="BG1073" s="487"/>
    </row>
    <row r="1074" spans="1:59" s="486" customFormat="1" ht="18" customHeight="1" x14ac:dyDescent="0.2">
      <c r="A1074" s="1368" t="str">
        <f t="shared" si="798"/>
        <v>JL. DESA PL. TENGAH - SIKAPING2016</v>
      </c>
      <c r="B1074" s="1373"/>
      <c r="C1074" s="488"/>
      <c r="D1074" s="489"/>
      <c r="E1074" s="558"/>
      <c r="F1074" s="559">
        <v>2016</v>
      </c>
      <c r="G1074" s="619">
        <v>0</v>
      </c>
      <c r="H1074" s="464">
        <f t="shared" si="799"/>
        <v>0</v>
      </c>
      <c r="I1074" s="560"/>
      <c r="J1074" s="468">
        <f t="shared" si="793"/>
        <v>2015</v>
      </c>
      <c r="K1074" s="490">
        <f t="shared" si="800"/>
        <v>0</v>
      </c>
      <c r="L1074" s="469">
        <f t="shared" si="801"/>
        <v>0</v>
      </c>
      <c r="M1074" s="683">
        <f t="shared" si="802"/>
        <v>0</v>
      </c>
      <c r="N1074" s="470">
        <f t="shared" si="803"/>
        <v>0</v>
      </c>
      <c r="O1074" s="468">
        <f t="shared" si="794"/>
        <v>2015</v>
      </c>
      <c r="P1074" s="616">
        <f t="shared" si="804"/>
        <v>0</v>
      </c>
      <c r="Q1074" s="472">
        <f t="shared" si="805"/>
        <v>0</v>
      </c>
      <c r="R1074" s="472">
        <f t="shared" si="808"/>
        <v>0</v>
      </c>
      <c r="S1074" s="1189">
        <f t="shared" si="795"/>
        <v>2016</v>
      </c>
      <c r="T1074" s="470">
        <f t="shared" si="806"/>
        <v>1</v>
      </c>
      <c r="U1074" s="612">
        <f t="shared" si="796"/>
        <v>0</v>
      </c>
      <c r="V1074" s="464">
        <f t="shared" si="797"/>
        <v>2016</v>
      </c>
      <c r="W1074" s="612">
        <f t="shared" si="807"/>
        <v>0</v>
      </c>
      <c r="X1074" s="473"/>
      <c r="Y1074" s="478"/>
      <c r="Z1074" s="449"/>
      <c r="AA1074" s="492" t="s">
        <v>4182</v>
      </c>
      <c r="AB1074" s="476"/>
      <c r="AC1074" s="476"/>
      <c r="AD1074" s="567">
        <f>AD1072-AD1073</f>
        <v>1838463361.5999999</v>
      </c>
      <c r="AE1074" s="476"/>
      <c r="AF1074" s="568"/>
      <c r="AG1074" s="476"/>
      <c r="AH1074" s="476"/>
      <c r="AI1074" s="477"/>
      <c r="AJ1074" s="478"/>
      <c r="AK1074" s="479"/>
      <c r="AL1074" s="480"/>
      <c r="AM1074" s="474"/>
      <c r="AN1074" s="481"/>
      <c r="AO1074" s="474"/>
      <c r="AP1074" s="476"/>
      <c r="AQ1074" s="482"/>
      <c r="AR1074" s="478"/>
      <c r="AS1074" s="478"/>
      <c r="AT1074" s="476"/>
      <c r="AU1074" s="482"/>
      <c r="AV1074" s="478"/>
      <c r="AW1074" s="483"/>
      <c r="AX1074" s="476"/>
      <c r="AY1074" s="482"/>
      <c r="AZ1074" s="478"/>
      <c r="BA1074" s="484"/>
      <c r="BB1074" s="474"/>
      <c r="BC1074" s="485"/>
      <c r="BD1074" s="485"/>
      <c r="BG1074" s="487"/>
    </row>
    <row r="1075" spans="1:59" s="486" customFormat="1" ht="18" customHeight="1" x14ac:dyDescent="0.2">
      <c r="A1075" s="1368" t="str">
        <f t="shared" si="798"/>
        <v>JL. DESA PL. TENGAH - SIKAPING2017</v>
      </c>
      <c r="B1075" s="687"/>
      <c r="C1075" s="463"/>
      <c r="D1075" s="489"/>
      <c r="E1075" s="465"/>
      <c r="F1075" s="559">
        <v>2017</v>
      </c>
      <c r="G1075" s="619">
        <v>0</v>
      </c>
      <c r="H1075" s="464">
        <f t="shared" si="799"/>
        <v>0</v>
      </c>
      <c r="I1075" s="467"/>
      <c r="J1075" s="468">
        <f t="shared" si="793"/>
        <v>2016</v>
      </c>
      <c r="K1075" s="490">
        <f t="shared" si="800"/>
        <v>0</v>
      </c>
      <c r="L1075" s="469">
        <f t="shared" si="801"/>
        <v>0</v>
      </c>
      <c r="M1075" s="683">
        <f t="shared" si="802"/>
        <v>0</v>
      </c>
      <c r="N1075" s="470">
        <f t="shared" si="803"/>
        <v>0</v>
      </c>
      <c r="O1075" s="468">
        <f t="shared" si="794"/>
        <v>2016</v>
      </c>
      <c r="P1075" s="616">
        <f t="shared" si="804"/>
        <v>0</v>
      </c>
      <c r="Q1075" s="472">
        <f t="shared" si="805"/>
        <v>0</v>
      </c>
      <c r="R1075" s="472">
        <f t="shared" si="808"/>
        <v>0</v>
      </c>
      <c r="S1075" s="1189">
        <f t="shared" si="795"/>
        <v>2017</v>
      </c>
      <c r="T1075" s="470">
        <f t="shared" si="806"/>
        <v>1</v>
      </c>
      <c r="U1075" s="612">
        <f t="shared" si="796"/>
        <v>0</v>
      </c>
      <c r="V1075" s="464">
        <f t="shared" si="797"/>
        <v>2017</v>
      </c>
      <c r="W1075" s="612">
        <f t="shared" si="807"/>
        <v>0</v>
      </c>
      <c r="X1075" s="473"/>
      <c r="Y1075" s="478"/>
      <c r="Z1075" s="449"/>
      <c r="AA1075" s="531" t="s">
        <v>4183</v>
      </c>
      <c r="AB1075" s="496"/>
      <c r="AC1075" s="496"/>
      <c r="AD1075" s="569">
        <f>AD1074-W1079</f>
        <v>0</v>
      </c>
      <c r="AE1075" s="476"/>
      <c r="AF1075" s="568"/>
      <c r="AG1075" s="476"/>
      <c r="AH1075" s="476"/>
      <c r="AI1075" s="477"/>
      <c r="AJ1075" s="478"/>
      <c r="AK1075" s="479"/>
      <c r="AL1075" s="480"/>
      <c r="AM1075" s="474"/>
      <c r="AN1075" s="481"/>
      <c r="AO1075" s="474"/>
      <c r="AP1075" s="476"/>
      <c r="AQ1075" s="482"/>
      <c r="AR1075" s="478"/>
      <c r="AS1075" s="478"/>
      <c r="AT1075" s="476"/>
      <c r="AU1075" s="482"/>
      <c r="AV1075" s="478"/>
      <c r="AW1075" s="483"/>
      <c r="AX1075" s="476"/>
      <c r="AY1075" s="482"/>
      <c r="AZ1075" s="478"/>
      <c r="BA1075" s="484"/>
      <c r="BB1075" s="474"/>
      <c r="BC1075" s="485"/>
      <c r="BD1075" s="485"/>
      <c r="BG1075" s="487"/>
    </row>
    <row r="1076" spans="1:59" s="486" customFormat="1" ht="18" customHeight="1" x14ac:dyDescent="0.2">
      <c r="A1076" s="1368" t="str">
        <f t="shared" si="798"/>
        <v>JL. DESA PL. TENGAH - SIKAPING2018</v>
      </c>
      <c r="B1076" s="687">
        <v>2</v>
      </c>
      <c r="C1076" s="493" t="s">
        <v>3324</v>
      </c>
      <c r="D1076" s="489" t="s">
        <v>3821</v>
      </c>
      <c r="E1076" s="465"/>
      <c r="F1076" s="559">
        <v>2018</v>
      </c>
      <c r="G1076" s="619">
        <v>2298079202</v>
      </c>
      <c r="H1076" s="557">
        <f>VLOOKUP(LEFT(D1076,8),UE,4)</f>
        <v>10</v>
      </c>
      <c r="I1076" s="467"/>
      <c r="J1076" s="468">
        <f t="shared" si="793"/>
        <v>2027</v>
      </c>
      <c r="K1076" s="490">
        <f t="shared" si="800"/>
        <v>1</v>
      </c>
      <c r="L1076" s="469">
        <f t="shared" si="801"/>
        <v>10</v>
      </c>
      <c r="M1076" s="683">
        <f t="shared" si="802"/>
        <v>0</v>
      </c>
      <c r="N1076" s="470">
        <f t="shared" si="803"/>
        <v>10</v>
      </c>
      <c r="O1076" s="468">
        <f t="shared" si="794"/>
        <v>2027</v>
      </c>
      <c r="P1076" s="616">
        <f t="shared" si="804"/>
        <v>0</v>
      </c>
      <c r="Q1076" s="472">
        <f t="shared" si="805"/>
        <v>2298079202</v>
      </c>
      <c r="R1076" s="472">
        <f t="shared" si="808"/>
        <v>229807920.19999999</v>
      </c>
      <c r="S1076" s="1189">
        <f t="shared" si="795"/>
        <v>2018</v>
      </c>
      <c r="T1076" s="470">
        <f t="shared" si="806"/>
        <v>1</v>
      </c>
      <c r="U1076" s="612">
        <f t="shared" si="796"/>
        <v>229807920.19999999</v>
      </c>
      <c r="V1076" s="464">
        <f t="shared" si="797"/>
        <v>2018</v>
      </c>
      <c r="W1076" s="612">
        <f t="shared" si="807"/>
        <v>2068271281.8</v>
      </c>
      <c r="X1076" s="473"/>
      <c r="Y1076" s="478"/>
      <c r="Z1076" s="449"/>
      <c r="AA1076" s="573"/>
      <c r="AB1076" s="476"/>
      <c r="AC1076" s="476"/>
      <c r="AD1076" s="568"/>
      <c r="AE1076" s="476"/>
      <c r="AF1076" s="568"/>
      <c r="AG1076" s="476"/>
      <c r="AH1076" s="476"/>
      <c r="AI1076" s="477"/>
      <c r="AJ1076" s="478"/>
      <c r="AK1076" s="479"/>
      <c r="AL1076" s="480"/>
      <c r="AM1076" s="474"/>
      <c r="AN1076" s="481"/>
      <c r="AO1076" s="474"/>
      <c r="AP1076" s="476"/>
      <c r="AQ1076" s="482"/>
      <c r="AR1076" s="478"/>
      <c r="AS1076" s="478"/>
      <c r="AT1076" s="476"/>
      <c r="AU1076" s="482"/>
      <c r="AV1076" s="478"/>
      <c r="AW1076" s="483"/>
      <c r="AX1076" s="476"/>
      <c r="AY1076" s="482"/>
      <c r="AZ1076" s="478"/>
      <c r="BA1076" s="484"/>
      <c r="BB1076" s="474"/>
      <c r="BC1076" s="485"/>
      <c r="BD1076" s="485"/>
      <c r="BG1076" s="487"/>
    </row>
    <row r="1077" spans="1:59" s="486" customFormat="1" ht="18" customHeight="1" x14ac:dyDescent="0.2">
      <c r="A1077" s="1368" t="str">
        <f t="shared" si="798"/>
        <v>JL. DESA PL. TENGAH - SIKAPING2019</v>
      </c>
      <c r="B1077" s="687"/>
      <c r="C1077" s="493"/>
      <c r="D1077" s="489"/>
      <c r="E1077" s="465"/>
      <c r="F1077" s="559">
        <v>2019</v>
      </c>
      <c r="G1077" s="619">
        <v>0</v>
      </c>
      <c r="H1077" s="464">
        <f>IF(N1076-(F1077-F1076)&lt;=0,0,(N1076-(F1077-F1076)))</f>
        <v>9</v>
      </c>
      <c r="I1077" s="467"/>
      <c r="J1077" s="468">
        <f t="shared" si="793"/>
        <v>2027</v>
      </c>
      <c r="K1077" s="490">
        <f t="shared" si="800"/>
        <v>0</v>
      </c>
      <c r="L1077" s="469">
        <f t="shared" si="801"/>
        <v>0</v>
      </c>
      <c r="M1077" s="683">
        <f t="shared" si="802"/>
        <v>0</v>
      </c>
      <c r="N1077" s="470">
        <f t="shared" si="803"/>
        <v>9</v>
      </c>
      <c r="O1077" s="468">
        <f t="shared" si="794"/>
        <v>2027</v>
      </c>
      <c r="P1077" s="616">
        <f t="shared" si="804"/>
        <v>2068271281.8</v>
      </c>
      <c r="Q1077" s="472">
        <f t="shared" si="805"/>
        <v>2068271281.8</v>
      </c>
      <c r="R1077" s="472">
        <f t="shared" si="808"/>
        <v>229807920.19999999</v>
      </c>
      <c r="S1077" s="1189">
        <f t="shared" si="795"/>
        <v>2019</v>
      </c>
      <c r="T1077" s="470">
        <f t="shared" si="806"/>
        <v>1</v>
      </c>
      <c r="U1077" s="612">
        <f t="shared" si="796"/>
        <v>229807920.19999999</v>
      </c>
      <c r="V1077" s="464">
        <f t="shared" si="797"/>
        <v>2019</v>
      </c>
      <c r="W1077" s="612">
        <f t="shared" si="807"/>
        <v>1838463361.5999999</v>
      </c>
      <c r="X1077" s="473"/>
      <c r="Y1077" s="478"/>
      <c r="Z1077" s="449"/>
      <c r="AA1077" s="573"/>
      <c r="AB1077" s="476"/>
      <c r="AC1077" s="476"/>
      <c r="AD1077" s="568"/>
      <c r="AE1077" s="476"/>
      <c r="AF1077" s="568"/>
      <c r="AG1077" s="476"/>
      <c r="AH1077" s="476"/>
      <c r="AI1077" s="477"/>
      <c r="AJ1077" s="478"/>
      <c r="AK1077" s="479"/>
      <c r="AL1077" s="480"/>
      <c r="AM1077" s="474"/>
      <c r="AN1077" s="481"/>
      <c r="AO1077" s="474"/>
      <c r="AP1077" s="476"/>
      <c r="AQ1077" s="482"/>
      <c r="AR1077" s="478"/>
      <c r="AS1077" s="478"/>
      <c r="AT1077" s="476"/>
      <c r="AU1077" s="482"/>
      <c r="AV1077" s="478"/>
      <c r="AW1077" s="483"/>
      <c r="AX1077" s="476"/>
      <c r="AY1077" s="482"/>
      <c r="AZ1077" s="478"/>
      <c r="BA1077" s="484"/>
      <c r="BB1077" s="474"/>
      <c r="BC1077" s="485"/>
      <c r="BD1077" s="485"/>
      <c r="BG1077" s="487"/>
    </row>
    <row r="1078" spans="1:59" s="486" customFormat="1" ht="18" customHeight="1" x14ac:dyDescent="0.2">
      <c r="A1078" s="1368" t="str">
        <f>LEFT(D1078,8)</f>
        <v/>
      </c>
      <c r="B1078" s="687"/>
      <c r="C1078" s="463"/>
      <c r="D1078" s="489"/>
      <c r="E1078" s="465"/>
      <c r="F1078" s="466"/>
      <c r="G1078" s="620"/>
      <c r="H1078" s="464"/>
      <c r="I1078" s="467"/>
      <c r="J1078" s="468"/>
      <c r="K1078" s="574"/>
      <c r="L1078" s="469"/>
      <c r="M1078" s="683"/>
      <c r="N1078" s="470"/>
      <c r="O1078" s="468"/>
      <c r="P1078" s="616"/>
      <c r="Q1078" s="472"/>
      <c r="R1078" s="472"/>
      <c r="S1078" s="1189"/>
      <c r="T1078" s="470"/>
      <c r="U1078" s="612"/>
      <c r="V1078" s="464"/>
      <c r="W1078" s="612"/>
      <c r="X1078" s="473"/>
      <c r="Y1078" s="478"/>
      <c r="Z1078" s="449"/>
      <c r="AA1078" s="573"/>
      <c r="AB1078" s="476"/>
      <c r="AC1078" s="476"/>
      <c r="AD1078" s="568"/>
      <c r="AE1078" s="476"/>
      <c r="AF1078" s="568"/>
      <c r="AG1078" s="476"/>
      <c r="AH1078" s="476"/>
      <c r="AI1078" s="477"/>
      <c r="AJ1078" s="478"/>
      <c r="AK1078" s="479"/>
      <c r="AL1078" s="480"/>
      <c r="AM1078" s="474"/>
      <c r="AN1078" s="481"/>
      <c r="AO1078" s="474"/>
      <c r="AP1078" s="476"/>
      <c r="AQ1078" s="482"/>
      <c r="AR1078" s="478"/>
      <c r="AS1078" s="478"/>
      <c r="AT1078" s="476"/>
      <c r="AU1078" s="482"/>
      <c r="AV1078" s="478"/>
      <c r="AW1078" s="483"/>
      <c r="AX1078" s="476"/>
      <c r="AY1078" s="482"/>
      <c r="AZ1078" s="478"/>
      <c r="BA1078" s="484"/>
      <c r="BB1078" s="474"/>
      <c r="BC1078" s="485"/>
      <c r="BD1078" s="485"/>
      <c r="BG1078" s="487"/>
    </row>
    <row r="1079" spans="1:59" s="526" customFormat="1" ht="18" customHeight="1" x14ac:dyDescent="0.2">
      <c r="A1079" s="1370" t="s">
        <v>4184</v>
      </c>
      <c r="B1079" s="1956" t="s">
        <v>4184</v>
      </c>
      <c r="C1079" s="1957"/>
      <c r="D1079" s="1957"/>
      <c r="E1079" s="1957"/>
      <c r="F1079" s="1958"/>
      <c r="G1079" s="621">
        <f>SUM(G1068:G1078)</f>
        <v>2541829202</v>
      </c>
      <c r="H1079" s="505"/>
      <c r="I1079" s="506"/>
      <c r="J1079" s="507"/>
      <c r="K1079" s="507"/>
      <c r="L1079" s="505"/>
      <c r="M1079" s="684"/>
      <c r="N1079" s="508"/>
      <c r="O1079" s="507"/>
      <c r="P1079" s="749"/>
      <c r="Q1079" s="510"/>
      <c r="R1079" s="511"/>
      <c r="S1079" s="512"/>
      <c r="T1079" s="512"/>
      <c r="U1079" s="610">
        <f>SUM(U1068:U1078)</f>
        <v>703365840.39999998</v>
      </c>
      <c r="V1079" s="513"/>
      <c r="W1079" s="610">
        <f>G1079-U1079</f>
        <v>1838463361.5999999</v>
      </c>
      <c r="X1079" s="514"/>
      <c r="Y1079" s="515"/>
      <c r="Z1079" s="515"/>
      <c r="AA1079" s="515"/>
      <c r="AB1079" s="515"/>
      <c r="AC1079" s="515"/>
      <c r="AD1079" s="570"/>
      <c r="AE1079" s="515"/>
      <c r="AF1079" s="570">
        <v>1836601367.352</v>
      </c>
      <c r="AG1079" s="515"/>
      <c r="AH1079" s="515"/>
      <c r="AI1079" s="516"/>
      <c r="AJ1079" s="517"/>
      <c r="AK1079" s="518"/>
      <c r="AL1079" s="519"/>
      <c r="AM1079" s="520"/>
      <c r="AN1079" s="521"/>
      <c r="AO1079" s="520"/>
      <c r="AP1079" s="515"/>
      <c r="AQ1079" s="522"/>
      <c r="AR1079" s="517"/>
      <c r="AS1079" s="517"/>
      <c r="AT1079" s="515"/>
      <c r="AU1079" s="522"/>
      <c r="AV1079" s="517"/>
      <c r="AW1079" s="523"/>
      <c r="AX1079" s="515"/>
      <c r="AY1079" s="522"/>
      <c r="AZ1079" s="517"/>
      <c r="BA1079" s="524"/>
      <c r="BB1079" s="520"/>
      <c r="BC1079" s="525"/>
      <c r="BD1079" s="525"/>
      <c r="BG1079" s="527"/>
    </row>
    <row r="1082" spans="1:59" s="422" customFormat="1" ht="18" customHeight="1" x14ac:dyDescent="0.2">
      <c r="A1082" s="1376">
        <f>C1082</f>
        <v>174</v>
      </c>
      <c r="B1082" s="742" t="s">
        <v>4187</v>
      </c>
      <c r="C1082" s="556">
        <v>174</v>
      </c>
      <c r="D1082" s="553" t="str">
        <f>VLOOKUP(C1082,RUAS,2,FALSE)</f>
        <v>JL. DESA SIKAPING - PL. INGU</v>
      </c>
      <c r="E1082" s="553"/>
      <c r="F1082" s="421"/>
      <c r="G1082" s="611"/>
      <c r="I1082" s="423"/>
      <c r="J1082" s="424"/>
      <c r="K1082" s="424"/>
      <c r="M1082" s="680"/>
      <c r="P1082" s="611"/>
      <c r="U1082" s="611"/>
      <c r="W1082" s="611"/>
      <c r="Y1082" s="425"/>
      <c r="Z1082" s="425"/>
      <c r="AA1082" s="425"/>
      <c r="AB1082" s="425"/>
      <c r="AC1082" s="425"/>
      <c r="AD1082" s="563"/>
      <c r="AE1082" s="425"/>
      <c r="AF1082" s="563"/>
      <c r="AG1082" s="425"/>
      <c r="AH1082" s="425"/>
      <c r="AI1082" s="425"/>
      <c r="AJ1082" s="425"/>
      <c r="AK1082" s="425"/>
      <c r="AL1082" s="425"/>
      <c r="AM1082" s="425"/>
      <c r="AN1082" s="425"/>
      <c r="AO1082" s="425"/>
      <c r="AP1082" s="425"/>
      <c r="AQ1082" s="425"/>
      <c r="AR1082" s="425"/>
      <c r="AS1082" s="425"/>
      <c r="AT1082" s="425"/>
      <c r="AU1082" s="425"/>
      <c r="AV1082" s="425"/>
      <c r="AW1082" s="425"/>
      <c r="AX1082" s="425"/>
      <c r="AY1082" s="425"/>
      <c r="AZ1082" s="425"/>
      <c r="BA1082" s="425"/>
      <c r="BB1082" s="425"/>
    </row>
    <row r="1083" spans="1:59" s="431" customFormat="1" ht="18" customHeight="1" x14ac:dyDescent="0.2">
      <c r="A1083" s="1367"/>
      <c r="B1083" s="1968" t="s">
        <v>5</v>
      </c>
      <c r="C1083" s="1968" t="s">
        <v>2280</v>
      </c>
      <c r="D1083" s="1968" t="s">
        <v>4157</v>
      </c>
      <c r="E1083" s="1968" t="s">
        <v>4158</v>
      </c>
      <c r="F1083" s="1968"/>
      <c r="G1083" s="2042" t="s">
        <v>4159</v>
      </c>
      <c r="H1083" s="1968" t="s">
        <v>4160</v>
      </c>
      <c r="I1083" s="1968"/>
      <c r="J1083" s="1968" t="s">
        <v>4185</v>
      </c>
      <c r="K1083" s="1964" t="s">
        <v>4162</v>
      </c>
      <c r="L1083" s="1968" t="s">
        <v>4163</v>
      </c>
      <c r="M1083" s="1971" t="s">
        <v>4164</v>
      </c>
      <c r="N1083" s="1962" t="s">
        <v>4165</v>
      </c>
      <c r="O1083" s="1968" t="s">
        <v>4166</v>
      </c>
      <c r="P1083" s="1972" t="s">
        <v>4167</v>
      </c>
      <c r="Q1083" s="1973"/>
      <c r="R1083" s="1215" t="s">
        <v>4186</v>
      </c>
      <c r="S1083" s="1972" t="s">
        <v>4169</v>
      </c>
      <c r="T1083" s="1974"/>
      <c r="U1083" s="1973"/>
      <c r="V1083" s="1975" t="s">
        <v>4170</v>
      </c>
      <c r="W1083" s="1975"/>
      <c r="X1083" s="1960" t="s">
        <v>4171</v>
      </c>
      <c r="Y1083" s="1959"/>
      <c r="Z1083" s="1216"/>
      <c r="AA1083" s="426"/>
      <c r="AB1083" s="426"/>
      <c r="AC1083" s="426"/>
      <c r="AD1083" s="564"/>
      <c r="AE1083" s="426"/>
      <c r="AF1083" s="564"/>
      <c r="AG1083" s="426"/>
      <c r="AH1083" s="426"/>
      <c r="AI1083" s="427"/>
      <c r="AJ1083" s="427"/>
      <c r="AK1083" s="427"/>
      <c r="AL1083" s="427"/>
      <c r="AM1083" s="428"/>
      <c r="AN1083" s="427"/>
      <c r="AO1083" s="427"/>
      <c r="AP1083" s="426"/>
      <c r="AQ1083" s="427"/>
      <c r="AR1083" s="427"/>
      <c r="AS1083" s="427"/>
      <c r="AT1083" s="426"/>
      <c r="AU1083" s="427"/>
      <c r="AV1083" s="427"/>
      <c r="AW1083" s="427"/>
      <c r="AX1083" s="426"/>
      <c r="AY1083" s="427"/>
      <c r="AZ1083" s="427"/>
      <c r="BA1083" s="427"/>
      <c r="BB1083" s="429"/>
      <c r="BC1083" s="430"/>
      <c r="BD1083" s="430"/>
    </row>
    <row r="1084" spans="1:59" s="431" customFormat="1" ht="18" customHeight="1" x14ac:dyDescent="0.2">
      <c r="A1084" s="1367"/>
      <c r="B1084" s="1968"/>
      <c r="C1084" s="1968"/>
      <c r="D1084" s="1968"/>
      <c r="E1084" s="1968"/>
      <c r="F1084" s="1968"/>
      <c r="G1084" s="2042"/>
      <c r="H1084" s="1968"/>
      <c r="I1084" s="1968"/>
      <c r="J1084" s="1968"/>
      <c r="K1084" s="1970"/>
      <c r="L1084" s="1968"/>
      <c r="M1084" s="1971"/>
      <c r="N1084" s="1963"/>
      <c r="O1084" s="1968"/>
      <c r="P1084" s="2037" t="s">
        <v>4172</v>
      </c>
      <c r="Q1084" s="1960" t="s">
        <v>4173</v>
      </c>
      <c r="R1084" s="1962" t="s">
        <v>4159</v>
      </c>
      <c r="S1084" s="1962" t="s">
        <v>4174</v>
      </c>
      <c r="T1084" s="1964" t="s">
        <v>4175</v>
      </c>
      <c r="U1084" s="1966" t="s">
        <v>4159</v>
      </c>
      <c r="V1084" s="1975"/>
      <c r="W1084" s="1975"/>
      <c r="X1084" s="1976"/>
      <c r="Y1084" s="1959"/>
      <c r="Z1084" s="1216"/>
      <c r="AA1084" s="426"/>
      <c r="AB1084" s="426"/>
      <c r="AC1084" s="426"/>
      <c r="AD1084" s="564"/>
      <c r="AE1084" s="426"/>
      <c r="AF1084" s="564"/>
      <c r="AG1084" s="426"/>
      <c r="AH1084" s="426"/>
      <c r="AI1084" s="427"/>
      <c r="AJ1084" s="427"/>
      <c r="AK1084" s="426"/>
      <c r="AL1084" s="427"/>
      <c r="AM1084" s="428"/>
      <c r="AN1084" s="427"/>
      <c r="AO1084" s="427"/>
      <c r="AP1084" s="432"/>
      <c r="AQ1084" s="427"/>
      <c r="AR1084" s="427"/>
      <c r="AS1084" s="427"/>
      <c r="AT1084" s="432"/>
      <c r="AU1084" s="427"/>
      <c r="AV1084" s="427"/>
      <c r="AW1084" s="427"/>
      <c r="AX1084" s="432"/>
      <c r="AY1084" s="427"/>
      <c r="AZ1084" s="427"/>
      <c r="BA1084" s="427"/>
      <c r="BB1084" s="429"/>
      <c r="BC1084" s="430"/>
      <c r="BD1084" s="430"/>
    </row>
    <row r="1085" spans="1:59" s="431" customFormat="1" ht="18" customHeight="1" x14ac:dyDescent="0.2">
      <c r="A1085" s="1367"/>
      <c r="B1085" s="1968"/>
      <c r="C1085" s="1968"/>
      <c r="D1085" s="1968"/>
      <c r="E1085" s="433" t="s">
        <v>4176</v>
      </c>
      <c r="F1085" s="434" t="s">
        <v>2288</v>
      </c>
      <c r="G1085" s="2042"/>
      <c r="H1085" s="1214" t="s">
        <v>2288</v>
      </c>
      <c r="I1085" s="1214" t="s">
        <v>4177</v>
      </c>
      <c r="J1085" s="1968"/>
      <c r="K1085" s="1965"/>
      <c r="L1085" s="435" t="s">
        <v>2288</v>
      </c>
      <c r="M1085" s="681" t="s">
        <v>2288</v>
      </c>
      <c r="N1085" s="1214" t="s">
        <v>2288</v>
      </c>
      <c r="O1085" s="1968"/>
      <c r="P1085" s="2038"/>
      <c r="Q1085" s="1961"/>
      <c r="R1085" s="1963"/>
      <c r="S1085" s="1963"/>
      <c r="T1085" s="1965"/>
      <c r="U1085" s="1967"/>
      <c r="V1085" s="1214" t="s">
        <v>4178</v>
      </c>
      <c r="W1085" s="1217" t="s">
        <v>4159</v>
      </c>
      <c r="X1085" s="1961"/>
      <c r="Y1085" s="436"/>
      <c r="Z1085" s="436"/>
      <c r="AA1085" s="426"/>
      <c r="AB1085" s="426"/>
      <c r="AC1085" s="426"/>
      <c r="AD1085" s="564"/>
      <c r="AE1085" s="426"/>
      <c r="AF1085" s="564"/>
      <c r="AG1085" s="426"/>
      <c r="AH1085" s="426"/>
      <c r="AI1085" s="427"/>
      <c r="AJ1085" s="432"/>
      <c r="AK1085" s="432"/>
      <c r="AL1085" s="427"/>
      <c r="AM1085" s="428"/>
      <c r="AN1085" s="432"/>
      <c r="AO1085" s="427"/>
      <c r="AP1085" s="432"/>
      <c r="AQ1085" s="432"/>
      <c r="AR1085" s="427"/>
      <c r="AS1085" s="427"/>
      <c r="AT1085" s="432"/>
      <c r="AU1085" s="432"/>
      <c r="AV1085" s="427"/>
      <c r="AW1085" s="427"/>
      <c r="AX1085" s="432"/>
      <c r="AY1085" s="432"/>
      <c r="AZ1085" s="427"/>
      <c r="BA1085" s="427"/>
      <c r="BB1085" s="429"/>
      <c r="BC1085" s="430"/>
      <c r="BD1085" s="430"/>
    </row>
    <row r="1086" spans="1:59" s="461" customFormat="1" ht="18" customHeight="1" x14ac:dyDescent="0.2">
      <c r="A1086" s="1368" t="str">
        <f>$D$1082&amp;S1086</f>
        <v>JL. DESA SIKAPING - PL. INGU2001</v>
      </c>
      <c r="B1086" s="1373">
        <v>1</v>
      </c>
      <c r="C1086" s="532" t="s">
        <v>696</v>
      </c>
      <c r="D1086" s="437" t="s">
        <v>3821</v>
      </c>
      <c r="E1086" s="438"/>
      <c r="F1086" s="439">
        <v>2001</v>
      </c>
      <c r="G1086" s="623">
        <v>787500000</v>
      </c>
      <c r="H1086" s="440">
        <f>VLOOKUP(LEFT(D1086,8),UE,4)</f>
        <v>10</v>
      </c>
      <c r="I1086" s="441"/>
      <c r="J1086" s="442">
        <f>F1086+N1086-1</f>
        <v>2010</v>
      </c>
      <c r="K1086" s="443"/>
      <c r="L1086" s="440"/>
      <c r="M1086" s="746">
        <f>IF(H1086+L1086&gt;$H1086,$H1086-H1086,L1086)</f>
        <v>0</v>
      </c>
      <c r="N1086" s="444">
        <f>H1086+M1086</f>
        <v>10</v>
      </c>
      <c r="O1086" s="442">
        <f>F1086+N1086-1</f>
        <v>2010</v>
      </c>
      <c r="P1086" s="617">
        <f>G1086</f>
        <v>787500000</v>
      </c>
      <c r="Q1086" s="445">
        <v>0</v>
      </c>
      <c r="R1086" s="445">
        <f>P1086/N1086</f>
        <v>78750000</v>
      </c>
      <c r="S1086" s="446">
        <f>F1086</f>
        <v>2001</v>
      </c>
      <c r="T1086" s="447">
        <v>1</v>
      </c>
      <c r="U1086" s="613">
        <f>R1086*T1086</f>
        <v>78750000</v>
      </c>
      <c r="V1086" s="442">
        <f>F1086</f>
        <v>2001</v>
      </c>
      <c r="W1086" s="617">
        <f>IF(OR(AND(ISBLANK(E1086),ISBLANK(G1086)),ISTEXT(E1086),ISTEXT(G1086)),"",G1086-R1086)</f>
        <v>708750000</v>
      </c>
      <c r="X1086" s="448"/>
      <c r="Y1086" s="449"/>
      <c r="Z1086" s="449"/>
      <c r="AA1086" s="450" t="s">
        <v>4179</v>
      </c>
      <c r="AB1086" s="451"/>
      <c r="AC1086" s="451"/>
      <c r="AD1086" s="565"/>
      <c r="AE1086" s="452"/>
      <c r="AF1086" s="571"/>
      <c r="AG1086" s="452"/>
      <c r="AH1086" s="452"/>
      <c r="AI1086" s="453"/>
      <c r="AJ1086" s="449"/>
      <c r="AK1086" s="453"/>
      <c r="AL1086" s="454"/>
      <c r="AM1086" s="455"/>
      <c r="AN1086" s="456"/>
      <c r="AO1086" s="455"/>
      <c r="AP1086" s="452"/>
      <c r="AQ1086" s="457"/>
      <c r="AR1086" s="449"/>
      <c r="AS1086" s="449"/>
      <c r="AT1086" s="452"/>
      <c r="AU1086" s="457"/>
      <c r="AV1086" s="449"/>
      <c r="AW1086" s="458"/>
      <c r="AX1086" s="452"/>
      <c r="AY1086" s="457"/>
      <c r="AZ1086" s="449"/>
      <c r="BA1086" s="459"/>
      <c r="BB1086" s="455"/>
      <c r="BC1086" s="460"/>
      <c r="BD1086" s="460"/>
      <c r="BG1086" s="462"/>
    </row>
    <row r="1087" spans="1:59" s="461" customFormat="1" ht="18" customHeight="1" x14ac:dyDescent="0.2">
      <c r="A1087" s="1368" t="str">
        <f t="shared" ref="A1087:A1096" si="809">$D$1082&amp;S1087</f>
        <v>JL. DESA SIKAPING - PL. INGU2010</v>
      </c>
      <c r="B1087" s="1373"/>
      <c r="C1087" s="488"/>
      <c r="D1087" s="489"/>
      <c r="E1087" s="558"/>
      <c r="F1087" s="559">
        <v>2010</v>
      </c>
      <c r="G1087" s="619">
        <v>0</v>
      </c>
      <c r="H1087" s="464">
        <f>IF(N1086-(F1087-F1086)&lt;=0,0,(N1086-(F1087-F1086)))</f>
        <v>1</v>
      </c>
      <c r="I1087" s="560"/>
      <c r="J1087" s="468">
        <f>F1087+N1087-1</f>
        <v>2010</v>
      </c>
      <c r="K1087" s="490">
        <f>IF(G1087=0,0,IF(H1087=10,100%,G1087/W1086))</f>
        <v>0</v>
      </c>
      <c r="L1087" s="469">
        <f>IF(K1087=0%,0,IF(K1087&lt;=30%,2,IF(K1087&lt;=60%,5,10)))</f>
        <v>0</v>
      </c>
      <c r="M1087" s="683">
        <f>IF(OR(AND(ISBLANK(E1087),ISBLANK(G1087)),ISTEXT(E1087),ISTEXT(G1087)),"",IF(H1087+L1087&gt;$H$8,$H$8-H1087,L1087))</f>
        <v>0</v>
      </c>
      <c r="N1087" s="470">
        <f>IF(OR(AND(ISBLANK(F1087),ISBLANK(G1087)),ISTEXT(F1087),ISTEXT(G1087)),"",H1087+M1087)</f>
        <v>1</v>
      </c>
      <c r="O1087" s="468">
        <f>F1087+N1087-1</f>
        <v>2010</v>
      </c>
      <c r="P1087" s="616">
        <f>W1086</f>
        <v>708750000</v>
      </c>
      <c r="Q1087" s="472">
        <f>P1087+G1087</f>
        <v>708750000</v>
      </c>
      <c r="R1087" s="472">
        <f>IF(L1087=0,R1086,Q1087/N1087)</f>
        <v>78750000</v>
      </c>
      <c r="S1087" s="1189">
        <f>F1087</f>
        <v>2010</v>
      </c>
      <c r="T1087" s="470">
        <f>S1087-S1086</f>
        <v>9</v>
      </c>
      <c r="U1087" s="612">
        <f>R1087*T1087</f>
        <v>708750000</v>
      </c>
      <c r="V1087" s="464">
        <f>F1087</f>
        <v>2010</v>
      </c>
      <c r="W1087" s="612">
        <f>IF(OR(AND(ISBLANK(E1087),ISBLANK(G1087)),ISTEXT(E1087),ISTEXT(G1087)),"",Q1087-U1087)</f>
        <v>0</v>
      </c>
      <c r="X1087" s="561"/>
      <c r="Y1087" s="449"/>
      <c r="Z1087" s="449"/>
      <c r="AA1087" s="554"/>
      <c r="AB1087" s="452"/>
      <c r="AC1087" s="452"/>
      <c r="AD1087" s="566"/>
      <c r="AE1087" s="452"/>
      <c r="AF1087" s="571"/>
      <c r="AG1087" s="452"/>
      <c r="AH1087" s="452"/>
      <c r="AI1087" s="453"/>
      <c r="AJ1087" s="449"/>
      <c r="AK1087" s="453"/>
      <c r="AL1087" s="454"/>
      <c r="AM1087" s="455"/>
      <c r="AN1087" s="456"/>
      <c r="AO1087" s="455"/>
      <c r="AP1087" s="452"/>
      <c r="AQ1087" s="457"/>
      <c r="AR1087" s="449"/>
      <c r="AS1087" s="449"/>
      <c r="AT1087" s="452"/>
      <c r="AU1087" s="457"/>
      <c r="AV1087" s="449"/>
      <c r="AW1087" s="458"/>
      <c r="AX1087" s="452"/>
      <c r="AY1087" s="457"/>
      <c r="AZ1087" s="449"/>
      <c r="BA1087" s="459"/>
      <c r="BB1087" s="455"/>
      <c r="BC1087" s="460"/>
      <c r="BD1087" s="460"/>
      <c r="BG1087" s="462"/>
    </row>
    <row r="1088" spans="1:59" s="461" customFormat="1" ht="18" customHeight="1" x14ac:dyDescent="0.2">
      <c r="A1088" s="1368" t="str">
        <f t="shared" si="809"/>
        <v>JL. DESA SIKAPING - PL. INGU2011</v>
      </c>
      <c r="B1088" s="1373"/>
      <c r="C1088" s="488"/>
      <c r="D1088" s="489"/>
      <c r="E1088" s="558"/>
      <c r="F1088" s="559">
        <v>2011</v>
      </c>
      <c r="G1088" s="619">
        <v>0</v>
      </c>
      <c r="H1088" s="464">
        <f t="shared" ref="H1088:H1095" si="810">IF(N1087-(F1088-F1087)&lt;=0,0,(N1087-(F1088-F1087)))</f>
        <v>0</v>
      </c>
      <c r="I1088" s="560"/>
      <c r="J1088" s="468">
        <f t="shared" ref="J1088:J1095" si="811">F1088+N1088-1</f>
        <v>2010</v>
      </c>
      <c r="K1088" s="490">
        <f t="shared" ref="K1088:K1095" si="812">IF(G1088=0,0,IF(H1088=10,100%,G1088/W1087))</f>
        <v>0</v>
      </c>
      <c r="L1088" s="469">
        <f t="shared" ref="L1088:L1095" si="813">IF(K1088=0%,0,IF(K1088&lt;=30%,2,IF(K1088&lt;=60%,5,10)))</f>
        <v>0</v>
      </c>
      <c r="M1088" s="683">
        <f t="shared" ref="M1088:M1095" si="814">IF(OR(AND(ISBLANK(E1088),ISBLANK(G1088)),ISTEXT(E1088),ISTEXT(G1088)),"",IF(H1088+L1088&gt;$H$8,$H$8-H1088,L1088))</f>
        <v>0</v>
      </c>
      <c r="N1088" s="470">
        <f t="shared" ref="N1088:N1095" si="815">IF(OR(AND(ISBLANK(F1088),ISBLANK(G1088)),ISTEXT(F1088),ISTEXT(G1088)),"",H1088+M1088)</f>
        <v>0</v>
      </c>
      <c r="O1088" s="468">
        <f t="shared" ref="O1088:O1095" si="816">F1088+N1088-1</f>
        <v>2010</v>
      </c>
      <c r="P1088" s="616">
        <f t="shared" ref="P1088:P1095" si="817">W1087</f>
        <v>0</v>
      </c>
      <c r="Q1088" s="472">
        <f t="shared" ref="Q1088:Q1095" si="818">P1088+G1088</f>
        <v>0</v>
      </c>
      <c r="R1088" s="472">
        <v>0</v>
      </c>
      <c r="S1088" s="1189">
        <f t="shared" ref="S1088:S1095" si="819">F1088</f>
        <v>2011</v>
      </c>
      <c r="T1088" s="470">
        <f t="shared" ref="T1088:T1096" si="820">S1088-S1087</f>
        <v>1</v>
      </c>
      <c r="U1088" s="612">
        <f t="shared" ref="U1088:U1095" si="821">R1088*T1088</f>
        <v>0</v>
      </c>
      <c r="V1088" s="464">
        <f t="shared" ref="V1088:V1095" si="822">F1088</f>
        <v>2011</v>
      </c>
      <c r="W1088" s="612">
        <f t="shared" ref="W1088:W1095" si="823">IF(OR(AND(ISBLANK(E1088),ISBLANK(G1088)),ISTEXT(E1088),ISTEXT(G1088)),"",Q1088-U1088)</f>
        <v>0</v>
      </c>
      <c r="X1088" s="561"/>
      <c r="Y1088" s="449"/>
      <c r="Z1088" s="449"/>
      <c r="AA1088" s="554"/>
      <c r="AB1088" s="452"/>
      <c r="AC1088" s="452"/>
      <c r="AD1088" s="566"/>
      <c r="AE1088" s="452"/>
      <c r="AF1088" s="571"/>
      <c r="AG1088" s="452"/>
      <c r="AH1088" s="452"/>
      <c r="AI1088" s="453"/>
      <c r="AJ1088" s="449"/>
      <c r="AK1088" s="453"/>
      <c r="AL1088" s="454"/>
      <c r="AM1088" s="455"/>
      <c r="AN1088" s="456"/>
      <c r="AO1088" s="455"/>
      <c r="AP1088" s="452"/>
      <c r="AQ1088" s="457"/>
      <c r="AR1088" s="449"/>
      <c r="AS1088" s="449"/>
      <c r="AT1088" s="452"/>
      <c r="AU1088" s="457"/>
      <c r="AV1088" s="449"/>
      <c r="AW1088" s="458"/>
      <c r="AX1088" s="452"/>
      <c r="AY1088" s="457"/>
      <c r="AZ1088" s="449"/>
      <c r="BA1088" s="459"/>
      <c r="BB1088" s="455"/>
      <c r="BC1088" s="460"/>
      <c r="BD1088" s="460"/>
      <c r="BG1088" s="462"/>
    </row>
    <row r="1089" spans="1:59" s="461" customFormat="1" ht="18" customHeight="1" x14ac:dyDescent="0.2">
      <c r="A1089" s="1368" t="str">
        <f t="shared" si="809"/>
        <v>JL. DESA SIKAPING - PL. INGU2012</v>
      </c>
      <c r="B1089" s="1373"/>
      <c r="C1089" s="488"/>
      <c r="D1089" s="489"/>
      <c r="E1089" s="558"/>
      <c r="F1089" s="559">
        <v>2012</v>
      </c>
      <c r="G1089" s="619">
        <v>0</v>
      </c>
      <c r="H1089" s="464">
        <f t="shared" si="810"/>
        <v>0</v>
      </c>
      <c r="I1089" s="560"/>
      <c r="J1089" s="468">
        <f t="shared" si="811"/>
        <v>2011</v>
      </c>
      <c r="K1089" s="490">
        <f t="shared" si="812"/>
        <v>0</v>
      </c>
      <c r="L1089" s="469">
        <f t="shared" si="813"/>
        <v>0</v>
      </c>
      <c r="M1089" s="683">
        <f t="shared" si="814"/>
        <v>0</v>
      </c>
      <c r="N1089" s="470">
        <f t="shared" si="815"/>
        <v>0</v>
      </c>
      <c r="O1089" s="468">
        <f t="shared" si="816"/>
        <v>2011</v>
      </c>
      <c r="P1089" s="616">
        <f t="shared" si="817"/>
        <v>0</v>
      </c>
      <c r="Q1089" s="472">
        <f t="shared" si="818"/>
        <v>0</v>
      </c>
      <c r="R1089" s="472">
        <f t="shared" ref="R1089:R1095" si="824">IF(L1089=0,R1088,Q1089/N1089)</f>
        <v>0</v>
      </c>
      <c r="S1089" s="1189">
        <f t="shared" si="819"/>
        <v>2012</v>
      </c>
      <c r="T1089" s="470">
        <f t="shared" si="820"/>
        <v>1</v>
      </c>
      <c r="U1089" s="612">
        <f t="shared" si="821"/>
        <v>0</v>
      </c>
      <c r="V1089" s="464">
        <f t="shared" si="822"/>
        <v>2012</v>
      </c>
      <c r="W1089" s="612">
        <f t="shared" si="823"/>
        <v>0</v>
      </c>
      <c r="X1089" s="561"/>
      <c r="Y1089" s="449"/>
      <c r="Z1089" s="449"/>
      <c r="AA1089" s="554"/>
      <c r="AB1089" s="452"/>
      <c r="AC1089" s="452"/>
      <c r="AD1089" s="566"/>
      <c r="AE1089" s="452"/>
      <c r="AF1089" s="571"/>
      <c r="AG1089" s="452"/>
      <c r="AH1089" s="452"/>
      <c r="AI1089" s="453"/>
      <c r="AJ1089" s="449"/>
      <c r="AK1089" s="453"/>
      <c r="AL1089" s="454"/>
      <c r="AM1089" s="455"/>
      <c r="AN1089" s="456"/>
      <c r="AO1089" s="455"/>
      <c r="AP1089" s="452"/>
      <c r="AQ1089" s="457"/>
      <c r="AR1089" s="449"/>
      <c r="AS1089" s="449"/>
      <c r="AT1089" s="452"/>
      <c r="AU1089" s="457"/>
      <c r="AV1089" s="449"/>
      <c r="AW1089" s="458"/>
      <c r="AX1089" s="452"/>
      <c r="AY1089" s="457"/>
      <c r="AZ1089" s="449"/>
      <c r="BA1089" s="459"/>
      <c r="BB1089" s="455"/>
      <c r="BC1089" s="460"/>
      <c r="BD1089" s="460"/>
      <c r="BG1089" s="462"/>
    </row>
    <row r="1090" spans="1:59" s="461" customFormat="1" ht="18" customHeight="1" x14ac:dyDescent="0.2">
      <c r="A1090" s="1368" t="str">
        <f t="shared" si="809"/>
        <v>JL. DESA SIKAPING - PL. INGU2013</v>
      </c>
      <c r="B1090" s="1373">
        <v>2</v>
      </c>
      <c r="C1090" s="488" t="s">
        <v>1278</v>
      </c>
      <c r="D1090" s="489" t="s">
        <v>3821</v>
      </c>
      <c r="E1090" s="558"/>
      <c r="F1090" s="559">
        <v>2013</v>
      </c>
      <c r="G1090" s="619">
        <v>5337508027</v>
      </c>
      <c r="H1090" s="557">
        <f>VLOOKUP(LEFT(D1090,8),UE,4)</f>
        <v>10</v>
      </c>
      <c r="I1090" s="560"/>
      <c r="J1090" s="468">
        <f t="shared" si="811"/>
        <v>2022</v>
      </c>
      <c r="K1090" s="490">
        <f t="shared" si="812"/>
        <v>1</v>
      </c>
      <c r="L1090" s="469">
        <f t="shared" si="813"/>
        <v>10</v>
      </c>
      <c r="M1090" s="683">
        <f t="shared" si="814"/>
        <v>0</v>
      </c>
      <c r="N1090" s="470">
        <f t="shared" si="815"/>
        <v>10</v>
      </c>
      <c r="O1090" s="468">
        <f t="shared" si="816"/>
        <v>2022</v>
      </c>
      <c r="P1090" s="616">
        <f t="shared" si="817"/>
        <v>0</v>
      </c>
      <c r="Q1090" s="472">
        <f t="shared" si="818"/>
        <v>5337508027</v>
      </c>
      <c r="R1090" s="472">
        <f t="shared" si="824"/>
        <v>533750802.69999999</v>
      </c>
      <c r="S1090" s="1189">
        <f t="shared" si="819"/>
        <v>2013</v>
      </c>
      <c r="T1090" s="470">
        <f t="shared" si="820"/>
        <v>1</v>
      </c>
      <c r="U1090" s="612">
        <f t="shared" si="821"/>
        <v>533750802.69999999</v>
      </c>
      <c r="V1090" s="464">
        <f t="shared" si="822"/>
        <v>2013</v>
      </c>
      <c r="W1090" s="612">
        <f t="shared" si="823"/>
        <v>4803757224.3000002</v>
      </c>
      <c r="X1090" s="561"/>
      <c r="Y1090" s="449"/>
      <c r="Z1090" s="449"/>
      <c r="AA1090" s="554"/>
      <c r="AB1090" s="452"/>
      <c r="AC1090" s="452"/>
      <c r="AD1090" s="566"/>
      <c r="AE1090" s="452"/>
      <c r="AF1090" s="571"/>
      <c r="AG1090" s="452"/>
      <c r="AH1090" s="452"/>
      <c r="AI1090" s="453"/>
      <c r="AJ1090" s="449"/>
      <c r="AK1090" s="453"/>
      <c r="AL1090" s="454"/>
      <c r="AM1090" s="455"/>
      <c r="AN1090" s="456"/>
      <c r="AO1090" s="455"/>
      <c r="AP1090" s="452"/>
      <c r="AQ1090" s="457"/>
      <c r="AR1090" s="449"/>
      <c r="AS1090" s="449"/>
      <c r="AT1090" s="452"/>
      <c r="AU1090" s="457"/>
      <c r="AV1090" s="449"/>
      <c r="AW1090" s="458"/>
      <c r="AX1090" s="452"/>
      <c r="AY1090" s="457"/>
      <c r="AZ1090" s="449"/>
      <c r="BA1090" s="459"/>
      <c r="BB1090" s="455"/>
      <c r="BC1090" s="460"/>
      <c r="BD1090" s="460"/>
      <c r="BG1090" s="462"/>
    </row>
    <row r="1091" spans="1:59" s="486" customFormat="1" ht="18" customHeight="1" x14ac:dyDescent="0.2">
      <c r="A1091" s="1368" t="str">
        <f t="shared" si="809"/>
        <v>JL. DESA SIKAPING - PL. INGU2014</v>
      </c>
      <c r="B1091" s="1373"/>
      <c r="C1091" s="488"/>
      <c r="D1091" s="489"/>
      <c r="E1091" s="558"/>
      <c r="F1091" s="559">
        <v>2014</v>
      </c>
      <c r="G1091" s="619">
        <v>0</v>
      </c>
      <c r="H1091" s="464">
        <f t="shared" si="810"/>
        <v>9</v>
      </c>
      <c r="I1091" s="560"/>
      <c r="J1091" s="468">
        <f t="shared" si="811"/>
        <v>2022</v>
      </c>
      <c r="K1091" s="490">
        <f t="shared" si="812"/>
        <v>0</v>
      </c>
      <c r="L1091" s="469">
        <f t="shared" si="813"/>
        <v>0</v>
      </c>
      <c r="M1091" s="683">
        <f t="shared" si="814"/>
        <v>0</v>
      </c>
      <c r="N1091" s="470">
        <f t="shared" si="815"/>
        <v>9</v>
      </c>
      <c r="O1091" s="468">
        <f t="shared" si="816"/>
        <v>2022</v>
      </c>
      <c r="P1091" s="616">
        <f t="shared" si="817"/>
        <v>4803757224.3000002</v>
      </c>
      <c r="Q1091" s="472">
        <f t="shared" si="818"/>
        <v>4803757224.3000002</v>
      </c>
      <c r="R1091" s="472">
        <f t="shared" si="824"/>
        <v>533750802.69999999</v>
      </c>
      <c r="S1091" s="1189">
        <f t="shared" si="819"/>
        <v>2014</v>
      </c>
      <c r="T1091" s="470">
        <f t="shared" si="820"/>
        <v>1</v>
      </c>
      <c r="U1091" s="612">
        <f t="shared" si="821"/>
        <v>533750802.69999999</v>
      </c>
      <c r="V1091" s="464">
        <f t="shared" si="822"/>
        <v>2014</v>
      </c>
      <c r="W1091" s="612">
        <f t="shared" si="823"/>
        <v>4270006421.6000004</v>
      </c>
      <c r="X1091" s="473"/>
      <c r="Y1091" s="474"/>
      <c r="Z1091" s="449"/>
      <c r="AA1091" s="475" t="s">
        <v>4180</v>
      </c>
      <c r="AB1091" s="476"/>
      <c r="AC1091" s="476"/>
      <c r="AD1091" s="567">
        <f>G1098</f>
        <v>6125008027</v>
      </c>
      <c r="AE1091" s="476"/>
      <c r="AF1091" s="568"/>
      <c r="AG1091" s="476"/>
      <c r="AH1091" s="476"/>
      <c r="AI1091" s="477"/>
      <c r="AJ1091" s="478"/>
      <c r="AK1091" s="479"/>
      <c r="AL1091" s="480"/>
      <c r="AM1091" s="474"/>
      <c r="AN1091" s="481"/>
      <c r="AO1091" s="474"/>
      <c r="AP1091" s="476"/>
      <c r="AQ1091" s="482"/>
      <c r="AR1091" s="478"/>
      <c r="AS1091" s="478"/>
      <c r="AT1091" s="476"/>
      <c r="AU1091" s="482"/>
      <c r="AV1091" s="478"/>
      <c r="AW1091" s="483"/>
      <c r="AX1091" s="476"/>
      <c r="AY1091" s="482"/>
      <c r="AZ1091" s="478"/>
      <c r="BA1091" s="484"/>
      <c r="BB1091" s="474"/>
      <c r="BC1091" s="485"/>
      <c r="BD1091" s="485"/>
      <c r="BG1091" s="487"/>
    </row>
    <row r="1092" spans="1:59" s="486" customFormat="1" ht="18" customHeight="1" x14ac:dyDescent="0.2">
      <c r="A1092" s="1368" t="str">
        <f t="shared" si="809"/>
        <v>JL. DESA SIKAPING - PL. INGU2015</v>
      </c>
      <c r="B1092" s="1373"/>
      <c r="C1092" s="488"/>
      <c r="D1092" s="489"/>
      <c r="E1092" s="558"/>
      <c r="F1092" s="559">
        <v>2015</v>
      </c>
      <c r="G1092" s="619">
        <v>0</v>
      </c>
      <c r="H1092" s="464">
        <f t="shared" si="810"/>
        <v>8</v>
      </c>
      <c r="I1092" s="560"/>
      <c r="J1092" s="468">
        <f t="shared" si="811"/>
        <v>2022</v>
      </c>
      <c r="K1092" s="490">
        <f t="shared" si="812"/>
        <v>0</v>
      </c>
      <c r="L1092" s="469">
        <f t="shared" si="813"/>
        <v>0</v>
      </c>
      <c r="M1092" s="683">
        <f t="shared" si="814"/>
        <v>0</v>
      </c>
      <c r="N1092" s="470">
        <f t="shared" si="815"/>
        <v>8</v>
      </c>
      <c r="O1092" s="468">
        <f t="shared" si="816"/>
        <v>2022</v>
      </c>
      <c r="P1092" s="616">
        <f t="shared" si="817"/>
        <v>4270006421.6000004</v>
      </c>
      <c r="Q1092" s="472">
        <f t="shared" si="818"/>
        <v>4270006421.6000004</v>
      </c>
      <c r="R1092" s="472">
        <f t="shared" si="824"/>
        <v>533750802.69999999</v>
      </c>
      <c r="S1092" s="1189">
        <f t="shared" si="819"/>
        <v>2015</v>
      </c>
      <c r="T1092" s="470">
        <f t="shared" si="820"/>
        <v>1</v>
      </c>
      <c r="U1092" s="612">
        <f t="shared" si="821"/>
        <v>533750802.69999999</v>
      </c>
      <c r="V1092" s="464">
        <f t="shared" si="822"/>
        <v>2015</v>
      </c>
      <c r="W1092" s="612">
        <f t="shared" si="823"/>
        <v>3736255618.9000006</v>
      </c>
      <c r="X1092" s="473"/>
      <c r="Y1092" s="478"/>
      <c r="Z1092" s="449"/>
      <c r="AA1092" s="475" t="s">
        <v>4181</v>
      </c>
      <c r="AB1092" s="491"/>
      <c r="AC1092" s="491"/>
      <c r="AD1092" s="567">
        <f>U1098</f>
        <v>4523755618.8999996</v>
      </c>
      <c r="AE1092" s="491"/>
      <c r="AF1092" s="568"/>
      <c r="AG1092" s="491"/>
      <c r="AH1092" s="491"/>
      <c r="AI1092" s="477"/>
      <c r="AJ1092" s="478"/>
      <c r="AK1092" s="479"/>
      <c r="AL1092" s="480"/>
      <c r="AM1092" s="474"/>
      <c r="AN1092" s="481"/>
      <c r="AO1092" s="474"/>
      <c r="AP1092" s="476"/>
      <c r="AQ1092" s="482"/>
      <c r="AR1092" s="478"/>
      <c r="AS1092" s="478"/>
      <c r="AT1092" s="476"/>
      <c r="AU1092" s="482"/>
      <c r="AV1092" s="478"/>
      <c r="AW1092" s="483"/>
      <c r="AX1092" s="476"/>
      <c r="AY1092" s="482"/>
      <c r="AZ1092" s="478"/>
      <c r="BA1092" s="484"/>
      <c r="BB1092" s="474"/>
      <c r="BC1092" s="485"/>
      <c r="BD1092" s="485"/>
      <c r="BG1092" s="487"/>
    </row>
    <row r="1093" spans="1:59" s="486" customFormat="1" ht="18" customHeight="1" x14ac:dyDescent="0.2">
      <c r="A1093" s="1368" t="str">
        <f t="shared" si="809"/>
        <v>JL. DESA SIKAPING - PL. INGU2016</v>
      </c>
      <c r="B1093" s="1373"/>
      <c r="C1093" s="488"/>
      <c r="D1093" s="489"/>
      <c r="E1093" s="558"/>
      <c r="F1093" s="559">
        <v>2016</v>
      </c>
      <c r="G1093" s="619">
        <v>0</v>
      </c>
      <c r="H1093" s="464">
        <f t="shared" si="810"/>
        <v>7</v>
      </c>
      <c r="I1093" s="560"/>
      <c r="J1093" s="468">
        <f t="shared" si="811"/>
        <v>2022</v>
      </c>
      <c r="K1093" s="490">
        <f t="shared" si="812"/>
        <v>0</v>
      </c>
      <c r="L1093" s="469">
        <f t="shared" si="813"/>
        <v>0</v>
      </c>
      <c r="M1093" s="683">
        <f t="shared" si="814"/>
        <v>0</v>
      </c>
      <c r="N1093" s="470">
        <f t="shared" si="815"/>
        <v>7</v>
      </c>
      <c r="O1093" s="468">
        <f t="shared" si="816"/>
        <v>2022</v>
      </c>
      <c r="P1093" s="616">
        <f t="shared" si="817"/>
        <v>3736255618.9000006</v>
      </c>
      <c r="Q1093" s="472">
        <f t="shared" si="818"/>
        <v>3736255618.9000006</v>
      </c>
      <c r="R1093" s="472">
        <f t="shared" si="824"/>
        <v>533750802.69999999</v>
      </c>
      <c r="S1093" s="1189">
        <f t="shared" si="819"/>
        <v>2016</v>
      </c>
      <c r="T1093" s="470">
        <f t="shared" si="820"/>
        <v>1</v>
      </c>
      <c r="U1093" s="612">
        <f t="shared" si="821"/>
        <v>533750802.69999999</v>
      </c>
      <c r="V1093" s="464">
        <f t="shared" si="822"/>
        <v>2016</v>
      </c>
      <c r="W1093" s="612">
        <f t="shared" si="823"/>
        <v>3202504816.2000008</v>
      </c>
      <c r="X1093" s="473"/>
      <c r="Y1093" s="478"/>
      <c r="Z1093" s="449"/>
      <c r="AA1093" s="492" t="s">
        <v>4182</v>
      </c>
      <c r="AB1093" s="476"/>
      <c r="AC1093" s="476"/>
      <c r="AD1093" s="567">
        <f>AD1091-AD1092</f>
        <v>1601252408.1000004</v>
      </c>
      <c r="AE1093" s="476"/>
      <c r="AF1093" s="568"/>
      <c r="AG1093" s="476"/>
      <c r="AH1093" s="476"/>
      <c r="AI1093" s="477"/>
      <c r="AJ1093" s="478"/>
      <c r="AK1093" s="479"/>
      <c r="AL1093" s="480"/>
      <c r="AM1093" s="474"/>
      <c r="AN1093" s="481"/>
      <c r="AO1093" s="474"/>
      <c r="AP1093" s="476"/>
      <c r="AQ1093" s="482"/>
      <c r="AR1093" s="478"/>
      <c r="AS1093" s="478"/>
      <c r="AT1093" s="476"/>
      <c r="AU1093" s="482"/>
      <c r="AV1093" s="478"/>
      <c r="AW1093" s="483"/>
      <c r="AX1093" s="476"/>
      <c r="AY1093" s="482"/>
      <c r="AZ1093" s="478"/>
      <c r="BA1093" s="484"/>
      <c r="BB1093" s="474"/>
      <c r="BC1093" s="485"/>
      <c r="BD1093" s="485"/>
      <c r="BG1093" s="487"/>
    </row>
    <row r="1094" spans="1:59" s="486" customFormat="1" ht="18" customHeight="1" x14ac:dyDescent="0.2">
      <c r="A1094" s="1368" t="str">
        <f t="shared" si="809"/>
        <v>JL. DESA SIKAPING - PL. INGU2017</v>
      </c>
      <c r="B1094" s="687"/>
      <c r="C1094" s="463"/>
      <c r="D1094" s="489"/>
      <c r="E1094" s="465"/>
      <c r="F1094" s="559">
        <v>2017</v>
      </c>
      <c r="G1094" s="619">
        <v>0</v>
      </c>
      <c r="H1094" s="464">
        <f t="shared" si="810"/>
        <v>6</v>
      </c>
      <c r="I1094" s="560"/>
      <c r="J1094" s="468">
        <f t="shared" si="811"/>
        <v>2022</v>
      </c>
      <c r="K1094" s="490">
        <f t="shared" si="812"/>
        <v>0</v>
      </c>
      <c r="L1094" s="469">
        <f t="shared" si="813"/>
        <v>0</v>
      </c>
      <c r="M1094" s="683">
        <f t="shared" si="814"/>
        <v>0</v>
      </c>
      <c r="N1094" s="470">
        <f t="shared" si="815"/>
        <v>6</v>
      </c>
      <c r="O1094" s="468">
        <f t="shared" si="816"/>
        <v>2022</v>
      </c>
      <c r="P1094" s="616">
        <f t="shared" si="817"/>
        <v>3202504816.2000008</v>
      </c>
      <c r="Q1094" s="472">
        <f t="shared" si="818"/>
        <v>3202504816.2000008</v>
      </c>
      <c r="R1094" s="472">
        <f t="shared" si="824"/>
        <v>533750802.69999999</v>
      </c>
      <c r="S1094" s="1189">
        <f t="shared" si="819"/>
        <v>2017</v>
      </c>
      <c r="T1094" s="470">
        <f t="shared" si="820"/>
        <v>1</v>
      </c>
      <c r="U1094" s="612">
        <f t="shared" si="821"/>
        <v>533750802.69999999</v>
      </c>
      <c r="V1094" s="464">
        <f t="shared" si="822"/>
        <v>2017</v>
      </c>
      <c r="W1094" s="612">
        <f t="shared" si="823"/>
        <v>2668754013.500001</v>
      </c>
      <c r="X1094" s="473"/>
      <c r="Y1094" s="478"/>
      <c r="Z1094" s="449"/>
      <c r="AA1094" s="531" t="s">
        <v>4183</v>
      </c>
      <c r="AB1094" s="496"/>
      <c r="AC1094" s="496"/>
      <c r="AD1094" s="569">
        <f>AD1093-W1098</f>
        <v>0</v>
      </c>
      <c r="AE1094" s="476"/>
      <c r="AF1094" s="568"/>
      <c r="AG1094" s="476"/>
      <c r="AH1094" s="476"/>
      <c r="AI1094" s="477"/>
      <c r="AJ1094" s="478"/>
      <c r="AK1094" s="479"/>
      <c r="AL1094" s="480"/>
      <c r="AM1094" s="474"/>
      <c r="AN1094" s="481"/>
      <c r="AO1094" s="474"/>
      <c r="AP1094" s="476"/>
      <c r="AQ1094" s="482"/>
      <c r="AR1094" s="478"/>
      <c r="AS1094" s="478"/>
      <c r="AT1094" s="476"/>
      <c r="AU1094" s="482"/>
      <c r="AV1094" s="478"/>
      <c r="AW1094" s="483"/>
      <c r="AX1094" s="476"/>
      <c r="AY1094" s="482"/>
      <c r="AZ1094" s="478"/>
      <c r="BA1094" s="484"/>
      <c r="BB1094" s="474"/>
      <c r="BC1094" s="485"/>
      <c r="BD1094" s="485"/>
      <c r="BG1094" s="487"/>
    </row>
    <row r="1095" spans="1:59" s="486" customFormat="1" ht="18" customHeight="1" x14ac:dyDescent="0.2">
      <c r="A1095" s="1368" t="str">
        <f t="shared" si="809"/>
        <v>JL. DESA SIKAPING - PL. INGU2018</v>
      </c>
      <c r="B1095" s="687"/>
      <c r="C1095" s="493"/>
      <c r="D1095" s="489" t="s">
        <v>3821</v>
      </c>
      <c r="E1095" s="465"/>
      <c r="F1095" s="559">
        <v>2018</v>
      </c>
      <c r="G1095" s="619">
        <v>0</v>
      </c>
      <c r="H1095" s="464">
        <f t="shared" si="810"/>
        <v>5</v>
      </c>
      <c r="I1095" s="560"/>
      <c r="J1095" s="468">
        <f t="shared" si="811"/>
        <v>2022</v>
      </c>
      <c r="K1095" s="490">
        <f t="shared" si="812"/>
        <v>0</v>
      </c>
      <c r="L1095" s="469">
        <f t="shared" si="813"/>
        <v>0</v>
      </c>
      <c r="M1095" s="683">
        <f t="shared" si="814"/>
        <v>0</v>
      </c>
      <c r="N1095" s="470">
        <f t="shared" si="815"/>
        <v>5</v>
      </c>
      <c r="O1095" s="468">
        <f t="shared" si="816"/>
        <v>2022</v>
      </c>
      <c r="P1095" s="616">
        <f t="shared" si="817"/>
        <v>2668754013.500001</v>
      </c>
      <c r="Q1095" s="472">
        <f t="shared" si="818"/>
        <v>2668754013.500001</v>
      </c>
      <c r="R1095" s="472">
        <f t="shared" si="824"/>
        <v>533750802.69999999</v>
      </c>
      <c r="S1095" s="1189">
        <f t="shared" si="819"/>
        <v>2018</v>
      </c>
      <c r="T1095" s="470">
        <f t="shared" si="820"/>
        <v>1</v>
      </c>
      <c r="U1095" s="612">
        <f t="shared" si="821"/>
        <v>533750802.69999999</v>
      </c>
      <c r="V1095" s="464">
        <f t="shared" si="822"/>
        <v>2018</v>
      </c>
      <c r="W1095" s="612">
        <f t="shared" si="823"/>
        <v>2135003210.8000009</v>
      </c>
      <c r="X1095" s="473"/>
      <c r="Y1095" s="478"/>
      <c r="Z1095" s="449"/>
      <c r="AA1095" s="573"/>
      <c r="AB1095" s="476"/>
      <c r="AC1095" s="476"/>
      <c r="AD1095" s="568"/>
      <c r="AE1095" s="476"/>
      <c r="AF1095" s="568"/>
      <c r="AG1095" s="476"/>
      <c r="AH1095" s="476"/>
      <c r="AI1095" s="477"/>
      <c r="AJ1095" s="478"/>
      <c r="AK1095" s="479"/>
      <c r="AL1095" s="480"/>
      <c r="AM1095" s="474"/>
      <c r="AN1095" s="481"/>
      <c r="AO1095" s="474"/>
      <c r="AP1095" s="476"/>
      <c r="AQ1095" s="482"/>
      <c r="AR1095" s="478"/>
      <c r="AS1095" s="478"/>
      <c r="AT1095" s="476"/>
      <c r="AU1095" s="482"/>
      <c r="AV1095" s="478"/>
      <c r="AW1095" s="483"/>
      <c r="AX1095" s="476"/>
      <c r="AY1095" s="482"/>
      <c r="AZ1095" s="478"/>
      <c r="BA1095" s="484"/>
      <c r="BB1095" s="474"/>
      <c r="BC1095" s="485"/>
      <c r="BD1095" s="485"/>
      <c r="BG1095" s="487"/>
    </row>
    <row r="1096" spans="1:59" s="486" customFormat="1" ht="18" customHeight="1" x14ac:dyDescent="0.2">
      <c r="A1096" s="1368" t="str">
        <f t="shared" si="809"/>
        <v>JL. DESA SIKAPING - PL. INGU2019</v>
      </c>
      <c r="B1096" s="687"/>
      <c r="C1096" s="493"/>
      <c r="D1096" s="489"/>
      <c r="E1096" s="465"/>
      <c r="F1096" s="559">
        <v>2019</v>
      </c>
      <c r="G1096" s="619">
        <v>0</v>
      </c>
      <c r="H1096" s="464">
        <f>IF(N1095-(F1096-F1095)&lt;=0,0,(N1095-(F1096-F1095)))</f>
        <v>4</v>
      </c>
      <c r="I1096" s="560"/>
      <c r="J1096" s="468">
        <f>F1096+N1096-1</f>
        <v>2022</v>
      </c>
      <c r="K1096" s="490">
        <f>IF(G1096=0,0,IF(H1096=10,100%,G1096/W1095))</f>
        <v>0</v>
      </c>
      <c r="L1096" s="469">
        <f>IF(K1096=0%,0,IF(K1096&lt;=30%,2,IF(K1096&lt;=60%,5,10)))</f>
        <v>0</v>
      </c>
      <c r="M1096" s="683">
        <f>IF(OR(AND(ISBLANK(E1096),ISBLANK(G1096)),ISTEXT(E1096),ISTEXT(G1096)),"",IF(H1096+L1096&gt;$H$8,$H$8-H1096,L1096))</f>
        <v>0</v>
      </c>
      <c r="N1096" s="470">
        <f>IF(OR(AND(ISBLANK(F1096),ISBLANK(G1096)),ISTEXT(F1096),ISTEXT(G1096)),"",H1096+M1096)</f>
        <v>4</v>
      </c>
      <c r="O1096" s="468">
        <f>F1096+N1096-1</f>
        <v>2022</v>
      </c>
      <c r="P1096" s="616">
        <f>W1095</f>
        <v>2135003210.8000009</v>
      </c>
      <c r="Q1096" s="472">
        <f>P1096+G1096</f>
        <v>2135003210.8000009</v>
      </c>
      <c r="R1096" s="472">
        <f>IF(L1096=0,R1095,Q1096/N1096)</f>
        <v>533750802.69999999</v>
      </c>
      <c r="S1096" s="1189">
        <f>F1096</f>
        <v>2019</v>
      </c>
      <c r="T1096" s="470">
        <f t="shared" si="820"/>
        <v>1</v>
      </c>
      <c r="U1096" s="612">
        <f>R1096*T1096</f>
        <v>533750802.69999999</v>
      </c>
      <c r="V1096" s="464">
        <f>F1096</f>
        <v>2019</v>
      </c>
      <c r="W1096" s="612">
        <f>IF(OR(AND(ISBLANK(E1096),ISBLANK(G1096)),ISTEXT(E1096),ISTEXT(G1096)),"",Q1096-U1096)</f>
        <v>1601252408.1000009</v>
      </c>
      <c r="X1096" s="473"/>
      <c r="Y1096" s="478"/>
      <c r="Z1096" s="449"/>
      <c r="AA1096" s="573"/>
      <c r="AB1096" s="476"/>
      <c r="AC1096" s="476"/>
      <c r="AD1096" s="568"/>
      <c r="AE1096" s="476"/>
      <c r="AF1096" s="568"/>
      <c r="AG1096" s="476"/>
      <c r="AH1096" s="476"/>
      <c r="AI1096" s="477"/>
      <c r="AJ1096" s="478"/>
      <c r="AK1096" s="479"/>
      <c r="AL1096" s="480"/>
      <c r="AM1096" s="474"/>
      <c r="AN1096" s="481"/>
      <c r="AO1096" s="474"/>
      <c r="AP1096" s="476"/>
      <c r="AQ1096" s="482"/>
      <c r="AR1096" s="478"/>
      <c r="AS1096" s="478"/>
      <c r="AT1096" s="476"/>
      <c r="AU1096" s="482"/>
      <c r="AV1096" s="478"/>
      <c r="AW1096" s="483"/>
      <c r="AX1096" s="476"/>
      <c r="AY1096" s="482"/>
      <c r="AZ1096" s="478"/>
      <c r="BA1096" s="484"/>
      <c r="BB1096" s="474"/>
      <c r="BC1096" s="485"/>
      <c r="BD1096" s="485"/>
      <c r="BG1096" s="487"/>
    </row>
    <row r="1097" spans="1:59" s="486" customFormat="1" ht="18" customHeight="1" x14ac:dyDescent="0.2">
      <c r="A1097" s="1368" t="str">
        <f>LEFT(D1097,8)</f>
        <v/>
      </c>
      <c r="B1097" s="687"/>
      <c r="C1097" s="463"/>
      <c r="D1097" s="489"/>
      <c r="E1097" s="465"/>
      <c r="F1097" s="466"/>
      <c r="G1097" s="620"/>
      <c r="H1097" s="464"/>
      <c r="I1097" s="467"/>
      <c r="J1097" s="468"/>
      <c r="K1097" s="574"/>
      <c r="L1097" s="469"/>
      <c r="M1097" s="683"/>
      <c r="N1097" s="470"/>
      <c r="O1097" s="468"/>
      <c r="P1097" s="616"/>
      <c r="Q1097" s="472"/>
      <c r="R1097" s="472"/>
      <c r="S1097" s="1189"/>
      <c r="T1097" s="470"/>
      <c r="U1097" s="612"/>
      <c r="V1097" s="464"/>
      <c r="W1097" s="612"/>
      <c r="X1097" s="473"/>
      <c r="Y1097" s="478"/>
      <c r="Z1097" s="449"/>
      <c r="AA1097" s="573"/>
      <c r="AB1097" s="476"/>
      <c r="AC1097" s="476"/>
      <c r="AD1097" s="568"/>
      <c r="AE1097" s="476"/>
      <c r="AF1097" s="568"/>
      <c r="AG1097" s="476"/>
      <c r="AH1097" s="476"/>
      <c r="AI1097" s="477"/>
      <c r="AJ1097" s="478"/>
      <c r="AK1097" s="479"/>
      <c r="AL1097" s="480"/>
      <c r="AM1097" s="474"/>
      <c r="AN1097" s="481"/>
      <c r="AO1097" s="474"/>
      <c r="AP1097" s="476"/>
      <c r="AQ1097" s="482"/>
      <c r="AR1097" s="478"/>
      <c r="AS1097" s="478"/>
      <c r="AT1097" s="476"/>
      <c r="AU1097" s="482"/>
      <c r="AV1097" s="478"/>
      <c r="AW1097" s="483"/>
      <c r="AX1097" s="476"/>
      <c r="AY1097" s="482"/>
      <c r="AZ1097" s="478"/>
      <c r="BA1097" s="484"/>
      <c r="BB1097" s="474"/>
      <c r="BC1097" s="485"/>
      <c r="BD1097" s="485"/>
      <c r="BG1097" s="487"/>
    </row>
    <row r="1098" spans="1:59" s="526" customFormat="1" ht="18" customHeight="1" x14ac:dyDescent="0.2">
      <c r="A1098" s="1370" t="s">
        <v>4184</v>
      </c>
      <c r="B1098" s="1956" t="s">
        <v>4184</v>
      </c>
      <c r="C1098" s="1957"/>
      <c r="D1098" s="1957"/>
      <c r="E1098" s="1957"/>
      <c r="F1098" s="1958"/>
      <c r="G1098" s="621">
        <f>SUM(G1086:G1097)</f>
        <v>6125008027</v>
      </c>
      <c r="H1098" s="505"/>
      <c r="I1098" s="506"/>
      <c r="J1098" s="507"/>
      <c r="K1098" s="507"/>
      <c r="L1098" s="505"/>
      <c r="M1098" s="684"/>
      <c r="N1098" s="508"/>
      <c r="O1098" s="507"/>
      <c r="P1098" s="749"/>
      <c r="Q1098" s="510"/>
      <c r="R1098" s="511"/>
      <c r="S1098" s="512"/>
      <c r="T1098" s="512"/>
      <c r="U1098" s="610">
        <f>SUM(U1086:U1097)</f>
        <v>4523755618.8999996</v>
      </c>
      <c r="V1098" s="513"/>
      <c r="W1098" s="610">
        <f>G1098-U1098</f>
        <v>1601252408.1000004</v>
      </c>
      <c r="X1098" s="514"/>
      <c r="Y1098" s="515"/>
      <c r="Z1098" s="515"/>
      <c r="AA1098" s="515"/>
      <c r="AB1098" s="1362">
        <v>1601252408.1000004</v>
      </c>
      <c r="AC1098" s="1372">
        <f>W1098-AB1098</f>
        <v>0</v>
      </c>
      <c r="AD1098" s="570"/>
      <c r="AE1098" s="515"/>
      <c r="AF1098" s="570">
        <v>1836601367.352</v>
      </c>
      <c r="AG1098" s="515"/>
      <c r="AH1098" s="515"/>
      <c r="AI1098" s="516"/>
      <c r="AJ1098" s="517"/>
      <c r="AK1098" s="518"/>
      <c r="AL1098" s="519"/>
      <c r="AM1098" s="520"/>
      <c r="AN1098" s="521"/>
      <c r="AO1098" s="520"/>
      <c r="AP1098" s="515"/>
      <c r="AQ1098" s="522"/>
      <c r="AR1098" s="517"/>
      <c r="AS1098" s="517"/>
      <c r="AT1098" s="515"/>
      <c r="AU1098" s="522"/>
      <c r="AV1098" s="517"/>
      <c r="AW1098" s="523"/>
      <c r="AX1098" s="515"/>
      <c r="AY1098" s="522"/>
      <c r="AZ1098" s="517"/>
      <c r="BA1098" s="524"/>
      <c r="BB1098" s="520"/>
      <c r="BC1098" s="525"/>
      <c r="BD1098" s="525"/>
      <c r="BG1098" s="527"/>
    </row>
    <row r="1101" spans="1:59" s="422" customFormat="1" ht="18" customHeight="1" x14ac:dyDescent="0.2">
      <c r="A1101" s="1366">
        <f>C1101</f>
        <v>178</v>
      </c>
      <c r="B1101" s="742" t="s">
        <v>4187</v>
      </c>
      <c r="C1101" s="556">
        <v>178</v>
      </c>
      <c r="D1101" s="553" t="str">
        <f>VLOOKUP(C1101,RUAS,2,FALSE)</f>
        <v>PAUH ANGIT - RAWANG BINJAI</v>
      </c>
      <c r="E1101" s="553"/>
      <c r="F1101" s="421"/>
      <c r="G1101" s="611"/>
      <c r="I1101" s="423"/>
      <c r="J1101" s="424"/>
      <c r="K1101" s="424"/>
      <c r="M1101" s="680"/>
      <c r="P1101" s="611"/>
      <c r="U1101" s="611"/>
      <c r="W1101" s="611"/>
      <c r="Y1101" s="425"/>
      <c r="Z1101" s="425"/>
      <c r="AA1101" s="425"/>
      <c r="AB1101" s="425"/>
      <c r="AC1101" s="425"/>
      <c r="AD1101" s="563"/>
      <c r="AE1101" s="425"/>
      <c r="AF1101" s="563"/>
      <c r="AG1101" s="425"/>
      <c r="AH1101" s="425"/>
      <c r="AI1101" s="425"/>
      <c r="AJ1101" s="425"/>
      <c r="AK1101" s="425"/>
      <c r="AL1101" s="425"/>
      <c r="AM1101" s="425"/>
      <c r="AN1101" s="425"/>
      <c r="AO1101" s="425"/>
      <c r="AP1101" s="425"/>
      <c r="AQ1101" s="425"/>
      <c r="AR1101" s="425"/>
      <c r="AS1101" s="425"/>
      <c r="AT1101" s="425"/>
      <c r="AU1101" s="425"/>
      <c r="AV1101" s="425"/>
      <c r="AW1101" s="425"/>
      <c r="AX1101" s="425"/>
      <c r="AY1101" s="425"/>
      <c r="AZ1101" s="425"/>
      <c r="BA1101" s="425"/>
      <c r="BB1101" s="425"/>
    </row>
    <row r="1102" spans="1:59" s="431" customFormat="1" ht="18" customHeight="1" x14ac:dyDescent="0.2">
      <c r="A1102" s="1367"/>
      <c r="B1102" s="1968" t="s">
        <v>5</v>
      </c>
      <c r="C1102" s="1968" t="s">
        <v>2280</v>
      </c>
      <c r="D1102" s="1968" t="s">
        <v>4157</v>
      </c>
      <c r="E1102" s="1968" t="s">
        <v>4158</v>
      </c>
      <c r="F1102" s="1968"/>
      <c r="G1102" s="1969" t="s">
        <v>4159</v>
      </c>
      <c r="H1102" s="1968" t="s">
        <v>4160</v>
      </c>
      <c r="I1102" s="1968"/>
      <c r="J1102" s="1968" t="s">
        <v>4185</v>
      </c>
      <c r="K1102" s="1964" t="s">
        <v>4162</v>
      </c>
      <c r="L1102" s="1968" t="s">
        <v>4163</v>
      </c>
      <c r="M1102" s="1971" t="s">
        <v>4164</v>
      </c>
      <c r="N1102" s="1962" t="s">
        <v>4165</v>
      </c>
      <c r="O1102" s="1968" t="s">
        <v>4166</v>
      </c>
      <c r="P1102" s="1972" t="s">
        <v>4167</v>
      </c>
      <c r="Q1102" s="1973"/>
      <c r="R1102" s="636" t="s">
        <v>4186</v>
      </c>
      <c r="S1102" s="1972" t="s">
        <v>4169</v>
      </c>
      <c r="T1102" s="1974"/>
      <c r="U1102" s="1973"/>
      <c r="V1102" s="1975" t="s">
        <v>4170</v>
      </c>
      <c r="W1102" s="1975"/>
      <c r="X1102" s="1960" t="s">
        <v>4171</v>
      </c>
      <c r="Y1102" s="1959"/>
      <c r="Z1102" s="633"/>
      <c r="AA1102" s="426"/>
      <c r="AB1102" s="426"/>
      <c r="AC1102" s="426"/>
      <c r="AD1102" s="564"/>
      <c r="AE1102" s="426"/>
      <c r="AF1102" s="564"/>
      <c r="AG1102" s="426"/>
      <c r="AH1102" s="426"/>
      <c r="AI1102" s="427"/>
      <c r="AJ1102" s="427"/>
      <c r="AK1102" s="427"/>
      <c r="AL1102" s="427"/>
      <c r="AM1102" s="428"/>
      <c r="AN1102" s="427"/>
      <c r="AO1102" s="427"/>
      <c r="AP1102" s="426"/>
      <c r="AQ1102" s="427"/>
      <c r="AR1102" s="427"/>
      <c r="AS1102" s="427"/>
      <c r="AT1102" s="426"/>
      <c r="AU1102" s="427"/>
      <c r="AV1102" s="427"/>
      <c r="AW1102" s="427"/>
      <c r="AX1102" s="426"/>
      <c r="AY1102" s="427"/>
      <c r="AZ1102" s="427"/>
      <c r="BA1102" s="427"/>
      <c r="BB1102" s="429"/>
      <c r="BC1102" s="430"/>
      <c r="BD1102" s="430"/>
    </row>
    <row r="1103" spans="1:59" s="431" customFormat="1" ht="18" customHeight="1" x14ac:dyDescent="0.2">
      <c r="A1103" s="1367"/>
      <c r="B1103" s="1968"/>
      <c r="C1103" s="1968"/>
      <c r="D1103" s="1968"/>
      <c r="E1103" s="1968"/>
      <c r="F1103" s="1968"/>
      <c r="G1103" s="1969"/>
      <c r="H1103" s="1968"/>
      <c r="I1103" s="1968"/>
      <c r="J1103" s="1968"/>
      <c r="K1103" s="1970"/>
      <c r="L1103" s="1968"/>
      <c r="M1103" s="1971"/>
      <c r="N1103" s="1963"/>
      <c r="O1103" s="1968"/>
      <c r="P1103" s="2037" t="s">
        <v>4172</v>
      </c>
      <c r="Q1103" s="1960" t="s">
        <v>4173</v>
      </c>
      <c r="R1103" s="1962" t="s">
        <v>4159</v>
      </c>
      <c r="S1103" s="1962" t="s">
        <v>4174</v>
      </c>
      <c r="T1103" s="1964" t="s">
        <v>4175</v>
      </c>
      <c r="U1103" s="1966" t="s">
        <v>4159</v>
      </c>
      <c r="V1103" s="1975"/>
      <c r="W1103" s="1975"/>
      <c r="X1103" s="1976"/>
      <c r="Y1103" s="1959"/>
      <c r="Z1103" s="633"/>
      <c r="AA1103" s="426"/>
      <c r="AB1103" s="426"/>
      <c r="AC1103" s="426"/>
      <c r="AD1103" s="564"/>
      <c r="AE1103" s="426"/>
      <c r="AF1103" s="564"/>
      <c r="AG1103" s="426"/>
      <c r="AH1103" s="426"/>
      <c r="AI1103" s="427"/>
      <c r="AJ1103" s="427"/>
      <c r="AK1103" s="426"/>
      <c r="AL1103" s="427"/>
      <c r="AM1103" s="428"/>
      <c r="AN1103" s="427"/>
      <c r="AO1103" s="427"/>
      <c r="AP1103" s="432"/>
      <c r="AQ1103" s="427"/>
      <c r="AR1103" s="427"/>
      <c r="AS1103" s="427"/>
      <c r="AT1103" s="432"/>
      <c r="AU1103" s="427"/>
      <c r="AV1103" s="427"/>
      <c r="AW1103" s="427"/>
      <c r="AX1103" s="432"/>
      <c r="AY1103" s="427"/>
      <c r="AZ1103" s="427"/>
      <c r="BA1103" s="427"/>
      <c r="BB1103" s="429"/>
      <c r="BC1103" s="430"/>
      <c r="BD1103" s="430"/>
    </row>
    <row r="1104" spans="1:59" s="431" customFormat="1" ht="18" customHeight="1" x14ac:dyDescent="0.2">
      <c r="A1104" s="1367"/>
      <c r="B1104" s="1968"/>
      <c r="C1104" s="1968"/>
      <c r="D1104" s="1968"/>
      <c r="E1104" s="433" t="s">
        <v>4176</v>
      </c>
      <c r="F1104" s="434" t="s">
        <v>2288</v>
      </c>
      <c r="G1104" s="1969"/>
      <c r="H1104" s="635" t="s">
        <v>2288</v>
      </c>
      <c r="I1104" s="635" t="s">
        <v>4177</v>
      </c>
      <c r="J1104" s="1968"/>
      <c r="K1104" s="1965"/>
      <c r="L1104" s="435" t="s">
        <v>2288</v>
      </c>
      <c r="M1104" s="681" t="s">
        <v>2288</v>
      </c>
      <c r="N1104" s="635" t="s">
        <v>2288</v>
      </c>
      <c r="O1104" s="1968"/>
      <c r="P1104" s="2038"/>
      <c r="Q1104" s="1961"/>
      <c r="R1104" s="1963"/>
      <c r="S1104" s="1963"/>
      <c r="T1104" s="1965"/>
      <c r="U1104" s="1967"/>
      <c r="V1104" s="635" t="s">
        <v>4178</v>
      </c>
      <c r="W1104" s="637" t="s">
        <v>4159</v>
      </c>
      <c r="X1104" s="1961"/>
      <c r="Y1104" s="436"/>
      <c r="Z1104" s="436"/>
      <c r="AA1104" s="426"/>
      <c r="AB1104" s="426"/>
      <c r="AC1104" s="426"/>
      <c r="AD1104" s="564"/>
      <c r="AE1104" s="426"/>
      <c r="AF1104" s="564"/>
      <c r="AG1104" s="426"/>
      <c r="AH1104" s="426"/>
      <c r="AI1104" s="427"/>
      <c r="AJ1104" s="432"/>
      <c r="AK1104" s="432"/>
      <c r="AL1104" s="427"/>
      <c r="AM1104" s="428"/>
      <c r="AN1104" s="432"/>
      <c r="AO1104" s="427"/>
      <c r="AP1104" s="432"/>
      <c r="AQ1104" s="432"/>
      <c r="AR1104" s="427"/>
      <c r="AS1104" s="427"/>
      <c r="AT1104" s="432"/>
      <c r="AU1104" s="432"/>
      <c r="AV1104" s="427"/>
      <c r="AW1104" s="427"/>
      <c r="AX1104" s="432"/>
      <c r="AY1104" s="432"/>
      <c r="AZ1104" s="427"/>
      <c r="BA1104" s="427"/>
      <c r="BB1104" s="429"/>
      <c r="BC1104" s="430"/>
      <c r="BD1104" s="430"/>
    </row>
    <row r="1105" spans="1:59" s="461" customFormat="1" ht="18" customHeight="1" x14ac:dyDescent="0.2">
      <c r="A1105" s="1368" t="str">
        <f>$D$1101&amp;S1105</f>
        <v>PAUH ANGIT - RAWANG BINJAI2001</v>
      </c>
      <c r="B1105" s="1373">
        <v>1</v>
      </c>
      <c r="C1105" s="532" t="s">
        <v>1145</v>
      </c>
      <c r="D1105" s="437" t="s">
        <v>3821</v>
      </c>
      <c r="E1105" s="438"/>
      <c r="F1105" s="439">
        <v>2001</v>
      </c>
      <c r="G1105" s="623">
        <v>1115572260</v>
      </c>
      <c r="H1105" s="440">
        <f>VLOOKUP(LEFT(D1105,8),UE,4)</f>
        <v>10</v>
      </c>
      <c r="I1105" s="441"/>
      <c r="J1105" s="442">
        <f>F1105+N1105-1</f>
        <v>2010</v>
      </c>
      <c r="K1105" s="443"/>
      <c r="L1105" s="440"/>
      <c r="M1105" s="746">
        <f>IF(H1105+L1105&gt;$H1105,$H1105-H1105,L1105)</f>
        <v>0</v>
      </c>
      <c r="N1105" s="444">
        <f>H1105+M1105</f>
        <v>10</v>
      </c>
      <c r="O1105" s="442">
        <f>F1105+N1105-1</f>
        <v>2010</v>
      </c>
      <c r="P1105" s="617">
        <f>G1105</f>
        <v>1115572260</v>
      </c>
      <c r="Q1105" s="445">
        <v>0</v>
      </c>
      <c r="R1105" s="445">
        <f>P1105/N1105</f>
        <v>111557226</v>
      </c>
      <c r="S1105" s="446">
        <f>F1105</f>
        <v>2001</v>
      </c>
      <c r="T1105" s="447">
        <v>1</v>
      </c>
      <c r="U1105" s="613">
        <f>R1105*T1105</f>
        <v>111557226</v>
      </c>
      <c r="V1105" s="442">
        <f>F1105</f>
        <v>2001</v>
      </c>
      <c r="W1105" s="617">
        <f>IF(OR(AND(ISBLANK(E1105),ISBLANK(G1105)),ISTEXT(E1105),ISTEXT(G1105)),"",G1105-R1105)</f>
        <v>1004015034</v>
      </c>
      <c r="X1105" s="448"/>
      <c r="Y1105" s="449"/>
      <c r="Z1105" s="449"/>
      <c r="AA1105" s="693"/>
      <c r="AB1105" s="452"/>
      <c r="AC1105" s="452"/>
      <c r="AD1105" s="571"/>
      <c r="AE1105" s="452"/>
      <c r="AF1105" s="571"/>
      <c r="AG1105" s="452"/>
      <c r="AH1105" s="452"/>
      <c r="AI1105" s="453"/>
      <c r="AJ1105" s="449"/>
      <c r="AK1105" s="453"/>
      <c r="AL1105" s="454"/>
      <c r="AM1105" s="455"/>
      <c r="AN1105" s="456"/>
      <c r="AO1105" s="455"/>
      <c r="AP1105" s="452"/>
      <c r="AQ1105" s="457"/>
      <c r="AR1105" s="449"/>
      <c r="AS1105" s="449"/>
      <c r="AT1105" s="452"/>
      <c r="AU1105" s="457"/>
      <c r="AV1105" s="449"/>
      <c r="AW1105" s="458"/>
      <c r="AX1105" s="452"/>
      <c r="AY1105" s="457"/>
      <c r="AZ1105" s="449"/>
      <c r="BA1105" s="459"/>
      <c r="BB1105" s="455"/>
      <c r="BC1105" s="460"/>
      <c r="BD1105" s="460"/>
      <c r="BG1105" s="462"/>
    </row>
    <row r="1106" spans="1:59" s="461" customFormat="1" ht="18" customHeight="1" x14ac:dyDescent="0.2">
      <c r="A1106" s="1368" t="str">
        <f t="shared" ref="A1106:A1113" si="825">$D$1101&amp;S1106</f>
        <v>PAUH ANGIT - RAWANG BINJAI2010</v>
      </c>
      <c r="B1106" s="1373"/>
      <c r="C1106" s="488"/>
      <c r="D1106" s="489"/>
      <c r="E1106" s="558"/>
      <c r="F1106" s="559">
        <v>2010</v>
      </c>
      <c r="G1106" s="619">
        <v>0</v>
      </c>
      <c r="H1106" s="464">
        <f t="shared" ref="H1106:H1112" si="826">IF(N1105-(F1106-F1105)&lt;=0,0,(N1105-(F1106-F1105)))</f>
        <v>1</v>
      </c>
      <c r="I1106" s="560"/>
      <c r="J1106" s="468">
        <f>F1106+N1106-1</f>
        <v>2010</v>
      </c>
      <c r="K1106" s="490">
        <f>IF(G1106=0,0,IF(H1106=10,100%,G1106/W1105))</f>
        <v>0</v>
      </c>
      <c r="L1106" s="469">
        <f>IF(K1106=0%,0,IF(K1106&lt;=30%,2,IF(K1106&lt;=60%,5,10)))</f>
        <v>0</v>
      </c>
      <c r="M1106" s="683">
        <f>IF(OR(AND(ISBLANK(E1106),ISBLANK(G1106)),ISTEXT(E1106),ISTEXT(G1106)),"",IF(H1106+L1106&gt;$H$8,$H$8-H1106,L1106))</f>
        <v>0</v>
      </c>
      <c r="N1106" s="470">
        <f>IF(OR(AND(ISBLANK(F1106),ISBLANK(G1106)),ISTEXT(F1106),ISTEXT(G1106)),"",H1106+M1106)</f>
        <v>1</v>
      </c>
      <c r="O1106" s="468">
        <f>F1106+N1106-1</f>
        <v>2010</v>
      </c>
      <c r="P1106" s="616">
        <f>W1105</f>
        <v>1004015034</v>
      </c>
      <c r="Q1106" s="472">
        <f>P1106+G1106</f>
        <v>1004015034</v>
      </c>
      <c r="R1106" s="472">
        <f>IF(L1106=0,R1105,Q1106/N1106)</f>
        <v>111557226</v>
      </c>
      <c r="S1106" s="634">
        <f>F1106</f>
        <v>2010</v>
      </c>
      <c r="T1106" s="470">
        <f>S1106-S1105</f>
        <v>9</v>
      </c>
      <c r="U1106" s="612">
        <f>R1106*T1106</f>
        <v>1004015034</v>
      </c>
      <c r="V1106" s="464">
        <f>F1106</f>
        <v>2010</v>
      </c>
      <c r="W1106" s="612">
        <f>IF(OR(AND(ISBLANK(E1106),ISBLANK(G1106)),ISTEXT(E1106),ISTEXT(G1106)),"",Q1106-U1106)</f>
        <v>0</v>
      </c>
      <c r="X1106" s="561"/>
      <c r="Y1106" s="449"/>
      <c r="Z1106" s="449"/>
      <c r="AA1106" s="693"/>
      <c r="AB1106" s="452"/>
      <c r="AC1106" s="452"/>
      <c r="AD1106" s="571"/>
      <c r="AE1106" s="452"/>
      <c r="AF1106" s="571"/>
      <c r="AG1106" s="452"/>
      <c r="AH1106" s="452"/>
      <c r="AI1106" s="453"/>
      <c r="AJ1106" s="449"/>
      <c r="AK1106" s="453"/>
      <c r="AL1106" s="454"/>
      <c r="AM1106" s="455"/>
      <c r="AN1106" s="456"/>
      <c r="AO1106" s="455"/>
      <c r="AP1106" s="452"/>
      <c r="AQ1106" s="457"/>
      <c r="AR1106" s="449"/>
      <c r="AS1106" s="449"/>
      <c r="AT1106" s="452"/>
      <c r="AU1106" s="457"/>
      <c r="AV1106" s="449"/>
      <c r="AW1106" s="458"/>
      <c r="AX1106" s="452"/>
      <c r="AY1106" s="457"/>
      <c r="AZ1106" s="449"/>
      <c r="BA1106" s="459"/>
      <c r="BB1106" s="455"/>
      <c r="BC1106" s="460"/>
      <c r="BD1106" s="460"/>
      <c r="BG1106" s="462"/>
    </row>
    <row r="1107" spans="1:59" s="461" customFormat="1" ht="18" customHeight="1" x14ac:dyDescent="0.2">
      <c r="A1107" s="1368" t="str">
        <f t="shared" si="825"/>
        <v>PAUH ANGIT - RAWANG BINJAI2013</v>
      </c>
      <c r="B1107" s="1373"/>
      <c r="C1107" s="488"/>
      <c r="D1107" s="489"/>
      <c r="E1107" s="558"/>
      <c r="F1107" s="559">
        <v>2013</v>
      </c>
      <c r="G1107" s="619">
        <v>0</v>
      </c>
      <c r="H1107" s="464">
        <f t="shared" si="826"/>
        <v>0</v>
      </c>
      <c r="I1107" s="560"/>
      <c r="J1107" s="468">
        <f t="shared" ref="J1107:J1112" si="827">F1107+N1107-1</f>
        <v>2012</v>
      </c>
      <c r="K1107" s="490">
        <f t="shared" ref="K1107:K1112" si="828">IF(G1107=0,0,IF(H1107=10,100%,G1107/W1106))</f>
        <v>0</v>
      </c>
      <c r="L1107" s="469">
        <f t="shared" ref="L1107:L1112" si="829">IF(K1107=0%,0,IF(K1107&lt;=30%,2,IF(K1107&lt;=60%,5,10)))</f>
        <v>0</v>
      </c>
      <c r="M1107" s="683">
        <f t="shared" ref="M1107:M1112" si="830">IF(OR(AND(ISBLANK(E1107),ISBLANK(G1107)),ISTEXT(E1107),ISTEXT(G1107)),"",IF(H1107+L1107&gt;$H$8,$H$8-H1107,L1107))</f>
        <v>0</v>
      </c>
      <c r="N1107" s="470">
        <f t="shared" ref="N1107:N1112" si="831">IF(OR(AND(ISBLANK(F1107),ISBLANK(G1107)),ISTEXT(F1107),ISTEXT(G1107)),"",H1107+M1107)</f>
        <v>0</v>
      </c>
      <c r="O1107" s="468">
        <f t="shared" ref="O1107:O1112" si="832">F1107+N1107-1</f>
        <v>2012</v>
      </c>
      <c r="P1107" s="616">
        <f t="shared" ref="P1107:P1112" si="833">W1106</f>
        <v>0</v>
      </c>
      <c r="Q1107" s="472">
        <f t="shared" ref="Q1107:Q1112" si="834">P1107+G1107</f>
        <v>0</v>
      </c>
      <c r="R1107" s="472">
        <v>0</v>
      </c>
      <c r="S1107" s="759">
        <f t="shared" ref="S1107:S1112" si="835">F1107</f>
        <v>2013</v>
      </c>
      <c r="T1107" s="470">
        <f t="shared" ref="T1107:T1112" si="836">S1107-S1106</f>
        <v>3</v>
      </c>
      <c r="U1107" s="612">
        <f t="shared" ref="U1107:U1112" si="837">R1107*T1107</f>
        <v>0</v>
      </c>
      <c r="V1107" s="464">
        <f t="shared" ref="V1107:V1112" si="838">F1107</f>
        <v>2013</v>
      </c>
      <c r="W1107" s="612">
        <f t="shared" ref="W1107:W1112" si="839">IF(OR(AND(ISBLANK(E1107),ISBLANK(G1107)),ISTEXT(E1107),ISTEXT(G1107)),"",Q1107-U1107)</f>
        <v>0</v>
      </c>
      <c r="X1107" s="561"/>
      <c r="Y1107" s="449"/>
      <c r="Z1107" s="449"/>
      <c r="AA1107" s="694"/>
      <c r="AB1107" s="692"/>
      <c r="AC1107" s="692"/>
      <c r="AD1107" s="695"/>
      <c r="AE1107" s="452"/>
      <c r="AF1107" s="571"/>
      <c r="AG1107" s="452"/>
      <c r="AH1107" s="452"/>
      <c r="AI1107" s="453"/>
      <c r="AJ1107" s="449"/>
      <c r="AK1107" s="453"/>
      <c r="AL1107" s="454"/>
      <c r="AM1107" s="455"/>
      <c r="AN1107" s="456"/>
      <c r="AO1107" s="455"/>
      <c r="AP1107" s="452"/>
      <c r="AQ1107" s="457"/>
      <c r="AR1107" s="449"/>
      <c r="AS1107" s="449"/>
      <c r="AT1107" s="452"/>
      <c r="AU1107" s="457"/>
      <c r="AV1107" s="449"/>
      <c r="AW1107" s="458"/>
      <c r="AX1107" s="452"/>
      <c r="AY1107" s="457"/>
      <c r="AZ1107" s="449"/>
      <c r="BA1107" s="459"/>
      <c r="BB1107" s="455"/>
      <c r="BC1107" s="460"/>
      <c r="BD1107" s="460"/>
      <c r="BG1107" s="462"/>
    </row>
    <row r="1108" spans="1:59" s="461" customFormat="1" ht="18" customHeight="1" x14ac:dyDescent="0.2">
      <c r="A1108" s="1368" t="str">
        <f t="shared" si="825"/>
        <v>PAUH ANGIT - RAWANG BINJAI2014</v>
      </c>
      <c r="B1108" s="1373"/>
      <c r="C1108" s="488"/>
      <c r="D1108" s="489"/>
      <c r="E1108" s="558"/>
      <c r="F1108" s="559">
        <v>2014</v>
      </c>
      <c r="G1108" s="619">
        <v>0</v>
      </c>
      <c r="H1108" s="464">
        <f t="shared" si="826"/>
        <v>0</v>
      </c>
      <c r="I1108" s="560"/>
      <c r="J1108" s="468">
        <f t="shared" si="827"/>
        <v>2013</v>
      </c>
      <c r="K1108" s="490">
        <f t="shared" si="828"/>
        <v>0</v>
      </c>
      <c r="L1108" s="469">
        <f t="shared" si="829"/>
        <v>0</v>
      </c>
      <c r="M1108" s="683">
        <f t="shared" si="830"/>
        <v>0</v>
      </c>
      <c r="N1108" s="470">
        <f t="shared" si="831"/>
        <v>0</v>
      </c>
      <c r="O1108" s="468">
        <f t="shared" si="832"/>
        <v>2013</v>
      </c>
      <c r="P1108" s="616">
        <f t="shared" si="833"/>
        <v>0</v>
      </c>
      <c r="Q1108" s="472">
        <f t="shared" si="834"/>
        <v>0</v>
      </c>
      <c r="R1108" s="472">
        <f t="shared" ref="R1108:R1113" si="840">IF(L1108=0,R1107,Q1108/N1108)</f>
        <v>0</v>
      </c>
      <c r="S1108" s="759">
        <f t="shared" si="835"/>
        <v>2014</v>
      </c>
      <c r="T1108" s="470">
        <f t="shared" si="836"/>
        <v>1</v>
      </c>
      <c r="U1108" s="612">
        <f t="shared" si="837"/>
        <v>0</v>
      </c>
      <c r="V1108" s="464">
        <f t="shared" si="838"/>
        <v>2014</v>
      </c>
      <c r="W1108" s="612">
        <f t="shared" si="839"/>
        <v>0</v>
      </c>
      <c r="X1108" s="561"/>
      <c r="Y1108" s="449"/>
      <c r="Z1108" s="449"/>
      <c r="AA1108" s="554" t="s">
        <v>4179</v>
      </c>
      <c r="AB1108" s="452"/>
      <c r="AC1108" s="452"/>
      <c r="AD1108" s="566"/>
      <c r="AE1108" s="452"/>
      <c r="AF1108" s="571"/>
      <c r="AG1108" s="452"/>
      <c r="AH1108" s="452"/>
      <c r="AI1108" s="453"/>
      <c r="AJ1108" s="449"/>
      <c r="AK1108" s="453"/>
      <c r="AL1108" s="454"/>
      <c r="AM1108" s="455"/>
      <c r="AN1108" s="456"/>
      <c r="AO1108" s="455"/>
      <c r="AP1108" s="452"/>
      <c r="AQ1108" s="457"/>
      <c r="AR1108" s="449"/>
      <c r="AS1108" s="449"/>
      <c r="AT1108" s="452"/>
      <c r="AU1108" s="457"/>
      <c r="AV1108" s="449"/>
      <c r="AW1108" s="458"/>
      <c r="AX1108" s="452"/>
      <c r="AY1108" s="457"/>
      <c r="AZ1108" s="449"/>
      <c r="BA1108" s="459"/>
      <c r="BB1108" s="455"/>
      <c r="BC1108" s="460"/>
      <c r="BD1108" s="460"/>
      <c r="BG1108" s="462"/>
    </row>
    <row r="1109" spans="1:59" s="461" customFormat="1" ht="18" customHeight="1" x14ac:dyDescent="0.2">
      <c r="A1109" s="1368" t="str">
        <f t="shared" si="825"/>
        <v>PAUH ANGIT - RAWANG BINJAI2015</v>
      </c>
      <c r="B1109" s="1373"/>
      <c r="C1109" s="488"/>
      <c r="D1109" s="489"/>
      <c r="E1109" s="558"/>
      <c r="F1109" s="559">
        <v>2015</v>
      </c>
      <c r="G1109" s="619">
        <v>0</v>
      </c>
      <c r="H1109" s="464">
        <f t="shared" si="826"/>
        <v>0</v>
      </c>
      <c r="I1109" s="560"/>
      <c r="J1109" s="468">
        <f t="shared" si="827"/>
        <v>2014</v>
      </c>
      <c r="K1109" s="490">
        <f t="shared" si="828"/>
        <v>0</v>
      </c>
      <c r="L1109" s="469">
        <f t="shared" si="829"/>
        <v>0</v>
      </c>
      <c r="M1109" s="683">
        <f t="shared" si="830"/>
        <v>0</v>
      </c>
      <c r="N1109" s="470">
        <f t="shared" si="831"/>
        <v>0</v>
      </c>
      <c r="O1109" s="468">
        <f t="shared" si="832"/>
        <v>2014</v>
      </c>
      <c r="P1109" s="616">
        <f t="shared" si="833"/>
        <v>0</v>
      </c>
      <c r="Q1109" s="472">
        <f t="shared" si="834"/>
        <v>0</v>
      </c>
      <c r="R1109" s="472">
        <f t="shared" si="840"/>
        <v>0</v>
      </c>
      <c r="S1109" s="759">
        <f t="shared" si="835"/>
        <v>2015</v>
      </c>
      <c r="T1109" s="470">
        <f t="shared" si="836"/>
        <v>1</v>
      </c>
      <c r="U1109" s="612">
        <f t="shared" si="837"/>
        <v>0</v>
      </c>
      <c r="V1109" s="464">
        <f t="shared" si="838"/>
        <v>2015</v>
      </c>
      <c r="W1109" s="612">
        <f t="shared" si="839"/>
        <v>0</v>
      </c>
      <c r="X1109" s="561"/>
      <c r="Y1109" s="449"/>
      <c r="Z1109" s="449"/>
      <c r="AA1109" s="554"/>
      <c r="AB1109" s="452"/>
      <c r="AC1109" s="452"/>
      <c r="AD1109" s="566"/>
      <c r="AE1109" s="452"/>
      <c r="AF1109" s="571"/>
      <c r="AG1109" s="452"/>
      <c r="AH1109" s="452"/>
      <c r="AI1109" s="453"/>
      <c r="AJ1109" s="449"/>
      <c r="AK1109" s="453"/>
      <c r="AL1109" s="454"/>
      <c r="AM1109" s="455"/>
      <c r="AN1109" s="456"/>
      <c r="AO1109" s="455"/>
      <c r="AP1109" s="452"/>
      <c r="AQ1109" s="457"/>
      <c r="AR1109" s="449"/>
      <c r="AS1109" s="449"/>
      <c r="AT1109" s="452"/>
      <c r="AU1109" s="457"/>
      <c r="AV1109" s="449"/>
      <c r="AW1109" s="458"/>
      <c r="AX1109" s="452"/>
      <c r="AY1109" s="457"/>
      <c r="AZ1109" s="449"/>
      <c r="BA1109" s="459"/>
      <c r="BB1109" s="455"/>
      <c r="BC1109" s="460"/>
      <c r="BD1109" s="460"/>
      <c r="BG1109" s="462"/>
    </row>
    <row r="1110" spans="1:59" s="486" customFormat="1" ht="18" customHeight="1" x14ac:dyDescent="0.2">
      <c r="A1110" s="1368" t="str">
        <f t="shared" si="825"/>
        <v>PAUH ANGIT - RAWANG BINJAI2016</v>
      </c>
      <c r="B1110" s="1373"/>
      <c r="C1110" s="488" t="s">
        <v>1459</v>
      </c>
      <c r="D1110" s="489" t="s">
        <v>3821</v>
      </c>
      <c r="E1110" s="558"/>
      <c r="F1110" s="559">
        <v>2016</v>
      </c>
      <c r="G1110" s="619">
        <v>1766998059.23</v>
      </c>
      <c r="H1110" s="557">
        <f>VLOOKUP(LEFT(D1110,8),UE,4)</f>
        <v>10</v>
      </c>
      <c r="I1110" s="467"/>
      <c r="J1110" s="468">
        <f t="shared" si="827"/>
        <v>2025</v>
      </c>
      <c r="K1110" s="490">
        <f t="shared" si="828"/>
        <v>1</v>
      </c>
      <c r="L1110" s="469">
        <f t="shared" si="829"/>
        <v>10</v>
      </c>
      <c r="M1110" s="683">
        <f t="shared" si="830"/>
        <v>0</v>
      </c>
      <c r="N1110" s="470">
        <f t="shared" si="831"/>
        <v>10</v>
      </c>
      <c r="O1110" s="468">
        <f t="shared" si="832"/>
        <v>2025</v>
      </c>
      <c r="P1110" s="616">
        <f t="shared" si="833"/>
        <v>0</v>
      </c>
      <c r="Q1110" s="472">
        <f t="shared" si="834"/>
        <v>1766998059.23</v>
      </c>
      <c r="R1110" s="472">
        <f t="shared" si="840"/>
        <v>176699805.92300001</v>
      </c>
      <c r="S1110" s="759">
        <f t="shared" si="835"/>
        <v>2016</v>
      </c>
      <c r="T1110" s="470">
        <f t="shared" si="836"/>
        <v>1</v>
      </c>
      <c r="U1110" s="612">
        <f t="shared" si="837"/>
        <v>176699805.92300001</v>
      </c>
      <c r="V1110" s="464">
        <f t="shared" si="838"/>
        <v>2016</v>
      </c>
      <c r="W1110" s="612">
        <f t="shared" si="839"/>
        <v>1590298253.3069999</v>
      </c>
      <c r="X1110" s="473"/>
      <c r="Y1110" s="474"/>
      <c r="Z1110" s="449"/>
      <c r="AA1110" s="475" t="s">
        <v>4180</v>
      </c>
      <c r="AB1110" s="476"/>
      <c r="AC1110" s="476"/>
      <c r="AD1110" s="567">
        <f>G1116</f>
        <v>2882570319.23</v>
      </c>
      <c r="AE1110" s="476"/>
      <c r="AF1110" s="568"/>
      <c r="AG1110" s="476"/>
      <c r="AH1110" s="476"/>
      <c r="AI1110" s="477"/>
      <c r="AJ1110" s="478"/>
      <c r="AK1110" s="479"/>
      <c r="AL1110" s="480"/>
      <c r="AM1110" s="474"/>
      <c r="AN1110" s="481"/>
      <c r="AO1110" s="474"/>
      <c r="AP1110" s="476"/>
      <c r="AQ1110" s="482"/>
      <c r="AR1110" s="478"/>
      <c r="AS1110" s="478"/>
      <c r="AT1110" s="476"/>
      <c r="AU1110" s="482"/>
      <c r="AV1110" s="478"/>
      <c r="AW1110" s="483"/>
      <c r="AX1110" s="476"/>
      <c r="AY1110" s="482"/>
      <c r="AZ1110" s="478"/>
      <c r="BA1110" s="484"/>
      <c r="BB1110" s="474"/>
      <c r="BC1110" s="485"/>
      <c r="BD1110" s="485"/>
      <c r="BG1110" s="487"/>
    </row>
    <row r="1111" spans="1:59" s="486" customFormat="1" ht="18" customHeight="1" x14ac:dyDescent="0.2">
      <c r="A1111" s="1368" t="str">
        <f t="shared" si="825"/>
        <v>PAUH ANGIT - RAWANG BINJAI2017</v>
      </c>
      <c r="B1111" s="1373"/>
      <c r="C1111" s="488"/>
      <c r="D1111" s="489"/>
      <c r="E1111" s="558"/>
      <c r="F1111" s="559">
        <v>2017</v>
      </c>
      <c r="G1111" s="619">
        <v>0</v>
      </c>
      <c r="H1111" s="464">
        <f t="shared" si="826"/>
        <v>9</v>
      </c>
      <c r="I1111" s="467"/>
      <c r="J1111" s="468">
        <f t="shared" si="827"/>
        <v>2025</v>
      </c>
      <c r="K1111" s="490">
        <f t="shared" si="828"/>
        <v>0</v>
      </c>
      <c r="L1111" s="469">
        <f t="shared" si="829"/>
        <v>0</v>
      </c>
      <c r="M1111" s="683">
        <f t="shared" si="830"/>
        <v>0</v>
      </c>
      <c r="N1111" s="470">
        <f t="shared" si="831"/>
        <v>9</v>
      </c>
      <c r="O1111" s="468">
        <f t="shared" si="832"/>
        <v>2025</v>
      </c>
      <c r="P1111" s="616">
        <f t="shared" si="833"/>
        <v>1590298253.3069999</v>
      </c>
      <c r="Q1111" s="472">
        <f t="shared" si="834"/>
        <v>1590298253.3069999</v>
      </c>
      <c r="R1111" s="472">
        <f t="shared" si="840"/>
        <v>176699805.92300001</v>
      </c>
      <c r="S1111" s="759">
        <f t="shared" si="835"/>
        <v>2017</v>
      </c>
      <c r="T1111" s="470">
        <f t="shared" si="836"/>
        <v>1</v>
      </c>
      <c r="U1111" s="612">
        <f t="shared" si="837"/>
        <v>176699805.92300001</v>
      </c>
      <c r="V1111" s="464">
        <f t="shared" si="838"/>
        <v>2017</v>
      </c>
      <c r="W1111" s="612">
        <f t="shared" si="839"/>
        <v>1413598447.3839998</v>
      </c>
      <c r="X1111" s="473"/>
      <c r="Y1111" s="478"/>
      <c r="Z1111" s="449"/>
      <c r="AA1111" s="475" t="s">
        <v>4181</v>
      </c>
      <c r="AB1111" s="491"/>
      <c r="AC1111" s="491"/>
      <c r="AD1111" s="567">
        <f>U1116</f>
        <v>1822371483.6920004</v>
      </c>
      <c r="AE1111" s="491"/>
      <c r="AF1111" s="568"/>
      <c r="AG1111" s="491"/>
      <c r="AH1111" s="491"/>
      <c r="AI1111" s="477"/>
      <c r="AJ1111" s="478"/>
      <c r="AK1111" s="479"/>
      <c r="AL1111" s="480"/>
      <c r="AM1111" s="474"/>
      <c r="AN1111" s="481"/>
      <c r="AO1111" s="474"/>
      <c r="AP1111" s="476"/>
      <c r="AQ1111" s="482"/>
      <c r="AR1111" s="478"/>
      <c r="AS1111" s="478"/>
      <c r="AT1111" s="476"/>
      <c r="AU1111" s="482"/>
      <c r="AV1111" s="478"/>
      <c r="AW1111" s="483"/>
      <c r="AX1111" s="476"/>
      <c r="AY1111" s="482"/>
      <c r="AZ1111" s="478"/>
      <c r="BA1111" s="484"/>
      <c r="BB1111" s="474"/>
      <c r="BC1111" s="485"/>
      <c r="BD1111" s="485"/>
      <c r="BG1111" s="487"/>
    </row>
    <row r="1112" spans="1:59" s="486" customFormat="1" ht="18" customHeight="1" x14ac:dyDescent="0.2">
      <c r="A1112" s="1368" t="str">
        <f t="shared" si="825"/>
        <v>PAUH ANGIT - RAWANG BINJAI2018</v>
      </c>
      <c r="B1112" s="1373"/>
      <c r="C1112" s="488"/>
      <c r="D1112" s="489"/>
      <c r="E1112" s="558"/>
      <c r="F1112" s="559">
        <v>2018</v>
      </c>
      <c r="G1112" s="619">
        <v>0</v>
      </c>
      <c r="H1112" s="464">
        <f t="shared" si="826"/>
        <v>8</v>
      </c>
      <c r="I1112" s="467"/>
      <c r="J1112" s="468">
        <f t="shared" si="827"/>
        <v>2025</v>
      </c>
      <c r="K1112" s="490">
        <f t="shared" si="828"/>
        <v>0</v>
      </c>
      <c r="L1112" s="469">
        <f t="shared" si="829"/>
        <v>0</v>
      </c>
      <c r="M1112" s="683">
        <f t="shared" si="830"/>
        <v>0</v>
      </c>
      <c r="N1112" s="470">
        <f t="shared" si="831"/>
        <v>8</v>
      </c>
      <c r="O1112" s="468">
        <f t="shared" si="832"/>
        <v>2025</v>
      </c>
      <c r="P1112" s="616">
        <f t="shared" si="833"/>
        <v>1413598447.3839998</v>
      </c>
      <c r="Q1112" s="472">
        <f t="shared" si="834"/>
        <v>1413598447.3839998</v>
      </c>
      <c r="R1112" s="472">
        <f t="shared" si="840"/>
        <v>176699805.92300001</v>
      </c>
      <c r="S1112" s="759">
        <f t="shared" si="835"/>
        <v>2018</v>
      </c>
      <c r="T1112" s="470">
        <f t="shared" si="836"/>
        <v>1</v>
      </c>
      <c r="U1112" s="612">
        <f t="shared" si="837"/>
        <v>176699805.92300001</v>
      </c>
      <c r="V1112" s="464">
        <f t="shared" si="838"/>
        <v>2018</v>
      </c>
      <c r="W1112" s="612">
        <f t="shared" si="839"/>
        <v>1236898641.4609997</v>
      </c>
      <c r="X1112" s="473"/>
      <c r="Y1112" s="478"/>
      <c r="Z1112" s="449"/>
      <c r="AA1112" s="492" t="s">
        <v>4182</v>
      </c>
      <c r="AB1112" s="476"/>
      <c r="AC1112" s="476"/>
      <c r="AD1112" s="567">
        <f>AD1110-AD1111</f>
        <v>1060198835.5379996</v>
      </c>
      <c r="AE1112" s="476"/>
      <c r="AF1112" s="568"/>
      <c r="AG1112" s="476"/>
      <c r="AH1112" s="476"/>
      <c r="AI1112" s="477"/>
      <c r="AJ1112" s="478"/>
      <c r="AK1112" s="479"/>
      <c r="AL1112" s="480"/>
      <c r="AM1112" s="474"/>
      <c r="AN1112" s="481"/>
      <c r="AO1112" s="474"/>
      <c r="AP1112" s="476"/>
      <c r="AQ1112" s="482"/>
      <c r="AR1112" s="478"/>
      <c r="AS1112" s="478"/>
      <c r="AT1112" s="476"/>
      <c r="AU1112" s="482"/>
      <c r="AV1112" s="478"/>
      <c r="AW1112" s="483"/>
      <c r="AX1112" s="476"/>
      <c r="AY1112" s="482"/>
      <c r="AZ1112" s="478"/>
      <c r="BA1112" s="484"/>
      <c r="BB1112" s="474"/>
      <c r="BC1112" s="485"/>
      <c r="BD1112" s="485"/>
      <c r="BG1112" s="487"/>
    </row>
    <row r="1113" spans="1:59" s="486" customFormat="1" ht="18" customHeight="1" x14ac:dyDescent="0.2">
      <c r="A1113" s="1368" t="str">
        <f t="shared" si="825"/>
        <v>PAUH ANGIT - RAWANG BINJAI2019</v>
      </c>
      <c r="B1113" s="1373"/>
      <c r="C1113" s="488"/>
      <c r="D1113" s="489"/>
      <c r="E1113" s="558"/>
      <c r="F1113" s="559">
        <v>2019</v>
      </c>
      <c r="G1113" s="619">
        <v>0</v>
      </c>
      <c r="H1113" s="464">
        <f>IF(N1112-(F1113-F1112)&lt;=0,0,(N1112-(F1113-F1112)))</f>
        <v>7</v>
      </c>
      <c r="I1113" s="467"/>
      <c r="J1113" s="468">
        <f>F1113+N1113-1</f>
        <v>2025</v>
      </c>
      <c r="K1113" s="490">
        <f>IF(G1113=0,0,IF(H1113=10,100%,G1113/W1112))</f>
        <v>0</v>
      </c>
      <c r="L1113" s="469">
        <f>IF(K1113=0%,0,IF(K1113&lt;=30%,2,IF(K1113&lt;=60%,5,10)))</f>
        <v>0</v>
      </c>
      <c r="M1113" s="683">
        <f>IF(OR(AND(ISBLANK(E1113),ISBLANK(G1113)),ISTEXT(E1113),ISTEXT(G1113)),"",IF(H1113+L1113&gt;$H$8,$H$8-H1113,L1113))</f>
        <v>0</v>
      </c>
      <c r="N1113" s="470">
        <f>IF(OR(AND(ISBLANK(F1113),ISBLANK(G1113)),ISTEXT(F1113),ISTEXT(G1113)),"",H1113+M1113)</f>
        <v>7</v>
      </c>
      <c r="O1113" s="468">
        <f>F1113+N1113-1</f>
        <v>2025</v>
      </c>
      <c r="P1113" s="616">
        <f>W1112</f>
        <v>1236898641.4609997</v>
      </c>
      <c r="Q1113" s="472">
        <f>P1113+G1113</f>
        <v>1236898641.4609997</v>
      </c>
      <c r="R1113" s="472">
        <f t="shared" si="840"/>
        <v>176699805.92300001</v>
      </c>
      <c r="S1113" s="1189">
        <f>F1113</f>
        <v>2019</v>
      </c>
      <c r="T1113" s="470">
        <f>S1113-S1112</f>
        <v>1</v>
      </c>
      <c r="U1113" s="612">
        <f>R1113*T1113</f>
        <v>176699805.92300001</v>
      </c>
      <c r="V1113" s="464">
        <f>F1113</f>
        <v>2019</v>
      </c>
      <c r="W1113" s="612">
        <f>IF(OR(AND(ISBLANK(E1113),ISBLANK(G1113)),ISTEXT(E1113),ISTEXT(G1113)),"",Q1113-U1113)</f>
        <v>1060198835.5379997</v>
      </c>
      <c r="X1113" s="473"/>
      <c r="Y1113" s="478"/>
      <c r="Z1113" s="449"/>
      <c r="AA1113" s="492"/>
      <c r="AB1113" s="476"/>
      <c r="AC1113" s="476"/>
      <c r="AD1113" s="567"/>
      <c r="AE1113" s="476"/>
      <c r="AF1113" s="568"/>
      <c r="AG1113" s="476"/>
      <c r="AH1113" s="476"/>
      <c r="AI1113" s="477"/>
      <c r="AJ1113" s="478"/>
      <c r="AK1113" s="479"/>
      <c r="AL1113" s="480"/>
      <c r="AM1113" s="474"/>
      <c r="AN1113" s="481"/>
      <c r="AO1113" s="474"/>
      <c r="AP1113" s="476"/>
      <c r="AQ1113" s="482"/>
      <c r="AR1113" s="478"/>
      <c r="AS1113" s="478"/>
      <c r="AT1113" s="476"/>
      <c r="AU1113" s="482"/>
      <c r="AV1113" s="478"/>
      <c r="AW1113" s="483"/>
      <c r="AX1113" s="476"/>
      <c r="AY1113" s="482"/>
      <c r="AZ1113" s="478"/>
      <c r="BA1113" s="484"/>
      <c r="BB1113" s="474"/>
      <c r="BC1113" s="485"/>
      <c r="BD1113" s="485"/>
      <c r="BG1113" s="487"/>
    </row>
    <row r="1114" spans="1:59" s="486" customFormat="1" ht="18" customHeight="1" x14ac:dyDescent="0.2">
      <c r="A1114" s="1368" t="str">
        <f>LEFT(D1114,8)</f>
        <v/>
      </c>
      <c r="B1114" s="687"/>
      <c r="C1114" s="463"/>
      <c r="D1114" s="489"/>
      <c r="E1114" s="465"/>
      <c r="F1114" s="466"/>
      <c r="G1114" s="620"/>
      <c r="H1114" s="464"/>
      <c r="I1114" s="467"/>
      <c r="J1114" s="468"/>
      <c r="K1114" s="574"/>
      <c r="L1114" s="469"/>
      <c r="M1114" s="683"/>
      <c r="N1114" s="470"/>
      <c r="O1114" s="468"/>
      <c r="P1114" s="616"/>
      <c r="Q1114" s="472"/>
      <c r="R1114" s="472"/>
      <c r="S1114" s="634"/>
      <c r="T1114" s="470"/>
      <c r="U1114" s="612"/>
      <c r="V1114" s="464"/>
      <c r="W1114" s="612"/>
      <c r="X1114" s="473"/>
      <c r="Y1114" s="478"/>
      <c r="Z1114" s="449"/>
      <c r="AA1114" s="531" t="s">
        <v>4183</v>
      </c>
      <c r="AB1114" s="496"/>
      <c r="AC1114" s="496"/>
      <c r="AD1114" s="569">
        <f>AD1112-W1116</f>
        <v>0</v>
      </c>
      <c r="AE1114" s="476"/>
      <c r="AF1114" s="568"/>
      <c r="AG1114" s="476"/>
      <c r="AH1114" s="476"/>
      <c r="AI1114" s="477"/>
      <c r="AJ1114" s="478"/>
      <c r="AK1114" s="479"/>
      <c r="AL1114" s="480"/>
      <c r="AM1114" s="474"/>
      <c r="AN1114" s="481"/>
      <c r="AO1114" s="474"/>
      <c r="AP1114" s="476"/>
      <c r="AQ1114" s="482"/>
      <c r="AR1114" s="478"/>
      <c r="AS1114" s="478"/>
      <c r="AT1114" s="476"/>
      <c r="AU1114" s="482"/>
      <c r="AV1114" s="478"/>
      <c r="AW1114" s="483"/>
      <c r="AX1114" s="476"/>
      <c r="AY1114" s="482"/>
      <c r="AZ1114" s="478"/>
      <c r="BA1114" s="484"/>
      <c r="BB1114" s="474"/>
      <c r="BC1114" s="485"/>
      <c r="BD1114" s="485"/>
      <c r="BG1114" s="487"/>
    </row>
    <row r="1115" spans="1:59" s="486" customFormat="1" ht="18" customHeight="1" x14ac:dyDescent="0.2">
      <c r="A1115" s="1368" t="str">
        <f>LEFT(D1115,8)</f>
        <v/>
      </c>
      <c r="B1115" s="687"/>
      <c r="C1115" s="463"/>
      <c r="D1115" s="489"/>
      <c r="E1115" s="465"/>
      <c r="F1115" s="466"/>
      <c r="G1115" s="620"/>
      <c r="H1115" s="464"/>
      <c r="I1115" s="467"/>
      <c r="J1115" s="468"/>
      <c r="K1115" s="574"/>
      <c r="L1115" s="469"/>
      <c r="M1115" s="683"/>
      <c r="N1115" s="470"/>
      <c r="O1115" s="468"/>
      <c r="P1115" s="616"/>
      <c r="Q1115" s="472"/>
      <c r="R1115" s="472"/>
      <c r="S1115" s="634"/>
      <c r="T1115" s="470"/>
      <c r="U1115" s="612"/>
      <c r="V1115" s="464"/>
      <c r="W1115" s="612"/>
      <c r="X1115" s="473"/>
      <c r="Y1115" s="478"/>
      <c r="Z1115" s="449"/>
      <c r="AA1115" s="573"/>
      <c r="AB1115" s="476"/>
      <c r="AC1115" s="476"/>
      <c r="AD1115" s="568"/>
      <c r="AE1115" s="476"/>
      <c r="AF1115" s="568"/>
      <c r="AG1115" s="476"/>
      <c r="AH1115" s="476"/>
      <c r="AI1115" s="477"/>
      <c r="AJ1115" s="478"/>
      <c r="AK1115" s="479"/>
      <c r="AL1115" s="480"/>
      <c r="AM1115" s="474"/>
      <c r="AN1115" s="481"/>
      <c r="AO1115" s="474"/>
      <c r="AP1115" s="476"/>
      <c r="AQ1115" s="482"/>
      <c r="AR1115" s="478"/>
      <c r="AS1115" s="478"/>
      <c r="AT1115" s="476"/>
      <c r="AU1115" s="482"/>
      <c r="AV1115" s="478"/>
      <c r="AW1115" s="483"/>
      <c r="AX1115" s="476"/>
      <c r="AY1115" s="482"/>
      <c r="AZ1115" s="478"/>
      <c r="BA1115" s="484"/>
      <c r="BB1115" s="474"/>
      <c r="BC1115" s="485"/>
      <c r="BD1115" s="485"/>
      <c r="BG1115" s="487"/>
    </row>
    <row r="1116" spans="1:59" s="526" customFormat="1" ht="18" customHeight="1" x14ac:dyDescent="0.2">
      <c r="A1116" s="1370" t="s">
        <v>4184</v>
      </c>
      <c r="B1116" s="1956" t="s">
        <v>4184</v>
      </c>
      <c r="C1116" s="1957"/>
      <c r="D1116" s="1957"/>
      <c r="E1116" s="1957"/>
      <c r="F1116" s="1958"/>
      <c r="G1116" s="624">
        <f>SUM(G1105:G1115)</f>
        <v>2882570319.23</v>
      </c>
      <c r="H1116" s="505"/>
      <c r="I1116" s="506"/>
      <c r="J1116" s="507"/>
      <c r="K1116" s="507"/>
      <c r="L1116" s="505"/>
      <c r="M1116" s="684"/>
      <c r="N1116" s="508"/>
      <c r="O1116" s="507"/>
      <c r="P1116" s="749"/>
      <c r="Q1116" s="510"/>
      <c r="R1116" s="511"/>
      <c r="S1116" s="512"/>
      <c r="T1116" s="512"/>
      <c r="U1116" s="610">
        <f>SUM(U1105:U1115)</f>
        <v>1822371483.6920004</v>
      </c>
      <c r="V1116" s="513"/>
      <c r="W1116" s="610">
        <f>G1116-U1116</f>
        <v>1060198835.5379996</v>
      </c>
      <c r="X1116" s="514"/>
      <c r="Y1116" s="515"/>
      <c r="Z1116" s="515"/>
      <c r="AA1116" s="515"/>
      <c r="AB1116" s="515"/>
      <c r="AC1116" s="515"/>
      <c r="AD1116" s="570"/>
      <c r="AE1116" s="515"/>
      <c r="AF1116" s="570"/>
      <c r="AG1116" s="515"/>
      <c r="AH1116" s="515"/>
      <c r="AI1116" s="516"/>
      <c r="AJ1116" s="517"/>
      <c r="AK1116" s="518"/>
      <c r="AL1116" s="519"/>
      <c r="AM1116" s="520"/>
      <c r="AN1116" s="521"/>
      <c r="AO1116" s="520"/>
      <c r="AP1116" s="515"/>
      <c r="AQ1116" s="522"/>
      <c r="AR1116" s="517"/>
      <c r="AS1116" s="517"/>
      <c r="AT1116" s="515"/>
      <c r="AU1116" s="522"/>
      <c r="AV1116" s="517"/>
      <c r="AW1116" s="523"/>
      <c r="AX1116" s="515"/>
      <c r="AY1116" s="522"/>
      <c r="AZ1116" s="517"/>
      <c r="BA1116" s="524"/>
      <c r="BB1116" s="520"/>
      <c r="BC1116" s="525"/>
      <c r="BD1116" s="525"/>
      <c r="BG1116" s="527"/>
    </row>
    <row r="1119" spans="1:59" s="422" customFormat="1" ht="18" customHeight="1" x14ac:dyDescent="0.2">
      <c r="A1119" s="1366">
        <f>C1119</f>
        <v>181</v>
      </c>
      <c r="B1119" s="742" t="s">
        <v>4187</v>
      </c>
      <c r="C1119" s="556">
        <v>181</v>
      </c>
      <c r="D1119" s="553" t="str">
        <f>VLOOKUP(C1119,RUAS,2,FALSE)</f>
        <v>SIMP. RAMBAHAN - RAMBAHAN</v>
      </c>
      <c r="E1119" s="553"/>
      <c r="F1119" s="421"/>
      <c r="G1119" s="611"/>
      <c r="I1119" s="423"/>
      <c r="J1119" s="424"/>
      <c r="K1119" s="424"/>
      <c r="M1119" s="680"/>
      <c r="P1119" s="611"/>
      <c r="U1119" s="611"/>
      <c r="W1119" s="611"/>
      <c r="Y1119" s="425"/>
      <c r="Z1119" s="425"/>
      <c r="AA1119" s="425"/>
      <c r="AB1119" s="425"/>
      <c r="AC1119" s="425"/>
      <c r="AD1119" s="563"/>
      <c r="AE1119" s="425"/>
      <c r="AF1119" s="563"/>
      <c r="AG1119" s="425"/>
      <c r="AH1119" s="425"/>
      <c r="AI1119" s="425"/>
      <c r="AJ1119" s="425"/>
      <c r="AK1119" s="425"/>
      <c r="AL1119" s="425"/>
      <c r="AM1119" s="425"/>
      <c r="AN1119" s="425"/>
      <c r="AO1119" s="425"/>
      <c r="AP1119" s="425"/>
      <c r="AQ1119" s="425"/>
      <c r="AR1119" s="425"/>
      <c r="AS1119" s="425"/>
      <c r="AT1119" s="425"/>
      <c r="AU1119" s="425"/>
      <c r="AV1119" s="425"/>
      <c r="AW1119" s="425"/>
      <c r="AX1119" s="425"/>
      <c r="AY1119" s="425"/>
      <c r="AZ1119" s="425"/>
      <c r="BA1119" s="425"/>
      <c r="BB1119" s="425"/>
    </row>
    <row r="1120" spans="1:59" s="431" customFormat="1" ht="18" customHeight="1" x14ac:dyDescent="0.2">
      <c r="A1120" s="1367"/>
      <c r="B1120" s="1968" t="s">
        <v>5</v>
      </c>
      <c r="C1120" s="1968" t="s">
        <v>2280</v>
      </c>
      <c r="D1120" s="1968" t="s">
        <v>4157</v>
      </c>
      <c r="E1120" s="1968" t="s">
        <v>4158</v>
      </c>
      <c r="F1120" s="1968"/>
      <c r="G1120" s="2042" t="s">
        <v>4159</v>
      </c>
      <c r="H1120" s="1968" t="s">
        <v>4160</v>
      </c>
      <c r="I1120" s="1968"/>
      <c r="J1120" s="1968" t="s">
        <v>4185</v>
      </c>
      <c r="K1120" s="1964" t="s">
        <v>4162</v>
      </c>
      <c r="L1120" s="1968" t="s">
        <v>4163</v>
      </c>
      <c r="M1120" s="1971" t="s">
        <v>4164</v>
      </c>
      <c r="N1120" s="1962" t="s">
        <v>4165</v>
      </c>
      <c r="O1120" s="1968" t="s">
        <v>4166</v>
      </c>
      <c r="P1120" s="1972" t="s">
        <v>4167</v>
      </c>
      <c r="Q1120" s="1973"/>
      <c r="R1120" s="636" t="s">
        <v>4186</v>
      </c>
      <c r="S1120" s="1972" t="s">
        <v>4169</v>
      </c>
      <c r="T1120" s="1974"/>
      <c r="U1120" s="1973"/>
      <c r="V1120" s="1975" t="s">
        <v>4170</v>
      </c>
      <c r="W1120" s="1975"/>
      <c r="X1120" s="1960" t="s">
        <v>4171</v>
      </c>
      <c r="Y1120" s="1959"/>
      <c r="Z1120" s="633"/>
      <c r="AA1120" s="426"/>
      <c r="AB1120" s="426"/>
      <c r="AC1120" s="426"/>
      <c r="AD1120" s="564"/>
      <c r="AE1120" s="426"/>
      <c r="AF1120" s="564"/>
      <c r="AG1120" s="426"/>
      <c r="AH1120" s="426"/>
      <c r="AI1120" s="427"/>
      <c r="AJ1120" s="427"/>
      <c r="AK1120" s="427"/>
      <c r="AL1120" s="427"/>
      <c r="AM1120" s="428"/>
      <c r="AN1120" s="427"/>
      <c r="AO1120" s="427"/>
      <c r="AP1120" s="426"/>
      <c r="AQ1120" s="427"/>
      <c r="AR1120" s="427"/>
      <c r="AS1120" s="427"/>
      <c r="AT1120" s="426"/>
      <c r="AU1120" s="427"/>
      <c r="AV1120" s="427"/>
      <c r="AW1120" s="427"/>
      <c r="AX1120" s="426"/>
      <c r="AY1120" s="427"/>
      <c r="AZ1120" s="427"/>
      <c r="BA1120" s="427"/>
      <c r="BB1120" s="429"/>
      <c r="BC1120" s="430"/>
      <c r="BD1120" s="430"/>
    </row>
    <row r="1121" spans="1:59" s="431" customFormat="1" ht="18" customHeight="1" x14ac:dyDescent="0.2">
      <c r="A1121" s="1367"/>
      <c r="B1121" s="1968"/>
      <c r="C1121" s="1968"/>
      <c r="D1121" s="1968"/>
      <c r="E1121" s="1968"/>
      <c r="F1121" s="1968"/>
      <c r="G1121" s="2042"/>
      <c r="H1121" s="1968"/>
      <c r="I1121" s="1968"/>
      <c r="J1121" s="1968"/>
      <c r="K1121" s="1970"/>
      <c r="L1121" s="1968"/>
      <c r="M1121" s="1971"/>
      <c r="N1121" s="1963"/>
      <c r="O1121" s="1968"/>
      <c r="P1121" s="2037" t="s">
        <v>4172</v>
      </c>
      <c r="Q1121" s="1960" t="s">
        <v>4173</v>
      </c>
      <c r="R1121" s="1962" t="s">
        <v>4159</v>
      </c>
      <c r="S1121" s="1962" t="s">
        <v>4174</v>
      </c>
      <c r="T1121" s="1964" t="s">
        <v>4175</v>
      </c>
      <c r="U1121" s="1966" t="s">
        <v>4159</v>
      </c>
      <c r="V1121" s="1975"/>
      <c r="W1121" s="1975"/>
      <c r="X1121" s="1976"/>
      <c r="Y1121" s="1959"/>
      <c r="Z1121" s="633"/>
      <c r="AA1121" s="426"/>
      <c r="AB1121" s="426"/>
      <c r="AC1121" s="426"/>
      <c r="AD1121" s="564"/>
      <c r="AE1121" s="426"/>
      <c r="AF1121" s="564"/>
      <c r="AG1121" s="426"/>
      <c r="AH1121" s="426"/>
      <c r="AI1121" s="427"/>
      <c r="AJ1121" s="427"/>
      <c r="AK1121" s="426"/>
      <c r="AL1121" s="427"/>
      <c r="AM1121" s="428"/>
      <c r="AN1121" s="427"/>
      <c r="AO1121" s="427"/>
      <c r="AP1121" s="432"/>
      <c r="AQ1121" s="427"/>
      <c r="AR1121" s="427"/>
      <c r="AS1121" s="427"/>
      <c r="AT1121" s="432"/>
      <c r="AU1121" s="427"/>
      <c r="AV1121" s="427"/>
      <c r="AW1121" s="427"/>
      <c r="AX1121" s="432"/>
      <c r="AY1121" s="427"/>
      <c r="AZ1121" s="427"/>
      <c r="BA1121" s="427"/>
      <c r="BB1121" s="429"/>
      <c r="BC1121" s="430"/>
      <c r="BD1121" s="430"/>
    </row>
    <row r="1122" spans="1:59" s="431" customFormat="1" ht="18" customHeight="1" x14ac:dyDescent="0.2">
      <c r="A1122" s="1367"/>
      <c r="B1122" s="1968"/>
      <c r="C1122" s="1968"/>
      <c r="D1122" s="1968"/>
      <c r="E1122" s="433" t="s">
        <v>4176</v>
      </c>
      <c r="F1122" s="434" t="s">
        <v>2288</v>
      </c>
      <c r="G1122" s="2042"/>
      <c r="H1122" s="635" t="s">
        <v>2288</v>
      </c>
      <c r="I1122" s="635" t="s">
        <v>4177</v>
      </c>
      <c r="J1122" s="1968"/>
      <c r="K1122" s="1965"/>
      <c r="L1122" s="435" t="s">
        <v>2288</v>
      </c>
      <c r="M1122" s="681" t="s">
        <v>2288</v>
      </c>
      <c r="N1122" s="635" t="s">
        <v>2288</v>
      </c>
      <c r="O1122" s="1968"/>
      <c r="P1122" s="2038"/>
      <c r="Q1122" s="1961"/>
      <c r="R1122" s="1963"/>
      <c r="S1122" s="1963"/>
      <c r="T1122" s="1965"/>
      <c r="U1122" s="1967"/>
      <c r="V1122" s="635" t="s">
        <v>4178</v>
      </c>
      <c r="W1122" s="637" t="s">
        <v>4159</v>
      </c>
      <c r="X1122" s="1961"/>
      <c r="Y1122" s="436"/>
      <c r="Z1122" s="436"/>
      <c r="AA1122" s="426"/>
      <c r="AB1122" s="426"/>
      <c r="AC1122" s="426"/>
      <c r="AD1122" s="564"/>
      <c r="AE1122" s="426"/>
      <c r="AF1122" s="564"/>
      <c r="AG1122" s="426"/>
      <c r="AH1122" s="426"/>
      <c r="AI1122" s="427"/>
      <c r="AJ1122" s="432"/>
      <c r="AK1122" s="432"/>
      <c r="AL1122" s="427"/>
      <c r="AM1122" s="428"/>
      <c r="AN1122" s="432"/>
      <c r="AO1122" s="427"/>
      <c r="AP1122" s="432"/>
      <c r="AQ1122" s="432"/>
      <c r="AR1122" s="427"/>
      <c r="AS1122" s="427"/>
      <c r="AT1122" s="432"/>
      <c r="AU1122" s="432"/>
      <c r="AV1122" s="427"/>
      <c r="AW1122" s="427"/>
      <c r="AX1122" s="432"/>
      <c r="AY1122" s="432"/>
      <c r="AZ1122" s="427"/>
      <c r="BA1122" s="427"/>
      <c r="BB1122" s="429"/>
      <c r="BC1122" s="430"/>
      <c r="BD1122" s="430"/>
    </row>
    <row r="1123" spans="1:59" s="461" customFormat="1" ht="18" customHeight="1" x14ac:dyDescent="0.2">
      <c r="A1123" s="1368" t="str">
        <f>$D$1119&amp;S1123</f>
        <v>SIMP. RAMBAHAN - RAMBAHAN2001</v>
      </c>
      <c r="B1123" s="1373">
        <v>1</v>
      </c>
      <c r="C1123" s="532" t="s">
        <v>529</v>
      </c>
      <c r="D1123" s="437" t="s">
        <v>3821</v>
      </c>
      <c r="E1123" s="438"/>
      <c r="F1123" s="439">
        <v>2001</v>
      </c>
      <c r="G1123" s="623">
        <f>765000000+261000000</f>
        <v>1026000000</v>
      </c>
      <c r="H1123" s="440">
        <f>VLOOKUP(LEFT(D1123,8),UE,4)</f>
        <v>10</v>
      </c>
      <c r="I1123" s="441"/>
      <c r="J1123" s="442">
        <f>F1123+N1123-1</f>
        <v>2010</v>
      </c>
      <c r="K1123" s="443"/>
      <c r="L1123" s="440"/>
      <c r="M1123" s="746">
        <f>IF(H1123+L1123&gt;$H1123,$H1123-H1123,L1123)</f>
        <v>0</v>
      </c>
      <c r="N1123" s="444">
        <f>H1123+M1123</f>
        <v>10</v>
      </c>
      <c r="O1123" s="442">
        <f>F1123+N1123-1</f>
        <v>2010</v>
      </c>
      <c r="P1123" s="617">
        <f>G1123</f>
        <v>1026000000</v>
      </c>
      <c r="Q1123" s="445">
        <v>0</v>
      </c>
      <c r="R1123" s="445">
        <f>P1123/N1123</f>
        <v>102600000</v>
      </c>
      <c r="S1123" s="446">
        <f>F1123</f>
        <v>2001</v>
      </c>
      <c r="T1123" s="447">
        <v>1</v>
      </c>
      <c r="U1123" s="613">
        <f>R1123*T1123</f>
        <v>102600000</v>
      </c>
      <c r="V1123" s="442">
        <f>F1123</f>
        <v>2001</v>
      </c>
      <c r="W1123" s="617">
        <f>IF(OR(AND(ISBLANK(E1123),ISBLANK(G1123)),ISTEXT(E1123),ISTEXT(G1123)),"",G1123-R1123)</f>
        <v>923400000</v>
      </c>
      <c r="X1123" s="448"/>
      <c r="Y1123" s="449"/>
      <c r="Z1123" s="449"/>
      <c r="AA1123" s="450" t="s">
        <v>4179</v>
      </c>
      <c r="AB1123" s="451"/>
      <c r="AC1123" s="451"/>
      <c r="AD1123" s="565"/>
      <c r="AE1123" s="452"/>
      <c r="AF1123" s="571"/>
      <c r="AG1123" s="452"/>
      <c r="AH1123" s="452"/>
      <c r="AI1123" s="453"/>
      <c r="AJ1123" s="449"/>
      <c r="AK1123" s="453"/>
      <c r="AL1123" s="454"/>
      <c r="AM1123" s="455"/>
      <c r="AN1123" s="456"/>
      <c r="AO1123" s="455"/>
      <c r="AP1123" s="452"/>
      <c r="AQ1123" s="457"/>
      <c r="AR1123" s="449"/>
      <c r="AS1123" s="449"/>
      <c r="AT1123" s="452"/>
      <c r="AU1123" s="457"/>
      <c r="AV1123" s="449"/>
      <c r="AW1123" s="458"/>
      <c r="AX1123" s="452"/>
      <c r="AY1123" s="457"/>
      <c r="AZ1123" s="449"/>
      <c r="BA1123" s="459"/>
      <c r="BB1123" s="455"/>
      <c r="BC1123" s="460"/>
      <c r="BD1123" s="460"/>
      <c r="BG1123" s="462"/>
    </row>
    <row r="1124" spans="1:59" s="461" customFormat="1" ht="18" customHeight="1" x14ac:dyDescent="0.2">
      <c r="A1124" s="1368" t="str">
        <f t="shared" ref="A1124:A1130" si="841">$D$1119&amp;S1124</f>
        <v>SIMP. RAMBAHAN - RAMBAHAN2009</v>
      </c>
      <c r="B1124" s="1373"/>
      <c r="C1124" s="488"/>
      <c r="D1124" s="489"/>
      <c r="E1124" s="558"/>
      <c r="F1124" s="559">
        <v>2009</v>
      </c>
      <c r="G1124" s="619">
        <v>0</v>
      </c>
      <c r="H1124" s="464">
        <f>IF(N1123-(F1124-F1123)&lt;=0,0,(N1123-(F1124-F1123)))</f>
        <v>2</v>
      </c>
      <c r="I1124" s="560"/>
      <c r="J1124" s="468">
        <f>F1124+N1124-1</f>
        <v>2010</v>
      </c>
      <c r="K1124" s="490">
        <f>IF(G1124=0,0,IF(H1124=10,100%,G1124/W1123))</f>
        <v>0</v>
      </c>
      <c r="L1124" s="469">
        <f>IF(K1124=0%,0,IF(K1124&lt;=30%,2,IF(K1124&lt;=60%,5,10)))</f>
        <v>0</v>
      </c>
      <c r="M1124" s="683">
        <f>IF(OR(AND(ISBLANK(E1124),ISBLANK(G1124)),ISTEXT(E1124),ISTEXT(G1124)),"",IF(H1124+L1124&gt;$H$1123,$H$1123-H1124,L1124))</f>
        <v>0</v>
      </c>
      <c r="N1124" s="470">
        <f>IF(OR(AND(ISBLANK(F1124),ISBLANK(G1124)),ISTEXT(F1124),ISTEXT(G1124)),"",H1124+M1124)</f>
        <v>2</v>
      </c>
      <c r="O1124" s="468">
        <f>F1124+N1124-1</f>
        <v>2010</v>
      </c>
      <c r="P1124" s="616">
        <f>W1123</f>
        <v>923400000</v>
      </c>
      <c r="Q1124" s="472">
        <f>P1124+G1124</f>
        <v>923400000</v>
      </c>
      <c r="R1124" s="472">
        <f>IF(L1124=0,R1123,Q1124/N1124)</f>
        <v>102600000</v>
      </c>
      <c r="S1124" s="634">
        <f>F1124</f>
        <v>2009</v>
      </c>
      <c r="T1124" s="470">
        <f>S1124-S1123</f>
        <v>8</v>
      </c>
      <c r="U1124" s="612">
        <f>R1124*T1124</f>
        <v>820800000</v>
      </c>
      <c r="V1124" s="464">
        <f>F1124</f>
        <v>2009</v>
      </c>
      <c r="W1124" s="612">
        <f>IF(OR(AND(ISBLANK(E1124),ISBLANK(G1124)),ISTEXT(E1124),ISTEXT(G1124)),"",Q1124-U1124)</f>
        <v>102600000</v>
      </c>
      <c r="X1124" s="561"/>
      <c r="Y1124" s="449"/>
      <c r="Z1124" s="449"/>
      <c r="AA1124" s="554"/>
      <c r="AB1124" s="452"/>
      <c r="AC1124" s="452"/>
      <c r="AD1124" s="566"/>
      <c r="AE1124" s="452"/>
      <c r="AF1124" s="571"/>
      <c r="AG1124" s="452"/>
      <c r="AH1124" s="452"/>
      <c r="AI1124" s="453"/>
      <c r="AJ1124" s="449"/>
      <c r="AK1124" s="453"/>
      <c r="AL1124" s="454"/>
      <c r="AM1124" s="455"/>
      <c r="AN1124" s="456"/>
      <c r="AO1124" s="455"/>
      <c r="AP1124" s="452"/>
      <c r="AQ1124" s="457"/>
      <c r="AR1124" s="449"/>
      <c r="AS1124" s="449"/>
      <c r="AT1124" s="452"/>
      <c r="AU1124" s="457"/>
      <c r="AV1124" s="449"/>
      <c r="AW1124" s="458"/>
      <c r="AX1124" s="452"/>
      <c r="AY1124" s="457"/>
      <c r="AZ1124" s="449"/>
      <c r="BA1124" s="459"/>
      <c r="BB1124" s="455"/>
      <c r="BC1124" s="460"/>
      <c r="BD1124" s="460"/>
      <c r="BG1124" s="462"/>
    </row>
    <row r="1125" spans="1:59" s="461" customFormat="1" ht="18" customHeight="1" x14ac:dyDescent="0.2">
      <c r="A1125" s="1368" t="str">
        <f t="shared" si="841"/>
        <v>SIMP. RAMBAHAN - RAMBAHAN2010</v>
      </c>
      <c r="B1125" s="1373"/>
      <c r="C1125" s="488"/>
      <c r="D1125" s="489"/>
      <c r="E1125" s="558"/>
      <c r="F1125" s="559">
        <v>2010</v>
      </c>
      <c r="G1125" s="619">
        <v>0</v>
      </c>
      <c r="H1125" s="464">
        <f t="shared" ref="H1125:H1134" si="842">IF(N1124-(F1125-F1124)&lt;=0,0,(N1124-(F1125-F1124)))</f>
        <v>1</v>
      </c>
      <c r="I1125" s="560"/>
      <c r="J1125" s="468">
        <f t="shared" ref="J1125:J1134" si="843">F1125+N1125-1</f>
        <v>2010</v>
      </c>
      <c r="K1125" s="490">
        <f t="shared" ref="K1125:K1134" si="844">IF(G1125=0,0,IF(H1125=10,100%,G1125/W1124))</f>
        <v>0</v>
      </c>
      <c r="L1125" s="469">
        <f t="shared" ref="L1125:L1134" si="845">IF(K1125=0%,0,IF(K1125&lt;=30%,2,IF(K1125&lt;=60%,5,10)))</f>
        <v>0</v>
      </c>
      <c r="M1125" s="683">
        <f t="shared" ref="M1125:M1134" si="846">IF(OR(AND(ISBLANK(E1125),ISBLANK(G1125)),ISTEXT(E1125),ISTEXT(G1125)),"",IF(H1125+L1125&gt;$H$1123,$H$1123-H1125,L1125))</f>
        <v>0</v>
      </c>
      <c r="N1125" s="470">
        <f t="shared" ref="N1125:N1134" si="847">IF(OR(AND(ISBLANK(F1125),ISBLANK(G1125)),ISTEXT(F1125),ISTEXT(G1125)),"",H1125+M1125)</f>
        <v>1</v>
      </c>
      <c r="O1125" s="468">
        <f t="shared" ref="O1125:O1134" si="848">F1125+N1125-1</f>
        <v>2010</v>
      </c>
      <c r="P1125" s="616">
        <f t="shared" ref="P1125:P1134" si="849">W1124</f>
        <v>102600000</v>
      </c>
      <c r="Q1125" s="472">
        <f t="shared" ref="Q1125:Q1134" si="850">P1125+G1125</f>
        <v>102600000</v>
      </c>
      <c r="R1125" s="472">
        <f t="shared" ref="R1125:R1134" si="851">IF(L1125=0,R1124,Q1125/N1125)</f>
        <v>102600000</v>
      </c>
      <c r="S1125" s="1189">
        <f t="shared" ref="S1125:S1134" si="852">F1125</f>
        <v>2010</v>
      </c>
      <c r="T1125" s="470">
        <f t="shared" ref="T1125:T1135" si="853">S1125-S1124</f>
        <v>1</v>
      </c>
      <c r="U1125" s="612">
        <f t="shared" ref="U1125:U1134" si="854">R1125*T1125</f>
        <v>102600000</v>
      </c>
      <c r="V1125" s="464">
        <f t="shared" ref="V1125:V1134" si="855">F1125</f>
        <v>2010</v>
      </c>
      <c r="W1125" s="612">
        <f t="shared" ref="W1125:W1134" si="856">IF(OR(AND(ISBLANK(E1125),ISBLANK(G1125)),ISTEXT(E1125),ISTEXT(G1125)),"",Q1125-U1125)</f>
        <v>0</v>
      </c>
      <c r="X1125" s="561"/>
      <c r="Y1125" s="449"/>
      <c r="Z1125" s="449"/>
      <c r="AA1125" s="554"/>
      <c r="AB1125" s="452"/>
      <c r="AC1125" s="452"/>
      <c r="AD1125" s="566"/>
      <c r="AE1125" s="452"/>
      <c r="AF1125" s="571"/>
      <c r="AG1125" s="452"/>
      <c r="AH1125" s="452"/>
      <c r="AI1125" s="453"/>
      <c r="AJ1125" s="449"/>
      <c r="AK1125" s="453"/>
      <c r="AL1125" s="454"/>
      <c r="AM1125" s="455"/>
      <c r="AN1125" s="456"/>
      <c r="AO1125" s="455"/>
      <c r="AP1125" s="452"/>
      <c r="AQ1125" s="457"/>
      <c r="AR1125" s="449"/>
      <c r="AS1125" s="449"/>
      <c r="AT1125" s="452"/>
      <c r="AU1125" s="457"/>
      <c r="AV1125" s="449"/>
      <c r="AW1125" s="458"/>
      <c r="AX1125" s="452"/>
      <c r="AY1125" s="457"/>
      <c r="AZ1125" s="449"/>
      <c r="BA1125" s="459"/>
      <c r="BB1125" s="455"/>
      <c r="BC1125" s="460"/>
      <c r="BD1125" s="460"/>
      <c r="BG1125" s="462"/>
    </row>
    <row r="1126" spans="1:59" s="461" customFormat="1" ht="18" customHeight="1" x14ac:dyDescent="0.2">
      <c r="A1126" s="1368" t="str">
        <f t="shared" si="841"/>
        <v>SIMP. RAMBAHAN - RAMBAHAN2011</v>
      </c>
      <c r="B1126" s="1373"/>
      <c r="C1126" s="488"/>
      <c r="D1126" s="489"/>
      <c r="E1126" s="558"/>
      <c r="F1126" s="559">
        <v>2011</v>
      </c>
      <c r="G1126" s="619">
        <v>0</v>
      </c>
      <c r="H1126" s="464">
        <f t="shared" si="842"/>
        <v>0</v>
      </c>
      <c r="I1126" s="560"/>
      <c r="J1126" s="468">
        <f t="shared" si="843"/>
        <v>2010</v>
      </c>
      <c r="K1126" s="490">
        <f t="shared" si="844"/>
        <v>0</v>
      </c>
      <c r="L1126" s="469">
        <f t="shared" si="845"/>
        <v>0</v>
      </c>
      <c r="M1126" s="683">
        <f t="shared" si="846"/>
        <v>0</v>
      </c>
      <c r="N1126" s="470">
        <f t="shared" si="847"/>
        <v>0</v>
      </c>
      <c r="O1126" s="468">
        <f t="shared" si="848"/>
        <v>2010</v>
      </c>
      <c r="P1126" s="616">
        <f t="shared" si="849"/>
        <v>0</v>
      </c>
      <c r="Q1126" s="472">
        <f t="shared" si="850"/>
        <v>0</v>
      </c>
      <c r="R1126" s="472">
        <v>0</v>
      </c>
      <c r="S1126" s="1189">
        <f t="shared" si="852"/>
        <v>2011</v>
      </c>
      <c r="T1126" s="470">
        <f t="shared" si="853"/>
        <v>1</v>
      </c>
      <c r="U1126" s="612">
        <f t="shared" si="854"/>
        <v>0</v>
      </c>
      <c r="V1126" s="464">
        <f t="shared" si="855"/>
        <v>2011</v>
      </c>
      <c r="W1126" s="612">
        <f t="shared" si="856"/>
        <v>0</v>
      </c>
      <c r="X1126" s="561"/>
      <c r="Y1126" s="449"/>
      <c r="Z1126" s="449"/>
      <c r="AA1126" s="554"/>
      <c r="AB1126" s="452"/>
      <c r="AC1126" s="452"/>
      <c r="AD1126" s="566"/>
      <c r="AE1126" s="452"/>
      <c r="AF1126" s="571"/>
      <c r="AG1126" s="452"/>
      <c r="AH1126" s="452"/>
      <c r="AI1126" s="453"/>
      <c r="AJ1126" s="449"/>
      <c r="AK1126" s="453"/>
      <c r="AL1126" s="454"/>
      <c r="AM1126" s="455"/>
      <c r="AN1126" s="456"/>
      <c r="AO1126" s="455"/>
      <c r="AP1126" s="452"/>
      <c r="AQ1126" s="457"/>
      <c r="AR1126" s="449"/>
      <c r="AS1126" s="449"/>
      <c r="AT1126" s="452"/>
      <c r="AU1126" s="457"/>
      <c r="AV1126" s="449"/>
      <c r="AW1126" s="458"/>
      <c r="AX1126" s="452"/>
      <c r="AY1126" s="457"/>
      <c r="AZ1126" s="449"/>
      <c r="BA1126" s="459"/>
      <c r="BB1126" s="455"/>
      <c r="BC1126" s="460"/>
      <c r="BD1126" s="460"/>
      <c r="BG1126" s="462"/>
    </row>
    <row r="1127" spans="1:59" s="461" customFormat="1" ht="18" customHeight="1" x14ac:dyDescent="0.2">
      <c r="A1127" s="1368" t="str">
        <f t="shared" si="841"/>
        <v>SIMP. RAMBAHAN - RAMBAHAN2012</v>
      </c>
      <c r="B1127" s="1373"/>
      <c r="C1127" s="488"/>
      <c r="D1127" s="489"/>
      <c r="E1127" s="558"/>
      <c r="F1127" s="559">
        <v>2012</v>
      </c>
      <c r="G1127" s="619">
        <v>0</v>
      </c>
      <c r="H1127" s="464">
        <f t="shared" si="842"/>
        <v>0</v>
      </c>
      <c r="I1127" s="560"/>
      <c r="J1127" s="468">
        <f t="shared" si="843"/>
        <v>2011</v>
      </c>
      <c r="K1127" s="490">
        <f t="shared" si="844"/>
        <v>0</v>
      </c>
      <c r="L1127" s="469">
        <f t="shared" si="845"/>
        <v>0</v>
      </c>
      <c r="M1127" s="683">
        <f t="shared" si="846"/>
        <v>0</v>
      </c>
      <c r="N1127" s="470">
        <f t="shared" si="847"/>
        <v>0</v>
      </c>
      <c r="O1127" s="468">
        <f t="shared" si="848"/>
        <v>2011</v>
      </c>
      <c r="P1127" s="616">
        <f t="shared" si="849"/>
        <v>0</v>
      </c>
      <c r="Q1127" s="472">
        <f t="shared" si="850"/>
        <v>0</v>
      </c>
      <c r="R1127" s="472">
        <f t="shared" si="851"/>
        <v>0</v>
      </c>
      <c r="S1127" s="1189">
        <f t="shared" si="852"/>
        <v>2012</v>
      </c>
      <c r="T1127" s="470">
        <f t="shared" si="853"/>
        <v>1</v>
      </c>
      <c r="U1127" s="612">
        <f t="shared" si="854"/>
        <v>0</v>
      </c>
      <c r="V1127" s="464">
        <f t="shared" si="855"/>
        <v>2012</v>
      </c>
      <c r="W1127" s="612">
        <f t="shared" si="856"/>
        <v>0</v>
      </c>
      <c r="X1127" s="561"/>
      <c r="Y1127" s="449"/>
      <c r="Z1127" s="449"/>
      <c r="AA1127" s="554"/>
      <c r="AB1127" s="452"/>
      <c r="AC1127" s="452"/>
      <c r="AD1127" s="566"/>
      <c r="AE1127" s="452"/>
      <c r="AF1127" s="571"/>
      <c r="AG1127" s="452"/>
      <c r="AH1127" s="452"/>
      <c r="AI1127" s="453"/>
      <c r="AJ1127" s="449"/>
      <c r="AK1127" s="453"/>
      <c r="AL1127" s="454"/>
      <c r="AM1127" s="455"/>
      <c r="AN1127" s="456"/>
      <c r="AO1127" s="455"/>
      <c r="AP1127" s="452"/>
      <c r="AQ1127" s="457"/>
      <c r="AR1127" s="449"/>
      <c r="AS1127" s="449"/>
      <c r="AT1127" s="452"/>
      <c r="AU1127" s="457"/>
      <c r="AV1127" s="449"/>
      <c r="AW1127" s="458"/>
      <c r="AX1127" s="452"/>
      <c r="AY1127" s="457"/>
      <c r="AZ1127" s="449"/>
      <c r="BA1127" s="459"/>
      <c r="BB1127" s="455"/>
      <c r="BC1127" s="460"/>
      <c r="BD1127" s="460"/>
      <c r="BG1127" s="462"/>
    </row>
    <row r="1128" spans="1:59" s="461" customFormat="1" ht="18" customHeight="1" x14ac:dyDescent="0.2">
      <c r="A1128" s="1368" t="str">
        <f t="shared" si="841"/>
        <v>SIMP. RAMBAHAN - RAMBAHAN2013</v>
      </c>
      <c r="B1128" s="1373"/>
      <c r="C1128" s="488"/>
      <c r="D1128" s="489"/>
      <c r="E1128" s="558"/>
      <c r="F1128" s="559">
        <v>2013</v>
      </c>
      <c r="G1128" s="619">
        <v>0</v>
      </c>
      <c r="H1128" s="464">
        <f t="shared" si="842"/>
        <v>0</v>
      </c>
      <c r="I1128" s="560"/>
      <c r="J1128" s="468">
        <f t="shared" si="843"/>
        <v>2012</v>
      </c>
      <c r="K1128" s="490">
        <f t="shared" si="844"/>
        <v>0</v>
      </c>
      <c r="L1128" s="469">
        <f t="shared" si="845"/>
        <v>0</v>
      </c>
      <c r="M1128" s="683">
        <f t="shared" si="846"/>
        <v>0</v>
      </c>
      <c r="N1128" s="470">
        <f t="shared" si="847"/>
        <v>0</v>
      </c>
      <c r="O1128" s="468">
        <f t="shared" si="848"/>
        <v>2012</v>
      </c>
      <c r="P1128" s="616">
        <f t="shared" si="849"/>
        <v>0</v>
      </c>
      <c r="Q1128" s="472">
        <f t="shared" si="850"/>
        <v>0</v>
      </c>
      <c r="R1128" s="472">
        <f t="shared" si="851"/>
        <v>0</v>
      </c>
      <c r="S1128" s="1189">
        <f t="shared" si="852"/>
        <v>2013</v>
      </c>
      <c r="T1128" s="470">
        <f t="shared" si="853"/>
        <v>1</v>
      </c>
      <c r="U1128" s="612">
        <f t="shared" si="854"/>
        <v>0</v>
      </c>
      <c r="V1128" s="464">
        <f t="shared" si="855"/>
        <v>2013</v>
      </c>
      <c r="W1128" s="612">
        <f t="shared" si="856"/>
        <v>0</v>
      </c>
      <c r="X1128" s="561"/>
      <c r="Y1128" s="449"/>
      <c r="Z1128" s="449"/>
      <c r="AA1128" s="554"/>
      <c r="AB1128" s="452"/>
      <c r="AC1128" s="452"/>
      <c r="AD1128" s="566"/>
      <c r="AE1128" s="452"/>
      <c r="AF1128" s="571"/>
      <c r="AG1128" s="452"/>
      <c r="AH1128" s="452"/>
      <c r="AI1128" s="453"/>
      <c r="AJ1128" s="449"/>
      <c r="AK1128" s="453"/>
      <c r="AL1128" s="454"/>
      <c r="AM1128" s="455"/>
      <c r="AN1128" s="456"/>
      <c r="AO1128" s="455"/>
      <c r="AP1128" s="452"/>
      <c r="AQ1128" s="457"/>
      <c r="AR1128" s="449"/>
      <c r="AS1128" s="449"/>
      <c r="AT1128" s="452"/>
      <c r="AU1128" s="457"/>
      <c r="AV1128" s="449"/>
      <c r="AW1128" s="458"/>
      <c r="AX1128" s="452"/>
      <c r="AY1128" s="457"/>
      <c r="AZ1128" s="449"/>
      <c r="BA1128" s="459"/>
      <c r="BB1128" s="455"/>
      <c r="BC1128" s="460"/>
      <c r="BD1128" s="460"/>
      <c r="BG1128" s="462"/>
    </row>
    <row r="1129" spans="1:59" s="486" customFormat="1" ht="18" customHeight="1" x14ac:dyDescent="0.2">
      <c r="A1129" s="1368" t="str">
        <f t="shared" si="841"/>
        <v>SIMP. RAMBAHAN - RAMBAHAN2014</v>
      </c>
      <c r="B1129" s="1373">
        <v>2</v>
      </c>
      <c r="C1129" s="488" t="s">
        <v>1311</v>
      </c>
      <c r="D1129" s="489" t="s">
        <v>3821</v>
      </c>
      <c r="E1129" s="558"/>
      <c r="F1129" s="559">
        <v>2014</v>
      </c>
      <c r="G1129" s="619">
        <f>254080364+1834435855</f>
        <v>2088516219</v>
      </c>
      <c r="H1129" s="557">
        <f>VLOOKUP(LEFT(D1129,8),UE,4)</f>
        <v>10</v>
      </c>
      <c r="I1129" s="560"/>
      <c r="J1129" s="468">
        <f t="shared" si="843"/>
        <v>2023</v>
      </c>
      <c r="K1129" s="490">
        <f t="shared" si="844"/>
        <v>1</v>
      </c>
      <c r="L1129" s="469">
        <f t="shared" si="845"/>
        <v>10</v>
      </c>
      <c r="M1129" s="683">
        <f t="shared" si="846"/>
        <v>0</v>
      </c>
      <c r="N1129" s="470">
        <f t="shared" si="847"/>
        <v>10</v>
      </c>
      <c r="O1129" s="468">
        <f t="shared" si="848"/>
        <v>2023</v>
      </c>
      <c r="P1129" s="616">
        <f t="shared" si="849"/>
        <v>0</v>
      </c>
      <c r="Q1129" s="472">
        <f t="shared" si="850"/>
        <v>2088516219</v>
      </c>
      <c r="R1129" s="472">
        <f t="shared" si="851"/>
        <v>208851621.90000001</v>
      </c>
      <c r="S1129" s="1189">
        <f t="shared" si="852"/>
        <v>2014</v>
      </c>
      <c r="T1129" s="470">
        <f t="shared" si="853"/>
        <v>1</v>
      </c>
      <c r="U1129" s="612">
        <f t="shared" si="854"/>
        <v>208851621.90000001</v>
      </c>
      <c r="V1129" s="464">
        <f t="shared" si="855"/>
        <v>2014</v>
      </c>
      <c r="W1129" s="612">
        <f t="shared" si="856"/>
        <v>1879664597.0999999</v>
      </c>
      <c r="X1129" s="473"/>
      <c r="Y1129" s="474"/>
      <c r="Z1129" s="449"/>
      <c r="AA1129" s="475" t="s">
        <v>4180</v>
      </c>
      <c r="AB1129" s="476"/>
      <c r="AC1129" s="476"/>
      <c r="AD1129" s="567">
        <f>G1137</f>
        <v>7042095014</v>
      </c>
      <c r="AE1129" s="476"/>
      <c r="AF1129" s="568"/>
      <c r="AG1129" s="476"/>
      <c r="AH1129" s="476"/>
      <c r="AI1129" s="477"/>
      <c r="AJ1129" s="478"/>
      <c r="AK1129" s="479"/>
      <c r="AL1129" s="480"/>
      <c r="AM1129" s="474"/>
      <c r="AN1129" s="481"/>
      <c r="AO1129" s="474"/>
      <c r="AP1129" s="476"/>
      <c r="AQ1129" s="482"/>
      <c r="AR1129" s="478"/>
      <c r="AS1129" s="478"/>
      <c r="AT1129" s="476"/>
      <c r="AU1129" s="482"/>
      <c r="AV1129" s="478"/>
      <c r="AW1129" s="483"/>
      <c r="AX1129" s="476"/>
      <c r="AY1129" s="482"/>
      <c r="AZ1129" s="478"/>
      <c r="BA1129" s="484"/>
      <c r="BB1129" s="474"/>
      <c r="BC1129" s="485"/>
      <c r="BD1129" s="485"/>
      <c r="BG1129" s="487"/>
    </row>
    <row r="1130" spans="1:59" s="486" customFormat="1" ht="18" customHeight="1" x14ac:dyDescent="0.2">
      <c r="A1130" s="1368" t="str">
        <f t="shared" si="841"/>
        <v>SIMP. RAMBAHAN - RAMBAHAN2014</v>
      </c>
      <c r="B1130" s="1373">
        <v>3</v>
      </c>
      <c r="C1130" s="488" t="s">
        <v>1305</v>
      </c>
      <c r="D1130" s="489"/>
      <c r="E1130" s="558"/>
      <c r="F1130" s="559">
        <v>2014</v>
      </c>
      <c r="G1130" s="619">
        <v>0</v>
      </c>
      <c r="H1130" s="464">
        <f t="shared" si="842"/>
        <v>10</v>
      </c>
      <c r="I1130" s="560"/>
      <c r="J1130" s="468">
        <f t="shared" si="843"/>
        <v>2023</v>
      </c>
      <c r="K1130" s="490">
        <f t="shared" si="844"/>
        <v>0</v>
      </c>
      <c r="L1130" s="469">
        <f t="shared" si="845"/>
        <v>0</v>
      </c>
      <c r="M1130" s="683">
        <f t="shared" si="846"/>
        <v>0</v>
      </c>
      <c r="N1130" s="470">
        <f t="shared" si="847"/>
        <v>10</v>
      </c>
      <c r="O1130" s="468">
        <f t="shared" si="848"/>
        <v>2023</v>
      </c>
      <c r="P1130" s="616">
        <f t="shared" si="849"/>
        <v>1879664597.0999999</v>
      </c>
      <c r="Q1130" s="472">
        <f t="shared" si="850"/>
        <v>1879664597.0999999</v>
      </c>
      <c r="R1130" s="472">
        <f t="shared" si="851"/>
        <v>208851621.90000001</v>
      </c>
      <c r="S1130" s="1189">
        <f t="shared" si="852"/>
        <v>2014</v>
      </c>
      <c r="T1130" s="470">
        <f t="shared" si="853"/>
        <v>0</v>
      </c>
      <c r="U1130" s="612">
        <f t="shared" si="854"/>
        <v>0</v>
      </c>
      <c r="V1130" s="464">
        <f t="shared" si="855"/>
        <v>2014</v>
      </c>
      <c r="W1130" s="612">
        <f t="shared" si="856"/>
        <v>1879664597.0999999</v>
      </c>
      <c r="X1130" s="473"/>
      <c r="Y1130" s="478"/>
      <c r="Z1130" s="449"/>
      <c r="AA1130" s="475" t="s">
        <v>4181</v>
      </c>
      <c r="AB1130" s="491"/>
      <c r="AC1130" s="491"/>
      <c r="AD1130" s="567">
        <f>U1137</f>
        <v>3132161874.2660003</v>
      </c>
      <c r="AE1130" s="491"/>
      <c r="AF1130" s="568"/>
      <c r="AG1130" s="491"/>
      <c r="AH1130" s="491"/>
      <c r="AI1130" s="477"/>
      <c r="AJ1130" s="478"/>
      <c r="AK1130" s="479"/>
      <c r="AL1130" s="480"/>
      <c r="AM1130" s="474"/>
      <c r="AN1130" s="481"/>
      <c r="AO1130" s="474"/>
      <c r="AP1130" s="476"/>
      <c r="AQ1130" s="482"/>
      <c r="AR1130" s="478"/>
      <c r="AS1130" s="478"/>
      <c r="AT1130" s="476"/>
      <c r="AU1130" s="482"/>
      <c r="AV1130" s="478"/>
      <c r="AW1130" s="483"/>
      <c r="AX1130" s="476"/>
      <c r="AY1130" s="482"/>
      <c r="AZ1130" s="478"/>
      <c r="BA1130" s="484"/>
      <c r="BB1130" s="474"/>
      <c r="BC1130" s="485"/>
      <c r="BD1130" s="485"/>
      <c r="BG1130" s="487"/>
    </row>
    <row r="1131" spans="1:59" s="486" customFormat="1" ht="18" customHeight="1" x14ac:dyDescent="0.2">
      <c r="A1131" s="1368" t="str">
        <f>$D$1119&amp;S1131</f>
        <v>SIMP. RAMBAHAN - RAMBAHAN2015</v>
      </c>
      <c r="B1131" s="1373">
        <v>4</v>
      </c>
      <c r="C1131" s="488" t="s">
        <v>1423</v>
      </c>
      <c r="D1131" s="489" t="s">
        <v>3821</v>
      </c>
      <c r="E1131" s="558"/>
      <c r="F1131" s="559">
        <v>2015</v>
      </c>
      <c r="G1131" s="619">
        <v>1777518495</v>
      </c>
      <c r="H1131" s="464">
        <f t="shared" si="842"/>
        <v>9</v>
      </c>
      <c r="I1131" s="560"/>
      <c r="J1131" s="468">
        <f t="shared" si="843"/>
        <v>2024</v>
      </c>
      <c r="K1131" s="490">
        <f t="shared" si="844"/>
        <v>0.94565727191032178</v>
      </c>
      <c r="L1131" s="469">
        <f t="shared" si="845"/>
        <v>10</v>
      </c>
      <c r="M1131" s="683">
        <f t="shared" si="846"/>
        <v>1</v>
      </c>
      <c r="N1131" s="470">
        <f t="shared" si="847"/>
        <v>10</v>
      </c>
      <c r="O1131" s="468">
        <f t="shared" si="848"/>
        <v>2024</v>
      </c>
      <c r="P1131" s="616">
        <f t="shared" si="849"/>
        <v>1879664597.0999999</v>
      </c>
      <c r="Q1131" s="472">
        <f t="shared" si="850"/>
        <v>3657183092.0999999</v>
      </c>
      <c r="R1131" s="472">
        <f t="shared" si="851"/>
        <v>365718309.20999998</v>
      </c>
      <c r="S1131" s="1189">
        <f t="shared" si="852"/>
        <v>2015</v>
      </c>
      <c r="T1131" s="470">
        <f t="shared" si="853"/>
        <v>1</v>
      </c>
      <c r="U1131" s="612">
        <f t="shared" si="854"/>
        <v>365718309.20999998</v>
      </c>
      <c r="V1131" s="464">
        <f t="shared" si="855"/>
        <v>2015</v>
      </c>
      <c r="W1131" s="612">
        <f t="shared" si="856"/>
        <v>3291464782.8899999</v>
      </c>
      <c r="X1131" s="473"/>
      <c r="Y1131" s="478"/>
      <c r="Z1131" s="449"/>
      <c r="AA1131" s="492" t="s">
        <v>4182</v>
      </c>
      <c r="AB1131" s="476"/>
      <c r="AC1131" s="476"/>
      <c r="AD1131" s="567">
        <f>AD1129-AD1130</f>
        <v>3909933139.7339997</v>
      </c>
      <c r="AE1131" s="476"/>
      <c r="AF1131" s="568"/>
      <c r="AG1131" s="476"/>
      <c r="AH1131" s="476"/>
      <c r="AI1131" s="477"/>
      <c r="AJ1131" s="478"/>
      <c r="AK1131" s="479"/>
      <c r="AL1131" s="480"/>
      <c r="AM1131" s="474"/>
      <c r="AN1131" s="481"/>
      <c r="AO1131" s="474"/>
      <c r="AP1131" s="476"/>
      <c r="AQ1131" s="482"/>
      <c r="AR1131" s="478"/>
      <c r="AS1131" s="478"/>
      <c r="AT1131" s="476"/>
      <c r="AU1131" s="482"/>
      <c r="AV1131" s="478"/>
      <c r="AW1131" s="483"/>
      <c r="AX1131" s="476"/>
      <c r="AY1131" s="482"/>
      <c r="AZ1131" s="478"/>
      <c r="BA1131" s="484"/>
      <c r="BB1131" s="474"/>
      <c r="BC1131" s="485"/>
      <c r="BD1131" s="485"/>
      <c r="BG1131" s="487"/>
    </row>
    <row r="1132" spans="1:59" s="486" customFormat="1" ht="18" customHeight="1" x14ac:dyDescent="0.2">
      <c r="A1132" s="1368" t="str">
        <f>$D$1119&amp;S1132</f>
        <v>SIMP. RAMBAHAN - RAMBAHAN2016</v>
      </c>
      <c r="B1132" s="687"/>
      <c r="C1132" s="463"/>
      <c r="D1132" s="489"/>
      <c r="E1132" s="465"/>
      <c r="F1132" s="559">
        <v>2016</v>
      </c>
      <c r="G1132" s="619">
        <v>0</v>
      </c>
      <c r="H1132" s="464">
        <f t="shared" si="842"/>
        <v>9</v>
      </c>
      <c r="I1132" s="560"/>
      <c r="J1132" s="468">
        <f t="shared" si="843"/>
        <v>2024</v>
      </c>
      <c r="K1132" s="490">
        <f t="shared" si="844"/>
        <v>0</v>
      </c>
      <c r="L1132" s="469">
        <f t="shared" si="845"/>
        <v>0</v>
      </c>
      <c r="M1132" s="683">
        <f t="shared" si="846"/>
        <v>0</v>
      </c>
      <c r="N1132" s="470">
        <f t="shared" si="847"/>
        <v>9</v>
      </c>
      <c r="O1132" s="468">
        <f t="shared" si="848"/>
        <v>2024</v>
      </c>
      <c r="P1132" s="616">
        <f t="shared" si="849"/>
        <v>3291464782.8899999</v>
      </c>
      <c r="Q1132" s="472">
        <f t="shared" si="850"/>
        <v>3291464782.8899999</v>
      </c>
      <c r="R1132" s="472">
        <f t="shared" si="851"/>
        <v>365718309.20999998</v>
      </c>
      <c r="S1132" s="1189">
        <f t="shared" si="852"/>
        <v>2016</v>
      </c>
      <c r="T1132" s="470">
        <f t="shared" si="853"/>
        <v>1</v>
      </c>
      <c r="U1132" s="612">
        <f t="shared" si="854"/>
        <v>365718309.20999998</v>
      </c>
      <c r="V1132" s="464">
        <f t="shared" si="855"/>
        <v>2016</v>
      </c>
      <c r="W1132" s="612">
        <f t="shared" si="856"/>
        <v>2925746473.6799998</v>
      </c>
      <c r="X1132" s="473"/>
      <c r="Y1132" s="478"/>
      <c r="Z1132" s="449"/>
      <c r="AA1132" s="531" t="s">
        <v>4183</v>
      </c>
      <c r="AB1132" s="496"/>
      <c r="AC1132" s="496"/>
      <c r="AD1132" s="569">
        <f>AD1131-W1137</f>
        <v>0</v>
      </c>
      <c r="AE1132" s="476"/>
      <c r="AF1132" s="568"/>
      <c r="AG1132" s="476"/>
      <c r="AH1132" s="476"/>
      <c r="AI1132" s="477"/>
      <c r="AJ1132" s="478"/>
      <c r="AK1132" s="479"/>
      <c r="AL1132" s="480"/>
      <c r="AM1132" s="474"/>
      <c r="AN1132" s="481"/>
      <c r="AO1132" s="474"/>
      <c r="AP1132" s="476"/>
      <c r="AQ1132" s="482"/>
      <c r="AR1132" s="478"/>
      <c r="AS1132" s="478"/>
      <c r="AT1132" s="476"/>
      <c r="AU1132" s="482"/>
      <c r="AV1132" s="478"/>
      <c r="AW1132" s="483"/>
      <c r="AX1132" s="476"/>
      <c r="AY1132" s="482"/>
      <c r="AZ1132" s="478"/>
      <c r="BA1132" s="484"/>
      <c r="BB1132" s="474"/>
      <c r="BC1132" s="485"/>
      <c r="BD1132" s="485"/>
      <c r="BG1132" s="487"/>
    </row>
    <row r="1133" spans="1:59" s="486" customFormat="1" ht="18" customHeight="1" x14ac:dyDescent="0.2">
      <c r="A1133" s="1368" t="str">
        <f>$D$1119&amp;S1133</f>
        <v>SIMP. RAMBAHAN - RAMBAHAN2017</v>
      </c>
      <c r="B1133" s="687"/>
      <c r="C1133" s="463"/>
      <c r="D1133" s="489"/>
      <c r="E1133" s="465"/>
      <c r="F1133" s="559">
        <v>2017</v>
      </c>
      <c r="G1133" s="619">
        <v>0</v>
      </c>
      <c r="H1133" s="464">
        <f t="shared" si="842"/>
        <v>8</v>
      </c>
      <c r="I1133" s="560"/>
      <c r="J1133" s="468">
        <f t="shared" si="843"/>
        <v>2024</v>
      </c>
      <c r="K1133" s="490">
        <f t="shared" si="844"/>
        <v>0</v>
      </c>
      <c r="L1133" s="469">
        <f t="shared" si="845"/>
        <v>0</v>
      </c>
      <c r="M1133" s="683">
        <f t="shared" si="846"/>
        <v>0</v>
      </c>
      <c r="N1133" s="470">
        <f t="shared" si="847"/>
        <v>8</v>
      </c>
      <c r="O1133" s="468">
        <f t="shared" si="848"/>
        <v>2024</v>
      </c>
      <c r="P1133" s="616">
        <f t="shared" si="849"/>
        <v>2925746473.6799998</v>
      </c>
      <c r="Q1133" s="472">
        <f t="shared" si="850"/>
        <v>2925746473.6799998</v>
      </c>
      <c r="R1133" s="472">
        <f t="shared" si="851"/>
        <v>365718309.20999998</v>
      </c>
      <c r="S1133" s="1189">
        <f t="shared" si="852"/>
        <v>2017</v>
      </c>
      <c r="T1133" s="470">
        <f t="shared" si="853"/>
        <v>1</v>
      </c>
      <c r="U1133" s="612">
        <f t="shared" si="854"/>
        <v>365718309.20999998</v>
      </c>
      <c r="V1133" s="464">
        <f t="shared" si="855"/>
        <v>2017</v>
      </c>
      <c r="W1133" s="612">
        <f t="shared" si="856"/>
        <v>2560028164.4699998</v>
      </c>
      <c r="X1133" s="473"/>
      <c r="Y1133" s="478"/>
      <c r="Z1133" s="449"/>
      <c r="AA1133" s="573"/>
      <c r="AB1133" s="476"/>
      <c r="AC1133" s="476"/>
      <c r="AD1133" s="568"/>
      <c r="AE1133" s="476"/>
      <c r="AF1133" s="568"/>
      <c r="AG1133" s="476"/>
      <c r="AH1133" s="476"/>
      <c r="AI1133" s="477"/>
      <c r="AJ1133" s="478"/>
      <c r="AK1133" s="479"/>
      <c r="AL1133" s="480"/>
      <c r="AM1133" s="474"/>
      <c r="AN1133" s="481"/>
      <c r="AO1133" s="474"/>
      <c r="AP1133" s="476"/>
      <c r="AQ1133" s="482"/>
      <c r="AR1133" s="478"/>
      <c r="AS1133" s="478"/>
      <c r="AT1133" s="476"/>
      <c r="AU1133" s="482"/>
      <c r="AV1133" s="478"/>
      <c r="AW1133" s="483"/>
      <c r="AX1133" s="476"/>
      <c r="AY1133" s="482"/>
      <c r="AZ1133" s="478"/>
      <c r="BA1133" s="484"/>
      <c r="BB1133" s="474"/>
      <c r="BC1133" s="485"/>
      <c r="BD1133" s="485"/>
      <c r="BG1133" s="487"/>
    </row>
    <row r="1134" spans="1:59" s="486" customFormat="1" ht="18" customHeight="1" x14ac:dyDescent="0.2">
      <c r="A1134" s="1368" t="str">
        <f>$D$1119&amp;S1134</f>
        <v>SIMP. RAMBAHAN - RAMBAHAN2018</v>
      </c>
      <c r="B1134" s="687"/>
      <c r="C1134" s="463"/>
      <c r="D1134" s="489"/>
      <c r="E1134" s="465"/>
      <c r="F1134" s="559">
        <v>2018</v>
      </c>
      <c r="G1134" s="619">
        <v>0</v>
      </c>
      <c r="H1134" s="464">
        <f t="shared" si="842"/>
        <v>7</v>
      </c>
      <c r="I1134" s="560"/>
      <c r="J1134" s="468">
        <f t="shared" si="843"/>
        <v>2024</v>
      </c>
      <c r="K1134" s="490">
        <f t="shared" si="844"/>
        <v>0</v>
      </c>
      <c r="L1134" s="469">
        <f t="shared" si="845"/>
        <v>0</v>
      </c>
      <c r="M1134" s="683">
        <f t="shared" si="846"/>
        <v>0</v>
      </c>
      <c r="N1134" s="470">
        <f t="shared" si="847"/>
        <v>7</v>
      </c>
      <c r="O1134" s="468">
        <f t="shared" si="848"/>
        <v>2024</v>
      </c>
      <c r="P1134" s="616">
        <f t="shared" si="849"/>
        <v>2560028164.4699998</v>
      </c>
      <c r="Q1134" s="472">
        <f t="shared" si="850"/>
        <v>2560028164.4699998</v>
      </c>
      <c r="R1134" s="472">
        <f t="shared" si="851"/>
        <v>365718309.20999998</v>
      </c>
      <c r="S1134" s="1189">
        <f t="shared" si="852"/>
        <v>2018</v>
      </c>
      <c r="T1134" s="470">
        <f t="shared" si="853"/>
        <v>1</v>
      </c>
      <c r="U1134" s="612">
        <f t="shared" si="854"/>
        <v>365718309.20999998</v>
      </c>
      <c r="V1134" s="464">
        <f t="shared" si="855"/>
        <v>2018</v>
      </c>
      <c r="W1134" s="612">
        <f t="shared" si="856"/>
        <v>2194309855.2599998</v>
      </c>
      <c r="X1134" s="473"/>
      <c r="Y1134" s="478"/>
      <c r="Z1134" s="449"/>
      <c r="AA1134" s="573"/>
      <c r="AB1134" s="476"/>
      <c r="AC1134" s="476"/>
      <c r="AD1134" s="568"/>
      <c r="AE1134" s="476"/>
      <c r="AF1134" s="568"/>
      <c r="AG1134" s="476"/>
      <c r="AH1134" s="476"/>
      <c r="AI1134" s="477"/>
      <c r="AJ1134" s="478"/>
      <c r="AK1134" s="479"/>
      <c r="AL1134" s="480"/>
      <c r="AM1134" s="474"/>
      <c r="AN1134" s="481"/>
      <c r="AO1134" s="474"/>
      <c r="AP1134" s="476"/>
      <c r="AQ1134" s="482"/>
      <c r="AR1134" s="478"/>
      <c r="AS1134" s="478"/>
      <c r="AT1134" s="476"/>
      <c r="AU1134" s="482"/>
      <c r="AV1134" s="478"/>
      <c r="AW1134" s="483"/>
      <c r="AX1134" s="476"/>
      <c r="AY1134" s="482"/>
      <c r="AZ1134" s="478"/>
      <c r="BA1134" s="484"/>
      <c r="BB1134" s="474"/>
      <c r="BC1134" s="485"/>
      <c r="BD1134" s="485"/>
      <c r="BG1134" s="487"/>
    </row>
    <row r="1135" spans="1:59" s="486" customFormat="1" ht="18" customHeight="1" x14ac:dyDescent="0.2">
      <c r="A1135" s="1368" t="str">
        <f>$D$1119&amp;S1135</f>
        <v>SIMP. RAMBAHAN - RAMBAHAN2019</v>
      </c>
      <c r="B1135" s="687">
        <v>5</v>
      </c>
      <c r="C1135" s="463" t="s">
        <v>5676</v>
      </c>
      <c r="D1135" s="489"/>
      <c r="E1135" s="465"/>
      <c r="F1135" s="559">
        <v>2019</v>
      </c>
      <c r="G1135" s="619">
        <v>2150060300</v>
      </c>
      <c r="H1135" s="464">
        <f>IF(N1134-(F1135-F1134)&lt;=0,0,(N1134-(F1135-F1134)))</f>
        <v>6</v>
      </c>
      <c r="I1135" s="560"/>
      <c r="J1135" s="468">
        <f>F1135+N1135-1</f>
        <v>2028</v>
      </c>
      <c r="K1135" s="490">
        <f>IF(G1135=0,0,IF(H1135=10,100%,G1135/W1134))</f>
        <v>0.97983440891270268</v>
      </c>
      <c r="L1135" s="469">
        <f>IF(K1135=0%,0,IF(K1135&lt;=30%,2,IF(K1135&lt;=60%,5,10)))</f>
        <v>10</v>
      </c>
      <c r="M1135" s="683">
        <f>IF(OR(AND(ISBLANK(E1135),ISBLANK(G1135)),ISTEXT(E1135),ISTEXT(G1135)),"",IF(H1135+L1135&gt;$H$1123,$H$1123-H1135,L1135))</f>
        <v>4</v>
      </c>
      <c r="N1135" s="470">
        <f>IF(OR(AND(ISBLANK(F1135),ISBLANK(G1135)),ISTEXT(F1135),ISTEXT(G1135)),"",H1135+M1135)</f>
        <v>10</v>
      </c>
      <c r="O1135" s="468">
        <f>F1135+N1135-1</f>
        <v>2028</v>
      </c>
      <c r="P1135" s="616">
        <f>W1134</f>
        <v>2194309855.2599998</v>
      </c>
      <c r="Q1135" s="472">
        <f>P1135+G1135</f>
        <v>4344370155.2600002</v>
      </c>
      <c r="R1135" s="472">
        <f>IF(L1135=0,R1134,Q1135/N1135)</f>
        <v>434437015.52600002</v>
      </c>
      <c r="S1135" s="1189">
        <f>F1135</f>
        <v>2019</v>
      </c>
      <c r="T1135" s="470">
        <f t="shared" si="853"/>
        <v>1</v>
      </c>
      <c r="U1135" s="612">
        <f>R1135*T1135</f>
        <v>434437015.52600002</v>
      </c>
      <c r="V1135" s="464">
        <f>F1135</f>
        <v>2019</v>
      </c>
      <c r="W1135" s="612">
        <f>IF(OR(AND(ISBLANK(E1135),ISBLANK(G1135)),ISTEXT(E1135),ISTEXT(G1135)),"",Q1135-U1135)</f>
        <v>3909933139.7340002</v>
      </c>
      <c r="X1135" s="473"/>
      <c r="Y1135" s="478"/>
      <c r="Z1135" s="449"/>
      <c r="AA1135" s="573"/>
      <c r="AB1135" s="476"/>
      <c r="AC1135" s="476"/>
      <c r="AD1135" s="568"/>
      <c r="AE1135" s="476"/>
      <c r="AF1135" s="568"/>
      <c r="AG1135" s="476"/>
      <c r="AH1135" s="476"/>
      <c r="AI1135" s="477"/>
      <c r="AJ1135" s="478"/>
      <c r="AK1135" s="479"/>
      <c r="AL1135" s="480"/>
      <c r="AM1135" s="474"/>
      <c r="AN1135" s="481"/>
      <c r="AO1135" s="474"/>
      <c r="AP1135" s="476"/>
      <c r="AQ1135" s="482"/>
      <c r="AR1135" s="478"/>
      <c r="AS1135" s="478"/>
      <c r="AT1135" s="476"/>
      <c r="AU1135" s="482"/>
      <c r="AV1135" s="478"/>
      <c r="AW1135" s="483"/>
      <c r="AX1135" s="476"/>
      <c r="AY1135" s="482"/>
      <c r="AZ1135" s="478"/>
      <c r="BA1135" s="484"/>
      <c r="BB1135" s="474"/>
      <c r="BC1135" s="485"/>
      <c r="BD1135" s="485"/>
      <c r="BG1135" s="487"/>
    </row>
    <row r="1136" spans="1:59" s="486" customFormat="1" ht="18" customHeight="1" x14ac:dyDescent="0.2">
      <c r="A1136" s="1368" t="str">
        <f>LEFT(D1136,8)</f>
        <v/>
      </c>
      <c r="B1136" s="687"/>
      <c r="C1136" s="463"/>
      <c r="D1136" s="489"/>
      <c r="E1136" s="465"/>
      <c r="F1136" s="466"/>
      <c r="G1136" s="620"/>
      <c r="H1136" s="464"/>
      <c r="I1136" s="467"/>
      <c r="J1136" s="468"/>
      <c r="K1136" s="574"/>
      <c r="L1136" s="469"/>
      <c r="M1136" s="683"/>
      <c r="N1136" s="470"/>
      <c r="O1136" s="468"/>
      <c r="P1136" s="616"/>
      <c r="Q1136" s="472"/>
      <c r="R1136" s="472"/>
      <c r="S1136" s="634"/>
      <c r="T1136" s="470"/>
      <c r="U1136" s="612"/>
      <c r="V1136" s="464"/>
      <c r="W1136" s="612"/>
      <c r="X1136" s="473"/>
      <c r="Y1136" s="478"/>
      <c r="Z1136" s="449"/>
      <c r="AA1136" s="573"/>
      <c r="AB1136" s="476"/>
      <c r="AC1136" s="476"/>
      <c r="AD1136" s="568"/>
      <c r="AE1136" s="476"/>
      <c r="AF1136" s="568"/>
      <c r="AG1136" s="476"/>
      <c r="AH1136" s="476"/>
      <c r="AI1136" s="477"/>
      <c r="AJ1136" s="478"/>
      <c r="AK1136" s="479"/>
      <c r="AL1136" s="480"/>
      <c r="AM1136" s="474"/>
      <c r="AN1136" s="481"/>
      <c r="AO1136" s="474"/>
      <c r="AP1136" s="476"/>
      <c r="AQ1136" s="482"/>
      <c r="AR1136" s="478"/>
      <c r="AS1136" s="478"/>
      <c r="AT1136" s="476"/>
      <c r="AU1136" s="482"/>
      <c r="AV1136" s="478"/>
      <c r="AW1136" s="483"/>
      <c r="AX1136" s="476"/>
      <c r="AY1136" s="482"/>
      <c r="AZ1136" s="478"/>
      <c r="BA1136" s="484"/>
      <c r="BB1136" s="474"/>
      <c r="BC1136" s="485"/>
      <c r="BD1136" s="485"/>
      <c r="BG1136" s="487"/>
    </row>
    <row r="1137" spans="1:59" s="526" customFormat="1" ht="18" customHeight="1" x14ac:dyDescent="0.2">
      <c r="A1137" s="1370" t="s">
        <v>4184</v>
      </c>
      <c r="B1137" s="1956" t="s">
        <v>4184</v>
      </c>
      <c r="C1137" s="1957"/>
      <c r="D1137" s="1957"/>
      <c r="E1137" s="1957"/>
      <c r="F1137" s="1958"/>
      <c r="G1137" s="624">
        <f>SUM(G1123:G1136)</f>
        <v>7042095014</v>
      </c>
      <c r="H1137" s="505"/>
      <c r="I1137" s="506"/>
      <c r="J1137" s="507"/>
      <c r="K1137" s="507"/>
      <c r="L1137" s="505"/>
      <c r="M1137" s="684"/>
      <c r="N1137" s="508"/>
      <c r="O1137" s="507"/>
      <c r="P1137" s="749"/>
      <c r="Q1137" s="510"/>
      <c r="R1137" s="511"/>
      <c r="S1137" s="512"/>
      <c r="T1137" s="512"/>
      <c r="U1137" s="610">
        <f>SUM(U1123:U1136)</f>
        <v>3132161874.2660003</v>
      </c>
      <c r="V1137" s="513"/>
      <c r="W1137" s="610">
        <f>G1137-U1137</f>
        <v>3909933139.7339997</v>
      </c>
      <c r="X1137" s="514"/>
      <c r="Y1137" s="515"/>
      <c r="Z1137" s="515"/>
      <c r="AA1137" s="515"/>
      <c r="AB1137" s="1362">
        <v>2697724858.7400002</v>
      </c>
      <c r="AC1137" s="515"/>
      <c r="AD1137" s="570"/>
      <c r="AE1137" s="515"/>
      <c r="AF1137" s="570">
        <v>1638618830.96</v>
      </c>
      <c r="AG1137" s="515"/>
      <c r="AH1137" s="515"/>
      <c r="AI1137" s="516"/>
      <c r="AJ1137" s="517"/>
      <c r="AK1137" s="518"/>
      <c r="AL1137" s="519"/>
      <c r="AM1137" s="520"/>
      <c r="AN1137" s="521"/>
      <c r="AO1137" s="520"/>
      <c r="AP1137" s="515"/>
      <c r="AQ1137" s="522"/>
      <c r="AR1137" s="517"/>
      <c r="AS1137" s="517"/>
      <c r="AT1137" s="515"/>
      <c r="AU1137" s="522"/>
      <c r="AV1137" s="517"/>
      <c r="AW1137" s="523"/>
      <c r="AX1137" s="515"/>
      <c r="AY1137" s="522"/>
      <c r="AZ1137" s="517"/>
      <c r="BA1137" s="524"/>
      <c r="BB1137" s="520"/>
      <c r="BC1137" s="525"/>
      <c r="BD1137" s="525"/>
      <c r="BG1137" s="527"/>
    </row>
    <row r="1140" spans="1:59" s="422" customFormat="1" ht="18" customHeight="1" x14ac:dyDescent="0.2">
      <c r="A1140" s="1366">
        <f>C1140</f>
        <v>183</v>
      </c>
      <c r="B1140" s="742" t="s">
        <v>4187</v>
      </c>
      <c r="C1140" s="556">
        <v>183</v>
      </c>
      <c r="D1140" s="553" t="str">
        <f>VLOOKUP(C1140,RUAS,2,FALSE)</f>
        <v>SUKARAJA - GIRI SAKO</v>
      </c>
      <c r="E1140" s="553"/>
      <c r="F1140" s="421"/>
      <c r="G1140" s="611"/>
      <c r="I1140" s="423"/>
      <c r="J1140" s="424"/>
      <c r="K1140" s="424"/>
      <c r="M1140" s="680"/>
      <c r="P1140" s="611"/>
      <c r="U1140" s="611"/>
      <c r="W1140" s="611"/>
      <c r="Y1140" s="425"/>
      <c r="Z1140" s="425"/>
      <c r="AA1140" s="425"/>
      <c r="AB1140" s="425"/>
      <c r="AC1140" s="425"/>
      <c r="AD1140" s="563"/>
      <c r="AE1140" s="425"/>
      <c r="AF1140" s="563"/>
      <c r="AG1140" s="425"/>
      <c r="AH1140" s="425"/>
      <c r="AI1140" s="425"/>
      <c r="AJ1140" s="425"/>
      <c r="AK1140" s="425"/>
      <c r="AL1140" s="425"/>
      <c r="AM1140" s="425"/>
      <c r="AN1140" s="425"/>
      <c r="AO1140" s="425"/>
      <c r="AP1140" s="425"/>
      <c r="AQ1140" s="425"/>
      <c r="AR1140" s="425"/>
      <c r="AS1140" s="425"/>
      <c r="AT1140" s="425"/>
      <c r="AU1140" s="425"/>
      <c r="AV1140" s="425"/>
      <c r="AW1140" s="425"/>
      <c r="AX1140" s="425"/>
      <c r="AY1140" s="425"/>
      <c r="AZ1140" s="425"/>
      <c r="BA1140" s="425"/>
      <c r="BB1140" s="425"/>
    </row>
    <row r="1141" spans="1:59" s="431" customFormat="1" ht="18" customHeight="1" x14ac:dyDescent="0.2">
      <c r="A1141" s="1367"/>
      <c r="B1141" s="1968" t="s">
        <v>5</v>
      </c>
      <c r="C1141" s="1968" t="s">
        <v>2280</v>
      </c>
      <c r="D1141" s="1968" t="s">
        <v>4157</v>
      </c>
      <c r="E1141" s="1968" t="s">
        <v>4158</v>
      </c>
      <c r="F1141" s="1968"/>
      <c r="G1141" s="1969" t="s">
        <v>4159</v>
      </c>
      <c r="H1141" s="1968" t="s">
        <v>4160</v>
      </c>
      <c r="I1141" s="1968"/>
      <c r="J1141" s="1968" t="s">
        <v>4185</v>
      </c>
      <c r="K1141" s="1964" t="s">
        <v>4162</v>
      </c>
      <c r="L1141" s="1968" t="s">
        <v>4163</v>
      </c>
      <c r="M1141" s="1971" t="s">
        <v>4164</v>
      </c>
      <c r="N1141" s="1962" t="s">
        <v>4165</v>
      </c>
      <c r="O1141" s="1968" t="s">
        <v>4166</v>
      </c>
      <c r="P1141" s="1972" t="s">
        <v>4167</v>
      </c>
      <c r="Q1141" s="1973"/>
      <c r="R1141" s="636" t="s">
        <v>4186</v>
      </c>
      <c r="S1141" s="1972" t="s">
        <v>4169</v>
      </c>
      <c r="T1141" s="1974"/>
      <c r="U1141" s="1973"/>
      <c r="V1141" s="1975" t="s">
        <v>4170</v>
      </c>
      <c r="W1141" s="1975"/>
      <c r="X1141" s="1960" t="s">
        <v>4171</v>
      </c>
      <c r="Y1141" s="1959"/>
      <c r="Z1141" s="633"/>
      <c r="AA1141" s="426"/>
      <c r="AB1141" s="426"/>
      <c r="AC1141" s="426"/>
      <c r="AD1141" s="564"/>
      <c r="AE1141" s="426"/>
      <c r="AF1141" s="564"/>
      <c r="AG1141" s="426"/>
      <c r="AH1141" s="426"/>
      <c r="AI1141" s="427"/>
      <c r="AJ1141" s="427"/>
      <c r="AK1141" s="427"/>
      <c r="AL1141" s="427"/>
      <c r="AM1141" s="428"/>
      <c r="AN1141" s="427"/>
      <c r="AO1141" s="427"/>
      <c r="AP1141" s="426"/>
      <c r="AQ1141" s="427"/>
      <c r="AR1141" s="427"/>
      <c r="AS1141" s="427"/>
      <c r="AT1141" s="426"/>
      <c r="AU1141" s="427"/>
      <c r="AV1141" s="427"/>
      <c r="AW1141" s="427"/>
      <c r="AX1141" s="426"/>
      <c r="AY1141" s="427"/>
      <c r="AZ1141" s="427"/>
      <c r="BA1141" s="427"/>
      <c r="BB1141" s="429"/>
      <c r="BC1141" s="430"/>
      <c r="BD1141" s="430"/>
    </row>
    <row r="1142" spans="1:59" s="431" customFormat="1" ht="18" customHeight="1" x14ac:dyDescent="0.2">
      <c r="A1142" s="1367"/>
      <c r="B1142" s="1968"/>
      <c r="C1142" s="1968"/>
      <c r="D1142" s="1968"/>
      <c r="E1142" s="1968"/>
      <c r="F1142" s="1968"/>
      <c r="G1142" s="1969"/>
      <c r="H1142" s="1968"/>
      <c r="I1142" s="1968"/>
      <c r="J1142" s="1968"/>
      <c r="K1142" s="1970"/>
      <c r="L1142" s="1968"/>
      <c r="M1142" s="1971"/>
      <c r="N1142" s="1963"/>
      <c r="O1142" s="1968"/>
      <c r="P1142" s="2037" t="s">
        <v>4172</v>
      </c>
      <c r="Q1142" s="1960" t="s">
        <v>4173</v>
      </c>
      <c r="R1142" s="1962" t="s">
        <v>4159</v>
      </c>
      <c r="S1142" s="1962" t="s">
        <v>4174</v>
      </c>
      <c r="T1142" s="1964" t="s">
        <v>4175</v>
      </c>
      <c r="U1142" s="1966" t="s">
        <v>4159</v>
      </c>
      <c r="V1142" s="1975"/>
      <c r="W1142" s="1975"/>
      <c r="X1142" s="1976"/>
      <c r="Y1142" s="1959"/>
      <c r="Z1142" s="633"/>
      <c r="AA1142" s="426"/>
      <c r="AB1142" s="426"/>
      <c r="AC1142" s="426"/>
      <c r="AD1142" s="564"/>
      <c r="AE1142" s="426"/>
      <c r="AF1142" s="564"/>
      <c r="AG1142" s="426"/>
      <c r="AH1142" s="426"/>
      <c r="AI1142" s="427"/>
      <c r="AJ1142" s="427"/>
      <c r="AK1142" s="426"/>
      <c r="AL1142" s="427"/>
      <c r="AM1142" s="428"/>
      <c r="AN1142" s="427"/>
      <c r="AO1142" s="427"/>
      <c r="AP1142" s="432"/>
      <c r="AQ1142" s="427"/>
      <c r="AR1142" s="427"/>
      <c r="AS1142" s="427"/>
      <c r="AT1142" s="432"/>
      <c r="AU1142" s="427"/>
      <c r="AV1142" s="427"/>
      <c r="AW1142" s="427"/>
      <c r="AX1142" s="432"/>
      <c r="AY1142" s="427"/>
      <c r="AZ1142" s="427"/>
      <c r="BA1142" s="427"/>
      <c r="BB1142" s="429"/>
      <c r="BC1142" s="430"/>
      <c r="BD1142" s="430"/>
    </row>
    <row r="1143" spans="1:59" s="431" customFormat="1" ht="18" customHeight="1" x14ac:dyDescent="0.2">
      <c r="A1143" s="1367"/>
      <c r="B1143" s="1968"/>
      <c r="C1143" s="1968"/>
      <c r="D1143" s="1968"/>
      <c r="E1143" s="433" t="s">
        <v>4176</v>
      </c>
      <c r="F1143" s="434" t="s">
        <v>2288</v>
      </c>
      <c r="G1143" s="1969"/>
      <c r="H1143" s="635" t="s">
        <v>2288</v>
      </c>
      <c r="I1143" s="635" t="s">
        <v>4177</v>
      </c>
      <c r="J1143" s="1968"/>
      <c r="K1143" s="1965"/>
      <c r="L1143" s="435" t="s">
        <v>2288</v>
      </c>
      <c r="M1143" s="681" t="s">
        <v>2288</v>
      </c>
      <c r="N1143" s="635" t="s">
        <v>2288</v>
      </c>
      <c r="O1143" s="1968"/>
      <c r="P1143" s="2038"/>
      <c r="Q1143" s="1961"/>
      <c r="R1143" s="1963"/>
      <c r="S1143" s="1963"/>
      <c r="T1143" s="1965"/>
      <c r="U1143" s="1967"/>
      <c r="V1143" s="635" t="s">
        <v>4178</v>
      </c>
      <c r="W1143" s="637" t="s">
        <v>4159</v>
      </c>
      <c r="X1143" s="1961"/>
      <c r="Y1143" s="436"/>
      <c r="Z1143" s="436"/>
      <c r="AA1143" s="426"/>
      <c r="AB1143" s="426"/>
      <c r="AC1143" s="426"/>
      <c r="AD1143" s="564"/>
      <c r="AE1143" s="426"/>
      <c r="AF1143" s="564"/>
      <c r="AG1143" s="426"/>
      <c r="AH1143" s="426"/>
      <c r="AI1143" s="427"/>
      <c r="AJ1143" s="432"/>
      <c r="AK1143" s="432"/>
      <c r="AL1143" s="427"/>
      <c r="AM1143" s="428"/>
      <c r="AN1143" s="432"/>
      <c r="AO1143" s="427"/>
      <c r="AP1143" s="432"/>
      <c r="AQ1143" s="432"/>
      <c r="AR1143" s="427"/>
      <c r="AS1143" s="427"/>
      <c r="AT1143" s="432"/>
      <c r="AU1143" s="432"/>
      <c r="AV1143" s="427"/>
      <c r="AW1143" s="427"/>
      <c r="AX1143" s="432"/>
      <c r="AY1143" s="432"/>
      <c r="AZ1143" s="427"/>
      <c r="BA1143" s="427"/>
      <c r="BB1143" s="429"/>
      <c r="BC1143" s="430"/>
      <c r="BD1143" s="430"/>
    </row>
    <row r="1144" spans="1:59" s="461" customFormat="1" ht="18" customHeight="1" x14ac:dyDescent="0.2">
      <c r="A1144" s="1368" t="str">
        <f>$D$1140&amp;S1144</f>
        <v>SUKARAJA - GIRI SAKO2007</v>
      </c>
      <c r="B1144" s="1373">
        <v>1</v>
      </c>
      <c r="C1144" s="532" t="s">
        <v>1168</v>
      </c>
      <c r="D1144" s="437" t="s">
        <v>3821</v>
      </c>
      <c r="E1144" s="438"/>
      <c r="F1144" s="439">
        <v>2007</v>
      </c>
      <c r="G1144" s="623">
        <v>789287288.45564878</v>
      </c>
      <c r="H1144" s="440">
        <f>VLOOKUP(LEFT(D1144,8),UE,4)</f>
        <v>10</v>
      </c>
      <c r="I1144" s="441"/>
      <c r="J1144" s="442">
        <f t="shared" ref="J1144:J1149" si="857">F1144+N1144-1</f>
        <v>2016</v>
      </c>
      <c r="K1144" s="443"/>
      <c r="L1144" s="440"/>
      <c r="M1144" s="746">
        <f>IF(H1144+L1144&gt;$H1144,$H1144-H1144,L1144)</f>
        <v>0</v>
      </c>
      <c r="N1144" s="444">
        <f>H1144+M1144</f>
        <v>10</v>
      </c>
      <c r="O1144" s="442">
        <f t="shared" ref="O1144:O1149" si="858">F1144+N1144-1</f>
        <v>2016</v>
      </c>
      <c r="P1144" s="617">
        <f>G1144</f>
        <v>789287288.45564878</v>
      </c>
      <c r="Q1144" s="445">
        <v>0</v>
      </c>
      <c r="R1144" s="445">
        <f>P1144/N1144</f>
        <v>78928728.845564872</v>
      </c>
      <c r="S1144" s="446">
        <f t="shared" ref="S1144:S1149" si="859">F1144</f>
        <v>2007</v>
      </c>
      <c r="T1144" s="447">
        <v>1</v>
      </c>
      <c r="U1144" s="613">
        <f t="shared" ref="U1144:U1149" si="860">R1144*T1144</f>
        <v>78928728.845564872</v>
      </c>
      <c r="V1144" s="442">
        <f t="shared" ref="V1144:V1149" si="861">F1144</f>
        <v>2007</v>
      </c>
      <c r="W1144" s="617">
        <f>IF(OR(AND(ISBLANK(E1144),ISBLANK(G1144)),ISTEXT(E1144),ISTEXT(G1144)),"",G1144-R1144)</f>
        <v>710358559.61008394</v>
      </c>
      <c r="X1144" s="448"/>
      <c r="Y1144" s="449"/>
      <c r="Z1144" s="449"/>
      <c r="AA1144" s="450" t="s">
        <v>4179</v>
      </c>
      <c r="AB1144" s="451"/>
      <c r="AC1144" s="451"/>
      <c r="AD1144" s="565"/>
      <c r="AE1144" s="452"/>
      <c r="AF1144" s="571"/>
      <c r="AG1144" s="452"/>
      <c r="AH1144" s="452"/>
      <c r="AI1144" s="453"/>
      <c r="AJ1144" s="449"/>
      <c r="AK1144" s="453"/>
      <c r="AL1144" s="454"/>
      <c r="AM1144" s="455"/>
      <c r="AN1144" s="456"/>
      <c r="AO1144" s="455"/>
      <c r="AP1144" s="452"/>
      <c r="AQ1144" s="457"/>
      <c r="AR1144" s="449"/>
      <c r="AS1144" s="449"/>
      <c r="AT1144" s="452"/>
      <c r="AU1144" s="457"/>
      <c r="AV1144" s="449"/>
      <c r="AW1144" s="458"/>
      <c r="AX1144" s="452"/>
      <c r="AY1144" s="457"/>
      <c r="AZ1144" s="449"/>
      <c r="BA1144" s="459"/>
      <c r="BB1144" s="455"/>
      <c r="BC1144" s="460"/>
      <c r="BD1144" s="460"/>
      <c r="BG1144" s="462"/>
    </row>
    <row r="1145" spans="1:59" s="461" customFormat="1" ht="18" customHeight="1" x14ac:dyDescent="0.2">
      <c r="A1145" s="1368" t="str">
        <f t="shared" ref="A1145:A1158" si="862">$D$1140&amp;S1145</f>
        <v>SUKARAJA - GIRI SAKO2008</v>
      </c>
      <c r="B1145" s="1373">
        <v>2</v>
      </c>
      <c r="C1145" s="488" t="s">
        <v>1255</v>
      </c>
      <c r="D1145" s="489" t="s">
        <v>3821</v>
      </c>
      <c r="E1145" s="558"/>
      <c r="F1145" s="559">
        <v>2008</v>
      </c>
      <c r="G1145" s="619">
        <v>0</v>
      </c>
      <c r="H1145" s="464">
        <f>IF(N1144-(F1145-F1144)&lt;=0,0,(N1144-(F1145-F1144)))</f>
        <v>9</v>
      </c>
      <c r="I1145" s="560"/>
      <c r="J1145" s="468">
        <f t="shared" si="857"/>
        <v>2016</v>
      </c>
      <c r="K1145" s="490">
        <f>IF(G1145=0,0,IF(H1145=10,100%,G1145/W1144))</f>
        <v>0</v>
      </c>
      <c r="L1145" s="469">
        <f>IF(K1145=0%,0,IF(K1145&lt;=30%,2,IF(K1145&lt;=60%,5,10)))</f>
        <v>0</v>
      </c>
      <c r="M1145" s="683">
        <f>IF(OR(AND(ISBLANK(E1145),ISBLANK(G1145)),ISTEXT(E1145),ISTEXT(G1145)),"",IF(H1145+L1145&gt;$H$1144,$H$1144-H1145,L1145))</f>
        <v>0</v>
      </c>
      <c r="N1145" s="470">
        <f>IF(OR(AND(ISBLANK(F1145),ISBLANK(G1145)),ISTEXT(F1145),ISTEXT(G1145)),"",H1145+M1145)</f>
        <v>9</v>
      </c>
      <c r="O1145" s="468">
        <f t="shared" si="858"/>
        <v>2016</v>
      </c>
      <c r="P1145" s="616">
        <f>W1144</f>
        <v>710358559.61008394</v>
      </c>
      <c r="Q1145" s="472">
        <f>P1145+G1145</f>
        <v>710358559.61008394</v>
      </c>
      <c r="R1145" s="472">
        <f>IF(L1145=0,R1144,Q1145/N1145)</f>
        <v>78928728.845564872</v>
      </c>
      <c r="S1145" s="759">
        <f t="shared" si="859"/>
        <v>2008</v>
      </c>
      <c r="T1145" s="470">
        <f>S1145-S1144</f>
        <v>1</v>
      </c>
      <c r="U1145" s="612">
        <f t="shared" si="860"/>
        <v>78928728.845564872</v>
      </c>
      <c r="V1145" s="464">
        <f t="shared" si="861"/>
        <v>2008</v>
      </c>
      <c r="W1145" s="612">
        <f>IF(OR(AND(ISBLANK(E1145),ISBLANK(G1145)),ISTEXT(E1145),ISTEXT(G1145)),"",Q1145-U1145)</f>
        <v>631429830.7645191</v>
      </c>
      <c r="X1145" s="561"/>
      <c r="Y1145" s="449"/>
      <c r="Z1145" s="449"/>
      <c r="AA1145" s="554"/>
      <c r="AB1145" s="452"/>
      <c r="AC1145" s="452"/>
      <c r="AD1145" s="566"/>
      <c r="AE1145" s="452"/>
      <c r="AF1145" s="571"/>
      <c r="AG1145" s="452"/>
      <c r="AH1145" s="452"/>
      <c r="AI1145" s="453"/>
      <c r="AJ1145" s="449"/>
      <c r="AK1145" s="453"/>
      <c r="AL1145" s="454"/>
      <c r="AM1145" s="455"/>
      <c r="AN1145" s="456"/>
      <c r="AO1145" s="455"/>
      <c r="AP1145" s="452"/>
      <c r="AQ1145" s="457"/>
      <c r="AR1145" s="449"/>
      <c r="AS1145" s="449"/>
      <c r="AT1145" s="452"/>
      <c r="AU1145" s="457"/>
      <c r="AV1145" s="449"/>
      <c r="AW1145" s="458"/>
      <c r="AX1145" s="452"/>
      <c r="AY1145" s="457"/>
      <c r="AZ1145" s="449"/>
      <c r="BA1145" s="459"/>
      <c r="BB1145" s="455"/>
      <c r="BC1145" s="460"/>
      <c r="BD1145" s="460"/>
      <c r="BG1145" s="462"/>
    </row>
    <row r="1146" spans="1:59" s="461" customFormat="1" ht="18" customHeight="1" x14ac:dyDescent="0.2">
      <c r="A1146" s="1368" t="str">
        <f t="shared" si="862"/>
        <v>SUKARAJA - GIRI SAKO2009</v>
      </c>
      <c r="B1146" s="1373"/>
      <c r="C1146" s="488"/>
      <c r="D1146" s="489"/>
      <c r="E1146" s="558"/>
      <c r="F1146" s="559">
        <v>2009</v>
      </c>
      <c r="G1146" s="619">
        <v>0</v>
      </c>
      <c r="H1146" s="464">
        <f>IF(N1145-(F1146-F1145)&lt;=0,0,(N1145-(F1146-F1145)))</f>
        <v>8</v>
      </c>
      <c r="I1146" s="560"/>
      <c r="J1146" s="468">
        <f t="shared" si="857"/>
        <v>2016</v>
      </c>
      <c r="K1146" s="490">
        <f t="shared" ref="K1146:K1157" si="863">IF(G1146=0,0,IF(H1146=10,100%,G1146/W1145))</f>
        <v>0</v>
      </c>
      <c r="L1146" s="469">
        <f>IF(K1146=0%,0,IF(K1146&lt;=30%,2,IF(K1146&lt;=60%,5,10)))</f>
        <v>0</v>
      </c>
      <c r="M1146" s="683">
        <f t="shared" ref="M1146:M1158" si="864">IF(OR(AND(ISBLANK(E1146),ISBLANK(G1146)),ISTEXT(E1146),ISTEXT(G1146)),"",IF(H1146+L1146&gt;$H$1144,$H$1144-H1146,L1146))</f>
        <v>0</v>
      </c>
      <c r="N1146" s="470">
        <f>IF(OR(AND(ISBLANK(F1146),ISBLANK(G1146)),ISTEXT(F1146),ISTEXT(G1146)),"",H1146+M1146)</f>
        <v>8</v>
      </c>
      <c r="O1146" s="468">
        <f t="shared" si="858"/>
        <v>2016</v>
      </c>
      <c r="P1146" s="616">
        <f>W1145</f>
        <v>631429830.7645191</v>
      </c>
      <c r="Q1146" s="472">
        <f>P1146+G1146</f>
        <v>631429830.7645191</v>
      </c>
      <c r="R1146" s="472">
        <f>IF(L1146=0,R1145,Q1146/N1146)</f>
        <v>78928728.845564872</v>
      </c>
      <c r="S1146" s="1132">
        <f t="shared" si="859"/>
        <v>2009</v>
      </c>
      <c r="T1146" s="470">
        <f t="shared" ref="T1146:T1155" si="865">S1146-S1145</f>
        <v>1</v>
      </c>
      <c r="U1146" s="612">
        <f t="shared" si="860"/>
        <v>78928728.845564872</v>
      </c>
      <c r="V1146" s="464">
        <f t="shared" si="861"/>
        <v>2009</v>
      </c>
      <c r="W1146" s="612">
        <f>IF(OR(AND(ISBLANK(E1146),ISBLANK(G1146)),ISTEXT(E1146),ISTEXT(G1146)),"",Q1146-U1146)</f>
        <v>552501101.91895425</v>
      </c>
      <c r="X1146" s="561"/>
      <c r="Y1146" s="449"/>
      <c r="Z1146" s="449"/>
      <c r="AA1146" s="554"/>
      <c r="AB1146" s="452"/>
      <c r="AC1146" s="452"/>
      <c r="AD1146" s="566"/>
      <c r="AE1146" s="452"/>
      <c r="AF1146" s="571"/>
      <c r="AG1146" s="452"/>
      <c r="AH1146" s="452"/>
      <c r="AI1146" s="453"/>
      <c r="AJ1146" s="449"/>
      <c r="AK1146" s="453"/>
      <c r="AL1146" s="454"/>
      <c r="AM1146" s="455"/>
      <c r="AN1146" s="456"/>
      <c r="AO1146" s="455"/>
      <c r="AP1146" s="452"/>
      <c r="AQ1146" s="457"/>
      <c r="AR1146" s="449"/>
      <c r="AS1146" s="449"/>
      <c r="AT1146" s="452"/>
      <c r="AU1146" s="457"/>
      <c r="AV1146" s="449"/>
      <c r="AW1146" s="458"/>
      <c r="AX1146" s="452"/>
      <c r="AY1146" s="457"/>
      <c r="AZ1146" s="449"/>
      <c r="BA1146" s="459"/>
      <c r="BB1146" s="455"/>
      <c r="BC1146" s="460"/>
      <c r="BD1146" s="460"/>
      <c r="BG1146" s="462"/>
    </row>
    <row r="1147" spans="1:59" s="461" customFormat="1" ht="18" customHeight="1" x14ac:dyDescent="0.2">
      <c r="A1147" s="1368" t="str">
        <f t="shared" si="862"/>
        <v>SUKARAJA - GIRI SAKO2010</v>
      </c>
      <c r="B1147" s="1373"/>
      <c r="C1147" s="488"/>
      <c r="D1147" s="489"/>
      <c r="E1147" s="558"/>
      <c r="F1147" s="559">
        <v>2010</v>
      </c>
      <c r="G1147" s="619">
        <v>0</v>
      </c>
      <c r="H1147" s="464">
        <f>IF(N1146-(F1147-F1146)&lt;=0,0,(N1146-(F1147-F1146)))</f>
        <v>7</v>
      </c>
      <c r="I1147" s="560"/>
      <c r="J1147" s="468">
        <f t="shared" si="857"/>
        <v>2016</v>
      </c>
      <c r="K1147" s="490">
        <f t="shared" si="863"/>
        <v>0</v>
      </c>
      <c r="L1147" s="469">
        <f>IF(K1147=0%,0,IF(K1147&lt;=30%,2,IF(K1147&lt;=60%,5,10)))</f>
        <v>0</v>
      </c>
      <c r="M1147" s="683">
        <f t="shared" si="864"/>
        <v>0</v>
      </c>
      <c r="N1147" s="470">
        <f>IF(OR(AND(ISBLANK(F1147),ISBLANK(G1147)),ISTEXT(F1147),ISTEXT(G1147)),"",H1147+M1147)</f>
        <v>7</v>
      </c>
      <c r="O1147" s="468">
        <f t="shared" si="858"/>
        <v>2016</v>
      </c>
      <c r="P1147" s="616">
        <f>W1146</f>
        <v>552501101.91895425</v>
      </c>
      <c r="Q1147" s="472">
        <f>P1147+G1147</f>
        <v>552501101.91895425</v>
      </c>
      <c r="R1147" s="472">
        <f>IF(L1147=0,R1146,Q1147/N1147)</f>
        <v>78928728.845564872</v>
      </c>
      <c r="S1147" s="1132">
        <f t="shared" si="859"/>
        <v>2010</v>
      </c>
      <c r="T1147" s="470">
        <f t="shared" si="865"/>
        <v>1</v>
      </c>
      <c r="U1147" s="612">
        <f t="shared" si="860"/>
        <v>78928728.845564872</v>
      </c>
      <c r="V1147" s="464">
        <f t="shared" si="861"/>
        <v>2010</v>
      </c>
      <c r="W1147" s="612">
        <f>IF(OR(AND(ISBLANK(E1147),ISBLANK(G1147)),ISTEXT(E1147),ISTEXT(G1147)),"",Q1147-U1147)</f>
        <v>473572373.07338941</v>
      </c>
      <c r="X1147" s="561"/>
      <c r="Y1147" s="449"/>
      <c r="Z1147" s="449"/>
      <c r="AA1147" s="554"/>
      <c r="AB1147" s="452"/>
      <c r="AC1147" s="452"/>
      <c r="AD1147" s="566"/>
      <c r="AE1147" s="452"/>
      <c r="AF1147" s="571"/>
      <c r="AG1147" s="452"/>
      <c r="AH1147" s="452"/>
      <c r="AI1147" s="453"/>
      <c r="AJ1147" s="449"/>
      <c r="AK1147" s="453"/>
      <c r="AL1147" s="454"/>
      <c r="AM1147" s="455"/>
      <c r="AN1147" s="456"/>
      <c r="AO1147" s="455"/>
      <c r="AP1147" s="452"/>
      <c r="AQ1147" s="457"/>
      <c r="AR1147" s="449"/>
      <c r="AS1147" s="449"/>
      <c r="AT1147" s="452"/>
      <c r="AU1147" s="457"/>
      <c r="AV1147" s="449"/>
      <c r="AW1147" s="458"/>
      <c r="AX1147" s="452"/>
      <c r="AY1147" s="457"/>
      <c r="AZ1147" s="449"/>
      <c r="BA1147" s="459"/>
      <c r="BB1147" s="455"/>
      <c r="BC1147" s="460"/>
      <c r="BD1147" s="460"/>
      <c r="BG1147" s="462"/>
    </row>
    <row r="1148" spans="1:59" s="461" customFormat="1" ht="18" customHeight="1" x14ac:dyDescent="0.2">
      <c r="A1148" s="1368" t="str">
        <f t="shared" si="862"/>
        <v>SUKARAJA - GIRI SAKO2011</v>
      </c>
      <c r="B1148" s="1373"/>
      <c r="C1148" s="488"/>
      <c r="D1148" s="489"/>
      <c r="E1148" s="558"/>
      <c r="F1148" s="559">
        <v>2011</v>
      </c>
      <c r="G1148" s="619">
        <v>0</v>
      </c>
      <c r="H1148" s="464">
        <f>IF(N1147-(F1148-F1147)&lt;=0,0,(N1147-(F1148-F1147)))</f>
        <v>6</v>
      </c>
      <c r="I1148" s="560"/>
      <c r="J1148" s="468">
        <f t="shared" si="857"/>
        <v>2016</v>
      </c>
      <c r="K1148" s="490">
        <f t="shared" si="863"/>
        <v>0</v>
      </c>
      <c r="L1148" s="469">
        <f>IF(K1148=0%,0,IF(K1148&lt;=30%,2,IF(K1148&lt;=60%,5,10)))</f>
        <v>0</v>
      </c>
      <c r="M1148" s="683">
        <f t="shared" si="864"/>
        <v>0</v>
      </c>
      <c r="N1148" s="470">
        <f>IF(OR(AND(ISBLANK(F1148),ISBLANK(G1148)),ISTEXT(F1148),ISTEXT(G1148)),"",H1148+M1148)</f>
        <v>6</v>
      </c>
      <c r="O1148" s="468">
        <f t="shared" si="858"/>
        <v>2016</v>
      </c>
      <c r="P1148" s="616">
        <f>W1147</f>
        <v>473572373.07338941</v>
      </c>
      <c r="Q1148" s="472">
        <f>P1148+G1148</f>
        <v>473572373.07338941</v>
      </c>
      <c r="R1148" s="472">
        <f>IF(L1148=0,R1147,Q1148/N1148)</f>
        <v>78928728.845564872</v>
      </c>
      <c r="S1148" s="1132">
        <f t="shared" si="859"/>
        <v>2011</v>
      </c>
      <c r="T1148" s="470">
        <f t="shared" si="865"/>
        <v>1</v>
      </c>
      <c r="U1148" s="612">
        <f t="shared" si="860"/>
        <v>78928728.845564872</v>
      </c>
      <c r="V1148" s="464">
        <f t="shared" si="861"/>
        <v>2011</v>
      </c>
      <c r="W1148" s="612">
        <f>IF(OR(AND(ISBLANK(E1148),ISBLANK(G1148)),ISTEXT(E1148),ISTEXT(G1148)),"",Q1148-U1148)</f>
        <v>394643644.22782457</v>
      </c>
      <c r="X1148" s="561"/>
      <c r="Y1148" s="449"/>
      <c r="Z1148" s="449"/>
      <c r="AA1148" s="554"/>
      <c r="AB1148" s="452"/>
      <c r="AC1148" s="452"/>
      <c r="AD1148" s="566"/>
      <c r="AE1148" s="452"/>
      <c r="AF1148" s="571"/>
      <c r="AG1148" s="452"/>
      <c r="AH1148" s="452"/>
      <c r="AI1148" s="453"/>
      <c r="AJ1148" s="449"/>
      <c r="AK1148" s="453"/>
      <c r="AL1148" s="454"/>
      <c r="AM1148" s="455"/>
      <c r="AN1148" s="456"/>
      <c r="AO1148" s="455"/>
      <c r="AP1148" s="452"/>
      <c r="AQ1148" s="457"/>
      <c r="AR1148" s="449"/>
      <c r="AS1148" s="449"/>
      <c r="AT1148" s="452"/>
      <c r="AU1148" s="457"/>
      <c r="AV1148" s="449"/>
      <c r="AW1148" s="458"/>
      <c r="AX1148" s="452"/>
      <c r="AY1148" s="457"/>
      <c r="AZ1148" s="449"/>
      <c r="BA1148" s="459"/>
      <c r="BB1148" s="455"/>
      <c r="BC1148" s="460"/>
      <c r="BD1148" s="460"/>
      <c r="BG1148" s="462"/>
    </row>
    <row r="1149" spans="1:59" s="461" customFormat="1" ht="18" customHeight="1" x14ac:dyDescent="0.2">
      <c r="A1149" s="1368" t="str">
        <f t="shared" si="862"/>
        <v>SUKARAJA - GIRI SAKO2012</v>
      </c>
      <c r="B1149" s="1373">
        <v>3</v>
      </c>
      <c r="C1149" s="488" t="s">
        <v>1255</v>
      </c>
      <c r="D1149" s="489" t="s">
        <v>3821</v>
      </c>
      <c r="E1149" s="558"/>
      <c r="F1149" s="559">
        <v>2012</v>
      </c>
      <c r="G1149" s="619">
        <v>8033301761.4229603</v>
      </c>
      <c r="H1149" s="464">
        <f>IF(N1148-(F1149-F1148)&lt;=0,0,(N1148-(F1149-F1148)))</f>
        <v>5</v>
      </c>
      <c r="I1149" s="560"/>
      <c r="J1149" s="468">
        <f t="shared" si="857"/>
        <v>2021</v>
      </c>
      <c r="K1149" s="490">
        <f t="shared" si="863"/>
        <v>20.355837168342688</v>
      </c>
      <c r="L1149" s="469">
        <f>IF(K1149=0%,0,IF(K1149&lt;=30%,2,IF(K1149&lt;=60%,5,10)))</f>
        <v>10</v>
      </c>
      <c r="M1149" s="683">
        <f t="shared" si="864"/>
        <v>5</v>
      </c>
      <c r="N1149" s="470">
        <f>IF(OR(AND(ISBLANK(F1149),ISBLANK(G1149)),ISTEXT(F1149),ISTEXT(G1149)),"",H1149+M1149)</f>
        <v>10</v>
      </c>
      <c r="O1149" s="468">
        <f t="shared" si="858"/>
        <v>2021</v>
      </c>
      <c r="P1149" s="616">
        <f>W1148</f>
        <v>394643644.22782457</v>
      </c>
      <c r="Q1149" s="472">
        <f>P1149+G1149</f>
        <v>8427945405.6507845</v>
      </c>
      <c r="R1149" s="472">
        <f>IF(L1149=0,R1148,Q1149/N1149)</f>
        <v>842794540.5650785</v>
      </c>
      <c r="S1149" s="1132">
        <f t="shared" si="859"/>
        <v>2012</v>
      </c>
      <c r="T1149" s="470">
        <f t="shared" si="865"/>
        <v>1</v>
      </c>
      <c r="U1149" s="612">
        <f t="shared" si="860"/>
        <v>842794540.5650785</v>
      </c>
      <c r="V1149" s="464">
        <f t="shared" si="861"/>
        <v>2012</v>
      </c>
      <c r="W1149" s="612">
        <f>IF(OR(AND(ISBLANK(E1149),ISBLANK(G1149)),ISTEXT(E1149),ISTEXT(G1149)),"",Q1149-U1149)</f>
        <v>7585150865.0857058</v>
      </c>
      <c r="X1149" s="561"/>
      <c r="Y1149" s="449"/>
      <c r="Z1149" s="449"/>
      <c r="AA1149" s="554"/>
      <c r="AB1149" s="452"/>
      <c r="AC1149" s="452"/>
      <c r="AD1149" s="566"/>
      <c r="AE1149" s="452"/>
      <c r="AF1149" s="571"/>
      <c r="AG1149" s="452"/>
      <c r="AH1149" s="452"/>
      <c r="AI1149" s="453"/>
      <c r="AJ1149" s="449"/>
      <c r="AK1149" s="453"/>
      <c r="AL1149" s="454"/>
      <c r="AM1149" s="455"/>
      <c r="AN1149" s="456"/>
      <c r="AO1149" s="455"/>
      <c r="AP1149" s="452"/>
      <c r="AQ1149" s="457"/>
      <c r="AR1149" s="449"/>
      <c r="AS1149" s="449"/>
      <c r="AT1149" s="452"/>
      <c r="AU1149" s="457"/>
      <c r="AV1149" s="449"/>
      <c r="AW1149" s="458"/>
      <c r="AX1149" s="452"/>
      <c r="AY1149" s="457"/>
      <c r="AZ1149" s="449"/>
      <c r="BA1149" s="459"/>
      <c r="BB1149" s="455"/>
      <c r="BC1149" s="460"/>
      <c r="BD1149" s="460"/>
      <c r="BG1149" s="462"/>
    </row>
    <row r="1150" spans="1:59" s="461" customFormat="1" ht="18" customHeight="1" x14ac:dyDescent="0.2">
      <c r="A1150" s="1368" t="str">
        <f t="shared" si="862"/>
        <v>SUKARAJA - GIRI SAKO2013</v>
      </c>
      <c r="B1150" s="1373">
        <v>4</v>
      </c>
      <c r="C1150" s="488" t="s">
        <v>1286</v>
      </c>
      <c r="D1150" s="489"/>
      <c r="E1150" s="558"/>
      <c r="F1150" s="559">
        <v>2013</v>
      </c>
      <c r="G1150" s="619">
        <v>1027221016</v>
      </c>
      <c r="H1150" s="464">
        <f t="shared" ref="H1150:H1155" si="866">IF(N1149-(F1150-F1149)&lt;=0,0,(N1149-(F1150-F1149)))</f>
        <v>9</v>
      </c>
      <c r="I1150" s="560"/>
      <c r="J1150" s="468">
        <f t="shared" ref="J1150:J1155" si="867">F1150+N1150-1</f>
        <v>2022</v>
      </c>
      <c r="K1150" s="490">
        <f t="shared" si="863"/>
        <v>0.13542525841223241</v>
      </c>
      <c r="L1150" s="469">
        <f t="shared" ref="L1150:L1155" si="868">IF(K1150=0%,0,IF(K1150&lt;=30%,2,IF(K1150&lt;=60%,5,10)))</f>
        <v>2</v>
      </c>
      <c r="M1150" s="683">
        <f t="shared" si="864"/>
        <v>1</v>
      </c>
      <c r="N1150" s="470">
        <f t="shared" ref="N1150:N1155" si="869">IF(OR(AND(ISBLANK(F1150),ISBLANK(G1150)),ISTEXT(F1150),ISTEXT(G1150)),"",H1150+M1150)</f>
        <v>10</v>
      </c>
      <c r="O1150" s="468">
        <f t="shared" ref="O1150:O1155" si="870">F1150+N1150-1</f>
        <v>2022</v>
      </c>
      <c r="P1150" s="616">
        <f t="shared" ref="P1150:P1155" si="871">W1149</f>
        <v>7585150865.0857058</v>
      </c>
      <c r="Q1150" s="472">
        <f t="shared" ref="Q1150:Q1155" si="872">P1150+G1150</f>
        <v>8612371881.0857048</v>
      </c>
      <c r="R1150" s="472">
        <f t="shared" ref="R1150:R1155" si="873">IF(L1150=0,R1149,Q1150/N1150)</f>
        <v>861237188.10857046</v>
      </c>
      <c r="S1150" s="1132">
        <f t="shared" ref="S1150:S1155" si="874">F1150</f>
        <v>2013</v>
      </c>
      <c r="T1150" s="470">
        <f t="shared" si="865"/>
        <v>1</v>
      </c>
      <c r="U1150" s="612">
        <f t="shared" ref="U1150:U1155" si="875">R1150*T1150</f>
        <v>861237188.10857046</v>
      </c>
      <c r="V1150" s="464">
        <f t="shared" ref="V1150:V1155" si="876">F1150</f>
        <v>2013</v>
      </c>
      <c r="W1150" s="612">
        <f t="shared" ref="W1150:W1155" si="877">IF(OR(AND(ISBLANK(E1150),ISBLANK(G1150)),ISTEXT(E1150),ISTEXT(G1150)),"",Q1150-U1150)</f>
        <v>7751134692.9771347</v>
      </c>
      <c r="X1150" s="561"/>
      <c r="Y1150" s="449"/>
      <c r="Z1150" s="449"/>
      <c r="AA1150" s="554"/>
      <c r="AB1150" s="452"/>
      <c r="AC1150" s="452"/>
      <c r="AD1150" s="566"/>
      <c r="AE1150" s="452"/>
      <c r="AF1150" s="571"/>
      <c r="AG1150" s="452"/>
      <c r="AH1150" s="452"/>
      <c r="AI1150" s="453"/>
      <c r="AJ1150" s="449"/>
      <c r="AK1150" s="453"/>
      <c r="AL1150" s="454"/>
      <c r="AM1150" s="455"/>
      <c r="AN1150" s="456"/>
      <c r="AO1150" s="455"/>
      <c r="AP1150" s="452"/>
      <c r="AQ1150" s="457"/>
      <c r="AR1150" s="449"/>
      <c r="AS1150" s="449"/>
      <c r="AT1150" s="452"/>
      <c r="AU1150" s="457"/>
      <c r="AV1150" s="449"/>
      <c r="AW1150" s="458"/>
      <c r="AX1150" s="452"/>
      <c r="AY1150" s="457"/>
      <c r="AZ1150" s="449"/>
      <c r="BA1150" s="459"/>
      <c r="BB1150" s="455"/>
      <c r="BC1150" s="460"/>
      <c r="BD1150" s="460"/>
      <c r="BG1150" s="462"/>
    </row>
    <row r="1151" spans="1:59" s="461" customFormat="1" ht="18" customHeight="1" x14ac:dyDescent="0.2">
      <c r="A1151" s="1368" t="str">
        <f t="shared" si="862"/>
        <v>SUKARAJA - GIRI SAKO2014</v>
      </c>
      <c r="B1151" s="1373"/>
      <c r="C1151" s="488"/>
      <c r="D1151" s="489"/>
      <c r="E1151" s="558"/>
      <c r="F1151" s="559">
        <v>2014</v>
      </c>
      <c r="G1151" s="619">
        <v>0</v>
      </c>
      <c r="H1151" s="464">
        <f t="shared" si="866"/>
        <v>9</v>
      </c>
      <c r="I1151" s="560"/>
      <c r="J1151" s="468">
        <f t="shared" si="867"/>
        <v>2022</v>
      </c>
      <c r="K1151" s="490">
        <f t="shared" si="863"/>
        <v>0</v>
      </c>
      <c r="L1151" s="469">
        <f t="shared" si="868"/>
        <v>0</v>
      </c>
      <c r="M1151" s="683">
        <f t="shared" si="864"/>
        <v>0</v>
      </c>
      <c r="N1151" s="470">
        <f t="shared" si="869"/>
        <v>9</v>
      </c>
      <c r="O1151" s="468">
        <f t="shared" si="870"/>
        <v>2022</v>
      </c>
      <c r="P1151" s="616">
        <f t="shared" si="871"/>
        <v>7751134692.9771347</v>
      </c>
      <c r="Q1151" s="472">
        <f t="shared" si="872"/>
        <v>7751134692.9771347</v>
      </c>
      <c r="R1151" s="472">
        <f t="shared" si="873"/>
        <v>861237188.10857046</v>
      </c>
      <c r="S1151" s="1132">
        <f t="shared" si="874"/>
        <v>2014</v>
      </c>
      <c r="T1151" s="470">
        <f t="shared" si="865"/>
        <v>1</v>
      </c>
      <c r="U1151" s="612">
        <f t="shared" si="875"/>
        <v>861237188.10857046</v>
      </c>
      <c r="V1151" s="464">
        <f t="shared" si="876"/>
        <v>2014</v>
      </c>
      <c r="W1151" s="612">
        <f t="shared" si="877"/>
        <v>6889897504.8685646</v>
      </c>
      <c r="X1151" s="561"/>
      <c r="Y1151" s="449"/>
      <c r="Z1151" s="449"/>
      <c r="AA1151" s="554"/>
      <c r="AB1151" s="452"/>
      <c r="AC1151" s="452"/>
      <c r="AD1151" s="566"/>
      <c r="AE1151" s="452"/>
      <c r="AF1151" s="571"/>
      <c r="AG1151" s="452"/>
      <c r="AH1151" s="452"/>
      <c r="AI1151" s="453"/>
      <c r="AJ1151" s="449"/>
      <c r="AK1151" s="453"/>
      <c r="AL1151" s="454"/>
      <c r="AM1151" s="455"/>
      <c r="AN1151" s="456"/>
      <c r="AO1151" s="455"/>
      <c r="AP1151" s="452"/>
      <c r="AQ1151" s="457"/>
      <c r="AR1151" s="449"/>
      <c r="AS1151" s="449"/>
      <c r="AT1151" s="452"/>
      <c r="AU1151" s="457"/>
      <c r="AV1151" s="449"/>
      <c r="AW1151" s="458"/>
      <c r="AX1151" s="452"/>
      <c r="AY1151" s="457"/>
      <c r="AZ1151" s="449"/>
      <c r="BA1151" s="459"/>
      <c r="BB1151" s="455"/>
      <c r="BC1151" s="460"/>
      <c r="BD1151" s="460"/>
      <c r="BG1151" s="462"/>
    </row>
    <row r="1152" spans="1:59" s="461" customFormat="1" ht="18" customHeight="1" x14ac:dyDescent="0.2">
      <c r="A1152" s="1368" t="str">
        <f t="shared" si="862"/>
        <v>SUKARAJA - GIRI SAKO2015</v>
      </c>
      <c r="B1152" s="1373">
        <v>5</v>
      </c>
      <c r="C1152" s="488" t="s">
        <v>1354</v>
      </c>
      <c r="D1152" s="489"/>
      <c r="E1152" s="558"/>
      <c r="F1152" s="559">
        <v>2015</v>
      </c>
      <c r="G1152" s="619">
        <f>2127760813+2122831297</f>
        <v>4250592110</v>
      </c>
      <c r="H1152" s="464">
        <f t="shared" si="866"/>
        <v>8</v>
      </c>
      <c r="I1152" s="560"/>
      <c r="J1152" s="468">
        <f t="shared" si="867"/>
        <v>2024</v>
      </c>
      <c r="K1152" s="490">
        <f t="shared" si="863"/>
        <v>0.61693110920683958</v>
      </c>
      <c r="L1152" s="469">
        <f t="shared" si="868"/>
        <v>10</v>
      </c>
      <c r="M1152" s="683">
        <f t="shared" si="864"/>
        <v>2</v>
      </c>
      <c r="N1152" s="470">
        <f t="shared" si="869"/>
        <v>10</v>
      </c>
      <c r="O1152" s="468">
        <f t="shared" si="870"/>
        <v>2024</v>
      </c>
      <c r="P1152" s="616">
        <f t="shared" si="871"/>
        <v>6889897504.8685646</v>
      </c>
      <c r="Q1152" s="472">
        <f t="shared" si="872"/>
        <v>11140489614.868565</v>
      </c>
      <c r="R1152" s="472">
        <f t="shared" si="873"/>
        <v>1114048961.4868565</v>
      </c>
      <c r="S1152" s="1132">
        <f t="shared" si="874"/>
        <v>2015</v>
      </c>
      <c r="T1152" s="470">
        <f t="shared" si="865"/>
        <v>1</v>
      </c>
      <c r="U1152" s="612">
        <f t="shared" si="875"/>
        <v>1114048961.4868565</v>
      </c>
      <c r="V1152" s="464">
        <f t="shared" si="876"/>
        <v>2015</v>
      </c>
      <c r="W1152" s="612">
        <f t="shared" si="877"/>
        <v>10026440653.381708</v>
      </c>
      <c r="X1152" s="561"/>
      <c r="Y1152" s="449"/>
      <c r="Z1152" s="449"/>
      <c r="AA1152" s="554"/>
      <c r="AB1152" s="452"/>
      <c r="AC1152" s="452"/>
      <c r="AD1152" s="566"/>
      <c r="AE1152" s="452"/>
      <c r="AF1152" s="571"/>
      <c r="AG1152" s="452"/>
      <c r="AH1152" s="452"/>
      <c r="AI1152" s="453"/>
      <c r="AJ1152" s="449"/>
      <c r="AK1152" s="453"/>
      <c r="AL1152" s="454"/>
      <c r="AM1152" s="455"/>
      <c r="AN1152" s="456"/>
      <c r="AO1152" s="455"/>
      <c r="AP1152" s="452"/>
      <c r="AQ1152" s="457"/>
      <c r="AR1152" s="449"/>
      <c r="AS1152" s="449"/>
      <c r="AT1152" s="452"/>
      <c r="AU1152" s="457"/>
      <c r="AV1152" s="449"/>
      <c r="AW1152" s="458"/>
      <c r="AX1152" s="452"/>
      <c r="AY1152" s="457"/>
      <c r="AZ1152" s="449"/>
      <c r="BA1152" s="459"/>
      <c r="BB1152" s="455"/>
      <c r="BC1152" s="460"/>
      <c r="BD1152" s="460"/>
      <c r="BG1152" s="462"/>
    </row>
    <row r="1153" spans="1:59" s="486" customFormat="1" ht="18" customHeight="1" x14ac:dyDescent="0.2">
      <c r="A1153" s="1368" t="str">
        <f t="shared" si="862"/>
        <v>SUKARAJA - GIRI SAKO2015</v>
      </c>
      <c r="B1153" s="1373">
        <v>6</v>
      </c>
      <c r="C1153" s="488" t="s">
        <v>1408</v>
      </c>
      <c r="D1153" s="489" t="s">
        <v>3821</v>
      </c>
      <c r="E1153" s="558"/>
      <c r="F1153" s="559">
        <v>2015</v>
      </c>
      <c r="G1153" s="619">
        <v>0</v>
      </c>
      <c r="H1153" s="464">
        <f t="shared" si="866"/>
        <v>10</v>
      </c>
      <c r="I1153" s="560"/>
      <c r="J1153" s="468">
        <f t="shared" si="867"/>
        <v>2024</v>
      </c>
      <c r="K1153" s="490">
        <f t="shared" si="863"/>
        <v>0</v>
      </c>
      <c r="L1153" s="469">
        <f t="shared" si="868"/>
        <v>0</v>
      </c>
      <c r="M1153" s="683">
        <f t="shared" si="864"/>
        <v>0</v>
      </c>
      <c r="N1153" s="470">
        <f t="shared" si="869"/>
        <v>10</v>
      </c>
      <c r="O1153" s="468">
        <f t="shared" si="870"/>
        <v>2024</v>
      </c>
      <c r="P1153" s="616">
        <f t="shared" si="871"/>
        <v>10026440653.381708</v>
      </c>
      <c r="Q1153" s="472">
        <f t="shared" si="872"/>
        <v>10026440653.381708</v>
      </c>
      <c r="R1153" s="472">
        <f t="shared" si="873"/>
        <v>1114048961.4868565</v>
      </c>
      <c r="S1153" s="1132">
        <f t="shared" si="874"/>
        <v>2015</v>
      </c>
      <c r="T1153" s="470">
        <f t="shared" si="865"/>
        <v>0</v>
      </c>
      <c r="U1153" s="612">
        <f t="shared" si="875"/>
        <v>0</v>
      </c>
      <c r="V1153" s="464">
        <f t="shared" si="876"/>
        <v>2015</v>
      </c>
      <c r="W1153" s="612">
        <f t="shared" si="877"/>
        <v>10026440653.381708</v>
      </c>
      <c r="X1153" s="561"/>
      <c r="Y1153" s="474"/>
      <c r="Z1153" s="449"/>
      <c r="AA1153" s="475" t="s">
        <v>4180</v>
      </c>
      <c r="AB1153" s="476"/>
      <c r="AC1153" s="476"/>
      <c r="AD1153" s="567">
        <f>G1160</f>
        <v>16677465240.978609</v>
      </c>
      <c r="AE1153" s="476"/>
      <c r="AF1153" s="568"/>
      <c r="AG1153" s="476"/>
      <c r="AH1153" s="476"/>
      <c r="AI1153" s="477"/>
      <c r="AJ1153" s="478"/>
      <c r="AK1153" s="479"/>
      <c r="AL1153" s="480"/>
      <c r="AM1153" s="474"/>
      <c r="AN1153" s="481"/>
      <c r="AO1153" s="474"/>
      <c r="AP1153" s="476"/>
      <c r="AQ1153" s="482"/>
      <c r="AR1153" s="478"/>
      <c r="AS1153" s="478"/>
      <c r="AT1153" s="476"/>
      <c r="AU1153" s="482"/>
      <c r="AV1153" s="478"/>
      <c r="AW1153" s="483"/>
      <c r="AX1153" s="476"/>
      <c r="AY1153" s="482"/>
      <c r="AZ1153" s="478"/>
      <c r="BA1153" s="484"/>
      <c r="BB1153" s="474"/>
      <c r="BC1153" s="485"/>
      <c r="BD1153" s="485"/>
      <c r="BG1153" s="487"/>
    </row>
    <row r="1154" spans="1:59" s="486" customFormat="1" ht="18" customHeight="1" x14ac:dyDescent="0.2">
      <c r="A1154" s="1368" t="str">
        <f t="shared" si="862"/>
        <v>SUKARAJA - GIRI SAKO2016</v>
      </c>
      <c r="B1154" s="1373"/>
      <c r="C1154" s="488"/>
      <c r="D1154" s="489"/>
      <c r="E1154" s="558"/>
      <c r="F1154" s="559">
        <v>2016</v>
      </c>
      <c r="G1154" s="619">
        <v>0</v>
      </c>
      <c r="H1154" s="464">
        <f t="shared" si="866"/>
        <v>9</v>
      </c>
      <c r="I1154" s="560"/>
      <c r="J1154" s="468">
        <f t="shared" si="867"/>
        <v>2024</v>
      </c>
      <c r="K1154" s="490">
        <f t="shared" si="863"/>
        <v>0</v>
      </c>
      <c r="L1154" s="469">
        <f t="shared" si="868"/>
        <v>0</v>
      </c>
      <c r="M1154" s="683">
        <f t="shared" si="864"/>
        <v>0</v>
      </c>
      <c r="N1154" s="470">
        <f t="shared" si="869"/>
        <v>9</v>
      </c>
      <c r="O1154" s="468">
        <f t="shared" si="870"/>
        <v>2024</v>
      </c>
      <c r="P1154" s="616">
        <f t="shared" si="871"/>
        <v>10026440653.381708</v>
      </c>
      <c r="Q1154" s="472">
        <f t="shared" si="872"/>
        <v>10026440653.381708</v>
      </c>
      <c r="R1154" s="472">
        <f t="shared" si="873"/>
        <v>1114048961.4868565</v>
      </c>
      <c r="S1154" s="1132">
        <f t="shared" si="874"/>
        <v>2016</v>
      </c>
      <c r="T1154" s="470">
        <f t="shared" si="865"/>
        <v>1</v>
      </c>
      <c r="U1154" s="612">
        <f t="shared" si="875"/>
        <v>1114048961.4868565</v>
      </c>
      <c r="V1154" s="464">
        <f t="shared" si="876"/>
        <v>2016</v>
      </c>
      <c r="W1154" s="612">
        <f t="shared" si="877"/>
        <v>8912391691.8948517</v>
      </c>
      <c r="X1154" s="561"/>
      <c r="Y1154" s="478"/>
      <c r="Z1154" s="449"/>
      <c r="AA1154" s="475" t="s">
        <v>4181</v>
      </c>
      <c r="AB1154" s="491"/>
      <c r="AC1154" s="491"/>
      <c r="AD1154" s="567">
        <f>U1160</f>
        <v>8009523284.2243166</v>
      </c>
      <c r="AE1154" s="491"/>
      <c r="AF1154" s="568"/>
      <c r="AG1154" s="491"/>
      <c r="AH1154" s="491"/>
      <c r="AI1154" s="477"/>
      <c r="AJ1154" s="478"/>
      <c r="AK1154" s="479"/>
      <c r="AL1154" s="480"/>
      <c r="AM1154" s="474"/>
      <c r="AN1154" s="481"/>
      <c r="AO1154" s="474"/>
      <c r="AP1154" s="476"/>
      <c r="AQ1154" s="482"/>
      <c r="AR1154" s="478"/>
      <c r="AS1154" s="478"/>
      <c r="AT1154" s="476"/>
      <c r="AU1154" s="482"/>
      <c r="AV1154" s="478"/>
      <c r="AW1154" s="483"/>
      <c r="AX1154" s="476"/>
      <c r="AY1154" s="482"/>
      <c r="AZ1154" s="478"/>
      <c r="BA1154" s="484"/>
      <c r="BB1154" s="474"/>
      <c r="BC1154" s="485"/>
      <c r="BD1154" s="485"/>
      <c r="BG1154" s="487"/>
    </row>
    <row r="1155" spans="1:59" s="486" customFormat="1" ht="18" customHeight="1" x14ac:dyDescent="0.2">
      <c r="A1155" s="1368" t="str">
        <f t="shared" si="862"/>
        <v>SUKARAJA - GIRI SAKO2017</v>
      </c>
      <c r="B1155" s="1373">
        <v>7</v>
      </c>
      <c r="C1155" s="488" t="s">
        <v>2499</v>
      </c>
      <c r="D1155" s="489"/>
      <c r="E1155" s="558"/>
      <c r="F1155" s="559">
        <v>2017</v>
      </c>
      <c r="G1155" s="619">
        <f>190288000+189361000</f>
        <v>379649000</v>
      </c>
      <c r="H1155" s="464">
        <f t="shared" si="866"/>
        <v>8</v>
      </c>
      <c r="I1155" s="560"/>
      <c r="J1155" s="468">
        <f t="shared" si="867"/>
        <v>2026</v>
      </c>
      <c r="K1155" s="490">
        <f t="shared" si="863"/>
        <v>4.2597880919581006E-2</v>
      </c>
      <c r="L1155" s="469">
        <f t="shared" si="868"/>
        <v>2</v>
      </c>
      <c r="M1155" s="683">
        <f t="shared" si="864"/>
        <v>2</v>
      </c>
      <c r="N1155" s="470">
        <f t="shared" si="869"/>
        <v>10</v>
      </c>
      <c r="O1155" s="468">
        <f t="shared" si="870"/>
        <v>2026</v>
      </c>
      <c r="P1155" s="616">
        <f t="shared" si="871"/>
        <v>8912391691.8948517</v>
      </c>
      <c r="Q1155" s="472">
        <f t="shared" si="872"/>
        <v>9292040691.8948517</v>
      </c>
      <c r="R1155" s="472">
        <f t="shared" si="873"/>
        <v>929204069.18948519</v>
      </c>
      <c r="S1155" s="1132">
        <f t="shared" si="874"/>
        <v>2017</v>
      </c>
      <c r="T1155" s="470">
        <f t="shared" si="865"/>
        <v>1</v>
      </c>
      <c r="U1155" s="612">
        <f t="shared" si="875"/>
        <v>929204069.18948519</v>
      </c>
      <c r="V1155" s="464">
        <f t="shared" si="876"/>
        <v>2017</v>
      </c>
      <c r="W1155" s="612">
        <f t="shared" si="877"/>
        <v>8362836622.7053661</v>
      </c>
      <c r="X1155" s="561"/>
      <c r="Y1155" s="478"/>
      <c r="Z1155" s="449"/>
      <c r="AA1155" s="492" t="s">
        <v>4182</v>
      </c>
      <c r="AB1155" s="476"/>
      <c r="AC1155" s="476"/>
      <c r="AD1155" s="567">
        <f>AD1153-AD1154</f>
        <v>8667941956.7542915</v>
      </c>
      <c r="AE1155" s="476"/>
      <c r="AF1155" s="568"/>
      <c r="AG1155" s="476"/>
      <c r="AH1155" s="476"/>
      <c r="AI1155" s="477"/>
      <c r="AJ1155" s="478"/>
      <c r="AK1155" s="479"/>
      <c r="AL1155" s="480"/>
      <c r="AM1155" s="474"/>
      <c r="AN1155" s="481"/>
      <c r="AO1155" s="474"/>
      <c r="AP1155" s="476"/>
      <c r="AQ1155" s="482"/>
      <c r="AR1155" s="478"/>
      <c r="AS1155" s="478"/>
      <c r="AT1155" s="476"/>
      <c r="AU1155" s="482"/>
      <c r="AV1155" s="478"/>
      <c r="AW1155" s="483"/>
      <c r="AX1155" s="476"/>
      <c r="AY1155" s="482"/>
      <c r="AZ1155" s="478"/>
      <c r="BA1155" s="484"/>
      <c r="BB1155" s="474"/>
      <c r="BC1155" s="485"/>
      <c r="BD1155" s="485"/>
      <c r="BG1155" s="487"/>
    </row>
    <row r="1156" spans="1:59" s="486" customFormat="1" ht="18" customHeight="1" x14ac:dyDescent="0.2">
      <c r="A1156" s="1368" t="str">
        <f t="shared" si="862"/>
        <v>SUKARAJA - GIRI SAKO2017</v>
      </c>
      <c r="B1156" s="687">
        <v>8</v>
      </c>
      <c r="C1156" s="463" t="s">
        <v>3048</v>
      </c>
      <c r="D1156" s="489"/>
      <c r="E1156" s="465"/>
      <c r="F1156" s="559">
        <v>2017</v>
      </c>
      <c r="G1156" s="619">
        <v>0</v>
      </c>
      <c r="H1156" s="464">
        <f>IF(N1155-(F1156-F1155)&lt;=0,0,(N1155-(F1156-F1155)))</f>
        <v>10</v>
      </c>
      <c r="I1156" s="560"/>
      <c r="J1156" s="468">
        <f>F1156+N1156-1</f>
        <v>2026</v>
      </c>
      <c r="K1156" s="490">
        <f t="shared" si="863"/>
        <v>0</v>
      </c>
      <c r="L1156" s="469">
        <f>IF(K1156=0%,0,IF(K1156&lt;=30%,2,IF(K1156&lt;=60%,5,10)))</f>
        <v>0</v>
      </c>
      <c r="M1156" s="683">
        <f t="shared" si="864"/>
        <v>0</v>
      </c>
      <c r="N1156" s="470">
        <f>IF(OR(AND(ISBLANK(F1156),ISBLANK(G1156)),ISTEXT(F1156),ISTEXT(G1156)),"",H1156+M1156)</f>
        <v>10</v>
      </c>
      <c r="O1156" s="468">
        <f>F1156+N1156-1</f>
        <v>2026</v>
      </c>
      <c r="P1156" s="616">
        <f>W1155</f>
        <v>8362836622.7053661</v>
      </c>
      <c r="Q1156" s="472">
        <f>P1156+G1156</f>
        <v>8362836622.7053661</v>
      </c>
      <c r="R1156" s="472">
        <f>IF(L1156=0,R1155,Q1156/N1156)</f>
        <v>929204069.18948519</v>
      </c>
      <c r="S1156" s="1189">
        <f>F1156</f>
        <v>2017</v>
      </c>
      <c r="T1156" s="470">
        <f>S1156-S1155</f>
        <v>0</v>
      </c>
      <c r="U1156" s="612">
        <f>R1156*T1156</f>
        <v>0</v>
      </c>
      <c r="V1156" s="464">
        <f>F1156</f>
        <v>2017</v>
      </c>
      <c r="W1156" s="612">
        <f>IF(OR(AND(ISBLANK(E1156),ISBLANK(G1156)),ISTEXT(E1156),ISTEXT(G1156)),"",Q1156-U1156)</f>
        <v>8362836622.7053661</v>
      </c>
      <c r="X1156" s="561"/>
      <c r="Y1156" s="478"/>
      <c r="Z1156" s="449"/>
      <c r="AA1156" s="531" t="s">
        <v>4183</v>
      </c>
      <c r="AB1156" s="496"/>
      <c r="AC1156" s="496"/>
      <c r="AD1156" s="569">
        <f>AD1155-W1160</f>
        <v>0</v>
      </c>
      <c r="AE1156" s="476"/>
      <c r="AF1156" s="568"/>
      <c r="AG1156" s="476"/>
      <c r="AH1156" s="476"/>
      <c r="AI1156" s="477"/>
      <c r="AJ1156" s="478"/>
      <c r="AK1156" s="479"/>
      <c r="AL1156" s="480"/>
      <c r="AM1156" s="474"/>
      <c r="AN1156" s="481"/>
      <c r="AO1156" s="474"/>
      <c r="AP1156" s="476"/>
      <c r="AQ1156" s="482"/>
      <c r="AR1156" s="478"/>
      <c r="AS1156" s="478"/>
      <c r="AT1156" s="476"/>
      <c r="AU1156" s="482"/>
      <c r="AV1156" s="478"/>
      <c r="AW1156" s="483"/>
      <c r="AX1156" s="476"/>
      <c r="AY1156" s="482"/>
      <c r="AZ1156" s="478"/>
      <c r="BA1156" s="484"/>
      <c r="BB1156" s="474"/>
      <c r="BC1156" s="485"/>
      <c r="BD1156" s="485"/>
      <c r="BG1156" s="487"/>
    </row>
    <row r="1157" spans="1:59" s="486" customFormat="1" ht="18" customHeight="1" x14ac:dyDescent="0.2">
      <c r="A1157" s="1368" t="str">
        <f t="shared" si="862"/>
        <v>SUKARAJA - GIRI SAKO2018</v>
      </c>
      <c r="B1157" s="687"/>
      <c r="C1157" s="463"/>
      <c r="D1157" s="489"/>
      <c r="E1157" s="465"/>
      <c r="F1157" s="559">
        <v>2018</v>
      </c>
      <c r="G1157" s="619">
        <v>0</v>
      </c>
      <c r="H1157" s="464">
        <f>IF(N1156-(F1157-F1156)&lt;=0,0,(N1156-(F1157-F1156)))</f>
        <v>9</v>
      </c>
      <c r="I1157" s="560"/>
      <c r="J1157" s="468">
        <f>F1157+N1157-1</f>
        <v>2026</v>
      </c>
      <c r="K1157" s="490">
        <f t="shared" si="863"/>
        <v>0</v>
      </c>
      <c r="L1157" s="469">
        <f>IF(K1157=0%,0,IF(K1157&lt;=30%,2,IF(K1157&lt;=60%,5,10)))</f>
        <v>0</v>
      </c>
      <c r="M1157" s="683">
        <f t="shared" si="864"/>
        <v>0</v>
      </c>
      <c r="N1157" s="470">
        <f>IF(OR(AND(ISBLANK(F1157),ISBLANK(G1157)),ISTEXT(F1157),ISTEXT(G1157)),"",H1157+M1157)</f>
        <v>9</v>
      </c>
      <c r="O1157" s="468">
        <f>F1157+N1157-1</f>
        <v>2026</v>
      </c>
      <c r="P1157" s="616">
        <f>W1156</f>
        <v>8362836622.7053661</v>
      </c>
      <c r="Q1157" s="472">
        <f>P1157+G1157</f>
        <v>8362836622.7053661</v>
      </c>
      <c r="R1157" s="472">
        <f>IF(L1157=0,R1156,Q1157/N1157)</f>
        <v>929204069.18948519</v>
      </c>
      <c r="S1157" s="1189">
        <f>F1157</f>
        <v>2018</v>
      </c>
      <c r="T1157" s="470">
        <f>S1157-S1156</f>
        <v>1</v>
      </c>
      <c r="U1157" s="612">
        <f>R1157*T1157</f>
        <v>929204069.18948519</v>
      </c>
      <c r="V1157" s="464">
        <f>F1157</f>
        <v>2018</v>
      </c>
      <c r="W1157" s="612">
        <f>IF(OR(AND(ISBLANK(E1157),ISBLANK(G1157)),ISTEXT(E1157),ISTEXT(G1157)),"",Q1157-U1157)</f>
        <v>7433632553.5158806</v>
      </c>
      <c r="X1157" s="561"/>
      <c r="Y1157" s="478"/>
      <c r="Z1157" s="449"/>
      <c r="AA1157" s="573"/>
      <c r="AB1157" s="476"/>
      <c r="AC1157" s="476"/>
      <c r="AD1157" s="568"/>
      <c r="AE1157" s="476"/>
      <c r="AF1157" s="568"/>
      <c r="AG1157" s="476"/>
      <c r="AH1157" s="476"/>
      <c r="AI1157" s="477"/>
      <c r="AJ1157" s="478"/>
      <c r="AK1157" s="479"/>
      <c r="AL1157" s="480"/>
      <c r="AM1157" s="474"/>
      <c r="AN1157" s="481"/>
      <c r="AO1157" s="474"/>
      <c r="AP1157" s="476"/>
      <c r="AQ1157" s="482"/>
      <c r="AR1157" s="478"/>
      <c r="AS1157" s="478"/>
      <c r="AT1157" s="476"/>
      <c r="AU1157" s="482"/>
      <c r="AV1157" s="478"/>
      <c r="AW1157" s="483"/>
      <c r="AX1157" s="476"/>
      <c r="AY1157" s="482"/>
      <c r="AZ1157" s="478"/>
      <c r="BA1157" s="484"/>
      <c r="BB1157" s="474"/>
      <c r="BC1157" s="485"/>
      <c r="BD1157" s="485"/>
      <c r="BG1157" s="487"/>
    </row>
    <row r="1158" spans="1:59" s="486" customFormat="1" ht="18" customHeight="1" x14ac:dyDescent="0.2">
      <c r="A1158" s="1368" t="str">
        <f t="shared" si="862"/>
        <v>SUKARAJA - GIRI SAKO2019</v>
      </c>
      <c r="B1158" s="687">
        <v>9</v>
      </c>
      <c r="C1158" s="463" t="s">
        <v>5499</v>
      </c>
      <c r="D1158" s="489"/>
      <c r="E1158" s="465"/>
      <c r="F1158" s="559">
        <v>2019</v>
      </c>
      <c r="G1158" s="619">
        <v>2197414065.0999999</v>
      </c>
      <c r="H1158" s="464">
        <f>IF(N1157-(F1158-F1157)&lt;=0,0,(N1157-(F1158-F1157)))</f>
        <v>8</v>
      </c>
      <c r="I1158" s="560"/>
      <c r="J1158" s="468">
        <f>F1158+N1158-1</f>
        <v>2028</v>
      </c>
      <c r="K1158" s="490">
        <f>IF(G1158=0,0,IF(H1158=10,100%,G1158/W1157))</f>
        <v>0.29560434273290659</v>
      </c>
      <c r="L1158" s="469">
        <f>IF(K1158=0%,0,IF(K1158&lt;=30%,2,IF(K1158&lt;=60%,5,10)))</f>
        <v>2</v>
      </c>
      <c r="M1158" s="683">
        <f t="shared" si="864"/>
        <v>2</v>
      </c>
      <c r="N1158" s="470">
        <f>IF(OR(AND(ISBLANK(F1158),ISBLANK(G1158)),ISTEXT(F1158),ISTEXT(G1158)),"",H1158+M1158)</f>
        <v>10</v>
      </c>
      <c r="O1158" s="468">
        <f>F1158+N1158-1</f>
        <v>2028</v>
      </c>
      <c r="P1158" s="616">
        <f>W1157</f>
        <v>7433632553.5158806</v>
      </c>
      <c r="Q1158" s="472">
        <f>P1158+G1158</f>
        <v>9631046618.615881</v>
      </c>
      <c r="R1158" s="472">
        <f>IF(L1158=0,R1157,Q1158/N1158)</f>
        <v>963104661.86158812</v>
      </c>
      <c r="S1158" s="1189">
        <f>F1158</f>
        <v>2019</v>
      </c>
      <c r="T1158" s="470">
        <f>S1158-S1157</f>
        <v>1</v>
      </c>
      <c r="U1158" s="612">
        <f>R1158*T1158</f>
        <v>963104661.86158812</v>
      </c>
      <c r="V1158" s="464">
        <f>F1158</f>
        <v>2019</v>
      </c>
      <c r="W1158" s="612">
        <f>IF(OR(AND(ISBLANK(E1158),ISBLANK(G1158)),ISTEXT(E1158),ISTEXT(G1158)),"",Q1158-U1158)</f>
        <v>8667941956.7542934</v>
      </c>
      <c r="X1158" s="561"/>
      <c r="Y1158" s="478"/>
      <c r="Z1158" s="449"/>
      <c r="AA1158" s="573"/>
      <c r="AB1158" s="476"/>
      <c r="AC1158" s="476"/>
      <c r="AD1158" s="568"/>
      <c r="AE1158" s="476"/>
      <c r="AF1158" s="568"/>
      <c r="AG1158" s="476"/>
      <c r="AH1158" s="476"/>
      <c r="AI1158" s="477"/>
      <c r="AJ1158" s="478"/>
      <c r="AK1158" s="479"/>
      <c r="AL1158" s="480"/>
      <c r="AM1158" s="474"/>
      <c r="AN1158" s="481"/>
      <c r="AO1158" s="474"/>
      <c r="AP1158" s="476"/>
      <c r="AQ1158" s="482"/>
      <c r="AR1158" s="478"/>
      <c r="AS1158" s="478"/>
      <c r="AT1158" s="476"/>
      <c r="AU1158" s="482"/>
      <c r="AV1158" s="478"/>
      <c r="AW1158" s="483"/>
      <c r="AX1158" s="476"/>
      <c r="AY1158" s="482"/>
      <c r="AZ1158" s="478"/>
      <c r="BA1158" s="484"/>
      <c r="BB1158" s="474"/>
      <c r="BC1158" s="485"/>
      <c r="BD1158" s="485"/>
      <c r="BG1158" s="487"/>
    </row>
    <row r="1159" spans="1:59" s="486" customFormat="1" ht="18" customHeight="1" x14ac:dyDescent="0.2">
      <c r="A1159" s="1368" t="str">
        <f>LEFT(D1159,8)</f>
        <v/>
      </c>
      <c r="B1159" s="687"/>
      <c r="C1159" s="463"/>
      <c r="D1159" s="489"/>
      <c r="E1159" s="465"/>
      <c r="F1159" s="466"/>
      <c r="G1159" s="620"/>
      <c r="H1159" s="464"/>
      <c r="I1159" s="467"/>
      <c r="J1159" s="468"/>
      <c r="K1159" s="574"/>
      <c r="L1159" s="469"/>
      <c r="M1159" s="683"/>
      <c r="N1159" s="470"/>
      <c r="O1159" s="468"/>
      <c r="P1159" s="616"/>
      <c r="Q1159" s="472"/>
      <c r="R1159" s="472"/>
      <c r="S1159" s="634"/>
      <c r="T1159" s="470"/>
      <c r="U1159" s="612"/>
      <c r="V1159" s="464"/>
      <c r="W1159" s="612"/>
      <c r="X1159" s="473"/>
      <c r="Y1159" s="478"/>
      <c r="Z1159" s="449"/>
      <c r="AA1159" s="573"/>
      <c r="AB1159" s="476"/>
      <c r="AC1159" s="476"/>
      <c r="AD1159" s="568"/>
      <c r="AE1159" s="476"/>
      <c r="AF1159" s="568"/>
      <c r="AG1159" s="476"/>
      <c r="AH1159" s="476"/>
      <c r="AI1159" s="477"/>
      <c r="AJ1159" s="478"/>
      <c r="AK1159" s="479"/>
      <c r="AL1159" s="480"/>
      <c r="AM1159" s="474"/>
      <c r="AN1159" s="481"/>
      <c r="AO1159" s="474"/>
      <c r="AP1159" s="476"/>
      <c r="AQ1159" s="482"/>
      <c r="AR1159" s="478"/>
      <c r="AS1159" s="478"/>
      <c r="AT1159" s="476"/>
      <c r="AU1159" s="482"/>
      <c r="AV1159" s="478"/>
      <c r="AW1159" s="483"/>
      <c r="AX1159" s="476"/>
      <c r="AY1159" s="482"/>
      <c r="AZ1159" s="478"/>
      <c r="BA1159" s="484"/>
      <c r="BB1159" s="474"/>
      <c r="BC1159" s="485"/>
      <c r="BD1159" s="485"/>
      <c r="BG1159" s="487"/>
    </row>
    <row r="1160" spans="1:59" s="526" customFormat="1" ht="18" customHeight="1" x14ac:dyDescent="0.2">
      <c r="A1160" s="1370" t="s">
        <v>4184</v>
      </c>
      <c r="B1160" s="1956" t="s">
        <v>4184</v>
      </c>
      <c r="C1160" s="1957"/>
      <c r="D1160" s="1957"/>
      <c r="E1160" s="1957"/>
      <c r="F1160" s="1958"/>
      <c r="G1160" s="624">
        <f>SUM(G1144:G1159)</f>
        <v>16677465240.978609</v>
      </c>
      <c r="H1160" s="505"/>
      <c r="I1160" s="506"/>
      <c r="J1160" s="507"/>
      <c r="K1160" s="507"/>
      <c r="L1160" s="505"/>
      <c r="M1160" s="684"/>
      <c r="N1160" s="508"/>
      <c r="O1160" s="507"/>
      <c r="P1160" s="749"/>
      <c r="Q1160" s="510"/>
      <c r="R1160" s="511"/>
      <c r="S1160" s="512"/>
      <c r="T1160" s="512"/>
      <c r="U1160" s="610">
        <f>SUM(U1144:U1159)</f>
        <v>8009523284.2243166</v>
      </c>
      <c r="V1160" s="513"/>
      <c r="W1160" s="610">
        <f>G1160-U1160</f>
        <v>8667941956.7542915</v>
      </c>
      <c r="X1160" s="514"/>
      <c r="Y1160" s="515"/>
      <c r="Z1160" s="515"/>
      <c r="AA1160" s="515"/>
      <c r="AB1160" s="515"/>
      <c r="AC1160" s="515"/>
      <c r="AD1160" s="570"/>
      <c r="AE1160" s="515"/>
      <c r="AF1160" s="570">
        <v>7691668393.3106937</v>
      </c>
      <c r="AG1160" s="515"/>
      <c r="AH1160" s="515"/>
      <c r="AI1160" s="516"/>
      <c r="AJ1160" s="517"/>
      <c r="AK1160" s="518"/>
      <c r="AL1160" s="519"/>
      <c r="AM1160" s="520"/>
      <c r="AN1160" s="521"/>
      <c r="AO1160" s="520"/>
      <c r="AP1160" s="515"/>
      <c r="AQ1160" s="522"/>
      <c r="AR1160" s="517"/>
      <c r="AS1160" s="517"/>
      <c r="AT1160" s="515"/>
      <c r="AU1160" s="522"/>
      <c r="AV1160" s="517"/>
      <c r="AW1160" s="523"/>
      <c r="AX1160" s="515"/>
      <c r="AY1160" s="522"/>
      <c r="AZ1160" s="517"/>
      <c r="BA1160" s="524"/>
      <c r="BB1160" s="520"/>
      <c r="BC1160" s="525"/>
      <c r="BD1160" s="525"/>
      <c r="BG1160" s="527"/>
    </row>
    <row r="1163" spans="1:59" s="422" customFormat="1" ht="18" customHeight="1" x14ac:dyDescent="0.2">
      <c r="A1163" s="1366">
        <f>C1163</f>
        <v>186</v>
      </c>
      <c r="B1163" s="742" t="s">
        <v>4187</v>
      </c>
      <c r="C1163" s="556">
        <v>186</v>
      </c>
      <c r="D1163" s="553" t="str">
        <f>VLOOKUP(C1163,RUAS,2,FALSE)</f>
        <v>SAKO MARGA SARI - KUANTAN SAKO</v>
      </c>
      <c r="E1163" s="553"/>
      <c r="F1163" s="421"/>
      <c r="G1163" s="611"/>
      <c r="I1163" s="423"/>
      <c r="J1163" s="424"/>
      <c r="K1163" s="424"/>
      <c r="M1163" s="680"/>
      <c r="P1163" s="611"/>
      <c r="U1163" s="611"/>
      <c r="W1163" s="611"/>
      <c r="Y1163" s="425"/>
      <c r="Z1163" s="425"/>
      <c r="AA1163" s="425"/>
      <c r="AB1163" s="425"/>
      <c r="AC1163" s="425"/>
      <c r="AD1163" s="563"/>
      <c r="AE1163" s="425"/>
      <c r="AF1163" s="563"/>
      <c r="AG1163" s="425"/>
      <c r="AH1163" s="425"/>
      <c r="AI1163" s="425"/>
      <c r="AJ1163" s="425"/>
      <c r="AK1163" s="425"/>
      <c r="AL1163" s="425"/>
      <c r="AM1163" s="425"/>
      <c r="AN1163" s="425"/>
      <c r="AO1163" s="425"/>
      <c r="AP1163" s="425"/>
      <c r="AQ1163" s="425"/>
      <c r="AR1163" s="425"/>
      <c r="AS1163" s="425"/>
      <c r="AT1163" s="425"/>
      <c r="AU1163" s="425"/>
      <c r="AV1163" s="425"/>
      <c r="AW1163" s="425"/>
      <c r="AX1163" s="425"/>
      <c r="AY1163" s="425"/>
      <c r="AZ1163" s="425"/>
      <c r="BA1163" s="425"/>
      <c r="BB1163" s="425"/>
    </row>
    <row r="1164" spans="1:59" s="431" customFormat="1" ht="18" customHeight="1" x14ac:dyDescent="0.2">
      <c r="A1164" s="1367"/>
      <c r="B1164" s="1968" t="s">
        <v>5</v>
      </c>
      <c r="C1164" s="1968" t="s">
        <v>2280</v>
      </c>
      <c r="D1164" s="1968" t="s">
        <v>4157</v>
      </c>
      <c r="E1164" s="1968" t="s">
        <v>4158</v>
      </c>
      <c r="F1164" s="1968"/>
      <c r="G1164" s="1969" t="s">
        <v>4159</v>
      </c>
      <c r="H1164" s="1968" t="s">
        <v>4160</v>
      </c>
      <c r="I1164" s="1968"/>
      <c r="J1164" s="1968" t="s">
        <v>4185</v>
      </c>
      <c r="K1164" s="1964" t="s">
        <v>4162</v>
      </c>
      <c r="L1164" s="1968" t="s">
        <v>4163</v>
      </c>
      <c r="M1164" s="1971" t="s">
        <v>4164</v>
      </c>
      <c r="N1164" s="1962" t="s">
        <v>4165</v>
      </c>
      <c r="O1164" s="1968" t="s">
        <v>4166</v>
      </c>
      <c r="P1164" s="1972" t="s">
        <v>4167</v>
      </c>
      <c r="Q1164" s="1973"/>
      <c r="R1164" s="636" t="s">
        <v>4186</v>
      </c>
      <c r="S1164" s="1972" t="s">
        <v>4169</v>
      </c>
      <c r="T1164" s="1974"/>
      <c r="U1164" s="1973"/>
      <c r="V1164" s="1975" t="s">
        <v>4170</v>
      </c>
      <c r="W1164" s="1975"/>
      <c r="X1164" s="1960" t="s">
        <v>4171</v>
      </c>
      <c r="Y1164" s="1959"/>
      <c r="Z1164" s="633"/>
      <c r="AA1164" s="426"/>
      <c r="AB1164" s="426"/>
      <c r="AC1164" s="426"/>
      <c r="AD1164" s="564"/>
      <c r="AE1164" s="426"/>
      <c r="AF1164" s="564"/>
      <c r="AG1164" s="426"/>
      <c r="AH1164" s="426"/>
      <c r="AI1164" s="427"/>
      <c r="AJ1164" s="427"/>
      <c r="AK1164" s="427"/>
      <c r="AL1164" s="427"/>
      <c r="AM1164" s="428"/>
      <c r="AN1164" s="427"/>
      <c r="AO1164" s="427"/>
      <c r="AP1164" s="426"/>
      <c r="AQ1164" s="427"/>
      <c r="AR1164" s="427"/>
      <c r="AS1164" s="427"/>
      <c r="AT1164" s="426"/>
      <c r="AU1164" s="427"/>
      <c r="AV1164" s="427"/>
      <c r="AW1164" s="427"/>
      <c r="AX1164" s="426"/>
      <c r="AY1164" s="427"/>
      <c r="AZ1164" s="427"/>
      <c r="BA1164" s="427"/>
      <c r="BB1164" s="429"/>
      <c r="BC1164" s="430"/>
      <c r="BD1164" s="430"/>
    </row>
    <row r="1165" spans="1:59" s="431" customFormat="1" ht="18" customHeight="1" x14ac:dyDescent="0.2">
      <c r="A1165" s="1367"/>
      <c r="B1165" s="1968"/>
      <c r="C1165" s="1968"/>
      <c r="D1165" s="1968"/>
      <c r="E1165" s="1968"/>
      <c r="F1165" s="1968"/>
      <c r="G1165" s="1969"/>
      <c r="H1165" s="1968"/>
      <c r="I1165" s="1968"/>
      <c r="J1165" s="1968"/>
      <c r="K1165" s="1970"/>
      <c r="L1165" s="1968"/>
      <c r="M1165" s="1971"/>
      <c r="N1165" s="1963"/>
      <c r="O1165" s="1968"/>
      <c r="P1165" s="2037" t="s">
        <v>4172</v>
      </c>
      <c r="Q1165" s="1960" t="s">
        <v>4173</v>
      </c>
      <c r="R1165" s="1962" t="s">
        <v>4159</v>
      </c>
      <c r="S1165" s="1962" t="s">
        <v>4174</v>
      </c>
      <c r="T1165" s="1964" t="s">
        <v>4175</v>
      </c>
      <c r="U1165" s="1966" t="s">
        <v>4159</v>
      </c>
      <c r="V1165" s="1975"/>
      <c r="W1165" s="1975"/>
      <c r="X1165" s="1976"/>
      <c r="Y1165" s="1959"/>
      <c r="Z1165" s="633"/>
      <c r="AA1165" s="426"/>
      <c r="AB1165" s="426"/>
      <c r="AC1165" s="426"/>
      <c r="AD1165" s="564"/>
      <c r="AE1165" s="426"/>
      <c r="AF1165" s="564"/>
      <c r="AG1165" s="426"/>
      <c r="AH1165" s="426"/>
      <c r="AI1165" s="427"/>
      <c r="AJ1165" s="427"/>
      <c r="AK1165" s="426"/>
      <c r="AL1165" s="427"/>
      <c r="AM1165" s="428"/>
      <c r="AN1165" s="427"/>
      <c r="AO1165" s="427"/>
      <c r="AP1165" s="432"/>
      <c r="AQ1165" s="427"/>
      <c r="AR1165" s="427"/>
      <c r="AS1165" s="427"/>
      <c r="AT1165" s="432"/>
      <c r="AU1165" s="427"/>
      <c r="AV1165" s="427"/>
      <c r="AW1165" s="427"/>
      <c r="AX1165" s="432"/>
      <c r="AY1165" s="427"/>
      <c r="AZ1165" s="427"/>
      <c r="BA1165" s="427"/>
      <c r="BB1165" s="429"/>
      <c r="BC1165" s="430"/>
      <c r="BD1165" s="430"/>
    </row>
    <row r="1166" spans="1:59" s="431" customFormat="1" ht="18" customHeight="1" x14ac:dyDescent="0.2">
      <c r="A1166" s="1367"/>
      <c r="B1166" s="1968"/>
      <c r="C1166" s="1968"/>
      <c r="D1166" s="1968"/>
      <c r="E1166" s="433" t="s">
        <v>4176</v>
      </c>
      <c r="F1166" s="434" t="s">
        <v>2288</v>
      </c>
      <c r="G1166" s="1969"/>
      <c r="H1166" s="635" t="s">
        <v>2288</v>
      </c>
      <c r="I1166" s="635" t="s">
        <v>4177</v>
      </c>
      <c r="J1166" s="1968"/>
      <c r="K1166" s="1965"/>
      <c r="L1166" s="435" t="s">
        <v>2288</v>
      </c>
      <c r="M1166" s="681" t="s">
        <v>2288</v>
      </c>
      <c r="N1166" s="635" t="s">
        <v>2288</v>
      </c>
      <c r="O1166" s="1968"/>
      <c r="P1166" s="2038"/>
      <c r="Q1166" s="1961"/>
      <c r="R1166" s="1963"/>
      <c r="S1166" s="1963"/>
      <c r="T1166" s="1965"/>
      <c r="U1166" s="1967"/>
      <c r="V1166" s="635" t="s">
        <v>4178</v>
      </c>
      <c r="W1166" s="637" t="s">
        <v>4159</v>
      </c>
      <c r="X1166" s="1961"/>
      <c r="Y1166" s="436"/>
      <c r="Z1166" s="436"/>
      <c r="AA1166" s="426"/>
      <c r="AB1166" s="426"/>
      <c r="AC1166" s="426"/>
      <c r="AD1166" s="564"/>
      <c r="AE1166" s="426"/>
      <c r="AF1166" s="564"/>
      <c r="AG1166" s="426"/>
      <c r="AH1166" s="426"/>
      <c r="AI1166" s="427"/>
      <c r="AJ1166" s="432"/>
      <c r="AK1166" s="432"/>
      <c r="AL1166" s="427"/>
      <c r="AM1166" s="428"/>
      <c r="AN1166" s="432"/>
      <c r="AO1166" s="427"/>
      <c r="AP1166" s="432"/>
      <c r="AQ1166" s="432"/>
      <c r="AR1166" s="427"/>
      <c r="AS1166" s="427"/>
      <c r="AT1166" s="432"/>
      <c r="AU1166" s="432"/>
      <c r="AV1166" s="427"/>
      <c r="AW1166" s="427"/>
      <c r="AX1166" s="432"/>
      <c r="AY1166" s="432"/>
      <c r="AZ1166" s="427"/>
      <c r="BA1166" s="427"/>
      <c r="BB1166" s="429"/>
      <c r="BC1166" s="430"/>
      <c r="BD1166" s="430"/>
    </row>
    <row r="1167" spans="1:59" s="461" customFormat="1" ht="18" customHeight="1" x14ac:dyDescent="0.2">
      <c r="A1167" s="1368" t="str">
        <f>$D$1163&amp;S1167</f>
        <v>SAKO MARGA SARI - KUANTAN SAKO2001</v>
      </c>
      <c r="B1167" s="1373">
        <v>1</v>
      </c>
      <c r="C1167" s="532" t="s">
        <v>529</v>
      </c>
      <c r="D1167" s="437" t="s">
        <v>3821</v>
      </c>
      <c r="E1167" s="438"/>
      <c r="F1167" s="439">
        <v>2001</v>
      </c>
      <c r="G1167" s="623">
        <v>2937600000</v>
      </c>
      <c r="H1167" s="440">
        <f>VLOOKUP(LEFT(D1167,8),UE,4)</f>
        <v>10</v>
      </c>
      <c r="I1167" s="441"/>
      <c r="J1167" s="442">
        <f>F1167+N1167-1</f>
        <v>2010</v>
      </c>
      <c r="K1167" s="443"/>
      <c r="L1167" s="440"/>
      <c r="M1167" s="746">
        <f>IF(H1167+L1167&gt;$H1167,$H1167-H1167,L1167)</f>
        <v>0</v>
      </c>
      <c r="N1167" s="444">
        <f>H1167+M1167</f>
        <v>10</v>
      </c>
      <c r="O1167" s="442">
        <f>F1167+N1167-1</f>
        <v>2010</v>
      </c>
      <c r="P1167" s="617">
        <f>G1167</f>
        <v>2937600000</v>
      </c>
      <c r="Q1167" s="445">
        <v>0</v>
      </c>
      <c r="R1167" s="445">
        <f>P1167/N1167</f>
        <v>293760000</v>
      </c>
      <c r="S1167" s="446">
        <f>F1167</f>
        <v>2001</v>
      </c>
      <c r="T1167" s="447">
        <v>1</v>
      </c>
      <c r="U1167" s="613">
        <f>R1167*T1167</f>
        <v>293760000</v>
      </c>
      <c r="V1167" s="442">
        <f>F1167</f>
        <v>2001</v>
      </c>
      <c r="W1167" s="617">
        <f>IF(OR(AND(ISBLANK(E1167),ISBLANK(G1167)),ISTEXT(E1167),ISTEXT(G1167)),"",G1167-R1167)</f>
        <v>2643840000</v>
      </c>
      <c r="X1167" s="448"/>
      <c r="Y1167" s="449"/>
      <c r="Z1167" s="449"/>
      <c r="AA1167" s="450" t="s">
        <v>4179</v>
      </c>
      <c r="AB1167" s="451"/>
      <c r="AC1167" s="451"/>
      <c r="AD1167" s="565"/>
      <c r="AE1167" s="452"/>
      <c r="AF1167" s="571"/>
      <c r="AG1167" s="452"/>
      <c r="AH1167" s="452"/>
      <c r="AI1167" s="453"/>
      <c r="AJ1167" s="449"/>
      <c r="AK1167" s="453"/>
      <c r="AL1167" s="454"/>
      <c r="AM1167" s="455"/>
      <c r="AN1167" s="456"/>
      <c r="AO1167" s="455"/>
      <c r="AP1167" s="452"/>
      <c r="AQ1167" s="457"/>
      <c r="AR1167" s="449"/>
      <c r="AS1167" s="449"/>
      <c r="AT1167" s="452"/>
      <c r="AU1167" s="457"/>
      <c r="AV1167" s="449"/>
      <c r="AW1167" s="458"/>
      <c r="AX1167" s="452"/>
      <c r="AY1167" s="457"/>
      <c r="AZ1167" s="449"/>
      <c r="BA1167" s="459"/>
      <c r="BB1167" s="455"/>
      <c r="BC1167" s="460"/>
      <c r="BD1167" s="460"/>
      <c r="BG1167" s="462"/>
    </row>
    <row r="1168" spans="1:59" s="461" customFormat="1" ht="18" customHeight="1" x14ac:dyDescent="0.2">
      <c r="A1168" s="1368" t="str">
        <f t="shared" ref="A1168:A1178" si="878">$D$1163&amp;S1168</f>
        <v>SAKO MARGA SARI - KUANTAN SAKO2007</v>
      </c>
      <c r="B1168" s="1373">
        <v>2</v>
      </c>
      <c r="C1168" s="488" t="s">
        <v>1193</v>
      </c>
      <c r="D1168" s="489" t="s">
        <v>3821</v>
      </c>
      <c r="E1168" s="558"/>
      <c r="F1168" s="559">
        <v>2007</v>
      </c>
      <c r="G1168" s="619">
        <v>1327353361.6165369</v>
      </c>
      <c r="H1168" s="464">
        <f>IF(N1167-(F1168-F1167)&lt;=0,0,(N1167-(F1168-F1167)))</f>
        <v>4</v>
      </c>
      <c r="I1168" s="560"/>
      <c r="J1168" s="468">
        <f>F1168+N1168-1</f>
        <v>2015</v>
      </c>
      <c r="K1168" s="490">
        <f>IF(G1168=0,0,IF(H1168=10,100%,G1168/W1167))</f>
        <v>0.502055102281733</v>
      </c>
      <c r="L1168" s="469">
        <f>IF(K1168=0%,0,IF(K1168&lt;=30%,2,IF(K1168&lt;=60%,5,10)))</f>
        <v>5</v>
      </c>
      <c r="M1168" s="683">
        <f>IF(OR(AND(ISBLANK(E1168),ISBLANK(G1168)),ISTEXT(E1168),ISTEXT(G1168)),"",IF(H1168+L1168&gt;$H$8,$H$8-H1168,L1168))</f>
        <v>5</v>
      </c>
      <c r="N1168" s="470">
        <f>IF(OR(AND(ISBLANK(F1168),ISBLANK(G1168)),ISTEXT(F1168),ISTEXT(G1168)),"",H1168+M1168)</f>
        <v>9</v>
      </c>
      <c r="O1168" s="468">
        <f>F1168+N1168-1</f>
        <v>2015</v>
      </c>
      <c r="P1168" s="616">
        <f>W1167</f>
        <v>2643840000</v>
      </c>
      <c r="Q1168" s="472">
        <f>P1168+G1168</f>
        <v>3971193361.6165371</v>
      </c>
      <c r="R1168" s="472">
        <f>IF(L1168=0,R1167,Q1168/N1168)</f>
        <v>441243706.84628189</v>
      </c>
      <c r="S1168" s="634">
        <f>F1168</f>
        <v>2007</v>
      </c>
      <c r="T1168" s="470">
        <f>S1168-S1167</f>
        <v>6</v>
      </c>
      <c r="U1168" s="612">
        <f>R1168*T1168</f>
        <v>2647462241.0776911</v>
      </c>
      <c r="V1168" s="464">
        <f>F1168</f>
        <v>2007</v>
      </c>
      <c r="W1168" s="612">
        <f>IF(OR(AND(ISBLANK(E1168),ISBLANK(G1168)),ISTEXT(E1168),ISTEXT(G1168)),"",Q1168-U1168)</f>
        <v>1323731120.538846</v>
      </c>
      <c r="X1168" s="561"/>
      <c r="Y1168" s="449"/>
      <c r="Z1168" s="449"/>
      <c r="AA1168" s="554"/>
      <c r="AB1168" s="452"/>
      <c r="AC1168" s="452"/>
      <c r="AD1168" s="566"/>
      <c r="AE1168" s="452"/>
      <c r="AF1168" s="571"/>
      <c r="AG1168" s="452"/>
      <c r="AH1168" s="452"/>
      <c r="AI1168" s="453"/>
      <c r="AJ1168" s="449"/>
      <c r="AK1168" s="453"/>
      <c r="AL1168" s="454"/>
      <c r="AM1168" s="455"/>
      <c r="AN1168" s="456"/>
      <c r="AO1168" s="455"/>
      <c r="AP1168" s="452"/>
      <c r="AQ1168" s="457"/>
      <c r="AR1168" s="449"/>
      <c r="AS1168" s="449"/>
      <c r="AT1168" s="452"/>
      <c r="AU1168" s="457"/>
      <c r="AV1168" s="449"/>
      <c r="AW1168" s="458"/>
      <c r="AX1168" s="452"/>
      <c r="AY1168" s="457"/>
      <c r="AZ1168" s="449"/>
      <c r="BA1168" s="459"/>
      <c r="BB1168" s="455"/>
      <c r="BC1168" s="460"/>
      <c r="BD1168" s="460"/>
      <c r="BG1168" s="462"/>
    </row>
    <row r="1169" spans="1:59" s="461" customFormat="1" ht="18" customHeight="1" x14ac:dyDescent="0.2">
      <c r="A1169" s="1368" t="str">
        <f t="shared" si="878"/>
        <v>SAKO MARGA SARI - KUANTAN SAKO2010</v>
      </c>
      <c r="B1169" s="1373"/>
      <c r="C1169" s="488"/>
      <c r="D1169" s="489"/>
      <c r="E1169" s="558"/>
      <c r="F1169" s="559">
        <v>2010</v>
      </c>
      <c r="G1169" s="619">
        <v>0</v>
      </c>
      <c r="H1169" s="464">
        <f t="shared" ref="H1169:H1177" si="879">IF(N1168-(F1169-F1168)&lt;=0,0,(N1168-(F1169-F1168)))</f>
        <v>6</v>
      </c>
      <c r="I1169" s="560"/>
      <c r="J1169" s="468">
        <f t="shared" ref="J1169:J1177" si="880">F1169+N1169-1</f>
        <v>2015</v>
      </c>
      <c r="K1169" s="490">
        <f t="shared" ref="K1169:K1177" si="881">IF(G1169=0,0,IF(H1169=10,100%,G1169/W1168))</f>
        <v>0</v>
      </c>
      <c r="L1169" s="469">
        <f t="shared" ref="L1169:L1177" si="882">IF(K1169=0%,0,IF(K1169&lt;=30%,2,IF(K1169&lt;=60%,5,10)))</f>
        <v>0</v>
      </c>
      <c r="M1169" s="683">
        <f t="shared" ref="M1169:M1177" si="883">IF(OR(AND(ISBLANK(E1169),ISBLANK(G1169)),ISTEXT(E1169),ISTEXT(G1169)),"",IF(H1169+L1169&gt;$H$8,$H$8-H1169,L1169))</f>
        <v>0</v>
      </c>
      <c r="N1169" s="470">
        <f t="shared" ref="N1169:N1177" si="884">IF(OR(AND(ISBLANK(F1169),ISBLANK(G1169)),ISTEXT(F1169),ISTEXT(G1169)),"",H1169+M1169)</f>
        <v>6</v>
      </c>
      <c r="O1169" s="468">
        <f t="shared" ref="O1169:O1177" si="885">F1169+N1169-1</f>
        <v>2015</v>
      </c>
      <c r="P1169" s="616">
        <f t="shared" ref="P1169:P1177" si="886">W1168</f>
        <v>1323731120.538846</v>
      </c>
      <c r="Q1169" s="472">
        <f t="shared" ref="Q1169:Q1177" si="887">P1169+G1169</f>
        <v>1323731120.538846</v>
      </c>
      <c r="R1169" s="472">
        <f t="shared" ref="R1169:R1177" si="888">IF(L1169=0,R1168,Q1169/N1169)</f>
        <v>441243706.84628189</v>
      </c>
      <c r="S1169" s="1189">
        <f t="shared" ref="S1169:S1177" si="889">F1169</f>
        <v>2010</v>
      </c>
      <c r="T1169" s="470">
        <f t="shared" ref="T1169:T1177" si="890">S1169-S1168</f>
        <v>3</v>
      </c>
      <c r="U1169" s="612">
        <f t="shared" ref="U1169:U1177" si="891">R1169*T1169</f>
        <v>1323731120.5388455</v>
      </c>
      <c r="V1169" s="464">
        <f t="shared" ref="V1169:V1177" si="892">F1169</f>
        <v>2010</v>
      </c>
      <c r="W1169" s="612">
        <f t="shared" ref="W1169:W1177" si="893">IF(OR(AND(ISBLANK(E1169),ISBLANK(G1169)),ISTEXT(E1169),ISTEXT(G1169)),"",Q1169-U1169)</f>
        <v>4.76837158203125E-7</v>
      </c>
      <c r="X1169" s="561"/>
      <c r="Y1169" s="449"/>
      <c r="Z1169" s="449"/>
      <c r="AA1169" s="554"/>
      <c r="AB1169" s="452"/>
      <c r="AC1169" s="452"/>
      <c r="AD1169" s="566"/>
      <c r="AE1169" s="452"/>
      <c r="AF1169" s="571"/>
      <c r="AG1169" s="452"/>
      <c r="AH1169" s="452"/>
      <c r="AI1169" s="453"/>
      <c r="AJ1169" s="449"/>
      <c r="AK1169" s="453"/>
      <c r="AL1169" s="454"/>
      <c r="AM1169" s="455"/>
      <c r="AN1169" s="456"/>
      <c r="AO1169" s="455"/>
      <c r="AP1169" s="452"/>
      <c r="AQ1169" s="457"/>
      <c r="AR1169" s="449"/>
      <c r="AS1169" s="449"/>
      <c r="AT1169" s="452"/>
      <c r="AU1169" s="457"/>
      <c r="AV1169" s="449"/>
      <c r="AW1169" s="458"/>
      <c r="AX1169" s="452"/>
      <c r="AY1169" s="457"/>
      <c r="AZ1169" s="449"/>
      <c r="BA1169" s="459"/>
      <c r="BB1169" s="455"/>
      <c r="BC1169" s="460"/>
      <c r="BD1169" s="460"/>
      <c r="BG1169" s="462"/>
    </row>
    <row r="1170" spans="1:59" s="461" customFormat="1" ht="18" customHeight="1" x14ac:dyDescent="0.2">
      <c r="A1170" s="1368" t="str">
        <f t="shared" si="878"/>
        <v>SAKO MARGA SARI - KUANTAN SAKO2011</v>
      </c>
      <c r="B1170" s="1373"/>
      <c r="C1170" s="488"/>
      <c r="D1170" s="489"/>
      <c r="E1170" s="558"/>
      <c r="F1170" s="559">
        <v>2011</v>
      </c>
      <c r="G1170" s="619">
        <v>0</v>
      </c>
      <c r="H1170" s="464">
        <f t="shared" si="879"/>
        <v>5</v>
      </c>
      <c r="I1170" s="560"/>
      <c r="J1170" s="468">
        <f t="shared" si="880"/>
        <v>2015</v>
      </c>
      <c r="K1170" s="490">
        <f t="shared" si="881"/>
        <v>0</v>
      </c>
      <c r="L1170" s="469">
        <f t="shared" si="882"/>
        <v>0</v>
      </c>
      <c r="M1170" s="683">
        <f t="shared" si="883"/>
        <v>0</v>
      </c>
      <c r="N1170" s="470">
        <f t="shared" si="884"/>
        <v>5</v>
      </c>
      <c r="O1170" s="468">
        <f t="shared" si="885"/>
        <v>2015</v>
      </c>
      <c r="P1170" s="616">
        <f t="shared" si="886"/>
        <v>4.76837158203125E-7</v>
      </c>
      <c r="Q1170" s="472">
        <f t="shared" si="887"/>
        <v>4.76837158203125E-7</v>
      </c>
      <c r="R1170" s="472">
        <v>0</v>
      </c>
      <c r="S1170" s="1189">
        <f t="shared" si="889"/>
        <v>2011</v>
      </c>
      <c r="T1170" s="470">
        <f t="shared" si="890"/>
        <v>1</v>
      </c>
      <c r="U1170" s="612">
        <f t="shared" si="891"/>
        <v>0</v>
      </c>
      <c r="V1170" s="464">
        <f t="shared" si="892"/>
        <v>2011</v>
      </c>
      <c r="W1170" s="612">
        <f t="shared" si="893"/>
        <v>4.76837158203125E-7</v>
      </c>
      <c r="X1170" s="561"/>
      <c r="Y1170" s="449"/>
      <c r="Z1170" s="449"/>
      <c r="AA1170" s="554"/>
      <c r="AB1170" s="452"/>
      <c r="AC1170" s="452"/>
      <c r="AD1170" s="566"/>
      <c r="AE1170" s="452"/>
      <c r="AF1170" s="571"/>
      <c r="AG1170" s="452"/>
      <c r="AH1170" s="452"/>
      <c r="AI1170" s="453"/>
      <c r="AJ1170" s="449"/>
      <c r="AK1170" s="453"/>
      <c r="AL1170" s="454"/>
      <c r="AM1170" s="455"/>
      <c r="AN1170" s="456"/>
      <c r="AO1170" s="455"/>
      <c r="AP1170" s="452"/>
      <c r="AQ1170" s="457"/>
      <c r="AR1170" s="449"/>
      <c r="AS1170" s="449"/>
      <c r="AT1170" s="452"/>
      <c r="AU1170" s="457"/>
      <c r="AV1170" s="449"/>
      <c r="AW1170" s="458"/>
      <c r="AX1170" s="452"/>
      <c r="AY1170" s="457"/>
      <c r="AZ1170" s="449"/>
      <c r="BA1170" s="459"/>
      <c r="BB1170" s="455"/>
      <c r="BC1170" s="460"/>
      <c r="BD1170" s="460"/>
      <c r="BG1170" s="462"/>
    </row>
    <row r="1171" spans="1:59" s="461" customFormat="1" ht="18" customHeight="1" x14ac:dyDescent="0.2">
      <c r="A1171" s="1368" t="str">
        <f t="shared" si="878"/>
        <v>SAKO MARGA SARI - KUANTAN SAKO2013</v>
      </c>
      <c r="B1171" s="1373"/>
      <c r="C1171" s="488"/>
      <c r="D1171" s="489"/>
      <c r="E1171" s="558"/>
      <c r="F1171" s="559">
        <v>2013</v>
      </c>
      <c r="G1171" s="619">
        <v>0</v>
      </c>
      <c r="H1171" s="464">
        <f t="shared" si="879"/>
        <v>3</v>
      </c>
      <c r="I1171" s="560"/>
      <c r="J1171" s="468">
        <f t="shared" si="880"/>
        <v>2015</v>
      </c>
      <c r="K1171" s="490">
        <f t="shared" si="881"/>
        <v>0</v>
      </c>
      <c r="L1171" s="469">
        <f t="shared" si="882"/>
        <v>0</v>
      </c>
      <c r="M1171" s="683">
        <f t="shared" si="883"/>
        <v>0</v>
      </c>
      <c r="N1171" s="470">
        <f t="shared" si="884"/>
        <v>3</v>
      </c>
      <c r="O1171" s="468">
        <f t="shared" si="885"/>
        <v>2015</v>
      </c>
      <c r="P1171" s="616">
        <f t="shared" si="886"/>
        <v>4.76837158203125E-7</v>
      </c>
      <c r="Q1171" s="472">
        <f t="shared" si="887"/>
        <v>4.76837158203125E-7</v>
      </c>
      <c r="R1171" s="472">
        <f t="shared" si="888"/>
        <v>0</v>
      </c>
      <c r="S1171" s="1189">
        <f t="shared" si="889"/>
        <v>2013</v>
      </c>
      <c r="T1171" s="470">
        <f t="shared" si="890"/>
        <v>2</v>
      </c>
      <c r="U1171" s="612">
        <f t="shared" si="891"/>
        <v>0</v>
      </c>
      <c r="V1171" s="464">
        <f t="shared" si="892"/>
        <v>2013</v>
      </c>
      <c r="W1171" s="612">
        <f t="shared" si="893"/>
        <v>4.76837158203125E-7</v>
      </c>
      <c r="X1171" s="561"/>
      <c r="Y1171" s="449"/>
      <c r="Z1171" s="449"/>
      <c r="AA1171" s="554"/>
      <c r="AB1171" s="452"/>
      <c r="AC1171" s="452"/>
      <c r="AD1171" s="566"/>
      <c r="AE1171" s="452"/>
      <c r="AF1171" s="571"/>
      <c r="AG1171" s="452"/>
      <c r="AH1171" s="452"/>
      <c r="AI1171" s="453"/>
      <c r="AJ1171" s="449"/>
      <c r="AK1171" s="453"/>
      <c r="AL1171" s="454"/>
      <c r="AM1171" s="455"/>
      <c r="AN1171" s="456"/>
      <c r="AO1171" s="455"/>
      <c r="AP1171" s="452"/>
      <c r="AQ1171" s="457"/>
      <c r="AR1171" s="449"/>
      <c r="AS1171" s="449"/>
      <c r="AT1171" s="452"/>
      <c r="AU1171" s="457"/>
      <c r="AV1171" s="449"/>
      <c r="AW1171" s="458"/>
      <c r="AX1171" s="452"/>
      <c r="AY1171" s="457"/>
      <c r="AZ1171" s="449"/>
      <c r="BA1171" s="459"/>
      <c r="BB1171" s="455"/>
      <c r="BC1171" s="460"/>
      <c r="BD1171" s="460"/>
      <c r="BG1171" s="462"/>
    </row>
    <row r="1172" spans="1:59" s="486" customFormat="1" ht="18" customHeight="1" x14ac:dyDescent="0.2">
      <c r="A1172" s="1368" t="str">
        <f t="shared" si="878"/>
        <v>SAKO MARGA SARI - KUANTAN SAKO2014</v>
      </c>
      <c r="B1172" s="1373">
        <v>3</v>
      </c>
      <c r="C1172" s="488" t="s">
        <v>1297</v>
      </c>
      <c r="D1172" s="489" t="s">
        <v>3821</v>
      </c>
      <c r="E1172" s="558"/>
      <c r="F1172" s="559">
        <v>2014</v>
      </c>
      <c r="G1172" s="619">
        <f>272429048+1892921442</f>
        <v>2165350490</v>
      </c>
      <c r="H1172" s="464">
        <f t="shared" si="879"/>
        <v>2</v>
      </c>
      <c r="I1172" s="560"/>
      <c r="J1172" s="468">
        <f t="shared" si="880"/>
        <v>2023</v>
      </c>
      <c r="K1172" s="490">
        <f t="shared" si="881"/>
        <v>4541069110804480</v>
      </c>
      <c r="L1172" s="469">
        <f t="shared" si="882"/>
        <v>10</v>
      </c>
      <c r="M1172" s="683">
        <f t="shared" si="883"/>
        <v>8</v>
      </c>
      <c r="N1172" s="470">
        <f t="shared" si="884"/>
        <v>10</v>
      </c>
      <c r="O1172" s="468">
        <f t="shared" si="885"/>
        <v>2023</v>
      </c>
      <c r="P1172" s="616">
        <f t="shared" si="886"/>
        <v>4.76837158203125E-7</v>
      </c>
      <c r="Q1172" s="472">
        <f t="shared" si="887"/>
        <v>2165350490.0000005</v>
      </c>
      <c r="R1172" s="472">
        <f t="shared" si="888"/>
        <v>216535049.00000006</v>
      </c>
      <c r="S1172" s="1189">
        <f t="shared" si="889"/>
        <v>2014</v>
      </c>
      <c r="T1172" s="470">
        <f t="shared" si="890"/>
        <v>1</v>
      </c>
      <c r="U1172" s="612">
        <f t="shared" si="891"/>
        <v>216535049.00000006</v>
      </c>
      <c r="V1172" s="464">
        <f t="shared" si="892"/>
        <v>2014</v>
      </c>
      <c r="W1172" s="612">
        <f t="shared" si="893"/>
        <v>1948815441.0000005</v>
      </c>
      <c r="X1172" s="473"/>
      <c r="Y1172" s="474"/>
      <c r="Z1172" s="449"/>
      <c r="AA1172" s="475" t="s">
        <v>4180</v>
      </c>
      <c r="AB1172" s="476"/>
      <c r="AC1172" s="476"/>
      <c r="AD1172" s="567">
        <f>G1180</f>
        <v>6624318247.6165371</v>
      </c>
      <c r="AE1172" s="476"/>
      <c r="AF1172" s="568"/>
      <c r="AG1172" s="476"/>
      <c r="AH1172" s="476"/>
      <c r="AI1172" s="477"/>
      <c r="AJ1172" s="478"/>
      <c r="AK1172" s="479"/>
      <c r="AL1172" s="480"/>
      <c r="AM1172" s="474"/>
      <c r="AN1172" s="481"/>
      <c r="AO1172" s="474"/>
      <c r="AP1172" s="476"/>
      <c r="AQ1172" s="482"/>
      <c r="AR1172" s="478"/>
      <c r="AS1172" s="478"/>
      <c r="AT1172" s="476"/>
      <c r="AU1172" s="482"/>
      <c r="AV1172" s="478"/>
      <c r="AW1172" s="483"/>
      <c r="AX1172" s="476"/>
      <c r="AY1172" s="482"/>
      <c r="AZ1172" s="478"/>
      <c r="BA1172" s="484"/>
      <c r="BB1172" s="474"/>
      <c r="BC1172" s="485"/>
      <c r="BD1172" s="485"/>
      <c r="BG1172" s="487"/>
    </row>
    <row r="1173" spans="1:59" s="486" customFormat="1" ht="18" customHeight="1" x14ac:dyDescent="0.2">
      <c r="A1173" s="1368" t="str">
        <f t="shared" si="878"/>
        <v>SAKO MARGA SARI - KUANTAN SAKO2014</v>
      </c>
      <c r="B1173" s="1373">
        <v>4</v>
      </c>
      <c r="C1173" s="488" t="s">
        <v>1347</v>
      </c>
      <c r="D1173" s="489" t="s">
        <v>3821</v>
      </c>
      <c r="E1173" s="558"/>
      <c r="F1173" s="559">
        <v>2014</v>
      </c>
      <c r="G1173" s="619">
        <v>0</v>
      </c>
      <c r="H1173" s="464">
        <f t="shared" si="879"/>
        <v>10</v>
      </c>
      <c r="I1173" s="560"/>
      <c r="J1173" s="468">
        <f t="shared" si="880"/>
        <v>2023</v>
      </c>
      <c r="K1173" s="490">
        <f t="shared" si="881"/>
        <v>0</v>
      </c>
      <c r="L1173" s="469">
        <f t="shared" si="882"/>
        <v>0</v>
      </c>
      <c r="M1173" s="683">
        <f t="shared" si="883"/>
        <v>0</v>
      </c>
      <c r="N1173" s="470">
        <f t="shared" si="884"/>
        <v>10</v>
      </c>
      <c r="O1173" s="468">
        <f t="shared" si="885"/>
        <v>2023</v>
      </c>
      <c r="P1173" s="616">
        <f t="shared" si="886"/>
        <v>1948815441.0000005</v>
      </c>
      <c r="Q1173" s="472">
        <f t="shared" si="887"/>
        <v>1948815441.0000005</v>
      </c>
      <c r="R1173" s="472">
        <f t="shared" si="888"/>
        <v>216535049.00000006</v>
      </c>
      <c r="S1173" s="1189">
        <f t="shared" si="889"/>
        <v>2014</v>
      </c>
      <c r="T1173" s="470">
        <f t="shared" si="890"/>
        <v>0</v>
      </c>
      <c r="U1173" s="612">
        <f t="shared" si="891"/>
        <v>0</v>
      </c>
      <c r="V1173" s="464">
        <f t="shared" si="892"/>
        <v>2014</v>
      </c>
      <c r="W1173" s="612">
        <f t="shared" si="893"/>
        <v>1948815441.0000005</v>
      </c>
      <c r="X1173" s="473"/>
      <c r="Y1173" s="478"/>
      <c r="Z1173" s="449"/>
      <c r="AA1173" s="475" t="s">
        <v>4181</v>
      </c>
      <c r="AB1173" s="491"/>
      <c r="AC1173" s="491"/>
      <c r="AD1173" s="567">
        <f>U1180</f>
        <v>5552903329.1165361</v>
      </c>
      <c r="AE1173" s="491"/>
      <c r="AF1173" s="568"/>
      <c r="AG1173" s="491"/>
      <c r="AH1173" s="491"/>
      <c r="AI1173" s="477"/>
      <c r="AJ1173" s="478"/>
      <c r="AK1173" s="479"/>
      <c r="AL1173" s="480"/>
      <c r="AM1173" s="474"/>
      <c r="AN1173" s="481"/>
      <c r="AO1173" s="474"/>
      <c r="AP1173" s="476"/>
      <c r="AQ1173" s="482"/>
      <c r="AR1173" s="478"/>
      <c r="AS1173" s="478"/>
      <c r="AT1173" s="476"/>
      <c r="AU1173" s="482"/>
      <c r="AV1173" s="478"/>
      <c r="AW1173" s="483"/>
      <c r="AX1173" s="476"/>
      <c r="AY1173" s="482"/>
      <c r="AZ1173" s="478"/>
      <c r="BA1173" s="484"/>
      <c r="BB1173" s="474"/>
      <c r="BC1173" s="485"/>
      <c r="BD1173" s="485"/>
      <c r="BG1173" s="487"/>
    </row>
    <row r="1174" spans="1:59" s="486" customFormat="1" ht="18" customHeight="1" x14ac:dyDescent="0.2">
      <c r="A1174" s="1368" t="str">
        <f t="shared" si="878"/>
        <v>SAKO MARGA SARI - KUANTAN SAKO2015</v>
      </c>
      <c r="B1174" s="1373">
        <v>5</v>
      </c>
      <c r="C1174" s="488" t="s">
        <v>1421</v>
      </c>
      <c r="D1174" s="489"/>
      <c r="E1174" s="558"/>
      <c r="F1174" s="559">
        <v>2015</v>
      </c>
      <c r="G1174" s="619">
        <v>194014396</v>
      </c>
      <c r="H1174" s="464">
        <f t="shared" si="879"/>
        <v>9</v>
      </c>
      <c r="I1174" s="560"/>
      <c r="J1174" s="468">
        <f t="shared" si="880"/>
        <v>2024</v>
      </c>
      <c r="K1174" s="490">
        <f t="shared" si="881"/>
        <v>9.9555038367535154E-2</v>
      </c>
      <c r="L1174" s="469">
        <f t="shared" si="882"/>
        <v>2</v>
      </c>
      <c r="M1174" s="683">
        <f t="shared" si="883"/>
        <v>1</v>
      </c>
      <c r="N1174" s="470">
        <f t="shared" si="884"/>
        <v>10</v>
      </c>
      <c r="O1174" s="468">
        <f t="shared" si="885"/>
        <v>2024</v>
      </c>
      <c r="P1174" s="616">
        <f t="shared" si="886"/>
        <v>1948815441.0000005</v>
      </c>
      <c r="Q1174" s="472">
        <f t="shared" si="887"/>
        <v>2142829837.0000005</v>
      </c>
      <c r="R1174" s="472">
        <f t="shared" si="888"/>
        <v>214282983.70000005</v>
      </c>
      <c r="S1174" s="1189">
        <f t="shared" si="889"/>
        <v>2015</v>
      </c>
      <c r="T1174" s="470">
        <f t="shared" si="890"/>
        <v>1</v>
      </c>
      <c r="U1174" s="612">
        <f t="shared" si="891"/>
        <v>214282983.70000005</v>
      </c>
      <c r="V1174" s="464">
        <f t="shared" si="892"/>
        <v>2015</v>
      </c>
      <c r="W1174" s="612">
        <f t="shared" si="893"/>
        <v>1928546853.3000004</v>
      </c>
      <c r="X1174" s="473"/>
      <c r="Y1174" s="478"/>
      <c r="Z1174" s="449"/>
      <c r="AA1174" s="492" t="s">
        <v>4182</v>
      </c>
      <c r="AB1174" s="476"/>
      <c r="AC1174" s="476"/>
      <c r="AD1174" s="567">
        <f>AD1172-AD1173</f>
        <v>1071414918.500001</v>
      </c>
      <c r="AE1174" s="476"/>
      <c r="AF1174" s="568"/>
      <c r="AG1174" s="476"/>
      <c r="AH1174" s="476"/>
      <c r="AI1174" s="477"/>
      <c r="AJ1174" s="478"/>
      <c r="AK1174" s="479"/>
      <c r="AL1174" s="480"/>
      <c r="AM1174" s="474"/>
      <c r="AN1174" s="481"/>
      <c r="AO1174" s="474"/>
      <c r="AP1174" s="476"/>
      <c r="AQ1174" s="482"/>
      <c r="AR1174" s="478"/>
      <c r="AS1174" s="478"/>
      <c r="AT1174" s="476"/>
      <c r="AU1174" s="482"/>
      <c r="AV1174" s="478"/>
      <c r="AW1174" s="483"/>
      <c r="AX1174" s="476"/>
      <c r="AY1174" s="482"/>
      <c r="AZ1174" s="478"/>
      <c r="BA1174" s="484"/>
      <c r="BB1174" s="474"/>
      <c r="BC1174" s="485"/>
      <c r="BD1174" s="485"/>
      <c r="BG1174" s="487"/>
    </row>
    <row r="1175" spans="1:59" s="486" customFormat="1" ht="18" customHeight="1" x14ac:dyDescent="0.2">
      <c r="A1175" s="1368" t="str">
        <f t="shared" si="878"/>
        <v>SAKO MARGA SARI - KUANTAN SAKO2016</v>
      </c>
      <c r="B1175" s="687"/>
      <c r="C1175" s="463"/>
      <c r="D1175" s="489"/>
      <c r="E1175" s="465"/>
      <c r="F1175" s="466">
        <v>2016</v>
      </c>
      <c r="G1175" s="620">
        <v>0</v>
      </c>
      <c r="H1175" s="464">
        <f t="shared" si="879"/>
        <v>9</v>
      </c>
      <c r="I1175" s="560"/>
      <c r="J1175" s="468">
        <f t="shared" si="880"/>
        <v>2024</v>
      </c>
      <c r="K1175" s="490">
        <f t="shared" si="881"/>
        <v>0</v>
      </c>
      <c r="L1175" s="469">
        <f t="shared" si="882"/>
        <v>0</v>
      </c>
      <c r="M1175" s="683">
        <f t="shared" si="883"/>
        <v>0</v>
      </c>
      <c r="N1175" s="470">
        <f t="shared" si="884"/>
        <v>9</v>
      </c>
      <c r="O1175" s="468">
        <f t="shared" si="885"/>
        <v>2024</v>
      </c>
      <c r="P1175" s="616">
        <f t="shared" si="886"/>
        <v>1928546853.3000004</v>
      </c>
      <c r="Q1175" s="472">
        <f t="shared" si="887"/>
        <v>1928546853.3000004</v>
      </c>
      <c r="R1175" s="472">
        <f t="shared" si="888"/>
        <v>214282983.70000005</v>
      </c>
      <c r="S1175" s="1189">
        <f t="shared" si="889"/>
        <v>2016</v>
      </c>
      <c r="T1175" s="470">
        <f t="shared" si="890"/>
        <v>1</v>
      </c>
      <c r="U1175" s="612">
        <f t="shared" si="891"/>
        <v>214282983.70000005</v>
      </c>
      <c r="V1175" s="464">
        <f t="shared" si="892"/>
        <v>2016</v>
      </c>
      <c r="W1175" s="612">
        <f t="shared" si="893"/>
        <v>1714263869.6000004</v>
      </c>
      <c r="X1175" s="473"/>
      <c r="Y1175" s="478"/>
      <c r="Z1175" s="449"/>
      <c r="AA1175" s="531" t="s">
        <v>4183</v>
      </c>
      <c r="AB1175" s="496"/>
      <c r="AC1175" s="496"/>
      <c r="AD1175" s="569">
        <f>AD1174-W1180</f>
        <v>0</v>
      </c>
      <c r="AE1175" s="476"/>
      <c r="AF1175" s="568"/>
      <c r="AG1175" s="476"/>
      <c r="AH1175" s="476"/>
      <c r="AI1175" s="477"/>
      <c r="AJ1175" s="478"/>
      <c r="AK1175" s="479"/>
      <c r="AL1175" s="480"/>
      <c r="AM1175" s="474"/>
      <c r="AN1175" s="481"/>
      <c r="AO1175" s="474"/>
      <c r="AP1175" s="476"/>
      <c r="AQ1175" s="482"/>
      <c r="AR1175" s="478"/>
      <c r="AS1175" s="478"/>
      <c r="AT1175" s="476"/>
      <c r="AU1175" s="482"/>
      <c r="AV1175" s="478"/>
      <c r="AW1175" s="483"/>
      <c r="AX1175" s="476"/>
      <c r="AY1175" s="482"/>
      <c r="AZ1175" s="478"/>
      <c r="BA1175" s="484"/>
      <c r="BB1175" s="474"/>
      <c r="BC1175" s="485"/>
      <c r="BD1175" s="485"/>
      <c r="BG1175" s="487"/>
    </row>
    <row r="1176" spans="1:59" s="486" customFormat="1" ht="18" customHeight="1" x14ac:dyDescent="0.2">
      <c r="A1176" s="1368" t="str">
        <f t="shared" si="878"/>
        <v>SAKO MARGA SARI - KUANTAN SAKO2017</v>
      </c>
      <c r="B1176" s="687"/>
      <c r="C1176" s="463"/>
      <c r="D1176" s="489"/>
      <c r="E1176" s="465"/>
      <c r="F1176" s="559">
        <v>2017</v>
      </c>
      <c r="G1176" s="620">
        <v>0</v>
      </c>
      <c r="H1176" s="464">
        <f t="shared" si="879"/>
        <v>8</v>
      </c>
      <c r="I1176" s="560"/>
      <c r="J1176" s="468">
        <f t="shared" si="880"/>
        <v>2024</v>
      </c>
      <c r="K1176" s="490">
        <f t="shared" si="881"/>
        <v>0</v>
      </c>
      <c r="L1176" s="469">
        <f t="shared" si="882"/>
        <v>0</v>
      </c>
      <c r="M1176" s="683">
        <f t="shared" si="883"/>
        <v>0</v>
      </c>
      <c r="N1176" s="470">
        <f t="shared" si="884"/>
        <v>8</v>
      </c>
      <c r="O1176" s="468">
        <f t="shared" si="885"/>
        <v>2024</v>
      </c>
      <c r="P1176" s="616">
        <f t="shared" si="886"/>
        <v>1714263869.6000004</v>
      </c>
      <c r="Q1176" s="472">
        <f t="shared" si="887"/>
        <v>1714263869.6000004</v>
      </c>
      <c r="R1176" s="472">
        <f t="shared" si="888"/>
        <v>214282983.70000005</v>
      </c>
      <c r="S1176" s="1189">
        <f t="shared" si="889"/>
        <v>2017</v>
      </c>
      <c r="T1176" s="470">
        <f t="shared" si="890"/>
        <v>1</v>
      </c>
      <c r="U1176" s="612">
        <f t="shared" si="891"/>
        <v>214282983.70000005</v>
      </c>
      <c r="V1176" s="464">
        <f t="shared" si="892"/>
        <v>2017</v>
      </c>
      <c r="W1176" s="612">
        <f t="shared" si="893"/>
        <v>1499980885.9000003</v>
      </c>
      <c r="X1176" s="473"/>
      <c r="Y1176" s="478"/>
      <c r="Z1176" s="449"/>
      <c r="AA1176" s="573"/>
      <c r="AB1176" s="476"/>
      <c r="AC1176" s="476"/>
      <c r="AD1176" s="568"/>
      <c r="AE1176" s="476"/>
      <c r="AF1176" s="568"/>
      <c r="AG1176" s="476"/>
      <c r="AH1176" s="476"/>
      <c r="AI1176" s="477"/>
      <c r="AJ1176" s="478"/>
      <c r="AK1176" s="479"/>
      <c r="AL1176" s="480"/>
      <c r="AM1176" s="474"/>
      <c r="AN1176" s="481"/>
      <c r="AO1176" s="474"/>
      <c r="AP1176" s="476"/>
      <c r="AQ1176" s="482"/>
      <c r="AR1176" s="478"/>
      <c r="AS1176" s="478"/>
      <c r="AT1176" s="476"/>
      <c r="AU1176" s="482"/>
      <c r="AV1176" s="478"/>
      <c r="AW1176" s="483"/>
      <c r="AX1176" s="476"/>
      <c r="AY1176" s="482"/>
      <c r="AZ1176" s="478"/>
      <c r="BA1176" s="484"/>
      <c r="BB1176" s="474"/>
      <c r="BC1176" s="485"/>
      <c r="BD1176" s="485"/>
      <c r="BG1176" s="487"/>
    </row>
    <row r="1177" spans="1:59" s="486" customFormat="1" ht="18" customHeight="1" x14ac:dyDescent="0.2">
      <c r="A1177" s="1368" t="str">
        <f t="shared" si="878"/>
        <v>SAKO MARGA SARI - KUANTAN SAKO2018</v>
      </c>
      <c r="B1177" s="687"/>
      <c r="C1177" s="463"/>
      <c r="D1177" s="489"/>
      <c r="E1177" s="465"/>
      <c r="F1177" s="466">
        <v>2018</v>
      </c>
      <c r="G1177" s="620">
        <v>0</v>
      </c>
      <c r="H1177" s="464">
        <f t="shared" si="879"/>
        <v>7</v>
      </c>
      <c r="I1177" s="560"/>
      <c r="J1177" s="468">
        <f t="shared" si="880"/>
        <v>2024</v>
      </c>
      <c r="K1177" s="490">
        <f t="shared" si="881"/>
        <v>0</v>
      </c>
      <c r="L1177" s="469">
        <f t="shared" si="882"/>
        <v>0</v>
      </c>
      <c r="M1177" s="683">
        <f t="shared" si="883"/>
        <v>0</v>
      </c>
      <c r="N1177" s="470">
        <f t="shared" si="884"/>
        <v>7</v>
      </c>
      <c r="O1177" s="468">
        <f t="shared" si="885"/>
        <v>2024</v>
      </c>
      <c r="P1177" s="616">
        <f t="shared" si="886"/>
        <v>1499980885.9000003</v>
      </c>
      <c r="Q1177" s="472">
        <f t="shared" si="887"/>
        <v>1499980885.9000003</v>
      </c>
      <c r="R1177" s="472">
        <f t="shared" si="888"/>
        <v>214282983.70000005</v>
      </c>
      <c r="S1177" s="1189">
        <f t="shared" si="889"/>
        <v>2018</v>
      </c>
      <c r="T1177" s="470">
        <f t="shared" si="890"/>
        <v>1</v>
      </c>
      <c r="U1177" s="612">
        <f t="shared" si="891"/>
        <v>214282983.70000005</v>
      </c>
      <c r="V1177" s="464">
        <f t="shared" si="892"/>
        <v>2018</v>
      </c>
      <c r="W1177" s="612">
        <f t="shared" si="893"/>
        <v>1285697902.2000003</v>
      </c>
      <c r="X1177" s="473"/>
      <c r="Y1177" s="478"/>
      <c r="Z1177" s="449"/>
      <c r="AA1177" s="573"/>
      <c r="AB1177" s="476"/>
      <c r="AC1177" s="476"/>
      <c r="AD1177" s="568"/>
      <c r="AE1177" s="476"/>
      <c r="AF1177" s="568"/>
      <c r="AG1177" s="476"/>
      <c r="AH1177" s="476"/>
      <c r="AI1177" s="477"/>
      <c r="AJ1177" s="478"/>
      <c r="AK1177" s="479"/>
      <c r="AL1177" s="480"/>
      <c r="AM1177" s="474"/>
      <c r="AN1177" s="481"/>
      <c r="AO1177" s="474"/>
      <c r="AP1177" s="476"/>
      <c r="AQ1177" s="482"/>
      <c r="AR1177" s="478"/>
      <c r="AS1177" s="478"/>
      <c r="AT1177" s="476"/>
      <c r="AU1177" s="482"/>
      <c r="AV1177" s="478"/>
      <c r="AW1177" s="483"/>
      <c r="AX1177" s="476"/>
      <c r="AY1177" s="482"/>
      <c r="AZ1177" s="478"/>
      <c r="BA1177" s="484"/>
      <c r="BB1177" s="474"/>
      <c r="BC1177" s="485"/>
      <c r="BD1177" s="485"/>
      <c r="BG1177" s="487"/>
    </row>
    <row r="1178" spans="1:59" s="486" customFormat="1" ht="18" customHeight="1" x14ac:dyDescent="0.2">
      <c r="A1178" s="1368" t="str">
        <f t="shared" si="878"/>
        <v>SAKO MARGA SARI - KUANTAN SAKO2019</v>
      </c>
      <c r="B1178" s="687"/>
      <c r="C1178" s="463"/>
      <c r="D1178" s="489"/>
      <c r="E1178" s="465"/>
      <c r="F1178" s="466">
        <v>2019</v>
      </c>
      <c r="G1178" s="620">
        <v>0</v>
      </c>
      <c r="H1178" s="464">
        <f>IF(N1177-(F1178-F1177)&lt;=0,0,(N1177-(F1178-F1177)))</f>
        <v>6</v>
      </c>
      <c r="I1178" s="560"/>
      <c r="J1178" s="468">
        <f>F1178+N1178-1</f>
        <v>2024</v>
      </c>
      <c r="K1178" s="490">
        <f>IF(G1178=0,0,IF(H1178=10,100%,G1178/W1177))</f>
        <v>0</v>
      </c>
      <c r="L1178" s="469">
        <f>IF(K1178=0%,0,IF(K1178&lt;=30%,2,IF(K1178&lt;=60%,5,10)))</f>
        <v>0</v>
      </c>
      <c r="M1178" s="683">
        <f>IF(OR(AND(ISBLANK(E1178),ISBLANK(G1178)),ISTEXT(E1178),ISTEXT(G1178)),"",IF(H1178+L1178&gt;$H$8,$H$8-H1178,L1178))</f>
        <v>0</v>
      </c>
      <c r="N1178" s="470">
        <f>IF(OR(AND(ISBLANK(F1178),ISBLANK(G1178)),ISTEXT(F1178),ISTEXT(G1178)),"",H1178+M1178)</f>
        <v>6</v>
      </c>
      <c r="O1178" s="468">
        <f>F1178+N1178-1</f>
        <v>2024</v>
      </c>
      <c r="P1178" s="616">
        <f>W1177</f>
        <v>1285697902.2000003</v>
      </c>
      <c r="Q1178" s="472">
        <f>P1178+G1178</f>
        <v>1285697902.2000003</v>
      </c>
      <c r="R1178" s="472">
        <f>IF(L1178=0,R1177,Q1178/N1178)</f>
        <v>214282983.70000005</v>
      </c>
      <c r="S1178" s="1189">
        <f>F1178</f>
        <v>2019</v>
      </c>
      <c r="T1178" s="470">
        <f>S1178-S1177</f>
        <v>1</v>
      </c>
      <c r="U1178" s="612">
        <f>R1178*T1178</f>
        <v>214282983.70000005</v>
      </c>
      <c r="V1178" s="464">
        <f>F1178</f>
        <v>2019</v>
      </c>
      <c r="W1178" s="612">
        <f>IF(OR(AND(ISBLANK(E1178),ISBLANK(G1178)),ISTEXT(E1178),ISTEXT(G1178)),"",Q1178-U1178)</f>
        <v>1071414918.5000002</v>
      </c>
      <c r="X1178" s="473"/>
      <c r="Y1178" s="478"/>
      <c r="Z1178" s="449"/>
      <c r="AA1178" s="573"/>
      <c r="AB1178" s="476"/>
      <c r="AC1178" s="476"/>
      <c r="AD1178" s="568"/>
      <c r="AE1178" s="476"/>
      <c r="AF1178" s="568"/>
      <c r="AG1178" s="476"/>
      <c r="AH1178" s="476"/>
      <c r="AI1178" s="477"/>
      <c r="AJ1178" s="478"/>
      <c r="AK1178" s="479"/>
      <c r="AL1178" s="480"/>
      <c r="AM1178" s="474"/>
      <c r="AN1178" s="481"/>
      <c r="AO1178" s="474"/>
      <c r="AP1178" s="476"/>
      <c r="AQ1178" s="482"/>
      <c r="AR1178" s="478"/>
      <c r="AS1178" s="478"/>
      <c r="AT1178" s="476"/>
      <c r="AU1178" s="482"/>
      <c r="AV1178" s="478"/>
      <c r="AW1178" s="483"/>
      <c r="AX1178" s="476"/>
      <c r="AY1178" s="482"/>
      <c r="AZ1178" s="478"/>
      <c r="BA1178" s="484"/>
      <c r="BB1178" s="474"/>
      <c r="BC1178" s="485"/>
      <c r="BD1178" s="485"/>
      <c r="BG1178" s="487"/>
    </row>
    <row r="1179" spans="1:59" s="486" customFormat="1" ht="18" customHeight="1" x14ac:dyDescent="0.2">
      <c r="A1179" s="1368" t="str">
        <f>LEFT(D1179,8)</f>
        <v/>
      </c>
      <c r="B1179" s="687"/>
      <c r="C1179" s="463"/>
      <c r="D1179" s="489"/>
      <c r="E1179" s="465"/>
      <c r="F1179" s="466"/>
      <c r="G1179" s="620"/>
      <c r="H1179" s="464"/>
      <c r="I1179" s="467"/>
      <c r="J1179" s="468"/>
      <c r="K1179" s="574"/>
      <c r="L1179" s="469"/>
      <c r="M1179" s="683"/>
      <c r="N1179" s="470"/>
      <c r="O1179" s="468"/>
      <c r="P1179" s="616"/>
      <c r="Q1179" s="472"/>
      <c r="R1179" s="472"/>
      <c r="S1179" s="634"/>
      <c r="T1179" s="470"/>
      <c r="U1179" s="612"/>
      <c r="V1179" s="464"/>
      <c r="W1179" s="612"/>
      <c r="X1179" s="473"/>
      <c r="Y1179" s="478"/>
      <c r="Z1179" s="449"/>
      <c r="AA1179" s="573"/>
      <c r="AB1179" s="476"/>
      <c r="AC1179" s="476"/>
      <c r="AD1179" s="568"/>
      <c r="AE1179" s="476"/>
      <c r="AF1179" s="568"/>
      <c r="AG1179" s="476"/>
      <c r="AH1179" s="476"/>
      <c r="AI1179" s="477"/>
      <c r="AJ1179" s="478"/>
      <c r="AK1179" s="479"/>
      <c r="AL1179" s="480"/>
      <c r="AM1179" s="474"/>
      <c r="AN1179" s="481"/>
      <c r="AO1179" s="474"/>
      <c r="AP1179" s="476"/>
      <c r="AQ1179" s="482"/>
      <c r="AR1179" s="478"/>
      <c r="AS1179" s="478"/>
      <c r="AT1179" s="476"/>
      <c r="AU1179" s="482"/>
      <c r="AV1179" s="478"/>
      <c r="AW1179" s="483"/>
      <c r="AX1179" s="476"/>
      <c r="AY1179" s="482"/>
      <c r="AZ1179" s="478"/>
      <c r="BA1179" s="484"/>
      <c r="BB1179" s="474"/>
      <c r="BC1179" s="485"/>
      <c r="BD1179" s="485"/>
      <c r="BG1179" s="487"/>
    </row>
    <row r="1180" spans="1:59" s="526" customFormat="1" ht="18" customHeight="1" x14ac:dyDescent="0.2">
      <c r="A1180" s="1370" t="s">
        <v>4184</v>
      </c>
      <c r="B1180" s="1956" t="s">
        <v>4184</v>
      </c>
      <c r="C1180" s="1957"/>
      <c r="D1180" s="1957"/>
      <c r="E1180" s="1957"/>
      <c r="F1180" s="1958"/>
      <c r="G1180" s="624">
        <f>SUM(G1167:G1179)</f>
        <v>6624318247.6165371</v>
      </c>
      <c r="H1180" s="505"/>
      <c r="I1180" s="506"/>
      <c r="J1180" s="507"/>
      <c r="K1180" s="507"/>
      <c r="L1180" s="505"/>
      <c r="M1180" s="684"/>
      <c r="N1180" s="508"/>
      <c r="O1180" s="507"/>
      <c r="P1180" s="749"/>
      <c r="Q1180" s="510"/>
      <c r="R1180" s="511"/>
      <c r="S1180" s="512"/>
      <c r="T1180" s="512"/>
      <c r="U1180" s="610">
        <f>SUM(U1167:U1179)</f>
        <v>5552903329.1165361</v>
      </c>
      <c r="V1180" s="513"/>
      <c r="W1180" s="610">
        <f>G1180-U1180</f>
        <v>1071414918.500001</v>
      </c>
      <c r="X1180" s="514"/>
      <c r="Y1180" s="515"/>
      <c r="Z1180" s="515"/>
      <c r="AA1180" s="515"/>
      <c r="AB1180" s="515"/>
      <c r="AC1180" s="515"/>
      <c r="AD1180" s="570"/>
      <c r="AE1180" s="515"/>
      <c r="AF1180" s="570">
        <v>4401030072</v>
      </c>
      <c r="AG1180" s="515"/>
      <c r="AH1180" s="515"/>
      <c r="AI1180" s="516"/>
      <c r="AJ1180" s="517"/>
      <c r="AK1180" s="518"/>
      <c r="AL1180" s="519"/>
      <c r="AM1180" s="520"/>
      <c r="AN1180" s="521"/>
      <c r="AO1180" s="520"/>
      <c r="AP1180" s="515"/>
      <c r="AQ1180" s="522"/>
      <c r="AR1180" s="517"/>
      <c r="AS1180" s="517"/>
      <c r="AT1180" s="515"/>
      <c r="AU1180" s="522"/>
      <c r="AV1180" s="517"/>
      <c r="AW1180" s="523"/>
      <c r="AX1180" s="515"/>
      <c r="AY1180" s="522"/>
      <c r="AZ1180" s="517"/>
      <c r="BA1180" s="524"/>
      <c r="BB1180" s="520"/>
      <c r="BC1180" s="525"/>
      <c r="BD1180" s="525"/>
      <c r="BG1180" s="527"/>
    </row>
    <row r="1183" spans="1:59" s="422" customFormat="1" ht="18" customHeight="1" x14ac:dyDescent="0.2">
      <c r="A1183" s="1366">
        <f>C1183</f>
        <v>190</v>
      </c>
      <c r="B1183" s="742" t="s">
        <v>4187</v>
      </c>
      <c r="C1183" s="556">
        <v>190</v>
      </c>
      <c r="D1183" s="553" t="str">
        <f>VLOOKUP(C1183,RUAS,2,FALSE)</f>
        <v>SAMBUNG - KEBUN LADO</v>
      </c>
      <c r="E1183" s="553"/>
      <c r="F1183" s="421"/>
      <c r="G1183" s="611"/>
      <c r="I1183" s="423"/>
      <c r="J1183" s="424"/>
      <c r="K1183" s="424"/>
      <c r="M1183" s="680"/>
      <c r="P1183" s="611"/>
      <c r="U1183" s="611"/>
      <c r="W1183" s="611"/>
      <c r="Y1183" s="425"/>
      <c r="Z1183" s="425"/>
      <c r="AA1183" s="425"/>
      <c r="AB1183" s="425"/>
      <c r="AC1183" s="425"/>
      <c r="AD1183" s="563"/>
      <c r="AE1183" s="425"/>
      <c r="AF1183" s="563"/>
      <c r="AG1183" s="425"/>
      <c r="AH1183" s="425"/>
      <c r="AI1183" s="425"/>
      <c r="AJ1183" s="425"/>
      <c r="AK1183" s="425"/>
      <c r="AL1183" s="425"/>
      <c r="AM1183" s="425"/>
      <c r="AN1183" s="425"/>
      <c r="AO1183" s="425"/>
      <c r="AP1183" s="425"/>
      <c r="AQ1183" s="425"/>
      <c r="AR1183" s="425"/>
      <c r="AS1183" s="425"/>
      <c r="AT1183" s="425"/>
      <c r="AU1183" s="425"/>
      <c r="AV1183" s="425"/>
      <c r="AW1183" s="425"/>
      <c r="AX1183" s="425"/>
      <c r="AY1183" s="425"/>
      <c r="AZ1183" s="425"/>
      <c r="BA1183" s="425"/>
      <c r="BB1183" s="425"/>
    </row>
    <row r="1184" spans="1:59" s="431" customFormat="1" ht="18" customHeight="1" x14ac:dyDescent="0.2">
      <c r="A1184" s="1367"/>
      <c r="B1184" s="1968" t="s">
        <v>5</v>
      </c>
      <c r="C1184" s="1968" t="s">
        <v>2280</v>
      </c>
      <c r="D1184" s="1968" t="s">
        <v>4157</v>
      </c>
      <c r="E1184" s="1968" t="s">
        <v>4158</v>
      </c>
      <c r="F1184" s="1968"/>
      <c r="G1184" s="1969" t="s">
        <v>4159</v>
      </c>
      <c r="H1184" s="1968" t="s">
        <v>4160</v>
      </c>
      <c r="I1184" s="1968"/>
      <c r="J1184" s="1968" t="s">
        <v>4185</v>
      </c>
      <c r="K1184" s="1964" t="s">
        <v>4162</v>
      </c>
      <c r="L1184" s="1968" t="s">
        <v>4163</v>
      </c>
      <c r="M1184" s="1971" t="s">
        <v>4164</v>
      </c>
      <c r="N1184" s="1962" t="s">
        <v>4165</v>
      </c>
      <c r="O1184" s="1968" t="s">
        <v>4166</v>
      </c>
      <c r="P1184" s="1972" t="s">
        <v>4167</v>
      </c>
      <c r="Q1184" s="1973"/>
      <c r="R1184" s="636" t="s">
        <v>4186</v>
      </c>
      <c r="S1184" s="1972" t="s">
        <v>4169</v>
      </c>
      <c r="T1184" s="1974"/>
      <c r="U1184" s="1973"/>
      <c r="V1184" s="1975" t="s">
        <v>4170</v>
      </c>
      <c r="W1184" s="1975"/>
      <c r="X1184" s="1960" t="s">
        <v>4171</v>
      </c>
      <c r="Y1184" s="1959"/>
      <c r="Z1184" s="633"/>
      <c r="AA1184" s="426"/>
      <c r="AB1184" s="426"/>
      <c r="AC1184" s="426"/>
      <c r="AD1184" s="564"/>
      <c r="AE1184" s="426"/>
      <c r="AF1184" s="564"/>
      <c r="AG1184" s="426"/>
      <c r="AH1184" s="426"/>
      <c r="AI1184" s="427"/>
      <c r="AJ1184" s="427"/>
      <c r="AK1184" s="427"/>
      <c r="AL1184" s="427"/>
      <c r="AM1184" s="428"/>
      <c r="AN1184" s="427"/>
      <c r="AO1184" s="427"/>
      <c r="AP1184" s="426"/>
      <c r="AQ1184" s="427"/>
      <c r="AR1184" s="427"/>
      <c r="AS1184" s="427"/>
      <c r="AT1184" s="426"/>
      <c r="AU1184" s="427"/>
      <c r="AV1184" s="427"/>
      <c r="AW1184" s="427"/>
      <c r="AX1184" s="426"/>
      <c r="AY1184" s="427"/>
      <c r="AZ1184" s="427"/>
      <c r="BA1184" s="427"/>
      <c r="BB1184" s="429"/>
      <c r="BC1184" s="430"/>
      <c r="BD1184" s="430"/>
    </row>
    <row r="1185" spans="1:59" s="431" customFormat="1" ht="18" customHeight="1" x14ac:dyDescent="0.2">
      <c r="A1185" s="1367"/>
      <c r="B1185" s="1968"/>
      <c r="C1185" s="1968"/>
      <c r="D1185" s="1968"/>
      <c r="E1185" s="1968"/>
      <c r="F1185" s="1968"/>
      <c r="G1185" s="1969"/>
      <c r="H1185" s="1968"/>
      <c r="I1185" s="1968"/>
      <c r="J1185" s="1968"/>
      <c r="K1185" s="1970"/>
      <c r="L1185" s="1968"/>
      <c r="M1185" s="1971"/>
      <c r="N1185" s="1963"/>
      <c r="O1185" s="1968"/>
      <c r="P1185" s="2037" t="s">
        <v>4172</v>
      </c>
      <c r="Q1185" s="1960" t="s">
        <v>4173</v>
      </c>
      <c r="R1185" s="1962" t="s">
        <v>4159</v>
      </c>
      <c r="S1185" s="1962" t="s">
        <v>4174</v>
      </c>
      <c r="T1185" s="1964" t="s">
        <v>4175</v>
      </c>
      <c r="U1185" s="1966" t="s">
        <v>4159</v>
      </c>
      <c r="V1185" s="1975"/>
      <c r="W1185" s="1975"/>
      <c r="X1185" s="1976"/>
      <c r="Y1185" s="1959"/>
      <c r="Z1185" s="633"/>
      <c r="AA1185" s="426"/>
      <c r="AB1185" s="426"/>
      <c r="AC1185" s="426"/>
      <c r="AD1185" s="564"/>
      <c r="AE1185" s="426"/>
      <c r="AF1185" s="564"/>
      <c r="AG1185" s="426"/>
      <c r="AH1185" s="426"/>
      <c r="AI1185" s="427"/>
      <c r="AJ1185" s="427"/>
      <c r="AK1185" s="426"/>
      <c r="AL1185" s="427"/>
      <c r="AM1185" s="428"/>
      <c r="AN1185" s="427"/>
      <c r="AO1185" s="427"/>
      <c r="AP1185" s="432"/>
      <c r="AQ1185" s="427"/>
      <c r="AR1185" s="427"/>
      <c r="AS1185" s="427"/>
      <c r="AT1185" s="432"/>
      <c r="AU1185" s="427"/>
      <c r="AV1185" s="427"/>
      <c r="AW1185" s="427"/>
      <c r="AX1185" s="432"/>
      <c r="AY1185" s="427"/>
      <c r="AZ1185" s="427"/>
      <c r="BA1185" s="427"/>
      <c r="BB1185" s="429"/>
      <c r="BC1185" s="430"/>
      <c r="BD1185" s="430"/>
    </row>
    <row r="1186" spans="1:59" s="431" customFormat="1" ht="18" customHeight="1" x14ac:dyDescent="0.2">
      <c r="A1186" s="1367"/>
      <c r="B1186" s="1968"/>
      <c r="C1186" s="1968"/>
      <c r="D1186" s="1968"/>
      <c r="E1186" s="433" t="s">
        <v>4176</v>
      </c>
      <c r="F1186" s="434" t="s">
        <v>2288</v>
      </c>
      <c r="G1186" s="1969"/>
      <c r="H1186" s="635" t="s">
        <v>2288</v>
      </c>
      <c r="I1186" s="635" t="s">
        <v>4177</v>
      </c>
      <c r="J1186" s="1968"/>
      <c r="K1186" s="1965"/>
      <c r="L1186" s="435" t="s">
        <v>2288</v>
      </c>
      <c r="M1186" s="681" t="s">
        <v>2288</v>
      </c>
      <c r="N1186" s="635" t="s">
        <v>2288</v>
      </c>
      <c r="O1186" s="1968"/>
      <c r="P1186" s="2038"/>
      <c r="Q1186" s="1961"/>
      <c r="R1186" s="1963"/>
      <c r="S1186" s="1963"/>
      <c r="T1186" s="1965"/>
      <c r="U1186" s="1967"/>
      <c r="V1186" s="635" t="s">
        <v>4178</v>
      </c>
      <c r="W1186" s="637" t="s">
        <v>4159</v>
      </c>
      <c r="X1186" s="1961"/>
      <c r="Y1186" s="436"/>
      <c r="Z1186" s="436"/>
      <c r="AA1186" s="426"/>
      <c r="AB1186" s="426"/>
      <c r="AC1186" s="426"/>
      <c r="AD1186" s="564"/>
      <c r="AE1186" s="426"/>
      <c r="AF1186" s="564"/>
      <c r="AG1186" s="426"/>
      <c r="AH1186" s="426"/>
      <c r="AI1186" s="427"/>
      <c r="AJ1186" s="432"/>
      <c r="AK1186" s="432"/>
      <c r="AL1186" s="427"/>
      <c r="AM1186" s="428"/>
      <c r="AN1186" s="432"/>
      <c r="AO1186" s="427"/>
      <c r="AP1186" s="432"/>
      <c r="AQ1186" s="432"/>
      <c r="AR1186" s="427"/>
      <c r="AS1186" s="427"/>
      <c r="AT1186" s="432"/>
      <c r="AU1186" s="432"/>
      <c r="AV1186" s="427"/>
      <c r="AW1186" s="427"/>
      <c r="AX1186" s="432"/>
      <c r="AY1186" s="432"/>
      <c r="AZ1186" s="427"/>
      <c r="BA1186" s="427"/>
      <c r="BB1186" s="429"/>
      <c r="BC1186" s="430"/>
      <c r="BD1186" s="430"/>
    </row>
    <row r="1187" spans="1:59" s="461" customFormat="1" ht="18" customHeight="1" x14ac:dyDescent="0.2">
      <c r="A1187" s="1368" t="str">
        <f>$D$1183&amp;S1187</f>
        <v>SAMBUNG - KEBUN LADO2007</v>
      </c>
      <c r="B1187" s="1373">
        <v>1</v>
      </c>
      <c r="C1187" s="532" t="s">
        <v>1189</v>
      </c>
      <c r="D1187" s="437" t="s">
        <v>3821</v>
      </c>
      <c r="E1187" s="438"/>
      <c r="F1187" s="439">
        <v>2007</v>
      </c>
      <c r="G1187" s="623">
        <f>6847118208.58087+680558937.494922</f>
        <v>7527677146.0757914</v>
      </c>
      <c r="H1187" s="440">
        <f>VLOOKUP(LEFT(D1187,8),UE,4)</f>
        <v>10</v>
      </c>
      <c r="I1187" s="441"/>
      <c r="J1187" s="442">
        <f>F1187+N1187-1</f>
        <v>2016</v>
      </c>
      <c r="K1187" s="443"/>
      <c r="L1187" s="440"/>
      <c r="M1187" s="746">
        <f>IF(H1187+L1187&gt;$H1187,$H1187-H1187,L1187)</f>
        <v>0</v>
      </c>
      <c r="N1187" s="444">
        <f>H1187+M1187</f>
        <v>10</v>
      </c>
      <c r="O1187" s="442">
        <f>F1187+N1187-1</f>
        <v>2016</v>
      </c>
      <c r="P1187" s="617">
        <f>G1187</f>
        <v>7527677146.0757914</v>
      </c>
      <c r="Q1187" s="445">
        <v>0</v>
      </c>
      <c r="R1187" s="445">
        <f>P1187/N1187</f>
        <v>752767714.60757911</v>
      </c>
      <c r="S1187" s="446">
        <f>F1187</f>
        <v>2007</v>
      </c>
      <c r="T1187" s="447">
        <v>1</v>
      </c>
      <c r="U1187" s="613">
        <f>R1187*T1187</f>
        <v>752767714.60757911</v>
      </c>
      <c r="V1187" s="442">
        <f>F1187</f>
        <v>2007</v>
      </c>
      <c r="W1187" s="617">
        <f>IF(OR(AND(ISBLANK(E1187),ISBLANK(G1187)),ISTEXT(E1187),ISTEXT(G1187)),"",G1187-R1187)</f>
        <v>6774909431.4682121</v>
      </c>
      <c r="X1187" s="448"/>
      <c r="Y1187" s="449"/>
      <c r="Z1187" s="449"/>
      <c r="AA1187" s="693"/>
      <c r="AB1187" s="452"/>
      <c r="AC1187" s="452"/>
      <c r="AD1187" s="571"/>
      <c r="AE1187" s="452"/>
      <c r="AF1187" s="571"/>
      <c r="AG1187" s="452"/>
      <c r="AH1187" s="452"/>
      <c r="AI1187" s="453"/>
      <c r="AJ1187" s="449"/>
      <c r="AK1187" s="453"/>
      <c r="AL1187" s="454"/>
      <c r="AM1187" s="455"/>
      <c r="AN1187" s="456"/>
      <c r="AO1187" s="455"/>
      <c r="AP1187" s="452"/>
      <c r="AQ1187" s="457"/>
      <c r="AR1187" s="449"/>
      <c r="AS1187" s="449"/>
      <c r="AT1187" s="452"/>
      <c r="AU1187" s="457"/>
      <c r="AV1187" s="449"/>
      <c r="AW1187" s="458"/>
      <c r="AX1187" s="452"/>
      <c r="AY1187" s="457"/>
      <c r="AZ1187" s="449"/>
      <c r="BA1187" s="459"/>
      <c r="BB1187" s="455"/>
      <c r="BC1187" s="460"/>
      <c r="BD1187" s="460"/>
      <c r="BG1187" s="462"/>
    </row>
    <row r="1188" spans="1:59" s="461" customFormat="1" ht="18" customHeight="1" x14ac:dyDescent="0.2">
      <c r="A1188" s="1368" t="str">
        <f t="shared" ref="A1188:A1200" si="894">$D$1183&amp;S1188</f>
        <v>SAMBUNG - KEBUN LADO2007</v>
      </c>
      <c r="B1188" s="1373">
        <v>2</v>
      </c>
      <c r="C1188" s="488" t="s">
        <v>1174</v>
      </c>
      <c r="D1188" s="489" t="s">
        <v>3821</v>
      </c>
      <c r="E1188" s="558"/>
      <c r="F1188" s="559">
        <v>2007</v>
      </c>
      <c r="G1188" s="619">
        <v>0</v>
      </c>
      <c r="H1188" s="464">
        <f>IF(N1187-(F1188-F1187)&lt;=0,0,(N1187-(F1188-F1187)))</f>
        <v>10</v>
      </c>
      <c r="I1188" s="560"/>
      <c r="J1188" s="468">
        <f>F1188+N1188-1</f>
        <v>2016</v>
      </c>
      <c r="K1188" s="490">
        <f>IF(G1188=0,0,IF(H1188=10,100%,G1188/W1187))</f>
        <v>0</v>
      </c>
      <c r="L1188" s="469">
        <f>IF(K1188=0%,0,IF(K1188&lt;=30%,2,IF(K1188&lt;=60%,5,10)))</f>
        <v>0</v>
      </c>
      <c r="M1188" s="683">
        <f>IF(OR(AND(ISBLANK(E1188),ISBLANK(G1188)),ISTEXT(E1188),ISTEXT(G1188)),"",IF(H1188+L1188&gt;$H$8,$H$8-H1188,L1188))</f>
        <v>0</v>
      </c>
      <c r="N1188" s="470">
        <f>IF(OR(AND(ISBLANK(F1188),ISBLANK(G1188)),ISTEXT(F1188),ISTEXT(G1188)),"",H1188+M1188)</f>
        <v>10</v>
      </c>
      <c r="O1188" s="468">
        <f>F1188+N1188-1</f>
        <v>2016</v>
      </c>
      <c r="P1188" s="616">
        <f>W1187</f>
        <v>6774909431.4682121</v>
      </c>
      <c r="Q1188" s="472">
        <f>P1188+G1188</f>
        <v>6774909431.4682121</v>
      </c>
      <c r="R1188" s="472">
        <f>IF(L1188=0,R1187,Q1188/N1188)</f>
        <v>752767714.60757911</v>
      </c>
      <c r="S1188" s="1033">
        <f>F1188</f>
        <v>2007</v>
      </c>
      <c r="T1188" s="470">
        <f>S1188-S1187</f>
        <v>0</v>
      </c>
      <c r="U1188" s="612">
        <f>R1188*T1188</f>
        <v>0</v>
      </c>
      <c r="V1188" s="464">
        <f>F1188</f>
        <v>2007</v>
      </c>
      <c r="W1188" s="612">
        <f>IF(OR(AND(ISBLANK(E1188),ISBLANK(G1188)),ISTEXT(E1188),ISTEXT(G1188)),"",Q1188-U1188)</f>
        <v>6774909431.4682121</v>
      </c>
      <c r="X1188" s="561"/>
      <c r="Y1188" s="449"/>
      <c r="Z1188" s="449"/>
      <c r="AA1188" s="693"/>
      <c r="AB1188" s="452"/>
      <c r="AC1188" s="452"/>
      <c r="AD1188" s="571"/>
      <c r="AE1188" s="452"/>
      <c r="AF1188" s="571"/>
      <c r="AG1188" s="452"/>
      <c r="AH1188" s="452"/>
      <c r="AI1188" s="453"/>
      <c r="AJ1188" s="449"/>
      <c r="AK1188" s="453"/>
      <c r="AL1188" s="454"/>
      <c r="AM1188" s="455"/>
      <c r="AN1188" s="456"/>
      <c r="AO1188" s="455"/>
      <c r="AP1188" s="452"/>
      <c r="AQ1188" s="457"/>
      <c r="AR1188" s="449"/>
      <c r="AS1188" s="449"/>
      <c r="AT1188" s="452"/>
      <c r="AU1188" s="457"/>
      <c r="AV1188" s="449"/>
      <c r="AW1188" s="458"/>
      <c r="AX1188" s="452"/>
      <c r="AY1188" s="457"/>
      <c r="AZ1188" s="449"/>
      <c r="BA1188" s="459"/>
      <c r="BB1188" s="455"/>
      <c r="BC1188" s="460"/>
      <c r="BD1188" s="460"/>
      <c r="BG1188" s="462"/>
    </row>
    <row r="1189" spans="1:59" s="461" customFormat="1" ht="18" customHeight="1" x14ac:dyDescent="0.2">
      <c r="A1189" s="1368" t="str">
        <f t="shared" si="894"/>
        <v>SAMBUNG - KEBUN LADO2008</v>
      </c>
      <c r="B1189" s="1373">
        <v>3</v>
      </c>
      <c r="C1189" s="488" t="s">
        <v>5158</v>
      </c>
      <c r="D1189" s="489"/>
      <c r="E1189" s="558"/>
      <c r="F1189" s="559">
        <v>2008</v>
      </c>
      <c r="G1189" s="619">
        <v>1151822140.4144218</v>
      </c>
      <c r="H1189" s="464">
        <f t="shared" ref="H1189:H1199" si="895">IF(N1188-(F1189-F1188)&lt;=0,0,(N1188-(F1189-F1188)))</f>
        <v>9</v>
      </c>
      <c r="I1189" s="560"/>
      <c r="J1189" s="468">
        <f t="shared" ref="J1189:J1199" si="896">F1189+N1189-1</f>
        <v>2017</v>
      </c>
      <c r="K1189" s="490">
        <f t="shared" ref="K1189:K1199" si="897">IF(G1189=0,0,IF(H1189=10,100%,G1189/W1188))</f>
        <v>0.1700129207726998</v>
      </c>
      <c r="L1189" s="469">
        <f t="shared" ref="L1189:L1199" si="898">IF(K1189=0%,0,IF(K1189&lt;=30%,2,IF(K1189&lt;=60%,5,10)))</f>
        <v>2</v>
      </c>
      <c r="M1189" s="683">
        <f t="shared" ref="M1189:M1199" si="899">IF(OR(AND(ISBLANK(E1189),ISBLANK(G1189)),ISTEXT(E1189),ISTEXT(G1189)),"",IF(H1189+L1189&gt;$H$8,$H$8-H1189,L1189))</f>
        <v>1</v>
      </c>
      <c r="N1189" s="470">
        <f t="shared" ref="N1189:N1199" si="900">IF(OR(AND(ISBLANK(F1189),ISBLANK(G1189)),ISTEXT(F1189),ISTEXT(G1189)),"",H1189+M1189)</f>
        <v>10</v>
      </c>
      <c r="O1189" s="468">
        <f t="shared" ref="O1189:O1199" si="901">F1189+N1189-1</f>
        <v>2017</v>
      </c>
      <c r="P1189" s="616">
        <f t="shared" ref="P1189:P1199" si="902">W1188</f>
        <v>6774909431.4682121</v>
      </c>
      <c r="Q1189" s="472">
        <f t="shared" ref="Q1189:Q1199" si="903">P1189+G1189</f>
        <v>7926731571.8826342</v>
      </c>
      <c r="R1189" s="472">
        <f t="shared" ref="R1189:R1199" si="904">IF(L1189=0,R1188,Q1189/N1189)</f>
        <v>792673157.18826342</v>
      </c>
      <c r="S1189" s="1189">
        <f t="shared" ref="S1189:S1199" si="905">F1189</f>
        <v>2008</v>
      </c>
      <c r="T1189" s="470">
        <f t="shared" ref="T1189:T1199" si="906">S1189-S1188</f>
        <v>1</v>
      </c>
      <c r="U1189" s="612">
        <f t="shared" ref="U1189:U1199" si="907">R1189*T1189</f>
        <v>792673157.18826342</v>
      </c>
      <c r="V1189" s="464">
        <f t="shared" ref="V1189:V1199" si="908">F1189</f>
        <v>2008</v>
      </c>
      <c r="W1189" s="612">
        <f t="shared" ref="W1189:W1199" si="909">IF(OR(AND(ISBLANK(E1189),ISBLANK(G1189)),ISTEXT(E1189),ISTEXT(G1189)),"",Q1189-U1189)</f>
        <v>7134058414.6943703</v>
      </c>
      <c r="X1189" s="561"/>
      <c r="Y1189" s="449"/>
      <c r="Z1189" s="449"/>
      <c r="AA1189" s="693"/>
      <c r="AB1189" s="452"/>
      <c r="AC1189" s="452"/>
      <c r="AD1189" s="571"/>
      <c r="AE1189" s="452"/>
      <c r="AF1189" s="571"/>
      <c r="AG1189" s="452"/>
      <c r="AH1189" s="452"/>
      <c r="AI1189" s="453"/>
      <c r="AJ1189" s="449"/>
      <c r="AK1189" s="453"/>
      <c r="AL1189" s="454"/>
      <c r="AM1189" s="455"/>
      <c r="AN1189" s="456"/>
      <c r="AO1189" s="455"/>
      <c r="AP1189" s="452"/>
      <c r="AQ1189" s="457"/>
      <c r="AR1189" s="449"/>
      <c r="AS1189" s="449"/>
      <c r="AT1189" s="452"/>
      <c r="AU1189" s="457"/>
      <c r="AV1189" s="449"/>
      <c r="AW1189" s="458"/>
      <c r="AX1189" s="452"/>
      <c r="AY1189" s="457"/>
      <c r="AZ1189" s="449"/>
      <c r="BA1189" s="459"/>
      <c r="BB1189" s="455"/>
      <c r="BC1189" s="460"/>
      <c r="BD1189" s="460"/>
      <c r="BG1189" s="462"/>
    </row>
    <row r="1190" spans="1:59" s="461" customFormat="1" ht="18" customHeight="1" x14ac:dyDescent="0.2">
      <c r="A1190" s="1368" t="str">
        <f t="shared" si="894"/>
        <v>SAMBUNG - KEBUN LADO2009</v>
      </c>
      <c r="B1190" s="1373"/>
      <c r="C1190" s="488"/>
      <c r="D1190" s="489"/>
      <c r="E1190" s="558"/>
      <c r="F1190" s="559">
        <v>2009</v>
      </c>
      <c r="G1190" s="619">
        <v>0</v>
      </c>
      <c r="H1190" s="464">
        <f t="shared" si="895"/>
        <v>9</v>
      </c>
      <c r="I1190" s="560"/>
      <c r="J1190" s="468">
        <f t="shared" si="896"/>
        <v>2017</v>
      </c>
      <c r="K1190" s="490">
        <f t="shared" si="897"/>
        <v>0</v>
      </c>
      <c r="L1190" s="469">
        <f t="shared" si="898"/>
        <v>0</v>
      </c>
      <c r="M1190" s="683">
        <f t="shared" si="899"/>
        <v>0</v>
      </c>
      <c r="N1190" s="470">
        <f t="shared" si="900"/>
        <v>9</v>
      </c>
      <c r="O1190" s="468">
        <f t="shared" si="901"/>
        <v>2017</v>
      </c>
      <c r="P1190" s="616">
        <f t="shared" si="902"/>
        <v>7134058414.6943703</v>
      </c>
      <c r="Q1190" s="472">
        <f t="shared" si="903"/>
        <v>7134058414.6943703</v>
      </c>
      <c r="R1190" s="472">
        <f t="shared" si="904"/>
        <v>792673157.18826342</v>
      </c>
      <c r="S1190" s="1189">
        <f t="shared" si="905"/>
        <v>2009</v>
      </c>
      <c r="T1190" s="470">
        <f t="shared" si="906"/>
        <v>1</v>
      </c>
      <c r="U1190" s="612">
        <f t="shared" si="907"/>
        <v>792673157.18826342</v>
      </c>
      <c r="V1190" s="464">
        <f t="shared" si="908"/>
        <v>2009</v>
      </c>
      <c r="W1190" s="612">
        <f t="shared" si="909"/>
        <v>6341385257.5061073</v>
      </c>
      <c r="X1190" s="561"/>
      <c r="Y1190" s="449"/>
      <c r="Z1190" s="449"/>
      <c r="AA1190" s="693"/>
      <c r="AB1190" s="452"/>
      <c r="AC1190" s="452"/>
      <c r="AD1190" s="571"/>
      <c r="AE1190" s="452"/>
      <c r="AF1190" s="571"/>
      <c r="AG1190" s="452"/>
      <c r="AH1190" s="452"/>
      <c r="AI1190" s="453"/>
      <c r="AJ1190" s="449"/>
      <c r="AK1190" s="453"/>
      <c r="AL1190" s="454"/>
      <c r="AM1190" s="455"/>
      <c r="AN1190" s="456"/>
      <c r="AO1190" s="455"/>
      <c r="AP1190" s="452"/>
      <c r="AQ1190" s="457"/>
      <c r="AR1190" s="449"/>
      <c r="AS1190" s="449"/>
      <c r="AT1190" s="452"/>
      <c r="AU1190" s="457"/>
      <c r="AV1190" s="449"/>
      <c r="AW1190" s="458"/>
      <c r="AX1190" s="452"/>
      <c r="AY1190" s="457"/>
      <c r="AZ1190" s="449"/>
      <c r="BA1190" s="459"/>
      <c r="BB1190" s="455"/>
      <c r="BC1190" s="460"/>
      <c r="BD1190" s="460"/>
      <c r="BG1190" s="462"/>
    </row>
    <row r="1191" spans="1:59" s="461" customFormat="1" ht="18" customHeight="1" x14ac:dyDescent="0.2">
      <c r="A1191" s="1368" t="str">
        <f t="shared" si="894"/>
        <v>SAMBUNG - KEBUN LADO2010</v>
      </c>
      <c r="B1191" s="1373">
        <v>4</v>
      </c>
      <c r="C1191" s="488" t="s">
        <v>5156</v>
      </c>
      <c r="D1191" s="489"/>
      <c r="E1191" s="558"/>
      <c r="F1191" s="559">
        <v>2010</v>
      </c>
      <c r="G1191" s="619">
        <v>1088584044.5431361</v>
      </c>
      <c r="H1191" s="464">
        <f t="shared" si="895"/>
        <v>8</v>
      </c>
      <c r="I1191" s="560"/>
      <c r="J1191" s="468">
        <f t="shared" si="896"/>
        <v>2019</v>
      </c>
      <c r="K1191" s="490">
        <f t="shared" si="897"/>
        <v>0.17166344581487331</v>
      </c>
      <c r="L1191" s="469">
        <f t="shared" si="898"/>
        <v>2</v>
      </c>
      <c r="M1191" s="683">
        <f t="shared" si="899"/>
        <v>2</v>
      </c>
      <c r="N1191" s="470">
        <f t="shared" si="900"/>
        <v>10</v>
      </c>
      <c r="O1191" s="468">
        <f t="shared" si="901"/>
        <v>2019</v>
      </c>
      <c r="P1191" s="616">
        <f t="shared" si="902"/>
        <v>6341385257.5061073</v>
      </c>
      <c r="Q1191" s="472">
        <f t="shared" si="903"/>
        <v>7429969302.0492439</v>
      </c>
      <c r="R1191" s="472">
        <f t="shared" si="904"/>
        <v>742996930.20492435</v>
      </c>
      <c r="S1191" s="1189">
        <f t="shared" si="905"/>
        <v>2010</v>
      </c>
      <c r="T1191" s="470">
        <f t="shared" si="906"/>
        <v>1</v>
      </c>
      <c r="U1191" s="612">
        <f t="shared" si="907"/>
        <v>742996930.20492435</v>
      </c>
      <c r="V1191" s="464">
        <f t="shared" si="908"/>
        <v>2010</v>
      </c>
      <c r="W1191" s="612">
        <f t="shared" si="909"/>
        <v>6686972371.8443193</v>
      </c>
      <c r="X1191" s="561"/>
      <c r="Y1191" s="449"/>
      <c r="Z1191" s="449"/>
      <c r="AA1191" s="693"/>
      <c r="AB1191" s="452"/>
      <c r="AC1191" s="452"/>
      <c r="AD1191" s="571"/>
      <c r="AE1191" s="452"/>
      <c r="AF1191" s="571"/>
      <c r="AG1191" s="452"/>
      <c r="AH1191" s="452"/>
      <c r="AI1191" s="453"/>
      <c r="AJ1191" s="449"/>
      <c r="AK1191" s="453"/>
      <c r="AL1191" s="454"/>
      <c r="AM1191" s="455"/>
      <c r="AN1191" s="456"/>
      <c r="AO1191" s="455"/>
      <c r="AP1191" s="452"/>
      <c r="AQ1191" s="457"/>
      <c r="AR1191" s="449"/>
      <c r="AS1191" s="449"/>
      <c r="AT1191" s="452"/>
      <c r="AU1191" s="457"/>
      <c r="AV1191" s="449"/>
      <c r="AW1191" s="458"/>
      <c r="AX1191" s="452"/>
      <c r="AY1191" s="457"/>
      <c r="AZ1191" s="449"/>
      <c r="BA1191" s="459"/>
      <c r="BB1191" s="455"/>
      <c r="BC1191" s="460"/>
      <c r="BD1191" s="460"/>
      <c r="BG1191" s="462"/>
    </row>
    <row r="1192" spans="1:59" s="461" customFormat="1" ht="18" customHeight="1" x14ac:dyDescent="0.2">
      <c r="A1192" s="1368" t="str">
        <f t="shared" si="894"/>
        <v>SAMBUNG - KEBUN LADO2011</v>
      </c>
      <c r="B1192" s="1373"/>
      <c r="C1192" s="488"/>
      <c r="D1192" s="489"/>
      <c r="E1192" s="558"/>
      <c r="F1192" s="559">
        <v>2011</v>
      </c>
      <c r="G1192" s="619">
        <v>0</v>
      </c>
      <c r="H1192" s="464">
        <f t="shared" si="895"/>
        <v>9</v>
      </c>
      <c r="I1192" s="560"/>
      <c r="J1192" s="468">
        <f t="shared" si="896"/>
        <v>2019</v>
      </c>
      <c r="K1192" s="490">
        <f t="shared" si="897"/>
        <v>0</v>
      </c>
      <c r="L1192" s="469">
        <f t="shared" si="898"/>
        <v>0</v>
      </c>
      <c r="M1192" s="683">
        <f t="shared" si="899"/>
        <v>0</v>
      </c>
      <c r="N1192" s="470">
        <f t="shared" si="900"/>
        <v>9</v>
      </c>
      <c r="O1192" s="468">
        <f t="shared" si="901"/>
        <v>2019</v>
      </c>
      <c r="P1192" s="616">
        <f t="shared" si="902"/>
        <v>6686972371.8443193</v>
      </c>
      <c r="Q1192" s="472">
        <f t="shared" si="903"/>
        <v>6686972371.8443193</v>
      </c>
      <c r="R1192" s="472">
        <f t="shared" si="904"/>
        <v>742996930.20492435</v>
      </c>
      <c r="S1192" s="1189">
        <f t="shared" si="905"/>
        <v>2011</v>
      </c>
      <c r="T1192" s="470">
        <f t="shared" si="906"/>
        <v>1</v>
      </c>
      <c r="U1192" s="612">
        <f t="shared" si="907"/>
        <v>742996930.20492435</v>
      </c>
      <c r="V1192" s="464">
        <f t="shared" si="908"/>
        <v>2011</v>
      </c>
      <c r="W1192" s="612">
        <f t="shared" si="909"/>
        <v>5943975441.6393948</v>
      </c>
      <c r="X1192" s="561"/>
      <c r="Y1192" s="449"/>
      <c r="Z1192" s="449"/>
      <c r="AA1192" s="693"/>
      <c r="AB1192" s="452"/>
      <c r="AC1192" s="452"/>
      <c r="AD1192" s="571"/>
      <c r="AE1192" s="452"/>
      <c r="AF1192" s="571"/>
      <c r="AG1192" s="452"/>
      <c r="AH1192" s="452"/>
      <c r="AI1192" s="453"/>
      <c r="AJ1192" s="449"/>
      <c r="AK1192" s="453"/>
      <c r="AL1192" s="454"/>
      <c r="AM1192" s="455"/>
      <c r="AN1192" s="456"/>
      <c r="AO1192" s="455"/>
      <c r="AP1192" s="452"/>
      <c r="AQ1192" s="457"/>
      <c r="AR1192" s="449"/>
      <c r="AS1192" s="449"/>
      <c r="AT1192" s="452"/>
      <c r="AU1192" s="457"/>
      <c r="AV1192" s="449"/>
      <c r="AW1192" s="458"/>
      <c r="AX1192" s="452"/>
      <c r="AY1192" s="457"/>
      <c r="AZ1192" s="449"/>
      <c r="BA1192" s="459"/>
      <c r="BB1192" s="455"/>
      <c r="BC1192" s="460"/>
      <c r="BD1192" s="460"/>
      <c r="BG1192" s="462"/>
    </row>
    <row r="1193" spans="1:59" s="486" customFormat="1" ht="18" customHeight="1" x14ac:dyDescent="0.2">
      <c r="A1193" s="1368" t="str">
        <f t="shared" si="894"/>
        <v>SAMBUNG - KEBUN LADO2012</v>
      </c>
      <c r="B1193" s="1373">
        <v>5</v>
      </c>
      <c r="C1193" s="488" t="s">
        <v>1240</v>
      </c>
      <c r="D1193" s="489" t="s">
        <v>3821</v>
      </c>
      <c r="E1193" s="558"/>
      <c r="F1193" s="559">
        <v>2012</v>
      </c>
      <c r="G1193" s="619">
        <v>1136545521.504935</v>
      </c>
      <c r="H1193" s="464">
        <f t="shared" si="895"/>
        <v>8</v>
      </c>
      <c r="I1193" s="560"/>
      <c r="J1193" s="468">
        <f t="shared" si="896"/>
        <v>2021</v>
      </c>
      <c r="K1193" s="490">
        <f t="shared" si="897"/>
        <v>0.19120965970738718</v>
      </c>
      <c r="L1193" s="469">
        <f t="shared" si="898"/>
        <v>2</v>
      </c>
      <c r="M1193" s="683">
        <f t="shared" si="899"/>
        <v>2</v>
      </c>
      <c r="N1193" s="470">
        <f t="shared" si="900"/>
        <v>10</v>
      </c>
      <c r="O1193" s="468">
        <f t="shared" si="901"/>
        <v>2021</v>
      </c>
      <c r="P1193" s="616">
        <f t="shared" si="902"/>
        <v>5943975441.6393948</v>
      </c>
      <c r="Q1193" s="472">
        <f t="shared" si="903"/>
        <v>7080520963.14433</v>
      </c>
      <c r="R1193" s="472">
        <f t="shared" si="904"/>
        <v>708052096.31443298</v>
      </c>
      <c r="S1193" s="1189">
        <f t="shared" si="905"/>
        <v>2012</v>
      </c>
      <c r="T1193" s="470">
        <f t="shared" si="906"/>
        <v>1</v>
      </c>
      <c r="U1193" s="612">
        <f t="shared" si="907"/>
        <v>708052096.31443298</v>
      </c>
      <c r="V1193" s="464">
        <f t="shared" si="908"/>
        <v>2012</v>
      </c>
      <c r="W1193" s="612">
        <f t="shared" si="909"/>
        <v>6372468866.8298969</v>
      </c>
      <c r="X1193" s="473"/>
      <c r="Y1193" s="474"/>
      <c r="Z1193" s="449"/>
      <c r="AA1193" s="739"/>
      <c r="AB1193" s="496"/>
      <c r="AC1193" s="496"/>
      <c r="AD1193" s="740"/>
      <c r="AE1193" s="476"/>
      <c r="AF1193" s="568"/>
      <c r="AG1193" s="476"/>
      <c r="AH1193" s="476"/>
      <c r="AI1193" s="477"/>
      <c r="AJ1193" s="478"/>
      <c r="AK1193" s="479"/>
      <c r="AL1193" s="480"/>
      <c r="AM1193" s="474"/>
      <c r="AN1193" s="481"/>
      <c r="AO1193" s="474"/>
      <c r="AP1193" s="476"/>
      <c r="AQ1193" s="482"/>
      <c r="AR1193" s="478"/>
      <c r="AS1193" s="478"/>
      <c r="AT1193" s="476"/>
      <c r="AU1193" s="482"/>
      <c r="AV1193" s="478"/>
      <c r="AW1193" s="483"/>
      <c r="AX1193" s="476"/>
      <c r="AY1193" s="482"/>
      <c r="AZ1193" s="478"/>
      <c r="BA1193" s="484"/>
      <c r="BB1193" s="474"/>
      <c r="BC1193" s="485"/>
      <c r="BD1193" s="485"/>
      <c r="BG1193" s="487"/>
    </row>
    <row r="1194" spans="1:59" s="486" customFormat="1" ht="18" customHeight="1" x14ac:dyDescent="0.2">
      <c r="A1194" s="1368" t="str">
        <f t="shared" si="894"/>
        <v>SAMBUNG - KEBUN LADO2013</v>
      </c>
      <c r="B1194" s="1373"/>
      <c r="C1194" s="488"/>
      <c r="D1194" s="489"/>
      <c r="E1194" s="558"/>
      <c r="F1194" s="559">
        <v>2013</v>
      </c>
      <c r="G1194" s="619">
        <v>0</v>
      </c>
      <c r="H1194" s="464">
        <f t="shared" si="895"/>
        <v>9</v>
      </c>
      <c r="I1194" s="560"/>
      <c r="J1194" s="468">
        <f t="shared" si="896"/>
        <v>2021</v>
      </c>
      <c r="K1194" s="490">
        <f t="shared" si="897"/>
        <v>0</v>
      </c>
      <c r="L1194" s="469">
        <f t="shared" si="898"/>
        <v>0</v>
      </c>
      <c r="M1194" s="683">
        <f t="shared" si="899"/>
        <v>0</v>
      </c>
      <c r="N1194" s="470">
        <f t="shared" si="900"/>
        <v>9</v>
      </c>
      <c r="O1194" s="468">
        <f t="shared" si="901"/>
        <v>2021</v>
      </c>
      <c r="P1194" s="616">
        <f t="shared" si="902"/>
        <v>6372468866.8298969</v>
      </c>
      <c r="Q1194" s="472">
        <f t="shared" si="903"/>
        <v>6372468866.8298969</v>
      </c>
      <c r="R1194" s="472">
        <f t="shared" si="904"/>
        <v>708052096.31443298</v>
      </c>
      <c r="S1194" s="1189">
        <f t="shared" si="905"/>
        <v>2013</v>
      </c>
      <c r="T1194" s="470">
        <f t="shared" si="906"/>
        <v>1</v>
      </c>
      <c r="U1194" s="612">
        <f t="shared" si="907"/>
        <v>708052096.31443298</v>
      </c>
      <c r="V1194" s="464">
        <f t="shared" si="908"/>
        <v>2013</v>
      </c>
      <c r="W1194" s="612">
        <f t="shared" si="909"/>
        <v>5664416770.5154638</v>
      </c>
      <c r="X1194" s="473"/>
      <c r="Y1194" s="474"/>
      <c r="Z1194" s="449"/>
      <c r="AA1194" s="554" t="s">
        <v>4179</v>
      </c>
      <c r="AB1194" s="476"/>
      <c r="AC1194" s="476"/>
      <c r="AD1194" s="567"/>
      <c r="AE1194" s="476"/>
      <c r="AF1194" s="568"/>
      <c r="AG1194" s="476"/>
      <c r="AH1194" s="476"/>
      <c r="AI1194" s="477"/>
      <c r="AJ1194" s="478"/>
      <c r="AK1194" s="479"/>
      <c r="AL1194" s="480"/>
      <c r="AM1194" s="474"/>
      <c r="AN1194" s="481"/>
      <c r="AO1194" s="474"/>
      <c r="AP1194" s="476"/>
      <c r="AQ1194" s="482"/>
      <c r="AR1194" s="478"/>
      <c r="AS1194" s="478"/>
      <c r="AT1194" s="476"/>
      <c r="AU1194" s="482"/>
      <c r="AV1194" s="478"/>
      <c r="AW1194" s="483"/>
      <c r="AX1194" s="476"/>
      <c r="AY1194" s="482"/>
      <c r="AZ1194" s="478"/>
      <c r="BA1194" s="484"/>
      <c r="BB1194" s="474"/>
      <c r="BC1194" s="485"/>
      <c r="BD1194" s="485"/>
      <c r="BG1194" s="487"/>
    </row>
    <row r="1195" spans="1:59" s="486" customFormat="1" ht="18" customHeight="1" x14ac:dyDescent="0.2">
      <c r="A1195" s="1368" t="str">
        <f t="shared" si="894"/>
        <v>SAMBUNG - KEBUN LADO2014</v>
      </c>
      <c r="B1195" s="1373"/>
      <c r="C1195" s="488"/>
      <c r="D1195" s="489"/>
      <c r="E1195" s="558"/>
      <c r="F1195" s="559">
        <v>2014</v>
      </c>
      <c r="G1195" s="619">
        <v>0</v>
      </c>
      <c r="H1195" s="464">
        <f t="shared" si="895"/>
        <v>8</v>
      </c>
      <c r="I1195" s="560"/>
      <c r="J1195" s="468">
        <f t="shared" si="896"/>
        <v>2021</v>
      </c>
      <c r="K1195" s="490">
        <f t="shared" si="897"/>
        <v>0</v>
      </c>
      <c r="L1195" s="469">
        <f t="shared" si="898"/>
        <v>0</v>
      </c>
      <c r="M1195" s="683">
        <f t="shared" si="899"/>
        <v>0</v>
      </c>
      <c r="N1195" s="470">
        <f t="shared" si="900"/>
        <v>8</v>
      </c>
      <c r="O1195" s="468">
        <f t="shared" si="901"/>
        <v>2021</v>
      </c>
      <c r="P1195" s="616">
        <f t="shared" si="902"/>
        <v>5664416770.5154638</v>
      </c>
      <c r="Q1195" s="472">
        <f t="shared" si="903"/>
        <v>5664416770.5154638</v>
      </c>
      <c r="R1195" s="472">
        <f t="shared" si="904"/>
        <v>708052096.31443298</v>
      </c>
      <c r="S1195" s="1189">
        <f t="shared" si="905"/>
        <v>2014</v>
      </c>
      <c r="T1195" s="470">
        <f t="shared" si="906"/>
        <v>1</v>
      </c>
      <c r="U1195" s="612">
        <f t="shared" si="907"/>
        <v>708052096.31443298</v>
      </c>
      <c r="V1195" s="464">
        <f t="shared" si="908"/>
        <v>2014</v>
      </c>
      <c r="W1195" s="612">
        <f t="shared" si="909"/>
        <v>4956364674.2010307</v>
      </c>
      <c r="X1195" s="473"/>
      <c r="Y1195" s="474"/>
      <c r="Z1195" s="449"/>
      <c r="AA1195" s="475"/>
      <c r="AB1195" s="476"/>
      <c r="AC1195" s="476"/>
      <c r="AD1195" s="567"/>
      <c r="AE1195" s="476"/>
      <c r="AF1195" s="568"/>
      <c r="AG1195" s="476"/>
      <c r="AH1195" s="476"/>
      <c r="AI1195" s="477"/>
      <c r="AJ1195" s="478"/>
      <c r="AK1195" s="479"/>
      <c r="AL1195" s="480"/>
      <c r="AM1195" s="474"/>
      <c r="AN1195" s="481"/>
      <c r="AO1195" s="474"/>
      <c r="AP1195" s="476"/>
      <c r="AQ1195" s="482"/>
      <c r="AR1195" s="478"/>
      <c r="AS1195" s="478"/>
      <c r="AT1195" s="476"/>
      <c r="AU1195" s="482"/>
      <c r="AV1195" s="478"/>
      <c r="AW1195" s="483"/>
      <c r="AX1195" s="476"/>
      <c r="AY1195" s="482"/>
      <c r="AZ1195" s="478"/>
      <c r="BA1195" s="484"/>
      <c r="BB1195" s="474"/>
      <c r="BC1195" s="485"/>
      <c r="BD1195" s="485"/>
      <c r="BG1195" s="487"/>
    </row>
    <row r="1196" spans="1:59" s="486" customFormat="1" ht="18" customHeight="1" x14ac:dyDescent="0.2">
      <c r="A1196" s="1368" t="str">
        <f t="shared" si="894"/>
        <v>SAMBUNG - KEBUN LADO2015</v>
      </c>
      <c r="B1196" s="1373"/>
      <c r="C1196" s="488"/>
      <c r="D1196" s="489"/>
      <c r="E1196" s="558"/>
      <c r="F1196" s="559">
        <v>2015</v>
      </c>
      <c r="G1196" s="619">
        <v>0</v>
      </c>
      <c r="H1196" s="464">
        <f t="shared" si="895"/>
        <v>7</v>
      </c>
      <c r="I1196" s="560"/>
      <c r="J1196" s="468">
        <f t="shared" si="896"/>
        <v>2021</v>
      </c>
      <c r="K1196" s="490">
        <f t="shared" si="897"/>
        <v>0</v>
      </c>
      <c r="L1196" s="469">
        <f t="shared" si="898"/>
        <v>0</v>
      </c>
      <c r="M1196" s="683">
        <f t="shared" si="899"/>
        <v>0</v>
      </c>
      <c r="N1196" s="470">
        <f t="shared" si="900"/>
        <v>7</v>
      </c>
      <c r="O1196" s="468">
        <f t="shared" si="901"/>
        <v>2021</v>
      </c>
      <c r="P1196" s="616">
        <f t="shared" si="902"/>
        <v>4956364674.2010307</v>
      </c>
      <c r="Q1196" s="472">
        <f t="shared" si="903"/>
        <v>4956364674.2010307</v>
      </c>
      <c r="R1196" s="472">
        <f t="shared" si="904"/>
        <v>708052096.31443298</v>
      </c>
      <c r="S1196" s="1189">
        <f t="shared" si="905"/>
        <v>2015</v>
      </c>
      <c r="T1196" s="470">
        <f t="shared" si="906"/>
        <v>1</v>
      </c>
      <c r="U1196" s="612">
        <f t="shared" si="907"/>
        <v>708052096.31443298</v>
      </c>
      <c r="V1196" s="464">
        <f t="shared" si="908"/>
        <v>2015</v>
      </c>
      <c r="W1196" s="612">
        <f t="shared" si="909"/>
        <v>4248312577.8865976</v>
      </c>
      <c r="X1196" s="473"/>
      <c r="Y1196" s="474"/>
      <c r="Z1196" s="449"/>
      <c r="AA1196" s="475" t="s">
        <v>4180</v>
      </c>
      <c r="AB1196" s="476"/>
      <c r="AC1196" s="476"/>
      <c r="AD1196" s="567">
        <f>G1202</f>
        <v>15772919134.575056</v>
      </c>
      <c r="AE1196" s="476"/>
      <c r="AF1196" s="568"/>
      <c r="AG1196" s="476"/>
      <c r="AH1196" s="476"/>
      <c r="AI1196" s="477"/>
      <c r="AJ1196" s="478"/>
      <c r="AK1196" s="479"/>
      <c r="AL1196" s="480"/>
      <c r="AM1196" s="474"/>
      <c r="AN1196" s="481"/>
      <c r="AO1196" s="474"/>
      <c r="AP1196" s="476"/>
      <c r="AQ1196" s="482"/>
      <c r="AR1196" s="478"/>
      <c r="AS1196" s="478"/>
      <c r="AT1196" s="476"/>
      <c r="AU1196" s="482"/>
      <c r="AV1196" s="478"/>
      <c r="AW1196" s="483"/>
      <c r="AX1196" s="476"/>
      <c r="AY1196" s="482"/>
      <c r="AZ1196" s="478"/>
      <c r="BA1196" s="484"/>
      <c r="BB1196" s="474"/>
      <c r="BC1196" s="485"/>
      <c r="BD1196" s="485"/>
      <c r="BG1196" s="487"/>
    </row>
    <row r="1197" spans="1:59" s="486" customFormat="1" ht="18" customHeight="1" x14ac:dyDescent="0.2">
      <c r="A1197" s="1368" t="str">
        <f t="shared" si="894"/>
        <v>SAMBUNG - KEBUN LADO2016</v>
      </c>
      <c r="B1197" s="1373">
        <v>6</v>
      </c>
      <c r="C1197" s="488" t="s">
        <v>1440</v>
      </c>
      <c r="D1197" s="489" t="s">
        <v>3821</v>
      </c>
      <c r="E1197" s="558"/>
      <c r="F1197" s="559">
        <v>2016</v>
      </c>
      <c r="G1197" s="619">
        <v>4868290282.0367718</v>
      </c>
      <c r="H1197" s="464">
        <f t="shared" si="895"/>
        <v>6</v>
      </c>
      <c r="I1197" s="560"/>
      <c r="J1197" s="468">
        <f t="shared" si="896"/>
        <v>2025</v>
      </c>
      <c r="K1197" s="490">
        <f t="shared" si="897"/>
        <v>1.145935048983282</v>
      </c>
      <c r="L1197" s="469">
        <f t="shared" si="898"/>
        <v>10</v>
      </c>
      <c r="M1197" s="683">
        <f t="shared" si="899"/>
        <v>4</v>
      </c>
      <c r="N1197" s="470">
        <f t="shared" si="900"/>
        <v>10</v>
      </c>
      <c r="O1197" s="468">
        <f t="shared" si="901"/>
        <v>2025</v>
      </c>
      <c r="P1197" s="616">
        <f t="shared" si="902"/>
        <v>4248312577.8865976</v>
      </c>
      <c r="Q1197" s="472">
        <f t="shared" si="903"/>
        <v>9116602859.9233704</v>
      </c>
      <c r="R1197" s="472">
        <f t="shared" si="904"/>
        <v>911660285.99233699</v>
      </c>
      <c r="S1197" s="1189">
        <f t="shared" si="905"/>
        <v>2016</v>
      </c>
      <c r="T1197" s="470">
        <f t="shared" si="906"/>
        <v>1</v>
      </c>
      <c r="U1197" s="612">
        <f t="shared" si="907"/>
        <v>911660285.99233699</v>
      </c>
      <c r="V1197" s="464">
        <f t="shared" si="908"/>
        <v>2016</v>
      </c>
      <c r="W1197" s="612">
        <f t="shared" si="909"/>
        <v>8204942573.9310331</v>
      </c>
      <c r="X1197" s="473"/>
      <c r="Y1197" s="478"/>
      <c r="Z1197" s="449"/>
      <c r="AA1197" s="475" t="s">
        <v>4181</v>
      </c>
      <c r="AB1197" s="491"/>
      <c r="AC1197" s="491"/>
      <c r="AD1197" s="567">
        <f>U1202</f>
        <v>10302957418.621035</v>
      </c>
      <c r="AE1197" s="491"/>
      <c r="AF1197" s="568"/>
      <c r="AG1197" s="491"/>
      <c r="AH1197" s="491"/>
      <c r="AI1197" s="477"/>
      <c r="AJ1197" s="478"/>
      <c r="AK1197" s="479"/>
      <c r="AL1197" s="480"/>
      <c r="AM1197" s="474"/>
      <c r="AN1197" s="481"/>
      <c r="AO1197" s="474"/>
      <c r="AP1197" s="476"/>
      <c r="AQ1197" s="482"/>
      <c r="AR1197" s="478"/>
      <c r="AS1197" s="478"/>
      <c r="AT1197" s="476"/>
      <c r="AU1197" s="482"/>
      <c r="AV1197" s="478"/>
      <c r="AW1197" s="483"/>
      <c r="AX1197" s="476"/>
      <c r="AY1197" s="482"/>
      <c r="AZ1197" s="478"/>
      <c r="BA1197" s="484"/>
      <c r="BB1197" s="474"/>
      <c r="BC1197" s="485"/>
      <c r="BD1197" s="485"/>
      <c r="BG1197" s="487"/>
    </row>
    <row r="1198" spans="1:59" s="486" customFormat="1" ht="18" customHeight="1" x14ac:dyDescent="0.2">
      <c r="A1198" s="1368" t="str">
        <f t="shared" si="894"/>
        <v>SAMBUNG - KEBUN LADO2017</v>
      </c>
      <c r="B1198" s="1373"/>
      <c r="C1198" s="488"/>
      <c r="D1198" s="489"/>
      <c r="E1198" s="558"/>
      <c r="F1198" s="466">
        <v>2017</v>
      </c>
      <c r="G1198" s="619">
        <v>0</v>
      </c>
      <c r="H1198" s="464">
        <f t="shared" si="895"/>
        <v>9</v>
      </c>
      <c r="I1198" s="560"/>
      <c r="J1198" s="468">
        <f t="shared" si="896"/>
        <v>2025</v>
      </c>
      <c r="K1198" s="490">
        <f t="shared" si="897"/>
        <v>0</v>
      </c>
      <c r="L1198" s="469">
        <f t="shared" si="898"/>
        <v>0</v>
      </c>
      <c r="M1198" s="683">
        <f t="shared" si="899"/>
        <v>0</v>
      </c>
      <c r="N1198" s="470">
        <f t="shared" si="900"/>
        <v>9</v>
      </c>
      <c r="O1198" s="468">
        <f t="shared" si="901"/>
        <v>2025</v>
      </c>
      <c r="P1198" s="616">
        <f t="shared" si="902"/>
        <v>8204942573.9310331</v>
      </c>
      <c r="Q1198" s="472">
        <f t="shared" si="903"/>
        <v>8204942573.9310331</v>
      </c>
      <c r="R1198" s="472">
        <f t="shared" si="904"/>
        <v>911660285.99233699</v>
      </c>
      <c r="S1198" s="1189">
        <f t="shared" si="905"/>
        <v>2017</v>
      </c>
      <c r="T1198" s="470">
        <f t="shared" si="906"/>
        <v>1</v>
      </c>
      <c r="U1198" s="612">
        <f t="shared" si="907"/>
        <v>911660285.99233699</v>
      </c>
      <c r="V1198" s="464">
        <f t="shared" si="908"/>
        <v>2017</v>
      </c>
      <c r="W1198" s="612">
        <f t="shared" si="909"/>
        <v>7293282287.9386959</v>
      </c>
      <c r="X1198" s="473"/>
      <c r="Y1198" s="478"/>
      <c r="Z1198" s="449"/>
      <c r="AA1198" s="492" t="s">
        <v>4182</v>
      </c>
      <c r="AB1198" s="476"/>
      <c r="AC1198" s="476"/>
      <c r="AD1198" s="567">
        <f>AD1196-AD1197</f>
        <v>5469961715.9540215</v>
      </c>
      <c r="AE1198" s="476"/>
      <c r="AF1198" s="568"/>
      <c r="AG1198" s="476"/>
      <c r="AH1198" s="476"/>
      <c r="AI1198" s="477"/>
      <c r="AJ1198" s="478"/>
      <c r="AK1198" s="479"/>
      <c r="AL1198" s="480"/>
      <c r="AM1198" s="474"/>
      <c r="AN1198" s="481"/>
      <c r="AO1198" s="474"/>
      <c r="AP1198" s="476"/>
      <c r="AQ1198" s="482"/>
      <c r="AR1198" s="478"/>
      <c r="AS1198" s="478"/>
      <c r="AT1198" s="476"/>
      <c r="AU1198" s="482"/>
      <c r="AV1198" s="478"/>
      <c r="AW1198" s="483"/>
      <c r="AX1198" s="476"/>
      <c r="AY1198" s="482"/>
      <c r="AZ1198" s="478"/>
      <c r="BA1198" s="484"/>
      <c r="BB1198" s="474"/>
      <c r="BC1198" s="485"/>
      <c r="BD1198" s="485"/>
      <c r="BG1198" s="487"/>
    </row>
    <row r="1199" spans="1:59" s="486" customFormat="1" ht="18" customHeight="1" x14ac:dyDescent="0.2">
      <c r="A1199" s="1368" t="str">
        <f t="shared" si="894"/>
        <v>SAMBUNG - KEBUN LADO2018</v>
      </c>
      <c r="B1199" s="687"/>
      <c r="C1199" s="463"/>
      <c r="D1199" s="489"/>
      <c r="E1199" s="465"/>
      <c r="F1199" s="466">
        <v>2018</v>
      </c>
      <c r="G1199" s="620">
        <v>0</v>
      </c>
      <c r="H1199" s="464">
        <f t="shared" si="895"/>
        <v>8</v>
      </c>
      <c r="I1199" s="560"/>
      <c r="J1199" s="468">
        <f t="shared" si="896"/>
        <v>2025</v>
      </c>
      <c r="K1199" s="490">
        <f t="shared" si="897"/>
        <v>0</v>
      </c>
      <c r="L1199" s="469">
        <f t="shared" si="898"/>
        <v>0</v>
      </c>
      <c r="M1199" s="683">
        <f t="shared" si="899"/>
        <v>0</v>
      </c>
      <c r="N1199" s="470">
        <f t="shared" si="900"/>
        <v>8</v>
      </c>
      <c r="O1199" s="468">
        <f t="shared" si="901"/>
        <v>2025</v>
      </c>
      <c r="P1199" s="616">
        <f t="shared" si="902"/>
        <v>7293282287.9386959</v>
      </c>
      <c r="Q1199" s="472">
        <f t="shared" si="903"/>
        <v>7293282287.9386959</v>
      </c>
      <c r="R1199" s="472">
        <f t="shared" si="904"/>
        <v>911660285.99233699</v>
      </c>
      <c r="S1199" s="1189">
        <f t="shared" si="905"/>
        <v>2018</v>
      </c>
      <c r="T1199" s="470">
        <f t="shared" si="906"/>
        <v>1</v>
      </c>
      <c r="U1199" s="612">
        <f t="shared" si="907"/>
        <v>911660285.99233699</v>
      </c>
      <c r="V1199" s="464">
        <f t="shared" si="908"/>
        <v>2018</v>
      </c>
      <c r="W1199" s="612">
        <f t="shared" si="909"/>
        <v>6381622001.9463587</v>
      </c>
      <c r="X1199" s="473"/>
      <c r="Y1199" s="478"/>
      <c r="Z1199" s="449"/>
      <c r="AA1199" s="531" t="s">
        <v>4183</v>
      </c>
      <c r="AB1199" s="496"/>
      <c r="AC1199" s="496"/>
      <c r="AD1199" s="569">
        <f>AD1198-W1202</f>
        <v>0</v>
      </c>
      <c r="AE1199" s="476"/>
      <c r="AF1199" s="568"/>
      <c r="AG1199" s="476"/>
      <c r="AH1199" s="476"/>
      <c r="AI1199" s="477"/>
      <c r="AJ1199" s="478"/>
      <c r="AK1199" s="479"/>
      <c r="AL1199" s="480"/>
      <c r="AM1199" s="474"/>
      <c r="AN1199" s="481"/>
      <c r="AO1199" s="474"/>
      <c r="AP1199" s="476"/>
      <c r="AQ1199" s="482"/>
      <c r="AR1199" s="478"/>
      <c r="AS1199" s="478"/>
      <c r="AT1199" s="476"/>
      <c r="AU1199" s="482"/>
      <c r="AV1199" s="478"/>
      <c r="AW1199" s="483"/>
      <c r="AX1199" s="476"/>
      <c r="AY1199" s="482"/>
      <c r="AZ1199" s="478"/>
      <c r="BA1199" s="484"/>
      <c r="BB1199" s="474"/>
      <c r="BC1199" s="485"/>
      <c r="BD1199" s="485"/>
      <c r="BG1199" s="487"/>
    </row>
    <row r="1200" spans="1:59" s="486" customFormat="1" ht="18" customHeight="1" x14ac:dyDescent="0.2">
      <c r="A1200" s="1368" t="str">
        <f t="shared" si="894"/>
        <v>SAMBUNG - KEBUN LADO2019</v>
      </c>
      <c r="B1200" s="687"/>
      <c r="C1200" s="463"/>
      <c r="D1200" s="489"/>
      <c r="E1200" s="465"/>
      <c r="F1200" s="466">
        <v>2019</v>
      </c>
      <c r="G1200" s="620">
        <v>0</v>
      </c>
      <c r="H1200" s="464">
        <f>IF(N1199-(F1200-F1199)&lt;=0,0,(N1199-(F1200-F1199)))</f>
        <v>7</v>
      </c>
      <c r="I1200" s="560"/>
      <c r="J1200" s="468">
        <f>F1200+N1200-1</f>
        <v>2025</v>
      </c>
      <c r="K1200" s="490">
        <f>IF(G1200=0,0,IF(H1200=10,100%,G1200/W1199))</f>
        <v>0</v>
      </c>
      <c r="L1200" s="469">
        <f>IF(K1200=0%,0,IF(K1200&lt;=30%,2,IF(K1200&lt;=60%,5,10)))</f>
        <v>0</v>
      </c>
      <c r="M1200" s="683">
        <f>IF(OR(AND(ISBLANK(E1200),ISBLANK(G1200)),ISTEXT(E1200),ISTEXT(G1200)),"",IF(H1200+L1200&gt;$H$8,$H$8-H1200,L1200))</f>
        <v>0</v>
      </c>
      <c r="N1200" s="470">
        <f>IF(OR(AND(ISBLANK(F1200),ISBLANK(G1200)),ISTEXT(F1200),ISTEXT(G1200)),"",H1200+M1200)</f>
        <v>7</v>
      </c>
      <c r="O1200" s="468">
        <f>F1200+N1200-1</f>
        <v>2025</v>
      </c>
      <c r="P1200" s="616">
        <f>W1199</f>
        <v>6381622001.9463587</v>
      </c>
      <c r="Q1200" s="472">
        <f>P1200+G1200</f>
        <v>6381622001.9463587</v>
      </c>
      <c r="R1200" s="472">
        <f>IF(L1200=0,R1199,Q1200/N1200)</f>
        <v>911660285.99233699</v>
      </c>
      <c r="S1200" s="1189">
        <f>F1200</f>
        <v>2019</v>
      </c>
      <c r="T1200" s="470">
        <f>S1200-S1199</f>
        <v>1</v>
      </c>
      <c r="U1200" s="612">
        <f>R1200*T1200</f>
        <v>911660285.99233699</v>
      </c>
      <c r="V1200" s="464">
        <f>F1200</f>
        <v>2019</v>
      </c>
      <c r="W1200" s="612">
        <f>IF(OR(AND(ISBLANK(E1200),ISBLANK(G1200)),ISTEXT(E1200),ISTEXT(G1200)),"",Q1200-U1200)</f>
        <v>5469961715.9540215</v>
      </c>
      <c r="X1200" s="473"/>
      <c r="Y1200" s="478"/>
      <c r="Z1200" s="449"/>
      <c r="AA1200" s="573"/>
      <c r="AB1200" s="476"/>
      <c r="AC1200" s="476"/>
      <c r="AD1200" s="568"/>
      <c r="AE1200" s="476"/>
      <c r="AF1200" s="568"/>
      <c r="AG1200" s="476"/>
      <c r="AH1200" s="476"/>
      <c r="AI1200" s="477"/>
      <c r="AJ1200" s="478"/>
      <c r="AK1200" s="479"/>
      <c r="AL1200" s="480"/>
      <c r="AM1200" s="474"/>
      <c r="AN1200" s="481"/>
      <c r="AO1200" s="474"/>
      <c r="AP1200" s="476"/>
      <c r="AQ1200" s="482"/>
      <c r="AR1200" s="478"/>
      <c r="AS1200" s="478"/>
      <c r="AT1200" s="476"/>
      <c r="AU1200" s="482"/>
      <c r="AV1200" s="478"/>
      <c r="AW1200" s="483"/>
      <c r="AX1200" s="476"/>
      <c r="AY1200" s="482"/>
      <c r="AZ1200" s="478"/>
      <c r="BA1200" s="484"/>
      <c r="BB1200" s="474"/>
      <c r="BC1200" s="485"/>
      <c r="BD1200" s="485"/>
      <c r="BG1200" s="487"/>
    </row>
    <row r="1201" spans="1:59" s="486" customFormat="1" ht="18" customHeight="1" x14ac:dyDescent="0.2">
      <c r="A1201" s="1368" t="str">
        <f>LEFT(D1201,8)</f>
        <v/>
      </c>
      <c r="B1201" s="687"/>
      <c r="C1201" s="463"/>
      <c r="D1201" s="489"/>
      <c r="E1201" s="465"/>
      <c r="F1201" s="466"/>
      <c r="G1201" s="620"/>
      <c r="H1201" s="464"/>
      <c r="I1201" s="467"/>
      <c r="J1201" s="468"/>
      <c r="K1201" s="574"/>
      <c r="L1201" s="469"/>
      <c r="M1201" s="683"/>
      <c r="N1201" s="470"/>
      <c r="O1201" s="468"/>
      <c r="P1201" s="616"/>
      <c r="Q1201" s="472"/>
      <c r="R1201" s="472"/>
      <c r="S1201" s="634"/>
      <c r="T1201" s="470"/>
      <c r="U1201" s="612"/>
      <c r="V1201" s="464"/>
      <c r="W1201" s="612"/>
      <c r="X1201" s="473"/>
      <c r="Y1201" s="478"/>
      <c r="Z1201" s="449"/>
      <c r="AA1201" s="573"/>
      <c r="AB1201" s="476"/>
      <c r="AC1201" s="476"/>
      <c r="AD1201" s="568"/>
      <c r="AE1201" s="476"/>
      <c r="AF1201" s="568"/>
      <c r="AG1201" s="476"/>
      <c r="AH1201" s="476"/>
      <c r="AI1201" s="477"/>
      <c r="AJ1201" s="478"/>
      <c r="AK1201" s="479"/>
      <c r="AL1201" s="480"/>
      <c r="AM1201" s="474"/>
      <c r="AN1201" s="481"/>
      <c r="AO1201" s="474"/>
      <c r="AP1201" s="476"/>
      <c r="AQ1201" s="482"/>
      <c r="AR1201" s="478"/>
      <c r="AS1201" s="478"/>
      <c r="AT1201" s="476"/>
      <c r="AU1201" s="482"/>
      <c r="AV1201" s="478"/>
      <c r="AW1201" s="483"/>
      <c r="AX1201" s="476"/>
      <c r="AY1201" s="482"/>
      <c r="AZ1201" s="478"/>
      <c r="BA1201" s="484"/>
      <c r="BB1201" s="474"/>
      <c r="BC1201" s="485"/>
      <c r="BD1201" s="485"/>
      <c r="BG1201" s="487"/>
    </row>
    <row r="1202" spans="1:59" s="526" customFormat="1" ht="18" customHeight="1" x14ac:dyDescent="0.2">
      <c r="A1202" s="1370" t="s">
        <v>4184</v>
      </c>
      <c r="B1202" s="1956" t="s">
        <v>4184</v>
      </c>
      <c r="C1202" s="1957"/>
      <c r="D1202" s="1957"/>
      <c r="E1202" s="1957"/>
      <c r="F1202" s="1958"/>
      <c r="G1202" s="624">
        <f>SUM(G1187:G1201)</f>
        <v>15772919134.575056</v>
      </c>
      <c r="H1202" s="505"/>
      <c r="I1202" s="506"/>
      <c r="J1202" s="507"/>
      <c r="K1202" s="507"/>
      <c r="L1202" s="505"/>
      <c r="M1202" s="684"/>
      <c r="N1202" s="508"/>
      <c r="O1202" s="507"/>
      <c r="P1202" s="749"/>
      <c r="Q1202" s="510"/>
      <c r="R1202" s="511"/>
      <c r="S1202" s="512"/>
      <c r="T1202" s="512"/>
      <c r="U1202" s="610">
        <f>SUM(U1187:U1201)</f>
        <v>10302957418.621035</v>
      </c>
      <c r="V1202" s="513"/>
      <c r="W1202" s="610">
        <f>G1202-U1202</f>
        <v>5469961715.9540215</v>
      </c>
      <c r="X1202" s="514"/>
      <c r="Y1202" s="515"/>
      <c r="Z1202" s="515"/>
      <c r="AA1202" s="515"/>
      <c r="AB1202" s="515"/>
      <c r="AC1202" s="515"/>
      <c r="AD1202" s="570"/>
      <c r="AE1202" s="515"/>
      <c r="AF1202" s="570"/>
      <c r="AG1202" s="515"/>
      <c r="AH1202" s="515"/>
      <c r="AI1202" s="516"/>
      <c r="AJ1202" s="517"/>
      <c r="AK1202" s="518"/>
      <c r="AL1202" s="519"/>
      <c r="AM1202" s="520"/>
      <c r="AN1202" s="521"/>
      <c r="AO1202" s="520"/>
      <c r="AP1202" s="515"/>
      <c r="AQ1202" s="522"/>
      <c r="AR1202" s="517"/>
      <c r="AS1202" s="517"/>
      <c r="AT1202" s="515"/>
      <c r="AU1202" s="522"/>
      <c r="AV1202" s="517"/>
      <c r="AW1202" s="523"/>
      <c r="AX1202" s="515"/>
      <c r="AY1202" s="522"/>
      <c r="AZ1202" s="517"/>
      <c r="BA1202" s="524"/>
      <c r="BB1202" s="520"/>
      <c r="BC1202" s="525"/>
      <c r="BD1202" s="525"/>
      <c r="BG1202" s="527"/>
    </row>
    <row r="1205" spans="1:59" s="422" customFormat="1" ht="18" customHeight="1" x14ac:dyDescent="0.2">
      <c r="A1205" s="1366">
        <f>C1205</f>
        <v>197</v>
      </c>
      <c r="B1205" s="742" t="s">
        <v>4187</v>
      </c>
      <c r="C1205" s="556">
        <v>197</v>
      </c>
      <c r="D1205" s="553" t="str">
        <f>VLOOKUP(C1205,RUAS,2,FALSE)</f>
        <v>LOGAS - AIR MAS</v>
      </c>
      <c r="E1205" s="553"/>
      <c r="F1205" s="421"/>
      <c r="G1205" s="611"/>
      <c r="I1205" s="423"/>
      <c r="J1205" s="424"/>
      <c r="K1205" s="424"/>
      <c r="M1205" s="680"/>
      <c r="P1205" s="611"/>
      <c r="U1205" s="611"/>
      <c r="W1205" s="611"/>
      <c r="Y1205" s="425"/>
      <c r="Z1205" s="425"/>
      <c r="AA1205" s="425"/>
      <c r="AB1205" s="425"/>
      <c r="AC1205" s="425"/>
      <c r="AD1205" s="563"/>
      <c r="AE1205" s="425"/>
      <c r="AF1205" s="563"/>
      <c r="AG1205" s="425"/>
      <c r="AH1205" s="425"/>
      <c r="AI1205" s="425"/>
      <c r="AJ1205" s="425"/>
      <c r="AK1205" s="425"/>
      <c r="AL1205" s="425"/>
      <c r="AM1205" s="425"/>
      <c r="AN1205" s="425"/>
      <c r="AO1205" s="425"/>
      <c r="AP1205" s="425"/>
      <c r="AQ1205" s="425"/>
      <c r="AR1205" s="425"/>
      <c r="AS1205" s="425"/>
      <c r="AT1205" s="425"/>
      <c r="AU1205" s="425"/>
      <c r="AV1205" s="425"/>
      <c r="AW1205" s="425"/>
      <c r="AX1205" s="425"/>
      <c r="AY1205" s="425"/>
      <c r="AZ1205" s="425"/>
      <c r="BA1205" s="425"/>
      <c r="BB1205" s="425"/>
    </row>
    <row r="1206" spans="1:59" s="431" customFormat="1" ht="18" customHeight="1" x14ac:dyDescent="0.2">
      <c r="A1206" s="1367"/>
      <c r="B1206" s="1968" t="s">
        <v>5</v>
      </c>
      <c r="C1206" s="1968" t="s">
        <v>2280</v>
      </c>
      <c r="D1206" s="1968" t="s">
        <v>4157</v>
      </c>
      <c r="E1206" s="1968" t="s">
        <v>4158</v>
      </c>
      <c r="F1206" s="1968"/>
      <c r="G1206" s="1969" t="s">
        <v>4159</v>
      </c>
      <c r="H1206" s="1968" t="s">
        <v>4160</v>
      </c>
      <c r="I1206" s="1968"/>
      <c r="J1206" s="1968" t="s">
        <v>4185</v>
      </c>
      <c r="K1206" s="1964" t="s">
        <v>4162</v>
      </c>
      <c r="L1206" s="1968" t="s">
        <v>4163</v>
      </c>
      <c r="M1206" s="1971" t="s">
        <v>4164</v>
      </c>
      <c r="N1206" s="1962" t="s">
        <v>4165</v>
      </c>
      <c r="O1206" s="1968" t="s">
        <v>4166</v>
      </c>
      <c r="P1206" s="1972" t="s">
        <v>4167</v>
      </c>
      <c r="Q1206" s="1973"/>
      <c r="R1206" s="636" t="s">
        <v>4186</v>
      </c>
      <c r="S1206" s="1972" t="s">
        <v>4169</v>
      </c>
      <c r="T1206" s="1974"/>
      <c r="U1206" s="1973"/>
      <c r="V1206" s="1975" t="s">
        <v>4170</v>
      </c>
      <c r="W1206" s="1975"/>
      <c r="X1206" s="1960" t="s">
        <v>4171</v>
      </c>
      <c r="Y1206" s="1959"/>
      <c r="Z1206" s="633"/>
      <c r="AA1206" s="426"/>
      <c r="AB1206" s="426"/>
      <c r="AC1206" s="426"/>
      <c r="AD1206" s="564"/>
      <c r="AE1206" s="426"/>
      <c r="AF1206" s="564"/>
      <c r="AG1206" s="426"/>
      <c r="AH1206" s="426"/>
      <c r="AI1206" s="427"/>
      <c r="AJ1206" s="427"/>
      <c r="AK1206" s="427"/>
      <c r="AL1206" s="427"/>
      <c r="AM1206" s="428"/>
      <c r="AN1206" s="427"/>
      <c r="AO1206" s="427"/>
      <c r="AP1206" s="426"/>
      <c r="AQ1206" s="427"/>
      <c r="AR1206" s="427"/>
      <c r="AS1206" s="427"/>
      <c r="AT1206" s="426"/>
      <c r="AU1206" s="427"/>
      <c r="AV1206" s="427"/>
      <c r="AW1206" s="427"/>
      <c r="AX1206" s="426"/>
      <c r="AY1206" s="427"/>
      <c r="AZ1206" s="427"/>
      <c r="BA1206" s="427"/>
      <c r="BB1206" s="429"/>
      <c r="BC1206" s="430"/>
      <c r="BD1206" s="430"/>
    </row>
    <row r="1207" spans="1:59" s="431" customFormat="1" ht="18" customHeight="1" x14ac:dyDescent="0.2">
      <c r="A1207" s="1367"/>
      <c r="B1207" s="1968"/>
      <c r="C1207" s="1968"/>
      <c r="D1207" s="1968"/>
      <c r="E1207" s="1968"/>
      <c r="F1207" s="1968"/>
      <c r="G1207" s="1969"/>
      <c r="H1207" s="1968"/>
      <c r="I1207" s="1968"/>
      <c r="J1207" s="1968"/>
      <c r="K1207" s="1970"/>
      <c r="L1207" s="1968"/>
      <c r="M1207" s="1971"/>
      <c r="N1207" s="1963"/>
      <c r="O1207" s="1968"/>
      <c r="P1207" s="2037" t="s">
        <v>4172</v>
      </c>
      <c r="Q1207" s="1960" t="s">
        <v>4173</v>
      </c>
      <c r="R1207" s="1962" t="s">
        <v>4159</v>
      </c>
      <c r="S1207" s="1962" t="s">
        <v>4174</v>
      </c>
      <c r="T1207" s="1964" t="s">
        <v>4175</v>
      </c>
      <c r="U1207" s="1966" t="s">
        <v>4159</v>
      </c>
      <c r="V1207" s="1975"/>
      <c r="W1207" s="1975"/>
      <c r="X1207" s="1976"/>
      <c r="Y1207" s="1959"/>
      <c r="Z1207" s="633"/>
      <c r="AA1207" s="426"/>
      <c r="AB1207" s="426"/>
      <c r="AC1207" s="426"/>
      <c r="AD1207" s="564"/>
      <c r="AE1207" s="426"/>
      <c r="AF1207" s="564"/>
      <c r="AG1207" s="426"/>
      <c r="AH1207" s="426"/>
      <c r="AI1207" s="427"/>
      <c r="AJ1207" s="427"/>
      <c r="AK1207" s="426"/>
      <c r="AL1207" s="427"/>
      <c r="AM1207" s="428"/>
      <c r="AN1207" s="427"/>
      <c r="AO1207" s="427"/>
      <c r="AP1207" s="432"/>
      <c r="AQ1207" s="427"/>
      <c r="AR1207" s="427"/>
      <c r="AS1207" s="427"/>
      <c r="AT1207" s="432"/>
      <c r="AU1207" s="427"/>
      <c r="AV1207" s="427"/>
      <c r="AW1207" s="427"/>
      <c r="AX1207" s="432"/>
      <c r="AY1207" s="427"/>
      <c r="AZ1207" s="427"/>
      <c r="BA1207" s="427"/>
      <c r="BB1207" s="429"/>
      <c r="BC1207" s="430"/>
      <c r="BD1207" s="430"/>
    </row>
    <row r="1208" spans="1:59" s="431" customFormat="1" ht="18" customHeight="1" x14ac:dyDescent="0.2">
      <c r="A1208" s="1367"/>
      <c r="B1208" s="1968"/>
      <c r="C1208" s="1968"/>
      <c r="D1208" s="1968"/>
      <c r="E1208" s="433" t="s">
        <v>4176</v>
      </c>
      <c r="F1208" s="434" t="s">
        <v>2288</v>
      </c>
      <c r="G1208" s="1969"/>
      <c r="H1208" s="635" t="s">
        <v>2288</v>
      </c>
      <c r="I1208" s="635" t="s">
        <v>4177</v>
      </c>
      <c r="J1208" s="1968"/>
      <c r="K1208" s="1965"/>
      <c r="L1208" s="435" t="s">
        <v>2288</v>
      </c>
      <c r="M1208" s="681" t="s">
        <v>2288</v>
      </c>
      <c r="N1208" s="635" t="s">
        <v>2288</v>
      </c>
      <c r="O1208" s="1968"/>
      <c r="P1208" s="2038"/>
      <c r="Q1208" s="1961"/>
      <c r="R1208" s="1963"/>
      <c r="S1208" s="1963"/>
      <c r="T1208" s="1965"/>
      <c r="U1208" s="1967"/>
      <c r="V1208" s="635" t="s">
        <v>4178</v>
      </c>
      <c r="W1208" s="637" t="s">
        <v>4159</v>
      </c>
      <c r="X1208" s="1961"/>
      <c r="Y1208" s="436"/>
      <c r="Z1208" s="436"/>
      <c r="AA1208" s="426"/>
      <c r="AB1208" s="426"/>
      <c r="AC1208" s="426"/>
      <c r="AD1208" s="564"/>
      <c r="AE1208" s="426"/>
      <c r="AF1208" s="564"/>
      <c r="AG1208" s="426"/>
      <c r="AH1208" s="426"/>
      <c r="AI1208" s="427"/>
      <c r="AJ1208" s="432"/>
      <c r="AK1208" s="432"/>
      <c r="AL1208" s="427"/>
      <c r="AM1208" s="428"/>
      <c r="AN1208" s="432"/>
      <c r="AO1208" s="427"/>
      <c r="AP1208" s="432"/>
      <c r="AQ1208" s="432"/>
      <c r="AR1208" s="427"/>
      <c r="AS1208" s="427"/>
      <c r="AT1208" s="432"/>
      <c r="AU1208" s="432"/>
      <c r="AV1208" s="427"/>
      <c r="AW1208" s="427"/>
      <c r="AX1208" s="432"/>
      <c r="AY1208" s="432"/>
      <c r="AZ1208" s="427"/>
      <c r="BA1208" s="427"/>
      <c r="BB1208" s="429"/>
      <c r="BC1208" s="430"/>
      <c r="BD1208" s="430"/>
    </row>
    <row r="1209" spans="1:59" s="461" customFormat="1" ht="18" customHeight="1" x14ac:dyDescent="0.2">
      <c r="A1209" s="1368" t="str">
        <f>$D$1205&amp;S1209</f>
        <v>LOGAS - AIR MAS2001</v>
      </c>
      <c r="B1209" s="1373">
        <v>1</v>
      </c>
      <c r="C1209" s="488" t="s">
        <v>529</v>
      </c>
      <c r="D1209" s="489" t="s">
        <v>3821</v>
      </c>
      <c r="E1209" s="558"/>
      <c r="F1209" s="559">
        <v>2001</v>
      </c>
      <c r="G1209" s="619">
        <v>12022715750</v>
      </c>
      <c r="H1209" s="440">
        <f>VLOOKUP(LEFT(D1209,8),UE,4)</f>
        <v>10</v>
      </c>
      <c r="I1209" s="560"/>
      <c r="J1209" s="468">
        <f>F1209+N1209-1</f>
        <v>2010</v>
      </c>
      <c r="K1209" s="595"/>
      <c r="L1209" s="557"/>
      <c r="M1209" s="682">
        <f>IF(H1209+L1209&gt;$H1209,$H1209-H1209,L1209)</f>
        <v>0</v>
      </c>
      <c r="N1209" s="584">
        <f>H1209+M1209</f>
        <v>10</v>
      </c>
      <c r="O1209" s="468">
        <f>F1209+N1209-1</f>
        <v>2010</v>
      </c>
      <c r="P1209" s="616">
        <f>G1209</f>
        <v>12022715750</v>
      </c>
      <c r="Q1209" s="472">
        <v>0</v>
      </c>
      <c r="R1209" s="472">
        <f>P1209/N1209</f>
        <v>1202271575</v>
      </c>
      <c r="S1209" s="596">
        <f>F1209</f>
        <v>2001</v>
      </c>
      <c r="T1209" s="470">
        <v>1</v>
      </c>
      <c r="U1209" s="612">
        <f>R1209*T1209</f>
        <v>1202271575</v>
      </c>
      <c r="V1209" s="468">
        <f>F1209</f>
        <v>2001</v>
      </c>
      <c r="W1209" s="616">
        <f>IF(OR(AND(ISBLANK(E1209),ISBLANK(G1209)),ISTEXT(E1209),ISTEXT(G1209)),"",G1209-R1209)</f>
        <v>10820444175</v>
      </c>
      <c r="X1209" s="561"/>
      <c r="Y1209" s="449"/>
      <c r="Z1209" s="449"/>
      <c r="AA1209" s="450" t="s">
        <v>4179</v>
      </c>
      <c r="AB1209" s="451"/>
      <c r="AC1209" s="451"/>
      <c r="AD1209" s="565"/>
      <c r="AE1209" s="452"/>
      <c r="AF1209" s="571"/>
      <c r="AG1209" s="452"/>
      <c r="AH1209" s="452"/>
      <c r="AI1209" s="453"/>
      <c r="AJ1209" s="449"/>
      <c r="AK1209" s="453"/>
      <c r="AL1209" s="454"/>
      <c r="AM1209" s="455"/>
      <c r="AN1209" s="456"/>
      <c r="AO1209" s="455"/>
      <c r="AP1209" s="452"/>
      <c r="AQ1209" s="457"/>
      <c r="AR1209" s="449"/>
      <c r="AS1209" s="449"/>
      <c r="AT1209" s="452"/>
      <c r="AU1209" s="457"/>
      <c r="AV1209" s="449"/>
      <c r="AW1209" s="458"/>
      <c r="AX1209" s="452"/>
      <c r="AY1209" s="457"/>
      <c r="AZ1209" s="449"/>
      <c r="BA1209" s="459"/>
      <c r="BB1209" s="455"/>
      <c r="BC1209" s="460"/>
      <c r="BD1209" s="460"/>
      <c r="BG1209" s="462"/>
    </row>
    <row r="1210" spans="1:59" s="461" customFormat="1" ht="18" customHeight="1" x14ac:dyDescent="0.2">
      <c r="A1210" s="1368" t="str">
        <f t="shared" ref="A1210:A1217" si="910">$D$1205&amp;S1210</f>
        <v>LOGAS - AIR MAS2005</v>
      </c>
      <c r="B1210" s="1373"/>
      <c r="C1210" s="488"/>
      <c r="D1210" s="489"/>
      <c r="E1210" s="558"/>
      <c r="F1210" s="559">
        <v>2005</v>
      </c>
      <c r="G1210" s="619">
        <v>0</v>
      </c>
      <c r="H1210" s="464">
        <f>IF(N1209-(F1210-F1209)&lt;=0,0,(N1209-(F1210-F1209)))</f>
        <v>6</v>
      </c>
      <c r="I1210" s="467"/>
      <c r="J1210" s="468">
        <f>F1210+N1210-1</f>
        <v>2010</v>
      </c>
      <c r="K1210" s="490">
        <f>IF(G1210=0,0,IF(H1210=10,100%,G1210/W1209))</f>
        <v>0</v>
      </c>
      <c r="L1210" s="469">
        <f>IF(K1210=0%,0,IF(K1210&lt;=30%,2,IF(K1210&lt;=60%,5,10)))</f>
        <v>0</v>
      </c>
      <c r="M1210" s="683">
        <f>IF(OR(AND(ISBLANK(E1210),ISBLANK(G1210)),ISTEXT(E1210),ISTEXT(G1210)),"",IF(H1210+L1210&gt;$H$8,$H$8-H1210,L1210))</f>
        <v>0</v>
      </c>
      <c r="N1210" s="470">
        <f>IF(OR(AND(ISBLANK(F1210),ISBLANK(G1210)),ISTEXT(F1210),ISTEXT(G1210)),"",H1210+M1210)</f>
        <v>6</v>
      </c>
      <c r="O1210" s="468">
        <f>F1210+N1210-1</f>
        <v>2010</v>
      </c>
      <c r="P1210" s="616">
        <f>W1209</f>
        <v>10820444175</v>
      </c>
      <c r="Q1210" s="472">
        <f>P1210+G1210</f>
        <v>10820444175</v>
      </c>
      <c r="R1210" s="472">
        <f>IF(L1210=0,R1209,Q1210/N1210)</f>
        <v>1202271575</v>
      </c>
      <c r="S1210" s="634">
        <f>F1210</f>
        <v>2005</v>
      </c>
      <c r="T1210" s="470">
        <f>S1210-S1209</f>
        <v>4</v>
      </c>
      <c r="U1210" s="612">
        <f>R1210*T1210</f>
        <v>4809086300</v>
      </c>
      <c r="V1210" s="464">
        <f>F1210</f>
        <v>2005</v>
      </c>
      <c r="W1210" s="612">
        <f>IF(OR(AND(ISBLANK(E1210),ISBLANK(G1210)),ISTEXT(E1210),ISTEXT(G1210)),"",Q1210-U1210)</f>
        <v>6011357875</v>
      </c>
      <c r="X1210" s="561"/>
      <c r="Y1210" s="449"/>
      <c r="Z1210" s="449"/>
      <c r="AA1210" s="554"/>
      <c r="AB1210" s="452"/>
      <c r="AC1210" s="452"/>
      <c r="AD1210" s="566"/>
      <c r="AE1210" s="452"/>
      <c r="AF1210" s="571"/>
      <c r="AG1210" s="452"/>
      <c r="AH1210" s="452"/>
      <c r="AI1210" s="453"/>
      <c r="AJ1210" s="449"/>
      <c r="AK1210" s="453"/>
      <c r="AL1210" s="454"/>
      <c r="AM1210" s="455"/>
      <c r="AN1210" s="456"/>
      <c r="AO1210" s="455"/>
      <c r="AP1210" s="452"/>
      <c r="AQ1210" s="457"/>
      <c r="AR1210" s="449"/>
      <c r="AS1210" s="449"/>
      <c r="AT1210" s="452"/>
      <c r="AU1210" s="457"/>
      <c r="AV1210" s="449"/>
      <c r="AW1210" s="458"/>
      <c r="AX1210" s="452"/>
      <c r="AY1210" s="457"/>
      <c r="AZ1210" s="449"/>
      <c r="BA1210" s="459"/>
      <c r="BB1210" s="455"/>
      <c r="BC1210" s="460"/>
      <c r="BD1210" s="460"/>
      <c r="BG1210" s="462"/>
    </row>
    <row r="1211" spans="1:59" s="461" customFormat="1" ht="18" customHeight="1" x14ac:dyDescent="0.2">
      <c r="A1211" s="1368" t="str">
        <f t="shared" si="910"/>
        <v>LOGAS - AIR MAS2006</v>
      </c>
      <c r="B1211" s="1373"/>
      <c r="C1211" s="488"/>
      <c r="D1211" s="489"/>
      <c r="E1211" s="558"/>
      <c r="F1211" s="559">
        <v>2006</v>
      </c>
      <c r="G1211" s="619">
        <v>0</v>
      </c>
      <c r="H1211" s="464">
        <f t="shared" ref="H1211:H1220" si="911">IF(N1210-(F1211-F1210)&lt;=0,0,(N1210-(F1211-F1210)))</f>
        <v>5</v>
      </c>
      <c r="I1211" s="467"/>
      <c r="J1211" s="468">
        <f t="shared" ref="J1211:J1220" si="912">F1211+N1211-1</f>
        <v>2010</v>
      </c>
      <c r="K1211" s="490">
        <f t="shared" ref="K1211:K1220" si="913">IF(G1211=0,0,IF(H1211=10,100%,G1211/W1210))</f>
        <v>0</v>
      </c>
      <c r="L1211" s="469">
        <f t="shared" ref="L1211:L1220" si="914">IF(K1211=0%,0,IF(K1211&lt;=30%,2,IF(K1211&lt;=60%,5,10)))</f>
        <v>0</v>
      </c>
      <c r="M1211" s="683">
        <f t="shared" ref="M1211:M1220" si="915">IF(OR(AND(ISBLANK(E1211),ISBLANK(G1211)),ISTEXT(E1211),ISTEXT(G1211)),"",IF(H1211+L1211&gt;$H$8,$H$8-H1211,L1211))</f>
        <v>0</v>
      </c>
      <c r="N1211" s="470">
        <f t="shared" ref="N1211:N1220" si="916">IF(OR(AND(ISBLANK(F1211),ISBLANK(G1211)),ISTEXT(F1211),ISTEXT(G1211)),"",H1211+M1211)</f>
        <v>5</v>
      </c>
      <c r="O1211" s="468">
        <f t="shared" ref="O1211:O1220" si="917">F1211+N1211-1</f>
        <v>2010</v>
      </c>
      <c r="P1211" s="616">
        <f t="shared" ref="P1211:P1220" si="918">W1210</f>
        <v>6011357875</v>
      </c>
      <c r="Q1211" s="472">
        <f t="shared" ref="Q1211:Q1220" si="919">P1211+G1211</f>
        <v>6011357875</v>
      </c>
      <c r="R1211" s="472">
        <f t="shared" ref="R1211:R1220" si="920">IF(L1211=0,R1210,Q1211/N1211)</f>
        <v>1202271575</v>
      </c>
      <c r="S1211" s="1189">
        <f t="shared" ref="S1211:S1220" si="921">F1211</f>
        <v>2006</v>
      </c>
      <c r="T1211" s="470">
        <f t="shared" ref="T1211:T1220" si="922">S1211-S1210</f>
        <v>1</v>
      </c>
      <c r="U1211" s="612">
        <f t="shared" ref="U1211:U1220" si="923">R1211*T1211</f>
        <v>1202271575</v>
      </c>
      <c r="V1211" s="464">
        <f t="shared" ref="V1211:V1220" si="924">F1211</f>
        <v>2006</v>
      </c>
      <c r="W1211" s="612">
        <f t="shared" ref="W1211:W1220" si="925">IF(OR(AND(ISBLANK(E1211),ISBLANK(G1211)),ISTEXT(E1211),ISTEXT(G1211)),"",Q1211-U1211)</f>
        <v>4809086300</v>
      </c>
      <c r="X1211" s="561"/>
      <c r="Y1211" s="449"/>
      <c r="Z1211" s="449"/>
      <c r="AA1211" s="554"/>
      <c r="AB1211" s="452"/>
      <c r="AC1211" s="452"/>
      <c r="AD1211" s="566"/>
      <c r="AE1211" s="452"/>
      <c r="AF1211" s="571"/>
      <c r="AG1211" s="452"/>
      <c r="AH1211" s="452"/>
      <c r="AI1211" s="453"/>
      <c r="AJ1211" s="449"/>
      <c r="AK1211" s="453"/>
      <c r="AL1211" s="454"/>
      <c r="AM1211" s="455"/>
      <c r="AN1211" s="456"/>
      <c r="AO1211" s="455"/>
      <c r="AP1211" s="452"/>
      <c r="AQ1211" s="457"/>
      <c r="AR1211" s="449"/>
      <c r="AS1211" s="449"/>
      <c r="AT1211" s="452"/>
      <c r="AU1211" s="457"/>
      <c r="AV1211" s="449"/>
      <c r="AW1211" s="458"/>
      <c r="AX1211" s="452"/>
      <c r="AY1211" s="457"/>
      <c r="AZ1211" s="449"/>
      <c r="BA1211" s="459"/>
      <c r="BB1211" s="455"/>
      <c r="BC1211" s="460"/>
      <c r="BD1211" s="460"/>
      <c r="BG1211" s="462"/>
    </row>
    <row r="1212" spans="1:59" s="461" customFormat="1" ht="18" customHeight="1" x14ac:dyDescent="0.2">
      <c r="A1212" s="1368" t="str">
        <f t="shared" si="910"/>
        <v>LOGAS - AIR MAS2007</v>
      </c>
      <c r="B1212" s="1373">
        <v>2</v>
      </c>
      <c r="C1212" s="488" t="s">
        <v>1173</v>
      </c>
      <c r="D1212" s="489"/>
      <c r="E1212" s="558"/>
      <c r="F1212" s="559">
        <v>2007</v>
      </c>
      <c r="G1212" s="619">
        <v>646450700.572227</v>
      </c>
      <c r="H1212" s="464">
        <f t="shared" si="911"/>
        <v>4</v>
      </c>
      <c r="I1212" s="467"/>
      <c r="J1212" s="468">
        <f t="shared" si="912"/>
        <v>2012</v>
      </c>
      <c r="K1212" s="490">
        <f t="shared" si="913"/>
        <v>0.13442276978315548</v>
      </c>
      <c r="L1212" s="469">
        <f t="shared" si="914"/>
        <v>2</v>
      </c>
      <c r="M1212" s="683">
        <f t="shared" si="915"/>
        <v>2</v>
      </c>
      <c r="N1212" s="470">
        <f t="shared" si="916"/>
        <v>6</v>
      </c>
      <c r="O1212" s="468">
        <f t="shared" si="917"/>
        <v>2012</v>
      </c>
      <c r="P1212" s="616">
        <f t="shared" si="918"/>
        <v>4809086300</v>
      </c>
      <c r="Q1212" s="472">
        <f t="shared" si="919"/>
        <v>5455537000.5722275</v>
      </c>
      <c r="R1212" s="472">
        <f t="shared" si="920"/>
        <v>909256166.76203787</v>
      </c>
      <c r="S1212" s="1189">
        <f t="shared" si="921"/>
        <v>2007</v>
      </c>
      <c r="T1212" s="470">
        <f t="shared" si="922"/>
        <v>1</v>
      </c>
      <c r="U1212" s="612">
        <f t="shared" si="923"/>
        <v>909256166.76203787</v>
      </c>
      <c r="V1212" s="464">
        <f t="shared" si="924"/>
        <v>2007</v>
      </c>
      <c r="W1212" s="612">
        <f t="shared" si="925"/>
        <v>4546280833.8101892</v>
      </c>
      <c r="X1212" s="561"/>
      <c r="Y1212" s="449"/>
      <c r="Z1212" s="449"/>
      <c r="AA1212" s="554"/>
      <c r="AB1212" s="452"/>
      <c r="AC1212" s="452"/>
      <c r="AD1212" s="566"/>
      <c r="AE1212" s="452"/>
      <c r="AF1212" s="571"/>
      <c r="AG1212" s="452"/>
      <c r="AH1212" s="452"/>
      <c r="AI1212" s="453"/>
      <c r="AJ1212" s="449"/>
      <c r="AK1212" s="453"/>
      <c r="AL1212" s="454"/>
      <c r="AM1212" s="455"/>
      <c r="AN1212" s="456"/>
      <c r="AO1212" s="455"/>
      <c r="AP1212" s="452"/>
      <c r="AQ1212" s="457"/>
      <c r="AR1212" s="449"/>
      <c r="AS1212" s="449"/>
      <c r="AT1212" s="452"/>
      <c r="AU1212" s="457"/>
      <c r="AV1212" s="449"/>
      <c r="AW1212" s="458"/>
      <c r="AX1212" s="452"/>
      <c r="AY1212" s="457"/>
      <c r="AZ1212" s="449"/>
      <c r="BA1212" s="459"/>
      <c r="BB1212" s="455"/>
      <c r="BC1212" s="460"/>
      <c r="BD1212" s="460"/>
      <c r="BG1212" s="462"/>
    </row>
    <row r="1213" spans="1:59" s="461" customFormat="1" ht="18" customHeight="1" x14ac:dyDescent="0.2">
      <c r="A1213" s="1368" t="str">
        <f t="shared" si="910"/>
        <v>LOGAS - AIR MAS2008</v>
      </c>
      <c r="B1213" s="1373"/>
      <c r="C1213" s="488"/>
      <c r="D1213" s="489"/>
      <c r="E1213" s="558"/>
      <c r="F1213" s="559">
        <v>2008</v>
      </c>
      <c r="G1213" s="619">
        <v>0</v>
      </c>
      <c r="H1213" s="464">
        <f t="shared" si="911"/>
        <v>5</v>
      </c>
      <c r="I1213" s="467"/>
      <c r="J1213" s="468">
        <f t="shared" si="912"/>
        <v>2012</v>
      </c>
      <c r="K1213" s="490">
        <f t="shared" si="913"/>
        <v>0</v>
      </c>
      <c r="L1213" s="469">
        <f t="shared" si="914"/>
        <v>0</v>
      </c>
      <c r="M1213" s="683">
        <f t="shared" si="915"/>
        <v>0</v>
      </c>
      <c r="N1213" s="470">
        <f t="shared" si="916"/>
        <v>5</v>
      </c>
      <c r="O1213" s="468">
        <f t="shared" si="917"/>
        <v>2012</v>
      </c>
      <c r="P1213" s="616">
        <f t="shared" si="918"/>
        <v>4546280833.8101892</v>
      </c>
      <c r="Q1213" s="472">
        <f t="shared" si="919"/>
        <v>4546280833.8101892</v>
      </c>
      <c r="R1213" s="472">
        <f t="shared" si="920"/>
        <v>909256166.76203787</v>
      </c>
      <c r="S1213" s="1189">
        <f t="shared" si="921"/>
        <v>2008</v>
      </c>
      <c r="T1213" s="470">
        <f t="shared" si="922"/>
        <v>1</v>
      </c>
      <c r="U1213" s="612">
        <f t="shared" si="923"/>
        <v>909256166.76203787</v>
      </c>
      <c r="V1213" s="464">
        <f t="shared" si="924"/>
        <v>2008</v>
      </c>
      <c r="W1213" s="612">
        <f t="shared" si="925"/>
        <v>3637024667.0481515</v>
      </c>
      <c r="X1213" s="561"/>
      <c r="Y1213" s="449"/>
      <c r="Z1213" s="449"/>
      <c r="AA1213" s="554"/>
      <c r="AB1213" s="452"/>
      <c r="AC1213" s="452"/>
      <c r="AD1213" s="566"/>
      <c r="AE1213" s="452"/>
      <c r="AF1213" s="571"/>
      <c r="AG1213" s="452"/>
      <c r="AH1213" s="452"/>
      <c r="AI1213" s="453"/>
      <c r="AJ1213" s="449"/>
      <c r="AK1213" s="453"/>
      <c r="AL1213" s="454"/>
      <c r="AM1213" s="455"/>
      <c r="AN1213" s="456"/>
      <c r="AO1213" s="455"/>
      <c r="AP1213" s="452"/>
      <c r="AQ1213" s="457"/>
      <c r="AR1213" s="449"/>
      <c r="AS1213" s="449"/>
      <c r="AT1213" s="452"/>
      <c r="AU1213" s="457"/>
      <c r="AV1213" s="449"/>
      <c r="AW1213" s="458"/>
      <c r="AX1213" s="452"/>
      <c r="AY1213" s="457"/>
      <c r="AZ1213" s="449"/>
      <c r="BA1213" s="459"/>
      <c r="BB1213" s="455"/>
      <c r="BC1213" s="460"/>
      <c r="BD1213" s="460"/>
      <c r="BG1213" s="462"/>
    </row>
    <row r="1214" spans="1:59" s="461" customFormat="1" ht="18" customHeight="1" x14ac:dyDescent="0.2">
      <c r="A1214" s="1368" t="str">
        <f t="shared" si="910"/>
        <v>LOGAS - AIR MAS2009</v>
      </c>
      <c r="B1214" s="1373"/>
      <c r="C1214" s="488"/>
      <c r="D1214" s="489"/>
      <c r="E1214" s="558"/>
      <c r="F1214" s="559">
        <v>2009</v>
      </c>
      <c r="G1214" s="619">
        <v>0</v>
      </c>
      <c r="H1214" s="464">
        <f t="shared" si="911"/>
        <v>4</v>
      </c>
      <c r="I1214" s="467"/>
      <c r="J1214" s="468">
        <f t="shared" si="912"/>
        <v>2012</v>
      </c>
      <c r="K1214" s="490">
        <f t="shared" si="913"/>
        <v>0</v>
      </c>
      <c r="L1214" s="469">
        <f t="shared" si="914"/>
        <v>0</v>
      </c>
      <c r="M1214" s="683">
        <f t="shared" si="915"/>
        <v>0</v>
      </c>
      <c r="N1214" s="470">
        <f t="shared" si="916"/>
        <v>4</v>
      </c>
      <c r="O1214" s="468">
        <f t="shared" si="917"/>
        <v>2012</v>
      </c>
      <c r="P1214" s="616">
        <f t="shared" si="918"/>
        <v>3637024667.0481515</v>
      </c>
      <c r="Q1214" s="472">
        <f t="shared" si="919"/>
        <v>3637024667.0481515</v>
      </c>
      <c r="R1214" s="472">
        <f t="shared" si="920"/>
        <v>909256166.76203787</v>
      </c>
      <c r="S1214" s="1189">
        <f t="shared" si="921"/>
        <v>2009</v>
      </c>
      <c r="T1214" s="470">
        <f t="shared" si="922"/>
        <v>1</v>
      </c>
      <c r="U1214" s="612">
        <f t="shared" si="923"/>
        <v>909256166.76203787</v>
      </c>
      <c r="V1214" s="464">
        <f t="shared" si="924"/>
        <v>2009</v>
      </c>
      <c r="W1214" s="612">
        <f t="shared" si="925"/>
        <v>2727768500.2861137</v>
      </c>
      <c r="X1214" s="561"/>
      <c r="Y1214" s="449"/>
      <c r="Z1214" s="449"/>
      <c r="AA1214" s="554"/>
      <c r="AB1214" s="452"/>
      <c r="AC1214" s="452"/>
      <c r="AD1214" s="566"/>
      <c r="AE1214" s="452"/>
      <c r="AF1214" s="571"/>
      <c r="AG1214" s="452"/>
      <c r="AH1214" s="452"/>
      <c r="AI1214" s="453"/>
      <c r="AJ1214" s="449"/>
      <c r="AK1214" s="453"/>
      <c r="AL1214" s="454"/>
      <c r="AM1214" s="455"/>
      <c r="AN1214" s="456"/>
      <c r="AO1214" s="455"/>
      <c r="AP1214" s="452"/>
      <c r="AQ1214" s="457"/>
      <c r="AR1214" s="449"/>
      <c r="AS1214" s="449"/>
      <c r="AT1214" s="452"/>
      <c r="AU1214" s="457"/>
      <c r="AV1214" s="449"/>
      <c r="AW1214" s="458"/>
      <c r="AX1214" s="452"/>
      <c r="AY1214" s="457"/>
      <c r="AZ1214" s="449"/>
      <c r="BA1214" s="459"/>
      <c r="BB1214" s="455"/>
      <c r="BC1214" s="460"/>
      <c r="BD1214" s="460"/>
      <c r="BG1214" s="462"/>
    </row>
    <row r="1215" spans="1:59" s="461" customFormat="1" ht="18" customHeight="1" x14ac:dyDescent="0.2">
      <c r="A1215" s="1368" t="str">
        <f t="shared" si="910"/>
        <v>LOGAS - AIR MAS2010</v>
      </c>
      <c r="B1215" s="1373"/>
      <c r="C1215" s="488"/>
      <c r="D1215" s="489"/>
      <c r="E1215" s="558"/>
      <c r="F1215" s="559">
        <v>2010</v>
      </c>
      <c r="G1215" s="619">
        <v>0</v>
      </c>
      <c r="H1215" s="464">
        <f t="shared" si="911"/>
        <v>3</v>
      </c>
      <c r="I1215" s="467"/>
      <c r="J1215" s="468">
        <f t="shared" si="912"/>
        <v>2012</v>
      </c>
      <c r="K1215" s="490">
        <f t="shared" si="913"/>
        <v>0</v>
      </c>
      <c r="L1215" s="469">
        <f t="shared" si="914"/>
        <v>0</v>
      </c>
      <c r="M1215" s="683">
        <f t="shared" si="915"/>
        <v>0</v>
      </c>
      <c r="N1215" s="470">
        <f t="shared" si="916"/>
        <v>3</v>
      </c>
      <c r="O1215" s="468">
        <f t="shared" si="917"/>
        <v>2012</v>
      </c>
      <c r="P1215" s="616">
        <f t="shared" si="918"/>
        <v>2727768500.2861137</v>
      </c>
      <c r="Q1215" s="472">
        <f t="shared" si="919"/>
        <v>2727768500.2861137</v>
      </c>
      <c r="R1215" s="472">
        <f t="shared" si="920"/>
        <v>909256166.76203787</v>
      </c>
      <c r="S1215" s="1189">
        <f t="shared" si="921"/>
        <v>2010</v>
      </c>
      <c r="T1215" s="470">
        <f t="shared" si="922"/>
        <v>1</v>
      </c>
      <c r="U1215" s="612">
        <f t="shared" si="923"/>
        <v>909256166.76203787</v>
      </c>
      <c r="V1215" s="464">
        <f t="shared" si="924"/>
        <v>2010</v>
      </c>
      <c r="W1215" s="612">
        <f t="shared" si="925"/>
        <v>1818512333.524076</v>
      </c>
      <c r="X1215" s="561"/>
      <c r="Y1215" s="449"/>
      <c r="Z1215" s="449"/>
      <c r="AA1215" s="554"/>
      <c r="AB1215" s="452"/>
      <c r="AC1215" s="452"/>
      <c r="AD1215" s="566"/>
      <c r="AE1215" s="452"/>
      <c r="AF1215" s="571"/>
      <c r="AG1215" s="452"/>
      <c r="AH1215" s="452"/>
      <c r="AI1215" s="453"/>
      <c r="AJ1215" s="449"/>
      <c r="AK1215" s="453"/>
      <c r="AL1215" s="454"/>
      <c r="AM1215" s="455"/>
      <c r="AN1215" s="456"/>
      <c r="AO1215" s="455"/>
      <c r="AP1215" s="452"/>
      <c r="AQ1215" s="457"/>
      <c r="AR1215" s="449"/>
      <c r="AS1215" s="449"/>
      <c r="AT1215" s="452"/>
      <c r="AU1215" s="457"/>
      <c r="AV1215" s="449"/>
      <c r="AW1215" s="458"/>
      <c r="AX1215" s="452"/>
      <c r="AY1215" s="457"/>
      <c r="AZ1215" s="449"/>
      <c r="BA1215" s="459"/>
      <c r="BB1215" s="455"/>
      <c r="BC1215" s="460"/>
      <c r="BD1215" s="460"/>
      <c r="BG1215" s="462"/>
    </row>
    <row r="1216" spans="1:59" s="461" customFormat="1" ht="18" customHeight="1" x14ac:dyDescent="0.2">
      <c r="A1216" s="1368" t="str">
        <f t="shared" si="910"/>
        <v>LOGAS - AIR MAS2011</v>
      </c>
      <c r="B1216" s="1373"/>
      <c r="C1216" s="488"/>
      <c r="D1216" s="489"/>
      <c r="E1216" s="558"/>
      <c r="F1216" s="559">
        <v>2011</v>
      </c>
      <c r="G1216" s="619">
        <v>0</v>
      </c>
      <c r="H1216" s="464">
        <f t="shared" si="911"/>
        <v>2</v>
      </c>
      <c r="I1216" s="467"/>
      <c r="J1216" s="468">
        <f t="shared" si="912"/>
        <v>2012</v>
      </c>
      <c r="K1216" s="490">
        <f t="shared" si="913"/>
        <v>0</v>
      </c>
      <c r="L1216" s="469">
        <f t="shared" si="914"/>
        <v>0</v>
      </c>
      <c r="M1216" s="683">
        <f t="shared" si="915"/>
        <v>0</v>
      </c>
      <c r="N1216" s="470">
        <f t="shared" si="916"/>
        <v>2</v>
      </c>
      <c r="O1216" s="468">
        <f t="shared" si="917"/>
        <v>2012</v>
      </c>
      <c r="P1216" s="616">
        <f t="shared" si="918"/>
        <v>1818512333.524076</v>
      </c>
      <c r="Q1216" s="472">
        <f t="shared" si="919"/>
        <v>1818512333.524076</v>
      </c>
      <c r="R1216" s="472">
        <f t="shared" si="920"/>
        <v>909256166.76203787</v>
      </c>
      <c r="S1216" s="1189">
        <f t="shared" si="921"/>
        <v>2011</v>
      </c>
      <c r="T1216" s="470">
        <f t="shared" si="922"/>
        <v>1</v>
      </c>
      <c r="U1216" s="612">
        <f t="shared" si="923"/>
        <v>909256166.76203787</v>
      </c>
      <c r="V1216" s="464">
        <f t="shared" si="924"/>
        <v>2011</v>
      </c>
      <c r="W1216" s="612">
        <f t="shared" si="925"/>
        <v>909256166.76203811</v>
      </c>
      <c r="X1216" s="561"/>
      <c r="Y1216" s="449"/>
      <c r="Z1216" s="449"/>
      <c r="AA1216" s="554"/>
      <c r="AB1216" s="452"/>
      <c r="AC1216" s="452"/>
      <c r="AD1216" s="566"/>
      <c r="AE1216" s="452"/>
      <c r="AF1216" s="571"/>
      <c r="AG1216" s="452"/>
      <c r="AH1216" s="452"/>
      <c r="AI1216" s="453"/>
      <c r="AJ1216" s="449"/>
      <c r="AK1216" s="453"/>
      <c r="AL1216" s="454"/>
      <c r="AM1216" s="455"/>
      <c r="AN1216" s="456"/>
      <c r="AO1216" s="455"/>
      <c r="AP1216" s="452"/>
      <c r="AQ1216" s="457"/>
      <c r="AR1216" s="449"/>
      <c r="AS1216" s="449"/>
      <c r="AT1216" s="452"/>
      <c r="AU1216" s="457"/>
      <c r="AV1216" s="449"/>
      <c r="AW1216" s="458"/>
      <c r="AX1216" s="452"/>
      <c r="AY1216" s="457"/>
      <c r="AZ1216" s="449"/>
      <c r="BA1216" s="459"/>
      <c r="BB1216" s="455"/>
      <c r="BC1216" s="460"/>
      <c r="BD1216" s="460"/>
      <c r="BG1216" s="462"/>
    </row>
    <row r="1217" spans="1:59" s="486" customFormat="1" ht="18" customHeight="1" x14ac:dyDescent="0.2">
      <c r="A1217" s="1368" t="str">
        <f t="shared" si="910"/>
        <v>LOGAS - AIR MAS2012</v>
      </c>
      <c r="B1217" s="1373"/>
      <c r="C1217" s="488"/>
      <c r="D1217" s="489"/>
      <c r="E1217" s="558"/>
      <c r="F1217" s="559">
        <v>2012</v>
      </c>
      <c r="G1217" s="619">
        <v>0</v>
      </c>
      <c r="H1217" s="464">
        <f t="shared" si="911"/>
        <v>1</v>
      </c>
      <c r="I1217" s="467"/>
      <c r="J1217" s="468">
        <f t="shared" si="912"/>
        <v>2012</v>
      </c>
      <c r="K1217" s="490">
        <f t="shared" si="913"/>
        <v>0</v>
      </c>
      <c r="L1217" s="469">
        <f t="shared" si="914"/>
        <v>0</v>
      </c>
      <c r="M1217" s="683">
        <f t="shared" si="915"/>
        <v>0</v>
      </c>
      <c r="N1217" s="470">
        <f t="shared" si="916"/>
        <v>1</v>
      </c>
      <c r="O1217" s="468">
        <f t="shared" si="917"/>
        <v>2012</v>
      </c>
      <c r="P1217" s="616">
        <f t="shared" si="918"/>
        <v>909256166.76203811</v>
      </c>
      <c r="Q1217" s="472">
        <f t="shared" si="919"/>
        <v>909256166.76203811</v>
      </c>
      <c r="R1217" s="472">
        <f t="shared" si="920"/>
        <v>909256166.76203787</v>
      </c>
      <c r="S1217" s="1189">
        <f t="shared" si="921"/>
        <v>2012</v>
      </c>
      <c r="T1217" s="470">
        <f t="shared" si="922"/>
        <v>1</v>
      </c>
      <c r="U1217" s="612">
        <f t="shared" si="923"/>
        <v>909256166.76203787</v>
      </c>
      <c r="V1217" s="464">
        <f t="shared" si="924"/>
        <v>2012</v>
      </c>
      <c r="W1217" s="612">
        <f t="shared" si="925"/>
        <v>2.384185791015625E-7</v>
      </c>
      <c r="X1217" s="473"/>
      <c r="Y1217" s="474"/>
      <c r="Z1217" s="449"/>
      <c r="AA1217" s="475" t="s">
        <v>4180</v>
      </c>
      <c r="AB1217" s="476"/>
      <c r="AC1217" s="476"/>
      <c r="AD1217" s="567">
        <f>G1226</f>
        <v>12669166450.572227</v>
      </c>
      <c r="AE1217" s="476"/>
      <c r="AF1217" s="568"/>
      <c r="AG1217" s="476"/>
      <c r="AH1217" s="476"/>
      <c r="AI1217" s="477"/>
      <c r="AJ1217" s="478"/>
      <c r="AK1217" s="479"/>
      <c r="AL1217" s="480"/>
      <c r="AM1217" s="474"/>
      <c r="AN1217" s="481"/>
      <c r="AO1217" s="474"/>
      <c r="AP1217" s="476"/>
      <c r="AQ1217" s="482"/>
      <c r="AR1217" s="478"/>
      <c r="AS1217" s="478"/>
      <c r="AT1217" s="476"/>
      <c r="AU1217" s="482"/>
      <c r="AV1217" s="478"/>
      <c r="AW1217" s="483"/>
      <c r="AX1217" s="476"/>
      <c r="AY1217" s="482"/>
      <c r="AZ1217" s="478"/>
      <c r="BA1217" s="484"/>
      <c r="BB1217" s="474"/>
      <c r="BC1217" s="485"/>
      <c r="BD1217" s="485"/>
      <c r="BG1217" s="487"/>
    </row>
    <row r="1218" spans="1:59" s="486" customFormat="1" ht="18" customHeight="1" x14ac:dyDescent="0.2">
      <c r="A1218" s="1368" t="str">
        <f t="shared" ref="A1218:A1224" si="926">$D$1205&amp;S1218</f>
        <v>LOGAS - AIR MAS2013</v>
      </c>
      <c r="B1218" s="1373"/>
      <c r="C1218" s="488"/>
      <c r="D1218" s="489"/>
      <c r="E1218" s="558"/>
      <c r="F1218" s="559">
        <v>2013</v>
      </c>
      <c r="G1218" s="619">
        <v>0</v>
      </c>
      <c r="H1218" s="464">
        <f t="shared" si="911"/>
        <v>0</v>
      </c>
      <c r="I1218" s="467"/>
      <c r="J1218" s="468">
        <f t="shared" si="912"/>
        <v>2012</v>
      </c>
      <c r="K1218" s="490">
        <f t="shared" si="913"/>
        <v>0</v>
      </c>
      <c r="L1218" s="469">
        <f t="shared" si="914"/>
        <v>0</v>
      </c>
      <c r="M1218" s="683">
        <f t="shared" si="915"/>
        <v>0</v>
      </c>
      <c r="N1218" s="470">
        <f t="shared" si="916"/>
        <v>0</v>
      </c>
      <c r="O1218" s="468">
        <f t="shared" si="917"/>
        <v>2012</v>
      </c>
      <c r="P1218" s="616">
        <f t="shared" si="918"/>
        <v>2.384185791015625E-7</v>
      </c>
      <c r="Q1218" s="472">
        <f t="shared" si="919"/>
        <v>2.384185791015625E-7</v>
      </c>
      <c r="R1218" s="472">
        <v>0</v>
      </c>
      <c r="S1218" s="1189">
        <f t="shared" si="921"/>
        <v>2013</v>
      </c>
      <c r="T1218" s="470">
        <f t="shared" si="922"/>
        <v>1</v>
      </c>
      <c r="U1218" s="612">
        <f t="shared" si="923"/>
        <v>0</v>
      </c>
      <c r="V1218" s="464">
        <f t="shared" si="924"/>
        <v>2013</v>
      </c>
      <c r="W1218" s="612">
        <f t="shared" si="925"/>
        <v>2.384185791015625E-7</v>
      </c>
      <c r="X1218" s="473"/>
      <c r="Y1218" s="478"/>
      <c r="Z1218" s="449"/>
      <c r="AA1218" s="475" t="s">
        <v>4181</v>
      </c>
      <c r="AB1218" s="491"/>
      <c r="AC1218" s="491"/>
      <c r="AD1218" s="567">
        <f>U1226</f>
        <v>12669166450.572226</v>
      </c>
      <c r="AE1218" s="491"/>
      <c r="AF1218" s="568"/>
      <c r="AG1218" s="491"/>
      <c r="AH1218" s="491"/>
      <c r="AI1218" s="477"/>
      <c r="AJ1218" s="478"/>
      <c r="AK1218" s="479"/>
      <c r="AL1218" s="480"/>
      <c r="AM1218" s="474"/>
      <c r="AN1218" s="481"/>
      <c r="AO1218" s="474"/>
      <c r="AP1218" s="476"/>
      <c r="AQ1218" s="482"/>
      <c r="AR1218" s="478"/>
      <c r="AS1218" s="478"/>
      <c r="AT1218" s="476"/>
      <c r="AU1218" s="482"/>
      <c r="AV1218" s="478"/>
      <c r="AW1218" s="483"/>
      <c r="AX1218" s="476"/>
      <c r="AY1218" s="482"/>
      <c r="AZ1218" s="478"/>
      <c r="BA1218" s="484"/>
      <c r="BB1218" s="474"/>
      <c r="BC1218" s="485"/>
      <c r="BD1218" s="485"/>
      <c r="BG1218" s="487"/>
    </row>
    <row r="1219" spans="1:59" s="486" customFormat="1" ht="18" customHeight="1" x14ac:dyDescent="0.2">
      <c r="A1219" s="1368" t="str">
        <f t="shared" si="926"/>
        <v>LOGAS - AIR MAS2014</v>
      </c>
      <c r="B1219" s="1373"/>
      <c r="C1219" s="488"/>
      <c r="D1219" s="489"/>
      <c r="E1219" s="558"/>
      <c r="F1219" s="559">
        <v>2014</v>
      </c>
      <c r="G1219" s="619">
        <v>0</v>
      </c>
      <c r="H1219" s="464">
        <f t="shared" si="911"/>
        <v>0</v>
      </c>
      <c r="I1219" s="467"/>
      <c r="J1219" s="468">
        <f t="shared" si="912"/>
        <v>2013</v>
      </c>
      <c r="K1219" s="490">
        <f t="shared" si="913"/>
        <v>0</v>
      </c>
      <c r="L1219" s="469">
        <f t="shared" si="914"/>
        <v>0</v>
      </c>
      <c r="M1219" s="683">
        <f t="shared" si="915"/>
        <v>0</v>
      </c>
      <c r="N1219" s="470">
        <f t="shared" si="916"/>
        <v>0</v>
      </c>
      <c r="O1219" s="468">
        <f t="shared" si="917"/>
        <v>2013</v>
      </c>
      <c r="P1219" s="616">
        <f t="shared" si="918"/>
        <v>2.384185791015625E-7</v>
      </c>
      <c r="Q1219" s="472">
        <f t="shared" si="919"/>
        <v>2.384185791015625E-7</v>
      </c>
      <c r="R1219" s="472">
        <f t="shared" si="920"/>
        <v>0</v>
      </c>
      <c r="S1219" s="1189">
        <f t="shared" si="921"/>
        <v>2014</v>
      </c>
      <c r="T1219" s="470">
        <f t="shared" si="922"/>
        <v>1</v>
      </c>
      <c r="U1219" s="612">
        <f t="shared" si="923"/>
        <v>0</v>
      </c>
      <c r="V1219" s="464">
        <f t="shared" si="924"/>
        <v>2014</v>
      </c>
      <c r="W1219" s="612">
        <f t="shared" si="925"/>
        <v>2.384185791015625E-7</v>
      </c>
      <c r="X1219" s="473"/>
      <c r="Y1219" s="478"/>
      <c r="Z1219" s="449"/>
      <c r="AA1219" s="492" t="s">
        <v>4182</v>
      </c>
      <c r="AB1219" s="476"/>
      <c r="AC1219" s="476"/>
      <c r="AD1219" s="567">
        <f>AD1217-AD1218</f>
        <v>0</v>
      </c>
      <c r="AE1219" s="476"/>
      <c r="AF1219" s="568"/>
      <c r="AG1219" s="476"/>
      <c r="AH1219" s="476"/>
      <c r="AI1219" s="477"/>
      <c r="AJ1219" s="478"/>
      <c r="AK1219" s="479"/>
      <c r="AL1219" s="480"/>
      <c r="AM1219" s="474"/>
      <c r="AN1219" s="481"/>
      <c r="AO1219" s="474"/>
      <c r="AP1219" s="476"/>
      <c r="AQ1219" s="482"/>
      <c r="AR1219" s="478"/>
      <c r="AS1219" s="478"/>
      <c r="AT1219" s="476"/>
      <c r="AU1219" s="482"/>
      <c r="AV1219" s="478"/>
      <c r="AW1219" s="483"/>
      <c r="AX1219" s="476"/>
      <c r="AY1219" s="482"/>
      <c r="AZ1219" s="478"/>
      <c r="BA1219" s="484"/>
      <c r="BB1219" s="474"/>
      <c r="BC1219" s="485"/>
      <c r="BD1219" s="485"/>
      <c r="BG1219" s="487"/>
    </row>
    <row r="1220" spans="1:59" s="486" customFormat="1" ht="18" customHeight="1" x14ac:dyDescent="0.2">
      <c r="A1220" s="1368" t="str">
        <f t="shared" si="926"/>
        <v>LOGAS - AIR MAS2015</v>
      </c>
      <c r="B1220" s="687"/>
      <c r="C1220" s="463"/>
      <c r="D1220" s="489"/>
      <c r="E1220" s="465"/>
      <c r="F1220" s="559">
        <v>2015</v>
      </c>
      <c r="G1220" s="619">
        <v>0</v>
      </c>
      <c r="H1220" s="464">
        <f t="shared" si="911"/>
        <v>0</v>
      </c>
      <c r="I1220" s="467"/>
      <c r="J1220" s="468">
        <f t="shared" si="912"/>
        <v>2014</v>
      </c>
      <c r="K1220" s="490">
        <f t="shared" si="913"/>
        <v>0</v>
      </c>
      <c r="L1220" s="469">
        <f t="shared" si="914"/>
        <v>0</v>
      </c>
      <c r="M1220" s="683">
        <f t="shared" si="915"/>
        <v>0</v>
      </c>
      <c r="N1220" s="470">
        <f t="shared" si="916"/>
        <v>0</v>
      </c>
      <c r="O1220" s="468">
        <f t="shared" si="917"/>
        <v>2014</v>
      </c>
      <c r="P1220" s="616">
        <f t="shared" si="918"/>
        <v>2.384185791015625E-7</v>
      </c>
      <c r="Q1220" s="472">
        <f t="shared" si="919"/>
        <v>2.384185791015625E-7</v>
      </c>
      <c r="R1220" s="472">
        <f t="shared" si="920"/>
        <v>0</v>
      </c>
      <c r="S1220" s="1189">
        <f t="shared" si="921"/>
        <v>2015</v>
      </c>
      <c r="T1220" s="470">
        <f t="shared" si="922"/>
        <v>1</v>
      </c>
      <c r="U1220" s="612">
        <f t="shared" si="923"/>
        <v>0</v>
      </c>
      <c r="V1220" s="464">
        <f t="shared" si="924"/>
        <v>2015</v>
      </c>
      <c r="W1220" s="612">
        <f t="shared" si="925"/>
        <v>2.384185791015625E-7</v>
      </c>
      <c r="X1220" s="473"/>
      <c r="Y1220" s="478"/>
      <c r="Z1220" s="449"/>
      <c r="AA1220" s="531" t="s">
        <v>4183</v>
      </c>
      <c r="AB1220" s="496"/>
      <c r="AC1220" s="496"/>
      <c r="AD1220" s="569">
        <f>AD1219-W1226</f>
        <v>0</v>
      </c>
      <c r="AE1220" s="476"/>
      <c r="AF1220" s="568"/>
      <c r="AG1220" s="476"/>
      <c r="AH1220" s="476"/>
      <c r="AI1220" s="477"/>
      <c r="AJ1220" s="478"/>
      <c r="AK1220" s="479"/>
      <c r="AL1220" s="480"/>
      <c r="AM1220" s="474"/>
      <c r="AN1220" s="481"/>
      <c r="AO1220" s="474"/>
      <c r="AP1220" s="476"/>
      <c r="AQ1220" s="482"/>
      <c r="AR1220" s="478"/>
      <c r="AS1220" s="478"/>
      <c r="AT1220" s="476"/>
      <c r="AU1220" s="482"/>
      <c r="AV1220" s="478"/>
      <c r="AW1220" s="483"/>
      <c r="AX1220" s="476"/>
      <c r="AY1220" s="482"/>
      <c r="AZ1220" s="478"/>
      <c r="BA1220" s="484"/>
      <c r="BB1220" s="474"/>
      <c r="BC1220" s="485"/>
      <c r="BD1220" s="485"/>
      <c r="BG1220" s="487"/>
    </row>
    <row r="1221" spans="1:59" s="486" customFormat="1" ht="18" customHeight="1" x14ac:dyDescent="0.2">
      <c r="A1221" s="1368" t="str">
        <f t="shared" si="926"/>
        <v>LOGAS - AIR MAS2016</v>
      </c>
      <c r="B1221" s="687"/>
      <c r="C1221" s="463"/>
      <c r="D1221" s="489"/>
      <c r="E1221" s="465"/>
      <c r="F1221" s="559">
        <v>2016</v>
      </c>
      <c r="G1221" s="619">
        <v>0</v>
      </c>
      <c r="H1221" s="464">
        <f>IF(N1220-(F1221-F1220)&lt;=0,0,(N1220-(F1221-F1220)))</f>
        <v>0</v>
      </c>
      <c r="I1221" s="467"/>
      <c r="J1221" s="468">
        <f>F1221+N1221-1</f>
        <v>2015</v>
      </c>
      <c r="K1221" s="490">
        <f>IF(G1221=0,0,IF(H1221=10,100%,G1221/W1220))</f>
        <v>0</v>
      </c>
      <c r="L1221" s="469">
        <f>IF(K1221=0%,0,IF(K1221&lt;=30%,2,IF(K1221&lt;=60%,5,10)))</f>
        <v>0</v>
      </c>
      <c r="M1221" s="683">
        <f>IF(OR(AND(ISBLANK(E1221),ISBLANK(G1221)),ISTEXT(E1221),ISTEXT(G1221)),"",IF(H1221+L1221&gt;$H$8,$H$8-H1221,L1221))</f>
        <v>0</v>
      </c>
      <c r="N1221" s="470">
        <f>IF(OR(AND(ISBLANK(F1221),ISBLANK(G1221)),ISTEXT(F1221),ISTEXT(G1221)),"",H1221+M1221)</f>
        <v>0</v>
      </c>
      <c r="O1221" s="468">
        <f>F1221+N1221-1</f>
        <v>2015</v>
      </c>
      <c r="P1221" s="616">
        <f>W1220</f>
        <v>2.384185791015625E-7</v>
      </c>
      <c r="Q1221" s="472">
        <f>P1221+G1221</f>
        <v>2.384185791015625E-7</v>
      </c>
      <c r="R1221" s="472">
        <f>IF(L1221=0,R1220,Q1221/N1221)</f>
        <v>0</v>
      </c>
      <c r="S1221" s="1189">
        <f>F1221</f>
        <v>2016</v>
      </c>
      <c r="T1221" s="470">
        <f>S1221-S1220</f>
        <v>1</v>
      </c>
      <c r="U1221" s="612">
        <f>R1221*T1221</f>
        <v>0</v>
      </c>
      <c r="V1221" s="464">
        <f>F1221</f>
        <v>2016</v>
      </c>
      <c r="W1221" s="612">
        <f>IF(OR(AND(ISBLANK(E1221),ISBLANK(G1221)),ISTEXT(E1221),ISTEXT(G1221)),"",Q1221-U1221)</f>
        <v>2.384185791015625E-7</v>
      </c>
      <c r="X1221" s="473"/>
      <c r="Y1221" s="478"/>
      <c r="Z1221" s="449"/>
      <c r="AA1221" s="573"/>
      <c r="AB1221" s="476"/>
      <c r="AC1221" s="476"/>
      <c r="AD1221" s="568"/>
      <c r="AE1221" s="476"/>
      <c r="AF1221" s="568"/>
      <c r="AG1221" s="476"/>
      <c r="AH1221" s="476"/>
      <c r="AI1221" s="477"/>
      <c r="AJ1221" s="478"/>
      <c r="AK1221" s="479"/>
      <c r="AL1221" s="480"/>
      <c r="AM1221" s="474"/>
      <c r="AN1221" s="481"/>
      <c r="AO1221" s="474"/>
      <c r="AP1221" s="476"/>
      <c r="AQ1221" s="482"/>
      <c r="AR1221" s="478"/>
      <c r="AS1221" s="478"/>
      <c r="AT1221" s="476"/>
      <c r="AU1221" s="482"/>
      <c r="AV1221" s="478"/>
      <c r="AW1221" s="483"/>
      <c r="AX1221" s="476"/>
      <c r="AY1221" s="482"/>
      <c r="AZ1221" s="478"/>
      <c r="BA1221" s="484"/>
      <c r="BB1221" s="474"/>
      <c r="BC1221" s="485"/>
      <c r="BD1221" s="485"/>
      <c r="BG1221" s="487"/>
    </row>
    <row r="1222" spans="1:59" s="486" customFormat="1" ht="18" customHeight="1" x14ac:dyDescent="0.2">
      <c r="A1222" s="1368" t="str">
        <f t="shared" si="926"/>
        <v>LOGAS - AIR MAS2017</v>
      </c>
      <c r="B1222" s="687"/>
      <c r="C1222" s="463"/>
      <c r="D1222" s="489"/>
      <c r="E1222" s="465"/>
      <c r="F1222" s="559">
        <v>2017</v>
      </c>
      <c r="G1222" s="619">
        <v>0</v>
      </c>
      <c r="H1222" s="464">
        <f>IF(N1221-(F1222-F1221)&lt;=0,0,(N1221-(F1222-F1221)))</f>
        <v>0</v>
      </c>
      <c r="I1222" s="467"/>
      <c r="J1222" s="468">
        <f>F1222+N1222-1</f>
        <v>2016</v>
      </c>
      <c r="K1222" s="490">
        <f>IF(G1222=0,0,IF(H1222=10,100%,G1222/W1221))</f>
        <v>0</v>
      </c>
      <c r="L1222" s="469">
        <f>IF(K1222=0%,0,IF(K1222&lt;=30%,2,IF(K1222&lt;=60%,5,10)))</f>
        <v>0</v>
      </c>
      <c r="M1222" s="683">
        <f>IF(OR(AND(ISBLANK(E1222),ISBLANK(G1222)),ISTEXT(E1222),ISTEXT(G1222)),"",IF(H1222+L1222&gt;$H$8,$H$8-H1222,L1222))</f>
        <v>0</v>
      </c>
      <c r="N1222" s="470">
        <f>IF(OR(AND(ISBLANK(F1222),ISBLANK(G1222)),ISTEXT(F1222),ISTEXT(G1222)),"",H1222+M1222)</f>
        <v>0</v>
      </c>
      <c r="O1222" s="468">
        <f>F1222+N1222-1</f>
        <v>2016</v>
      </c>
      <c r="P1222" s="616">
        <f>W1221</f>
        <v>2.384185791015625E-7</v>
      </c>
      <c r="Q1222" s="472">
        <f>P1222+G1222</f>
        <v>2.384185791015625E-7</v>
      </c>
      <c r="R1222" s="472">
        <f>IF(L1222=0,R1221,Q1222/N1222)</f>
        <v>0</v>
      </c>
      <c r="S1222" s="1189">
        <f>F1222</f>
        <v>2017</v>
      </c>
      <c r="T1222" s="470">
        <f>S1222-S1221</f>
        <v>1</v>
      </c>
      <c r="U1222" s="612">
        <f>R1222*T1222</f>
        <v>0</v>
      </c>
      <c r="V1222" s="464">
        <f>F1222</f>
        <v>2017</v>
      </c>
      <c r="W1222" s="612">
        <f>IF(OR(AND(ISBLANK(E1222),ISBLANK(G1222)),ISTEXT(E1222),ISTEXT(G1222)),"",Q1222-U1222)</f>
        <v>2.384185791015625E-7</v>
      </c>
      <c r="X1222" s="473"/>
      <c r="Y1222" s="478"/>
      <c r="Z1222" s="449"/>
      <c r="AA1222" s="573"/>
      <c r="AB1222" s="476"/>
      <c r="AC1222" s="476"/>
      <c r="AD1222" s="568"/>
      <c r="AE1222" s="476"/>
      <c r="AF1222" s="568"/>
      <c r="AG1222" s="476"/>
      <c r="AH1222" s="476"/>
      <c r="AI1222" s="477"/>
      <c r="AJ1222" s="478"/>
      <c r="AK1222" s="479"/>
      <c r="AL1222" s="480"/>
      <c r="AM1222" s="474"/>
      <c r="AN1222" s="481"/>
      <c r="AO1222" s="474"/>
      <c r="AP1222" s="476"/>
      <c r="AQ1222" s="482"/>
      <c r="AR1222" s="478"/>
      <c r="AS1222" s="478"/>
      <c r="AT1222" s="476"/>
      <c r="AU1222" s="482"/>
      <c r="AV1222" s="478"/>
      <c r="AW1222" s="483"/>
      <c r="AX1222" s="476"/>
      <c r="AY1222" s="482"/>
      <c r="AZ1222" s="478"/>
      <c r="BA1222" s="484"/>
      <c r="BB1222" s="474"/>
      <c r="BC1222" s="485"/>
      <c r="BD1222" s="485"/>
      <c r="BG1222" s="487"/>
    </row>
    <row r="1223" spans="1:59" s="486" customFormat="1" ht="18" customHeight="1" x14ac:dyDescent="0.2">
      <c r="A1223" s="1368" t="str">
        <f t="shared" si="926"/>
        <v>LOGAS - AIR MAS2018</v>
      </c>
      <c r="B1223" s="687"/>
      <c r="C1223" s="463"/>
      <c r="D1223" s="489"/>
      <c r="E1223" s="465"/>
      <c r="F1223" s="559">
        <v>2018</v>
      </c>
      <c r="G1223" s="619">
        <v>0</v>
      </c>
      <c r="H1223" s="464">
        <f>IF(N1222-(F1223-F1222)&lt;=0,0,(N1222-(F1223-F1222)))</f>
        <v>0</v>
      </c>
      <c r="I1223" s="467"/>
      <c r="J1223" s="468">
        <f>F1223+N1223-1</f>
        <v>2017</v>
      </c>
      <c r="K1223" s="490">
        <f>IF(G1223=0,0,IF(H1223=10,100%,G1223/W1222))</f>
        <v>0</v>
      </c>
      <c r="L1223" s="469">
        <f>IF(K1223=0%,0,IF(K1223&lt;=30%,2,IF(K1223&lt;=60%,5,10)))</f>
        <v>0</v>
      </c>
      <c r="M1223" s="683">
        <f>IF(OR(AND(ISBLANK(E1223),ISBLANK(G1223)),ISTEXT(E1223),ISTEXT(G1223)),"",IF(H1223+L1223&gt;$H$8,$H$8-H1223,L1223))</f>
        <v>0</v>
      </c>
      <c r="N1223" s="470">
        <f>IF(OR(AND(ISBLANK(F1223),ISBLANK(G1223)),ISTEXT(F1223),ISTEXT(G1223)),"",H1223+M1223)</f>
        <v>0</v>
      </c>
      <c r="O1223" s="468">
        <f>F1223+N1223-1</f>
        <v>2017</v>
      </c>
      <c r="P1223" s="616">
        <f>W1222</f>
        <v>2.384185791015625E-7</v>
      </c>
      <c r="Q1223" s="472">
        <f>P1223+G1223</f>
        <v>2.384185791015625E-7</v>
      </c>
      <c r="R1223" s="472">
        <f>IF(L1223=0,R1222,Q1223/N1223)</f>
        <v>0</v>
      </c>
      <c r="S1223" s="1189">
        <f>F1223</f>
        <v>2018</v>
      </c>
      <c r="T1223" s="470">
        <f>S1223-S1222</f>
        <v>1</v>
      </c>
      <c r="U1223" s="612">
        <f>R1223*T1223</f>
        <v>0</v>
      </c>
      <c r="V1223" s="464">
        <f>F1223</f>
        <v>2018</v>
      </c>
      <c r="W1223" s="612">
        <f>IF(OR(AND(ISBLANK(E1223),ISBLANK(G1223)),ISTEXT(E1223),ISTEXT(G1223)),"",Q1223-U1223)</f>
        <v>2.384185791015625E-7</v>
      </c>
      <c r="X1223" s="473"/>
      <c r="Y1223" s="478"/>
      <c r="Z1223" s="449"/>
      <c r="AA1223" s="573"/>
      <c r="AB1223" s="476"/>
      <c r="AC1223" s="476"/>
      <c r="AD1223" s="568"/>
      <c r="AE1223" s="476"/>
      <c r="AF1223" s="568"/>
      <c r="AG1223" s="476"/>
      <c r="AH1223" s="476"/>
      <c r="AI1223" s="477"/>
      <c r="AJ1223" s="478"/>
      <c r="AK1223" s="479"/>
      <c r="AL1223" s="480"/>
      <c r="AM1223" s="474"/>
      <c r="AN1223" s="481"/>
      <c r="AO1223" s="474"/>
      <c r="AP1223" s="476"/>
      <c r="AQ1223" s="482"/>
      <c r="AR1223" s="478"/>
      <c r="AS1223" s="478"/>
      <c r="AT1223" s="476"/>
      <c r="AU1223" s="482"/>
      <c r="AV1223" s="478"/>
      <c r="AW1223" s="483"/>
      <c r="AX1223" s="476"/>
      <c r="AY1223" s="482"/>
      <c r="AZ1223" s="478"/>
      <c r="BA1223" s="484"/>
      <c r="BB1223" s="474"/>
      <c r="BC1223" s="485"/>
      <c r="BD1223" s="485"/>
      <c r="BG1223" s="487"/>
    </row>
    <row r="1224" spans="1:59" s="486" customFormat="1" ht="18" customHeight="1" x14ac:dyDescent="0.2">
      <c r="A1224" s="1368" t="str">
        <f t="shared" si="926"/>
        <v>LOGAS - AIR MAS2019</v>
      </c>
      <c r="B1224" s="687"/>
      <c r="C1224" s="463"/>
      <c r="D1224" s="489"/>
      <c r="E1224" s="465"/>
      <c r="F1224" s="466">
        <v>2019</v>
      </c>
      <c r="G1224" s="619">
        <v>0</v>
      </c>
      <c r="H1224" s="464">
        <f>IF(N1223-(F1224-F1223)&lt;=0,0,(N1223-(F1224-F1223)))</f>
        <v>0</v>
      </c>
      <c r="I1224" s="467"/>
      <c r="J1224" s="468">
        <f>F1224+N1224-1</f>
        <v>2018</v>
      </c>
      <c r="K1224" s="490">
        <f>IF(G1224=0,0,IF(H1224=10,100%,G1224/W1223))</f>
        <v>0</v>
      </c>
      <c r="L1224" s="469">
        <f>IF(K1224=0%,0,IF(K1224&lt;=30%,2,IF(K1224&lt;=60%,5,10)))</f>
        <v>0</v>
      </c>
      <c r="M1224" s="683">
        <f>IF(OR(AND(ISBLANK(E1224),ISBLANK(G1224)),ISTEXT(E1224),ISTEXT(G1224)),"",IF(H1224+L1224&gt;$H$8,$H$8-H1224,L1224))</f>
        <v>0</v>
      </c>
      <c r="N1224" s="470">
        <f>IF(OR(AND(ISBLANK(F1224),ISBLANK(G1224)),ISTEXT(F1224),ISTEXT(G1224)),"",H1224+M1224)</f>
        <v>0</v>
      </c>
      <c r="O1224" s="468">
        <f>F1224+N1224-1</f>
        <v>2018</v>
      </c>
      <c r="P1224" s="616">
        <f>W1223</f>
        <v>2.384185791015625E-7</v>
      </c>
      <c r="Q1224" s="472">
        <f>P1224+G1224</f>
        <v>2.384185791015625E-7</v>
      </c>
      <c r="R1224" s="472">
        <f>IF(L1224=0,R1223,Q1224/N1224)</f>
        <v>0</v>
      </c>
      <c r="S1224" s="1189">
        <f>F1224</f>
        <v>2019</v>
      </c>
      <c r="T1224" s="470">
        <f>S1224-S1223</f>
        <v>1</v>
      </c>
      <c r="U1224" s="612">
        <f>R1224*T1224</f>
        <v>0</v>
      </c>
      <c r="V1224" s="464">
        <f>F1224</f>
        <v>2019</v>
      </c>
      <c r="W1224" s="612">
        <f>IF(OR(AND(ISBLANK(E1224),ISBLANK(G1224)),ISTEXT(E1224),ISTEXT(G1224)),"",Q1224-U1224)</f>
        <v>2.384185791015625E-7</v>
      </c>
      <c r="X1224" s="473"/>
      <c r="Y1224" s="478"/>
      <c r="Z1224" s="449"/>
      <c r="AA1224" s="573"/>
      <c r="AB1224" s="476"/>
      <c r="AC1224" s="476"/>
      <c r="AD1224" s="568"/>
      <c r="AE1224" s="476"/>
      <c r="AF1224" s="568"/>
      <c r="AG1224" s="476"/>
      <c r="AH1224" s="476"/>
      <c r="AI1224" s="477"/>
      <c r="AJ1224" s="478"/>
      <c r="AK1224" s="479"/>
      <c r="AL1224" s="480"/>
      <c r="AM1224" s="474"/>
      <c r="AN1224" s="481"/>
      <c r="AO1224" s="474"/>
      <c r="AP1224" s="476"/>
      <c r="AQ1224" s="482"/>
      <c r="AR1224" s="478"/>
      <c r="AS1224" s="478"/>
      <c r="AT1224" s="476"/>
      <c r="AU1224" s="482"/>
      <c r="AV1224" s="478"/>
      <c r="AW1224" s="483"/>
      <c r="AX1224" s="476"/>
      <c r="AY1224" s="482"/>
      <c r="AZ1224" s="478"/>
      <c r="BA1224" s="484"/>
      <c r="BB1224" s="474"/>
      <c r="BC1224" s="485"/>
      <c r="BD1224" s="485"/>
      <c r="BG1224" s="487"/>
    </row>
    <row r="1225" spans="1:59" s="486" customFormat="1" ht="18" customHeight="1" x14ac:dyDescent="0.2">
      <c r="A1225" s="1368" t="str">
        <f>LEFT(D1225,8)</f>
        <v/>
      </c>
      <c r="B1225" s="687"/>
      <c r="C1225" s="463"/>
      <c r="D1225" s="489"/>
      <c r="E1225" s="465"/>
      <c r="F1225" s="466"/>
      <c r="G1225" s="620"/>
      <c r="H1225" s="464"/>
      <c r="I1225" s="467"/>
      <c r="J1225" s="468"/>
      <c r="K1225" s="574"/>
      <c r="L1225" s="469"/>
      <c r="M1225" s="683"/>
      <c r="N1225" s="470"/>
      <c r="O1225" s="468"/>
      <c r="P1225" s="616"/>
      <c r="Q1225" s="472"/>
      <c r="R1225" s="472"/>
      <c r="S1225" s="634"/>
      <c r="T1225" s="470"/>
      <c r="U1225" s="612"/>
      <c r="V1225" s="464"/>
      <c r="W1225" s="612"/>
      <c r="X1225" s="473"/>
      <c r="Y1225" s="478"/>
      <c r="Z1225" s="449"/>
      <c r="AA1225" s="573"/>
      <c r="AB1225" s="476"/>
      <c r="AC1225" s="476"/>
      <c r="AD1225" s="568"/>
      <c r="AE1225" s="476"/>
      <c r="AF1225" s="568"/>
      <c r="AG1225" s="476"/>
      <c r="AH1225" s="476"/>
      <c r="AI1225" s="477"/>
      <c r="AJ1225" s="478"/>
      <c r="AK1225" s="479"/>
      <c r="AL1225" s="480"/>
      <c r="AM1225" s="474"/>
      <c r="AN1225" s="481"/>
      <c r="AO1225" s="474"/>
      <c r="AP1225" s="476"/>
      <c r="AQ1225" s="482"/>
      <c r="AR1225" s="478"/>
      <c r="AS1225" s="478"/>
      <c r="AT1225" s="476"/>
      <c r="AU1225" s="482"/>
      <c r="AV1225" s="478"/>
      <c r="AW1225" s="483"/>
      <c r="AX1225" s="476"/>
      <c r="AY1225" s="482"/>
      <c r="AZ1225" s="478"/>
      <c r="BA1225" s="484"/>
      <c r="BB1225" s="474"/>
      <c r="BC1225" s="485"/>
      <c r="BD1225" s="485"/>
      <c r="BG1225" s="487"/>
    </row>
    <row r="1226" spans="1:59" s="526" customFormat="1" ht="18" customHeight="1" x14ac:dyDescent="0.2">
      <c r="A1226" s="1370" t="s">
        <v>4184</v>
      </c>
      <c r="B1226" s="1956" t="s">
        <v>4184</v>
      </c>
      <c r="C1226" s="1957"/>
      <c r="D1226" s="1957"/>
      <c r="E1226" s="1957"/>
      <c r="F1226" s="1958"/>
      <c r="G1226" s="621">
        <f>SUM(G1209:G1225)</f>
        <v>12669166450.572227</v>
      </c>
      <c r="H1226" s="505"/>
      <c r="I1226" s="506"/>
      <c r="J1226" s="507"/>
      <c r="K1226" s="507"/>
      <c r="L1226" s="505"/>
      <c r="M1226" s="684"/>
      <c r="N1226" s="508"/>
      <c r="O1226" s="507"/>
      <c r="P1226" s="749"/>
      <c r="Q1226" s="510"/>
      <c r="R1226" s="511"/>
      <c r="S1226" s="512"/>
      <c r="T1226" s="512"/>
      <c r="U1226" s="610">
        <f>SUM(U1209:U1225)</f>
        <v>12669166450.572226</v>
      </c>
      <c r="V1226" s="513"/>
      <c r="W1226" s="610">
        <f>G1226-U1226</f>
        <v>0</v>
      </c>
      <c r="X1226" s="514"/>
      <c r="Y1226" s="515"/>
      <c r="Z1226" s="515"/>
      <c r="AA1226" s="515"/>
      <c r="AB1226" s="515"/>
      <c r="AC1226" s="515"/>
      <c r="AD1226" s="570"/>
      <c r="AE1226" s="515"/>
      <c r="AF1226" s="570">
        <v>12669166450.572229</v>
      </c>
      <c r="AG1226" s="515"/>
      <c r="AH1226" s="515"/>
      <c r="AI1226" s="516"/>
      <c r="AJ1226" s="517"/>
      <c r="AK1226" s="518"/>
      <c r="AL1226" s="519"/>
      <c r="AM1226" s="520"/>
      <c r="AN1226" s="521"/>
      <c r="AO1226" s="520"/>
      <c r="AP1226" s="515"/>
      <c r="AQ1226" s="522"/>
      <c r="AR1226" s="517"/>
      <c r="AS1226" s="517"/>
      <c r="AT1226" s="515"/>
      <c r="AU1226" s="522"/>
      <c r="AV1226" s="517"/>
      <c r="AW1226" s="523"/>
      <c r="AX1226" s="515"/>
      <c r="AY1226" s="522"/>
      <c r="AZ1226" s="517"/>
      <c r="BA1226" s="524"/>
      <c r="BB1226" s="520"/>
      <c r="BC1226" s="525"/>
      <c r="BD1226" s="525"/>
      <c r="BG1226" s="527"/>
    </row>
    <row r="1229" spans="1:59" s="422" customFormat="1" ht="18" customHeight="1" x14ac:dyDescent="0.2">
      <c r="A1229" s="1366">
        <f>C1229</f>
        <v>208</v>
      </c>
      <c r="B1229" s="742" t="s">
        <v>4187</v>
      </c>
      <c r="C1229" s="556">
        <v>208</v>
      </c>
      <c r="D1229" s="553" t="str">
        <f>VLOOKUP(C1229,RUAS,2,FALSE)</f>
        <v>JL. PERTUAN GADIS - SEI. LEMBU</v>
      </c>
      <c r="E1229" s="553"/>
      <c r="F1229" s="421"/>
      <c r="G1229" s="611"/>
      <c r="I1229" s="423"/>
      <c r="J1229" s="424"/>
      <c r="K1229" s="424"/>
      <c r="M1229" s="680"/>
      <c r="P1229" s="611"/>
      <c r="U1229" s="611"/>
      <c r="W1229" s="611"/>
      <c r="Y1229" s="425"/>
      <c r="Z1229" s="425"/>
      <c r="AA1229" s="425"/>
      <c r="AB1229" s="425"/>
      <c r="AC1229" s="425"/>
      <c r="AD1229" s="563"/>
      <c r="AE1229" s="425"/>
      <c r="AF1229" s="563"/>
      <c r="AG1229" s="425"/>
      <c r="AH1229" s="425"/>
      <c r="AI1229" s="425"/>
      <c r="AJ1229" s="425"/>
      <c r="AK1229" s="425"/>
      <c r="AL1229" s="425"/>
      <c r="AM1229" s="425"/>
      <c r="AN1229" s="425"/>
      <c r="AO1229" s="425"/>
      <c r="AP1229" s="425"/>
      <c r="AQ1229" s="425"/>
      <c r="AR1229" s="425"/>
      <c r="AS1229" s="425"/>
      <c r="AT1229" s="425"/>
      <c r="AU1229" s="425"/>
      <c r="AV1229" s="425"/>
      <c r="AW1229" s="425"/>
      <c r="AX1229" s="425"/>
      <c r="AY1229" s="425"/>
      <c r="AZ1229" s="425"/>
      <c r="BA1229" s="425"/>
      <c r="BB1229" s="425"/>
    </row>
    <row r="1230" spans="1:59" s="431" customFormat="1" ht="18" customHeight="1" x14ac:dyDescent="0.2">
      <c r="A1230" s="1367"/>
      <c r="B1230" s="1968" t="s">
        <v>5</v>
      </c>
      <c r="C1230" s="1968" t="s">
        <v>2280</v>
      </c>
      <c r="D1230" s="1968" t="s">
        <v>4157</v>
      </c>
      <c r="E1230" s="1968" t="s">
        <v>4158</v>
      </c>
      <c r="F1230" s="1968"/>
      <c r="G1230" s="1969" t="s">
        <v>4159</v>
      </c>
      <c r="H1230" s="1968" t="s">
        <v>4160</v>
      </c>
      <c r="I1230" s="1968"/>
      <c r="J1230" s="1968" t="s">
        <v>4185</v>
      </c>
      <c r="K1230" s="1964" t="s">
        <v>4162</v>
      </c>
      <c r="L1230" s="1968" t="s">
        <v>4163</v>
      </c>
      <c r="M1230" s="1971" t="s">
        <v>4164</v>
      </c>
      <c r="N1230" s="1962" t="s">
        <v>4165</v>
      </c>
      <c r="O1230" s="1968" t="s">
        <v>4166</v>
      </c>
      <c r="P1230" s="1972" t="s">
        <v>4167</v>
      </c>
      <c r="Q1230" s="1973"/>
      <c r="R1230" s="1215" t="s">
        <v>4186</v>
      </c>
      <c r="S1230" s="1972" t="s">
        <v>4169</v>
      </c>
      <c r="T1230" s="1974"/>
      <c r="U1230" s="1973"/>
      <c r="V1230" s="1975" t="s">
        <v>4170</v>
      </c>
      <c r="W1230" s="1975"/>
      <c r="X1230" s="1960" t="s">
        <v>4171</v>
      </c>
      <c r="Y1230" s="1959"/>
      <c r="Z1230" s="1216"/>
      <c r="AA1230" s="426"/>
      <c r="AB1230" s="426"/>
      <c r="AC1230" s="426"/>
      <c r="AD1230" s="564"/>
      <c r="AE1230" s="426"/>
      <c r="AF1230" s="564"/>
      <c r="AG1230" s="426"/>
      <c r="AH1230" s="426"/>
      <c r="AI1230" s="427"/>
      <c r="AJ1230" s="427"/>
      <c r="AK1230" s="427"/>
      <c r="AL1230" s="427"/>
      <c r="AM1230" s="428"/>
      <c r="AN1230" s="427"/>
      <c r="AO1230" s="427"/>
      <c r="AP1230" s="426"/>
      <c r="AQ1230" s="427"/>
      <c r="AR1230" s="427"/>
      <c r="AS1230" s="427"/>
      <c r="AT1230" s="426"/>
      <c r="AU1230" s="427"/>
      <c r="AV1230" s="427"/>
      <c r="AW1230" s="427"/>
      <c r="AX1230" s="426"/>
      <c r="AY1230" s="427"/>
      <c r="AZ1230" s="427"/>
      <c r="BA1230" s="427"/>
      <c r="BB1230" s="429"/>
      <c r="BC1230" s="430"/>
      <c r="BD1230" s="430"/>
    </row>
    <row r="1231" spans="1:59" s="431" customFormat="1" ht="18" customHeight="1" x14ac:dyDescent="0.2">
      <c r="A1231" s="1367"/>
      <c r="B1231" s="1968"/>
      <c r="C1231" s="1968"/>
      <c r="D1231" s="1968"/>
      <c r="E1231" s="1968"/>
      <c r="F1231" s="1968"/>
      <c r="G1231" s="1969"/>
      <c r="H1231" s="1968"/>
      <c r="I1231" s="1968"/>
      <c r="J1231" s="1968"/>
      <c r="K1231" s="1970"/>
      <c r="L1231" s="1968"/>
      <c r="M1231" s="1971"/>
      <c r="N1231" s="1963"/>
      <c r="O1231" s="1968"/>
      <c r="P1231" s="2037" t="s">
        <v>4172</v>
      </c>
      <c r="Q1231" s="1960" t="s">
        <v>4173</v>
      </c>
      <c r="R1231" s="1962" t="s">
        <v>4159</v>
      </c>
      <c r="S1231" s="1962" t="s">
        <v>4174</v>
      </c>
      <c r="T1231" s="1964" t="s">
        <v>4175</v>
      </c>
      <c r="U1231" s="1966" t="s">
        <v>4159</v>
      </c>
      <c r="V1231" s="1975"/>
      <c r="W1231" s="1975"/>
      <c r="X1231" s="1976"/>
      <c r="Y1231" s="1959"/>
      <c r="Z1231" s="1216"/>
      <c r="AA1231" s="426"/>
      <c r="AB1231" s="426"/>
      <c r="AC1231" s="426"/>
      <c r="AD1231" s="564"/>
      <c r="AE1231" s="426"/>
      <c r="AF1231" s="564"/>
      <c r="AG1231" s="426"/>
      <c r="AH1231" s="426"/>
      <c r="AI1231" s="427"/>
      <c r="AJ1231" s="427"/>
      <c r="AK1231" s="426"/>
      <c r="AL1231" s="427"/>
      <c r="AM1231" s="428"/>
      <c r="AN1231" s="427"/>
      <c r="AO1231" s="427"/>
      <c r="AP1231" s="432"/>
      <c r="AQ1231" s="427"/>
      <c r="AR1231" s="427"/>
      <c r="AS1231" s="427"/>
      <c r="AT1231" s="432"/>
      <c r="AU1231" s="427"/>
      <c r="AV1231" s="427"/>
      <c r="AW1231" s="427"/>
      <c r="AX1231" s="432"/>
      <c r="AY1231" s="427"/>
      <c r="AZ1231" s="427"/>
      <c r="BA1231" s="427"/>
      <c r="BB1231" s="429"/>
      <c r="BC1231" s="430"/>
      <c r="BD1231" s="430"/>
    </row>
    <row r="1232" spans="1:59" s="431" customFormat="1" ht="18" customHeight="1" x14ac:dyDescent="0.2">
      <c r="A1232" s="1367"/>
      <c r="B1232" s="1968"/>
      <c r="C1232" s="1968"/>
      <c r="D1232" s="1968"/>
      <c r="E1232" s="433" t="s">
        <v>4176</v>
      </c>
      <c r="F1232" s="434" t="s">
        <v>2288</v>
      </c>
      <c r="G1232" s="1969"/>
      <c r="H1232" s="1214" t="s">
        <v>2288</v>
      </c>
      <c r="I1232" s="1214" t="s">
        <v>4177</v>
      </c>
      <c r="J1232" s="1968"/>
      <c r="K1232" s="1965"/>
      <c r="L1232" s="435" t="s">
        <v>2288</v>
      </c>
      <c r="M1232" s="681" t="s">
        <v>2288</v>
      </c>
      <c r="N1232" s="1214" t="s">
        <v>2288</v>
      </c>
      <c r="O1232" s="1968"/>
      <c r="P1232" s="2038"/>
      <c r="Q1232" s="1961"/>
      <c r="R1232" s="1963"/>
      <c r="S1232" s="1963"/>
      <c r="T1232" s="1965"/>
      <c r="U1232" s="1967"/>
      <c r="V1232" s="1214" t="s">
        <v>4178</v>
      </c>
      <c r="W1232" s="1217" t="s">
        <v>4159</v>
      </c>
      <c r="X1232" s="1961"/>
      <c r="Y1232" s="436"/>
      <c r="Z1232" s="436"/>
      <c r="AA1232" s="426"/>
      <c r="AB1232" s="426"/>
      <c r="AC1232" s="426"/>
      <c r="AD1232" s="564"/>
      <c r="AE1232" s="426"/>
      <c r="AF1232" s="564"/>
      <c r="AG1232" s="426"/>
      <c r="AH1232" s="426"/>
      <c r="AI1232" s="427"/>
      <c r="AJ1232" s="432"/>
      <c r="AK1232" s="432"/>
      <c r="AL1232" s="427"/>
      <c r="AM1232" s="428"/>
      <c r="AN1232" s="432"/>
      <c r="AO1232" s="427"/>
      <c r="AP1232" s="432"/>
      <c r="AQ1232" s="432"/>
      <c r="AR1232" s="427"/>
      <c r="AS1232" s="427"/>
      <c r="AT1232" s="432"/>
      <c r="AU1232" s="432"/>
      <c r="AV1232" s="427"/>
      <c r="AW1232" s="427"/>
      <c r="AX1232" s="432"/>
      <c r="AY1232" s="432"/>
      <c r="AZ1232" s="427"/>
      <c r="BA1232" s="427"/>
      <c r="BB1232" s="429"/>
      <c r="BC1232" s="430"/>
      <c r="BD1232" s="430"/>
    </row>
    <row r="1233" spans="1:59" s="461" customFormat="1" ht="18" customHeight="1" x14ac:dyDescent="0.2">
      <c r="A1233" s="1368" t="str">
        <f>$D$1229&amp;S1233</f>
        <v>JL. PERTUAN GADIS - SEI. LEMBU2001</v>
      </c>
      <c r="B1233" s="1373">
        <v>1</v>
      </c>
      <c r="C1233" s="488" t="s">
        <v>696</v>
      </c>
      <c r="D1233" s="489" t="s">
        <v>3821</v>
      </c>
      <c r="E1233" s="558"/>
      <c r="F1233" s="559">
        <v>2001</v>
      </c>
      <c r="G1233" s="619">
        <v>378000000</v>
      </c>
      <c r="H1233" s="440">
        <f>VLOOKUP(LEFT(D1233,8),UE,4)</f>
        <v>10</v>
      </c>
      <c r="I1233" s="560"/>
      <c r="J1233" s="468">
        <f>F1233+N1233-1</f>
        <v>2010</v>
      </c>
      <c r="K1233" s="595"/>
      <c r="L1233" s="557"/>
      <c r="M1233" s="682">
        <f>IF(H1233+L1233&gt;$H1233,$H1233-H1233,L1233)</f>
        <v>0</v>
      </c>
      <c r="N1233" s="584">
        <f>H1233+M1233</f>
        <v>10</v>
      </c>
      <c r="O1233" s="468">
        <f>F1233+N1233-1</f>
        <v>2010</v>
      </c>
      <c r="P1233" s="616">
        <f>G1233</f>
        <v>378000000</v>
      </c>
      <c r="Q1233" s="472">
        <v>0</v>
      </c>
      <c r="R1233" s="472">
        <f>P1233/N1233</f>
        <v>37800000</v>
      </c>
      <c r="S1233" s="596">
        <f>F1233</f>
        <v>2001</v>
      </c>
      <c r="T1233" s="470">
        <v>1</v>
      </c>
      <c r="U1233" s="612">
        <f>R1233*T1233</f>
        <v>37800000</v>
      </c>
      <c r="V1233" s="468">
        <f>F1233</f>
        <v>2001</v>
      </c>
      <c r="W1233" s="616">
        <f>IF(OR(AND(ISBLANK(E1233),ISBLANK(G1233)),ISTEXT(E1233),ISTEXT(G1233)),"",G1233-R1233)</f>
        <v>340200000</v>
      </c>
      <c r="X1233" s="561"/>
      <c r="Y1233" s="449"/>
      <c r="Z1233" s="449"/>
      <c r="AA1233" s="450" t="s">
        <v>4179</v>
      </c>
      <c r="AB1233" s="451"/>
      <c r="AC1233" s="451"/>
      <c r="AD1233" s="565"/>
      <c r="AE1233" s="452"/>
      <c r="AF1233" s="571"/>
      <c r="AG1233" s="452"/>
      <c r="AH1233" s="452"/>
      <c r="AI1233" s="453"/>
      <c r="AJ1233" s="449"/>
      <c r="AK1233" s="453"/>
      <c r="AL1233" s="454"/>
      <c r="AM1233" s="455"/>
      <c r="AN1233" s="456"/>
      <c r="AO1233" s="455"/>
      <c r="AP1233" s="452"/>
      <c r="AQ1233" s="457"/>
      <c r="AR1233" s="449"/>
      <c r="AS1233" s="449"/>
      <c r="AT1233" s="452"/>
      <c r="AU1233" s="457"/>
      <c r="AV1233" s="449"/>
      <c r="AW1233" s="458"/>
      <c r="AX1233" s="452"/>
      <c r="AY1233" s="457"/>
      <c r="AZ1233" s="449"/>
      <c r="BA1233" s="459"/>
      <c r="BB1233" s="455"/>
      <c r="BC1233" s="460"/>
      <c r="BD1233" s="460"/>
      <c r="BG1233" s="462"/>
    </row>
    <row r="1234" spans="1:59" s="461" customFormat="1" ht="18" customHeight="1" x14ac:dyDescent="0.2">
      <c r="A1234" s="1368" t="str">
        <f t="shared" ref="A1234:A1245" si="927">$D$1229&amp;S1234</f>
        <v>JL. PERTUAN GADIS - SEI. LEMBU2006</v>
      </c>
      <c r="B1234" s="1373"/>
      <c r="C1234" s="488"/>
      <c r="D1234" s="489"/>
      <c r="E1234" s="558"/>
      <c r="F1234" s="559">
        <v>2006</v>
      </c>
      <c r="G1234" s="619">
        <v>0</v>
      </c>
      <c r="H1234" s="464">
        <f>IF(N1233-(F1234-F1233)&lt;=0,0,(N1233-(F1234-F1233)))</f>
        <v>5</v>
      </c>
      <c r="I1234" s="467"/>
      <c r="J1234" s="468">
        <f>F1234+N1234-1</f>
        <v>2010</v>
      </c>
      <c r="K1234" s="490">
        <f>IF(G1234=0,0,IF(H1234=10,100%,G1234/W1233))</f>
        <v>0</v>
      </c>
      <c r="L1234" s="469">
        <f>IF(K1234=0%,0,IF(K1234&lt;=30%,2,IF(K1234&lt;=60%,5,10)))</f>
        <v>0</v>
      </c>
      <c r="M1234" s="683">
        <f>IF(OR(AND(ISBLANK(E1234),ISBLANK(G1234)),ISTEXT(E1234),ISTEXT(G1234)),"",IF(H1234+L1234&gt;$H$8,$H$8-H1234,L1234))</f>
        <v>0</v>
      </c>
      <c r="N1234" s="470">
        <f>IF(OR(AND(ISBLANK(F1234),ISBLANK(G1234)),ISTEXT(F1234),ISTEXT(G1234)),"",H1234+M1234)</f>
        <v>5</v>
      </c>
      <c r="O1234" s="468">
        <f>F1234+N1234-1</f>
        <v>2010</v>
      </c>
      <c r="P1234" s="616">
        <f>W1233</f>
        <v>340200000</v>
      </c>
      <c r="Q1234" s="472">
        <f>P1234+G1234</f>
        <v>340200000</v>
      </c>
      <c r="R1234" s="472">
        <f>IF(L1234=0,R1233,Q1234/N1234)</f>
        <v>37800000</v>
      </c>
      <c r="S1234" s="1189">
        <f>F1234</f>
        <v>2006</v>
      </c>
      <c r="T1234" s="470">
        <f>S1234-S1233</f>
        <v>5</v>
      </c>
      <c r="U1234" s="612">
        <f>R1234*T1234</f>
        <v>189000000</v>
      </c>
      <c r="V1234" s="464">
        <f>F1234</f>
        <v>2006</v>
      </c>
      <c r="W1234" s="612">
        <f>IF(OR(AND(ISBLANK(E1234),ISBLANK(G1234)),ISTEXT(E1234),ISTEXT(G1234)),"",Q1234-U1234)</f>
        <v>151200000</v>
      </c>
      <c r="X1234" s="561"/>
      <c r="Y1234" s="449"/>
      <c r="Z1234" s="449"/>
      <c r="AA1234" s="554"/>
      <c r="AB1234" s="452"/>
      <c r="AC1234" s="452"/>
      <c r="AD1234" s="566"/>
      <c r="AE1234" s="452"/>
      <c r="AF1234" s="571"/>
      <c r="AG1234" s="452"/>
      <c r="AH1234" s="452"/>
      <c r="AI1234" s="453"/>
      <c r="AJ1234" s="449"/>
      <c r="AK1234" s="453"/>
      <c r="AL1234" s="454"/>
      <c r="AM1234" s="455"/>
      <c r="AN1234" s="456"/>
      <c r="AO1234" s="455"/>
      <c r="AP1234" s="452"/>
      <c r="AQ1234" s="457"/>
      <c r="AR1234" s="449"/>
      <c r="AS1234" s="449"/>
      <c r="AT1234" s="452"/>
      <c r="AU1234" s="457"/>
      <c r="AV1234" s="449"/>
      <c r="AW1234" s="458"/>
      <c r="AX1234" s="452"/>
      <c r="AY1234" s="457"/>
      <c r="AZ1234" s="449"/>
      <c r="BA1234" s="459"/>
      <c r="BB1234" s="455"/>
      <c r="BC1234" s="460"/>
      <c r="BD1234" s="460"/>
      <c r="BG1234" s="462"/>
    </row>
    <row r="1235" spans="1:59" s="461" customFormat="1" ht="18" customHeight="1" x14ac:dyDescent="0.2">
      <c r="A1235" s="1368" t="str">
        <f t="shared" si="927"/>
        <v>JL. PERTUAN GADIS - SEI. LEMBU2007</v>
      </c>
      <c r="B1235" s="1373"/>
      <c r="C1235" s="488" t="s">
        <v>1155</v>
      </c>
      <c r="D1235" s="489"/>
      <c r="E1235" s="558"/>
      <c r="F1235" s="559">
        <v>2007</v>
      </c>
      <c r="G1235" s="619">
        <v>92623120.774719015</v>
      </c>
      <c r="H1235" s="464">
        <f t="shared" ref="H1235:H1244" si="928">IF(N1234-(F1235-F1234)&lt;=0,0,(N1234-(F1235-F1234)))</f>
        <v>4</v>
      </c>
      <c r="I1235" s="467"/>
      <c r="J1235" s="468">
        <f t="shared" ref="J1235:J1244" si="929">F1235+N1235-1</f>
        <v>2016</v>
      </c>
      <c r="K1235" s="490">
        <f t="shared" ref="K1235:K1244" si="930">IF(G1235=0,0,IF(H1235=10,100%,G1235/W1234))</f>
        <v>0.61258677761057545</v>
      </c>
      <c r="L1235" s="469">
        <f t="shared" ref="L1235:L1244" si="931">IF(K1235=0%,0,IF(K1235&lt;=30%,2,IF(K1235&lt;=60%,5,10)))</f>
        <v>10</v>
      </c>
      <c r="M1235" s="683">
        <f t="shared" ref="M1235:M1244" si="932">IF(OR(AND(ISBLANK(E1235),ISBLANK(G1235)),ISTEXT(E1235),ISTEXT(G1235)),"",IF(H1235+L1235&gt;$H$8,$H$8-H1235,L1235))</f>
        <v>6</v>
      </c>
      <c r="N1235" s="470">
        <f t="shared" ref="N1235:N1244" si="933">IF(OR(AND(ISBLANK(F1235),ISBLANK(G1235)),ISTEXT(F1235),ISTEXT(G1235)),"",H1235+M1235)</f>
        <v>10</v>
      </c>
      <c r="O1235" s="468">
        <f t="shared" ref="O1235:O1244" si="934">F1235+N1235-1</f>
        <v>2016</v>
      </c>
      <c r="P1235" s="616">
        <f t="shared" ref="P1235:P1244" si="935">W1234</f>
        <v>151200000</v>
      </c>
      <c r="Q1235" s="472">
        <f t="shared" ref="Q1235:Q1244" si="936">P1235+G1235</f>
        <v>243823120.774719</v>
      </c>
      <c r="R1235" s="472">
        <f t="shared" ref="R1235:R1244" si="937">IF(L1235=0,R1234,Q1235/N1235)</f>
        <v>24382312.077471901</v>
      </c>
      <c r="S1235" s="1189">
        <f t="shared" ref="S1235:S1244" si="938">F1235</f>
        <v>2007</v>
      </c>
      <c r="T1235" s="470">
        <f t="shared" ref="T1235:T1244" si="939">S1235-S1234</f>
        <v>1</v>
      </c>
      <c r="U1235" s="612">
        <f t="shared" ref="U1235:U1244" si="940">R1235*T1235</f>
        <v>24382312.077471901</v>
      </c>
      <c r="V1235" s="464">
        <f t="shared" ref="V1235:V1244" si="941">F1235</f>
        <v>2007</v>
      </c>
      <c r="W1235" s="612">
        <f t="shared" ref="W1235:W1244" si="942">IF(OR(AND(ISBLANK(E1235),ISBLANK(G1235)),ISTEXT(E1235),ISTEXT(G1235)),"",Q1235-U1235)</f>
        <v>219440808.69724709</v>
      </c>
      <c r="X1235" s="561"/>
      <c r="Y1235" s="449"/>
      <c r="Z1235" s="449"/>
      <c r="AA1235" s="554"/>
      <c r="AB1235" s="452"/>
      <c r="AC1235" s="452"/>
      <c r="AD1235" s="566"/>
      <c r="AE1235" s="452"/>
      <c r="AF1235" s="571"/>
      <c r="AG1235" s="452"/>
      <c r="AH1235" s="452"/>
      <c r="AI1235" s="453"/>
      <c r="AJ1235" s="449"/>
      <c r="AK1235" s="453"/>
      <c r="AL1235" s="454"/>
      <c r="AM1235" s="455"/>
      <c r="AN1235" s="456"/>
      <c r="AO1235" s="455"/>
      <c r="AP1235" s="452"/>
      <c r="AQ1235" s="457"/>
      <c r="AR1235" s="449"/>
      <c r="AS1235" s="449"/>
      <c r="AT1235" s="452"/>
      <c r="AU1235" s="457"/>
      <c r="AV1235" s="449"/>
      <c r="AW1235" s="458"/>
      <c r="AX1235" s="452"/>
      <c r="AY1235" s="457"/>
      <c r="AZ1235" s="449"/>
      <c r="BA1235" s="459"/>
      <c r="BB1235" s="455"/>
      <c r="BC1235" s="460"/>
      <c r="BD1235" s="460"/>
      <c r="BG1235" s="462"/>
    </row>
    <row r="1236" spans="1:59" s="461" customFormat="1" ht="18" customHeight="1" x14ac:dyDescent="0.2">
      <c r="A1236" s="1368" t="str">
        <f t="shared" si="927"/>
        <v>JL. PERTUAN GADIS - SEI. LEMBU2010</v>
      </c>
      <c r="B1236" s="1373"/>
      <c r="C1236" s="488"/>
      <c r="D1236" s="489"/>
      <c r="E1236" s="558"/>
      <c r="F1236" s="559">
        <v>2010</v>
      </c>
      <c r="G1236" s="619">
        <v>0</v>
      </c>
      <c r="H1236" s="464">
        <f t="shared" si="928"/>
        <v>7</v>
      </c>
      <c r="I1236" s="467"/>
      <c r="J1236" s="468">
        <f t="shared" si="929"/>
        <v>2016</v>
      </c>
      <c r="K1236" s="490">
        <f t="shared" si="930"/>
        <v>0</v>
      </c>
      <c r="L1236" s="469">
        <f t="shared" si="931"/>
        <v>0</v>
      </c>
      <c r="M1236" s="683">
        <f t="shared" si="932"/>
        <v>0</v>
      </c>
      <c r="N1236" s="470">
        <f t="shared" si="933"/>
        <v>7</v>
      </c>
      <c r="O1236" s="468">
        <f t="shared" si="934"/>
        <v>2016</v>
      </c>
      <c r="P1236" s="616">
        <f t="shared" si="935"/>
        <v>219440808.69724709</v>
      </c>
      <c r="Q1236" s="472">
        <f t="shared" si="936"/>
        <v>219440808.69724709</v>
      </c>
      <c r="R1236" s="472">
        <f t="shared" si="937"/>
        <v>24382312.077471901</v>
      </c>
      <c r="S1236" s="1189">
        <f t="shared" si="938"/>
        <v>2010</v>
      </c>
      <c r="T1236" s="470">
        <f t="shared" si="939"/>
        <v>3</v>
      </c>
      <c r="U1236" s="612">
        <f t="shared" si="940"/>
        <v>73146936.232415706</v>
      </c>
      <c r="V1236" s="464">
        <f t="shared" si="941"/>
        <v>2010</v>
      </c>
      <c r="W1236" s="612">
        <f t="shared" si="942"/>
        <v>146293872.46483138</v>
      </c>
      <c r="X1236" s="561"/>
      <c r="Y1236" s="449"/>
      <c r="Z1236" s="449"/>
      <c r="AA1236" s="554"/>
      <c r="AB1236" s="452"/>
      <c r="AC1236" s="452"/>
      <c r="AD1236" s="566"/>
      <c r="AE1236" s="452"/>
      <c r="AF1236" s="571"/>
      <c r="AG1236" s="452"/>
      <c r="AH1236" s="452"/>
      <c r="AI1236" s="453"/>
      <c r="AJ1236" s="449"/>
      <c r="AK1236" s="453"/>
      <c r="AL1236" s="454"/>
      <c r="AM1236" s="455"/>
      <c r="AN1236" s="456"/>
      <c r="AO1236" s="455"/>
      <c r="AP1236" s="452"/>
      <c r="AQ1236" s="457"/>
      <c r="AR1236" s="449"/>
      <c r="AS1236" s="449"/>
      <c r="AT1236" s="452"/>
      <c r="AU1236" s="457"/>
      <c r="AV1236" s="449"/>
      <c r="AW1236" s="458"/>
      <c r="AX1236" s="452"/>
      <c r="AY1236" s="457"/>
      <c r="AZ1236" s="449"/>
      <c r="BA1236" s="459"/>
      <c r="BB1236" s="455"/>
      <c r="BC1236" s="460"/>
      <c r="BD1236" s="460"/>
      <c r="BG1236" s="462"/>
    </row>
    <row r="1237" spans="1:59" s="486" customFormat="1" ht="18" customHeight="1" x14ac:dyDescent="0.2">
      <c r="A1237" s="1368" t="str">
        <f t="shared" si="927"/>
        <v>JL. PERTUAN GADIS - SEI. LEMBU2011</v>
      </c>
      <c r="B1237" s="1373"/>
      <c r="C1237" s="488"/>
      <c r="D1237" s="489"/>
      <c r="E1237" s="558"/>
      <c r="F1237" s="559">
        <v>2011</v>
      </c>
      <c r="G1237" s="619">
        <v>0</v>
      </c>
      <c r="H1237" s="464">
        <f t="shared" si="928"/>
        <v>6</v>
      </c>
      <c r="I1237" s="467"/>
      <c r="J1237" s="468">
        <f t="shared" si="929"/>
        <v>2016</v>
      </c>
      <c r="K1237" s="490">
        <f t="shared" si="930"/>
        <v>0</v>
      </c>
      <c r="L1237" s="469">
        <f t="shared" si="931"/>
        <v>0</v>
      </c>
      <c r="M1237" s="683">
        <f t="shared" si="932"/>
        <v>0</v>
      </c>
      <c r="N1237" s="470">
        <f t="shared" si="933"/>
        <v>6</v>
      </c>
      <c r="O1237" s="468">
        <f t="shared" si="934"/>
        <v>2016</v>
      </c>
      <c r="P1237" s="616">
        <f t="shared" si="935"/>
        <v>146293872.46483138</v>
      </c>
      <c r="Q1237" s="472">
        <f t="shared" si="936"/>
        <v>146293872.46483138</v>
      </c>
      <c r="R1237" s="472">
        <f t="shared" si="937"/>
        <v>24382312.077471901</v>
      </c>
      <c r="S1237" s="1189">
        <f t="shared" si="938"/>
        <v>2011</v>
      </c>
      <c r="T1237" s="470">
        <f t="shared" si="939"/>
        <v>1</v>
      </c>
      <c r="U1237" s="612">
        <f t="shared" si="940"/>
        <v>24382312.077471901</v>
      </c>
      <c r="V1237" s="464">
        <f t="shared" si="941"/>
        <v>2011</v>
      </c>
      <c r="W1237" s="612">
        <f t="shared" si="942"/>
        <v>121911560.38735949</v>
      </c>
      <c r="X1237" s="473"/>
      <c r="Y1237" s="474"/>
      <c r="Z1237" s="449"/>
      <c r="AA1237" s="475" t="s">
        <v>4180</v>
      </c>
      <c r="AB1237" s="476"/>
      <c r="AC1237" s="476"/>
      <c r="AD1237" s="567">
        <f>G1247</f>
        <v>470623120.774719</v>
      </c>
      <c r="AE1237" s="476"/>
      <c r="AF1237" s="568"/>
      <c r="AG1237" s="476"/>
      <c r="AH1237" s="476"/>
      <c r="AI1237" s="477"/>
      <c r="AJ1237" s="478"/>
      <c r="AK1237" s="479"/>
      <c r="AL1237" s="480"/>
      <c r="AM1237" s="474"/>
      <c r="AN1237" s="481"/>
      <c r="AO1237" s="474"/>
      <c r="AP1237" s="476"/>
      <c r="AQ1237" s="482"/>
      <c r="AR1237" s="478"/>
      <c r="AS1237" s="478"/>
      <c r="AT1237" s="476"/>
      <c r="AU1237" s="482"/>
      <c r="AV1237" s="478"/>
      <c r="AW1237" s="483"/>
      <c r="AX1237" s="476"/>
      <c r="AY1237" s="482"/>
      <c r="AZ1237" s="478"/>
      <c r="BA1237" s="484"/>
      <c r="BB1237" s="474"/>
      <c r="BC1237" s="485"/>
      <c r="BD1237" s="485"/>
      <c r="BG1237" s="487"/>
    </row>
    <row r="1238" spans="1:59" s="486" customFormat="1" ht="18" customHeight="1" x14ac:dyDescent="0.2">
      <c r="A1238" s="1368" t="str">
        <f t="shared" si="927"/>
        <v>JL. PERTUAN GADIS - SEI. LEMBU2012</v>
      </c>
      <c r="B1238" s="1373"/>
      <c r="C1238" s="488"/>
      <c r="D1238" s="489"/>
      <c r="E1238" s="558"/>
      <c r="F1238" s="559">
        <v>2012</v>
      </c>
      <c r="G1238" s="619">
        <v>0</v>
      </c>
      <c r="H1238" s="464">
        <f t="shared" si="928"/>
        <v>5</v>
      </c>
      <c r="I1238" s="467"/>
      <c r="J1238" s="468">
        <f t="shared" si="929"/>
        <v>2016</v>
      </c>
      <c r="K1238" s="490">
        <f t="shared" si="930"/>
        <v>0</v>
      </c>
      <c r="L1238" s="469">
        <f t="shared" si="931"/>
        <v>0</v>
      </c>
      <c r="M1238" s="683">
        <f t="shared" si="932"/>
        <v>0</v>
      </c>
      <c r="N1238" s="470">
        <f t="shared" si="933"/>
        <v>5</v>
      </c>
      <c r="O1238" s="468">
        <f t="shared" si="934"/>
        <v>2016</v>
      </c>
      <c r="P1238" s="616">
        <f t="shared" si="935"/>
        <v>121911560.38735949</v>
      </c>
      <c r="Q1238" s="472">
        <f t="shared" si="936"/>
        <v>121911560.38735949</v>
      </c>
      <c r="R1238" s="472">
        <f t="shared" si="937"/>
        <v>24382312.077471901</v>
      </c>
      <c r="S1238" s="1189">
        <f t="shared" si="938"/>
        <v>2012</v>
      </c>
      <c r="T1238" s="470">
        <f t="shared" si="939"/>
        <v>1</v>
      </c>
      <c r="U1238" s="612">
        <f t="shared" si="940"/>
        <v>24382312.077471901</v>
      </c>
      <c r="V1238" s="464">
        <f t="shared" si="941"/>
        <v>2012</v>
      </c>
      <c r="W1238" s="612">
        <f t="shared" si="942"/>
        <v>97529248.309887588</v>
      </c>
      <c r="X1238" s="473"/>
      <c r="Y1238" s="478"/>
      <c r="Z1238" s="449"/>
      <c r="AA1238" s="475" t="s">
        <v>4181</v>
      </c>
      <c r="AB1238" s="491"/>
      <c r="AC1238" s="491"/>
      <c r="AD1238" s="567">
        <f>U1247</f>
        <v>470623120.77471912</v>
      </c>
      <c r="AE1238" s="491"/>
      <c r="AF1238" s="568"/>
      <c r="AG1238" s="491"/>
      <c r="AH1238" s="491"/>
      <c r="AI1238" s="477"/>
      <c r="AJ1238" s="478"/>
      <c r="AK1238" s="479"/>
      <c r="AL1238" s="480"/>
      <c r="AM1238" s="474"/>
      <c r="AN1238" s="481"/>
      <c r="AO1238" s="474"/>
      <c r="AP1238" s="476"/>
      <c r="AQ1238" s="482"/>
      <c r="AR1238" s="478"/>
      <c r="AS1238" s="478"/>
      <c r="AT1238" s="476"/>
      <c r="AU1238" s="482"/>
      <c r="AV1238" s="478"/>
      <c r="AW1238" s="483"/>
      <c r="AX1238" s="476"/>
      <c r="AY1238" s="482"/>
      <c r="AZ1238" s="478"/>
      <c r="BA1238" s="484"/>
      <c r="BB1238" s="474"/>
      <c r="BC1238" s="485"/>
      <c r="BD1238" s="485"/>
      <c r="BG1238" s="487"/>
    </row>
    <row r="1239" spans="1:59" s="486" customFormat="1" ht="18" customHeight="1" x14ac:dyDescent="0.2">
      <c r="A1239" s="1368" t="str">
        <f t="shared" si="927"/>
        <v>JL. PERTUAN GADIS - SEI. LEMBU2013</v>
      </c>
      <c r="B1239" s="1373"/>
      <c r="C1239" s="488"/>
      <c r="D1239" s="489"/>
      <c r="E1239" s="558"/>
      <c r="F1239" s="559">
        <v>2013</v>
      </c>
      <c r="G1239" s="619">
        <v>0</v>
      </c>
      <c r="H1239" s="464">
        <f t="shared" si="928"/>
        <v>4</v>
      </c>
      <c r="I1239" s="467"/>
      <c r="J1239" s="468">
        <f t="shared" si="929"/>
        <v>2016</v>
      </c>
      <c r="K1239" s="490">
        <f t="shared" si="930"/>
        <v>0</v>
      </c>
      <c r="L1239" s="469">
        <f t="shared" si="931"/>
        <v>0</v>
      </c>
      <c r="M1239" s="683">
        <f t="shared" si="932"/>
        <v>0</v>
      </c>
      <c r="N1239" s="470">
        <f t="shared" si="933"/>
        <v>4</v>
      </c>
      <c r="O1239" s="468">
        <f t="shared" si="934"/>
        <v>2016</v>
      </c>
      <c r="P1239" s="616">
        <f t="shared" si="935"/>
        <v>97529248.309887588</v>
      </c>
      <c r="Q1239" s="472">
        <f t="shared" si="936"/>
        <v>97529248.309887588</v>
      </c>
      <c r="R1239" s="472">
        <f t="shared" si="937"/>
        <v>24382312.077471901</v>
      </c>
      <c r="S1239" s="1189">
        <f t="shared" si="938"/>
        <v>2013</v>
      </c>
      <c r="T1239" s="470">
        <f t="shared" si="939"/>
        <v>1</v>
      </c>
      <c r="U1239" s="612">
        <f t="shared" si="940"/>
        <v>24382312.077471901</v>
      </c>
      <c r="V1239" s="464">
        <f t="shared" si="941"/>
        <v>2013</v>
      </c>
      <c r="W1239" s="612">
        <f t="shared" si="942"/>
        <v>73146936.232415691</v>
      </c>
      <c r="X1239" s="473"/>
      <c r="Y1239" s="478"/>
      <c r="Z1239" s="449"/>
      <c r="AA1239" s="492" t="s">
        <v>4182</v>
      </c>
      <c r="AB1239" s="476"/>
      <c r="AC1239" s="476"/>
      <c r="AD1239" s="567">
        <f>AD1237-AD1238</f>
        <v>0</v>
      </c>
      <c r="AE1239" s="476"/>
      <c r="AF1239" s="568"/>
      <c r="AG1239" s="476"/>
      <c r="AH1239" s="476"/>
      <c r="AI1239" s="477"/>
      <c r="AJ1239" s="478"/>
      <c r="AK1239" s="479"/>
      <c r="AL1239" s="480"/>
      <c r="AM1239" s="474"/>
      <c r="AN1239" s="481"/>
      <c r="AO1239" s="474"/>
      <c r="AP1239" s="476"/>
      <c r="AQ1239" s="482"/>
      <c r="AR1239" s="478"/>
      <c r="AS1239" s="478"/>
      <c r="AT1239" s="476"/>
      <c r="AU1239" s="482"/>
      <c r="AV1239" s="478"/>
      <c r="AW1239" s="483"/>
      <c r="AX1239" s="476"/>
      <c r="AY1239" s="482"/>
      <c r="AZ1239" s="478"/>
      <c r="BA1239" s="484"/>
      <c r="BB1239" s="474"/>
      <c r="BC1239" s="485"/>
      <c r="BD1239" s="485"/>
      <c r="BG1239" s="487"/>
    </row>
    <row r="1240" spans="1:59" s="486" customFormat="1" ht="18" customHeight="1" x14ac:dyDescent="0.2">
      <c r="A1240" s="1368" t="str">
        <f t="shared" si="927"/>
        <v>JL. PERTUAN GADIS - SEI. LEMBU2014</v>
      </c>
      <c r="B1240" s="687"/>
      <c r="C1240" s="463"/>
      <c r="D1240" s="489"/>
      <c r="E1240" s="465"/>
      <c r="F1240" s="559">
        <v>2014</v>
      </c>
      <c r="G1240" s="619">
        <v>0</v>
      </c>
      <c r="H1240" s="464">
        <f t="shared" si="928"/>
        <v>3</v>
      </c>
      <c r="I1240" s="467"/>
      <c r="J1240" s="468">
        <f t="shared" si="929"/>
        <v>2016</v>
      </c>
      <c r="K1240" s="490">
        <f t="shared" si="930"/>
        <v>0</v>
      </c>
      <c r="L1240" s="469">
        <f t="shared" si="931"/>
        <v>0</v>
      </c>
      <c r="M1240" s="683">
        <f t="shared" si="932"/>
        <v>0</v>
      </c>
      <c r="N1240" s="470">
        <f t="shared" si="933"/>
        <v>3</v>
      </c>
      <c r="O1240" s="468">
        <f t="shared" si="934"/>
        <v>2016</v>
      </c>
      <c r="P1240" s="616">
        <f t="shared" si="935"/>
        <v>73146936.232415691</v>
      </c>
      <c r="Q1240" s="472">
        <f t="shared" si="936"/>
        <v>73146936.232415691</v>
      </c>
      <c r="R1240" s="472">
        <f t="shared" si="937"/>
        <v>24382312.077471901</v>
      </c>
      <c r="S1240" s="1189">
        <f t="shared" si="938"/>
        <v>2014</v>
      </c>
      <c r="T1240" s="470">
        <f t="shared" si="939"/>
        <v>1</v>
      </c>
      <c r="U1240" s="612">
        <f t="shared" si="940"/>
        <v>24382312.077471901</v>
      </c>
      <c r="V1240" s="464">
        <f t="shared" si="941"/>
        <v>2014</v>
      </c>
      <c r="W1240" s="612">
        <f t="shared" si="942"/>
        <v>48764624.154943794</v>
      </c>
      <c r="X1240" s="473"/>
      <c r="Y1240" s="478"/>
      <c r="Z1240" s="449"/>
      <c r="AA1240" s="531" t="s">
        <v>4183</v>
      </c>
      <c r="AB1240" s="496"/>
      <c r="AC1240" s="496"/>
      <c r="AD1240" s="569">
        <f>AD1239-W1247</f>
        <v>0</v>
      </c>
      <c r="AE1240" s="476"/>
      <c r="AF1240" s="568"/>
      <c r="AG1240" s="476"/>
      <c r="AH1240" s="476"/>
      <c r="AI1240" s="477"/>
      <c r="AJ1240" s="478"/>
      <c r="AK1240" s="479"/>
      <c r="AL1240" s="480"/>
      <c r="AM1240" s="474"/>
      <c r="AN1240" s="481"/>
      <c r="AO1240" s="474"/>
      <c r="AP1240" s="476"/>
      <c r="AQ1240" s="482"/>
      <c r="AR1240" s="478"/>
      <c r="AS1240" s="478"/>
      <c r="AT1240" s="476"/>
      <c r="AU1240" s="482"/>
      <c r="AV1240" s="478"/>
      <c r="AW1240" s="483"/>
      <c r="AX1240" s="476"/>
      <c r="AY1240" s="482"/>
      <c r="AZ1240" s="478"/>
      <c r="BA1240" s="484"/>
      <c r="BB1240" s="474"/>
      <c r="BC1240" s="485"/>
      <c r="BD1240" s="485"/>
      <c r="BG1240" s="487"/>
    </row>
    <row r="1241" spans="1:59" s="486" customFormat="1" ht="18" customHeight="1" x14ac:dyDescent="0.2">
      <c r="A1241" s="1368" t="str">
        <f t="shared" si="927"/>
        <v>JL. PERTUAN GADIS - SEI. LEMBU2015</v>
      </c>
      <c r="B1241" s="687"/>
      <c r="C1241" s="463"/>
      <c r="D1241" s="489"/>
      <c r="E1241" s="465"/>
      <c r="F1241" s="466">
        <v>2015</v>
      </c>
      <c r="G1241" s="619">
        <v>0</v>
      </c>
      <c r="H1241" s="464">
        <f t="shared" si="928"/>
        <v>2</v>
      </c>
      <c r="I1241" s="467"/>
      <c r="J1241" s="468">
        <f t="shared" si="929"/>
        <v>2016</v>
      </c>
      <c r="K1241" s="490">
        <f t="shared" si="930"/>
        <v>0</v>
      </c>
      <c r="L1241" s="469">
        <f t="shared" si="931"/>
        <v>0</v>
      </c>
      <c r="M1241" s="683">
        <f t="shared" si="932"/>
        <v>0</v>
      </c>
      <c r="N1241" s="470">
        <f t="shared" si="933"/>
        <v>2</v>
      </c>
      <c r="O1241" s="468">
        <f t="shared" si="934"/>
        <v>2016</v>
      </c>
      <c r="P1241" s="616">
        <f t="shared" si="935"/>
        <v>48764624.154943794</v>
      </c>
      <c r="Q1241" s="472">
        <f t="shared" si="936"/>
        <v>48764624.154943794</v>
      </c>
      <c r="R1241" s="472">
        <f t="shared" si="937"/>
        <v>24382312.077471901</v>
      </c>
      <c r="S1241" s="1189">
        <f t="shared" si="938"/>
        <v>2015</v>
      </c>
      <c r="T1241" s="470">
        <f t="shared" si="939"/>
        <v>1</v>
      </c>
      <c r="U1241" s="612">
        <f t="shared" si="940"/>
        <v>24382312.077471901</v>
      </c>
      <c r="V1241" s="464">
        <f t="shared" si="941"/>
        <v>2015</v>
      </c>
      <c r="W1241" s="612">
        <f t="shared" si="942"/>
        <v>24382312.077471893</v>
      </c>
      <c r="X1241" s="473"/>
      <c r="Y1241" s="478"/>
      <c r="Z1241" s="449"/>
      <c r="AA1241" s="573"/>
      <c r="AB1241" s="476"/>
      <c r="AC1241" s="476"/>
      <c r="AD1241" s="568"/>
      <c r="AE1241" s="476"/>
      <c r="AF1241" s="568"/>
      <c r="AG1241" s="476"/>
      <c r="AH1241" s="476"/>
      <c r="AI1241" s="477"/>
      <c r="AJ1241" s="478"/>
      <c r="AK1241" s="479"/>
      <c r="AL1241" s="480"/>
      <c r="AM1241" s="474"/>
      <c r="AN1241" s="481"/>
      <c r="AO1241" s="474"/>
      <c r="AP1241" s="476"/>
      <c r="AQ1241" s="482"/>
      <c r="AR1241" s="478"/>
      <c r="AS1241" s="478"/>
      <c r="AT1241" s="476"/>
      <c r="AU1241" s="482"/>
      <c r="AV1241" s="478"/>
      <c r="AW1241" s="483"/>
      <c r="AX1241" s="476"/>
      <c r="AY1241" s="482"/>
      <c r="AZ1241" s="478"/>
      <c r="BA1241" s="484"/>
      <c r="BB1241" s="474"/>
      <c r="BC1241" s="485"/>
      <c r="BD1241" s="485"/>
      <c r="BG1241" s="487"/>
    </row>
    <row r="1242" spans="1:59" s="486" customFormat="1" ht="18" customHeight="1" x14ac:dyDescent="0.2">
      <c r="A1242" s="1368" t="str">
        <f t="shared" si="927"/>
        <v>JL. PERTUAN GADIS - SEI. LEMBU2016</v>
      </c>
      <c r="B1242" s="687"/>
      <c r="C1242" s="463"/>
      <c r="D1242" s="489"/>
      <c r="E1242" s="465"/>
      <c r="F1242" s="466">
        <v>2016</v>
      </c>
      <c r="G1242" s="619">
        <v>0</v>
      </c>
      <c r="H1242" s="464">
        <f t="shared" si="928"/>
        <v>1</v>
      </c>
      <c r="I1242" s="467"/>
      <c r="J1242" s="468">
        <f t="shared" si="929"/>
        <v>2016</v>
      </c>
      <c r="K1242" s="490">
        <f t="shared" si="930"/>
        <v>0</v>
      </c>
      <c r="L1242" s="469">
        <f t="shared" si="931"/>
        <v>0</v>
      </c>
      <c r="M1242" s="683">
        <f t="shared" si="932"/>
        <v>0</v>
      </c>
      <c r="N1242" s="470">
        <f t="shared" si="933"/>
        <v>1</v>
      </c>
      <c r="O1242" s="468">
        <f t="shared" si="934"/>
        <v>2016</v>
      </c>
      <c r="P1242" s="616">
        <f t="shared" si="935"/>
        <v>24382312.077471893</v>
      </c>
      <c r="Q1242" s="472">
        <f t="shared" si="936"/>
        <v>24382312.077471893</v>
      </c>
      <c r="R1242" s="472">
        <f t="shared" si="937"/>
        <v>24382312.077471901</v>
      </c>
      <c r="S1242" s="1189">
        <f t="shared" si="938"/>
        <v>2016</v>
      </c>
      <c r="T1242" s="470">
        <f t="shared" si="939"/>
        <v>1</v>
      </c>
      <c r="U1242" s="612">
        <f t="shared" si="940"/>
        <v>24382312.077471901</v>
      </c>
      <c r="V1242" s="464">
        <f t="shared" si="941"/>
        <v>2016</v>
      </c>
      <c r="W1242" s="612">
        <f t="shared" si="942"/>
        <v>-7.4505805969238281E-9</v>
      </c>
      <c r="X1242" s="473"/>
      <c r="Y1242" s="478"/>
      <c r="Z1242" s="449"/>
      <c r="AA1242" s="573"/>
      <c r="AB1242" s="476"/>
      <c r="AC1242" s="476"/>
      <c r="AD1242" s="568"/>
      <c r="AE1242" s="476"/>
      <c r="AF1242" s="568"/>
      <c r="AG1242" s="476"/>
      <c r="AH1242" s="476"/>
      <c r="AI1242" s="477"/>
      <c r="AJ1242" s="478"/>
      <c r="AK1242" s="479"/>
      <c r="AL1242" s="480"/>
      <c r="AM1242" s="474"/>
      <c r="AN1242" s="481"/>
      <c r="AO1242" s="474"/>
      <c r="AP1242" s="476"/>
      <c r="AQ1242" s="482"/>
      <c r="AR1242" s="478"/>
      <c r="AS1242" s="478"/>
      <c r="AT1242" s="476"/>
      <c r="AU1242" s="482"/>
      <c r="AV1242" s="478"/>
      <c r="AW1242" s="483"/>
      <c r="AX1242" s="476"/>
      <c r="AY1242" s="482"/>
      <c r="AZ1242" s="478"/>
      <c r="BA1242" s="484"/>
      <c r="BB1242" s="474"/>
      <c r="BC1242" s="485"/>
      <c r="BD1242" s="485"/>
      <c r="BG1242" s="487"/>
    </row>
    <row r="1243" spans="1:59" s="486" customFormat="1" ht="18" customHeight="1" x14ac:dyDescent="0.2">
      <c r="A1243" s="1368" t="str">
        <f t="shared" si="927"/>
        <v>JL. PERTUAN GADIS - SEI. LEMBU2017</v>
      </c>
      <c r="B1243" s="687"/>
      <c r="C1243" s="463"/>
      <c r="D1243" s="489"/>
      <c r="E1243" s="465"/>
      <c r="F1243" s="466">
        <v>2017</v>
      </c>
      <c r="G1243" s="619">
        <v>0</v>
      </c>
      <c r="H1243" s="464">
        <f t="shared" si="928"/>
        <v>0</v>
      </c>
      <c r="I1243" s="467"/>
      <c r="J1243" s="468">
        <f t="shared" si="929"/>
        <v>2016</v>
      </c>
      <c r="K1243" s="490">
        <f t="shared" si="930"/>
        <v>0</v>
      </c>
      <c r="L1243" s="469">
        <f t="shared" si="931"/>
        <v>0</v>
      </c>
      <c r="M1243" s="683">
        <f t="shared" si="932"/>
        <v>0</v>
      </c>
      <c r="N1243" s="470">
        <f t="shared" si="933"/>
        <v>0</v>
      </c>
      <c r="O1243" s="468">
        <f t="shared" si="934"/>
        <v>2016</v>
      </c>
      <c r="P1243" s="616">
        <f t="shared" si="935"/>
        <v>-7.4505805969238281E-9</v>
      </c>
      <c r="Q1243" s="472">
        <f t="shared" si="936"/>
        <v>-7.4505805969238281E-9</v>
      </c>
      <c r="R1243" s="472">
        <v>0</v>
      </c>
      <c r="S1243" s="1189">
        <f t="shared" si="938"/>
        <v>2017</v>
      </c>
      <c r="T1243" s="470">
        <f t="shared" si="939"/>
        <v>1</v>
      </c>
      <c r="U1243" s="612">
        <f t="shared" si="940"/>
        <v>0</v>
      </c>
      <c r="V1243" s="464">
        <f t="shared" si="941"/>
        <v>2017</v>
      </c>
      <c r="W1243" s="612">
        <f t="shared" si="942"/>
        <v>-7.4505805969238281E-9</v>
      </c>
      <c r="X1243" s="473"/>
      <c r="Y1243" s="478"/>
      <c r="Z1243" s="449"/>
      <c r="AA1243" s="573"/>
      <c r="AB1243" s="476"/>
      <c r="AC1243" s="476"/>
      <c r="AD1243" s="568"/>
      <c r="AE1243" s="476"/>
      <c r="AF1243" s="568"/>
      <c r="AG1243" s="476"/>
      <c r="AH1243" s="476"/>
      <c r="AI1243" s="477"/>
      <c r="AJ1243" s="478"/>
      <c r="AK1243" s="479"/>
      <c r="AL1243" s="480"/>
      <c r="AM1243" s="474"/>
      <c r="AN1243" s="481"/>
      <c r="AO1243" s="474"/>
      <c r="AP1243" s="476"/>
      <c r="AQ1243" s="482"/>
      <c r="AR1243" s="478"/>
      <c r="AS1243" s="478"/>
      <c r="AT1243" s="476"/>
      <c r="AU1243" s="482"/>
      <c r="AV1243" s="478"/>
      <c r="AW1243" s="483"/>
      <c r="AX1243" s="476"/>
      <c r="AY1243" s="482"/>
      <c r="AZ1243" s="478"/>
      <c r="BA1243" s="484"/>
      <c r="BB1243" s="474"/>
      <c r="BC1243" s="485"/>
      <c r="BD1243" s="485"/>
      <c r="BG1243" s="487"/>
    </row>
    <row r="1244" spans="1:59" s="486" customFormat="1" ht="18" customHeight="1" x14ac:dyDescent="0.2">
      <c r="A1244" s="1368" t="str">
        <f t="shared" si="927"/>
        <v>JL. PERTUAN GADIS - SEI. LEMBU2018</v>
      </c>
      <c r="B1244" s="687"/>
      <c r="C1244" s="463"/>
      <c r="D1244" s="489"/>
      <c r="E1244" s="465"/>
      <c r="F1244" s="466">
        <v>2018</v>
      </c>
      <c r="G1244" s="619">
        <v>0</v>
      </c>
      <c r="H1244" s="464">
        <f t="shared" si="928"/>
        <v>0</v>
      </c>
      <c r="I1244" s="467"/>
      <c r="J1244" s="468">
        <f t="shared" si="929"/>
        <v>2017</v>
      </c>
      <c r="K1244" s="490">
        <f t="shared" si="930"/>
        <v>0</v>
      </c>
      <c r="L1244" s="469">
        <f t="shared" si="931"/>
        <v>0</v>
      </c>
      <c r="M1244" s="683">
        <f t="shared" si="932"/>
        <v>0</v>
      </c>
      <c r="N1244" s="470">
        <f t="shared" si="933"/>
        <v>0</v>
      </c>
      <c r="O1244" s="468">
        <f t="shared" si="934"/>
        <v>2017</v>
      </c>
      <c r="P1244" s="616">
        <f t="shared" si="935"/>
        <v>-7.4505805969238281E-9</v>
      </c>
      <c r="Q1244" s="472">
        <f t="shared" si="936"/>
        <v>-7.4505805969238281E-9</v>
      </c>
      <c r="R1244" s="472">
        <f t="shared" si="937"/>
        <v>0</v>
      </c>
      <c r="S1244" s="1189">
        <f t="shared" si="938"/>
        <v>2018</v>
      </c>
      <c r="T1244" s="470">
        <f t="shared" si="939"/>
        <v>1</v>
      </c>
      <c r="U1244" s="612">
        <f t="shared" si="940"/>
        <v>0</v>
      </c>
      <c r="V1244" s="464">
        <f t="shared" si="941"/>
        <v>2018</v>
      </c>
      <c r="W1244" s="612">
        <f t="shared" si="942"/>
        <v>-7.4505805969238281E-9</v>
      </c>
      <c r="X1244" s="473"/>
      <c r="Y1244" s="478"/>
      <c r="Z1244" s="449"/>
      <c r="AA1244" s="573"/>
      <c r="AB1244" s="476"/>
      <c r="AC1244" s="476"/>
      <c r="AD1244" s="568"/>
      <c r="AE1244" s="476"/>
      <c r="AF1244" s="568"/>
      <c r="AG1244" s="476"/>
      <c r="AH1244" s="476"/>
      <c r="AI1244" s="477"/>
      <c r="AJ1244" s="478"/>
      <c r="AK1244" s="479"/>
      <c r="AL1244" s="480"/>
      <c r="AM1244" s="474"/>
      <c r="AN1244" s="481"/>
      <c r="AO1244" s="474"/>
      <c r="AP1244" s="476"/>
      <c r="AQ1244" s="482"/>
      <c r="AR1244" s="478"/>
      <c r="AS1244" s="478"/>
      <c r="AT1244" s="476"/>
      <c r="AU1244" s="482"/>
      <c r="AV1244" s="478"/>
      <c r="AW1244" s="483"/>
      <c r="AX1244" s="476"/>
      <c r="AY1244" s="482"/>
      <c r="AZ1244" s="478"/>
      <c r="BA1244" s="484"/>
      <c r="BB1244" s="474"/>
      <c r="BC1244" s="485"/>
      <c r="BD1244" s="485"/>
      <c r="BG1244" s="487"/>
    </row>
    <row r="1245" spans="1:59" s="486" customFormat="1" ht="18" customHeight="1" x14ac:dyDescent="0.2">
      <c r="A1245" s="1368" t="str">
        <f t="shared" si="927"/>
        <v>JL. PERTUAN GADIS - SEI. LEMBU2019</v>
      </c>
      <c r="B1245" s="687"/>
      <c r="C1245" s="463"/>
      <c r="D1245" s="489"/>
      <c r="E1245" s="465"/>
      <c r="F1245" s="466">
        <v>2019</v>
      </c>
      <c r="G1245" s="619">
        <v>0</v>
      </c>
      <c r="H1245" s="464">
        <f>IF(N1244-(F1245-F1244)&lt;=0,0,(N1244-(F1245-F1244)))</f>
        <v>0</v>
      </c>
      <c r="I1245" s="467"/>
      <c r="J1245" s="468">
        <f>F1245+N1245-1</f>
        <v>2018</v>
      </c>
      <c r="K1245" s="490">
        <f>IF(G1245=0,0,IF(H1245=10,100%,G1245/W1244))</f>
        <v>0</v>
      </c>
      <c r="L1245" s="469">
        <f>IF(K1245=0%,0,IF(K1245&lt;=30%,2,IF(K1245&lt;=60%,5,10)))</f>
        <v>0</v>
      </c>
      <c r="M1245" s="683">
        <f>IF(OR(AND(ISBLANK(E1245),ISBLANK(G1245)),ISTEXT(E1245),ISTEXT(G1245)),"",IF(H1245+L1245&gt;$H$8,$H$8-H1245,L1245))</f>
        <v>0</v>
      </c>
      <c r="N1245" s="470">
        <f>IF(OR(AND(ISBLANK(F1245),ISBLANK(G1245)),ISTEXT(F1245),ISTEXT(G1245)),"",H1245+M1245)</f>
        <v>0</v>
      </c>
      <c r="O1245" s="468">
        <f>F1245+N1245-1</f>
        <v>2018</v>
      </c>
      <c r="P1245" s="616">
        <f>W1244</f>
        <v>-7.4505805969238281E-9</v>
      </c>
      <c r="Q1245" s="472">
        <f>P1245+G1245</f>
        <v>-7.4505805969238281E-9</v>
      </c>
      <c r="R1245" s="472">
        <f>IF(L1245=0,R1244,Q1245/N1245)</f>
        <v>0</v>
      </c>
      <c r="S1245" s="1189">
        <f>F1245</f>
        <v>2019</v>
      </c>
      <c r="T1245" s="470">
        <f>S1245-S1244</f>
        <v>1</v>
      </c>
      <c r="U1245" s="612">
        <f>R1245*T1245</f>
        <v>0</v>
      </c>
      <c r="V1245" s="464">
        <f>F1245</f>
        <v>2019</v>
      </c>
      <c r="W1245" s="612">
        <f>IF(OR(AND(ISBLANK(E1245),ISBLANK(G1245)),ISTEXT(E1245),ISTEXT(G1245)),"",Q1245-U1245)</f>
        <v>-7.4505805969238281E-9</v>
      </c>
      <c r="X1245" s="473"/>
      <c r="Y1245" s="478"/>
      <c r="Z1245" s="449"/>
      <c r="AA1245" s="573"/>
      <c r="AB1245" s="476"/>
      <c r="AC1245" s="476"/>
      <c r="AD1245" s="568"/>
      <c r="AE1245" s="476"/>
      <c r="AF1245" s="568"/>
      <c r="AG1245" s="476"/>
      <c r="AH1245" s="476"/>
      <c r="AI1245" s="477"/>
      <c r="AJ1245" s="478"/>
      <c r="AK1245" s="479"/>
      <c r="AL1245" s="480"/>
      <c r="AM1245" s="474"/>
      <c r="AN1245" s="481"/>
      <c r="AO1245" s="474"/>
      <c r="AP1245" s="476"/>
      <c r="AQ1245" s="482"/>
      <c r="AR1245" s="478"/>
      <c r="AS1245" s="478"/>
      <c r="AT1245" s="476"/>
      <c r="AU1245" s="482"/>
      <c r="AV1245" s="478"/>
      <c r="AW1245" s="483"/>
      <c r="AX1245" s="476"/>
      <c r="AY1245" s="482"/>
      <c r="AZ1245" s="478"/>
      <c r="BA1245" s="484"/>
      <c r="BB1245" s="474"/>
      <c r="BC1245" s="485"/>
      <c r="BD1245" s="485"/>
      <c r="BG1245" s="487"/>
    </row>
    <row r="1246" spans="1:59" s="486" customFormat="1" ht="18" customHeight="1" x14ac:dyDescent="0.2">
      <c r="A1246" s="1368" t="str">
        <f>LEFT(D1246,8)</f>
        <v/>
      </c>
      <c r="B1246" s="687"/>
      <c r="C1246" s="463"/>
      <c r="D1246" s="489"/>
      <c r="E1246" s="465"/>
      <c r="F1246" s="466"/>
      <c r="G1246" s="620"/>
      <c r="H1246" s="464"/>
      <c r="I1246" s="467"/>
      <c r="J1246" s="468"/>
      <c r="K1246" s="574"/>
      <c r="L1246" s="469"/>
      <c r="M1246" s="683"/>
      <c r="N1246" s="470"/>
      <c r="O1246" s="468"/>
      <c r="P1246" s="616"/>
      <c r="Q1246" s="472"/>
      <c r="R1246" s="472"/>
      <c r="S1246" s="1189"/>
      <c r="T1246" s="470"/>
      <c r="U1246" s="612"/>
      <c r="V1246" s="464"/>
      <c r="W1246" s="612"/>
      <c r="X1246" s="473"/>
      <c r="Y1246" s="478"/>
      <c r="Z1246" s="449"/>
      <c r="AA1246" s="573"/>
      <c r="AB1246" s="476"/>
      <c r="AC1246" s="476"/>
      <c r="AD1246" s="568"/>
      <c r="AE1246" s="476"/>
      <c r="AF1246" s="568"/>
      <c r="AG1246" s="476"/>
      <c r="AH1246" s="476"/>
      <c r="AI1246" s="477"/>
      <c r="AJ1246" s="478"/>
      <c r="AK1246" s="479"/>
      <c r="AL1246" s="480"/>
      <c r="AM1246" s="474"/>
      <c r="AN1246" s="481"/>
      <c r="AO1246" s="474"/>
      <c r="AP1246" s="476"/>
      <c r="AQ1246" s="482"/>
      <c r="AR1246" s="478"/>
      <c r="AS1246" s="478"/>
      <c r="AT1246" s="476"/>
      <c r="AU1246" s="482"/>
      <c r="AV1246" s="478"/>
      <c r="AW1246" s="483"/>
      <c r="AX1246" s="476"/>
      <c r="AY1246" s="482"/>
      <c r="AZ1246" s="478"/>
      <c r="BA1246" s="484"/>
      <c r="BB1246" s="474"/>
      <c r="BC1246" s="485"/>
      <c r="BD1246" s="485"/>
      <c r="BG1246" s="487"/>
    </row>
    <row r="1247" spans="1:59" s="526" customFormat="1" ht="18" customHeight="1" x14ac:dyDescent="0.2">
      <c r="A1247" s="1370" t="s">
        <v>4184</v>
      </c>
      <c r="B1247" s="1956" t="s">
        <v>4184</v>
      </c>
      <c r="C1247" s="1957"/>
      <c r="D1247" s="1957"/>
      <c r="E1247" s="1957"/>
      <c r="F1247" s="1958"/>
      <c r="G1247" s="621">
        <f>SUM(G1233:G1246)</f>
        <v>470623120.774719</v>
      </c>
      <c r="H1247" s="505"/>
      <c r="I1247" s="506"/>
      <c r="J1247" s="507"/>
      <c r="K1247" s="507"/>
      <c r="L1247" s="505"/>
      <c r="M1247" s="684"/>
      <c r="N1247" s="508"/>
      <c r="O1247" s="507"/>
      <c r="P1247" s="749"/>
      <c r="Q1247" s="510"/>
      <c r="R1247" s="511"/>
      <c r="S1247" s="512"/>
      <c r="T1247" s="512"/>
      <c r="U1247" s="610">
        <f>SUM(U1233:U1246)</f>
        <v>470623120.77471912</v>
      </c>
      <c r="V1247" s="513"/>
      <c r="W1247" s="610">
        <f>G1247-U1247</f>
        <v>0</v>
      </c>
      <c r="X1247" s="514"/>
      <c r="Y1247" s="515"/>
      <c r="Z1247" s="515"/>
      <c r="AA1247" s="515"/>
      <c r="AB1247" s="515"/>
      <c r="AC1247" s="515"/>
      <c r="AD1247" s="570"/>
      <c r="AE1247" s="515"/>
      <c r="AF1247" s="570">
        <v>12669166450.572229</v>
      </c>
      <c r="AG1247" s="515"/>
      <c r="AH1247" s="515"/>
      <c r="AI1247" s="516"/>
      <c r="AJ1247" s="517"/>
      <c r="AK1247" s="518"/>
      <c r="AL1247" s="519"/>
      <c r="AM1247" s="520"/>
      <c r="AN1247" s="521"/>
      <c r="AO1247" s="520"/>
      <c r="AP1247" s="515"/>
      <c r="AQ1247" s="522"/>
      <c r="AR1247" s="517"/>
      <c r="AS1247" s="517"/>
      <c r="AT1247" s="515"/>
      <c r="AU1247" s="522"/>
      <c r="AV1247" s="517"/>
      <c r="AW1247" s="523"/>
      <c r="AX1247" s="515"/>
      <c r="AY1247" s="522"/>
      <c r="AZ1247" s="517"/>
      <c r="BA1247" s="524"/>
      <c r="BB1247" s="520"/>
      <c r="BC1247" s="525"/>
      <c r="BD1247" s="525"/>
      <c r="BG1247" s="527"/>
    </row>
    <row r="1250" spans="1:59" s="422" customFormat="1" ht="18" customHeight="1" x14ac:dyDescent="0.2">
      <c r="A1250" s="1366">
        <f>C1250</f>
        <v>229</v>
      </c>
      <c r="B1250" s="742" t="s">
        <v>4187</v>
      </c>
      <c r="C1250" s="556">
        <v>229</v>
      </c>
      <c r="D1250" s="553" t="str">
        <f>VLOOKUP(C1250,RUAS,2,FALSE)</f>
        <v>SIMP. HANDOYO - SUMBER DATAR</v>
      </c>
      <c r="E1250" s="553"/>
      <c r="F1250" s="421"/>
      <c r="G1250" s="611"/>
      <c r="I1250" s="423"/>
      <c r="J1250" s="424"/>
      <c r="K1250" s="424"/>
      <c r="M1250" s="680"/>
      <c r="P1250" s="611"/>
      <c r="U1250" s="611"/>
      <c r="W1250" s="611"/>
      <c r="Y1250" s="425"/>
      <c r="Z1250" s="425"/>
      <c r="AA1250" s="425"/>
      <c r="AB1250" s="425"/>
      <c r="AC1250" s="425"/>
      <c r="AD1250" s="563"/>
      <c r="AE1250" s="425"/>
      <c r="AF1250" s="563"/>
      <c r="AG1250" s="425"/>
      <c r="AH1250" s="425"/>
      <c r="AI1250" s="425"/>
      <c r="AJ1250" s="425"/>
      <c r="AK1250" s="425"/>
      <c r="AL1250" s="425"/>
      <c r="AM1250" s="425"/>
      <c r="AN1250" s="425"/>
      <c r="AO1250" s="425"/>
      <c r="AP1250" s="425"/>
      <c r="AQ1250" s="425"/>
      <c r="AR1250" s="425"/>
      <c r="AS1250" s="425"/>
      <c r="AT1250" s="425"/>
      <c r="AU1250" s="425"/>
      <c r="AV1250" s="425"/>
      <c r="AW1250" s="425"/>
      <c r="AX1250" s="425"/>
      <c r="AY1250" s="425"/>
      <c r="AZ1250" s="425"/>
      <c r="BA1250" s="425"/>
      <c r="BB1250" s="425"/>
    </row>
    <row r="1251" spans="1:59" s="431" customFormat="1" ht="18" customHeight="1" x14ac:dyDescent="0.2">
      <c r="A1251" s="1367"/>
      <c r="B1251" s="1968" t="s">
        <v>5</v>
      </c>
      <c r="C1251" s="1968" t="s">
        <v>2280</v>
      </c>
      <c r="D1251" s="1968" t="s">
        <v>4157</v>
      </c>
      <c r="E1251" s="1968" t="s">
        <v>4158</v>
      </c>
      <c r="F1251" s="1968"/>
      <c r="G1251" s="2042" t="s">
        <v>4159</v>
      </c>
      <c r="H1251" s="1968" t="s">
        <v>4160</v>
      </c>
      <c r="I1251" s="1968"/>
      <c r="J1251" s="1968" t="s">
        <v>4185</v>
      </c>
      <c r="K1251" s="1964" t="s">
        <v>4162</v>
      </c>
      <c r="L1251" s="1968" t="s">
        <v>4163</v>
      </c>
      <c r="M1251" s="1971" t="s">
        <v>4164</v>
      </c>
      <c r="N1251" s="1962" t="s">
        <v>4165</v>
      </c>
      <c r="O1251" s="1968" t="s">
        <v>4166</v>
      </c>
      <c r="P1251" s="1972" t="s">
        <v>4167</v>
      </c>
      <c r="Q1251" s="1973"/>
      <c r="R1251" s="636" t="s">
        <v>4186</v>
      </c>
      <c r="S1251" s="1972" t="s">
        <v>4169</v>
      </c>
      <c r="T1251" s="1974"/>
      <c r="U1251" s="1973"/>
      <c r="V1251" s="1975" t="s">
        <v>4170</v>
      </c>
      <c r="W1251" s="1975"/>
      <c r="X1251" s="1960" t="s">
        <v>4171</v>
      </c>
      <c r="Y1251" s="1959"/>
      <c r="Z1251" s="633"/>
      <c r="AA1251" s="426"/>
      <c r="AB1251" s="426"/>
      <c r="AC1251" s="426"/>
      <c r="AD1251" s="564"/>
      <c r="AE1251" s="426"/>
      <c r="AF1251" s="564"/>
      <c r="AG1251" s="426"/>
      <c r="AH1251" s="426"/>
      <c r="AI1251" s="427"/>
      <c r="AJ1251" s="427"/>
      <c r="AK1251" s="427"/>
      <c r="AL1251" s="427"/>
      <c r="AM1251" s="428"/>
      <c r="AN1251" s="427"/>
      <c r="AO1251" s="427"/>
      <c r="AP1251" s="426"/>
      <c r="AQ1251" s="427"/>
      <c r="AR1251" s="427"/>
      <c r="AS1251" s="427"/>
      <c r="AT1251" s="426"/>
      <c r="AU1251" s="427"/>
      <c r="AV1251" s="427"/>
      <c r="AW1251" s="427"/>
      <c r="AX1251" s="426"/>
      <c r="AY1251" s="427"/>
      <c r="AZ1251" s="427"/>
      <c r="BA1251" s="427"/>
      <c r="BB1251" s="429"/>
      <c r="BC1251" s="430"/>
      <c r="BD1251" s="430"/>
    </row>
    <row r="1252" spans="1:59" s="431" customFormat="1" ht="18" customHeight="1" x14ac:dyDescent="0.2">
      <c r="A1252" s="1367"/>
      <c r="B1252" s="1968"/>
      <c r="C1252" s="1968"/>
      <c r="D1252" s="1968"/>
      <c r="E1252" s="1968"/>
      <c r="F1252" s="1968"/>
      <c r="G1252" s="2042"/>
      <c r="H1252" s="1968"/>
      <c r="I1252" s="1968"/>
      <c r="J1252" s="1968"/>
      <c r="K1252" s="1970"/>
      <c r="L1252" s="1968"/>
      <c r="M1252" s="1971"/>
      <c r="N1252" s="1963"/>
      <c r="O1252" s="1968"/>
      <c r="P1252" s="2037" t="s">
        <v>4172</v>
      </c>
      <c r="Q1252" s="1960" t="s">
        <v>4173</v>
      </c>
      <c r="R1252" s="1962" t="s">
        <v>4159</v>
      </c>
      <c r="S1252" s="1962" t="s">
        <v>4174</v>
      </c>
      <c r="T1252" s="1964" t="s">
        <v>4175</v>
      </c>
      <c r="U1252" s="1966" t="s">
        <v>4159</v>
      </c>
      <c r="V1252" s="1975"/>
      <c r="W1252" s="1975"/>
      <c r="X1252" s="1976"/>
      <c r="Y1252" s="1959"/>
      <c r="Z1252" s="633"/>
      <c r="AA1252" s="426"/>
      <c r="AB1252" s="426"/>
      <c r="AC1252" s="426"/>
      <c r="AD1252" s="564"/>
      <c r="AE1252" s="426"/>
      <c r="AF1252" s="564"/>
      <c r="AG1252" s="426"/>
      <c r="AH1252" s="426"/>
      <c r="AI1252" s="427"/>
      <c r="AJ1252" s="427"/>
      <c r="AK1252" s="426"/>
      <c r="AL1252" s="427"/>
      <c r="AM1252" s="428"/>
      <c r="AN1252" s="427"/>
      <c r="AO1252" s="427"/>
      <c r="AP1252" s="432"/>
      <c r="AQ1252" s="427"/>
      <c r="AR1252" s="427"/>
      <c r="AS1252" s="427"/>
      <c r="AT1252" s="432"/>
      <c r="AU1252" s="427"/>
      <c r="AV1252" s="427"/>
      <c r="AW1252" s="427"/>
      <c r="AX1252" s="432"/>
      <c r="AY1252" s="427"/>
      <c r="AZ1252" s="427"/>
      <c r="BA1252" s="427"/>
      <c r="BB1252" s="429"/>
      <c r="BC1252" s="430"/>
      <c r="BD1252" s="430"/>
    </row>
    <row r="1253" spans="1:59" s="431" customFormat="1" ht="18" customHeight="1" x14ac:dyDescent="0.2">
      <c r="A1253" s="1367"/>
      <c r="B1253" s="1968"/>
      <c r="C1253" s="1968"/>
      <c r="D1253" s="1968"/>
      <c r="E1253" s="433" t="s">
        <v>4176</v>
      </c>
      <c r="F1253" s="434" t="s">
        <v>2288</v>
      </c>
      <c r="G1253" s="2042"/>
      <c r="H1253" s="635" t="s">
        <v>2288</v>
      </c>
      <c r="I1253" s="635" t="s">
        <v>4177</v>
      </c>
      <c r="J1253" s="1968"/>
      <c r="K1253" s="1965"/>
      <c r="L1253" s="435" t="s">
        <v>2288</v>
      </c>
      <c r="M1253" s="681" t="s">
        <v>2288</v>
      </c>
      <c r="N1253" s="635" t="s">
        <v>2288</v>
      </c>
      <c r="O1253" s="1968"/>
      <c r="P1253" s="2038"/>
      <c r="Q1253" s="1961"/>
      <c r="R1253" s="1963"/>
      <c r="S1253" s="1963"/>
      <c r="T1253" s="1965"/>
      <c r="U1253" s="1967"/>
      <c r="V1253" s="635" t="s">
        <v>4178</v>
      </c>
      <c r="W1253" s="637" t="s">
        <v>4159</v>
      </c>
      <c r="X1253" s="1961"/>
      <c r="Y1253" s="436"/>
      <c r="Z1253" s="436"/>
      <c r="AA1253" s="426"/>
      <c r="AB1253" s="426"/>
      <c r="AC1253" s="426"/>
      <c r="AD1253" s="564"/>
      <c r="AE1253" s="426"/>
      <c r="AF1253" s="564"/>
      <c r="AG1253" s="426"/>
      <c r="AH1253" s="426"/>
      <c r="AI1253" s="427"/>
      <c r="AJ1253" s="432"/>
      <c r="AK1253" s="432"/>
      <c r="AL1253" s="427"/>
      <c r="AM1253" s="428"/>
      <c r="AN1253" s="432"/>
      <c r="AO1253" s="427"/>
      <c r="AP1253" s="432"/>
      <c r="AQ1253" s="432"/>
      <c r="AR1253" s="427"/>
      <c r="AS1253" s="427"/>
      <c r="AT1253" s="432"/>
      <c r="AU1253" s="432"/>
      <c r="AV1253" s="427"/>
      <c r="AW1253" s="427"/>
      <c r="AX1253" s="432"/>
      <c r="AY1253" s="432"/>
      <c r="AZ1253" s="427"/>
      <c r="BA1253" s="427"/>
      <c r="BB1253" s="429"/>
      <c r="BC1253" s="430"/>
      <c r="BD1253" s="430"/>
    </row>
    <row r="1254" spans="1:59" s="461" customFormat="1" ht="18" customHeight="1" x14ac:dyDescent="0.2">
      <c r="A1254" s="1368" t="str">
        <f>$D$1250&amp;S1254</f>
        <v>SIMP. HANDOYO - SUMBER DATAR2001</v>
      </c>
      <c r="B1254" s="1373">
        <v>1</v>
      </c>
      <c r="C1254" s="532" t="s">
        <v>529</v>
      </c>
      <c r="D1254" s="437" t="s">
        <v>3821</v>
      </c>
      <c r="E1254" s="438"/>
      <c r="F1254" s="439">
        <v>2001</v>
      </c>
      <c r="G1254" s="623">
        <v>16170000000</v>
      </c>
      <c r="H1254" s="440">
        <f>VLOOKUP(LEFT(D1254,8),UE,4)</f>
        <v>10</v>
      </c>
      <c r="I1254" s="441"/>
      <c r="J1254" s="442">
        <f>F1254+N1254-1</f>
        <v>2010</v>
      </c>
      <c r="K1254" s="443"/>
      <c r="L1254" s="440"/>
      <c r="M1254" s="746">
        <f>IF(H1254+L1254&gt;$H1254,$H1254-H1254,L1254)</f>
        <v>0</v>
      </c>
      <c r="N1254" s="444">
        <f>H1254+M1254</f>
        <v>10</v>
      </c>
      <c r="O1254" s="442">
        <f>F1254+N1254-1</f>
        <v>2010</v>
      </c>
      <c r="P1254" s="617">
        <f>G1254</f>
        <v>16170000000</v>
      </c>
      <c r="Q1254" s="445">
        <v>0</v>
      </c>
      <c r="R1254" s="445">
        <f>P1254/N1254</f>
        <v>1617000000</v>
      </c>
      <c r="S1254" s="446">
        <f>F1254</f>
        <v>2001</v>
      </c>
      <c r="T1254" s="447">
        <v>1</v>
      </c>
      <c r="U1254" s="613">
        <f>R1254*T1254</f>
        <v>1617000000</v>
      </c>
      <c r="V1254" s="442">
        <f>F1254</f>
        <v>2001</v>
      </c>
      <c r="W1254" s="617">
        <f>IF(OR(AND(ISBLANK(E1254),ISBLANK(G1254)),ISTEXT(E1254),ISTEXT(G1254)),"",G1254-R1254)</f>
        <v>14553000000</v>
      </c>
      <c r="X1254" s="448"/>
      <c r="Y1254" s="449"/>
      <c r="Z1254" s="449"/>
      <c r="AA1254" s="693"/>
      <c r="AB1254" s="452"/>
      <c r="AC1254" s="452"/>
      <c r="AD1254" s="571"/>
      <c r="AE1254" s="452"/>
      <c r="AF1254" s="571"/>
      <c r="AG1254" s="452"/>
      <c r="AH1254" s="452"/>
      <c r="AI1254" s="453"/>
      <c r="AJ1254" s="449"/>
      <c r="AK1254" s="453"/>
      <c r="AL1254" s="454"/>
      <c r="AM1254" s="455"/>
      <c r="AN1254" s="456"/>
      <c r="AO1254" s="455"/>
      <c r="AP1254" s="452"/>
      <c r="AQ1254" s="457"/>
      <c r="AR1254" s="449"/>
      <c r="AS1254" s="449"/>
      <c r="AT1254" s="452"/>
      <c r="AU1254" s="457"/>
      <c r="AV1254" s="449"/>
      <c r="AW1254" s="458"/>
      <c r="AX1254" s="452"/>
      <c r="AY1254" s="457"/>
      <c r="AZ1254" s="449"/>
      <c r="BA1254" s="459"/>
      <c r="BB1254" s="455"/>
      <c r="BC1254" s="460"/>
      <c r="BD1254" s="460"/>
      <c r="BG1254" s="462"/>
    </row>
    <row r="1255" spans="1:59" s="461" customFormat="1" ht="18" customHeight="1" x14ac:dyDescent="0.2">
      <c r="A1255" s="1368" t="str">
        <f t="shared" ref="A1255:A1267" si="943">$D$1250&amp;S1255</f>
        <v>SIMP. HANDOYO - SUMBER DATAR2006</v>
      </c>
      <c r="B1255" s="1373"/>
      <c r="C1255" s="488"/>
      <c r="D1255" s="489"/>
      <c r="E1255" s="558"/>
      <c r="F1255" s="559">
        <v>2006</v>
      </c>
      <c r="G1255" s="619">
        <v>0</v>
      </c>
      <c r="H1255" s="464">
        <f>IF(N1254-(F1255-F1254)&lt;=0,0,(N1254-(F1255-F1254)))</f>
        <v>5</v>
      </c>
      <c r="I1255" s="467"/>
      <c r="J1255" s="468">
        <f>F1255+N1255-1</f>
        <v>2010</v>
      </c>
      <c r="K1255" s="490">
        <f>IF(G1255=0,0,IF(H1255=10,100%,G1255/W1254))</f>
        <v>0</v>
      </c>
      <c r="L1255" s="469">
        <f>IF(K1255=0%,0,IF(K1255&lt;=30%,2,IF(K1255&lt;=60%,5,10)))</f>
        <v>0</v>
      </c>
      <c r="M1255" s="683">
        <f>IF(OR(AND(ISBLANK(E1255),ISBLANK(G1255)),ISTEXT(E1255),ISTEXT(G1255)),"",IF(H1255+L1255&gt;$H$8,$H$8-H1255,L1255))</f>
        <v>0</v>
      </c>
      <c r="N1255" s="470">
        <f>IF(OR(AND(ISBLANK(F1255),ISBLANK(G1255)),ISTEXT(F1255),ISTEXT(G1255)),"",H1255+M1255)</f>
        <v>5</v>
      </c>
      <c r="O1255" s="468">
        <f>F1255+N1255-1</f>
        <v>2010</v>
      </c>
      <c r="P1255" s="616">
        <f>W1254</f>
        <v>14553000000</v>
      </c>
      <c r="Q1255" s="472">
        <f>P1255+G1255</f>
        <v>14553000000</v>
      </c>
      <c r="R1255" s="472">
        <f>IF(L1255=0,R1254,Q1255/N1255)</f>
        <v>1617000000</v>
      </c>
      <c r="S1255" s="634">
        <f>F1255</f>
        <v>2006</v>
      </c>
      <c r="T1255" s="470">
        <f>S1255-S1254</f>
        <v>5</v>
      </c>
      <c r="U1255" s="612">
        <f>R1255*T1255</f>
        <v>8085000000</v>
      </c>
      <c r="V1255" s="464">
        <f>F1255</f>
        <v>2006</v>
      </c>
      <c r="W1255" s="612">
        <f>IF(OR(AND(ISBLANK(E1255),ISBLANK(G1255)),ISTEXT(E1255),ISTEXT(G1255)),"",Q1255-U1255)</f>
        <v>6468000000</v>
      </c>
      <c r="X1255" s="561"/>
      <c r="Y1255" s="449"/>
      <c r="Z1255" s="449"/>
      <c r="AA1255" s="693"/>
      <c r="AB1255" s="452"/>
      <c r="AC1255" s="452"/>
      <c r="AD1255" s="571"/>
      <c r="AE1255" s="452"/>
      <c r="AF1255" s="571"/>
      <c r="AG1255" s="452"/>
      <c r="AH1255" s="452"/>
      <c r="AI1255" s="453"/>
      <c r="AJ1255" s="449"/>
      <c r="AK1255" s="453"/>
      <c r="AL1255" s="454"/>
      <c r="AM1255" s="455"/>
      <c r="AN1255" s="456"/>
      <c r="AO1255" s="455"/>
      <c r="AP1255" s="452"/>
      <c r="AQ1255" s="457"/>
      <c r="AR1255" s="449"/>
      <c r="AS1255" s="449"/>
      <c r="AT1255" s="452"/>
      <c r="AU1255" s="457"/>
      <c r="AV1255" s="449"/>
      <c r="AW1255" s="458"/>
      <c r="AX1255" s="452"/>
      <c r="AY1255" s="457"/>
      <c r="AZ1255" s="449"/>
      <c r="BA1255" s="459"/>
      <c r="BB1255" s="455"/>
      <c r="BC1255" s="460"/>
      <c r="BD1255" s="460"/>
      <c r="BG1255" s="462"/>
    </row>
    <row r="1256" spans="1:59" s="461" customFormat="1" ht="18" customHeight="1" x14ac:dyDescent="0.2">
      <c r="A1256" s="1368" t="str">
        <f t="shared" si="943"/>
        <v>SIMP. HANDOYO - SUMBER DATAR2007</v>
      </c>
      <c r="B1256" s="1373">
        <v>2</v>
      </c>
      <c r="C1256" s="488" t="s">
        <v>1175</v>
      </c>
      <c r="D1256" s="489"/>
      <c r="E1256" s="558"/>
      <c r="F1256" s="559">
        <v>2007</v>
      </c>
      <c r="G1256" s="619">
        <f>631947584.816713+442451120.538846</f>
        <v>1074398705.3555589</v>
      </c>
      <c r="H1256" s="464">
        <f t="shared" ref="H1256:H1267" si="944">IF(N1255-(F1256-F1255)&lt;=0,0,(N1255-(F1256-F1255)))</f>
        <v>4</v>
      </c>
      <c r="I1256" s="467"/>
      <c r="J1256" s="468">
        <f t="shared" ref="J1256:J1267" si="945">F1256+N1256-1</f>
        <v>2012</v>
      </c>
      <c r="K1256" s="490">
        <f t="shared" ref="K1256:K1267" si="946">IF(G1256=0,0,IF(H1256=10,100%,G1256/W1255))</f>
        <v>0.16610988023431647</v>
      </c>
      <c r="L1256" s="469">
        <f t="shared" ref="L1256:L1267" si="947">IF(K1256=0%,0,IF(K1256&lt;=30%,2,IF(K1256&lt;=60%,5,10)))</f>
        <v>2</v>
      </c>
      <c r="M1256" s="683">
        <f t="shared" ref="M1256:M1267" si="948">IF(OR(AND(ISBLANK(E1256),ISBLANK(G1256)),ISTEXT(E1256),ISTEXT(G1256)),"",IF(H1256+L1256&gt;$H$8,$H$8-H1256,L1256))</f>
        <v>2</v>
      </c>
      <c r="N1256" s="470">
        <f t="shared" ref="N1256:N1267" si="949">IF(OR(AND(ISBLANK(F1256),ISBLANK(G1256)),ISTEXT(F1256),ISTEXT(G1256)),"",H1256+M1256)</f>
        <v>6</v>
      </c>
      <c r="O1256" s="468">
        <f t="shared" ref="O1256:O1267" si="950">F1256+N1256-1</f>
        <v>2012</v>
      </c>
      <c r="P1256" s="616">
        <f t="shared" ref="P1256:P1267" si="951">W1255</f>
        <v>6468000000</v>
      </c>
      <c r="Q1256" s="472">
        <f t="shared" ref="Q1256:Q1267" si="952">P1256+G1256</f>
        <v>7542398705.3555584</v>
      </c>
      <c r="R1256" s="472">
        <f t="shared" ref="R1256:R1267" si="953">IF(L1256=0,R1255,Q1256/N1256)</f>
        <v>1257066450.8925931</v>
      </c>
      <c r="S1256" s="1189">
        <f t="shared" ref="S1256:S1267" si="954">F1256</f>
        <v>2007</v>
      </c>
      <c r="T1256" s="470">
        <f t="shared" ref="T1256:T1267" si="955">S1256-S1255</f>
        <v>1</v>
      </c>
      <c r="U1256" s="612">
        <f t="shared" ref="U1256:U1267" si="956">R1256*T1256</f>
        <v>1257066450.8925931</v>
      </c>
      <c r="V1256" s="464">
        <f t="shared" ref="V1256:V1267" si="957">F1256</f>
        <v>2007</v>
      </c>
      <c r="W1256" s="612">
        <f t="shared" ref="W1256:W1267" si="958">IF(OR(AND(ISBLANK(E1256),ISBLANK(G1256)),ISTEXT(E1256),ISTEXT(G1256)),"",Q1256-U1256)</f>
        <v>6285332254.462965</v>
      </c>
      <c r="X1256" s="561"/>
      <c r="Y1256" s="449"/>
      <c r="Z1256" s="449"/>
      <c r="AA1256" s="693"/>
      <c r="AB1256" s="452"/>
      <c r="AC1256" s="452"/>
      <c r="AD1256" s="571"/>
      <c r="AE1256" s="452"/>
      <c r="AF1256" s="571"/>
      <c r="AG1256" s="452"/>
      <c r="AH1256" s="452"/>
      <c r="AI1256" s="453"/>
      <c r="AJ1256" s="449"/>
      <c r="AK1256" s="453"/>
      <c r="AL1256" s="454"/>
      <c r="AM1256" s="455"/>
      <c r="AN1256" s="456"/>
      <c r="AO1256" s="455"/>
      <c r="AP1256" s="452"/>
      <c r="AQ1256" s="457"/>
      <c r="AR1256" s="449"/>
      <c r="AS1256" s="449"/>
      <c r="AT1256" s="452"/>
      <c r="AU1256" s="457"/>
      <c r="AV1256" s="449"/>
      <c r="AW1256" s="458"/>
      <c r="AX1256" s="452"/>
      <c r="AY1256" s="457"/>
      <c r="AZ1256" s="449"/>
      <c r="BA1256" s="459"/>
      <c r="BB1256" s="455"/>
      <c r="BC1256" s="460"/>
      <c r="BD1256" s="460"/>
      <c r="BG1256" s="462"/>
    </row>
    <row r="1257" spans="1:59" s="461" customFormat="1" ht="18" customHeight="1" x14ac:dyDescent="0.2">
      <c r="A1257" s="1368" t="str">
        <f t="shared" si="943"/>
        <v>SIMP. HANDOYO - SUMBER DATAR2009</v>
      </c>
      <c r="B1257" s="1373"/>
      <c r="C1257" s="488"/>
      <c r="D1257" s="489"/>
      <c r="E1257" s="558"/>
      <c r="F1257" s="559">
        <v>2009</v>
      </c>
      <c r="G1257" s="619">
        <v>0</v>
      </c>
      <c r="H1257" s="464">
        <f t="shared" si="944"/>
        <v>4</v>
      </c>
      <c r="I1257" s="467"/>
      <c r="J1257" s="468">
        <f t="shared" si="945"/>
        <v>2012</v>
      </c>
      <c r="K1257" s="490">
        <f t="shared" si="946"/>
        <v>0</v>
      </c>
      <c r="L1257" s="469">
        <f t="shared" si="947"/>
        <v>0</v>
      </c>
      <c r="M1257" s="683">
        <f t="shared" si="948"/>
        <v>0</v>
      </c>
      <c r="N1257" s="470">
        <f t="shared" si="949"/>
        <v>4</v>
      </c>
      <c r="O1257" s="468">
        <f t="shared" si="950"/>
        <v>2012</v>
      </c>
      <c r="P1257" s="616">
        <f t="shared" si="951"/>
        <v>6285332254.462965</v>
      </c>
      <c r="Q1257" s="472">
        <f t="shared" si="952"/>
        <v>6285332254.462965</v>
      </c>
      <c r="R1257" s="472">
        <f t="shared" si="953"/>
        <v>1257066450.8925931</v>
      </c>
      <c r="S1257" s="1189">
        <f t="shared" si="954"/>
        <v>2009</v>
      </c>
      <c r="T1257" s="470">
        <f t="shared" si="955"/>
        <v>2</v>
      </c>
      <c r="U1257" s="612">
        <f t="shared" si="956"/>
        <v>2514132901.7851863</v>
      </c>
      <c r="V1257" s="464">
        <f t="shared" si="957"/>
        <v>2009</v>
      </c>
      <c r="W1257" s="612">
        <f t="shared" si="958"/>
        <v>3771199352.6777787</v>
      </c>
      <c r="X1257" s="561"/>
      <c r="Y1257" s="449"/>
      <c r="Z1257" s="449"/>
      <c r="AA1257" s="693"/>
      <c r="AB1257" s="452"/>
      <c r="AC1257" s="452"/>
      <c r="AD1257" s="571"/>
      <c r="AE1257" s="452"/>
      <c r="AF1257" s="571"/>
      <c r="AG1257" s="452"/>
      <c r="AH1257" s="452"/>
      <c r="AI1257" s="453"/>
      <c r="AJ1257" s="449"/>
      <c r="AK1257" s="453"/>
      <c r="AL1257" s="454"/>
      <c r="AM1257" s="455"/>
      <c r="AN1257" s="456"/>
      <c r="AO1257" s="455"/>
      <c r="AP1257" s="452"/>
      <c r="AQ1257" s="457"/>
      <c r="AR1257" s="449"/>
      <c r="AS1257" s="449"/>
      <c r="AT1257" s="452"/>
      <c r="AU1257" s="457"/>
      <c r="AV1257" s="449"/>
      <c r="AW1257" s="458"/>
      <c r="AX1257" s="452"/>
      <c r="AY1257" s="457"/>
      <c r="AZ1257" s="449"/>
      <c r="BA1257" s="459"/>
      <c r="BB1257" s="455"/>
      <c r="BC1257" s="460"/>
      <c r="BD1257" s="460"/>
      <c r="BG1257" s="462"/>
    </row>
    <row r="1258" spans="1:59" s="461" customFormat="1" ht="18" customHeight="1" x14ac:dyDescent="0.2">
      <c r="A1258" s="1368" t="str">
        <f t="shared" si="943"/>
        <v>SIMP. HANDOYO - SUMBER DATAR2010</v>
      </c>
      <c r="B1258" s="1373"/>
      <c r="C1258" s="488"/>
      <c r="D1258" s="489"/>
      <c r="E1258" s="558"/>
      <c r="F1258" s="559">
        <v>2010</v>
      </c>
      <c r="G1258" s="619">
        <v>0</v>
      </c>
      <c r="H1258" s="464">
        <f t="shared" si="944"/>
        <v>3</v>
      </c>
      <c r="I1258" s="467"/>
      <c r="J1258" s="468">
        <f t="shared" si="945"/>
        <v>2012</v>
      </c>
      <c r="K1258" s="490">
        <f t="shared" si="946"/>
        <v>0</v>
      </c>
      <c r="L1258" s="469">
        <f t="shared" si="947"/>
        <v>0</v>
      </c>
      <c r="M1258" s="683">
        <f t="shared" si="948"/>
        <v>0</v>
      </c>
      <c r="N1258" s="470">
        <f t="shared" si="949"/>
        <v>3</v>
      </c>
      <c r="O1258" s="468">
        <f t="shared" si="950"/>
        <v>2012</v>
      </c>
      <c r="P1258" s="616">
        <f t="shared" si="951"/>
        <v>3771199352.6777787</v>
      </c>
      <c r="Q1258" s="472">
        <f t="shared" si="952"/>
        <v>3771199352.6777787</v>
      </c>
      <c r="R1258" s="472">
        <f t="shared" si="953"/>
        <v>1257066450.8925931</v>
      </c>
      <c r="S1258" s="1189">
        <f t="shared" si="954"/>
        <v>2010</v>
      </c>
      <c r="T1258" s="470">
        <f t="shared" si="955"/>
        <v>1</v>
      </c>
      <c r="U1258" s="612">
        <f t="shared" si="956"/>
        <v>1257066450.8925931</v>
      </c>
      <c r="V1258" s="464">
        <f t="shared" si="957"/>
        <v>2010</v>
      </c>
      <c r="W1258" s="612">
        <f t="shared" si="958"/>
        <v>2514132901.7851858</v>
      </c>
      <c r="X1258" s="561"/>
      <c r="Y1258" s="449"/>
      <c r="Z1258" s="449"/>
      <c r="AA1258" s="693"/>
      <c r="AB1258" s="452"/>
      <c r="AC1258" s="452"/>
      <c r="AD1258" s="571"/>
      <c r="AE1258" s="452"/>
      <c r="AF1258" s="571"/>
      <c r="AG1258" s="452"/>
      <c r="AH1258" s="452"/>
      <c r="AI1258" s="453"/>
      <c r="AJ1258" s="449"/>
      <c r="AK1258" s="453"/>
      <c r="AL1258" s="454"/>
      <c r="AM1258" s="455"/>
      <c r="AN1258" s="456"/>
      <c r="AO1258" s="455"/>
      <c r="AP1258" s="452"/>
      <c r="AQ1258" s="457"/>
      <c r="AR1258" s="449"/>
      <c r="AS1258" s="449"/>
      <c r="AT1258" s="452"/>
      <c r="AU1258" s="457"/>
      <c r="AV1258" s="449"/>
      <c r="AW1258" s="458"/>
      <c r="AX1258" s="452"/>
      <c r="AY1258" s="457"/>
      <c r="AZ1258" s="449"/>
      <c r="BA1258" s="459"/>
      <c r="BB1258" s="455"/>
      <c r="BC1258" s="460"/>
      <c r="BD1258" s="460"/>
      <c r="BG1258" s="462"/>
    </row>
    <row r="1259" spans="1:59" s="461" customFormat="1" ht="18" customHeight="1" x14ac:dyDescent="0.2">
      <c r="A1259" s="1368" t="str">
        <f t="shared" si="943"/>
        <v>SIMP. HANDOYO - SUMBER DATAR2011</v>
      </c>
      <c r="B1259" s="1373">
        <v>3</v>
      </c>
      <c r="C1259" s="488" t="s">
        <v>1226</v>
      </c>
      <c r="D1259" s="489"/>
      <c r="E1259" s="558"/>
      <c r="F1259" s="559">
        <v>2011</v>
      </c>
      <c r="G1259" s="619">
        <v>1650335467.45</v>
      </c>
      <c r="H1259" s="464">
        <f t="shared" si="944"/>
        <v>2</v>
      </c>
      <c r="I1259" s="467"/>
      <c r="J1259" s="468">
        <f t="shared" si="945"/>
        <v>2020</v>
      </c>
      <c r="K1259" s="490">
        <f t="shared" si="946"/>
        <v>0.65642332045301277</v>
      </c>
      <c r="L1259" s="469">
        <f t="shared" si="947"/>
        <v>10</v>
      </c>
      <c r="M1259" s="683">
        <f t="shared" si="948"/>
        <v>8</v>
      </c>
      <c r="N1259" s="470">
        <f t="shared" si="949"/>
        <v>10</v>
      </c>
      <c r="O1259" s="468">
        <f t="shared" si="950"/>
        <v>2020</v>
      </c>
      <c r="P1259" s="616">
        <f t="shared" si="951"/>
        <v>2514132901.7851858</v>
      </c>
      <c r="Q1259" s="472">
        <f t="shared" si="952"/>
        <v>4164468369.2351856</v>
      </c>
      <c r="R1259" s="472">
        <f t="shared" si="953"/>
        <v>416446836.92351854</v>
      </c>
      <c r="S1259" s="1189">
        <f t="shared" si="954"/>
        <v>2011</v>
      </c>
      <c r="T1259" s="470">
        <f t="shared" si="955"/>
        <v>1</v>
      </c>
      <c r="U1259" s="612">
        <f t="shared" si="956"/>
        <v>416446836.92351854</v>
      </c>
      <c r="V1259" s="464">
        <f t="shared" si="957"/>
        <v>2011</v>
      </c>
      <c r="W1259" s="612">
        <f t="shared" si="958"/>
        <v>3748021532.311667</v>
      </c>
      <c r="X1259" s="561"/>
      <c r="Y1259" s="449"/>
      <c r="Z1259" s="449"/>
      <c r="AA1259" s="693"/>
      <c r="AB1259" s="452"/>
      <c r="AC1259" s="452"/>
      <c r="AD1259" s="571"/>
      <c r="AE1259" s="452"/>
      <c r="AF1259" s="571"/>
      <c r="AG1259" s="452"/>
      <c r="AH1259" s="452"/>
      <c r="AI1259" s="453"/>
      <c r="AJ1259" s="449"/>
      <c r="AK1259" s="453"/>
      <c r="AL1259" s="454"/>
      <c r="AM1259" s="455"/>
      <c r="AN1259" s="456"/>
      <c r="AO1259" s="455"/>
      <c r="AP1259" s="452"/>
      <c r="AQ1259" s="457"/>
      <c r="AR1259" s="449"/>
      <c r="AS1259" s="449"/>
      <c r="AT1259" s="452"/>
      <c r="AU1259" s="457"/>
      <c r="AV1259" s="449"/>
      <c r="AW1259" s="458"/>
      <c r="AX1259" s="452"/>
      <c r="AY1259" s="457"/>
      <c r="AZ1259" s="449"/>
      <c r="BA1259" s="459"/>
      <c r="BB1259" s="455"/>
      <c r="BC1259" s="460"/>
      <c r="BD1259" s="460"/>
      <c r="BG1259" s="462"/>
    </row>
    <row r="1260" spans="1:59" s="461" customFormat="1" ht="18" customHeight="1" x14ac:dyDescent="0.2">
      <c r="A1260" s="1368" t="str">
        <f t="shared" si="943"/>
        <v>SIMP. HANDOYO - SUMBER DATAR2012</v>
      </c>
      <c r="B1260" s="1373">
        <v>4</v>
      </c>
      <c r="C1260" s="488" t="s">
        <v>5068</v>
      </c>
      <c r="D1260" s="489"/>
      <c r="E1260" s="558"/>
      <c r="F1260" s="559">
        <v>2012</v>
      </c>
      <c r="G1260" s="619">
        <v>1311829019.6666667</v>
      </c>
      <c r="H1260" s="464">
        <f t="shared" si="944"/>
        <v>9</v>
      </c>
      <c r="I1260" s="467"/>
      <c r="J1260" s="468">
        <f t="shared" si="945"/>
        <v>2021</v>
      </c>
      <c r="K1260" s="490">
        <f t="shared" si="946"/>
        <v>0.35000573191946688</v>
      </c>
      <c r="L1260" s="469">
        <f t="shared" si="947"/>
        <v>5</v>
      </c>
      <c r="M1260" s="683">
        <f t="shared" si="948"/>
        <v>1</v>
      </c>
      <c r="N1260" s="470">
        <f t="shared" si="949"/>
        <v>10</v>
      </c>
      <c r="O1260" s="468">
        <f t="shared" si="950"/>
        <v>2021</v>
      </c>
      <c r="P1260" s="616">
        <f t="shared" si="951"/>
        <v>3748021532.311667</v>
      </c>
      <c r="Q1260" s="472">
        <f t="shared" si="952"/>
        <v>5059850551.9783335</v>
      </c>
      <c r="R1260" s="472">
        <f t="shared" si="953"/>
        <v>505985055.19783336</v>
      </c>
      <c r="S1260" s="1189">
        <f t="shared" si="954"/>
        <v>2012</v>
      </c>
      <c r="T1260" s="470">
        <f t="shared" si="955"/>
        <v>1</v>
      </c>
      <c r="U1260" s="612">
        <f t="shared" si="956"/>
        <v>505985055.19783336</v>
      </c>
      <c r="V1260" s="464">
        <f t="shared" si="957"/>
        <v>2012</v>
      </c>
      <c r="W1260" s="612">
        <f t="shared" si="958"/>
        <v>4553865496.7805004</v>
      </c>
      <c r="X1260" s="561"/>
      <c r="Y1260" s="449"/>
      <c r="Z1260" s="449"/>
      <c r="AA1260" s="693"/>
      <c r="AB1260" s="452"/>
      <c r="AC1260" s="452"/>
      <c r="AD1260" s="571"/>
      <c r="AE1260" s="452"/>
      <c r="AF1260" s="571"/>
      <c r="AG1260" s="452"/>
      <c r="AH1260" s="452"/>
      <c r="AI1260" s="453"/>
      <c r="AJ1260" s="449"/>
      <c r="AK1260" s="453"/>
      <c r="AL1260" s="454"/>
      <c r="AM1260" s="455"/>
      <c r="AN1260" s="456"/>
      <c r="AO1260" s="455"/>
      <c r="AP1260" s="452"/>
      <c r="AQ1260" s="457"/>
      <c r="AR1260" s="449"/>
      <c r="AS1260" s="449"/>
      <c r="AT1260" s="452"/>
      <c r="AU1260" s="457"/>
      <c r="AV1260" s="449"/>
      <c r="AW1260" s="458"/>
      <c r="AX1260" s="452"/>
      <c r="AY1260" s="457"/>
      <c r="AZ1260" s="449"/>
      <c r="BA1260" s="459"/>
      <c r="BB1260" s="455"/>
      <c r="BC1260" s="460"/>
      <c r="BD1260" s="460"/>
      <c r="BG1260" s="462"/>
    </row>
    <row r="1261" spans="1:59" s="461" customFormat="1" ht="18" customHeight="1" x14ac:dyDescent="0.2">
      <c r="A1261" s="1368" t="str">
        <f t="shared" si="943"/>
        <v>SIMP. HANDOYO - SUMBER DATAR2013</v>
      </c>
      <c r="B1261" s="1373"/>
      <c r="C1261" s="488"/>
      <c r="D1261" s="489"/>
      <c r="E1261" s="558"/>
      <c r="F1261" s="559">
        <v>2013</v>
      </c>
      <c r="G1261" s="619">
        <v>0</v>
      </c>
      <c r="H1261" s="464">
        <f t="shared" si="944"/>
        <v>9</v>
      </c>
      <c r="I1261" s="467"/>
      <c r="J1261" s="468">
        <f t="shared" si="945"/>
        <v>2021</v>
      </c>
      <c r="K1261" s="490">
        <f t="shared" si="946"/>
        <v>0</v>
      </c>
      <c r="L1261" s="469">
        <f t="shared" si="947"/>
        <v>0</v>
      </c>
      <c r="M1261" s="683">
        <f t="shared" si="948"/>
        <v>0</v>
      </c>
      <c r="N1261" s="470">
        <f t="shared" si="949"/>
        <v>9</v>
      </c>
      <c r="O1261" s="468">
        <f t="shared" si="950"/>
        <v>2021</v>
      </c>
      <c r="P1261" s="616">
        <f t="shared" si="951"/>
        <v>4553865496.7805004</v>
      </c>
      <c r="Q1261" s="472">
        <f t="shared" si="952"/>
        <v>4553865496.7805004</v>
      </c>
      <c r="R1261" s="472">
        <f t="shared" si="953"/>
        <v>505985055.19783336</v>
      </c>
      <c r="S1261" s="1189">
        <f t="shared" si="954"/>
        <v>2013</v>
      </c>
      <c r="T1261" s="470">
        <f t="shared" si="955"/>
        <v>1</v>
      </c>
      <c r="U1261" s="612">
        <f t="shared" si="956"/>
        <v>505985055.19783336</v>
      </c>
      <c r="V1261" s="464">
        <f t="shared" si="957"/>
        <v>2013</v>
      </c>
      <c r="W1261" s="612">
        <f t="shared" si="958"/>
        <v>4047880441.5826669</v>
      </c>
      <c r="X1261" s="561"/>
      <c r="Y1261" s="449"/>
      <c r="Z1261" s="449"/>
      <c r="AA1261" s="694"/>
      <c r="AB1261" s="692"/>
      <c r="AC1261" s="692"/>
      <c r="AD1261" s="695"/>
      <c r="AE1261" s="452"/>
      <c r="AF1261" s="571"/>
      <c r="AG1261" s="452"/>
      <c r="AH1261" s="452"/>
      <c r="AI1261" s="453"/>
      <c r="AJ1261" s="449"/>
      <c r="AK1261" s="453"/>
      <c r="AL1261" s="454"/>
      <c r="AM1261" s="455"/>
      <c r="AN1261" s="456"/>
      <c r="AO1261" s="455"/>
      <c r="AP1261" s="452"/>
      <c r="AQ1261" s="457"/>
      <c r="AR1261" s="449"/>
      <c r="AS1261" s="449"/>
      <c r="AT1261" s="452"/>
      <c r="AU1261" s="457"/>
      <c r="AV1261" s="449"/>
      <c r="AW1261" s="458"/>
      <c r="AX1261" s="452"/>
      <c r="AY1261" s="457"/>
      <c r="AZ1261" s="449"/>
      <c r="BA1261" s="459"/>
      <c r="BB1261" s="455"/>
      <c r="BC1261" s="460"/>
      <c r="BD1261" s="460"/>
      <c r="BG1261" s="462"/>
    </row>
    <row r="1262" spans="1:59" s="461" customFormat="1" ht="18" customHeight="1" x14ac:dyDescent="0.2">
      <c r="A1262" s="1368" t="str">
        <f t="shared" si="943"/>
        <v>SIMP. HANDOYO - SUMBER DATAR2014</v>
      </c>
      <c r="B1262" s="1373">
        <v>5</v>
      </c>
      <c r="C1262" s="488" t="s">
        <v>1315</v>
      </c>
      <c r="D1262" s="489" t="s">
        <v>3821</v>
      </c>
      <c r="E1262" s="558"/>
      <c r="F1262" s="559">
        <v>2014</v>
      </c>
      <c r="G1262" s="619">
        <v>1927376842</v>
      </c>
      <c r="H1262" s="464">
        <f t="shared" si="944"/>
        <v>8</v>
      </c>
      <c r="I1262" s="467"/>
      <c r="J1262" s="468">
        <f t="shared" si="945"/>
        <v>2023</v>
      </c>
      <c r="K1262" s="490">
        <f t="shared" si="946"/>
        <v>0.47614470580717583</v>
      </c>
      <c r="L1262" s="469">
        <f t="shared" si="947"/>
        <v>5</v>
      </c>
      <c r="M1262" s="683">
        <f t="shared" si="948"/>
        <v>2</v>
      </c>
      <c r="N1262" s="470">
        <f t="shared" si="949"/>
        <v>10</v>
      </c>
      <c r="O1262" s="468">
        <f t="shared" si="950"/>
        <v>2023</v>
      </c>
      <c r="P1262" s="616">
        <f t="shared" si="951"/>
        <v>4047880441.5826669</v>
      </c>
      <c r="Q1262" s="472">
        <f t="shared" si="952"/>
        <v>5975257283.5826664</v>
      </c>
      <c r="R1262" s="472">
        <f t="shared" si="953"/>
        <v>597525728.35826659</v>
      </c>
      <c r="S1262" s="1189">
        <f t="shared" si="954"/>
        <v>2014</v>
      </c>
      <c r="T1262" s="470">
        <f t="shared" si="955"/>
        <v>1</v>
      </c>
      <c r="U1262" s="612">
        <f t="shared" si="956"/>
        <v>597525728.35826659</v>
      </c>
      <c r="V1262" s="464">
        <f t="shared" si="957"/>
        <v>2014</v>
      </c>
      <c r="W1262" s="612">
        <f t="shared" si="958"/>
        <v>5377731555.2243996</v>
      </c>
      <c r="X1262" s="561"/>
      <c r="Y1262" s="449"/>
      <c r="Z1262" s="449"/>
      <c r="AA1262" s="554" t="s">
        <v>4179</v>
      </c>
      <c r="AB1262" s="452"/>
      <c r="AC1262" s="452"/>
      <c r="AD1262" s="566"/>
      <c r="AE1262" s="452"/>
      <c r="AF1262" s="571"/>
      <c r="AG1262" s="452"/>
      <c r="AH1262" s="452"/>
      <c r="AI1262" s="453"/>
      <c r="AJ1262" s="449"/>
      <c r="AK1262" s="453"/>
      <c r="AL1262" s="454"/>
      <c r="AM1262" s="455"/>
      <c r="AN1262" s="456"/>
      <c r="AO1262" s="455"/>
      <c r="AP1262" s="452"/>
      <c r="AQ1262" s="457"/>
      <c r="AR1262" s="449"/>
      <c r="AS1262" s="449"/>
      <c r="AT1262" s="452"/>
      <c r="AU1262" s="457"/>
      <c r="AV1262" s="449"/>
      <c r="AW1262" s="458"/>
      <c r="AX1262" s="452"/>
      <c r="AY1262" s="457"/>
      <c r="AZ1262" s="449"/>
      <c r="BA1262" s="459"/>
      <c r="BB1262" s="455"/>
      <c r="BC1262" s="460"/>
      <c r="BD1262" s="460"/>
      <c r="BG1262" s="462"/>
    </row>
    <row r="1263" spans="1:59" s="461" customFormat="1" ht="18" customHeight="1" x14ac:dyDescent="0.2">
      <c r="A1263" s="1368" t="str">
        <f t="shared" si="943"/>
        <v>SIMP. HANDOYO - SUMBER DATAR2015</v>
      </c>
      <c r="B1263" s="1373"/>
      <c r="C1263" s="488"/>
      <c r="D1263" s="489"/>
      <c r="E1263" s="558"/>
      <c r="F1263" s="559">
        <v>2015</v>
      </c>
      <c r="G1263" s="619">
        <v>0</v>
      </c>
      <c r="H1263" s="464">
        <f t="shared" si="944"/>
        <v>9</v>
      </c>
      <c r="I1263" s="467"/>
      <c r="J1263" s="468">
        <f t="shared" si="945"/>
        <v>2023</v>
      </c>
      <c r="K1263" s="490">
        <f t="shared" si="946"/>
        <v>0</v>
      </c>
      <c r="L1263" s="469">
        <f t="shared" si="947"/>
        <v>0</v>
      </c>
      <c r="M1263" s="683">
        <f t="shared" si="948"/>
        <v>0</v>
      </c>
      <c r="N1263" s="470">
        <f t="shared" si="949"/>
        <v>9</v>
      </c>
      <c r="O1263" s="468">
        <f t="shared" si="950"/>
        <v>2023</v>
      </c>
      <c r="P1263" s="616">
        <f t="shared" si="951"/>
        <v>5377731555.2243996</v>
      </c>
      <c r="Q1263" s="472">
        <f t="shared" si="952"/>
        <v>5377731555.2243996</v>
      </c>
      <c r="R1263" s="472">
        <f t="shared" si="953"/>
        <v>597525728.35826659</v>
      </c>
      <c r="S1263" s="1189">
        <f t="shared" si="954"/>
        <v>2015</v>
      </c>
      <c r="T1263" s="470">
        <f t="shared" si="955"/>
        <v>1</v>
      </c>
      <c r="U1263" s="612">
        <f t="shared" si="956"/>
        <v>597525728.35826659</v>
      </c>
      <c r="V1263" s="464">
        <f t="shared" si="957"/>
        <v>2015</v>
      </c>
      <c r="W1263" s="612">
        <f t="shared" si="958"/>
        <v>4780205826.8661327</v>
      </c>
      <c r="X1263" s="561"/>
      <c r="Y1263" s="449"/>
      <c r="Z1263" s="449"/>
      <c r="AA1263" s="554"/>
      <c r="AB1263" s="452"/>
      <c r="AC1263" s="452"/>
      <c r="AD1263" s="566"/>
      <c r="AE1263" s="452"/>
      <c r="AF1263" s="571"/>
      <c r="AG1263" s="452"/>
      <c r="AH1263" s="452"/>
      <c r="AI1263" s="453"/>
      <c r="AJ1263" s="449"/>
      <c r="AK1263" s="453"/>
      <c r="AL1263" s="454"/>
      <c r="AM1263" s="455"/>
      <c r="AN1263" s="456"/>
      <c r="AO1263" s="455"/>
      <c r="AP1263" s="452"/>
      <c r="AQ1263" s="457"/>
      <c r="AR1263" s="449"/>
      <c r="AS1263" s="449"/>
      <c r="AT1263" s="452"/>
      <c r="AU1263" s="457"/>
      <c r="AV1263" s="449"/>
      <c r="AW1263" s="458"/>
      <c r="AX1263" s="452"/>
      <c r="AY1263" s="457"/>
      <c r="AZ1263" s="449"/>
      <c r="BA1263" s="459"/>
      <c r="BB1263" s="455"/>
      <c r="BC1263" s="460"/>
      <c r="BD1263" s="460"/>
      <c r="BG1263" s="462"/>
    </row>
    <row r="1264" spans="1:59" s="486" customFormat="1" ht="18" customHeight="1" x14ac:dyDescent="0.2">
      <c r="A1264" s="1368" t="str">
        <f t="shared" si="943"/>
        <v>SIMP. HANDOYO - SUMBER DATAR2016</v>
      </c>
      <c r="B1264" s="1373"/>
      <c r="C1264" s="488"/>
      <c r="D1264" s="489"/>
      <c r="E1264" s="558"/>
      <c r="F1264" s="559">
        <v>2016</v>
      </c>
      <c r="G1264" s="619">
        <v>0</v>
      </c>
      <c r="H1264" s="464">
        <f t="shared" si="944"/>
        <v>8</v>
      </c>
      <c r="I1264" s="467"/>
      <c r="J1264" s="468">
        <f t="shared" si="945"/>
        <v>2023</v>
      </c>
      <c r="K1264" s="490">
        <f t="shared" si="946"/>
        <v>0</v>
      </c>
      <c r="L1264" s="469">
        <f t="shared" si="947"/>
        <v>0</v>
      </c>
      <c r="M1264" s="683">
        <f t="shared" si="948"/>
        <v>0</v>
      </c>
      <c r="N1264" s="470">
        <f t="shared" si="949"/>
        <v>8</v>
      </c>
      <c r="O1264" s="468">
        <f t="shared" si="950"/>
        <v>2023</v>
      </c>
      <c r="P1264" s="616">
        <f t="shared" si="951"/>
        <v>4780205826.8661327</v>
      </c>
      <c r="Q1264" s="472">
        <f t="shared" si="952"/>
        <v>4780205826.8661327</v>
      </c>
      <c r="R1264" s="472">
        <f t="shared" si="953"/>
        <v>597525728.35826659</v>
      </c>
      <c r="S1264" s="1189">
        <f t="shared" si="954"/>
        <v>2016</v>
      </c>
      <c r="T1264" s="470">
        <f t="shared" si="955"/>
        <v>1</v>
      </c>
      <c r="U1264" s="612">
        <f t="shared" si="956"/>
        <v>597525728.35826659</v>
      </c>
      <c r="V1264" s="464">
        <f t="shared" si="957"/>
        <v>2016</v>
      </c>
      <c r="W1264" s="612">
        <f t="shared" si="958"/>
        <v>4182680098.5078659</v>
      </c>
      <c r="X1264" s="473"/>
      <c r="Y1264" s="474"/>
      <c r="Z1264" s="449"/>
      <c r="AA1264" s="475" t="s">
        <v>4180</v>
      </c>
      <c r="AB1264" s="476"/>
      <c r="AC1264" s="476"/>
      <c r="AD1264" s="567">
        <f>G1269</f>
        <v>24401962700.472229</v>
      </c>
      <c r="AE1264" s="476"/>
      <c r="AF1264" s="568"/>
      <c r="AG1264" s="476"/>
      <c r="AH1264" s="476"/>
      <c r="AI1264" s="477"/>
      <c r="AJ1264" s="478"/>
      <c r="AK1264" s="479"/>
      <c r="AL1264" s="480"/>
      <c r="AM1264" s="474"/>
      <c r="AN1264" s="481"/>
      <c r="AO1264" s="474"/>
      <c r="AP1264" s="476"/>
      <c r="AQ1264" s="482"/>
      <c r="AR1264" s="478"/>
      <c r="AS1264" s="478"/>
      <c r="AT1264" s="476"/>
      <c r="AU1264" s="482"/>
      <c r="AV1264" s="478"/>
      <c r="AW1264" s="483"/>
      <c r="AX1264" s="476"/>
      <c r="AY1264" s="482"/>
      <c r="AZ1264" s="478"/>
      <c r="BA1264" s="484"/>
      <c r="BB1264" s="474"/>
      <c r="BC1264" s="485"/>
      <c r="BD1264" s="485"/>
      <c r="BG1264" s="487"/>
    </row>
    <row r="1265" spans="1:59" s="486" customFormat="1" ht="18" customHeight="1" x14ac:dyDescent="0.2">
      <c r="A1265" s="1368" t="str">
        <f t="shared" si="943"/>
        <v>SIMP. HANDOYO - SUMBER DATAR2017</v>
      </c>
      <c r="B1265" s="1373"/>
      <c r="C1265" s="488"/>
      <c r="D1265" s="489"/>
      <c r="E1265" s="558"/>
      <c r="F1265" s="559">
        <v>2017</v>
      </c>
      <c r="G1265" s="619">
        <v>0</v>
      </c>
      <c r="H1265" s="464">
        <f t="shared" si="944"/>
        <v>7</v>
      </c>
      <c r="I1265" s="467"/>
      <c r="J1265" s="468">
        <f t="shared" si="945"/>
        <v>2023</v>
      </c>
      <c r="K1265" s="490">
        <f t="shared" si="946"/>
        <v>0</v>
      </c>
      <c r="L1265" s="469">
        <f t="shared" si="947"/>
        <v>0</v>
      </c>
      <c r="M1265" s="683">
        <f t="shared" si="948"/>
        <v>0</v>
      </c>
      <c r="N1265" s="470">
        <f t="shared" si="949"/>
        <v>7</v>
      </c>
      <c r="O1265" s="468">
        <f t="shared" si="950"/>
        <v>2023</v>
      </c>
      <c r="P1265" s="616">
        <f t="shared" si="951"/>
        <v>4182680098.5078659</v>
      </c>
      <c r="Q1265" s="472">
        <f t="shared" si="952"/>
        <v>4182680098.5078659</v>
      </c>
      <c r="R1265" s="472">
        <f t="shared" si="953"/>
        <v>597525728.35826659</v>
      </c>
      <c r="S1265" s="1189">
        <f t="shared" si="954"/>
        <v>2017</v>
      </c>
      <c r="T1265" s="470">
        <f t="shared" si="955"/>
        <v>1</v>
      </c>
      <c r="U1265" s="612">
        <f t="shared" si="956"/>
        <v>597525728.35826659</v>
      </c>
      <c r="V1265" s="464">
        <f t="shared" si="957"/>
        <v>2017</v>
      </c>
      <c r="W1265" s="612">
        <f t="shared" si="958"/>
        <v>3585154370.1495991</v>
      </c>
      <c r="X1265" s="473"/>
      <c r="Y1265" s="478"/>
      <c r="Z1265" s="449"/>
      <c r="AA1265" s="475" t="s">
        <v>4181</v>
      </c>
      <c r="AB1265" s="491"/>
      <c r="AC1265" s="491"/>
      <c r="AD1265" s="567">
        <f>U1269</f>
        <v>19719421071.552544</v>
      </c>
      <c r="AE1265" s="491"/>
      <c r="AF1265" s="568"/>
      <c r="AG1265" s="491"/>
      <c r="AH1265" s="491"/>
      <c r="AI1265" s="477"/>
      <c r="AJ1265" s="478"/>
      <c r="AK1265" s="479"/>
      <c r="AL1265" s="480"/>
      <c r="AM1265" s="474"/>
      <c r="AN1265" s="481"/>
      <c r="AO1265" s="474"/>
      <c r="AP1265" s="476"/>
      <c r="AQ1265" s="482"/>
      <c r="AR1265" s="478"/>
      <c r="AS1265" s="478"/>
      <c r="AT1265" s="476"/>
      <c r="AU1265" s="482"/>
      <c r="AV1265" s="478"/>
      <c r="AW1265" s="483"/>
      <c r="AX1265" s="476"/>
      <c r="AY1265" s="482"/>
      <c r="AZ1265" s="478"/>
      <c r="BA1265" s="484"/>
      <c r="BB1265" s="474"/>
      <c r="BC1265" s="485"/>
      <c r="BD1265" s="485"/>
      <c r="BG1265" s="487"/>
    </row>
    <row r="1266" spans="1:59" s="486" customFormat="1" ht="18" customHeight="1" x14ac:dyDescent="0.2">
      <c r="A1266" s="1368" t="str">
        <f t="shared" si="943"/>
        <v>SIMP. HANDOYO - SUMBER DATAR2018</v>
      </c>
      <c r="B1266" s="1373">
        <v>6</v>
      </c>
      <c r="C1266" s="488" t="s">
        <v>3322</v>
      </c>
      <c r="D1266" s="489" t="s">
        <v>3821</v>
      </c>
      <c r="E1266" s="558"/>
      <c r="F1266" s="559">
        <v>2018</v>
      </c>
      <c r="G1266" s="619">
        <v>2268022666</v>
      </c>
      <c r="H1266" s="464">
        <f t="shared" si="944"/>
        <v>6</v>
      </c>
      <c r="I1266" s="467"/>
      <c r="J1266" s="468">
        <f t="shared" si="945"/>
        <v>2027</v>
      </c>
      <c r="K1266" s="490">
        <f t="shared" si="946"/>
        <v>0.63261506530480616</v>
      </c>
      <c r="L1266" s="469">
        <f t="shared" si="947"/>
        <v>10</v>
      </c>
      <c r="M1266" s="683">
        <f t="shared" si="948"/>
        <v>4</v>
      </c>
      <c r="N1266" s="470">
        <f t="shared" si="949"/>
        <v>10</v>
      </c>
      <c r="O1266" s="468">
        <f t="shared" si="950"/>
        <v>2027</v>
      </c>
      <c r="P1266" s="616">
        <f t="shared" si="951"/>
        <v>3585154370.1495991</v>
      </c>
      <c r="Q1266" s="472">
        <f t="shared" si="952"/>
        <v>5853177036.1495991</v>
      </c>
      <c r="R1266" s="472">
        <f t="shared" si="953"/>
        <v>585317703.61495996</v>
      </c>
      <c r="S1266" s="1189">
        <f t="shared" si="954"/>
        <v>2018</v>
      </c>
      <c r="T1266" s="470">
        <f t="shared" si="955"/>
        <v>1</v>
      </c>
      <c r="U1266" s="612">
        <f t="shared" si="956"/>
        <v>585317703.61495996</v>
      </c>
      <c r="V1266" s="464">
        <f t="shared" si="957"/>
        <v>2018</v>
      </c>
      <c r="W1266" s="612">
        <f t="shared" si="958"/>
        <v>5267859332.5346394</v>
      </c>
      <c r="X1266" s="473"/>
      <c r="Y1266" s="478"/>
      <c r="Z1266" s="449"/>
      <c r="AA1266" s="492" t="s">
        <v>4182</v>
      </c>
      <c r="AB1266" s="476"/>
      <c r="AC1266" s="476"/>
      <c r="AD1266" s="567">
        <f>AD1264-AD1265</f>
        <v>4682541628.9196854</v>
      </c>
      <c r="AE1266" s="476"/>
      <c r="AF1266" s="568"/>
      <c r="AG1266" s="476"/>
      <c r="AH1266" s="476"/>
      <c r="AI1266" s="477"/>
      <c r="AJ1266" s="478"/>
      <c r="AK1266" s="479"/>
      <c r="AL1266" s="480"/>
      <c r="AM1266" s="474"/>
      <c r="AN1266" s="481"/>
      <c r="AO1266" s="474"/>
      <c r="AP1266" s="476"/>
      <c r="AQ1266" s="482"/>
      <c r="AR1266" s="478"/>
      <c r="AS1266" s="478"/>
      <c r="AT1266" s="476"/>
      <c r="AU1266" s="482"/>
      <c r="AV1266" s="478"/>
      <c r="AW1266" s="483"/>
      <c r="AX1266" s="476"/>
      <c r="AY1266" s="482"/>
      <c r="AZ1266" s="478"/>
      <c r="BA1266" s="484"/>
      <c r="BB1266" s="474"/>
      <c r="BC1266" s="485"/>
      <c r="BD1266" s="485"/>
      <c r="BG1266" s="487"/>
    </row>
    <row r="1267" spans="1:59" s="486" customFormat="1" ht="18" customHeight="1" x14ac:dyDescent="0.2">
      <c r="A1267" s="1368" t="str">
        <f t="shared" si="943"/>
        <v>SIMP. HANDOYO - SUMBER DATAR2019</v>
      </c>
      <c r="B1267" s="687"/>
      <c r="C1267" s="463"/>
      <c r="D1267" s="489"/>
      <c r="E1267" s="465"/>
      <c r="F1267" s="466">
        <v>2019</v>
      </c>
      <c r="G1267" s="620">
        <v>0</v>
      </c>
      <c r="H1267" s="464">
        <f t="shared" si="944"/>
        <v>9</v>
      </c>
      <c r="I1267" s="467"/>
      <c r="J1267" s="468">
        <f t="shared" si="945"/>
        <v>2027</v>
      </c>
      <c r="K1267" s="490">
        <f t="shared" si="946"/>
        <v>0</v>
      </c>
      <c r="L1267" s="469">
        <f t="shared" si="947"/>
        <v>0</v>
      </c>
      <c r="M1267" s="683">
        <f t="shared" si="948"/>
        <v>0</v>
      </c>
      <c r="N1267" s="470">
        <f t="shared" si="949"/>
        <v>9</v>
      </c>
      <c r="O1267" s="468">
        <f t="shared" si="950"/>
        <v>2027</v>
      </c>
      <c r="P1267" s="616">
        <f t="shared" si="951"/>
        <v>5267859332.5346394</v>
      </c>
      <c r="Q1267" s="472">
        <f t="shared" si="952"/>
        <v>5267859332.5346394</v>
      </c>
      <c r="R1267" s="472">
        <f t="shared" si="953"/>
        <v>585317703.61495996</v>
      </c>
      <c r="S1267" s="1189">
        <f t="shared" si="954"/>
        <v>2019</v>
      </c>
      <c r="T1267" s="470">
        <f t="shared" si="955"/>
        <v>1</v>
      </c>
      <c r="U1267" s="612">
        <f t="shared" si="956"/>
        <v>585317703.61495996</v>
      </c>
      <c r="V1267" s="464">
        <f t="shared" si="957"/>
        <v>2019</v>
      </c>
      <c r="W1267" s="612">
        <f t="shared" si="958"/>
        <v>4682541628.9196796</v>
      </c>
      <c r="X1267" s="473"/>
      <c r="Y1267" s="478"/>
      <c r="Z1267" s="449"/>
      <c r="AA1267" s="531" t="s">
        <v>4183</v>
      </c>
      <c r="AB1267" s="496"/>
      <c r="AC1267" s="496"/>
      <c r="AD1267" s="569">
        <f>AD1266-W1269</f>
        <v>0</v>
      </c>
      <c r="AE1267" s="476"/>
      <c r="AF1267" s="568"/>
      <c r="AG1267" s="476"/>
      <c r="AH1267" s="476"/>
      <c r="AI1267" s="477"/>
      <c r="AJ1267" s="478"/>
      <c r="AK1267" s="479"/>
      <c r="AL1267" s="480"/>
      <c r="AM1267" s="474"/>
      <c r="AN1267" s="481"/>
      <c r="AO1267" s="474"/>
      <c r="AP1267" s="476"/>
      <c r="AQ1267" s="482"/>
      <c r="AR1267" s="478"/>
      <c r="AS1267" s="478"/>
      <c r="AT1267" s="476"/>
      <c r="AU1267" s="482"/>
      <c r="AV1267" s="478"/>
      <c r="AW1267" s="483"/>
      <c r="AX1267" s="476"/>
      <c r="AY1267" s="482"/>
      <c r="AZ1267" s="478"/>
      <c r="BA1267" s="484"/>
      <c r="BB1267" s="474"/>
      <c r="BC1267" s="485"/>
      <c r="BD1267" s="485"/>
      <c r="BG1267" s="487"/>
    </row>
    <row r="1268" spans="1:59" s="486" customFormat="1" ht="18" customHeight="1" x14ac:dyDescent="0.2">
      <c r="A1268" s="1368" t="str">
        <f>LEFT(D1268,8)</f>
        <v/>
      </c>
      <c r="B1268" s="687"/>
      <c r="C1268" s="463"/>
      <c r="D1268" s="489"/>
      <c r="E1268" s="465"/>
      <c r="F1268" s="466"/>
      <c r="G1268" s="620"/>
      <c r="H1268" s="464"/>
      <c r="I1268" s="467"/>
      <c r="J1268" s="468"/>
      <c r="K1268" s="574"/>
      <c r="L1268" s="469"/>
      <c r="M1268" s="683"/>
      <c r="N1268" s="470"/>
      <c r="O1268" s="468"/>
      <c r="P1268" s="616"/>
      <c r="Q1268" s="472"/>
      <c r="R1268" s="472"/>
      <c r="S1268" s="634"/>
      <c r="T1268" s="470"/>
      <c r="U1268" s="612"/>
      <c r="V1268" s="464"/>
      <c r="W1268" s="612"/>
      <c r="X1268" s="473"/>
      <c r="Y1268" s="478"/>
      <c r="Z1268" s="449"/>
      <c r="AA1268" s="573"/>
      <c r="AB1268" s="476"/>
      <c r="AC1268" s="476"/>
      <c r="AD1268" s="568"/>
      <c r="AE1268" s="476"/>
      <c r="AF1268" s="568"/>
      <c r="AG1268" s="476"/>
      <c r="AH1268" s="476"/>
      <c r="AI1268" s="477"/>
      <c r="AJ1268" s="478"/>
      <c r="AK1268" s="479"/>
      <c r="AL1268" s="480"/>
      <c r="AM1268" s="474"/>
      <c r="AN1268" s="481"/>
      <c r="AO1268" s="474"/>
      <c r="AP1268" s="476"/>
      <c r="AQ1268" s="482"/>
      <c r="AR1268" s="478"/>
      <c r="AS1268" s="478"/>
      <c r="AT1268" s="476"/>
      <c r="AU1268" s="482"/>
      <c r="AV1268" s="478"/>
      <c r="AW1268" s="483"/>
      <c r="AX1268" s="476"/>
      <c r="AY1268" s="482"/>
      <c r="AZ1268" s="478"/>
      <c r="BA1268" s="484"/>
      <c r="BB1268" s="474"/>
      <c r="BC1268" s="485"/>
      <c r="BD1268" s="485"/>
      <c r="BG1268" s="487"/>
    </row>
    <row r="1269" spans="1:59" s="526" customFormat="1" ht="18" customHeight="1" x14ac:dyDescent="0.2">
      <c r="A1269" s="1370" t="s">
        <v>4184</v>
      </c>
      <c r="B1269" s="1956" t="s">
        <v>4184</v>
      </c>
      <c r="C1269" s="1957"/>
      <c r="D1269" s="1957"/>
      <c r="E1269" s="1957"/>
      <c r="F1269" s="1958"/>
      <c r="G1269" s="624">
        <f>SUM(G1254:G1268)</f>
        <v>24401962700.472229</v>
      </c>
      <c r="H1269" s="505"/>
      <c r="I1269" s="506"/>
      <c r="J1269" s="507"/>
      <c r="K1269" s="507"/>
      <c r="L1269" s="505"/>
      <c r="M1269" s="684"/>
      <c r="N1269" s="508"/>
      <c r="O1269" s="507"/>
      <c r="P1269" s="749"/>
      <c r="Q1269" s="510"/>
      <c r="R1269" s="511"/>
      <c r="S1269" s="512"/>
      <c r="T1269" s="512"/>
      <c r="U1269" s="610">
        <f>SUM(U1254:U1268)</f>
        <v>19719421071.552544</v>
      </c>
      <c r="V1269" s="513"/>
      <c r="W1269" s="610">
        <f>G1269-U1269</f>
        <v>4682541628.9196854</v>
      </c>
      <c r="X1269" s="514"/>
      <c r="Y1269" s="515"/>
      <c r="Z1269" s="515"/>
      <c r="AA1269" s="515"/>
      <c r="AB1269" s="515"/>
      <c r="AC1269" s="515"/>
      <c r="AD1269" s="570"/>
      <c r="AE1269" s="515"/>
      <c r="AF1269" s="570">
        <v>18310730245.279999</v>
      </c>
      <c r="AG1269" s="515"/>
      <c r="AH1269" s="515"/>
      <c r="AI1269" s="516"/>
      <c r="AJ1269" s="517"/>
      <c r="AK1269" s="518"/>
      <c r="AL1269" s="519"/>
      <c r="AM1269" s="520"/>
      <c r="AN1269" s="521"/>
      <c r="AO1269" s="520"/>
      <c r="AP1269" s="515"/>
      <c r="AQ1269" s="522"/>
      <c r="AR1269" s="517"/>
      <c r="AS1269" s="517"/>
      <c r="AT1269" s="515"/>
      <c r="AU1269" s="522"/>
      <c r="AV1269" s="517"/>
      <c r="AW1269" s="523"/>
      <c r="AX1269" s="515"/>
      <c r="AY1269" s="522"/>
      <c r="AZ1269" s="517"/>
      <c r="BA1269" s="524"/>
      <c r="BB1269" s="520"/>
      <c r="BC1269" s="525"/>
      <c r="BD1269" s="525"/>
      <c r="BG1269" s="527"/>
    </row>
    <row r="1272" spans="1:59" s="422" customFormat="1" ht="18" customHeight="1" x14ac:dyDescent="0.2">
      <c r="A1272" s="1366">
        <f>C1272</f>
        <v>230</v>
      </c>
      <c r="B1272" s="742" t="s">
        <v>4187</v>
      </c>
      <c r="C1272" s="556">
        <v>230</v>
      </c>
      <c r="D1272" s="553" t="str">
        <f>VLOOKUP(C1272,RUAS,2,FALSE)</f>
        <v>LOGAS - SUMBER DATAR</v>
      </c>
      <c r="E1272" s="553"/>
      <c r="F1272" s="421"/>
      <c r="G1272" s="611"/>
      <c r="I1272" s="423"/>
      <c r="J1272" s="424"/>
      <c r="K1272" s="424"/>
      <c r="M1272" s="680"/>
      <c r="P1272" s="611"/>
      <c r="U1272" s="611"/>
      <c r="W1272" s="611"/>
      <c r="Y1272" s="425"/>
      <c r="Z1272" s="425"/>
      <c r="AA1272" s="425"/>
      <c r="AB1272" s="425"/>
      <c r="AC1272" s="425"/>
      <c r="AD1272" s="563"/>
      <c r="AE1272" s="425"/>
      <c r="AF1272" s="563"/>
      <c r="AG1272" s="425"/>
      <c r="AH1272" s="425"/>
      <c r="AI1272" s="425"/>
      <c r="AJ1272" s="425"/>
      <c r="AK1272" s="425"/>
      <c r="AL1272" s="425"/>
      <c r="AM1272" s="425"/>
      <c r="AN1272" s="425"/>
      <c r="AO1272" s="425"/>
      <c r="AP1272" s="425"/>
      <c r="AQ1272" s="425"/>
      <c r="AR1272" s="425"/>
      <c r="AS1272" s="425"/>
      <c r="AT1272" s="425"/>
      <c r="AU1272" s="425"/>
      <c r="AV1272" s="425"/>
      <c r="AW1272" s="425"/>
      <c r="AX1272" s="425"/>
      <c r="AY1272" s="425"/>
      <c r="AZ1272" s="425"/>
      <c r="BA1272" s="425"/>
      <c r="BB1272" s="425"/>
    </row>
    <row r="1273" spans="1:59" s="431" customFormat="1" ht="18" customHeight="1" x14ac:dyDescent="0.2">
      <c r="A1273" s="1367"/>
      <c r="B1273" s="1968" t="s">
        <v>5</v>
      </c>
      <c r="C1273" s="1968" t="s">
        <v>2280</v>
      </c>
      <c r="D1273" s="1968" t="s">
        <v>4157</v>
      </c>
      <c r="E1273" s="1968" t="s">
        <v>4158</v>
      </c>
      <c r="F1273" s="1968"/>
      <c r="G1273" s="1969" t="s">
        <v>4159</v>
      </c>
      <c r="H1273" s="1968" t="s">
        <v>4160</v>
      </c>
      <c r="I1273" s="1968"/>
      <c r="J1273" s="1968" t="s">
        <v>4185</v>
      </c>
      <c r="K1273" s="1964" t="s">
        <v>4162</v>
      </c>
      <c r="L1273" s="1968" t="s">
        <v>4163</v>
      </c>
      <c r="M1273" s="1971" t="s">
        <v>4164</v>
      </c>
      <c r="N1273" s="1962" t="s">
        <v>4165</v>
      </c>
      <c r="O1273" s="1968" t="s">
        <v>4166</v>
      </c>
      <c r="P1273" s="1972" t="s">
        <v>4167</v>
      </c>
      <c r="Q1273" s="1973"/>
      <c r="R1273" s="636" t="s">
        <v>4186</v>
      </c>
      <c r="S1273" s="1972" t="s">
        <v>4169</v>
      </c>
      <c r="T1273" s="1974"/>
      <c r="U1273" s="1973"/>
      <c r="V1273" s="1975" t="s">
        <v>4170</v>
      </c>
      <c r="W1273" s="1975"/>
      <c r="X1273" s="1960" t="s">
        <v>4171</v>
      </c>
      <c r="Y1273" s="1959"/>
      <c r="Z1273" s="633"/>
      <c r="AA1273" s="426"/>
      <c r="AB1273" s="426"/>
      <c r="AC1273" s="426"/>
      <c r="AD1273" s="564"/>
      <c r="AE1273" s="426"/>
      <c r="AF1273" s="564"/>
      <c r="AG1273" s="426"/>
      <c r="AH1273" s="426"/>
      <c r="AI1273" s="427"/>
      <c r="AJ1273" s="427"/>
      <c r="AK1273" s="427"/>
      <c r="AL1273" s="427"/>
      <c r="AM1273" s="428"/>
      <c r="AN1273" s="427"/>
      <c r="AO1273" s="427"/>
      <c r="AP1273" s="426"/>
      <c r="AQ1273" s="427"/>
      <c r="AR1273" s="427"/>
      <c r="AS1273" s="427"/>
      <c r="AT1273" s="426"/>
      <c r="AU1273" s="427"/>
      <c r="AV1273" s="427"/>
      <c r="AW1273" s="427"/>
      <c r="AX1273" s="426"/>
      <c r="AY1273" s="427"/>
      <c r="AZ1273" s="427"/>
      <c r="BA1273" s="427"/>
      <c r="BB1273" s="429"/>
      <c r="BC1273" s="430"/>
      <c r="BD1273" s="430"/>
    </row>
    <row r="1274" spans="1:59" s="431" customFormat="1" ht="18" customHeight="1" x14ac:dyDescent="0.2">
      <c r="A1274" s="1367"/>
      <c r="B1274" s="1968"/>
      <c r="C1274" s="1968"/>
      <c r="D1274" s="1968"/>
      <c r="E1274" s="1968"/>
      <c r="F1274" s="1968"/>
      <c r="G1274" s="1969"/>
      <c r="H1274" s="1968"/>
      <c r="I1274" s="1968"/>
      <c r="J1274" s="1968"/>
      <c r="K1274" s="1970"/>
      <c r="L1274" s="1968"/>
      <c r="M1274" s="1971"/>
      <c r="N1274" s="1963"/>
      <c r="O1274" s="1968"/>
      <c r="P1274" s="2037" t="s">
        <v>4172</v>
      </c>
      <c r="Q1274" s="1960" t="s">
        <v>4173</v>
      </c>
      <c r="R1274" s="1962" t="s">
        <v>4159</v>
      </c>
      <c r="S1274" s="1962" t="s">
        <v>4174</v>
      </c>
      <c r="T1274" s="1964" t="s">
        <v>4175</v>
      </c>
      <c r="U1274" s="1966" t="s">
        <v>4159</v>
      </c>
      <c r="V1274" s="1975"/>
      <c r="W1274" s="1975"/>
      <c r="X1274" s="1976"/>
      <c r="Y1274" s="1959"/>
      <c r="Z1274" s="633"/>
      <c r="AA1274" s="426"/>
      <c r="AB1274" s="426"/>
      <c r="AC1274" s="426"/>
      <c r="AD1274" s="564"/>
      <c r="AE1274" s="426"/>
      <c r="AF1274" s="564"/>
      <c r="AG1274" s="426"/>
      <c r="AH1274" s="426"/>
      <c r="AI1274" s="427"/>
      <c r="AJ1274" s="427"/>
      <c r="AK1274" s="426"/>
      <c r="AL1274" s="427"/>
      <c r="AM1274" s="428"/>
      <c r="AN1274" s="427"/>
      <c r="AO1274" s="427"/>
      <c r="AP1274" s="432"/>
      <c r="AQ1274" s="427"/>
      <c r="AR1274" s="427"/>
      <c r="AS1274" s="427"/>
      <c r="AT1274" s="432"/>
      <c r="AU1274" s="427"/>
      <c r="AV1274" s="427"/>
      <c r="AW1274" s="427"/>
      <c r="AX1274" s="432"/>
      <c r="AY1274" s="427"/>
      <c r="AZ1274" s="427"/>
      <c r="BA1274" s="427"/>
      <c r="BB1274" s="429"/>
      <c r="BC1274" s="430"/>
      <c r="BD1274" s="430"/>
    </row>
    <row r="1275" spans="1:59" s="431" customFormat="1" ht="18" customHeight="1" x14ac:dyDescent="0.2">
      <c r="A1275" s="1367"/>
      <c r="B1275" s="1968"/>
      <c r="C1275" s="1968"/>
      <c r="D1275" s="1968"/>
      <c r="E1275" s="433" t="s">
        <v>4176</v>
      </c>
      <c r="F1275" s="434" t="s">
        <v>2288</v>
      </c>
      <c r="G1275" s="1969"/>
      <c r="H1275" s="635" t="s">
        <v>2288</v>
      </c>
      <c r="I1275" s="635" t="s">
        <v>4177</v>
      </c>
      <c r="J1275" s="1968"/>
      <c r="K1275" s="1965"/>
      <c r="L1275" s="435" t="s">
        <v>2288</v>
      </c>
      <c r="M1275" s="681" t="s">
        <v>2288</v>
      </c>
      <c r="N1275" s="635" t="s">
        <v>2288</v>
      </c>
      <c r="O1275" s="1968"/>
      <c r="P1275" s="2038"/>
      <c r="Q1275" s="1961"/>
      <c r="R1275" s="1963"/>
      <c r="S1275" s="1963"/>
      <c r="T1275" s="1965"/>
      <c r="U1275" s="1967"/>
      <c r="V1275" s="635" t="s">
        <v>4178</v>
      </c>
      <c r="W1275" s="637" t="s">
        <v>4159</v>
      </c>
      <c r="X1275" s="1961"/>
      <c r="Y1275" s="436"/>
      <c r="Z1275" s="436"/>
      <c r="AA1275" s="426"/>
      <c r="AB1275" s="426"/>
      <c r="AC1275" s="426"/>
      <c r="AD1275" s="564"/>
      <c r="AE1275" s="426"/>
      <c r="AF1275" s="564"/>
      <c r="AG1275" s="426"/>
      <c r="AH1275" s="426"/>
      <c r="AI1275" s="427"/>
      <c r="AJ1275" s="432"/>
      <c r="AK1275" s="432"/>
      <c r="AL1275" s="427"/>
      <c r="AM1275" s="428"/>
      <c r="AN1275" s="432"/>
      <c r="AO1275" s="427"/>
      <c r="AP1275" s="432"/>
      <c r="AQ1275" s="432"/>
      <c r="AR1275" s="427"/>
      <c r="AS1275" s="427"/>
      <c r="AT1275" s="432"/>
      <c r="AU1275" s="432"/>
      <c r="AV1275" s="427"/>
      <c r="AW1275" s="427"/>
      <c r="AX1275" s="432"/>
      <c r="AY1275" s="432"/>
      <c r="AZ1275" s="427"/>
      <c r="BA1275" s="427"/>
      <c r="BB1275" s="429"/>
      <c r="BC1275" s="430"/>
      <c r="BD1275" s="430"/>
    </row>
    <row r="1276" spans="1:59" s="461" customFormat="1" ht="18" customHeight="1" x14ac:dyDescent="0.2">
      <c r="A1276" s="1368" t="str">
        <f>$D$1272&amp;S1276</f>
        <v>LOGAS - SUMBER DATAR2013</v>
      </c>
      <c r="B1276" s="1373">
        <v>1</v>
      </c>
      <c r="C1276" s="532" t="s">
        <v>1285</v>
      </c>
      <c r="D1276" s="437" t="s">
        <v>3821</v>
      </c>
      <c r="E1276" s="438"/>
      <c r="F1276" s="439">
        <v>2013</v>
      </c>
      <c r="G1276" s="623">
        <v>716925612</v>
      </c>
      <c r="H1276" s="440">
        <f>VLOOKUP(LEFT(D1276,8),UE,4)</f>
        <v>10</v>
      </c>
      <c r="I1276" s="441"/>
      <c r="J1276" s="442">
        <f t="shared" ref="J1276:J1282" si="959">F1276+N1276-1</f>
        <v>2022</v>
      </c>
      <c r="K1276" s="443"/>
      <c r="L1276" s="440"/>
      <c r="M1276" s="746">
        <f>IF(H1276+L1276&gt;$H1276,$H1276-H1276,L1276)</f>
        <v>0</v>
      </c>
      <c r="N1276" s="444">
        <f>H1276+M1276</f>
        <v>10</v>
      </c>
      <c r="O1276" s="442">
        <f t="shared" ref="O1276:O1282" si="960">F1276+N1276-1</f>
        <v>2022</v>
      </c>
      <c r="P1276" s="617">
        <f>G1276</f>
        <v>716925612</v>
      </c>
      <c r="Q1276" s="445">
        <v>0</v>
      </c>
      <c r="R1276" s="445">
        <f>P1276/N1276</f>
        <v>71692561.200000003</v>
      </c>
      <c r="S1276" s="446">
        <f t="shared" ref="S1276:S1282" si="961">F1276</f>
        <v>2013</v>
      </c>
      <c r="T1276" s="447">
        <v>1</v>
      </c>
      <c r="U1276" s="613">
        <f t="shared" ref="U1276:U1282" si="962">R1276*T1276</f>
        <v>71692561.200000003</v>
      </c>
      <c r="V1276" s="442">
        <f t="shared" ref="V1276:V1282" si="963">F1276</f>
        <v>2013</v>
      </c>
      <c r="W1276" s="617">
        <f>IF(OR(AND(ISBLANK(E1276),ISBLANK(G1276)),ISTEXT(E1276),ISTEXT(G1276)),"",G1276-R1276)</f>
        <v>645233050.79999995</v>
      </c>
      <c r="X1276" s="448"/>
      <c r="Y1276" s="449"/>
      <c r="Z1276" s="449"/>
      <c r="AA1276" s="450" t="s">
        <v>4179</v>
      </c>
      <c r="AB1276" s="451"/>
      <c r="AC1276" s="451"/>
      <c r="AD1276" s="565"/>
      <c r="AE1276" s="452"/>
      <c r="AF1276" s="571"/>
      <c r="AG1276" s="452"/>
      <c r="AH1276" s="452"/>
      <c r="AI1276" s="453"/>
      <c r="AJ1276" s="449"/>
      <c r="AK1276" s="453"/>
      <c r="AL1276" s="454"/>
      <c r="AM1276" s="455"/>
      <c r="AN1276" s="456"/>
      <c r="AO1276" s="455"/>
      <c r="AP1276" s="452"/>
      <c r="AQ1276" s="457"/>
      <c r="AR1276" s="449"/>
      <c r="AS1276" s="449"/>
      <c r="AT1276" s="452"/>
      <c r="AU1276" s="457"/>
      <c r="AV1276" s="449"/>
      <c r="AW1276" s="458"/>
      <c r="AX1276" s="452"/>
      <c r="AY1276" s="457"/>
      <c r="AZ1276" s="449"/>
      <c r="BA1276" s="459"/>
      <c r="BB1276" s="455"/>
      <c r="BC1276" s="460"/>
      <c r="BD1276" s="460"/>
      <c r="BG1276" s="462"/>
    </row>
    <row r="1277" spans="1:59" s="461" customFormat="1" ht="18" customHeight="1" x14ac:dyDescent="0.2">
      <c r="A1277" s="1368" t="str">
        <f t="shared" ref="A1277:A1282" si="964">$D$1272&amp;S1277</f>
        <v>LOGAS - SUMBER DATAR2014</v>
      </c>
      <c r="B1277" s="1373"/>
      <c r="C1277" s="488"/>
      <c r="D1277" s="489"/>
      <c r="E1277" s="558"/>
      <c r="F1277" s="559">
        <v>2014</v>
      </c>
      <c r="G1277" s="619">
        <v>0</v>
      </c>
      <c r="H1277" s="464">
        <f t="shared" ref="H1277:H1282" si="965">IF(N1276-(F1277-F1276)&lt;=0,0,(N1276-(F1277-F1276)))</f>
        <v>9</v>
      </c>
      <c r="I1277" s="467"/>
      <c r="J1277" s="468">
        <f t="shared" si="959"/>
        <v>2022</v>
      </c>
      <c r="K1277" s="490">
        <f t="shared" ref="K1277:K1282" si="966">IF(G1277=0,0,IF(H1277=10,100%,G1277/W1276))</f>
        <v>0</v>
      </c>
      <c r="L1277" s="469">
        <f t="shared" ref="L1277:L1282" si="967">IF(K1277=0%,0,IF(K1277&lt;=30%,2,IF(K1277&lt;=60%,5,10)))</f>
        <v>0</v>
      </c>
      <c r="M1277" s="683">
        <f t="shared" ref="M1277:M1282" si="968">IF(OR(AND(ISBLANK(E1277),ISBLANK(G1277)),ISTEXT(E1277),ISTEXT(G1277)),"",IF(H1277+L1277&gt;$H$1276,$H$1276-H1277,L1277))</f>
        <v>0</v>
      </c>
      <c r="N1277" s="470">
        <f t="shared" ref="N1277:N1282" si="969">IF(OR(AND(ISBLANK(F1277),ISBLANK(G1277)),ISTEXT(F1277),ISTEXT(G1277)),"",H1277+M1277)</f>
        <v>9</v>
      </c>
      <c r="O1277" s="468">
        <f t="shared" si="960"/>
        <v>2022</v>
      </c>
      <c r="P1277" s="616">
        <f t="shared" ref="P1277:P1282" si="970">W1276</f>
        <v>645233050.79999995</v>
      </c>
      <c r="Q1277" s="472">
        <f t="shared" ref="Q1277:Q1282" si="971">P1277+G1277</f>
        <v>645233050.79999995</v>
      </c>
      <c r="R1277" s="472">
        <f t="shared" ref="R1277:R1282" si="972">IF(L1277=0,R1276,Q1277/N1277)</f>
        <v>71692561.200000003</v>
      </c>
      <c r="S1277" s="759">
        <f t="shared" si="961"/>
        <v>2014</v>
      </c>
      <c r="T1277" s="470">
        <f t="shared" ref="T1277:T1282" si="973">S1277-S1276</f>
        <v>1</v>
      </c>
      <c r="U1277" s="612">
        <f t="shared" si="962"/>
        <v>71692561.200000003</v>
      </c>
      <c r="V1277" s="464">
        <f t="shared" si="963"/>
        <v>2014</v>
      </c>
      <c r="W1277" s="612">
        <f t="shared" ref="W1277:W1282" si="974">IF(OR(AND(ISBLANK(E1277),ISBLANK(G1277)),ISTEXT(E1277),ISTEXT(G1277)),"",Q1277-U1277)</f>
        <v>573540489.5999999</v>
      </c>
      <c r="X1277" s="561"/>
      <c r="Y1277" s="449"/>
      <c r="Z1277" s="449"/>
      <c r="AA1277" s="554"/>
      <c r="AB1277" s="452"/>
      <c r="AC1277" s="452"/>
      <c r="AD1277" s="566"/>
      <c r="AE1277" s="452"/>
      <c r="AF1277" s="571"/>
      <c r="AG1277" s="452"/>
      <c r="AH1277" s="452"/>
      <c r="AI1277" s="453"/>
      <c r="AJ1277" s="449"/>
      <c r="AK1277" s="453"/>
      <c r="AL1277" s="454"/>
      <c r="AM1277" s="455"/>
      <c r="AN1277" s="456"/>
      <c r="AO1277" s="455"/>
      <c r="AP1277" s="452"/>
      <c r="AQ1277" s="457"/>
      <c r="AR1277" s="449"/>
      <c r="AS1277" s="449"/>
      <c r="AT1277" s="452"/>
      <c r="AU1277" s="457"/>
      <c r="AV1277" s="449"/>
      <c r="AW1277" s="458"/>
      <c r="AX1277" s="452"/>
      <c r="AY1277" s="457"/>
      <c r="AZ1277" s="449"/>
      <c r="BA1277" s="459"/>
      <c r="BB1277" s="455"/>
      <c r="BC1277" s="460"/>
      <c r="BD1277" s="460"/>
      <c r="BG1277" s="462"/>
    </row>
    <row r="1278" spans="1:59" s="461" customFormat="1" ht="18" customHeight="1" x14ac:dyDescent="0.2">
      <c r="A1278" s="1368" t="str">
        <f t="shared" si="964"/>
        <v>LOGAS - SUMBER DATAR2015</v>
      </c>
      <c r="B1278" s="1373"/>
      <c r="C1278" s="488"/>
      <c r="D1278" s="489"/>
      <c r="E1278" s="558"/>
      <c r="F1278" s="559">
        <v>2015</v>
      </c>
      <c r="G1278" s="619">
        <v>0</v>
      </c>
      <c r="H1278" s="464">
        <f t="shared" si="965"/>
        <v>8</v>
      </c>
      <c r="I1278" s="467"/>
      <c r="J1278" s="468">
        <f t="shared" si="959"/>
        <v>2022</v>
      </c>
      <c r="K1278" s="490">
        <f t="shared" si="966"/>
        <v>0</v>
      </c>
      <c r="L1278" s="469">
        <f t="shared" si="967"/>
        <v>0</v>
      </c>
      <c r="M1278" s="683">
        <f t="shared" si="968"/>
        <v>0</v>
      </c>
      <c r="N1278" s="470">
        <f t="shared" si="969"/>
        <v>8</v>
      </c>
      <c r="O1278" s="468">
        <f t="shared" si="960"/>
        <v>2022</v>
      </c>
      <c r="P1278" s="616">
        <f t="shared" si="970"/>
        <v>573540489.5999999</v>
      </c>
      <c r="Q1278" s="472">
        <f t="shared" si="971"/>
        <v>573540489.5999999</v>
      </c>
      <c r="R1278" s="472">
        <f t="shared" si="972"/>
        <v>71692561.200000003</v>
      </c>
      <c r="S1278" s="759">
        <f t="shared" si="961"/>
        <v>2015</v>
      </c>
      <c r="T1278" s="470">
        <f t="shared" si="973"/>
        <v>1</v>
      </c>
      <c r="U1278" s="612">
        <f t="shared" si="962"/>
        <v>71692561.200000003</v>
      </c>
      <c r="V1278" s="464">
        <f t="shared" si="963"/>
        <v>2015</v>
      </c>
      <c r="W1278" s="612">
        <f t="shared" si="974"/>
        <v>501847928.39999992</v>
      </c>
      <c r="X1278" s="561"/>
      <c r="Y1278" s="449"/>
      <c r="Z1278" s="449"/>
      <c r="AA1278" s="554"/>
      <c r="AB1278" s="452"/>
      <c r="AC1278" s="452"/>
      <c r="AD1278" s="566"/>
      <c r="AE1278" s="452"/>
      <c r="AF1278" s="571"/>
      <c r="AG1278" s="452"/>
      <c r="AH1278" s="452"/>
      <c r="AI1278" s="453"/>
      <c r="AJ1278" s="449"/>
      <c r="AK1278" s="453"/>
      <c r="AL1278" s="454"/>
      <c r="AM1278" s="455"/>
      <c r="AN1278" s="456"/>
      <c r="AO1278" s="455"/>
      <c r="AP1278" s="452"/>
      <c r="AQ1278" s="457"/>
      <c r="AR1278" s="449"/>
      <c r="AS1278" s="449"/>
      <c r="AT1278" s="452"/>
      <c r="AU1278" s="457"/>
      <c r="AV1278" s="449"/>
      <c r="AW1278" s="458"/>
      <c r="AX1278" s="452"/>
      <c r="AY1278" s="457"/>
      <c r="AZ1278" s="449"/>
      <c r="BA1278" s="459"/>
      <c r="BB1278" s="455"/>
      <c r="BC1278" s="460"/>
      <c r="BD1278" s="460"/>
      <c r="BG1278" s="462"/>
    </row>
    <row r="1279" spans="1:59" s="461" customFormat="1" ht="18" customHeight="1" x14ac:dyDescent="0.2">
      <c r="A1279" s="1368" t="str">
        <f t="shared" si="964"/>
        <v>LOGAS - SUMBER DATAR2016</v>
      </c>
      <c r="B1279" s="1373">
        <v>2</v>
      </c>
      <c r="C1279" s="488" t="s">
        <v>1442</v>
      </c>
      <c r="D1279" s="489"/>
      <c r="E1279" s="558"/>
      <c r="F1279" s="559">
        <v>2016</v>
      </c>
      <c r="G1279" s="619">
        <v>2819328226.6399999</v>
      </c>
      <c r="H1279" s="464">
        <f t="shared" si="965"/>
        <v>7</v>
      </c>
      <c r="I1279" s="467"/>
      <c r="J1279" s="468">
        <f t="shared" si="959"/>
        <v>2025</v>
      </c>
      <c r="K1279" s="490">
        <f t="shared" si="966"/>
        <v>5.6178935233002356</v>
      </c>
      <c r="L1279" s="469">
        <f t="shared" si="967"/>
        <v>10</v>
      </c>
      <c r="M1279" s="683">
        <f t="shared" si="968"/>
        <v>3</v>
      </c>
      <c r="N1279" s="470">
        <f t="shared" si="969"/>
        <v>10</v>
      </c>
      <c r="O1279" s="468">
        <f t="shared" si="960"/>
        <v>2025</v>
      </c>
      <c r="P1279" s="616">
        <f t="shared" si="970"/>
        <v>501847928.39999992</v>
      </c>
      <c r="Q1279" s="472">
        <f t="shared" si="971"/>
        <v>3321176155.04</v>
      </c>
      <c r="R1279" s="472">
        <f t="shared" si="972"/>
        <v>332117615.50400001</v>
      </c>
      <c r="S1279" s="759">
        <f t="shared" si="961"/>
        <v>2016</v>
      </c>
      <c r="T1279" s="470">
        <f t="shared" si="973"/>
        <v>1</v>
      </c>
      <c r="U1279" s="612">
        <f t="shared" si="962"/>
        <v>332117615.50400001</v>
      </c>
      <c r="V1279" s="464">
        <f t="shared" si="963"/>
        <v>2016</v>
      </c>
      <c r="W1279" s="612">
        <f t="shared" si="974"/>
        <v>2989058539.5359998</v>
      </c>
      <c r="X1279" s="561"/>
      <c r="Y1279" s="449"/>
      <c r="Z1279" s="449"/>
      <c r="AA1279" s="554"/>
      <c r="AB1279" s="452"/>
      <c r="AC1279" s="452"/>
      <c r="AD1279" s="566"/>
      <c r="AE1279" s="452"/>
      <c r="AF1279" s="571"/>
      <c r="AG1279" s="452"/>
      <c r="AH1279" s="452"/>
      <c r="AI1279" s="453"/>
      <c r="AJ1279" s="449"/>
      <c r="AK1279" s="453"/>
      <c r="AL1279" s="454"/>
      <c r="AM1279" s="455"/>
      <c r="AN1279" s="456"/>
      <c r="AO1279" s="455"/>
      <c r="AP1279" s="452"/>
      <c r="AQ1279" s="457"/>
      <c r="AR1279" s="449"/>
      <c r="AS1279" s="449"/>
      <c r="AT1279" s="452"/>
      <c r="AU1279" s="457"/>
      <c r="AV1279" s="449"/>
      <c r="AW1279" s="458"/>
      <c r="AX1279" s="452"/>
      <c r="AY1279" s="457"/>
      <c r="AZ1279" s="449"/>
      <c r="BA1279" s="459"/>
      <c r="BB1279" s="455"/>
      <c r="BC1279" s="460"/>
      <c r="BD1279" s="460"/>
      <c r="BG1279" s="462"/>
    </row>
    <row r="1280" spans="1:59" s="486" customFormat="1" ht="18" customHeight="1" x14ac:dyDescent="0.2">
      <c r="A1280" s="1368" t="str">
        <f t="shared" si="964"/>
        <v>LOGAS - SUMBER DATAR2017</v>
      </c>
      <c r="B1280" s="1373"/>
      <c r="C1280" s="488"/>
      <c r="D1280" s="489"/>
      <c r="E1280" s="558"/>
      <c r="F1280" s="559">
        <v>2017</v>
      </c>
      <c r="G1280" s="619">
        <v>0</v>
      </c>
      <c r="H1280" s="464">
        <f t="shared" si="965"/>
        <v>9</v>
      </c>
      <c r="I1280" s="467"/>
      <c r="J1280" s="468">
        <f t="shared" si="959"/>
        <v>2025</v>
      </c>
      <c r="K1280" s="490">
        <f t="shared" si="966"/>
        <v>0</v>
      </c>
      <c r="L1280" s="469">
        <f t="shared" si="967"/>
        <v>0</v>
      </c>
      <c r="M1280" s="683">
        <f t="shared" si="968"/>
        <v>0</v>
      </c>
      <c r="N1280" s="470">
        <f t="shared" si="969"/>
        <v>9</v>
      </c>
      <c r="O1280" s="468">
        <f t="shared" si="960"/>
        <v>2025</v>
      </c>
      <c r="P1280" s="616">
        <f t="shared" si="970"/>
        <v>2989058539.5359998</v>
      </c>
      <c r="Q1280" s="472">
        <f t="shared" si="971"/>
        <v>2989058539.5359998</v>
      </c>
      <c r="R1280" s="472">
        <f t="shared" si="972"/>
        <v>332117615.50400001</v>
      </c>
      <c r="S1280" s="759">
        <f t="shared" si="961"/>
        <v>2017</v>
      </c>
      <c r="T1280" s="470">
        <f t="shared" si="973"/>
        <v>1</v>
      </c>
      <c r="U1280" s="612">
        <f t="shared" si="962"/>
        <v>332117615.50400001</v>
      </c>
      <c r="V1280" s="464">
        <f t="shared" si="963"/>
        <v>2017</v>
      </c>
      <c r="W1280" s="612">
        <f t="shared" si="974"/>
        <v>2656940924.0319996</v>
      </c>
      <c r="X1280" s="473"/>
      <c r="Y1280" s="474"/>
      <c r="Z1280" s="449"/>
      <c r="AA1280" s="475" t="s">
        <v>4180</v>
      </c>
      <c r="AB1280" s="476"/>
      <c r="AC1280" s="476"/>
      <c r="AD1280" s="567">
        <f>G1285</f>
        <v>5661180811.75</v>
      </c>
      <c r="AE1280" s="476"/>
      <c r="AF1280" s="568"/>
      <c r="AG1280" s="476"/>
      <c r="AH1280" s="476"/>
      <c r="AI1280" s="477"/>
      <c r="AJ1280" s="478"/>
      <c r="AK1280" s="479"/>
      <c r="AL1280" s="480"/>
      <c r="AM1280" s="474"/>
      <c r="AN1280" s="481"/>
      <c r="AO1280" s="474"/>
      <c r="AP1280" s="476"/>
      <c r="AQ1280" s="482"/>
      <c r="AR1280" s="478"/>
      <c r="AS1280" s="478"/>
      <c r="AT1280" s="476"/>
      <c r="AU1280" s="482"/>
      <c r="AV1280" s="478"/>
      <c r="AW1280" s="483"/>
      <c r="AX1280" s="476"/>
      <c r="AY1280" s="482"/>
      <c r="AZ1280" s="478"/>
      <c r="BA1280" s="484"/>
      <c r="BB1280" s="474"/>
      <c r="BC1280" s="485"/>
      <c r="BD1280" s="485"/>
      <c r="BG1280" s="487"/>
    </row>
    <row r="1281" spans="1:59" s="486" customFormat="1" ht="18" customHeight="1" x14ac:dyDescent="0.2">
      <c r="A1281" s="1368" t="str">
        <f t="shared" si="964"/>
        <v>LOGAS - SUMBER DATAR2018</v>
      </c>
      <c r="B1281" s="1373"/>
      <c r="C1281" s="488"/>
      <c r="D1281" s="489"/>
      <c r="E1281" s="558"/>
      <c r="F1281" s="559">
        <v>2018</v>
      </c>
      <c r="G1281" s="619">
        <v>0</v>
      </c>
      <c r="H1281" s="464">
        <f t="shared" si="965"/>
        <v>8</v>
      </c>
      <c r="I1281" s="467"/>
      <c r="J1281" s="468">
        <f t="shared" si="959"/>
        <v>2025</v>
      </c>
      <c r="K1281" s="490">
        <f t="shared" si="966"/>
        <v>0</v>
      </c>
      <c r="L1281" s="469">
        <f t="shared" si="967"/>
        <v>0</v>
      </c>
      <c r="M1281" s="683">
        <f t="shared" si="968"/>
        <v>0</v>
      </c>
      <c r="N1281" s="470">
        <f t="shared" si="969"/>
        <v>8</v>
      </c>
      <c r="O1281" s="468">
        <f t="shared" si="960"/>
        <v>2025</v>
      </c>
      <c r="P1281" s="616">
        <f t="shared" si="970"/>
        <v>2656940924.0319996</v>
      </c>
      <c r="Q1281" s="472">
        <f t="shared" si="971"/>
        <v>2656940924.0319996</v>
      </c>
      <c r="R1281" s="472">
        <f t="shared" si="972"/>
        <v>332117615.50400001</v>
      </c>
      <c r="S1281" s="759">
        <f t="shared" si="961"/>
        <v>2018</v>
      </c>
      <c r="T1281" s="470">
        <f t="shared" si="973"/>
        <v>1</v>
      </c>
      <c r="U1281" s="612">
        <f t="shared" si="962"/>
        <v>332117615.50400001</v>
      </c>
      <c r="V1281" s="464">
        <f t="shared" si="963"/>
        <v>2018</v>
      </c>
      <c r="W1281" s="612">
        <f t="shared" si="974"/>
        <v>2324823308.5279994</v>
      </c>
      <c r="X1281" s="473"/>
      <c r="Y1281" s="478"/>
      <c r="Z1281" s="449"/>
      <c r="AA1281" s="475" t="s">
        <v>4181</v>
      </c>
      <c r="AB1281" s="491"/>
      <c r="AC1281" s="491"/>
      <c r="AD1281" s="567">
        <f>U1285</f>
        <v>1656405558.2758</v>
      </c>
      <c r="AE1281" s="491"/>
      <c r="AF1281" s="568"/>
      <c r="AG1281" s="491"/>
      <c r="AH1281" s="491"/>
      <c r="AI1281" s="477"/>
      <c r="AJ1281" s="478"/>
      <c r="AK1281" s="479"/>
      <c r="AL1281" s="480"/>
      <c r="AM1281" s="474"/>
      <c r="AN1281" s="481"/>
      <c r="AO1281" s="474"/>
      <c r="AP1281" s="476"/>
      <c r="AQ1281" s="482"/>
      <c r="AR1281" s="478"/>
      <c r="AS1281" s="478"/>
      <c r="AT1281" s="476"/>
      <c r="AU1281" s="482"/>
      <c r="AV1281" s="478"/>
      <c r="AW1281" s="483"/>
      <c r="AX1281" s="476"/>
      <c r="AY1281" s="482"/>
      <c r="AZ1281" s="478"/>
      <c r="BA1281" s="484"/>
      <c r="BB1281" s="474"/>
      <c r="BC1281" s="485"/>
      <c r="BD1281" s="485"/>
      <c r="BG1281" s="487"/>
    </row>
    <row r="1282" spans="1:59" s="486" customFormat="1" ht="18" customHeight="1" x14ac:dyDescent="0.2">
      <c r="A1282" s="1368" t="str">
        <f t="shared" si="964"/>
        <v>LOGAS - SUMBER DATAR2019</v>
      </c>
      <c r="B1282" s="1373">
        <v>3</v>
      </c>
      <c r="C1282" s="488" t="s">
        <v>1442</v>
      </c>
      <c r="D1282" s="489"/>
      <c r="E1282" s="558"/>
      <c r="F1282" s="466">
        <v>2019</v>
      </c>
      <c r="G1282" s="619">
        <v>2124926973.1099999</v>
      </c>
      <c r="H1282" s="464">
        <f t="shared" si="965"/>
        <v>7</v>
      </c>
      <c r="I1282" s="467"/>
      <c r="J1282" s="468">
        <f t="shared" si="959"/>
        <v>2028</v>
      </c>
      <c r="K1282" s="490">
        <f t="shared" si="966"/>
        <v>0.91401654711360958</v>
      </c>
      <c r="L1282" s="469">
        <f t="shared" si="967"/>
        <v>10</v>
      </c>
      <c r="M1282" s="683">
        <f t="shared" si="968"/>
        <v>3</v>
      </c>
      <c r="N1282" s="470">
        <f t="shared" si="969"/>
        <v>10</v>
      </c>
      <c r="O1282" s="468">
        <f t="shared" si="960"/>
        <v>2028</v>
      </c>
      <c r="P1282" s="616">
        <f t="shared" si="970"/>
        <v>2324823308.5279994</v>
      </c>
      <c r="Q1282" s="472">
        <f t="shared" si="971"/>
        <v>4449750281.6379995</v>
      </c>
      <c r="R1282" s="472">
        <f t="shared" si="972"/>
        <v>444975028.16379994</v>
      </c>
      <c r="S1282" s="1189">
        <f t="shared" si="961"/>
        <v>2019</v>
      </c>
      <c r="T1282" s="470">
        <f t="shared" si="973"/>
        <v>1</v>
      </c>
      <c r="U1282" s="612">
        <f t="shared" si="962"/>
        <v>444975028.16379994</v>
      </c>
      <c r="V1282" s="464">
        <f t="shared" si="963"/>
        <v>2019</v>
      </c>
      <c r="W1282" s="612">
        <f t="shared" si="974"/>
        <v>4004775253.4741998</v>
      </c>
      <c r="X1282" s="473"/>
      <c r="Y1282" s="478"/>
      <c r="Z1282" s="449"/>
      <c r="AA1282" s="492" t="s">
        <v>4182</v>
      </c>
      <c r="AB1282" s="476"/>
      <c r="AC1282" s="476"/>
      <c r="AD1282" s="567">
        <f>AD1280-AD1281</f>
        <v>4004775253.4742002</v>
      </c>
      <c r="AE1282" s="476"/>
      <c r="AF1282" s="568"/>
      <c r="AG1282" s="476"/>
      <c r="AH1282" s="476"/>
      <c r="AI1282" s="477"/>
      <c r="AJ1282" s="478"/>
      <c r="AK1282" s="479"/>
      <c r="AL1282" s="480"/>
      <c r="AM1282" s="474"/>
      <c r="AN1282" s="481"/>
      <c r="AO1282" s="474"/>
      <c r="AP1282" s="476"/>
      <c r="AQ1282" s="482"/>
      <c r="AR1282" s="478"/>
      <c r="AS1282" s="478"/>
      <c r="AT1282" s="476"/>
      <c r="AU1282" s="482"/>
      <c r="AV1282" s="478"/>
      <c r="AW1282" s="483"/>
      <c r="AX1282" s="476"/>
      <c r="AY1282" s="482"/>
      <c r="AZ1282" s="478"/>
      <c r="BA1282" s="484"/>
      <c r="BB1282" s="474"/>
      <c r="BC1282" s="485"/>
      <c r="BD1282" s="485"/>
      <c r="BG1282" s="487"/>
    </row>
    <row r="1283" spans="1:59" s="486" customFormat="1" ht="18" customHeight="1" x14ac:dyDescent="0.2">
      <c r="A1283" s="1368" t="str">
        <f>LEFT(D1283,8)</f>
        <v/>
      </c>
      <c r="B1283" s="687"/>
      <c r="C1283" s="463"/>
      <c r="D1283" s="489"/>
      <c r="E1283" s="465"/>
      <c r="F1283" s="466"/>
      <c r="G1283" s="620"/>
      <c r="H1283" s="464"/>
      <c r="I1283" s="467"/>
      <c r="J1283" s="468"/>
      <c r="K1283" s="574"/>
      <c r="L1283" s="469"/>
      <c r="M1283" s="683"/>
      <c r="N1283" s="470"/>
      <c r="O1283" s="468"/>
      <c r="P1283" s="616"/>
      <c r="Q1283" s="472"/>
      <c r="R1283" s="472"/>
      <c r="S1283" s="634"/>
      <c r="T1283" s="470"/>
      <c r="U1283" s="612"/>
      <c r="V1283" s="464"/>
      <c r="W1283" s="612"/>
      <c r="X1283" s="473"/>
      <c r="Y1283" s="478"/>
      <c r="Z1283" s="449"/>
      <c r="AA1283" s="531" t="s">
        <v>4183</v>
      </c>
      <c r="AB1283" s="496"/>
      <c r="AC1283" s="496"/>
      <c r="AD1283" s="569">
        <f>AD1282-W1285</f>
        <v>0</v>
      </c>
      <c r="AE1283" s="476"/>
      <c r="AF1283" s="568"/>
      <c r="AG1283" s="476"/>
      <c r="AH1283" s="476"/>
      <c r="AI1283" s="477"/>
      <c r="AJ1283" s="478"/>
      <c r="AK1283" s="479"/>
      <c r="AL1283" s="480"/>
      <c r="AM1283" s="474"/>
      <c r="AN1283" s="481"/>
      <c r="AO1283" s="474"/>
      <c r="AP1283" s="476"/>
      <c r="AQ1283" s="482"/>
      <c r="AR1283" s="478"/>
      <c r="AS1283" s="478"/>
      <c r="AT1283" s="476"/>
      <c r="AU1283" s="482"/>
      <c r="AV1283" s="478"/>
      <c r="AW1283" s="483"/>
      <c r="AX1283" s="476"/>
      <c r="AY1283" s="482"/>
      <c r="AZ1283" s="478"/>
      <c r="BA1283" s="484"/>
      <c r="BB1283" s="474"/>
      <c r="BC1283" s="485"/>
      <c r="BD1283" s="485"/>
      <c r="BG1283" s="487"/>
    </row>
    <row r="1284" spans="1:59" s="486" customFormat="1" ht="18" customHeight="1" x14ac:dyDescent="0.2">
      <c r="A1284" s="1368" t="str">
        <f>LEFT(D1284,8)</f>
        <v/>
      </c>
      <c r="B1284" s="687"/>
      <c r="C1284" s="463"/>
      <c r="D1284" s="489"/>
      <c r="E1284" s="465"/>
      <c r="F1284" s="466"/>
      <c r="G1284" s="620"/>
      <c r="H1284" s="464"/>
      <c r="I1284" s="467"/>
      <c r="J1284" s="468"/>
      <c r="K1284" s="574"/>
      <c r="L1284" s="469"/>
      <c r="M1284" s="683"/>
      <c r="N1284" s="470"/>
      <c r="O1284" s="468"/>
      <c r="P1284" s="616"/>
      <c r="Q1284" s="472"/>
      <c r="R1284" s="472"/>
      <c r="S1284" s="634"/>
      <c r="T1284" s="470"/>
      <c r="U1284" s="612"/>
      <c r="V1284" s="464"/>
      <c r="W1284" s="612"/>
      <c r="X1284" s="473"/>
      <c r="Y1284" s="478"/>
      <c r="Z1284" s="449"/>
      <c r="AA1284" s="573"/>
      <c r="AB1284" s="476"/>
      <c r="AC1284" s="476"/>
      <c r="AD1284" s="568"/>
      <c r="AE1284" s="476"/>
      <c r="AF1284" s="568"/>
      <c r="AG1284" s="476"/>
      <c r="AH1284" s="476"/>
      <c r="AI1284" s="477"/>
      <c r="AJ1284" s="478"/>
      <c r="AK1284" s="479"/>
      <c r="AL1284" s="480"/>
      <c r="AM1284" s="474"/>
      <c r="AN1284" s="481"/>
      <c r="AO1284" s="474"/>
      <c r="AP1284" s="476"/>
      <c r="AQ1284" s="482"/>
      <c r="AR1284" s="478"/>
      <c r="AS1284" s="478"/>
      <c r="AT1284" s="476"/>
      <c r="AU1284" s="482"/>
      <c r="AV1284" s="478"/>
      <c r="AW1284" s="483"/>
      <c r="AX1284" s="476"/>
      <c r="AY1284" s="482"/>
      <c r="AZ1284" s="478"/>
      <c r="BA1284" s="484"/>
      <c r="BB1284" s="474"/>
      <c r="BC1284" s="485"/>
      <c r="BD1284" s="485"/>
      <c r="BG1284" s="487"/>
    </row>
    <row r="1285" spans="1:59" s="526" customFormat="1" ht="18" customHeight="1" x14ac:dyDescent="0.2">
      <c r="A1285" s="1370" t="s">
        <v>4184</v>
      </c>
      <c r="B1285" s="1956" t="s">
        <v>4184</v>
      </c>
      <c r="C1285" s="1957"/>
      <c r="D1285" s="1957"/>
      <c r="E1285" s="1957"/>
      <c r="F1285" s="1958"/>
      <c r="G1285" s="624">
        <f>SUM(G1276:G1284)</f>
        <v>5661180811.75</v>
      </c>
      <c r="H1285" s="505"/>
      <c r="I1285" s="506"/>
      <c r="J1285" s="507"/>
      <c r="K1285" s="507"/>
      <c r="L1285" s="505"/>
      <c r="M1285" s="684"/>
      <c r="N1285" s="508"/>
      <c r="O1285" s="507"/>
      <c r="P1285" s="749"/>
      <c r="Q1285" s="510"/>
      <c r="R1285" s="511"/>
      <c r="S1285" s="512"/>
      <c r="T1285" s="512"/>
      <c r="U1285" s="610">
        <f>SUM(U1276:U1284)</f>
        <v>1656405558.2758</v>
      </c>
      <c r="V1285" s="513"/>
      <c r="W1285" s="610">
        <f>G1285-U1285</f>
        <v>4004775253.4742002</v>
      </c>
      <c r="X1285" s="514"/>
      <c r="Y1285" s="515"/>
      <c r="Z1285" s="515"/>
      <c r="AA1285" s="515"/>
      <c r="AB1285" s="515"/>
      <c r="AC1285" s="515"/>
      <c r="AD1285" s="570"/>
      <c r="AE1285" s="515"/>
      <c r="AF1285" s="570">
        <v>1111060944.4319999</v>
      </c>
      <c r="AG1285" s="515"/>
      <c r="AH1285" s="515"/>
      <c r="AI1285" s="516"/>
      <c r="AJ1285" s="517"/>
      <c r="AK1285" s="518"/>
      <c r="AL1285" s="519"/>
      <c r="AM1285" s="520"/>
      <c r="AN1285" s="521"/>
      <c r="AO1285" s="520"/>
      <c r="AP1285" s="515"/>
      <c r="AQ1285" s="522"/>
      <c r="AR1285" s="517"/>
      <c r="AS1285" s="517"/>
      <c r="AT1285" s="515"/>
      <c r="AU1285" s="522"/>
      <c r="AV1285" s="517"/>
      <c r="AW1285" s="523"/>
      <c r="AX1285" s="515"/>
      <c r="AY1285" s="522"/>
      <c r="AZ1285" s="517"/>
      <c r="BA1285" s="524"/>
      <c r="BB1285" s="520"/>
      <c r="BC1285" s="525"/>
      <c r="BD1285" s="525"/>
      <c r="BG1285" s="527"/>
    </row>
    <row r="1288" spans="1:59" s="422" customFormat="1" ht="18" customHeight="1" x14ac:dyDescent="0.2">
      <c r="A1288" s="1366">
        <f>C1288</f>
        <v>231</v>
      </c>
      <c r="B1288" s="742" t="s">
        <v>4187</v>
      </c>
      <c r="C1288" s="556">
        <v>231</v>
      </c>
      <c r="D1288" s="553" t="str">
        <f>VLOOKUP(C1288,RUAS,2,FALSE)</f>
        <v>PASIR MAS - SAKO MARGASARI</v>
      </c>
      <c r="E1288" s="553"/>
      <c r="F1288" s="421"/>
      <c r="G1288" s="611"/>
      <c r="I1288" s="423"/>
      <c r="J1288" s="424"/>
      <c r="K1288" s="424"/>
      <c r="M1288" s="680"/>
      <c r="P1288" s="611"/>
      <c r="U1288" s="611"/>
      <c r="W1288" s="611"/>
      <c r="Y1288" s="425"/>
      <c r="Z1288" s="425"/>
      <c r="AA1288" s="425"/>
      <c r="AB1288" s="425"/>
      <c r="AC1288" s="425"/>
      <c r="AD1288" s="563"/>
      <c r="AE1288" s="425"/>
      <c r="AF1288" s="563"/>
      <c r="AG1288" s="425"/>
      <c r="AH1288" s="425"/>
      <c r="AI1288" s="425"/>
      <c r="AJ1288" s="425"/>
      <c r="AK1288" s="425"/>
      <c r="AL1288" s="425"/>
      <c r="AM1288" s="425"/>
      <c r="AN1288" s="425"/>
      <c r="AO1288" s="425"/>
      <c r="AP1288" s="425"/>
      <c r="AQ1288" s="425"/>
      <c r="AR1288" s="425"/>
      <c r="AS1288" s="425"/>
      <c r="AT1288" s="425"/>
      <c r="AU1288" s="425"/>
      <c r="AV1288" s="425"/>
      <c r="AW1288" s="425"/>
      <c r="AX1288" s="425"/>
      <c r="AY1288" s="425"/>
      <c r="AZ1288" s="425"/>
      <c r="BA1288" s="425"/>
      <c r="BB1288" s="425"/>
    </row>
    <row r="1289" spans="1:59" s="431" customFormat="1" ht="18" customHeight="1" x14ac:dyDescent="0.2">
      <c r="A1289" s="1367"/>
      <c r="B1289" s="1968" t="s">
        <v>5</v>
      </c>
      <c r="C1289" s="1968" t="s">
        <v>2280</v>
      </c>
      <c r="D1289" s="1968" t="s">
        <v>4157</v>
      </c>
      <c r="E1289" s="1968" t="s">
        <v>4158</v>
      </c>
      <c r="F1289" s="1968"/>
      <c r="G1289" s="1969" t="s">
        <v>4159</v>
      </c>
      <c r="H1289" s="1968" t="s">
        <v>4160</v>
      </c>
      <c r="I1289" s="1968"/>
      <c r="J1289" s="1968" t="s">
        <v>4185</v>
      </c>
      <c r="K1289" s="1964" t="s">
        <v>4162</v>
      </c>
      <c r="L1289" s="1968" t="s">
        <v>4163</v>
      </c>
      <c r="M1289" s="1971" t="s">
        <v>4164</v>
      </c>
      <c r="N1289" s="1962" t="s">
        <v>4165</v>
      </c>
      <c r="O1289" s="1968" t="s">
        <v>4166</v>
      </c>
      <c r="P1289" s="1972" t="s">
        <v>4167</v>
      </c>
      <c r="Q1289" s="1973"/>
      <c r="R1289" s="1180" t="s">
        <v>4186</v>
      </c>
      <c r="S1289" s="1972" t="s">
        <v>4169</v>
      </c>
      <c r="T1289" s="1974"/>
      <c r="U1289" s="1973"/>
      <c r="V1289" s="1975" t="s">
        <v>4170</v>
      </c>
      <c r="W1289" s="1975"/>
      <c r="X1289" s="1960" t="s">
        <v>4171</v>
      </c>
      <c r="Y1289" s="1959"/>
      <c r="Z1289" s="1181"/>
      <c r="AA1289" s="426"/>
      <c r="AB1289" s="426"/>
      <c r="AC1289" s="426"/>
      <c r="AD1289" s="564"/>
      <c r="AE1289" s="426"/>
      <c r="AF1289" s="564"/>
      <c r="AG1289" s="426"/>
      <c r="AH1289" s="426"/>
      <c r="AI1289" s="427"/>
      <c r="AJ1289" s="427"/>
      <c r="AK1289" s="427"/>
      <c r="AL1289" s="427"/>
      <c r="AM1289" s="428"/>
      <c r="AN1289" s="427"/>
      <c r="AO1289" s="427"/>
      <c r="AP1289" s="426"/>
      <c r="AQ1289" s="427"/>
      <c r="AR1289" s="427"/>
      <c r="AS1289" s="427"/>
      <c r="AT1289" s="426"/>
      <c r="AU1289" s="427"/>
      <c r="AV1289" s="427"/>
      <c r="AW1289" s="427"/>
      <c r="AX1289" s="426"/>
      <c r="AY1289" s="427"/>
      <c r="AZ1289" s="427"/>
      <c r="BA1289" s="427"/>
      <c r="BB1289" s="429"/>
      <c r="BC1289" s="430"/>
      <c r="BD1289" s="430"/>
    </row>
    <row r="1290" spans="1:59" s="431" customFormat="1" ht="18" customHeight="1" x14ac:dyDescent="0.2">
      <c r="A1290" s="1367"/>
      <c r="B1290" s="1968"/>
      <c r="C1290" s="1968"/>
      <c r="D1290" s="1968"/>
      <c r="E1290" s="1968"/>
      <c r="F1290" s="1968"/>
      <c r="G1290" s="1969"/>
      <c r="H1290" s="1968"/>
      <c r="I1290" s="1968"/>
      <c r="J1290" s="1968"/>
      <c r="K1290" s="1970"/>
      <c r="L1290" s="1968"/>
      <c r="M1290" s="1971"/>
      <c r="N1290" s="1963"/>
      <c r="O1290" s="1968"/>
      <c r="P1290" s="2037" t="s">
        <v>4172</v>
      </c>
      <c r="Q1290" s="1960" t="s">
        <v>4173</v>
      </c>
      <c r="R1290" s="1962" t="s">
        <v>4159</v>
      </c>
      <c r="S1290" s="1962" t="s">
        <v>4174</v>
      </c>
      <c r="T1290" s="1964" t="s">
        <v>4175</v>
      </c>
      <c r="U1290" s="1966" t="s">
        <v>4159</v>
      </c>
      <c r="V1290" s="1975"/>
      <c r="W1290" s="1975"/>
      <c r="X1290" s="1976"/>
      <c r="Y1290" s="1959"/>
      <c r="Z1290" s="1181"/>
      <c r="AA1290" s="426"/>
      <c r="AB1290" s="426"/>
      <c r="AC1290" s="426"/>
      <c r="AD1290" s="564"/>
      <c r="AE1290" s="426"/>
      <c r="AF1290" s="564"/>
      <c r="AG1290" s="426"/>
      <c r="AH1290" s="426"/>
      <c r="AI1290" s="427"/>
      <c r="AJ1290" s="427"/>
      <c r="AK1290" s="426"/>
      <c r="AL1290" s="427"/>
      <c r="AM1290" s="428"/>
      <c r="AN1290" s="427"/>
      <c r="AO1290" s="427"/>
      <c r="AP1290" s="432"/>
      <c r="AQ1290" s="427"/>
      <c r="AR1290" s="427"/>
      <c r="AS1290" s="427"/>
      <c r="AT1290" s="432"/>
      <c r="AU1290" s="427"/>
      <c r="AV1290" s="427"/>
      <c r="AW1290" s="427"/>
      <c r="AX1290" s="432"/>
      <c r="AY1290" s="427"/>
      <c r="AZ1290" s="427"/>
      <c r="BA1290" s="427"/>
      <c r="BB1290" s="429"/>
      <c r="BC1290" s="430"/>
      <c r="BD1290" s="430"/>
    </row>
    <row r="1291" spans="1:59" s="431" customFormat="1" ht="18" customHeight="1" x14ac:dyDescent="0.2">
      <c r="A1291" s="1367"/>
      <c r="B1291" s="1968"/>
      <c r="C1291" s="1968"/>
      <c r="D1291" s="1968"/>
      <c r="E1291" s="433" t="s">
        <v>4176</v>
      </c>
      <c r="F1291" s="434" t="s">
        <v>2288</v>
      </c>
      <c r="G1291" s="1969"/>
      <c r="H1291" s="1178" t="s">
        <v>2288</v>
      </c>
      <c r="I1291" s="1178" t="s">
        <v>4177</v>
      </c>
      <c r="J1291" s="1968"/>
      <c r="K1291" s="1965"/>
      <c r="L1291" s="435" t="s">
        <v>2288</v>
      </c>
      <c r="M1291" s="681" t="s">
        <v>2288</v>
      </c>
      <c r="N1291" s="1178" t="s">
        <v>2288</v>
      </c>
      <c r="O1291" s="1968"/>
      <c r="P1291" s="2038"/>
      <c r="Q1291" s="1961"/>
      <c r="R1291" s="1963"/>
      <c r="S1291" s="1963"/>
      <c r="T1291" s="1965"/>
      <c r="U1291" s="1967"/>
      <c r="V1291" s="1178" t="s">
        <v>4178</v>
      </c>
      <c r="W1291" s="1182" t="s">
        <v>4159</v>
      </c>
      <c r="X1291" s="1961"/>
      <c r="Y1291" s="436"/>
      <c r="Z1291" s="436"/>
      <c r="AA1291" s="426"/>
      <c r="AB1291" s="426"/>
      <c r="AC1291" s="426"/>
      <c r="AD1291" s="564"/>
      <c r="AE1291" s="426"/>
      <c r="AF1291" s="564"/>
      <c r="AG1291" s="426"/>
      <c r="AH1291" s="426"/>
      <c r="AI1291" s="427"/>
      <c r="AJ1291" s="432"/>
      <c r="AK1291" s="432"/>
      <c r="AL1291" s="427"/>
      <c r="AM1291" s="428"/>
      <c r="AN1291" s="432"/>
      <c r="AO1291" s="427"/>
      <c r="AP1291" s="432"/>
      <c r="AQ1291" s="432"/>
      <c r="AR1291" s="427"/>
      <c r="AS1291" s="427"/>
      <c r="AT1291" s="432"/>
      <c r="AU1291" s="432"/>
      <c r="AV1291" s="427"/>
      <c r="AW1291" s="427"/>
      <c r="AX1291" s="432"/>
      <c r="AY1291" s="432"/>
      <c r="AZ1291" s="427"/>
      <c r="BA1291" s="427"/>
      <c r="BB1291" s="429"/>
      <c r="BC1291" s="430"/>
      <c r="BD1291" s="430"/>
    </row>
    <row r="1292" spans="1:59" s="461" customFormat="1" ht="18" customHeight="1" x14ac:dyDescent="0.2">
      <c r="A1292" s="1368" t="str">
        <f t="shared" ref="A1292:A1297" si="975">$D$1288&amp;S1292</f>
        <v>PASIR MAS - SAKO MARGASARI2014</v>
      </c>
      <c r="B1292" s="1373">
        <v>1</v>
      </c>
      <c r="C1292" s="532" t="s">
        <v>1317</v>
      </c>
      <c r="D1292" s="437" t="s">
        <v>3821</v>
      </c>
      <c r="E1292" s="438"/>
      <c r="F1292" s="439">
        <v>2014</v>
      </c>
      <c r="G1292" s="623">
        <v>1913817758</v>
      </c>
      <c r="H1292" s="440">
        <f>VLOOKUP(LEFT(D1292,8),UE,4)</f>
        <v>10</v>
      </c>
      <c r="I1292" s="441"/>
      <c r="J1292" s="442">
        <f t="shared" ref="J1292:J1297" si="976">F1292+N1292-1</f>
        <v>2023</v>
      </c>
      <c r="K1292" s="443"/>
      <c r="L1292" s="440"/>
      <c r="M1292" s="746">
        <f>IF(H1292+L1292&gt;$H1292,$H1292-H1292,L1292)</f>
        <v>0</v>
      </c>
      <c r="N1292" s="444">
        <f>H1292+M1292</f>
        <v>10</v>
      </c>
      <c r="O1292" s="442">
        <f t="shared" ref="O1292:O1297" si="977">F1292+N1292-1</f>
        <v>2023</v>
      </c>
      <c r="P1292" s="617">
        <f>G1292</f>
        <v>1913817758</v>
      </c>
      <c r="Q1292" s="445">
        <v>0</v>
      </c>
      <c r="R1292" s="445">
        <f>P1292/N1292</f>
        <v>191381775.80000001</v>
      </c>
      <c r="S1292" s="446">
        <f t="shared" ref="S1292:S1297" si="978">F1292</f>
        <v>2014</v>
      </c>
      <c r="T1292" s="447">
        <v>1</v>
      </c>
      <c r="U1292" s="613">
        <f t="shared" ref="U1292:U1297" si="979">R1292*T1292</f>
        <v>191381775.80000001</v>
      </c>
      <c r="V1292" s="442">
        <f t="shared" ref="V1292:V1297" si="980">F1292</f>
        <v>2014</v>
      </c>
      <c r="W1292" s="617">
        <f>IF(OR(AND(ISBLANK(E1292),ISBLANK(G1292)),ISTEXT(E1292),ISTEXT(G1292)),"",G1292-R1292)</f>
        <v>1722435982.2</v>
      </c>
      <c r="X1292" s="448"/>
      <c r="Y1292" s="449"/>
      <c r="Z1292" s="449"/>
      <c r="AA1292" s="450" t="s">
        <v>4179</v>
      </c>
      <c r="AB1292" s="451"/>
      <c r="AC1292" s="451"/>
      <c r="AD1292" s="565"/>
      <c r="AE1292" s="452"/>
      <c r="AF1292" s="571"/>
      <c r="AG1292" s="452"/>
      <c r="AH1292" s="452"/>
      <c r="AI1292" s="453"/>
      <c r="AJ1292" s="449"/>
      <c r="AK1292" s="453"/>
      <c r="AL1292" s="454"/>
      <c r="AM1292" s="455"/>
      <c r="AN1292" s="456"/>
      <c r="AO1292" s="455"/>
      <c r="AP1292" s="452"/>
      <c r="AQ1292" s="457"/>
      <c r="AR1292" s="449"/>
      <c r="AS1292" s="449"/>
      <c r="AT1292" s="452"/>
      <c r="AU1292" s="457"/>
      <c r="AV1292" s="449"/>
      <c r="AW1292" s="458"/>
      <c r="AX1292" s="452"/>
      <c r="AY1292" s="457"/>
      <c r="AZ1292" s="449"/>
      <c r="BA1292" s="459"/>
      <c r="BB1292" s="455"/>
      <c r="BC1292" s="460"/>
      <c r="BD1292" s="460"/>
      <c r="BG1292" s="462"/>
    </row>
    <row r="1293" spans="1:59" s="461" customFormat="1" ht="18" customHeight="1" x14ac:dyDescent="0.2">
      <c r="A1293" s="1368" t="str">
        <f t="shared" si="975"/>
        <v>PASIR MAS - SAKO MARGASARI2015</v>
      </c>
      <c r="B1293" s="1373">
        <v>2</v>
      </c>
      <c r="C1293" s="488" t="s">
        <v>1377</v>
      </c>
      <c r="D1293" s="489"/>
      <c r="E1293" s="558"/>
      <c r="F1293" s="559">
        <v>2015</v>
      </c>
      <c r="G1293" s="619">
        <v>2066023866.2</v>
      </c>
      <c r="H1293" s="464">
        <f>IF(N1292-(F1293-F1292)&lt;=0,0,(N1292-(F1293-F1292)))</f>
        <v>9</v>
      </c>
      <c r="I1293" s="467"/>
      <c r="J1293" s="468">
        <f t="shared" si="976"/>
        <v>2024</v>
      </c>
      <c r="K1293" s="490">
        <f>IF(G1293=0,0,IF(H1293=10,100%,G1293/W1292))</f>
        <v>1.1994778833876594</v>
      </c>
      <c r="L1293" s="469">
        <f>IF(K1293=0%,0,IF(K1293&lt;=30%,2,IF(K1293&lt;=60%,5,10)))</f>
        <v>10</v>
      </c>
      <c r="M1293" s="683">
        <f>IF(OR(AND(ISBLANK(E1293),ISBLANK(G1293)),ISTEXT(E1293),ISTEXT(G1293)),"",IF(H1293+L1293&gt;$H$8,$H$8-H1293,L1293))</f>
        <v>1</v>
      </c>
      <c r="N1293" s="470">
        <f>IF(OR(AND(ISBLANK(F1293),ISBLANK(G1293)),ISTEXT(F1293),ISTEXT(G1293)),"",H1293+M1293)</f>
        <v>10</v>
      </c>
      <c r="O1293" s="468">
        <f t="shared" si="977"/>
        <v>2024</v>
      </c>
      <c r="P1293" s="616">
        <f>W1292</f>
        <v>1722435982.2</v>
      </c>
      <c r="Q1293" s="472">
        <f>P1293+G1293</f>
        <v>3788459848.4000001</v>
      </c>
      <c r="R1293" s="472">
        <f>IF(L1293=0,R1292,Q1293/N1293)</f>
        <v>378845984.84000003</v>
      </c>
      <c r="S1293" s="1183">
        <f t="shared" si="978"/>
        <v>2015</v>
      </c>
      <c r="T1293" s="470">
        <f>S1293-S1292</f>
        <v>1</v>
      </c>
      <c r="U1293" s="612">
        <f t="shared" si="979"/>
        <v>378845984.84000003</v>
      </c>
      <c r="V1293" s="464">
        <f t="shared" si="980"/>
        <v>2015</v>
      </c>
      <c r="W1293" s="612">
        <f>IF(OR(AND(ISBLANK(E1293),ISBLANK(G1293)),ISTEXT(E1293),ISTEXT(G1293)),"",Q1293-U1293)</f>
        <v>3409613863.5599999</v>
      </c>
      <c r="X1293" s="561"/>
      <c r="Y1293" s="449"/>
      <c r="Z1293" s="449"/>
      <c r="AA1293" s="554"/>
      <c r="AB1293" s="452"/>
      <c r="AC1293" s="452"/>
      <c r="AD1293" s="566"/>
      <c r="AE1293" s="452"/>
      <c r="AF1293" s="571"/>
      <c r="AG1293" s="452"/>
      <c r="AH1293" s="452"/>
      <c r="AI1293" s="453"/>
      <c r="AJ1293" s="449"/>
      <c r="AK1293" s="453"/>
      <c r="AL1293" s="454"/>
      <c r="AM1293" s="455"/>
      <c r="AN1293" s="456"/>
      <c r="AO1293" s="455"/>
      <c r="AP1293" s="452"/>
      <c r="AQ1293" s="457"/>
      <c r="AR1293" s="449"/>
      <c r="AS1293" s="449"/>
      <c r="AT1293" s="452"/>
      <c r="AU1293" s="457"/>
      <c r="AV1293" s="449"/>
      <c r="AW1293" s="458"/>
      <c r="AX1293" s="452"/>
      <c r="AY1293" s="457"/>
      <c r="AZ1293" s="449"/>
      <c r="BA1293" s="459"/>
      <c r="BB1293" s="455"/>
      <c r="BC1293" s="460"/>
      <c r="BD1293" s="460"/>
      <c r="BG1293" s="462"/>
    </row>
    <row r="1294" spans="1:59" s="461" customFormat="1" ht="18" customHeight="1" x14ac:dyDescent="0.2">
      <c r="A1294" s="1368" t="str">
        <f t="shared" si="975"/>
        <v>PASIR MAS - SAKO MARGASARI2016</v>
      </c>
      <c r="B1294" s="1373"/>
      <c r="C1294" s="488"/>
      <c r="D1294" s="489"/>
      <c r="E1294" s="558"/>
      <c r="F1294" s="559">
        <v>2016</v>
      </c>
      <c r="G1294" s="619">
        <v>0</v>
      </c>
      <c r="H1294" s="464">
        <f>IF(N1293-(F1294-F1293)&lt;=0,0,(N1293-(F1294-F1293)))</f>
        <v>9</v>
      </c>
      <c r="I1294" s="467"/>
      <c r="J1294" s="468">
        <f t="shared" si="976"/>
        <v>2024</v>
      </c>
      <c r="K1294" s="490">
        <f>IF(G1294=0,0,IF(H1294=10,100%,G1294/W1293))</f>
        <v>0</v>
      </c>
      <c r="L1294" s="469">
        <f>IF(K1294=0%,0,IF(K1294&lt;=30%,2,IF(K1294&lt;=60%,5,10)))</f>
        <v>0</v>
      </c>
      <c r="M1294" s="683">
        <f>IF(OR(AND(ISBLANK(E1294),ISBLANK(G1294)),ISTEXT(E1294),ISTEXT(G1294)),"",IF(H1294+L1294&gt;$H$8,$H$8-H1294,L1294))</f>
        <v>0</v>
      </c>
      <c r="N1294" s="470">
        <f>IF(OR(AND(ISBLANK(F1294),ISBLANK(G1294)),ISTEXT(F1294),ISTEXT(G1294)),"",H1294+M1294)</f>
        <v>9</v>
      </c>
      <c r="O1294" s="468">
        <f t="shared" si="977"/>
        <v>2024</v>
      </c>
      <c r="P1294" s="616">
        <f>W1293</f>
        <v>3409613863.5599999</v>
      </c>
      <c r="Q1294" s="472">
        <f>P1294+G1294</f>
        <v>3409613863.5599999</v>
      </c>
      <c r="R1294" s="472">
        <f>IF(L1294=0,R1293,Q1294/N1294)</f>
        <v>378845984.84000003</v>
      </c>
      <c r="S1294" s="1183">
        <f t="shared" si="978"/>
        <v>2016</v>
      </c>
      <c r="T1294" s="470">
        <f>S1294-S1293</f>
        <v>1</v>
      </c>
      <c r="U1294" s="612">
        <f t="shared" si="979"/>
        <v>378845984.84000003</v>
      </c>
      <c r="V1294" s="464">
        <f t="shared" si="980"/>
        <v>2016</v>
      </c>
      <c r="W1294" s="612">
        <f>IF(OR(AND(ISBLANK(E1294),ISBLANK(G1294)),ISTEXT(E1294),ISTEXT(G1294)),"",Q1294-U1294)</f>
        <v>3030767878.7199998</v>
      </c>
      <c r="X1294" s="561"/>
      <c r="Y1294" s="449"/>
      <c r="Z1294" s="449"/>
      <c r="AA1294" s="554"/>
      <c r="AB1294" s="452"/>
      <c r="AC1294" s="452"/>
      <c r="AD1294" s="566"/>
      <c r="AE1294" s="452"/>
      <c r="AF1294" s="571"/>
      <c r="AG1294" s="452"/>
      <c r="AH1294" s="452"/>
      <c r="AI1294" s="453"/>
      <c r="AJ1294" s="449"/>
      <c r="AK1294" s="453"/>
      <c r="AL1294" s="454"/>
      <c r="AM1294" s="455"/>
      <c r="AN1294" s="456"/>
      <c r="AO1294" s="455"/>
      <c r="AP1294" s="452"/>
      <c r="AQ1294" s="457"/>
      <c r="AR1294" s="449"/>
      <c r="AS1294" s="449"/>
      <c r="AT1294" s="452"/>
      <c r="AU1294" s="457"/>
      <c r="AV1294" s="449"/>
      <c r="AW1294" s="458"/>
      <c r="AX1294" s="452"/>
      <c r="AY1294" s="457"/>
      <c r="AZ1294" s="449"/>
      <c r="BA1294" s="459"/>
      <c r="BB1294" s="455"/>
      <c r="BC1294" s="460"/>
      <c r="BD1294" s="460"/>
      <c r="BG1294" s="462"/>
    </row>
    <row r="1295" spans="1:59" s="461" customFormat="1" ht="18" customHeight="1" x14ac:dyDescent="0.2">
      <c r="A1295" s="1368" t="str">
        <f t="shared" si="975"/>
        <v>PASIR MAS - SAKO MARGASARI2017</v>
      </c>
      <c r="B1295" s="1373"/>
      <c r="C1295" s="488"/>
      <c r="D1295" s="489"/>
      <c r="E1295" s="558"/>
      <c r="F1295" s="559">
        <v>2017</v>
      </c>
      <c r="G1295" s="619">
        <v>0</v>
      </c>
      <c r="H1295" s="464">
        <f>IF(N1294-(F1295-F1294)&lt;=0,0,(N1294-(F1295-F1294)))</f>
        <v>8</v>
      </c>
      <c r="I1295" s="467"/>
      <c r="J1295" s="468">
        <f t="shared" si="976"/>
        <v>2024</v>
      </c>
      <c r="K1295" s="490">
        <f>IF(G1295=0,0,IF(H1295=10,100%,G1295/W1294))</f>
        <v>0</v>
      </c>
      <c r="L1295" s="469">
        <f>IF(K1295=0%,0,IF(K1295&lt;=30%,2,IF(K1295&lt;=60%,5,10)))</f>
        <v>0</v>
      </c>
      <c r="M1295" s="683">
        <f>IF(OR(AND(ISBLANK(E1295),ISBLANK(G1295)),ISTEXT(E1295),ISTEXT(G1295)),"",IF(H1295+L1295&gt;$H$8,$H$8-H1295,L1295))</f>
        <v>0</v>
      </c>
      <c r="N1295" s="470">
        <f>IF(OR(AND(ISBLANK(F1295),ISBLANK(G1295)),ISTEXT(F1295),ISTEXT(G1295)),"",H1295+M1295)</f>
        <v>8</v>
      </c>
      <c r="O1295" s="468">
        <f t="shared" si="977"/>
        <v>2024</v>
      </c>
      <c r="P1295" s="616">
        <f>W1294</f>
        <v>3030767878.7199998</v>
      </c>
      <c r="Q1295" s="472">
        <f>P1295+G1295</f>
        <v>3030767878.7199998</v>
      </c>
      <c r="R1295" s="472">
        <f>IF(L1295=0,R1294,Q1295/N1295)</f>
        <v>378845984.84000003</v>
      </c>
      <c r="S1295" s="1183">
        <f t="shared" si="978"/>
        <v>2017</v>
      </c>
      <c r="T1295" s="470">
        <f>S1295-S1294</f>
        <v>1</v>
      </c>
      <c r="U1295" s="612">
        <f t="shared" si="979"/>
        <v>378845984.84000003</v>
      </c>
      <c r="V1295" s="464">
        <f t="shared" si="980"/>
        <v>2017</v>
      </c>
      <c r="W1295" s="612">
        <f>IF(OR(AND(ISBLANK(E1295),ISBLANK(G1295)),ISTEXT(E1295),ISTEXT(G1295)),"",Q1295-U1295)</f>
        <v>2651921893.8799996</v>
      </c>
      <c r="X1295" s="561"/>
      <c r="Y1295" s="449"/>
      <c r="Z1295" s="449"/>
      <c r="AA1295" s="554"/>
      <c r="AB1295" s="452"/>
      <c r="AC1295" s="452"/>
      <c r="AD1295" s="566"/>
      <c r="AE1295" s="452"/>
      <c r="AF1295" s="571"/>
      <c r="AG1295" s="452"/>
      <c r="AH1295" s="452"/>
      <c r="AI1295" s="453"/>
      <c r="AJ1295" s="449"/>
      <c r="AK1295" s="453"/>
      <c r="AL1295" s="454"/>
      <c r="AM1295" s="455"/>
      <c r="AN1295" s="456"/>
      <c r="AO1295" s="455"/>
      <c r="AP1295" s="452"/>
      <c r="AQ1295" s="457"/>
      <c r="AR1295" s="449"/>
      <c r="AS1295" s="449"/>
      <c r="AT1295" s="452"/>
      <c r="AU1295" s="457"/>
      <c r="AV1295" s="449"/>
      <c r="AW1295" s="458"/>
      <c r="AX1295" s="452"/>
      <c r="AY1295" s="457"/>
      <c r="AZ1295" s="449"/>
      <c r="BA1295" s="459"/>
      <c r="BB1295" s="455"/>
      <c r="BC1295" s="460"/>
      <c r="BD1295" s="460"/>
      <c r="BG1295" s="462"/>
    </row>
    <row r="1296" spans="1:59" s="486" customFormat="1" ht="18" customHeight="1" x14ac:dyDescent="0.2">
      <c r="A1296" s="1368" t="str">
        <f t="shared" si="975"/>
        <v>PASIR MAS - SAKO MARGASARI2018</v>
      </c>
      <c r="B1296" s="1373"/>
      <c r="C1296" s="488"/>
      <c r="D1296" s="489"/>
      <c r="E1296" s="558"/>
      <c r="F1296" s="559">
        <v>2018</v>
      </c>
      <c r="G1296" s="619">
        <v>0</v>
      </c>
      <c r="H1296" s="464">
        <f>IF(N1295-(F1296-F1295)&lt;=0,0,(N1295-(F1296-F1295)))</f>
        <v>7</v>
      </c>
      <c r="I1296" s="467"/>
      <c r="J1296" s="468">
        <f t="shared" si="976"/>
        <v>2024</v>
      </c>
      <c r="K1296" s="490">
        <f>IF(G1296=0,0,IF(H1296=10,100%,G1296/W1295))</f>
        <v>0</v>
      </c>
      <c r="L1296" s="469">
        <f>IF(K1296=0%,0,IF(K1296&lt;=30%,2,IF(K1296&lt;=60%,5,10)))</f>
        <v>0</v>
      </c>
      <c r="M1296" s="683">
        <f>IF(OR(AND(ISBLANK(E1296),ISBLANK(G1296)),ISTEXT(E1296),ISTEXT(G1296)),"",IF(H1296+L1296&gt;$H$8,$H$8-H1296,L1296))</f>
        <v>0</v>
      </c>
      <c r="N1296" s="470">
        <f>IF(OR(AND(ISBLANK(F1296),ISBLANK(G1296)),ISTEXT(F1296),ISTEXT(G1296)),"",H1296+M1296)</f>
        <v>7</v>
      </c>
      <c r="O1296" s="468">
        <f t="shared" si="977"/>
        <v>2024</v>
      </c>
      <c r="P1296" s="616">
        <f>W1295</f>
        <v>2651921893.8799996</v>
      </c>
      <c r="Q1296" s="472">
        <f>P1296+G1296</f>
        <v>2651921893.8799996</v>
      </c>
      <c r="R1296" s="472">
        <f>IF(L1296=0,R1295,Q1296/N1296)</f>
        <v>378845984.84000003</v>
      </c>
      <c r="S1296" s="1183">
        <f t="shared" si="978"/>
        <v>2018</v>
      </c>
      <c r="T1296" s="470">
        <f>S1296-S1295</f>
        <v>1</v>
      </c>
      <c r="U1296" s="612">
        <f t="shared" si="979"/>
        <v>378845984.84000003</v>
      </c>
      <c r="V1296" s="464">
        <f t="shared" si="980"/>
        <v>2018</v>
      </c>
      <c r="W1296" s="612">
        <f>IF(OR(AND(ISBLANK(E1296),ISBLANK(G1296)),ISTEXT(E1296),ISTEXT(G1296)),"",Q1296-U1296)</f>
        <v>2273075909.0399995</v>
      </c>
      <c r="X1296" s="473"/>
      <c r="Y1296" s="474"/>
      <c r="Z1296" s="449"/>
      <c r="AA1296" s="475" t="s">
        <v>4180</v>
      </c>
      <c r="AB1296" s="476"/>
      <c r="AC1296" s="476"/>
      <c r="AD1296" s="567">
        <f>G1301</f>
        <v>3979841624.1999998</v>
      </c>
      <c r="AE1296" s="476"/>
      <c r="AF1296" s="568"/>
      <c r="AG1296" s="476"/>
      <c r="AH1296" s="476"/>
      <c r="AI1296" s="477"/>
      <c r="AJ1296" s="478"/>
      <c r="AK1296" s="479"/>
      <c r="AL1296" s="480"/>
      <c r="AM1296" s="474"/>
      <c r="AN1296" s="481"/>
      <c r="AO1296" s="474"/>
      <c r="AP1296" s="476"/>
      <c r="AQ1296" s="482"/>
      <c r="AR1296" s="478"/>
      <c r="AS1296" s="478"/>
      <c r="AT1296" s="476"/>
      <c r="AU1296" s="482"/>
      <c r="AV1296" s="478"/>
      <c r="AW1296" s="483"/>
      <c r="AX1296" s="476"/>
      <c r="AY1296" s="482"/>
      <c r="AZ1296" s="478"/>
      <c r="BA1296" s="484"/>
      <c r="BB1296" s="474"/>
      <c r="BC1296" s="485"/>
      <c r="BD1296" s="485"/>
      <c r="BG1296" s="487"/>
    </row>
    <row r="1297" spans="1:59" s="486" customFormat="1" ht="18" customHeight="1" x14ac:dyDescent="0.2">
      <c r="A1297" s="1368" t="str">
        <f t="shared" si="975"/>
        <v>PASIR MAS - SAKO MARGASARI2019</v>
      </c>
      <c r="B1297" s="1373"/>
      <c r="C1297" s="488"/>
      <c r="D1297" s="489"/>
      <c r="E1297" s="558"/>
      <c r="F1297" s="559">
        <v>2019</v>
      </c>
      <c r="G1297" s="619">
        <v>0</v>
      </c>
      <c r="H1297" s="464">
        <f>IF(N1296-(F1297-F1296)&lt;=0,0,(N1296-(F1297-F1296)))</f>
        <v>6</v>
      </c>
      <c r="I1297" s="467"/>
      <c r="J1297" s="468">
        <f t="shared" si="976"/>
        <v>2024</v>
      </c>
      <c r="K1297" s="490">
        <f>IF(G1297=0,0,IF(H1297=10,100%,G1297/W1296))</f>
        <v>0</v>
      </c>
      <c r="L1297" s="469">
        <f>IF(K1297=0%,0,IF(K1297&lt;=30%,2,IF(K1297&lt;=60%,5,10)))</f>
        <v>0</v>
      </c>
      <c r="M1297" s="683">
        <f>IF(OR(AND(ISBLANK(E1297),ISBLANK(G1297)),ISTEXT(E1297),ISTEXT(G1297)),"",IF(H1297+L1297&gt;$H$8,$H$8-H1297,L1297))</f>
        <v>0</v>
      </c>
      <c r="N1297" s="470">
        <f>IF(OR(AND(ISBLANK(F1297),ISBLANK(G1297)),ISTEXT(F1297),ISTEXT(G1297)),"",H1297+M1297)</f>
        <v>6</v>
      </c>
      <c r="O1297" s="468">
        <f t="shared" si="977"/>
        <v>2024</v>
      </c>
      <c r="P1297" s="616">
        <f>W1296</f>
        <v>2273075909.0399995</v>
      </c>
      <c r="Q1297" s="472">
        <f>P1297+G1297</f>
        <v>2273075909.0399995</v>
      </c>
      <c r="R1297" s="472">
        <f>IF(L1297=0,R1296,Q1297/N1297)</f>
        <v>378845984.84000003</v>
      </c>
      <c r="S1297" s="1189">
        <f t="shared" si="978"/>
        <v>2019</v>
      </c>
      <c r="T1297" s="470">
        <f>S1297-S1296</f>
        <v>1</v>
      </c>
      <c r="U1297" s="612">
        <f t="shared" si="979"/>
        <v>378845984.84000003</v>
      </c>
      <c r="V1297" s="464">
        <f t="shared" si="980"/>
        <v>2019</v>
      </c>
      <c r="W1297" s="612">
        <f>IF(OR(AND(ISBLANK(E1297),ISBLANK(G1297)),ISTEXT(E1297),ISTEXT(G1297)),"",Q1297-U1297)</f>
        <v>1894229924.1999993</v>
      </c>
      <c r="X1297" s="473"/>
      <c r="Y1297" s="478"/>
      <c r="Z1297" s="449"/>
      <c r="AA1297" s="475" t="s">
        <v>4181</v>
      </c>
      <c r="AB1297" s="491"/>
      <c r="AC1297" s="491"/>
      <c r="AD1297" s="567">
        <f>U1301</f>
        <v>2085611700.0000005</v>
      </c>
      <c r="AE1297" s="491"/>
      <c r="AF1297" s="568"/>
      <c r="AG1297" s="491"/>
      <c r="AH1297" s="491"/>
      <c r="AI1297" s="477"/>
      <c r="AJ1297" s="478"/>
      <c r="AK1297" s="479"/>
      <c r="AL1297" s="480"/>
      <c r="AM1297" s="474"/>
      <c r="AN1297" s="481"/>
      <c r="AO1297" s="474"/>
      <c r="AP1297" s="476"/>
      <c r="AQ1297" s="482"/>
      <c r="AR1297" s="478"/>
      <c r="AS1297" s="478"/>
      <c r="AT1297" s="476"/>
      <c r="AU1297" s="482"/>
      <c r="AV1297" s="478"/>
      <c r="AW1297" s="483"/>
      <c r="AX1297" s="476"/>
      <c r="AY1297" s="482"/>
      <c r="AZ1297" s="478"/>
      <c r="BA1297" s="484"/>
      <c r="BB1297" s="474"/>
      <c r="BC1297" s="485"/>
      <c r="BD1297" s="485"/>
      <c r="BG1297" s="487"/>
    </row>
    <row r="1298" spans="1:59" s="486" customFormat="1" ht="18" customHeight="1" x14ac:dyDescent="0.2">
      <c r="A1298" s="1368" t="str">
        <f>LEFT(D1298,8)</f>
        <v/>
      </c>
      <c r="B1298" s="1373"/>
      <c r="C1298" s="488"/>
      <c r="D1298" s="489"/>
      <c r="E1298" s="558"/>
      <c r="F1298" s="466"/>
      <c r="G1298" s="619"/>
      <c r="H1298" s="464"/>
      <c r="I1298" s="467"/>
      <c r="J1298" s="468"/>
      <c r="K1298" s="574"/>
      <c r="L1298" s="469"/>
      <c r="M1298" s="683"/>
      <c r="N1298" s="470"/>
      <c r="O1298" s="468"/>
      <c r="P1298" s="616"/>
      <c r="Q1298" s="472"/>
      <c r="R1298" s="472"/>
      <c r="S1298" s="1183"/>
      <c r="T1298" s="470"/>
      <c r="U1298" s="612"/>
      <c r="V1298" s="464"/>
      <c r="W1298" s="612"/>
      <c r="X1298" s="473"/>
      <c r="Y1298" s="478"/>
      <c r="Z1298" s="449"/>
      <c r="AA1298" s="492" t="s">
        <v>4182</v>
      </c>
      <c r="AB1298" s="476"/>
      <c r="AC1298" s="476"/>
      <c r="AD1298" s="567">
        <f>AD1296-AD1297</f>
        <v>1894229924.1999993</v>
      </c>
      <c r="AE1298" s="476"/>
      <c r="AF1298" s="568"/>
      <c r="AG1298" s="476"/>
      <c r="AH1298" s="476"/>
      <c r="AI1298" s="477"/>
      <c r="AJ1298" s="478"/>
      <c r="AK1298" s="479"/>
      <c r="AL1298" s="480"/>
      <c r="AM1298" s="474"/>
      <c r="AN1298" s="481"/>
      <c r="AO1298" s="474"/>
      <c r="AP1298" s="476"/>
      <c r="AQ1298" s="482"/>
      <c r="AR1298" s="478"/>
      <c r="AS1298" s="478"/>
      <c r="AT1298" s="476"/>
      <c r="AU1298" s="482"/>
      <c r="AV1298" s="478"/>
      <c r="AW1298" s="483"/>
      <c r="AX1298" s="476"/>
      <c r="AY1298" s="482"/>
      <c r="AZ1298" s="478"/>
      <c r="BA1298" s="484"/>
      <c r="BB1298" s="474"/>
      <c r="BC1298" s="485"/>
      <c r="BD1298" s="485"/>
      <c r="BG1298" s="487"/>
    </row>
    <row r="1299" spans="1:59" s="486" customFormat="1" ht="18" customHeight="1" x14ac:dyDescent="0.2">
      <c r="A1299" s="1368" t="str">
        <f>LEFT(D1299,8)</f>
        <v/>
      </c>
      <c r="B1299" s="687"/>
      <c r="C1299" s="463"/>
      <c r="D1299" s="489"/>
      <c r="E1299" s="465"/>
      <c r="F1299" s="466"/>
      <c r="G1299" s="620">
        <v>0</v>
      </c>
      <c r="H1299" s="464"/>
      <c r="I1299" s="467"/>
      <c r="J1299" s="468"/>
      <c r="K1299" s="574"/>
      <c r="L1299" s="469"/>
      <c r="M1299" s="683"/>
      <c r="N1299" s="470"/>
      <c r="O1299" s="468"/>
      <c r="P1299" s="616"/>
      <c r="Q1299" s="472"/>
      <c r="R1299" s="472"/>
      <c r="S1299" s="1183"/>
      <c r="T1299" s="470"/>
      <c r="U1299" s="612"/>
      <c r="V1299" s="464"/>
      <c r="W1299" s="612"/>
      <c r="X1299" s="473"/>
      <c r="Y1299" s="478"/>
      <c r="Z1299" s="449"/>
      <c r="AA1299" s="531" t="s">
        <v>4183</v>
      </c>
      <c r="AB1299" s="496"/>
      <c r="AC1299" s="496"/>
      <c r="AD1299" s="569">
        <f>AD1298-W1301</f>
        <v>0</v>
      </c>
      <c r="AE1299" s="476"/>
      <c r="AF1299" s="568"/>
      <c r="AG1299" s="476"/>
      <c r="AH1299" s="476"/>
      <c r="AI1299" s="477"/>
      <c r="AJ1299" s="478"/>
      <c r="AK1299" s="479"/>
      <c r="AL1299" s="480"/>
      <c r="AM1299" s="474"/>
      <c r="AN1299" s="481"/>
      <c r="AO1299" s="474"/>
      <c r="AP1299" s="476"/>
      <c r="AQ1299" s="482"/>
      <c r="AR1299" s="478"/>
      <c r="AS1299" s="478"/>
      <c r="AT1299" s="476"/>
      <c r="AU1299" s="482"/>
      <c r="AV1299" s="478"/>
      <c r="AW1299" s="483"/>
      <c r="AX1299" s="476"/>
      <c r="AY1299" s="482"/>
      <c r="AZ1299" s="478"/>
      <c r="BA1299" s="484"/>
      <c r="BB1299" s="474"/>
      <c r="BC1299" s="485"/>
      <c r="BD1299" s="485"/>
      <c r="BG1299" s="487"/>
    </row>
    <row r="1300" spans="1:59" s="486" customFormat="1" ht="18" customHeight="1" x14ac:dyDescent="0.2">
      <c r="A1300" s="1368" t="str">
        <f>LEFT(D1300,8)</f>
        <v/>
      </c>
      <c r="B1300" s="687"/>
      <c r="C1300" s="463"/>
      <c r="D1300" s="489"/>
      <c r="E1300" s="465"/>
      <c r="F1300" s="466"/>
      <c r="G1300" s="620"/>
      <c r="H1300" s="464"/>
      <c r="I1300" s="467"/>
      <c r="J1300" s="468"/>
      <c r="K1300" s="574"/>
      <c r="L1300" s="469"/>
      <c r="M1300" s="683"/>
      <c r="N1300" s="470"/>
      <c r="O1300" s="468"/>
      <c r="P1300" s="616"/>
      <c r="Q1300" s="472"/>
      <c r="R1300" s="472"/>
      <c r="S1300" s="1183"/>
      <c r="T1300" s="470"/>
      <c r="U1300" s="612"/>
      <c r="V1300" s="464"/>
      <c r="W1300" s="612"/>
      <c r="X1300" s="473"/>
      <c r="Y1300" s="478"/>
      <c r="Z1300" s="449"/>
      <c r="AA1300" s="573"/>
      <c r="AB1300" s="476"/>
      <c r="AC1300" s="476"/>
      <c r="AD1300" s="568"/>
      <c r="AE1300" s="476"/>
      <c r="AF1300" s="568"/>
      <c r="AG1300" s="476"/>
      <c r="AH1300" s="476"/>
      <c r="AI1300" s="477"/>
      <c r="AJ1300" s="478"/>
      <c r="AK1300" s="479"/>
      <c r="AL1300" s="480"/>
      <c r="AM1300" s="474"/>
      <c r="AN1300" s="481"/>
      <c r="AO1300" s="474"/>
      <c r="AP1300" s="476"/>
      <c r="AQ1300" s="482"/>
      <c r="AR1300" s="478"/>
      <c r="AS1300" s="478"/>
      <c r="AT1300" s="476"/>
      <c r="AU1300" s="482"/>
      <c r="AV1300" s="478"/>
      <c r="AW1300" s="483"/>
      <c r="AX1300" s="476"/>
      <c r="AY1300" s="482"/>
      <c r="AZ1300" s="478"/>
      <c r="BA1300" s="484"/>
      <c r="BB1300" s="474"/>
      <c r="BC1300" s="485"/>
      <c r="BD1300" s="485"/>
      <c r="BG1300" s="487"/>
    </row>
    <row r="1301" spans="1:59" s="526" customFormat="1" ht="18" customHeight="1" x14ac:dyDescent="0.2">
      <c r="A1301" s="1370" t="s">
        <v>4184</v>
      </c>
      <c r="B1301" s="1956" t="s">
        <v>4184</v>
      </c>
      <c r="C1301" s="1957"/>
      <c r="D1301" s="1957"/>
      <c r="E1301" s="1957"/>
      <c r="F1301" s="1958"/>
      <c r="G1301" s="624">
        <f>SUM(G1292:G1300)</f>
        <v>3979841624.1999998</v>
      </c>
      <c r="H1301" s="505"/>
      <c r="I1301" s="506"/>
      <c r="J1301" s="507"/>
      <c r="K1301" s="507"/>
      <c r="L1301" s="505"/>
      <c r="M1301" s="684"/>
      <c r="N1301" s="508"/>
      <c r="O1301" s="507"/>
      <c r="P1301" s="749"/>
      <c r="Q1301" s="510"/>
      <c r="R1301" s="511"/>
      <c r="S1301" s="512"/>
      <c r="T1301" s="512"/>
      <c r="U1301" s="610">
        <f>SUM(U1292:U1300)</f>
        <v>2085611700.0000005</v>
      </c>
      <c r="V1301" s="513"/>
      <c r="W1301" s="610">
        <f>G1301-U1301</f>
        <v>1894229924.1999993</v>
      </c>
      <c r="X1301" s="514"/>
      <c r="Y1301" s="515"/>
      <c r="Z1301" s="515"/>
      <c r="AA1301" s="515"/>
      <c r="AB1301" s="515"/>
      <c r="AC1301" s="515"/>
      <c r="AD1301" s="570"/>
      <c r="AE1301" s="515"/>
      <c r="AF1301" s="570">
        <v>1111060944.4319999</v>
      </c>
      <c r="AG1301" s="515"/>
      <c r="AH1301" s="515"/>
      <c r="AI1301" s="516"/>
      <c r="AJ1301" s="517"/>
      <c r="AK1301" s="518"/>
      <c r="AL1301" s="519"/>
      <c r="AM1301" s="520"/>
      <c r="AN1301" s="521"/>
      <c r="AO1301" s="520"/>
      <c r="AP1301" s="515"/>
      <c r="AQ1301" s="522"/>
      <c r="AR1301" s="517"/>
      <c r="AS1301" s="517"/>
      <c r="AT1301" s="515"/>
      <c r="AU1301" s="522"/>
      <c r="AV1301" s="517"/>
      <c r="AW1301" s="523"/>
      <c r="AX1301" s="515"/>
      <c r="AY1301" s="522"/>
      <c r="AZ1301" s="517"/>
      <c r="BA1301" s="524"/>
      <c r="BB1301" s="520"/>
      <c r="BC1301" s="525"/>
      <c r="BD1301" s="525"/>
      <c r="BG1301" s="527"/>
    </row>
    <row r="1304" spans="1:59" s="422" customFormat="1" ht="18" customHeight="1" x14ac:dyDescent="0.2">
      <c r="A1304" s="1366">
        <f>C1304</f>
        <v>235</v>
      </c>
      <c r="B1304" s="742" t="s">
        <v>4187</v>
      </c>
      <c r="C1304" s="556">
        <v>235</v>
      </c>
      <c r="D1304" s="553" t="str">
        <f>VLOOKUP(C1304,RUAS,2,FALSE)</f>
        <v>AIR MAS - SEI. KERANJI</v>
      </c>
      <c r="E1304" s="553"/>
      <c r="F1304" s="421"/>
      <c r="G1304" s="611"/>
      <c r="I1304" s="423"/>
      <c r="J1304" s="424"/>
      <c r="K1304" s="424"/>
      <c r="M1304" s="680"/>
      <c r="P1304" s="611"/>
      <c r="U1304" s="611"/>
      <c r="W1304" s="611"/>
      <c r="Y1304" s="425"/>
      <c r="Z1304" s="425"/>
      <c r="AA1304" s="425"/>
      <c r="AB1304" s="425"/>
      <c r="AC1304" s="425"/>
      <c r="AD1304" s="563"/>
      <c r="AE1304" s="425"/>
      <c r="AF1304" s="563"/>
      <c r="AG1304" s="425"/>
      <c r="AH1304" s="425"/>
      <c r="AI1304" s="425"/>
      <c r="AJ1304" s="425"/>
      <c r="AK1304" s="425"/>
      <c r="AL1304" s="425"/>
      <c r="AM1304" s="425"/>
      <c r="AN1304" s="425"/>
      <c r="AO1304" s="425"/>
      <c r="AP1304" s="425"/>
      <c r="AQ1304" s="425"/>
      <c r="AR1304" s="425"/>
      <c r="AS1304" s="425"/>
      <c r="AT1304" s="425"/>
      <c r="AU1304" s="425"/>
      <c r="AV1304" s="425"/>
      <c r="AW1304" s="425"/>
      <c r="AX1304" s="425"/>
      <c r="AY1304" s="425"/>
      <c r="AZ1304" s="425"/>
      <c r="BA1304" s="425"/>
      <c r="BB1304" s="425"/>
    </row>
    <row r="1305" spans="1:59" s="431" customFormat="1" ht="18" customHeight="1" x14ac:dyDescent="0.2">
      <c r="A1305" s="1367"/>
      <c r="B1305" s="1968" t="s">
        <v>5</v>
      </c>
      <c r="C1305" s="1968" t="s">
        <v>2280</v>
      </c>
      <c r="D1305" s="1968" t="s">
        <v>4157</v>
      </c>
      <c r="E1305" s="1968" t="s">
        <v>4158</v>
      </c>
      <c r="F1305" s="1968"/>
      <c r="G1305" s="1969" t="s">
        <v>4159</v>
      </c>
      <c r="H1305" s="1968" t="s">
        <v>4160</v>
      </c>
      <c r="I1305" s="1968"/>
      <c r="J1305" s="1968" t="s">
        <v>4185</v>
      </c>
      <c r="K1305" s="1964" t="s">
        <v>4162</v>
      </c>
      <c r="L1305" s="1968" t="s">
        <v>4163</v>
      </c>
      <c r="M1305" s="1971" t="s">
        <v>4164</v>
      </c>
      <c r="N1305" s="1962" t="s">
        <v>4165</v>
      </c>
      <c r="O1305" s="1968" t="s">
        <v>4166</v>
      </c>
      <c r="P1305" s="1972" t="s">
        <v>4167</v>
      </c>
      <c r="Q1305" s="1973"/>
      <c r="R1305" s="636" t="s">
        <v>4186</v>
      </c>
      <c r="S1305" s="1972" t="s">
        <v>4169</v>
      </c>
      <c r="T1305" s="1974"/>
      <c r="U1305" s="1973"/>
      <c r="V1305" s="1975" t="s">
        <v>4170</v>
      </c>
      <c r="W1305" s="1975"/>
      <c r="X1305" s="1960" t="s">
        <v>4171</v>
      </c>
      <c r="Y1305" s="1959"/>
      <c r="Z1305" s="633"/>
      <c r="AA1305" s="426"/>
      <c r="AB1305" s="426"/>
      <c r="AC1305" s="426"/>
      <c r="AD1305" s="564"/>
      <c r="AE1305" s="426"/>
      <c r="AF1305" s="564"/>
      <c r="AG1305" s="426"/>
      <c r="AH1305" s="426"/>
      <c r="AI1305" s="427"/>
      <c r="AJ1305" s="427"/>
      <c r="AK1305" s="427"/>
      <c r="AL1305" s="427"/>
      <c r="AM1305" s="428"/>
      <c r="AN1305" s="427"/>
      <c r="AO1305" s="427"/>
      <c r="AP1305" s="426"/>
      <c r="AQ1305" s="427"/>
      <c r="AR1305" s="427"/>
      <c r="AS1305" s="427"/>
      <c r="AT1305" s="426"/>
      <c r="AU1305" s="427"/>
      <c r="AV1305" s="427"/>
      <c r="AW1305" s="427"/>
      <c r="AX1305" s="426"/>
      <c r="AY1305" s="427"/>
      <c r="AZ1305" s="427"/>
      <c r="BA1305" s="427"/>
      <c r="BB1305" s="429"/>
      <c r="BC1305" s="430"/>
      <c r="BD1305" s="430"/>
    </row>
    <row r="1306" spans="1:59" s="431" customFormat="1" ht="18" customHeight="1" x14ac:dyDescent="0.2">
      <c r="A1306" s="1367"/>
      <c r="B1306" s="1968"/>
      <c r="C1306" s="1968"/>
      <c r="D1306" s="1968"/>
      <c r="E1306" s="1968"/>
      <c r="F1306" s="1968"/>
      <c r="G1306" s="1969"/>
      <c r="H1306" s="1968"/>
      <c r="I1306" s="1968"/>
      <c r="J1306" s="1968"/>
      <c r="K1306" s="1970"/>
      <c r="L1306" s="1968"/>
      <c r="M1306" s="1971"/>
      <c r="N1306" s="1963"/>
      <c r="O1306" s="1968"/>
      <c r="P1306" s="2037" t="s">
        <v>4172</v>
      </c>
      <c r="Q1306" s="1960" t="s">
        <v>4173</v>
      </c>
      <c r="R1306" s="1962" t="s">
        <v>4159</v>
      </c>
      <c r="S1306" s="1962" t="s">
        <v>4174</v>
      </c>
      <c r="T1306" s="1964" t="s">
        <v>4175</v>
      </c>
      <c r="U1306" s="1966" t="s">
        <v>4159</v>
      </c>
      <c r="V1306" s="1975"/>
      <c r="W1306" s="1975"/>
      <c r="X1306" s="1976"/>
      <c r="Y1306" s="1959"/>
      <c r="Z1306" s="633"/>
      <c r="AA1306" s="426"/>
      <c r="AB1306" s="426"/>
      <c r="AC1306" s="426"/>
      <c r="AD1306" s="564"/>
      <c r="AE1306" s="426"/>
      <c r="AF1306" s="564"/>
      <c r="AG1306" s="426"/>
      <c r="AH1306" s="426"/>
      <c r="AI1306" s="427"/>
      <c r="AJ1306" s="427"/>
      <c r="AK1306" s="426"/>
      <c r="AL1306" s="427"/>
      <c r="AM1306" s="428"/>
      <c r="AN1306" s="427"/>
      <c r="AO1306" s="427"/>
      <c r="AP1306" s="432"/>
      <c r="AQ1306" s="427"/>
      <c r="AR1306" s="427"/>
      <c r="AS1306" s="427"/>
      <c r="AT1306" s="432"/>
      <c r="AU1306" s="427"/>
      <c r="AV1306" s="427"/>
      <c r="AW1306" s="427"/>
      <c r="AX1306" s="432"/>
      <c r="AY1306" s="427"/>
      <c r="AZ1306" s="427"/>
      <c r="BA1306" s="427"/>
      <c r="BB1306" s="429"/>
      <c r="BC1306" s="430"/>
      <c r="BD1306" s="430"/>
    </row>
    <row r="1307" spans="1:59" s="431" customFormat="1" ht="18" customHeight="1" x14ac:dyDescent="0.2">
      <c r="A1307" s="1367"/>
      <c r="B1307" s="1968"/>
      <c r="C1307" s="1968"/>
      <c r="D1307" s="1968"/>
      <c r="E1307" s="433" t="s">
        <v>4176</v>
      </c>
      <c r="F1307" s="434" t="s">
        <v>2288</v>
      </c>
      <c r="G1307" s="1969"/>
      <c r="H1307" s="635" t="s">
        <v>2288</v>
      </c>
      <c r="I1307" s="635" t="s">
        <v>4177</v>
      </c>
      <c r="J1307" s="1968"/>
      <c r="K1307" s="1965"/>
      <c r="L1307" s="435" t="s">
        <v>2288</v>
      </c>
      <c r="M1307" s="681" t="s">
        <v>2288</v>
      </c>
      <c r="N1307" s="635" t="s">
        <v>2288</v>
      </c>
      <c r="O1307" s="1968"/>
      <c r="P1307" s="2038"/>
      <c r="Q1307" s="1961"/>
      <c r="R1307" s="1963"/>
      <c r="S1307" s="1963"/>
      <c r="T1307" s="1965"/>
      <c r="U1307" s="1967"/>
      <c r="V1307" s="635" t="s">
        <v>4178</v>
      </c>
      <c r="W1307" s="637" t="s">
        <v>4159</v>
      </c>
      <c r="X1307" s="1961"/>
      <c r="Y1307" s="436"/>
      <c r="Z1307" s="436"/>
      <c r="AA1307" s="426"/>
      <c r="AB1307" s="426"/>
      <c r="AC1307" s="426"/>
      <c r="AD1307" s="564"/>
      <c r="AE1307" s="426"/>
      <c r="AF1307" s="564"/>
      <c r="AG1307" s="426"/>
      <c r="AH1307" s="426"/>
      <c r="AI1307" s="427"/>
      <c r="AJ1307" s="432"/>
      <c r="AK1307" s="432"/>
      <c r="AL1307" s="427"/>
      <c r="AM1307" s="428"/>
      <c r="AN1307" s="432"/>
      <c r="AO1307" s="427"/>
      <c r="AP1307" s="432"/>
      <c r="AQ1307" s="432"/>
      <c r="AR1307" s="427"/>
      <c r="AS1307" s="427"/>
      <c r="AT1307" s="432"/>
      <c r="AU1307" s="432"/>
      <c r="AV1307" s="427"/>
      <c r="AW1307" s="427"/>
      <c r="AX1307" s="432"/>
      <c r="AY1307" s="432"/>
      <c r="AZ1307" s="427"/>
      <c r="BA1307" s="427"/>
      <c r="BB1307" s="429"/>
      <c r="BC1307" s="430"/>
      <c r="BD1307" s="430"/>
    </row>
    <row r="1308" spans="1:59" s="461" customFormat="1" ht="18" customHeight="1" x14ac:dyDescent="0.2">
      <c r="A1308" s="1368" t="str">
        <f>$D$1304&amp;S1308</f>
        <v>AIR MAS - SEI. KERANJI2001</v>
      </c>
      <c r="B1308" s="1373">
        <v>1</v>
      </c>
      <c r="C1308" s="532" t="s">
        <v>696</v>
      </c>
      <c r="D1308" s="437" t="s">
        <v>3821</v>
      </c>
      <c r="E1308" s="438"/>
      <c r="F1308" s="439">
        <v>2001</v>
      </c>
      <c r="G1308" s="623">
        <v>1229280000</v>
      </c>
      <c r="H1308" s="440">
        <f>VLOOKUP(LEFT(D1308,8),UE,4)</f>
        <v>10</v>
      </c>
      <c r="I1308" s="441"/>
      <c r="J1308" s="442">
        <f t="shared" ref="J1308:J1318" si="981">F1308+N1308-1</f>
        <v>2010</v>
      </c>
      <c r="K1308" s="443"/>
      <c r="L1308" s="440"/>
      <c r="M1308" s="746">
        <f>IF(H1308+L1308&gt;$H1308,$H1308-H1308,L1308)</f>
        <v>0</v>
      </c>
      <c r="N1308" s="444">
        <f>H1308+M1308</f>
        <v>10</v>
      </c>
      <c r="O1308" s="442">
        <f t="shared" ref="O1308:O1318" si="982">F1308+N1308-1</f>
        <v>2010</v>
      </c>
      <c r="P1308" s="617">
        <f>G1308</f>
        <v>1229280000</v>
      </c>
      <c r="Q1308" s="445">
        <v>0</v>
      </c>
      <c r="R1308" s="445">
        <f>P1308/N1308</f>
        <v>122928000</v>
      </c>
      <c r="S1308" s="446">
        <f t="shared" ref="S1308:S1318" si="983">F1308</f>
        <v>2001</v>
      </c>
      <c r="T1308" s="447">
        <v>1</v>
      </c>
      <c r="U1308" s="613">
        <f t="shared" ref="U1308:U1318" si="984">R1308*T1308</f>
        <v>122928000</v>
      </c>
      <c r="V1308" s="442">
        <f t="shared" ref="V1308:V1318" si="985">F1308</f>
        <v>2001</v>
      </c>
      <c r="W1308" s="617">
        <f>IF(OR(AND(ISBLANK(E1308),ISBLANK(G1308)),ISTEXT(E1308),ISTEXT(G1308)),"",G1308-R1308)</f>
        <v>1106352000</v>
      </c>
      <c r="X1308" s="448"/>
      <c r="Y1308" s="449"/>
      <c r="Z1308" s="449"/>
      <c r="AA1308" s="693"/>
      <c r="AB1308" s="452"/>
      <c r="AC1308" s="452"/>
      <c r="AD1308" s="571"/>
      <c r="AE1308" s="452"/>
      <c r="AF1308" s="571"/>
      <c r="AG1308" s="452"/>
      <c r="AH1308" s="452"/>
      <c r="AI1308" s="453"/>
      <c r="AJ1308" s="449"/>
      <c r="AK1308" s="453"/>
      <c r="AL1308" s="454"/>
      <c r="AM1308" s="455"/>
      <c r="AN1308" s="456"/>
      <c r="AO1308" s="455"/>
      <c r="AP1308" s="452"/>
      <c r="AQ1308" s="457"/>
      <c r="AR1308" s="449"/>
      <c r="AS1308" s="449"/>
      <c r="AT1308" s="452"/>
      <c r="AU1308" s="457"/>
      <c r="AV1308" s="449"/>
      <c r="AW1308" s="458"/>
      <c r="AX1308" s="452"/>
      <c r="AY1308" s="457"/>
      <c r="AZ1308" s="449"/>
      <c r="BA1308" s="459"/>
      <c r="BB1308" s="455"/>
      <c r="BC1308" s="460"/>
      <c r="BD1308" s="460"/>
      <c r="BG1308" s="462"/>
    </row>
    <row r="1309" spans="1:59" s="461" customFormat="1" ht="18" customHeight="1" x14ac:dyDescent="0.2">
      <c r="A1309" s="1368" t="str">
        <f t="shared" ref="A1309:A1318" si="986">$D$1304&amp;S1309</f>
        <v>AIR MAS - SEI. KERANJI2010</v>
      </c>
      <c r="B1309" s="1373"/>
      <c r="C1309" s="488"/>
      <c r="D1309" s="489"/>
      <c r="E1309" s="558"/>
      <c r="F1309" s="559">
        <v>2010</v>
      </c>
      <c r="G1309" s="619">
        <v>0</v>
      </c>
      <c r="H1309" s="464">
        <f>IF(N1308-(F1309-F1308)&lt;=0,0,(N1308-(F1309-F1308)))</f>
        <v>1</v>
      </c>
      <c r="I1309" s="467"/>
      <c r="J1309" s="468">
        <f t="shared" si="981"/>
        <v>2010</v>
      </c>
      <c r="K1309" s="490">
        <f t="shared" ref="K1309:K1318" si="987">IF(G1309=0,0,IF(H1309=10,100%,G1309/W1308))</f>
        <v>0</v>
      </c>
      <c r="L1309" s="469">
        <f t="shared" ref="L1309:L1318" si="988">IF(K1309=0%,0,IF(K1309&lt;=30%,2,IF(K1309&lt;=60%,5,10)))</f>
        <v>0</v>
      </c>
      <c r="M1309" s="683">
        <f t="shared" ref="M1309:M1318" si="989">IF(OR(AND(ISBLANK(E1309),ISBLANK(G1309)),ISTEXT(E1309),ISTEXT(G1309)),"",IF(H1309+L1309&gt;$H$8,$H$8-H1309,L1309))</f>
        <v>0</v>
      </c>
      <c r="N1309" s="470">
        <f t="shared" ref="N1309:N1318" si="990">IF(OR(AND(ISBLANK(F1309),ISBLANK(G1309)),ISTEXT(F1309),ISTEXT(G1309)),"",H1309+M1309)</f>
        <v>1</v>
      </c>
      <c r="O1309" s="468">
        <f t="shared" si="982"/>
        <v>2010</v>
      </c>
      <c r="P1309" s="616">
        <f t="shared" ref="P1309:P1318" si="991">W1308</f>
        <v>1106352000</v>
      </c>
      <c r="Q1309" s="472">
        <f t="shared" ref="Q1309:Q1318" si="992">P1309+G1309</f>
        <v>1106352000</v>
      </c>
      <c r="R1309" s="472">
        <f>IF(L1309=0,R1308,Q1309/N1309)</f>
        <v>122928000</v>
      </c>
      <c r="S1309" s="759">
        <f t="shared" si="983"/>
        <v>2010</v>
      </c>
      <c r="T1309" s="470">
        <f t="shared" ref="T1309:T1318" si="993">S1309-S1308</f>
        <v>9</v>
      </c>
      <c r="U1309" s="612">
        <f t="shared" si="984"/>
        <v>1106352000</v>
      </c>
      <c r="V1309" s="464">
        <f t="shared" si="985"/>
        <v>2010</v>
      </c>
      <c r="W1309" s="612">
        <f t="shared" ref="W1309:W1318" si="994">IF(OR(AND(ISBLANK(E1309),ISBLANK(G1309)),ISTEXT(E1309),ISTEXT(G1309)),"",Q1309-U1309)</f>
        <v>0</v>
      </c>
      <c r="X1309" s="561"/>
      <c r="Y1309" s="449"/>
      <c r="Z1309" s="449"/>
      <c r="AA1309" s="694"/>
      <c r="AB1309" s="692"/>
      <c r="AC1309" s="692"/>
      <c r="AD1309" s="695"/>
      <c r="AE1309" s="452"/>
      <c r="AF1309" s="571"/>
      <c r="AG1309" s="452"/>
      <c r="AH1309" s="452"/>
      <c r="AI1309" s="453"/>
      <c r="AJ1309" s="449"/>
      <c r="AK1309" s="453"/>
      <c r="AL1309" s="454"/>
      <c r="AM1309" s="455"/>
      <c r="AN1309" s="456"/>
      <c r="AO1309" s="455"/>
      <c r="AP1309" s="452"/>
      <c r="AQ1309" s="457"/>
      <c r="AR1309" s="449"/>
      <c r="AS1309" s="449"/>
      <c r="AT1309" s="452"/>
      <c r="AU1309" s="457"/>
      <c r="AV1309" s="449"/>
      <c r="AW1309" s="458"/>
      <c r="AX1309" s="452"/>
      <c r="AY1309" s="457"/>
      <c r="AZ1309" s="449"/>
      <c r="BA1309" s="459"/>
      <c r="BB1309" s="455"/>
      <c r="BC1309" s="460"/>
      <c r="BD1309" s="460"/>
      <c r="BG1309" s="462"/>
    </row>
    <row r="1310" spans="1:59" s="461" customFormat="1" ht="18" customHeight="1" x14ac:dyDescent="0.2">
      <c r="A1310" s="1368" t="str">
        <f t="shared" si="986"/>
        <v>AIR MAS - SEI. KERANJI2011</v>
      </c>
      <c r="B1310" s="1373"/>
      <c r="C1310" s="488"/>
      <c r="D1310" s="489"/>
      <c r="E1310" s="558"/>
      <c r="F1310" s="559">
        <v>2011</v>
      </c>
      <c r="G1310" s="619">
        <v>0</v>
      </c>
      <c r="H1310" s="464">
        <f>IF(N1309-(F1310-F1309)&lt;=0,0,(N1309-(F1310-F1309)))</f>
        <v>0</v>
      </c>
      <c r="I1310" s="467"/>
      <c r="J1310" s="468">
        <f t="shared" si="981"/>
        <v>2010</v>
      </c>
      <c r="K1310" s="490">
        <f t="shared" si="987"/>
        <v>0</v>
      </c>
      <c r="L1310" s="469">
        <f t="shared" si="988"/>
        <v>0</v>
      </c>
      <c r="M1310" s="683">
        <f t="shared" si="989"/>
        <v>0</v>
      </c>
      <c r="N1310" s="470">
        <f t="shared" si="990"/>
        <v>0</v>
      </c>
      <c r="O1310" s="468">
        <f t="shared" si="982"/>
        <v>2010</v>
      </c>
      <c r="P1310" s="616">
        <f t="shared" si="991"/>
        <v>0</v>
      </c>
      <c r="Q1310" s="472">
        <f t="shared" si="992"/>
        <v>0</v>
      </c>
      <c r="R1310" s="472">
        <v>0</v>
      </c>
      <c r="S1310" s="759">
        <f t="shared" si="983"/>
        <v>2011</v>
      </c>
      <c r="T1310" s="470">
        <f t="shared" si="993"/>
        <v>1</v>
      </c>
      <c r="U1310" s="612">
        <f t="shared" si="984"/>
        <v>0</v>
      </c>
      <c r="V1310" s="464">
        <f t="shared" si="985"/>
        <v>2011</v>
      </c>
      <c r="W1310" s="612">
        <f t="shared" si="994"/>
        <v>0</v>
      </c>
      <c r="X1310" s="561"/>
      <c r="Y1310" s="449"/>
      <c r="Z1310" s="449"/>
      <c r="AA1310" s="554" t="s">
        <v>4179</v>
      </c>
      <c r="AB1310" s="452"/>
      <c r="AC1310" s="452"/>
      <c r="AD1310" s="566"/>
      <c r="AE1310" s="452"/>
      <c r="AF1310" s="571"/>
      <c r="AG1310" s="452"/>
      <c r="AH1310" s="452"/>
      <c r="AI1310" s="453"/>
      <c r="AJ1310" s="449"/>
      <c r="AK1310" s="453"/>
      <c r="AL1310" s="454"/>
      <c r="AM1310" s="455"/>
      <c r="AN1310" s="456"/>
      <c r="AO1310" s="455"/>
      <c r="AP1310" s="452"/>
      <c r="AQ1310" s="457"/>
      <c r="AR1310" s="449"/>
      <c r="AS1310" s="449"/>
      <c r="AT1310" s="452"/>
      <c r="AU1310" s="457"/>
      <c r="AV1310" s="449"/>
      <c r="AW1310" s="458"/>
      <c r="AX1310" s="452"/>
      <c r="AY1310" s="457"/>
      <c r="AZ1310" s="449"/>
      <c r="BA1310" s="459"/>
      <c r="BB1310" s="455"/>
      <c r="BC1310" s="460"/>
      <c r="BD1310" s="460"/>
      <c r="BG1310" s="462"/>
    </row>
    <row r="1311" spans="1:59" s="486" customFormat="1" ht="18" customHeight="1" x14ac:dyDescent="0.2">
      <c r="A1311" s="1368" t="str">
        <f t="shared" si="986"/>
        <v>AIR MAS - SEI. KERANJI2012</v>
      </c>
      <c r="B1311" s="1373"/>
      <c r="C1311" s="488" t="s">
        <v>1245</v>
      </c>
      <c r="D1311" s="489" t="s">
        <v>3821</v>
      </c>
      <c r="E1311" s="558"/>
      <c r="F1311" s="559">
        <v>2012</v>
      </c>
      <c r="G1311" s="619">
        <v>3314762916.41675</v>
      </c>
      <c r="H1311" s="557">
        <f>VLOOKUP(LEFT(D1311,8),UE,4)</f>
        <v>10</v>
      </c>
      <c r="I1311" s="467"/>
      <c r="J1311" s="468">
        <f t="shared" si="981"/>
        <v>2021</v>
      </c>
      <c r="K1311" s="490">
        <f t="shared" si="987"/>
        <v>1</v>
      </c>
      <c r="L1311" s="469">
        <f t="shared" si="988"/>
        <v>10</v>
      </c>
      <c r="M1311" s="683">
        <f t="shared" si="989"/>
        <v>0</v>
      </c>
      <c r="N1311" s="470">
        <f t="shared" si="990"/>
        <v>10</v>
      </c>
      <c r="O1311" s="468">
        <f t="shared" si="982"/>
        <v>2021</v>
      </c>
      <c r="P1311" s="616">
        <f t="shared" si="991"/>
        <v>0</v>
      </c>
      <c r="Q1311" s="472">
        <f t="shared" si="992"/>
        <v>3314762916.41675</v>
      </c>
      <c r="R1311" s="472">
        <f t="shared" ref="R1311:R1318" si="995">IF(L1311=0,R1310,Q1311/N1311)</f>
        <v>331476291.641675</v>
      </c>
      <c r="S1311" s="759">
        <f t="shared" si="983"/>
        <v>2012</v>
      </c>
      <c r="T1311" s="470">
        <f t="shared" si="993"/>
        <v>1</v>
      </c>
      <c r="U1311" s="612">
        <f t="shared" si="984"/>
        <v>331476291.641675</v>
      </c>
      <c r="V1311" s="464">
        <f t="shared" si="985"/>
        <v>2012</v>
      </c>
      <c r="W1311" s="612">
        <f t="shared" si="994"/>
        <v>2983286624.775075</v>
      </c>
      <c r="X1311" s="473"/>
      <c r="Y1311" s="474"/>
      <c r="Z1311" s="449"/>
      <c r="AA1311" s="475"/>
      <c r="AB1311" s="476"/>
      <c r="AC1311" s="476"/>
      <c r="AD1311" s="567"/>
      <c r="AE1311" s="476"/>
      <c r="AF1311" s="568"/>
      <c r="AG1311" s="476"/>
      <c r="AH1311" s="476"/>
      <c r="AI1311" s="477"/>
      <c r="AJ1311" s="478"/>
      <c r="AK1311" s="479"/>
      <c r="AL1311" s="480"/>
      <c r="AM1311" s="474"/>
      <c r="AN1311" s="481"/>
      <c r="AO1311" s="474"/>
      <c r="AP1311" s="476"/>
      <c r="AQ1311" s="482"/>
      <c r="AR1311" s="478"/>
      <c r="AS1311" s="478"/>
      <c r="AT1311" s="476"/>
      <c r="AU1311" s="482"/>
      <c r="AV1311" s="478"/>
      <c r="AW1311" s="483"/>
      <c r="AX1311" s="476"/>
      <c r="AY1311" s="482"/>
      <c r="AZ1311" s="478"/>
      <c r="BA1311" s="484"/>
      <c r="BB1311" s="474"/>
      <c r="BC1311" s="485"/>
      <c r="BD1311" s="485"/>
      <c r="BG1311" s="487"/>
    </row>
    <row r="1312" spans="1:59" s="486" customFormat="1" ht="18" customHeight="1" x14ac:dyDescent="0.2">
      <c r="A1312" s="1368" t="str">
        <f t="shared" si="986"/>
        <v>AIR MAS - SEI. KERANJI2013</v>
      </c>
      <c r="B1312" s="1373"/>
      <c r="C1312" s="488"/>
      <c r="D1312" s="489"/>
      <c r="E1312" s="558"/>
      <c r="F1312" s="559">
        <v>2013</v>
      </c>
      <c r="G1312" s="619">
        <v>0</v>
      </c>
      <c r="H1312" s="464">
        <f t="shared" ref="H1312:H1318" si="996">IF(N1311-(F1312-F1311)&lt;=0,0,(N1311-(F1312-F1311)))</f>
        <v>9</v>
      </c>
      <c r="I1312" s="467"/>
      <c r="J1312" s="468">
        <f t="shared" si="981"/>
        <v>2021</v>
      </c>
      <c r="K1312" s="490">
        <f t="shared" si="987"/>
        <v>0</v>
      </c>
      <c r="L1312" s="469">
        <f t="shared" si="988"/>
        <v>0</v>
      </c>
      <c r="M1312" s="683">
        <f t="shared" si="989"/>
        <v>0</v>
      </c>
      <c r="N1312" s="470">
        <f t="shared" si="990"/>
        <v>9</v>
      </c>
      <c r="O1312" s="468">
        <f t="shared" si="982"/>
        <v>2021</v>
      </c>
      <c r="P1312" s="616">
        <f t="shared" si="991"/>
        <v>2983286624.775075</v>
      </c>
      <c r="Q1312" s="472">
        <f t="shared" si="992"/>
        <v>2983286624.775075</v>
      </c>
      <c r="R1312" s="472">
        <f t="shared" si="995"/>
        <v>331476291.641675</v>
      </c>
      <c r="S1312" s="759">
        <f t="shared" si="983"/>
        <v>2013</v>
      </c>
      <c r="T1312" s="470">
        <f t="shared" si="993"/>
        <v>1</v>
      </c>
      <c r="U1312" s="612">
        <f t="shared" si="984"/>
        <v>331476291.641675</v>
      </c>
      <c r="V1312" s="464">
        <f t="shared" si="985"/>
        <v>2013</v>
      </c>
      <c r="W1312" s="612">
        <f t="shared" si="994"/>
        <v>2651810333.1334</v>
      </c>
      <c r="X1312" s="473"/>
      <c r="Y1312" s="474"/>
      <c r="Z1312" s="449"/>
      <c r="AA1312" s="475" t="s">
        <v>4180</v>
      </c>
      <c r="AB1312" s="476"/>
      <c r="AC1312" s="476"/>
      <c r="AD1312" s="567">
        <f>G1321</f>
        <v>7518448923.41675</v>
      </c>
      <c r="AE1312" s="476"/>
      <c r="AF1312" s="568"/>
      <c r="AG1312" s="476"/>
      <c r="AH1312" s="476"/>
      <c r="AI1312" s="477"/>
      <c r="AJ1312" s="478"/>
      <c r="AK1312" s="479"/>
      <c r="AL1312" s="480"/>
      <c r="AM1312" s="474"/>
      <c r="AN1312" s="481"/>
      <c r="AO1312" s="474"/>
      <c r="AP1312" s="476"/>
      <c r="AQ1312" s="482"/>
      <c r="AR1312" s="478"/>
      <c r="AS1312" s="478"/>
      <c r="AT1312" s="476"/>
      <c r="AU1312" s="482"/>
      <c r="AV1312" s="478"/>
      <c r="AW1312" s="483"/>
      <c r="AX1312" s="476"/>
      <c r="AY1312" s="482"/>
      <c r="AZ1312" s="478"/>
      <c r="BA1312" s="484"/>
      <c r="BB1312" s="474"/>
      <c r="BC1312" s="485"/>
      <c r="BD1312" s="485"/>
      <c r="BG1312" s="487"/>
    </row>
    <row r="1313" spans="1:59" s="486" customFormat="1" ht="18" customHeight="1" x14ac:dyDescent="0.2">
      <c r="A1313" s="1368" t="str">
        <f t="shared" si="986"/>
        <v>AIR MAS - SEI. KERANJI2014</v>
      </c>
      <c r="B1313" s="1373"/>
      <c r="C1313" s="488" t="s">
        <v>1316</v>
      </c>
      <c r="D1313" s="489"/>
      <c r="E1313" s="558"/>
      <c r="F1313" s="559">
        <v>2014</v>
      </c>
      <c r="G1313" s="619">
        <v>321413975</v>
      </c>
      <c r="H1313" s="464">
        <f t="shared" si="996"/>
        <v>8</v>
      </c>
      <c r="I1313" s="467"/>
      <c r="J1313" s="468">
        <f t="shared" si="981"/>
        <v>2023</v>
      </c>
      <c r="K1313" s="490">
        <f t="shared" si="987"/>
        <v>0.12120549157835686</v>
      </c>
      <c r="L1313" s="469">
        <f t="shared" si="988"/>
        <v>2</v>
      </c>
      <c r="M1313" s="683">
        <f t="shared" si="989"/>
        <v>2</v>
      </c>
      <c r="N1313" s="470">
        <f t="shared" si="990"/>
        <v>10</v>
      </c>
      <c r="O1313" s="468">
        <f t="shared" si="982"/>
        <v>2023</v>
      </c>
      <c r="P1313" s="616">
        <f t="shared" si="991"/>
        <v>2651810333.1334</v>
      </c>
      <c r="Q1313" s="472">
        <f t="shared" si="992"/>
        <v>2973224308.1334</v>
      </c>
      <c r="R1313" s="472">
        <f t="shared" si="995"/>
        <v>297322430.81334001</v>
      </c>
      <c r="S1313" s="759">
        <f t="shared" si="983"/>
        <v>2014</v>
      </c>
      <c r="T1313" s="470">
        <f t="shared" si="993"/>
        <v>1</v>
      </c>
      <c r="U1313" s="612">
        <f t="shared" si="984"/>
        <v>297322430.81334001</v>
      </c>
      <c r="V1313" s="464">
        <f t="shared" si="985"/>
        <v>2014</v>
      </c>
      <c r="W1313" s="612">
        <f t="shared" si="994"/>
        <v>2675901877.3200598</v>
      </c>
      <c r="X1313" s="473"/>
      <c r="Y1313" s="478"/>
      <c r="Z1313" s="449"/>
      <c r="AA1313" s="475" t="s">
        <v>4181</v>
      </c>
      <c r="AB1313" s="491"/>
      <c r="AC1313" s="491"/>
      <c r="AD1313" s="567">
        <f>U1321</f>
        <v>3913205507.4563956</v>
      </c>
      <c r="AE1313" s="491"/>
      <c r="AF1313" s="568"/>
      <c r="AG1313" s="491"/>
      <c r="AH1313" s="491"/>
      <c r="AI1313" s="477"/>
      <c r="AJ1313" s="478"/>
      <c r="AK1313" s="479"/>
      <c r="AL1313" s="480"/>
      <c r="AM1313" s="474"/>
      <c r="AN1313" s="481"/>
      <c r="AO1313" s="474"/>
      <c r="AP1313" s="476"/>
      <c r="AQ1313" s="482"/>
      <c r="AR1313" s="478"/>
      <c r="AS1313" s="478"/>
      <c r="AT1313" s="476"/>
      <c r="AU1313" s="482"/>
      <c r="AV1313" s="478"/>
      <c r="AW1313" s="483"/>
      <c r="AX1313" s="476"/>
      <c r="AY1313" s="482"/>
      <c r="AZ1313" s="478"/>
      <c r="BA1313" s="484"/>
      <c r="BB1313" s="474"/>
      <c r="BC1313" s="485"/>
      <c r="BD1313" s="485"/>
      <c r="BG1313" s="487"/>
    </row>
    <row r="1314" spans="1:59" s="486" customFormat="1" ht="18" customHeight="1" x14ac:dyDescent="0.2">
      <c r="A1314" s="1368" t="str">
        <f t="shared" si="986"/>
        <v>AIR MAS - SEI. KERANJI2015</v>
      </c>
      <c r="B1314" s="1373"/>
      <c r="C1314" s="488" t="s">
        <v>1402</v>
      </c>
      <c r="D1314" s="489"/>
      <c r="E1314" s="558"/>
      <c r="F1314" s="559">
        <v>2015</v>
      </c>
      <c r="G1314" s="619">
        <v>193532549</v>
      </c>
      <c r="H1314" s="464">
        <f t="shared" si="996"/>
        <v>9</v>
      </c>
      <c r="I1314" s="467"/>
      <c r="J1314" s="468">
        <f t="shared" si="981"/>
        <v>2024</v>
      </c>
      <c r="K1314" s="490">
        <f t="shared" si="987"/>
        <v>7.2324232304745273E-2</v>
      </c>
      <c r="L1314" s="469">
        <f t="shared" si="988"/>
        <v>2</v>
      </c>
      <c r="M1314" s="683">
        <f t="shared" si="989"/>
        <v>1</v>
      </c>
      <c r="N1314" s="470">
        <f t="shared" si="990"/>
        <v>10</v>
      </c>
      <c r="O1314" s="468">
        <f t="shared" si="982"/>
        <v>2024</v>
      </c>
      <c r="P1314" s="616">
        <f t="shared" si="991"/>
        <v>2675901877.3200598</v>
      </c>
      <c r="Q1314" s="472">
        <f t="shared" si="992"/>
        <v>2869434426.3200598</v>
      </c>
      <c r="R1314" s="472">
        <f t="shared" si="995"/>
        <v>286943442.63200599</v>
      </c>
      <c r="S1314" s="759">
        <f t="shared" si="983"/>
        <v>2015</v>
      </c>
      <c r="T1314" s="470">
        <f t="shared" si="993"/>
        <v>1</v>
      </c>
      <c r="U1314" s="612">
        <f t="shared" si="984"/>
        <v>286943442.63200599</v>
      </c>
      <c r="V1314" s="464">
        <f t="shared" si="985"/>
        <v>2015</v>
      </c>
      <c r="W1314" s="612">
        <f t="shared" si="994"/>
        <v>2582490983.6880536</v>
      </c>
      <c r="X1314" s="473"/>
      <c r="Y1314" s="478"/>
      <c r="Z1314" s="449"/>
      <c r="AA1314" s="492" t="s">
        <v>4182</v>
      </c>
      <c r="AB1314" s="476"/>
      <c r="AC1314" s="476"/>
      <c r="AD1314" s="567">
        <f>AD1312-AD1313</f>
        <v>3605243415.9603543</v>
      </c>
      <c r="AE1314" s="476"/>
      <c r="AF1314" s="568"/>
      <c r="AG1314" s="476"/>
      <c r="AH1314" s="476"/>
      <c r="AI1314" s="477"/>
      <c r="AJ1314" s="478"/>
      <c r="AK1314" s="479"/>
      <c r="AL1314" s="480"/>
      <c r="AM1314" s="474"/>
      <c r="AN1314" s="481"/>
      <c r="AO1314" s="474"/>
      <c r="AP1314" s="476"/>
      <c r="AQ1314" s="482"/>
      <c r="AR1314" s="478"/>
      <c r="AS1314" s="478"/>
      <c r="AT1314" s="476"/>
      <c r="AU1314" s="482"/>
      <c r="AV1314" s="478"/>
      <c r="AW1314" s="483"/>
      <c r="AX1314" s="476"/>
      <c r="AY1314" s="482"/>
      <c r="AZ1314" s="478"/>
      <c r="BA1314" s="484"/>
      <c r="BB1314" s="474"/>
      <c r="BC1314" s="485"/>
      <c r="BD1314" s="485"/>
      <c r="BG1314" s="487"/>
    </row>
    <row r="1315" spans="1:59" s="486" customFormat="1" ht="18" customHeight="1" x14ac:dyDescent="0.2">
      <c r="A1315" s="1368" t="str">
        <f t="shared" si="986"/>
        <v>AIR MAS - SEI. KERANJI2016</v>
      </c>
      <c r="B1315" s="687"/>
      <c r="C1315" s="488"/>
      <c r="D1315" s="489"/>
      <c r="E1315" s="558"/>
      <c r="F1315" s="466">
        <v>2016</v>
      </c>
      <c r="G1315" s="619">
        <v>0</v>
      </c>
      <c r="H1315" s="464">
        <f t="shared" si="996"/>
        <v>9</v>
      </c>
      <c r="I1315" s="467"/>
      <c r="J1315" s="468">
        <f t="shared" si="981"/>
        <v>2024</v>
      </c>
      <c r="K1315" s="490">
        <f t="shared" si="987"/>
        <v>0</v>
      </c>
      <c r="L1315" s="469">
        <f t="shared" si="988"/>
        <v>0</v>
      </c>
      <c r="M1315" s="683">
        <f t="shared" si="989"/>
        <v>0</v>
      </c>
      <c r="N1315" s="470">
        <f t="shared" si="990"/>
        <v>9</v>
      </c>
      <c r="O1315" s="468">
        <f t="shared" si="982"/>
        <v>2024</v>
      </c>
      <c r="P1315" s="616">
        <f t="shared" si="991"/>
        <v>2582490983.6880536</v>
      </c>
      <c r="Q1315" s="472">
        <f t="shared" si="992"/>
        <v>2582490983.6880536</v>
      </c>
      <c r="R1315" s="472">
        <f t="shared" si="995"/>
        <v>286943442.63200599</v>
      </c>
      <c r="S1315" s="1160">
        <f t="shared" si="983"/>
        <v>2016</v>
      </c>
      <c r="T1315" s="470">
        <f t="shared" si="993"/>
        <v>1</v>
      </c>
      <c r="U1315" s="612">
        <f t="shared" si="984"/>
        <v>286943442.63200599</v>
      </c>
      <c r="V1315" s="464">
        <f t="shared" si="985"/>
        <v>2016</v>
      </c>
      <c r="W1315" s="612">
        <f t="shared" si="994"/>
        <v>2295547541.0560474</v>
      </c>
      <c r="X1315" s="473"/>
      <c r="Y1315" s="478"/>
      <c r="Z1315" s="449"/>
      <c r="AA1315" s="531" t="s">
        <v>4183</v>
      </c>
      <c r="AB1315" s="496"/>
      <c r="AC1315" s="496"/>
      <c r="AD1315" s="569">
        <f>AD1314-W1321</f>
        <v>0</v>
      </c>
      <c r="AE1315" s="476"/>
      <c r="AF1315" s="568"/>
      <c r="AG1315" s="476"/>
      <c r="AH1315" s="476"/>
      <c r="AI1315" s="477"/>
      <c r="AJ1315" s="478"/>
      <c r="AK1315" s="479"/>
      <c r="AL1315" s="480"/>
      <c r="AM1315" s="474"/>
      <c r="AN1315" s="481"/>
      <c r="AO1315" s="474"/>
      <c r="AP1315" s="476"/>
      <c r="AQ1315" s="482"/>
      <c r="AR1315" s="478"/>
      <c r="AS1315" s="478"/>
      <c r="AT1315" s="476"/>
      <c r="AU1315" s="482"/>
      <c r="AV1315" s="478"/>
      <c r="AW1315" s="483"/>
      <c r="AX1315" s="476"/>
      <c r="AY1315" s="482"/>
      <c r="AZ1315" s="478"/>
      <c r="BA1315" s="484"/>
      <c r="BB1315" s="474"/>
      <c r="BC1315" s="485"/>
      <c r="BD1315" s="485"/>
      <c r="BG1315" s="487"/>
    </row>
    <row r="1316" spans="1:59" s="486" customFormat="1" ht="18" customHeight="1" x14ac:dyDescent="0.2">
      <c r="A1316" s="1368" t="str">
        <f t="shared" si="986"/>
        <v>AIR MAS - SEI. KERANJI2017</v>
      </c>
      <c r="B1316" s="687"/>
      <c r="C1316" s="463" t="s">
        <v>2496</v>
      </c>
      <c r="D1316" s="489"/>
      <c r="E1316" s="465"/>
      <c r="F1316" s="466">
        <v>2017</v>
      </c>
      <c r="G1316" s="620">
        <v>188980000</v>
      </c>
      <c r="H1316" s="464">
        <f t="shared" si="996"/>
        <v>8</v>
      </c>
      <c r="I1316" s="467"/>
      <c r="J1316" s="468">
        <f t="shared" si="981"/>
        <v>2026</v>
      </c>
      <c r="K1316" s="490">
        <f t="shared" si="987"/>
        <v>8.2324585581469309E-2</v>
      </c>
      <c r="L1316" s="469">
        <f t="shared" si="988"/>
        <v>2</v>
      </c>
      <c r="M1316" s="683">
        <f t="shared" si="989"/>
        <v>2</v>
      </c>
      <c r="N1316" s="470">
        <f t="shared" si="990"/>
        <v>10</v>
      </c>
      <c r="O1316" s="468">
        <f t="shared" si="982"/>
        <v>2026</v>
      </c>
      <c r="P1316" s="616">
        <f t="shared" si="991"/>
        <v>2295547541.0560474</v>
      </c>
      <c r="Q1316" s="472">
        <f t="shared" si="992"/>
        <v>2484527541.0560474</v>
      </c>
      <c r="R1316" s="472">
        <f t="shared" si="995"/>
        <v>248452754.10560474</v>
      </c>
      <c r="S1316" s="1160">
        <f t="shared" si="983"/>
        <v>2017</v>
      </c>
      <c r="T1316" s="470">
        <f t="shared" si="993"/>
        <v>1</v>
      </c>
      <c r="U1316" s="612">
        <f t="shared" si="984"/>
        <v>248452754.10560474</v>
      </c>
      <c r="V1316" s="464">
        <f t="shared" si="985"/>
        <v>2017</v>
      </c>
      <c r="W1316" s="612">
        <f t="shared" si="994"/>
        <v>2236074786.9504428</v>
      </c>
      <c r="X1316" s="473"/>
      <c r="Y1316" s="478"/>
      <c r="Z1316" s="449"/>
      <c r="AA1316" s="573"/>
      <c r="AB1316" s="476"/>
      <c r="AC1316" s="476"/>
      <c r="AD1316" s="568"/>
      <c r="AE1316" s="476"/>
      <c r="AF1316" s="568"/>
      <c r="AG1316" s="476"/>
      <c r="AH1316" s="476"/>
      <c r="AI1316" s="477"/>
      <c r="AJ1316" s="478"/>
      <c r="AK1316" s="479"/>
      <c r="AL1316" s="480"/>
      <c r="AM1316" s="474"/>
      <c r="AN1316" s="481"/>
      <c r="AO1316" s="474"/>
      <c r="AP1316" s="476"/>
      <c r="AQ1316" s="482"/>
      <c r="AR1316" s="478"/>
      <c r="AS1316" s="478"/>
      <c r="AT1316" s="476"/>
      <c r="AU1316" s="482"/>
      <c r="AV1316" s="478"/>
      <c r="AW1316" s="483"/>
      <c r="AX1316" s="476"/>
      <c r="AY1316" s="482"/>
      <c r="AZ1316" s="478"/>
      <c r="BA1316" s="484"/>
      <c r="BB1316" s="474"/>
      <c r="BC1316" s="485"/>
      <c r="BD1316" s="485"/>
      <c r="BG1316" s="487"/>
    </row>
    <row r="1317" spans="1:59" s="486" customFormat="1" ht="18" customHeight="1" x14ac:dyDescent="0.2">
      <c r="A1317" s="1368" t="str">
        <f t="shared" si="986"/>
        <v>AIR MAS - SEI. KERANJI2018</v>
      </c>
      <c r="B1317" s="687"/>
      <c r="C1317" s="463" t="s">
        <v>3315</v>
      </c>
      <c r="D1317" s="489"/>
      <c r="E1317" s="465"/>
      <c r="F1317" s="466">
        <v>2018</v>
      </c>
      <c r="G1317" s="620">
        <v>2270479483</v>
      </c>
      <c r="H1317" s="464">
        <f t="shared" si="996"/>
        <v>9</v>
      </c>
      <c r="I1317" s="467"/>
      <c r="J1317" s="468">
        <f t="shared" si="981"/>
        <v>2027</v>
      </c>
      <c r="K1317" s="490">
        <f t="shared" si="987"/>
        <v>1.0153862009671324</v>
      </c>
      <c r="L1317" s="469">
        <f t="shared" si="988"/>
        <v>10</v>
      </c>
      <c r="M1317" s="683">
        <f t="shared" si="989"/>
        <v>1</v>
      </c>
      <c r="N1317" s="470">
        <f t="shared" si="990"/>
        <v>10</v>
      </c>
      <c r="O1317" s="468">
        <f t="shared" si="982"/>
        <v>2027</v>
      </c>
      <c r="P1317" s="616">
        <f t="shared" si="991"/>
        <v>2236074786.9504428</v>
      </c>
      <c r="Q1317" s="472">
        <f t="shared" si="992"/>
        <v>4506554269.9504433</v>
      </c>
      <c r="R1317" s="472">
        <f t="shared" si="995"/>
        <v>450655426.99504435</v>
      </c>
      <c r="S1317" s="1160">
        <f t="shared" si="983"/>
        <v>2018</v>
      </c>
      <c r="T1317" s="470">
        <f t="shared" si="993"/>
        <v>1</v>
      </c>
      <c r="U1317" s="612">
        <f t="shared" si="984"/>
        <v>450655426.99504435</v>
      </c>
      <c r="V1317" s="464">
        <f t="shared" si="985"/>
        <v>2018</v>
      </c>
      <c r="W1317" s="612">
        <f t="shared" si="994"/>
        <v>4055898842.955399</v>
      </c>
      <c r="X1317" s="473"/>
      <c r="Y1317" s="478"/>
      <c r="Z1317" s="449"/>
      <c r="AA1317" s="573"/>
      <c r="AB1317" s="476"/>
      <c r="AC1317" s="476"/>
      <c r="AD1317" s="568"/>
      <c r="AE1317" s="476"/>
      <c r="AF1317" s="568"/>
      <c r="AG1317" s="476"/>
      <c r="AH1317" s="476"/>
      <c r="AI1317" s="477"/>
      <c r="AJ1317" s="478"/>
      <c r="AK1317" s="479"/>
      <c r="AL1317" s="480"/>
      <c r="AM1317" s="474"/>
      <c r="AN1317" s="481"/>
      <c r="AO1317" s="474"/>
      <c r="AP1317" s="476"/>
      <c r="AQ1317" s="482"/>
      <c r="AR1317" s="478"/>
      <c r="AS1317" s="478"/>
      <c r="AT1317" s="476"/>
      <c r="AU1317" s="482"/>
      <c r="AV1317" s="478"/>
      <c r="AW1317" s="483"/>
      <c r="AX1317" s="476"/>
      <c r="AY1317" s="482"/>
      <c r="AZ1317" s="478"/>
      <c r="BA1317" s="484"/>
      <c r="BB1317" s="474"/>
      <c r="BC1317" s="485"/>
      <c r="BD1317" s="485"/>
      <c r="BG1317" s="487"/>
    </row>
    <row r="1318" spans="1:59" s="486" customFormat="1" ht="18" customHeight="1" x14ac:dyDescent="0.2">
      <c r="A1318" s="1368" t="str">
        <f t="shared" si="986"/>
        <v>AIR MAS - SEI. KERANJI2019</v>
      </c>
      <c r="B1318" s="687"/>
      <c r="C1318" s="463"/>
      <c r="D1318" s="489"/>
      <c r="E1318" s="465"/>
      <c r="F1318" s="466">
        <v>2019</v>
      </c>
      <c r="G1318" s="620">
        <v>0</v>
      </c>
      <c r="H1318" s="464">
        <f t="shared" si="996"/>
        <v>9</v>
      </c>
      <c r="I1318" s="467"/>
      <c r="J1318" s="468">
        <f t="shared" si="981"/>
        <v>2027</v>
      </c>
      <c r="K1318" s="490">
        <f t="shared" si="987"/>
        <v>0</v>
      </c>
      <c r="L1318" s="469">
        <f t="shared" si="988"/>
        <v>0</v>
      </c>
      <c r="M1318" s="683">
        <f t="shared" si="989"/>
        <v>0</v>
      </c>
      <c r="N1318" s="470">
        <f t="shared" si="990"/>
        <v>9</v>
      </c>
      <c r="O1318" s="468">
        <f t="shared" si="982"/>
        <v>2027</v>
      </c>
      <c r="P1318" s="616">
        <f t="shared" si="991"/>
        <v>4055898842.955399</v>
      </c>
      <c r="Q1318" s="472">
        <f t="shared" si="992"/>
        <v>4055898842.955399</v>
      </c>
      <c r="R1318" s="472">
        <f t="shared" si="995"/>
        <v>450655426.99504435</v>
      </c>
      <c r="S1318" s="1189">
        <f t="shared" si="983"/>
        <v>2019</v>
      </c>
      <c r="T1318" s="470">
        <f t="shared" si="993"/>
        <v>1</v>
      </c>
      <c r="U1318" s="612">
        <f t="shared" si="984"/>
        <v>450655426.99504435</v>
      </c>
      <c r="V1318" s="464">
        <f t="shared" si="985"/>
        <v>2019</v>
      </c>
      <c r="W1318" s="612">
        <f t="shared" si="994"/>
        <v>3605243415.9603548</v>
      </c>
      <c r="X1318" s="473"/>
      <c r="Y1318" s="478"/>
      <c r="Z1318" s="449"/>
      <c r="AA1318" s="573"/>
      <c r="AB1318" s="476"/>
      <c r="AC1318" s="476"/>
      <c r="AD1318" s="568"/>
      <c r="AE1318" s="476"/>
      <c r="AF1318" s="568"/>
      <c r="AG1318" s="476"/>
      <c r="AH1318" s="476"/>
      <c r="AI1318" s="477"/>
      <c r="AJ1318" s="478"/>
      <c r="AK1318" s="479"/>
      <c r="AL1318" s="480"/>
      <c r="AM1318" s="474"/>
      <c r="AN1318" s="481"/>
      <c r="AO1318" s="474"/>
      <c r="AP1318" s="476"/>
      <c r="AQ1318" s="482"/>
      <c r="AR1318" s="478"/>
      <c r="AS1318" s="478"/>
      <c r="AT1318" s="476"/>
      <c r="AU1318" s="482"/>
      <c r="AV1318" s="478"/>
      <c r="AW1318" s="483"/>
      <c r="AX1318" s="476"/>
      <c r="AY1318" s="482"/>
      <c r="AZ1318" s="478"/>
      <c r="BA1318" s="484"/>
      <c r="BB1318" s="474"/>
      <c r="BC1318" s="485"/>
      <c r="BD1318" s="485"/>
      <c r="BG1318" s="487"/>
    </row>
    <row r="1319" spans="1:59" s="486" customFormat="1" ht="18" customHeight="1" x14ac:dyDescent="0.2">
      <c r="A1319" s="1368"/>
      <c r="B1319" s="687"/>
      <c r="C1319" s="463"/>
      <c r="D1319" s="489"/>
      <c r="E1319" s="465"/>
      <c r="F1319" s="466"/>
      <c r="G1319" s="620"/>
      <c r="H1319" s="464"/>
      <c r="I1319" s="467"/>
      <c r="J1319" s="468"/>
      <c r="K1319" s="574"/>
      <c r="L1319" s="469"/>
      <c r="M1319" s="683"/>
      <c r="N1319" s="470"/>
      <c r="O1319" s="468"/>
      <c r="P1319" s="616"/>
      <c r="Q1319" s="472"/>
      <c r="R1319" s="472"/>
      <c r="S1319" s="1160"/>
      <c r="T1319" s="470"/>
      <c r="U1319" s="612"/>
      <c r="V1319" s="464"/>
      <c r="W1319" s="612"/>
      <c r="X1319" s="473"/>
      <c r="Y1319" s="478"/>
      <c r="Z1319" s="449"/>
      <c r="AA1319" s="573"/>
      <c r="AB1319" s="476"/>
      <c r="AC1319" s="476"/>
      <c r="AD1319" s="568"/>
      <c r="AE1319" s="476"/>
      <c r="AF1319" s="568"/>
      <c r="AG1319" s="476"/>
      <c r="AH1319" s="476"/>
      <c r="AI1319" s="477"/>
      <c r="AJ1319" s="478"/>
      <c r="AK1319" s="479"/>
      <c r="AL1319" s="480"/>
      <c r="AM1319" s="474"/>
      <c r="AN1319" s="481"/>
      <c r="AO1319" s="474"/>
      <c r="AP1319" s="476"/>
      <c r="AQ1319" s="482"/>
      <c r="AR1319" s="478"/>
      <c r="AS1319" s="478"/>
      <c r="AT1319" s="476"/>
      <c r="AU1319" s="482"/>
      <c r="AV1319" s="478"/>
      <c r="AW1319" s="483"/>
      <c r="AX1319" s="476"/>
      <c r="AY1319" s="482"/>
      <c r="AZ1319" s="478"/>
      <c r="BA1319" s="484"/>
      <c r="BB1319" s="474"/>
      <c r="BC1319" s="485"/>
      <c r="BD1319" s="485"/>
      <c r="BG1319" s="487"/>
    </row>
    <row r="1320" spans="1:59" s="486" customFormat="1" ht="18" customHeight="1" x14ac:dyDescent="0.2">
      <c r="A1320" s="1368" t="str">
        <f>LEFT(D1320,8)</f>
        <v/>
      </c>
      <c r="B1320" s="687"/>
      <c r="C1320" s="463"/>
      <c r="D1320" s="489"/>
      <c r="E1320" s="465"/>
      <c r="F1320" s="466"/>
      <c r="G1320" s="620"/>
      <c r="H1320" s="464"/>
      <c r="I1320" s="467"/>
      <c r="J1320" s="468"/>
      <c r="K1320" s="574"/>
      <c r="L1320" s="469"/>
      <c r="M1320" s="683"/>
      <c r="N1320" s="470"/>
      <c r="O1320" s="468"/>
      <c r="P1320" s="616"/>
      <c r="Q1320" s="472"/>
      <c r="R1320" s="472"/>
      <c r="S1320" s="634"/>
      <c r="T1320" s="470"/>
      <c r="U1320" s="612"/>
      <c r="V1320" s="464"/>
      <c r="W1320" s="612"/>
      <c r="X1320" s="473"/>
      <c r="Y1320" s="478"/>
      <c r="Z1320" s="449"/>
      <c r="AA1320" s="573"/>
      <c r="AB1320" s="476"/>
      <c r="AC1320" s="476"/>
      <c r="AD1320" s="568"/>
      <c r="AE1320" s="476"/>
      <c r="AF1320" s="568"/>
      <c r="AG1320" s="476"/>
      <c r="AH1320" s="476"/>
      <c r="AI1320" s="477"/>
      <c r="AJ1320" s="478"/>
      <c r="AK1320" s="479"/>
      <c r="AL1320" s="480"/>
      <c r="AM1320" s="474"/>
      <c r="AN1320" s="481"/>
      <c r="AO1320" s="474"/>
      <c r="AP1320" s="476"/>
      <c r="AQ1320" s="482"/>
      <c r="AR1320" s="478"/>
      <c r="AS1320" s="478"/>
      <c r="AT1320" s="476"/>
      <c r="AU1320" s="482"/>
      <c r="AV1320" s="478"/>
      <c r="AW1320" s="483"/>
      <c r="AX1320" s="476"/>
      <c r="AY1320" s="482"/>
      <c r="AZ1320" s="478"/>
      <c r="BA1320" s="484"/>
      <c r="BB1320" s="474"/>
      <c r="BC1320" s="485"/>
      <c r="BD1320" s="485"/>
      <c r="BG1320" s="487"/>
    </row>
    <row r="1321" spans="1:59" s="526" customFormat="1" ht="18" customHeight="1" x14ac:dyDescent="0.2">
      <c r="A1321" s="1370" t="s">
        <v>4184</v>
      </c>
      <c r="B1321" s="1956" t="s">
        <v>4184</v>
      </c>
      <c r="C1321" s="1957"/>
      <c r="D1321" s="1957"/>
      <c r="E1321" s="1957"/>
      <c r="F1321" s="1958"/>
      <c r="G1321" s="624">
        <f>SUM(G1308:G1320)</f>
        <v>7518448923.41675</v>
      </c>
      <c r="H1321" s="505"/>
      <c r="I1321" s="506"/>
      <c r="J1321" s="507"/>
      <c r="K1321" s="507"/>
      <c r="L1321" s="505"/>
      <c r="M1321" s="684"/>
      <c r="N1321" s="508"/>
      <c r="O1321" s="507"/>
      <c r="P1321" s="749"/>
      <c r="Q1321" s="510"/>
      <c r="R1321" s="511"/>
      <c r="S1321" s="512"/>
      <c r="T1321" s="512"/>
      <c r="U1321" s="610">
        <f>SUM(U1308:U1320)</f>
        <v>3913205507.4563956</v>
      </c>
      <c r="V1321" s="513"/>
      <c r="W1321" s="610">
        <f>G1321-U1321</f>
        <v>3605243415.9603543</v>
      </c>
      <c r="X1321" s="514"/>
      <c r="Y1321" s="515"/>
      <c r="Z1321" s="515"/>
      <c r="AA1321" s="515"/>
      <c r="AB1321" s="515"/>
      <c r="AC1321" s="515"/>
      <c r="AD1321" s="570"/>
      <c r="AE1321" s="515"/>
      <c r="AF1321" s="570">
        <v>2271105906.0413508</v>
      </c>
      <c r="AG1321" s="515"/>
      <c r="AH1321" s="515"/>
      <c r="AI1321" s="516"/>
      <c r="AJ1321" s="517"/>
      <c r="AK1321" s="518"/>
      <c r="AL1321" s="519"/>
      <c r="AM1321" s="520"/>
      <c r="AN1321" s="521"/>
      <c r="AO1321" s="520"/>
      <c r="AP1321" s="515"/>
      <c r="AQ1321" s="522"/>
      <c r="AR1321" s="517"/>
      <c r="AS1321" s="517"/>
      <c r="AT1321" s="515"/>
      <c r="AU1321" s="522"/>
      <c r="AV1321" s="517"/>
      <c r="AW1321" s="523"/>
      <c r="AX1321" s="515"/>
      <c r="AY1321" s="522"/>
      <c r="AZ1321" s="517"/>
      <c r="BA1321" s="524"/>
      <c r="BB1321" s="520"/>
      <c r="BC1321" s="525"/>
      <c r="BD1321" s="525"/>
      <c r="BG1321" s="527"/>
    </row>
    <row r="1324" spans="1:59" s="422" customFormat="1" ht="18" customHeight="1" x14ac:dyDescent="0.2">
      <c r="A1324" s="1366">
        <f>C1324</f>
        <v>236</v>
      </c>
      <c r="B1324" s="742" t="s">
        <v>4187</v>
      </c>
      <c r="C1324" s="556">
        <v>236</v>
      </c>
      <c r="D1324" s="553" t="str">
        <f>VLOOKUP(C1324,RUAS,2,FALSE)</f>
        <v>SIMP. PETAI - PABRIK PT. WANASARI</v>
      </c>
      <c r="E1324" s="553"/>
      <c r="F1324" s="421"/>
      <c r="G1324" s="611"/>
      <c r="I1324" s="423"/>
      <c r="J1324" s="424"/>
      <c r="K1324" s="424"/>
      <c r="M1324" s="680"/>
      <c r="P1324" s="611"/>
      <c r="U1324" s="611"/>
      <c r="W1324" s="611"/>
      <c r="Y1324" s="425"/>
      <c r="Z1324" s="425"/>
      <c r="AA1324" s="425"/>
      <c r="AB1324" s="425"/>
      <c r="AC1324" s="425"/>
      <c r="AD1324" s="563"/>
      <c r="AE1324" s="425"/>
      <c r="AF1324" s="563"/>
      <c r="AG1324" s="425"/>
      <c r="AH1324" s="425"/>
      <c r="AI1324" s="425"/>
      <c r="AJ1324" s="425"/>
      <c r="AK1324" s="425"/>
      <c r="AL1324" s="425"/>
      <c r="AM1324" s="425"/>
      <c r="AN1324" s="425"/>
      <c r="AO1324" s="425"/>
      <c r="AP1324" s="425"/>
      <c r="AQ1324" s="425"/>
      <c r="AR1324" s="425"/>
      <c r="AS1324" s="425"/>
      <c r="AT1324" s="425"/>
      <c r="AU1324" s="425"/>
      <c r="AV1324" s="425"/>
      <c r="AW1324" s="425"/>
      <c r="AX1324" s="425"/>
      <c r="AY1324" s="425"/>
      <c r="AZ1324" s="425"/>
      <c r="BA1324" s="425"/>
      <c r="BB1324" s="425"/>
    </row>
    <row r="1325" spans="1:59" s="431" customFormat="1" ht="18" customHeight="1" x14ac:dyDescent="0.2">
      <c r="A1325" s="1367"/>
      <c r="B1325" s="1968" t="s">
        <v>5</v>
      </c>
      <c r="C1325" s="1968" t="s">
        <v>2280</v>
      </c>
      <c r="D1325" s="1968" t="s">
        <v>4157</v>
      </c>
      <c r="E1325" s="1968" t="s">
        <v>4158</v>
      </c>
      <c r="F1325" s="1968"/>
      <c r="G1325" s="1969" t="s">
        <v>4159</v>
      </c>
      <c r="H1325" s="1968" t="s">
        <v>4160</v>
      </c>
      <c r="I1325" s="1968"/>
      <c r="J1325" s="1968" t="s">
        <v>4185</v>
      </c>
      <c r="K1325" s="1964" t="s">
        <v>4162</v>
      </c>
      <c r="L1325" s="1968" t="s">
        <v>4163</v>
      </c>
      <c r="M1325" s="1971" t="s">
        <v>4164</v>
      </c>
      <c r="N1325" s="1962" t="s">
        <v>4165</v>
      </c>
      <c r="O1325" s="1968" t="s">
        <v>4166</v>
      </c>
      <c r="P1325" s="1972" t="s">
        <v>4167</v>
      </c>
      <c r="Q1325" s="1973"/>
      <c r="R1325" s="636" t="s">
        <v>4186</v>
      </c>
      <c r="S1325" s="1972" t="s">
        <v>4169</v>
      </c>
      <c r="T1325" s="1974"/>
      <c r="U1325" s="1973"/>
      <c r="V1325" s="1975" t="s">
        <v>4170</v>
      </c>
      <c r="W1325" s="1975"/>
      <c r="X1325" s="1960" t="s">
        <v>4171</v>
      </c>
      <c r="Y1325" s="1959"/>
      <c r="Z1325" s="633"/>
      <c r="AA1325" s="426"/>
      <c r="AB1325" s="426"/>
      <c r="AC1325" s="426"/>
      <c r="AD1325" s="564"/>
      <c r="AE1325" s="426"/>
      <c r="AF1325" s="564"/>
      <c r="AG1325" s="426"/>
      <c r="AH1325" s="426"/>
      <c r="AI1325" s="427"/>
      <c r="AJ1325" s="427"/>
      <c r="AK1325" s="427"/>
      <c r="AL1325" s="427"/>
      <c r="AM1325" s="428"/>
      <c r="AN1325" s="427"/>
      <c r="AO1325" s="427"/>
      <c r="AP1325" s="426"/>
      <c r="AQ1325" s="427"/>
      <c r="AR1325" s="427"/>
      <c r="AS1325" s="427"/>
      <c r="AT1325" s="426"/>
      <c r="AU1325" s="427"/>
      <c r="AV1325" s="427"/>
      <c r="AW1325" s="427"/>
      <c r="AX1325" s="426"/>
      <c r="AY1325" s="427"/>
      <c r="AZ1325" s="427"/>
      <c r="BA1325" s="427"/>
      <c r="BB1325" s="429"/>
      <c r="BC1325" s="430"/>
      <c r="BD1325" s="430"/>
    </row>
    <row r="1326" spans="1:59" s="431" customFormat="1" ht="18" customHeight="1" x14ac:dyDescent="0.2">
      <c r="A1326" s="1367"/>
      <c r="B1326" s="1968"/>
      <c r="C1326" s="1968"/>
      <c r="D1326" s="1968"/>
      <c r="E1326" s="1968"/>
      <c r="F1326" s="1968"/>
      <c r="G1326" s="1969"/>
      <c r="H1326" s="1968"/>
      <c r="I1326" s="1968"/>
      <c r="J1326" s="1968"/>
      <c r="K1326" s="1970"/>
      <c r="L1326" s="1968"/>
      <c r="M1326" s="1971"/>
      <c r="N1326" s="1963"/>
      <c r="O1326" s="1968"/>
      <c r="P1326" s="2037" t="s">
        <v>4172</v>
      </c>
      <c r="Q1326" s="1960" t="s">
        <v>4173</v>
      </c>
      <c r="R1326" s="1962" t="s">
        <v>4159</v>
      </c>
      <c r="S1326" s="1962" t="s">
        <v>4174</v>
      </c>
      <c r="T1326" s="1964" t="s">
        <v>4175</v>
      </c>
      <c r="U1326" s="1966" t="s">
        <v>4159</v>
      </c>
      <c r="V1326" s="1975"/>
      <c r="W1326" s="1975"/>
      <c r="X1326" s="1976"/>
      <c r="Y1326" s="1959"/>
      <c r="Z1326" s="633"/>
      <c r="AA1326" s="426"/>
      <c r="AB1326" s="426"/>
      <c r="AC1326" s="426"/>
      <c r="AD1326" s="564"/>
      <c r="AE1326" s="426"/>
      <c r="AF1326" s="564"/>
      <c r="AG1326" s="426"/>
      <c r="AH1326" s="426"/>
      <c r="AI1326" s="427"/>
      <c r="AJ1326" s="427"/>
      <c r="AK1326" s="426"/>
      <c r="AL1326" s="427"/>
      <c r="AM1326" s="428"/>
      <c r="AN1326" s="427"/>
      <c r="AO1326" s="427"/>
      <c r="AP1326" s="432"/>
      <c r="AQ1326" s="427"/>
      <c r="AR1326" s="427"/>
      <c r="AS1326" s="427"/>
      <c r="AT1326" s="432"/>
      <c r="AU1326" s="427"/>
      <c r="AV1326" s="427"/>
      <c r="AW1326" s="427"/>
      <c r="AX1326" s="432"/>
      <c r="AY1326" s="427"/>
      <c r="AZ1326" s="427"/>
      <c r="BA1326" s="427"/>
      <c r="BB1326" s="429"/>
      <c r="BC1326" s="430"/>
      <c r="BD1326" s="430"/>
    </row>
    <row r="1327" spans="1:59" s="431" customFormat="1" ht="18" customHeight="1" x14ac:dyDescent="0.2">
      <c r="A1327" s="1367"/>
      <c r="B1327" s="1968"/>
      <c r="C1327" s="1968"/>
      <c r="D1327" s="1968"/>
      <c r="E1327" s="433" t="s">
        <v>4176</v>
      </c>
      <c r="F1327" s="434" t="s">
        <v>2288</v>
      </c>
      <c r="G1327" s="1969"/>
      <c r="H1327" s="635" t="s">
        <v>2288</v>
      </c>
      <c r="I1327" s="635" t="s">
        <v>4177</v>
      </c>
      <c r="J1327" s="1968"/>
      <c r="K1327" s="1965"/>
      <c r="L1327" s="435" t="s">
        <v>2288</v>
      </c>
      <c r="M1327" s="681" t="s">
        <v>2288</v>
      </c>
      <c r="N1327" s="635" t="s">
        <v>2288</v>
      </c>
      <c r="O1327" s="1968"/>
      <c r="P1327" s="2038"/>
      <c r="Q1327" s="1961"/>
      <c r="R1327" s="1963"/>
      <c r="S1327" s="1963"/>
      <c r="T1327" s="1965"/>
      <c r="U1327" s="1967"/>
      <c r="V1327" s="635" t="s">
        <v>4178</v>
      </c>
      <c r="W1327" s="637" t="s">
        <v>4159</v>
      </c>
      <c r="X1327" s="1961"/>
      <c r="Y1327" s="436"/>
      <c r="Z1327" s="436"/>
      <c r="AA1327" s="426"/>
      <c r="AB1327" s="426"/>
      <c r="AC1327" s="426"/>
      <c r="AD1327" s="564"/>
      <c r="AE1327" s="426"/>
      <c r="AF1327" s="564"/>
      <c r="AG1327" s="426"/>
      <c r="AH1327" s="426"/>
      <c r="AI1327" s="427"/>
      <c r="AJ1327" s="432"/>
      <c r="AK1327" s="432"/>
      <c r="AL1327" s="427"/>
      <c r="AM1327" s="428"/>
      <c r="AN1327" s="432"/>
      <c r="AO1327" s="427"/>
      <c r="AP1327" s="432"/>
      <c r="AQ1327" s="432"/>
      <c r="AR1327" s="427"/>
      <c r="AS1327" s="427"/>
      <c r="AT1327" s="432"/>
      <c r="AU1327" s="432"/>
      <c r="AV1327" s="427"/>
      <c r="AW1327" s="427"/>
      <c r="AX1327" s="432"/>
      <c r="AY1327" s="432"/>
      <c r="AZ1327" s="427"/>
      <c r="BA1327" s="427"/>
      <c r="BB1327" s="429"/>
      <c r="BC1327" s="430"/>
      <c r="BD1327" s="430"/>
    </row>
    <row r="1328" spans="1:59" s="461" customFormat="1" ht="18" customHeight="1" x14ac:dyDescent="0.2">
      <c r="A1328" s="1368" t="str">
        <f t="shared" ref="A1328:A1333" si="997">$D$1324&amp;S1328</f>
        <v>SIMP. PETAI - PABRIK PT. WANASARI2001</v>
      </c>
      <c r="B1328" s="1373">
        <v>1</v>
      </c>
      <c r="C1328" s="488" t="s">
        <v>529</v>
      </c>
      <c r="D1328" s="489" t="s">
        <v>3821</v>
      </c>
      <c r="E1328" s="558"/>
      <c r="F1328" s="559">
        <v>2001</v>
      </c>
      <c r="G1328" s="619">
        <v>15680000000</v>
      </c>
      <c r="H1328" s="440">
        <f>VLOOKUP(LEFT(D1328,8),UE,4)</f>
        <v>10</v>
      </c>
      <c r="I1328" s="560"/>
      <c r="J1328" s="468">
        <f>F1328+N1328-1</f>
        <v>2010</v>
      </c>
      <c r="K1328" s="595"/>
      <c r="L1328" s="557"/>
      <c r="M1328" s="682">
        <f>IF(H1328+L1328&gt;$H1328,$H1328-H1328,L1328)</f>
        <v>0</v>
      </c>
      <c r="N1328" s="584">
        <f>H1328+M1328</f>
        <v>10</v>
      </c>
      <c r="O1328" s="468">
        <f>F1328+N1328-1</f>
        <v>2010</v>
      </c>
      <c r="P1328" s="616">
        <f>G1328</f>
        <v>15680000000</v>
      </c>
      <c r="Q1328" s="472">
        <v>0</v>
      </c>
      <c r="R1328" s="472">
        <f>P1328/N1328</f>
        <v>1568000000</v>
      </c>
      <c r="S1328" s="596">
        <f>F1328</f>
        <v>2001</v>
      </c>
      <c r="T1328" s="470">
        <v>1</v>
      </c>
      <c r="U1328" s="612">
        <f>R1328*T1328</f>
        <v>1568000000</v>
      </c>
      <c r="V1328" s="468">
        <f>F1328</f>
        <v>2001</v>
      </c>
      <c r="W1328" s="616">
        <f>IF(OR(AND(ISBLANK(E1328),ISBLANK(G1328)),ISTEXT(E1328),ISTEXT(G1328)),"",G1328-R1328)</f>
        <v>14112000000</v>
      </c>
      <c r="X1328" s="561"/>
      <c r="Y1328" s="449"/>
      <c r="Z1328" s="449"/>
      <c r="AA1328" s="693"/>
      <c r="AB1328" s="452"/>
      <c r="AC1328" s="452"/>
      <c r="AD1328" s="571"/>
      <c r="AE1328" s="452"/>
      <c r="AF1328" s="571"/>
      <c r="AG1328" s="452"/>
      <c r="AH1328" s="452"/>
      <c r="AI1328" s="453"/>
      <c r="AJ1328" s="449"/>
      <c r="AK1328" s="453"/>
      <c r="AL1328" s="454"/>
      <c r="AM1328" s="455"/>
      <c r="AN1328" s="456"/>
      <c r="AO1328" s="455"/>
      <c r="AP1328" s="452"/>
      <c r="AQ1328" s="457"/>
      <c r="AR1328" s="449"/>
      <c r="AS1328" s="449"/>
      <c r="AT1328" s="452"/>
      <c r="AU1328" s="457"/>
      <c r="AV1328" s="449"/>
      <c r="AW1328" s="458"/>
      <c r="AX1328" s="452"/>
      <c r="AY1328" s="457"/>
      <c r="AZ1328" s="449"/>
      <c r="BA1328" s="459"/>
      <c r="BB1328" s="455"/>
      <c r="BC1328" s="460"/>
      <c r="BD1328" s="460"/>
      <c r="BG1328" s="462"/>
    </row>
    <row r="1329" spans="1:59" s="461" customFormat="1" ht="18" customHeight="1" x14ac:dyDescent="0.2">
      <c r="A1329" s="1368" t="str">
        <f t="shared" si="997"/>
        <v>SIMP. PETAI - PABRIK PT. WANASARI2005</v>
      </c>
      <c r="B1329" s="1373"/>
      <c r="C1329" s="488"/>
      <c r="D1329" s="489"/>
      <c r="E1329" s="558"/>
      <c r="F1329" s="559">
        <v>2005</v>
      </c>
      <c r="G1329" s="619">
        <v>0</v>
      </c>
      <c r="H1329" s="464">
        <f>IF(N1328-(F1329-F1328)&lt;=0,0,(N1328-(F1329-F1328)))</f>
        <v>6</v>
      </c>
      <c r="I1329" s="560"/>
      <c r="J1329" s="468">
        <f>F1329+N1329-1</f>
        <v>2010</v>
      </c>
      <c r="K1329" s="490">
        <f>IF(G1329=0,0,IF(H1329=10,100%,G1329/W1328))</f>
        <v>0</v>
      </c>
      <c r="L1329" s="469">
        <f>IF(K1329=0%,0,IF(K1329&lt;=30%,2,IF(K1329&lt;=60%,5,10)))</f>
        <v>0</v>
      </c>
      <c r="M1329" s="683">
        <f>IF(OR(AND(ISBLANK(E1329),ISBLANK(G1329)),ISTEXT(E1329),ISTEXT(G1329)),"",IF(H1329+L1329&gt;$H$8,$H$8-H1329,L1329))</f>
        <v>0</v>
      </c>
      <c r="N1329" s="470">
        <f>IF(OR(AND(ISBLANK(F1329),ISBLANK(G1329)),ISTEXT(F1329),ISTEXT(G1329)),"",H1329+M1329)</f>
        <v>6</v>
      </c>
      <c r="O1329" s="468">
        <f>F1329+N1329-1</f>
        <v>2010</v>
      </c>
      <c r="P1329" s="616">
        <f>W1328</f>
        <v>14112000000</v>
      </c>
      <c r="Q1329" s="472">
        <f>P1329+G1329</f>
        <v>14112000000</v>
      </c>
      <c r="R1329" s="472">
        <f>IF(L1329=0,R1328,Q1329/N1329)</f>
        <v>1568000000</v>
      </c>
      <c r="S1329" s="634">
        <f>F1329</f>
        <v>2005</v>
      </c>
      <c r="T1329" s="470">
        <f>S1329-S1328</f>
        <v>4</v>
      </c>
      <c r="U1329" s="612">
        <f>R1329*T1329</f>
        <v>6272000000</v>
      </c>
      <c r="V1329" s="464">
        <f>F1329</f>
        <v>2005</v>
      </c>
      <c r="W1329" s="612">
        <f>IF(OR(AND(ISBLANK(E1329),ISBLANK(G1329)),ISTEXT(E1329),ISTEXT(G1329)),"",Q1329-U1329)</f>
        <v>7840000000</v>
      </c>
      <c r="X1329" s="561"/>
      <c r="Y1329" s="449"/>
      <c r="Z1329" s="449"/>
      <c r="AA1329" s="694"/>
      <c r="AB1329" s="692"/>
      <c r="AC1329" s="692"/>
      <c r="AD1329" s="695"/>
      <c r="AE1329" s="452"/>
      <c r="AF1329" s="571"/>
      <c r="AG1329" s="452"/>
      <c r="AH1329" s="452"/>
      <c r="AI1329" s="453"/>
      <c r="AJ1329" s="449"/>
      <c r="AK1329" s="453"/>
      <c r="AL1329" s="454"/>
      <c r="AM1329" s="455"/>
      <c r="AN1329" s="456"/>
      <c r="AO1329" s="455"/>
      <c r="AP1329" s="452"/>
      <c r="AQ1329" s="457"/>
      <c r="AR1329" s="449"/>
      <c r="AS1329" s="449"/>
      <c r="AT1329" s="452"/>
      <c r="AU1329" s="457"/>
      <c r="AV1329" s="449"/>
      <c r="AW1329" s="458"/>
      <c r="AX1329" s="452"/>
      <c r="AY1329" s="457"/>
      <c r="AZ1329" s="449"/>
      <c r="BA1329" s="459"/>
      <c r="BB1329" s="455"/>
      <c r="BC1329" s="460"/>
      <c r="BD1329" s="460"/>
      <c r="BG1329" s="462"/>
    </row>
    <row r="1330" spans="1:59" s="461" customFormat="1" ht="18" customHeight="1" x14ac:dyDescent="0.2">
      <c r="A1330" s="1368" t="str">
        <f t="shared" si="997"/>
        <v>SIMP. PETAI - PABRIK PT. WANASARI2006</v>
      </c>
      <c r="B1330" s="1374"/>
      <c r="C1330" s="488"/>
      <c r="D1330" s="489"/>
      <c r="E1330" s="558"/>
      <c r="F1330" s="559">
        <v>2006</v>
      </c>
      <c r="G1330" s="619">
        <v>0</v>
      </c>
      <c r="H1330" s="464">
        <f t="shared" ref="H1330:H1343" si="998">IF(N1329-(F1330-F1329)&lt;=0,0,(N1329-(F1330-F1329)))</f>
        <v>5</v>
      </c>
      <c r="I1330" s="560"/>
      <c r="J1330" s="468">
        <f t="shared" ref="J1330:J1343" si="999">F1330+N1330-1</f>
        <v>2010</v>
      </c>
      <c r="K1330" s="490">
        <f t="shared" ref="K1330:K1343" si="1000">IF(G1330=0,0,IF(H1330=10,100%,G1330/W1329))</f>
        <v>0</v>
      </c>
      <c r="L1330" s="469">
        <f t="shared" ref="L1330:L1343" si="1001">IF(K1330=0%,0,IF(K1330&lt;=30%,2,IF(K1330&lt;=60%,5,10)))</f>
        <v>0</v>
      </c>
      <c r="M1330" s="683">
        <f t="shared" ref="M1330:M1343" si="1002">IF(OR(AND(ISBLANK(E1330),ISBLANK(G1330)),ISTEXT(E1330),ISTEXT(G1330)),"",IF(H1330+L1330&gt;$H$8,$H$8-H1330,L1330))</f>
        <v>0</v>
      </c>
      <c r="N1330" s="470">
        <f t="shared" ref="N1330:N1343" si="1003">IF(OR(AND(ISBLANK(F1330),ISBLANK(G1330)),ISTEXT(F1330),ISTEXT(G1330)),"",H1330+M1330)</f>
        <v>5</v>
      </c>
      <c r="O1330" s="468">
        <f t="shared" ref="O1330:O1343" si="1004">F1330+N1330-1</f>
        <v>2010</v>
      </c>
      <c r="P1330" s="616">
        <f t="shared" ref="P1330:P1343" si="1005">W1329</f>
        <v>7840000000</v>
      </c>
      <c r="Q1330" s="472">
        <f t="shared" ref="Q1330:Q1343" si="1006">P1330+G1330</f>
        <v>7840000000</v>
      </c>
      <c r="R1330" s="472">
        <f t="shared" ref="R1330:R1343" si="1007">IF(L1330=0,R1329,Q1330/N1330)</f>
        <v>1568000000</v>
      </c>
      <c r="S1330" s="1189">
        <f t="shared" ref="S1330:S1343" si="1008">F1330</f>
        <v>2006</v>
      </c>
      <c r="T1330" s="470">
        <f t="shared" ref="T1330:T1343" si="1009">S1330-S1329</f>
        <v>1</v>
      </c>
      <c r="U1330" s="612">
        <f t="shared" ref="U1330:U1343" si="1010">R1330*T1330</f>
        <v>1568000000</v>
      </c>
      <c r="V1330" s="464">
        <f t="shared" ref="V1330:V1343" si="1011">F1330</f>
        <v>2006</v>
      </c>
      <c r="W1330" s="612">
        <f t="shared" ref="W1330:W1343" si="1012">IF(OR(AND(ISBLANK(E1330),ISBLANK(G1330)),ISTEXT(E1330),ISTEXT(G1330)),"",Q1330-U1330)</f>
        <v>6272000000</v>
      </c>
      <c r="X1330" s="561"/>
      <c r="Y1330" s="449"/>
      <c r="Z1330" s="449"/>
      <c r="AA1330" s="693"/>
      <c r="AB1330" s="452"/>
      <c r="AC1330" s="452"/>
      <c r="AD1330" s="571"/>
      <c r="AE1330" s="452"/>
      <c r="AF1330" s="571"/>
      <c r="AG1330" s="452"/>
      <c r="AH1330" s="452"/>
      <c r="AI1330" s="453"/>
      <c r="AJ1330" s="449"/>
      <c r="AK1330" s="453"/>
      <c r="AL1330" s="454"/>
      <c r="AM1330" s="455"/>
      <c r="AN1330" s="456"/>
      <c r="AO1330" s="455"/>
      <c r="AP1330" s="452"/>
      <c r="AQ1330" s="457"/>
      <c r="AR1330" s="449"/>
      <c r="AS1330" s="449"/>
      <c r="AT1330" s="452"/>
      <c r="AU1330" s="457"/>
      <c r="AV1330" s="449"/>
      <c r="AW1330" s="458"/>
      <c r="AX1330" s="452"/>
      <c r="AY1330" s="457"/>
      <c r="AZ1330" s="449"/>
      <c r="BA1330" s="459"/>
      <c r="BB1330" s="455"/>
      <c r="BC1330" s="460"/>
      <c r="BD1330" s="460"/>
      <c r="BG1330" s="462"/>
    </row>
    <row r="1331" spans="1:59" s="486" customFormat="1" ht="18" customHeight="1" x14ac:dyDescent="0.2">
      <c r="A1331" s="1368" t="str">
        <f t="shared" si="997"/>
        <v>SIMP. PETAI - PABRIK PT. WANASARI2007</v>
      </c>
      <c r="B1331" s="1373">
        <v>2</v>
      </c>
      <c r="C1331" s="488" t="s">
        <v>1190</v>
      </c>
      <c r="D1331" s="489" t="s">
        <v>3821</v>
      </c>
      <c r="E1331" s="558"/>
      <c r="F1331" s="559">
        <v>2007</v>
      </c>
      <c r="G1331" s="619">
        <v>2864585047.9665399</v>
      </c>
      <c r="H1331" s="464">
        <f t="shared" si="998"/>
        <v>4</v>
      </c>
      <c r="I1331" s="560"/>
      <c r="J1331" s="468">
        <f t="shared" si="999"/>
        <v>2015</v>
      </c>
      <c r="K1331" s="490">
        <f t="shared" si="1000"/>
        <v>0.45672593239262432</v>
      </c>
      <c r="L1331" s="469">
        <f t="shared" si="1001"/>
        <v>5</v>
      </c>
      <c r="M1331" s="683">
        <f t="shared" si="1002"/>
        <v>5</v>
      </c>
      <c r="N1331" s="470">
        <f t="shared" si="1003"/>
        <v>9</v>
      </c>
      <c r="O1331" s="468">
        <f t="shared" si="1004"/>
        <v>2015</v>
      </c>
      <c r="P1331" s="616">
        <f t="shared" si="1005"/>
        <v>6272000000</v>
      </c>
      <c r="Q1331" s="472">
        <f t="shared" si="1006"/>
        <v>9136585047.9665394</v>
      </c>
      <c r="R1331" s="472">
        <f t="shared" si="1007"/>
        <v>1015176116.4407266</v>
      </c>
      <c r="S1331" s="1189">
        <f t="shared" si="1008"/>
        <v>2007</v>
      </c>
      <c r="T1331" s="470">
        <f t="shared" si="1009"/>
        <v>1</v>
      </c>
      <c r="U1331" s="612">
        <f t="shared" si="1010"/>
        <v>1015176116.4407266</v>
      </c>
      <c r="V1331" s="464">
        <f t="shared" si="1011"/>
        <v>2007</v>
      </c>
      <c r="W1331" s="612">
        <f t="shared" si="1012"/>
        <v>8121408931.5258131</v>
      </c>
      <c r="X1331" s="473"/>
      <c r="Y1331" s="474"/>
      <c r="Z1331" s="449"/>
      <c r="AA1331" s="554" t="s">
        <v>4179</v>
      </c>
      <c r="AB1331" s="476"/>
      <c r="AC1331" s="476"/>
      <c r="AD1331" s="567"/>
      <c r="AE1331" s="476"/>
      <c r="AF1331" s="568"/>
      <c r="AG1331" s="476"/>
      <c r="AH1331" s="476"/>
      <c r="AI1331" s="477"/>
      <c r="AJ1331" s="478"/>
      <c r="AK1331" s="479"/>
      <c r="AL1331" s="480"/>
      <c r="AM1331" s="474"/>
      <c r="AN1331" s="481"/>
      <c r="AO1331" s="474"/>
      <c r="AP1331" s="476"/>
      <c r="AQ1331" s="482"/>
      <c r="AR1331" s="478"/>
      <c r="AS1331" s="478"/>
      <c r="AT1331" s="476"/>
      <c r="AU1331" s="482"/>
      <c r="AV1331" s="478"/>
      <c r="AW1331" s="483"/>
      <c r="AX1331" s="476"/>
      <c r="AY1331" s="482"/>
      <c r="AZ1331" s="478"/>
      <c r="BA1331" s="484"/>
      <c r="BB1331" s="474"/>
      <c r="BC1331" s="485"/>
      <c r="BD1331" s="485"/>
      <c r="BG1331" s="487"/>
    </row>
    <row r="1332" spans="1:59" s="486" customFormat="1" ht="18" customHeight="1" x14ac:dyDescent="0.2">
      <c r="A1332" s="1368" t="str">
        <f t="shared" si="997"/>
        <v>SIMP. PETAI - PABRIK PT. WANASARI2008</v>
      </c>
      <c r="B1332" s="1373">
        <v>3</v>
      </c>
      <c r="C1332" s="488" t="s">
        <v>5161</v>
      </c>
      <c r="D1332" s="489"/>
      <c r="E1332" s="558"/>
      <c r="F1332" s="559">
        <v>2008</v>
      </c>
      <c r="G1332" s="619">
        <v>787324847.00173604</v>
      </c>
      <c r="H1332" s="464">
        <f t="shared" si="998"/>
        <v>8</v>
      </c>
      <c r="I1332" s="560"/>
      <c r="J1332" s="468">
        <f t="shared" si="999"/>
        <v>2017</v>
      </c>
      <c r="K1332" s="490">
        <f t="shared" si="1000"/>
        <v>9.6944366875245755E-2</v>
      </c>
      <c r="L1332" s="469">
        <f t="shared" si="1001"/>
        <v>2</v>
      </c>
      <c r="M1332" s="683">
        <f t="shared" si="1002"/>
        <v>2</v>
      </c>
      <c r="N1332" s="470">
        <f t="shared" si="1003"/>
        <v>10</v>
      </c>
      <c r="O1332" s="468">
        <f t="shared" si="1004"/>
        <v>2017</v>
      </c>
      <c r="P1332" s="616">
        <f t="shared" si="1005"/>
        <v>8121408931.5258131</v>
      </c>
      <c r="Q1332" s="472">
        <f t="shared" si="1006"/>
        <v>8908733778.5275497</v>
      </c>
      <c r="R1332" s="472">
        <f t="shared" si="1007"/>
        <v>890873377.85275495</v>
      </c>
      <c r="S1332" s="1189">
        <f t="shared" si="1008"/>
        <v>2008</v>
      </c>
      <c r="T1332" s="470">
        <f t="shared" si="1009"/>
        <v>1</v>
      </c>
      <c r="U1332" s="612">
        <f t="shared" si="1010"/>
        <v>890873377.85275495</v>
      </c>
      <c r="V1332" s="464">
        <f t="shared" si="1011"/>
        <v>2008</v>
      </c>
      <c r="W1332" s="612">
        <f t="shared" si="1012"/>
        <v>8017860400.6747952</v>
      </c>
      <c r="X1332" s="473"/>
      <c r="Y1332" s="474"/>
      <c r="Z1332" s="449"/>
      <c r="AA1332" s="475"/>
      <c r="AB1332" s="476"/>
      <c r="AC1332" s="476"/>
      <c r="AD1332" s="567">
        <f>G1346</f>
        <v>0</v>
      </c>
      <c r="AE1332" s="476"/>
      <c r="AF1332" s="568"/>
      <c r="AG1332" s="476"/>
      <c r="AH1332" s="476"/>
      <c r="AI1332" s="477"/>
      <c r="AJ1332" s="478"/>
      <c r="AK1332" s="479"/>
      <c r="AL1332" s="480"/>
      <c r="AM1332" s="474"/>
      <c r="AN1332" s="481"/>
      <c r="AO1332" s="474"/>
      <c r="AP1332" s="476"/>
      <c r="AQ1332" s="482"/>
      <c r="AR1332" s="478"/>
      <c r="AS1332" s="478"/>
      <c r="AT1332" s="476"/>
      <c r="AU1332" s="482"/>
      <c r="AV1332" s="478"/>
      <c r="AW1332" s="483"/>
      <c r="AX1332" s="476"/>
      <c r="AY1332" s="482"/>
      <c r="AZ1332" s="478"/>
      <c r="BA1332" s="484"/>
      <c r="BB1332" s="474"/>
      <c r="BC1332" s="485"/>
      <c r="BD1332" s="485"/>
      <c r="BG1332" s="487"/>
    </row>
    <row r="1333" spans="1:59" s="486" customFormat="1" ht="18" customHeight="1" x14ac:dyDescent="0.2">
      <c r="A1333" s="1368" t="str">
        <f t="shared" si="997"/>
        <v>SIMP. PETAI - PABRIK PT. WANASARI2009</v>
      </c>
      <c r="B1333" s="1374"/>
      <c r="C1333" s="488"/>
      <c r="D1333" s="489"/>
      <c r="E1333" s="558"/>
      <c r="F1333" s="559">
        <v>2009</v>
      </c>
      <c r="G1333" s="619">
        <v>0</v>
      </c>
      <c r="H1333" s="464">
        <f t="shared" si="998"/>
        <v>9</v>
      </c>
      <c r="I1333" s="560"/>
      <c r="J1333" s="468">
        <f t="shared" si="999"/>
        <v>2017</v>
      </c>
      <c r="K1333" s="490">
        <f t="shared" si="1000"/>
        <v>0</v>
      </c>
      <c r="L1333" s="469">
        <f t="shared" si="1001"/>
        <v>0</v>
      </c>
      <c r="M1333" s="683">
        <f t="shared" si="1002"/>
        <v>0</v>
      </c>
      <c r="N1333" s="470">
        <f t="shared" si="1003"/>
        <v>9</v>
      </c>
      <c r="O1333" s="468">
        <f t="shared" si="1004"/>
        <v>2017</v>
      </c>
      <c r="P1333" s="616">
        <f t="shared" si="1005"/>
        <v>8017860400.6747952</v>
      </c>
      <c r="Q1333" s="472">
        <f t="shared" si="1006"/>
        <v>8017860400.6747952</v>
      </c>
      <c r="R1333" s="472">
        <f t="shared" si="1007"/>
        <v>890873377.85275495</v>
      </c>
      <c r="S1333" s="1189">
        <f t="shared" si="1008"/>
        <v>2009</v>
      </c>
      <c r="T1333" s="470">
        <f t="shared" si="1009"/>
        <v>1</v>
      </c>
      <c r="U1333" s="612">
        <f t="shared" si="1010"/>
        <v>890873377.85275495</v>
      </c>
      <c r="V1333" s="464">
        <f t="shared" si="1011"/>
        <v>2009</v>
      </c>
      <c r="W1333" s="612">
        <f t="shared" si="1012"/>
        <v>7126987022.8220406</v>
      </c>
      <c r="X1333" s="473"/>
      <c r="Y1333" s="474"/>
      <c r="Z1333" s="449"/>
      <c r="AA1333" s="475"/>
      <c r="AB1333" s="476"/>
      <c r="AC1333" s="476"/>
      <c r="AD1333" s="567"/>
      <c r="AE1333" s="476"/>
      <c r="AF1333" s="568"/>
      <c r="AG1333" s="476"/>
      <c r="AH1333" s="476"/>
      <c r="AI1333" s="477"/>
      <c r="AJ1333" s="478"/>
      <c r="AK1333" s="479"/>
      <c r="AL1333" s="480"/>
      <c r="AM1333" s="474"/>
      <c r="AN1333" s="481"/>
      <c r="AO1333" s="474"/>
      <c r="AP1333" s="476"/>
      <c r="AQ1333" s="482"/>
      <c r="AR1333" s="478"/>
      <c r="AS1333" s="478"/>
      <c r="AT1333" s="476"/>
      <c r="AU1333" s="482"/>
      <c r="AV1333" s="478"/>
      <c r="AW1333" s="483"/>
      <c r="AX1333" s="476"/>
      <c r="AY1333" s="482"/>
      <c r="AZ1333" s="478"/>
      <c r="BA1333" s="484"/>
      <c r="BB1333" s="474"/>
      <c r="BC1333" s="485"/>
      <c r="BD1333" s="485"/>
      <c r="BG1333" s="487"/>
    </row>
    <row r="1334" spans="1:59" s="486" customFormat="1" ht="18" customHeight="1" x14ac:dyDescent="0.2">
      <c r="A1334" s="1368" t="str">
        <f t="shared" ref="A1334:A1343" si="1013">$D$1324&amp;S1334</f>
        <v>SIMP. PETAI - PABRIK PT. WANASARI2010</v>
      </c>
      <c r="B1334" s="1373"/>
      <c r="C1334" s="488"/>
      <c r="D1334" s="489"/>
      <c r="E1334" s="558"/>
      <c r="F1334" s="559">
        <v>2010</v>
      </c>
      <c r="G1334" s="619">
        <v>0</v>
      </c>
      <c r="H1334" s="464">
        <f t="shared" si="998"/>
        <v>8</v>
      </c>
      <c r="I1334" s="560"/>
      <c r="J1334" s="468">
        <f t="shared" si="999"/>
        <v>2017</v>
      </c>
      <c r="K1334" s="490">
        <f t="shared" si="1000"/>
        <v>0</v>
      </c>
      <c r="L1334" s="469">
        <f t="shared" si="1001"/>
        <v>0</v>
      </c>
      <c r="M1334" s="683">
        <f t="shared" si="1002"/>
        <v>0</v>
      </c>
      <c r="N1334" s="470">
        <f t="shared" si="1003"/>
        <v>8</v>
      </c>
      <c r="O1334" s="468">
        <f t="shared" si="1004"/>
        <v>2017</v>
      </c>
      <c r="P1334" s="616">
        <f t="shared" si="1005"/>
        <v>7126987022.8220406</v>
      </c>
      <c r="Q1334" s="472">
        <f t="shared" si="1006"/>
        <v>7126987022.8220406</v>
      </c>
      <c r="R1334" s="472">
        <f t="shared" si="1007"/>
        <v>890873377.85275495</v>
      </c>
      <c r="S1334" s="1189">
        <f t="shared" si="1008"/>
        <v>2010</v>
      </c>
      <c r="T1334" s="470">
        <f t="shared" si="1009"/>
        <v>1</v>
      </c>
      <c r="U1334" s="612">
        <f t="shared" si="1010"/>
        <v>890873377.85275495</v>
      </c>
      <c r="V1334" s="464">
        <f t="shared" si="1011"/>
        <v>2010</v>
      </c>
      <c r="W1334" s="612">
        <f t="shared" si="1012"/>
        <v>6236113644.969286</v>
      </c>
      <c r="X1334" s="473"/>
      <c r="Y1334" s="478"/>
      <c r="Z1334" s="449"/>
      <c r="AA1334" s="475" t="s">
        <v>4180</v>
      </c>
      <c r="AB1334" s="476"/>
      <c r="AC1334" s="476"/>
      <c r="AD1334" s="567">
        <f>G1345</f>
        <v>19331909894.968277</v>
      </c>
      <c r="AE1334" s="491"/>
      <c r="AF1334" s="568"/>
      <c r="AG1334" s="491"/>
      <c r="AH1334" s="491"/>
      <c r="AI1334" s="477"/>
      <c r="AJ1334" s="478"/>
      <c r="AK1334" s="479"/>
      <c r="AL1334" s="480"/>
      <c r="AM1334" s="474"/>
      <c r="AN1334" s="481"/>
      <c r="AO1334" s="474"/>
      <c r="AP1334" s="476"/>
      <c r="AQ1334" s="482"/>
      <c r="AR1334" s="478"/>
      <c r="AS1334" s="478"/>
      <c r="AT1334" s="476"/>
      <c r="AU1334" s="482"/>
      <c r="AV1334" s="478"/>
      <c r="AW1334" s="483"/>
      <c r="AX1334" s="476"/>
      <c r="AY1334" s="482"/>
      <c r="AZ1334" s="478"/>
      <c r="BA1334" s="484"/>
      <c r="BB1334" s="474"/>
      <c r="BC1334" s="485"/>
      <c r="BD1334" s="485"/>
      <c r="BG1334" s="487"/>
    </row>
    <row r="1335" spans="1:59" s="486" customFormat="1" ht="18" customHeight="1" x14ac:dyDescent="0.2">
      <c r="A1335" s="1368" t="str">
        <f t="shared" si="1013"/>
        <v>SIMP. PETAI - PABRIK PT. WANASARI2011</v>
      </c>
      <c r="B1335" s="1374"/>
      <c r="C1335" s="488"/>
      <c r="D1335" s="489"/>
      <c r="E1335" s="558"/>
      <c r="F1335" s="559">
        <v>2011</v>
      </c>
      <c r="G1335" s="619">
        <v>0</v>
      </c>
      <c r="H1335" s="464">
        <f t="shared" si="998"/>
        <v>7</v>
      </c>
      <c r="I1335" s="560"/>
      <c r="J1335" s="468">
        <f t="shared" si="999"/>
        <v>2017</v>
      </c>
      <c r="K1335" s="490">
        <f t="shared" si="1000"/>
        <v>0</v>
      </c>
      <c r="L1335" s="469">
        <f t="shared" si="1001"/>
        <v>0</v>
      </c>
      <c r="M1335" s="683">
        <f t="shared" si="1002"/>
        <v>0</v>
      </c>
      <c r="N1335" s="470">
        <f t="shared" si="1003"/>
        <v>7</v>
      </c>
      <c r="O1335" s="468">
        <f t="shared" si="1004"/>
        <v>2017</v>
      </c>
      <c r="P1335" s="616">
        <f t="shared" si="1005"/>
        <v>6236113644.969286</v>
      </c>
      <c r="Q1335" s="472">
        <f t="shared" si="1006"/>
        <v>6236113644.969286</v>
      </c>
      <c r="R1335" s="472">
        <f t="shared" si="1007"/>
        <v>890873377.85275495</v>
      </c>
      <c r="S1335" s="1189">
        <f t="shared" si="1008"/>
        <v>2011</v>
      </c>
      <c r="T1335" s="470">
        <f t="shared" si="1009"/>
        <v>1</v>
      </c>
      <c r="U1335" s="612">
        <f t="shared" si="1010"/>
        <v>890873377.85275495</v>
      </c>
      <c r="V1335" s="464">
        <f t="shared" si="1011"/>
        <v>2011</v>
      </c>
      <c r="W1335" s="612">
        <f t="shared" si="1012"/>
        <v>5345240267.1165314</v>
      </c>
      <c r="X1335" s="473"/>
      <c r="Y1335" s="478"/>
      <c r="Z1335" s="449"/>
      <c r="AA1335" s="475"/>
      <c r="AB1335" s="476"/>
      <c r="AC1335" s="476"/>
      <c r="AD1335" s="567"/>
      <c r="AE1335" s="491"/>
      <c r="AF1335" s="568"/>
      <c r="AG1335" s="491"/>
      <c r="AH1335" s="491"/>
      <c r="AI1335" s="477"/>
      <c r="AJ1335" s="478"/>
      <c r="AK1335" s="479"/>
      <c r="AL1335" s="480"/>
      <c r="AM1335" s="474"/>
      <c r="AN1335" s="481"/>
      <c r="AO1335" s="474"/>
      <c r="AP1335" s="476"/>
      <c r="AQ1335" s="482"/>
      <c r="AR1335" s="478"/>
      <c r="AS1335" s="478"/>
      <c r="AT1335" s="476"/>
      <c r="AU1335" s="482"/>
      <c r="AV1335" s="478"/>
      <c r="AW1335" s="483"/>
      <c r="AX1335" s="476"/>
      <c r="AY1335" s="482"/>
      <c r="AZ1335" s="478"/>
      <c r="BA1335" s="484"/>
      <c r="BB1335" s="474"/>
      <c r="BC1335" s="485"/>
      <c r="BD1335" s="485"/>
      <c r="BG1335" s="487"/>
    </row>
    <row r="1336" spans="1:59" s="486" customFormat="1" ht="18" customHeight="1" x14ac:dyDescent="0.2">
      <c r="A1336" s="1368" t="str">
        <f t="shared" si="1013"/>
        <v>SIMP. PETAI - PABRIK PT. WANASARI2012</v>
      </c>
      <c r="B1336" s="1374"/>
      <c r="C1336" s="488"/>
      <c r="D1336" s="489"/>
      <c r="E1336" s="558"/>
      <c r="F1336" s="559">
        <v>2012</v>
      </c>
      <c r="G1336" s="619">
        <v>0</v>
      </c>
      <c r="H1336" s="464">
        <f t="shared" si="998"/>
        <v>6</v>
      </c>
      <c r="I1336" s="560"/>
      <c r="J1336" s="468">
        <f t="shared" si="999"/>
        <v>2017</v>
      </c>
      <c r="K1336" s="490">
        <f t="shared" si="1000"/>
        <v>0</v>
      </c>
      <c r="L1336" s="469">
        <f t="shared" si="1001"/>
        <v>0</v>
      </c>
      <c r="M1336" s="683">
        <f t="shared" si="1002"/>
        <v>0</v>
      </c>
      <c r="N1336" s="470">
        <f t="shared" si="1003"/>
        <v>6</v>
      </c>
      <c r="O1336" s="468">
        <f t="shared" si="1004"/>
        <v>2017</v>
      </c>
      <c r="P1336" s="616">
        <f t="shared" si="1005"/>
        <v>5345240267.1165314</v>
      </c>
      <c r="Q1336" s="472">
        <f t="shared" si="1006"/>
        <v>5345240267.1165314</v>
      </c>
      <c r="R1336" s="472">
        <f t="shared" si="1007"/>
        <v>890873377.85275495</v>
      </c>
      <c r="S1336" s="1189">
        <f t="shared" si="1008"/>
        <v>2012</v>
      </c>
      <c r="T1336" s="470">
        <f t="shared" si="1009"/>
        <v>1</v>
      </c>
      <c r="U1336" s="612">
        <f t="shared" si="1010"/>
        <v>890873377.85275495</v>
      </c>
      <c r="V1336" s="464">
        <f t="shared" si="1011"/>
        <v>2012</v>
      </c>
      <c r="W1336" s="612">
        <f t="shared" si="1012"/>
        <v>4454366889.2637768</v>
      </c>
      <c r="X1336" s="473"/>
      <c r="Y1336" s="478"/>
      <c r="Z1336" s="449"/>
      <c r="AA1336" s="475"/>
      <c r="AB1336" s="476"/>
      <c r="AC1336" s="476"/>
      <c r="AD1336" s="567"/>
      <c r="AE1336" s="491"/>
      <c r="AF1336" s="568"/>
      <c r="AG1336" s="491"/>
      <c r="AH1336" s="491"/>
      <c r="AI1336" s="477"/>
      <c r="AJ1336" s="478"/>
      <c r="AK1336" s="479"/>
      <c r="AL1336" s="480"/>
      <c r="AM1336" s="474"/>
      <c r="AN1336" s="481"/>
      <c r="AO1336" s="474"/>
      <c r="AP1336" s="476"/>
      <c r="AQ1336" s="482"/>
      <c r="AR1336" s="478"/>
      <c r="AS1336" s="478"/>
      <c r="AT1336" s="476"/>
      <c r="AU1336" s="482"/>
      <c r="AV1336" s="478"/>
      <c r="AW1336" s="483"/>
      <c r="AX1336" s="476"/>
      <c r="AY1336" s="482"/>
      <c r="AZ1336" s="478"/>
      <c r="BA1336" s="484"/>
      <c r="BB1336" s="474"/>
      <c r="BC1336" s="485"/>
      <c r="BD1336" s="485"/>
      <c r="BG1336" s="487"/>
    </row>
    <row r="1337" spans="1:59" s="486" customFormat="1" ht="18" customHeight="1" x14ac:dyDescent="0.2">
      <c r="A1337" s="1368" t="str">
        <f t="shared" si="1013"/>
        <v>SIMP. PETAI - PABRIK PT. WANASARI2013</v>
      </c>
      <c r="B1337" s="1373"/>
      <c r="C1337" s="488"/>
      <c r="D1337" s="489"/>
      <c r="E1337" s="558"/>
      <c r="F1337" s="559">
        <v>2013</v>
      </c>
      <c r="G1337" s="619">
        <v>0</v>
      </c>
      <c r="H1337" s="464">
        <f t="shared" si="998"/>
        <v>5</v>
      </c>
      <c r="I1337" s="560"/>
      <c r="J1337" s="468">
        <f t="shared" si="999"/>
        <v>2017</v>
      </c>
      <c r="K1337" s="490">
        <f t="shared" si="1000"/>
        <v>0</v>
      </c>
      <c r="L1337" s="469">
        <f t="shared" si="1001"/>
        <v>0</v>
      </c>
      <c r="M1337" s="683">
        <f t="shared" si="1002"/>
        <v>0</v>
      </c>
      <c r="N1337" s="470">
        <f t="shared" si="1003"/>
        <v>5</v>
      </c>
      <c r="O1337" s="468">
        <f t="shared" si="1004"/>
        <v>2017</v>
      </c>
      <c r="P1337" s="616">
        <f t="shared" si="1005"/>
        <v>4454366889.2637768</v>
      </c>
      <c r="Q1337" s="472">
        <f t="shared" si="1006"/>
        <v>4454366889.2637768</v>
      </c>
      <c r="R1337" s="472">
        <f t="shared" si="1007"/>
        <v>890873377.85275495</v>
      </c>
      <c r="S1337" s="1189">
        <f t="shared" si="1008"/>
        <v>2013</v>
      </c>
      <c r="T1337" s="470">
        <f t="shared" si="1009"/>
        <v>1</v>
      </c>
      <c r="U1337" s="612">
        <f t="shared" si="1010"/>
        <v>890873377.85275495</v>
      </c>
      <c r="V1337" s="464">
        <f t="shared" si="1011"/>
        <v>2013</v>
      </c>
      <c r="W1337" s="612">
        <f t="shared" si="1012"/>
        <v>3563493511.4110217</v>
      </c>
      <c r="X1337" s="473"/>
      <c r="Y1337" s="478"/>
      <c r="Z1337" s="449"/>
      <c r="AA1337" s="475" t="s">
        <v>4181</v>
      </c>
      <c r="AB1337" s="491"/>
      <c r="AC1337" s="491"/>
      <c r="AD1337" s="567">
        <f>U1345</f>
        <v>19331909894.968277</v>
      </c>
      <c r="AE1337" s="491"/>
      <c r="AF1337" s="568"/>
      <c r="AG1337" s="491"/>
      <c r="AH1337" s="491"/>
      <c r="AI1337" s="477"/>
      <c r="AJ1337" s="478"/>
      <c r="AK1337" s="479"/>
      <c r="AL1337" s="480"/>
      <c r="AM1337" s="474"/>
      <c r="AN1337" s="481"/>
      <c r="AO1337" s="474"/>
      <c r="AP1337" s="476"/>
      <c r="AQ1337" s="482"/>
      <c r="AR1337" s="478"/>
      <c r="AS1337" s="478"/>
      <c r="AT1337" s="476"/>
      <c r="AU1337" s="482"/>
      <c r="AV1337" s="478"/>
      <c r="AW1337" s="483"/>
      <c r="AX1337" s="476"/>
      <c r="AY1337" s="482"/>
      <c r="AZ1337" s="478"/>
      <c r="BA1337" s="484"/>
      <c r="BB1337" s="474"/>
      <c r="BC1337" s="485"/>
      <c r="BD1337" s="485"/>
      <c r="BG1337" s="487"/>
    </row>
    <row r="1338" spans="1:59" s="486" customFormat="1" ht="18" customHeight="1" x14ac:dyDescent="0.2">
      <c r="A1338" s="1368" t="str">
        <f t="shared" si="1013"/>
        <v>SIMP. PETAI - PABRIK PT. WANASARI2014</v>
      </c>
      <c r="B1338" s="1373"/>
      <c r="C1338" s="488"/>
      <c r="D1338" s="489"/>
      <c r="E1338" s="558"/>
      <c r="F1338" s="559">
        <v>2014</v>
      </c>
      <c r="G1338" s="619">
        <v>0</v>
      </c>
      <c r="H1338" s="464">
        <f t="shared" si="998"/>
        <v>4</v>
      </c>
      <c r="I1338" s="560"/>
      <c r="J1338" s="468">
        <f t="shared" si="999"/>
        <v>2017</v>
      </c>
      <c r="K1338" s="490">
        <f t="shared" si="1000"/>
        <v>0</v>
      </c>
      <c r="L1338" s="469">
        <f t="shared" si="1001"/>
        <v>0</v>
      </c>
      <c r="M1338" s="683">
        <f t="shared" si="1002"/>
        <v>0</v>
      </c>
      <c r="N1338" s="470">
        <f t="shared" si="1003"/>
        <v>4</v>
      </c>
      <c r="O1338" s="468">
        <f t="shared" si="1004"/>
        <v>2017</v>
      </c>
      <c r="P1338" s="616">
        <f t="shared" si="1005"/>
        <v>3563493511.4110217</v>
      </c>
      <c r="Q1338" s="472">
        <f t="shared" si="1006"/>
        <v>3563493511.4110217</v>
      </c>
      <c r="R1338" s="472">
        <f t="shared" si="1007"/>
        <v>890873377.85275495</v>
      </c>
      <c r="S1338" s="1189">
        <f t="shared" si="1008"/>
        <v>2014</v>
      </c>
      <c r="T1338" s="470">
        <f t="shared" si="1009"/>
        <v>1</v>
      </c>
      <c r="U1338" s="612">
        <f t="shared" si="1010"/>
        <v>890873377.85275495</v>
      </c>
      <c r="V1338" s="464">
        <f t="shared" si="1011"/>
        <v>2014</v>
      </c>
      <c r="W1338" s="612">
        <f t="shared" si="1012"/>
        <v>2672620133.5582666</v>
      </c>
      <c r="X1338" s="473"/>
      <c r="Y1338" s="478"/>
      <c r="Z1338" s="449"/>
      <c r="AA1338" s="492" t="s">
        <v>4182</v>
      </c>
      <c r="AB1338" s="476"/>
      <c r="AC1338" s="476"/>
      <c r="AD1338" s="567">
        <f>AD1334-AD1337</f>
        <v>0</v>
      </c>
      <c r="AE1338" s="476"/>
      <c r="AF1338" s="568"/>
      <c r="AG1338" s="476"/>
      <c r="AH1338" s="476"/>
      <c r="AI1338" s="477"/>
      <c r="AJ1338" s="478"/>
      <c r="AK1338" s="479"/>
      <c r="AL1338" s="480"/>
      <c r="AM1338" s="474"/>
      <c r="AN1338" s="481"/>
      <c r="AO1338" s="474"/>
      <c r="AP1338" s="476"/>
      <c r="AQ1338" s="482"/>
      <c r="AR1338" s="478"/>
      <c r="AS1338" s="478"/>
      <c r="AT1338" s="476"/>
      <c r="AU1338" s="482"/>
      <c r="AV1338" s="478"/>
      <c r="AW1338" s="483"/>
      <c r="AX1338" s="476"/>
      <c r="AY1338" s="482"/>
      <c r="AZ1338" s="478"/>
      <c r="BA1338" s="484"/>
      <c r="BB1338" s="474"/>
      <c r="BC1338" s="485"/>
      <c r="BD1338" s="485"/>
      <c r="BG1338" s="487"/>
    </row>
    <row r="1339" spans="1:59" s="486" customFormat="1" ht="18" customHeight="1" x14ac:dyDescent="0.2">
      <c r="A1339" s="1368" t="str">
        <f t="shared" si="1013"/>
        <v>SIMP. PETAI - PABRIK PT. WANASARI2015</v>
      </c>
      <c r="B1339" s="687"/>
      <c r="C1339" s="463"/>
      <c r="D1339" s="489"/>
      <c r="E1339" s="465"/>
      <c r="F1339" s="559">
        <v>2015</v>
      </c>
      <c r="G1339" s="620">
        <v>0</v>
      </c>
      <c r="H1339" s="464">
        <f t="shared" si="998"/>
        <v>3</v>
      </c>
      <c r="I1339" s="560"/>
      <c r="J1339" s="468">
        <f t="shared" si="999"/>
        <v>2017</v>
      </c>
      <c r="K1339" s="490">
        <f t="shared" si="1000"/>
        <v>0</v>
      </c>
      <c r="L1339" s="469">
        <f t="shared" si="1001"/>
        <v>0</v>
      </c>
      <c r="M1339" s="683">
        <f t="shared" si="1002"/>
        <v>0</v>
      </c>
      <c r="N1339" s="470">
        <f t="shared" si="1003"/>
        <v>3</v>
      </c>
      <c r="O1339" s="468">
        <f t="shared" si="1004"/>
        <v>2017</v>
      </c>
      <c r="P1339" s="616">
        <f t="shared" si="1005"/>
        <v>2672620133.5582666</v>
      </c>
      <c r="Q1339" s="472">
        <f t="shared" si="1006"/>
        <v>2672620133.5582666</v>
      </c>
      <c r="R1339" s="472">
        <f t="shared" si="1007"/>
        <v>890873377.85275495</v>
      </c>
      <c r="S1339" s="1189">
        <f t="shared" si="1008"/>
        <v>2015</v>
      </c>
      <c r="T1339" s="470">
        <f t="shared" si="1009"/>
        <v>1</v>
      </c>
      <c r="U1339" s="612">
        <f t="shared" si="1010"/>
        <v>890873377.85275495</v>
      </c>
      <c r="V1339" s="464">
        <f t="shared" si="1011"/>
        <v>2015</v>
      </c>
      <c r="W1339" s="612">
        <f t="shared" si="1012"/>
        <v>1781746755.7055116</v>
      </c>
      <c r="X1339" s="473"/>
      <c r="Y1339" s="478"/>
      <c r="Z1339" s="449"/>
      <c r="AA1339" s="531" t="s">
        <v>4183</v>
      </c>
      <c r="AB1339" s="496"/>
      <c r="AC1339" s="496"/>
      <c r="AD1339" s="569">
        <f>AD1338-W1345</f>
        <v>0</v>
      </c>
      <c r="AE1339" s="476"/>
      <c r="AF1339" s="568"/>
      <c r="AG1339" s="476"/>
      <c r="AH1339" s="476"/>
      <c r="AI1339" s="477"/>
      <c r="AJ1339" s="478"/>
      <c r="AK1339" s="479"/>
      <c r="AL1339" s="480"/>
      <c r="AM1339" s="474"/>
      <c r="AN1339" s="481"/>
      <c r="AO1339" s="474"/>
      <c r="AP1339" s="476"/>
      <c r="AQ1339" s="482"/>
      <c r="AR1339" s="478"/>
      <c r="AS1339" s="478"/>
      <c r="AT1339" s="476"/>
      <c r="AU1339" s="482"/>
      <c r="AV1339" s="478"/>
      <c r="AW1339" s="483"/>
      <c r="AX1339" s="476"/>
      <c r="AY1339" s="482"/>
      <c r="AZ1339" s="478"/>
      <c r="BA1339" s="484"/>
      <c r="BB1339" s="474"/>
      <c r="BC1339" s="485"/>
      <c r="BD1339" s="485"/>
      <c r="BG1339" s="487"/>
    </row>
    <row r="1340" spans="1:59" s="486" customFormat="1" ht="18" customHeight="1" x14ac:dyDescent="0.2">
      <c r="A1340" s="1368" t="str">
        <f t="shared" si="1013"/>
        <v>SIMP. PETAI - PABRIK PT. WANASARI2016</v>
      </c>
      <c r="B1340" s="687"/>
      <c r="C1340" s="463"/>
      <c r="D1340" s="489"/>
      <c r="E1340" s="465"/>
      <c r="F1340" s="559">
        <v>2016</v>
      </c>
      <c r="G1340" s="620">
        <v>0</v>
      </c>
      <c r="H1340" s="464">
        <f t="shared" si="998"/>
        <v>2</v>
      </c>
      <c r="I1340" s="560"/>
      <c r="J1340" s="468">
        <f t="shared" si="999"/>
        <v>2017</v>
      </c>
      <c r="K1340" s="490">
        <f t="shared" si="1000"/>
        <v>0</v>
      </c>
      <c r="L1340" s="469">
        <f t="shared" si="1001"/>
        <v>0</v>
      </c>
      <c r="M1340" s="683">
        <f t="shared" si="1002"/>
        <v>0</v>
      </c>
      <c r="N1340" s="470">
        <f t="shared" si="1003"/>
        <v>2</v>
      </c>
      <c r="O1340" s="468">
        <f t="shared" si="1004"/>
        <v>2017</v>
      </c>
      <c r="P1340" s="616">
        <f t="shared" si="1005"/>
        <v>1781746755.7055116</v>
      </c>
      <c r="Q1340" s="472">
        <f t="shared" si="1006"/>
        <v>1781746755.7055116</v>
      </c>
      <c r="R1340" s="472">
        <f t="shared" si="1007"/>
        <v>890873377.85275495</v>
      </c>
      <c r="S1340" s="1189">
        <f t="shared" si="1008"/>
        <v>2016</v>
      </c>
      <c r="T1340" s="470">
        <f t="shared" si="1009"/>
        <v>1</v>
      </c>
      <c r="U1340" s="612">
        <f t="shared" si="1010"/>
        <v>890873377.85275495</v>
      </c>
      <c r="V1340" s="464">
        <f t="shared" si="1011"/>
        <v>2016</v>
      </c>
      <c r="W1340" s="612">
        <f t="shared" si="1012"/>
        <v>890873377.85275662</v>
      </c>
      <c r="X1340" s="473"/>
      <c r="Y1340" s="478"/>
      <c r="Z1340" s="449"/>
      <c r="AA1340" s="573"/>
      <c r="AB1340" s="476"/>
      <c r="AC1340" s="476"/>
      <c r="AD1340" s="568"/>
      <c r="AE1340" s="476"/>
      <c r="AF1340" s="568"/>
      <c r="AG1340" s="476"/>
      <c r="AH1340" s="476"/>
      <c r="AI1340" s="477"/>
      <c r="AJ1340" s="478"/>
      <c r="AK1340" s="479"/>
      <c r="AL1340" s="480"/>
      <c r="AM1340" s="474"/>
      <c r="AN1340" s="481"/>
      <c r="AO1340" s="474"/>
      <c r="AP1340" s="476"/>
      <c r="AQ1340" s="482"/>
      <c r="AR1340" s="478"/>
      <c r="AS1340" s="478"/>
      <c r="AT1340" s="476"/>
      <c r="AU1340" s="482"/>
      <c r="AV1340" s="478"/>
      <c r="AW1340" s="483"/>
      <c r="AX1340" s="476"/>
      <c r="AY1340" s="482"/>
      <c r="AZ1340" s="478"/>
      <c r="BA1340" s="484"/>
      <c r="BB1340" s="474"/>
      <c r="BC1340" s="485"/>
      <c r="BD1340" s="485"/>
      <c r="BG1340" s="487"/>
    </row>
    <row r="1341" spans="1:59" s="486" customFormat="1" ht="18" customHeight="1" x14ac:dyDescent="0.2">
      <c r="A1341" s="1368" t="str">
        <f t="shared" si="1013"/>
        <v>SIMP. PETAI - PABRIK PT. WANASARI2017</v>
      </c>
      <c r="B1341" s="687"/>
      <c r="C1341" s="463"/>
      <c r="D1341" s="489"/>
      <c r="E1341" s="465"/>
      <c r="F1341" s="559">
        <v>2017</v>
      </c>
      <c r="G1341" s="620">
        <v>0</v>
      </c>
      <c r="H1341" s="464">
        <f t="shared" si="998"/>
        <v>1</v>
      </c>
      <c r="I1341" s="560"/>
      <c r="J1341" s="468">
        <f t="shared" si="999"/>
        <v>2017</v>
      </c>
      <c r="K1341" s="490">
        <f t="shared" si="1000"/>
        <v>0</v>
      </c>
      <c r="L1341" s="469">
        <f t="shared" si="1001"/>
        <v>0</v>
      </c>
      <c r="M1341" s="683">
        <f t="shared" si="1002"/>
        <v>0</v>
      </c>
      <c r="N1341" s="470">
        <f t="shared" si="1003"/>
        <v>1</v>
      </c>
      <c r="O1341" s="468">
        <f t="shared" si="1004"/>
        <v>2017</v>
      </c>
      <c r="P1341" s="616">
        <f t="shared" si="1005"/>
        <v>890873377.85275662</v>
      </c>
      <c r="Q1341" s="472">
        <f t="shared" si="1006"/>
        <v>890873377.85275662</v>
      </c>
      <c r="R1341" s="472">
        <f t="shared" si="1007"/>
        <v>890873377.85275495</v>
      </c>
      <c r="S1341" s="1189">
        <f t="shared" si="1008"/>
        <v>2017</v>
      </c>
      <c r="T1341" s="470">
        <f t="shared" si="1009"/>
        <v>1</v>
      </c>
      <c r="U1341" s="612">
        <f t="shared" si="1010"/>
        <v>890873377.85275495</v>
      </c>
      <c r="V1341" s="464">
        <f t="shared" si="1011"/>
        <v>2017</v>
      </c>
      <c r="W1341" s="612">
        <f t="shared" si="1012"/>
        <v>1.6689300537109375E-6</v>
      </c>
      <c r="X1341" s="473"/>
      <c r="Y1341" s="478"/>
      <c r="Z1341" s="449"/>
      <c r="AA1341" s="573"/>
      <c r="AB1341" s="476"/>
      <c r="AC1341" s="476"/>
      <c r="AD1341" s="568"/>
      <c r="AE1341" s="476"/>
      <c r="AF1341" s="568"/>
      <c r="AG1341" s="476"/>
      <c r="AH1341" s="476"/>
      <c r="AI1341" s="477"/>
      <c r="AJ1341" s="478"/>
      <c r="AK1341" s="479"/>
      <c r="AL1341" s="480"/>
      <c r="AM1341" s="474"/>
      <c r="AN1341" s="481"/>
      <c r="AO1341" s="474"/>
      <c r="AP1341" s="476"/>
      <c r="AQ1341" s="482"/>
      <c r="AR1341" s="478"/>
      <c r="AS1341" s="478"/>
      <c r="AT1341" s="476"/>
      <c r="AU1341" s="482"/>
      <c r="AV1341" s="478"/>
      <c r="AW1341" s="483"/>
      <c r="AX1341" s="476"/>
      <c r="AY1341" s="482"/>
      <c r="AZ1341" s="478"/>
      <c r="BA1341" s="484"/>
      <c r="BB1341" s="474"/>
      <c r="BC1341" s="485"/>
      <c r="BD1341" s="485"/>
      <c r="BG1341" s="487"/>
    </row>
    <row r="1342" spans="1:59" s="486" customFormat="1" ht="18" customHeight="1" x14ac:dyDescent="0.2">
      <c r="A1342" s="1368" t="str">
        <f t="shared" si="1013"/>
        <v>SIMP. PETAI - PABRIK PT. WANASARI2018</v>
      </c>
      <c r="B1342" s="687"/>
      <c r="C1342" s="463"/>
      <c r="D1342" s="489"/>
      <c r="E1342" s="465"/>
      <c r="F1342" s="559">
        <v>2018</v>
      </c>
      <c r="G1342" s="620">
        <v>0</v>
      </c>
      <c r="H1342" s="464">
        <f t="shared" si="998"/>
        <v>0</v>
      </c>
      <c r="I1342" s="560"/>
      <c r="J1342" s="468">
        <f t="shared" si="999"/>
        <v>2017</v>
      </c>
      <c r="K1342" s="490">
        <f t="shared" si="1000"/>
        <v>0</v>
      </c>
      <c r="L1342" s="469">
        <f t="shared" si="1001"/>
        <v>0</v>
      </c>
      <c r="M1342" s="683">
        <f t="shared" si="1002"/>
        <v>0</v>
      </c>
      <c r="N1342" s="470">
        <f t="shared" si="1003"/>
        <v>0</v>
      </c>
      <c r="O1342" s="468">
        <f t="shared" si="1004"/>
        <v>2017</v>
      </c>
      <c r="P1342" s="616">
        <f t="shared" si="1005"/>
        <v>1.6689300537109375E-6</v>
      </c>
      <c r="Q1342" s="472">
        <f t="shared" si="1006"/>
        <v>1.6689300537109375E-6</v>
      </c>
      <c r="R1342" s="472">
        <v>0</v>
      </c>
      <c r="S1342" s="1189">
        <f t="shared" si="1008"/>
        <v>2018</v>
      </c>
      <c r="T1342" s="470">
        <f t="shared" si="1009"/>
        <v>1</v>
      </c>
      <c r="U1342" s="612">
        <f t="shared" si="1010"/>
        <v>0</v>
      </c>
      <c r="V1342" s="464">
        <f t="shared" si="1011"/>
        <v>2018</v>
      </c>
      <c r="W1342" s="612">
        <f t="shared" si="1012"/>
        <v>1.6689300537109375E-6</v>
      </c>
      <c r="X1342" s="473"/>
      <c r="Y1342" s="478"/>
      <c r="Z1342" s="449"/>
      <c r="AA1342" s="573"/>
      <c r="AB1342" s="476"/>
      <c r="AC1342" s="476"/>
      <c r="AD1342" s="568"/>
      <c r="AE1342" s="476"/>
      <c r="AF1342" s="568"/>
      <c r="AG1342" s="476"/>
      <c r="AH1342" s="476"/>
      <c r="AI1342" s="477"/>
      <c r="AJ1342" s="478"/>
      <c r="AK1342" s="479"/>
      <c r="AL1342" s="480"/>
      <c r="AM1342" s="474"/>
      <c r="AN1342" s="481"/>
      <c r="AO1342" s="474"/>
      <c r="AP1342" s="476"/>
      <c r="AQ1342" s="482"/>
      <c r="AR1342" s="478"/>
      <c r="AS1342" s="478"/>
      <c r="AT1342" s="476"/>
      <c r="AU1342" s="482"/>
      <c r="AV1342" s="478"/>
      <c r="AW1342" s="483"/>
      <c r="AX1342" s="476"/>
      <c r="AY1342" s="482"/>
      <c r="AZ1342" s="478"/>
      <c r="BA1342" s="484"/>
      <c r="BB1342" s="474"/>
      <c r="BC1342" s="485"/>
      <c r="BD1342" s="485"/>
      <c r="BG1342" s="487"/>
    </row>
    <row r="1343" spans="1:59" s="486" customFormat="1" ht="18" customHeight="1" x14ac:dyDescent="0.2">
      <c r="A1343" s="1368" t="str">
        <f t="shared" si="1013"/>
        <v>SIMP. PETAI - PABRIK PT. WANASARI2019</v>
      </c>
      <c r="B1343" s="687"/>
      <c r="C1343" s="463"/>
      <c r="D1343" s="489"/>
      <c r="E1343" s="465"/>
      <c r="F1343" s="559">
        <v>2019</v>
      </c>
      <c r="G1343" s="620">
        <v>0</v>
      </c>
      <c r="H1343" s="464">
        <f t="shared" si="998"/>
        <v>0</v>
      </c>
      <c r="I1343" s="560"/>
      <c r="J1343" s="468">
        <f t="shared" si="999"/>
        <v>2018</v>
      </c>
      <c r="K1343" s="490">
        <f t="shared" si="1000"/>
        <v>0</v>
      </c>
      <c r="L1343" s="469">
        <f t="shared" si="1001"/>
        <v>0</v>
      </c>
      <c r="M1343" s="683">
        <f t="shared" si="1002"/>
        <v>0</v>
      </c>
      <c r="N1343" s="470">
        <f t="shared" si="1003"/>
        <v>0</v>
      </c>
      <c r="O1343" s="468">
        <f t="shared" si="1004"/>
        <v>2018</v>
      </c>
      <c r="P1343" s="616">
        <f t="shared" si="1005"/>
        <v>1.6689300537109375E-6</v>
      </c>
      <c r="Q1343" s="472">
        <f t="shared" si="1006"/>
        <v>1.6689300537109375E-6</v>
      </c>
      <c r="R1343" s="472">
        <f t="shared" si="1007"/>
        <v>0</v>
      </c>
      <c r="S1343" s="1189">
        <f t="shared" si="1008"/>
        <v>2019</v>
      </c>
      <c r="T1343" s="470">
        <f t="shared" si="1009"/>
        <v>1</v>
      </c>
      <c r="U1343" s="612">
        <f t="shared" si="1010"/>
        <v>0</v>
      </c>
      <c r="V1343" s="464">
        <f t="shared" si="1011"/>
        <v>2019</v>
      </c>
      <c r="W1343" s="612">
        <f t="shared" si="1012"/>
        <v>1.6689300537109375E-6</v>
      </c>
      <c r="X1343" s="473"/>
      <c r="Y1343" s="478"/>
      <c r="Z1343" s="449"/>
      <c r="AA1343" s="573"/>
      <c r="AB1343" s="476"/>
      <c r="AC1343" s="476"/>
      <c r="AD1343" s="568"/>
      <c r="AE1343" s="476"/>
      <c r="AF1343" s="568"/>
      <c r="AG1343" s="476"/>
      <c r="AH1343" s="476"/>
      <c r="AI1343" s="477"/>
      <c r="AJ1343" s="478"/>
      <c r="AK1343" s="479"/>
      <c r="AL1343" s="480"/>
      <c r="AM1343" s="474"/>
      <c r="AN1343" s="481"/>
      <c r="AO1343" s="474"/>
      <c r="AP1343" s="476"/>
      <c r="AQ1343" s="482"/>
      <c r="AR1343" s="478"/>
      <c r="AS1343" s="478"/>
      <c r="AT1343" s="476"/>
      <c r="AU1343" s="482"/>
      <c r="AV1343" s="478"/>
      <c r="AW1343" s="483"/>
      <c r="AX1343" s="476"/>
      <c r="AY1343" s="482"/>
      <c r="AZ1343" s="478"/>
      <c r="BA1343" s="484"/>
      <c r="BB1343" s="474"/>
      <c r="BC1343" s="485"/>
      <c r="BD1343" s="485"/>
      <c r="BG1343" s="487"/>
    </row>
    <row r="1344" spans="1:59" s="486" customFormat="1" ht="18" customHeight="1" x14ac:dyDescent="0.2">
      <c r="A1344" s="1368" t="str">
        <f>LEFT(D1344,8)</f>
        <v/>
      </c>
      <c r="B1344" s="687"/>
      <c r="C1344" s="463"/>
      <c r="D1344" s="489"/>
      <c r="E1344" s="465"/>
      <c r="F1344" s="466"/>
      <c r="G1344" s="620"/>
      <c r="H1344" s="464"/>
      <c r="I1344" s="467"/>
      <c r="J1344" s="468"/>
      <c r="K1344" s="574"/>
      <c r="L1344" s="469"/>
      <c r="M1344" s="683"/>
      <c r="N1344" s="470"/>
      <c r="O1344" s="468"/>
      <c r="P1344" s="616"/>
      <c r="Q1344" s="472"/>
      <c r="R1344" s="472"/>
      <c r="S1344" s="634"/>
      <c r="T1344" s="470"/>
      <c r="U1344" s="612"/>
      <c r="V1344" s="464"/>
      <c r="W1344" s="612"/>
      <c r="X1344" s="473"/>
      <c r="Y1344" s="478"/>
      <c r="Z1344" s="449"/>
      <c r="AA1344" s="573"/>
      <c r="AB1344" s="476"/>
      <c r="AC1344" s="476"/>
      <c r="AD1344" s="568"/>
      <c r="AE1344" s="476"/>
      <c r="AF1344" s="568"/>
      <c r="AG1344" s="476"/>
      <c r="AH1344" s="476"/>
      <c r="AI1344" s="477"/>
      <c r="AJ1344" s="478"/>
      <c r="AK1344" s="479"/>
      <c r="AL1344" s="480"/>
      <c r="AM1344" s="474"/>
      <c r="AN1344" s="481"/>
      <c r="AO1344" s="474"/>
      <c r="AP1344" s="476"/>
      <c r="AQ1344" s="482"/>
      <c r="AR1344" s="478"/>
      <c r="AS1344" s="478"/>
      <c r="AT1344" s="476"/>
      <c r="AU1344" s="482"/>
      <c r="AV1344" s="478"/>
      <c r="AW1344" s="483"/>
      <c r="AX1344" s="476"/>
      <c r="AY1344" s="482"/>
      <c r="AZ1344" s="478"/>
      <c r="BA1344" s="484"/>
      <c r="BB1344" s="474"/>
      <c r="BC1344" s="485"/>
      <c r="BD1344" s="485"/>
      <c r="BG1344" s="487"/>
    </row>
    <row r="1345" spans="1:59" s="526" customFormat="1" ht="18" customHeight="1" x14ac:dyDescent="0.2">
      <c r="A1345" s="1370" t="s">
        <v>4184</v>
      </c>
      <c r="B1345" s="1956" t="s">
        <v>4184</v>
      </c>
      <c r="C1345" s="1957"/>
      <c r="D1345" s="1957"/>
      <c r="E1345" s="1957"/>
      <c r="F1345" s="1958"/>
      <c r="G1345" s="621">
        <f>SUM(G1328:G1344)</f>
        <v>19331909894.968277</v>
      </c>
      <c r="H1345" s="505"/>
      <c r="I1345" s="506"/>
      <c r="J1345" s="507"/>
      <c r="K1345" s="507"/>
      <c r="L1345" s="505"/>
      <c r="M1345" s="684"/>
      <c r="N1345" s="508"/>
      <c r="O1345" s="507"/>
      <c r="P1345" s="749"/>
      <c r="Q1345" s="510"/>
      <c r="R1345" s="511"/>
      <c r="S1345" s="512"/>
      <c r="T1345" s="512"/>
      <c r="U1345" s="610">
        <f>SUM(U1328:U1344)</f>
        <v>19331909894.968277</v>
      </c>
      <c r="V1345" s="513"/>
      <c r="W1345" s="610">
        <f>G1345-U1345</f>
        <v>0</v>
      </c>
      <c r="X1345" s="514"/>
      <c r="Y1345" s="515"/>
      <c r="Z1345" s="515"/>
      <c r="AA1345" s="515"/>
      <c r="AB1345" s="515"/>
      <c r="AC1345" s="515"/>
      <c r="AD1345" s="570"/>
      <c r="AE1345" s="515"/>
      <c r="AF1345" s="570">
        <v>18544585047.966537</v>
      </c>
      <c r="AG1345" s="515"/>
      <c r="AH1345" s="515"/>
      <c r="AI1345" s="516"/>
      <c r="AJ1345" s="517"/>
      <c r="AK1345" s="518"/>
      <c r="AL1345" s="519"/>
      <c r="AM1345" s="520"/>
      <c r="AN1345" s="521"/>
      <c r="AO1345" s="520"/>
      <c r="AP1345" s="515"/>
      <c r="AQ1345" s="522"/>
      <c r="AR1345" s="517"/>
      <c r="AS1345" s="517"/>
      <c r="AT1345" s="515"/>
      <c r="AU1345" s="522"/>
      <c r="AV1345" s="517"/>
      <c r="AW1345" s="523"/>
      <c r="AX1345" s="515"/>
      <c r="AY1345" s="522"/>
      <c r="AZ1345" s="517"/>
      <c r="BA1345" s="524"/>
      <c r="BB1345" s="520"/>
      <c r="BC1345" s="525"/>
      <c r="BD1345" s="525"/>
      <c r="BG1345" s="527"/>
    </row>
    <row r="1348" spans="1:59" s="422" customFormat="1" ht="18" customHeight="1" x14ac:dyDescent="0.2">
      <c r="A1348" s="1366">
        <f>C1348</f>
        <v>238</v>
      </c>
      <c r="B1348" s="742" t="s">
        <v>4187</v>
      </c>
      <c r="C1348" s="556">
        <v>238</v>
      </c>
      <c r="D1348" s="553" t="str">
        <f>VLOOKUP(C1348,RUAS,2,FALSE)</f>
        <v>SIMP. RAYA - SEI. BULUH</v>
      </c>
      <c r="E1348" s="553"/>
      <c r="F1348" s="421"/>
      <c r="G1348" s="611"/>
      <c r="I1348" s="423"/>
      <c r="J1348" s="424"/>
      <c r="K1348" s="424"/>
      <c r="M1348" s="680"/>
      <c r="P1348" s="611"/>
      <c r="U1348" s="611"/>
      <c r="W1348" s="611"/>
      <c r="Y1348" s="425"/>
      <c r="Z1348" s="425"/>
      <c r="AA1348" s="425"/>
      <c r="AB1348" s="425"/>
      <c r="AC1348" s="425"/>
      <c r="AD1348" s="563"/>
      <c r="AE1348" s="425"/>
      <c r="AF1348" s="563"/>
      <c r="AG1348" s="425"/>
      <c r="AH1348" s="425"/>
      <c r="AI1348" s="425"/>
      <c r="AJ1348" s="425"/>
      <c r="AK1348" s="425"/>
      <c r="AL1348" s="425"/>
      <c r="AM1348" s="425"/>
      <c r="AN1348" s="425"/>
      <c r="AO1348" s="425"/>
      <c r="AP1348" s="425"/>
      <c r="AQ1348" s="425"/>
      <c r="AR1348" s="425"/>
      <c r="AS1348" s="425"/>
      <c r="AT1348" s="425"/>
      <c r="AU1348" s="425"/>
      <c r="AV1348" s="425"/>
      <c r="AW1348" s="425"/>
      <c r="AX1348" s="425"/>
      <c r="AY1348" s="425"/>
      <c r="AZ1348" s="425"/>
      <c r="BA1348" s="425"/>
      <c r="BB1348" s="425"/>
    </row>
    <row r="1349" spans="1:59" s="431" customFormat="1" ht="18" customHeight="1" x14ac:dyDescent="0.2">
      <c r="A1349" s="1367"/>
      <c r="B1349" s="1968" t="s">
        <v>5</v>
      </c>
      <c r="C1349" s="1968" t="s">
        <v>2280</v>
      </c>
      <c r="D1349" s="1968" t="s">
        <v>4157</v>
      </c>
      <c r="E1349" s="1968" t="s">
        <v>4158</v>
      </c>
      <c r="F1349" s="1968"/>
      <c r="G1349" s="1969" t="s">
        <v>4159</v>
      </c>
      <c r="H1349" s="1968" t="s">
        <v>4160</v>
      </c>
      <c r="I1349" s="1968"/>
      <c r="J1349" s="1968" t="s">
        <v>4185</v>
      </c>
      <c r="K1349" s="1964" t="s">
        <v>4162</v>
      </c>
      <c r="L1349" s="1968" t="s">
        <v>4163</v>
      </c>
      <c r="M1349" s="1971" t="s">
        <v>4164</v>
      </c>
      <c r="N1349" s="1962" t="s">
        <v>4165</v>
      </c>
      <c r="O1349" s="1968" t="s">
        <v>4166</v>
      </c>
      <c r="P1349" s="1972" t="s">
        <v>4167</v>
      </c>
      <c r="Q1349" s="1973"/>
      <c r="R1349" s="636" t="s">
        <v>4186</v>
      </c>
      <c r="S1349" s="1972" t="s">
        <v>4169</v>
      </c>
      <c r="T1349" s="1974"/>
      <c r="U1349" s="1973"/>
      <c r="V1349" s="1975" t="s">
        <v>4170</v>
      </c>
      <c r="W1349" s="1975"/>
      <c r="X1349" s="1960" t="s">
        <v>4171</v>
      </c>
      <c r="Y1349" s="1959"/>
      <c r="Z1349" s="633"/>
      <c r="AA1349" s="426"/>
      <c r="AB1349" s="426"/>
      <c r="AC1349" s="426"/>
      <c r="AD1349" s="564"/>
      <c r="AE1349" s="426"/>
      <c r="AF1349" s="564"/>
      <c r="AG1349" s="426"/>
      <c r="AH1349" s="426"/>
      <c r="AI1349" s="427"/>
      <c r="AJ1349" s="427"/>
      <c r="AK1349" s="427"/>
      <c r="AL1349" s="427"/>
      <c r="AM1349" s="428"/>
      <c r="AN1349" s="427"/>
      <c r="AO1349" s="427"/>
      <c r="AP1349" s="426"/>
      <c r="AQ1349" s="427"/>
      <c r="AR1349" s="427"/>
      <c r="AS1349" s="427"/>
      <c r="AT1349" s="426"/>
      <c r="AU1349" s="427"/>
      <c r="AV1349" s="427"/>
      <c r="AW1349" s="427"/>
      <c r="AX1349" s="426"/>
      <c r="AY1349" s="427"/>
      <c r="AZ1349" s="427"/>
      <c r="BA1349" s="427"/>
      <c r="BB1349" s="429"/>
      <c r="BC1349" s="430"/>
      <c r="BD1349" s="430"/>
    </row>
    <row r="1350" spans="1:59" s="431" customFormat="1" ht="18" customHeight="1" x14ac:dyDescent="0.2">
      <c r="A1350" s="1367"/>
      <c r="B1350" s="1968"/>
      <c r="C1350" s="1968"/>
      <c r="D1350" s="1968"/>
      <c r="E1350" s="1968"/>
      <c r="F1350" s="1968"/>
      <c r="G1350" s="1969"/>
      <c r="H1350" s="1968"/>
      <c r="I1350" s="1968"/>
      <c r="J1350" s="1968"/>
      <c r="K1350" s="1970"/>
      <c r="L1350" s="1968"/>
      <c r="M1350" s="1971"/>
      <c r="N1350" s="1963"/>
      <c r="O1350" s="1968"/>
      <c r="P1350" s="2037" t="s">
        <v>4172</v>
      </c>
      <c r="Q1350" s="1960" t="s">
        <v>4173</v>
      </c>
      <c r="R1350" s="1962" t="s">
        <v>4159</v>
      </c>
      <c r="S1350" s="1962" t="s">
        <v>4174</v>
      </c>
      <c r="T1350" s="1964" t="s">
        <v>4175</v>
      </c>
      <c r="U1350" s="1966" t="s">
        <v>4159</v>
      </c>
      <c r="V1350" s="1975"/>
      <c r="W1350" s="1975"/>
      <c r="X1350" s="1976"/>
      <c r="Y1350" s="1959"/>
      <c r="Z1350" s="633"/>
      <c r="AA1350" s="426"/>
      <c r="AB1350" s="426"/>
      <c r="AC1350" s="426"/>
      <c r="AD1350" s="564"/>
      <c r="AE1350" s="426"/>
      <c r="AF1350" s="564"/>
      <c r="AG1350" s="426"/>
      <c r="AH1350" s="426"/>
      <c r="AI1350" s="427"/>
      <c r="AJ1350" s="427"/>
      <c r="AK1350" s="426"/>
      <c r="AL1350" s="427"/>
      <c r="AM1350" s="428"/>
      <c r="AN1350" s="427"/>
      <c r="AO1350" s="427"/>
      <c r="AP1350" s="432"/>
      <c r="AQ1350" s="427"/>
      <c r="AR1350" s="427"/>
      <c r="AS1350" s="427"/>
      <c r="AT1350" s="432"/>
      <c r="AU1350" s="427"/>
      <c r="AV1350" s="427"/>
      <c r="AW1350" s="427"/>
      <c r="AX1350" s="432"/>
      <c r="AY1350" s="427"/>
      <c r="AZ1350" s="427"/>
      <c r="BA1350" s="427"/>
      <c r="BB1350" s="429"/>
      <c r="BC1350" s="430"/>
      <c r="BD1350" s="430"/>
    </row>
    <row r="1351" spans="1:59" s="431" customFormat="1" ht="18" customHeight="1" x14ac:dyDescent="0.2">
      <c r="A1351" s="1367"/>
      <c r="B1351" s="1968"/>
      <c r="C1351" s="1968"/>
      <c r="D1351" s="1968"/>
      <c r="E1351" s="433" t="s">
        <v>4176</v>
      </c>
      <c r="F1351" s="434" t="s">
        <v>2288</v>
      </c>
      <c r="G1351" s="1969"/>
      <c r="H1351" s="635" t="s">
        <v>2288</v>
      </c>
      <c r="I1351" s="635" t="s">
        <v>4177</v>
      </c>
      <c r="J1351" s="1968"/>
      <c r="K1351" s="1965"/>
      <c r="L1351" s="435" t="s">
        <v>2288</v>
      </c>
      <c r="M1351" s="681" t="s">
        <v>2288</v>
      </c>
      <c r="N1351" s="635" t="s">
        <v>2288</v>
      </c>
      <c r="O1351" s="1968"/>
      <c r="P1351" s="2038"/>
      <c r="Q1351" s="1961"/>
      <c r="R1351" s="1963"/>
      <c r="S1351" s="1963"/>
      <c r="T1351" s="1965"/>
      <c r="U1351" s="1967"/>
      <c r="V1351" s="635" t="s">
        <v>4178</v>
      </c>
      <c r="W1351" s="637" t="s">
        <v>4159</v>
      </c>
      <c r="X1351" s="1961"/>
      <c r="Y1351" s="436"/>
      <c r="Z1351" s="436"/>
      <c r="AA1351" s="426"/>
      <c r="AB1351" s="426"/>
      <c r="AC1351" s="426"/>
      <c r="AD1351" s="564"/>
      <c r="AE1351" s="426"/>
      <c r="AF1351" s="564"/>
      <c r="AG1351" s="426"/>
      <c r="AH1351" s="426"/>
      <c r="AI1351" s="427"/>
      <c r="AJ1351" s="432"/>
      <c r="AK1351" s="432"/>
      <c r="AL1351" s="427"/>
      <c r="AM1351" s="428"/>
      <c r="AN1351" s="432"/>
      <c r="AO1351" s="427"/>
      <c r="AP1351" s="432"/>
      <c r="AQ1351" s="432"/>
      <c r="AR1351" s="427"/>
      <c r="AS1351" s="427"/>
      <c r="AT1351" s="432"/>
      <c r="AU1351" s="432"/>
      <c r="AV1351" s="427"/>
      <c r="AW1351" s="427"/>
      <c r="AX1351" s="432"/>
      <c r="AY1351" s="432"/>
      <c r="AZ1351" s="427"/>
      <c r="BA1351" s="427"/>
      <c r="BB1351" s="429"/>
      <c r="BC1351" s="430"/>
      <c r="BD1351" s="430"/>
    </row>
    <row r="1352" spans="1:59" s="461" customFormat="1" ht="18" customHeight="1" x14ac:dyDescent="0.2">
      <c r="A1352" s="1368" t="str">
        <f>$D$1348&amp;S1352</f>
        <v>SIMP. RAYA - SEI. BULUH2001</v>
      </c>
      <c r="B1352" s="1373">
        <v>1</v>
      </c>
      <c r="C1352" s="532" t="s">
        <v>1141</v>
      </c>
      <c r="D1352" s="437" t="s">
        <v>3821</v>
      </c>
      <c r="E1352" s="438"/>
      <c r="F1352" s="439">
        <v>2001</v>
      </c>
      <c r="G1352" s="623">
        <v>3060956544</v>
      </c>
      <c r="H1352" s="440">
        <f>VLOOKUP(LEFT(D1352,8),UE,4)</f>
        <v>10</v>
      </c>
      <c r="I1352" s="441"/>
      <c r="J1352" s="442">
        <f>F1352+N1352-1</f>
        <v>2010</v>
      </c>
      <c r="K1352" s="443"/>
      <c r="L1352" s="440"/>
      <c r="M1352" s="746">
        <f>IF(H1352+L1352&gt;$H1352,$H1352-H1352,L1352)</f>
        <v>0</v>
      </c>
      <c r="N1352" s="444">
        <f>H1352+M1352</f>
        <v>10</v>
      </c>
      <c r="O1352" s="442">
        <f>F1352+N1352-1</f>
        <v>2010</v>
      </c>
      <c r="P1352" s="617">
        <f>G1352</f>
        <v>3060956544</v>
      </c>
      <c r="Q1352" s="445">
        <v>0</v>
      </c>
      <c r="R1352" s="445">
        <f>P1352/N1352</f>
        <v>306095654.39999998</v>
      </c>
      <c r="S1352" s="446">
        <f>F1352</f>
        <v>2001</v>
      </c>
      <c r="T1352" s="447">
        <v>1</v>
      </c>
      <c r="U1352" s="613">
        <f>R1352*T1352</f>
        <v>306095654.39999998</v>
      </c>
      <c r="V1352" s="442">
        <f>F1352</f>
        <v>2001</v>
      </c>
      <c r="W1352" s="617">
        <f>IF(OR(AND(ISBLANK(E1352),ISBLANK(G1352)),ISTEXT(E1352),ISTEXT(G1352)),"",G1352-R1352)</f>
        <v>2754860889.5999999</v>
      </c>
      <c r="X1352" s="448"/>
      <c r="Y1352" s="449"/>
      <c r="Z1352" s="449"/>
      <c r="AA1352" s="450" t="s">
        <v>4179</v>
      </c>
      <c r="AB1352" s="451"/>
      <c r="AC1352" s="451"/>
      <c r="AD1352" s="565"/>
      <c r="AE1352" s="452"/>
      <c r="AF1352" s="571"/>
      <c r="AG1352" s="452"/>
      <c r="AH1352" s="452"/>
      <c r="AI1352" s="453"/>
      <c r="AJ1352" s="449"/>
      <c r="AK1352" s="453"/>
      <c r="AL1352" s="454"/>
      <c r="AM1352" s="455"/>
      <c r="AN1352" s="456"/>
      <c r="AO1352" s="455"/>
      <c r="AP1352" s="452"/>
      <c r="AQ1352" s="457"/>
      <c r="AR1352" s="449"/>
      <c r="AS1352" s="449"/>
      <c r="AT1352" s="452"/>
      <c r="AU1352" s="457"/>
      <c r="AV1352" s="449"/>
      <c r="AW1352" s="458"/>
      <c r="AX1352" s="452"/>
      <c r="AY1352" s="457"/>
      <c r="AZ1352" s="449"/>
      <c r="BA1352" s="459"/>
      <c r="BB1352" s="455"/>
      <c r="BC1352" s="460"/>
      <c r="BD1352" s="460"/>
      <c r="BG1352" s="462"/>
    </row>
    <row r="1353" spans="1:59" s="461" customFormat="1" ht="18" customHeight="1" x14ac:dyDescent="0.2">
      <c r="A1353" s="1368" t="str">
        <f t="shared" ref="A1353:A1367" si="1014">$D$1348&amp;S1353</f>
        <v>SIMP. RAYA - SEI. BULUH2005</v>
      </c>
      <c r="B1353" s="1373"/>
      <c r="C1353" s="488"/>
      <c r="D1353" s="489"/>
      <c r="E1353" s="558"/>
      <c r="F1353" s="559">
        <v>2005</v>
      </c>
      <c r="G1353" s="619">
        <v>0</v>
      </c>
      <c r="H1353" s="464">
        <f>IF(N1352-(F1353-F1352)&lt;=0,0,(N1352-(F1353-F1352)))</f>
        <v>6</v>
      </c>
      <c r="I1353" s="560"/>
      <c r="J1353" s="468">
        <f>F1353+N1353-1</f>
        <v>2010</v>
      </c>
      <c r="K1353" s="490">
        <f>IF(G1353=0,0,IF(H1353=10,100%,G1353/W1352))</f>
        <v>0</v>
      </c>
      <c r="L1353" s="469">
        <f>IF(K1353=0%,0,IF(K1353&lt;=30%,2,IF(K1353&lt;=60%,5,10)))</f>
        <v>0</v>
      </c>
      <c r="M1353" s="683">
        <f>IF(OR(AND(ISBLANK(E1353),ISBLANK(G1353)),ISTEXT(E1353),ISTEXT(G1353)),"",IF(H1353+L1353&gt;$H$8,$H$8-H1353,L1353))</f>
        <v>0</v>
      </c>
      <c r="N1353" s="470">
        <f>IF(OR(AND(ISBLANK(F1353),ISBLANK(G1353)),ISTEXT(F1353),ISTEXT(G1353)),"",H1353+M1353)</f>
        <v>6</v>
      </c>
      <c r="O1353" s="468">
        <f>F1353+N1353-1</f>
        <v>2010</v>
      </c>
      <c r="P1353" s="616">
        <f>W1352</f>
        <v>2754860889.5999999</v>
      </c>
      <c r="Q1353" s="472">
        <f>P1353+G1353</f>
        <v>2754860889.5999999</v>
      </c>
      <c r="R1353" s="472">
        <f>IF(L1353=0,R1352,Q1353/N1353)</f>
        <v>306095654.39999998</v>
      </c>
      <c r="S1353" s="759">
        <f>F1353</f>
        <v>2005</v>
      </c>
      <c r="T1353" s="470">
        <f>S1353-S1352</f>
        <v>4</v>
      </c>
      <c r="U1353" s="612">
        <f>R1353*T1353</f>
        <v>1224382617.5999999</v>
      </c>
      <c r="V1353" s="464">
        <f>F1353</f>
        <v>2005</v>
      </c>
      <c r="W1353" s="612">
        <f>IF(OR(AND(ISBLANK(E1353),ISBLANK(G1353)),ISTEXT(E1353),ISTEXT(G1353)),"",Q1353-U1353)</f>
        <v>1530478272</v>
      </c>
      <c r="X1353" s="561"/>
      <c r="Y1353" s="449"/>
      <c r="Z1353" s="449"/>
      <c r="AA1353" s="554"/>
      <c r="AB1353" s="452"/>
      <c r="AC1353" s="452"/>
      <c r="AD1353" s="566"/>
      <c r="AE1353" s="452"/>
      <c r="AF1353" s="571"/>
      <c r="AG1353" s="452"/>
      <c r="AH1353" s="452"/>
      <c r="AI1353" s="453"/>
      <c r="AJ1353" s="449"/>
      <c r="AK1353" s="453"/>
      <c r="AL1353" s="454"/>
      <c r="AM1353" s="455"/>
      <c r="AN1353" s="456"/>
      <c r="AO1353" s="455"/>
      <c r="AP1353" s="452"/>
      <c r="AQ1353" s="457"/>
      <c r="AR1353" s="449"/>
      <c r="AS1353" s="449"/>
      <c r="AT1353" s="452"/>
      <c r="AU1353" s="457"/>
      <c r="AV1353" s="449"/>
      <c r="AW1353" s="458"/>
      <c r="AX1353" s="452"/>
      <c r="AY1353" s="457"/>
      <c r="AZ1353" s="449"/>
      <c r="BA1353" s="459"/>
      <c r="BB1353" s="455"/>
      <c r="BC1353" s="460"/>
      <c r="BD1353" s="460"/>
      <c r="BG1353" s="462"/>
    </row>
    <row r="1354" spans="1:59" s="461" customFormat="1" ht="18" customHeight="1" x14ac:dyDescent="0.2">
      <c r="A1354" s="1368" t="str">
        <f t="shared" si="1014"/>
        <v>SIMP. RAYA - SEI. BULUH2006</v>
      </c>
      <c r="B1354" s="1374"/>
      <c r="C1354" s="488"/>
      <c r="D1354" s="489"/>
      <c r="E1354" s="558"/>
      <c r="F1354" s="559">
        <v>2006</v>
      </c>
      <c r="G1354" s="619">
        <v>0</v>
      </c>
      <c r="H1354" s="464">
        <f t="shared" ref="H1354:H1367" si="1015">IF(N1353-(F1354-F1353)&lt;=0,0,(N1353-(F1354-F1353)))</f>
        <v>5</v>
      </c>
      <c r="I1354" s="560"/>
      <c r="J1354" s="468">
        <f t="shared" ref="J1354:J1367" si="1016">F1354+N1354-1</f>
        <v>2010</v>
      </c>
      <c r="K1354" s="490">
        <f t="shared" ref="K1354:K1367" si="1017">IF(G1354=0,0,IF(H1354=10,100%,G1354/W1353))</f>
        <v>0</v>
      </c>
      <c r="L1354" s="469">
        <f t="shared" ref="L1354:L1367" si="1018">IF(K1354=0%,0,IF(K1354&lt;=30%,2,IF(K1354&lt;=60%,5,10)))</f>
        <v>0</v>
      </c>
      <c r="M1354" s="683">
        <f t="shared" ref="M1354:M1367" si="1019">IF(OR(AND(ISBLANK(E1354),ISBLANK(G1354)),ISTEXT(E1354),ISTEXT(G1354)),"",IF(H1354+L1354&gt;$H$8,$H$8-H1354,L1354))</f>
        <v>0</v>
      </c>
      <c r="N1354" s="470">
        <f t="shared" ref="N1354:N1367" si="1020">IF(OR(AND(ISBLANK(F1354),ISBLANK(G1354)),ISTEXT(F1354),ISTEXT(G1354)),"",H1354+M1354)</f>
        <v>5</v>
      </c>
      <c r="O1354" s="468">
        <f t="shared" ref="O1354:O1367" si="1021">F1354+N1354-1</f>
        <v>2010</v>
      </c>
      <c r="P1354" s="616">
        <f t="shared" ref="P1354:P1367" si="1022">W1353</f>
        <v>1530478272</v>
      </c>
      <c r="Q1354" s="472">
        <f t="shared" ref="Q1354:Q1367" si="1023">P1354+G1354</f>
        <v>1530478272</v>
      </c>
      <c r="R1354" s="472">
        <f t="shared" ref="R1354:R1367" si="1024">IF(L1354=0,R1353,Q1354/N1354)</f>
        <v>306095654.39999998</v>
      </c>
      <c r="S1354" s="1189">
        <f t="shared" ref="S1354:S1367" si="1025">F1354</f>
        <v>2006</v>
      </c>
      <c r="T1354" s="470">
        <f t="shared" ref="T1354:T1367" si="1026">S1354-S1353</f>
        <v>1</v>
      </c>
      <c r="U1354" s="612">
        <f t="shared" ref="U1354:U1367" si="1027">R1354*T1354</f>
        <v>306095654.39999998</v>
      </c>
      <c r="V1354" s="464">
        <f t="shared" ref="V1354:V1367" si="1028">F1354</f>
        <v>2006</v>
      </c>
      <c r="W1354" s="612">
        <f t="shared" ref="W1354:W1367" si="1029">IF(OR(AND(ISBLANK(E1354),ISBLANK(G1354)),ISTEXT(E1354),ISTEXT(G1354)),"",Q1354-U1354)</f>
        <v>1224382617.5999999</v>
      </c>
      <c r="X1354" s="561"/>
      <c r="Y1354" s="449"/>
      <c r="Z1354" s="449"/>
      <c r="AA1354" s="554"/>
      <c r="AB1354" s="452"/>
      <c r="AC1354" s="452"/>
      <c r="AD1354" s="566"/>
      <c r="AE1354" s="452"/>
      <c r="AF1354" s="571"/>
      <c r="AG1354" s="452"/>
      <c r="AH1354" s="452"/>
      <c r="AI1354" s="453"/>
      <c r="AJ1354" s="449"/>
      <c r="AK1354" s="453"/>
      <c r="AL1354" s="454"/>
      <c r="AM1354" s="455"/>
      <c r="AN1354" s="456"/>
      <c r="AO1354" s="455"/>
      <c r="AP1354" s="452"/>
      <c r="AQ1354" s="457"/>
      <c r="AR1354" s="449"/>
      <c r="AS1354" s="449"/>
      <c r="AT1354" s="452"/>
      <c r="AU1354" s="457"/>
      <c r="AV1354" s="449"/>
      <c r="AW1354" s="458"/>
      <c r="AX1354" s="452"/>
      <c r="AY1354" s="457"/>
      <c r="AZ1354" s="449"/>
      <c r="BA1354" s="459"/>
      <c r="BB1354" s="455"/>
      <c r="BC1354" s="460"/>
      <c r="BD1354" s="460"/>
      <c r="BG1354" s="462"/>
    </row>
    <row r="1355" spans="1:59" s="461" customFormat="1" ht="18" customHeight="1" x14ac:dyDescent="0.2">
      <c r="A1355" s="1368" t="str">
        <f t="shared" si="1014"/>
        <v>SIMP. RAYA - SEI. BULUH2007</v>
      </c>
      <c r="B1355" s="1373">
        <v>2</v>
      </c>
      <c r="C1355" s="488" t="s">
        <v>1169</v>
      </c>
      <c r="D1355" s="489" t="s">
        <v>3821</v>
      </c>
      <c r="E1355" s="558"/>
      <c r="F1355" s="559">
        <v>2007</v>
      </c>
      <c r="G1355" s="619">
        <v>677119699.41373801</v>
      </c>
      <c r="H1355" s="464">
        <f t="shared" si="1015"/>
        <v>4</v>
      </c>
      <c r="I1355" s="560"/>
      <c r="J1355" s="468">
        <f t="shared" si="1016"/>
        <v>2015</v>
      </c>
      <c r="K1355" s="490">
        <f t="shared" si="1017"/>
        <v>0.55302949395100764</v>
      </c>
      <c r="L1355" s="469">
        <f t="shared" si="1018"/>
        <v>5</v>
      </c>
      <c r="M1355" s="683">
        <f t="shared" si="1019"/>
        <v>5</v>
      </c>
      <c r="N1355" s="470">
        <f t="shared" si="1020"/>
        <v>9</v>
      </c>
      <c r="O1355" s="468">
        <f t="shared" si="1021"/>
        <v>2015</v>
      </c>
      <c r="P1355" s="616">
        <f t="shared" si="1022"/>
        <v>1224382617.5999999</v>
      </c>
      <c r="Q1355" s="472">
        <f t="shared" si="1023"/>
        <v>1901502317.0137379</v>
      </c>
      <c r="R1355" s="472">
        <f t="shared" si="1024"/>
        <v>211278035.22374865</v>
      </c>
      <c r="S1355" s="1189">
        <f t="shared" si="1025"/>
        <v>2007</v>
      </c>
      <c r="T1355" s="470">
        <f t="shared" si="1026"/>
        <v>1</v>
      </c>
      <c r="U1355" s="612">
        <f t="shared" si="1027"/>
        <v>211278035.22374865</v>
      </c>
      <c r="V1355" s="464">
        <f t="shared" si="1028"/>
        <v>2007</v>
      </c>
      <c r="W1355" s="612">
        <f t="shared" si="1029"/>
        <v>1690224281.7899892</v>
      </c>
      <c r="X1355" s="561"/>
      <c r="Y1355" s="449"/>
      <c r="Z1355" s="449"/>
      <c r="AA1355" s="554"/>
      <c r="AB1355" s="452"/>
      <c r="AC1355" s="452"/>
      <c r="AD1355" s="566"/>
      <c r="AE1355" s="452"/>
      <c r="AF1355" s="571"/>
      <c r="AG1355" s="452"/>
      <c r="AH1355" s="452"/>
      <c r="AI1355" s="453"/>
      <c r="AJ1355" s="449"/>
      <c r="AK1355" s="453"/>
      <c r="AL1355" s="454"/>
      <c r="AM1355" s="455"/>
      <c r="AN1355" s="456"/>
      <c r="AO1355" s="455"/>
      <c r="AP1355" s="452"/>
      <c r="AQ1355" s="457"/>
      <c r="AR1355" s="449"/>
      <c r="AS1355" s="449"/>
      <c r="AT1355" s="452"/>
      <c r="AU1355" s="457"/>
      <c r="AV1355" s="449"/>
      <c r="AW1355" s="458"/>
      <c r="AX1355" s="452"/>
      <c r="AY1355" s="457"/>
      <c r="AZ1355" s="449"/>
      <c r="BA1355" s="459"/>
      <c r="BB1355" s="455"/>
      <c r="BC1355" s="460"/>
      <c r="BD1355" s="460"/>
      <c r="BG1355" s="462"/>
    </row>
    <row r="1356" spans="1:59" s="461" customFormat="1" ht="18" customHeight="1" x14ac:dyDescent="0.2">
      <c r="A1356" s="1368" t="str">
        <f t="shared" si="1014"/>
        <v>SIMP. RAYA - SEI. BULUH2008</v>
      </c>
      <c r="B1356" s="1374"/>
      <c r="C1356" s="488"/>
      <c r="D1356" s="489"/>
      <c r="E1356" s="558"/>
      <c r="F1356" s="559">
        <v>2008</v>
      </c>
      <c r="G1356" s="619">
        <v>0</v>
      </c>
      <c r="H1356" s="464">
        <f t="shared" si="1015"/>
        <v>8</v>
      </c>
      <c r="I1356" s="560"/>
      <c r="J1356" s="468">
        <f t="shared" si="1016"/>
        <v>2015</v>
      </c>
      <c r="K1356" s="490">
        <f t="shared" si="1017"/>
        <v>0</v>
      </c>
      <c r="L1356" s="469">
        <f t="shared" si="1018"/>
        <v>0</v>
      </c>
      <c r="M1356" s="683">
        <f t="shared" si="1019"/>
        <v>0</v>
      </c>
      <c r="N1356" s="470">
        <f t="shared" si="1020"/>
        <v>8</v>
      </c>
      <c r="O1356" s="468">
        <f t="shared" si="1021"/>
        <v>2015</v>
      </c>
      <c r="P1356" s="616">
        <f t="shared" si="1022"/>
        <v>1690224281.7899892</v>
      </c>
      <c r="Q1356" s="472">
        <f t="shared" si="1023"/>
        <v>1690224281.7899892</v>
      </c>
      <c r="R1356" s="472">
        <f t="shared" si="1024"/>
        <v>211278035.22374865</v>
      </c>
      <c r="S1356" s="1189">
        <f t="shared" si="1025"/>
        <v>2008</v>
      </c>
      <c r="T1356" s="470">
        <f t="shared" si="1026"/>
        <v>1</v>
      </c>
      <c r="U1356" s="612">
        <f t="shared" si="1027"/>
        <v>211278035.22374865</v>
      </c>
      <c r="V1356" s="464">
        <f t="shared" si="1028"/>
        <v>2008</v>
      </c>
      <c r="W1356" s="612">
        <f t="shared" si="1029"/>
        <v>1478946246.5662405</v>
      </c>
      <c r="X1356" s="561"/>
      <c r="Y1356" s="449"/>
      <c r="Z1356" s="449"/>
      <c r="AA1356" s="554"/>
      <c r="AB1356" s="452"/>
      <c r="AC1356" s="452"/>
      <c r="AD1356" s="566"/>
      <c r="AE1356" s="452"/>
      <c r="AF1356" s="571"/>
      <c r="AG1356" s="452"/>
      <c r="AH1356" s="452"/>
      <c r="AI1356" s="453"/>
      <c r="AJ1356" s="449"/>
      <c r="AK1356" s="453"/>
      <c r="AL1356" s="454"/>
      <c r="AM1356" s="455"/>
      <c r="AN1356" s="456"/>
      <c r="AO1356" s="455"/>
      <c r="AP1356" s="452"/>
      <c r="AQ1356" s="457"/>
      <c r="AR1356" s="449"/>
      <c r="AS1356" s="449"/>
      <c r="AT1356" s="452"/>
      <c r="AU1356" s="457"/>
      <c r="AV1356" s="449"/>
      <c r="AW1356" s="458"/>
      <c r="AX1356" s="452"/>
      <c r="AY1356" s="457"/>
      <c r="AZ1356" s="449"/>
      <c r="BA1356" s="459"/>
      <c r="BB1356" s="455"/>
      <c r="BC1356" s="460"/>
      <c r="BD1356" s="460"/>
      <c r="BG1356" s="462"/>
    </row>
    <row r="1357" spans="1:59" s="461" customFormat="1" ht="18" customHeight="1" x14ac:dyDescent="0.2">
      <c r="A1357" s="1368" t="str">
        <f t="shared" si="1014"/>
        <v>SIMP. RAYA - SEI. BULUH2009</v>
      </c>
      <c r="B1357" s="1374"/>
      <c r="C1357" s="488"/>
      <c r="D1357" s="489"/>
      <c r="E1357" s="558"/>
      <c r="F1357" s="559">
        <v>2009</v>
      </c>
      <c r="G1357" s="619">
        <v>0</v>
      </c>
      <c r="H1357" s="464">
        <f t="shared" si="1015"/>
        <v>7</v>
      </c>
      <c r="I1357" s="560"/>
      <c r="J1357" s="468">
        <f t="shared" si="1016"/>
        <v>2015</v>
      </c>
      <c r="K1357" s="490">
        <f t="shared" si="1017"/>
        <v>0</v>
      </c>
      <c r="L1357" s="469">
        <f t="shared" si="1018"/>
        <v>0</v>
      </c>
      <c r="M1357" s="683">
        <f t="shared" si="1019"/>
        <v>0</v>
      </c>
      <c r="N1357" s="470">
        <f t="shared" si="1020"/>
        <v>7</v>
      </c>
      <c r="O1357" s="468">
        <f t="shared" si="1021"/>
        <v>2015</v>
      </c>
      <c r="P1357" s="616">
        <f t="shared" si="1022"/>
        <v>1478946246.5662405</v>
      </c>
      <c r="Q1357" s="472">
        <f t="shared" si="1023"/>
        <v>1478946246.5662405</v>
      </c>
      <c r="R1357" s="472">
        <f t="shared" si="1024"/>
        <v>211278035.22374865</v>
      </c>
      <c r="S1357" s="1189">
        <f t="shared" si="1025"/>
        <v>2009</v>
      </c>
      <c r="T1357" s="470">
        <f t="shared" si="1026"/>
        <v>1</v>
      </c>
      <c r="U1357" s="612">
        <f t="shared" si="1027"/>
        <v>211278035.22374865</v>
      </c>
      <c r="V1357" s="464">
        <f t="shared" si="1028"/>
        <v>2009</v>
      </c>
      <c r="W1357" s="612">
        <f t="shared" si="1029"/>
        <v>1267668211.3424919</v>
      </c>
      <c r="X1357" s="561"/>
      <c r="Y1357" s="449"/>
      <c r="Z1357" s="449"/>
      <c r="AA1357" s="554"/>
      <c r="AB1357" s="452"/>
      <c r="AC1357" s="452"/>
      <c r="AD1357" s="566"/>
      <c r="AE1357" s="452"/>
      <c r="AF1357" s="571"/>
      <c r="AG1357" s="452"/>
      <c r="AH1357" s="452"/>
      <c r="AI1357" s="453"/>
      <c r="AJ1357" s="449"/>
      <c r="AK1357" s="453"/>
      <c r="AL1357" s="454"/>
      <c r="AM1357" s="455"/>
      <c r="AN1357" s="456"/>
      <c r="AO1357" s="455"/>
      <c r="AP1357" s="452"/>
      <c r="AQ1357" s="457"/>
      <c r="AR1357" s="449"/>
      <c r="AS1357" s="449"/>
      <c r="AT1357" s="452"/>
      <c r="AU1357" s="457"/>
      <c r="AV1357" s="449"/>
      <c r="AW1357" s="458"/>
      <c r="AX1357" s="452"/>
      <c r="AY1357" s="457"/>
      <c r="AZ1357" s="449"/>
      <c r="BA1357" s="459"/>
      <c r="BB1357" s="455"/>
      <c r="BC1357" s="460"/>
      <c r="BD1357" s="460"/>
      <c r="BG1357" s="462"/>
    </row>
    <row r="1358" spans="1:59" s="486" customFormat="1" ht="18" customHeight="1" x14ac:dyDescent="0.2">
      <c r="A1358" s="1368" t="str">
        <f t="shared" si="1014"/>
        <v>SIMP. RAYA - SEI. BULUH2010</v>
      </c>
      <c r="B1358" s="1373"/>
      <c r="C1358" s="488"/>
      <c r="D1358" s="489"/>
      <c r="E1358" s="558"/>
      <c r="F1358" s="559">
        <v>2010</v>
      </c>
      <c r="G1358" s="619">
        <v>0</v>
      </c>
      <c r="H1358" s="464">
        <f t="shared" si="1015"/>
        <v>6</v>
      </c>
      <c r="I1358" s="560"/>
      <c r="J1358" s="468">
        <f t="shared" si="1016"/>
        <v>2015</v>
      </c>
      <c r="K1358" s="490">
        <f t="shared" si="1017"/>
        <v>0</v>
      </c>
      <c r="L1358" s="469">
        <f t="shared" si="1018"/>
        <v>0</v>
      </c>
      <c r="M1358" s="683">
        <f t="shared" si="1019"/>
        <v>0</v>
      </c>
      <c r="N1358" s="470">
        <f t="shared" si="1020"/>
        <v>6</v>
      </c>
      <c r="O1358" s="468">
        <f t="shared" si="1021"/>
        <v>2015</v>
      </c>
      <c r="P1358" s="616">
        <f t="shared" si="1022"/>
        <v>1267668211.3424919</v>
      </c>
      <c r="Q1358" s="472">
        <f t="shared" si="1023"/>
        <v>1267668211.3424919</v>
      </c>
      <c r="R1358" s="472">
        <f t="shared" si="1024"/>
        <v>211278035.22374865</v>
      </c>
      <c r="S1358" s="1189">
        <f t="shared" si="1025"/>
        <v>2010</v>
      </c>
      <c r="T1358" s="470">
        <f t="shared" si="1026"/>
        <v>1</v>
      </c>
      <c r="U1358" s="612">
        <f t="shared" si="1027"/>
        <v>211278035.22374865</v>
      </c>
      <c r="V1358" s="464">
        <f t="shared" si="1028"/>
        <v>2010</v>
      </c>
      <c r="W1358" s="612">
        <f t="shared" si="1029"/>
        <v>1056390176.1187432</v>
      </c>
      <c r="X1358" s="561"/>
      <c r="Y1358" s="474"/>
      <c r="Z1358" s="449"/>
      <c r="AA1358" s="475" t="s">
        <v>4180</v>
      </c>
      <c r="AB1358" s="476"/>
      <c r="AC1358" s="476"/>
      <c r="AD1358" s="567">
        <f>G1370</f>
        <v>3738076243.4137383</v>
      </c>
      <c r="AE1358" s="476"/>
      <c r="AF1358" s="568"/>
      <c r="AG1358" s="476"/>
      <c r="AH1358" s="476"/>
      <c r="AI1358" s="477"/>
      <c r="AJ1358" s="478"/>
      <c r="AK1358" s="479"/>
      <c r="AL1358" s="480"/>
      <c r="AM1358" s="474"/>
      <c r="AN1358" s="481"/>
      <c r="AO1358" s="474"/>
      <c r="AP1358" s="476"/>
      <c r="AQ1358" s="482"/>
      <c r="AR1358" s="478"/>
      <c r="AS1358" s="478"/>
      <c r="AT1358" s="476"/>
      <c r="AU1358" s="482"/>
      <c r="AV1358" s="478"/>
      <c r="AW1358" s="483"/>
      <c r="AX1358" s="476"/>
      <c r="AY1358" s="482"/>
      <c r="AZ1358" s="478"/>
      <c r="BA1358" s="484"/>
      <c r="BB1358" s="474"/>
      <c r="BC1358" s="485"/>
      <c r="BD1358" s="485"/>
      <c r="BG1358" s="487"/>
    </row>
    <row r="1359" spans="1:59" s="486" customFormat="1" ht="18" customHeight="1" x14ac:dyDescent="0.2">
      <c r="A1359" s="1368" t="str">
        <f t="shared" si="1014"/>
        <v>SIMP. RAYA - SEI. BULUH2011</v>
      </c>
      <c r="B1359" s="1374"/>
      <c r="C1359" s="488"/>
      <c r="D1359" s="489"/>
      <c r="E1359" s="558"/>
      <c r="F1359" s="559">
        <v>2011</v>
      </c>
      <c r="G1359" s="619">
        <v>0</v>
      </c>
      <c r="H1359" s="464">
        <f t="shared" si="1015"/>
        <v>5</v>
      </c>
      <c r="I1359" s="560"/>
      <c r="J1359" s="468">
        <f t="shared" si="1016"/>
        <v>2015</v>
      </c>
      <c r="K1359" s="490">
        <f t="shared" si="1017"/>
        <v>0</v>
      </c>
      <c r="L1359" s="469">
        <f t="shared" si="1018"/>
        <v>0</v>
      </c>
      <c r="M1359" s="683">
        <f t="shared" si="1019"/>
        <v>0</v>
      </c>
      <c r="N1359" s="470">
        <f t="shared" si="1020"/>
        <v>5</v>
      </c>
      <c r="O1359" s="468">
        <f t="shared" si="1021"/>
        <v>2015</v>
      </c>
      <c r="P1359" s="616">
        <f t="shared" si="1022"/>
        <v>1056390176.1187432</v>
      </c>
      <c r="Q1359" s="472">
        <f t="shared" si="1023"/>
        <v>1056390176.1187432</v>
      </c>
      <c r="R1359" s="472">
        <f t="shared" si="1024"/>
        <v>211278035.22374865</v>
      </c>
      <c r="S1359" s="1189">
        <f t="shared" si="1025"/>
        <v>2011</v>
      </c>
      <c r="T1359" s="470">
        <f t="shared" si="1026"/>
        <v>1</v>
      </c>
      <c r="U1359" s="612">
        <f t="shared" si="1027"/>
        <v>211278035.22374865</v>
      </c>
      <c r="V1359" s="464">
        <f t="shared" si="1028"/>
        <v>2011</v>
      </c>
      <c r="W1359" s="612">
        <f t="shared" si="1029"/>
        <v>845112140.8949945</v>
      </c>
      <c r="X1359" s="561"/>
      <c r="Y1359" s="474"/>
      <c r="Z1359" s="449"/>
      <c r="AA1359" s="475"/>
      <c r="AB1359" s="476"/>
      <c r="AC1359" s="476"/>
      <c r="AD1359" s="567"/>
      <c r="AE1359" s="476"/>
      <c r="AF1359" s="568"/>
      <c r="AG1359" s="476"/>
      <c r="AH1359" s="476"/>
      <c r="AI1359" s="477"/>
      <c r="AJ1359" s="478"/>
      <c r="AK1359" s="479"/>
      <c r="AL1359" s="480"/>
      <c r="AM1359" s="474"/>
      <c r="AN1359" s="481"/>
      <c r="AO1359" s="474"/>
      <c r="AP1359" s="476"/>
      <c r="AQ1359" s="482"/>
      <c r="AR1359" s="478"/>
      <c r="AS1359" s="478"/>
      <c r="AT1359" s="476"/>
      <c r="AU1359" s="482"/>
      <c r="AV1359" s="478"/>
      <c r="AW1359" s="483"/>
      <c r="AX1359" s="476"/>
      <c r="AY1359" s="482"/>
      <c r="AZ1359" s="478"/>
      <c r="BA1359" s="484"/>
      <c r="BB1359" s="474"/>
      <c r="BC1359" s="485"/>
      <c r="BD1359" s="485"/>
      <c r="BG1359" s="487"/>
    </row>
    <row r="1360" spans="1:59" s="486" customFormat="1" ht="18" customHeight="1" x14ac:dyDescent="0.2">
      <c r="A1360" s="1368" t="str">
        <f t="shared" si="1014"/>
        <v>SIMP. RAYA - SEI. BULUH2012</v>
      </c>
      <c r="B1360" s="1374"/>
      <c r="C1360" s="488"/>
      <c r="D1360" s="489"/>
      <c r="E1360" s="558"/>
      <c r="F1360" s="559">
        <v>2012</v>
      </c>
      <c r="G1360" s="619">
        <v>0</v>
      </c>
      <c r="H1360" s="464">
        <f t="shared" si="1015"/>
        <v>4</v>
      </c>
      <c r="I1360" s="560"/>
      <c r="J1360" s="468">
        <f t="shared" si="1016"/>
        <v>2015</v>
      </c>
      <c r="K1360" s="490">
        <f t="shared" si="1017"/>
        <v>0</v>
      </c>
      <c r="L1360" s="469">
        <f t="shared" si="1018"/>
        <v>0</v>
      </c>
      <c r="M1360" s="683">
        <f t="shared" si="1019"/>
        <v>0</v>
      </c>
      <c r="N1360" s="470">
        <f t="shared" si="1020"/>
        <v>4</v>
      </c>
      <c r="O1360" s="468">
        <f t="shared" si="1021"/>
        <v>2015</v>
      </c>
      <c r="P1360" s="616">
        <f t="shared" si="1022"/>
        <v>845112140.8949945</v>
      </c>
      <c r="Q1360" s="472">
        <f t="shared" si="1023"/>
        <v>845112140.8949945</v>
      </c>
      <c r="R1360" s="472">
        <f t="shared" si="1024"/>
        <v>211278035.22374865</v>
      </c>
      <c r="S1360" s="1189">
        <f t="shared" si="1025"/>
        <v>2012</v>
      </c>
      <c r="T1360" s="470">
        <f t="shared" si="1026"/>
        <v>1</v>
      </c>
      <c r="U1360" s="612">
        <f t="shared" si="1027"/>
        <v>211278035.22374865</v>
      </c>
      <c r="V1360" s="464">
        <f t="shared" si="1028"/>
        <v>2012</v>
      </c>
      <c r="W1360" s="612">
        <f t="shared" si="1029"/>
        <v>633834105.67124581</v>
      </c>
      <c r="X1360" s="561"/>
      <c r="Y1360" s="474"/>
      <c r="Z1360" s="449"/>
      <c r="AA1360" s="475"/>
      <c r="AB1360" s="476"/>
      <c r="AC1360" s="476"/>
      <c r="AD1360" s="567"/>
      <c r="AE1360" s="476"/>
      <c r="AF1360" s="568"/>
      <c r="AG1360" s="476"/>
      <c r="AH1360" s="476"/>
      <c r="AI1360" s="477"/>
      <c r="AJ1360" s="478"/>
      <c r="AK1360" s="479"/>
      <c r="AL1360" s="480"/>
      <c r="AM1360" s="474"/>
      <c r="AN1360" s="481"/>
      <c r="AO1360" s="474"/>
      <c r="AP1360" s="476"/>
      <c r="AQ1360" s="482"/>
      <c r="AR1360" s="478"/>
      <c r="AS1360" s="478"/>
      <c r="AT1360" s="476"/>
      <c r="AU1360" s="482"/>
      <c r="AV1360" s="478"/>
      <c r="AW1360" s="483"/>
      <c r="AX1360" s="476"/>
      <c r="AY1360" s="482"/>
      <c r="AZ1360" s="478"/>
      <c r="BA1360" s="484"/>
      <c r="BB1360" s="474"/>
      <c r="BC1360" s="485"/>
      <c r="BD1360" s="485"/>
      <c r="BG1360" s="487"/>
    </row>
    <row r="1361" spans="1:59" s="486" customFormat="1" ht="18" customHeight="1" x14ac:dyDescent="0.2">
      <c r="A1361" s="1368" t="str">
        <f t="shared" si="1014"/>
        <v>SIMP. RAYA - SEI. BULUH2013</v>
      </c>
      <c r="B1361" s="1373"/>
      <c r="C1361" s="488"/>
      <c r="D1361" s="489"/>
      <c r="E1361" s="558"/>
      <c r="F1361" s="559">
        <v>2013</v>
      </c>
      <c r="G1361" s="619">
        <v>0</v>
      </c>
      <c r="H1361" s="464">
        <f t="shared" si="1015"/>
        <v>3</v>
      </c>
      <c r="I1361" s="560"/>
      <c r="J1361" s="468">
        <f t="shared" si="1016"/>
        <v>2015</v>
      </c>
      <c r="K1361" s="490">
        <f t="shared" si="1017"/>
        <v>0</v>
      </c>
      <c r="L1361" s="469">
        <f t="shared" si="1018"/>
        <v>0</v>
      </c>
      <c r="M1361" s="683">
        <f t="shared" si="1019"/>
        <v>0</v>
      </c>
      <c r="N1361" s="470">
        <f t="shared" si="1020"/>
        <v>3</v>
      </c>
      <c r="O1361" s="468">
        <f t="shared" si="1021"/>
        <v>2015</v>
      </c>
      <c r="P1361" s="616">
        <f t="shared" si="1022"/>
        <v>633834105.67124581</v>
      </c>
      <c r="Q1361" s="472">
        <f t="shared" si="1023"/>
        <v>633834105.67124581</v>
      </c>
      <c r="R1361" s="472">
        <f t="shared" si="1024"/>
        <v>211278035.22374865</v>
      </c>
      <c r="S1361" s="1189">
        <f t="shared" si="1025"/>
        <v>2013</v>
      </c>
      <c r="T1361" s="470">
        <f t="shared" si="1026"/>
        <v>1</v>
      </c>
      <c r="U1361" s="612">
        <f t="shared" si="1027"/>
        <v>211278035.22374865</v>
      </c>
      <c r="V1361" s="464">
        <f t="shared" si="1028"/>
        <v>2013</v>
      </c>
      <c r="W1361" s="612">
        <f t="shared" si="1029"/>
        <v>422556070.44749713</v>
      </c>
      <c r="X1361" s="473"/>
      <c r="Y1361" s="478"/>
      <c r="Z1361" s="449"/>
      <c r="AA1361" s="475" t="s">
        <v>4181</v>
      </c>
      <c r="AB1361" s="491"/>
      <c r="AC1361" s="491"/>
      <c r="AD1361" s="567">
        <f>U1370</f>
        <v>3738076243.4137383</v>
      </c>
      <c r="AE1361" s="491"/>
      <c r="AF1361" s="568"/>
      <c r="AG1361" s="491"/>
      <c r="AH1361" s="491"/>
      <c r="AI1361" s="477"/>
      <c r="AJ1361" s="478"/>
      <c r="AK1361" s="479"/>
      <c r="AL1361" s="480"/>
      <c r="AM1361" s="474"/>
      <c r="AN1361" s="481"/>
      <c r="AO1361" s="474"/>
      <c r="AP1361" s="476"/>
      <c r="AQ1361" s="482"/>
      <c r="AR1361" s="478"/>
      <c r="AS1361" s="478"/>
      <c r="AT1361" s="476"/>
      <c r="AU1361" s="482"/>
      <c r="AV1361" s="478"/>
      <c r="AW1361" s="483"/>
      <c r="AX1361" s="476"/>
      <c r="AY1361" s="482"/>
      <c r="AZ1361" s="478"/>
      <c r="BA1361" s="484"/>
      <c r="BB1361" s="474"/>
      <c r="BC1361" s="485"/>
      <c r="BD1361" s="485"/>
      <c r="BG1361" s="487"/>
    </row>
    <row r="1362" spans="1:59" s="486" customFormat="1" ht="18" customHeight="1" x14ac:dyDescent="0.2">
      <c r="A1362" s="1368" t="str">
        <f t="shared" si="1014"/>
        <v>SIMP. RAYA - SEI. BULUH2014</v>
      </c>
      <c r="B1362" s="1374"/>
      <c r="C1362" s="488"/>
      <c r="D1362" s="489"/>
      <c r="E1362" s="558"/>
      <c r="F1362" s="559">
        <v>2014</v>
      </c>
      <c r="G1362" s="619">
        <v>0</v>
      </c>
      <c r="H1362" s="464">
        <f t="shared" si="1015"/>
        <v>2</v>
      </c>
      <c r="I1362" s="560"/>
      <c r="J1362" s="468">
        <f t="shared" si="1016"/>
        <v>2015</v>
      </c>
      <c r="K1362" s="490">
        <f t="shared" si="1017"/>
        <v>0</v>
      </c>
      <c r="L1362" s="469">
        <f t="shared" si="1018"/>
        <v>0</v>
      </c>
      <c r="M1362" s="683">
        <f t="shared" si="1019"/>
        <v>0</v>
      </c>
      <c r="N1362" s="470">
        <f t="shared" si="1020"/>
        <v>2</v>
      </c>
      <c r="O1362" s="468">
        <f t="shared" si="1021"/>
        <v>2015</v>
      </c>
      <c r="P1362" s="616">
        <f t="shared" si="1022"/>
        <v>422556070.44749713</v>
      </c>
      <c r="Q1362" s="472">
        <f t="shared" si="1023"/>
        <v>422556070.44749713</v>
      </c>
      <c r="R1362" s="472">
        <f t="shared" si="1024"/>
        <v>211278035.22374865</v>
      </c>
      <c r="S1362" s="1189">
        <f t="shared" si="1025"/>
        <v>2014</v>
      </c>
      <c r="T1362" s="470">
        <f t="shared" si="1026"/>
        <v>1</v>
      </c>
      <c r="U1362" s="612">
        <f t="shared" si="1027"/>
        <v>211278035.22374865</v>
      </c>
      <c r="V1362" s="464">
        <f t="shared" si="1028"/>
        <v>2014</v>
      </c>
      <c r="W1362" s="612">
        <f t="shared" si="1029"/>
        <v>211278035.22374848</v>
      </c>
      <c r="X1362" s="473"/>
      <c r="Y1362" s="478"/>
      <c r="Z1362" s="449"/>
      <c r="AA1362" s="475"/>
      <c r="AB1362" s="491"/>
      <c r="AC1362" s="491"/>
      <c r="AD1362" s="567"/>
      <c r="AE1362" s="491"/>
      <c r="AF1362" s="568"/>
      <c r="AG1362" s="491"/>
      <c r="AH1362" s="491"/>
      <c r="AI1362" s="477"/>
      <c r="AJ1362" s="478"/>
      <c r="AK1362" s="479"/>
      <c r="AL1362" s="480"/>
      <c r="AM1362" s="474"/>
      <c r="AN1362" s="481"/>
      <c r="AO1362" s="474"/>
      <c r="AP1362" s="476"/>
      <c r="AQ1362" s="482"/>
      <c r="AR1362" s="478"/>
      <c r="AS1362" s="478"/>
      <c r="AT1362" s="476"/>
      <c r="AU1362" s="482"/>
      <c r="AV1362" s="478"/>
      <c r="AW1362" s="483"/>
      <c r="AX1362" s="476"/>
      <c r="AY1362" s="482"/>
      <c r="AZ1362" s="478"/>
      <c r="BA1362" s="484"/>
      <c r="BB1362" s="474"/>
      <c r="BC1362" s="485"/>
      <c r="BD1362" s="485"/>
      <c r="BG1362" s="487"/>
    </row>
    <row r="1363" spans="1:59" s="486" customFormat="1" ht="18" customHeight="1" x14ac:dyDescent="0.2">
      <c r="A1363" s="1368" t="str">
        <f t="shared" si="1014"/>
        <v>SIMP. RAYA - SEI. BULUH2015</v>
      </c>
      <c r="B1363" s="1373"/>
      <c r="C1363" s="488"/>
      <c r="D1363" s="489"/>
      <c r="E1363" s="558"/>
      <c r="F1363" s="466">
        <v>2015</v>
      </c>
      <c r="G1363" s="619">
        <v>0</v>
      </c>
      <c r="H1363" s="464">
        <f t="shared" si="1015"/>
        <v>1</v>
      </c>
      <c r="I1363" s="560"/>
      <c r="J1363" s="468">
        <f t="shared" si="1016"/>
        <v>2015</v>
      </c>
      <c r="K1363" s="490">
        <f t="shared" si="1017"/>
        <v>0</v>
      </c>
      <c r="L1363" s="469">
        <f t="shared" si="1018"/>
        <v>0</v>
      </c>
      <c r="M1363" s="683">
        <f t="shared" si="1019"/>
        <v>0</v>
      </c>
      <c r="N1363" s="470">
        <f t="shared" si="1020"/>
        <v>1</v>
      </c>
      <c r="O1363" s="468">
        <f t="shared" si="1021"/>
        <v>2015</v>
      </c>
      <c r="P1363" s="616">
        <f t="shared" si="1022"/>
        <v>211278035.22374848</v>
      </c>
      <c r="Q1363" s="472">
        <f t="shared" si="1023"/>
        <v>211278035.22374848</v>
      </c>
      <c r="R1363" s="472">
        <f t="shared" si="1024"/>
        <v>211278035.22374865</v>
      </c>
      <c r="S1363" s="1189">
        <f t="shared" si="1025"/>
        <v>2015</v>
      </c>
      <c r="T1363" s="470">
        <f t="shared" si="1026"/>
        <v>1</v>
      </c>
      <c r="U1363" s="612">
        <f t="shared" si="1027"/>
        <v>211278035.22374865</v>
      </c>
      <c r="V1363" s="464">
        <f t="shared" si="1028"/>
        <v>2015</v>
      </c>
      <c r="W1363" s="612">
        <f t="shared" si="1029"/>
        <v>-1.7881393432617188E-7</v>
      </c>
      <c r="X1363" s="473"/>
      <c r="Y1363" s="478"/>
      <c r="Z1363" s="449"/>
      <c r="AA1363" s="492" t="s">
        <v>4182</v>
      </c>
      <c r="AB1363" s="476"/>
      <c r="AC1363" s="476"/>
      <c r="AD1363" s="567">
        <f>AD1358-AD1361</f>
        <v>0</v>
      </c>
      <c r="AE1363" s="476"/>
      <c r="AF1363" s="568"/>
      <c r="AG1363" s="476"/>
      <c r="AH1363" s="476"/>
      <c r="AI1363" s="477"/>
      <c r="AJ1363" s="478"/>
      <c r="AK1363" s="479"/>
      <c r="AL1363" s="480"/>
      <c r="AM1363" s="474"/>
      <c r="AN1363" s="481"/>
      <c r="AO1363" s="474"/>
      <c r="AP1363" s="476"/>
      <c r="AQ1363" s="482"/>
      <c r="AR1363" s="478"/>
      <c r="AS1363" s="478"/>
      <c r="AT1363" s="476"/>
      <c r="AU1363" s="482"/>
      <c r="AV1363" s="478"/>
      <c r="AW1363" s="483"/>
      <c r="AX1363" s="476"/>
      <c r="AY1363" s="482"/>
      <c r="AZ1363" s="478"/>
      <c r="BA1363" s="484"/>
      <c r="BB1363" s="474"/>
      <c r="BC1363" s="485"/>
      <c r="BD1363" s="485"/>
      <c r="BG1363" s="487"/>
    </row>
    <row r="1364" spans="1:59" s="486" customFormat="1" ht="18" customHeight="1" x14ac:dyDescent="0.2">
      <c r="A1364" s="1368" t="str">
        <f t="shared" si="1014"/>
        <v>SIMP. RAYA - SEI. BULUH2016</v>
      </c>
      <c r="B1364" s="1374"/>
      <c r="C1364" s="488"/>
      <c r="D1364" s="489"/>
      <c r="E1364" s="558"/>
      <c r="F1364" s="466">
        <v>2016</v>
      </c>
      <c r="G1364" s="619">
        <v>0</v>
      </c>
      <c r="H1364" s="464">
        <f t="shared" si="1015"/>
        <v>0</v>
      </c>
      <c r="I1364" s="560"/>
      <c r="J1364" s="468">
        <f t="shared" si="1016"/>
        <v>2015</v>
      </c>
      <c r="K1364" s="490">
        <f t="shared" si="1017"/>
        <v>0</v>
      </c>
      <c r="L1364" s="469">
        <f t="shared" si="1018"/>
        <v>0</v>
      </c>
      <c r="M1364" s="683">
        <f t="shared" si="1019"/>
        <v>0</v>
      </c>
      <c r="N1364" s="470">
        <f t="shared" si="1020"/>
        <v>0</v>
      </c>
      <c r="O1364" s="468">
        <f t="shared" si="1021"/>
        <v>2015</v>
      </c>
      <c r="P1364" s="616">
        <f t="shared" si="1022"/>
        <v>-1.7881393432617188E-7</v>
      </c>
      <c r="Q1364" s="472">
        <f t="shared" si="1023"/>
        <v>-1.7881393432617188E-7</v>
      </c>
      <c r="R1364" s="472">
        <v>0</v>
      </c>
      <c r="S1364" s="1189">
        <f t="shared" si="1025"/>
        <v>2016</v>
      </c>
      <c r="T1364" s="470">
        <f t="shared" si="1026"/>
        <v>1</v>
      </c>
      <c r="U1364" s="612">
        <f t="shared" si="1027"/>
        <v>0</v>
      </c>
      <c r="V1364" s="464">
        <f t="shared" si="1028"/>
        <v>2016</v>
      </c>
      <c r="W1364" s="612">
        <f t="shared" si="1029"/>
        <v>-1.7881393432617188E-7</v>
      </c>
      <c r="X1364" s="473"/>
      <c r="Y1364" s="478"/>
      <c r="Z1364" s="449"/>
      <c r="AA1364" s="492"/>
      <c r="AB1364" s="476"/>
      <c r="AC1364" s="476"/>
      <c r="AD1364" s="567"/>
      <c r="AE1364" s="476"/>
      <c r="AF1364" s="568"/>
      <c r="AG1364" s="476"/>
      <c r="AH1364" s="476"/>
      <c r="AI1364" s="477"/>
      <c r="AJ1364" s="478"/>
      <c r="AK1364" s="479"/>
      <c r="AL1364" s="480"/>
      <c r="AM1364" s="474"/>
      <c r="AN1364" s="481"/>
      <c r="AO1364" s="474"/>
      <c r="AP1364" s="476"/>
      <c r="AQ1364" s="482"/>
      <c r="AR1364" s="478"/>
      <c r="AS1364" s="478"/>
      <c r="AT1364" s="476"/>
      <c r="AU1364" s="482"/>
      <c r="AV1364" s="478"/>
      <c r="AW1364" s="483"/>
      <c r="AX1364" s="476"/>
      <c r="AY1364" s="482"/>
      <c r="AZ1364" s="478"/>
      <c r="BA1364" s="484"/>
      <c r="BB1364" s="474"/>
      <c r="BC1364" s="485"/>
      <c r="BD1364" s="485"/>
      <c r="BG1364" s="487"/>
    </row>
    <row r="1365" spans="1:59" s="486" customFormat="1" ht="18" customHeight="1" x14ac:dyDescent="0.2">
      <c r="A1365" s="1368" t="str">
        <f t="shared" si="1014"/>
        <v>SIMP. RAYA - SEI. BULUH2017</v>
      </c>
      <c r="B1365" s="1374"/>
      <c r="C1365" s="488"/>
      <c r="D1365" s="489"/>
      <c r="E1365" s="558"/>
      <c r="F1365" s="466">
        <v>2017</v>
      </c>
      <c r="G1365" s="619">
        <v>0</v>
      </c>
      <c r="H1365" s="464">
        <f t="shared" si="1015"/>
        <v>0</v>
      </c>
      <c r="I1365" s="560"/>
      <c r="J1365" s="468">
        <f t="shared" si="1016"/>
        <v>2016</v>
      </c>
      <c r="K1365" s="490">
        <f t="shared" si="1017"/>
        <v>0</v>
      </c>
      <c r="L1365" s="469">
        <f t="shared" si="1018"/>
        <v>0</v>
      </c>
      <c r="M1365" s="683">
        <f t="shared" si="1019"/>
        <v>0</v>
      </c>
      <c r="N1365" s="470">
        <f t="shared" si="1020"/>
        <v>0</v>
      </c>
      <c r="O1365" s="468">
        <f t="shared" si="1021"/>
        <v>2016</v>
      </c>
      <c r="P1365" s="616">
        <f t="shared" si="1022"/>
        <v>-1.7881393432617188E-7</v>
      </c>
      <c r="Q1365" s="472">
        <f t="shared" si="1023"/>
        <v>-1.7881393432617188E-7</v>
      </c>
      <c r="R1365" s="472">
        <f t="shared" si="1024"/>
        <v>0</v>
      </c>
      <c r="S1365" s="1189">
        <f t="shared" si="1025"/>
        <v>2017</v>
      </c>
      <c r="T1365" s="470">
        <f t="shared" si="1026"/>
        <v>1</v>
      </c>
      <c r="U1365" s="612">
        <f t="shared" si="1027"/>
        <v>0</v>
      </c>
      <c r="V1365" s="464">
        <f t="shared" si="1028"/>
        <v>2017</v>
      </c>
      <c r="W1365" s="612">
        <f t="shared" si="1029"/>
        <v>-1.7881393432617188E-7</v>
      </c>
      <c r="X1365" s="473"/>
      <c r="Y1365" s="478"/>
      <c r="Z1365" s="449"/>
      <c r="AA1365" s="492"/>
      <c r="AB1365" s="476"/>
      <c r="AC1365" s="476"/>
      <c r="AD1365" s="567"/>
      <c r="AE1365" s="476"/>
      <c r="AF1365" s="568"/>
      <c r="AG1365" s="476"/>
      <c r="AH1365" s="476"/>
      <c r="AI1365" s="477"/>
      <c r="AJ1365" s="478"/>
      <c r="AK1365" s="479"/>
      <c r="AL1365" s="480"/>
      <c r="AM1365" s="474"/>
      <c r="AN1365" s="481"/>
      <c r="AO1365" s="474"/>
      <c r="AP1365" s="476"/>
      <c r="AQ1365" s="482"/>
      <c r="AR1365" s="478"/>
      <c r="AS1365" s="478"/>
      <c r="AT1365" s="476"/>
      <c r="AU1365" s="482"/>
      <c r="AV1365" s="478"/>
      <c r="AW1365" s="483"/>
      <c r="AX1365" s="476"/>
      <c r="AY1365" s="482"/>
      <c r="AZ1365" s="478"/>
      <c r="BA1365" s="484"/>
      <c r="BB1365" s="474"/>
      <c r="BC1365" s="485"/>
      <c r="BD1365" s="485"/>
      <c r="BG1365" s="487"/>
    </row>
    <row r="1366" spans="1:59" s="486" customFormat="1" ht="18" customHeight="1" x14ac:dyDescent="0.2">
      <c r="A1366" s="1368" t="str">
        <f t="shared" si="1014"/>
        <v>SIMP. RAYA - SEI. BULUH2018</v>
      </c>
      <c r="B1366" s="687"/>
      <c r="C1366" s="463"/>
      <c r="D1366" s="489"/>
      <c r="E1366" s="465"/>
      <c r="F1366" s="466">
        <v>2018</v>
      </c>
      <c r="G1366" s="619">
        <v>0</v>
      </c>
      <c r="H1366" s="464">
        <f t="shared" si="1015"/>
        <v>0</v>
      </c>
      <c r="I1366" s="560"/>
      <c r="J1366" s="468">
        <f t="shared" si="1016"/>
        <v>2017</v>
      </c>
      <c r="K1366" s="490">
        <f t="shared" si="1017"/>
        <v>0</v>
      </c>
      <c r="L1366" s="469">
        <f t="shared" si="1018"/>
        <v>0</v>
      </c>
      <c r="M1366" s="683">
        <f t="shared" si="1019"/>
        <v>0</v>
      </c>
      <c r="N1366" s="470">
        <f t="shared" si="1020"/>
        <v>0</v>
      </c>
      <c r="O1366" s="468">
        <f t="shared" si="1021"/>
        <v>2017</v>
      </c>
      <c r="P1366" s="616">
        <f t="shared" si="1022"/>
        <v>-1.7881393432617188E-7</v>
      </c>
      <c r="Q1366" s="472">
        <f t="shared" si="1023"/>
        <v>-1.7881393432617188E-7</v>
      </c>
      <c r="R1366" s="472">
        <f t="shared" si="1024"/>
        <v>0</v>
      </c>
      <c r="S1366" s="1189">
        <f t="shared" si="1025"/>
        <v>2018</v>
      </c>
      <c r="T1366" s="470">
        <f t="shared" si="1026"/>
        <v>1</v>
      </c>
      <c r="U1366" s="612">
        <f t="shared" si="1027"/>
        <v>0</v>
      </c>
      <c r="V1366" s="464">
        <f t="shared" si="1028"/>
        <v>2018</v>
      </c>
      <c r="W1366" s="612">
        <f t="shared" si="1029"/>
        <v>-1.7881393432617188E-7</v>
      </c>
      <c r="X1366" s="473"/>
      <c r="Y1366" s="478"/>
      <c r="Z1366" s="449"/>
      <c r="AA1366" s="531" t="s">
        <v>4183</v>
      </c>
      <c r="AB1366" s="496"/>
      <c r="AC1366" s="496"/>
      <c r="AD1366" s="569">
        <f>AD1363-W1370</f>
        <v>0</v>
      </c>
      <c r="AE1366" s="476"/>
      <c r="AF1366" s="568"/>
      <c r="AG1366" s="476"/>
      <c r="AH1366" s="476"/>
      <c r="AI1366" s="477"/>
      <c r="AJ1366" s="478"/>
      <c r="AK1366" s="479"/>
      <c r="AL1366" s="480"/>
      <c r="AM1366" s="474"/>
      <c r="AN1366" s="481"/>
      <c r="AO1366" s="474"/>
      <c r="AP1366" s="476"/>
      <c r="AQ1366" s="482"/>
      <c r="AR1366" s="478"/>
      <c r="AS1366" s="478"/>
      <c r="AT1366" s="476"/>
      <c r="AU1366" s="482"/>
      <c r="AV1366" s="478"/>
      <c r="AW1366" s="483"/>
      <c r="AX1366" s="476"/>
      <c r="AY1366" s="482"/>
      <c r="AZ1366" s="478"/>
      <c r="BA1366" s="484"/>
      <c r="BB1366" s="474"/>
      <c r="BC1366" s="485"/>
      <c r="BD1366" s="485"/>
      <c r="BG1366" s="487"/>
    </row>
    <row r="1367" spans="1:59" s="486" customFormat="1" ht="18" customHeight="1" x14ac:dyDescent="0.2">
      <c r="A1367" s="1368" t="str">
        <f t="shared" si="1014"/>
        <v>SIMP. RAYA - SEI. BULUH2019</v>
      </c>
      <c r="B1367" s="687"/>
      <c r="C1367" s="463"/>
      <c r="D1367" s="489"/>
      <c r="E1367" s="465"/>
      <c r="F1367" s="466">
        <v>2019</v>
      </c>
      <c r="G1367" s="619">
        <v>0</v>
      </c>
      <c r="H1367" s="464">
        <f t="shared" si="1015"/>
        <v>0</v>
      </c>
      <c r="I1367" s="560"/>
      <c r="J1367" s="468">
        <f t="shared" si="1016"/>
        <v>2018</v>
      </c>
      <c r="K1367" s="490">
        <f t="shared" si="1017"/>
        <v>0</v>
      </c>
      <c r="L1367" s="469">
        <f t="shared" si="1018"/>
        <v>0</v>
      </c>
      <c r="M1367" s="683">
        <f t="shared" si="1019"/>
        <v>0</v>
      </c>
      <c r="N1367" s="470">
        <f t="shared" si="1020"/>
        <v>0</v>
      </c>
      <c r="O1367" s="468">
        <f t="shared" si="1021"/>
        <v>2018</v>
      </c>
      <c r="P1367" s="616">
        <f t="shared" si="1022"/>
        <v>-1.7881393432617188E-7</v>
      </c>
      <c r="Q1367" s="472">
        <f t="shared" si="1023"/>
        <v>-1.7881393432617188E-7</v>
      </c>
      <c r="R1367" s="472">
        <f t="shared" si="1024"/>
        <v>0</v>
      </c>
      <c r="S1367" s="1189">
        <f t="shared" si="1025"/>
        <v>2019</v>
      </c>
      <c r="T1367" s="470">
        <f t="shared" si="1026"/>
        <v>1</v>
      </c>
      <c r="U1367" s="612">
        <f t="shared" si="1027"/>
        <v>0</v>
      </c>
      <c r="V1367" s="464">
        <f t="shared" si="1028"/>
        <v>2019</v>
      </c>
      <c r="W1367" s="612">
        <f t="shared" si="1029"/>
        <v>-1.7881393432617188E-7</v>
      </c>
      <c r="X1367" s="473"/>
      <c r="Y1367" s="478"/>
      <c r="Z1367" s="449"/>
      <c r="AA1367" s="573"/>
      <c r="AB1367" s="476"/>
      <c r="AC1367" s="476"/>
      <c r="AD1367" s="568"/>
      <c r="AE1367" s="476"/>
      <c r="AF1367" s="568"/>
      <c r="AG1367" s="476"/>
      <c r="AH1367" s="476"/>
      <c r="AI1367" s="477"/>
      <c r="AJ1367" s="478"/>
      <c r="AK1367" s="479"/>
      <c r="AL1367" s="480"/>
      <c r="AM1367" s="474"/>
      <c r="AN1367" s="481"/>
      <c r="AO1367" s="474"/>
      <c r="AP1367" s="476"/>
      <c r="AQ1367" s="482"/>
      <c r="AR1367" s="478"/>
      <c r="AS1367" s="478"/>
      <c r="AT1367" s="476"/>
      <c r="AU1367" s="482"/>
      <c r="AV1367" s="478"/>
      <c r="AW1367" s="483"/>
      <c r="AX1367" s="476"/>
      <c r="AY1367" s="482"/>
      <c r="AZ1367" s="478"/>
      <c r="BA1367" s="484"/>
      <c r="BB1367" s="474"/>
      <c r="BC1367" s="485"/>
      <c r="BD1367" s="485"/>
      <c r="BG1367" s="487"/>
    </row>
    <row r="1368" spans="1:59" s="486" customFormat="1" ht="18" customHeight="1" x14ac:dyDescent="0.2">
      <c r="A1368" s="1368"/>
      <c r="B1368" s="687"/>
      <c r="C1368" s="463"/>
      <c r="D1368" s="489"/>
      <c r="E1368" s="465"/>
      <c r="F1368" s="466"/>
      <c r="G1368" s="619"/>
      <c r="H1368" s="464"/>
      <c r="I1368" s="560"/>
      <c r="J1368" s="468"/>
      <c r="K1368" s="490"/>
      <c r="L1368" s="469"/>
      <c r="M1368" s="683"/>
      <c r="N1368" s="470"/>
      <c r="O1368" s="468"/>
      <c r="P1368" s="616"/>
      <c r="Q1368" s="472"/>
      <c r="R1368" s="472"/>
      <c r="S1368" s="759"/>
      <c r="T1368" s="470"/>
      <c r="U1368" s="612"/>
      <c r="V1368" s="464"/>
      <c r="W1368" s="612"/>
      <c r="X1368" s="473"/>
      <c r="Y1368" s="478"/>
      <c r="Z1368" s="449"/>
      <c r="AA1368" s="573"/>
      <c r="AB1368" s="476"/>
      <c r="AC1368" s="476"/>
      <c r="AD1368" s="568"/>
      <c r="AE1368" s="476"/>
      <c r="AF1368" s="568"/>
      <c r="AG1368" s="476"/>
      <c r="AH1368" s="476"/>
      <c r="AI1368" s="477"/>
      <c r="AJ1368" s="478"/>
      <c r="AK1368" s="479"/>
      <c r="AL1368" s="480"/>
      <c r="AM1368" s="474"/>
      <c r="AN1368" s="481"/>
      <c r="AO1368" s="474"/>
      <c r="AP1368" s="476"/>
      <c r="AQ1368" s="482"/>
      <c r="AR1368" s="478"/>
      <c r="AS1368" s="478"/>
      <c r="AT1368" s="476"/>
      <c r="AU1368" s="482"/>
      <c r="AV1368" s="478"/>
      <c r="AW1368" s="483"/>
      <c r="AX1368" s="476"/>
      <c r="AY1368" s="482"/>
      <c r="AZ1368" s="478"/>
      <c r="BA1368" s="484"/>
      <c r="BB1368" s="474"/>
      <c r="BC1368" s="485"/>
      <c r="BD1368" s="485"/>
      <c r="BG1368" s="487"/>
    </row>
    <row r="1369" spans="1:59" s="486" customFormat="1" ht="18" customHeight="1" x14ac:dyDescent="0.2">
      <c r="A1369" s="1368" t="str">
        <f>LEFT(D1369,8)</f>
        <v/>
      </c>
      <c r="B1369" s="687"/>
      <c r="C1369" s="463"/>
      <c r="D1369" s="489"/>
      <c r="E1369" s="465"/>
      <c r="F1369" s="466"/>
      <c r="G1369" s="620"/>
      <c r="H1369" s="464"/>
      <c r="I1369" s="467"/>
      <c r="J1369" s="468"/>
      <c r="K1369" s="574"/>
      <c r="L1369" s="469"/>
      <c r="M1369" s="683"/>
      <c r="N1369" s="470"/>
      <c r="O1369" s="468"/>
      <c r="P1369" s="616"/>
      <c r="Q1369" s="472"/>
      <c r="R1369" s="472"/>
      <c r="S1369" s="634"/>
      <c r="T1369" s="470"/>
      <c r="U1369" s="612"/>
      <c r="V1369" s="464"/>
      <c r="W1369" s="612"/>
      <c r="X1369" s="473"/>
      <c r="Y1369" s="478"/>
      <c r="Z1369" s="449"/>
      <c r="AA1369" s="573"/>
      <c r="AB1369" s="476"/>
      <c r="AC1369" s="476"/>
      <c r="AD1369" s="568"/>
      <c r="AE1369" s="476"/>
      <c r="AF1369" s="568"/>
      <c r="AG1369" s="476"/>
      <c r="AH1369" s="476"/>
      <c r="AI1369" s="477"/>
      <c r="AJ1369" s="478"/>
      <c r="AK1369" s="479"/>
      <c r="AL1369" s="480"/>
      <c r="AM1369" s="474"/>
      <c r="AN1369" s="481"/>
      <c r="AO1369" s="474"/>
      <c r="AP1369" s="476"/>
      <c r="AQ1369" s="482"/>
      <c r="AR1369" s="478"/>
      <c r="AS1369" s="478"/>
      <c r="AT1369" s="476"/>
      <c r="AU1369" s="482"/>
      <c r="AV1369" s="478"/>
      <c r="AW1369" s="483"/>
      <c r="AX1369" s="476"/>
      <c r="AY1369" s="482"/>
      <c r="AZ1369" s="478"/>
      <c r="BA1369" s="484"/>
      <c r="BB1369" s="474"/>
      <c r="BC1369" s="485"/>
      <c r="BD1369" s="485"/>
      <c r="BG1369" s="487"/>
    </row>
    <row r="1370" spans="1:59" s="526" customFormat="1" ht="18" customHeight="1" x14ac:dyDescent="0.2">
      <c r="A1370" s="1370" t="s">
        <v>4184</v>
      </c>
      <c r="B1370" s="1956" t="s">
        <v>4184</v>
      </c>
      <c r="C1370" s="1957"/>
      <c r="D1370" s="1957"/>
      <c r="E1370" s="1957"/>
      <c r="F1370" s="1958"/>
      <c r="G1370" s="624">
        <f>SUM(G1352:G1369)</f>
        <v>3738076243.4137383</v>
      </c>
      <c r="H1370" s="505"/>
      <c r="I1370" s="506"/>
      <c r="J1370" s="507"/>
      <c r="K1370" s="507"/>
      <c r="L1370" s="505"/>
      <c r="M1370" s="684"/>
      <c r="N1370" s="508"/>
      <c r="O1370" s="507"/>
      <c r="P1370" s="749"/>
      <c r="Q1370" s="510"/>
      <c r="R1370" s="511"/>
      <c r="S1370" s="512"/>
      <c r="T1370" s="512"/>
      <c r="U1370" s="610">
        <f>SUM(U1352:U1369)</f>
        <v>3738076243.4137383</v>
      </c>
      <c r="V1370" s="513"/>
      <c r="W1370" s="610">
        <f>G1370-U1370</f>
        <v>0</v>
      </c>
      <c r="X1370" s="514"/>
      <c r="Y1370" s="515"/>
      <c r="Z1370" s="515"/>
      <c r="AA1370" s="515"/>
      <c r="AB1370" s="515"/>
      <c r="AC1370" s="515"/>
      <c r="AD1370" s="570"/>
      <c r="AE1370" s="515"/>
      <c r="AF1370" s="570">
        <v>3738076243.4137378</v>
      </c>
      <c r="AG1370" s="515"/>
      <c r="AH1370" s="515"/>
      <c r="AI1370" s="516"/>
      <c r="AJ1370" s="517"/>
      <c r="AK1370" s="518"/>
      <c r="AL1370" s="519"/>
      <c r="AM1370" s="520"/>
      <c r="AN1370" s="521"/>
      <c r="AO1370" s="520"/>
      <c r="AP1370" s="515"/>
      <c r="AQ1370" s="522"/>
      <c r="AR1370" s="517"/>
      <c r="AS1370" s="517"/>
      <c r="AT1370" s="515"/>
      <c r="AU1370" s="522"/>
      <c r="AV1370" s="517"/>
      <c r="AW1370" s="523"/>
      <c r="AX1370" s="515"/>
      <c r="AY1370" s="522"/>
      <c r="AZ1370" s="517"/>
      <c r="BA1370" s="524"/>
      <c r="BB1370" s="520"/>
      <c r="BC1370" s="525"/>
      <c r="BD1370" s="525"/>
      <c r="BG1370" s="527"/>
    </row>
    <row r="1373" spans="1:59" s="422" customFormat="1" ht="18" customHeight="1" x14ac:dyDescent="0.2">
      <c r="A1373" s="1366">
        <f>C1373</f>
        <v>244</v>
      </c>
      <c r="B1373" s="742" t="s">
        <v>4187</v>
      </c>
      <c r="C1373" s="556">
        <v>244</v>
      </c>
      <c r="D1373" s="553" t="str">
        <f>VLOOKUP(C1373,RUAS,2,FALSE)</f>
        <v>KOTO BARU - SUKA MAJU</v>
      </c>
      <c r="E1373" s="553"/>
      <c r="F1373" s="421"/>
      <c r="G1373" s="611"/>
      <c r="I1373" s="423"/>
      <c r="J1373" s="424"/>
      <c r="K1373" s="424"/>
      <c r="M1373" s="680"/>
      <c r="P1373" s="611"/>
      <c r="U1373" s="611"/>
      <c r="W1373" s="611"/>
      <c r="Y1373" s="425"/>
      <c r="Z1373" s="425"/>
      <c r="AA1373" s="425"/>
      <c r="AB1373" s="425"/>
      <c r="AC1373" s="425"/>
      <c r="AD1373" s="563"/>
      <c r="AE1373" s="425"/>
      <c r="AF1373" s="563"/>
      <c r="AG1373" s="425"/>
      <c r="AH1373" s="425"/>
      <c r="AI1373" s="425"/>
      <c r="AJ1373" s="425"/>
      <c r="AK1373" s="425"/>
      <c r="AL1373" s="425"/>
      <c r="AM1373" s="425"/>
      <c r="AN1373" s="425"/>
      <c r="AO1373" s="425"/>
      <c r="AP1373" s="425"/>
      <c r="AQ1373" s="425"/>
      <c r="AR1373" s="425"/>
      <c r="AS1373" s="425"/>
      <c r="AT1373" s="425"/>
      <c r="AU1373" s="425"/>
      <c r="AV1373" s="425"/>
      <c r="AW1373" s="425"/>
      <c r="AX1373" s="425"/>
      <c r="AY1373" s="425"/>
      <c r="AZ1373" s="425"/>
      <c r="BA1373" s="425"/>
      <c r="BB1373" s="425"/>
    </row>
    <row r="1374" spans="1:59" s="431" customFormat="1" ht="18" customHeight="1" x14ac:dyDescent="0.2">
      <c r="A1374" s="1367"/>
      <c r="B1374" s="1968" t="s">
        <v>5</v>
      </c>
      <c r="C1374" s="1968" t="s">
        <v>2280</v>
      </c>
      <c r="D1374" s="1968" t="s">
        <v>4157</v>
      </c>
      <c r="E1374" s="1968" t="s">
        <v>4158</v>
      </c>
      <c r="F1374" s="1968"/>
      <c r="G1374" s="1969" t="s">
        <v>4159</v>
      </c>
      <c r="H1374" s="1968" t="s">
        <v>4160</v>
      </c>
      <c r="I1374" s="1968"/>
      <c r="J1374" s="1968" t="s">
        <v>4185</v>
      </c>
      <c r="K1374" s="1964" t="s">
        <v>4162</v>
      </c>
      <c r="L1374" s="1968" t="s">
        <v>4163</v>
      </c>
      <c r="M1374" s="1971" t="s">
        <v>4164</v>
      </c>
      <c r="N1374" s="1962" t="s">
        <v>4165</v>
      </c>
      <c r="O1374" s="1968" t="s">
        <v>4166</v>
      </c>
      <c r="P1374" s="1972" t="s">
        <v>4167</v>
      </c>
      <c r="Q1374" s="1973"/>
      <c r="R1374" s="636" t="s">
        <v>4186</v>
      </c>
      <c r="S1374" s="1972" t="s">
        <v>4169</v>
      </c>
      <c r="T1374" s="1974"/>
      <c r="U1374" s="1973"/>
      <c r="V1374" s="1975" t="s">
        <v>4170</v>
      </c>
      <c r="W1374" s="1975"/>
      <c r="X1374" s="1960" t="s">
        <v>4171</v>
      </c>
      <c r="Y1374" s="1959"/>
      <c r="Z1374" s="633"/>
      <c r="AA1374" s="426"/>
      <c r="AB1374" s="426"/>
      <c r="AC1374" s="426"/>
      <c r="AD1374" s="564"/>
      <c r="AE1374" s="426"/>
      <c r="AF1374" s="564"/>
      <c r="AG1374" s="426"/>
      <c r="AH1374" s="426"/>
      <c r="AI1374" s="427"/>
      <c r="AJ1374" s="427"/>
      <c r="AK1374" s="427"/>
      <c r="AL1374" s="427"/>
      <c r="AM1374" s="428"/>
      <c r="AN1374" s="427"/>
      <c r="AO1374" s="427"/>
      <c r="AP1374" s="426"/>
      <c r="AQ1374" s="427"/>
      <c r="AR1374" s="427"/>
      <c r="AS1374" s="427"/>
      <c r="AT1374" s="426"/>
      <c r="AU1374" s="427"/>
      <c r="AV1374" s="427"/>
      <c r="AW1374" s="427"/>
      <c r="AX1374" s="426"/>
      <c r="AY1374" s="427"/>
      <c r="AZ1374" s="427"/>
      <c r="BA1374" s="427"/>
      <c r="BB1374" s="429"/>
      <c r="BC1374" s="430"/>
      <c r="BD1374" s="430"/>
    </row>
    <row r="1375" spans="1:59" s="431" customFormat="1" ht="18" customHeight="1" x14ac:dyDescent="0.2">
      <c r="A1375" s="1367"/>
      <c r="B1375" s="1968"/>
      <c r="C1375" s="1968"/>
      <c r="D1375" s="1968"/>
      <c r="E1375" s="1968"/>
      <c r="F1375" s="1968"/>
      <c r="G1375" s="1969"/>
      <c r="H1375" s="1968"/>
      <c r="I1375" s="1968"/>
      <c r="J1375" s="1968"/>
      <c r="K1375" s="1970"/>
      <c r="L1375" s="1968"/>
      <c r="M1375" s="1971"/>
      <c r="N1375" s="1963"/>
      <c r="O1375" s="1968"/>
      <c r="P1375" s="2037" t="s">
        <v>4172</v>
      </c>
      <c r="Q1375" s="1960" t="s">
        <v>4173</v>
      </c>
      <c r="R1375" s="1962" t="s">
        <v>4159</v>
      </c>
      <c r="S1375" s="1962" t="s">
        <v>4174</v>
      </c>
      <c r="T1375" s="1964" t="s">
        <v>4175</v>
      </c>
      <c r="U1375" s="1966" t="s">
        <v>4159</v>
      </c>
      <c r="V1375" s="1975"/>
      <c r="W1375" s="1975"/>
      <c r="X1375" s="1976"/>
      <c r="Y1375" s="1959"/>
      <c r="Z1375" s="633"/>
      <c r="AA1375" s="426"/>
      <c r="AB1375" s="426"/>
      <c r="AC1375" s="426"/>
      <c r="AD1375" s="564"/>
      <c r="AE1375" s="426"/>
      <c r="AF1375" s="564"/>
      <c r="AG1375" s="426"/>
      <c r="AH1375" s="426"/>
      <c r="AI1375" s="427"/>
      <c r="AJ1375" s="427"/>
      <c r="AK1375" s="426"/>
      <c r="AL1375" s="427"/>
      <c r="AM1375" s="428"/>
      <c r="AN1375" s="427"/>
      <c r="AO1375" s="427"/>
      <c r="AP1375" s="432"/>
      <c r="AQ1375" s="427"/>
      <c r="AR1375" s="427"/>
      <c r="AS1375" s="427"/>
      <c r="AT1375" s="432"/>
      <c r="AU1375" s="427"/>
      <c r="AV1375" s="427"/>
      <c r="AW1375" s="427"/>
      <c r="AX1375" s="432"/>
      <c r="AY1375" s="427"/>
      <c r="AZ1375" s="427"/>
      <c r="BA1375" s="427"/>
      <c r="BB1375" s="429"/>
      <c r="BC1375" s="430"/>
      <c r="BD1375" s="430"/>
    </row>
    <row r="1376" spans="1:59" s="431" customFormat="1" ht="18" customHeight="1" x14ac:dyDescent="0.2">
      <c r="A1376" s="1367"/>
      <c r="B1376" s="1968"/>
      <c r="C1376" s="1968"/>
      <c r="D1376" s="1968"/>
      <c r="E1376" s="433" t="s">
        <v>4176</v>
      </c>
      <c r="F1376" s="434" t="s">
        <v>2288</v>
      </c>
      <c r="G1376" s="1969"/>
      <c r="H1376" s="635" t="s">
        <v>2288</v>
      </c>
      <c r="I1376" s="635" t="s">
        <v>4177</v>
      </c>
      <c r="J1376" s="1968"/>
      <c r="K1376" s="1965"/>
      <c r="L1376" s="435" t="s">
        <v>2288</v>
      </c>
      <c r="M1376" s="681" t="s">
        <v>2288</v>
      </c>
      <c r="N1376" s="635" t="s">
        <v>2288</v>
      </c>
      <c r="O1376" s="1968"/>
      <c r="P1376" s="2038"/>
      <c r="Q1376" s="1961"/>
      <c r="R1376" s="1963"/>
      <c r="S1376" s="1963"/>
      <c r="T1376" s="1965"/>
      <c r="U1376" s="1967"/>
      <c r="V1376" s="635" t="s">
        <v>4178</v>
      </c>
      <c r="W1376" s="637" t="s">
        <v>4159</v>
      </c>
      <c r="X1376" s="1961"/>
      <c r="Y1376" s="436"/>
      <c r="Z1376" s="436"/>
      <c r="AA1376" s="426"/>
      <c r="AB1376" s="426"/>
      <c r="AC1376" s="426"/>
      <c r="AD1376" s="564"/>
      <c r="AE1376" s="426"/>
      <c r="AF1376" s="564"/>
      <c r="AG1376" s="426"/>
      <c r="AH1376" s="426"/>
      <c r="AI1376" s="427"/>
      <c r="AJ1376" s="432"/>
      <c r="AK1376" s="432"/>
      <c r="AL1376" s="427"/>
      <c r="AM1376" s="428"/>
      <c r="AN1376" s="432"/>
      <c r="AO1376" s="427"/>
      <c r="AP1376" s="432"/>
      <c r="AQ1376" s="432"/>
      <c r="AR1376" s="427"/>
      <c r="AS1376" s="427"/>
      <c r="AT1376" s="432"/>
      <c r="AU1376" s="432"/>
      <c r="AV1376" s="427"/>
      <c r="AW1376" s="427"/>
      <c r="AX1376" s="432"/>
      <c r="AY1376" s="432"/>
      <c r="AZ1376" s="427"/>
      <c r="BA1376" s="427"/>
      <c r="BB1376" s="429"/>
      <c r="BC1376" s="430"/>
      <c r="BD1376" s="430"/>
    </row>
    <row r="1377" spans="1:59" s="461" customFormat="1" ht="18" customHeight="1" x14ac:dyDescent="0.2">
      <c r="A1377" s="1368" t="str">
        <f>$D$1373&amp;S1377</f>
        <v>KOTO BARU - SUKA MAJU2001</v>
      </c>
      <c r="B1377" s="1373">
        <v>1</v>
      </c>
      <c r="C1377" s="532" t="s">
        <v>529</v>
      </c>
      <c r="D1377" s="437" t="s">
        <v>3821</v>
      </c>
      <c r="E1377" s="438"/>
      <c r="F1377" s="439">
        <v>2001</v>
      </c>
      <c r="G1377" s="623">
        <f>15288000000+4900000000</f>
        <v>20188000000</v>
      </c>
      <c r="H1377" s="440">
        <f>VLOOKUP(LEFT(D1377,8),UE,4)</f>
        <v>10</v>
      </c>
      <c r="I1377" s="441"/>
      <c r="J1377" s="442">
        <f>F1377+N1377-1</f>
        <v>2010</v>
      </c>
      <c r="K1377" s="443"/>
      <c r="L1377" s="440"/>
      <c r="M1377" s="746">
        <f>IF(H1377+L1377&gt;$H1377,$H1377-H1377,L1377)</f>
        <v>0</v>
      </c>
      <c r="N1377" s="444">
        <f>H1377+M1377</f>
        <v>10</v>
      </c>
      <c r="O1377" s="442">
        <f>F1377+N1377-1</f>
        <v>2010</v>
      </c>
      <c r="P1377" s="617">
        <f>G1377</f>
        <v>20188000000</v>
      </c>
      <c r="Q1377" s="445">
        <v>0</v>
      </c>
      <c r="R1377" s="445">
        <f>P1377/N1377</f>
        <v>2018800000</v>
      </c>
      <c r="S1377" s="446">
        <f>F1377</f>
        <v>2001</v>
      </c>
      <c r="T1377" s="447">
        <v>1</v>
      </c>
      <c r="U1377" s="613">
        <f>R1377*T1377</f>
        <v>2018800000</v>
      </c>
      <c r="V1377" s="442">
        <f>F1377</f>
        <v>2001</v>
      </c>
      <c r="W1377" s="617">
        <f>IF(OR(AND(ISBLANK(E1377),ISBLANK(G1377)),ISTEXT(E1377),ISTEXT(G1377)),"",G1377-R1377)</f>
        <v>18169200000</v>
      </c>
      <c r="X1377" s="448"/>
      <c r="Y1377" s="449"/>
      <c r="Z1377" s="449"/>
      <c r="AA1377" s="693"/>
      <c r="AB1377" s="452"/>
      <c r="AC1377" s="452"/>
      <c r="AD1377" s="571"/>
      <c r="AE1377" s="452"/>
      <c r="AF1377" s="571"/>
      <c r="AG1377" s="452"/>
      <c r="AH1377" s="452"/>
      <c r="AI1377" s="453"/>
      <c r="AJ1377" s="449"/>
      <c r="AK1377" s="453"/>
      <c r="AL1377" s="454"/>
      <c r="AM1377" s="455"/>
      <c r="AN1377" s="456"/>
      <c r="AO1377" s="455"/>
      <c r="AP1377" s="452"/>
      <c r="AQ1377" s="457"/>
      <c r="AR1377" s="449"/>
      <c r="AS1377" s="449"/>
      <c r="AT1377" s="452"/>
      <c r="AU1377" s="457"/>
      <c r="AV1377" s="449"/>
      <c r="AW1377" s="458"/>
      <c r="AX1377" s="452"/>
      <c r="AY1377" s="457"/>
      <c r="AZ1377" s="449"/>
      <c r="BA1377" s="459"/>
      <c r="BB1377" s="455"/>
      <c r="BC1377" s="460"/>
      <c r="BD1377" s="460"/>
      <c r="BG1377" s="462"/>
    </row>
    <row r="1378" spans="1:59" s="461" customFormat="1" ht="18" customHeight="1" x14ac:dyDescent="0.2">
      <c r="A1378" s="1368" t="str">
        <f t="shared" ref="A1378:A1392" si="1030">$D$1373&amp;S1378</f>
        <v>KOTO BARU - SUKA MAJU2005</v>
      </c>
      <c r="B1378" s="1373"/>
      <c r="C1378" s="488"/>
      <c r="D1378" s="489"/>
      <c r="E1378" s="558"/>
      <c r="F1378" s="559">
        <v>2005</v>
      </c>
      <c r="G1378" s="619">
        <v>0</v>
      </c>
      <c r="H1378" s="464">
        <f>IF(N1377-(F1378-F1377)&lt;=0,0,(N1377-(F1378-F1377)))</f>
        <v>6</v>
      </c>
      <c r="I1378" s="560"/>
      <c r="J1378" s="468">
        <f>F1378+N1378-1</f>
        <v>2010</v>
      </c>
      <c r="K1378" s="490">
        <f>IF(G1378=0,0,IF(H1378=10,100%,G1378/W1377))</f>
        <v>0</v>
      </c>
      <c r="L1378" s="469">
        <f>IF(K1378=0%,0,IF(K1378&lt;=30%,2,IF(K1378&lt;=60%,5,10)))</f>
        <v>0</v>
      </c>
      <c r="M1378" s="683">
        <f>IF(OR(AND(ISBLANK(E1378),ISBLANK(G1378)),ISTEXT(E1378),ISTEXT(G1378)),"",IF(H1378+L1378&gt;$H$1377,$H$1377-H1378,L1378))</f>
        <v>0</v>
      </c>
      <c r="N1378" s="470">
        <f>IF(OR(AND(ISBLANK(F1378),ISBLANK(G1378)),ISTEXT(F1378),ISTEXT(G1378)),"",H1378+M1378)</f>
        <v>6</v>
      </c>
      <c r="O1378" s="468">
        <f>F1378+N1378-1</f>
        <v>2010</v>
      </c>
      <c r="P1378" s="616">
        <f>W1377</f>
        <v>18169200000</v>
      </c>
      <c r="Q1378" s="472">
        <f>P1378+G1378</f>
        <v>18169200000</v>
      </c>
      <c r="R1378" s="472">
        <f>IF(L1378=0,R1377,Q1378/N1378)</f>
        <v>2018800000</v>
      </c>
      <c r="S1378" s="634">
        <f>F1378</f>
        <v>2005</v>
      </c>
      <c r="T1378" s="470">
        <f>S1378-S1377</f>
        <v>4</v>
      </c>
      <c r="U1378" s="612">
        <f>R1378*T1378</f>
        <v>8075200000</v>
      </c>
      <c r="V1378" s="464">
        <f>F1378</f>
        <v>2005</v>
      </c>
      <c r="W1378" s="612">
        <f>IF(OR(AND(ISBLANK(E1378),ISBLANK(G1378)),ISTEXT(E1378),ISTEXT(G1378)),"",Q1378-U1378)</f>
        <v>10094000000</v>
      </c>
      <c r="X1378" s="561"/>
      <c r="Y1378" s="449"/>
      <c r="Z1378" s="449"/>
      <c r="AA1378" s="693"/>
      <c r="AB1378" s="452"/>
      <c r="AC1378" s="452"/>
      <c r="AD1378" s="571"/>
      <c r="AE1378" s="452"/>
      <c r="AF1378" s="571"/>
      <c r="AG1378" s="452"/>
      <c r="AH1378" s="452"/>
      <c r="AI1378" s="453"/>
      <c r="AJ1378" s="449"/>
      <c r="AK1378" s="453"/>
      <c r="AL1378" s="454"/>
      <c r="AM1378" s="455"/>
      <c r="AN1378" s="456"/>
      <c r="AO1378" s="455"/>
      <c r="AP1378" s="452"/>
      <c r="AQ1378" s="457"/>
      <c r="AR1378" s="449"/>
      <c r="AS1378" s="449"/>
      <c r="AT1378" s="452"/>
      <c r="AU1378" s="457"/>
      <c r="AV1378" s="449"/>
      <c r="AW1378" s="458"/>
      <c r="AX1378" s="452"/>
      <c r="AY1378" s="457"/>
      <c r="AZ1378" s="449"/>
      <c r="BA1378" s="459"/>
      <c r="BB1378" s="455"/>
      <c r="BC1378" s="460"/>
      <c r="BD1378" s="460"/>
      <c r="BG1378" s="462"/>
    </row>
    <row r="1379" spans="1:59" s="461" customFormat="1" ht="18" customHeight="1" x14ac:dyDescent="0.2">
      <c r="A1379" s="1368" t="str">
        <f t="shared" si="1030"/>
        <v>KOTO BARU - SUKA MAJU2006</v>
      </c>
      <c r="B1379" s="1374"/>
      <c r="C1379" s="488"/>
      <c r="D1379" s="489"/>
      <c r="E1379" s="558"/>
      <c r="F1379" s="559">
        <v>2006</v>
      </c>
      <c r="G1379" s="619">
        <v>0</v>
      </c>
      <c r="H1379" s="464">
        <f t="shared" ref="H1379:H1392" si="1031">IF(N1378-(F1379-F1378)&lt;=0,0,(N1378-(F1379-F1378)))</f>
        <v>5</v>
      </c>
      <c r="I1379" s="560"/>
      <c r="J1379" s="468">
        <f t="shared" ref="J1379:J1392" si="1032">F1379+N1379-1</f>
        <v>2010</v>
      </c>
      <c r="K1379" s="490">
        <f t="shared" ref="K1379:K1392" si="1033">IF(G1379=0,0,IF(H1379=10,100%,G1379/W1378))</f>
        <v>0</v>
      </c>
      <c r="L1379" s="469">
        <f t="shared" ref="L1379:L1392" si="1034">IF(K1379=0%,0,IF(K1379&lt;=30%,2,IF(K1379&lt;=60%,5,10)))</f>
        <v>0</v>
      </c>
      <c r="M1379" s="683">
        <f t="shared" ref="M1379:M1392" si="1035">IF(OR(AND(ISBLANK(E1379),ISBLANK(G1379)),ISTEXT(E1379),ISTEXT(G1379)),"",IF(H1379+L1379&gt;$H$1377,$H$1377-H1379,L1379))</f>
        <v>0</v>
      </c>
      <c r="N1379" s="470">
        <f t="shared" ref="N1379:N1392" si="1036">IF(OR(AND(ISBLANK(F1379),ISBLANK(G1379)),ISTEXT(F1379),ISTEXT(G1379)),"",H1379+M1379)</f>
        <v>5</v>
      </c>
      <c r="O1379" s="468">
        <f t="shared" ref="O1379:O1392" si="1037">F1379+N1379-1</f>
        <v>2010</v>
      </c>
      <c r="P1379" s="616">
        <f t="shared" ref="P1379:P1392" si="1038">W1378</f>
        <v>10094000000</v>
      </c>
      <c r="Q1379" s="472">
        <f t="shared" ref="Q1379:Q1392" si="1039">P1379+G1379</f>
        <v>10094000000</v>
      </c>
      <c r="R1379" s="472">
        <f t="shared" ref="R1379:R1392" si="1040">IF(L1379=0,R1378,Q1379/N1379)</f>
        <v>2018800000</v>
      </c>
      <c r="S1379" s="1189">
        <f t="shared" ref="S1379:S1392" si="1041">F1379</f>
        <v>2006</v>
      </c>
      <c r="T1379" s="470">
        <f t="shared" ref="T1379:T1392" si="1042">S1379-S1378</f>
        <v>1</v>
      </c>
      <c r="U1379" s="612">
        <f t="shared" ref="U1379:U1392" si="1043">R1379*T1379</f>
        <v>2018800000</v>
      </c>
      <c r="V1379" s="464">
        <f t="shared" ref="V1379:V1392" si="1044">F1379</f>
        <v>2006</v>
      </c>
      <c r="W1379" s="612">
        <f t="shared" ref="W1379:W1392" si="1045">IF(OR(AND(ISBLANK(E1379),ISBLANK(G1379)),ISTEXT(E1379),ISTEXT(G1379)),"",Q1379-U1379)</f>
        <v>8075200000</v>
      </c>
      <c r="X1379" s="561"/>
      <c r="Y1379" s="449"/>
      <c r="Z1379" s="449"/>
      <c r="AA1379" s="693"/>
      <c r="AB1379" s="452"/>
      <c r="AC1379" s="452"/>
      <c r="AD1379" s="571"/>
      <c r="AE1379" s="452"/>
      <c r="AF1379" s="571"/>
      <c r="AG1379" s="452"/>
      <c r="AH1379" s="452"/>
      <c r="AI1379" s="453"/>
      <c r="AJ1379" s="449"/>
      <c r="AK1379" s="453"/>
      <c r="AL1379" s="454"/>
      <c r="AM1379" s="455"/>
      <c r="AN1379" s="456"/>
      <c r="AO1379" s="455"/>
      <c r="AP1379" s="452"/>
      <c r="AQ1379" s="457"/>
      <c r="AR1379" s="449"/>
      <c r="AS1379" s="449"/>
      <c r="AT1379" s="452"/>
      <c r="AU1379" s="457"/>
      <c r="AV1379" s="449"/>
      <c r="AW1379" s="458"/>
      <c r="AX1379" s="452"/>
      <c r="AY1379" s="457"/>
      <c r="AZ1379" s="449"/>
      <c r="BA1379" s="459"/>
      <c r="BB1379" s="455"/>
      <c r="BC1379" s="460"/>
      <c r="BD1379" s="460"/>
      <c r="BG1379" s="462"/>
    </row>
    <row r="1380" spans="1:59" s="461" customFormat="1" ht="18" customHeight="1" x14ac:dyDescent="0.2">
      <c r="A1380" s="1368" t="str">
        <f t="shared" si="1030"/>
        <v>KOTO BARU - SUKA MAJU2007</v>
      </c>
      <c r="B1380" s="1373">
        <v>2</v>
      </c>
      <c r="C1380" s="488" t="s">
        <v>5078</v>
      </c>
      <c r="D1380" s="489"/>
      <c r="E1380" s="558"/>
      <c r="F1380" s="559">
        <v>2007</v>
      </c>
      <c r="G1380" s="619">
        <v>663676680.80826843</v>
      </c>
      <c r="H1380" s="464">
        <f t="shared" si="1031"/>
        <v>4</v>
      </c>
      <c r="I1380" s="560"/>
      <c r="J1380" s="468">
        <f t="shared" si="1032"/>
        <v>2012</v>
      </c>
      <c r="K1380" s="490">
        <f t="shared" si="1033"/>
        <v>8.218702704679369E-2</v>
      </c>
      <c r="L1380" s="469">
        <f t="shared" si="1034"/>
        <v>2</v>
      </c>
      <c r="M1380" s="683">
        <f t="shared" si="1035"/>
        <v>2</v>
      </c>
      <c r="N1380" s="470">
        <f t="shared" si="1036"/>
        <v>6</v>
      </c>
      <c r="O1380" s="468">
        <f t="shared" si="1037"/>
        <v>2012</v>
      </c>
      <c r="P1380" s="616">
        <f t="shared" si="1038"/>
        <v>8075200000</v>
      </c>
      <c r="Q1380" s="472">
        <f t="shared" si="1039"/>
        <v>8738876680.8082676</v>
      </c>
      <c r="R1380" s="472">
        <f t="shared" si="1040"/>
        <v>1456479446.801378</v>
      </c>
      <c r="S1380" s="1189">
        <f t="shared" si="1041"/>
        <v>2007</v>
      </c>
      <c r="T1380" s="470">
        <f t="shared" si="1042"/>
        <v>1</v>
      </c>
      <c r="U1380" s="612">
        <f t="shared" si="1043"/>
        <v>1456479446.801378</v>
      </c>
      <c r="V1380" s="464">
        <f t="shared" si="1044"/>
        <v>2007</v>
      </c>
      <c r="W1380" s="612">
        <f t="shared" si="1045"/>
        <v>7282397234.0068893</v>
      </c>
      <c r="X1380" s="561"/>
      <c r="Y1380" s="449"/>
      <c r="Z1380" s="449"/>
      <c r="AA1380" s="693"/>
      <c r="AB1380" s="452"/>
      <c r="AC1380" s="452"/>
      <c r="AD1380" s="571"/>
      <c r="AE1380" s="452"/>
      <c r="AF1380" s="571"/>
      <c r="AG1380" s="452"/>
      <c r="AH1380" s="452"/>
      <c r="AI1380" s="453"/>
      <c r="AJ1380" s="449"/>
      <c r="AK1380" s="453"/>
      <c r="AL1380" s="454"/>
      <c r="AM1380" s="455"/>
      <c r="AN1380" s="456"/>
      <c r="AO1380" s="455"/>
      <c r="AP1380" s="452"/>
      <c r="AQ1380" s="457"/>
      <c r="AR1380" s="449"/>
      <c r="AS1380" s="449"/>
      <c r="AT1380" s="452"/>
      <c r="AU1380" s="457"/>
      <c r="AV1380" s="449"/>
      <c r="AW1380" s="458"/>
      <c r="AX1380" s="452"/>
      <c r="AY1380" s="457"/>
      <c r="AZ1380" s="449"/>
      <c r="BA1380" s="459"/>
      <c r="BB1380" s="455"/>
      <c r="BC1380" s="460"/>
      <c r="BD1380" s="460"/>
      <c r="BG1380" s="462"/>
    </row>
    <row r="1381" spans="1:59" s="461" customFormat="1" ht="18" customHeight="1" x14ac:dyDescent="0.2">
      <c r="A1381" s="1368" t="str">
        <f t="shared" si="1030"/>
        <v>KOTO BARU - SUKA MAJU2008</v>
      </c>
      <c r="B1381" s="1373"/>
      <c r="C1381" s="488" t="s">
        <v>5169</v>
      </c>
      <c r="D1381" s="489"/>
      <c r="E1381" s="558"/>
      <c r="F1381" s="559">
        <v>2008</v>
      </c>
      <c r="G1381" s="619">
        <v>402423126.15279591</v>
      </c>
      <c r="H1381" s="464">
        <f t="shared" si="1031"/>
        <v>5</v>
      </c>
      <c r="I1381" s="560"/>
      <c r="J1381" s="468">
        <f t="shared" si="1032"/>
        <v>2014</v>
      </c>
      <c r="K1381" s="490">
        <f t="shared" si="1033"/>
        <v>5.5259705454350279E-2</v>
      </c>
      <c r="L1381" s="469">
        <f t="shared" si="1034"/>
        <v>2</v>
      </c>
      <c r="M1381" s="683">
        <f t="shared" si="1035"/>
        <v>2</v>
      </c>
      <c r="N1381" s="470">
        <f t="shared" si="1036"/>
        <v>7</v>
      </c>
      <c r="O1381" s="468">
        <f t="shared" si="1037"/>
        <v>2014</v>
      </c>
      <c r="P1381" s="616">
        <f t="shared" si="1038"/>
        <v>7282397234.0068893</v>
      </c>
      <c r="Q1381" s="472">
        <f t="shared" si="1039"/>
        <v>7684820360.1596851</v>
      </c>
      <c r="R1381" s="472">
        <f t="shared" si="1040"/>
        <v>1097831480.0228121</v>
      </c>
      <c r="S1381" s="1189">
        <f t="shared" si="1041"/>
        <v>2008</v>
      </c>
      <c r="T1381" s="470">
        <f t="shared" si="1042"/>
        <v>1</v>
      </c>
      <c r="U1381" s="612">
        <f t="shared" si="1043"/>
        <v>1097831480.0228121</v>
      </c>
      <c r="V1381" s="464">
        <f t="shared" si="1044"/>
        <v>2008</v>
      </c>
      <c r="W1381" s="612">
        <f t="shared" si="1045"/>
        <v>6586988880.1368732</v>
      </c>
      <c r="X1381" s="561"/>
      <c r="Y1381" s="449"/>
      <c r="Z1381" s="449"/>
      <c r="AA1381" s="693"/>
      <c r="AB1381" s="452"/>
      <c r="AC1381" s="452"/>
      <c r="AD1381" s="571"/>
      <c r="AE1381" s="452"/>
      <c r="AF1381" s="571"/>
      <c r="AG1381" s="452"/>
      <c r="AH1381" s="452"/>
      <c r="AI1381" s="453"/>
      <c r="AJ1381" s="449"/>
      <c r="AK1381" s="453"/>
      <c r="AL1381" s="454"/>
      <c r="AM1381" s="455"/>
      <c r="AN1381" s="456"/>
      <c r="AO1381" s="455"/>
      <c r="AP1381" s="452"/>
      <c r="AQ1381" s="457"/>
      <c r="AR1381" s="449"/>
      <c r="AS1381" s="449"/>
      <c r="AT1381" s="452"/>
      <c r="AU1381" s="457"/>
      <c r="AV1381" s="449"/>
      <c r="AW1381" s="458"/>
      <c r="AX1381" s="452"/>
      <c r="AY1381" s="457"/>
      <c r="AZ1381" s="449"/>
      <c r="BA1381" s="459"/>
      <c r="BB1381" s="455"/>
      <c r="BC1381" s="460"/>
      <c r="BD1381" s="460"/>
      <c r="BG1381" s="462"/>
    </row>
    <row r="1382" spans="1:59" s="461" customFormat="1" ht="18" customHeight="1" x14ac:dyDescent="0.2">
      <c r="A1382" s="1368" t="str">
        <f t="shared" si="1030"/>
        <v>KOTO BARU - SUKA MAJU2009</v>
      </c>
      <c r="B1382" s="1373"/>
      <c r="C1382" s="488" t="s">
        <v>5164</v>
      </c>
      <c r="D1382" s="489"/>
      <c r="E1382" s="558"/>
      <c r="F1382" s="559">
        <v>2009</v>
      </c>
      <c r="G1382" s="619">
        <v>1544547336.9437099</v>
      </c>
      <c r="H1382" s="464">
        <f t="shared" si="1031"/>
        <v>6</v>
      </c>
      <c r="I1382" s="560"/>
      <c r="J1382" s="468">
        <f t="shared" si="1032"/>
        <v>2016</v>
      </c>
      <c r="K1382" s="490">
        <f t="shared" si="1033"/>
        <v>0.23448458241690781</v>
      </c>
      <c r="L1382" s="469">
        <f t="shared" si="1034"/>
        <v>2</v>
      </c>
      <c r="M1382" s="683">
        <f t="shared" si="1035"/>
        <v>2</v>
      </c>
      <c r="N1382" s="470">
        <f t="shared" si="1036"/>
        <v>8</v>
      </c>
      <c r="O1382" s="468">
        <f t="shared" si="1037"/>
        <v>2016</v>
      </c>
      <c r="P1382" s="616">
        <f t="shared" si="1038"/>
        <v>6586988880.1368732</v>
      </c>
      <c r="Q1382" s="472">
        <f t="shared" si="1039"/>
        <v>8131536217.0805836</v>
      </c>
      <c r="R1382" s="472">
        <f t="shared" si="1040"/>
        <v>1016442027.1350729</v>
      </c>
      <c r="S1382" s="1189">
        <f t="shared" si="1041"/>
        <v>2009</v>
      </c>
      <c r="T1382" s="470">
        <f t="shared" si="1042"/>
        <v>1</v>
      </c>
      <c r="U1382" s="612">
        <f t="shared" si="1043"/>
        <v>1016442027.1350729</v>
      </c>
      <c r="V1382" s="464">
        <f t="shared" si="1044"/>
        <v>2009</v>
      </c>
      <c r="W1382" s="612">
        <f t="shared" si="1045"/>
        <v>7115094189.9455109</v>
      </c>
      <c r="X1382" s="561"/>
      <c r="Y1382" s="449"/>
      <c r="Z1382" s="449"/>
      <c r="AA1382" s="693"/>
      <c r="AB1382" s="452"/>
      <c r="AC1382" s="452"/>
      <c r="AD1382" s="571"/>
      <c r="AE1382" s="452"/>
      <c r="AF1382" s="571"/>
      <c r="AG1382" s="452"/>
      <c r="AH1382" s="452"/>
      <c r="AI1382" s="453"/>
      <c r="AJ1382" s="449"/>
      <c r="AK1382" s="453"/>
      <c r="AL1382" s="454"/>
      <c r="AM1382" s="455"/>
      <c r="AN1382" s="456"/>
      <c r="AO1382" s="455"/>
      <c r="AP1382" s="452"/>
      <c r="AQ1382" s="457"/>
      <c r="AR1382" s="449"/>
      <c r="AS1382" s="449"/>
      <c r="AT1382" s="452"/>
      <c r="AU1382" s="457"/>
      <c r="AV1382" s="449"/>
      <c r="AW1382" s="458"/>
      <c r="AX1382" s="452"/>
      <c r="AY1382" s="457"/>
      <c r="AZ1382" s="449"/>
      <c r="BA1382" s="459"/>
      <c r="BB1382" s="455"/>
      <c r="BC1382" s="460"/>
      <c r="BD1382" s="460"/>
      <c r="BG1382" s="462"/>
    </row>
    <row r="1383" spans="1:59" s="461" customFormat="1" ht="18" customHeight="1" x14ac:dyDescent="0.2">
      <c r="A1383" s="1368" t="str">
        <f t="shared" si="1030"/>
        <v>KOTO BARU - SUKA MAJU2010</v>
      </c>
      <c r="B1383" s="1373"/>
      <c r="C1383" s="488"/>
      <c r="D1383" s="489"/>
      <c r="E1383" s="558"/>
      <c r="F1383" s="559">
        <v>2010</v>
      </c>
      <c r="G1383" s="619">
        <v>0</v>
      </c>
      <c r="H1383" s="464">
        <f t="shared" si="1031"/>
        <v>7</v>
      </c>
      <c r="I1383" s="560"/>
      <c r="J1383" s="468">
        <f t="shared" si="1032"/>
        <v>2016</v>
      </c>
      <c r="K1383" s="490">
        <f t="shared" si="1033"/>
        <v>0</v>
      </c>
      <c r="L1383" s="469">
        <f t="shared" si="1034"/>
        <v>0</v>
      </c>
      <c r="M1383" s="683">
        <f t="shared" si="1035"/>
        <v>0</v>
      </c>
      <c r="N1383" s="470">
        <f t="shared" si="1036"/>
        <v>7</v>
      </c>
      <c r="O1383" s="468">
        <f t="shared" si="1037"/>
        <v>2016</v>
      </c>
      <c r="P1383" s="616">
        <f t="shared" si="1038"/>
        <v>7115094189.9455109</v>
      </c>
      <c r="Q1383" s="472">
        <f t="shared" si="1039"/>
        <v>7115094189.9455109</v>
      </c>
      <c r="R1383" s="472">
        <f t="shared" si="1040"/>
        <v>1016442027.1350729</v>
      </c>
      <c r="S1383" s="1189">
        <f t="shared" si="1041"/>
        <v>2010</v>
      </c>
      <c r="T1383" s="470">
        <f t="shared" si="1042"/>
        <v>1</v>
      </c>
      <c r="U1383" s="612">
        <f t="shared" si="1043"/>
        <v>1016442027.1350729</v>
      </c>
      <c r="V1383" s="464">
        <f t="shared" si="1044"/>
        <v>2010</v>
      </c>
      <c r="W1383" s="612">
        <f t="shared" si="1045"/>
        <v>6098652162.8104382</v>
      </c>
      <c r="X1383" s="561"/>
      <c r="Y1383" s="449"/>
      <c r="Z1383" s="449"/>
      <c r="AA1383" s="693"/>
      <c r="AB1383" s="452"/>
      <c r="AC1383" s="452"/>
      <c r="AD1383" s="571"/>
      <c r="AE1383" s="452"/>
      <c r="AF1383" s="571"/>
      <c r="AG1383" s="452"/>
      <c r="AH1383" s="452"/>
      <c r="AI1383" s="453"/>
      <c r="AJ1383" s="449"/>
      <c r="AK1383" s="453"/>
      <c r="AL1383" s="454"/>
      <c r="AM1383" s="455"/>
      <c r="AN1383" s="456"/>
      <c r="AO1383" s="455"/>
      <c r="AP1383" s="452"/>
      <c r="AQ1383" s="457"/>
      <c r="AR1383" s="449"/>
      <c r="AS1383" s="449"/>
      <c r="AT1383" s="452"/>
      <c r="AU1383" s="457"/>
      <c r="AV1383" s="449"/>
      <c r="AW1383" s="458"/>
      <c r="AX1383" s="452"/>
      <c r="AY1383" s="457"/>
      <c r="AZ1383" s="449"/>
      <c r="BA1383" s="459"/>
      <c r="BB1383" s="455"/>
      <c r="BC1383" s="460"/>
      <c r="BD1383" s="460"/>
      <c r="BG1383" s="462"/>
    </row>
    <row r="1384" spans="1:59" s="461" customFormat="1" ht="18" customHeight="1" x14ac:dyDescent="0.2">
      <c r="A1384" s="1368" t="str">
        <f t="shared" si="1030"/>
        <v>KOTO BARU - SUKA MAJU2011</v>
      </c>
      <c r="B1384" s="1373"/>
      <c r="C1384" s="488"/>
      <c r="D1384" s="489"/>
      <c r="E1384" s="558"/>
      <c r="F1384" s="559">
        <v>2011</v>
      </c>
      <c r="G1384" s="619">
        <v>0</v>
      </c>
      <c r="H1384" s="464">
        <f t="shared" si="1031"/>
        <v>6</v>
      </c>
      <c r="I1384" s="560"/>
      <c r="J1384" s="468">
        <f t="shared" si="1032"/>
        <v>2016</v>
      </c>
      <c r="K1384" s="490">
        <f t="shared" si="1033"/>
        <v>0</v>
      </c>
      <c r="L1384" s="469">
        <f t="shared" si="1034"/>
        <v>0</v>
      </c>
      <c r="M1384" s="683">
        <f t="shared" si="1035"/>
        <v>0</v>
      </c>
      <c r="N1384" s="470">
        <f t="shared" si="1036"/>
        <v>6</v>
      </c>
      <c r="O1384" s="468">
        <f t="shared" si="1037"/>
        <v>2016</v>
      </c>
      <c r="P1384" s="616">
        <f t="shared" si="1038"/>
        <v>6098652162.8104382</v>
      </c>
      <c r="Q1384" s="472">
        <f t="shared" si="1039"/>
        <v>6098652162.8104382</v>
      </c>
      <c r="R1384" s="472">
        <f t="shared" si="1040"/>
        <v>1016442027.1350729</v>
      </c>
      <c r="S1384" s="1189">
        <f t="shared" si="1041"/>
        <v>2011</v>
      </c>
      <c r="T1384" s="470">
        <f t="shared" si="1042"/>
        <v>1</v>
      </c>
      <c r="U1384" s="612">
        <f t="shared" si="1043"/>
        <v>1016442027.1350729</v>
      </c>
      <c r="V1384" s="464">
        <f t="shared" si="1044"/>
        <v>2011</v>
      </c>
      <c r="W1384" s="612">
        <f t="shared" si="1045"/>
        <v>5082210135.6753654</v>
      </c>
      <c r="X1384" s="561"/>
      <c r="Y1384" s="449"/>
      <c r="Z1384" s="449"/>
      <c r="AA1384" s="693"/>
      <c r="AB1384" s="452"/>
      <c r="AC1384" s="452"/>
      <c r="AD1384" s="571"/>
      <c r="AE1384" s="452"/>
      <c r="AF1384" s="571"/>
      <c r="AG1384" s="452"/>
      <c r="AH1384" s="452"/>
      <c r="AI1384" s="453"/>
      <c r="AJ1384" s="449"/>
      <c r="AK1384" s="453"/>
      <c r="AL1384" s="454"/>
      <c r="AM1384" s="455"/>
      <c r="AN1384" s="456"/>
      <c r="AO1384" s="455"/>
      <c r="AP1384" s="452"/>
      <c r="AQ1384" s="457"/>
      <c r="AR1384" s="449"/>
      <c r="AS1384" s="449"/>
      <c r="AT1384" s="452"/>
      <c r="AU1384" s="457"/>
      <c r="AV1384" s="449"/>
      <c r="AW1384" s="458"/>
      <c r="AX1384" s="452"/>
      <c r="AY1384" s="457"/>
      <c r="AZ1384" s="449"/>
      <c r="BA1384" s="459"/>
      <c r="BB1384" s="455"/>
      <c r="BC1384" s="460"/>
      <c r="BD1384" s="460"/>
      <c r="BG1384" s="462"/>
    </row>
    <row r="1385" spans="1:59" s="461" customFormat="1" ht="18" customHeight="1" x14ac:dyDescent="0.2">
      <c r="A1385" s="1368" t="str">
        <f t="shared" si="1030"/>
        <v>KOTO BARU - SUKA MAJU2012</v>
      </c>
      <c r="B1385" s="1373">
        <v>3</v>
      </c>
      <c r="C1385" s="488" t="s">
        <v>5069</v>
      </c>
      <c r="D1385" s="489" t="s">
        <v>3821</v>
      </c>
      <c r="E1385" s="558"/>
      <c r="F1385" s="559">
        <v>2012</v>
      </c>
      <c r="G1385" s="619">
        <v>1311829019.6666667</v>
      </c>
      <c r="H1385" s="464">
        <f t="shared" si="1031"/>
        <v>5</v>
      </c>
      <c r="I1385" s="560"/>
      <c r="J1385" s="468">
        <f t="shared" si="1032"/>
        <v>2018</v>
      </c>
      <c r="K1385" s="490">
        <f t="shared" si="1033"/>
        <v>0.25812175896822498</v>
      </c>
      <c r="L1385" s="469">
        <f t="shared" si="1034"/>
        <v>2</v>
      </c>
      <c r="M1385" s="683">
        <f t="shared" si="1035"/>
        <v>2</v>
      </c>
      <c r="N1385" s="470">
        <f t="shared" si="1036"/>
        <v>7</v>
      </c>
      <c r="O1385" s="468">
        <f t="shared" si="1037"/>
        <v>2018</v>
      </c>
      <c r="P1385" s="616">
        <f t="shared" si="1038"/>
        <v>5082210135.6753654</v>
      </c>
      <c r="Q1385" s="472">
        <f t="shared" si="1039"/>
        <v>6394039155.3420324</v>
      </c>
      <c r="R1385" s="472">
        <f t="shared" si="1040"/>
        <v>913434165.04886174</v>
      </c>
      <c r="S1385" s="1189">
        <f t="shared" si="1041"/>
        <v>2012</v>
      </c>
      <c r="T1385" s="470">
        <f t="shared" si="1042"/>
        <v>1</v>
      </c>
      <c r="U1385" s="612">
        <f t="shared" si="1043"/>
        <v>913434165.04886174</v>
      </c>
      <c r="V1385" s="464">
        <f t="shared" si="1044"/>
        <v>2012</v>
      </c>
      <c r="W1385" s="612">
        <f t="shared" si="1045"/>
        <v>5480604990.2931709</v>
      </c>
      <c r="X1385" s="561"/>
      <c r="Y1385" s="449"/>
      <c r="Z1385" s="449"/>
      <c r="AA1385" s="693"/>
      <c r="AB1385" s="452"/>
      <c r="AC1385" s="452"/>
      <c r="AD1385" s="571"/>
      <c r="AE1385" s="452"/>
      <c r="AF1385" s="571"/>
      <c r="AG1385" s="452"/>
      <c r="AH1385" s="452"/>
      <c r="AI1385" s="453"/>
      <c r="AJ1385" s="449"/>
      <c r="AK1385" s="453"/>
      <c r="AL1385" s="454"/>
      <c r="AM1385" s="455"/>
      <c r="AN1385" s="456"/>
      <c r="AO1385" s="455"/>
      <c r="AP1385" s="452"/>
      <c r="AQ1385" s="457"/>
      <c r="AR1385" s="449"/>
      <c r="AS1385" s="449"/>
      <c r="AT1385" s="452"/>
      <c r="AU1385" s="457"/>
      <c r="AV1385" s="449"/>
      <c r="AW1385" s="458"/>
      <c r="AX1385" s="452"/>
      <c r="AY1385" s="457"/>
      <c r="AZ1385" s="449"/>
      <c r="BA1385" s="459"/>
      <c r="BB1385" s="455"/>
      <c r="BC1385" s="460"/>
      <c r="BD1385" s="460"/>
      <c r="BG1385" s="462"/>
    </row>
    <row r="1386" spans="1:59" s="461" customFormat="1" ht="18" customHeight="1" x14ac:dyDescent="0.2">
      <c r="A1386" s="1368" t="str">
        <f t="shared" si="1030"/>
        <v>KOTO BARU - SUKA MAJU2013</v>
      </c>
      <c r="B1386" s="1373"/>
      <c r="C1386" s="488"/>
      <c r="D1386" s="489"/>
      <c r="E1386" s="558"/>
      <c r="F1386" s="559">
        <v>2013</v>
      </c>
      <c r="G1386" s="619">
        <v>0</v>
      </c>
      <c r="H1386" s="464">
        <f t="shared" si="1031"/>
        <v>6</v>
      </c>
      <c r="I1386" s="560"/>
      <c r="J1386" s="468">
        <f t="shared" si="1032"/>
        <v>2018</v>
      </c>
      <c r="K1386" s="490">
        <f t="shared" si="1033"/>
        <v>0</v>
      </c>
      <c r="L1386" s="469">
        <f t="shared" si="1034"/>
        <v>0</v>
      </c>
      <c r="M1386" s="683">
        <f t="shared" si="1035"/>
        <v>0</v>
      </c>
      <c r="N1386" s="470">
        <f t="shared" si="1036"/>
        <v>6</v>
      </c>
      <c r="O1386" s="468">
        <f t="shared" si="1037"/>
        <v>2018</v>
      </c>
      <c r="P1386" s="616">
        <f t="shared" si="1038"/>
        <v>5480604990.2931709</v>
      </c>
      <c r="Q1386" s="472">
        <f t="shared" si="1039"/>
        <v>5480604990.2931709</v>
      </c>
      <c r="R1386" s="472">
        <f t="shared" si="1040"/>
        <v>913434165.04886174</v>
      </c>
      <c r="S1386" s="1189">
        <f t="shared" si="1041"/>
        <v>2013</v>
      </c>
      <c r="T1386" s="470">
        <f t="shared" si="1042"/>
        <v>1</v>
      </c>
      <c r="U1386" s="612">
        <f t="shared" si="1043"/>
        <v>913434165.04886174</v>
      </c>
      <c r="V1386" s="464">
        <f t="shared" si="1044"/>
        <v>2013</v>
      </c>
      <c r="W1386" s="612">
        <f t="shared" si="1045"/>
        <v>4567170825.2443094</v>
      </c>
      <c r="X1386" s="561"/>
      <c r="Y1386" s="449"/>
      <c r="Z1386" s="449"/>
      <c r="AA1386" s="693"/>
      <c r="AB1386" s="452"/>
      <c r="AC1386" s="452"/>
      <c r="AD1386" s="571"/>
      <c r="AE1386" s="452"/>
      <c r="AF1386" s="571"/>
      <c r="AG1386" s="452"/>
      <c r="AH1386" s="452"/>
      <c r="AI1386" s="453"/>
      <c r="AJ1386" s="449"/>
      <c r="AK1386" s="453"/>
      <c r="AL1386" s="454"/>
      <c r="AM1386" s="455"/>
      <c r="AN1386" s="456"/>
      <c r="AO1386" s="455"/>
      <c r="AP1386" s="452"/>
      <c r="AQ1386" s="457"/>
      <c r="AR1386" s="449"/>
      <c r="AS1386" s="449"/>
      <c r="AT1386" s="452"/>
      <c r="AU1386" s="457"/>
      <c r="AV1386" s="449"/>
      <c r="AW1386" s="458"/>
      <c r="AX1386" s="452"/>
      <c r="AY1386" s="457"/>
      <c r="AZ1386" s="449"/>
      <c r="BA1386" s="459"/>
      <c r="BB1386" s="455"/>
      <c r="BC1386" s="460"/>
      <c r="BD1386" s="460"/>
      <c r="BG1386" s="462"/>
    </row>
    <row r="1387" spans="1:59" s="486" customFormat="1" ht="18" customHeight="1" x14ac:dyDescent="0.2">
      <c r="A1387" s="1368" t="str">
        <f t="shared" si="1030"/>
        <v>KOTO BARU - SUKA MAJU2014</v>
      </c>
      <c r="B1387" s="1373">
        <v>4</v>
      </c>
      <c r="C1387" s="488" t="s">
        <v>1300</v>
      </c>
      <c r="D1387" s="489" t="s">
        <v>3821</v>
      </c>
      <c r="E1387" s="558"/>
      <c r="F1387" s="559">
        <v>2014</v>
      </c>
      <c r="G1387" s="619">
        <v>1872278823</v>
      </c>
      <c r="H1387" s="464">
        <f t="shared" si="1031"/>
        <v>5</v>
      </c>
      <c r="I1387" s="560"/>
      <c r="J1387" s="468">
        <f t="shared" si="1032"/>
        <v>2023</v>
      </c>
      <c r="K1387" s="490">
        <f t="shared" si="1033"/>
        <v>0.40994280587257148</v>
      </c>
      <c r="L1387" s="469">
        <f t="shared" si="1034"/>
        <v>5</v>
      </c>
      <c r="M1387" s="683">
        <f t="shared" si="1035"/>
        <v>5</v>
      </c>
      <c r="N1387" s="470">
        <f t="shared" si="1036"/>
        <v>10</v>
      </c>
      <c r="O1387" s="468">
        <f t="shared" si="1037"/>
        <v>2023</v>
      </c>
      <c r="P1387" s="616">
        <f t="shared" si="1038"/>
        <v>4567170825.2443094</v>
      </c>
      <c r="Q1387" s="472">
        <f t="shared" si="1039"/>
        <v>6439449648.2443094</v>
      </c>
      <c r="R1387" s="472">
        <f t="shared" si="1040"/>
        <v>643944964.82443094</v>
      </c>
      <c r="S1387" s="1189">
        <f t="shared" si="1041"/>
        <v>2014</v>
      </c>
      <c r="T1387" s="470">
        <f t="shared" si="1042"/>
        <v>1</v>
      </c>
      <c r="U1387" s="612">
        <f t="shared" si="1043"/>
        <v>643944964.82443094</v>
      </c>
      <c r="V1387" s="464">
        <f t="shared" si="1044"/>
        <v>2014</v>
      </c>
      <c r="W1387" s="612">
        <f t="shared" si="1045"/>
        <v>5795504683.419878</v>
      </c>
      <c r="X1387" s="561"/>
      <c r="Y1387" s="474"/>
      <c r="Z1387" s="449"/>
      <c r="AA1387" s="739"/>
      <c r="AB1387" s="496"/>
      <c r="AC1387" s="496"/>
      <c r="AD1387" s="740"/>
      <c r="AE1387" s="476"/>
      <c r="AF1387" s="568"/>
      <c r="AG1387" s="476"/>
      <c r="AH1387" s="476"/>
      <c r="AI1387" s="477"/>
      <c r="AJ1387" s="478"/>
      <c r="AK1387" s="479"/>
      <c r="AL1387" s="480"/>
      <c r="AM1387" s="474"/>
      <c r="AN1387" s="481"/>
      <c r="AO1387" s="474"/>
      <c r="AP1387" s="476"/>
      <c r="AQ1387" s="482"/>
      <c r="AR1387" s="478"/>
      <c r="AS1387" s="478"/>
      <c r="AT1387" s="476"/>
      <c r="AU1387" s="482"/>
      <c r="AV1387" s="478"/>
      <c r="AW1387" s="483"/>
      <c r="AX1387" s="476"/>
      <c r="AY1387" s="482"/>
      <c r="AZ1387" s="478"/>
      <c r="BA1387" s="484"/>
      <c r="BB1387" s="474"/>
      <c r="BC1387" s="485"/>
      <c r="BD1387" s="485"/>
      <c r="BG1387" s="487"/>
    </row>
    <row r="1388" spans="1:59" s="486" customFormat="1" ht="18" customHeight="1" x14ac:dyDescent="0.2">
      <c r="A1388" s="1368" t="str">
        <f t="shared" si="1030"/>
        <v>KOTO BARU - SUKA MAJU2015</v>
      </c>
      <c r="B1388" s="1373"/>
      <c r="C1388" s="488"/>
      <c r="D1388" s="489"/>
      <c r="E1388" s="558"/>
      <c r="F1388" s="559">
        <v>2015</v>
      </c>
      <c r="G1388" s="619">
        <v>0</v>
      </c>
      <c r="H1388" s="464">
        <f t="shared" si="1031"/>
        <v>9</v>
      </c>
      <c r="I1388" s="560"/>
      <c r="J1388" s="468">
        <f t="shared" si="1032"/>
        <v>2023</v>
      </c>
      <c r="K1388" s="490">
        <f t="shared" si="1033"/>
        <v>0</v>
      </c>
      <c r="L1388" s="469">
        <f t="shared" si="1034"/>
        <v>0</v>
      </c>
      <c r="M1388" s="683">
        <f t="shared" si="1035"/>
        <v>0</v>
      </c>
      <c r="N1388" s="470">
        <f t="shared" si="1036"/>
        <v>9</v>
      </c>
      <c r="O1388" s="468">
        <f t="shared" si="1037"/>
        <v>2023</v>
      </c>
      <c r="P1388" s="616">
        <f t="shared" si="1038"/>
        <v>5795504683.419878</v>
      </c>
      <c r="Q1388" s="472">
        <f t="shared" si="1039"/>
        <v>5795504683.419878</v>
      </c>
      <c r="R1388" s="472">
        <f t="shared" si="1040"/>
        <v>643944964.82443094</v>
      </c>
      <c r="S1388" s="1189">
        <f t="shared" si="1041"/>
        <v>2015</v>
      </c>
      <c r="T1388" s="470">
        <f t="shared" si="1042"/>
        <v>1</v>
      </c>
      <c r="U1388" s="612">
        <f t="shared" si="1043"/>
        <v>643944964.82443094</v>
      </c>
      <c r="V1388" s="464">
        <f t="shared" si="1044"/>
        <v>2015</v>
      </c>
      <c r="W1388" s="612">
        <f t="shared" si="1045"/>
        <v>5151559718.5954475</v>
      </c>
      <c r="X1388" s="561"/>
      <c r="Y1388" s="474"/>
      <c r="Z1388" s="449"/>
      <c r="AA1388" s="554" t="s">
        <v>4179</v>
      </c>
      <c r="AB1388" s="476"/>
      <c r="AC1388" s="476"/>
      <c r="AD1388" s="567"/>
      <c r="AE1388" s="476"/>
      <c r="AF1388" s="568"/>
      <c r="AG1388" s="476"/>
      <c r="AH1388" s="476"/>
      <c r="AI1388" s="477"/>
      <c r="AJ1388" s="478"/>
      <c r="AK1388" s="479"/>
      <c r="AL1388" s="480"/>
      <c r="AM1388" s="474"/>
      <c r="AN1388" s="481"/>
      <c r="AO1388" s="474"/>
      <c r="AP1388" s="476"/>
      <c r="AQ1388" s="482"/>
      <c r="AR1388" s="478"/>
      <c r="AS1388" s="478"/>
      <c r="AT1388" s="476"/>
      <c r="AU1388" s="482"/>
      <c r="AV1388" s="478"/>
      <c r="AW1388" s="483"/>
      <c r="AX1388" s="476"/>
      <c r="AY1388" s="482"/>
      <c r="AZ1388" s="478"/>
      <c r="BA1388" s="484"/>
      <c r="BB1388" s="474"/>
      <c r="BC1388" s="485"/>
      <c r="BD1388" s="485"/>
      <c r="BG1388" s="487"/>
    </row>
    <row r="1389" spans="1:59" s="486" customFormat="1" ht="18" customHeight="1" x14ac:dyDescent="0.2">
      <c r="A1389" s="1368" t="str">
        <f t="shared" si="1030"/>
        <v>KOTO BARU - SUKA MAJU2016</v>
      </c>
      <c r="B1389" s="1373"/>
      <c r="C1389" s="488"/>
      <c r="D1389" s="489"/>
      <c r="E1389" s="558"/>
      <c r="F1389" s="559">
        <v>2016</v>
      </c>
      <c r="G1389" s="619">
        <v>0</v>
      </c>
      <c r="H1389" s="464">
        <f t="shared" si="1031"/>
        <v>8</v>
      </c>
      <c r="I1389" s="560"/>
      <c r="J1389" s="468">
        <f t="shared" si="1032"/>
        <v>2023</v>
      </c>
      <c r="K1389" s="490">
        <f t="shared" si="1033"/>
        <v>0</v>
      </c>
      <c r="L1389" s="469">
        <f t="shared" si="1034"/>
        <v>0</v>
      </c>
      <c r="M1389" s="683">
        <f t="shared" si="1035"/>
        <v>0</v>
      </c>
      <c r="N1389" s="470">
        <f t="shared" si="1036"/>
        <v>8</v>
      </c>
      <c r="O1389" s="468">
        <f t="shared" si="1037"/>
        <v>2023</v>
      </c>
      <c r="P1389" s="616">
        <f t="shared" si="1038"/>
        <v>5151559718.5954475</v>
      </c>
      <c r="Q1389" s="472">
        <f t="shared" si="1039"/>
        <v>5151559718.5954475</v>
      </c>
      <c r="R1389" s="472">
        <f t="shared" si="1040"/>
        <v>643944964.82443094</v>
      </c>
      <c r="S1389" s="1189">
        <f t="shared" si="1041"/>
        <v>2016</v>
      </c>
      <c r="T1389" s="470">
        <f t="shared" si="1042"/>
        <v>1</v>
      </c>
      <c r="U1389" s="612">
        <f t="shared" si="1043"/>
        <v>643944964.82443094</v>
      </c>
      <c r="V1389" s="464">
        <f t="shared" si="1044"/>
        <v>2016</v>
      </c>
      <c r="W1389" s="612">
        <f t="shared" si="1045"/>
        <v>4507614753.7710171</v>
      </c>
      <c r="X1389" s="561"/>
      <c r="Y1389" s="474"/>
      <c r="Z1389" s="449"/>
      <c r="AA1389" s="475"/>
      <c r="AB1389" s="476"/>
      <c r="AC1389" s="476"/>
      <c r="AD1389" s="567"/>
      <c r="AE1389" s="476"/>
      <c r="AF1389" s="568"/>
      <c r="AG1389" s="476"/>
      <c r="AH1389" s="476"/>
      <c r="AI1389" s="477"/>
      <c r="AJ1389" s="478"/>
      <c r="AK1389" s="479"/>
      <c r="AL1389" s="480"/>
      <c r="AM1389" s="474"/>
      <c r="AN1389" s="481"/>
      <c r="AO1389" s="474"/>
      <c r="AP1389" s="476"/>
      <c r="AQ1389" s="482"/>
      <c r="AR1389" s="478"/>
      <c r="AS1389" s="478"/>
      <c r="AT1389" s="476"/>
      <c r="AU1389" s="482"/>
      <c r="AV1389" s="478"/>
      <c r="AW1389" s="483"/>
      <c r="AX1389" s="476"/>
      <c r="AY1389" s="482"/>
      <c r="AZ1389" s="478"/>
      <c r="BA1389" s="484"/>
      <c r="BB1389" s="474"/>
      <c r="BC1389" s="485"/>
      <c r="BD1389" s="485"/>
      <c r="BG1389" s="487"/>
    </row>
    <row r="1390" spans="1:59" s="486" customFormat="1" ht="18" customHeight="1" x14ac:dyDescent="0.2">
      <c r="A1390" s="1368" t="str">
        <f t="shared" si="1030"/>
        <v>KOTO BARU - SUKA MAJU2017</v>
      </c>
      <c r="B1390" s="1373">
        <v>5</v>
      </c>
      <c r="C1390" s="488" t="s">
        <v>3053</v>
      </c>
      <c r="D1390" s="489"/>
      <c r="E1390" s="558"/>
      <c r="F1390" s="559">
        <v>2017</v>
      </c>
      <c r="G1390" s="619">
        <v>190547391</v>
      </c>
      <c r="H1390" s="464">
        <f t="shared" si="1031"/>
        <v>7</v>
      </c>
      <c r="I1390" s="560"/>
      <c r="J1390" s="468">
        <f t="shared" si="1032"/>
        <v>2025</v>
      </c>
      <c r="K1390" s="490">
        <f t="shared" si="1033"/>
        <v>4.2272332798757993E-2</v>
      </c>
      <c r="L1390" s="469">
        <f t="shared" si="1034"/>
        <v>2</v>
      </c>
      <c r="M1390" s="683">
        <f t="shared" si="1035"/>
        <v>2</v>
      </c>
      <c r="N1390" s="470">
        <f t="shared" si="1036"/>
        <v>9</v>
      </c>
      <c r="O1390" s="468">
        <f t="shared" si="1037"/>
        <v>2025</v>
      </c>
      <c r="P1390" s="616">
        <f t="shared" si="1038"/>
        <v>4507614753.7710171</v>
      </c>
      <c r="Q1390" s="472">
        <f t="shared" si="1039"/>
        <v>4698162144.7710171</v>
      </c>
      <c r="R1390" s="472">
        <f t="shared" si="1040"/>
        <v>522018016.08566856</v>
      </c>
      <c r="S1390" s="1189">
        <f t="shared" si="1041"/>
        <v>2017</v>
      </c>
      <c r="T1390" s="470">
        <f t="shared" si="1042"/>
        <v>1</v>
      </c>
      <c r="U1390" s="612">
        <f t="shared" si="1043"/>
        <v>522018016.08566856</v>
      </c>
      <c r="V1390" s="464">
        <f t="shared" si="1044"/>
        <v>2017</v>
      </c>
      <c r="W1390" s="612">
        <f t="shared" si="1045"/>
        <v>4176144128.6853485</v>
      </c>
      <c r="X1390" s="561"/>
      <c r="Y1390" s="474"/>
      <c r="Z1390" s="449"/>
      <c r="AA1390" s="475" t="s">
        <v>4180</v>
      </c>
      <c r="AB1390" s="476"/>
      <c r="AC1390" s="476"/>
      <c r="AD1390" s="567">
        <f>G1395</f>
        <v>40916634237.571442</v>
      </c>
      <c r="AE1390" s="476"/>
      <c r="AF1390" s="568"/>
      <c r="AG1390" s="476"/>
      <c r="AH1390" s="476"/>
      <c r="AI1390" s="477"/>
      <c r="AJ1390" s="478"/>
      <c r="AK1390" s="479"/>
      <c r="AL1390" s="480"/>
      <c r="AM1390" s="474"/>
      <c r="AN1390" s="481"/>
      <c r="AO1390" s="474"/>
      <c r="AP1390" s="476"/>
      <c r="AQ1390" s="482"/>
      <c r="AR1390" s="478"/>
      <c r="AS1390" s="478"/>
      <c r="AT1390" s="476"/>
      <c r="AU1390" s="482"/>
      <c r="AV1390" s="478"/>
      <c r="AW1390" s="483"/>
      <c r="AX1390" s="476"/>
      <c r="AY1390" s="482"/>
      <c r="AZ1390" s="478"/>
      <c r="BA1390" s="484"/>
      <c r="BB1390" s="474"/>
      <c r="BC1390" s="485"/>
      <c r="BD1390" s="485"/>
      <c r="BG1390" s="487"/>
    </row>
    <row r="1391" spans="1:59" s="486" customFormat="1" ht="18" customHeight="1" x14ac:dyDescent="0.2">
      <c r="A1391" s="1368" t="str">
        <f t="shared" si="1030"/>
        <v>KOTO BARU - SUKA MAJU2018</v>
      </c>
      <c r="B1391" s="1373">
        <v>6</v>
      </c>
      <c r="C1391" s="488" t="s">
        <v>3338</v>
      </c>
      <c r="D1391" s="489" t="s">
        <v>3821</v>
      </c>
      <c r="E1391" s="558"/>
      <c r="F1391" s="559">
        <v>2018</v>
      </c>
      <c r="G1391" s="619">
        <v>453937660</v>
      </c>
      <c r="H1391" s="464">
        <f t="shared" si="1031"/>
        <v>8</v>
      </c>
      <c r="I1391" s="560"/>
      <c r="J1391" s="468">
        <f t="shared" si="1032"/>
        <v>2027</v>
      </c>
      <c r="K1391" s="490">
        <f t="shared" si="1033"/>
        <v>0.10869779538545278</v>
      </c>
      <c r="L1391" s="469">
        <f t="shared" si="1034"/>
        <v>2</v>
      </c>
      <c r="M1391" s="683">
        <f t="shared" si="1035"/>
        <v>2</v>
      </c>
      <c r="N1391" s="470">
        <f t="shared" si="1036"/>
        <v>10</v>
      </c>
      <c r="O1391" s="468">
        <f t="shared" si="1037"/>
        <v>2027</v>
      </c>
      <c r="P1391" s="616">
        <f t="shared" si="1038"/>
        <v>4176144128.6853485</v>
      </c>
      <c r="Q1391" s="472">
        <f t="shared" si="1039"/>
        <v>4630081788.6853485</v>
      </c>
      <c r="R1391" s="472">
        <f t="shared" si="1040"/>
        <v>463008178.86853486</v>
      </c>
      <c r="S1391" s="1189">
        <f t="shared" si="1041"/>
        <v>2018</v>
      </c>
      <c r="T1391" s="470">
        <f t="shared" si="1042"/>
        <v>1</v>
      </c>
      <c r="U1391" s="612">
        <f t="shared" si="1043"/>
        <v>463008178.86853486</v>
      </c>
      <c r="V1391" s="464">
        <f t="shared" si="1044"/>
        <v>2018</v>
      </c>
      <c r="W1391" s="612">
        <f t="shared" si="1045"/>
        <v>4167073609.8168135</v>
      </c>
      <c r="X1391" s="473"/>
      <c r="Y1391" s="478"/>
      <c r="Z1391" s="449"/>
      <c r="AA1391" s="475" t="s">
        <v>4181</v>
      </c>
      <c r="AB1391" s="491"/>
      <c r="AC1391" s="491"/>
      <c r="AD1391" s="567">
        <f>U1395</f>
        <v>24305813208.736317</v>
      </c>
      <c r="AE1391" s="491"/>
      <c r="AF1391" s="568"/>
      <c r="AG1391" s="491"/>
      <c r="AH1391" s="491"/>
      <c r="AI1391" s="477"/>
      <c r="AJ1391" s="478"/>
      <c r="AK1391" s="479"/>
      <c r="AL1391" s="480"/>
      <c r="AM1391" s="474"/>
      <c r="AN1391" s="481"/>
      <c r="AO1391" s="474"/>
      <c r="AP1391" s="476"/>
      <c r="AQ1391" s="482"/>
      <c r="AR1391" s="478"/>
      <c r="AS1391" s="478"/>
      <c r="AT1391" s="476"/>
      <c r="AU1391" s="482"/>
      <c r="AV1391" s="478"/>
      <c r="AW1391" s="483"/>
      <c r="AX1391" s="476"/>
      <c r="AY1391" s="482"/>
      <c r="AZ1391" s="478"/>
      <c r="BA1391" s="484"/>
      <c r="BB1391" s="474"/>
      <c r="BC1391" s="485"/>
      <c r="BD1391" s="485"/>
      <c r="BG1391" s="487"/>
    </row>
    <row r="1392" spans="1:59" s="486" customFormat="1" ht="18" customHeight="1" x14ac:dyDescent="0.2">
      <c r="A1392" s="1368" t="str">
        <f t="shared" si="1030"/>
        <v>KOTO BARU - SUKA MAJU2019</v>
      </c>
      <c r="B1392" s="1373">
        <v>7</v>
      </c>
      <c r="C1392" s="488" t="s">
        <v>5711</v>
      </c>
      <c r="D1392" s="489"/>
      <c r="E1392" s="558"/>
      <c r="F1392" s="466">
        <v>2019</v>
      </c>
      <c r="G1392" s="619">
        <v>14289394200</v>
      </c>
      <c r="H1392" s="464">
        <f t="shared" si="1031"/>
        <v>9</v>
      </c>
      <c r="I1392" s="560"/>
      <c r="J1392" s="468">
        <f t="shared" si="1032"/>
        <v>2028</v>
      </c>
      <c r="K1392" s="490">
        <f t="shared" si="1033"/>
        <v>3.429119698374651</v>
      </c>
      <c r="L1392" s="469">
        <f t="shared" si="1034"/>
        <v>10</v>
      </c>
      <c r="M1392" s="683">
        <f t="shared" si="1035"/>
        <v>1</v>
      </c>
      <c r="N1392" s="470">
        <f t="shared" si="1036"/>
        <v>10</v>
      </c>
      <c r="O1392" s="468">
        <f t="shared" si="1037"/>
        <v>2028</v>
      </c>
      <c r="P1392" s="616">
        <f t="shared" si="1038"/>
        <v>4167073609.8168135</v>
      </c>
      <c r="Q1392" s="472">
        <f t="shared" si="1039"/>
        <v>18456467809.816814</v>
      </c>
      <c r="R1392" s="472">
        <f t="shared" si="1040"/>
        <v>1845646780.9816813</v>
      </c>
      <c r="S1392" s="1189">
        <f t="shared" si="1041"/>
        <v>2019</v>
      </c>
      <c r="T1392" s="470">
        <f t="shared" si="1042"/>
        <v>1</v>
      </c>
      <c r="U1392" s="612">
        <f t="shared" si="1043"/>
        <v>1845646780.9816813</v>
      </c>
      <c r="V1392" s="464">
        <f t="shared" si="1044"/>
        <v>2019</v>
      </c>
      <c r="W1392" s="612">
        <f t="shared" si="1045"/>
        <v>16610821028.835133</v>
      </c>
      <c r="X1392" s="473"/>
      <c r="Y1392" s="478"/>
      <c r="Z1392" s="449"/>
      <c r="AA1392" s="492" t="s">
        <v>4182</v>
      </c>
      <c r="AB1392" s="476"/>
      <c r="AC1392" s="476"/>
      <c r="AD1392" s="567">
        <f>AD1390-AD1391</f>
        <v>16610821028.835125</v>
      </c>
      <c r="AE1392" s="476"/>
      <c r="AF1392" s="568"/>
      <c r="AG1392" s="476"/>
      <c r="AH1392" s="476"/>
      <c r="AI1392" s="477"/>
      <c r="AJ1392" s="478"/>
      <c r="AK1392" s="479"/>
      <c r="AL1392" s="480"/>
      <c r="AM1392" s="474"/>
      <c r="AN1392" s="481"/>
      <c r="AO1392" s="474"/>
      <c r="AP1392" s="476"/>
      <c r="AQ1392" s="482"/>
      <c r="AR1392" s="478"/>
      <c r="AS1392" s="478"/>
      <c r="AT1392" s="476"/>
      <c r="AU1392" s="482"/>
      <c r="AV1392" s="478"/>
      <c r="AW1392" s="483"/>
      <c r="AX1392" s="476"/>
      <c r="AY1392" s="482"/>
      <c r="AZ1392" s="478"/>
      <c r="BA1392" s="484"/>
      <c r="BB1392" s="474"/>
      <c r="BC1392" s="485"/>
      <c r="BD1392" s="485"/>
      <c r="BG1392" s="487"/>
    </row>
    <row r="1393" spans="1:59" s="486" customFormat="1" ht="18" customHeight="1" x14ac:dyDescent="0.2">
      <c r="A1393" s="1368" t="str">
        <f>LEFT(D1393,8)</f>
        <v/>
      </c>
      <c r="B1393" s="687"/>
      <c r="C1393" s="463"/>
      <c r="D1393" s="489"/>
      <c r="E1393" s="465"/>
      <c r="F1393" s="466"/>
      <c r="G1393" s="620">
        <v>0</v>
      </c>
      <c r="H1393" s="464"/>
      <c r="I1393" s="467"/>
      <c r="J1393" s="468"/>
      <c r="K1393" s="574"/>
      <c r="L1393" s="469"/>
      <c r="M1393" s="683"/>
      <c r="N1393" s="470"/>
      <c r="O1393" s="468"/>
      <c r="P1393" s="616"/>
      <c r="Q1393" s="472"/>
      <c r="R1393" s="472"/>
      <c r="S1393" s="634"/>
      <c r="T1393" s="470"/>
      <c r="U1393" s="612"/>
      <c r="V1393" s="464"/>
      <c r="W1393" s="612"/>
      <c r="X1393" s="473"/>
      <c r="Y1393" s="478"/>
      <c r="Z1393" s="449"/>
      <c r="AA1393" s="531" t="s">
        <v>4183</v>
      </c>
      <c r="AB1393" s="496"/>
      <c r="AC1393" s="496"/>
      <c r="AD1393" s="569">
        <f>AD1392-W1395</f>
        <v>0</v>
      </c>
      <c r="AE1393" s="476"/>
      <c r="AF1393" s="568"/>
      <c r="AG1393" s="476"/>
      <c r="AH1393" s="476"/>
      <c r="AI1393" s="477"/>
      <c r="AJ1393" s="478"/>
      <c r="AK1393" s="479"/>
      <c r="AL1393" s="480"/>
      <c r="AM1393" s="474"/>
      <c r="AN1393" s="481"/>
      <c r="AO1393" s="474"/>
      <c r="AP1393" s="476"/>
      <c r="AQ1393" s="482"/>
      <c r="AR1393" s="478"/>
      <c r="AS1393" s="478"/>
      <c r="AT1393" s="476"/>
      <c r="AU1393" s="482"/>
      <c r="AV1393" s="478"/>
      <c r="AW1393" s="483"/>
      <c r="AX1393" s="476"/>
      <c r="AY1393" s="482"/>
      <c r="AZ1393" s="478"/>
      <c r="BA1393" s="484"/>
      <c r="BB1393" s="474"/>
      <c r="BC1393" s="485"/>
      <c r="BD1393" s="485"/>
      <c r="BG1393" s="487"/>
    </row>
    <row r="1394" spans="1:59" s="486" customFormat="1" ht="18" customHeight="1" x14ac:dyDescent="0.2">
      <c r="A1394" s="1368" t="str">
        <f>LEFT(D1394,8)</f>
        <v/>
      </c>
      <c r="B1394" s="687"/>
      <c r="C1394" s="463"/>
      <c r="D1394" s="489"/>
      <c r="E1394" s="465"/>
      <c r="F1394" s="466"/>
      <c r="G1394" s="620"/>
      <c r="H1394" s="464"/>
      <c r="I1394" s="467"/>
      <c r="J1394" s="468"/>
      <c r="K1394" s="574"/>
      <c r="L1394" s="469"/>
      <c r="M1394" s="683"/>
      <c r="N1394" s="470"/>
      <c r="O1394" s="468"/>
      <c r="P1394" s="616"/>
      <c r="Q1394" s="472"/>
      <c r="R1394" s="472"/>
      <c r="S1394" s="634"/>
      <c r="T1394" s="470"/>
      <c r="U1394" s="612"/>
      <c r="V1394" s="464"/>
      <c r="W1394" s="612"/>
      <c r="X1394" s="473"/>
      <c r="Y1394" s="478"/>
      <c r="Z1394" s="449"/>
      <c r="AA1394" s="573"/>
      <c r="AB1394" s="476"/>
      <c r="AC1394" s="476"/>
      <c r="AD1394" s="568"/>
      <c r="AE1394" s="476"/>
      <c r="AF1394" s="568"/>
      <c r="AG1394" s="476"/>
      <c r="AH1394" s="476"/>
      <c r="AI1394" s="477"/>
      <c r="AJ1394" s="478"/>
      <c r="AK1394" s="479"/>
      <c r="AL1394" s="480"/>
      <c r="AM1394" s="474"/>
      <c r="AN1394" s="481"/>
      <c r="AO1394" s="474"/>
      <c r="AP1394" s="476"/>
      <c r="AQ1394" s="482"/>
      <c r="AR1394" s="478"/>
      <c r="AS1394" s="478"/>
      <c r="AT1394" s="476"/>
      <c r="AU1394" s="482"/>
      <c r="AV1394" s="478"/>
      <c r="AW1394" s="483"/>
      <c r="AX1394" s="476"/>
      <c r="AY1394" s="482"/>
      <c r="AZ1394" s="478"/>
      <c r="BA1394" s="484"/>
      <c r="BB1394" s="474"/>
      <c r="BC1394" s="485"/>
      <c r="BD1394" s="485"/>
      <c r="BG1394" s="487"/>
    </row>
    <row r="1395" spans="1:59" s="526" customFormat="1" ht="18" customHeight="1" x14ac:dyDescent="0.2">
      <c r="A1395" s="1370" t="s">
        <v>4184</v>
      </c>
      <c r="B1395" s="1956" t="s">
        <v>4184</v>
      </c>
      <c r="C1395" s="1957"/>
      <c r="D1395" s="1957"/>
      <c r="E1395" s="1957"/>
      <c r="F1395" s="1958"/>
      <c r="G1395" s="624">
        <f>SUM(G1377:G1394)</f>
        <v>40916634237.571442</v>
      </c>
      <c r="H1395" s="505"/>
      <c r="I1395" s="506"/>
      <c r="J1395" s="507"/>
      <c r="K1395" s="507"/>
      <c r="L1395" s="505"/>
      <c r="M1395" s="684"/>
      <c r="N1395" s="508"/>
      <c r="O1395" s="507"/>
      <c r="P1395" s="749"/>
      <c r="Q1395" s="510"/>
      <c r="R1395" s="511"/>
      <c r="S1395" s="512"/>
      <c r="T1395" s="512"/>
      <c r="U1395" s="610">
        <f>SUM(U1377:U1394)</f>
        <v>24305813208.736317</v>
      </c>
      <c r="V1395" s="513"/>
      <c r="W1395" s="610">
        <f>G1395-U1395</f>
        <v>16610821028.835125</v>
      </c>
      <c r="X1395" s="514"/>
      <c r="Y1395" s="515"/>
      <c r="Z1395" s="515"/>
      <c r="AA1395" s="515"/>
      <c r="AB1395" s="515"/>
      <c r="AC1395" s="515"/>
      <c r="AD1395" s="570"/>
      <c r="AE1395" s="515"/>
      <c r="AF1395" s="570">
        <v>16667833510.720001</v>
      </c>
      <c r="AG1395" s="515"/>
      <c r="AH1395" s="515"/>
      <c r="AI1395" s="516"/>
      <c r="AJ1395" s="517"/>
      <c r="AK1395" s="518"/>
      <c r="AL1395" s="519"/>
      <c r="AM1395" s="520"/>
      <c r="AN1395" s="521"/>
      <c r="AO1395" s="520"/>
      <c r="AP1395" s="515"/>
      <c r="AQ1395" s="522"/>
      <c r="AR1395" s="517"/>
      <c r="AS1395" s="517"/>
      <c r="AT1395" s="515"/>
      <c r="AU1395" s="522"/>
      <c r="AV1395" s="517"/>
      <c r="AW1395" s="523"/>
      <c r="AX1395" s="515"/>
      <c r="AY1395" s="522"/>
      <c r="AZ1395" s="517"/>
      <c r="BA1395" s="524"/>
      <c r="BB1395" s="520"/>
      <c r="BC1395" s="525"/>
      <c r="BD1395" s="525"/>
      <c r="BG1395" s="527"/>
    </row>
    <row r="1398" spans="1:59" s="422" customFormat="1" ht="18" customHeight="1" x14ac:dyDescent="0.2">
      <c r="A1398" s="1366">
        <f>C1398</f>
        <v>245</v>
      </c>
      <c r="B1398" s="742" t="s">
        <v>4187</v>
      </c>
      <c r="C1398" s="556">
        <v>245</v>
      </c>
      <c r="D1398" s="553" t="str">
        <f>VLOOKUP(C1398,RUAS,2,FALSE)</f>
        <v>SIMP. 4 PT. WANASARI - SUKAMAJU</v>
      </c>
      <c r="E1398" s="553"/>
      <c r="F1398" s="421"/>
      <c r="G1398" s="611"/>
      <c r="I1398" s="423"/>
      <c r="J1398" s="424"/>
      <c r="K1398" s="424"/>
      <c r="M1398" s="680"/>
      <c r="P1398" s="611"/>
      <c r="U1398" s="611"/>
      <c r="W1398" s="611"/>
      <c r="Y1398" s="425"/>
      <c r="Z1398" s="425"/>
      <c r="AA1398" s="425"/>
      <c r="AB1398" s="425"/>
      <c r="AC1398" s="425"/>
      <c r="AD1398" s="563"/>
      <c r="AE1398" s="425"/>
      <c r="AF1398" s="563"/>
      <c r="AG1398" s="425"/>
      <c r="AH1398" s="425"/>
      <c r="AI1398" s="425"/>
      <c r="AJ1398" s="425"/>
      <c r="AK1398" s="425"/>
      <c r="AL1398" s="425"/>
      <c r="AM1398" s="425"/>
      <c r="AN1398" s="425"/>
      <c r="AO1398" s="425"/>
      <c r="AP1398" s="425"/>
      <c r="AQ1398" s="425"/>
      <c r="AR1398" s="425"/>
      <c r="AS1398" s="425"/>
      <c r="AT1398" s="425"/>
      <c r="AU1398" s="425"/>
      <c r="AV1398" s="425"/>
      <c r="AW1398" s="425"/>
      <c r="AX1398" s="425"/>
      <c r="AY1398" s="425"/>
      <c r="AZ1398" s="425"/>
      <c r="BA1398" s="425"/>
      <c r="BB1398" s="425"/>
    </row>
    <row r="1399" spans="1:59" s="431" customFormat="1" ht="18" customHeight="1" x14ac:dyDescent="0.2">
      <c r="A1399" s="1367"/>
      <c r="B1399" s="1968" t="s">
        <v>5</v>
      </c>
      <c r="C1399" s="1968" t="s">
        <v>2280</v>
      </c>
      <c r="D1399" s="1968" t="s">
        <v>4157</v>
      </c>
      <c r="E1399" s="1968" t="s">
        <v>4158</v>
      </c>
      <c r="F1399" s="1968"/>
      <c r="G1399" s="2042" t="s">
        <v>4159</v>
      </c>
      <c r="H1399" s="1968" t="s">
        <v>4160</v>
      </c>
      <c r="I1399" s="1968"/>
      <c r="J1399" s="1968" t="s">
        <v>4185</v>
      </c>
      <c r="K1399" s="1964" t="s">
        <v>4162</v>
      </c>
      <c r="L1399" s="1968" t="s">
        <v>4163</v>
      </c>
      <c r="M1399" s="1971" t="s">
        <v>4164</v>
      </c>
      <c r="N1399" s="1962" t="s">
        <v>4165</v>
      </c>
      <c r="O1399" s="1968" t="s">
        <v>4166</v>
      </c>
      <c r="P1399" s="1972" t="s">
        <v>4167</v>
      </c>
      <c r="Q1399" s="1973"/>
      <c r="R1399" s="636" t="s">
        <v>4186</v>
      </c>
      <c r="S1399" s="1972" t="s">
        <v>4169</v>
      </c>
      <c r="T1399" s="1974"/>
      <c r="U1399" s="1973"/>
      <c r="V1399" s="1975" t="s">
        <v>4170</v>
      </c>
      <c r="W1399" s="1975"/>
      <c r="X1399" s="1960" t="s">
        <v>4171</v>
      </c>
      <c r="Y1399" s="1959"/>
      <c r="Z1399" s="633"/>
      <c r="AA1399" s="426"/>
      <c r="AB1399" s="426"/>
      <c r="AC1399" s="426"/>
      <c r="AD1399" s="564"/>
      <c r="AE1399" s="426"/>
      <c r="AF1399" s="564"/>
      <c r="AG1399" s="426"/>
      <c r="AH1399" s="426"/>
      <c r="AI1399" s="427"/>
      <c r="AJ1399" s="427"/>
      <c r="AK1399" s="427"/>
      <c r="AL1399" s="427"/>
      <c r="AM1399" s="428"/>
      <c r="AN1399" s="427"/>
      <c r="AO1399" s="427"/>
      <c r="AP1399" s="426"/>
      <c r="AQ1399" s="427"/>
      <c r="AR1399" s="427"/>
      <c r="AS1399" s="427"/>
      <c r="AT1399" s="426"/>
      <c r="AU1399" s="427"/>
      <c r="AV1399" s="427"/>
      <c r="AW1399" s="427"/>
      <c r="AX1399" s="426"/>
      <c r="AY1399" s="427"/>
      <c r="AZ1399" s="427"/>
      <c r="BA1399" s="427"/>
      <c r="BB1399" s="429"/>
      <c r="BC1399" s="430"/>
      <c r="BD1399" s="430"/>
    </row>
    <row r="1400" spans="1:59" s="431" customFormat="1" ht="18" customHeight="1" x14ac:dyDescent="0.2">
      <c r="A1400" s="1367"/>
      <c r="B1400" s="1968"/>
      <c r="C1400" s="1968"/>
      <c r="D1400" s="1968"/>
      <c r="E1400" s="1968"/>
      <c r="F1400" s="1968"/>
      <c r="G1400" s="2042"/>
      <c r="H1400" s="1968"/>
      <c r="I1400" s="1968"/>
      <c r="J1400" s="1968"/>
      <c r="K1400" s="1970"/>
      <c r="L1400" s="1968"/>
      <c r="M1400" s="1971"/>
      <c r="N1400" s="1963"/>
      <c r="O1400" s="1968"/>
      <c r="P1400" s="2037" t="s">
        <v>4172</v>
      </c>
      <c r="Q1400" s="1960" t="s">
        <v>4173</v>
      </c>
      <c r="R1400" s="1962" t="s">
        <v>4159</v>
      </c>
      <c r="S1400" s="1962" t="s">
        <v>4174</v>
      </c>
      <c r="T1400" s="1964" t="s">
        <v>4175</v>
      </c>
      <c r="U1400" s="1966" t="s">
        <v>4159</v>
      </c>
      <c r="V1400" s="1975"/>
      <c r="W1400" s="1975"/>
      <c r="X1400" s="1976"/>
      <c r="Y1400" s="1959"/>
      <c r="Z1400" s="633"/>
      <c r="AA1400" s="426"/>
      <c r="AB1400" s="426"/>
      <c r="AC1400" s="426"/>
      <c r="AD1400" s="564"/>
      <c r="AE1400" s="426"/>
      <c r="AF1400" s="564"/>
      <c r="AG1400" s="426"/>
      <c r="AH1400" s="426"/>
      <c r="AI1400" s="427"/>
      <c r="AJ1400" s="427"/>
      <c r="AK1400" s="426"/>
      <c r="AL1400" s="427"/>
      <c r="AM1400" s="428"/>
      <c r="AN1400" s="427"/>
      <c r="AO1400" s="427"/>
      <c r="AP1400" s="432"/>
      <c r="AQ1400" s="427"/>
      <c r="AR1400" s="427"/>
      <c r="AS1400" s="427"/>
      <c r="AT1400" s="432"/>
      <c r="AU1400" s="427"/>
      <c r="AV1400" s="427"/>
      <c r="AW1400" s="427"/>
      <c r="AX1400" s="432"/>
      <c r="AY1400" s="427"/>
      <c r="AZ1400" s="427"/>
      <c r="BA1400" s="427"/>
      <c r="BB1400" s="429"/>
      <c r="BC1400" s="430"/>
      <c r="BD1400" s="430"/>
    </row>
    <row r="1401" spans="1:59" s="431" customFormat="1" ht="18" customHeight="1" x14ac:dyDescent="0.2">
      <c r="A1401" s="1367"/>
      <c r="B1401" s="1968"/>
      <c r="C1401" s="1968"/>
      <c r="D1401" s="1968"/>
      <c r="E1401" s="433" t="s">
        <v>4176</v>
      </c>
      <c r="F1401" s="434" t="s">
        <v>2288</v>
      </c>
      <c r="G1401" s="2042"/>
      <c r="H1401" s="635" t="s">
        <v>2288</v>
      </c>
      <c r="I1401" s="635" t="s">
        <v>4177</v>
      </c>
      <c r="J1401" s="1968"/>
      <c r="K1401" s="1965"/>
      <c r="L1401" s="435" t="s">
        <v>2288</v>
      </c>
      <c r="M1401" s="681" t="s">
        <v>2288</v>
      </c>
      <c r="N1401" s="635" t="s">
        <v>2288</v>
      </c>
      <c r="O1401" s="1968"/>
      <c r="P1401" s="2038"/>
      <c r="Q1401" s="1961"/>
      <c r="R1401" s="1963"/>
      <c r="S1401" s="1963"/>
      <c r="T1401" s="1965"/>
      <c r="U1401" s="1967"/>
      <c r="V1401" s="635" t="s">
        <v>4178</v>
      </c>
      <c r="W1401" s="637" t="s">
        <v>4159</v>
      </c>
      <c r="X1401" s="1961"/>
      <c r="Y1401" s="436"/>
      <c r="Z1401" s="436"/>
      <c r="AA1401" s="426"/>
      <c r="AB1401" s="426"/>
      <c r="AC1401" s="426"/>
      <c r="AD1401" s="564"/>
      <c r="AE1401" s="426"/>
      <c r="AF1401" s="564"/>
      <c r="AG1401" s="426"/>
      <c r="AH1401" s="426"/>
      <c r="AI1401" s="427"/>
      <c r="AJ1401" s="432"/>
      <c r="AK1401" s="432"/>
      <c r="AL1401" s="427"/>
      <c r="AM1401" s="428"/>
      <c r="AN1401" s="432"/>
      <c r="AO1401" s="427"/>
      <c r="AP1401" s="432"/>
      <c r="AQ1401" s="432"/>
      <c r="AR1401" s="427"/>
      <c r="AS1401" s="427"/>
      <c r="AT1401" s="432"/>
      <c r="AU1401" s="432"/>
      <c r="AV1401" s="427"/>
      <c r="AW1401" s="427"/>
      <c r="AX1401" s="432"/>
      <c r="AY1401" s="432"/>
      <c r="AZ1401" s="427"/>
      <c r="BA1401" s="427"/>
      <c r="BB1401" s="429"/>
      <c r="BC1401" s="430"/>
      <c r="BD1401" s="430"/>
    </row>
    <row r="1402" spans="1:59" s="461" customFormat="1" ht="18" customHeight="1" x14ac:dyDescent="0.2">
      <c r="A1402" s="1368" t="str">
        <f>$D$1398&amp;S1402</f>
        <v>SIMP. 4 PT. WANASARI - SUKAMAJU2007</v>
      </c>
      <c r="B1402" s="1373">
        <v>1</v>
      </c>
      <c r="C1402" s="532" t="s">
        <v>1156</v>
      </c>
      <c r="D1402" s="437" t="s">
        <v>3821</v>
      </c>
      <c r="E1402" s="438"/>
      <c r="F1402" s="439">
        <v>2007</v>
      </c>
      <c r="G1402" s="623">
        <f>9470100204.32667+442451120.538846</f>
        <v>9912551324.8655167</v>
      </c>
      <c r="H1402" s="440">
        <f>VLOOKUP(LEFT(D1402,8),UE,4)</f>
        <v>10</v>
      </c>
      <c r="I1402" s="441"/>
      <c r="J1402" s="442">
        <f>F1402+N1402-1</f>
        <v>2016</v>
      </c>
      <c r="K1402" s="443"/>
      <c r="L1402" s="440"/>
      <c r="M1402" s="746">
        <f>IF(H1402+L1402&gt;$H1402,$H1402-H1402,L1402)</f>
        <v>0</v>
      </c>
      <c r="N1402" s="444">
        <f>H1402+M1402</f>
        <v>10</v>
      </c>
      <c r="O1402" s="442">
        <f>F1402+N1402-1</f>
        <v>2016</v>
      </c>
      <c r="P1402" s="617">
        <f>G1402</f>
        <v>9912551324.8655167</v>
      </c>
      <c r="Q1402" s="445">
        <v>0</v>
      </c>
      <c r="R1402" s="445">
        <f>P1402/N1402</f>
        <v>991255132.48655164</v>
      </c>
      <c r="S1402" s="446">
        <f>F1402</f>
        <v>2007</v>
      </c>
      <c r="T1402" s="447">
        <v>1</v>
      </c>
      <c r="U1402" s="613">
        <f>R1402*T1402</f>
        <v>991255132.48655164</v>
      </c>
      <c r="V1402" s="442">
        <f>F1402</f>
        <v>2007</v>
      </c>
      <c r="W1402" s="617">
        <f>IF(OR(AND(ISBLANK(E1402),ISBLANK(G1402)),ISTEXT(E1402),ISTEXT(G1402)),"",G1402-R1402)</f>
        <v>8921296192.3789654</v>
      </c>
      <c r="X1402" s="448"/>
      <c r="Y1402" s="449"/>
      <c r="Z1402" s="449"/>
      <c r="AA1402" s="693"/>
      <c r="AB1402" s="452"/>
      <c r="AC1402" s="452"/>
      <c r="AD1402" s="571"/>
      <c r="AE1402" s="452"/>
      <c r="AF1402" s="571"/>
      <c r="AG1402" s="452"/>
      <c r="AH1402" s="452"/>
      <c r="AI1402" s="453"/>
      <c r="AJ1402" s="449"/>
      <c r="AK1402" s="453"/>
      <c r="AL1402" s="454"/>
      <c r="AM1402" s="455"/>
      <c r="AN1402" s="456"/>
      <c r="AO1402" s="455"/>
      <c r="AP1402" s="452"/>
      <c r="AQ1402" s="457"/>
      <c r="AR1402" s="449"/>
      <c r="AS1402" s="449"/>
      <c r="AT1402" s="452"/>
      <c r="AU1402" s="457"/>
      <c r="AV1402" s="449"/>
      <c r="AW1402" s="458"/>
      <c r="AX1402" s="452"/>
      <c r="AY1402" s="457"/>
      <c r="AZ1402" s="449"/>
      <c r="BA1402" s="459"/>
      <c r="BB1402" s="455"/>
      <c r="BC1402" s="460"/>
      <c r="BD1402" s="460"/>
      <c r="BG1402" s="462"/>
    </row>
    <row r="1403" spans="1:59" s="461" customFormat="1" ht="18" customHeight="1" x14ac:dyDescent="0.2">
      <c r="A1403" s="1368" t="str">
        <f t="shared" ref="A1403:A1417" si="1046">$D$1398&amp;S1403</f>
        <v>SIMP. 4 PT. WANASARI - SUKAMAJU2008</v>
      </c>
      <c r="B1403" s="1373">
        <v>2</v>
      </c>
      <c r="C1403" s="488" t="s">
        <v>5065</v>
      </c>
      <c r="D1403" s="489"/>
      <c r="E1403" s="558"/>
      <c r="F1403" s="559">
        <v>2008</v>
      </c>
      <c r="G1403" s="619">
        <f>1322245832.25+2164030080.86535</f>
        <v>3486275913.1153498</v>
      </c>
      <c r="H1403" s="464">
        <f>IF(N1402-(F1403-F1402)&lt;=0,0,(N1402-(F1403-F1402)))</f>
        <v>9</v>
      </c>
      <c r="I1403" s="560"/>
      <c r="J1403" s="468">
        <f>F1403+N1403-1</f>
        <v>2017</v>
      </c>
      <c r="K1403" s="490">
        <f>IF(G1403=0,0,IF(H1403=10,100%,G1403/W1402))</f>
        <v>0.39078132122701048</v>
      </c>
      <c r="L1403" s="469">
        <f>IF(K1403=0%,0,IF(K1403&lt;=30%,2,IF(K1403&lt;=60%,5,10)))</f>
        <v>5</v>
      </c>
      <c r="M1403" s="683">
        <f>IF(OR(AND(ISBLANK(E1403),ISBLANK(G1403)),ISTEXT(E1403),ISTEXT(G1403)),"",IF(H1403+L1403&gt;$H$1402,$H$1402-H1403,L1403))</f>
        <v>1</v>
      </c>
      <c r="N1403" s="470">
        <f>IF(OR(AND(ISBLANK(F1403),ISBLANK(G1403)),ISTEXT(F1403),ISTEXT(G1403)),"",H1403+M1403)</f>
        <v>10</v>
      </c>
      <c r="O1403" s="468">
        <f>F1403+N1403-1</f>
        <v>2017</v>
      </c>
      <c r="P1403" s="616">
        <f>W1402</f>
        <v>8921296192.3789654</v>
      </c>
      <c r="Q1403" s="472">
        <f>P1403+G1403</f>
        <v>12407572105.494316</v>
      </c>
      <c r="R1403" s="472">
        <f>IF(L1403=0,R1402,Q1403/N1403)</f>
        <v>1240757210.5494316</v>
      </c>
      <c r="S1403" s="634">
        <f>F1403</f>
        <v>2008</v>
      </c>
      <c r="T1403" s="470">
        <f>S1403-S1402</f>
        <v>1</v>
      </c>
      <c r="U1403" s="612">
        <f>R1403*T1403</f>
        <v>1240757210.5494316</v>
      </c>
      <c r="V1403" s="464">
        <f>F1403</f>
        <v>2008</v>
      </c>
      <c r="W1403" s="612">
        <f>IF(OR(AND(ISBLANK(E1403),ISBLANK(G1403)),ISTEXT(E1403),ISTEXT(G1403)),"",Q1403-U1403)</f>
        <v>11166814894.944885</v>
      </c>
      <c r="X1403" s="561"/>
      <c r="Y1403" s="449"/>
      <c r="Z1403" s="449"/>
      <c r="AA1403" s="693"/>
      <c r="AB1403" s="452"/>
      <c r="AC1403" s="452"/>
      <c r="AD1403" s="571"/>
      <c r="AE1403" s="452"/>
      <c r="AF1403" s="571"/>
      <c r="AG1403" s="452"/>
      <c r="AH1403" s="452"/>
      <c r="AI1403" s="453"/>
      <c r="AJ1403" s="449"/>
      <c r="AK1403" s="453"/>
      <c r="AL1403" s="454"/>
      <c r="AM1403" s="455"/>
      <c r="AN1403" s="456"/>
      <c r="AO1403" s="455"/>
      <c r="AP1403" s="452"/>
      <c r="AQ1403" s="457"/>
      <c r="AR1403" s="449"/>
      <c r="AS1403" s="449"/>
      <c r="AT1403" s="452"/>
      <c r="AU1403" s="457"/>
      <c r="AV1403" s="449"/>
      <c r="AW1403" s="458"/>
      <c r="AX1403" s="452"/>
      <c r="AY1403" s="457"/>
      <c r="AZ1403" s="449"/>
      <c r="BA1403" s="459"/>
      <c r="BB1403" s="455"/>
      <c r="BC1403" s="460"/>
      <c r="BD1403" s="460"/>
      <c r="BG1403" s="462"/>
    </row>
    <row r="1404" spans="1:59" s="461" customFormat="1" ht="18" customHeight="1" x14ac:dyDescent="0.2">
      <c r="A1404" s="1368" t="str">
        <f t="shared" si="1046"/>
        <v>SIMP. 4 PT. WANASARI - SUKAMAJU2009</v>
      </c>
      <c r="B1404" s="1373"/>
      <c r="C1404" s="488" t="s">
        <v>5167</v>
      </c>
      <c r="D1404" s="489"/>
      <c r="E1404" s="558"/>
      <c r="F1404" s="559">
        <v>2009</v>
      </c>
      <c r="G1404" s="619">
        <v>1752079358.7175326</v>
      </c>
      <c r="H1404" s="464">
        <f t="shared" ref="H1404:H1416" si="1047">IF(N1403-(F1404-F1403)&lt;=0,0,(N1403-(F1404-F1403)))</f>
        <v>9</v>
      </c>
      <c r="I1404" s="560"/>
      <c r="J1404" s="468">
        <f t="shared" ref="J1404:J1416" si="1048">F1404+N1404-1</f>
        <v>2018</v>
      </c>
      <c r="K1404" s="490">
        <f t="shared" ref="K1404:K1416" si="1049">IF(G1404=0,0,IF(H1404=10,100%,G1404/W1403))</f>
        <v>0.15690054641370324</v>
      </c>
      <c r="L1404" s="469">
        <f t="shared" ref="L1404:L1416" si="1050">IF(K1404=0%,0,IF(K1404&lt;=30%,2,IF(K1404&lt;=60%,5,10)))</f>
        <v>2</v>
      </c>
      <c r="M1404" s="683">
        <f t="shared" ref="M1404:M1417" si="1051">IF(OR(AND(ISBLANK(E1404),ISBLANK(G1404)),ISTEXT(E1404),ISTEXT(G1404)),"",IF(H1404+L1404&gt;$H$1402,$H$1402-H1404,L1404))</f>
        <v>1</v>
      </c>
      <c r="N1404" s="470">
        <f t="shared" ref="N1404:N1416" si="1052">IF(OR(AND(ISBLANK(F1404),ISBLANK(G1404)),ISTEXT(F1404),ISTEXT(G1404)),"",H1404+M1404)</f>
        <v>10</v>
      </c>
      <c r="O1404" s="468">
        <f t="shared" ref="O1404:O1416" si="1053">F1404+N1404-1</f>
        <v>2018</v>
      </c>
      <c r="P1404" s="616">
        <f t="shared" ref="P1404:P1416" si="1054">W1403</f>
        <v>11166814894.944885</v>
      </c>
      <c r="Q1404" s="472">
        <f t="shared" ref="Q1404:Q1416" si="1055">P1404+G1404</f>
        <v>12918894253.662418</v>
      </c>
      <c r="R1404" s="472">
        <f t="shared" ref="R1404:R1416" si="1056">IF(L1404=0,R1403,Q1404/N1404)</f>
        <v>1291889425.3662419</v>
      </c>
      <c r="S1404" s="1189">
        <f t="shared" ref="S1404:S1416" si="1057">F1404</f>
        <v>2009</v>
      </c>
      <c r="T1404" s="470">
        <f t="shared" ref="T1404:T1416" si="1058">S1404-S1403</f>
        <v>1</v>
      </c>
      <c r="U1404" s="612">
        <f t="shared" ref="U1404:U1416" si="1059">R1404*T1404</f>
        <v>1291889425.3662419</v>
      </c>
      <c r="V1404" s="464">
        <f t="shared" ref="V1404:V1416" si="1060">F1404</f>
        <v>2009</v>
      </c>
      <c r="W1404" s="612">
        <f t="shared" ref="W1404:W1416" si="1061">IF(OR(AND(ISBLANK(E1404),ISBLANK(G1404)),ISTEXT(E1404),ISTEXT(G1404)),"",Q1404-U1404)</f>
        <v>11627004828.296177</v>
      </c>
      <c r="X1404" s="561"/>
      <c r="Y1404" s="449"/>
      <c r="Z1404" s="449"/>
      <c r="AA1404" s="693"/>
      <c r="AB1404" s="452"/>
      <c r="AC1404" s="452"/>
      <c r="AD1404" s="571"/>
      <c r="AE1404" s="452"/>
      <c r="AF1404" s="571"/>
      <c r="AG1404" s="452"/>
      <c r="AH1404" s="452"/>
      <c r="AI1404" s="453"/>
      <c r="AJ1404" s="449"/>
      <c r="AK1404" s="453"/>
      <c r="AL1404" s="454"/>
      <c r="AM1404" s="455"/>
      <c r="AN1404" s="456"/>
      <c r="AO1404" s="455"/>
      <c r="AP1404" s="452"/>
      <c r="AQ1404" s="457"/>
      <c r="AR1404" s="449"/>
      <c r="AS1404" s="449"/>
      <c r="AT1404" s="452"/>
      <c r="AU1404" s="457"/>
      <c r="AV1404" s="449"/>
      <c r="AW1404" s="458"/>
      <c r="AX1404" s="452"/>
      <c r="AY1404" s="457"/>
      <c r="AZ1404" s="449"/>
      <c r="BA1404" s="459"/>
      <c r="BB1404" s="455"/>
      <c r="BC1404" s="460"/>
      <c r="BD1404" s="460"/>
      <c r="BG1404" s="462"/>
    </row>
    <row r="1405" spans="1:59" s="461" customFormat="1" ht="18" customHeight="1" x14ac:dyDescent="0.2">
      <c r="A1405" s="1368" t="str">
        <f t="shared" si="1046"/>
        <v>SIMP. 4 PT. WANASARI - SUKAMAJU2010</v>
      </c>
      <c r="B1405" s="1373"/>
      <c r="C1405" s="488"/>
      <c r="D1405" s="489"/>
      <c r="E1405" s="558"/>
      <c r="F1405" s="559">
        <v>2010</v>
      </c>
      <c r="G1405" s="619">
        <v>0</v>
      </c>
      <c r="H1405" s="464">
        <f t="shared" si="1047"/>
        <v>9</v>
      </c>
      <c r="I1405" s="560"/>
      <c r="J1405" s="468">
        <f t="shared" si="1048"/>
        <v>2018</v>
      </c>
      <c r="K1405" s="490">
        <f t="shared" si="1049"/>
        <v>0</v>
      </c>
      <c r="L1405" s="469">
        <f t="shared" si="1050"/>
        <v>0</v>
      </c>
      <c r="M1405" s="683">
        <f t="shared" si="1051"/>
        <v>0</v>
      </c>
      <c r="N1405" s="470">
        <f t="shared" si="1052"/>
        <v>9</v>
      </c>
      <c r="O1405" s="468">
        <f t="shared" si="1053"/>
        <v>2018</v>
      </c>
      <c r="P1405" s="616">
        <f t="shared" si="1054"/>
        <v>11627004828.296177</v>
      </c>
      <c r="Q1405" s="472">
        <f t="shared" si="1055"/>
        <v>11627004828.296177</v>
      </c>
      <c r="R1405" s="472">
        <f t="shared" si="1056"/>
        <v>1291889425.3662419</v>
      </c>
      <c r="S1405" s="1189">
        <f t="shared" si="1057"/>
        <v>2010</v>
      </c>
      <c r="T1405" s="470">
        <f t="shared" si="1058"/>
        <v>1</v>
      </c>
      <c r="U1405" s="612">
        <f t="shared" si="1059"/>
        <v>1291889425.3662419</v>
      </c>
      <c r="V1405" s="464">
        <f t="shared" si="1060"/>
        <v>2010</v>
      </c>
      <c r="W1405" s="612">
        <f t="shared" si="1061"/>
        <v>10335115402.929935</v>
      </c>
      <c r="X1405" s="561"/>
      <c r="Y1405" s="449"/>
      <c r="Z1405" s="449"/>
      <c r="AA1405" s="693"/>
      <c r="AB1405" s="452"/>
      <c r="AC1405" s="452"/>
      <c r="AD1405" s="571"/>
      <c r="AE1405" s="452"/>
      <c r="AF1405" s="571"/>
      <c r="AG1405" s="452"/>
      <c r="AH1405" s="452"/>
      <c r="AI1405" s="453"/>
      <c r="AJ1405" s="449"/>
      <c r="AK1405" s="453"/>
      <c r="AL1405" s="454"/>
      <c r="AM1405" s="455"/>
      <c r="AN1405" s="456"/>
      <c r="AO1405" s="455"/>
      <c r="AP1405" s="452"/>
      <c r="AQ1405" s="457"/>
      <c r="AR1405" s="449"/>
      <c r="AS1405" s="449"/>
      <c r="AT1405" s="452"/>
      <c r="AU1405" s="457"/>
      <c r="AV1405" s="449"/>
      <c r="AW1405" s="458"/>
      <c r="AX1405" s="452"/>
      <c r="AY1405" s="457"/>
      <c r="AZ1405" s="449"/>
      <c r="BA1405" s="459"/>
      <c r="BB1405" s="455"/>
      <c r="BC1405" s="460"/>
      <c r="BD1405" s="460"/>
      <c r="BG1405" s="462"/>
    </row>
    <row r="1406" spans="1:59" s="461" customFormat="1" ht="18" customHeight="1" x14ac:dyDescent="0.2">
      <c r="A1406" s="1368" t="str">
        <f t="shared" si="1046"/>
        <v>SIMP. 4 PT. WANASARI - SUKAMAJU2011</v>
      </c>
      <c r="B1406" s="1373"/>
      <c r="C1406" s="488"/>
      <c r="D1406" s="489"/>
      <c r="E1406" s="558"/>
      <c r="F1406" s="559">
        <v>2011</v>
      </c>
      <c r="G1406" s="619">
        <v>0</v>
      </c>
      <c r="H1406" s="464">
        <f t="shared" si="1047"/>
        <v>8</v>
      </c>
      <c r="I1406" s="560"/>
      <c r="J1406" s="468">
        <f t="shared" si="1048"/>
        <v>2018</v>
      </c>
      <c r="K1406" s="490">
        <f t="shared" si="1049"/>
        <v>0</v>
      </c>
      <c r="L1406" s="469">
        <f t="shared" si="1050"/>
        <v>0</v>
      </c>
      <c r="M1406" s="683">
        <f t="shared" si="1051"/>
        <v>0</v>
      </c>
      <c r="N1406" s="470">
        <f t="shared" si="1052"/>
        <v>8</v>
      </c>
      <c r="O1406" s="468">
        <f t="shared" si="1053"/>
        <v>2018</v>
      </c>
      <c r="P1406" s="616">
        <f t="shared" si="1054"/>
        <v>10335115402.929935</v>
      </c>
      <c r="Q1406" s="472">
        <f t="shared" si="1055"/>
        <v>10335115402.929935</v>
      </c>
      <c r="R1406" s="472">
        <f t="shared" si="1056"/>
        <v>1291889425.3662419</v>
      </c>
      <c r="S1406" s="1189">
        <f t="shared" si="1057"/>
        <v>2011</v>
      </c>
      <c r="T1406" s="470">
        <f t="shared" si="1058"/>
        <v>1</v>
      </c>
      <c r="U1406" s="612">
        <f t="shared" si="1059"/>
        <v>1291889425.3662419</v>
      </c>
      <c r="V1406" s="464">
        <f t="shared" si="1060"/>
        <v>2011</v>
      </c>
      <c r="W1406" s="612">
        <f t="shared" si="1061"/>
        <v>9043225977.563694</v>
      </c>
      <c r="X1406" s="561"/>
      <c r="Y1406" s="449"/>
      <c r="Z1406" s="449"/>
      <c r="AA1406" s="693"/>
      <c r="AB1406" s="452"/>
      <c r="AC1406" s="452"/>
      <c r="AD1406" s="571"/>
      <c r="AE1406" s="452"/>
      <c r="AF1406" s="571"/>
      <c r="AG1406" s="452"/>
      <c r="AH1406" s="452"/>
      <c r="AI1406" s="453"/>
      <c r="AJ1406" s="449"/>
      <c r="AK1406" s="453"/>
      <c r="AL1406" s="454"/>
      <c r="AM1406" s="455"/>
      <c r="AN1406" s="456"/>
      <c r="AO1406" s="455"/>
      <c r="AP1406" s="452"/>
      <c r="AQ1406" s="457"/>
      <c r="AR1406" s="449"/>
      <c r="AS1406" s="449"/>
      <c r="AT1406" s="452"/>
      <c r="AU1406" s="457"/>
      <c r="AV1406" s="449"/>
      <c r="AW1406" s="458"/>
      <c r="AX1406" s="452"/>
      <c r="AY1406" s="457"/>
      <c r="AZ1406" s="449"/>
      <c r="BA1406" s="459"/>
      <c r="BB1406" s="455"/>
      <c r="BC1406" s="460"/>
      <c r="BD1406" s="460"/>
      <c r="BG1406" s="462"/>
    </row>
    <row r="1407" spans="1:59" s="461" customFormat="1" ht="18" customHeight="1" x14ac:dyDescent="0.2">
      <c r="A1407" s="1368" t="str">
        <f t="shared" si="1046"/>
        <v>SIMP. 4 PT. WANASARI - SUKAMAJU2012</v>
      </c>
      <c r="B1407" s="1373">
        <v>3</v>
      </c>
      <c r="C1407" s="488" t="s">
        <v>5070</v>
      </c>
      <c r="D1407" s="489"/>
      <c r="E1407" s="558"/>
      <c r="F1407" s="559">
        <v>2012</v>
      </c>
      <c r="G1407" s="619">
        <v>1311829019.6666667</v>
      </c>
      <c r="H1407" s="464">
        <f t="shared" si="1047"/>
        <v>7</v>
      </c>
      <c r="I1407" s="560"/>
      <c r="J1407" s="468">
        <f t="shared" si="1048"/>
        <v>2020</v>
      </c>
      <c r="K1407" s="490">
        <f t="shared" si="1049"/>
        <v>0.14506206335231736</v>
      </c>
      <c r="L1407" s="469">
        <f t="shared" si="1050"/>
        <v>2</v>
      </c>
      <c r="M1407" s="683">
        <f t="shared" si="1051"/>
        <v>2</v>
      </c>
      <c r="N1407" s="470">
        <f t="shared" si="1052"/>
        <v>9</v>
      </c>
      <c r="O1407" s="468">
        <f t="shared" si="1053"/>
        <v>2020</v>
      </c>
      <c r="P1407" s="616">
        <f t="shared" si="1054"/>
        <v>9043225977.563694</v>
      </c>
      <c r="Q1407" s="472">
        <f t="shared" si="1055"/>
        <v>10355054997.23036</v>
      </c>
      <c r="R1407" s="472">
        <f t="shared" si="1056"/>
        <v>1150561666.3589289</v>
      </c>
      <c r="S1407" s="1189">
        <f t="shared" si="1057"/>
        <v>2012</v>
      </c>
      <c r="T1407" s="470">
        <f t="shared" si="1058"/>
        <v>1</v>
      </c>
      <c r="U1407" s="612">
        <f t="shared" si="1059"/>
        <v>1150561666.3589289</v>
      </c>
      <c r="V1407" s="464">
        <f t="shared" si="1060"/>
        <v>2012</v>
      </c>
      <c r="W1407" s="612">
        <f t="shared" si="1061"/>
        <v>9204493330.8714314</v>
      </c>
      <c r="X1407" s="561"/>
      <c r="Y1407" s="449"/>
      <c r="Z1407" s="449"/>
      <c r="AA1407" s="694"/>
      <c r="AB1407" s="692"/>
      <c r="AC1407" s="692"/>
      <c r="AD1407" s="695"/>
      <c r="AE1407" s="452"/>
      <c r="AF1407" s="571"/>
      <c r="AG1407" s="452"/>
      <c r="AH1407" s="452"/>
      <c r="AI1407" s="453"/>
      <c r="AJ1407" s="449"/>
      <c r="AK1407" s="453"/>
      <c r="AL1407" s="454"/>
      <c r="AM1407" s="455"/>
      <c r="AN1407" s="456"/>
      <c r="AO1407" s="455"/>
      <c r="AP1407" s="452"/>
      <c r="AQ1407" s="457"/>
      <c r="AR1407" s="449"/>
      <c r="AS1407" s="449"/>
      <c r="AT1407" s="452"/>
      <c r="AU1407" s="457"/>
      <c r="AV1407" s="449"/>
      <c r="AW1407" s="458"/>
      <c r="AX1407" s="452"/>
      <c r="AY1407" s="457"/>
      <c r="AZ1407" s="449"/>
      <c r="BA1407" s="459"/>
      <c r="BB1407" s="455"/>
      <c r="BC1407" s="460"/>
      <c r="BD1407" s="460"/>
      <c r="BG1407" s="462"/>
    </row>
    <row r="1408" spans="1:59" s="461" customFormat="1" ht="18" customHeight="1" x14ac:dyDescent="0.2">
      <c r="A1408" s="1368" t="str">
        <f t="shared" si="1046"/>
        <v>SIMP. 4 PT. WANASARI - SUKAMAJU2013</v>
      </c>
      <c r="B1408" s="1373"/>
      <c r="C1408" s="488"/>
      <c r="D1408" s="489"/>
      <c r="E1408" s="558"/>
      <c r="F1408" s="559">
        <v>2013</v>
      </c>
      <c r="G1408" s="619">
        <v>0</v>
      </c>
      <c r="H1408" s="464">
        <f t="shared" si="1047"/>
        <v>8</v>
      </c>
      <c r="I1408" s="560"/>
      <c r="J1408" s="468">
        <f t="shared" si="1048"/>
        <v>2020</v>
      </c>
      <c r="K1408" s="490">
        <f t="shared" si="1049"/>
        <v>0</v>
      </c>
      <c r="L1408" s="469">
        <f t="shared" si="1050"/>
        <v>0</v>
      </c>
      <c r="M1408" s="683">
        <f t="shared" si="1051"/>
        <v>0</v>
      </c>
      <c r="N1408" s="470">
        <f t="shared" si="1052"/>
        <v>8</v>
      </c>
      <c r="O1408" s="468">
        <f t="shared" si="1053"/>
        <v>2020</v>
      </c>
      <c r="P1408" s="616">
        <f t="shared" si="1054"/>
        <v>9204493330.8714314</v>
      </c>
      <c r="Q1408" s="472">
        <f t="shared" si="1055"/>
        <v>9204493330.8714314</v>
      </c>
      <c r="R1408" s="472">
        <f t="shared" si="1056"/>
        <v>1150561666.3589289</v>
      </c>
      <c r="S1408" s="1189">
        <f t="shared" si="1057"/>
        <v>2013</v>
      </c>
      <c r="T1408" s="470">
        <f t="shared" si="1058"/>
        <v>1</v>
      </c>
      <c r="U1408" s="612">
        <f t="shared" si="1059"/>
        <v>1150561666.3589289</v>
      </c>
      <c r="V1408" s="464">
        <f t="shared" si="1060"/>
        <v>2013</v>
      </c>
      <c r="W1408" s="612">
        <f t="shared" si="1061"/>
        <v>8053931664.5125027</v>
      </c>
      <c r="X1408" s="561"/>
      <c r="Y1408" s="449"/>
      <c r="Z1408" s="449"/>
      <c r="AA1408" s="554" t="s">
        <v>4179</v>
      </c>
      <c r="AB1408" s="452"/>
      <c r="AC1408" s="452"/>
      <c r="AD1408" s="566"/>
      <c r="AE1408" s="452"/>
      <c r="AF1408" s="571"/>
      <c r="AG1408" s="452"/>
      <c r="AH1408" s="452"/>
      <c r="AI1408" s="453"/>
      <c r="AJ1408" s="449"/>
      <c r="AK1408" s="453"/>
      <c r="AL1408" s="454"/>
      <c r="AM1408" s="455"/>
      <c r="AN1408" s="456"/>
      <c r="AO1408" s="455"/>
      <c r="AP1408" s="452"/>
      <c r="AQ1408" s="457"/>
      <c r="AR1408" s="449"/>
      <c r="AS1408" s="449"/>
      <c r="AT1408" s="452"/>
      <c r="AU1408" s="457"/>
      <c r="AV1408" s="449"/>
      <c r="AW1408" s="458"/>
      <c r="AX1408" s="452"/>
      <c r="AY1408" s="457"/>
      <c r="AZ1408" s="449"/>
      <c r="BA1408" s="459"/>
      <c r="BB1408" s="455"/>
      <c r="BC1408" s="460"/>
      <c r="BD1408" s="460"/>
      <c r="BG1408" s="462"/>
    </row>
    <row r="1409" spans="1:59" s="461" customFormat="1" ht="18" customHeight="1" x14ac:dyDescent="0.2">
      <c r="A1409" s="1368" t="str">
        <f t="shared" si="1046"/>
        <v>SIMP. 4 PT. WANASARI - SUKAMAJU2014</v>
      </c>
      <c r="B1409" s="1373">
        <v>4</v>
      </c>
      <c r="C1409" s="488" t="s">
        <v>1299</v>
      </c>
      <c r="D1409" s="489"/>
      <c r="E1409" s="558"/>
      <c r="F1409" s="559">
        <v>2014</v>
      </c>
      <c r="G1409" s="619">
        <v>1858553044</v>
      </c>
      <c r="H1409" s="464">
        <f t="shared" si="1047"/>
        <v>7</v>
      </c>
      <c r="I1409" s="560"/>
      <c r="J1409" s="468">
        <f t="shared" si="1048"/>
        <v>2022</v>
      </c>
      <c r="K1409" s="490">
        <f t="shared" si="1049"/>
        <v>0.23076344838996055</v>
      </c>
      <c r="L1409" s="469">
        <f t="shared" si="1050"/>
        <v>2</v>
      </c>
      <c r="M1409" s="683">
        <f t="shared" si="1051"/>
        <v>2</v>
      </c>
      <c r="N1409" s="470">
        <f t="shared" si="1052"/>
        <v>9</v>
      </c>
      <c r="O1409" s="468">
        <f t="shared" si="1053"/>
        <v>2022</v>
      </c>
      <c r="P1409" s="616">
        <f t="shared" si="1054"/>
        <v>8053931664.5125027</v>
      </c>
      <c r="Q1409" s="472">
        <f t="shared" si="1055"/>
        <v>9912484708.5125027</v>
      </c>
      <c r="R1409" s="472">
        <f t="shared" si="1056"/>
        <v>1101387189.8347225</v>
      </c>
      <c r="S1409" s="1189">
        <f t="shared" si="1057"/>
        <v>2014</v>
      </c>
      <c r="T1409" s="470">
        <f t="shared" si="1058"/>
        <v>1</v>
      </c>
      <c r="U1409" s="612">
        <f t="shared" si="1059"/>
        <v>1101387189.8347225</v>
      </c>
      <c r="V1409" s="464">
        <f t="shared" si="1060"/>
        <v>2014</v>
      </c>
      <c r="W1409" s="612">
        <f t="shared" si="1061"/>
        <v>8811097518.6777802</v>
      </c>
      <c r="X1409" s="561"/>
      <c r="Y1409" s="449"/>
      <c r="Z1409" s="449"/>
      <c r="AA1409" s="554"/>
      <c r="AB1409" s="452"/>
      <c r="AC1409" s="452"/>
      <c r="AD1409" s="566"/>
      <c r="AE1409" s="452"/>
      <c r="AF1409" s="571"/>
      <c r="AG1409" s="452"/>
      <c r="AH1409" s="452"/>
      <c r="AI1409" s="453"/>
      <c r="AJ1409" s="449"/>
      <c r="AK1409" s="453"/>
      <c r="AL1409" s="454"/>
      <c r="AM1409" s="455"/>
      <c r="AN1409" s="456"/>
      <c r="AO1409" s="455"/>
      <c r="AP1409" s="452"/>
      <c r="AQ1409" s="457"/>
      <c r="AR1409" s="449"/>
      <c r="AS1409" s="449"/>
      <c r="AT1409" s="452"/>
      <c r="AU1409" s="457"/>
      <c r="AV1409" s="449"/>
      <c r="AW1409" s="458"/>
      <c r="AX1409" s="452"/>
      <c r="AY1409" s="457"/>
      <c r="AZ1409" s="449"/>
      <c r="BA1409" s="459"/>
      <c r="BB1409" s="455"/>
      <c r="BC1409" s="460"/>
      <c r="BD1409" s="460"/>
      <c r="BG1409" s="462"/>
    </row>
    <row r="1410" spans="1:59" s="486" customFormat="1" ht="18" customHeight="1" x14ac:dyDescent="0.2">
      <c r="A1410" s="1368" t="str">
        <f t="shared" si="1046"/>
        <v>SIMP. 4 PT. WANASARI - SUKAMAJU2015</v>
      </c>
      <c r="B1410" s="1373">
        <v>5</v>
      </c>
      <c r="C1410" s="488" t="s">
        <v>1375</v>
      </c>
      <c r="D1410" s="489" t="s">
        <v>3821</v>
      </c>
      <c r="E1410" s="558"/>
      <c r="F1410" s="559">
        <v>2015</v>
      </c>
      <c r="G1410" s="619">
        <f>2128408453+191295534</f>
        <v>2319703987</v>
      </c>
      <c r="H1410" s="464">
        <f t="shared" si="1047"/>
        <v>8</v>
      </c>
      <c r="I1410" s="560"/>
      <c r="J1410" s="468">
        <f t="shared" si="1048"/>
        <v>2024</v>
      </c>
      <c r="K1410" s="490">
        <f t="shared" si="1049"/>
        <v>0.26327071991686479</v>
      </c>
      <c r="L1410" s="469">
        <f t="shared" si="1050"/>
        <v>2</v>
      </c>
      <c r="M1410" s="683">
        <f t="shared" si="1051"/>
        <v>2</v>
      </c>
      <c r="N1410" s="470">
        <f t="shared" si="1052"/>
        <v>10</v>
      </c>
      <c r="O1410" s="468">
        <f t="shared" si="1053"/>
        <v>2024</v>
      </c>
      <c r="P1410" s="616">
        <f t="shared" si="1054"/>
        <v>8811097518.6777802</v>
      </c>
      <c r="Q1410" s="472">
        <f t="shared" si="1055"/>
        <v>11130801505.67778</v>
      </c>
      <c r="R1410" s="472">
        <f t="shared" si="1056"/>
        <v>1113080150.5677781</v>
      </c>
      <c r="S1410" s="1189">
        <f t="shared" si="1057"/>
        <v>2015</v>
      </c>
      <c r="T1410" s="470">
        <f t="shared" si="1058"/>
        <v>1</v>
      </c>
      <c r="U1410" s="612">
        <f t="shared" si="1059"/>
        <v>1113080150.5677781</v>
      </c>
      <c r="V1410" s="464">
        <f t="shared" si="1060"/>
        <v>2015</v>
      </c>
      <c r="W1410" s="612">
        <f t="shared" si="1061"/>
        <v>10017721355.110003</v>
      </c>
      <c r="X1410" s="561"/>
      <c r="Y1410" s="474"/>
      <c r="Z1410" s="449"/>
      <c r="AA1410" s="475" t="s">
        <v>4180</v>
      </c>
      <c r="AB1410" s="476"/>
      <c r="AC1410" s="476"/>
      <c r="AD1410" s="567">
        <f>G1420</f>
        <v>30467790864.935066</v>
      </c>
      <c r="AE1410" s="476"/>
      <c r="AF1410" s="568"/>
      <c r="AG1410" s="476"/>
      <c r="AH1410" s="476"/>
      <c r="AI1410" s="477"/>
      <c r="AJ1410" s="478"/>
      <c r="AK1410" s="479"/>
      <c r="AL1410" s="480"/>
      <c r="AM1410" s="474"/>
      <c r="AN1410" s="481"/>
      <c r="AO1410" s="474"/>
      <c r="AP1410" s="476"/>
      <c r="AQ1410" s="482"/>
      <c r="AR1410" s="478"/>
      <c r="AS1410" s="478"/>
      <c r="AT1410" s="476"/>
      <c r="AU1410" s="482"/>
      <c r="AV1410" s="478"/>
      <c r="AW1410" s="483"/>
      <c r="AX1410" s="476"/>
      <c r="AY1410" s="482"/>
      <c r="AZ1410" s="478"/>
      <c r="BA1410" s="484"/>
      <c r="BB1410" s="474"/>
      <c r="BC1410" s="485"/>
      <c r="BD1410" s="485"/>
      <c r="BG1410" s="487"/>
    </row>
    <row r="1411" spans="1:59" s="486" customFormat="1" ht="18" customHeight="1" x14ac:dyDescent="0.2">
      <c r="A1411" s="1368" t="str">
        <f t="shared" si="1046"/>
        <v>SIMP. 4 PT. WANASARI - SUKAMAJU2015</v>
      </c>
      <c r="B1411" s="1373">
        <v>6</v>
      </c>
      <c r="C1411" s="488" t="s">
        <v>1399</v>
      </c>
      <c r="D1411" s="489"/>
      <c r="E1411" s="558"/>
      <c r="F1411" s="559">
        <v>2015</v>
      </c>
      <c r="G1411" s="619">
        <v>0</v>
      </c>
      <c r="H1411" s="464">
        <f t="shared" si="1047"/>
        <v>10</v>
      </c>
      <c r="I1411" s="560"/>
      <c r="J1411" s="468">
        <f t="shared" si="1048"/>
        <v>2024</v>
      </c>
      <c r="K1411" s="490">
        <f t="shared" si="1049"/>
        <v>0</v>
      </c>
      <c r="L1411" s="469">
        <f t="shared" si="1050"/>
        <v>0</v>
      </c>
      <c r="M1411" s="683">
        <f t="shared" si="1051"/>
        <v>0</v>
      </c>
      <c r="N1411" s="470">
        <f t="shared" si="1052"/>
        <v>10</v>
      </c>
      <c r="O1411" s="468">
        <f t="shared" si="1053"/>
        <v>2024</v>
      </c>
      <c r="P1411" s="616">
        <f t="shared" si="1054"/>
        <v>10017721355.110003</v>
      </c>
      <c r="Q1411" s="472">
        <f t="shared" si="1055"/>
        <v>10017721355.110003</v>
      </c>
      <c r="R1411" s="472">
        <f t="shared" si="1056"/>
        <v>1113080150.5677781</v>
      </c>
      <c r="S1411" s="1189">
        <f t="shared" si="1057"/>
        <v>2015</v>
      </c>
      <c r="T1411" s="470">
        <f t="shared" si="1058"/>
        <v>0</v>
      </c>
      <c r="U1411" s="612">
        <f t="shared" si="1059"/>
        <v>0</v>
      </c>
      <c r="V1411" s="464">
        <f t="shared" si="1060"/>
        <v>2015</v>
      </c>
      <c r="W1411" s="612">
        <f t="shared" si="1061"/>
        <v>10017721355.110003</v>
      </c>
      <c r="X1411" s="561"/>
      <c r="Y1411" s="474"/>
      <c r="Z1411" s="449"/>
      <c r="AA1411" s="475"/>
      <c r="AB1411" s="476"/>
      <c r="AC1411" s="476"/>
      <c r="AD1411" s="567"/>
      <c r="AE1411" s="476"/>
      <c r="AF1411" s="568"/>
      <c r="AG1411" s="476"/>
      <c r="AH1411" s="476"/>
      <c r="AI1411" s="477"/>
      <c r="AJ1411" s="478"/>
      <c r="AK1411" s="479"/>
      <c r="AL1411" s="480"/>
      <c r="AM1411" s="474"/>
      <c r="AN1411" s="481"/>
      <c r="AO1411" s="474"/>
      <c r="AP1411" s="476"/>
      <c r="AQ1411" s="482"/>
      <c r="AR1411" s="478"/>
      <c r="AS1411" s="478"/>
      <c r="AT1411" s="476"/>
      <c r="AU1411" s="482"/>
      <c r="AV1411" s="478"/>
      <c r="AW1411" s="483"/>
      <c r="AX1411" s="476"/>
      <c r="AY1411" s="482"/>
      <c r="AZ1411" s="478"/>
      <c r="BA1411" s="484"/>
      <c r="BB1411" s="474"/>
      <c r="BC1411" s="485"/>
      <c r="BD1411" s="485"/>
      <c r="BG1411" s="487"/>
    </row>
    <row r="1412" spans="1:59" s="486" customFormat="1" ht="18" customHeight="1" x14ac:dyDescent="0.2">
      <c r="A1412" s="1368" t="str">
        <f t="shared" si="1046"/>
        <v>SIMP. 4 PT. WANASARI - SUKAMAJU2016</v>
      </c>
      <c r="B1412" s="1373">
        <v>7</v>
      </c>
      <c r="C1412" s="488" t="s">
        <v>1462</v>
      </c>
      <c r="D1412" s="489"/>
      <c r="E1412" s="558"/>
      <c r="F1412" s="559">
        <v>2016</v>
      </c>
      <c r="G1412" s="619">
        <v>2522478651.5700002</v>
      </c>
      <c r="H1412" s="464">
        <f t="shared" si="1047"/>
        <v>9</v>
      </c>
      <c r="I1412" s="560"/>
      <c r="J1412" s="468">
        <f t="shared" si="1048"/>
        <v>2025</v>
      </c>
      <c r="K1412" s="490">
        <f t="shared" si="1049"/>
        <v>0.25180163853163007</v>
      </c>
      <c r="L1412" s="469">
        <f t="shared" si="1050"/>
        <v>2</v>
      </c>
      <c r="M1412" s="683">
        <f t="shared" si="1051"/>
        <v>1</v>
      </c>
      <c r="N1412" s="470">
        <f t="shared" si="1052"/>
        <v>10</v>
      </c>
      <c r="O1412" s="468">
        <f t="shared" si="1053"/>
        <v>2025</v>
      </c>
      <c r="P1412" s="616">
        <f t="shared" si="1054"/>
        <v>10017721355.110003</v>
      </c>
      <c r="Q1412" s="472">
        <f t="shared" si="1055"/>
        <v>12540200006.680002</v>
      </c>
      <c r="R1412" s="472">
        <f t="shared" si="1056"/>
        <v>1254020000.6680002</v>
      </c>
      <c r="S1412" s="1189">
        <f t="shared" si="1057"/>
        <v>2016</v>
      </c>
      <c r="T1412" s="470">
        <f t="shared" si="1058"/>
        <v>1</v>
      </c>
      <c r="U1412" s="612">
        <f t="shared" si="1059"/>
        <v>1254020000.6680002</v>
      </c>
      <c r="V1412" s="464">
        <f t="shared" si="1060"/>
        <v>2016</v>
      </c>
      <c r="W1412" s="612">
        <f t="shared" si="1061"/>
        <v>11286180006.012001</v>
      </c>
      <c r="X1412" s="473"/>
      <c r="Y1412" s="478"/>
      <c r="Z1412" s="449"/>
      <c r="AA1412" s="475" t="s">
        <v>4181</v>
      </c>
      <c r="AB1412" s="491"/>
      <c r="AC1412" s="491"/>
      <c r="AD1412" s="567">
        <f>U1420</f>
        <v>15966250282.592318</v>
      </c>
      <c r="AE1412" s="491"/>
      <c r="AF1412" s="568"/>
      <c r="AG1412" s="491"/>
      <c r="AH1412" s="491"/>
      <c r="AI1412" s="477"/>
      <c r="AJ1412" s="478"/>
      <c r="AK1412" s="479"/>
      <c r="AL1412" s="480"/>
      <c r="AM1412" s="474"/>
      <c r="AN1412" s="481"/>
      <c r="AO1412" s="474"/>
      <c r="AP1412" s="476"/>
      <c r="AQ1412" s="482"/>
      <c r="AR1412" s="478"/>
      <c r="AS1412" s="478"/>
      <c r="AT1412" s="476"/>
      <c r="AU1412" s="482"/>
      <c r="AV1412" s="478"/>
      <c r="AW1412" s="483"/>
      <c r="AX1412" s="476"/>
      <c r="AY1412" s="482"/>
      <c r="AZ1412" s="478"/>
      <c r="BA1412" s="484"/>
      <c r="BB1412" s="474"/>
      <c r="BC1412" s="485"/>
      <c r="BD1412" s="485"/>
      <c r="BG1412" s="487"/>
    </row>
    <row r="1413" spans="1:59" s="486" customFormat="1" ht="18" customHeight="1" x14ac:dyDescent="0.2">
      <c r="A1413" s="1368" t="str">
        <f t="shared" si="1046"/>
        <v>SIMP. 4 PT. WANASARI - SUKAMAJU2017</v>
      </c>
      <c r="B1413" s="1373">
        <v>8</v>
      </c>
      <c r="C1413" s="488" t="s">
        <v>2505</v>
      </c>
      <c r="D1413" s="489"/>
      <c r="E1413" s="558"/>
      <c r="F1413" s="466">
        <v>2017</v>
      </c>
      <c r="G1413" s="619">
        <f>188864000+190632000</f>
        <v>379496000</v>
      </c>
      <c r="H1413" s="464">
        <f t="shared" si="1047"/>
        <v>9</v>
      </c>
      <c r="I1413" s="560"/>
      <c r="J1413" s="468">
        <f t="shared" si="1048"/>
        <v>2026</v>
      </c>
      <c r="K1413" s="490">
        <f t="shared" si="1049"/>
        <v>3.3624840273489116E-2</v>
      </c>
      <c r="L1413" s="469">
        <f t="shared" si="1050"/>
        <v>2</v>
      </c>
      <c r="M1413" s="683">
        <f t="shared" si="1051"/>
        <v>1</v>
      </c>
      <c r="N1413" s="470">
        <f t="shared" si="1052"/>
        <v>10</v>
      </c>
      <c r="O1413" s="468">
        <f t="shared" si="1053"/>
        <v>2026</v>
      </c>
      <c r="P1413" s="616">
        <f t="shared" si="1054"/>
        <v>11286180006.012001</v>
      </c>
      <c r="Q1413" s="472">
        <f t="shared" si="1055"/>
        <v>11665676006.012001</v>
      </c>
      <c r="R1413" s="472">
        <f t="shared" si="1056"/>
        <v>1166567600.6012001</v>
      </c>
      <c r="S1413" s="1189">
        <f t="shared" si="1057"/>
        <v>2017</v>
      </c>
      <c r="T1413" s="470">
        <f t="shared" si="1058"/>
        <v>1</v>
      </c>
      <c r="U1413" s="612">
        <f t="shared" si="1059"/>
        <v>1166567600.6012001</v>
      </c>
      <c r="V1413" s="464">
        <f t="shared" si="1060"/>
        <v>2017</v>
      </c>
      <c r="W1413" s="612">
        <f t="shared" si="1061"/>
        <v>10499108405.410801</v>
      </c>
      <c r="X1413" s="473"/>
      <c r="Y1413" s="478"/>
      <c r="Z1413" s="449"/>
      <c r="AA1413" s="492" t="s">
        <v>4182</v>
      </c>
      <c r="AB1413" s="476"/>
      <c r="AC1413" s="476"/>
      <c r="AD1413" s="567">
        <f>AD1410-AD1412</f>
        <v>14501540582.342749</v>
      </c>
      <c r="AE1413" s="476"/>
      <c r="AF1413" s="568"/>
      <c r="AG1413" s="476"/>
      <c r="AH1413" s="476"/>
      <c r="AI1413" s="477"/>
      <c r="AJ1413" s="478"/>
      <c r="AK1413" s="479"/>
      <c r="AL1413" s="480"/>
      <c r="AM1413" s="474"/>
      <c r="AN1413" s="481"/>
      <c r="AO1413" s="474"/>
      <c r="AP1413" s="476"/>
      <c r="AQ1413" s="482"/>
      <c r="AR1413" s="478"/>
      <c r="AS1413" s="478"/>
      <c r="AT1413" s="476"/>
      <c r="AU1413" s="482"/>
      <c r="AV1413" s="478"/>
      <c r="AW1413" s="483"/>
      <c r="AX1413" s="476"/>
      <c r="AY1413" s="482"/>
      <c r="AZ1413" s="478"/>
      <c r="BA1413" s="484"/>
      <c r="BB1413" s="474"/>
      <c r="BC1413" s="485"/>
      <c r="BD1413" s="485"/>
      <c r="BG1413" s="487"/>
    </row>
    <row r="1414" spans="1:59" s="486" customFormat="1" ht="18" customHeight="1" x14ac:dyDescent="0.2">
      <c r="A1414" s="1368" t="str">
        <f t="shared" si="1046"/>
        <v>SIMP. 4 PT. WANASARI - SUKAMAJU2017</v>
      </c>
      <c r="B1414" s="1373">
        <v>9</v>
      </c>
      <c r="C1414" s="488" t="s">
        <v>2497</v>
      </c>
      <c r="D1414" s="489"/>
      <c r="E1414" s="558"/>
      <c r="F1414" s="466">
        <v>2017</v>
      </c>
      <c r="G1414" s="619">
        <v>0</v>
      </c>
      <c r="H1414" s="464">
        <f t="shared" si="1047"/>
        <v>10</v>
      </c>
      <c r="I1414" s="560"/>
      <c r="J1414" s="468">
        <f t="shared" si="1048"/>
        <v>2026</v>
      </c>
      <c r="K1414" s="490">
        <f t="shared" si="1049"/>
        <v>0</v>
      </c>
      <c r="L1414" s="469">
        <f t="shared" si="1050"/>
        <v>0</v>
      </c>
      <c r="M1414" s="683">
        <f t="shared" si="1051"/>
        <v>0</v>
      </c>
      <c r="N1414" s="470">
        <f t="shared" si="1052"/>
        <v>10</v>
      </c>
      <c r="O1414" s="468">
        <f t="shared" si="1053"/>
        <v>2026</v>
      </c>
      <c r="P1414" s="616">
        <f t="shared" si="1054"/>
        <v>10499108405.410801</v>
      </c>
      <c r="Q1414" s="472">
        <f t="shared" si="1055"/>
        <v>10499108405.410801</v>
      </c>
      <c r="R1414" s="472">
        <f t="shared" si="1056"/>
        <v>1166567600.6012001</v>
      </c>
      <c r="S1414" s="1189">
        <f t="shared" si="1057"/>
        <v>2017</v>
      </c>
      <c r="T1414" s="470">
        <f t="shared" si="1058"/>
        <v>0</v>
      </c>
      <c r="U1414" s="612">
        <f t="shared" si="1059"/>
        <v>0</v>
      </c>
      <c r="V1414" s="464">
        <f t="shared" si="1060"/>
        <v>2017</v>
      </c>
      <c r="W1414" s="612">
        <f t="shared" si="1061"/>
        <v>10499108405.410801</v>
      </c>
      <c r="X1414" s="473"/>
      <c r="Y1414" s="478"/>
      <c r="Z1414" s="449"/>
      <c r="AA1414" s="492"/>
      <c r="AB1414" s="476"/>
      <c r="AC1414" s="476"/>
      <c r="AD1414" s="567"/>
      <c r="AE1414" s="476"/>
      <c r="AF1414" s="568"/>
      <c r="AG1414" s="476"/>
      <c r="AH1414" s="476"/>
      <c r="AI1414" s="477"/>
      <c r="AJ1414" s="478"/>
      <c r="AK1414" s="479"/>
      <c r="AL1414" s="480"/>
      <c r="AM1414" s="474"/>
      <c r="AN1414" s="481"/>
      <c r="AO1414" s="474"/>
      <c r="AP1414" s="476"/>
      <c r="AQ1414" s="482"/>
      <c r="AR1414" s="478"/>
      <c r="AS1414" s="478"/>
      <c r="AT1414" s="476"/>
      <c r="AU1414" s="482"/>
      <c r="AV1414" s="478"/>
      <c r="AW1414" s="483"/>
      <c r="AX1414" s="476"/>
      <c r="AY1414" s="482"/>
      <c r="AZ1414" s="478"/>
      <c r="BA1414" s="484"/>
      <c r="BB1414" s="474"/>
      <c r="BC1414" s="485"/>
      <c r="BD1414" s="485"/>
      <c r="BG1414" s="487"/>
    </row>
    <row r="1415" spans="1:59" s="486" customFormat="1" ht="18" customHeight="1" x14ac:dyDescent="0.2">
      <c r="A1415" s="1368" t="str">
        <f t="shared" si="1046"/>
        <v>SIMP. 4 PT. WANASARI - SUKAMAJU2018</v>
      </c>
      <c r="B1415" s="1373">
        <v>10</v>
      </c>
      <c r="C1415" s="493" t="s">
        <v>3339</v>
      </c>
      <c r="D1415" s="489"/>
      <c r="E1415" s="465"/>
      <c r="F1415" s="466">
        <v>2018</v>
      </c>
      <c r="G1415" s="620">
        <f>452524755+2159457861</f>
        <v>2611982616</v>
      </c>
      <c r="H1415" s="464">
        <f t="shared" si="1047"/>
        <v>9</v>
      </c>
      <c r="I1415" s="560"/>
      <c r="J1415" s="468">
        <f t="shared" si="1048"/>
        <v>2027</v>
      </c>
      <c r="K1415" s="490">
        <f t="shared" si="1049"/>
        <v>0.24878137410733786</v>
      </c>
      <c r="L1415" s="469">
        <f t="shared" si="1050"/>
        <v>2</v>
      </c>
      <c r="M1415" s="683">
        <f t="shared" si="1051"/>
        <v>1</v>
      </c>
      <c r="N1415" s="470">
        <f t="shared" si="1052"/>
        <v>10</v>
      </c>
      <c r="O1415" s="468">
        <f t="shared" si="1053"/>
        <v>2027</v>
      </c>
      <c r="P1415" s="616">
        <f t="shared" si="1054"/>
        <v>10499108405.410801</v>
      </c>
      <c r="Q1415" s="472">
        <f t="shared" si="1055"/>
        <v>13111091021.410801</v>
      </c>
      <c r="R1415" s="472">
        <f t="shared" si="1056"/>
        <v>1311109102.1410801</v>
      </c>
      <c r="S1415" s="1189">
        <f t="shared" si="1057"/>
        <v>2018</v>
      </c>
      <c r="T1415" s="470">
        <f t="shared" si="1058"/>
        <v>1</v>
      </c>
      <c r="U1415" s="612">
        <f t="shared" si="1059"/>
        <v>1311109102.1410801</v>
      </c>
      <c r="V1415" s="464">
        <f t="shared" si="1060"/>
        <v>2018</v>
      </c>
      <c r="W1415" s="612">
        <f t="shared" si="1061"/>
        <v>11799981919.26972</v>
      </c>
      <c r="X1415" s="473"/>
      <c r="Y1415" s="478"/>
      <c r="Z1415" s="449"/>
      <c r="AA1415" s="531" t="s">
        <v>4183</v>
      </c>
      <c r="AB1415" s="496"/>
      <c r="AC1415" s="496"/>
      <c r="AD1415" s="569">
        <f>AD1413-W1420</f>
        <v>0</v>
      </c>
      <c r="AE1415" s="476"/>
      <c r="AF1415" s="568"/>
      <c r="AG1415" s="476"/>
      <c r="AH1415" s="476"/>
      <c r="AI1415" s="477"/>
      <c r="AJ1415" s="478"/>
      <c r="AK1415" s="479"/>
      <c r="AL1415" s="480"/>
      <c r="AM1415" s="474"/>
      <c r="AN1415" s="481"/>
      <c r="AO1415" s="474"/>
      <c r="AP1415" s="476"/>
      <c r="AQ1415" s="482"/>
      <c r="AR1415" s="478"/>
      <c r="AS1415" s="478"/>
      <c r="AT1415" s="476"/>
      <c r="AU1415" s="482"/>
      <c r="AV1415" s="478"/>
      <c r="AW1415" s="483"/>
      <c r="AX1415" s="476"/>
      <c r="AY1415" s="482"/>
      <c r="AZ1415" s="478"/>
      <c r="BA1415" s="484"/>
      <c r="BB1415" s="474"/>
      <c r="BC1415" s="485"/>
      <c r="BD1415" s="485"/>
      <c r="BG1415" s="487"/>
    </row>
    <row r="1416" spans="1:59" s="486" customFormat="1" ht="18" customHeight="1" x14ac:dyDescent="0.2">
      <c r="A1416" s="1368" t="str">
        <f t="shared" si="1046"/>
        <v>SIMP. 4 PT. WANASARI - SUKAMAJU2018</v>
      </c>
      <c r="B1416" s="1373">
        <v>11</v>
      </c>
      <c r="C1416" s="493" t="s">
        <v>3316</v>
      </c>
      <c r="D1416" s="489"/>
      <c r="E1416" s="465"/>
      <c r="F1416" s="466">
        <v>2018</v>
      </c>
      <c r="G1416" s="620">
        <v>0</v>
      </c>
      <c r="H1416" s="464">
        <f t="shared" si="1047"/>
        <v>10</v>
      </c>
      <c r="I1416" s="560"/>
      <c r="J1416" s="468">
        <f t="shared" si="1048"/>
        <v>2027</v>
      </c>
      <c r="K1416" s="490">
        <f t="shared" si="1049"/>
        <v>0</v>
      </c>
      <c r="L1416" s="469">
        <f t="shared" si="1050"/>
        <v>0</v>
      </c>
      <c r="M1416" s="683">
        <f t="shared" si="1051"/>
        <v>0</v>
      </c>
      <c r="N1416" s="470">
        <f t="shared" si="1052"/>
        <v>10</v>
      </c>
      <c r="O1416" s="468">
        <f t="shared" si="1053"/>
        <v>2027</v>
      </c>
      <c r="P1416" s="616">
        <f t="shared" si="1054"/>
        <v>11799981919.26972</v>
      </c>
      <c r="Q1416" s="472">
        <f t="shared" si="1055"/>
        <v>11799981919.26972</v>
      </c>
      <c r="R1416" s="472">
        <f t="shared" si="1056"/>
        <v>1311109102.1410801</v>
      </c>
      <c r="S1416" s="1189">
        <f t="shared" si="1057"/>
        <v>2018</v>
      </c>
      <c r="T1416" s="470">
        <f t="shared" si="1058"/>
        <v>0</v>
      </c>
      <c r="U1416" s="612">
        <f t="shared" si="1059"/>
        <v>0</v>
      </c>
      <c r="V1416" s="464">
        <f t="shared" si="1060"/>
        <v>2018</v>
      </c>
      <c r="W1416" s="612">
        <f t="shared" si="1061"/>
        <v>11799981919.26972</v>
      </c>
      <c r="X1416" s="473"/>
      <c r="Y1416" s="478"/>
      <c r="Z1416" s="449"/>
      <c r="AA1416" s="573"/>
      <c r="AB1416" s="476"/>
      <c r="AC1416" s="476"/>
      <c r="AD1416" s="568"/>
      <c r="AE1416" s="476"/>
      <c r="AF1416" s="568"/>
      <c r="AG1416" s="476"/>
      <c r="AH1416" s="476"/>
      <c r="AI1416" s="477"/>
      <c r="AJ1416" s="478"/>
      <c r="AK1416" s="479"/>
      <c r="AL1416" s="480"/>
      <c r="AM1416" s="474"/>
      <c r="AN1416" s="481"/>
      <c r="AO1416" s="474"/>
      <c r="AP1416" s="476"/>
      <c r="AQ1416" s="482"/>
      <c r="AR1416" s="478"/>
      <c r="AS1416" s="478"/>
      <c r="AT1416" s="476"/>
      <c r="AU1416" s="482"/>
      <c r="AV1416" s="478"/>
      <c r="AW1416" s="483"/>
      <c r="AX1416" s="476"/>
      <c r="AY1416" s="482"/>
      <c r="AZ1416" s="478"/>
      <c r="BA1416" s="484"/>
      <c r="BB1416" s="474"/>
      <c r="BC1416" s="485"/>
      <c r="BD1416" s="485"/>
      <c r="BG1416" s="487"/>
    </row>
    <row r="1417" spans="1:59" s="486" customFormat="1" ht="18" customHeight="1" x14ac:dyDescent="0.2">
      <c r="A1417" s="1368" t="str">
        <f t="shared" si="1046"/>
        <v>SIMP. 4 PT. WANASARI - SUKAMAJU2019</v>
      </c>
      <c r="B1417" s="687">
        <v>12</v>
      </c>
      <c r="C1417" s="463" t="s">
        <v>5671</v>
      </c>
      <c r="D1417" s="489"/>
      <c r="E1417" s="465"/>
      <c r="F1417" s="466">
        <v>2019</v>
      </c>
      <c r="G1417" s="620">
        <v>4312840950</v>
      </c>
      <c r="H1417" s="464">
        <f>IF(N1416-(F1417-F1416)&lt;=0,0,(N1416-(F1417-F1416)))</f>
        <v>9</v>
      </c>
      <c r="I1417" s="560"/>
      <c r="J1417" s="468">
        <f>F1417+N1417-1</f>
        <v>2028</v>
      </c>
      <c r="K1417" s="490">
        <f>IF(G1417=0,0,IF(H1417=10,100%,G1417/W1416))</f>
        <v>0.36549555579886128</v>
      </c>
      <c r="L1417" s="469">
        <f>IF(K1417=0%,0,IF(K1417&lt;=30%,2,IF(K1417&lt;=60%,5,10)))</f>
        <v>5</v>
      </c>
      <c r="M1417" s="683">
        <f t="shared" si="1051"/>
        <v>1</v>
      </c>
      <c r="N1417" s="470">
        <f>IF(OR(AND(ISBLANK(F1417),ISBLANK(G1417)),ISTEXT(F1417),ISTEXT(G1417)),"",H1417+M1417)</f>
        <v>10</v>
      </c>
      <c r="O1417" s="468">
        <f>F1417+N1417-1</f>
        <v>2028</v>
      </c>
      <c r="P1417" s="616">
        <f>W1416</f>
        <v>11799981919.26972</v>
      </c>
      <c r="Q1417" s="472">
        <f>P1417+G1417</f>
        <v>16112822869.26972</v>
      </c>
      <c r="R1417" s="472">
        <f>IF(L1417=0,R1416,Q1417/N1417)</f>
        <v>1611282286.9269719</v>
      </c>
      <c r="S1417" s="1189">
        <f>F1417</f>
        <v>2019</v>
      </c>
      <c r="T1417" s="470">
        <f>S1417-S1416</f>
        <v>1</v>
      </c>
      <c r="U1417" s="612">
        <f>R1417*T1417</f>
        <v>1611282286.9269719</v>
      </c>
      <c r="V1417" s="464">
        <f>F1417</f>
        <v>2019</v>
      </c>
      <c r="W1417" s="612">
        <f>IF(OR(AND(ISBLANK(E1417),ISBLANK(G1417)),ISTEXT(E1417),ISTEXT(G1417)),"",Q1417-U1417)</f>
        <v>14501540582.342749</v>
      </c>
      <c r="X1417" s="473"/>
      <c r="Y1417" s="478"/>
      <c r="Z1417" s="449"/>
      <c r="AA1417" s="573"/>
      <c r="AB1417" s="476"/>
      <c r="AC1417" s="476"/>
      <c r="AD1417" s="568"/>
      <c r="AE1417" s="476"/>
      <c r="AF1417" s="568"/>
      <c r="AG1417" s="476"/>
      <c r="AH1417" s="476"/>
      <c r="AI1417" s="477"/>
      <c r="AJ1417" s="478"/>
      <c r="AK1417" s="479"/>
      <c r="AL1417" s="480"/>
      <c r="AM1417" s="474"/>
      <c r="AN1417" s="481"/>
      <c r="AO1417" s="474"/>
      <c r="AP1417" s="476"/>
      <c r="AQ1417" s="482"/>
      <c r="AR1417" s="478"/>
      <c r="AS1417" s="478"/>
      <c r="AT1417" s="476"/>
      <c r="AU1417" s="482"/>
      <c r="AV1417" s="478"/>
      <c r="AW1417" s="483"/>
      <c r="AX1417" s="476"/>
      <c r="AY1417" s="482"/>
      <c r="AZ1417" s="478"/>
      <c r="BA1417" s="484"/>
      <c r="BB1417" s="474"/>
      <c r="BC1417" s="485"/>
      <c r="BD1417" s="485"/>
      <c r="BG1417" s="487"/>
    </row>
    <row r="1418" spans="1:59" s="486" customFormat="1" ht="18" customHeight="1" x14ac:dyDescent="0.2">
      <c r="A1418" s="1368"/>
      <c r="B1418" s="687"/>
      <c r="C1418" s="463"/>
      <c r="D1418" s="489"/>
      <c r="E1418" s="465"/>
      <c r="F1418" s="466"/>
      <c r="G1418" s="620"/>
      <c r="H1418" s="464"/>
      <c r="I1418" s="467"/>
      <c r="J1418" s="468"/>
      <c r="K1418" s="490"/>
      <c r="L1418" s="469"/>
      <c r="M1418" s="683"/>
      <c r="N1418" s="470"/>
      <c r="O1418" s="468"/>
      <c r="P1418" s="616"/>
      <c r="Q1418" s="472"/>
      <c r="R1418" s="472"/>
      <c r="S1418" s="1189"/>
      <c r="T1418" s="470"/>
      <c r="U1418" s="612"/>
      <c r="V1418" s="464"/>
      <c r="W1418" s="612"/>
      <c r="X1418" s="473"/>
      <c r="Y1418" s="478"/>
      <c r="Z1418" s="449"/>
      <c r="AA1418" s="573"/>
      <c r="AB1418" s="476"/>
      <c r="AC1418" s="476"/>
      <c r="AD1418" s="568"/>
      <c r="AE1418" s="476"/>
      <c r="AF1418" s="568"/>
      <c r="AG1418" s="476"/>
      <c r="AH1418" s="476"/>
      <c r="AI1418" s="477"/>
      <c r="AJ1418" s="478"/>
      <c r="AK1418" s="479"/>
      <c r="AL1418" s="480"/>
      <c r="AM1418" s="474"/>
      <c r="AN1418" s="481"/>
      <c r="AO1418" s="474"/>
      <c r="AP1418" s="476"/>
      <c r="AQ1418" s="482"/>
      <c r="AR1418" s="478"/>
      <c r="AS1418" s="478"/>
      <c r="AT1418" s="476"/>
      <c r="AU1418" s="482"/>
      <c r="AV1418" s="478"/>
      <c r="AW1418" s="483"/>
      <c r="AX1418" s="476"/>
      <c r="AY1418" s="482"/>
      <c r="AZ1418" s="478"/>
      <c r="BA1418" s="484"/>
      <c r="BB1418" s="474"/>
      <c r="BC1418" s="485"/>
      <c r="BD1418" s="485"/>
      <c r="BG1418" s="487"/>
    </row>
    <row r="1419" spans="1:59" s="486" customFormat="1" ht="18" customHeight="1" x14ac:dyDescent="0.2">
      <c r="A1419" s="1368" t="str">
        <f>LEFT(D1419,8)</f>
        <v/>
      </c>
      <c r="B1419" s="687"/>
      <c r="C1419" s="463"/>
      <c r="D1419" s="489"/>
      <c r="E1419" s="465"/>
      <c r="F1419" s="466"/>
      <c r="G1419" s="620"/>
      <c r="H1419" s="464"/>
      <c r="I1419" s="467"/>
      <c r="J1419" s="468"/>
      <c r="K1419" s="574"/>
      <c r="L1419" s="469"/>
      <c r="M1419" s="683"/>
      <c r="N1419" s="470"/>
      <c r="O1419" s="468"/>
      <c r="P1419" s="616"/>
      <c r="Q1419" s="472"/>
      <c r="R1419" s="472"/>
      <c r="S1419" s="634"/>
      <c r="T1419" s="470"/>
      <c r="U1419" s="612"/>
      <c r="V1419" s="464"/>
      <c r="W1419" s="612"/>
      <c r="X1419" s="473"/>
      <c r="Y1419" s="478"/>
      <c r="Z1419" s="449"/>
      <c r="AA1419" s="573"/>
      <c r="AB1419" s="476"/>
      <c r="AC1419" s="476"/>
      <c r="AD1419" s="568"/>
      <c r="AE1419" s="476"/>
      <c r="AF1419" s="568"/>
      <c r="AG1419" s="476"/>
      <c r="AH1419" s="476"/>
      <c r="AI1419" s="477"/>
      <c r="AJ1419" s="478"/>
      <c r="AK1419" s="479"/>
      <c r="AL1419" s="480"/>
      <c r="AM1419" s="474"/>
      <c r="AN1419" s="481"/>
      <c r="AO1419" s="474"/>
      <c r="AP1419" s="476"/>
      <c r="AQ1419" s="482"/>
      <c r="AR1419" s="478"/>
      <c r="AS1419" s="478"/>
      <c r="AT1419" s="476"/>
      <c r="AU1419" s="482"/>
      <c r="AV1419" s="478"/>
      <c r="AW1419" s="483"/>
      <c r="AX1419" s="476"/>
      <c r="AY1419" s="482"/>
      <c r="AZ1419" s="478"/>
      <c r="BA1419" s="484"/>
      <c r="BB1419" s="474"/>
      <c r="BC1419" s="485"/>
      <c r="BD1419" s="485"/>
      <c r="BG1419" s="487"/>
    </row>
    <row r="1420" spans="1:59" s="526" customFormat="1" ht="18" customHeight="1" x14ac:dyDescent="0.2">
      <c r="A1420" s="1370" t="s">
        <v>4184</v>
      </c>
      <c r="B1420" s="1956" t="s">
        <v>4184</v>
      </c>
      <c r="C1420" s="1957"/>
      <c r="D1420" s="1957"/>
      <c r="E1420" s="1957"/>
      <c r="F1420" s="1958"/>
      <c r="G1420" s="624">
        <f>SUM(G1402:G1419)</f>
        <v>30467790864.935066</v>
      </c>
      <c r="H1420" s="505"/>
      <c r="I1420" s="506"/>
      <c r="J1420" s="507"/>
      <c r="K1420" s="507"/>
      <c r="L1420" s="505"/>
      <c r="M1420" s="684"/>
      <c r="N1420" s="508"/>
      <c r="O1420" s="507"/>
      <c r="P1420" s="749"/>
      <c r="Q1420" s="510"/>
      <c r="R1420" s="511"/>
      <c r="S1420" s="512"/>
      <c r="T1420" s="512"/>
      <c r="U1420" s="610">
        <f>SUM(U1402:U1419)</f>
        <v>15966250282.592318</v>
      </c>
      <c r="V1420" s="513"/>
      <c r="W1420" s="610">
        <f>G1420-U1420</f>
        <v>14501540582.342749</v>
      </c>
      <c r="X1420" s="514"/>
      <c r="Y1420" s="515"/>
      <c r="Z1420" s="515"/>
      <c r="AA1420" s="515"/>
      <c r="AB1420" s="515"/>
      <c r="AC1420" s="515"/>
      <c r="AD1420" s="570"/>
      <c r="AE1420" s="515"/>
      <c r="AF1420" s="570"/>
      <c r="AG1420" s="515"/>
      <c r="AH1420" s="515"/>
      <c r="AI1420" s="516"/>
      <c r="AJ1420" s="517"/>
      <c r="AK1420" s="518"/>
      <c r="AL1420" s="519"/>
      <c r="AM1420" s="520"/>
      <c r="AN1420" s="521"/>
      <c r="AO1420" s="520"/>
      <c r="AP1420" s="515"/>
      <c r="AQ1420" s="522"/>
      <c r="AR1420" s="517"/>
      <c r="AS1420" s="517"/>
      <c r="AT1420" s="515"/>
      <c r="AU1420" s="522"/>
      <c r="AV1420" s="517"/>
      <c r="AW1420" s="523"/>
      <c r="AX1420" s="515"/>
      <c r="AY1420" s="522"/>
      <c r="AZ1420" s="517"/>
      <c r="BA1420" s="524"/>
      <c r="BB1420" s="520"/>
      <c r="BC1420" s="525"/>
      <c r="BD1420" s="525"/>
      <c r="BG1420" s="527"/>
    </row>
    <row r="1422" spans="1:59" x14ac:dyDescent="0.2">
      <c r="K1422" s="627"/>
    </row>
    <row r="1423" spans="1:59" s="422" customFormat="1" ht="18" customHeight="1" x14ac:dyDescent="0.2">
      <c r="A1423" s="1366">
        <f>C1423</f>
        <v>246</v>
      </c>
      <c r="B1423" s="742" t="s">
        <v>4187</v>
      </c>
      <c r="C1423" s="556">
        <v>246</v>
      </c>
      <c r="D1423" s="553" t="str">
        <f>VLOOKUP(C1423,RUAS,2,FALSE)</f>
        <v>SEI. SIRIH - SIMP. 4 PT. WANASARI</v>
      </c>
      <c r="E1423" s="553"/>
      <c r="F1423" s="421"/>
      <c r="G1423" s="611"/>
      <c r="I1423" s="423"/>
      <c r="J1423" s="424"/>
      <c r="K1423" s="424"/>
      <c r="M1423" s="680"/>
      <c r="P1423" s="611"/>
      <c r="U1423" s="611"/>
      <c r="W1423" s="611"/>
      <c r="Y1423" s="425"/>
      <c r="Z1423" s="425"/>
      <c r="AA1423" s="425"/>
      <c r="AB1423" s="425"/>
      <c r="AC1423" s="425"/>
      <c r="AD1423" s="563"/>
      <c r="AE1423" s="425"/>
      <c r="AF1423" s="563"/>
      <c r="AG1423" s="425"/>
      <c r="AH1423" s="425"/>
      <c r="AI1423" s="425"/>
      <c r="AJ1423" s="425"/>
      <c r="AK1423" s="425"/>
      <c r="AL1423" s="425"/>
      <c r="AM1423" s="425"/>
      <c r="AN1423" s="425"/>
      <c r="AO1423" s="425"/>
      <c r="AP1423" s="425"/>
      <c r="AQ1423" s="425"/>
      <c r="AR1423" s="425"/>
      <c r="AS1423" s="425"/>
      <c r="AT1423" s="425"/>
      <c r="AU1423" s="425"/>
      <c r="AV1423" s="425"/>
      <c r="AW1423" s="425"/>
      <c r="AX1423" s="425"/>
      <c r="AY1423" s="425"/>
      <c r="AZ1423" s="425"/>
      <c r="BA1423" s="425"/>
      <c r="BB1423" s="425"/>
    </row>
    <row r="1424" spans="1:59" s="431" customFormat="1" ht="18" customHeight="1" x14ac:dyDescent="0.2">
      <c r="A1424" s="1367"/>
      <c r="B1424" s="1968" t="s">
        <v>5</v>
      </c>
      <c r="C1424" s="1968" t="s">
        <v>2280</v>
      </c>
      <c r="D1424" s="1968" t="s">
        <v>4157</v>
      </c>
      <c r="E1424" s="1968" t="s">
        <v>4158</v>
      </c>
      <c r="F1424" s="1968"/>
      <c r="G1424" s="2042" t="s">
        <v>4159</v>
      </c>
      <c r="H1424" s="1968" t="s">
        <v>4160</v>
      </c>
      <c r="I1424" s="1968"/>
      <c r="J1424" s="1968" t="s">
        <v>4185</v>
      </c>
      <c r="K1424" s="1964" t="s">
        <v>4162</v>
      </c>
      <c r="L1424" s="1968" t="s">
        <v>4163</v>
      </c>
      <c r="M1424" s="1971" t="s">
        <v>4164</v>
      </c>
      <c r="N1424" s="1962" t="s">
        <v>4165</v>
      </c>
      <c r="O1424" s="1968" t="s">
        <v>4166</v>
      </c>
      <c r="P1424" s="1972" t="s">
        <v>4167</v>
      </c>
      <c r="Q1424" s="1973"/>
      <c r="R1424" s="1175" t="s">
        <v>4186</v>
      </c>
      <c r="S1424" s="1972" t="s">
        <v>4169</v>
      </c>
      <c r="T1424" s="1974"/>
      <c r="U1424" s="1973"/>
      <c r="V1424" s="1975" t="s">
        <v>4170</v>
      </c>
      <c r="W1424" s="1975"/>
      <c r="X1424" s="1960" t="s">
        <v>4171</v>
      </c>
      <c r="Y1424" s="1959"/>
      <c r="Z1424" s="1172"/>
      <c r="AA1424" s="426"/>
      <c r="AB1424" s="426"/>
      <c r="AC1424" s="426"/>
      <c r="AD1424" s="564"/>
      <c r="AE1424" s="426"/>
      <c r="AF1424" s="564"/>
      <c r="AG1424" s="426"/>
      <c r="AH1424" s="426"/>
      <c r="AI1424" s="427"/>
      <c r="AJ1424" s="427"/>
      <c r="AK1424" s="427"/>
      <c r="AL1424" s="427"/>
      <c r="AM1424" s="428"/>
      <c r="AN1424" s="427"/>
      <c r="AO1424" s="427"/>
      <c r="AP1424" s="426"/>
      <c r="AQ1424" s="427"/>
      <c r="AR1424" s="427"/>
      <c r="AS1424" s="427"/>
      <c r="AT1424" s="426"/>
      <c r="AU1424" s="427"/>
      <c r="AV1424" s="427"/>
      <c r="AW1424" s="427"/>
      <c r="AX1424" s="426"/>
      <c r="AY1424" s="427"/>
      <c r="AZ1424" s="427"/>
      <c r="BA1424" s="427"/>
      <c r="BB1424" s="429"/>
      <c r="BC1424" s="430"/>
      <c r="BD1424" s="430"/>
    </row>
    <row r="1425" spans="1:59" s="431" customFormat="1" ht="18" customHeight="1" x14ac:dyDescent="0.2">
      <c r="A1425" s="1367"/>
      <c r="B1425" s="1968"/>
      <c r="C1425" s="1968"/>
      <c r="D1425" s="1968"/>
      <c r="E1425" s="1968"/>
      <c r="F1425" s="1968"/>
      <c r="G1425" s="2042"/>
      <c r="H1425" s="1968"/>
      <c r="I1425" s="1968"/>
      <c r="J1425" s="1968"/>
      <c r="K1425" s="1970"/>
      <c r="L1425" s="1968"/>
      <c r="M1425" s="1971"/>
      <c r="N1425" s="1963"/>
      <c r="O1425" s="1968"/>
      <c r="P1425" s="2037" t="s">
        <v>4172</v>
      </c>
      <c r="Q1425" s="1960" t="s">
        <v>4173</v>
      </c>
      <c r="R1425" s="1962" t="s">
        <v>4159</v>
      </c>
      <c r="S1425" s="1962" t="s">
        <v>4174</v>
      </c>
      <c r="T1425" s="1964" t="s">
        <v>4175</v>
      </c>
      <c r="U1425" s="1966" t="s">
        <v>4159</v>
      </c>
      <c r="V1425" s="1975"/>
      <c r="W1425" s="1975"/>
      <c r="X1425" s="1976"/>
      <c r="Y1425" s="1959"/>
      <c r="Z1425" s="1172"/>
      <c r="AA1425" s="426"/>
      <c r="AB1425" s="426"/>
      <c r="AC1425" s="426"/>
      <c r="AD1425" s="564"/>
      <c r="AE1425" s="426"/>
      <c r="AF1425" s="564"/>
      <c r="AG1425" s="426"/>
      <c r="AH1425" s="426"/>
      <c r="AI1425" s="427"/>
      <c r="AJ1425" s="427"/>
      <c r="AK1425" s="426"/>
      <c r="AL1425" s="427"/>
      <c r="AM1425" s="428"/>
      <c r="AN1425" s="427"/>
      <c r="AO1425" s="427"/>
      <c r="AP1425" s="432"/>
      <c r="AQ1425" s="427"/>
      <c r="AR1425" s="427"/>
      <c r="AS1425" s="427"/>
      <c r="AT1425" s="432"/>
      <c r="AU1425" s="427"/>
      <c r="AV1425" s="427"/>
      <c r="AW1425" s="427"/>
      <c r="AX1425" s="432"/>
      <c r="AY1425" s="427"/>
      <c r="AZ1425" s="427"/>
      <c r="BA1425" s="427"/>
      <c r="BB1425" s="429"/>
      <c r="BC1425" s="430"/>
      <c r="BD1425" s="430"/>
    </row>
    <row r="1426" spans="1:59" s="431" customFormat="1" ht="18" customHeight="1" x14ac:dyDescent="0.2">
      <c r="A1426" s="1367"/>
      <c r="B1426" s="1968"/>
      <c r="C1426" s="1968"/>
      <c r="D1426" s="1968"/>
      <c r="E1426" s="433" t="s">
        <v>4176</v>
      </c>
      <c r="F1426" s="434" t="s">
        <v>2288</v>
      </c>
      <c r="G1426" s="2042"/>
      <c r="H1426" s="1173" t="s">
        <v>2288</v>
      </c>
      <c r="I1426" s="1173" t="s">
        <v>4177</v>
      </c>
      <c r="J1426" s="1968"/>
      <c r="K1426" s="1965"/>
      <c r="L1426" s="435" t="s">
        <v>2288</v>
      </c>
      <c r="M1426" s="681" t="s">
        <v>2288</v>
      </c>
      <c r="N1426" s="1173" t="s">
        <v>2288</v>
      </c>
      <c r="O1426" s="1968"/>
      <c r="P1426" s="2038"/>
      <c r="Q1426" s="1961"/>
      <c r="R1426" s="1963"/>
      <c r="S1426" s="1963"/>
      <c r="T1426" s="1965"/>
      <c r="U1426" s="1967"/>
      <c r="V1426" s="1173" t="s">
        <v>4178</v>
      </c>
      <c r="W1426" s="1174" t="s">
        <v>4159</v>
      </c>
      <c r="X1426" s="1961"/>
      <c r="Y1426" s="436"/>
      <c r="Z1426" s="436"/>
      <c r="AA1426" s="426"/>
      <c r="AB1426" s="426"/>
      <c r="AC1426" s="426"/>
      <c r="AD1426" s="564"/>
      <c r="AE1426" s="426"/>
      <c r="AF1426" s="564"/>
      <c r="AG1426" s="426"/>
      <c r="AH1426" s="426"/>
      <c r="AI1426" s="427"/>
      <c r="AJ1426" s="432"/>
      <c r="AK1426" s="432"/>
      <c r="AL1426" s="427"/>
      <c r="AM1426" s="428"/>
      <c r="AN1426" s="432"/>
      <c r="AO1426" s="427"/>
      <c r="AP1426" s="432"/>
      <c r="AQ1426" s="432"/>
      <c r="AR1426" s="427"/>
      <c r="AS1426" s="427"/>
      <c r="AT1426" s="432"/>
      <c r="AU1426" s="432"/>
      <c r="AV1426" s="427"/>
      <c r="AW1426" s="427"/>
      <c r="AX1426" s="432"/>
      <c r="AY1426" s="432"/>
      <c r="AZ1426" s="427"/>
      <c r="BA1426" s="427"/>
      <c r="BB1426" s="429"/>
      <c r="BC1426" s="430"/>
      <c r="BD1426" s="430"/>
    </row>
    <row r="1427" spans="1:59" s="461" customFormat="1" ht="18" customHeight="1" x14ac:dyDescent="0.2">
      <c r="A1427" s="1368" t="str">
        <f>$D$1423&amp;S1427</f>
        <v>SEI. SIRIH - SIMP. 4 PT. WANASARI2007</v>
      </c>
      <c r="B1427" s="1373">
        <v>1</v>
      </c>
      <c r="C1427" s="532" t="s">
        <v>5081</v>
      </c>
      <c r="D1427" s="437" t="s">
        <v>3821</v>
      </c>
      <c r="E1427" s="438"/>
      <c r="F1427" s="439">
        <v>2007</v>
      </c>
      <c r="G1427" s="623">
        <v>442451120.5388456</v>
      </c>
      <c r="H1427" s="440">
        <f>VLOOKUP(LEFT(D1427,8),UE,4)</f>
        <v>10</v>
      </c>
      <c r="I1427" s="441"/>
      <c r="J1427" s="442">
        <f>F1427+N1427-1</f>
        <v>2016</v>
      </c>
      <c r="K1427" s="443"/>
      <c r="L1427" s="440"/>
      <c r="M1427" s="746">
        <f>IF(H1427+L1427&gt;$H1427,$H1427-H1427,L1427)</f>
        <v>0</v>
      </c>
      <c r="N1427" s="444">
        <f>H1427+M1427</f>
        <v>10</v>
      </c>
      <c r="O1427" s="442">
        <f>F1427+N1427-1</f>
        <v>2016</v>
      </c>
      <c r="P1427" s="617">
        <f>G1427</f>
        <v>442451120.5388456</v>
      </c>
      <c r="Q1427" s="445">
        <v>0</v>
      </c>
      <c r="R1427" s="445">
        <f>P1427/N1427</f>
        <v>44245112.053884558</v>
      </c>
      <c r="S1427" s="446">
        <f>F1427</f>
        <v>2007</v>
      </c>
      <c r="T1427" s="447">
        <v>1</v>
      </c>
      <c r="U1427" s="613">
        <f>R1427*T1427</f>
        <v>44245112.053884558</v>
      </c>
      <c r="V1427" s="442">
        <f>F1427</f>
        <v>2007</v>
      </c>
      <c r="W1427" s="617">
        <f>IF(OR(AND(ISBLANK(E1427),ISBLANK(G1427)),ISTEXT(E1427),ISTEXT(G1427)),"",G1427-R1427)</f>
        <v>398206008.48496103</v>
      </c>
      <c r="X1427" s="448"/>
      <c r="Y1427" s="449"/>
      <c r="Z1427" s="449"/>
      <c r="AA1427" s="693"/>
      <c r="AB1427" s="452"/>
      <c r="AC1427" s="452"/>
      <c r="AD1427" s="571"/>
      <c r="AE1427" s="452"/>
      <c r="AF1427" s="571"/>
      <c r="AG1427" s="452"/>
      <c r="AH1427" s="452"/>
      <c r="AI1427" s="453"/>
      <c r="AJ1427" s="449"/>
      <c r="AK1427" s="453"/>
      <c r="AL1427" s="454"/>
      <c r="AM1427" s="455"/>
      <c r="AN1427" s="456"/>
      <c r="AO1427" s="455"/>
      <c r="AP1427" s="452"/>
      <c r="AQ1427" s="457"/>
      <c r="AR1427" s="449"/>
      <c r="AS1427" s="449"/>
      <c r="AT1427" s="452"/>
      <c r="AU1427" s="457"/>
      <c r="AV1427" s="449"/>
      <c r="AW1427" s="458"/>
      <c r="AX1427" s="452"/>
      <c r="AY1427" s="457"/>
      <c r="AZ1427" s="449"/>
      <c r="BA1427" s="459"/>
      <c r="BB1427" s="455"/>
      <c r="BC1427" s="460"/>
      <c r="BD1427" s="460"/>
      <c r="BG1427" s="462"/>
    </row>
    <row r="1428" spans="1:59" s="461" customFormat="1" ht="18" customHeight="1" x14ac:dyDescent="0.2">
      <c r="A1428" s="1368" t="str">
        <f t="shared" ref="A1428:A1438" si="1062">$D$1423&amp;S1428</f>
        <v>SEI. SIRIH - SIMP. 4 PT. WANASARI2008</v>
      </c>
      <c r="B1428" s="1373"/>
      <c r="C1428" s="488"/>
      <c r="D1428" s="489"/>
      <c r="E1428" s="558"/>
      <c r="F1428" s="559">
        <v>2008</v>
      </c>
      <c r="G1428" s="619">
        <v>0</v>
      </c>
      <c r="H1428" s="464">
        <f>IF(N1427-(F1428-F1427)&lt;=0,0,(N1427-(F1428-F1427)))</f>
        <v>9</v>
      </c>
      <c r="I1428" s="560"/>
      <c r="J1428" s="468">
        <f>F1428+N1428-1</f>
        <v>2016</v>
      </c>
      <c r="K1428" s="490">
        <f>IF(G1428=0,0,IF(H1428=10,100%,G1428/W1427))</f>
        <v>0</v>
      </c>
      <c r="L1428" s="469">
        <f>IF(K1428=0%,0,IF(K1428&lt;=30%,2,IF(K1428&lt;=60%,5,10)))</f>
        <v>0</v>
      </c>
      <c r="M1428" s="683">
        <f>IF(OR(AND(ISBLANK(E1428),ISBLANK(G1428)),ISTEXT(E1428),ISTEXT(G1428)),"",IF(H1428+L1428&gt;$H$1427,$H$1427-H1428,L1428))</f>
        <v>0</v>
      </c>
      <c r="N1428" s="470">
        <f>IF(OR(AND(ISBLANK(F1428),ISBLANK(G1428)),ISTEXT(F1428),ISTEXT(G1428)),"",H1428+M1428)</f>
        <v>9</v>
      </c>
      <c r="O1428" s="468">
        <f>F1428+N1428-1</f>
        <v>2016</v>
      </c>
      <c r="P1428" s="616">
        <f>W1427</f>
        <v>398206008.48496103</v>
      </c>
      <c r="Q1428" s="472">
        <f>P1428+G1428</f>
        <v>398206008.48496103</v>
      </c>
      <c r="R1428" s="472">
        <f>IF(L1428=0,R1427,Q1428/N1428)</f>
        <v>44245112.053884558</v>
      </c>
      <c r="S1428" s="1176">
        <f>F1428</f>
        <v>2008</v>
      </c>
      <c r="T1428" s="470">
        <f>S1428-S1427</f>
        <v>1</v>
      </c>
      <c r="U1428" s="612">
        <f>R1428*T1428</f>
        <v>44245112.053884558</v>
      </c>
      <c r="V1428" s="464">
        <f>F1428</f>
        <v>2008</v>
      </c>
      <c r="W1428" s="612">
        <f>IF(OR(AND(ISBLANK(E1428),ISBLANK(G1428)),ISTEXT(E1428),ISTEXT(G1428)),"",Q1428-U1428)</f>
        <v>353960896.43107647</v>
      </c>
      <c r="X1428" s="561"/>
      <c r="Y1428" s="449"/>
      <c r="Z1428" s="449"/>
      <c r="AA1428" s="693"/>
      <c r="AB1428" s="452"/>
      <c r="AC1428" s="452"/>
      <c r="AD1428" s="571"/>
      <c r="AE1428" s="452"/>
      <c r="AF1428" s="571"/>
      <c r="AG1428" s="452"/>
      <c r="AH1428" s="452"/>
      <c r="AI1428" s="453"/>
      <c r="AJ1428" s="449"/>
      <c r="AK1428" s="453"/>
      <c r="AL1428" s="454"/>
      <c r="AM1428" s="455"/>
      <c r="AN1428" s="456"/>
      <c r="AO1428" s="455"/>
      <c r="AP1428" s="452"/>
      <c r="AQ1428" s="457"/>
      <c r="AR1428" s="449"/>
      <c r="AS1428" s="449"/>
      <c r="AT1428" s="452"/>
      <c r="AU1428" s="457"/>
      <c r="AV1428" s="449"/>
      <c r="AW1428" s="458"/>
      <c r="AX1428" s="452"/>
      <c r="AY1428" s="457"/>
      <c r="AZ1428" s="449"/>
      <c r="BA1428" s="459"/>
      <c r="BB1428" s="455"/>
      <c r="BC1428" s="460"/>
      <c r="BD1428" s="460"/>
      <c r="BG1428" s="462"/>
    </row>
    <row r="1429" spans="1:59" s="461" customFormat="1" ht="18" customHeight="1" x14ac:dyDescent="0.2">
      <c r="A1429" s="1368" t="str">
        <f t="shared" si="1062"/>
        <v>SEI. SIRIH - SIMP. 4 PT. WANASARI2009</v>
      </c>
      <c r="B1429" s="1373"/>
      <c r="C1429" s="488" t="s">
        <v>5171</v>
      </c>
      <c r="D1429" s="489"/>
      <c r="E1429" s="558"/>
      <c r="F1429" s="559">
        <v>2009</v>
      </c>
      <c r="G1429" s="619">
        <v>1573120899.3421423</v>
      </c>
      <c r="H1429" s="464">
        <f t="shared" ref="H1429:H1437" si="1063">IF(N1428-(F1429-F1428)&lt;=0,0,(N1428-(F1429-F1428)))</f>
        <v>8</v>
      </c>
      <c r="I1429" s="560"/>
      <c r="J1429" s="468">
        <f t="shared" ref="J1429:J1437" si="1064">F1429+N1429-1</f>
        <v>2018</v>
      </c>
      <c r="K1429" s="490">
        <f t="shared" ref="K1429:K1437" si="1065">IF(G1429=0,0,IF(H1429=10,100%,G1429/W1428))</f>
        <v>4.4443352788503905</v>
      </c>
      <c r="L1429" s="469">
        <f t="shared" ref="L1429:L1437" si="1066">IF(K1429=0%,0,IF(K1429&lt;=30%,2,IF(K1429&lt;=60%,5,10)))</f>
        <v>10</v>
      </c>
      <c r="M1429" s="683">
        <f t="shared" ref="M1429:M1437" si="1067">IF(OR(AND(ISBLANK(E1429),ISBLANK(G1429)),ISTEXT(E1429),ISTEXT(G1429)),"",IF(H1429+L1429&gt;$H$1427,$H$1427-H1429,L1429))</f>
        <v>2</v>
      </c>
      <c r="N1429" s="470">
        <f t="shared" ref="N1429:N1437" si="1068">IF(OR(AND(ISBLANK(F1429),ISBLANK(G1429)),ISTEXT(F1429),ISTEXT(G1429)),"",H1429+M1429)</f>
        <v>10</v>
      </c>
      <c r="O1429" s="468">
        <f t="shared" ref="O1429:O1437" si="1069">F1429+N1429-1</f>
        <v>2018</v>
      </c>
      <c r="P1429" s="616">
        <f t="shared" ref="P1429:P1437" si="1070">W1428</f>
        <v>353960896.43107647</v>
      </c>
      <c r="Q1429" s="472">
        <f t="shared" ref="Q1429:Q1437" si="1071">P1429+G1429</f>
        <v>1927081795.7732189</v>
      </c>
      <c r="R1429" s="472">
        <f t="shared" ref="R1429:R1437" si="1072">IF(L1429=0,R1428,Q1429/N1429)</f>
        <v>192708179.57732189</v>
      </c>
      <c r="S1429" s="1189">
        <f t="shared" ref="S1429:S1437" si="1073">F1429</f>
        <v>2009</v>
      </c>
      <c r="T1429" s="470">
        <f t="shared" ref="T1429:T1437" si="1074">S1429-S1428</f>
        <v>1</v>
      </c>
      <c r="U1429" s="612">
        <f t="shared" ref="U1429:U1437" si="1075">R1429*T1429</f>
        <v>192708179.57732189</v>
      </c>
      <c r="V1429" s="464">
        <f t="shared" ref="V1429:V1437" si="1076">F1429</f>
        <v>2009</v>
      </c>
      <c r="W1429" s="612">
        <f t="shared" ref="W1429:W1437" si="1077">IF(OR(AND(ISBLANK(E1429),ISBLANK(G1429)),ISTEXT(E1429),ISTEXT(G1429)),"",Q1429-U1429)</f>
        <v>1734373616.1958971</v>
      </c>
      <c r="X1429" s="561"/>
      <c r="Y1429" s="449"/>
      <c r="Z1429" s="449"/>
      <c r="AA1429" s="693"/>
      <c r="AB1429" s="452"/>
      <c r="AC1429" s="452"/>
      <c r="AD1429" s="571"/>
      <c r="AE1429" s="452"/>
      <c r="AF1429" s="571"/>
      <c r="AG1429" s="452"/>
      <c r="AH1429" s="452"/>
      <c r="AI1429" s="453"/>
      <c r="AJ1429" s="449"/>
      <c r="AK1429" s="453"/>
      <c r="AL1429" s="454"/>
      <c r="AM1429" s="455"/>
      <c r="AN1429" s="456"/>
      <c r="AO1429" s="455"/>
      <c r="AP1429" s="452"/>
      <c r="AQ1429" s="457"/>
      <c r="AR1429" s="449"/>
      <c r="AS1429" s="449"/>
      <c r="AT1429" s="452"/>
      <c r="AU1429" s="457"/>
      <c r="AV1429" s="449"/>
      <c r="AW1429" s="458"/>
      <c r="AX1429" s="452"/>
      <c r="AY1429" s="457"/>
      <c r="AZ1429" s="449"/>
      <c r="BA1429" s="459"/>
      <c r="BB1429" s="455"/>
      <c r="BC1429" s="460"/>
      <c r="BD1429" s="460"/>
      <c r="BG1429" s="462"/>
    </row>
    <row r="1430" spans="1:59" s="461" customFormat="1" ht="18" customHeight="1" x14ac:dyDescent="0.2">
      <c r="A1430" s="1368" t="str">
        <f t="shared" si="1062"/>
        <v>SEI. SIRIH - SIMP. 4 PT. WANASARI2010</v>
      </c>
      <c r="B1430" s="1373"/>
      <c r="C1430" s="488" t="s">
        <v>5172</v>
      </c>
      <c r="D1430" s="489"/>
      <c r="E1430" s="558"/>
      <c r="F1430" s="559">
        <v>2010</v>
      </c>
      <c r="G1430" s="619">
        <v>1234787700.3657444</v>
      </c>
      <c r="H1430" s="464">
        <f t="shared" si="1063"/>
        <v>9</v>
      </c>
      <c r="I1430" s="560"/>
      <c r="J1430" s="468">
        <f t="shared" si="1064"/>
        <v>2019</v>
      </c>
      <c r="K1430" s="490">
        <f t="shared" si="1065"/>
        <v>0.71195023311878802</v>
      </c>
      <c r="L1430" s="469">
        <f t="shared" si="1066"/>
        <v>10</v>
      </c>
      <c r="M1430" s="683">
        <f t="shared" si="1067"/>
        <v>1</v>
      </c>
      <c r="N1430" s="470">
        <f t="shared" si="1068"/>
        <v>10</v>
      </c>
      <c r="O1430" s="468">
        <f t="shared" si="1069"/>
        <v>2019</v>
      </c>
      <c r="P1430" s="616">
        <f t="shared" si="1070"/>
        <v>1734373616.1958971</v>
      </c>
      <c r="Q1430" s="472">
        <f t="shared" si="1071"/>
        <v>2969161316.5616417</v>
      </c>
      <c r="R1430" s="472">
        <f t="shared" si="1072"/>
        <v>296916131.65616417</v>
      </c>
      <c r="S1430" s="1189">
        <f t="shared" si="1073"/>
        <v>2010</v>
      </c>
      <c r="T1430" s="470">
        <f t="shared" si="1074"/>
        <v>1</v>
      </c>
      <c r="U1430" s="612">
        <f t="shared" si="1075"/>
        <v>296916131.65616417</v>
      </c>
      <c r="V1430" s="464">
        <f t="shared" si="1076"/>
        <v>2010</v>
      </c>
      <c r="W1430" s="612">
        <f t="shared" si="1077"/>
        <v>2672245184.9054775</v>
      </c>
      <c r="X1430" s="561"/>
      <c r="Y1430" s="449"/>
      <c r="Z1430" s="449"/>
      <c r="AA1430" s="693"/>
      <c r="AB1430" s="452"/>
      <c r="AC1430" s="452"/>
      <c r="AD1430" s="571"/>
      <c r="AE1430" s="452"/>
      <c r="AF1430" s="571"/>
      <c r="AG1430" s="452"/>
      <c r="AH1430" s="452"/>
      <c r="AI1430" s="453"/>
      <c r="AJ1430" s="449"/>
      <c r="AK1430" s="453"/>
      <c r="AL1430" s="454"/>
      <c r="AM1430" s="455"/>
      <c r="AN1430" s="456"/>
      <c r="AO1430" s="455"/>
      <c r="AP1430" s="452"/>
      <c r="AQ1430" s="457"/>
      <c r="AR1430" s="449"/>
      <c r="AS1430" s="449"/>
      <c r="AT1430" s="452"/>
      <c r="AU1430" s="457"/>
      <c r="AV1430" s="449"/>
      <c r="AW1430" s="458"/>
      <c r="AX1430" s="452"/>
      <c r="AY1430" s="457"/>
      <c r="AZ1430" s="449"/>
      <c r="BA1430" s="459"/>
      <c r="BB1430" s="455"/>
      <c r="BC1430" s="460"/>
      <c r="BD1430" s="460"/>
      <c r="BG1430" s="462"/>
    </row>
    <row r="1431" spans="1:59" s="461" customFormat="1" ht="18" customHeight="1" x14ac:dyDescent="0.2">
      <c r="A1431" s="1368" t="str">
        <f t="shared" si="1062"/>
        <v>SEI. SIRIH - SIMP. 4 PT. WANASARI2011</v>
      </c>
      <c r="B1431" s="1373">
        <v>2</v>
      </c>
      <c r="C1431" s="488" t="s">
        <v>1232</v>
      </c>
      <c r="D1431" s="489"/>
      <c r="E1431" s="558"/>
      <c r="F1431" s="559">
        <v>2011</v>
      </c>
      <c r="G1431" s="619">
        <v>84556900</v>
      </c>
      <c r="H1431" s="464">
        <f t="shared" si="1063"/>
        <v>9</v>
      </c>
      <c r="I1431" s="560"/>
      <c r="J1431" s="468">
        <f t="shared" si="1064"/>
        <v>2020</v>
      </c>
      <c r="K1431" s="490">
        <f t="shared" si="1065"/>
        <v>3.1642642852396395E-2</v>
      </c>
      <c r="L1431" s="469">
        <f t="shared" si="1066"/>
        <v>2</v>
      </c>
      <c r="M1431" s="683">
        <f t="shared" si="1067"/>
        <v>1</v>
      </c>
      <c r="N1431" s="470">
        <f t="shared" si="1068"/>
        <v>10</v>
      </c>
      <c r="O1431" s="468">
        <f t="shared" si="1069"/>
        <v>2020</v>
      </c>
      <c r="P1431" s="616">
        <f t="shared" si="1070"/>
        <v>2672245184.9054775</v>
      </c>
      <c r="Q1431" s="472">
        <f t="shared" si="1071"/>
        <v>2756802084.9054775</v>
      </c>
      <c r="R1431" s="472">
        <f t="shared" si="1072"/>
        <v>275680208.49054778</v>
      </c>
      <c r="S1431" s="1189">
        <f t="shared" si="1073"/>
        <v>2011</v>
      </c>
      <c r="T1431" s="470">
        <f t="shared" si="1074"/>
        <v>1</v>
      </c>
      <c r="U1431" s="612">
        <f t="shared" si="1075"/>
        <v>275680208.49054778</v>
      </c>
      <c r="V1431" s="464">
        <f t="shared" si="1076"/>
        <v>2011</v>
      </c>
      <c r="W1431" s="612">
        <f t="shared" si="1077"/>
        <v>2481121876.4149299</v>
      </c>
      <c r="X1431" s="561"/>
      <c r="Y1431" s="449"/>
      <c r="Z1431" s="449"/>
      <c r="AA1431" s="693"/>
      <c r="AB1431" s="452"/>
      <c r="AC1431" s="452"/>
      <c r="AD1431" s="571"/>
      <c r="AE1431" s="452"/>
      <c r="AF1431" s="571"/>
      <c r="AG1431" s="452"/>
      <c r="AH1431" s="452"/>
      <c r="AI1431" s="453"/>
      <c r="AJ1431" s="449"/>
      <c r="AK1431" s="453"/>
      <c r="AL1431" s="454"/>
      <c r="AM1431" s="455"/>
      <c r="AN1431" s="456"/>
      <c r="AO1431" s="455"/>
      <c r="AP1431" s="452"/>
      <c r="AQ1431" s="457"/>
      <c r="AR1431" s="449"/>
      <c r="AS1431" s="449"/>
      <c r="AT1431" s="452"/>
      <c r="AU1431" s="457"/>
      <c r="AV1431" s="449"/>
      <c r="AW1431" s="458"/>
      <c r="AX1431" s="452"/>
      <c r="AY1431" s="457"/>
      <c r="AZ1431" s="449"/>
      <c r="BA1431" s="459"/>
      <c r="BB1431" s="455"/>
      <c r="BC1431" s="460"/>
      <c r="BD1431" s="460"/>
      <c r="BG1431" s="462"/>
    </row>
    <row r="1432" spans="1:59" s="461" customFormat="1" ht="18" customHeight="1" x14ac:dyDescent="0.2">
      <c r="A1432" s="1368" t="str">
        <f t="shared" si="1062"/>
        <v>SEI. SIRIH - SIMP. 4 PT. WANASARI2013</v>
      </c>
      <c r="B1432" s="1373"/>
      <c r="C1432" s="488"/>
      <c r="D1432" s="489"/>
      <c r="E1432" s="558"/>
      <c r="F1432" s="559">
        <v>2013</v>
      </c>
      <c r="G1432" s="619">
        <v>0</v>
      </c>
      <c r="H1432" s="464">
        <f t="shared" si="1063"/>
        <v>8</v>
      </c>
      <c r="I1432" s="560"/>
      <c r="J1432" s="468">
        <f t="shared" si="1064"/>
        <v>2020</v>
      </c>
      <c r="K1432" s="490">
        <f t="shared" si="1065"/>
        <v>0</v>
      </c>
      <c r="L1432" s="469">
        <f t="shared" si="1066"/>
        <v>0</v>
      </c>
      <c r="M1432" s="683">
        <f t="shared" si="1067"/>
        <v>0</v>
      </c>
      <c r="N1432" s="470">
        <f t="shared" si="1068"/>
        <v>8</v>
      </c>
      <c r="O1432" s="468">
        <f t="shared" si="1069"/>
        <v>2020</v>
      </c>
      <c r="P1432" s="616">
        <f t="shared" si="1070"/>
        <v>2481121876.4149299</v>
      </c>
      <c r="Q1432" s="472">
        <f t="shared" si="1071"/>
        <v>2481121876.4149299</v>
      </c>
      <c r="R1432" s="472">
        <f t="shared" si="1072"/>
        <v>275680208.49054778</v>
      </c>
      <c r="S1432" s="1189">
        <f t="shared" si="1073"/>
        <v>2013</v>
      </c>
      <c r="T1432" s="470">
        <f t="shared" si="1074"/>
        <v>2</v>
      </c>
      <c r="U1432" s="612">
        <f t="shared" si="1075"/>
        <v>551360416.98109555</v>
      </c>
      <c r="V1432" s="464">
        <f t="shared" si="1076"/>
        <v>2013</v>
      </c>
      <c r="W1432" s="612">
        <f t="shared" si="1077"/>
        <v>1929761459.4338343</v>
      </c>
      <c r="X1432" s="561"/>
      <c r="Y1432" s="449"/>
      <c r="Z1432" s="449"/>
      <c r="AA1432" s="693"/>
      <c r="AB1432" s="452"/>
      <c r="AC1432" s="452"/>
      <c r="AD1432" s="571"/>
      <c r="AE1432" s="452"/>
      <c r="AF1432" s="571"/>
      <c r="AG1432" s="452"/>
      <c r="AH1432" s="452"/>
      <c r="AI1432" s="453"/>
      <c r="AJ1432" s="449"/>
      <c r="AK1432" s="453"/>
      <c r="AL1432" s="454"/>
      <c r="AM1432" s="455"/>
      <c r="AN1432" s="456"/>
      <c r="AO1432" s="455"/>
      <c r="AP1432" s="452"/>
      <c r="AQ1432" s="457"/>
      <c r="AR1432" s="449"/>
      <c r="AS1432" s="449"/>
      <c r="AT1432" s="452"/>
      <c r="AU1432" s="457"/>
      <c r="AV1432" s="449"/>
      <c r="AW1432" s="458"/>
      <c r="AX1432" s="452"/>
      <c r="AY1432" s="457"/>
      <c r="AZ1432" s="449"/>
      <c r="BA1432" s="459"/>
      <c r="BB1432" s="455"/>
      <c r="BC1432" s="460"/>
      <c r="BD1432" s="460"/>
      <c r="BG1432" s="462"/>
    </row>
    <row r="1433" spans="1:59" s="461" customFormat="1" ht="18" customHeight="1" x14ac:dyDescent="0.2">
      <c r="A1433" s="1368" t="str">
        <f t="shared" si="1062"/>
        <v>SEI. SIRIH - SIMP. 4 PT. WANASARI2014</v>
      </c>
      <c r="B1433" s="1373"/>
      <c r="C1433" s="488"/>
      <c r="D1433" s="489"/>
      <c r="E1433" s="558"/>
      <c r="F1433" s="559">
        <v>2014</v>
      </c>
      <c r="G1433" s="619">
        <v>0</v>
      </c>
      <c r="H1433" s="464">
        <f t="shared" si="1063"/>
        <v>7</v>
      </c>
      <c r="I1433" s="560"/>
      <c r="J1433" s="468">
        <f t="shared" si="1064"/>
        <v>2020</v>
      </c>
      <c r="K1433" s="490">
        <f t="shared" si="1065"/>
        <v>0</v>
      </c>
      <c r="L1433" s="469">
        <f t="shared" si="1066"/>
        <v>0</v>
      </c>
      <c r="M1433" s="683">
        <f t="shared" si="1067"/>
        <v>0</v>
      </c>
      <c r="N1433" s="470">
        <f t="shared" si="1068"/>
        <v>7</v>
      </c>
      <c r="O1433" s="468">
        <f t="shared" si="1069"/>
        <v>2020</v>
      </c>
      <c r="P1433" s="616">
        <f t="shared" si="1070"/>
        <v>1929761459.4338343</v>
      </c>
      <c r="Q1433" s="472">
        <f t="shared" si="1071"/>
        <v>1929761459.4338343</v>
      </c>
      <c r="R1433" s="472">
        <f t="shared" si="1072"/>
        <v>275680208.49054778</v>
      </c>
      <c r="S1433" s="1189">
        <f t="shared" si="1073"/>
        <v>2014</v>
      </c>
      <c r="T1433" s="470">
        <f t="shared" si="1074"/>
        <v>1</v>
      </c>
      <c r="U1433" s="612">
        <f t="shared" si="1075"/>
        <v>275680208.49054778</v>
      </c>
      <c r="V1433" s="464">
        <f t="shared" si="1076"/>
        <v>2014</v>
      </c>
      <c r="W1433" s="612">
        <f t="shared" si="1077"/>
        <v>1654081250.9432864</v>
      </c>
      <c r="X1433" s="561"/>
      <c r="Y1433" s="449"/>
      <c r="Z1433" s="449"/>
      <c r="AA1433" s="693"/>
      <c r="AB1433" s="452"/>
      <c r="AC1433" s="452"/>
      <c r="AD1433" s="571"/>
      <c r="AE1433" s="452"/>
      <c r="AF1433" s="571"/>
      <c r="AG1433" s="452"/>
      <c r="AH1433" s="452"/>
      <c r="AI1433" s="453"/>
      <c r="AJ1433" s="449"/>
      <c r="AK1433" s="453"/>
      <c r="AL1433" s="454"/>
      <c r="AM1433" s="455"/>
      <c r="AN1433" s="456"/>
      <c r="AO1433" s="455"/>
      <c r="AP1433" s="452"/>
      <c r="AQ1433" s="457"/>
      <c r="AR1433" s="449"/>
      <c r="AS1433" s="449"/>
      <c r="AT1433" s="452"/>
      <c r="AU1433" s="457"/>
      <c r="AV1433" s="449"/>
      <c r="AW1433" s="458"/>
      <c r="AX1433" s="452"/>
      <c r="AY1433" s="457"/>
      <c r="AZ1433" s="449"/>
      <c r="BA1433" s="459"/>
      <c r="BB1433" s="455"/>
      <c r="BC1433" s="460"/>
      <c r="BD1433" s="460"/>
      <c r="BG1433" s="462"/>
    </row>
    <row r="1434" spans="1:59" s="461" customFormat="1" ht="18" customHeight="1" x14ac:dyDescent="0.2">
      <c r="A1434" s="1368" t="str">
        <f t="shared" si="1062"/>
        <v>SEI. SIRIH - SIMP. 4 PT. WANASARI2015</v>
      </c>
      <c r="B1434" s="1373">
        <v>3</v>
      </c>
      <c r="C1434" s="488" t="s">
        <v>1370</v>
      </c>
      <c r="D1434" s="489" t="s">
        <v>3821</v>
      </c>
      <c r="E1434" s="558"/>
      <c r="F1434" s="559">
        <v>2015</v>
      </c>
      <c r="G1434" s="619">
        <v>2153193000</v>
      </c>
      <c r="H1434" s="464">
        <f t="shared" si="1063"/>
        <v>6</v>
      </c>
      <c r="I1434" s="560"/>
      <c r="J1434" s="468">
        <f t="shared" si="1064"/>
        <v>2024</v>
      </c>
      <c r="K1434" s="490">
        <f t="shared" si="1065"/>
        <v>1.3017456057688104</v>
      </c>
      <c r="L1434" s="469">
        <f t="shared" si="1066"/>
        <v>10</v>
      </c>
      <c r="M1434" s="683">
        <f t="shared" si="1067"/>
        <v>4</v>
      </c>
      <c r="N1434" s="470">
        <f t="shared" si="1068"/>
        <v>10</v>
      </c>
      <c r="O1434" s="468">
        <f t="shared" si="1069"/>
        <v>2024</v>
      </c>
      <c r="P1434" s="616">
        <f t="shared" si="1070"/>
        <v>1654081250.9432864</v>
      </c>
      <c r="Q1434" s="472">
        <f t="shared" si="1071"/>
        <v>3807274250.9432864</v>
      </c>
      <c r="R1434" s="472">
        <f t="shared" si="1072"/>
        <v>380727425.09432864</v>
      </c>
      <c r="S1434" s="1189">
        <f t="shared" si="1073"/>
        <v>2015</v>
      </c>
      <c r="T1434" s="470">
        <f t="shared" si="1074"/>
        <v>1</v>
      </c>
      <c r="U1434" s="612">
        <f t="shared" si="1075"/>
        <v>380727425.09432864</v>
      </c>
      <c r="V1434" s="464">
        <f t="shared" si="1076"/>
        <v>2015</v>
      </c>
      <c r="W1434" s="612">
        <f t="shared" si="1077"/>
        <v>3426546825.848958</v>
      </c>
      <c r="X1434" s="561"/>
      <c r="Y1434" s="449"/>
      <c r="Z1434" s="449"/>
      <c r="AA1434" s="693"/>
      <c r="AB1434" s="452"/>
      <c r="AC1434" s="452"/>
      <c r="AD1434" s="571"/>
      <c r="AE1434" s="452"/>
      <c r="AF1434" s="571"/>
      <c r="AG1434" s="452"/>
      <c r="AH1434" s="452"/>
      <c r="AI1434" s="453"/>
      <c r="AJ1434" s="449"/>
      <c r="AK1434" s="453"/>
      <c r="AL1434" s="454"/>
      <c r="AM1434" s="455"/>
      <c r="AN1434" s="456"/>
      <c r="AO1434" s="455"/>
      <c r="AP1434" s="452"/>
      <c r="AQ1434" s="457"/>
      <c r="AR1434" s="449"/>
      <c r="AS1434" s="449"/>
      <c r="AT1434" s="452"/>
      <c r="AU1434" s="457"/>
      <c r="AV1434" s="449"/>
      <c r="AW1434" s="458"/>
      <c r="AX1434" s="452"/>
      <c r="AY1434" s="457"/>
      <c r="AZ1434" s="449"/>
      <c r="BA1434" s="459"/>
      <c r="BB1434" s="455"/>
      <c r="BC1434" s="460"/>
      <c r="BD1434" s="460"/>
      <c r="BG1434" s="462"/>
    </row>
    <row r="1435" spans="1:59" s="461" customFormat="1" ht="18" customHeight="1" x14ac:dyDescent="0.2">
      <c r="A1435" s="1368" t="str">
        <f t="shared" si="1062"/>
        <v>SEI. SIRIH - SIMP. 4 PT. WANASARI2016</v>
      </c>
      <c r="B1435" s="1373"/>
      <c r="C1435" s="488"/>
      <c r="D1435" s="489"/>
      <c r="E1435" s="558"/>
      <c r="F1435" s="559">
        <v>2016</v>
      </c>
      <c r="G1435" s="619">
        <v>0</v>
      </c>
      <c r="H1435" s="464">
        <f t="shared" si="1063"/>
        <v>9</v>
      </c>
      <c r="I1435" s="560"/>
      <c r="J1435" s="468">
        <f t="shared" si="1064"/>
        <v>2024</v>
      </c>
      <c r="K1435" s="490">
        <f t="shared" si="1065"/>
        <v>0</v>
      </c>
      <c r="L1435" s="469">
        <f t="shared" si="1066"/>
        <v>0</v>
      </c>
      <c r="M1435" s="683">
        <f t="shared" si="1067"/>
        <v>0</v>
      </c>
      <c r="N1435" s="470">
        <f t="shared" si="1068"/>
        <v>9</v>
      </c>
      <c r="O1435" s="468">
        <f t="shared" si="1069"/>
        <v>2024</v>
      </c>
      <c r="P1435" s="616">
        <f t="shared" si="1070"/>
        <v>3426546825.848958</v>
      </c>
      <c r="Q1435" s="472">
        <f t="shared" si="1071"/>
        <v>3426546825.848958</v>
      </c>
      <c r="R1435" s="472">
        <f t="shared" si="1072"/>
        <v>380727425.09432864</v>
      </c>
      <c r="S1435" s="1189">
        <f t="shared" si="1073"/>
        <v>2016</v>
      </c>
      <c r="T1435" s="470">
        <f t="shared" si="1074"/>
        <v>1</v>
      </c>
      <c r="U1435" s="612">
        <f t="shared" si="1075"/>
        <v>380727425.09432864</v>
      </c>
      <c r="V1435" s="464">
        <f t="shared" si="1076"/>
        <v>2016</v>
      </c>
      <c r="W1435" s="612">
        <f t="shared" si="1077"/>
        <v>3045819400.7546291</v>
      </c>
      <c r="X1435" s="561"/>
      <c r="Y1435" s="449"/>
      <c r="Z1435" s="449"/>
      <c r="AA1435" s="694"/>
      <c r="AB1435" s="692"/>
      <c r="AC1435" s="692"/>
      <c r="AD1435" s="695"/>
      <c r="AE1435" s="452"/>
      <c r="AF1435" s="571"/>
      <c r="AG1435" s="452"/>
      <c r="AH1435" s="452"/>
      <c r="AI1435" s="453"/>
      <c r="AJ1435" s="449"/>
      <c r="AK1435" s="453"/>
      <c r="AL1435" s="454"/>
      <c r="AM1435" s="455"/>
      <c r="AN1435" s="456"/>
      <c r="AO1435" s="455"/>
      <c r="AP1435" s="452"/>
      <c r="AQ1435" s="457"/>
      <c r="AR1435" s="449"/>
      <c r="AS1435" s="449"/>
      <c r="AT1435" s="452"/>
      <c r="AU1435" s="457"/>
      <c r="AV1435" s="449"/>
      <c r="AW1435" s="458"/>
      <c r="AX1435" s="452"/>
      <c r="AY1435" s="457"/>
      <c r="AZ1435" s="449"/>
      <c r="BA1435" s="459"/>
      <c r="BB1435" s="455"/>
      <c r="BC1435" s="460"/>
      <c r="BD1435" s="460"/>
      <c r="BG1435" s="462"/>
    </row>
    <row r="1436" spans="1:59" s="461" customFormat="1" ht="18" customHeight="1" x14ac:dyDescent="0.2">
      <c r="A1436" s="1368" t="str">
        <f t="shared" si="1062"/>
        <v>SEI. SIRIH - SIMP. 4 PT. WANASARI2017</v>
      </c>
      <c r="B1436" s="1373"/>
      <c r="C1436" s="488"/>
      <c r="D1436" s="489"/>
      <c r="E1436" s="558"/>
      <c r="F1436" s="559">
        <v>2017</v>
      </c>
      <c r="G1436" s="619">
        <v>0</v>
      </c>
      <c r="H1436" s="464">
        <f t="shared" si="1063"/>
        <v>8</v>
      </c>
      <c r="I1436" s="560"/>
      <c r="J1436" s="468">
        <f t="shared" si="1064"/>
        <v>2024</v>
      </c>
      <c r="K1436" s="490">
        <f t="shared" si="1065"/>
        <v>0</v>
      </c>
      <c r="L1436" s="469">
        <f t="shared" si="1066"/>
        <v>0</v>
      </c>
      <c r="M1436" s="683">
        <f t="shared" si="1067"/>
        <v>0</v>
      </c>
      <c r="N1436" s="470">
        <f t="shared" si="1068"/>
        <v>8</v>
      </c>
      <c r="O1436" s="468">
        <f t="shared" si="1069"/>
        <v>2024</v>
      </c>
      <c r="P1436" s="616">
        <f t="shared" si="1070"/>
        <v>3045819400.7546291</v>
      </c>
      <c r="Q1436" s="472">
        <f t="shared" si="1071"/>
        <v>3045819400.7546291</v>
      </c>
      <c r="R1436" s="472">
        <f t="shared" si="1072"/>
        <v>380727425.09432864</v>
      </c>
      <c r="S1436" s="1189">
        <f t="shared" si="1073"/>
        <v>2017</v>
      </c>
      <c r="T1436" s="470">
        <f t="shared" si="1074"/>
        <v>1</v>
      </c>
      <c r="U1436" s="612">
        <f t="shared" si="1075"/>
        <v>380727425.09432864</v>
      </c>
      <c r="V1436" s="464">
        <f t="shared" si="1076"/>
        <v>2017</v>
      </c>
      <c r="W1436" s="612">
        <f t="shared" si="1077"/>
        <v>2665091975.6603003</v>
      </c>
      <c r="X1436" s="561"/>
      <c r="Y1436" s="449"/>
      <c r="Z1436" s="449"/>
      <c r="AA1436" s="554" t="s">
        <v>4179</v>
      </c>
      <c r="AB1436" s="452"/>
      <c r="AC1436" s="452"/>
      <c r="AD1436" s="566"/>
      <c r="AE1436" s="452"/>
      <c r="AF1436" s="571"/>
      <c r="AG1436" s="452"/>
      <c r="AH1436" s="452"/>
      <c r="AI1436" s="453"/>
      <c r="AJ1436" s="449"/>
      <c r="AK1436" s="453"/>
      <c r="AL1436" s="454"/>
      <c r="AM1436" s="455"/>
      <c r="AN1436" s="456"/>
      <c r="AO1436" s="455"/>
      <c r="AP1436" s="452"/>
      <c r="AQ1436" s="457"/>
      <c r="AR1436" s="449"/>
      <c r="AS1436" s="449"/>
      <c r="AT1436" s="452"/>
      <c r="AU1436" s="457"/>
      <c r="AV1436" s="449"/>
      <c r="AW1436" s="458"/>
      <c r="AX1436" s="452"/>
      <c r="AY1436" s="457"/>
      <c r="AZ1436" s="449"/>
      <c r="BA1436" s="459"/>
      <c r="BB1436" s="455"/>
      <c r="BC1436" s="460"/>
      <c r="BD1436" s="460"/>
      <c r="BG1436" s="462"/>
    </row>
    <row r="1437" spans="1:59" s="461" customFormat="1" ht="18" customHeight="1" x14ac:dyDescent="0.2">
      <c r="A1437" s="1368" t="str">
        <f t="shared" si="1062"/>
        <v>SEI. SIRIH - SIMP. 4 PT. WANASARI2018</v>
      </c>
      <c r="B1437" s="1373">
        <v>4</v>
      </c>
      <c r="C1437" s="488" t="s">
        <v>3326</v>
      </c>
      <c r="D1437" s="489" t="s">
        <v>3821</v>
      </c>
      <c r="E1437" s="558"/>
      <c r="F1437" s="559">
        <v>2018</v>
      </c>
      <c r="G1437" s="619">
        <v>2232074718</v>
      </c>
      <c r="H1437" s="464">
        <f t="shared" si="1063"/>
        <v>7</v>
      </c>
      <c r="I1437" s="560"/>
      <c r="J1437" s="468">
        <f t="shared" si="1064"/>
        <v>2027</v>
      </c>
      <c r="K1437" s="490">
        <f t="shared" si="1065"/>
        <v>0.83752258398023338</v>
      </c>
      <c r="L1437" s="469">
        <f t="shared" si="1066"/>
        <v>10</v>
      </c>
      <c r="M1437" s="683">
        <f t="shared" si="1067"/>
        <v>3</v>
      </c>
      <c r="N1437" s="470">
        <f t="shared" si="1068"/>
        <v>10</v>
      </c>
      <c r="O1437" s="468">
        <f t="shared" si="1069"/>
        <v>2027</v>
      </c>
      <c r="P1437" s="616">
        <f t="shared" si="1070"/>
        <v>2665091975.6603003</v>
      </c>
      <c r="Q1437" s="472">
        <f t="shared" si="1071"/>
        <v>4897166693.6603003</v>
      </c>
      <c r="R1437" s="472">
        <f t="shared" si="1072"/>
        <v>489716669.36603004</v>
      </c>
      <c r="S1437" s="1189">
        <f t="shared" si="1073"/>
        <v>2018</v>
      </c>
      <c r="T1437" s="470">
        <f t="shared" si="1074"/>
        <v>1</v>
      </c>
      <c r="U1437" s="612">
        <f t="shared" si="1075"/>
        <v>489716669.36603004</v>
      </c>
      <c r="V1437" s="464">
        <f t="shared" si="1076"/>
        <v>2018</v>
      </c>
      <c r="W1437" s="612">
        <f t="shared" si="1077"/>
        <v>4407450024.2942705</v>
      </c>
      <c r="X1437" s="561"/>
      <c r="Y1437" s="449"/>
      <c r="Z1437" s="449"/>
      <c r="AA1437" s="554"/>
      <c r="AB1437" s="452"/>
      <c r="AC1437" s="452"/>
      <c r="AD1437" s="566"/>
      <c r="AE1437" s="452"/>
      <c r="AF1437" s="571"/>
      <c r="AG1437" s="452"/>
      <c r="AH1437" s="452"/>
      <c r="AI1437" s="453"/>
      <c r="AJ1437" s="449"/>
      <c r="AK1437" s="453"/>
      <c r="AL1437" s="454"/>
      <c r="AM1437" s="455"/>
      <c r="AN1437" s="456"/>
      <c r="AO1437" s="455"/>
      <c r="AP1437" s="452"/>
      <c r="AQ1437" s="457"/>
      <c r="AR1437" s="449"/>
      <c r="AS1437" s="449"/>
      <c r="AT1437" s="452"/>
      <c r="AU1437" s="457"/>
      <c r="AV1437" s="449"/>
      <c r="AW1437" s="458"/>
      <c r="AX1437" s="452"/>
      <c r="AY1437" s="457"/>
      <c r="AZ1437" s="449"/>
      <c r="BA1437" s="459"/>
      <c r="BB1437" s="455"/>
      <c r="BC1437" s="460"/>
      <c r="BD1437" s="460"/>
      <c r="BG1437" s="462"/>
    </row>
    <row r="1438" spans="1:59" s="486" customFormat="1" ht="18" customHeight="1" x14ac:dyDescent="0.2">
      <c r="A1438" s="1368" t="str">
        <f t="shared" si="1062"/>
        <v>SEI. SIRIH - SIMP. 4 PT. WANASARI2019</v>
      </c>
      <c r="B1438" s="1373">
        <v>5</v>
      </c>
      <c r="C1438" s="488" t="s">
        <v>5673</v>
      </c>
      <c r="D1438" s="489" t="s">
        <v>3821</v>
      </c>
      <c r="E1438" s="558"/>
      <c r="F1438" s="559">
        <v>2019</v>
      </c>
      <c r="G1438" s="619">
        <v>2159921000</v>
      </c>
      <c r="H1438" s="464">
        <f>IF(N1437-(F1438-F1437)&lt;=0,0,(N1437-(F1438-F1437)))</f>
        <v>9</v>
      </c>
      <c r="I1438" s="560"/>
      <c r="J1438" s="468">
        <f>F1438+N1438-1</f>
        <v>2028</v>
      </c>
      <c r="K1438" s="490">
        <f>IF(G1438=0,0,IF(H1438=10,100%,G1438/W1437))</f>
        <v>0.49006137065521255</v>
      </c>
      <c r="L1438" s="469">
        <f>IF(K1438=0%,0,IF(K1438&lt;=30%,2,IF(K1438&lt;=60%,5,10)))</f>
        <v>5</v>
      </c>
      <c r="M1438" s="683">
        <f>IF(OR(AND(ISBLANK(E1438),ISBLANK(G1438)),ISTEXT(E1438),ISTEXT(G1438)),"",IF(H1438+L1438&gt;$H$1427,$H$1427-H1438,L1438))</f>
        <v>1</v>
      </c>
      <c r="N1438" s="470">
        <f>IF(OR(AND(ISBLANK(F1438),ISBLANK(G1438)),ISTEXT(F1438),ISTEXT(G1438)),"",H1438+M1438)</f>
        <v>10</v>
      </c>
      <c r="O1438" s="468">
        <f>F1438+N1438-1</f>
        <v>2028</v>
      </c>
      <c r="P1438" s="616">
        <f>W1437</f>
        <v>4407450024.2942705</v>
      </c>
      <c r="Q1438" s="472">
        <f>P1438+G1438</f>
        <v>6567371024.2942705</v>
      </c>
      <c r="R1438" s="472">
        <f>IF(L1438=0,R1437,Q1438/N1438)</f>
        <v>656737102.42942703</v>
      </c>
      <c r="S1438" s="1189">
        <f>F1438</f>
        <v>2019</v>
      </c>
      <c r="T1438" s="470">
        <f>S1438-S1437</f>
        <v>1</v>
      </c>
      <c r="U1438" s="612">
        <f>R1438*T1438</f>
        <v>656737102.42942703</v>
      </c>
      <c r="V1438" s="464">
        <f>F1438</f>
        <v>2019</v>
      </c>
      <c r="W1438" s="612">
        <f>IF(OR(AND(ISBLANK(E1438),ISBLANK(G1438)),ISTEXT(E1438),ISTEXT(G1438)),"",Q1438-U1438)</f>
        <v>5910633921.8648434</v>
      </c>
      <c r="X1438" s="561"/>
      <c r="Y1438" s="474"/>
      <c r="Z1438" s="449"/>
      <c r="AA1438" s="475" t="s">
        <v>4180</v>
      </c>
      <c r="AB1438" s="476"/>
      <c r="AC1438" s="476"/>
      <c r="AD1438" s="567">
        <f>G1445</f>
        <v>9880105338.2467327</v>
      </c>
      <c r="AE1438" s="476"/>
      <c r="AF1438" s="568"/>
      <c r="AG1438" s="476"/>
      <c r="AH1438" s="476"/>
      <c r="AI1438" s="477"/>
      <c r="AJ1438" s="478"/>
      <c r="AK1438" s="479"/>
      <c r="AL1438" s="480"/>
      <c r="AM1438" s="474"/>
      <c r="AN1438" s="481"/>
      <c r="AO1438" s="474"/>
      <c r="AP1438" s="476"/>
      <c r="AQ1438" s="482"/>
      <c r="AR1438" s="478"/>
      <c r="AS1438" s="478"/>
      <c r="AT1438" s="476"/>
      <c r="AU1438" s="482"/>
      <c r="AV1438" s="478"/>
      <c r="AW1438" s="483"/>
      <c r="AX1438" s="476"/>
      <c r="AY1438" s="482"/>
      <c r="AZ1438" s="478"/>
      <c r="BA1438" s="484"/>
      <c r="BB1438" s="474"/>
      <c r="BC1438" s="485"/>
      <c r="BD1438" s="485"/>
      <c r="BG1438" s="487"/>
    </row>
    <row r="1439" spans="1:59" s="486" customFormat="1" ht="18" customHeight="1" x14ac:dyDescent="0.2">
      <c r="A1439" s="1368" t="str">
        <f>LEFT(D1439,8)</f>
        <v/>
      </c>
      <c r="B1439" s="1373"/>
      <c r="C1439" s="488"/>
      <c r="D1439" s="489"/>
      <c r="E1439" s="558"/>
      <c r="F1439" s="559"/>
      <c r="G1439" s="619"/>
      <c r="H1439" s="464"/>
      <c r="I1439" s="467"/>
      <c r="J1439" s="468"/>
      <c r="K1439" s="490"/>
      <c r="L1439" s="469"/>
      <c r="M1439" s="683"/>
      <c r="N1439" s="470"/>
      <c r="O1439" s="468"/>
      <c r="P1439" s="616"/>
      <c r="Q1439" s="472"/>
      <c r="R1439" s="472"/>
      <c r="S1439" s="1176"/>
      <c r="T1439" s="470"/>
      <c r="U1439" s="612"/>
      <c r="V1439" s="464"/>
      <c r="W1439" s="612"/>
      <c r="X1439" s="473"/>
      <c r="Y1439" s="478"/>
      <c r="Z1439" s="449"/>
      <c r="AA1439" s="475" t="s">
        <v>4181</v>
      </c>
      <c r="AB1439" s="491"/>
      <c r="AC1439" s="491"/>
      <c r="AD1439" s="567">
        <f>U1445</f>
        <v>3969471416.3818898</v>
      </c>
      <c r="AE1439" s="491"/>
      <c r="AF1439" s="568"/>
      <c r="AG1439" s="491"/>
      <c r="AH1439" s="491"/>
      <c r="AI1439" s="477"/>
      <c r="AJ1439" s="478"/>
      <c r="AK1439" s="479"/>
      <c r="AL1439" s="480"/>
      <c r="AM1439" s="474"/>
      <c r="AN1439" s="481"/>
      <c r="AO1439" s="474"/>
      <c r="AP1439" s="476"/>
      <c r="AQ1439" s="482"/>
      <c r="AR1439" s="478"/>
      <c r="AS1439" s="478"/>
      <c r="AT1439" s="476"/>
      <c r="AU1439" s="482"/>
      <c r="AV1439" s="478"/>
      <c r="AW1439" s="483"/>
      <c r="AX1439" s="476"/>
      <c r="AY1439" s="482"/>
      <c r="AZ1439" s="478"/>
      <c r="BA1439" s="484"/>
      <c r="BB1439" s="474"/>
      <c r="BC1439" s="485"/>
      <c r="BD1439" s="485"/>
      <c r="BG1439" s="487"/>
    </row>
    <row r="1440" spans="1:59" s="486" customFormat="1" ht="18" customHeight="1" x14ac:dyDescent="0.2">
      <c r="A1440" s="1368" t="str">
        <f>LEFT(D1440,8)</f>
        <v/>
      </c>
      <c r="B1440" s="1373"/>
      <c r="C1440" s="488"/>
      <c r="D1440" s="489"/>
      <c r="E1440" s="558"/>
      <c r="F1440" s="466"/>
      <c r="G1440" s="619"/>
      <c r="H1440" s="464"/>
      <c r="I1440" s="467"/>
      <c r="J1440" s="468"/>
      <c r="K1440" s="490"/>
      <c r="L1440" s="469"/>
      <c r="M1440" s="683"/>
      <c r="N1440" s="470"/>
      <c r="O1440" s="468"/>
      <c r="P1440" s="616"/>
      <c r="Q1440" s="472"/>
      <c r="R1440" s="472"/>
      <c r="S1440" s="1176"/>
      <c r="T1440" s="470"/>
      <c r="U1440" s="612"/>
      <c r="V1440" s="464"/>
      <c r="W1440" s="612"/>
      <c r="X1440" s="473"/>
      <c r="Y1440" s="478"/>
      <c r="Z1440" s="449"/>
      <c r="AA1440" s="492" t="s">
        <v>4182</v>
      </c>
      <c r="AB1440" s="476"/>
      <c r="AC1440" s="476"/>
      <c r="AD1440" s="567">
        <f>AD1438-AD1439</f>
        <v>5910633921.8648434</v>
      </c>
      <c r="AE1440" s="476"/>
      <c r="AF1440" s="568"/>
      <c r="AG1440" s="476"/>
      <c r="AH1440" s="476"/>
      <c r="AI1440" s="477"/>
      <c r="AJ1440" s="478"/>
      <c r="AK1440" s="479"/>
      <c r="AL1440" s="480"/>
      <c r="AM1440" s="474"/>
      <c r="AN1440" s="481"/>
      <c r="AO1440" s="474"/>
      <c r="AP1440" s="476"/>
      <c r="AQ1440" s="482"/>
      <c r="AR1440" s="478"/>
      <c r="AS1440" s="478"/>
      <c r="AT1440" s="476"/>
      <c r="AU1440" s="482"/>
      <c r="AV1440" s="478"/>
      <c r="AW1440" s="483"/>
      <c r="AX1440" s="476"/>
      <c r="AY1440" s="482"/>
      <c r="AZ1440" s="478"/>
      <c r="BA1440" s="484"/>
      <c r="BB1440" s="474"/>
      <c r="BC1440" s="485"/>
      <c r="BD1440" s="485"/>
      <c r="BG1440" s="487"/>
    </row>
    <row r="1441" spans="1:59" s="486" customFormat="1" ht="18" customHeight="1" x14ac:dyDescent="0.2">
      <c r="A1441" s="1368" t="str">
        <f>LEFT(D1441,8)</f>
        <v/>
      </c>
      <c r="B1441" s="687"/>
      <c r="C1441" s="463"/>
      <c r="D1441" s="489"/>
      <c r="E1441" s="465"/>
      <c r="F1441" s="466"/>
      <c r="G1441" s="620"/>
      <c r="H1441" s="464"/>
      <c r="I1441" s="467"/>
      <c r="J1441" s="468"/>
      <c r="K1441" s="490"/>
      <c r="L1441" s="469"/>
      <c r="M1441" s="683"/>
      <c r="N1441" s="470"/>
      <c r="O1441" s="468"/>
      <c r="P1441" s="616"/>
      <c r="Q1441" s="472"/>
      <c r="R1441" s="472"/>
      <c r="S1441" s="1176"/>
      <c r="T1441" s="470"/>
      <c r="U1441" s="612"/>
      <c r="V1441" s="464"/>
      <c r="W1441" s="612"/>
      <c r="X1441" s="473"/>
      <c r="Y1441" s="478"/>
      <c r="Z1441" s="449"/>
      <c r="AA1441" s="531" t="s">
        <v>4183</v>
      </c>
      <c r="AB1441" s="496"/>
      <c r="AC1441" s="496"/>
      <c r="AD1441" s="569">
        <f>AD1440-W1445</f>
        <v>0</v>
      </c>
      <c r="AE1441" s="476"/>
      <c r="AF1441" s="568"/>
      <c r="AG1441" s="476"/>
      <c r="AH1441" s="476"/>
      <c r="AI1441" s="477"/>
      <c r="AJ1441" s="478"/>
      <c r="AK1441" s="479"/>
      <c r="AL1441" s="480"/>
      <c r="AM1441" s="474"/>
      <c r="AN1441" s="481"/>
      <c r="AO1441" s="474"/>
      <c r="AP1441" s="476"/>
      <c r="AQ1441" s="482"/>
      <c r="AR1441" s="478"/>
      <c r="AS1441" s="478"/>
      <c r="AT1441" s="476"/>
      <c r="AU1441" s="482"/>
      <c r="AV1441" s="478"/>
      <c r="AW1441" s="483"/>
      <c r="AX1441" s="476"/>
      <c r="AY1441" s="482"/>
      <c r="AZ1441" s="478"/>
      <c r="BA1441" s="484"/>
      <c r="BB1441" s="474"/>
      <c r="BC1441" s="485"/>
      <c r="BD1441" s="485"/>
      <c r="BG1441" s="487"/>
    </row>
    <row r="1442" spans="1:59" s="486" customFormat="1" ht="18" customHeight="1" x14ac:dyDescent="0.2">
      <c r="A1442" s="1368"/>
      <c r="B1442" s="687"/>
      <c r="C1442" s="463"/>
      <c r="D1442" s="489"/>
      <c r="E1442" s="465"/>
      <c r="F1442" s="466"/>
      <c r="G1442" s="620"/>
      <c r="H1442" s="464"/>
      <c r="I1442" s="467"/>
      <c r="J1442" s="468"/>
      <c r="K1442" s="490"/>
      <c r="L1442" s="469"/>
      <c r="M1442" s="683"/>
      <c r="N1442" s="470"/>
      <c r="O1442" s="468"/>
      <c r="P1442" s="616"/>
      <c r="Q1442" s="472"/>
      <c r="R1442" s="472"/>
      <c r="S1442" s="1176"/>
      <c r="T1442" s="470"/>
      <c r="U1442" s="612"/>
      <c r="V1442" s="464"/>
      <c r="W1442" s="612"/>
      <c r="X1442" s="473"/>
      <c r="Y1442" s="478"/>
      <c r="Z1442" s="449"/>
      <c r="AA1442" s="573"/>
      <c r="AB1442" s="476"/>
      <c r="AC1442" s="476"/>
      <c r="AD1442" s="568"/>
      <c r="AE1442" s="476"/>
      <c r="AF1442" s="568"/>
      <c r="AG1442" s="476"/>
      <c r="AH1442" s="476"/>
      <c r="AI1442" s="477"/>
      <c r="AJ1442" s="478"/>
      <c r="AK1442" s="479"/>
      <c r="AL1442" s="480"/>
      <c r="AM1442" s="474"/>
      <c r="AN1442" s="481"/>
      <c r="AO1442" s="474"/>
      <c r="AP1442" s="476"/>
      <c r="AQ1442" s="482"/>
      <c r="AR1442" s="478"/>
      <c r="AS1442" s="478"/>
      <c r="AT1442" s="476"/>
      <c r="AU1442" s="482"/>
      <c r="AV1442" s="478"/>
      <c r="AW1442" s="483"/>
      <c r="AX1442" s="476"/>
      <c r="AY1442" s="482"/>
      <c r="AZ1442" s="478"/>
      <c r="BA1442" s="484"/>
      <c r="BB1442" s="474"/>
      <c r="BC1442" s="485"/>
      <c r="BD1442" s="485"/>
      <c r="BG1442" s="487"/>
    </row>
    <row r="1443" spans="1:59" s="486" customFormat="1" ht="18" customHeight="1" x14ac:dyDescent="0.2">
      <c r="A1443" s="1368"/>
      <c r="B1443" s="687"/>
      <c r="C1443" s="463"/>
      <c r="D1443" s="489"/>
      <c r="E1443" s="465"/>
      <c r="F1443" s="466"/>
      <c r="G1443" s="620"/>
      <c r="H1443" s="464"/>
      <c r="I1443" s="467"/>
      <c r="J1443" s="468"/>
      <c r="K1443" s="490"/>
      <c r="L1443" s="469"/>
      <c r="M1443" s="683"/>
      <c r="N1443" s="470"/>
      <c r="O1443" s="468"/>
      <c r="P1443" s="616"/>
      <c r="Q1443" s="472"/>
      <c r="R1443" s="472"/>
      <c r="S1443" s="1176"/>
      <c r="T1443" s="470"/>
      <c r="U1443" s="612"/>
      <c r="V1443" s="464"/>
      <c r="W1443" s="612"/>
      <c r="X1443" s="473"/>
      <c r="Y1443" s="478"/>
      <c r="Z1443" s="449"/>
      <c r="AA1443" s="573"/>
      <c r="AB1443" s="476"/>
      <c r="AC1443" s="476"/>
      <c r="AD1443" s="568"/>
      <c r="AE1443" s="476"/>
      <c r="AF1443" s="568"/>
      <c r="AG1443" s="476"/>
      <c r="AH1443" s="476"/>
      <c r="AI1443" s="477"/>
      <c r="AJ1443" s="478"/>
      <c r="AK1443" s="479"/>
      <c r="AL1443" s="480"/>
      <c r="AM1443" s="474"/>
      <c r="AN1443" s="481"/>
      <c r="AO1443" s="474"/>
      <c r="AP1443" s="476"/>
      <c r="AQ1443" s="482"/>
      <c r="AR1443" s="478"/>
      <c r="AS1443" s="478"/>
      <c r="AT1443" s="476"/>
      <c r="AU1443" s="482"/>
      <c r="AV1443" s="478"/>
      <c r="AW1443" s="483"/>
      <c r="AX1443" s="476"/>
      <c r="AY1443" s="482"/>
      <c r="AZ1443" s="478"/>
      <c r="BA1443" s="484"/>
      <c r="BB1443" s="474"/>
      <c r="BC1443" s="485"/>
      <c r="BD1443" s="485"/>
      <c r="BG1443" s="487"/>
    </row>
    <row r="1444" spans="1:59" s="486" customFormat="1" ht="18" customHeight="1" x14ac:dyDescent="0.2">
      <c r="A1444" s="1368" t="str">
        <f>LEFT(D1444,8)</f>
        <v/>
      </c>
      <c r="B1444" s="687"/>
      <c r="C1444" s="463"/>
      <c r="D1444" s="489"/>
      <c r="E1444" s="465"/>
      <c r="F1444" s="466"/>
      <c r="G1444" s="620"/>
      <c r="H1444" s="464"/>
      <c r="I1444" s="467"/>
      <c r="J1444" s="468"/>
      <c r="K1444" s="574"/>
      <c r="L1444" s="469"/>
      <c r="M1444" s="683"/>
      <c r="N1444" s="470"/>
      <c r="O1444" s="468"/>
      <c r="P1444" s="616"/>
      <c r="Q1444" s="472"/>
      <c r="R1444" s="472"/>
      <c r="S1444" s="1176"/>
      <c r="T1444" s="470"/>
      <c r="U1444" s="612"/>
      <c r="V1444" s="464"/>
      <c r="W1444" s="612"/>
      <c r="X1444" s="473"/>
      <c r="Y1444" s="478"/>
      <c r="Z1444" s="449"/>
      <c r="AA1444" s="573"/>
      <c r="AB1444" s="476"/>
      <c r="AC1444" s="476"/>
      <c r="AD1444" s="568"/>
      <c r="AE1444" s="476"/>
      <c r="AF1444" s="568"/>
      <c r="AG1444" s="476"/>
      <c r="AH1444" s="476"/>
      <c r="AI1444" s="477"/>
      <c r="AJ1444" s="478"/>
      <c r="AK1444" s="479"/>
      <c r="AL1444" s="480"/>
      <c r="AM1444" s="474"/>
      <c r="AN1444" s="481"/>
      <c r="AO1444" s="474"/>
      <c r="AP1444" s="476"/>
      <c r="AQ1444" s="482"/>
      <c r="AR1444" s="478"/>
      <c r="AS1444" s="478"/>
      <c r="AT1444" s="476"/>
      <c r="AU1444" s="482"/>
      <c r="AV1444" s="478"/>
      <c r="AW1444" s="483"/>
      <c r="AX1444" s="476"/>
      <c r="AY1444" s="482"/>
      <c r="AZ1444" s="478"/>
      <c r="BA1444" s="484"/>
      <c r="BB1444" s="474"/>
      <c r="BC1444" s="485"/>
      <c r="BD1444" s="485"/>
      <c r="BG1444" s="487"/>
    </row>
    <row r="1445" spans="1:59" s="526" customFormat="1" ht="18" customHeight="1" x14ac:dyDescent="0.2">
      <c r="A1445" s="1370" t="s">
        <v>4184</v>
      </c>
      <c r="B1445" s="1956" t="s">
        <v>4184</v>
      </c>
      <c r="C1445" s="1957"/>
      <c r="D1445" s="1957"/>
      <c r="E1445" s="1957"/>
      <c r="F1445" s="1958"/>
      <c r="G1445" s="624">
        <f>SUM(G1427:G1444)</f>
        <v>9880105338.2467327</v>
      </c>
      <c r="H1445" s="505"/>
      <c r="I1445" s="506"/>
      <c r="J1445" s="507"/>
      <c r="K1445" s="507"/>
      <c r="L1445" s="505"/>
      <c r="M1445" s="684"/>
      <c r="N1445" s="508"/>
      <c r="O1445" s="507"/>
      <c r="P1445" s="749"/>
      <c r="Q1445" s="510"/>
      <c r="R1445" s="511"/>
      <c r="S1445" s="512"/>
      <c r="T1445" s="512"/>
      <c r="U1445" s="610">
        <f>SUM(U1427:U1444)</f>
        <v>3969471416.3818898</v>
      </c>
      <c r="V1445" s="513"/>
      <c r="W1445" s="610">
        <f>G1445-U1445</f>
        <v>5910633921.8648434</v>
      </c>
      <c r="X1445" s="514"/>
      <c r="Y1445" s="515"/>
      <c r="Z1445" s="515"/>
      <c r="AA1445" s="515"/>
      <c r="AB1445" s="515"/>
      <c r="AC1445" s="515"/>
      <c r="AD1445" s="570"/>
      <c r="AE1445" s="515"/>
      <c r="AF1445" s="570"/>
      <c r="AG1445" s="515"/>
      <c r="AH1445" s="515"/>
      <c r="AI1445" s="516"/>
      <c r="AJ1445" s="517"/>
      <c r="AK1445" s="518"/>
      <c r="AL1445" s="519"/>
      <c r="AM1445" s="520"/>
      <c r="AN1445" s="521"/>
      <c r="AO1445" s="520"/>
      <c r="AP1445" s="515"/>
      <c r="AQ1445" s="522"/>
      <c r="AR1445" s="517"/>
      <c r="AS1445" s="517"/>
      <c r="AT1445" s="515"/>
      <c r="AU1445" s="522"/>
      <c r="AV1445" s="517"/>
      <c r="AW1445" s="523"/>
      <c r="AX1445" s="515"/>
      <c r="AY1445" s="522"/>
      <c r="AZ1445" s="517"/>
      <c r="BA1445" s="524"/>
      <c r="BB1445" s="520"/>
      <c r="BC1445" s="525"/>
      <c r="BD1445" s="525"/>
      <c r="BG1445" s="527"/>
    </row>
    <row r="1447" spans="1:59" x14ac:dyDescent="0.2">
      <c r="K1447" s="627"/>
    </row>
    <row r="1448" spans="1:59" s="422" customFormat="1" ht="18" customHeight="1" x14ac:dyDescent="0.2">
      <c r="A1448" s="1366">
        <f>C1448</f>
        <v>247</v>
      </c>
      <c r="B1448" s="742" t="s">
        <v>4187</v>
      </c>
      <c r="C1448" s="556">
        <v>247</v>
      </c>
      <c r="D1448" s="553" t="str">
        <f>VLOOKUP(C1448,RUAS,2,FALSE)</f>
        <v>SIMP. MUARA BAHAN - MUARA BAHAN</v>
      </c>
      <c r="E1448" s="553"/>
      <c r="F1448" s="421"/>
      <c r="G1448" s="611"/>
      <c r="I1448" s="423"/>
      <c r="J1448" s="424"/>
      <c r="K1448" s="424"/>
      <c r="M1448" s="680"/>
      <c r="P1448" s="611"/>
      <c r="U1448" s="611"/>
      <c r="W1448" s="611"/>
      <c r="Y1448" s="425"/>
      <c r="Z1448" s="425"/>
      <c r="AA1448" s="425"/>
      <c r="AB1448" s="425"/>
      <c r="AC1448" s="425"/>
      <c r="AD1448" s="563"/>
      <c r="AE1448" s="425"/>
      <c r="AF1448" s="563"/>
      <c r="AG1448" s="425"/>
      <c r="AH1448" s="425"/>
      <c r="AI1448" s="425"/>
      <c r="AJ1448" s="425"/>
      <c r="AK1448" s="425"/>
      <c r="AL1448" s="425"/>
      <c r="AM1448" s="425"/>
      <c r="AN1448" s="425"/>
      <c r="AO1448" s="425"/>
      <c r="AP1448" s="425"/>
      <c r="AQ1448" s="425"/>
      <c r="AR1448" s="425"/>
      <c r="AS1448" s="425"/>
      <c r="AT1448" s="425"/>
      <c r="AU1448" s="425"/>
      <c r="AV1448" s="425"/>
      <c r="AW1448" s="425"/>
      <c r="AX1448" s="425"/>
      <c r="AY1448" s="425"/>
      <c r="AZ1448" s="425"/>
      <c r="BA1448" s="425"/>
      <c r="BB1448" s="425"/>
    </row>
    <row r="1449" spans="1:59" s="431" customFormat="1" ht="18" customHeight="1" x14ac:dyDescent="0.2">
      <c r="A1449" s="1367"/>
      <c r="B1449" s="1968" t="s">
        <v>5</v>
      </c>
      <c r="C1449" s="1968" t="s">
        <v>2280</v>
      </c>
      <c r="D1449" s="1968" t="s">
        <v>4157</v>
      </c>
      <c r="E1449" s="1968" t="s">
        <v>4158</v>
      </c>
      <c r="F1449" s="1968"/>
      <c r="G1449" s="2042" t="s">
        <v>4159</v>
      </c>
      <c r="H1449" s="1968" t="s">
        <v>4160</v>
      </c>
      <c r="I1449" s="1968"/>
      <c r="J1449" s="1968" t="s">
        <v>4185</v>
      </c>
      <c r="K1449" s="1964" t="s">
        <v>4162</v>
      </c>
      <c r="L1449" s="1968" t="s">
        <v>4163</v>
      </c>
      <c r="M1449" s="1971" t="s">
        <v>4164</v>
      </c>
      <c r="N1449" s="1962" t="s">
        <v>4165</v>
      </c>
      <c r="O1449" s="1968" t="s">
        <v>4166</v>
      </c>
      <c r="P1449" s="1972" t="s">
        <v>4167</v>
      </c>
      <c r="Q1449" s="1973"/>
      <c r="R1449" s="1129" t="s">
        <v>4186</v>
      </c>
      <c r="S1449" s="1972" t="s">
        <v>4169</v>
      </c>
      <c r="T1449" s="1974"/>
      <c r="U1449" s="1973"/>
      <c r="V1449" s="1975" t="s">
        <v>4170</v>
      </c>
      <c r="W1449" s="1975"/>
      <c r="X1449" s="1960" t="s">
        <v>4171</v>
      </c>
      <c r="Y1449" s="1959"/>
      <c r="Z1449" s="1130"/>
      <c r="AA1449" s="426"/>
      <c r="AB1449" s="426"/>
      <c r="AC1449" s="426"/>
      <c r="AD1449" s="564"/>
      <c r="AE1449" s="426"/>
      <c r="AF1449" s="564"/>
      <c r="AG1449" s="426"/>
      <c r="AH1449" s="426"/>
      <c r="AI1449" s="427"/>
      <c r="AJ1449" s="427"/>
      <c r="AK1449" s="427"/>
      <c r="AL1449" s="427"/>
      <c r="AM1449" s="428"/>
      <c r="AN1449" s="427"/>
      <c r="AO1449" s="427"/>
      <c r="AP1449" s="426"/>
      <c r="AQ1449" s="427"/>
      <c r="AR1449" s="427"/>
      <c r="AS1449" s="427"/>
      <c r="AT1449" s="426"/>
      <c r="AU1449" s="427"/>
      <c r="AV1449" s="427"/>
      <c r="AW1449" s="427"/>
      <c r="AX1449" s="426"/>
      <c r="AY1449" s="427"/>
      <c r="AZ1449" s="427"/>
      <c r="BA1449" s="427"/>
      <c r="BB1449" s="429"/>
      <c r="BC1449" s="430"/>
      <c r="BD1449" s="430"/>
    </row>
    <row r="1450" spans="1:59" s="431" customFormat="1" ht="18" customHeight="1" x14ac:dyDescent="0.2">
      <c r="A1450" s="1367"/>
      <c r="B1450" s="1968"/>
      <c r="C1450" s="1968"/>
      <c r="D1450" s="1968"/>
      <c r="E1450" s="1968"/>
      <c r="F1450" s="1968"/>
      <c r="G1450" s="2042"/>
      <c r="H1450" s="1968"/>
      <c r="I1450" s="1968"/>
      <c r="J1450" s="1968"/>
      <c r="K1450" s="1970"/>
      <c r="L1450" s="1968"/>
      <c r="M1450" s="1971"/>
      <c r="N1450" s="1963"/>
      <c r="O1450" s="1968"/>
      <c r="P1450" s="2037" t="s">
        <v>4172</v>
      </c>
      <c r="Q1450" s="1960" t="s">
        <v>4173</v>
      </c>
      <c r="R1450" s="1962" t="s">
        <v>4159</v>
      </c>
      <c r="S1450" s="1962" t="s">
        <v>4174</v>
      </c>
      <c r="T1450" s="1964" t="s">
        <v>4175</v>
      </c>
      <c r="U1450" s="1966" t="s">
        <v>4159</v>
      </c>
      <c r="V1450" s="1975"/>
      <c r="W1450" s="1975"/>
      <c r="X1450" s="1976"/>
      <c r="Y1450" s="1959"/>
      <c r="Z1450" s="1130"/>
      <c r="AA1450" s="426"/>
      <c r="AB1450" s="426"/>
      <c r="AC1450" s="426"/>
      <c r="AD1450" s="564"/>
      <c r="AE1450" s="426"/>
      <c r="AF1450" s="564"/>
      <c r="AG1450" s="426"/>
      <c r="AH1450" s="426"/>
      <c r="AI1450" s="427"/>
      <c r="AJ1450" s="427"/>
      <c r="AK1450" s="426"/>
      <c r="AL1450" s="427"/>
      <c r="AM1450" s="428"/>
      <c r="AN1450" s="427"/>
      <c r="AO1450" s="427"/>
      <c r="AP1450" s="432"/>
      <c r="AQ1450" s="427"/>
      <c r="AR1450" s="427"/>
      <c r="AS1450" s="427"/>
      <c r="AT1450" s="432"/>
      <c r="AU1450" s="427"/>
      <c r="AV1450" s="427"/>
      <c r="AW1450" s="427"/>
      <c r="AX1450" s="432"/>
      <c r="AY1450" s="427"/>
      <c r="AZ1450" s="427"/>
      <c r="BA1450" s="427"/>
      <c r="BB1450" s="429"/>
      <c r="BC1450" s="430"/>
      <c r="BD1450" s="430"/>
    </row>
    <row r="1451" spans="1:59" s="431" customFormat="1" ht="18" customHeight="1" x14ac:dyDescent="0.2">
      <c r="A1451" s="1367"/>
      <c r="B1451" s="1968"/>
      <c r="C1451" s="1968"/>
      <c r="D1451" s="1968"/>
      <c r="E1451" s="433" t="s">
        <v>4176</v>
      </c>
      <c r="F1451" s="434" t="s">
        <v>2288</v>
      </c>
      <c r="G1451" s="2042"/>
      <c r="H1451" s="1128" t="s">
        <v>2288</v>
      </c>
      <c r="I1451" s="1128" t="s">
        <v>4177</v>
      </c>
      <c r="J1451" s="1968"/>
      <c r="K1451" s="1965"/>
      <c r="L1451" s="435" t="s">
        <v>2288</v>
      </c>
      <c r="M1451" s="681" t="s">
        <v>2288</v>
      </c>
      <c r="N1451" s="1128" t="s">
        <v>2288</v>
      </c>
      <c r="O1451" s="1968"/>
      <c r="P1451" s="2038"/>
      <c r="Q1451" s="1961"/>
      <c r="R1451" s="1963"/>
      <c r="S1451" s="1963"/>
      <c r="T1451" s="1965"/>
      <c r="U1451" s="1967"/>
      <c r="V1451" s="1128" t="s">
        <v>4178</v>
      </c>
      <c r="W1451" s="1131" t="s">
        <v>4159</v>
      </c>
      <c r="X1451" s="1961"/>
      <c r="Y1451" s="436"/>
      <c r="Z1451" s="436"/>
      <c r="AA1451" s="426"/>
      <c r="AB1451" s="426"/>
      <c r="AC1451" s="426"/>
      <c r="AD1451" s="564"/>
      <c r="AE1451" s="426"/>
      <c r="AF1451" s="564"/>
      <c r="AG1451" s="426"/>
      <c r="AH1451" s="426"/>
      <c r="AI1451" s="427"/>
      <c r="AJ1451" s="432"/>
      <c r="AK1451" s="432"/>
      <c r="AL1451" s="427"/>
      <c r="AM1451" s="428"/>
      <c r="AN1451" s="432"/>
      <c r="AO1451" s="427"/>
      <c r="AP1451" s="432"/>
      <c r="AQ1451" s="432"/>
      <c r="AR1451" s="427"/>
      <c r="AS1451" s="427"/>
      <c r="AT1451" s="432"/>
      <c r="AU1451" s="432"/>
      <c r="AV1451" s="427"/>
      <c r="AW1451" s="427"/>
      <c r="AX1451" s="432"/>
      <c r="AY1451" s="432"/>
      <c r="AZ1451" s="427"/>
      <c r="BA1451" s="427"/>
      <c r="BB1451" s="429"/>
      <c r="BC1451" s="430"/>
      <c r="BD1451" s="430"/>
    </row>
    <row r="1452" spans="1:59" s="461" customFormat="1" ht="18" customHeight="1" x14ac:dyDescent="0.2">
      <c r="A1452" s="1368" t="str">
        <f>$D$1448&amp;S1452</f>
        <v>SIMP. MUARA BAHAN - MUARA BAHAN2001</v>
      </c>
      <c r="B1452" s="1373">
        <v>1</v>
      </c>
      <c r="C1452" s="532" t="s">
        <v>529</v>
      </c>
      <c r="D1452" s="437" t="s">
        <v>3821</v>
      </c>
      <c r="E1452" s="438"/>
      <c r="F1452" s="439">
        <v>2001</v>
      </c>
      <c r="G1452" s="623">
        <v>4992000000</v>
      </c>
      <c r="H1452" s="440">
        <f>VLOOKUP(LEFT(D1452,8),UE,4)</f>
        <v>10</v>
      </c>
      <c r="I1452" s="441"/>
      <c r="J1452" s="442">
        <f>F1452+N1452-1</f>
        <v>2010</v>
      </c>
      <c r="K1452" s="443"/>
      <c r="L1452" s="440"/>
      <c r="M1452" s="746">
        <f>IF(H1452+L1452&gt;$H1452,$H1452-H1452,L1452)</f>
        <v>0</v>
      </c>
      <c r="N1452" s="444">
        <f>H1452+M1452</f>
        <v>10</v>
      </c>
      <c r="O1452" s="442">
        <f>F1452+N1452-1</f>
        <v>2010</v>
      </c>
      <c r="P1452" s="617">
        <f>G1452</f>
        <v>4992000000</v>
      </c>
      <c r="Q1452" s="445">
        <v>0</v>
      </c>
      <c r="R1452" s="445">
        <f>P1452/N1452</f>
        <v>499200000</v>
      </c>
      <c r="S1452" s="446">
        <f>F1452</f>
        <v>2001</v>
      </c>
      <c r="T1452" s="447">
        <v>1</v>
      </c>
      <c r="U1452" s="613">
        <f>R1452*T1452</f>
        <v>499200000</v>
      </c>
      <c r="V1452" s="442">
        <f>F1452</f>
        <v>2001</v>
      </c>
      <c r="W1452" s="617">
        <f>IF(OR(AND(ISBLANK(E1452),ISBLANK(G1452)),ISTEXT(E1452),ISTEXT(G1452)),"",G1452-R1452)</f>
        <v>4492800000</v>
      </c>
      <c r="X1452" s="448"/>
      <c r="Y1452" s="449"/>
      <c r="Z1452" s="449"/>
      <c r="AA1452" s="693"/>
      <c r="AB1452" s="452"/>
      <c r="AC1452" s="452"/>
      <c r="AD1452" s="571"/>
      <c r="AE1452" s="452"/>
      <c r="AF1452" s="571"/>
      <c r="AG1452" s="452"/>
      <c r="AH1452" s="452"/>
      <c r="AI1452" s="453"/>
      <c r="AJ1452" s="449"/>
      <c r="AK1452" s="453"/>
      <c r="AL1452" s="454"/>
      <c r="AM1452" s="455"/>
      <c r="AN1452" s="456"/>
      <c r="AO1452" s="455"/>
      <c r="AP1452" s="452"/>
      <c r="AQ1452" s="457"/>
      <c r="AR1452" s="449"/>
      <c r="AS1452" s="449"/>
      <c r="AT1452" s="452"/>
      <c r="AU1452" s="457"/>
      <c r="AV1452" s="449"/>
      <c r="AW1452" s="458"/>
      <c r="AX1452" s="452"/>
      <c r="AY1452" s="457"/>
      <c r="AZ1452" s="449"/>
      <c r="BA1452" s="459"/>
      <c r="BB1452" s="455"/>
      <c r="BC1452" s="460"/>
      <c r="BD1452" s="460"/>
      <c r="BG1452" s="462"/>
    </row>
    <row r="1453" spans="1:59" s="461" customFormat="1" ht="18" customHeight="1" x14ac:dyDescent="0.2">
      <c r="A1453" s="1368" t="str">
        <f t="shared" ref="A1453:A1468" si="1078">$D$1448&amp;S1453</f>
        <v>SIMP. MUARA BAHAN - MUARA BAHAN2002</v>
      </c>
      <c r="B1453" s="1373"/>
      <c r="C1453" s="488"/>
      <c r="D1453" s="489"/>
      <c r="E1453" s="558"/>
      <c r="F1453" s="559">
        <v>2002</v>
      </c>
      <c r="G1453" s="619">
        <v>0</v>
      </c>
      <c r="H1453" s="464">
        <f>IF(N1452-(F1453-F1452)&lt;=0,0,(N1452-(F1453-F1452)))</f>
        <v>9</v>
      </c>
      <c r="I1453" s="560"/>
      <c r="J1453" s="468">
        <f>F1453+N1453-1</f>
        <v>2010</v>
      </c>
      <c r="K1453" s="490">
        <f>IF(G1453=0,0,IF(H1453=10,100%,G1453/W1452))</f>
        <v>0</v>
      </c>
      <c r="L1453" s="469">
        <f>IF(K1453=0%,0,IF(K1453&lt;=30%,2,IF(K1453&lt;=60%,5,10)))</f>
        <v>0</v>
      </c>
      <c r="M1453" s="683">
        <f>IF(OR(AND(ISBLANK(E1453),ISBLANK(G1453)),ISTEXT(E1453),ISTEXT(G1453)),"",IF(H1453+L1453&gt;$H$8,$H$8-H1453,L1453))</f>
        <v>0</v>
      </c>
      <c r="N1453" s="470">
        <f>IF(OR(AND(ISBLANK(F1453),ISBLANK(G1453)),ISTEXT(F1453),ISTEXT(G1453)),"",H1453+M1453)</f>
        <v>9</v>
      </c>
      <c r="O1453" s="468">
        <f>F1453+N1453-1</f>
        <v>2010</v>
      </c>
      <c r="P1453" s="616">
        <f>W1452</f>
        <v>4492800000</v>
      </c>
      <c r="Q1453" s="472">
        <f>P1453+G1453</f>
        <v>4492800000</v>
      </c>
      <c r="R1453" s="472">
        <f>IF(L1453=0,R1452,Q1453/N1453)</f>
        <v>499200000</v>
      </c>
      <c r="S1453" s="1132">
        <f>F1453</f>
        <v>2002</v>
      </c>
      <c r="T1453" s="470">
        <f>S1453-S1452</f>
        <v>1</v>
      </c>
      <c r="U1453" s="612">
        <f>R1453*T1453</f>
        <v>499200000</v>
      </c>
      <c r="V1453" s="464">
        <f>F1453</f>
        <v>2002</v>
      </c>
      <c r="W1453" s="612">
        <f>IF(OR(AND(ISBLANK(E1453),ISBLANK(G1453)),ISTEXT(E1453),ISTEXT(G1453)),"",Q1453-U1453)</f>
        <v>3993600000</v>
      </c>
      <c r="X1453" s="561"/>
      <c r="Y1453" s="449"/>
      <c r="Z1453" s="449"/>
      <c r="AA1453" s="693"/>
      <c r="AB1453" s="452"/>
      <c r="AC1453" s="452"/>
      <c r="AD1453" s="571"/>
      <c r="AE1453" s="452"/>
      <c r="AF1453" s="571"/>
      <c r="AG1453" s="452"/>
      <c r="AH1453" s="452"/>
      <c r="AI1453" s="453"/>
      <c r="AJ1453" s="449"/>
      <c r="AK1453" s="453"/>
      <c r="AL1453" s="454"/>
      <c r="AM1453" s="455"/>
      <c r="AN1453" s="456"/>
      <c r="AO1453" s="455"/>
      <c r="AP1453" s="452"/>
      <c r="AQ1453" s="457"/>
      <c r="AR1453" s="449"/>
      <c r="AS1453" s="449"/>
      <c r="AT1453" s="452"/>
      <c r="AU1453" s="457"/>
      <c r="AV1453" s="449"/>
      <c r="AW1453" s="458"/>
      <c r="AX1453" s="452"/>
      <c r="AY1453" s="457"/>
      <c r="AZ1453" s="449"/>
      <c r="BA1453" s="459"/>
      <c r="BB1453" s="455"/>
      <c r="BC1453" s="460"/>
      <c r="BD1453" s="460"/>
      <c r="BG1453" s="462"/>
    </row>
    <row r="1454" spans="1:59" s="461" customFormat="1" ht="18" customHeight="1" x14ac:dyDescent="0.2">
      <c r="A1454" s="1368" t="str">
        <f t="shared" si="1078"/>
        <v>SIMP. MUARA BAHAN - MUARA BAHAN2005</v>
      </c>
      <c r="B1454" s="1374"/>
      <c r="C1454" s="488"/>
      <c r="D1454" s="489"/>
      <c r="E1454" s="558"/>
      <c r="F1454" s="559">
        <v>2005</v>
      </c>
      <c r="G1454" s="619">
        <v>0</v>
      </c>
      <c r="H1454" s="464">
        <f t="shared" ref="H1454:H1468" si="1079">IF(N1453-(F1454-F1453)&lt;=0,0,(N1453-(F1454-F1453)))</f>
        <v>6</v>
      </c>
      <c r="I1454" s="560"/>
      <c r="J1454" s="468">
        <f t="shared" ref="J1454:J1468" si="1080">F1454+N1454-1</f>
        <v>2010</v>
      </c>
      <c r="K1454" s="490">
        <f t="shared" ref="K1454:K1468" si="1081">IF(G1454=0,0,IF(H1454=10,100%,G1454/W1453))</f>
        <v>0</v>
      </c>
      <c r="L1454" s="469">
        <f t="shared" ref="L1454:L1468" si="1082">IF(K1454=0%,0,IF(K1454&lt;=30%,2,IF(K1454&lt;=60%,5,10)))</f>
        <v>0</v>
      </c>
      <c r="M1454" s="683">
        <f t="shared" ref="M1454:M1468" si="1083">IF(OR(AND(ISBLANK(E1454),ISBLANK(G1454)),ISTEXT(E1454),ISTEXT(G1454)),"",IF(H1454+L1454&gt;$H$8,$H$8-H1454,L1454))</f>
        <v>0</v>
      </c>
      <c r="N1454" s="470">
        <f t="shared" ref="N1454:N1468" si="1084">IF(OR(AND(ISBLANK(F1454),ISBLANK(G1454)),ISTEXT(F1454),ISTEXT(G1454)),"",H1454+M1454)</f>
        <v>6</v>
      </c>
      <c r="O1454" s="468">
        <f t="shared" ref="O1454:O1468" si="1085">F1454+N1454-1</f>
        <v>2010</v>
      </c>
      <c r="P1454" s="616">
        <f t="shared" ref="P1454:P1468" si="1086">W1453</f>
        <v>3993600000</v>
      </c>
      <c r="Q1454" s="472">
        <f t="shared" ref="Q1454:Q1468" si="1087">P1454+G1454</f>
        <v>3993600000</v>
      </c>
      <c r="R1454" s="472">
        <f t="shared" ref="R1454:R1468" si="1088">IF(L1454=0,R1453,Q1454/N1454)</f>
        <v>499200000</v>
      </c>
      <c r="S1454" s="1189">
        <f t="shared" ref="S1454:S1468" si="1089">F1454</f>
        <v>2005</v>
      </c>
      <c r="T1454" s="470">
        <f t="shared" ref="T1454:T1468" si="1090">S1454-S1453</f>
        <v>3</v>
      </c>
      <c r="U1454" s="612">
        <f t="shared" ref="U1454:U1468" si="1091">R1454*T1454</f>
        <v>1497600000</v>
      </c>
      <c r="V1454" s="464">
        <f t="shared" ref="V1454:V1468" si="1092">F1454</f>
        <v>2005</v>
      </c>
      <c r="W1454" s="612">
        <f t="shared" ref="W1454:W1468" si="1093">IF(OR(AND(ISBLANK(E1454),ISBLANK(G1454)),ISTEXT(E1454),ISTEXT(G1454)),"",Q1454-U1454)</f>
        <v>2496000000</v>
      </c>
      <c r="X1454" s="561"/>
      <c r="Y1454" s="449"/>
      <c r="Z1454" s="449"/>
      <c r="AA1454" s="693"/>
      <c r="AB1454" s="452"/>
      <c r="AC1454" s="452"/>
      <c r="AD1454" s="571"/>
      <c r="AE1454" s="452"/>
      <c r="AF1454" s="571"/>
      <c r="AG1454" s="452"/>
      <c r="AH1454" s="452"/>
      <c r="AI1454" s="453"/>
      <c r="AJ1454" s="449"/>
      <c r="AK1454" s="453"/>
      <c r="AL1454" s="454"/>
      <c r="AM1454" s="455"/>
      <c r="AN1454" s="456"/>
      <c r="AO1454" s="455"/>
      <c r="AP1454" s="452"/>
      <c r="AQ1454" s="457"/>
      <c r="AR1454" s="449"/>
      <c r="AS1454" s="449"/>
      <c r="AT1454" s="452"/>
      <c r="AU1454" s="457"/>
      <c r="AV1454" s="449"/>
      <c r="AW1454" s="458"/>
      <c r="AX1454" s="452"/>
      <c r="AY1454" s="457"/>
      <c r="AZ1454" s="449"/>
      <c r="BA1454" s="459"/>
      <c r="BB1454" s="455"/>
      <c r="BC1454" s="460"/>
      <c r="BD1454" s="460"/>
      <c r="BG1454" s="462"/>
    </row>
    <row r="1455" spans="1:59" s="461" customFormat="1" ht="18" customHeight="1" x14ac:dyDescent="0.2">
      <c r="A1455" s="1368" t="str">
        <f t="shared" si="1078"/>
        <v>SIMP. MUARA BAHAN - MUARA BAHAN2006</v>
      </c>
      <c r="B1455" s="1373"/>
      <c r="C1455" s="488"/>
      <c r="D1455" s="489"/>
      <c r="E1455" s="558"/>
      <c r="F1455" s="559">
        <v>2006</v>
      </c>
      <c r="G1455" s="619">
        <v>0</v>
      </c>
      <c r="H1455" s="464">
        <f t="shared" si="1079"/>
        <v>5</v>
      </c>
      <c r="I1455" s="560"/>
      <c r="J1455" s="468">
        <f t="shared" si="1080"/>
        <v>2010</v>
      </c>
      <c r="K1455" s="490">
        <f t="shared" si="1081"/>
        <v>0</v>
      </c>
      <c r="L1455" s="469">
        <f t="shared" si="1082"/>
        <v>0</v>
      </c>
      <c r="M1455" s="683">
        <f t="shared" si="1083"/>
        <v>0</v>
      </c>
      <c r="N1455" s="470">
        <f t="shared" si="1084"/>
        <v>5</v>
      </c>
      <c r="O1455" s="468">
        <f t="shared" si="1085"/>
        <v>2010</v>
      </c>
      <c r="P1455" s="616">
        <f t="shared" si="1086"/>
        <v>2496000000</v>
      </c>
      <c r="Q1455" s="472">
        <f t="shared" si="1087"/>
        <v>2496000000</v>
      </c>
      <c r="R1455" s="472">
        <f t="shared" si="1088"/>
        <v>499200000</v>
      </c>
      <c r="S1455" s="1189">
        <f t="shared" si="1089"/>
        <v>2006</v>
      </c>
      <c r="T1455" s="470">
        <f t="shared" si="1090"/>
        <v>1</v>
      </c>
      <c r="U1455" s="612">
        <f t="shared" si="1091"/>
        <v>499200000</v>
      </c>
      <c r="V1455" s="464">
        <f t="shared" si="1092"/>
        <v>2006</v>
      </c>
      <c r="W1455" s="612">
        <f t="shared" si="1093"/>
        <v>1996800000</v>
      </c>
      <c r="X1455" s="561"/>
      <c r="Y1455" s="449"/>
      <c r="Z1455" s="449"/>
      <c r="AA1455" s="693"/>
      <c r="AB1455" s="452"/>
      <c r="AC1455" s="452"/>
      <c r="AD1455" s="571"/>
      <c r="AE1455" s="452"/>
      <c r="AF1455" s="571"/>
      <c r="AG1455" s="452"/>
      <c r="AH1455" s="452"/>
      <c r="AI1455" s="453"/>
      <c r="AJ1455" s="449"/>
      <c r="AK1455" s="453"/>
      <c r="AL1455" s="454"/>
      <c r="AM1455" s="455"/>
      <c r="AN1455" s="456"/>
      <c r="AO1455" s="455"/>
      <c r="AP1455" s="452"/>
      <c r="AQ1455" s="457"/>
      <c r="AR1455" s="449"/>
      <c r="AS1455" s="449"/>
      <c r="AT1455" s="452"/>
      <c r="AU1455" s="457"/>
      <c r="AV1455" s="449"/>
      <c r="AW1455" s="458"/>
      <c r="AX1455" s="452"/>
      <c r="AY1455" s="457"/>
      <c r="AZ1455" s="449"/>
      <c r="BA1455" s="459"/>
      <c r="BB1455" s="455"/>
      <c r="BC1455" s="460"/>
      <c r="BD1455" s="460"/>
      <c r="BG1455" s="462"/>
    </row>
    <row r="1456" spans="1:59" s="461" customFormat="1" ht="18" customHeight="1" x14ac:dyDescent="0.2">
      <c r="A1456" s="1368" t="str">
        <f t="shared" si="1078"/>
        <v>SIMP. MUARA BAHAN - MUARA BAHAN2007</v>
      </c>
      <c r="B1456" s="1373">
        <v>2</v>
      </c>
      <c r="C1456" s="488" t="s">
        <v>5079</v>
      </c>
      <c r="D1456" s="489"/>
      <c r="E1456" s="558"/>
      <c r="F1456" s="559">
        <v>2007</v>
      </c>
      <c r="G1456" s="619">
        <v>663676680.80826843</v>
      </c>
      <c r="H1456" s="464">
        <f t="shared" si="1079"/>
        <v>4</v>
      </c>
      <c r="I1456" s="560"/>
      <c r="J1456" s="468">
        <f t="shared" si="1080"/>
        <v>2015</v>
      </c>
      <c r="K1456" s="490">
        <f t="shared" si="1081"/>
        <v>0.33237013261632031</v>
      </c>
      <c r="L1456" s="469">
        <f t="shared" si="1082"/>
        <v>5</v>
      </c>
      <c r="M1456" s="683">
        <f t="shared" si="1083"/>
        <v>5</v>
      </c>
      <c r="N1456" s="470">
        <f t="shared" si="1084"/>
        <v>9</v>
      </c>
      <c r="O1456" s="468">
        <f t="shared" si="1085"/>
        <v>2015</v>
      </c>
      <c r="P1456" s="616">
        <f t="shared" si="1086"/>
        <v>1996800000</v>
      </c>
      <c r="Q1456" s="472">
        <f t="shared" si="1087"/>
        <v>2660476680.8082685</v>
      </c>
      <c r="R1456" s="472">
        <f t="shared" si="1088"/>
        <v>295608520.08980763</v>
      </c>
      <c r="S1456" s="1189">
        <f t="shared" si="1089"/>
        <v>2007</v>
      </c>
      <c r="T1456" s="470">
        <f t="shared" si="1090"/>
        <v>1</v>
      </c>
      <c r="U1456" s="612">
        <f t="shared" si="1091"/>
        <v>295608520.08980763</v>
      </c>
      <c r="V1456" s="464">
        <f t="shared" si="1092"/>
        <v>2007</v>
      </c>
      <c r="W1456" s="612">
        <f t="shared" si="1093"/>
        <v>2364868160.718461</v>
      </c>
      <c r="X1456" s="561"/>
      <c r="Y1456" s="449"/>
      <c r="Z1456" s="449"/>
      <c r="AA1456" s="693"/>
      <c r="AB1456" s="452"/>
      <c r="AC1456" s="452"/>
      <c r="AD1456" s="571"/>
      <c r="AE1456" s="452"/>
      <c r="AF1456" s="571"/>
      <c r="AG1456" s="452"/>
      <c r="AH1456" s="452"/>
      <c r="AI1456" s="453"/>
      <c r="AJ1456" s="449"/>
      <c r="AK1456" s="453"/>
      <c r="AL1456" s="454"/>
      <c r="AM1456" s="455"/>
      <c r="AN1456" s="456"/>
      <c r="AO1456" s="455"/>
      <c r="AP1456" s="452"/>
      <c r="AQ1456" s="457"/>
      <c r="AR1456" s="449"/>
      <c r="AS1456" s="449"/>
      <c r="AT1456" s="452"/>
      <c r="AU1456" s="457"/>
      <c r="AV1456" s="449"/>
      <c r="AW1456" s="458"/>
      <c r="AX1456" s="452"/>
      <c r="AY1456" s="457"/>
      <c r="AZ1456" s="449"/>
      <c r="BA1456" s="459"/>
      <c r="BB1456" s="455"/>
      <c r="BC1456" s="460"/>
      <c r="BD1456" s="460"/>
      <c r="BG1456" s="462"/>
    </row>
    <row r="1457" spans="1:59" s="461" customFormat="1" ht="18" customHeight="1" x14ac:dyDescent="0.2">
      <c r="A1457" s="1368" t="str">
        <f t="shared" si="1078"/>
        <v>SIMP. MUARA BAHAN - MUARA BAHAN2008</v>
      </c>
      <c r="B1457" s="1373">
        <v>3</v>
      </c>
      <c r="C1457" s="488" t="s">
        <v>5175</v>
      </c>
      <c r="D1457" s="489"/>
      <c r="E1457" s="558"/>
      <c r="F1457" s="559">
        <v>2008</v>
      </c>
      <c r="G1457" s="619">
        <v>402423126.15279591</v>
      </c>
      <c r="H1457" s="464">
        <f t="shared" si="1079"/>
        <v>8</v>
      </c>
      <c r="I1457" s="560"/>
      <c r="J1457" s="468">
        <f t="shared" si="1080"/>
        <v>2017</v>
      </c>
      <c r="K1457" s="490">
        <f t="shared" si="1081"/>
        <v>0.1701672561867201</v>
      </c>
      <c r="L1457" s="469">
        <f t="shared" si="1082"/>
        <v>2</v>
      </c>
      <c r="M1457" s="683">
        <f t="shared" si="1083"/>
        <v>2</v>
      </c>
      <c r="N1457" s="470">
        <f t="shared" si="1084"/>
        <v>10</v>
      </c>
      <c r="O1457" s="468">
        <f t="shared" si="1085"/>
        <v>2017</v>
      </c>
      <c r="P1457" s="616">
        <f t="shared" si="1086"/>
        <v>2364868160.718461</v>
      </c>
      <c r="Q1457" s="472">
        <f t="shared" si="1087"/>
        <v>2767291286.8712568</v>
      </c>
      <c r="R1457" s="472">
        <f t="shared" si="1088"/>
        <v>276729128.68712568</v>
      </c>
      <c r="S1457" s="1189">
        <f t="shared" si="1089"/>
        <v>2008</v>
      </c>
      <c r="T1457" s="470">
        <f t="shared" si="1090"/>
        <v>1</v>
      </c>
      <c r="U1457" s="612">
        <f t="shared" si="1091"/>
        <v>276729128.68712568</v>
      </c>
      <c r="V1457" s="464">
        <f t="shared" si="1092"/>
        <v>2008</v>
      </c>
      <c r="W1457" s="612">
        <f t="shared" si="1093"/>
        <v>2490562158.1841311</v>
      </c>
      <c r="X1457" s="561"/>
      <c r="Y1457" s="449"/>
      <c r="Z1457" s="449"/>
      <c r="AA1457" s="693"/>
      <c r="AB1457" s="452"/>
      <c r="AC1457" s="452"/>
      <c r="AD1457" s="571"/>
      <c r="AE1457" s="452"/>
      <c r="AF1457" s="571"/>
      <c r="AG1457" s="452"/>
      <c r="AH1457" s="452"/>
      <c r="AI1457" s="453"/>
      <c r="AJ1457" s="449"/>
      <c r="AK1457" s="453"/>
      <c r="AL1457" s="454"/>
      <c r="AM1457" s="455"/>
      <c r="AN1457" s="456"/>
      <c r="AO1457" s="455"/>
      <c r="AP1457" s="452"/>
      <c r="AQ1457" s="457"/>
      <c r="AR1457" s="449"/>
      <c r="AS1457" s="449"/>
      <c r="AT1457" s="452"/>
      <c r="AU1457" s="457"/>
      <c r="AV1457" s="449"/>
      <c r="AW1457" s="458"/>
      <c r="AX1457" s="452"/>
      <c r="AY1457" s="457"/>
      <c r="AZ1457" s="449"/>
      <c r="BA1457" s="459"/>
      <c r="BB1457" s="455"/>
      <c r="BC1457" s="460"/>
      <c r="BD1457" s="460"/>
      <c r="BG1457" s="462"/>
    </row>
    <row r="1458" spans="1:59" s="461" customFormat="1" ht="18" customHeight="1" x14ac:dyDescent="0.2">
      <c r="A1458" s="1368" t="str">
        <f t="shared" si="1078"/>
        <v>SIMP. MUARA BAHAN - MUARA BAHAN2009</v>
      </c>
      <c r="B1458" s="1373"/>
      <c r="C1458" s="488"/>
      <c r="D1458" s="489"/>
      <c r="E1458" s="558"/>
      <c r="F1458" s="559">
        <v>2009</v>
      </c>
      <c r="G1458" s="619">
        <v>0</v>
      </c>
      <c r="H1458" s="464">
        <f t="shared" si="1079"/>
        <v>9</v>
      </c>
      <c r="I1458" s="560"/>
      <c r="J1458" s="468">
        <f t="shared" si="1080"/>
        <v>2017</v>
      </c>
      <c r="K1458" s="490">
        <f t="shared" si="1081"/>
        <v>0</v>
      </c>
      <c r="L1458" s="469">
        <f t="shared" si="1082"/>
        <v>0</v>
      </c>
      <c r="M1458" s="683">
        <f t="shared" si="1083"/>
        <v>0</v>
      </c>
      <c r="N1458" s="470">
        <f t="shared" si="1084"/>
        <v>9</v>
      </c>
      <c r="O1458" s="468">
        <f t="shared" si="1085"/>
        <v>2017</v>
      </c>
      <c r="P1458" s="616">
        <f t="shared" si="1086"/>
        <v>2490562158.1841311</v>
      </c>
      <c r="Q1458" s="472">
        <f t="shared" si="1087"/>
        <v>2490562158.1841311</v>
      </c>
      <c r="R1458" s="472">
        <f t="shared" si="1088"/>
        <v>276729128.68712568</v>
      </c>
      <c r="S1458" s="1189">
        <f t="shared" si="1089"/>
        <v>2009</v>
      </c>
      <c r="T1458" s="470">
        <f t="shared" si="1090"/>
        <v>1</v>
      </c>
      <c r="U1458" s="612">
        <f t="shared" si="1091"/>
        <v>276729128.68712568</v>
      </c>
      <c r="V1458" s="464">
        <f t="shared" si="1092"/>
        <v>2009</v>
      </c>
      <c r="W1458" s="612">
        <f t="shared" si="1093"/>
        <v>2213833029.4970055</v>
      </c>
      <c r="X1458" s="561"/>
      <c r="Y1458" s="449"/>
      <c r="Z1458" s="449"/>
      <c r="AA1458" s="694"/>
      <c r="AB1458" s="692"/>
      <c r="AC1458" s="692"/>
      <c r="AD1458" s="695"/>
      <c r="AE1458" s="452"/>
      <c r="AF1458" s="571"/>
      <c r="AG1458" s="452"/>
      <c r="AH1458" s="452"/>
      <c r="AI1458" s="453"/>
      <c r="AJ1458" s="449"/>
      <c r="AK1458" s="453"/>
      <c r="AL1458" s="454"/>
      <c r="AM1458" s="455"/>
      <c r="AN1458" s="456"/>
      <c r="AO1458" s="455"/>
      <c r="AP1458" s="452"/>
      <c r="AQ1458" s="457"/>
      <c r="AR1458" s="449"/>
      <c r="AS1458" s="449"/>
      <c r="AT1458" s="452"/>
      <c r="AU1458" s="457"/>
      <c r="AV1458" s="449"/>
      <c r="AW1458" s="458"/>
      <c r="AX1458" s="452"/>
      <c r="AY1458" s="457"/>
      <c r="AZ1458" s="449"/>
      <c r="BA1458" s="459"/>
      <c r="BB1458" s="455"/>
      <c r="BC1458" s="460"/>
      <c r="BD1458" s="460"/>
      <c r="BG1458" s="462"/>
    </row>
    <row r="1459" spans="1:59" s="461" customFormat="1" ht="18" customHeight="1" x14ac:dyDescent="0.2">
      <c r="A1459" s="1368" t="str">
        <f t="shared" si="1078"/>
        <v>SIMP. MUARA BAHAN - MUARA BAHAN2010</v>
      </c>
      <c r="B1459" s="1373"/>
      <c r="C1459" s="488"/>
      <c r="D1459" s="489"/>
      <c r="E1459" s="558"/>
      <c r="F1459" s="559">
        <v>2010</v>
      </c>
      <c r="G1459" s="619">
        <v>0</v>
      </c>
      <c r="H1459" s="464">
        <f t="shared" si="1079"/>
        <v>8</v>
      </c>
      <c r="I1459" s="560"/>
      <c r="J1459" s="468">
        <f t="shared" si="1080"/>
        <v>2017</v>
      </c>
      <c r="K1459" s="490">
        <f t="shared" si="1081"/>
        <v>0</v>
      </c>
      <c r="L1459" s="469">
        <f t="shared" si="1082"/>
        <v>0</v>
      </c>
      <c r="M1459" s="683">
        <f t="shared" si="1083"/>
        <v>0</v>
      </c>
      <c r="N1459" s="470">
        <f t="shared" si="1084"/>
        <v>8</v>
      </c>
      <c r="O1459" s="468">
        <f t="shared" si="1085"/>
        <v>2017</v>
      </c>
      <c r="P1459" s="616">
        <f t="shared" si="1086"/>
        <v>2213833029.4970055</v>
      </c>
      <c r="Q1459" s="472">
        <f t="shared" si="1087"/>
        <v>2213833029.4970055</v>
      </c>
      <c r="R1459" s="472">
        <f t="shared" si="1088"/>
        <v>276729128.68712568</v>
      </c>
      <c r="S1459" s="1189">
        <f t="shared" si="1089"/>
        <v>2010</v>
      </c>
      <c r="T1459" s="470">
        <f t="shared" si="1090"/>
        <v>1</v>
      </c>
      <c r="U1459" s="612">
        <f t="shared" si="1091"/>
        <v>276729128.68712568</v>
      </c>
      <c r="V1459" s="464">
        <f t="shared" si="1092"/>
        <v>2010</v>
      </c>
      <c r="W1459" s="612">
        <f t="shared" si="1093"/>
        <v>1937103900.8098798</v>
      </c>
      <c r="X1459" s="561"/>
      <c r="Y1459" s="449"/>
      <c r="Z1459" s="449"/>
      <c r="AA1459" s="554" t="s">
        <v>4179</v>
      </c>
      <c r="AB1459" s="452"/>
      <c r="AC1459" s="452"/>
      <c r="AD1459" s="566"/>
      <c r="AE1459" s="452"/>
      <c r="AF1459" s="571"/>
      <c r="AG1459" s="452"/>
      <c r="AH1459" s="452"/>
      <c r="AI1459" s="453"/>
      <c r="AJ1459" s="449"/>
      <c r="AK1459" s="453"/>
      <c r="AL1459" s="454"/>
      <c r="AM1459" s="455"/>
      <c r="AN1459" s="456"/>
      <c r="AO1459" s="455"/>
      <c r="AP1459" s="452"/>
      <c r="AQ1459" s="457"/>
      <c r="AR1459" s="449"/>
      <c r="AS1459" s="449"/>
      <c r="AT1459" s="452"/>
      <c r="AU1459" s="457"/>
      <c r="AV1459" s="449"/>
      <c r="AW1459" s="458"/>
      <c r="AX1459" s="452"/>
      <c r="AY1459" s="457"/>
      <c r="AZ1459" s="449"/>
      <c r="BA1459" s="459"/>
      <c r="BB1459" s="455"/>
      <c r="BC1459" s="460"/>
      <c r="BD1459" s="460"/>
      <c r="BG1459" s="462"/>
    </row>
    <row r="1460" spans="1:59" s="461" customFormat="1" ht="18" customHeight="1" x14ac:dyDescent="0.2">
      <c r="A1460" s="1368" t="str">
        <f t="shared" si="1078"/>
        <v>SIMP. MUARA BAHAN - MUARA BAHAN2011</v>
      </c>
      <c r="B1460" s="1373"/>
      <c r="C1460" s="488"/>
      <c r="D1460" s="489"/>
      <c r="E1460" s="558"/>
      <c r="F1460" s="559">
        <v>2011</v>
      </c>
      <c r="G1460" s="619">
        <v>0</v>
      </c>
      <c r="H1460" s="464">
        <f t="shared" si="1079"/>
        <v>7</v>
      </c>
      <c r="I1460" s="560"/>
      <c r="J1460" s="468">
        <f t="shared" si="1080"/>
        <v>2017</v>
      </c>
      <c r="K1460" s="490">
        <f t="shared" si="1081"/>
        <v>0</v>
      </c>
      <c r="L1460" s="469">
        <f t="shared" si="1082"/>
        <v>0</v>
      </c>
      <c r="M1460" s="683">
        <f t="shared" si="1083"/>
        <v>0</v>
      </c>
      <c r="N1460" s="470">
        <f t="shared" si="1084"/>
        <v>7</v>
      </c>
      <c r="O1460" s="468">
        <f t="shared" si="1085"/>
        <v>2017</v>
      </c>
      <c r="P1460" s="616">
        <f t="shared" si="1086"/>
        <v>1937103900.8098798</v>
      </c>
      <c r="Q1460" s="472">
        <f t="shared" si="1087"/>
        <v>1937103900.8098798</v>
      </c>
      <c r="R1460" s="472">
        <f t="shared" si="1088"/>
        <v>276729128.68712568</v>
      </c>
      <c r="S1460" s="1189">
        <f t="shared" si="1089"/>
        <v>2011</v>
      </c>
      <c r="T1460" s="470">
        <f t="shared" si="1090"/>
        <v>1</v>
      </c>
      <c r="U1460" s="612">
        <f t="shared" si="1091"/>
        <v>276729128.68712568</v>
      </c>
      <c r="V1460" s="464">
        <f t="shared" si="1092"/>
        <v>2011</v>
      </c>
      <c r="W1460" s="612">
        <f t="shared" si="1093"/>
        <v>1660374772.1227541</v>
      </c>
      <c r="X1460" s="561"/>
      <c r="Y1460" s="449"/>
      <c r="Z1460" s="449"/>
      <c r="AA1460" s="554"/>
      <c r="AB1460" s="452"/>
      <c r="AC1460" s="452"/>
      <c r="AD1460" s="566"/>
      <c r="AE1460" s="452"/>
      <c r="AF1460" s="571"/>
      <c r="AG1460" s="452"/>
      <c r="AH1460" s="452"/>
      <c r="AI1460" s="453"/>
      <c r="AJ1460" s="449"/>
      <c r="AK1460" s="453"/>
      <c r="AL1460" s="454"/>
      <c r="AM1460" s="455"/>
      <c r="AN1460" s="456"/>
      <c r="AO1460" s="455"/>
      <c r="AP1460" s="452"/>
      <c r="AQ1460" s="457"/>
      <c r="AR1460" s="449"/>
      <c r="AS1460" s="449"/>
      <c r="AT1460" s="452"/>
      <c r="AU1460" s="457"/>
      <c r="AV1460" s="449"/>
      <c r="AW1460" s="458"/>
      <c r="AX1460" s="452"/>
      <c r="AY1460" s="457"/>
      <c r="AZ1460" s="449"/>
      <c r="BA1460" s="459"/>
      <c r="BB1460" s="455"/>
      <c r="BC1460" s="460"/>
      <c r="BD1460" s="460"/>
      <c r="BG1460" s="462"/>
    </row>
    <row r="1461" spans="1:59" s="486" customFormat="1" ht="18" customHeight="1" x14ac:dyDescent="0.2">
      <c r="A1461" s="1368" t="str">
        <f t="shared" si="1078"/>
        <v>SIMP. MUARA BAHAN - MUARA BAHAN2012</v>
      </c>
      <c r="B1461" s="1373">
        <v>4</v>
      </c>
      <c r="C1461" s="488" t="s">
        <v>1256</v>
      </c>
      <c r="D1461" s="489" t="s">
        <v>3821</v>
      </c>
      <c r="E1461" s="558"/>
      <c r="F1461" s="559">
        <v>2012</v>
      </c>
      <c r="G1461" s="619">
        <v>1597174170.3423619</v>
      </c>
      <c r="H1461" s="464">
        <f t="shared" si="1079"/>
        <v>6</v>
      </c>
      <c r="I1461" s="560"/>
      <c r="J1461" s="468">
        <f t="shared" si="1080"/>
        <v>2021</v>
      </c>
      <c r="K1461" s="490">
        <f t="shared" si="1081"/>
        <v>0.96193594190810816</v>
      </c>
      <c r="L1461" s="469">
        <f t="shared" si="1082"/>
        <v>10</v>
      </c>
      <c r="M1461" s="683">
        <f t="shared" si="1083"/>
        <v>4</v>
      </c>
      <c r="N1461" s="470">
        <f t="shared" si="1084"/>
        <v>10</v>
      </c>
      <c r="O1461" s="468">
        <f t="shared" si="1085"/>
        <v>2021</v>
      </c>
      <c r="P1461" s="616">
        <f t="shared" si="1086"/>
        <v>1660374772.1227541</v>
      </c>
      <c r="Q1461" s="472">
        <f t="shared" si="1087"/>
        <v>3257548942.465116</v>
      </c>
      <c r="R1461" s="472">
        <f t="shared" si="1088"/>
        <v>325754894.24651158</v>
      </c>
      <c r="S1461" s="1189">
        <f t="shared" si="1089"/>
        <v>2012</v>
      </c>
      <c r="T1461" s="470">
        <f t="shared" si="1090"/>
        <v>1</v>
      </c>
      <c r="U1461" s="612">
        <f t="shared" si="1091"/>
        <v>325754894.24651158</v>
      </c>
      <c r="V1461" s="464">
        <f t="shared" si="1092"/>
        <v>2012</v>
      </c>
      <c r="W1461" s="612">
        <f t="shared" si="1093"/>
        <v>2931794048.2186046</v>
      </c>
      <c r="X1461" s="561"/>
      <c r="Y1461" s="474"/>
      <c r="Z1461" s="449"/>
      <c r="AA1461" s="475" t="s">
        <v>4180</v>
      </c>
      <c r="AB1461" s="476"/>
      <c r="AC1461" s="476"/>
      <c r="AD1461" s="567">
        <f>G1470</f>
        <v>7845731977.3034267</v>
      </c>
      <c r="AE1461" s="476"/>
      <c r="AF1461" s="568"/>
      <c r="AG1461" s="476"/>
      <c r="AH1461" s="476"/>
      <c r="AI1461" s="477"/>
      <c r="AJ1461" s="478"/>
      <c r="AK1461" s="479"/>
      <c r="AL1461" s="480"/>
      <c r="AM1461" s="474"/>
      <c r="AN1461" s="481"/>
      <c r="AO1461" s="474"/>
      <c r="AP1461" s="476"/>
      <c r="AQ1461" s="482"/>
      <c r="AR1461" s="478"/>
      <c r="AS1461" s="478"/>
      <c r="AT1461" s="476"/>
      <c r="AU1461" s="482"/>
      <c r="AV1461" s="478"/>
      <c r="AW1461" s="483"/>
      <c r="AX1461" s="476"/>
      <c r="AY1461" s="482"/>
      <c r="AZ1461" s="478"/>
      <c r="BA1461" s="484"/>
      <c r="BB1461" s="474"/>
      <c r="BC1461" s="485"/>
      <c r="BD1461" s="485"/>
      <c r="BG1461" s="487"/>
    </row>
    <row r="1462" spans="1:59" s="486" customFormat="1" ht="18" customHeight="1" x14ac:dyDescent="0.2">
      <c r="A1462" s="1368" t="str">
        <f t="shared" si="1078"/>
        <v>SIMP. MUARA BAHAN - MUARA BAHAN2013</v>
      </c>
      <c r="B1462" s="1373"/>
      <c r="C1462" s="488"/>
      <c r="D1462" s="489"/>
      <c r="E1462" s="558"/>
      <c r="F1462" s="559">
        <v>2013</v>
      </c>
      <c r="G1462" s="619">
        <v>0</v>
      </c>
      <c r="H1462" s="464">
        <f t="shared" si="1079"/>
        <v>9</v>
      </c>
      <c r="I1462" s="560"/>
      <c r="J1462" s="468">
        <f t="shared" si="1080"/>
        <v>2021</v>
      </c>
      <c r="K1462" s="490">
        <f t="shared" si="1081"/>
        <v>0</v>
      </c>
      <c r="L1462" s="469">
        <f t="shared" si="1082"/>
        <v>0</v>
      </c>
      <c r="M1462" s="683">
        <f t="shared" si="1083"/>
        <v>0</v>
      </c>
      <c r="N1462" s="470">
        <f t="shared" si="1084"/>
        <v>9</v>
      </c>
      <c r="O1462" s="468">
        <f t="shared" si="1085"/>
        <v>2021</v>
      </c>
      <c r="P1462" s="616">
        <f t="shared" si="1086"/>
        <v>2931794048.2186046</v>
      </c>
      <c r="Q1462" s="472">
        <f t="shared" si="1087"/>
        <v>2931794048.2186046</v>
      </c>
      <c r="R1462" s="472">
        <f t="shared" si="1088"/>
        <v>325754894.24651158</v>
      </c>
      <c r="S1462" s="1189">
        <f t="shared" si="1089"/>
        <v>2013</v>
      </c>
      <c r="T1462" s="470">
        <f t="shared" si="1090"/>
        <v>1</v>
      </c>
      <c r="U1462" s="612">
        <f t="shared" si="1091"/>
        <v>325754894.24651158</v>
      </c>
      <c r="V1462" s="464">
        <f t="shared" si="1092"/>
        <v>2013</v>
      </c>
      <c r="W1462" s="612">
        <f t="shared" si="1093"/>
        <v>2606039153.9720931</v>
      </c>
      <c r="X1462" s="473"/>
      <c r="Y1462" s="478"/>
      <c r="Z1462" s="449"/>
      <c r="AA1462" s="475" t="s">
        <v>4181</v>
      </c>
      <c r="AB1462" s="491"/>
      <c r="AC1462" s="491"/>
      <c r="AD1462" s="567">
        <f>U1470</f>
        <v>6806170565.1705341</v>
      </c>
      <c r="AE1462" s="491"/>
      <c r="AF1462" s="568"/>
      <c r="AG1462" s="491"/>
      <c r="AH1462" s="491"/>
      <c r="AI1462" s="477"/>
      <c r="AJ1462" s="478"/>
      <c r="AK1462" s="479"/>
      <c r="AL1462" s="480"/>
      <c r="AM1462" s="474"/>
      <c r="AN1462" s="481"/>
      <c r="AO1462" s="474"/>
      <c r="AP1462" s="476"/>
      <c r="AQ1462" s="482"/>
      <c r="AR1462" s="478"/>
      <c r="AS1462" s="478"/>
      <c r="AT1462" s="476"/>
      <c r="AU1462" s="482"/>
      <c r="AV1462" s="478"/>
      <c r="AW1462" s="483"/>
      <c r="AX1462" s="476"/>
      <c r="AY1462" s="482"/>
      <c r="AZ1462" s="478"/>
      <c r="BA1462" s="484"/>
      <c r="BB1462" s="474"/>
      <c r="BC1462" s="485"/>
      <c r="BD1462" s="485"/>
      <c r="BG1462" s="487"/>
    </row>
    <row r="1463" spans="1:59" s="486" customFormat="1" ht="18" customHeight="1" x14ac:dyDescent="0.2">
      <c r="A1463" s="1368" t="str">
        <f t="shared" si="1078"/>
        <v>SIMP. MUARA BAHAN - MUARA BAHAN2014</v>
      </c>
      <c r="B1463" s="1373"/>
      <c r="C1463" s="488"/>
      <c r="D1463" s="489"/>
      <c r="E1463" s="558"/>
      <c r="F1463" s="559">
        <v>2014</v>
      </c>
      <c r="G1463" s="619">
        <v>0</v>
      </c>
      <c r="H1463" s="464">
        <f t="shared" si="1079"/>
        <v>8</v>
      </c>
      <c r="I1463" s="560"/>
      <c r="J1463" s="468">
        <f t="shared" si="1080"/>
        <v>2021</v>
      </c>
      <c r="K1463" s="490">
        <f t="shared" si="1081"/>
        <v>0</v>
      </c>
      <c r="L1463" s="469">
        <f t="shared" si="1082"/>
        <v>0</v>
      </c>
      <c r="M1463" s="683">
        <f t="shared" si="1083"/>
        <v>0</v>
      </c>
      <c r="N1463" s="470">
        <f t="shared" si="1084"/>
        <v>8</v>
      </c>
      <c r="O1463" s="468">
        <f t="shared" si="1085"/>
        <v>2021</v>
      </c>
      <c r="P1463" s="616">
        <f t="shared" si="1086"/>
        <v>2606039153.9720931</v>
      </c>
      <c r="Q1463" s="472">
        <f t="shared" si="1087"/>
        <v>2606039153.9720931</v>
      </c>
      <c r="R1463" s="472">
        <f t="shared" si="1088"/>
        <v>325754894.24651158</v>
      </c>
      <c r="S1463" s="1189">
        <f t="shared" si="1089"/>
        <v>2014</v>
      </c>
      <c r="T1463" s="470">
        <f t="shared" si="1090"/>
        <v>1</v>
      </c>
      <c r="U1463" s="612">
        <f t="shared" si="1091"/>
        <v>325754894.24651158</v>
      </c>
      <c r="V1463" s="464">
        <f t="shared" si="1092"/>
        <v>2014</v>
      </c>
      <c r="W1463" s="612">
        <f t="shared" si="1093"/>
        <v>2280284259.7255816</v>
      </c>
      <c r="X1463" s="473"/>
      <c r="Y1463" s="478"/>
      <c r="Z1463" s="449"/>
      <c r="AA1463" s="492" t="s">
        <v>4182</v>
      </c>
      <c r="AB1463" s="476"/>
      <c r="AC1463" s="476"/>
      <c r="AD1463" s="567">
        <f>AD1461-AD1462</f>
        <v>1039561412.1328926</v>
      </c>
      <c r="AE1463" s="476"/>
      <c r="AF1463" s="568"/>
      <c r="AG1463" s="476"/>
      <c r="AH1463" s="476"/>
      <c r="AI1463" s="477"/>
      <c r="AJ1463" s="478"/>
      <c r="AK1463" s="479"/>
      <c r="AL1463" s="480"/>
      <c r="AM1463" s="474"/>
      <c r="AN1463" s="481"/>
      <c r="AO1463" s="474"/>
      <c r="AP1463" s="476"/>
      <c r="AQ1463" s="482"/>
      <c r="AR1463" s="478"/>
      <c r="AS1463" s="478"/>
      <c r="AT1463" s="476"/>
      <c r="AU1463" s="482"/>
      <c r="AV1463" s="478"/>
      <c r="AW1463" s="483"/>
      <c r="AX1463" s="476"/>
      <c r="AY1463" s="482"/>
      <c r="AZ1463" s="478"/>
      <c r="BA1463" s="484"/>
      <c r="BB1463" s="474"/>
      <c r="BC1463" s="485"/>
      <c r="BD1463" s="485"/>
      <c r="BG1463" s="487"/>
    </row>
    <row r="1464" spans="1:59" s="486" customFormat="1" ht="18" customHeight="1" x14ac:dyDescent="0.2">
      <c r="A1464" s="1368" t="str">
        <f t="shared" si="1078"/>
        <v>SIMP. MUARA BAHAN - MUARA BAHAN2015</v>
      </c>
      <c r="B1464" s="687"/>
      <c r="C1464" s="463"/>
      <c r="D1464" s="489"/>
      <c r="E1464" s="465"/>
      <c r="F1464" s="559">
        <v>2015</v>
      </c>
      <c r="G1464" s="619">
        <v>0</v>
      </c>
      <c r="H1464" s="464">
        <f t="shared" si="1079"/>
        <v>7</v>
      </c>
      <c r="I1464" s="560"/>
      <c r="J1464" s="468">
        <f t="shared" si="1080"/>
        <v>2021</v>
      </c>
      <c r="K1464" s="490">
        <f t="shared" si="1081"/>
        <v>0</v>
      </c>
      <c r="L1464" s="469">
        <f t="shared" si="1082"/>
        <v>0</v>
      </c>
      <c r="M1464" s="683">
        <f t="shared" si="1083"/>
        <v>0</v>
      </c>
      <c r="N1464" s="470">
        <f t="shared" si="1084"/>
        <v>7</v>
      </c>
      <c r="O1464" s="468">
        <f t="shared" si="1085"/>
        <v>2021</v>
      </c>
      <c r="P1464" s="616">
        <f t="shared" si="1086"/>
        <v>2280284259.7255816</v>
      </c>
      <c r="Q1464" s="472">
        <f t="shared" si="1087"/>
        <v>2280284259.7255816</v>
      </c>
      <c r="R1464" s="472">
        <f t="shared" si="1088"/>
        <v>325754894.24651158</v>
      </c>
      <c r="S1464" s="1189">
        <f t="shared" si="1089"/>
        <v>2015</v>
      </c>
      <c r="T1464" s="470">
        <f t="shared" si="1090"/>
        <v>1</v>
      </c>
      <c r="U1464" s="612">
        <f t="shared" si="1091"/>
        <v>325754894.24651158</v>
      </c>
      <c r="V1464" s="464">
        <f t="shared" si="1092"/>
        <v>2015</v>
      </c>
      <c r="W1464" s="612">
        <f t="shared" si="1093"/>
        <v>1954529365.4790702</v>
      </c>
      <c r="X1464" s="473"/>
      <c r="Y1464" s="478"/>
      <c r="Z1464" s="449"/>
      <c r="AA1464" s="531" t="s">
        <v>4183</v>
      </c>
      <c r="AB1464" s="496"/>
      <c r="AC1464" s="496"/>
      <c r="AD1464" s="569">
        <f>AD1463-W1470</f>
        <v>0</v>
      </c>
      <c r="AE1464" s="476"/>
      <c r="AF1464" s="568"/>
      <c r="AG1464" s="476"/>
      <c r="AH1464" s="476"/>
      <c r="AI1464" s="477"/>
      <c r="AJ1464" s="478"/>
      <c r="AK1464" s="479"/>
      <c r="AL1464" s="480"/>
      <c r="AM1464" s="474"/>
      <c r="AN1464" s="481"/>
      <c r="AO1464" s="474"/>
      <c r="AP1464" s="476"/>
      <c r="AQ1464" s="482"/>
      <c r="AR1464" s="478"/>
      <c r="AS1464" s="478"/>
      <c r="AT1464" s="476"/>
      <c r="AU1464" s="482"/>
      <c r="AV1464" s="478"/>
      <c r="AW1464" s="483"/>
      <c r="AX1464" s="476"/>
      <c r="AY1464" s="482"/>
      <c r="AZ1464" s="478"/>
      <c r="BA1464" s="484"/>
      <c r="BB1464" s="474"/>
      <c r="BC1464" s="485"/>
      <c r="BD1464" s="485"/>
      <c r="BG1464" s="487"/>
    </row>
    <row r="1465" spans="1:59" s="486" customFormat="1" ht="18" customHeight="1" x14ac:dyDescent="0.2">
      <c r="A1465" s="1368" t="str">
        <f t="shared" si="1078"/>
        <v>SIMP. MUARA BAHAN - MUARA BAHAN2016</v>
      </c>
      <c r="B1465" s="687"/>
      <c r="C1465" s="463"/>
      <c r="D1465" s="489"/>
      <c r="E1465" s="465"/>
      <c r="F1465" s="559">
        <v>2016</v>
      </c>
      <c r="G1465" s="619">
        <v>0</v>
      </c>
      <c r="H1465" s="464">
        <f t="shared" si="1079"/>
        <v>6</v>
      </c>
      <c r="I1465" s="560"/>
      <c r="J1465" s="468">
        <f t="shared" si="1080"/>
        <v>2021</v>
      </c>
      <c r="K1465" s="490">
        <f t="shared" si="1081"/>
        <v>0</v>
      </c>
      <c r="L1465" s="469">
        <f t="shared" si="1082"/>
        <v>0</v>
      </c>
      <c r="M1465" s="683">
        <f t="shared" si="1083"/>
        <v>0</v>
      </c>
      <c r="N1465" s="470">
        <f t="shared" si="1084"/>
        <v>6</v>
      </c>
      <c r="O1465" s="468">
        <f t="shared" si="1085"/>
        <v>2021</v>
      </c>
      <c r="P1465" s="616">
        <f t="shared" si="1086"/>
        <v>1954529365.4790702</v>
      </c>
      <c r="Q1465" s="472">
        <f t="shared" si="1087"/>
        <v>1954529365.4790702</v>
      </c>
      <c r="R1465" s="472">
        <f t="shared" si="1088"/>
        <v>325754894.24651158</v>
      </c>
      <c r="S1465" s="1189">
        <f t="shared" si="1089"/>
        <v>2016</v>
      </c>
      <c r="T1465" s="470">
        <f t="shared" si="1090"/>
        <v>1</v>
      </c>
      <c r="U1465" s="612">
        <f t="shared" si="1091"/>
        <v>325754894.24651158</v>
      </c>
      <c r="V1465" s="464">
        <f t="shared" si="1092"/>
        <v>2016</v>
      </c>
      <c r="W1465" s="612">
        <f t="shared" si="1093"/>
        <v>1628774471.2325587</v>
      </c>
      <c r="X1465" s="473"/>
      <c r="Y1465" s="478"/>
      <c r="Z1465" s="449"/>
      <c r="AA1465" s="573"/>
      <c r="AB1465" s="476"/>
      <c r="AC1465" s="476"/>
      <c r="AD1465" s="568"/>
      <c r="AE1465" s="476"/>
      <c r="AF1465" s="568"/>
      <c r="AG1465" s="476"/>
      <c r="AH1465" s="476"/>
      <c r="AI1465" s="477"/>
      <c r="AJ1465" s="478"/>
      <c r="AK1465" s="479"/>
      <c r="AL1465" s="480"/>
      <c r="AM1465" s="474"/>
      <c r="AN1465" s="481"/>
      <c r="AO1465" s="474"/>
      <c r="AP1465" s="476"/>
      <c r="AQ1465" s="482"/>
      <c r="AR1465" s="478"/>
      <c r="AS1465" s="478"/>
      <c r="AT1465" s="476"/>
      <c r="AU1465" s="482"/>
      <c r="AV1465" s="478"/>
      <c r="AW1465" s="483"/>
      <c r="AX1465" s="476"/>
      <c r="AY1465" s="482"/>
      <c r="AZ1465" s="478"/>
      <c r="BA1465" s="484"/>
      <c r="BB1465" s="474"/>
      <c r="BC1465" s="485"/>
      <c r="BD1465" s="485"/>
      <c r="BG1465" s="487"/>
    </row>
    <row r="1466" spans="1:59" s="486" customFormat="1" ht="18" customHeight="1" x14ac:dyDescent="0.2">
      <c r="A1466" s="1368" t="str">
        <f t="shared" si="1078"/>
        <v>SIMP. MUARA BAHAN - MUARA BAHAN2017</v>
      </c>
      <c r="B1466" s="687">
        <v>5</v>
      </c>
      <c r="C1466" s="463" t="s">
        <v>2498</v>
      </c>
      <c r="D1466" s="489"/>
      <c r="E1466" s="465"/>
      <c r="F1466" s="559">
        <v>2017</v>
      </c>
      <c r="G1466" s="619">
        <v>190458000</v>
      </c>
      <c r="H1466" s="464">
        <f t="shared" si="1079"/>
        <v>5</v>
      </c>
      <c r="I1466" s="560"/>
      <c r="J1466" s="468">
        <f t="shared" si="1080"/>
        <v>2023</v>
      </c>
      <c r="K1466" s="490">
        <f t="shared" si="1081"/>
        <v>0.1169333160384524</v>
      </c>
      <c r="L1466" s="469">
        <f t="shared" si="1082"/>
        <v>2</v>
      </c>
      <c r="M1466" s="683">
        <f t="shared" si="1083"/>
        <v>2</v>
      </c>
      <c r="N1466" s="470">
        <f t="shared" si="1084"/>
        <v>7</v>
      </c>
      <c r="O1466" s="468">
        <f t="shared" si="1085"/>
        <v>2023</v>
      </c>
      <c r="P1466" s="616">
        <f t="shared" si="1086"/>
        <v>1628774471.2325587</v>
      </c>
      <c r="Q1466" s="472">
        <f t="shared" si="1087"/>
        <v>1819232471.2325587</v>
      </c>
      <c r="R1466" s="472">
        <f t="shared" si="1088"/>
        <v>259890353.03322268</v>
      </c>
      <c r="S1466" s="1189">
        <f t="shared" si="1089"/>
        <v>2017</v>
      </c>
      <c r="T1466" s="470">
        <f t="shared" si="1090"/>
        <v>1</v>
      </c>
      <c r="U1466" s="612">
        <f t="shared" si="1091"/>
        <v>259890353.03322268</v>
      </c>
      <c r="V1466" s="464">
        <f t="shared" si="1092"/>
        <v>2017</v>
      </c>
      <c r="W1466" s="612">
        <f t="shared" si="1093"/>
        <v>1559342118.1993361</v>
      </c>
      <c r="X1466" s="473"/>
      <c r="Y1466" s="478"/>
      <c r="Z1466" s="449"/>
      <c r="AA1466" s="573"/>
      <c r="AB1466" s="476"/>
      <c r="AC1466" s="476"/>
      <c r="AD1466" s="568"/>
      <c r="AE1466" s="476"/>
      <c r="AF1466" s="568"/>
      <c r="AG1466" s="476"/>
      <c r="AH1466" s="476"/>
      <c r="AI1466" s="477"/>
      <c r="AJ1466" s="478"/>
      <c r="AK1466" s="479"/>
      <c r="AL1466" s="480"/>
      <c r="AM1466" s="474"/>
      <c r="AN1466" s="481"/>
      <c r="AO1466" s="474"/>
      <c r="AP1466" s="476"/>
      <c r="AQ1466" s="482"/>
      <c r="AR1466" s="478"/>
      <c r="AS1466" s="478"/>
      <c r="AT1466" s="476"/>
      <c r="AU1466" s="482"/>
      <c r="AV1466" s="478"/>
      <c r="AW1466" s="483"/>
      <c r="AX1466" s="476"/>
      <c r="AY1466" s="482"/>
      <c r="AZ1466" s="478"/>
      <c r="BA1466" s="484"/>
      <c r="BB1466" s="474"/>
      <c r="BC1466" s="485"/>
      <c r="BD1466" s="485"/>
      <c r="BG1466" s="487"/>
    </row>
    <row r="1467" spans="1:59" s="486" customFormat="1" ht="18" customHeight="1" x14ac:dyDescent="0.2">
      <c r="A1467" s="1368" t="str">
        <f t="shared" si="1078"/>
        <v>SIMP. MUARA BAHAN - MUARA BAHAN2018</v>
      </c>
      <c r="B1467" s="687"/>
      <c r="C1467" s="463"/>
      <c r="D1467" s="489"/>
      <c r="E1467" s="465"/>
      <c r="F1467" s="559">
        <v>2018</v>
      </c>
      <c r="G1467" s="619">
        <v>0</v>
      </c>
      <c r="H1467" s="464">
        <f t="shared" si="1079"/>
        <v>6</v>
      </c>
      <c r="I1467" s="560"/>
      <c r="J1467" s="468">
        <f t="shared" si="1080"/>
        <v>2023</v>
      </c>
      <c r="K1467" s="490">
        <f t="shared" si="1081"/>
        <v>0</v>
      </c>
      <c r="L1467" s="469">
        <f t="shared" si="1082"/>
        <v>0</v>
      </c>
      <c r="M1467" s="683">
        <f t="shared" si="1083"/>
        <v>0</v>
      </c>
      <c r="N1467" s="470">
        <f t="shared" si="1084"/>
        <v>6</v>
      </c>
      <c r="O1467" s="468">
        <f t="shared" si="1085"/>
        <v>2023</v>
      </c>
      <c r="P1467" s="616">
        <f t="shared" si="1086"/>
        <v>1559342118.1993361</v>
      </c>
      <c r="Q1467" s="472">
        <f t="shared" si="1087"/>
        <v>1559342118.1993361</v>
      </c>
      <c r="R1467" s="472">
        <f t="shared" si="1088"/>
        <v>259890353.03322268</v>
      </c>
      <c r="S1467" s="1189">
        <f t="shared" si="1089"/>
        <v>2018</v>
      </c>
      <c r="T1467" s="470">
        <f t="shared" si="1090"/>
        <v>1</v>
      </c>
      <c r="U1467" s="612">
        <f t="shared" si="1091"/>
        <v>259890353.03322268</v>
      </c>
      <c r="V1467" s="464">
        <f t="shared" si="1092"/>
        <v>2018</v>
      </c>
      <c r="W1467" s="612">
        <f t="shared" si="1093"/>
        <v>1299451765.1661134</v>
      </c>
      <c r="X1467" s="473"/>
      <c r="Y1467" s="478"/>
      <c r="Z1467" s="449"/>
      <c r="AA1467" s="573"/>
      <c r="AB1467" s="476"/>
      <c r="AC1467" s="476"/>
      <c r="AD1467" s="568"/>
      <c r="AE1467" s="476"/>
      <c r="AF1467" s="568"/>
      <c r="AG1467" s="476"/>
      <c r="AH1467" s="476"/>
      <c r="AI1467" s="477"/>
      <c r="AJ1467" s="478"/>
      <c r="AK1467" s="479"/>
      <c r="AL1467" s="480"/>
      <c r="AM1467" s="474"/>
      <c r="AN1467" s="481"/>
      <c r="AO1467" s="474"/>
      <c r="AP1467" s="476"/>
      <c r="AQ1467" s="482"/>
      <c r="AR1467" s="478"/>
      <c r="AS1467" s="478"/>
      <c r="AT1467" s="476"/>
      <c r="AU1467" s="482"/>
      <c r="AV1467" s="478"/>
      <c r="AW1467" s="483"/>
      <c r="AX1467" s="476"/>
      <c r="AY1467" s="482"/>
      <c r="AZ1467" s="478"/>
      <c r="BA1467" s="484"/>
      <c r="BB1467" s="474"/>
      <c r="BC1467" s="485"/>
      <c r="BD1467" s="485"/>
      <c r="BG1467" s="487"/>
    </row>
    <row r="1468" spans="1:59" s="486" customFormat="1" ht="18" customHeight="1" x14ac:dyDescent="0.2">
      <c r="A1468" s="1368" t="str">
        <f t="shared" si="1078"/>
        <v>SIMP. MUARA BAHAN - MUARA BAHAN2019</v>
      </c>
      <c r="B1468" s="687"/>
      <c r="C1468" s="463"/>
      <c r="D1468" s="489"/>
      <c r="E1468" s="465"/>
      <c r="F1468" s="559">
        <v>2019</v>
      </c>
      <c r="G1468" s="619">
        <v>0</v>
      </c>
      <c r="H1468" s="464">
        <f t="shared" si="1079"/>
        <v>5</v>
      </c>
      <c r="I1468" s="560"/>
      <c r="J1468" s="468">
        <f t="shared" si="1080"/>
        <v>2023</v>
      </c>
      <c r="K1468" s="490">
        <f t="shared" si="1081"/>
        <v>0</v>
      </c>
      <c r="L1468" s="469">
        <f t="shared" si="1082"/>
        <v>0</v>
      </c>
      <c r="M1468" s="683">
        <f t="shared" si="1083"/>
        <v>0</v>
      </c>
      <c r="N1468" s="470">
        <f t="shared" si="1084"/>
        <v>5</v>
      </c>
      <c r="O1468" s="468">
        <f t="shared" si="1085"/>
        <v>2023</v>
      </c>
      <c r="P1468" s="616">
        <f t="shared" si="1086"/>
        <v>1299451765.1661134</v>
      </c>
      <c r="Q1468" s="472">
        <f t="shared" si="1087"/>
        <v>1299451765.1661134</v>
      </c>
      <c r="R1468" s="472">
        <f t="shared" si="1088"/>
        <v>259890353.03322268</v>
      </c>
      <c r="S1468" s="1189">
        <f t="shared" si="1089"/>
        <v>2019</v>
      </c>
      <c r="T1468" s="470">
        <f t="shared" si="1090"/>
        <v>1</v>
      </c>
      <c r="U1468" s="612">
        <f t="shared" si="1091"/>
        <v>259890353.03322268</v>
      </c>
      <c r="V1468" s="464">
        <f t="shared" si="1092"/>
        <v>2019</v>
      </c>
      <c r="W1468" s="612">
        <f t="shared" si="1093"/>
        <v>1039561412.1328907</v>
      </c>
      <c r="X1468" s="473"/>
      <c r="Y1468" s="478"/>
      <c r="Z1468" s="449"/>
      <c r="AA1468" s="573"/>
      <c r="AB1468" s="476"/>
      <c r="AC1468" s="476"/>
      <c r="AD1468" s="568"/>
      <c r="AE1468" s="476"/>
      <c r="AF1468" s="568"/>
      <c r="AG1468" s="476"/>
      <c r="AH1468" s="476"/>
      <c r="AI1468" s="477"/>
      <c r="AJ1468" s="478"/>
      <c r="AK1468" s="479"/>
      <c r="AL1468" s="480"/>
      <c r="AM1468" s="474"/>
      <c r="AN1468" s="481"/>
      <c r="AO1468" s="474"/>
      <c r="AP1468" s="476"/>
      <c r="AQ1468" s="482"/>
      <c r="AR1468" s="478"/>
      <c r="AS1468" s="478"/>
      <c r="AT1468" s="476"/>
      <c r="AU1468" s="482"/>
      <c r="AV1468" s="478"/>
      <c r="AW1468" s="483"/>
      <c r="AX1468" s="476"/>
      <c r="AY1468" s="482"/>
      <c r="AZ1468" s="478"/>
      <c r="BA1468" s="484"/>
      <c r="BB1468" s="474"/>
      <c r="BC1468" s="485"/>
      <c r="BD1468" s="485"/>
      <c r="BG1468" s="487"/>
    </row>
    <row r="1469" spans="1:59" s="486" customFormat="1" ht="18" customHeight="1" x14ac:dyDescent="0.2">
      <c r="A1469" s="1368" t="str">
        <f>LEFT(D1469,8)</f>
        <v/>
      </c>
      <c r="B1469" s="687"/>
      <c r="C1469" s="463"/>
      <c r="D1469" s="489"/>
      <c r="E1469" s="465"/>
      <c r="F1469" s="466"/>
      <c r="G1469" s="620"/>
      <c r="H1469" s="464"/>
      <c r="I1469" s="467"/>
      <c r="J1469" s="468"/>
      <c r="K1469" s="574"/>
      <c r="L1469" s="469"/>
      <c r="M1469" s="683"/>
      <c r="N1469" s="470"/>
      <c r="O1469" s="468"/>
      <c r="P1469" s="616"/>
      <c r="Q1469" s="472"/>
      <c r="R1469" s="472"/>
      <c r="S1469" s="1132"/>
      <c r="T1469" s="470"/>
      <c r="U1469" s="612"/>
      <c r="V1469" s="464"/>
      <c r="W1469" s="612"/>
      <c r="X1469" s="473"/>
      <c r="Y1469" s="478"/>
      <c r="Z1469" s="449"/>
      <c r="AA1469" s="573"/>
      <c r="AB1469" s="476"/>
      <c r="AC1469" s="476"/>
      <c r="AD1469" s="568"/>
      <c r="AE1469" s="476"/>
      <c r="AF1469" s="568"/>
      <c r="AG1469" s="476"/>
      <c r="AH1469" s="476"/>
      <c r="AI1469" s="477"/>
      <c r="AJ1469" s="478"/>
      <c r="AK1469" s="479"/>
      <c r="AL1469" s="480"/>
      <c r="AM1469" s="474"/>
      <c r="AN1469" s="481"/>
      <c r="AO1469" s="474"/>
      <c r="AP1469" s="476"/>
      <c r="AQ1469" s="482"/>
      <c r="AR1469" s="478"/>
      <c r="AS1469" s="478"/>
      <c r="AT1469" s="476"/>
      <c r="AU1469" s="482"/>
      <c r="AV1469" s="478"/>
      <c r="AW1469" s="483"/>
      <c r="AX1469" s="476"/>
      <c r="AY1469" s="482"/>
      <c r="AZ1469" s="478"/>
      <c r="BA1469" s="484"/>
      <c r="BB1469" s="474"/>
      <c r="BC1469" s="485"/>
      <c r="BD1469" s="485"/>
      <c r="BG1469" s="487"/>
    </row>
    <row r="1470" spans="1:59" s="526" customFormat="1" ht="18" customHeight="1" x14ac:dyDescent="0.2">
      <c r="A1470" s="1370" t="s">
        <v>4184</v>
      </c>
      <c r="B1470" s="1956" t="s">
        <v>4184</v>
      </c>
      <c r="C1470" s="1957"/>
      <c r="D1470" s="1957"/>
      <c r="E1470" s="1957"/>
      <c r="F1470" s="1958"/>
      <c r="G1470" s="624">
        <f>SUM(G1452:G1469)</f>
        <v>7845731977.3034267</v>
      </c>
      <c r="H1470" s="505"/>
      <c r="I1470" s="506"/>
      <c r="J1470" s="507"/>
      <c r="K1470" s="507"/>
      <c r="L1470" s="505"/>
      <c r="M1470" s="684"/>
      <c r="N1470" s="508"/>
      <c r="O1470" s="507"/>
      <c r="P1470" s="749"/>
      <c r="Q1470" s="510"/>
      <c r="R1470" s="511"/>
      <c r="S1470" s="512"/>
      <c r="T1470" s="512"/>
      <c r="U1470" s="610">
        <f>SUM(U1452:U1469)</f>
        <v>6806170565.1705341</v>
      </c>
      <c r="V1470" s="513"/>
      <c r="W1470" s="610">
        <f>G1470-U1470</f>
        <v>1039561412.1328926</v>
      </c>
      <c r="X1470" s="514"/>
      <c r="Y1470" s="515"/>
      <c r="Z1470" s="515"/>
      <c r="AA1470" s="515"/>
      <c r="AB1470" s="515"/>
      <c r="AC1470" s="515"/>
      <c r="AD1470" s="570"/>
      <c r="AE1470" s="515"/>
      <c r="AF1470" s="570"/>
      <c r="AG1470" s="515"/>
      <c r="AH1470" s="515"/>
      <c r="AI1470" s="516"/>
      <c r="AJ1470" s="517"/>
      <c r="AK1470" s="518"/>
      <c r="AL1470" s="519"/>
      <c r="AM1470" s="520"/>
      <c r="AN1470" s="521"/>
      <c r="AO1470" s="520"/>
      <c r="AP1470" s="515"/>
      <c r="AQ1470" s="522"/>
      <c r="AR1470" s="517"/>
      <c r="AS1470" s="517"/>
      <c r="AT1470" s="515"/>
      <c r="AU1470" s="522"/>
      <c r="AV1470" s="517"/>
      <c r="AW1470" s="523"/>
      <c r="AX1470" s="515"/>
      <c r="AY1470" s="522"/>
      <c r="AZ1470" s="517"/>
      <c r="BA1470" s="524"/>
      <c r="BB1470" s="520"/>
      <c r="BC1470" s="525"/>
      <c r="BD1470" s="525"/>
      <c r="BG1470" s="527"/>
    </row>
    <row r="1472" spans="1:59" x14ac:dyDescent="0.2">
      <c r="K1472" s="627"/>
    </row>
    <row r="1473" spans="1:59" x14ac:dyDescent="0.2">
      <c r="K1473" s="627"/>
    </row>
    <row r="1474" spans="1:59" s="422" customFormat="1" ht="18" customHeight="1" x14ac:dyDescent="0.2">
      <c r="A1474" s="1366">
        <f>C1474</f>
        <v>257</v>
      </c>
      <c r="B1474" s="742" t="s">
        <v>4187</v>
      </c>
      <c r="C1474" s="556">
        <v>257</v>
      </c>
      <c r="D1474" s="553" t="str">
        <f>VLOOKUP(C1474,RUAS,2,FALSE)</f>
        <v>BENAI - PL. LANCANG</v>
      </c>
      <c r="E1474" s="553"/>
      <c r="F1474" s="421"/>
      <c r="G1474" s="611"/>
      <c r="I1474" s="423"/>
      <c r="J1474" s="424"/>
      <c r="K1474" s="424"/>
      <c r="M1474" s="680"/>
      <c r="P1474" s="611"/>
      <c r="U1474" s="611"/>
      <c r="W1474" s="611"/>
      <c r="Y1474" s="425"/>
      <c r="Z1474" s="425"/>
      <c r="AA1474" s="425"/>
      <c r="AB1474" s="425"/>
      <c r="AC1474" s="425"/>
      <c r="AD1474" s="563"/>
      <c r="AE1474" s="425"/>
      <c r="AF1474" s="563"/>
      <c r="AG1474" s="425"/>
      <c r="AH1474" s="425"/>
      <c r="AI1474" s="425"/>
      <c r="AJ1474" s="425"/>
      <c r="AK1474" s="425"/>
      <c r="AL1474" s="425"/>
      <c r="AM1474" s="425"/>
      <c r="AN1474" s="425"/>
      <c r="AO1474" s="425"/>
      <c r="AP1474" s="425"/>
      <c r="AQ1474" s="425"/>
      <c r="AR1474" s="425"/>
      <c r="AS1474" s="425"/>
      <c r="AT1474" s="425"/>
      <c r="AU1474" s="425"/>
      <c r="AV1474" s="425"/>
      <c r="AW1474" s="425"/>
      <c r="AX1474" s="425"/>
      <c r="AY1474" s="425"/>
      <c r="AZ1474" s="425"/>
      <c r="BA1474" s="425"/>
      <c r="BB1474" s="425"/>
    </row>
    <row r="1475" spans="1:59" s="431" customFormat="1" ht="18" customHeight="1" x14ac:dyDescent="0.2">
      <c r="A1475" s="1367"/>
      <c r="B1475" s="1968" t="s">
        <v>5</v>
      </c>
      <c r="C1475" s="1968" t="s">
        <v>2280</v>
      </c>
      <c r="D1475" s="1968" t="s">
        <v>4157</v>
      </c>
      <c r="E1475" s="1968" t="s">
        <v>4158</v>
      </c>
      <c r="F1475" s="1968"/>
      <c r="G1475" s="1969" t="s">
        <v>4159</v>
      </c>
      <c r="H1475" s="1968" t="s">
        <v>4160</v>
      </c>
      <c r="I1475" s="1968"/>
      <c r="J1475" s="1968" t="s">
        <v>4185</v>
      </c>
      <c r="K1475" s="1964" t="s">
        <v>4162</v>
      </c>
      <c r="L1475" s="1968" t="s">
        <v>4163</v>
      </c>
      <c r="M1475" s="1971" t="s">
        <v>4164</v>
      </c>
      <c r="N1475" s="1962" t="s">
        <v>4165</v>
      </c>
      <c r="O1475" s="1968" t="s">
        <v>4166</v>
      </c>
      <c r="P1475" s="1972" t="s">
        <v>4167</v>
      </c>
      <c r="Q1475" s="1973"/>
      <c r="R1475" s="636" t="s">
        <v>4186</v>
      </c>
      <c r="S1475" s="1972" t="s">
        <v>4169</v>
      </c>
      <c r="T1475" s="1974"/>
      <c r="U1475" s="1973"/>
      <c r="V1475" s="1975" t="s">
        <v>4170</v>
      </c>
      <c r="W1475" s="1975"/>
      <c r="X1475" s="1960" t="s">
        <v>4171</v>
      </c>
      <c r="Y1475" s="1959"/>
      <c r="Z1475" s="633"/>
      <c r="AA1475" s="426"/>
      <c r="AB1475" s="426"/>
      <c r="AC1475" s="426"/>
      <c r="AD1475" s="564"/>
      <c r="AE1475" s="426"/>
      <c r="AF1475" s="564"/>
      <c r="AG1475" s="426"/>
      <c r="AH1475" s="426"/>
      <c r="AI1475" s="427"/>
      <c r="AJ1475" s="427"/>
      <c r="AK1475" s="427"/>
      <c r="AL1475" s="427"/>
      <c r="AM1475" s="428"/>
      <c r="AN1475" s="427"/>
      <c r="AO1475" s="427"/>
      <c r="AP1475" s="426"/>
      <c r="AQ1475" s="427"/>
      <c r="AR1475" s="427"/>
      <c r="AS1475" s="427"/>
      <c r="AT1475" s="426"/>
      <c r="AU1475" s="427"/>
      <c r="AV1475" s="427"/>
      <c r="AW1475" s="427"/>
      <c r="AX1475" s="426"/>
      <c r="AY1475" s="427"/>
      <c r="AZ1475" s="427"/>
      <c r="BA1475" s="427"/>
      <c r="BB1475" s="429"/>
      <c r="BC1475" s="430"/>
      <c r="BD1475" s="430"/>
    </row>
    <row r="1476" spans="1:59" s="431" customFormat="1" ht="18" customHeight="1" x14ac:dyDescent="0.2">
      <c r="A1476" s="1367"/>
      <c r="B1476" s="1968"/>
      <c r="C1476" s="1968"/>
      <c r="D1476" s="1968"/>
      <c r="E1476" s="1968"/>
      <c r="F1476" s="1968"/>
      <c r="G1476" s="1969"/>
      <c r="H1476" s="1968"/>
      <c r="I1476" s="1968"/>
      <c r="J1476" s="1968"/>
      <c r="K1476" s="1970"/>
      <c r="L1476" s="1968"/>
      <c r="M1476" s="1971"/>
      <c r="N1476" s="1963"/>
      <c r="O1476" s="1968"/>
      <c r="P1476" s="2037" t="s">
        <v>4172</v>
      </c>
      <c r="Q1476" s="1960" t="s">
        <v>4173</v>
      </c>
      <c r="R1476" s="1962" t="s">
        <v>4159</v>
      </c>
      <c r="S1476" s="1962" t="s">
        <v>4174</v>
      </c>
      <c r="T1476" s="1964" t="s">
        <v>4175</v>
      </c>
      <c r="U1476" s="1966" t="s">
        <v>4159</v>
      </c>
      <c r="V1476" s="1975"/>
      <c r="W1476" s="1975"/>
      <c r="X1476" s="1976"/>
      <c r="Y1476" s="1959"/>
      <c r="Z1476" s="633"/>
      <c r="AA1476" s="426"/>
      <c r="AB1476" s="426"/>
      <c r="AC1476" s="426"/>
      <c r="AD1476" s="564"/>
      <c r="AE1476" s="426"/>
      <c r="AF1476" s="564"/>
      <c r="AG1476" s="426"/>
      <c r="AH1476" s="426"/>
      <c r="AI1476" s="427"/>
      <c r="AJ1476" s="427"/>
      <c r="AK1476" s="426"/>
      <c r="AL1476" s="427"/>
      <c r="AM1476" s="428"/>
      <c r="AN1476" s="427"/>
      <c r="AO1476" s="427"/>
      <c r="AP1476" s="432"/>
      <c r="AQ1476" s="427"/>
      <c r="AR1476" s="427"/>
      <c r="AS1476" s="427"/>
      <c r="AT1476" s="432"/>
      <c r="AU1476" s="427"/>
      <c r="AV1476" s="427"/>
      <c r="AW1476" s="427"/>
      <c r="AX1476" s="432"/>
      <c r="AY1476" s="427"/>
      <c r="AZ1476" s="427"/>
      <c r="BA1476" s="427"/>
      <c r="BB1476" s="429"/>
      <c r="BC1476" s="430"/>
      <c r="BD1476" s="430"/>
    </row>
    <row r="1477" spans="1:59" s="431" customFormat="1" ht="18" customHeight="1" x14ac:dyDescent="0.2">
      <c r="A1477" s="1367"/>
      <c r="B1477" s="1968"/>
      <c r="C1477" s="1968"/>
      <c r="D1477" s="1968"/>
      <c r="E1477" s="433" t="s">
        <v>4176</v>
      </c>
      <c r="F1477" s="434" t="s">
        <v>2288</v>
      </c>
      <c r="G1477" s="1969"/>
      <c r="H1477" s="635" t="s">
        <v>2288</v>
      </c>
      <c r="I1477" s="635" t="s">
        <v>4177</v>
      </c>
      <c r="J1477" s="1968"/>
      <c r="K1477" s="1965"/>
      <c r="L1477" s="435" t="s">
        <v>2288</v>
      </c>
      <c r="M1477" s="681" t="s">
        <v>2288</v>
      </c>
      <c r="N1477" s="635" t="s">
        <v>2288</v>
      </c>
      <c r="O1477" s="1968"/>
      <c r="P1477" s="2038"/>
      <c r="Q1477" s="1961"/>
      <c r="R1477" s="1963"/>
      <c r="S1477" s="1963"/>
      <c r="T1477" s="1965"/>
      <c r="U1477" s="1967"/>
      <c r="V1477" s="635" t="s">
        <v>4178</v>
      </c>
      <c r="W1477" s="637" t="s">
        <v>4159</v>
      </c>
      <c r="X1477" s="1961"/>
      <c r="Y1477" s="436"/>
      <c r="Z1477" s="436"/>
      <c r="AA1477" s="426"/>
      <c r="AB1477" s="426"/>
      <c r="AC1477" s="426"/>
      <c r="AD1477" s="564"/>
      <c r="AE1477" s="426"/>
      <c r="AF1477" s="564"/>
      <c r="AG1477" s="426"/>
      <c r="AH1477" s="426"/>
      <c r="AI1477" s="427"/>
      <c r="AJ1477" s="432"/>
      <c r="AK1477" s="432"/>
      <c r="AL1477" s="427"/>
      <c r="AM1477" s="428"/>
      <c r="AN1477" s="432"/>
      <c r="AO1477" s="427"/>
      <c r="AP1477" s="432"/>
      <c r="AQ1477" s="432"/>
      <c r="AR1477" s="427"/>
      <c r="AS1477" s="427"/>
      <c r="AT1477" s="432"/>
      <c r="AU1477" s="432"/>
      <c r="AV1477" s="427"/>
      <c r="AW1477" s="427"/>
      <c r="AX1477" s="432"/>
      <c r="AY1477" s="432"/>
      <c r="AZ1477" s="427"/>
      <c r="BA1477" s="427"/>
      <c r="BB1477" s="429"/>
      <c r="BC1477" s="430"/>
      <c r="BD1477" s="430"/>
    </row>
    <row r="1478" spans="1:59" s="461" customFormat="1" ht="18" customHeight="1" x14ac:dyDescent="0.2">
      <c r="A1478" s="1368" t="str">
        <f>$D$1474&amp;S1478</f>
        <v>BENAI - PL. LANCANG2001</v>
      </c>
      <c r="B1478" s="1373">
        <v>1</v>
      </c>
      <c r="C1478" s="532" t="s">
        <v>1132</v>
      </c>
      <c r="D1478" s="437" t="s">
        <v>3821</v>
      </c>
      <c r="E1478" s="438"/>
      <c r="F1478" s="439">
        <v>2001</v>
      </c>
      <c r="G1478" s="623">
        <f>9883854526+2362500000+1008000000</f>
        <v>13254354526</v>
      </c>
      <c r="H1478" s="440">
        <f>VLOOKUP(LEFT(D1478,8),UE,4)</f>
        <v>10</v>
      </c>
      <c r="I1478" s="441"/>
      <c r="J1478" s="442">
        <f>F1478+N1478-1</f>
        <v>2010</v>
      </c>
      <c r="K1478" s="443"/>
      <c r="L1478" s="440"/>
      <c r="M1478" s="746">
        <f>IF(H1478+L1478&gt;$H1478,$H1478-H1478,L1478)</f>
        <v>0</v>
      </c>
      <c r="N1478" s="444">
        <f>H1478+M1478</f>
        <v>10</v>
      </c>
      <c r="O1478" s="442">
        <f>F1478+N1478-1</f>
        <v>2010</v>
      </c>
      <c r="P1478" s="617">
        <f>G1478</f>
        <v>13254354526</v>
      </c>
      <c r="Q1478" s="445">
        <v>0</v>
      </c>
      <c r="R1478" s="445">
        <f>P1478/N1478</f>
        <v>1325435452.5999999</v>
      </c>
      <c r="S1478" s="446">
        <f>F1478</f>
        <v>2001</v>
      </c>
      <c r="T1478" s="447">
        <v>1</v>
      </c>
      <c r="U1478" s="613">
        <f>R1478*T1478</f>
        <v>1325435452.5999999</v>
      </c>
      <c r="V1478" s="442">
        <f>F1478</f>
        <v>2001</v>
      </c>
      <c r="W1478" s="617">
        <f>IF(OR(AND(ISBLANK(E1478),ISBLANK(G1478)),ISTEXT(E1478),ISTEXT(G1478)),"",G1478-R1478)</f>
        <v>11928919073.4</v>
      </c>
      <c r="X1478" s="448"/>
      <c r="Y1478" s="449"/>
      <c r="Z1478" s="449"/>
      <c r="AA1478" s="450" t="s">
        <v>4179</v>
      </c>
      <c r="AB1478" s="451"/>
      <c r="AC1478" s="451"/>
      <c r="AD1478" s="565"/>
      <c r="AE1478" s="452"/>
      <c r="AF1478" s="571"/>
      <c r="AG1478" s="452"/>
      <c r="AH1478" s="452"/>
      <c r="AI1478" s="453"/>
      <c r="AJ1478" s="449"/>
      <c r="AK1478" s="453"/>
      <c r="AL1478" s="454"/>
      <c r="AM1478" s="455"/>
      <c r="AN1478" s="456"/>
      <c r="AO1478" s="455"/>
      <c r="AP1478" s="452"/>
      <c r="AQ1478" s="457"/>
      <c r="AR1478" s="449"/>
      <c r="AS1478" s="449"/>
      <c r="AT1478" s="452"/>
      <c r="AU1478" s="457"/>
      <c r="AV1478" s="449"/>
      <c r="AW1478" s="458"/>
      <c r="AX1478" s="452"/>
      <c r="AY1478" s="457"/>
      <c r="AZ1478" s="449"/>
      <c r="BA1478" s="459"/>
      <c r="BB1478" s="455"/>
      <c r="BC1478" s="460"/>
      <c r="BD1478" s="460"/>
      <c r="BG1478" s="462"/>
    </row>
    <row r="1479" spans="1:59" s="461" customFormat="1" ht="18" customHeight="1" x14ac:dyDescent="0.2">
      <c r="A1479" s="1368" t="str">
        <f t="shared" ref="A1479:A1487" si="1094">$D$1474&amp;S1479</f>
        <v>BENAI - PL. LANCANG2001</v>
      </c>
      <c r="B1479" s="1373">
        <v>2</v>
      </c>
      <c r="C1479" s="488" t="s">
        <v>483</v>
      </c>
      <c r="D1479" s="489"/>
      <c r="E1479" s="558"/>
      <c r="F1479" s="559">
        <v>2001</v>
      </c>
      <c r="G1479" s="619">
        <v>0</v>
      </c>
      <c r="H1479" s="464">
        <f>IF(N1478-(F1479-F1478)&lt;=0,0,(N1478-(F1479-F1478)))</f>
        <v>10</v>
      </c>
      <c r="I1479" s="560"/>
      <c r="J1479" s="468">
        <f>F1479+N1479-1</f>
        <v>2010</v>
      </c>
      <c r="K1479" s="490">
        <f>IF(G1479=0,0,IF(H1479=10,100%,G1479/W1478))</f>
        <v>0</v>
      </c>
      <c r="L1479" s="469">
        <f>IF(K1479=0%,0,IF(K1479&lt;=30%,2,IF(K1479&lt;=60%,5,10)))</f>
        <v>0</v>
      </c>
      <c r="M1479" s="683">
        <f>IF(OR(AND(ISBLANK(E1479),ISBLANK(G1479)),ISTEXT(E1479),ISTEXT(G1479)),"",IF(H1479+L1479&gt;$H$1478,$H$1478-H1479,L1479))</f>
        <v>0</v>
      </c>
      <c r="N1479" s="470">
        <f>IF(OR(AND(ISBLANK(F1479),ISBLANK(G1479)),ISTEXT(F1479),ISTEXT(G1479)),"",H1479+M1479)</f>
        <v>10</v>
      </c>
      <c r="O1479" s="468">
        <f>F1479+N1479-1</f>
        <v>2010</v>
      </c>
      <c r="P1479" s="616">
        <f>W1478</f>
        <v>11928919073.4</v>
      </c>
      <c r="Q1479" s="472">
        <f>P1479+G1479</f>
        <v>11928919073.4</v>
      </c>
      <c r="R1479" s="472">
        <f>IF(L1479=0,R1478,Q1479/N1479)</f>
        <v>1325435452.5999999</v>
      </c>
      <c r="S1479" s="1189">
        <f>F1479</f>
        <v>2001</v>
      </c>
      <c r="T1479" s="470">
        <f>S1479-S1478</f>
        <v>0</v>
      </c>
      <c r="U1479" s="612">
        <f>R1479*T1479</f>
        <v>0</v>
      </c>
      <c r="V1479" s="464">
        <f>F1479</f>
        <v>2001</v>
      </c>
      <c r="W1479" s="612">
        <f>IF(OR(AND(ISBLANK(E1479),ISBLANK(G1479)),ISTEXT(E1479),ISTEXT(G1479)),"",Q1479-U1479)</f>
        <v>11928919073.4</v>
      </c>
      <c r="X1479" s="561"/>
      <c r="Y1479" s="449"/>
      <c r="Z1479" s="449"/>
      <c r="AA1479" s="554"/>
      <c r="AB1479" s="452"/>
      <c r="AC1479" s="452"/>
      <c r="AD1479" s="566"/>
      <c r="AE1479" s="452"/>
      <c r="AF1479" s="571"/>
      <c r="AG1479" s="452"/>
      <c r="AH1479" s="452"/>
      <c r="AI1479" s="453"/>
      <c r="AJ1479" s="449"/>
      <c r="AK1479" s="453"/>
      <c r="AL1479" s="454"/>
      <c r="AM1479" s="455"/>
      <c r="AN1479" s="456"/>
      <c r="AO1479" s="455"/>
      <c r="AP1479" s="452"/>
      <c r="AQ1479" s="457"/>
      <c r="AR1479" s="449"/>
      <c r="AS1479" s="449"/>
      <c r="AT1479" s="452"/>
      <c r="AU1479" s="457"/>
      <c r="AV1479" s="449"/>
      <c r="AW1479" s="458"/>
      <c r="AX1479" s="452"/>
      <c r="AY1479" s="457"/>
      <c r="AZ1479" s="449"/>
      <c r="BA1479" s="459"/>
      <c r="BB1479" s="455"/>
      <c r="BC1479" s="460"/>
      <c r="BD1479" s="460"/>
      <c r="BG1479" s="462"/>
    </row>
    <row r="1480" spans="1:59" s="461" customFormat="1" ht="18" customHeight="1" x14ac:dyDescent="0.2">
      <c r="A1480" s="1368" t="str">
        <f t="shared" si="1094"/>
        <v>BENAI - PL. LANCANG2010</v>
      </c>
      <c r="B1480" s="1373"/>
      <c r="C1480" s="488"/>
      <c r="D1480" s="489"/>
      <c r="E1480" s="558"/>
      <c r="F1480" s="559">
        <v>2010</v>
      </c>
      <c r="G1480" s="619">
        <v>0</v>
      </c>
      <c r="H1480" s="464">
        <f t="shared" ref="H1480:H1486" si="1095">IF(N1479-(F1480-F1479)&lt;=0,0,(N1479-(F1480-F1479)))</f>
        <v>1</v>
      </c>
      <c r="I1480" s="560"/>
      <c r="J1480" s="468">
        <f t="shared" ref="J1480:J1486" si="1096">F1480+N1480-1</f>
        <v>2010</v>
      </c>
      <c r="K1480" s="490">
        <f t="shared" ref="K1480:K1486" si="1097">IF(G1480=0,0,IF(H1480=10,100%,G1480/W1479))</f>
        <v>0</v>
      </c>
      <c r="L1480" s="469">
        <f t="shared" ref="L1480:L1486" si="1098">IF(K1480=0%,0,IF(K1480&lt;=30%,2,IF(K1480&lt;=60%,5,10)))</f>
        <v>0</v>
      </c>
      <c r="M1480" s="683">
        <f t="shared" ref="M1480:M1487" si="1099">IF(OR(AND(ISBLANK(E1480),ISBLANK(G1480)),ISTEXT(E1480),ISTEXT(G1480)),"",IF(H1480+L1480&gt;$H$1478,$H$1478-H1480,L1480))</f>
        <v>0</v>
      </c>
      <c r="N1480" s="470">
        <f t="shared" ref="N1480:N1486" si="1100">IF(OR(AND(ISBLANK(F1480),ISBLANK(G1480)),ISTEXT(F1480),ISTEXT(G1480)),"",H1480+M1480)</f>
        <v>1</v>
      </c>
      <c r="O1480" s="468">
        <f t="shared" ref="O1480:O1486" si="1101">F1480+N1480-1</f>
        <v>2010</v>
      </c>
      <c r="P1480" s="616">
        <f t="shared" ref="P1480:P1486" si="1102">W1479</f>
        <v>11928919073.4</v>
      </c>
      <c r="Q1480" s="472">
        <f t="shared" ref="Q1480:Q1486" si="1103">P1480+G1480</f>
        <v>11928919073.4</v>
      </c>
      <c r="R1480" s="472">
        <f t="shared" ref="R1480:R1486" si="1104">IF(L1480=0,R1479,Q1480/N1480)</f>
        <v>1325435452.5999999</v>
      </c>
      <c r="S1480" s="1189">
        <f t="shared" ref="S1480:S1486" si="1105">F1480</f>
        <v>2010</v>
      </c>
      <c r="T1480" s="470">
        <f t="shared" ref="T1480:T1486" si="1106">S1480-S1479</f>
        <v>9</v>
      </c>
      <c r="U1480" s="612">
        <f t="shared" ref="U1480:U1486" si="1107">R1480*T1480</f>
        <v>11928919073.4</v>
      </c>
      <c r="V1480" s="464">
        <f t="shared" ref="V1480:V1486" si="1108">F1480</f>
        <v>2010</v>
      </c>
      <c r="W1480" s="612">
        <f t="shared" ref="W1480:W1486" si="1109">IF(OR(AND(ISBLANK(E1480),ISBLANK(G1480)),ISTEXT(E1480),ISTEXT(G1480)),"",Q1480-U1480)</f>
        <v>0</v>
      </c>
      <c r="X1480" s="561"/>
      <c r="Y1480" s="449"/>
      <c r="Z1480" s="449"/>
      <c r="AA1480" s="554"/>
      <c r="AB1480" s="452"/>
      <c r="AC1480" s="452"/>
      <c r="AD1480" s="566"/>
      <c r="AE1480" s="452"/>
      <c r="AF1480" s="571"/>
      <c r="AG1480" s="452"/>
      <c r="AH1480" s="452"/>
      <c r="AI1480" s="453"/>
      <c r="AJ1480" s="449"/>
      <c r="AK1480" s="453"/>
      <c r="AL1480" s="454"/>
      <c r="AM1480" s="455"/>
      <c r="AN1480" s="456"/>
      <c r="AO1480" s="455"/>
      <c r="AP1480" s="452"/>
      <c r="AQ1480" s="457"/>
      <c r="AR1480" s="449"/>
      <c r="AS1480" s="449"/>
      <c r="AT1480" s="452"/>
      <c r="AU1480" s="457"/>
      <c r="AV1480" s="449"/>
      <c r="AW1480" s="458"/>
      <c r="AX1480" s="452"/>
      <c r="AY1480" s="457"/>
      <c r="AZ1480" s="449"/>
      <c r="BA1480" s="459"/>
      <c r="BB1480" s="455"/>
      <c r="BC1480" s="460"/>
      <c r="BD1480" s="460"/>
      <c r="BG1480" s="462"/>
    </row>
    <row r="1481" spans="1:59" s="461" customFormat="1" ht="18" customHeight="1" x14ac:dyDescent="0.2">
      <c r="A1481" s="1368" t="str">
        <f t="shared" si="1094"/>
        <v>BENAI - PL. LANCANG2013</v>
      </c>
      <c r="B1481" s="1373"/>
      <c r="C1481" s="488"/>
      <c r="D1481" s="489"/>
      <c r="E1481" s="558"/>
      <c r="F1481" s="559">
        <v>2013</v>
      </c>
      <c r="G1481" s="619">
        <v>0</v>
      </c>
      <c r="H1481" s="464">
        <f t="shared" si="1095"/>
        <v>0</v>
      </c>
      <c r="I1481" s="560"/>
      <c r="J1481" s="468">
        <f t="shared" si="1096"/>
        <v>2012</v>
      </c>
      <c r="K1481" s="490">
        <f t="shared" si="1097"/>
        <v>0</v>
      </c>
      <c r="L1481" s="469">
        <f t="shared" si="1098"/>
        <v>0</v>
      </c>
      <c r="M1481" s="683">
        <f t="shared" si="1099"/>
        <v>0</v>
      </c>
      <c r="N1481" s="470">
        <f t="shared" si="1100"/>
        <v>0</v>
      </c>
      <c r="O1481" s="468">
        <f t="shared" si="1101"/>
        <v>2012</v>
      </c>
      <c r="P1481" s="616">
        <f t="shared" si="1102"/>
        <v>0</v>
      </c>
      <c r="Q1481" s="472">
        <f t="shared" si="1103"/>
        <v>0</v>
      </c>
      <c r="R1481" s="472">
        <v>0</v>
      </c>
      <c r="S1481" s="1189">
        <f t="shared" si="1105"/>
        <v>2013</v>
      </c>
      <c r="T1481" s="470">
        <f t="shared" si="1106"/>
        <v>3</v>
      </c>
      <c r="U1481" s="612">
        <f t="shared" si="1107"/>
        <v>0</v>
      </c>
      <c r="V1481" s="464">
        <f t="shared" si="1108"/>
        <v>2013</v>
      </c>
      <c r="W1481" s="612">
        <f t="shared" si="1109"/>
        <v>0</v>
      </c>
      <c r="X1481" s="561"/>
      <c r="Y1481" s="449"/>
      <c r="Z1481" s="449"/>
      <c r="AA1481" s="554"/>
      <c r="AB1481" s="452"/>
      <c r="AC1481" s="452"/>
      <c r="AD1481" s="566"/>
      <c r="AE1481" s="452"/>
      <c r="AF1481" s="571"/>
      <c r="AG1481" s="452"/>
      <c r="AH1481" s="452"/>
      <c r="AI1481" s="453"/>
      <c r="AJ1481" s="449"/>
      <c r="AK1481" s="453"/>
      <c r="AL1481" s="454"/>
      <c r="AM1481" s="455"/>
      <c r="AN1481" s="456"/>
      <c r="AO1481" s="455"/>
      <c r="AP1481" s="452"/>
      <c r="AQ1481" s="457"/>
      <c r="AR1481" s="449"/>
      <c r="AS1481" s="449"/>
      <c r="AT1481" s="452"/>
      <c r="AU1481" s="457"/>
      <c r="AV1481" s="449"/>
      <c r="AW1481" s="458"/>
      <c r="AX1481" s="452"/>
      <c r="AY1481" s="457"/>
      <c r="AZ1481" s="449"/>
      <c r="BA1481" s="459"/>
      <c r="BB1481" s="455"/>
      <c r="BC1481" s="460"/>
      <c r="BD1481" s="460"/>
      <c r="BG1481" s="462"/>
    </row>
    <row r="1482" spans="1:59" s="461" customFormat="1" ht="18" customHeight="1" x14ac:dyDescent="0.2">
      <c r="A1482" s="1368" t="str">
        <f t="shared" si="1094"/>
        <v>BENAI - PL. LANCANG2014</v>
      </c>
      <c r="B1482" s="1373"/>
      <c r="C1482" s="488"/>
      <c r="D1482" s="489"/>
      <c r="E1482" s="558"/>
      <c r="F1482" s="559">
        <v>2014</v>
      </c>
      <c r="G1482" s="619">
        <v>0</v>
      </c>
      <c r="H1482" s="464">
        <f t="shared" si="1095"/>
        <v>0</v>
      </c>
      <c r="I1482" s="560"/>
      <c r="J1482" s="468">
        <f t="shared" si="1096"/>
        <v>2013</v>
      </c>
      <c r="K1482" s="490">
        <f t="shared" si="1097"/>
        <v>0</v>
      </c>
      <c r="L1482" s="469">
        <f t="shared" si="1098"/>
        <v>0</v>
      </c>
      <c r="M1482" s="683">
        <f t="shared" si="1099"/>
        <v>0</v>
      </c>
      <c r="N1482" s="470">
        <f t="shared" si="1100"/>
        <v>0</v>
      </c>
      <c r="O1482" s="468">
        <f t="shared" si="1101"/>
        <v>2013</v>
      </c>
      <c r="P1482" s="616">
        <f t="shared" si="1102"/>
        <v>0</v>
      </c>
      <c r="Q1482" s="472">
        <f t="shared" si="1103"/>
        <v>0</v>
      </c>
      <c r="R1482" s="472">
        <f t="shared" si="1104"/>
        <v>0</v>
      </c>
      <c r="S1482" s="1189">
        <f t="shared" si="1105"/>
        <v>2014</v>
      </c>
      <c r="T1482" s="470">
        <f t="shared" si="1106"/>
        <v>1</v>
      </c>
      <c r="U1482" s="612">
        <f t="shared" si="1107"/>
        <v>0</v>
      </c>
      <c r="V1482" s="464">
        <f t="shared" si="1108"/>
        <v>2014</v>
      </c>
      <c r="W1482" s="612">
        <f t="shared" si="1109"/>
        <v>0</v>
      </c>
      <c r="X1482" s="561"/>
      <c r="Y1482" s="449"/>
      <c r="Z1482" s="449"/>
      <c r="AA1482" s="554"/>
      <c r="AB1482" s="452"/>
      <c r="AC1482" s="452"/>
      <c r="AD1482" s="566"/>
      <c r="AE1482" s="452"/>
      <c r="AF1482" s="571"/>
      <c r="AG1482" s="452"/>
      <c r="AH1482" s="452"/>
      <c r="AI1482" s="453"/>
      <c r="AJ1482" s="449"/>
      <c r="AK1482" s="453"/>
      <c r="AL1482" s="454"/>
      <c r="AM1482" s="455"/>
      <c r="AN1482" s="456"/>
      <c r="AO1482" s="455"/>
      <c r="AP1482" s="452"/>
      <c r="AQ1482" s="457"/>
      <c r="AR1482" s="449"/>
      <c r="AS1482" s="449"/>
      <c r="AT1482" s="452"/>
      <c r="AU1482" s="457"/>
      <c r="AV1482" s="449"/>
      <c r="AW1482" s="458"/>
      <c r="AX1482" s="452"/>
      <c r="AY1482" s="457"/>
      <c r="AZ1482" s="449"/>
      <c r="BA1482" s="459"/>
      <c r="BB1482" s="455"/>
      <c r="BC1482" s="460"/>
      <c r="BD1482" s="460"/>
      <c r="BG1482" s="462"/>
    </row>
    <row r="1483" spans="1:59" s="486" customFormat="1" ht="18" customHeight="1" x14ac:dyDescent="0.2">
      <c r="A1483" s="1368" t="str">
        <f t="shared" si="1094"/>
        <v>BENAI - PL. LANCANG2015</v>
      </c>
      <c r="B1483" s="1373">
        <v>3</v>
      </c>
      <c r="C1483" s="488" t="s">
        <v>1367</v>
      </c>
      <c r="D1483" s="489" t="s">
        <v>3821</v>
      </c>
      <c r="E1483" s="558"/>
      <c r="F1483" s="559">
        <v>2015</v>
      </c>
      <c r="G1483" s="619">
        <v>3166464963</v>
      </c>
      <c r="H1483" s="557">
        <f>VLOOKUP(LEFT(D1483,8),UE,4)</f>
        <v>10</v>
      </c>
      <c r="I1483" s="560"/>
      <c r="J1483" s="468">
        <f t="shared" si="1096"/>
        <v>2024</v>
      </c>
      <c r="K1483" s="490">
        <f t="shared" si="1097"/>
        <v>1</v>
      </c>
      <c r="L1483" s="469">
        <f t="shared" si="1098"/>
        <v>10</v>
      </c>
      <c r="M1483" s="683">
        <f t="shared" si="1099"/>
        <v>0</v>
      </c>
      <c r="N1483" s="470">
        <f t="shared" si="1100"/>
        <v>10</v>
      </c>
      <c r="O1483" s="468">
        <f t="shared" si="1101"/>
        <v>2024</v>
      </c>
      <c r="P1483" s="616">
        <f t="shared" si="1102"/>
        <v>0</v>
      </c>
      <c r="Q1483" s="472">
        <f t="shared" si="1103"/>
        <v>3166464963</v>
      </c>
      <c r="R1483" s="472">
        <f t="shared" si="1104"/>
        <v>316646496.30000001</v>
      </c>
      <c r="S1483" s="1189">
        <f t="shared" si="1105"/>
        <v>2015</v>
      </c>
      <c r="T1483" s="470">
        <f t="shared" si="1106"/>
        <v>1</v>
      </c>
      <c r="U1483" s="612">
        <f t="shared" si="1107"/>
        <v>316646496.30000001</v>
      </c>
      <c r="V1483" s="464">
        <f t="shared" si="1108"/>
        <v>2015</v>
      </c>
      <c r="W1483" s="612">
        <f t="shared" si="1109"/>
        <v>2849818466.6999998</v>
      </c>
      <c r="X1483" s="561"/>
      <c r="Y1483" s="474"/>
      <c r="Z1483" s="449"/>
      <c r="AA1483" s="475" t="s">
        <v>4180</v>
      </c>
      <c r="AB1483" s="476"/>
      <c r="AC1483" s="476"/>
      <c r="AD1483" s="567">
        <f>G1489</f>
        <v>18687689489</v>
      </c>
      <c r="AE1483" s="476"/>
      <c r="AF1483" s="568"/>
      <c r="AG1483" s="476"/>
      <c r="AH1483" s="476"/>
      <c r="AI1483" s="477"/>
      <c r="AJ1483" s="478"/>
      <c r="AK1483" s="479"/>
      <c r="AL1483" s="480"/>
      <c r="AM1483" s="474"/>
      <c r="AN1483" s="481"/>
      <c r="AO1483" s="474"/>
      <c r="AP1483" s="476"/>
      <c r="AQ1483" s="482"/>
      <c r="AR1483" s="478"/>
      <c r="AS1483" s="478"/>
      <c r="AT1483" s="476"/>
      <c r="AU1483" s="482"/>
      <c r="AV1483" s="478"/>
      <c r="AW1483" s="483"/>
      <c r="AX1483" s="476"/>
      <c r="AY1483" s="482"/>
      <c r="AZ1483" s="478"/>
      <c r="BA1483" s="484"/>
      <c r="BB1483" s="474"/>
      <c r="BC1483" s="485"/>
      <c r="BD1483" s="485"/>
      <c r="BG1483" s="487"/>
    </row>
    <row r="1484" spans="1:59" s="486" customFormat="1" ht="18" customHeight="1" x14ac:dyDescent="0.2">
      <c r="A1484" s="1368" t="str">
        <f t="shared" si="1094"/>
        <v>BENAI - PL. LANCANG2016</v>
      </c>
      <c r="B1484" s="1373"/>
      <c r="C1484" s="488"/>
      <c r="D1484" s="489"/>
      <c r="E1484" s="558"/>
      <c r="F1484" s="559">
        <v>2016</v>
      </c>
      <c r="G1484" s="619">
        <v>0</v>
      </c>
      <c r="H1484" s="464">
        <f t="shared" si="1095"/>
        <v>9</v>
      </c>
      <c r="I1484" s="560"/>
      <c r="J1484" s="468">
        <f t="shared" si="1096"/>
        <v>2024</v>
      </c>
      <c r="K1484" s="490">
        <f t="shared" si="1097"/>
        <v>0</v>
      </c>
      <c r="L1484" s="469">
        <f t="shared" si="1098"/>
        <v>0</v>
      </c>
      <c r="M1484" s="683">
        <f t="shared" si="1099"/>
        <v>0</v>
      </c>
      <c r="N1484" s="470">
        <f t="shared" si="1100"/>
        <v>9</v>
      </c>
      <c r="O1484" s="468">
        <f t="shared" si="1101"/>
        <v>2024</v>
      </c>
      <c r="P1484" s="616">
        <f t="shared" si="1102"/>
        <v>2849818466.6999998</v>
      </c>
      <c r="Q1484" s="472">
        <f t="shared" si="1103"/>
        <v>2849818466.6999998</v>
      </c>
      <c r="R1484" s="472">
        <f t="shared" si="1104"/>
        <v>316646496.30000001</v>
      </c>
      <c r="S1484" s="1189">
        <f t="shared" si="1105"/>
        <v>2016</v>
      </c>
      <c r="T1484" s="470">
        <f t="shared" si="1106"/>
        <v>1</v>
      </c>
      <c r="U1484" s="612">
        <f t="shared" si="1107"/>
        <v>316646496.30000001</v>
      </c>
      <c r="V1484" s="464">
        <f t="shared" si="1108"/>
        <v>2016</v>
      </c>
      <c r="W1484" s="612">
        <f t="shared" si="1109"/>
        <v>2533171970.3999996</v>
      </c>
      <c r="X1484" s="561"/>
      <c r="Y1484" s="474"/>
      <c r="Z1484" s="449"/>
      <c r="AA1484" s="475"/>
      <c r="AB1484" s="476"/>
      <c r="AC1484" s="476"/>
      <c r="AD1484" s="567"/>
      <c r="AE1484" s="476"/>
      <c r="AF1484" s="568"/>
      <c r="AG1484" s="476"/>
      <c r="AH1484" s="476"/>
      <c r="AI1484" s="477"/>
      <c r="AJ1484" s="478"/>
      <c r="AK1484" s="479"/>
      <c r="AL1484" s="480"/>
      <c r="AM1484" s="474"/>
      <c r="AN1484" s="481"/>
      <c r="AO1484" s="474"/>
      <c r="AP1484" s="476"/>
      <c r="AQ1484" s="482"/>
      <c r="AR1484" s="478"/>
      <c r="AS1484" s="478"/>
      <c r="AT1484" s="476"/>
      <c r="AU1484" s="482"/>
      <c r="AV1484" s="478"/>
      <c r="AW1484" s="483"/>
      <c r="AX1484" s="476"/>
      <c r="AY1484" s="482"/>
      <c r="AZ1484" s="478"/>
      <c r="BA1484" s="484"/>
      <c r="BB1484" s="474"/>
      <c r="BC1484" s="485"/>
      <c r="BD1484" s="485"/>
      <c r="BG1484" s="487"/>
    </row>
    <row r="1485" spans="1:59" s="486" customFormat="1" ht="18" customHeight="1" x14ac:dyDescent="0.2">
      <c r="A1485" s="1368" t="str">
        <f t="shared" si="1094"/>
        <v>BENAI - PL. LANCANG2017</v>
      </c>
      <c r="B1485" s="1373"/>
      <c r="C1485" s="488"/>
      <c r="D1485" s="489"/>
      <c r="E1485" s="558"/>
      <c r="F1485" s="559">
        <v>2017</v>
      </c>
      <c r="G1485" s="619">
        <v>0</v>
      </c>
      <c r="H1485" s="464">
        <f t="shared" si="1095"/>
        <v>8</v>
      </c>
      <c r="I1485" s="560"/>
      <c r="J1485" s="468">
        <f t="shared" si="1096"/>
        <v>2024</v>
      </c>
      <c r="K1485" s="490">
        <f t="shared" si="1097"/>
        <v>0</v>
      </c>
      <c r="L1485" s="469">
        <f t="shared" si="1098"/>
        <v>0</v>
      </c>
      <c r="M1485" s="683">
        <f t="shared" si="1099"/>
        <v>0</v>
      </c>
      <c r="N1485" s="470">
        <f t="shared" si="1100"/>
        <v>8</v>
      </c>
      <c r="O1485" s="468">
        <f t="shared" si="1101"/>
        <v>2024</v>
      </c>
      <c r="P1485" s="616">
        <f t="shared" si="1102"/>
        <v>2533171970.3999996</v>
      </c>
      <c r="Q1485" s="472">
        <f t="shared" si="1103"/>
        <v>2533171970.3999996</v>
      </c>
      <c r="R1485" s="472">
        <f t="shared" si="1104"/>
        <v>316646496.30000001</v>
      </c>
      <c r="S1485" s="1189">
        <f t="shared" si="1105"/>
        <v>2017</v>
      </c>
      <c r="T1485" s="470">
        <f t="shared" si="1106"/>
        <v>1</v>
      </c>
      <c r="U1485" s="612">
        <f t="shared" si="1107"/>
        <v>316646496.30000001</v>
      </c>
      <c r="V1485" s="464">
        <f t="shared" si="1108"/>
        <v>2017</v>
      </c>
      <c r="W1485" s="612">
        <f t="shared" si="1109"/>
        <v>2216525474.0999994</v>
      </c>
      <c r="X1485" s="473"/>
      <c r="Y1485" s="478"/>
      <c r="Z1485" s="449"/>
      <c r="AA1485" s="475" t="s">
        <v>4181</v>
      </c>
      <c r="AB1485" s="491"/>
      <c r="AC1485" s="491"/>
      <c r="AD1485" s="567">
        <f>U1489</f>
        <v>14937615408.979998</v>
      </c>
      <c r="AE1485" s="491"/>
      <c r="AF1485" s="568"/>
      <c r="AG1485" s="491"/>
      <c r="AH1485" s="491"/>
      <c r="AI1485" s="477"/>
      <c r="AJ1485" s="478"/>
      <c r="AK1485" s="479"/>
      <c r="AL1485" s="480"/>
      <c r="AM1485" s="474"/>
      <c r="AN1485" s="481"/>
      <c r="AO1485" s="474"/>
      <c r="AP1485" s="476"/>
      <c r="AQ1485" s="482"/>
      <c r="AR1485" s="478"/>
      <c r="AS1485" s="478"/>
      <c r="AT1485" s="476"/>
      <c r="AU1485" s="482"/>
      <c r="AV1485" s="478"/>
      <c r="AW1485" s="483"/>
      <c r="AX1485" s="476"/>
      <c r="AY1485" s="482"/>
      <c r="AZ1485" s="478"/>
      <c r="BA1485" s="484"/>
      <c r="BB1485" s="474"/>
      <c r="BC1485" s="485"/>
      <c r="BD1485" s="485"/>
      <c r="BG1485" s="487"/>
    </row>
    <row r="1486" spans="1:59" s="486" customFormat="1" ht="18" customHeight="1" x14ac:dyDescent="0.2">
      <c r="A1486" s="1368" t="str">
        <f t="shared" si="1094"/>
        <v>BENAI - PL. LANCANG2018</v>
      </c>
      <c r="B1486" s="1373"/>
      <c r="C1486" s="488"/>
      <c r="D1486" s="489"/>
      <c r="E1486" s="558"/>
      <c r="F1486" s="559">
        <v>2018</v>
      </c>
      <c r="G1486" s="619">
        <v>0</v>
      </c>
      <c r="H1486" s="464">
        <f t="shared" si="1095"/>
        <v>7</v>
      </c>
      <c r="I1486" s="560"/>
      <c r="J1486" s="468">
        <f t="shared" si="1096"/>
        <v>2024</v>
      </c>
      <c r="K1486" s="490">
        <f t="shared" si="1097"/>
        <v>0</v>
      </c>
      <c r="L1486" s="469">
        <f t="shared" si="1098"/>
        <v>0</v>
      </c>
      <c r="M1486" s="683">
        <f t="shared" si="1099"/>
        <v>0</v>
      </c>
      <c r="N1486" s="470">
        <f t="shared" si="1100"/>
        <v>7</v>
      </c>
      <c r="O1486" s="468">
        <f t="shared" si="1101"/>
        <v>2024</v>
      </c>
      <c r="P1486" s="616">
        <f t="shared" si="1102"/>
        <v>2216525474.0999994</v>
      </c>
      <c r="Q1486" s="472">
        <f t="shared" si="1103"/>
        <v>2216525474.0999994</v>
      </c>
      <c r="R1486" s="472">
        <f t="shared" si="1104"/>
        <v>316646496.30000001</v>
      </c>
      <c r="S1486" s="1189">
        <f t="shared" si="1105"/>
        <v>2018</v>
      </c>
      <c r="T1486" s="470">
        <f t="shared" si="1106"/>
        <v>1</v>
      </c>
      <c r="U1486" s="612">
        <f t="shared" si="1107"/>
        <v>316646496.30000001</v>
      </c>
      <c r="V1486" s="464">
        <f t="shared" si="1108"/>
        <v>2018</v>
      </c>
      <c r="W1486" s="612">
        <f t="shared" si="1109"/>
        <v>1899878977.7999995</v>
      </c>
      <c r="X1486" s="473"/>
      <c r="Y1486" s="478"/>
      <c r="Z1486" s="449"/>
      <c r="AA1486" s="492" t="s">
        <v>4182</v>
      </c>
      <c r="AB1486" s="476"/>
      <c r="AC1486" s="476"/>
      <c r="AD1486" s="567">
        <f>AD1483-AD1485</f>
        <v>3750074080.0200024</v>
      </c>
      <c r="AE1486" s="476"/>
      <c r="AF1486" s="568"/>
      <c r="AG1486" s="476"/>
      <c r="AH1486" s="476"/>
      <c r="AI1486" s="477"/>
      <c r="AJ1486" s="478"/>
      <c r="AK1486" s="479"/>
      <c r="AL1486" s="480"/>
      <c r="AM1486" s="474"/>
      <c r="AN1486" s="481"/>
      <c r="AO1486" s="474"/>
      <c r="AP1486" s="476"/>
      <c r="AQ1486" s="482"/>
      <c r="AR1486" s="478"/>
      <c r="AS1486" s="478"/>
      <c r="AT1486" s="476"/>
      <c r="AU1486" s="482"/>
      <c r="AV1486" s="478"/>
      <c r="AW1486" s="483"/>
      <c r="AX1486" s="476"/>
      <c r="AY1486" s="482"/>
      <c r="AZ1486" s="478"/>
      <c r="BA1486" s="484"/>
      <c r="BB1486" s="474"/>
      <c r="BC1486" s="485"/>
      <c r="BD1486" s="485"/>
      <c r="BG1486" s="487"/>
    </row>
    <row r="1487" spans="1:59" s="486" customFormat="1" ht="18" customHeight="1" x14ac:dyDescent="0.2">
      <c r="A1487" s="1368" t="str">
        <f t="shared" si="1094"/>
        <v>BENAI - PL. LANCANG2019</v>
      </c>
      <c r="B1487" s="687">
        <v>4</v>
      </c>
      <c r="C1487" s="463" t="s">
        <v>5496</v>
      </c>
      <c r="D1487" s="489"/>
      <c r="E1487" s="465"/>
      <c r="F1487" s="466">
        <v>2019</v>
      </c>
      <c r="G1487" s="620">
        <v>2266870000</v>
      </c>
      <c r="H1487" s="464">
        <f>IF(N1486-(F1487-F1486)&lt;=0,0,(N1486-(F1487-F1486)))</f>
        <v>6</v>
      </c>
      <c r="I1487" s="560"/>
      <c r="J1487" s="468">
        <f>F1487+N1487-1</f>
        <v>2028</v>
      </c>
      <c r="K1487" s="490">
        <f>IF(G1487=0,0,IF(H1487=10,100%,G1487/W1486))</f>
        <v>1.1931654734266099</v>
      </c>
      <c r="L1487" s="469">
        <f>IF(K1487=0%,0,IF(K1487&lt;=30%,2,IF(K1487&lt;=60%,5,10)))</f>
        <v>10</v>
      </c>
      <c r="M1487" s="683">
        <f t="shared" si="1099"/>
        <v>4</v>
      </c>
      <c r="N1487" s="470">
        <f>IF(OR(AND(ISBLANK(F1487),ISBLANK(G1487)),ISTEXT(F1487),ISTEXT(G1487)),"",H1487+M1487)</f>
        <v>10</v>
      </c>
      <c r="O1487" s="468">
        <f>F1487+N1487-1</f>
        <v>2028</v>
      </c>
      <c r="P1487" s="616">
        <f>W1486</f>
        <v>1899878977.7999995</v>
      </c>
      <c r="Q1487" s="472">
        <f>P1487+G1487</f>
        <v>4166748977.7999992</v>
      </c>
      <c r="R1487" s="472">
        <f>IF(L1487=0,R1486,Q1487/N1487)</f>
        <v>416674897.77999991</v>
      </c>
      <c r="S1487" s="1189">
        <f>F1487</f>
        <v>2019</v>
      </c>
      <c r="T1487" s="470">
        <f>S1487-S1486</f>
        <v>1</v>
      </c>
      <c r="U1487" s="612">
        <f>R1487*T1487</f>
        <v>416674897.77999991</v>
      </c>
      <c r="V1487" s="464">
        <f>F1487</f>
        <v>2019</v>
      </c>
      <c r="W1487" s="612">
        <f>IF(OR(AND(ISBLANK(E1487),ISBLANK(G1487)),ISTEXT(E1487),ISTEXT(G1487)),"",Q1487-U1487)</f>
        <v>3750074080.0199995</v>
      </c>
      <c r="X1487" s="473"/>
      <c r="Y1487" s="478"/>
      <c r="Z1487" s="449"/>
      <c r="AA1487" s="531" t="s">
        <v>4183</v>
      </c>
      <c r="AB1487" s="496"/>
      <c r="AC1487" s="496"/>
      <c r="AD1487" s="569">
        <f>AD1486-W1489</f>
        <v>0</v>
      </c>
      <c r="AE1487" s="476"/>
      <c r="AF1487" s="568"/>
      <c r="AG1487" s="476"/>
      <c r="AH1487" s="476"/>
      <c r="AI1487" s="477"/>
      <c r="AJ1487" s="478"/>
      <c r="AK1487" s="479"/>
      <c r="AL1487" s="480"/>
      <c r="AM1487" s="474"/>
      <c r="AN1487" s="481"/>
      <c r="AO1487" s="474"/>
      <c r="AP1487" s="476"/>
      <c r="AQ1487" s="482"/>
      <c r="AR1487" s="478"/>
      <c r="AS1487" s="478"/>
      <c r="AT1487" s="476"/>
      <c r="AU1487" s="482"/>
      <c r="AV1487" s="478"/>
      <c r="AW1487" s="483"/>
      <c r="AX1487" s="476"/>
      <c r="AY1487" s="482"/>
      <c r="AZ1487" s="478"/>
      <c r="BA1487" s="484"/>
      <c r="BB1487" s="474"/>
      <c r="BC1487" s="485"/>
      <c r="BD1487" s="485"/>
      <c r="BG1487" s="487"/>
    </row>
    <row r="1488" spans="1:59" s="486" customFormat="1" ht="18" customHeight="1" x14ac:dyDescent="0.2">
      <c r="A1488" s="1368" t="str">
        <f>LEFT(D1488,8)</f>
        <v/>
      </c>
      <c r="B1488" s="687"/>
      <c r="C1488" s="463"/>
      <c r="D1488" s="489"/>
      <c r="E1488" s="465"/>
      <c r="F1488" s="466"/>
      <c r="G1488" s="620"/>
      <c r="H1488" s="464"/>
      <c r="I1488" s="467"/>
      <c r="J1488" s="468"/>
      <c r="K1488" s="574"/>
      <c r="L1488" s="469"/>
      <c r="M1488" s="683"/>
      <c r="N1488" s="470"/>
      <c r="O1488" s="468"/>
      <c r="P1488" s="616"/>
      <c r="Q1488" s="472"/>
      <c r="R1488" s="472"/>
      <c r="S1488" s="634"/>
      <c r="T1488" s="470"/>
      <c r="U1488" s="612"/>
      <c r="V1488" s="464"/>
      <c r="W1488" s="612"/>
      <c r="X1488" s="473"/>
      <c r="Y1488" s="478"/>
      <c r="Z1488" s="449"/>
      <c r="AA1488" s="573"/>
      <c r="AB1488" s="476"/>
      <c r="AC1488" s="476"/>
      <c r="AD1488" s="568"/>
      <c r="AE1488" s="476"/>
      <c r="AF1488" s="568"/>
      <c r="AG1488" s="476"/>
      <c r="AH1488" s="476"/>
      <c r="AI1488" s="477"/>
      <c r="AJ1488" s="478"/>
      <c r="AK1488" s="479"/>
      <c r="AL1488" s="480"/>
      <c r="AM1488" s="474"/>
      <c r="AN1488" s="481"/>
      <c r="AO1488" s="474"/>
      <c r="AP1488" s="476"/>
      <c r="AQ1488" s="482"/>
      <c r="AR1488" s="478"/>
      <c r="AS1488" s="478"/>
      <c r="AT1488" s="476"/>
      <c r="AU1488" s="482"/>
      <c r="AV1488" s="478"/>
      <c r="AW1488" s="483"/>
      <c r="AX1488" s="476"/>
      <c r="AY1488" s="482"/>
      <c r="AZ1488" s="478"/>
      <c r="BA1488" s="484"/>
      <c r="BB1488" s="474"/>
      <c r="BC1488" s="485"/>
      <c r="BD1488" s="485"/>
      <c r="BG1488" s="487"/>
    </row>
    <row r="1489" spans="1:59" s="526" customFormat="1" ht="18" customHeight="1" x14ac:dyDescent="0.2">
      <c r="A1489" s="1370" t="s">
        <v>4184</v>
      </c>
      <c r="B1489" s="1956" t="s">
        <v>4184</v>
      </c>
      <c r="C1489" s="1957"/>
      <c r="D1489" s="1957"/>
      <c r="E1489" s="1957"/>
      <c r="F1489" s="1958"/>
      <c r="G1489" s="624">
        <f>SUM(G1478:G1488)</f>
        <v>18687689489</v>
      </c>
      <c r="H1489" s="505"/>
      <c r="I1489" s="506"/>
      <c r="J1489" s="507"/>
      <c r="K1489" s="507"/>
      <c r="L1489" s="505"/>
      <c r="M1489" s="684"/>
      <c r="N1489" s="508"/>
      <c r="O1489" s="507"/>
      <c r="P1489" s="749"/>
      <c r="Q1489" s="510"/>
      <c r="R1489" s="511"/>
      <c r="S1489" s="512"/>
      <c r="T1489" s="512"/>
      <c r="U1489" s="610">
        <f>SUM(U1478:U1488)</f>
        <v>14937615408.979998</v>
      </c>
      <c r="V1489" s="513"/>
      <c r="W1489" s="610">
        <f>G1489-U1489</f>
        <v>3750074080.0200024</v>
      </c>
      <c r="X1489" s="514"/>
      <c r="Y1489" s="515"/>
      <c r="Z1489" s="515"/>
      <c r="AA1489" s="515"/>
      <c r="AB1489" s="515"/>
      <c r="AC1489" s="515"/>
      <c r="AD1489" s="570"/>
      <c r="AE1489" s="515"/>
      <c r="AF1489" s="570"/>
      <c r="AG1489" s="515"/>
      <c r="AH1489" s="515"/>
      <c r="AI1489" s="516"/>
      <c r="AJ1489" s="517"/>
      <c r="AK1489" s="518"/>
      <c r="AL1489" s="519"/>
      <c r="AM1489" s="520"/>
      <c r="AN1489" s="521"/>
      <c r="AO1489" s="520"/>
      <c r="AP1489" s="515"/>
      <c r="AQ1489" s="522"/>
      <c r="AR1489" s="517"/>
      <c r="AS1489" s="517"/>
      <c r="AT1489" s="515"/>
      <c r="AU1489" s="522"/>
      <c r="AV1489" s="517"/>
      <c r="AW1489" s="523"/>
      <c r="AX1489" s="515"/>
      <c r="AY1489" s="522"/>
      <c r="AZ1489" s="517"/>
      <c r="BA1489" s="524"/>
      <c r="BB1489" s="520"/>
      <c r="BC1489" s="525"/>
      <c r="BD1489" s="525"/>
      <c r="BG1489" s="527"/>
    </row>
    <row r="1492" spans="1:59" s="422" customFormat="1" ht="18" customHeight="1" x14ac:dyDescent="0.2">
      <c r="A1492" s="1366">
        <f>C1492</f>
        <v>258</v>
      </c>
      <c r="B1492" s="742" t="s">
        <v>4187</v>
      </c>
      <c r="C1492" s="556">
        <v>258</v>
      </c>
      <c r="D1492" s="553" t="str">
        <f>VLOOKUP(C1492,RUAS,2,FALSE)</f>
        <v>LEPAU GADING - PANGEAN</v>
      </c>
      <c r="E1492" s="553"/>
      <c r="F1492" s="421"/>
      <c r="G1492" s="611"/>
      <c r="I1492" s="423"/>
      <c r="J1492" s="424"/>
      <c r="K1492" s="424"/>
      <c r="M1492" s="680"/>
      <c r="P1492" s="611"/>
      <c r="U1492" s="611"/>
      <c r="W1492" s="611"/>
      <c r="Y1492" s="425"/>
      <c r="Z1492" s="425"/>
      <c r="AA1492" s="425"/>
      <c r="AB1492" s="425"/>
      <c r="AC1492" s="425"/>
      <c r="AD1492" s="563"/>
      <c r="AE1492" s="425"/>
      <c r="AF1492" s="563"/>
      <c r="AG1492" s="425"/>
      <c r="AH1492" s="425"/>
      <c r="AI1492" s="425"/>
      <c r="AJ1492" s="425"/>
      <c r="AK1492" s="425"/>
      <c r="AL1492" s="425"/>
      <c r="AM1492" s="425"/>
      <c r="AN1492" s="425"/>
      <c r="AO1492" s="425"/>
      <c r="AP1492" s="425"/>
      <c r="AQ1492" s="425"/>
      <c r="AR1492" s="425"/>
      <c r="AS1492" s="425"/>
      <c r="AT1492" s="425"/>
      <c r="AU1492" s="425"/>
      <c r="AV1492" s="425"/>
      <c r="AW1492" s="425"/>
      <c r="AX1492" s="425"/>
      <c r="AY1492" s="425"/>
      <c r="AZ1492" s="425"/>
      <c r="BA1492" s="425"/>
      <c r="BB1492" s="425"/>
    </row>
    <row r="1493" spans="1:59" s="431" customFormat="1" ht="18" customHeight="1" x14ac:dyDescent="0.2">
      <c r="A1493" s="1367"/>
      <c r="B1493" s="1968" t="s">
        <v>5</v>
      </c>
      <c r="C1493" s="1968" t="s">
        <v>2280</v>
      </c>
      <c r="D1493" s="1968" t="s">
        <v>4157</v>
      </c>
      <c r="E1493" s="1968" t="s">
        <v>4158</v>
      </c>
      <c r="F1493" s="1968"/>
      <c r="G1493" s="1969" t="s">
        <v>4159</v>
      </c>
      <c r="H1493" s="1968" t="s">
        <v>4160</v>
      </c>
      <c r="I1493" s="1968"/>
      <c r="J1493" s="1968" t="s">
        <v>4185</v>
      </c>
      <c r="K1493" s="1964" t="s">
        <v>4162</v>
      </c>
      <c r="L1493" s="1968" t="s">
        <v>4163</v>
      </c>
      <c r="M1493" s="1971" t="s">
        <v>4164</v>
      </c>
      <c r="N1493" s="1962" t="s">
        <v>4165</v>
      </c>
      <c r="O1493" s="1968" t="s">
        <v>4166</v>
      </c>
      <c r="P1493" s="1972" t="s">
        <v>4167</v>
      </c>
      <c r="Q1493" s="1973"/>
      <c r="R1493" s="636" t="s">
        <v>4186</v>
      </c>
      <c r="S1493" s="1972" t="s">
        <v>4169</v>
      </c>
      <c r="T1493" s="1974"/>
      <c r="U1493" s="1973"/>
      <c r="V1493" s="1975" t="s">
        <v>4170</v>
      </c>
      <c r="W1493" s="1975"/>
      <c r="X1493" s="1960" t="s">
        <v>4171</v>
      </c>
      <c r="Y1493" s="1959"/>
      <c r="Z1493" s="633"/>
      <c r="AA1493" s="426"/>
      <c r="AB1493" s="426"/>
      <c r="AC1493" s="426"/>
      <c r="AD1493" s="564"/>
      <c r="AE1493" s="426"/>
      <c r="AF1493" s="564"/>
      <c r="AG1493" s="426"/>
      <c r="AH1493" s="426"/>
      <c r="AI1493" s="427"/>
      <c r="AJ1493" s="427"/>
      <c r="AK1493" s="427"/>
      <c r="AL1493" s="427"/>
      <c r="AM1493" s="428"/>
      <c r="AN1493" s="427"/>
      <c r="AO1493" s="427"/>
      <c r="AP1493" s="426"/>
      <c r="AQ1493" s="427"/>
      <c r="AR1493" s="427"/>
      <c r="AS1493" s="427"/>
      <c r="AT1493" s="426"/>
      <c r="AU1493" s="427"/>
      <c r="AV1493" s="427"/>
      <c r="AW1493" s="427"/>
      <c r="AX1493" s="426"/>
      <c r="AY1493" s="427"/>
      <c r="AZ1493" s="427"/>
      <c r="BA1493" s="427"/>
      <c r="BB1493" s="429"/>
      <c r="BC1493" s="430"/>
      <c r="BD1493" s="430"/>
    </row>
    <row r="1494" spans="1:59" s="431" customFormat="1" ht="18" customHeight="1" x14ac:dyDescent="0.2">
      <c r="A1494" s="1367"/>
      <c r="B1494" s="1968"/>
      <c r="C1494" s="1968"/>
      <c r="D1494" s="1968"/>
      <c r="E1494" s="1968"/>
      <c r="F1494" s="1968"/>
      <c r="G1494" s="1969"/>
      <c r="H1494" s="1968"/>
      <c r="I1494" s="1968"/>
      <c r="J1494" s="1968"/>
      <c r="K1494" s="1970"/>
      <c r="L1494" s="1968"/>
      <c r="M1494" s="1971"/>
      <c r="N1494" s="1963"/>
      <c r="O1494" s="1968"/>
      <c r="P1494" s="2037" t="s">
        <v>4172</v>
      </c>
      <c r="Q1494" s="1960" t="s">
        <v>4173</v>
      </c>
      <c r="R1494" s="1962" t="s">
        <v>4159</v>
      </c>
      <c r="S1494" s="1962" t="s">
        <v>4174</v>
      </c>
      <c r="T1494" s="1964" t="s">
        <v>4175</v>
      </c>
      <c r="U1494" s="1966" t="s">
        <v>4159</v>
      </c>
      <c r="V1494" s="1975"/>
      <c r="W1494" s="1975"/>
      <c r="X1494" s="1976"/>
      <c r="Y1494" s="1959"/>
      <c r="Z1494" s="633"/>
      <c r="AA1494" s="426"/>
      <c r="AB1494" s="426"/>
      <c r="AC1494" s="426"/>
      <c r="AD1494" s="564"/>
      <c r="AE1494" s="426"/>
      <c r="AF1494" s="564"/>
      <c r="AG1494" s="426"/>
      <c r="AH1494" s="426"/>
      <c r="AI1494" s="427"/>
      <c r="AJ1494" s="427"/>
      <c r="AK1494" s="426"/>
      <c r="AL1494" s="427"/>
      <c r="AM1494" s="428"/>
      <c r="AN1494" s="427"/>
      <c r="AO1494" s="427"/>
      <c r="AP1494" s="432"/>
      <c r="AQ1494" s="427"/>
      <c r="AR1494" s="427"/>
      <c r="AS1494" s="427"/>
      <c r="AT1494" s="432"/>
      <c r="AU1494" s="427"/>
      <c r="AV1494" s="427"/>
      <c r="AW1494" s="427"/>
      <c r="AX1494" s="432"/>
      <c r="AY1494" s="427"/>
      <c r="AZ1494" s="427"/>
      <c r="BA1494" s="427"/>
      <c r="BB1494" s="429"/>
      <c r="BC1494" s="430"/>
      <c r="BD1494" s="430"/>
    </row>
    <row r="1495" spans="1:59" s="431" customFormat="1" ht="18" customHeight="1" x14ac:dyDescent="0.2">
      <c r="A1495" s="1367"/>
      <c r="B1495" s="1968"/>
      <c r="C1495" s="1968"/>
      <c r="D1495" s="1968"/>
      <c r="E1495" s="433" t="s">
        <v>4176</v>
      </c>
      <c r="F1495" s="434" t="s">
        <v>2288</v>
      </c>
      <c r="G1495" s="1969"/>
      <c r="H1495" s="635" t="s">
        <v>2288</v>
      </c>
      <c r="I1495" s="635" t="s">
        <v>4177</v>
      </c>
      <c r="J1495" s="1968"/>
      <c r="K1495" s="1965"/>
      <c r="L1495" s="435" t="s">
        <v>2288</v>
      </c>
      <c r="M1495" s="681" t="s">
        <v>2288</v>
      </c>
      <c r="N1495" s="635" t="s">
        <v>2288</v>
      </c>
      <c r="O1495" s="1968"/>
      <c r="P1495" s="2038"/>
      <c r="Q1495" s="1961"/>
      <c r="R1495" s="1963"/>
      <c r="S1495" s="1963"/>
      <c r="T1495" s="1965"/>
      <c r="U1495" s="1967"/>
      <c r="V1495" s="635" t="s">
        <v>4178</v>
      </c>
      <c r="W1495" s="637" t="s">
        <v>4159</v>
      </c>
      <c r="X1495" s="1961"/>
      <c r="Y1495" s="436"/>
      <c r="Z1495" s="436"/>
      <c r="AA1495" s="426"/>
      <c r="AB1495" s="426"/>
      <c r="AC1495" s="426"/>
      <c r="AD1495" s="564"/>
      <c r="AE1495" s="426"/>
      <c r="AF1495" s="564"/>
      <c r="AG1495" s="426"/>
      <c r="AH1495" s="426"/>
      <c r="AI1495" s="427"/>
      <c r="AJ1495" s="432"/>
      <c r="AK1495" s="432"/>
      <c r="AL1495" s="427"/>
      <c r="AM1495" s="428"/>
      <c r="AN1495" s="432"/>
      <c r="AO1495" s="427"/>
      <c r="AP1495" s="432"/>
      <c r="AQ1495" s="432"/>
      <c r="AR1495" s="427"/>
      <c r="AS1495" s="427"/>
      <c r="AT1495" s="432"/>
      <c r="AU1495" s="432"/>
      <c r="AV1495" s="427"/>
      <c r="AW1495" s="427"/>
      <c r="AX1495" s="432"/>
      <c r="AY1495" s="432"/>
      <c r="AZ1495" s="427"/>
      <c r="BA1495" s="427"/>
      <c r="BB1495" s="429"/>
      <c r="BC1495" s="430"/>
      <c r="BD1495" s="430"/>
    </row>
    <row r="1496" spans="1:59" s="461" customFormat="1" ht="18" customHeight="1" x14ac:dyDescent="0.2">
      <c r="A1496" s="1368" t="str">
        <f>$D$1492&amp;S1496</f>
        <v>LEPAU GADING - PANGEAN2001</v>
      </c>
      <c r="B1496" s="1373">
        <v>1</v>
      </c>
      <c r="C1496" s="532" t="s">
        <v>483</v>
      </c>
      <c r="D1496" s="437" t="s">
        <v>3821</v>
      </c>
      <c r="E1496" s="438"/>
      <c r="F1496" s="439">
        <v>2001</v>
      </c>
      <c r="G1496" s="623">
        <v>22932000000</v>
      </c>
      <c r="H1496" s="440">
        <f>VLOOKUP(LEFT(D1496,8),UE,4)</f>
        <v>10</v>
      </c>
      <c r="I1496" s="441"/>
      <c r="J1496" s="442">
        <f>F1496+N1496-1</f>
        <v>2010</v>
      </c>
      <c r="K1496" s="443"/>
      <c r="L1496" s="440"/>
      <c r="M1496" s="746">
        <f>IF(H1496+L1496&gt;$H1496,$H1496-H1496,L1496)</f>
        <v>0</v>
      </c>
      <c r="N1496" s="444">
        <f>H1496+M1496</f>
        <v>10</v>
      </c>
      <c r="O1496" s="442">
        <f>F1496+N1496-1</f>
        <v>2010</v>
      </c>
      <c r="P1496" s="617">
        <f>G1496</f>
        <v>22932000000</v>
      </c>
      <c r="Q1496" s="445">
        <v>0</v>
      </c>
      <c r="R1496" s="445">
        <f>P1496/N1496</f>
        <v>2293200000</v>
      </c>
      <c r="S1496" s="446">
        <f>F1496</f>
        <v>2001</v>
      </c>
      <c r="T1496" s="447">
        <v>1</v>
      </c>
      <c r="U1496" s="613">
        <f>R1496*T1496</f>
        <v>2293200000</v>
      </c>
      <c r="V1496" s="442">
        <f>F1496</f>
        <v>2001</v>
      </c>
      <c r="W1496" s="617">
        <f>IF(OR(AND(ISBLANK(E1496),ISBLANK(G1496)),ISTEXT(E1496),ISTEXT(G1496)),"",G1496-R1496)</f>
        <v>20638800000</v>
      </c>
      <c r="X1496" s="448"/>
      <c r="Y1496" s="449"/>
      <c r="Z1496" s="449"/>
      <c r="AA1496" s="450" t="s">
        <v>4179</v>
      </c>
      <c r="AB1496" s="451"/>
      <c r="AC1496" s="451"/>
      <c r="AD1496" s="565"/>
      <c r="AE1496" s="452"/>
      <c r="AF1496" s="571"/>
      <c r="AG1496" s="452"/>
      <c r="AH1496" s="452"/>
      <c r="AI1496" s="453"/>
      <c r="AJ1496" s="449"/>
      <c r="AK1496" s="453"/>
      <c r="AL1496" s="454"/>
      <c r="AM1496" s="455"/>
      <c r="AN1496" s="456"/>
      <c r="AO1496" s="455"/>
      <c r="AP1496" s="452"/>
      <c r="AQ1496" s="457"/>
      <c r="AR1496" s="449"/>
      <c r="AS1496" s="449"/>
      <c r="AT1496" s="452"/>
      <c r="AU1496" s="457"/>
      <c r="AV1496" s="449"/>
      <c r="AW1496" s="458"/>
      <c r="AX1496" s="452"/>
      <c r="AY1496" s="457"/>
      <c r="AZ1496" s="449"/>
      <c r="BA1496" s="459"/>
      <c r="BB1496" s="455"/>
      <c r="BC1496" s="460"/>
      <c r="BD1496" s="460"/>
      <c r="BG1496" s="462"/>
    </row>
    <row r="1497" spans="1:59" s="461" customFormat="1" ht="18" customHeight="1" x14ac:dyDescent="0.2">
      <c r="A1497" s="1368" t="str">
        <f t="shared" ref="A1497:A1510" si="1110">$D$1492&amp;S1497</f>
        <v>LEPAU GADING - PANGEAN2005</v>
      </c>
      <c r="B1497" s="1373"/>
      <c r="C1497" s="488"/>
      <c r="D1497" s="489"/>
      <c r="E1497" s="558"/>
      <c r="F1497" s="559">
        <v>2005</v>
      </c>
      <c r="G1497" s="619">
        <v>0</v>
      </c>
      <c r="H1497" s="464">
        <f>IF(N1496-(F1497-F1496)&lt;=0,0,(N1496-(F1497-F1496)))</f>
        <v>6</v>
      </c>
      <c r="I1497" s="560"/>
      <c r="J1497" s="468">
        <f>F1497+N1497-1</f>
        <v>2010</v>
      </c>
      <c r="K1497" s="490">
        <f>IF(G1497=0,0,IF(H1497=10,100%,G1497/W1496))</f>
        <v>0</v>
      </c>
      <c r="L1497" s="469">
        <f>IF(K1497=0%,0,IF(K1497&lt;=30%,2,IF(K1497&lt;=60%,5,10)))</f>
        <v>0</v>
      </c>
      <c r="M1497" s="683">
        <f>IF(OR(AND(ISBLANK(E1497),ISBLANK(G1497)),ISTEXT(E1497),ISTEXT(G1497)),"",IF(H1497+L1497&gt;$H$1496,$H$1496-H1497,L1497))</f>
        <v>0</v>
      </c>
      <c r="N1497" s="470">
        <f>IF(OR(AND(ISBLANK(F1497),ISBLANK(G1497)),ISTEXT(F1497),ISTEXT(G1497)),"",H1497+M1497)</f>
        <v>6</v>
      </c>
      <c r="O1497" s="468">
        <f>F1497+N1497-1</f>
        <v>2010</v>
      </c>
      <c r="P1497" s="616">
        <f>W1496</f>
        <v>20638800000</v>
      </c>
      <c r="Q1497" s="472">
        <f>P1497+G1497</f>
        <v>20638800000</v>
      </c>
      <c r="R1497" s="472">
        <f>IF(L1497=0,R1496,Q1497/N1497)</f>
        <v>2293200000</v>
      </c>
      <c r="S1497" s="634">
        <f>F1497</f>
        <v>2005</v>
      </c>
      <c r="T1497" s="470">
        <f>S1497-S1496</f>
        <v>4</v>
      </c>
      <c r="U1497" s="612">
        <f>R1497*T1497</f>
        <v>9172800000</v>
      </c>
      <c r="V1497" s="464">
        <f>F1497</f>
        <v>2005</v>
      </c>
      <c r="W1497" s="612">
        <f>IF(OR(AND(ISBLANK(E1497),ISBLANK(G1497)),ISTEXT(E1497),ISTEXT(G1497)),"",Q1497-U1497)</f>
        <v>11466000000</v>
      </c>
      <c r="X1497" s="561"/>
      <c r="Y1497" s="449"/>
      <c r="Z1497" s="449"/>
      <c r="AA1497" s="554"/>
      <c r="AB1497" s="452"/>
      <c r="AC1497" s="452"/>
      <c r="AD1497" s="566"/>
      <c r="AE1497" s="452"/>
      <c r="AF1497" s="571"/>
      <c r="AG1497" s="452"/>
      <c r="AH1497" s="452"/>
      <c r="AI1497" s="453"/>
      <c r="AJ1497" s="449"/>
      <c r="AK1497" s="453"/>
      <c r="AL1497" s="454"/>
      <c r="AM1497" s="455"/>
      <c r="AN1497" s="456"/>
      <c r="AO1497" s="455"/>
      <c r="AP1497" s="452"/>
      <c r="AQ1497" s="457"/>
      <c r="AR1497" s="449"/>
      <c r="AS1497" s="449"/>
      <c r="AT1497" s="452"/>
      <c r="AU1497" s="457"/>
      <c r="AV1497" s="449"/>
      <c r="AW1497" s="458"/>
      <c r="AX1497" s="452"/>
      <c r="AY1497" s="457"/>
      <c r="AZ1497" s="449"/>
      <c r="BA1497" s="459"/>
      <c r="BB1497" s="455"/>
      <c r="BC1497" s="460"/>
      <c r="BD1497" s="460"/>
      <c r="BG1497" s="462"/>
    </row>
    <row r="1498" spans="1:59" s="461" customFormat="1" ht="18" customHeight="1" x14ac:dyDescent="0.2">
      <c r="A1498" s="1368" t="str">
        <f t="shared" si="1110"/>
        <v>LEPAU GADING - PANGEAN2006</v>
      </c>
      <c r="B1498" s="1373"/>
      <c r="C1498" s="488"/>
      <c r="D1498" s="489"/>
      <c r="E1498" s="558"/>
      <c r="F1498" s="559">
        <v>2006</v>
      </c>
      <c r="G1498" s="619">
        <v>0</v>
      </c>
      <c r="H1498" s="464">
        <f t="shared" ref="H1498:H1509" si="1111">IF(N1497-(F1498-F1497)&lt;=0,0,(N1497-(F1498-F1497)))</f>
        <v>5</v>
      </c>
      <c r="I1498" s="560"/>
      <c r="J1498" s="468">
        <f t="shared" ref="J1498:J1509" si="1112">F1498+N1498-1</f>
        <v>2010</v>
      </c>
      <c r="K1498" s="490">
        <f t="shared" ref="K1498:K1509" si="1113">IF(G1498=0,0,IF(H1498=10,100%,G1498/W1497))</f>
        <v>0</v>
      </c>
      <c r="L1498" s="469">
        <f t="shared" ref="L1498:L1509" si="1114">IF(K1498=0%,0,IF(K1498&lt;=30%,2,IF(K1498&lt;=60%,5,10)))</f>
        <v>0</v>
      </c>
      <c r="M1498" s="683">
        <f t="shared" ref="M1498:M1510" si="1115">IF(OR(AND(ISBLANK(E1498),ISBLANK(G1498)),ISTEXT(E1498),ISTEXT(G1498)),"",IF(H1498+L1498&gt;$H$1496,$H$1496-H1498,L1498))</f>
        <v>0</v>
      </c>
      <c r="N1498" s="470">
        <f t="shared" ref="N1498:N1509" si="1116">IF(OR(AND(ISBLANK(F1498),ISBLANK(G1498)),ISTEXT(F1498),ISTEXT(G1498)),"",H1498+M1498)</f>
        <v>5</v>
      </c>
      <c r="O1498" s="468">
        <f t="shared" ref="O1498:O1509" si="1117">F1498+N1498-1</f>
        <v>2010</v>
      </c>
      <c r="P1498" s="616">
        <f t="shared" ref="P1498:P1509" si="1118">W1497</f>
        <v>11466000000</v>
      </c>
      <c r="Q1498" s="472">
        <f t="shared" ref="Q1498:Q1509" si="1119">P1498+G1498</f>
        <v>11466000000</v>
      </c>
      <c r="R1498" s="472">
        <f t="shared" ref="R1498:R1509" si="1120">IF(L1498=0,R1497,Q1498/N1498)</f>
        <v>2293200000</v>
      </c>
      <c r="S1498" s="1189">
        <f t="shared" ref="S1498:S1509" si="1121">F1498</f>
        <v>2006</v>
      </c>
      <c r="T1498" s="470">
        <f t="shared" ref="T1498:T1509" si="1122">S1498-S1497</f>
        <v>1</v>
      </c>
      <c r="U1498" s="612">
        <f t="shared" ref="U1498:U1509" si="1123">R1498*T1498</f>
        <v>2293200000</v>
      </c>
      <c r="V1498" s="464">
        <f t="shared" ref="V1498:V1509" si="1124">F1498</f>
        <v>2006</v>
      </c>
      <c r="W1498" s="612">
        <f t="shared" ref="W1498:W1509" si="1125">IF(OR(AND(ISBLANK(E1498),ISBLANK(G1498)),ISTEXT(E1498),ISTEXT(G1498)),"",Q1498-U1498)</f>
        <v>9172800000</v>
      </c>
      <c r="X1498" s="561"/>
      <c r="Y1498" s="449"/>
      <c r="Z1498" s="449"/>
      <c r="AA1498" s="554"/>
      <c r="AB1498" s="452"/>
      <c r="AC1498" s="452"/>
      <c r="AD1498" s="566"/>
      <c r="AE1498" s="452"/>
      <c r="AF1498" s="571"/>
      <c r="AG1498" s="452"/>
      <c r="AH1498" s="452"/>
      <c r="AI1498" s="453"/>
      <c r="AJ1498" s="449"/>
      <c r="AK1498" s="453"/>
      <c r="AL1498" s="454"/>
      <c r="AM1498" s="455"/>
      <c r="AN1498" s="456"/>
      <c r="AO1498" s="455"/>
      <c r="AP1498" s="452"/>
      <c r="AQ1498" s="457"/>
      <c r="AR1498" s="449"/>
      <c r="AS1498" s="449"/>
      <c r="AT1498" s="452"/>
      <c r="AU1498" s="457"/>
      <c r="AV1498" s="449"/>
      <c r="AW1498" s="458"/>
      <c r="AX1498" s="452"/>
      <c r="AY1498" s="457"/>
      <c r="AZ1498" s="449"/>
      <c r="BA1498" s="459"/>
      <c r="BB1498" s="455"/>
      <c r="BC1498" s="460"/>
      <c r="BD1498" s="460"/>
      <c r="BG1498" s="462"/>
    </row>
    <row r="1499" spans="1:59" s="461" customFormat="1" ht="18" customHeight="1" x14ac:dyDescent="0.2">
      <c r="A1499" s="1368" t="str">
        <f t="shared" si="1110"/>
        <v>LEPAU GADING - PANGEAN2007</v>
      </c>
      <c r="B1499" s="1373">
        <v>2</v>
      </c>
      <c r="C1499" s="488" t="s">
        <v>1192</v>
      </c>
      <c r="D1499" s="489"/>
      <c r="E1499" s="558"/>
      <c r="F1499" s="559">
        <v>2007</v>
      </c>
      <c r="G1499" s="619">
        <v>1327353361.6165369</v>
      </c>
      <c r="H1499" s="464">
        <f t="shared" si="1111"/>
        <v>4</v>
      </c>
      <c r="I1499" s="560"/>
      <c r="J1499" s="468">
        <f t="shared" si="1112"/>
        <v>2012</v>
      </c>
      <c r="K1499" s="490">
        <f t="shared" si="1113"/>
        <v>0.14470536386016666</v>
      </c>
      <c r="L1499" s="469">
        <f t="shared" si="1114"/>
        <v>2</v>
      </c>
      <c r="M1499" s="683">
        <f t="shared" si="1115"/>
        <v>2</v>
      </c>
      <c r="N1499" s="470">
        <f t="shared" si="1116"/>
        <v>6</v>
      </c>
      <c r="O1499" s="468">
        <f t="shared" si="1117"/>
        <v>2012</v>
      </c>
      <c r="P1499" s="616">
        <f t="shared" si="1118"/>
        <v>9172800000</v>
      </c>
      <c r="Q1499" s="472">
        <f t="shared" si="1119"/>
        <v>10500153361.616537</v>
      </c>
      <c r="R1499" s="472">
        <f t="shared" si="1120"/>
        <v>1750025560.2694228</v>
      </c>
      <c r="S1499" s="1189">
        <f t="shared" si="1121"/>
        <v>2007</v>
      </c>
      <c r="T1499" s="470">
        <f t="shared" si="1122"/>
        <v>1</v>
      </c>
      <c r="U1499" s="612">
        <f t="shared" si="1123"/>
        <v>1750025560.2694228</v>
      </c>
      <c r="V1499" s="464">
        <f t="shared" si="1124"/>
        <v>2007</v>
      </c>
      <c r="W1499" s="612">
        <f t="shared" si="1125"/>
        <v>8750127801.3471146</v>
      </c>
      <c r="X1499" s="561"/>
      <c r="Y1499" s="449"/>
      <c r="Z1499" s="449"/>
      <c r="AA1499" s="554"/>
      <c r="AB1499" s="452"/>
      <c r="AC1499" s="452"/>
      <c r="AD1499" s="566"/>
      <c r="AE1499" s="452"/>
      <c r="AF1499" s="571"/>
      <c r="AG1499" s="452"/>
      <c r="AH1499" s="452"/>
      <c r="AI1499" s="453"/>
      <c r="AJ1499" s="449"/>
      <c r="AK1499" s="453"/>
      <c r="AL1499" s="454"/>
      <c r="AM1499" s="455"/>
      <c r="AN1499" s="456"/>
      <c r="AO1499" s="455"/>
      <c r="AP1499" s="452"/>
      <c r="AQ1499" s="457"/>
      <c r="AR1499" s="449"/>
      <c r="AS1499" s="449"/>
      <c r="AT1499" s="452"/>
      <c r="AU1499" s="457"/>
      <c r="AV1499" s="449"/>
      <c r="AW1499" s="458"/>
      <c r="AX1499" s="452"/>
      <c r="AY1499" s="457"/>
      <c r="AZ1499" s="449"/>
      <c r="BA1499" s="459"/>
      <c r="BB1499" s="455"/>
      <c r="BC1499" s="460"/>
      <c r="BD1499" s="460"/>
      <c r="BG1499" s="462"/>
    </row>
    <row r="1500" spans="1:59" s="461" customFormat="1" ht="18" customHeight="1" x14ac:dyDescent="0.2">
      <c r="A1500" s="1368" t="str">
        <f t="shared" si="1110"/>
        <v>LEPAU GADING - PANGEAN2008</v>
      </c>
      <c r="B1500" s="1373">
        <v>3</v>
      </c>
      <c r="C1500" s="488" t="s">
        <v>5181</v>
      </c>
      <c r="D1500" s="489"/>
      <c r="E1500" s="558"/>
      <c r="F1500" s="559">
        <v>2008</v>
      </c>
      <c r="G1500" s="619">
        <v>433953444.23257333</v>
      </c>
      <c r="H1500" s="464">
        <f t="shared" si="1111"/>
        <v>5</v>
      </c>
      <c r="I1500" s="560"/>
      <c r="J1500" s="468">
        <f t="shared" si="1112"/>
        <v>2014</v>
      </c>
      <c r="K1500" s="490">
        <f t="shared" si="1113"/>
        <v>4.9593954978093532E-2</v>
      </c>
      <c r="L1500" s="469">
        <f t="shared" si="1114"/>
        <v>2</v>
      </c>
      <c r="M1500" s="683">
        <f t="shared" si="1115"/>
        <v>2</v>
      </c>
      <c r="N1500" s="470">
        <f t="shared" si="1116"/>
        <v>7</v>
      </c>
      <c r="O1500" s="468">
        <f t="shared" si="1117"/>
        <v>2014</v>
      </c>
      <c r="P1500" s="616">
        <f t="shared" si="1118"/>
        <v>8750127801.3471146</v>
      </c>
      <c r="Q1500" s="472">
        <f t="shared" si="1119"/>
        <v>9184081245.5796871</v>
      </c>
      <c r="R1500" s="472">
        <f t="shared" si="1120"/>
        <v>1312011606.5113838</v>
      </c>
      <c r="S1500" s="1189">
        <f t="shared" si="1121"/>
        <v>2008</v>
      </c>
      <c r="T1500" s="470">
        <f t="shared" si="1122"/>
        <v>1</v>
      </c>
      <c r="U1500" s="612">
        <f t="shared" si="1123"/>
        <v>1312011606.5113838</v>
      </c>
      <c r="V1500" s="464">
        <f t="shared" si="1124"/>
        <v>2008</v>
      </c>
      <c r="W1500" s="612">
        <f t="shared" si="1125"/>
        <v>7872069639.0683031</v>
      </c>
      <c r="X1500" s="561"/>
      <c r="Y1500" s="449"/>
      <c r="Z1500" s="449"/>
      <c r="AA1500" s="554"/>
      <c r="AB1500" s="452"/>
      <c r="AC1500" s="452"/>
      <c r="AD1500" s="566"/>
      <c r="AE1500" s="452"/>
      <c r="AF1500" s="571"/>
      <c r="AG1500" s="452"/>
      <c r="AH1500" s="452"/>
      <c r="AI1500" s="453"/>
      <c r="AJ1500" s="449"/>
      <c r="AK1500" s="453"/>
      <c r="AL1500" s="454"/>
      <c r="AM1500" s="455"/>
      <c r="AN1500" s="456"/>
      <c r="AO1500" s="455"/>
      <c r="AP1500" s="452"/>
      <c r="AQ1500" s="457"/>
      <c r="AR1500" s="449"/>
      <c r="AS1500" s="449"/>
      <c r="AT1500" s="452"/>
      <c r="AU1500" s="457"/>
      <c r="AV1500" s="449"/>
      <c r="AW1500" s="458"/>
      <c r="AX1500" s="452"/>
      <c r="AY1500" s="457"/>
      <c r="AZ1500" s="449"/>
      <c r="BA1500" s="459"/>
      <c r="BB1500" s="455"/>
      <c r="BC1500" s="460"/>
      <c r="BD1500" s="460"/>
      <c r="BG1500" s="462"/>
    </row>
    <row r="1501" spans="1:59" s="461" customFormat="1" ht="18" customHeight="1" x14ac:dyDescent="0.2">
      <c r="A1501" s="1368" t="str">
        <f t="shared" si="1110"/>
        <v>LEPAU GADING - PANGEAN2010</v>
      </c>
      <c r="B1501" s="1373"/>
      <c r="C1501" s="488"/>
      <c r="D1501" s="489"/>
      <c r="E1501" s="558"/>
      <c r="F1501" s="559">
        <v>2010</v>
      </c>
      <c r="G1501" s="619">
        <v>0</v>
      </c>
      <c r="H1501" s="464">
        <f t="shared" si="1111"/>
        <v>5</v>
      </c>
      <c r="I1501" s="560"/>
      <c r="J1501" s="468">
        <f t="shared" si="1112"/>
        <v>2014</v>
      </c>
      <c r="K1501" s="490">
        <f t="shared" si="1113"/>
        <v>0</v>
      </c>
      <c r="L1501" s="469">
        <f t="shared" si="1114"/>
        <v>0</v>
      </c>
      <c r="M1501" s="683">
        <f t="shared" si="1115"/>
        <v>0</v>
      </c>
      <c r="N1501" s="470">
        <f t="shared" si="1116"/>
        <v>5</v>
      </c>
      <c r="O1501" s="468">
        <f t="shared" si="1117"/>
        <v>2014</v>
      </c>
      <c r="P1501" s="616">
        <f t="shared" si="1118"/>
        <v>7872069639.0683031</v>
      </c>
      <c r="Q1501" s="472">
        <f t="shared" si="1119"/>
        <v>7872069639.0683031</v>
      </c>
      <c r="R1501" s="472">
        <f t="shared" si="1120"/>
        <v>1312011606.5113838</v>
      </c>
      <c r="S1501" s="1189">
        <f t="shared" si="1121"/>
        <v>2010</v>
      </c>
      <c r="T1501" s="470">
        <f t="shared" si="1122"/>
        <v>2</v>
      </c>
      <c r="U1501" s="612">
        <f t="shared" si="1123"/>
        <v>2624023213.0227675</v>
      </c>
      <c r="V1501" s="464">
        <f t="shared" si="1124"/>
        <v>2010</v>
      </c>
      <c r="W1501" s="612">
        <f t="shared" si="1125"/>
        <v>5248046426.045536</v>
      </c>
      <c r="X1501" s="561"/>
      <c r="Y1501" s="449"/>
      <c r="Z1501" s="449"/>
      <c r="AA1501" s="554"/>
      <c r="AB1501" s="452"/>
      <c r="AC1501" s="452"/>
      <c r="AD1501" s="566"/>
      <c r="AE1501" s="452"/>
      <c r="AF1501" s="571"/>
      <c r="AG1501" s="452"/>
      <c r="AH1501" s="452"/>
      <c r="AI1501" s="453"/>
      <c r="AJ1501" s="449"/>
      <c r="AK1501" s="453"/>
      <c r="AL1501" s="454"/>
      <c r="AM1501" s="455"/>
      <c r="AN1501" s="456"/>
      <c r="AO1501" s="455"/>
      <c r="AP1501" s="452"/>
      <c r="AQ1501" s="457"/>
      <c r="AR1501" s="449"/>
      <c r="AS1501" s="449"/>
      <c r="AT1501" s="452"/>
      <c r="AU1501" s="457"/>
      <c r="AV1501" s="449"/>
      <c r="AW1501" s="458"/>
      <c r="AX1501" s="452"/>
      <c r="AY1501" s="457"/>
      <c r="AZ1501" s="449"/>
      <c r="BA1501" s="459"/>
      <c r="BB1501" s="455"/>
      <c r="BC1501" s="460"/>
      <c r="BD1501" s="460"/>
      <c r="BG1501" s="462"/>
    </row>
    <row r="1502" spans="1:59" s="461" customFormat="1" ht="18" customHeight="1" x14ac:dyDescent="0.2">
      <c r="A1502" s="1368" t="str">
        <f t="shared" si="1110"/>
        <v>LEPAU GADING - PANGEAN2012</v>
      </c>
      <c r="B1502" s="1373"/>
      <c r="C1502" s="488"/>
      <c r="D1502" s="489"/>
      <c r="E1502" s="558"/>
      <c r="F1502" s="559">
        <v>2012</v>
      </c>
      <c r="G1502" s="619">
        <v>0</v>
      </c>
      <c r="H1502" s="464">
        <f t="shared" si="1111"/>
        <v>3</v>
      </c>
      <c r="I1502" s="560"/>
      <c r="J1502" s="468">
        <f t="shared" si="1112"/>
        <v>2014</v>
      </c>
      <c r="K1502" s="490">
        <f t="shared" si="1113"/>
        <v>0</v>
      </c>
      <c r="L1502" s="469">
        <f t="shared" si="1114"/>
        <v>0</v>
      </c>
      <c r="M1502" s="683">
        <f t="shared" si="1115"/>
        <v>0</v>
      </c>
      <c r="N1502" s="470">
        <f t="shared" si="1116"/>
        <v>3</v>
      </c>
      <c r="O1502" s="468">
        <f t="shared" si="1117"/>
        <v>2014</v>
      </c>
      <c r="P1502" s="616">
        <f t="shared" si="1118"/>
        <v>5248046426.045536</v>
      </c>
      <c r="Q1502" s="472">
        <f t="shared" si="1119"/>
        <v>5248046426.045536</v>
      </c>
      <c r="R1502" s="472">
        <f t="shared" si="1120"/>
        <v>1312011606.5113838</v>
      </c>
      <c r="S1502" s="1189">
        <f t="shared" si="1121"/>
        <v>2012</v>
      </c>
      <c r="T1502" s="470">
        <f t="shared" si="1122"/>
        <v>2</v>
      </c>
      <c r="U1502" s="612">
        <f t="shared" si="1123"/>
        <v>2624023213.0227675</v>
      </c>
      <c r="V1502" s="464">
        <f t="shared" si="1124"/>
        <v>2012</v>
      </c>
      <c r="W1502" s="612">
        <f t="shared" si="1125"/>
        <v>2624023213.0227685</v>
      </c>
      <c r="X1502" s="561"/>
      <c r="Y1502" s="449"/>
      <c r="Z1502" s="449"/>
      <c r="AA1502" s="554"/>
      <c r="AB1502" s="452"/>
      <c r="AC1502" s="452"/>
      <c r="AD1502" s="566"/>
      <c r="AE1502" s="452"/>
      <c r="AF1502" s="571"/>
      <c r="AG1502" s="452"/>
      <c r="AH1502" s="452"/>
      <c r="AI1502" s="453"/>
      <c r="AJ1502" s="449"/>
      <c r="AK1502" s="453"/>
      <c r="AL1502" s="454"/>
      <c r="AM1502" s="455"/>
      <c r="AN1502" s="456"/>
      <c r="AO1502" s="455"/>
      <c r="AP1502" s="452"/>
      <c r="AQ1502" s="457"/>
      <c r="AR1502" s="449"/>
      <c r="AS1502" s="449"/>
      <c r="AT1502" s="452"/>
      <c r="AU1502" s="457"/>
      <c r="AV1502" s="449"/>
      <c r="AW1502" s="458"/>
      <c r="AX1502" s="452"/>
      <c r="AY1502" s="457"/>
      <c r="AZ1502" s="449"/>
      <c r="BA1502" s="459"/>
      <c r="BB1502" s="455"/>
      <c r="BC1502" s="460"/>
      <c r="BD1502" s="460"/>
      <c r="BG1502" s="462"/>
    </row>
    <row r="1503" spans="1:59" s="461" customFormat="1" ht="18" customHeight="1" x14ac:dyDescent="0.2">
      <c r="A1503" s="1368" t="str">
        <f t="shared" si="1110"/>
        <v>LEPAU GADING - PANGEAN2013</v>
      </c>
      <c r="B1503" s="1373"/>
      <c r="C1503" s="488"/>
      <c r="D1503" s="489"/>
      <c r="E1503" s="558"/>
      <c r="F1503" s="559">
        <v>2013</v>
      </c>
      <c r="G1503" s="619">
        <v>0</v>
      </c>
      <c r="H1503" s="464">
        <f t="shared" si="1111"/>
        <v>2</v>
      </c>
      <c r="I1503" s="560"/>
      <c r="J1503" s="468">
        <f t="shared" si="1112"/>
        <v>2014</v>
      </c>
      <c r="K1503" s="490">
        <f t="shared" si="1113"/>
        <v>0</v>
      </c>
      <c r="L1503" s="469">
        <f t="shared" si="1114"/>
        <v>0</v>
      </c>
      <c r="M1503" s="683">
        <f t="shared" si="1115"/>
        <v>0</v>
      </c>
      <c r="N1503" s="470">
        <f t="shared" si="1116"/>
        <v>2</v>
      </c>
      <c r="O1503" s="468">
        <f t="shared" si="1117"/>
        <v>2014</v>
      </c>
      <c r="P1503" s="616">
        <f t="shared" si="1118"/>
        <v>2624023213.0227685</v>
      </c>
      <c r="Q1503" s="472">
        <f t="shared" si="1119"/>
        <v>2624023213.0227685</v>
      </c>
      <c r="R1503" s="472">
        <f t="shared" si="1120"/>
        <v>1312011606.5113838</v>
      </c>
      <c r="S1503" s="1189">
        <f t="shared" si="1121"/>
        <v>2013</v>
      </c>
      <c r="T1503" s="470">
        <f t="shared" si="1122"/>
        <v>1</v>
      </c>
      <c r="U1503" s="612">
        <f t="shared" si="1123"/>
        <v>1312011606.5113838</v>
      </c>
      <c r="V1503" s="464">
        <f t="shared" si="1124"/>
        <v>2013</v>
      </c>
      <c r="W1503" s="612">
        <f t="shared" si="1125"/>
        <v>1312011606.5113847</v>
      </c>
      <c r="X1503" s="561"/>
      <c r="Y1503" s="449"/>
      <c r="Z1503" s="449"/>
      <c r="AA1503" s="554"/>
      <c r="AB1503" s="452"/>
      <c r="AC1503" s="452"/>
      <c r="AD1503" s="566"/>
      <c r="AE1503" s="452"/>
      <c r="AF1503" s="571"/>
      <c r="AG1503" s="452"/>
      <c r="AH1503" s="452"/>
      <c r="AI1503" s="453"/>
      <c r="AJ1503" s="449"/>
      <c r="AK1503" s="453"/>
      <c r="AL1503" s="454"/>
      <c r="AM1503" s="455"/>
      <c r="AN1503" s="456"/>
      <c r="AO1503" s="455"/>
      <c r="AP1503" s="452"/>
      <c r="AQ1503" s="457"/>
      <c r="AR1503" s="449"/>
      <c r="AS1503" s="449"/>
      <c r="AT1503" s="452"/>
      <c r="AU1503" s="457"/>
      <c r="AV1503" s="449"/>
      <c r="AW1503" s="458"/>
      <c r="AX1503" s="452"/>
      <c r="AY1503" s="457"/>
      <c r="AZ1503" s="449"/>
      <c r="BA1503" s="459"/>
      <c r="BB1503" s="455"/>
      <c r="BC1503" s="460"/>
      <c r="BD1503" s="460"/>
      <c r="BG1503" s="462"/>
    </row>
    <row r="1504" spans="1:59" s="461" customFormat="1" ht="18" customHeight="1" x14ac:dyDescent="0.2">
      <c r="A1504" s="1368" t="str">
        <f t="shared" si="1110"/>
        <v>LEPAU GADING - PANGEAN2014</v>
      </c>
      <c r="B1504" s="1373"/>
      <c r="C1504" s="488"/>
      <c r="D1504" s="489"/>
      <c r="E1504" s="558"/>
      <c r="F1504" s="559">
        <v>2014</v>
      </c>
      <c r="G1504" s="619">
        <v>0</v>
      </c>
      <c r="H1504" s="464">
        <f t="shared" si="1111"/>
        <v>1</v>
      </c>
      <c r="I1504" s="560"/>
      <c r="J1504" s="468">
        <f t="shared" si="1112"/>
        <v>2014</v>
      </c>
      <c r="K1504" s="490">
        <f t="shared" si="1113"/>
        <v>0</v>
      </c>
      <c r="L1504" s="469">
        <f t="shared" si="1114"/>
        <v>0</v>
      </c>
      <c r="M1504" s="683">
        <f t="shared" si="1115"/>
        <v>0</v>
      </c>
      <c r="N1504" s="470">
        <f t="shared" si="1116"/>
        <v>1</v>
      </c>
      <c r="O1504" s="468">
        <f t="shared" si="1117"/>
        <v>2014</v>
      </c>
      <c r="P1504" s="616">
        <f t="shared" si="1118"/>
        <v>1312011606.5113847</v>
      </c>
      <c r="Q1504" s="472">
        <f t="shared" si="1119"/>
        <v>1312011606.5113847</v>
      </c>
      <c r="R1504" s="472">
        <f t="shared" si="1120"/>
        <v>1312011606.5113838</v>
      </c>
      <c r="S1504" s="1189">
        <f t="shared" si="1121"/>
        <v>2014</v>
      </c>
      <c r="T1504" s="470">
        <f t="shared" si="1122"/>
        <v>1</v>
      </c>
      <c r="U1504" s="612">
        <f t="shared" si="1123"/>
        <v>1312011606.5113838</v>
      </c>
      <c r="V1504" s="464">
        <f t="shared" si="1124"/>
        <v>2014</v>
      </c>
      <c r="W1504" s="612">
        <f t="shared" si="1125"/>
        <v>9.5367431640625E-7</v>
      </c>
      <c r="X1504" s="561"/>
      <c r="Y1504" s="449"/>
      <c r="Z1504" s="449"/>
      <c r="AA1504" s="554"/>
      <c r="AB1504" s="452"/>
      <c r="AC1504" s="452"/>
      <c r="AD1504" s="566"/>
      <c r="AE1504" s="452"/>
      <c r="AF1504" s="571"/>
      <c r="AG1504" s="452"/>
      <c r="AH1504" s="452"/>
      <c r="AI1504" s="453"/>
      <c r="AJ1504" s="449"/>
      <c r="AK1504" s="453"/>
      <c r="AL1504" s="454"/>
      <c r="AM1504" s="455"/>
      <c r="AN1504" s="456"/>
      <c r="AO1504" s="455"/>
      <c r="AP1504" s="452"/>
      <c r="AQ1504" s="457"/>
      <c r="AR1504" s="449"/>
      <c r="AS1504" s="449"/>
      <c r="AT1504" s="452"/>
      <c r="AU1504" s="457"/>
      <c r="AV1504" s="449"/>
      <c r="AW1504" s="458"/>
      <c r="AX1504" s="452"/>
      <c r="AY1504" s="457"/>
      <c r="AZ1504" s="449"/>
      <c r="BA1504" s="459"/>
      <c r="BB1504" s="455"/>
      <c r="BC1504" s="460"/>
      <c r="BD1504" s="460"/>
      <c r="BG1504" s="462"/>
    </row>
    <row r="1505" spans="1:59" s="486" customFormat="1" ht="18" customHeight="1" x14ac:dyDescent="0.2">
      <c r="A1505" s="1368" t="str">
        <f t="shared" si="1110"/>
        <v>LEPAU GADING - PANGEAN2015</v>
      </c>
      <c r="B1505" s="1373">
        <v>4</v>
      </c>
      <c r="C1505" s="488" t="s">
        <v>1389</v>
      </c>
      <c r="D1505" s="489" t="s">
        <v>3821</v>
      </c>
      <c r="E1505" s="558"/>
      <c r="F1505" s="559">
        <v>2015</v>
      </c>
      <c r="G1505" s="619">
        <v>4424469137.1017532</v>
      </c>
      <c r="H1505" s="557">
        <f>VLOOKUP(LEFT(D1505,8),UE,4)</f>
        <v>10</v>
      </c>
      <c r="I1505" s="560"/>
      <c r="J1505" s="468">
        <f t="shared" si="1112"/>
        <v>2024</v>
      </c>
      <c r="K1505" s="490">
        <f t="shared" si="1113"/>
        <v>1</v>
      </c>
      <c r="L1505" s="469">
        <f t="shared" si="1114"/>
        <v>10</v>
      </c>
      <c r="M1505" s="683">
        <f t="shared" si="1115"/>
        <v>0</v>
      </c>
      <c r="N1505" s="470">
        <f t="shared" si="1116"/>
        <v>10</v>
      </c>
      <c r="O1505" s="468">
        <f t="shared" si="1117"/>
        <v>2024</v>
      </c>
      <c r="P1505" s="616">
        <f t="shared" si="1118"/>
        <v>9.5367431640625E-7</v>
      </c>
      <c r="Q1505" s="472">
        <f t="shared" si="1119"/>
        <v>4424469137.1017542</v>
      </c>
      <c r="R1505" s="472">
        <f t="shared" si="1120"/>
        <v>442446913.7101754</v>
      </c>
      <c r="S1505" s="1189">
        <f t="shared" si="1121"/>
        <v>2015</v>
      </c>
      <c r="T1505" s="470">
        <f t="shared" si="1122"/>
        <v>1</v>
      </c>
      <c r="U1505" s="612">
        <f t="shared" si="1123"/>
        <v>442446913.7101754</v>
      </c>
      <c r="V1505" s="464">
        <f t="shared" si="1124"/>
        <v>2015</v>
      </c>
      <c r="W1505" s="612">
        <f t="shared" si="1125"/>
        <v>3982022223.3915787</v>
      </c>
      <c r="X1505" s="561"/>
      <c r="Y1505" s="474"/>
      <c r="Z1505" s="449"/>
      <c r="AA1505" s="475" t="s">
        <v>4180</v>
      </c>
      <c r="AB1505" s="476"/>
      <c r="AC1505" s="476"/>
      <c r="AD1505" s="567">
        <f>G1512</f>
        <v>44052567508.340912</v>
      </c>
      <c r="AE1505" s="476"/>
      <c r="AF1505" s="568"/>
      <c r="AG1505" s="476"/>
      <c r="AH1505" s="476"/>
      <c r="AI1505" s="477"/>
      <c r="AJ1505" s="478"/>
      <c r="AK1505" s="479"/>
      <c r="AL1505" s="480"/>
      <c r="AM1505" s="474"/>
      <c r="AN1505" s="481"/>
      <c r="AO1505" s="474"/>
      <c r="AP1505" s="476"/>
      <c r="AQ1505" s="482"/>
      <c r="AR1505" s="478"/>
      <c r="AS1505" s="478"/>
      <c r="AT1505" s="476"/>
      <c r="AU1505" s="482"/>
      <c r="AV1505" s="478"/>
      <c r="AW1505" s="483"/>
      <c r="AX1505" s="476"/>
      <c r="AY1505" s="482"/>
      <c r="AZ1505" s="478"/>
      <c r="BA1505" s="484"/>
      <c r="BB1505" s="474"/>
      <c r="BC1505" s="485"/>
      <c r="BD1505" s="485"/>
      <c r="BG1505" s="487"/>
    </row>
    <row r="1506" spans="1:59" s="486" customFormat="1" ht="18" customHeight="1" x14ac:dyDescent="0.2">
      <c r="A1506" s="1368" t="str">
        <f t="shared" si="1110"/>
        <v>LEPAU GADING - PANGEAN2016</v>
      </c>
      <c r="B1506" s="1373">
        <v>5</v>
      </c>
      <c r="C1506" s="488" t="s">
        <v>1450</v>
      </c>
      <c r="D1506" s="489" t="s">
        <v>3821</v>
      </c>
      <c r="E1506" s="558"/>
      <c r="F1506" s="559">
        <v>2016</v>
      </c>
      <c r="G1506" s="619">
        <v>4250968123.3900442</v>
      </c>
      <c r="H1506" s="464">
        <f t="shared" si="1111"/>
        <v>9</v>
      </c>
      <c r="I1506" s="560"/>
      <c r="J1506" s="468">
        <f t="shared" si="1112"/>
        <v>2025</v>
      </c>
      <c r="K1506" s="490">
        <f t="shared" si="1113"/>
        <v>1.0675400298919975</v>
      </c>
      <c r="L1506" s="469">
        <f t="shared" si="1114"/>
        <v>10</v>
      </c>
      <c r="M1506" s="683">
        <f t="shared" si="1115"/>
        <v>1</v>
      </c>
      <c r="N1506" s="470">
        <f t="shared" si="1116"/>
        <v>10</v>
      </c>
      <c r="O1506" s="468">
        <f t="shared" si="1117"/>
        <v>2025</v>
      </c>
      <c r="P1506" s="616">
        <f t="shared" si="1118"/>
        <v>3982022223.3915787</v>
      </c>
      <c r="Q1506" s="472">
        <f t="shared" si="1119"/>
        <v>8232990346.7816229</v>
      </c>
      <c r="R1506" s="472">
        <f t="shared" si="1120"/>
        <v>823299034.67816234</v>
      </c>
      <c r="S1506" s="1189">
        <f t="shared" si="1121"/>
        <v>2016</v>
      </c>
      <c r="T1506" s="470">
        <f t="shared" si="1122"/>
        <v>1</v>
      </c>
      <c r="U1506" s="612">
        <f t="shared" si="1123"/>
        <v>823299034.67816234</v>
      </c>
      <c r="V1506" s="464">
        <f t="shared" si="1124"/>
        <v>2016</v>
      </c>
      <c r="W1506" s="612">
        <f t="shared" si="1125"/>
        <v>7409691312.1034603</v>
      </c>
      <c r="X1506" s="473"/>
      <c r="Y1506" s="478"/>
      <c r="Z1506" s="449"/>
      <c r="AA1506" s="475" t="s">
        <v>4181</v>
      </c>
      <c r="AB1506" s="491"/>
      <c r="AC1506" s="491"/>
      <c r="AD1506" s="567">
        <f>U1512</f>
        <v>29826726425.826412</v>
      </c>
      <c r="AE1506" s="491"/>
      <c r="AF1506" s="568"/>
      <c r="AG1506" s="491"/>
      <c r="AH1506" s="491"/>
      <c r="AI1506" s="477"/>
      <c r="AJ1506" s="478"/>
      <c r="AK1506" s="479"/>
      <c r="AL1506" s="480"/>
      <c r="AM1506" s="474"/>
      <c r="AN1506" s="481"/>
      <c r="AO1506" s="474"/>
      <c r="AP1506" s="476"/>
      <c r="AQ1506" s="482"/>
      <c r="AR1506" s="478"/>
      <c r="AS1506" s="478"/>
      <c r="AT1506" s="476"/>
      <c r="AU1506" s="482"/>
      <c r="AV1506" s="478"/>
      <c r="AW1506" s="483"/>
      <c r="AX1506" s="476"/>
      <c r="AY1506" s="482"/>
      <c r="AZ1506" s="478"/>
      <c r="BA1506" s="484"/>
      <c r="BB1506" s="474"/>
      <c r="BC1506" s="485"/>
      <c r="BD1506" s="485"/>
      <c r="BG1506" s="487"/>
    </row>
    <row r="1507" spans="1:59" s="486" customFormat="1" ht="18" customHeight="1" x14ac:dyDescent="0.2">
      <c r="A1507" s="1368" t="str">
        <f t="shared" si="1110"/>
        <v>LEPAU GADING - PANGEAN2017</v>
      </c>
      <c r="B1507" s="1373">
        <v>6</v>
      </c>
      <c r="C1507" s="488" t="s">
        <v>3036</v>
      </c>
      <c r="D1507" s="489"/>
      <c r="E1507" s="558"/>
      <c r="F1507" s="559">
        <v>2017</v>
      </c>
      <c r="G1507" s="619">
        <f>3776832000+248600000</f>
        <v>4025432000</v>
      </c>
      <c r="H1507" s="464">
        <f t="shared" si="1111"/>
        <v>9</v>
      </c>
      <c r="I1507" s="560"/>
      <c r="J1507" s="468">
        <f t="shared" si="1112"/>
        <v>2026</v>
      </c>
      <c r="K1507" s="490">
        <f t="shared" si="1113"/>
        <v>0.54326581640784466</v>
      </c>
      <c r="L1507" s="469">
        <f t="shared" si="1114"/>
        <v>5</v>
      </c>
      <c r="M1507" s="683">
        <f t="shared" si="1115"/>
        <v>1</v>
      </c>
      <c r="N1507" s="470">
        <f t="shared" si="1116"/>
        <v>10</v>
      </c>
      <c r="O1507" s="468">
        <f t="shared" si="1117"/>
        <v>2026</v>
      </c>
      <c r="P1507" s="616">
        <f t="shared" si="1118"/>
        <v>7409691312.1034603</v>
      </c>
      <c r="Q1507" s="472">
        <f t="shared" si="1119"/>
        <v>11435123312.10346</v>
      </c>
      <c r="R1507" s="472">
        <f t="shared" si="1120"/>
        <v>1143512331.210346</v>
      </c>
      <c r="S1507" s="1189">
        <f t="shared" si="1121"/>
        <v>2017</v>
      </c>
      <c r="T1507" s="470">
        <f t="shared" si="1122"/>
        <v>1</v>
      </c>
      <c r="U1507" s="612">
        <f t="shared" si="1123"/>
        <v>1143512331.210346</v>
      </c>
      <c r="V1507" s="464">
        <f t="shared" si="1124"/>
        <v>2017</v>
      </c>
      <c r="W1507" s="612">
        <f t="shared" si="1125"/>
        <v>10291610980.893114</v>
      </c>
      <c r="X1507" s="473"/>
      <c r="Y1507" s="478"/>
      <c r="Z1507" s="449"/>
      <c r="AA1507" s="492" t="s">
        <v>4182</v>
      </c>
      <c r="AB1507" s="476"/>
      <c r="AC1507" s="476"/>
      <c r="AD1507" s="567">
        <f>AD1505-AD1506</f>
        <v>14225841082.5145</v>
      </c>
      <c r="AE1507" s="476"/>
      <c r="AF1507" s="568"/>
      <c r="AG1507" s="476"/>
      <c r="AH1507" s="476"/>
      <c r="AI1507" s="477"/>
      <c r="AJ1507" s="478"/>
      <c r="AK1507" s="479"/>
      <c r="AL1507" s="480"/>
      <c r="AM1507" s="474"/>
      <c r="AN1507" s="481"/>
      <c r="AO1507" s="474"/>
      <c r="AP1507" s="476"/>
      <c r="AQ1507" s="482"/>
      <c r="AR1507" s="478"/>
      <c r="AS1507" s="478"/>
      <c r="AT1507" s="476"/>
      <c r="AU1507" s="482"/>
      <c r="AV1507" s="478"/>
      <c r="AW1507" s="483"/>
      <c r="AX1507" s="476"/>
      <c r="AY1507" s="482"/>
      <c r="AZ1507" s="478"/>
      <c r="BA1507" s="484"/>
      <c r="BB1507" s="474"/>
      <c r="BC1507" s="485"/>
      <c r="BD1507" s="485"/>
      <c r="BG1507" s="487"/>
    </row>
    <row r="1508" spans="1:59" s="486" customFormat="1" ht="18" customHeight="1" x14ac:dyDescent="0.2">
      <c r="A1508" s="1368" t="str">
        <f t="shared" si="1110"/>
        <v>LEPAU GADING - PANGEAN2017</v>
      </c>
      <c r="B1508" s="687">
        <v>7</v>
      </c>
      <c r="C1508" s="488" t="s">
        <v>3041</v>
      </c>
      <c r="D1508" s="489"/>
      <c r="E1508" s="558"/>
      <c r="F1508" s="466">
        <v>2017</v>
      </c>
      <c r="G1508" s="619">
        <v>0</v>
      </c>
      <c r="H1508" s="464">
        <f t="shared" si="1111"/>
        <v>10</v>
      </c>
      <c r="I1508" s="560"/>
      <c r="J1508" s="468">
        <f t="shared" si="1112"/>
        <v>2026</v>
      </c>
      <c r="K1508" s="490">
        <f t="shared" si="1113"/>
        <v>0</v>
      </c>
      <c r="L1508" s="469">
        <f t="shared" si="1114"/>
        <v>0</v>
      </c>
      <c r="M1508" s="683">
        <f t="shared" si="1115"/>
        <v>0</v>
      </c>
      <c r="N1508" s="470">
        <f t="shared" si="1116"/>
        <v>10</v>
      </c>
      <c r="O1508" s="468">
        <f t="shared" si="1117"/>
        <v>2026</v>
      </c>
      <c r="P1508" s="616">
        <f t="shared" si="1118"/>
        <v>10291610980.893114</v>
      </c>
      <c r="Q1508" s="472">
        <f t="shared" si="1119"/>
        <v>10291610980.893114</v>
      </c>
      <c r="R1508" s="472">
        <f t="shared" si="1120"/>
        <v>1143512331.210346</v>
      </c>
      <c r="S1508" s="1189">
        <f t="shared" si="1121"/>
        <v>2017</v>
      </c>
      <c r="T1508" s="470">
        <f t="shared" si="1122"/>
        <v>0</v>
      </c>
      <c r="U1508" s="612">
        <f t="shared" si="1123"/>
        <v>0</v>
      </c>
      <c r="V1508" s="464">
        <f t="shared" si="1124"/>
        <v>2017</v>
      </c>
      <c r="W1508" s="612">
        <f t="shared" si="1125"/>
        <v>10291610980.893114</v>
      </c>
      <c r="X1508" s="473"/>
      <c r="Y1508" s="478"/>
      <c r="Z1508" s="449"/>
      <c r="AA1508" s="531" t="s">
        <v>4183</v>
      </c>
      <c r="AB1508" s="496"/>
      <c r="AC1508" s="496"/>
      <c r="AD1508" s="569">
        <f>AD1507-W1512</f>
        <v>0</v>
      </c>
      <c r="AE1508" s="476"/>
      <c r="AF1508" s="568"/>
      <c r="AG1508" s="476"/>
      <c r="AH1508" s="476"/>
      <c r="AI1508" s="477"/>
      <c r="AJ1508" s="478"/>
      <c r="AK1508" s="479"/>
      <c r="AL1508" s="480"/>
      <c r="AM1508" s="474"/>
      <c r="AN1508" s="481"/>
      <c r="AO1508" s="474"/>
      <c r="AP1508" s="476"/>
      <c r="AQ1508" s="482"/>
      <c r="AR1508" s="478"/>
      <c r="AS1508" s="478"/>
      <c r="AT1508" s="476"/>
      <c r="AU1508" s="482"/>
      <c r="AV1508" s="478"/>
      <c r="AW1508" s="483"/>
      <c r="AX1508" s="476"/>
      <c r="AY1508" s="482"/>
      <c r="AZ1508" s="478"/>
      <c r="BA1508" s="484"/>
      <c r="BB1508" s="474"/>
      <c r="BC1508" s="485"/>
      <c r="BD1508" s="485"/>
      <c r="BG1508" s="487"/>
    </row>
    <row r="1509" spans="1:59" s="486" customFormat="1" ht="18" customHeight="1" x14ac:dyDescent="0.2">
      <c r="A1509" s="1368" t="str">
        <f t="shared" si="1110"/>
        <v>LEPAU GADING - PANGEAN2018</v>
      </c>
      <c r="B1509" s="687"/>
      <c r="C1509" s="488"/>
      <c r="D1509" s="489"/>
      <c r="E1509" s="558"/>
      <c r="F1509" s="466">
        <v>2018</v>
      </c>
      <c r="G1509" s="619">
        <v>0</v>
      </c>
      <c r="H1509" s="464">
        <f t="shared" si="1111"/>
        <v>9</v>
      </c>
      <c r="I1509" s="560"/>
      <c r="J1509" s="468">
        <f t="shared" si="1112"/>
        <v>2026</v>
      </c>
      <c r="K1509" s="490">
        <f t="shared" si="1113"/>
        <v>0</v>
      </c>
      <c r="L1509" s="469">
        <f t="shared" si="1114"/>
        <v>0</v>
      </c>
      <c r="M1509" s="683">
        <f t="shared" si="1115"/>
        <v>0</v>
      </c>
      <c r="N1509" s="470">
        <f t="shared" si="1116"/>
        <v>9</v>
      </c>
      <c r="O1509" s="468">
        <f t="shared" si="1117"/>
        <v>2026</v>
      </c>
      <c r="P1509" s="616">
        <f t="shared" si="1118"/>
        <v>10291610980.893114</v>
      </c>
      <c r="Q1509" s="472">
        <f t="shared" si="1119"/>
        <v>10291610980.893114</v>
      </c>
      <c r="R1509" s="472">
        <f t="shared" si="1120"/>
        <v>1143512331.210346</v>
      </c>
      <c r="S1509" s="1189">
        <f t="shared" si="1121"/>
        <v>2018</v>
      </c>
      <c r="T1509" s="470">
        <f t="shared" si="1122"/>
        <v>1</v>
      </c>
      <c r="U1509" s="612">
        <f t="shared" si="1123"/>
        <v>1143512331.210346</v>
      </c>
      <c r="V1509" s="464">
        <f t="shared" si="1124"/>
        <v>2018</v>
      </c>
      <c r="W1509" s="612">
        <f t="shared" si="1125"/>
        <v>9148098649.6827679</v>
      </c>
      <c r="X1509" s="473"/>
      <c r="Y1509" s="478"/>
      <c r="Z1509" s="449"/>
      <c r="AA1509" s="573"/>
      <c r="AB1509" s="476"/>
      <c r="AC1509" s="476"/>
      <c r="AD1509" s="568"/>
      <c r="AE1509" s="476"/>
      <c r="AF1509" s="568"/>
      <c r="AG1509" s="476"/>
      <c r="AH1509" s="476"/>
      <c r="AI1509" s="477"/>
      <c r="AJ1509" s="478"/>
      <c r="AK1509" s="479"/>
      <c r="AL1509" s="480"/>
      <c r="AM1509" s="474"/>
      <c r="AN1509" s="481"/>
      <c r="AO1509" s="474"/>
      <c r="AP1509" s="476"/>
      <c r="AQ1509" s="482"/>
      <c r="AR1509" s="478"/>
      <c r="AS1509" s="478"/>
      <c r="AT1509" s="476"/>
      <c r="AU1509" s="482"/>
      <c r="AV1509" s="478"/>
      <c r="AW1509" s="483"/>
      <c r="AX1509" s="476"/>
      <c r="AY1509" s="482"/>
      <c r="AZ1509" s="478"/>
      <c r="BA1509" s="484"/>
      <c r="BB1509" s="474"/>
      <c r="BC1509" s="485"/>
      <c r="BD1509" s="485"/>
      <c r="BG1509" s="487"/>
    </row>
    <row r="1510" spans="1:59" s="486" customFormat="1" ht="18" customHeight="1" x14ac:dyDescent="0.2">
      <c r="A1510" s="1368" t="str">
        <f t="shared" si="1110"/>
        <v>LEPAU GADING - PANGEAN2019</v>
      </c>
      <c r="B1510" s="687">
        <v>8</v>
      </c>
      <c r="C1510" s="488" t="s">
        <v>5713</v>
      </c>
      <c r="D1510" s="489"/>
      <c r="E1510" s="558"/>
      <c r="F1510" s="466">
        <v>2019</v>
      </c>
      <c r="G1510" s="619">
        <v>6658391442</v>
      </c>
      <c r="H1510" s="464">
        <f>IF(N1509-(F1510-F1509)&lt;=0,0,(N1509-(F1510-F1509)))</f>
        <v>8</v>
      </c>
      <c r="I1510" s="560"/>
      <c r="J1510" s="468">
        <f>F1510+N1510-1</f>
        <v>2028</v>
      </c>
      <c r="K1510" s="490">
        <f>IF(G1510=0,0,IF(H1510=10,100%,G1510/W1509))</f>
        <v>0.72784429824998609</v>
      </c>
      <c r="L1510" s="469">
        <f>IF(K1510=0%,0,IF(K1510&lt;=30%,2,IF(K1510&lt;=60%,5,10)))</f>
        <v>10</v>
      </c>
      <c r="M1510" s="683">
        <f t="shared" si="1115"/>
        <v>2</v>
      </c>
      <c r="N1510" s="470">
        <f>IF(OR(AND(ISBLANK(F1510),ISBLANK(G1510)),ISTEXT(F1510),ISTEXT(G1510)),"",H1510+M1510)</f>
        <v>10</v>
      </c>
      <c r="O1510" s="468">
        <f>F1510+N1510-1</f>
        <v>2028</v>
      </c>
      <c r="P1510" s="616">
        <f>W1509</f>
        <v>9148098649.6827679</v>
      </c>
      <c r="Q1510" s="472">
        <f>P1510+G1510</f>
        <v>15806490091.682768</v>
      </c>
      <c r="R1510" s="472">
        <f>IF(L1510=0,R1509,Q1510/N1510)</f>
        <v>1580649009.1682768</v>
      </c>
      <c r="S1510" s="1189">
        <f>F1510</f>
        <v>2019</v>
      </c>
      <c r="T1510" s="470">
        <f>S1510-S1509</f>
        <v>1</v>
      </c>
      <c r="U1510" s="612">
        <f>R1510*T1510</f>
        <v>1580649009.1682768</v>
      </c>
      <c r="V1510" s="464">
        <f>F1510</f>
        <v>2019</v>
      </c>
      <c r="W1510" s="612">
        <f>IF(OR(AND(ISBLANK(E1510),ISBLANK(G1510)),ISTEXT(E1510),ISTEXT(G1510)),"",Q1510-U1510)</f>
        <v>14225841082.514492</v>
      </c>
      <c r="X1510" s="473"/>
      <c r="Y1510" s="478"/>
      <c r="Z1510" s="449"/>
      <c r="AA1510" s="573"/>
      <c r="AB1510" s="476"/>
      <c r="AC1510" s="476"/>
      <c r="AD1510" s="568"/>
      <c r="AE1510" s="476"/>
      <c r="AF1510" s="568"/>
      <c r="AG1510" s="476"/>
      <c r="AH1510" s="476"/>
      <c r="AI1510" s="477"/>
      <c r="AJ1510" s="478"/>
      <c r="AK1510" s="479"/>
      <c r="AL1510" s="480"/>
      <c r="AM1510" s="474"/>
      <c r="AN1510" s="481"/>
      <c r="AO1510" s="474"/>
      <c r="AP1510" s="476"/>
      <c r="AQ1510" s="482"/>
      <c r="AR1510" s="478"/>
      <c r="AS1510" s="478"/>
      <c r="AT1510" s="476"/>
      <c r="AU1510" s="482"/>
      <c r="AV1510" s="478"/>
      <c r="AW1510" s="483"/>
      <c r="AX1510" s="476"/>
      <c r="AY1510" s="482"/>
      <c r="AZ1510" s="478"/>
      <c r="BA1510" s="484"/>
      <c r="BB1510" s="474"/>
      <c r="BC1510" s="485"/>
      <c r="BD1510" s="485"/>
      <c r="BG1510" s="487"/>
    </row>
    <row r="1511" spans="1:59" s="486" customFormat="1" ht="18" customHeight="1" x14ac:dyDescent="0.2">
      <c r="A1511" s="1368" t="str">
        <f>LEFT(D1511,8)</f>
        <v/>
      </c>
      <c r="B1511" s="687"/>
      <c r="C1511" s="463"/>
      <c r="D1511" s="489"/>
      <c r="E1511" s="465"/>
      <c r="F1511" s="466"/>
      <c r="G1511" s="620"/>
      <c r="H1511" s="464"/>
      <c r="I1511" s="467"/>
      <c r="J1511" s="468"/>
      <c r="K1511" s="574"/>
      <c r="L1511" s="469"/>
      <c r="M1511" s="683"/>
      <c r="N1511" s="470"/>
      <c r="O1511" s="468"/>
      <c r="P1511" s="616"/>
      <c r="Q1511" s="472"/>
      <c r="R1511" s="472"/>
      <c r="S1511" s="634"/>
      <c r="T1511" s="470"/>
      <c r="U1511" s="612"/>
      <c r="V1511" s="464"/>
      <c r="W1511" s="612"/>
      <c r="X1511" s="473"/>
      <c r="Y1511" s="478"/>
      <c r="Z1511" s="449"/>
      <c r="AA1511" s="573"/>
      <c r="AB1511" s="476"/>
      <c r="AC1511" s="476"/>
      <c r="AD1511" s="568"/>
      <c r="AE1511" s="476"/>
      <c r="AF1511" s="568"/>
      <c r="AG1511" s="476"/>
      <c r="AH1511" s="476"/>
      <c r="AI1511" s="477"/>
      <c r="AJ1511" s="478"/>
      <c r="AK1511" s="479"/>
      <c r="AL1511" s="480"/>
      <c r="AM1511" s="474"/>
      <c r="AN1511" s="481"/>
      <c r="AO1511" s="474"/>
      <c r="AP1511" s="476"/>
      <c r="AQ1511" s="482"/>
      <c r="AR1511" s="478"/>
      <c r="AS1511" s="478"/>
      <c r="AT1511" s="476"/>
      <c r="AU1511" s="482"/>
      <c r="AV1511" s="478"/>
      <c r="AW1511" s="483"/>
      <c r="AX1511" s="476"/>
      <c r="AY1511" s="482"/>
      <c r="AZ1511" s="478"/>
      <c r="BA1511" s="484"/>
      <c r="BB1511" s="474"/>
      <c r="BC1511" s="485"/>
      <c r="BD1511" s="485"/>
      <c r="BG1511" s="487"/>
    </row>
    <row r="1512" spans="1:59" s="526" customFormat="1" ht="18" customHeight="1" x14ac:dyDescent="0.2">
      <c r="A1512" s="1370" t="s">
        <v>4184</v>
      </c>
      <c r="B1512" s="1956" t="s">
        <v>4184</v>
      </c>
      <c r="C1512" s="1957"/>
      <c r="D1512" s="1957"/>
      <c r="E1512" s="1957"/>
      <c r="F1512" s="1958"/>
      <c r="G1512" s="624">
        <f>SUM(G1496:G1511)</f>
        <v>44052567508.340912</v>
      </c>
      <c r="H1512" s="505"/>
      <c r="I1512" s="506"/>
      <c r="J1512" s="507"/>
      <c r="K1512" s="507"/>
      <c r="L1512" s="505"/>
      <c r="M1512" s="684"/>
      <c r="N1512" s="508"/>
      <c r="O1512" s="507"/>
      <c r="P1512" s="749"/>
      <c r="Q1512" s="510"/>
      <c r="R1512" s="511"/>
      <c r="S1512" s="512"/>
      <c r="T1512" s="512"/>
      <c r="U1512" s="610">
        <f>SUM(U1496:U1511)</f>
        <v>29826726425.826412</v>
      </c>
      <c r="V1512" s="513"/>
      <c r="W1512" s="610">
        <f>G1512-U1512</f>
        <v>14225841082.5145</v>
      </c>
      <c r="X1512" s="514"/>
      <c r="Y1512" s="515"/>
      <c r="Z1512" s="515"/>
      <c r="AA1512" s="515"/>
      <c r="AB1512" s="515"/>
      <c r="AC1512" s="515"/>
      <c r="AD1512" s="570"/>
      <c r="AE1512" s="515"/>
      <c r="AF1512" s="570">
        <v>26774786280.019653</v>
      </c>
      <c r="AG1512" s="515"/>
      <c r="AH1512" s="515"/>
      <c r="AI1512" s="516"/>
      <c r="AJ1512" s="517"/>
      <c r="AK1512" s="518"/>
      <c r="AL1512" s="519"/>
      <c r="AM1512" s="520"/>
      <c r="AN1512" s="521"/>
      <c r="AO1512" s="520"/>
      <c r="AP1512" s="515"/>
      <c r="AQ1512" s="522"/>
      <c r="AR1512" s="517"/>
      <c r="AS1512" s="517"/>
      <c r="AT1512" s="515"/>
      <c r="AU1512" s="522"/>
      <c r="AV1512" s="517"/>
      <c r="AW1512" s="523"/>
      <c r="AX1512" s="515"/>
      <c r="AY1512" s="522"/>
      <c r="AZ1512" s="517"/>
      <c r="BA1512" s="524"/>
      <c r="BB1512" s="520"/>
      <c r="BC1512" s="525"/>
      <c r="BD1512" s="525"/>
      <c r="BG1512" s="527"/>
    </row>
    <row r="1515" spans="1:59" s="638" customFormat="1" ht="18" customHeight="1" x14ac:dyDescent="0.2">
      <c r="A1515" s="1366">
        <f>C1515</f>
        <v>259</v>
      </c>
      <c r="B1515" s="1196" t="s">
        <v>4187</v>
      </c>
      <c r="C1515" s="640">
        <v>259</v>
      </c>
      <c r="D1515" s="639" t="str">
        <f>VLOOKUP(C1515,RUAS,2,FALSE)</f>
        <v>SENTAJO - TERATAK AIR HITAM</v>
      </c>
      <c r="E1515" s="639"/>
      <c r="F1515" s="641"/>
      <c r="G1515" s="642"/>
      <c r="I1515" s="643"/>
      <c r="J1515" s="644"/>
      <c r="K1515" s="644"/>
      <c r="M1515" s="747"/>
      <c r="P1515" s="642"/>
      <c r="U1515" s="642"/>
      <c r="W1515" s="642"/>
      <c r="Y1515" s="645"/>
      <c r="Z1515" s="645"/>
      <c r="AA1515" s="645"/>
      <c r="AB1515" s="645"/>
      <c r="AC1515" s="645"/>
      <c r="AD1515" s="646"/>
      <c r="AE1515" s="645"/>
      <c r="AF1515" s="646"/>
      <c r="AG1515" s="645"/>
      <c r="AH1515" s="645"/>
      <c r="AI1515" s="645"/>
      <c r="AJ1515" s="645"/>
      <c r="AK1515" s="645"/>
      <c r="AL1515" s="645"/>
      <c r="AM1515" s="645"/>
      <c r="AN1515" s="645"/>
      <c r="AO1515" s="645"/>
      <c r="AP1515" s="645"/>
      <c r="AQ1515" s="645"/>
      <c r="AR1515" s="645"/>
      <c r="AS1515" s="645"/>
      <c r="AT1515" s="645"/>
      <c r="AU1515" s="645"/>
      <c r="AV1515" s="645"/>
      <c r="AW1515" s="645"/>
      <c r="AX1515" s="645"/>
      <c r="AY1515" s="645"/>
      <c r="AZ1515" s="645"/>
      <c r="BA1515" s="645"/>
      <c r="BB1515" s="645"/>
    </row>
    <row r="1516" spans="1:59" s="431" customFormat="1" ht="18" customHeight="1" x14ac:dyDescent="0.2">
      <c r="A1516" s="1367"/>
      <c r="B1516" s="1968" t="s">
        <v>5</v>
      </c>
      <c r="C1516" s="1968" t="s">
        <v>2280</v>
      </c>
      <c r="D1516" s="1968" t="s">
        <v>4157</v>
      </c>
      <c r="E1516" s="1968" t="s">
        <v>4158</v>
      </c>
      <c r="F1516" s="1968"/>
      <c r="G1516" s="1969" t="s">
        <v>4159</v>
      </c>
      <c r="H1516" s="1968" t="s">
        <v>4160</v>
      </c>
      <c r="I1516" s="1968"/>
      <c r="J1516" s="1968" t="s">
        <v>4185</v>
      </c>
      <c r="K1516" s="1964" t="s">
        <v>4162</v>
      </c>
      <c r="L1516" s="1968" t="s">
        <v>4163</v>
      </c>
      <c r="M1516" s="1971" t="s">
        <v>4164</v>
      </c>
      <c r="N1516" s="1962" t="s">
        <v>4165</v>
      </c>
      <c r="O1516" s="1968" t="s">
        <v>4166</v>
      </c>
      <c r="P1516" s="1972" t="s">
        <v>4167</v>
      </c>
      <c r="Q1516" s="1973"/>
      <c r="R1516" s="833" t="s">
        <v>4186</v>
      </c>
      <c r="S1516" s="1972" t="s">
        <v>4169</v>
      </c>
      <c r="T1516" s="1974"/>
      <c r="U1516" s="1973"/>
      <c r="V1516" s="1975" t="s">
        <v>4170</v>
      </c>
      <c r="W1516" s="1975"/>
      <c r="X1516" s="1960" t="s">
        <v>4171</v>
      </c>
      <c r="Y1516" s="1959"/>
      <c r="Z1516" s="834"/>
      <c r="AA1516" s="426"/>
      <c r="AB1516" s="426"/>
      <c r="AC1516" s="426"/>
      <c r="AD1516" s="564"/>
      <c r="AE1516" s="426"/>
      <c r="AF1516" s="564"/>
      <c r="AG1516" s="426"/>
      <c r="AH1516" s="426"/>
      <c r="AI1516" s="427"/>
      <c r="AJ1516" s="427"/>
      <c r="AK1516" s="427"/>
      <c r="AL1516" s="427"/>
      <c r="AM1516" s="428"/>
      <c r="AN1516" s="427"/>
      <c r="AO1516" s="427"/>
      <c r="AP1516" s="426"/>
      <c r="AQ1516" s="427"/>
      <c r="AR1516" s="427"/>
      <c r="AS1516" s="427"/>
      <c r="AT1516" s="426"/>
      <c r="AU1516" s="427"/>
      <c r="AV1516" s="427"/>
      <c r="AW1516" s="427"/>
      <c r="AX1516" s="426"/>
      <c r="AY1516" s="427"/>
      <c r="AZ1516" s="427"/>
      <c r="BA1516" s="427"/>
      <c r="BB1516" s="429"/>
      <c r="BC1516" s="430"/>
      <c r="BD1516" s="430"/>
    </row>
    <row r="1517" spans="1:59" s="431" customFormat="1" ht="18" customHeight="1" x14ac:dyDescent="0.2">
      <c r="A1517" s="1367"/>
      <c r="B1517" s="1968"/>
      <c r="C1517" s="1968"/>
      <c r="D1517" s="1968"/>
      <c r="E1517" s="1968"/>
      <c r="F1517" s="1968"/>
      <c r="G1517" s="1969"/>
      <c r="H1517" s="1968"/>
      <c r="I1517" s="1968"/>
      <c r="J1517" s="1968"/>
      <c r="K1517" s="1970"/>
      <c r="L1517" s="1968"/>
      <c r="M1517" s="1971"/>
      <c r="N1517" s="1963"/>
      <c r="O1517" s="1968"/>
      <c r="P1517" s="2037" t="s">
        <v>4172</v>
      </c>
      <c r="Q1517" s="1960" t="s">
        <v>4173</v>
      </c>
      <c r="R1517" s="1962" t="s">
        <v>4159</v>
      </c>
      <c r="S1517" s="1962" t="s">
        <v>4174</v>
      </c>
      <c r="T1517" s="1964" t="s">
        <v>4175</v>
      </c>
      <c r="U1517" s="1966" t="s">
        <v>4159</v>
      </c>
      <c r="V1517" s="1975"/>
      <c r="W1517" s="1975"/>
      <c r="X1517" s="1976"/>
      <c r="Y1517" s="1959"/>
      <c r="Z1517" s="834"/>
      <c r="AA1517" s="426"/>
      <c r="AB1517" s="426"/>
      <c r="AC1517" s="426"/>
      <c r="AD1517" s="564"/>
      <c r="AE1517" s="426"/>
      <c r="AF1517" s="564"/>
      <c r="AG1517" s="426"/>
      <c r="AH1517" s="426"/>
      <c r="AI1517" s="427"/>
      <c r="AJ1517" s="427"/>
      <c r="AK1517" s="426"/>
      <c r="AL1517" s="427"/>
      <c r="AM1517" s="428"/>
      <c r="AN1517" s="427"/>
      <c r="AO1517" s="427"/>
      <c r="AP1517" s="432"/>
      <c r="AQ1517" s="427"/>
      <c r="AR1517" s="427"/>
      <c r="AS1517" s="427"/>
      <c r="AT1517" s="432"/>
      <c r="AU1517" s="427"/>
      <c r="AV1517" s="427"/>
      <c r="AW1517" s="427"/>
      <c r="AX1517" s="432"/>
      <c r="AY1517" s="427"/>
      <c r="AZ1517" s="427"/>
      <c r="BA1517" s="427"/>
      <c r="BB1517" s="429"/>
      <c r="BC1517" s="430"/>
      <c r="BD1517" s="430"/>
    </row>
    <row r="1518" spans="1:59" s="431" customFormat="1" ht="18" customHeight="1" x14ac:dyDescent="0.2">
      <c r="A1518" s="1367"/>
      <c r="B1518" s="1968"/>
      <c r="C1518" s="1968"/>
      <c r="D1518" s="1968"/>
      <c r="E1518" s="433" t="s">
        <v>4176</v>
      </c>
      <c r="F1518" s="434" t="s">
        <v>2288</v>
      </c>
      <c r="G1518" s="1969"/>
      <c r="H1518" s="832" t="s">
        <v>2288</v>
      </c>
      <c r="I1518" s="832" t="s">
        <v>4177</v>
      </c>
      <c r="J1518" s="1968"/>
      <c r="K1518" s="1965"/>
      <c r="L1518" s="435" t="s">
        <v>2288</v>
      </c>
      <c r="M1518" s="681" t="s">
        <v>2288</v>
      </c>
      <c r="N1518" s="832" t="s">
        <v>2288</v>
      </c>
      <c r="O1518" s="1968"/>
      <c r="P1518" s="2038"/>
      <c r="Q1518" s="1961"/>
      <c r="R1518" s="1963"/>
      <c r="S1518" s="1963"/>
      <c r="T1518" s="1965"/>
      <c r="U1518" s="1967"/>
      <c r="V1518" s="832" t="s">
        <v>4178</v>
      </c>
      <c r="W1518" s="835" t="s">
        <v>4159</v>
      </c>
      <c r="X1518" s="1961"/>
      <c r="Y1518" s="436"/>
      <c r="Z1518" s="436"/>
      <c r="AA1518" s="426"/>
      <c r="AB1518" s="426"/>
      <c r="AC1518" s="426"/>
      <c r="AD1518" s="564"/>
      <c r="AE1518" s="426"/>
      <c r="AF1518" s="564"/>
      <c r="AG1518" s="426"/>
      <c r="AH1518" s="426"/>
      <c r="AI1518" s="427"/>
      <c r="AJ1518" s="432"/>
      <c r="AK1518" s="432"/>
      <c r="AL1518" s="427"/>
      <c r="AM1518" s="428"/>
      <c r="AN1518" s="432"/>
      <c r="AO1518" s="427"/>
      <c r="AP1518" s="432"/>
      <c r="AQ1518" s="432"/>
      <c r="AR1518" s="427"/>
      <c r="AS1518" s="427"/>
      <c r="AT1518" s="432"/>
      <c r="AU1518" s="432"/>
      <c r="AV1518" s="427"/>
      <c r="AW1518" s="427"/>
      <c r="AX1518" s="432"/>
      <c r="AY1518" s="432"/>
      <c r="AZ1518" s="427"/>
      <c r="BA1518" s="427"/>
      <c r="BB1518" s="429"/>
      <c r="BC1518" s="430"/>
      <c r="BD1518" s="430"/>
    </row>
    <row r="1519" spans="1:59" s="461" customFormat="1" ht="18" customHeight="1" x14ac:dyDescent="0.2">
      <c r="A1519" s="1368" t="str">
        <f>$D$1515&amp;S1519</f>
        <v>SENTAJO - TERATAK AIR HITAM2001</v>
      </c>
      <c r="B1519" s="1373">
        <v>1</v>
      </c>
      <c r="C1519" s="488" t="s">
        <v>4762</v>
      </c>
      <c r="D1519" s="489" t="s">
        <v>3821</v>
      </c>
      <c r="E1519" s="558"/>
      <c r="F1519" s="559">
        <v>2001</v>
      </c>
      <c r="G1519" s="619">
        <v>14883166858.823</v>
      </c>
      <c r="H1519" s="440">
        <f>VLOOKUP(LEFT(D1519,8),UE,4)</f>
        <v>10</v>
      </c>
      <c r="I1519" s="560"/>
      <c r="J1519" s="468">
        <f>F1519+N1519-1</f>
        <v>2010</v>
      </c>
      <c r="K1519" s="595"/>
      <c r="L1519" s="557"/>
      <c r="M1519" s="682">
        <f>IF(H1519+L1519&gt;$H1519,$H1519-H1519,L1519)</f>
        <v>0</v>
      </c>
      <c r="N1519" s="584">
        <f>H1519+M1519</f>
        <v>10</v>
      </c>
      <c r="O1519" s="468">
        <f>F1519+N1519-1</f>
        <v>2010</v>
      </c>
      <c r="P1519" s="616">
        <f>G1519</f>
        <v>14883166858.823</v>
      </c>
      <c r="Q1519" s="472">
        <v>0</v>
      </c>
      <c r="R1519" s="472">
        <f>P1519/N1519</f>
        <v>1488316685.8822999</v>
      </c>
      <c r="S1519" s="596">
        <f>F1519</f>
        <v>2001</v>
      </c>
      <c r="T1519" s="470">
        <v>1</v>
      </c>
      <c r="U1519" s="612">
        <f>R1519*T1519</f>
        <v>1488316685.8822999</v>
      </c>
      <c r="V1519" s="468">
        <f>F1519</f>
        <v>2001</v>
      </c>
      <c r="W1519" s="616">
        <f>IF(OR(AND(ISBLANK(E1519),ISBLANK(G1519)),ISTEXT(E1519),ISTEXT(G1519)),"",G1519-R1519)</f>
        <v>13394850172.940701</v>
      </c>
      <c r="X1519" s="561"/>
      <c r="Y1519" s="449"/>
      <c r="Z1519" s="449"/>
      <c r="AA1519" s="450" t="s">
        <v>4179</v>
      </c>
      <c r="AB1519" s="451"/>
      <c r="AC1519" s="451"/>
      <c r="AD1519" s="565"/>
      <c r="AE1519" s="452"/>
      <c r="AF1519" s="571"/>
      <c r="AG1519" s="452"/>
      <c r="AH1519" s="452"/>
      <c r="AI1519" s="453"/>
      <c r="AJ1519" s="449"/>
      <c r="AK1519" s="453"/>
      <c r="AL1519" s="454"/>
      <c r="AM1519" s="455"/>
      <c r="AN1519" s="456"/>
      <c r="AO1519" s="455"/>
      <c r="AP1519" s="452"/>
      <c r="AQ1519" s="457"/>
      <c r="AR1519" s="449"/>
      <c r="AS1519" s="449"/>
      <c r="AT1519" s="452"/>
      <c r="AU1519" s="457"/>
      <c r="AV1519" s="449"/>
      <c r="AW1519" s="458"/>
      <c r="AX1519" s="452"/>
      <c r="AY1519" s="457"/>
      <c r="AZ1519" s="449"/>
      <c r="BA1519" s="459"/>
      <c r="BB1519" s="455"/>
      <c r="BC1519" s="460"/>
      <c r="BD1519" s="460"/>
      <c r="BG1519" s="462"/>
    </row>
    <row r="1520" spans="1:59" s="461" customFormat="1" ht="18" customHeight="1" x14ac:dyDescent="0.2">
      <c r="A1520" s="1368" t="str">
        <f t="shared" ref="A1520:A1531" si="1126">$D$1515&amp;S1520</f>
        <v>SENTAJO - TERATAK AIR HITAM2007</v>
      </c>
      <c r="B1520" s="1373"/>
      <c r="C1520" s="488"/>
      <c r="D1520" s="489"/>
      <c r="E1520" s="558"/>
      <c r="F1520" s="559">
        <v>2007</v>
      </c>
      <c r="G1520" s="619">
        <v>0</v>
      </c>
      <c r="H1520" s="464">
        <f>IF(N1519-(F1520-F1519)&lt;=0,0,(N1519-(F1520-F1519)))</f>
        <v>4</v>
      </c>
      <c r="I1520" s="560"/>
      <c r="J1520" s="468">
        <f>F1520+N1520-1</f>
        <v>2010</v>
      </c>
      <c r="K1520" s="490">
        <f>IF(G1520=0,0,IF(H1520=10,100%,G1520/W1519))</f>
        <v>0</v>
      </c>
      <c r="L1520" s="469">
        <f>IF(K1520=0%,0,IF(K1520&lt;=30%,2,IF(K1520&lt;=60%,5,10)))</f>
        <v>0</v>
      </c>
      <c r="M1520" s="682">
        <f>IF(H1520+L1520&gt;$H1520,$H1520-H1520,L1520)</f>
        <v>0</v>
      </c>
      <c r="N1520" s="584">
        <f>H1520+M1520</f>
        <v>4</v>
      </c>
      <c r="O1520" s="468">
        <f>F1520+N1520-1</f>
        <v>2010</v>
      </c>
      <c r="P1520" s="616">
        <f>W1519</f>
        <v>13394850172.940701</v>
      </c>
      <c r="Q1520" s="472">
        <f>P1520+G1520</f>
        <v>13394850172.940701</v>
      </c>
      <c r="R1520" s="472">
        <f>IF(L1520=0,R1519,Q1520/N1520)</f>
        <v>1488316685.8822999</v>
      </c>
      <c r="S1520" s="596">
        <f>F1520</f>
        <v>2007</v>
      </c>
      <c r="T1520" s="470">
        <f>S1520-S1519</f>
        <v>6</v>
      </c>
      <c r="U1520" s="612">
        <f>R1520*T1520</f>
        <v>8929900115.2938004</v>
      </c>
      <c r="V1520" s="468">
        <f>F1520</f>
        <v>2007</v>
      </c>
      <c r="W1520" s="612">
        <f>IF(OR(AND(ISBLANK(E1520),ISBLANK(G1520)),ISTEXT(E1520),ISTEXT(G1520)),"",Q1520-U1520)</f>
        <v>4464950057.6469002</v>
      </c>
      <c r="X1520" s="561"/>
      <c r="Y1520" s="449"/>
      <c r="Z1520" s="449"/>
      <c r="AA1520" s="554"/>
      <c r="AB1520" s="452"/>
      <c r="AC1520" s="452"/>
      <c r="AD1520" s="566"/>
      <c r="AE1520" s="452"/>
      <c r="AF1520" s="571"/>
      <c r="AG1520" s="452"/>
      <c r="AH1520" s="452"/>
      <c r="AI1520" s="453"/>
      <c r="AJ1520" s="449"/>
      <c r="AK1520" s="453"/>
      <c r="AL1520" s="454"/>
      <c r="AM1520" s="455"/>
      <c r="AN1520" s="456"/>
      <c r="AO1520" s="455"/>
      <c r="AP1520" s="452"/>
      <c r="AQ1520" s="457"/>
      <c r="AR1520" s="449"/>
      <c r="AS1520" s="449"/>
      <c r="AT1520" s="452"/>
      <c r="AU1520" s="457"/>
      <c r="AV1520" s="449"/>
      <c r="AW1520" s="458"/>
      <c r="AX1520" s="452"/>
      <c r="AY1520" s="457"/>
      <c r="AZ1520" s="449"/>
      <c r="BA1520" s="459"/>
      <c r="BB1520" s="455"/>
      <c r="BC1520" s="460"/>
      <c r="BD1520" s="460"/>
      <c r="BG1520" s="462"/>
    </row>
    <row r="1521" spans="1:59" s="461" customFormat="1" ht="18" customHeight="1" x14ac:dyDescent="0.2">
      <c r="A1521" s="1368" t="str">
        <f t="shared" si="1126"/>
        <v>SENTAJO - TERATAK AIR HITAM2008</v>
      </c>
      <c r="B1521" s="1373"/>
      <c r="C1521" s="488" t="s">
        <v>5179</v>
      </c>
      <c r="D1521" s="489"/>
      <c r="E1521" s="558"/>
      <c r="F1521" s="559">
        <v>2008</v>
      </c>
      <c r="G1521" s="619">
        <v>1471211348.1665983</v>
      </c>
      <c r="H1521" s="464">
        <f t="shared" ref="H1521:H1530" si="1127">IF(N1520-(F1521-F1520)&lt;=0,0,(N1520-(F1521-F1520)))</f>
        <v>3</v>
      </c>
      <c r="I1521" s="560"/>
      <c r="J1521" s="468">
        <f t="shared" ref="J1521:J1530" si="1128">F1521+N1521-1</f>
        <v>2010</v>
      </c>
      <c r="K1521" s="490">
        <f t="shared" ref="K1521:K1530" si="1129">IF(G1521=0,0,IF(H1521=10,100%,G1521/W1520))</f>
        <v>0.32950230779108652</v>
      </c>
      <c r="L1521" s="469">
        <f t="shared" ref="L1521:L1530" si="1130">IF(K1521=0%,0,IF(K1521&lt;=30%,2,IF(K1521&lt;=60%,5,10)))</f>
        <v>5</v>
      </c>
      <c r="M1521" s="682">
        <f t="shared" ref="M1521:M1530" si="1131">IF(H1521+L1521&gt;$H1521,$H1521-H1521,L1521)</f>
        <v>0</v>
      </c>
      <c r="N1521" s="584">
        <f t="shared" ref="N1521:N1530" si="1132">H1521+M1521</f>
        <v>3</v>
      </c>
      <c r="O1521" s="468">
        <f t="shared" ref="O1521:O1530" si="1133">F1521+N1521-1</f>
        <v>2010</v>
      </c>
      <c r="P1521" s="616">
        <f t="shared" ref="P1521:P1530" si="1134">W1520</f>
        <v>4464950057.6469002</v>
      </c>
      <c r="Q1521" s="472">
        <f t="shared" ref="Q1521:Q1530" si="1135">P1521+G1521</f>
        <v>5936161405.8134985</v>
      </c>
      <c r="R1521" s="472">
        <f t="shared" ref="R1521:R1530" si="1136">IF(L1521=0,R1520,Q1521/N1521)</f>
        <v>1978720468.6044996</v>
      </c>
      <c r="S1521" s="596">
        <f t="shared" ref="S1521:S1530" si="1137">F1521</f>
        <v>2008</v>
      </c>
      <c r="T1521" s="470">
        <f t="shared" ref="T1521:T1530" si="1138">S1521-S1520</f>
        <v>1</v>
      </c>
      <c r="U1521" s="612">
        <f t="shared" ref="U1521:U1530" si="1139">R1521*T1521</f>
        <v>1978720468.6044996</v>
      </c>
      <c r="V1521" s="468">
        <f t="shared" ref="V1521:V1530" si="1140">F1521</f>
        <v>2008</v>
      </c>
      <c r="W1521" s="612">
        <f t="shared" ref="W1521:W1530" si="1141">IF(OR(AND(ISBLANK(E1521),ISBLANK(G1521)),ISTEXT(E1521),ISTEXT(G1521)),"",Q1521-U1521)</f>
        <v>3957440937.2089987</v>
      </c>
      <c r="X1521" s="561"/>
      <c r="Y1521" s="449"/>
      <c r="Z1521" s="449"/>
      <c r="AA1521" s="554"/>
      <c r="AB1521" s="452"/>
      <c r="AC1521" s="452"/>
      <c r="AD1521" s="566"/>
      <c r="AE1521" s="452"/>
      <c r="AF1521" s="571"/>
      <c r="AG1521" s="452"/>
      <c r="AH1521" s="452"/>
      <c r="AI1521" s="453"/>
      <c r="AJ1521" s="449"/>
      <c r="AK1521" s="453"/>
      <c r="AL1521" s="454"/>
      <c r="AM1521" s="455"/>
      <c r="AN1521" s="456"/>
      <c r="AO1521" s="455"/>
      <c r="AP1521" s="452"/>
      <c r="AQ1521" s="457"/>
      <c r="AR1521" s="449"/>
      <c r="AS1521" s="449"/>
      <c r="AT1521" s="452"/>
      <c r="AU1521" s="457"/>
      <c r="AV1521" s="449"/>
      <c r="AW1521" s="458"/>
      <c r="AX1521" s="452"/>
      <c r="AY1521" s="457"/>
      <c r="AZ1521" s="449"/>
      <c r="BA1521" s="459"/>
      <c r="BB1521" s="455"/>
      <c r="BC1521" s="460"/>
      <c r="BD1521" s="460"/>
      <c r="BG1521" s="462"/>
    </row>
    <row r="1522" spans="1:59" s="461" customFormat="1" ht="18" customHeight="1" x14ac:dyDescent="0.2">
      <c r="A1522" s="1368" t="str">
        <f t="shared" si="1126"/>
        <v>SENTAJO - TERATAK AIR HITAM2009</v>
      </c>
      <c r="B1522" s="1373"/>
      <c r="C1522" s="488" t="s">
        <v>5180</v>
      </c>
      <c r="D1522" s="489"/>
      <c r="E1522" s="558"/>
      <c r="F1522" s="559">
        <v>2009</v>
      </c>
      <c r="G1522" s="619">
        <v>1701943169.1568999</v>
      </c>
      <c r="H1522" s="464">
        <f t="shared" si="1127"/>
        <v>2</v>
      </c>
      <c r="I1522" s="560"/>
      <c r="J1522" s="468">
        <f t="shared" si="1128"/>
        <v>2010</v>
      </c>
      <c r="K1522" s="490">
        <f t="shared" si="1129"/>
        <v>0.4300615463783023</v>
      </c>
      <c r="L1522" s="469">
        <f t="shared" si="1130"/>
        <v>5</v>
      </c>
      <c r="M1522" s="682">
        <f t="shared" si="1131"/>
        <v>0</v>
      </c>
      <c r="N1522" s="584">
        <f t="shared" si="1132"/>
        <v>2</v>
      </c>
      <c r="O1522" s="468">
        <f t="shared" si="1133"/>
        <v>2010</v>
      </c>
      <c r="P1522" s="616">
        <f t="shared" si="1134"/>
        <v>3957440937.2089987</v>
      </c>
      <c r="Q1522" s="472">
        <f t="shared" si="1135"/>
        <v>5659384106.3658981</v>
      </c>
      <c r="R1522" s="472">
        <f t="shared" si="1136"/>
        <v>2829692053.1829491</v>
      </c>
      <c r="S1522" s="596">
        <f t="shared" si="1137"/>
        <v>2009</v>
      </c>
      <c r="T1522" s="470">
        <f t="shared" si="1138"/>
        <v>1</v>
      </c>
      <c r="U1522" s="612">
        <f t="shared" si="1139"/>
        <v>2829692053.1829491</v>
      </c>
      <c r="V1522" s="468">
        <f t="shared" si="1140"/>
        <v>2009</v>
      </c>
      <c r="W1522" s="612">
        <f t="shared" si="1141"/>
        <v>2829692053.1829491</v>
      </c>
      <c r="X1522" s="561"/>
      <c r="Y1522" s="449"/>
      <c r="Z1522" s="449"/>
      <c r="AA1522" s="554"/>
      <c r="AB1522" s="452"/>
      <c r="AC1522" s="452"/>
      <c r="AD1522" s="566"/>
      <c r="AE1522" s="452"/>
      <c r="AF1522" s="571"/>
      <c r="AG1522" s="452"/>
      <c r="AH1522" s="452"/>
      <c r="AI1522" s="453"/>
      <c r="AJ1522" s="449"/>
      <c r="AK1522" s="453"/>
      <c r="AL1522" s="454"/>
      <c r="AM1522" s="455"/>
      <c r="AN1522" s="456"/>
      <c r="AO1522" s="455"/>
      <c r="AP1522" s="452"/>
      <c r="AQ1522" s="457"/>
      <c r="AR1522" s="449"/>
      <c r="AS1522" s="449"/>
      <c r="AT1522" s="452"/>
      <c r="AU1522" s="457"/>
      <c r="AV1522" s="449"/>
      <c r="AW1522" s="458"/>
      <c r="AX1522" s="452"/>
      <c r="AY1522" s="457"/>
      <c r="AZ1522" s="449"/>
      <c r="BA1522" s="459"/>
      <c r="BB1522" s="455"/>
      <c r="BC1522" s="460"/>
      <c r="BD1522" s="460"/>
      <c r="BG1522" s="462"/>
    </row>
    <row r="1523" spans="1:59" s="461" customFormat="1" ht="18" customHeight="1" x14ac:dyDescent="0.2">
      <c r="A1523" s="1368" t="str">
        <f t="shared" si="1126"/>
        <v>SENTAJO - TERATAK AIR HITAM2010</v>
      </c>
      <c r="B1523" s="1373"/>
      <c r="C1523" s="488"/>
      <c r="D1523" s="489"/>
      <c r="E1523" s="558"/>
      <c r="F1523" s="559">
        <v>2010</v>
      </c>
      <c r="G1523" s="619">
        <v>0</v>
      </c>
      <c r="H1523" s="464">
        <f t="shared" si="1127"/>
        <v>1</v>
      </c>
      <c r="I1523" s="560"/>
      <c r="J1523" s="468">
        <f t="shared" si="1128"/>
        <v>2010</v>
      </c>
      <c r="K1523" s="490">
        <f t="shared" si="1129"/>
        <v>0</v>
      </c>
      <c r="L1523" s="469">
        <f t="shared" si="1130"/>
        <v>0</v>
      </c>
      <c r="M1523" s="682">
        <f t="shared" si="1131"/>
        <v>0</v>
      </c>
      <c r="N1523" s="584">
        <f t="shared" si="1132"/>
        <v>1</v>
      </c>
      <c r="O1523" s="468">
        <f t="shared" si="1133"/>
        <v>2010</v>
      </c>
      <c r="P1523" s="616">
        <f t="shared" si="1134"/>
        <v>2829692053.1829491</v>
      </c>
      <c r="Q1523" s="472">
        <f t="shared" si="1135"/>
        <v>2829692053.1829491</v>
      </c>
      <c r="R1523" s="472">
        <f t="shared" si="1136"/>
        <v>2829692053.1829491</v>
      </c>
      <c r="S1523" s="596">
        <f t="shared" si="1137"/>
        <v>2010</v>
      </c>
      <c r="T1523" s="470">
        <f t="shared" si="1138"/>
        <v>1</v>
      </c>
      <c r="U1523" s="612">
        <f t="shared" si="1139"/>
        <v>2829692053.1829491</v>
      </c>
      <c r="V1523" s="468">
        <f t="shared" si="1140"/>
        <v>2010</v>
      </c>
      <c r="W1523" s="612">
        <f t="shared" si="1141"/>
        <v>0</v>
      </c>
      <c r="X1523" s="561"/>
      <c r="Y1523" s="449"/>
      <c r="Z1523" s="449"/>
      <c r="AA1523" s="554"/>
      <c r="AB1523" s="452"/>
      <c r="AC1523" s="452"/>
      <c r="AD1523" s="566"/>
      <c r="AE1523" s="452"/>
      <c r="AF1523" s="571"/>
      <c r="AG1523" s="452"/>
      <c r="AH1523" s="452"/>
      <c r="AI1523" s="453"/>
      <c r="AJ1523" s="449"/>
      <c r="AK1523" s="453"/>
      <c r="AL1523" s="454"/>
      <c r="AM1523" s="455"/>
      <c r="AN1523" s="456"/>
      <c r="AO1523" s="455"/>
      <c r="AP1523" s="452"/>
      <c r="AQ1523" s="457"/>
      <c r="AR1523" s="449"/>
      <c r="AS1523" s="449"/>
      <c r="AT1523" s="452"/>
      <c r="AU1523" s="457"/>
      <c r="AV1523" s="449"/>
      <c r="AW1523" s="458"/>
      <c r="AX1523" s="452"/>
      <c r="AY1523" s="457"/>
      <c r="AZ1523" s="449"/>
      <c r="BA1523" s="459"/>
      <c r="BB1523" s="455"/>
      <c r="BC1523" s="460"/>
      <c r="BD1523" s="460"/>
      <c r="BG1523" s="462"/>
    </row>
    <row r="1524" spans="1:59" s="461" customFormat="1" ht="18" customHeight="1" x14ac:dyDescent="0.2">
      <c r="A1524" s="1368" t="str">
        <f t="shared" si="1126"/>
        <v>SENTAJO - TERATAK AIR HITAM2011</v>
      </c>
      <c r="B1524" s="1373"/>
      <c r="C1524" s="488"/>
      <c r="D1524" s="489"/>
      <c r="E1524" s="558"/>
      <c r="F1524" s="559">
        <v>2011</v>
      </c>
      <c r="G1524" s="619">
        <v>0</v>
      </c>
      <c r="H1524" s="464">
        <f t="shared" si="1127"/>
        <v>0</v>
      </c>
      <c r="I1524" s="560"/>
      <c r="J1524" s="468">
        <f t="shared" si="1128"/>
        <v>2010</v>
      </c>
      <c r="K1524" s="490">
        <f t="shared" si="1129"/>
        <v>0</v>
      </c>
      <c r="L1524" s="469">
        <f t="shared" si="1130"/>
        <v>0</v>
      </c>
      <c r="M1524" s="682">
        <f t="shared" si="1131"/>
        <v>0</v>
      </c>
      <c r="N1524" s="584">
        <f t="shared" si="1132"/>
        <v>0</v>
      </c>
      <c r="O1524" s="468">
        <f t="shared" si="1133"/>
        <v>2010</v>
      </c>
      <c r="P1524" s="616">
        <f t="shared" si="1134"/>
        <v>0</v>
      </c>
      <c r="Q1524" s="472">
        <f t="shared" si="1135"/>
        <v>0</v>
      </c>
      <c r="R1524" s="472">
        <v>0</v>
      </c>
      <c r="S1524" s="596">
        <f t="shared" si="1137"/>
        <v>2011</v>
      </c>
      <c r="T1524" s="470">
        <f t="shared" si="1138"/>
        <v>1</v>
      </c>
      <c r="U1524" s="612">
        <f t="shared" si="1139"/>
        <v>0</v>
      </c>
      <c r="V1524" s="468">
        <f t="shared" si="1140"/>
        <v>2011</v>
      </c>
      <c r="W1524" s="612">
        <f t="shared" si="1141"/>
        <v>0</v>
      </c>
      <c r="X1524" s="561"/>
      <c r="Y1524" s="449"/>
      <c r="Z1524" s="449"/>
      <c r="AA1524" s="554"/>
      <c r="AB1524" s="452"/>
      <c r="AC1524" s="452"/>
      <c r="AD1524" s="566"/>
      <c r="AE1524" s="452"/>
      <c r="AF1524" s="571"/>
      <c r="AG1524" s="452"/>
      <c r="AH1524" s="452"/>
      <c r="AI1524" s="453"/>
      <c r="AJ1524" s="449"/>
      <c r="AK1524" s="453"/>
      <c r="AL1524" s="454"/>
      <c r="AM1524" s="455"/>
      <c r="AN1524" s="456"/>
      <c r="AO1524" s="455"/>
      <c r="AP1524" s="452"/>
      <c r="AQ1524" s="457"/>
      <c r="AR1524" s="449"/>
      <c r="AS1524" s="449"/>
      <c r="AT1524" s="452"/>
      <c r="AU1524" s="457"/>
      <c r="AV1524" s="449"/>
      <c r="AW1524" s="458"/>
      <c r="AX1524" s="452"/>
      <c r="AY1524" s="457"/>
      <c r="AZ1524" s="449"/>
      <c r="BA1524" s="459"/>
      <c r="BB1524" s="455"/>
      <c r="BC1524" s="460"/>
      <c r="BD1524" s="460"/>
      <c r="BG1524" s="462"/>
    </row>
    <row r="1525" spans="1:59" s="461" customFormat="1" ht="18" customHeight="1" x14ac:dyDescent="0.2">
      <c r="A1525" s="1368" t="str">
        <f t="shared" si="1126"/>
        <v>SENTAJO - TERATAK AIR HITAM2013</v>
      </c>
      <c r="B1525" s="1373"/>
      <c r="C1525" s="488"/>
      <c r="D1525" s="489"/>
      <c r="E1525" s="558"/>
      <c r="F1525" s="559">
        <v>2013</v>
      </c>
      <c r="G1525" s="619">
        <v>0</v>
      </c>
      <c r="H1525" s="464">
        <f t="shared" si="1127"/>
        <v>0</v>
      </c>
      <c r="I1525" s="560"/>
      <c r="J1525" s="468">
        <f t="shared" si="1128"/>
        <v>2012</v>
      </c>
      <c r="K1525" s="490">
        <f t="shared" si="1129"/>
        <v>0</v>
      </c>
      <c r="L1525" s="469">
        <f t="shared" si="1130"/>
        <v>0</v>
      </c>
      <c r="M1525" s="682">
        <f t="shared" si="1131"/>
        <v>0</v>
      </c>
      <c r="N1525" s="584">
        <f t="shared" si="1132"/>
        <v>0</v>
      </c>
      <c r="O1525" s="468">
        <f t="shared" si="1133"/>
        <v>2012</v>
      </c>
      <c r="P1525" s="616">
        <f t="shared" si="1134"/>
        <v>0</v>
      </c>
      <c r="Q1525" s="472">
        <f t="shared" si="1135"/>
        <v>0</v>
      </c>
      <c r="R1525" s="472">
        <f t="shared" si="1136"/>
        <v>0</v>
      </c>
      <c r="S1525" s="596">
        <f t="shared" si="1137"/>
        <v>2013</v>
      </c>
      <c r="T1525" s="470">
        <f t="shared" si="1138"/>
        <v>2</v>
      </c>
      <c r="U1525" s="612">
        <f t="shared" si="1139"/>
        <v>0</v>
      </c>
      <c r="V1525" s="468">
        <f t="shared" si="1140"/>
        <v>2013</v>
      </c>
      <c r="W1525" s="612">
        <f t="shared" si="1141"/>
        <v>0</v>
      </c>
      <c r="X1525" s="561"/>
      <c r="Y1525" s="449"/>
      <c r="Z1525" s="449"/>
      <c r="AA1525" s="554"/>
      <c r="AB1525" s="452"/>
      <c r="AC1525" s="452"/>
      <c r="AD1525" s="566"/>
      <c r="AE1525" s="452"/>
      <c r="AF1525" s="571"/>
      <c r="AG1525" s="452"/>
      <c r="AH1525" s="452"/>
      <c r="AI1525" s="453"/>
      <c r="AJ1525" s="449"/>
      <c r="AK1525" s="453"/>
      <c r="AL1525" s="454"/>
      <c r="AM1525" s="455"/>
      <c r="AN1525" s="456"/>
      <c r="AO1525" s="455"/>
      <c r="AP1525" s="452"/>
      <c r="AQ1525" s="457"/>
      <c r="AR1525" s="449"/>
      <c r="AS1525" s="449"/>
      <c r="AT1525" s="452"/>
      <c r="AU1525" s="457"/>
      <c r="AV1525" s="449"/>
      <c r="AW1525" s="458"/>
      <c r="AX1525" s="452"/>
      <c r="AY1525" s="457"/>
      <c r="AZ1525" s="449"/>
      <c r="BA1525" s="459"/>
      <c r="BB1525" s="455"/>
      <c r="BC1525" s="460"/>
      <c r="BD1525" s="460"/>
      <c r="BG1525" s="462"/>
    </row>
    <row r="1526" spans="1:59" s="461" customFormat="1" ht="18" customHeight="1" x14ac:dyDescent="0.2">
      <c r="A1526" s="1368" t="str">
        <f t="shared" si="1126"/>
        <v>SENTAJO - TERATAK AIR HITAM2014</v>
      </c>
      <c r="B1526" s="1373"/>
      <c r="C1526" s="488"/>
      <c r="D1526" s="489"/>
      <c r="E1526" s="558"/>
      <c r="F1526" s="559">
        <v>2014</v>
      </c>
      <c r="G1526" s="619">
        <v>0</v>
      </c>
      <c r="H1526" s="464">
        <f t="shared" si="1127"/>
        <v>0</v>
      </c>
      <c r="I1526" s="560"/>
      <c r="J1526" s="468">
        <f t="shared" si="1128"/>
        <v>2013</v>
      </c>
      <c r="K1526" s="490">
        <f t="shared" si="1129"/>
        <v>0</v>
      </c>
      <c r="L1526" s="469">
        <f t="shared" si="1130"/>
        <v>0</v>
      </c>
      <c r="M1526" s="682">
        <f t="shared" si="1131"/>
        <v>0</v>
      </c>
      <c r="N1526" s="584">
        <f t="shared" si="1132"/>
        <v>0</v>
      </c>
      <c r="O1526" s="468">
        <f t="shared" si="1133"/>
        <v>2013</v>
      </c>
      <c r="P1526" s="616">
        <f t="shared" si="1134"/>
        <v>0</v>
      </c>
      <c r="Q1526" s="472">
        <f t="shared" si="1135"/>
        <v>0</v>
      </c>
      <c r="R1526" s="472">
        <f t="shared" si="1136"/>
        <v>0</v>
      </c>
      <c r="S1526" s="596">
        <f t="shared" si="1137"/>
        <v>2014</v>
      </c>
      <c r="T1526" s="470">
        <f t="shared" si="1138"/>
        <v>1</v>
      </c>
      <c r="U1526" s="612">
        <f t="shared" si="1139"/>
        <v>0</v>
      </c>
      <c r="V1526" s="468">
        <f t="shared" si="1140"/>
        <v>2014</v>
      </c>
      <c r="W1526" s="612">
        <f t="shared" si="1141"/>
        <v>0</v>
      </c>
      <c r="X1526" s="561"/>
      <c r="Y1526" s="449"/>
      <c r="Z1526" s="449"/>
      <c r="AA1526" s="554"/>
      <c r="AB1526" s="452"/>
      <c r="AC1526" s="452"/>
      <c r="AD1526" s="566"/>
      <c r="AE1526" s="452"/>
      <c r="AF1526" s="571"/>
      <c r="AG1526" s="452"/>
      <c r="AH1526" s="452"/>
      <c r="AI1526" s="453"/>
      <c r="AJ1526" s="449"/>
      <c r="AK1526" s="453"/>
      <c r="AL1526" s="454"/>
      <c r="AM1526" s="455"/>
      <c r="AN1526" s="456"/>
      <c r="AO1526" s="455"/>
      <c r="AP1526" s="452"/>
      <c r="AQ1526" s="457"/>
      <c r="AR1526" s="449"/>
      <c r="AS1526" s="449"/>
      <c r="AT1526" s="452"/>
      <c r="AU1526" s="457"/>
      <c r="AV1526" s="449"/>
      <c r="AW1526" s="458"/>
      <c r="AX1526" s="452"/>
      <c r="AY1526" s="457"/>
      <c r="AZ1526" s="449"/>
      <c r="BA1526" s="459"/>
      <c r="BB1526" s="455"/>
      <c r="BC1526" s="460"/>
      <c r="BD1526" s="460"/>
      <c r="BG1526" s="462"/>
    </row>
    <row r="1527" spans="1:59" s="486" customFormat="1" ht="18" customHeight="1" x14ac:dyDescent="0.2">
      <c r="A1527" s="1368" t="str">
        <f t="shared" si="1126"/>
        <v>SENTAJO - TERATAK AIR HITAM2015</v>
      </c>
      <c r="B1527" s="1373"/>
      <c r="C1527" s="488" t="s">
        <v>1357</v>
      </c>
      <c r="D1527" s="489" t="s">
        <v>3821</v>
      </c>
      <c r="E1527" s="558"/>
      <c r="F1527" s="559">
        <v>2015</v>
      </c>
      <c r="G1527" s="619">
        <v>2691692465</v>
      </c>
      <c r="H1527" s="557">
        <f>VLOOKUP(LEFT(D1527,8),UE,4)</f>
        <v>10</v>
      </c>
      <c r="I1527" s="560"/>
      <c r="J1527" s="468">
        <f t="shared" si="1128"/>
        <v>2024</v>
      </c>
      <c r="K1527" s="490">
        <f t="shared" si="1129"/>
        <v>1</v>
      </c>
      <c r="L1527" s="469">
        <f t="shared" si="1130"/>
        <v>10</v>
      </c>
      <c r="M1527" s="682">
        <f t="shared" si="1131"/>
        <v>0</v>
      </c>
      <c r="N1527" s="584">
        <f t="shared" si="1132"/>
        <v>10</v>
      </c>
      <c r="O1527" s="468">
        <f t="shared" si="1133"/>
        <v>2024</v>
      </c>
      <c r="P1527" s="616">
        <f t="shared" si="1134"/>
        <v>0</v>
      </c>
      <c r="Q1527" s="472">
        <f t="shared" si="1135"/>
        <v>2691692465</v>
      </c>
      <c r="R1527" s="472">
        <f t="shared" si="1136"/>
        <v>269169246.5</v>
      </c>
      <c r="S1527" s="596">
        <f t="shared" si="1137"/>
        <v>2015</v>
      </c>
      <c r="T1527" s="470">
        <f t="shared" si="1138"/>
        <v>1</v>
      </c>
      <c r="U1527" s="612">
        <f t="shared" si="1139"/>
        <v>269169246.5</v>
      </c>
      <c r="V1527" s="468">
        <f t="shared" si="1140"/>
        <v>2015</v>
      </c>
      <c r="W1527" s="612">
        <f t="shared" si="1141"/>
        <v>2422523218.5</v>
      </c>
      <c r="X1527" s="561"/>
      <c r="Y1527" s="474"/>
      <c r="Z1527" s="449"/>
      <c r="AA1527" s="475" t="s">
        <v>4180</v>
      </c>
      <c r="AB1527" s="476"/>
      <c r="AC1527" s="476"/>
      <c r="AD1527" s="567">
        <f>G1534</f>
        <v>20937818441.146496</v>
      </c>
      <c r="AE1527" s="476"/>
      <c r="AF1527" s="568"/>
      <c r="AG1527" s="476"/>
      <c r="AH1527" s="476"/>
      <c r="AI1527" s="477"/>
      <c r="AJ1527" s="478"/>
      <c r="AK1527" s="479"/>
      <c r="AL1527" s="480"/>
      <c r="AM1527" s="474"/>
      <c r="AN1527" s="481"/>
      <c r="AO1527" s="474"/>
      <c r="AP1527" s="476"/>
      <c r="AQ1527" s="482"/>
      <c r="AR1527" s="478"/>
      <c r="AS1527" s="478"/>
      <c r="AT1527" s="476"/>
      <c r="AU1527" s="482"/>
      <c r="AV1527" s="478"/>
      <c r="AW1527" s="483"/>
      <c r="AX1527" s="476"/>
      <c r="AY1527" s="482"/>
      <c r="AZ1527" s="478"/>
      <c r="BA1527" s="484"/>
      <c r="BB1527" s="474"/>
      <c r="BC1527" s="485"/>
      <c r="BD1527" s="485"/>
      <c r="BG1527" s="487"/>
    </row>
    <row r="1528" spans="1:59" s="486" customFormat="1" ht="18" customHeight="1" x14ac:dyDescent="0.2">
      <c r="A1528" s="1368" t="str">
        <f t="shared" si="1126"/>
        <v>SENTAJO - TERATAK AIR HITAM2016</v>
      </c>
      <c r="B1528" s="1373"/>
      <c r="C1528" s="488"/>
      <c r="D1528" s="489"/>
      <c r="E1528" s="558"/>
      <c r="F1528" s="559">
        <v>2016</v>
      </c>
      <c r="G1528" s="619">
        <v>0</v>
      </c>
      <c r="H1528" s="464">
        <f t="shared" si="1127"/>
        <v>9</v>
      </c>
      <c r="I1528" s="560"/>
      <c r="J1528" s="468">
        <f t="shared" si="1128"/>
        <v>2024</v>
      </c>
      <c r="K1528" s="490">
        <f t="shared" si="1129"/>
        <v>0</v>
      </c>
      <c r="L1528" s="469">
        <f t="shared" si="1130"/>
        <v>0</v>
      </c>
      <c r="M1528" s="682">
        <f t="shared" si="1131"/>
        <v>0</v>
      </c>
      <c r="N1528" s="584">
        <f t="shared" si="1132"/>
        <v>9</v>
      </c>
      <c r="O1528" s="468">
        <f t="shared" si="1133"/>
        <v>2024</v>
      </c>
      <c r="P1528" s="616">
        <f t="shared" si="1134"/>
        <v>2422523218.5</v>
      </c>
      <c r="Q1528" s="472">
        <f t="shared" si="1135"/>
        <v>2422523218.5</v>
      </c>
      <c r="R1528" s="472">
        <f t="shared" si="1136"/>
        <v>269169246.5</v>
      </c>
      <c r="S1528" s="596">
        <f t="shared" si="1137"/>
        <v>2016</v>
      </c>
      <c r="T1528" s="470">
        <f t="shared" si="1138"/>
        <v>1</v>
      </c>
      <c r="U1528" s="612">
        <f t="shared" si="1139"/>
        <v>269169246.5</v>
      </c>
      <c r="V1528" s="468">
        <f t="shared" si="1140"/>
        <v>2016</v>
      </c>
      <c r="W1528" s="612">
        <f t="shared" si="1141"/>
        <v>2153353972</v>
      </c>
      <c r="X1528" s="561"/>
      <c r="Y1528" s="474"/>
      <c r="Z1528" s="449"/>
      <c r="AA1528" s="475"/>
      <c r="AB1528" s="476"/>
      <c r="AC1528" s="476"/>
      <c r="AD1528" s="567"/>
      <c r="AE1528" s="476"/>
      <c r="AF1528" s="568"/>
      <c r="AG1528" s="476"/>
      <c r="AH1528" s="476"/>
      <c r="AI1528" s="477"/>
      <c r="AJ1528" s="478"/>
      <c r="AK1528" s="479"/>
      <c r="AL1528" s="480"/>
      <c r="AM1528" s="474"/>
      <c r="AN1528" s="481"/>
      <c r="AO1528" s="474"/>
      <c r="AP1528" s="476"/>
      <c r="AQ1528" s="482"/>
      <c r="AR1528" s="478"/>
      <c r="AS1528" s="478"/>
      <c r="AT1528" s="476"/>
      <c r="AU1528" s="482"/>
      <c r="AV1528" s="478"/>
      <c r="AW1528" s="483"/>
      <c r="AX1528" s="476"/>
      <c r="AY1528" s="482"/>
      <c r="AZ1528" s="478"/>
      <c r="BA1528" s="484"/>
      <c r="BB1528" s="474"/>
      <c r="BC1528" s="485"/>
      <c r="BD1528" s="485"/>
      <c r="BG1528" s="487"/>
    </row>
    <row r="1529" spans="1:59" s="486" customFormat="1" ht="18" customHeight="1" x14ac:dyDescent="0.2">
      <c r="A1529" s="1368" t="str">
        <f t="shared" si="1126"/>
        <v>SENTAJO - TERATAK AIR HITAM2017</v>
      </c>
      <c r="B1529" s="1373"/>
      <c r="C1529" s="488" t="s">
        <v>2508</v>
      </c>
      <c r="D1529" s="489" t="s">
        <v>3821</v>
      </c>
      <c r="E1529" s="558"/>
      <c r="F1529" s="559">
        <v>2017</v>
      </c>
      <c r="G1529" s="619">
        <v>189804600</v>
      </c>
      <c r="H1529" s="464">
        <f t="shared" si="1127"/>
        <v>8</v>
      </c>
      <c r="I1529" s="560"/>
      <c r="J1529" s="468">
        <f t="shared" si="1128"/>
        <v>2024</v>
      </c>
      <c r="K1529" s="490">
        <f t="shared" si="1129"/>
        <v>8.8143706268464808E-2</v>
      </c>
      <c r="L1529" s="469">
        <f t="shared" si="1130"/>
        <v>2</v>
      </c>
      <c r="M1529" s="682">
        <f t="shared" si="1131"/>
        <v>0</v>
      </c>
      <c r="N1529" s="584">
        <f t="shared" si="1132"/>
        <v>8</v>
      </c>
      <c r="O1529" s="468">
        <f t="shared" si="1133"/>
        <v>2024</v>
      </c>
      <c r="P1529" s="616">
        <f t="shared" si="1134"/>
        <v>2153353972</v>
      </c>
      <c r="Q1529" s="472">
        <f t="shared" si="1135"/>
        <v>2343158572</v>
      </c>
      <c r="R1529" s="472">
        <f t="shared" si="1136"/>
        <v>292894821.5</v>
      </c>
      <c r="S1529" s="596">
        <f t="shared" si="1137"/>
        <v>2017</v>
      </c>
      <c r="T1529" s="470">
        <f t="shared" si="1138"/>
        <v>1</v>
      </c>
      <c r="U1529" s="612">
        <f t="shared" si="1139"/>
        <v>292894821.5</v>
      </c>
      <c r="V1529" s="468">
        <f t="shared" si="1140"/>
        <v>2017</v>
      </c>
      <c r="W1529" s="612">
        <f t="shared" si="1141"/>
        <v>2050263750.5</v>
      </c>
      <c r="X1529" s="473"/>
      <c r="Y1529" s="478"/>
      <c r="Z1529" s="449"/>
      <c r="AA1529" s="475" t="s">
        <v>4181</v>
      </c>
      <c r="AB1529" s="491"/>
      <c r="AC1529" s="491"/>
      <c r="AD1529" s="567">
        <f>U1534</f>
        <v>19473344333.6465</v>
      </c>
      <c r="AE1529" s="491"/>
      <c r="AF1529" s="568"/>
      <c r="AG1529" s="491"/>
      <c r="AH1529" s="491"/>
      <c r="AI1529" s="477"/>
      <c r="AJ1529" s="478"/>
      <c r="AK1529" s="479"/>
      <c r="AL1529" s="480"/>
      <c r="AM1529" s="474"/>
      <c r="AN1529" s="481"/>
      <c r="AO1529" s="474"/>
      <c r="AP1529" s="476"/>
      <c r="AQ1529" s="482"/>
      <c r="AR1529" s="478"/>
      <c r="AS1529" s="478"/>
      <c r="AT1529" s="476"/>
      <c r="AU1529" s="482"/>
      <c r="AV1529" s="478"/>
      <c r="AW1529" s="483"/>
      <c r="AX1529" s="476"/>
      <c r="AY1529" s="482"/>
      <c r="AZ1529" s="478"/>
      <c r="BA1529" s="484"/>
      <c r="BB1529" s="474"/>
      <c r="BC1529" s="485"/>
      <c r="BD1529" s="485"/>
      <c r="BG1529" s="487"/>
    </row>
    <row r="1530" spans="1:59" s="486" customFormat="1" ht="18" customHeight="1" x14ac:dyDescent="0.2">
      <c r="A1530" s="1368" t="str">
        <f t="shared" si="1126"/>
        <v>SENTAJO - TERATAK AIR HITAM2018</v>
      </c>
      <c r="B1530" s="1373"/>
      <c r="C1530" s="488"/>
      <c r="D1530" s="489"/>
      <c r="E1530" s="558"/>
      <c r="F1530" s="559">
        <v>2018</v>
      </c>
      <c r="G1530" s="619">
        <v>0</v>
      </c>
      <c r="H1530" s="464">
        <f t="shared" si="1127"/>
        <v>7</v>
      </c>
      <c r="I1530" s="560"/>
      <c r="J1530" s="468">
        <f t="shared" si="1128"/>
        <v>2024</v>
      </c>
      <c r="K1530" s="490">
        <f t="shared" si="1129"/>
        <v>0</v>
      </c>
      <c r="L1530" s="469">
        <f t="shared" si="1130"/>
        <v>0</v>
      </c>
      <c r="M1530" s="682">
        <f t="shared" si="1131"/>
        <v>0</v>
      </c>
      <c r="N1530" s="584">
        <f t="shared" si="1132"/>
        <v>7</v>
      </c>
      <c r="O1530" s="468">
        <f t="shared" si="1133"/>
        <v>2024</v>
      </c>
      <c r="P1530" s="616">
        <f t="shared" si="1134"/>
        <v>2050263750.5</v>
      </c>
      <c r="Q1530" s="472">
        <f t="shared" si="1135"/>
        <v>2050263750.5</v>
      </c>
      <c r="R1530" s="472">
        <f t="shared" si="1136"/>
        <v>292894821.5</v>
      </c>
      <c r="S1530" s="596">
        <f t="shared" si="1137"/>
        <v>2018</v>
      </c>
      <c r="T1530" s="470">
        <f t="shared" si="1138"/>
        <v>1</v>
      </c>
      <c r="U1530" s="612">
        <f t="shared" si="1139"/>
        <v>292894821.5</v>
      </c>
      <c r="V1530" s="468">
        <f t="shared" si="1140"/>
        <v>2018</v>
      </c>
      <c r="W1530" s="612">
        <f t="shared" si="1141"/>
        <v>1757368929</v>
      </c>
      <c r="X1530" s="473"/>
      <c r="Y1530" s="478"/>
      <c r="Z1530" s="449"/>
      <c r="AA1530" s="492" t="s">
        <v>4182</v>
      </c>
      <c r="AB1530" s="476"/>
      <c r="AC1530" s="476"/>
      <c r="AD1530" s="567">
        <f>AD1527-AD1529</f>
        <v>1464474107.4999962</v>
      </c>
      <c r="AE1530" s="476"/>
      <c r="AF1530" s="568"/>
      <c r="AG1530" s="476"/>
      <c r="AH1530" s="476"/>
      <c r="AI1530" s="477"/>
      <c r="AJ1530" s="478"/>
      <c r="AK1530" s="479"/>
      <c r="AL1530" s="480"/>
      <c r="AM1530" s="474"/>
      <c r="AN1530" s="481"/>
      <c r="AO1530" s="474"/>
      <c r="AP1530" s="476"/>
      <c r="AQ1530" s="482"/>
      <c r="AR1530" s="478"/>
      <c r="AS1530" s="478"/>
      <c r="AT1530" s="476"/>
      <c r="AU1530" s="482"/>
      <c r="AV1530" s="478"/>
      <c r="AW1530" s="483"/>
      <c r="AX1530" s="476"/>
      <c r="AY1530" s="482"/>
      <c r="AZ1530" s="478"/>
      <c r="BA1530" s="484"/>
      <c r="BB1530" s="474"/>
      <c r="BC1530" s="485"/>
      <c r="BD1530" s="485"/>
      <c r="BG1530" s="487"/>
    </row>
    <row r="1531" spans="1:59" s="486" customFormat="1" ht="18" customHeight="1" x14ac:dyDescent="0.2">
      <c r="A1531" s="1368" t="str">
        <f t="shared" si="1126"/>
        <v>SENTAJO - TERATAK AIR HITAM2019</v>
      </c>
      <c r="B1531" s="1374"/>
      <c r="C1531" s="488"/>
      <c r="D1531" s="489"/>
      <c r="E1531" s="558"/>
      <c r="F1531" s="559">
        <v>2019</v>
      </c>
      <c r="G1531" s="619">
        <v>0</v>
      </c>
      <c r="H1531" s="464">
        <f>IF(N1530-(F1531-F1530)&lt;=0,0,(N1530-(F1531-F1530)))</f>
        <v>6</v>
      </c>
      <c r="I1531" s="560"/>
      <c r="J1531" s="468">
        <f>F1531+N1531-1</f>
        <v>2024</v>
      </c>
      <c r="K1531" s="490">
        <f>IF(G1531=0,0,IF(H1531=10,100%,G1531/W1530))</f>
        <v>0</v>
      </c>
      <c r="L1531" s="469">
        <f>IF(K1531=0%,0,IF(K1531&lt;=30%,2,IF(K1531&lt;=60%,5,10)))</f>
        <v>0</v>
      </c>
      <c r="M1531" s="682">
        <f>IF(H1531+L1531&gt;$H1531,$H1531-H1531,L1531)</f>
        <v>0</v>
      </c>
      <c r="N1531" s="584">
        <f>H1531+M1531</f>
        <v>6</v>
      </c>
      <c r="O1531" s="468">
        <f>F1531+N1531-1</f>
        <v>2024</v>
      </c>
      <c r="P1531" s="616">
        <f>W1530</f>
        <v>1757368929</v>
      </c>
      <c r="Q1531" s="472">
        <f>P1531+G1531</f>
        <v>1757368929</v>
      </c>
      <c r="R1531" s="472">
        <f>IF(L1531=0,R1530,Q1531/N1531)</f>
        <v>292894821.5</v>
      </c>
      <c r="S1531" s="596">
        <f>F1531</f>
        <v>2019</v>
      </c>
      <c r="T1531" s="470">
        <f>S1531-S1530</f>
        <v>1</v>
      </c>
      <c r="U1531" s="612">
        <f>R1531*T1531</f>
        <v>292894821.5</v>
      </c>
      <c r="V1531" s="468">
        <f>F1531</f>
        <v>2019</v>
      </c>
      <c r="W1531" s="612">
        <f>IF(OR(AND(ISBLANK(E1531),ISBLANK(G1531)),ISTEXT(E1531),ISTEXT(G1531)),"",Q1531-U1531)</f>
        <v>1464474107.5</v>
      </c>
      <c r="X1531" s="473"/>
      <c r="Y1531" s="478"/>
      <c r="Z1531" s="449"/>
      <c r="AA1531" s="492"/>
      <c r="AB1531" s="476"/>
      <c r="AC1531" s="476"/>
      <c r="AD1531" s="567"/>
      <c r="AE1531" s="476"/>
      <c r="AF1531" s="568"/>
      <c r="AG1531" s="476"/>
      <c r="AH1531" s="476"/>
      <c r="AI1531" s="477"/>
      <c r="AJ1531" s="478"/>
      <c r="AK1531" s="479"/>
      <c r="AL1531" s="480"/>
      <c r="AM1531" s="474"/>
      <c r="AN1531" s="481"/>
      <c r="AO1531" s="474"/>
      <c r="AP1531" s="476"/>
      <c r="AQ1531" s="482"/>
      <c r="AR1531" s="478"/>
      <c r="AS1531" s="478"/>
      <c r="AT1531" s="476"/>
      <c r="AU1531" s="482"/>
      <c r="AV1531" s="478"/>
      <c r="AW1531" s="483"/>
      <c r="AX1531" s="476"/>
      <c r="AY1531" s="482"/>
      <c r="AZ1531" s="478"/>
      <c r="BA1531" s="484"/>
      <c r="BB1531" s="474"/>
      <c r="BC1531" s="485"/>
      <c r="BD1531" s="485"/>
      <c r="BG1531" s="487"/>
    </row>
    <row r="1532" spans="1:59" s="486" customFormat="1" ht="18" customHeight="1" x14ac:dyDescent="0.2">
      <c r="A1532" s="1368" t="str">
        <f>LEFT(D1532,8)</f>
        <v/>
      </c>
      <c r="B1532" s="687"/>
      <c r="C1532" s="488"/>
      <c r="D1532" s="489"/>
      <c r="E1532" s="558"/>
      <c r="F1532" s="466"/>
      <c r="G1532" s="619"/>
      <c r="H1532" s="464"/>
      <c r="I1532" s="467"/>
      <c r="J1532" s="468"/>
      <c r="K1532" s="490"/>
      <c r="L1532" s="469"/>
      <c r="M1532" s="683"/>
      <c r="N1532" s="470"/>
      <c r="O1532" s="468"/>
      <c r="P1532" s="616"/>
      <c r="Q1532" s="472"/>
      <c r="R1532" s="472"/>
      <c r="S1532" s="836"/>
      <c r="T1532" s="470"/>
      <c r="U1532" s="612"/>
      <c r="V1532" s="464"/>
      <c r="W1532" s="612"/>
      <c r="X1532" s="473"/>
      <c r="Y1532" s="478"/>
      <c r="Z1532" s="449"/>
      <c r="AA1532" s="531" t="s">
        <v>4183</v>
      </c>
      <c r="AB1532" s="496"/>
      <c r="AC1532" s="496"/>
      <c r="AD1532" s="569">
        <f>AD1530-W1534</f>
        <v>0</v>
      </c>
      <c r="AE1532" s="476"/>
      <c r="AF1532" s="568"/>
      <c r="AG1532" s="476"/>
      <c r="AH1532" s="476"/>
      <c r="AI1532" s="477"/>
      <c r="AJ1532" s="478"/>
      <c r="AK1532" s="479"/>
      <c r="AL1532" s="480"/>
      <c r="AM1532" s="474"/>
      <c r="AN1532" s="481"/>
      <c r="AO1532" s="474"/>
      <c r="AP1532" s="476"/>
      <c r="AQ1532" s="482"/>
      <c r="AR1532" s="478"/>
      <c r="AS1532" s="478"/>
      <c r="AT1532" s="476"/>
      <c r="AU1532" s="482"/>
      <c r="AV1532" s="478"/>
      <c r="AW1532" s="483"/>
      <c r="AX1532" s="476"/>
      <c r="AY1532" s="482"/>
      <c r="AZ1532" s="478"/>
      <c r="BA1532" s="484"/>
      <c r="BB1532" s="474"/>
      <c r="BC1532" s="485"/>
      <c r="BD1532" s="485"/>
      <c r="BG1532" s="487"/>
    </row>
    <row r="1533" spans="1:59" s="486" customFormat="1" ht="18" customHeight="1" x14ac:dyDescent="0.2">
      <c r="A1533" s="1368" t="str">
        <f>LEFT(D1533,8)</f>
        <v/>
      </c>
      <c r="B1533" s="687"/>
      <c r="C1533" s="463"/>
      <c r="D1533" s="489"/>
      <c r="E1533" s="465"/>
      <c r="F1533" s="466"/>
      <c r="G1533" s="620"/>
      <c r="H1533" s="464"/>
      <c r="I1533" s="467"/>
      <c r="J1533" s="468"/>
      <c r="K1533" s="574"/>
      <c r="L1533" s="469"/>
      <c r="M1533" s="683"/>
      <c r="N1533" s="470"/>
      <c r="O1533" s="468"/>
      <c r="P1533" s="616"/>
      <c r="Q1533" s="472"/>
      <c r="R1533" s="472"/>
      <c r="S1533" s="836"/>
      <c r="T1533" s="470"/>
      <c r="U1533" s="612"/>
      <c r="V1533" s="464"/>
      <c r="W1533" s="612"/>
      <c r="X1533" s="473"/>
      <c r="Y1533" s="478"/>
      <c r="Z1533" s="449"/>
      <c r="AA1533" s="573"/>
      <c r="AB1533" s="476"/>
      <c r="AC1533" s="476"/>
      <c r="AD1533" s="568"/>
      <c r="AE1533" s="476"/>
      <c r="AF1533" s="568"/>
      <c r="AG1533" s="476"/>
      <c r="AH1533" s="476"/>
      <c r="AI1533" s="477"/>
      <c r="AJ1533" s="478"/>
      <c r="AK1533" s="479"/>
      <c r="AL1533" s="480"/>
      <c r="AM1533" s="474"/>
      <c r="AN1533" s="481"/>
      <c r="AO1533" s="474"/>
      <c r="AP1533" s="476"/>
      <c r="AQ1533" s="482"/>
      <c r="AR1533" s="478"/>
      <c r="AS1533" s="478"/>
      <c r="AT1533" s="476"/>
      <c r="AU1533" s="482"/>
      <c r="AV1533" s="478"/>
      <c r="AW1533" s="483"/>
      <c r="AX1533" s="476"/>
      <c r="AY1533" s="482"/>
      <c r="AZ1533" s="478"/>
      <c r="BA1533" s="484"/>
      <c r="BB1533" s="474"/>
      <c r="BC1533" s="485"/>
      <c r="BD1533" s="485"/>
      <c r="BG1533" s="487"/>
    </row>
    <row r="1534" spans="1:59" s="526" customFormat="1" ht="18" customHeight="1" x14ac:dyDescent="0.2">
      <c r="A1534" s="1370" t="s">
        <v>4184</v>
      </c>
      <c r="B1534" s="1956" t="s">
        <v>4184</v>
      </c>
      <c r="C1534" s="1957"/>
      <c r="D1534" s="1957"/>
      <c r="E1534" s="1957"/>
      <c r="F1534" s="1958"/>
      <c r="G1534" s="621">
        <f>SUM(G1519:G1533)</f>
        <v>20937818441.146496</v>
      </c>
      <c r="H1534" s="505"/>
      <c r="I1534" s="506"/>
      <c r="J1534" s="507"/>
      <c r="K1534" s="507"/>
      <c r="L1534" s="505"/>
      <c r="M1534" s="684"/>
      <c r="N1534" s="508"/>
      <c r="O1534" s="507"/>
      <c r="P1534" s="749"/>
      <c r="Q1534" s="510"/>
      <c r="R1534" s="511"/>
      <c r="S1534" s="512"/>
      <c r="T1534" s="512"/>
      <c r="U1534" s="610">
        <f>SUM(U1519:U1533)</f>
        <v>19473344333.6465</v>
      </c>
      <c r="V1534" s="513"/>
      <c r="W1534" s="610">
        <f>G1534-U1534</f>
        <v>1464474107.4999962</v>
      </c>
      <c r="X1534" s="514"/>
      <c r="Y1534" s="515"/>
      <c r="Z1534" s="515"/>
      <c r="AA1534" s="515"/>
      <c r="AB1534" s="515"/>
      <c r="AC1534" s="515"/>
      <c r="AD1534" s="570"/>
      <c r="AE1534" s="515"/>
      <c r="AF1534" s="570">
        <v>16689708341.072998</v>
      </c>
      <c r="AG1534" s="515"/>
      <c r="AH1534" s="515"/>
      <c r="AI1534" s="516"/>
      <c r="AJ1534" s="517"/>
      <c r="AK1534" s="518"/>
      <c r="AL1534" s="519"/>
      <c r="AM1534" s="520"/>
      <c r="AN1534" s="521"/>
      <c r="AO1534" s="520"/>
      <c r="AP1534" s="515"/>
      <c r="AQ1534" s="522"/>
      <c r="AR1534" s="517"/>
      <c r="AS1534" s="517"/>
      <c r="AT1534" s="515"/>
      <c r="AU1534" s="522"/>
      <c r="AV1534" s="517"/>
      <c r="AW1534" s="523"/>
      <c r="AX1534" s="515"/>
      <c r="AY1534" s="522"/>
      <c r="AZ1534" s="517"/>
      <c r="BA1534" s="524"/>
      <c r="BB1534" s="520"/>
      <c r="BC1534" s="525"/>
      <c r="BD1534" s="525"/>
      <c r="BG1534" s="527"/>
    </row>
    <row r="1537" spans="1:59" s="422" customFormat="1" ht="18" customHeight="1" x14ac:dyDescent="0.2">
      <c r="A1537" s="1366">
        <f>C1537</f>
        <v>260</v>
      </c>
      <c r="B1537" s="742" t="s">
        <v>4187</v>
      </c>
      <c r="C1537" s="556">
        <v>260</v>
      </c>
      <c r="D1537" s="553" t="str">
        <f>VLOOKUP(C1537,RUAS,2,FALSE)</f>
        <v>BENAI - KOTO RAJO</v>
      </c>
      <c r="E1537" s="553"/>
      <c r="F1537" s="421"/>
      <c r="G1537" s="611"/>
      <c r="I1537" s="423"/>
      <c r="J1537" s="424"/>
      <c r="K1537" s="424"/>
      <c r="M1537" s="680"/>
      <c r="P1537" s="611"/>
      <c r="U1537" s="611"/>
      <c r="W1537" s="611"/>
      <c r="Y1537" s="425"/>
      <c r="Z1537" s="425"/>
      <c r="AA1537" s="425"/>
      <c r="AB1537" s="425"/>
      <c r="AC1537" s="425"/>
      <c r="AD1537" s="563"/>
      <c r="AE1537" s="425"/>
      <c r="AF1537" s="563"/>
      <c r="AG1537" s="425"/>
      <c r="AH1537" s="425"/>
      <c r="AI1537" s="425"/>
      <c r="AJ1537" s="425"/>
      <c r="AK1537" s="425"/>
      <c r="AL1537" s="425"/>
      <c r="AM1537" s="425"/>
      <c r="AN1537" s="425"/>
      <c r="AO1537" s="425"/>
      <c r="AP1537" s="425"/>
      <c r="AQ1537" s="425"/>
      <c r="AR1537" s="425"/>
      <c r="AS1537" s="425"/>
      <c r="AT1537" s="425"/>
      <c r="AU1537" s="425"/>
      <c r="AV1537" s="425"/>
      <c r="AW1537" s="425"/>
      <c r="AX1537" s="425"/>
      <c r="AY1537" s="425"/>
      <c r="AZ1537" s="425"/>
      <c r="BA1537" s="425"/>
      <c r="BB1537" s="425"/>
    </row>
    <row r="1538" spans="1:59" s="431" customFormat="1" ht="18" customHeight="1" x14ac:dyDescent="0.2">
      <c r="A1538" s="1367"/>
      <c r="B1538" s="1968" t="s">
        <v>5</v>
      </c>
      <c r="C1538" s="1968" t="s">
        <v>2280</v>
      </c>
      <c r="D1538" s="1968" t="s">
        <v>4157</v>
      </c>
      <c r="E1538" s="1968" t="s">
        <v>4158</v>
      </c>
      <c r="F1538" s="1968"/>
      <c r="G1538" s="2042" t="s">
        <v>4159</v>
      </c>
      <c r="H1538" s="1968" t="s">
        <v>4160</v>
      </c>
      <c r="I1538" s="1968"/>
      <c r="J1538" s="1968" t="s">
        <v>4185</v>
      </c>
      <c r="K1538" s="1964" t="s">
        <v>4162</v>
      </c>
      <c r="L1538" s="1968" t="s">
        <v>4163</v>
      </c>
      <c r="M1538" s="1971" t="s">
        <v>4164</v>
      </c>
      <c r="N1538" s="1962" t="s">
        <v>4165</v>
      </c>
      <c r="O1538" s="1968" t="s">
        <v>4166</v>
      </c>
      <c r="P1538" s="1972" t="s">
        <v>4167</v>
      </c>
      <c r="Q1538" s="1973"/>
      <c r="R1538" s="636" t="s">
        <v>4186</v>
      </c>
      <c r="S1538" s="1972" t="s">
        <v>4169</v>
      </c>
      <c r="T1538" s="1974"/>
      <c r="U1538" s="1973"/>
      <c r="V1538" s="1975" t="s">
        <v>4170</v>
      </c>
      <c r="W1538" s="1975"/>
      <c r="X1538" s="1960" t="s">
        <v>4171</v>
      </c>
      <c r="Y1538" s="1959"/>
      <c r="Z1538" s="633"/>
      <c r="AA1538" s="426"/>
      <c r="AB1538" s="426"/>
      <c r="AC1538" s="426"/>
      <c r="AD1538" s="564"/>
      <c r="AE1538" s="426"/>
      <c r="AF1538" s="564"/>
      <c r="AG1538" s="426"/>
      <c r="AH1538" s="426"/>
      <c r="AI1538" s="427"/>
      <c r="AJ1538" s="427"/>
      <c r="AK1538" s="427"/>
      <c r="AL1538" s="427"/>
      <c r="AM1538" s="428"/>
      <c r="AN1538" s="427"/>
      <c r="AO1538" s="427"/>
      <c r="AP1538" s="426"/>
      <c r="AQ1538" s="427"/>
      <c r="AR1538" s="427"/>
      <c r="AS1538" s="427"/>
      <c r="AT1538" s="426"/>
      <c r="AU1538" s="427"/>
      <c r="AV1538" s="427"/>
      <c r="AW1538" s="427"/>
      <c r="AX1538" s="426"/>
      <c r="AY1538" s="427"/>
      <c r="AZ1538" s="427"/>
      <c r="BA1538" s="427"/>
      <c r="BB1538" s="429"/>
      <c r="BC1538" s="430"/>
      <c r="BD1538" s="430"/>
    </row>
    <row r="1539" spans="1:59" s="431" customFormat="1" ht="18" customHeight="1" x14ac:dyDescent="0.2">
      <c r="A1539" s="1367"/>
      <c r="B1539" s="1968"/>
      <c r="C1539" s="1968"/>
      <c r="D1539" s="1968"/>
      <c r="E1539" s="1968"/>
      <c r="F1539" s="1968"/>
      <c r="G1539" s="2042"/>
      <c r="H1539" s="1968"/>
      <c r="I1539" s="1968"/>
      <c r="J1539" s="1968"/>
      <c r="K1539" s="1970"/>
      <c r="L1539" s="1968"/>
      <c r="M1539" s="1971"/>
      <c r="N1539" s="1963"/>
      <c r="O1539" s="1968"/>
      <c r="P1539" s="2037" t="s">
        <v>4172</v>
      </c>
      <c r="Q1539" s="1960" t="s">
        <v>4173</v>
      </c>
      <c r="R1539" s="1962" t="s">
        <v>4159</v>
      </c>
      <c r="S1539" s="1962" t="s">
        <v>4174</v>
      </c>
      <c r="T1539" s="1964" t="s">
        <v>4175</v>
      </c>
      <c r="U1539" s="1966" t="s">
        <v>4159</v>
      </c>
      <c r="V1539" s="1975"/>
      <c r="W1539" s="1975"/>
      <c r="X1539" s="1976"/>
      <c r="Y1539" s="1959"/>
      <c r="Z1539" s="633"/>
      <c r="AA1539" s="426"/>
      <c r="AB1539" s="426"/>
      <c r="AC1539" s="426"/>
      <c r="AD1539" s="564"/>
      <c r="AE1539" s="426"/>
      <c r="AF1539" s="564"/>
      <c r="AG1539" s="426"/>
      <c r="AH1539" s="426"/>
      <c r="AI1539" s="427"/>
      <c r="AJ1539" s="427"/>
      <c r="AK1539" s="426"/>
      <c r="AL1539" s="427"/>
      <c r="AM1539" s="428"/>
      <c r="AN1539" s="427"/>
      <c r="AO1539" s="427"/>
      <c r="AP1539" s="432"/>
      <c r="AQ1539" s="427"/>
      <c r="AR1539" s="427"/>
      <c r="AS1539" s="427"/>
      <c r="AT1539" s="432"/>
      <c r="AU1539" s="427"/>
      <c r="AV1539" s="427"/>
      <c r="AW1539" s="427"/>
      <c r="AX1539" s="432"/>
      <c r="AY1539" s="427"/>
      <c r="AZ1539" s="427"/>
      <c r="BA1539" s="427"/>
      <c r="BB1539" s="429"/>
      <c r="BC1539" s="430"/>
      <c r="BD1539" s="430"/>
    </row>
    <row r="1540" spans="1:59" s="431" customFormat="1" ht="18" customHeight="1" x14ac:dyDescent="0.2">
      <c r="A1540" s="1367"/>
      <c r="B1540" s="1968"/>
      <c r="C1540" s="1968"/>
      <c r="D1540" s="1968"/>
      <c r="E1540" s="433" t="s">
        <v>4176</v>
      </c>
      <c r="F1540" s="434" t="s">
        <v>2288</v>
      </c>
      <c r="G1540" s="2042"/>
      <c r="H1540" s="635" t="s">
        <v>2288</v>
      </c>
      <c r="I1540" s="635" t="s">
        <v>4177</v>
      </c>
      <c r="J1540" s="1968"/>
      <c r="K1540" s="1965"/>
      <c r="L1540" s="435" t="s">
        <v>2288</v>
      </c>
      <c r="M1540" s="681" t="s">
        <v>2288</v>
      </c>
      <c r="N1540" s="635" t="s">
        <v>2288</v>
      </c>
      <c r="O1540" s="1968"/>
      <c r="P1540" s="2038"/>
      <c r="Q1540" s="1961"/>
      <c r="R1540" s="1963"/>
      <c r="S1540" s="1963"/>
      <c r="T1540" s="1965"/>
      <c r="U1540" s="1967"/>
      <c r="V1540" s="635" t="s">
        <v>4178</v>
      </c>
      <c r="W1540" s="637" t="s">
        <v>4159</v>
      </c>
      <c r="X1540" s="1961"/>
      <c r="Y1540" s="436"/>
      <c r="Z1540" s="436"/>
      <c r="AA1540" s="426"/>
      <c r="AB1540" s="426"/>
      <c r="AC1540" s="426"/>
      <c r="AD1540" s="564"/>
      <c r="AE1540" s="426"/>
      <c r="AF1540" s="564"/>
      <c r="AG1540" s="426"/>
      <c r="AH1540" s="426"/>
      <c r="AI1540" s="427"/>
      <c r="AJ1540" s="432"/>
      <c r="AK1540" s="432"/>
      <c r="AL1540" s="427"/>
      <c r="AM1540" s="428"/>
      <c r="AN1540" s="432"/>
      <c r="AO1540" s="427"/>
      <c r="AP1540" s="432"/>
      <c r="AQ1540" s="432"/>
      <c r="AR1540" s="427"/>
      <c r="AS1540" s="427"/>
      <c r="AT1540" s="432"/>
      <c r="AU1540" s="432"/>
      <c r="AV1540" s="427"/>
      <c r="AW1540" s="427"/>
      <c r="AX1540" s="432"/>
      <c r="AY1540" s="432"/>
      <c r="AZ1540" s="427"/>
      <c r="BA1540" s="427"/>
      <c r="BB1540" s="429"/>
      <c r="BC1540" s="430"/>
      <c r="BD1540" s="430"/>
    </row>
    <row r="1541" spans="1:59" s="461" customFormat="1" ht="18" customHeight="1" x14ac:dyDescent="0.2">
      <c r="A1541" s="1368" t="str">
        <f>$D$1537&amp;S1541</f>
        <v>BENAI - KOTO RAJO2001</v>
      </c>
      <c r="B1541" s="1373">
        <v>1</v>
      </c>
      <c r="C1541" s="532" t="s">
        <v>483</v>
      </c>
      <c r="D1541" s="437" t="s">
        <v>3821</v>
      </c>
      <c r="E1541" s="438"/>
      <c r="F1541" s="439">
        <v>2001</v>
      </c>
      <c r="G1541" s="623">
        <v>7982951762.6100006</v>
      </c>
      <c r="H1541" s="440">
        <f>VLOOKUP(LEFT(D1541,8),UE,4)</f>
        <v>10</v>
      </c>
      <c r="I1541" s="441"/>
      <c r="J1541" s="442">
        <f>F1541+N1541-1</f>
        <v>2010</v>
      </c>
      <c r="K1541" s="443"/>
      <c r="L1541" s="440"/>
      <c r="M1541" s="746">
        <f>IF(H1541+L1541&gt;$H1541,$H1541-H1541,L1541)</f>
        <v>0</v>
      </c>
      <c r="N1541" s="444">
        <f>H1541+M1541</f>
        <v>10</v>
      </c>
      <c r="O1541" s="442">
        <f>F1541+N1541-1</f>
        <v>2010</v>
      </c>
      <c r="P1541" s="617">
        <f>G1541</f>
        <v>7982951762.6100006</v>
      </c>
      <c r="Q1541" s="445">
        <v>0</v>
      </c>
      <c r="R1541" s="445">
        <f>P1541/N1541</f>
        <v>798295176.26100004</v>
      </c>
      <c r="S1541" s="446">
        <f>F1541</f>
        <v>2001</v>
      </c>
      <c r="T1541" s="447">
        <v>1</v>
      </c>
      <c r="U1541" s="613">
        <f>R1541*T1541</f>
        <v>798295176.26100004</v>
      </c>
      <c r="V1541" s="442">
        <f>F1541</f>
        <v>2001</v>
      </c>
      <c r="W1541" s="617">
        <f>IF(OR(AND(ISBLANK(E1541),ISBLANK(G1541)),ISTEXT(E1541),ISTEXT(G1541)),"",G1541-R1541)</f>
        <v>7184656586.3490009</v>
      </c>
      <c r="X1541" s="448"/>
      <c r="Y1541" s="449"/>
      <c r="Z1541" s="449"/>
      <c r="AA1541" s="693"/>
      <c r="AB1541" s="452"/>
      <c r="AC1541" s="452"/>
      <c r="AD1541" s="571"/>
      <c r="AE1541" s="452"/>
      <c r="AF1541" s="571"/>
      <c r="AG1541" s="452"/>
      <c r="AH1541" s="452"/>
      <c r="AI1541" s="453"/>
      <c r="AJ1541" s="449"/>
      <c r="AK1541" s="453"/>
      <c r="AL1541" s="454"/>
      <c r="AM1541" s="455"/>
      <c r="AN1541" s="456"/>
      <c r="AO1541" s="455"/>
      <c r="AP1541" s="452"/>
      <c r="AQ1541" s="457"/>
      <c r="AR1541" s="449"/>
      <c r="AS1541" s="449"/>
      <c r="AT1541" s="452"/>
      <c r="AU1541" s="457"/>
      <c r="AV1541" s="449"/>
      <c r="AW1541" s="458"/>
      <c r="AX1541" s="452"/>
      <c r="AY1541" s="457"/>
      <c r="AZ1541" s="449"/>
      <c r="BA1541" s="459"/>
      <c r="BB1541" s="455"/>
      <c r="BC1541" s="460"/>
      <c r="BD1541" s="460"/>
      <c r="BG1541" s="462"/>
    </row>
    <row r="1542" spans="1:59" s="461" customFormat="1" ht="18" customHeight="1" x14ac:dyDescent="0.2">
      <c r="A1542" s="1368" t="str">
        <f>$D$1537&amp;S1542</f>
        <v>BENAI - KOTO RAJO2005</v>
      </c>
      <c r="B1542" s="1373"/>
      <c r="C1542" s="488"/>
      <c r="D1542" s="489"/>
      <c r="E1542" s="558"/>
      <c r="F1542" s="559">
        <v>2005</v>
      </c>
      <c r="G1542" s="619">
        <v>0</v>
      </c>
      <c r="H1542" s="464">
        <f>IF(N1541-(F1542-F1541)&lt;=0,0,(N1541-(F1542-F1541)))</f>
        <v>6</v>
      </c>
      <c r="I1542" s="560"/>
      <c r="J1542" s="468">
        <f>F1542+N1542-1</f>
        <v>2010</v>
      </c>
      <c r="K1542" s="490">
        <f>IF(G1542=0,0,IF(H1542=10,100%,G1542/W1541))</f>
        <v>0</v>
      </c>
      <c r="L1542" s="469">
        <f>IF(K1542=0%,0,IF(K1542&lt;=30%,2,IF(K1542&lt;=60%,5,10)))</f>
        <v>0</v>
      </c>
      <c r="M1542" s="683">
        <f>IF(OR(AND(ISBLANK(E1542),ISBLANK(G1542)),ISTEXT(E1542),ISTEXT(G1542)),"",IF(H1542+L1542&gt;$H$8,$H$8-H1542,L1542))</f>
        <v>0</v>
      </c>
      <c r="N1542" s="470">
        <f>IF(OR(AND(ISBLANK(F1542),ISBLANK(G1542)),ISTEXT(F1542),ISTEXT(G1542)),"",H1542+M1542)</f>
        <v>6</v>
      </c>
      <c r="O1542" s="468">
        <f>F1542+N1542-1</f>
        <v>2010</v>
      </c>
      <c r="P1542" s="616">
        <f>W1541</f>
        <v>7184656586.3490009</v>
      </c>
      <c r="Q1542" s="472">
        <f>P1542+G1542</f>
        <v>7184656586.3490009</v>
      </c>
      <c r="R1542" s="472">
        <f>IF(L1542=0,R1541,Q1542/N1542)</f>
        <v>798295176.26100004</v>
      </c>
      <c r="S1542" s="759">
        <f>F1542</f>
        <v>2005</v>
      </c>
      <c r="T1542" s="470">
        <f>S1542-S1541</f>
        <v>4</v>
      </c>
      <c r="U1542" s="612">
        <f>R1542*T1542</f>
        <v>3193180705.0440001</v>
      </c>
      <c r="V1542" s="464">
        <f>F1542</f>
        <v>2005</v>
      </c>
      <c r="W1542" s="612">
        <f>IF(OR(AND(ISBLANK(E1542),ISBLANK(G1542)),ISTEXT(E1542),ISTEXT(G1542)),"",Q1542-U1542)</f>
        <v>3991475881.3050008</v>
      </c>
      <c r="X1542" s="561"/>
      <c r="Y1542" s="449"/>
      <c r="Z1542" s="449"/>
      <c r="AA1542" s="693"/>
      <c r="AB1542" s="452"/>
      <c r="AC1542" s="452"/>
      <c r="AD1542" s="571"/>
      <c r="AE1542" s="452"/>
      <c r="AF1542" s="571"/>
      <c r="AG1542" s="452"/>
      <c r="AH1542" s="452"/>
      <c r="AI1542" s="453"/>
      <c r="AJ1542" s="449"/>
      <c r="AK1542" s="453"/>
      <c r="AL1542" s="454"/>
      <c r="AM1542" s="455"/>
      <c r="AN1542" s="456"/>
      <c r="AO1542" s="455"/>
      <c r="AP1542" s="452"/>
      <c r="AQ1542" s="457"/>
      <c r="AR1542" s="449"/>
      <c r="AS1542" s="449"/>
      <c r="AT1542" s="452"/>
      <c r="AU1542" s="457"/>
      <c r="AV1542" s="449"/>
      <c r="AW1542" s="458"/>
      <c r="AX1542" s="452"/>
      <c r="AY1542" s="457"/>
      <c r="AZ1542" s="449"/>
      <c r="BA1542" s="459"/>
      <c r="BB1542" s="455"/>
      <c r="BC1542" s="460"/>
      <c r="BD1542" s="460"/>
      <c r="BG1542" s="462"/>
    </row>
    <row r="1543" spans="1:59" s="461" customFormat="1" ht="18" customHeight="1" x14ac:dyDescent="0.2">
      <c r="A1543" s="1368" t="str">
        <f>$D$1537&amp;S1543</f>
        <v>BENAI - KOTO RAJO2006</v>
      </c>
      <c r="B1543" s="1374"/>
      <c r="C1543" s="488"/>
      <c r="D1543" s="489"/>
      <c r="E1543" s="558"/>
      <c r="F1543" s="559">
        <v>2006</v>
      </c>
      <c r="G1543" s="619">
        <v>0</v>
      </c>
      <c r="H1543" s="464">
        <f t="shared" ref="H1543:H1557" si="1142">IF(N1542-(F1543-F1542)&lt;=0,0,(N1542-(F1543-F1542)))</f>
        <v>5</v>
      </c>
      <c r="I1543" s="560"/>
      <c r="J1543" s="468">
        <f t="shared" ref="J1543:J1557" si="1143">F1543+N1543-1</f>
        <v>2010</v>
      </c>
      <c r="K1543" s="490">
        <f t="shared" ref="K1543:K1557" si="1144">IF(G1543=0,0,IF(H1543=10,100%,G1543/W1542))</f>
        <v>0</v>
      </c>
      <c r="L1543" s="469">
        <f t="shared" ref="L1543:L1557" si="1145">IF(K1543=0%,0,IF(K1543&lt;=30%,2,IF(K1543&lt;=60%,5,10)))</f>
        <v>0</v>
      </c>
      <c r="M1543" s="683">
        <f t="shared" ref="M1543:M1557" si="1146">IF(OR(AND(ISBLANK(E1543),ISBLANK(G1543)),ISTEXT(E1543),ISTEXT(G1543)),"",IF(H1543+L1543&gt;$H$8,$H$8-H1543,L1543))</f>
        <v>0</v>
      </c>
      <c r="N1543" s="470">
        <f t="shared" ref="N1543:N1557" si="1147">IF(OR(AND(ISBLANK(F1543),ISBLANK(G1543)),ISTEXT(F1543),ISTEXT(G1543)),"",H1543+M1543)</f>
        <v>5</v>
      </c>
      <c r="O1543" s="468">
        <f t="shared" ref="O1543:O1557" si="1148">F1543+N1543-1</f>
        <v>2010</v>
      </c>
      <c r="P1543" s="616">
        <f t="shared" ref="P1543:P1557" si="1149">W1542</f>
        <v>3991475881.3050008</v>
      </c>
      <c r="Q1543" s="472">
        <f t="shared" ref="Q1543:Q1557" si="1150">P1543+G1543</f>
        <v>3991475881.3050008</v>
      </c>
      <c r="R1543" s="472">
        <f t="shared" ref="R1543:R1557" si="1151">IF(L1543=0,R1542,Q1543/N1543)</f>
        <v>798295176.26100004</v>
      </c>
      <c r="S1543" s="1189">
        <f t="shared" ref="S1543:S1557" si="1152">F1543</f>
        <v>2006</v>
      </c>
      <c r="T1543" s="470">
        <f t="shared" ref="T1543:T1557" si="1153">S1543-S1542</f>
        <v>1</v>
      </c>
      <c r="U1543" s="612">
        <f t="shared" ref="U1543:U1557" si="1154">R1543*T1543</f>
        <v>798295176.26100004</v>
      </c>
      <c r="V1543" s="464">
        <f t="shared" ref="V1543:V1557" si="1155">F1543</f>
        <v>2006</v>
      </c>
      <c r="W1543" s="612">
        <f t="shared" ref="W1543:W1557" si="1156">IF(OR(AND(ISBLANK(E1543),ISBLANK(G1543)),ISTEXT(E1543),ISTEXT(G1543)),"",Q1543-U1543)</f>
        <v>3193180705.0440006</v>
      </c>
      <c r="X1543" s="561"/>
      <c r="Y1543" s="449"/>
      <c r="Z1543" s="449"/>
      <c r="AA1543" s="693"/>
      <c r="AB1543" s="452"/>
      <c r="AC1543" s="452"/>
      <c r="AD1543" s="571"/>
      <c r="AE1543" s="452"/>
      <c r="AF1543" s="571"/>
      <c r="AG1543" s="452"/>
      <c r="AH1543" s="452"/>
      <c r="AI1543" s="453"/>
      <c r="AJ1543" s="449"/>
      <c r="AK1543" s="453"/>
      <c r="AL1543" s="454"/>
      <c r="AM1543" s="455"/>
      <c r="AN1543" s="456"/>
      <c r="AO1543" s="455"/>
      <c r="AP1543" s="452"/>
      <c r="AQ1543" s="457"/>
      <c r="AR1543" s="449"/>
      <c r="AS1543" s="449"/>
      <c r="AT1543" s="452"/>
      <c r="AU1543" s="457"/>
      <c r="AV1543" s="449"/>
      <c r="AW1543" s="458"/>
      <c r="AX1543" s="452"/>
      <c r="AY1543" s="457"/>
      <c r="AZ1543" s="449"/>
      <c r="BA1543" s="459"/>
      <c r="BB1543" s="455"/>
      <c r="BC1543" s="460"/>
      <c r="BD1543" s="460"/>
      <c r="BG1543" s="462"/>
    </row>
    <row r="1544" spans="1:59" s="461" customFormat="1" ht="18" customHeight="1" x14ac:dyDescent="0.2">
      <c r="A1544" s="1368" t="str">
        <f>$D$1537&amp;S1544</f>
        <v>BENAI - KOTO RAJO2007</v>
      </c>
      <c r="B1544" s="1373">
        <v>2</v>
      </c>
      <c r="C1544" s="488" t="s">
        <v>1171</v>
      </c>
      <c r="D1544" s="489"/>
      <c r="E1544" s="558"/>
      <c r="F1544" s="559">
        <v>2007</v>
      </c>
      <c r="G1544" s="619">
        <v>786808471.61551905</v>
      </c>
      <c r="H1544" s="464">
        <f t="shared" si="1142"/>
        <v>4</v>
      </c>
      <c r="I1544" s="560"/>
      <c r="J1544" s="468">
        <f t="shared" si="1143"/>
        <v>2012</v>
      </c>
      <c r="K1544" s="490">
        <f t="shared" si="1144"/>
        <v>0.24640273892819892</v>
      </c>
      <c r="L1544" s="469">
        <f t="shared" si="1145"/>
        <v>2</v>
      </c>
      <c r="M1544" s="683">
        <f t="shared" si="1146"/>
        <v>2</v>
      </c>
      <c r="N1544" s="470">
        <f t="shared" si="1147"/>
        <v>6</v>
      </c>
      <c r="O1544" s="468">
        <f t="shared" si="1148"/>
        <v>2012</v>
      </c>
      <c r="P1544" s="616">
        <f t="shared" si="1149"/>
        <v>3193180705.0440006</v>
      </c>
      <c r="Q1544" s="472">
        <f t="shared" si="1150"/>
        <v>3979989176.6595197</v>
      </c>
      <c r="R1544" s="472">
        <f t="shared" si="1151"/>
        <v>663331529.44325328</v>
      </c>
      <c r="S1544" s="1189">
        <f t="shared" si="1152"/>
        <v>2007</v>
      </c>
      <c r="T1544" s="470">
        <f t="shared" si="1153"/>
        <v>1</v>
      </c>
      <c r="U1544" s="612">
        <f t="shared" si="1154"/>
        <v>663331529.44325328</v>
      </c>
      <c r="V1544" s="464">
        <f t="shared" si="1155"/>
        <v>2007</v>
      </c>
      <c r="W1544" s="612">
        <f t="shared" si="1156"/>
        <v>3316657647.2162666</v>
      </c>
      <c r="X1544" s="561"/>
      <c r="Y1544" s="449"/>
      <c r="Z1544" s="449"/>
      <c r="AA1544" s="693"/>
      <c r="AB1544" s="452"/>
      <c r="AC1544" s="452"/>
      <c r="AD1544" s="571"/>
      <c r="AE1544" s="452"/>
      <c r="AF1544" s="571"/>
      <c r="AG1544" s="452"/>
      <c r="AH1544" s="452"/>
      <c r="AI1544" s="453"/>
      <c r="AJ1544" s="449"/>
      <c r="AK1544" s="453"/>
      <c r="AL1544" s="454"/>
      <c r="AM1544" s="455"/>
      <c r="AN1544" s="456"/>
      <c r="AO1544" s="455"/>
      <c r="AP1544" s="452"/>
      <c r="AQ1544" s="457"/>
      <c r="AR1544" s="449"/>
      <c r="AS1544" s="449"/>
      <c r="AT1544" s="452"/>
      <c r="AU1544" s="457"/>
      <c r="AV1544" s="449"/>
      <c r="AW1544" s="458"/>
      <c r="AX1544" s="452"/>
      <c r="AY1544" s="457"/>
      <c r="AZ1544" s="449"/>
      <c r="BA1544" s="459"/>
      <c r="BB1544" s="455"/>
      <c r="BC1544" s="460"/>
      <c r="BD1544" s="460"/>
      <c r="BG1544" s="462"/>
    </row>
    <row r="1545" spans="1:59" s="461" customFormat="1" ht="18" customHeight="1" x14ac:dyDescent="0.2">
      <c r="A1545" s="1368" t="str">
        <f t="shared" ref="A1545:A1557" si="1157">$D$1537&amp;S1545</f>
        <v>BENAI - KOTO RAJO2008</v>
      </c>
      <c r="B1545" s="1373">
        <v>3</v>
      </c>
      <c r="C1545" s="488" t="s">
        <v>5060</v>
      </c>
      <c r="D1545" s="489"/>
      <c r="E1545" s="558"/>
      <c r="F1545" s="559">
        <v>2008</v>
      </c>
      <c r="G1545" s="619">
        <f>1891537631+1322245832.25</f>
        <v>3213783463.25</v>
      </c>
      <c r="H1545" s="464">
        <f t="shared" si="1142"/>
        <v>5</v>
      </c>
      <c r="I1545" s="560"/>
      <c r="J1545" s="468">
        <f t="shared" si="1143"/>
        <v>2017</v>
      </c>
      <c r="K1545" s="490">
        <f t="shared" si="1144"/>
        <v>0.96898257375083285</v>
      </c>
      <c r="L1545" s="469">
        <f t="shared" si="1145"/>
        <v>10</v>
      </c>
      <c r="M1545" s="683">
        <f t="shared" si="1146"/>
        <v>5</v>
      </c>
      <c r="N1545" s="470">
        <f t="shared" si="1147"/>
        <v>10</v>
      </c>
      <c r="O1545" s="468">
        <f t="shared" si="1148"/>
        <v>2017</v>
      </c>
      <c r="P1545" s="616">
        <f t="shared" si="1149"/>
        <v>3316657647.2162666</v>
      </c>
      <c r="Q1545" s="472">
        <f t="shared" si="1150"/>
        <v>6530441110.4662666</v>
      </c>
      <c r="R1545" s="472">
        <f t="shared" si="1151"/>
        <v>653044111.04662669</v>
      </c>
      <c r="S1545" s="1189">
        <f t="shared" si="1152"/>
        <v>2008</v>
      </c>
      <c r="T1545" s="470">
        <f t="shared" si="1153"/>
        <v>1</v>
      </c>
      <c r="U1545" s="612">
        <f t="shared" si="1154"/>
        <v>653044111.04662669</v>
      </c>
      <c r="V1545" s="464">
        <f t="shared" si="1155"/>
        <v>2008</v>
      </c>
      <c r="W1545" s="612">
        <f t="shared" si="1156"/>
        <v>5877396999.4196396</v>
      </c>
      <c r="X1545" s="561"/>
      <c r="Y1545" s="449"/>
      <c r="Z1545" s="449"/>
      <c r="AA1545" s="693"/>
      <c r="AB1545" s="452"/>
      <c r="AC1545" s="452"/>
      <c r="AD1545" s="571"/>
      <c r="AE1545" s="452"/>
      <c r="AF1545" s="571"/>
      <c r="AG1545" s="452"/>
      <c r="AH1545" s="452"/>
      <c r="AI1545" s="453"/>
      <c r="AJ1545" s="449"/>
      <c r="AK1545" s="453"/>
      <c r="AL1545" s="454"/>
      <c r="AM1545" s="455"/>
      <c r="AN1545" s="456"/>
      <c r="AO1545" s="455"/>
      <c r="AP1545" s="452"/>
      <c r="AQ1545" s="457"/>
      <c r="AR1545" s="449"/>
      <c r="AS1545" s="449"/>
      <c r="AT1545" s="452"/>
      <c r="AU1545" s="457"/>
      <c r="AV1545" s="449"/>
      <c r="AW1545" s="458"/>
      <c r="AX1545" s="452"/>
      <c r="AY1545" s="457"/>
      <c r="AZ1545" s="449"/>
      <c r="BA1545" s="459"/>
      <c r="BB1545" s="455"/>
      <c r="BC1545" s="460"/>
      <c r="BD1545" s="460"/>
      <c r="BG1545" s="462"/>
    </row>
    <row r="1546" spans="1:59" s="461" customFormat="1" ht="18" customHeight="1" x14ac:dyDescent="0.2">
      <c r="A1546" s="1368" t="str">
        <f t="shared" si="1157"/>
        <v>BENAI - KOTO RAJO2009</v>
      </c>
      <c r="B1546" s="1373"/>
      <c r="C1546" s="488"/>
      <c r="D1546" s="489"/>
      <c r="E1546" s="558"/>
      <c r="F1546" s="559">
        <v>2009</v>
      </c>
      <c r="G1546" s="619">
        <v>0</v>
      </c>
      <c r="H1546" s="464">
        <f t="shared" si="1142"/>
        <v>9</v>
      </c>
      <c r="I1546" s="560"/>
      <c r="J1546" s="468">
        <f t="shared" si="1143"/>
        <v>2017</v>
      </c>
      <c r="K1546" s="490">
        <f t="shared" si="1144"/>
        <v>0</v>
      </c>
      <c r="L1546" s="469">
        <f t="shared" si="1145"/>
        <v>0</v>
      </c>
      <c r="M1546" s="683">
        <f t="shared" si="1146"/>
        <v>0</v>
      </c>
      <c r="N1546" s="470">
        <f t="shared" si="1147"/>
        <v>9</v>
      </c>
      <c r="O1546" s="468">
        <f t="shared" si="1148"/>
        <v>2017</v>
      </c>
      <c r="P1546" s="616">
        <f t="shared" si="1149"/>
        <v>5877396999.4196396</v>
      </c>
      <c r="Q1546" s="472">
        <f t="shared" si="1150"/>
        <v>5877396999.4196396</v>
      </c>
      <c r="R1546" s="472">
        <f t="shared" si="1151"/>
        <v>653044111.04662669</v>
      </c>
      <c r="S1546" s="1189">
        <f t="shared" si="1152"/>
        <v>2009</v>
      </c>
      <c r="T1546" s="470">
        <f t="shared" si="1153"/>
        <v>1</v>
      </c>
      <c r="U1546" s="612">
        <f t="shared" si="1154"/>
        <v>653044111.04662669</v>
      </c>
      <c r="V1546" s="464">
        <f t="shared" si="1155"/>
        <v>2009</v>
      </c>
      <c r="W1546" s="612">
        <f t="shared" si="1156"/>
        <v>5224352888.3730125</v>
      </c>
      <c r="X1546" s="561"/>
      <c r="Y1546" s="449"/>
      <c r="Z1546" s="449"/>
      <c r="AA1546" s="693"/>
      <c r="AB1546" s="452"/>
      <c r="AC1546" s="452"/>
      <c r="AD1546" s="571"/>
      <c r="AE1546" s="452"/>
      <c r="AF1546" s="571"/>
      <c r="AG1546" s="452"/>
      <c r="AH1546" s="452"/>
      <c r="AI1546" s="453"/>
      <c r="AJ1546" s="449"/>
      <c r="AK1546" s="453"/>
      <c r="AL1546" s="454"/>
      <c r="AM1546" s="455"/>
      <c r="AN1546" s="456"/>
      <c r="AO1546" s="455"/>
      <c r="AP1546" s="452"/>
      <c r="AQ1546" s="457"/>
      <c r="AR1546" s="449"/>
      <c r="AS1546" s="449"/>
      <c r="AT1546" s="452"/>
      <c r="AU1546" s="457"/>
      <c r="AV1546" s="449"/>
      <c r="AW1546" s="458"/>
      <c r="AX1546" s="452"/>
      <c r="AY1546" s="457"/>
      <c r="AZ1546" s="449"/>
      <c r="BA1546" s="459"/>
      <c r="BB1546" s="455"/>
      <c r="BC1546" s="460"/>
      <c r="BD1546" s="460"/>
      <c r="BG1546" s="462"/>
    </row>
    <row r="1547" spans="1:59" s="461" customFormat="1" ht="18" customHeight="1" x14ac:dyDescent="0.2">
      <c r="A1547" s="1368" t="str">
        <f t="shared" si="1157"/>
        <v>BENAI - KOTO RAJO2010</v>
      </c>
      <c r="B1547" s="1373"/>
      <c r="C1547" s="488"/>
      <c r="D1547" s="489"/>
      <c r="E1547" s="558"/>
      <c r="F1547" s="559">
        <v>2010</v>
      </c>
      <c r="G1547" s="619">
        <v>0</v>
      </c>
      <c r="H1547" s="464">
        <f t="shared" si="1142"/>
        <v>8</v>
      </c>
      <c r="I1547" s="560"/>
      <c r="J1547" s="468">
        <f t="shared" si="1143"/>
        <v>2017</v>
      </c>
      <c r="K1547" s="490">
        <f t="shared" si="1144"/>
        <v>0</v>
      </c>
      <c r="L1547" s="469">
        <f t="shared" si="1145"/>
        <v>0</v>
      </c>
      <c r="M1547" s="683">
        <f t="shared" si="1146"/>
        <v>0</v>
      </c>
      <c r="N1547" s="470">
        <f t="shared" si="1147"/>
        <v>8</v>
      </c>
      <c r="O1547" s="468">
        <f t="shared" si="1148"/>
        <v>2017</v>
      </c>
      <c r="P1547" s="616">
        <f t="shared" si="1149"/>
        <v>5224352888.3730125</v>
      </c>
      <c r="Q1547" s="472">
        <f t="shared" si="1150"/>
        <v>5224352888.3730125</v>
      </c>
      <c r="R1547" s="472">
        <f t="shared" si="1151"/>
        <v>653044111.04662669</v>
      </c>
      <c r="S1547" s="1189">
        <f t="shared" si="1152"/>
        <v>2010</v>
      </c>
      <c r="T1547" s="470">
        <f t="shared" si="1153"/>
        <v>1</v>
      </c>
      <c r="U1547" s="612">
        <f t="shared" si="1154"/>
        <v>653044111.04662669</v>
      </c>
      <c r="V1547" s="464">
        <f t="shared" si="1155"/>
        <v>2010</v>
      </c>
      <c r="W1547" s="612">
        <f t="shared" si="1156"/>
        <v>4571308777.3263855</v>
      </c>
      <c r="X1547" s="561"/>
      <c r="Y1547" s="449"/>
      <c r="Z1547" s="449"/>
      <c r="AA1547" s="693"/>
      <c r="AB1547" s="452"/>
      <c r="AC1547" s="452"/>
      <c r="AD1547" s="571"/>
      <c r="AE1547" s="452"/>
      <c r="AF1547" s="571"/>
      <c r="AG1547" s="452"/>
      <c r="AH1547" s="452"/>
      <c r="AI1547" s="453"/>
      <c r="AJ1547" s="449"/>
      <c r="AK1547" s="453"/>
      <c r="AL1547" s="454"/>
      <c r="AM1547" s="455"/>
      <c r="AN1547" s="456"/>
      <c r="AO1547" s="455"/>
      <c r="AP1547" s="452"/>
      <c r="AQ1547" s="457"/>
      <c r="AR1547" s="449"/>
      <c r="AS1547" s="449"/>
      <c r="AT1547" s="452"/>
      <c r="AU1547" s="457"/>
      <c r="AV1547" s="449"/>
      <c r="AW1547" s="458"/>
      <c r="AX1547" s="452"/>
      <c r="AY1547" s="457"/>
      <c r="AZ1547" s="449"/>
      <c r="BA1547" s="459"/>
      <c r="BB1547" s="455"/>
      <c r="BC1547" s="460"/>
      <c r="BD1547" s="460"/>
      <c r="BG1547" s="462"/>
    </row>
    <row r="1548" spans="1:59" s="461" customFormat="1" ht="18" customHeight="1" x14ac:dyDescent="0.2">
      <c r="A1548" s="1368" t="str">
        <f t="shared" si="1157"/>
        <v>BENAI - KOTO RAJO2011</v>
      </c>
      <c r="B1548" s="1373"/>
      <c r="C1548" s="488"/>
      <c r="D1548" s="489"/>
      <c r="E1548" s="558"/>
      <c r="F1548" s="559">
        <v>2011</v>
      </c>
      <c r="G1548" s="619">
        <v>0</v>
      </c>
      <c r="H1548" s="464">
        <f t="shared" si="1142"/>
        <v>7</v>
      </c>
      <c r="I1548" s="560"/>
      <c r="J1548" s="468">
        <f t="shared" si="1143"/>
        <v>2017</v>
      </c>
      <c r="K1548" s="490">
        <f t="shared" si="1144"/>
        <v>0</v>
      </c>
      <c r="L1548" s="469">
        <f t="shared" si="1145"/>
        <v>0</v>
      </c>
      <c r="M1548" s="683">
        <f t="shared" si="1146"/>
        <v>0</v>
      </c>
      <c r="N1548" s="470">
        <f t="shared" si="1147"/>
        <v>7</v>
      </c>
      <c r="O1548" s="468">
        <f t="shared" si="1148"/>
        <v>2017</v>
      </c>
      <c r="P1548" s="616">
        <f t="shared" si="1149"/>
        <v>4571308777.3263855</v>
      </c>
      <c r="Q1548" s="472">
        <f t="shared" si="1150"/>
        <v>4571308777.3263855</v>
      </c>
      <c r="R1548" s="472">
        <f t="shared" si="1151"/>
        <v>653044111.04662669</v>
      </c>
      <c r="S1548" s="1189">
        <f t="shared" si="1152"/>
        <v>2011</v>
      </c>
      <c r="T1548" s="470">
        <f t="shared" si="1153"/>
        <v>1</v>
      </c>
      <c r="U1548" s="612">
        <f t="shared" si="1154"/>
        <v>653044111.04662669</v>
      </c>
      <c r="V1548" s="464">
        <f t="shared" si="1155"/>
        <v>2011</v>
      </c>
      <c r="W1548" s="612">
        <f t="shared" si="1156"/>
        <v>3918264666.2797589</v>
      </c>
      <c r="X1548" s="561"/>
      <c r="Y1548" s="449"/>
      <c r="Z1548" s="449"/>
      <c r="AA1548" s="693"/>
      <c r="AB1548" s="452"/>
      <c r="AC1548" s="452"/>
      <c r="AD1548" s="571"/>
      <c r="AE1548" s="452"/>
      <c r="AF1548" s="571"/>
      <c r="AG1548" s="452"/>
      <c r="AH1548" s="452"/>
      <c r="AI1548" s="453"/>
      <c r="AJ1548" s="449"/>
      <c r="AK1548" s="453"/>
      <c r="AL1548" s="454"/>
      <c r="AM1548" s="455"/>
      <c r="AN1548" s="456"/>
      <c r="AO1548" s="455"/>
      <c r="AP1548" s="452"/>
      <c r="AQ1548" s="457"/>
      <c r="AR1548" s="449"/>
      <c r="AS1548" s="449"/>
      <c r="AT1548" s="452"/>
      <c r="AU1548" s="457"/>
      <c r="AV1548" s="449"/>
      <c r="AW1548" s="458"/>
      <c r="AX1548" s="452"/>
      <c r="AY1548" s="457"/>
      <c r="AZ1548" s="449"/>
      <c r="BA1548" s="459"/>
      <c r="BB1548" s="455"/>
      <c r="BC1548" s="460"/>
      <c r="BD1548" s="460"/>
      <c r="BG1548" s="462"/>
    </row>
    <row r="1549" spans="1:59" s="461" customFormat="1" ht="18" customHeight="1" x14ac:dyDescent="0.2">
      <c r="A1549" s="1368" t="str">
        <f t="shared" si="1157"/>
        <v>BENAI - KOTO RAJO2012</v>
      </c>
      <c r="B1549" s="1373"/>
      <c r="C1549" s="488"/>
      <c r="D1549" s="489"/>
      <c r="E1549" s="558"/>
      <c r="F1549" s="559">
        <v>2012</v>
      </c>
      <c r="G1549" s="619">
        <v>0</v>
      </c>
      <c r="H1549" s="464">
        <f t="shared" si="1142"/>
        <v>6</v>
      </c>
      <c r="I1549" s="560"/>
      <c r="J1549" s="468">
        <f t="shared" si="1143"/>
        <v>2017</v>
      </c>
      <c r="K1549" s="490">
        <f t="shared" si="1144"/>
        <v>0</v>
      </c>
      <c r="L1549" s="469">
        <f t="shared" si="1145"/>
        <v>0</v>
      </c>
      <c r="M1549" s="683">
        <f t="shared" si="1146"/>
        <v>0</v>
      </c>
      <c r="N1549" s="470">
        <f t="shared" si="1147"/>
        <v>6</v>
      </c>
      <c r="O1549" s="468">
        <f t="shared" si="1148"/>
        <v>2017</v>
      </c>
      <c r="P1549" s="616">
        <f t="shared" si="1149"/>
        <v>3918264666.2797589</v>
      </c>
      <c r="Q1549" s="472">
        <f t="shared" si="1150"/>
        <v>3918264666.2797589</v>
      </c>
      <c r="R1549" s="472">
        <f t="shared" si="1151"/>
        <v>653044111.04662669</v>
      </c>
      <c r="S1549" s="1189">
        <f t="shared" si="1152"/>
        <v>2012</v>
      </c>
      <c r="T1549" s="470">
        <f t="shared" si="1153"/>
        <v>1</v>
      </c>
      <c r="U1549" s="612">
        <f t="shared" si="1154"/>
        <v>653044111.04662669</v>
      </c>
      <c r="V1549" s="464">
        <f t="shared" si="1155"/>
        <v>2012</v>
      </c>
      <c r="W1549" s="612">
        <f t="shared" si="1156"/>
        <v>3265220555.2331324</v>
      </c>
      <c r="X1549" s="561"/>
      <c r="Y1549" s="449"/>
      <c r="Z1549" s="449"/>
      <c r="AA1549" s="694"/>
      <c r="AB1549" s="692"/>
      <c r="AC1549" s="692"/>
      <c r="AD1549" s="695"/>
      <c r="AE1549" s="452"/>
      <c r="AF1549" s="571"/>
      <c r="AG1549" s="452"/>
      <c r="AH1549" s="452"/>
      <c r="AI1549" s="453"/>
      <c r="AJ1549" s="449"/>
      <c r="AK1549" s="453"/>
      <c r="AL1549" s="454"/>
      <c r="AM1549" s="455"/>
      <c r="AN1549" s="456"/>
      <c r="AO1549" s="455"/>
      <c r="AP1549" s="452"/>
      <c r="AQ1549" s="457"/>
      <c r="AR1549" s="449"/>
      <c r="AS1549" s="449"/>
      <c r="AT1549" s="452"/>
      <c r="AU1549" s="457"/>
      <c r="AV1549" s="449"/>
      <c r="AW1549" s="458"/>
      <c r="AX1549" s="452"/>
      <c r="AY1549" s="457"/>
      <c r="AZ1549" s="449"/>
      <c r="BA1549" s="459"/>
      <c r="BB1549" s="455"/>
      <c r="BC1549" s="460"/>
      <c r="BD1549" s="460"/>
      <c r="BG1549" s="462"/>
    </row>
    <row r="1550" spans="1:59" s="461" customFormat="1" ht="18" customHeight="1" x14ac:dyDescent="0.2">
      <c r="A1550" s="1368" t="str">
        <f t="shared" si="1157"/>
        <v>BENAI - KOTO RAJO2013</v>
      </c>
      <c r="B1550" s="1373"/>
      <c r="C1550" s="488"/>
      <c r="D1550" s="489"/>
      <c r="E1550" s="558"/>
      <c r="F1550" s="559">
        <v>2013</v>
      </c>
      <c r="G1550" s="619">
        <v>0</v>
      </c>
      <c r="H1550" s="464">
        <f t="shared" si="1142"/>
        <v>5</v>
      </c>
      <c r="I1550" s="560"/>
      <c r="J1550" s="468">
        <f t="shared" si="1143"/>
        <v>2017</v>
      </c>
      <c r="K1550" s="490">
        <f t="shared" si="1144"/>
        <v>0</v>
      </c>
      <c r="L1550" s="469">
        <f t="shared" si="1145"/>
        <v>0</v>
      </c>
      <c r="M1550" s="683">
        <f t="shared" si="1146"/>
        <v>0</v>
      </c>
      <c r="N1550" s="470">
        <f t="shared" si="1147"/>
        <v>5</v>
      </c>
      <c r="O1550" s="468">
        <f t="shared" si="1148"/>
        <v>2017</v>
      </c>
      <c r="P1550" s="616">
        <f t="shared" si="1149"/>
        <v>3265220555.2331324</v>
      </c>
      <c r="Q1550" s="472">
        <f t="shared" si="1150"/>
        <v>3265220555.2331324</v>
      </c>
      <c r="R1550" s="472">
        <f t="shared" si="1151"/>
        <v>653044111.04662669</v>
      </c>
      <c r="S1550" s="1189">
        <f t="shared" si="1152"/>
        <v>2013</v>
      </c>
      <c r="T1550" s="470">
        <f t="shared" si="1153"/>
        <v>1</v>
      </c>
      <c r="U1550" s="612">
        <f t="shared" si="1154"/>
        <v>653044111.04662669</v>
      </c>
      <c r="V1550" s="464">
        <f t="shared" si="1155"/>
        <v>2013</v>
      </c>
      <c r="W1550" s="612">
        <f t="shared" si="1156"/>
        <v>2612176444.1865058</v>
      </c>
      <c r="X1550" s="561"/>
      <c r="Y1550" s="449"/>
      <c r="Z1550" s="449"/>
      <c r="AA1550" s="554" t="s">
        <v>4179</v>
      </c>
      <c r="AB1550" s="452"/>
      <c r="AC1550" s="452"/>
      <c r="AD1550" s="566"/>
      <c r="AE1550" s="452"/>
      <c r="AF1550" s="571"/>
      <c r="AG1550" s="452"/>
      <c r="AH1550" s="452"/>
      <c r="AI1550" s="453"/>
      <c r="AJ1550" s="449"/>
      <c r="AK1550" s="453"/>
      <c r="AL1550" s="454"/>
      <c r="AM1550" s="455"/>
      <c r="AN1550" s="456"/>
      <c r="AO1550" s="455"/>
      <c r="AP1550" s="452"/>
      <c r="AQ1550" s="457"/>
      <c r="AR1550" s="449"/>
      <c r="AS1550" s="449"/>
      <c r="AT1550" s="452"/>
      <c r="AU1550" s="457"/>
      <c r="AV1550" s="449"/>
      <c r="AW1550" s="458"/>
      <c r="AX1550" s="452"/>
      <c r="AY1550" s="457"/>
      <c r="AZ1550" s="449"/>
      <c r="BA1550" s="459"/>
      <c r="BB1550" s="455"/>
      <c r="BC1550" s="460"/>
      <c r="BD1550" s="460"/>
      <c r="BG1550" s="462"/>
    </row>
    <row r="1551" spans="1:59" s="461" customFormat="1" ht="18" customHeight="1" x14ac:dyDescent="0.2">
      <c r="A1551" s="1368" t="str">
        <f t="shared" si="1157"/>
        <v>BENAI - KOTO RAJO2014</v>
      </c>
      <c r="B1551" s="1373">
        <v>4</v>
      </c>
      <c r="C1551" s="488" t="s">
        <v>1313</v>
      </c>
      <c r="D1551" s="489"/>
      <c r="E1551" s="558"/>
      <c r="F1551" s="559">
        <v>2014</v>
      </c>
      <c r="G1551" s="619">
        <v>1930134008</v>
      </c>
      <c r="H1551" s="464">
        <f t="shared" si="1142"/>
        <v>4</v>
      </c>
      <c r="I1551" s="560"/>
      <c r="J1551" s="468">
        <f t="shared" si="1143"/>
        <v>2023</v>
      </c>
      <c r="K1551" s="490">
        <f t="shared" si="1144"/>
        <v>0.73889878775056861</v>
      </c>
      <c r="L1551" s="469">
        <f t="shared" si="1145"/>
        <v>10</v>
      </c>
      <c r="M1551" s="683">
        <f t="shared" si="1146"/>
        <v>6</v>
      </c>
      <c r="N1551" s="470">
        <f t="shared" si="1147"/>
        <v>10</v>
      </c>
      <c r="O1551" s="468">
        <f t="shared" si="1148"/>
        <v>2023</v>
      </c>
      <c r="P1551" s="616">
        <f t="shared" si="1149"/>
        <v>2612176444.1865058</v>
      </c>
      <c r="Q1551" s="472">
        <f t="shared" si="1150"/>
        <v>4542310452.1865063</v>
      </c>
      <c r="R1551" s="472">
        <f t="shared" si="1151"/>
        <v>454231045.21865064</v>
      </c>
      <c r="S1551" s="1189">
        <f t="shared" si="1152"/>
        <v>2014</v>
      </c>
      <c r="T1551" s="470">
        <f t="shared" si="1153"/>
        <v>1</v>
      </c>
      <c r="U1551" s="612">
        <f t="shared" si="1154"/>
        <v>454231045.21865064</v>
      </c>
      <c r="V1551" s="464">
        <f t="shared" si="1155"/>
        <v>2014</v>
      </c>
      <c r="W1551" s="612">
        <f t="shared" si="1156"/>
        <v>4088079406.9678555</v>
      </c>
      <c r="X1551" s="561"/>
      <c r="Y1551" s="449"/>
      <c r="Z1551" s="449"/>
      <c r="AA1551" s="554"/>
      <c r="AB1551" s="452"/>
      <c r="AC1551" s="452"/>
      <c r="AD1551" s="566"/>
      <c r="AE1551" s="452"/>
      <c r="AF1551" s="571"/>
      <c r="AG1551" s="452"/>
      <c r="AH1551" s="452"/>
      <c r="AI1551" s="453"/>
      <c r="AJ1551" s="449"/>
      <c r="AK1551" s="453"/>
      <c r="AL1551" s="454"/>
      <c r="AM1551" s="455"/>
      <c r="AN1551" s="456"/>
      <c r="AO1551" s="455"/>
      <c r="AP1551" s="452"/>
      <c r="AQ1551" s="457"/>
      <c r="AR1551" s="449"/>
      <c r="AS1551" s="449"/>
      <c r="AT1551" s="452"/>
      <c r="AU1551" s="457"/>
      <c r="AV1551" s="449"/>
      <c r="AW1551" s="458"/>
      <c r="AX1551" s="452"/>
      <c r="AY1551" s="457"/>
      <c r="AZ1551" s="449"/>
      <c r="BA1551" s="459"/>
      <c r="BB1551" s="455"/>
      <c r="BC1551" s="460"/>
      <c r="BD1551" s="460"/>
      <c r="BG1551" s="462"/>
    </row>
    <row r="1552" spans="1:59" s="461" customFormat="1" ht="18" customHeight="1" x14ac:dyDescent="0.2">
      <c r="A1552" s="1368" t="str">
        <f t="shared" si="1157"/>
        <v>BENAI - KOTO RAJO2015</v>
      </c>
      <c r="B1552" s="1373"/>
      <c r="C1552" s="488"/>
      <c r="D1552" s="489"/>
      <c r="E1552" s="558"/>
      <c r="F1552" s="559">
        <v>2015</v>
      </c>
      <c r="G1552" s="619">
        <v>0</v>
      </c>
      <c r="H1552" s="464">
        <f t="shared" si="1142"/>
        <v>9</v>
      </c>
      <c r="I1552" s="560"/>
      <c r="J1552" s="468">
        <f t="shared" si="1143"/>
        <v>2023</v>
      </c>
      <c r="K1552" s="490">
        <f t="shared" si="1144"/>
        <v>0</v>
      </c>
      <c r="L1552" s="469">
        <f t="shared" si="1145"/>
        <v>0</v>
      </c>
      <c r="M1552" s="683">
        <f t="shared" si="1146"/>
        <v>0</v>
      </c>
      <c r="N1552" s="470">
        <f t="shared" si="1147"/>
        <v>9</v>
      </c>
      <c r="O1552" s="468">
        <f t="shared" si="1148"/>
        <v>2023</v>
      </c>
      <c r="P1552" s="616">
        <f t="shared" si="1149"/>
        <v>4088079406.9678555</v>
      </c>
      <c r="Q1552" s="472">
        <f t="shared" si="1150"/>
        <v>4088079406.9678555</v>
      </c>
      <c r="R1552" s="472">
        <f t="shared" si="1151"/>
        <v>454231045.21865064</v>
      </c>
      <c r="S1552" s="1189">
        <f t="shared" si="1152"/>
        <v>2015</v>
      </c>
      <c r="T1552" s="470">
        <f t="shared" si="1153"/>
        <v>1</v>
      </c>
      <c r="U1552" s="612">
        <f t="shared" si="1154"/>
        <v>454231045.21865064</v>
      </c>
      <c r="V1552" s="464">
        <f t="shared" si="1155"/>
        <v>2015</v>
      </c>
      <c r="W1552" s="612">
        <f t="shared" si="1156"/>
        <v>3633848361.7492046</v>
      </c>
      <c r="X1552" s="561"/>
      <c r="Y1552" s="449"/>
      <c r="Z1552" s="449"/>
      <c r="AA1552" s="554"/>
      <c r="AB1552" s="452"/>
      <c r="AC1552" s="452"/>
      <c r="AD1552" s="566"/>
      <c r="AE1552" s="452"/>
      <c r="AF1552" s="571"/>
      <c r="AG1552" s="452"/>
      <c r="AH1552" s="452"/>
      <c r="AI1552" s="453"/>
      <c r="AJ1552" s="449"/>
      <c r="AK1552" s="453"/>
      <c r="AL1552" s="454"/>
      <c r="AM1552" s="455"/>
      <c r="AN1552" s="456"/>
      <c r="AO1552" s="455"/>
      <c r="AP1552" s="452"/>
      <c r="AQ1552" s="457"/>
      <c r="AR1552" s="449"/>
      <c r="AS1552" s="449"/>
      <c r="AT1552" s="452"/>
      <c r="AU1552" s="457"/>
      <c r="AV1552" s="449"/>
      <c r="AW1552" s="458"/>
      <c r="AX1552" s="452"/>
      <c r="AY1552" s="457"/>
      <c r="AZ1552" s="449"/>
      <c r="BA1552" s="459"/>
      <c r="BB1552" s="455"/>
      <c r="BC1552" s="460"/>
      <c r="BD1552" s="460"/>
      <c r="BG1552" s="462"/>
    </row>
    <row r="1553" spans="1:59" s="461" customFormat="1" ht="18" customHeight="1" x14ac:dyDescent="0.2">
      <c r="A1553" s="1368" t="str">
        <f t="shared" si="1157"/>
        <v>BENAI - KOTO RAJO2016</v>
      </c>
      <c r="B1553" s="1373"/>
      <c r="C1553" s="488"/>
      <c r="D1553" s="489"/>
      <c r="E1553" s="558"/>
      <c r="F1553" s="559">
        <v>2016</v>
      </c>
      <c r="G1553" s="619">
        <v>0</v>
      </c>
      <c r="H1553" s="464">
        <f t="shared" si="1142"/>
        <v>8</v>
      </c>
      <c r="I1553" s="560"/>
      <c r="J1553" s="468">
        <f t="shared" si="1143"/>
        <v>2023</v>
      </c>
      <c r="K1553" s="490">
        <f t="shared" si="1144"/>
        <v>0</v>
      </c>
      <c r="L1553" s="469">
        <f t="shared" si="1145"/>
        <v>0</v>
      </c>
      <c r="M1553" s="683">
        <f t="shared" si="1146"/>
        <v>0</v>
      </c>
      <c r="N1553" s="470">
        <f t="shared" si="1147"/>
        <v>8</v>
      </c>
      <c r="O1553" s="468">
        <f t="shared" si="1148"/>
        <v>2023</v>
      </c>
      <c r="P1553" s="616">
        <f t="shared" si="1149"/>
        <v>3633848361.7492046</v>
      </c>
      <c r="Q1553" s="472">
        <f t="shared" si="1150"/>
        <v>3633848361.7492046</v>
      </c>
      <c r="R1553" s="472">
        <f t="shared" si="1151"/>
        <v>454231045.21865064</v>
      </c>
      <c r="S1553" s="1189">
        <f t="shared" si="1152"/>
        <v>2016</v>
      </c>
      <c r="T1553" s="470">
        <f t="shared" si="1153"/>
        <v>1</v>
      </c>
      <c r="U1553" s="612">
        <f t="shared" si="1154"/>
        <v>454231045.21865064</v>
      </c>
      <c r="V1553" s="464">
        <f t="shared" si="1155"/>
        <v>2016</v>
      </c>
      <c r="W1553" s="612">
        <f t="shared" si="1156"/>
        <v>3179617316.5305538</v>
      </c>
      <c r="X1553" s="561"/>
      <c r="Y1553" s="449"/>
      <c r="Z1553" s="449"/>
      <c r="AA1553" s="554"/>
      <c r="AB1553" s="452"/>
      <c r="AC1553" s="452"/>
      <c r="AD1553" s="566"/>
      <c r="AE1553" s="452"/>
      <c r="AF1553" s="571"/>
      <c r="AG1553" s="452"/>
      <c r="AH1553" s="452"/>
      <c r="AI1553" s="453"/>
      <c r="AJ1553" s="449"/>
      <c r="AK1553" s="453"/>
      <c r="AL1553" s="454"/>
      <c r="AM1553" s="455"/>
      <c r="AN1553" s="456"/>
      <c r="AO1553" s="455"/>
      <c r="AP1553" s="452"/>
      <c r="AQ1553" s="457"/>
      <c r="AR1553" s="449"/>
      <c r="AS1553" s="449"/>
      <c r="AT1553" s="452"/>
      <c r="AU1553" s="457"/>
      <c r="AV1553" s="449"/>
      <c r="AW1553" s="458"/>
      <c r="AX1553" s="452"/>
      <c r="AY1553" s="457"/>
      <c r="AZ1553" s="449"/>
      <c r="BA1553" s="459"/>
      <c r="BB1553" s="455"/>
      <c r="BC1553" s="460"/>
      <c r="BD1553" s="460"/>
      <c r="BG1553" s="462"/>
    </row>
    <row r="1554" spans="1:59" s="486" customFormat="1" ht="18" customHeight="1" x14ac:dyDescent="0.2">
      <c r="A1554" s="1368" t="str">
        <f t="shared" si="1157"/>
        <v>BENAI - KOTO RAJO2017</v>
      </c>
      <c r="B1554" s="1373">
        <v>5</v>
      </c>
      <c r="C1554" s="488" t="s">
        <v>3035</v>
      </c>
      <c r="D1554" s="489" t="s">
        <v>3821</v>
      </c>
      <c r="E1554" s="558"/>
      <c r="F1554" s="559">
        <v>2017</v>
      </c>
      <c r="G1554" s="619">
        <f>6716002158+248765000</f>
        <v>6964767158</v>
      </c>
      <c r="H1554" s="464">
        <f t="shared" si="1142"/>
        <v>7</v>
      </c>
      <c r="I1554" s="560"/>
      <c r="J1554" s="468">
        <f t="shared" si="1143"/>
        <v>2026</v>
      </c>
      <c r="K1554" s="490">
        <f t="shared" si="1144"/>
        <v>2.1904419509199364</v>
      </c>
      <c r="L1554" s="469">
        <f t="shared" si="1145"/>
        <v>10</v>
      </c>
      <c r="M1554" s="683">
        <f t="shared" si="1146"/>
        <v>3</v>
      </c>
      <c r="N1554" s="470">
        <f t="shared" si="1147"/>
        <v>10</v>
      </c>
      <c r="O1554" s="468">
        <f t="shared" si="1148"/>
        <v>2026</v>
      </c>
      <c r="P1554" s="616">
        <f t="shared" si="1149"/>
        <v>3179617316.5305538</v>
      </c>
      <c r="Q1554" s="472">
        <f t="shared" si="1150"/>
        <v>10144384474.530554</v>
      </c>
      <c r="R1554" s="472">
        <f t="shared" si="1151"/>
        <v>1014438447.4530554</v>
      </c>
      <c r="S1554" s="1189">
        <f t="shared" si="1152"/>
        <v>2017</v>
      </c>
      <c r="T1554" s="470">
        <f t="shared" si="1153"/>
        <v>1</v>
      </c>
      <c r="U1554" s="612">
        <f t="shared" si="1154"/>
        <v>1014438447.4530554</v>
      </c>
      <c r="V1554" s="464">
        <f t="shared" si="1155"/>
        <v>2017</v>
      </c>
      <c r="W1554" s="612">
        <f t="shared" si="1156"/>
        <v>9129946027.0774994</v>
      </c>
      <c r="X1554" s="561"/>
      <c r="Y1554" s="474"/>
      <c r="Z1554" s="449"/>
      <c r="AA1554" s="475" t="s">
        <v>4180</v>
      </c>
      <c r="AB1554" s="476"/>
      <c r="AC1554" s="476"/>
      <c r="AD1554" s="567">
        <f>G1560</f>
        <v>20878444863.475517</v>
      </c>
      <c r="AE1554" s="476"/>
      <c r="AF1554" s="568"/>
      <c r="AG1554" s="476"/>
      <c r="AH1554" s="476"/>
      <c r="AI1554" s="477"/>
      <c r="AJ1554" s="478"/>
      <c r="AK1554" s="479"/>
      <c r="AL1554" s="480"/>
      <c r="AM1554" s="474"/>
      <c r="AN1554" s="481"/>
      <c r="AO1554" s="474"/>
      <c r="AP1554" s="476"/>
      <c r="AQ1554" s="482"/>
      <c r="AR1554" s="478"/>
      <c r="AS1554" s="478"/>
      <c r="AT1554" s="476"/>
      <c r="AU1554" s="482"/>
      <c r="AV1554" s="478"/>
      <c r="AW1554" s="483"/>
      <c r="AX1554" s="476"/>
      <c r="AY1554" s="482"/>
      <c r="AZ1554" s="478"/>
      <c r="BA1554" s="484"/>
      <c r="BB1554" s="474"/>
      <c r="BC1554" s="485"/>
      <c r="BD1554" s="485"/>
      <c r="BG1554" s="487"/>
    </row>
    <row r="1555" spans="1:59" s="486" customFormat="1" ht="18" customHeight="1" x14ac:dyDescent="0.2">
      <c r="A1555" s="1368" t="str">
        <f t="shared" si="1157"/>
        <v>BENAI - KOTO RAJO2017</v>
      </c>
      <c r="B1555" s="1373">
        <v>6</v>
      </c>
      <c r="C1555" s="488" t="s">
        <v>3040</v>
      </c>
      <c r="D1555" s="489" t="s">
        <v>3821</v>
      </c>
      <c r="E1555" s="558"/>
      <c r="F1555" s="559">
        <v>2017</v>
      </c>
      <c r="G1555" s="619">
        <v>0</v>
      </c>
      <c r="H1555" s="464">
        <f t="shared" si="1142"/>
        <v>10</v>
      </c>
      <c r="I1555" s="560"/>
      <c r="J1555" s="468">
        <f t="shared" si="1143"/>
        <v>2026</v>
      </c>
      <c r="K1555" s="490">
        <f t="shared" si="1144"/>
        <v>0</v>
      </c>
      <c r="L1555" s="469">
        <f t="shared" si="1145"/>
        <v>0</v>
      </c>
      <c r="M1555" s="683">
        <f t="shared" si="1146"/>
        <v>0</v>
      </c>
      <c r="N1555" s="470">
        <f t="shared" si="1147"/>
        <v>10</v>
      </c>
      <c r="O1555" s="468">
        <f t="shared" si="1148"/>
        <v>2026</v>
      </c>
      <c r="P1555" s="616">
        <f t="shared" si="1149"/>
        <v>9129946027.0774994</v>
      </c>
      <c r="Q1555" s="472">
        <f t="shared" si="1150"/>
        <v>9129946027.0774994</v>
      </c>
      <c r="R1555" s="472">
        <f t="shared" si="1151"/>
        <v>1014438447.4530554</v>
      </c>
      <c r="S1555" s="1189">
        <f t="shared" si="1152"/>
        <v>2017</v>
      </c>
      <c r="T1555" s="470">
        <f t="shared" si="1153"/>
        <v>0</v>
      </c>
      <c r="U1555" s="612">
        <f t="shared" si="1154"/>
        <v>0</v>
      </c>
      <c r="V1555" s="464">
        <f t="shared" si="1155"/>
        <v>2017</v>
      </c>
      <c r="W1555" s="612">
        <f t="shared" si="1156"/>
        <v>9129946027.0774994</v>
      </c>
      <c r="X1555" s="473"/>
      <c r="Y1555" s="478"/>
      <c r="Z1555" s="449"/>
      <c r="AA1555" s="475" t="s">
        <v>4181</v>
      </c>
      <c r="AB1555" s="491"/>
      <c r="AC1555" s="491"/>
      <c r="AD1555" s="567">
        <f>U1560</f>
        <v>13777375731.304134</v>
      </c>
      <c r="AE1555" s="491"/>
      <c r="AF1555" s="568"/>
      <c r="AG1555" s="491"/>
      <c r="AH1555" s="491"/>
      <c r="AI1555" s="477"/>
      <c r="AJ1555" s="478"/>
      <c r="AK1555" s="479"/>
      <c r="AL1555" s="480"/>
      <c r="AM1555" s="474"/>
      <c r="AN1555" s="481"/>
      <c r="AO1555" s="474"/>
      <c r="AP1555" s="476"/>
      <c r="AQ1555" s="482"/>
      <c r="AR1555" s="478"/>
      <c r="AS1555" s="478"/>
      <c r="AT1555" s="476"/>
      <c r="AU1555" s="482"/>
      <c r="AV1555" s="478"/>
      <c r="AW1555" s="483"/>
      <c r="AX1555" s="476"/>
      <c r="AY1555" s="482"/>
      <c r="AZ1555" s="478"/>
      <c r="BA1555" s="484"/>
      <c r="BB1555" s="474"/>
      <c r="BC1555" s="485"/>
      <c r="BD1555" s="485"/>
      <c r="BG1555" s="487"/>
    </row>
    <row r="1556" spans="1:59" s="486" customFormat="1" ht="18" customHeight="1" x14ac:dyDescent="0.2">
      <c r="A1556" s="1368" t="str">
        <f t="shared" si="1157"/>
        <v>BENAI - KOTO RAJO2018</v>
      </c>
      <c r="B1556" s="1373"/>
      <c r="C1556" s="488"/>
      <c r="D1556" s="489"/>
      <c r="E1556" s="558"/>
      <c r="F1556" s="559">
        <v>2018</v>
      </c>
      <c r="G1556" s="619">
        <v>0</v>
      </c>
      <c r="H1556" s="464">
        <f t="shared" si="1142"/>
        <v>9</v>
      </c>
      <c r="I1556" s="560"/>
      <c r="J1556" s="468">
        <f t="shared" si="1143"/>
        <v>2026</v>
      </c>
      <c r="K1556" s="490">
        <f t="shared" si="1144"/>
        <v>0</v>
      </c>
      <c r="L1556" s="469">
        <f t="shared" si="1145"/>
        <v>0</v>
      </c>
      <c r="M1556" s="683">
        <f t="shared" si="1146"/>
        <v>0</v>
      </c>
      <c r="N1556" s="470">
        <f t="shared" si="1147"/>
        <v>9</v>
      </c>
      <c r="O1556" s="468">
        <f t="shared" si="1148"/>
        <v>2026</v>
      </c>
      <c r="P1556" s="616">
        <f t="shared" si="1149"/>
        <v>9129946027.0774994</v>
      </c>
      <c r="Q1556" s="472">
        <f t="shared" si="1150"/>
        <v>9129946027.0774994</v>
      </c>
      <c r="R1556" s="472">
        <f t="shared" si="1151"/>
        <v>1014438447.4530554</v>
      </c>
      <c r="S1556" s="1189">
        <f t="shared" si="1152"/>
        <v>2018</v>
      </c>
      <c r="T1556" s="470">
        <f t="shared" si="1153"/>
        <v>1</v>
      </c>
      <c r="U1556" s="612">
        <f t="shared" si="1154"/>
        <v>1014438447.4530554</v>
      </c>
      <c r="V1556" s="464">
        <f t="shared" si="1155"/>
        <v>2018</v>
      </c>
      <c r="W1556" s="612">
        <f t="shared" si="1156"/>
        <v>8115507579.624444</v>
      </c>
      <c r="X1556" s="473"/>
      <c r="Y1556" s="478"/>
      <c r="Z1556" s="449"/>
      <c r="AA1556" s="492" t="s">
        <v>4182</v>
      </c>
      <c r="AB1556" s="476"/>
      <c r="AC1556" s="476"/>
      <c r="AD1556" s="567">
        <f>AD1554-AD1555</f>
        <v>7101069132.1713829</v>
      </c>
      <c r="AE1556" s="476"/>
      <c r="AF1556" s="568"/>
      <c r="AG1556" s="476"/>
      <c r="AH1556" s="476"/>
      <c r="AI1556" s="477"/>
      <c r="AJ1556" s="478"/>
      <c r="AK1556" s="479"/>
      <c r="AL1556" s="480"/>
      <c r="AM1556" s="474"/>
      <c r="AN1556" s="481"/>
      <c r="AO1556" s="474"/>
      <c r="AP1556" s="476"/>
      <c r="AQ1556" s="482"/>
      <c r="AR1556" s="478"/>
      <c r="AS1556" s="478"/>
      <c r="AT1556" s="476"/>
      <c r="AU1556" s="482"/>
      <c r="AV1556" s="478"/>
      <c r="AW1556" s="483"/>
      <c r="AX1556" s="476"/>
      <c r="AY1556" s="482"/>
      <c r="AZ1556" s="478"/>
      <c r="BA1556" s="484"/>
      <c r="BB1556" s="474"/>
      <c r="BC1556" s="485"/>
      <c r="BD1556" s="485"/>
      <c r="BG1556" s="487"/>
    </row>
    <row r="1557" spans="1:59" s="486" customFormat="1" ht="18" customHeight="1" x14ac:dyDescent="0.2">
      <c r="A1557" s="1368" t="str">
        <f t="shared" si="1157"/>
        <v>BENAI - KOTO RAJO2019</v>
      </c>
      <c r="B1557" s="1374"/>
      <c r="C1557" s="488"/>
      <c r="D1557" s="489"/>
      <c r="E1557" s="558"/>
      <c r="F1557" s="559">
        <v>2019</v>
      </c>
      <c r="G1557" s="619">
        <v>0</v>
      </c>
      <c r="H1557" s="464">
        <f t="shared" si="1142"/>
        <v>8</v>
      </c>
      <c r="I1557" s="560"/>
      <c r="J1557" s="468">
        <f t="shared" si="1143"/>
        <v>2026</v>
      </c>
      <c r="K1557" s="490">
        <f t="shared" si="1144"/>
        <v>0</v>
      </c>
      <c r="L1557" s="469">
        <f t="shared" si="1145"/>
        <v>0</v>
      </c>
      <c r="M1557" s="683">
        <f t="shared" si="1146"/>
        <v>0</v>
      </c>
      <c r="N1557" s="470">
        <f t="shared" si="1147"/>
        <v>8</v>
      </c>
      <c r="O1557" s="468">
        <f t="shared" si="1148"/>
        <v>2026</v>
      </c>
      <c r="P1557" s="616">
        <f t="shared" si="1149"/>
        <v>8115507579.624444</v>
      </c>
      <c r="Q1557" s="472">
        <f t="shared" si="1150"/>
        <v>8115507579.624444</v>
      </c>
      <c r="R1557" s="472">
        <f t="shared" si="1151"/>
        <v>1014438447.4530554</v>
      </c>
      <c r="S1557" s="1189">
        <f t="shared" si="1152"/>
        <v>2019</v>
      </c>
      <c r="T1557" s="470">
        <f t="shared" si="1153"/>
        <v>1</v>
      </c>
      <c r="U1557" s="612">
        <f t="shared" si="1154"/>
        <v>1014438447.4530554</v>
      </c>
      <c r="V1557" s="464">
        <f t="shared" si="1155"/>
        <v>2019</v>
      </c>
      <c r="W1557" s="612">
        <f t="shared" si="1156"/>
        <v>7101069132.1713886</v>
      </c>
      <c r="X1557" s="473"/>
      <c r="Y1557" s="478"/>
      <c r="Z1557" s="449"/>
      <c r="AA1557" s="492"/>
      <c r="AB1557" s="476"/>
      <c r="AC1557" s="476"/>
      <c r="AD1557" s="567"/>
      <c r="AE1557" s="476"/>
      <c r="AF1557" s="568"/>
      <c r="AG1557" s="476"/>
      <c r="AH1557" s="476"/>
      <c r="AI1557" s="477"/>
      <c r="AJ1557" s="478"/>
      <c r="AK1557" s="479"/>
      <c r="AL1557" s="480"/>
      <c r="AM1557" s="474"/>
      <c r="AN1557" s="481"/>
      <c r="AO1557" s="474"/>
      <c r="AP1557" s="476"/>
      <c r="AQ1557" s="482"/>
      <c r="AR1557" s="478"/>
      <c r="AS1557" s="478"/>
      <c r="AT1557" s="476"/>
      <c r="AU1557" s="482"/>
      <c r="AV1557" s="478"/>
      <c r="AW1557" s="483"/>
      <c r="AX1557" s="476"/>
      <c r="AY1557" s="482"/>
      <c r="AZ1557" s="478"/>
      <c r="BA1557" s="484"/>
      <c r="BB1557" s="474"/>
      <c r="BC1557" s="485"/>
      <c r="BD1557" s="485"/>
      <c r="BG1557" s="487"/>
    </row>
    <row r="1558" spans="1:59" s="486" customFormat="1" ht="18" customHeight="1" x14ac:dyDescent="0.2">
      <c r="A1558" s="1368" t="str">
        <f>LEFT(D1558,8)</f>
        <v/>
      </c>
      <c r="B1558" s="687"/>
      <c r="C1558" s="488"/>
      <c r="D1558" s="489"/>
      <c r="E1558" s="558"/>
      <c r="F1558" s="466"/>
      <c r="G1558" s="619"/>
      <c r="H1558" s="464"/>
      <c r="I1558" s="467"/>
      <c r="J1558" s="468"/>
      <c r="K1558" s="490"/>
      <c r="L1558" s="469"/>
      <c r="M1558" s="683"/>
      <c r="N1558" s="470"/>
      <c r="O1558" s="468"/>
      <c r="P1558" s="616"/>
      <c r="Q1558" s="472"/>
      <c r="R1558" s="472"/>
      <c r="S1558" s="634"/>
      <c r="T1558" s="470"/>
      <c r="U1558" s="612"/>
      <c r="V1558" s="464"/>
      <c r="W1558" s="612"/>
      <c r="X1558" s="473"/>
      <c r="Y1558" s="478"/>
      <c r="Z1558" s="449"/>
      <c r="AA1558" s="531" t="s">
        <v>4183</v>
      </c>
      <c r="AB1558" s="496"/>
      <c r="AC1558" s="496"/>
      <c r="AD1558" s="569">
        <f>AD1556-W1560</f>
        <v>0</v>
      </c>
      <c r="AE1558" s="476"/>
      <c r="AF1558" s="568"/>
      <c r="AG1558" s="476"/>
      <c r="AH1558" s="476"/>
      <c r="AI1558" s="477"/>
      <c r="AJ1558" s="478"/>
      <c r="AK1558" s="479"/>
      <c r="AL1558" s="480"/>
      <c r="AM1558" s="474"/>
      <c r="AN1558" s="481"/>
      <c r="AO1558" s="474"/>
      <c r="AP1558" s="476"/>
      <c r="AQ1558" s="482"/>
      <c r="AR1558" s="478"/>
      <c r="AS1558" s="478"/>
      <c r="AT1558" s="476"/>
      <c r="AU1558" s="482"/>
      <c r="AV1558" s="478"/>
      <c r="AW1558" s="483"/>
      <c r="AX1558" s="476"/>
      <c r="AY1558" s="482"/>
      <c r="AZ1558" s="478"/>
      <c r="BA1558" s="484"/>
      <c r="BB1558" s="474"/>
      <c r="BC1558" s="485"/>
      <c r="BD1558" s="485"/>
      <c r="BG1558" s="487"/>
    </row>
    <row r="1559" spans="1:59" s="486" customFormat="1" ht="18" customHeight="1" x14ac:dyDescent="0.2">
      <c r="A1559" s="1368" t="str">
        <f>LEFT(D1559,8)</f>
        <v/>
      </c>
      <c r="B1559" s="687"/>
      <c r="C1559" s="463"/>
      <c r="D1559" s="489"/>
      <c r="E1559" s="465"/>
      <c r="F1559" s="466"/>
      <c r="G1559" s="620"/>
      <c r="H1559" s="464"/>
      <c r="I1559" s="467"/>
      <c r="J1559" s="468"/>
      <c r="K1559" s="574"/>
      <c r="L1559" s="469"/>
      <c r="M1559" s="683"/>
      <c r="N1559" s="470"/>
      <c r="O1559" s="468"/>
      <c r="P1559" s="616"/>
      <c r="Q1559" s="472"/>
      <c r="R1559" s="472"/>
      <c r="S1559" s="634"/>
      <c r="T1559" s="470"/>
      <c r="U1559" s="612"/>
      <c r="V1559" s="464"/>
      <c r="W1559" s="612"/>
      <c r="X1559" s="473"/>
      <c r="Y1559" s="478"/>
      <c r="Z1559" s="449"/>
      <c r="AA1559" s="573"/>
      <c r="AB1559" s="476"/>
      <c r="AC1559" s="476"/>
      <c r="AD1559" s="568"/>
      <c r="AE1559" s="476"/>
      <c r="AF1559" s="568"/>
      <c r="AG1559" s="476"/>
      <c r="AH1559" s="476"/>
      <c r="AI1559" s="477"/>
      <c r="AJ1559" s="478"/>
      <c r="AK1559" s="479"/>
      <c r="AL1559" s="480"/>
      <c r="AM1559" s="474"/>
      <c r="AN1559" s="481"/>
      <c r="AO1559" s="474"/>
      <c r="AP1559" s="476"/>
      <c r="AQ1559" s="482"/>
      <c r="AR1559" s="478"/>
      <c r="AS1559" s="478"/>
      <c r="AT1559" s="476"/>
      <c r="AU1559" s="482"/>
      <c r="AV1559" s="478"/>
      <c r="AW1559" s="483"/>
      <c r="AX1559" s="476"/>
      <c r="AY1559" s="482"/>
      <c r="AZ1559" s="478"/>
      <c r="BA1559" s="484"/>
      <c r="BB1559" s="474"/>
      <c r="BC1559" s="485"/>
      <c r="BD1559" s="485"/>
      <c r="BG1559" s="487"/>
    </row>
    <row r="1560" spans="1:59" s="526" customFormat="1" ht="18" customHeight="1" x14ac:dyDescent="0.2">
      <c r="A1560" s="1370" t="s">
        <v>4184</v>
      </c>
      <c r="B1560" s="1956" t="s">
        <v>4184</v>
      </c>
      <c r="C1560" s="1957"/>
      <c r="D1560" s="1957"/>
      <c r="E1560" s="1957"/>
      <c r="F1560" s="1958"/>
      <c r="G1560" s="624">
        <f>SUM(G1541:G1559)</f>
        <v>20878444863.475517</v>
      </c>
      <c r="H1560" s="505"/>
      <c r="I1560" s="506"/>
      <c r="J1560" s="507"/>
      <c r="K1560" s="507"/>
      <c r="L1560" s="505"/>
      <c r="M1560" s="684"/>
      <c r="N1560" s="508"/>
      <c r="O1560" s="507"/>
      <c r="P1560" s="749"/>
      <c r="Q1560" s="510"/>
      <c r="R1560" s="511"/>
      <c r="S1560" s="512"/>
      <c r="T1560" s="512"/>
      <c r="U1560" s="610">
        <f>SUM(U1541:U1559)</f>
        <v>13777375731.304134</v>
      </c>
      <c r="V1560" s="513"/>
      <c r="W1560" s="610">
        <f>G1560-U1560</f>
        <v>7101069132.1713829</v>
      </c>
      <c r="X1560" s="514"/>
      <c r="Y1560" s="515"/>
      <c r="Z1560" s="515"/>
      <c r="AA1560" s="515"/>
      <c r="AB1560" s="515"/>
      <c r="AC1560" s="515"/>
      <c r="AD1560" s="570"/>
      <c r="AE1560" s="515"/>
      <c r="AF1560" s="570"/>
      <c r="AG1560" s="515"/>
      <c r="AH1560" s="515"/>
      <c r="AI1560" s="516"/>
      <c r="AJ1560" s="517"/>
      <c r="AK1560" s="518"/>
      <c r="AL1560" s="519"/>
      <c r="AM1560" s="520"/>
      <c r="AN1560" s="521"/>
      <c r="AO1560" s="520"/>
      <c r="AP1560" s="515"/>
      <c r="AQ1560" s="522"/>
      <c r="AR1560" s="517"/>
      <c r="AS1560" s="517"/>
      <c r="AT1560" s="515"/>
      <c r="AU1560" s="522"/>
      <c r="AV1560" s="517"/>
      <c r="AW1560" s="523"/>
      <c r="AX1560" s="515"/>
      <c r="AY1560" s="522"/>
      <c r="AZ1560" s="517"/>
      <c r="BA1560" s="524"/>
      <c r="BB1560" s="520"/>
      <c r="BC1560" s="525"/>
      <c r="BD1560" s="525"/>
      <c r="BG1560" s="527"/>
    </row>
    <row r="1561" spans="1:59" x14ac:dyDescent="0.2">
      <c r="AA1561" s="1363"/>
    </row>
    <row r="1563" spans="1:59" s="422" customFormat="1" ht="18" customHeight="1" x14ac:dyDescent="0.2">
      <c r="A1563" s="1366">
        <f>C1563</f>
        <v>263</v>
      </c>
      <c r="B1563" s="742" t="s">
        <v>4187</v>
      </c>
      <c r="C1563" s="556">
        <v>263</v>
      </c>
      <c r="D1563" s="553" t="str">
        <f>VLOOKUP(C1563,RUAS,2,FALSE)</f>
        <v>JK RUAS 85/85 - BANJAR LOPAK</v>
      </c>
      <c r="E1563" s="553"/>
      <c r="F1563" s="421"/>
      <c r="G1563" s="611"/>
      <c r="I1563" s="423"/>
      <c r="J1563" s="424"/>
      <c r="K1563" s="424"/>
      <c r="M1563" s="680"/>
      <c r="P1563" s="611"/>
      <c r="U1563" s="611"/>
      <c r="W1563" s="611"/>
      <c r="Y1563" s="425"/>
      <c r="Z1563" s="425"/>
      <c r="AA1563" s="425"/>
      <c r="AB1563" s="425"/>
      <c r="AC1563" s="425"/>
      <c r="AD1563" s="563"/>
      <c r="AE1563" s="425"/>
      <c r="AF1563" s="563"/>
      <c r="AG1563" s="425"/>
      <c r="AH1563" s="425"/>
      <c r="AI1563" s="425"/>
      <c r="AJ1563" s="425"/>
      <c r="AK1563" s="425"/>
      <c r="AL1563" s="425"/>
      <c r="AM1563" s="425"/>
      <c r="AN1563" s="425"/>
      <c r="AO1563" s="425"/>
      <c r="AP1563" s="425"/>
      <c r="AQ1563" s="425"/>
      <c r="AR1563" s="425"/>
      <c r="AS1563" s="425"/>
      <c r="AT1563" s="425"/>
      <c r="AU1563" s="425"/>
      <c r="AV1563" s="425"/>
      <c r="AW1563" s="425"/>
      <c r="AX1563" s="425"/>
      <c r="AY1563" s="425"/>
      <c r="AZ1563" s="425"/>
      <c r="BA1563" s="425"/>
      <c r="BB1563" s="425"/>
    </row>
    <row r="1564" spans="1:59" s="431" customFormat="1" ht="18" customHeight="1" x14ac:dyDescent="0.2">
      <c r="A1564" s="1367"/>
      <c r="B1564" s="1968" t="s">
        <v>5</v>
      </c>
      <c r="C1564" s="1968" t="s">
        <v>2280</v>
      </c>
      <c r="D1564" s="1968" t="s">
        <v>4157</v>
      </c>
      <c r="E1564" s="1968" t="s">
        <v>4158</v>
      </c>
      <c r="F1564" s="1968"/>
      <c r="G1564" s="2042" t="s">
        <v>4159</v>
      </c>
      <c r="H1564" s="1968" t="s">
        <v>4160</v>
      </c>
      <c r="I1564" s="1968"/>
      <c r="J1564" s="1968" t="s">
        <v>4185</v>
      </c>
      <c r="K1564" s="1964" t="s">
        <v>4162</v>
      </c>
      <c r="L1564" s="1968" t="s">
        <v>4163</v>
      </c>
      <c r="M1564" s="1971" t="s">
        <v>4164</v>
      </c>
      <c r="N1564" s="1962" t="s">
        <v>4165</v>
      </c>
      <c r="O1564" s="1968" t="s">
        <v>4166</v>
      </c>
      <c r="P1564" s="1972" t="s">
        <v>4167</v>
      </c>
      <c r="Q1564" s="1973"/>
      <c r="R1564" s="1180" t="s">
        <v>4186</v>
      </c>
      <c r="S1564" s="1972" t="s">
        <v>4169</v>
      </c>
      <c r="T1564" s="1974"/>
      <c r="U1564" s="1973"/>
      <c r="V1564" s="1975" t="s">
        <v>4170</v>
      </c>
      <c r="W1564" s="1975"/>
      <c r="X1564" s="1960" t="s">
        <v>4171</v>
      </c>
      <c r="Y1564" s="1959"/>
      <c r="Z1564" s="1181"/>
      <c r="AA1564" s="426"/>
      <c r="AB1564" s="426"/>
      <c r="AC1564" s="426"/>
      <c r="AD1564" s="564"/>
      <c r="AE1564" s="426"/>
      <c r="AF1564" s="564"/>
      <c r="AG1564" s="426"/>
      <c r="AH1564" s="426"/>
      <c r="AI1564" s="427"/>
      <c r="AJ1564" s="427"/>
      <c r="AK1564" s="427"/>
      <c r="AL1564" s="427"/>
      <c r="AM1564" s="428"/>
      <c r="AN1564" s="427"/>
      <c r="AO1564" s="427"/>
      <c r="AP1564" s="426"/>
      <c r="AQ1564" s="427"/>
      <c r="AR1564" s="427"/>
      <c r="AS1564" s="427"/>
      <c r="AT1564" s="426"/>
      <c r="AU1564" s="427"/>
      <c r="AV1564" s="427"/>
      <c r="AW1564" s="427"/>
      <c r="AX1564" s="426"/>
      <c r="AY1564" s="427"/>
      <c r="AZ1564" s="427"/>
      <c r="BA1564" s="427"/>
      <c r="BB1564" s="429"/>
      <c r="BC1564" s="430"/>
      <c r="BD1564" s="430"/>
    </row>
    <row r="1565" spans="1:59" s="431" customFormat="1" ht="18" customHeight="1" x14ac:dyDescent="0.2">
      <c r="A1565" s="1367"/>
      <c r="B1565" s="1968"/>
      <c r="C1565" s="1968"/>
      <c r="D1565" s="1968"/>
      <c r="E1565" s="1968"/>
      <c r="F1565" s="1968"/>
      <c r="G1565" s="2042"/>
      <c r="H1565" s="1968"/>
      <c r="I1565" s="1968"/>
      <c r="J1565" s="1968"/>
      <c r="K1565" s="1970"/>
      <c r="L1565" s="1968"/>
      <c r="M1565" s="1971"/>
      <c r="N1565" s="1963"/>
      <c r="O1565" s="1968"/>
      <c r="P1565" s="2037" t="s">
        <v>4172</v>
      </c>
      <c r="Q1565" s="1960" t="s">
        <v>4173</v>
      </c>
      <c r="R1565" s="1962" t="s">
        <v>4159</v>
      </c>
      <c r="S1565" s="1962" t="s">
        <v>4174</v>
      </c>
      <c r="T1565" s="1964" t="s">
        <v>4175</v>
      </c>
      <c r="U1565" s="1966" t="s">
        <v>4159</v>
      </c>
      <c r="V1565" s="1975"/>
      <c r="W1565" s="1975"/>
      <c r="X1565" s="1976"/>
      <c r="Y1565" s="1959"/>
      <c r="Z1565" s="1181"/>
      <c r="AA1565" s="426"/>
      <c r="AB1565" s="426"/>
      <c r="AC1565" s="426"/>
      <c r="AD1565" s="564"/>
      <c r="AE1565" s="426"/>
      <c r="AF1565" s="564"/>
      <c r="AG1565" s="426"/>
      <c r="AH1565" s="426"/>
      <c r="AI1565" s="427"/>
      <c r="AJ1565" s="427"/>
      <c r="AK1565" s="426"/>
      <c r="AL1565" s="427"/>
      <c r="AM1565" s="428"/>
      <c r="AN1565" s="427"/>
      <c r="AO1565" s="427"/>
      <c r="AP1565" s="432"/>
      <c r="AQ1565" s="427"/>
      <c r="AR1565" s="427"/>
      <c r="AS1565" s="427"/>
      <c r="AT1565" s="432"/>
      <c r="AU1565" s="427"/>
      <c r="AV1565" s="427"/>
      <c r="AW1565" s="427"/>
      <c r="AX1565" s="432"/>
      <c r="AY1565" s="427"/>
      <c r="AZ1565" s="427"/>
      <c r="BA1565" s="427"/>
      <c r="BB1565" s="429"/>
      <c r="BC1565" s="430"/>
      <c r="BD1565" s="430"/>
    </row>
    <row r="1566" spans="1:59" s="431" customFormat="1" ht="18" customHeight="1" x14ac:dyDescent="0.2">
      <c r="A1566" s="1367"/>
      <c r="B1566" s="1968"/>
      <c r="C1566" s="1968"/>
      <c r="D1566" s="1968"/>
      <c r="E1566" s="433" t="s">
        <v>4176</v>
      </c>
      <c r="F1566" s="434" t="s">
        <v>2288</v>
      </c>
      <c r="G1566" s="2042"/>
      <c r="H1566" s="1178" t="s">
        <v>2288</v>
      </c>
      <c r="I1566" s="1178" t="s">
        <v>4177</v>
      </c>
      <c r="J1566" s="1968"/>
      <c r="K1566" s="1965"/>
      <c r="L1566" s="435" t="s">
        <v>2288</v>
      </c>
      <c r="M1566" s="681" t="s">
        <v>2288</v>
      </c>
      <c r="N1566" s="1178" t="s">
        <v>2288</v>
      </c>
      <c r="O1566" s="1968"/>
      <c r="P1566" s="2038"/>
      <c r="Q1566" s="1961"/>
      <c r="R1566" s="1963"/>
      <c r="S1566" s="1963"/>
      <c r="T1566" s="1965"/>
      <c r="U1566" s="1967"/>
      <c r="V1566" s="1178" t="s">
        <v>4178</v>
      </c>
      <c r="W1566" s="1182" t="s">
        <v>4159</v>
      </c>
      <c r="X1566" s="1961"/>
      <c r="Y1566" s="436"/>
      <c r="Z1566" s="436"/>
      <c r="AA1566" s="426"/>
      <c r="AB1566" s="426"/>
      <c r="AC1566" s="426"/>
      <c r="AD1566" s="564"/>
      <c r="AE1566" s="426"/>
      <c r="AF1566" s="564"/>
      <c r="AG1566" s="426"/>
      <c r="AH1566" s="426"/>
      <c r="AI1566" s="427"/>
      <c r="AJ1566" s="432"/>
      <c r="AK1566" s="432"/>
      <c r="AL1566" s="427"/>
      <c r="AM1566" s="428"/>
      <c r="AN1566" s="432"/>
      <c r="AO1566" s="427"/>
      <c r="AP1566" s="432"/>
      <c r="AQ1566" s="432"/>
      <c r="AR1566" s="427"/>
      <c r="AS1566" s="427"/>
      <c r="AT1566" s="432"/>
      <c r="AU1566" s="432"/>
      <c r="AV1566" s="427"/>
      <c r="AW1566" s="427"/>
      <c r="AX1566" s="432"/>
      <c r="AY1566" s="432"/>
      <c r="AZ1566" s="427"/>
      <c r="BA1566" s="427"/>
      <c r="BB1566" s="429"/>
      <c r="BC1566" s="430"/>
      <c r="BD1566" s="430"/>
    </row>
    <row r="1567" spans="1:59" s="461" customFormat="1" ht="18" customHeight="1" x14ac:dyDescent="0.2">
      <c r="A1567" s="1368" t="str">
        <f>$D$1563&amp;S1567</f>
        <v>JK RUAS 85/85 - BANJAR LOPAK2001</v>
      </c>
      <c r="B1567" s="1373">
        <v>1</v>
      </c>
      <c r="C1567" s="532" t="s">
        <v>483</v>
      </c>
      <c r="D1567" s="437" t="s">
        <v>3821</v>
      </c>
      <c r="E1567" s="438"/>
      <c r="F1567" s="439">
        <v>2001</v>
      </c>
      <c r="G1567" s="623">
        <v>470400000</v>
      </c>
      <c r="H1567" s="440">
        <f>VLOOKUP(LEFT(D1567,8),UE,4)</f>
        <v>10</v>
      </c>
      <c r="I1567" s="441"/>
      <c r="J1567" s="442">
        <f>F1567+N1567-1</f>
        <v>2010</v>
      </c>
      <c r="K1567" s="443"/>
      <c r="L1567" s="440"/>
      <c r="M1567" s="746">
        <f>IF(H1567+L1567&gt;$H1567,$H1567-H1567,L1567)</f>
        <v>0</v>
      </c>
      <c r="N1567" s="444">
        <f>H1567+M1567</f>
        <v>10</v>
      </c>
      <c r="O1567" s="442">
        <f>F1567+N1567-1</f>
        <v>2010</v>
      </c>
      <c r="P1567" s="617">
        <f>G1567</f>
        <v>470400000</v>
      </c>
      <c r="Q1567" s="445">
        <v>0</v>
      </c>
      <c r="R1567" s="445">
        <f>P1567/N1567</f>
        <v>47040000</v>
      </c>
      <c r="S1567" s="446">
        <f t="shared" ref="S1567:S1574" si="1158">F1567</f>
        <v>2001</v>
      </c>
      <c r="T1567" s="447">
        <v>1</v>
      </c>
      <c r="U1567" s="613">
        <f t="shared" ref="U1567:U1574" si="1159">R1567*T1567</f>
        <v>47040000</v>
      </c>
      <c r="V1567" s="442">
        <f>F1567</f>
        <v>2001</v>
      </c>
      <c r="W1567" s="617">
        <f>IF(OR(AND(ISBLANK(E1567),ISBLANK(G1567)),ISTEXT(E1567),ISTEXT(G1567)),"",G1567-R1567)</f>
        <v>423360000</v>
      </c>
      <c r="X1567" s="448"/>
      <c r="Y1567" s="449"/>
      <c r="Z1567" s="449"/>
      <c r="AA1567" s="693"/>
      <c r="AB1567" s="452"/>
      <c r="AC1567" s="452"/>
      <c r="AD1567" s="571"/>
      <c r="AE1567" s="452"/>
      <c r="AF1567" s="571"/>
      <c r="AG1567" s="452"/>
      <c r="AH1567" s="452"/>
      <c r="AI1567" s="453"/>
      <c r="AJ1567" s="449"/>
      <c r="AK1567" s="453"/>
      <c r="AL1567" s="454"/>
      <c r="AM1567" s="455"/>
      <c r="AN1567" s="456"/>
      <c r="AO1567" s="455"/>
      <c r="AP1567" s="452"/>
      <c r="AQ1567" s="457"/>
      <c r="AR1567" s="449"/>
      <c r="AS1567" s="449"/>
      <c r="AT1567" s="452"/>
      <c r="AU1567" s="457"/>
      <c r="AV1567" s="449"/>
      <c r="AW1567" s="458"/>
      <c r="AX1567" s="452"/>
      <c r="AY1567" s="457"/>
      <c r="AZ1567" s="449"/>
      <c r="BA1567" s="459"/>
      <c r="BB1567" s="455"/>
      <c r="BC1567" s="460"/>
      <c r="BD1567" s="460"/>
      <c r="BG1567" s="462"/>
    </row>
    <row r="1568" spans="1:59" s="461" customFormat="1" ht="18" customHeight="1" x14ac:dyDescent="0.2">
      <c r="A1568" s="1368" t="str">
        <f t="shared" ref="A1568:A1581" si="1160">$D$1563&amp;S1568</f>
        <v>JK RUAS 85/85 - BANJAR LOPAK2006</v>
      </c>
      <c r="B1568" s="1373"/>
      <c r="C1568" s="488"/>
      <c r="D1568" s="489"/>
      <c r="E1568" s="558"/>
      <c r="F1568" s="559">
        <v>2006</v>
      </c>
      <c r="G1568" s="619">
        <v>0</v>
      </c>
      <c r="H1568" s="464">
        <f>IF(N1567-(F1568-F1567)&lt;=0,0,(N1567-(F1568-F1567)))</f>
        <v>5</v>
      </c>
      <c r="I1568" s="560"/>
      <c r="J1568" s="468">
        <f>F1568+N1568-1</f>
        <v>2010</v>
      </c>
      <c r="K1568" s="490">
        <f>IF(G1568=0,0,IF(H1568=10,100%,G1568/W1567))</f>
        <v>0</v>
      </c>
      <c r="L1568" s="469">
        <f>IF(K1568=0%,0,IF(K1568&lt;=30%,2,IF(K1568&lt;=60%,5,10)))</f>
        <v>0</v>
      </c>
      <c r="M1568" s="683">
        <f>IF(OR(AND(ISBLANK(E1568),ISBLANK(G1568)),ISTEXT(E1568),ISTEXT(G1568)),"",IF(H1568+L1568&gt;$H$8,$H$8-H1568,L1568))</f>
        <v>0</v>
      </c>
      <c r="N1568" s="470">
        <f>IF(OR(AND(ISBLANK(F1568),ISBLANK(G1568)),ISTEXT(F1568),ISTEXT(G1568)),"",H1568+M1568)</f>
        <v>5</v>
      </c>
      <c r="O1568" s="468">
        <f>F1568+N1568-1</f>
        <v>2010</v>
      </c>
      <c r="P1568" s="616">
        <f t="shared" ref="P1568:P1573" si="1161">W1567</f>
        <v>423360000</v>
      </c>
      <c r="Q1568" s="472">
        <f t="shared" ref="Q1568:Q1573" si="1162">P1568+G1568</f>
        <v>423360000</v>
      </c>
      <c r="R1568" s="472">
        <f t="shared" ref="R1568:R1574" si="1163">IF(L1568=0,R1567,Q1568/N1568)</f>
        <v>47040000</v>
      </c>
      <c r="S1568" s="1183">
        <f t="shared" si="1158"/>
        <v>2006</v>
      </c>
      <c r="T1568" s="470">
        <f t="shared" ref="T1568:T1574" si="1164">S1568-S1567</f>
        <v>5</v>
      </c>
      <c r="U1568" s="612">
        <f t="shared" si="1159"/>
        <v>235200000</v>
      </c>
      <c r="V1568" s="464">
        <f t="shared" ref="V1568:V1574" si="1165">F1568</f>
        <v>2006</v>
      </c>
      <c r="W1568" s="612">
        <f t="shared" ref="W1568:W1574" si="1166">IF(OR(AND(ISBLANK(E1568),ISBLANK(G1568)),ISTEXT(E1568),ISTEXT(G1568)),"",Q1568-U1568)</f>
        <v>188160000</v>
      </c>
      <c r="X1568" s="561"/>
      <c r="Y1568" s="449"/>
      <c r="Z1568" s="449"/>
      <c r="AA1568" s="693"/>
      <c r="AB1568" s="452"/>
      <c r="AC1568" s="452"/>
      <c r="AD1568" s="571"/>
      <c r="AE1568" s="452"/>
      <c r="AF1568" s="571"/>
      <c r="AG1568" s="452"/>
      <c r="AH1568" s="452"/>
      <c r="AI1568" s="453"/>
      <c r="AJ1568" s="449"/>
      <c r="AK1568" s="453"/>
      <c r="AL1568" s="454"/>
      <c r="AM1568" s="455"/>
      <c r="AN1568" s="456"/>
      <c r="AO1568" s="455"/>
      <c r="AP1568" s="452"/>
      <c r="AQ1568" s="457"/>
      <c r="AR1568" s="449"/>
      <c r="AS1568" s="449"/>
      <c r="AT1568" s="452"/>
      <c r="AU1568" s="457"/>
      <c r="AV1568" s="449"/>
      <c r="AW1568" s="458"/>
      <c r="AX1568" s="452"/>
      <c r="AY1568" s="457"/>
      <c r="AZ1568" s="449"/>
      <c r="BA1568" s="459"/>
      <c r="BB1568" s="455"/>
      <c r="BC1568" s="460"/>
      <c r="BD1568" s="460"/>
      <c r="BG1568" s="462"/>
    </row>
    <row r="1569" spans="1:59" s="461" customFormat="1" ht="18" customHeight="1" x14ac:dyDescent="0.2">
      <c r="A1569" s="1368" t="str">
        <f t="shared" si="1160"/>
        <v>JK RUAS 85/85 - BANJAR LOPAK2007</v>
      </c>
      <c r="B1569" s="1373"/>
      <c r="C1569" s="488"/>
      <c r="D1569" s="489"/>
      <c r="E1569" s="558"/>
      <c r="F1569" s="559">
        <v>2007</v>
      </c>
      <c r="G1569" s="619">
        <v>0</v>
      </c>
      <c r="H1569" s="464">
        <f t="shared" ref="H1569:H1574" si="1167">IF(N1568-(F1569-F1568)&lt;=0,0,(N1568-(F1569-F1568)))</f>
        <v>4</v>
      </c>
      <c r="I1569" s="560"/>
      <c r="J1569" s="468">
        <f t="shared" ref="J1569:J1574" si="1168">F1569+N1569-1</f>
        <v>2010</v>
      </c>
      <c r="K1569" s="490">
        <f t="shared" ref="K1569:K1574" si="1169">IF(G1569=0,0,IF(H1569=10,100%,G1569/W1568))</f>
        <v>0</v>
      </c>
      <c r="L1569" s="469">
        <f t="shared" ref="L1569:L1574" si="1170">IF(K1569=0%,0,IF(K1569&lt;=30%,2,IF(K1569&lt;=60%,5,10)))</f>
        <v>0</v>
      </c>
      <c r="M1569" s="683">
        <f t="shared" ref="M1569:M1574" si="1171">IF(OR(AND(ISBLANK(E1569),ISBLANK(G1569)),ISTEXT(E1569),ISTEXT(G1569)),"",IF(H1569+L1569&gt;$H$8,$H$8-H1569,L1569))</f>
        <v>0</v>
      </c>
      <c r="N1569" s="470">
        <f t="shared" ref="N1569:N1574" si="1172">IF(OR(AND(ISBLANK(F1569),ISBLANK(G1569)),ISTEXT(F1569),ISTEXT(G1569)),"",H1569+M1569)</f>
        <v>4</v>
      </c>
      <c r="O1569" s="468">
        <f t="shared" ref="O1569:O1574" si="1173">F1569+N1569-1</f>
        <v>2010</v>
      </c>
      <c r="P1569" s="616">
        <f t="shared" si="1161"/>
        <v>188160000</v>
      </c>
      <c r="Q1569" s="472">
        <f t="shared" si="1162"/>
        <v>188160000</v>
      </c>
      <c r="R1569" s="472">
        <f t="shared" si="1163"/>
        <v>47040000</v>
      </c>
      <c r="S1569" s="1183">
        <f t="shared" si="1158"/>
        <v>2007</v>
      </c>
      <c r="T1569" s="470">
        <f t="shared" si="1164"/>
        <v>1</v>
      </c>
      <c r="U1569" s="612">
        <f t="shared" si="1159"/>
        <v>47040000</v>
      </c>
      <c r="V1569" s="464">
        <f t="shared" si="1165"/>
        <v>2007</v>
      </c>
      <c r="W1569" s="612">
        <f t="shared" si="1166"/>
        <v>141120000</v>
      </c>
      <c r="X1569" s="561"/>
      <c r="Y1569" s="449"/>
      <c r="Z1569" s="449"/>
      <c r="AA1569" s="693"/>
      <c r="AB1569" s="452"/>
      <c r="AC1569" s="452"/>
      <c r="AD1569" s="571"/>
      <c r="AE1569" s="452"/>
      <c r="AF1569" s="571"/>
      <c r="AG1569" s="452"/>
      <c r="AH1569" s="452"/>
      <c r="AI1569" s="453"/>
      <c r="AJ1569" s="449"/>
      <c r="AK1569" s="453"/>
      <c r="AL1569" s="454"/>
      <c r="AM1569" s="455"/>
      <c r="AN1569" s="456"/>
      <c r="AO1569" s="455"/>
      <c r="AP1569" s="452"/>
      <c r="AQ1569" s="457"/>
      <c r="AR1569" s="449"/>
      <c r="AS1569" s="449"/>
      <c r="AT1569" s="452"/>
      <c r="AU1569" s="457"/>
      <c r="AV1569" s="449"/>
      <c r="AW1569" s="458"/>
      <c r="AX1569" s="452"/>
      <c r="AY1569" s="457"/>
      <c r="AZ1569" s="449"/>
      <c r="BA1569" s="459"/>
      <c r="BB1569" s="455"/>
      <c r="BC1569" s="460"/>
      <c r="BD1569" s="460"/>
      <c r="BG1569" s="462"/>
    </row>
    <row r="1570" spans="1:59" s="461" customFormat="1" ht="18" customHeight="1" x14ac:dyDescent="0.2">
      <c r="A1570" s="1368" t="str">
        <f t="shared" si="1160"/>
        <v>JK RUAS 85/85 - BANJAR LOPAK2008</v>
      </c>
      <c r="B1570" s="1373"/>
      <c r="C1570" s="488"/>
      <c r="D1570" s="489"/>
      <c r="E1570" s="558"/>
      <c r="F1570" s="559">
        <v>2008</v>
      </c>
      <c r="G1570" s="619">
        <v>0</v>
      </c>
      <c r="H1570" s="464">
        <f t="shared" si="1167"/>
        <v>3</v>
      </c>
      <c r="I1570" s="560"/>
      <c r="J1570" s="468">
        <f t="shared" si="1168"/>
        <v>2010</v>
      </c>
      <c r="K1570" s="490">
        <f t="shared" si="1169"/>
        <v>0</v>
      </c>
      <c r="L1570" s="469">
        <f t="shared" si="1170"/>
        <v>0</v>
      </c>
      <c r="M1570" s="683">
        <f t="shared" si="1171"/>
        <v>0</v>
      </c>
      <c r="N1570" s="470">
        <f t="shared" si="1172"/>
        <v>3</v>
      </c>
      <c r="O1570" s="468">
        <f t="shared" si="1173"/>
        <v>2010</v>
      </c>
      <c r="P1570" s="616">
        <f t="shared" si="1161"/>
        <v>141120000</v>
      </c>
      <c r="Q1570" s="472">
        <f t="shared" si="1162"/>
        <v>141120000</v>
      </c>
      <c r="R1570" s="472">
        <f t="shared" si="1163"/>
        <v>47040000</v>
      </c>
      <c r="S1570" s="1183">
        <f t="shared" si="1158"/>
        <v>2008</v>
      </c>
      <c r="T1570" s="470">
        <f t="shared" si="1164"/>
        <v>1</v>
      </c>
      <c r="U1570" s="612">
        <f t="shared" si="1159"/>
        <v>47040000</v>
      </c>
      <c r="V1570" s="464">
        <f t="shared" si="1165"/>
        <v>2008</v>
      </c>
      <c r="W1570" s="612">
        <f t="shared" si="1166"/>
        <v>94080000</v>
      </c>
      <c r="X1570" s="561"/>
      <c r="Y1570" s="449"/>
      <c r="Z1570" s="449"/>
      <c r="AA1570" s="693"/>
      <c r="AB1570" s="452"/>
      <c r="AC1570" s="452"/>
      <c r="AD1570" s="571"/>
      <c r="AE1570" s="452"/>
      <c r="AF1570" s="571"/>
      <c r="AG1570" s="452"/>
      <c r="AH1570" s="452"/>
      <c r="AI1570" s="453"/>
      <c r="AJ1570" s="449"/>
      <c r="AK1570" s="453"/>
      <c r="AL1570" s="454"/>
      <c r="AM1570" s="455"/>
      <c r="AN1570" s="456"/>
      <c r="AO1570" s="455"/>
      <c r="AP1570" s="452"/>
      <c r="AQ1570" s="457"/>
      <c r="AR1570" s="449"/>
      <c r="AS1570" s="449"/>
      <c r="AT1570" s="452"/>
      <c r="AU1570" s="457"/>
      <c r="AV1570" s="449"/>
      <c r="AW1570" s="458"/>
      <c r="AX1570" s="452"/>
      <c r="AY1570" s="457"/>
      <c r="AZ1570" s="449"/>
      <c r="BA1570" s="459"/>
      <c r="BB1570" s="455"/>
      <c r="BC1570" s="460"/>
      <c r="BD1570" s="460"/>
      <c r="BG1570" s="462"/>
    </row>
    <row r="1571" spans="1:59" s="461" customFormat="1" ht="18" customHeight="1" x14ac:dyDescent="0.2">
      <c r="A1571" s="1368" t="str">
        <f t="shared" si="1160"/>
        <v>JK RUAS 85/85 - BANJAR LOPAK2009</v>
      </c>
      <c r="B1571" s="1373"/>
      <c r="C1571" s="488"/>
      <c r="D1571" s="489"/>
      <c r="E1571" s="558"/>
      <c r="F1571" s="559">
        <v>2009</v>
      </c>
      <c r="G1571" s="619">
        <v>0</v>
      </c>
      <c r="H1571" s="464">
        <f t="shared" si="1167"/>
        <v>2</v>
      </c>
      <c r="I1571" s="560"/>
      <c r="J1571" s="468">
        <f t="shared" si="1168"/>
        <v>2010</v>
      </c>
      <c r="K1571" s="490">
        <f t="shared" si="1169"/>
        <v>0</v>
      </c>
      <c r="L1571" s="469">
        <f t="shared" si="1170"/>
        <v>0</v>
      </c>
      <c r="M1571" s="683">
        <f t="shared" si="1171"/>
        <v>0</v>
      </c>
      <c r="N1571" s="470">
        <f t="shared" si="1172"/>
        <v>2</v>
      </c>
      <c r="O1571" s="468">
        <f t="shared" si="1173"/>
        <v>2010</v>
      </c>
      <c r="P1571" s="616">
        <f t="shared" si="1161"/>
        <v>94080000</v>
      </c>
      <c r="Q1571" s="472">
        <f t="shared" si="1162"/>
        <v>94080000</v>
      </c>
      <c r="R1571" s="472">
        <f t="shared" si="1163"/>
        <v>47040000</v>
      </c>
      <c r="S1571" s="1183">
        <f t="shared" si="1158"/>
        <v>2009</v>
      </c>
      <c r="T1571" s="470">
        <f t="shared" si="1164"/>
        <v>1</v>
      </c>
      <c r="U1571" s="612">
        <f t="shared" si="1159"/>
        <v>47040000</v>
      </c>
      <c r="V1571" s="464">
        <f t="shared" si="1165"/>
        <v>2009</v>
      </c>
      <c r="W1571" s="612">
        <f t="shared" si="1166"/>
        <v>47040000</v>
      </c>
      <c r="X1571" s="561"/>
      <c r="Y1571" s="449"/>
      <c r="Z1571" s="449"/>
      <c r="AA1571" s="693"/>
      <c r="AB1571" s="452"/>
      <c r="AC1571" s="452"/>
      <c r="AD1571" s="571"/>
      <c r="AE1571" s="452"/>
      <c r="AF1571" s="571"/>
      <c r="AG1571" s="452"/>
      <c r="AH1571" s="452"/>
      <c r="AI1571" s="453"/>
      <c r="AJ1571" s="449"/>
      <c r="AK1571" s="453"/>
      <c r="AL1571" s="454"/>
      <c r="AM1571" s="455"/>
      <c r="AN1571" s="456"/>
      <c r="AO1571" s="455"/>
      <c r="AP1571" s="452"/>
      <c r="AQ1571" s="457"/>
      <c r="AR1571" s="449"/>
      <c r="AS1571" s="449"/>
      <c r="AT1571" s="452"/>
      <c r="AU1571" s="457"/>
      <c r="AV1571" s="449"/>
      <c r="AW1571" s="458"/>
      <c r="AX1571" s="452"/>
      <c r="AY1571" s="457"/>
      <c r="AZ1571" s="449"/>
      <c r="BA1571" s="459"/>
      <c r="BB1571" s="455"/>
      <c r="BC1571" s="460"/>
      <c r="BD1571" s="460"/>
      <c r="BG1571" s="462"/>
    </row>
    <row r="1572" spans="1:59" s="461" customFormat="1" ht="18" customHeight="1" x14ac:dyDescent="0.2">
      <c r="A1572" s="1368" t="str">
        <f t="shared" si="1160"/>
        <v>JK RUAS 85/85 - BANJAR LOPAK2010</v>
      </c>
      <c r="B1572" s="1373"/>
      <c r="C1572" s="488"/>
      <c r="D1572" s="489"/>
      <c r="E1572" s="558"/>
      <c r="F1572" s="559">
        <v>2010</v>
      </c>
      <c r="G1572" s="619">
        <v>0</v>
      </c>
      <c r="H1572" s="464">
        <f t="shared" si="1167"/>
        <v>1</v>
      </c>
      <c r="I1572" s="560"/>
      <c r="J1572" s="468">
        <f t="shared" si="1168"/>
        <v>2010</v>
      </c>
      <c r="K1572" s="490">
        <f t="shared" si="1169"/>
        <v>0</v>
      </c>
      <c r="L1572" s="469">
        <f t="shared" si="1170"/>
        <v>0</v>
      </c>
      <c r="M1572" s="683">
        <f t="shared" si="1171"/>
        <v>0</v>
      </c>
      <c r="N1572" s="470">
        <f t="shared" si="1172"/>
        <v>1</v>
      </c>
      <c r="O1572" s="468">
        <f t="shared" si="1173"/>
        <v>2010</v>
      </c>
      <c r="P1572" s="616">
        <f t="shared" si="1161"/>
        <v>47040000</v>
      </c>
      <c r="Q1572" s="472">
        <f t="shared" si="1162"/>
        <v>47040000</v>
      </c>
      <c r="R1572" s="472">
        <f t="shared" si="1163"/>
        <v>47040000</v>
      </c>
      <c r="S1572" s="1183">
        <f t="shared" si="1158"/>
        <v>2010</v>
      </c>
      <c r="T1572" s="470">
        <f t="shared" si="1164"/>
        <v>1</v>
      </c>
      <c r="U1572" s="612">
        <f t="shared" si="1159"/>
        <v>47040000</v>
      </c>
      <c r="V1572" s="464">
        <f t="shared" si="1165"/>
        <v>2010</v>
      </c>
      <c r="W1572" s="612">
        <f t="shared" si="1166"/>
        <v>0</v>
      </c>
      <c r="X1572" s="561"/>
      <c r="Y1572" s="449"/>
      <c r="Z1572" s="449"/>
      <c r="AA1572" s="693"/>
      <c r="AB1572" s="452"/>
      <c r="AC1572" s="452"/>
      <c r="AD1572" s="571"/>
      <c r="AE1572" s="452"/>
      <c r="AF1572" s="571"/>
      <c r="AG1572" s="452"/>
      <c r="AH1572" s="452"/>
      <c r="AI1572" s="453"/>
      <c r="AJ1572" s="449"/>
      <c r="AK1572" s="453"/>
      <c r="AL1572" s="454"/>
      <c r="AM1572" s="455"/>
      <c r="AN1572" s="456"/>
      <c r="AO1572" s="455"/>
      <c r="AP1572" s="452"/>
      <c r="AQ1572" s="457"/>
      <c r="AR1572" s="449"/>
      <c r="AS1572" s="449"/>
      <c r="AT1572" s="452"/>
      <c r="AU1572" s="457"/>
      <c r="AV1572" s="449"/>
      <c r="AW1572" s="458"/>
      <c r="AX1572" s="452"/>
      <c r="AY1572" s="457"/>
      <c r="AZ1572" s="449"/>
      <c r="BA1572" s="459"/>
      <c r="BB1572" s="455"/>
      <c r="BC1572" s="460"/>
      <c r="BD1572" s="460"/>
      <c r="BG1572" s="462"/>
    </row>
    <row r="1573" spans="1:59" s="461" customFormat="1" ht="18" customHeight="1" x14ac:dyDescent="0.2">
      <c r="A1573" s="1368" t="str">
        <f t="shared" si="1160"/>
        <v>JK RUAS 85/85 - BANJAR LOPAK2011</v>
      </c>
      <c r="B1573" s="1373"/>
      <c r="C1573" s="488"/>
      <c r="D1573" s="489"/>
      <c r="E1573" s="558"/>
      <c r="F1573" s="559">
        <v>2011</v>
      </c>
      <c r="G1573" s="619">
        <v>0</v>
      </c>
      <c r="H1573" s="464">
        <f t="shared" si="1167"/>
        <v>0</v>
      </c>
      <c r="I1573" s="560"/>
      <c r="J1573" s="468">
        <f t="shared" si="1168"/>
        <v>2010</v>
      </c>
      <c r="K1573" s="490">
        <f t="shared" si="1169"/>
        <v>0</v>
      </c>
      <c r="L1573" s="469">
        <f t="shared" si="1170"/>
        <v>0</v>
      </c>
      <c r="M1573" s="683">
        <f t="shared" si="1171"/>
        <v>0</v>
      </c>
      <c r="N1573" s="470">
        <f t="shared" si="1172"/>
        <v>0</v>
      </c>
      <c r="O1573" s="468">
        <f t="shared" si="1173"/>
        <v>2010</v>
      </c>
      <c r="P1573" s="616">
        <f t="shared" si="1161"/>
        <v>0</v>
      </c>
      <c r="Q1573" s="472">
        <f t="shared" si="1162"/>
        <v>0</v>
      </c>
      <c r="R1573" s="472">
        <v>0</v>
      </c>
      <c r="S1573" s="1183">
        <f t="shared" si="1158"/>
        <v>2011</v>
      </c>
      <c r="T1573" s="470">
        <f t="shared" si="1164"/>
        <v>1</v>
      </c>
      <c r="U1573" s="612">
        <f t="shared" si="1159"/>
        <v>0</v>
      </c>
      <c r="V1573" s="464">
        <f t="shared" si="1165"/>
        <v>2011</v>
      </c>
      <c r="W1573" s="612">
        <f t="shared" si="1166"/>
        <v>0</v>
      </c>
      <c r="X1573" s="561"/>
      <c r="Y1573" s="449"/>
      <c r="Z1573" s="449"/>
      <c r="AA1573" s="693"/>
      <c r="AB1573" s="452"/>
      <c r="AC1573" s="452"/>
      <c r="AD1573" s="571"/>
      <c r="AE1573" s="452"/>
      <c r="AF1573" s="571"/>
      <c r="AG1573" s="452"/>
      <c r="AH1573" s="452"/>
      <c r="AI1573" s="453"/>
      <c r="AJ1573" s="449"/>
      <c r="AK1573" s="453"/>
      <c r="AL1573" s="454"/>
      <c r="AM1573" s="455"/>
      <c r="AN1573" s="456"/>
      <c r="AO1573" s="455"/>
      <c r="AP1573" s="452"/>
      <c r="AQ1573" s="457"/>
      <c r="AR1573" s="449"/>
      <c r="AS1573" s="449"/>
      <c r="AT1573" s="452"/>
      <c r="AU1573" s="457"/>
      <c r="AV1573" s="449"/>
      <c r="AW1573" s="458"/>
      <c r="AX1573" s="452"/>
      <c r="AY1573" s="457"/>
      <c r="AZ1573" s="449"/>
      <c r="BA1573" s="459"/>
      <c r="BB1573" s="455"/>
      <c r="BC1573" s="460"/>
      <c r="BD1573" s="460"/>
      <c r="BG1573" s="462"/>
    </row>
    <row r="1574" spans="1:59" s="461" customFormat="1" ht="18" customHeight="1" x14ac:dyDescent="0.2">
      <c r="A1574" s="1368" t="str">
        <f t="shared" si="1160"/>
        <v>JK RUAS 85/85 - BANJAR LOPAK2012</v>
      </c>
      <c r="B1574" s="1373"/>
      <c r="C1574" s="488"/>
      <c r="D1574" s="489"/>
      <c r="E1574" s="558"/>
      <c r="F1574" s="559">
        <v>2012</v>
      </c>
      <c r="G1574" s="619">
        <v>0</v>
      </c>
      <c r="H1574" s="464">
        <f t="shared" si="1167"/>
        <v>0</v>
      </c>
      <c r="I1574" s="560"/>
      <c r="J1574" s="468">
        <f t="shared" si="1168"/>
        <v>2011</v>
      </c>
      <c r="K1574" s="490">
        <f t="shared" si="1169"/>
        <v>0</v>
      </c>
      <c r="L1574" s="469">
        <f t="shared" si="1170"/>
        <v>0</v>
      </c>
      <c r="M1574" s="683">
        <f t="shared" si="1171"/>
        <v>0</v>
      </c>
      <c r="N1574" s="470">
        <f t="shared" si="1172"/>
        <v>0</v>
      </c>
      <c r="O1574" s="468">
        <f t="shared" si="1173"/>
        <v>2011</v>
      </c>
      <c r="P1574" s="616">
        <f t="shared" ref="P1574:P1581" si="1174">W1573</f>
        <v>0</v>
      </c>
      <c r="Q1574" s="472">
        <f t="shared" ref="Q1574:Q1581" si="1175">P1574+G1574</f>
        <v>0</v>
      </c>
      <c r="R1574" s="472">
        <f t="shared" si="1163"/>
        <v>0</v>
      </c>
      <c r="S1574" s="1183">
        <f t="shared" si="1158"/>
        <v>2012</v>
      </c>
      <c r="T1574" s="470">
        <f t="shared" si="1164"/>
        <v>1</v>
      </c>
      <c r="U1574" s="612">
        <f t="shared" si="1159"/>
        <v>0</v>
      </c>
      <c r="V1574" s="464">
        <f t="shared" si="1165"/>
        <v>2012</v>
      </c>
      <c r="W1574" s="612">
        <f t="shared" si="1166"/>
        <v>0</v>
      </c>
      <c r="X1574" s="561"/>
      <c r="Y1574" s="449"/>
      <c r="Z1574" s="449"/>
      <c r="AA1574" s="694"/>
      <c r="AB1574" s="692"/>
      <c r="AC1574" s="692"/>
      <c r="AD1574" s="695"/>
      <c r="AE1574" s="452"/>
      <c r="AF1574" s="571"/>
      <c r="AG1574" s="452"/>
      <c r="AH1574" s="452"/>
      <c r="AI1574" s="453"/>
      <c r="AJ1574" s="449"/>
      <c r="AK1574" s="453"/>
      <c r="AL1574" s="454"/>
      <c r="AM1574" s="455"/>
      <c r="AN1574" s="456"/>
      <c r="AO1574" s="455"/>
      <c r="AP1574" s="452"/>
      <c r="AQ1574" s="457"/>
      <c r="AR1574" s="449"/>
      <c r="AS1574" s="449"/>
      <c r="AT1574" s="452"/>
      <c r="AU1574" s="457"/>
      <c r="AV1574" s="449"/>
      <c r="AW1574" s="458"/>
      <c r="AX1574" s="452"/>
      <c r="AY1574" s="457"/>
      <c r="AZ1574" s="449"/>
      <c r="BA1574" s="459"/>
      <c r="BB1574" s="455"/>
      <c r="BC1574" s="460"/>
      <c r="BD1574" s="460"/>
      <c r="BG1574" s="462"/>
    </row>
    <row r="1575" spans="1:59" s="461" customFormat="1" ht="18" customHeight="1" x14ac:dyDescent="0.2">
      <c r="A1575" s="1368" t="str">
        <f t="shared" si="1160"/>
        <v>JK RUAS 85/85 - BANJAR LOPAK2013</v>
      </c>
      <c r="B1575" s="1373">
        <v>2</v>
      </c>
      <c r="C1575" s="488" t="s">
        <v>1279</v>
      </c>
      <c r="D1575" s="489" t="s">
        <v>3821</v>
      </c>
      <c r="E1575" s="558"/>
      <c r="F1575" s="559">
        <v>2013</v>
      </c>
      <c r="G1575" s="619">
        <v>3623464863</v>
      </c>
      <c r="H1575" s="557">
        <f>VLOOKUP(LEFT(D1575,8),UE,4)</f>
        <v>10</v>
      </c>
      <c r="I1575" s="560"/>
      <c r="J1575" s="468">
        <f t="shared" ref="J1575:J1581" si="1176">F1575+N1575-1</f>
        <v>2022</v>
      </c>
      <c r="K1575" s="490">
        <f t="shared" ref="K1575:K1581" si="1177">IF(G1575=0,0,IF(H1575=10,100%,G1575/W1574))</f>
        <v>1</v>
      </c>
      <c r="L1575" s="469">
        <f t="shared" ref="L1575:L1581" si="1178">IF(K1575=0%,0,IF(K1575&lt;=30%,2,IF(K1575&lt;=60%,5,10)))</f>
        <v>10</v>
      </c>
      <c r="M1575" s="683">
        <f t="shared" ref="M1575:M1581" si="1179">IF(OR(AND(ISBLANK(E1575),ISBLANK(G1575)),ISTEXT(E1575),ISTEXT(G1575)),"",IF(H1575+L1575&gt;$H$8,$H$8-H1575,L1575))</f>
        <v>0</v>
      </c>
      <c r="N1575" s="470">
        <f t="shared" ref="N1575:N1581" si="1180">IF(OR(AND(ISBLANK(F1575),ISBLANK(G1575)),ISTEXT(F1575),ISTEXT(G1575)),"",H1575+M1575)</f>
        <v>10</v>
      </c>
      <c r="O1575" s="468">
        <f t="shared" ref="O1575:O1581" si="1181">F1575+N1575-1</f>
        <v>2022</v>
      </c>
      <c r="P1575" s="616">
        <f t="shared" si="1174"/>
        <v>0</v>
      </c>
      <c r="Q1575" s="472">
        <f t="shared" si="1175"/>
        <v>3623464863</v>
      </c>
      <c r="R1575" s="472">
        <f t="shared" ref="R1575:R1581" si="1182">IF(L1575=0,R1574,Q1575/N1575)</f>
        <v>362346486.30000001</v>
      </c>
      <c r="S1575" s="1183">
        <f t="shared" ref="S1575:S1581" si="1183">F1575</f>
        <v>2013</v>
      </c>
      <c r="T1575" s="470">
        <f t="shared" ref="T1575:T1581" si="1184">S1575-S1574</f>
        <v>1</v>
      </c>
      <c r="U1575" s="612">
        <f t="shared" ref="U1575:U1581" si="1185">R1575*T1575</f>
        <v>362346486.30000001</v>
      </c>
      <c r="V1575" s="464">
        <f t="shared" ref="V1575:V1581" si="1186">F1575</f>
        <v>2013</v>
      </c>
      <c r="W1575" s="612">
        <f t="shared" ref="W1575:W1581" si="1187">IF(OR(AND(ISBLANK(E1575),ISBLANK(G1575)),ISTEXT(E1575),ISTEXT(G1575)),"",Q1575-U1575)</f>
        <v>3261118376.6999998</v>
      </c>
      <c r="X1575" s="561"/>
      <c r="Y1575" s="449"/>
      <c r="Z1575" s="449"/>
      <c r="AA1575" s="554" t="s">
        <v>4179</v>
      </c>
      <c r="AB1575" s="452"/>
      <c r="AC1575" s="452"/>
      <c r="AD1575" s="566"/>
      <c r="AE1575" s="452"/>
      <c r="AF1575" s="571"/>
      <c r="AG1575" s="452"/>
      <c r="AH1575" s="452"/>
      <c r="AI1575" s="453"/>
      <c r="AJ1575" s="449"/>
      <c r="AK1575" s="453"/>
      <c r="AL1575" s="454"/>
      <c r="AM1575" s="455"/>
      <c r="AN1575" s="456"/>
      <c r="AO1575" s="455"/>
      <c r="AP1575" s="452"/>
      <c r="AQ1575" s="457"/>
      <c r="AR1575" s="449"/>
      <c r="AS1575" s="449"/>
      <c r="AT1575" s="452"/>
      <c r="AU1575" s="457"/>
      <c r="AV1575" s="449"/>
      <c r="AW1575" s="458"/>
      <c r="AX1575" s="452"/>
      <c r="AY1575" s="457"/>
      <c r="AZ1575" s="449"/>
      <c r="BA1575" s="459"/>
      <c r="BB1575" s="455"/>
      <c r="BC1575" s="460"/>
      <c r="BD1575" s="460"/>
      <c r="BG1575" s="462"/>
    </row>
    <row r="1576" spans="1:59" s="461" customFormat="1" ht="18" customHeight="1" x14ac:dyDescent="0.2">
      <c r="A1576" s="1368" t="str">
        <f t="shared" si="1160"/>
        <v>JK RUAS 85/85 - BANJAR LOPAK2014</v>
      </c>
      <c r="B1576" s="1373"/>
      <c r="C1576" s="488"/>
      <c r="D1576" s="489"/>
      <c r="E1576" s="558"/>
      <c r="F1576" s="559">
        <v>2014</v>
      </c>
      <c r="G1576" s="619">
        <v>0</v>
      </c>
      <c r="H1576" s="464">
        <f t="shared" ref="H1576:H1581" si="1188">IF(N1575-(F1576-F1575)&lt;=0,0,(N1575-(F1576-F1575)))</f>
        <v>9</v>
      </c>
      <c r="I1576" s="560"/>
      <c r="J1576" s="468">
        <f t="shared" si="1176"/>
        <v>2022</v>
      </c>
      <c r="K1576" s="490">
        <f t="shared" si="1177"/>
        <v>0</v>
      </c>
      <c r="L1576" s="469">
        <f t="shared" si="1178"/>
        <v>0</v>
      </c>
      <c r="M1576" s="683">
        <f t="shared" si="1179"/>
        <v>0</v>
      </c>
      <c r="N1576" s="470">
        <f t="shared" si="1180"/>
        <v>9</v>
      </c>
      <c r="O1576" s="468">
        <f t="shared" si="1181"/>
        <v>2022</v>
      </c>
      <c r="P1576" s="616">
        <f t="shared" si="1174"/>
        <v>3261118376.6999998</v>
      </c>
      <c r="Q1576" s="472">
        <f t="shared" si="1175"/>
        <v>3261118376.6999998</v>
      </c>
      <c r="R1576" s="472">
        <f t="shared" si="1182"/>
        <v>362346486.30000001</v>
      </c>
      <c r="S1576" s="1183">
        <f t="shared" si="1183"/>
        <v>2014</v>
      </c>
      <c r="T1576" s="470">
        <f t="shared" si="1184"/>
        <v>1</v>
      </c>
      <c r="U1576" s="612">
        <f t="shared" si="1185"/>
        <v>362346486.30000001</v>
      </c>
      <c r="V1576" s="464">
        <f t="shared" si="1186"/>
        <v>2014</v>
      </c>
      <c r="W1576" s="612">
        <f t="shared" si="1187"/>
        <v>2898771890.3999996</v>
      </c>
      <c r="X1576" s="561"/>
      <c r="Y1576" s="449"/>
      <c r="Z1576" s="449"/>
      <c r="AA1576" s="554"/>
      <c r="AB1576" s="452"/>
      <c r="AC1576" s="452"/>
      <c r="AD1576" s="566"/>
      <c r="AE1576" s="452"/>
      <c r="AF1576" s="571"/>
      <c r="AG1576" s="452"/>
      <c r="AH1576" s="452"/>
      <c r="AI1576" s="453"/>
      <c r="AJ1576" s="449"/>
      <c r="AK1576" s="453"/>
      <c r="AL1576" s="454"/>
      <c r="AM1576" s="455"/>
      <c r="AN1576" s="456"/>
      <c r="AO1576" s="455"/>
      <c r="AP1576" s="452"/>
      <c r="AQ1576" s="457"/>
      <c r="AR1576" s="449"/>
      <c r="AS1576" s="449"/>
      <c r="AT1576" s="452"/>
      <c r="AU1576" s="457"/>
      <c r="AV1576" s="449"/>
      <c r="AW1576" s="458"/>
      <c r="AX1576" s="452"/>
      <c r="AY1576" s="457"/>
      <c r="AZ1576" s="449"/>
      <c r="BA1576" s="459"/>
      <c r="BB1576" s="455"/>
      <c r="BC1576" s="460"/>
      <c r="BD1576" s="460"/>
      <c r="BG1576" s="462"/>
    </row>
    <row r="1577" spans="1:59" s="486" customFormat="1" ht="18" customHeight="1" x14ac:dyDescent="0.2">
      <c r="A1577" s="1368" t="str">
        <f t="shared" si="1160"/>
        <v>JK RUAS 85/85 - BANJAR LOPAK2015</v>
      </c>
      <c r="B1577" s="1373">
        <v>3</v>
      </c>
      <c r="C1577" s="488" t="s">
        <v>1361</v>
      </c>
      <c r="D1577" s="489"/>
      <c r="E1577" s="558"/>
      <c r="F1577" s="559">
        <v>2015</v>
      </c>
      <c r="G1577" s="619">
        <v>2128040770</v>
      </c>
      <c r="H1577" s="464">
        <f t="shared" si="1188"/>
        <v>8</v>
      </c>
      <c r="I1577" s="560"/>
      <c r="J1577" s="468">
        <f t="shared" si="1176"/>
        <v>2024</v>
      </c>
      <c r="K1577" s="490">
        <f t="shared" si="1177"/>
        <v>0.73411805083647097</v>
      </c>
      <c r="L1577" s="469">
        <f t="shared" si="1178"/>
        <v>10</v>
      </c>
      <c r="M1577" s="683">
        <f t="shared" si="1179"/>
        <v>2</v>
      </c>
      <c r="N1577" s="470">
        <f t="shared" si="1180"/>
        <v>10</v>
      </c>
      <c r="O1577" s="468">
        <f t="shared" si="1181"/>
        <v>2024</v>
      </c>
      <c r="P1577" s="616">
        <f t="shared" si="1174"/>
        <v>2898771890.3999996</v>
      </c>
      <c r="Q1577" s="472">
        <f t="shared" si="1175"/>
        <v>5026812660.3999996</v>
      </c>
      <c r="R1577" s="472">
        <f t="shared" si="1182"/>
        <v>502681266.03999996</v>
      </c>
      <c r="S1577" s="1183">
        <f t="shared" si="1183"/>
        <v>2015</v>
      </c>
      <c r="T1577" s="470">
        <f t="shared" si="1184"/>
        <v>1</v>
      </c>
      <c r="U1577" s="612">
        <f t="shared" si="1185"/>
        <v>502681266.03999996</v>
      </c>
      <c r="V1577" s="464">
        <f t="shared" si="1186"/>
        <v>2015</v>
      </c>
      <c r="W1577" s="612">
        <f t="shared" si="1187"/>
        <v>4524131394.3599997</v>
      </c>
      <c r="X1577" s="561"/>
      <c r="Y1577" s="474"/>
      <c r="Z1577" s="449"/>
      <c r="AA1577" s="475" t="s">
        <v>4180</v>
      </c>
      <c r="AB1577" s="476"/>
      <c r="AC1577" s="476"/>
      <c r="AD1577" s="567">
        <f>G1583</f>
        <v>6221905633</v>
      </c>
      <c r="AE1577" s="476"/>
      <c r="AF1577" s="568"/>
      <c r="AG1577" s="476"/>
      <c r="AH1577" s="476"/>
      <c r="AI1577" s="477"/>
      <c r="AJ1577" s="478"/>
      <c r="AK1577" s="479"/>
      <c r="AL1577" s="480"/>
      <c r="AM1577" s="474"/>
      <c r="AN1577" s="481"/>
      <c r="AO1577" s="474"/>
      <c r="AP1577" s="476"/>
      <c r="AQ1577" s="482"/>
      <c r="AR1577" s="478"/>
      <c r="AS1577" s="478"/>
      <c r="AT1577" s="476"/>
      <c r="AU1577" s="482"/>
      <c r="AV1577" s="478"/>
      <c r="AW1577" s="483"/>
      <c r="AX1577" s="476"/>
      <c r="AY1577" s="482"/>
      <c r="AZ1577" s="478"/>
      <c r="BA1577" s="484"/>
      <c r="BB1577" s="474"/>
      <c r="BC1577" s="485"/>
      <c r="BD1577" s="485"/>
      <c r="BG1577" s="487"/>
    </row>
    <row r="1578" spans="1:59" s="486" customFormat="1" ht="18" customHeight="1" x14ac:dyDescent="0.2">
      <c r="A1578" s="1368" t="str">
        <f t="shared" si="1160"/>
        <v>JK RUAS 85/85 - BANJAR LOPAK2016</v>
      </c>
      <c r="B1578" s="1373"/>
      <c r="C1578" s="488"/>
      <c r="D1578" s="489"/>
      <c r="E1578" s="558"/>
      <c r="F1578" s="559">
        <v>2016</v>
      </c>
      <c r="G1578" s="619">
        <v>0</v>
      </c>
      <c r="H1578" s="464">
        <f t="shared" si="1188"/>
        <v>9</v>
      </c>
      <c r="I1578" s="560"/>
      <c r="J1578" s="468">
        <f t="shared" si="1176"/>
        <v>2024</v>
      </c>
      <c r="K1578" s="490">
        <f t="shared" si="1177"/>
        <v>0</v>
      </c>
      <c r="L1578" s="469">
        <f t="shared" si="1178"/>
        <v>0</v>
      </c>
      <c r="M1578" s="683">
        <f t="shared" si="1179"/>
        <v>0</v>
      </c>
      <c r="N1578" s="470">
        <f t="shared" si="1180"/>
        <v>9</v>
      </c>
      <c r="O1578" s="468">
        <f t="shared" si="1181"/>
        <v>2024</v>
      </c>
      <c r="P1578" s="616">
        <f t="shared" si="1174"/>
        <v>4524131394.3599997</v>
      </c>
      <c r="Q1578" s="472">
        <f t="shared" si="1175"/>
        <v>4524131394.3599997</v>
      </c>
      <c r="R1578" s="472">
        <f t="shared" si="1182"/>
        <v>502681266.03999996</v>
      </c>
      <c r="S1578" s="1183">
        <f t="shared" si="1183"/>
        <v>2016</v>
      </c>
      <c r="T1578" s="470">
        <f t="shared" si="1184"/>
        <v>1</v>
      </c>
      <c r="U1578" s="612">
        <f t="shared" si="1185"/>
        <v>502681266.03999996</v>
      </c>
      <c r="V1578" s="464">
        <f t="shared" si="1186"/>
        <v>2016</v>
      </c>
      <c r="W1578" s="612">
        <f t="shared" si="1187"/>
        <v>4021450128.3199997</v>
      </c>
      <c r="X1578" s="473"/>
      <c r="Y1578" s="478"/>
      <c r="Z1578" s="449"/>
      <c r="AA1578" s="475" t="s">
        <v>4181</v>
      </c>
      <c r="AB1578" s="476"/>
      <c r="AC1578" s="476"/>
      <c r="AD1578" s="567">
        <f>U1583</f>
        <v>3708499302.7999997</v>
      </c>
      <c r="AE1578" s="476"/>
      <c r="AF1578" s="568"/>
      <c r="AG1578" s="476"/>
      <c r="AH1578" s="476"/>
      <c r="AI1578" s="477"/>
      <c r="AJ1578" s="478"/>
      <c r="AK1578" s="479"/>
      <c r="AL1578" s="480"/>
      <c r="AM1578" s="474"/>
      <c r="AN1578" s="481"/>
      <c r="AO1578" s="474"/>
      <c r="AP1578" s="476"/>
      <c r="AQ1578" s="482"/>
      <c r="AR1578" s="478"/>
      <c r="AS1578" s="478"/>
      <c r="AT1578" s="476"/>
      <c r="AU1578" s="482"/>
      <c r="AV1578" s="478"/>
      <c r="AW1578" s="483"/>
      <c r="AX1578" s="476"/>
      <c r="AY1578" s="482"/>
      <c r="AZ1578" s="478"/>
      <c r="BA1578" s="484"/>
      <c r="BB1578" s="474"/>
      <c r="BC1578" s="485"/>
      <c r="BD1578" s="485"/>
      <c r="BG1578" s="487"/>
    </row>
    <row r="1579" spans="1:59" s="486" customFormat="1" ht="18" customHeight="1" x14ac:dyDescent="0.2">
      <c r="A1579" s="1368" t="str">
        <f t="shared" si="1160"/>
        <v>JK RUAS 85/85 - BANJAR LOPAK2017</v>
      </c>
      <c r="B1579" s="1373"/>
      <c r="C1579" s="488"/>
      <c r="D1579" s="489"/>
      <c r="E1579" s="558"/>
      <c r="F1579" s="559">
        <v>2017</v>
      </c>
      <c r="G1579" s="619">
        <v>0</v>
      </c>
      <c r="H1579" s="464">
        <f t="shared" si="1188"/>
        <v>8</v>
      </c>
      <c r="I1579" s="560"/>
      <c r="J1579" s="468">
        <f t="shared" si="1176"/>
        <v>2024</v>
      </c>
      <c r="K1579" s="490">
        <f t="shared" si="1177"/>
        <v>0</v>
      </c>
      <c r="L1579" s="469">
        <f t="shared" si="1178"/>
        <v>0</v>
      </c>
      <c r="M1579" s="683">
        <f t="shared" si="1179"/>
        <v>0</v>
      </c>
      <c r="N1579" s="470">
        <f t="shared" si="1180"/>
        <v>8</v>
      </c>
      <c r="O1579" s="468">
        <f t="shared" si="1181"/>
        <v>2024</v>
      </c>
      <c r="P1579" s="616">
        <f t="shared" si="1174"/>
        <v>4021450128.3199997</v>
      </c>
      <c r="Q1579" s="472">
        <f t="shared" si="1175"/>
        <v>4021450128.3199997</v>
      </c>
      <c r="R1579" s="472">
        <f t="shared" si="1182"/>
        <v>502681266.03999996</v>
      </c>
      <c r="S1579" s="1183">
        <f t="shared" si="1183"/>
        <v>2017</v>
      </c>
      <c r="T1579" s="470">
        <f t="shared" si="1184"/>
        <v>1</v>
      </c>
      <c r="U1579" s="612">
        <f t="shared" si="1185"/>
        <v>502681266.03999996</v>
      </c>
      <c r="V1579" s="464">
        <f t="shared" si="1186"/>
        <v>2017</v>
      </c>
      <c r="W1579" s="612">
        <f t="shared" si="1187"/>
        <v>3518768862.2799997</v>
      </c>
      <c r="X1579" s="473"/>
      <c r="Y1579" s="478"/>
      <c r="Z1579" s="449"/>
      <c r="AA1579" s="492" t="s">
        <v>4182</v>
      </c>
      <c r="AB1579" s="476"/>
      <c r="AC1579" s="476"/>
      <c r="AD1579" s="567">
        <f>AD1577-AD1578</f>
        <v>2513406330.2000003</v>
      </c>
      <c r="AE1579" s="476"/>
      <c r="AF1579" s="568"/>
      <c r="AG1579" s="476"/>
      <c r="AH1579" s="476"/>
      <c r="AI1579" s="477"/>
      <c r="AJ1579" s="478"/>
      <c r="AK1579" s="479"/>
      <c r="AL1579" s="480"/>
      <c r="AM1579" s="474"/>
      <c r="AN1579" s="481"/>
      <c r="AO1579" s="474"/>
      <c r="AP1579" s="476"/>
      <c r="AQ1579" s="482"/>
      <c r="AR1579" s="478"/>
      <c r="AS1579" s="478"/>
      <c r="AT1579" s="476"/>
      <c r="AU1579" s="482"/>
      <c r="AV1579" s="478"/>
      <c r="AW1579" s="483"/>
      <c r="AX1579" s="476"/>
      <c r="AY1579" s="482"/>
      <c r="AZ1579" s="478"/>
      <c r="BA1579" s="484"/>
      <c r="BB1579" s="474"/>
      <c r="BC1579" s="485"/>
      <c r="BD1579" s="485"/>
      <c r="BG1579" s="487"/>
    </row>
    <row r="1580" spans="1:59" s="486" customFormat="1" ht="18" customHeight="1" x14ac:dyDescent="0.2">
      <c r="A1580" s="1368" t="str">
        <f t="shared" si="1160"/>
        <v>JK RUAS 85/85 - BANJAR LOPAK2018</v>
      </c>
      <c r="B1580" s="687"/>
      <c r="C1580" s="488"/>
      <c r="D1580" s="489"/>
      <c r="E1580" s="558"/>
      <c r="F1580" s="559">
        <v>2018</v>
      </c>
      <c r="G1580" s="619">
        <v>0</v>
      </c>
      <c r="H1580" s="464">
        <f t="shared" si="1188"/>
        <v>7</v>
      </c>
      <c r="I1580" s="560"/>
      <c r="J1580" s="468">
        <f t="shared" si="1176"/>
        <v>2024</v>
      </c>
      <c r="K1580" s="490">
        <f t="shared" si="1177"/>
        <v>0</v>
      </c>
      <c r="L1580" s="469">
        <f t="shared" si="1178"/>
        <v>0</v>
      </c>
      <c r="M1580" s="683">
        <f t="shared" si="1179"/>
        <v>0</v>
      </c>
      <c r="N1580" s="470">
        <f t="shared" si="1180"/>
        <v>7</v>
      </c>
      <c r="O1580" s="468">
        <f t="shared" si="1181"/>
        <v>2024</v>
      </c>
      <c r="P1580" s="616">
        <f t="shared" si="1174"/>
        <v>3518768862.2799997</v>
      </c>
      <c r="Q1580" s="472">
        <f t="shared" si="1175"/>
        <v>3518768862.2799997</v>
      </c>
      <c r="R1580" s="472">
        <f t="shared" si="1182"/>
        <v>502681266.03999996</v>
      </c>
      <c r="S1580" s="1183">
        <f t="shared" si="1183"/>
        <v>2018</v>
      </c>
      <c r="T1580" s="470">
        <f t="shared" si="1184"/>
        <v>1</v>
      </c>
      <c r="U1580" s="612">
        <f t="shared" si="1185"/>
        <v>502681266.03999996</v>
      </c>
      <c r="V1580" s="464">
        <f t="shared" si="1186"/>
        <v>2018</v>
      </c>
      <c r="W1580" s="612">
        <f t="shared" si="1187"/>
        <v>3016087596.2399998</v>
      </c>
      <c r="X1580" s="473"/>
      <c r="Y1580" s="478"/>
      <c r="Z1580" s="449"/>
      <c r="AA1580" s="531" t="s">
        <v>4183</v>
      </c>
      <c r="AB1580" s="496"/>
      <c r="AC1580" s="496"/>
      <c r="AD1580" s="569">
        <f>AD1579-W1583</f>
        <v>0</v>
      </c>
      <c r="AE1580" s="476"/>
      <c r="AF1580" s="568"/>
      <c r="AG1580" s="476"/>
      <c r="AH1580" s="476"/>
      <c r="AI1580" s="477"/>
      <c r="AJ1580" s="478"/>
      <c r="AK1580" s="479"/>
      <c r="AL1580" s="480"/>
      <c r="AM1580" s="474"/>
      <c r="AN1580" s="481"/>
      <c r="AO1580" s="474"/>
      <c r="AP1580" s="476"/>
      <c r="AQ1580" s="482"/>
      <c r="AR1580" s="478"/>
      <c r="AS1580" s="478"/>
      <c r="AT1580" s="476"/>
      <c r="AU1580" s="482"/>
      <c r="AV1580" s="478"/>
      <c r="AW1580" s="483"/>
      <c r="AX1580" s="476"/>
      <c r="AY1580" s="482"/>
      <c r="AZ1580" s="478"/>
      <c r="BA1580" s="484"/>
      <c r="BB1580" s="474"/>
      <c r="BC1580" s="485"/>
      <c r="BD1580" s="485"/>
      <c r="BG1580" s="487"/>
    </row>
    <row r="1581" spans="1:59" s="486" customFormat="1" ht="18" customHeight="1" x14ac:dyDescent="0.2">
      <c r="A1581" s="1368" t="str">
        <f t="shared" si="1160"/>
        <v>JK RUAS 85/85 - BANJAR LOPAK2019</v>
      </c>
      <c r="B1581" s="687"/>
      <c r="C1581" s="488"/>
      <c r="D1581" s="489"/>
      <c r="E1581" s="558"/>
      <c r="F1581" s="559">
        <v>2019</v>
      </c>
      <c r="G1581" s="619">
        <v>0</v>
      </c>
      <c r="H1581" s="464">
        <f t="shared" si="1188"/>
        <v>6</v>
      </c>
      <c r="I1581" s="560"/>
      <c r="J1581" s="468">
        <f t="shared" si="1176"/>
        <v>2024</v>
      </c>
      <c r="K1581" s="490">
        <f t="shared" si="1177"/>
        <v>0</v>
      </c>
      <c r="L1581" s="469">
        <f t="shared" si="1178"/>
        <v>0</v>
      </c>
      <c r="M1581" s="683">
        <f t="shared" si="1179"/>
        <v>0</v>
      </c>
      <c r="N1581" s="470">
        <f t="shared" si="1180"/>
        <v>6</v>
      </c>
      <c r="O1581" s="468">
        <f t="shared" si="1181"/>
        <v>2024</v>
      </c>
      <c r="P1581" s="616">
        <f t="shared" si="1174"/>
        <v>3016087596.2399998</v>
      </c>
      <c r="Q1581" s="472">
        <f t="shared" si="1175"/>
        <v>3016087596.2399998</v>
      </c>
      <c r="R1581" s="472">
        <f t="shared" si="1182"/>
        <v>502681266.03999996</v>
      </c>
      <c r="S1581" s="1189">
        <f t="shared" si="1183"/>
        <v>2019</v>
      </c>
      <c r="T1581" s="470">
        <f t="shared" si="1184"/>
        <v>1</v>
      </c>
      <c r="U1581" s="612">
        <f t="shared" si="1185"/>
        <v>502681266.03999996</v>
      </c>
      <c r="V1581" s="464">
        <f t="shared" si="1186"/>
        <v>2019</v>
      </c>
      <c r="W1581" s="612">
        <f t="shared" si="1187"/>
        <v>2513406330.1999998</v>
      </c>
      <c r="X1581" s="473"/>
      <c r="Y1581" s="478"/>
      <c r="Z1581" s="449"/>
      <c r="AA1581" s="573"/>
      <c r="AB1581" s="476"/>
      <c r="AC1581" s="476"/>
      <c r="AD1581" s="568"/>
      <c r="AE1581" s="476"/>
      <c r="AF1581" s="568"/>
      <c r="AG1581" s="476"/>
      <c r="AH1581" s="476"/>
      <c r="AI1581" s="477"/>
      <c r="AJ1581" s="478"/>
      <c r="AK1581" s="479"/>
      <c r="AL1581" s="480"/>
      <c r="AM1581" s="474"/>
      <c r="AN1581" s="481"/>
      <c r="AO1581" s="474"/>
      <c r="AP1581" s="476"/>
      <c r="AQ1581" s="482"/>
      <c r="AR1581" s="478"/>
      <c r="AS1581" s="478"/>
      <c r="AT1581" s="476"/>
      <c r="AU1581" s="482"/>
      <c r="AV1581" s="478"/>
      <c r="AW1581" s="483"/>
      <c r="AX1581" s="476"/>
      <c r="AY1581" s="482"/>
      <c r="AZ1581" s="478"/>
      <c r="BA1581" s="484"/>
      <c r="BB1581" s="474"/>
      <c r="BC1581" s="485"/>
      <c r="BD1581" s="485"/>
      <c r="BG1581" s="487"/>
    </row>
    <row r="1582" spans="1:59" s="486" customFormat="1" ht="18" customHeight="1" x14ac:dyDescent="0.2">
      <c r="A1582" s="1368" t="str">
        <f>LEFT(D1582,8)</f>
        <v/>
      </c>
      <c r="B1582" s="687"/>
      <c r="C1582" s="463"/>
      <c r="D1582" s="489"/>
      <c r="E1582" s="465"/>
      <c r="F1582" s="466"/>
      <c r="G1582" s="620"/>
      <c r="H1582" s="464"/>
      <c r="I1582" s="467"/>
      <c r="J1582" s="468"/>
      <c r="K1582" s="574"/>
      <c r="L1582" s="469"/>
      <c r="M1582" s="683"/>
      <c r="N1582" s="470"/>
      <c r="O1582" s="468"/>
      <c r="P1582" s="616"/>
      <c r="Q1582" s="472"/>
      <c r="R1582" s="472"/>
      <c r="S1582" s="1183"/>
      <c r="T1582" s="470"/>
      <c r="U1582" s="612"/>
      <c r="V1582" s="464"/>
      <c r="W1582" s="612"/>
      <c r="X1582" s="473"/>
      <c r="Y1582" s="478"/>
      <c r="Z1582" s="449"/>
      <c r="AA1582" s="573"/>
      <c r="AB1582" s="476"/>
      <c r="AC1582" s="476"/>
      <c r="AD1582" s="568"/>
      <c r="AE1582" s="476"/>
      <c r="AF1582" s="568"/>
      <c r="AG1582" s="476"/>
      <c r="AH1582" s="476"/>
      <c r="AI1582" s="477"/>
      <c r="AJ1582" s="478"/>
      <c r="AK1582" s="479"/>
      <c r="AL1582" s="480"/>
      <c r="AM1582" s="474"/>
      <c r="AN1582" s="481"/>
      <c r="AO1582" s="474"/>
      <c r="AP1582" s="476"/>
      <c r="AQ1582" s="482"/>
      <c r="AR1582" s="478"/>
      <c r="AS1582" s="478"/>
      <c r="AT1582" s="476"/>
      <c r="AU1582" s="482"/>
      <c r="AV1582" s="478"/>
      <c r="AW1582" s="483"/>
      <c r="AX1582" s="476"/>
      <c r="AY1582" s="482"/>
      <c r="AZ1582" s="478"/>
      <c r="BA1582" s="484"/>
      <c r="BB1582" s="474"/>
      <c r="BC1582" s="485"/>
      <c r="BD1582" s="485"/>
      <c r="BG1582" s="487"/>
    </row>
    <row r="1583" spans="1:59" s="526" customFormat="1" ht="18" customHeight="1" x14ac:dyDescent="0.2">
      <c r="A1583" s="1370" t="s">
        <v>4184</v>
      </c>
      <c r="B1583" s="1956" t="s">
        <v>4184</v>
      </c>
      <c r="C1583" s="1957"/>
      <c r="D1583" s="1957"/>
      <c r="E1583" s="1957"/>
      <c r="F1583" s="1958"/>
      <c r="G1583" s="624">
        <f>SUM(G1567:G1582)</f>
        <v>6221905633</v>
      </c>
      <c r="H1583" s="505"/>
      <c r="I1583" s="506"/>
      <c r="J1583" s="507"/>
      <c r="K1583" s="507"/>
      <c r="L1583" s="505"/>
      <c r="M1583" s="684"/>
      <c r="N1583" s="508"/>
      <c r="O1583" s="507"/>
      <c r="P1583" s="749"/>
      <c r="Q1583" s="510"/>
      <c r="R1583" s="511"/>
      <c r="S1583" s="512"/>
      <c r="T1583" s="512"/>
      <c r="U1583" s="610">
        <f>SUM(U1567:U1582)</f>
        <v>3708499302.7999997</v>
      </c>
      <c r="V1583" s="513"/>
      <c r="W1583" s="610">
        <f>G1583-U1583</f>
        <v>2513406330.2000003</v>
      </c>
      <c r="X1583" s="514"/>
      <c r="Y1583" s="515"/>
      <c r="Z1583" s="515"/>
      <c r="AA1583" s="515"/>
      <c r="AB1583" s="515"/>
      <c r="AC1583" s="515"/>
      <c r="AD1583" s="570"/>
      <c r="AE1583" s="515"/>
      <c r="AF1583" s="570"/>
      <c r="AG1583" s="515"/>
      <c r="AH1583" s="515"/>
      <c r="AI1583" s="516"/>
      <c r="AJ1583" s="517"/>
      <c r="AK1583" s="518"/>
      <c r="AL1583" s="519"/>
      <c r="AM1583" s="520"/>
      <c r="AN1583" s="521"/>
      <c r="AO1583" s="520"/>
      <c r="AP1583" s="515"/>
      <c r="AQ1583" s="522"/>
      <c r="AR1583" s="517"/>
      <c r="AS1583" s="517"/>
      <c r="AT1583" s="515"/>
      <c r="AU1583" s="522"/>
      <c r="AV1583" s="517"/>
      <c r="AW1583" s="523"/>
      <c r="AX1583" s="515"/>
      <c r="AY1583" s="522"/>
      <c r="AZ1583" s="517"/>
      <c r="BA1583" s="524"/>
      <c r="BB1583" s="520"/>
      <c r="BC1583" s="525"/>
      <c r="BD1583" s="525"/>
      <c r="BG1583" s="527"/>
    </row>
    <row r="1586" spans="1:59" s="422" customFormat="1" ht="18" customHeight="1" x14ac:dyDescent="0.2">
      <c r="A1586" s="1366">
        <f>C1586</f>
        <v>269</v>
      </c>
      <c r="B1586" s="742" t="s">
        <v>4187</v>
      </c>
      <c r="C1586" s="556">
        <v>269</v>
      </c>
      <c r="D1586" s="553" t="str">
        <f>VLOOKUP(C1586,RUAS,2,FALSE)</f>
        <v>JL. DESA GUNUNG KESIANGAN - JL. UJUNG TANJUNG</v>
      </c>
      <c r="E1586" s="553"/>
      <c r="F1586" s="421"/>
      <c r="G1586" s="611"/>
      <c r="I1586" s="423"/>
      <c r="J1586" s="424"/>
      <c r="K1586" s="424"/>
      <c r="M1586" s="680"/>
      <c r="P1586" s="611"/>
      <c r="U1586" s="611"/>
      <c r="W1586" s="611"/>
      <c r="Y1586" s="425"/>
      <c r="Z1586" s="425"/>
      <c r="AA1586" s="425"/>
      <c r="AB1586" s="425"/>
      <c r="AC1586" s="425"/>
      <c r="AD1586" s="563"/>
      <c r="AE1586" s="425"/>
      <c r="AF1586" s="563"/>
      <c r="AG1586" s="425"/>
      <c r="AH1586" s="425"/>
      <c r="AI1586" s="425"/>
      <c r="AJ1586" s="425"/>
      <c r="AK1586" s="425"/>
      <c r="AL1586" s="425"/>
      <c r="AM1586" s="425"/>
      <c r="AN1586" s="425"/>
      <c r="AO1586" s="425"/>
      <c r="AP1586" s="425"/>
      <c r="AQ1586" s="425"/>
      <c r="AR1586" s="425"/>
      <c r="AS1586" s="425"/>
      <c r="AT1586" s="425"/>
      <c r="AU1586" s="425"/>
      <c r="AV1586" s="425"/>
      <c r="AW1586" s="425"/>
      <c r="AX1586" s="425"/>
      <c r="AY1586" s="425"/>
      <c r="AZ1586" s="425"/>
      <c r="BA1586" s="425"/>
      <c r="BB1586" s="425"/>
    </row>
    <row r="1587" spans="1:59" s="431" customFormat="1" ht="18" customHeight="1" x14ac:dyDescent="0.2">
      <c r="A1587" s="1367"/>
      <c r="B1587" s="1968" t="s">
        <v>5</v>
      </c>
      <c r="C1587" s="1968" t="s">
        <v>2280</v>
      </c>
      <c r="D1587" s="1968" t="s">
        <v>4157</v>
      </c>
      <c r="E1587" s="1968" t="s">
        <v>4158</v>
      </c>
      <c r="F1587" s="1968"/>
      <c r="G1587" s="2042" t="s">
        <v>4159</v>
      </c>
      <c r="H1587" s="1968" t="s">
        <v>4160</v>
      </c>
      <c r="I1587" s="1968"/>
      <c r="J1587" s="1968" t="s">
        <v>4185</v>
      </c>
      <c r="K1587" s="1964" t="s">
        <v>4162</v>
      </c>
      <c r="L1587" s="1968" t="s">
        <v>4163</v>
      </c>
      <c r="M1587" s="1971" t="s">
        <v>4164</v>
      </c>
      <c r="N1587" s="1962" t="s">
        <v>4165</v>
      </c>
      <c r="O1587" s="1968" t="s">
        <v>4166</v>
      </c>
      <c r="P1587" s="1972" t="s">
        <v>4167</v>
      </c>
      <c r="Q1587" s="1973"/>
      <c r="R1587" s="1195" t="s">
        <v>4186</v>
      </c>
      <c r="S1587" s="1972" t="s">
        <v>4169</v>
      </c>
      <c r="T1587" s="1974"/>
      <c r="U1587" s="1973"/>
      <c r="V1587" s="1975" t="s">
        <v>4170</v>
      </c>
      <c r="W1587" s="1975"/>
      <c r="X1587" s="1960" t="s">
        <v>4171</v>
      </c>
      <c r="Y1587" s="1959"/>
      <c r="Z1587" s="1191"/>
      <c r="AA1587" s="426"/>
      <c r="AB1587" s="426"/>
      <c r="AC1587" s="426"/>
      <c r="AD1587" s="564"/>
      <c r="AE1587" s="426"/>
      <c r="AF1587" s="564"/>
      <c r="AG1587" s="426"/>
      <c r="AH1587" s="426"/>
      <c r="AI1587" s="427"/>
      <c r="AJ1587" s="427"/>
      <c r="AK1587" s="427"/>
      <c r="AL1587" s="427"/>
      <c r="AM1587" s="428"/>
      <c r="AN1587" s="427"/>
      <c r="AO1587" s="427"/>
      <c r="AP1587" s="426"/>
      <c r="AQ1587" s="427"/>
      <c r="AR1587" s="427"/>
      <c r="AS1587" s="427"/>
      <c r="AT1587" s="426"/>
      <c r="AU1587" s="427"/>
      <c r="AV1587" s="427"/>
      <c r="AW1587" s="427"/>
      <c r="AX1587" s="426"/>
      <c r="AY1587" s="427"/>
      <c r="AZ1587" s="427"/>
      <c r="BA1587" s="427"/>
      <c r="BB1587" s="429"/>
      <c r="BC1587" s="430"/>
      <c r="BD1587" s="430"/>
    </row>
    <row r="1588" spans="1:59" s="431" customFormat="1" ht="18" customHeight="1" x14ac:dyDescent="0.2">
      <c r="A1588" s="1367"/>
      <c r="B1588" s="1968"/>
      <c r="C1588" s="1968"/>
      <c r="D1588" s="1968"/>
      <c r="E1588" s="1968"/>
      <c r="F1588" s="1968"/>
      <c r="G1588" s="2042"/>
      <c r="H1588" s="1968"/>
      <c r="I1588" s="1968"/>
      <c r="J1588" s="1968"/>
      <c r="K1588" s="1970"/>
      <c r="L1588" s="1968"/>
      <c r="M1588" s="1971"/>
      <c r="N1588" s="1963"/>
      <c r="O1588" s="1968"/>
      <c r="P1588" s="2037" t="s">
        <v>4172</v>
      </c>
      <c r="Q1588" s="1960" t="s">
        <v>4173</v>
      </c>
      <c r="R1588" s="1962" t="s">
        <v>4159</v>
      </c>
      <c r="S1588" s="1962" t="s">
        <v>4174</v>
      </c>
      <c r="T1588" s="1964" t="s">
        <v>4175</v>
      </c>
      <c r="U1588" s="1966" t="s">
        <v>4159</v>
      </c>
      <c r="V1588" s="1975"/>
      <c r="W1588" s="1975"/>
      <c r="X1588" s="1976"/>
      <c r="Y1588" s="1959"/>
      <c r="Z1588" s="1191"/>
      <c r="AA1588" s="426"/>
      <c r="AB1588" s="426"/>
      <c r="AC1588" s="426"/>
      <c r="AD1588" s="564"/>
      <c r="AE1588" s="426"/>
      <c r="AF1588" s="564"/>
      <c r="AG1588" s="426"/>
      <c r="AH1588" s="426"/>
      <c r="AI1588" s="427"/>
      <c r="AJ1588" s="427"/>
      <c r="AK1588" s="426"/>
      <c r="AL1588" s="427"/>
      <c r="AM1588" s="428"/>
      <c r="AN1588" s="427"/>
      <c r="AO1588" s="427"/>
      <c r="AP1588" s="432"/>
      <c r="AQ1588" s="427"/>
      <c r="AR1588" s="427"/>
      <c r="AS1588" s="427"/>
      <c r="AT1588" s="432"/>
      <c r="AU1588" s="427"/>
      <c r="AV1588" s="427"/>
      <c r="AW1588" s="427"/>
      <c r="AX1588" s="432"/>
      <c r="AY1588" s="427"/>
      <c r="AZ1588" s="427"/>
      <c r="BA1588" s="427"/>
      <c r="BB1588" s="429"/>
      <c r="BC1588" s="430"/>
      <c r="BD1588" s="430"/>
    </row>
    <row r="1589" spans="1:59" s="431" customFormat="1" ht="18" customHeight="1" x14ac:dyDescent="0.2">
      <c r="A1589" s="1367"/>
      <c r="B1589" s="1968"/>
      <c r="C1589" s="1968"/>
      <c r="D1589" s="1968"/>
      <c r="E1589" s="433" t="s">
        <v>4176</v>
      </c>
      <c r="F1589" s="434" t="s">
        <v>2288</v>
      </c>
      <c r="G1589" s="2042"/>
      <c r="H1589" s="1192" t="s">
        <v>2288</v>
      </c>
      <c r="I1589" s="1192" t="s">
        <v>4177</v>
      </c>
      <c r="J1589" s="1968"/>
      <c r="K1589" s="1965"/>
      <c r="L1589" s="435" t="s">
        <v>2288</v>
      </c>
      <c r="M1589" s="681" t="s">
        <v>2288</v>
      </c>
      <c r="N1589" s="1192" t="s">
        <v>2288</v>
      </c>
      <c r="O1589" s="1968"/>
      <c r="P1589" s="2038"/>
      <c r="Q1589" s="1961"/>
      <c r="R1589" s="1963"/>
      <c r="S1589" s="1963"/>
      <c r="T1589" s="1965"/>
      <c r="U1589" s="1967"/>
      <c r="V1589" s="1192" t="s">
        <v>4178</v>
      </c>
      <c r="W1589" s="1193" t="s">
        <v>4159</v>
      </c>
      <c r="X1589" s="1961"/>
      <c r="Y1589" s="436"/>
      <c r="Z1589" s="436"/>
      <c r="AA1589" s="426"/>
      <c r="AB1589" s="426"/>
      <c r="AC1589" s="426"/>
      <c r="AD1589" s="564"/>
      <c r="AE1589" s="426"/>
      <c r="AF1589" s="564"/>
      <c r="AG1589" s="426"/>
      <c r="AH1589" s="426"/>
      <c r="AI1589" s="427"/>
      <c r="AJ1589" s="432"/>
      <c r="AK1589" s="432"/>
      <c r="AL1589" s="427"/>
      <c r="AM1589" s="428"/>
      <c r="AN1589" s="432"/>
      <c r="AO1589" s="427"/>
      <c r="AP1589" s="432"/>
      <c r="AQ1589" s="432"/>
      <c r="AR1589" s="427"/>
      <c r="AS1589" s="427"/>
      <c r="AT1589" s="432"/>
      <c r="AU1589" s="432"/>
      <c r="AV1589" s="427"/>
      <c r="AW1589" s="427"/>
      <c r="AX1589" s="432"/>
      <c r="AY1589" s="432"/>
      <c r="AZ1589" s="427"/>
      <c r="BA1589" s="427"/>
      <c r="BB1589" s="429"/>
      <c r="BC1589" s="430"/>
      <c r="BD1589" s="430"/>
    </row>
    <row r="1590" spans="1:59" s="461" customFormat="1" ht="18" customHeight="1" x14ac:dyDescent="0.2">
      <c r="A1590" s="1368" t="str">
        <f>$D$1586&amp;S1590</f>
        <v>JL. DESA GUNUNG KESIANGAN - JL. UJUNG TANJUNG2001</v>
      </c>
      <c r="B1590" s="1373">
        <v>1</v>
      </c>
      <c r="C1590" s="532" t="s">
        <v>483</v>
      </c>
      <c r="D1590" s="437" t="s">
        <v>3821</v>
      </c>
      <c r="E1590" s="438"/>
      <c r="F1590" s="439">
        <v>2001</v>
      </c>
      <c r="G1590" s="623">
        <v>292500000</v>
      </c>
      <c r="H1590" s="440">
        <f>VLOOKUP(LEFT(D1590,8),UE,4)</f>
        <v>10</v>
      </c>
      <c r="I1590" s="441"/>
      <c r="J1590" s="442">
        <f>F1590+N1590-1</f>
        <v>2010</v>
      </c>
      <c r="K1590" s="443"/>
      <c r="L1590" s="440"/>
      <c r="M1590" s="746">
        <f>IF(H1590+L1590&gt;$H1590,$H1590-H1590,L1590)</f>
        <v>0</v>
      </c>
      <c r="N1590" s="444">
        <f>H1590+M1590</f>
        <v>10</v>
      </c>
      <c r="O1590" s="442">
        <f>F1590+N1590-1</f>
        <v>2010</v>
      </c>
      <c r="P1590" s="617">
        <f>G1590</f>
        <v>292500000</v>
      </c>
      <c r="Q1590" s="445">
        <v>0</v>
      </c>
      <c r="R1590" s="445">
        <f>P1590/N1590</f>
        <v>29250000</v>
      </c>
      <c r="S1590" s="446">
        <f t="shared" ref="S1590:S1603" si="1189">F1590</f>
        <v>2001</v>
      </c>
      <c r="T1590" s="447">
        <v>1</v>
      </c>
      <c r="U1590" s="613">
        <f t="shared" ref="U1590:U1603" si="1190">R1590*T1590</f>
        <v>29250000</v>
      </c>
      <c r="V1590" s="442">
        <f>F1590</f>
        <v>2001</v>
      </c>
      <c r="W1590" s="617">
        <f>IF(OR(AND(ISBLANK(E1590),ISBLANK(G1590)),ISTEXT(E1590),ISTEXT(G1590)),"",G1590-R1590)</f>
        <v>263250000</v>
      </c>
      <c r="X1590" s="448"/>
      <c r="Y1590" s="449"/>
      <c r="Z1590" s="449"/>
      <c r="AA1590" s="693"/>
      <c r="AB1590" s="452"/>
      <c r="AC1590" s="452"/>
      <c r="AD1590" s="571"/>
      <c r="AE1590" s="452"/>
      <c r="AF1590" s="571"/>
      <c r="AG1590" s="452"/>
      <c r="AH1590" s="452"/>
      <c r="AI1590" s="453"/>
      <c r="AJ1590" s="449"/>
      <c r="AK1590" s="453"/>
      <c r="AL1590" s="454"/>
      <c r="AM1590" s="455"/>
      <c r="AN1590" s="456"/>
      <c r="AO1590" s="455"/>
      <c r="AP1590" s="452"/>
      <c r="AQ1590" s="457"/>
      <c r="AR1590" s="449"/>
      <c r="AS1590" s="449"/>
      <c r="AT1590" s="452"/>
      <c r="AU1590" s="457"/>
      <c r="AV1590" s="449"/>
      <c r="AW1590" s="458"/>
      <c r="AX1590" s="452"/>
      <c r="AY1590" s="457"/>
      <c r="AZ1590" s="449"/>
      <c r="BA1590" s="459"/>
      <c r="BB1590" s="455"/>
      <c r="BC1590" s="460"/>
      <c r="BD1590" s="460"/>
      <c r="BG1590" s="462"/>
    </row>
    <row r="1591" spans="1:59" s="461" customFormat="1" ht="18" customHeight="1" x14ac:dyDescent="0.2">
      <c r="A1591" s="1368" t="str">
        <f t="shared" ref="A1591:A1604" si="1191">$D$1586&amp;S1591</f>
        <v>JL. DESA GUNUNG KESIANGAN - JL. UJUNG TANJUNG2006</v>
      </c>
      <c r="B1591" s="1373"/>
      <c r="C1591" s="488"/>
      <c r="D1591" s="489"/>
      <c r="E1591" s="558"/>
      <c r="F1591" s="559">
        <v>2006</v>
      </c>
      <c r="G1591" s="619">
        <v>0</v>
      </c>
      <c r="H1591" s="464">
        <f t="shared" ref="H1591:H1600" si="1192">IF(N1590-(F1591-F1590)&lt;=0,0,(N1590-(F1591-F1590)))</f>
        <v>5</v>
      </c>
      <c r="I1591" s="560"/>
      <c r="J1591" s="468">
        <f t="shared" ref="J1591:J1603" si="1193">F1591+N1591-1</f>
        <v>2010</v>
      </c>
      <c r="K1591" s="490">
        <f t="shared" ref="K1591:K1603" si="1194">IF(G1591=0,0,IF(H1591=10,100%,G1591/W1590))</f>
        <v>0</v>
      </c>
      <c r="L1591" s="469">
        <f t="shared" ref="L1591:L1603" si="1195">IF(K1591=0%,0,IF(K1591&lt;=30%,2,IF(K1591&lt;=60%,5,10)))</f>
        <v>0</v>
      </c>
      <c r="M1591" s="683">
        <f t="shared" ref="M1591:M1603" si="1196">IF(OR(AND(ISBLANK(E1591),ISBLANK(G1591)),ISTEXT(E1591),ISTEXT(G1591)),"",IF(H1591+L1591&gt;$H$8,$H$8-H1591,L1591))</f>
        <v>0</v>
      </c>
      <c r="N1591" s="470">
        <f t="shared" ref="N1591:N1603" si="1197">IF(OR(AND(ISBLANK(F1591),ISBLANK(G1591)),ISTEXT(F1591),ISTEXT(G1591)),"",H1591+M1591)</f>
        <v>5</v>
      </c>
      <c r="O1591" s="468">
        <f t="shared" ref="O1591:O1603" si="1198">F1591+N1591-1</f>
        <v>2010</v>
      </c>
      <c r="P1591" s="616">
        <f t="shared" ref="P1591:P1603" si="1199">W1590</f>
        <v>263250000</v>
      </c>
      <c r="Q1591" s="472">
        <f t="shared" ref="Q1591:Q1603" si="1200">P1591+G1591</f>
        <v>263250000</v>
      </c>
      <c r="R1591" s="472">
        <f>IF(L1591=0,R1590,Q1591/N1591)</f>
        <v>29250000</v>
      </c>
      <c r="S1591" s="1189">
        <f t="shared" si="1189"/>
        <v>2006</v>
      </c>
      <c r="T1591" s="470">
        <f t="shared" ref="T1591:T1603" si="1201">S1591-S1590</f>
        <v>5</v>
      </c>
      <c r="U1591" s="612">
        <f t="shared" si="1190"/>
        <v>146250000</v>
      </c>
      <c r="V1591" s="464">
        <f t="shared" ref="V1591:V1603" si="1202">F1591</f>
        <v>2006</v>
      </c>
      <c r="W1591" s="612">
        <f t="shared" ref="W1591:W1603" si="1203">IF(OR(AND(ISBLANK(E1591),ISBLANK(G1591)),ISTEXT(E1591),ISTEXT(G1591)),"",Q1591-U1591)</f>
        <v>117000000</v>
      </c>
      <c r="X1591" s="561"/>
      <c r="Y1591" s="449"/>
      <c r="Z1591" s="449"/>
      <c r="AA1591" s="693"/>
      <c r="AB1591" s="452"/>
      <c r="AC1591" s="452"/>
      <c r="AD1591" s="571"/>
      <c r="AE1591" s="452"/>
      <c r="AF1591" s="571"/>
      <c r="AG1591" s="452"/>
      <c r="AH1591" s="452"/>
      <c r="AI1591" s="453"/>
      <c r="AJ1591" s="449"/>
      <c r="AK1591" s="453"/>
      <c r="AL1591" s="454"/>
      <c r="AM1591" s="455"/>
      <c r="AN1591" s="456"/>
      <c r="AO1591" s="455"/>
      <c r="AP1591" s="452"/>
      <c r="AQ1591" s="457"/>
      <c r="AR1591" s="449"/>
      <c r="AS1591" s="449"/>
      <c r="AT1591" s="452"/>
      <c r="AU1591" s="457"/>
      <c r="AV1591" s="449"/>
      <c r="AW1591" s="458"/>
      <c r="AX1591" s="452"/>
      <c r="AY1591" s="457"/>
      <c r="AZ1591" s="449"/>
      <c r="BA1591" s="459"/>
      <c r="BB1591" s="455"/>
      <c r="BC1591" s="460"/>
      <c r="BD1591" s="460"/>
      <c r="BG1591" s="462"/>
    </row>
    <row r="1592" spans="1:59" s="461" customFormat="1" ht="18" customHeight="1" x14ac:dyDescent="0.2">
      <c r="A1592" s="1368" t="str">
        <f t="shared" si="1191"/>
        <v>JL. DESA GUNUNG KESIANGAN - JL. UJUNG TANJUNG2007</v>
      </c>
      <c r="B1592" s="1373"/>
      <c r="C1592" s="488"/>
      <c r="D1592" s="489"/>
      <c r="E1592" s="558"/>
      <c r="F1592" s="559">
        <v>2007</v>
      </c>
      <c r="G1592" s="619">
        <v>0</v>
      </c>
      <c r="H1592" s="464">
        <f t="shared" si="1192"/>
        <v>4</v>
      </c>
      <c r="I1592" s="560"/>
      <c r="J1592" s="468">
        <f t="shared" si="1193"/>
        <v>2010</v>
      </c>
      <c r="K1592" s="490">
        <f t="shared" si="1194"/>
        <v>0</v>
      </c>
      <c r="L1592" s="469">
        <f t="shared" si="1195"/>
        <v>0</v>
      </c>
      <c r="M1592" s="683">
        <f t="shared" si="1196"/>
        <v>0</v>
      </c>
      <c r="N1592" s="470">
        <f t="shared" si="1197"/>
        <v>4</v>
      </c>
      <c r="O1592" s="468">
        <f t="shared" si="1198"/>
        <v>2010</v>
      </c>
      <c r="P1592" s="616">
        <f t="shared" si="1199"/>
        <v>117000000</v>
      </c>
      <c r="Q1592" s="472">
        <f t="shared" si="1200"/>
        <v>117000000</v>
      </c>
      <c r="R1592" s="472">
        <f>IF(L1592=0,R1591,Q1592/N1592)</f>
        <v>29250000</v>
      </c>
      <c r="S1592" s="1189">
        <f t="shared" si="1189"/>
        <v>2007</v>
      </c>
      <c r="T1592" s="470">
        <f t="shared" si="1201"/>
        <v>1</v>
      </c>
      <c r="U1592" s="612">
        <f t="shared" si="1190"/>
        <v>29250000</v>
      </c>
      <c r="V1592" s="464">
        <f t="shared" si="1202"/>
        <v>2007</v>
      </c>
      <c r="W1592" s="612">
        <f t="shared" si="1203"/>
        <v>87750000</v>
      </c>
      <c r="X1592" s="561"/>
      <c r="Y1592" s="449"/>
      <c r="Z1592" s="449"/>
      <c r="AA1592" s="693"/>
      <c r="AB1592" s="452"/>
      <c r="AC1592" s="452"/>
      <c r="AD1592" s="571"/>
      <c r="AE1592" s="452"/>
      <c r="AF1592" s="571"/>
      <c r="AG1592" s="452"/>
      <c r="AH1592" s="452"/>
      <c r="AI1592" s="453"/>
      <c r="AJ1592" s="449"/>
      <c r="AK1592" s="453"/>
      <c r="AL1592" s="454"/>
      <c r="AM1592" s="455"/>
      <c r="AN1592" s="456"/>
      <c r="AO1592" s="455"/>
      <c r="AP1592" s="452"/>
      <c r="AQ1592" s="457"/>
      <c r="AR1592" s="449"/>
      <c r="AS1592" s="449"/>
      <c r="AT1592" s="452"/>
      <c r="AU1592" s="457"/>
      <c r="AV1592" s="449"/>
      <c r="AW1592" s="458"/>
      <c r="AX1592" s="452"/>
      <c r="AY1592" s="457"/>
      <c r="AZ1592" s="449"/>
      <c r="BA1592" s="459"/>
      <c r="BB1592" s="455"/>
      <c r="BC1592" s="460"/>
      <c r="BD1592" s="460"/>
      <c r="BG1592" s="462"/>
    </row>
    <row r="1593" spans="1:59" s="461" customFormat="1" ht="18" customHeight="1" x14ac:dyDescent="0.2">
      <c r="A1593" s="1368" t="str">
        <f t="shared" si="1191"/>
        <v>JL. DESA GUNUNG KESIANGAN - JL. UJUNG TANJUNG2008</v>
      </c>
      <c r="B1593" s="1373"/>
      <c r="C1593" s="488"/>
      <c r="D1593" s="489"/>
      <c r="E1593" s="558"/>
      <c r="F1593" s="559">
        <v>2008</v>
      </c>
      <c r="G1593" s="619">
        <v>0</v>
      </c>
      <c r="H1593" s="464">
        <f t="shared" si="1192"/>
        <v>3</v>
      </c>
      <c r="I1593" s="560"/>
      <c r="J1593" s="468">
        <f t="shared" si="1193"/>
        <v>2010</v>
      </c>
      <c r="K1593" s="490">
        <f t="shared" si="1194"/>
        <v>0</v>
      </c>
      <c r="L1593" s="469">
        <f t="shared" si="1195"/>
        <v>0</v>
      </c>
      <c r="M1593" s="683">
        <f t="shared" si="1196"/>
        <v>0</v>
      </c>
      <c r="N1593" s="470">
        <f t="shared" si="1197"/>
        <v>3</v>
      </c>
      <c r="O1593" s="468">
        <f t="shared" si="1198"/>
        <v>2010</v>
      </c>
      <c r="P1593" s="616">
        <f t="shared" si="1199"/>
        <v>87750000</v>
      </c>
      <c r="Q1593" s="472">
        <f t="shared" si="1200"/>
        <v>87750000</v>
      </c>
      <c r="R1593" s="472">
        <f>IF(L1593=0,R1592,Q1593/N1593)</f>
        <v>29250000</v>
      </c>
      <c r="S1593" s="1189">
        <f t="shared" si="1189"/>
        <v>2008</v>
      </c>
      <c r="T1593" s="470">
        <f t="shared" si="1201"/>
        <v>1</v>
      </c>
      <c r="U1593" s="612">
        <f t="shared" si="1190"/>
        <v>29250000</v>
      </c>
      <c r="V1593" s="464">
        <f t="shared" si="1202"/>
        <v>2008</v>
      </c>
      <c r="W1593" s="612">
        <f t="shared" si="1203"/>
        <v>58500000</v>
      </c>
      <c r="X1593" s="561"/>
      <c r="Y1593" s="449"/>
      <c r="Z1593" s="449"/>
      <c r="AA1593" s="693"/>
      <c r="AB1593" s="452"/>
      <c r="AC1593" s="452"/>
      <c r="AD1593" s="571"/>
      <c r="AE1593" s="452"/>
      <c r="AF1593" s="571"/>
      <c r="AG1593" s="452"/>
      <c r="AH1593" s="452"/>
      <c r="AI1593" s="453"/>
      <c r="AJ1593" s="449"/>
      <c r="AK1593" s="453"/>
      <c r="AL1593" s="454"/>
      <c r="AM1593" s="455"/>
      <c r="AN1593" s="456"/>
      <c r="AO1593" s="455"/>
      <c r="AP1593" s="452"/>
      <c r="AQ1593" s="457"/>
      <c r="AR1593" s="449"/>
      <c r="AS1593" s="449"/>
      <c r="AT1593" s="452"/>
      <c r="AU1593" s="457"/>
      <c r="AV1593" s="449"/>
      <c r="AW1593" s="458"/>
      <c r="AX1593" s="452"/>
      <c r="AY1593" s="457"/>
      <c r="AZ1593" s="449"/>
      <c r="BA1593" s="459"/>
      <c r="BB1593" s="455"/>
      <c r="BC1593" s="460"/>
      <c r="BD1593" s="460"/>
      <c r="BG1593" s="462"/>
    </row>
    <row r="1594" spans="1:59" s="461" customFormat="1" ht="18" customHeight="1" x14ac:dyDescent="0.2">
      <c r="A1594" s="1368" t="str">
        <f t="shared" si="1191"/>
        <v>JL. DESA GUNUNG KESIANGAN - JL. UJUNG TANJUNG2009</v>
      </c>
      <c r="B1594" s="1373"/>
      <c r="C1594" s="488"/>
      <c r="D1594" s="489"/>
      <c r="E1594" s="558"/>
      <c r="F1594" s="559">
        <v>2009</v>
      </c>
      <c r="G1594" s="619">
        <v>0</v>
      </c>
      <c r="H1594" s="464">
        <f t="shared" si="1192"/>
        <v>2</v>
      </c>
      <c r="I1594" s="560"/>
      <c r="J1594" s="468">
        <f t="shared" si="1193"/>
        <v>2010</v>
      </c>
      <c r="K1594" s="490">
        <f t="shared" si="1194"/>
        <v>0</v>
      </c>
      <c r="L1594" s="469">
        <f t="shared" si="1195"/>
        <v>0</v>
      </c>
      <c r="M1594" s="683">
        <f t="shared" si="1196"/>
        <v>0</v>
      </c>
      <c r="N1594" s="470">
        <f t="shared" si="1197"/>
        <v>2</v>
      </c>
      <c r="O1594" s="468">
        <f t="shared" si="1198"/>
        <v>2010</v>
      </c>
      <c r="P1594" s="616">
        <f t="shared" si="1199"/>
        <v>58500000</v>
      </c>
      <c r="Q1594" s="472">
        <f t="shared" si="1200"/>
        <v>58500000</v>
      </c>
      <c r="R1594" s="472">
        <f>IF(L1594=0,R1593,Q1594/N1594)</f>
        <v>29250000</v>
      </c>
      <c r="S1594" s="1189">
        <f t="shared" si="1189"/>
        <v>2009</v>
      </c>
      <c r="T1594" s="470">
        <f t="shared" si="1201"/>
        <v>1</v>
      </c>
      <c r="U1594" s="612">
        <f t="shared" si="1190"/>
        <v>29250000</v>
      </c>
      <c r="V1594" s="464">
        <f t="shared" si="1202"/>
        <v>2009</v>
      </c>
      <c r="W1594" s="612">
        <f t="shared" si="1203"/>
        <v>29250000</v>
      </c>
      <c r="X1594" s="561"/>
      <c r="Y1594" s="449"/>
      <c r="Z1594" s="449"/>
      <c r="AA1594" s="693"/>
      <c r="AB1594" s="452"/>
      <c r="AC1594" s="452"/>
      <c r="AD1594" s="571"/>
      <c r="AE1594" s="452"/>
      <c r="AF1594" s="571"/>
      <c r="AG1594" s="452"/>
      <c r="AH1594" s="452"/>
      <c r="AI1594" s="453"/>
      <c r="AJ1594" s="449"/>
      <c r="AK1594" s="453"/>
      <c r="AL1594" s="454"/>
      <c r="AM1594" s="455"/>
      <c r="AN1594" s="456"/>
      <c r="AO1594" s="455"/>
      <c r="AP1594" s="452"/>
      <c r="AQ1594" s="457"/>
      <c r="AR1594" s="449"/>
      <c r="AS1594" s="449"/>
      <c r="AT1594" s="452"/>
      <c r="AU1594" s="457"/>
      <c r="AV1594" s="449"/>
      <c r="AW1594" s="458"/>
      <c r="AX1594" s="452"/>
      <c r="AY1594" s="457"/>
      <c r="AZ1594" s="449"/>
      <c r="BA1594" s="459"/>
      <c r="BB1594" s="455"/>
      <c r="BC1594" s="460"/>
      <c r="BD1594" s="460"/>
      <c r="BG1594" s="462"/>
    </row>
    <row r="1595" spans="1:59" s="461" customFormat="1" ht="18" customHeight="1" x14ac:dyDescent="0.2">
      <c r="A1595" s="1368" t="str">
        <f t="shared" si="1191"/>
        <v>JL. DESA GUNUNG KESIANGAN - JL. UJUNG TANJUNG2010</v>
      </c>
      <c r="B1595" s="1373"/>
      <c r="C1595" s="488"/>
      <c r="D1595" s="489"/>
      <c r="E1595" s="558"/>
      <c r="F1595" s="559">
        <v>2010</v>
      </c>
      <c r="G1595" s="619">
        <v>0</v>
      </c>
      <c r="H1595" s="464">
        <f t="shared" si="1192"/>
        <v>1</v>
      </c>
      <c r="I1595" s="560"/>
      <c r="J1595" s="468">
        <f t="shared" si="1193"/>
        <v>2010</v>
      </c>
      <c r="K1595" s="490">
        <f t="shared" si="1194"/>
        <v>0</v>
      </c>
      <c r="L1595" s="469">
        <f t="shared" si="1195"/>
        <v>0</v>
      </c>
      <c r="M1595" s="683">
        <f t="shared" si="1196"/>
        <v>0</v>
      </c>
      <c r="N1595" s="470">
        <f t="shared" si="1197"/>
        <v>1</v>
      </c>
      <c r="O1595" s="468">
        <f t="shared" si="1198"/>
        <v>2010</v>
      </c>
      <c r="P1595" s="616">
        <f t="shared" si="1199"/>
        <v>29250000</v>
      </c>
      <c r="Q1595" s="472">
        <f t="shared" si="1200"/>
        <v>29250000</v>
      </c>
      <c r="R1595" s="472">
        <f>IF(L1595=0,R1594,Q1595/N1595)</f>
        <v>29250000</v>
      </c>
      <c r="S1595" s="1189">
        <f t="shared" si="1189"/>
        <v>2010</v>
      </c>
      <c r="T1595" s="470">
        <f t="shared" si="1201"/>
        <v>1</v>
      </c>
      <c r="U1595" s="612">
        <f t="shared" si="1190"/>
        <v>29250000</v>
      </c>
      <c r="V1595" s="464">
        <f t="shared" si="1202"/>
        <v>2010</v>
      </c>
      <c r="W1595" s="612">
        <f t="shared" si="1203"/>
        <v>0</v>
      </c>
      <c r="X1595" s="561"/>
      <c r="Y1595" s="449"/>
      <c r="Z1595" s="449"/>
      <c r="AA1595" s="693"/>
      <c r="AB1595" s="452"/>
      <c r="AC1595" s="452"/>
      <c r="AD1595" s="571"/>
      <c r="AE1595" s="452"/>
      <c r="AF1595" s="571"/>
      <c r="AG1595" s="452"/>
      <c r="AH1595" s="452"/>
      <c r="AI1595" s="453"/>
      <c r="AJ1595" s="449"/>
      <c r="AK1595" s="453"/>
      <c r="AL1595" s="454"/>
      <c r="AM1595" s="455"/>
      <c r="AN1595" s="456"/>
      <c r="AO1595" s="455"/>
      <c r="AP1595" s="452"/>
      <c r="AQ1595" s="457"/>
      <c r="AR1595" s="449"/>
      <c r="AS1595" s="449"/>
      <c r="AT1595" s="452"/>
      <c r="AU1595" s="457"/>
      <c r="AV1595" s="449"/>
      <c r="AW1595" s="458"/>
      <c r="AX1595" s="452"/>
      <c r="AY1595" s="457"/>
      <c r="AZ1595" s="449"/>
      <c r="BA1595" s="459"/>
      <c r="BB1595" s="455"/>
      <c r="BC1595" s="460"/>
      <c r="BD1595" s="460"/>
      <c r="BG1595" s="462"/>
    </row>
    <row r="1596" spans="1:59" s="461" customFormat="1" ht="18" customHeight="1" x14ac:dyDescent="0.2">
      <c r="A1596" s="1368" t="str">
        <f t="shared" si="1191"/>
        <v>JL. DESA GUNUNG KESIANGAN - JL. UJUNG TANJUNG2011</v>
      </c>
      <c r="B1596" s="1373"/>
      <c r="C1596" s="488"/>
      <c r="D1596" s="489"/>
      <c r="E1596" s="558"/>
      <c r="F1596" s="559">
        <v>2011</v>
      </c>
      <c r="G1596" s="619">
        <v>0</v>
      </c>
      <c r="H1596" s="464">
        <f t="shared" si="1192"/>
        <v>0</v>
      </c>
      <c r="I1596" s="560"/>
      <c r="J1596" s="468">
        <f t="shared" si="1193"/>
        <v>2010</v>
      </c>
      <c r="K1596" s="490">
        <f t="shared" si="1194"/>
        <v>0</v>
      </c>
      <c r="L1596" s="469">
        <f t="shared" si="1195"/>
        <v>0</v>
      </c>
      <c r="M1596" s="683">
        <f t="shared" si="1196"/>
        <v>0</v>
      </c>
      <c r="N1596" s="470">
        <f t="shared" si="1197"/>
        <v>0</v>
      </c>
      <c r="O1596" s="468">
        <f t="shared" si="1198"/>
        <v>2010</v>
      </c>
      <c r="P1596" s="616">
        <f t="shared" si="1199"/>
        <v>0</v>
      </c>
      <c r="Q1596" s="472">
        <f t="shared" si="1200"/>
        <v>0</v>
      </c>
      <c r="R1596" s="472">
        <v>0</v>
      </c>
      <c r="S1596" s="1189">
        <f t="shared" si="1189"/>
        <v>2011</v>
      </c>
      <c r="T1596" s="470">
        <f t="shared" si="1201"/>
        <v>1</v>
      </c>
      <c r="U1596" s="612">
        <f t="shared" si="1190"/>
        <v>0</v>
      </c>
      <c r="V1596" s="464">
        <f t="shared" si="1202"/>
        <v>2011</v>
      </c>
      <c r="W1596" s="612">
        <f t="shared" si="1203"/>
        <v>0</v>
      </c>
      <c r="X1596" s="561"/>
      <c r="Y1596" s="449"/>
      <c r="Z1596" s="449"/>
      <c r="AA1596" s="693"/>
      <c r="AB1596" s="452"/>
      <c r="AC1596" s="452"/>
      <c r="AD1596" s="571"/>
      <c r="AE1596" s="452"/>
      <c r="AF1596" s="571"/>
      <c r="AG1596" s="452"/>
      <c r="AH1596" s="452"/>
      <c r="AI1596" s="453"/>
      <c r="AJ1596" s="449"/>
      <c r="AK1596" s="453"/>
      <c r="AL1596" s="454"/>
      <c r="AM1596" s="455"/>
      <c r="AN1596" s="456"/>
      <c r="AO1596" s="455"/>
      <c r="AP1596" s="452"/>
      <c r="AQ1596" s="457"/>
      <c r="AR1596" s="449"/>
      <c r="AS1596" s="449"/>
      <c r="AT1596" s="452"/>
      <c r="AU1596" s="457"/>
      <c r="AV1596" s="449"/>
      <c r="AW1596" s="458"/>
      <c r="AX1596" s="452"/>
      <c r="AY1596" s="457"/>
      <c r="AZ1596" s="449"/>
      <c r="BA1596" s="459"/>
      <c r="BB1596" s="455"/>
      <c r="BC1596" s="460"/>
      <c r="BD1596" s="460"/>
      <c r="BG1596" s="462"/>
    </row>
    <row r="1597" spans="1:59" s="461" customFormat="1" ht="18" customHeight="1" x14ac:dyDescent="0.2">
      <c r="A1597" s="1368" t="str">
        <f t="shared" si="1191"/>
        <v>JL. DESA GUNUNG KESIANGAN - JL. UJUNG TANJUNG2012</v>
      </c>
      <c r="B1597" s="1373"/>
      <c r="C1597" s="488"/>
      <c r="D1597" s="489"/>
      <c r="E1597" s="558"/>
      <c r="F1597" s="559">
        <v>2012</v>
      </c>
      <c r="G1597" s="619">
        <v>0</v>
      </c>
      <c r="H1597" s="464">
        <f t="shared" si="1192"/>
        <v>0</v>
      </c>
      <c r="I1597" s="560"/>
      <c r="J1597" s="468">
        <f t="shared" si="1193"/>
        <v>2011</v>
      </c>
      <c r="K1597" s="490">
        <f t="shared" si="1194"/>
        <v>0</v>
      </c>
      <c r="L1597" s="469">
        <f t="shared" si="1195"/>
        <v>0</v>
      </c>
      <c r="M1597" s="683">
        <f t="shared" si="1196"/>
        <v>0</v>
      </c>
      <c r="N1597" s="470">
        <f t="shared" si="1197"/>
        <v>0</v>
      </c>
      <c r="O1597" s="468">
        <f t="shared" si="1198"/>
        <v>2011</v>
      </c>
      <c r="P1597" s="616">
        <f t="shared" si="1199"/>
        <v>0</v>
      </c>
      <c r="Q1597" s="472">
        <f t="shared" si="1200"/>
        <v>0</v>
      </c>
      <c r="R1597" s="472">
        <f t="shared" ref="R1597:R1603" si="1204">IF(L1597=0,R1596,Q1597/N1597)</f>
        <v>0</v>
      </c>
      <c r="S1597" s="1189">
        <f t="shared" si="1189"/>
        <v>2012</v>
      </c>
      <c r="T1597" s="470">
        <f t="shared" si="1201"/>
        <v>1</v>
      </c>
      <c r="U1597" s="612">
        <f t="shared" si="1190"/>
        <v>0</v>
      </c>
      <c r="V1597" s="464">
        <f t="shared" si="1202"/>
        <v>2012</v>
      </c>
      <c r="W1597" s="612">
        <f t="shared" si="1203"/>
        <v>0</v>
      </c>
      <c r="X1597" s="561"/>
      <c r="Y1597" s="449"/>
      <c r="Z1597" s="449"/>
      <c r="AA1597" s="694"/>
      <c r="AB1597" s="692"/>
      <c r="AC1597" s="692"/>
      <c r="AD1597" s="695"/>
      <c r="AE1597" s="452"/>
      <c r="AF1597" s="571"/>
      <c r="AG1597" s="452"/>
      <c r="AH1597" s="452"/>
      <c r="AI1597" s="453"/>
      <c r="AJ1597" s="449"/>
      <c r="AK1597" s="453"/>
      <c r="AL1597" s="454"/>
      <c r="AM1597" s="455"/>
      <c r="AN1597" s="456"/>
      <c r="AO1597" s="455"/>
      <c r="AP1597" s="452"/>
      <c r="AQ1597" s="457"/>
      <c r="AR1597" s="449"/>
      <c r="AS1597" s="449"/>
      <c r="AT1597" s="452"/>
      <c r="AU1597" s="457"/>
      <c r="AV1597" s="449"/>
      <c r="AW1597" s="458"/>
      <c r="AX1597" s="452"/>
      <c r="AY1597" s="457"/>
      <c r="AZ1597" s="449"/>
      <c r="BA1597" s="459"/>
      <c r="BB1597" s="455"/>
      <c r="BC1597" s="460"/>
      <c r="BD1597" s="460"/>
      <c r="BG1597" s="462"/>
    </row>
    <row r="1598" spans="1:59" s="461" customFormat="1" ht="18" customHeight="1" x14ac:dyDescent="0.2">
      <c r="A1598" s="1368" t="str">
        <f t="shared" si="1191"/>
        <v>JL. DESA GUNUNG KESIANGAN - JL. UJUNG TANJUNG2013</v>
      </c>
      <c r="B1598" s="1373"/>
      <c r="C1598" s="488"/>
      <c r="D1598" s="489"/>
      <c r="E1598" s="558"/>
      <c r="F1598" s="559">
        <v>2013</v>
      </c>
      <c r="G1598" s="619">
        <v>0</v>
      </c>
      <c r="H1598" s="464">
        <f t="shared" si="1192"/>
        <v>0</v>
      </c>
      <c r="I1598" s="560"/>
      <c r="J1598" s="468">
        <f t="shared" si="1193"/>
        <v>2012</v>
      </c>
      <c r="K1598" s="490">
        <f t="shared" si="1194"/>
        <v>0</v>
      </c>
      <c r="L1598" s="469">
        <f t="shared" si="1195"/>
        <v>0</v>
      </c>
      <c r="M1598" s="683">
        <f t="shared" si="1196"/>
        <v>0</v>
      </c>
      <c r="N1598" s="470">
        <f t="shared" si="1197"/>
        <v>0</v>
      </c>
      <c r="O1598" s="468">
        <f t="shared" si="1198"/>
        <v>2012</v>
      </c>
      <c r="P1598" s="616">
        <f t="shared" si="1199"/>
        <v>0</v>
      </c>
      <c r="Q1598" s="472">
        <f t="shared" si="1200"/>
        <v>0</v>
      </c>
      <c r="R1598" s="472">
        <f t="shared" si="1204"/>
        <v>0</v>
      </c>
      <c r="S1598" s="1189">
        <f t="shared" si="1189"/>
        <v>2013</v>
      </c>
      <c r="T1598" s="470">
        <f t="shared" si="1201"/>
        <v>1</v>
      </c>
      <c r="U1598" s="612">
        <f t="shared" si="1190"/>
        <v>0</v>
      </c>
      <c r="V1598" s="464">
        <f t="shared" si="1202"/>
        <v>2013</v>
      </c>
      <c r="W1598" s="612">
        <f t="shared" si="1203"/>
        <v>0</v>
      </c>
      <c r="X1598" s="561"/>
      <c r="Y1598" s="449"/>
      <c r="Z1598" s="449"/>
      <c r="AA1598" s="554" t="s">
        <v>4179</v>
      </c>
      <c r="AB1598" s="452"/>
      <c r="AC1598" s="452"/>
      <c r="AD1598" s="566"/>
      <c r="AE1598" s="452"/>
      <c r="AF1598" s="571"/>
      <c r="AG1598" s="452"/>
      <c r="AH1598" s="452"/>
      <c r="AI1598" s="453"/>
      <c r="AJ1598" s="449"/>
      <c r="AK1598" s="453"/>
      <c r="AL1598" s="454"/>
      <c r="AM1598" s="455"/>
      <c r="AN1598" s="456"/>
      <c r="AO1598" s="455"/>
      <c r="AP1598" s="452"/>
      <c r="AQ1598" s="457"/>
      <c r="AR1598" s="449"/>
      <c r="AS1598" s="449"/>
      <c r="AT1598" s="452"/>
      <c r="AU1598" s="457"/>
      <c r="AV1598" s="449"/>
      <c r="AW1598" s="458"/>
      <c r="AX1598" s="452"/>
      <c r="AY1598" s="457"/>
      <c r="AZ1598" s="449"/>
      <c r="BA1598" s="459"/>
      <c r="BB1598" s="455"/>
      <c r="BC1598" s="460"/>
      <c r="BD1598" s="460"/>
      <c r="BG1598" s="462"/>
    </row>
    <row r="1599" spans="1:59" s="461" customFormat="1" ht="18" customHeight="1" x14ac:dyDescent="0.2">
      <c r="A1599" s="1368" t="str">
        <f t="shared" si="1191"/>
        <v>JL. DESA GUNUNG KESIANGAN - JL. UJUNG TANJUNG2014</v>
      </c>
      <c r="B1599" s="1373"/>
      <c r="C1599" s="488"/>
      <c r="D1599" s="489"/>
      <c r="E1599" s="558"/>
      <c r="F1599" s="559">
        <v>2014</v>
      </c>
      <c r="G1599" s="619">
        <v>0</v>
      </c>
      <c r="H1599" s="464">
        <f t="shared" si="1192"/>
        <v>0</v>
      </c>
      <c r="I1599" s="560"/>
      <c r="J1599" s="468">
        <f t="shared" si="1193"/>
        <v>2013</v>
      </c>
      <c r="K1599" s="490">
        <f t="shared" si="1194"/>
        <v>0</v>
      </c>
      <c r="L1599" s="469">
        <f t="shared" si="1195"/>
        <v>0</v>
      </c>
      <c r="M1599" s="683">
        <f t="shared" si="1196"/>
        <v>0</v>
      </c>
      <c r="N1599" s="470">
        <f t="shared" si="1197"/>
        <v>0</v>
      </c>
      <c r="O1599" s="468">
        <f t="shared" si="1198"/>
        <v>2013</v>
      </c>
      <c r="P1599" s="616">
        <f t="shared" si="1199"/>
        <v>0</v>
      </c>
      <c r="Q1599" s="472">
        <f t="shared" si="1200"/>
        <v>0</v>
      </c>
      <c r="R1599" s="472">
        <f t="shared" si="1204"/>
        <v>0</v>
      </c>
      <c r="S1599" s="1189">
        <f t="shared" si="1189"/>
        <v>2014</v>
      </c>
      <c r="T1599" s="470">
        <f t="shared" si="1201"/>
        <v>1</v>
      </c>
      <c r="U1599" s="612">
        <f t="shared" si="1190"/>
        <v>0</v>
      </c>
      <c r="V1599" s="464">
        <f t="shared" si="1202"/>
        <v>2014</v>
      </c>
      <c r="W1599" s="612">
        <f t="shared" si="1203"/>
        <v>0</v>
      </c>
      <c r="X1599" s="561"/>
      <c r="Y1599" s="449"/>
      <c r="Z1599" s="449"/>
      <c r="AA1599" s="554"/>
      <c r="AB1599" s="452"/>
      <c r="AC1599" s="452"/>
      <c r="AD1599" s="566"/>
      <c r="AE1599" s="452"/>
      <c r="AF1599" s="571"/>
      <c r="AG1599" s="452"/>
      <c r="AH1599" s="452"/>
      <c r="AI1599" s="453"/>
      <c r="AJ1599" s="449"/>
      <c r="AK1599" s="453"/>
      <c r="AL1599" s="454"/>
      <c r="AM1599" s="455"/>
      <c r="AN1599" s="456"/>
      <c r="AO1599" s="455"/>
      <c r="AP1599" s="452"/>
      <c r="AQ1599" s="457"/>
      <c r="AR1599" s="449"/>
      <c r="AS1599" s="449"/>
      <c r="AT1599" s="452"/>
      <c r="AU1599" s="457"/>
      <c r="AV1599" s="449"/>
      <c r="AW1599" s="458"/>
      <c r="AX1599" s="452"/>
      <c r="AY1599" s="457"/>
      <c r="AZ1599" s="449"/>
      <c r="BA1599" s="459"/>
      <c r="BB1599" s="455"/>
      <c r="BC1599" s="460"/>
      <c r="BD1599" s="460"/>
      <c r="BG1599" s="462"/>
    </row>
    <row r="1600" spans="1:59" s="486" customFormat="1" ht="18" customHeight="1" x14ac:dyDescent="0.2">
      <c r="A1600" s="1368" t="str">
        <f t="shared" si="1191"/>
        <v>JL. DESA GUNUNG KESIANGAN - JL. UJUNG TANJUNG2015</v>
      </c>
      <c r="B1600" s="1373"/>
      <c r="C1600" s="488"/>
      <c r="D1600" s="489"/>
      <c r="E1600" s="558"/>
      <c r="F1600" s="559">
        <v>2015</v>
      </c>
      <c r="G1600" s="619">
        <v>0</v>
      </c>
      <c r="H1600" s="464">
        <f t="shared" si="1192"/>
        <v>0</v>
      </c>
      <c r="I1600" s="560"/>
      <c r="J1600" s="468">
        <f t="shared" si="1193"/>
        <v>2014</v>
      </c>
      <c r="K1600" s="490">
        <f t="shared" si="1194"/>
        <v>0</v>
      </c>
      <c r="L1600" s="469">
        <f t="shared" si="1195"/>
        <v>0</v>
      </c>
      <c r="M1600" s="683">
        <f t="shared" si="1196"/>
        <v>0</v>
      </c>
      <c r="N1600" s="470">
        <f t="shared" si="1197"/>
        <v>0</v>
      </c>
      <c r="O1600" s="468">
        <f t="shared" si="1198"/>
        <v>2014</v>
      </c>
      <c r="P1600" s="616">
        <f t="shared" si="1199"/>
        <v>0</v>
      </c>
      <c r="Q1600" s="472">
        <f t="shared" si="1200"/>
        <v>0</v>
      </c>
      <c r="R1600" s="472">
        <f t="shared" si="1204"/>
        <v>0</v>
      </c>
      <c r="S1600" s="1189">
        <f t="shared" si="1189"/>
        <v>2015</v>
      </c>
      <c r="T1600" s="470">
        <f t="shared" si="1201"/>
        <v>1</v>
      </c>
      <c r="U1600" s="612">
        <f t="shared" si="1190"/>
        <v>0</v>
      </c>
      <c r="V1600" s="464">
        <f t="shared" si="1202"/>
        <v>2015</v>
      </c>
      <c r="W1600" s="612">
        <f t="shared" si="1203"/>
        <v>0</v>
      </c>
      <c r="X1600" s="561"/>
      <c r="Y1600" s="474"/>
      <c r="Z1600" s="449"/>
      <c r="AA1600" s="475" t="s">
        <v>4180</v>
      </c>
      <c r="AB1600" s="476"/>
      <c r="AC1600" s="476"/>
      <c r="AD1600" s="567">
        <f>G1606</f>
        <v>489229600</v>
      </c>
      <c r="AE1600" s="476"/>
      <c r="AF1600" s="568"/>
      <c r="AG1600" s="476"/>
      <c r="AH1600" s="476"/>
      <c r="AI1600" s="477"/>
      <c r="AJ1600" s="478"/>
      <c r="AK1600" s="479"/>
      <c r="AL1600" s="480"/>
      <c r="AM1600" s="474"/>
      <c r="AN1600" s="481"/>
      <c r="AO1600" s="474"/>
      <c r="AP1600" s="476"/>
      <c r="AQ1600" s="482"/>
      <c r="AR1600" s="478"/>
      <c r="AS1600" s="478"/>
      <c r="AT1600" s="476"/>
      <c r="AU1600" s="482"/>
      <c r="AV1600" s="478"/>
      <c r="AW1600" s="483"/>
      <c r="AX1600" s="476"/>
      <c r="AY1600" s="482"/>
      <c r="AZ1600" s="478"/>
      <c r="BA1600" s="484"/>
      <c r="BB1600" s="474"/>
      <c r="BC1600" s="485"/>
      <c r="BD1600" s="485"/>
      <c r="BG1600" s="487"/>
    </row>
    <row r="1601" spans="1:59" s="486" customFormat="1" ht="18" customHeight="1" x14ac:dyDescent="0.2">
      <c r="A1601" s="1368" t="str">
        <f t="shared" si="1191"/>
        <v>JL. DESA GUNUNG KESIANGAN - JL. UJUNG TANJUNG2016</v>
      </c>
      <c r="B1601" s="1373"/>
      <c r="C1601" s="488"/>
      <c r="D1601" s="489"/>
      <c r="E1601" s="558"/>
      <c r="F1601" s="559">
        <v>2016</v>
      </c>
      <c r="G1601" s="619">
        <v>0</v>
      </c>
      <c r="H1601" s="464">
        <f>IF(N1600-(F1601-F1600)&lt;=0,0,(N1600-(F1601-F1600)))</f>
        <v>0</v>
      </c>
      <c r="I1601" s="560"/>
      <c r="J1601" s="468">
        <f t="shared" si="1193"/>
        <v>2015</v>
      </c>
      <c r="K1601" s="490">
        <f t="shared" si="1194"/>
        <v>0</v>
      </c>
      <c r="L1601" s="469">
        <f t="shared" si="1195"/>
        <v>0</v>
      </c>
      <c r="M1601" s="683">
        <f t="shared" si="1196"/>
        <v>0</v>
      </c>
      <c r="N1601" s="470">
        <f t="shared" si="1197"/>
        <v>0</v>
      </c>
      <c r="O1601" s="468">
        <f t="shared" si="1198"/>
        <v>2015</v>
      </c>
      <c r="P1601" s="616">
        <f t="shared" si="1199"/>
        <v>0</v>
      </c>
      <c r="Q1601" s="472">
        <f t="shared" si="1200"/>
        <v>0</v>
      </c>
      <c r="R1601" s="472">
        <f t="shared" si="1204"/>
        <v>0</v>
      </c>
      <c r="S1601" s="1189">
        <f t="shared" si="1189"/>
        <v>2016</v>
      </c>
      <c r="T1601" s="470">
        <f t="shared" si="1201"/>
        <v>1</v>
      </c>
      <c r="U1601" s="612">
        <f t="shared" si="1190"/>
        <v>0</v>
      </c>
      <c r="V1601" s="464">
        <f t="shared" si="1202"/>
        <v>2016</v>
      </c>
      <c r="W1601" s="612">
        <f t="shared" si="1203"/>
        <v>0</v>
      </c>
      <c r="X1601" s="473"/>
      <c r="Y1601" s="478"/>
      <c r="Z1601" s="449"/>
      <c r="AA1601" s="475" t="s">
        <v>4181</v>
      </c>
      <c r="AB1601" s="476"/>
      <c r="AC1601" s="476"/>
      <c r="AD1601" s="567">
        <f>U1606</f>
        <v>351518880</v>
      </c>
      <c r="AE1601" s="476"/>
      <c r="AF1601" s="568"/>
      <c r="AG1601" s="476"/>
      <c r="AH1601" s="476"/>
      <c r="AI1601" s="477"/>
      <c r="AJ1601" s="478"/>
      <c r="AK1601" s="479"/>
      <c r="AL1601" s="480"/>
      <c r="AM1601" s="474"/>
      <c r="AN1601" s="481"/>
      <c r="AO1601" s="474"/>
      <c r="AP1601" s="476"/>
      <c r="AQ1601" s="482"/>
      <c r="AR1601" s="478"/>
      <c r="AS1601" s="478"/>
      <c r="AT1601" s="476"/>
      <c r="AU1601" s="482"/>
      <c r="AV1601" s="478"/>
      <c r="AW1601" s="483"/>
      <c r="AX1601" s="476"/>
      <c r="AY1601" s="482"/>
      <c r="AZ1601" s="478"/>
      <c r="BA1601" s="484"/>
      <c r="BB1601" s="474"/>
      <c r="BC1601" s="485"/>
      <c r="BD1601" s="485"/>
      <c r="BG1601" s="487"/>
    </row>
    <row r="1602" spans="1:59" s="486" customFormat="1" ht="18" customHeight="1" x14ac:dyDescent="0.2">
      <c r="A1602" s="1368" t="str">
        <f t="shared" si="1191"/>
        <v>JL. DESA GUNUNG KESIANGAN - JL. UJUNG TANJUNG2017</v>
      </c>
      <c r="B1602" s="1373">
        <v>2</v>
      </c>
      <c r="C1602" s="488" t="s">
        <v>3068</v>
      </c>
      <c r="D1602" s="489" t="s">
        <v>3821</v>
      </c>
      <c r="E1602" s="558"/>
      <c r="F1602" s="559">
        <v>2017</v>
      </c>
      <c r="G1602" s="619">
        <v>196729600</v>
      </c>
      <c r="H1602" s="557">
        <f>VLOOKUP(LEFT(D1602,8),UE,4)</f>
        <v>10</v>
      </c>
      <c r="I1602" s="560"/>
      <c r="J1602" s="468">
        <f t="shared" si="1193"/>
        <v>2026</v>
      </c>
      <c r="K1602" s="490">
        <f t="shared" si="1194"/>
        <v>1</v>
      </c>
      <c r="L1602" s="469">
        <f t="shared" si="1195"/>
        <v>10</v>
      </c>
      <c r="M1602" s="683">
        <f t="shared" si="1196"/>
        <v>0</v>
      </c>
      <c r="N1602" s="470">
        <f t="shared" si="1197"/>
        <v>10</v>
      </c>
      <c r="O1602" s="468">
        <f t="shared" si="1198"/>
        <v>2026</v>
      </c>
      <c r="P1602" s="616">
        <f t="shared" si="1199"/>
        <v>0</v>
      </c>
      <c r="Q1602" s="472">
        <f t="shared" si="1200"/>
        <v>196729600</v>
      </c>
      <c r="R1602" s="472">
        <f t="shared" si="1204"/>
        <v>19672960</v>
      </c>
      <c r="S1602" s="1189">
        <f t="shared" si="1189"/>
        <v>2017</v>
      </c>
      <c r="T1602" s="470">
        <f t="shared" si="1201"/>
        <v>1</v>
      </c>
      <c r="U1602" s="612">
        <f t="shared" si="1190"/>
        <v>19672960</v>
      </c>
      <c r="V1602" s="464">
        <f t="shared" si="1202"/>
        <v>2017</v>
      </c>
      <c r="W1602" s="612">
        <f t="shared" si="1203"/>
        <v>177056640</v>
      </c>
      <c r="X1602" s="473"/>
      <c r="Y1602" s="478"/>
      <c r="Z1602" s="449"/>
      <c r="AA1602" s="492" t="s">
        <v>4182</v>
      </c>
      <c r="AB1602" s="476"/>
      <c r="AC1602" s="476"/>
      <c r="AD1602" s="567">
        <f>AD1600-AD1601</f>
        <v>137710720</v>
      </c>
      <c r="AE1602" s="476"/>
      <c r="AF1602" s="568"/>
      <c r="AG1602" s="476"/>
      <c r="AH1602" s="476"/>
      <c r="AI1602" s="477"/>
      <c r="AJ1602" s="478"/>
      <c r="AK1602" s="479"/>
      <c r="AL1602" s="480"/>
      <c r="AM1602" s="474"/>
      <c r="AN1602" s="481"/>
      <c r="AO1602" s="474"/>
      <c r="AP1602" s="476"/>
      <c r="AQ1602" s="482"/>
      <c r="AR1602" s="478"/>
      <c r="AS1602" s="478"/>
      <c r="AT1602" s="476"/>
      <c r="AU1602" s="482"/>
      <c r="AV1602" s="478"/>
      <c r="AW1602" s="483"/>
      <c r="AX1602" s="476"/>
      <c r="AY1602" s="482"/>
      <c r="AZ1602" s="478"/>
      <c r="BA1602" s="484"/>
      <c r="BB1602" s="474"/>
      <c r="BC1602" s="485"/>
      <c r="BD1602" s="485"/>
      <c r="BG1602" s="487"/>
    </row>
    <row r="1603" spans="1:59" s="486" customFormat="1" ht="18" customHeight="1" x14ac:dyDescent="0.2">
      <c r="A1603" s="1368" t="str">
        <f t="shared" si="1191"/>
        <v>JL. DESA GUNUNG KESIANGAN - JL. UJUNG TANJUNG2018</v>
      </c>
      <c r="B1603" s="687"/>
      <c r="C1603" s="488"/>
      <c r="D1603" s="489"/>
      <c r="E1603" s="558"/>
      <c r="F1603" s="559">
        <v>2018</v>
      </c>
      <c r="G1603" s="619">
        <v>0</v>
      </c>
      <c r="H1603" s="464">
        <f>IF(N1602-(F1603-F1602)&lt;=0,0,(N1602-(F1603-F1602)))</f>
        <v>9</v>
      </c>
      <c r="I1603" s="560"/>
      <c r="J1603" s="468">
        <f t="shared" si="1193"/>
        <v>2026</v>
      </c>
      <c r="K1603" s="490">
        <f t="shared" si="1194"/>
        <v>0</v>
      </c>
      <c r="L1603" s="469">
        <f t="shared" si="1195"/>
        <v>0</v>
      </c>
      <c r="M1603" s="683">
        <f t="shared" si="1196"/>
        <v>0</v>
      </c>
      <c r="N1603" s="470">
        <f t="shared" si="1197"/>
        <v>9</v>
      </c>
      <c r="O1603" s="468">
        <f t="shared" si="1198"/>
        <v>2026</v>
      </c>
      <c r="P1603" s="616">
        <f t="shared" si="1199"/>
        <v>177056640</v>
      </c>
      <c r="Q1603" s="472">
        <f t="shared" si="1200"/>
        <v>177056640</v>
      </c>
      <c r="R1603" s="472">
        <f t="shared" si="1204"/>
        <v>19672960</v>
      </c>
      <c r="S1603" s="1189">
        <f t="shared" si="1189"/>
        <v>2018</v>
      </c>
      <c r="T1603" s="470">
        <f t="shared" si="1201"/>
        <v>1</v>
      </c>
      <c r="U1603" s="612">
        <f t="shared" si="1190"/>
        <v>19672960</v>
      </c>
      <c r="V1603" s="464">
        <f t="shared" si="1202"/>
        <v>2018</v>
      </c>
      <c r="W1603" s="612">
        <f t="shared" si="1203"/>
        <v>157383680</v>
      </c>
      <c r="X1603" s="473"/>
      <c r="Y1603" s="478"/>
      <c r="Z1603" s="449"/>
      <c r="AA1603" s="531" t="s">
        <v>4183</v>
      </c>
      <c r="AB1603" s="496"/>
      <c r="AC1603" s="496"/>
      <c r="AD1603" s="569">
        <f>AD1602-W1606</f>
        <v>0</v>
      </c>
      <c r="AE1603" s="476"/>
      <c r="AF1603" s="568"/>
      <c r="AG1603" s="476"/>
      <c r="AH1603" s="476"/>
      <c r="AI1603" s="477"/>
      <c r="AJ1603" s="478"/>
      <c r="AK1603" s="479"/>
      <c r="AL1603" s="480"/>
      <c r="AM1603" s="474"/>
      <c r="AN1603" s="481"/>
      <c r="AO1603" s="474"/>
      <c r="AP1603" s="476"/>
      <c r="AQ1603" s="482"/>
      <c r="AR1603" s="478"/>
      <c r="AS1603" s="478"/>
      <c r="AT1603" s="476"/>
      <c r="AU1603" s="482"/>
      <c r="AV1603" s="478"/>
      <c r="AW1603" s="483"/>
      <c r="AX1603" s="476"/>
      <c r="AY1603" s="482"/>
      <c r="AZ1603" s="478"/>
      <c r="BA1603" s="484"/>
      <c r="BB1603" s="474"/>
      <c r="BC1603" s="485"/>
      <c r="BD1603" s="485"/>
      <c r="BG1603" s="487"/>
    </row>
    <row r="1604" spans="1:59" s="486" customFormat="1" ht="18" customHeight="1" x14ac:dyDescent="0.2">
      <c r="A1604" s="1368" t="str">
        <f t="shared" si="1191"/>
        <v>JL. DESA GUNUNG KESIANGAN - JL. UJUNG TANJUNG2019</v>
      </c>
      <c r="B1604" s="687"/>
      <c r="C1604" s="488"/>
      <c r="D1604" s="489"/>
      <c r="E1604" s="558"/>
      <c r="F1604" s="559">
        <v>2019</v>
      </c>
      <c r="G1604" s="619">
        <v>0</v>
      </c>
      <c r="H1604" s="464">
        <f>IF(N1603-(F1604-F1603)&lt;=0,0,(N1603-(F1604-F1603)))</f>
        <v>8</v>
      </c>
      <c r="I1604" s="560"/>
      <c r="J1604" s="468">
        <f>F1604+N1604-1</f>
        <v>2026</v>
      </c>
      <c r="K1604" s="490">
        <f>IF(G1604=0,0,IF(H1604=10,100%,G1604/W1603))</f>
        <v>0</v>
      </c>
      <c r="L1604" s="469">
        <f>IF(K1604=0%,0,IF(K1604&lt;=30%,2,IF(K1604&lt;=60%,5,10)))</f>
        <v>0</v>
      </c>
      <c r="M1604" s="683">
        <f>IF(OR(AND(ISBLANK(E1604),ISBLANK(G1604)),ISTEXT(E1604),ISTEXT(G1604)),"",IF(H1604+L1604&gt;$H$8,$H$8-H1604,L1604))</f>
        <v>0</v>
      </c>
      <c r="N1604" s="470">
        <f>IF(OR(AND(ISBLANK(F1604),ISBLANK(G1604)),ISTEXT(F1604),ISTEXT(G1604)),"",H1604+M1604)</f>
        <v>8</v>
      </c>
      <c r="O1604" s="468">
        <f>F1604+N1604-1</f>
        <v>2026</v>
      </c>
      <c r="P1604" s="616">
        <f>W1603</f>
        <v>157383680</v>
      </c>
      <c r="Q1604" s="472">
        <f>P1604+G1604</f>
        <v>157383680</v>
      </c>
      <c r="R1604" s="472">
        <f>IF(L1604=0,R1603,Q1604/N1604)</f>
        <v>19672960</v>
      </c>
      <c r="S1604" s="1189">
        <f>F1604</f>
        <v>2019</v>
      </c>
      <c r="T1604" s="470">
        <f>S1604-S1603</f>
        <v>1</v>
      </c>
      <c r="U1604" s="612">
        <f>R1604*T1604</f>
        <v>19672960</v>
      </c>
      <c r="V1604" s="464">
        <f>F1604</f>
        <v>2019</v>
      </c>
      <c r="W1604" s="612">
        <f>IF(OR(AND(ISBLANK(E1604),ISBLANK(G1604)),ISTEXT(E1604),ISTEXT(G1604)),"",Q1604-U1604)</f>
        <v>137710720</v>
      </c>
      <c r="X1604" s="473"/>
      <c r="Y1604" s="478"/>
      <c r="Z1604" s="449"/>
      <c r="AA1604" s="573"/>
      <c r="AB1604" s="476"/>
      <c r="AC1604" s="476"/>
      <c r="AD1604" s="568"/>
      <c r="AE1604" s="476"/>
      <c r="AF1604" s="568"/>
      <c r="AG1604" s="476"/>
      <c r="AH1604" s="476"/>
      <c r="AI1604" s="477"/>
      <c r="AJ1604" s="478"/>
      <c r="AK1604" s="479"/>
      <c r="AL1604" s="480"/>
      <c r="AM1604" s="474"/>
      <c r="AN1604" s="481"/>
      <c r="AO1604" s="474"/>
      <c r="AP1604" s="476"/>
      <c r="AQ1604" s="482"/>
      <c r="AR1604" s="478"/>
      <c r="AS1604" s="478"/>
      <c r="AT1604" s="476"/>
      <c r="AU1604" s="482"/>
      <c r="AV1604" s="478"/>
      <c r="AW1604" s="483"/>
      <c r="AX1604" s="476"/>
      <c r="AY1604" s="482"/>
      <c r="AZ1604" s="478"/>
      <c r="BA1604" s="484"/>
      <c r="BB1604" s="474"/>
      <c r="BC1604" s="485"/>
      <c r="BD1604" s="485"/>
      <c r="BG1604" s="487"/>
    </row>
    <row r="1605" spans="1:59" s="486" customFormat="1" ht="18" customHeight="1" x14ac:dyDescent="0.2">
      <c r="A1605" s="1368" t="str">
        <f>LEFT(D1605,8)</f>
        <v/>
      </c>
      <c r="B1605" s="687"/>
      <c r="C1605" s="463"/>
      <c r="D1605" s="489"/>
      <c r="E1605" s="465"/>
      <c r="F1605" s="466"/>
      <c r="G1605" s="620"/>
      <c r="H1605" s="464"/>
      <c r="I1605" s="467"/>
      <c r="J1605" s="468"/>
      <c r="K1605" s="574"/>
      <c r="L1605" s="469"/>
      <c r="M1605" s="683"/>
      <c r="N1605" s="470"/>
      <c r="O1605" s="468"/>
      <c r="P1605" s="616"/>
      <c r="Q1605" s="472"/>
      <c r="R1605" s="472"/>
      <c r="S1605" s="1189"/>
      <c r="T1605" s="470"/>
      <c r="U1605" s="612"/>
      <c r="V1605" s="464"/>
      <c r="W1605" s="612"/>
      <c r="X1605" s="473"/>
      <c r="Y1605" s="478"/>
      <c r="Z1605" s="449"/>
      <c r="AA1605" s="573"/>
      <c r="AB1605" s="476"/>
      <c r="AC1605" s="476"/>
      <c r="AD1605" s="568"/>
      <c r="AE1605" s="476"/>
      <c r="AF1605" s="568"/>
      <c r="AG1605" s="476"/>
      <c r="AH1605" s="476"/>
      <c r="AI1605" s="477"/>
      <c r="AJ1605" s="478"/>
      <c r="AK1605" s="479"/>
      <c r="AL1605" s="480"/>
      <c r="AM1605" s="474"/>
      <c r="AN1605" s="481"/>
      <c r="AO1605" s="474"/>
      <c r="AP1605" s="476"/>
      <c r="AQ1605" s="482"/>
      <c r="AR1605" s="478"/>
      <c r="AS1605" s="478"/>
      <c r="AT1605" s="476"/>
      <c r="AU1605" s="482"/>
      <c r="AV1605" s="478"/>
      <c r="AW1605" s="483"/>
      <c r="AX1605" s="476"/>
      <c r="AY1605" s="482"/>
      <c r="AZ1605" s="478"/>
      <c r="BA1605" s="484"/>
      <c r="BB1605" s="474"/>
      <c r="BC1605" s="485"/>
      <c r="BD1605" s="485"/>
      <c r="BG1605" s="487"/>
    </row>
    <row r="1606" spans="1:59" s="526" customFormat="1" ht="18" customHeight="1" x14ac:dyDescent="0.2">
      <c r="A1606" s="1370" t="s">
        <v>4184</v>
      </c>
      <c r="B1606" s="1956" t="s">
        <v>4184</v>
      </c>
      <c r="C1606" s="1957"/>
      <c r="D1606" s="1957"/>
      <c r="E1606" s="1957"/>
      <c r="F1606" s="1958"/>
      <c r="G1606" s="624">
        <f>SUM(G1590:G1605)</f>
        <v>489229600</v>
      </c>
      <c r="H1606" s="505"/>
      <c r="I1606" s="506"/>
      <c r="J1606" s="507"/>
      <c r="K1606" s="507"/>
      <c r="L1606" s="505"/>
      <c r="M1606" s="684"/>
      <c r="N1606" s="508"/>
      <c r="O1606" s="507"/>
      <c r="P1606" s="749"/>
      <c r="Q1606" s="510"/>
      <c r="R1606" s="511"/>
      <c r="S1606" s="512"/>
      <c r="T1606" s="512"/>
      <c r="U1606" s="610">
        <f>SUM(U1590:U1605)</f>
        <v>351518880</v>
      </c>
      <c r="V1606" s="513"/>
      <c r="W1606" s="610">
        <f>G1606-U1606</f>
        <v>137710720</v>
      </c>
      <c r="X1606" s="514"/>
      <c r="Y1606" s="515"/>
      <c r="Z1606" s="515"/>
      <c r="AA1606" s="515"/>
      <c r="AB1606" s="515"/>
      <c r="AC1606" s="515"/>
      <c r="AD1606" s="570"/>
      <c r="AE1606" s="515"/>
      <c r="AF1606" s="570"/>
      <c r="AG1606" s="515"/>
      <c r="AH1606" s="515"/>
      <c r="AI1606" s="516"/>
      <c r="AJ1606" s="517"/>
      <c r="AK1606" s="518"/>
      <c r="AL1606" s="519"/>
      <c r="AM1606" s="520"/>
      <c r="AN1606" s="521"/>
      <c r="AO1606" s="520"/>
      <c r="AP1606" s="515"/>
      <c r="AQ1606" s="522"/>
      <c r="AR1606" s="517"/>
      <c r="AS1606" s="517"/>
      <c r="AT1606" s="515"/>
      <c r="AU1606" s="522"/>
      <c r="AV1606" s="517"/>
      <c r="AW1606" s="523"/>
      <c r="AX1606" s="515"/>
      <c r="AY1606" s="522"/>
      <c r="AZ1606" s="517"/>
      <c r="BA1606" s="524"/>
      <c r="BB1606" s="520"/>
      <c r="BC1606" s="525"/>
      <c r="BD1606" s="525"/>
      <c r="BG1606" s="527"/>
    </row>
    <row r="1609" spans="1:59" s="422" customFormat="1" ht="18" customHeight="1" x14ac:dyDescent="0.2">
      <c r="A1609" s="1366">
        <f>C1609</f>
        <v>272</v>
      </c>
      <c r="B1609" s="742" t="s">
        <v>4187</v>
      </c>
      <c r="C1609" s="556">
        <v>272</v>
      </c>
      <c r="D1609" s="553" t="str">
        <f>VLOOKUP(C1609,RUAS,2,FALSE)</f>
        <v>JL. DESA TALONTAM - PL. KOPUNG</v>
      </c>
      <c r="E1609" s="553"/>
      <c r="F1609" s="421"/>
      <c r="G1609" s="611"/>
      <c r="I1609" s="423"/>
      <c r="J1609" s="424"/>
      <c r="K1609" s="424"/>
      <c r="M1609" s="680"/>
      <c r="P1609" s="611"/>
      <c r="U1609" s="611"/>
      <c r="W1609" s="611"/>
      <c r="Y1609" s="425"/>
      <c r="Z1609" s="425"/>
      <c r="AA1609" s="425"/>
      <c r="AB1609" s="425"/>
      <c r="AC1609" s="425"/>
      <c r="AD1609" s="563"/>
      <c r="AE1609" s="425"/>
      <c r="AF1609" s="563"/>
      <c r="AG1609" s="425"/>
      <c r="AH1609" s="425"/>
      <c r="AI1609" s="425"/>
      <c r="AJ1609" s="425"/>
      <c r="AK1609" s="425"/>
      <c r="AL1609" s="425"/>
      <c r="AM1609" s="425"/>
      <c r="AN1609" s="425"/>
      <c r="AO1609" s="425"/>
      <c r="AP1609" s="425"/>
      <c r="AQ1609" s="425"/>
      <c r="AR1609" s="425"/>
      <c r="AS1609" s="425"/>
      <c r="AT1609" s="425"/>
      <c r="AU1609" s="425"/>
      <c r="AV1609" s="425"/>
      <c r="AW1609" s="425"/>
      <c r="AX1609" s="425"/>
      <c r="AY1609" s="425"/>
      <c r="AZ1609" s="425"/>
      <c r="BA1609" s="425"/>
      <c r="BB1609" s="425"/>
    </row>
    <row r="1610" spans="1:59" s="431" customFormat="1" ht="18" customHeight="1" x14ac:dyDescent="0.2">
      <c r="A1610" s="1367"/>
      <c r="B1610" s="1968" t="s">
        <v>5</v>
      </c>
      <c r="C1610" s="1968" t="s">
        <v>2280</v>
      </c>
      <c r="D1610" s="1968" t="s">
        <v>4157</v>
      </c>
      <c r="E1610" s="1968" t="s">
        <v>4158</v>
      </c>
      <c r="F1610" s="1968"/>
      <c r="G1610" s="2042" t="s">
        <v>4159</v>
      </c>
      <c r="H1610" s="1968" t="s">
        <v>4160</v>
      </c>
      <c r="I1610" s="1968"/>
      <c r="J1610" s="1968" t="s">
        <v>4185</v>
      </c>
      <c r="K1610" s="1964" t="s">
        <v>4162</v>
      </c>
      <c r="L1610" s="1968" t="s">
        <v>4163</v>
      </c>
      <c r="M1610" s="1971" t="s">
        <v>4164</v>
      </c>
      <c r="N1610" s="1962" t="s">
        <v>4165</v>
      </c>
      <c r="O1610" s="1968" t="s">
        <v>4166</v>
      </c>
      <c r="P1610" s="1972" t="s">
        <v>4167</v>
      </c>
      <c r="Q1610" s="1973"/>
      <c r="R1610" s="1180" t="s">
        <v>4186</v>
      </c>
      <c r="S1610" s="1972" t="s">
        <v>4169</v>
      </c>
      <c r="T1610" s="1974"/>
      <c r="U1610" s="1973"/>
      <c r="V1610" s="1975" t="s">
        <v>4170</v>
      </c>
      <c r="W1610" s="1975"/>
      <c r="X1610" s="1960" t="s">
        <v>4171</v>
      </c>
      <c r="Y1610" s="1959"/>
      <c r="Z1610" s="1181"/>
      <c r="AA1610" s="426"/>
      <c r="AB1610" s="426"/>
      <c r="AC1610" s="426"/>
      <c r="AD1610" s="564"/>
      <c r="AE1610" s="426"/>
      <c r="AF1610" s="564"/>
      <c r="AG1610" s="426"/>
      <c r="AH1610" s="426"/>
      <c r="AI1610" s="427"/>
      <c r="AJ1610" s="427"/>
      <c r="AK1610" s="427"/>
      <c r="AL1610" s="427"/>
      <c r="AM1610" s="428"/>
      <c r="AN1610" s="427"/>
      <c r="AO1610" s="427"/>
      <c r="AP1610" s="426"/>
      <c r="AQ1610" s="427"/>
      <c r="AR1610" s="427"/>
      <c r="AS1610" s="427"/>
      <c r="AT1610" s="426"/>
      <c r="AU1610" s="427"/>
      <c r="AV1610" s="427"/>
      <c r="AW1610" s="427"/>
      <c r="AX1610" s="426"/>
      <c r="AY1610" s="427"/>
      <c r="AZ1610" s="427"/>
      <c r="BA1610" s="427"/>
      <c r="BB1610" s="429"/>
      <c r="BC1610" s="430"/>
      <c r="BD1610" s="430"/>
    </row>
    <row r="1611" spans="1:59" s="431" customFormat="1" ht="18" customHeight="1" x14ac:dyDescent="0.2">
      <c r="A1611" s="1367"/>
      <c r="B1611" s="1968"/>
      <c r="C1611" s="1968"/>
      <c r="D1611" s="1968"/>
      <c r="E1611" s="1968"/>
      <c r="F1611" s="1968"/>
      <c r="G1611" s="2042"/>
      <c r="H1611" s="1968"/>
      <c r="I1611" s="1968"/>
      <c r="J1611" s="1968"/>
      <c r="K1611" s="1970"/>
      <c r="L1611" s="1968"/>
      <c r="M1611" s="1971"/>
      <c r="N1611" s="1963"/>
      <c r="O1611" s="1968"/>
      <c r="P1611" s="2037" t="s">
        <v>4172</v>
      </c>
      <c r="Q1611" s="1960" t="s">
        <v>4173</v>
      </c>
      <c r="R1611" s="1962" t="s">
        <v>4159</v>
      </c>
      <c r="S1611" s="1962" t="s">
        <v>4174</v>
      </c>
      <c r="T1611" s="1964" t="s">
        <v>4175</v>
      </c>
      <c r="U1611" s="1966" t="s">
        <v>4159</v>
      </c>
      <c r="V1611" s="1975"/>
      <c r="W1611" s="1975"/>
      <c r="X1611" s="1976"/>
      <c r="Y1611" s="1959"/>
      <c r="Z1611" s="1181"/>
      <c r="AA1611" s="426"/>
      <c r="AB1611" s="426"/>
      <c r="AC1611" s="426"/>
      <c r="AD1611" s="564"/>
      <c r="AE1611" s="426"/>
      <c r="AF1611" s="564"/>
      <c r="AG1611" s="426"/>
      <c r="AH1611" s="426"/>
      <c r="AI1611" s="427"/>
      <c r="AJ1611" s="427"/>
      <c r="AK1611" s="426"/>
      <c r="AL1611" s="427"/>
      <c r="AM1611" s="428"/>
      <c r="AN1611" s="427"/>
      <c r="AO1611" s="427"/>
      <c r="AP1611" s="432"/>
      <c r="AQ1611" s="427"/>
      <c r="AR1611" s="427"/>
      <c r="AS1611" s="427"/>
      <c r="AT1611" s="432"/>
      <c r="AU1611" s="427"/>
      <c r="AV1611" s="427"/>
      <c r="AW1611" s="427"/>
      <c r="AX1611" s="432"/>
      <c r="AY1611" s="427"/>
      <c r="AZ1611" s="427"/>
      <c r="BA1611" s="427"/>
      <c r="BB1611" s="429"/>
      <c r="BC1611" s="430"/>
      <c r="BD1611" s="430"/>
    </row>
    <row r="1612" spans="1:59" s="431" customFormat="1" ht="18" customHeight="1" x14ac:dyDescent="0.2">
      <c r="A1612" s="1367"/>
      <c r="B1612" s="1968"/>
      <c r="C1612" s="1968"/>
      <c r="D1612" s="1968"/>
      <c r="E1612" s="433" t="s">
        <v>4176</v>
      </c>
      <c r="F1612" s="434" t="s">
        <v>2288</v>
      </c>
      <c r="G1612" s="2042"/>
      <c r="H1612" s="1178" t="s">
        <v>2288</v>
      </c>
      <c r="I1612" s="1178" t="s">
        <v>4177</v>
      </c>
      <c r="J1612" s="1968"/>
      <c r="K1612" s="1965"/>
      <c r="L1612" s="435" t="s">
        <v>2288</v>
      </c>
      <c r="M1612" s="681" t="s">
        <v>2288</v>
      </c>
      <c r="N1612" s="1178" t="s">
        <v>2288</v>
      </c>
      <c r="O1612" s="1968"/>
      <c r="P1612" s="2038"/>
      <c r="Q1612" s="1961"/>
      <c r="R1612" s="1963"/>
      <c r="S1612" s="1963"/>
      <c r="T1612" s="1965"/>
      <c r="U1612" s="1967"/>
      <c r="V1612" s="1178" t="s">
        <v>4178</v>
      </c>
      <c r="W1612" s="1182" t="s">
        <v>4159</v>
      </c>
      <c r="X1612" s="1961"/>
      <c r="Y1612" s="436"/>
      <c r="Z1612" s="436"/>
      <c r="AA1612" s="426"/>
      <c r="AB1612" s="426"/>
      <c r="AC1612" s="426"/>
      <c r="AD1612" s="564"/>
      <c r="AE1612" s="426"/>
      <c r="AF1612" s="564"/>
      <c r="AG1612" s="426"/>
      <c r="AH1612" s="426"/>
      <c r="AI1612" s="427"/>
      <c r="AJ1612" s="432"/>
      <c r="AK1612" s="432"/>
      <c r="AL1612" s="427"/>
      <c r="AM1612" s="428"/>
      <c r="AN1612" s="432"/>
      <c r="AO1612" s="427"/>
      <c r="AP1612" s="432"/>
      <c r="AQ1612" s="432"/>
      <c r="AR1612" s="427"/>
      <c r="AS1612" s="427"/>
      <c r="AT1612" s="432"/>
      <c r="AU1612" s="432"/>
      <c r="AV1612" s="427"/>
      <c r="AW1612" s="427"/>
      <c r="AX1612" s="432"/>
      <c r="AY1612" s="432"/>
      <c r="AZ1612" s="427"/>
      <c r="BA1612" s="427"/>
      <c r="BB1612" s="429"/>
      <c r="BC1612" s="430"/>
      <c r="BD1612" s="430"/>
    </row>
    <row r="1613" spans="1:59" s="461" customFormat="1" ht="18" customHeight="1" x14ac:dyDescent="0.2">
      <c r="A1613" s="1368" t="str">
        <f>$D$1609&amp;S1613</f>
        <v>JL. DESA TALONTAM - PL. KOPUNG2001</v>
      </c>
      <c r="B1613" s="1373">
        <v>1</v>
      </c>
      <c r="C1613" s="532" t="s">
        <v>483</v>
      </c>
      <c r="D1613" s="437" t="s">
        <v>3821</v>
      </c>
      <c r="E1613" s="438"/>
      <c r="F1613" s="439">
        <v>2001</v>
      </c>
      <c r="G1613" s="623">
        <v>1456000000</v>
      </c>
      <c r="H1613" s="440">
        <f>VLOOKUP(LEFT(D1613,8),UE,4)</f>
        <v>10</v>
      </c>
      <c r="I1613" s="441"/>
      <c r="J1613" s="442">
        <f t="shared" ref="J1613:J1625" si="1205">F1613+N1613-1</f>
        <v>2010</v>
      </c>
      <c r="K1613" s="443"/>
      <c r="L1613" s="440"/>
      <c r="M1613" s="746">
        <f>IF(H1613+L1613&gt;$H1613,$H1613-H1613,L1613)</f>
        <v>0</v>
      </c>
      <c r="N1613" s="444">
        <f>H1613+M1613</f>
        <v>10</v>
      </c>
      <c r="O1613" s="442">
        <f t="shared" ref="O1613:O1625" si="1206">F1613+N1613-1</f>
        <v>2010</v>
      </c>
      <c r="P1613" s="617">
        <f>G1613</f>
        <v>1456000000</v>
      </c>
      <c r="Q1613" s="445">
        <v>0</v>
      </c>
      <c r="R1613" s="445">
        <f>P1613/N1613</f>
        <v>145600000</v>
      </c>
      <c r="S1613" s="446">
        <f t="shared" ref="S1613:S1619" si="1207">F1613</f>
        <v>2001</v>
      </c>
      <c r="T1613" s="447">
        <v>1</v>
      </c>
      <c r="U1613" s="613">
        <f t="shared" ref="U1613:U1619" si="1208">R1613*T1613</f>
        <v>145600000</v>
      </c>
      <c r="V1613" s="442">
        <f>F1613</f>
        <v>2001</v>
      </c>
      <c r="W1613" s="617">
        <f>IF(OR(AND(ISBLANK(E1613),ISBLANK(G1613)),ISTEXT(E1613),ISTEXT(G1613)),"",G1613-R1613)</f>
        <v>1310400000</v>
      </c>
      <c r="X1613" s="448"/>
      <c r="Y1613" s="449"/>
      <c r="Z1613" s="449"/>
      <c r="AA1613" s="693"/>
      <c r="AB1613" s="452"/>
      <c r="AC1613" s="452"/>
      <c r="AD1613" s="571"/>
      <c r="AE1613" s="452"/>
      <c r="AF1613" s="571"/>
      <c r="AG1613" s="452"/>
      <c r="AH1613" s="452"/>
      <c r="AI1613" s="453"/>
      <c r="AJ1613" s="449"/>
      <c r="AK1613" s="453"/>
      <c r="AL1613" s="454"/>
      <c r="AM1613" s="455"/>
      <c r="AN1613" s="456"/>
      <c r="AO1613" s="455"/>
      <c r="AP1613" s="452"/>
      <c r="AQ1613" s="457"/>
      <c r="AR1613" s="449"/>
      <c r="AS1613" s="449"/>
      <c r="AT1613" s="452"/>
      <c r="AU1613" s="457"/>
      <c r="AV1613" s="449"/>
      <c r="AW1613" s="458"/>
      <c r="AX1613" s="452"/>
      <c r="AY1613" s="457"/>
      <c r="AZ1613" s="449"/>
      <c r="BA1613" s="459"/>
      <c r="BB1613" s="455"/>
      <c r="BC1613" s="460"/>
      <c r="BD1613" s="460"/>
      <c r="BG1613" s="462"/>
    </row>
    <row r="1614" spans="1:59" s="461" customFormat="1" ht="18" customHeight="1" x14ac:dyDescent="0.2">
      <c r="A1614" s="1368" t="str">
        <f t="shared" ref="A1614:A1625" si="1209">$D$1609&amp;S1614</f>
        <v>JL. DESA TALONTAM - PL. KOPUNG2002</v>
      </c>
      <c r="B1614" s="1373"/>
      <c r="C1614" s="488"/>
      <c r="D1614" s="489"/>
      <c r="E1614" s="558"/>
      <c r="F1614" s="559">
        <v>2002</v>
      </c>
      <c r="G1614" s="619">
        <v>0</v>
      </c>
      <c r="H1614" s="464">
        <f>IF(N1613-(F1614-F1613)&lt;=0,0,(N1613-(F1614-F1613)))</f>
        <v>9</v>
      </c>
      <c r="I1614" s="560"/>
      <c r="J1614" s="468">
        <f t="shared" si="1205"/>
        <v>2010</v>
      </c>
      <c r="K1614" s="490">
        <f>IF(G1614=0,0,IF(H1614=10,100%,G1614/W1613))</f>
        <v>0</v>
      </c>
      <c r="L1614" s="469">
        <f t="shared" ref="L1614:L1619" si="1210">IF(K1614=0%,0,IF(K1614&lt;=30%,2,IF(K1614&lt;=60%,5,10)))</f>
        <v>0</v>
      </c>
      <c r="M1614" s="683">
        <f t="shared" ref="M1614:M1625" si="1211">IF(OR(AND(ISBLANK(E1614),ISBLANK(G1614)),ISTEXT(E1614),ISTEXT(G1614)),"",IF(H1614+L1614&gt;$H$8,$H$8-H1614,L1614))</f>
        <v>0</v>
      </c>
      <c r="N1614" s="470">
        <f t="shared" ref="N1614:N1625" si="1212">IF(OR(AND(ISBLANK(F1614),ISBLANK(G1614)),ISTEXT(F1614),ISTEXT(G1614)),"",H1614+M1614)</f>
        <v>9</v>
      </c>
      <c r="O1614" s="468">
        <f t="shared" si="1206"/>
        <v>2010</v>
      </c>
      <c r="P1614" s="616">
        <f t="shared" ref="P1614:P1619" si="1213">W1613</f>
        <v>1310400000</v>
      </c>
      <c r="Q1614" s="472">
        <f t="shared" ref="Q1614:Q1619" si="1214">P1614+G1614</f>
        <v>1310400000</v>
      </c>
      <c r="R1614" s="472">
        <f>IF(L1614=0,R1613,Q1614/N1614)</f>
        <v>145600000</v>
      </c>
      <c r="S1614" s="1183">
        <f t="shared" si="1207"/>
        <v>2002</v>
      </c>
      <c r="T1614" s="470">
        <f t="shared" ref="T1614:T1619" si="1215">S1614-S1613</f>
        <v>1</v>
      </c>
      <c r="U1614" s="612">
        <f t="shared" si="1208"/>
        <v>145600000</v>
      </c>
      <c r="V1614" s="464">
        <f t="shared" ref="V1614:V1619" si="1216">F1614</f>
        <v>2002</v>
      </c>
      <c r="W1614" s="612">
        <f t="shared" ref="W1614:W1619" si="1217">IF(OR(AND(ISBLANK(E1614),ISBLANK(G1614)),ISTEXT(E1614),ISTEXT(G1614)),"",Q1614-U1614)</f>
        <v>1164800000</v>
      </c>
      <c r="X1614" s="561"/>
      <c r="Y1614" s="449"/>
      <c r="Z1614" s="449"/>
      <c r="AA1614" s="693"/>
      <c r="AB1614" s="452"/>
      <c r="AC1614" s="452"/>
      <c r="AD1614" s="571"/>
      <c r="AE1614" s="452"/>
      <c r="AF1614" s="571"/>
      <c r="AG1614" s="452"/>
      <c r="AH1614" s="452"/>
      <c r="AI1614" s="453"/>
      <c r="AJ1614" s="449"/>
      <c r="AK1614" s="453"/>
      <c r="AL1614" s="454"/>
      <c r="AM1614" s="455"/>
      <c r="AN1614" s="456"/>
      <c r="AO1614" s="455"/>
      <c r="AP1614" s="452"/>
      <c r="AQ1614" s="457"/>
      <c r="AR1614" s="449"/>
      <c r="AS1614" s="449"/>
      <c r="AT1614" s="452"/>
      <c r="AU1614" s="457"/>
      <c r="AV1614" s="449"/>
      <c r="AW1614" s="458"/>
      <c r="AX1614" s="452"/>
      <c r="AY1614" s="457"/>
      <c r="AZ1614" s="449"/>
      <c r="BA1614" s="459"/>
      <c r="BB1614" s="455"/>
      <c r="BC1614" s="460"/>
      <c r="BD1614" s="460"/>
      <c r="BG1614" s="462"/>
    </row>
    <row r="1615" spans="1:59" s="461" customFormat="1" ht="18" customHeight="1" x14ac:dyDescent="0.2">
      <c r="A1615" s="1368" t="str">
        <f t="shared" si="1209"/>
        <v>JL. DESA TALONTAM - PL. KOPUNG2009</v>
      </c>
      <c r="B1615" s="1373"/>
      <c r="C1615" s="488"/>
      <c r="D1615" s="489"/>
      <c r="E1615" s="558"/>
      <c r="F1615" s="559">
        <v>2009</v>
      </c>
      <c r="G1615" s="619">
        <v>0</v>
      </c>
      <c r="H1615" s="464">
        <f>IF(N1613-(F1615-F1613)&lt;=0,0,(N1613-(F1615-F1613)))</f>
        <v>2</v>
      </c>
      <c r="I1615" s="560"/>
      <c r="J1615" s="468">
        <f t="shared" si="1205"/>
        <v>2010</v>
      </c>
      <c r="K1615" s="490">
        <f>IF(G1615=0,0,IF(H1615=10,100%,G1615/W1613))</f>
        <v>0</v>
      </c>
      <c r="L1615" s="469">
        <f t="shared" si="1210"/>
        <v>0</v>
      </c>
      <c r="M1615" s="683">
        <f t="shared" si="1211"/>
        <v>0</v>
      </c>
      <c r="N1615" s="470">
        <f t="shared" si="1212"/>
        <v>2</v>
      </c>
      <c r="O1615" s="468">
        <f t="shared" si="1206"/>
        <v>2010</v>
      </c>
      <c r="P1615" s="616">
        <f t="shared" si="1213"/>
        <v>1164800000</v>
      </c>
      <c r="Q1615" s="472">
        <f t="shared" si="1214"/>
        <v>1164800000</v>
      </c>
      <c r="R1615" s="472">
        <f>IF(L1615=0,R1614,Q1615/N1615)</f>
        <v>145600000</v>
      </c>
      <c r="S1615" s="1183">
        <f t="shared" si="1207"/>
        <v>2009</v>
      </c>
      <c r="T1615" s="470">
        <f t="shared" si="1215"/>
        <v>7</v>
      </c>
      <c r="U1615" s="612">
        <f t="shared" si="1208"/>
        <v>1019200000</v>
      </c>
      <c r="V1615" s="464">
        <f t="shared" si="1216"/>
        <v>2009</v>
      </c>
      <c r="W1615" s="612">
        <f t="shared" si="1217"/>
        <v>145600000</v>
      </c>
      <c r="X1615" s="561"/>
      <c r="Y1615" s="449"/>
      <c r="Z1615" s="449"/>
      <c r="AA1615" s="693"/>
      <c r="AB1615" s="452"/>
      <c r="AC1615" s="452"/>
      <c r="AD1615" s="571"/>
      <c r="AE1615" s="452"/>
      <c r="AF1615" s="571"/>
      <c r="AG1615" s="452"/>
      <c r="AH1615" s="452"/>
      <c r="AI1615" s="453"/>
      <c r="AJ1615" s="449"/>
      <c r="AK1615" s="453"/>
      <c r="AL1615" s="454"/>
      <c r="AM1615" s="455"/>
      <c r="AN1615" s="456"/>
      <c r="AO1615" s="455"/>
      <c r="AP1615" s="452"/>
      <c r="AQ1615" s="457"/>
      <c r="AR1615" s="449"/>
      <c r="AS1615" s="449"/>
      <c r="AT1615" s="452"/>
      <c r="AU1615" s="457"/>
      <c r="AV1615" s="449"/>
      <c r="AW1615" s="458"/>
      <c r="AX1615" s="452"/>
      <c r="AY1615" s="457"/>
      <c r="AZ1615" s="449"/>
      <c r="BA1615" s="459"/>
      <c r="BB1615" s="455"/>
      <c r="BC1615" s="460"/>
      <c r="BD1615" s="460"/>
      <c r="BG1615" s="462"/>
    </row>
    <row r="1616" spans="1:59" s="461" customFormat="1" ht="18" customHeight="1" x14ac:dyDescent="0.2">
      <c r="A1616" s="1368" t="str">
        <f t="shared" si="1209"/>
        <v>JL. DESA TALONTAM - PL. KOPUNG2010</v>
      </c>
      <c r="B1616" s="1373"/>
      <c r="C1616" s="488"/>
      <c r="D1616" s="489"/>
      <c r="E1616" s="558"/>
      <c r="F1616" s="559">
        <v>2010</v>
      </c>
      <c r="G1616" s="619">
        <v>0</v>
      </c>
      <c r="H1616" s="464">
        <f>IF(N1615-(F1616-F1615)&lt;=0,0,(N1615-(F1616-F1615)))</f>
        <v>1</v>
      </c>
      <c r="I1616" s="560"/>
      <c r="J1616" s="468">
        <f t="shared" si="1205"/>
        <v>2010</v>
      </c>
      <c r="K1616" s="490">
        <f t="shared" ref="K1616:K1625" si="1218">IF(G1616=0,0,IF(H1616=10,100%,G1616/W1615))</f>
        <v>0</v>
      </c>
      <c r="L1616" s="469">
        <f t="shared" si="1210"/>
        <v>0</v>
      </c>
      <c r="M1616" s="683">
        <f t="shared" si="1211"/>
        <v>0</v>
      </c>
      <c r="N1616" s="470">
        <f t="shared" si="1212"/>
        <v>1</v>
      </c>
      <c r="O1616" s="468">
        <f t="shared" si="1206"/>
        <v>2010</v>
      </c>
      <c r="P1616" s="616">
        <f t="shared" si="1213"/>
        <v>145600000</v>
      </c>
      <c r="Q1616" s="472">
        <f t="shared" si="1214"/>
        <v>145600000</v>
      </c>
      <c r="R1616" s="472">
        <f>IF(L1616=0,R1615,Q1616/N1616)</f>
        <v>145600000</v>
      </c>
      <c r="S1616" s="1183">
        <f t="shared" si="1207"/>
        <v>2010</v>
      </c>
      <c r="T1616" s="470">
        <f t="shared" si="1215"/>
        <v>1</v>
      </c>
      <c r="U1616" s="612">
        <f t="shared" si="1208"/>
        <v>145600000</v>
      </c>
      <c r="V1616" s="464">
        <f t="shared" si="1216"/>
        <v>2010</v>
      </c>
      <c r="W1616" s="612">
        <f t="shared" si="1217"/>
        <v>0</v>
      </c>
      <c r="X1616" s="561"/>
      <c r="Y1616" s="449"/>
      <c r="Z1616" s="449"/>
      <c r="AA1616" s="693"/>
      <c r="AB1616" s="452"/>
      <c r="AC1616" s="452"/>
      <c r="AD1616" s="571"/>
      <c r="AE1616" s="452"/>
      <c r="AF1616" s="571"/>
      <c r="AG1616" s="452"/>
      <c r="AH1616" s="452"/>
      <c r="AI1616" s="453"/>
      <c r="AJ1616" s="449"/>
      <c r="AK1616" s="453"/>
      <c r="AL1616" s="454"/>
      <c r="AM1616" s="455"/>
      <c r="AN1616" s="456"/>
      <c r="AO1616" s="455"/>
      <c r="AP1616" s="452"/>
      <c r="AQ1616" s="457"/>
      <c r="AR1616" s="449"/>
      <c r="AS1616" s="449"/>
      <c r="AT1616" s="452"/>
      <c r="AU1616" s="457"/>
      <c r="AV1616" s="449"/>
      <c r="AW1616" s="458"/>
      <c r="AX1616" s="452"/>
      <c r="AY1616" s="457"/>
      <c r="AZ1616" s="449"/>
      <c r="BA1616" s="459"/>
      <c r="BB1616" s="455"/>
      <c r="BC1616" s="460"/>
      <c r="BD1616" s="460"/>
      <c r="BG1616" s="462"/>
    </row>
    <row r="1617" spans="1:59" s="461" customFormat="1" ht="18" customHeight="1" x14ac:dyDescent="0.2">
      <c r="A1617" s="1368" t="str">
        <f t="shared" si="1209"/>
        <v>JL. DESA TALONTAM - PL. KOPUNG2011</v>
      </c>
      <c r="B1617" s="1373"/>
      <c r="C1617" s="488"/>
      <c r="D1617" s="489"/>
      <c r="E1617" s="558"/>
      <c r="F1617" s="559">
        <v>2011</v>
      </c>
      <c r="G1617" s="619">
        <v>0</v>
      </c>
      <c r="H1617" s="464">
        <f>IF(N1616-(F1617-F1616)&lt;=0,0,(N1616-(F1617-F1616)))</f>
        <v>0</v>
      </c>
      <c r="I1617" s="560"/>
      <c r="J1617" s="468">
        <f t="shared" si="1205"/>
        <v>2010</v>
      </c>
      <c r="K1617" s="490">
        <f t="shared" si="1218"/>
        <v>0</v>
      </c>
      <c r="L1617" s="469">
        <f t="shared" si="1210"/>
        <v>0</v>
      </c>
      <c r="M1617" s="683">
        <f t="shared" si="1211"/>
        <v>0</v>
      </c>
      <c r="N1617" s="470">
        <f t="shared" si="1212"/>
        <v>0</v>
      </c>
      <c r="O1617" s="468">
        <f t="shared" si="1206"/>
        <v>2010</v>
      </c>
      <c r="P1617" s="616">
        <f t="shared" si="1213"/>
        <v>0</v>
      </c>
      <c r="Q1617" s="472">
        <f t="shared" si="1214"/>
        <v>0</v>
      </c>
      <c r="R1617" s="472">
        <v>0</v>
      </c>
      <c r="S1617" s="1183">
        <f t="shared" si="1207"/>
        <v>2011</v>
      </c>
      <c r="T1617" s="470">
        <f t="shared" si="1215"/>
        <v>1</v>
      </c>
      <c r="U1617" s="612">
        <f t="shared" si="1208"/>
        <v>0</v>
      </c>
      <c r="V1617" s="464">
        <f t="shared" si="1216"/>
        <v>2011</v>
      </c>
      <c r="W1617" s="612">
        <f t="shared" si="1217"/>
        <v>0</v>
      </c>
      <c r="X1617" s="561"/>
      <c r="Y1617" s="449"/>
      <c r="Z1617" s="449"/>
      <c r="AA1617" s="693"/>
      <c r="AB1617" s="452"/>
      <c r="AC1617" s="452"/>
      <c r="AD1617" s="571"/>
      <c r="AE1617" s="452"/>
      <c r="AF1617" s="571"/>
      <c r="AG1617" s="452"/>
      <c r="AH1617" s="452"/>
      <c r="AI1617" s="453"/>
      <c r="AJ1617" s="449"/>
      <c r="AK1617" s="453"/>
      <c r="AL1617" s="454"/>
      <c r="AM1617" s="455"/>
      <c r="AN1617" s="456"/>
      <c r="AO1617" s="455"/>
      <c r="AP1617" s="452"/>
      <c r="AQ1617" s="457"/>
      <c r="AR1617" s="449"/>
      <c r="AS1617" s="449"/>
      <c r="AT1617" s="452"/>
      <c r="AU1617" s="457"/>
      <c r="AV1617" s="449"/>
      <c r="AW1617" s="458"/>
      <c r="AX1617" s="452"/>
      <c r="AY1617" s="457"/>
      <c r="AZ1617" s="449"/>
      <c r="BA1617" s="459"/>
      <c r="BB1617" s="455"/>
      <c r="BC1617" s="460"/>
      <c r="BD1617" s="460"/>
      <c r="BG1617" s="462"/>
    </row>
    <row r="1618" spans="1:59" s="461" customFormat="1" ht="18" customHeight="1" x14ac:dyDescent="0.2">
      <c r="A1618" s="1368" t="str">
        <f t="shared" si="1209"/>
        <v>JL. DESA TALONTAM - PL. KOPUNG2012</v>
      </c>
      <c r="B1618" s="1373">
        <v>2</v>
      </c>
      <c r="C1618" s="488" t="s">
        <v>1258</v>
      </c>
      <c r="D1618" s="489" t="s">
        <v>3821</v>
      </c>
      <c r="E1618" s="558"/>
      <c r="F1618" s="559">
        <v>2012</v>
      </c>
      <c r="G1618" s="619">
        <v>1593664584.2917645</v>
      </c>
      <c r="H1618" s="557">
        <f>VLOOKUP(LEFT(D1618,8),UE,4)</f>
        <v>10</v>
      </c>
      <c r="I1618" s="560"/>
      <c r="J1618" s="468">
        <f t="shared" si="1205"/>
        <v>2021</v>
      </c>
      <c r="K1618" s="490">
        <f t="shared" si="1218"/>
        <v>1</v>
      </c>
      <c r="L1618" s="469">
        <f t="shared" si="1210"/>
        <v>10</v>
      </c>
      <c r="M1618" s="683">
        <f t="shared" si="1211"/>
        <v>0</v>
      </c>
      <c r="N1618" s="470">
        <f t="shared" si="1212"/>
        <v>10</v>
      </c>
      <c r="O1618" s="468">
        <f t="shared" si="1206"/>
        <v>2021</v>
      </c>
      <c r="P1618" s="616">
        <f t="shared" si="1213"/>
        <v>0</v>
      </c>
      <c r="Q1618" s="472">
        <f t="shared" si="1214"/>
        <v>1593664584.2917645</v>
      </c>
      <c r="R1618" s="472">
        <f t="shared" ref="R1618:R1625" si="1219">IF(L1618=0,R1617,Q1618/N1618)</f>
        <v>159366458.42917645</v>
      </c>
      <c r="S1618" s="1183">
        <f t="shared" si="1207"/>
        <v>2012</v>
      </c>
      <c r="T1618" s="470">
        <f t="shared" si="1215"/>
        <v>1</v>
      </c>
      <c r="U1618" s="612">
        <f t="shared" si="1208"/>
        <v>159366458.42917645</v>
      </c>
      <c r="V1618" s="464">
        <f t="shared" si="1216"/>
        <v>2012</v>
      </c>
      <c r="W1618" s="612">
        <f t="shared" si="1217"/>
        <v>1434298125.8625879</v>
      </c>
      <c r="X1618" s="561"/>
      <c r="Y1618" s="449"/>
      <c r="Z1618" s="449"/>
      <c r="AA1618" s="693"/>
      <c r="AB1618" s="452"/>
      <c r="AC1618" s="452"/>
      <c r="AD1618" s="571"/>
      <c r="AE1618" s="452"/>
      <c r="AF1618" s="571"/>
      <c r="AG1618" s="452"/>
      <c r="AH1618" s="452"/>
      <c r="AI1618" s="453"/>
      <c r="AJ1618" s="449"/>
      <c r="AK1618" s="453"/>
      <c r="AL1618" s="454"/>
      <c r="AM1618" s="455"/>
      <c r="AN1618" s="456"/>
      <c r="AO1618" s="455"/>
      <c r="AP1618" s="452"/>
      <c r="AQ1618" s="457"/>
      <c r="AR1618" s="449"/>
      <c r="AS1618" s="449"/>
      <c r="AT1618" s="452"/>
      <c r="AU1618" s="457"/>
      <c r="AV1618" s="449"/>
      <c r="AW1618" s="458"/>
      <c r="AX1618" s="452"/>
      <c r="AY1618" s="457"/>
      <c r="AZ1618" s="449"/>
      <c r="BA1618" s="459"/>
      <c r="BB1618" s="455"/>
      <c r="BC1618" s="460"/>
      <c r="BD1618" s="460"/>
      <c r="BG1618" s="462"/>
    </row>
    <row r="1619" spans="1:59" s="461" customFormat="1" ht="18" customHeight="1" x14ac:dyDescent="0.2">
      <c r="A1619" s="1368" t="str">
        <f t="shared" si="1209"/>
        <v>JL. DESA TALONTAM - PL. KOPUNG2013</v>
      </c>
      <c r="B1619" s="1373">
        <v>3</v>
      </c>
      <c r="C1619" s="488" t="s">
        <v>1276</v>
      </c>
      <c r="D1619" s="489"/>
      <c r="E1619" s="558"/>
      <c r="F1619" s="559">
        <v>2013</v>
      </c>
      <c r="G1619" s="619">
        <v>1749736768</v>
      </c>
      <c r="H1619" s="464">
        <f t="shared" ref="H1619:H1625" si="1220">IF(N1618-(F1619-F1618)&lt;=0,0,(N1618-(F1619-F1618)))</f>
        <v>9</v>
      </c>
      <c r="I1619" s="560"/>
      <c r="J1619" s="468">
        <f t="shared" si="1205"/>
        <v>2022</v>
      </c>
      <c r="K1619" s="490">
        <f t="shared" si="1218"/>
        <v>1.2199254370131085</v>
      </c>
      <c r="L1619" s="469">
        <f t="shared" si="1210"/>
        <v>10</v>
      </c>
      <c r="M1619" s="683">
        <f t="shared" si="1211"/>
        <v>1</v>
      </c>
      <c r="N1619" s="470">
        <f t="shared" si="1212"/>
        <v>10</v>
      </c>
      <c r="O1619" s="468">
        <f t="shared" si="1206"/>
        <v>2022</v>
      </c>
      <c r="P1619" s="616">
        <f t="shared" si="1213"/>
        <v>1434298125.8625879</v>
      </c>
      <c r="Q1619" s="472">
        <f t="shared" si="1214"/>
        <v>3184034893.8625879</v>
      </c>
      <c r="R1619" s="472">
        <f t="shared" si="1219"/>
        <v>318403489.38625878</v>
      </c>
      <c r="S1619" s="1183">
        <f t="shared" si="1207"/>
        <v>2013</v>
      </c>
      <c r="T1619" s="470">
        <f t="shared" si="1215"/>
        <v>1</v>
      </c>
      <c r="U1619" s="612">
        <f t="shared" si="1208"/>
        <v>318403489.38625878</v>
      </c>
      <c r="V1619" s="464">
        <f t="shared" si="1216"/>
        <v>2013</v>
      </c>
      <c r="W1619" s="612">
        <f t="shared" si="1217"/>
        <v>2865631404.4763293</v>
      </c>
      <c r="X1619" s="561"/>
      <c r="Y1619" s="449"/>
      <c r="Z1619" s="449"/>
      <c r="AA1619" s="693"/>
      <c r="AB1619" s="452"/>
      <c r="AC1619" s="452"/>
      <c r="AD1619" s="571"/>
      <c r="AE1619" s="452"/>
      <c r="AF1619" s="571"/>
      <c r="AG1619" s="452"/>
      <c r="AH1619" s="452"/>
      <c r="AI1619" s="453"/>
      <c r="AJ1619" s="449"/>
      <c r="AK1619" s="453"/>
      <c r="AL1619" s="454"/>
      <c r="AM1619" s="455"/>
      <c r="AN1619" s="456"/>
      <c r="AO1619" s="455"/>
      <c r="AP1619" s="452"/>
      <c r="AQ1619" s="457"/>
      <c r="AR1619" s="449"/>
      <c r="AS1619" s="449"/>
      <c r="AT1619" s="452"/>
      <c r="AU1619" s="457"/>
      <c r="AV1619" s="449"/>
      <c r="AW1619" s="458"/>
      <c r="AX1619" s="452"/>
      <c r="AY1619" s="457"/>
      <c r="AZ1619" s="449"/>
      <c r="BA1619" s="459"/>
      <c r="BB1619" s="455"/>
      <c r="BC1619" s="460"/>
      <c r="BD1619" s="460"/>
      <c r="BG1619" s="462"/>
    </row>
    <row r="1620" spans="1:59" s="461" customFormat="1" ht="18" customHeight="1" x14ac:dyDescent="0.2">
      <c r="A1620" s="1368" t="str">
        <f t="shared" si="1209"/>
        <v>JL. DESA TALONTAM - PL. KOPUNG2014</v>
      </c>
      <c r="B1620" s="1373"/>
      <c r="C1620" s="488"/>
      <c r="D1620" s="489"/>
      <c r="E1620" s="558"/>
      <c r="F1620" s="559">
        <v>2014</v>
      </c>
      <c r="G1620" s="619">
        <v>0</v>
      </c>
      <c r="H1620" s="464">
        <f t="shared" si="1220"/>
        <v>9</v>
      </c>
      <c r="I1620" s="560"/>
      <c r="J1620" s="468">
        <f t="shared" si="1205"/>
        <v>2022</v>
      </c>
      <c r="K1620" s="490">
        <f t="shared" si="1218"/>
        <v>0</v>
      </c>
      <c r="L1620" s="469">
        <f t="shared" ref="L1620:L1625" si="1221">IF(K1620=0%,0,IF(K1620&lt;=30%,2,IF(K1620&lt;=60%,5,10)))</f>
        <v>0</v>
      </c>
      <c r="M1620" s="683">
        <f t="shared" si="1211"/>
        <v>0</v>
      </c>
      <c r="N1620" s="470">
        <f t="shared" si="1212"/>
        <v>9</v>
      </c>
      <c r="O1620" s="468">
        <f t="shared" si="1206"/>
        <v>2022</v>
      </c>
      <c r="P1620" s="616">
        <f t="shared" ref="P1620:P1625" si="1222">W1619</f>
        <v>2865631404.4763293</v>
      </c>
      <c r="Q1620" s="472">
        <f t="shared" ref="Q1620:Q1625" si="1223">P1620+G1620</f>
        <v>2865631404.4763293</v>
      </c>
      <c r="R1620" s="472">
        <f t="shared" si="1219"/>
        <v>318403489.38625878</v>
      </c>
      <c r="S1620" s="1183">
        <f t="shared" ref="S1620:S1625" si="1224">F1620</f>
        <v>2014</v>
      </c>
      <c r="T1620" s="470">
        <f t="shared" ref="T1620:T1625" si="1225">S1620-S1619</f>
        <v>1</v>
      </c>
      <c r="U1620" s="612">
        <f t="shared" ref="U1620:U1625" si="1226">R1620*T1620</f>
        <v>318403489.38625878</v>
      </c>
      <c r="V1620" s="464">
        <f t="shared" ref="V1620:V1625" si="1227">F1620</f>
        <v>2014</v>
      </c>
      <c r="W1620" s="612">
        <f t="shared" ref="W1620:W1625" si="1228">IF(OR(AND(ISBLANK(E1620),ISBLANK(G1620)),ISTEXT(E1620),ISTEXT(G1620)),"",Q1620-U1620)</f>
        <v>2547227915.0900707</v>
      </c>
      <c r="X1620" s="561"/>
      <c r="Y1620" s="449"/>
      <c r="Z1620" s="449"/>
      <c r="AA1620" s="694"/>
      <c r="AB1620" s="692"/>
      <c r="AC1620" s="692"/>
      <c r="AD1620" s="695"/>
      <c r="AE1620" s="452"/>
      <c r="AF1620" s="571"/>
      <c r="AG1620" s="452"/>
      <c r="AH1620" s="452"/>
      <c r="AI1620" s="453"/>
      <c r="AJ1620" s="449"/>
      <c r="AK1620" s="453"/>
      <c r="AL1620" s="454"/>
      <c r="AM1620" s="455"/>
      <c r="AN1620" s="456"/>
      <c r="AO1620" s="455"/>
      <c r="AP1620" s="452"/>
      <c r="AQ1620" s="457"/>
      <c r="AR1620" s="449"/>
      <c r="AS1620" s="449"/>
      <c r="AT1620" s="452"/>
      <c r="AU1620" s="457"/>
      <c r="AV1620" s="449"/>
      <c r="AW1620" s="458"/>
      <c r="AX1620" s="452"/>
      <c r="AY1620" s="457"/>
      <c r="AZ1620" s="449"/>
      <c r="BA1620" s="459"/>
      <c r="BB1620" s="455"/>
      <c r="BC1620" s="460"/>
      <c r="BD1620" s="460"/>
      <c r="BG1620" s="462"/>
    </row>
    <row r="1621" spans="1:59" s="461" customFormat="1" ht="18" customHeight="1" x14ac:dyDescent="0.2">
      <c r="A1621" s="1368" t="str">
        <f t="shared" si="1209"/>
        <v>JL. DESA TALONTAM - PL. KOPUNG2015</v>
      </c>
      <c r="B1621" s="1373">
        <v>4</v>
      </c>
      <c r="C1621" s="488" t="s">
        <v>1360</v>
      </c>
      <c r="D1621" s="489" t="s">
        <v>3821</v>
      </c>
      <c r="E1621" s="558"/>
      <c r="F1621" s="559">
        <v>2015</v>
      </c>
      <c r="G1621" s="619">
        <v>3131158428</v>
      </c>
      <c r="H1621" s="464">
        <f t="shared" si="1220"/>
        <v>8</v>
      </c>
      <c r="I1621" s="560"/>
      <c r="J1621" s="468">
        <f t="shared" si="1205"/>
        <v>2024</v>
      </c>
      <c r="K1621" s="490">
        <f t="shared" si="1218"/>
        <v>1.2292415647028119</v>
      </c>
      <c r="L1621" s="469">
        <f t="shared" si="1221"/>
        <v>10</v>
      </c>
      <c r="M1621" s="683">
        <f t="shared" si="1211"/>
        <v>2</v>
      </c>
      <c r="N1621" s="470">
        <f t="shared" si="1212"/>
        <v>10</v>
      </c>
      <c r="O1621" s="468">
        <f t="shared" si="1206"/>
        <v>2024</v>
      </c>
      <c r="P1621" s="616">
        <f t="shared" si="1222"/>
        <v>2547227915.0900707</v>
      </c>
      <c r="Q1621" s="472">
        <f t="shared" si="1223"/>
        <v>5678386343.0900707</v>
      </c>
      <c r="R1621" s="472">
        <f t="shared" si="1219"/>
        <v>567838634.30900705</v>
      </c>
      <c r="S1621" s="1183">
        <f t="shared" si="1224"/>
        <v>2015</v>
      </c>
      <c r="T1621" s="470">
        <f t="shared" si="1225"/>
        <v>1</v>
      </c>
      <c r="U1621" s="612">
        <f t="shared" si="1226"/>
        <v>567838634.30900705</v>
      </c>
      <c r="V1621" s="464">
        <f t="shared" si="1227"/>
        <v>2015</v>
      </c>
      <c r="W1621" s="612">
        <f t="shared" si="1228"/>
        <v>5110547708.781064</v>
      </c>
      <c r="X1621" s="561"/>
      <c r="Y1621" s="449"/>
      <c r="Z1621" s="449"/>
      <c r="AA1621" s="554" t="s">
        <v>4179</v>
      </c>
      <c r="AB1621" s="452"/>
      <c r="AC1621" s="452"/>
      <c r="AD1621" s="566"/>
      <c r="AE1621" s="452"/>
      <c r="AF1621" s="571"/>
      <c r="AG1621" s="452"/>
      <c r="AH1621" s="452"/>
      <c r="AI1621" s="453"/>
      <c r="AJ1621" s="449"/>
      <c r="AK1621" s="453"/>
      <c r="AL1621" s="454"/>
      <c r="AM1621" s="455"/>
      <c r="AN1621" s="456"/>
      <c r="AO1621" s="455"/>
      <c r="AP1621" s="452"/>
      <c r="AQ1621" s="457"/>
      <c r="AR1621" s="449"/>
      <c r="AS1621" s="449"/>
      <c r="AT1621" s="452"/>
      <c r="AU1621" s="457"/>
      <c r="AV1621" s="449"/>
      <c r="AW1621" s="458"/>
      <c r="AX1621" s="452"/>
      <c r="AY1621" s="457"/>
      <c r="AZ1621" s="449"/>
      <c r="BA1621" s="459"/>
      <c r="BB1621" s="455"/>
      <c r="BC1621" s="460"/>
      <c r="BD1621" s="460"/>
      <c r="BG1621" s="462"/>
    </row>
    <row r="1622" spans="1:59" s="461" customFormat="1" ht="18" customHeight="1" x14ac:dyDescent="0.2">
      <c r="A1622" s="1368" t="str">
        <f t="shared" si="1209"/>
        <v>JL. DESA TALONTAM - PL. KOPUNG2016</v>
      </c>
      <c r="B1622" s="1373"/>
      <c r="C1622" s="488"/>
      <c r="D1622" s="489"/>
      <c r="E1622" s="558"/>
      <c r="F1622" s="559">
        <v>2016</v>
      </c>
      <c r="G1622" s="619">
        <v>0</v>
      </c>
      <c r="H1622" s="464">
        <f t="shared" si="1220"/>
        <v>9</v>
      </c>
      <c r="I1622" s="560"/>
      <c r="J1622" s="468">
        <f t="shared" si="1205"/>
        <v>2024</v>
      </c>
      <c r="K1622" s="490">
        <f t="shared" si="1218"/>
        <v>0</v>
      </c>
      <c r="L1622" s="469">
        <f t="shared" si="1221"/>
        <v>0</v>
      </c>
      <c r="M1622" s="683">
        <f t="shared" si="1211"/>
        <v>0</v>
      </c>
      <c r="N1622" s="470">
        <f t="shared" si="1212"/>
        <v>9</v>
      </c>
      <c r="O1622" s="468">
        <f t="shared" si="1206"/>
        <v>2024</v>
      </c>
      <c r="P1622" s="616">
        <f t="shared" si="1222"/>
        <v>5110547708.781064</v>
      </c>
      <c r="Q1622" s="472">
        <f t="shared" si="1223"/>
        <v>5110547708.781064</v>
      </c>
      <c r="R1622" s="472">
        <f t="shared" si="1219"/>
        <v>567838634.30900705</v>
      </c>
      <c r="S1622" s="1183">
        <f t="shared" si="1224"/>
        <v>2016</v>
      </c>
      <c r="T1622" s="470">
        <f t="shared" si="1225"/>
        <v>1</v>
      </c>
      <c r="U1622" s="612">
        <f t="shared" si="1226"/>
        <v>567838634.30900705</v>
      </c>
      <c r="V1622" s="464">
        <f t="shared" si="1227"/>
        <v>2016</v>
      </c>
      <c r="W1622" s="612">
        <f t="shared" si="1228"/>
        <v>4542709074.4720573</v>
      </c>
      <c r="X1622" s="561"/>
      <c r="Y1622" s="449"/>
      <c r="Z1622" s="449"/>
      <c r="AA1622" s="554"/>
      <c r="AB1622" s="452"/>
      <c r="AC1622" s="452"/>
      <c r="AD1622" s="566"/>
      <c r="AE1622" s="452"/>
      <c r="AF1622" s="571"/>
      <c r="AG1622" s="452"/>
      <c r="AH1622" s="452"/>
      <c r="AI1622" s="453"/>
      <c r="AJ1622" s="449"/>
      <c r="AK1622" s="453"/>
      <c r="AL1622" s="454"/>
      <c r="AM1622" s="455"/>
      <c r="AN1622" s="456"/>
      <c r="AO1622" s="455"/>
      <c r="AP1622" s="452"/>
      <c r="AQ1622" s="457"/>
      <c r="AR1622" s="449"/>
      <c r="AS1622" s="449"/>
      <c r="AT1622" s="452"/>
      <c r="AU1622" s="457"/>
      <c r="AV1622" s="449"/>
      <c r="AW1622" s="458"/>
      <c r="AX1622" s="452"/>
      <c r="AY1622" s="457"/>
      <c r="AZ1622" s="449"/>
      <c r="BA1622" s="459"/>
      <c r="BB1622" s="455"/>
      <c r="BC1622" s="460"/>
      <c r="BD1622" s="460"/>
      <c r="BG1622" s="462"/>
    </row>
    <row r="1623" spans="1:59" s="486" customFormat="1" ht="18" customHeight="1" x14ac:dyDescent="0.2">
      <c r="A1623" s="1368" t="str">
        <f t="shared" si="1209"/>
        <v>JL. DESA TALONTAM - PL. KOPUNG2017</v>
      </c>
      <c r="B1623" s="1373"/>
      <c r="C1623" s="488"/>
      <c r="D1623" s="489"/>
      <c r="E1623" s="558"/>
      <c r="F1623" s="559">
        <v>2017</v>
      </c>
      <c r="G1623" s="619">
        <v>0</v>
      </c>
      <c r="H1623" s="464">
        <f t="shared" si="1220"/>
        <v>8</v>
      </c>
      <c r="I1623" s="560"/>
      <c r="J1623" s="468">
        <f t="shared" si="1205"/>
        <v>2024</v>
      </c>
      <c r="K1623" s="490">
        <f t="shared" si="1218"/>
        <v>0</v>
      </c>
      <c r="L1623" s="469">
        <f t="shared" si="1221"/>
        <v>0</v>
      </c>
      <c r="M1623" s="683">
        <f t="shared" si="1211"/>
        <v>0</v>
      </c>
      <c r="N1623" s="470">
        <f t="shared" si="1212"/>
        <v>8</v>
      </c>
      <c r="O1623" s="468">
        <f t="shared" si="1206"/>
        <v>2024</v>
      </c>
      <c r="P1623" s="616">
        <f t="shared" si="1222"/>
        <v>4542709074.4720573</v>
      </c>
      <c r="Q1623" s="472">
        <f t="shared" si="1223"/>
        <v>4542709074.4720573</v>
      </c>
      <c r="R1623" s="472">
        <f t="shared" si="1219"/>
        <v>567838634.30900705</v>
      </c>
      <c r="S1623" s="1183">
        <f t="shared" si="1224"/>
        <v>2017</v>
      </c>
      <c r="T1623" s="470">
        <f t="shared" si="1225"/>
        <v>1</v>
      </c>
      <c r="U1623" s="612">
        <f t="shared" si="1226"/>
        <v>567838634.30900705</v>
      </c>
      <c r="V1623" s="464">
        <f t="shared" si="1227"/>
        <v>2017</v>
      </c>
      <c r="W1623" s="612">
        <f t="shared" si="1228"/>
        <v>3974870440.1630502</v>
      </c>
      <c r="X1623" s="561"/>
      <c r="Y1623" s="474"/>
      <c r="Z1623" s="449"/>
      <c r="AA1623" s="475" t="s">
        <v>4180</v>
      </c>
      <c r="AB1623" s="476"/>
      <c r="AC1623" s="476"/>
      <c r="AD1623" s="567">
        <f>G1628</f>
        <v>7930559780.2917643</v>
      </c>
      <c r="AE1623" s="476"/>
      <c r="AF1623" s="568"/>
      <c r="AG1623" s="476"/>
      <c r="AH1623" s="476"/>
      <c r="AI1623" s="477"/>
      <c r="AJ1623" s="478"/>
      <c r="AK1623" s="479"/>
      <c r="AL1623" s="480"/>
      <c r="AM1623" s="474"/>
      <c r="AN1623" s="481"/>
      <c r="AO1623" s="474"/>
      <c r="AP1623" s="476"/>
      <c r="AQ1623" s="482"/>
      <c r="AR1623" s="478"/>
      <c r="AS1623" s="478"/>
      <c r="AT1623" s="476"/>
      <c r="AU1623" s="482"/>
      <c r="AV1623" s="478"/>
      <c r="AW1623" s="483"/>
      <c r="AX1623" s="476"/>
      <c r="AY1623" s="482"/>
      <c r="AZ1623" s="478"/>
      <c r="BA1623" s="484"/>
      <c r="BB1623" s="474"/>
      <c r="BC1623" s="485"/>
      <c r="BD1623" s="485"/>
      <c r="BG1623" s="487"/>
    </row>
    <row r="1624" spans="1:59" s="486" customFormat="1" ht="18" customHeight="1" x14ac:dyDescent="0.2">
      <c r="A1624" s="1368" t="str">
        <f t="shared" si="1209"/>
        <v>JL. DESA TALONTAM - PL. KOPUNG2018</v>
      </c>
      <c r="B1624" s="1373"/>
      <c r="C1624" s="488"/>
      <c r="D1624" s="489"/>
      <c r="E1624" s="558"/>
      <c r="F1624" s="559">
        <v>2018</v>
      </c>
      <c r="G1624" s="619">
        <v>0</v>
      </c>
      <c r="H1624" s="464">
        <f t="shared" si="1220"/>
        <v>7</v>
      </c>
      <c r="I1624" s="560"/>
      <c r="J1624" s="468">
        <f t="shared" si="1205"/>
        <v>2024</v>
      </c>
      <c r="K1624" s="490">
        <f t="shared" si="1218"/>
        <v>0</v>
      </c>
      <c r="L1624" s="469">
        <f t="shared" si="1221"/>
        <v>0</v>
      </c>
      <c r="M1624" s="683">
        <f t="shared" si="1211"/>
        <v>0</v>
      </c>
      <c r="N1624" s="470">
        <f t="shared" si="1212"/>
        <v>7</v>
      </c>
      <c r="O1624" s="468">
        <f t="shared" si="1206"/>
        <v>2024</v>
      </c>
      <c r="P1624" s="616">
        <f t="shared" si="1222"/>
        <v>3974870440.1630502</v>
      </c>
      <c r="Q1624" s="472">
        <f t="shared" si="1223"/>
        <v>3974870440.1630502</v>
      </c>
      <c r="R1624" s="472">
        <f t="shared" si="1219"/>
        <v>567838634.30900705</v>
      </c>
      <c r="S1624" s="1183">
        <f t="shared" si="1224"/>
        <v>2018</v>
      </c>
      <c r="T1624" s="470">
        <f t="shared" si="1225"/>
        <v>1</v>
      </c>
      <c r="U1624" s="612">
        <f t="shared" si="1226"/>
        <v>567838634.30900705</v>
      </c>
      <c r="V1624" s="464">
        <f t="shared" si="1227"/>
        <v>2018</v>
      </c>
      <c r="W1624" s="612">
        <f t="shared" si="1228"/>
        <v>3407031805.854043</v>
      </c>
      <c r="X1624" s="561"/>
      <c r="Y1624" s="478"/>
      <c r="Z1624" s="449"/>
      <c r="AA1624" s="475" t="s">
        <v>4181</v>
      </c>
      <c r="AB1624" s="491"/>
      <c r="AC1624" s="491"/>
      <c r="AD1624" s="567">
        <f>U1628</f>
        <v>5091366608.7467289</v>
      </c>
      <c r="AE1624" s="491"/>
      <c r="AF1624" s="568"/>
      <c r="AG1624" s="491"/>
      <c r="AH1624" s="491"/>
      <c r="AI1624" s="477"/>
      <c r="AJ1624" s="478"/>
      <c r="AK1624" s="479"/>
      <c r="AL1624" s="480"/>
      <c r="AM1624" s="474"/>
      <c r="AN1624" s="481"/>
      <c r="AO1624" s="474"/>
      <c r="AP1624" s="476"/>
      <c r="AQ1624" s="482"/>
      <c r="AR1624" s="478"/>
      <c r="AS1624" s="478"/>
      <c r="AT1624" s="476"/>
      <c r="AU1624" s="482"/>
      <c r="AV1624" s="478"/>
      <c r="AW1624" s="483"/>
      <c r="AX1624" s="476"/>
      <c r="AY1624" s="482"/>
      <c r="AZ1624" s="478"/>
      <c r="BA1624" s="484"/>
      <c r="BB1624" s="474"/>
      <c r="BC1624" s="485"/>
      <c r="BD1624" s="485"/>
      <c r="BG1624" s="487"/>
    </row>
    <row r="1625" spans="1:59" s="486" customFormat="1" ht="18" customHeight="1" x14ac:dyDescent="0.2">
      <c r="A1625" s="1368" t="str">
        <f t="shared" si="1209"/>
        <v>JL. DESA TALONTAM - PL. KOPUNG2019</v>
      </c>
      <c r="B1625" s="1373"/>
      <c r="C1625" s="488"/>
      <c r="D1625" s="489"/>
      <c r="E1625" s="558"/>
      <c r="F1625" s="559">
        <v>2019</v>
      </c>
      <c r="G1625" s="619">
        <v>0</v>
      </c>
      <c r="H1625" s="464">
        <f t="shared" si="1220"/>
        <v>6</v>
      </c>
      <c r="I1625" s="560"/>
      <c r="J1625" s="468">
        <f t="shared" si="1205"/>
        <v>2024</v>
      </c>
      <c r="K1625" s="490">
        <f t="shared" si="1218"/>
        <v>0</v>
      </c>
      <c r="L1625" s="469">
        <f t="shared" si="1221"/>
        <v>0</v>
      </c>
      <c r="M1625" s="683">
        <f t="shared" si="1211"/>
        <v>0</v>
      </c>
      <c r="N1625" s="470">
        <f t="shared" si="1212"/>
        <v>6</v>
      </c>
      <c r="O1625" s="468">
        <f t="shared" si="1206"/>
        <v>2024</v>
      </c>
      <c r="P1625" s="616">
        <f t="shared" si="1222"/>
        <v>3407031805.854043</v>
      </c>
      <c r="Q1625" s="472">
        <f t="shared" si="1223"/>
        <v>3407031805.854043</v>
      </c>
      <c r="R1625" s="472">
        <f t="shared" si="1219"/>
        <v>567838634.30900705</v>
      </c>
      <c r="S1625" s="1189">
        <f t="shared" si="1224"/>
        <v>2019</v>
      </c>
      <c r="T1625" s="470">
        <f t="shared" si="1225"/>
        <v>1</v>
      </c>
      <c r="U1625" s="612">
        <f t="shared" si="1226"/>
        <v>567838634.30900705</v>
      </c>
      <c r="V1625" s="464">
        <f t="shared" si="1227"/>
        <v>2019</v>
      </c>
      <c r="W1625" s="612">
        <f t="shared" si="1228"/>
        <v>2839193171.5450358</v>
      </c>
      <c r="X1625" s="473"/>
      <c r="Y1625" s="478"/>
      <c r="Z1625" s="449"/>
      <c r="AA1625" s="492" t="s">
        <v>4182</v>
      </c>
      <c r="AB1625" s="476"/>
      <c r="AC1625" s="476"/>
      <c r="AD1625" s="567">
        <f>AD1623-AD1624</f>
        <v>2839193171.5450354</v>
      </c>
      <c r="AE1625" s="476"/>
      <c r="AF1625" s="568"/>
      <c r="AG1625" s="476"/>
      <c r="AH1625" s="476"/>
      <c r="AI1625" s="477"/>
      <c r="AJ1625" s="478"/>
      <c r="AK1625" s="479"/>
      <c r="AL1625" s="480"/>
      <c r="AM1625" s="474"/>
      <c r="AN1625" s="481"/>
      <c r="AO1625" s="474"/>
      <c r="AP1625" s="476"/>
      <c r="AQ1625" s="482"/>
      <c r="AR1625" s="478"/>
      <c r="AS1625" s="478"/>
      <c r="AT1625" s="476"/>
      <c r="AU1625" s="482"/>
      <c r="AV1625" s="478"/>
      <c r="AW1625" s="483"/>
      <c r="AX1625" s="476"/>
      <c r="AY1625" s="482"/>
      <c r="AZ1625" s="478"/>
      <c r="BA1625" s="484"/>
      <c r="BB1625" s="474"/>
      <c r="BC1625" s="485"/>
      <c r="BD1625" s="485"/>
      <c r="BG1625" s="487"/>
    </row>
    <row r="1626" spans="1:59" s="486" customFormat="1" ht="18" customHeight="1" x14ac:dyDescent="0.2">
      <c r="A1626" s="1368" t="str">
        <f>LEFT(D1626,8)</f>
        <v/>
      </c>
      <c r="B1626" s="687"/>
      <c r="C1626" s="488"/>
      <c r="D1626" s="489"/>
      <c r="E1626" s="558"/>
      <c r="F1626" s="466"/>
      <c r="G1626" s="619"/>
      <c r="H1626" s="464"/>
      <c r="I1626" s="467"/>
      <c r="J1626" s="468"/>
      <c r="K1626" s="490"/>
      <c r="L1626" s="469"/>
      <c r="M1626" s="683"/>
      <c r="N1626" s="470"/>
      <c r="O1626" s="468"/>
      <c r="P1626" s="616"/>
      <c r="Q1626" s="472"/>
      <c r="R1626" s="472"/>
      <c r="S1626" s="1183"/>
      <c r="T1626" s="470"/>
      <c r="U1626" s="612"/>
      <c r="V1626" s="464"/>
      <c r="W1626" s="612"/>
      <c r="X1626" s="473"/>
      <c r="Y1626" s="478"/>
      <c r="Z1626" s="449"/>
      <c r="AA1626" s="531" t="s">
        <v>4183</v>
      </c>
      <c r="AB1626" s="496"/>
      <c r="AC1626" s="496"/>
      <c r="AD1626" s="569">
        <f>AD1625-W1628</f>
        <v>0</v>
      </c>
      <c r="AE1626" s="476"/>
      <c r="AF1626" s="568"/>
      <c r="AG1626" s="476"/>
      <c r="AH1626" s="476"/>
      <c r="AI1626" s="477"/>
      <c r="AJ1626" s="478"/>
      <c r="AK1626" s="479"/>
      <c r="AL1626" s="480"/>
      <c r="AM1626" s="474"/>
      <c r="AN1626" s="481"/>
      <c r="AO1626" s="474"/>
      <c r="AP1626" s="476"/>
      <c r="AQ1626" s="482"/>
      <c r="AR1626" s="478"/>
      <c r="AS1626" s="478"/>
      <c r="AT1626" s="476"/>
      <c r="AU1626" s="482"/>
      <c r="AV1626" s="478"/>
      <c r="AW1626" s="483"/>
      <c r="AX1626" s="476"/>
      <c r="AY1626" s="482"/>
      <c r="AZ1626" s="478"/>
      <c r="BA1626" s="484"/>
      <c r="BB1626" s="474"/>
      <c r="BC1626" s="485"/>
      <c r="BD1626" s="485"/>
      <c r="BG1626" s="487"/>
    </row>
    <row r="1627" spans="1:59" s="486" customFormat="1" ht="18" customHeight="1" x14ac:dyDescent="0.2">
      <c r="A1627" s="1368" t="str">
        <f>LEFT(D1627,8)</f>
        <v/>
      </c>
      <c r="B1627" s="687"/>
      <c r="C1627" s="463"/>
      <c r="D1627" s="489"/>
      <c r="E1627" s="465"/>
      <c r="F1627" s="466"/>
      <c r="G1627" s="620"/>
      <c r="H1627" s="464"/>
      <c r="I1627" s="467"/>
      <c r="J1627" s="468"/>
      <c r="K1627" s="574"/>
      <c r="L1627" s="469"/>
      <c r="M1627" s="683"/>
      <c r="N1627" s="470"/>
      <c r="O1627" s="468"/>
      <c r="P1627" s="616"/>
      <c r="Q1627" s="472"/>
      <c r="R1627" s="472"/>
      <c r="S1627" s="1183"/>
      <c r="T1627" s="470"/>
      <c r="U1627" s="612"/>
      <c r="V1627" s="464"/>
      <c r="W1627" s="612"/>
      <c r="X1627" s="473"/>
      <c r="Y1627" s="478"/>
      <c r="Z1627" s="449"/>
      <c r="AA1627" s="573"/>
      <c r="AB1627" s="476"/>
      <c r="AC1627" s="476"/>
      <c r="AD1627" s="568"/>
      <c r="AE1627" s="476"/>
      <c r="AF1627" s="568"/>
      <c r="AG1627" s="476"/>
      <c r="AH1627" s="476"/>
      <c r="AI1627" s="477"/>
      <c r="AJ1627" s="478"/>
      <c r="AK1627" s="479"/>
      <c r="AL1627" s="480"/>
      <c r="AM1627" s="474"/>
      <c r="AN1627" s="481"/>
      <c r="AO1627" s="474"/>
      <c r="AP1627" s="476"/>
      <c r="AQ1627" s="482"/>
      <c r="AR1627" s="478"/>
      <c r="AS1627" s="478"/>
      <c r="AT1627" s="476"/>
      <c r="AU1627" s="482"/>
      <c r="AV1627" s="478"/>
      <c r="AW1627" s="483"/>
      <c r="AX1627" s="476"/>
      <c r="AY1627" s="482"/>
      <c r="AZ1627" s="478"/>
      <c r="BA1627" s="484"/>
      <c r="BB1627" s="474"/>
      <c r="BC1627" s="485"/>
      <c r="BD1627" s="485"/>
      <c r="BG1627" s="487"/>
    </row>
    <row r="1628" spans="1:59" s="526" customFormat="1" ht="18" customHeight="1" x14ac:dyDescent="0.2">
      <c r="A1628" s="1370" t="s">
        <v>4184</v>
      </c>
      <c r="B1628" s="1956" t="s">
        <v>4184</v>
      </c>
      <c r="C1628" s="1957"/>
      <c r="D1628" s="1957"/>
      <c r="E1628" s="1957"/>
      <c r="F1628" s="1958"/>
      <c r="G1628" s="624">
        <f>SUM(G1613:G1627)</f>
        <v>7930559780.2917643</v>
      </c>
      <c r="H1628" s="505"/>
      <c r="I1628" s="506"/>
      <c r="J1628" s="507"/>
      <c r="K1628" s="507"/>
      <c r="L1628" s="505"/>
      <c r="M1628" s="684"/>
      <c r="N1628" s="508"/>
      <c r="O1628" s="507"/>
      <c r="P1628" s="749"/>
      <c r="Q1628" s="510"/>
      <c r="R1628" s="511"/>
      <c r="S1628" s="512"/>
      <c r="T1628" s="512"/>
      <c r="U1628" s="610">
        <f>SUM(U1613:U1627)</f>
        <v>5091366608.7467289</v>
      </c>
      <c r="V1628" s="513"/>
      <c r="W1628" s="610">
        <f>G1628-U1628</f>
        <v>2839193171.5450354</v>
      </c>
      <c r="X1628" s="514"/>
      <c r="Y1628" s="515"/>
      <c r="Z1628" s="515"/>
      <c r="AA1628" s="515"/>
      <c r="AB1628" s="515"/>
      <c r="AC1628" s="515"/>
      <c r="AD1628" s="570"/>
      <c r="AE1628" s="515"/>
      <c r="AF1628" s="570"/>
      <c r="AG1628" s="515"/>
      <c r="AH1628" s="515"/>
      <c r="AI1628" s="516"/>
      <c r="AJ1628" s="517"/>
      <c r="AK1628" s="518"/>
      <c r="AL1628" s="519"/>
      <c r="AM1628" s="520"/>
      <c r="AN1628" s="521"/>
      <c r="AO1628" s="520"/>
      <c r="AP1628" s="515"/>
      <c r="AQ1628" s="522"/>
      <c r="AR1628" s="517"/>
      <c r="AS1628" s="517"/>
      <c r="AT1628" s="515"/>
      <c r="AU1628" s="522"/>
      <c r="AV1628" s="517"/>
      <c r="AW1628" s="523"/>
      <c r="AX1628" s="515"/>
      <c r="AY1628" s="522"/>
      <c r="AZ1628" s="517"/>
      <c r="BA1628" s="524"/>
      <c r="BB1628" s="520"/>
      <c r="BC1628" s="525"/>
      <c r="BD1628" s="525"/>
      <c r="BG1628" s="527"/>
    </row>
    <row r="1631" spans="1:59" s="422" customFormat="1" ht="18" customHeight="1" x14ac:dyDescent="0.2">
      <c r="A1631" s="1366">
        <f>C1631</f>
        <v>273</v>
      </c>
      <c r="B1631" s="742" t="s">
        <v>4187</v>
      </c>
      <c r="C1631" s="556">
        <v>273</v>
      </c>
      <c r="D1631" s="553" t="str">
        <f>VLOOKUP(C1631,RUAS,2,FALSE)</f>
        <v>SIMANDOLAK - PENYEBERANGAN TANJUNG</v>
      </c>
      <c r="E1631" s="553"/>
      <c r="F1631" s="421"/>
      <c r="G1631" s="611"/>
      <c r="I1631" s="423"/>
      <c r="J1631" s="424"/>
      <c r="K1631" s="424"/>
      <c r="M1631" s="680"/>
      <c r="P1631" s="611"/>
      <c r="U1631" s="611"/>
      <c r="W1631" s="611"/>
      <c r="Y1631" s="425"/>
      <c r="Z1631" s="425"/>
      <c r="AA1631" s="425"/>
      <c r="AB1631" s="425"/>
      <c r="AC1631" s="425"/>
      <c r="AD1631" s="563"/>
      <c r="AE1631" s="425"/>
      <c r="AF1631" s="563"/>
      <c r="AG1631" s="425"/>
      <c r="AH1631" s="425"/>
      <c r="AI1631" s="425"/>
      <c r="AJ1631" s="425"/>
      <c r="AK1631" s="425"/>
      <c r="AL1631" s="425"/>
      <c r="AM1631" s="425"/>
      <c r="AN1631" s="425"/>
      <c r="AO1631" s="425"/>
      <c r="AP1631" s="425"/>
      <c r="AQ1631" s="425"/>
      <c r="AR1631" s="425"/>
      <c r="AS1631" s="425"/>
      <c r="AT1631" s="425"/>
      <c r="AU1631" s="425"/>
      <c r="AV1631" s="425"/>
      <c r="AW1631" s="425"/>
      <c r="AX1631" s="425"/>
      <c r="AY1631" s="425"/>
      <c r="AZ1631" s="425"/>
      <c r="BA1631" s="425"/>
      <c r="BB1631" s="425"/>
    </row>
    <row r="1632" spans="1:59" s="431" customFormat="1" ht="18" customHeight="1" x14ac:dyDescent="0.2">
      <c r="A1632" s="1367"/>
      <c r="B1632" s="1968" t="s">
        <v>5</v>
      </c>
      <c r="C1632" s="1968" t="s">
        <v>2280</v>
      </c>
      <c r="D1632" s="1968" t="s">
        <v>4157</v>
      </c>
      <c r="E1632" s="1968" t="s">
        <v>4158</v>
      </c>
      <c r="F1632" s="1968"/>
      <c r="G1632" s="2042" t="s">
        <v>4159</v>
      </c>
      <c r="H1632" s="1968" t="s">
        <v>4160</v>
      </c>
      <c r="I1632" s="1968"/>
      <c r="J1632" s="1968" t="s">
        <v>4185</v>
      </c>
      <c r="K1632" s="1964" t="s">
        <v>4162</v>
      </c>
      <c r="L1632" s="1968" t="s">
        <v>4163</v>
      </c>
      <c r="M1632" s="1971" t="s">
        <v>4164</v>
      </c>
      <c r="N1632" s="1962" t="s">
        <v>4165</v>
      </c>
      <c r="O1632" s="1968" t="s">
        <v>4166</v>
      </c>
      <c r="P1632" s="1972" t="s">
        <v>4167</v>
      </c>
      <c r="Q1632" s="1973"/>
      <c r="R1632" s="1215" t="s">
        <v>4186</v>
      </c>
      <c r="S1632" s="1972" t="s">
        <v>4169</v>
      </c>
      <c r="T1632" s="1974"/>
      <c r="U1632" s="1973"/>
      <c r="V1632" s="1975" t="s">
        <v>4170</v>
      </c>
      <c r="W1632" s="1975"/>
      <c r="X1632" s="1960" t="s">
        <v>4171</v>
      </c>
      <c r="Y1632" s="1959"/>
      <c r="Z1632" s="1216"/>
      <c r="AA1632" s="426"/>
      <c r="AB1632" s="426"/>
      <c r="AC1632" s="426"/>
      <c r="AD1632" s="564"/>
      <c r="AE1632" s="426"/>
      <c r="AF1632" s="564"/>
      <c r="AG1632" s="426"/>
      <c r="AH1632" s="426"/>
      <c r="AI1632" s="427"/>
      <c r="AJ1632" s="427"/>
      <c r="AK1632" s="427"/>
      <c r="AL1632" s="427"/>
      <c r="AM1632" s="428"/>
      <c r="AN1632" s="427"/>
      <c r="AO1632" s="427"/>
      <c r="AP1632" s="426"/>
      <c r="AQ1632" s="427"/>
      <c r="AR1632" s="427"/>
      <c r="AS1632" s="427"/>
      <c r="AT1632" s="426"/>
      <c r="AU1632" s="427"/>
      <c r="AV1632" s="427"/>
      <c r="AW1632" s="427"/>
      <c r="AX1632" s="426"/>
      <c r="AY1632" s="427"/>
      <c r="AZ1632" s="427"/>
      <c r="BA1632" s="427"/>
      <c r="BB1632" s="429"/>
      <c r="BC1632" s="430"/>
      <c r="BD1632" s="430"/>
    </row>
    <row r="1633" spans="1:59" s="431" customFormat="1" ht="18" customHeight="1" x14ac:dyDescent="0.2">
      <c r="A1633" s="1367"/>
      <c r="B1633" s="1968"/>
      <c r="C1633" s="1968"/>
      <c r="D1633" s="1968"/>
      <c r="E1633" s="1968"/>
      <c r="F1633" s="1968"/>
      <c r="G1633" s="2042"/>
      <c r="H1633" s="1968"/>
      <c r="I1633" s="1968"/>
      <c r="J1633" s="1968"/>
      <c r="K1633" s="1970"/>
      <c r="L1633" s="1968"/>
      <c r="M1633" s="1971"/>
      <c r="N1633" s="1963"/>
      <c r="O1633" s="1968"/>
      <c r="P1633" s="2037" t="s">
        <v>4172</v>
      </c>
      <c r="Q1633" s="1960" t="s">
        <v>4173</v>
      </c>
      <c r="R1633" s="1962" t="s">
        <v>4159</v>
      </c>
      <c r="S1633" s="1962" t="s">
        <v>4174</v>
      </c>
      <c r="T1633" s="1964" t="s">
        <v>4175</v>
      </c>
      <c r="U1633" s="1966" t="s">
        <v>4159</v>
      </c>
      <c r="V1633" s="1975"/>
      <c r="W1633" s="1975"/>
      <c r="X1633" s="1976"/>
      <c r="Y1633" s="1959"/>
      <c r="Z1633" s="1216"/>
      <c r="AA1633" s="426"/>
      <c r="AB1633" s="426"/>
      <c r="AC1633" s="426"/>
      <c r="AD1633" s="564"/>
      <c r="AE1633" s="426"/>
      <c r="AF1633" s="564"/>
      <c r="AG1633" s="426"/>
      <c r="AH1633" s="426"/>
      <c r="AI1633" s="427"/>
      <c r="AJ1633" s="427"/>
      <c r="AK1633" s="426"/>
      <c r="AL1633" s="427"/>
      <c r="AM1633" s="428"/>
      <c r="AN1633" s="427"/>
      <c r="AO1633" s="427"/>
      <c r="AP1633" s="432"/>
      <c r="AQ1633" s="427"/>
      <c r="AR1633" s="427"/>
      <c r="AS1633" s="427"/>
      <c r="AT1633" s="432"/>
      <c r="AU1633" s="427"/>
      <c r="AV1633" s="427"/>
      <c r="AW1633" s="427"/>
      <c r="AX1633" s="432"/>
      <c r="AY1633" s="427"/>
      <c r="AZ1633" s="427"/>
      <c r="BA1633" s="427"/>
      <c r="BB1633" s="429"/>
      <c r="BC1633" s="430"/>
      <c r="BD1633" s="430"/>
    </row>
    <row r="1634" spans="1:59" s="431" customFormat="1" ht="18" customHeight="1" x14ac:dyDescent="0.2">
      <c r="A1634" s="1367"/>
      <c r="B1634" s="1968"/>
      <c r="C1634" s="1968"/>
      <c r="D1634" s="1968"/>
      <c r="E1634" s="433" t="s">
        <v>4176</v>
      </c>
      <c r="F1634" s="434" t="s">
        <v>2288</v>
      </c>
      <c r="G1634" s="2042"/>
      <c r="H1634" s="1214" t="s">
        <v>2288</v>
      </c>
      <c r="I1634" s="1214" t="s">
        <v>4177</v>
      </c>
      <c r="J1634" s="1968"/>
      <c r="K1634" s="1965"/>
      <c r="L1634" s="435" t="s">
        <v>2288</v>
      </c>
      <c r="M1634" s="681" t="s">
        <v>2288</v>
      </c>
      <c r="N1634" s="1214" t="s">
        <v>2288</v>
      </c>
      <c r="O1634" s="1968"/>
      <c r="P1634" s="2038"/>
      <c r="Q1634" s="1961"/>
      <c r="R1634" s="1963"/>
      <c r="S1634" s="1963"/>
      <c r="T1634" s="1965"/>
      <c r="U1634" s="1967"/>
      <c r="V1634" s="1214" t="s">
        <v>4178</v>
      </c>
      <c r="W1634" s="1217" t="s">
        <v>4159</v>
      </c>
      <c r="X1634" s="1961"/>
      <c r="Y1634" s="436"/>
      <c r="Z1634" s="436"/>
      <c r="AA1634" s="426"/>
      <c r="AB1634" s="426"/>
      <c r="AC1634" s="426"/>
      <c r="AD1634" s="564"/>
      <c r="AE1634" s="426"/>
      <c r="AF1634" s="564"/>
      <c r="AG1634" s="426"/>
      <c r="AH1634" s="426"/>
      <c r="AI1634" s="427"/>
      <c r="AJ1634" s="432"/>
      <c r="AK1634" s="432"/>
      <c r="AL1634" s="427"/>
      <c r="AM1634" s="428"/>
      <c r="AN1634" s="432"/>
      <c r="AO1634" s="427"/>
      <c r="AP1634" s="432"/>
      <c r="AQ1634" s="432"/>
      <c r="AR1634" s="427"/>
      <c r="AS1634" s="427"/>
      <c r="AT1634" s="432"/>
      <c r="AU1634" s="432"/>
      <c r="AV1634" s="427"/>
      <c r="AW1634" s="427"/>
      <c r="AX1634" s="432"/>
      <c r="AY1634" s="432"/>
      <c r="AZ1634" s="427"/>
      <c r="BA1634" s="427"/>
      <c r="BB1634" s="429"/>
      <c r="BC1634" s="430"/>
      <c r="BD1634" s="430"/>
    </row>
    <row r="1635" spans="1:59" s="461" customFormat="1" ht="18" customHeight="1" x14ac:dyDescent="0.2">
      <c r="A1635" s="1368" t="str">
        <f>$D$1631&amp;S1635</f>
        <v>SIMANDOLAK - PENYEBERANGAN TANJUNG2001</v>
      </c>
      <c r="B1635" s="1373">
        <v>1</v>
      </c>
      <c r="C1635" s="532" t="s">
        <v>483</v>
      </c>
      <c r="D1635" s="437" t="s">
        <v>3821</v>
      </c>
      <c r="E1635" s="438"/>
      <c r="F1635" s="439">
        <v>2001</v>
      </c>
      <c r="G1635" s="623">
        <v>1050000000</v>
      </c>
      <c r="H1635" s="440">
        <f>VLOOKUP(LEFT(D1635,8),UE,4)</f>
        <v>10</v>
      </c>
      <c r="I1635" s="441"/>
      <c r="J1635" s="442">
        <f>F1635+N1635-1</f>
        <v>2010</v>
      </c>
      <c r="K1635" s="443"/>
      <c r="L1635" s="440"/>
      <c r="M1635" s="746">
        <f>IF(H1635+L1635&gt;$H1635,$H1635-H1635,L1635)</f>
        <v>0</v>
      </c>
      <c r="N1635" s="444">
        <f>H1635+M1635</f>
        <v>10</v>
      </c>
      <c r="O1635" s="442">
        <f>F1635+N1635-1</f>
        <v>2010</v>
      </c>
      <c r="P1635" s="617">
        <f>G1635</f>
        <v>1050000000</v>
      </c>
      <c r="Q1635" s="445">
        <v>0</v>
      </c>
      <c r="R1635" s="445">
        <f>P1635/N1635</f>
        <v>105000000</v>
      </c>
      <c r="S1635" s="446">
        <f t="shared" ref="S1635:S1646" si="1229">F1635</f>
        <v>2001</v>
      </c>
      <c r="T1635" s="447">
        <v>1</v>
      </c>
      <c r="U1635" s="613">
        <f t="shared" ref="U1635:U1646" si="1230">R1635*T1635</f>
        <v>105000000</v>
      </c>
      <c r="V1635" s="442">
        <f>F1635</f>
        <v>2001</v>
      </c>
      <c r="W1635" s="617">
        <f>IF(OR(AND(ISBLANK(E1635),ISBLANK(G1635)),ISTEXT(E1635),ISTEXT(G1635)),"",G1635-R1635)</f>
        <v>945000000</v>
      </c>
      <c r="X1635" s="448"/>
      <c r="Y1635" s="449"/>
      <c r="Z1635" s="449"/>
      <c r="AA1635" s="693"/>
      <c r="AB1635" s="452"/>
      <c r="AC1635" s="452"/>
      <c r="AD1635" s="571"/>
      <c r="AE1635" s="452"/>
      <c r="AF1635" s="571"/>
      <c r="AG1635" s="452"/>
      <c r="AH1635" s="452"/>
      <c r="AI1635" s="453"/>
      <c r="AJ1635" s="449"/>
      <c r="AK1635" s="453"/>
      <c r="AL1635" s="454"/>
      <c r="AM1635" s="455"/>
      <c r="AN1635" s="456"/>
      <c r="AO1635" s="455"/>
      <c r="AP1635" s="452"/>
      <c r="AQ1635" s="457"/>
      <c r="AR1635" s="449"/>
      <c r="AS1635" s="449"/>
      <c r="AT1635" s="452"/>
      <c r="AU1635" s="457"/>
      <c r="AV1635" s="449"/>
      <c r="AW1635" s="458"/>
      <c r="AX1635" s="452"/>
      <c r="AY1635" s="457"/>
      <c r="AZ1635" s="449"/>
      <c r="BA1635" s="459"/>
      <c r="BB1635" s="455"/>
      <c r="BC1635" s="460"/>
      <c r="BD1635" s="460"/>
      <c r="BG1635" s="462"/>
    </row>
    <row r="1636" spans="1:59" s="461" customFormat="1" ht="18" customHeight="1" x14ac:dyDescent="0.2">
      <c r="A1636" s="1368" t="str">
        <f t="shared" ref="A1636:A1647" si="1231">$D$1631&amp;S1636</f>
        <v>SIMANDOLAK - PENYEBERANGAN TANJUNG2002</v>
      </c>
      <c r="B1636" s="1373"/>
      <c r="C1636" s="488"/>
      <c r="D1636" s="489"/>
      <c r="E1636" s="558"/>
      <c r="F1636" s="559">
        <v>2002</v>
      </c>
      <c r="G1636" s="619">
        <v>0</v>
      </c>
      <c r="H1636" s="464">
        <f>IF(N1635-(F1636-F1635)&lt;=0,0,(N1635-(F1636-F1635)))</f>
        <v>9</v>
      </c>
      <c r="I1636" s="560"/>
      <c r="J1636" s="468">
        <f>F1636+N1636-1</f>
        <v>2010</v>
      </c>
      <c r="K1636" s="490">
        <f>IF(G1636=0,0,IF(H1636=10,100%,G1636/W1635))</f>
        <v>0</v>
      </c>
      <c r="L1636" s="469">
        <f t="shared" ref="L1636:L1646" si="1232">IF(K1636=0%,0,IF(K1636&lt;=30%,2,IF(K1636&lt;=60%,5,10)))</f>
        <v>0</v>
      </c>
      <c r="M1636" s="683">
        <f>IF(OR(AND(ISBLANK(E1636),ISBLANK(G1636)),ISTEXT(E1636),ISTEXT(G1636)),"",IF(H1636+L1636&gt;$H$8,$H$8-H1636,L1636))</f>
        <v>0</v>
      </c>
      <c r="N1636" s="470">
        <f>IF(OR(AND(ISBLANK(F1636),ISBLANK(G1636)),ISTEXT(F1636),ISTEXT(G1636)),"",H1636+M1636)</f>
        <v>9</v>
      </c>
      <c r="O1636" s="468">
        <f>F1636+N1636-1</f>
        <v>2010</v>
      </c>
      <c r="P1636" s="616">
        <f t="shared" ref="P1636:P1646" si="1233">W1635</f>
        <v>945000000</v>
      </c>
      <c r="Q1636" s="472">
        <f t="shared" ref="Q1636:Q1646" si="1234">P1636+G1636</f>
        <v>945000000</v>
      </c>
      <c r="R1636" s="472">
        <f>IF(L1636=0,R1635,Q1636/N1636)</f>
        <v>105000000</v>
      </c>
      <c r="S1636" s="1189">
        <f t="shared" si="1229"/>
        <v>2002</v>
      </c>
      <c r="T1636" s="470">
        <f t="shared" ref="T1636:T1646" si="1235">S1636-S1635</f>
        <v>1</v>
      </c>
      <c r="U1636" s="612">
        <f t="shared" si="1230"/>
        <v>105000000</v>
      </c>
      <c r="V1636" s="464">
        <f t="shared" ref="V1636:V1646" si="1236">F1636</f>
        <v>2002</v>
      </c>
      <c r="W1636" s="612">
        <f t="shared" ref="W1636:W1646" si="1237">IF(OR(AND(ISBLANK(E1636),ISBLANK(G1636)),ISTEXT(E1636),ISTEXT(G1636)),"",Q1636-U1636)</f>
        <v>840000000</v>
      </c>
      <c r="X1636" s="561"/>
      <c r="Y1636" s="449"/>
      <c r="Z1636" s="449"/>
      <c r="AA1636" s="693"/>
      <c r="AB1636" s="452"/>
      <c r="AC1636" s="452"/>
      <c r="AD1636" s="571"/>
      <c r="AE1636" s="452"/>
      <c r="AF1636" s="571"/>
      <c r="AG1636" s="452"/>
      <c r="AH1636" s="452"/>
      <c r="AI1636" s="453"/>
      <c r="AJ1636" s="449"/>
      <c r="AK1636" s="453"/>
      <c r="AL1636" s="454"/>
      <c r="AM1636" s="455"/>
      <c r="AN1636" s="456"/>
      <c r="AO1636" s="455"/>
      <c r="AP1636" s="452"/>
      <c r="AQ1636" s="457"/>
      <c r="AR1636" s="449"/>
      <c r="AS1636" s="449"/>
      <c r="AT1636" s="452"/>
      <c r="AU1636" s="457"/>
      <c r="AV1636" s="449"/>
      <c r="AW1636" s="458"/>
      <c r="AX1636" s="452"/>
      <c r="AY1636" s="457"/>
      <c r="AZ1636" s="449"/>
      <c r="BA1636" s="459"/>
      <c r="BB1636" s="455"/>
      <c r="BC1636" s="460"/>
      <c r="BD1636" s="460"/>
      <c r="BG1636" s="462"/>
    </row>
    <row r="1637" spans="1:59" s="461" customFormat="1" ht="18" customHeight="1" x14ac:dyDescent="0.2">
      <c r="A1637" s="1368" t="str">
        <f t="shared" si="1231"/>
        <v>SIMANDOLAK - PENYEBERANGAN TANJUNG2009</v>
      </c>
      <c r="B1637" s="1373"/>
      <c r="C1637" s="488"/>
      <c r="D1637" s="489"/>
      <c r="E1637" s="558"/>
      <c r="F1637" s="559">
        <v>2009</v>
      </c>
      <c r="G1637" s="619">
        <v>0</v>
      </c>
      <c r="H1637" s="464">
        <f>IF(N1635-(F1637-F1635)&lt;=0,0,(N1635-(F1637-F1635)))</f>
        <v>2</v>
      </c>
      <c r="I1637" s="560"/>
      <c r="J1637" s="468">
        <f>F1637+N1637-1</f>
        <v>2010</v>
      </c>
      <c r="K1637" s="490">
        <f>IF(G1637=0,0,IF(H1637=10,100%,G1637/W1635))</f>
        <v>0</v>
      </c>
      <c r="L1637" s="469">
        <f t="shared" si="1232"/>
        <v>0</v>
      </c>
      <c r="M1637" s="683">
        <f>IF(OR(AND(ISBLANK(E1637),ISBLANK(G1637)),ISTEXT(E1637),ISTEXT(G1637)),"",IF(H1637+L1637&gt;$H$8,$H$8-H1637,L1637))</f>
        <v>0</v>
      </c>
      <c r="N1637" s="470">
        <f>IF(OR(AND(ISBLANK(F1637),ISBLANK(G1637)),ISTEXT(F1637),ISTEXT(G1637)),"",H1637+M1637)</f>
        <v>2</v>
      </c>
      <c r="O1637" s="468">
        <f>F1637+N1637-1</f>
        <v>2010</v>
      </c>
      <c r="P1637" s="616">
        <f t="shared" si="1233"/>
        <v>840000000</v>
      </c>
      <c r="Q1637" s="472">
        <f t="shared" si="1234"/>
        <v>840000000</v>
      </c>
      <c r="R1637" s="472">
        <f>IF(L1637=0,R1636,Q1637/N1637)</f>
        <v>105000000</v>
      </c>
      <c r="S1637" s="1189">
        <f t="shared" si="1229"/>
        <v>2009</v>
      </c>
      <c r="T1637" s="470">
        <f t="shared" si="1235"/>
        <v>7</v>
      </c>
      <c r="U1637" s="612">
        <f t="shared" si="1230"/>
        <v>735000000</v>
      </c>
      <c r="V1637" s="464">
        <f t="shared" si="1236"/>
        <v>2009</v>
      </c>
      <c r="W1637" s="612">
        <f t="shared" si="1237"/>
        <v>105000000</v>
      </c>
      <c r="X1637" s="561"/>
      <c r="Y1637" s="449"/>
      <c r="Z1637" s="449"/>
      <c r="AA1637" s="693"/>
      <c r="AB1637" s="452"/>
      <c r="AC1637" s="452"/>
      <c r="AD1637" s="571"/>
      <c r="AE1637" s="452"/>
      <c r="AF1637" s="571"/>
      <c r="AG1637" s="452"/>
      <c r="AH1637" s="452"/>
      <c r="AI1637" s="453"/>
      <c r="AJ1637" s="449"/>
      <c r="AK1637" s="453"/>
      <c r="AL1637" s="454"/>
      <c r="AM1637" s="455"/>
      <c r="AN1637" s="456"/>
      <c r="AO1637" s="455"/>
      <c r="AP1637" s="452"/>
      <c r="AQ1637" s="457"/>
      <c r="AR1637" s="449"/>
      <c r="AS1637" s="449"/>
      <c r="AT1637" s="452"/>
      <c r="AU1637" s="457"/>
      <c r="AV1637" s="449"/>
      <c r="AW1637" s="458"/>
      <c r="AX1637" s="452"/>
      <c r="AY1637" s="457"/>
      <c r="AZ1637" s="449"/>
      <c r="BA1637" s="459"/>
      <c r="BB1637" s="455"/>
      <c r="BC1637" s="460"/>
      <c r="BD1637" s="460"/>
      <c r="BG1637" s="462"/>
    </row>
    <row r="1638" spans="1:59" s="461" customFormat="1" ht="18" customHeight="1" x14ac:dyDescent="0.2">
      <c r="A1638" s="1368" t="str">
        <f t="shared" si="1231"/>
        <v>SIMANDOLAK - PENYEBERANGAN TANJUNG2010</v>
      </c>
      <c r="B1638" s="1373"/>
      <c r="C1638" s="488"/>
      <c r="D1638" s="489"/>
      <c r="E1638" s="558"/>
      <c r="F1638" s="559">
        <v>2010</v>
      </c>
      <c r="G1638" s="619">
        <v>0</v>
      </c>
      <c r="H1638" s="464">
        <f>IF(N1637-(F1638-F1637)&lt;=0,0,(N1637-(F1638-F1637)))</f>
        <v>1</v>
      </c>
      <c r="I1638" s="560"/>
      <c r="J1638" s="468">
        <f t="shared" ref="J1638:J1646" si="1238">F1638+N1638-1</f>
        <v>2010</v>
      </c>
      <c r="K1638" s="490">
        <f t="shared" ref="K1638:K1646" si="1239">IF(G1638=0,0,IF(H1638=10,100%,G1638/W1637))</f>
        <v>0</v>
      </c>
      <c r="L1638" s="469">
        <f t="shared" si="1232"/>
        <v>0</v>
      </c>
      <c r="M1638" s="683">
        <f t="shared" ref="M1638:M1646" si="1240">IF(OR(AND(ISBLANK(E1638),ISBLANK(G1638)),ISTEXT(E1638),ISTEXT(G1638)),"",IF(H1638+L1638&gt;$H$8,$H$8-H1638,L1638))</f>
        <v>0</v>
      </c>
      <c r="N1638" s="470">
        <f t="shared" ref="N1638:N1646" si="1241">IF(OR(AND(ISBLANK(F1638),ISBLANK(G1638)),ISTEXT(F1638),ISTEXT(G1638)),"",H1638+M1638)</f>
        <v>1</v>
      </c>
      <c r="O1638" s="468">
        <f t="shared" ref="O1638:O1646" si="1242">F1638+N1638-1</f>
        <v>2010</v>
      </c>
      <c r="P1638" s="616">
        <f t="shared" si="1233"/>
        <v>105000000</v>
      </c>
      <c r="Q1638" s="472">
        <f t="shared" si="1234"/>
        <v>105000000</v>
      </c>
      <c r="R1638" s="472">
        <f>IF(L1638=0,R1637,Q1638/N1638)</f>
        <v>105000000</v>
      </c>
      <c r="S1638" s="1189">
        <f t="shared" si="1229"/>
        <v>2010</v>
      </c>
      <c r="T1638" s="470">
        <f t="shared" si="1235"/>
        <v>1</v>
      </c>
      <c r="U1638" s="612">
        <f t="shared" si="1230"/>
        <v>105000000</v>
      </c>
      <c r="V1638" s="464">
        <f t="shared" si="1236"/>
        <v>2010</v>
      </c>
      <c r="W1638" s="612">
        <f t="shared" si="1237"/>
        <v>0</v>
      </c>
      <c r="X1638" s="561"/>
      <c r="Y1638" s="449"/>
      <c r="Z1638" s="449"/>
      <c r="AA1638" s="693"/>
      <c r="AB1638" s="452"/>
      <c r="AC1638" s="452"/>
      <c r="AD1638" s="571"/>
      <c r="AE1638" s="452"/>
      <c r="AF1638" s="571"/>
      <c r="AG1638" s="452"/>
      <c r="AH1638" s="452"/>
      <c r="AI1638" s="453"/>
      <c r="AJ1638" s="449"/>
      <c r="AK1638" s="453"/>
      <c r="AL1638" s="454"/>
      <c r="AM1638" s="455"/>
      <c r="AN1638" s="456"/>
      <c r="AO1638" s="455"/>
      <c r="AP1638" s="452"/>
      <c r="AQ1638" s="457"/>
      <c r="AR1638" s="449"/>
      <c r="AS1638" s="449"/>
      <c r="AT1638" s="452"/>
      <c r="AU1638" s="457"/>
      <c r="AV1638" s="449"/>
      <c r="AW1638" s="458"/>
      <c r="AX1638" s="452"/>
      <c r="AY1638" s="457"/>
      <c r="AZ1638" s="449"/>
      <c r="BA1638" s="459"/>
      <c r="BB1638" s="455"/>
      <c r="BC1638" s="460"/>
      <c r="BD1638" s="460"/>
      <c r="BG1638" s="462"/>
    </row>
    <row r="1639" spans="1:59" s="461" customFormat="1" ht="18" customHeight="1" x14ac:dyDescent="0.2">
      <c r="A1639" s="1368" t="str">
        <f t="shared" si="1231"/>
        <v>SIMANDOLAK - PENYEBERANGAN TANJUNG2011</v>
      </c>
      <c r="B1639" s="1373"/>
      <c r="C1639" s="488"/>
      <c r="D1639" s="489"/>
      <c r="E1639" s="558"/>
      <c r="F1639" s="559">
        <v>2011</v>
      </c>
      <c r="G1639" s="619">
        <v>0</v>
      </c>
      <c r="H1639" s="464">
        <f>IF(N1638-(F1639-F1638)&lt;=0,0,(N1638-(F1639-F1638)))</f>
        <v>0</v>
      </c>
      <c r="I1639" s="560"/>
      <c r="J1639" s="468">
        <f t="shared" si="1238"/>
        <v>2010</v>
      </c>
      <c r="K1639" s="490">
        <f t="shared" si="1239"/>
        <v>0</v>
      </c>
      <c r="L1639" s="469">
        <f t="shared" si="1232"/>
        <v>0</v>
      </c>
      <c r="M1639" s="683">
        <f t="shared" si="1240"/>
        <v>0</v>
      </c>
      <c r="N1639" s="470">
        <f t="shared" si="1241"/>
        <v>0</v>
      </c>
      <c r="O1639" s="468">
        <f t="shared" si="1242"/>
        <v>2010</v>
      </c>
      <c r="P1639" s="616">
        <f t="shared" si="1233"/>
        <v>0</v>
      </c>
      <c r="Q1639" s="472">
        <f t="shared" si="1234"/>
        <v>0</v>
      </c>
      <c r="R1639" s="472">
        <v>0</v>
      </c>
      <c r="S1639" s="1189">
        <f t="shared" si="1229"/>
        <v>2011</v>
      </c>
      <c r="T1639" s="470">
        <f t="shared" si="1235"/>
        <v>1</v>
      </c>
      <c r="U1639" s="612">
        <f t="shared" si="1230"/>
        <v>0</v>
      </c>
      <c r="V1639" s="464">
        <f t="shared" si="1236"/>
        <v>2011</v>
      </c>
      <c r="W1639" s="612">
        <f t="shared" si="1237"/>
        <v>0</v>
      </c>
      <c r="X1639" s="561"/>
      <c r="Y1639" s="449"/>
      <c r="Z1639" s="449"/>
      <c r="AA1639" s="693"/>
      <c r="AB1639" s="452"/>
      <c r="AC1639" s="452"/>
      <c r="AD1639" s="571"/>
      <c r="AE1639" s="452"/>
      <c r="AF1639" s="571"/>
      <c r="AG1639" s="452"/>
      <c r="AH1639" s="452"/>
      <c r="AI1639" s="453"/>
      <c r="AJ1639" s="449"/>
      <c r="AK1639" s="453"/>
      <c r="AL1639" s="454"/>
      <c r="AM1639" s="455"/>
      <c r="AN1639" s="456"/>
      <c r="AO1639" s="455"/>
      <c r="AP1639" s="452"/>
      <c r="AQ1639" s="457"/>
      <c r="AR1639" s="449"/>
      <c r="AS1639" s="449"/>
      <c r="AT1639" s="452"/>
      <c r="AU1639" s="457"/>
      <c r="AV1639" s="449"/>
      <c r="AW1639" s="458"/>
      <c r="AX1639" s="452"/>
      <c r="AY1639" s="457"/>
      <c r="AZ1639" s="449"/>
      <c r="BA1639" s="459"/>
      <c r="BB1639" s="455"/>
      <c r="BC1639" s="460"/>
      <c r="BD1639" s="460"/>
      <c r="BG1639" s="462"/>
    </row>
    <row r="1640" spans="1:59" s="461" customFormat="1" ht="18" customHeight="1" x14ac:dyDescent="0.2">
      <c r="A1640" s="1368" t="str">
        <f t="shared" si="1231"/>
        <v>SIMANDOLAK - PENYEBERANGAN TANJUNG2012</v>
      </c>
      <c r="B1640" s="1373"/>
      <c r="C1640" s="488"/>
      <c r="D1640" s="489"/>
      <c r="E1640" s="558"/>
      <c r="F1640" s="559">
        <v>2012</v>
      </c>
      <c r="G1640" s="619">
        <v>0</v>
      </c>
      <c r="H1640" s="464">
        <f>IF(N1639-(F1640-F1639)&lt;=0,0,(N1639-(F1640-F1639)))</f>
        <v>0</v>
      </c>
      <c r="I1640" s="560"/>
      <c r="J1640" s="468">
        <f t="shared" si="1238"/>
        <v>2011</v>
      </c>
      <c r="K1640" s="490">
        <f t="shared" si="1239"/>
        <v>0</v>
      </c>
      <c r="L1640" s="469">
        <f t="shared" si="1232"/>
        <v>0</v>
      </c>
      <c r="M1640" s="683">
        <f t="shared" si="1240"/>
        <v>0</v>
      </c>
      <c r="N1640" s="470">
        <f t="shared" si="1241"/>
        <v>0</v>
      </c>
      <c r="O1640" s="468">
        <f t="shared" si="1242"/>
        <v>2011</v>
      </c>
      <c r="P1640" s="616">
        <f t="shared" si="1233"/>
        <v>0</v>
      </c>
      <c r="Q1640" s="472">
        <f t="shared" si="1234"/>
        <v>0</v>
      </c>
      <c r="R1640" s="472">
        <f t="shared" ref="R1640:R1646" si="1243">IF(L1640=0,R1639,Q1640/N1640)</f>
        <v>0</v>
      </c>
      <c r="S1640" s="1189">
        <f t="shared" si="1229"/>
        <v>2012</v>
      </c>
      <c r="T1640" s="470">
        <f t="shared" si="1235"/>
        <v>1</v>
      </c>
      <c r="U1640" s="612">
        <f t="shared" si="1230"/>
        <v>0</v>
      </c>
      <c r="V1640" s="464">
        <f t="shared" si="1236"/>
        <v>2012</v>
      </c>
      <c r="W1640" s="612">
        <f t="shared" si="1237"/>
        <v>0</v>
      </c>
      <c r="X1640" s="561"/>
      <c r="Y1640" s="449"/>
      <c r="Z1640" s="449"/>
      <c r="AA1640" s="693"/>
      <c r="AB1640" s="452"/>
      <c r="AC1640" s="452"/>
      <c r="AD1640" s="571"/>
      <c r="AE1640" s="452"/>
      <c r="AF1640" s="571"/>
      <c r="AG1640" s="452"/>
      <c r="AH1640" s="452"/>
      <c r="AI1640" s="453"/>
      <c r="AJ1640" s="449"/>
      <c r="AK1640" s="453"/>
      <c r="AL1640" s="454"/>
      <c r="AM1640" s="455"/>
      <c r="AN1640" s="456"/>
      <c r="AO1640" s="455"/>
      <c r="AP1640" s="452"/>
      <c r="AQ1640" s="457"/>
      <c r="AR1640" s="449"/>
      <c r="AS1640" s="449"/>
      <c r="AT1640" s="452"/>
      <c r="AU1640" s="457"/>
      <c r="AV1640" s="449"/>
      <c r="AW1640" s="458"/>
      <c r="AX1640" s="452"/>
      <c r="AY1640" s="457"/>
      <c r="AZ1640" s="449"/>
      <c r="BA1640" s="459"/>
      <c r="BB1640" s="455"/>
      <c r="BC1640" s="460"/>
      <c r="BD1640" s="460"/>
      <c r="BG1640" s="462"/>
    </row>
    <row r="1641" spans="1:59" s="461" customFormat="1" ht="18" customHeight="1" x14ac:dyDescent="0.2">
      <c r="A1641" s="1368" t="str">
        <f t="shared" si="1231"/>
        <v>SIMANDOLAK - PENYEBERANGAN TANJUNG2013</v>
      </c>
      <c r="B1641" s="1373"/>
      <c r="C1641" s="488"/>
      <c r="D1641" s="489"/>
      <c r="E1641" s="558"/>
      <c r="F1641" s="559">
        <v>2013</v>
      </c>
      <c r="G1641" s="619">
        <v>0</v>
      </c>
      <c r="H1641" s="464">
        <f>IF(N1640-(F1641-F1640)&lt;=0,0,(N1640-(F1641-F1640)))</f>
        <v>0</v>
      </c>
      <c r="I1641" s="560"/>
      <c r="J1641" s="468">
        <f t="shared" si="1238"/>
        <v>2012</v>
      </c>
      <c r="K1641" s="490">
        <f t="shared" si="1239"/>
        <v>0</v>
      </c>
      <c r="L1641" s="469">
        <f t="shared" si="1232"/>
        <v>0</v>
      </c>
      <c r="M1641" s="683">
        <f t="shared" si="1240"/>
        <v>0</v>
      </c>
      <c r="N1641" s="470">
        <f t="shared" si="1241"/>
        <v>0</v>
      </c>
      <c r="O1641" s="468">
        <f t="shared" si="1242"/>
        <v>2012</v>
      </c>
      <c r="P1641" s="616">
        <f t="shared" si="1233"/>
        <v>0</v>
      </c>
      <c r="Q1641" s="472">
        <f t="shared" si="1234"/>
        <v>0</v>
      </c>
      <c r="R1641" s="472">
        <f t="shared" si="1243"/>
        <v>0</v>
      </c>
      <c r="S1641" s="1189">
        <f t="shared" si="1229"/>
        <v>2013</v>
      </c>
      <c r="T1641" s="470">
        <f t="shared" si="1235"/>
        <v>1</v>
      </c>
      <c r="U1641" s="612">
        <f t="shared" si="1230"/>
        <v>0</v>
      </c>
      <c r="V1641" s="464">
        <f t="shared" si="1236"/>
        <v>2013</v>
      </c>
      <c r="W1641" s="612">
        <f t="shared" si="1237"/>
        <v>0</v>
      </c>
      <c r="X1641" s="561"/>
      <c r="Y1641" s="449"/>
      <c r="Z1641" s="449"/>
      <c r="AA1641" s="693"/>
      <c r="AB1641" s="452"/>
      <c r="AC1641" s="452"/>
      <c r="AD1641" s="571"/>
      <c r="AE1641" s="452"/>
      <c r="AF1641" s="571"/>
      <c r="AG1641" s="452"/>
      <c r="AH1641" s="452"/>
      <c r="AI1641" s="453"/>
      <c r="AJ1641" s="449"/>
      <c r="AK1641" s="453"/>
      <c r="AL1641" s="454"/>
      <c r="AM1641" s="455"/>
      <c r="AN1641" s="456"/>
      <c r="AO1641" s="455"/>
      <c r="AP1641" s="452"/>
      <c r="AQ1641" s="457"/>
      <c r="AR1641" s="449"/>
      <c r="AS1641" s="449"/>
      <c r="AT1641" s="452"/>
      <c r="AU1641" s="457"/>
      <c r="AV1641" s="449"/>
      <c r="AW1641" s="458"/>
      <c r="AX1641" s="452"/>
      <c r="AY1641" s="457"/>
      <c r="AZ1641" s="449"/>
      <c r="BA1641" s="459"/>
      <c r="BB1641" s="455"/>
      <c r="BC1641" s="460"/>
      <c r="BD1641" s="460"/>
      <c r="BG1641" s="462"/>
    </row>
    <row r="1642" spans="1:59" s="461" customFormat="1" ht="18" customHeight="1" x14ac:dyDescent="0.2">
      <c r="A1642" s="1368" t="str">
        <f t="shared" si="1231"/>
        <v>SIMANDOLAK - PENYEBERANGAN TANJUNG2014</v>
      </c>
      <c r="B1642" s="1373">
        <v>2</v>
      </c>
      <c r="C1642" s="488" t="s">
        <v>1333</v>
      </c>
      <c r="D1642" s="489" t="s">
        <v>3821</v>
      </c>
      <c r="E1642" s="558"/>
      <c r="F1642" s="559">
        <v>2014</v>
      </c>
      <c r="G1642" s="619">
        <v>197566438</v>
      </c>
      <c r="H1642" s="557">
        <f>VLOOKUP(LEFT(D1642,8),UE,4)</f>
        <v>10</v>
      </c>
      <c r="I1642" s="560"/>
      <c r="J1642" s="468">
        <f t="shared" si="1238"/>
        <v>2023</v>
      </c>
      <c r="K1642" s="490">
        <f t="shared" si="1239"/>
        <v>1</v>
      </c>
      <c r="L1642" s="469">
        <f t="shared" si="1232"/>
        <v>10</v>
      </c>
      <c r="M1642" s="683">
        <f t="shared" si="1240"/>
        <v>0</v>
      </c>
      <c r="N1642" s="470">
        <f t="shared" si="1241"/>
        <v>10</v>
      </c>
      <c r="O1642" s="468">
        <f t="shared" si="1242"/>
        <v>2023</v>
      </c>
      <c r="P1642" s="616">
        <f t="shared" si="1233"/>
        <v>0</v>
      </c>
      <c r="Q1642" s="472">
        <f t="shared" si="1234"/>
        <v>197566438</v>
      </c>
      <c r="R1642" s="472">
        <f t="shared" si="1243"/>
        <v>19756643.800000001</v>
      </c>
      <c r="S1642" s="1189">
        <f t="shared" si="1229"/>
        <v>2014</v>
      </c>
      <c r="T1642" s="470">
        <f t="shared" si="1235"/>
        <v>1</v>
      </c>
      <c r="U1642" s="612">
        <f t="shared" si="1230"/>
        <v>19756643.800000001</v>
      </c>
      <c r="V1642" s="464">
        <f t="shared" si="1236"/>
        <v>2014</v>
      </c>
      <c r="W1642" s="612">
        <f t="shared" si="1237"/>
        <v>177809794.19999999</v>
      </c>
      <c r="X1642" s="561"/>
      <c r="Y1642" s="449"/>
      <c r="Z1642" s="449"/>
      <c r="AA1642" s="694"/>
      <c r="AB1642" s="692"/>
      <c r="AC1642" s="692"/>
      <c r="AD1642" s="695"/>
      <c r="AE1642" s="452"/>
      <c r="AF1642" s="571"/>
      <c r="AG1642" s="452"/>
      <c r="AH1642" s="452"/>
      <c r="AI1642" s="453"/>
      <c r="AJ1642" s="449"/>
      <c r="AK1642" s="453"/>
      <c r="AL1642" s="454"/>
      <c r="AM1642" s="455"/>
      <c r="AN1642" s="456"/>
      <c r="AO1642" s="455"/>
      <c r="AP1642" s="452"/>
      <c r="AQ1642" s="457"/>
      <c r="AR1642" s="449"/>
      <c r="AS1642" s="449"/>
      <c r="AT1642" s="452"/>
      <c r="AU1642" s="457"/>
      <c r="AV1642" s="449"/>
      <c r="AW1642" s="458"/>
      <c r="AX1642" s="452"/>
      <c r="AY1642" s="457"/>
      <c r="AZ1642" s="449"/>
      <c r="BA1642" s="459"/>
      <c r="BB1642" s="455"/>
      <c r="BC1642" s="460"/>
      <c r="BD1642" s="460"/>
      <c r="BG1642" s="462"/>
    </row>
    <row r="1643" spans="1:59" s="461" customFormat="1" ht="18" customHeight="1" x14ac:dyDescent="0.2">
      <c r="A1643" s="1368" t="str">
        <f t="shared" si="1231"/>
        <v>SIMANDOLAK - PENYEBERANGAN TANJUNG2015</v>
      </c>
      <c r="B1643" s="1373"/>
      <c r="C1643" s="488"/>
      <c r="D1643" s="489"/>
      <c r="E1643" s="558"/>
      <c r="F1643" s="559">
        <v>2015</v>
      </c>
      <c r="G1643" s="619">
        <v>0</v>
      </c>
      <c r="H1643" s="464">
        <f>IF(N1642-(F1643-F1642)&lt;=0,0,(N1642-(F1643-F1642)))</f>
        <v>9</v>
      </c>
      <c r="I1643" s="560"/>
      <c r="J1643" s="468">
        <f t="shared" si="1238"/>
        <v>2023</v>
      </c>
      <c r="K1643" s="490">
        <f t="shared" si="1239"/>
        <v>0</v>
      </c>
      <c r="L1643" s="469">
        <f t="shared" si="1232"/>
        <v>0</v>
      </c>
      <c r="M1643" s="683">
        <f t="shared" si="1240"/>
        <v>0</v>
      </c>
      <c r="N1643" s="470">
        <f t="shared" si="1241"/>
        <v>9</v>
      </c>
      <c r="O1643" s="468">
        <f t="shared" si="1242"/>
        <v>2023</v>
      </c>
      <c r="P1643" s="616">
        <f t="shared" si="1233"/>
        <v>177809794.19999999</v>
      </c>
      <c r="Q1643" s="472">
        <f t="shared" si="1234"/>
        <v>177809794.19999999</v>
      </c>
      <c r="R1643" s="472">
        <f t="shared" si="1243"/>
        <v>19756643.800000001</v>
      </c>
      <c r="S1643" s="1189">
        <f t="shared" si="1229"/>
        <v>2015</v>
      </c>
      <c r="T1643" s="470">
        <f t="shared" si="1235"/>
        <v>1</v>
      </c>
      <c r="U1643" s="612">
        <f t="shared" si="1230"/>
        <v>19756643.800000001</v>
      </c>
      <c r="V1643" s="464">
        <f t="shared" si="1236"/>
        <v>2015</v>
      </c>
      <c r="W1643" s="612">
        <f t="shared" si="1237"/>
        <v>158053150.39999998</v>
      </c>
      <c r="X1643" s="561"/>
      <c r="Y1643" s="449"/>
      <c r="Z1643" s="449"/>
      <c r="AA1643" s="554" t="s">
        <v>4179</v>
      </c>
      <c r="AB1643" s="452"/>
      <c r="AC1643" s="452"/>
      <c r="AD1643" s="566"/>
      <c r="AE1643" s="452"/>
      <c r="AF1643" s="571"/>
      <c r="AG1643" s="452"/>
      <c r="AH1643" s="452"/>
      <c r="AI1643" s="453"/>
      <c r="AJ1643" s="449"/>
      <c r="AK1643" s="453"/>
      <c r="AL1643" s="454"/>
      <c r="AM1643" s="455"/>
      <c r="AN1643" s="456"/>
      <c r="AO1643" s="455"/>
      <c r="AP1643" s="452"/>
      <c r="AQ1643" s="457"/>
      <c r="AR1643" s="449"/>
      <c r="AS1643" s="449"/>
      <c r="AT1643" s="452"/>
      <c r="AU1643" s="457"/>
      <c r="AV1643" s="449"/>
      <c r="AW1643" s="458"/>
      <c r="AX1643" s="452"/>
      <c r="AY1643" s="457"/>
      <c r="AZ1643" s="449"/>
      <c r="BA1643" s="459"/>
      <c r="BB1643" s="455"/>
      <c r="BC1643" s="460"/>
      <c r="BD1643" s="460"/>
      <c r="BG1643" s="462"/>
    </row>
    <row r="1644" spans="1:59" s="461" customFormat="1" ht="18" customHeight="1" x14ac:dyDescent="0.2">
      <c r="A1644" s="1368" t="str">
        <f t="shared" si="1231"/>
        <v>SIMANDOLAK - PENYEBERANGAN TANJUNG2016</v>
      </c>
      <c r="B1644" s="1373"/>
      <c r="C1644" s="488"/>
      <c r="D1644" s="489"/>
      <c r="E1644" s="558"/>
      <c r="F1644" s="559">
        <v>2016</v>
      </c>
      <c r="G1644" s="619">
        <v>0</v>
      </c>
      <c r="H1644" s="464">
        <f>IF(N1643-(F1644-F1643)&lt;=0,0,(N1643-(F1644-F1643)))</f>
        <v>8</v>
      </c>
      <c r="I1644" s="560"/>
      <c r="J1644" s="468">
        <f t="shared" si="1238"/>
        <v>2023</v>
      </c>
      <c r="K1644" s="490">
        <f t="shared" si="1239"/>
        <v>0</v>
      </c>
      <c r="L1644" s="469">
        <f t="shared" si="1232"/>
        <v>0</v>
      </c>
      <c r="M1644" s="683">
        <f t="shared" si="1240"/>
        <v>0</v>
      </c>
      <c r="N1644" s="470">
        <f t="shared" si="1241"/>
        <v>8</v>
      </c>
      <c r="O1644" s="468">
        <f t="shared" si="1242"/>
        <v>2023</v>
      </c>
      <c r="P1644" s="616">
        <f t="shared" si="1233"/>
        <v>158053150.39999998</v>
      </c>
      <c r="Q1644" s="472">
        <f t="shared" si="1234"/>
        <v>158053150.39999998</v>
      </c>
      <c r="R1644" s="472">
        <f t="shared" si="1243"/>
        <v>19756643.800000001</v>
      </c>
      <c r="S1644" s="1189">
        <f t="shared" si="1229"/>
        <v>2016</v>
      </c>
      <c r="T1644" s="470">
        <f t="shared" si="1235"/>
        <v>1</v>
      </c>
      <c r="U1644" s="612">
        <f t="shared" si="1230"/>
        <v>19756643.800000001</v>
      </c>
      <c r="V1644" s="464">
        <f t="shared" si="1236"/>
        <v>2016</v>
      </c>
      <c r="W1644" s="612">
        <f t="shared" si="1237"/>
        <v>138296506.59999996</v>
      </c>
      <c r="X1644" s="561"/>
      <c r="Y1644" s="449"/>
      <c r="Z1644" s="449"/>
      <c r="AA1644" s="554"/>
      <c r="AB1644" s="452"/>
      <c r="AC1644" s="452"/>
      <c r="AD1644" s="566"/>
      <c r="AE1644" s="452"/>
      <c r="AF1644" s="571"/>
      <c r="AG1644" s="452"/>
      <c r="AH1644" s="452"/>
      <c r="AI1644" s="453"/>
      <c r="AJ1644" s="449"/>
      <c r="AK1644" s="453"/>
      <c r="AL1644" s="454"/>
      <c r="AM1644" s="455"/>
      <c r="AN1644" s="456"/>
      <c r="AO1644" s="455"/>
      <c r="AP1644" s="452"/>
      <c r="AQ1644" s="457"/>
      <c r="AR1644" s="449"/>
      <c r="AS1644" s="449"/>
      <c r="AT1644" s="452"/>
      <c r="AU1644" s="457"/>
      <c r="AV1644" s="449"/>
      <c r="AW1644" s="458"/>
      <c r="AX1644" s="452"/>
      <c r="AY1644" s="457"/>
      <c r="AZ1644" s="449"/>
      <c r="BA1644" s="459"/>
      <c r="BB1644" s="455"/>
      <c r="BC1644" s="460"/>
      <c r="BD1644" s="460"/>
      <c r="BG1644" s="462"/>
    </row>
    <row r="1645" spans="1:59" s="486" customFormat="1" ht="18" customHeight="1" x14ac:dyDescent="0.2">
      <c r="A1645" s="1368" t="str">
        <f t="shared" si="1231"/>
        <v>SIMANDOLAK - PENYEBERANGAN TANJUNG2017</v>
      </c>
      <c r="B1645" s="1373"/>
      <c r="C1645" s="488"/>
      <c r="D1645" s="489"/>
      <c r="E1645" s="558"/>
      <c r="F1645" s="559">
        <v>2017</v>
      </c>
      <c r="G1645" s="619">
        <v>0</v>
      </c>
      <c r="H1645" s="464">
        <f>IF(N1644-(F1645-F1644)&lt;=0,0,(N1644-(F1645-F1644)))</f>
        <v>7</v>
      </c>
      <c r="I1645" s="560"/>
      <c r="J1645" s="468">
        <f t="shared" si="1238"/>
        <v>2023</v>
      </c>
      <c r="K1645" s="490">
        <f t="shared" si="1239"/>
        <v>0</v>
      </c>
      <c r="L1645" s="469">
        <f t="shared" si="1232"/>
        <v>0</v>
      </c>
      <c r="M1645" s="683">
        <f t="shared" si="1240"/>
        <v>0</v>
      </c>
      <c r="N1645" s="470">
        <f t="shared" si="1241"/>
        <v>7</v>
      </c>
      <c r="O1645" s="468">
        <f t="shared" si="1242"/>
        <v>2023</v>
      </c>
      <c r="P1645" s="616">
        <f t="shared" si="1233"/>
        <v>138296506.59999996</v>
      </c>
      <c r="Q1645" s="472">
        <f t="shared" si="1234"/>
        <v>138296506.59999996</v>
      </c>
      <c r="R1645" s="472">
        <f t="shared" si="1243"/>
        <v>19756643.800000001</v>
      </c>
      <c r="S1645" s="1189">
        <f t="shared" si="1229"/>
        <v>2017</v>
      </c>
      <c r="T1645" s="470">
        <f t="shared" si="1235"/>
        <v>1</v>
      </c>
      <c r="U1645" s="612">
        <f t="shared" si="1230"/>
        <v>19756643.800000001</v>
      </c>
      <c r="V1645" s="464">
        <f t="shared" si="1236"/>
        <v>2017</v>
      </c>
      <c r="W1645" s="612">
        <f t="shared" si="1237"/>
        <v>118539862.79999997</v>
      </c>
      <c r="X1645" s="561"/>
      <c r="Y1645" s="474"/>
      <c r="Z1645" s="449"/>
      <c r="AA1645" s="475" t="s">
        <v>4180</v>
      </c>
      <c r="AB1645" s="476"/>
      <c r="AC1645" s="476"/>
      <c r="AD1645" s="567">
        <f>G1650</f>
        <v>1247566438</v>
      </c>
      <c r="AE1645" s="476"/>
      <c r="AF1645" s="568"/>
      <c r="AG1645" s="476"/>
      <c r="AH1645" s="476"/>
      <c r="AI1645" s="477"/>
      <c r="AJ1645" s="478"/>
      <c r="AK1645" s="479"/>
      <c r="AL1645" s="480"/>
      <c r="AM1645" s="474"/>
      <c r="AN1645" s="481"/>
      <c r="AO1645" s="474"/>
      <c r="AP1645" s="476"/>
      <c r="AQ1645" s="482"/>
      <c r="AR1645" s="478"/>
      <c r="AS1645" s="478"/>
      <c r="AT1645" s="476"/>
      <c r="AU1645" s="482"/>
      <c r="AV1645" s="478"/>
      <c r="AW1645" s="483"/>
      <c r="AX1645" s="476"/>
      <c r="AY1645" s="482"/>
      <c r="AZ1645" s="478"/>
      <c r="BA1645" s="484"/>
      <c r="BB1645" s="474"/>
      <c r="BC1645" s="485"/>
      <c r="BD1645" s="485"/>
      <c r="BG1645" s="487"/>
    </row>
    <row r="1646" spans="1:59" s="486" customFormat="1" ht="18" customHeight="1" x14ac:dyDescent="0.2">
      <c r="A1646" s="1368" t="str">
        <f t="shared" si="1231"/>
        <v>SIMANDOLAK - PENYEBERANGAN TANJUNG2018</v>
      </c>
      <c r="B1646" s="1373"/>
      <c r="C1646" s="488"/>
      <c r="D1646" s="489"/>
      <c r="E1646" s="558"/>
      <c r="F1646" s="559">
        <v>2018</v>
      </c>
      <c r="G1646" s="619">
        <v>0</v>
      </c>
      <c r="H1646" s="464">
        <f>IF(N1645-(F1646-F1645)&lt;=0,0,(N1645-(F1646-F1645)))</f>
        <v>6</v>
      </c>
      <c r="I1646" s="560"/>
      <c r="J1646" s="468">
        <f t="shared" si="1238"/>
        <v>2023</v>
      </c>
      <c r="K1646" s="490">
        <f t="shared" si="1239"/>
        <v>0</v>
      </c>
      <c r="L1646" s="469">
        <f t="shared" si="1232"/>
        <v>0</v>
      </c>
      <c r="M1646" s="683">
        <f t="shared" si="1240"/>
        <v>0</v>
      </c>
      <c r="N1646" s="470">
        <f t="shared" si="1241"/>
        <v>6</v>
      </c>
      <c r="O1646" s="468">
        <f t="shared" si="1242"/>
        <v>2023</v>
      </c>
      <c r="P1646" s="616">
        <f t="shared" si="1233"/>
        <v>118539862.79999997</v>
      </c>
      <c r="Q1646" s="472">
        <f t="shared" si="1234"/>
        <v>118539862.79999997</v>
      </c>
      <c r="R1646" s="472">
        <f t="shared" si="1243"/>
        <v>19756643.800000001</v>
      </c>
      <c r="S1646" s="1189">
        <f t="shared" si="1229"/>
        <v>2018</v>
      </c>
      <c r="T1646" s="470">
        <f t="shared" si="1235"/>
        <v>1</v>
      </c>
      <c r="U1646" s="612">
        <f t="shared" si="1230"/>
        <v>19756643.800000001</v>
      </c>
      <c r="V1646" s="464">
        <f t="shared" si="1236"/>
        <v>2018</v>
      </c>
      <c r="W1646" s="612">
        <f t="shared" si="1237"/>
        <v>98783218.99999997</v>
      </c>
      <c r="X1646" s="561"/>
      <c r="Y1646" s="478"/>
      <c r="Z1646" s="449"/>
      <c r="AA1646" s="475" t="s">
        <v>4181</v>
      </c>
      <c r="AB1646" s="491"/>
      <c r="AC1646" s="491"/>
      <c r="AD1646" s="567">
        <f>U1650</f>
        <v>1168539862.7999997</v>
      </c>
      <c r="AE1646" s="491"/>
      <c r="AF1646" s="568"/>
      <c r="AG1646" s="491"/>
      <c r="AH1646" s="491"/>
      <c r="AI1646" s="477"/>
      <c r="AJ1646" s="478"/>
      <c r="AK1646" s="479"/>
      <c r="AL1646" s="480"/>
      <c r="AM1646" s="474"/>
      <c r="AN1646" s="481"/>
      <c r="AO1646" s="474"/>
      <c r="AP1646" s="476"/>
      <c r="AQ1646" s="482"/>
      <c r="AR1646" s="478"/>
      <c r="AS1646" s="478"/>
      <c r="AT1646" s="476"/>
      <c r="AU1646" s="482"/>
      <c r="AV1646" s="478"/>
      <c r="AW1646" s="483"/>
      <c r="AX1646" s="476"/>
      <c r="AY1646" s="482"/>
      <c r="AZ1646" s="478"/>
      <c r="BA1646" s="484"/>
      <c r="BB1646" s="474"/>
      <c r="BC1646" s="485"/>
      <c r="BD1646" s="485"/>
      <c r="BG1646" s="487"/>
    </row>
    <row r="1647" spans="1:59" s="486" customFormat="1" ht="18" customHeight="1" x14ac:dyDescent="0.2">
      <c r="A1647" s="1368" t="str">
        <f t="shared" si="1231"/>
        <v>SIMANDOLAK - PENYEBERANGAN TANJUNG2019</v>
      </c>
      <c r="B1647" s="1373"/>
      <c r="C1647" s="488"/>
      <c r="D1647" s="489"/>
      <c r="E1647" s="558"/>
      <c r="F1647" s="559">
        <v>2019</v>
      </c>
      <c r="G1647" s="619">
        <v>0</v>
      </c>
      <c r="H1647" s="464">
        <f>IF(N1646-(F1647-F1646)&lt;=0,0,(N1646-(F1647-F1646)))</f>
        <v>5</v>
      </c>
      <c r="I1647" s="560"/>
      <c r="J1647" s="468">
        <f>F1647+N1647-1</f>
        <v>2023</v>
      </c>
      <c r="K1647" s="490">
        <f>IF(G1647=0,0,IF(H1647=10,100%,G1647/W1646))</f>
        <v>0</v>
      </c>
      <c r="L1647" s="469">
        <f>IF(K1647=0%,0,IF(K1647&lt;=30%,2,IF(K1647&lt;=60%,5,10)))</f>
        <v>0</v>
      </c>
      <c r="M1647" s="683">
        <f>IF(OR(AND(ISBLANK(E1647),ISBLANK(G1647)),ISTEXT(E1647),ISTEXT(G1647)),"",IF(H1647+L1647&gt;$H$8,$H$8-H1647,L1647))</f>
        <v>0</v>
      </c>
      <c r="N1647" s="470">
        <f>IF(OR(AND(ISBLANK(F1647),ISBLANK(G1647)),ISTEXT(F1647),ISTEXT(G1647)),"",H1647+M1647)</f>
        <v>5</v>
      </c>
      <c r="O1647" s="468">
        <f>F1647+N1647-1</f>
        <v>2023</v>
      </c>
      <c r="P1647" s="616">
        <f>W1646</f>
        <v>98783218.99999997</v>
      </c>
      <c r="Q1647" s="472">
        <f>P1647+G1647</f>
        <v>98783218.99999997</v>
      </c>
      <c r="R1647" s="472">
        <f>IF(L1647=0,R1646,Q1647/N1647)</f>
        <v>19756643.800000001</v>
      </c>
      <c r="S1647" s="1189">
        <f>F1647</f>
        <v>2019</v>
      </c>
      <c r="T1647" s="470">
        <f>S1647-S1646</f>
        <v>1</v>
      </c>
      <c r="U1647" s="612">
        <f>R1647*T1647</f>
        <v>19756643.800000001</v>
      </c>
      <c r="V1647" s="464">
        <f>F1647</f>
        <v>2019</v>
      </c>
      <c r="W1647" s="612">
        <f>IF(OR(AND(ISBLANK(E1647),ISBLANK(G1647)),ISTEXT(E1647),ISTEXT(G1647)),"",Q1647-U1647)</f>
        <v>79026575.199999973</v>
      </c>
      <c r="X1647" s="473"/>
      <c r="Y1647" s="478"/>
      <c r="Z1647" s="449"/>
      <c r="AA1647" s="492" t="s">
        <v>4182</v>
      </c>
      <c r="AB1647" s="476"/>
      <c r="AC1647" s="476"/>
      <c r="AD1647" s="567">
        <f>AD1645-AD1646</f>
        <v>79026575.200000286</v>
      </c>
      <c r="AE1647" s="476"/>
      <c r="AF1647" s="568"/>
      <c r="AG1647" s="476"/>
      <c r="AH1647" s="476"/>
      <c r="AI1647" s="477"/>
      <c r="AJ1647" s="478"/>
      <c r="AK1647" s="479"/>
      <c r="AL1647" s="480"/>
      <c r="AM1647" s="474"/>
      <c r="AN1647" s="481"/>
      <c r="AO1647" s="474"/>
      <c r="AP1647" s="476"/>
      <c r="AQ1647" s="482"/>
      <c r="AR1647" s="478"/>
      <c r="AS1647" s="478"/>
      <c r="AT1647" s="476"/>
      <c r="AU1647" s="482"/>
      <c r="AV1647" s="478"/>
      <c r="AW1647" s="483"/>
      <c r="AX1647" s="476"/>
      <c r="AY1647" s="482"/>
      <c r="AZ1647" s="478"/>
      <c r="BA1647" s="484"/>
      <c r="BB1647" s="474"/>
      <c r="BC1647" s="485"/>
      <c r="BD1647" s="485"/>
      <c r="BG1647" s="487"/>
    </row>
    <row r="1648" spans="1:59" s="486" customFormat="1" ht="18" customHeight="1" x14ac:dyDescent="0.2">
      <c r="A1648" s="1368" t="str">
        <f>LEFT(D1648,8)</f>
        <v/>
      </c>
      <c r="B1648" s="687"/>
      <c r="C1648" s="488"/>
      <c r="D1648" s="489"/>
      <c r="E1648" s="558"/>
      <c r="F1648" s="466"/>
      <c r="G1648" s="619"/>
      <c r="H1648" s="464"/>
      <c r="I1648" s="467"/>
      <c r="J1648" s="468"/>
      <c r="K1648" s="490"/>
      <c r="L1648" s="469"/>
      <c r="M1648" s="683"/>
      <c r="N1648" s="470"/>
      <c r="O1648" s="468"/>
      <c r="P1648" s="616"/>
      <c r="Q1648" s="472"/>
      <c r="R1648" s="472"/>
      <c r="S1648" s="1189"/>
      <c r="T1648" s="470"/>
      <c r="U1648" s="612"/>
      <c r="V1648" s="464"/>
      <c r="W1648" s="612"/>
      <c r="X1648" s="473"/>
      <c r="Y1648" s="478"/>
      <c r="Z1648" s="449"/>
      <c r="AA1648" s="531" t="s">
        <v>4183</v>
      </c>
      <c r="AB1648" s="496"/>
      <c r="AC1648" s="496"/>
      <c r="AD1648" s="569">
        <f>AD1647-W1650</f>
        <v>0</v>
      </c>
      <c r="AE1648" s="476"/>
      <c r="AF1648" s="568"/>
      <c r="AG1648" s="476"/>
      <c r="AH1648" s="476"/>
      <c r="AI1648" s="477"/>
      <c r="AJ1648" s="478"/>
      <c r="AK1648" s="479"/>
      <c r="AL1648" s="480"/>
      <c r="AM1648" s="474"/>
      <c r="AN1648" s="481"/>
      <c r="AO1648" s="474"/>
      <c r="AP1648" s="476"/>
      <c r="AQ1648" s="482"/>
      <c r="AR1648" s="478"/>
      <c r="AS1648" s="478"/>
      <c r="AT1648" s="476"/>
      <c r="AU1648" s="482"/>
      <c r="AV1648" s="478"/>
      <c r="AW1648" s="483"/>
      <c r="AX1648" s="476"/>
      <c r="AY1648" s="482"/>
      <c r="AZ1648" s="478"/>
      <c r="BA1648" s="484"/>
      <c r="BB1648" s="474"/>
      <c r="BC1648" s="485"/>
      <c r="BD1648" s="485"/>
      <c r="BG1648" s="487"/>
    </row>
    <row r="1649" spans="1:59" s="486" customFormat="1" ht="18" customHeight="1" x14ac:dyDescent="0.2">
      <c r="A1649" s="1368" t="str">
        <f>LEFT(D1649,8)</f>
        <v/>
      </c>
      <c r="B1649" s="687"/>
      <c r="C1649" s="463"/>
      <c r="D1649" s="489"/>
      <c r="E1649" s="465"/>
      <c r="F1649" s="466"/>
      <c r="G1649" s="620"/>
      <c r="H1649" s="464"/>
      <c r="I1649" s="467"/>
      <c r="J1649" s="468"/>
      <c r="K1649" s="574"/>
      <c r="L1649" s="469"/>
      <c r="M1649" s="683"/>
      <c r="N1649" s="470"/>
      <c r="O1649" s="468"/>
      <c r="P1649" s="616"/>
      <c r="Q1649" s="472"/>
      <c r="R1649" s="472"/>
      <c r="S1649" s="1189"/>
      <c r="T1649" s="470"/>
      <c r="U1649" s="612"/>
      <c r="V1649" s="464"/>
      <c r="W1649" s="612"/>
      <c r="X1649" s="473"/>
      <c r="Y1649" s="478"/>
      <c r="Z1649" s="449"/>
      <c r="AA1649" s="573"/>
      <c r="AB1649" s="476"/>
      <c r="AC1649" s="476"/>
      <c r="AD1649" s="568"/>
      <c r="AE1649" s="476"/>
      <c r="AF1649" s="568"/>
      <c r="AG1649" s="476"/>
      <c r="AH1649" s="476"/>
      <c r="AI1649" s="477"/>
      <c r="AJ1649" s="478"/>
      <c r="AK1649" s="479"/>
      <c r="AL1649" s="480"/>
      <c r="AM1649" s="474"/>
      <c r="AN1649" s="481"/>
      <c r="AO1649" s="474"/>
      <c r="AP1649" s="476"/>
      <c r="AQ1649" s="482"/>
      <c r="AR1649" s="478"/>
      <c r="AS1649" s="478"/>
      <c r="AT1649" s="476"/>
      <c r="AU1649" s="482"/>
      <c r="AV1649" s="478"/>
      <c r="AW1649" s="483"/>
      <c r="AX1649" s="476"/>
      <c r="AY1649" s="482"/>
      <c r="AZ1649" s="478"/>
      <c r="BA1649" s="484"/>
      <c r="BB1649" s="474"/>
      <c r="BC1649" s="485"/>
      <c r="BD1649" s="485"/>
      <c r="BG1649" s="487"/>
    </row>
    <row r="1650" spans="1:59" s="526" customFormat="1" ht="18" customHeight="1" x14ac:dyDescent="0.2">
      <c r="A1650" s="1370" t="s">
        <v>4184</v>
      </c>
      <c r="B1650" s="1956" t="s">
        <v>4184</v>
      </c>
      <c r="C1650" s="1957"/>
      <c r="D1650" s="1957"/>
      <c r="E1650" s="1957"/>
      <c r="F1650" s="1958"/>
      <c r="G1650" s="624">
        <f>SUM(G1635:G1649)</f>
        <v>1247566438</v>
      </c>
      <c r="H1650" s="505"/>
      <c r="I1650" s="506"/>
      <c r="J1650" s="507"/>
      <c r="K1650" s="507"/>
      <c r="L1650" s="505"/>
      <c r="M1650" s="684"/>
      <c r="N1650" s="508"/>
      <c r="O1650" s="507"/>
      <c r="P1650" s="749"/>
      <c r="Q1650" s="510"/>
      <c r="R1650" s="511"/>
      <c r="S1650" s="512"/>
      <c r="T1650" s="512"/>
      <c r="U1650" s="610">
        <f>SUM(U1635:U1649)</f>
        <v>1168539862.7999997</v>
      </c>
      <c r="V1650" s="513"/>
      <c r="W1650" s="610">
        <f>G1650-U1650</f>
        <v>79026575.200000286</v>
      </c>
      <c r="X1650" s="514"/>
      <c r="Y1650" s="515"/>
      <c r="Z1650" s="515"/>
      <c r="AA1650" s="515"/>
      <c r="AB1650" s="515"/>
      <c r="AC1650" s="515"/>
      <c r="AD1650" s="570"/>
      <c r="AE1650" s="515"/>
      <c r="AF1650" s="570"/>
      <c r="AG1650" s="515"/>
      <c r="AH1650" s="515"/>
      <c r="AI1650" s="516"/>
      <c r="AJ1650" s="517"/>
      <c r="AK1650" s="518"/>
      <c r="AL1650" s="519"/>
      <c r="AM1650" s="520"/>
      <c r="AN1650" s="521"/>
      <c r="AO1650" s="520"/>
      <c r="AP1650" s="515"/>
      <c r="AQ1650" s="522"/>
      <c r="AR1650" s="517"/>
      <c r="AS1650" s="517"/>
      <c r="AT1650" s="515"/>
      <c r="AU1650" s="522"/>
      <c r="AV1650" s="517"/>
      <c r="AW1650" s="523"/>
      <c r="AX1650" s="515"/>
      <c r="AY1650" s="522"/>
      <c r="AZ1650" s="517"/>
      <c r="BA1650" s="524"/>
      <c r="BB1650" s="520"/>
      <c r="BC1650" s="525"/>
      <c r="BD1650" s="525"/>
      <c r="BG1650" s="527"/>
    </row>
    <row r="1653" spans="1:59" s="422" customFormat="1" ht="18" customHeight="1" x14ac:dyDescent="0.2">
      <c r="A1653" s="1366">
        <f>C1653</f>
        <v>277</v>
      </c>
      <c r="B1653" s="742" t="s">
        <v>4187</v>
      </c>
      <c r="C1653" s="556">
        <v>277</v>
      </c>
      <c r="D1653" s="553" t="str">
        <f>VLOOKUP(C1653,RUAS,2,FALSE)</f>
        <v>GUNUNG KESIANGAN - PL. KALIMANTING</v>
      </c>
      <c r="E1653" s="553"/>
      <c r="F1653" s="421"/>
      <c r="G1653" s="611"/>
      <c r="I1653" s="423"/>
      <c r="J1653" s="424"/>
      <c r="K1653" s="424"/>
      <c r="M1653" s="680"/>
      <c r="P1653" s="611"/>
      <c r="U1653" s="611"/>
      <c r="W1653" s="611"/>
      <c r="Y1653" s="425"/>
      <c r="Z1653" s="425"/>
      <c r="AA1653" s="425"/>
      <c r="AB1653" s="425"/>
      <c r="AC1653" s="425"/>
      <c r="AD1653" s="563"/>
      <c r="AE1653" s="425"/>
      <c r="AF1653" s="563"/>
      <c r="AG1653" s="425"/>
      <c r="AH1653" s="425"/>
      <c r="AI1653" s="425"/>
      <c r="AJ1653" s="425"/>
      <c r="AK1653" s="425"/>
      <c r="AL1653" s="425"/>
      <c r="AM1653" s="425"/>
      <c r="AN1653" s="425"/>
      <c r="AO1653" s="425"/>
      <c r="AP1653" s="425"/>
      <c r="AQ1653" s="425"/>
      <c r="AR1653" s="425"/>
      <c r="AS1653" s="425"/>
      <c r="AT1653" s="425"/>
      <c r="AU1653" s="425"/>
      <c r="AV1653" s="425"/>
      <c r="AW1653" s="425"/>
      <c r="AX1653" s="425"/>
      <c r="AY1653" s="425"/>
      <c r="AZ1653" s="425"/>
      <c r="BA1653" s="425"/>
      <c r="BB1653" s="425"/>
    </row>
    <row r="1654" spans="1:59" s="431" customFormat="1" ht="18" customHeight="1" x14ac:dyDescent="0.2">
      <c r="A1654" s="1367"/>
      <c r="B1654" s="1968" t="s">
        <v>5</v>
      </c>
      <c r="C1654" s="1968" t="s">
        <v>2280</v>
      </c>
      <c r="D1654" s="1968" t="s">
        <v>4157</v>
      </c>
      <c r="E1654" s="1968" t="s">
        <v>4158</v>
      </c>
      <c r="F1654" s="1968"/>
      <c r="G1654" s="2042" t="s">
        <v>4159</v>
      </c>
      <c r="H1654" s="1968" t="s">
        <v>4160</v>
      </c>
      <c r="I1654" s="1968"/>
      <c r="J1654" s="1968" t="s">
        <v>4185</v>
      </c>
      <c r="K1654" s="1964" t="s">
        <v>4162</v>
      </c>
      <c r="L1654" s="1968" t="s">
        <v>4163</v>
      </c>
      <c r="M1654" s="1971" t="s">
        <v>4164</v>
      </c>
      <c r="N1654" s="1962" t="s">
        <v>4165</v>
      </c>
      <c r="O1654" s="1968" t="s">
        <v>4166</v>
      </c>
      <c r="P1654" s="1972" t="s">
        <v>4167</v>
      </c>
      <c r="Q1654" s="1973"/>
      <c r="R1654" s="1159" t="s">
        <v>4186</v>
      </c>
      <c r="S1654" s="1972" t="s">
        <v>4169</v>
      </c>
      <c r="T1654" s="1974"/>
      <c r="U1654" s="1973"/>
      <c r="V1654" s="1975" t="s">
        <v>4170</v>
      </c>
      <c r="W1654" s="1975"/>
      <c r="X1654" s="1960" t="s">
        <v>4171</v>
      </c>
      <c r="Y1654" s="1959"/>
      <c r="Z1654" s="1155"/>
      <c r="AA1654" s="426"/>
      <c r="AB1654" s="426"/>
      <c r="AC1654" s="426"/>
      <c r="AD1654" s="564"/>
      <c r="AE1654" s="426"/>
      <c r="AF1654" s="564"/>
      <c r="AG1654" s="426"/>
      <c r="AH1654" s="426"/>
      <c r="AI1654" s="427"/>
      <c r="AJ1654" s="427"/>
      <c r="AK1654" s="427"/>
      <c r="AL1654" s="427"/>
      <c r="AM1654" s="428"/>
      <c r="AN1654" s="427"/>
      <c r="AO1654" s="427"/>
      <c r="AP1654" s="426"/>
      <c r="AQ1654" s="427"/>
      <c r="AR1654" s="427"/>
      <c r="AS1654" s="427"/>
      <c r="AT1654" s="426"/>
      <c r="AU1654" s="427"/>
      <c r="AV1654" s="427"/>
      <c r="AW1654" s="427"/>
      <c r="AX1654" s="426"/>
      <c r="AY1654" s="427"/>
      <c r="AZ1654" s="427"/>
      <c r="BA1654" s="427"/>
      <c r="BB1654" s="429"/>
      <c r="BC1654" s="430"/>
      <c r="BD1654" s="430"/>
    </row>
    <row r="1655" spans="1:59" s="431" customFormat="1" ht="18" customHeight="1" x14ac:dyDescent="0.2">
      <c r="A1655" s="1367"/>
      <c r="B1655" s="1968"/>
      <c r="C1655" s="1968"/>
      <c r="D1655" s="1968"/>
      <c r="E1655" s="1968"/>
      <c r="F1655" s="1968"/>
      <c r="G1655" s="2042"/>
      <c r="H1655" s="1968"/>
      <c r="I1655" s="1968"/>
      <c r="J1655" s="1968"/>
      <c r="K1655" s="1970"/>
      <c r="L1655" s="1968"/>
      <c r="M1655" s="1971"/>
      <c r="N1655" s="1963"/>
      <c r="O1655" s="1968"/>
      <c r="P1655" s="2037" t="s">
        <v>4172</v>
      </c>
      <c r="Q1655" s="1960" t="s">
        <v>4173</v>
      </c>
      <c r="R1655" s="1962" t="s">
        <v>4159</v>
      </c>
      <c r="S1655" s="1962" t="s">
        <v>4174</v>
      </c>
      <c r="T1655" s="1964" t="s">
        <v>4175</v>
      </c>
      <c r="U1655" s="1966" t="s">
        <v>4159</v>
      </c>
      <c r="V1655" s="1975"/>
      <c r="W1655" s="1975"/>
      <c r="X1655" s="1976"/>
      <c r="Y1655" s="1959"/>
      <c r="Z1655" s="1155"/>
      <c r="AA1655" s="426"/>
      <c r="AB1655" s="426"/>
      <c r="AC1655" s="426"/>
      <c r="AD1655" s="564"/>
      <c r="AE1655" s="426"/>
      <c r="AF1655" s="564"/>
      <c r="AG1655" s="426"/>
      <c r="AH1655" s="426"/>
      <c r="AI1655" s="427"/>
      <c r="AJ1655" s="427"/>
      <c r="AK1655" s="426"/>
      <c r="AL1655" s="427"/>
      <c r="AM1655" s="428"/>
      <c r="AN1655" s="427"/>
      <c r="AO1655" s="427"/>
      <c r="AP1655" s="432"/>
      <c r="AQ1655" s="427"/>
      <c r="AR1655" s="427"/>
      <c r="AS1655" s="427"/>
      <c r="AT1655" s="432"/>
      <c r="AU1655" s="427"/>
      <c r="AV1655" s="427"/>
      <c r="AW1655" s="427"/>
      <c r="AX1655" s="432"/>
      <c r="AY1655" s="427"/>
      <c r="AZ1655" s="427"/>
      <c r="BA1655" s="427"/>
      <c r="BB1655" s="429"/>
      <c r="BC1655" s="430"/>
      <c r="BD1655" s="430"/>
    </row>
    <row r="1656" spans="1:59" s="431" customFormat="1" ht="18" customHeight="1" x14ac:dyDescent="0.2">
      <c r="A1656" s="1367"/>
      <c r="B1656" s="1968"/>
      <c r="C1656" s="1968"/>
      <c r="D1656" s="1968"/>
      <c r="E1656" s="433" t="s">
        <v>4176</v>
      </c>
      <c r="F1656" s="434" t="s">
        <v>2288</v>
      </c>
      <c r="G1656" s="2042"/>
      <c r="H1656" s="1156" t="s">
        <v>2288</v>
      </c>
      <c r="I1656" s="1156" t="s">
        <v>4177</v>
      </c>
      <c r="J1656" s="1968"/>
      <c r="K1656" s="1965"/>
      <c r="L1656" s="435" t="s">
        <v>2288</v>
      </c>
      <c r="M1656" s="681" t="s">
        <v>2288</v>
      </c>
      <c r="N1656" s="1156" t="s">
        <v>2288</v>
      </c>
      <c r="O1656" s="1968"/>
      <c r="P1656" s="2038"/>
      <c r="Q1656" s="1961"/>
      <c r="R1656" s="1963"/>
      <c r="S1656" s="1963"/>
      <c r="T1656" s="1965"/>
      <c r="U1656" s="1967"/>
      <c r="V1656" s="1156" t="s">
        <v>4178</v>
      </c>
      <c r="W1656" s="1157" t="s">
        <v>4159</v>
      </c>
      <c r="X1656" s="1961"/>
      <c r="Y1656" s="436"/>
      <c r="Z1656" s="436"/>
      <c r="AA1656" s="426"/>
      <c r="AB1656" s="426"/>
      <c r="AC1656" s="426"/>
      <c r="AD1656" s="564"/>
      <c r="AE1656" s="426"/>
      <c r="AF1656" s="564"/>
      <c r="AG1656" s="426"/>
      <c r="AH1656" s="426"/>
      <c r="AI1656" s="427"/>
      <c r="AJ1656" s="432"/>
      <c r="AK1656" s="432"/>
      <c r="AL1656" s="427"/>
      <c r="AM1656" s="428"/>
      <c r="AN1656" s="432"/>
      <c r="AO1656" s="427"/>
      <c r="AP1656" s="432"/>
      <c r="AQ1656" s="432"/>
      <c r="AR1656" s="427"/>
      <c r="AS1656" s="427"/>
      <c r="AT1656" s="432"/>
      <c r="AU1656" s="432"/>
      <c r="AV1656" s="427"/>
      <c r="AW1656" s="427"/>
      <c r="AX1656" s="432"/>
      <c r="AY1656" s="432"/>
      <c r="AZ1656" s="427"/>
      <c r="BA1656" s="427"/>
      <c r="BB1656" s="429"/>
      <c r="BC1656" s="430"/>
      <c r="BD1656" s="430"/>
    </row>
    <row r="1657" spans="1:59" s="461" customFormat="1" ht="18" customHeight="1" x14ac:dyDescent="0.2">
      <c r="A1657" s="1368" t="str">
        <f>$D$1653&amp;S1657</f>
        <v>GUNUNG KESIANGAN - PL. KALIMANTING2001</v>
      </c>
      <c r="B1657" s="1373">
        <v>1</v>
      </c>
      <c r="C1657" s="532" t="s">
        <v>483</v>
      </c>
      <c r="D1657" s="437" t="s">
        <v>3821</v>
      </c>
      <c r="E1657" s="438"/>
      <c r="F1657" s="439">
        <v>2001</v>
      </c>
      <c r="G1657" s="623">
        <f>1575000000</f>
        <v>1575000000</v>
      </c>
      <c r="H1657" s="440">
        <f>VLOOKUP(LEFT(D1657,8),UE,4)</f>
        <v>10</v>
      </c>
      <c r="I1657" s="441"/>
      <c r="J1657" s="442">
        <f t="shared" ref="J1657:J1669" si="1244">F1657+N1657-1</f>
        <v>2010</v>
      </c>
      <c r="K1657" s="443"/>
      <c r="L1657" s="440"/>
      <c r="M1657" s="746">
        <f>IF(H1657+L1657&gt;$H1657,$H1657-H1657,L1657)</f>
        <v>0</v>
      </c>
      <c r="N1657" s="444">
        <f>H1657+M1657</f>
        <v>10</v>
      </c>
      <c r="O1657" s="442">
        <f t="shared" ref="O1657:O1669" si="1245">F1657+N1657-1</f>
        <v>2010</v>
      </c>
      <c r="P1657" s="617">
        <f>G1657</f>
        <v>1575000000</v>
      </c>
      <c r="Q1657" s="445">
        <v>0</v>
      </c>
      <c r="R1657" s="445">
        <f>P1657/N1657</f>
        <v>157500000</v>
      </c>
      <c r="S1657" s="446">
        <f t="shared" ref="S1657:S1668" si="1246">F1657</f>
        <v>2001</v>
      </c>
      <c r="T1657" s="447">
        <v>1</v>
      </c>
      <c r="U1657" s="613">
        <f t="shared" ref="U1657:U1668" si="1247">R1657*T1657</f>
        <v>157500000</v>
      </c>
      <c r="V1657" s="442">
        <f>F1657</f>
        <v>2001</v>
      </c>
      <c r="W1657" s="617">
        <f>IF(OR(AND(ISBLANK(E1657),ISBLANK(G1657)),ISTEXT(E1657),ISTEXT(G1657)),"",G1657-R1657)</f>
        <v>1417500000</v>
      </c>
      <c r="X1657" s="448"/>
      <c r="Y1657" s="449"/>
      <c r="Z1657" s="449"/>
      <c r="AA1657" s="693"/>
      <c r="AB1657" s="452"/>
      <c r="AC1657" s="452"/>
      <c r="AD1657" s="571"/>
      <c r="AE1657" s="452"/>
      <c r="AF1657" s="571"/>
      <c r="AG1657" s="452"/>
      <c r="AH1657" s="452"/>
      <c r="AI1657" s="453"/>
      <c r="AJ1657" s="449"/>
      <c r="AK1657" s="453"/>
      <c r="AL1657" s="454"/>
      <c r="AM1657" s="455"/>
      <c r="AN1657" s="456"/>
      <c r="AO1657" s="455"/>
      <c r="AP1657" s="452"/>
      <c r="AQ1657" s="457"/>
      <c r="AR1657" s="449"/>
      <c r="AS1657" s="449"/>
      <c r="AT1657" s="452"/>
      <c r="AU1657" s="457"/>
      <c r="AV1657" s="449"/>
      <c r="AW1657" s="458"/>
      <c r="AX1657" s="452"/>
      <c r="AY1657" s="457"/>
      <c r="AZ1657" s="449"/>
      <c r="BA1657" s="459"/>
      <c r="BB1657" s="455"/>
      <c r="BC1657" s="460"/>
      <c r="BD1657" s="460"/>
      <c r="BG1657" s="462"/>
    </row>
    <row r="1658" spans="1:59" s="461" customFormat="1" ht="18" customHeight="1" x14ac:dyDescent="0.2">
      <c r="A1658" s="1368" t="str">
        <f t="shared" ref="A1658:A1669" si="1248">$D$1653&amp;S1658</f>
        <v>GUNUNG KESIANGAN - PL. KALIMANTING2001</v>
      </c>
      <c r="B1658" s="1373">
        <v>2</v>
      </c>
      <c r="C1658" s="488" t="s">
        <v>483</v>
      </c>
      <c r="D1658" s="489"/>
      <c r="E1658" s="558"/>
      <c r="F1658" s="559">
        <v>2001</v>
      </c>
      <c r="G1658" s="619">
        <v>0</v>
      </c>
      <c r="H1658" s="464">
        <f>IF(N1657-(F1658-F1657)&lt;=0,0,(N1657-(F1658-F1657)))</f>
        <v>10</v>
      </c>
      <c r="I1658" s="560"/>
      <c r="J1658" s="468">
        <f t="shared" si="1244"/>
        <v>2010</v>
      </c>
      <c r="K1658" s="490">
        <f t="shared" ref="K1658:K1668" si="1249">IF(G1658=0,0,IF(H1658=10,100%,G1658/W1657))</f>
        <v>0</v>
      </c>
      <c r="L1658" s="469">
        <f t="shared" ref="L1658:L1668" si="1250">IF(K1658=0%,0,IF(K1658&lt;=30%,2,IF(K1658&lt;=60%,5,10)))</f>
        <v>0</v>
      </c>
      <c r="M1658" s="683">
        <f t="shared" ref="M1658:M1668" si="1251">IF(OR(AND(ISBLANK(E1658),ISBLANK(G1658)),ISTEXT(E1658),ISTEXT(G1658)),"",IF(H1658+L1658&gt;$H$1657,$H$1657-H1658,L1658))</f>
        <v>0</v>
      </c>
      <c r="N1658" s="470">
        <f t="shared" ref="N1658:N1669" si="1252">IF(OR(AND(ISBLANK(F1658),ISBLANK(G1658)),ISTEXT(F1658),ISTEXT(G1658)),"",H1658+M1658)</f>
        <v>10</v>
      </c>
      <c r="O1658" s="468">
        <f t="shared" si="1245"/>
        <v>2010</v>
      </c>
      <c r="P1658" s="616">
        <f t="shared" ref="P1658:P1668" si="1253">W1657</f>
        <v>1417500000</v>
      </c>
      <c r="Q1658" s="472">
        <f t="shared" ref="Q1658:Q1668" si="1254">P1658+G1658</f>
        <v>1417500000</v>
      </c>
      <c r="R1658" s="472">
        <f t="shared" ref="R1658:R1664" si="1255">IF(L1658=0,R1657,Q1658/N1658)</f>
        <v>157500000</v>
      </c>
      <c r="S1658" s="1160">
        <f t="shared" si="1246"/>
        <v>2001</v>
      </c>
      <c r="T1658" s="470">
        <f t="shared" ref="T1658:T1668" si="1256">S1658-S1657</f>
        <v>0</v>
      </c>
      <c r="U1658" s="612">
        <f t="shared" si="1247"/>
        <v>0</v>
      </c>
      <c r="V1658" s="464">
        <f t="shared" ref="V1658:V1668" si="1257">F1658</f>
        <v>2001</v>
      </c>
      <c r="W1658" s="612">
        <f t="shared" ref="W1658:W1668" si="1258">IF(OR(AND(ISBLANK(E1658),ISBLANK(G1658)),ISTEXT(E1658),ISTEXT(G1658)),"",Q1658-U1658)</f>
        <v>1417500000</v>
      </c>
      <c r="X1658" s="561"/>
      <c r="Y1658" s="449"/>
      <c r="Z1658" s="449"/>
      <c r="AA1658" s="693"/>
      <c r="AB1658" s="452"/>
      <c r="AC1658" s="452"/>
      <c r="AD1658" s="571"/>
      <c r="AE1658" s="452"/>
      <c r="AF1658" s="571"/>
      <c r="AG1658" s="452"/>
      <c r="AH1658" s="452"/>
      <c r="AI1658" s="453"/>
      <c r="AJ1658" s="449"/>
      <c r="AK1658" s="453"/>
      <c r="AL1658" s="454"/>
      <c r="AM1658" s="455"/>
      <c r="AN1658" s="456"/>
      <c r="AO1658" s="455"/>
      <c r="AP1658" s="452"/>
      <c r="AQ1658" s="457"/>
      <c r="AR1658" s="449"/>
      <c r="AS1658" s="449"/>
      <c r="AT1658" s="452"/>
      <c r="AU1658" s="457"/>
      <c r="AV1658" s="449"/>
      <c r="AW1658" s="458"/>
      <c r="AX1658" s="452"/>
      <c r="AY1658" s="457"/>
      <c r="AZ1658" s="449"/>
      <c r="BA1658" s="459"/>
      <c r="BB1658" s="455"/>
      <c r="BC1658" s="460"/>
      <c r="BD1658" s="460"/>
      <c r="BG1658" s="462"/>
    </row>
    <row r="1659" spans="1:59" s="461" customFormat="1" ht="18" customHeight="1" x14ac:dyDescent="0.2">
      <c r="A1659" s="1368" t="str">
        <f t="shared" si="1248"/>
        <v>GUNUNG KESIANGAN - PL. KALIMANTING2009</v>
      </c>
      <c r="B1659" s="1373"/>
      <c r="C1659" s="488"/>
      <c r="D1659" s="489"/>
      <c r="E1659" s="558"/>
      <c r="F1659" s="559">
        <v>2009</v>
      </c>
      <c r="G1659" s="619">
        <v>0</v>
      </c>
      <c r="H1659" s="464">
        <f>IF(N1657-(F1659-F1657)&lt;=0,0,(N1657-(F1659-F1657)))</f>
        <v>2</v>
      </c>
      <c r="I1659" s="560"/>
      <c r="J1659" s="468">
        <f t="shared" si="1244"/>
        <v>2010</v>
      </c>
      <c r="K1659" s="490">
        <f t="shared" si="1249"/>
        <v>0</v>
      </c>
      <c r="L1659" s="469">
        <f t="shared" si="1250"/>
        <v>0</v>
      </c>
      <c r="M1659" s="683">
        <f t="shared" si="1251"/>
        <v>0</v>
      </c>
      <c r="N1659" s="470">
        <f t="shared" si="1252"/>
        <v>2</v>
      </c>
      <c r="O1659" s="468">
        <f t="shared" si="1245"/>
        <v>2010</v>
      </c>
      <c r="P1659" s="616">
        <f t="shared" si="1253"/>
        <v>1417500000</v>
      </c>
      <c r="Q1659" s="472">
        <f t="shared" si="1254"/>
        <v>1417500000</v>
      </c>
      <c r="R1659" s="472">
        <f t="shared" si="1255"/>
        <v>157500000</v>
      </c>
      <c r="S1659" s="1160">
        <f t="shared" si="1246"/>
        <v>2009</v>
      </c>
      <c r="T1659" s="470">
        <f t="shared" si="1256"/>
        <v>8</v>
      </c>
      <c r="U1659" s="612">
        <f t="shared" si="1247"/>
        <v>1260000000</v>
      </c>
      <c r="V1659" s="464">
        <f t="shared" si="1257"/>
        <v>2009</v>
      </c>
      <c r="W1659" s="612">
        <f t="shared" si="1258"/>
        <v>157500000</v>
      </c>
      <c r="X1659" s="561"/>
      <c r="Y1659" s="449"/>
      <c r="Z1659" s="449"/>
      <c r="AA1659" s="693"/>
      <c r="AB1659" s="452"/>
      <c r="AC1659" s="452"/>
      <c r="AD1659" s="571"/>
      <c r="AE1659" s="452"/>
      <c r="AF1659" s="571"/>
      <c r="AG1659" s="452"/>
      <c r="AH1659" s="452"/>
      <c r="AI1659" s="453"/>
      <c r="AJ1659" s="449"/>
      <c r="AK1659" s="453"/>
      <c r="AL1659" s="454"/>
      <c r="AM1659" s="455"/>
      <c r="AN1659" s="456"/>
      <c r="AO1659" s="455"/>
      <c r="AP1659" s="452"/>
      <c r="AQ1659" s="457"/>
      <c r="AR1659" s="449"/>
      <c r="AS1659" s="449"/>
      <c r="AT1659" s="452"/>
      <c r="AU1659" s="457"/>
      <c r="AV1659" s="449"/>
      <c r="AW1659" s="458"/>
      <c r="AX1659" s="452"/>
      <c r="AY1659" s="457"/>
      <c r="AZ1659" s="449"/>
      <c r="BA1659" s="459"/>
      <c r="BB1659" s="455"/>
      <c r="BC1659" s="460"/>
      <c r="BD1659" s="460"/>
      <c r="BG1659" s="462"/>
    </row>
    <row r="1660" spans="1:59" s="461" customFormat="1" ht="18" customHeight="1" x14ac:dyDescent="0.2">
      <c r="A1660" s="1368" t="str">
        <f t="shared" si="1248"/>
        <v>GUNUNG KESIANGAN - PL. KALIMANTING2010</v>
      </c>
      <c r="B1660" s="1373"/>
      <c r="C1660" s="488"/>
      <c r="D1660" s="489"/>
      <c r="E1660" s="558"/>
      <c r="F1660" s="559">
        <v>2010</v>
      </c>
      <c r="G1660" s="619">
        <v>0</v>
      </c>
      <c r="H1660" s="464">
        <f>IF(N1659-(F1660-F1659)&lt;=0,0,(N1659-(F1660-F1659)))</f>
        <v>1</v>
      </c>
      <c r="I1660" s="560"/>
      <c r="J1660" s="468">
        <f t="shared" si="1244"/>
        <v>2010</v>
      </c>
      <c r="K1660" s="490">
        <f t="shared" si="1249"/>
        <v>0</v>
      </c>
      <c r="L1660" s="469">
        <f t="shared" si="1250"/>
        <v>0</v>
      </c>
      <c r="M1660" s="683">
        <f t="shared" si="1251"/>
        <v>0</v>
      </c>
      <c r="N1660" s="470">
        <f t="shared" si="1252"/>
        <v>1</v>
      </c>
      <c r="O1660" s="468">
        <f t="shared" si="1245"/>
        <v>2010</v>
      </c>
      <c r="P1660" s="616">
        <f t="shared" si="1253"/>
        <v>157500000</v>
      </c>
      <c r="Q1660" s="472">
        <f t="shared" si="1254"/>
        <v>157500000</v>
      </c>
      <c r="R1660" s="472">
        <f t="shared" si="1255"/>
        <v>157500000</v>
      </c>
      <c r="S1660" s="1160">
        <f t="shared" si="1246"/>
        <v>2010</v>
      </c>
      <c r="T1660" s="470">
        <f t="shared" si="1256"/>
        <v>1</v>
      </c>
      <c r="U1660" s="612">
        <f t="shared" si="1247"/>
        <v>157500000</v>
      </c>
      <c r="V1660" s="464">
        <f t="shared" si="1257"/>
        <v>2010</v>
      </c>
      <c r="W1660" s="612">
        <f t="shared" si="1258"/>
        <v>0</v>
      </c>
      <c r="X1660" s="561"/>
      <c r="Y1660" s="449"/>
      <c r="Z1660" s="449"/>
      <c r="AA1660" s="693"/>
      <c r="AB1660" s="452"/>
      <c r="AC1660" s="452"/>
      <c r="AD1660" s="571"/>
      <c r="AE1660" s="452"/>
      <c r="AF1660" s="571"/>
      <c r="AG1660" s="452"/>
      <c r="AH1660" s="452"/>
      <c r="AI1660" s="453"/>
      <c r="AJ1660" s="449"/>
      <c r="AK1660" s="453"/>
      <c r="AL1660" s="454"/>
      <c r="AM1660" s="455"/>
      <c r="AN1660" s="456"/>
      <c r="AO1660" s="455"/>
      <c r="AP1660" s="452"/>
      <c r="AQ1660" s="457"/>
      <c r="AR1660" s="449"/>
      <c r="AS1660" s="449"/>
      <c r="AT1660" s="452"/>
      <c r="AU1660" s="457"/>
      <c r="AV1660" s="449"/>
      <c r="AW1660" s="458"/>
      <c r="AX1660" s="452"/>
      <c r="AY1660" s="457"/>
      <c r="AZ1660" s="449"/>
      <c r="BA1660" s="459"/>
      <c r="BB1660" s="455"/>
      <c r="BC1660" s="460"/>
      <c r="BD1660" s="460"/>
      <c r="BG1660" s="462"/>
    </row>
    <row r="1661" spans="1:59" s="461" customFormat="1" ht="18" customHeight="1" x14ac:dyDescent="0.2">
      <c r="A1661" s="1368" t="str">
        <f t="shared" si="1248"/>
        <v>GUNUNG KESIANGAN - PL. KALIMANTING2011</v>
      </c>
      <c r="B1661" s="1373"/>
      <c r="C1661" s="488"/>
      <c r="D1661" s="489"/>
      <c r="E1661" s="558"/>
      <c r="F1661" s="559">
        <v>2011</v>
      </c>
      <c r="G1661" s="619">
        <v>0</v>
      </c>
      <c r="H1661" s="464">
        <f>IF(N1660-(F1661-F1660)&lt;=0,0,(N1660-(F1661-F1660)))</f>
        <v>0</v>
      </c>
      <c r="I1661" s="560"/>
      <c r="J1661" s="468">
        <f t="shared" si="1244"/>
        <v>2010</v>
      </c>
      <c r="K1661" s="490">
        <f t="shared" si="1249"/>
        <v>0</v>
      </c>
      <c r="L1661" s="469">
        <f t="shared" si="1250"/>
        <v>0</v>
      </c>
      <c r="M1661" s="683">
        <f t="shared" si="1251"/>
        <v>0</v>
      </c>
      <c r="N1661" s="470">
        <f t="shared" si="1252"/>
        <v>0</v>
      </c>
      <c r="O1661" s="468">
        <f t="shared" si="1245"/>
        <v>2010</v>
      </c>
      <c r="P1661" s="616">
        <f t="shared" si="1253"/>
        <v>0</v>
      </c>
      <c r="Q1661" s="472">
        <f t="shared" si="1254"/>
        <v>0</v>
      </c>
      <c r="R1661" s="472">
        <v>0</v>
      </c>
      <c r="S1661" s="1160">
        <f t="shared" si="1246"/>
        <v>2011</v>
      </c>
      <c r="T1661" s="470">
        <f t="shared" si="1256"/>
        <v>1</v>
      </c>
      <c r="U1661" s="612">
        <f t="shared" si="1247"/>
        <v>0</v>
      </c>
      <c r="V1661" s="464">
        <f t="shared" si="1257"/>
        <v>2011</v>
      </c>
      <c r="W1661" s="612">
        <f t="shared" si="1258"/>
        <v>0</v>
      </c>
      <c r="X1661" s="561"/>
      <c r="Y1661" s="449"/>
      <c r="Z1661" s="449"/>
      <c r="AA1661" s="693"/>
      <c r="AB1661" s="452"/>
      <c r="AC1661" s="452"/>
      <c r="AD1661" s="571"/>
      <c r="AE1661" s="452"/>
      <c r="AF1661" s="571"/>
      <c r="AG1661" s="452"/>
      <c r="AH1661" s="452"/>
      <c r="AI1661" s="453"/>
      <c r="AJ1661" s="449"/>
      <c r="AK1661" s="453"/>
      <c r="AL1661" s="454"/>
      <c r="AM1661" s="455"/>
      <c r="AN1661" s="456"/>
      <c r="AO1661" s="455"/>
      <c r="AP1661" s="452"/>
      <c r="AQ1661" s="457"/>
      <c r="AR1661" s="449"/>
      <c r="AS1661" s="449"/>
      <c r="AT1661" s="452"/>
      <c r="AU1661" s="457"/>
      <c r="AV1661" s="449"/>
      <c r="AW1661" s="458"/>
      <c r="AX1661" s="452"/>
      <c r="AY1661" s="457"/>
      <c r="AZ1661" s="449"/>
      <c r="BA1661" s="459"/>
      <c r="BB1661" s="455"/>
      <c r="BC1661" s="460"/>
      <c r="BD1661" s="460"/>
      <c r="BG1661" s="462"/>
    </row>
    <row r="1662" spans="1:59" s="461" customFormat="1" ht="18" customHeight="1" x14ac:dyDescent="0.2">
      <c r="A1662" s="1368" t="str">
        <f t="shared" si="1248"/>
        <v>GUNUNG KESIANGAN - PL. KALIMANTING2012</v>
      </c>
      <c r="B1662" s="1373"/>
      <c r="C1662" s="488"/>
      <c r="D1662" s="489"/>
      <c r="E1662" s="558"/>
      <c r="F1662" s="559">
        <v>2012</v>
      </c>
      <c r="G1662" s="619">
        <v>0</v>
      </c>
      <c r="H1662" s="464">
        <f>IF(N1661-(F1662-F1661)&lt;=0,0,(N1661-(F1662-F1661)))</f>
        <v>0</v>
      </c>
      <c r="I1662" s="560"/>
      <c r="J1662" s="468">
        <f t="shared" si="1244"/>
        <v>2011</v>
      </c>
      <c r="K1662" s="490">
        <f t="shared" si="1249"/>
        <v>0</v>
      </c>
      <c r="L1662" s="469">
        <f t="shared" si="1250"/>
        <v>0</v>
      </c>
      <c r="M1662" s="683">
        <f t="shared" si="1251"/>
        <v>0</v>
      </c>
      <c r="N1662" s="470">
        <f t="shared" si="1252"/>
        <v>0</v>
      </c>
      <c r="O1662" s="468">
        <f t="shared" si="1245"/>
        <v>2011</v>
      </c>
      <c r="P1662" s="616">
        <f t="shared" si="1253"/>
        <v>0</v>
      </c>
      <c r="Q1662" s="472">
        <f t="shared" si="1254"/>
        <v>0</v>
      </c>
      <c r="R1662" s="472">
        <f t="shared" si="1255"/>
        <v>0</v>
      </c>
      <c r="S1662" s="1160">
        <f t="shared" si="1246"/>
        <v>2012</v>
      </c>
      <c r="T1662" s="470">
        <f t="shared" si="1256"/>
        <v>1</v>
      </c>
      <c r="U1662" s="612">
        <f t="shared" si="1247"/>
        <v>0</v>
      </c>
      <c r="V1662" s="464">
        <f t="shared" si="1257"/>
        <v>2012</v>
      </c>
      <c r="W1662" s="612">
        <f t="shared" si="1258"/>
        <v>0</v>
      </c>
      <c r="X1662" s="561"/>
      <c r="Y1662" s="449"/>
      <c r="Z1662" s="449"/>
      <c r="AA1662" s="693"/>
      <c r="AB1662" s="452"/>
      <c r="AC1662" s="452"/>
      <c r="AD1662" s="571"/>
      <c r="AE1662" s="452"/>
      <c r="AF1662" s="571"/>
      <c r="AG1662" s="452"/>
      <c r="AH1662" s="452"/>
      <c r="AI1662" s="453"/>
      <c r="AJ1662" s="449"/>
      <c r="AK1662" s="453"/>
      <c r="AL1662" s="454"/>
      <c r="AM1662" s="455"/>
      <c r="AN1662" s="456"/>
      <c r="AO1662" s="455"/>
      <c r="AP1662" s="452"/>
      <c r="AQ1662" s="457"/>
      <c r="AR1662" s="449"/>
      <c r="AS1662" s="449"/>
      <c r="AT1662" s="452"/>
      <c r="AU1662" s="457"/>
      <c r="AV1662" s="449"/>
      <c r="AW1662" s="458"/>
      <c r="AX1662" s="452"/>
      <c r="AY1662" s="457"/>
      <c r="AZ1662" s="449"/>
      <c r="BA1662" s="459"/>
      <c r="BB1662" s="455"/>
      <c r="BC1662" s="460"/>
      <c r="BD1662" s="460"/>
      <c r="BG1662" s="462"/>
    </row>
    <row r="1663" spans="1:59" s="461" customFormat="1" ht="18" customHeight="1" x14ac:dyDescent="0.2">
      <c r="A1663" s="1368" t="str">
        <f t="shared" si="1248"/>
        <v>GUNUNG KESIANGAN - PL. KALIMANTING2013</v>
      </c>
      <c r="B1663" s="1373"/>
      <c r="C1663" s="488"/>
      <c r="D1663" s="489"/>
      <c r="E1663" s="558"/>
      <c r="F1663" s="559">
        <v>2013</v>
      </c>
      <c r="G1663" s="619">
        <v>0</v>
      </c>
      <c r="H1663" s="464">
        <f>IF(N1662-(F1663-F1662)&lt;=0,0,(N1662-(F1663-F1662)))</f>
        <v>0</v>
      </c>
      <c r="I1663" s="560"/>
      <c r="J1663" s="468">
        <f t="shared" si="1244"/>
        <v>2012</v>
      </c>
      <c r="K1663" s="490">
        <f t="shared" si="1249"/>
        <v>0</v>
      </c>
      <c r="L1663" s="469">
        <f t="shared" si="1250"/>
        <v>0</v>
      </c>
      <c r="M1663" s="683">
        <f t="shared" si="1251"/>
        <v>0</v>
      </c>
      <c r="N1663" s="470">
        <f t="shared" si="1252"/>
        <v>0</v>
      </c>
      <c r="O1663" s="468">
        <f t="shared" si="1245"/>
        <v>2012</v>
      </c>
      <c r="P1663" s="616">
        <f t="shared" si="1253"/>
        <v>0</v>
      </c>
      <c r="Q1663" s="472">
        <f t="shared" si="1254"/>
        <v>0</v>
      </c>
      <c r="R1663" s="472">
        <f t="shared" si="1255"/>
        <v>0</v>
      </c>
      <c r="S1663" s="1160">
        <f t="shared" si="1246"/>
        <v>2013</v>
      </c>
      <c r="T1663" s="470">
        <f t="shared" si="1256"/>
        <v>1</v>
      </c>
      <c r="U1663" s="612">
        <f t="shared" si="1247"/>
        <v>0</v>
      </c>
      <c r="V1663" s="464">
        <f t="shared" si="1257"/>
        <v>2013</v>
      </c>
      <c r="W1663" s="612">
        <f t="shared" si="1258"/>
        <v>0</v>
      </c>
      <c r="X1663" s="561"/>
      <c r="Y1663" s="449"/>
      <c r="Z1663" s="449"/>
      <c r="AA1663" s="693"/>
      <c r="AB1663" s="452"/>
      <c r="AC1663" s="452"/>
      <c r="AD1663" s="571"/>
      <c r="AE1663" s="452"/>
      <c r="AF1663" s="571"/>
      <c r="AG1663" s="452"/>
      <c r="AH1663" s="452"/>
      <c r="AI1663" s="453"/>
      <c r="AJ1663" s="449"/>
      <c r="AK1663" s="453"/>
      <c r="AL1663" s="454"/>
      <c r="AM1663" s="455"/>
      <c r="AN1663" s="456"/>
      <c r="AO1663" s="455"/>
      <c r="AP1663" s="452"/>
      <c r="AQ1663" s="457"/>
      <c r="AR1663" s="449"/>
      <c r="AS1663" s="449"/>
      <c r="AT1663" s="452"/>
      <c r="AU1663" s="457"/>
      <c r="AV1663" s="449"/>
      <c r="AW1663" s="458"/>
      <c r="AX1663" s="452"/>
      <c r="AY1663" s="457"/>
      <c r="AZ1663" s="449"/>
      <c r="BA1663" s="459"/>
      <c r="BB1663" s="455"/>
      <c r="BC1663" s="460"/>
      <c r="BD1663" s="460"/>
      <c r="BG1663" s="462"/>
    </row>
    <row r="1664" spans="1:59" s="461" customFormat="1" ht="18" customHeight="1" x14ac:dyDescent="0.2">
      <c r="A1664" s="1368" t="str">
        <f t="shared" si="1248"/>
        <v>GUNUNG KESIANGAN - PL. KALIMANTING2014</v>
      </c>
      <c r="B1664" s="1373"/>
      <c r="C1664" s="488"/>
      <c r="D1664" s="489"/>
      <c r="E1664" s="558"/>
      <c r="F1664" s="559">
        <v>2014</v>
      </c>
      <c r="G1664" s="619">
        <v>0</v>
      </c>
      <c r="H1664" s="464">
        <f>IF(N1659-(F1664-F1659)&lt;=0,0,(N1659-(F1664-F1659)))</f>
        <v>0</v>
      </c>
      <c r="I1664" s="560"/>
      <c r="J1664" s="468">
        <f t="shared" si="1244"/>
        <v>2013</v>
      </c>
      <c r="K1664" s="490">
        <f t="shared" si="1249"/>
        <v>0</v>
      </c>
      <c r="L1664" s="469">
        <f t="shared" si="1250"/>
        <v>0</v>
      </c>
      <c r="M1664" s="683">
        <f t="shared" si="1251"/>
        <v>0</v>
      </c>
      <c r="N1664" s="470">
        <f t="shared" si="1252"/>
        <v>0</v>
      </c>
      <c r="O1664" s="468">
        <f t="shared" si="1245"/>
        <v>2013</v>
      </c>
      <c r="P1664" s="616">
        <f t="shared" si="1253"/>
        <v>0</v>
      </c>
      <c r="Q1664" s="472">
        <f t="shared" si="1254"/>
        <v>0</v>
      </c>
      <c r="R1664" s="472">
        <f t="shared" si="1255"/>
        <v>0</v>
      </c>
      <c r="S1664" s="1160">
        <f t="shared" si="1246"/>
        <v>2014</v>
      </c>
      <c r="T1664" s="470">
        <f t="shared" si="1256"/>
        <v>1</v>
      </c>
      <c r="U1664" s="612">
        <f t="shared" si="1247"/>
        <v>0</v>
      </c>
      <c r="V1664" s="464">
        <f t="shared" si="1257"/>
        <v>2014</v>
      </c>
      <c r="W1664" s="612">
        <f t="shared" si="1258"/>
        <v>0</v>
      </c>
      <c r="X1664" s="561"/>
      <c r="Y1664" s="449"/>
      <c r="Z1664" s="449"/>
      <c r="AA1664" s="694"/>
      <c r="AB1664" s="692"/>
      <c r="AC1664" s="692"/>
      <c r="AD1664" s="695"/>
      <c r="AE1664" s="452"/>
      <c r="AF1664" s="571"/>
      <c r="AG1664" s="452"/>
      <c r="AH1664" s="452"/>
      <c r="AI1664" s="453"/>
      <c r="AJ1664" s="449"/>
      <c r="AK1664" s="453"/>
      <c r="AL1664" s="454"/>
      <c r="AM1664" s="455"/>
      <c r="AN1664" s="456"/>
      <c r="AO1664" s="455"/>
      <c r="AP1664" s="452"/>
      <c r="AQ1664" s="457"/>
      <c r="AR1664" s="449"/>
      <c r="AS1664" s="449"/>
      <c r="AT1664" s="452"/>
      <c r="AU1664" s="457"/>
      <c r="AV1664" s="449"/>
      <c r="AW1664" s="458"/>
      <c r="AX1664" s="452"/>
      <c r="AY1664" s="457"/>
      <c r="AZ1664" s="449"/>
      <c r="BA1664" s="459"/>
      <c r="BB1664" s="455"/>
      <c r="BC1664" s="460"/>
      <c r="BD1664" s="460"/>
      <c r="BG1664" s="462"/>
    </row>
    <row r="1665" spans="1:59" s="461" customFormat="1" ht="18" customHeight="1" x14ac:dyDescent="0.2">
      <c r="A1665" s="1368" t="str">
        <f t="shared" si="1248"/>
        <v>GUNUNG KESIANGAN - PL. KALIMANTING2015</v>
      </c>
      <c r="B1665" s="1373"/>
      <c r="C1665" s="488"/>
      <c r="D1665" s="489"/>
      <c r="E1665" s="558"/>
      <c r="F1665" s="559">
        <v>2015</v>
      </c>
      <c r="G1665" s="619">
        <v>0</v>
      </c>
      <c r="H1665" s="464">
        <f>IF(N1660-(F1665-F1660)&lt;=0,0,(N1660-(F1665-F1660)))</f>
        <v>0</v>
      </c>
      <c r="I1665" s="560"/>
      <c r="J1665" s="468">
        <f t="shared" si="1244"/>
        <v>2014</v>
      </c>
      <c r="K1665" s="490">
        <f t="shared" si="1249"/>
        <v>0</v>
      </c>
      <c r="L1665" s="469">
        <f t="shared" si="1250"/>
        <v>0</v>
      </c>
      <c r="M1665" s="683">
        <f t="shared" si="1251"/>
        <v>0</v>
      </c>
      <c r="N1665" s="470">
        <f t="shared" si="1252"/>
        <v>0</v>
      </c>
      <c r="O1665" s="468">
        <f t="shared" si="1245"/>
        <v>2014</v>
      </c>
      <c r="P1665" s="616">
        <f t="shared" si="1253"/>
        <v>0</v>
      </c>
      <c r="Q1665" s="472">
        <f t="shared" si="1254"/>
        <v>0</v>
      </c>
      <c r="R1665" s="472">
        <v>0</v>
      </c>
      <c r="S1665" s="1160">
        <f t="shared" si="1246"/>
        <v>2015</v>
      </c>
      <c r="T1665" s="470">
        <f t="shared" si="1256"/>
        <v>1</v>
      </c>
      <c r="U1665" s="612">
        <f t="shared" si="1247"/>
        <v>0</v>
      </c>
      <c r="V1665" s="464">
        <f t="shared" si="1257"/>
        <v>2015</v>
      </c>
      <c r="W1665" s="612">
        <f t="shared" si="1258"/>
        <v>0</v>
      </c>
      <c r="X1665" s="561"/>
      <c r="Y1665" s="449"/>
      <c r="Z1665" s="449"/>
      <c r="AA1665" s="554" t="s">
        <v>4179</v>
      </c>
      <c r="AB1665" s="452"/>
      <c r="AC1665" s="452"/>
      <c r="AD1665" s="566"/>
      <c r="AE1665" s="452"/>
      <c r="AF1665" s="571"/>
      <c r="AG1665" s="452"/>
      <c r="AH1665" s="452"/>
      <c r="AI1665" s="453"/>
      <c r="AJ1665" s="449"/>
      <c r="AK1665" s="453"/>
      <c r="AL1665" s="454"/>
      <c r="AM1665" s="455"/>
      <c r="AN1665" s="456"/>
      <c r="AO1665" s="455"/>
      <c r="AP1665" s="452"/>
      <c r="AQ1665" s="457"/>
      <c r="AR1665" s="449"/>
      <c r="AS1665" s="449"/>
      <c r="AT1665" s="452"/>
      <c r="AU1665" s="457"/>
      <c r="AV1665" s="449"/>
      <c r="AW1665" s="458"/>
      <c r="AX1665" s="452"/>
      <c r="AY1665" s="457"/>
      <c r="AZ1665" s="449"/>
      <c r="BA1665" s="459"/>
      <c r="BB1665" s="455"/>
      <c r="BC1665" s="460"/>
      <c r="BD1665" s="460"/>
      <c r="BG1665" s="462"/>
    </row>
    <row r="1666" spans="1:59" s="461" customFormat="1" ht="18" customHeight="1" x14ac:dyDescent="0.2">
      <c r="A1666" s="1368" t="str">
        <f t="shared" si="1248"/>
        <v>GUNUNG KESIANGAN - PL. KALIMANTING2016</v>
      </c>
      <c r="B1666" s="1373"/>
      <c r="C1666" s="488"/>
      <c r="D1666" s="489"/>
      <c r="E1666" s="558"/>
      <c r="F1666" s="559">
        <v>2016</v>
      </c>
      <c r="G1666" s="619">
        <v>0</v>
      </c>
      <c r="H1666" s="464">
        <f>IF(N1661-(F1666-F1661)&lt;=0,0,(N1661-(F1666-F1661)))</f>
        <v>0</v>
      </c>
      <c r="I1666" s="560"/>
      <c r="J1666" s="468">
        <f t="shared" si="1244"/>
        <v>2015</v>
      </c>
      <c r="K1666" s="490">
        <f t="shared" si="1249"/>
        <v>0</v>
      </c>
      <c r="L1666" s="469">
        <f t="shared" si="1250"/>
        <v>0</v>
      </c>
      <c r="M1666" s="683">
        <f t="shared" si="1251"/>
        <v>0</v>
      </c>
      <c r="N1666" s="470">
        <f t="shared" si="1252"/>
        <v>0</v>
      </c>
      <c r="O1666" s="468">
        <f t="shared" si="1245"/>
        <v>2015</v>
      </c>
      <c r="P1666" s="616">
        <f t="shared" si="1253"/>
        <v>0</v>
      </c>
      <c r="Q1666" s="472">
        <f t="shared" si="1254"/>
        <v>0</v>
      </c>
      <c r="R1666" s="472">
        <f>IF(L1666=0,R1665,Q1666/N1666)</f>
        <v>0</v>
      </c>
      <c r="S1666" s="1160">
        <f t="shared" si="1246"/>
        <v>2016</v>
      </c>
      <c r="T1666" s="470">
        <f t="shared" si="1256"/>
        <v>1</v>
      </c>
      <c r="U1666" s="612">
        <f t="shared" si="1247"/>
        <v>0</v>
      </c>
      <c r="V1666" s="464">
        <f t="shared" si="1257"/>
        <v>2016</v>
      </c>
      <c r="W1666" s="612">
        <f t="shared" si="1258"/>
        <v>0</v>
      </c>
      <c r="X1666" s="561"/>
      <c r="Y1666" s="449"/>
      <c r="Z1666" s="449"/>
      <c r="AA1666" s="554"/>
      <c r="AB1666" s="452"/>
      <c r="AC1666" s="452"/>
      <c r="AD1666" s="566"/>
      <c r="AE1666" s="452"/>
      <c r="AF1666" s="571"/>
      <c r="AG1666" s="452"/>
      <c r="AH1666" s="452"/>
      <c r="AI1666" s="453"/>
      <c r="AJ1666" s="449"/>
      <c r="AK1666" s="453"/>
      <c r="AL1666" s="454"/>
      <c r="AM1666" s="455"/>
      <c r="AN1666" s="456"/>
      <c r="AO1666" s="455"/>
      <c r="AP1666" s="452"/>
      <c r="AQ1666" s="457"/>
      <c r="AR1666" s="449"/>
      <c r="AS1666" s="449"/>
      <c r="AT1666" s="452"/>
      <c r="AU1666" s="457"/>
      <c r="AV1666" s="449"/>
      <c r="AW1666" s="458"/>
      <c r="AX1666" s="452"/>
      <c r="AY1666" s="457"/>
      <c r="AZ1666" s="449"/>
      <c r="BA1666" s="459"/>
      <c r="BB1666" s="455"/>
      <c r="BC1666" s="460"/>
      <c r="BD1666" s="460"/>
      <c r="BG1666" s="462"/>
    </row>
    <row r="1667" spans="1:59" s="486" customFormat="1" ht="18" customHeight="1" x14ac:dyDescent="0.2">
      <c r="A1667" s="1368" t="str">
        <f t="shared" si="1248"/>
        <v>GUNUNG KESIANGAN - PL. KALIMANTING2017</v>
      </c>
      <c r="B1667" s="1373">
        <v>3</v>
      </c>
      <c r="C1667" s="488" t="s">
        <v>3072</v>
      </c>
      <c r="D1667" s="489" t="s">
        <v>3821</v>
      </c>
      <c r="E1667" s="558"/>
      <c r="F1667" s="559">
        <v>2017</v>
      </c>
      <c r="G1667" s="619">
        <f>192368982+1877489539</f>
        <v>2069858521</v>
      </c>
      <c r="H1667" s="557">
        <f>VLOOKUP(LEFT(D1667,8),UE,4)</f>
        <v>10</v>
      </c>
      <c r="I1667" s="560"/>
      <c r="J1667" s="468">
        <f t="shared" si="1244"/>
        <v>2026</v>
      </c>
      <c r="K1667" s="490">
        <f t="shared" si="1249"/>
        <v>1</v>
      </c>
      <c r="L1667" s="469">
        <f t="shared" si="1250"/>
        <v>10</v>
      </c>
      <c r="M1667" s="683">
        <f t="shared" si="1251"/>
        <v>0</v>
      </c>
      <c r="N1667" s="470">
        <f t="shared" si="1252"/>
        <v>10</v>
      </c>
      <c r="O1667" s="468">
        <f t="shared" si="1245"/>
        <v>2026</v>
      </c>
      <c r="P1667" s="616">
        <f t="shared" si="1253"/>
        <v>0</v>
      </c>
      <c r="Q1667" s="472">
        <f t="shared" si="1254"/>
        <v>2069858521</v>
      </c>
      <c r="R1667" s="472">
        <f>IF(L1667=0,R1666,Q1667/N1667)</f>
        <v>206985852.09999999</v>
      </c>
      <c r="S1667" s="1160">
        <f t="shared" si="1246"/>
        <v>2017</v>
      </c>
      <c r="T1667" s="470">
        <f t="shared" si="1256"/>
        <v>1</v>
      </c>
      <c r="U1667" s="612">
        <f t="shared" si="1247"/>
        <v>206985852.09999999</v>
      </c>
      <c r="V1667" s="464">
        <f t="shared" si="1257"/>
        <v>2017</v>
      </c>
      <c r="W1667" s="612">
        <f t="shared" si="1258"/>
        <v>1862872668.9000001</v>
      </c>
      <c r="X1667" s="561"/>
      <c r="Y1667" s="474"/>
      <c r="Z1667" s="449"/>
      <c r="AA1667" s="475" t="s">
        <v>4180</v>
      </c>
      <c r="AB1667" s="476"/>
      <c r="AC1667" s="476"/>
      <c r="AD1667" s="567">
        <f>G1672</f>
        <v>8177098603</v>
      </c>
      <c r="AE1667" s="476"/>
      <c r="AF1667" s="568"/>
      <c r="AG1667" s="476"/>
      <c r="AH1667" s="476"/>
      <c r="AI1667" s="477"/>
      <c r="AJ1667" s="478"/>
      <c r="AK1667" s="479"/>
      <c r="AL1667" s="480"/>
      <c r="AM1667" s="474"/>
      <c r="AN1667" s="481"/>
      <c r="AO1667" s="474"/>
      <c r="AP1667" s="476"/>
      <c r="AQ1667" s="482"/>
      <c r="AR1667" s="478"/>
      <c r="AS1667" s="478"/>
      <c r="AT1667" s="476"/>
      <c r="AU1667" s="482"/>
      <c r="AV1667" s="478"/>
      <c r="AW1667" s="483"/>
      <c r="AX1667" s="476"/>
      <c r="AY1667" s="482"/>
      <c r="AZ1667" s="478"/>
      <c r="BA1667" s="484"/>
      <c r="BB1667" s="474"/>
      <c r="BC1667" s="485"/>
      <c r="BD1667" s="485"/>
      <c r="BG1667" s="487"/>
    </row>
    <row r="1668" spans="1:59" s="486" customFormat="1" ht="18" customHeight="1" x14ac:dyDescent="0.2">
      <c r="A1668" s="1368" t="str">
        <f t="shared" si="1248"/>
        <v>GUNUNG KESIANGAN - PL. KALIMANTING2018</v>
      </c>
      <c r="B1668" s="1373">
        <v>4</v>
      </c>
      <c r="C1668" s="488" t="s">
        <v>3313</v>
      </c>
      <c r="D1668" s="489"/>
      <c r="E1668" s="558"/>
      <c r="F1668" s="559">
        <v>2018</v>
      </c>
      <c r="G1668" s="619">
        <v>2282412952</v>
      </c>
      <c r="H1668" s="464">
        <f>IF(N1667-(F1668-F1667)&lt;=0,0,(N1667-(F1668-F1667)))</f>
        <v>9</v>
      </c>
      <c r="I1668" s="467"/>
      <c r="J1668" s="468">
        <f t="shared" si="1244"/>
        <v>2027</v>
      </c>
      <c r="K1668" s="490">
        <f t="shared" si="1249"/>
        <v>1.2252114651226982</v>
      </c>
      <c r="L1668" s="469">
        <f t="shared" si="1250"/>
        <v>10</v>
      </c>
      <c r="M1668" s="683">
        <f t="shared" si="1251"/>
        <v>1</v>
      </c>
      <c r="N1668" s="470">
        <f t="shared" si="1252"/>
        <v>10</v>
      </c>
      <c r="O1668" s="468">
        <f t="shared" si="1245"/>
        <v>2027</v>
      </c>
      <c r="P1668" s="616">
        <f t="shared" si="1253"/>
        <v>1862872668.9000001</v>
      </c>
      <c r="Q1668" s="472">
        <f t="shared" si="1254"/>
        <v>4145285620.9000001</v>
      </c>
      <c r="R1668" s="472">
        <f>IF(L1668=0,R1667,Q1668/N1668)</f>
        <v>414528562.09000003</v>
      </c>
      <c r="S1668" s="1160">
        <f t="shared" si="1246"/>
        <v>2018</v>
      </c>
      <c r="T1668" s="470">
        <f t="shared" si="1256"/>
        <v>1</v>
      </c>
      <c r="U1668" s="612">
        <f t="shared" si="1247"/>
        <v>414528562.09000003</v>
      </c>
      <c r="V1668" s="464">
        <f t="shared" si="1257"/>
        <v>2018</v>
      </c>
      <c r="W1668" s="612">
        <f t="shared" si="1258"/>
        <v>3730757058.8099999</v>
      </c>
      <c r="X1668" s="473"/>
      <c r="Y1668" s="478"/>
      <c r="Z1668" s="449"/>
      <c r="AA1668" s="475" t="s">
        <v>4181</v>
      </c>
      <c r="AB1668" s="491"/>
      <c r="AC1668" s="491"/>
      <c r="AD1668" s="567">
        <f>U1672</f>
        <v>2794572833.0710001</v>
      </c>
      <c r="AE1668" s="491"/>
      <c r="AF1668" s="568"/>
      <c r="AG1668" s="491"/>
      <c r="AH1668" s="491"/>
      <c r="AI1668" s="477"/>
      <c r="AJ1668" s="478"/>
      <c r="AK1668" s="479"/>
      <c r="AL1668" s="480"/>
      <c r="AM1668" s="474"/>
      <c r="AN1668" s="481"/>
      <c r="AO1668" s="474"/>
      <c r="AP1668" s="476"/>
      <c r="AQ1668" s="482"/>
      <c r="AR1668" s="478"/>
      <c r="AS1668" s="478"/>
      <c r="AT1668" s="476"/>
      <c r="AU1668" s="482"/>
      <c r="AV1668" s="478"/>
      <c r="AW1668" s="483"/>
      <c r="AX1668" s="476"/>
      <c r="AY1668" s="482"/>
      <c r="AZ1668" s="478"/>
      <c r="BA1668" s="484"/>
      <c r="BB1668" s="474"/>
      <c r="BC1668" s="485"/>
      <c r="BD1668" s="485"/>
      <c r="BG1668" s="487"/>
    </row>
    <row r="1669" spans="1:59" s="486" customFormat="1" ht="18" customHeight="1" x14ac:dyDescent="0.2">
      <c r="A1669" s="1368" t="str">
        <f t="shared" si="1248"/>
        <v>GUNUNG KESIANGAN - PL. KALIMANTING2019</v>
      </c>
      <c r="B1669" s="1373">
        <v>5</v>
      </c>
      <c r="C1669" s="488" t="s">
        <v>5494</v>
      </c>
      <c r="D1669" s="489"/>
      <c r="E1669" s="558"/>
      <c r="F1669" s="559">
        <v>2019</v>
      </c>
      <c r="G1669" s="619">
        <v>2249827130</v>
      </c>
      <c r="H1669" s="464">
        <f>IF(N1668-(F1669-F1668)&lt;=0,0,(N1668-(F1669-F1668)))</f>
        <v>9</v>
      </c>
      <c r="I1669" s="467"/>
      <c r="J1669" s="468">
        <f t="shared" si="1244"/>
        <v>2028</v>
      </c>
      <c r="K1669" s="490">
        <f>IF(G1669=0,0,IF(H1669=10,100%,G1669/W1668))</f>
        <v>0.60304841471441928</v>
      </c>
      <c r="L1669" s="469">
        <f>IF(K1669=0%,0,IF(K1669&lt;=30%,2,IF(K1669&lt;=60%,5,10)))</f>
        <v>10</v>
      </c>
      <c r="M1669" s="683">
        <f>IF(OR(AND(ISBLANK(E1669),ISBLANK(G1669)),ISTEXT(E1669),ISTEXT(G1669)),"",IF(H1669+L1669&gt;$H$1657,$H$1657-H1669,L1669))</f>
        <v>1</v>
      </c>
      <c r="N1669" s="470">
        <f t="shared" si="1252"/>
        <v>10</v>
      </c>
      <c r="O1669" s="468">
        <f t="shared" si="1245"/>
        <v>2028</v>
      </c>
      <c r="P1669" s="616">
        <f>W1668</f>
        <v>3730757058.8099999</v>
      </c>
      <c r="Q1669" s="472">
        <f>P1669+G1669</f>
        <v>5980584188.8099995</v>
      </c>
      <c r="R1669" s="472">
        <f>IF(L1669=0,R1668,Q1669/N1669)</f>
        <v>598058418.88099992</v>
      </c>
      <c r="S1669" s="1189">
        <f>F1669</f>
        <v>2019</v>
      </c>
      <c r="T1669" s="470">
        <f>S1669-S1668</f>
        <v>1</v>
      </c>
      <c r="U1669" s="612">
        <f>R1669*T1669</f>
        <v>598058418.88099992</v>
      </c>
      <c r="V1669" s="464">
        <f>F1669</f>
        <v>2019</v>
      </c>
      <c r="W1669" s="612">
        <f>IF(OR(AND(ISBLANK(E1669),ISBLANK(G1669)),ISTEXT(E1669),ISTEXT(G1669)),"",Q1669-U1669)</f>
        <v>5382525769.9289999</v>
      </c>
      <c r="X1669" s="473"/>
      <c r="Y1669" s="478"/>
      <c r="Z1669" s="449"/>
      <c r="AA1669" s="492" t="s">
        <v>4182</v>
      </c>
      <c r="AB1669" s="476"/>
      <c r="AC1669" s="476"/>
      <c r="AD1669" s="567">
        <f>AD1667-AD1668</f>
        <v>5382525769.9289999</v>
      </c>
      <c r="AE1669" s="476"/>
      <c r="AF1669" s="568"/>
      <c r="AG1669" s="476"/>
      <c r="AH1669" s="476"/>
      <c r="AI1669" s="477"/>
      <c r="AJ1669" s="478"/>
      <c r="AK1669" s="479"/>
      <c r="AL1669" s="480"/>
      <c r="AM1669" s="474"/>
      <c r="AN1669" s="481"/>
      <c r="AO1669" s="474"/>
      <c r="AP1669" s="476"/>
      <c r="AQ1669" s="482"/>
      <c r="AR1669" s="478"/>
      <c r="AS1669" s="478"/>
      <c r="AT1669" s="476"/>
      <c r="AU1669" s="482"/>
      <c r="AV1669" s="478"/>
      <c r="AW1669" s="483"/>
      <c r="AX1669" s="476"/>
      <c r="AY1669" s="482"/>
      <c r="AZ1669" s="478"/>
      <c r="BA1669" s="484"/>
      <c r="BB1669" s="474"/>
      <c r="BC1669" s="485"/>
      <c r="BD1669" s="485"/>
      <c r="BG1669" s="487"/>
    </row>
    <row r="1670" spans="1:59" s="486" customFormat="1" ht="18" customHeight="1" x14ac:dyDescent="0.2">
      <c r="A1670" s="1368" t="str">
        <f>LEFT(D1670,8)</f>
        <v/>
      </c>
      <c r="B1670" s="687"/>
      <c r="C1670" s="488"/>
      <c r="D1670" s="489"/>
      <c r="E1670" s="558"/>
      <c r="F1670" s="466"/>
      <c r="G1670" s="619"/>
      <c r="H1670" s="464"/>
      <c r="I1670" s="467"/>
      <c r="J1670" s="468"/>
      <c r="K1670" s="490"/>
      <c r="L1670" s="469"/>
      <c r="M1670" s="683"/>
      <c r="N1670" s="470"/>
      <c r="O1670" s="468"/>
      <c r="P1670" s="616"/>
      <c r="Q1670" s="472"/>
      <c r="R1670" s="472"/>
      <c r="S1670" s="1160"/>
      <c r="T1670" s="470"/>
      <c r="U1670" s="612"/>
      <c r="V1670" s="464"/>
      <c r="W1670" s="612"/>
      <c r="X1670" s="473"/>
      <c r="Y1670" s="478"/>
      <c r="Z1670" s="449"/>
      <c r="AA1670" s="531" t="s">
        <v>4183</v>
      </c>
      <c r="AB1670" s="496"/>
      <c r="AC1670" s="496"/>
      <c r="AD1670" s="569">
        <f>AD1669-W1672</f>
        <v>0</v>
      </c>
      <c r="AE1670" s="476"/>
      <c r="AF1670" s="568"/>
      <c r="AG1670" s="476"/>
      <c r="AH1670" s="476"/>
      <c r="AI1670" s="477"/>
      <c r="AJ1670" s="478"/>
      <c r="AK1670" s="479"/>
      <c r="AL1670" s="480"/>
      <c r="AM1670" s="474"/>
      <c r="AN1670" s="481"/>
      <c r="AO1670" s="474"/>
      <c r="AP1670" s="476"/>
      <c r="AQ1670" s="482"/>
      <c r="AR1670" s="478"/>
      <c r="AS1670" s="478"/>
      <c r="AT1670" s="476"/>
      <c r="AU1670" s="482"/>
      <c r="AV1670" s="478"/>
      <c r="AW1670" s="483"/>
      <c r="AX1670" s="476"/>
      <c r="AY1670" s="482"/>
      <c r="AZ1670" s="478"/>
      <c r="BA1670" s="484"/>
      <c r="BB1670" s="474"/>
      <c r="BC1670" s="485"/>
      <c r="BD1670" s="485"/>
      <c r="BG1670" s="487"/>
    </row>
    <row r="1671" spans="1:59" s="486" customFormat="1" ht="18" customHeight="1" x14ac:dyDescent="0.2">
      <c r="A1671" s="1368" t="str">
        <f>LEFT(D1671,8)</f>
        <v/>
      </c>
      <c r="B1671" s="687"/>
      <c r="C1671" s="463"/>
      <c r="D1671" s="489"/>
      <c r="E1671" s="465"/>
      <c r="F1671" s="466"/>
      <c r="G1671" s="620"/>
      <c r="H1671" s="464"/>
      <c r="I1671" s="467"/>
      <c r="J1671" s="468"/>
      <c r="K1671" s="574"/>
      <c r="L1671" s="469"/>
      <c r="M1671" s="683"/>
      <c r="N1671" s="470"/>
      <c r="O1671" s="468"/>
      <c r="P1671" s="616"/>
      <c r="Q1671" s="472"/>
      <c r="R1671" s="472"/>
      <c r="S1671" s="1160"/>
      <c r="T1671" s="470"/>
      <c r="U1671" s="612"/>
      <c r="V1671" s="464"/>
      <c r="W1671" s="612"/>
      <c r="X1671" s="473"/>
      <c r="Y1671" s="478"/>
      <c r="Z1671" s="449"/>
      <c r="AA1671" s="573"/>
      <c r="AB1671" s="476"/>
      <c r="AC1671" s="476"/>
      <c r="AD1671" s="568"/>
      <c r="AE1671" s="476"/>
      <c r="AF1671" s="568"/>
      <c r="AG1671" s="476"/>
      <c r="AH1671" s="476"/>
      <c r="AI1671" s="477"/>
      <c r="AJ1671" s="478"/>
      <c r="AK1671" s="479"/>
      <c r="AL1671" s="480"/>
      <c r="AM1671" s="474"/>
      <c r="AN1671" s="481"/>
      <c r="AO1671" s="474"/>
      <c r="AP1671" s="476"/>
      <c r="AQ1671" s="482"/>
      <c r="AR1671" s="478"/>
      <c r="AS1671" s="478"/>
      <c r="AT1671" s="476"/>
      <c r="AU1671" s="482"/>
      <c r="AV1671" s="478"/>
      <c r="AW1671" s="483"/>
      <c r="AX1671" s="476"/>
      <c r="AY1671" s="482"/>
      <c r="AZ1671" s="478"/>
      <c r="BA1671" s="484"/>
      <c r="BB1671" s="474"/>
      <c r="BC1671" s="485"/>
      <c r="BD1671" s="485"/>
      <c r="BG1671" s="487"/>
    </row>
    <row r="1672" spans="1:59" s="526" customFormat="1" ht="18" customHeight="1" x14ac:dyDescent="0.2">
      <c r="A1672" s="1370" t="s">
        <v>4184</v>
      </c>
      <c r="B1672" s="1956" t="s">
        <v>4184</v>
      </c>
      <c r="C1672" s="1957"/>
      <c r="D1672" s="1957"/>
      <c r="E1672" s="1957"/>
      <c r="F1672" s="1958"/>
      <c r="G1672" s="624">
        <f>SUM(G1657:G1671)</f>
        <v>8177098603</v>
      </c>
      <c r="H1672" s="505"/>
      <c r="I1672" s="506"/>
      <c r="J1672" s="507"/>
      <c r="K1672" s="507"/>
      <c r="L1672" s="505"/>
      <c r="M1672" s="684"/>
      <c r="N1672" s="508"/>
      <c r="O1672" s="507"/>
      <c r="P1672" s="749"/>
      <c r="Q1672" s="510"/>
      <c r="R1672" s="511"/>
      <c r="S1672" s="512"/>
      <c r="T1672" s="512"/>
      <c r="U1672" s="610">
        <f>SUM(U1657:U1671)</f>
        <v>2794572833.0710001</v>
      </c>
      <c r="V1672" s="513"/>
      <c r="W1672" s="610">
        <f>G1672-U1672</f>
        <v>5382525769.9289999</v>
      </c>
      <c r="X1672" s="514"/>
      <c r="Y1672" s="515"/>
      <c r="Z1672" s="515"/>
      <c r="AA1672" s="515"/>
      <c r="AB1672" s="515"/>
      <c r="AC1672" s="515"/>
      <c r="AD1672" s="570"/>
      <c r="AE1672" s="515"/>
      <c r="AF1672" s="570"/>
      <c r="AG1672" s="515"/>
      <c r="AH1672" s="515"/>
      <c r="AI1672" s="516"/>
      <c r="AJ1672" s="517"/>
      <c r="AK1672" s="518"/>
      <c r="AL1672" s="519"/>
      <c r="AM1672" s="520"/>
      <c r="AN1672" s="521"/>
      <c r="AO1672" s="520"/>
      <c r="AP1672" s="515"/>
      <c r="AQ1672" s="522"/>
      <c r="AR1672" s="517"/>
      <c r="AS1672" s="517"/>
      <c r="AT1672" s="515"/>
      <c r="AU1672" s="522"/>
      <c r="AV1672" s="517"/>
      <c r="AW1672" s="523"/>
      <c r="AX1672" s="515"/>
      <c r="AY1672" s="522"/>
      <c r="AZ1672" s="517"/>
      <c r="BA1672" s="524"/>
      <c r="BB1672" s="520"/>
      <c r="BC1672" s="525"/>
      <c r="BD1672" s="525"/>
      <c r="BG1672" s="527"/>
    </row>
    <row r="1674" spans="1:59" x14ac:dyDescent="0.2">
      <c r="I1674" s="627"/>
    </row>
    <row r="1675" spans="1:59" s="422" customFormat="1" ht="18" customHeight="1" x14ac:dyDescent="0.2">
      <c r="A1675" s="1376">
        <f>C1675</f>
        <v>279</v>
      </c>
      <c r="B1675" s="742" t="s">
        <v>4187</v>
      </c>
      <c r="C1675" s="556">
        <v>279</v>
      </c>
      <c r="D1675" s="553" t="str">
        <f>VLOOKUP(C1675,RUAS,2,FALSE)</f>
        <v>TALONTAM - BANJAR BENAI</v>
      </c>
      <c r="E1675" s="553"/>
      <c r="F1675" s="421"/>
      <c r="G1675" s="611"/>
      <c r="I1675" s="423"/>
      <c r="J1675" s="424"/>
      <c r="K1675" s="424"/>
      <c r="M1675" s="680"/>
      <c r="P1675" s="611"/>
      <c r="U1675" s="611"/>
      <c r="W1675" s="611"/>
      <c r="Y1675" s="425"/>
      <c r="Z1675" s="425"/>
      <c r="AA1675" s="425"/>
      <c r="AB1675" s="425"/>
      <c r="AC1675" s="425"/>
      <c r="AD1675" s="563"/>
      <c r="AE1675" s="425"/>
      <c r="AF1675" s="563"/>
      <c r="AG1675" s="425"/>
      <c r="AH1675" s="425"/>
      <c r="AI1675" s="425"/>
      <c r="AJ1675" s="425"/>
      <c r="AK1675" s="425"/>
      <c r="AL1675" s="425"/>
      <c r="AM1675" s="425"/>
      <c r="AN1675" s="425"/>
      <c r="AO1675" s="425"/>
      <c r="AP1675" s="425"/>
      <c r="AQ1675" s="425"/>
      <c r="AR1675" s="425"/>
      <c r="AS1675" s="425"/>
      <c r="AT1675" s="425"/>
      <c r="AU1675" s="425"/>
      <c r="AV1675" s="425"/>
      <c r="AW1675" s="425"/>
      <c r="AX1675" s="425"/>
      <c r="AY1675" s="425"/>
      <c r="AZ1675" s="425"/>
      <c r="BA1675" s="425"/>
      <c r="BB1675" s="425"/>
    </row>
    <row r="1676" spans="1:59" s="431" customFormat="1" ht="18" customHeight="1" x14ac:dyDescent="0.2">
      <c r="A1676" s="1367"/>
      <c r="B1676" s="1968" t="s">
        <v>5</v>
      </c>
      <c r="C1676" s="1968" t="s">
        <v>2280</v>
      </c>
      <c r="D1676" s="1968" t="s">
        <v>4157</v>
      </c>
      <c r="E1676" s="1968" t="s">
        <v>4158</v>
      </c>
      <c r="F1676" s="1968"/>
      <c r="G1676" s="2042" t="s">
        <v>4159</v>
      </c>
      <c r="H1676" s="1968" t="s">
        <v>4160</v>
      </c>
      <c r="I1676" s="1968"/>
      <c r="J1676" s="1968" t="s">
        <v>4185</v>
      </c>
      <c r="K1676" s="1964" t="s">
        <v>4162</v>
      </c>
      <c r="L1676" s="1968" t="s">
        <v>4163</v>
      </c>
      <c r="M1676" s="1971" t="s">
        <v>4164</v>
      </c>
      <c r="N1676" s="1962" t="s">
        <v>4165</v>
      </c>
      <c r="O1676" s="1968" t="s">
        <v>4166</v>
      </c>
      <c r="P1676" s="1972" t="s">
        <v>4167</v>
      </c>
      <c r="Q1676" s="1973"/>
      <c r="R1676" s="636" t="s">
        <v>4186</v>
      </c>
      <c r="S1676" s="1972" t="s">
        <v>4169</v>
      </c>
      <c r="T1676" s="1974"/>
      <c r="U1676" s="1973"/>
      <c r="V1676" s="1975" t="s">
        <v>4170</v>
      </c>
      <c r="W1676" s="1975"/>
      <c r="X1676" s="1960" t="s">
        <v>4171</v>
      </c>
      <c r="Y1676" s="1959"/>
      <c r="Z1676" s="633"/>
      <c r="AA1676" s="426"/>
      <c r="AB1676" s="426"/>
      <c r="AC1676" s="426"/>
      <c r="AD1676" s="564"/>
      <c r="AE1676" s="426"/>
      <c r="AF1676" s="564"/>
      <c r="AG1676" s="426"/>
      <c r="AH1676" s="426"/>
      <c r="AI1676" s="427"/>
      <c r="AJ1676" s="427"/>
      <c r="AK1676" s="427"/>
      <c r="AL1676" s="427"/>
      <c r="AM1676" s="428"/>
      <c r="AN1676" s="427"/>
      <c r="AO1676" s="427"/>
      <c r="AP1676" s="426"/>
      <c r="AQ1676" s="427"/>
      <c r="AR1676" s="427"/>
      <c r="AS1676" s="427"/>
      <c r="AT1676" s="426"/>
      <c r="AU1676" s="427"/>
      <c r="AV1676" s="427"/>
      <c r="AW1676" s="427"/>
      <c r="AX1676" s="426"/>
      <c r="AY1676" s="427"/>
      <c r="AZ1676" s="427"/>
      <c r="BA1676" s="427"/>
      <c r="BB1676" s="429"/>
      <c r="BC1676" s="430"/>
      <c r="BD1676" s="430"/>
    </row>
    <row r="1677" spans="1:59" s="431" customFormat="1" ht="18" customHeight="1" x14ac:dyDescent="0.2">
      <c r="A1677" s="1367"/>
      <c r="B1677" s="1968"/>
      <c r="C1677" s="1968"/>
      <c r="D1677" s="1968"/>
      <c r="E1677" s="1968"/>
      <c r="F1677" s="1968"/>
      <c r="G1677" s="2042"/>
      <c r="H1677" s="1968"/>
      <c r="I1677" s="1968"/>
      <c r="J1677" s="1968"/>
      <c r="K1677" s="1970"/>
      <c r="L1677" s="1968"/>
      <c r="M1677" s="1971"/>
      <c r="N1677" s="1963"/>
      <c r="O1677" s="1968"/>
      <c r="P1677" s="2037" t="s">
        <v>4172</v>
      </c>
      <c r="Q1677" s="1960" t="s">
        <v>4173</v>
      </c>
      <c r="R1677" s="1962" t="s">
        <v>4159</v>
      </c>
      <c r="S1677" s="1962" t="s">
        <v>4174</v>
      </c>
      <c r="T1677" s="1964" t="s">
        <v>4175</v>
      </c>
      <c r="U1677" s="1966" t="s">
        <v>4159</v>
      </c>
      <c r="V1677" s="1975"/>
      <c r="W1677" s="1975"/>
      <c r="X1677" s="1976"/>
      <c r="Y1677" s="1959"/>
      <c r="Z1677" s="633"/>
      <c r="AA1677" s="426"/>
      <c r="AB1677" s="426"/>
      <c r="AC1677" s="426"/>
      <c r="AD1677" s="564"/>
      <c r="AE1677" s="426"/>
      <c r="AF1677" s="564"/>
      <c r="AG1677" s="426"/>
      <c r="AH1677" s="426"/>
      <c r="AI1677" s="427"/>
      <c r="AJ1677" s="427"/>
      <c r="AK1677" s="426"/>
      <c r="AL1677" s="427"/>
      <c r="AM1677" s="428"/>
      <c r="AN1677" s="427"/>
      <c r="AO1677" s="427"/>
      <c r="AP1677" s="432"/>
      <c r="AQ1677" s="427"/>
      <c r="AR1677" s="427"/>
      <c r="AS1677" s="427"/>
      <c r="AT1677" s="432"/>
      <c r="AU1677" s="427"/>
      <c r="AV1677" s="427"/>
      <c r="AW1677" s="427"/>
      <c r="AX1677" s="432"/>
      <c r="AY1677" s="427"/>
      <c r="AZ1677" s="427"/>
      <c r="BA1677" s="427"/>
      <c r="BB1677" s="429"/>
      <c r="BC1677" s="430"/>
      <c r="BD1677" s="430"/>
    </row>
    <row r="1678" spans="1:59" s="431" customFormat="1" ht="18" customHeight="1" x14ac:dyDescent="0.2">
      <c r="A1678" s="1367"/>
      <c r="B1678" s="1968"/>
      <c r="C1678" s="1968"/>
      <c r="D1678" s="1968"/>
      <c r="E1678" s="433" t="s">
        <v>4176</v>
      </c>
      <c r="F1678" s="434" t="s">
        <v>2288</v>
      </c>
      <c r="G1678" s="2042"/>
      <c r="H1678" s="635" t="s">
        <v>2288</v>
      </c>
      <c r="I1678" s="635" t="s">
        <v>4177</v>
      </c>
      <c r="J1678" s="1968"/>
      <c r="K1678" s="1965"/>
      <c r="L1678" s="435" t="s">
        <v>2288</v>
      </c>
      <c r="M1678" s="681" t="s">
        <v>2288</v>
      </c>
      <c r="N1678" s="635" t="s">
        <v>2288</v>
      </c>
      <c r="O1678" s="1968"/>
      <c r="P1678" s="2038"/>
      <c r="Q1678" s="1961"/>
      <c r="R1678" s="1963"/>
      <c r="S1678" s="1963"/>
      <c r="T1678" s="1965"/>
      <c r="U1678" s="1967"/>
      <c r="V1678" s="635" t="s">
        <v>4178</v>
      </c>
      <c r="W1678" s="637" t="s">
        <v>4159</v>
      </c>
      <c r="X1678" s="1961"/>
      <c r="Y1678" s="436"/>
      <c r="Z1678" s="436"/>
      <c r="AA1678" s="426"/>
      <c r="AB1678" s="426"/>
      <c r="AC1678" s="426"/>
      <c r="AD1678" s="564"/>
      <c r="AE1678" s="426"/>
      <c r="AF1678" s="564"/>
      <c r="AG1678" s="426"/>
      <c r="AH1678" s="426"/>
      <c r="AI1678" s="427"/>
      <c r="AJ1678" s="432"/>
      <c r="AK1678" s="432"/>
      <c r="AL1678" s="427"/>
      <c r="AM1678" s="428"/>
      <c r="AN1678" s="432"/>
      <c r="AO1678" s="427"/>
      <c r="AP1678" s="432"/>
      <c r="AQ1678" s="432"/>
      <c r="AR1678" s="427"/>
      <c r="AS1678" s="427"/>
      <c r="AT1678" s="432"/>
      <c r="AU1678" s="432"/>
      <c r="AV1678" s="427"/>
      <c r="AW1678" s="427"/>
      <c r="AX1678" s="432"/>
      <c r="AY1678" s="432"/>
      <c r="AZ1678" s="427"/>
      <c r="BA1678" s="427"/>
      <c r="BB1678" s="429"/>
      <c r="BC1678" s="430"/>
      <c r="BD1678" s="430"/>
    </row>
    <row r="1679" spans="1:59" s="461" customFormat="1" ht="18" customHeight="1" x14ac:dyDescent="0.2">
      <c r="A1679" s="1368" t="str">
        <f>$D$1675&amp;S1679</f>
        <v>TALONTAM - BANJAR BENAI2001</v>
      </c>
      <c r="B1679" s="1373">
        <v>1</v>
      </c>
      <c r="C1679" s="532" t="s">
        <v>483</v>
      </c>
      <c r="D1679" s="437" t="s">
        <v>3821</v>
      </c>
      <c r="E1679" s="438"/>
      <c r="F1679" s="439">
        <v>2001</v>
      </c>
      <c r="G1679" s="623">
        <f>2520000000+190125000</f>
        <v>2710125000</v>
      </c>
      <c r="H1679" s="440">
        <f>VLOOKUP(LEFT(D1679,8),UE,4)</f>
        <v>10</v>
      </c>
      <c r="I1679" s="441"/>
      <c r="J1679" s="442">
        <f t="shared" ref="J1679:J1684" si="1259">F1679+N1679-1</f>
        <v>2010</v>
      </c>
      <c r="K1679" s="443"/>
      <c r="L1679" s="440"/>
      <c r="M1679" s="746">
        <f>IF(H1679+L1679&gt;$H1679,$H1679-H1679,L1679)</f>
        <v>0</v>
      </c>
      <c r="N1679" s="444">
        <f>H1679+M1679</f>
        <v>10</v>
      </c>
      <c r="O1679" s="442">
        <f t="shared" ref="O1679:O1684" si="1260">F1679+N1679-1</f>
        <v>2010</v>
      </c>
      <c r="P1679" s="617">
        <f>G1679</f>
        <v>2710125000</v>
      </c>
      <c r="Q1679" s="445">
        <v>0</v>
      </c>
      <c r="R1679" s="445">
        <f>P1679/N1679</f>
        <v>271012500</v>
      </c>
      <c r="S1679" s="446">
        <f t="shared" ref="S1679:S1684" si="1261">F1679</f>
        <v>2001</v>
      </c>
      <c r="T1679" s="447">
        <v>1</v>
      </c>
      <c r="U1679" s="613">
        <f t="shared" ref="U1679:U1684" si="1262">R1679*T1679</f>
        <v>271012500</v>
      </c>
      <c r="V1679" s="442">
        <f t="shared" ref="V1679:V1684" si="1263">F1679</f>
        <v>2001</v>
      </c>
      <c r="W1679" s="617">
        <f>IF(OR(AND(ISBLANK(E1679),ISBLANK(G1679)),ISTEXT(E1679),ISTEXT(G1679)),"",G1679-R1679)</f>
        <v>2439112500</v>
      </c>
      <c r="X1679" s="448"/>
      <c r="Y1679" s="449"/>
      <c r="Z1679" s="449"/>
      <c r="AA1679" s="693"/>
      <c r="AB1679" s="452"/>
      <c r="AC1679" s="452"/>
      <c r="AD1679" s="571"/>
      <c r="AE1679" s="452"/>
      <c r="AF1679" s="571"/>
      <c r="AG1679" s="452"/>
      <c r="AH1679" s="452"/>
      <c r="AI1679" s="453"/>
      <c r="AJ1679" s="449"/>
      <c r="AK1679" s="453"/>
      <c r="AL1679" s="454"/>
      <c r="AM1679" s="455"/>
      <c r="AN1679" s="456"/>
      <c r="AO1679" s="455"/>
      <c r="AP1679" s="452"/>
      <c r="AQ1679" s="457"/>
      <c r="AR1679" s="449"/>
      <c r="AS1679" s="449"/>
      <c r="AT1679" s="452"/>
      <c r="AU1679" s="457"/>
      <c r="AV1679" s="449"/>
      <c r="AW1679" s="458"/>
      <c r="AX1679" s="452"/>
      <c r="AY1679" s="457"/>
      <c r="AZ1679" s="449"/>
      <c r="BA1679" s="459"/>
      <c r="BB1679" s="455"/>
      <c r="BC1679" s="460"/>
      <c r="BD1679" s="460"/>
      <c r="BG1679" s="462"/>
    </row>
    <row r="1680" spans="1:59" s="461" customFormat="1" ht="18" customHeight="1" x14ac:dyDescent="0.2">
      <c r="A1680" s="1368" t="str">
        <f t="shared" ref="A1680:A1691" si="1264">$D$1675&amp;S1680</f>
        <v>TALONTAM - BANJAR BENAI2001</v>
      </c>
      <c r="B1680" s="1373">
        <v>2</v>
      </c>
      <c r="C1680" s="488" t="s">
        <v>483</v>
      </c>
      <c r="D1680" s="489"/>
      <c r="E1680" s="558"/>
      <c r="F1680" s="559">
        <v>2001</v>
      </c>
      <c r="G1680" s="619">
        <v>0</v>
      </c>
      <c r="H1680" s="464">
        <f>IF(N1679-(F1680-F1679)&lt;=0,0,(N1679-(F1680-F1679)))</f>
        <v>10</v>
      </c>
      <c r="I1680" s="560"/>
      <c r="J1680" s="468">
        <f t="shared" si="1259"/>
        <v>2010</v>
      </c>
      <c r="K1680" s="490">
        <f>IF(G1680=0,0,IF(H1680=10,100%,G1680/W1679))</f>
        <v>0</v>
      </c>
      <c r="L1680" s="469">
        <f>IF(K1680=0%,0,IF(K1680&lt;=30%,2,IF(K1680&lt;=60%,5,10)))</f>
        <v>0</v>
      </c>
      <c r="M1680" s="683">
        <f>IF(OR(AND(ISBLANK(E1680),ISBLANK(G1680)),ISTEXT(E1680),ISTEXT(G1680)),"",IF(H1680+L1680&gt;$H$8,$H$8-H1680,L1680))</f>
        <v>0</v>
      </c>
      <c r="N1680" s="470">
        <f>IF(OR(AND(ISBLANK(F1680),ISBLANK(G1680)),ISTEXT(F1680),ISTEXT(G1680)),"",H1680+M1680)</f>
        <v>10</v>
      </c>
      <c r="O1680" s="468">
        <f t="shared" si="1260"/>
        <v>2010</v>
      </c>
      <c r="P1680" s="616">
        <f>W1679</f>
        <v>2439112500</v>
      </c>
      <c r="Q1680" s="472">
        <f>P1680+G1680</f>
        <v>2439112500</v>
      </c>
      <c r="R1680" s="472">
        <f>IF(L1680=0,R1679,Q1680/N1680)</f>
        <v>271012500</v>
      </c>
      <c r="S1680" s="634">
        <f t="shared" si="1261"/>
        <v>2001</v>
      </c>
      <c r="T1680" s="470">
        <f>S1680-S1679</f>
        <v>0</v>
      </c>
      <c r="U1680" s="612">
        <f t="shared" si="1262"/>
        <v>0</v>
      </c>
      <c r="V1680" s="464">
        <f t="shared" si="1263"/>
        <v>2001</v>
      </c>
      <c r="W1680" s="612">
        <f>IF(OR(AND(ISBLANK(E1680),ISBLANK(G1680)),ISTEXT(E1680),ISTEXT(G1680)),"",Q1680-U1680)</f>
        <v>2439112500</v>
      </c>
      <c r="X1680" s="561"/>
      <c r="Y1680" s="449"/>
      <c r="Z1680" s="449"/>
      <c r="AA1680" s="694"/>
      <c r="AB1680" s="692"/>
      <c r="AC1680" s="692"/>
      <c r="AD1680" s="695"/>
      <c r="AE1680" s="452"/>
      <c r="AF1680" s="571"/>
      <c r="AG1680" s="452"/>
      <c r="AH1680" s="452"/>
      <c r="AI1680" s="453"/>
      <c r="AJ1680" s="449"/>
      <c r="AK1680" s="453"/>
      <c r="AL1680" s="454"/>
      <c r="AM1680" s="455"/>
      <c r="AN1680" s="456"/>
      <c r="AO1680" s="455"/>
      <c r="AP1680" s="452"/>
      <c r="AQ1680" s="457"/>
      <c r="AR1680" s="449"/>
      <c r="AS1680" s="449"/>
      <c r="AT1680" s="452"/>
      <c r="AU1680" s="457"/>
      <c r="AV1680" s="449"/>
      <c r="AW1680" s="458"/>
      <c r="AX1680" s="452"/>
      <c r="AY1680" s="457"/>
      <c r="AZ1680" s="449"/>
      <c r="BA1680" s="459"/>
      <c r="BB1680" s="455"/>
      <c r="BC1680" s="460"/>
      <c r="BD1680" s="460"/>
      <c r="BG1680" s="462"/>
    </row>
    <row r="1681" spans="1:59" s="461" customFormat="1" ht="18" customHeight="1" x14ac:dyDescent="0.2">
      <c r="A1681" s="1368"/>
      <c r="B1681" s="1375"/>
      <c r="C1681" s="488"/>
      <c r="D1681" s="489"/>
      <c r="E1681" s="558"/>
      <c r="F1681" s="559">
        <v>2009</v>
      </c>
      <c r="G1681" s="619">
        <v>0</v>
      </c>
      <c r="H1681" s="464">
        <f>IF(N1680-(F1681-F1680)&lt;=0,0,(N1680-(F1681-F1680)))</f>
        <v>2</v>
      </c>
      <c r="I1681" s="560"/>
      <c r="J1681" s="468">
        <f t="shared" si="1259"/>
        <v>2010</v>
      </c>
      <c r="K1681" s="490">
        <f>IF(G1681=0,0,IF(H1681=10,100%,G1681/W1680))</f>
        <v>0</v>
      </c>
      <c r="L1681" s="469">
        <f>IF(K1681=0%,0,IF(K1681&lt;=30%,2,IF(K1681&lt;=60%,5,10)))</f>
        <v>0</v>
      </c>
      <c r="M1681" s="683">
        <f>IF(OR(AND(ISBLANK(E1681),ISBLANK(G1681)),ISTEXT(E1681),ISTEXT(G1681)),"",IF(H1681+L1681&gt;$H$8,$H$8-H1681,L1681))</f>
        <v>0</v>
      </c>
      <c r="N1681" s="470">
        <f>IF(OR(AND(ISBLANK(F1681),ISBLANK(G1681)),ISTEXT(F1681),ISTEXT(G1681)),"",H1681+M1681)</f>
        <v>2</v>
      </c>
      <c r="O1681" s="468">
        <f t="shared" si="1260"/>
        <v>2010</v>
      </c>
      <c r="P1681" s="616">
        <f>W1680</f>
        <v>2439112500</v>
      </c>
      <c r="Q1681" s="472">
        <f t="shared" ref="Q1681:Q1691" si="1265">P1681+G1681</f>
        <v>2439112500</v>
      </c>
      <c r="R1681" s="472">
        <f>IF(L1681=0,R1680,Q1681/N1681)</f>
        <v>271012500</v>
      </c>
      <c r="S1681" s="1189">
        <f t="shared" si="1261"/>
        <v>2009</v>
      </c>
      <c r="T1681" s="470">
        <f>S1681-S1680</f>
        <v>8</v>
      </c>
      <c r="U1681" s="612">
        <f t="shared" si="1262"/>
        <v>2168100000</v>
      </c>
      <c r="V1681" s="464">
        <f t="shared" si="1263"/>
        <v>2009</v>
      </c>
      <c r="W1681" s="612">
        <f>IF(OR(AND(ISBLANK(E1681),ISBLANK(G1681)),ISTEXT(E1681),ISTEXT(G1681)),"",Q1681-U1681)</f>
        <v>271012500</v>
      </c>
      <c r="X1681" s="561"/>
      <c r="Y1681" s="449"/>
      <c r="Z1681" s="449"/>
      <c r="AA1681" s="693"/>
      <c r="AB1681" s="452"/>
      <c r="AC1681" s="452"/>
      <c r="AD1681" s="571"/>
      <c r="AE1681" s="452"/>
      <c r="AF1681" s="571"/>
      <c r="AG1681" s="452"/>
      <c r="AH1681" s="452"/>
      <c r="AI1681" s="453"/>
      <c r="AJ1681" s="449"/>
      <c r="AK1681" s="453"/>
      <c r="AL1681" s="454"/>
      <c r="AM1681" s="455"/>
      <c r="AN1681" s="456"/>
      <c r="AO1681" s="455"/>
      <c r="AP1681" s="452"/>
      <c r="AQ1681" s="457"/>
      <c r="AR1681" s="449"/>
      <c r="AS1681" s="449"/>
      <c r="AT1681" s="452"/>
      <c r="AU1681" s="457"/>
      <c r="AV1681" s="449"/>
      <c r="AW1681" s="458"/>
      <c r="AX1681" s="452"/>
      <c r="AY1681" s="457"/>
      <c r="AZ1681" s="449"/>
      <c r="BA1681" s="459"/>
      <c r="BB1681" s="455"/>
      <c r="BC1681" s="460"/>
      <c r="BD1681" s="460"/>
      <c r="BG1681" s="462"/>
    </row>
    <row r="1682" spans="1:59" s="461" customFormat="1" ht="18" customHeight="1" x14ac:dyDescent="0.2">
      <c r="A1682" s="1368" t="str">
        <f t="shared" si="1264"/>
        <v>TALONTAM - BANJAR BENAI2010</v>
      </c>
      <c r="B1682" s="1373"/>
      <c r="C1682" s="488"/>
      <c r="D1682" s="489"/>
      <c r="E1682" s="558"/>
      <c r="F1682" s="559">
        <v>2010</v>
      </c>
      <c r="G1682" s="619">
        <v>0</v>
      </c>
      <c r="H1682" s="464">
        <f>IF(N1681-(F1682-F1681)&lt;=0,0,(N1681-(F1682-F1681)))</f>
        <v>1</v>
      </c>
      <c r="I1682" s="560"/>
      <c r="J1682" s="468">
        <f t="shared" si="1259"/>
        <v>2010</v>
      </c>
      <c r="K1682" s="490">
        <f>IF(G1682=0,0,IF(H1682=10,100%,G1682/W1681))</f>
        <v>0</v>
      </c>
      <c r="L1682" s="469">
        <f>IF(K1682=0%,0,IF(K1682&lt;=30%,2,IF(K1682&lt;=60%,5,10)))</f>
        <v>0</v>
      </c>
      <c r="M1682" s="683">
        <f>IF(OR(AND(ISBLANK(E1682),ISBLANK(G1682)),ISTEXT(E1682),ISTEXT(G1682)),"",IF(H1682+L1682&gt;$H$8,$H$8-H1682,L1682))</f>
        <v>0</v>
      </c>
      <c r="N1682" s="470">
        <f>IF(OR(AND(ISBLANK(F1682),ISBLANK(G1682)),ISTEXT(F1682),ISTEXT(G1682)),"",H1682+M1682)</f>
        <v>1</v>
      </c>
      <c r="O1682" s="468">
        <f t="shared" si="1260"/>
        <v>2010</v>
      </c>
      <c r="P1682" s="616">
        <f>W1681</f>
        <v>271012500</v>
      </c>
      <c r="Q1682" s="472">
        <f t="shared" si="1265"/>
        <v>271012500</v>
      </c>
      <c r="R1682" s="472">
        <f>IF(L1682=0,R1681,Q1682/N1682)</f>
        <v>271012500</v>
      </c>
      <c r="S1682" s="1189">
        <f t="shared" si="1261"/>
        <v>2010</v>
      </c>
      <c r="T1682" s="470">
        <f>S1682-S1681</f>
        <v>1</v>
      </c>
      <c r="U1682" s="612">
        <f t="shared" si="1262"/>
        <v>271012500</v>
      </c>
      <c r="V1682" s="464">
        <f t="shared" si="1263"/>
        <v>2010</v>
      </c>
      <c r="W1682" s="612">
        <f>IF(OR(AND(ISBLANK(E1682),ISBLANK(G1682)),ISTEXT(E1682),ISTEXT(G1682)),"",Q1682-U1682)</f>
        <v>0</v>
      </c>
      <c r="X1682" s="561"/>
      <c r="Y1682" s="449"/>
      <c r="Z1682" s="449"/>
      <c r="AA1682" s="554" t="s">
        <v>4179</v>
      </c>
      <c r="AB1682" s="452"/>
      <c r="AC1682" s="452"/>
      <c r="AD1682" s="566"/>
      <c r="AE1682" s="452"/>
      <c r="AF1682" s="571"/>
      <c r="AG1682" s="452"/>
      <c r="AH1682" s="452"/>
      <c r="AI1682" s="453"/>
      <c r="AJ1682" s="449"/>
      <c r="AK1682" s="453"/>
      <c r="AL1682" s="454"/>
      <c r="AM1682" s="455"/>
      <c r="AN1682" s="456"/>
      <c r="AO1682" s="455"/>
      <c r="AP1682" s="452"/>
      <c r="AQ1682" s="457"/>
      <c r="AR1682" s="449"/>
      <c r="AS1682" s="449"/>
      <c r="AT1682" s="452"/>
      <c r="AU1682" s="457"/>
      <c r="AV1682" s="449"/>
      <c r="AW1682" s="458"/>
      <c r="AX1682" s="452"/>
      <c r="AY1682" s="457"/>
      <c r="AZ1682" s="449"/>
      <c r="BA1682" s="459"/>
      <c r="BB1682" s="455"/>
      <c r="BC1682" s="460"/>
      <c r="BD1682" s="460"/>
      <c r="BG1682" s="462"/>
    </row>
    <row r="1683" spans="1:59" s="461" customFormat="1" ht="18" customHeight="1" x14ac:dyDescent="0.2">
      <c r="A1683" s="1368" t="str">
        <f t="shared" si="1264"/>
        <v>TALONTAM - BANJAR BENAI2011</v>
      </c>
      <c r="B1683" s="1375"/>
      <c r="C1683" s="488"/>
      <c r="D1683" s="489"/>
      <c r="E1683" s="558"/>
      <c r="F1683" s="559">
        <v>2011</v>
      </c>
      <c r="G1683" s="619">
        <v>0</v>
      </c>
      <c r="H1683" s="464">
        <f>IF(N1682-(F1683-F1682)&lt;=0,0,(N1682-(F1683-F1682)))</f>
        <v>0</v>
      </c>
      <c r="I1683" s="560"/>
      <c r="J1683" s="468">
        <f t="shared" si="1259"/>
        <v>2010</v>
      </c>
      <c r="K1683" s="490">
        <f>IF(G1683=0,0,IF(H1683=10,100%,G1683/W1682))</f>
        <v>0</v>
      </c>
      <c r="L1683" s="469">
        <f>IF(K1683=0%,0,IF(K1683&lt;=30%,2,IF(K1683&lt;=60%,5,10)))</f>
        <v>0</v>
      </c>
      <c r="M1683" s="683">
        <f>IF(OR(AND(ISBLANK(E1683),ISBLANK(G1683)),ISTEXT(E1683),ISTEXT(G1683)),"",IF(H1683+L1683&gt;$H$8,$H$8-H1683,L1683))</f>
        <v>0</v>
      </c>
      <c r="N1683" s="470">
        <f>IF(OR(AND(ISBLANK(F1683),ISBLANK(G1683)),ISTEXT(F1683),ISTEXT(G1683)),"",H1683+M1683)</f>
        <v>0</v>
      </c>
      <c r="O1683" s="468">
        <f t="shared" si="1260"/>
        <v>2010</v>
      </c>
      <c r="P1683" s="616">
        <f>W1682</f>
        <v>0</v>
      </c>
      <c r="Q1683" s="472">
        <f t="shared" si="1265"/>
        <v>0</v>
      </c>
      <c r="R1683" s="472">
        <v>0</v>
      </c>
      <c r="S1683" s="1189">
        <f t="shared" si="1261"/>
        <v>2011</v>
      </c>
      <c r="T1683" s="470">
        <f>S1683-S1682</f>
        <v>1</v>
      </c>
      <c r="U1683" s="612">
        <f t="shared" si="1262"/>
        <v>0</v>
      </c>
      <c r="V1683" s="464">
        <f t="shared" si="1263"/>
        <v>2011</v>
      </c>
      <c r="W1683" s="612">
        <f>IF(OR(AND(ISBLANK(E1683),ISBLANK(G1683)),ISTEXT(E1683),ISTEXT(G1683)),"",Q1683-U1683)</f>
        <v>0</v>
      </c>
      <c r="X1683" s="561"/>
      <c r="Y1683" s="449"/>
      <c r="Z1683" s="449"/>
      <c r="AA1683" s="554"/>
      <c r="AB1683" s="452"/>
      <c r="AC1683" s="452"/>
      <c r="AD1683" s="566"/>
      <c r="AE1683" s="452"/>
      <c r="AF1683" s="571"/>
      <c r="AG1683" s="452"/>
      <c r="AH1683" s="452"/>
      <c r="AI1683" s="453"/>
      <c r="AJ1683" s="449"/>
      <c r="AK1683" s="453"/>
      <c r="AL1683" s="454"/>
      <c r="AM1683" s="455"/>
      <c r="AN1683" s="456"/>
      <c r="AO1683" s="455"/>
      <c r="AP1683" s="452"/>
      <c r="AQ1683" s="457"/>
      <c r="AR1683" s="449"/>
      <c r="AS1683" s="449"/>
      <c r="AT1683" s="452"/>
      <c r="AU1683" s="457"/>
      <c r="AV1683" s="449"/>
      <c r="AW1683" s="458"/>
      <c r="AX1683" s="452"/>
      <c r="AY1683" s="457"/>
      <c r="AZ1683" s="449"/>
      <c r="BA1683" s="459"/>
      <c r="BB1683" s="455"/>
      <c r="BC1683" s="460"/>
      <c r="BD1683" s="460"/>
      <c r="BG1683" s="462"/>
    </row>
    <row r="1684" spans="1:59" s="461" customFormat="1" ht="18" customHeight="1" x14ac:dyDescent="0.2">
      <c r="A1684" s="1368" t="str">
        <f t="shared" si="1264"/>
        <v>TALONTAM - BANJAR BENAI2012</v>
      </c>
      <c r="B1684" s="1375"/>
      <c r="C1684" s="488"/>
      <c r="D1684" s="489"/>
      <c r="E1684" s="558"/>
      <c r="F1684" s="559">
        <v>2012</v>
      </c>
      <c r="G1684" s="619">
        <v>0</v>
      </c>
      <c r="H1684" s="464">
        <f>IF(N1683-(F1684-F1683)&lt;=0,0,(N1683-(F1684-F1683)))</f>
        <v>0</v>
      </c>
      <c r="I1684" s="560"/>
      <c r="J1684" s="468">
        <f t="shared" si="1259"/>
        <v>2011</v>
      </c>
      <c r="K1684" s="490">
        <f>IF(G1684=0,0,IF(H1684=10,100%,G1684/W1683))</f>
        <v>0</v>
      </c>
      <c r="L1684" s="469">
        <f>IF(K1684=0%,0,IF(K1684&lt;=30%,2,IF(K1684&lt;=60%,5,10)))</f>
        <v>0</v>
      </c>
      <c r="M1684" s="683">
        <f>IF(OR(AND(ISBLANK(E1684),ISBLANK(G1684)),ISTEXT(E1684),ISTEXT(G1684)),"",IF(H1684+L1684&gt;$H$8,$H$8-H1684,L1684))</f>
        <v>0</v>
      </c>
      <c r="N1684" s="470">
        <f>IF(OR(AND(ISBLANK(F1684),ISBLANK(G1684)),ISTEXT(F1684),ISTEXT(G1684)),"",H1684+M1684)</f>
        <v>0</v>
      </c>
      <c r="O1684" s="468">
        <f t="shared" si="1260"/>
        <v>2011</v>
      </c>
      <c r="P1684" s="616">
        <f>W1683</f>
        <v>0</v>
      </c>
      <c r="Q1684" s="472">
        <f t="shared" si="1265"/>
        <v>0</v>
      </c>
      <c r="R1684" s="472">
        <f>IF(L1684=0,R1683,Q1684/N1684)</f>
        <v>0</v>
      </c>
      <c r="S1684" s="1189">
        <f t="shared" si="1261"/>
        <v>2012</v>
      </c>
      <c r="T1684" s="470">
        <f>S1684-S1683</f>
        <v>1</v>
      </c>
      <c r="U1684" s="612">
        <f t="shared" si="1262"/>
        <v>0</v>
      </c>
      <c r="V1684" s="464">
        <f t="shared" si="1263"/>
        <v>2012</v>
      </c>
      <c r="W1684" s="612">
        <f>IF(OR(AND(ISBLANK(E1684),ISBLANK(G1684)),ISTEXT(E1684),ISTEXT(G1684)),"",Q1684-U1684)</f>
        <v>0</v>
      </c>
      <c r="X1684" s="561"/>
      <c r="Y1684" s="449"/>
      <c r="Z1684" s="449"/>
      <c r="AA1684" s="554"/>
      <c r="AB1684" s="452"/>
      <c r="AC1684" s="452"/>
      <c r="AD1684" s="566"/>
      <c r="AE1684" s="452"/>
      <c r="AF1684" s="571"/>
      <c r="AG1684" s="452"/>
      <c r="AH1684" s="452"/>
      <c r="AI1684" s="453"/>
      <c r="AJ1684" s="449"/>
      <c r="AK1684" s="453"/>
      <c r="AL1684" s="454"/>
      <c r="AM1684" s="455"/>
      <c r="AN1684" s="456"/>
      <c r="AO1684" s="455"/>
      <c r="AP1684" s="452"/>
      <c r="AQ1684" s="457"/>
      <c r="AR1684" s="449"/>
      <c r="AS1684" s="449"/>
      <c r="AT1684" s="452"/>
      <c r="AU1684" s="457"/>
      <c r="AV1684" s="449"/>
      <c r="AW1684" s="458"/>
      <c r="AX1684" s="452"/>
      <c r="AY1684" s="457"/>
      <c r="AZ1684" s="449"/>
      <c r="BA1684" s="459"/>
      <c r="BB1684" s="455"/>
      <c r="BC1684" s="460"/>
      <c r="BD1684" s="460"/>
      <c r="BG1684" s="462"/>
    </row>
    <row r="1685" spans="1:59" s="461" customFormat="1" ht="18" customHeight="1" x14ac:dyDescent="0.2">
      <c r="A1685" s="1368" t="str">
        <f t="shared" si="1264"/>
        <v>TALONTAM - BANJAR BENAI2013</v>
      </c>
      <c r="B1685" s="1373"/>
      <c r="C1685" s="488"/>
      <c r="D1685" s="489"/>
      <c r="E1685" s="558"/>
      <c r="F1685" s="559">
        <v>2013</v>
      </c>
      <c r="G1685" s="619">
        <v>0</v>
      </c>
      <c r="H1685" s="464">
        <f t="shared" ref="H1685:H1691" si="1266">IF(N1684-(F1685-F1684)&lt;=0,0,(N1684-(F1685-F1684)))</f>
        <v>0</v>
      </c>
      <c r="I1685" s="560"/>
      <c r="J1685" s="468">
        <f t="shared" ref="J1685:J1691" si="1267">F1685+N1685-1</f>
        <v>2012</v>
      </c>
      <c r="K1685" s="490">
        <f t="shared" ref="K1685:K1691" si="1268">IF(G1685=0,0,IF(H1685=10,100%,G1685/W1684))</f>
        <v>0</v>
      </c>
      <c r="L1685" s="469">
        <f t="shared" ref="L1685:L1691" si="1269">IF(K1685=0%,0,IF(K1685&lt;=30%,2,IF(K1685&lt;=60%,5,10)))</f>
        <v>0</v>
      </c>
      <c r="M1685" s="683">
        <f t="shared" ref="M1685:M1691" si="1270">IF(OR(AND(ISBLANK(E1685),ISBLANK(G1685)),ISTEXT(E1685),ISTEXT(G1685)),"",IF(H1685+L1685&gt;$H$8,$H$8-H1685,L1685))</f>
        <v>0</v>
      </c>
      <c r="N1685" s="470">
        <f t="shared" ref="N1685:N1691" si="1271">IF(OR(AND(ISBLANK(F1685),ISBLANK(G1685)),ISTEXT(F1685),ISTEXT(G1685)),"",H1685+M1685)</f>
        <v>0</v>
      </c>
      <c r="O1685" s="468">
        <f t="shared" ref="O1685:O1691" si="1272">F1685+N1685-1</f>
        <v>2012</v>
      </c>
      <c r="P1685" s="616">
        <f t="shared" ref="P1685:P1691" si="1273">W1684</f>
        <v>0</v>
      </c>
      <c r="Q1685" s="472">
        <f t="shared" si="1265"/>
        <v>0</v>
      </c>
      <c r="R1685" s="472">
        <f t="shared" ref="R1685:R1691" si="1274">IF(L1685=0,R1684,Q1685/N1685)</f>
        <v>0</v>
      </c>
      <c r="S1685" s="1189">
        <f t="shared" ref="S1685:S1691" si="1275">F1685</f>
        <v>2013</v>
      </c>
      <c r="T1685" s="470">
        <f t="shared" ref="T1685:T1691" si="1276">S1685-S1684</f>
        <v>1</v>
      </c>
      <c r="U1685" s="612">
        <f t="shared" ref="U1685:U1691" si="1277">R1685*T1685</f>
        <v>0</v>
      </c>
      <c r="V1685" s="464">
        <f t="shared" ref="V1685:V1691" si="1278">F1685</f>
        <v>2013</v>
      </c>
      <c r="W1685" s="612">
        <f t="shared" ref="W1685:W1691" si="1279">IF(OR(AND(ISBLANK(E1685),ISBLANK(G1685)),ISTEXT(E1685),ISTEXT(G1685)),"",Q1685-U1685)</f>
        <v>0</v>
      </c>
      <c r="X1685" s="561"/>
      <c r="Y1685" s="449"/>
      <c r="Z1685" s="449"/>
      <c r="AA1685" s="554"/>
      <c r="AB1685" s="452"/>
      <c r="AC1685" s="452"/>
      <c r="AD1685" s="566"/>
      <c r="AE1685" s="452"/>
      <c r="AF1685" s="571"/>
      <c r="AG1685" s="452"/>
      <c r="AH1685" s="452"/>
      <c r="AI1685" s="453"/>
      <c r="AJ1685" s="449"/>
      <c r="AK1685" s="453"/>
      <c r="AL1685" s="454"/>
      <c r="AM1685" s="455"/>
      <c r="AN1685" s="456"/>
      <c r="AO1685" s="455"/>
      <c r="AP1685" s="452"/>
      <c r="AQ1685" s="457"/>
      <c r="AR1685" s="449"/>
      <c r="AS1685" s="449"/>
      <c r="AT1685" s="452"/>
      <c r="AU1685" s="457"/>
      <c r="AV1685" s="449"/>
      <c r="AW1685" s="458"/>
      <c r="AX1685" s="452"/>
      <c r="AY1685" s="457"/>
      <c r="AZ1685" s="449"/>
      <c r="BA1685" s="459"/>
      <c r="BB1685" s="455"/>
      <c r="BC1685" s="460"/>
      <c r="BD1685" s="460"/>
      <c r="BG1685" s="462"/>
    </row>
    <row r="1686" spans="1:59" s="486" customFormat="1" ht="18" customHeight="1" x14ac:dyDescent="0.2">
      <c r="A1686" s="1368" t="str">
        <f t="shared" si="1264"/>
        <v>TALONTAM - BANJAR BENAI2014</v>
      </c>
      <c r="B1686" s="1373"/>
      <c r="C1686" s="488"/>
      <c r="D1686" s="489"/>
      <c r="E1686" s="558"/>
      <c r="F1686" s="559">
        <v>2014</v>
      </c>
      <c r="G1686" s="619">
        <v>0</v>
      </c>
      <c r="H1686" s="464">
        <f t="shared" si="1266"/>
        <v>0</v>
      </c>
      <c r="I1686" s="560"/>
      <c r="J1686" s="468">
        <f t="shared" si="1267"/>
        <v>2013</v>
      </c>
      <c r="K1686" s="490">
        <f t="shared" si="1268"/>
        <v>0</v>
      </c>
      <c r="L1686" s="469">
        <f t="shared" si="1269"/>
        <v>0</v>
      </c>
      <c r="M1686" s="683">
        <f t="shared" si="1270"/>
        <v>0</v>
      </c>
      <c r="N1686" s="470">
        <f t="shared" si="1271"/>
        <v>0</v>
      </c>
      <c r="O1686" s="468">
        <f t="shared" si="1272"/>
        <v>2013</v>
      </c>
      <c r="P1686" s="616">
        <f t="shared" si="1273"/>
        <v>0</v>
      </c>
      <c r="Q1686" s="472">
        <f t="shared" si="1265"/>
        <v>0</v>
      </c>
      <c r="R1686" s="472">
        <f t="shared" si="1274"/>
        <v>0</v>
      </c>
      <c r="S1686" s="1189">
        <f t="shared" si="1275"/>
        <v>2014</v>
      </c>
      <c r="T1686" s="470">
        <f t="shared" si="1276"/>
        <v>1</v>
      </c>
      <c r="U1686" s="612">
        <f t="shared" si="1277"/>
        <v>0</v>
      </c>
      <c r="V1686" s="464">
        <f t="shared" si="1278"/>
        <v>2014</v>
      </c>
      <c r="W1686" s="612">
        <f t="shared" si="1279"/>
        <v>0</v>
      </c>
      <c r="X1686" s="561"/>
      <c r="Y1686" s="474"/>
      <c r="Z1686" s="449"/>
      <c r="AA1686" s="475" t="s">
        <v>4180</v>
      </c>
      <c r="AB1686" s="476"/>
      <c r="AC1686" s="476"/>
      <c r="AD1686" s="567">
        <f>G1693</f>
        <v>5059942980</v>
      </c>
      <c r="AE1686" s="476"/>
      <c r="AF1686" s="568"/>
      <c r="AG1686" s="476"/>
      <c r="AH1686" s="476"/>
      <c r="AI1686" s="477"/>
      <c r="AJ1686" s="478"/>
      <c r="AK1686" s="479"/>
      <c r="AL1686" s="480"/>
      <c r="AM1686" s="474"/>
      <c r="AN1686" s="481"/>
      <c r="AO1686" s="474"/>
      <c r="AP1686" s="476"/>
      <c r="AQ1686" s="482"/>
      <c r="AR1686" s="478"/>
      <c r="AS1686" s="478"/>
      <c r="AT1686" s="476"/>
      <c r="AU1686" s="482"/>
      <c r="AV1686" s="478"/>
      <c r="AW1686" s="483"/>
      <c r="AX1686" s="476"/>
      <c r="AY1686" s="482"/>
      <c r="AZ1686" s="478"/>
      <c r="BA1686" s="484"/>
      <c r="BB1686" s="474"/>
      <c r="BC1686" s="485"/>
      <c r="BD1686" s="485"/>
      <c r="BG1686" s="487"/>
    </row>
    <row r="1687" spans="1:59" s="486" customFormat="1" ht="18" customHeight="1" x14ac:dyDescent="0.2">
      <c r="A1687" s="1368" t="str">
        <f t="shared" si="1264"/>
        <v>TALONTAM - BANJAR BENAI2015</v>
      </c>
      <c r="B1687" s="1373">
        <v>3</v>
      </c>
      <c r="C1687" s="488" t="s">
        <v>1382</v>
      </c>
      <c r="D1687" s="489" t="s">
        <v>3821</v>
      </c>
      <c r="E1687" s="558"/>
      <c r="F1687" s="559">
        <v>2015</v>
      </c>
      <c r="G1687" s="619">
        <v>2349817980</v>
      </c>
      <c r="H1687" s="557">
        <f>VLOOKUP(LEFT(D1687,8),UE,4)</f>
        <v>10</v>
      </c>
      <c r="I1687" s="560"/>
      <c r="J1687" s="468">
        <f t="shared" si="1267"/>
        <v>2024</v>
      </c>
      <c r="K1687" s="490">
        <f t="shared" si="1268"/>
        <v>1</v>
      </c>
      <c r="L1687" s="469">
        <f t="shared" si="1269"/>
        <v>10</v>
      </c>
      <c r="M1687" s="683">
        <f t="shared" si="1270"/>
        <v>0</v>
      </c>
      <c r="N1687" s="470">
        <f t="shared" si="1271"/>
        <v>10</v>
      </c>
      <c r="O1687" s="468">
        <f t="shared" si="1272"/>
        <v>2024</v>
      </c>
      <c r="P1687" s="616">
        <f t="shared" si="1273"/>
        <v>0</v>
      </c>
      <c r="Q1687" s="472">
        <f t="shared" si="1265"/>
        <v>2349817980</v>
      </c>
      <c r="R1687" s="472">
        <f t="shared" si="1274"/>
        <v>234981798</v>
      </c>
      <c r="S1687" s="1189">
        <f t="shared" si="1275"/>
        <v>2015</v>
      </c>
      <c r="T1687" s="470">
        <f t="shared" si="1276"/>
        <v>1</v>
      </c>
      <c r="U1687" s="612">
        <f t="shared" si="1277"/>
        <v>234981798</v>
      </c>
      <c r="V1687" s="464">
        <f t="shared" si="1278"/>
        <v>2015</v>
      </c>
      <c r="W1687" s="612">
        <f t="shared" si="1279"/>
        <v>2114836182</v>
      </c>
      <c r="X1687" s="561"/>
      <c r="Y1687" s="478"/>
      <c r="Z1687" s="449"/>
      <c r="AA1687" s="475" t="s">
        <v>4181</v>
      </c>
      <c r="AB1687" s="491"/>
      <c r="AC1687" s="491"/>
      <c r="AD1687" s="567">
        <f>U1693</f>
        <v>3885033990</v>
      </c>
      <c r="AE1687" s="491"/>
      <c r="AF1687" s="568"/>
      <c r="AG1687" s="491"/>
      <c r="AH1687" s="491"/>
      <c r="AI1687" s="477"/>
      <c r="AJ1687" s="478"/>
      <c r="AK1687" s="479"/>
      <c r="AL1687" s="480"/>
      <c r="AM1687" s="474"/>
      <c r="AN1687" s="481"/>
      <c r="AO1687" s="474"/>
      <c r="AP1687" s="476"/>
      <c r="AQ1687" s="482"/>
      <c r="AR1687" s="478"/>
      <c r="AS1687" s="478"/>
      <c r="AT1687" s="476"/>
      <c r="AU1687" s="482"/>
      <c r="AV1687" s="478"/>
      <c r="AW1687" s="483"/>
      <c r="AX1687" s="476"/>
      <c r="AY1687" s="482"/>
      <c r="AZ1687" s="478"/>
      <c r="BA1687" s="484"/>
      <c r="BB1687" s="474"/>
      <c r="BC1687" s="485"/>
      <c r="BD1687" s="485"/>
      <c r="BG1687" s="487"/>
    </row>
    <row r="1688" spans="1:59" s="486" customFormat="1" ht="18" customHeight="1" x14ac:dyDescent="0.2">
      <c r="A1688" s="1368" t="str">
        <f t="shared" si="1264"/>
        <v>TALONTAM - BANJAR BENAI2016</v>
      </c>
      <c r="B1688" s="1373"/>
      <c r="C1688" s="488"/>
      <c r="D1688" s="489"/>
      <c r="E1688" s="558"/>
      <c r="F1688" s="559">
        <v>2016</v>
      </c>
      <c r="G1688" s="619">
        <v>0</v>
      </c>
      <c r="H1688" s="464">
        <f t="shared" si="1266"/>
        <v>9</v>
      </c>
      <c r="I1688" s="560"/>
      <c r="J1688" s="468">
        <f t="shared" si="1267"/>
        <v>2024</v>
      </c>
      <c r="K1688" s="490">
        <f t="shared" si="1268"/>
        <v>0</v>
      </c>
      <c r="L1688" s="469">
        <f t="shared" si="1269"/>
        <v>0</v>
      </c>
      <c r="M1688" s="683">
        <f t="shared" si="1270"/>
        <v>0</v>
      </c>
      <c r="N1688" s="470">
        <f t="shared" si="1271"/>
        <v>9</v>
      </c>
      <c r="O1688" s="468">
        <f t="shared" si="1272"/>
        <v>2024</v>
      </c>
      <c r="P1688" s="616">
        <f t="shared" si="1273"/>
        <v>2114836182</v>
      </c>
      <c r="Q1688" s="472">
        <f t="shared" si="1265"/>
        <v>2114836182</v>
      </c>
      <c r="R1688" s="472">
        <f t="shared" si="1274"/>
        <v>234981798</v>
      </c>
      <c r="S1688" s="1189">
        <f t="shared" si="1275"/>
        <v>2016</v>
      </c>
      <c r="T1688" s="470">
        <f t="shared" si="1276"/>
        <v>1</v>
      </c>
      <c r="U1688" s="612">
        <f t="shared" si="1277"/>
        <v>234981798</v>
      </c>
      <c r="V1688" s="464">
        <f t="shared" si="1278"/>
        <v>2016</v>
      </c>
      <c r="W1688" s="612">
        <f t="shared" si="1279"/>
        <v>1879854384</v>
      </c>
      <c r="X1688" s="561"/>
      <c r="Y1688" s="478"/>
      <c r="Z1688" s="449"/>
      <c r="AA1688" s="492" t="s">
        <v>4182</v>
      </c>
      <c r="AB1688" s="476"/>
      <c r="AC1688" s="476"/>
      <c r="AD1688" s="567">
        <f>AD1686-AD1687</f>
        <v>1174908990</v>
      </c>
      <c r="AE1688" s="476"/>
      <c r="AF1688" s="568"/>
      <c r="AG1688" s="476"/>
      <c r="AH1688" s="476"/>
      <c r="AI1688" s="477"/>
      <c r="AJ1688" s="478"/>
      <c r="AK1688" s="479"/>
      <c r="AL1688" s="480"/>
      <c r="AM1688" s="474"/>
      <c r="AN1688" s="481"/>
      <c r="AO1688" s="474"/>
      <c r="AP1688" s="476"/>
      <c r="AQ1688" s="482"/>
      <c r="AR1688" s="478"/>
      <c r="AS1688" s="478"/>
      <c r="AT1688" s="476"/>
      <c r="AU1688" s="482"/>
      <c r="AV1688" s="478"/>
      <c r="AW1688" s="483"/>
      <c r="AX1688" s="476"/>
      <c r="AY1688" s="482"/>
      <c r="AZ1688" s="478"/>
      <c r="BA1688" s="484"/>
      <c r="BB1688" s="474"/>
      <c r="BC1688" s="485"/>
      <c r="BD1688" s="485"/>
      <c r="BG1688" s="487"/>
    </row>
    <row r="1689" spans="1:59" s="486" customFormat="1" ht="18" customHeight="1" x14ac:dyDescent="0.2">
      <c r="A1689" s="1368" t="str">
        <f t="shared" si="1264"/>
        <v>TALONTAM - BANJAR BENAI2017</v>
      </c>
      <c r="B1689" s="687"/>
      <c r="C1689" s="488"/>
      <c r="D1689" s="489"/>
      <c r="E1689" s="558"/>
      <c r="F1689" s="559">
        <v>2017</v>
      </c>
      <c r="G1689" s="619">
        <v>0</v>
      </c>
      <c r="H1689" s="464">
        <f t="shared" si="1266"/>
        <v>8</v>
      </c>
      <c r="I1689" s="560"/>
      <c r="J1689" s="468">
        <f t="shared" si="1267"/>
        <v>2024</v>
      </c>
      <c r="K1689" s="490">
        <f t="shared" si="1268"/>
        <v>0</v>
      </c>
      <c r="L1689" s="469">
        <f t="shared" si="1269"/>
        <v>0</v>
      </c>
      <c r="M1689" s="683">
        <f t="shared" si="1270"/>
        <v>0</v>
      </c>
      <c r="N1689" s="470">
        <f t="shared" si="1271"/>
        <v>8</v>
      </c>
      <c r="O1689" s="468">
        <f t="shared" si="1272"/>
        <v>2024</v>
      </c>
      <c r="P1689" s="616">
        <f t="shared" si="1273"/>
        <v>1879854384</v>
      </c>
      <c r="Q1689" s="472">
        <f t="shared" si="1265"/>
        <v>1879854384</v>
      </c>
      <c r="R1689" s="472">
        <f t="shared" si="1274"/>
        <v>234981798</v>
      </c>
      <c r="S1689" s="1189">
        <f t="shared" si="1275"/>
        <v>2017</v>
      </c>
      <c r="T1689" s="470">
        <f t="shared" si="1276"/>
        <v>1</v>
      </c>
      <c r="U1689" s="612">
        <f t="shared" si="1277"/>
        <v>234981798</v>
      </c>
      <c r="V1689" s="464">
        <f t="shared" si="1278"/>
        <v>2017</v>
      </c>
      <c r="W1689" s="612">
        <f t="shared" si="1279"/>
        <v>1644872586</v>
      </c>
      <c r="X1689" s="561"/>
      <c r="Y1689" s="478"/>
      <c r="Z1689" s="449"/>
      <c r="AA1689" s="531" t="s">
        <v>4183</v>
      </c>
      <c r="AB1689" s="496"/>
      <c r="AC1689" s="496"/>
      <c r="AD1689" s="569">
        <f>AD1688-W1693</f>
        <v>0</v>
      </c>
      <c r="AE1689" s="476"/>
      <c r="AF1689" s="568"/>
      <c r="AG1689" s="476"/>
      <c r="AH1689" s="476"/>
      <c r="AI1689" s="477"/>
      <c r="AJ1689" s="478"/>
      <c r="AK1689" s="479"/>
      <c r="AL1689" s="480"/>
      <c r="AM1689" s="474"/>
      <c r="AN1689" s="481"/>
      <c r="AO1689" s="474"/>
      <c r="AP1689" s="476"/>
      <c r="AQ1689" s="482"/>
      <c r="AR1689" s="478"/>
      <c r="AS1689" s="478"/>
      <c r="AT1689" s="476"/>
      <c r="AU1689" s="482"/>
      <c r="AV1689" s="478"/>
      <c r="AW1689" s="483"/>
      <c r="AX1689" s="476"/>
      <c r="AY1689" s="482"/>
      <c r="AZ1689" s="478"/>
      <c r="BA1689" s="484"/>
      <c r="BB1689" s="474"/>
      <c r="BC1689" s="485"/>
      <c r="BD1689" s="485"/>
      <c r="BG1689" s="487"/>
    </row>
    <row r="1690" spans="1:59" s="486" customFormat="1" ht="18" customHeight="1" x14ac:dyDescent="0.2">
      <c r="A1690" s="1368" t="str">
        <f t="shared" si="1264"/>
        <v>TALONTAM - BANJAR BENAI2018</v>
      </c>
      <c r="B1690" s="687"/>
      <c r="C1690" s="488"/>
      <c r="D1690" s="489"/>
      <c r="E1690" s="558"/>
      <c r="F1690" s="559">
        <v>2018</v>
      </c>
      <c r="G1690" s="619">
        <v>0</v>
      </c>
      <c r="H1690" s="464">
        <f t="shared" si="1266"/>
        <v>7</v>
      </c>
      <c r="I1690" s="560"/>
      <c r="J1690" s="468">
        <f t="shared" si="1267"/>
        <v>2024</v>
      </c>
      <c r="K1690" s="490">
        <f t="shared" si="1268"/>
        <v>0</v>
      </c>
      <c r="L1690" s="469">
        <f t="shared" si="1269"/>
        <v>0</v>
      </c>
      <c r="M1690" s="683">
        <f t="shared" si="1270"/>
        <v>0</v>
      </c>
      <c r="N1690" s="470">
        <f t="shared" si="1271"/>
        <v>7</v>
      </c>
      <c r="O1690" s="468">
        <f t="shared" si="1272"/>
        <v>2024</v>
      </c>
      <c r="P1690" s="616">
        <f t="shared" si="1273"/>
        <v>1644872586</v>
      </c>
      <c r="Q1690" s="472">
        <f t="shared" si="1265"/>
        <v>1644872586</v>
      </c>
      <c r="R1690" s="472">
        <f t="shared" si="1274"/>
        <v>234981798</v>
      </c>
      <c r="S1690" s="1189">
        <f t="shared" si="1275"/>
        <v>2018</v>
      </c>
      <c r="T1690" s="470">
        <f t="shared" si="1276"/>
        <v>1</v>
      </c>
      <c r="U1690" s="612">
        <f t="shared" si="1277"/>
        <v>234981798</v>
      </c>
      <c r="V1690" s="464">
        <f t="shared" si="1278"/>
        <v>2018</v>
      </c>
      <c r="W1690" s="612">
        <f t="shared" si="1279"/>
        <v>1409890788</v>
      </c>
      <c r="X1690" s="561"/>
      <c r="Y1690" s="478"/>
      <c r="Z1690" s="449"/>
      <c r="AA1690" s="573"/>
      <c r="AB1690" s="476"/>
      <c r="AC1690" s="476"/>
      <c r="AD1690" s="568"/>
      <c r="AE1690" s="476"/>
      <c r="AF1690" s="568"/>
      <c r="AG1690" s="476"/>
      <c r="AH1690" s="476"/>
      <c r="AI1690" s="477"/>
      <c r="AJ1690" s="478"/>
      <c r="AK1690" s="479"/>
      <c r="AL1690" s="480"/>
      <c r="AM1690" s="474"/>
      <c r="AN1690" s="481"/>
      <c r="AO1690" s="474"/>
      <c r="AP1690" s="476"/>
      <c r="AQ1690" s="482"/>
      <c r="AR1690" s="478"/>
      <c r="AS1690" s="478"/>
      <c r="AT1690" s="476"/>
      <c r="AU1690" s="482"/>
      <c r="AV1690" s="478"/>
      <c r="AW1690" s="483"/>
      <c r="AX1690" s="476"/>
      <c r="AY1690" s="482"/>
      <c r="AZ1690" s="478"/>
      <c r="BA1690" s="484"/>
      <c r="BB1690" s="474"/>
      <c r="BC1690" s="485"/>
      <c r="BD1690" s="485"/>
      <c r="BG1690" s="487"/>
    </row>
    <row r="1691" spans="1:59" s="486" customFormat="1" ht="18" customHeight="1" x14ac:dyDescent="0.2">
      <c r="A1691" s="1368" t="str">
        <f t="shared" si="1264"/>
        <v>TALONTAM - BANJAR BENAI2019</v>
      </c>
      <c r="B1691" s="687"/>
      <c r="C1691" s="488"/>
      <c r="D1691" s="489"/>
      <c r="E1691" s="558"/>
      <c r="F1691" s="559">
        <v>2019</v>
      </c>
      <c r="G1691" s="619">
        <v>0</v>
      </c>
      <c r="H1691" s="464">
        <f t="shared" si="1266"/>
        <v>6</v>
      </c>
      <c r="I1691" s="560"/>
      <c r="J1691" s="468">
        <f t="shared" si="1267"/>
        <v>2024</v>
      </c>
      <c r="K1691" s="490">
        <f t="shared" si="1268"/>
        <v>0</v>
      </c>
      <c r="L1691" s="469">
        <f t="shared" si="1269"/>
        <v>0</v>
      </c>
      <c r="M1691" s="683">
        <f t="shared" si="1270"/>
        <v>0</v>
      </c>
      <c r="N1691" s="470">
        <f t="shared" si="1271"/>
        <v>6</v>
      </c>
      <c r="O1691" s="468">
        <f t="shared" si="1272"/>
        <v>2024</v>
      </c>
      <c r="P1691" s="616">
        <f t="shared" si="1273"/>
        <v>1409890788</v>
      </c>
      <c r="Q1691" s="472">
        <f t="shared" si="1265"/>
        <v>1409890788</v>
      </c>
      <c r="R1691" s="472">
        <f t="shared" si="1274"/>
        <v>234981798</v>
      </c>
      <c r="S1691" s="1189">
        <f t="shared" si="1275"/>
        <v>2019</v>
      </c>
      <c r="T1691" s="470">
        <f t="shared" si="1276"/>
        <v>1</v>
      </c>
      <c r="U1691" s="612">
        <f t="shared" si="1277"/>
        <v>234981798</v>
      </c>
      <c r="V1691" s="464">
        <f t="shared" si="1278"/>
        <v>2019</v>
      </c>
      <c r="W1691" s="612">
        <f t="shared" si="1279"/>
        <v>1174908990</v>
      </c>
      <c r="X1691" s="561"/>
      <c r="Y1691" s="478"/>
      <c r="Z1691" s="449"/>
      <c r="AA1691" s="573"/>
      <c r="AB1691" s="476"/>
      <c r="AC1691" s="476"/>
      <c r="AD1691" s="568"/>
      <c r="AE1691" s="476"/>
      <c r="AF1691" s="568"/>
      <c r="AG1691" s="476"/>
      <c r="AH1691" s="476"/>
      <c r="AI1691" s="477"/>
      <c r="AJ1691" s="478"/>
      <c r="AK1691" s="479"/>
      <c r="AL1691" s="480"/>
      <c r="AM1691" s="474"/>
      <c r="AN1691" s="481"/>
      <c r="AO1691" s="474"/>
      <c r="AP1691" s="476"/>
      <c r="AQ1691" s="482"/>
      <c r="AR1691" s="478"/>
      <c r="AS1691" s="478"/>
      <c r="AT1691" s="476"/>
      <c r="AU1691" s="482"/>
      <c r="AV1691" s="478"/>
      <c r="AW1691" s="483"/>
      <c r="AX1691" s="476"/>
      <c r="AY1691" s="482"/>
      <c r="AZ1691" s="478"/>
      <c r="BA1691" s="484"/>
      <c r="BB1691" s="474"/>
      <c r="BC1691" s="485"/>
      <c r="BD1691" s="485"/>
      <c r="BG1691" s="487"/>
    </row>
    <row r="1692" spans="1:59" s="486" customFormat="1" ht="18" customHeight="1" x14ac:dyDescent="0.2">
      <c r="A1692" s="1368" t="str">
        <f>LEFT(D1692,8)</f>
        <v/>
      </c>
      <c r="B1692" s="687"/>
      <c r="C1692" s="463"/>
      <c r="D1692" s="489"/>
      <c r="E1692" s="465"/>
      <c r="F1692" s="466"/>
      <c r="G1692" s="620"/>
      <c r="H1692" s="464"/>
      <c r="I1692" s="467"/>
      <c r="J1692" s="468"/>
      <c r="K1692" s="574"/>
      <c r="L1692" s="469"/>
      <c r="M1692" s="683"/>
      <c r="N1692" s="470"/>
      <c r="O1692" s="468"/>
      <c r="P1692" s="616"/>
      <c r="Q1692" s="472"/>
      <c r="R1692" s="472"/>
      <c r="S1692" s="634"/>
      <c r="T1692" s="470"/>
      <c r="U1692" s="612"/>
      <c r="V1692" s="464"/>
      <c r="W1692" s="612"/>
      <c r="X1692" s="473"/>
      <c r="Y1692" s="478"/>
      <c r="Z1692" s="449"/>
      <c r="AA1692" s="573"/>
      <c r="AB1692" s="476"/>
      <c r="AC1692" s="476"/>
      <c r="AD1692" s="568"/>
      <c r="AE1692" s="476"/>
      <c r="AF1692" s="568"/>
      <c r="AG1692" s="476"/>
      <c r="AH1692" s="476"/>
      <c r="AI1692" s="477"/>
      <c r="AJ1692" s="478"/>
      <c r="AK1692" s="479"/>
      <c r="AL1692" s="480"/>
      <c r="AM1692" s="474"/>
      <c r="AN1692" s="481"/>
      <c r="AO1692" s="474"/>
      <c r="AP1692" s="476"/>
      <c r="AQ1692" s="482"/>
      <c r="AR1692" s="478"/>
      <c r="AS1692" s="478"/>
      <c r="AT1692" s="476"/>
      <c r="AU1692" s="482"/>
      <c r="AV1692" s="478"/>
      <c r="AW1692" s="483"/>
      <c r="AX1692" s="476"/>
      <c r="AY1692" s="482"/>
      <c r="AZ1692" s="478"/>
      <c r="BA1692" s="484"/>
      <c r="BB1692" s="474"/>
      <c r="BC1692" s="485"/>
      <c r="BD1692" s="485"/>
      <c r="BG1692" s="487"/>
    </row>
    <row r="1693" spans="1:59" s="526" customFormat="1" ht="18" customHeight="1" x14ac:dyDescent="0.2">
      <c r="A1693" s="1370" t="s">
        <v>4184</v>
      </c>
      <c r="B1693" s="1956" t="s">
        <v>4184</v>
      </c>
      <c r="C1693" s="1957"/>
      <c r="D1693" s="1957"/>
      <c r="E1693" s="1957"/>
      <c r="F1693" s="1958"/>
      <c r="G1693" s="624">
        <f>SUM(G1679:G1692)</f>
        <v>5059942980</v>
      </c>
      <c r="H1693" s="505"/>
      <c r="I1693" s="506"/>
      <c r="J1693" s="507"/>
      <c r="K1693" s="507"/>
      <c r="L1693" s="505"/>
      <c r="M1693" s="684"/>
      <c r="N1693" s="508"/>
      <c r="O1693" s="507"/>
      <c r="P1693" s="749"/>
      <c r="Q1693" s="510"/>
      <c r="R1693" s="511"/>
      <c r="S1693" s="512"/>
      <c r="T1693" s="512"/>
      <c r="U1693" s="610">
        <f>SUM(U1679:U1692)</f>
        <v>3885033990</v>
      </c>
      <c r="V1693" s="513"/>
      <c r="W1693" s="610">
        <f>G1693-U1693</f>
        <v>1174908990</v>
      </c>
      <c r="X1693" s="514"/>
      <c r="Y1693" s="515"/>
      <c r="Z1693" s="515"/>
      <c r="AA1693" s="515"/>
      <c r="AB1693" s="515">
        <v>3885033990</v>
      </c>
      <c r="AC1693" s="515"/>
      <c r="AD1693" s="570">
        <v>1174908990</v>
      </c>
      <c r="AE1693" s="515"/>
      <c r="AF1693" s="570">
        <v>4399854384</v>
      </c>
      <c r="AG1693" s="515"/>
      <c r="AH1693" s="515"/>
      <c r="AI1693" s="516"/>
      <c r="AJ1693" s="517"/>
      <c r="AK1693" s="518"/>
      <c r="AL1693" s="519"/>
      <c r="AM1693" s="520"/>
      <c r="AN1693" s="521"/>
      <c r="AO1693" s="520"/>
      <c r="AP1693" s="515"/>
      <c r="AQ1693" s="522"/>
      <c r="AR1693" s="517"/>
      <c r="AS1693" s="517"/>
      <c r="AT1693" s="515"/>
      <c r="AU1693" s="522"/>
      <c r="AV1693" s="517"/>
      <c r="AW1693" s="523"/>
      <c r="AX1693" s="515"/>
      <c r="AY1693" s="522"/>
      <c r="AZ1693" s="517"/>
      <c r="BA1693" s="524"/>
      <c r="BB1693" s="520"/>
      <c r="BC1693" s="525"/>
      <c r="BD1693" s="525"/>
      <c r="BG1693" s="527"/>
    </row>
    <row r="1694" spans="1:59" x14ac:dyDescent="0.2">
      <c r="AB1694" s="627">
        <f>AB1693-U1693</f>
        <v>0</v>
      </c>
    </row>
    <row r="1696" spans="1:59" s="422" customFormat="1" ht="18" customHeight="1" x14ac:dyDescent="0.2">
      <c r="A1696" s="1366">
        <f>C1696</f>
        <v>281</v>
      </c>
      <c r="B1696" s="742" t="s">
        <v>4187</v>
      </c>
      <c r="C1696" s="556">
        <v>281</v>
      </c>
      <c r="D1696" s="553" t="str">
        <f>VLOOKUP(C1696,RUAS,2,FALSE)</f>
        <v>KOMPE BERANGIN - KP. BARU CERENTI</v>
      </c>
      <c r="E1696" s="553"/>
      <c r="F1696" s="421"/>
      <c r="G1696" s="611"/>
      <c r="I1696" s="423"/>
      <c r="J1696" s="424"/>
      <c r="K1696" s="424"/>
      <c r="M1696" s="680"/>
      <c r="P1696" s="611"/>
      <c r="U1696" s="611"/>
      <c r="W1696" s="611"/>
      <c r="Y1696" s="425"/>
      <c r="Z1696" s="425"/>
      <c r="AA1696" s="425"/>
      <c r="AB1696" s="425"/>
      <c r="AC1696" s="425"/>
      <c r="AD1696" s="563"/>
      <c r="AE1696" s="425"/>
      <c r="AF1696" s="563"/>
      <c r="AG1696" s="425"/>
      <c r="AH1696" s="425"/>
      <c r="AI1696" s="425"/>
      <c r="AJ1696" s="425"/>
      <c r="AK1696" s="425"/>
      <c r="AL1696" s="425"/>
      <c r="AM1696" s="425"/>
      <c r="AN1696" s="425"/>
      <c r="AO1696" s="425"/>
      <c r="AP1696" s="425"/>
      <c r="AQ1696" s="425"/>
      <c r="AR1696" s="425"/>
      <c r="AS1696" s="425"/>
      <c r="AT1696" s="425"/>
      <c r="AU1696" s="425"/>
      <c r="AV1696" s="425"/>
      <c r="AW1696" s="425"/>
      <c r="AX1696" s="425"/>
      <c r="AY1696" s="425"/>
      <c r="AZ1696" s="425"/>
      <c r="BA1696" s="425"/>
      <c r="BB1696" s="425"/>
    </row>
    <row r="1697" spans="1:59" s="431" customFormat="1" ht="18" customHeight="1" x14ac:dyDescent="0.2">
      <c r="A1697" s="1367"/>
      <c r="B1697" s="1968" t="s">
        <v>5</v>
      </c>
      <c r="C1697" s="1968" t="s">
        <v>2280</v>
      </c>
      <c r="D1697" s="1968" t="s">
        <v>4157</v>
      </c>
      <c r="E1697" s="1968" t="s">
        <v>4158</v>
      </c>
      <c r="F1697" s="1968"/>
      <c r="G1697" s="2042" t="s">
        <v>4159</v>
      </c>
      <c r="H1697" s="1968" t="s">
        <v>4160</v>
      </c>
      <c r="I1697" s="1968"/>
      <c r="J1697" s="1968" t="s">
        <v>4185</v>
      </c>
      <c r="K1697" s="1964" t="s">
        <v>4162</v>
      </c>
      <c r="L1697" s="1968" t="s">
        <v>4163</v>
      </c>
      <c r="M1697" s="1971" t="s">
        <v>4164</v>
      </c>
      <c r="N1697" s="1962" t="s">
        <v>4165</v>
      </c>
      <c r="O1697" s="1968" t="s">
        <v>4166</v>
      </c>
      <c r="P1697" s="1972" t="s">
        <v>4167</v>
      </c>
      <c r="Q1697" s="1973"/>
      <c r="R1697" s="1159" t="s">
        <v>4186</v>
      </c>
      <c r="S1697" s="1972" t="s">
        <v>4169</v>
      </c>
      <c r="T1697" s="1974"/>
      <c r="U1697" s="1973"/>
      <c r="V1697" s="1975" t="s">
        <v>4170</v>
      </c>
      <c r="W1697" s="1975"/>
      <c r="X1697" s="1960" t="s">
        <v>4171</v>
      </c>
      <c r="Y1697" s="1959"/>
      <c r="Z1697" s="1155"/>
      <c r="AA1697" s="426"/>
      <c r="AB1697" s="426"/>
      <c r="AC1697" s="426"/>
      <c r="AD1697" s="564"/>
      <c r="AE1697" s="426"/>
      <c r="AF1697" s="564"/>
      <c r="AG1697" s="426"/>
      <c r="AH1697" s="426"/>
      <c r="AI1697" s="427"/>
      <c r="AJ1697" s="427"/>
      <c r="AK1697" s="427"/>
      <c r="AL1697" s="427"/>
      <c r="AM1697" s="428"/>
      <c r="AN1697" s="427"/>
      <c r="AO1697" s="427"/>
      <c r="AP1697" s="426"/>
      <c r="AQ1697" s="427"/>
      <c r="AR1697" s="427"/>
      <c r="AS1697" s="427"/>
      <c r="AT1697" s="426"/>
      <c r="AU1697" s="427"/>
      <c r="AV1697" s="427"/>
      <c r="AW1697" s="427"/>
      <c r="AX1697" s="426"/>
      <c r="AY1697" s="427"/>
      <c r="AZ1697" s="427"/>
      <c r="BA1697" s="427"/>
      <c r="BB1697" s="429"/>
      <c r="BC1697" s="430"/>
      <c r="BD1697" s="430"/>
    </row>
    <row r="1698" spans="1:59" s="431" customFormat="1" ht="18" customHeight="1" x14ac:dyDescent="0.2">
      <c r="A1698" s="1367"/>
      <c r="B1698" s="1968"/>
      <c r="C1698" s="1968"/>
      <c r="D1698" s="1968"/>
      <c r="E1698" s="1968"/>
      <c r="F1698" s="1968"/>
      <c r="G1698" s="2042"/>
      <c r="H1698" s="1968"/>
      <c r="I1698" s="1968"/>
      <c r="J1698" s="1968"/>
      <c r="K1698" s="1970"/>
      <c r="L1698" s="1968"/>
      <c r="M1698" s="1971"/>
      <c r="N1698" s="1963"/>
      <c r="O1698" s="1968"/>
      <c r="P1698" s="2037" t="s">
        <v>4172</v>
      </c>
      <c r="Q1698" s="1960" t="s">
        <v>4173</v>
      </c>
      <c r="R1698" s="1962" t="s">
        <v>4159</v>
      </c>
      <c r="S1698" s="1962" t="s">
        <v>4174</v>
      </c>
      <c r="T1698" s="1964" t="s">
        <v>4175</v>
      </c>
      <c r="U1698" s="1966" t="s">
        <v>4159</v>
      </c>
      <c r="V1698" s="1975"/>
      <c r="W1698" s="1975"/>
      <c r="X1698" s="1976"/>
      <c r="Y1698" s="1959"/>
      <c r="Z1698" s="1155"/>
      <c r="AA1698" s="426"/>
      <c r="AB1698" s="426"/>
      <c r="AC1698" s="426"/>
      <c r="AD1698" s="564"/>
      <c r="AE1698" s="426"/>
      <c r="AF1698" s="564"/>
      <c r="AG1698" s="426"/>
      <c r="AH1698" s="426"/>
      <c r="AI1698" s="427"/>
      <c r="AJ1698" s="427"/>
      <c r="AK1698" s="426"/>
      <c r="AL1698" s="427"/>
      <c r="AM1698" s="428"/>
      <c r="AN1698" s="427"/>
      <c r="AO1698" s="427"/>
      <c r="AP1698" s="432"/>
      <c r="AQ1698" s="427"/>
      <c r="AR1698" s="427"/>
      <c r="AS1698" s="427"/>
      <c r="AT1698" s="432"/>
      <c r="AU1698" s="427"/>
      <c r="AV1698" s="427"/>
      <c r="AW1698" s="427"/>
      <c r="AX1698" s="432"/>
      <c r="AY1698" s="427"/>
      <c r="AZ1698" s="427"/>
      <c r="BA1698" s="427"/>
      <c r="BB1698" s="429"/>
      <c r="BC1698" s="430"/>
      <c r="BD1698" s="430"/>
    </row>
    <row r="1699" spans="1:59" s="431" customFormat="1" ht="18" customHeight="1" x14ac:dyDescent="0.2">
      <c r="A1699" s="1367"/>
      <c r="B1699" s="1968"/>
      <c r="C1699" s="1968"/>
      <c r="D1699" s="1968"/>
      <c r="E1699" s="433" t="s">
        <v>4176</v>
      </c>
      <c r="F1699" s="434" t="s">
        <v>2288</v>
      </c>
      <c r="G1699" s="2042"/>
      <c r="H1699" s="1156" t="s">
        <v>2288</v>
      </c>
      <c r="I1699" s="1156" t="s">
        <v>4177</v>
      </c>
      <c r="J1699" s="1968"/>
      <c r="K1699" s="1965"/>
      <c r="L1699" s="435" t="s">
        <v>2288</v>
      </c>
      <c r="M1699" s="681" t="s">
        <v>2288</v>
      </c>
      <c r="N1699" s="1156" t="s">
        <v>2288</v>
      </c>
      <c r="O1699" s="1968"/>
      <c r="P1699" s="2038"/>
      <c r="Q1699" s="1961"/>
      <c r="R1699" s="1963"/>
      <c r="S1699" s="1963"/>
      <c r="T1699" s="1965"/>
      <c r="U1699" s="1967"/>
      <c r="V1699" s="1156" t="s">
        <v>4178</v>
      </c>
      <c r="W1699" s="1157" t="s">
        <v>4159</v>
      </c>
      <c r="X1699" s="1961"/>
      <c r="Y1699" s="436"/>
      <c r="Z1699" s="436"/>
      <c r="AA1699" s="426"/>
      <c r="AB1699" s="426"/>
      <c r="AC1699" s="426"/>
      <c r="AD1699" s="564"/>
      <c r="AE1699" s="426"/>
      <c r="AF1699" s="564"/>
      <c r="AG1699" s="426"/>
      <c r="AH1699" s="426"/>
      <c r="AI1699" s="427"/>
      <c r="AJ1699" s="432"/>
      <c r="AK1699" s="432"/>
      <c r="AL1699" s="427"/>
      <c r="AM1699" s="428"/>
      <c r="AN1699" s="432"/>
      <c r="AO1699" s="427"/>
      <c r="AP1699" s="432"/>
      <c r="AQ1699" s="432"/>
      <c r="AR1699" s="427"/>
      <c r="AS1699" s="427"/>
      <c r="AT1699" s="432"/>
      <c r="AU1699" s="432"/>
      <c r="AV1699" s="427"/>
      <c r="AW1699" s="427"/>
      <c r="AX1699" s="432"/>
      <c r="AY1699" s="432"/>
      <c r="AZ1699" s="427"/>
      <c r="BA1699" s="427"/>
      <c r="BB1699" s="429"/>
      <c r="BC1699" s="430"/>
      <c r="BD1699" s="430"/>
    </row>
    <row r="1700" spans="1:59" s="461" customFormat="1" ht="18" customHeight="1" x14ac:dyDescent="0.2">
      <c r="A1700" s="1368" t="str">
        <f>$D$1696&amp;S1700</f>
        <v>KOMPE BERANGIN - KP. BARU CERENTI2001</v>
      </c>
      <c r="B1700" s="1373">
        <v>1</v>
      </c>
      <c r="C1700" s="532" t="s">
        <v>529</v>
      </c>
      <c r="D1700" s="437" t="s">
        <v>2494</v>
      </c>
      <c r="E1700" s="438"/>
      <c r="F1700" s="439">
        <v>2001</v>
      </c>
      <c r="G1700" s="623">
        <v>10515456000</v>
      </c>
      <c r="H1700" s="440">
        <f>VLOOKUP(LEFT(D1700,8),UE,4)</f>
        <v>10</v>
      </c>
      <c r="I1700" s="441"/>
      <c r="J1700" s="442">
        <f>F1700+N1700-1</f>
        <v>2010</v>
      </c>
      <c r="K1700" s="443"/>
      <c r="L1700" s="440"/>
      <c r="M1700" s="746">
        <f>IF(H1700+L1700&gt;$H1700,$H1700-H1700,L1700)</f>
        <v>0</v>
      </c>
      <c r="N1700" s="444">
        <f>H1700+M1700</f>
        <v>10</v>
      </c>
      <c r="O1700" s="442">
        <f>F1700+N1700-1</f>
        <v>2010</v>
      </c>
      <c r="P1700" s="617">
        <f>G1700</f>
        <v>10515456000</v>
      </c>
      <c r="Q1700" s="445">
        <v>0</v>
      </c>
      <c r="R1700" s="445">
        <f>P1700/N1700</f>
        <v>1051545600</v>
      </c>
      <c r="S1700" s="446">
        <f>F1700</f>
        <v>2001</v>
      </c>
      <c r="T1700" s="447">
        <v>1</v>
      </c>
      <c r="U1700" s="613">
        <f>R1700*T1700</f>
        <v>1051545600</v>
      </c>
      <c r="V1700" s="442">
        <f>F1700</f>
        <v>2001</v>
      </c>
      <c r="W1700" s="617">
        <f>IF(OR(AND(ISBLANK(E1700),ISBLANK(G1700)),ISTEXT(E1700),ISTEXT(G1700)),"",G1700-R1700)</f>
        <v>9463910400</v>
      </c>
      <c r="X1700" s="448"/>
      <c r="Y1700" s="449"/>
      <c r="Z1700" s="449"/>
      <c r="AA1700" s="693"/>
      <c r="AB1700" s="452"/>
      <c r="AC1700" s="452"/>
      <c r="AD1700" s="571"/>
      <c r="AE1700" s="452"/>
      <c r="AF1700" s="571"/>
      <c r="AG1700" s="452"/>
      <c r="AH1700" s="452"/>
      <c r="AI1700" s="453"/>
      <c r="AJ1700" s="449"/>
      <c r="AK1700" s="453"/>
      <c r="AL1700" s="454"/>
      <c r="AM1700" s="455"/>
      <c r="AN1700" s="456"/>
      <c r="AO1700" s="455"/>
      <c r="AP1700" s="452"/>
      <c r="AQ1700" s="457"/>
      <c r="AR1700" s="449"/>
      <c r="AS1700" s="449"/>
      <c r="AT1700" s="452"/>
      <c r="AU1700" s="457"/>
      <c r="AV1700" s="449"/>
      <c r="AW1700" s="458"/>
      <c r="AX1700" s="452"/>
      <c r="AY1700" s="457"/>
      <c r="AZ1700" s="449"/>
      <c r="BA1700" s="459"/>
      <c r="BB1700" s="455"/>
      <c r="BC1700" s="460"/>
      <c r="BD1700" s="460"/>
      <c r="BG1700" s="462"/>
    </row>
    <row r="1701" spans="1:59" s="461" customFormat="1" ht="18" customHeight="1" x14ac:dyDescent="0.2">
      <c r="A1701" s="1368" t="str">
        <f t="shared" ref="A1701:A1715" si="1280">$D$1696&amp;S1701</f>
        <v>KOMPE BERANGIN - KP. BARU CERENTI2001</v>
      </c>
      <c r="B1701" s="1373">
        <v>2</v>
      </c>
      <c r="C1701" s="488" t="s">
        <v>529</v>
      </c>
      <c r="D1701" s="489"/>
      <c r="E1701" s="558"/>
      <c r="F1701" s="559">
        <v>2001</v>
      </c>
      <c r="G1701" s="619">
        <v>0</v>
      </c>
      <c r="H1701" s="464">
        <f>IF(N1700-(F1701-F1700)&lt;=0,0,(N1700-(F1701-F1700)))</f>
        <v>10</v>
      </c>
      <c r="I1701" s="560"/>
      <c r="J1701" s="468">
        <f>F1701+N1701-1</f>
        <v>2010</v>
      </c>
      <c r="K1701" s="490">
        <f>IF(G1701=0,0,IF(H1701=10,100%,G1701/W1700))</f>
        <v>0</v>
      </c>
      <c r="L1701" s="469">
        <f>IF(K1701=0%,0,IF(K1701&lt;=30%,2,IF(K1701&lt;=60%,5,10)))</f>
        <v>0</v>
      </c>
      <c r="M1701" s="683">
        <f>IF(OR(AND(ISBLANK(E1701),ISBLANK(G1701)),ISTEXT(E1701),ISTEXT(G1701)),"",IF(H1701+L1701&gt;$H$1700,$H$1700-H1701,L1701))</f>
        <v>0</v>
      </c>
      <c r="N1701" s="470">
        <f>IF(OR(AND(ISBLANK(F1701),ISBLANK(G1701)),ISTEXT(F1701),ISTEXT(G1701)),"",H1701+M1701)</f>
        <v>10</v>
      </c>
      <c r="O1701" s="468">
        <f>F1701+N1701-1</f>
        <v>2010</v>
      </c>
      <c r="P1701" s="616">
        <f>W1700</f>
        <v>9463910400</v>
      </c>
      <c r="Q1701" s="472">
        <f>P1701+G1701</f>
        <v>9463910400</v>
      </c>
      <c r="R1701" s="472">
        <f>IF(L1701=0,R1700,Q1701/N1701)</f>
        <v>1051545600</v>
      </c>
      <c r="S1701" s="1160">
        <f>F1701</f>
        <v>2001</v>
      </c>
      <c r="T1701" s="470">
        <f>S1701-S1700</f>
        <v>0</v>
      </c>
      <c r="U1701" s="612">
        <f>R1701*T1701</f>
        <v>0</v>
      </c>
      <c r="V1701" s="464">
        <f>F1701</f>
        <v>2001</v>
      </c>
      <c r="W1701" s="612">
        <f>IF(OR(AND(ISBLANK(E1701),ISBLANK(G1701)),ISTEXT(E1701),ISTEXT(G1701)),"",Q1701-U1701)</f>
        <v>9463910400</v>
      </c>
      <c r="X1701" s="561"/>
      <c r="Y1701" s="449"/>
      <c r="Z1701" s="449"/>
      <c r="AA1701" s="694"/>
      <c r="AB1701" s="692"/>
      <c r="AC1701" s="692"/>
      <c r="AD1701" s="695"/>
      <c r="AE1701" s="452"/>
      <c r="AF1701" s="571"/>
      <c r="AG1701" s="452"/>
      <c r="AH1701" s="452"/>
      <c r="AI1701" s="453"/>
      <c r="AJ1701" s="449"/>
      <c r="AK1701" s="453"/>
      <c r="AL1701" s="454"/>
      <c r="AM1701" s="455"/>
      <c r="AN1701" s="456"/>
      <c r="AO1701" s="455"/>
      <c r="AP1701" s="452"/>
      <c r="AQ1701" s="457"/>
      <c r="AR1701" s="449"/>
      <c r="AS1701" s="449"/>
      <c r="AT1701" s="452"/>
      <c r="AU1701" s="457"/>
      <c r="AV1701" s="449"/>
      <c r="AW1701" s="458"/>
      <c r="AX1701" s="452"/>
      <c r="AY1701" s="457"/>
      <c r="AZ1701" s="449"/>
      <c r="BA1701" s="459"/>
      <c r="BB1701" s="455"/>
      <c r="BC1701" s="460"/>
      <c r="BD1701" s="460"/>
      <c r="BG1701" s="462"/>
    </row>
    <row r="1702" spans="1:59" s="461" customFormat="1" ht="18" customHeight="1" x14ac:dyDescent="0.2">
      <c r="A1702" s="1368" t="str">
        <f t="shared" si="1280"/>
        <v>KOMPE BERANGIN - KP. BARU CERENTI2006</v>
      </c>
      <c r="B1702" s="1373"/>
      <c r="C1702" s="488"/>
      <c r="D1702" s="489"/>
      <c r="E1702" s="558"/>
      <c r="F1702" s="559">
        <v>2006</v>
      </c>
      <c r="G1702" s="619">
        <v>0</v>
      </c>
      <c r="H1702" s="464">
        <f t="shared" ref="H1702:H1714" si="1281">IF(N1701-(F1702-F1701)&lt;=0,0,(N1701-(F1702-F1701)))</f>
        <v>5</v>
      </c>
      <c r="I1702" s="560"/>
      <c r="J1702" s="468">
        <f t="shared" ref="J1702:J1714" si="1282">F1702+N1702-1</f>
        <v>2010</v>
      </c>
      <c r="K1702" s="490">
        <f t="shared" ref="K1702:K1714" si="1283">IF(G1702=0,0,IF(H1702=10,100%,G1702/W1701))</f>
        <v>0</v>
      </c>
      <c r="L1702" s="469">
        <f t="shared" ref="L1702:L1714" si="1284">IF(K1702=0%,0,IF(K1702&lt;=30%,2,IF(K1702&lt;=60%,5,10)))</f>
        <v>0</v>
      </c>
      <c r="M1702" s="683">
        <f t="shared" ref="M1702:M1715" si="1285">IF(OR(AND(ISBLANK(E1702),ISBLANK(G1702)),ISTEXT(E1702),ISTEXT(G1702)),"",IF(H1702+L1702&gt;$H$1700,$H$1700-H1702,L1702))</f>
        <v>0</v>
      </c>
      <c r="N1702" s="470">
        <f t="shared" ref="N1702:N1714" si="1286">IF(OR(AND(ISBLANK(F1702),ISBLANK(G1702)),ISTEXT(F1702),ISTEXT(G1702)),"",H1702+M1702)</f>
        <v>5</v>
      </c>
      <c r="O1702" s="468">
        <f t="shared" ref="O1702:O1714" si="1287">F1702+N1702-1</f>
        <v>2010</v>
      </c>
      <c r="P1702" s="616">
        <f t="shared" ref="P1702:P1714" si="1288">W1701</f>
        <v>9463910400</v>
      </c>
      <c r="Q1702" s="472">
        <f t="shared" ref="Q1702:Q1714" si="1289">P1702+G1702</f>
        <v>9463910400</v>
      </c>
      <c r="R1702" s="472">
        <f t="shared" ref="R1702:R1714" si="1290">IF(L1702=0,R1701,Q1702/N1702)</f>
        <v>1051545600</v>
      </c>
      <c r="S1702" s="1189">
        <f t="shared" ref="S1702:S1714" si="1291">F1702</f>
        <v>2006</v>
      </c>
      <c r="T1702" s="470">
        <f t="shared" ref="T1702:T1714" si="1292">S1702-S1701</f>
        <v>5</v>
      </c>
      <c r="U1702" s="612">
        <f t="shared" ref="U1702:U1714" si="1293">R1702*T1702</f>
        <v>5257728000</v>
      </c>
      <c r="V1702" s="464">
        <f t="shared" ref="V1702:V1714" si="1294">F1702</f>
        <v>2006</v>
      </c>
      <c r="W1702" s="612">
        <f t="shared" ref="W1702:W1714" si="1295">IF(OR(AND(ISBLANK(E1702),ISBLANK(G1702)),ISTEXT(E1702),ISTEXT(G1702)),"",Q1702-U1702)</f>
        <v>4206182400</v>
      </c>
      <c r="X1702" s="561"/>
      <c r="Y1702" s="449"/>
      <c r="Z1702" s="449"/>
      <c r="AA1702" s="554" t="s">
        <v>4179</v>
      </c>
      <c r="AB1702" s="452"/>
      <c r="AC1702" s="452"/>
      <c r="AD1702" s="566"/>
      <c r="AE1702" s="452"/>
      <c r="AF1702" s="571"/>
      <c r="AG1702" s="452"/>
      <c r="AH1702" s="452"/>
      <c r="AI1702" s="453"/>
      <c r="AJ1702" s="449"/>
      <c r="AK1702" s="453"/>
      <c r="AL1702" s="454"/>
      <c r="AM1702" s="455"/>
      <c r="AN1702" s="456"/>
      <c r="AO1702" s="455"/>
      <c r="AP1702" s="452"/>
      <c r="AQ1702" s="457"/>
      <c r="AR1702" s="449"/>
      <c r="AS1702" s="449"/>
      <c r="AT1702" s="452"/>
      <c r="AU1702" s="457"/>
      <c r="AV1702" s="449"/>
      <c r="AW1702" s="458"/>
      <c r="AX1702" s="452"/>
      <c r="AY1702" s="457"/>
      <c r="AZ1702" s="449"/>
      <c r="BA1702" s="459"/>
      <c r="BB1702" s="455"/>
      <c r="BC1702" s="460"/>
      <c r="BD1702" s="460"/>
      <c r="BG1702" s="462"/>
    </row>
    <row r="1703" spans="1:59" s="461" customFormat="1" ht="18" customHeight="1" x14ac:dyDescent="0.2">
      <c r="A1703" s="1368" t="str">
        <f t="shared" si="1280"/>
        <v>KOMPE BERANGIN - KP. BARU CERENTI2007</v>
      </c>
      <c r="B1703" s="1373">
        <v>3</v>
      </c>
      <c r="C1703" s="488" t="s">
        <v>1166</v>
      </c>
      <c r="D1703" s="489" t="s">
        <v>3821</v>
      </c>
      <c r="E1703" s="558"/>
      <c r="F1703" s="559">
        <v>2007</v>
      </c>
      <c r="G1703" s="619">
        <v>364880737.00996</v>
      </c>
      <c r="H1703" s="464">
        <f t="shared" si="1281"/>
        <v>4</v>
      </c>
      <c r="I1703" s="560"/>
      <c r="J1703" s="468">
        <f t="shared" si="1282"/>
        <v>2012</v>
      </c>
      <c r="K1703" s="490">
        <f t="shared" si="1283"/>
        <v>8.67486719097013E-2</v>
      </c>
      <c r="L1703" s="469">
        <f t="shared" si="1284"/>
        <v>2</v>
      </c>
      <c r="M1703" s="683">
        <f t="shared" si="1285"/>
        <v>2</v>
      </c>
      <c r="N1703" s="470">
        <f t="shared" si="1286"/>
        <v>6</v>
      </c>
      <c r="O1703" s="468">
        <f t="shared" si="1287"/>
        <v>2012</v>
      </c>
      <c r="P1703" s="616">
        <f t="shared" si="1288"/>
        <v>4206182400</v>
      </c>
      <c r="Q1703" s="472">
        <f t="shared" si="1289"/>
        <v>4571063137.0099602</v>
      </c>
      <c r="R1703" s="472">
        <f t="shared" si="1290"/>
        <v>761843856.16832674</v>
      </c>
      <c r="S1703" s="1189">
        <f t="shared" si="1291"/>
        <v>2007</v>
      </c>
      <c r="T1703" s="470">
        <f t="shared" si="1292"/>
        <v>1</v>
      </c>
      <c r="U1703" s="612">
        <f t="shared" si="1293"/>
        <v>761843856.16832674</v>
      </c>
      <c r="V1703" s="464">
        <f t="shared" si="1294"/>
        <v>2007</v>
      </c>
      <c r="W1703" s="612">
        <f t="shared" si="1295"/>
        <v>3809219280.8416333</v>
      </c>
      <c r="X1703" s="561"/>
      <c r="Y1703" s="449"/>
      <c r="Z1703" s="449"/>
      <c r="AA1703" s="554"/>
      <c r="AB1703" s="452"/>
      <c r="AC1703" s="452"/>
      <c r="AD1703" s="566"/>
      <c r="AE1703" s="452"/>
      <c r="AF1703" s="571"/>
      <c r="AG1703" s="452"/>
      <c r="AH1703" s="452"/>
      <c r="AI1703" s="453"/>
      <c r="AJ1703" s="449"/>
      <c r="AK1703" s="453"/>
      <c r="AL1703" s="454"/>
      <c r="AM1703" s="455"/>
      <c r="AN1703" s="456"/>
      <c r="AO1703" s="455"/>
      <c r="AP1703" s="452"/>
      <c r="AQ1703" s="457"/>
      <c r="AR1703" s="449"/>
      <c r="AS1703" s="449"/>
      <c r="AT1703" s="452"/>
      <c r="AU1703" s="457"/>
      <c r="AV1703" s="449"/>
      <c r="AW1703" s="458"/>
      <c r="AX1703" s="452"/>
      <c r="AY1703" s="457"/>
      <c r="AZ1703" s="449"/>
      <c r="BA1703" s="459"/>
      <c r="BB1703" s="455"/>
      <c r="BC1703" s="460"/>
      <c r="BD1703" s="460"/>
      <c r="BG1703" s="462"/>
    </row>
    <row r="1704" spans="1:59" s="486" customFormat="1" ht="18" customHeight="1" x14ac:dyDescent="0.2">
      <c r="A1704" s="1368" t="str">
        <f t="shared" si="1280"/>
        <v>KOMPE BERANGIN - KP. BARU CERENTI2008</v>
      </c>
      <c r="B1704" s="1373">
        <v>4</v>
      </c>
      <c r="C1704" s="488" t="s">
        <v>5182</v>
      </c>
      <c r="D1704" s="489"/>
      <c r="E1704" s="558"/>
      <c r="F1704" s="559">
        <v>2008</v>
      </c>
      <c r="G1704" s="619">
        <v>607589053.31525743</v>
      </c>
      <c r="H1704" s="464">
        <f t="shared" si="1281"/>
        <v>5</v>
      </c>
      <c r="I1704" s="560"/>
      <c r="J1704" s="468">
        <f t="shared" si="1282"/>
        <v>2014</v>
      </c>
      <c r="K1704" s="490">
        <f t="shared" si="1283"/>
        <v>0.15950487712038799</v>
      </c>
      <c r="L1704" s="469">
        <f t="shared" si="1284"/>
        <v>2</v>
      </c>
      <c r="M1704" s="683">
        <f t="shared" si="1285"/>
        <v>2</v>
      </c>
      <c r="N1704" s="470">
        <f t="shared" si="1286"/>
        <v>7</v>
      </c>
      <c r="O1704" s="468">
        <f t="shared" si="1287"/>
        <v>2014</v>
      </c>
      <c r="P1704" s="616">
        <f t="shared" si="1288"/>
        <v>3809219280.8416333</v>
      </c>
      <c r="Q1704" s="472">
        <f t="shared" si="1289"/>
        <v>4416808334.1568909</v>
      </c>
      <c r="R1704" s="472">
        <f t="shared" si="1290"/>
        <v>630972619.16527009</v>
      </c>
      <c r="S1704" s="1189">
        <f t="shared" si="1291"/>
        <v>2008</v>
      </c>
      <c r="T1704" s="470">
        <f t="shared" si="1292"/>
        <v>1</v>
      </c>
      <c r="U1704" s="612">
        <f t="shared" si="1293"/>
        <v>630972619.16527009</v>
      </c>
      <c r="V1704" s="464">
        <f t="shared" si="1294"/>
        <v>2008</v>
      </c>
      <c r="W1704" s="612">
        <f t="shared" si="1295"/>
        <v>3785835714.991621</v>
      </c>
      <c r="X1704" s="561"/>
      <c r="Y1704" s="474"/>
      <c r="Z1704" s="449"/>
      <c r="AA1704" s="475" t="s">
        <v>4180</v>
      </c>
      <c r="AB1704" s="476"/>
      <c r="AC1704" s="476"/>
      <c r="AD1704" s="567">
        <f>G1717</f>
        <v>13579899082.385218</v>
      </c>
      <c r="AE1704" s="476"/>
      <c r="AF1704" s="568"/>
      <c r="AG1704" s="476"/>
      <c r="AH1704" s="476"/>
      <c r="AI1704" s="477"/>
      <c r="AJ1704" s="478"/>
      <c r="AK1704" s="479"/>
      <c r="AL1704" s="480"/>
      <c r="AM1704" s="474"/>
      <c r="AN1704" s="481"/>
      <c r="AO1704" s="474"/>
      <c r="AP1704" s="476"/>
      <c r="AQ1704" s="482"/>
      <c r="AR1704" s="478"/>
      <c r="AS1704" s="478"/>
      <c r="AT1704" s="476"/>
      <c r="AU1704" s="482"/>
      <c r="AV1704" s="478"/>
      <c r="AW1704" s="483"/>
      <c r="AX1704" s="476"/>
      <c r="AY1704" s="482"/>
      <c r="AZ1704" s="478"/>
      <c r="BA1704" s="484"/>
      <c r="BB1704" s="474"/>
      <c r="BC1704" s="485"/>
      <c r="BD1704" s="485"/>
      <c r="BG1704" s="487"/>
    </row>
    <row r="1705" spans="1:59" s="486" customFormat="1" ht="18" customHeight="1" x14ac:dyDescent="0.2">
      <c r="A1705" s="1368" t="str">
        <f t="shared" si="1280"/>
        <v>KOMPE BERANGIN - KP. BARU CERENTI2009</v>
      </c>
      <c r="B1705" s="1373"/>
      <c r="C1705" s="488"/>
      <c r="D1705" s="489"/>
      <c r="E1705" s="558"/>
      <c r="F1705" s="559">
        <v>2009</v>
      </c>
      <c r="G1705" s="619">
        <v>0</v>
      </c>
      <c r="H1705" s="464">
        <f t="shared" si="1281"/>
        <v>6</v>
      </c>
      <c r="I1705" s="560"/>
      <c r="J1705" s="468">
        <f t="shared" si="1282"/>
        <v>2014</v>
      </c>
      <c r="K1705" s="490">
        <f t="shared" si="1283"/>
        <v>0</v>
      </c>
      <c r="L1705" s="469">
        <f t="shared" si="1284"/>
        <v>0</v>
      </c>
      <c r="M1705" s="683">
        <f t="shared" si="1285"/>
        <v>0</v>
      </c>
      <c r="N1705" s="470">
        <f t="shared" si="1286"/>
        <v>6</v>
      </c>
      <c r="O1705" s="468">
        <f t="shared" si="1287"/>
        <v>2014</v>
      </c>
      <c r="P1705" s="616">
        <f t="shared" si="1288"/>
        <v>3785835714.991621</v>
      </c>
      <c r="Q1705" s="472">
        <f t="shared" si="1289"/>
        <v>3785835714.991621</v>
      </c>
      <c r="R1705" s="472">
        <f t="shared" si="1290"/>
        <v>630972619.16527009</v>
      </c>
      <c r="S1705" s="1189">
        <f t="shared" si="1291"/>
        <v>2009</v>
      </c>
      <c r="T1705" s="470">
        <f t="shared" si="1292"/>
        <v>1</v>
      </c>
      <c r="U1705" s="612">
        <f t="shared" si="1293"/>
        <v>630972619.16527009</v>
      </c>
      <c r="V1705" s="464">
        <f t="shared" si="1294"/>
        <v>2009</v>
      </c>
      <c r="W1705" s="612">
        <f t="shared" si="1295"/>
        <v>3154863095.8263512</v>
      </c>
      <c r="X1705" s="473"/>
      <c r="Y1705" s="478"/>
      <c r="Z1705" s="449"/>
      <c r="AA1705" s="475" t="s">
        <v>4181</v>
      </c>
      <c r="AB1705" s="491"/>
      <c r="AC1705" s="491"/>
      <c r="AD1705" s="567">
        <f>U1717</f>
        <v>11697123119.531216</v>
      </c>
      <c r="AE1705" s="491"/>
      <c r="AF1705" s="568"/>
      <c r="AG1705" s="491"/>
      <c r="AH1705" s="491"/>
      <c r="AI1705" s="477"/>
      <c r="AJ1705" s="478"/>
      <c r="AK1705" s="479"/>
      <c r="AL1705" s="480"/>
      <c r="AM1705" s="474"/>
      <c r="AN1705" s="481"/>
      <c r="AO1705" s="474"/>
      <c r="AP1705" s="476"/>
      <c r="AQ1705" s="482"/>
      <c r="AR1705" s="478"/>
      <c r="AS1705" s="478"/>
      <c r="AT1705" s="476"/>
      <c r="AU1705" s="482"/>
      <c r="AV1705" s="478"/>
      <c r="AW1705" s="483"/>
      <c r="AX1705" s="476"/>
      <c r="AY1705" s="482"/>
      <c r="AZ1705" s="478"/>
      <c r="BA1705" s="484"/>
      <c r="BB1705" s="474"/>
      <c r="BC1705" s="485"/>
      <c r="BD1705" s="485"/>
      <c r="BG1705" s="487"/>
    </row>
    <row r="1706" spans="1:59" s="486" customFormat="1" ht="18" customHeight="1" x14ac:dyDescent="0.2">
      <c r="A1706" s="1368" t="str">
        <f t="shared" si="1280"/>
        <v>KOMPE BERANGIN - KP. BARU CERENTI2010</v>
      </c>
      <c r="B1706" s="1373"/>
      <c r="C1706" s="488"/>
      <c r="D1706" s="489"/>
      <c r="E1706" s="558"/>
      <c r="F1706" s="559">
        <v>2010</v>
      </c>
      <c r="G1706" s="619">
        <v>0</v>
      </c>
      <c r="H1706" s="464">
        <f t="shared" si="1281"/>
        <v>5</v>
      </c>
      <c r="I1706" s="560"/>
      <c r="J1706" s="468">
        <f t="shared" si="1282"/>
        <v>2014</v>
      </c>
      <c r="K1706" s="490">
        <f t="shared" si="1283"/>
        <v>0</v>
      </c>
      <c r="L1706" s="469">
        <f t="shared" si="1284"/>
        <v>0</v>
      </c>
      <c r="M1706" s="683">
        <f t="shared" si="1285"/>
        <v>0</v>
      </c>
      <c r="N1706" s="470">
        <f t="shared" si="1286"/>
        <v>5</v>
      </c>
      <c r="O1706" s="468">
        <f t="shared" si="1287"/>
        <v>2014</v>
      </c>
      <c r="P1706" s="616">
        <f t="shared" si="1288"/>
        <v>3154863095.8263512</v>
      </c>
      <c r="Q1706" s="472">
        <f t="shared" si="1289"/>
        <v>3154863095.8263512</v>
      </c>
      <c r="R1706" s="472">
        <f t="shared" si="1290"/>
        <v>630972619.16527009</v>
      </c>
      <c r="S1706" s="1189">
        <f t="shared" si="1291"/>
        <v>2010</v>
      </c>
      <c r="T1706" s="470">
        <f t="shared" si="1292"/>
        <v>1</v>
      </c>
      <c r="U1706" s="612">
        <f t="shared" si="1293"/>
        <v>630972619.16527009</v>
      </c>
      <c r="V1706" s="464">
        <f t="shared" si="1294"/>
        <v>2010</v>
      </c>
      <c r="W1706" s="612">
        <f t="shared" si="1295"/>
        <v>2523890476.6610813</v>
      </c>
      <c r="X1706" s="473"/>
      <c r="Y1706" s="478"/>
      <c r="Z1706" s="449"/>
      <c r="AA1706" s="492" t="s">
        <v>4182</v>
      </c>
      <c r="AB1706" s="476"/>
      <c r="AC1706" s="476"/>
      <c r="AD1706" s="567">
        <f>AD1704-AD1705</f>
        <v>1882775962.854002</v>
      </c>
      <c r="AE1706" s="476"/>
      <c r="AF1706" s="568"/>
      <c r="AG1706" s="476"/>
      <c r="AH1706" s="476"/>
      <c r="AI1706" s="477"/>
      <c r="AJ1706" s="478"/>
      <c r="AK1706" s="479"/>
      <c r="AL1706" s="480"/>
      <c r="AM1706" s="474"/>
      <c r="AN1706" s="481"/>
      <c r="AO1706" s="474"/>
      <c r="AP1706" s="476"/>
      <c r="AQ1706" s="482"/>
      <c r="AR1706" s="478"/>
      <c r="AS1706" s="478"/>
      <c r="AT1706" s="476"/>
      <c r="AU1706" s="482"/>
      <c r="AV1706" s="478"/>
      <c r="AW1706" s="483"/>
      <c r="AX1706" s="476"/>
      <c r="AY1706" s="482"/>
      <c r="AZ1706" s="478"/>
      <c r="BA1706" s="484"/>
      <c r="BB1706" s="474"/>
      <c r="BC1706" s="485"/>
      <c r="BD1706" s="485"/>
      <c r="BG1706" s="487"/>
    </row>
    <row r="1707" spans="1:59" s="486" customFormat="1" ht="18" customHeight="1" x14ac:dyDescent="0.2">
      <c r="A1707" s="1368" t="str">
        <f t="shared" si="1280"/>
        <v>KOMPE BERANGIN - KP. BARU CERENTI2011</v>
      </c>
      <c r="B1707" s="687"/>
      <c r="C1707" s="488"/>
      <c r="D1707" s="489"/>
      <c r="E1707" s="558"/>
      <c r="F1707" s="559">
        <v>2011</v>
      </c>
      <c r="G1707" s="619">
        <v>0</v>
      </c>
      <c r="H1707" s="464">
        <f t="shared" si="1281"/>
        <v>4</v>
      </c>
      <c r="I1707" s="560"/>
      <c r="J1707" s="468">
        <f t="shared" si="1282"/>
        <v>2014</v>
      </c>
      <c r="K1707" s="490">
        <f t="shared" si="1283"/>
        <v>0</v>
      </c>
      <c r="L1707" s="469">
        <f t="shared" si="1284"/>
        <v>0</v>
      </c>
      <c r="M1707" s="683">
        <f t="shared" si="1285"/>
        <v>0</v>
      </c>
      <c r="N1707" s="470">
        <f t="shared" si="1286"/>
        <v>4</v>
      </c>
      <c r="O1707" s="468">
        <f t="shared" si="1287"/>
        <v>2014</v>
      </c>
      <c r="P1707" s="616">
        <f t="shared" si="1288"/>
        <v>2523890476.6610813</v>
      </c>
      <c r="Q1707" s="472">
        <f t="shared" si="1289"/>
        <v>2523890476.6610813</v>
      </c>
      <c r="R1707" s="472">
        <f t="shared" si="1290"/>
        <v>630972619.16527009</v>
      </c>
      <c r="S1707" s="1189">
        <f t="shared" si="1291"/>
        <v>2011</v>
      </c>
      <c r="T1707" s="470">
        <f t="shared" si="1292"/>
        <v>1</v>
      </c>
      <c r="U1707" s="612">
        <f t="shared" si="1293"/>
        <v>630972619.16527009</v>
      </c>
      <c r="V1707" s="464">
        <f t="shared" si="1294"/>
        <v>2011</v>
      </c>
      <c r="W1707" s="612">
        <f t="shared" si="1295"/>
        <v>1892917857.4958112</v>
      </c>
      <c r="X1707" s="473"/>
      <c r="Y1707" s="478"/>
      <c r="Z1707" s="449"/>
      <c r="AA1707" s="531" t="s">
        <v>4183</v>
      </c>
      <c r="AB1707" s="496"/>
      <c r="AC1707" s="496"/>
      <c r="AD1707" s="569">
        <f>AD1706-W1717</f>
        <v>0</v>
      </c>
      <c r="AE1707" s="476"/>
      <c r="AF1707" s="568"/>
      <c r="AG1707" s="476"/>
      <c r="AH1707" s="476"/>
      <c r="AI1707" s="477"/>
      <c r="AJ1707" s="478"/>
      <c r="AK1707" s="479"/>
      <c r="AL1707" s="480"/>
      <c r="AM1707" s="474"/>
      <c r="AN1707" s="481"/>
      <c r="AO1707" s="474"/>
      <c r="AP1707" s="476"/>
      <c r="AQ1707" s="482"/>
      <c r="AR1707" s="478"/>
      <c r="AS1707" s="478"/>
      <c r="AT1707" s="476"/>
      <c r="AU1707" s="482"/>
      <c r="AV1707" s="478"/>
      <c r="AW1707" s="483"/>
      <c r="AX1707" s="476"/>
      <c r="AY1707" s="482"/>
      <c r="AZ1707" s="478"/>
      <c r="BA1707" s="484"/>
      <c r="BB1707" s="474"/>
      <c r="BC1707" s="485"/>
      <c r="BD1707" s="485"/>
      <c r="BG1707" s="487"/>
    </row>
    <row r="1708" spans="1:59" s="486" customFormat="1" ht="18" customHeight="1" x14ac:dyDescent="0.2">
      <c r="A1708" s="1368" t="str">
        <f t="shared" si="1280"/>
        <v>KOMPE BERANGIN - KP. BARU CERENTI2012</v>
      </c>
      <c r="B1708" s="687"/>
      <c r="C1708" s="488"/>
      <c r="D1708" s="489"/>
      <c r="E1708" s="558"/>
      <c r="F1708" s="559">
        <v>2012</v>
      </c>
      <c r="G1708" s="619">
        <v>0</v>
      </c>
      <c r="H1708" s="464">
        <f t="shared" si="1281"/>
        <v>3</v>
      </c>
      <c r="I1708" s="560"/>
      <c r="J1708" s="468">
        <f t="shared" si="1282"/>
        <v>2014</v>
      </c>
      <c r="K1708" s="490">
        <f t="shared" si="1283"/>
        <v>0</v>
      </c>
      <c r="L1708" s="469">
        <f t="shared" si="1284"/>
        <v>0</v>
      </c>
      <c r="M1708" s="683">
        <f t="shared" si="1285"/>
        <v>0</v>
      </c>
      <c r="N1708" s="470">
        <f t="shared" si="1286"/>
        <v>3</v>
      </c>
      <c r="O1708" s="468">
        <f t="shared" si="1287"/>
        <v>2014</v>
      </c>
      <c r="P1708" s="616">
        <f t="shared" si="1288"/>
        <v>1892917857.4958112</v>
      </c>
      <c r="Q1708" s="472">
        <f t="shared" si="1289"/>
        <v>1892917857.4958112</v>
      </c>
      <c r="R1708" s="472">
        <f t="shared" si="1290"/>
        <v>630972619.16527009</v>
      </c>
      <c r="S1708" s="1189">
        <f t="shared" si="1291"/>
        <v>2012</v>
      </c>
      <c r="T1708" s="470">
        <f t="shared" si="1292"/>
        <v>1</v>
      </c>
      <c r="U1708" s="612">
        <f t="shared" si="1293"/>
        <v>630972619.16527009</v>
      </c>
      <c r="V1708" s="464">
        <f t="shared" si="1294"/>
        <v>2012</v>
      </c>
      <c r="W1708" s="612">
        <f t="shared" si="1295"/>
        <v>1261945238.3305411</v>
      </c>
      <c r="X1708" s="473"/>
      <c r="Y1708" s="478"/>
      <c r="Z1708" s="449"/>
      <c r="AA1708" s="573"/>
      <c r="AB1708" s="476"/>
      <c r="AC1708" s="476"/>
      <c r="AD1708" s="568"/>
      <c r="AE1708" s="476"/>
      <c r="AF1708" s="568"/>
      <c r="AG1708" s="476"/>
      <c r="AH1708" s="476"/>
      <c r="AI1708" s="477"/>
      <c r="AJ1708" s="478"/>
      <c r="AK1708" s="479"/>
      <c r="AL1708" s="480"/>
      <c r="AM1708" s="474"/>
      <c r="AN1708" s="481"/>
      <c r="AO1708" s="474"/>
      <c r="AP1708" s="476"/>
      <c r="AQ1708" s="482"/>
      <c r="AR1708" s="478"/>
      <c r="AS1708" s="478"/>
      <c r="AT1708" s="476"/>
      <c r="AU1708" s="482"/>
      <c r="AV1708" s="478"/>
      <c r="AW1708" s="483"/>
      <c r="AX1708" s="476"/>
      <c r="AY1708" s="482"/>
      <c r="AZ1708" s="478"/>
      <c r="BA1708" s="484"/>
      <c r="BB1708" s="474"/>
      <c r="BC1708" s="485"/>
      <c r="BD1708" s="485"/>
      <c r="BG1708" s="487"/>
    </row>
    <row r="1709" spans="1:59" s="486" customFormat="1" ht="18" customHeight="1" x14ac:dyDescent="0.2">
      <c r="A1709" s="1368" t="str">
        <f t="shared" si="1280"/>
        <v>KOMPE BERANGIN - KP. BARU CERENTI2013</v>
      </c>
      <c r="B1709" s="687"/>
      <c r="C1709" s="488"/>
      <c r="D1709" s="489"/>
      <c r="E1709" s="558"/>
      <c r="F1709" s="559">
        <v>2013</v>
      </c>
      <c r="G1709" s="619">
        <v>0</v>
      </c>
      <c r="H1709" s="464">
        <f t="shared" si="1281"/>
        <v>2</v>
      </c>
      <c r="I1709" s="560"/>
      <c r="J1709" s="468">
        <f t="shared" si="1282"/>
        <v>2014</v>
      </c>
      <c r="K1709" s="490">
        <f t="shared" si="1283"/>
        <v>0</v>
      </c>
      <c r="L1709" s="469">
        <f t="shared" si="1284"/>
        <v>0</v>
      </c>
      <c r="M1709" s="683">
        <f t="shared" si="1285"/>
        <v>0</v>
      </c>
      <c r="N1709" s="470">
        <f t="shared" si="1286"/>
        <v>2</v>
      </c>
      <c r="O1709" s="468">
        <f t="shared" si="1287"/>
        <v>2014</v>
      </c>
      <c r="P1709" s="616">
        <f t="shared" si="1288"/>
        <v>1261945238.3305411</v>
      </c>
      <c r="Q1709" s="472">
        <f t="shared" si="1289"/>
        <v>1261945238.3305411</v>
      </c>
      <c r="R1709" s="472">
        <f t="shared" si="1290"/>
        <v>630972619.16527009</v>
      </c>
      <c r="S1709" s="1189">
        <f t="shared" si="1291"/>
        <v>2013</v>
      </c>
      <c r="T1709" s="470">
        <f t="shared" si="1292"/>
        <v>1</v>
      </c>
      <c r="U1709" s="612">
        <f t="shared" si="1293"/>
        <v>630972619.16527009</v>
      </c>
      <c r="V1709" s="464">
        <f t="shared" si="1294"/>
        <v>2013</v>
      </c>
      <c r="W1709" s="612">
        <f t="shared" si="1295"/>
        <v>630972619.16527104</v>
      </c>
      <c r="X1709" s="473"/>
      <c r="Y1709" s="478"/>
      <c r="Z1709" s="449"/>
      <c r="AA1709" s="573"/>
      <c r="AB1709" s="476"/>
      <c r="AC1709" s="476"/>
      <c r="AD1709" s="568"/>
      <c r="AE1709" s="476"/>
      <c r="AF1709" s="568"/>
      <c r="AG1709" s="476"/>
      <c r="AH1709" s="476"/>
      <c r="AI1709" s="477"/>
      <c r="AJ1709" s="478"/>
      <c r="AK1709" s="479"/>
      <c r="AL1709" s="480"/>
      <c r="AM1709" s="474"/>
      <c r="AN1709" s="481"/>
      <c r="AO1709" s="474"/>
      <c r="AP1709" s="476"/>
      <c r="AQ1709" s="482"/>
      <c r="AR1709" s="478"/>
      <c r="AS1709" s="478"/>
      <c r="AT1709" s="476"/>
      <c r="AU1709" s="482"/>
      <c r="AV1709" s="478"/>
      <c r="AW1709" s="483"/>
      <c r="AX1709" s="476"/>
      <c r="AY1709" s="482"/>
      <c r="AZ1709" s="478"/>
      <c r="BA1709" s="484"/>
      <c r="BB1709" s="474"/>
      <c r="BC1709" s="485"/>
      <c r="BD1709" s="485"/>
      <c r="BG1709" s="487"/>
    </row>
    <row r="1710" spans="1:59" s="486" customFormat="1" ht="18" customHeight="1" x14ac:dyDescent="0.2">
      <c r="A1710" s="1368" t="str">
        <f t="shared" si="1280"/>
        <v>KOMPE BERANGIN - KP. BARU CERENTI2014</v>
      </c>
      <c r="B1710" s="687"/>
      <c r="C1710" s="488"/>
      <c r="D1710" s="489"/>
      <c r="E1710" s="558"/>
      <c r="F1710" s="559">
        <v>2014</v>
      </c>
      <c r="G1710" s="619">
        <v>0</v>
      </c>
      <c r="H1710" s="464">
        <f t="shared" si="1281"/>
        <v>1</v>
      </c>
      <c r="I1710" s="560"/>
      <c r="J1710" s="468">
        <f t="shared" si="1282"/>
        <v>2014</v>
      </c>
      <c r="K1710" s="490">
        <f t="shared" si="1283"/>
        <v>0</v>
      </c>
      <c r="L1710" s="469">
        <f t="shared" si="1284"/>
        <v>0</v>
      </c>
      <c r="M1710" s="683">
        <f t="shared" si="1285"/>
        <v>0</v>
      </c>
      <c r="N1710" s="470">
        <f t="shared" si="1286"/>
        <v>1</v>
      </c>
      <c r="O1710" s="468">
        <f t="shared" si="1287"/>
        <v>2014</v>
      </c>
      <c r="P1710" s="616">
        <f t="shared" si="1288"/>
        <v>630972619.16527104</v>
      </c>
      <c r="Q1710" s="472">
        <f t="shared" si="1289"/>
        <v>630972619.16527104</v>
      </c>
      <c r="R1710" s="472">
        <f t="shared" si="1290"/>
        <v>630972619.16527009</v>
      </c>
      <c r="S1710" s="1189">
        <f t="shared" si="1291"/>
        <v>2014</v>
      </c>
      <c r="T1710" s="470">
        <f t="shared" si="1292"/>
        <v>1</v>
      </c>
      <c r="U1710" s="612">
        <f t="shared" si="1293"/>
        <v>630972619.16527009</v>
      </c>
      <c r="V1710" s="464">
        <f t="shared" si="1294"/>
        <v>2014</v>
      </c>
      <c r="W1710" s="612">
        <f t="shared" si="1295"/>
        <v>9.5367431640625E-7</v>
      </c>
      <c r="X1710" s="473"/>
      <c r="Y1710" s="478"/>
      <c r="Z1710" s="449"/>
      <c r="AA1710" s="573"/>
      <c r="AB1710" s="476"/>
      <c r="AC1710" s="476"/>
      <c r="AD1710" s="568"/>
      <c r="AE1710" s="476"/>
      <c r="AF1710" s="568"/>
      <c r="AG1710" s="476"/>
      <c r="AH1710" s="476"/>
      <c r="AI1710" s="477"/>
      <c r="AJ1710" s="478"/>
      <c r="AK1710" s="479"/>
      <c r="AL1710" s="480"/>
      <c r="AM1710" s="474"/>
      <c r="AN1710" s="481"/>
      <c r="AO1710" s="474"/>
      <c r="AP1710" s="476"/>
      <c r="AQ1710" s="482"/>
      <c r="AR1710" s="478"/>
      <c r="AS1710" s="478"/>
      <c r="AT1710" s="476"/>
      <c r="AU1710" s="482"/>
      <c r="AV1710" s="478"/>
      <c r="AW1710" s="483"/>
      <c r="AX1710" s="476"/>
      <c r="AY1710" s="482"/>
      <c r="AZ1710" s="478"/>
      <c r="BA1710" s="484"/>
      <c r="BB1710" s="474"/>
      <c r="BC1710" s="485"/>
      <c r="BD1710" s="485"/>
      <c r="BG1710" s="487"/>
    </row>
    <row r="1711" spans="1:59" s="486" customFormat="1" ht="18" customHeight="1" x14ac:dyDescent="0.2">
      <c r="A1711" s="1368" t="str">
        <f t="shared" si="1280"/>
        <v>KOMPE BERANGIN - KP. BARU CERENTI2015</v>
      </c>
      <c r="B1711" s="687"/>
      <c r="C1711" s="488"/>
      <c r="D1711" s="489"/>
      <c r="E1711" s="558"/>
      <c r="F1711" s="559">
        <v>2015</v>
      </c>
      <c r="G1711" s="619">
        <v>0</v>
      </c>
      <c r="H1711" s="464">
        <f t="shared" si="1281"/>
        <v>0</v>
      </c>
      <c r="I1711" s="560"/>
      <c r="J1711" s="468">
        <f t="shared" si="1282"/>
        <v>2014</v>
      </c>
      <c r="K1711" s="490">
        <f t="shared" si="1283"/>
        <v>0</v>
      </c>
      <c r="L1711" s="469">
        <f t="shared" si="1284"/>
        <v>0</v>
      </c>
      <c r="M1711" s="683">
        <f t="shared" si="1285"/>
        <v>0</v>
      </c>
      <c r="N1711" s="470">
        <f t="shared" si="1286"/>
        <v>0</v>
      </c>
      <c r="O1711" s="468">
        <f t="shared" si="1287"/>
        <v>2014</v>
      </c>
      <c r="P1711" s="616">
        <f t="shared" si="1288"/>
        <v>9.5367431640625E-7</v>
      </c>
      <c r="Q1711" s="472">
        <f t="shared" si="1289"/>
        <v>9.5367431640625E-7</v>
      </c>
      <c r="R1711" s="472">
        <v>0</v>
      </c>
      <c r="S1711" s="1189">
        <f t="shared" si="1291"/>
        <v>2015</v>
      </c>
      <c r="T1711" s="470">
        <f t="shared" si="1292"/>
        <v>1</v>
      </c>
      <c r="U1711" s="612">
        <f t="shared" si="1293"/>
        <v>0</v>
      </c>
      <c r="V1711" s="464">
        <f t="shared" si="1294"/>
        <v>2015</v>
      </c>
      <c r="W1711" s="612">
        <f t="shared" si="1295"/>
        <v>9.5367431640625E-7</v>
      </c>
      <c r="X1711" s="473"/>
      <c r="Y1711" s="478"/>
      <c r="Z1711" s="449"/>
      <c r="AA1711" s="573"/>
      <c r="AB1711" s="476"/>
      <c r="AC1711" s="476"/>
      <c r="AD1711" s="568"/>
      <c r="AE1711" s="476"/>
      <c r="AF1711" s="568"/>
      <c r="AG1711" s="476"/>
      <c r="AH1711" s="476"/>
      <c r="AI1711" s="477"/>
      <c r="AJ1711" s="478"/>
      <c r="AK1711" s="479"/>
      <c r="AL1711" s="480"/>
      <c r="AM1711" s="474"/>
      <c r="AN1711" s="481"/>
      <c r="AO1711" s="474"/>
      <c r="AP1711" s="476"/>
      <c r="AQ1711" s="482"/>
      <c r="AR1711" s="478"/>
      <c r="AS1711" s="478"/>
      <c r="AT1711" s="476"/>
      <c r="AU1711" s="482"/>
      <c r="AV1711" s="478"/>
      <c r="AW1711" s="483"/>
      <c r="AX1711" s="476"/>
      <c r="AY1711" s="482"/>
      <c r="AZ1711" s="478"/>
      <c r="BA1711" s="484"/>
      <c r="BB1711" s="474"/>
      <c r="BC1711" s="485"/>
      <c r="BD1711" s="485"/>
      <c r="BG1711" s="487"/>
    </row>
    <row r="1712" spans="1:59" s="486" customFormat="1" ht="18" customHeight="1" x14ac:dyDescent="0.2">
      <c r="A1712" s="1368" t="str">
        <f t="shared" si="1280"/>
        <v>KOMPE BERANGIN - KP. BARU CERENTI2016</v>
      </c>
      <c r="B1712" s="687"/>
      <c r="C1712" s="488"/>
      <c r="D1712" s="489"/>
      <c r="E1712" s="558"/>
      <c r="F1712" s="559">
        <v>2016</v>
      </c>
      <c r="G1712" s="619">
        <v>0</v>
      </c>
      <c r="H1712" s="464">
        <f t="shared" si="1281"/>
        <v>0</v>
      </c>
      <c r="I1712" s="560"/>
      <c r="J1712" s="468">
        <f t="shared" si="1282"/>
        <v>2015</v>
      </c>
      <c r="K1712" s="490">
        <f t="shared" si="1283"/>
        <v>0</v>
      </c>
      <c r="L1712" s="469">
        <f t="shared" si="1284"/>
        <v>0</v>
      </c>
      <c r="M1712" s="683">
        <f t="shared" si="1285"/>
        <v>0</v>
      </c>
      <c r="N1712" s="470">
        <f t="shared" si="1286"/>
        <v>0</v>
      </c>
      <c r="O1712" s="468">
        <f t="shared" si="1287"/>
        <v>2015</v>
      </c>
      <c r="P1712" s="616">
        <f t="shared" si="1288"/>
        <v>9.5367431640625E-7</v>
      </c>
      <c r="Q1712" s="472">
        <f t="shared" si="1289"/>
        <v>9.5367431640625E-7</v>
      </c>
      <c r="R1712" s="472">
        <f t="shared" si="1290"/>
        <v>0</v>
      </c>
      <c r="S1712" s="1189">
        <f t="shared" si="1291"/>
        <v>2016</v>
      </c>
      <c r="T1712" s="470">
        <f t="shared" si="1292"/>
        <v>1</v>
      </c>
      <c r="U1712" s="612">
        <f t="shared" si="1293"/>
        <v>0</v>
      </c>
      <c r="V1712" s="464">
        <f t="shared" si="1294"/>
        <v>2016</v>
      </c>
      <c r="W1712" s="612">
        <f t="shared" si="1295"/>
        <v>9.5367431640625E-7</v>
      </c>
      <c r="X1712" s="473"/>
      <c r="Y1712" s="478"/>
      <c r="Z1712" s="449"/>
      <c r="AA1712" s="573"/>
      <c r="AB1712" s="476"/>
      <c r="AC1712" s="476"/>
      <c r="AD1712" s="568"/>
      <c r="AE1712" s="476"/>
      <c r="AF1712" s="568"/>
      <c r="AG1712" s="476"/>
      <c r="AH1712" s="476"/>
      <c r="AI1712" s="477"/>
      <c r="AJ1712" s="478"/>
      <c r="AK1712" s="479"/>
      <c r="AL1712" s="480"/>
      <c r="AM1712" s="474"/>
      <c r="AN1712" s="481"/>
      <c r="AO1712" s="474"/>
      <c r="AP1712" s="476"/>
      <c r="AQ1712" s="482"/>
      <c r="AR1712" s="478"/>
      <c r="AS1712" s="478"/>
      <c r="AT1712" s="476"/>
      <c r="AU1712" s="482"/>
      <c r="AV1712" s="478"/>
      <c r="AW1712" s="483"/>
      <c r="AX1712" s="476"/>
      <c r="AY1712" s="482"/>
      <c r="AZ1712" s="478"/>
      <c r="BA1712" s="484"/>
      <c r="BB1712" s="474"/>
      <c r="BC1712" s="485"/>
      <c r="BD1712" s="485"/>
      <c r="BG1712" s="487"/>
    </row>
    <row r="1713" spans="1:59" s="486" customFormat="1" ht="18" customHeight="1" x14ac:dyDescent="0.2">
      <c r="A1713" s="1368" t="str">
        <f t="shared" si="1280"/>
        <v>KOMPE BERANGIN - KP. BARU CERENTI2017</v>
      </c>
      <c r="B1713" s="687"/>
      <c r="C1713" s="488"/>
      <c r="D1713" s="489"/>
      <c r="E1713" s="558"/>
      <c r="F1713" s="559">
        <v>2017</v>
      </c>
      <c r="G1713" s="619">
        <v>0</v>
      </c>
      <c r="H1713" s="464">
        <f t="shared" si="1281"/>
        <v>0</v>
      </c>
      <c r="I1713" s="560"/>
      <c r="J1713" s="468">
        <f t="shared" si="1282"/>
        <v>2016</v>
      </c>
      <c r="K1713" s="490">
        <f t="shared" si="1283"/>
        <v>0</v>
      </c>
      <c r="L1713" s="469">
        <f t="shared" si="1284"/>
        <v>0</v>
      </c>
      <c r="M1713" s="683">
        <f t="shared" si="1285"/>
        <v>0</v>
      </c>
      <c r="N1713" s="470">
        <f t="shared" si="1286"/>
        <v>0</v>
      </c>
      <c r="O1713" s="468">
        <f t="shared" si="1287"/>
        <v>2016</v>
      </c>
      <c r="P1713" s="616">
        <f t="shared" si="1288"/>
        <v>9.5367431640625E-7</v>
      </c>
      <c r="Q1713" s="472">
        <f t="shared" si="1289"/>
        <v>9.5367431640625E-7</v>
      </c>
      <c r="R1713" s="472">
        <f t="shared" si="1290"/>
        <v>0</v>
      </c>
      <c r="S1713" s="1189">
        <f t="shared" si="1291"/>
        <v>2017</v>
      </c>
      <c r="T1713" s="470">
        <f t="shared" si="1292"/>
        <v>1</v>
      </c>
      <c r="U1713" s="612">
        <f t="shared" si="1293"/>
        <v>0</v>
      </c>
      <c r="V1713" s="464">
        <f t="shared" si="1294"/>
        <v>2017</v>
      </c>
      <c r="W1713" s="612">
        <f t="shared" si="1295"/>
        <v>9.5367431640625E-7</v>
      </c>
      <c r="X1713" s="473"/>
      <c r="Y1713" s="478"/>
      <c r="Z1713" s="449"/>
      <c r="AA1713" s="573"/>
      <c r="AB1713" s="476"/>
      <c r="AC1713" s="476"/>
      <c r="AD1713" s="568"/>
      <c r="AE1713" s="476"/>
      <c r="AF1713" s="568"/>
      <c r="AG1713" s="476"/>
      <c r="AH1713" s="476"/>
      <c r="AI1713" s="477"/>
      <c r="AJ1713" s="478"/>
      <c r="AK1713" s="479"/>
      <c r="AL1713" s="480"/>
      <c r="AM1713" s="474"/>
      <c r="AN1713" s="481"/>
      <c r="AO1713" s="474"/>
      <c r="AP1713" s="476"/>
      <c r="AQ1713" s="482"/>
      <c r="AR1713" s="478"/>
      <c r="AS1713" s="478"/>
      <c r="AT1713" s="476"/>
      <c r="AU1713" s="482"/>
      <c r="AV1713" s="478"/>
      <c r="AW1713" s="483"/>
      <c r="AX1713" s="476"/>
      <c r="AY1713" s="482"/>
      <c r="AZ1713" s="478"/>
      <c r="BA1713" s="484"/>
      <c r="BB1713" s="474"/>
      <c r="BC1713" s="485"/>
      <c r="BD1713" s="485"/>
      <c r="BG1713" s="487"/>
    </row>
    <row r="1714" spans="1:59" s="486" customFormat="1" ht="18" customHeight="1" x14ac:dyDescent="0.2">
      <c r="A1714" s="1368" t="str">
        <f t="shared" si="1280"/>
        <v>KOMPE BERANGIN - KP. BARU CERENTI2018</v>
      </c>
      <c r="B1714" s="687"/>
      <c r="C1714" s="488"/>
      <c r="D1714" s="489"/>
      <c r="E1714" s="558"/>
      <c r="F1714" s="559">
        <v>2018</v>
      </c>
      <c r="G1714" s="619">
        <v>0</v>
      </c>
      <c r="H1714" s="464">
        <f t="shared" si="1281"/>
        <v>0</v>
      </c>
      <c r="I1714" s="560"/>
      <c r="J1714" s="468">
        <f t="shared" si="1282"/>
        <v>2017</v>
      </c>
      <c r="K1714" s="490">
        <f t="shared" si="1283"/>
        <v>0</v>
      </c>
      <c r="L1714" s="469">
        <f t="shared" si="1284"/>
        <v>0</v>
      </c>
      <c r="M1714" s="683">
        <f t="shared" si="1285"/>
        <v>0</v>
      </c>
      <c r="N1714" s="470">
        <f t="shared" si="1286"/>
        <v>0</v>
      </c>
      <c r="O1714" s="468">
        <f t="shared" si="1287"/>
        <v>2017</v>
      </c>
      <c r="P1714" s="616">
        <f t="shared" si="1288"/>
        <v>9.5367431640625E-7</v>
      </c>
      <c r="Q1714" s="472">
        <f t="shared" si="1289"/>
        <v>9.5367431640625E-7</v>
      </c>
      <c r="R1714" s="472">
        <f t="shared" si="1290"/>
        <v>0</v>
      </c>
      <c r="S1714" s="1189">
        <f t="shared" si="1291"/>
        <v>2018</v>
      </c>
      <c r="T1714" s="470">
        <f t="shared" si="1292"/>
        <v>1</v>
      </c>
      <c r="U1714" s="612">
        <f t="shared" si="1293"/>
        <v>0</v>
      </c>
      <c r="V1714" s="464">
        <f t="shared" si="1294"/>
        <v>2018</v>
      </c>
      <c r="W1714" s="612">
        <f t="shared" si="1295"/>
        <v>9.5367431640625E-7</v>
      </c>
      <c r="X1714" s="473"/>
      <c r="Y1714" s="478"/>
      <c r="Z1714" s="449"/>
      <c r="AA1714" s="573"/>
      <c r="AB1714" s="476"/>
      <c r="AC1714" s="476"/>
      <c r="AD1714" s="568"/>
      <c r="AE1714" s="476"/>
      <c r="AF1714" s="568"/>
      <c r="AG1714" s="476"/>
      <c r="AH1714" s="476"/>
      <c r="AI1714" s="477"/>
      <c r="AJ1714" s="478"/>
      <c r="AK1714" s="479"/>
      <c r="AL1714" s="480"/>
      <c r="AM1714" s="474"/>
      <c r="AN1714" s="481"/>
      <c r="AO1714" s="474"/>
      <c r="AP1714" s="476"/>
      <c r="AQ1714" s="482"/>
      <c r="AR1714" s="478"/>
      <c r="AS1714" s="478"/>
      <c r="AT1714" s="476"/>
      <c r="AU1714" s="482"/>
      <c r="AV1714" s="478"/>
      <c r="AW1714" s="483"/>
      <c r="AX1714" s="476"/>
      <c r="AY1714" s="482"/>
      <c r="AZ1714" s="478"/>
      <c r="BA1714" s="484"/>
      <c r="BB1714" s="474"/>
      <c r="BC1714" s="485"/>
      <c r="BD1714" s="485"/>
      <c r="BG1714" s="487"/>
    </row>
    <row r="1715" spans="1:59" s="486" customFormat="1" ht="18" customHeight="1" x14ac:dyDescent="0.2">
      <c r="A1715" s="1368" t="str">
        <f t="shared" si="1280"/>
        <v>KOMPE BERANGIN - KP. BARU CERENTI2019</v>
      </c>
      <c r="B1715" s="687">
        <v>5</v>
      </c>
      <c r="C1715" s="488" t="s">
        <v>5682</v>
      </c>
      <c r="D1715" s="489" t="s">
        <v>2494</v>
      </c>
      <c r="E1715" s="558"/>
      <c r="F1715" s="559">
        <v>2019</v>
      </c>
      <c r="G1715" s="619">
        <v>2091973292.0599999</v>
      </c>
      <c r="H1715" s="557">
        <f>VLOOKUP(LEFT(D1715,8),UE,4)</f>
        <v>10</v>
      </c>
      <c r="I1715" s="560"/>
      <c r="J1715" s="468">
        <f>F1715+N1715-1</f>
        <v>2028</v>
      </c>
      <c r="K1715" s="490">
        <f>IF(G1715=0,0,IF(H1715=10,100%,G1715/W1714))</f>
        <v>1</v>
      </c>
      <c r="L1715" s="469">
        <f>IF(K1715=0%,0,IF(K1715&lt;=30%,2,IF(K1715&lt;=60%,5,10)))</f>
        <v>10</v>
      </c>
      <c r="M1715" s="683">
        <f t="shared" si="1285"/>
        <v>0</v>
      </c>
      <c r="N1715" s="470">
        <f>IF(OR(AND(ISBLANK(F1715),ISBLANK(G1715)),ISTEXT(F1715),ISTEXT(G1715)),"",H1715+M1715)</f>
        <v>10</v>
      </c>
      <c r="O1715" s="468">
        <f>F1715+N1715-1</f>
        <v>2028</v>
      </c>
      <c r="P1715" s="616">
        <f>W1714</f>
        <v>9.5367431640625E-7</v>
      </c>
      <c r="Q1715" s="472">
        <f>P1715+G1715</f>
        <v>2091973292.0600009</v>
      </c>
      <c r="R1715" s="472">
        <f>IF(L1715=0,R1714,Q1715/N1715)</f>
        <v>209197329.20600009</v>
      </c>
      <c r="S1715" s="1189">
        <f>F1715</f>
        <v>2019</v>
      </c>
      <c r="T1715" s="470">
        <f>S1715-S1714</f>
        <v>1</v>
      </c>
      <c r="U1715" s="612">
        <f>R1715*T1715</f>
        <v>209197329.20600009</v>
      </c>
      <c r="V1715" s="464">
        <f>F1715</f>
        <v>2019</v>
      </c>
      <c r="W1715" s="612">
        <f>IF(OR(AND(ISBLANK(E1715),ISBLANK(G1715)),ISTEXT(E1715),ISTEXT(G1715)),"",Q1715-U1715)</f>
        <v>1882775962.8540008</v>
      </c>
      <c r="X1715" s="473"/>
      <c r="Y1715" s="478"/>
      <c r="Z1715" s="449"/>
      <c r="AA1715" s="573"/>
      <c r="AB1715" s="476"/>
      <c r="AC1715" s="476"/>
      <c r="AD1715" s="568"/>
      <c r="AE1715" s="476"/>
      <c r="AF1715" s="568"/>
      <c r="AG1715" s="476"/>
      <c r="AH1715" s="476"/>
      <c r="AI1715" s="477"/>
      <c r="AJ1715" s="478"/>
      <c r="AK1715" s="479"/>
      <c r="AL1715" s="480"/>
      <c r="AM1715" s="474"/>
      <c r="AN1715" s="481"/>
      <c r="AO1715" s="474"/>
      <c r="AP1715" s="476"/>
      <c r="AQ1715" s="482"/>
      <c r="AR1715" s="478"/>
      <c r="AS1715" s="478"/>
      <c r="AT1715" s="476"/>
      <c r="AU1715" s="482"/>
      <c r="AV1715" s="478"/>
      <c r="AW1715" s="483"/>
      <c r="AX1715" s="476"/>
      <c r="AY1715" s="482"/>
      <c r="AZ1715" s="478"/>
      <c r="BA1715" s="484"/>
      <c r="BB1715" s="474"/>
      <c r="BC1715" s="485"/>
      <c r="BD1715" s="485"/>
      <c r="BG1715" s="487"/>
    </row>
    <row r="1716" spans="1:59" s="486" customFormat="1" ht="18" customHeight="1" x14ac:dyDescent="0.2">
      <c r="A1716" s="1368" t="str">
        <f>LEFT(D1716,8)</f>
        <v/>
      </c>
      <c r="B1716" s="687"/>
      <c r="C1716" s="463"/>
      <c r="D1716" s="489"/>
      <c r="E1716" s="465"/>
      <c r="F1716" s="466"/>
      <c r="G1716" s="620"/>
      <c r="H1716" s="464"/>
      <c r="I1716" s="467"/>
      <c r="J1716" s="468"/>
      <c r="K1716" s="574"/>
      <c r="L1716" s="469"/>
      <c r="M1716" s="683"/>
      <c r="N1716" s="470"/>
      <c r="O1716" s="468"/>
      <c r="P1716" s="616"/>
      <c r="Q1716" s="472"/>
      <c r="R1716" s="472"/>
      <c r="S1716" s="1160"/>
      <c r="T1716" s="470"/>
      <c r="U1716" s="612"/>
      <c r="V1716" s="464"/>
      <c r="W1716" s="612"/>
      <c r="X1716" s="473"/>
      <c r="Y1716" s="478"/>
      <c r="Z1716" s="449"/>
      <c r="AA1716" s="573"/>
      <c r="AB1716" s="476"/>
      <c r="AC1716" s="476"/>
      <c r="AD1716" s="568"/>
      <c r="AE1716" s="476"/>
      <c r="AF1716" s="568"/>
      <c r="AG1716" s="476"/>
      <c r="AH1716" s="476"/>
      <c r="AI1716" s="477"/>
      <c r="AJ1716" s="478"/>
      <c r="AK1716" s="479"/>
      <c r="AL1716" s="480"/>
      <c r="AM1716" s="474"/>
      <c r="AN1716" s="481"/>
      <c r="AO1716" s="474"/>
      <c r="AP1716" s="476"/>
      <c r="AQ1716" s="482"/>
      <c r="AR1716" s="478"/>
      <c r="AS1716" s="478"/>
      <c r="AT1716" s="476"/>
      <c r="AU1716" s="482"/>
      <c r="AV1716" s="478"/>
      <c r="AW1716" s="483"/>
      <c r="AX1716" s="476"/>
      <c r="AY1716" s="482"/>
      <c r="AZ1716" s="478"/>
      <c r="BA1716" s="484"/>
      <c r="BB1716" s="474"/>
      <c r="BC1716" s="485"/>
      <c r="BD1716" s="485"/>
      <c r="BG1716" s="487"/>
    </row>
    <row r="1717" spans="1:59" s="526" customFormat="1" ht="18" customHeight="1" x14ac:dyDescent="0.2">
      <c r="A1717" s="1370" t="s">
        <v>4184</v>
      </c>
      <c r="B1717" s="1956" t="s">
        <v>4184</v>
      </c>
      <c r="C1717" s="1957"/>
      <c r="D1717" s="1957"/>
      <c r="E1717" s="1957"/>
      <c r="F1717" s="1958"/>
      <c r="G1717" s="624">
        <f>SUM(G1700:G1716)</f>
        <v>13579899082.385218</v>
      </c>
      <c r="H1717" s="505"/>
      <c r="I1717" s="506"/>
      <c r="J1717" s="507"/>
      <c r="K1717" s="507"/>
      <c r="L1717" s="505"/>
      <c r="M1717" s="684"/>
      <c r="N1717" s="508"/>
      <c r="O1717" s="507"/>
      <c r="P1717" s="749"/>
      <c r="Q1717" s="510"/>
      <c r="R1717" s="511"/>
      <c r="S1717" s="512"/>
      <c r="T1717" s="512"/>
      <c r="U1717" s="610">
        <f>SUM(U1700:U1716)</f>
        <v>11697123119.531216</v>
      </c>
      <c r="V1717" s="513"/>
      <c r="W1717" s="610">
        <f>G1717-U1717</f>
        <v>1882775962.854002</v>
      </c>
      <c r="X1717" s="514"/>
      <c r="Y1717" s="515"/>
      <c r="Z1717" s="515"/>
      <c r="AA1717" s="515"/>
      <c r="AB1717" s="515"/>
      <c r="AC1717" s="515"/>
      <c r="AD1717" s="570"/>
      <c r="AE1717" s="515"/>
      <c r="AF1717" s="570">
        <v>4399854384</v>
      </c>
      <c r="AG1717" s="515"/>
      <c r="AH1717" s="515"/>
      <c r="AI1717" s="516"/>
      <c r="AJ1717" s="517"/>
      <c r="AK1717" s="518"/>
      <c r="AL1717" s="519"/>
      <c r="AM1717" s="520"/>
      <c r="AN1717" s="521"/>
      <c r="AO1717" s="520"/>
      <c r="AP1717" s="515"/>
      <c r="AQ1717" s="522"/>
      <c r="AR1717" s="517"/>
      <c r="AS1717" s="517"/>
      <c r="AT1717" s="515"/>
      <c r="AU1717" s="522"/>
      <c r="AV1717" s="517"/>
      <c r="AW1717" s="523"/>
      <c r="AX1717" s="515"/>
      <c r="AY1717" s="522"/>
      <c r="AZ1717" s="517"/>
      <c r="BA1717" s="524"/>
      <c r="BB1717" s="520"/>
      <c r="BC1717" s="525"/>
      <c r="BD1717" s="525"/>
      <c r="BG1717" s="527"/>
    </row>
    <row r="1720" spans="1:59" s="422" customFormat="1" ht="18" customHeight="1" x14ac:dyDescent="0.2">
      <c r="A1720" s="1366">
        <f>C1720</f>
        <v>282</v>
      </c>
      <c r="B1720" s="742" t="s">
        <v>4187</v>
      </c>
      <c r="C1720" s="556">
        <v>282</v>
      </c>
      <c r="D1720" s="553" t="str">
        <f>VLOOKUP(C1720,RUAS,2,FALSE)</f>
        <v>NEES II CERENTI - KOMPE BERANGIN</v>
      </c>
      <c r="E1720" s="553"/>
      <c r="F1720" s="421"/>
      <c r="G1720" s="611"/>
      <c r="I1720" s="423"/>
      <c r="J1720" s="424"/>
      <c r="K1720" s="424"/>
      <c r="M1720" s="680"/>
      <c r="P1720" s="611"/>
      <c r="U1720" s="611"/>
      <c r="W1720" s="611"/>
      <c r="Y1720" s="425"/>
      <c r="Z1720" s="425"/>
      <c r="AA1720" s="425"/>
      <c r="AB1720" s="425"/>
      <c r="AC1720" s="425"/>
      <c r="AD1720" s="563"/>
      <c r="AE1720" s="425"/>
      <c r="AF1720" s="563"/>
      <c r="AG1720" s="425"/>
      <c r="AH1720" s="425"/>
      <c r="AI1720" s="425"/>
      <c r="AJ1720" s="425"/>
      <c r="AK1720" s="425"/>
      <c r="AL1720" s="425"/>
      <c r="AM1720" s="425"/>
      <c r="AN1720" s="425"/>
      <c r="AO1720" s="425"/>
      <c r="AP1720" s="425"/>
      <c r="AQ1720" s="425"/>
      <c r="AR1720" s="425"/>
      <c r="AS1720" s="425"/>
      <c r="AT1720" s="425"/>
      <c r="AU1720" s="425"/>
      <c r="AV1720" s="425"/>
      <c r="AW1720" s="425"/>
      <c r="AX1720" s="425"/>
      <c r="AY1720" s="425"/>
      <c r="AZ1720" s="425"/>
      <c r="BA1720" s="425"/>
      <c r="BB1720" s="425"/>
    </row>
    <row r="1721" spans="1:59" s="431" customFormat="1" ht="18" customHeight="1" x14ac:dyDescent="0.2">
      <c r="A1721" s="1367"/>
      <c r="B1721" s="1968" t="s">
        <v>5</v>
      </c>
      <c r="C1721" s="1968" t="s">
        <v>2280</v>
      </c>
      <c r="D1721" s="1968" t="s">
        <v>4157</v>
      </c>
      <c r="E1721" s="1968" t="s">
        <v>4158</v>
      </c>
      <c r="F1721" s="1968"/>
      <c r="G1721" s="2042" t="s">
        <v>4159</v>
      </c>
      <c r="H1721" s="1968" t="s">
        <v>4160</v>
      </c>
      <c r="I1721" s="1968"/>
      <c r="J1721" s="1968" t="s">
        <v>4185</v>
      </c>
      <c r="K1721" s="1964" t="s">
        <v>4162</v>
      </c>
      <c r="L1721" s="1968" t="s">
        <v>4163</v>
      </c>
      <c r="M1721" s="1971" t="s">
        <v>4164</v>
      </c>
      <c r="N1721" s="1962" t="s">
        <v>4165</v>
      </c>
      <c r="O1721" s="1968" t="s">
        <v>4166</v>
      </c>
      <c r="P1721" s="1972" t="s">
        <v>4167</v>
      </c>
      <c r="Q1721" s="1973"/>
      <c r="R1721" s="1255" t="s">
        <v>4186</v>
      </c>
      <c r="S1721" s="1972" t="s">
        <v>4169</v>
      </c>
      <c r="T1721" s="1974"/>
      <c r="U1721" s="1973"/>
      <c r="V1721" s="1975" t="s">
        <v>4170</v>
      </c>
      <c r="W1721" s="1975"/>
      <c r="X1721" s="1960" t="s">
        <v>4171</v>
      </c>
      <c r="Y1721" s="1959"/>
      <c r="Z1721" s="1256"/>
      <c r="AA1721" s="426"/>
      <c r="AB1721" s="426"/>
      <c r="AC1721" s="426"/>
      <c r="AD1721" s="564"/>
      <c r="AE1721" s="426"/>
      <c r="AF1721" s="564"/>
      <c r="AG1721" s="426"/>
      <c r="AH1721" s="426"/>
      <c r="AI1721" s="427"/>
      <c r="AJ1721" s="427"/>
      <c r="AK1721" s="427"/>
      <c r="AL1721" s="427"/>
      <c r="AM1721" s="428"/>
      <c r="AN1721" s="427"/>
      <c r="AO1721" s="427"/>
      <c r="AP1721" s="426"/>
      <c r="AQ1721" s="427"/>
      <c r="AR1721" s="427"/>
      <c r="AS1721" s="427"/>
      <c r="AT1721" s="426"/>
      <c r="AU1721" s="427"/>
      <c r="AV1721" s="427"/>
      <c r="AW1721" s="427"/>
      <c r="AX1721" s="426"/>
      <c r="AY1721" s="427"/>
      <c r="AZ1721" s="427"/>
      <c r="BA1721" s="427"/>
      <c r="BB1721" s="429"/>
      <c r="BC1721" s="430"/>
      <c r="BD1721" s="430"/>
    </row>
    <row r="1722" spans="1:59" s="431" customFormat="1" ht="18" customHeight="1" x14ac:dyDescent="0.2">
      <c r="A1722" s="1367"/>
      <c r="B1722" s="1968"/>
      <c r="C1722" s="1968"/>
      <c r="D1722" s="1968"/>
      <c r="E1722" s="1968"/>
      <c r="F1722" s="1968"/>
      <c r="G1722" s="2042"/>
      <c r="H1722" s="1968"/>
      <c r="I1722" s="1968"/>
      <c r="J1722" s="1968"/>
      <c r="K1722" s="1970"/>
      <c r="L1722" s="1968"/>
      <c r="M1722" s="1971"/>
      <c r="N1722" s="1963"/>
      <c r="O1722" s="1968"/>
      <c r="P1722" s="2037" t="s">
        <v>4172</v>
      </c>
      <c r="Q1722" s="1960" t="s">
        <v>4173</v>
      </c>
      <c r="R1722" s="1962" t="s">
        <v>4159</v>
      </c>
      <c r="S1722" s="1962" t="s">
        <v>4174</v>
      </c>
      <c r="T1722" s="1964" t="s">
        <v>4175</v>
      </c>
      <c r="U1722" s="1966" t="s">
        <v>4159</v>
      </c>
      <c r="V1722" s="1975"/>
      <c r="W1722" s="1975"/>
      <c r="X1722" s="1976"/>
      <c r="Y1722" s="1959"/>
      <c r="Z1722" s="1256"/>
      <c r="AA1722" s="426"/>
      <c r="AB1722" s="426"/>
      <c r="AC1722" s="426"/>
      <c r="AD1722" s="564"/>
      <c r="AE1722" s="426"/>
      <c r="AF1722" s="564"/>
      <c r="AG1722" s="426"/>
      <c r="AH1722" s="426"/>
      <c r="AI1722" s="427"/>
      <c r="AJ1722" s="427"/>
      <c r="AK1722" s="426"/>
      <c r="AL1722" s="427"/>
      <c r="AM1722" s="428"/>
      <c r="AN1722" s="427"/>
      <c r="AO1722" s="427"/>
      <c r="AP1722" s="432"/>
      <c r="AQ1722" s="427"/>
      <c r="AR1722" s="427"/>
      <c r="AS1722" s="427"/>
      <c r="AT1722" s="432"/>
      <c r="AU1722" s="427"/>
      <c r="AV1722" s="427"/>
      <c r="AW1722" s="427"/>
      <c r="AX1722" s="432"/>
      <c r="AY1722" s="427"/>
      <c r="AZ1722" s="427"/>
      <c r="BA1722" s="427"/>
      <c r="BB1722" s="429"/>
      <c r="BC1722" s="430"/>
      <c r="BD1722" s="430"/>
    </row>
    <row r="1723" spans="1:59" s="431" customFormat="1" ht="18" customHeight="1" x14ac:dyDescent="0.2">
      <c r="A1723" s="1367"/>
      <c r="B1723" s="1968"/>
      <c r="C1723" s="1968"/>
      <c r="D1723" s="1968"/>
      <c r="E1723" s="433" t="s">
        <v>4176</v>
      </c>
      <c r="F1723" s="434" t="s">
        <v>2288</v>
      </c>
      <c r="G1723" s="2042"/>
      <c r="H1723" s="1254" t="s">
        <v>2288</v>
      </c>
      <c r="I1723" s="1254" t="s">
        <v>4177</v>
      </c>
      <c r="J1723" s="1968"/>
      <c r="K1723" s="1965"/>
      <c r="L1723" s="435" t="s">
        <v>2288</v>
      </c>
      <c r="M1723" s="681" t="s">
        <v>2288</v>
      </c>
      <c r="N1723" s="1254" t="s">
        <v>2288</v>
      </c>
      <c r="O1723" s="1968"/>
      <c r="P1723" s="2038"/>
      <c r="Q1723" s="1961"/>
      <c r="R1723" s="1963"/>
      <c r="S1723" s="1963"/>
      <c r="T1723" s="1965"/>
      <c r="U1723" s="1967"/>
      <c r="V1723" s="1254" t="s">
        <v>4178</v>
      </c>
      <c r="W1723" s="1257" t="s">
        <v>4159</v>
      </c>
      <c r="X1723" s="1961"/>
      <c r="Y1723" s="436"/>
      <c r="Z1723" s="436"/>
      <c r="AA1723" s="426"/>
      <c r="AB1723" s="426"/>
      <c r="AC1723" s="426"/>
      <c r="AD1723" s="564"/>
      <c r="AE1723" s="426"/>
      <c r="AF1723" s="564"/>
      <c r="AG1723" s="426"/>
      <c r="AH1723" s="426"/>
      <c r="AI1723" s="427"/>
      <c r="AJ1723" s="432"/>
      <c r="AK1723" s="432"/>
      <c r="AL1723" s="427"/>
      <c r="AM1723" s="428"/>
      <c r="AN1723" s="432"/>
      <c r="AO1723" s="427"/>
      <c r="AP1723" s="432"/>
      <c r="AQ1723" s="432"/>
      <c r="AR1723" s="427"/>
      <c r="AS1723" s="427"/>
      <c r="AT1723" s="432"/>
      <c r="AU1723" s="432"/>
      <c r="AV1723" s="427"/>
      <c r="AW1723" s="427"/>
      <c r="AX1723" s="432"/>
      <c r="AY1723" s="432"/>
      <c r="AZ1723" s="427"/>
      <c r="BA1723" s="427"/>
      <c r="BB1723" s="429"/>
      <c r="BC1723" s="430"/>
      <c r="BD1723" s="430"/>
    </row>
    <row r="1724" spans="1:59" s="461" customFormat="1" ht="18" customHeight="1" x14ac:dyDescent="0.2">
      <c r="A1724" s="1368" t="str">
        <f>$D$1720&amp;S1724</f>
        <v>NEES II CERENTI - KOMPE BERANGIN2001</v>
      </c>
      <c r="B1724" s="1373">
        <v>1</v>
      </c>
      <c r="C1724" s="532" t="s">
        <v>529</v>
      </c>
      <c r="D1724" s="437" t="s">
        <v>3821</v>
      </c>
      <c r="E1724" s="438"/>
      <c r="F1724" s="439">
        <v>2001</v>
      </c>
      <c r="G1724" s="623">
        <v>5119353361.6199999</v>
      </c>
      <c r="H1724" s="440">
        <f>VLOOKUP(LEFT(D1724,8),UE,4)</f>
        <v>10</v>
      </c>
      <c r="I1724" s="441"/>
      <c r="J1724" s="442">
        <f>F1724+N1724-1</f>
        <v>2010</v>
      </c>
      <c r="K1724" s="443"/>
      <c r="L1724" s="440"/>
      <c r="M1724" s="746">
        <f>IF(H1724+L1724&gt;$H1724,$H1724-H1724,L1724)</f>
        <v>0</v>
      </c>
      <c r="N1724" s="444">
        <f>H1724+M1724</f>
        <v>10</v>
      </c>
      <c r="O1724" s="442">
        <f>F1724+N1724-1</f>
        <v>2010</v>
      </c>
      <c r="P1724" s="617">
        <f>G1724</f>
        <v>5119353361.6199999</v>
      </c>
      <c r="Q1724" s="445">
        <v>0</v>
      </c>
      <c r="R1724" s="445">
        <f>P1724/N1724</f>
        <v>511935336.162</v>
      </c>
      <c r="S1724" s="446">
        <f t="shared" ref="S1724:S1738" si="1296">F1724</f>
        <v>2001</v>
      </c>
      <c r="T1724" s="447">
        <v>1</v>
      </c>
      <c r="U1724" s="613">
        <f t="shared" ref="U1724:U1738" si="1297">R1724*T1724</f>
        <v>511935336.162</v>
      </c>
      <c r="V1724" s="442">
        <f>F1724</f>
        <v>2001</v>
      </c>
      <c r="W1724" s="617">
        <f>IF(OR(AND(ISBLANK(E1724),ISBLANK(G1724)),ISTEXT(E1724),ISTEXT(G1724)),"",G1724-R1724)</f>
        <v>4607418025.4580002</v>
      </c>
      <c r="X1724" s="448"/>
      <c r="Y1724" s="449"/>
      <c r="Z1724" s="449"/>
      <c r="AA1724" s="693"/>
      <c r="AB1724" s="452"/>
      <c r="AC1724" s="452"/>
      <c r="AD1724" s="571"/>
      <c r="AE1724" s="452"/>
      <c r="AF1724" s="571"/>
      <c r="AG1724" s="452"/>
      <c r="AH1724" s="452"/>
      <c r="AI1724" s="453"/>
      <c r="AJ1724" s="449"/>
      <c r="AK1724" s="453"/>
      <c r="AL1724" s="454"/>
      <c r="AM1724" s="455"/>
      <c r="AN1724" s="456"/>
      <c r="AO1724" s="455"/>
      <c r="AP1724" s="452"/>
      <c r="AQ1724" s="457"/>
      <c r="AR1724" s="449"/>
      <c r="AS1724" s="449"/>
      <c r="AT1724" s="452"/>
      <c r="AU1724" s="457"/>
      <c r="AV1724" s="449"/>
      <c r="AW1724" s="458"/>
      <c r="AX1724" s="452"/>
      <c r="AY1724" s="457"/>
      <c r="AZ1724" s="449"/>
      <c r="BA1724" s="459"/>
      <c r="BB1724" s="455"/>
      <c r="BC1724" s="460"/>
      <c r="BD1724" s="460"/>
      <c r="BG1724" s="462"/>
    </row>
    <row r="1725" spans="1:59" s="461" customFormat="1" ht="18" customHeight="1" x14ac:dyDescent="0.2">
      <c r="A1725" s="1368" t="str">
        <f t="shared" ref="A1725:A1739" si="1298">$D$1720&amp;S1725</f>
        <v>NEES II CERENTI - KOMPE BERANGIN2001</v>
      </c>
      <c r="B1725" s="1373"/>
      <c r="C1725" s="488"/>
      <c r="D1725" s="489"/>
      <c r="E1725" s="558"/>
      <c r="F1725" s="559">
        <v>2001</v>
      </c>
      <c r="G1725" s="619">
        <v>0</v>
      </c>
      <c r="H1725" s="464">
        <f t="shared" ref="H1725:H1738" si="1299">IF(N1724-(F1725-F1724)&lt;=0,0,(N1724-(F1725-F1724)))</f>
        <v>10</v>
      </c>
      <c r="I1725" s="560"/>
      <c r="J1725" s="468">
        <f>F1725+N1725-1</f>
        <v>2010</v>
      </c>
      <c r="K1725" s="490">
        <f t="shared" ref="K1725:K1738" si="1300">IF(G1725=0,0,IF(H1725=10,100%,G1725/W1724))</f>
        <v>0</v>
      </c>
      <c r="L1725" s="469">
        <f t="shared" ref="L1725:L1738" si="1301">IF(K1725=0%,0,IF(K1725&lt;=30%,2,IF(K1725&lt;=60%,5,10)))</f>
        <v>0</v>
      </c>
      <c r="M1725" s="683">
        <f>IF(OR(AND(ISBLANK(E1725),ISBLANK(G1725)),ISTEXT(E1725),ISTEXT(G1725)),"",IF(H1725+L1725&gt;$H$8,$H$8-H1725,L1725))</f>
        <v>0</v>
      </c>
      <c r="N1725" s="470">
        <f>IF(OR(AND(ISBLANK(F1725),ISBLANK(G1725)),ISTEXT(F1725),ISTEXT(G1725)),"",H1725+M1725)</f>
        <v>10</v>
      </c>
      <c r="O1725" s="468">
        <f>F1725+N1725-1</f>
        <v>2010</v>
      </c>
      <c r="P1725" s="616">
        <f t="shared" ref="P1725:P1738" si="1302">W1724</f>
        <v>4607418025.4580002</v>
      </c>
      <c r="Q1725" s="472">
        <f t="shared" ref="Q1725:Q1738" si="1303">P1725+G1725</f>
        <v>4607418025.4580002</v>
      </c>
      <c r="R1725" s="472">
        <f>IF(L1725=0,R1724,Q1725/N1725)</f>
        <v>511935336.162</v>
      </c>
      <c r="S1725" s="1189">
        <f t="shared" si="1296"/>
        <v>2001</v>
      </c>
      <c r="T1725" s="470">
        <f>S1725-S1724</f>
        <v>0</v>
      </c>
      <c r="U1725" s="612">
        <f t="shared" si="1297"/>
        <v>0</v>
      </c>
      <c r="V1725" s="464">
        <f t="shared" ref="V1725:V1738" si="1304">F1725</f>
        <v>2001</v>
      </c>
      <c r="W1725" s="612">
        <f t="shared" ref="W1725:W1738" si="1305">IF(OR(AND(ISBLANK(E1725),ISBLANK(G1725)),ISTEXT(E1725),ISTEXT(G1725)),"",Q1725-U1725)</f>
        <v>4607418025.4580002</v>
      </c>
      <c r="X1725" s="561"/>
      <c r="Y1725" s="449"/>
      <c r="Z1725" s="449"/>
      <c r="AA1725" s="694"/>
      <c r="AB1725" s="692"/>
      <c r="AC1725" s="692"/>
      <c r="AD1725" s="695"/>
      <c r="AE1725" s="452"/>
      <c r="AF1725" s="571"/>
      <c r="AG1725" s="452"/>
      <c r="AH1725" s="452"/>
      <c r="AI1725" s="453"/>
      <c r="AJ1725" s="449"/>
      <c r="AK1725" s="453"/>
      <c r="AL1725" s="454"/>
      <c r="AM1725" s="455"/>
      <c r="AN1725" s="456"/>
      <c r="AO1725" s="455"/>
      <c r="AP1725" s="452"/>
      <c r="AQ1725" s="457"/>
      <c r="AR1725" s="449"/>
      <c r="AS1725" s="449"/>
      <c r="AT1725" s="452"/>
      <c r="AU1725" s="457"/>
      <c r="AV1725" s="449"/>
      <c r="AW1725" s="458"/>
      <c r="AX1725" s="452"/>
      <c r="AY1725" s="457"/>
      <c r="AZ1725" s="449"/>
      <c r="BA1725" s="459"/>
      <c r="BB1725" s="455"/>
      <c r="BC1725" s="460"/>
      <c r="BD1725" s="460"/>
      <c r="BG1725" s="462"/>
    </row>
    <row r="1726" spans="1:59" s="461" customFormat="1" ht="18" customHeight="1" x14ac:dyDescent="0.2">
      <c r="A1726" s="1368" t="str">
        <f t="shared" si="1298"/>
        <v>NEES II CERENTI - KOMPE BERANGIN2006</v>
      </c>
      <c r="B1726" s="1373"/>
      <c r="C1726" s="488"/>
      <c r="D1726" s="489"/>
      <c r="E1726" s="558"/>
      <c r="F1726" s="559">
        <v>2006</v>
      </c>
      <c r="G1726" s="619">
        <v>0</v>
      </c>
      <c r="H1726" s="464">
        <f t="shared" si="1299"/>
        <v>5</v>
      </c>
      <c r="I1726" s="560"/>
      <c r="J1726" s="468">
        <f t="shared" ref="J1726:J1738" si="1306">F1726+N1726-1</f>
        <v>2010</v>
      </c>
      <c r="K1726" s="490">
        <f t="shared" si="1300"/>
        <v>0</v>
      </c>
      <c r="L1726" s="469">
        <f t="shared" si="1301"/>
        <v>0</v>
      </c>
      <c r="M1726" s="683">
        <f t="shared" ref="M1726:M1738" si="1307">IF(OR(AND(ISBLANK(E1726),ISBLANK(G1726)),ISTEXT(E1726),ISTEXT(G1726)),"",IF(H1726+L1726&gt;$H$8,$H$8-H1726,L1726))</f>
        <v>0</v>
      </c>
      <c r="N1726" s="470">
        <f t="shared" ref="N1726:N1738" si="1308">IF(OR(AND(ISBLANK(F1726),ISBLANK(G1726)),ISTEXT(F1726),ISTEXT(G1726)),"",H1726+M1726)</f>
        <v>5</v>
      </c>
      <c r="O1726" s="468">
        <f t="shared" ref="O1726:O1738" si="1309">F1726+N1726-1</f>
        <v>2010</v>
      </c>
      <c r="P1726" s="616">
        <f t="shared" si="1302"/>
        <v>4607418025.4580002</v>
      </c>
      <c r="Q1726" s="472">
        <f t="shared" si="1303"/>
        <v>4607418025.4580002</v>
      </c>
      <c r="R1726" s="472">
        <f t="shared" ref="R1726:R1735" si="1310">IF(L1726=0,R1725,Q1726/N1726)</f>
        <v>511935336.162</v>
      </c>
      <c r="S1726" s="1189">
        <f t="shared" si="1296"/>
        <v>2006</v>
      </c>
      <c r="T1726" s="470">
        <f t="shared" ref="T1726:T1738" si="1311">S1726-S1725</f>
        <v>5</v>
      </c>
      <c r="U1726" s="612">
        <f t="shared" si="1297"/>
        <v>2559676680.8099999</v>
      </c>
      <c r="V1726" s="464">
        <f t="shared" si="1304"/>
        <v>2006</v>
      </c>
      <c r="W1726" s="612">
        <f t="shared" si="1305"/>
        <v>2047741344.6480002</v>
      </c>
      <c r="X1726" s="561"/>
      <c r="Y1726" s="449"/>
      <c r="Z1726" s="449"/>
      <c r="AA1726" s="554" t="s">
        <v>4179</v>
      </c>
      <c r="AB1726" s="452"/>
      <c r="AC1726" s="452"/>
      <c r="AD1726" s="566"/>
      <c r="AE1726" s="452"/>
      <c r="AF1726" s="571"/>
      <c r="AG1726" s="452"/>
      <c r="AH1726" s="452"/>
      <c r="AI1726" s="453"/>
      <c r="AJ1726" s="449"/>
      <c r="AK1726" s="453"/>
      <c r="AL1726" s="454"/>
      <c r="AM1726" s="455"/>
      <c r="AN1726" s="456"/>
      <c r="AO1726" s="455"/>
      <c r="AP1726" s="452"/>
      <c r="AQ1726" s="457"/>
      <c r="AR1726" s="449"/>
      <c r="AS1726" s="449"/>
      <c r="AT1726" s="452"/>
      <c r="AU1726" s="457"/>
      <c r="AV1726" s="449"/>
      <c r="AW1726" s="458"/>
      <c r="AX1726" s="452"/>
      <c r="AY1726" s="457"/>
      <c r="AZ1726" s="449"/>
      <c r="BA1726" s="459"/>
      <c r="BB1726" s="455"/>
      <c r="BC1726" s="460"/>
      <c r="BD1726" s="460"/>
      <c r="BG1726" s="462"/>
    </row>
    <row r="1727" spans="1:59" s="461" customFormat="1" ht="18" customHeight="1" x14ac:dyDescent="0.2">
      <c r="A1727" s="1368" t="str">
        <f t="shared" si="1298"/>
        <v>NEES II CERENTI - KOMPE BERANGIN2007</v>
      </c>
      <c r="B1727" s="1373"/>
      <c r="C1727" s="488"/>
      <c r="D1727" s="489"/>
      <c r="E1727" s="558"/>
      <c r="F1727" s="559">
        <v>2007</v>
      </c>
      <c r="G1727" s="619">
        <v>0</v>
      </c>
      <c r="H1727" s="464">
        <f t="shared" si="1299"/>
        <v>4</v>
      </c>
      <c r="I1727" s="560"/>
      <c r="J1727" s="468">
        <f t="shared" si="1306"/>
        <v>2010</v>
      </c>
      <c r="K1727" s="490">
        <f t="shared" si="1300"/>
        <v>0</v>
      </c>
      <c r="L1727" s="469">
        <f t="shared" si="1301"/>
        <v>0</v>
      </c>
      <c r="M1727" s="683">
        <f t="shared" si="1307"/>
        <v>0</v>
      </c>
      <c r="N1727" s="470">
        <f t="shared" si="1308"/>
        <v>4</v>
      </c>
      <c r="O1727" s="468">
        <f t="shared" si="1309"/>
        <v>2010</v>
      </c>
      <c r="P1727" s="616">
        <f t="shared" si="1302"/>
        <v>2047741344.6480002</v>
      </c>
      <c r="Q1727" s="472">
        <f t="shared" si="1303"/>
        <v>2047741344.6480002</v>
      </c>
      <c r="R1727" s="472">
        <f t="shared" si="1310"/>
        <v>511935336.162</v>
      </c>
      <c r="S1727" s="1189">
        <f t="shared" si="1296"/>
        <v>2007</v>
      </c>
      <c r="T1727" s="470">
        <f t="shared" si="1311"/>
        <v>1</v>
      </c>
      <c r="U1727" s="612">
        <f t="shared" si="1297"/>
        <v>511935336.162</v>
      </c>
      <c r="V1727" s="464">
        <f t="shared" si="1304"/>
        <v>2007</v>
      </c>
      <c r="W1727" s="612">
        <f t="shared" si="1305"/>
        <v>1535806008.4860003</v>
      </c>
      <c r="X1727" s="561"/>
      <c r="Y1727" s="449"/>
      <c r="Z1727" s="449"/>
      <c r="AA1727" s="554"/>
      <c r="AB1727" s="452"/>
      <c r="AC1727" s="452"/>
      <c r="AD1727" s="566"/>
      <c r="AE1727" s="452"/>
      <c r="AF1727" s="571"/>
      <c r="AG1727" s="452"/>
      <c r="AH1727" s="452"/>
      <c r="AI1727" s="453"/>
      <c r="AJ1727" s="449"/>
      <c r="AK1727" s="453"/>
      <c r="AL1727" s="454"/>
      <c r="AM1727" s="455"/>
      <c r="AN1727" s="456"/>
      <c r="AO1727" s="455"/>
      <c r="AP1727" s="452"/>
      <c r="AQ1727" s="457"/>
      <c r="AR1727" s="449"/>
      <c r="AS1727" s="449"/>
      <c r="AT1727" s="452"/>
      <c r="AU1727" s="457"/>
      <c r="AV1727" s="449"/>
      <c r="AW1727" s="458"/>
      <c r="AX1727" s="452"/>
      <c r="AY1727" s="457"/>
      <c r="AZ1727" s="449"/>
      <c r="BA1727" s="459"/>
      <c r="BB1727" s="455"/>
      <c r="BC1727" s="460"/>
      <c r="BD1727" s="460"/>
      <c r="BG1727" s="462"/>
    </row>
    <row r="1728" spans="1:59" s="486" customFormat="1" ht="18" customHeight="1" x14ac:dyDescent="0.2">
      <c r="A1728" s="1368" t="str">
        <f t="shared" si="1298"/>
        <v>NEES II CERENTI - KOMPE BERANGIN2008</v>
      </c>
      <c r="B1728" s="1373">
        <v>2</v>
      </c>
      <c r="C1728" s="488" t="s">
        <v>5183</v>
      </c>
      <c r="D1728" s="489"/>
      <c r="E1728" s="558"/>
      <c r="F1728" s="559">
        <v>2008</v>
      </c>
      <c r="G1728" s="619">
        <v>607589053.31525743</v>
      </c>
      <c r="H1728" s="464">
        <f t="shared" si="1299"/>
        <v>3</v>
      </c>
      <c r="I1728" s="560"/>
      <c r="J1728" s="468">
        <f t="shared" si="1306"/>
        <v>2015</v>
      </c>
      <c r="K1728" s="490">
        <f t="shared" si="1300"/>
        <v>0.39561575482714745</v>
      </c>
      <c r="L1728" s="469">
        <f t="shared" si="1301"/>
        <v>5</v>
      </c>
      <c r="M1728" s="683">
        <f t="shared" si="1307"/>
        <v>5</v>
      </c>
      <c r="N1728" s="470">
        <f t="shared" si="1308"/>
        <v>8</v>
      </c>
      <c r="O1728" s="468">
        <f t="shared" si="1309"/>
        <v>2015</v>
      </c>
      <c r="P1728" s="616">
        <f t="shared" si="1302"/>
        <v>1535806008.4860003</v>
      </c>
      <c r="Q1728" s="472">
        <f t="shared" si="1303"/>
        <v>2143395061.8012576</v>
      </c>
      <c r="R1728" s="472">
        <f t="shared" si="1310"/>
        <v>267924382.7251572</v>
      </c>
      <c r="S1728" s="1189">
        <f t="shared" si="1296"/>
        <v>2008</v>
      </c>
      <c r="T1728" s="470">
        <f t="shared" si="1311"/>
        <v>1</v>
      </c>
      <c r="U1728" s="612">
        <f t="shared" si="1297"/>
        <v>267924382.7251572</v>
      </c>
      <c r="V1728" s="464">
        <f t="shared" si="1304"/>
        <v>2008</v>
      </c>
      <c r="W1728" s="612">
        <f t="shared" si="1305"/>
        <v>1875470679.0761003</v>
      </c>
      <c r="X1728" s="561"/>
      <c r="Y1728" s="474"/>
      <c r="Z1728" s="449"/>
      <c r="AA1728" s="475" t="s">
        <v>4180</v>
      </c>
      <c r="AB1728" s="476"/>
      <c r="AC1728" s="476"/>
      <c r="AD1728" s="567">
        <f>G1741</f>
        <v>5726942414.935257</v>
      </c>
      <c r="AE1728" s="476"/>
      <c r="AF1728" s="568"/>
      <c r="AG1728" s="476"/>
      <c r="AH1728" s="476"/>
      <c r="AI1728" s="477"/>
      <c r="AJ1728" s="478"/>
      <c r="AK1728" s="479"/>
      <c r="AL1728" s="480"/>
      <c r="AM1728" s="474"/>
      <c r="AN1728" s="481"/>
      <c r="AO1728" s="474"/>
      <c r="AP1728" s="476"/>
      <c r="AQ1728" s="482"/>
      <c r="AR1728" s="478"/>
      <c r="AS1728" s="478"/>
      <c r="AT1728" s="476"/>
      <c r="AU1728" s="482"/>
      <c r="AV1728" s="478"/>
      <c r="AW1728" s="483"/>
      <c r="AX1728" s="476"/>
      <c r="AY1728" s="482"/>
      <c r="AZ1728" s="478"/>
      <c r="BA1728" s="484"/>
      <c r="BB1728" s="474"/>
      <c r="BC1728" s="485"/>
      <c r="BD1728" s="485"/>
      <c r="BG1728" s="487"/>
    </row>
    <row r="1729" spans="1:59" s="486" customFormat="1" ht="18" customHeight="1" x14ac:dyDescent="0.2">
      <c r="A1729" s="1368" t="str">
        <f t="shared" si="1298"/>
        <v>NEES II CERENTI - KOMPE BERANGIN2009</v>
      </c>
      <c r="B1729" s="1373"/>
      <c r="C1729" s="488"/>
      <c r="D1729" s="489"/>
      <c r="E1729" s="558"/>
      <c r="F1729" s="559">
        <v>2009</v>
      </c>
      <c r="G1729" s="619">
        <v>0</v>
      </c>
      <c r="H1729" s="464">
        <f t="shared" si="1299"/>
        <v>7</v>
      </c>
      <c r="I1729" s="560"/>
      <c r="J1729" s="468">
        <f t="shared" si="1306"/>
        <v>2015</v>
      </c>
      <c r="K1729" s="490">
        <f t="shared" si="1300"/>
        <v>0</v>
      </c>
      <c r="L1729" s="469">
        <f t="shared" si="1301"/>
        <v>0</v>
      </c>
      <c r="M1729" s="683">
        <f t="shared" si="1307"/>
        <v>0</v>
      </c>
      <c r="N1729" s="470">
        <f t="shared" si="1308"/>
        <v>7</v>
      </c>
      <c r="O1729" s="468">
        <f t="shared" si="1309"/>
        <v>2015</v>
      </c>
      <c r="P1729" s="616">
        <f t="shared" si="1302"/>
        <v>1875470679.0761003</v>
      </c>
      <c r="Q1729" s="472">
        <f t="shared" si="1303"/>
        <v>1875470679.0761003</v>
      </c>
      <c r="R1729" s="472">
        <f t="shared" si="1310"/>
        <v>267924382.7251572</v>
      </c>
      <c r="S1729" s="1189">
        <f t="shared" si="1296"/>
        <v>2009</v>
      </c>
      <c r="T1729" s="470">
        <f t="shared" si="1311"/>
        <v>1</v>
      </c>
      <c r="U1729" s="612">
        <f t="shared" si="1297"/>
        <v>267924382.7251572</v>
      </c>
      <c r="V1729" s="464">
        <f t="shared" si="1304"/>
        <v>2009</v>
      </c>
      <c r="W1729" s="612">
        <f t="shared" si="1305"/>
        <v>1607546296.3509431</v>
      </c>
      <c r="X1729" s="473"/>
      <c r="Y1729" s="478"/>
      <c r="Z1729" s="449"/>
      <c r="AA1729" s="475" t="s">
        <v>4181</v>
      </c>
      <c r="AB1729" s="491"/>
      <c r="AC1729" s="491"/>
      <c r="AD1729" s="567">
        <f>U1741</f>
        <v>5726942414.935256</v>
      </c>
      <c r="AE1729" s="491"/>
      <c r="AF1729" s="568"/>
      <c r="AG1729" s="491"/>
      <c r="AH1729" s="491"/>
      <c r="AI1729" s="477"/>
      <c r="AJ1729" s="478"/>
      <c r="AK1729" s="479"/>
      <c r="AL1729" s="480"/>
      <c r="AM1729" s="474"/>
      <c r="AN1729" s="481"/>
      <c r="AO1729" s="474"/>
      <c r="AP1729" s="476"/>
      <c r="AQ1729" s="482"/>
      <c r="AR1729" s="478"/>
      <c r="AS1729" s="478"/>
      <c r="AT1729" s="476"/>
      <c r="AU1729" s="482"/>
      <c r="AV1729" s="478"/>
      <c r="AW1729" s="483"/>
      <c r="AX1729" s="476"/>
      <c r="AY1729" s="482"/>
      <c r="AZ1729" s="478"/>
      <c r="BA1729" s="484"/>
      <c r="BB1729" s="474"/>
      <c r="BC1729" s="485"/>
      <c r="BD1729" s="485"/>
      <c r="BG1729" s="487"/>
    </row>
    <row r="1730" spans="1:59" s="486" customFormat="1" ht="18" customHeight="1" x14ac:dyDescent="0.2">
      <c r="A1730" s="1368" t="str">
        <f t="shared" si="1298"/>
        <v>NEES II CERENTI - KOMPE BERANGIN2010</v>
      </c>
      <c r="B1730" s="1373"/>
      <c r="C1730" s="488"/>
      <c r="D1730" s="489"/>
      <c r="E1730" s="558"/>
      <c r="F1730" s="559">
        <v>2010</v>
      </c>
      <c r="G1730" s="619">
        <v>0</v>
      </c>
      <c r="H1730" s="464">
        <f t="shared" si="1299"/>
        <v>6</v>
      </c>
      <c r="I1730" s="560"/>
      <c r="J1730" s="468">
        <f t="shared" si="1306"/>
        <v>2015</v>
      </c>
      <c r="K1730" s="490">
        <f t="shared" si="1300"/>
        <v>0</v>
      </c>
      <c r="L1730" s="469">
        <f t="shared" si="1301"/>
        <v>0</v>
      </c>
      <c r="M1730" s="683">
        <f t="shared" si="1307"/>
        <v>0</v>
      </c>
      <c r="N1730" s="470">
        <f t="shared" si="1308"/>
        <v>6</v>
      </c>
      <c r="O1730" s="468">
        <f t="shared" si="1309"/>
        <v>2015</v>
      </c>
      <c r="P1730" s="616">
        <f t="shared" si="1302"/>
        <v>1607546296.3509431</v>
      </c>
      <c r="Q1730" s="472">
        <f t="shared" si="1303"/>
        <v>1607546296.3509431</v>
      </c>
      <c r="R1730" s="472">
        <f t="shared" si="1310"/>
        <v>267924382.7251572</v>
      </c>
      <c r="S1730" s="1189">
        <f t="shared" si="1296"/>
        <v>2010</v>
      </c>
      <c r="T1730" s="470">
        <f t="shared" si="1311"/>
        <v>1</v>
      </c>
      <c r="U1730" s="612">
        <f t="shared" si="1297"/>
        <v>267924382.7251572</v>
      </c>
      <c r="V1730" s="464">
        <f t="shared" si="1304"/>
        <v>2010</v>
      </c>
      <c r="W1730" s="612">
        <f t="shared" si="1305"/>
        <v>1339621913.6257858</v>
      </c>
      <c r="X1730" s="473"/>
      <c r="Y1730" s="478"/>
      <c r="Z1730" s="449"/>
      <c r="AA1730" s="492" t="s">
        <v>4182</v>
      </c>
      <c r="AB1730" s="476"/>
      <c r="AC1730" s="476"/>
      <c r="AD1730" s="567">
        <f>AD1728-AD1729</f>
        <v>0</v>
      </c>
      <c r="AE1730" s="476"/>
      <c r="AF1730" s="568"/>
      <c r="AG1730" s="476"/>
      <c r="AH1730" s="476"/>
      <c r="AI1730" s="477"/>
      <c r="AJ1730" s="478"/>
      <c r="AK1730" s="479"/>
      <c r="AL1730" s="480"/>
      <c r="AM1730" s="474"/>
      <c r="AN1730" s="481"/>
      <c r="AO1730" s="474"/>
      <c r="AP1730" s="476"/>
      <c r="AQ1730" s="482"/>
      <c r="AR1730" s="478"/>
      <c r="AS1730" s="478"/>
      <c r="AT1730" s="476"/>
      <c r="AU1730" s="482"/>
      <c r="AV1730" s="478"/>
      <c r="AW1730" s="483"/>
      <c r="AX1730" s="476"/>
      <c r="AY1730" s="482"/>
      <c r="AZ1730" s="478"/>
      <c r="BA1730" s="484"/>
      <c r="BB1730" s="474"/>
      <c r="BC1730" s="485"/>
      <c r="BD1730" s="485"/>
      <c r="BG1730" s="487"/>
    </row>
    <row r="1731" spans="1:59" s="486" customFormat="1" ht="18" customHeight="1" x14ac:dyDescent="0.2">
      <c r="A1731" s="1368" t="str">
        <f t="shared" si="1298"/>
        <v>NEES II CERENTI - KOMPE BERANGIN2011</v>
      </c>
      <c r="B1731" s="687"/>
      <c r="C1731" s="488"/>
      <c r="D1731" s="489"/>
      <c r="E1731" s="558"/>
      <c r="F1731" s="559">
        <v>2011</v>
      </c>
      <c r="G1731" s="619">
        <v>0</v>
      </c>
      <c r="H1731" s="464">
        <f t="shared" si="1299"/>
        <v>5</v>
      </c>
      <c r="I1731" s="560"/>
      <c r="J1731" s="468">
        <f t="shared" si="1306"/>
        <v>2015</v>
      </c>
      <c r="K1731" s="490">
        <f t="shared" si="1300"/>
        <v>0</v>
      </c>
      <c r="L1731" s="469">
        <f t="shared" si="1301"/>
        <v>0</v>
      </c>
      <c r="M1731" s="683">
        <f t="shared" si="1307"/>
        <v>0</v>
      </c>
      <c r="N1731" s="470">
        <f t="shared" si="1308"/>
        <v>5</v>
      </c>
      <c r="O1731" s="468">
        <f t="shared" si="1309"/>
        <v>2015</v>
      </c>
      <c r="P1731" s="616">
        <f t="shared" si="1302"/>
        <v>1339621913.6257858</v>
      </c>
      <c r="Q1731" s="472">
        <f t="shared" si="1303"/>
        <v>1339621913.6257858</v>
      </c>
      <c r="R1731" s="472">
        <f t="shared" si="1310"/>
        <v>267924382.7251572</v>
      </c>
      <c r="S1731" s="1189">
        <f t="shared" si="1296"/>
        <v>2011</v>
      </c>
      <c r="T1731" s="470">
        <f t="shared" si="1311"/>
        <v>1</v>
      </c>
      <c r="U1731" s="612">
        <f t="shared" si="1297"/>
        <v>267924382.7251572</v>
      </c>
      <c r="V1731" s="464">
        <f t="shared" si="1304"/>
        <v>2011</v>
      </c>
      <c r="W1731" s="612">
        <f t="shared" si="1305"/>
        <v>1071697530.9006286</v>
      </c>
      <c r="X1731" s="473"/>
      <c r="Y1731" s="478"/>
      <c r="Z1731" s="449"/>
      <c r="AA1731" s="531" t="s">
        <v>4183</v>
      </c>
      <c r="AB1731" s="496"/>
      <c r="AC1731" s="496"/>
      <c r="AD1731" s="569">
        <f>AD1730-W1741</f>
        <v>0</v>
      </c>
      <c r="AE1731" s="476"/>
      <c r="AF1731" s="568"/>
      <c r="AG1731" s="476"/>
      <c r="AH1731" s="476"/>
      <c r="AI1731" s="477"/>
      <c r="AJ1731" s="478"/>
      <c r="AK1731" s="479"/>
      <c r="AL1731" s="480"/>
      <c r="AM1731" s="474"/>
      <c r="AN1731" s="481"/>
      <c r="AO1731" s="474"/>
      <c r="AP1731" s="476"/>
      <c r="AQ1731" s="482"/>
      <c r="AR1731" s="478"/>
      <c r="AS1731" s="478"/>
      <c r="AT1731" s="476"/>
      <c r="AU1731" s="482"/>
      <c r="AV1731" s="478"/>
      <c r="AW1731" s="483"/>
      <c r="AX1731" s="476"/>
      <c r="AY1731" s="482"/>
      <c r="AZ1731" s="478"/>
      <c r="BA1731" s="484"/>
      <c r="BB1731" s="474"/>
      <c r="BC1731" s="485"/>
      <c r="BD1731" s="485"/>
      <c r="BG1731" s="487"/>
    </row>
    <row r="1732" spans="1:59" s="486" customFormat="1" ht="18" customHeight="1" x14ac:dyDescent="0.2">
      <c r="A1732" s="1368" t="str">
        <f t="shared" si="1298"/>
        <v>NEES II CERENTI - KOMPE BERANGIN2012</v>
      </c>
      <c r="B1732" s="687"/>
      <c r="C1732" s="488"/>
      <c r="D1732" s="489"/>
      <c r="E1732" s="558"/>
      <c r="F1732" s="559">
        <v>2012</v>
      </c>
      <c r="G1732" s="619">
        <v>0</v>
      </c>
      <c r="H1732" s="464">
        <f t="shared" si="1299"/>
        <v>4</v>
      </c>
      <c r="I1732" s="560"/>
      <c r="J1732" s="468">
        <f t="shared" si="1306"/>
        <v>2015</v>
      </c>
      <c r="K1732" s="490">
        <f t="shared" si="1300"/>
        <v>0</v>
      </c>
      <c r="L1732" s="469">
        <f t="shared" si="1301"/>
        <v>0</v>
      </c>
      <c r="M1732" s="683">
        <f t="shared" si="1307"/>
        <v>0</v>
      </c>
      <c r="N1732" s="470">
        <f t="shared" si="1308"/>
        <v>4</v>
      </c>
      <c r="O1732" s="468">
        <f t="shared" si="1309"/>
        <v>2015</v>
      </c>
      <c r="P1732" s="616">
        <f t="shared" si="1302"/>
        <v>1071697530.9006286</v>
      </c>
      <c r="Q1732" s="472">
        <f t="shared" si="1303"/>
        <v>1071697530.9006286</v>
      </c>
      <c r="R1732" s="472">
        <f t="shared" si="1310"/>
        <v>267924382.7251572</v>
      </c>
      <c r="S1732" s="1189">
        <f t="shared" si="1296"/>
        <v>2012</v>
      </c>
      <c r="T1732" s="470">
        <f t="shared" si="1311"/>
        <v>1</v>
      </c>
      <c r="U1732" s="612">
        <f t="shared" si="1297"/>
        <v>267924382.7251572</v>
      </c>
      <c r="V1732" s="464">
        <f t="shared" si="1304"/>
        <v>2012</v>
      </c>
      <c r="W1732" s="612">
        <f t="shared" si="1305"/>
        <v>803773148.17547131</v>
      </c>
      <c r="X1732" s="473"/>
      <c r="Y1732" s="478"/>
      <c r="Z1732" s="449"/>
      <c r="AA1732" s="573"/>
      <c r="AB1732" s="476"/>
      <c r="AC1732" s="476"/>
      <c r="AD1732" s="568"/>
      <c r="AE1732" s="476"/>
      <c r="AF1732" s="568"/>
      <c r="AG1732" s="476"/>
      <c r="AH1732" s="476"/>
      <c r="AI1732" s="477"/>
      <c r="AJ1732" s="478"/>
      <c r="AK1732" s="479"/>
      <c r="AL1732" s="480"/>
      <c r="AM1732" s="474"/>
      <c r="AN1732" s="481"/>
      <c r="AO1732" s="474"/>
      <c r="AP1732" s="476"/>
      <c r="AQ1732" s="482"/>
      <c r="AR1732" s="478"/>
      <c r="AS1732" s="478"/>
      <c r="AT1732" s="476"/>
      <c r="AU1732" s="482"/>
      <c r="AV1732" s="478"/>
      <c r="AW1732" s="483"/>
      <c r="AX1732" s="476"/>
      <c r="AY1732" s="482"/>
      <c r="AZ1732" s="478"/>
      <c r="BA1732" s="484"/>
      <c r="BB1732" s="474"/>
      <c r="BC1732" s="485"/>
      <c r="BD1732" s="485"/>
      <c r="BG1732" s="487"/>
    </row>
    <row r="1733" spans="1:59" s="486" customFormat="1" ht="18" customHeight="1" x14ac:dyDescent="0.2">
      <c r="A1733" s="1368" t="str">
        <f t="shared" si="1298"/>
        <v>NEES II CERENTI - KOMPE BERANGIN2013</v>
      </c>
      <c r="B1733" s="687"/>
      <c r="C1733" s="488"/>
      <c r="D1733" s="489"/>
      <c r="E1733" s="558"/>
      <c r="F1733" s="559">
        <v>2013</v>
      </c>
      <c r="G1733" s="619">
        <v>0</v>
      </c>
      <c r="H1733" s="464">
        <f t="shared" si="1299"/>
        <v>3</v>
      </c>
      <c r="I1733" s="560"/>
      <c r="J1733" s="468">
        <f t="shared" si="1306"/>
        <v>2015</v>
      </c>
      <c r="K1733" s="490">
        <f t="shared" si="1300"/>
        <v>0</v>
      </c>
      <c r="L1733" s="469">
        <f t="shared" si="1301"/>
        <v>0</v>
      </c>
      <c r="M1733" s="683">
        <f t="shared" si="1307"/>
        <v>0</v>
      </c>
      <c r="N1733" s="470">
        <f t="shared" si="1308"/>
        <v>3</v>
      </c>
      <c r="O1733" s="468">
        <f t="shared" si="1309"/>
        <v>2015</v>
      </c>
      <c r="P1733" s="616">
        <f t="shared" si="1302"/>
        <v>803773148.17547131</v>
      </c>
      <c r="Q1733" s="472">
        <f t="shared" si="1303"/>
        <v>803773148.17547131</v>
      </c>
      <c r="R1733" s="472">
        <f t="shared" si="1310"/>
        <v>267924382.7251572</v>
      </c>
      <c r="S1733" s="1189">
        <f t="shared" si="1296"/>
        <v>2013</v>
      </c>
      <c r="T1733" s="470">
        <f t="shared" si="1311"/>
        <v>1</v>
      </c>
      <c r="U1733" s="612">
        <f t="shared" si="1297"/>
        <v>267924382.7251572</v>
      </c>
      <c r="V1733" s="464">
        <f t="shared" si="1304"/>
        <v>2013</v>
      </c>
      <c r="W1733" s="612">
        <f t="shared" si="1305"/>
        <v>535848765.4503141</v>
      </c>
      <c r="X1733" s="473"/>
      <c r="Y1733" s="478"/>
      <c r="Z1733" s="449"/>
      <c r="AA1733" s="573"/>
      <c r="AB1733" s="476"/>
      <c r="AC1733" s="476"/>
      <c r="AD1733" s="568"/>
      <c r="AE1733" s="476"/>
      <c r="AF1733" s="568"/>
      <c r="AG1733" s="476"/>
      <c r="AH1733" s="476"/>
      <c r="AI1733" s="477"/>
      <c r="AJ1733" s="478"/>
      <c r="AK1733" s="479"/>
      <c r="AL1733" s="480"/>
      <c r="AM1733" s="474"/>
      <c r="AN1733" s="481"/>
      <c r="AO1733" s="474"/>
      <c r="AP1733" s="476"/>
      <c r="AQ1733" s="482"/>
      <c r="AR1733" s="478"/>
      <c r="AS1733" s="478"/>
      <c r="AT1733" s="476"/>
      <c r="AU1733" s="482"/>
      <c r="AV1733" s="478"/>
      <c r="AW1733" s="483"/>
      <c r="AX1733" s="476"/>
      <c r="AY1733" s="482"/>
      <c r="AZ1733" s="478"/>
      <c r="BA1733" s="484"/>
      <c r="BB1733" s="474"/>
      <c r="BC1733" s="485"/>
      <c r="BD1733" s="485"/>
      <c r="BG1733" s="487"/>
    </row>
    <row r="1734" spans="1:59" s="486" customFormat="1" ht="18" customHeight="1" x14ac:dyDescent="0.2">
      <c r="A1734" s="1368" t="str">
        <f t="shared" si="1298"/>
        <v>NEES II CERENTI - KOMPE BERANGIN2014</v>
      </c>
      <c r="B1734" s="687"/>
      <c r="C1734" s="488"/>
      <c r="D1734" s="489"/>
      <c r="E1734" s="558"/>
      <c r="F1734" s="559">
        <v>2014</v>
      </c>
      <c r="G1734" s="619">
        <v>0</v>
      </c>
      <c r="H1734" s="464">
        <f t="shared" si="1299"/>
        <v>2</v>
      </c>
      <c r="I1734" s="560"/>
      <c r="J1734" s="468">
        <f t="shared" si="1306"/>
        <v>2015</v>
      </c>
      <c r="K1734" s="490">
        <f t="shared" si="1300"/>
        <v>0</v>
      </c>
      <c r="L1734" s="469">
        <f t="shared" si="1301"/>
        <v>0</v>
      </c>
      <c r="M1734" s="683">
        <f t="shared" si="1307"/>
        <v>0</v>
      </c>
      <c r="N1734" s="470">
        <f t="shared" si="1308"/>
        <v>2</v>
      </c>
      <c r="O1734" s="468">
        <f t="shared" si="1309"/>
        <v>2015</v>
      </c>
      <c r="P1734" s="616">
        <f t="shared" si="1302"/>
        <v>535848765.4503141</v>
      </c>
      <c r="Q1734" s="472">
        <f t="shared" si="1303"/>
        <v>535848765.4503141</v>
      </c>
      <c r="R1734" s="472">
        <f t="shared" si="1310"/>
        <v>267924382.7251572</v>
      </c>
      <c r="S1734" s="1189">
        <f t="shared" si="1296"/>
        <v>2014</v>
      </c>
      <c r="T1734" s="470">
        <f t="shared" si="1311"/>
        <v>1</v>
      </c>
      <c r="U1734" s="612">
        <f t="shared" si="1297"/>
        <v>267924382.7251572</v>
      </c>
      <c r="V1734" s="464">
        <f t="shared" si="1304"/>
        <v>2014</v>
      </c>
      <c r="W1734" s="612">
        <f t="shared" si="1305"/>
        <v>267924382.7251569</v>
      </c>
      <c r="X1734" s="473"/>
      <c r="Y1734" s="478"/>
      <c r="Z1734" s="449"/>
      <c r="AA1734" s="573"/>
      <c r="AB1734" s="476"/>
      <c r="AC1734" s="476"/>
      <c r="AD1734" s="568"/>
      <c r="AE1734" s="476"/>
      <c r="AF1734" s="568"/>
      <c r="AG1734" s="476"/>
      <c r="AH1734" s="476"/>
      <c r="AI1734" s="477"/>
      <c r="AJ1734" s="478"/>
      <c r="AK1734" s="479"/>
      <c r="AL1734" s="480"/>
      <c r="AM1734" s="474"/>
      <c r="AN1734" s="481"/>
      <c r="AO1734" s="474"/>
      <c r="AP1734" s="476"/>
      <c r="AQ1734" s="482"/>
      <c r="AR1734" s="478"/>
      <c r="AS1734" s="478"/>
      <c r="AT1734" s="476"/>
      <c r="AU1734" s="482"/>
      <c r="AV1734" s="478"/>
      <c r="AW1734" s="483"/>
      <c r="AX1734" s="476"/>
      <c r="AY1734" s="482"/>
      <c r="AZ1734" s="478"/>
      <c r="BA1734" s="484"/>
      <c r="BB1734" s="474"/>
      <c r="BC1734" s="485"/>
      <c r="BD1734" s="485"/>
      <c r="BG1734" s="487"/>
    </row>
    <row r="1735" spans="1:59" s="486" customFormat="1" ht="18" customHeight="1" x14ac:dyDescent="0.2">
      <c r="A1735" s="1368" t="str">
        <f t="shared" si="1298"/>
        <v>NEES II CERENTI - KOMPE BERANGIN2015</v>
      </c>
      <c r="B1735" s="687"/>
      <c r="C1735" s="488"/>
      <c r="D1735" s="489"/>
      <c r="E1735" s="558"/>
      <c r="F1735" s="559">
        <v>2015</v>
      </c>
      <c r="G1735" s="619">
        <v>0</v>
      </c>
      <c r="H1735" s="464">
        <f t="shared" si="1299"/>
        <v>1</v>
      </c>
      <c r="I1735" s="560"/>
      <c r="J1735" s="468">
        <f t="shared" si="1306"/>
        <v>2015</v>
      </c>
      <c r="K1735" s="490">
        <f t="shared" si="1300"/>
        <v>0</v>
      </c>
      <c r="L1735" s="469">
        <f t="shared" si="1301"/>
        <v>0</v>
      </c>
      <c r="M1735" s="683">
        <f t="shared" si="1307"/>
        <v>0</v>
      </c>
      <c r="N1735" s="470">
        <f t="shared" si="1308"/>
        <v>1</v>
      </c>
      <c r="O1735" s="468">
        <f t="shared" si="1309"/>
        <v>2015</v>
      </c>
      <c r="P1735" s="616">
        <f t="shared" si="1302"/>
        <v>267924382.7251569</v>
      </c>
      <c r="Q1735" s="472">
        <f t="shared" si="1303"/>
        <v>267924382.7251569</v>
      </c>
      <c r="R1735" s="472">
        <f t="shared" si="1310"/>
        <v>267924382.7251572</v>
      </c>
      <c r="S1735" s="1189">
        <f t="shared" si="1296"/>
        <v>2015</v>
      </c>
      <c r="T1735" s="470">
        <f t="shared" si="1311"/>
        <v>1</v>
      </c>
      <c r="U1735" s="612">
        <f t="shared" si="1297"/>
        <v>267924382.7251572</v>
      </c>
      <c r="V1735" s="464">
        <f t="shared" si="1304"/>
        <v>2015</v>
      </c>
      <c r="W1735" s="612">
        <f t="shared" si="1305"/>
        <v>-2.9802322387695312E-7</v>
      </c>
      <c r="X1735" s="473"/>
      <c r="Y1735" s="478"/>
      <c r="Z1735" s="449"/>
      <c r="AA1735" s="573"/>
      <c r="AB1735" s="476"/>
      <c r="AC1735" s="476"/>
      <c r="AD1735" s="568"/>
      <c r="AE1735" s="476"/>
      <c r="AF1735" s="568"/>
      <c r="AG1735" s="476"/>
      <c r="AH1735" s="476"/>
      <c r="AI1735" s="477"/>
      <c r="AJ1735" s="478"/>
      <c r="AK1735" s="479"/>
      <c r="AL1735" s="480"/>
      <c r="AM1735" s="474"/>
      <c r="AN1735" s="481"/>
      <c r="AO1735" s="474"/>
      <c r="AP1735" s="476"/>
      <c r="AQ1735" s="482"/>
      <c r="AR1735" s="478"/>
      <c r="AS1735" s="478"/>
      <c r="AT1735" s="476"/>
      <c r="AU1735" s="482"/>
      <c r="AV1735" s="478"/>
      <c r="AW1735" s="483"/>
      <c r="AX1735" s="476"/>
      <c r="AY1735" s="482"/>
      <c r="AZ1735" s="478"/>
      <c r="BA1735" s="484"/>
      <c r="BB1735" s="474"/>
      <c r="BC1735" s="485"/>
      <c r="BD1735" s="485"/>
      <c r="BG1735" s="487"/>
    </row>
    <row r="1736" spans="1:59" s="486" customFormat="1" ht="18" customHeight="1" x14ac:dyDescent="0.2">
      <c r="A1736" s="1368" t="str">
        <f t="shared" si="1298"/>
        <v>NEES II CERENTI - KOMPE BERANGIN2016</v>
      </c>
      <c r="B1736" s="687"/>
      <c r="C1736" s="488"/>
      <c r="D1736" s="489"/>
      <c r="E1736" s="558"/>
      <c r="F1736" s="559">
        <v>2016</v>
      </c>
      <c r="G1736" s="619">
        <v>0</v>
      </c>
      <c r="H1736" s="464">
        <f t="shared" si="1299"/>
        <v>0</v>
      </c>
      <c r="I1736" s="560"/>
      <c r="J1736" s="468">
        <f t="shared" si="1306"/>
        <v>2015</v>
      </c>
      <c r="K1736" s="490">
        <f t="shared" si="1300"/>
        <v>0</v>
      </c>
      <c r="L1736" s="469">
        <f t="shared" si="1301"/>
        <v>0</v>
      </c>
      <c r="M1736" s="683">
        <f t="shared" si="1307"/>
        <v>0</v>
      </c>
      <c r="N1736" s="470">
        <f t="shared" si="1308"/>
        <v>0</v>
      </c>
      <c r="O1736" s="468">
        <f t="shared" si="1309"/>
        <v>2015</v>
      </c>
      <c r="P1736" s="616">
        <f t="shared" si="1302"/>
        <v>-2.9802322387695312E-7</v>
      </c>
      <c r="Q1736" s="472">
        <f t="shared" si="1303"/>
        <v>-2.9802322387695312E-7</v>
      </c>
      <c r="R1736" s="472">
        <v>0</v>
      </c>
      <c r="S1736" s="1189">
        <f t="shared" si="1296"/>
        <v>2016</v>
      </c>
      <c r="T1736" s="470">
        <f t="shared" si="1311"/>
        <v>1</v>
      </c>
      <c r="U1736" s="612">
        <f t="shared" si="1297"/>
        <v>0</v>
      </c>
      <c r="V1736" s="464">
        <f t="shared" si="1304"/>
        <v>2016</v>
      </c>
      <c r="W1736" s="612">
        <f t="shared" si="1305"/>
        <v>-2.9802322387695312E-7</v>
      </c>
      <c r="X1736" s="473"/>
      <c r="Y1736" s="478"/>
      <c r="Z1736" s="449"/>
      <c r="AA1736" s="573"/>
      <c r="AB1736" s="476"/>
      <c r="AC1736" s="476"/>
      <c r="AD1736" s="568"/>
      <c r="AE1736" s="476"/>
      <c r="AF1736" s="568"/>
      <c r="AG1736" s="476"/>
      <c r="AH1736" s="476"/>
      <c r="AI1736" s="477"/>
      <c r="AJ1736" s="478"/>
      <c r="AK1736" s="479"/>
      <c r="AL1736" s="480"/>
      <c r="AM1736" s="474"/>
      <c r="AN1736" s="481"/>
      <c r="AO1736" s="474"/>
      <c r="AP1736" s="476"/>
      <c r="AQ1736" s="482"/>
      <c r="AR1736" s="478"/>
      <c r="AS1736" s="478"/>
      <c r="AT1736" s="476"/>
      <c r="AU1736" s="482"/>
      <c r="AV1736" s="478"/>
      <c r="AW1736" s="483"/>
      <c r="AX1736" s="476"/>
      <c r="AY1736" s="482"/>
      <c r="AZ1736" s="478"/>
      <c r="BA1736" s="484"/>
      <c r="BB1736" s="474"/>
      <c r="BC1736" s="485"/>
      <c r="BD1736" s="485"/>
      <c r="BG1736" s="487"/>
    </row>
    <row r="1737" spans="1:59" s="486" customFormat="1" ht="18" customHeight="1" x14ac:dyDescent="0.2">
      <c r="A1737" s="1368" t="str">
        <f t="shared" si="1298"/>
        <v>NEES II CERENTI - KOMPE BERANGIN2017</v>
      </c>
      <c r="B1737" s="687"/>
      <c r="C1737" s="488"/>
      <c r="D1737" s="489"/>
      <c r="E1737" s="558"/>
      <c r="F1737" s="559">
        <v>2017</v>
      </c>
      <c r="G1737" s="619">
        <v>0</v>
      </c>
      <c r="H1737" s="464">
        <f t="shared" si="1299"/>
        <v>0</v>
      </c>
      <c r="I1737" s="560"/>
      <c r="J1737" s="468">
        <f t="shared" si="1306"/>
        <v>2016</v>
      </c>
      <c r="K1737" s="490">
        <f t="shared" si="1300"/>
        <v>0</v>
      </c>
      <c r="L1737" s="469">
        <f t="shared" si="1301"/>
        <v>0</v>
      </c>
      <c r="M1737" s="683">
        <f t="shared" si="1307"/>
        <v>0</v>
      </c>
      <c r="N1737" s="470">
        <f t="shared" si="1308"/>
        <v>0</v>
      </c>
      <c r="O1737" s="468">
        <f t="shared" si="1309"/>
        <v>2016</v>
      </c>
      <c r="P1737" s="616">
        <f t="shared" si="1302"/>
        <v>-2.9802322387695312E-7</v>
      </c>
      <c r="Q1737" s="472">
        <f t="shared" si="1303"/>
        <v>-2.9802322387695312E-7</v>
      </c>
      <c r="R1737" s="472">
        <f>IF(L1737=0,R1736,Q1737/N1737)</f>
        <v>0</v>
      </c>
      <c r="S1737" s="1189">
        <f t="shared" si="1296"/>
        <v>2017</v>
      </c>
      <c r="T1737" s="470">
        <f t="shared" si="1311"/>
        <v>1</v>
      </c>
      <c r="U1737" s="612">
        <f t="shared" si="1297"/>
        <v>0</v>
      </c>
      <c r="V1737" s="464">
        <f t="shared" si="1304"/>
        <v>2017</v>
      </c>
      <c r="W1737" s="612">
        <f t="shared" si="1305"/>
        <v>-2.9802322387695312E-7</v>
      </c>
      <c r="X1737" s="473"/>
      <c r="Y1737" s="478"/>
      <c r="Z1737" s="449"/>
      <c r="AA1737" s="573"/>
      <c r="AB1737" s="476"/>
      <c r="AC1737" s="476"/>
      <c r="AD1737" s="568"/>
      <c r="AE1737" s="476"/>
      <c r="AF1737" s="568"/>
      <c r="AG1737" s="476"/>
      <c r="AH1737" s="476"/>
      <c r="AI1737" s="477"/>
      <c r="AJ1737" s="478"/>
      <c r="AK1737" s="479"/>
      <c r="AL1737" s="480"/>
      <c r="AM1737" s="474"/>
      <c r="AN1737" s="481"/>
      <c r="AO1737" s="474"/>
      <c r="AP1737" s="476"/>
      <c r="AQ1737" s="482"/>
      <c r="AR1737" s="478"/>
      <c r="AS1737" s="478"/>
      <c r="AT1737" s="476"/>
      <c r="AU1737" s="482"/>
      <c r="AV1737" s="478"/>
      <c r="AW1737" s="483"/>
      <c r="AX1737" s="476"/>
      <c r="AY1737" s="482"/>
      <c r="AZ1737" s="478"/>
      <c r="BA1737" s="484"/>
      <c r="BB1737" s="474"/>
      <c r="BC1737" s="485"/>
      <c r="BD1737" s="485"/>
      <c r="BG1737" s="487"/>
    </row>
    <row r="1738" spans="1:59" s="486" customFormat="1" ht="18" customHeight="1" x14ac:dyDescent="0.2">
      <c r="A1738" s="1368" t="str">
        <f t="shared" si="1298"/>
        <v>NEES II CERENTI - KOMPE BERANGIN2018</v>
      </c>
      <c r="B1738" s="687"/>
      <c r="C1738" s="488"/>
      <c r="D1738" s="489"/>
      <c r="E1738" s="558"/>
      <c r="F1738" s="559">
        <v>2018</v>
      </c>
      <c r="G1738" s="619">
        <v>0</v>
      </c>
      <c r="H1738" s="464">
        <f t="shared" si="1299"/>
        <v>0</v>
      </c>
      <c r="I1738" s="560"/>
      <c r="J1738" s="468">
        <f t="shared" si="1306"/>
        <v>2017</v>
      </c>
      <c r="K1738" s="490">
        <f t="shared" si="1300"/>
        <v>0</v>
      </c>
      <c r="L1738" s="469">
        <f t="shared" si="1301"/>
        <v>0</v>
      </c>
      <c r="M1738" s="683">
        <f t="shared" si="1307"/>
        <v>0</v>
      </c>
      <c r="N1738" s="470">
        <f t="shared" si="1308"/>
        <v>0</v>
      </c>
      <c r="O1738" s="468">
        <f t="shared" si="1309"/>
        <v>2017</v>
      </c>
      <c r="P1738" s="616">
        <f t="shared" si="1302"/>
        <v>-2.9802322387695312E-7</v>
      </c>
      <c r="Q1738" s="472">
        <f t="shared" si="1303"/>
        <v>-2.9802322387695312E-7</v>
      </c>
      <c r="R1738" s="472">
        <f>IF(L1738=0,R1737,Q1738/N1738)</f>
        <v>0</v>
      </c>
      <c r="S1738" s="1189">
        <f t="shared" si="1296"/>
        <v>2018</v>
      </c>
      <c r="T1738" s="470">
        <f t="shared" si="1311"/>
        <v>1</v>
      </c>
      <c r="U1738" s="612">
        <f t="shared" si="1297"/>
        <v>0</v>
      </c>
      <c r="V1738" s="464">
        <f t="shared" si="1304"/>
        <v>2018</v>
      </c>
      <c r="W1738" s="612">
        <f t="shared" si="1305"/>
        <v>-2.9802322387695312E-7</v>
      </c>
      <c r="X1738" s="473"/>
      <c r="Y1738" s="478"/>
      <c r="Z1738" s="449"/>
      <c r="AA1738" s="573"/>
      <c r="AB1738" s="476"/>
      <c r="AC1738" s="476"/>
      <c r="AD1738" s="568"/>
      <c r="AE1738" s="476"/>
      <c r="AF1738" s="568"/>
      <c r="AG1738" s="476"/>
      <c r="AH1738" s="476"/>
      <c r="AI1738" s="477"/>
      <c r="AJ1738" s="478"/>
      <c r="AK1738" s="479"/>
      <c r="AL1738" s="480"/>
      <c r="AM1738" s="474"/>
      <c r="AN1738" s="481"/>
      <c r="AO1738" s="474"/>
      <c r="AP1738" s="476"/>
      <c r="AQ1738" s="482"/>
      <c r="AR1738" s="478"/>
      <c r="AS1738" s="478"/>
      <c r="AT1738" s="476"/>
      <c r="AU1738" s="482"/>
      <c r="AV1738" s="478"/>
      <c r="AW1738" s="483"/>
      <c r="AX1738" s="476"/>
      <c r="AY1738" s="482"/>
      <c r="AZ1738" s="478"/>
      <c r="BA1738" s="484"/>
      <c r="BB1738" s="474"/>
      <c r="BC1738" s="485"/>
      <c r="BD1738" s="485"/>
      <c r="BG1738" s="487"/>
    </row>
    <row r="1739" spans="1:59" s="486" customFormat="1" ht="18" customHeight="1" x14ac:dyDescent="0.2">
      <c r="A1739" s="1368" t="str">
        <f t="shared" si="1298"/>
        <v>NEES II CERENTI - KOMPE BERANGIN2019</v>
      </c>
      <c r="B1739" s="687"/>
      <c r="C1739" s="488"/>
      <c r="D1739" s="489"/>
      <c r="E1739" s="558"/>
      <c r="F1739" s="559">
        <v>2019</v>
      </c>
      <c r="G1739" s="619">
        <v>0</v>
      </c>
      <c r="H1739" s="464">
        <f>IF(N1738-(F1739-F1738)&lt;=0,0,(N1738-(F1739-F1738)))</f>
        <v>0</v>
      </c>
      <c r="I1739" s="560"/>
      <c r="J1739" s="468">
        <f>F1739+N1739-1</f>
        <v>2018</v>
      </c>
      <c r="K1739" s="490">
        <f>IF(G1739=0,0,IF(H1739=10,100%,G1739/W1738))</f>
        <v>0</v>
      </c>
      <c r="L1739" s="469">
        <f>IF(K1739=0%,0,IF(K1739&lt;=30%,2,IF(K1739&lt;=60%,5,10)))</f>
        <v>0</v>
      </c>
      <c r="M1739" s="683">
        <f>IF(OR(AND(ISBLANK(E1739),ISBLANK(G1739)),ISTEXT(E1739),ISTEXT(G1739)),"",IF(H1739+L1739&gt;$H$8,$H$8-H1739,L1739))</f>
        <v>0</v>
      </c>
      <c r="N1739" s="470">
        <f>IF(OR(AND(ISBLANK(F1739),ISBLANK(G1739)),ISTEXT(F1739),ISTEXT(G1739)),"",H1739+M1739)</f>
        <v>0</v>
      </c>
      <c r="O1739" s="468">
        <f>F1739+N1739-1</f>
        <v>2018</v>
      </c>
      <c r="P1739" s="616">
        <f>W1738</f>
        <v>-2.9802322387695312E-7</v>
      </c>
      <c r="Q1739" s="472">
        <f>P1739+G1739</f>
        <v>-2.9802322387695312E-7</v>
      </c>
      <c r="R1739" s="472">
        <f>IF(L1739=0,R1738,Q1739/N1739)</f>
        <v>0</v>
      </c>
      <c r="S1739" s="1189">
        <f>F1739</f>
        <v>2019</v>
      </c>
      <c r="T1739" s="470">
        <f>S1739-S1738</f>
        <v>1</v>
      </c>
      <c r="U1739" s="612">
        <f>R1739*T1739</f>
        <v>0</v>
      </c>
      <c r="V1739" s="464">
        <f>F1739</f>
        <v>2019</v>
      </c>
      <c r="W1739" s="612">
        <f>IF(OR(AND(ISBLANK(E1739),ISBLANK(G1739)),ISTEXT(E1739),ISTEXT(G1739)),"",Q1739-U1739)</f>
        <v>-2.9802322387695312E-7</v>
      </c>
      <c r="X1739" s="473"/>
      <c r="Y1739" s="478"/>
      <c r="Z1739" s="449"/>
      <c r="AA1739" s="573"/>
      <c r="AB1739" s="476"/>
      <c r="AC1739" s="476"/>
      <c r="AD1739" s="568"/>
      <c r="AE1739" s="476"/>
      <c r="AF1739" s="568"/>
      <c r="AG1739" s="476"/>
      <c r="AH1739" s="476"/>
      <c r="AI1739" s="477"/>
      <c r="AJ1739" s="478"/>
      <c r="AK1739" s="479"/>
      <c r="AL1739" s="480"/>
      <c r="AM1739" s="474"/>
      <c r="AN1739" s="481"/>
      <c r="AO1739" s="474"/>
      <c r="AP1739" s="476"/>
      <c r="AQ1739" s="482"/>
      <c r="AR1739" s="478"/>
      <c r="AS1739" s="478"/>
      <c r="AT1739" s="476"/>
      <c r="AU1739" s="482"/>
      <c r="AV1739" s="478"/>
      <c r="AW1739" s="483"/>
      <c r="AX1739" s="476"/>
      <c r="AY1739" s="482"/>
      <c r="AZ1739" s="478"/>
      <c r="BA1739" s="484"/>
      <c r="BB1739" s="474"/>
      <c r="BC1739" s="485"/>
      <c r="BD1739" s="485"/>
      <c r="BG1739" s="487"/>
    </row>
    <row r="1740" spans="1:59" s="486" customFormat="1" ht="18" customHeight="1" x14ac:dyDescent="0.2">
      <c r="A1740" s="1368" t="str">
        <f>LEFT(D1740,8)</f>
        <v/>
      </c>
      <c r="B1740" s="687"/>
      <c r="C1740" s="463"/>
      <c r="D1740" s="489"/>
      <c r="E1740" s="465"/>
      <c r="F1740" s="466"/>
      <c r="G1740" s="620"/>
      <c r="H1740" s="464"/>
      <c r="I1740" s="467"/>
      <c r="J1740" s="468"/>
      <c r="K1740" s="574"/>
      <c r="L1740" s="469"/>
      <c r="M1740" s="683"/>
      <c r="N1740" s="470"/>
      <c r="O1740" s="468"/>
      <c r="P1740" s="616"/>
      <c r="Q1740" s="472"/>
      <c r="R1740" s="472"/>
      <c r="S1740" s="1189"/>
      <c r="T1740" s="470"/>
      <c r="U1740" s="612"/>
      <c r="V1740" s="464"/>
      <c r="W1740" s="612"/>
      <c r="X1740" s="473"/>
      <c r="Y1740" s="478"/>
      <c r="Z1740" s="449"/>
      <c r="AA1740" s="573"/>
      <c r="AB1740" s="476"/>
      <c r="AC1740" s="476"/>
      <c r="AD1740" s="568"/>
      <c r="AE1740" s="476"/>
      <c r="AF1740" s="568"/>
      <c r="AG1740" s="476"/>
      <c r="AH1740" s="476"/>
      <c r="AI1740" s="477"/>
      <c r="AJ1740" s="478"/>
      <c r="AK1740" s="479"/>
      <c r="AL1740" s="480"/>
      <c r="AM1740" s="474"/>
      <c r="AN1740" s="481"/>
      <c r="AO1740" s="474"/>
      <c r="AP1740" s="476"/>
      <c r="AQ1740" s="482"/>
      <c r="AR1740" s="478"/>
      <c r="AS1740" s="478"/>
      <c r="AT1740" s="476"/>
      <c r="AU1740" s="482"/>
      <c r="AV1740" s="478"/>
      <c r="AW1740" s="483"/>
      <c r="AX1740" s="476"/>
      <c r="AY1740" s="482"/>
      <c r="AZ1740" s="478"/>
      <c r="BA1740" s="484"/>
      <c r="BB1740" s="474"/>
      <c r="BC1740" s="485"/>
      <c r="BD1740" s="485"/>
      <c r="BG1740" s="487"/>
    </row>
    <row r="1741" spans="1:59" s="526" customFormat="1" ht="18" customHeight="1" x14ac:dyDescent="0.2">
      <c r="A1741" s="1370" t="s">
        <v>4184</v>
      </c>
      <c r="B1741" s="1956" t="s">
        <v>4184</v>
      </c>
      <c r="C1741" s="1957"/>
      <c r="D1741" s="1957"/>
      <c r="E1741" s="1957"/>
      <c r="F1741" s="1958"/>
      <c r="G1741" s="624">
        <f>SUM(G1724:G1740)</f>
        <v>5726942414.935257</v>
      </c>
      <c r="H1741" s="505"/>
      <c r="I1741" s="506"/>
      <c r="J1741" s="507"/>
      <c r="K1741" s="507"/>
      <c r="L1741" s="505"/>
      <c r="M1741" s="684"/>
      <c r="N1741" s="508"/>
      <c r="O1741" s="507"/>
      <c r="P1741" s="749"/>
      <c r="Q1741" s="510"/>
      <c r="R1741" s="511"/>
      <c r="S1741" s="512"/>
      <c r="T1741" s="512"/>
      <c r="U1741" s="610">
        <f>SUM(U1724:U1740)</f>
        <v>5726942414.935256</v>
      </c>
      <c r="V1741" s="513"/>
      <c r="W1741" s="610">
        <f>G1741-U1741</f>
        <v>0</v>
      </c>
      <c r="X1741" s="514"/>
      <c r="Y1741" s="515"/>
      <c r="Z1741" s="515"/>
      <c r="AA1741" s="515"/>
      <c r="AB1741" s="515"/>
      <c r="AC1741" s="515"/>
      <c r="AD1741" s="570"/>
      <c r="AE1741" s="515"/>
      <c r="AF1741" s="570">
        <v>4399854384</v>
      </c>
      <c r="AG1741" s="515"/>
      <c r="AH1741" s="515"/>
      <c r="AI1741" s="516"/>
      <c r="AJ1741" s="517"/>
      <c r="AK1741" s="518"/>
      <c r="AL1741" s="519"/>
      <c r="AM1741" s="520"/>
      <c r="AN1741" s="521"/>
      <c r="AO1741" s="520"/>
      <c r="AP1741" s="515"/>
      <c r="AQ1741" s="522"/>
      <c r="AR1741" s="517"/>
      <c r="AS1741" s="517"/>
      <c r="AT1741" s="515"/>
      <c r="AU1741" s="522"/>
      <c r="AV1741" s="517"/>
      <c r="AW1741" s="523"/>
      <c r="AX1741" s="515"/>
      <c r="AY1741" s="522"/>
      <c r="AZ1741" s="517"/>
      <c r="BA1741" s="524"/>
      <c r="BB1741" s="520"/>
      <c r="BC1741" s="525"/>
      <c r="BD1741" s="525"/>
      <c r="BG1741" s="527"/>
    </row>
    <row r="1744" spans="1:59" s="422" customFormat="1" ht="18" customHeight="1" x14ac:dyDescent="0.2">
      <c r="A1744" s="1366">
        <f>C1744</f>
        <v>285</v>
      </c>
      <c r="B1744" s="742" t="s">
        <v>4187</v>
      </c>
      <c r="C1744" s="556">
        <v>285</v>
      </c>
      <c r="D1744" s="553" t="str">
        <f>VLOOKUP(C1744,RUAS,2,FALSE)</f>
        <v>SEI. PERUPUK - TELUK PAUH</v>
      </c>
      <c r="E1744" s="553"/>
      <c r="F1744" s="421"/>
      <c r="G1744" s="611"/>
      <c r="I1744" s="423"/>
      <c r="J1744" s="424"/>
      <c r="K1744" s="424"/>
      <c r="M1744" s="680"/>
      <c r="P1744" s="611"/>
      <c r="U1744" s="611"/>
      <c r="W1744" s="611"/>
      <c r="Y1744" s="425"/>
      <c r="Z1744" s="425"/>
      <c r="AA1744" s="425"/>
      <c r="AB1744" s="425"/>
      <c r="AC1744" s="425"/>
      <c r="AD1744" s="563"/>
      <c r="AE1744" s="425"/>
      <c r="AF1744" s="563"/>
      <c r="AG1744" s="425"/>
      <c r="AH1744" s="425"/>
      <c r="AI1744" s="425"/>
      <c r="AJ1744" s="425"/>
      <c r="AK1744" s="425"/>
      <c r="AL1744" s="425"/>
      <c r="AM1744" s="425"/>
      <c r="AN1744" s="425"/>
      <c r="AO1744" s="425"/>
      <c r="AP1744" s="425"/>
      <c r="AQ1744" s="425"/>
      <c r="AR1744" s="425"/>
      <c r="AS1744" s="425"/>
      <c r="AT1744" s="425"/>
      <c r="AU1744" s="425"/>
      <c r="AV1744" s="425"/>
      <c r="AW1744" s="425"/>
      <c r="AX1744" s="425"/>
      <c r="AY1744" s="425"/>
      <c r="AZ1744" s="425"/>
      <c r="BA1744" s="425"/>
      <c r="BB1744" s="425"/>
    </row>
    <row r="1745" spans="1:59" s="431" customFormat="1" ht="18" customHeight="1" x14ac:dyDescent="0.2">
      <c r="A1745" s="1367"/>
      <c r="B1745" s="1968" t="s">
        <v>5</v>
      </c>
      <c r="C1745" s="1968" t="s">
        <v>2280</v>
      </c>
      <c r="D1745" s="1968" t="s">
        <v>4157</v>
      </c>
      <c r="E1745" s="1968" t="s">
        <v>4158</v>
      </c>
      <c r="F1745" s="1968"/>
      <c r="G1745" s="2042" t="s">
        <v>4159</v>
      </c>
      <c r="H1745" s="1968" t="s">
        <v>4160</v>
      </c>
      <c r="I1745" s="1968"/>
      <c r="J1745" s="1968" t="s">
        <v>4185</v>
      </c>
      <c r="K1745" s="1964" t="s">
        <v>4162</v>
      </c>
      <c r="L1745" s="1968" t="s">
        <v>4163</v>
      </c>
      <c r="M1745" s="1971" t="s">
        <v>4164</v>
      </c>
      <c r="N1745" s="1962" t="s">
        <v>4165</v>
      </c>
      <c r="O1745" s="1968" t="s">
        <v>4166</v>
      </c>
      <c r="P1745" s="1972" t="s">
        <v>4167</v>
      </c>
      <c r="Q1745" s="1973"/>
      <c r="R1745" s="636" t="s">
        <v>4186</v>
      </c>
      <c r="S1745" s="1972" t="s">
        <v>4169</v>
      </c>
      <c r="T1745" s="1974"/>
      <c r="U1745" s="1973"/>
      <c r="V1745" s="1975" t="s">
        <v>4170</v>
      </c>
      <c r="W1745" s="1975"/>
      <c r="X1745" s="1960" t="s">
        <v>4171</v>
      </c>
      <c r="Y1745" s="1959"/>
      <c r="Z1745" s="633"/>
      <c r="AA1745" s="426"/>
      <c r="AB1745" s="426"/>
      <c r="AC1745" s="426"/>
      <c r="AD1745" s="564"/>
      <c r="AE1745" s="426"/>
      <c r="AF1745" s="564"/>
      <c r="AG1745" s="426"/>
      <c r="AH1745" s="426"/>
      <c r="AI1745" s="427"/>
      <c r="AJ1745" s="427"/>
      <c r="AK1745" s="427"/>
      <c r="AL1745" s="427"/>
      <c r="AM1745" s="428"/>
      <c r="AN1745" s="427"/>
      <c r="AO1745" s="427"/>
      <c r="AP1745" s="426"/>
      <c r="AQ1745" s="427"/>
      <c r="AR1745" s="427"/>
      <c r="AS1745" s="427"/>
      <c r="AT1745" s="426"/>
      <c r="AU1745" s="427"/>
      <c r="AV1745" s="427"/>
      <c r="AW1745" s="427"/>
      <c r="AX1745" s="426"/>
      <c r="AY1745" s="427"/>
      <c r="AZ1745" s="427"/>
      <c r="BA1745" s="427"/>
      <c r="BB1745" s="429"/>
      <c r="BC1745" s="430"/>
      <c r="BD1745" s="430"/>
    </row>
    <row r="1746" spans="1:59" s="431" customFormat="1" ht="18" customHeight="1" x14ac:dyDescent="0.2">
      <c r="A1746" s="1367"/>
      <c r="B1746" s="1968"/>
      <c r="C1746" s="1968"/>
      <c r="D1746" s="1968"/>
      <c r="E1746" s="1968"/>
      <c r="F1746" s="1968"/>
      <c r="G1746" s="2042"/>
      <c r="H1746" s="1968"/>
      <c r="I1746" s="1968"/>
      <c r="J1746" s="1968"/>
      <c r="K1746" s="1970"/>
      <c r="L1746" s="1968"/>
      <c r="M1746" s="1971"/>
      <c r="N1746" s="1963"/>
      <c r="O1746" s="1968"/>
      <c r="P1746" s="2037" t="s">
        <v>4172</v>
      </c>
      <c r="Q1746" s="1960" t="s">
        <v>4173</v>
      </c>
      <c r="R1746" s="1962" t="s">
        <v>4159</v>
      </c>
      <c r="S1746" s="1962" t="s">
        <v>4174</v>
      </c>
      <c r="T1746" s="1964" t="s">
        <v>4175</v>
      </c>
      <c r="U1746" s="1966" t="s">
        <v>4159</v>
      </c>
      <c r="V1746" s="1975"/>
      <c r="W1746" s="1975"/>
      <c r="X1746" s="1976"/>
      <c r="Y1746" s="1959"/>
      <c r="Z1746" s="633"/>
      <c r="AA1746" s="426"/>
      <c r="AB1746" s="426"/>
      <c r="AC1746" s="426"/>
      <c r="AD1746" s="564"/>
      <c r="AE1746" s="426"/>
      <c r="AF1746" s="564"/>
      <c r="AG1746" s="426"/>
      <c r="AH1746" s="426"/>
      <c r="AI1746" s="427"/>
      <c r="AJ1746" s="427"/>
      <c r="AK1746" s="426"/>
      <c r="AL1746" s="427"/>
      <c r="AM1746" s="428"/>
      <c r="AN1746" s="427"/>
      <c r="AO1746" s="427"/>
      <c r="AP1746" s="432"/>
      <c r="AQ1746" s="427"/>
      <c r="AR1746" s="427"/>
      <c r="AS1746" s="427"/>
      <c r="AT1746" s="432"/>
      <c r="AU1746" s="427"/>
      <c r="AV1746" s="427"/>
      <c r="AW1746" s="427"/>
      <c r="AX1746" s="432"/>
      <c r="AY1746" s="427"/>
      <c r="AZ1746" s="427"/>
      <c r="BA1746" s="427"/>
      <c r="BB1746" s="429"/>
      <c r="BC1746" s="430"/>
      <c r="BD1746" s="430"/>
    </row>
    <row r="1747" spans="1:59" s="431" customFormat="1" ht="18" customHeight="1" x14ac:dyDescent="0.2">
      <c r="A1747" s="1367"/>
      <c r="B1747" s="1968"/>
      <c r="C1747" s="1968"/>
      <c r="D1747" s="1968"/>
      <c r="E1747" s="433" t="s">
        <v>4176</v>
      </c>
      <c r="F1747" s="434" t="s">
        <v>2288</v>
      </c>
      <c r="G1747" s="2042"/>
      <c r="H1747" s="635" t="s">
        <v>2288</v>
      </c>
      <c r="I1747" s="635" t="s">
        <v>4177</v>
      </c>
      <c r="J1747" s="1968"/>
      <c r="K1747" s="1965"/>
      <c r="L1747" s="435" t="s">
        <v>2288</v>
      </c>
      <c r="M1747" s="681" t="s">
        <v>2288</v>
      </c>
      <c r="N1747" s="635" t="s">
        <v>2288</v>
      </c>
      <c r="O1747" s="1968"/>
      <c r="P1747" s="2038"/>
      <c r="Q1747" s="1961"/>
      <c r="R1747" s="1963"/>
      <c r="S1747" s="1963"/>
      <c r="T1747" s="1965"/>
      <c r="U1747" s="1967"/>
      <c r="V1747" s="635" t="s">
        <v>4178</v>
      </c>
      <c r="W1747" s="637" t="s">
        <v>4159</v>
      </c>
      <c r="X1747" s="1961"/>
      <c r="Y1747" s="436"/>
      <c r="Z1747" s="436"/>
      <c r="AA1747" s="426"/>
      <c r="AB1747" s="426"/>
      <c r="AC1747" s="426"/>
      <c r="AD1747" s="564"/>
      <c r="AE1747" s="426"/>
      <c r="AF1747" s="564"/>
      <c r="AG1747" s="426"/>
      <c r="AH1747" s="426"/>
      <c r="AI1747" s="427"/>
      <c r="AJ1747" s="432"/>
      <c r="AK1747" s="432"/>
      <c r="AL1747" s="427"/>
      <c r="AM1747" s="428"/>
      <c r="AN1747" s="432"/>
      <c r="AO1747" s="427"/>
      <c r="AP1747" s="432"/>
      <c r="AQ1747" s="432"/>
      <c r="AR1747" s="427"/>
      <c r="AS1747" s="427"/>
      <c r="AT1747" s="432"/>
      <c r="AU1747" s="432"/>
      <c r="AV1747" s="427"/>
      <c r="AW1747" s="427"/>
      <c r="AX1747" s="432"/>
      <c r="AY1747" s="432"/>
      <c r="AZ1747" s="427"/>
      <c r="BA1747" s="427"/>
      <c r="BB1747" s="429"/>
      <c r="BC1747" s="430"/>
      <c r="BD1747" s="430"/>
    </row>
    <row r="1748" spans="1:59" s="461" customFormat="1" ht="18" customHeight="1" x14ac:dyDescent="0.2">
      <c r="A1748" s="1368" t="str">
        <f>$D$1744&amp;S1748</f>
        <v>SEI. PERUPUK - TELUK PAUH2001</v>
      </c>
      <c r="B1748" s="1373">
        <v>1</v>
      </c>
      <c r="C1748" s="532" t="s">
        <v>529</v>
      </c>
      <c r="D1748" s="437" t="s">
        <v>3821</v>
      </c>
      <c r="E1748" s="438"/>
      <c r="F1748" s="439">
        <v>2001</v>
      </c>
      <c r="G1748" s="623">
        <v>2835000000</v>
      </c>
      <c r="H1748" s="440">
        <f>VLOOKUP(LEFT(D1748,8),UE,4)</f>
        <v>10</v>
      </c>
      <c r="I1748" s="441"/>
      <c r="J1748" s="442">
        <f>F1748+N1748-1</f>
        <v>2010</v>
      </c>
      <c r="K1748" s="443"/>
      <c r="L1748" s="440"/>
      <c r="M1748" s="746">
        <f>IF(H1748+L1748&gt;$H1748,$H1748-H1748,L1748)</f>
        <v>0</v>
      </c>
      <c r="N1748" s="444">
        <f>H1748+M1748</f>
        <v>10</v>
      </c>
      <c r="O1748" s="442">
        <f>F1748+N1748-1</f>
        <v>2010</v>
      </c>
      <c r="P1748" s="617">
        <f>G1748</f>
        <v>2835000000</v>
      </c>
      <c r="Q1748" s="445">
        <v>0</v>
      </c>
      <c r="R1748" s="445">
        <f>P1748/N1748</f>
        <v>283500000</v>
      </c>
      <c r="S1748" s="446">
        <f>F1748</f>
        <v>2001</v>
      </c>
      <c r="T1748" s="447">
        <v>1</v>
      </c>
      <c r="U1748" s="613">
        <f>R1748*T1748</f>
        <v>283500000</v>
      </c>
      <c r="V1748" s="442">
        <f>F1748</f>
        <v>2001</v>
      </c>
      <c r="W1748" s="617">
        <f>IF(OR(AND(ISBLANK(E1748),ISBLANK(G1748)),ISTEXT(E1748),ISTEXT(G1748)),"",G1748-R1748)</f>
        <v>2551500000</v>
      </c>
      <c r="X1748" s="448"/>
      <c r="Y1748" s="449"/>
      <c r="Z1748" s="449"/>
      <c r="AA1748" s="452"/>
      <c r="AB1748" s="452"/>
      <c r="AC1748" s="452"/>
      <c r="AD1748" s="571"/>
      <c r="AE1748" s="452"/>
      <c r="AF1748" s="571"/>
      <c r="AG1748" s="452"/>
      <c r="AH1748" s="452"/>
      <c r="AI1748" s="453"/>
      <c r="AJ1748" s="449"/>
      <c r="AK1748" s="453"/>
      <c r="AL1748" s="454"/>
      <c r="AM1748" s="455"/>
      <c r="AN1748" s="456"/>
      <c r="AO1748" s="455"/>
      <c r="AP1748" s="452"/>
      <c r="AQ1748" s="457"/>
      <c r="AR1748" s="449"/>
      <c r="AS1748" s="449"/>
      <c r="AT1748" s="452"/>
      <c r="AU1748" s="457"/>
      <c r="AV1748" s="449"/>
      <c r="AW1748" s="458"/>
      <c r="AX1748" s="452"/>
      <c r="AY1748" s="457"/>
      <c r="AZ1748" s="449"/>
      <c r="BA1748" s="459"/>
      <c r="BB1748" s="455"/>
      <c r="BC1748" s="460"/>
      <c r="BD1748" s="460"/>
      <c r="BG1748" s="462"/>
    </row>
    <row r="1749" spans="1:59" s="461" customFormat="1" ht="18" customHeight="1" x14ac:dyDescent="0.2">
      <c r="A1749" s="1368" t="str">
        <f t="shared" ref="A1749:A1755" si="1312">$D$1744&amp;S1749</f>
        <v>SEI. PERUPUK - TELUK PAUH2006</v>
      </c>
      <c r="B1749" s="1373"/>
      <c r="C1749" s="488"/>
      <c r="D1749" s="489"/>
      <c r="E1749" s="558"/>
      <c r="F1749" s="559">
        <v>2006</v>
      </c>
      <c r="G1749" s="619">
        <v>0</v>
      </c>
      <c r="H1749" s="464">
        <f>IF(N1748-(F1749-F1748)&lt;=0,0,(N1748-(F1749-F1748)))</f>
        <v>5</v>
      </c>
      <c r="I1749" s="560"/>
      <c r="J1749" s="468">
        <f>F1749+N1749-1</f>
        <v>2010</v>
      </c>
      <c r="K1749" s="490">
        <f>IF(G1749=0,0,IF(H1749=10,100%,G1749/W1748))</f>
        <v>0</v>
      </c>
      <c r="L1749" s="469">
        <f>IF(K1749=0%,0,IF(K1749&lt;=30%,2,IF(K1749&lt;=60%,5,10)))</f>
        <v>0</v>
      </c>
      <c r="M1749" s="683">
        <f>IF(OR(AND(ISBLANK(E1749),ISBLANK(G1749)),ISTEXT(E1749),ISTEXT(G1749)),"",IF(H1749+L1749&gt;$H$1748,$H$1748-H1749,L1749))</f>
        <v>0</v>
      </c>
      <c r="N1749" s="470">
        <f>IF(OR(AND(ISBLANK(F1749),ISBLANK(G1749)),ISTEXT(F1749),ISTEXT(G1749)),"",H1749+M1749)</f>
        <v>5</v>
      </c>
      <c r="O1749" s="468">
        <f>F1749+N1749-1</f>
        <v>2010</v>
      </c>
      <c r="P1749" s="616">
        <f>W1748</f>
        <v>2551500000</v>
      </c>
      <c r="Q1749" s="472">
        <f>P1749+G1749</f>
        <v>2551500000</v>
      </c>
      <c r="R1749" s="472">
        <f>IF(L1749=0,R1748,Q1749/N1749)</f>
        <v>283500000</v>
      </c>
      <c r="S1749" s="634">
        <f>F1749</f>
        <v>2006</v>
      </c>
      <c r="T1749" s="470">
        <f>S1749-S1748</f>
        <v>5</v>
      </c>
      <c r="U1749" s="612">
        <f>R1749*T1749</f>
        <v>1417500000</v>
      </c>
      <c r="V1749" s="464">
        <f>F1749</f>
        <v>2006</v>
      </c>
      <c r="W1749" s="612">
        <f>IF(OR(AND(ISBLANK(E1749),ISBLANK(G1749)),ISTEXT(E1749),ISTEXT(G1749)),"",Q1749-U1749)</f>
        <v>1134000000</v>
      </c>
      <c r="X1749" s="561"/>
      <c r="Y1749" s="449"/>
      <c r="Z1749" s="449"/>
      <c r="AA1749" s="693"/>
      <c r="AB1749" s="452"/>
      <c r="AC1749" s="452"/>
      <c r="AD1749" s="571"/>
      <c r="AE1749" s="452"/>
      <c r="AF1749" s="571"/>
      <c r="AG1749" s="452"/>
      <c r="AH1749" s="452"/>
      <c r="AI1749" s="453"/>
      <c r="AJ1749" s="449"/>
      <c r="AK1749" s="453"/>
      <c r="AL1749" s="454"/>
      <c r="AM1749" s="455"/>
      <c r="AN1749" s="456"/>
      <c r="AO1749" s="455"/>
      <c r="AP1749" s="452"/>
      <c r="AQ1749" s="457"/>
      <c r="AR1749" s="449"/>
      <c r="AS1749" s="449"/>
      <c r="AT1749" s="452"/>
      <c r="AU1749" s="457"/>
      <c r="AV1749" s="449"/>
      <c r="AW1749" s="458"/>
      <c r="AX1749" s="452"/>
      <c r="AY1749" s="457"/>
      <c r="AZ1749" s="449"/>
      <c r="BA1749" s="459"/>
      <c r="BB1749" s="455"/>
      <c r="BC1749" s="460"/>
      <c r="BD1749" s="460"/>
      <c r="BG1749" s="462"/>
    </row>
    <row r="1750" spans="1:59" s="461" customFormat="1" ht="18" customHeight="1" x14ac:dyDescent="0.2">
      <c r="A1750" s="1368" t="str">
        <f t="shared" si="1312"/>
        <v>SEI. PERUPUK - TELUK PAUH2007</v>
      </c>
      <c r="B1750" s="1375"/>
      <c r="C1750" s="488"/>
      <c r="D1750" s="489"/>
      <c r="E1750" s="558"/>
      <c r="F1750" s="559">
        <v>2007</v>
      </c>
      <c r="G1750" s="619">
        <v>0</v>
      </c>
      <c r="H1750" s="464">
        <f t="shared" ref="H1750:H1763" si="1313">IF(N1749-(F1750-F1749)&lt;=0,0,(N1749-(F1750-F1749)))</f>
        <v>4</v>
      </c>
      <c r="I1750" s="560"/>
      <c r="J1750" s="468">
        <f t="shared" ref="J1750:J1763" si="1314">F1750+N1750-1</f>
        <v>2010</v>
      </c>
      <c r="K1750" s="490">
        <f t="shared" ref="K1750:K1763" si="1315">IF(G1750=0,0,IF(H1750=10,100%,G1750/W1749))</f>
        <v>0</v>
      </c>
      <c r="L1750" s="469">
        <f t="shared" ref="L1750:L1763" si="1316">IF(K1750=0%,0,IF(K1750&lt;=30%,2,IF(K1750&lt;=60%,5,10)))</f>
        <v>0</v>
      </c>
      <c r="M1750" s="683">
        <f t="shared" ref="M1750:M1763" si="1317">IF(OR(AND(ISBLANK(E1750),ISBLANK(G1750)),ISTEXT(E1750),ISTEXT(G1750)),"",IF(H1750+L1750&gt;$H$1748,$H$1748-H1750,L1750))</f>
        <v>0</v>
      </c>
      <c r="N1750" s="470">
        <f t="shared" ref="N1750:N1763" si="1318">IF(OR(AND(ISBLANK(F1750),ISBLANK(G1750)),ISTEXT(F1750),ISTEXT(G1750)),"",H1750+M1750)</f>
        <v>4</v>
      </c>
      <c r="O1750" s="468">
        <f t="shared" ref="O1750:O1763" si="1319">F1750+N1750-1</f>
        <v>2010</v>
      </c>
      <c r="P1750" s="616">
        <f t="shared" ref="P1750:P1763" si="1320">W1749</f>
        <v>1134000000</v>
      </c>
      <c r="Q1750" s="472">
        <f t="shared" ref="Q1750:Q1763" si="1321">P1750+G1750</f>
        <v>1134000000</v>
      </c>
      <c r="R1750" s="472">
        <f t="shared" ref="R1750:R1763" si="1322">IF(L1750=0,R1749,Q1750/N1750)</f>
        <v>283500000</v>
      </c>
      <c r="S1750" s="1189">
        <f t="shared" ref="S1750:S1763" si="1323">F1750</f>
        <v>2007</v>
      </c>
      <c r="T1750" s="470">
        <f t="shared" ref="T1750:T1763" si="1324">S1750-S1749</f>
        <v>1</v>
      </c>
      <c r="U1750" s="612">
        <f t="shared" ref="U1750:U1763" si="1325">R1750*T1750</f>
        <v>283500000</v>
      </c>
      <c r="V1750" s="464">
        <f t="shared" ref="V1750:V1763" si="1326">F1750</f>
        <v>2007</v>
      </c>
      <c r="W1750" s="612">
        <f t="shared" ref="W1750:W1763" si="1327">IF(OR(AND(ISBLANK(E1750),ISBLANK(G1750)),ISTEXT(E1750),ISTEXT(G1750)),"",Q1750-U1750)</f>
        <v>850500000</v>
      </c>
      <c r="X1750" s="561"/>
      <c r="Y1750" s="449"/>
      <c r="Z1750" s="449"/>
      <c r="AA1750" s="693"/>
      <c r="AB1750" s="452"/>
      <c r="AC1750" s="452"/>
      <c r="AD1750" s="571"/>
      <c r="AE1750" s="452"/>
      <c r="AF1750" s="571"/>
      <c r="AG1750" s="452"/>
      <c r="AH1750" s="452"/>
      <c r="AI1750" s="453"/>
      <c r="AJ1750" s="449"/>
      <c r="AK1750" s="453"/>
      <c r="AL1750" s="454"/>
      <c r="AM1750" s="455"/>
      <c r="AN1750" s="456"/>
      <c r="AO1750" s="455"/>
      <c r="AP1750" s="452"/>
      <c r="AQ1750" s="457"/>
      <c r="AR1750" s="449"/>
      <c r="AS1750" s="449"/>
      <c r="AT1750" s="452"/>
      <c r="AU1750" s="457"/>
      <c r="AV1750" s="449"/>
      <c r="AW1750" s="458"/>
      <c r="AX1750" s="452"/>
      <c r="AY1750" s="457"/>
      <c r="AZ1750" s="449"/>
      <c r="BA1750" s="459"/>
      <c r="BB1750" s="455"/>
      <c r="BC1750" s="460"/>
      <c r="BD1750" s="460"/>
      <c r="BG1750" s="462"/>
    </row>
    <row r="1751" spans="1:59" s="461" customFormat="1" ht="18" customHeight="1" x14ac:dyDescent="0.2">
      <c r="A1751" s="1368" t="str">
        <f t="shared" si="1312"/>
        <v>SEI. PERUPUK - TELUK PAUH2008</v>
      </c>
      <c r="B1751" s="1373">
        <v>2</v>
      </c>
      <c r="C1751" s="488" t="s">
        <v>1211</v>
      </c>
      <c r="D1751" s="489"/>
      <c r="E1751" s="558"/>
      <c r="F1751" s="559">
        <v>2008</v>
      </c>
      <c r="G1751" s="619">
        <v>711641781</v>
      </c>
      <c r="H1751" s="464">
        <f t="shared" si="1313"/>
        <v>3</v>
      </c>
      <c r="I1751" s="560"/>
      <c r="J1751" s="468">
        <f t="shared" si="1314"/>
        <v>2017</v>
      </c>
      <c r="K1751" s="490">
        <f t="shared" si="1315"/>
        <v>0.83673342857142852</v>
      </c>
      <c r="L1751" s="469">
        <f t="shared" si="1316"/>
        <v>10</v>
      </c>
      <c r="M1751" s="683">
        <f t="shared" si="1317"/>
        <v>7</v>
      </c>
      <c r="N1751" s="470">
        <f t="shared" si="1318"/>
        <v>10</v>
      </c>
      <c r="O1751" s="468">
        <f t="shared" si="1319"/>
        <v>2017</v>
      </c>
      <c r="P1751" s="616">
        <f t="shared" si="1320"/>
        <v>850500000</v>
      </c>
      <c r="Q1751" s="472">
        <f t="shared" si="1321"/>
        <v>1562141781</v>
      </c>
      <c r="R1751" s="472">
        <f t="shared" si="1322"/>
        <v>156214178.09999999</v>
      </c>
      <c r="S1751" s="1189">
        <f t="shared" si="1323"/>
        <v>2008</v>
      </c>
      <c r="T1751" s="470">
        <f t="shared" si="1324"/>
        <v>1</v>
      </c>
      <c r="U1751" s="612">
        <f t="shared" si="1325"/>
        <v>156214178.09999999</v>
      </c>
      <c r="V1751" s="464">
        <f t="shared" si="1326"/>
        <v>2008</v>
      </c>
      <c r="W1751" s="612">
        <f t="shared" si="1327"/>
        <v>1405927602.9000001</v>
      </c>
      <c r="X1751" s="561"/>
      <c r="Y1751" s="449"/>
      <c r="Z1751" s="449"/>
      <c r="AA1751" s="693"/>
      <c r="AB1751" s="452"/>
      <c r="AC1751" s="452"/>
      <c r="AD1751" s="571"/>
      <c r="AE1751" s="452"/>
      <c r="AF1751" s="571"/>
      <c r="AG1751" s="452"/>
      <c r="AH1751" s="452"/>
      <c r="AI1751" s="453"/>
      <c r="AJ1751" s="449"/>
      <c r="AK1751" s="453"/>
      <c r="AL1751" s="454"/>
      <c r="AM1751" s="455"/>
      <c r="AN1751" s="456"/>
      <c r="AO1751" s="455"/>
      <c r="AP1751" s="452"/>
      <c r="AQ1751" s="457"/>
      <c r="AR1751" s="449"/>
      <c r="AS1751" s="449"/>
      <c r="AT1751" s="452"/>
      <c r="AU1751" s="457"/>
      <c r="AV1751" s="449"/>
      <c r="AW1751" s="458"/>
      <c r="AX1751" s="452"/>
      <c r="AY1751" s="457"/>
      <c r="AZ1751" s="449"/>
      <c r="BA1751" s="459"/>
      <c r="BB1751" s="455"/>
      <c r="BC1751" s="460"/>
      <c r="BD1751" s="460"/>
      <c r="BG1751" s="462"/>
    </row>
    <row r="1752" spans="1:59" s="461" customFormat="1" ht="18" customHeight="1" x14ac:dyDescent="0.2">
      <c r="A1752" s="1368" t="str">
        <f t="shared" si="1312"/>
        <v>SEI. PERUPUK - TELUK PAUH2009</v>
      </c>
      <c r="B1752" s="1375"/>
      <c r="C1752" s="488"/>
      <c r="D1752" s="489"/>
      <c r="E1752" s="558"/>
      <c r="F1752" s="559">
        <v>2009</v>
      </c>
      <c r="G1752" s="619">
        <v>0</v>
      </c>
      <c r="H1752" s="464">
        <f t="shared" si="1313"/>
        <v>9</v>
      </c>
      <c r="I1752" s="560"/>
      <c r="J1752" s="468">
        <f t="shared" si="1314"/>
        <v>2017</v>
      </c>
      <c r="K1752" s="490">
        <f t="shared" si="1315"/>
        <v>0</v>
      </c>
      <c r="L1752" s="469">
        <f t="shared" si="1316"/>
        <v>0</v>
      </c>
      <c r="M1752" s="683">
        <f t="shared" si="1317"/>
        <v>0</v>
      </c>
      <c r="N1752" s="470">
        <f t="shared" si="1318"/>
        <v>9</v>
      </c>
      <c r="O1752" s="468">
        <f t="shared" si="1319"/>
        <v>2017</v>
      </c>
      <c r="P1752" s="616">
        <f t="shared" si="1320"/>
        <v>1405927602.9000001</v>
      </c>
      <c r="Q1752" s="472">
        <f t="shared" si="1321"/>
        <v>1405927602.9000001</v>
      </c>
      <c r="R1752" s="472">
        <f t="shared" si="1322"/>
        <v>156214178.09999999</v>
      </c>
      <c r="S1752" s="1189">
        <f t="shared" si="1323"/>
        <v>2009</v>
      </c>
      <c r="T1752" s="470">
        <f t="shared" si="1324"/>
        <v>1</v>
      </c>
      <c r="U1752" s="612">
        <f t="shared" si="1325"/>
        <v>156214178.09999999</v>
      </c>
      <c r="V1752" s="464">
        <f t="shared" si="1326"/>
        <v>2009</v>
      </c>
      <c r="W1752" s="612">
        <f t="shared" si="1327"/>
        <v>1249713424.8000002</v>
      </c>
      <c r="X1752" s="561"/>
      <c r="Y1752" s="449"/>
      <c r="Z1752" s="449"/>
      <c r="AA1752" s="693"/>
      <c r="AB1752" s="452"/>
      <c r="AC1752" s="452"/>
      <c r="AD1752" s="571"/>
      <c r="AE1752" s="452"/>
      <c r="AF1752" s="571"/>
      <c r="AG1752" s="452"/>
      <c r="AH1752" s="452"/>
      <c r="AI1752" s="453"/>
      <c r="AJ1752" s="449"/>
      <c r="AK1752" s="453"/>
      <c r="AL1752" s="454"/>
      <c r="AM1752" s="455"/>
      <c r="AN1752" s="456"/>
      <c r="AO1752" s="455"/>
      <c r="AP1752" s="452"/>
      <c r="AQ1752" s="457"/>
      <c r="AR1752" s="449"/>
      <c r="AS1752" s="449"/>
      <c r="AT1752" s="452"/>
      <c r="AU1752" s="457"/>
      <c r="AV1752" s="449"/>
      <c r="AW1752" s="458"/>
      <c r="AX1752" s="452"/>
      <c r="AY1752" s="457"/>
      <c r="AZ1752" s="449"/>
      <c r="BA1752" s="459"/>
      <c r="BB1752" s="455"/>
      <c r="BC1752" s="460"/>
      <c r="BD1752" s="460"/>
      <c r="BG1752" s="462"/>
    </row>
    <row r="1753" spans="1:59" s="461" customFormat="1" ht="18" customHeight="1" x14ac:dyDescent="0.2">
      <c r="A1753" s="1368" t="str">
        <f t="shared" si="1312"/>
        <v>SEI. PERUPUK - TELUK PAUH2010</v>
      </c>
      <c r="B1753" s="1373"/>
      <c r="C1753" s="488"/>
      <c r="D1753" s="489"/>
      <c r="E1753" s="558"/>
      <c r="F1753" s="559">
        <v>2010</v>
      </c>
      <c r="G1753" s="619">
        <v>0</v>
      </c>
      <c r="H1753" s="464">
        <f t="shared" si="1313"/>
        <v>8</v>
      </c>
      <c r="I1753" s="560"/>
      <c r="J1753" s="468">
        <f t="shared" si="1314"/>
        <v>2017</v>
      </c>
      <c r="K1753" s="490">
        <f t="shared" si="1315"/>
        <v>0</v>
      </c>
      <c r="L1753" s="469">
        <f t="shared" si="1316"/>
        <v>0</v>
      </c>
      <c r="M1753" s="683">
        <f t="shared" si="1317"/>
        <v>0</v>
      </c>
      <c r="N1753" s="470">
        <f t="shared" si="1318"/>
        <v>8</v>
      </c>
      <c r="O1753" s="468">
        <f t="shared" si="1319"/>
        <v>2017</v>
      </c>
      <c r="P1753" s="616">
        <f t="shared" si="1320"/>
        <v>1249713424.8000002</v>
      </c>
      <c r="Q1753" s="472">
        <f t="shared" si="1321"/>
        <v>1249713424.8000002</v>
      </c>
      <c r="R1753" s="472">
        <f t="shared" si="1322"/>
        <v>156214178.09999999</v>
      </c>
      <c r="S1753" s="1189">
        <f t="shared" si="1323"/>
        <v>2010</v>
      </c>
      <c r="T1753" s="470">
        <f t="shared" si="1324"/>
        <v>1</v>
      </c>
      <c r="U1753" s="612">
        <f t="shared" si="1325"/>
        <v>156214178.09999999</v>
      </c>
      <c r="V1753" s="464">
        <f t="shared" si="1326"/>
        <v>2010</v>
      </c>
      <c r="W1753" s="612">
        <f t="shared" si="1327"/>
        <v>1093499246.7000003</v>
      </c>
      <c r="X1753" s="561"/>
      <c r="Y1753" s="449"/>
      <c r="Z1753" s="449"/>
      <c r="AA1753" s="693"/>
      <c r="AB1753" s="452"/>
      <c r="AC1753" s="452"/>
      <c r="AD1753" s="571"/>
      <c r="AE1753" s="452"/>
      <c r="AF1753" s="571"/>
      <c r="AG1753" s="452"/>
      <c r="AH1753" s="452"/>
      <c r="AI1753" s="453"/>
      <c r="AJ1753" s="449"/>
      <c r="AK1753" s="453"/>
      <c r="AL1753" s="454"/>
      <c r="AM1753" s="455"/>
      <c r="AN1753" s="456"/>
      <c r="AO1753" s="455"/>
      <c r="AP1753" s="452"/>
      <c r="AQ1753" s="457"/>
      <c r="AR1753" s="449"/>
      <c r="AS1753" s="449"/>
      <c r="AT1753" s="452"/>
      <c r="AU1753" s="457"/>
      <c r="AV1753" s="449"/>
      <c r="AW1753" s="458"/>
      <c r="AX1753" s="452"/>
      <c r="AY1753" s="457"/>
      <c r="AZ1753" s="449"/>
      <c r="BA1753" s="459"/>
      <c r="BB1753" s="455"/>
      <c r="BC1753" s="460"/>
      <c r="BD1753" s="460"/>
      <c r="BG1753" s="462"/>
    </row>
    <row r="1754" spans="1:59" s="486" customFormat="1" ht="18" customHeight="1" x14ac:dyDescent="0.2">
      <c r="A1754" s="1368" t="str">
        <f t="shared" si="1312"/>
        <v>SEI. PERUPUK - TELUK PAUH2011</v>
      </c>
      <c r="B1754" s="1373">
        <v>3</v>
      </c>
      <c r="C1754" s="488" t="s">
        <v>1216</v>
      </c>
      <c r="D1754" s="489" t="s">
        <v>3821</v>
      </c>
      <c r="E1754" s="558"/>
      <c r="F1754" s="559">
        <v>2011</v>
      </c>
      <c r="G1754" s="619">
        <v>2978274268.4109097</v>
      </c>
      <c r="H1754" s="464">
        <f t="shared" si="1313"/>
        <v>7</v>
      </c>
      <c r="I1754" s="560"/>
      <c r="J1754" s="468">
        <f t="shared" si="1314"/>
        <v>2020</v>
      </c>
      <c r="K1754" s="490">
        <f t="shared" si="1315"/>
        <v>2.7236180339390708</v>
      </c>
      <c r="L1754" s="469">
        <f t="shared" si="1316"/>
        <v>10</v>
      </c>
      <c r="M1754" s="683">
        <f t="shared" si="1317"/>
        <v>3</v>
      </c>
      <c r="N1754" s="470">
        <f t="shared" si="1318"/>
        <v>10</v>
      </c>
      <c r="O1754" s="468">
        <f t="shared" si="1319"/>
        <v>2020</v>
      </c>
      <c r="P1754" s="616">
        <f t="shared" si="1320"/>
        <v>1093499246.7000003</v>
      </c>
      <c r="Q1754" s="472">
        <f t="shared" si="1321"/>
        <v>4071773515.1109099</v>
      </c>
      <c r="R1754" s="472">
        <f t="shared" si="1322"/>
        <v>407177351.51109099</v>
      </c>
      <c r="S1754" s="1189">
        <f t="shared" si="1323"/>
        <v>2011</v>
      </c>
      <c r="T1754" s="470">
        <f t="shared" si="1324"/>
        <v>1</v>
      </c>
      <c r="U1754" s="612">
        <f t="shared" si="1325"/>
        <v>407177351.51109099</v>
      </c>
      <c r="V1754" s="464">
        <f t="shared" si="1326"/>
        <v>2011</v>
      </c>
      <c r="W1754" s="612">
        <f t="shared" si="1327"/>
        <v>3664596163.5998192</v>
      </c>
      <c r="X1754" s="561"/>
      <c r="Y1754" s="474"/>
      <c r="Z1754" s="449"/>
      <c r="AA1754" s="476"/>
      <c r="AB1754" s="476"/>
      <c r="AC1754" s="476"/>
      <c r="AD1754" s="476"/>
      <c r="AE1754" s="476"/>
      <c r="AF1754" s="568"/>
      <c r="AG1754" s="476"/>
      <c r="AH1754" s="476"/>
      <c r="AI1754" s="477"/>
      <c r="AJ1754" s="478"/>
      <c r="AK1754" s="479"/>
      <c r="AL1754" s="480"/>
      <c r="AM1754" s="474"/>
      <c r="AN1754" s="481"/>
      <c r="AO1754" s="474"/>
      <c r="AP1754" s="476"/>
      <c r="AQ1754" s="482"/>
      <c r="AR1754" s="478"/>
      <c r="AS1754" s="478"/>
      <c r="AT1754" s="476"/>
      <c r="AU1754" s="482"/>
      <c r="AV1754" s="478"/>
      <c r="AW1754" s="483"/>
      <c r="AX1754" s="476"/>
      <c r="AY1754" s="482"/>
      <c r="AZ1754" s="478"/>
      <c r="BA1754" s="484"/>
      <c r="BB1754" s="474"/>
      <c r="BC1754" s="485"/>
      <c r="BD1754" s="485"/>
      <c r="BG1754" s="487"/>
    </row>
    <row r="1755" spans="1:59" s="486" customFormat="1" ht="18" customHeight="1" x14ac:dyDescent="0.2">
      <c r="A1755" s="1368" t="str">
        <f t="shared" si="1312"/>
        <v>SEI. PERUPUK - TELUK PAUH2012</v>
      </c>
      <c r="B1755" s="1373"/>
      <c r="C1755" s="488"/>
      <c r="D1755" s="489"/>
      <c r="E1755" s="558"/>
      <c r="F1755" s="559">
        <v>2012</v>
      </c>
      <c r="G1755" s="619">
        <v>0</v>
      </c>
      <c r="H1755" s="464">
        <f t="shared" si="1313"/>
        <v>9</v>
      </c>
      <c r="I1755" s="560"/>
      <c r="J1755" s="468">
        <f t="shared" si="1314"/>
        <v>2020</v>
      </c>
      <c r="K1755" s="490">
        <f t="shared" si="1315"/>
        <v>0</v>
      </c>
      <c r="L1755" s="469">
        <f t="shared" si="1316"/>
        <v>0</v>
      </c>
      <c r="M1755" s="683">
        <f t="shared" si="1317"/>
        <v>0</v>
      </c>
      <c r="N1755" s="470">
        <f t="shared" si="1318"/>
        <v>9</v>
      </c>
      <c r="O1755" s="468">
        <f t="shared" si="1319"/>
        <v>2020</v>
      </c>
      <c r="P1755" s="616">
        <f t="shared" si="1320"/>
        <v>3664596163.5998192</v>
      </c>
      <c r="Q1755" s="472">
        <f t="shared" si="1321"/>
        <v>3664596163.5998192</v>
      </c>
      <c r="R1755" s="472">
        <f t="shared" si="1322"/>
        <v>407177351.51109099</v>
      </c>
      <c r="S1755" s="1189">
        <f t="shared" si="1323"/>
        <v>2012</v>
      </c>
      <c r="T1755" s="470">
        <f t="shared" si="1324"/>
        <v>1</v>
      </c>
      <c r="U1755" s="612">
        <f t="shared" si="1325"/>
        <v>407177351.51109099</v>
      </c>
      <c r="V1755" s="464">
        <f t="shared" si="1326"/>
        <v>2012</v>
      </c>
      <c r="W1755" s="612">
        <f t="shared" si="1327"/>
        <v>3257418812.088728</v>
      </c>
      <c r="X1755" s="561"/>
      <c r="Y1755" s="474"/>
      <c r="Z1755" s="449"/>
      <c r="AA1755" s="739"/>
      <c r="AB1755" s="496"/>
      <c r="AC1755" s="496"/>
      <c r="AD1755" s="740"/>
      <c r="AE1755" s="476"/>
      <c r="AF1755" s="568"/>
      <c r="AG1755" s="476"/>
      <c r="AH1755" s="476"/>
      <c r="AI1755" s="477"/>
      <c r="AJ1755" s="478"/>
      <c r="AK1755" s="479"/>
      <c r="AL1755" s="480"/>
      <c r="AM1755" s="474"/>
      <c r="AN1755" s="481"/>
      <c r="AO1755" s="474"/>
      <c r="AP1755" s="476"/>
      <c r="AQ1755" s="482"/>
      <c r="AR1755" s="478"/>
      <c r="AS1755" s="478"/>
      <c r="AT1755" s="476"/>
      <c r="AU1755" s="482"/>
      <c r="AV1755" s="478"/>
      <c r="AW1755" s="483"/>
      <c r="AX1755" s="476"/>
      <c r="AY1755" s="482"/>
      <c r="AZ1755" s="478"/>
      <c r="BA1755" s="484"/>
      <c r="BB1755" s="474"/>
      <c r="BC1755" s="485"/>
      <c r="BD1755" s="485"/>
      <c r="BG1755" s="487"/>
    </row>
    <row r="1756" spans="1:59" s="486" customFormat="1" ht="18" customHeight="1" x14ac:dyDescent="0.2">
      <c r="A1756" s="1368" t="str">
        <f t="shared" ref="A1756:A1763" si="1328">$D$1744&amp;S1756</f>
        <v>SEI. PERUPUK - TELUK PAUH2013</v>
      </c>
      <c r="B1756" s="1373"/>
      <c r="C1756" s="488"/>
      <c r="D1756" s="489"/>
      <c r="E1756" s="558"/>
      <c r="F1756" s="559">
        <v>2013</v>
      </c>
      <c r="G1756" s="619">
        <v>0</v>
      </c>
      <c r="H1756" s="464">
        <f t="shared" si="1313"/>
        <v>8</v>
      </c>
      <c r="I1756" s="560"/>
      <c r="J1756" s="468">
        <f t="shared" si="1314"/>
        <v>2020</v>
      </c>
      <c r="K1756" s="490">
        <f t="shared" si="1315"/>
        <v>0</v>
      </c>
      <c r="L1756" s="469">
        <f t="shared" si="1316"/>
        <v>0</v>
      </c>
      <c r="M1756" s="683">
        <f t="shared" si="1317"/>
        <v>0</v>
      </c>
      <c r="N1756" s="470">
        <f t="shared" si="1318"/>
        <v>8</v>
      </c>
      <c r="O1756" s="468">
        <f t="shared" si="1319"/>
        <v>2020</v>
      </c>
      <c r="P1756" s="616">
        <f t="shared" si="1320"/>
        <v>3257418812.088728</v>
      </c>
      <c r="Q1756" s="472">
        <f t="shared" si="1321"/>
        <v>3257418812.088728</v>
      </c>
      <c r="R1756" s="472">
        <f t="shared" si="1322"/>
        <v>407177351.51109099</v>
      </c>
      <c r="S1756" s="1189">
        <f t="shared" si="1323"/>
        <v>2013</v>
      </c>
      <c r="T1756" s="470">
        <f t="shared" si="1324"/>
        <v>1</v>
      </c>
      <c r="U1756" s="612">
        <f t="shared" si="1325"/>
        <v>407177351.51109099</v>
      </c>
      <c r="V1756" s="464">
        <f t="shared" si="1326"/>
        <v>2013</v>
      </c>
      <c r="W1756" s="612">
        <f t="shared" si="1327"/>
        <v>2850241460.5776367</v>
      </c>
      <c r="X1756" s="561"/>
      <c r="Y1756" s="474"/>
      <c r="Z1756" s="449"/>
      <c r="AA1756" s="554" t="s">
        <v>4179</v>
      </c>
      <c r="AB1756" s="476"/>
      <c r="AC1756" s="476"/>
      <c r="AD1756" s="567"/>
      <c r="AE1756" s="476"/>
      <c r="AF1756" s="568"/>
      <c r="AG1756" s="476"/>
      <c r="AH1756" s="476"/>
      <c r="AI1756" s="477"/>
      <c r="AJ1756" s="478"/>
      <c r="AK1756" s="479"/>
      <c r="AL1756" s="480"/>
      <c r="AM1756" s="474"/>
      <c r="AN1756" s="481"/>
      <c r="AO1756" s="474"/>
      <c r="AP1756" s="476"/>
      <c r="AQ1756" s="482"/>
      <c r="AR1756" s="478"/>
      <c r="AS1756" s="478"/>
      <c r="AT1756" s="476"/>
      <c r="AU1756" s="482"/>
      <c r="AV1756" s="478"/>
      <c r="AW1756" s="483"/>
      <c r="AX1756" s="476"/>
      <c r="AY1756" s="482"/>
      <c r="AZ1756" s="478"/>
      <c r="BA1756" s="484"/>
      <c r="BB1756" s="474"/>
      <c r="BC1756" s="485"/>
      <c r="BD1756" s="485"/>
      <c r="BG1756" s="487"/>
    </row>
    <row r="1757" spans="1:59" s="486" customFormat="1" ht="18" customHeight="1" x14ac:dyDescent="0.2">
      <c r="A1757" s="1368" t="str">
        <f t="shared" si="1328"/>
        <v>SEI. PERUPUK - TELUK PAUH2014</v>
      </c>
      <c r="B1757" s="1373">
        <v>4</v>
      </c>
      <c r="C1757" s="488" t="s">
        <v>1301</v>
      </c>
      <c r="D1757" s="489" t="s">
        <v>3821</v>
      </c>
      <c r="E1757" s="558"/>
      <c r="F1757" s="559">
        <v>2014</v>
      </c>
      <c r="G1757" s="619">
        <v>1212803223</v>
      </c>
      <c r="H1757" s="464">
        <f t="shared" si="1313"/>
        <v>7</v>
      </c>
      <c r="I1757" s="560"/>
      <c r="J1757" s="468">
        <f t="shared" si="1314"/>
        <v>2023</v>
      </c>
      <c r="K1757" s="490">
        <f t="shared" si="1315"/>
        <v>0.42550894012825508</v>
      </c>
      <c r="L1757" s="469">
        <f t="shared" si="1316"/>
        <v>5</v>
      </c>
      <c r="M1757" s="683">
        <f t="shared" si="1317"/>
        <v>3</v>
      </c>
      <c r="N1757" s="470">
        <f t="shared" si="1318"/>
        <v>10</v>
      </c>
      <c r="O1757" s="468">
        <f t="shared" si="1319"/>
        <v>2023</v>
      </c>
      <c r="P1757" s="616">
        <f t="shared" si="1320"/>
        <v>2850241460.5776367</v>
      </c>
      <c r="Q1757" s="472">
        <f t="shared" si="1321"/>
        <v>4063044683.5776367</v>
      </c>
      <c r="R1757" s="472">
        <f t="shared" si="1322"/>
        <v>406304468.35776365</v>
      </c>
      <c r="S1757" s="1189">
        <f t="shared" si="1323"/>
        <v>2014</v>
      </c>
      <c r="T1757" s="470">
        <f t="shared" si="1324"/>
        <v>1</v>
      </c>
      <c r="U1757" s="612">
        <f t="shared" si="1325"/>
        <v>406304468.35776365</v>
      </c>
      <c r="V1757" s="464">
        <f t="shared" si="1326"/>
        <v>2014</v>
      </c>
      <c r="W1757" s="612">
        <f t="shared" si="1327"/>
        <v>3656740215.219873</v>
      </c>
      <c r="X1757" s="473"/>
      <c r="Y1757" s="478"/>
      <c r="Z1757" s="449"/>
      <c r="AA1757" s="475"/>
      <c r="AB1757" s="491"/>
      <c r="AC1757" s="491"/>
      <c r="AD1757" s="567"/>
      <c r="AE1757" s="491"/>
      <c r="AF1757" s="568"/>
      <c r="AG1757" s="491"/>
      <c r="AH1757" s="491"/>
      <c r="AI1757" s="477"/>
      <c r="AJ1757" s="478"/>
      <c r="AK1757" s="479"/>
      <c r="AL1757" s="480"/>
      <c r="AM1757" s="474"/>
      <c r="AN1757" s="481"/>
      <c r="AO1757" s="474"/>
      <c r="AP1757" s="476"/>
      <c r="AQ1757" s="482"/>
      <c r="AR1757" s="478"/>
      <c r="AS1757" s="478"/>
      <c r="AT1757" s="476"/>
      <c r="AU1757" s="482"/>
      <c r="AV1757" s="478"/>
      <c r="AW1757" s="483"/>
      <c r="AX1757" s="476"/>
      <c r="AY1757" s="482"/>
      <c r="AZ1757" s="478"/>
      <c r="BA1757" s="484"/>
      <c r="BB1757" s="474"/>
      <c r="BC1757" s="485"/>
      <c r="BD1757" s="485"/>
      <c r="BG1757" s="487"/>
    </row>
    <row r="1758" spans="1:59" s="486" customFormat="1" ht="18" customHeight="1" x14ac:dyDescent="0.2">
      <c r="A1758" s="1368" t="str">
        <f t="shared" si="1328"/>
        <v>SEI. PERUPUK - TELUK PAUH2015</v>
      </c>
      <c r="B1758" s="1373"/>
      <c r="C1758" s="488"/>
      <c r="D1758" s="489"/>
      <c r="E1758" s="558"/>
      <c r="F1758" s="559">
        <v>2015</v>
      </c>
      <c r="G1758" s="619">
        <v>0</v>
      </c>
      <c r="H1758" s="464">
        <f t="shared" si="1313"/>
        <v>9</v>
      </c>
      <c r="I1758" s="560"/>
      <c r="J1758" s="468">
        <f t="shared" si="1314"/>
        <v>2023</v>
      </c>
      <c r="K1758" s="490">
        <f t="shared" si="1315"/>
        <v>0</v>
      </c>
      <c r="L1758" s="469">
        <f t="shared" si="1316"/>
        <v>0</v>
      </c>
      <c r="M1758" s="683">
        <f t="shared" si="1317"/>
        <v>0</v>
      </c>
      <c r="N1758" s="470">
        <f t="shared" si="1318"/>
        <v>9</v>
      </c>
      <c r="O1758" s="468">
        <f t="shared" si="1319"/>
        <v>2023</v>
      </c>
      <c r="P1758" s="616">
        <f t="shared" si="1320"/>
        <v>3656740215.219873</v>
      </c>
      <c r="Q1758" s="472">
        <f t="shared" si="1321"/>
        <v>3656740215.219873</v>
      </c>
      <c r="R1758" s="472">
        <f t="shared" si="1322"/>
        <v>406304468.35776365</v>
      </c>
      <c r="S1758" s="1189">
        <f t="shared" si="1323"/>
        <v>2015</v>
      </c>
      <c r="T1758" s="470">
        <f t="shared" si="1324"/>
        <v>1</v>
      </c>
      <c r="U1758" s="612">
        <f t="shared" si="1325"/>
        <v>406304468.35776365</v>
      </c>
      <c r="V1758" s="464">
        <f t="shared" si="1326"/>
        <v>2015</v>
      </c>
      <c r="W1758" s="612">
        <f t="shared" si="1327"/>
        <v>3250435746.8621092</v>
      </c>
      <c r="X1758" s="473"/>
      <c r="Y1758" s="478"/>
      <c r="Z1758" s="449"/>
      <c r="AA1758" s="475" t="s">
        <v>4180</v>
      </c>
      <c r="AB1758" s="476"/>
      <c r="AC1758" s="476"/>
      <c r="AD1758" s="567">
        <f>G1765</f>
        <v>10343688505.08091</v>
      </c>
      <c r="AE1758" s="491"/>
      <c r="AF1758" s="568"/>
      <c r="AG1758" s="491"/>
      <c r="AH1758" s="491"/>
      <c r="AI1758" s="477"/>
      <c r="AJ1758" s="478"/>
      <c r="AK1758" s="479"/>
      <c r="AL1758" s="480"/>
      <c r="AM1758" s="474"/>
      <c r="AN1758" s="481"/>
      <c r="AO1758" s="474"/>
      <c r="AP1758" s="476"/>
      <c r="AQ1758" s="482"/>
      <c r="AR1758" s="478"/>
      <c r="AS1758" s="478"/>
      <c r="AT1758" s="476"/>
      <c r="AU1758" s="482"/>
      <c r="AV1758" s="478"/>
      <c r="AW1758" s="483"/>
      <c r="AX1758" s="476"/>
      <c r="AY1758" s="482"/>
      <c r="AZ1758" s="478"/>
      <c r="BA1758" s="484"/>
      <c r="BB1758" s="474"/>
      <c r="BC1758" s="485"/>
      <c r="BD1758" s="485"/>
      <c r="BG1758" s="487"/>
    </row>
    <row r="1759" spans="1:59" s="486" customFormat="1" ht="18" customHeight="1" x14ac:dyDescent="0.2">
      <c r="A1759" s="1368" t="str">
        <f t="shared" si="1328"/>
        <v>SEI. PERUPUK - TELUK PAUH2016</v>
      </c>
      <c r="B1759" s="1373"/>
      <c r="C1759" s="488"/>
      <c r="D1759" s="489"/>
      <c r="E1759" s="558"/>
      <c r="F1759" s="559">
        <v>2016</v>
      </c>
      <c r="G1759" s="619">
        <v>0</v>
      </c>
      <c r="H1759" s="464">
        <f t="shared" si="1313"/>
        <v>8</v>
      </c>
      <c r="I1759" s="560"/>
      <c r="J1759" s="468">
        <f t="shared" si="1314"/>
        <v>2023</v>
      </c>
      <c r="K1759" s="490">
        <f t="shared" si="1315"/>
        <v>0</v>
      </c>
      <c r="L1759" s="469">
        <f t="shared" si="1316"/>
        <v>0</v>
      </c>
      <c r="M1759" s="683">
        <f t="shared" si="1317"/>
        <v>0</v>
      </c>
      <c r="N1759" s="470">
        <f t="shared" si="1318"/>
        <v>8</v>
      </c>
      <c r="O1759" s="468">
        <f t="shared" si="1319"/>
        <v>2023</v>
      </c>
      <c r="P1759" s="616">
        <f t="shared" si="1320"/>
        <v>3250435746.8621092</v>
      </c>
      <c r="Q1759" s="472">
        <f t="shared" si="1321"/>
        <v>3250435746.8621092</v>
      </c>
      <c r="R1759" s="472">
        <f t="shared" si="1322"/>
        <v>406304468.35776365</v>
      </c>
      <c r="S1759" s="1189">
        <f t="shared" si="1323"/>
        <v>2016</v>
      </c>
      <c r="T1759" s="470">
        <f t="shared" si="1324"/>
        <v>1</v>
      </c>
      <c r="U1759" s="612">
        <f t="shared" si="1325"/>
        <v>406304468.35776365</v>
      </c>
      <c r="V1759" s="464">
        <f t="shared" si="1326"/>
        <v>2016</v>
      </c>
      <c r="W1759" s="612">
        <f t="shared" si="1327"/>
        <v>2844131278.5043454</v>
      </c>
      <c r="X1759" s="473"/>
      <c r="Y1759" s="478"/>
      <c r="Z1759" s="449"/>
      <c r="AA1759" s="475" t="s">
        <v>4181</v>
      </c>
      <c r="AB1759" s="491"/>
      <c r="AC1759" s="491"/>
      <c r="AD1759" s="567">
        <f>U1765</f>
        <v>6083552361.1248674</v>
      </c>
      <c r="AE1759" s="491"/>
      <c r="AF1759" s="568"/>
      <c r="AG1759" s="491"/>
      <c r="AH1759" s="491"/>
      <c r="AI1759" s="477"/>
      <c r="AJ1759" s="478"/>
      <c r="AK1759" s="479"/>
      <c r="AL1759" s="480"/>
      <c r="AM1759" s="474"/>
      <c r="AN1759" s="481"/>
      <c r="AO1759" s="474"/>
      <c r="AP1759" s="476"/>
      <c r="AQ1759" s="482"/>
      <c r="AR1759" s="478"/>
      <c r="AS1759" s="478"/>
      <c r="AT1759" s="476"/>
      <c r="AU1759" s="482"/>
      <c r="AV1759" s="478"/>
      <c r="AW1759" s="483"/>
      <c r="AX1759" s="476"/>
      <c r="AY1759" s="482"/>
      <c r="AZ1759" s="478"/>
      <c r="BA1759" s="484"/>
      <c r="BB1759" s="474"/>
      <c r="BC1759" s="485"/>
      <c r="BD1759" s="485"/>
      <c r="BG1759" s="487"/>
    </row>
    <row r="1760" spans="1:59" s="486" customFormat="1" ht="18" customHeight="1" x14ac:dyDescent="0.2">
      <c r="A1760" s="1368" t="str">
        <f t="shared" si="1328"/>
        <v>SEI. PERUPUK - TELUK PAUH2017</v>
      </c>
      <c r="B1760" s="1373">
        <v>5</v>
      </c>
      <c r="C1760" s="488" t="s">
        <v>2506</v>
      </c>
      <c r="D1760" s="489" t="s">
        <v>3821</v>
      </c>
      <c r="E1760" s="558"/>
      <c r="F1760" s="559">
        <v>2017</v>
      </c>
      <c r="G1760" s="619">
        <f>190284000+190356302</f>
        <v>380640302</v>
      </c>
      <c r="H1760" s="464">
        <f t="shared" si="1313"/>
        <v>7</v>
      </c>
      <c r="I1760" s="560"/>
      <c r="J1760" s="468">
        <f t="shared" si="1314"/>
        <v>2025</v>
      </c>
      <c r="K1760" s="490">
        <f t="shared" si="1315"/>
        <v>0.13383359090237523</v>
      </c>
      <c r="L1760" s="469">
        <f t="shared" si="1316"/>
        <v>2</v>
      </c>
      <c r="M1760" s="683">
        <f t="shared" si="1317"/>
        <v>2</v>
      </c>
      <c r="N1760" s="470">
        <f t="shared" si="1318"/>
        <v>9</v>
      </c>
      <c r="O1760" s="468">
        <f t="shared" si="1319"/>
        <v>2025</v>
      </c>
      <c r="P1760" s="616">
        <f t="shared" si="1320"/>
        <v>2844131278.5043454</v>
      </c>
      <c r="Q1760" s="472">
        <f t="shared" si="1321"/>
        <v>3224771580.5043454</v>
      </c>
      <c r="R1760" s="472">
        <f t="shared" si="1322"/>
        <v>358307953.38937169</v>
      </c>
      <c r="S1760" s="1189">
        <f t="shared" si="1323"/>
        <v>2017</v>
      </c>
      <c r="T1760" s="470">
        <f t="shared" si="1324"/>
        <v>1</v>
      </c>
      <c r="U1760" s="612">
        <f t="shared" si="1325"/>
        <v>358307953.38937169</v>
      </c>
      <c r="V1760" s="464">
        <f t="shared" si="1326"/>
        <v>2017</v>
      </c>
      <c r="W1760" s="612">
        <f t="shared" si="1327"/>
        <v>2866463627.1149735</v>
      </c>
      <c r="X1760" s="473"/>
      <c r="Y1760" s="478"/>
      <c r="Z1760" s="449"/>
      <c r="AA1760" s="492" t="s">
        <v>4182</v>
      </c>
      <c r="AB1760" s="476"/>
      <c r="AC1760" s="476"/>
      <c r="AD1760" s="567">
        <f>AD1758-AD1759</f>
        <v>4260136143.9560423</v>
      </c>
      <c r="AE1760" s="476"/>
      <c r="AF1760" s="568"/>
      <c r="AG1760" s="476"/>
      <c r="AH1760" s="476"/>
      <c r="AI1760" s="477"/>
      <c r="AJ1760" s="478"/>
      <c r="AK1760" s="479"/>
      <c r="AL1760" s="480"/>
      <c r="AM1760" s="474"/>
      <c r="AN1760" s="481"/>
      <c r="AO1760" s="474"/>
      <c r="AP1760" s="476"/>
      <c r="AQ1760" s="482"/>
      <c r="AR1760" s="478"/>
      <c r="AS1760" s="478"/>
      <c r="AT1760" s="476"/>
      <c r="AU1760" s="482"/>
      <c r="AV1760" s="478"/>
      <c r="AW1760" s="483"/>
      <c r="AX1760" s="476"/>
      <c r="AY1760" s="482"/>
      <c r="AZ1760" s="478"/>
      <c r="BA1760" s="484"/>
      <c r="BB1760" s="474"/>
      <c r="BC1760" s="485"/>
      <c r="BD1760" s="485"/>
      <c r="BG1760" s="487"/>
    </row>
    <row r="1761" spans="1:59" s="486" customFormat="1" ht="18" customHeight="1" x14ac:dyDescent="0.2">
      <c r="A1761" s="1368" t="str">
        <f t="shared" si="1328"/>
        <v>SEI. PERUPUK - TELUK PAUH2017</v>
      </c>
      <c r="B1761" s="1373">
        <v>6</v>
      </c>
      <c r="C1761" s="488" t="s">
        <v>3063</v>
      </c>
      <c r="D1761" s="489"/>
      <c r="E1761" s="558"/>
      <c r="F1761" s="559">
        <v>2017</v>
      </c>
      <c r="G1761" s="619">
        <v>0</v>
      </c>
      <c r="H1761" s="464">
        <f t="shared" si="1313"/>
        <v>9</v>
      </c>
      <c r="I1761" s="560"/>
      <c r="J1761" s="468">
        <f t="shared" si="1314"/>
        <v>2025</v>
      </c>
      <c r="K1761" s="490">
        <f t="shared" si="1315"/>
        <v>0</v>
      </c>
      <c r="L1761" s="469">
        <f t="shared" si="1316"/>
        <v>0</v>
      </c>
      <c r="M1761" s="683">
        <f t="shared" si="1317"/>
        <v>0</v>
      </c>
      <c r="N1761" s="470">
        <f t="shared" si="1318"/>
        <v>9</v>
      </c>
      <c r="O1761" s="468">
        <f t="shared" si="1319"/>
        <v>2025</v>
      </c>
      <c r="P1761" s="616">
        <f t="shared" si="1320"/>
        <v>2866463627.1149735</v>
      </c>
      <c r="Q1761" s="472">
        <f t="shared" si="1321"/>
        <v>2866463627.1149735</v>
      </c>
      <c r="R1761" s="472">
        <f t="shared" si="1322"/>
        <v>358307953.38937169</v>
      </c>
      <c r="S1761" s="1189">
        <f t="shared" si="1323"/>
        <v>2017</v>
      </c>
      <c r="T1761" s="470">
        <f t="shared" si="1324"/>
        <v>0</v>
      </c>
      <c r="U1761" s="612">
        <f t="shared" si="1325"/>
        <v>0</v>
      </c>
      <c r="V1761" s="464">
        <f t="shared" si="1326"/>
        <v>2017</v>
      </c>
      <c r="W1761" s="612">
        <f t="shared" si="1327"/>
        <v>2866463627.1149735</v>
      </c>
      <c r="X1761" s="473"/>
      <c r="Y1761" s="478"/>
      <c r="Z1761" s="449"/>
      <c r="AA1761" s="492"/>
      <c r="AB1761" s="476"/>
      <c r="AC1761" s="476"/>
      <c r="AD1761" s="567"/>
      <c r="AE1761" s="476"/>
      <c r="AF1761" s="568"/>
      <c r="AG1761" s="476"/>
      <c r="AH1761" s="476"/>
      <c r="AI1761" s="477"/>
      <c r="AJ1761" s="478"/>
      <c r="AK1761" s="479"/>
      <c r="AL1761" s="480"/>
      <c r="AM1761" s="474"/>
      <c r="AN1761" s="481"/>
      <c r="AO1761" s="474"/>
      <c r="AP1761" s="476"/>
      <c r="AQ1761" s="482"/>
      <c r="AR1761" s="478"/>
      <c r="AS1761" s="478"/>
      <c r="AT1761" s="476"/>
      <c r="AU1761" s="482"/>
      <c r="AV1761" s="478"/>
      <c r="AW1761" s="483"/>
      <c r="AX1761" s="476"/>
      <c r="AY1761" s="482"/>
      <c r="AZ1761" s="478"/>
      <c r="BA1761" s="484"/>
      <c r="BB1761" s="474"/>
      <c r="BC1761" s="485"/>
      <c r="BD1761" s="485"/>
      <c r="BG1761" s="487"/>
    </row>
    <row r="1762" spans="1:59" s="486" customFormat="1" ht="18" customHeight="1" x14ac:dyDescent="0.2">
      <c r="A1762" s="1368" t="str">
        <f t="shared" si="1328"/>
        <v>SEI. PERUPUK - TELUK PAUH2018</v>
      </c>
      <c r="B1762" s="687"/>
      <c r="C1762" s="488"/>
      <c r="D1762" s="489"/>
      <c r="E1762" s="558"/>
      <c r="F1762" s="466">
        <v>2018</v>
      </c>
      <c r="G1762" s="619">
        <v>0</v>
      </c>
      <c r="H1762" s="464">
        <f t="shared" si="1313"/>
        <v>8</v>
      </c>
      <c r="I1762" s="560"/>
      <c r="J1762" s="468">
        <f t="shared" si="1314"/>
        <v>2025</v>
      </c>
      <c r="K1762" s="490">
        <f t="shared" si="1315"/>
        <v>0</v>
      </c>
      <c r="L1762" s="469">
        <f t="shared" si="1316"/>
        <v>0</v>
      </c>
      <c r="M1762" s="683">
        <f t="shared" si="1317"/>
        <v>0</v>
      </c>
      <c r="N1762" s="470">
        <f t="shared" si="1318"/>
        <v>8</v>
      </c>
      <c r="O1762" s="468">
        <f t="shared" si="1319"/>
        <v>2025</v>
      </c>
      <c r="P1762" s="616">
        <f t="shared" si="1320"/>
        <v>2866463627.1149735</v>
      </c>
      <c r="Q1762" s="472">
        <f t="shared" si="1321"/>
        <v>2866463627.1149735</v>
      </c>
      <c r="R1762" s="472">
        <f t="shared" si="1322"/>
        <v>358307953.38937169</v>
      </c>
      <c r="S1762" s="1189">
        <f t="shared" si="1323"/>
        <v>2018</v>
      </c>
      <c r="T1762" s="470">
        <f t="shared" si="1324"/>
        <v>1</v>
      </c>
      <c r="U1762" s="612">
        <f t="shared" si="1325"/>
        <v>358307953.38937169</v>
      </c>
      <c r="V1762" s="464">
        <f t="shared" si="1326"/>
        <v>2018</v>
      </c>
      <c r="W1762" s="612">
        <f t="shared" si="1327"/>
        <v>2508155673.7256017</v>
      </c>
      <c r="X1762" s="473"/>
      <c r="Y1762" s="478"/>
      <c r="Z1762" s="449"/>
      <c r="AA1762" s="531" t="s">
        <v>4183</v>
      </c>
      <c r="AB1762" s="496"/>
      <c r="AC1762" s="496"/>
      <c r="AD1762" s="569">
        <f>AD1760-W1765</f>
        <v>0</v>
      </c>
      <c r="AE1762" s="476"/>
      <c r="AF1762" s="568"/>
      <c r="AG1762" s="476"/>
      <c r="AH1762" s="476"/>
      <c r="AI1762" s="477"/>
      <c r="AJ1762" s="478"/>
      <c r="AK1762" s="479"/>
      <c r="AL1762" s="480"/>
      <c r="AM1762" s="474"/>
      <c r="AN1762" s="481"/>
      <c r="AO1762" s="474"/>
      <c r="AP1762" s="476"/>
      <c r="AQ1762" s="482"/>
      <c r="AR1762" s="478"/>
      <c r="AS1762" s="478"/>
      <c r="AT1762" s="476"/>
      <c r="AU1762" s="482"/>
      <c r="AV1762" s="478"/>
      <c r="AW1762" s="483"/>
      <c r="AX1762" s="476"/>
      <c r="AY1762" s="482"/>
      <c r="AZ1762" s="478"/>
      <c r="BA1762" s="484"/>
      <c r="BB1762" s="474"/>
      <c r="BC1762" s="485"/>
      <c r="BD1762" s="485"/>
      <c r="BG1762" s="487"/>
    </row>
    <row r="1763" spans="1:59" s="486" customFormat="1" ht="18" customHeight="1" x14ac:dyDescent="0.2">
      <c r="A1763" s="1368" t="str">
        <f t="shared" si="1328"/>
        <v>SEI. PERUPUK - TELUK PAUH2019</v>
      </c>
      <c r="B1763" s="687">
        <v>7</v>
      </c>
      <c r="C1763" s="488" t="s">
        <v>5681</v>
      </c>
      <c r="D1763" s="489"/>
      <c r="E1763" s="558"/>
      <c r="F1763" s="466">
        <v>2019</v>
      </c>
      <c r="G1763" s="619">
        <v>2225328930.6700001</v>
      </c>
      <c r="H1763" s="464">
        <f t="shared" si="1313"/>
        <v>7</v>
      </c>
      <c r="I1763" s="560"/>
      <c r="J1763" s="468">
        <f t="shared" si="1314"/>
        <v>2028</v>
      </c>
      <c r="K1763" s="490">
        <f t="shared" si="1315"/>
        <v>0.88723716553227649</v>
      </c>
      <c r="L1763" s="469">
        <f t="shared" si="1316"/>
        <v>10</v>
      </c>
      <c r="M1763" s="683">
        <f t="shared" si="1317"/>
        <v>3</v>
      </c>
      <c r="N1763" s="470">
        <f t="shared" si="1318"/>
        <v>10</v>
      </c>
      <c r="O1763" s="468">
        <f t="shared" si="1319"/>
        <v>2028</v>
      </c>
      <c r="P1763" s="616">
        <f t="shared" si="1320"/>
        <v>2508155673.7256017</v>
      </c>
      <c r="Q1763" s="472">
        <f t="shared" si="1321"/>
        <v>4733484604.3956013</v>
      </c>
      <c r="R1763" s="472">
        <f t="shared" si="1322"/>
        <v>473348460.43956012</v>
      </c>
      <c r="S1763" s="1189">
        <f t="shared" si="1323"/>
        <v>2019</v>
      </c>
      <c r="T1763" s="470">
        <f t="shared" si="1324"/>
        <v>1</v>
      </c>
      <c r="U1763" s="612">
        <f t="shared" si="1325"/>
        <v>473348460.43956012</v>
      </c>
      <c r="V1763" s="464">
        <f t="shared" si="1326"/>
        <v>2019</v>
      </c>
      <c r="W1763" s="612">
        <f t="shared" si="1327"/>
        <v>4260136143.9560413</v>
      </c>
      <c r="X1763" s="473"/>
      <c r="Y1763" s="478"/>
      <c r="Z1763" s="449"/>
      <c r="AA1763" s="573"/>
      <c r="AB1763" s="476"/>
      <c r="AC1763" s="476"/>
      <c r="AD1763" s="568"/>
      <c r="AE1763" s="476"/>
      <c r="AF1763" s="568"/>
      <c r="AG1763" s="476"/>
      <c r="AH1763" s="476"/>
      <c r="AI1763" s="477"/>
      <c r="AJ1763" s="478"/>
      <c r="AK1763" s="479"/>
      <c r="AL1763" s="480"/>
      <c r="AM1763" s="474"/>
      <c r="AN1763" s="481"/>
      <c r="AO1763" s="474"/>
      <c r="AP1763" s="476"/>
      <c r="AQ1763" s="482"/>
      <c r="AR1763" s="478"/>
      <c r="AS1763" s="478"/>
      <c r="AT1763" s="476"/>
      <c r="AU1763" s="482"/>
      <c r="AV1763" s="478"/>
      <c r="AW1763" s="483"/>
      <c r="AX1763" s="476"/>
      <c r="AY1763" s="482"/>
      <c r="AZ1763" s="478"/>
      <c r="BA1763" s="484"/>
      <c r="BB1763" s="474"/>
      <c r="BC1763" s="485"/>
      <c r="BD1763" s="485"/>
      <c r="BG1763" s="487"/>
    </row>
    <row r="1764" spans="1:59" s="486" customFormat="1" ht="18" customHeight="1" x14ac:dyDescent="0.2">
      <c r="A1764" s="1368" t="str">
        <f>LEFT(D1764,8)</f>
        <v/>
      </c>
      <c r="B1764" s="687"/>
      <c r="C1764" s="463"/>
      <c r="D1764" s="489"/>
      <c r="E1764" s="465"/>
      <c r="F1764" s="466"/>
      <c r="G1764" s="620"/>
      <c r="H1764" s="464"/>
      <c r="I1764" s="467"/>
      <c r="J1764" s="468"/>
      <c r="K1764" s="574"/>
      <c r="L1764" s="469"/>
      <c r="M1764" s="683"/>
      <c r="N1764" s="470"/>
      <c r="O1764" s="468"/>
      <c r="P1764" s="616"/>
      <c r="Q1764" s="472"/>
      <c r="R1764" s="472"/>
      <c r="S1764" s="634"/>
      <c r="T1764" s="470"/>
      <c r="U1764" s="612"/>
      <c r="V1764" s="464"/>
      <c r="W1764" s="612"/>
      <c r="X1764" s="473"/>
      <c r="Y1764" s="478"/>
      <c r="Z1764" s="449"/>
      <c r="AA1764" s="573"/>
      <c r="AB1764" s="476"/>
      <c r="AC1764" s="476"/>
      <c r="AD1764" s="568"/>
      <c r="AE1764" s="476"/>
      <c r="AF1764" s="568"/>
      <c r="AG1764" s="476"/>
      <c r="AH1764" s="476"/>
      <c r="AI1764" s="477"/>
      <c r="AJ1764" s="478"/>
      <c r="AK1764" s="479"/>
      <c r="AL1764" s="480"/>
      <c r="AM1764" s="474"/>
      <c r="AN1764" s="481"/>
      <c r="AO1764" s="474"/>
      <c r="AP1764" s="476"/>
      <c r="AQ1764" s="482"/>
      <c r="AR1764" s="478"/>
      <c r="AS1764" s="478"/>
      <c r="AT1764" s="476"/>
      <c r="AU1764" s="482"/>
      <c r="AV1764" s="478"/>
      <c r="AW1764" s="483"/>
      <c r="AX1764" s="476"/>
      <c r="AY1764" s="482"/>
      <c r="AZ1764" s="478"/>
      <c r="BA1764" s="484"/>
      <c r="BB1764" s="474"/>
      <c r="BC1764" s="485"/>
      <c r="BD1764" s="485"/>
      <c r="BG1764" s="487"/>
    </row>
    <row r="1765" spans="1:59" s="526" customFormat="1" ht="18" customHeight="1" x14ac:dyDescent="0.2">
      <c r="A1765" s="1370" t="s">
        <v>4184</v>
      </c>
      <c r="B1765" s="1956" t="s">
        <v>4184</v>
      </c>
      <c r="C1765" s="1957"/>
      <c r="D1765" s="1957"/>
      <c r="E1765" s="1957"/>
      <c r="F1765" s="1958"/>
      <c r="G1765" s="624">
        <f>SUM(G1748:G1764)</f>
        <v>10343688505.08091</v>
      </c>
      <c r="H1765" s="505"/>
      <c r="I1765" s="506"/>
      <c r="J1765" s="507"/>
      <c r="K1765" s="507"/>
      <c r="L1765" s="505"/>
      <c r="M1765" s="684"/>
      <c r="N1765" s="508"/>
      <c r="O1765" s="507"/>
      <c r="P1765" s="749"/>
      <c r="Q1765" s="510"/>
      <c r="R1765" s="511"/>
      <c r="S1765" s="512"/>
      <c r="T1765" s="512"/>
      <c r="U1765" s="610">
        <f>SUM(U1748:U1764)</f>
        <v>6083552361.1248674</v>
      </c>
      <c r="V1765" s="513"/>
      <c r="W1765" s="610">
        <f>G1765-U1765</f>
        <v>4260136143.9560423</v>
      </c>
      <c r="X1765" s="514"/>
      <c r="Y1765" s="515"/>
      <c r="Z1765" s="515"/>
      <c r="AA1765" s="515"/>
      <c r="AB1765" s="515"/>
      <c r="AC1765" s="515"/>
      <c r="AD1765" s="570"/>
      <c r="AE1765" s="515"/>
      <c r="AF1765" s="570">
        <v>5596606466.3004236</v>
      </c>
      <c r="AG1765" s="515"/>
      <c r="AH1765" s="515"/>
      <c r="AI1765" s="516"/>
      <c r="AJ1765" s="517"/>
      <c r="AK1765" s="518"/>
      <c r="AL1765" s="519"/>
      <c r="AM1765" s="520"/>
      <c r="AN1765" s="521"/>
      <c r="AO1765" s="520"/>
      <c r="AP1765" s="515"/>
      <c r="AQ1765" s="522"/>
      <c r="AR1765" s="517"/>
      <c r="AS1765" s="517"/>
      <c r="AT1765" s="515"/>
      <c r="AU1765" s="522"/>
      <c r="AV1765" s="517"/>
      <c r="AW1765" s="523"/>
      <c r="AX1765" s="515"/>
      <c r="AY1765" s="522"/>
      <c r="AZ1765" s="517"/>
      <c r="BA1765" s="524"/>
      <c r="BB1765" s="520"/>
      <c r="BC1765" s="525"/>
      <c r="BD1765" s="525"/>
      <c r="BG1765" s="527"/>
    </row>
    <row r="1768" spans="1:59" s="422" customFormat="1" ht="18" customHeight="1" x14ac:dyDescent="0.2">
      <c r="A1768" s="1366">
        <f>C1768</f>
        <v>294</v>
      </c>
      <c r="B1768" s="742" t="s">
        <v>4187</v>
      </c>
      <c r="C1768" s="556">
        <v>294</v>
      </c>
      <c r="D1768" s="553" t="str">
        <f>VLOOKUP(C1768,RUAS,2,FALSE)</f>
        <v>TELUK PAUH - PESIKAIAN</v>
      </c>
      <c r="E1768" s="553"/>
      <c r="F1768" s="421"/>
      <c r="G1768" s="611"/>
      <c r="I1768" s="423"/>
      <c r="J1768" s="424"/>
      <c r="K1768" s="424"/>
      <c r="M1768" s="680"/>
      <c r="P1768" s="611"/>
      <c r="U1768" s="611"/>
      <c r="W1768" s="611"/>
      <c r="Y1768" s="425"/>
      <c r="Z1768" s="425"/>
      <c r="AA1768" s="425"/>
      <c r="AB1768" s="425"/>
      <c r="AC1768" s="425"/>
      <c r="AD1768" s="563"/>
      <c r="AE1768" s="425"/>
      <c r="AF1768" s="563"/>
      <c r="AG1768" s="425"/>
      <c r="AH1768" s="425"/>
      <c r="AI1768" s="425"/>
      <c r="AJ1768" s="425"/>
      <c r="AK1768" s="425"/>
      <c r="AL1768" s="425"/>
      <c r="AM1768" s="425"/>
      <c r="AN1768" s="425"/>
      <c r="AO1768" s="425"/>
      <c r="AP1768" s="425"/>
      <c r="AQ1768" s="425"/>
      <c r="AR1768" s="425"/>
      <c r="AS1768" s="425"/>
      <c r="AT1768" s="425"/>
      <c r="AU1768" s="425"/>
      <c r="AV1768" s="425"/>
      <c r="AW1768" s="425"/>
      <c r="AX1768" s="425"/>
      <c r="AY1768" s="425"/>
      <c r="AZ1768" s="425"/>
      <c r="BA1768" s="425"/>
      <c r="BB1768" s="425"/>
    </row>
    <row r="1769" spans="1:59" s="431" customFormat="1" ht="18" customHeight="1" x14ac:dyDescent="0.2">
      <c r="A1769" s="1367"/>
      <c r="B1769" s="1968" t="s">
        <v>5</v>
      </c>
      <c r="C1769" s="1968" t="s">
        <v>2280</v>
      </c>
      <c r="D1769" s="1968" t="s">
        <v>4157</v>
      </c>
      <c r="E1769" s="1968" t="s">
        <v>4158</v>
      </c>
      <c r="F1769" s="1968"/>
      <c r="G1769" s="2042" t="s">
        <v>4159</v>
      </c>
      <c r="H1769" s="1968" t="s">
        <v>4160</v>
      </c>
      <c r="I1769" s="1968"/>
      <c r="J1769" s="1968" t="s">
        <v>4185</v>
      </c>
      <c r="K1769" s="1964" t="s">
        <v>4162</v>
      </c>
      <c r="L1769" s="1968" t="s">
        <v>4163</v>
      </c>
      <c r="M1769" s="1971" t="s">
        <v>4164</v>
      </c>
      <c r="N1769" s="1962" t="s">
        <v>4165</v>
      </c>
      <c r="O1769" s="1968" t="s">
        <v>4166</v>
      </c>
      <c r="P1769" s="1972" t="s">
        <v>4167</v>
      </c>
      <c r="Q1769" s="1973"/>
      <c r="R1769" s="1129" t="s">
        <v>4186</v>
      </c>
      <c r="S1769" s="1972" t="s">
        <v>4169</v>
      </c>
      <c r="T1769" s="1974"/>
      <c r="U1769" s="1973"/>
      <c r="V1769" s="1975" t="s">
        <v>4170</v>
      </c>
      <c r="W1769" s="1975"/>
      <c r="X1769" s="1960" t="s">
        <v>4171</v>
      </c>
      <c r="Y1769" s="1959"/>
      <c r="Z1769" s="1130"/>
      <c r="AA1769" s="426"/>
      <c r="AB1769" s="426"/>
      <c r="AC1769" s="426"/>
      <c r="AD1769" s="564"/>
      <c r="AE1769" s="426"/>
      <c r="AF1769" s="564"/>
      <c r="AG1769" s="426"/>
      <c r="AH1769" s="426"/>
      <c r="AI1769" s="427"/>
      <c r="AJ1769" s="427"/>
      <c r="AK1769" s="427"/>
      <c r="AL1769" s="427"/>
      <c r="AM1769" s="428"/>
      <c r="AN1769" s="427"/>
      <c r="AO1769" s="427"/>
      <c r="AP1769" s="426"/>
      <c r="AQ1769" s="427"/>
      <c r="AR1769" s="427"/>
      <c r="AS1769" s="427"/>
      <c r="AT1769" s="426"/>
      <c r="AU1769" s="427"/>
      <c r="AV1769" s="427"/>
      <c r="AW1769" s="427"/>
      <c r="AX1769" s="426"/>
      <c r="AY1769" s="427"/>
      <c r="AZ1769" s="427"/>
      <c r="BA1769" s="427"/>
      <c r="BB1769" s="429"/>
      <c r="BC1769" s="430"/>
      <c r="BD1769" s="430"/>
    </row>
    <row r="1770" spans="1:59" s="431" customFormat="1" ht="18" customHeight="1" x14ac:dyDescent="0.2">
      <c r="A1770" s="1367"/>
      <c r="B1770" s="1968"/>
      <c r="C1770" s="1968"/>
      <c r="D1770" s="1968"/>
      <c r="E1770" s="1968"/>
      <c r="F1770" s="1968"/>
      <c r="G1770" s="2042"/>
      <c r="H1770" s="1968"/>
      <c r="I1770" s="1968"/>
      <c r="J1770" s="1968"/>
      <c r="K1770" s="1970"/>
      <c r="L1770" s="1968"/>
      <c r="M1770" s="1971"/>
      <c r="N1770" s="1963"/>
      <c r="O1770" s="1968"/>
      <c r="P1770" s="2037" t="s">
        <v>4172</v>
      </c>
      <c r="Q1770" s="1960" t="s">
        <v>4173</v>
      </c>
      <c r="R1770" s="1962" t="s">
        <v>4159</v>
      </c>
      <c r="S1770" s="1962" t="s">
        <v>4174</v>
      </c>
      <c r="T1770" s="1964" t="s">
        <v>4175</v>
      </c>
      <c r="U1770" s="1966" t="s">
        <v>4159</v>
      </c>
      <c r="V1770" s="1975"/>
      <c r="W1770" s="1975"/>
      <c r="X1770" s="1976"/>
      <c r="Y1770" s="1959"/>
      <c r="Z1770" s="1130"/>
      <c r="AA1770" s="426"/>
      <c r="AB1770" s="426"/>
      <c r="AC1770" s="426"/>
      <c r="AD1770" s="564"/>
      <c r="AE1770" s="426"/>
      <c r="AF1770" s="564"/>
      <c r="AG1770" s="426"/>
      <c r="AH1770" s="426"/>
      <c r="AI1770" s="427"/>
      <c r="AJ1770" s="427"/>
      <c r="AK1770" s="426"/>
      <c r="AL1770" s="427"/>
      <c r="AM1770" s="428"/>
      <c r="AN1770" s="427"/>
      <c r="AO1770" s="427"/>
      <c r="AP1770" s="432"/>
      <c r="AQ1770" s="427"/>
      <c r="AR1770" s="427"/>
      <c r="AS1770" s="427"/>
      <c r="AT1770" s="432"/>
      <c r="AU1770" s="427"/>
      <c r="AV1770" s="427"/>
      <c r="AW1770" s="427"/>
      <c r="AX1770" s="432"/>
      <c r="AY1770" s="427"/>
      <c r="AZ1770" s="427"/>
      <c r="BA1770" s="427"/>
      <c r="BB1770" s="429"/>
      <c r="BC1770" s="430"/>
      <c r="BD1770" s="430"/>
    </row>
    <row r="1771" spans="1:59" s="431" customFormat="1" ht="18" customHeight="1" x14ac:dyDescent="0.2">
      <c r="A1771" s="1367"/>
      <c r="B1771" s="1968"/>
      <c r="C1771" s="1968"/>
      <c r="D1771" s="1968"/>
      <c r="E1771" s="433" t="s">
        <v>4176</v>
      </c>
      <c r="F1771" s="434" t="s">
        <v>2288</v>
      </c>
      <c r="G1771" s="2042"/>
      <c r="H1771" s="1128" t="s">
        <v>2288</v>
      </c>
      <c r="I1771" s="1128" t="s">
        <v>4177</v>
      </c>
      <c r="J1771" s="1968"/>
      <c r="K1771" s="1965"/>
      <c r="L1771" s="435" t="s">
        <v>2288</v>
      </c>
      <c r="M1771" s="681" t="s">
        <v>2288</v>
      </c>
      <c r="N1771" s="1128" t="s">
        <v>2288</v>
      </c>
      <c r="O1771" s="1968"/>
      <c r="P1771" s="2038"/>
      <c r="Q1771" s="1961"/>
      <c r="R1771" s="1963"/>
      <c r="S1771" s="1963"/>
      <c r="T1771" s="1965"/>
      <c r="U1771" s="1967"/>
      <c r="V1771" s="1128" t="s">
        <v>4178</v>
      </c>
      <c r="W1771" s="1131" t="s">
        <v>4159</v>
      </c>
      <c r="X1771" s="1961"/>
      <c r="Y1771" s="436"/>
      <c r="Z1771" s="436"/>
      <c r="AA1771" s="426"/>
      <c r="AB1771" s="426"/>
      <c r="AC1771" s="426"/>
      <c r="AD1771" s="564"/>
      <c r="AE1771" s="426"/>
      <c r="AF1771" s="564"/>
      <c r="AG1771" s="426"/>
      <c r="AH1771" s="426"/>
      <c r="AI1771" s="427"/>
      <c r="AJ1771" s="432"/>
      <c r="AK1771" s="432"/>
      <c r="AL1771" s="427"/>
      <c r="AM1771" s="428"/>
      <c r="AN1771" s="432"/>
      <c r="AO1771" s="427"/>
      <c r="AP1771" s="432"/>
      <c r="AQ1771" s="432"/>
      <c r="AR1771" s="427"/>
      <c r="AS1771" s="427"/>
      <c r="AT1771" s="432"/>
      <c r="AU1771" s="432"/>
      <c r="AV1771" s="427"/>
      <c r="AW1771" s="427"/>
      <c r="AX1771" s="432"/>
      <c r="AY1771" s="432"/>
      <c r="AZ1771" s="427"/>
      <c r="BA1771" s="427"/>
      <c r="BB1771" s="429"/>
      <c r="BC1771" s="430"/>
      <c r="BD1771" s="430"/>
    </row>
    <row r="1772" spans="1:59" s="461" customFormat="1" ht="18" customHeight="1" x14ac:dyDescent="0.2">
      <c r="A1772" s="1368" t="str">
        <f>$D$1768&amp;S1772</f>
        <v>TELUK PAUH - PESIKAIAN2001</v>
      </c>
      <c r="B1772" s="1373">
        <v>1</v>
      </c>
      <c r="C1772" s="532" t="s">
        <v>529</v>
      </c>
      <c r="D1772" s="437" t="s">
        <v>3821</v>
      </c>
      <c r="E1772" s="438"/>
      <c r="F1772" s="439">
        <v>2001</v>
      </c>
      <c r="G1772" s="623">
        <v>2835000000</v>
      </c>
      <c r="H1772" s="440">
        <f>VLOOKUP(LEFT(D1772,8),UE,4)</f>
        <v>10</v>
      </c>
      <c r="I1772" s="441"/>
      <c r="J1772" s="442">
        <f>F1772+N1772-1</f>
        <v>2010</v>
      </c>
      <c r="K1772" s="443"/>
      <c r="L1772" s="440"/>
      <c r="M1772" s="746">
        <f>IF(H1772+L1772&gt;$H1772,$H1772-H1772,L1772)</f>
        <v>0</v>
      </c>
      <c r="N1772" s="444">
        <f>H1772+M1772</f>
        <v>10</v>
      </c>
      <c r="O1772" s="442">
        <f>F1772+N1772-1</f>
        <v>2010</v>
      </c>
      <c r="P1772" s="617">
        <f>G1772</f>
        <v>2835000000</v>
      </c>
      <c r="Q1772" s="445">
        <v>0</v>
      </c>
      <c r="R1772" s="445">
        <f>P1772/N1772</f>
        <v>283500000</v>
      </c>
      <c r="S1772" s="446">
        <f t="shared" ref="S1772:S1780" si="1329">F1772</f>
        <v>2001</v>
      </c>
      <c r="T1772" s="447">
        <v>1</v>
      </c>
      <c r="U1772" s="613">
        <f t="shared" ref="U1772:U1780" si="1330">R1772*T1772</f>
        <v>283500000</v>
      </c>
      <c r="V1772" s="442">
        <f>F1772</f>
        <v>2001</v>
      </c>
      <c r="W1772" s="617">
        <f>IF(OR(AND(ISBLANK(E1772),ISBLANK(G1772)),ISTEXT(E1772),ISTEXT(G1772)),"",G1772-R1772)</f>
        <v>2551500000</v>
      </c>
      <c r="X1772" s="448"/>
      <c r="Y1772" s="449"/>
      <c r="Z1772" s="449"/>
      <c r="AA1772" s="452"/>
      <c r="AB1772" s="452"/>
      <c r="AC1772" s="452"/>
      <c r="AD1772" s="571"/>
      <c r="AE1772" s="452"/>
      <c r="AF1772" s="571"/>
      <c r="AG1772" s="452"/>
      <c r="AH1772" s="452"/>
      <c r="AI1772" s="453"/>
      <c r="AJ1772" s="449"/>
      <c r="AK1772" s="453"/>
      <c r="AL1772" s="454"/>
      <c r="AM1772" s="455"/>
      <c r="AN1772" s="456"/>
      <c r="AO1772" s="455"/>
      <c r="AP1772" s="452"/>
      <c r="AQ1772" s="457"/>
      <c r="AR1772" s="449"/>
      <c r="AS1772" s="449"/>
      <c r="AT1772" s="452"/>
      <c r="AU1772" s="457"/>
      <c r="AV1772" s="449"/>
      <c r="AW1772" s="458"/>
      <c r="AX1772" s="452"/>
      <c r="AY1772" s="457"/>
      <c r="AZ1772" s="449"/>
      <c r="BA1772" s="459"/>
      <c r="BB1772" s="455"/>
      <c r="BC1772" s="460"/>
      <c r="BD1772" s="460"/>
      <c r="BG1772" s="462"/>
    </row>
    <row r="1773" spans="1:59" s="461" customFormat="1" ht="18" customHeight="1" x14ac:dyDescent="0.2">
      <c r="A1773" s="1368" t="str">
        <f t="shared" ref="A1773:A1782" si="1331">$D$1768&amp;S1773</f>
        <v>TELUK PAUH - PESIKAIAN2010</v>
      </c>
      <c r="B1773" s="1373"/>
      <c r="C1773" s="488"/>
      <c r="D1773" s="489"/>
      <c r="E1773" s="558"/>
      <c r="F1773" s="559">
        <v>2010</v>
      </c>
      <c r="G1773" s="619">
        <v>0</v>
      </c>
      <c r="H1773" s="464">
        <f t="shared" ref="H1773:H1780" si="1332">IF(N1772-(F1773-F1772)&lt;=0,0,(N1772-(F1773-F1772)))</f>
        <v>1</v>
      </c>
      <c r="I1773" s="560"/>
      <c r="J1773" s="468">
        <f>F1773+N1773-1</f>
        <v>2010</v>
      </c>
      <c r="K1773" s="490">
        <f t="shared" ref="K1773:K1780" si="1333">IF(G1773=0,0,IF(H1773=10,100%,G1773/W1772))</f>
        <v>0</v>
      </c>
      <c r="L1773" s="469">
        <f t="shared" ref="L1773:L1780" si="1334">IF(K1773=0%,0,IF(K1773&lt;=30%,2,IF(K1773&lt;=60%,5,10)))</f>
        <v>0</v>
      </c>
      <c r="M1773" s="683">
        <f>IF(OR(AND(ISBLANK(E1773),ISBLANK(G1773)),ISTEXT(E1773),ISTEXT(G1773)),"",IF(H1773+L1773&gt;$H$8,$H$8-H1773,L1773))</f>
        <v>0</v>
      </c>
      <c r="N1773" s="470">
        <f>IF(OR(AND(ISBLANK(F1773),ISBLANK(G1773)),ISTEXT(F1773),ISTEXT(G1773)),"",H1773+M1773)</f>
        <v>1</v>
      </c>
      <c r="O1773" s="468">
        <f>F1773+N1773-1</f>
        <v>2010</v>
      </c>
      <c r="P1773" s="616">
        <f t="shared" ref="P1773:P1780" si="1335">W1772</f>
        <v>2551500000</v>
      </c>
      <c r="Q1773" s="472">
        <f t="shared" ref="Q1773:Q1780" si="1336">P1773+G1773</f>
        <v>2551500000</v>
      </c>
      <c r="R1773" s="472">
        <f>IF(L1773=0,R1772,Q1773/N1773)</f>
        <v>283500000</v>
      </c>
      <c r="S1773" s="1132">
        <f t="shared" si="1329"/>
        <v>2010</v>
      </c>
      <c r="T1773" s="470">
        <f>S1773-S1772</f>
        <v>9</v>
      </c>
      <c r="U1773" s="612">
        <f t="shared" si="1330"/>
        <v>2551500000</v>
      </c>
      <c r="V1773" s="464">
        <f t="shared" ref="V1773:V1780" si="1337">F1773</f>
        <v>2010</v>
      </c>
      <c r="W1773" s="612">
        <f t="shared" ref="W1773:W1780" si="1338">IF(OR(AND(ISBLANK(E1773),ISBLANK(G1773)),ISTEXT(E1773),ISTEXT(G1773)),"",Q1773-U1773)</f>
        <v>0</v>
      </c>
      <c r="X1773" s="561"/>
      <c r="Y1773" s="449"/>
      <c r="Z1773" s="449"/>
      <c r="AA1773" s="693"/>
      <c r="AB1773" s="452"/>
      <c r="AC1773" s="452"/>
      <c r="AD1773" s="571"/>
      <c r="AE1773" s="452"/>
      <c r="AF1773" s="571"/>
      <c r="AG1773" s="452"/>
      <c r="AH1773" s="452"/>
      <c r="AI1773" s="453"/>
      <c r="AJ1773" s="449"/>
      <c r="AK1773" s="453"/>
      <c r="AL1773" s="454"/>
      <c r="AM1773" s="455"/>
      <c r="AN1773" s="456"/>
      <c r="AO1773" s="455"/>
      <c r="AP1773" s="452"/>
      <c r="AQ1773" s="457"/>
      <c r="AR1773" s="449"/>
      <c r="AS1773" s="449"/>
      <c r="AT1773" s="452"/>
      <c r="AU1773" s="457"/>
      <c r="AV1773" s="449"/>
      <c r="AW1773" s="458"/>
      <c r="AX1773" s="452"/>
      <c r="AY1773" s="457"/>
      <c r="AZ1773" s="449"/>
      <c r="BA1773" s="459"/>
      <c r="BB1773" s="455"/>
      <c r="BC1773" s="460"/>
      <c r="BD1773" s="460"/>
      <c r="BG1773" s="462"/>
    </row>
    <row r="1774" spans="1:59" s="486" customFormat="1" ht="18" customHeight="1" x14ac:dyDescent="0.2">
      <c r="A1774" s="1368" t="str">
        <f t="shared" si="1331"/>
        <v>TELUK PAUH - PESIKAIAN2011</v>
      </c>
      <c r="B1774" s="1373"/>
      <c r="C1774" s="488"/>
      <c r="D1774" s="489"/>
      <c r="E1774" s="558"/>
      <c r="F1774" s="559">
        <v>2011</v>
      </c>
      <c r="G1774" s="619">
        <v>0</v>
      </c>
      <c r="H1774" s="464">
        <f t="shared" si="1332"/>
        <v>0</v>
      </c>
      <c r="I1774" s="560"/>
      <c r="J1774" s="468">
        <f t="shared" ref="J1774:J1780" si="1339">F1774+N1774-1</f>
        <v>2010</v>
      </c>
      <c r="K1774" s="490">
        <f t="shared" si="1333"/>
        <v>0</v>
      </c>
      <c r="L1774" s="469">
        <f t="shared" si="1334"/>
        <v>0</v>
      </c>
      <c r="M1774" s="683">
        <f t="shared" ref="M1774:M1780" si="1340">IF(OR(AND(ISBLANK(E1774),ISBLANK(G1774)),ISTEXT(E1774),ISTEXT(G1774)),"",IF(H1774+L1774&gt;$H$8,$H$8-H1774,L1774))</f>
        <v>0</v>
      </c>
      <c r="N1774" s="470">
        <f t="shared" ref="N1774:N1780" si="1341">IF(OR(AND(ISBLANK(F1774),ISBLANK(G1774)),ISTEXT(F1774),ISTEXT(G1774)),"",H1774+M1774)</f>
        <v>0</v>
      </c>
      <c r="O1774" s="468">
        <f t="shared" ref="O1774:O1780" si="1342">F1774+N1774-1</f>
        <v>2010</v>
      </c>
      <c r="P1774" s="616">
        <f t="shared" si="1335"/>
        <v>0</v>
      </c>
      <c r="Q1774" s="472">
        <f t="shared" si="1336"/>
        <v>0</v>
      </c>
      <c r="R1774" s="472">
        <v>0</v>
      </c>
      <c r="S1774" s="1132">
        <f t="shared" si="1329"/>
        <v>2011</v>
      </c>
      <c r="T1774" s="470">
        <f t="shared" ref="T1774:T1780" si="1343">S1774-S1773</f>
        <v>1</v>
      </c>
      <c r="U1774" s="612">
        <f t="shared" si="1330"/>
        <v>0</v>
      </c>
      <c r="V1774" s="464">
        <f t="shared" si="1337"/>
        <v>2011</v>
      </c>
      <c r="W1774" s="612">
        <f t="shared" si="1338"/>
        <v>0</v>
      </c>
      <c r="X1774" s="561"/>
      <c r="Y1774" s="474"/>
      <c r="Z1774" s="449"/>
      <c r="AA1774" s="476"/>
      <c r="AB1774" s="476"/>
      <c r="AC1774" s="476"/>
      <c r="AD1774" s="476"/>
      <c r="AE1774" s="476"/>
      <c r="AF1774" s="568"/>
      <c r="AG1774" s="476"/>
      <c r="AH1774" s="476"/>
      <c r="AI1774" s="477"/>
      <c r="AJ1774" s="478"/>
      <c r="AK1774" s="479"/>
      <c r="AL1774" s="480"/>
      <c r="AM1774" s="474"/>
      <c r="AN1774" s="481"/>
      <c r="AO1774" s="474"/>
      <c r="AP1774" s="476"/>
      <c r="AQ1774" s="482"/>
      <c r="AR1774" s="478"/>
      <c r="AS1774" s="478"/>
      <c r="AT1774" s="476"/>
      <c r="AU1774" s="482"/>
      <c r="AV1774" s="478"/>
      <c r="AW1774" s="483"/>
      <c r="AX1774" s="476"/>
      <c r="AY1774" s="482"/>
      <c r="AZ1774" s="478"/>
      <c r="BA1774" s="484"/>
      <c r="BB1774" s="474"/>
      <c r="BC1774" s="485"/>
      <c r="BD1774" s="485"/>
      <c r="BG1774" s="487"/>
    </row>
    <row r="1775" spans="1:59" s="486" customFormat="1" ht="18" customHeight="1" x14ac:dyDescent="0.2">
      <c r="A1775" s="1368" t="str">
        <f t="shared" si="1331"/>
        <v>TELUK PAUH - PESIKAIAN2012</v>
      </c>
      <c r="B1775" s="1373"/>
      <c r="C1775" s="488"/>
      <c r="D1775" s="489"/>
      <c r="E1775" s="558"/>
      <c r="F1775" s="559">
        <v>2012</v>
      </c>
      <c r="G1775" s="619">
        <v>0</v>
      </c>
      <c r="H1775" s="464">
        <f t="shared" si="1332"/>
        <v>0</v>
      </c>
      <c r="I1775" s="560"/>
      <c r="J1775" s="468">
        <f t="shared" si="1339"/>
        <v>2011</v>
      </c>
      <c r="K1775" s="490">
        <f t="shared" si="1333"/>
        <v>0</v>
      </c>
      <c r="L1775" s="469">
        <f t="shared" si="1334"/>
        <v>0</v>
      </c>
      <c r="M1775" s="683">
        <f t="shared" si="1340"/>
        <v>0</v>
      </c>
      <c r="N1775" s="470">
        <f t="shared" si="1341"/>
        <v>0</v>
      </c>
      <c r="O1775" s="468">
        <f t="shared" si="1342"/>
        <v>2011</v>
      </c>
      <c r="P1775" s="616">
        <f t="shared" si="1335"/>
        <v>0</v>
      </c>
      <c r="Q1775" s="472">
        <f t="shared" si="1336"/>
        <v>0</v>
      </c>
      <c r="R1775" s="472">
        <f t="shared" ref="R1775:R1780" si="1344">IF(L1775=0,R1774,Q1775/N1775)</f>
        <v>0</v>
      </c>
      <c r="S1775" s="1132">
        <f t="shared" si="1329"/>
        <v>2012</v>
      </c>
      <c r="T1775" s="470">
        <f t="shared" si="1343"/>
        <v>1</v>
      </c>
      <c r="U1775" s="612">
        <f t="shared" si="1330"/>
        <v>0</v>
      </c>
      <c r="V1775" s="464">
        <f t="shared" si="1337"/>
        <v>2012</v>
      </c>
      <c r="W1775" s="612">
        <f t="shared" si="1338"/>
        <v>0</v>
      </c>
      <c r="X1775" s="561"/>
      <c r="Y1775" s="474"/>
      <c r="Z1775" s="449"/>
      <c r="AA1775" s="739"/>
      <c r="AB1775" s="496"/>
      <c r="AC1775" s="496"/>
      <c r="AD1775" s="740"/>
      <c r="AE1775" s="476"/>
      <c r="AF1775" s="568"/>
      <c r="AG1775" s="476"/>
      <c r="AH1775" s="476"/>
      <c r="AI1775" s="477"/>
      <c r="AJ1775" s="478"/>
      <c r="AK1775" s="479"/>
      <c r="AL1775" s="480"/>
      <c r="AM1775" s="474"/>
      <c r="AN1775" s="481"/>
      <c r="AO1775" s="474"/>
      <c r="AP1775" s="476"/>
      <c r="AQ1775" s="482"/>
      <c r="AR1775" s="478"/>
      <c r="AS1775" s="478"/>
      <c r="AT1775" s="476"/>
      <c r="AU1775" s="482"/>
      <c r="AV1775" s="478"/>
      <c r="AW1775" s="483"/>
      <c r="AX1775" s="476"/>
      <c r="AY1775" s="482"/>
      <c r="AZ1775" s="478"/>
      <c r="BA1775" s="484"/>
      <c r="BB1775" s="474"/>
      <c r="BC1775" s="485"/>
      <c r="BD1775" s="485"/>
      <c r="BG1775" s="487"/>
    </row>
    <row r="1776" spans="1:59" s="486" customFormat="1" ht="18" customHeight="1" x14ac:dyDescent="0.2">
      <c r="A1776" s="1368" t="str">
        <f t="shared" si="1331"/>
        <v>TELUK PAUH - PESIKAIAN2013</v>
      </c>
      <c r="B1776" s="1373"/>
      <c r="C1776" s="488"/>
      <c r="D1776" s="489"/>
      <c r="E1776" s="558"/>
      <c r="F1776" s="559">
        <v>2013</v>
      </c>
      <c r="G1776" s="619">
        <v>0</v>
      </c>
      <c r="H1776" s="464">
        <f t="shared" si="1332"/>
        <v>0</v>
      </c>
      <c r="I1776" s="560"/>
      <c r="J1776" s="468">
        <f t="shared" si="1339"/>
        <v>2012</v>
      </c>
      <c r="K1776" s="490">
        <f t="shared" si="1333"/>
        <v>0</v>
      </c>
      <c r="L1776" s="469">
        <f t="shared" si="1334"/>
        <v>0</v>
      </c>
      <c r="M1776" s="683">
        <f t="shared" si="1340"/>
        <v>0</v>
      </c>
      <c r="N1776" s="470">
        <f t="shared" si="1341"/>
        <v>0</v>
      </c>
      <c r="O1776" s="468">
        <f t="shared" si="1342"/>
        <v>2012</v>
      </c>
      <c r="P1776" s="616">
        <f t="shared" si="1335"/>
        <v>0</v>
      </c>
      <c r="Q1776" s="472">
        <f t="shared" si="1336"/>
        <v>0</v>
      </c>
      <c r="R1776" s="472">
        <f t="shared" si="1344"/>
        <v>0</v>
      </c>
      <c r="S1776" s="1132">
        <f t="shared" si="1329"/>
        <v>2013</v>
      </c>
      <c r="T1776" s="470">
        <f t="shared" si="1343"/>
        <v>1</v>
      </c>
      <c r="U1776" s="612">
        <f t="shared" si="1330"/>
        <v>0</v>
      </c>
      <c r="V1776" s="464">
        <f t="shared" si="1337"/>
        <v>2013</v>
      </c>
      <c r="W1776" s="612">
        <f t="shared" si="1338"/>
        <v>0</v>
      </c>
      <c r="X1776" s="561"/>
      <c r="Y1776" s="474"/>
      <c r="Z1776" s="449"/>
      <c r="AA1776" s="554" t="s">
        <v>4179</v>
      </c>
      <c r="AB1776" s="476"/>
      <c r="AC1776" s="476"/>
      <c r="AD1776" s="567"/>
      <c r="AE1776" s="476"/>
      <c r="AF1776" s="568"/>
      <c r="AG1776" s="476"/>
      <c r="AH1776" s="476"/>
      <c r="AI1776" s="477"/>
      <c r="AJ1776" s="478"/>
      <c r="AK1776" s="479"/>
      <c r="AL1776" s="480"/>
      <c r="AM1776" s="474"/>
      <c r="AN1776" s="481"/>
      <c r="AO1776" s="474"/>
      <c r="AP1776" s="476"/>
      <c r="AQ1776" s="482"/>
      <c r="AR1776" s="478"/>
      <c r="AS1776" s="478"/>
      <c r="AT1776" s="476"/>
      <c r="AU1776" s="482"/>
      <c r="AV1776" s="478"/>
      <c r="AW1776" s="483"/>
      <c r="AX1776" s="476"/>
      <c r="AY1776" s="482"/>
      <c r="AZ1776" s="478"/>
      <c r="BA1776" s="484"/>
      <c r="BB1776" s="474"/>
      <c r="BC1776" s="485"/>
      <c r="BD1776" s="485"/>
      <c r="BG1776" s="487"/>
    </row>
    <row r="1777" spans="1:59" s="486" customFormat="1" ht="18" customHeight="1" x14ac:dyDescent="0.2">
      <c r="A1777" s="1368" t="str">
        <f t="shared" si="1331"/>
        <v>TELUK PAUH - PESIKAIAN2014</v>
      </c>
      <c r="B1777" s="1373"/>
      <c r="C1777" s="488"/>
      <c r="D1777" s="489"/>
      <c r="E1777" s="558"/>
      <c r="F1777" s="559">
        <v>2014</v>
      </c>
      <c r="G1777" s="619">
        <v>0</v>
      </c>
      <c r="H1777" s="464">
        <f t="shared" si="1332"/>
        <v>0</v>
      </c>
      <c r="I1777" s="467"/>
      <c r="J1777" s="468">
        <f t="shared" si="1339"/>
        <v>2013</v>
      </c>
      <c r="K1777" s="490">
        <f t="shared" si="1333"/>
        <v>0</v>
      </c>
      <c r="L1777" s="469">
        <f t="shared" si="1334"/>
        <v>0</v>
      </c>
      <c r="M1777" s="683">
        <f t="shared" si="1340"/>
        <v>0</v>
      </c>
      <c r="N1777" s="470">
        <f t="shared" si="1341"/>
        <v>0</v>
      </c>
      <c r="O1777" s="468">
        <f t="shared" si="1342"/>
        <v>2013</v>
      </c>
      <c r="P1777" s="616">
        <f t="shared" si="1335"/>
        <v>0</v>
      </c>
      <c r="Q1777" s="472">
        <f t="shared" si="1336"/>
        <v>0</v>
      </c>
      <c r="R1777" s="472">
        <f t="shared" si="1344"/>
        <v>0</v>
      </c>
      <c r="S1777" s="1132">
        <f t="shared" si="1329"/>
        <v>2014</v>
      </c>
      <c r="T1777" s="470">
        <f t="shared" si="1343"/>
        <v>1</v>
      </c>
      <c r="U1777" s="612">
        <f t="shared" si="1330"/>
        <v>0</v>
      </c>
      <c r="V1777" s="464">
        <f t="shared" si="1337"/>
        <v>2014</v>
      </c>
      <c r="W1777" s="612">
        <f t="shared" si="1338"/>
        <v>0</v>
      </c>
      <c r="X1777" s="473"/>
      <c r="Y1777" s="478"/>
      <c r="Z1777" s="449"/>
      <c r="AA1777" s="475"/>
      <c r="AB1777" s="491"/>
      <c r="AC1777" s="491"/>
      <c r="AD1777" s="567"/>
      <c r="AE1777" s="491"/>
      <c r="AF1777" s="568"/>
      <c r="AG1777" s="491"/>
      <c r="AH1777" s="491"/>
      <c r="AI1777" s="477"/>
      <c r="AJ1777" s="478"/>
      <c r="AK1777" s="479"/>
      <c r="AL1777" s="480"/>
      <c r="AM1777" s="474"/>
      <c r="AN1777" s="481"/>
      <c r="AO1777" s="474"/>
      <c r="AP1777" s="476"/>
      <c r="AQ1777" s="482"/>
      <c r="AR1777" s="478"/>
      <c r="AS1777" s="478"/>
      <c r="AT1777" s="476"/>
      <c r="AU1777" s="482"/>
      <c r="AV1777" s="478"/>
      <c r="AW1777" s="483"/>
      <c r="AX1777" s="476"/>
      <c r="AY1777" s="482"/>
      <c r="AZ1777" s="478"/>
      <c r="BA1777" s="484"/>
      <c r="BB1777" s="474"/>
      <c r="BC1777" s="485"/>
      <c r="BD1777" s="485"/>
      <c r="BG1777" s="487"/>
    </row>
    <row r="1778" spans="1:59" s="486" customFormat="1" ht="18" customHeight="1" x14ac:dyDescent="0.2">
      <c r="A1778" s="1368" t="str">
        <f t="shared" si="1331"/>
        <v>TELUK PAUH - PESIKAIAN2015</v>
      </c>
      <c r="B1778" s="1373"/>
      <c r="C1778" s="488"/>
      <c r="D1778" s="489"/>
      <c r="E1778" s="558"/>
      <c r="F1778" s="559">
        <v>2015</v>
      </c>
      <c r="G1778" s="619">
        <v>0</v>
      </c>
      <c r="H1778" s="464">
        <f t="shared" si="1332"/>
        <v>0</v>
      </c>
      <c r="I1778" s="467"/>
      <c r="J1778" s="468">
        <f t="shared" si="1339"/>
        <v>2014</v>
      </c>
      <c r="K1778" s="490">
        <f t="shared" si="1333"/>
        <v>0</v>
      </c>
      <c r="L1778" s="469">
        <f t="shared" si="1334"/>
        <v>0</v>
      </c>
      <c r="M1778" s="683">
        <f t="shared" si="1340"/>
        <v>0</v>
      </c>
      <c r="N1778" s="470">
        <f t="shared" si="1341"/>
        <v>0</v>
      </c>
      <c r="O1778" s="468">
        <f t="shared" si="1342"/>
        <v>2014</v>
      </c>
      <c r="P1778" s="616">
        <f t="shared" si="1335"/>
        <v>0</v>
      </c>
      <c r="Q1778" s="472">
        <f t="shared" si="1336"/>
        <v>0</v>
      </c>
      <c r="R1778" s="472">
        <f t="shared" si="1344"/>
        <v>0</v>
      </c>
      <c r="S1778" s="1132">
        <f t="shared" si="1329"/>
        <v>2015</v>
      </c>
      <c r="T1778" s="470">
        <f t="shared" si="1343"/>
        <v>1</v>
      </c>
      <c r="U1778" s="612">
        <f t="shared" si="1330"/>
        <v>0</v>
      </c>
      <c r="V1778" s="464">
        <f t="shared" si="1337"/>
        <v>2015</v>
      </c>
      <c r="W1778" s="612">
        <f t="shared" si="1338"/>
        <v>0</v>
      </c>
      <c r="X1778" s="473"/>
      <c r="Y1778" s="478"/>
      <c r="Z1778" s="449"/>
      <c r="AA1778" s="475" t="s">
        <v>4180</v>
      </c>
      <c r="AB1778" s="476"/>
      <c r="AC1778" s="476"/>
      <c r="AD1778" s="567">
        <f>G1784</f>
        <v>3024466188</v>
      </c>
      <c r="AE1778" s="491"/>
      <c r="AF1778" s="568"/>
      <c r="AG1778" s="491"/>
      <c r="AH1778" s="491"/>
      <c r="AI1778" s="477"/>
      <c r="AJ1778" s="478"/>
      <c r="AK1778" s="479"/>
      <c r="AL1778" s="480"/>
      <c r="AM1778" s="474"/>
      <c r="AN1778" s="481"/>
      <c r="AO1778" s="474"/>
      <c r="AP1778" s="476"/>
      <c r="AQ1778" s="482"/>
      <c r="AR1778" s="478"/>
      <c r="AS1778" s="478"/>
      <c r="AT1778" s="476"/>
      <c r="AU1778" s="482"/>
      <c r="AV1778" s="478"/>
      <c r="AW1778" s="483"/>
      <c r="AX1778" s="476"/>
      <c r="AY1778" s="482"/>
      <c r="AZ1778" s="478"/>
      <c r="BA1778" s="484"/>
      <c r="BB1778" s="474"/>
      <c r="BC1778" s="485"/>
      <c r="BD1778" s="485"/>
      <c r="BG1778" s="487"/>
    </row>
    <row r="1779" spans="1:59" s="486" customFormat="1" ht="18" customHeight="1" x14ac:dyDescent="0.2">
      <c r="A1779" s="1368" t="str">
        <f t="shared" si="1331"/>
        <v>TELUK PAUH - PESIKAIAN2016</v>
      </c>
      <c r="B1779" s="1373"/>
      <c r="C1779" s="488"/>
      <c r="D1779" s="489"/>
      <c r="E1779" s="558"/>
      <c r="F1779" s="559">
        <v>2016</v>
      </c>
      <c r="G1779" s="619">
        <v>0</v>
      </c>
      <c r="H1779" s="464">
        <f t="shared" si="1332"/>
        <v>0</v>
      </c>
      <c r="I1779" s="467"/>
      <c r="J1779" s="468">
        <f t="shared" si="1339"/>
        <v>2015</v>
      </c>
      <c r="K1779" s="490">
        <f t="shared" si="1333"/>
        <v>0</v>
      </c>
      <c r="L1779" s="469">
        <f t="shared" si="1334"/>
        <v>0</v>
      </c>
      <c r="M1779" s="683">
        <f t="shared" si="1340"/>
        <v>0</v>
      </c>
      <c r="N1779" s="470">
        <f t="shared" si="1341"/>
        <v>0</v>
      </c>
      <c r="O1779" s="468">
        <f t="shared" si="1342"/>
        <v>2015</v>
      </c>
      <c r="P1779" s="616">
        <f t="shared" si="1335"/>
        <v>0</v>
      </c>
      <c r="Q1779" s="472">
        <f t="shared" si="1336"/>
        <v>0</v>
      </c>
      <c r="R1779" s="472">
        <f t="shared" si="1344"/>
        <v>0</v>
      </c>
      <c r="S1779" s="1132">
        <f t="shared" si="1329"/>
        <v>2016</v>
      </c>
      <c r="T1779" s="470">
        <f t="shared" si="1343"/>
        <v>1</v>
      </c>
      <c r="U1779" s="612">
        <f t="shared" si="1330"/>
        <v>0</v>
      </c>
      <c r="V1779" s="464">
        <f t="shared" si="1337"/>
        <v>2016</v>
      </c>
      <c r="W1779" s="612">
        <f t="shared" si="1338"/>
        <v>0</v>
      </c>
      <c r="X1779" s="473"/>
      <c r="Y1779" s="478"/>
      <c r="Z1779" s="449"/>
      <c r="AA1779" s="475" t="s">
        <v>4181</v>
      </c>
      <c r="AB1779" s="491"/>
      <c r="AC1779" s="491"/>
      <c r="AD1779" s="567">
        <f>U1784</f>
        <v>2872893237.6000004</v>
      </c>
      <c r="AE1779" s="491"/>
      <c r="AF1779" s="568"/>
      <c r="AG1779" s="491"/>
      <c r="AH1779" s="491"/>
      <c r="AI1779" s="477"/>
      <c r="AJ1779" s="478"/>
      <c r="AK1779" s="479"/>
      <c r="AL1779" s="480"/>
      <c r="AM1779" s="474"/>
      <c r="AN1779" s="481"/>
      <c r="AO1779" s="474"/>
      <c r="AP1779" s="476"/>
      <c r="AQ1779" s="482"/>
      <c r="AR1779" s="478"/>
      <c r="AS1779" s="478"/>
      <c r="AT1779" s="476"/>
      <c r="AU1779" s="482"/>
      <c r="AV1779" s="478"/>
      <c r="AW1779" s="483"/>
      <c r="AX1779" s="476"/>
      <c r="AY1779" s="482"/>
      <c r="AZ1779" s="478"/>
      <c r="BA1779" s="484"/>
      <c r="BB1779" s="474"/>
      <c r="BC1779" s="485"/>
      <c r="BD1779" s="485"/>
      <c r="BG1779" s="487"/>
    </row>
    <row r="1780" spans="1:59" s="486" customFormat="1" ht="18" customHeight="1" x14ac:dyDescent="0.2">
      <c r="A1780" s="1368" t="str">
        <f t="shared" si="1331"/>
        <v>TELUK PAUH - PESIKAIAN2017</v>
      </c>
      <c r="B1780" s="1373"/>
      <c r="C1780" s="488"/>
      <c r="D1780" s="489"/>
      <c r="E1780" s="558"/>
      <c r="F1780" s="559">
        <v>2017</v>
      </c>
      <c r="G1780" s="619">
        <v>0</v>
      </c>
      <c r="H1780" s="464">
        <f t="shared" si="1332"/>
        <v>0</v>
      </c>
      <c r="I1780" s="467"/>
      <c r="J1780" s="468">
        <f t="shared" si="1339"/>
        <v>2016</v>
      </c>
      <c r="K1780" s="490">
        <f t="shared" si="1333"/>
        <v>0</v>
      </c>
      <c r="L1780" s="469">
        <f t="shared" si="1334"/>
        <v>0</v>
      </c>
      <c r="M1780" s="683">
        <f t="shared" si="1340"/>
        <v>0</v>
      </c>
      <c r="N1780" s="470">
        <f t="shared" si="1341"/>
        <v>0</v>
      </c>
      <c r="O1780" s="468">
        <f t="shared" si="1342"/>
        <v>2016</v>
      </c>
      <c r="P1780" s="616">
        <f t="shared" si="1335"/>
        <v>0</v>
      </c>
      <c r="Q1780" s="472">
        <f t="shared" si="1336"/>
        <v>0</v>
      </c>
      <c r="R1780" s="472">
        <f t="shared" si="1344"/>
        <v>0</v>
      </c>
      <c r="S1780" s="1132">
        <f t="shared" si="1329"/>
        <v>2017</v>
      </c>
      <c r="T1780" s="470">
        <f t="shared" si="1343"/>
        <v>1</v>
      </c>
      <c r="U1780" s="612">
        <f t="shared" si="1330"/>
        <v>0</v>
      </c>
      <c r="V1780" s="464">
        <f t="shared" si="1337"/>
        <v>2017</v>
      </c>
      <c r="W1780" s="612">
        <f t="shared" si="1338"/>
        <v>0</v>
      </c>
      <c r="X1780" s="473"/>
      <c r="Y1780" s="478"/>
      <c r="Z1780" s="449"/>
      <c r="AA1780" s="492" t="s">
        <v>4182</v>
      </c>
      <c r="AB1780" s="476"/>
      <c r="AC1780" s="476"/>
      <c r="AD1780" s="567">
        <f>AD1778-AD1779</f>
        <v>151572950.39999962</v>
      </c>
      <c r="AE1780" s="476"/>
      <c r="AF1780" s="568"/>
      <c r="AG1780" s="476"/>
      <c r="AH1780" s="476"/>
      <c r="AI1780" s="477"/>
      <c r="AJ1780" s="478"/>
      <c r="AK1780" s="479"/>
      <c r="AL1780" s="480"/>
      <c r="AM1780" s="474"/>
      <c r="AN1780" s="481"/>
      <c r="AO1780" s="474"/>
      <c r="AP1780" s="476"/>
      <c r="AQ1780" s="482"/>
      <c r="AR1780" s="478"/>
      <c r="AS1780" s="478"/>
      <c r="AT1780" s="476"/>
      <c r="AU1780" s="482"/>
      <c r="AV1780" s="478"/>
      <c r="AW1780" s="483"/>
      <c r="AX1780" s="476"/>
      <c r="AY1780" s="482"/>
      <c r="AZ1780" s="478"/>
      <c r="BA1780" s="484"/>
      <c r="BB1780" s="474"/>
      <c r="BC1780" s="485"/>
      <c r="BD1780" s="485"/>
      <c r="BG1780" s="487"/>
    </row>
    <row r="1781" spans="1:59" s="486" customFormat="1" ht="18" customHeight="1" x14ac:dyDescent="0.2">
      <c r="A1781" s="1368" t="str">
        <f t="shared" si="1331"/>
        <v>TELUK PAUH - PESIKAIAN2018</v>
      </c>
      <c r="B1781" s="687"/>
      <c r="C1781" s="488" t="s">
        <v>3329</v>
      </c>
      <c r="D1781" s="489" t="s">
        <v>3821</v>
      </c>
      <c r="E1781" s="558"/>
      <c r="F1781" s="466">
        <v>2018</v>
      </c>
      <c r="G1781" s="619">
        <v>189466188</v>
      </c>
      <c r="H1781" s="557">
        <f>VLOOKUP(LEFT(D1781,8),UE,4)</f>
        <v>10</v>
      </c>
      <c r="I1781" s="467"/>
      <c r="J1781" s="468">
        <f>F1781+N1781-1</f>
        <v>2027</v>
      </c>
      <c r="K1781" s="490">
        <f>IF(G1781=0,0,IF(H1781=10,100%,G1781/W1780))</f>
        <v>1</v>
      </c>
      <c r="L1781" s="469">
        <f>IF(K1781=0%,0,IF(K1781&lt;=30%,2,IF(K1781&lt;=60%,5,10)))</f>
        <v>10</v>
      </c>
      <c r="M1781" s="683">
        <f>IF(OR(AND(ISBLANK(E1781),ISBLANK(G1781)),ISTEXT(E1781),ISTEXT(G1781)),"",IF(H1781+L1781&gt;$H$8,$H$8-H1781,L1781))</f>
        <v>0</v>
      </c>
      <c r="N1781" s="470">
        <f>IF(OR(AND(ISBLANK(F1781),ISBLANK(G1781)),ISTEXT(F1781),ISTEXT(G1781)),"",H1781+M1781)</f>
        <v>10</v>
      </c>
      <c r="O1781" s="468">
        <f>F1781+N1781-1</f>
        <v>2027</v>
      </c>
      <c r="P1781" s="616">
        <f>W1780</f>
        <v>0</v>
      </c>
      <c r="Q1781" s="472">
        <f>P1781+G1781</f>
        <v>189466188</v>
      </c>
      <c r="R1781" s="472">
        <f>IF(L1781=0,R1780,Q1781/N1781)</f>
        <v>18946618.800000001</v>
      </c>
      <c r="S1781" s="1189">
        <f>F1781</f>
        <v>2018</v>
      </c>
      <c r="T1781" s="470">
        <f>S1781-S1780</f>
        <v>1</v>
      </c>
      <c r="U1781" s="612">
        <f>R1781*T1781</f>
        <v>18946618.800000001</v>
      </c>
      <c r="V1781" s="464">
        <f>F1781</f>
        <v>2018</v>
      </c>
      <c r="W1781" s="612">
        <f>IF(OR(AND(ISBLANK(E1781),ISBLANK(G1781)),ISTEXT(E1781),ISTEXT(G1781)),"",Q1781-U1781)</f>
        <v>170519569.19999999</v>
      </c>
      <c r="X1781" s="473"/>
      <c r="Y1781" s="478"/>
      <c r="Z1781" s="449"/>
      <c r="AA1781" s="531" t="s">
        <v>4183</v>
      </c>
      <c r="AB1781" s="496"/>
      <c r="AC1781" s="496"/>
      <c r="AD1781" s="569">
        <f>AD1780-W1784</f>
        <v>0</v>
      </c>
      <c r="AE1781" s="476"/>
      <c r="AF1781" s="568"/>
      <c r="AG1781" s="476"/>
      <c r="AH1781" s="476"/>
      <c r="AI1781" s="477"/>
      <c r="AJ1781" s="478"/>
      <c r="AK1781" s="479"/>
      <c r="AL1781" s="480"/>
      <c r="AM1781" s="474"/>
      <c r="AN1781" s="481"/>
      <c r="AO1781" s="474"/>
      <c r="AP1781" s="476"/>
      <c r="AQ1781" s="482"/>
      <c r="AR1781" s="478"/>
      <c r="AS1781" s="478"/>
      <c r="AT1781" s="476"/>
      <c r="AU1781" s="482"/>
      <c r="AV1781" s="478"/>
      <c r="AW1781" s="483"/>
      <c r="AX1781" s="476"/>
      <c r="AY1781" s="482"/>
      <c r="AZ1781" s="478"/>
      <c r="BA1781" s="484"/>
      <c r="BB1781" s="474"/>
      <c r="BC1781" s="485"/>
      <c r="BD1781" s="485"/>
      <c r="BG1781" s="487"/>
    </row>
    <row r="1782" spans="1:59" s="486" customFormat="1" ht="18" customHeight="1" x14ac:dyDescent="0.2">
      <c r="A1782" s="1368" t="str">
        <f t="shared" si="1331"/>
        <v>TELUK PAUH - PESIKAIAN2019</v>
      </c>
      <c r="B1782" s="687"/>
      <c r="C1782" s="488"/>
      <c r="D1782" s="489"/>
      <c r="E1782" s="558"/>
      <c r="F1782" s="466">
        <v>2019</v>
      </c>
      <c r="G1782" s="619">
        <v>0</v>
      </c>
      <c r="H1782" s="464">
        <f>IF(N1781-(F1782-F1781)&lt;=0,0,(N1781-(F1782-F1781)))</f>
        <v>9</v>
      </c>
      <c r="I1782" s="467"/>
      <c r="J1782" s="468">
        <f>F1782+N1782-1</f>
        <v>2027</v>
      </c>
      <c r="K1782" s="490">
        <f>IF(G1782=0,0,IF(H1782=10,100%,G1782/W1781))</f>
        <v>0</v>
      </c>
      <c r="L1782" s="469">
        <f>IF(K1782=0%,0,IF(K1782&lt;=30%,2,IF(K1782&lt;=60%,5,10)))</f>
        <v>0</v>
      </c>
      <c r="M1782" s="683">
        <f>IF(OR(AND(ISBLANK(E1782),ISBLANK(G1782)),ISTEXT(E1782),ISTEXT(G1782)),"",IF(H1782+L1782&gt;$H$8,$H$8-H1782,L1782))</f>
        <v>0</v>
      </c>
      <c r="N1782" s="470">
        <f>IF(OR(AND(ISBLANK(F1782),ISBLANK(G1782)),ISTEXT(F1782),ISTEXT(G1782)),"",H1782+M1782)</f>
        <v>9</v>
      </c>
      <c r="O1782" s="468">
        <f>F1782+N1782-1</f>
        <v>2027</v>
      </c>
      <c r="P1782" s="616">
        <f>W1781</f>
        <v>170519569.19999999</v>
      </c>
      <c r="Q1782" s="472">
        <f>P1782+G1782</f>
        <v>170519569.19999999</v>
      </c>
      <c r="R1782" s="472">
        <f>IF(L1782=0,R1781,Q1782/N1782)</f>
        <v>18946618.800000001</v>
      </c>
      <c r="S1782" s="1189">
        <f>F1782</f>
        <v>2019</v>
      </c>
      <c r="T1782" s="470">
        <f>S1782-S1781</f>
        <v>1</v>
      </c>
      <c r="U1782" s="612">
        <f>R1782*T1782</f>
        <v>18946618.800000001</v>
      </c>
      <c r="V1782" s="464">
        <f>F1782</f>
        <v>2019</v>
      </c>
      <c r="W1782" s="612">
        <f>IF(OR(AND(ISBLANK(E1782),ISBLANK(G1782)),ISTEXT(E1782),ISTEXT(G1782)),"",Q1782-U1782)</f>
        <v>151572950.39999998</v>
      </c>
      <c r="X1782" s="473"/>
      <c r="Y1782" s="478"/>
      <c r="Z1782" s="449"/>
      <c r="AA1782" s="573"/>
      <c r="AB1782" s="476"/>
      <c r="AC1782" s="476"/>
      <c r="AD1782" s="568"/>
      <c r="AE1782" s="476"/>
      <c r="AF1782" s="568"/>
      <c r="AG1782" s="476"/>
      <c r="AH1782" s="476"/>
      <c r="AI1782" s="477"/>
      <c r="AJ1782" s="478"/>
      <c r="AK1782" s="479"/>
      <c r="AL1782" s="480"/>
      <c r="AM1782" s="474"/>
      <c r="AN1782" s="481"/>
      <c r="AO1782" s="474"/>
      <c r="AP1782" s="476"/>
      <c r="AQ1782" s="482"/>
      <c r="AR1782" s="478"/>
      <c r="AS1782" s="478"/>
      <c r="AT1782" s="476"/>
      <c r="AU1782" s="482"/>
      <c r="AV1782" s="478"/>
      <c r="AW1782" s="483"/>
      <c r="AX1782" s="476"/>
      <c r="AY1782" s="482"/>
      <c r="AZ1782" s="478"/>
      <c r="BA1782" s="484"/>
      <c r="BB1782" s="474"/>
      <c r="BC1782" s="485"/>
      <c r="BD1782" s="485"/>
      <c r="BG1782" s="487"/>
    </row>
    <row r="1783" spans="1:59" s="486" customFormat="1" ht="18" customHeight="1" x14ac:dyDescent="0.2">
      <c r="A1783" s="1368" t="str">
        <f>LEFT(D1783,8)</f>
        <v/>
      </c>
      <c r="B1783" s="687"/>
      <c r="C1783" s="463"/>
      <c r="D1783" s="489"/>
      <c r="E1783" s="465"/>
      <c r="F1783" s="466"/>
      <c r="G1783" s="620"/>
      <c r="H1783" s="464"/>
      <c r="I1783" s="467"/>
      <c r="J1783" s="468"/>
      <c r="K1783" s="574"/>
      <c r="L1783" s="469"/>
      <c r="M1783" s="683"/>
      <c r="N1783" s="470"/>
      <c r="O1783" s="468"/>
      <c r="P1783" s="616"/>
      <c r="Q1783" s="472"/>
      <c r="R1783" s="472"/>
      <c r="S1783" s="1132"/>
      <c r="T1783" s="470"/>
      <c r="U1783" s="612"/>
      <c r="V1783" s="464"/>
      <c r="W1783" s="612"/>
      <c r="X1783" s="473"/>
      <c r="Y1783" s="478"/>
      <c r="Z1783" s="449"/>
      <c r="AA1783" s="573"/>
      <c r="AB1783" s="476"/>
      <c r="AC1783" s="476"/>
      <c r="AD1783" s="568"/>
      <c r="AE1783" s="476"/>
      <c r="AF1783" s="568"/>
      <c r="AG1783" s="476"/>
      <c r="AH1783" s="476"/>
      <c r="AI1783" s="477"/>
      <c r="AJ1783" s="478"/>
      <c r="AK1783" s="479"/>
      <c r="AL1783" s="480"/>
      <c r="AM1783" s="474"/>
      <c r="AN1783" s="481"/>
      <c r="AO1783" s="474"/>
      <c r="AP1783" s="476"/>
      <c r="AQ1783" s="482"/>
      <c r="AR1783" s="478"/>
      <c r="AS1783" s="478"/>
      <c r="AT1783" s="476"/>
      <c r="AU1783" s="482"/>
      <c r="AV1783" s="478"/>
      <c r="AW1783" s="483"/>
      <c r="AX1783" s="476"/>
      <c r="AY1783" s="482"/>
      <c r="AZ1783" s="478"/>
      <c r="BA1783" s="484"/>
      <c r="BB1783" s="474"/>
      <c r="BC1783" s="485"/>
      <c r="BD1783" s="485"/>
      <c r="BG1783" s="487"/>
    </row>
    <row r="1784" spans="1:59" s="526" customFormat="1" ht="18" customHeight="1" x14ac:dyDescent="0.2">
      <c r="A1784" s="1370" t="s">
        <v>4184</v>
      </c>
      <c r="B1784" s="1956" t="s">
        <v>4184</v>
      </c>
      <c r="C1784" s="1957"/>
      <c r="D1784" s="1957"/>
      <c r="E1784" s="1957"/>
      <c r="F1784" s="1958"/>
      <c r="G1784" s="624">
        <f>SUM(G1772:G1783)</f>
        <v>3024466188</v>
      </c>
      <c r="H1784" s="505"/>
      <c r="I1784" s="506"/>
      <c r="J1784" s="507"/>
      <c r="K1784" s="507"/>
      <c r="L1784" s="505"/>
      <c r="M1784" s="684"/>
      <c r="N1784" s="508"/>
      <c r="O1784" s="507"/>
      <c r="P1784" s="749"/>
      <c r="Q1784" s="510"/>
      <c r="R1784" s="511"/>
      <c r="S1784" s="512"/>
      <c r="T1784" s="512"/>
      <c r="U1784" s="610">
        <f>SUM(U1772:U1783)</f>
        <v>2872893237.6000004</v>
      </c>
      <c r="V1784" s="513"/>
      <c r="W1784" s="610">
        <f>G1784-U1784</f>
        <v>151572950.39999962</v>
      </c>
      <c r="X1784" s="514"/>
      <c r="Y1784" s="515"/>
      <c r="Z1784" s="515"/>
      <c r="AA1784" s="515"/>
      <c r="AB1784" s="515"/>
      <c r="AC1784" s="515"/>
      <c r="AD1784" s="570"/>
      <c r="AE1784" s="515"/>
      <c r="AF1784" s="570">
        <v>5596606466.3004236</v>
      </c>
      <c r="AG1784" s="515"/>
      <c r="AH1784" s="515"/>
      <c r="AI1784" s="516"/>
      <c r="AJ1784" s="517"/>
      <c r="AK1784" s="518"/>
      <c r="AL1784" s="519"/>
      <c r="AM1784" s="520"/>
      <c r="AN1784" s="521"/>
      <c r="AO1784" s="520"/>
      <c r="AP1784" s="515"/>
      <c r="AQ1784" s="522"/>
      <c r="AR1784" s="517"/>
      <c r="AS1784" s="517"/>
      <c r="AT1784" s="515"/>
      <c r="AU1784" s="522"/>
      <c r="AV1784" s="517"/>
      <c r="AW1784" s="523"/>
      <c r="AX1784" s="515"/>
      <c r="AY1784" s="522"/>
      <c r="AZ1784" s="517"/>
      <c r="BA1784" s="524"/>
      <c r="BB1784" s="520"/>
      <c r="BC1784" s="525"/>
      <c r="BD1784" s="525"/>
      <c r="BG1784" s="527"/>
    </row>
    <row r="1787" spans="1:59" s="422" customFormat="1" ht="18" customHeight="1" x14ac:dyDescent="0.2">
      <c r="A1787" s="1366">
        <f>C1787</f>
        <v>295</v>
      </c>
      <c r="B1787" s="742" t="s">
        <v>4187</v>
      </c>
      <c r="C1787" s="556">
        <v>295</v>
      </c>
      <c r="D1787" s="553" t="str">
        <f>VLOOKUP(C1787,RUAS,2,FALSE)</f>
        <v>SEI. PERUPUK - PULAU BAYUR</v>
      </c>
      <c r="E1787" s="553"/>
      <c r="F1787" s="421"/>
      <c r="G1787" s="611"/>
      <c r="I1787" s="423"/>
      <c r="J1787" s="424"/>
      <c r="K1787" s="424"/>
      <c r="M1787" s="680"/>
      <c r="P1787" s="611"/>
      <c r="U1787" s="611"/>
      <c r="W1787" s="611"/>
      <c r="Y1787" s="425"/>
      <c r="Z1787" s="425"/>
      <c r="AA1787" s="425"/>
      <c r="AB1787" s="425"/>
      <c r="AC1787" s="425"/>
      <c r="AD1787" s="563"/>
      <c r="AE1787" s="425"/>
      <c r="AF1787" s="563"/>
      <c r="AG1787" s="425"/>
      <c r="AH1787" s="425"/>
      <c r="AI1787" s="425"/>
      <c r="AJ1787" s="425"/>
      <c r="AK1787" s="425"/>
      <c r="AL1787" s="425"/>
      <c r="AM1787" s="425"/>
      <c r="AN1787" s="425"/>
      <c r="AO1787" s="425"/>
      <c r="AP1787" s="425"/>
      <c r="AQ1787" s="425"/>
      <c r="AR1787" s="425"/>
      <c r="AS1787" s="425"/>
      <c r="AT1787" s="425"/>
      <c r="AU1787" s="425"/>
      <c r="AV1787" s="425"/>
      <c r="AW1787" s="425"/>
      <c r="AX1787" s="425"/>
      <c r="AY1787" s="425"/>
      <c r="AZ1787" s="425"/>
      <c r="BA1787" s="425"/>
      <c r="BB1787" s="425"/>
    </row>
    <row r="1788" spans="1:59" s="431" customFormat="1" ht="18" customHeight="1" x14ac:dyDescent="0.2">
      <c r="A1788" s="1367"/>
      <c r="B1788" s="1968" t="s">
        <v>5</v>
      </c>
      <c r="C1788" s="1968" t="s">
        <v>2280</v>
      </c>
      <c r="D1788" s="1968" t="s">
        <v>4157</v>
      </c>
      <c r="E1788" s="1968" t="s">
        <v>4158</v>
      </c>
      <c r="F1788" s="1968"/>
      <c r="G1788" s="1969" t="s">
        <v>4159</v>
      </c>
      <c r="H1788" s="1968" t="s">
        <v>4160</v>
      </c>
      <c r="I1788" s="1968"/>
      <c r="J1788" s="1968" t="s">
        <v>4185</v>
      </c>
      <c r="K1788" s="1964" t="s">
        <v>4162</v>
      </c>
      <c r="L1788" s="1968" t="s">
        <v>4163</v>
      </c>
      <c r="M1788" s="1971" t="s">
        <v>4164</v>
      </c>
      <c r="N1788" s="1962" t="s">
        <v>4165</v>
      </c>
      <c r="O1788" s="1968" t="s">
        <v>4166</v>
      </c>
      <c r="P1788" s="1972" t="s">
        <v>4167</v>
      </c>
      <c r="Q1788" s="1973"/>
      <c r="R1788" s="636" t="s">
        <v>4186</v>
      </c>
      <c r="S1788" s="1972" t="s">
        <v>4169</v>
      </c>
      <c r="T1788" s="1974"/>
      <c r="U1788" s="1973"/>
      <c r="V1788" s="1975" t="s">
        <v>4170</v>
      </c>
      <c r="W1788" s="1975"/>
      <c r="X1788" s="1960" t="s">
        <v>4171</v>
      </c>
      <c r="Y1788" s="1959"/>
      <c r="Z1788" s="633"/>
      <c r="AA1788" s="426"/>
      <c r="AB1788" s="426"/>
      <c r="AC1788" s="426"/>
      <c r="AD1788" s="564"/>
      <c r="AE1788" s="426"/>
      <c r="AF1788" s="564"/>
      <c r="AG1788" s="426"/>
      <c r="AH1788" s="426"/>
      <c r="AI1788" s="427"/>
      <c r="AJ1788" s="427"/>
      <c r="AK1788" s="427"/>
      <c r="AL1788" s="427"/>
      <c r="AM1788" s="428"/>
      <c r="AN1788" s="427"/>
      <c r="AO1788" s="427"/>
      <c r="AP1788" s="426"/>
      <c r="AQ1788" s="427"/>
      <c r="AR1788" s="427"/>
      <c r="AS1788" s="427"/>
      <c r="AT1788" s="426"/>
      <c r="AU1788" s="427"/>
      <c r="AV1788" s="427"/>
      <c r="AW1788" s="427"/>
      <c r="AX1788" s="426"/>
      <c r="AY1788" s="427"/>
      <c r="AZ1788" s="427"/>
      <c r="BA1788" s="427"/>
      <c r="BB1788" s="429"/>
      <c r="BC1788" s="430"/>
      <c r="BD1788" s="430"/>
    </row>
    <row r="1789" spans="1:59" s="431" customFormat="1" ht="18" customHeight="1" x14ac:dyDescent="0.2">
      <c r="A1789" s="1367"/>
      <c r="B1789" s="1968"/>
      <c r="C1789" s="1968"/>
      <c r="D1789" s="1968"/>
      <c r="E1789" s="1968"/>
      <c r="F1789" s="1968"/>
      <c r="G1789" s="1969"/>
      <c r="H1789" s="1968"/>
      <c r="I1789" s="1968"/>
      <c r="J1789" s="1968"/>
      <c r="K1789" s="1970"/>
      <c r="L1789" s="1968"/>
      <c r="M1789" s="1971"/>
      <c r="N1789" s="1963"/>
      <c r="O1789" s="1968"/>
      <c r="P1789" s="2037" t="s">
        <v>4172</v>
      </c>
      <c r="Q1789" s="1960" t="s">
        <v>4173</v>
      </c>
      <c r="R1789" s="1962" t="s">
        <v>4159</v>
      </c>
      <c r="S1789" s="1962" t="s">
        <v>4174</v>
      </c>
      <c r="T1789" s="1964" t="s">
        <v>4175</v>
      </c>
      <c r="U1789" s="1966" t="s">
        <v>4159</v>
      </c>
      <c r="V1789" s="1975"/>
      <c r="W1789" s="1975"/>
      <c r="X1789" s="1976"/>
      <c r="Y1789" s="1959"/>
      <c r="Z1789" s="633"/>
      <c r="AA1789" s="426"/>
      <c r="AB1789" s="426"/>
      <c r="AC1789" s="426"/>
      <c r="AD1789" s="564"/>
      <c r="AE1789" s="426"/>
      <c r="AF1789" s="564"/>
      <c r="AG1789" s="426"/>
      <c r="AH1789" s="426"/>
      <c r="AI1789" s="427"/>
      <c r="AJ1789" s="427"/>
      <c r="AK1789" s="426"/>
      <c r="AL1789" s="427"/>
      <c r="AM1789" s="428"/>
      <c r="AN1789" s="427"/>
      <c r="AO1789" s="427"/>
      <c r="AP1789" s="432"/>
      <c r="AQ1789" s="427"/>
      <c r="AR1789" s="427"/>
      <c r="AS1789" s="427"/>
      <c r="AT1789" s="432"/>
      <c r="AU1789" s="427"/>
      <c r="AV1789" s="427"/>
      <c r="AW1789" s="427"/>
      <c r="AX1789" s="432"/>
      <c r="AY1789" s="427"/>
      <c r="AZ1789" s="427"/>
      <c r="BA1789" s="427"/>
      <c r="BB1789" s="429"/>
      <c r="BC1789" s="430"/>
      <c r="BD1789" s="430"/>
    </row>
    <row r="1790" spans="1:59" s="431" customFormat="1" ht="18" customHeight="1" x14ac:dyDescent="0.2">
      <c r="A1790" s="1367"/>
      <c r="B1790" s="1968"/>
      <c r="C1790" s="1968"/>
      <c r="D1790" s="1968"/>
      <c r="E1790" s="433" t="s">
        <v>4176</v>
      </c>
      <c r="F1790" s="434" t="s">
        <v>2288</v>
      </c>
      <c r="G1790" s="1969"/>
      <c r="H1790" s="635" t="s">
        <v>2288</v>
      </c>
      <c r="I1790" s="635" t="s">
        <v>4177</v>
      </c>
      <c r="J1790" s="1968"/>
      <c r="K1790" s="1965"/>
      <c r="L1790" s="435" t="s">
        <v>2288</v>
      </c>
      <c r="M1790" s="681" t="s">
        <v>2288</v>
      </c>
      <c r="N1790" s="635" t="s">
        <v>2288</v>
      </c>
      <c r="O1790" s="1968"/>
      <c r="P1790" s="2038"/>
      <c r="Q1790" s="1961"/>
      <c r="R1790" s="1963"/>
      <c r="S1790" s="1963"/>
      <c r="T1790" s="1965"/>
      <c r="U1790" s="1967"/>
      <c r="V1790" s="635" t="s">
        <v>4178</v>
      </c>
      <c r="W1790" s="637" t="s">
        <v>4159</v>
      </c>
      <c r="X1790" s="1961"/>
      <c r="Y1790" s="436"/>
      <c r="Z1790" s="436"/>
      <c r="AA1790" s="426"/>
      <c r="AB1790" s="426"/>
      <c r="AC1790" s="426"/>
      <c r="AD1790" s="564"/>
      <c r="AE1790" s="426"/>
      <c r="AF1790" s="564"/>
      <c r="AG1790" s="426"/>
      <c r="AH1790" s="426"/>
      <c r="AI1790" s="427"/>
      <c r="AJ1790" s="432"/>
      <c r="AK1790" s="432"/>
      <c r="AL1790" s="427"/>
      <c r="AM1790" s="428"/>
      <c r="AN1790" s="432"/>
      <c r="AO1790" s="427"/>
      <c r="AP1790" s="432"/>
      <c r="AQ1790" s="432"/>
      <c r="AR1790" s="427"/>
      <c r="AS1790" s="427"/>
      <c r="AT1790" s="432"/>
      <c r="AU1790" s="432"/>
      <c r="AV1790" s="427"/>
      <c r="AW1790" s="427"/>
      <c r="AX1790" s="432"/>
      <c r="AY1790" s="432"/>
      <c r="AZ1790" s="427"/>
      <c r="BA1790" s="427"/>
      <c r="BB1790" s="429"/>
      <c r="BC1790" s="430"/>
      <c r="BD1790" s="430"/>
    </row>
    <row r="1791" spans="1:59" s="461" customFormat="1" ht="18" customHeight="1" x14ac:dyDescent="0.2">
      <c r="A1791" s="1368" t="str">
        <f>$D$1787&amp;S1791</f>
        <v>SEI. PERUPUK - PULAU BAYUR2001</v>
      </c>
      <c r="B1791" s="1373">
        <v>1</v>
      </c>
      <c r="C1791" s="532" t="s">
        <v>529</v>
      </c>
      <c r="D1791" s="437" t="s">
        <v>3821</v>
      </c>
      <c r="E1791" s="438"/>
      <c r="F1791" s="439">
        <v>2001</v>
      </c>
      <c r="G1791" s="623">
        <v>1215000000</v>
      </c>
      <c r="H1791" s="440">
        <f>VLOOKUP(LEFT(D1791,8),UE,4)</f>
        <v>10</v>
      </c>
      <c r="I1791" s="441"/>
      <c r="J1791" s="442">
        <f>F1791+N1791-1</f>
        <v>2010</v>
      </c>
      <c r="K1791" s="443"/>
      <c r="L1791" s="440"/>
      <c r="M1791" s="746">
        <f>IF(H1791+L1791&gt;$H1791,$H1791-H1791,L1791)</f>
        <v>0</v>
      </c>
      <c r="N1791" s="444">
        <f>H1791+M1791</f>
        <v>10</v>
      </c>
      <c r="O1791" s="442">
        <f>F1791+N1791-1</f>
        <v>2010</v>
      </c>
      <c r="P1791" s="617">
        <f>G1791</f>
        <v>1215000000</v>
      </c>
      <c r="Q1791" s="445">
        <v>0</v>
      </c>
      <c r="R1791" s="445">
        <f>P1791/N1791</f>
        <v>121500000</v>
      </c>
      <c r="S1791" s="446">
        <f>F1791</f>
        <v>2001</v>
      </c>
      <c r="T1791" s="447">
        <v>1</v>
      </c>
      <c r="U1791" s="613">
        <f>R1791*T1791</f>
        <v>121500000</v>
      </c>
      <c r="V1791" s="442">
        <f>F1791</f>
        <v>2001</v>
      </c>
      <c r="W1791" s="617">
        <f>IF(OR(AND(ISBLANK(E1791),ISBLANK(G1791)),ISTEXT(E1791),ISTEXT(G1791)),"",G1791-R1791)</f>
        <v>1093500000</v>
      </c>
      <c r="X1791" s="448"/>
      <c r="Y1791" s="449"/>
      <c r="Z1791" s="449"/>
      <c r="AA1791" s="452"/>
      <c r="AB1791" s="452"/>
      <c r="AC1791" s="452"/>
      <c r="AD1791" s="571"/>
      <c r="AE1791" s="452"/>
      <c r="AF1791" s="571"/>
      <c r="AG1791" s="452"/>
      <c r="AH1791" s="452"/>
      <c r="AI1791" s="453"/>
      <c r="AJ1791" s="449"/>
      <c r="AK1791" s="453"/>
      <c r="AL1791" s="454"/>
      <c r="AM1791" s="455"/>
      <c r="AN1791" s="456"/>
      <c r="AO1791" s="455"/>
      <c r="AP1791" s="452"/>
      <c r="AQ1791" s="457"/>
      <c r="AR1791" s="449"/>
      <c r="AS1791" s="449"/>
      <c r="AT1791" s="452"/>
      <c r="AU1791" s="457"/>
      <c r="AV1791" s="449"/>
      <c r="AW1791" s="458"/>
      <c r="AX1791" s="452"/>
      <c r="AY1791" s="457"/>
      <c r="AZ1791" s="449"/>
      <c r="BA1791" s="459"/>
      <c r="BB1791" s="455"/>
      <c r="BC1791" s="460"/>
      <c r="BD1791" s="460"/>
      <c r="BG1791" s="462"/>
    </row>
    <row r="1792" spans="1:59" s="461" customFormat="1" ht="18" customHeight="1" x14ac:dyDescent="0.2">
      <c r="A1792" s="1368" t="str">
        <f t="shared" ref="A1792:A1800" si="1345">$D$1787&amp;S1792</f>
        <v>SEI. PERUPUK - PULAU BAYUR2005</v>
      </c>
      <c r="B1792" s="1373"/>
      <c r="C1792" s="488"/>
      <c r="D1792" s="489"/>
      <c r="E1792" s="558"/>
      <c r="F1792" s="559">
        <v>2005</v>
      </c>
      <c r="G1792" s="619">
        <v>0</v>
      </c>
      <c r="H1792" s="464">
        <f>IF(N1791-(F1792-F1791)&lt;=0,0,(N1791-(F1792-F1791)))</f>
        <v>6</v>
      </c>
      <c r="I1792" s="560"/>
      <c r="J1792" s="468">
        <f>F1792+N1792-1</f>
        <v>2010</v>
      </c>
      <c r="K1792" s="490">
        <f>IF(G1792=0,0,IF(H1792=10,100%,G1792/W1791))</f>
        <v>0</v>
      </c>
      <c r="L1792" s="469">
        <f>IF(K1792=0%,0,IF(K1792&lt;=30%,2,IF(K1792&lt;=60%,5,10)))</f>
        <v>0</v>
      </c>
      <c r="M1792" s="683">
        <f>IF(OR(AND(ISBLANK(E1792),ISBLANK(G1792)),ISTEXT(E1792),ISTEXT(G1792)),"",IF(H1792+L1792&gt;$H$8,$H$8-H1792,L1792))</f>
        <v>0</v>
      </c>
      <c r="N1792" s="470">
        <f>IF(OR(AND(ISBLANK(F1792),ISBLANK(G1792)),ISTEXT(F1792),ISTEXT(G1792)),"",H1792+M1792)</f>
        <v>6</v>
      </c>
      <c r="O1792" s="468">
        <f>F1792+N1792-1</f>
        <v>2010</v>
      </c>
      <c r="P1792" s="616">
        <f>W1791</f>
        <v>1093500000</v>
      </c>
      <c r="Q1792" s="472">
        <f>P1792+G1792</f>
        <v>1093500000</v>
      </c>
      <c r="R1792" s="472">
        <f>IF(L1792=0,R1791,Q1792/N1792)</f>
        <v>121500000</v>
      </c>
      <c r="S1792" s="634">
        <f>F1792</f>
        <v>2005</v>
      </c>
      <c r="T1792" s="470">
        <f>S1792-S1791</f>
        <v>4</v>
      </c>
      <c r="U1792" s="612">
        <f>R1792*T1792</f>
        <v>486000000</v>
      </c>
      <c r="V1792" s="464">
        <f>F1792</f>
        <v>2005</v>
      </c>
      <c r="W1792" s="612">
        <f>IF(OR(AND(ISBLANK(E1792),ISBLANK(G1792)),ISTEXT(E1792),ISTEXT(G1792)),"",Q1792-U1792)</f>
        <v>607500000</v>
      </c>
      <c r="X1792" s="561"/>
      <c r="Y1792" s="449"/>
      <c r="Z1792" s="449"/>
      <c r="AA1792" s="694"/>
      <c r="AB1792" s="692"/>
      <c r="AC1792" s="692"/>
      <c r="AD1792" s="695"/>
      <c r="AE1792" s="452"/>
      <c r="AF1792" s="571"/>
      <c r="AG1792" s="452"/>
      <c r="AH1792" s="452"/>
      <c r="AI1792" s="453"/>
      <c r="AJ1792" s="449"/>
      <c r="AK1792" s="453"/>
      <c r="AL1792" s="454"/>
      <c r="AM1792" s="455"/>
      <c r="AN1792" s="456"/>
      <c r="AO1792" s="455"/>
      <c r="AP1792" s="452"/>
      <c r="AQ1792" s="457"/>
      <c r="AR1792" s="449"/>
      <c r="AS1792" s="449"/>
      <c r="AT1792" s="452"/>
      <c r="AU1792" s="457"/>
      <c r="AV1792" s="449"/>
      <c r="AW1792" s="458"/>
      <c r="AX1792" s="452"/>
      <c r="AY1792" s="457"/>
      <c r="AZ1792" s="449"/>
      <c r="BA1792" s="459"/>
      <c r="BB1792" s="455"/>
      <c r="BC1792" s="460"/>
      <c r="BD1792" s="460"/>
      <c r="BG1792" s="462"/>
    </row>
    <row r="1793" spans="1:59" s="461" customFormat="1" ht="18" customHeight="1" x14ac:dyDescent="0.2">
      <c r="A1793" s="1368" t="str">
        <f t="shared" si="1345"/>
        <v>SEI. PERUPUK - PULAU BAYUR2006</v>
      </c>
      <c r="B1793" s="1375"/>
      <c r="C1793" s="488"/>
      <c r="D1793" s="489"/>
      <c r="E1793" s="558"/>
      <c r="F1793" s="559">
        <v>2006</v>
      </c>
      <c r="G1793" s="619">
        <v>0</v>
      </c>
      <c r="H1793" s="464">
        <f t="shared" ref="H1793:H1806" si="1346">IF(N1792-(F1793-F1792)&lt;=0,0,(N1792-(F1793-F1792)))</f>
        <v>5</v>
      </c>
      <c r="I1793" s="560"/>
      <c r="J1793" s="468">
        <f t="shared" ref="J1793:J1806" si="1347">F1793+N1793-1</f>
        <v>2010</v>
      </c>
      <c r="K1793" s="490">
        <f t="shared" ref="K1793:K1806" si="1348">IF(G1793=0,0,IF(H1793=10,100%,G1793/W1792))</f>
        <v>0</v>
      </c>
      <c r="L1793" s="469">
        <f t="shared" ref="L1793:L1806" si="1349">IF(K1793=0%,0,IF(K1793&lt;=30%,2,IF(K1793&lt;=60%,5,10)))</f>
        <v>0</v>
      </c>
      <c r="M1793" s="683">
        <f t="shared" ref="M1793:M1806" si="1350">IF(OR(AND(ISBLANK(E1793),ISBLANK(G1793)),ISTEXT(E1793),ISTEXT(G1793)),"",IF(H1793+L1793&gt;$H$8,$H$8-H1793,L1793))</f>
        <v>0</v>
      </c>
      <c r="N1793" s="470">
        <f t="shared" ref="N1793:N1806" si="1351">IF(OR(AND(ISBLANK(F1793),ISBLANK(G1793)),ISTEXT(F1793),ISTEXT(G1793)),"",H1793+M1793)</f>
        <v>5</v>
      </c>
      <c r="O1793" s="468">
        <f t="shared" ref="O1793:O1806" si="1352">F1793+N1793-1</f>
        <v>2010</v>
      </c>
      <c r="P1793" s="616">
        <f t="shared" ref="P1793:P1806" si="1353">W1792</f>
        <v>607500000</v>
      </c>
      <c r="Q1793" s="472">
        <f t="shared" ref="Q1793:Q1806" si="1354">P1793+G1793</f>
        <v>607500000</v>
      </c>
      <c r="R1793" s="472">
        <f t="shared" ref="R1793:R1806" si="1355">IF(L1793=0,R1792,Q1793/N1793)</f>
        <v>121500000</v>
      </c>
      <c r="S1793" s="1189">
        <f t="shared" ref="S1793:S1806" si="1356">F1793</f>
        <v>2006</v>
      </c>
      <c r="T1793" s="470">
        <f t="shared" ref="T1793:T1806" si="1357">S1793-S1792</f>
        <v>1</v>
      </c>
      <c r="U1793" s="612">
        <f t="shared" ref="U1793:U1806" si="1358">R1793*T1793</f>
        <v>121500000</v>
      </c>
      <c r="V1793" s="464">
        <f t="shared" ref="V1793:V1806" si="1359">F1793</f>
        <v>2006</v>
      </c>
      <c r="W1793" s="612">
        <f t="shared" ref="W1793:W1806" si="1360">IF(OR(AND(ISBLANK(E1793),ISBLANK(G1793)),ISTEXT(E1793),ISTEXT(G1793)),"",Q1793-U1793)</f>
        <v>486000000</v>
      </c>
      <c r="X1793" s="561"/>
      <c r="Y1793" s="449"/>
      <c r="Z1793" s="449"/>
      <c r="AA1793" s="693"/>
      <c r="AB1793" s="452"/>
      <c r="AC1793" s="452"/>
      <c r="AD1793" s="571"/>
      <c r="AE1793" s="452"/>
      <c r="AF1793" s="571"/>
      <c r="AG1793" s="452"/>
      <c r="AH1793" s="452"/>
      <c r="AI1793" s="453"/>
      <c r="AJ1793" s="449"/>
      <c r="AK1793" s="453"/>
      <c r="AL1793" s="454"/>
      <c r="AM1793" s="455"/>
      <c r="AN1793" s="456"/>
      <c r="AO1793" s="455"/>
      <c r="AP1793" s="452"/>
      <c r="AQ1793" s="457"/>
      <c r="AR1793" s="449"/>
      <c r="AS1793" s="449"/>
      <c r="AT1793" s="452"/>
      <c r="AU1793" s="457"/>
      <c r="AV1793" s="449"/>
      <c r="AW1793" s="458"/>
      <c r="AX1793" s="452"/>
      <c r="AY1793" s="457"/>
      <c r="AZ1793" s="449"/>
      <c r="BA1793" s="459"/>
      <c r="BB1793" s="455"/>
      <c r="BC1793" s="460"/>
      <c r="BD1793" s="460"/>
      <c r="BG1793" s="462"/>
    </row>
    <row r="1794" spans="1:59" s="461" customFormat="1" ht="18" customHeight="1" x14ac:dyDescent="0.2">
      <c r="A1794" s="1368" t="str">
        <f t="shared" si="1345"/>
        <v>SEI. PERUPUK - PULAU BAYUR2007</v>
      </c>
      <c r="B1794" s="1373">
        <v>2</v>
      </c>
      <c r="C1794" s="488" t="s">
        <v>1199</v>
      </c>
      <c r="D1794" s="489"/>
      <c r="E1794" s="558"/>
      <c r="F1794" s="559">
        <v>2007</v>
      </c>
      <c r="G1794" s="619">
        <v>4984557066.1999998</v>
      </c>
      <c r="H1794" s="464">
        <f t="shared" si="1346"/>
        <v>4</v>
      </c>
      <c r="I1794" s="560"/>
      <c r="J1794" s="468">
        <f t="shared" si="1347"/>
        <v>2016</v>
      </c>
      <c r="K1794" s="490">
        <f t="shared" si="1348"/>
        <v>10.256290259670781</v>
      </c>
      <c r="L1794" s="469">
        <f t="shared" si="1349"/>
        <v>10</v>
      </c>
      <c r="M1794" s="683">
        <f t="shared" si="1350"/>
        <v>6</v>
      </c>
      <c r="N1794" s="470">
        <f t="shared" si="1351"/>
        <v>10</v>
      </c>
      <c r="O1794" s="468">
        <f t="shared" si="1352"/>
        <v>2016</v>
      </c>
      <c r="P1794" s="616">
        <f t="shared" si="1353"/>
        <v>486000000</v>
      </c>
      <c r="Q1794" s="472">
        <f t="shared" si="1354"/>
        <v>5470557066.1999998</v>
      </c>
      <c r="R1794" s="472">
        <f t="shared" si="1355"/>
        <v>547055706.62</v>
      </c>
      <c r="S1794" s="1189">
        <f t="shared" si="1356"/>
        <v>2007</v>
      </c>
      <c r="T1794" s="470">
        <f t="shared" si="1357"/>
        <v>1</v>
      </c>
      <c r="U1794" s="612">
        <f t="shared" si="1358"/>
        <v>547055706.62</v>
      </c>
      <c r="V1794" s="464">
        <f t="shared" si="1359"/>
        <v>2007</v>
      </c>
      <c r="W1794" s="612">
        <f t="shared" si="1360"/>
        <v>4923501359.5799999</v>
      </c>
      <c r="X1794" s="561"/>
      <c r="Y1794" s="449"/>
      <c r="Z1794" s="449"/>
      <c r="AA1794" s="554" t="s">
        <v>4179</v>
      </c>
      <c r="AB1794" s="452"/>
      <c r="AC1794" s="452"/>
      <c r="AD1794" s="566"/>
      <c r="AE1794" s="452"/>
      <c r="AF1794" s="571"/>
      <c r="AG1794" s="452"/>
      <c r="AH1794" s="452"/>
      <c r="AI1794" s="453"/>
      <c r="AJ1794" s="449"/>
      <c r="AK1794" s="453"/>
      <c r="AL1794" s="454"/>
      <c r="AM1794" s="455"/>
      <c r="AN1794" s="456"/>
      <c r="AO1794" s="455"/>
      <c r="AP1794" s="452"/>
      <c r="AQ1794" s="457"/>
      <c r="AR1794" s="449"/>
      <c r="AS1794" s="449"/>
      <c r="AT1794" s="452"/>
      <c r="AU1794" s="457"/>
      <c r="AV1794" s="449"/>
      <c r="AW1794" s="458"/>
      <c r="AX1794" s="452"/>
      <c r="AY1794" s="457"/>
      <c r="AZ1794" s="449"/>
      <c r="BA1794" s="459"/>
      <c r="BB1794" s="455"/>
      <c r="BC1794" s="460"/>
      <c r="BD1794" s="460"/>
      <c r="BG1794" s="462"/>
    </row>
    <row r="1795" spans="1:59" s="461" customFormat="1" ht="18" customHeight="1" x14ac:dyDescent="0.2">
      <c r="A1795" s="1368" t="str">
        <f t="shared" si="1345"/>
        <v>SEI. PERUPUK - PULAU BAYUR2008</v>
      </c>
      <c r="B1795" s="1375"/>
      <c r="C1795" s="488"/>
      <c r="D1795" s="489"/>
      <c r="E1795" s="558"/>
      <c r="F1795" s="559">
        <v>2008</v>
      </c>
      <c r="G1795" s="619">
        <v>0</v>
      </c>
      <c r="H1795" s="464">
        <f t="shared" si="1346"/>
        <v>9</v>
      </c>
      <c r="I1795" s="560"/>
      <c r="J1795" s="468">
        <f t="shared" si="1347"/>
        <v>2016</v>
      </c>
      <c r="K1795" s="490">
        <f t="shared" si="1348"/>
        <v>0</v>
      </c>
      <c r="L1795" s="469">
        <f t="shared" si="1349"/>
        <v>0</v>
      </c>
      <c r="M1795" s="683">
        <f t="shared" si="1350"/>
        <v>0</v>
      </c>
      <c r="N1795" s="470">
        <f t="shared" si="1351"/>
        <v>9</v>
      </c>
      <c r="O1795" s="468">
        <f t="shared" si="1352"/>
        <v>2016</v>
      </c>
      <c r="P1795" s="616">
        <f t="shared" si="1353"/>
        <v>4923501359.5799999</v>
      </c>
      <c r="Q1795" s="472">
        <f t="shared" si="1354"/>
        <v>4923501359.5799999</v>
      </c>
      <c r="R1795" s="472">
        <f t="shared" si="1355"/>
        <v>547055706.62</v>
      </c>
      <c r="S1795" s="1189">
        <f t="shared" si="1356"/>
        <v>2008</v>
      </c>
      <c r="T1795" s="470">
        <f t="shared" si="1357"/>
        <v>1</v>
      </c>
      <c r="U1795" s="612">
        <f t="shared" si="1358"/>
        <v>547055706.62</v>
      </c>
      <c r="V1795" s="464">
        <f t="shared" si="1359"/>
        <v>2008</v>
      </c>
      <c r="W1795" s="612">
        <f t="shared" si="1360"/>
        <v>4376445652.96</v>
      </c>
      <c r="X1795" s="561"/>
      <c r="Y1795" s="449"/>
      <c r="Z1795" s="449"/>
      <c r="AA1795" s="554"/>
      <c r="AB1795" s="452"/>
      <c r="AC1795" s="452"/>
      <c r="AD1795" s="566"/>
      <c r="AE1795" s="452"/>
      <c r="AF1795" s="571"/>
      <c r="AG1795" s="452"/>
      <c r="AH1795" s="452"/>
      <c r="AI1795" s="453"/>
      <c r="AJ1795" s="449"/>
      <c r="AK1795" s="453"/>
      <c r="AL1795" s="454"/>
      <c r="AM1795" s="455"/>
      <c r="AN1795" s="456"/>
      <c r="AO1795" s="455"/>
      <c r="AP1795" s="452"/>
      <c r="AQ1795" s="457"/>
      <c r="AR1795" s="449"/>
      <c r="AS1795" s="449"/>
      <c r="AT1795" s="452"/>
      <c r="AU1795" s="457"/>
      <c r="AV1795" s="449"/>
      <c r="AW1795" s="458"/>
      <c r="AX1795" s="452"/>
      <c r="AY1795" s="457"/>
      <c r="AZ1795" s="449"/>
      <c r="BA1795" s="459"/>
      <c r="BB1795" s="455"/>
      <c r="BC1795" s="460"/>
      <c r="BD1795" s="460"/>
      <c r="BG1795" s="462"/>
    </row>
    <row r="1796" spans="1:59" s="461" customFormat="1" ht="18" customHeight="1" x14ac:dyDescent="0.2">
      <c r="A1796" s="1368" t="str">
        <f t="shared" si="1345"/>
        <v>SEI. PERUPUK - PULAU BAYUR2009</v>
      </c>
      <c r="B1796" s="1375"/>
      <c r="C1796" s="488"/>
      <c r="D1796" s="489"/>
      <c r="E1796" s="558"/>
      <c r="F1796" s="559">
        <v>2009</v>
      </c>
      <c r="G1796" s="619">
        <v>0</v>
      </c>
      <c r="H1796" s="464">
        <f t="shared" si="1346"/>
        <v>8</v>
      </c>
      <c r="I1796" s="560"/>
      <c r="J1796" s="468">
        <f t="shared" si="1347"/>
        <v>2016</v>
      </c>
      <c r="K1796" s="490">
        <f t="shared" si="1348"/>
        <v>0</v>
      </c>
      <c r="L1796" s="469">
        <f t="shared" si="1349"/>
        <v>0</v>
      </c>
      <c r="M1796" s="683">
        <f t="shared" si="1350"/>
        <v>0</v>
      </c>
      <c r="N1796" s="470">
        <f t="shared" si="1351"/>
        <v>8</v>
      </c>
      <c r="O1796" s="468">
        <f t="shared" si="1352"/>
        <v>2016</v>
      </c>
      <c r="P1796" s="616">
        <f t="shared" si="1353"/>
        <v>4376445652.96</v>
      </c>
      <c r="Q1796" s="472">
        <f t="shared" si="1354"/>
        <v>4376445652.96</v>
      </c>
      <c r="R1796" s="472">
        <f t="shared" si="1355"/>
        <v>547055706.62</v>
      </c>
      <c r="S1796" s="1189">
        <f t="shared" si="1356"/>
        <v>2009</v>
      </c>
      <c r="T1796" s="470">
        <f t="shared" si="1357"/>
        <v>1</v>
      </c>
      <c r="U1796" s="612">
        <f t="shared" si="1358"/>
        <v>547055706.62</v>
      </c>
      <c r="V1796" s="464">
        <f t="shared" si="1359"/>
        <v>2009</v>
      </c>
      <c r="W1796" s="612">
        <f t="shared" si="1360"/>
        <v>3829389946.3400002</v>
      </c>
      <c r="X1796" s="561"/>
      <c r="Y1796" s="449"/>
      <c r="Z1796" s="449"/>
      <c r="AA1796" s="554"/>
      <c r="AB1796" s="452"/>
      <c r="AC1796" s="452"/>
      <c r="AD1796" s="566"/>
      <c r="AE1796" s="452"/>
      <c r="AF1796" s="571"/>
      <c r="AG1796" s="452"/>
      <c r="AH1796" s="452"/>
      <c r="AI1796" s="453"/>
      <c r="AJ1796" s="449"/>
      <c r="AK1796" s="453"/>
      <c r="AL1796" s="454"/>
      <c r="AM1796" s="455"/>
      <c r="AN1796" s="456"/>
      <c r="AO1796" s="455"/>
      <c r="AP1796" s="452"/>
      <c r="AQ1796" s="457"/>
      <c r="AR1796" s="449"/>
      <c r="AS1796" s="449"/>
      <c r="AT1796" s="452"/>
      <c r="AU1796" s="457"/>
      <c r="AV1796" s="449"/>
      <c r="AW1796" s="458"/>
      <c r="AX1796" s="452"/>
      <c r="AY1796" s="457"/>
      <c r="AZ1796" s="449"/>
      <c r="BA1796" s="459"/>
      <c r="BB1796" s="455"/>
      <c r="BC1796" s="460"/>
      <c r="BD1796" s="460"/>
      <c r="BG1796" s="462"/>
    </row>
    <row r="1797" spans="1:59" s="461" customFormat="1" ht="18" customHeight="1" x14ac:dyDescent="0.2">
      <c r="A1797" s="1368" t="str">
        <f t="shared" si="1345"/>
        <v>SEI. PERUPUK - PULAU BAYUR2010</v>
      </c>
      <c r="B1797" s="1373"/>
      <c r="C1797" s="488"/>
      <c r="D1797" s="489"/>
      <c r="E1797" s="558"/>
      <c r="F1797" s="559">
        <v>2010</v>
      </c>
      <c r="G1797" s="619">
        <v>0</v>
      </c>
      <c r="H1797" s="464">
        <f t="shared" si="1346"/>
        <v>7</v>
      </c>
      <c r="I1797" s="560"/>
      <c r="J1797" s="468">
        <f t="shared" si="1347"/>
        <v>2016</v>
      </c>
      <c r="K1797" s="490">
        <f t="shared" si="1348"/>
        <v>0</v>
      </c>
      <c r="L1797" s="469">
        <f t="shared" si="1349"/>
        <v>0</v>
      </c>
      <c r="M1797" s="683">
        <f t="shared" si="1350"/>
        <v>0</v>
      </c>
      <c r="N1797" s="470">
        <f t="shared" si="1351"/>
        <v>7</v>
      </c>
      <c r="O1797" s="468">
        <f t="shared" si="1352"/>
        <v>2016</v>
      </c>
      <c r="P1797" s="616">
        <f t="shared" si="1353"/>
        <v>3829389946.3400002</v>
      </c>
      <c r="Q1797" s="472">
        <f t="shared" si="1354"/>
        <v>3829389946.3400002</v>
      </c>
      <c r="R1797" s="472">
        <f t="shared" si="1355"/>
        <v>547055706.62</v>
      </c>
      <c r="S1797" s="1189">
        <f t="shared" si="1356"/>
        <v>2010</v>
      </c>
      <c r="T1797" s="470">
        <f t="shared" si="1357"/>
        <v>1</v>
      </c>
      <c r="U1797" s="612">
        <f t="shared" si="1358"/>
        <v>547055706.62</v>
      </c>
      <c r="V1797" s="464">
        <f t="shared" si="1359"/>
        <v>2010</v>
      </c>
      <c r="W1797" s="612">
        <f t="shared" si="1360"/>
        <v>3282334239.7200003</v>
      </c>
      <c r="X1797" s="561"/>
      <c r="Y1797" s="449"/>
      <c r="Z1797" s="449"/>
      <c r="AA1797" s="554"/>
      <c r="AB1797" s="452"/>
      <c r="AC1797" s="452"/>
      <c r="AD1797" s="566"/>
      <c r="AE1797" s="452"/>
      <c r="AF1797" s="571"/>
      <c r="AG1797" s="452"/>
      <c r="AH1797" s="452"/>
      <c r="AI1797" s="453"/>
      <c r="AJ1797" s="449"/>
      <c r="AK1797" s="453"/>
      <c r="AL1797" s="454"/>
      <c r="AM1797" s="455"/>
      <c r="AN1797" s="456"/>
      <c r="AO1797" s="455"/>
      <c r="AP1797" s="452"/>
      <c r="AQ1797" s="457"/>
      <c r="AR1797" s="449"/>
      <c r="AS1797" s="449"/>
      <c r="AT1797" s="452"/>
      <c r="AU1797" s="457"/>
      <c r="AV1797" s="449"/>
      <c r="AW1797" s="458"/>
      <c r="AX1797" s="452"/>
      <c r="AY1797" s="457"/>
      <c r="AZ1797" s="449"/>
      <c r="BA1797" s="459"/>
      <c r="BB1797" s="455"/>
      <c r="BC1797" s="460"/>
      <c r="BD1797" s="460"/>
      <c r="BG1797" s="462"/>
    </row>
    <row r="1798" spans="1:59" s="461" customFormat="1" ht="18" customHeight="1" x14ac:dyDescent="0.2">
      <c r="A1798" s="1368" t="str">
        <f t="shared" si="1345"/>
        <v>SEI. PERUPUK - PULAU BAYUR2011</v>
      </c>
      <c r="B1798" s="1375"/>
      <c r="C1798" s="488"/>
      <c r="D1798" s="489"/>
      <c r="E1798" s="558"/>
      <c r="F1798" s="559">
        <v>2011</v>
      </c>
      <c r="G1798" s="619">
        <v>0</v>
      </c>
      <c r="H1798" s="464">
        <f t="shared" si="1346"/>
        <v>6</v>
      </c>
      <c r="I1798" s="560"/>
      <c r="J1798" s="468">
        <f t="shared" si="1347"/>
        <v>2016</v>
      </c>
      <c r="K1798" s="490">
        <f t="shared" si="1348"/>
        <v>0</v>
      </c>
      <c r="L1798" s="469">
        <f t="shared" si="1349"/>
        <v>0</v>
      </c>
      <c r="M1798" s="683">
        <f t="shared" si="1350"/>
        <v>0</v>
      </c>
      <c r="N1798" s="470">
        <f t="shared" si="1351"/>
        <v>6</v>
      </c>
      <c r="O1798" s="468">
        <f t="shared" si="1352"/>
        <v>2016</v>
      </c>
      <c r="P1798" s="616">
        <f t="shared" si="1353"/>
        <v>3282334239.7200003</v>
      </c>
      <c r="Q1798" s="472">
        <f t="shared" si="1354"/>
        <v>3282334239.7200003</v>
      </c>
      <c r="R1798" s="472">
        <f t="shared" si="1355"/>
        <v>547055706.62</v>
      </c>
      <c r="S1798" s="1189">
        <f t="shared" si="1356"/>
        <v>2011</v>
      </c>
      <c r="T1798" s="470">
        <f t="shared" si="1357"/>
        <v>1</v>
      </c>
      <c r="U1798" s="612">
        <f t="shared" si="1358"/>
        <v>547055706.62</v>
      </c>
      <c r="V1798" s="464">
        <f t="shared" si="1359"/>
        <v>2011</v>
      </c>
      <c r="W1798" s="612">
        <f t="shared" si="1360"/>
        <v>2735278533.1000004</v>
      </c>
      <c r="X1798" s="561"/>
      <c r="Y1798" s="449"/>
      <c r="Z1798" s="449"/>
      <c r="AA1798" s="554"/>
      <c r="AB1798" s="452"/>
      <c r="AC1798" s="452"/>
      <c r="AD1798" s="566"/>
      <c r="AE1798" s="452"/>
      <c r="AF1798" s="571"/>
      <c r="AG1798" s="452"/>
      <c r="AH1798" s="452"/>
      <c r="AI1798" s="453"/>
      <c r="AJ1798" s="449"/>
      <c r="AK1798" s="453"/>
      <c r="AL1798" s="454"/>
      <c r="AM1798" s="455"/>
      <c r="AN1798" s="456"/>
      <c r="AO1798" s="455"/>
      <c r="AP1798" s="452"/>
      <c r="AQ1798" s="457"/>
      <c r="AR1798" s="449"/>
      <c r="AS1798" s="449"/>
      <c r="AT1798" s="452"/>
      <c r="AU1798" s="457"/>
      <c r="AV1798" s="449"/>
      <c r="AW1798" s="458"/>
      <c r="AX1798" s="452"/>
      <c r="AY1798" s="457"/>
      <c r="AZ1798" s="449"/>
      <c r="BA1798" s="459"/>
      <c r="BB1798" s="455"/>
      <c r="BC1798" s="460"/>
      <c r="BD1798" s="460"/>
      <c r="BG1798" s="462"/>
    </row>
    <row r="1799" spans="1:59" s="461" customFormat="1" ht="18" customHeight="1" x14ac:dyDescent="0.2">
      <c r="A1799" s="1368" t="str">
        <f t="shared" si="1345"/>
        <v>SEI. PERUPUK - PULAU BAYUR2012</v>
      </c>
      <c r="B1799" s="1375"/>
      <c r="C1799" s="488"/>
      <c r="D1799" s="489"/>
      <c r="E1799" s="558"/>
      <c r="F1799" s="559">
        <v>2012</v>
      </c>
      <c r="G1799" s="619">
        <v>0</v>
      </c>
      <c r="H1799" s="464">
        <f t="shared" si="1346"/>
        <v>5</v>
      </c>
      <c r="I1799" s="560"/>
      <c r="J1799" s="468">
        <f t="shared" si="1347"/>
        <v>2016</v>
      </c>
      <c r="K1799" s="490">
        <f t="shared" si="1348"/>
        <v>0</v>
      </c>
      <c r="L1799" s="469">
        <f t="shared" si="1349"/>
        <v>0</v>
      </c>
      <c r="M1799" s="683">
        <f t="shared" si="1350"/>
        <v>0</v>
      </c>
      <c r="N1799" s="470">
        <f t="shared" si="1351"/>
        <v>5</v>
      </c>
      <c r="O1799" s="468">
        <f t="shared" si="1352"/>
        <v>2016</v>
      </c>
      <c r="P1799" s="616">
        <f t="shared" si="1353"/>
        <v>2735278533.1000004</v>
      </c>
      <c r="Q1799" s="472">
        <f t="shared" si="1354"/>
        <v>2735278533.1000004</v>
      </c>
      <c r="R1799" s="472">
        <f t="shared" si="1355"/>
        <v>547055706.62</v>
      </c>
      <c r="S1799" s="1189">
        <f t="shared" si="1356"/>
        <v>2012</v>
      </c>
      <c r="T1799" s="470">
        <f t="shared" si="1357"/>
        <v>1</v>
      </c>
      <c r="U1799" s="612">
        <f t="shared" si="1358"/>
        <v>547055706.62</v>
      </c>
      <c r="V1799" s="464">
        <f t="shared" si="1359"/>
        <v>2012</v>
      </c>
      <c r="W1799" s="612">
        <f t="shared" si="1360"/>
        <v>2188222826.4800005</v>
      </c>
      <c r="X1799" s="561"/>
      <c r="Y1799" s="449"/>
      <c r="Z1799" s="449"/>
      <c r="AA1799" s="554"/>
      <c r="AB1799" s="452"/>
      <c r="AC1799" s="452"/>
      <c r="AD1799" s="566"/>
      <c r="AE1799" s="452"/>
      <c r="AF1799" s="571"/>
      <c r="AG1799" s="452"/>
      <c r="AH1799" s="452"/>
      <c r="AI1799" s="453"/>
      <c r="AJ1799" s="449"/>
      <c r="AK1799" s="453"/>
      <c r="AL1799" s="454"/>
      <c r="AM1799" s="455"/>
      <c r="AN1799" s="456"/>
      <c r="AO1799" s="455"/>
      <c r="AP1799" s="452"/>
      <c r="AQ1799" s="457"/>
      <c r="AR1799" s="449"/>
      <c r="AS1799" s="449"/>
      <c r="AT1799" s="452"/>
      <c r="AU1799" s="457"/>
      <c r="AV1799" s="449"/>
      <c r="AW1799" s="458"/>
      <c r="AX1799" s="452"/>
      <c r="AY1799" s="457"/>
      <c r="AZ1799" s="449"/>
      <c r="BA1799" s="459"/>
      <c r="BB1799" s="455"/>
      <c r="BC1799" s="460"/>
      <c r="BD1799" s="460"/>
      <c r="BG1799" s="462"/>
    </row>
    <row r="1800" spans="1:59" s="461" customFormat="1" ht="18" customHeight="1" x14ac:dyDescent="0.2">
      <c r="A1800" s="1368" t="str">
        <f t="shared" si="1345"/>
        <v>SEI. PERUPUK - PULAU BAYUR2013</v>
      </c>
      <c r="B1800" s="1373"/>
      <c r="C1800" s="488"/>
      <c r="D1800" s="489"/>
      <c r="E1800" s="558"/>
      <c r="F1800" s="559">
        <v>2013</v>
      </c>
      <c r="G1800" s="619">
        <v>0</v>
      </c>
      <c r="H1800" s="464">
        <f t="shared" si="1346"/>
        <v>4</v>
      </c>
      <c r="I1800" s="560"/>
      <c r="J1800" s="468">
        <f t="shared" si="1347"/>
        <v>2016</v>
      </c>
      <c r="K1800" s="490">
        <f t="shared" si="1348"/>
        <v>0</v>
      </c>
      <c r="L1800" s="469">
        <f t="shared" si="1349"/>
        <v>0</v>
      </c>
      <c r="M1800" s="683">
        <f t="shared" si="1350"/>
        <v>0</v>
      </c>
      <c r="N1800" s="470">
        <f t="shared" si="1351"/>
        <v>4</v>
      </c>
      <c r="O1800" s="468">
        <f t="shared" si="1352"/>
        <v>2016</v>
      </c>
      <c r="P1800" s="616">
        <f t="shared" si="1353"/>
        <v>2188222826.4800005</v>
      </c>
      <c r="Q1800" s="472">
        <f t="shared" si="1354"/>
        <v>2188222826.4800005</v>
      </c>
      <c r="R1800" s="472">
        <f t="shared" si="1355"/>
        <v>547055706.62</v>
      </c>
      <c r="S1800" s="1189">
        <f t="shared" si="1356"/>
        <v>2013</v>
      </c>
      <c r="T1800" s="470">
        <f t="shared" si="1357"/>
        <v>1</v>
      </c>
      <c r="U1800" s="612">
        <f t="shared" si="1358"/>
        <v>547055706.62</v>
      </c>
      <c r="V1800" s="464">
        <f t="shared" si="1359"/>
        <v>2013</v>
      </c>
      <c r="W1800" s="612">
        <f t="shared" si="1360"/>
        <v>1641167119.8600006</v>
      </c>
      <c r="X1800" s="561"/>
      <c r="Y1800" s="449"/>
      <c r="Z1800" s="449"/>
      <c r="AA1800" s="554"/>
      <c r="AB1800" s="452"/>
      <c r="AC1800" s="452"/>
      <c r="AD1800" s="566"/>
      <c r="AE1800" s="452"/>
      <c r="AF1800" s="571"/>
      <c r="AG1800" s="452"/>
      <c r="AH1800" s="452"/>
      <c r="AI1800" s="453"/>
      <c r="AJ1800" s="449"/>
      <c r="AK1800" s="453"/>
      <c r="AL1800" s="454"/>
      <c r="AM1800" s="455"/>
      <c r="AN1800" s="456"/>
      <c r="AO1800" s="455"/>
      <c r="AP1800" s="452"/>
      <c r="AQ1800" s="457"/>
      <c r="AR1800" s="449"/>
      <c r="AS1800" s="449"/>
      <c r="AT1800" s="452"/>
      <c r="AU1800" s="457"/>
      <c r="AV1800" s="449"/>
      <c r="AW1800" s="458"/>
      <c r="AX1800" s="452"/>
      <c r="AY1800" s="457"/>
      <c r="AZ1800" s="449"/>
      <c r="BA1800" s="459"/>
      <c r="BB1800" s="455"/>
      <c r="BC1800" s="460"/>
      <c r="BD1800" s="460"/>
      <c r="BG1800" s="462"/>
    </row>
    <row r="1801" spans="1:59" s="461" customFormat="1" ht="18" customHeight="1" x14ac:dyDescent="0.2">
      <c r="A1801" s="1368" t="str">
        <f t="shared" ref="A1801:A1806" si="1361">$D$1787&amp;S1801</f>
        <v>SEI. PERUPUK - PULAU BAYUR2014</v>
      </c>
      <c r="B1801" s="1373"/>
      <c r="C1801" s="488"/>
      <c r="D1801" s="489"/>
      <c r="E1801" s="558"/>
      <c r="F1801" s="559">
        <v>2014</v>
      </c>
      <c r="G1801" s="619">
        <v>0</v>
      </c>
      <c r="H1801" s="464">
        <f t="shared" si="1346"/>
        <v>3</v>
      </c>
      <c r="I1801" s="560"/>
      <c r="J1801" s="468">
        <f t="shared" si="1347"/>
        <v>2016</v>
      </c>
      <c r="K1801" s="490">
        <f t="shared" si="1348"/>
        <v>0</v>
      </c>
      <c r="L1801" s="469">
        <f t="shared" si="1349"/>
        <v>0</v>
      </c>
      <c r="M1801" s="683">
        <f t="shared" si="1350"/>
        <v>0</v>
      </c>
      <c r="N1801" s="470">
        <f t="shared" si="1351"/>
        <v>3</v>
      </c>
      <c r="O1801" s="468">
        <f t="shared" si="1352"/>
        <v>2016</v>
      </c>
      <c r="P1801" s="616">
        <f t="shared" si="1353"/>
        <v>1641167119.8600006</v>
      </c>
      <c r="Q1801" s="472">
        <f t="shared" si="1354"/>
        <v>1641167119.8600006</v>
      </c>
      <c r="R1801" s="472">
        <f t="shared" si="1355"/>
        <v>547055706.62</v>
      </c>
      <c r="S1801" s="1189">
        <f t="shared" si="1356"/>
        <v>2014</v>
      </c>
      <c r="T1801" s="470">
        <f t="shared" si="1357"/>
        <v>1</v>
      </c>
      <c r="U1801" s="612">
        <f t="shared" si="1358"/>
        <v>547055706.62</v>
      </c>
      <c r="V1801" s="464">
        <f t="shared" si="1359"/>
        <v>2014</v>
      </c>
      <c r="W1801" s="612">
        <f t="shared" si="1360"/>
        <v>1094111413.2400007</v>
      </c>
      <c r="X1801" s="561"/>
      <c r="Y1801" s="449"/>
      <c r="Z1801" s="449"/>
      <c r="AA1801" s="554"/>
      <c r="AB1801" s="452"/>
      <c r="AC1801" s="452"/>
      <c r="AD1801" s="566"/>
      <c r="AE1801" s="452"/>
      <c r="AF1801" s="571"/>
      <c r="AG1801" s="452"/>
      <c r="AH1801" s="452"/>
      <c r="AI1801" s="453"/>
      <c r="AJ1801" s="449"/>
      <c r="AK1801" s="453"/>
      <c r="AL1801" s="454"/>
      <c r="AM1801" s="455"/>
      <c r="AN1801" s="456"/>
      <c r="AO1801" s="455"/>
      <c r="AP1801" s="452"/>
      <c r="AQ1801" s="457"/>
      <c r="AR1801" s="449"/>
      <c r="AS1801" s="449"/>
      <c r="AT1801" s="452"/>
      <c r="AU1801" s="457"/>
      <c r="AV1801" s="449"/>
      <c r="AW1801" s="458"/>
      <c r="AX1801" s="452"/>
      <c r="AY1801" s="457"/>
      <c r="AZ1801" s="449"/>
      <c r="BA1801" s="459"/>
      <c r="BB1801" s="455"/>
      <c r="BC1801" s="460"/>
      <c r="BD1801" s="460"/>
      <c r="BG1801" s="462"/>
    </row>
    <row r="1802" spans="1:59" s="486" customFormat="1" ht="18" customHeight="1" x14ac:dyDescent="0.2">
      <c r="A1802" s="1368" t="str">
        <f t="shared" si="1361"/>
        <v>SEI. PERUPUK - PULAU BAYUR2015</v>
      </c>
      <c r="B1802" s="1373">
        <v>3</v>
      </c>
      <c r="C1802" s="488" t="s">
        <v>1371</v>
      </c>
      <c r="D1802" s="489" t="s">
        <v>3821</v>
      </c>
      <c r="E1802" s="558"/>
      <c r="F1802" s="559">
        <v>2015</v>
      </c>
      <c r="G1802" s="619">
        <v>2038722656.2</v>
      </c>
      <c r="H1802" s="464">
        <f t="shared" si="1346"/>
        <v>2</v>
      </c>
      <c r="I1802" s="560"/>
      <c r="J1802" s="468">
        <f t="shared" si="1347"/>
        <v>2024</v>
      </c>
      <c r="K1802" s="490">
        <f t="shared" si="1348"/>
        <v>1.8633592809005755</v>
      </c>
      <c r="L1802" s="469">
        <f t="shared" si="1349"/>
        <v>10</v>
      </c>
      <c r="M1802" s="683">
        <f t="shared" si="1350"/>
        <v>8</v>
      </c>
      <c r="N1802" s="470">
        <f t="shared" si="1351"/>
        <v>10</v>
      </c>
      <c r="O1802" s="468">
        <f t="shared" si="1352"/>
        <v>2024</v>
      </c>
      <c r="P1802" s="616">
        <f t="shared" si="1353"/>
        <v>1094111413.2400007</v>
      </c>
      <c r="Q1802" s="472">
        <f t="shared" si="1354"/>
        <v>3132834069.4400005</v>
      </c>
      <c r="R1802" s="472">
        <f t="shared" si="1355"/>
        <v>313283406.94400007</v>
      </c>
      <c r="S1802" s="1189">
        <f t="shared" si="1356"/>
        <v>2015</v>
      </c>
      <c r="T1802" s="470">
        <f t="shared" si="1357"/>
        <v>1</v>
      </c>
      <c r="U1802" s="612">
        <f t="shared" si="1358"/>
        <v>313283406.94400007</v>
      </c>
      <c r="V1802" s="464">
        <f t="shared" si="1359"/>
        <v>2015</v>
      </c>
      <c r="W1802" s="612">
        <f t="shared" si="1360"/>
        <v>2819550662.4960003</v>
      </c>
      <c r="X1802" s="561"/>
      <c r="Y1802" s="474"/>
      <c r="Z1802" s="449"/>
      <c r="AA1802" s="475" t="s">
        <v>4180</v>
      </c>
      <c r="AB1802" s="476"/>
      <c r="AC1802" s="476"/>
      <c r="AD1802" s="567">
        <f>G1808</f>
        <v>12005862091.77</v>
      </c>
      <c r="AE1802" s="476"/>
      <c r="AF1802" s="568"/>
      <c r="AG1802" s="476"/>
      <c r="AH1802" s="476"/>
      <c r="AI1802" s="477"/>
      <c r="AJ1802" s="478"/>
      <c r="AK1802" s="479"/>
      <c r="AL1802" s="480"/>
      <c r="AM1802" s="474"/>
      <c r="AN1802" s="481"/>
      <c r="AO1802" s="474"/>
      <c r="AP1802" s="476"/>
      <c r="AQ1802" s="482"/>
      <c r="AR1802" s="478"/>
      <c r="AS1802" s="478"/>
      <c r="AT1802" s="476"/>
      <c r="AU1802" s="482"/>
      <c r="AV1802" s="478"/>
      <c r="AW1802" s="483"/>
      <c r="AX1802" s="476"/>
      <c r="AY1802" s="482"/>
      <c r="AZ1802" s="478"/>
      <c r="BA1802" s="484"/>
      <c r="BB1802" s="474"/>
      <c r="BC1802" s="485"/>
      <c r="BD1802" s="485"/>
      <c r="BG1802" s="487"/>
    </row>
    <row r="1803" spans="1:59" s="486" customFormat="1" ht="18" customHeight="1" x14ac:dyDescent="0.2">
      <c r="A1803" s="1368" t="str">
        <f t="shared" si="1361"/>
        <v>SEI. PERUPUK - PULAU BAYUR2016</v>
      </c>
      <c r="B1803" s="1373">
        <v>4</v>
      </c>
      <c r="C1803" s="488" t="s">
        <v>1460</v>
      </c>
      <c r="D1803" s="489" t="s">
        <v>3821</v>
      </c>
      <c r="E1803" s="558"/>
      <c r="F1803" s="559">
        <v>2016</v>
      </c>
      <c r="G1803" s="619">
        <v>1944916077.3699999</v>
      </c>
      <c r="H1803" s="464">
        <f t="shared" si="1346"/>
        <v>9</v>
      </c>
      <c r="I1803" s="560"/>
      <c r="J1803" s="468">
        <f t="shared" si="1347"/>
        <v>2025</v>
      </c>
      <c r="K1803" s="490">
        <f t="shared" si="1348"/>
        <v>0.6897964641104436</v>
      </c>
      <c r="L1803" s="469">
        <f t="shared" si="1349"/>
        <v>10</v>
      </c>
      <c r="M1803" s="683">
        <f t="shared" si="1350"/>
        <v>1</v>
      </c>
      <c r="N1803" s="470">
        <f t="shared" si="1351"/>
        <v>10</v>
      </c>
      <c r="O1803" s="468">
        <f t="shared" si="1352"/>
        <v>2025</v>
      </c>
      <c r="P1803" s="616">
        <f t="shared" si="1353"/>
        <v>2819550662.4960003</v>
      </c>
      <c r="Q1803" s="472">
        <f t="shared" si="1354"/>
        <v>4764466739.8660002</v>
      </c>
      <c r="R1803" s="472">
        <f t="shared" si="1355"/>
        <v>476446673.98660004</v>
      </c>
      <c r="S1803" s="1189">
        <f t="shared" si="1356"/>
        <v>2016</v>
      </c>
      <c r="T1803" s="470">
        <f t="shared" si="1357"/>
        <v>1</v>
      </c>
      <c r="U1803" s="612">
        <f t="shared" si="1358"/>
        <v>476446673.98660004</v>
      </c>
      <c r="V1803" s="464">
        <f t="shared" si="1359"/>
        <v>2016</v>
      </c>
      <c r="W1803" s="612">
        <f t="shared" si="1360"/>
        <v>4288020065.8794003</v>
      </c>
      <c r="X1803" s="473"/>
      <c r="Y1803" s="478"/>
      <c r="Z1803" s="449"/>
      <c r="AA1803" s="475" t="s">
        <v>4181</v>
      </c>
      <c r="AB1803" s="491"/>
      <c r="AC1803" s="491"/>
      <c r="AD1803" s="567">
        <f>U1808</f>
        <v>7498470344.6557598</v>
      </c>
      <c r="AE1803" s="491"/>
      <c r="AF1803" s="568"/>
      <c r="AG1803" s="491"/>
      <c r="AH1803" s="491"/>
      <c r="AI1803" s="477"/>
      <c r="AJ1803" s="478"/>
      <c r="AK1803" s="479"/>
      <c r="AL1803" s="480"/>
      <c r="AM1803" s="474"/>
      <c r="AN1803" s="481"/>
      <c r="AO1803" s="474"/>
      <c r="AP1803" s="476"/>
      <c r="AQ1803" s="482"/>
      <c r="AR1803" s="478"/>
      <c r="AS1803" s="478"/>
      <c r="AT1803" s="476"/>
      <c r="AU1803" s="482"/>
      <c r="AV1803" s="478"/>
      <c r="AW1803" s="483"/>
      <c r="AX1803" s="476"/>
      <c r="AY1803" s="482"/>
      <c r="AZ1803" s="478"/>
      <c r="BA1803" s="484"/>
      <c r="BB1803" s="474"/>
      <c r="BC1803" s="485"/>
      <c r="BD1803" s="485"/>
      <c r="BG1803" s="487"/>
    </row>
    <row r="1804" spans="1:59" s="486" customFormat="1" ht="18" customHeight="1" x14ac:dyDescent="0.2">
      <c r="A1804" s="1368" t="str">
        <f t="shared" si="1361"/>
        <v>SEI. PERUPUK - PULAU BAYUR2017</v>
      </c>
      <c r="B1804" s="1373"/>
      <c r="C1804" s="488"/>
      <c r="D1804" s="489"/>
      <c r="E1804" s="558"/>
      <c r="F1804" s="559">
        <v>2017</v>
      </c>
      <c r="G1804" s="619">
        <v>0</v>
      </c>
      <c r="H1804" s="464">
        <f t="shared" si="1346"/>
        <v>9</v>
      </c>
      <c r="I1804" s="560"/>
      <c r="J1804" s="468">
        <f t="shared" si="1347"/>
        <v>2025</v>
      </c>
      <c r="K1804" s="490">
        <f t="shared" si="1348"/>
        <v>0</v>
      </c>
      <c r="L1804" s="469">
        <f t="shared" si="1349"/>
        <v>0</v>
      </c>
      <c r="M1804" s="683">
        <f t="shared" si="1350"/>
        <v>0</v>
      </c>
      <c r="N1804" s="470">
        <f t="shared" si="1351"/>
        <v>9</v>
      </c>
      <c r="O1804" s="468">
        <f t="shared" si="1352"/>
        <v>2025</v>
      </c>
      <c r="P1804" s="616">
        <f t="shared" si="1353"/>
        <v>4288020065.8794003</v>
      </c>
      <c r="Q1804" s="472">
        <f t="shared" si="1354"/>
        <v>4288020065.8794003</v>
      </c>
      <c r="R1804" s="472">
        <f t="shared" si="1355"/>
        <v>476446673.98660004</v>
      </c>
      <c r="S1804" s="1189">
        <f t="shared" si="1356"/>
        <v>2017</v>
      </c>
      <c r="T1804" s="470">
        <f t="shared" si="1357"/>
        <v>1</v>
      </c>
      <c r="U1804" s="612">
        <f t="shared" si="1358"/>
        <v>476446673.98660004</v>
      </c>
      <c r="V1804" s="464">
        <f t="shared" si="1359"/>
        <v>2017</v>
      </c>
      <c r="W1804" s="612">
        <f t="shared" si="1360"/>
        <v>3811573391.8928003</v>
      </c>
      <c r="X1804" s="473"/>
      <c r="Y1804" s="478"/>
      <c r="Z1804" s="449"/>
      <c r="AA1804" s="492" t="s">
        <v>4182</v>
      </c>
      <c r="AB1804" s="476"/>
      <c r="AC1804" s="476"/>
      <c r="AD1804" s="567">
        <f>AD1802-AD1803</f>
        <v>4507391747.1142406</v>
      </c>
      <c r="AE1804" s="476"/>
      <c r="AF1804" s="568"/>
      <c r="AG1804" s="476"/>
      <c r="AH1804" s="476"/>
      <c r="AI1804" s="477"/>
      <c r="AJ1804" s="478"/>
      <c r="AK1804" s="479"/>
      <c r="AL1804" s="480"/>
      <c r="AM1804" s="474"/>
      <c r="AN1804" s="481"/>
      <c r="AO1804" s="474"/>
      <c r="AP1804" s="476"/>
      <c r="AQ1804" s="482"/>
      <c r="AR1804" s="478"/>
      <c r="AS1804" s="478"/>
      <c r="AT1804" s="476"/>
      <c r="AU1804" s="482"/>
      <c r="AV1804" s="478"/>
      <c r="AW1804" s="483"/>
      <c r="AX1804" s="476"/>
      <c r="AY1804" s="482"/>
      <c r="AZ1804" s="478"/>
      <c r="BA1804" s="484"/>
      <c r="BB1804" s="474"/>
      <c r="BC1804" s="485"/>
      <c r="BD1804" s="485"/>
      <c r="BG1804" s="487"/>
    </row>
    <row r="1805" spans="1:59" s="486" customFormat="1" ht="18" customHeight="1" x14ac:dyDescent="0.2">
      <c r="A1805" s="1368" t="str">
        <f t="shared" si="1361"/>
        <v>SEI. PERUPUK - PULAU BAYUR2018</v>
      </c>
      <c r="B1805" s="687">
        <v>5</v>
      </c>
      <c r="C1805" s="488" t="s">
        <v>3335</v>
      </c>
      <c r="D1805" s="489"/>
      <c r="E1805" s="558"/>
      <c r="F1805" s="466">
        <v>2018</v>
      </c>
      <c r="G1805" s="619">
        <v>1822666292</v>
      </c>
      <c r="H1805" s="464">
        <f t="shared" si="1346"/>
        <v>8</v>
      </c>
      <c r="I1805" s="560"/>
      <c r="J1805" s="468">
        <f t="shared" si="1347"/>
        <v>2027</v>
      </c>
      <c r="K1805" s="490">
        <f t="shared" si="1348"/>
        <v>0.47819262666614348</v>
      </c>
      <c r="L1805" s="469">
        <f t="shared" si="1349"/>
        <v>5</v>
      </c>
      <c r="M1805" s="683">
        <f t="shared" si="1350"/>
        <v>2</v>
      </c>
      <c r="N1805" s="470">
        <f t="shared" si="1351"/>
        <v>10</v>
      </c>
      <c r="O1805" s="468">
        <f t="shared" si="1352"/>
        <v>2027</v>
      </c>
      <c r="P1805" s="616">
        <f t="shared" si="1353"/>
        <v>3811573391.8928003</v>
      </c>
      <c r="Q1805" s="472">
        <f t="shared" si="1354"/>
        <v>5634239683.8928003</v>
      </c>
      <c r="R1805" s="472">
        <f t="shared" si="1355"/>
        <v>563423968.38928008</v>
      </c>
      <c r="S1805" s="1189">
        <f t="shared" si="1356"/>
        <v>2018</v>
      </c>
      <c r="T1805" s="470">
        <f t="shared" si="1357"/>
        <v>1</v>
      </c>
      <c r="U1805" s="612">
        <f t="shared" si="1358"/>
        <v>563423968.38928008</v>
      </c>
      <c r="V1805" s="464">
        <f t="shared" si="1359"/>
        <v>2018</v>
      </c>
      <c r="W1805" s="612">
        <f t="shared" si="1360"/>
        <v>5070815715.50352</v>
      </c>
      <c r="X1805" s="473"/>
      <c r="Y1805" s="478"/>
      <c r="Z1805" s="449"/>
      <c r="AA1805" s="531" t="s">
        <v>4183</v>
      </c>
      <c r="AB1805" s="496"/>
      <c r="AC1805" s="496"/>
      <c r="AD1805" s="569">
        <f>AD1804-W1808</f>
        <v>0</v>
      </c>
      <c r="AE1805" s="476"/>
      <c r="AF1805" s="568"/>
      <c r="AG1805" s="476"/>
      <c r="AH1805" s="476"/>
      <c r="AI1805" s="477"/>
      <c r="AJ1805" s="478"/>
      <c r="AK1805" s="479"/>
      <c r="AL1805" s="480"/>
      <c r="AM1805" s="474"/>
      <c r="AN1805" s="481"/>
      <c r="AO1805" s="474"/>
      <c r="AP1805" s="476"/>
      <c r="AQ1805" s="482"/>
      <c r="AR1805" s="478"/>
      <c r="AS1805" s="478"/>
      <c r="AT1805" s="476"/>
      <c r="AU1805" s="482"/>
      <c r="AV1805" s="478"/>
      <c r="AW1805" s="483"/>
      <c r="AX1805" s="476"/>
      <c r="AY1805" s="482"/>
      <c r="AZ1805" s="478"/>
      <c r="BA1805" s="484"/>
      <c r="BB1805" s="474"/>
      <c r="BC1805" s="485"/>
      <c r="BD1805" s="485"/>
      <c r="BG1805" s="487"/>
    </row>
    <row r="1806" spans="1:59" s="486" customFormat="1" ht="18" customHeight="1" x14ac:dyDescent="0.2">
      <c r="A1806" s="1368" t="str">
        <f t="shared" si="1361"/>
        <v>SEI. PERUPUK - PULAU BAYUR2019</v>
      </c>
      <c r="B1806" s="687"/>
      <c r="C1806" s="488"/>
      <c r="D1806" s="489"/>
      <c r="E1806" s="558"/>
      <c r="F1806" s="466">
        <v>2019</v>
      </c>
      <c r="G1806" s="619">
        <v>0</v>
      </c>
      <c r="H1806" s="464">
        <f t="shared" si="1346"/>
        <v>9</v>
      </c>
      <c r="I1806" s="560"/>
      <c r="J1806" s="468">
        <f t="shared" si="1347"/>
        <v>2027</v>
      </c>
      <c r="K1806" s="490">
        <f t="shared" si="1348"/>
        <v>0</v>
      </c>
      <c r="L1806" s="469">
        <f t="shared" si="1349"/>
        <v>0</v>
      </c>
      <c r="M1806" s="683">
        <f t="shared" si="1350"/>
        <v>0</v>
      </c>
      <c r="N1806" s="470">
        <f t="shared" si="1351"/>
        <v>9</v>
      </c>
      <c r="O1806" s="468">
        <f t="shared" si="1352"/>
        <v>2027</v>
      </c>
      <c r="P1806" s="616">
        <f t="shared" si="1353"/>
        <v>5070815715.50352</v>
      </c>
      <c r="Q1806" s="472">
        <f t="shared" si="1354"/>
        <v>5070815715.50352</v>
      </c>
      <c r="R1806" s="472">
        <f t="shared" si="1355"/>
        <v>563423968.38928008</v>
      </c>
      <c r="S1806" s="1189">
        <f t="shared" si="1356"/>
        <v>2019</v>
      </c>
      <c r="T1806" s="470">
        <f t="shared" si="1357"/>
        <v>1</v>
      </c>
      <c r="U1806" s="612">
        <f t="shared" si="1358"/>
        <v>563423968.38928008</v>
      </c>
      <c r="V1806" s="464">
        <f t="shared" si="1359"/>
        <v>2019</v>
      </c>
      <c r="W1806" s="612">
        <f t="shared" si="1360"/>
        <v>4507391747.1142397</v>
      </c>
      <c r="X1806" s="473"/>
      <c r="Y1806" s="478"/>
      <c r="Z1806" s="449"/>
      <c r="AA1806" s="573"/>
      <c r="AB1806" s="476"/>
      <c r="AC1806" s="476"/>
      <c r="AD1806" s="568"/>
      <c r="AE1806" s="476"/>
      <c r="AF1806" s="568"/>
      <c r="AG1806" s="476"/>
      <c r="AH1806" s="476"/>
      <c r="AI1806" s="477"/>
      <c r="AJ1806" s="478"/>
      <c r="AK1806" s="479"/>
      <c r="AL1806" s="480"/>
      <c r="AM1806" s="474"/>
      <c r="AN1806" s="481"/>
      <c r="AO1806" s="474"/>
      <c r="AP1806" s="476"/>
      <c r="AQ1806" s="482"/>
      <c r="AR1806" s="478"/>
      <c r="AS1806" s="478"/>
      <c r="AT1806" s="476"/>
      <c r="AU1806" s="482"/>
      <c r="AV1806" s="478"/>
      <c r="AW1806" s="483"/>
      <c r="AX1806" s="476"/>
      <c r="AY1806" s="482"/>
      <c r="AZ1806" s="478"/>
      <c r="BA1806" s="484"/>
      <c r="BB1806" s="474"/>
      <c r="BC1806" s="485"/>
      <c r="BD1806" s="485"/>
      <c r="BG1806" s="487"/>
    </row>
    <row r="1807" spans="1:59" s="486" customFormat="1" ht="18" customHeight="1" x14ac:dyDescent="0.2">
      <c r="A1807" s="1368" t="str">
        <f>LEFT(D1807,8)</f>
        <v/>
      </c>
      <c r="B1807" s="687"/>
      <c r="C1807" s="463"/>
      <c r="D1807" s="489"/>
      <c r="E1807" s="465"/>
      <c r="F1807" s="466"/>
      <c r="G1807" s="620"/>
      <c r="H1807" s="464"/>
      <c r="I1807" s="467"/>
      <c r="J1807" s="468"/>
      <c r="K1807" s="574"/>
      <c r="L1807" s="469"/>
      <c r="M1807" s="683"/>
      <c r="N1807" s="470"/>
      <c r="O1807" s="468"/>
      <c r="P1807" s="616"/>
      <c r="Q1807" s="472"/>
      <c r="R1807" s="472"/>
      <c r="S1807" s="634"/>
      <c r="T1807" s="470"/>
      <c r="U1807" s="612"/>
      <c r="V1807" s="464"/>
      <c r="W1807" s="612"/>
      <c r="X1807" s="473"/>
      <c r="Y1807" s="478"/>
      <c r="Z1807" s="449"/>
      <c r="AA1807" s="573"/>
      <c r="AB1807" s="476"/>
      <c r="AC1807" s="476"/>
      <c r="AD1807" s="568"/>
      <c r="AE1807" s="476"/>
      <c r="AF1807" s="568"/>
      <c r="AG1807" s="476"/>
      <c r="AH1807" s="476"/>
      <c r="AI1807" s="477"/>
      <c r="AJ1807" s="478"/>
      <c r="AK1807" s="479"/>
      <c r="AL1807" s="480"/>
      <c r="AM1807" s="474"/>
      <c r="AN1807" s="481"/>
      <c r="AO1807" s="474"/>
      <c r="AP1807" s="476"/>
      <c r="AQ1807" s="482"/>
      <c r="AR1807" s="478"/>
      <c r="AS1807" s="478"/>
      <c r="AT1807" s="476"/>
      <c r="AU1807" s="482"/>
      <c r="AV1807" s="478"/>
      <c r="AW1807" s="483"/>
      <c r="AX1807" s="476"/>
      <c r="AY1807" s="482"/>
      <c r="AZ1807" s="478"/>
      <c r="BA1807" s="484"/>
      <c r="BB1807" s="474"/>
      <c r="BC1807" s="485"/>
      <c r="BD1807" s="485"/>
      <c r="BG1807" s="487"/>
    </row>
    <row r="1808" spans="1:59" s="526" customFormat="1" ht="18" customHeight="1" x14ac:dyDescent="0.2">
      <c r="A1808" s="1370" t="s">
        <v>4184</v>
      </c>
      <c r="B1808" s="1956" t="s">
        <v>4184</v>
      </c>
      <c r="C1808" s="1957"/>
      <c r="D1808" s="1957"/>
      <c r="E1808" s="1957"/>
      <c r="F1808" s="1958"/>
      <c r="G1808" s="624">
        <f>SUM(G1791:G1807)</f>
        <v>12005862091.77</v>
      </c>
      <c r="H1808" s="505"/>
      <c r="I1808" s="506"/>
      <c r="J1808" s="507"/>
      <c r="K1808" s="507"/>
      <c r="L1808" s="505"/>
      <c r="M1808" s="684"/>
      <c r="N1808" s="508"/>
      <c r="O1808" s="507"/>
      <c r="P1808" s="749"/>
      <c r="Q1808" s="510"/>
      <c r="R1808" s="511"/>
      <c r="S1808" s="512"/>
      <c r="T1808" s="512"/>
      <c r="U1808" s="610">
        <f>SUM(U1791:U1807)</f>
        <v>7498470344.6557598</v>
      </c>
      <c r="V1808" s="513"/>
      <c r="W1808" s="610">
        <f>G1808-U1808</f>
        <v>4507391747.1142406</v>
      </c>
      <c r="X1808" s="514"/>
      <c r="Y1808" s="515"/>
      <c r="Z1808" s="515"/>
      <c r="AA1808" s="1362"/>
      <c r="AB1808" s="515"/>
      <c r="AC1808" s="515"/>
      <c r="AD1808" s="570"/>
      <c r="AE1808" s="515"/>
      <c r="AF1808" s="570"/>
      <c r="AG1808" s="515"/>
      <c r="AH1808" s="515"/>
      <c r="AI1808" s="516"/>
      <c r="AJ1808" s="517"/>
      <c r="AK1808" s="518"/>
      <c r="AL1808" s="519"/>
      <c r="AM1808" s="520"/>
      <c r="AN1808" s="521"/>
      <c r="AO1808" s="520"/>
      <c r="AP1808" s="515"/>
      <c r="AQ1808" s="522"/>
      <c r="AR1808" s="517"/>
      <c r="AS1808" s="517"/>
      <c r="AT1808" s="515"/>
      <c r="AU1808" s="522"/>
      <c r="AV1808" s="517"/>
      <c r="AW1808" s="523"/>
      <c r="AX1808" s="515"/>
      <c r="AY1808" s="522"/>
      <c r="AZ1808" s="517"/>
      <c r="BA1808" s="524"/>
      <c r="BB1808" s="520"/>
      <c r="BC1808" s="525"/>
      <c r="BD1808" s="525"/>
      <c r="BG1808" s="527"/>
    </row>
    <row r="1811" spans="1:59" s="422" customFormat="1" ht="18" customHeight="1" x14ac:dyDescent="0.2">
      <c r="A1811" s="1366">
        <f>C1811</f>
        <v>296</v>
      </c>
      <c r="B1811" s="742" t="s">
        <v>4187</v>
      </c>
      <c r="C1811" s="556">
        <v>296</v>
      </c>
      <c r="D1811" s="553" t="str">
        <f>VLOOKUP(C1811,RUAS,2,FALSE)</f>
        <v>INUMAN - PULAU BUSUK</v>
      </c>
      <c r="E1811" s="553"/>
      <c r="F1811" s="421"/>
      <c r="G1811" s="611"/>
      <c r="I1811" s="423"/>
      <c r="J1811" s="424"/>
      <c r="K1811" s="424"/>
      <c r="M1811" s="680"/>
      <c r="P1811" s="611"/>
      <c r="U1811" s="611"/>
      <c r="W1811" s="611"/>
      <c r="Y1811" s="425"/>
      <c r="Z1811" s="425"/>
      <c r="AA1811" s="425"/>
      <c r="AB1811" s="425"/>
      <c r="AC1811" s="425"/>
      <c r="AD1811" s="563"/>
      <c r="AE1811" s="425"/>
      <c r="AF1811" s="563"/>
      <c r="AG1811" s="425"/>
      <c r="AH1811" s="425"/>
      <c r="AI1811" s="425"/>
      <c r="AJ1811" s="425"/>
      <c r="AK1811" s="425"/>
      <c r="AL1811" s="425"/>
      <c r="AM1811" s="425"/>
      <c r="AN1811" s="425"/>
      <c r="AO1811" s="425"/>
      <c r="AP1811" s="425"/>
      <c r="AQ1811" s="425"/>
      <c r="AR1811" s="425"/>
      <c r="AS1811" s="425"/>
      <c r="AT1811" s="425"/>
      <c r="AU1811" s="425"/>
      <c r="AV1811" s="425"/>
      <c r="AW1811" s="425"/>
      <c r="AX1811" s="425"/>
      <c r="AY1811" s="425"/>
      <c r="AZ1811" s="425"/>
      <c r="BA1811" s="425"/>
      <c r="BB1811" s="425"/>
    </row>
    <row r="1812" spans="1:59" s="431" customFormat="1" ht="18" customHeight="1" x14ac:dyDescent="0.2">
      <c r="A1812" s="1367"/>
      <c r="B1812" s="1968" t="s">
        <v>5</v>
      </c>
      <c r="C1812" s="1968" t="s">
        <v>2280</v>
      </c>
      <c r="D1812" s="1968" t="s">
        <v>4157</v>
      </c>
      <c r="E1812" s="1968" t="s">
        <v>4158</v>
      </c>
      <c r="F1812" s="1968"/>
      <c r="G1812" s="1969" t="s">
        <v>4159</v>
      </c>
      <c r="H1812" s="1968" t="s">
        <v>4160</v>
      </c>
      <c r="I1812" s="1968"/>
      <c r="J1812" s="1968" t="s">
        <v>4185</v>
      </c>
      <c r="K1812" s="1964" t="s">
        <v>4162</v>
      </c>
      <c r="L1812" s="1968" t="s">
        <v>4163</v>
      </c>
      <c r="M1812" s="1971" t="s">
        <v>4164</v>
      </c>
      <c r="N1812" s="1962" t="s">
        <v>4165</v>
      </c>
      <c r="O1812" s="1968" t="s">
        <v>4166</v>
      </c>
      <c r="P1812" s="1972" t="s">
        <v>4167</v>
      </c>
      <c r="Q1812" s="1973"/>
      <c r="R1812" s="636" t="s">
        <v>4186</v>
      </c>
      <c r="S1812" s="1972" t="s">
        <v>4169</v>
      </c>
      <c r="T1812" s="1974"/>
      <c r="U1812" s="1973"/>
      <c r="V1812" s="1975" t="s">
        <v>4170</v>
      </c>
      <c r="W1812" s="1975"/>
      <c r="X1812" s="1960" t="s">
        <v>4171</v>
      </c>
      <c r="Y1812" s="1959"/>
      <c r="Z1812" s="633"/>
      <c r="AA1812" s="426"/>
      <c r="AB1812" s="426"/>
      <c r="AC1812" s="426"/>
      <c r="AD1812" s="564"/>
      <c r="AE1812" s="426"/>
      <c r="AF1812" s="564"/>
      <c r="AG1812" s="426"/>
      <c r="AH1812" s="426"/>
      <c r="AI1812" s="427"/>
      <c r="AJ1812" s="427"/>
      <c r="AK1812" s="427"/>
      <c r="AL1812" s="427"/>
      <c r="AM1812" s="428"/>
      <c r="AN1812" s="427"/>
      <c r="AO1812" s="427"/>
      <c r="AP1812" s="426"/>
      <c r="AQ1812" s="427"/>
      <c r="AR1812" s="427"/>
      <c r="AS1812" s="427"/>
      <c r="AT1812" s="426"/>
      <c r="AU1812" s="427"/>
      <c r="AV1812" s="427"/>
      <c r="AW1812" s="427"/>
      <c r="AX1812" s="426"/>
      <c r="AY1812" s="427"/>
      <c r="AZ1812" s="427"/>
      <c r="BA1812" s="427"/>
      <c r="BB1812" s="429"/>
      <c r="BC1812" s="430"/>
      <c r="BD1812" s="430"/>
    </row>
    <row r="1813" spans="1:59" s="431" customFormat="1" ht="18" customHeight="1" x14ac:dyDescent="0.2">
      <c r="A1813" s="1367"/>
      <c r="B1813" s="1968"/>
      <c r="C1813" s="1968"/>
      <c r="D1813" s="1968"/>
      <c r="E1813" s="1968"/>
      <c r="F1813" s="1968"/>
      <c r="G1813" s="1969"/>
      <c r="H1813" s="1968"/>
      <c r="I1813" s="1968"/>
      <c r="J1813" s="1968"/>
      <c r="K1813" s="1970"/>
      <c r="L1813" s="1968"/>
      <c r="M1813" s="1971"/>
      <c r="N1813" s="1963"/>
      <c r="O1813" s="1968"/>
      <c r="P1813" s="2037" t="s">
        <v>4172</v>
      </c>
      <c r="Q1813" s="1960" t="s">
        <v>4173</v>
      </c>
      <c r="R1813" s="1962" t="s">
        <v>4159</v>
      </c>
      <c r="S1813" s="1962" t="s">
        <v>4174</v>
      </c>
      <c r="T1813" s="1964" t="s">
        <v>4175</v>
      </c>
      <c r="U1813" s="1966" t="s">
        <v>4159</v>
      </c>
      <c r="V1813" s="1975"/>
      <c r="W1813" s="1975"/>
      <c r="X1813" s="1976"/>
      <c r="Y1813" s="1959"/>
      <c r="Z1813" s="633"/>
      <c r="AA1813" s="426"/>
      <c r="AB1813" s="426"/>
      <c r="AC1813" s="426"/>
      <c r="AD1813" s="564"/>
      <c r="AE1813" s="426"/>
      <c r="AF1813" s="564"/>
      <c r="AG1813" s="426"/>
      <c r="AH1813" s="426"/>
      <c r="AI1813" s="427"/>
      <c r="AJ1813" s="427"/>
      <c r="AK1813" s="426"/>
      <c r="AL1813" s="427"/>
      <c r="AM1813" s="428"/>
      <c r="AN1813" s="427"/>
      <c r="AO1813" s="427"/>
      <c r="AP1813" s="432"/>
      <c r="AQ1813" s="427"/>
      <c r="AR1813" s="427"/>
      <c r="AS1813" s="427"/>
      <c r="AT1813" s="432"/>
      <c r="AU1813" s="427"/>
      <c r="AV1813" s="427"/>
      <c r="AW1813" s="427"/>
      <c r="AX1813" s="432"/>
      <c r="AY1813" s="427"/>
      <c r="AZ1813" s="427"/>
      <c r="BA1813" s="427"/>
      <c r="BB1813" s="429"/>
      <c r="BC1813" s="430"/>
      <c r="BD1813" s="430"/>
    </row>
    <row r="1814" spans="1:59" s="431" customFormat="1" ht="18" customHeight="1" x14ac:dyDescent="0.2">
      <c r="A1814" s="1367"/>
      <c r="B1814" s="1968"/>
      <c r="C1814" s="1968"/>
      <c r="D1814" s="1968"/>
      <c r="E1814" s="433" t="s">
        <v>4176</v>
      </c>
      <c r="F1814" s="434" t="s">
        <v>2288</v>
      </c>
      <c r="G1814" s="1969"/>
      <c r="H1814" s="635" t="s">
        <v>2288</v>
      </c>
      <c r="I1814" s="635" t="s">
        <v>4177</v>
      </c>
      <c r="J1814" s="1968"/>
      <c r="K1814" s="1965"/>
      <c r="L1814" s="435" t="s">
        <v>2288</v>
      </c>
      <c r="M1814" s="681" t="s">
        <v>2288</v>
      </c>
      <c r="N1814" s="635" t="s">
        <v>2288</v>
      </c>
      <c r="O1814" s="1968"/>
      <c r="P1814" s="2038"/>
      <c r="Q1814" s="1961"/>
      <c r="R1814" s="1963"/>
      <c r="S1814" s="1963"/>
      <c r="T1814" s="1965"/>
      <c r="U1814" s="1967"/>
      <c r="V1814" s="635" t="s">
        <v>4178</v>
      </c>
      <c r="W1814" s="637" t="s">
        <v>4159</v>
      </c>
      <c r="X1814" s="1961"/>
      <c r="Y1814" s="436"/>
      <c r="Z1814" s="436"/>
      <c r="AA1814" s="426"/>
      <c r="AB1814" s="426"/>
      <c r="AC1814" s="426"/>
      <c r="AD1814" s="564"/>
      <c r="AE1814" s="426"/>
      <c r="AF1814" s="564"/>
      <c r="AG1814" s="426"/>
      <c r="AH1814" s="426"/>
      <c r="AI1814" s="427"/>
      <c r="AJ1814" s="432"/>
      <c r="AK1814" s="432"/>
      <c r="AL1814" s="427"/>
      <c r="AM1814" s="428"/>
      <c r="AN1814" s="432"/>
      <c r="AO1814" s="427"/>
      <c r="AP1814" s="432"/>
      <c r="AQ1814" s="432"/>
      <c r="AR1814" s="427"/>
      <c r="AS1814" s="427"/>
      <c r="AT1814" s="432"/>
      <c r="AU1814" s="432"/>
      <c r="AV1814" s="427"/>
      <c r="AW1814" s="427"/>
      <c r="AX1814" s="432"/>
      <c r="AY1814" s="432"/>
      <c r="AZ1814" s="427"/>
      <c r="BA1814" s="427"/>
      <c r="BB1814" s="429"/>
      <c r="BC1814" s="430"/>
      <c r="BD1814" s="430"/>
    </row>
    <row r="1815" spans="1:59" s="461" customFormat="1" ht="18" customHeight="1" x14ac:dyDescent="0.2">
      <c r="A1815" s="1368" t="str">
        <f>$D$1811&amp;S1815</f>
        <v>INUMAN - PULAU BUSUK2001</v>
      </c>
      <c r="B1815" s="1373">
        <v>1</v>
      </c>
      <c r="C1815" s="532" t="s">
        <v>529</v>
      </c>
      <c r="D1815" s="437" t="s">
        <v>3821</v>
      </c>
      <c r="E1815" s="438"/>
      <c r="F1815" s="439">
        <v>2001</v>
      </c>
      <c r="G1815" s="623">
        <v>1108800000</v>
      </c>
      <c r="H1815" s="440">
        <f>VLOOKUP(LEFT(D1815,8),UE,4)</f>
        <v>10</v>
      </c>
      <c r="I1815" s="441"/>
      <c r="J1815" s="442">
        <f>F1815+N1815-1</f>
        <v>2010</v>
      </c>
      <c r="K1815" s="443"/>
      <c r="L1815" s="440"/>
      <c r="M1815" s="746">
        <f>IF(H1815+L1815&gt;$H1815,$H1815-H1815,L1815)</f>
        <v>0</v>
      </c>
      <c r="N1815" s="444">
        <f>H1815+M1815</f>
        <v>10</v>
      </c>
      <c r="O1815" s="442">
        <f>F1815+N1815-1</f>
        <v>2010</v>
      </c>
      <c r="P1815" s="617">
        <f>G1815</f>
        <v>1108800000</v>
      </c>
      <c r="Q1815" s="445">
        <v>0</v>
      </c>
      <c r="R1815" s="445">
        <f>P1815/N1815</f>
        <v>110880000</v>
      </c>
      <c r="S1815" s="446">
        <f>F1815</f>
        <v>2001</v>
      </c>
      <c r="T1815" s="447">
        <v>1</v>
      </c>
      <c r="U1815" s="613">
        <f>R1815*T1815</f>
        <v>110880000</v>
      </c>
      <c r="V1815" s="442">
        <f>F1815</f>
        <v>2001</v>
      </c>
      <c r="W1815" s="617">
        <f>IF(OR(AND(ISBLANK(E1815),ISBLANK(G1815)),ISTEXT(E1815),ISTEXT(G1815)),"",G1815-R1815)</f>
        <v>997920000</v>
      </c>
      <c r="X1815" s="448"/>
      <c r="Y1815" s="449"/>
      <c r="Z1815" s="449"/>
      <c r="AA1815" s="452"/>
      <c r="AB1815" s="452"/>
      <c r="AC1815" s="452"/>
      <c r="AD1815" s="571"/>
      <c r="AE1815" s="452"/>
      <c r="AF1815" s="571"/>
      <c r="AG1815" s="452"/>
      <c r="AH1815" s="452"/>
      <c r="AI1815" s="453"/>
      <c r="AJ1815" s="449"/>
      <c r="AK1815" s="453"/>
      <c r="AL1815" s="454"/>
      <c r="AM1815" s="455"/>
      <c r="AN1815" s="456"/>
      <c r="AO1815" s="455"/>
      <c r="AP1815" s="452"/>
      <c r="AQ1815" s="457"/>
      <c r="AR1815" s="449"/>
      <c r="AS1815" s="449"/>
      <c r="AT1815" s="452"/>
      <c r="AU1815" s="457"/>
      <c r="AV1815" s="449"/>
      <c r="AW1815" s="458"/>
      <c r="AX1815" s="452"/>
      <c r="AY1815" s="457"/>
      <c r="AZ1815" s="449"/>
      <c r="BA1815" s="459"/>
      <c r="BB1815" s="455"/>
      <c r="BC1815" s="460"/>
      <c r="BD1815" s="460"/>
      <c r="BG1815" s="462"/>
    </row>
    <row r="1816" spans="1:59" s="461" customFormat="1" ht="18" customHeight="1" x14ac:dyDescent="0.2">
      <c r="A1816" s="1368" t="str">
        <f t="shared" ref="A1816:A1825" si="1362">$D$1811&amp;S1816</f>
        <v>INUMAN - PULAU BUSUK2010</v>
      </c>
      <c r="B1816" s="1373"/>
      <c r="C1816" s="488"/>
      <c r="D1816" s="489"/>
      <c r="E1816" s="558"/>
      <c r="F1816" s="559">
        <v>2010</v>
      </c>
      <c r="G1816" s="619">
        <v>0</v>
      </c>
      <c r="H1816" s="464">
        <f>IF(N1815-(F1816-F1815)&lt;=0,0,(N1815-(F1816-F1815)))</f>
        <v>1</v>
      </c>
      <c r="I1816" s="560"/>
      <c r="J1816" s="468">
        <f>F1816+N1816-1</f>
        <v>2010</v>
      </c>
      <c r="K1816" s="490">
        <f>IF(G1816=0,0,IF(H1816=10,100%,G1816/W1815))</f>
        <v>0</v>
      </c>
      <c r="L1816" s="469">
        <f>IF(K1816=0%,0,IF(K1816&lt;=30%,2,IF(K1816&lt;=60%,5,10)))</f>
        <v>0</v>
      </c>
      <c r="M1816" s="683">
        <f>IF(OR(AND(ISBLANK(E1816),ISBLANK(G1816)),ISTEXT(E1816),ISTEXT(G1816)),"",IF(H1816+L1816&gt;$H$8,$H$8-H1816,L1816))</f>
        <v>0</v>
      </c>
      <c r="N1816" s="470">
        <f>IF(OR(AND(ISBLANK(F1816),ISBLANK(G1816)),ISTEXT(F1816),ISTEXT(G1816)),"",H1816+M1816)</f>
        <v>1</v>
      </c>
      <c r="O1816" s="468">
        <f>F1816+N1816-1</f>
        <v>2010</v>
      </c>
      <c r="P1816" s="616">
        <f>W1815</f>
        <v>997920000</v>
      </c>
      <c r="Q1816" s="472">
        <f>P1816+G1816</f>
        <v>997920000</v>
      </c>
      <c r="R1816" s="472">
        <f>IF(L1816=0,R1815,Q1816/N1816)</f>
        <v>110880000</v>
      </c>
      <c r="S1816" s="634">
        <f>F1816</f>
        <v>2010</v>
      </c>
      <c r="T1816" s="470">
        <f>S1816-S1815</f>
        <v>9</v>
      </c>
      <c r="U1816" s="612">
        <f>R1816*T1816</f>
        <v>997920000</v>
      </c>
      <c r="V1816" s="464">
        <f>F1816</f>
        <v>2010</v>
      </c>
      <c r="W1816" s="612">
        <f>IF(OR(AND(ISBLANK(E1816),ISBLANK(G1816)),ISTEXT(E1816),ISTEXT(G1816)),"",Q1816-U1816)</f>
        <v>0</v>
      </c>
      <c r="X1816" s="561"/>
      <c r="Y1816" s="449"/>
      <c r="Z1816" s="449"/>
      <c r="AA1816" s="693"/>
      <c r="AB1816" s="452"/>
      <c r="AC1816" s="452"/>
      <c r="AD1816" s="571"/>
      <c r="AE1816" s="452"/>
      <c r="AF1816" s="571"/>
      <c r="AG1816" s="452"/>
      <c r="AH1816" s="452"/>
      <c r="AI1816" s="453"/>
      <c r="AJ1816" s="449"/>
      <c r="AK1816" s="453"/>
      <c r="AL1816" s="454"/>
      <c r="AM1816" s="455"/>
      <c r="AN1816" s="456"/>
      <c r="AO1816" s="455"/>
      <c r="AP1816" s="452"/>
      <c r="AQ1816" s="457"/>
      <c r="AR1816" s="449"/>
      <c r="AS1816" s="449"/>
      <c r="AT1816" s="452"/>
      <c r="AU1816" s="457"/>
      <c r="AV1816" s="449"/>
      <c r="AW1816" s="458"/>
      <c r="AX1816" s="452"/>
      <c r="AY1816" s="457"/>
      <c r="AZ1816" s="449"/>
      <c r="BA1816" s="459"/>
      <c r="BB1816" s="455"/>
      <c r="BC1816" s="460"/>
      <c r="BD1816" s="460"/>
      <c r="BG1816" s="462"/>
    </row>
    <row r="1817" spans="1:59" s="461" customFormat="1" ht="18" customHeight="1" x14ac:dyDescent="0.2">
      <c r="A1817" s="1368" t="str">
        <f t="shared" si="1362"/>
        <v>INUMAN - PULAU BUSUK2011</v>
      </c>
      <c r="B1817" s="1375"/>
      <c r="C1817" s="488"/>
      <c r="D1817" s="489"/>
      <c r="E1817" s="558"/>
      <c r="F1817" s="559">
        <v>2011</v>
      </c>
      <c r="G1817" s="619">
        <v>0</v>
      </c>
      <c r="H1817" s="464">
        <f t="shared" ref="H1817:H1825" si="1363">IF(N1816-(F1817-F1816)&lt;=0,0,(N1816-(F1817-F1816)))</f>
        <v>0</v>
      </c>
      <c r="I1817" s="560"/>
      <c r="J1817" s="468">
        <f t="shared" ref="J1817:J1825" si="1364">F1817+N1817-1</f>
        <v>2010</v>
      </c>
      <c r="K1817" s="490">
        <f t="shared" ref="K1817:K1825" si="1365">IF(G1817=0,0,IF(H1817=10,100%,G1817/W1816))</f>
        <v>0</v>
      </c>
      <c r="L1817" s="469">
        <f t="shared" ref="L1817:L1825" si="1366">IF(K1817=0%,0,IF(K1817&lt;=30%,2,IF(K1817&lt;=60%,5,10)))</f>
        <v>0</v>
      </c>
      <c r="M1817" s="683">
        <f t="shared" ref="M1817:M1825" si="1367">IF(OR(AND(ISBLANK(E1817),ISBLANK(G1817)),ISTEXT(E1817),ISTEXT(G1817)),"",IF(H1817+L1817&gt;$H$8,$H$8-H1817,L1817))</f>
        <v>0</v>
      </c>
      <c r="N1817" s="470">
        <f t="shared" ref="N1817:N1825" si="1368">IF(OR(AND(ISBLANK(F1817),ISBLANK(G1817)),ISTEXT(F1817),ISTEXT(G1817)),"",H1817+M1817)</f>
        <v>0</v>
      </c>
      <c r="O1817" s="468">
        <f t="shared" ref="O1817:O1825" si="1369">F1817+N1817-1</f>
        <v>2010</v>
      </c>
      <c r="P1817" s="616">
        <f t="shared" ref="P1817:P1825" si="1370">W1816</f>
        <v>0</v>
      </c>
      <c r="Q1817" s="472">
        <f t="shared" ref="Q1817:Q1825" si="1371">P1817+G1817</f>
        <v>0</v>
      </c>
      <c r="R1817" s="472">
        <v>0</v>
      </c>
      <c r="S1817" s="1189">
        <f t="shared" ref="S1817:S1825" si="1372">F1817</f>
        <v>2011</v>
      </c>
      <c r="T1817" s="470">
        <f t="shared" ref="T1817:T1825" si="1373">S1817-S1816</f>
        <v>1</v>
      </c>
      <c r="U1817" s="612">
        <f t="shared" ref="U1817:U1825" si="1374">R1817*T1817</f>
        <v>0</v>
      </c>
      <c r="V1817" s="464">
        <f t="shared" ref="V1817:V1825" si="1375">F1817</f>
        <v>2011</v>
      </c>
      <c r="W1817" s="612">
        <f t="shared" ref="W1817:W1825" si="1376">IF(OR(AND(ISBLANK(E1817),ISBLANK(G1817)),ISTEXT(E1817),ISTEXT(G1817)),"",Q1817-U1817)</f>
        <v>0</v>
      </c>
      <c r="X1817" s="561"/>
      <c r="Y1817" s="449"/>
      <c r="Z1817" s="449"/>
      <c r="AA1817" s="693"/>
      <c r="AB1817" s="452"/>
      <c r="AC1817" s="452"/>
      <c r="AD1817" s="571"/>
      <c r="AE1817" s="452"/>
      <c r="AF1817" s="571"/>
      <c r="AG1817" s="452"/>
      <c r="AH1817" s="452"/>
      <c r="AI1817" s="453"/>
      <c r="AJ1817" s="449"/>
      <c r="AK1817" s="453"/>
      <c r="AL1817" s="454"/>
      <c r="AM1817" s="455"/>
      <c r="AN1817" s="456"/>
      <c r="AO1817" s="455"/>
      <c r="AP1817" s="452"/>
      <c r="AQ1817" s="457"/>
      <c r="AR1817" s="449"/>
      <c r="AS1817" s="449"/>
      <c r="AT1817" s="452"/>
      <c r="AU1817" s="457"/>
      <c r="AV1817" s="449"/>
      <c r="AW1817" s="458"/>
      <c r="AX1817" s="452"/>
      <c r="AY1817" s="457"/>
      <c r="AZ1817" s="449"/>
      <c r="BA1817" s="459"/>
      <c r="BB1817" s="455"/>
      <c r="BC1817" s="460"/>
      <c r="BD1817" s="460"/>
      <c r="BG1817" s="462"/>
    </row>
    <row r="1818" spans="1:59" s="461" customFormat="1" ht="18" customHeight="1" x14ac:dyDescent="0.2">
      <c r="A1818" s="1368" t="str">
        <f t="shared" si="1362"/>
        <v>INUMAN - PULAU BUSUK2012</v>
      </c>
      <c r="B1818" s="1375"/>
      <c r="C1818" s="488"/>
      <c r="D1818" s="489"/>
      <c r="E1818" s="558"/>
      <c r="F1818" s="559">
        <v>2012</v>
      </c>
      <c r="G1818" s="619">
        <v>0</v>
      </c>
      <c r="H1818" s="464">
        <f t="shared" si="1363"/>
        <v>0</v>
      </c>
      <c r="I1818" s="560"/>
      <c r="J1818" s="468">
        <f t="shared" si="1364"/>
        <v>2011</v>
      </c>
      <c r="K1818" s="490">
        <f t="shared" si="1365"/>
        <v>0</v>
      </c>
      <c r="L1818" s="469">
        <f t="shared" si="1366"/>
        <v>0</v>
      </c>
      <c r="M1818" s="683">
        <f t="shared" si="1367"/>
        <v>0</v>
      </c>
      <c r="N1818" s="470">
        <f t="shared" si="1368"/>
        <v>0</v>
      </c>
      <c r="O1818" s="468">
        <f t="shared" si="1369"/>
        <v>2011</v>
      </c>
      <c r="P1818" s="616">
        <f t="shared" si="1370"/>
        <v>0</v>
      </c>
      <c r="Q1818" s="472">
        <f t="shared" si="1371"/>
        <v>0</v>
      </c>
      <c r="R1818" s="472">
        <f t="shared" ref="R1818:R1825" si="1377">IF(L1818=0,R1817,Q1818/N1818)</f>
        <v>0</v>
      </c>
      <c r="S1818" s="1189">
        <f t="shared" si="1372"/>
        <v>2012</v>
      </c>
      <c r="T1818" s="470">
        <f t="shared" si="1373"/>
        <v>1</v>
      </c>
      <c r="U1818" s="612">
        <f t="shared" si="1374"/>
        <v>0</v>
      </c>
      <c r="V1818" s="464">
        <f t="shared" si="1375"/>
        <v>2012</v>
      </c>
      <c r="W1818" s="612">
        <f t="shared" si="1376"/>
        <v>0</v>
      </c>
      <c r="X1818" s="561"/>
      <c r="Y1818" s="449"/>
      <c r="Z1818" s="449"/>
      <c r="AA1818" s="693"/>
      <c r="AB1818" s="452"/>
      <c r="AC1818" s="452"/>
      <c r="AD1818" s="571"/>
      <c r="AE1818" s="452"/>
      <c r="AF1818" s="571"/>
      <c r="AG1818" s="452"/>
      <c r="AH1818" s="452"/>
      <c r="AI1818" s="453"/>
      <c r="AJ1818" s="449"/>
      <c r="AK1818" s="453"/>
      <c r="AL1818" s="454"/>
      <c r="AM1818" s="455"/>
      <c r="AN1818" s="456"/>
      <c r="AO1818" s="455"/>
      <c r="AP1818" s="452"/>
      <c r="AQ1818" s="457"/>
      <c r="AR1818" s="449"/>
      <c r="AS1818" s="449"/>
      <c r="AT1818" s="452"/>
      <c r="AU1818" s="457"/>
      <c r="AV1818" s="449"/>
      <c r="AW1818" s="458"/>
      <c r="AX1818" s="452"/>
      <c r="AY1818" s="457"/>
      <c r="AZ1818" s="449"/>
      <c r="BA1818" s="459"/>
      <c r="BB1818" s="455"/>
      <c r="BC1818" s="460"/>
      <c r="BD1818" s="460"/>
      <c r="BG1818" s="462"/>
    </row>
    <row r="1819" spans="1:59" s="461" customFormat="1" ht="18" customHeight="1" x14ac:dyDescent="0.2">
      <c r="A1819" s="1368" t="str">
        <f t="shared" si="1362"/>
        <v>INUMAN - PULAU BUSUK2013</v>
      </c>
      <c r="B1819" s="1373"/>
      <c r="C1819" s="488"/>
      <c r="D1819" s="489"/>
      <c r="E1819" s="558"/>
      <c r="F1819" s="559">
        <v>2013</v>
      </c>
      <c r="G1819" s="619">
        <v>0</v>
      </c>
      <c r="H1819" s="464">
        <f t="shared" si="1363"/>
        <v>0</v>
      </c>
      <c r="I1819" s="560"/>
      <c r="J1819" s="468">
        <f t="shared" si="1364"/>
        <v>2012</v>
      </c>
      <c r="K1819" s="490">
        <f t="shared" si="1365"/>
        <v>0</v>
      </c>
      <c r="L1819" s="469">
        <f t="shared" si="1366"/>
        <v>0</v>
      </c>
      <c r="M1819" s="683">
        <f t="shared" si="1367"/>
        <v>0</v>
      </c>
      <c r="N1819" s="470">
        <f t="shared" si="1368"/>
        <v>0</v>
      </c>
      <c r="O1819" s="468">
        <f t="shared" si="1369"/>
        <v>2012</v>
      </c>
      <c r="P1819" s="616">
        <f t="shared" si="1370"/>
        <v>0</v>
      </c>
      <c r="Q1819" s="472">
        <f t="shared" si="1371"/>
        <v>0</v>
      </c>
      <c r="R1819" s="472">
        <f t="shared" si="1377"/>
        <v>0</v>
      </c>
      <c r="S1819" s="1189">
        <f t="shared" si="1372"/>
        <v>2013</v>
      </c>
      <c r="T1819" s="470">
        <f t="shared" si="1373"/>
        <v>1</v>
      </c>
      <c r="U1819" s="612">
        <f t="shared" si="1374"/>
        <v>0</v>
      </c>
      <c r="V1819" s="464">
        <f t="shared" si="1375"/>
        <v>2013</v>
      </c>
      <c r="W1819" s="612">
        <f t="shared" si="1376"/>
        <v>0</v>
      </c>
      <c r="X1819" s="561"/>
      <c r="Y1819" s="449"/>
      <c r="Z1819" s="449"/>
      <c r="AA1819" s="694"/>
      <c r="AB1819" s="692"/>
      <c r="AC1819" s="692"/>
      <c r="AD1819" s="695"/>
      <c r="AE1819" s="452"/>
      <c r="AF1819" s="571"/>
      <c r="AG1819" s="452"/>
      <c r="AH1819" s="452"/>
      <c r="AI1819" s="453"/>
      <c r="AJ1819" s="449"/>
      <c r="AK1819" s="453"/>
      <c r="AL1819" s="454"/>
      <c r="AM1819" s="455"/>
      <c r="AN1819" s="456"/>
      <c r="AO1819" s="455"/>
      <c r="AP1819" s="452"/>
      <c r="AQ1819" s="457"/>
      <c r="AR1819" s="449"/>
      <c r="AS1819" s="449"/>
      <c r="AT1819" s="452"/>
      <c r="AU1819" s="457"/>
      <c r="AV1819" s="449"/>
      <c r="AW1819" s="458"/>
      <c r="AX1819" s="452"/>
      <c r="AY1819" s="457"/>
      <c r="AZ1819" s="449"/>
      <c r="BA1819" s="459"/>
      <c r="BB1819" s="455"/>
      <c r="BC1819" s="460"/>
      <c r="BD1819" s="460"/>
      <c r="BG1819" s="462"/>
    </row>
    <row r="1820" spans="1:59" s="461" customFormat="1" ht="18" customHeight="1" x14ac:dyDescent="0.2">
      <c r="A1820" s="1368" t="str">
        <f t="shared" si="1362"/>
        <v>INUMAN - PULAU BUSUK2014</v>
      </c>
      <c r="B1820" s="1373"/>
      <c r="C1820" s="488"/>
      <c r="D1820" s="489"/>
      <c r="E1820" s="558"/>
      <c r="F1820" s="559">
        <v>2014</v>
      </c>
      <c r="G1820" s="619">
        <v>0</v>
      </c>
      <c r="H1820" s="464">
        <f t="shared" si="1363"/>
        <v>0</v>
      </c>
      <c r="I1820" s="560"/>
      <c r="J1820" s="468">
        <f t="shared" si="1364"/>
        <v>2013</v>
      </c>
      <c r="K1820" s="490">
        <f t="shared" si="1365"/>
        <v>0</v>
      </c>
      <c r="L1820" s="469">
        <f t="shared" si="1366"/>
        <v>0</v>
      </c>
      <c r="M1820" s="683">
        <f t="shared" si="1367"/>
        <v>0</v>
      </c>
      <c r="N1820" s="470">
        <f t="shared" si="1368"/>
        <v>0</v>
      </c>
      <c r="O1820" s="468">
        <f t="shared" si="1369"/>
        <v>2013</v>
      </c>
      <c r="P1820" s="616">
        <f t="shared" si="1370"/>
        <v>0</v>
      </c>
      <c r="Q1820" s="472">
        <f t="shared" si="1371"/>
        <v>0</v>
      </c>
      <c r="R1820" s="472">
        <f t="shared" si="1377"/>
        <v>0</v>
      </c>
      <c r="S1820" s="1189">
        <f t="shared" si="1372"/>
        <v>2014</v>
      </c>
      <c r="T1820" s="470">
        <f t="shared" si="1373"/>
        <v>1</v>
      </c>
      <c r="U1820" s="612">
        <f t="shared" si="1374"/>
        <v>0</v>
      </c>
      <c r="V1820" s="464">
        <f t="shared" si="1375"/>
        <v>2014</v>
      </c>
      <c r="W1820" s="612">
        <f t="shared" si="1376"/>
        <v>0</v>
      </c>
      <c r="X1820" s="561"/>
      <c r="Y1820" s="449"/>
      <c r="Z1820" s="449"/>
      <c r="AA1820" s="554" t="s">
        <v>4179</v>
      </c>
      <c r="AB1820" s="452"/>
      <c r="AC1820" s="452"/>
      <c r="AD1820" s="566"/>
      <c r="AE1820" s="452"/>
      <c r="AF1820" s="571"/>
      <c r="AG1820" s="452"/>
      <c r="AH1820" s="452"/>
      <c r="AI1820" s="453"/>
      <c r="AJ1820" s="449"/>
      <c r="AK1820" s="453"/>
      <c r="AL1820" s="454"/>
      <c r="AM1820" s="455"/>
      <c r="AN1820" s="456"/>
      <c r="AO1820" s="455"/>
      <c r="AP1820" s="452"/>
      <c r="AQ1820" s="457"/>
      <c r="AR1820" s="449"/>
      <c r="AS1820" s="449"/>
      <c r="AT1820" s="452"/>
      <c r="AU1820" s="457"/>
      <c r="AV1820" s="449"/>
      <c r="AW1820" s="458"/>
      <c r="AX1820" s="452"/>
      <c r="AY1820" s="457"/>
      <c r="AZ1820" s="449"/>
      <c r="BA1820" s="459"/>
      <c r="BB1820" s="455"/>
      <c r="BC1820" s="460"/>
      <c r="BD1820" s="460"/>
      <c r="BG1820" s="462"/>
    </row>
    <row r="1821" spans="1:59" s="486" customFormat="1" ht="18" customHeight="1" x14ac:dyDescent="0.2">
      <c r="A1821" s="1368" t="str">
        <f t="shared" si="1362"/>
        <v>INUMAN - PULAU BUSUK2015</v>
      </c>
      <c r="B1821" s="1373">
        <v>2</v>
      </c>
      <c r="C1821" s="488" t="s">
        <v>1369</v>
      </c>
      <c r="D1821" s="489" t="s">
        <v>3821</v>
      </c>
      <c r="E1821" s="558"/>
      <c r="F1821" s="559">
        <v>2015</v>
      </c>
      <c r="G1821" s="619">
        <v>2025740168</v>
      </c>
      <c r="H1821" s="557">
        <f>VLOOKUP(LEFT(D1821,8),UE,4)</f>
        <v>10</v>
      </c>
      <c r="I1821" s="560"/>
      <c r="J1821" s="468">
        <f t="shared" si="1364"/>
        <v>2024</v>
      </c>
      <c r="K1821" s="490">
        <f t="shared" si="1365"/>
        <v>1</v>
      </c>
      <c r="L1821" s="469">
        <f t="shared" si="1366"/>
        <v>10</v>
      </c>
      <c r="M1821" s="683">
        <f t="shared" si="1367"/>
        <v>0</v>
      </c>
      <c r="N1821" s="470">
        <f t="shared" si="1368"/>
        <v>10</v>
      </c>
      <c r="O1821" s="468">
        <f t="shared" si="1369"/>
        <v>2024</v>
      </c>
      <c r="P1821" s="616">
        <f t="shared" si="1370"/>
        <v>0</v>
      </c>
      <c r="Q1821" s="472">
        <f t="shared" si="1371"/>
        <v>2025740168</v>
      </c>
      <c r="R1821" s="472">
        <f t="shared" si="1377"/>
        <v>202574016.80000001</v>
      </c>
      <c r="S1821" s="1189">
        <f t="shared" si="1372"/>
        <v>2015</v>
      </c>
      <c r="T1821" s="470">
        <f t="shared" si="1373"/>
        <v>1</v>
      </c>
      <c r="U1821" s="612">
        <f t="shared" si="1374"/>
        <v>202574016.80000001</v>
      </c>
      <c r="V1821" s="464">
        <f t="shared" si="1375"/>
        <v>2015</v>
      </c>
      <c r="W1821" s="612">
        <f t="shared" si="1376"/>
        <v>1823166151.2</v>
      </c>
      <c r="X1821" s="561"/>
      <c r="Y1821" s="474"/>
      <c r="Z1821" s="449"/>
      <c r="AA1821" s="475"/>
      <c r="AB1821" s="476"/>
      <c r="AC1821" s="476"/>
      <c r="AD1821" s="567"/>
      <c r="AE1821" s="476"/>
      <c r="AF1821" s="568"/>
      <c r="AG1821" s="476"/>
      <c r="AH1821" s="476"/>
      <c r="AI1821" s="477"/>
      <c r="AJ1821" s="478"/>
      <c r="AK1821" s="479"/>
      <c r="AL1821" s="480"/>
      <c r="AM1821" s="474"/>
      <c r="AN1821" s="481"/>
      <c r="AO1821" s="474"/>
      <c r="AP1821" s="476"/>
      <c r="AQ1821" s="482"/>
      <c r="AR1821" s="478"/>
      <c r="AS1821" s="478"/>
      <c r="AT1821" s="476"/>
      <c r="AU1821" s="482"/>
      <c r="AV1821" s="478"/>
      <c r="AW1821" s="483"/>
      <c r="AX1821" s="476"/>
      <c r="AY1821" s="482"/>
      <c r="AZ1821" s="478"/>
      <c r="BA1821" s="484"/>
      <c r="BB1821" s="474"/>
      <c r="BC1821" s="485"/>
      <c r="BD1821" s="485"/>
      <c r="BG1821" s="487"/>
    </row>
    <row r="1822" spans="1:59" s="486" customFormat="1" ht="18" customHeight="1" x14ac:dyDescent="0.2">
      <c r="A1822" s="1368" t="str">
        <f t="shared" si="1362"/>
        <v>INUMAN - PULAU BUSUK2016</v>
      </c>
      <c r="B1822" s="1373"/>
      <c r="C1822" s="488"/>
      <c r="D1822" s="489"/>
      <c r="E1822" s="558"/>
      <c r="F1822" s="559">
        <v>2016</v>
      </c>
      <c r="G1822" s="619">
        <v>0</v>
      </c>
      <c r="H1822" s="464">
        <f t="shared" si="1363"/>
        <v>9</v>
      </c>
      <c r="I1822" s="560"/>
      <c r="J1822" s="468">
        <f t="shared" si="1364"/>
        <v>2024</v>
      </c>
      <c r="K1822" s="490">
        <f t="shared" si="1365"/>
        <v>0</v>
      </c>
      <c r="L1822" s="469">
        <f t="shared" si="1366"/>
        <v>0</v>
      </c>
      <c r="M1822" s="683">
        <f t="shared" si="1367"/>
        <v>0</v>
      </c>
      <c r="N1822" s="470">
        <f t="shared" si="1368"/>
        <v>9</v>
      </c>
      <c r="O1822" s="468">
        <f t="shared" si="1369"/>
        <v>2024</v>
      </c>
      <c r="P1822" s="616">
        <f t="shared" si="1370"/>
        <v>1823166151.2</v>
      </c>
      <c r="Q1822" s="472">
        <f t="shared" si="1371"/>
        <v>1823166151.2</v>
      </c>
      <c r="R1822" s="472">
        <f t="shared" si="1377"/>
        <v>202574016.80000001</v>
      </c>
      <c r="S1822" s="1189">
        <f t="shared" si="1372"/>
        <v>2016</v>
      </c>
      <c r="T1822" s="470">
        <f t="shared" si="1373"/>
        <v>1</v>
      </c>
      <c r="U1822" s="612">
        <f t="shared" si="1374"/>
        <v>202574016.80000001</v>
      </c>
      <c r="V1822" s="464">
        <f t="shared" si="1375"/>
        <v>2016</v>
      </c>
      <c r="W1822" s="612">
        <f t="shared" si="1376"/>
        <v>1620592134.4000001</v>
      </c>
      <c r="X1822" s="561"/>
      <c r="Y1822" s="474"/>
      <c r="Z1822" s="449"/>
      <c r="AA1822" s="475" t="s">
        <v>4180</v>
      </c>
      <c r="AB1822" s="476"/>
      <c r="AC1822" s="476"/>
      <c r="AD1822" s="567">
        <f>G1828</f>
        <v>5484259682</v>
      </c>
      <c r="AE1822" s="476"/>
      <c r="AF1822" s="568"/>
      <c r="AG1822" s="476"/>
      <c r="AH1822" s="476"/>
      <c r="AI1822" s="477"/>
      <c r="AJ1822" s="478"/>
      <c r="AK1822" s="479"/>
      <c r="AL1822" s="480"/>
      <c r="AM1822" s="474"/>
      <c r="AN1822" s="481"/>
      <c r="AO1822" s="474"/>
      <c r="AP1822" s="476"/>
      <c r="AQ1822" s="482"/>
      <c r="AR1822" s="478"/>
      <c r="AS1822" s="478"/>
      <c r="AT1822" s="476"/>
      <c r="AU1822" s="482"/>
      <c r="AV1822" s="478"/>
      <c r="AW1822" s="483"/>
      <c r="AX1822" s="476"/>
      <c r="AY1822" s="482"/>
      <c r="AZ1822" s="478"/>
      <c r="BA1822" s="484"/>
      <c r="BB1822" s="474"/>
      <c r="BC1822" s="485"/>
      <c r="BD1822" s="485"/>
      <c r="BG1822" s="487"/>
    </row>
    <row r="1823" spans="1:59" s="486" customFormat="1" ht="18" customHeight="1" x14ac:dyDescent="0.2">
      <c r="A1823" s="1368" t="str">
        <f t="shared" si="1362"/>
        <v>INUMAN - PULAU BUSUK2017</v>
      </c>
      <c r="B1823" s="1373">
        <v>3</v>
      </c>
      <c r="C1823" s="488" t="s">
        <v>2495</v>
      </c>
      <c r="D1823" s="489" t="s">
        <v>3821</v>
      </c>
      <c r="E1823" s="558"/>
      <c r="F1823" s="559">
        <v>2017</v>
      </c>
      <c r="G1823" s="619">
        <v>185659000</v>
      </c>
      <c r="H1823" s="464">
        <f t="shared" si="1363"/>
        <v>8</v>
      </c>
      <c r="I1823" s="560"/>
      <c r="J1823" s="468">
        <f t="shared" si="1364"/>
        <v>2026</v>
      </c>
      <c r="K1823" s="490">
        <f t="shared" si="1365"/>
        <v>0.11456244668788143</v>
      </c>
      <c r="L1823" s="469">
        <f t="shared" si="1366"/>
        <v>2</v>
      </c>
      <c r="M1823" s="683">
        <f t="shared" si="1367"/>
        <v>2</v>
      </c>
      <c r="N1823" s="470">
        <f t="shared" si="1368"/>
        <v>10</v>
      </c>
      <c r="O1823" s="468">
        <f t="shared" si="1369"/>
        <v>2026</v>
      </c>
      <c r="P1823" s="616">
        <f t="shared" si="1370"/>
        <v>1620592134.4000001</v>
      </c>
      <c r="Q1823" s="472">
        <f t="shared" si="1371"/>
        <v>1806251134.4000001</v>
      </c>
      <c r="R1823" s="472">
        <f t="shared" si="1377"/>
        <v>180625113.44</v>
      </c>
      <c r="S1823" s="1189">
        <f t="shared" si="1372"/>
        <v>2017</v>
      </c>
      <c r="T1823" s="470">
        <f t="shared" si="1373"/>
        <v>1</v>
      </c>
      <c r="U1823" s="612">
        <f t="shared" si="1374"/>
        <v>180625113.44</v>
      </c>
      <c r="V1823" s="464">
        <f t="shared" si="1375"/>
        <v>2017</v>
      </c>
      <c r="W1823" s="612">
        <f t="shared" si="1376"/>
        <v>1625626020.96</v>
      </c>
      <c r="X1823" s="473"/>
      <c r="Y1823" s="478"/>
      <c r="Z1823" s="449"/>
      <c r="AA1823" s="475" t="s">
        <v>4181</v>
      </c>
      <c r="AB1823" s="491"/>
      <c r="AC1823" s="491"/>
      <c r="AD1823" s="567">
        <f>U1828</f>
        <v>2452510454.0320001</v>
      </c>
      <c r="AE1823" s="491"/>
      <c r="AF1823" s="568"/>
      <c r="AG1823" s="491"/>
      <c r="AH1823" s="491"/>
      <c r="AI1823" s="477"/>
      <c r="AJ1823" s="478"/>
      <c r="AK1823" s="479"/>
      <c r="AL1823" s="480"/>
      <c r="AM1823" s="474"/>
      <c r="AN1823" s="481"/>
      <c r="AO1823" s="474"/>
      <c r="AP1823" s="476"/>
      <c r="AQ1823" s="482"/>
      <c r="AR1823" s="478"/>
      <c r="AS1823" s="478"/>
      <c r="AT1823" s="476"/>
      <c r="AU1823" s="482"/>
      <c r="AV1823" s="478"/>
      <c r="AW1823" s="483"/>
      <c r="AX1823" s="476"/>
      <c r="AY1823" s="482"/>
      <c r="AZ1823" s="478"/>
      <c r="BA1823" s="484"/>
      <c r="BB1823" s="474"/>
      <c r="BC1823" s="485"/>
      <c r="BD1823" s="485"/>
      <c r="BG1823" s="487"/>
    </row>
    <row r="1824" spans="1:59" s="486" customFormat="1" ht="18" customHeight="1" x14ac:dyDescent="0.2">
      <c r="A1824" s="1368" t="str">
        <f t="shared" si="1362"/>
        <v>INUMAN - PULAU BUSUK2018</v>
      </c>
      <c r="B1824" s="1373">
        <v>4</v>
      </c>
      <c r="C1824" s="488" t="s">
        <v>3320</v>
      </c>
      <c r="D1824" s="489" t="s">
        <v>3821</v>
      </c>
      <c r="E1824" s="558"/>
      <c r="F1824" s="559">
        <v>2018</v>
      </c>
      <c r="G1824" s="619">
        <v>2164060514</v>
      </c>
      <c r="H1824" s="464">
        <f t="shared" si="1363"/>
        <v>9</v>
      </c>
      <c r="I1824" s="560"/>
      <c r="J1824" s="468">
        <f t="shared" si="1364"/>
        <v>2027</v>
      </c>
      <c r="K1824" s="490">
        <f t="shared" si="1365"/>
        <v>1.3312167042712764</v>
      </c>
      <c r="L1824" s="469">
        <f t="shared" si="1366"/>
        <v>10</v>
      </c>
      <c r="M1824" s="683">
        <f t="shared" si="1367"/>
        <v>1</v>
      </c>
      <c r="N1824" s="470">
        <f t="shared" si="1368"/>
        <v>10</v>
      </c>
      <c r="O1824" s="468">
        <f t="shared" si="1369"/>
        <v>2027</v>
      </c>
      <c r="P1824" s="616">
        <f t="shared" si="1370"/>
        <v>1625626020.96</v>
      </c>
      <c r="Q1824" s="472">
        <f t="shared" si="1371"/>
        <v>3789686534.96</v>
      </c>
      <c r="R1824" s="472">
        <f t="shared" si="1377"/>
        <v>378968653.49599999</v>
      </c>
      <c r="S1824" s="1189">
        <f t="shared" si="1372"/>
        <v>2018</v>
      </c>
      <c r="T1824" s="470">
        <f t="shared" si="1373"/>
        <v>1</v>
      </c>
      <c r="U1824" s="612">
        <f t="shared" si="1374"/>
        <v>378968653.49599999</v>
      </c>
      <c r="V1824" s="464">
        <f t="shared" si="1375"/>
        <v>2018</v>
      </c>
      <c r="W1824" s="612">
        <f t="shared" si="1376"/>
        <v>3410717881.4640002</v>
      </c>
      <c r="X1824" s="473"/>
      <c r="Y1824" s="478"/>
      <c r="Z1824" s="449"/>
      <c r="AA1824" s="492" t="s">
        <v>4182</v>
      </c>
      <c r="AB1824" s="476"/>
      <c r="AC1824" s="476"/>
      <c r="AD1824" s="567">
        <f>AD1822-AD1823</f>
        <v>3031749227.9679999</v>
      </c>
      <c r="AE1824" s="476"/>
      <c r="AF1824" s="568"/>
      <c r="AG1824" s="476"/>
      <c r="AH1824" s="476"/>
      <c r="AI1824" s="477"/>
      <c r="AJ1824" s="478"/>
      <c r="AK1824" s="479"/>
      <c r="AL1824" s="480"/>
      <c r="AM1824" s="474"/>
      <c r="AN1824" s="481"/>
      <c r="AO1824" s="474"/>
      <c r="AP1824" s="476"/>
      <c r="AQ1824" s="482"/>
      <c r="AR1824" s="478"/>
      <c r="AS1824" s="478"/>
      <c r="AT1824" s="476"/>
      <c r="AU1824" s="482"/>
      <c r="AV1824" s="478"/>
      <c r="AW1824" s="483"/>
      <c r="AX1824" s="476"/>
      <c r="AY1824" s="482"/>
      <c r="AZ1824" s="478"/>
      <c r="BA1824" s="484"/>
      <c r="BB1824" s="474"/>
      <c r="BC1824" s="485"/>
      <c r="BD1824" s="485"/>
      <c r="BG1824" s="487"/>
    </row>
    <row r="1825" spans="1:59" s="486" customFormat="1" ht="18" customHeight="1" x14ac:dyDescent="0.2">
      <c r="A1825" s="1368" t="str">
        <f t="shared" si="1362"/>
        <v>INUMAN - PULAU BUSUK2019</v>
      </c>
      <c r="B1825" s="1375"/>
      <c r="C1825" s="488"/>
      <c r="D1825" s="489"/>
      <c r="E1825" s="558"/>
      <c r="F1825" s="559">
        <v>2019</v>
      </c>
      <c r="G1825" s="619">
        <v>0</v>
      </c>
      <c r="H1825" s="464">
        <f t="shared" si="1363"/>
        <v>9</v>
      </c>
      <c r="I1825" s="560"/>
      <c r="J1825" s="468">
        <f t="shared" si="1364"/>
        <v>2027</v>
      </c>
      <c r="K1825" s="490">
        <f t="shared" si="1365"/>
        <v>0</v>
      </c>
      <c r="L1825" s="469">
        <f t="shared" si="1366"/>
        <v>0</v>
      </c>
      <c r="M1825" s="683">
        <f t="shared" si="1367"/>
        <v>0</v>
      </c>
      <c r="N1825" s="470">
        <f t="shared" si="1368"/>
        <v>9</v>
      </c>
      <c r="O1825" s="468">
        <f t="shared" si="1369"/>
        <v>2027</v>
      </c>
      <c r="P1825" s="616">
        <f t="shared" si="1370"/>
        <v>3410717881.4640002</v>
      </c>
      <c r="Q1825" s="472">
        <f t="shared" si="1371"/>
        <v>3410717881.4640002</v>
      </c>
      <c r="R1825" s="472">
        <f t="shared" si="1377"/>
        <v>378968653.49599999</v>
      </c>
      <c r="S1825" s="1189">
        <f t="shared" si="1372"/>
        <v>2019</v>
      </c>
      <c r="T1825" s="470">
        <f t="shared" si="1373"/>
        <v>1</v>
      </c>
      <c r="U1825" s="612">
        <f t="shared" si="1374"/>
        <v>378968653.49599999</v>
      </c>
      <c r="V1825" s="464">
        <f t="shared" si="1375"/>
        <v>2019</v>
      </c>
      <c r="W1825" s="612">
        <f t="shared" si="1376"/>
        <v>3031749227.9680004</v>
      </c>
      <c r="X1825" s="473"/>
      <c r="Y1825" s="478"/>
      <c r="Z1825" s="449"/>
      <c r="AA1825" s="492"/>
      <c r="AB1825" s="476"/>
      <c r="AC1825" s="476"/>
      <c r="AD1825" s="567"/>
      <c r="AE1825" s="476"/>
      <c r="AF1825" s="568"/>
      <c r="AG1825" s="476"/>
      <c r="AH1825" s="476"/>
      <c r="AI1825" s="477"/>
      <c r="AJ1825" s="478"/>
      <c r="AK1825" s="479"/>
      <c r="AL1825" s="480"/>
      <c r="AM1825" s="474"/>
      <c r="AN1825" s="481"/>
      <c r="AO1825" s="474"/>
      <c r="AP1825" s="476"/>
      <c r="AQ1825" s="482"/>
      <c r="AR1825" s="478"/>
      <c r="AS1825" s="478"/>
      <c r="AT1825" s="476"/>
      <c r="AU1825" s="482"/>
      <c r="AV1825" s="478"/>
      <c r="AW1825" s="483"/>
      <c r="AX1825" s="476"/>
      <c r="AY1825" s="482"/>
      <c r="AZ1825" s="478"/>
      <c r="BA1825" s="484"/>
      <c r="BB1825" s="474"/>
      <c r="BC1825" s="485"/>
      <c r="BD1825" s="485"/>
      <c r="BG1825" s="487"/>
    </row>
    <row r="1826" spans="1:59" s="486" customFormat="1" ht="18" customHeight="1" x14ac:dyDescent="0.2">
      <c r="A1826" s="1368" t="str">
        <f>LEFT(D1826,8)</f>
        <v/>
      </c>
      <c r="B1826" s="687"/>
      <c r="C1826" s="488"/>
      <c r="D1826" s="489"/>
      <c r="E1826" s="558"/>
      <c r="F1826" s="466"/>
      <c r="G1826" s="619"/>
      <c r="H1826" s="464"/>
      <c r="I1826" s="467"/>
      <c r="J1826" s="468"/>
      <c r="K1826" s="490"/>
      <c r="L1826" s="469"/>
      <c r="M1826" s="683"/>
      <c r="N1826" s="470"/>
      <c r="O1826" s="468"/>
      <c r="P1826" s="616"/>
      <c r="Q1826" s="472"/>
      <c r="R1826" s="472"/>
      <c r="S1826" s="634"/>
      <c r="T1826" s="470"/>
      <c r="U1826" s="612"/>
      <c r="V1826" s="464"/>
      <c r="W1826" s="612"/>
      <c r="X1826" s="473"/>
      <c r="Y1826" s="478"/>
      <c r="Z1826" s="449"/>
      <c r="AA1826" s="531" t="s">
        <v>4183</v>
      </c>
      <c r="AB1826" s="496"/>
      <c r="AC1826" s="496"/>
      <c r="AD1826" s="569">
        <f>AD1824-W1828</f>
        <v>0</v>
      </c>
      <c r="AE1826" s="476"/>
      <c r="AF1826" s="568"/>
      <c r="AG1826" s="476"/>
      <c r="AH1826" s="476"/>
      <c r="AI1826" s="477"/>
      <c r="AJ1826" s="478"/>
      <c r="AK1826" s="479"/>
      <c r="AL1826" s="480"/>
      <c r="AM1826" s="474"/>
      <c r="AN1826" s="481"/>
      <c r="AO1826" s="474"/>
      <c r="AP1826" s="476"/>
      <c r="AQ1826" s="482"/>
      <c r="AR1826" s="478"/>
      <c r="AS1826" s="478"/>
      <c r="AT1826" s="476"/>
      <c r="AU1826" s="482"/>
      <c r="AV1826" s="478"/>
      <c r="AW1826" s="483"/>
      <c r="AX1826" s="476"/>
      <c r="AY1826" s="482"/>
      <c r="AZ1826" s="478"/>
      <c r="BA1826" s="484"/>
      <c r="BB1826" s="474"/>
      <c r="BC1826" s="485"/>
      <c r="BD1826" s="485"/>
      <c r="BG1826" s="487"/>
    </row>
    <row r="1827" spans="1:59" s="486" customFormat="1" ht="18" customHeight="1" x14ac:dyDescent="0.2">
      <c r="A1827" s="1368" t="str">
        <f>LEFT(D1827,8)</f>
        <v/>
      </c>
      <c r="B1827" s="687"/>
      <c r="C1827" s="463"/>
      <c r="D1827" s="489"/>
      <c r="E1827" s="465"/>
      <c r="F1827" s="466"/>
      <c r="G1827" s="620"/>
      <c r="H1827" s="464"/>
      <c r="I1827" s="467"/>
      <c r="J1827" s="468"/>
      <c r="K1827" s="574"/>
      <c r="L1827" s="469"/>
      <c r="M1827" s="683"/>
      <c r="N1827" s="470"/>
      <c r="O1827" s="468"/>
      <c r="P1827" s="616"/>
      <c r="Q1827" s="472"/>
      <c r="R1827" s="472"/>
      <c r="S1827" s="634"/>
      <c r="T1827" s="470"/>
      <c r="U1827" s="612"/>
      <c r="V1827" s="464"/>
      <c r="W1827" s="612"/>
      <c r="X1827" s="473"/>
      <c r="Y1827" s="478"/>
      <c r="Z1827" s="449"/>
      <c r="AA1827" s="573"/>
      <c r="AB1827" s="476"/>
      <c r="AC1827" s="476"/>
      <c r="AD1827" s="568"/>
      <c r="AE1827" s="476"/>
      <c r="AF1827" s="568"/>
      <c r="AG1827" s="476"/>
      <c r="AH1827" s="476"/>
      <c r="AI1827" s="477"/>
      <c r="AJ1827" s="478"/>
      <c r="AK1827" s="479"/>
      <c r="AL1827" s="480"/>
      <c r="AM1827" s="474"/>
      <c r="AN1827" s="481"/>
      <c r="AO1827" s="474"/>
      <c r="AP1827" s="476"/>
      <c r="AQ1827" s="482"/>
      <c r="AR1827" s="478"/>
      <c r="AS1827" s="478"/>
      <c r="AT1827" s="476"/>
      <c r="AU1827" s="482"/>
      <c r="AV1827" s="478"/>
      <c r="AW1827" s="483"/>
      <c r="AX1827" s="476"/>
      <c r="AY1827" s="482"/>
      <c r="AZ1827" s="478"/>
      <c r="BA1827" s="484"/>
      <c r="BB1827" s="474"/>
      <c r="BC1827" s="485"/>
      <c r="BD1827" s="485"/>
      <c r="BG1827" s="487"/>
    </row>
    <row r="1828" spans="1:59" s="526" customFormat="1" ht="18" customHeight="1" x14ac:dyDescent="0.2">
      <c r="A1828" s="1370" t="s">
        <v>4184</v>
      </c>
      <c r="B1828" s="1956" t="s">
        <v>4184</v>
      </c>
      <c r="C1828" s="1957"/>
      <c r="D1828" s="1957"/>
      <c r="E1828" s="1957"/>
      <c r="F1828" s="1958"/>
      <c r="G1828" s="624">
        <f>SUM(G1815:G1827)</f>
        <v>5484259682</v>
      </c>
      <c r="H1828" s="505"/>
      <c r="I1828" s="506"/>
      <c r="J1828" s="507"/>
      <c r="K1828" s="507"/>
      <c r="L1828" s="505"/>
      <c r="M1828" s="684"/>
      <c r="N1828" s="508"/>
      <c r="O1828" s="507"/>
      <c r="P1828" s="749"/>
      <c r="Q1828" s="510"/>
      <c r="R1828" s="511"/>
      <c r="S1828" s="512"/>
      <c r="T1828" s="512"/>
      <c r="U1828" s="610">
        <f>SUM(U1815:U1827)</f>
        <v>2452510454.0320001</v>
      </c>
      <c r="V1828" s="513"/>
      <c r="W1828" s="610">
        <f>G1828-U1828</f>
        <v>3031749227.9679999</v>
      </c>
      <c r="X1828" s="514"/>
      <c r="Y1828" s="515"/>
      <c r="Z1828" s="515"/>
      <c r="AA1828" s="515"/>
      <c r="AB1828" s="515"/>
      <c r="AC1828" s="515"/>
      <c r="AD1828" s="570"/>
      <c r="AE1828" s="515"/>
      <c r="AF1828" s="570">
        <v>2673664278.9200001</v>
      </c>
      <c r="AG1828" s="515"/>
      <c r="AH1828" s="515"/>
      <c r="AI1828" s="516"/>
      <c r="AJ1828" s="517"/>
      <c r="AK1828" s="518"/>
      <c r="AL1828" s="519"/>
      <c r="AM1828" s="520"/>
      <c r="AN1828" s="521"/>
      <c r="AO1828" s="520"/>
      <c r="AP1828" s="515"/>
      <c r="AQ1828" s="522"/>
      <c r="AR1828" s="517"/>
      <c r="AS1828" s="517"/>
      <c r="AT1828" s="515"/>
      <c r="AU1828" s="522"/>
      <c r="AV1828" s="517"/>
      <c r="AW1828" s="523"/>
      <c r="AX1828" s="515"/>
      <c r="AY1828" s="522"/>
      <c r="AZ1828" s="517"/>
      <c r="BA1828" s="524"/>
      <c r="BB1828" s="520"/>
      <c r="BC1828" s="525"/>
      <c r="BD1828" s="525"/>
      <c r="BG1828" s="527"/>
    </row>
    <row r="1831" spans="1:59" s="422" customFormat="1" ht="18" customHeight="1" x14ac:dyDescent="0.2">
      <c r="A1831" s="1366">
        <f>C1831</f>
        <v>302</v>
      </c>
      <c r="B1831" s="742" t="s">
        <v>4187</v>
      </c>
      <c r="C1831" s="556">
        <v>302</v>
      </c>
      <c r="D1831" s="553" t="str">
        <f>VLOOKUP(C1831,RUAS,2,FALSE)</f>
        <v>PULAU BUSUK - KOTO INUMAN</v>
      </c>
      <c r="E1831" s="553"/>
      <c r="F1831" s="421"/>
      <c r="G1831" s="611"/>
      <c r="I1831" s="423"/>
      <c r="J1831" s="424"/>
      <c r="K1831" s="424"/>
      <c r="M1831" s="680"/>
      <c r="P1831" s="611"/>
      <c r="U1831" s="611"/>
      <c r="W1831" s="611"/>
      <c r="Y1831" s="425"/>
      <c r="Z1831" s="425"/>
      <c r="AA1831" s="425"/>
      <c r="AB1831" s="425"/>
      <c r="AC1831" s="425"/>
      <c r="AD1831" s="563"/>
      <c r="AE1831" s="425"/>
      <c r="AF1831" s="563"/>
      <c r="AG1831" s="425"/>
      <c r="AH1831" s="425"/>
      <c r="AI1831" s="425"/>
      <c r="AJ1831" s="425"/>
      <c r="AK1831" s="425"/>
      <c r="AL1831" s="425"/>
      <c r="AM1831" s="425"/>
      <c r="AN1831" s="425"/>
      <c r="AO1831" s="425"/>
      <c r="AP1831" s="425"/>
      <c r="AQ1831" s="425"/>
      <c r="AR1831" s="425"/>
      <c r="AS1831" s="425"/>
      <c r="AT1831" s="425"/>
      <c r="AU1831" s="425"/>
      <c r="AV1831" s="425"/>
      <c r="AW1831" s="425"/>
      <c r="AX1831" s="425"/>
      <c r="AY1831" s="425"/>
      <c r="AZ1831" s="425"/>
      <c r="BA1831" s="425"/>
      <c r="BB1831" s="425"/>
    </row>
    <row r="1832" spans="1:59" s="431" customFormat="1" ht="18" customHeight="1" x14ac:dyDescent="0.2">
      <c r="A1832" s="1367"/>
      <c r="B1832" s="1968" t="s">
        <v>5</v>
      </c>
      <c r="C1832" s="1968" t="s">
        <v>2280</v>
      </c>
      <c r="D1832" s="1968" t="s">
        <v>4157</v>
      </c>
      <c r="E1832" s="1968" t="s">
        <v>4158</v>
      </c>
      <c r="F1832" s="1968"/>
      <c r="G1832" s="1969" t="s">
        <v>4159</v>
      </c>
      <c r="H1832" s="1968" t="s">
        <v>4160</v>
      </c>
      <c r="I1832" s="1968"/>
      <c r="J1832" s="1968" t="s">
        <v>4185</v>
      </c>
      <c r="K1832" s="1964" t="s">
        <v>4162</v>
      </c>
      <c r="L1832" s="1968" t="s">
        <v>4163</v>
      </c>
      <c r="M1832" s="1971" t="s">
        <v>4164</v>
      </c>
      <c r="N1832" s="1962" t="s">
        <v>4165</v>
      </c>
      <c r="O1832" s="1968" t="s">
        <v>4166</v>
      </c>
      <c r="P1832" s="1972" t="s">
        <v>4167</v>
      </c>
      <c r="Q1832" s="1973"/>
      <c r="R1832" s="636" t="s">
        <v>4186</v>
      </c>
      <c r="S1832" s="1972" t="s">
        <v>4169</v>
      </c>
      <c r="T1832" s="1974"/>
      <c r="U1832" s="1973"/>
      <c r="V1832" s="1975" t="s">
        <v>4170</v>
      </c>
      <c r="W1832" s="1975"/>
      <c r="X1832" s="1960" t="s">
        <v>4171</v>
      </c>
      <c r="Y1832" s="1959"/>
      <c r="Z1832" s="633"/>
      <c r="AA1832" s="426"/>
      <c r="AB1832" s="426"/>
      <c r="AC1832" s="426"/>
      <c r="AD1832" s="564"/>
      <c r="AE1832" s="426"/>
      <c r="AF1832" s="564"/>
      <c r="AG1832" s="426"/>
      <c r="AH1832" s="426"/>
      <c r="AI1832" s="427"/>
      <c r="AJ1832" s="427"/>
      <c r="AK1832" s="427"/>
      <c r="AL1832" s="427"/>
      <c r="AM1832" s="428"/>
      <c r="AN1832" s="427"/>
      <c r="AO1832" s="427"/>
      <c r="AP1832" s="426"/>
      <c r="AQ1832" s="427"/>
      <c r="AR1832" s="427"/>
      <c r="AS1832" s="427"/>
      <c r="AT1832" s="426"/>
      <c r="AU1832" s="427"/>
      <c r="AV1832" s="427"/>
      <c r="AW1832" s="427"/>
      <c r="AX1832" s="426"/>
      <c r="AY1832" s="427"/>
      <c r="AZ1832" s="427"/>
      <c r="BA1832" s="427"/>
      <c r="BB1832" s="429"/>
      <c r="BC1832" s="430"/>
      <c r="BD1832" s="430"/>
    </row>
    <row r="1833" spans="1:59" s="431" customFormat="1" ht="18" customHeight="1" x14ac:dyDescent="0.2">
      <c r="A1833" s="1367"/>
      <c r="B1833" s="1968"/>
      <c r="C1833" s="1968"/>
      <c r="D1833" s="1968"/>
      <c r="E1833" s="1968"/>
      <c r="F1833" s="1968"/>
      <c r="G1833" s="1969"/>
      <c r="H1833" s="1968"/>
      <c r="I1833" s="1968"/>
      <c r="J1833" s="1968"/>
      <c r="K1833" s="1970"/>
      <c r="L1833" s="1968"/>
      <c r="M1833" s="1971"/>
      <c r="N1833" s="1963"/>
      <c r="O1833" s="1968"/>
      <c r="P1833" s="2037" t="s">
        <v>4172</v>
      </c>
      <c r="Q1833" s="1960" t="s">
        <v>4173</v>
      </c>
      <c r="R1833" s="1962" t="s">
        <v>4159</v>
      </c>
      <c r="S1833" s="1962" t="s">
        <v>4174</v>
      </c>
      <c r="T1833" s="1964" t="s">
        <v>4175</v>
      </c>
      <c r="U1833" s="1966" t="s">
        <v>4159</v>
      </c>
      <c r="V1833" s="1975"/>
      <c r="W1833" s="1975"/>
      <c r="X1833" s="1976"/>
      <c r="Y1833" s="1959"/>
      <c r="Z1833" s="633"/>
      <c r="AA1833" s="426"/>
      <c r="AB1833" s="426"/>
      <c r="AC1833" s="426"/>
      <c r="AD1833" s="564"/>
      <c r="AE1833" s="426"/>
      <c r="AF1833" s="564"/>
      <c r="AG1833" s="426"/>
      <c r="AH1833" s="426"/>
      <c r="AI1833" s="427"/>
      <c r="AJ1833" s="427"/>
      <c r="AK1833" s="426"/>
      <c r="AL1833" s="427"/>
      <c r="AM1833" s="428"/>
      <c r="AN1833" s="427"/>
      <c r="AO1833" s="427"/>
      <c r="AP1833" s="432"/>
      <c r="AQ1833" s="427"/>
      <c r="AR1833" s="427"/>
      <c r="AS1833" s="427"/>
      <c r="AT1833" s="432"/>
      <c r="AU1833" s="427"/>
      <c r="AV1833" s="427"/>
      <c r="AW1833" s="427"/>
      <c r="AX1833" s="432"/>
      <c r="AY1833" s="427"/>
      <c r="AZ1833" s="427"/>
      <c r="BA1833" s="427"/>
      <c r="BB1833" s="429"/>
      <c r="BC1833" s="430"/>
      <c r="BD1833" s="430"/>
    </row>
    <row r="1834" spans="1:59" s="431" customFormat="1" ht="18" customHeight="1" x14ac:dyDescent="0.2">
      <c r="A1834" s="1367"/>
      <c r="B1834" s="1968"/>
      <c r="C1834" s="1968"/>
      <c r="D1834" s="1968"/>
      <c r="E1834" s="433" t="s">
        <v>4176</v>
      </c>
      <c r="F1834" s="434" t="s">
        <v>2288</v>
      </c>
      <c r="G1834" s="1969"/>
      <c r="H1834" s="635" t="s">
        <v>2288</v>
      </c>
      <c r="I1834" s="635" t="s">
        <v>4177</v>
      </c>
      <c r="J1834" s="1968"/>
      <c r="K1834" s="1965"/>
      <c r="L1834" s="435" t="s">
        <v>2288</v>
      </c>
      <c r="M1834" s="681" t="s">
        <v>2288</v>
      </c>
      <c r="N1834" s="635" t="s">
        <v>2288</v>
      </c>
      <c r="O1834" s="1968"/>
      <c r="P1834" s="2038"/>
      <c r="Q1834" s="1961"/>
      <c r="R1834" s="1963"/>
      <c r="S1834" s="1963"/>
      <c r="T1834" s="1965"/>
      <c r="U1834" s="1967"/>
      <c r="V1834" s="635" t="s">
        <v>4178</v>
      </c>
      <c r="W1834" s="637" t="s">
        <v>4159</v>
      </c>
      <c r="X1834" s="1961"/>
      <c r="Y1834" s="436"/>
      <c r="Z1834" s="436"/>
      <c r="AA1834" s="426"/>
      <c r="AB1834" s="426"/>
      <c r="AC1834" s="426"/>
      <c r="AD1834" s="564"/>
      <c r="AE1834" s="426"/>
      <c r="AF1834" s="564"/>
      <c r="AG1834" s="426"/>
      <c r="AH1834" s="426"/>
      <c r="AI1834" s="427"/>
      <c r="AJ1834" s="432"/>
      <c r="AK1834" s="432"/>
      <c r="AL1834" s="427"/>
      <c r="AM1834" s="428"/>
      <c r="AN1834" s="432"/>
      <c r="AO1834" s="427"/>
      <c r="AP1834" s="432"/>
      <c r="AQ1834" s="432"/>
      <c r="AR1834" s="427"/>
      <c r="AS1834" s="427"/>
      <c r="AT1834" s="432"/>
      <c r="AU1834" s="432"/>
      <c r="AV1834" s="427"/>
      <c r="AW1834" s="427"/>
      <c r="AX1834" s="432"/>
      <c r="AY1834" s="432"/>
      <c r="AZ1834" s="427"/>
      <c r="BA1834" s="427"/>
      <c r="BB1834" s="429"/>
      <c r="BC1834" s="430"/>
      <c r="BD1834" s="430"/>
    </row>
    <row r="1835" spans="1:59" s="461" customFormat="1" ht="18" customHeight="1" x14ac:dyDescent="0.2">
      <c r="A1835" s="1368" t="str">
        <f>$D$1831&amp;S1835</f>
        <v>PULAU BUSUK - KOTO INUMAN2001</v>
      </c>
      <c r="B1835" s="1375">
        <v>1</v>
      </c>
      <c r="C1835" s="532" t="s">
        <v>696</v>
      </c>
      <c r="D1835" s="437" t="s">
        <v>3821</v>
      </c>
      <c r="E1835" s="438"/>
      <c r="F1835" s="439">
        <v>2001</v>
      </c>
      <c r="G1835" s="623">
        <v>1440000000</v>
      </c>
      <c r="H1835" s="440">
        <f>VLOOKUP(LEFT(D1835,8),UE,4)</f>
        <v>10</v>
      </c>
      <c r="I1835" s="441"/>
      <c r="J1835" s="442">
        <f>F1835+N1835-1</f>
        <v>2010</v>
      </c>
      <c r="K1835" s="443"/>
      <c r="L1835" s="440"/>
      <c r="M1835" s="746">
        <f>IF(H1835+L1835&gt;$H1835,$H1835-H1835,L1835)</f>
        <v>0</v>
      </c>
      <c r="N1835" s="444">
        <f>H1835+M1835</f>
        <v>10</v>
      </c>
      <c r="O1835" s="442">
        <f>F1835+N1835-1</f>
        <v>2010</v>
      </c>
      <c r="P1835" s="617">
        <f>G1835</f>
        <v>1440000000</v>
      </c>
      <c r="Q1835" s="445">
        <v>0</v>
      </c>
      <c r="R1835" s="445">
        <f>P1835/N1835</f>
        <v>144000000</v>
      </c>
      <c r="S1835" s="446">
        <f>F1835</f>
        <v>2001</v>
      </c>
      <c r="T1835" s="447">
        <v>1</v>
      </c>
      <c r="U1835" s="613">
        <f>R1835*T1835</f>
        <v>144000000</v>
      </c>
      <c r="V1835" s="442">
        <f>F1835</f>
        <v>2001</v>
      </c>
      <c r="W1835" s="617">
        <f>IF(OR(AND(ISBLANK(E1835),ISBLANK(G1835)),ISTEXT(E1835),ISTEXT(G1835)),"",G1835-R1835)</f>
        <v>1296000000</v>
      </c>
      <c r="X1835" s="448"/>
      <c r="Y1835" s="449"/>
      <c r="Z1835" s="449"/>
      <c r="AA1835" s="452"/>
      <c r="AB1835" s="452"/>
      <c r="AC1835" s="452"/>
      <c r="AD1835" s="571"/>
      <c r="AE1835" s="452"/>
      <c r="AF1835" s="571"/>
      <c r="AG1835" s="452"/>
      <c r="AH1835" s="452"/>
      <c r="AI1835" s="453"/>
      <c r="AJ1835" s="449"/>
      <c r="AK1835" s="453"/>
      <c r="AL1835" s="454"/>
      <c r="AM1835" s="455"/>
      <c r="AN1835" s="456"/>
      <c r="AO1835" s="455"/>
      <c r="AP1835" s="452"/>
      <c r="AQ1835" s="457"/>
      <c r="AR1835" s="449"/>
      <c r="AS1835" s="449"/>
      <c r="AT1835" s="452"/>
      <c r="AU1835" s="457"/>
      <c r="AV1835" s="449"/>
      <c r="AW1835" s="458"/>
      <c r="AX1835" s="452"/>
      <c r="AY1835" s="457"/>
      <c r="AZ1835" s="449"/>
      <c r="BA1835" s="459"/>
      <c r="BB1835" s="455"/>
      <c r="BC1835" s="460"/>
      <c r="BD1835" s="460"/>
      <c r="BG1835" s="462"/>
    </row>
    <row r="1836" spans="1:59" s="461" customFormat="1" ht="18" customHeight="1" x14ac:dyDescent="0.2">
      <c r="A1836" s="1368" t="str">
        <f t="shared" ref="A1836:A1843" si="1378">$D$1831&amp;S1836</f>
        <v>PULAU BUSUK - KOTO INUMAN2005</v>
      </c>
      <c r="B1836" s="1375"/>
      <c r="C1836" s="488"/>
      <c r="D1836" s="489"/>
      <c r="E1836" s="558"/>
      <c r="F1836" s="559">
        <v>2005</v>
      </c>
      <c r="G1836" s="619">
        <v>0</v>
      </c>
      <c r="H1836" s="464">
        <f>IF(N1835-(F1836-F1835)&lt;=0,0,(N1835-(F1836-F1835)))</f>
        <v>6</v>
      </c>
      <c r="I1836" s="560"/>
      <c r="J1836" s="468">
        <f>F1836+N1836-1</f>
        <v>2010</v>
      </c>
      <c r="K1836" s="490">
        <f>IF(G1836=0,0,IF(H1836=10,100%,G1836/W1835))</f>
        <v>0</v>
      </c>
      <c r="L1836" s="469">
        <f>IF(K1836=0%,0,IF(K1836&lt;=30%,2,IF(K1836&lt;=60%,5,10)))</f>
        <v>0</v>
      </c>
      <c r="M1836" s="683">
        <f>IF(OR(AND(ISBLANK(E1836),ISBLANK(G1836)),ISTEXT(E1836),ISTEXT(G1836)),"",IF(H1836+L1836&gt;$H$8,$H$8-H1836,L1836))</f>
        <v>0</v>
      </c>
      <c r="N1836" s="470">
        <f>IF(OR(AND(ISBLANK(F1836),ISBLANK(G1836)),ISTEXT(F1836),ISTEXT(G1836)),"",H1836+M1836)</f>
        <v>6</v>
      </c>
      <c r="O1836" s="468">
        <f>F1836+N1836-1</f>
        <v>2010</v>
      </c>
      <c r="P1836" s="616">
        <f>W1835</f>
        <v>1296000000</v>
      </c>
      <c r="Q1836" s="472">
        <f>P1836+G1836</f>
        <v>1296000000</v>
      </c>
      <c r="R1836" s="472">
        <f>IF(L1836=0,R1835,Q1836/N1836)</f>
        <v>144000000</v>
      </c>
      <c r="S1836" s="634">
        <f>F1836</f>
        <v>2005</v>
      </c>
      <c r="T1836" s="470">
        <f>S1836-S1835</f>
        <v>4</v>
      </c>
      <c r="U1836" s="612">
        <f>R1836*T1836</f>
        <v>576000000</v>
      </c>
      <c r="V1836" s="464">
        <f>F1836</f>
        <v>2005</v>
      </c>
      <c r="W1836" s="612">
        <f>IF(OR(AND(ISBLANK(E1836),ISBLANK(G1836)),ISTEXT(E1836),ISTEXT(G1836)),"",Q1836-U1836)</f>
        <v>720000000</v>
      </c>
      <c r="X1836" s="561"/>
      <c r="Y1836" s="449"/>
      <c r="Z1836" s="449"/>
      <c r="AA1836" s="693"/>
      <c r="AB1836" s="452"/>
      <c r="AC1836" s="452"/>
      <c r="AD1836" s="571"/>
      <c r="AE1836" s="452"/>
      <c r="AF1836" s="571"/>
      <c r="AG1836" s="452"/>
      <c r="AH1836" s="452"/>
      <c r="AI1836" s="453"/>
      <c r="AJ1836" s="449"/>
      <c r="AK1836" s="453"/>
      <c r="AL1836" s="454"/>
      <c r="AM1836" s="455"/>
      <c r="AN1836" s="456"/>
      <c r="AO1836" s="455"/>
      <c r="AP1836" s="452"/>
      <c r="AQ1836" s="457"/>
      <c r="AR1836" s="449"/>
      <c r="AS1836" s="449"/>
      <c r="AT1836" s="452"/>
      <c r="AU1836" s="457"/>
      <c r="AV1836" s="449"/>
      <c r="AW1836" s="458"/>
      <c r="AX1836" s="452"/>
      <c r="AY1836" s="457"/>
      <c r="AZ1836" s="449"/>
      <c r="BA1836" s="459"/>
      <c r="BB1836" s="455"/>
      <c r="BC1836" s="460"/>
      <c r="BD1836" s="460"/>
      <c r="BG1836" s="462"/>
    </row>
    <row r="1837" spans="1:59" s="461" customFormat="1" ht="18" customHeight="1" x14ac:dyDescent="0.2">
      <c r="A1837" s="1368" t="str">
        <f t="shared" si="1378"/>
        <v>PULAU BUSUK - KOTO INUMAN2006</v>
      </c>
      <c r="B1837" s="1375"/>
      <c r="C1837" s="488"/>
      <c r="D1837" s="489"/>
      <c r="E1837" s="558"/>
      <c r="F1837" s="559">
        <v>2006</v>
      </c>
      <c r="G1837" s="619">
        <v>0</v>
      </c>
      <c r="H1837" s="464">
        <f t="shared" ref="H1837:H1850" si="1379">IF(N1836-(F1837-F1836)&lt;=0,0,(N1836-(F1837-F1836)))</f>
        <v>5</v>
      </c>
      <c r="I1837" s="560"/>
      <c r="J1837" s="468">
        <f t="shared" ref="J1837:J1850" si="1380">F1837+N1837-1</f>
        <v>2010</v>
      </c>
      <c r="K1837" s="490">
        <f t="shared" ref="K1837:K1850" si="1381">IF(G1837=0,0,IF(H1837=10,100%,G1837/W1836))</f>
        <v>0</v>
      </c>
      <c r="L1837" s="469">
        <f t="shared" ref="L1837:L1850" si="1382">IF(K1837=0%,0,IF(K1837&lt;=30%,2,IF(K1837&lt;=60%,5,10)))</f>
        <v>0</v>
      </c>
      <c r="M1837" s="683">
        <f t="shared" ref="M1837:M1850" si="1383">IF(OR(AND(ISBLANK(E1837),ISBLANK(G1837)),ISTEXT(E1837),ISTEXT(G1837)),"",IF(H1837+L1837&gt;$H$8,$H$8-H1837,L1837))</f>
        <v>0</v>
      </c>
      <c r="N1837" s="470">
        <f t="shared" ref="N1837:N1850" si="1384">IF(OR(AND(ISBLANK(F1837),ISBLANK(G1837)),ISTEXT(F1837),ISTEXT(G1837)),"",H1837+M1837)</f>
        <v>5</v>
      </c>
      <c r="O1837" s="468">
        <f t="shared" ref="O1837:O1850" si="1385">F1837+N1837-1</f>
        <v>2010</v>
      </c>
      <c r="P1837" s="616">
        <f t="shared" ref="P1837:P1850" si="1386">W1836</f>
        <v>720000000</v>
      </c>
      <c r="Q1837" s="472">
        <f t="shared" ref="Q1837:Q1850" si="1387">P1837+G1837</f>
        <v>720000000</v>
      </c>
      <c r="R1837" s="472">
        <f t="shared" ref="R1837:R1850" si="1388">IF(L1837=0,R1836,Q1837/N1837)</f>
        <v>144000000</v>
      </c>
      <c r="S1837" s="1189">
        <f t="shared" ref="S1837:S1850" si="1389">F1837</f>
        <v>2006</v>
      </c>
      <c r="T1837" s="470">
        <f t="shared" ref="T1837:T1850" si="1390">S1837-S1836</f>
        <v>1</v>
      </c>
      <c r="U1837" s="612">
        <f t="shared" ref="U1837:U1850" si="1391">R1837*T1837</f>
        <v>144000000</v>
      </c>
      <c r="V1837" s="464">
        <f t="shared" ref="V1837:V1850" si="1392">F1837</f>
        <v>2006</v>
      </c>
      <c r="W1837" s="612">
        <f t="shared" ref="W1837:W1850" si="1393">IF(OR(AND(ISBLANK(E1837),ISBLANK(G1837)),ISTEXT(E1837),ISTEXT(G1837)),"",Q1837-U1837)</f>
        <v>576000000</v>
      </c>
      <c r="X1837" s="561"/>
      <c r="Y1837" s="449"/>
      <c r="Z1837" s="449"/>
      <c r="AA1837" s="693"/>
      <c r="AB1837" s="452"/>
      <c r="AC1837" s="452"/>
      <c r="AD1837" s="571"/>
      <c r="AE1837" s="452"/>
      <c r="AF1837" s="571"/>
      <c r="AG1837" s="452"/>
      <c r="AH1837" s="452"/>
      <c r="AI1837" s="453"/>
      <c r="AJ1837" s="449"/>
      <c r="AK1837" s="453"/>
      <c r="AL1837" s="454"/>
      <c r="AM1837" s="455"/>
      <c r="AN1837" s="456"/>
      <c r="AO1837" s="455"/>
      <c r="AP1837" s="452"/>
      <c r="AQ1837" s="457"/>
      <c r="AR1837" s="449"/>
      <c r="AS1837" s="449"/>
      <c r="AT1837" s="452"/>
      <c r="AU1837" s="457"/>
      <c r="AV1837" s="449"/>
      <c r="AW1837" s="458"/>
      <c r="AX1837" s="452"/>
      <c r="AY1837" s="457"/>
      <c r="AZ1837" s="449"/>
      <c r="BA1837" s="459"/>
      <c r="BB1837" s="455"/>
      <c r="BC1837" s="460"/>
      <c r="BD1837" s="460"/>
      <c r="BG1837" s="462"/>
    </row>
    <row r="1838" spans="1:59" s="486" customFormat="1" ht="18" customHeight="1" x14ac:dyDescent="0.2">
      <c r="A1838" s="1368" t="str">
        <f t="shared" si="1378"/>
        <v>PULAU BUSUK - KOTO INUMAN2007</v>
      </c>
      <c r="B1838" s="1375">
        <v>2</v>
      </c>
      <c r="C1838" s="488" t="s">
        <v>1163</v>
      </c>
      <c r="D1838" s="489" t="s">
        <v>3821</v>
      </c>
      <c r="E1838" s="558"/>
      <c r="F1838" s="559">
        <v>2007</v>
      </c>
      <c r="G1838" s="619">
        <v>2013774833.48155</v>
      </c>
      <c r="H1838" s="464">
        <f t="shared" si="1379"/>
        <v>4</v>
      </c>
      <c r="I1838" s="560"/>
      <c r="J1838" s="468">
        <f t="shared" si="1380"/>
        <v>2016</v>
      </c>
      <c r="K1838" s="490">
        <f t="shared" si="1381"/>
        <v>3.4961368636832466</v>
      </c>
      <c r="L1838" s="469">
        <f t="shared" si="1382"/>
        <v>10</v>
      </c>
      <c r="M1838" s="683">
        <f t="shared" si="1383"/>
        <v>6</v>
      </c>
      <c r="N1838" s="470">
        <f t="shared" si="1384"/>
        <v>10</v>
      </c>
      <c r="O1838" s="468">
        <f t="shared" si="1385"/>
        <v>2016</v>
      </c>
      <c r="P1838" s="616">
        <f t="shared" si="1386"/>
        <v>576000000</v>
      </c>
      <c r="Q1838" s="472">
        <f t="shared" si="1387"/>
        <v>2589774833.4815502</v>
      </c>
      <c r="R1838" s="472">
        <f t="shared" si="1388"/>
        <v>258977483.34815502</v>
      </c>
      <c r="S1838" s="1189">
        <f t="shared" si="1389"/>
        <v>2007</v>
      </c>
      <c r="T1838" s="470">
        <f t="shared" si="1390"/>
        <v>1</v>
      </c>
      <c r="U1838" s="612">
        <f t="shared" si="1391"/>
        <v>258977483.34815502</v>
      </c>
      <c r="V1838" s="464">
        <f t="shared" si="1392"/>
        <v>2007</v>
      </c>
      <c r="W1838" s="612">
        <f t="shared" si="1393"/>
        <v>2330797350.1333952</v>
      </c>
      <c r="X1838" s="561"/>
      <c r="Y1838" s="474"/>
      <c r="Z1838" s="449"/>
      <c r="AA1838" s="476"/>
      <c r="AB1838" s="476"/>
      <c r="AC1838" s="476"/>
      <c r="AD1838" s="476"/>
      <c r="AE1838" s="476"/>
      <c r="AF1838" s="568"/>
      <c r="AG1838" s="476"/>
      <c r="AH1838" s="476"/>
      <c r="AI1838" s="477"/>
      <c r="AJ1838" s="478"/>
      <c r="AK1838" s="479"/>
      <c r="AL1838" s="480"/>
      <c r="AM1838" s="474"/>
      <c r="AN1838" s="481"/>
      <c r="AO1838" s="474"/>
      <c r="AP1838" s="476"/>
      <c r="AQ1838" s="482"/>
      <c r="AR1838" s="478"/>
      <c r="AS1838" s="478"/>
      <c r="AT1838" s="476"/>
      <c r="AU1838" s="482"/>
      <c r="AV1838" s="478"/>
      <c r="AW1838" s="483"/>
      <c r="AX1838" s="476"/>
      <c r="AY1838" s="482"/>
      <c r="AZ1838" s="478"/>
      <c r="BA1838" s="484"/>
      <c r="BB1838" s="474"/>
      <c r="BC1838" s="485"/>
      <c r="BD1838" s="485"/>
      <c r="BG1838" s="487"/>
    </row>
    <row r="1839" spans="1:59" s="486" customFormat="1" ht="18" customHeight="1" x14ac:dyDescent="0.2">
      <c r="A1839" s="1368" t="str">
        <f t="shared" si="1378"/>
        <v>PULAU BUSUK - KOTO INUMAN2008</v>
      </c>
      <c r="B1839" s="1375"/>
      <c r="C1839" s="488"/>
      <c r="D1839" s="489"/>
      <c r="E1839" s="558"/>
      <c r="F1839" s="559">
        <v>2008</v>
      </c>
      <c r="G1839" s="619">
        <v>0</v>
      </c>
      <c r="H1839" s="464">
        <f t="shared" si="1379"/>
        <v>9</v>
      </c>
      <c r="I1839" s="560"/>
      <c r="J1839" s="468">
        <f t="shared" si="1380"/>
        <v>2016</v>
      </c>
      <c r="K1839" s="490">
        <f t="shared" si="1381"/>
        <v>0</v>
      </c>
      <c r="L1839" s="469">
        <f t="shared" si="1382"/>
        <v>0</v>
      </c>
      <c r="M1839" s="683">
        <f t="shared" si="1383"/>
        <v>0</v>
      </c>
      <c r="N1839" s="470">
        <f t="shared" si="1384"/>
        <v>9</v>
      </c>
      <c r="O1839" s="468">
        <f t="shared" si="1385"/>
        <v>2016</v>
      </c>
      <c r="P1839" s="616">
        <f t="shared" si="1386"/>
        <v>2330797350.1333952</v>
      </c>
      <c r="Q1839" s="472">
        <f t="shared" si="1387"/>
        <v>2330797350.1333952</v>
      </c>
      <c r="R1839" s="472">
        <f t="shared" si="1388"/>
        <v>258977483.34815502</v>
      </c>
      <c r="S1839" s="1189">
        <f t="shared" si="1389"/>
        <v>2008</v>
      </c>
      <c r="T1839" s="470">
        <f t="shared" si="1390"/>
        <v>1</v>
      </c>
      <c r="U1839" s="612">
        <f t="shared" si="1391"/>
        <v>258977483.34815502</v>
      </c>
      <c r="V1839" s="464">
        <f t="shared" si="1392"/>
        <v>2008</v>
      </c>
      <c r="W1839" s="612">
        <f t="shared" si="1393"/>
        <v>2071819866.7852402</v>
      </c>
      <c r="X1839" s="561"/>
      <c r="Y1839" s="474"/>
      <c r="Z1839" s="449"/>
      <c r="AA1839" s="476"/>
      <c r="AB1839" s="476"/>
      <c r="AC1839" s="476"/>
      <c r="AD1839" s="476"/>
      <c r="AE1839" s="476"/>
      <c r="AF1839" s="568"/>
      <c r="AG1839" s="476"/>
      <c r="AH1839" s="476"/>
      <c r="AI1839" s="477"/>
      <c r="AJ1839" s="478"/>
      <c r="AK1839" s="479"/>
      <c r="AL1839" s="480"/>
      <c r="AM1839" s="474"/>
      <c r="AN1839" s="481"/>
      <c r="AO1839" s="474"/>
      <c r="AP1839" s="476"/>
      <c r="AQ1839" s="482"/>
      <c r="AR1839" s="478"/>
      <c r="AS1839" s="478"/>
      <c r="AT1839" s="476"/>
      <c r="AU1839" s="482"/>
      <c r="AV1839" s="478"/>
      <c r="AW1839" s="483"/>
      <c r="AX1839" s="476"/>
      <c r="AY1839" s="482"/>
      <c r="AZ1839" s="478"/>
      <c r="BA1839" s="484"/>
      <c r="BB1839" s="474"/>
      <c r="BC1839" s="485"/>
      <c r="BD1839" s="485"/>
      <c r="BG1839" s="487"/>
    </row>
    <row r="1840" spans="1:59" s="486" customFormat="1" ht="18" customHeight="1" x14ac:dyDescent="0.2">
      <c r="A1840" s="1368" t="str">
        <f t="shared" si="1378"/>
        <v>PULAU BUSUK - KOTO INUMAN2009</v>
      </c>
      <c r="B1840" s="1375"/>
      <c r="C1840" s="488"/>
      <c r="D1840" s="489"/>
      <c r="E1840" s="558"/>
      <c r="F1840" s="559">
        <v>2009</v>
      </c>
      <c r="G1840" s="619">
        <v>0</v>
      </c>
      <c r="H1840" s="464">
        <f t="shared" si="1379"/>
        <v>8</v>
      </c>
      <c r="I1840" s="560"/>
      <c r="J1840" s="468">
        <f t="shared" si="1380"/>
        <v>2016</v>
      </c>
      <c r="K1840" s="490">
        <f t="shared" si="1381"/>
        <v>0</v>
      </c>
      <c r="L1840" s="469">
        <f t="shared" si="1382"/>
        <v>0</v>
      </c>
      <c r="M1840" s="683">
        <f t="shared" si="1383"/>
        <v>0</v>
      </c>
      <c r="N1840" s="470">
        <f t="shared" si="1384"/>
        <v>8</v>
      </c>
      <c r="O1840" s="468">
        <f t="shared" si="1385"/>
        <v>2016</v>
      </c>
      <c r="P1840" s="616">
        <f t="shared" si="1386"/>
        <v>2071819866.7852402</v>
      </c>
      <c r="Q1840" s="472">
        <f t="shared" si="1387"/>
        <v>2071819866.7852402</v>
      </c>
      <c r="R1840" s="472">
        <f t="shared" si="1388"/>
        <v>258977483.34815502</v>
      </c>
      <c r="S1840" s="1189">
        <f t="shared" si="1389"/>
        <v>2009</v>
      </c>
      <c r="T1840" s="470">
        <f t="shared" si="1390"/>
        <v>1</v>
      </c>
      <c r="U1840" s="612">
        <f t="shared" si="1391"/>
        <v>258977483.34815502</v>
      </c>
      <c r="V1840" s="464">
        <f t="shared" si="1392"/>
        <v>2009</v>
      </c>
      <c r="W1840" s="612">
        <f t="shared" si="1393"/>
        <v>1812842383.4370852</v>
      </c>
      <c r="X1840" s="561"/>
      <c r="Y1840" s="474"/>
      <c r="Z1840" s="449"/>
      <c r="AA1840" s="476"/>
      <c r="AB1840" s="476"/>
      <c r="AC1840" s="476"/>
      <c r="AD1840" s="476"/>
      <c r="AE1840" s="476"/>
      <c r="AF1840" s="568"/>
      <c r="AG1840" s="476"/>
      <c r="AH1840" s="476"/>
      <c r="AI1840" s="477"/>
      <c r="AJ1840" s="478"/>
      <c r="AK1840" s="479"/>
      <c r="AL1840" s="480"/>
      <c r="AM1840" s="474"/>
      <c r="AN1840" s="481"/>
      <c r="AO1840" s="474"/>
      <c r="AP1840" s="476"/>
      <c r="AQ1840" s="482"/>
      <c r="AR1840" s="478"/>
      <c r="AS1840" s="478"/>
      <c r="AT1840" s="476"/>
      <c r="AU1840" s="482"/>
      <c r="AV1840" s="478"/>
      <c r="AW1840" s="483"/>
      <c r="AX1840" s="476"/>
      <c r="AY1840" s="482"/>
      <c r="AZ1840" s="478"/>
      <c r="BA1840" s="484"/>
      <c r="BB1840" s="474"/>
      <c r="BC1840" s="485"/>
      <c r="BD1840" s="485"/>
      <c r="BG1840" s="487"/>
    </row>
    <row r="1841" spans="1:59" s="486" customFormat="1" ht="18" customHeight="1" x14ac:dyDescent="0.2">
      <c r="A1841" s="1368" t="str">
        <f t="shared" si="1378"/>
        <v>PULAU BUSUK - KOTO INUMAN2010</v>
      </c>
      <c r="B1841" s="1375"/>
      <c r="C1841" s="488"/>
      <c r="D1841" s="489"/>
      <c r="E1841" s="558"/>
      <c r="F1841" s="559">
        <v>2010</v>
      </c>
      <c r="G1841" s="619">
        <v>0</v>
      </c>
      <c r="H1841" s="464">
        <f t="shared" si="1379"/>
        <v>7</v>
      </c>
      <c r="I1841" s="560"/>
      <c r="J1841" s="468">
        <f t="shared" si="1380"/>
        <v>2016</v>
      </c>
      <c r="K1841" s="490">
        <f t="shared" si="1381"/>
        <v>0</v>
      </c>
      <c r="L1841" s="469">
        <f t="shared" si="1382"/>
        <v>0</v>
      </c>
      <c r="M1841" s="683">
        <f t="shared" si="1383"/>
        <v>0</v>
      </c>
      <c r="N1841" s="470">
        <f t="shared" si="1384"/>
        <v>7</v>
      </c>
      <c r="O1841" s="468">
        <f t="shared" si="1385"/>
        <v>2016</v>
      </c>
      <c r="P1841" s="616">
        <f t="shared" si="1386"/>
        <v>1812842383.4370852</v>
      </c>
      <c r="Q1841" s="472">
        <f t="shared" si="1387"/>
        <v>1812842383.4370852</v>
      </c>
      <c r="R1841" s="472">
        <f t="shared" si="1388"/>
        <v>258977483.34815502</v>
      </c>
      <c r="S1841" s="1189">
        <f t="shared" si="1389"/>
        <v>2010</v>
      </c>
      <c r="T1841" s="470">
        <f t="shared" si="1390"/>
        <v>1</v>
      </c>
      <c r="U1841" s="612">
        <f t="shared" si="1391"/>
        <v>258977483.34815502</v>
      </c>
      <c r="V1841" s="464">
        <f t="shared" si="1392"/>
        <v>2010</v>
      </c>
      <c r="W1841" s="612">
        <f t="shared" si="1393"/>
        <v>1553864900.0889301</v>
      </c>
      <c r="X1841" s="561"/>
      <c r="Y1841" s="474"/>
      <c r="Z1841" s="449"/>
      <c r="AA1841" s="573"/>
      <c r="AB1841" s="476"/>
      <c r="AC1841" s="476"/>
      <c r="AD1841" s="568"/>
      <c r="AE1841" s="476"/>
      <c r="AF1841" s="568"/>
      <c r="AG1841" s="476"/>
      <c r="AH1841" s="476"/>
      <c r="AI1841" s="477"/>
      <c r="AJ1841" s="478"/>
      <c r="AK1841" s="479"/>
      <c r="AL1841" s="480"/>
      <c r="AM1841" s="474"/>
      <c r="AN1841" s="481"/>
      <c r="AO1841" s="474"/>
      <c r="AP1841" s="476"/>
      <c r="AQ1841" s="482"/>
      <c r="AR1841" s="478"/>
      <c r="AS1841" s="478"/>
      <c r="AT1841" s="476"/>
      <c r="AU1841" s="482"/>
      <c r="AV1841" s="478"/>
      <c r="AW1841" s="483"/>
      <c r="AX1841" s="476"/>
      <c r="AY1841" s="482"/>
      <c r="AZ1841" s="478"/>
      <c r="BA1841" s="484"/>
      <c r="BB1841" s="474"/>
      <c r="BC1841" s="485"/>
      <c r="BD1841" s="485"/>
      <c r="BG1841" s="487"/>
    </row>
    <row r="1842" spans="1:59" s="486" customFormat="1" ht="18" customHeight="1" x14ac:dyDescent="0.2">
      <c r="A1842" s="1368" t="str">
        <f t="shared" si="1378"/>
        <v>PULAU BUSUK - KOTO INUMAN2011</v>
      </c>
      <c r="B1842" s="1375">
        <v>3</v>
      </c>
      <c r="C1842" s="488" t="s">
        <v>1218</v>
      </c>
      <c r="D1842" s="489" t="s">
        <v>3821</v>
      </c>
      <c r="E1842" s="558"/>
      <c r="F1842" s="559">
        <v>2011</v>
      </c>
      <c r="G1842" s="619">
        <v>1487022334.5887914</v>
      </c>
      <c r="H1842" s="464">
        <f t="shared" si="1379"/>
        <v>6</v>
      </c>
      <c r="I1842" s="560"/>
      <c r="J1842" s="468">
        <f t="shared" si="1380"/>
        <v>2020</v>
      </c>
      <c r="K1842" s="490">
        <f t="shared" si="1381"/>
        <v>0.95698302632596099</v>
      </c>
      <c r="L1842" s="469">
        <f t="shared" si="1382"/>
        <v>10</v>
      </c>
      <c r="M1842" s="683">
        <f t="shared" si="1383"/>
        <v>4</v>
      </c>
      <c r="N1842" s="470">
        <f t="shared" si="1384"/>
        <v>10</v>
      </c>
      <c r="O1842" s="468">
        <f t="shared" si="1385"/>
        <v>2020</v>
      </c>
      <c r="P1842" s="616">
        <f t="shared" si="1386"/>
        <v>1553864900.0889301</v>
      </c>
      <c r="Q1842" s="472">
        <f t="shared" si="1387"/>
        <v>3040887234.6777215</v>
      </c>
      <c r="R1842" s="472">
        <f t="shared" si="1388"/>
        <v>304088723.46777213</v>
      </c>
      <c r="S1842" s="1189">
        <f t="shared" si="1389"/>
        <v>2011</v>
      </c>
      <c r="T1842" s="470">
        <f t="shared" si="1390"/>
        <v>1</v>
      </c>
      <c r="U1842" s="612">
        <f t="shared" si="1391"/>
        <v>304088723.46777213</v>
      </c>
      <c r="V1842" s="464">
        <f t="shared" si="1392"/>
        <v>2011</v>
      </c>
      <c r="W1842" s="612">
        <f t="shared" si="1393"/>
        <v>2736798511.2099495</v>
      </c>
      <c r="X1842" s="473"/>
      <c r="Y1842" s="478"/>
      <c r="Z1842" s="449"/>
      <c r="AA1842" s="496"/>
      <c r="AB1842" s="496"/>
      <c r="AC1842" s="496"/>
      <c r="AD1842" s="496"/>
      <c r="AE1842" s="491"/>
      <c r="AF1842" s="568"/>
      <c r="AG1842" s="491"/>
      <c r="AH1842" s="491"/>
      <c r="AI1842" s="477"/>
      <c r="AJ1842" s="478"/>
      <c r="AK1842" s="479"/>
      <c r="AL1842" s="480"/>
      <c r="AM1842" s="474"/>
      <c r="AN1842" s="481"/>
      <c r="AO1842" s="474"/>
      <c r="AP1842" s="476"/>
      <c r="AQ1842" s="482"/>
      <c r="AR1842" s="478"/>
      <c r="AS1842" s="478"/>
      <c r="AT1842" s="476"/>
      <c r="AU1842" s="482"/>
      <c r="AV1842" s="478"/>
      <c r="AW1842" s="483"/>
      <c r="AX1842" s="476"/>
      <c r="AY1842" s="482"/>
      <c r="AZ1842" s="478"/>
      <c r="BA1842" s="484"/>
      <c r="BB1842" s="474"/>
      <c r="BC1842" s="485"/>
      <c r="BD1842" s="485"/>
      <c r="BG1842" s="487"/>
    </row>
    <row r="1843" spans="1:59" s="486" customFormat="1" ht="18" customHeight="1" x14ac:dyDescent="0.2">
      <c r="A1843" s="1368" t="str">
        <f t="shared" si="1378"/>
        <v>PULAU BUSUK - KOTO INUMAN2012</v>
      </c>
      <c r="B1843" s="1375"/>
      <c r="C1843" s="488"/>
      <c r="D1843" s="489"/>
      <c r="E1843" s="558"/>
      <c r="F1843" s="559">
        <v>2012</v>
      </c>
      <c r="G1843" s="619">
        <v>0</v>
      </c>
      <c r="H1843" s="464">
        <f t="shared" si="1379"/>
        <v>9</v>
      </c>
      <c r="I1843" s="560"/>
      <c r="J1843" s="468">
        <f t="shared" si="1380"/>
        <v>2020</v>
      </c>
      <c r="K1843" s="490">
        <f t="shared" si="1381"/>
        <v>0</v>
      </c>
      <c r="L1843" s="469">
        <f t="shared" si="1382"/>
        <v>0</v>
      </c>
      <c r="M1843" s="683">
        <f t="shared" si="1383"/>
        <v>0</v>
      </c>
      <c r="N1843" s="470">
        <f t="shared" si="1384"/>
        <v>9</v>
      </c>
      <c r="O1843" s="468">
        <f t="shared" si="1385"/>
        <v>2020</v>
      </c>
      <c r="P1843" s="616">
        <f t="shared" si="1386"/>
        <v>2736798511.2099495</v>
      </c>
      <c r="Q1843" s="472">
        <f t="shared" si="1387"/>
        <v>2736798511.2099495</v>
      </c>
      <c r="R1843" s="472">
        <f t="shared" si="1388"/>
        <v>304088723.46777213</v>
      </c>
      <c r="S1843" s="1189">
        <f t="shared" si="1389"/>
        <v>2012</v>
      </c>
      <c r="T1843" s="470">
        <f t="shared" si="1390"/>
        <v>1</v>
      </c>
      <c r="U1843" s="612">
        <f t="shared" si="1391"/>
        <v>304088723.46777213</v>
      </c>
      <c r="V1843" s="464">
        <f t="shared" si="1392"/>
        <v>2012</v>
      </c>
      <c r="W1843" s="612">
        <f t="shared" si="1393"/>
        <v>2432709787.7421775</v>
      </c>
      <c r="X1843" s="473"/>
      <c r="Y1843" s="478"/>
      <c r="Z1843" s="449"/>
      <c r="AA1843" s="554" t="s">
        <v>4179</v>
      </c>
      <c r="AB1843" s="491"/>
      <c r="AC1843" s="491"/>
      <c r="AD1843" s="567"/>
      <c r="AE1843" s="491"/>
      <c r="AF1843" s="568"/>
      <c r="AG1843" s="491"/>
      <c r="AH1843" s="491"/>
      <c r="AI1843" s="477"/>
      <c r="AJ1843" s="478"/>
      <c r="AK1843" s="479"/>
      <c r="AL1843" s="480"/>
      <c r="AM1843" s="474"/>
      <c r="AN1843" s="481"/>
      <c r="AO1843" s="474"/>
      <c r="AP1843" s="476"/>
      <c r="AQ1843" s="482"/>
      <c r="AR1843" s="478"/>
      <c r="AS1843" s="478"/>
      <c r="AT1843" s="476"/>
      <c r="AU1843" s="482"/>
      <c r="AV1843" s="478"/>
      <c r="AW1843" s="483"/>
      <c r="AX1843" s="476"/>
      <c r="AY1843" s="482"/>
      <c r="AZ1843" s="478"/>
      <c r="BA1843" s="484"/>
      <c r="BB1843" s="474"/>
      <c r="BC1843" s="485"/>
      <c r="BD1843" s="485"/>
      <c r="BG1843" s="487"/>
    </row>
    <row r="1844" spans="1:59" s="486" customFormat="1" ht="18" customHeight="1" x14ac:dyDescent="0.2">
      <c r="A1844" s="1368" t="str">
        <f t="shared" ref="A1844:A1850" si="1394">$D$1831&amp;S1844</f>
        <v>PULAU BUSUK - KOTO INUMAN2013</v>
      </c>
      <c r="B1844" s="1375"/>
      <c r="C1844" s="488"/>
      <c r="D1844" s="489"/>
      <c r="E1844" s="558"/>
      <c r="F1844" s="559">
        <v>2013</v>
      </c>
      <c r="G1844" s="619">
        <v>0</v>
      </c>
      <c r="H1844" s="464">
        <f t="shared" si="1379"/>
        <v>8</v>
      </c>
      <c r="I1844" s="560"/>
      <c r="J1844" s="468">
        <f t="shared" si="1380"/>
        <v>2020</v>
      </c>
      <c r="K1844" s="490">
        <f t="shared" si="1381"/>
        <v>0</v>
      </c>
      <c r="L1844" s="469">
        <f t="shared" si="1382"/>
        <v>0</v>
      </c>
      <c r="M1844" s="683">
        <f t="shared" si="1383"/>
        <v>0</v>
      </c>
      <c r="N1844" s="470">
        <f t="shared" si="1384"/>
        <v>8</v>
      </c>
      <c r="O1844" s="468">
        <f t="shared" si="1385"/>
        <v>2020</v>
      </c>
      <c r="P1844" s="616">
        <f t="shared" si="1386"/>
        <v>2432709787.7421775</v>
      </c>
      <c r="Q1844" s="472">
        <f t="shared" si="1387"/>
        <v>2432709787.7421775</v>
      </c>
      <c r="R1844" s="472">
        <f t="shared" si="1388"/>
        <v>304088723.46777213</v>
      </c>
      <c r="S1844" s="1189">
        <f t="shared" si="1389"/>
        <v>2013</v>
      </c>
      <c r="T1844" s="470">
        <f t="shared" si="1390"/>
        <v>1</v>
      </c>
      <c r="U1844" s="612">
        <f t="shared" si="1391"/>
        <v>304088723.46777213</v>
      </c>
      <c r="V1844" s="464">
        <f t="shared" si="1392"/>
        <v>2013</v>
      </c>
      <c r="W1844" s="612">
        <f t="shared" si="1393"/>
        <v>2128621064.2744055</v>
      </c>
      <c r="X1844" s="473"/>
      <c r="Y1844" s="478"/>
      <c r="Z1844" s="449"/>
      <c r="AA1844" s="475"/>
      <c r="AB1844" s="491"/>
      <c r="AC1844" s="491"/>
      <c r="AD1844" s="567"/>
      <c r="AE1844" s="491"/>
      <c r="AF1844" s="568"/>
      <c r="AG1844" s="491"/>
      <c r="AH1844" s="491"/>
      <c r="AI1844" s="477"/>
      <c r="AJ1844" s="478"/>
      <c r="AK1844" s="479"/>
      <c r="AL1844" s="480"/>
      <c r="AM1844" s="474"/>
      <c r="AN1844" s="481"/>
      <c r="AO1844" s="474"/>
      <c r="AP1844" s="476"/>
      <c r="AQ1844" s="482"/>
      <c r="AR1844" s="478"/>
      <c r="AS1844" s="478"/>
      <c r="AT1844" s="476"/>
      <c r="AU1844" s="482"/>
      <c r="AV1844" s="478"/>
      <c r="AW1844" s="483"/>
      <c r="AX1844" s="476"/>
      <c r="AY1844" s="482"/>
      <c r="AZ1844" s="478"/>
      <c r="BA1844" s="484"/>
      <c r="BB1844" s="474"/>
      <c r="BC1844" s="485"/>
      <c r="BD1844" s="485"/>
      <c r="BG1844" s="487"/>
    </row>
    <row r="1845" spans="1:59" s="486" customFormat="1" ht="18" customHeight="1" x14ac:dyDescent="0.2">
      <c r="A1845" s="1368" t="str">
        <f t="shared" si="1394"/>
        <v>PULAU BUSUK - KOTO INUMAN2014</v>
      </c>
      <c r="B1845" s="1375"/>
      <c r="C1845" s="488"/>
      <c r="D1845" s="489"/>
      <c r="E1845" s="558"/>
      <c r="F1845" s="559">
        <v>2014</v>
      </c>
      <c r="G1845" s="619">
        <v>0</v>
      </c>
      <c r="H1845" s="464">
        <f t="shared" si="1379"/>
        <v>7</v>
      </c>
      <c r="I1845" s="560"/>
      <c r="J1845" s="468">
        <f t="shared" si="1380"/>
        <v>2020</v>
      </c>
      <c r="K1845" s="490">
        <f t="shared" si="1381"/>
        <v>0</v>
      </c>
      <c r="L1845" s="469">
        <f t="shared" si="1382"/>
        <v>0</v>
      </c>
      <c r="M1845" s="683">
        <f t="shared" si="1383"/>
        <v>0</v>
      </c>
      <c r="N1845" s="470">
        <f t="shared" si="1384"/>
        <v>7</v>
      </c>
      <c r="O1845" s="468">
        <f t="shared" si="1385"/>
        <v>2020</v>
      </c>
      <c r="P1845" s="616">
        <f t="shared" si="1386"/>
        <v>2128621064.2744055</v>
      </c>
      <c r="Q1845" s="472">
        <f t="shared" si="1387"/>
        <v>2128621064.2744055</v>
      </c>
      <c r="R1845" s="472">
        <f t="shared" si="1388"/>
        <v>304088723.46777213</v>
      </c>
      <c r="S1845" s="1189">
        <f t="shared" si="1389"/>
        <v>2014</v>
      </c>
      <c r="T1845" s="470">
        <f t="shared" si="1390"/>
        <v>1</v>
      </c>
      <c r="U1845" s="612">
        <f t="shared" si="1391"/>
        <v>304088723.46777213</v>
      </c>
      <c r="V1845" s="464">
        <f t="shared" si="1392"/>
        <v>2014</v>
      </c>
      <c r="W1845" s="612">
        <f t="shared" si="1393"/>
        <v>1824532340.8066335</v>
      </c>
      <c r="X1845" s="473"/>
      <c r="Y1845" s="478"/>
      <c r="Z1845" s="449"/>
      <c r="AA1845" s="475" t="s">
        <v>4180</v>
      </c>
      <c r="AB1845" s="476"/>
      <c r="AC1845" s="476"/>
      <c r="AD1845" s="567">
        <f>G1852</f>
        <v>8738056735.7903404</v>
      </c>
      <c r="AE1845" s="491"/>
      <c r="AF1845" s="568"/>
      <c r="AG1845" s="491"/>
      <c r="AH1845" s="491"/>
      <c r="AI1845" s="477"/>
      <c r="AJ1845" s="478"/>
      <c r="AK1845" s="479"/>
      <c r="AL1845" s="480"/>
      <c r="AM1845" s="474"/>
      <c r="AN1845" s="481"/>
      <c r="AO1845" s="474"/>
      <c r="AP1845" s="476"/>
      <c r="AQ1845" s="482"/>
      <c r="AR1845" s="478"/>
      <c r="AS1845" s="478"/>
      <c r="AT1845" s="476"/>
      <c r="AU1845" s="482"/>
      <c r="AV1845" s="478"/>
      <c r="AW1845" s="483"/>
      <c r="AX1845" s="476"/>
      <c r="AY1845" s="482"/>
      <c r="AZ1845" s="478"/>
      <c r="BA1845" s="484"/>
      <c r="BB1845" s="474"/>
      <c r="BC1845" s="485"/>
      <c r="BD1845" s="485"/>
      <c r="BG1845" s="487"/>
    </row>
    <row r="1846" spans="1:59" s="486" customFormat="1" ht="18" customHeight="1" x14ac:dyDescent="0.2">
      <c r="A1846" s="1368" t="str">
        <f t="shared" si="1394"/>
        <v>PULAU BUSUK - KOTO INUMAN2015</v>
      </c>
      <c r="B1846" s="1375"/>
      <c r="C1846" s="488"/>
      <c r="D1846" s="489"/>
      <c r="E1846" s="558"/>
      <c r="F1846" s="559">
        <v>2015</v>
      </c>
      <c r="G1846" s="619">
        <v>0</v>
      </c>
      <c r="H1846" s="464">
        <f t="shared" si="1379"/>
        <v>6</v>
      </c>
      <c r="I1846" s="560"/>
      <c r="J1846" s="468">
        <f t="shared" si="1380"/>
        <v>2020</v>
      </c>
      <c r="K1846" s="490">
        <f t="shared" si="1381"/>
        <v>0</v>
      </c>
      <c r="L1846" s="469">
        <f t="shared" si="1382"/>
        <v>0</v>
      </c>
      <c r="M1846" s="683">
        <f t="shared" si="1383"/>
        <v>0</v>
      </c>
      <c r="N1846" s="470">
        <f t="shared" si="1384"/>
        <v>6</v>
      </c>
      <c r="O1846" s="468">
        <f t="shared" si="1385"/>
        <v>2020</v>
      </c>
      <c r="P1846" s="616">
        <f t="shared" si="1386"/>
        <v>1824532340.8066335</v>
      </c>
      <c r="Q1846" s="472">
        <f t="shared" si="1387"/>
        <v>1824532340.8066335</v>
      </c>
      <c r="R1846" s="472">
        <f t="shared" si="1388"/>
        <v>304088723.46777213</v>
      </c>
      <c r="S1846" s="1189">
        <f t="shared" si="1389"/>
        <v>2015</v>
      </c>
      <c r="T1846" s="470">
        <f t="shared" si="1390"/>
        <v>1</v>
      </c>
      <c r="U1846" s="612">
        <f t="shared" si="1391"/>
        <v>304088723.46777213</v>
      </c>
      <c r="V1846" s="464">
        <f t="shared" si="1392"/>
        <v>2015</v>
      </c>
      <c r="W1846" s="612">
        <f t="shared" si="1393"/>
        <v>1520443617.3388615</v>
      </c>
      <c r="X1846" s="473"/>
      <c r="Y1846" s="478"/>
      <c r="Z1846" s="449"/>
      <c r="AA1846" s="475" t="s">
        <v>4181</v>
      </c>
      <c r="AB1846" s="491"/>
      <c r="AC1846" s="491"/>
      <c r="AD1846" s="567">
        <f>U1852</f>
        <v>5547434824.755024</v>
      </c>
      <c r="AE1846" s="491"/>
      <c r="AF1846" s="568"/>
      <c r="AG1846" s="491"/>
      <c r="AH1846" s="491"/>
      <c r="AI1846" s="477"/>
      <c r="AJ1846" s="478"/>
      <c r="AK1846" s="479"/>
      <c r="AL1846" s="480"/>
      <c r="AM1846" s="474"/>
      <c r="AN1846" s="481"/>
      <c r="AO1846" s="474"/>
      <c r="AP1846" s="476"/>
      <c r="AQ1846" s="482"/>
      <c r="AR1846" s="478"/>
      <c r="AS1846" s="478"/>
      <c r="AT1846" s="476"/>
      <c r="AU1846" s="482"/>
      <c r="AV1846" s="478"/>
      <c r="AW1846" s="483"/>
      <c r="AX1846" s="476"/>
      <c r="AY1846" s="482"/>
      <c r="AZ1846" s="478"/>
      <c r="BA1846" s="484"/>
      <c r="BB1846" s="474"/>
      <c r="BC1846" s="485"/>
      <c r="BD1846" s="485"/>
      <c r="BG1846" s="487"/>
    </row>
    <row r="1847" spans="1:59" s="486" customFormat="1" ht="18" customHeight="1" x14ac:dyDescent="0.2">
      <c r="A1847" s="1368" t="str">
        <f t="shared" si="1394"/>
        <v>PULAU BUSUK - KOTO INUMAN2016</v>
      </c>
      <c r="B1847" s="1375">
        <v>4</v>
      </c>
      <c r="C1847" s="488" t="s">
        <v>1453</v>
      </c>
      <c r="D1847" s="489" t="s">
        <v>3821</v>
      </c>
      <c r="E1847" s="558"/>
      <c r="F1847" s="559">
        <v>2016</v>
      </c>
      <c r="G1847" s="619">
        <v>3797259567.7199998</v>
      </c>
      <c r="H1847" s="464">
        <f t="shared" si="1379"/>
        <v>5</v>
      </c>
      <c r="I1847" s="560"/>
      <c r="J1847" s="468">
        <f t="shared" si="1380"/>
        <v>2025</v>
      </c>
      <c r="K1847" s="490">
        <f t="shared" si="1381"/>
        <v>2.4974681891631789</v>
      </c>
      <c r="L1847" s="469">
        <f t="shared" si="1382"/>
        <v>10</v>
      </c>
      <c r="M1847" s="683">
        <f t="shared" si="1383"/>
        <v>5</v>
      </c>
      <c r="N1847" s="470">
        <f t="shared" si="1384"/>
        <v>10</v>
      </c>
      <c r="O1847" s="468">
        <f t="shared" si="1385"/>
        <v>2025</v>
      </c>
      <c r="P1847" s="616">
        <f t="shared" si="1386"/>
        <v>1520443617.3388615</v>
      </c>
      <c r="Q1847" s="472">
        <f t="shared" si="1387"/>
        <v>5317703185.0588608</v>
      </c>
      <c r="R1847" s="472">
        <f t="shared" si="1388"/>
        <v>531770318.50588608</v>
      </c>
      <c r="S1847" s="1189">
        <f t="shared" si="1389"/>
        <v>2016</v>
      </c>
      <c r="T1847" s="470">
        <f t="shared" si="1390"/>
        <v>1</v>
      </c>
      <c r="U1847" s="612">
        <f t="shared" si="1391"/>
        <v>531770318.50588608</v>
      </c>
      <c r="V1847" s="464">
        <f t="shared" si="1392"/>
        <v>2016</v>
      </c>
      <c r="W1847" s="612">
        <f t="shared" si="1393"/>
        <v>4785932866.5529747</v>
      </c>
      <c r="X1847" s="473"/>
      <c r="Y1847" s="478"/>
      <c r="Z1847" s="449"/>
      <c r="AA1847" s="492" t="s">
        <v>4182</v>
      </c>
      <c r="AB1847" s="476"/>
      <c r="AC1847" s="476"/>
      <c r="AD1847" s="567">
        <f>AD1845-AD1846</f>
        <v>3190621911.0353165</v>
      </c>
      <c r="AE1847" s="476"/>
      <c r="AF1847" s="568"/>
      <c r="AG1847" s="476"/>
      <c r="AH1847" s="476"/>
      <c r="AI1847" s="477"/>
      <c r="AJ1847" s="478"/>
      <c r="AK1847" s="479"/>
      <c r="AL1847" s="480"/>
      <c r="AM1847" s="474"/>
      <c r="AN1847" s="481"/>
      <c r="AO1847" s="474"/>
      <c r="AP1847" s="476"/>
      <c r="AQ1847" s="482"/>
      <c r="AR1847" s="478"/>
      <c r="AS1847" s="478"/>
      <c r="AT1847" s="476"/>
      <c r="AU1847" s="482"/>
      <c r="AV1847" s="478"/>
      <c r="AW1847" s="483"/>
      <c r="AX1847" s="476"/>
      <c r="AY1847" s="482"/>
      <c r="AZ1847" s="478"/>
      <c r="BA1847" s="484"/>
      <c r="BB1847" s="474"/>
      <c r="BC1847" s="485"/>
      <c r="BD1847" s="485"/>
      <c r="BG1847" s="487"/>
    </row>
    <row r="1848" spans="1:59" s="486" customFormat="1" ht="18" customHeight="1" x14ac:dyDescent="0.2">
      <c r="A1848" s="1368" t="str">
        <f t="shared" si="1394"/>
        <v>PULAU BUSUK - KOTO INUMAN2017</v>
      </c>
      <c r="B1848" s="1373"/>
      <c r="C1848" s="488"/>
      <c r="D1848" s="489"/>
      <c r="E1848" s="558"/>
      <c r="F1848" s="559">
        <v>2017</v>
      </c>
      <c r="G1848" s="619">
        <v>0</v>
      </c>
      <c r="H1848" s="464">
        <f t="shared" si="1379"/>
        <v>9</v>
      </c>
      <c r="I1848" s="560"/>
      <c r="J1848" s="468">
        <f t="shared" si="1380"/>
        <v>2025</v>
      </c>
      <c r="K1848" s="490">
        <f t="shared" si="1381"/>
        <v>0</v>
      </c>
      <c r="L1848" s="469">
        <f t="shared" si="1382"/>
        <v>0</v>
      </c>
      <c r="M1848" s="683">
        <f t="shared" si="1383"/>
        <v>0</v>
      </c>
      <c r="N1848" s="470">
        <f t="shared" si="1384"/>
        <v>9</v>
      </c>
      <c r="O1848" s="468">
        <f t="shared" si="1385"/>
        <v>2025</v>
      </c>
      <c r="P1848" s="616">
        <f t="shared" si="1386"/>
        <v>4785932866.5529747</v>
      </c>
      <c r="Q1848" s="472">
        <f t="shared" si="1387"/>
        <v>4785932866.5529747</v>
      </c>
      <c r="R1848" s="472">
        <f t="shared" si="1388"/>
        <v>531770318.50588608</v>
      </c>
      <c r="S1848" s="1189">
        <f t="shared" si="1389"/>
        <v>2017</v>
      </c>
      <c r="T1848" s="470">
        <f t="shared" si="1390"/>
        <v>1</v>
      </c>
      <c r="U1848" s="612">
        <f t="shared" si="1391"/>
        <v>531770318.50588608</v>
      </c>
      <c r="V1848" s="464">
        <f t="shared" si="1392"/>
        <v>2017</v>
      </c>
      <c r="W1848" s="612">
        <f t="shared" si="1393"/>
        <v>4254162548.0470886</v>
      </c>
      <c r="X1848" s="473"/>
      <c r="Y1848" s="478"/>
      <c r="Z1848" s="449"/>
      <c r="AA1848" s="492"/>
      <c r="AB1848" s="476"/>
      <c r="AC1848" s="476"/>
      <c r="AD1848" s="567"/>
      <c r="AE1848" s="476"/>
      <c r="AF1848" s="568"/>
      <c r="AG1848" s="476"/>
      <c r="AH1848" s="476"/>
      <c r="AI1848" s="477"/>
      <c r="AJ1848" s="478"/>
      <c r="AK1848" s="479"/>
      <c r="AL1848" s="480"/>
      <c r="AM1848" s="474"/>
      <c r="AN1848" s="481"/>
      <c r="AO1848" s="474"/>
      <c r="AP1848" s="476"/>
      <c r="AQ1848" s="482"/>
      <c r="AR1848" s="478"/>
      <c r="AS1848" s="478"/>
      <c r="AT1848" s="476"/>
      <c r="AU1848" s="482"/>
      <c r="AV1848" s="478"/>
      <c r="AW1848" s="483"/>
      <c r="AX1848" s="476"/>
      <c r="AY1848" s="482"/>
      <c r="AZ1848" s="478"/>
      <c r="BA1848" s="484"/>
      <c r="BB1848" s="474"/>
      <c r="BC1848" s="485"/>
      <c r="BD1848" s="485"/>
      <c r="BG1848" s="487"/>
    </row>
    <row r="1849" spans="1:59" s="486" customFormat="1" ht="18" customHeight="1" x14ac:dyDescent="0.2">
      <c r="A1849" s="1368" t="str">
        <f t="shared" si="1394"/>
        <v>PULAU BUSUK - KOTO INUMAN2018</v>
      </c>
      <c r="B1849" s="687"/>
      <c r="C1849" s="488"/>
      <c r="D1849" s="489"/>
      <c r="E1849" s="558"/>
      <c r="F1849" s="466">
        <v>2018</v>
      </c>
      <c r="G1849" s="619">
        <v>0</v>
      </c>
      <c r="H1849" s="464">
        <f t="shared" si="1379"/>
        <v>8</v>
      </c>
      <c r="I1849" s="560"/>
      <c r="J1849" s="468">
        <f t="shared" si="1380"/>
        <v>2025</v>
      </c>
      <c r="K1849" s="490">
        <f t="shared" si="1381"/>
        <v>0</v>
      </c>
      <c r="L1849" s="469">
        <f t="shared" si="1382"/>
        <v>0</v>
      </c>
      <c r="M1849" s="683">
        <f t="shared" si="1383"/>
        <v>0</v>
      </c>
      <c r="N1849" s="470">
        <f t="shared" si="1384"/>
        <v>8</v>
      </c>
      <c r="O1849" s="468">
        <f t="shared" si="1385"/>
        <v>2025</v>
      </c>
      <c r="P1849" s="616">
        <f t="shared" si="1386"/>
        <v>4254162548.0470886</v>
      </c>
      <c r="Q1849" s="472">
        <f t="shared" si="1387"/>
        <v>4254162548.0470886</v>
      </c>
      <c r="R1849" s="472">
        <f t="shared" si="1388"/>
        <v>531770318.50588608</v>
      </c>
      <c r="S1849" s="1189">
        <f t="shared" si="1389"/>
        <v>2018</v>
      </c>
      <c r="T1849" s="470">
        <f t="shared" si="1390"/>
        <v>1</v>
      </c>
      <c r="U1849" s="612">
        <f t="shared" si="1391"/>
        <v>531770318.50588608</v>
      </c>
      <c r="V1849" s="464">
        <f t="shared" si="1392"/>
        <v>2018</v>
      </c>
      <c r="W1849" s="612">
        <f t="shared" si="1393"/>
        <v>3722392229.5412025</v>
      </c>
      <c r="X1849" s="473"/>
      <c r="Y1849" s="478"/>
      <c r="Z1849" s="449"/>
      <c r="AA1849" s="531" t="s">
        <v>4183</v>
      </c>
      <c r="AB1849" s="496"/>
      <c r="AC1849" s="496"/>
      <c r="AD1849" s="569">
        <f>AD1847-W1852</f>
        <v>0</v>
      </c>
      <c r="AE1849" s="476"/>
      <c r="AF1849" s="568"/>
      <c r="AG1849" s="476"/>
      <c r="AH1849" s="476"/>
      <c r="AI1849" s="477"/>
      <c r="AJ1849" s="478"/>
      <c r="AK1849" s="479"/>
      <c r="AL1849" s="480"/>
      <c r="AM1849" s="474"/>
      <c r="AN1849" s="481"/>
      <c r="AO1849" s="474"/>
      <c r="AP1849" s="476"/>
      <c r="AQ1849" s="482"/>
      <c r="AR1849" s="478"/>
      <c r="AS1849" s="478"/>
      <c r="AT1849" s="476"/>
      <c r="AU1849" s="482"/>
      <c r="AV1849" s="478"/>
      <c r="AW1849" s="483"/>
      <c r="AX1849" s="476"/>
      <c r="AY1849" s="482"/>
      <c r="AZ1849" s="478"/>
      <c r="BA1849" s="484"/>
      <c r="BB1849" s="474"/>
      <c r="BC1849" s="485"/>
      <c r="BD1849" s="485"/>
      <c r="BG1849" s="487"/>
    </row>
    <row r="1850" spans="1:59" s="486" customFormat="1" ht="18" customHeight="1" x14ac:dyDescent="0.2">
      <c r="A1850" s="1368" t="str">
        <f t="shared" si="1394"/>
        <v>PULAU BUSUK - KOTO INUMAN2019</v>
      </c>
      <c r="B1850" s="687"/>
      <c r="C1850" s="488"/>
      <c r="D1850" s="489"/>
      <c r="E1850" s="558"/>
      <c r="F1850" s="466">
        <v>2019</v>
      </c>
      <c r="G1850" s="619">
        <v>0</v>
      </c>
      <c r="H1850" s="464">
        <f t="shared" si="1379"/>
        <v>7</v>
      </c>
      <c r="I1850" s="560"/>
      <c r="J1850" s="468">
        <f t="shared" si="1380"/>
        <v>2025</v>
      </c>
      <c r="K1850" s="490">
        <f t="shared" si="1381"/>
        <v>0</v>
      </c>
      <c r="L1850" s="469">
        <f t="shared" si="1382"/>
        <v>0</v>
      </c>
      <c r="M1850" s="683">
        <f t="shared" si="1383"/>
        <v>0</v>
      </c>
      <c r="N1850" s="470">
        <f t="shared" si="1384"/>
        <v>7</v>
      </c>
      <c r="O1850" s="468">
        <f t="shared" si="1385"/>
        <v>2025</v>
      </c>
      <c r="P1850" s="616">
        <f t="shared" si="1386"/>
        <v>3722392229.5412025</v>
      </c>
      <c r="Q1850" s="472">
        <f t="shared" si="1387"/>
        <v>3722392229.5412025</v>
      </c>
      <c r="R1850" s="472">
        <f t="shared" si="1388"/>
        <v>531770318.50588608</v>
      </c>
      <c r="S1850" s="1189">
        <f t="shared" si="1389"/>
        <v>2019</v>
      </c>
      <c r="T1850" s="470">
        <f t="shared" si="1390"/>
        <v>1</v>
      </c>
      <c r="U1850" s="612">
        <f t="shared" si="1391"/>
        <v>531770318.50588608</v>
      </c>
      <c r="V1850" s="464">
        <f t="shared" si="1392"/>
        <v>2019</v>
      </c>
      <c r="W1850" s="612">
        <f t="shared" si="1393"/>
        <v>3190621911.0353165</v>
      </c>
      <c r="X1850" s="473"/>
      <c r="Y1850" s="478"/>
      <c r="Z1850" s="449"/>
      <c r="AA1850" s="573"/>
      <c r="AB1850" s="476"/>
      <c r="AC1850" s="476"/>
      <c r="AD1850" s="568"/>
      <c r="AE1850" s="476"/>
      <c r="AF1850" s="568"/>
      <c r="AG1850" s="476"/>
      <c r="AH1850" s="476"/>
      <c r="AI1850" s="477"/>
      <c r="AJ1850" s="478"/>
      <c r="AK1850" s="479"/>
      <c r="AL1850" s="480"/>
      <c r="AM1850" s="474"/>
      <c r="AN1850" s="481"/>
      <c r="AO1850" s="474"/>
      <c r="AP1850" s="476"/>
      <c r="AQ1850" s="482"/>
      <c r="AR1850" s="478"/>
      <c r="AS1850" s="478"/>
      <c r="AT1850" s="476"/>
      <c r="AU1850" s="482"/>
      <c r="AV1850" s="478"/>
      <c r="AW1850" s="483"/>
      <c r="AX1850" s="476"/>
      <c r="AY1850" s="482"/>
      <c r="AZ1850" s="478"/>
      <c r="BA1850" s="484"/>
      <c r="BB1850" s="474"/>
      <c r="BC1850" s="485"/>
      <c r="BD1850" s="485"/>
      <c r="BG1850" s="487"/>
    </row>
    <row r="1851" spans="1:59" s="486" customFormat="1" ht="18" customHeight="1" x14ac:dyDescent="0.2">
      <c r="A1851" s="1368" t="str">
        <f>LEFT(D1851,8)</f>
        <v/>
      </c>
      <c r="B1851" s="687"/>
      <c r="C1851" s="463"/>
      <c r="D1851" s="489"/>
      <c r="E1851" s="465"/>
      <c r="F1851" s="466"/>
      <c r="G1851" s="620"/>
      <c r="H1851" s="464"/>
      <c r="I1851" s="467"/>
      <c r="J1851" s="468"/>
      <c r="K1851" s="574"/>
      <c r="L1851" s="469"/>
      <c r="M1851" s="683"/>
      <c r="N1851" s="470"/>
      <c r="O1851" s="468"/>
      <c r="P1851" s="616"/>
      <c r="Q1851" s="472"/>
      <c r="R1851" s="472"/>
      <c r="S1851" s="634"/>
      <c r="T1851" s="470"/>
      <c r="U1851" s="612"/>
      <c r="V1851" s="464"/>
      <c r="W1851" s="612"/>
      <c r="X1851" s="473"/>
      <c r="Y1851" s="478"/>
      <c r="Z1851" s="449"/>
      <c r="AA1851" s="573"/>
      <c r="AB1851" s="476"/>
      <c r="AC1851" s="476"/>
      <c r="AD1851" s="568"/>
      <c r="AE1851" s="476"/>
      <c r="AF1851" s="568"/>
      <c r="AG1851" s="476"/>
      <c r="AH1851" s="476"/>
      <c r="AI1851" s="477"/>
      <c r="AJ1851" s="478"/>
      <c r="AK1851" s="479"/>
      <c r="AL1851" s="480"/>
      <c r="AM1851" s="474"/>
      <c r="AN1851" s="481"/>
      <c r="AO1851" s="474"/>
      <c r="AP1851" s="476"/>
      <c r="AQ1851" s="482"/>
      <c r="AR1851" s="478"/>
      <c r="AS1851" s="478"/>
      <c r="AT1851" s="476"/>
      <c r="AU1851" s="482"/>
      <c r="AV1851" s="478"/>
      <c r="AW1851" s="483"/>
      <c r="AX1851" s="476"/>
      <c r="AY1851" s="482"/>
      <c r="AZ1851" s="478"/>
      <c r="BA1851" s="484"/>
      <c r="BB1851" s="474"/>
      <c r="BC1851" s="485"/>
      <c r="BD1851" s="485"/>
      <c r="BG1851" s="487"/>
    </row>
    <row r="1852" spans="1:59" s="526" customFormat="1" ht="18" customHeight="1" x14ac:dyDescent="0.2">
      <c r="A1852" s="1370" t="s">
        <v>4184</v>
      </c>
      <c r="B1852" s="1956" t="s">
        <v>4184</v>
      </c>
      <c r="C1852" s="1957"/>
      <c r="D1852" s="1957"/>
      <c r="E1852" s="1957"/>
      <c r="F1852" s="1958"/>
      <c r="G1852" s="624">
        <f>SUM(G1835:G1851)</f>
        <v>8738056735.7903404</v>
      </c>
      <c r="H1852" s="505"/>
      <c r="I1852" s="506"/>
      <c r="J1852" s="507"/>
      <c r="K1852" s="507"/>
      <c r="L1852" s="505"/>
      <c r="M1852" s="684"/>
      <c r="N1852" s="508"/>
      <c r="O1852" s="507"/>
      <c r="P1852" s="749"/>
      <c r="Q1852" s="510"/>
      <c r="R1852" s="511"/>
      <c r="S1852" s="512"/>
      <c r="T1852" s="512"/>
      <c r="U1852" s="610">
        <f>SUM(U1835:U1851)</f>
        <v>5547434824.755024</v>
      </c>
      <c r="V1852" s="513"/>
      <c r="W1852" s="610">
        <f>G1852-U1852</f>
        <v>3190621911.0353165</v>
      </c>
      <c r="X1852" s="514"/>
      <c r="Y1852" s="515"/>
      <c r="Z1852" s="515"/>
      <c r="AA1852" s="515"/>
      <c r="AB1852" s="515"/>
      <c r="AC1852" s="515"/>
      <c r="AD1852" s="570"/>
      <c r="AE1852" s="515"/>
      <c r="AF1852" s="570">
        <v>6911671322.2243481</v>
      </c>
      <c r="AG1852" s="515"/>
      <c r="AH1852" s="515"/>
      <c r="AI1852" s="516"/>
      <c r="AJ1852" s="517"/>
      <c r="AK1852" s="518"/>
      <c r="AL1852" s="519"/>
      <c r="AM1852" s="520"/>
      <c r="AN1852" s="521"/>
      <c r="AO1852" s="520"/>
      <c r="AP1852" s="515"/>
      <c r="AQ1852" s="522"/>
      <c r="AR1852" s="517"/>
      <c r="AS1852" s="517"/>
      <c r="AT1852" s="515"/>
      <c r="AU1852" s="522"/>
      <c r="AV1852" s="517"/>
      <c r="AW1852" s="523"/>
      <c r="AX1852" s="515"/>
      <c r="AY1852" s="522"/>
      <c r="AZ1852" s="517"/>
      <c r="BA1852" s="524"/>
      <c r="BB1852" s="520"/>
      <c r="BC1852" s="525"/>
      <c r="BD1852" s="525"/>
      <c r="BG1852" s="527"/>
    </row>
    <row r="1855" spans="1:59" s="422" customFormat="1" ht="18" customHeight="1" x14ac:dyDescent="0.2">
      <c r="A1855" s="1366">
        <f>C1855</f>
        <v>307</v>
      </c>
      <c r="B1855" s="742" t="s">
        <v>4187</v>
      </c>
      <c r="C1855" s="556">
        <v>307</v>
      </c>
      <c r="D1855" s="553" t="str">
        <f>VLOOKUP(C1855,RUAS,2,FALSE)</f>
        <v>JL. DESA PL. PANJANG - PL. PANJANG HILIR</v>
      </c>
      <c r="E1855" s="553"/>
      <c r="F1855" s="421"/>
      <c r="G1855" s="611"/>
      <c r="I1855" s="423"/>
      <c r="J1855" s="424"/>
      <c r="K1855" s="424"/>
      <c r="M1855" s="680"/>
      <c r="P1855" s="611"/>
      <c r="U1855" s="611"/>
      <c r="W1855" s="611"/>
      <c r="Y1855" s="425"/>
      <c r="Z1855" s="425"/>
      <c r="AA1855" s="425"/>
      <c r="AB1855" s="425"/>
      <c r="AC1855" s="425"/>
      <c r="AD1855" s="563"/>
      <c r="AE1855" s="425"/>
      <c r="AF1855" s="563"/>
      <c r="AG1855" s="425"/>
      <c r="AH1855" s="425"/>
      <c r="AI1855" s="425"/>
      <c r="AJ1855" s="425"/>
      <c r="AK1855" s="425"/>
      <c r="AL1855" s="425"/>
      <c r="AM1855" s="425"/>
      <c r="AN1855" s="425"/>
      <c r="AO1855" s="425"/>
      <c r="AP1855" s="425"/>
      <c r="AQ1855" s="425"/>
      <c r="AR1855" s="425"/>
      <c r="AS1855" s="425"/>
      <c r="AT1855" s="425"/>
      <c r="AU1855" s="425"/>
      <c r="AV1855" s="425"/>
      <c r="AW1855" s="425"/>
      <c r="AX1855" s="425"/>
      <c r="AY1855" s="425"/>
      <c r="AZ1855" s="425"/>
      <c r="BA1855" s="425"/>
      <c r="BB1855" s="425"/>
    </row>
    <row r="1856" spans="1:59" s="431" customFormat="1" ht="18" customHeight="1" x14ac:dyDescent="0.2">
      <c r="A1856" s="1367"/>
      <c r="B1856" s="1968" t="s">
        <v>5</v>
      </c>
      <c r="C1856" s="1968" t="s">
        <v>2280</v>
      </c>
      <c r="D1856" s="1968" t="s">
        <v>4157</v>
      </c>
      <c r="E1856" s="1968" t="s">
        <v>4158</v>
      </c>
      <c r="F1856" s="1968"/>
      <c r="G1856" s="1969" t="s">
        <v>4159</v>
      </c>
      <c r="H1856" s="1968" t="s">
        <v>4160</v>
      </c>
      <c r="I1856" s="1968"/>
      <c r="J1856" s="1968" t="s">
        <v>4185</v>
      </c>
      <c r="K1856" s="1964" t="s">
        <v>4162</v>
      </c>
      <c r="L1856" s="1968" t="s">
        <v>4163</v>
      </c>
      <c r="M1856" s="1971" t="s">
        <v>4164</v>
      </c>
      <c r="N1856" s="1962" t="s">
        <v>4165</v>
      </c>
      <c r="O1856" s="1968" t="s">
        <v>4166</v>
      </c>
      <c r="P1856" s="1972" t="s">
        <v>4167</v>
      </c>
      <c r="Q1856" s="1973"/>
      <c r="R1856" s="636" t="s">
        <v>4186</v>
      </c>
      <c r="S1856" s="1972" t="s">
        <v>4169</v>
      </c>
      <c r="T1856" s="1974"/>
      <c r="U1856" s="1973"/>
      <c r="V1856" s="1975" t="s">
        <v>4170</v>
      </c>
      <c r="W1856" s="1975"/>
      <c r="X1856" s="1960" t="s">
        <v>4171</v>
      </c>
      <c r="Y1856" s="1959"/>
      <c r="Z1856" s="633"/>
      <c r="AA1856" s="426"/>
      <c r="AB1856" s="426"/>
      <c r="AC1856" s="426"/>
      <c r="AD1856" s="564"/>
      <c r="AE1856" s="426"/>
      <c r="AF1856" s="564"/>
      <c r="AG1856" s="426"/>
      <c r="AH1856" s="426"/>
      <c r="AI1856" s="427"/>
      <c r="AJ1856" s="427"/>
      <c r="AK1856" s="427"/>
      <c r="AL1856" s="427"/>
      <c r="AM1856" s="428"/>
      <c r="AN1856" s="427"/>
      <c r="AO1856" s="427"/>
      <c r="AP1856" s="426"/>
      <c r="AQ1856" s="427"/>
      <c r="AR1856" s="427"/>
      <c r="AS1856" s="427"/>
      <c r="AT1856" s="426"/>
      <c r="AU1856" s="427"/>
      <c r="AV1856" s="427"/>
      <c r="AW1856" s="427"/>
      <c r="AX1856" s="426"/>
      <c r="AY1856" s="427"/>
      <c r="AZ1856" s="427"/>
      <c r="BA1856" s="427"/>
      <c r="BB1856" s="429"/>
      <c r="BC1856" s="430"/>
      <c r="BD1856" s="430"/>
    </row>
    <row r="1857" spans="1:59" s="431" customFormat="1" ht="18" customHeight="1" x14ac:dyDescent="0.2">
      <c r="A1857" s="1367"/>
      <c r="B1857" s="1968"/>
      <c r="C1857" s="1968"/>
      <c r="D1857" s="1968"/>
      <c r="E1857" s="1968"/>
      <c r="F1857" s="1968"/>
      <c r="G1857" s="1969"/>
      <c r="H1857" s="1968"/>
      <c r="I1857" s="1968"/>
      <c r="J1857" s="1968"/>
      <c r="K1857" s="1970"/>
      <c r="L1857" s="1968"/>
      <c r="M1857" s="1971"/>
      <c r="N1857" s="1963"/>
      <c r="O1857" s="1968"/>
      <c r="P1857" s="2037" t="s">
        <v>4172</v>
      </c>
      <c r="Q1857" s="1960" t="s">
        <v>4173</v>
      </c>
      <c r="R1857" s="1962" t="s">
        <v>4159</v>
      </c>
      <c r="S1857" s="1962" t="s">
        <v>4174</v>
      </c>
      <c r="T1857" s="1964" t="s">
        <v>4175</v>
      </c>
      <c r="U1857" s="1966" t="s">
        <v>4159</v>
      </c>
      <c r="V1857" s="1975"/>
      <c r="W1857" s="1975"/>
      <c r="X1857" s="1976"/>
      <c r="Y1857" s="1959"/>
      <c r="Z1857" s="633"/>
      <c r="AA1857" s="426"/>
      <c r="AB1857" s="426"/>
      <c r="AC1857" s="426"/>
      <c r="AD1857" s="564"/>
      <c r="AE1857" s="426"/>
      <c r="AF1857" s="564"/>
      <c r="AG1857" s="426"/>
      <c r="AH1857" s="426"/>
      <c r="AI1857" s="427"/>
      <c r="AJ1857" s="427"/>
      <c r="AK1857" s="426"/>
      <c r="AL1857" s="427"/>
      <c r="AM1857" s="428"/>
      <c r="AN1857" s="427"/>
      <c r="AO1857" s="427"/>
      <c r="AP1857" s="432"/>
      <c r="AQ1857" s="427"/>
      <c r="AR1857" s="427"/>
      <c r="AS1857" s="427"/>
      <c r="AT1857" s="432"/>
      <c r="AU1857" s="427"/>
      <c r="AV1857" s="427"/>
      <c r="AW1857" s="427"/>
      <c r="AX1857" s="432"/>
      <c r="AY1857" s="427"/>
      <c r="AZ1857" s="427"/>
      <c r="BA1857" s="427"/>
      <c r="BB1857" s="429"/>
      <c r="BC1857" s="430"/>
      <c r="BD1857" s="430"/>
    </row>
    <row r="1858" spans="1:59" s="431" customFormat="1" ht="18" customHeight="1" x14ac:dyDescent="0.2">
      <c r="A1858" s="1367"/>
      <c r="B1858" s="1968"/>
      <c r="C1858" s="1968"/>
      <c r="D1858" s="1968"/>
      <c r="E1858" s="433" t="s">
        <v>4176</v>
      </c>
      <c r="F1858" s="434" t="s">
        <v>2288</v>
      </c>
      <c r="G1858" s="1969"/>
      <c r="H1858" s="635" t="s">
        <v>2288</v>
      </c>
      <c r="I1858" s="635" t="s">
        <v>4177</v>
      </c>
      <c r="J1858" s="1968"/>
      <c r="K1858" s="1965"/>
      <c r="L1858" s="435" t="s">
        <v>2288</v>
      </c>
      <c r="M1858" s="681" t="s">
        <v>2288</v>
      </c>
      <c r="N1858" s="635" t="s">
        <v>2288</v>
      </c>
      <c r="O1858" s="1968"/>
      <c r="P1858" s="2038"/>
      <c r="Q1858" s="1961"/>
      <c r="R1858" s="1963"/>
      <c r="S1858" s="1963"/>
      <c r="T1858" s="1965"/>
      <c r="U1858" s="1967"/>
      <c r="V1858" s="635" t="s">
        <v>4178</v>
      </c>
      <c r="W1858" s="637" t="s">
        <v>4159</v>
      </c>
      <c r="X1858" s="1961"/>
      <c r="Y1858" s="436"/>
      <c r="Z1858" s="436"/>
      <c r="AA1858" s="426"/>
      <c r="AB1858" s="426"/>
      <c r="AC1858" s="426"/>
      <c r="AD1858" s="564"/>
      <c r="AE1858" s="426"/>
      <c r="AF1858" s="564"/>
      <c r="AG1858" s="426"/>
      <c r="AH1858" s="426"/>
      <c r="AI1858" s="427"/>
      <c r="AJ1858" s="432"/>
      <c r="AK1858" s="432"/>
      <c r="AL1858" s="427"/>
      <c r="AM1858" s="428"/>
      <c r="AN1858" s="432"/>
      <c r="AO1858" s="427"/>
      <c r="AP1858" s="432"/>
      <c r="AQ1858" s="432"/>
      <c r="AR1858" s="427"/>
      <c r="AS1858" s="427"/>
      <c r="AT1858" s="432"/>
      <c r="AU1858" s="432"/>
      <c r="AV1858" s="427"/>
      <c r="AW1858" s="427"/>
      <c r="AX1858" s="432"/>
      <c r="AY1858" s="432"/>
      <c r="AZ1858" s="427"/>
      <c r="BA1858" s="427"/>
      <c r="BB1858" s="429"/>
      <c r="BC1858" s="430"/>
      <c r="BD1858" s="430"/>
    </row>
    <row r="1859" spans="1:59" s="461" customFormat="1" ht="18" customHeight="1" x14ac:dyDescent="0.2">
      <c r="A1859" s="1368" t="str">
        <f>$D$1855&amp;S1859</f>
        <v>JL. DESA PL. PANJANG - PL. PANJANG HILIR2001</v>
      </c>
      <c r="B1859" s="1373">
        <v>1</v>
      </c>
      <c r="C1859" s="532" t="s">
        <v>529</v>
      </c>
      <c r="D1859" s="437" t="s">
        <v>3821</v>
      </c>
      <c r="E1859" s="438"/>
      <c r="F1859" s="439">
        <v>2001</v>
      </c>
      <c r="G1859" s="623">
        <v>913733028</v>
      </c>
      <c r="H1859" s="440">
        <f>VLOOKUP(LEFT(D1859,8),UE,4)</f>
        <v>10</v>
      </c>
      <c r="I1859" s="441"/>
      <c r="J1859" s="442">
        <f>F1859+N1859-1</f>
        <v>2010</v>
      </c>
      <c r="K1859" s="443"/>
      <c r="L1859" s="440"/>
      <c r="M1859" s="746">
        <f>IF(H1859+L1859&gt;$H1859,$H1859-H1859,L1859)</f>
        <v>0</v>
      </c>
      <c r="N1859" s="444">
        <f>H1859+M1859</f>
        <v>10</v>
      </c>
      <c r="O1859" s="442">
        <f>F1859+N1859-1</f>
        <v>2010</v>
      </c>
      <c r="P1859" s="617">
        <f>G1859</f>
        <v>913733028</v>
      </c>
      <c r="Q1859" s="445">
        <v>0</v>
      </c>
      <c r="R1859" s="445">
        <f>P1859/N1859</f>
        <v>91373302.799999997</v>
      </c>
      <c r="S1859" s="446">
        <f>F1859</f>
        <v>2001</v>
      </c>
      <c r="T1859" s="447">
        <v>1</v>
      </c>
      <c r="U1859" s="613">
        <f>R1859*T1859</f>
        <v>91373302.799999997</v>
      </c>
      <c r="V1859" s="442">
        <f>F1859</f>
        <v>2001</v>
      </c>
      <c r="W1859" s="617">
        <f>IF(OR(AND(ISBLANK(E1859),ISBLANK(G1859)),ISTEXT(E1859),ISTEXT(G1859)),"",G1859-R1859)</f>
        <v>822359725.20000005</v>
      </c>
      <c r="X1859" s="448"/>
      <c r="Y1859" s="449"/>
      <c r="Z1859" s="449"/>
      <c r="AA1859" s="450" t="s">
        <v>4179</v>
      </c>
      <c r="AB1859" s="451"/>
      <c r="AC1859" s="451"/>
      <c r="AD1859" s="565"/>
      <c r="AE1859" s="452"/>
      <c r="AF1859" s="571"/>
      <c r="AG1859" s="452"/>
      <c r="AH1859" s="452"/>
      <c r="AI1859" s="453"/>
      <c r="AJ1859" s="449"/>
      <c r="AK1859" s="453"/>
      <c r="AL1859" s="454"/>
      <c r="AM1859" s="455"/>
      <c r="AN1859" s="456"/>
      <c r="AO1859" s="455"/>
      <c r="AP1859" s="452"/>
      <c r="AQ1859" s="457"/>
      <c r="AR1859" s="449"/>
      <c r="AS1859" s="449"/>
      <c r="AT1859" s="452"/>
      <c r="AU1859" s="457"/>
      <c r="AV1859" s="449"/>
      <c r="AW1859" s="458"/>
      <c r="AX1859" s="452"/>
      <c r="AY1859" s="457"/>
      <c r="AZ1859" s="449"/>
      <c r="BA1859" s="459"/>
      <c r="BB1859" s="455"/>
      <c r="BC1859" s="460"/>
      <c r="BD1859" s="460"/>
      <c r="BG1859" s="462"/>
    </row>
    <row r="1860" spans="1:59" s="461" customFormat="1" ht="18" customHeight="1" x14ac:dyDescent="0.2">
      <c r="A1860" s="1368" t="str">
        <f t="shared" ref="A1860:A1869" si="1395">$D$1855&amp;S1860</f>
        <v>JL. DESA PL. PANJANG - PL. PANJANG HILIR2010</v>
      </c>
      <c r="B1860" s="1373"/>
      <c r="C1860" s="488"/>
      <c r="D1860" s="489"/>
      <c r="E1860" s="558"/>
      <c r="F1860" s="559">
        <v>2010</v>
      </c>
      <c r="G1860" s="619">
        <v>0</v>
      </c>
      <c r="H1860" s="464">
        <f>IF(N1859-(F1860-F1859)&lt;=0,0,(N1859-(F1860-F1859)))</f>
        <v>1</v>
      </c>
      <c r="I1860" s="560"/>
      <c r="J1860" s="468">
        <f>F1860+N1860-1</f>
        <v>2010</v>
      </c>
      <c r="K1860" s="490">
        <f>IF(G1860=0,0,IF(H1860=10,100%,G1860/W1859))</f>
        <v>0</v>
      </c>
      <c r="L1860" s="469">
        <f>IF(K1860=0%,0,IF(K1860&lt;=30%,2,IF(K1860&lt;=60%,5,10)))</f>
        <v>0</v>
      </c>
      <c r="M1860" s="683">
        <f>IF(OR(AND(ISBLANK(E1860),ISBLANK(G1860)),ISTEXT(E1860),ISTEXT(G1860)),"",IF(H1860+L1860&gt;$H$8,$H$8-H1860,L1860))</f>
        <v>0</v>
      </c>
      <c r="N1860" s="470">
        <f>IF(OR(AND(ISBLANK(F1860),ISBLANK(G1860)),ISTEXT(F1860),ISTEXT(G1860)),"",H1860+M1860)</f>
        <v>1</v>
      </c>
      <c r="O1860" s="468">
        <f>F1860+N1860-1</f>
        <v>2010</v>
      </c>
      <c r="P1860" s="616">
        <f>W1859</f>
        <v>822359725.20000005</v>
      </c>
      <c r="Q1860" s="472">
        <f>P1860+G1860</f>
        <v>822359725.20000005</v>
      </c>
      <c r="R1860" s="472">
        <f>IF(L1860=0,R1859,Q1860/N1860)</f>
        <v>91373302.799999997</v>
      </c>
      <c r="S1860" s="634">
        <f>F1860</f>
        <v>2010</v>
      </c>
      <c r="T1860" s="470">
        <f>S1860-S1859</f>
        <v>9</v>
      </c>
      <c r="U1860" s="612">
        <f>R1860*T1860</f>
        <v>822359725.19999993</v>
      </c>
      <c r="V1860" s="464">
        <f>F1860</f>
        <v>2010</v>
      </c>
      <c r="W1860" s="612">
        <f>IF(OR(AND(ISBLANK(E1860),ISBLANK(G1860)),ISTEXT(E1860),ISTEXT(G1860)),"",Q1860-U1860)</f>
        <v>1.1920928955078125E-7</v>
      </c>
      <c r="X1860" s="561"/>
      <c r="Y1860" s="449"/>
      <c r="Z1860" s="449"/>
      <c r="AA1860" s="554"/>
      <c r="AB1860" s="452"/>
      <c r="AC1860" s="452"/>
      <c r="AD1860" s="566"/>
      <c r="AE1860" s="452"/>
      <c r="AF1860" s="571"/>
      <c r="AG1860" s="452"/>
      <c r="AH1860" s="452"/>
      <c r="AI1860" s="453"/>
      <c r="AJ1860" s="449"/>
      <c r="AK1860" s="453"/>
      <c r="AL1860" s="454"/>
      <c r="AM1860" s="455"/>
      <c r="AN1860" s="456"/>
      <c r="AO1860" s="455"/>
      <c r="AP1860" s="452"/>
      <c r="AQ1860" s="457"/>
      <c r="AR1860" s="449"/>
      <c r="AS1860" s="449"/>
      <c r="AT1860" s="452"/>
      <c r="AU1860" s="457"/>
      <c r="AV1860" s="449"/>
      <c r="AW1860" s="458"/>
      <c r="AX1860" s="452"/>
      <c r="AY1860" s="457"/>
      <c r="AZ1860" s="449"/>
      <c r="BA1860" s="459"/>
      <c r="BB1860" s="455"/>
      <c r="BC1860" s="460"/>
      <c r="BD1860" s="460"/>
      <c r="BG1860" s="462"/>
    </row>
    <row r="1861" spans="1:59" s="461" customFormat="1" ht="18" customHeight="1" x14ac:dyDescent="0.2">
      <c r="A1861" s="1368" t="str">
        <f t="shared" si="1395"/>
        <v>JL. DESA PL. PANJANG - PL. PANJANG HILIR2011</v>
      </c>
      <c r="B1861" s="1375"/>
      <c r="C1861" s="488"/>
      <c r="D1861" s="489"/>
      <c r="E1861" s="558"/>
      <c r="F1861" s="559">
        <v>2011</v>
      </c>
      <c r="G1861" s="619">
        <v>0</v>
      </c>
      <c r="H1861" s="464">
        <f t="shared" ref="H1861:H1869" si="1396">IF(N1860-(F1861-F1860)&lt;=0,0,(N1860-(F1861-F1860)))</f>
        <v>0</v>
      </c>
      <c r="I1861" s="560"/>
      <c r="J1861" s="468">
        <f t="shared" ref="J1861:J1869" si="1397">F1861+N1861-1</f>
        <v>2010</v>
      </c>
      <c r="K1861" s="490">
        <f t="shared" ref="K1861:K1869" si="1398">IF(G1861=0,0,IF(H1861=10,100%,G1861/W1860))</f>
        <v>0</v>
      </c>
      <c r="L1861" s="469">
        <f t="shared" ref="L1861:L1869" si="1399">IF(K1861=0%,0,IF(K1861&lt;=30%,2,IF(K1861&lt;=60%,5,10)))</f>
        <v>0</v>
      </c>
      <c r="M1861" s="683">
        <f t="shared" ref="M1861:M1869" si="1400">IF(OR(AND(ISBLANK(E1861),ISBLANK(G1861)),ISTEXT(E1861),ISTEXT(G1861)),"",IF(H1861+L1861&gt;$H$8,$H$8-H1861,L1861))</f>
        <v>0</v>
      </c>
      <c r="N1861" s="470">
        <f t="shared" ref="N1861:N1869" si="1401">IF(OR(AND(ISBLANK(F1861),ISBLANK(G1861)),ISTEXT(F1861),ISTEXT(G1861)),"",H1861+M1861)</f>
        <v>0</v>
      </c>
      <c r="O1861" s="468">
        <f t="shared" ref="O1861:O1869" si="1402">F1861+N1861-1</f>
        <v>2010</v>
      </c>
      <c r="P1861" s="616">
        <f t="shared" ref="P1861:P1869" si="1403">W1860</f>
        <v>1.1920928955078125E-7</v>
      </c>
      <c r="Q1861" s="472">
        <f t="shared" ref="Q1861:Q1869" si="1404">P1861+G1861</f>
        <v>1.1920928955078125E-7</v>
      </c>
      <c r="R1861" s="472">
        <v>0</v>
      </c>
      <c r="S1861" s="1189">
        <f t="shared" ref="S1861:S1869" si="1405">F1861</f>
        <v>2011</v>
      </c>
      <c r="T1861" s="470">
        <f t="shared" ref="T1861:T1869" si="1406">S1861-S1860</f>
        <v>1</v>
      </c>
      <c r="U1861" s="612">
        <f t="shared" ref="U1861:U1869" si="1407">R1861*T1861</f>
        <v>0</v>
      </c>
      <c r="V1861" s="464">
        <f t="shared" ref="V1861:V1869" si="1408">F1861</f>
        <v>2011</v>
      </c>
      <c r="W1861" s="612">
        <f t="shared" ref="W1861:W1869" si="1409">IF(OR(AND(ISBLANK(E1861),ISBLANK(G1861)),ISTEXT(E1861),ISTEXT(G1861)),"",Q1861-U1861)</f>
        <v>1.1920928955078125E-7</v>
      </c>
      <c r="X1861" s="561"/>
      <c r="Y1861" s="449"/>
      <c r="Z1861" s="449"/>
      <c r="AA1861" s="554"/>
      <c r="AB1861" s="452"/>
      <c r="AC1861" s="452"/>
      <c r="AD1861" s="566"/>
      <c r="AE1861" s="452"/>
      <c r="AF1861" s="571"/>
      <c r="AG1861" s="452"/>
      <c r="AH1861" s="452"/>
      <c r="AI1861" s="453"/>
      <c r="AJ1861" s="449"/>
      <c r="AK1861" s="453"/>
      <c r="AL1861" s="454"/>
      <c r="AM1861" s="455"/>
      <c r="AN1861" s="456"/>
      <c r="AO1861" s="455"/>
      <c r="AP1861" s="452"/>
      <c r="AQ1861" s="457"/>
      <c r="AR1861" s="449"/>
      <c r="AS1861" s="449"/>
      <c r="AT1861" s="452"/>
      <c r="AU1861" s="457"/>
      <c r="AV1861" s="449"/>
      <c r="AW1861" s="458"/>
      <c r="AX1861" s="452"/>
      <c r="AY1861" s="457"/>
      <c r="AZ1861" s="449"/>
      <c r="BA1861" s="459"/>
      <c r="BB1861" s="455"/>
      <c r="BC1861" s="460"/>
      <c r="BD1861" s="460"/>
      <c r="BG1861" s="462"/>
    </row>
    <row r="1862" spans="1:59" s="461" customFormat="1" ht="18" customHeight="1" x14ac:dyDescent="0.2">
      <c r="A1862" s="1368" t="str">
        <f t="shared" si="1395"/>
        <v>JL. DESA PL. PANJANG - PL. PANJANG HILIR2012</v>
      </c>
      <c r="B1862" s="1375"/>
      <c r="C1862" s="488"/>
      <c r="D1862" s="489"/>
      <c r="E1862" s="558"/>
      <c r="F1862" s="559">
        <v>2012</v>
      </c>
      <c r="G1862" s="619">
        <v>0</v>
      </c>
      <c r="H1862" s="464">
        <f t="shared" si="1396"/>
        <v>0</v>
      </c>
      <c r="I1862" s="560"/>
      <c r="J1862" s="468">
        <f t="shared" si="1397"/>
        <v>2011</v>
      </c>
      <c r="K1862" s="490">
        <f t="shared" si="1398"/>
        <v>0</v>
      </c>
      <c r="L1862" s="469">
        <f t="shared" si="1399"/>
        <v>0</v>
      </c>
      <c r="M1862" s="683">
        <f t="shared" si="1400"/>
        <v>0</v>
      </c>
      <c r="N1862" s="470">
        <f t="shared" si="1401"/>
        <v>0</v>
      </c>
      <c r="O1862" s="468">
        <f t="shared" si="1402"/>
        <v>2011</v>
      </c>
      <c r="P1862" s="616">
        <f t="shared" si="1403"/>
        <v>1.1920928955078125E-7</v>
      </c>
      <c r="Q1862" s="472">
        <f t="shared" si="1404"/>
        <v>1.1920928955078125E-7</v>
      </c>
      <c r="R1862" s="472">
        <f t="shared" ref="R1862:R1869" si="1410">IF(L1862=0,R1861,Q1862/N1862)</f>
        <v>0</v>
      </c>
      <c r="S1862" s="1189">
        <f t="shared" si="1405"/>
        <v>2012</v>
      </c>
      <c r="T1862" s="470">
        <f t="shared" si="1406"/>
        <v>1</v>
      </c>
      <c r="U1862" s="612">
        <f t="shared" si="1407"/>
        <v>0</v>
      </c>
      <c r="V1862" s="464">
        <f t="shared" si="1408"/>
        <v>2012</v>
      </c>
      <c r="W1862" s="612">
        <f t="shared" si="1409"/>
        <v>1.1920928955078125E-7</v>
      </c>
      <c r="X1862" s="561"/>
      <c r="Y1862" s="449"/>
      <c r="Z1862" s="449"/>
      <c r="AA1862" s="554"/>
      <c r="AB1862" s="452"/>
      <c r="AC1862" s="452"/>
      <c r="AD1862" s="566"/>
      <c r="AE1862" s="452"/>
      <c r="AF1862" s="571"/>
      <c r="AG1862" s="452"/>
      <c r="AH1862" s="452"/>
      <c r="AI1862" s="453"/>
      <c r="AJ1862" s="449"/>
      <c r="AK1862" s="453"/>
      <c r="AL1862" s="454"/>
      <c r="AM1862" s="455"/>
      <c r="AN1862" s="456"/>
      <c r="AO1862" s="455"/>
      <c r="AP1862" s="452"/>
      <c r="AQ1862" s="457"/>
      <c r="AR1862" s="449"/>
      <c r="AS1862" s="449"/>
      <c r="AT1862" s="452"/>
      <c r="AU1862" s="457"/>
      <c r="AV1862" s="449"/>
      <c r="AW1862" s="458"/>
      <c r="AX1862" s="452"/>
      <c r="AY1862" s="457"/>
      <c r="AZ1862" s="449"/>
      <c r="BA1862" s="459"/>
      <c r="BB1862" s="455"/>
      <c r="BC1862" s="460"/>
      <c r="BD1862" s="460"/>
      <c r="BG1862" s="462"/>
    </row>
    <row r="1863" spans="1:59" s="461" customFormat="1" ht="18" customHeight="1" x14ac:dyDescent="0.2">
      <c r="A1863" s="1368" t="str">
        <f t="shared" si="1395"/>
        <v>JL. DESA PL. PANJANG - PL. PANJANG HILIR2013</v>
      </c>
      <c r="B1863" s="1373"/>
      <c r="C1863" s="488"/>
      <c r="D1863" s="489"/>
      <c r="E1863" s="558"/>
      <c r="F1863" s="559">
        <v>2013</v>
      </c>
      <c r="G1863" s="619">
        <v>0</v>
      </c>
      <c r="H1863" s="464">
        <f t="shared" si="1396"/>
        <v>0</v>
      </c>
      <c r="I1863" s="560"/>
      <c r="J1863" s="468">
        <f t="shared" si="1397"/>
        <v>2012</v>
      </c>
      <c r="K1863" s="490">
        <f t="shared" si="1398"/>
        <v>0</v>
      </c>
      <c r="L1863" s="469">
        <f t="shared" si="1399"/>
        <v>0</v>
      </c>
      <c r="M1863" s="683">
        <f t="shared" si="1400"/>
        <v>0</v>
      </c>
      <c r="N1863" s="470">
        <f t="shared" si="1401"/>
        <v>0</v>
      </c>
      <c r="O1863" s="468">
        <f t="shared" si="1402"/>
        <v>2012</v>
      </c>
      <c r="P1863" s="616">
        <f t="shared" si="1403"/>
        <v>1.1920928955078125E-7</v>
      </c>
      <c r="Q1863" s="472">
        <f t="shared" si="1404"/>
        <v>1.1920928955078125E-7</v>
      </c>
      <c r="R1863" s="472">
        <f t="shared" si="1410"/>
        <v>0</v>
      </c>
      <c r="S1863" s="1189">
        <f t="shared" si="1405"/>
        <v>2013</v>
      </c>
      <c r="T1863" s="470">
        <f t="shared" si="1406"/>
        <v>1</v>
      </c>
      <c r="U1863" s="612">
        <f t="shared" si="1407"/>
        <v>0</v>
      </c>
      <c r="V1863" s="464">
        <f t="shared" si="1408"/>
        <v>2013</v>
      </c>
      <c r="W1863" s="612">
        <f t="shared" si="1409"/>
        <v>1.1920928955078125E-7</v>
      </c>
      <c r="X1863" s="561"/>
      <c r="Y1863" s="449"/>
      <c r="Z1863" s="449"/>
      <c r="AA1863" s="554"/>
      <c r="AB1863" s="452"/>
      <c r="AC1863" s="452"/>
      <c r="AD1863" s="566"/>
      <c r="AE1863" s="452"/>
      <c r="AF1863" s="571"/>
      <c r="AG1863" s="452"/>
      <c r="AH1863" s="452"/>
      <c r="AI1863" s="453"/>
      <c r="AJ1863" s="449"/>
      <c r="AK1863" s="453"/>
      <c r="AL1863" s="454"/>
      <c r="AM1863" s="455"/>
      <c r="AN1863" s="456"/>
      <c r="AO1863" s="455"/>
      <c r="AP1863" s="452"/>
      <c r="AQ1863" s="457"/>
      <c r="AR1863" s="449"/>
      <c r="AS1863" s="449"/>
      <c r="AT1863" s="452"/>
      <c r="AU1863" s="457"/>
      <c r="AV1863" s="449"/>
      <c r="AW1863" s="458"/>
      <c r="AX1863" s="452"/>
      <c r="AY1863" s="457"/>
      <c r="AZ1863" s="449"/>
      <c r="BA1863" s="459"/>
      <c r="BB1863" s="455"/>
      <c r="BC1863" s="460"/>
      <c r="BD1863" s="460"/>
      <c r="BG1863" s="462"/>
    </row>
    <row r="1864" spans="1:59" s="461" customFormat="1" ht="18" customHeight="1" x14ac:dyDescent="0.2">
      <c r="A1864" s="1368" t="str">
        <f t="shared" si="1395"/>
        <v>JL. DESA PL. PANJANG - PL. PANJANG HILIR2014</v>
      </c>
      <c r="B1864" s="1373"/>
      <c r="C1864" s="488"/>
      <c r="D1864" s="489"/>
      <c r="E1864" s="558"/>
      <c r="F1864" s="559">
        <v>2014</v>
      </c>
      <c r="G1864" s="619">
        <v>0</v>
      </c>
      <c r="H1864" s="464">
        <f t="shared" si="1396"/>
        <v>0</v>
      </c>
      <c r="I1864" s="560"/>
      <c r="J1864" s="468">
        <f t="shared" si="1397"/>
        <v>2013</v>
      </c>
      <c r="K1864" s="490">
        <f t="shared" si="1398"/>
        <v>0</v>
      </c>
      <c r="L1864" s="469">
        <f t="shared" si="1399"/>
        <v>0</v>
      </c>
      <c r="M1864" s="683">
        <f t="shared" si="1400"/>
        <v>0</v>
      </c>
      <c r="N1864" s="470">
        <f t="shared" si="1401"/>
        <v>0</v>
      </c>
      <c r="O1864" s="468">
        <f t="shared" si="1402"/>
        <v>2013</v>
      </c>
      <c r="P1864" s="616">
        <f t="shared" si="1403"/>
        <v>1.1920928955078125E-7</v>
      </c>
      <c r="Q1864" s="472">
        <f t="shared" si="1404"/>
        <v>1.1920928955078125E-7</v>
      </c>
      <c r="R1864" s="472">
        <f t="shared" si="1410"/>
        <v>0</v>
      </c>
      <c r="S1864" s="1189">
        <f t="shared" si="1405"/>
        <v>2014</v>
      </c>
      <c r="T1864" s="470">
        <f t="shared" si="1406"/>
        <v>1</v>
      </c>
      <c r="U1864" s="612">
        <f t="shared" si="1407"/>
        <v>0</v>
      </c>
      <c r="V1864" s="464">
        <f t="shared" si="1408"/>
        <v>2014</v>
      </c>
      <c r="W1864" s="612">
        <f t="shared" si="1409"/>
        <v>1.1920928955078125E-7</v>
      </c>
      <c r="X1864" s="561"/>
      <c r="Y1864" s="449"/>
      <c r="Z1864" s="449"/>
      <c r="AA1864" s="554"/>
      <c r="AB1864" s="452"/>
      <c r="AC1864" s="452"/>
      <c r="AD1864" s="566"/>
      <c r="AE1864" s="452"/>
      <c r="AF1864" s="571"/>
      <c r="AG1864" s="452"/>
      <c r="AH1864" s="452"/>
      <c r="AI1864" s="453"/>
      <c r="AJ1864" s="449"/>
      <c r="AK1864" s="453"/>
      <c r="AL1864" s="454"/>
      <c r="AM1864" s="455"/>
      <c r="AN1864" s="456"/>
      <c r="AO1864" s="455"/>
      <c r="AP1864" s="452"/>
      <c r="AQ1864" s="457"/>
      <c r="AR1864" s="449"/>
      <c r="AS1864" s="449"/>
      <c r="AT1864" s="452"/>
      <c r="AU1864" s="457"/>
      <c r="AV1864" s="449"/>
      <c r="AW1864" s="458"/>
      <c r="AX1864" s="452"/>
      <c r="AY1864" s="457"/>
      <c r="AZ1864" s="449"/>
      <c r="BA1864" s="459"/>
      <c r="BB1864" s="455"/>
      <c r="BC1864" s="460"/>
      <c r="BD1864" s="460"/>
      <c r="BG1864" s="462"/>
    </row>
    <row r="1865" spans="1:59" s="486" customFormat="1" ht="18" customHeight="1" x14ac:dyDescent="0.2">
      <c r="A1865" s="1368" t="str">
        <f t="shared" si="1395"/>
        <v>JL. DESA PL. PANJANG - PL. PANJANG HILIR2015</v>
      </c>
      <c r="B1865" s="1373">
        <v>2</v>
      </c>
      <c r="C1865" s="488" t="s">
        <v>1428</v>
      </c>
      <c r="D1865" s="489" t="s">
        <v>3821</v>
      </c>
      <c r="E1865" s="558"/>
      <c r="F1865" s="559">
        <v>2015</v>
      </c>
      <c r="G1865" s="619">
        <v>191639680</v>
      </c>
      <c r="H1865" s="557">
        <f>VLOOKUP(LEFT(D1865,8),UE,4)</f>
        <v>10</v>
      </c>
      <c r="I1865" s="560"/>
      <c r="J1865" s="468">
        <f t="shared" si="1397"/>
        <v>2024</v>
      </c>
      <c r="K1865" s="490">
        <f t="shared" si="1398"/>
        <v>1</v>
      </c>
      <c r="L1865" s="469">
        <f t="shared" si="1399"/>
        <v>10</v>
      </c>
      <c r="M1865" s="683">
        <f t="shared" si="1400"/>
        <v>0</v>
      </c>
      <c r="N1865" s="470">
        <f t="shared" si="1401"/>
        <v>10</v>
      </c>
      <c r="O1865" s="468">
        <f t="shared" si="1402"/>
        <v>2024</v>
      </c>
      <c r="P1865" s="616">
        <f t="shared" si="1403"/>
        <v>1.1920928955078125E-7</v>
      </c>
      <c r="Q1865" s="472">
        <f t="shared" si="1404"/>
        <v>191639680.00000012</v>
      </c>
      <c r="R1865" s="472">
        <f t="shared" si="1410"/>
        <v>19163968.000000011</v>
      </c>
      <c r="S1865" s="1189">
        <f t="shared" si="1405"/>
        <v>2015</v>
      </c>
      <c r="T1865" s="470">
        <f t="shared" si="1406"/>
        <v>1</v>
      </c>
      <c r="U1865" s="612">
        <f t="shared" si="1407"/>
        <v>19163968.000000011</v>
      </c>
      <c r="V1865" s="464">
        <f t="shared" si="1408"/>
        <v>2015</v>
      </c>
      <c r="W1865" s="612">
        <f t="shared" si="1409"/>
        <v>172475712.00000012</v>
      </c>
      <c r="X1865" s="561"/>
      <c r="Y1865" s="474"/>
      <c r="Z1865" s="449"/>
      <c r="AA1865" s="475" t="s">
        <v>4180</v>
      </c>
      <c r="AB1865" s="476"/>
      <c r="AC1865" s="476"/>
      <c r="AD1865" s="567">
        <f>G1871</f>
        <v>1105372708</v>
      </c>
      <c r="AE1865" s="476"/>
      <c r="AF1865" s="568"/>
      <c r="AG1865" s="476"/>
      <c r="AH1865" s="476"/>
      <c r="AI1865" s="477"/>
      <c r="AJ1865" s="478"/>
      <c r="AK1865" s="479"/>
      <c r="AL1865" s="480"/>
      <c r="AM1865" s="474"/>
      <c r="AN1865" s="481"/>
      <c r="AO1865" s="474"/>
      <c r="AP1865" s="476"/>
      <c r="AQ1865" s="482"/>
      <c r="AR1865" s="478"/>
      <c r="AS1865" s="478"/>
      <c r="AT1865" s="476"/>
      <c r="AU1865" s="482"/>
      <c r="AV1865" s="478"/>
      <c r="AW1865" s="483"/>
      <c r="AX1865" s="476"/>
      <c r="AY1865" s="482"/>
      <c r="AZ1865" s="478"/>
      <c r="BA1865" s="484"/>
      <c r="BB1865" s="474"/>
      <c r="BC1865" s="485"/>
      <c r="BD1865" s="485"/>
      <c r="BG1865" s="487"/>
    </row>
    <row r="1866" spans="1:59" s="486" customFormat="1" ht="18" customHeight="1" x14ac:dyDescent="0.2">
      <c r="A1866" s="1368" t="str">
        <f t="shared" si="1395"/>
        <v>JL. DESA PL. PANJANG - PL. PANJANG HILIR2016</v>
      </c>
      <c r="B1866" s="1373"/>
      <c r="C1866" s="488"/>
      <c r="D1866" s="489"/>
      <c r="E1866" s="558"/>
      <c r="F1866" s="559">
        <v>2016</v>
      </c>
      <c r="G1866" s="619">
        <v>0</v>
      </c>
      <c r="H1866" s="464">
        <f t="shared" si="1396"/>
        <v>9</v>
      </c>
      <c r="I1866" s="560"/>
      <c r="J1866" s="468">
        <f t="shared" si="1397"/>
        <v>2024</v>
      </c>
      <c r="K1866" s="490">
        <f t="shared" si="1398"/>
        <v>0</v>
      </c>
      <c r="L1866" s="469">
        <f t="shared" si="1399"/>
        <v>0</v>
      </c>
      <c r="M1866" s="683">
        <f t="shared" si="1400"/>
        <v>0</v>
      </c>
      <c r="N1866" s="470">
        <f t="shared" si="1401"/>
        <v>9</v>
      </c>
      <c r="O1866" s="468">
        <f t="shared" si="1402"/>
        <v>2024</v>
      </c>
      <c r="P1866" s="616">
        <f t="shared" si="1403"/>
        <v>172475712.00000012</v>
      </c>
      <c r="Q1866" s="472">
        <f t="shared" si="1404"/>
        <v>172475712.00000012</v>
      </c>
      <c r="R1866" s="472">
        <f t="shared" si="1410"/>
        <v>19163968.000000011</v>
      </c>
      <c r="S1866" s="1189">
        <f t="shared" si="1405"/>
        <v>2016</v>
      </c>
      <c r="T1866" s="470">
        <f t="shared" si="1406"/>
        <v>1</v>
      </c>
      <c r="U1866" s="612">
        <f t="shared" si="1407"/>
        <v>19163968.000000011</v>
      </c>
      <c r="V1866" s="464">
        <f t="shared" si="1408"/>
        <v>2016</v>
      </c>
      <c r="W1866" s="612">
        <f t="shared" si="1409"/>
        <v>153311744.00000012</v>
      </c>
      <c r="X1866" s="473"/>
      <c r="Y1866" s="478"/>
      <c r="Z1866" s="449"/>
      <c r="AA1866" s="475" t="s">
        <v>4181</v>
      </c>
      <c r="AB1866" s="491"/>
      <c r="AC1866" s="491"/>
      <c r="AD1866" s="567">
        <f>U1871</f>
        <v>1009552867.9999999</v>
      </c>
      <c r="AE1866" s="491"/>
      <c r="AF1866" s="568"/>
      <c r="AG1866" s="491"/>
      <c r="AH1866" s="491"/>
      <c r="AI1866" s="477"/>
      <c r="AJ1866" s="478"/>
      <c r="AK1866" s="479"/>
      <c r="AL1866" s="480"/>
      <c r="AM1866" s="474"/>
      <c r="AN1866" s="481"/>
      <c r="AO1866" s="474"/>
      <c r="AP1866" s="476"/>
      <c r="AQ1866" s="482"/>
      <c r="AR1866" s="478"/>
      <c r="AS1866" s="478"/>
      <c r="AT1866" s="476"/>
      <c r="AU1866" s="482"/>
      <c r="AV1866" s="478"/>
      <c r="AW1866" s="483"/>
      <c r="AX1866" s="476"/>
      <c r="AY1866" s="482"/>
      <c r="AZ1866" s="478"/>
      <c r="BA1866" s="484"/>
      <c r="BB1866" s="474"/>
      <c r="BC1866" s="485"/>
      <c r="BD1866" s="485"/>
      <c r="BG1866" s="487"/>
    </row>
    <row r="1867" spans="1:59" s="486" customFormat="1" ht="18" customHeight="1" x14ac:dyDescent="0.2">
      <c r="A1867" s="1368" t="str">
        <f t="shared" si="1395"/>
        <v>JL. DESA PL. PANJANG - PL. PANJANG HILIR2017</v>
      </c>
      <c r="B1867" s="1373"/>
      <c r="C1867" s="488"/>
      <c r="D1867" s="489"/>
      <c r="E1867" s="558"/>
      <c r="F1867" s="559">
        <v>2017</v>
      </c>
      <c r="G1867" s="619">
        <v>0</v>
      </c>
      <c r="H1867" s="464">
        <f t="shared" si="1396"/>
        <v>8</v>
      </c>
      <c r="I1867" s="560"/>
      <c r="J1867" s="468">
        <f t="shared" si="1397"/>
        <v>2024</v>
      </c>
      <c r="K1867" s="490">
        <f t="shared" si="1398"/>
        <v>0</v>
      </c>
      <c r="L1867" s="469">
        <f t="shared" si="1399"/>
        <v>0</v>
      </c>
      <c r="M1867" s="683">
        <f t="shared" si="1400"/>
        <v>0</v>
      </c>
      <c r="N1867" s="470">
        <f t="shared" si="1401"/>
        <v>8</v>
      </c>
      <c r="O1867" s="468">
        <f t="shared" si="1402"/>
        <v>2024</v>
      </c>
      <c r="P1867" s="616">
        <f t="shared" si="1403"/>
        <v>153311744.00000012</v>
      </c>
      <c r="Q1867" s="472">
        <f t="shared" si="1404"/>
        <v>153311744.00000012</v>
      </c>
      <c r="R1867" s="472">
        <f t="shared" si="1410"/>
        <v>19163968.000000011</v>
      </c>
      <c r="S1867" s="1189">
        <f t="shared" si="1405"/>
        <v>2017</v>
      </c>
      <c r="T1867" s="470">
        <f t="shared" si="1406"/>
        <v>1</v>
      </c>
      <c r="U1867" s="612">
        <f t="shared" si="1407"/>
        <v>19163968.000000011</v>
      </c>
      <c r="V1867" s="464">
        <f t="shared" si="1408"/>
        <v>2017</v>
      </c>
      <c r="W1867" s="612">
        <f t="shared" si="1409"/>
        <v>134147776.0000001</v>
      </c>
      <c r="X1867" s="473"/>
      <c r="Y1867" s="478"/>
      <c r="Z1867" s="449"/>
      <c r="AA1867" s="492" t="s">
        <v>4182</v>
      </c>
      <c r="AB1867" s="476"/>
      <c r="AC1867" s="476"/>
      <c r="AD1867" s="567">
        <f>AD1865-AD1866</f>
        <v>95819840.000000119</v>
      </c>
      <c r="AE1867" s="476"/>
      <c r="AF1867" s="568"/>
      <c r="AG1867" s="476"/>
      <c r="AH1867" s="476"/>
      <c r="AI1867" s="477"/>
      <c r="AJ1867" s="478"/>
      <c r="AK1867" s="479"/>
      <c r="AL1867" s="480"/>
      <c r="AM1867" s="474"/>
      <c r="AN1867" s="481"/>
      <c r="AO1867" s="474"/>
      <c r="AP1867" s="476"/>
      <c r="AQ1867" s="482"/>
      <c r="AR1867" s="478"/>
      <c r="AS1867" s="478"/>
      <c r="AT1867" s="476"/>
      <c r="AU1867" s="482"/>
      <c r="AV1867" s="478"/>
      <c r="AW1867" s="483"/>
      <c r="AX1867" s="476"/>
      <c r="AY1867" s="482"/>
      <c r="AZ1867" s="478"/>
      <c r="BA1867" s="484"/>
      <c r="BB1867" s="474"/>
      <c r="BC1867" s="485"/>
      <c r="BD1867" s="485"/>
      <c r="BG1867" s="487"/>
    </row>
    <row r="1868" spans="1:59" s="486" customFormat="1" ht="18" customHeight="1" x14ac:dyDescent="0.2">
      <c r="A1868" s="1368" t="str">
        <f t="shared" si="1395"/>
        <v>JL. DESA PL. PANJANG - PL. PANJANG HILIR2018</v>
      </c>
      <c r="B1868" s="687"/>
      <c r="C1868" s="488"/>
      <c r="D1868" s="489"/>
      <c r="E1868" s="558"/>
      <c r="F1868" s="466">
        <v>2018</v>
      </c>
      <c r="G1868" s="619">
        <v>0</v>
      </c>
      <c r="H1868" s="464">
        <f t="shared" si="1396"/>
        <v>7</v>
      </c>
      <c r="I1868" s="560"/>
      <c r="J1868" s="468">
        <f t="shared" si="1397"/>
        <v>2024</v>
      </c>
      <c r="K1868" s="490">
        <f t="shared" si="1398"/>
        <v>0</v>
      </c>
      <c r="L1868" s="469">
        <f t="shared" si="1399"/>
        <v>0</v>
      </c>
      <c r="M1868" s="683">
        <f t="shared" si="1400"/>
        <v>0</v>
      </c>
      <c r="N1868" s="470">
        <f t="shared" si="1401"/>
        <v>7</v>
      </c>
      <c r="O1868" s="468">
        <f t="shared" si="1402"/>
        <v>2024</v>
      </c>
      <c r="P1868" s="616">
        <f t="shared" si="1403"/>
        <v>134147776.0000001</v>
      </c>
      <c r="Q1868" s="472">
        <f t="shared" si="1404"/>
        <v>134147776.0000001</v>
      </c>
      <c r="R1868" s="472">
        <f t="shared" si="1410"/>
        <v>19163968.000000011</v>
      </c>
      <c r="S1868" s="1189">
        <f t="shared" si="1405"/>
        <v>2018</v>
      </c>
      <c r="T1868" s="470">
        <f t="shared" si="1406"/>
        <v>1</v>
      </c>
      <c r="U1868" s="612">
        <f t="shared" si="1407"/>
        <v>19163968.000000011</v>
      </c>
      <c r="V1868" s="464">
        <f t="shared" si="1408"/>
        <v>2018</v>
      </c>
      <c r="W1868" s="612">
        <f t="shared" si="1409"/>
        <v>114983808.00000009</v>
      </c>
      <c r="X1868" s="473"/>
      <c r="Y1868" s="478"/>
      <c r="Z1868" s="449"/>
      <c r="AA1868" s="531" t="s">
        <v>4183</v>
      </c>
      <c r="AB1868" s="496"/>
      <c r="AC1868" s="496"/>
      <c r="AD1868" s="569">
        <f>AD1867-W1871</f>
        <v>0</v>
      </c>
      <c r="AE1868" s="476"/>
      <c r="AF1868" s="568"/>
      <c r="AG1868" s="476"/>
      <c r="AH1868" s="476"/>
      <c r="AI1868" s="477"/>
      <c r="AJ1868" s="478"/>
      <c r="AK1868" s="479"/>
      <c r="AL1868" s="480"/>
      <c r="AM1868" s="474"/>
      <c r="AN1868" s="481"/>
      <c r="AO1868" s="474"/>
      <c r="AP1868" s="476"/>
      <c r="AQ1868" s="482"/>
      <c r="AR1868" s="478"/>
      <c r="AS1868" s="478"/>
      <c r="AT1868" s="476"/>
      <c r="AU1868" s="482"/>
      <c r="AV1868" s="478"/>
      <c r="AW1868" s="483"/>
      <c r="AX1868" s="476"/>
      <c r="AY1868" s="482"/>
      <c r="AZ1868" s="478"/>
      <c r="BA1868" s="484"/>
      <c r="BB1868" s="474"/>
      <c r="BC1868" s="485"/>
      <c r="BD1868" s="485"/>
      <c r="BG1868" s="487"/>
    </row>
    <row r="1869" spans="1:59" s="486" customFormat="1" ht="18" customHeight="1" x14ac:dyDescent="0.2">
      <c r="A1869" s="1368" t="str">
        <f t="shared" si="1395"/>
        <v>JL. DESA PL. PANJANG - PL. PANJANG HILIR2019</v>
      </c>
      <c r="B1869" s="687"/>
      <c r="C1869" s="488"/>
      <c r="D1869" s="489"/>
      <c r="E1869" s="558"/>
      <c r="F1869" s="466">
        <v>2019</v>
      </c>
      <c r="G1869" s="619">
        <v>0</v>
      </c>
      <c r="H1869" s="464">
        <f t="shared" si="1396"/>
        <v>6</v>
      </c>
      <c r="I1869" s="560"/>
      <c r="J1869" s="468">
        <f t="shared" si="1397"/>
        <v>2024</v>
      </c>
      <c r="K1869" s="490">
        <f t="shared" si="1398"/>
        <v>0</v>
      </c>
      <c r="L1869" s="469">
        <f t="shared" si="1399"/>
        <v>0</v>
      </c>
      <c r="M1869" s="683">
        <f t="shared" si="1400"/>
        <v>0</v>
      </c>
      <c r="N1869" s="470">
        <f t="shared" si="1401"/>
        <v>6</v>
      </c>
      <c r="O1869" s="468">
        <f t="shared" si="1402"/>
        <v>2024</v>
      </c>
      <c r="P1869" s="616">
        <f t="shared" si="1403"/>
        <v>114983808.00000009</v>
      </c>
      <c r="Q1869" s="472">
        <f t="shared" si="1404"/>
        <v>114983808.00000009</v>
      </c>
      <c r="R1869" s="472">
        <f t="shared" si="1410"/>
        <v>19163968.000000011</v>
      </c>
      <c r="S1869" s="1189">
        <f t="shared" si="1405"/>
        <v>2019</v>
      </c>
      <c r="T1869" s="470">
        <f t="shared" si="1406"/>
        <v>1</v>
      </c>
      <c r="U1869" s="612">
        <f t="shared" si="1407"/>
        <v>19163968.000000011</v>
      </c>
      <c r="V1869" s="464">
        <f t="shared" si="1408"/>
        <v>2019</v>
      </c>
      <c r="W1869" s="612">
        <f t="shared" si="1409"/>
        <v>95819840.000000075</v>
      </c>
      <c r="X1869" s="473"/>
      <c r="Y1869" s="478"/>
      <c r="Z1869" s="449"/>
      <c r="AA1869" s="573"/>
      <c r="AB1869" s="476"/>
      <c r="AC1869" s="476"/>
      <c r="AD1869" s="568"/>
      <c r="AE1869" s="476"/>
      <c r="AF1869" s="568"/>
      <c r="AG1869" s="476"/>
      <c r="AH1869" s="476"/>
      <c r="AI1869" s="477"/>
      <c r="AJ1869" s="478"/>
      <c r="AK1869" s="479"/>
      <c r="AL1869" s="480"/>
      <c r="AM1869" s="474"/>
      <c r="AN1869" s="481"/>
      <c r="AO1869" s="474"/>
      <c r="AP1869" s="476"/>
      <c r="AQ1869" s="482"/>
      <c r="AR1869" s="478"/>
      <c r="AS1869" s="478"/>
      <c r="AT1869" s="476"/>
      <c r="AU1869" s="482"/>
      <c r="AV1869" s="478"/>
      <c r="AW1869" s="483"/>
      <c r="AX1869" s="476"/>
      <c r="AY1869" s="482"/>
      <c r="AZ1869" s="478"/>
      <c r="BA1869" s="484"/>
      <c r="BB1869" s="474"/>
      <c r="BC1869" s="485"/>
      <c r="BD1869" s="485"/>
      <c r="BG1869" s="487"/>
    </row>
    <row r="1870" spans="1:59" s="486" customFormat="1" ht="18" customHeight="1" x14ac:dyDescent="0.2">
      <c r="A1870" s="1368" t="str">
        <f>LEFT(D1870,8)</f>
        <v/>
      </c>
      <c r="B1870" s="687"/>
      <c r="C1870" s="463"/>
      <c r="D1870" s="489"/>
      <c r="E1870" s="465"/>
      <c r="F1870" s="466"/>
      <c r="G1870" s="620"/>
      <c r="H1870" s="464"/>
      <c r="I1870" s="467"/>
      <c r="J1870" s="468"/>
      <c r="K1870" s="574"/>
      <c r="L1870" s="469"/>
      <c r="M1870" s="683"/>
      <c r="N1870" s="470"/>
      <c r="O1870" s="468"/>
      <c r="P1870" s="616"/>
      <c r="Q1870" s="472"/>
      <c r="R1870" s="472"/>
      <c r="S1870" s="634"/>
      <c r="T1870" s="470"/>
      <c r="U1870" s="612"/>
      <c r="V1870" s="464"/>
      <c r="W1870" s="612"/>
      <c r="X1870" s="473"/>
      <c r="Y1870" s="478"/>
      <c r="Z1870" s="449"/>
      <c r="AA1870" s="573"/>
      <c r="AB1870" s="476"/>
      <c r="AC1870" s="476"/>
      <c r="AD1870" s="568"/>
      <c r="AE1870" s="476"/>
      <c r="AF1870" s="568"/>
      <c r="AG1870" s="476"/>
      <c r="AH1870" s="476"/>
      <c r="AI1870" s="477"/>
      <c r="AJ1870" s="478"/>
      <c r="AK1870" s="479"/>
      <c r="AL1870" s="480"/>
      <c r="AM1870" s="474"/>
      <c r="AN1870" s="481"/>
      <c r="AO1870" s="474"/>
      <c r="AP1870" s="476"/>
      <c r="AQ1870" s="482"/>
      <c r="AR1870" s="478"/>
      <c r="AS1870" s="478"/>
      <c r="AT1870" s="476"/>
      <c r="AU1870" s="482"/>
      <c r="AV1870" s="478"/>
      <c r="AW1870" s="483"/>
      <c r="AX1870" s="476"/>
      <c r="AY1870" s="482"/>
      <c r="AZ1870" s="478"/>
      <c r="BA1870" s="484"/>
      <c r="BB1870" s="474"/>
      <c r="BC1870" s="485"/>
      <c r="BD1870" s="485"/>
      <c r="BG1870" s="487"/>
    </row>
    <row r="1871" spans="1:59" s="526" customFormat="1" ht="18" customHeight="1" x14ac:dyDescent="0.2">
      <c r="A1871" s="1370" t="s">
        <v>4184</v>
      </c>
      <c r="B1871" s="1956" t="s">
        <v>4184</v>
      </c>
      <c r="C1871" s="1957"/>
      <c r="D1871" s="1957"/>
      <c r="E1871" s="1957"/>
      <c r="F1871" s="1958"/>
      <c r="G1871" s="624">
        <f>SUM(G1859:G1870)</f>
        <v>1105372708</v>
      </c>
      <c r="H1871" s="505"/>
      <c r="I1871" s="506"/>
      <c r="J1871" s="507"/>
      <c r="K1871" s="507"/>
      <c r="L1871" s="505"/>
      <c r="M1871" s="684"/>
      <c r="N1871" s="508"/>
      <c r="O1871" s="507"/>
      <c r="P1871" s="749"/>
      <c r="Q1871" s="510"/>
      <c r="R1871" s="511"/>
      <c r="S1871" s="512"/>
      <c r="T1871" s="512"/>
      <c r="U1871" s="610">
        <f>SUM(U1859:U1870)</f>
        <v>1009552867.9999999</v>
      </c>
      <c r="V1871" s="513"/>
      <c r="W1871" s="610">
        <f>G1871-U1871</f>
        <v>95819840.000000119</v>
      </c>
      <c r="X1871" s="514"/>
      <c r="Y1871" s="515"/>
      <c r="Z1871" s="515"/>
      <c r="AA1871" s="515"/>
      <c r="AB1871" s="515"/>
      <c r="AC1871" s="515"/>
      <c r="AD1871" s="570"/>
      <c r="AE1871" s="515"/>
      <c r="AF1871" s="570">
        <v>1067044772</v>
      </c>
      <c r="AG1871" s="515"/>
      <c r="AH1871" s="515"/>
      <c r="AI1871" s="516"/>
      <c r="AJ1871" s="517"/>
      <c r="AK1871" s="518"/>
      <c r="AL1871" s="519"/>
      <c r="AM1871" s="520"/>
      <c r="AN1871" s="521"/>
      <c r="AO1871" s="520"/>
      <c r="AP1871" s="515"/>
      <c r="AQ1871" s="522"/>
      <c r="AR1871" s="517"/>
      <c r="AS1871" s="517"/>
      <c r="AT1871" s="515"/>
      <c r="AU1871" s="522"/>
      <c r="AV1871" s="517"/>
      <c r="AW1871" s="523"/>
      <c r="AX1871" s="515"/>
      <c r="AY1871" s="522"/>
      <c r="AZ1871" s="517"/>
      <c r="BA1871" s="524"/>
      <c r="BB1871" s="520"/>
      <c r="BC1871" s="525"/>
      <c r="BD1871" s="525"/>
      <c r="BG1871" s="527"/>
    </row>
    <row r="1874" spans="1:59" s="422" customFormat="1" ht="18" customHeight="1" x14ac:dyDescent="0.2">
      <c r="A1874" s="1366" t="str">
        <f>C1874</f>
        <v>BELUM ADA RUAS</v>
      </c>
      <c r="B1874" s="742" t="s">
        <v>4187</v>
      </c>
      <c r="C1874" s="556" t="s">
        <v>5688</v>
      </c>
      <c r="D1874" s="553" t="s">
        <v>5689</v>
      </c>
      <c r="E1874" s="553"/>
      <c r="F1874" s="421"/>
      <c r="G1874" s="611"/>
      <c r="I1874" s="423"/>
      <c r="J1874" s="424"/>
      <c r="K1874" s="424"/>
      <c r="M1874" s="680"/>
      <c r="P1874" s="611"/>
      <c r="U1874" s="611"/>
      <c r="W1874" s="611"/>
      <c r="Y1874" s="425"/>
      <c r="Z1874" s="425"/>
      <c r="AA1874" s="425"/>
      <c r="AB1874" s="425"/>
      <c r="AC1874" s="425"/>
      <c r="AD1874" s="563"/>
      <c r="AE1874" s="425"/>
      <c r="AF1874" s="563"/>
      <c r="AG1874" s="425"/>
      <c r="AH1874" s="425"/>
      <c r="AI1874" s="425"/>
      <c r="AJ1874" s="425"/>
      <c r="AK1874" s="425"/>
      <c r="AL1874" s="425"/>
      <c r="AM1874" s="425"/>
      <c r="AN1874" s="425"/>
      <c r="AO1874" s="425"/>
      <c r="AP1874" s="425"/>
      <c r="AQ1874" s="425"/>
      <c r="AR1874" s="425"/>
      <c r="AS1874" s="425"/>
      <c r="AT1874" s="425"/>
      <c r="AU1874" s="425"/>
      <c r="AV1874" s="425"/>
      <c r="AW1874" s="425"/>
      <c r="AX1874" s="425"/>
      <c r="AY1874" s="425"/>
      <c r="AZ1874" s="425"/>
      <c r="BA1874" s="425"/>
      <c r="BB1874" s="425"/>
    </row>
    <row r="1875" spans="1:59" s="431" customFormat="1" ht="18" customHeight="1" x14ac:dyDescent="0.2">
      <c r="A1875" s="1367"/>
      <c r="B1875" s="1968" t="s">
        <v>5</v>
      </c>
      <c r="C1875" s="1968" t="s">
        <v>2280</v>
      </c>
      <c r="D1875" s="1968" t="s">
        <v>4157</v>
      </c>
      <c r="E1875" s="1968" t="s">
        <v>4158</v>
      </c>
      <c r="F1875" s="1968"/>
      <c r="G1875" s="1969" t="s">
        <v>4159</v>
      </c>
      <c r="H1875" s="1968" t="s">
        <v>4160</v>
      </c>
      <c r="I1875" s="1968"/>
      <c r="J1875" s="1968" t="s">
        <v>4185</v>
      </c>
      <c r="K1875" s="1964" t="s">
        <v>4162</v>
      </c>
      <c r="L1875" s="1968" t="s">
        <v>4163</v>
      </c>
      <c r="M1875" s="1971" t="s">
        <v>4164</v>
      </c>
      <c r="N1875" s="1962" t="s">
        <v>4165</v>
      </c>
      <c r="O1875" s="1968" t="s">
        <v>4166</v>
      </c>
      <c r="P1875" s="1972" t="s">
        <v>4167</v>
      </c>
      <c r="Q1875" s="1973"/>
      <c r="R1875" s="1361" t="s">
        <v>4186</v>
      </c>
      <c r="S1875" s="1972" t="s">
        <v>4169</v>
      </c>
      <c r="T1875" s="1974"/>
      <c r="U1875" s="1973"/>
      <c r="V1875" s="1975" t="s">
        <v>4170</v>
      </c>
      <c r="W1875" s="1975"/>
      <c r="X1875" s="1960" t="s">
        <v>4171</v>
      </c>
      <c r="Y1875" s="1959"/>
      <c r="Z1875" s="1358"/>
      <c r="AA1875" s="426"/>
      <c r="AB1875" s="426"/>
      <c r="AC1875" s="426"/>
      <c r="AD1875" s="564"/>
      <c r="AE1875" s="426"/>
      <c r="AF1875" s="564"/>
      <c r="AG1875" s="426"/>
      <c r="AH1875" s="426"/>
      <c r="AI1875" s="427"/>
      <c r="AJ1875" s="427"/>
      <c r="AK1875" s="427"/>
      <c r="AL1875" s="427"/>
      <c r="AM1875" s="428"/>
      <c r="AN1875" s="427"/>
      <c r="AO1875" s="427"/>
      <c r="AP1875" s="426"/>
      <c r="AQ1875" s="427"/>
      <c r="AR1875" s="427"/>
      <c r="AS1875" s="427"/>
      <c r="AT1875" s="426"/>
      <c r="AU1875" s="427"/>
      <c r="AV1875" s="427"/>
      <c r="AW1875" s="427"/>
      <c r="AX1875" s="426"/>
      <c r="AY1875" s="427"/>
      <c r="AZ1875" s="427"/>
      <c r="BA1875" s="427"/>
      <c r="BB1875" s="429"/>
      <c r="BC1875" s="430"/>
      <c r="BD1875" s="430"/>
    </row>
    <row r="1876" spans="1:59" s="431" customFormat="1" ht="18" customHeight="1" x14ac:dyDescent="0.2">
      <c r="A1876" s="1367"/>
      <c r="B1876" s="1968"/>
      <c r="C1876" s="1968"/>
      <c r="D1876" s="1968"/>
      <c r="E1876" s="1968"/>
      <c r="F1876" s="1968"/>
      <c r="G1876" s="1969"/>
      <c r="H1876" s="1968"/>
      <c r="I1876" s="1968"/>
      <c r="J1876" s="1968"/>
      <c r="K1876" s="1970"/>
      <c r="L1876" s="1968"/>
      <c r="M1876" s="1971"/>
      <c r="N1876" s="1963"/>
      <c r="O1876" s="1968"/>
      <c r="P1876" s="2037" t="s">
        <v>4172</v>
      </c>
      <c r="Q1876" s="1960" t="s">
        <v>4173</v>
      </c>
      <c r="R1876" s="1962" t="s">
        <v>4159</v>
      </c>
      <c r="S1876" s="1962" t="s">
        <v>4174</v>
      </c>
      <c r="T1876" s="1964" t="s">
        <v>4175</v>
      </c>
      <c r="U1876" s="1966" t="s">
        <v>4159</v>
      </c>
      <c r="V1876" s="1975"/>
      <c r="W1876" s="1975"/>
      <c r="X1876" s="1976"/>
      <c r="Y1876" s="1959"/>
      <c r="Z1876" s="1358"/>
      <c r="AA1876" s="426"/>
      <c r="AB1876" s="426"/>
      <c r="AC1876" s="426"/>
      <c r="AD1876" s="564"/>
      <c r="AE1876" s="426"/>
      <c r="AF1876" s="564"/>
      <c r="AG1876" s="426"/>
      <c r="AH1876" s="426"/>
      <c r="AI1876" s="427"/>
      <c r="AJ1876" s="427"/>
      <c r="AK1876" s="426"/>
      <c r="AL1876" s="427"/>
      <c r="AM1876" s="428"/>
      <c r="AN1876" s="427"/>
      <c r="AO1876" s="427"/>
      <c r="AP1876" s="432"/>
      <c r="AQ1876" s="427"/>
      <c r="AR1876" s="427"/>
      <c r="AS1876" s="427"/>
      <c r="AT1876" s="432"/>
      <c r="AU1876" s="427"/>
      <c r="AV1876" s="427"/>
      <c r="AW1876" s="427"/>
      <c r="AX1876" s="432"/>
      <c r="AY1876" s="427"/>
      <c r="AZ1876" s="427"/>
      <c r="BA1876" s="427"/>
      <c r="BB1876" s="429"/>
      <c r="BC1876" s="430"/>
      <c r="BD1876" s="430"/>
    </row>
    <row r="1877" spans="1:59" s="431" customFormat="1" ht="18" customHeight="1" x14ac:dyDescent="0.2">
      <c r="A1877" s="1367"/>
      <c r="B1877" s="1968"/>
      <c r="C1877" s="1968"/>
      <c r="D1877" s="1968"/>
      <c r="E1877" s="433" t="s">
        <v>4176</v>
      </c>
      <c r="F1877" s="434" t="s">
        <v>2288</v>
      </c>
      <c r="G1877" s="1969"/>
      <c r="H1877" s="1359" t="s">
        <v>2288</v>
      </c>
      <c r="I1877" s="1359" t="s">
        <v>4177</v>
      </c>
      <c r="J1877" s="1968"/>
      <c r="K1877" s="1965"/>
      <c r="L1877" s="435" t="s">
        <v>2288</v>
      </c>
      <c r="M1877" s="681" t="s">
        <v>2288</v>
      </c>
      <c r="N1877" s="1359" t="s">
        <v>2288</v>
      </c>
      <c r="O1877" s="1968"/>
      <c r="P1877" s="2038"/>
      <c r="Q1877" s="1961"/>
      <c r="R1877" s="1963"/>
      <c r="S1877" s="1963"/>
      <c r="T1877" s="1965"/>
      <c r="U1877" s="1967"/>
      <c r="V1877" s="1359" t="s">
        <v>4178</v>
      </c>
      <c r="W1877" s="1360" t="s">
        <v>4159</v>
      </c>
      <c r="X1877" s="1961"/>
      <c r="Y1877" s="436"/>
      <c r="Z1877" s="436"/>
      <c r="AA1877" s="426"/>
      <c r="AB1877" s="426"/>
      <c r="AC1877" s="426"/>
      <c r="AD1877" s="564"/>
      <c r="AE1877" s="426"/>
      <c r="AF1877" s="564"/>
      <c r="AG1877" s="426"/>
      <c r="AH1877" s="426"/>
      <c r="AI1877" s="427"/>
      <c r="AJ1877" s="432"/>
      <c r="AK1877" s="432"/>
      <c r="AL1877" s="427"/>
      <c r="AM1877" s="428"/>
      <c r="AN1877" s="432"/>
      <c r="AO1877" s="427"/>
      <c r="AP1877" s="432"/>
      <c r="AQ1877" s="432"/>
      <c r="AR1877" s="427"/>
      <c r="AS1877" s="427"/>
      <c r="AT1877" s="432"/>
      <c r="AU1877" s="432"/>
      <c r="AV1877" s="427"/>
      <c r="AW1877" s="427"/>
      <c r="AX1877" s="432"/>
      <c r="AY1877" s="432"/>
      <c r="AZ1877" s="427"/>
      <c r="BA1877" s="427"/>
      <c r="BB1877" s="429"/>
      <c r="BC1877" s="430"/>
      <c r="BD1877" s="430"/>
    </row>
    <row r="1878" spans="1:59" s="461" customFormat="1" ht="18" customHeight="1" x14ac:dyDescent="0.2">
      <c r="A1878" s="1368" t="str">
        <f>$D$1874&amp;S1878</f>
        <v>MENUJU AREAL PUSKESMAS KEC. GUNUNG TOAR2017</v>
      </c>
      <c r="B1878" s="1373">
        <v>1</v>
      </c>
      <c r="C1878" s="532" t="s">
        <v>3045</v>
      </c>
      <c r="D1878" s="437" t="s">
        <v>5690</v>
      </c>
      <c r="E1878" s="438"/>
      <c r="F1878" s="439">
        <v>2017</v>
      </c>
      <c r="G1878" s="623">
        <v>240781700</v>
      </c>
      <c r="H1878" s="440">
        <f>VLOOKUP(LEFT(D1878,8),UE,4)</f>
        <v>10</v>
      </c>
      <c r="I1878" s="441"/>
      <c r="J1878" s="442">
        <f>F1878+N1878-1</f>
        <v>2026</v>
      </c>
      <c r="K1878" s="443"/>
      <c r="L1878" s="440"/>
      <c r="M1878" s="746">
        <f>IF(H1878+L1878&gt;$H1878,$H1878-H1878,L1878)</f>
        <v>0</v>
      </c>
      <c r="N1878" s="444">
        <f>H1878+M1878</f>
        <v>10</v>
      </c>
      <c r="O1878" s="442">
        <f>F1878+N1878-1</f>
        <v>2026</v>
      </c>
      <c r="P1878" s="617">
        <f>G1878</f>
        <v>240781700</v>
      </c>
      <c r="Q1878" s="445">
        <v>0</v>
      </c>
      <c r="R1878" s="445">
        <f>P1878/N1878</f>
        <v>24078170</v>
      </c>
      <c r="S1878" s="446">
        <f>F1878</f>
        <v>2017</v>
      </c>
      <c r="T1878" s="447">
        <v>1</v>
      </c>
      <c r="U1878" s="613">
        <f>R1878*T1878</f>
        <v>24078170</v>
      </c>
      <c r="V1878" s="442">
        <f>F1878</f>
        <v>2017</v>
      </c>
      <c r="W1878" s="617">
        <f>IF(OR(AND(ISBLANK(E1878),ISBLANK(G1878)),ISTEXT(E1878),ISTEXT(G1878)),"",G1878-R1878)</f>
        <v>216703530</v>
      </c>
      <c r="X1878" s="448"/>
      <c r="Y1878" s="449"/>
      <c r="Z1878" s="449"/>
      <c r="AA1878" s="450" t="s">
        <v>4179</v>
      </c>
      <c r="AB1878" s="451"/>
      <c r="AC1878" s="451"/>
      <c r="AD1878" s="565"/>
      <c r="AE1878" s="452"/>
      <c r="AF1878" s="571"/>
      <c r="AG1878" s="452"/>
      <c r="AH1878" s="452"/>
      <c r="AI1878" s="453"/>
      <c r="AJ1878" s="449"/>
      <c r="AK1878" s="453"/>
      <c r="AL1878" s="454"/>
      <c r="AM1878" s="455"/>
      <c r="AN1878" s="456"/>
      <c r="AO1878" s="455"/>
      <c r="AP1878" s="452"/>
      <c r="AQ1878" s="457"/>
      <c r="AR1878" s="449"/>
      <c r="AS1878" s="449"/>
      <c r="AT1878" s="452"/>
      <c r="AU1878" s="457"/>
      <c r="AV1878" s="449"/>
      <c r="AW1878" s="458"/>
      <c r="AX1878" s="452"/>
      <c r="AY1878" s="457"/>
      <c r="AZ1878" s="449"/>
      <c r="BA1878" s="459"/>
      <c r="BB1878" s="455"/>
      <c r="BC1878" s="460"/>
      <c r="BD1878" s="460"/>
      <c r="BG1878" s="462"/>
    </row>
    <row r="1879" spans="1:59" s="461" customFormat="1" ht="18" customHeight="1" x14ac:dyDescent="0.2">
      <c r="A1879" s="1368" t="str">
        <f>$D$1874&amp;S1879</f>
        <v>MENUJU AREAL PUSKESMAS KEC. GUNUNG TOAR2018</v>
      </c>
      <c r="B1879" s="1373"/>
      <c r="C1879" s="488"/>
      <c r="D1879" s="489"/>
      <c r="E1879" s="558"/>
      <c r="F1879" s="559">
        <v>2018</v>
      </c>
      <c r="G1879" s="619">
        <v>0</v>
      </c>
      <c r="H1879" s="464">
        <f>IF(N1878-(F1879-F1878)&lt;=0,0,(N1878-(F1879-F1878)))</f>
        <v>9</v>
      </c>
      <c r="I1879" s="560"/>
      <c r="J1879" s="468">
        <f>F1879+N1879-1</f>
        <v>2026</v>
      </c>
      <c r="K1879" s="490">
        <f>IF(G1879=0,0,IF(H1879=10,100%,G1879/W1878))</f>
        <v>0</v>
      </c>
      <c r="L1879" s="469">
        <f>IF(K1879=0%,0,IF(K1879&lt;=30%,2,IF(K1879&lt;=60%,5,10)))</f>
        <v>0</v>
      </c>
      <c r="M1879" s="683">
        <f>IF(OR(AND(ISBLANK(E1879),ISBLANK(G1879)),ISTEXT(E1879),ISTEXT(G1879)),"",IF(H1879+L1879&gt;$H$1878,$H$1878-H1879,L1879))</f>
        <v>0</v>
      </c>
      <c r="N1879" s="470">
        <f>IF(OR(AND(ISBLANK(F1879),ISBLANK(G1879)),ISTEXT(F1879),ISTEXT(G1879)),"",H1879+M1879)</f>
        <v>9</v>
      </c>
      <c r="O1879" s="468">
        <f>F1879+N1879-1</f>
        <v>2026</v>
      </c>
      <c r="P1879" s="616">
        <f>W1878</f>
        <v>216703530</v>
      </c>
      <c r="Q1879" s="472">
        <f>P1879+G1879</f>
        <v>216703530</v>
      </c>
      <c r="R1879" s="472">
        <f>IF(L1879=0,R1878,Q1879/N1879)</f>
        <v>24078170</v>
      </c>
      <c r="S1879" s="1189">
        <f>F1879</f>
        <v>2018</v>
      </c>
      <c r="T1879" s="470">
        <f>S1879-S1878</f>
        <v>1</v>
      </c>
      <c r="U1879" s="612">
        <f>R1879*T1879</f>
        <v>24078170</v>
      </c>
      <c r="V1879" s="464">
        <f>F1879</f>
        <v>2018</v>
      </c>
      <c r="W1879" s="612">
        <f>IF(OR(AND(ISBLANK(E1879),ISBLANK(G1879)),ISTEXT(E1879),ISTEXT(G1879)),"",Q1879-U1879)</f>
        <v>192625360</v>
      </c>
      <c r="X1879" s="561"/>
      <c r="Y1879" s="449"/>
      <c r="Z1879" s="449"/>
      <c r="AA1879" s="554"/>
      <c r="AB1879" s="452"/>
      <c r="AC1879" s="452"/>
      <c r="AD1879" s="566"/>
      <c r="AE1879" s="452"/>
      <c r="AF1879" s="571"/>
      <c r="AG1879" s="452"/>
      <c r="AH1879" s="452"/>
      <c r="AI1879" s="453"/>
      <c r="AJ1879" s="449"/>
      <c r="AK1879" s="453"/>
      <c r="AL1879" s="454"/>
      <c r="AM1879" s="455"/>
      <c r="AN1879" s="456"/>
      <c r="AO1879" s="455"/>
      <c r="AP1879" s="452"/>
      <c r="AQ1879" s="457"/>
      <c r="AR1879" s="449"/>
      <c r="AS1879" s="449"/>
      <c r="AT1879" s="452"/>
      <c r="AU1879" s="457"/>
      <c r="AV1879" s="449"/>
      <c r="AW1879" s="458"/>
      <c r="AX1879" s="452"/>
      <c r="AY1879" s="457"/>
      <c r="AZ1879" s="449"/>
      <c r="BA1879" s="459"/>
      <c r="BB1879" s="455"/>
      <c r="BC1879" s="460"/>
      <c r="BD1879" s="460"/>
      <c r="BG1879" s="462"/>
    </row>
    <row r="1880" spans="1:59" s="461" customFormat="1" ht="18" customHeight="1" x14ac:dyDescent="0.2">
      <c r="A1880" s="1368" t="str">
        <f>$D$1874&amp;S1880</f>
        <v>MENUJU AREAL PUSKESMAS KEC. GUNUNG TOAR2019</v>
      </c>
      <c r="B1880" s="1373">
        <v>2</v>
      </c>
      <c r="C1880" s="488" t="s">
        <v>5488</v>
      </c>
      <c r="D1880" s="489"/>
      <c r="E1880" s="558"/>
      <c r="F1880" s="559">
        <v>2019</v>
      </c>
      <c r="G1880" s="619">
        <v>468970768</v>
      </c>
      <c r="H1880" s="464">
        <f>IF(N1879-(F1880-F1879)&lt;=0,0,(N1879-(F1880-F1879)))</f>
        <v>8</v>
      </c>
      <c r="I1880" s="560"/>
      <c r="J1880" s="468">
        <f>F1880+N1880-1</f>
        <v>2028</v>
      </c>
      <c r="K1880" s="490">
        <f>IF(G1880=0,0,IF(H1880=10,100%,G1880/W1879))</f>
        <v>2.4346263025803041</v>
      </c>
      <c r="L1880" s="469">
        <f>IF(K1880=0%,0,IF(K1880&lt;=30%,2,IF(K1880&lt;=60%,5,10)))</f>
        <v>10</v>
      </c>
      <c r="M1880" s="683">
        <f>IF(OR(AND(ISBLANK(E1880),ISBLANK(G1880)),ISTEXT(E1880),ISTEXT(G1880)),"",IF(H1880+L1880&gt;$H$1878,$H$1878-H1880,L1880))</f>
        <v>2</v>
      </c>
      <c r="N1880" s="470">
        <f>IF(OR(AND(ISBLANK(F1880),ISBLANK(G1880)),ISTEXT(F1880),ISTEXT(G1880)),"",H1880+M1880)</f>
        <v>10</v>
      </c>
      <c r="O1880" s="468">
        <f>F1880+N1880-1</f>
        <v>2028</v>
      </c>
      <c r="P1880" s="616">
        <f>W1879</f>
        <v>192625360</v>
      </c>
      <c r="Q1880" s="472">
        <f>P1880+G1880</f>
        <v>661596128</v>
      </c>
      <c r="R1880" s="472">
        <f>IF(L1880=0,R1879,Q1880/N1880)</f>
        <v>66159612.799999997</v>
      </c>
      <c r="S1880" s="1189">
        <f>F1880</f>
        <v>2019</v>
      </c>
      <c r="T1880" s="470">
        <f>S1880-S1879</f>
        <v>1</v>
      </c>
      <c r="U1880" s="612">
        <f>R1880*T1880</f>
        <v>66159612.799999997</v>
      </c>
      <c r="V1880" s="464">
        <f>F1880</f>
        <v>2019</v>
      </c>
      <c r="W1880" s="612">
        <f>IF(OR(AND(ISBLANK(E1880),ISBLANK(G1880)),ISTEXT(E1880),ISTEXT(G1880)),"",Q1880-U1880)</f>
        <v>595436515.20000005</v>
      </c>
      <c r="X1880" s="561"/>
      <c r="Y1880" s="449"/>
      <c r="Z1880" s="449"/>
      <c r="AA1880" s="554"/>
      <c r="AB1880" s="452"/>
      <c r="AC1880" s="452"/>
      <c r="AD1880" s="566"/>
      <c r="AE1880" s="452"/>
      <c r="AF1880" s="571"/>
      <c r="AG1880" s="452"/>
      <c r="AH1880" s="452"/>
      <c r="AI1880" s="453"/>
      <c r="AJ1880" s="449"/>
      <c r="AK1880" s="453"/>
      <c r="AL1880" s="454"/>
      <c r="AM1880" s="455"/>
      <c r="AN1880" s="456"/>
      <c r="AO1880" s="455"/>
      <c r="AP1880" s="452"/>
      <c r="AQ1880" s="457"/>
      <c r="AR1880" s="449"/>
      <c r="AS1880" s="449"/>
      <c r="AT1880" s="452"/>
      <c r="AU1880" s="457"/>
      <c r="AV1880" s="449"/>
      <c r="AW1880" s="458"/>
      <c r="AX1880" s="452"/>
      <c r="AY1880" s="457"/>
      <c r="AZ1880" s="449"/>
      <c r="BA1880" s="459"/>
      <c r="BB1880" s="455"/>
      <c r="BC1880" s="460"/>
      <c r="BD1880" s="460"/>
      <c r="BG1880" s="462"/>
    </row>
    <row r="1881" spans="1:59" s="461" customFormat="1" ht="18" customHeight="1" x14ac:dyDescent="0.2">
      <c r="A1881" s="1368"/>
      <c r="B1881" s="1373"/>
      <c r="C1881" s="488"/>
      <c r="D1881" s="489"/>
      <c r="E1881" s="558"/>
      <c r="F1881" s="559"/>
      <c r="G1881" s="619"/>
      <c r="H1881" s="464"/>
      <c r="I1881" s="560"/>
      <c r="J1881" s="468"/>
      <c r="K1881" s="490"/>
      <c r="L1881" s="469"/>
      <c r="M1881" s="683"/>
      <c r="N1881" s="470"/>
      <c r="O1881" s="468"/>
      <c r="P1881" s="616"/>
      <c r="Q1881" s="472"/>
      <c r="R1881" s="472"/>
      <c r="S1881" s="1189"/>
      <c r="T1881" s="470"/>
      <c r="U1881" s="612"/>
      <c r="V1881" s="464"/>
      <c r="W1881" s="612"/>
      <c r="X1881" s="561"/>
      <c r="Y1881" s="449"/>
      <c r="Z1881" s="449"/>
      <c r="AA1881" s="554"/>
      <c r="AB1881" s="452"/>
      <c r="AC1881" s="452"/>
      <c r="AD1881" s="566"/>
      <c r="AE1881" s="452"/>
      <c r="AF1881" s="571"/>
      <c r="AG1881" s="452"/>
      <c r="AH1881" s="452"/>
      <c r="AI1881" s="453"/>
      <c r="AJ1881" s="449"/>
      <c r="AK1881" s="453"/>
      <c r="AL1881" s="454"/>
      <c r="AM1881" s="455"/>
      <c r="AN1881" s="456"/>
      <c r="AO1881" s="455"/>
      <c r="AP1881" s="452"/>
      <c r="AQ1881" s="457"/>
      <c r="AR1881" s="449"/>
      <c r="AS1881" s="449"/>
      <c r="AT1881" s="452"/>
      <c r="AU1881" s="457"/>
      <c r="AV1881" s="449"/>
      <c r="AW1881" s="458"/>
      <c r="AX1881" s="452"/>
      <c r="AY1881" s="457"/>
      <c r="AZ1881" s="449"/>
      <c r="BA1881" s="459"/>
      <c r="BB1881" s="455"/>
      <c r="BC1881" s="460"/>
      <c r="BD1881" s="460"/>
      <c r="BG1881" s="462"/>
    </row>
    <row r="1882" spans="1:59" s="486" customFormat="1" ht="18" customHeight="1" x14ac:dyDescent="0.2">
      <c r="A1882" s="1368" t="str">
        <f>LEFT(D1882,8)</f>
        <v/>
      </c>
      <c r="B1882" s="1373"/>
      <c r="C1882" s="488"/>
      <c r="D1882" s="489"/>
      <c r="E1882" s="558"/>
      <c r="F1882" s="559"/>
      <c r="G1882" s="619"/>
      <c r="H1882" s="557"/>
      <c r="I1882" s="560"/>
      <c r="J1882" s="468"/>
      <c r="K1882" s="490"/>
      <c r="L1882" s="469"/>
      <c r="M1882" s="683"/>
      <c r="N1882" s="470"/>
      <c r="O1882" s="468"/>
      <c r="P1882" s="616"/>
      <c r="Q1882" s="472"/>
      <c r="R1882" s="472"/>
      <c r="S1882" s="1189"/>
      <c r="T1882" s="470"/>
      <c r="U1882" s="612"/>
      <c r="V1882" s="464"/>
      <c r="W1882" s="612"/>
      <c r="X1882" s="561"/>
      <c r="Y1882" s="474"/>
      <c r="Z1882" s="449"/>
      <c r="AA1882" s="475" t="s">
        <v>4180</v>
      </c>
      <c r="AB1882" s="476"/>
      <c r="AC1882" s="476"/>
      <c r="AD1882" s="567">
        <f>G1887</f>
        <v>709752468</v>
      </c>
      <c r="AE1882" s="476"/>
      <c r="AF1882" s="568"/>
      <c r="AG1882" s="476"/>
      <c r="AH1882" s="476"/>
      <c r="AI1882" s="477"/>
      <c r="AJ1882" s="478"/>
      <c r="AK1882" s="479"/>
      <c r="AL1882" s="480"/>
      <c r="AM1882" s="474"/>
      <c r="AN1882" s="481"/>
      <c r="AO1882" s="474"/>
      <c r="AP1882" s="476"/>
      <c r="AQ1882" s="482"/>
      <c r="AR1882" s="478"/>
      <c r="AS1882" s="478"/>
      <c r="AT1882" s="476"/>
      <c r="AU1882" s="482"/>
      <c r="AV1882" s="478"/>
      <c r="AW1882" s="483"/>
      <c r="AX1882" s="476"/>
      <c r="AY1882" s="482"/>
      <c r="AZ1882" s="478"/>
      <c r="BA1882" s="484"/>
      <c r="BB1882" s="474"/>
      <c r="BC1882" s="485"/>
      <c r="BD1882" s="485"/>
      <c r="BG1882" s="487"/>
    </row>
    <row r="1883" spans="1:59" s="486" customFormat="1" ht="18" customHeight="1" x14ac:dyDescent="0.2">
      <c r="A1883" s="1368" t="str">
        <f>LEFT(D1883,8)</f>
        <v/>
      </c>
      <c r="B1883" s="1373"/>
      <c r="C1883" s="488"/>
      <c r="D1883" s="489"/>
      <c r="E1883" s="558"/>
      <c r="F1883" s="559"/>
      <c r="G1883" s="619"/>
      <c r="H1883" s="464"/>
      <c r="I1883" s="467"/>
      <c r="J1883" s="468"/>
      <c r="K1883" s="490"/>
      <c r="L1883" s="469"/>
      <c r="M1883" s="683"/>
      <c r="N1883" s="470"/>
      <c r="O1883" s="468"/>
      <c r="P1883" s="616"/>
      <c r="Q1883" s="472"/>
      <c r="R1883" s="472"/>
      <c r="S1883" s="1189"/>
      <c r="T1883" s="470"/>
      <c r="U1883" s="612"/>
      <c r="V1883" s="464"/>
      <c r="W1883" s="612"/>
      <c r="X1883" s="473"/>
      <c r="Y1883" s="478"/>
      <c r="Z1883" s="449"/>
      <c r="AA1883" s="475" t="s">
        <v>4181</v>
      </c>
      <c r="AB1883" s="491"/>
      <c r="AC1883" s="491"/>
      <c r="AD1883" s="567">
        <f>U1887</f>
        <v>114315952.8</v>
      </c>
      <c r="AE1883" s="491"/>
      <c r="AF1883" s="568"/>
      <c r="AG1883" s="491"/>
      <c r="AH1883" s="491"/>
      <c r="AI1883" s="477"/>
      <c r="AJ1883" s="478"/>
      <c r="AK1883" s="479"/>
      <c r="AL1883" s="480"/>
      <c r="AM1883" s="474"/>
      <c r="AN1883" s="481"/>
      <c r="AO1883" s="474"/>
      <c r="AP1883" s="476"/>
      <c r="AQ1883" s="482"/>
      <c r="AR1883" s="478"/>
      <c r="AS1883" s="478"/>
      <c r="AT1883" s="476"/>
      <c r="AU1883" s="482"/>
      <c r="AV1883" s="478"/>
      <c r="AW1883" s="483"/>
      <c r="AX1883" s="476"/>
      <c r="AY1883" s="482"/>
      <c r="AZ1883" s="478"/>
      <c r="BA1883" s="484"/>
      <c r="BB1883" s="474"/>
      <c r="BC1883" s="485"/>
      <c r="BD1883" s="485"/>
      <c r="BG1883" s="487"/>
    </row>
    <row r="1884" spans="1:59" s="486" customFormat="1" ht="18" customHeight="1" x14ac:dyDescent="0.2">
      <c r="A1884" s="1368" t="str">
        <f>LEFT(D1884,8)</f>
        <v/>
      </c>
      <c r="B1884" s="1373"/>
      <c r="C1884" s="488"/>
      <c r="D1884" s="489"/>
      <c r="E1884" s="558"/>
      <c r="F1884" s="559"/>
      <c r="G1884" s="619"/>
      <c r="H1884" s="464"/>
      <c r="I1884" s="467"/>
      <c r="J1884" s="468"/>
      <c r="K1884" s="490"/>
      <c r="L1884" s="469"/>
      <c r="M1884" s="683"/>
      <c r="N1884" s="470"/>
      <c r="O1884" s="468"/>
      <c r="P1884" s="616"/>
      <c r="Q1884" s="472"/>
      <c r="R1884" s="472"/>
      <c r="S1884" s="1189"/>
      <c r="T1884" s="470"/>
      <c r="U1884" s="612"/>
      <c r="V1884" s="464"/>
      <c r="W1884" s="612"/>
      <c r="X1884" s="473"/>
      <c r="Y1884" s="478"/>
      <c r="Z1884" s="449"/>
      <c r="AA1884" s="492" t="s">
        <v>4182</v>
      </c>
      <c r="AB1884" s="476"/>
      <c r="AC1884" s="476"/>
      <c r="AD1884" s="567">
        <f>AD1882-AD1883</f>
        <v>595436515.20000005</v>
      </c>
      <c r="AE1884" s="476"/>
      <c r="AF1884" s="568"/>
      <c r="AG1884" s="476"/>
      <c r="AH1884" s="476"/>
      <c r="AI1884" s="477"/>
      <c r="AJ1884" s="478"/>
      <c r="AK1884" s="479"/>
      <c r="AL1884" s="480"/>
      <c r="AM1884" s="474"/>
      <c r="AN1884" s="481"/>
      <c r="AO1884" s="474"/>
      <c r="AP1884" s="476"/>
      <c r="AQ1884" s="482"/>
      <c r="AR1884" s="478"/>
      <c r="AS1884" s="478"/>
      <c r="AT1884" s="476"/>
      <c r="AU1884" s="482"/>
      <c r="AV1884" s="478"/>
      <c r="AW1884" s="483"/>
      <c r="AX1884" s="476"/>
      <c r="AY1884" s="482"/>
      <c r="AZ1884" s="478"/>
      <c r="BA1884" s="484"/>
      <c r="BB1884" s="474"/>
      <c r="BC1884" s="485"/>
      <c r="BD1884" s="485"/>
      <c r="BG1884" s="487"/>
    </row>
    <row r="1885" spans="1:59" s="486" customFormat="1" ht="18" customHeight="1" x14ac:dyDescent="0.2">
      <c r="A1885" s="1368" t="str">
        <f>LEFT(D1885,8)</f>
        <v/>
      </c>
      <c r="B1885" s="687"/>
      <c r="C1885" s="488"/>
      <c r="D1885" s="489"/>
      <c r="E1885" s="558"/>
      <c r="F1885" s="466"/>
      <c r="G1885" s="619"/>
      <c r="H1885" s="464"/>
      <c r="I1885" s="467"/>
      <c r="J1885" s="468"/>
      <c r="K1885" s="490"/>
      <c r="L1885" s="469"/>
      <c r="M1885" s="683"/>
      <c r="N1885" s="470"/>
      <c r="O1885" s="468"/>
      <c r="P1885" s="616"/>
      <c r="Q1885" s="472"/>
      <c r="R1885" s="472"/>
      <c r="S1885" s="1189"/>
      <c r="T1885" s="470"/>
      <c r="U1885" s="612"/>
      <c r="V1885" s="464"/>
      <c r="W1885" s="612"/>
      <c r="X1885" s="473"/>
      <c r="Y1885" s="478"/>
      <c r="Z1885" s="449"/>
      <c r="AA1885" s="531" t="s">
        <v>4183</v>
      </c>
      <c r="AB1885" s="496"/>
      <c r="AC1885" s="496"/>
      <c r="AD1885" s="569">
        <f>AD1884-W1887</f>
        <v>0</v>
      </c>
      <c r="AE1885" s="476"/>
      <c r="AF1885" s="568"/>
      <c r="AG1885" s="476"/>
      <c r="AH1885" s="476"/>
      <c r="AI1885" s="477"/>
      <c r="AJ1885" s="478"/>
      <c r="AK1885" s="479"/>
      <c r="AL1885" s="480"/>
      <c r="AM1885" s="474"/>
      <c r="AN1885" s="481"/>
      <c r="AO1885" s="474"/>
      <c r="AP1885" s="476"/>
      <c r="AQ1885" s="482"/>
      <c r="AR1885" s="478"/>
      <c r="AS1885" s="478"/>
      <c r="AT1885" s="476"/>
      <c r="AU1885" s="482"/>
      <c r="AV1885" s="478"/>
      <c r="AW1885" s="483"/>
      <c r="AX1885" s="476"/>
      <c r="AY1885" s="482"/>
      <c r="AZ1885" s="478"/>
      <c r="BA1885" s="484"/>
      <c r="BB1885" s="474"/>
      <c r="BC1885" s="485"/>
      <c r="BD1885" s="485"/>
      <c r="BG1885" s="487"/>
    </row>
    <row r="1886" spans="1:59" s="486" customFormat="1" ht="18" customHeight="1" x14ac:dyDescent="0.2">
      <c r="A1886" s="1368" t="str">
        <f>LEFT(D1886,8)</f>
        <v/>
      </c>
      <c r="B1886" s="687"/>
      <c r="C1886" s="463"/>
      <c r="D1886" s="489"/>
      <c r="E1886" s="465"/>
      <c r="F1886" s="466"/>
      <c r="G1886" s="620"/>
      <c r="H1886" s="464"/>
      <c r="I1886" s="467"/>
      <c r="J1886" s="468"/>
      <c r="K1886" s="574"/>
      <c r="L1886" s="469"/>
      <c r="M1886" s="683"/>
      <c r="N1886" s="470"/>
      <c r="O1886" s="468"/>
      <c r="P1886" s="616"/>
      <c r="Q1886" s="472"/>
      <c r="R1886" s="472"/>
      <c r="S1886" s="1189"/>
      <c r="T1886" s="470"/>
      <c r="U1886" s="612"/>
      <c r="V1886" s="464"/>
      <c r="W1886" s="612"/>
      <c r="X1886" s="473"/>
      <c r="Y1886" s="478"/>
      <c r="Z1886" s="449"/>
      <c r="AA1886" s="573"/>
      <c r="AB1886" s="476"/>
      <c r="AC1886" s="476"/>
      <c r="AD1886" s="568"/>
      <c r="AE1886" s="476"/>
      <c r="AF1886" s="568"/>
      <c r="AG1886" s="476"/>
      <c r="AH1886" s="476"/>
      <c r="AI1886" s="477"/>
      <c r="AJ1886" s="478"/>
      <c r="AK1886" s="479"/>
      <c r="AL1886" s="480"/>
      <c r="AM1886" s="474"/>
      <c r="AN1886" s="481"/>
      <c r="AO1886" s="474"/>
      <c r="AP1886" s="476"/>
      <c r="AQ1886" s="482"/>
      <c r="AR1886" s="478"/>
      <c r="AS1886" s="478"/>
      <c r="AT1886" s="476"/>
      <c r="AU1886" s="482"/>
      <c r="AV1886" s="478"/>
      <c r="AW1886" s="483"/>
      <c r="AX1886" s="476"/>
      <c r="AY1886" s="482"/>
      <c r="AZ1886" s="478"/>
      <c r="BA1886" s="484"/>
      <c r="BB1886" s="474"/>
      <c r="BC1886" s="485"/>
      <c r="BD1886" s="485"/>
      <c r="BG1886" s="487"/>
    </row>
    <row r="1887" spans="1:59" s="526" customFormat="1" ht="18" customHeight="1" x14ac:dyDescent="0.2">
      <c r="A1887" s="1370" t="s">
        <v>4184</v>
      </c>
      <c r="B1887" s="1956" t="s">
        <v>4184</v>
      </c>
      <c r="C1887" s="1957"/>
      <c r="D1887" s="1957"/>
      <c r="E1887" s="1957"/>
      <c r="F1887" s="1958"/>
      <c r="G1887" s="624">
        <f>SUM(G1878:G1886)</f>
        <v>709752468</v>
      </c>
      <c r="H1887" s="505"/>
      <c r="I1887" s="506"/>
      <c r="J1887" s="507"/>
      <c r="K1887" s="507"/>
      <c r="L1887" s="505"/>
      <c r="M1887" s="684"/>
      <c r="N1887" s="508"/>
      <c r="O1887" s="507"/>
      <c r="P1887" s="749"/>
      <c r="Q1887" s="510"/>
      <c r="R1887" s="511"/>
      <c r="S1887" s="512"/>
      <c r="T1887" s="512"/>
      <c r="U1887" s="610">
        <f>SUM(U1878:U1886)</f>
        <v>114315952.8</v>
      </c>
      <c r="V1887" s="513"/>
      <c r="W1887" s="610">
        <f>G1887-U1887</f>
        <v>595436515.20000005</v>
      </c>
      <c r="X1887" s="514"/>
      <c r="Y1887" s="515"/>
      <c r="Z1887" s="515"/>
      <c r="AA1887" s="515"/>
      <c r="AB1887" s="515"/>
      <c r="AC1887" s="515"/>
      <c r="AD1887" s="570"/>
      <c r="AE1887" s="515"/>
      <c r="AF1887" s="570">
        <v>1067044772</v>
      </c>
      <c r="AG1887" s="515"/>
      <c r="AH1887" s="515"/>
      <c r="AI1887" s="516"/>
      <c r="AJ1887" s="517"/>
      <c r="AK1887" s="518"/>
      <c r="AL1887" s="519"/>
      <c r="AM1887" s="520"/>
      <c r="AN1887" s="521"/>
      <c r="AO1887" s="520"/>
      <c r="AP1887" s="515"/>
      <c r="AQ1887" s="522"/>
      <c r="AR1887" s="517"/>
      <c r="AS1887" s="517"/>
      <c r="AT1887" s="515"/>
      <c r="AU1887" s="522"/>
      <c r="AV1887" s="517"/>
      <c r="AW1887" s="523"/>
      <c r="AX1887" s="515"/>
      <c r="AY1887" s="522"/>
      <c r="AZ1887" s="517"/>
      <c r="BA1887" s="524"/>
      <c r="BB1887" s="520"/>
      <c r="BC1887" s="525"/>
      <c r="BD1887" s="525"/>
      <c r="BG1887" s="527"/>
    </row>
    <row r="1888" spans="1:59" s="526" customFormat="1" ht="18" customHeight="1" x14ac:dyDescent="0.2">
      <c r="A1888" s="1370"/>
      <c r="B1888" s="585"/>
      <c r="C1888" s="585"/>
      <c r="D1888" s="585"/>
      <c r="E1888" s="585"/>
      <c r="F1888" s="585"/>
      <c r="G1888" s="622"/>
      <c r="H1888" s="586"/>
      <c r="I1888" s="587"/>
      <c r="J1888" s="588"/>
      <c r="K1888" s="588"/>
      <c r="L1888" s="586"/>
      <c r="M1888" s="521"/>
      <c r="N1888" s="589"/>
      <c r="O1888" s="588"/>
      <c r="P1888" s="750"/>
      <c r="Q1888" s="591"/>
      <c r="R1888" s="592"/>
      <c r="S1888" s="593"/>
      <c r="T1888" s="593"/>
      <c r="U1888" s="570"/>
      <c r="V1888" s="594"/>
      <c r="W1888" s="570"/>
      <c r="X1888" s="515"/>
      <c r="Y1888" s="515"/>
      <c r="Z1888" s="515"/>
      <c r="AA1888" s="515"/>
      <c r="AB1888" s="515"/>
      <c r="AC1888" s="515"/>
      <c r="AD1888" s="570"/>
      <c r="AE1888" s="515"/>
      <c r="AF1888" s="570"/>
      <c r="AG1888" s="515"/>
      <c r="AH1888" s="515"/>
      <c r="AI1888" s="516"/>
      <c r="AJ1888" s="517"/>
      <c r="AK1888" s="518"/>
      <c r="AL1888" s="519"/>
      <c r="AM1888" s="520"/>
      <c r="AN1888" s="521"/>
      <c r="AO1888" s="520"/>
      <c r="AP1888" s="515"/>
      <c r="AQ1888" s="522"/>
      <c r="AR1888" s="517"/>
      <c r="AS1888" s="517"/>
      <c r="AT1888" s="515"/>
      <c r="AU1888" s="522"/>
      <c r="AV1888" s="517"/>
      <c r="AW1888" s="523"/>
      <c r="AX1888" s="515"/>
      <c r="AY1888" s="522"/>
      <c r="AZ1888" s="517"/>
      <c r="BA1888" s="524"/>
      <c r="BB1888" s="520"/>
      <c r="BC1888" s="525"/>
      <c r="BD1888" s="525"/>
      <c r="BG1888" s="527"/>
    </row>
    <row r="1889" spans="1:59" s="526" customFormat="1" ht="18" customHeight="1" x14ac:dyDescent="0.2">
      <c r="A1889" s="1370"/>
      <c r="B1889" s="585"/>
      <c r="C1889" s="585"/>
      <c r="D1889" s="585"/>
      <c r="E1889" s="585"/>
      <c r="F1889" s="585"/>
      <c r="G1889" s="622"/>
      <c r="H1889" s="586"/>
      <c r="I1889" s="587"/>
      <c r="J1889" s="588"/>
      <c r="K1889" s="588"/>
      <c r="L1889" s="586"/>
      <c r="M1889" s="521"/>
      <c r="N1889" s="589"/>
      <c r="O1889" s="588"/>
      <c r="P1889" s="750"/>
      <c r="Q1889" s="591"/>
      <c r="R1889" s="592"/>
      <c r="S1889" s="593"/>
      <c r="T1889" s="593"/>
      <c r="U1889" s="570"/>
      <c r="V1889" s="594"/>
      <c r="W1889" s="570"/>
      <c r="X1889" s="515"/>
      <c r="Y1889" s="515"/>
      <c r="Z1889" s="515"/>
      <c r="AA1889" s="515"/>
      <c r="AB1889" s="515"/>
      <c r="AC1889" s="515"/>
      <c r="AD1889" s="570"/>
      <c r="AE1889" s="515"/>
      <c r="AF1889" s="570"/>
      <c r="AG1889" s="515"/>
      <c r="AH1889" s="515"/>
      <c r="AI1889" s="516"/>
      <c r="AJ1889" s="517"/>
      <c r="AK1889" s="518"/>
      <c r="AL1889" s="519"/>
      <c r="AM1889" s="520"/>
      <c r="AN1889" s="521"/>
      <c r="AO1889" s="520"/>
      <c r="AP1889" s="515"/>
      <c r="AQ1889" s="522"/>
      <c r="AR1889" s="517"/>
      <c r="AS1889" s="517"/>
      <c r="AT1889" s="515"/>
      <c r="AU1889" s="522"/>
      <c r="AV1889" s="517"/>
      <c r="AW1889" s="523"/>
      <c r="AX1889" s="515"/>
      <c r="AY1889" s="522"/>
      <c r="AZ1889" s="517"/>
      <c r="BA1889" s="524"/>
      <c r="BB1889" s="520"/>
      <c r="BC1889" s="525"/>
      <c r="BD1889" s="525"/>
      <c r="BG1889" s="527"/>
    </row>
    <row r="1891" spans="1:59" x14ac:dyDescent="0.2">
      <c r="C1891" s="419" t="s">
        <v>4189</v>
      </c>
      <c r="D1891" s="419">
        <v>5</v>
      </c>
    </row>
    <row r="1892" spans="1:59" x14ac:dyDescent="0.2">
      <c r="C1892" s="419" t="s">
        <v>4190</v>
      </c>
      <c r="D1892" s="419">
        <v>10</v>
      </c>
    </row>
    <row r="1893" spans="1:59" x14ac:dyDescent="0.2">
      <c r="C1893" s="419" t="s">
        <v>4191</v>
      </c>
      <c r="D1893" s="419">
        <v>15</v>
      </c>
    </row>
    <row r="1895" spans="1:59" s="422" customFormat="1" ht="18" customHeight="1" x14ac:dyDescent="0.2">
      <c r="A1895" s="1366" t="str">
        <f>C1895</f>
        <v>J1</v>
      </c>
      <c r="B1895" s="742" t="s">
        <v>4187</v>
      </c>
      <c r="C1895" s="556" t="s">
        <v>4134</v>
      </c>
      <c r="D1895" s="553" t="s">
        <v>5727</v>
      </c>
      <c r="E1895" s="553"/>
      <c r="F1895" s="421"/>
      <c r="G1895" s="611"/>
      <c r="I1895" s="423"/>
      <c r="J1895" s="424"/>
      <c r="K1895" s="424"/>
      <c r="M1895" s="680"/>
      <c r="P1895" s="611"/>
      <c r="U1895" s="611"/>
      <c r="W1895" s="611"/>
      <c r="Y1895" s="425"/>
      <c r="Z1895" s="425"/>
      <c r="AA1895" s="425"/>
      <c r="AB1895" s="425"/>
      <c r="AC1895" s="425"/>
      <c r="AD1895" s="563"/>
      <c r="AE1895" s="425"/>
      <c r="AF1895" s="563"/>
      <c r="AG1895" s="425"/>
      <c r="AH1895" s="425"/>
      <c r="AI1895" s="425"/>
      <c r="AJ1895" s="425"/>
      <c r="AK1895" s="425"/>
      <c r="AL1895" s="425"/>
      <c r="AM1895" s="425"/>
      <c r="AN1895" s="425"/>
      <c r="AO1895" s="425"/>
      <c r="AP1895" s="425"/>
      <c r="AQ1895" s="425"/>
      <c r="AR1895" s="425"/>
      <c r="AS1895" s="425"/>
      <c r="AT1895" s="425"/>
      <c r="AU1895" s="425"/>
      <c r="AV1895" s="425"/>
      <c r="AW1895" s="425"/>
      <c r="AX1895" s="425"/>
      <c r="AY1895" s="425"/>
      <c r="AZ1895" s="425"/>
      <c r="BA1895" s="425"/>
      <c r="BB1895" s="425"/>
    </row>
    <row r="1896" spans="1:59" s="431" customFormat="1" ht="18" customHeight="1" x14ac:dyDescent="0.2">
      <c r="A1896" s="1367"/>
      <c r="B1896" s="1968" t="s">
        <v>5</v>
      </c>
      <c r="C1896" s="1968" t="s">
        <v>2280</v>
      </c>
      <c r="D1896" s="1968" t="s">
        <v>4157</v>
      </c>
      <c r="E1896" s="1968" t="s">
        <v>4158</v>
      </c>
      <c r="F1896" s="1968"/>
      <c r="G1896" s="1969" t="s">
        <v>4159</v>
      </c>
      <c r="H1896" s="1968" t="s">
        <v>4160</v>
      </c>
      <c r="I1896" s="1968"/>
      <c r="J1896" s="1968" t="s">
        <v>4185</v>
      </c>
      <c r="K1896" s="1964" t="s">
        <v>4162</v>
      </c>
      <c r="L1896" s="1968" t="s">
        <v>4163</v>
      </c>
      <c r="M1896" s="1971" t="s">
        <v>4164</v>
      </c>
      <c r="N1896" s="1962" t="s">
        <v>4165</v>
      </c>
      <c r="O1896" s="1968" t="s">
        <v>4166</v>
      </c>
      <c r="P1896" s="1972" t="s">
        <v>4167</v>
      </c>
      <c r="Q1896" s="1973"/>
      <c r="R1896" s="636" t="s">
        <v>4186</v>
      </c>
      <c r="S1896" s="1972" t="s">
        <v>4169</v>
      </c>
      <c r="T1896" s="1974"/>
      <c r="U1896" s="1973"/>
      <c r="V1896" s="1975" t="s">
        <v>4170</v>
      </c>
      <c r="W1896" s="1975"/>
      <c r="X1896" s="1960" t="s">
        <v>4171</v>
      </c>
      <c r="Y1896" s="1959"/>
      <c r="Z1896" s="633"/>
      <c r="AA1896" s="426"/>
      <c r="AB1896" s="426"/>
      <c r="AC1896" s="426"/>
      <c r="AD1896" s="564"/>
      <c r="AE1896" s="426"/>
      <c r="AF1896" s="564"/>
      <c r="AG1896" s="426"/>
      <c r="AH1896" s="426"/>
      <c r="AI1896" s="427"/>
      <c r="AJ1896" s="427"/>
      <c r="AK1896" s="427"/>
      <c r="AL1896" s="427"/>
      <c r="AM1896" s="428"/>
      <c r="AN1896" s="427"/>
      <c r="AO1896" s="427"/>
      <c r="AP1896" s="426"/>
      <c r="AQ1896" s="427"/>
      <c r="AR1896" s="427"/>
      <c r="AS1896" s="427"/>
      <c r="AT1896" s="426"/>
      <c r="AU1896" s="427"/>
      <c r="AV1896" s="427"/>
      <c r="AW1896" s="427"/>
      <c r="AX1896" s="426"/>
      <c r="AY1896" s="427"/>
      <c r="AZ1896" s="427"/>
      <c r="BA1896" s="427"/>
      <c r="BB1896" s="429"/>
      <c r="BC1896" s="430"/>
      <c r="BD1896" s="430"/>
    </row>
    <row r="1897" spans="1:59" s="431" customFormat="1" ht="18" customHeight="1" x14ac:dyDescent="0.2">
      <c r="A1897" s="1367"/>
      <c r="B1897" s="1968"/>
      <c r="C1897" s="1968"/>
      <c r="D1897" s="1968"/>
      <c r="E1897" s="1968"/>
      <c r="F1897" s="1968"/>
      <c r="G1897" s="1969"/>
      <c r="H1897" s="1968"/>
      <c r="I1897" s="1968"/>
      <c r="J1897" s="1968"/>
      <c r="K1897" s="1970"/>
      <c r="L1897" s="1968"/>
      <c r="M1897" s="1971"/>
      <c r="N1897" s="1963"/>
      <c r="O1897" s="1968"/>
      <c r="P1897" s="2037" t="s">
        <v>4172</v>
      </c>
      <c r="Q1897" s="1960" t="s">
        <v>4173</v>
      </c>
      <c r="R1897" s="1962" t="s">
        <v>4159</v>
      </c>
      <c r="S1897" s="1962" t="s">
        <v>4174</v>
      </c>
      <c r="T1897" s="1964" t="s">
        <v>4175</v>
      </c>
      <c r="U1897" s="1966" t="s">
        <v>4159</v>
      </c>
      <c r="V1897" s="1975"/>
      <c r="W1897" s="1975"/>
      <c r="X1897" s="1976"/>
      <c r="Y1897" s="1959"/>
      <c r="Z1897" s="633"/>
      <c r="AA1897" s="426"/>
      <c r="AB1897" s="426"/>
      <c r="AC1897" s="426"/>
      <c r="AD1897" s="564"/>
      <c r="AE1897" s="426"/>
      <c r="AF1897" s="564"/>
      <c r="AG1897" s="426"/>
      <c r="AH1897" s="426"/>
      <c r="AI1897" s="427"/>
      <c r="AJ1897" s="427"/>
      <c r="AK1897" s="426"/>
      <c r="AL1897" s="427"/>
      <c r="AM1897" s="428"/>
      <c r="AN1897" s="427"/>
      <c r="AO1897" s="427"/>
      <c r="AP1897" s="432"/>
      <c r="AQ1897" s="427"/>
      <c r="AR1897" s="427"/>
      <c r="AS1897" s="427"/>
      <c r="AT1897" s="432"/>
      <c r="AU1897" s="427"/>
      <c r="AV1897" s="427"/>
      <c r="AW1897" s="427"/>
      <c r="AX1897" s="432"/>
      <c r="AY1897" s="427"/>
      <c r="AZ1897" s="427"/>
      <c r="BA1897" s="427"/>
      <c r="BB1897" s="429"/>
      <c r="BC1897" s="430"/>
      <c r="BD1897" s="430"/>
    </row>
    <row r="1898" spans="1:59" s="431" customFormat="1" ht="18" customHeight="1" x14ac:dyDescent="0.2">
      <c r="A1898" s="1367"/>
      <c r="B1898" s="1968"/>
      <c r="C1898" s="1968"/>
      <c r="D1898" s="1968"/>
      <c r="E1898" s="433" t="s">
        <v>4176</v>
      </c>
      <c r="F1898" s="434" t="s">
        <v>2288</v>
      </c>
      <c r="G1898" s="1969"/>
      <c r="H1898" s="635" t="s">
        <v>2288</v>
      </c>
      <c r="I1898" s="635" t="s">
        <v>4177</v>
      </c>
      <c r="J1898" s="1968"/>
      <c r="K1898" s="1965"/>
      <c r="L1898" s="435" t="s">
        <v>2288</v>
      </c>
      <c r="M1898" s="681" t="s">
        <v>2288</v>
      </c>
      <c r="N1898" s="635" t="s">
        <v>2288</v>
      </c>
      <c r="O1898" s="1968"/>
      <c r="P1898" s="2038"/>
      <c r="Q1898" s="1961"/>
      <c r="R1898" s="1963"/>
      <c r="S1898" s="1963"/>
      <c r="T1898" s="1965"/>
      <c r="U1898" s="1967"/>
      <c r="V1898" s="635" t="s">
        <v>4178</v>
      </c>
      <c r="W1898" s="637" t="s">
        <v>4159</v>
      </c>
      <c r="X1898" s="1961"/>
      <c r="Y1898" s="436"/>
      <c r="Z1898" s="436"/>
      <c r="AA1898" s="426"/>
      <c r="AB1898" s="426"/>
      <c r="AC1898" s="426"/>
      <c r="AD1898" s="564"/>
      <c r="AE1898" s="426"/>
      <c r="AF1898" s="564"/>
      <c r="AG1898" s="426"/>
      <c r="AH1898" s="426"/>
      <c r="AI1898" s="427"/>
      <c r="AJ1898" s="432"/>
      <c r="AK1898" s="432"/>
      <c r="AL1898" s="427"/>
      <c r="AM1898" s="428"/>
      <c r="AN1898" s="432"/>
      <c r="AO1898" s="427"/>
      <c r="AP1898" s="432"/>
      <c r="AQ1898" s="432"/>
      <c r="AR1898" s="427"/>
      <c r="AS1898" s="427"/>
      <c r="AT1898" s="432"/>
      <c r="AU1898" s="432"/>
      <c r="AV1898" s="427"/>
      <c r="AW1898" s="427"/>
      <c r="AX1898" s="432"/>
      <c r="AY1898" s="432"/>
      <c r="AZ1898" s="427"/>
      <c r="BA1898" s="427"/>
      <c r="BB1898" s="429"/>
      <c r="BC1898" s="430"/>
      <c r="BD1898" s="430"/>
    </row>
    <row r="1899" spans="1:59" s="461" customFormat="1" ht="18" customHeight="1" x14ac:dyDescent="0.2">
      <c r="A1899" s="1368" t="str">
        <f>$D$1895&amp;S1899</f>
        <v>JEMBATAN SEI.TIU HILIR-MUARA PETAI2011</v>
      </c>
      <c r="B1899" s="1373">
        <v>1</v>
      </c>
      <c r="C1899" s="532" t="s">
        <v>1221</v>
      </c>
      <c r="D1899" s="437" t="s">
        <v>3824</v>
      </c>
      <c r="E1899" s="438"/>
      <c r="F1899" s="439">
        <v>2011</v>
      </c>
      <c r="G1899" s="623">
        <v>3841002466.5544596</v>
      </c>
      <c r="H1899" s="440">
        <f>VLOOKUP(LEFT(D1899,8),UE,4)</f>
        <v>50</v>
      </c>
      <c r="I1899" s="441"/>
      <c r="J1899" s="442">
        <f t="shared" ref="J1899:J1908" si="1411">F1899+N1899-1</f>
        <v>2060</v>
      </c>
      <c r="K1899" s="443"/>
      <c r="L1899" s="440"/>
      <c r="M1899" s="746">
        <f>IF(H1899+L1899&gt;$H1899,$H1899-H1899,L1899)</f>
        <v>0</v>
      </c>
      <c r="N1899" s="444">
        <f>H1899+M1899</f>
        <v>50</v>
      </c>
      <c r="O1899" s="442">
        <f t="shared" ref="O1899:O1908" si="1412">F1899+N1899-1</f>
        <v>2060</v>
      </c>
      <c r="P1899" s="617">
        <f>G1899</f>
        <v>3841002466.5544596</v>
      </c>
      <c r="Q1899" s="445">
        <v>0</v>
      </c>
      <c r="R1899" s="445">
        <f>P1899/N1899</f>
        <v>76820049.331089199</v>
      </c>
      <c r="S1899" s="446">
        <f t="shared" ref="S1899:S1908" si="1413">F1899</f>
        <v>2011</v>
      </c>
      <c r="T1899" s="447">
        <v>1</v>
      </c>
      <c r="U1899" s="613">
        <f t="shared" ref="U1899:U1908" si="1414">R1899*T1899</f>
        <v>76820049.331089199</v>
      </c>
      <c r="V1899" s="442">
        <f t="shared" ref="V1899:V1908" si="1415">F1899</f>
        <v>2011</v>
      </c>
      <c r="W1899" s="617">
        <f>IF(OR(AND(ISBLANK(E1899),ISBLANK(G1899)),ISTEXT(E1899),ISTEXT(G1899)),"",G1899-R1899)</f>
        <v>3764182417.2233706</v>
      </c>
      <c r="X1899" s="448"/>
      <c r="Y1899" s="449"/>
      <c r="Z1899" s="449"/>
      <c r="AA1899" s="450" t="s">
        <v>4179</v>
      </c>
      <c r="AB1899" s="451"/>
      <c r="AC1899" s="451"/>
      <c r="AD1899" s="565"/>
      <c r="AE1899" s="452"/>
      <c r="AF1899" s="571"/>
      <c r="AG1899" s="452"/>
      <c r="AH1899" s="452"/>
      <c r="AI1899" s="453"/>
      <c r="AJ1899" s="449"/>
      <c r="AK1899" s="453"/>
      <c r="AL1899" s="454"/>
      <c r="AM1899" s="455"/>
      <c r="AN1899" s="456"/>
      <c r="AO1899" s="455"/>
      <c r="AP1899" s="452"/>
      <c r="AQ1899" s="457"/>
      <c r="AR1899" s="449"/>
      <c r="AS1899" s="449"/>
      <c r="AT1899" s="452"/>
      <c r="AU1899" s="457"/>
      <c r="AV1899" s="449"/>
      <c r="AW1899" s="458"/>
      <c r="AX1899" s="452"/>
      <c r="AY1899" s="457"/>
      <c r="AZ1899" s="449"/>
      <c r="BA1899" s="459"/>
      <c r="BB1899" s="455"/>
      <c r="BC1899" s="460"/>
      <c r="BD1899" s="460"/>
      <c r="BG1899" s="462"/>
    </row>
    <row r="1900" spans="1:59" s="461" customFormat="1" ht="18" customHeight="1" x14ac:dyDescent="0.2">
      <c r="A1900" s="1368" t="str">
        <f t="shared" ref="A1900:A1908" si="1416">$D$1895&amp;S1900</f>
        <v>JEMBATAN SEI.TIU HILIR-MUARA PETAI2012</v>
      </c>
      <c r="B1900" s="1373"/>
      <c r="C1900" s="488"/>
      <c r="D1900" s="489"/>
      <c r="E1900" s="558"/>
      <c r="F1900" s="559">
        <v>2012</v>
      </c>
      <c r="G1900" s="619">
        <v>0</v>
      </c>
      <c r="H1900" s="464">
        <f>IF(N1899-(F1900-F1899)&lt;=0,0,(N1899-(F1900-F1899)))</f>
        <v>49</v>
      </c>
      <c r="I1900" s="560"/>
      <c r="J1900" s="468">
        <f t="shared" si="1411"/>
        <v>2060</v>
      </c>
      <c r="K1900" s="490">
        <f t="shared" ref="K1900:K1908" si="1417">IF(G1900=0,0,IF(H1900=50,100%,G1900/W1899))</f>
        <v>0</v>
      </c>
      <c r="L1900" s="469">
        <f>IF(K1900=0%,0,IF(K1900&lt;=30%,5,IF(K1900&lt;=45%,10,15)))</f>
        <v>0</v>
      </c>
      <c r="M1900" s="683">
        <f t="shared" ref="M1900:M1908" si="1418">IF(OR(AND(ISBLANK(E1900),ISBLANK(G1900)),ISTEXT(E1900),ISTEXT(G1900)),"",IF(H1900+L1900&gt;$H$1899,$H$1899-H1900,L1900))</f>
        <v>0</v>
      </c>
      <c r="N1900" s="470">
        <f t="shared" ref="N1900:N1908" si="1419">IF(OR(AND(ISBLANK(F1900),ISBLANK(G1900)),ISTEXT(F1900),ISTEXT(G1900)),"",H1900+M1900)</f>
        <v>49</v>
      </c>
      <c r="O1900" s="468">
        <f t="shared" si="1412"/>
        <v>2060</v>
      </c>
      <c r="P1900" s="616">
        <f t="shared" ref="P1900:P1908" si="1420">W1899</f>
        <v>3764182417.2233706</v>
      </c>
      <c r="Q1900" s="472">
        <f t="shared" ref="Q1900:Q1908" si="1421">P1900+G1900</f>
        <v>3764182417.2233706</v>
      </c>
      <c r="R1900" s="472">
        <f t="shared" ref="R1900:R1908" si="1422">IF(L1900=0,R1899,Q1900/N1900)</f>
        <v>76820049.331089199</v>
      </c>
      <c r="S1900" s="759">
        <f t="shared" si="1413"/>
        <v>2012</v>
      </c>
      <c r="T1900" s="470">
        <f>S1900-S1899</f>
        <v>1</v>
      </c>
      <c r="U1900" s="612">
        <f t="shared" si="1414"/>
        <v>76820049.331089199</v>
      </c>
      <c r="V1900" s="464">
        <f t="shared" si="1415"/>
        <v>2012</v>
      </c>
      <c r="W1900" s="612">
        <f t="shared" ref="W1900:W1908" si="1423">IF(OR(AND(ISBLANK(E1900),ISBLANK(G1900)),ISTEXT(E1900),ISTEXT(G1900)),"",Q1900-U1900)</f>
        <v>3687362367.8922815</v>
      </c>
      <c r="X1900" s="561"/>
      <c r="Y1900" s="449"/>
      <c r="Z1900" s="449"/>
      <c r="AA1900" s="554"/>
      <c r="AB1900" s="452"/>
      <c r="AC1900" s="452"/>
      <c r="AD1900" s="566"/>
      <c r="AE1900" s="452"/>
      <c r="AF1900" s="571"/>
      <c r="AG1900" s="452"/>
      <c r="AH1900" s="452"/>
      <c r="AI1900" s="453"/>
      <c r="AJ1900" s="449"/>
      <c r="AK1900" s="453"/>
      <c r="AL1900" s="454"/>
      <c r="AM1900" s="455"/>
      <c r="AN1900" s="456"/>
      <c r="AO1900" s="455"/>
      <c r="AP1900" s="452"/>
      <c r="AQ1900" s="457"/>
      <c r="AR1900" s="449"/>
      <c r="AS1900" s="449"/>
      <c r="AT1900" s="452"/>
      <c r="AU1900" s="457"/>
      <c r="AV1900" s="449"/>
      <c r="AW1900" s="458"/>
      <c r="AX1900" s="452"/>
      <c r="AY1900" s="457"/>
      <c r="AZ1900" s="449"/>
      <c r="BA1900" s="459"/>
      <c r="BB1900" s="455"/>
      <c r="BC1900" s="460"/>
      <c r="BD1900" s="460"/>
      <c r="BG1900" s="462"/>
    </row>
    <row r="1901" spans="1:59" s="461" customFormat="1" ht="18" customHeight="1" x14ac:dyDescent="0.2">
      <c r="A1901" s="1368" t="str">
        <f t="shared" si="1416"/>
        <v>JEMBATAN SEI.TIU HILIR-MUARA PETAI2013</v>
      </c>
      <c r="B1901" s="1373">
        <v>2</v>
      </c>
      <c r="C1901" s="488" t="s">
        <v>1648</v>
      </c>
      <c r="D1901" s="489" t="s">
        <v>3824</v>
      </c>
      <c r="E1901" s="558"/>
      <c r="F1901" s="559">
        <v>2013</v>
      </c>
      <c r="G1901" s="619">
        <v>49212500</v>
      </c>
      <c r="H1901" s="464">
        <f t="shared" ref="H1901:H1907" si="1424">IF(N1900-(F1901-F1900)&lt;=0,0,(N1900-(F1901-F1900)))</f>
        <v>48</v>
      </c>
      <c r="I1901" s="560"/>
      <c r="J1901" s="468">
        <f t="shared" si="1411"/>
        <v>2062</v>
      </c>
      <c r="K1901" s="490">
        <f t="shared" si="1417"/>
        <v>1.3346260847189304E-2</v>
      </c>
      <c r="L1901" s="469">
        <f t="shared" ref="L1901:L1907" si="1425">IF(K1901=0%,0,IF(K1901&lt;=30%,5,IF(K1901&lt;=45%,10,15)))</f>
        <v>5</v>
      </c>
      <c r="M1901" s="683">
        <f t="shared" si="1418"/>
        <v>2</v>
      </c>
      <c r="N1901" s="470">
        <f t="shared" si="1419"/>
        <v>50</v>
      </c>
      <c r="O1901" s="468">
        <f t="shared" si="1412"/>
        <v>2062</v>
      </c>
      <c r="P1901" s="616">
        <f t="shared" si="1420"/>
        <v>3687362367.8922815</v>
      </c>
      <c r="Q1901" s="472">
        <f t="shared" si="1421"/>
        <v>3736574867.8922815</v>
      </c>
      <c r="R1901" s="472">
        <f t="shared" si="1422"/>
        <v>74731497.357845634</v>
      </c>
      <c r="S1901" s="759">
        <f t="shared" si="1413"/>
        <v>2013</v>
      </c>
      <c r="T1901" s="470">
        <f t="shared" ref="T1901:T1907" si="1426">S1901-S1900</f>
        <v>1</v>
      </c>
      <c r="U1901" s="612">
        <f t="shared" si="1414"/>
        <v>74731497.357845634</v>
      </c>
      <c r="V1901" s="464">
        <f t="shared" si="1415"/>
        <v>2013</v>
      </c>
      <c r="W1901" s="612">
        <f t="shared" si="1423"/>
        <v>3661843370.5344357</v>
      </c>
      <c r="X1901" s="561"/>
      <c r="Y1901" s="449"/>
      <c r="Z1901" s="449"/>
      <c r="AA1901" s="554"/>
      <c r="AB1901" s="452"/>
      <c r="AC1901" s="452"/>
      <c r="AD1901" s="566"/>
      <c r="AE1901" s="452"/>
      <c r="AF1901" s="571"/>
      <c r="AG1901" s="452"/>
      <c r="AH1901" s="452"/>
      <c r="AI1901" s="453"/>
      <c r="AJ1901" s="449"/>
      <c r="AK1901" s="453"/>
      <c r="AL1901" s="454"/>
      <c r="AM1901" s="455"/>
      <c r="AN1901" s="456"/>
      <c r="AO1901" s="455"/>
      <c r="AP1901" s="452"/>
      <c r="AQ1901" s="457"/>
      <c r="AR1901" s="449"/>
      <c r="AS1901" s="449"/>
      <c r="AT1901" s="452"/>
      <c r="AU1901" s="457"/>
      <c r="AV1901" s="449"/>
      <c r="AW1901" s="458"/>
      <c r="AX1901" s="452"/>
      <c r="AY1901" s="457"/>
      <c r="AZ1901" s="449"/>
      <c r="BA1901" s="459"/>
      <c r="BB1901" s="455"/>
      <c r="BC1901" s="460"/>
      <c r="BD1901" s="460"/>
      <c r="BG1901" s="462"/>
    </row>
    <row r="1902" spans="1:59" s="486" customFormat="1" ht="18" customHeight="1" x14ac:dyDescent="0.2">
      <c r="A1902" s="1368" t="str">
        <f t="shared" si="1416"/>
        <v>JEMBATAN SEI.TIU HILIR-MUARA PETAI2014</v>
      </c>
      <c r="B1902" s="1373">
        <v>3</v>
      </c>
      <c r="C1902" s="488" t="s">
        <v>1649</v>
      </c>
      <c r="D1902" s="489" t="s">
        <v>3824</v>
      </c>
      <c r="E1902" s="558"/>
      <c r="F1902" s="559">
        <v>2014</v>
      </c>
      <c r="G1902" s="619">
        <v>1578446994</v>
      </c>
      <c r="H1902" s="464">
        <f t="shared" si="1424"/>
        <v>49</v>
      </c>
      <c r="I1902" s="560"/>
      <c r="J1902" s="468">
        <f t="shared" si="1411"/>
        <v>2063</v>
      </c>
      <c r="K1902" s="490">
        <f t="shared" si="1417"/>
        <v>0.43105256950671544</v>
      </c>
      <c r="L1902" s="469">
        <f t="shared" si="1425"/>
        <v>10</v>
      </c>
      <c r="M1902" s="683">
        <f t="shared" si="1418"/>
        <v>1</v>
      </c>
      <c r="N1902" s="470">
        <f t="shared" si="1419"/>
        <v>50</v>
      </c>
      <c r="O1902" s="468">
        <f t="shared" si="1412"/>
        <v>2063</v>
      </c>
      <c r="P1902" s="616">
        <f t="shared" si="1420"/>
        <v>3661843370.5344357</v>
      </c>
      <c r="Q1902" s="472">
        <f t="shared" si="1421"/>
        <v>5240290364.5344353</v>
      </c>
      <c r="R1902" s="472">
        <f t="shared" si="1422"/>
        <v>104805807.29068871</v>
      </c>
      <c r="S1902" s="759">
        <f t="shared" si="1413"/>
        <v>2014</v>
      </c>
      <c r="T1902" s="470">
        <f t="shared" si="1426"/>
        <v>1</v>
      </c>
      <c r="U1902" s="612">
        <f t="shared" si="1414"/>
        <v>104805807.29068871</v>
      </c>
      <c r="V1902" s="464">
        <f t="shared" si="1415"/>
        <v>2014</v>
      </c>
      <c r="W1902" s="612">
        <f t="shared" si="1423"/>
        <v>5135484557.2437468</v>
      </c>
      <c r="X1902" s="561"/>
      <c r="Y1902" s="474"/>
      <c r="Z1902" s="449"/>
      <c r="AA1902" s="475" t="s">
        <v>4180</v>
      </c>
      <c r="AB1902" s="476"/>
      <c r="AC1902" s="476"/>
      <c r="AD1902" s="567">
        <f>G1910</f>
        <v>12008944039.724461</v>
      </c>
      <c r="AE1902" s="476"/>
      <c r="AF1902" s="568"/>
      <c r="AG1902" s="476"/>
      <c r="AH1902" s="476"/>
      <c r="AI1902" s="477"/>
      <c r="AJ1902" s="478"/>
      <c r="AK1902" s="479"/>
      <c r="AL1902" s="480"/>
      <c r="AM1902" s="474"/>
      <c r="AN1902" s="481"/>
      <c r="AO1902" s="474"/>
      <c r="AP1902" s="476"/>
      <c r="AQ1902" s="482"/>
      <c r="AR1902" s="478"/>
      <c r="AS1902" s="478"/>
      <c r="AT1902" s="476"/>
      <c r="AU1902" s="482"/>
      <c r="AV1902" s="478"/>
      <c r="AW1902" s="483"/>
      <c r="AX1902" s="476"/>
      <c r="AY1902" s="482"/>
      <c r="AZ1902" s="478"/>
      <c r="BA1902" s="484"/>
      <c r="BB1902" s="474"/>
      <c r="BC1902" s="485"/>
      <c r="BD1902" s="485"/>
      <c r="BG1902" s="487"/>
    </row>
    <row r="1903" spans="1:59" s="486" customFormat="1" ht="18" customHeight="1" x14ac:dyDescent="0.2">
      <c r="A1903" s="1368" t="str">
        <f t="shared" si="1416"/>
        <v>JEMBATAN SEI.TIU HILIR-MUARA PETAI2015</v>
      </c>
      <c r="B1903" s="1375">
        <v>4</v>
      </c>
      <c r="C1903" s="488" t="s">
        <v>1425</v>
      </c>
      <c r="D1903" s="489" t="s">
        <v>3824</v>
      </c>
      <c r="E1903" s="558"/>
      <c r="F1903" s="559">
        <v>2015</v>
      </c>
      <c r="G1903" s="619">
        <f>246942569+246942569</f>
        <v>493885138</v>
      </c>
      <c r="H1903" s="464">
        <f t="shared" si="1424"/>
        <v>49</v>
      </c>
      <c r="I1903" s="560"/>
      <c r="J1903" s="468">
        <f t="shared" si="1411"/>
        <v>2064</v>
      </c>
      <c r="K1903" s="490">
        <f t="shared" si="1417"/>
        <v>9.617108814072102E-2</v>
      </c>
      <c r="L1903" s="469">
        <f t="shared" si="1425"/>
        <v>5</v>
      </c>
      <c r="M1903" s="683">
        <f t="shared" si="1418"/>
        <v>1</v>
      </c>
      <c r="N1903" s="470">
        <f t="shared" si="1419"/>
        <v>50</v>
      </c>
      <c r="O1903" s="468">
        <f t="shared" si="1412"/>
        <v>2064</v>
      </c>
      <c r="P1903" s="616">
        <f t="shared" si="1420"/>
        <v>5135484557.2437468</v>
      </c>
      <c r="Q1903" s="472">
        <f t="shared" si="1421"/>
        <v>5629369695.2437468</v>
      </c>
      <c r="R1903" s="472">
        <f t="shared" si="1422"/>
        <v>112587393.90487494</v>
      </c>
      <c r="S1903" s="759">
        <f t="shared" si="1413"/>
        <v>2015</v>
      </c>
      <c r="T1903" s="470">
        <f t="shared" si="1426"/>
        <v>1</v>
      </c>
      <c r="U1903" s="612">
        <f t="shared" si="1414"/>
        <v>112587393.90487494</v>
      </c>
      <c r="V1903" s="464">
        <f t="shared" si="1415"/>
        <v>2015</v>
      </c>
      <c r="W1903" s="612">
        <f t="shared" si="1423"/>
        <v>5516782301.338872</v>
      </c>
      <c r="X1903" s="473"/>
      <c r="Y1903" s="478"/>
      <c r="Z1903" s="449"/>
      <c r="AA1903" s="475" t="s">
        <v>4181</v>
      </c>
      <c r="AB1903" s="491"/>
      <c r="AC1903" s="491"/>
      <c r="AD1903" s="567">
        <f>U1910</f>
        <v>1370819136.6162977</v>
      </c>
      <c r="AE1903" s="491"/>
      <c r="AF1903" s="568"/>
      <c r="AG1903" s="491"/>
      <c r="AH1903" s="491"/>
      <c r="AI1903" s="477"/>
      <c r="AJ1903" s="478"/>
      <c r="AK1903" s="479"/>
      <c r="AL1903" s="480"/>
      <c r="AM1903" s="474"/>
      <c r="AN1903" s="481"/>
      <c r="AO1903" s="474"/>
      <c r="AP1903" s="476"/>
      <c r="AQ1903" s="482"/>
      <c r="AR1903" s="478"/>
      <c r="AS1903" s="478"/>
      <c r="AT1903" s="476"/>
      <c r="AU1903" s="482"/>
      <c r="AV1903" s="478"/>
      <c r="AW1903" s="483"/>
      <c r="AX1903" s="476"/>
      <c r="AY1903" s="482"/>
      <c r="AZ1903" s="478"/>
      <c r="BA1903" s="484"/>
      <c r="BB1903" s="474"/>
      <c r="BC1903" s="485"/>
      <c r="BD1903" s="485"/>
      <c r="BG1903" s="487"/>
    </row>
    <row r="1904" spans="1:59" s="486" customFormat="1" ht="18" customHeight="1" x14ac:dyDescent="0.2">
      <c r="A1904" s="1368" t="str">
        <f t="shared" si="1416"/>
        <v>JEMBATAN SEI.TIU HILIR-MUARA PETAI2015</v>
      </c>
      <c r="B1904" s="1375">
        <v>5</v>
      </c>
      <c r="C1904" s="488" t="s">
        <v>1650</v>
      </c>
      <c r="D1904" s="489" t="s">
        <v>3824</v>
      </c>
      <c r="E1904" s="558"/>
      <c r="F1904" s="559">
        <v>2015</v>
      </c>
      <c r="G1904" s="619">
        <v>0</v>
      </c>
      <c r="H1904" s="464">
        <f t="shared" si="1424"/>
        <v>50</v>
      </c>
      <c r="I1904" s="560"/>
      <c r="J1904" s="468">
        <f t="shared" si="1411"/>
        <v>2064</v>
      </c>
      <c r="K1904" s="490">
        <f t="shared" si="1417"/>
        <v>0</v>
      </c>
      <c r="L1904" s="469">
        <f t="shared" si="1425"/>
        <v>0</v>
      </c>
      <c r="M1904" s="683">
        <f t="shared" si="1418"/>
        <v>0</v>
      </c>
      <c r="N1904" s="470">
        <f t="shared" si="1419"/>
        <v>50</v>
      </c>
      <c r="O1904" s="468">
        <f t="shared" si="1412"/>
        <v>2064</v>
      </c>
      <c r="P1904" s="616">
        <f t="shared" si="1420"/>
        <v>5516782301.338872</v>
      </c>
      <c r="Q1904" s="472">
        <f t="shared" si="1421"/>
        <v>5516782301.338872</v>
      </c>
      <c r="R1904" s="472">
        <f t="shared" si="1422"/>
        <v>112587393.90487494</v>
      </c>
      <c r="S1904" s="759">
        <f t="shared" si="1413"/>
        <v>2015</v>
      </c>
      <c r="T1904" s="470">
        <f t="shared" si="1426"/>
        <v>0</v>
      </c>
      <c r="U1904" s="612">
        <f t="shared" si="1414"/>
        <v>0</v>
      </c>
      <c r="V1904" s="464">
        <f t="shared" si="1415"/>
        <v>2015</v>
      </c>
      <c r="W1904" s="612">
        <f t="shared" si="1423"/>
        <v>5516782301.338872</v>
      </c>
      <c r="X1904" s="473"/>
      <c r="Y1904" s="478"/>
      <c r="Z1904" s="449"/>
      <c r="AA1904" s="492" t="s">
        <v>4182</v>
      </c>
      <c r="AB1904" s="476"/>
      <c r="AC1904" s="476"/>
      <c r="AD1904" s="567">
        <f>AD1902-AD1903</f>
        <v>10638124903.108162</v>
      </c>
      <c r="AE1904" s="476"/>
      <c r="AF1904" s="568"/>
      <c r="AG1904" s="476"/>
      <c r="AH1904" s="476"/>
      <c r="AI1904" s="477"/>
      <c r="AJ1904" s="478"/>
      <c r="AK1904" s="479"/>
      <c r="AL1904" s="480"/>
      <c r="AM1904" s="474"/>
      <c r="AN1904" s="481"/>
      <c r="AO1904" s="474"/>
      <c r="AP1904" s="476"/>
      <c r="AQ1904" s="482"/>
      <c r="AR1904" s="478"/>
      <c r="AS1904" s="478"/>
      <c r="AT1904" s="476"/>
      <c r="AU1904" s="482"/>
      <c r="AV1904" s="478"/>
      <c r="AW1904" s="483"/>
      <c r="AX1904" s="476"/>
      <c r="AY1904" s="482"/>
      <c r="AZ1904" s="478"/>
      <c r="BA1904" s="484"/>
      <c r="BB1904" s="474"/>
      <c r="BC1904" s="485"/>
      <c r="BD1904" s="485"/>
      <c r="BG1904" s="487"/>
    </row>
    <row r="1905" spans="1:59" s="486" customFormat="1" ht="18" customHeight="1" x14ac:dyDescent="0.2">
      <c r="A1905" s="1368" t="str">
        <f t="shared" si="1416"/>
        <v>JEMBATAN SEI.TIU HILIR-MUARA PETAI2016</v>
      </c>
      <c r="B1905" s="1375">
        <v>6</v>
      </c>
      <c r="C1905" s="488" t="s">
        <v>1458</v>
      </c>
      <c r="D1905" s="489" t="s">
        <v>3824</v>
      </c>
      <c r="E1905" s="558"/>
      <c r="F1905" s="466">
        <v>2016</v>
      </c>
      <c r="G1905" s="619">
        <v>6046396941.1700001</v>
      </c>
      <c r="H1905" s="464">
        <f t="shared" si="1424"/>
        <v>49</v>
      </c>
      <c r="I1905" s="560"/>
      <c r="J1905" s="468">
        <f t="shared" si="1411"/>
        <v>2065</v>
      </c>
      <c r="K1905" s="490">
        <f t="shared" si="1417"/>
        <v>1.0960006414794718</v>
      </c>
      <c r="L1905" s="469">
        <f t="shared" si="1425"/>
        <v>15</v>
      </c>
      <c r="M1905" s="683">
        <f t="shared" si="1418"/>
        <v>1</v>
      </c>
      <c r="N1905" s="470">
        <f t="shared" si="1419"/>
        <v>50</v>
      </c>
      <c r="O1905" s="468">
        <f t="shared" si="1412"/>
        <v>2065</v>
      </c>
      <c r="P1905" s="616">
        <f t="shared" si="1420"/>
        <v>5516782301.338872</v>
      </c>
      <c r="Q1905" s="472">
        <f t="shared" si="1421"/>
        <v>11563179242.508873</v>
      </c>
      <c r="R1905" s="472">
        <f t="shared" si="1422"/>
        <v>231263584.85017747</v>
      </c>
      <c r="S1905" s="759">
        <f t="shared" si="1413"/>
        <v>2016</v>
      </c>
      <c r="T1905" s="470">
        <f t="shared" si="1426"/>
        <v>1</v>
      </c>
      <c r="U1905" s="612">
        <f t="shared" si="1414"/>
        <v>231263584.85017747</v>
      </c>
      <c r="V1905" s="464">
        <f t="shared" si="1415"/>
        <v>2016</v>
      </c>
      <c r="W1905" s="612">
        <f t="shared" si="1423"/>
        <v>11331915657.658695</v>
      </c>
      <c r="X1905" s="473"/>
      <c r="Y1905" s="478"/>
      <c r="Z1905" s="449"/>
      <c r="AA1905" s="531" t="s">
        <v>4183</v>
      </c>
      <c r="AB1905" s="496"/>
      <c r="AC1905" s="496"/>
      <c r="AD1905" s="569">
        <f>AD1904-W1910</f>
        <v>0</v>
      </c>
      <c r="AE1905" s="476"/>
      <c r="AF1905" s="568"/>
      <c r="AG1905" s="476"/>
      <c r="AH1905" s="476"/>
      <c r="AI1905" s="477"/>
      <c r="AJ1905" s="478"/>
      <c r="AK1905" s="479"/>
      <c r="AL1905" s="480"/>
      <c r="AM1905" s="474"/>
      <c r="AN1905" s="481"/>
      <c r="AO1905" s="474"/>
      <c r="AP1905" s="476"/>
      <c r="AQ1905" s="482"/>
      <c r="AR1905" s="478"/>
      <c r="AS1905" s="478"/>
      <c r="AT1905" s="476"/>
      <c r="AU1905" s="482"/>
      <c r="AV1905" s="478"/>
      <c r="AW1905" s="483"/>
      <c r="AX1905" s="476"/>
      <c r="AY1905" s="482"/>
      <c r="AZ1905" s="478"/>
      <c r="BA1905" s="484"/>
      <c r="BB1905" s="474"/>
      <c r="BC1905" s="485"/>
      <c r="BD1905" s="485"/>
      <c r="BG1905" s="487"/>
    </row>
    <row r="1906" spans="1:59" s="486" customFormat="1" ht="18" customHeight="1" x14ac:dyDescent="0.2">
      <c r="A1906" s="1368" t="str">
        <f t="shared" si="1416"/>
        <v>JEMBATAN SEI.TIU HILIR-MUARA PETAI2017</v>
      </c>
      <c r="B1906" s="687"/>
      <c r="C1906" s="488"/>
      <c r="D1906" s="489"/>
      <c r="E1906" s="558"/>
      <c r="F1906" s="466">
        <v>2017</v>
      </c>
      <c r="G1906" s="619">
        <v>0</v>
      </c>
      <c r="H1906" s="464">
        <f t="shared" si="1424"/>
        <v>49</v>
      </c>
      <c r="I1906" s="560"/>
      <c r="J1906" s="468">
        <f t="shared" si="1411"/>
        <v>2065</v>
      </c>
      <c r="K1906" s="490">
        <f t="shared" si="1417"/>
        <v>0</v>
      </c>
      <c r="L1906" s="469">
        <f t="shared" si="1425"/>
        <v>0</v>
      </c>
      <c r="M1906" s="683">
        <f t="shared" si="1418"/>
        <v>0</v>
      </c>
      <c r="N1906" s="470">
        <f t="shared" si="1419"/>
        <v>49</v>
      </c>
      <c r="O1906" s="468">
        <f t="shared" si="1412"/>
        <v>2065</v>
      </c>
      <c r="P1906" s="616">
        <f t="shared" si="1420"/>
        <v>11331915657.658695</v>
      </c>
      <c r="Q1906" s="472">
        <f t="shared" si="1421"/>
        <v>11331915657.658695</v>
      </c>
      <c r="R1906" s="472">
        <f t="shared" si="1422"/>
        <v>231263584.85017747</v>
      </c>
      <c r="S1906" s="759">
        <f t="shared" si="1413"/>
        <v>2017</v>
      </c>
      <c r="T1906" s="470">
        <f t="shared" si="1426"/>
        <v>1</v>
      </c>
      <c r="U1906" s="612">
        <f t="shared" si="1414"/>
        <v>231263584.85017747</v>
      </c>
      <c r="V1906" s="464">
        <f t="shared" si="1415"/>
        <v>2017</v>
      </c>
      <c r="W1906" s="612">
        <f t="shared" si="1423"/>
        <v>11100652072.808517</v>
      </c>
      <c r="X1906" s="473"/>
      <c r="Y1906" s="478"/>
      <c r="Z1906" s="449"/>
      <c r="AA1906" s="573"/>
      <c r="AB1906" s="476"/>
      <c r="AC1906" s="476"/>
      <c r="AD1906" s="568"/>
      <c r="AE1906" s="476"/>
      <c r="AF1906" s="568"/>
      <c r="AG1906" s="476"/>
      <c r="AH1906" s="476"/>
      <c r="AI1906" s="477"/>
      <c r="AJ1906" s="478"/>
      <c r="AK1906" s="479"/>
      <c r="AL1906" s="480"/>
      <c r="AM1906" s="474"/>
      <c r="AN1906" s="481"/>
      <c r="AO1906" s="474"/>
      <c r="AP1906" s="476"/>
      <c r="AQ1906" s="482"/>
      <c r="AR1906" s="478"/>
      <c r="AS1906" s="478"/>
      <c r="AT1906" s="476"/>
      <c r="AU1906" s="482"/>
      <c r="AV1906" s="478"/>
      <c r="AW1906" s="483"/>
      <c r="AX1906" s="476"/>
      <c r="AY1906" s="482"/>
      <c r="AZ1906" s="478"/>
      <c r="BA1906" s="484"/>
      <c r="BB1906" s="474"/>
      <c r="BC1906" s="485"/>
      <c r="BD1906" s="485"/>
      <c r="BG1906" s="487"/>
    </row>
    <row r="1907" spans="1:59" s="486" customFormat="1" ht="18" customHeight="1" x14ac:dyDescent="0.2">
      <c r="A1907" s="1368" t="str">
        <f t="shared" si="1416"/>
        <v>JEMBATAN SEI.TIU HILIR-MUARA PETAI2018</v>
      </c>
      <c r="B1907" s="687"/>
      <c r="C1907" s="488"/>
      <c r="D1907" s="489"/>
      <c r="E1907" s="558"/>
      <c r="F1907" s="466">
        <v>2018</v>
      </c>
      <c r="G1907" s="619">
        <v>0</v>
      </c>
      <c r="H1907" s="464">
        <f t="shared" si="1424"/>
        <v>48</v>
      </c>
      <c r="I1907" s="560"/>
      <c r="J1907" s="468">
        <f t="shared" si="1411"/>
        <v>2065</v>
      </c>
      <c r="K1907" s="490">
        <f t="shared" si="1417"/>
        <v>0</v>
      </c>
      <c r="L1907" s="469">
        <f t="shared" si="1425"/>
        <v>0</v>
      </c>
      <c r="M1907" s="683">
        <f t="shared" si="1418"/>
        <v>0</v>
      </c>
      <c r="N1907" s="470">
        <f t="shared" si="1419"/>
        <v>48</v>
      </c>
      <c r="O1907" s="468">
        <f t="shared" si="1412"/>
        <v>2065</v>
      </c>
      <c r="P1907" s="616">
        <f t="shared" si="1420"/>
        <v>11100652072.808517</v>
      </c>
      <c r="Q1907" s="472">
        <f t="shared" si="1421"/>
        <v>11100652072.808517</v>
      </c>
      <c r="R1907" s="472">
        <f t="shared" si="1422"/>
        <v>231263584.85017747</v>
      </c>
      <c r="S1907" s="759">
        <f t="shared" si="1413"/>
        <v>2018</v>
      </c>
      <c r="T1907" s="470">
        <f t="shared" si="1426"/>
        <v>1</v>
      </c>
      <c r="U1907" s="612">
        <f t="shared" si="1414"/>
        <v>231263584.85017747</v>
      </c>
      <c r="V1907" s="464">
        <f t="shared" si="1415"/>
        <v>2018</v>
      </c>
      <c r="W1907" s="612">
        <f t="shared" si="1423"/>
        <v>10869388487.95834</v>
      </c>
      <c r="X1907" s="473"/>
      <c r="Y1907" s="478"/>
      <c r="Z1907" s="449"/>
      <c r="AA1907" s="573"/>
      <c r="AB1907" s="476"/>
      <c r="AC1907" s="476"/>
      <c r="AD1907" s="568"/>
      <c r="AE1907" s="476"/>
      <c r="AF1907" s="568"/>
      <c r="AG1907" s="476"/>
      <c r="AH1907" s="476"/>
      <c r="AI1907" s="477"/>
      <c r="AJ1907" s="478"/>
      <c r="AK1907" s="479"/>
      <c r="AL1907" s="480"/>
      <c r="AM1907" s="474"/>
      <c r="AN1907" s="481"/>
      <c r="AO1907" s="474"/>
      <c r="AP1907" s="476"/>
      <c r="AQ1907" s="482"/>
      <c r="AR1907" s="478"/>
      <c r="AS1907" s="478"/>
      <c r="AT1907" s="476"/>
      <c r="AU1907" s="482"/>
      <c r="AV1907" s="478"/>
      <c r="AW1907" s="483"/>
      <c r="AX1907" s="476"/>
      <c r="AY1907" s="482"/>
      <c r="AZ1907" s="478"/>
      <c r="BA1907" s="484"/>
      <c r="BB1907" s="474"/>
      <c r="BC1907" s="485"/>
      <c r="BD1907" s="485"/>
      <c r="BG1907" s="487"/>
    </row>
    <row r="1908" spans="1:59" s="486" customFormat="1" ht="18" customHeight="1" x14ac:dyDescent="0.2">
      <c r="A1908" s="1368" t="str">
        <f t="shared" si="1416"/>
        <v>JEMBATAN SEI.TIU HILIR-MUARA PETAI2019</v>
      </c>
      <c r="B1908" s="687"/>
      <c r="C1908" s="488"/>
      <c r="D1908" s="489"/>
      <c r="E1908" s="558"/>
      <c r="F1908" s="466">
        <v>2019</v>
      </c>
      <c r="G1908" s="619">
        <v>0</v>
      </c>
      <c r="H1908" s="464">
        <f>IF(N1907-(F1908-F1907)&lt;=0,0,(N1907-(F1908-F1907)))</f>
        <v>47</v>
      </c>
      <c r="I1908" s="560"/>
      <c r="J1908" s="468">
        <f t="shared" si="1411"/>
        <v>2065</v>
      </c>
      <c r="K1908" s="490">
        <f t="shared" si="1417"/>
        <v>0</v>
      </c>
      <c r="L1908" s="469">
        <f>IF(K1908=0%,0,IF(K1908&lt;=30%,5,IF(K1908&lt;=45%,10,15)))</f>
        <v>0</v>
      </c>
      <c r="M1908" s="683">
        <f t="shared" si="1418"/>
        <v>0</v>
      </c>
      <c r="N1908" s="470">
        <f t="shared" si="1419"/>
        <v>47</v>
      </c>
      <c r="O1908" s="468">
        <f t="shared" si="1412"/>
        <v>2065</v>
      </c>
      <c r="P1908" s="616">
        <f t="shared" si="1420"/>
        <v>10869388487.95834</v>
      </c>
      <c r="Q1908" s="472">
        <f t="shared" si="1421"/>
        <v>10869388487.95834</v>
      </c>
      <c r="R1908" s="472">
        <f t="shared" si="1422"/>
        <v>231263584.85017747</v>
      </c>
      <c r="S1908" s="1189">
        <f t="shared" si="1413"/>
        <v>2019</v>
      </c>
      <c r="T1908" s="470">
        <f>S1908-S1907</f>
        <v>1</v>
      </c>
      <c r="U1908" s="612">
        <f t="shared" si="1414"/>
        <v>231263584.85017747</v>
      </c>
      <c r="V1908" s="464">
        <f t="shared" si="1415"/>
        <v>2019</v>
      </c>
      <c r="W1908" s="612">
        <f t="shared" si="1423"/>
        <v>10638124903.108162</v>
      </c>
      <c r="X1908" s="473"/>
      <c r="Y1908" s="478"/>
      <c r="Z1908" s="449"/>
      <c r="AA1908" s="573"/>
      <c r="AB1908" s="476"/>
      <c r="AC1908" s="476"/>
      <c r="AD1908" s="568"/>
      <c r="AE1908" s="476"/>
      <c r="AF1908" s="568"/>
      <c r="AG1908" s="476"/>
      <c r="AH1908" s="476"/>
      <c r="AI1908" s="477"/>
      <c r="AJ1908" s="478"/>
      <c r="AK1908" s="479"/>
      <c r="AL1908" s="480"/>
      <c r="AM1908" s="474"/>
      <c r="AN1908" s="481"/>
      <c r="AO1908" s="474"/>
      <c r="AP1908" s="476"/>
      <c r="AQ1908" s="482"/>
      <c r="AR1908" s="478"/>
      <c r="AS1908" s="478"/>
      <c r="AT1908" s="476"/>
      <c r="AU1908" s="482"/>
      <c r="AV1908" s="478"/>
      <c r="AW1908" s="483"/>
      <c r="AX1908" s="476"/>
      <c r="AY1908" s="482"/>
      <c r="AZ1908" s="478"/>
      <c r="BA1908" s="484"/>
      <c r="BB1908" s="474"/>
      <c r="BC1908" s="485"/>
      <c r="BD1908" s="485"/>
      <c r="BG1908" s="487"/>
    </row>
    <row r="1909" spans="1:59" s="486" customFormat="1" ht="18" customHeight="1" x14ac:dyDescent="0.2">
      <c r="A1909" s="1368" t="str">
        <f>LEFT(D1909,8)</f>
        <v/>
      </c>
      <c r="B1909" s="687"/>
      <c r="C1909" s="463"/>
      <c r="D1909" s="489"/>
      <c r="E1909" s="465"/>
      <c r="F1909" s="466"/>
      <c r="G1909" s="620"/>
      <c r="H1909" s="464"/>
      <c r="I1909" s="467"/>
      <c r="J1909" s="468"/>
      <c r="K1909" s="574"/>
      <c r="L1909" s="469"/>
      <c r="M1909" s="683"/>
      <c r="N1909" s="470"/>
      <c r="O1909" s="468"/>
      <c r="P1909" s="616"/>
      <c r="Q1909" s="472"/>
      <c r="R1909" s="472"/>
      <c r="S1909" s="634"/>
      <c r="T1909" s="470"/>
      <c r="U1909" s="612"/>
      <c r="V1909" s="464"/>
      <c r="W1909" s="612"/>
      <c r="X1909" s="473"/>
      <c r="Y1909" s="478"/>
      <c r="Z1909" s="449"/>
      <c r="AA1909" s="573"/>
      <c r="AB1909" s="476"/>
      <c r="AC1909" s="476"/>
      <c r="AD1909" s="568"/>
      <c r="AE1909" s="476"/>
      <c r="AF1909" s="568"/>
      <c r="AG1909" s="476"/>
      <c r="AH1909" s="476"/>
      <c r="AI1909" s="477"/>
      <c r="AJ1909" s="478"/>
      <c r="AK1909" s="479"/>
      <c r="AL1909" s="480"/>
      <c r="AM1909" s="474"/>
      <c r="AN1909" s="481"/>
      <c r="AO1909" s="474"/>
      <c r="AP1909" s="476"/>
      <c r="AQ1909" s="482"/>
      <c r="AR1909" s="478"/>
      <c r="AS1909" s="478"/>
      <c r="AT1909" s="476"/>
      <c r="AU1909" s="482"/>
      <c r="AV1909" s="478"/>
      <c r="AW1909" s="483"/>
      <c r="AX1909" s="476"/>
      <c r="AY1909" s="482"/>
      <c r="AZ1909" s="478"/>
      <c r="BA1909" s="484"/>
      <c r="BB1909" s="474"/>
      <c r="BC1909" s="485"/>
      <c r="BD1909" s="485"/>
      <c r="BG1909" s="487"/>
    </row>
    <row r="1910" spans="1:59" s="526" customFormat="1" ht="18" customHeight="1" x14ac:dyDescent="0.2">
      <c r="A1910" s="1370" t="s">
        <v>4184</v>
      </c>
      <c r="B1910" s="1956" t="s">
        <v>4184</v>
      </c>
      <c r="C1910" s="1957"/>
      <c r="D1910" s="1957"/>
      <c r="E1910" s="1957"/>
      <c r="F1910" s="1958"/>
      <c r="G1910" s="624">
        <f>SUM(G1899:G1909)</f>
        <v>12008944039.724461</v>
      </c>
      <c r="H1910" s="505"/>
      <c r="I1910" s="506"/>
      <c r="J1910" s="507"/>
      <c r="K1910" s="507"/>
      <c r="L1910" s="505"/>
      <c r="M1910" s="684"/>
      <c r="N1910" s="508"/>
      <c r="O1910" s="507"/>
      <c r="P1910" s="749"/>
      <c r="Q1910" s="510"/>
      <c r="R1910" s="511"/>
      <c r="S1910" s="512"/>
      <c r="T1910" s="512"/>
      <c r="U1910" s="610">
        <f>SUM(U1899:U1909)</f>
        <v>1370819136.6162977</v>
      </c>
      <c r="V1910" s="513"/>
      <c r="W1910" s="610">
        <f>G1910-U1910</f>
        <v>10638124903.108162</v>
      </c>
      <c r="X1910" s="514"/>
      <c r="Y1910" s="515"/>
      <c r="Z1910" s="515"/>
      <c r="AA1910" s="515"/>
      <c r="AB1910" s="515"/>
      <c r="AC1910" s="515"/>
      <c r="AD1910" s="570"/>
      <c r="AE1910" s="515"/>
      <c r="AF1910" s="570">
        <v>1140444109.0441198</v>
      </c>
      <c r="AG1910" s="515"/>
      <c r="AH1910" s="515"/>
      <c r="AI1910" s="516"/>
      <c r="AJ1910" s="517"/>
      <c r="AK1910" s="518"/>
      <c r="AL1910" s="519"/>
      <c r="AM1910" s="520"/>
      <c r="AN1910" s="521"/>
      <c r="AO1910" s="520"/>
      <c r="AP1910" s="515"/>
      <c r="AQ1910" s="522"/>
      <c r="AR1910" s="517"/>
      <c r="AS1910" s="517"/>
      <c r="AT1910" s="515"/>
      <c r="AU1910" s="522"/>
      <c r="AV1910" s="517"/>
      <c r="AW1910" s="523"/>
      <c r="AX1910" s="515"/>
      <c r="AY1910" s="522"/>
      <c r="AZ1910" s="517"/>
      <c r="BA1910" s="524"/>
      <c r="BB1910" s="520"/>
      <c r="BC1910" s="525"/>
      <c r="BD1910" s="525"/>
      <c r="BG1910" s="527"/>
    </row>
    <row r="1913" spans="1:59" s="422" customFormat="1" ht="18" customHeight="1" x14ac:dyDescent="0.2">
      <c r="A1913" s="1366" t="str">
        <f>C1913</f>
        <v>J2</v>
      </c>
      <c r="B1913" s="742" t="s">
        <v>4187</v>
      </c>
      <c r="C1913" s="556" t="s">
        <v>4135</v>
      </c>
      <c r="D1913" s="553" t="s">
        <v>5728</v>
      </c>
      <c r="E1913" s="553"/>
      <c r="F1913" s="421"/>
      <c r="G1913" s="611"/>
      <c r="I1913" s="423"/>
      <c r="J1913" s="424"/>
      <c r="K1913" s="424"/>
      <c r="M1913" s="680"/>
      <c r="P1913" s="611"/>
      <c r="U1913" s="611"/>
      <c r="W1913" s="611"/>
      <c r="Y1913" s="425"/>
      <c r="Z1913" s="425"/>
      <c r="AA1913" s="425"/>
      <c r="AB1913" s="425"/>
      <c r="AC1913" s="425"/>
      <c r="AD1913" s="563"/>
      <c r="AE1913" s="425"/>
      <c r="AF1913" s="563"/>
      <c r="AG1913" s="425"/>
      <c r="AH1913" s="425"/>
      <c r="AI1913" s="425"/>
      <c r="AJ1913" s="425"/>
      <c r="AK1913" s="425"/>
      <c r="AL1913" s="425"/>
      <c r="AM1913" s="425"/>
      <c r="AN1913" s="425"/>
      <c r="AO1913" s="425"/>
      <c r="AP1913" s="425"/>
      <c r="AQ1913" s="425"/>
      <c r="AR1913" s="425"/>
      <c r="AS1913" s="425"/>
      <c r="AT1913" s="425"/>
      <c r="AU1913" s="425"/>
      <c r="AV1913" s="425"/>
      <c r="AW1913" s="425"/>
      <c r="AX1913" s="425"/>
      <c r="AY1913" s="425"/>
      <c r="AZ1913" s="425"/>
      <c r="BA1913" s="425"/>
      <c r="BB1913" s="425"/>
    </row>
    <row r="1914" spans="1:59" s="431" customFormat="1" ht="18" customHeight="1" x14ac:dyDescent="0.2">
      <c r="A1914" s="1367"/>
      <c r="B1914" s="1968" t="s">
        <v>5</v>
      </c>
      <c r="C1914" s="1968" t="s">
        <v>2280</v>
      </c>
      <c r="D1914" s="1968" t="s">
        <v>4157</v>
      </c>
      <c r="E1914" s="1968" t="s">
        <v>4158</v>
      </c>
      <c r="F1914" s="1968"/>
      <c r="G1914" s="2042" t="s">
        <v>4159</v>
      </c>
      <c r="H1914" s="1968" t="s">
        <v>4160</v>
      </c>
      <c r="I1914" s="1968"/>
      <c r="J1914" s="1968" t="s">
        <v>4185</v>
      </c>
      <c r="K1914" s="1964" t="s">
        <v>4162</v>
      </c>
      <c r="L1914" s="1968" t="s">
        <v>4163</v>
      </c>
      <c r="M1914" s="1971" t="s">
        <v>4164</v>
      </c>
      <c r="N1914" s="1962" t="s">
        <v>4165</v>
      </c>
      <c r="O1914" s="1968" t="s">
        <v>4166</v>
      </c>
      <c r="P1914" s="1972" t="s">
        <v>4167</v>
      </c>
      <c r="Q1914" s="1973"/>
      <c r="R1914" s="636" t="s">
        <v>4186</v>
      </c>
      <c r="S1914" s="1972" t="s">
        <v>4169</v>
      </c>
      <c r="T1914" s="1974"/>
      <c r="U1914" s="1973"/>
      <c r="V1914" s="1975" t="s">
        <v>4170</v>
      </c>
      <c r="W1914" s="1975"/>
      <c r="X1914" s="1960" t="s">
        <v>4171</v>
      </c>
      <c r="Y1914" s="1959"/>
      <c r="Z1914" s="633"/>
      <c r="AA1914" s="426"/>
      <c r="AB1914" s="426"/>
      <c r="AC1914" s="426"/>
      <c r="AD1914" s="564"/>
      <c r="AE1914" s="426"/>
      <c r="AF1914" s="564"/>
      <c r="AG1914" s="426"/>
      <c r="AH1914" s="426"/>
      <c r="AI1914" s="427"/>
      <c r="AJ1914" s="427"/>
      <c r="AK1914" s="427"/>
      <c r="AL1914" s="427"/>
      <c r="AM1914" s="428"/>
      <c r="AN1914" s="427"/>
      <c r="AO1914" s="427"/>
      <c r="AP1914" s="426"/>
      <c r="AQ1914" s="427"/>
      <c r="AR1914" s="427"/>
      <c r="AS1914" s="427"/>
      <c r="AT1914" s="426"/>
      <c r="AU1914" s="427"/>
      <c r="AV1914" s="427"/>
      <c r="AW1914" s="427"/>
      <c r="AX1914" s="426"/>
      <c r="AY1914" s="427"/>
      <c r="AZ1914" s="427"/>
      <c r="BA1914" s="427"/>
      <c r="BB1914" s="429"/>
      <c r="BC1914" s="430"/>
      <c r="BD1914" s="430"/>
    </row>
    <row r="1915" spans="1:59" s="431" customFormat="1" ht="18" customHeight="1" x14ac:dyDescent="0.2">
      <c r="A1915" s="1367"/>
      <c r="B1915" s="1968"/>
      <c r="C1915" s="1968"/>
      <c r="D1915" s="1968"/>
      <c r="E1915" s="1968"/>
      <c r="F1915" s="1968"/>
      <c r="G1915" s="2042"/>
      <c r="H1915" s="1968"/>
      <c r="I1915" s="1968"/>
      <c r="J1915" s="1968"/>
      <c r="K1915" s="1970"/>
      <c r="L1915" s="1968"/>
      <c r="M1915" s="1971"/>
      <c r="N1915" s="1963"/>
      <c r="O1915" s="1968"/>
      <c r="P1915" s="2037" t="s">
        <v>4172</v>
      </c>
      <c r="Q1915" s="1960" t="s">
        <v>4173</v>
      </c>
      <c r="R1915" s="1962" t="s">
        <v>4159</v>
      </c>
      <c r="S1915" s="1962" t="s">
        <v>4174</v>
      </c>
      <c r="T1915" s="1964" t="s">
        <v>4175</v>
      </c>
      <c r="U1915" s="1966" t="s">
        <v>4159</v>
      </c>
      <c r="V1915" s="1975"/>
      <c r="W1915" s="1975"/>
      <c r="X1915" s="1976"/>
      <c r="Y1915" s="1959"/>
      <c r="Z1915" s="633"/>
      <c r="AA1915" s="426"/>
      <c r="AB1915" s="426"/>
      <c r="AC1915" s="426"/>
      <c r="AD1915" s="564"/>
      <c r="AE1915" s="426"/>
      <c r="AF1915" s="564"/>
      <c r="AG1915" s="426"/>
      <c r="AH1915" s="426"/>
      <c r="AI1915" s="427"/>
      <c r="AJ1915" s="427"/>
      <c r="AK1915" s="426"/>
      <c r="AL1915" s="427"/>
      <c r="AM1915" s="428"/>
      <c r="AN1915" s="427"/>
      <c r="AO1915" s="427"/>
      <c r="AP1915" s="432"/>
      <c r="AQ1915" s="427"/>
      <c r="AR1915" s="427"/>
      <c r="AS1915" s="427"/>
      <c r="AT1915" s="432"/>
      <c r="AU1915" s="427"/>
      <c r="AV1915" s="427"/>
      <c r="AW1915" s="427"/>
      <c r="AX1915" s="432"/>
      <c r="AY1915" s="427"/>
      <c r="AZ1915" s="427"/>
      <c r="BA1915" s="427"/>
      <c r="BB1915" s="429"/>
      <c r="BC1915" s="430"/>
      <c r="BD1915" s="430"/>
    </row>
    <row r="1916" spans="1:59" s="431" customFormat="1" ht="18" customHeight="1" x14ac:dyDescent="0.2">
      <c r="A1916" s="1367"/>
      <c r="B1916" s="1968"/>
      <c r="C1916" s="1968"/>
      <c r="D1916" s="1968"/>
      <c r="E1916" s="433" t="s">
        <v>4176</v>
      </c>
      <c r="F1916" s="434" t="s">
        <v>2288</v>
      </c>
      <c r="G1916" s="2042"/>
      <c r="H1916" s="635" t="s">
        <v>2288</v>
      </c>
      <c r="I1916" s="635" t="s">
        <v>4177</v>
      </c>
      <c r="J1916" s="1968"/>
      <c r="K1916" s="1965"/>
      <c r="L1916" s="435" t="s">
        <v>2288</v>
      </c>
      <c r="M1916" s="681" t="s">
        <v>2288</v>
      </c>
      <c r="N1916" s="635" t="s">
        <v>2288</v>
      </c>
      <c r="O1916" s="1968"/>
      <c r="P1916" s="2038"/>
      <c r="Q1916" s="1961"/>
      <c r="R1916" s="1963"/>
      <c r="S1916" s="1963"/>
      <c r="T1916" s="1965"/>
      <c r="U1916" s="1967"/>
      <c r="V1916" s="635" t="s">
        <v>4178</v>
      </c>
      <c r="W1916" s="637" t="s">
        <v>4159</v>
      </c>
      <c r="X1916" s="1961"/>
      <c r="Y1916" s="436"/>
      <c r="Z1916" s="436"/>
      <c r="AA1916" s="426"/>
      <c r="AB1916" s="426"/>
      <c r="AC1916" s="426"/>
      <c r="AD1916" s="564"/>
      <c r="AE1916" s="426"/>
      <c r="AF1916" s="564"/>
      <c r="AG1916" s="426"/>
      <c r="AH1916" s="426"/>
      <c r="AI1916" s="427"/>
      <c r="AJ1916" s="432"/>
      <c r="AK1916" s="432"/>
      <c r="AL1916" s="427"/>
      <c r="AM1916" s="428"/>
      <c r="AN1916" s="432"/>
      <c r="AO1916" s="427"/>
      <c r="AP1916" s="432"/>
      <c r="AQ1916" s="432"/>
      <c r="AR1916" s="427"/>
      <c r="AS1916" s="427"/>
      <c r="AT1916" s="432"/>
      <c r="AU1916" s="432"/>
      <c r="AV1916" s="427"/>
      <c r="AW1916" s="427"/>
      <c r="AX1916" s="432"/>
      <c r="AY1916" s="432"/>
      <c r="AZ1916" s="427"/>
      <c r="BA1916" s="427"/>
      <c r="BB1916" s="429"/>
      <c r="BC1916" s="430"/>
      <c r="BD1916" s="430"/>
    </row>
    <row r="1917" spans="1:59" s="461" customFormat="1" ht="18" customHeight="1" x14ac:dyDescent="0.2">
      <c r="A1917" s="1368" t="str">
        <f>$D$1913&amp;S1917</f>
        <v>JEMBATAN GANTUNG TELUK KUANTAN2008</v>
      </c>
      <c r="B1917" s="1373">
        <v>1</v>
      </c>
      <c r="C1917" s="532" t="s">
        <v>1209</v>
      </c>
      <c r="D1917" s="437" t="s">
        <v>3824</v>
      </c>
      <c r="E1917" s="438"/>
      <c r="F1917" s="439">
        <v>2008</v>
      </c>
      <c r="G1917" s="623">
        <v>1685204437</v>
      </c>
      <c r="H1917" s="440">
        <f>VLOOKUP(LEFT(D1917,8),UE,4)</f>
        <v>50</v>
      </c>
      <c r="I1917" s="441"/>
      <c r="J1917" s="442">
        <f>F1917+N1917-1</f>
        <v>2057</v>
      </c>
      <c r="K1917" s="443"/>
      <c r="L1917" s="440"/>
      <c r="M1917" s="746">
        <f>IF(H1917+L1917&gt;$H1917,$H1917-H1917,L1917)</f>
        <v>0</v>
      </c>
      <c r="N1917" s="444">
        <f>H1917+M1917</f>
        <v>50</v>
      </c>
      <c r="O1917" s="442">
        <f>F1917+N1917-1</f>
        <v>2057</v>
      </c>
      <c r="P1917" s="617">
        <f>G1917</f>
        <v>1685204437</v>
      </c>
      <c r="Q1917" s="445">
        <v>0</v>
      </c>
      <c r="R1917" s="445">
        <f>P1917/N1917</f>
        <v>33704088.740000002</v>
      </c>
      <c r="S1917" s="446">
        <f>F1917</f>
        <v>2008</v>
      </c>
      <c r="T1917" s="447">
        <v>1</v>
      </c>
      <c r="U1917" s="613">
        <f>R1917*T1917</f>
        <v>33704088.740000002</v>
      </c>
      <c r="V1917" s="442">
        <f>F1917</f>
        <v>2008</v>
      </c>
      <c r="W1917" s="617">
        <f>IF(OR(AND(ISBLANK(E1917),ISBLANK(G1917)),ISTEXT(E1917),ISTEXT(G1917)),"",G1917-R1917)</f>
        <v>1651500348.26</v>
      </c>
      <c r="X1917" s="448"/>
      <c r="Y1917" s="449"/>
      <c r="Z1917" s="449"/>
      <c r="AA1917" s="450" t="s">
        <v>4179</v>
      </c>
      <c r="AB1917" s="451"/>
      <c r="AC1917" s="451"/>
      <c r="AD1917" s="565"/>
      <c r="AE1917" s="452"/>
      <c r="AF1917" s="571"/>
      <c r="AG1917" s="452"/>
      <c r="AH1917" s="452"/>
      <c r="AI1917" s="453"/>
      <c r="AJ1917" s="449"/>
      <c r="AK1917" s="453"/>
      <c r="AL1917" s="454"/>
      <c r="AM1917" s="455"/>
      <c r="AN1917" s="456"/>
      <c r="AO1917" s="455"/>
      <c r="AP1917" s="452"/>
      <c r="AQ1917" s="457"/>
      <c r="AR1917" s="449"/>
      <c r="AS1917" s="449"/>
      <c r="AT1917" s="452"/>
      <c r="AU1917" s="457"/>
      <c r="AV1917" s="449"/>
      <c r="AW1917" s="458"/>
      <c r="AX1917" s="452"/>
      <c r="AY1917" s="457"/>
      <c r="AZ1917" s="449"/>
      <c r="BA1917" s="459"/>
      <c r="BB1917" s="455"/>
      <c r="BC1917" s="460"/>
      <c r="BD1917" s="460"/>
      <c r="BG1917" s="462"/>
    </row>
    <row r="1918" spans="1:59" s="461" customFormat="1" ht="18" customHeight="1" x14ac:dyDescent="0.2">
      <c r="A1918" s="1368" t="str">
        <f t="shared" ref="A1918:A1928" si="1427">$D$1913&amp;S1918</f>
        <v>JEMBATAN GANTUNG TELUK KUANTAN2009</v>
      </c>
      <c r="B1918" s="1373"/>
      <c r="C1918" s="488"/>
      <c r="D1918" s="489"/>
      <c r="E1918" s="558"/>
      <c r="F1918" s="559">
        <v>2009</v>
      </c>
      <c r="G1918" s="619">
        <v>0</v>
      </c>
      <c r="H1918" s="464">
        <f>IF(N1917-(F1918-F1917)&lt;=0,0,(N1917-(F1918-F1917)))</f>
        <v>49</v>
      </c>
      <c r="I1918" s="560"/>
      <c r="J1918" s="468">
        <f>F1918+N1918-1</f>
        <v>2057</v>
      </c>
      <c r="K1918" s="490">
        <f>IF(G1918=0,0,IF(H1918=50,100%,G1918/W1917))</f>
        <v>0</v>
      </c>
      <c r="L1918" s="469">
        <f>IF(K1918=0%,0,IF(K1918&lt;=30%,5,IF(K1918&lt;=45%,10,15)))</f>
        <v>0</v>
      </c>
      <c r="M1918" s="683">
        <f>IF(OR(AND(ISBLANK(E1918),ISBLANK(G1918)),ISTEXT(E1918),ISTEXT(G1918)),"",IF(H1918+L1918&gt;$H$1899,$H$1899-H1918,L1918))</f>
        <v>0</v>
      </c>
      <c r="N1918" s="470">
        <f>IF(OR(AND(ISBLANK(F1918),ISBLANK(G1918)),ISTEXT(F1918),ISTEXT(G1918)),"",H1918+M1918)</f>
        <v>49</v>
      </c>
      <c r="O1918" s="468">
        <f>F1918+N1918-1</f>
        <v>2057</v>
      </c>
      <c r="P1918" s="616">
        <f>W1917</f>
        <v>1651500348.26</v>
      </c>
      <c r="Q1918" s="472">
        <f>P1918+G1918</f>
        <v>1651500348.26</v>
      </c>
      <c r="R1918" s="472">
        <f>IF(L1918=0,R1917,Q1918/N1918)</f>
        <v>33704088.740000002</v>
      </c>
      <c r="S1918" s="759">
        <f>F1918</f>
        <v>2009</v>
      </c>
      <c r="T1918" s="470">
        <f>S1918-S1917</f>
        <v>1</v>
      </c>
      <c r="U1918" s="612">
        <f>R1918*T1918</f>
        <v>33704088.740000002</v>
      </c>
      <c r="V1918" s="464">
        <f>F1918</f>
        <v>2009</v>
      </c>
      <c r="W1918" s="612">
        <f>IF(OR(AND(ISBLANK(E1918),ISBLANK(G1918)),ISTEXT(E1918),ISTEXT(G1918)),"",Q1918-U1918)</f>
        <v>1617796259.52</v>
      </c>
      <c r="X1918" s="561"/>
      <c r="Y1918" s="449"/>
      <c r="Z1918" s="449"/>
      <c r="AA1918" s="554"/>
      <c r="AB1918" s="452"/>
      <c r="AC1918" s="452"/>
      <c r="AD1918" s="566"/>
      <c r="AE1918" s="452"/>
      <c r="AF1918" s="571"/>
      <c r="AG1918" s="452"/>
      <c r="AH1918" s="452"/>
      <c r="AI1918" s="453"/>
      <c r="AJ1918" s="449"/>
      <c r="AK1918" s="453"/>
      <c r="AL1918" s="454"/>
      <c r="AM1918" s="455"/>
      <c r="AN1918" s="456"/>
      <c r="AO1918" s="455"/>
      <c r="AP1918" s="452"/>
      <c r="AQ1918" s="457"/>
      <c r="AR1918" s="449"/>
      <c r="AS1918" s="449"/>
      <c r="AT1918" s="452"/>
      <c r="AU1918" s="457"/>
      <c r="AV1918" s="449"/>
      <c r="AW1918" s="458"/>
      <c r="AX1918" s="452"/>
      <c r="AY1918" s="457"/>
      <c r="AZ1918" s="449"/>
      <c r="BA1918" s="459"/>
      <c r="BB1918" s="455"/>
      <c r="BC1918" s="460"/>
      <c r="BD1918" s="460"/>
      <c r="BG1918" s="462"/>
    </row>
    <row r="1919" spans="1:59" s="461" customFormat="1" ht="18" customHeight="1" x14ac:dyDescent="0.2">
      <c r="A1919" s="1368" t="str">
        <f t="shared" si="1427"/>
        <v>JEMBATAN GANTUNG TELUK KUANTAN2010</v>
      </c>
      <c r="B1919" s="1375"/>
      <c r="C1919" s="488"/>
      <c r="D1919" s="489"/>
      <c r="E1919" s="558"/>
      <c r="F1919" s="559">
        <v>2010</v>
      </c>
      <c r="G1919" s="619">
        <v>0</v>
      </c>
      <c r="H1919" s="464">
        <f t="shared" ref="H1919:H1928" si="1428">IF(N1918-(F1919-F1918)&lt;=0,0,(N1918-(F1919-F1918)))</f>
        <v>48</v>
      </c>
      <c r="I1919" s="560"/>
      <c r="J1919" s="468">
        <f t="shared" ref="J1919:J1928" si="1429">F1919+N1919-1</f>
        <v>2057</v>
      </c>
      <c r="K1919" s="490">
        <f t="shared" ref="K1919:K1928" si="1430">IF(G1919=0,0,IF(H1919=50,100%,G1919/W1918))</f>
        <v>0</v>
      </c>
      <c r="L1919" s="469">
        <f t="shared" ref="L1919:L1928" si="1431">IF(K1919=0%,0,IF(K1919&lt;=30%,5,IF(K1919&lt;=45%,10,15)))</f>
        <v>0</v>
      </c>
      <c r="M1919" s="683">
        <f t="shared" ref="M1919:M1928" si="1432">IF(OR(AND(ISBLANK(E1919),ISBLANK(G1919)),ISTEXT(E1919),ISTEXT(G1919)),"",IF(H1919+L1919&gt;$H$1899,$H$1899-H1919,L1919))</f>
        <v>0</v>
      </c>
      <c r="N1919" s="470">
        <f t="shared" ref="N1919:N1928" si="1433">IF(OR(AND(ISBLANK(F1919),ISBLANK(G1919)),ISTEXT(F1919),ISTEXT(G1919)),"",H1919+M1919)</f>
        <v>48</v>
      </c>
      <c r="O1919" s="468">
        <f t="shared" ref="O1919:O1928" si="1434">F1919+N1919-1</f>
        <v>2057</v>
      </c>
      <c r="P1919" s="616">
        <f t="shared" ref="P1919:P1928" si="1435">W1918</f>
        <v>1617796259.52</v>
      </c>
      <c r="Q1919" s="472">
        <f t="shared" ref="Q1919:Q1928" si="1436">P1919+G1919</f>
        <v>1617796259.52</v>
      </c>
      <c r="R1919" s="472">
        <f t="shared" ref="R1919:R1928" si="1437">IF(L1919=0,R1918,Q1919/N1919)</f>
        <v>33704088.740000002</v>
      </c>
      <c r="S1919" s="1189">
        <f t="shared" ref="S1919:S1928" si="1438">F1919</f>
        <v>2010</v>
      </c>
      <c r="T1919" s="470">
        <f t="shared" ref="T1919:T1928" si="1439">S1919-S1918</f>
        <v>1</v>
      </c>
      <c r="U1919" s="612">
        <f t="shared" ref="U1919:U1928" si="1440">R1919*T1919</f>
        <v>33704088.740000002</v>
      </c>
      <c r="V1919" s="464">
        <f t="shared" ref="V1919:V1928" si="1441">F1919</f>
        <v>2010</v>
      </c>
      <c r="W1919" s="612">
        <f t="shared" ref="W1919:W1928" si="1442">IF(OR(AND(ISBLANK(E1919),ISBLANK(G1919)),ISTEXT(E1919),ISTEXT(G1919)),"",Q1919-U1919)</f>
        <v>1584092170.78</v>
      </c>
      <c r="X1919" s="561"/>
      <c r="Y1919" s="449"/>
      <c r="Z1919" s="449"/>
      <c r="AA1919" s="554"/>
      <c r="AB1919" s="452"/>
      <c r="AC1919" s="452"/>
      <c r="AD1919" s="566"/>
      <c r="AE1919" s="452"/>
      <c r="AF1919" s="571"/>
      <c r="AG1919" s="452"/>
      <c r="AH1919" s="452"/>
      <c r="AI1919" s="453"/>
      <c r="AJ1919" s="449"/>
      <c r="AK1919" s="453"/>
      <c r="AL1919" s="454"/>
      <c r="AM1919" s="455"/>
      <c r="AN1919" s="456"/>
      <c r="AO1919" s="455"/>
      <c r="AP1919" s="452"/>
      <c r="AQ1919" s="457"/>
      <c r="AR1919" s="449"/>
      <c r="AS1919" s="449"/>
      <c r="AT1919" s="452"/>
      <c r="AU1919" s="457"/>
      <c r="AV1919" s="449"/>
      <c r="AW1919" s="458"/>
      <c r="AX1919" s="452"/>
      <c r="AY1919" s="457"/>
      <c r="AZ1919" s="449"/>
      <c r="BA1919" s="459"/>
      <c r="BB1919" s="455"/>
      <c r="BC1919" s="460"/>
      <c r="BD1919" s="460"/>
      <c r="BG1919" s="462"/>
    </row>
    <row r="1920" spans="1:59" s="461" customFormat="1" ht="18" customHeight="1" x14ac:dyDescent="0.2">
      <c r="A1920" s="1368" t="str">
        <f t="shared" si="1427"/>
        <v>JEMBATAN GANTUNG TELUK KUANTAN2011</v>
      </c>
      <c r="B1920" s="1375"/>
      <c r="C1920" s="488"/>
      <c r="D1920" s="489"/>
      <c r="E1920" s="558"/>
      <c r="F1920" s="559">
        <v>2011</v>
      </c>
      <c r="G1920" s="619">
        <v>0</v>
      </c>
      <c r="H1920" s="464">
        <f t="shared" si="1428"/>
        <v>47</v>
      </c>
      <c r="I1920" s="560"/>
      <c r="J1920" s="468">
        <f t="shared" si="1429"/>
        <v>2057</v>
      </c>
      <c r="K1920" s="490">
        <f t="shared" si="1430"/>
        <v>0</v>
      </c>
      <c r="L1920" s="469">
        <f t="shared" si="1431"/>
        <v>0</v>
      </c>
      <c r="M1920" s="683">
        <f t="shared" si="1432"/>
        <v>0</v>
      </c>
      <c r="N1920" s="470">
        <f t="shared" si="1433"/>
        <v>47</v>
      </c>
      <c r="O1920" s="468">
        <f t="shared" si="1434"/>
        <v>2057</v>
      </c>
      <c r="P1920" s="616">
        <f t="shared" si="1435"/>
        <v>1584092170.78</v>
      </c>
      <c r="Q1920" s="472">
        <f t="shared" si="1436"/>
        <v>1584092170.78</v>
      </c>
      <c r="R1920" s="472">
        <f t="shared" si="1437"/>
        <v>33704088.740000002</v>
      </c>
      <c r="S1920" s="1189">
        <f t="shared" si="1438"/>
        <v>2011</v>
      </c>
      <c r="T1920" s="470">
        <f t="shared" si="1439"/>
        <v>1</v>
      </c>
      <c r="U1920" s="612">
        <f t="shared" si="1440"/>
        <v>33704088.740000002</v>
      </c>
      <c r="V1920" s="464">
        <f t="shared" si="1441"/>
        <v>2011</v>
      </c>
      <c r="W1920" s="612">
        <f t="shared" si="1442"/>
        <v>1550388082.04</v>
      </c>
      <c r="X1920" s="561"/>
      <c r="Y1920" s="449"/>
      <c r="Z1920" s="449"/>
      <c r="AA1920" s="554"/>
      <c r="AB1920" s="452"/>
      <c r="AC1920" s="452"/>
      <c r="AD1920" s="566"/>
      <c r="AE1920" s="452"/>
      <c r="AF1920" s="571"/>
      <c r="AG1920" s="452"/>
      <c r="AH1920" s="452"/>
      <c r="AI1920" s="453"/>
      <c r="AJ1920" s="449"/>
      <c r="AK1920" s="453"/>
      <c r="AL1920" s="454"/>
      <c r="AM1920" s="455"/>
      <c r="AN1920" s="456"/>
      <c r="AO1920" s="455"/>
      <c r="AP1920" s="452"/>
      <c r="AQ1920" s="457"/>
      <c r="AR1920" s="449"/>
      <c r="AS1920" s="449"/>
      <c r="AT1920" s="452"/>
      <c r="AU1920" s="457"/>
      <c r="AV1920" s="449"/>
      <c r="AW1920" s="458"/>
      <c r="AX1920" s="452"/>
      <c r="AY1920" s="457"/>
      <c r="AZ1920" s="449"/>
      <c r="BA1920" s="459"/>
      <c r="BB1920" s="455"/>
      <c r="BC1920" s="460"/>
      <c r="BD1920" s="460"/>
      <c r="BG1920" s="462"/>
    </row>
    <row r="1921" spans="1:59" s="461" customFormat="1" ht="18" customHeight="1" x14ac:dyDescent="0.2">
      <c r="A1921" s="1368" t="str">
        <f t="shared" si="1427"/>
        <v>JEMBATAN GANTUNG TELUK KUANTAN2012</v>
      </c>
      <c r="B1921" s="1373">
        <v>2</v>
      </c>
      <c r="C1921" s="488" t="s">
        <v>1264</v>
      </c>
      <c r="D1921" s="489" t="s">
        <v>3824</v>
      </c>
      <c r="E1921" s="558"/>
      <c r="F1921" s="559">
        <v>2012</v>
      </c>
      <c r="G1921" s="619">
        <v>7204662185.0902042</v>
      </c>
      <c r="H1921" s="464">
        <f t="shared" si="1428"/>
        <v>46</v>
      </c>
      <c r="I1921" s="560"/>
      <c r="J1921" s="468">
        <f t="shared" si="1429"/>
        <v>2061</v>
      </c>
      <c r="K1921" s="490">
        <f t="shared" si="1430"/>
        <v>4.6470056552616894</v>
      </c>
      <c r="L1921" s="469">
        <f t="shared" si="1431"/>
        <v>15</v>
      </c>
      <c r="M1921" s="683">
        <f t="shared" si="1432"/>
        <v>4</v>
      </c>
      <c r="N1921" s="470">
        <f t="shared" si="1433"/>
        <v>50</v>
      </c>
      <c r="O1921" s="468">
        <f t="shared" si="1434"/>
        <v>2061</v>
      </c>
      <c r="P1921" s="616">
        <f t="shared" si="1435"/>
        <v>1550388082.04</v>
      </c>
      <c r="Q1921" s="472">
        <f t="shared" si="1436"/>
        <v>8755050267.1302032</v>
      </c>
      <c r="R1921" s="472">
        <f t="shared" si="1437"/>
        <v>175101005.34260407</v>
      </c>
      <c r="S1921" s="1189">
        <f t="shared" si="1438"/>
        <v>2012</v>
      </c>
      <c r="T1921" s="470">
        <f t="shared" si="1439"/>
        <v>1</v>
      </c>
      <c r="U1921" s="612">
        <f t="shared" si="1440"/>
        <v>175101005.34260407</v>
      </c>
      <c r="V1921" s="464">
        <f t="shared" si="1441"/>
        <v>2012</v>
      </c>
      <c r="W1921" s="612">
        <f t="shared" si="1442"/>
        <v>8579949261.7875996</v>
      </c>
      <c r="X1921" s="561"/>
      <c r="Y1921" s="449"/>
      <c r="Z1921" s="449"/>
      <c r="AA1921" s="554"/>
      <c r="AB1921" s="452"/>
      <c r="AC1921" s="452"/>
      <c r="AD1921" s="566"/>
      <c r="AE1921" s="452"/>
      <c r="AF1921" s="571"/>
      <c r="AG1921" s="452"/>
      <c r="AH1921" s="452"/>
      <c r="AI1921" s="453"/>
      <c r="AJ1921" s="449"/>
      <c r="AK1921" s="453"/>
      <c r="AL1921" s="454"/>
      <c r="AM1921" s="455"/>
      <c r="AN1921" s="456"/>
      <c r="AO1921" s="455"/>
      <c r="AP1921" s="452"/>
      <c r="AQ1921" s="457"/>
      <c r="AR1921" s="449"/>
      <c r="AS1921" s="449"/>
      <c r="AT1921" s="452"/>
      <c r="AU1921" s="457"/>
      <c r="AV1921" s="449"/>
      <c r="AW1921" s="458"/>
      <c r="AX1921" s="452"/>
      <c r="AY1921" s="457"/>
      <c r="AZ1921" s="449"/>
      <c r="BA1921" s="459"/>
      <c r="BB1921" s="455"/>
      <c r="BC1921" s="460"/>
      <c r="BD1921" s="460"/>
      <c r="BG1921" s="462"/>
    </row>
    <row r="1922" spans="1:59" s="486" customFormat="1" ht="18" customHeight="1" x14ac:dyDescent="0.2">
      <c r="A1922" s="1368" t="str">
        <f t="shared" si="1427"/>
        <v>JEMBATAN GANTUNG TELUK KUANTAN2013</v>
      </c>
      <c r="B1922" s="1373"/>
      <c r="C1922" s="488"/>
      <c r="D1922" s="489"/>
      <c r="E1922" s="558"/>
      <c r="F1922" s="559">
        <v>2013</v>
      </c>
      <c r="G1922" s="619">
        <v>0</v>
      </c>
      <c r="H1922" s="464">
        <f t="shared" si="1428"/>
        <v>49</v>
      </c>
      <c r="I1922" s="560"/>
      <c r="J1922" s="468">
        <f t="shared" si="1429"/>
        <v>2061</v>
      </c>
      <c r="K1922" s="490">
        <f t="shared" si="1430"/>
        <v>0</v>
      </c>
      <c r="L1922" s="469">
        <f t="shared" si="1431"/>
        <v>0</v>
      </c>
      <c r="M1922" s="683">
        <f t="shared" si="1432"/>
        <v>0</v>
      </c>
      <c r="N1922" s="470">
        <f t="shared" si="1433"/>
        <v>49</v>
      </c>
      <c r="O1922" s="468">
        <f t="shared" si="1434"/>
        <v>2061</v>
      </c>
      <c r="P1922" s="616">
        <f t="shared" si="1435"/>
        <v>8579949261.7875996</v>
      </c>
      <c r="Q1922" s="472">
        <f t="shared" si="1436"/>
        <v>8579949261.7875996</v>
      </c>
      <c r="R1922" s="472">
        <f t="shared" si="1437"/>
        <v>175101005.34260407</v>
      </c>
      <c r="S1922" s="1189">
        <f t="shared" si="1438"/>
        <v>2013</v>
      </c>
      <c r="T1922" s="470">
        <f t="shared" si="1439"/>
        <v>1</v>
      </c>
      <c r="U1922" s="612">
        <f t="shared" si="1440"/>
        <v>175101005.34260407</v>
      </c>
      <c r="V1922" s="464">
        <f t="shared" si="1441"/>
        <v>2013</v>
      </c>
      <c r="W1922" s="612">
        <f t="shared" si="1442"/>
        <v>8404848256.4449959</v>
      </c>
      <c r="X1922" s="561"/>
      <c r="Y1922" s="474"/>
      <c r="Z1922" s="449"/>
      <c r="AA1922" s="475" t="s">
        <v>4180</v>
      </c>
      <c r="AB1922" s="476"/>
      <c r="AC1922" s="476"/>
      <c r="AD1922" s="567">
        <f>G1931</f>
        <v>8889866622.0902042</v>
      </c>
      <c r="AE1922" s="476"/>
      <c r="AF1922" s="568"/>
      <c r="AG1922" s="476"/>
      <c r="AH1922" s="476"/>
      <c r="AI1922" s="477"/>
      <c r="AJ1922" s="478"/>
      <c r="AK1922" s="479"/>
      <c r="AL1922" s="480"/>
      <c r="AM1922" s="474"/>
      <c r="AN1922" s="481"/>
      <c r="AO1922" s="474"/>
      <c r="AP1922" s="476"/>
      <c r="AQ1922" s="482"/>
      <c r="AR1922" s="478"/>
      <c r="AS1922" s="478"/>
      <c r="AT1922" s="476"/>
      <c r="AU1922" s="482"/>
      <c r="AV1922" s="478"/>
      <c r="AW1922" s="483"/>
      <c r="AX1922" s="476"/>
      <c r="AY1922" s="482"/>
      <c r="AZ1922" s="478"/>
      <c r="BA1922" s="484"/>
      <c r="BB1922" s="474"/>
      <c r="BC1922" s="485"/>
      <c r="BD1922" s="485"/>
      <c r="BG1922" s="487"/>
    </row>
    <row r="1923" spans="1:59" s="486" customFormat="1" ht="18" customHeight="1" x14ac:dyDescent="0.2">
      <c r="A1923" s="1368" t="str">
        <f t="shared" si="1427"/>
        <v>JEMBATAN GANTUNG TELUK KUANTAN2014</v>
      </c>
      <c r="B1923" s="1373"/>
      <c r="C1923" s="488"/>
      <c r="D1923" s="489"/>
      <c r="E1923" s="558"/>
      <c r="F1923" s="559">
        <v>2014</v>
      </c>
      <c r="G1923" s="619">
        <v>0</v>
      </c>
      <c r="H1923" s="464">
        <f t="shared" si="1428"/>
        <v>48</v>
      </c>
      <c r="I1923" s="560"/>
      <c r="J1923" s="468">
        <f t="shared" si="1429"/>
        <v>2061</v>
      </c>
      <c r="K1923" s="490">
        <f t="shared" si="1430"/>
        <v>0</v>
      </c>
      <c r="L1923" s="469">
        <f t="shared" si="1431"/>
        <v>0</v>
      </c>
      <c r="M1923" s="683">
        <f t="shared" si="1432"/>
        <v>0</v>
      </c>
      <c r="N1923" s="470">
        <f t="shared" si="1433"/>
        <v>48</v>
      </c>
      <c r="O1923" s="468">
        <f t="shared" si="1434"/>
        <v>2061</v>
      </c>
      <c r="P1923" s="616">
        <f t="shared" si="1435"/>
        <v>8404848256.4449959</v>
      </c>
      <c r="Q1923" s="472">
        <f t="shared" si="1436"/>
        <v>8404848256.4449959</v>
      </c>
      <c r="R1923" s="472">
        <f t="shared" si="1437"/>
        <v>175101005.34260407</v>
      </c>
      <c r="S1923" s="1189">
        <f t="shared" si="1438"/>
        <v>2014</v>
      </c>
      <c r="T1923" s="470">
        <f t="shared" si="1439"/>
        <v>1</v>
      </c>
      <c r="U1923" s="612">
        <f t="shared" si="1440"/>
        <v>175101005.34260407</v>
      </c>
      <c r="V1923" s="464">
        <f t="shared" si="1441"/>
        <v>2014</v>
      </c>
      <c r="W1923" s="612">
        <f t="shared" si="1442"/>
        <v>8229747251.1023922</v>
      </c>
      <c r="X1923" s="473"/>
      <c r="Y1923" s="478"/>
      <c r="Z1923" s="449"/>
      <c r="AA1923" s="475" t="s">
        <v>4181</v>
      </c>
      <c r="AB1923" s="491"/>
      <c r="AC1923" s="491"/>
      <c r="AD1923" s="567">
        <f>U1931</f>
        <v>1535624397.7008326</v>
      </c>
      <c r="AE1923" s="491"/>
      <c r="AF1923" s="568"/>
      <c r="AG1923" s="491"/>
      <c r="AH1923" s="491"/>
      <c r="AI1923" s="477"/>
      <c r="AJ1923" s="478"/>
      <c r="AK1923" s="479"/>
      <c r="AL1923" s="480"/>
      <c r="AM1923" s="474"/>
      <c r="AN1923" s="481"/>
      <c r="AO1923" s="474"/>
      <c r="AP1923" s="476"/>
      <c r="AQ1923" s="482"/>
      <c r="AR1923" s="478"/>
      <c r="AS1923" s="478"/>
      <c r="AT1923" s="476"/>
      <c r="AU1923" s="482"/>
      <c r="AV1923" s="478"/>
      <c r="AW1923" s="483"/>
      <c r="AX1923" s="476"/>
      <c r="AY1923" s="482"/>
      <c r="AZ1923" s="478"/>
      <c r="BA1923" s="484"/>
      <c r="BB1923" s="474"/>
      <c r="BC1923" s="485"/>
      <c r="BD1923" s="485"/>
      <c r="BG1923" s="487"/>
    </row>
    <row r="1924" spans="1:59" s="486" customFormat="1" ht="18" customHeight="1" x14ac:dyDescent="0.2">
      <c r="A1924" s="1368" t="str">
        <f t="shared" si="1427"/>
        <v>JEMBATAN GANTUNG TELUK KUANTAN2015</v>
      </c>
      <c r="B1924" s="1373"/>
      <c r="C1924" s="488"/>
      <c r="D1924" s="489"/>
      <c r="E1924" s="558"/>
      <c r="F1924" s="559">
        <v>2015</v>
      </c>
      <c r="G1924" s="619">
        <v>0</v>
      </c>
      <c r="H1924" s="464">
        <f t="shared" si="1428"/>
        <v>47</v>
      </c>
      <c r="I1924" s="560"/>
      <c r="J1924" s="468">
        <f t="shared" si="1429"/>
        <v>2061</v>
      </c>
      <c r="K1924" s="490">
        <f t="shared" si="1430"/>
        <v>0</v>
      </c>
      <c r="L1924" s="469">
        <f t="shared" si="1431"/>
        <v>0</v>
      </c>
      <c r="M1924" s="683">
        <f t="shared" si="1432"/>
        <v>0</v>
      </c>
      <c r="N1924" s="470">
        <f t="shared" si="1433"/>
        <v>47</v>
      </c>
      <c r="O1924" s="468">
        <f t="shared" si="1434"/>
        <v>2061</v>
      </c>
      <c r="P1924" s="616">
        <f t="shared" si="1435"/>
        <v>8229747251.1023922</v>
      </c>
      <c r="Q1924" s="472">
        <f t="shared" si="1436"/>
        <v>8229747251.1023922</v>
      </c>
      <c r="R1924" s="472">
        <f t="shared" si="1437"/>
        <v>175101005.34260407</v>
      </c>
      <c r="S1924" s="1189">
        <f t="shared" si="1438"/>
        <v>2015</v>
      </c>
      <c r="T1924" s="470">
        <f t="shared" si="1439"/>
        <v>1</v>
      </c>
      <c r="U1924" s="612">
        <f t="shared" si="1440"/>
        <v>175101005.34260407</v>
      </c>
      <c r="V1924" s="464">
        <f t="shared" si="1441"/>
        <v>2015</v>
      </c>
      <c r="W1924" s="612">
        <f t="shared" si="1442"/>
        <v>8054646245.7597885</v>
      </c>
      <c r="X1924" s="473"/>
      <c r="Y1924" s="478"/>
      <c r="Z1924" s="449"/>
      <c r="AA1924" s="492" t="s">
        <v>4182</v>
      </c>
      <c r="AB1924" s="476"/>
      <c r="AC1924" s="476"/>
      <c r="AD1924" s="567">
        <f>AD1922-AD1923</f>
        <v>7354242224.3893719</v>
      </c>
      <c r="AE1924" s="476"/>
      <c r="AF1924" s="568"/>
      <c r="AG1924" s="476"/>
      <c r="AH1924" s="476"/>
      <c r="AI1924" s="477"/>
      <c r="AJ1924" s="478"/>
      <c r="AK1924" s="479"/>
      <c r="AL1924" s="480"/>
      <c r="AM1924" s="474"/>
      <c r="AN1924" s="481"/>
      <c r="AO1924" s="474"/>
      <c r="AP1924" s="476"/>
      <c r="AQ1924" s="482"/>
      <c r="AR1924" s="478"/>
      <c r="AS1924" s="478"/>
      <c r="AT1924" s="476"/>
      <c r="AU1924" s="482"/>
      <c r="AV1924" s="478"/>
      <c r="AW1924" s="483"/>
      <c r="AX1924" s="476"/>
      <c r="AY1924" s="482"/>
      <c r="AZ1924" s="478"/>
      <c r="BA1924" s="484"/>
      <c r="BB1924" s="474"/>
      <c r="BC1924" s="485"/>
      <c r="BD1924" s="485"/>
      <c r="BG1924" s="487"/>
    </row>
    <row r="1925" spans="1:59" s="486" customFormat="1" ht="18" customHeight="1" x14ac:dyDescent="0.2">
      <c r="A1925" s="1368" t="str">
        <f t="shared" si="1427"/>
        <v>JEMBATAN GANTUNG TELUK KUANTAN2016</v>
      </c>
      <c r="B1925" s="687"/>
      <c r="C1925" s="488"/>
      <c r="D1925" s="489"/>
      <c r="E1925" s="558"/>
      <c r="F1925" s="559">
        <v>2016</v>
      </c>
      <c r="G1925" s="619">
        <v>0</v>
      </c>
      <c r="H1925" s="464">
        <f t="shared" si="1428"/>
        <v>46</v>
      </c>
      <c r="I1925" s="560"/>
      <c r="J1925" s="468">
        <f t="shared" si="1429"/>
        <v>2061</v>
      </c>
      <c r="K1925" s="490">
        <f t="shared" si="1430"/>
        <v>0</v>
      </c>
      <c r="L1925" s="469">
        <f t="shared" si="1431"/>
        <v>0</v>
      </c>
      <c r="M1925" s="683">
        <f t="shared" si="1432"/>
        <v>0</v>
      </c>
      <c r="N1925" s="470">
        <f t="shared" si="1433"/>
        <v>46</v>
      </c>
      <c r="O1925" s="468">
        <f t="shared" si="1434"/>
        <v>2061</v>
      </c>
      <c r="P1925" s="616">
        <f t="shared" si="1435"/>
        <v>8054646245.7597885</v>
      </c>
      <c r="Q1925" s="472">
        <f t="shared" si="1436"/>
        <v>8054646245.7597885</v>
      </c>
      <c r="R1925" s="472">
        <f t="shared" si="1437"/>
        <v>175101005.34260407</v>
      </c>
      <c r="S1925" s="1189">
        <f t="shared" si="1438"/>
        <v>2016</v>
      </c>
      <c r="T1925" s="470">
        <f t="shared" si="1439"/>
        <v>1</v>
      </c>
      <c r="U1925" s="612">
        <f t="shared" si="1440"/>
        <v>175101005.34260407</v>
      </c>
      <c r="V1925" s="464">
        <f t="shared" si="1441"/>
        <v>2016</v>
      </c>
      <c r="W1925" s="612">
        <f t="shared" si="1442"/>
        <v>7879545240.4171848</v>
      </c>
      <c r="X1925" s="473"/>
      <c r="Y1925" s="478"/>
      <c r="Z1925" s="449"/>
      <c r="AA1925" s="531" t="s">
        <v>4183</v>
      </c>
      <c r="AB1925" s="496"/>
      <c r="AC1925" s="496"/>
      <c r="AD1925" s="569">
        <f>AD1924-W1931</f>
        <v>0</v>
      </c>
      <c r="AE1925" s="476"/>
      <c r="AF1925" s="568"/>
      <c r="AG1925" s="476"/>
      <c r="AH1925" s="476"/>
      <c r="AI1925" s="477"/>
      <c r="AJ1925" s="478"/>
      <c r="AK1925" s="479"/>
      <c r="AL1925" s="480"/>
      <c r="AM1925" s="474"/>
      <c r="AN1925" s="481"/>
      <c r="AO1925" s="474"/>
      <c r="AP1925" s="476"/>
      <c r="AQ1925" s="482"/>
      <c r="AR1925" s="478"/>
      <c r="AS1925" s="478"/>
      <c r="AT1925" s="476"/>
      <c r="AU1925" s="482"/>
      <c r="AV1925" s="478"/>
      <c r="AW1925" s="483"/>
      <c r="AX1925" s="476"/>
      <c r="AY1925" s="482"/>
      <c r="AZ1925" s="478"/>
      <c r="BA1925" s="484"/>
      <c r="BB1925" s="474"/>
      <c r="BC1925" s="485"/>
      <c r="BD1925" s="485"/>
      <c r="BG1925" s="487"/>
    </row>
    <row r="1926" spans="1:59" s="486" customFormat="1" ht="18" customHeight="1" x14ac:dyDescent="0.2">
      <c r="A1926" s="1368" t="str">
        <f t="shared" si="1427"/>
        <v>JEMBATAN GANTUNG TELUK KUANTAN2017</v>
      </c>
      <c r="B1926" s="687"/>
      <c r="C1926" s="488"/>
      <c r="D1926" s="489"/>
      <c r="E1926" s="558"/>
      <c r="F1926" s="559">
        <v>2017</v>
      </c>
      <c r="G1926" s="619">
        <v>0</v>
      </c>
      <c r="H1926" s="464">
        <f t="shared" si="1428"/>
        <v>45</v>
      </c>
      <c r="I1926" s="560"/>
      <c r="J1926" s="468">
        <f t="shared" si="1429"/>
        <v>2061</v>
      </c>
      <c r="K1926" s="490">
        <f t="shared" si="1430"/>
        <v>0</v>
      </c>
      <c r="L1926" s="469">
        <f t="shared" si="1431"/>
        <v>0</v>
      </c>
      <c r="M1926" s="683">
        <f t="shared" si="1432"/>
        <v>0</v>
      </c>
      <c r="N1926" s="470">
        <f t="shared" si="1433"/>
        <v>45</v>
      </c>
      <c r="O1926" s="468">
        <f t="shared" si="1434"/>
        <v>2061</v>
      </c>
      <c r="P1926" s="616">
        <f t="shared" si="1435"/>
        <v>7879545240.4171848</v>
      </c>
      <c r="Q1926" s="472">
        <f t="shared" si="1436"/>
        <v>7879545240.4171848</v>
      </c>
      <c r="R1926" s="472">
        <f t="shared" si="1437"/>
        <v>175101005.34260407</v>
      </c>
      <c r="S1926" s="1189">
        <f t="shared" si="1438"/>
        <v>2017</v>
      </c>
      <c r="T1926" s="470">
        <f t="shared" si="1439"/>
        <v>1</v>
      </c>
      <c r="U1926" s="612">
        <f t="shared" si="1440"/>
        <v>175101005.34260407</v>
      </c>
      <c r="V1926" s="464">
        <f t="shared" si="1441"/>
        <v>2017</v>
      </c>
      <c r="W1926" s="612">
        <f t="shared" si="1442"/>
        <v>7704444235.0745811</v>
      </c>
      <c r="X1926" s="473"/>
      <c r="Y1926" s="478"/>
      <c r="Z1926" s="449"/>
      <c r="AA1926" s="573"/>
      <c r="AB1926" s="476"/>
      <c r="AC1926" s="476"/>
      <c r="AD1926" s="568"/>
      <c r="AE1926" s="476"/>
      <c r="AF1926" s="568"/>
      <c r="AG1926" s="476"/>
      <c r="AH1926" s="476"/>
      <c r="AI1926" s="477"/>
      <c r="AJ1926" s="478"/>
      <c r="AK1926" s="479"/>
      <c r="AL1926" s="480"/>
      <c r="AM1926" s="474"/>
      <c r="AN1926" s="481"/>
      <c r="AO1926" s="474"/>
      <c r="AP1926" s="476"/>
      <c r="AQ1926" s="482"/>
      <c r="AR1926" s="478"/>
      <c r="AS1926" s="478"/>
      <c r="AT1926" s="476"/>
      <c r="AU1926" s="482"/>
      <c r="AV1926" s="478"/>
      <c r="AW1926" s="483"/>
      <c r="AX1926" s="476"/>
      <c r="AY1926" s="482"/>
      <c r="AZ1926" s="478"/>
      <c r="BA1926" s="484"/>
      <c r="BB1926" s="474"/>
      <c r="BC1926" s="485"/>
      <c r="BD1926" s="485"/>
      <c r="BG1926" s="487"/>
    </row>
    <row r="1927" spans="1:59" s="486" customFormat="1" ht="18" customHeight="1" x14ac:dyDescent="0.2">
      <c r="A1927" s="1368" t="str">
        <f t="shared" si="1427"/>
        <v>JEMBATAN GANTUNG TELUK KUANTAN2018</v>
      </c>
      <c r="B1927" s="687"/>
      <c r="C1927" s="488"/>
      <c r="D1927" s="489"/>
      <c r="E1927" s="558"/>
      <c r="F1927" s="559">
        <v>2018</v>
      </c>
      <c r="G1927" s="619">
        <v>0</v>
      </c>
      <c r="H1927" s="464">
        <f t="shared" si="1428"/>
        <v>44</v>
      </c>
      <c r="I1927" s="560"/>
      <c r="J1927" s="468">
        <f t="shared" si="1429"/>
        <v>2061</v>
      </c>
      <c r="K1927" s="490">
        <f t="shared" si="1430"/>
        <v>0</v>
      </c>
      <c r="L1927" s="469">
        <f t="shared" si="1431"/>
        <v>0</v>
      </c>
      <c r="M1927" s="683">
        <f t="shared" si="1432"/>
        <v>0</v>
      </c>
      <c r="N1927" s="470">
        <f t="shared" si="1433"/>
        <v>44</v>
      </c>
      <c r="O1927" s="468">
        <f t="shared" si="1434"/>
        <v>2061</v>
      </c>
      <c r="P1927" s="616">
        <f t="shared" si="1435"/>
        <v>7704444235.0745811</v>
      </c>
      <c r="Q1927" s="472">
        <f t="shared" si="1436"/>
        <v>7704444235.0745811</v>
      </c>
      <c r="R1927" s="472">
        <f t="shared" si="1437"/>
        <v>175101005.34260407</v>
      </c>
      <c r="S1927" s="1189">
        <f t="shared" si="1438"/>
        <v>2018</v>
      </c>
      <c r="T1927" s="470">
        <f t="shared" si="1439"/>
        <v>1</v>
      </c>
      <c r="U1927" s="612">
        <f t="shared" si="1440"/>
        <v>175101005.34260407</v>
      </c>
      <c r="V1927" s="464">
        <f t="shared" si="1441"/>
        <v>2018</v>
      </c>
      <c r="W1927" s="612">
        <f t="shared" si="1442"/>
        <v>7529343229.7319775</v>
      </c>
      <c r="X1927" s="473"/>
      <c r="Y1927" s="478"/>
      <c r="Z1927" s="449"/>
      <c r="AA1927" s="573"/>
      <c r="AB1927" s="476"/>
      <c r="AC1927" s="476"/>
      <c r="AD1927" s="568"/>
      <c r="AE1927" s="476"/>
      <c r="AF1927" s="568"/>
      <c r="AG1927" s="476"/>
      <c r="AH1927" s="476"/>
      <c r="AI1927" s="477"/>
      <c r="AJ1927" s="478"/>
      <c r="AK1927" s="479"/>
      <c r="AL1927" s="480"/>
      <c r="AM1927" s="474"/>
      <c r="AN1927" s="481"/>
      <c r="AO1927" s="474"/>
      <c r="AP1927" s="476"/>
      <c r="AQ1927" s="482"/>
      <c r="AR1927" s="478"/>
      <c r="AS1927" s="478"/>
      <c r="AT1927" s="476"/>
      <c r="AU1927" s="482"/>
      <c r="AV1927" s="478"/>
      <c r="AW1927" s="483"/>
      <c r="AX1927" s="476"/>
      <c r="AY1927" s="482"/>
      <c r="AZ1927" s="478"/>
      <c r="BA1927" s="484"/>
      <c r="BB1927" s="474"/>
      <c r="BC1927" s="485"/>
      <c r="BD1927" s="485"/>
      <c r="BG1927" s="487"/>
    </row>
    <row r="1928" spans="1:59" s="486" customFormat="1" ht="18" customHeight="1" x14ac:dyDescent="0.2">
      <c r="A1928" s="1368" t="str">
        <f t="shared" si="1427"/>
        <v>JEMBATAN GANTUNG TELUK KUANTAN2019</v>
      </c>
      <c r="B1928" s="687"/>
      <c r="C1928" s="488"/>
      <c r="D1928" s="489"/>
      <c r="E1928" s="558"/>
      <c r="F1928" s="466">
        <v>2019</v>
      </c>
      <c r="G1928" s="619">
        <v>0</v>
      </c>
      <c r="H1928" s="464">
        <f t="shared" si="1428"/>
        <v>43</v>
      </c>
      <c r="I1928" s="560"/>
      <c r="J1928" s="468">
        <f t="shared" si="1429"/>
        <v>2061</v>
      </c>
      <c r="K1928" s="490">
        <f t="shared" si="1430"/>
        <v>0</v>
      </c>
      <c r="L1928" s="469">
        <f t="shared" si="1431"/>
        <v>0</v>
      </c>
      <c r="M1928" s="683">
        <f t="shared" si="1432"/>
        <v>0</v>
      </c>
      <c r="N1928" s="470">
        <f t="shared" si="1433"/>
        <v>43</v>
      </c>
      <c r="O1928" s="468">
        <f t="shared" si="1434"/>
        <v>2061</v>
      </c>
      <c r="P1928" s="616">
        <f t="shared" si="1435"/>
        <v>7529343229.7319775</v>
      </c>
      <c r="Q1928" s="472">
        <f t="shared" si="1436"/>
        <v>7529343229.7319775</v>
      </c>
      <c r="R1928" s="472">
        <f t="shared" si="1437"/>
        <v>175101005.34260407</v>
      </c>
      <c r="S1928" s="1189">
        <f t="shared" si="1438"/>
        <v>2019</v>
      </c>
      <c r="T1928" s="470">
        <f t="shared" si="1439"/>
        <v>1</v>
      </c>
      <c r="U1928" s="612">
        <f t="shared" si="1440"/>
        <v>175101005.34260407</v>
      </c>
      <c r="V1928" s="464">
        <f t="shared" si="1441"/>
        <v>2019</v>
      </c>
      <c r="W1928" s="612">
        <f t="shared" si="1442"/>
        <v>7354242224.3893738</v>
      </c>
      <c r="X1928" s="473"/>
      <c r="Y1928" s="478"/>
      <c r="Z1928" s="449"/>
      <c r="AA1928" s="573"/>
      <c r="AB1928" s="476"/>
      <c r="AC1928" s="476"/>
      <c r="AD1928" s="568"/>
      <c r="AE1928" s="476"/>
      <c r="AF1928" s="568"/>
      <c r="AG1928" s="476"/>
      <c r="AH1928" s="476"/>
      <c r="AI1928" s="477"/>
      <c r="AJ1928" s="478"/>
      <c r="AK1928" s="479"/>
      <c r="AL1928" s="480"/>
      <c r="AM1928" s="474"/>
      <c r="AN1928" s="481"/>
      <c r="AO1928" s="474"/>
      <c r="AP1928" s="476"/>
      <c r="AQ1928" s="482"/>
      <c r="AR1928" s="478"/>
      <c r="AS1928" s="478"/>
      <c r="AT1928" s="476"/>
      <c r="AU1928" s="482"/>
      <c r="AV1928" s="478"/>
      <c r="AW1928" s="483"/>
      <c r="AX1928" s="476"/>
      <c r="AY1928" s="482"/>
      <c r="AZ1928" s="478"/>
      <c r="BA1928" s="484"/>
      <c r="BB1928" s="474"/>
      <c r="BC1928" s="485"/>
      <c r="BD1928" s="485"/>
      <c r="BG1928" s="487"/>
    </row>
    <row r="1929" spans="1:59" s="486" customFormat="1" ht="18" customHeight="1" x14ac:dyDescent="0.2">
      <c r="A1929" s="1368"/>
      <c r="B1929" s="687"/>
      <c r="C1929" s="488"/>
      <c r="D1929" s="489"/>
      <c r="E1929" s="558"/>
      <c r="F1929" s="466"/>
      <c r="G1929" s="619"/>
      <c r="H1929" s="464"/>
      <c r="I1929" s="467"/>
      <c r="J1929" s="468"/>
      <c r="K1929" s="490"/>
      <c r="L1929" s="469"/>
      <c r="M1929" s="683"/>
      <c r="N1929" s="470"/>
      <c r="O1929" s="468"/>
      <c r="P1929" s="616"/>
      <c r="Q1929" s="472"/>
      <c r="R1929" s="472"/>
      <c r="S1929" s="759"/>
      <c r="T1929" s="470"/>
      <c r="U1929" s="612"/>
      <c r="V1929" s="464"/>
      <c r="W1929" s="612"/>
      <c r="X1929" s="473"/>
      <c r="Y1929" s="478"/>
      <c r="Z1929" s="449"/>
      <c r="AA1929" s="573"/>
      <c r="AB1929" s="476"/>
      <c r="AC1929" s="476"/>
      <c r="AD1929" s="568"/>
      <c r="AE1929" s="476"/>
      <c r="AF1929" s="568"/>
      <c r="AG1929" s="476"/>
      <c r="AH1929" s="476"/>
      <c r="AI1929" s="477"/>
      <c r="AJ1929" s="478"/>
      <c r="AK1929" s="479"/>
      <c r="AL1929" s="480"/>
      <c r="AM1929" s="474"/>
      <c r="AN1929" s="481"/>
      <c r="AO1929" s="474"/>
      <c r="AP1929" s="476"/>
      <c r="AQ1929" s="482"/>
      <c r="AR1929" s="478"/>
      <c r="AS1929" s="478"/>
      <c r="AT1929" s="476"/>
      <c r="AU1929" s="482"/>
      <c r="AV1929" s="478"/>
      <c r="AW1929" s="483"/>
      <c r="AX1929" s="476"/>
      <c r="AY1929" s="482"/>
      <c r="AZ1929" s="478"/>
      <c r="BA1929" s="484"/>
      <c r="BB1929" s="474"/>
      <c r="BC1929" s="485"/>
      <c r="BD1929" s="485"/>
      <c r="BG1929" s="487"/>
    </row>
    <row r="1930" spans="1:59" s="486" customFormat="1" ht="18" customHeight="1" x14ac:dyDescent="0.2">
      <c r="A1930" s="1368" t="str">
        <f>LEFT(D1930,8)</f>
        <v/>
      </c>
      <c r="B1930" s="687"/>
      <c r="C1930" s="463"/>
      <c r="D1930" s="489"/>
      <c r="E1930" s="465"/>
      <c r="F1930" s="466"/>
      <c r="G1930" s="620"/>
      <c r="H1930" s="464"/>
      <c r="I1930" s="467"/>
      <c r="J1930" s="468"/>
      <c r="K1930" s="574"/>
      <c r="L1930" s="469"/>
      <c r="M1930" s="683"/>
      <c r="N1930" s="470"/>
      <c r="O1930" s="468"/>
      <c r="P1930" s="616"/>
      <c r="Q1930" s="472"/>
      <c r="R1930" s="472"/>
      <c r="S1930" s="634"/>
      <c r="T1930" s="470"/>
      <c r="U1930" s="612"/>
      <c r="V1930" s="464"/>
      <c r="W1930" s="612"/>
      <c r="X1930" s="473"/>
      <c r="Y1930" s="478"/>
      <c r="Z1930" s="449"/>
      <c r="AA1930" s="573"/>
      <c r="AB1930" s="476"/>
      <c r="AC1930" s="476"/>
      <c r="AD1930" s="568"/>
      <c r="AE1930" s="476"/>
      <c r="AF1930" s="568"/>
      <c r="AG1930" s="476"/>
      <c r="AH1930" s="476"/>
      <c r="AI1930" s="477"/>
      <c r="AJ1930" s="478"/>
      <c r="AK1930" s="479"/>
      <c r="AL1930" s="480"/>
      <c r="AM1930" s="474"/>
      <c r="AN1930" s="481"/>
      <c r="AO1930" s="474"/>
      <c r="AP1930" s="476"/>
      <c r="AQ1930" s="482"/>
      <c r="AR1930" s="478"/>
      <c r="AS1930" s="478"/>
      <c r="AT1930" s="476"/>
      <c r="AU1930" s="482"/>
      <c r="AV1930" s="478"/>
      <c r="AW1930" s="483"/>
      <c r="AX1930" s="476"/>
      <c r="AY1930" s="482"/>
      <c r="AZ1930" s="478"/>
      <c r="BA1930" s="484"/>
      <c r="BB1930" s="474"/>
      <c r="BC1930" s="485"/>
      <c r="BD1930" s="485"/>
      <c r="BG1930" s="487"/>
    </row>
    <row r="1931" spans="1:59" s="526" customFormat="1" ht="18" customHeight="1" x14ac:dyDescent="0.2">
      <c r="A1931" s="1370" t="s">
        <v>4184</v>
      </c>
      <c r="B1931" s="1956" t="s">
        <v>4184</v>
      </c>
      <c r="C1931" s="1957"/>
      <c r="D1931" s="1957"/>
      <c r="E1931" s="1957"/>
      <c r="F1931" s="1958"/>
      <c r="G1931" s="624">
        <f>SUM(G1917:G1930)</f>
        <v>8889866622.0902042</v>
      </c>
      <c r="H1931" s="505"/>
      <c r="I1931" s="506"/>
      <c r="J1931" s="507"/>
      <c r="K1931" s="507"/>
      <c r="L1931" s="505"/>
      <c r="M1931" s="684"/>
      <c r="N1931" s="508"/>
      <c r="O1931" s="507"/>
      <c r="P1931" s="749"/>
      <c r="Q1931" s="510"/>
      <c r="R1931" s="511"/>
      <c r="S1931" s="512"/>
      <c r="T1931" s="512"/>
      <c r="U1931" s="610">
        <f>SUM(U1917:U1930)</f>
        <v>1535624397.7008326</v>
      </c>
      <c r="V1931" s="513"/>
      <c r="W1931" s="610">
        <f>G1931-U1931</f>
        <v>7354242224.3893719</v>
      </c>
      <c r="X1931" s="514"/>
      <c r="Y1931" s="515"/>
      <c r="Z1931" s="515"/>
      <c r="AA1931" s="515"/>
      <c r="AB1931" s="515"/>
      <c r="AC1931" s="515"/>
      <c r="AD1931" s="570"/>
      <c r="AE1931" s="515"/>
      <c r="AF1931" s="570"/>
      <c r="AG1931" s="515"/>
      <c r="AH1931" s="515"/>
      <c r="AI1931" s="516"/>
      <c r="AJ1931" s="517"/>
      <c r="AK1931" s="518"/>
      <c r="AL1931" s="519"/>
      <c r="AM1931" s="520"/>
      <c r="AN1931" s="521"/>
      <c r="AO1931" s="520"/>
      <c r="AP1931" s="515"/>
      <c r="AQ1931" s="522"/>
      <c r="AR1931" s="517"/>
      <c r="AS1931" s="517"/>
      <c r="AT1931" s="515"/>
      <c r="AU1931" s="522"/>
      <c r="AV1931" s="517"/>
      <c r="AW1931" s="523"/>
      <c r="AX1931" s="515"/>
      <c r="AY1931" s="522"/>
      <c r="AZ1931" s="517"/>
      <c r="BA1931" s="524"/>
      <c r="BB1931" s="520"/>
      <c r="BC1931" s="525"/>
      <c r="BD1931" s="525"/>
      <c r="BG1931" s="527"/>
    </row>
    <row r="1934" spans="1:59" s="422" customFormat="1" ht="18" customHeight="1" x14ac:dyDescent="0.2">
      <c r="A1934" s="1366" t="str">
        <f>C1934</f>
        <v>J3</v>
      </c>
      <c r="B1934" s="742" t="s">
        <v>4187</v>
      </c>
      <c r="C1934" s="556" t="s">
        <v>4136</v>
      </c>
      <c r="D1934" s="553" t="s">
        <v>4192</v>
      </c>
      <c r="E1934" s="553"/>
      <c r="F1934" s="421"/>
      <c r="G1934" s="611"/>
      <c r="I1934" s="423"/>
      <c r="J1934" s="424"/>
      <c r="K1934" s="424"/>
      <c r="M1934" s="680"/>
      <c r="P1934" s="611"/>
      <c r="U1934" s="611"/>
      <c r="W1934" s="611"/>
      <c r="Y1934" s="425"/>
      <c r="Z1934" s="425"/>
      <c r="AA1934" s="425"/>
      <c r="AB1934" s="425"/>
      <c r="AC1934" s="425"/>
      <c r="AD1934" s="563"/>
      <c r="AE1934" s="425"/>
      <c r="AF1934" s="563"/>
      <c r="AG1934" s="425"/>
      <c r="AH1934" s="425"/>
      <c r="AI1934" s="425"/>
      <c r="AJ1934" s="425"/>
      <c r="AK1934" s="425"/>
      <c r="AL1934" s="425"/>
      <c r="AM1934" s="425"/>
      <c r="AN1934" s="425"/>
      <c r="AO1934" s="425"/>
      <c r="AP1934" s="425"/>
      <c r="AQ1934" s="425"/>
      <c r="AR1934" s="425"/>
      <c r="AS1934" s="425"/>
      <c r="AT1934" s="425"/>
      <c r="AU1934" s="425"/>
      <c r="AV1934" s="425"/>
      <c r="AW1934" s="425"/>
      <c r="AX1934" s="425"/>
      <c r="AY1934" s="425"/>
      <c r="AZ1934" s="425"/>
      <c r="BA1934" s="425"/>
      <c r="BB1934" s="425"/>
    </row>
    <row r="1935" spans="1:59" s="431" customFormat="1" ht="18" customHeight="1" x14ac:dyDescent="0.2">
      <c r="A1935" s="1367"/>
      <c r="B1935" s="1968" t="s">
        <v>5</v>
      </c>
      <c r="C1935" s="1968" t="s">
        <v>2280</v>
      </c>
      <c r="D1935" s="1968" t="s">
        <v>4157</v>
      </c>
      <c r="E1935" s="1968" t="s">
        <v>4158</v>
      </c>
      <c r="F1935" s="1968"/>
      <c r="G1935" s="1969" t="s">
        <v>4159</v>
      </c>
      <c r="H1935" s="1968" t="s">
        <v>4160</v>
      </c>
      <c r="I1935" s="1968"/>
      <c r="J1935" s="1968" t="s">
        <v>4185</v>
      </c>
      <c r="K1935" s="1964" t="s">
        <v>4162</v>
      </c>
      <c r="L1935" s="1968" t="s">
        <v>4163</v>
      </c>
      <c r="M1935" s="1971" t="s">
        <v>4164</v>
      </c>
      <c r="N1935" s="1962" t="s">
        <v>4165</v>
      </c>
      <c r="O1935" s="1968" t="s">
        <v>4166</v>
      </c>
      <c r="P1935" s="1972" t="s">
        <v>4167</v>
      </c>
      <c r="Q1935" s="1973"/>
      <c r="R1935" s="636" t="s">
        <v>4186</v>
      </c>
      <c r="S1935" s="1972" t="s">
        <v>4169</v>
      </c>
      <c r="T1935" s="1974"/>
      <c r="U1935" s="1973"/>
      <c r="V1935" s="1975" t="s">
        <v>4170</v>
      </c>
      <c r="W1935" s="1975"/>
      <c r="X1935" s="1960" t="s">
        <v>4171</v>
      </c>
      <c r="Y1935" s="1959"/>
      <c r="Z1935" s="633"/>
      <c r="AA1935" s="426"/>
      <c r="AB1935" s="426"/>
      <c r="AC1935" s="426"/>
      <c r="AD1935" s="564"/>
      <c r="AE1935" s="426"/>
      <c r="AF1935" s="564"/>
      <c r="AG1935" s="426"/>
      <c r="AH1935" s="426"/>
      <c r="AI1935" s="427"/>
      <c r="AJ1935" s="427"/>
      <c r="AK1935" s="427"/>
      <c r="AL1935" s="427"/>
      <c r="AM1935" s="428"/>
      <c r="AN1935" s="427"/>
      <c r="AO1935" s="427"/>
      <c r="AP1935" s="426"/>
      <c r="AQ1935" s="427"/>
      <c r="AR1935" s="427"/>
      <c r="AS1935" s="427"/>
      <c r="AT1935" s="426"/>
      <c r="AU1935" s="427"/>
      <c r="AV1935" s="427"/>
      <c r="AW1935" s="427"/>
      <c r="AX1935" s="426"/>
      <c r="AY1935" s="427"/>
      <c r="AZ1935" s="427"/>
      <c r="BA1935" s="427"/>
      <c r="BB1935" s="429"/>
      <c r="BC1935" s="430"/>
      <c r="BD1935" s="430"/>
    </row>
    <row r="1936" spans="1:59" s="431" customFormat="1" ht="18" customHeight="1" x14ac:dyDescent="0.2">
      <c r="A1936" s="1367"/>
      <c r="B1936" s="1968"/>
      <c r="C1936" s="1968"/>
      <c r="D1936" s="1968"/>
      <c r="E1936" s="1968"/>
      <c r="F1936" s="1968"/>
      <c r="G1936" s="1969"/>
      <c r="H1936" s="1968"/>
      <c r="I1936" s="1968"/>
      <c r="J1936" s="1968"/>
      <c r="K1936" s="1970"/>
      <c r="L1936" s="1968"/>
      <c r="M1936" s="1971"/>
      <c r="N1936" s="1963"/>
      <c r="O1936" s="1968"/>
      <c r="P1936" s="2037" t="s">
        <v>4172</v>
      </c>
      <c r="Q1936" s="1960" t="s">
        <v>4173</v>
      </c>
      <c r="R1936" s="1962" t="s">
        <v>4159</v>
      </c>
      <c r="S1936" s="1962" t="s">
        <v>4174</v>
      </c>
      <c r="T1936" s="1964" t="s">
        <v>4175</v>
      </c>
      <c r="U1936" s="1966" t="s">
        <v>4159</v>
      </c>
      <c r="V1936" s="1975"/>
      <c r="W1936" s="1975"/>
      <c r="X1936" s="1976"/>
      <c r="Y1936" s="1959"/>
      <c r="Z1936" s="633"/>
      <c r="AA1936" s="426"/>
      <c r="AB1936" s="426"/>
      <c r="AC1936" s="426"/>
      <c r="AD1936" s="564"/>
      <c r="AE1936" s="426"/>
      <c r="AF1936" s="564"/>
      <c r="AG1936" s="426"/>
      <c r="AH1936" s="426"/>
      <c r="AI1936" s="427"/>
      <c r="AJ1936" s="427"/>
      <c r="AK1936" s="426"/>
      <c r="AL1936" s="427"/>
      <c r="AM1936" s="428"/>
      <c r="AN1936" s="427"/>
      <c r="AO1936" s="427"/>
      <c r="AP1936" s="432"/>
      <c r="AQ1936" s="427"/>
      <c r="AR1936" s="427"/>
      <c r="AS1936" s="427"/>
      <c r="AT1936" s="432"/>
      <c r="AU1936" s="427"/>
      <c r="AV1936" s="427"/>
      <c r="AW1936" s="427"/>
      <c r="AX1936" s="432"/>
      <c r="AY1936" s="427"/>
      <c r="AZ1936" s="427"/>
      <c r="BA1936" s="427"/>
      <c r="BB1936" s="429"/>
      <c r="BC1936" s="430"/>
      <c r="BD1936" s="430"/>
    </row>
    <row r="1937" spans="1:59" s="431" customFormat="1" ht="18" customHeight="1" x14ac:dyDescent="0.2">
      <c r="A1937" s="1367"/>
      <c r="B1937" s="1968"/>
      <c r="C1937" s="1968"/>
      <c r="D1937" s="1968"/>
      <c r="E1937" s="433" t="s">
        <v>4176</v>
      </c>
      <c r="F1937" s="434" t="s">
        <v>2288</v>
      </c>
      <c r="G1937" s="1969"/>
      <c r="H1937" s="635" t="s">
        <v>2288</v>
      </c>
      <c r="I1937" s="635" t="s">
        <v>4177</v>
      </c>
      <c r="J1937" s="1968"/>
      <c r="K1937" s="1965"/>
      <c r="L1937" s="435" t="s">
        <v>2288</v>
      </c>
      <c r="M1937" s="681" t="s">
        <v>2288</v>
      </c>
      <c r="N1937" s="635" t="s">
        <v>2288</v>
      </c>
      <c r="O1937" s="1968"/>
      <c r="P1937" s="2038"/>
      <c r="Q1937" s="1961"/>
      <c r="R1937" s="1963"/>
      <c r="S1937" s="1963"/>
      <c r="T1937" s="1965"/>
      <c r="U1937" s="1967"/>
      <c r="V1937" s="635" t="s">
        <v>4178</v>
      </c>
      <c r="W1937" s="637" t="s">
        <v>4159</v>
      </c>
      <c r="X1937" s="1961"/>
      <c r="Y1937" s="436"/>
      <c r="Z1937" s="436"/>
      <c r="AA1937" s="426"/>
      <c r="AB1937" s="426"/>
      <c r="AC1937" s="426"/>
      <c r="AD1937" s="564"/>
      <c r="AE1937" s="426"/>
      <c r="AF1937" s="564"/>
      <c r="AG1937" s="426"/>
      <c r="AH1937" s="426"/>
      <c r="AI1937" s="427"/>
      <c r="AJ1937" s="432"/>
      <c r="AK1937" s="432"/>
      <c r="AL1937" s="427"/>
      <c r="AM1937" s="428"/>
      <c r="AN1937" s="432"/>
      <c r="AO1937" s="427"/>
      <c r="AP1937" s="432"/>
      <c r="AQ1937" s="432"/>
      <c r="AR1937" s="427"/>
      <c r="AS1937" s="427"/>
      <c r="AT1937" s="432"/>
      <c r="AU1937" s="432"/>
      <c r="AV1937" s="427"/>
      <c r="AW1937" s="427"/>
      <c r="AX1937" s="432"/>
      <c r="AY1937" s="432"/>
      <c r="AZ1937" s="427"/>
      <c r="BA1937" s="427"/>
      <c r="BB1937" s="429"/>
      <c r="BC1937" s="430"/>
      <c r="BD1937" s="430"/>
    </row>
    <row r="1938" spans="1:59" s="461" customFormat="1" ht="18" customHeight="1" x14ac:dyDescent="0.2">
      <c r="A1938" s="1368" t="str">
        <f>$D$1934&amp;S1938</f>
        <v>JEMBATAN RANGKA SEI. DANAU BESAR RUAS JALAN KOTO RAJO - PL. JAMBU2013</v>
      </c>
      <c r="B1938" s="1373">
        <v>1</v>
      </c>
      <c r="C1938" s="532" t="s">
        <v>1295</v>
      </c>
      <c r="D1938" s="437" t="s">
        <v>3824</v>
      </c>
      <c r="E1938" s="438"/>
      <c r="F1938" s="439">
        <v>2013</v>
      </c>
      <c r="G1938" s="623">
        <v>2229465896</v>
      </c>
      <c r="H1938" s="440">
        <f>VLOOKUP(LEFT(D1938,8),UE,4)</f>
        <v>50</v>
      </c>
      <c r="I1938" s="441"/>
      <c r="J1938" s="442">
        <f t="shared" ref="J1938:J1944" si="1443">F1938+N1938-1</f>
        <v>2062</v>
      </c>
      <c r="K1938" s="443"/>
      <c r="L1938" s="440"/>
      <c r="M1938" s="746">
        <f>IF(H1938+L1938&gt;$H1938,$H1938-H1938,L1938)</f>
        <v>0</v>
      </c>
      <c r="N1938" s="444">
        <f>H1938+M1938</f>
        <v>50</v>
      </c>
      <c r="O1938" s="442">
        <f t="shared" ref="O1938:O1944" si="1444">F1938+N1938-1</f>
        <v>2062</v>
      </c>
      <c r="P1938" s="617">
        <f>G1938</f>
        <v>2229465896</v>
      </c>
      <c r="Q1938" s="445">
        <v>0</v>
      </c>
      <c r="R1938" s="445">
        <f>P1938/N1938</f>
        <v>44589317.920000002</v>
      </c>
      <c r="S1938" s="446">
        <f t="shared" ref="S1938:S1944" si="1445">F1938</f>
        <v>2013</v>
      </c>
      <c r="T1938" s="447">
        <v>1</v>
      </c>
      <c r="U1938" s="613">
        <f t="shared" ref="U1938:U1944" si="1446">R1938*T1938</f>
        <v>44589317.920000002</v>
      </c>
      <c r="V1938" s="442">
        <f t="shared" ref="V1938:V1944" si="1447">F1938</f>
        <v>2013</v>
      </c>
      <c r="W1938" s="617">
        <f>IF(OR(AND(ISBLANK(E1938),ISBLANK(G1938)),ISTEXT(E1938),ISTEXT(G1938)),"",G1938-R1938)</f>
        <v>2184876578.0799999</v>
      </c>
      <c r="X1938" s="448"/>
      <c r="Y1938" s="449"/>
      <c r="Z1938" s="449"/>
      <c r="AA1938" s="450" t="s">
        <v>4179</v>
      </c>
      <c r="AB1938" s="451"/>
      <c r="AC1938" s="451"/>
      <c r="AD1938" s="565"/>
      <c r="AE1938" s="452"/>
      <c r="AF1938" s="571"/>
      <c r="AG1938" s="452"/>
      <c r="AH1938" s="452"/>
      <c r="AI1938" s="453"/>
      <c r="AJ1938" s="449"/>
      <c r="AK1938" s="453"/>
      <c r="AL1938" s="454"/>
      <c r="AM1938" s="455"/>
      <c r="AN1938" s="456"/>
      <c r="AO1938" s="455"/>
      <c r="AP1938" s="452"/>
      <c r="AQ1938" s="457"/>
      <c r="AR1938" s="449"/>
      <c r="AS1938" s="449"/>
      <c r="AT1938" s="452"/>
      <c r="AU1938" s="457"/>
      <c r="AV1938" s="449"/>
      <c r="AW1938" s="458"/>
      <c r="AX1938" s="452"/>
      <c r="AY1938" s="457"/>
      <c r="AZ1938" s="449"/>
      <c r="BA1938" s="459"/>
      <c r="BB1938" s="455"/>
      <c r="BC1938" s="460"/>
      <c r="BD1938" s="460"/>
      <c r="BG1938" s="462"/>
    </row>
    <row r="1939" spans="1:59" s="461" customFormat="1" ht="18" customHeight="1" x14ac:dyDescent="0.2">
      <c r="A1939" s="1368" t="str">
        <f t="shared" ref="A1939:A1944" si="1448">$D$1934&amp;S1939</f>
        <v>JEMBATAN RANGKA SEI. DANAU BESAR RUAS JALAN KOTO RAJO - PL. JAMBU2014</v>
      </c>
      <c r="B1939" s="1373">
        <v>2</v>
      </c>
      <c r="C1939" s="488" t="s">
        <v>1306</v>
      </c>
      <c r="D1939" s="489" t="s">
        <v>3824</v>
      </c>
      <c r="E1939" s="558"/>
      <c r="F1939" s="559">
        <v>2014</v>
      </c>
      <c r="G1939" s="619">
        <v>692444812</v>
      </c>
      <c r="H1939" s="464">
        <f t="shared" ref="H1939:H1944" si="1449">IF(N1938-(F1939-F1938)&lt;=0,0,(N1938-(F1939-F1938)))</f>
        <v>49</v>
      </c>
      <c r="I1939" s="560"/>
      <c r="J1939" s="468">
        <f t="shared" si="1443"/>
        <v>2063</v>
      </c>
      <c r="K1939" s="490">
        <f t="shared" ref="K1939:K1944" si="1450">IF(G1939=0,0,IF(H1939=50,100%,G1939/W1938))</f>
        <v>0.31692628267748585</v>
      </c>
      <c r="L1939" s="469">
        <f t="shared" ref="L1939:L1944" si="1451">IF(K1939=0%,0,IF(K1939&lt;=30%,5,IF(K1939&lt;=45%,10,15)))</f>
        <v>10</v>
      </c>
      <c r="M1939" s="683">
        <f t="shared" ref="M1939:M1944" si="1452">IF(OR(AND(ISBLANK(E1939),ISBLANK(G1939)),ISTEXT(E1939),ISTEXT(G1939)),"",IF(H1939+L1939&gt;$H$1899,$H$1899-H1939,L1939))</f>
        <v>1</v>
      </c>
      <c r="N1939" s="470">
        <f t="shared" ref="N1939:N1944" si="1453">IF(OR(AND(ISBLANK(F1939),ISBLANK(G1939)),ISTEXT(F1939),ISTEXT(G1939)),"",H1939+M1939)</f>
        <v>50</v>
      </c>
      <c r="O1939" s="468">
        <f t="shared" si="1444"/>
        <v>2063</v>
      </c>
      <c r="P1939" s="616">
        <f t="shared" ref="P1939:P1944" si="1454">W1938</f>
        <v>2184876578.0799999</v>
      </c>
      <c r="Q1939" s="472">
        <f t="shared" ref="Q1939:Q1944" si="1455">P1939+G1939</f>
        <v>2877321390.0799999</v>
      </c>
      <c r="R1939" s="472">
        <f t="shared" ref="R1939:R1944" si="1456">IF(L1939=0,R1938,Q1939/N1939)</f>
        <v>57546427.801600002</v>
      </c>
      <c r="S1939" s="634">
        <f t="shared" si="1445"/>
        <v>2014</v>
      </c>
      <c r="T1939" s="470">
        <f t="shared" ref="T1939:T1944" si="1457">S1939-S1938</f>
        <v>1</v>
      </c>
      <c r="U1939" s="612">
        <f t="shared" si="1446"/>
        <v>57546427.801600002</v>
      </c>
      <c r="V1939" s="464">
        <f t="shared" si="1447"/>
        <v>2014</v>
      </c>
      <c r="W1939" s="612">
        <f t="shared" ref="W1939:W1944" si="1458">IF(OR(AND(ISBLANK(E1939),ISBLANK(G1939)),ISTEXT(E1939),ISTEXT(G1939)),"",Q1939-U1939)</f>
        <v>2819774962.2783999</v>
      </c>
      <c r="X1939" s="561"/>
      <c r="Y1939" s="449"/>
      <c r="Z1939" s="449"/>
      <c r="AA1939" s="554"/>
      <c r="AB1939" s="452"/>
      <c r="AC1939" s="452"/>
      <c r="AD1939" s="566"/>
      <c r="AE1939" s="452"/>
      <c r="AF1939" s="571"/>
      <c r="AG1939" s="452"/>
      <c r="AH1939" s="452"/>
      <c r="AI1939" s="453"/>
      <c r="AJ1939" s="449"/>
      <c r="AK1939" s="453"/>
      <c r="AL1939" s="454"/>
      <c r="AM1939" s="455"/>
      <c r="AN1939" s="456"/>
      <c r="AO1939" s="455"/>
      <c r="AP1939" s="452"/>
      <c r="AQ1939" s="457"/>
      <c r="AR1939" s="449"/>
      <c r="AS1939" s="449"/>
      <c r="AT1939" s="452"/>
      <c r="AU1939" s="457"/>
      <c r="AV1939" s="449"/>
      <c r="AW1939" s="458"/>
      <c r="AX1939" s="452"/>
      <c r="AY1939" s="457"/>
      <c r="AZ1939" s="449"/>
      <c r="BA1939" s="459"/>
      <c r="BB1939" s="455"/>
      <c r="BC1939" s="460"/>
      <c r="BD1939" s="460"/>
      <c r="BG1939" s="462"/>
    </row>
    <row r="1940" spans="1:59" s="486" customFormat="1" ht="18" customHeight="1" x14ac:dyDescent="0.2">
      <c r="A1940" s="1368" t="str">
        <f t="shared" si="1448"/>
        <v>JEMBATAN RANGKA SEI. DANAU BESAR RUAS JALAN KOTO RAJO - PL. JAMBU2015</v>
      </c>
      <c r="B1940" s="1373"/>
      <c r="C1940" s="488"/>
      <c r="D1940" s="489"/>
      <c r="E1940" s="558"/>
      <c r="F1940" s="559">
        <v>2015</v>
      </c>
      <c r="G1940" s="619">
        <v>0</v>
      </c>
      <c r="H1940" s="464">
        <f t="shared" si="1449"/>
        <v>49</v>
      </c>
      <c r="I1940" s="560"/>
      <c r="J1940" s="468">
        <f t="shared" si="1443"/>
        <v>2063</v>
      </c>
      <c r="K1940" s="490">
        <f t="shared" si="1450"/>
        <v>0</v>
      </c>
      <c r="L1940" s="469">
        <f t="shared" si="1451"/>
        <v>0</v>
      </c>
      <c r="M1940" s="683">
        <f t="shared" si="1452"/>
        <v>0</v>
      </c>
      <c r="N1940" s="470">
        <f t="shared" si="1453"/>
        <v>49</v>
      </c>
      <c r="O1940" s="468">
        <f t="shared" si="1444"/>
        <v>2063</v>
      </c>
      <c r="P1940" s="616">
        <f t="shared" si="1454"/>
        <v>2819774962.2783999</v>
      </c>
      <c r="Q1940" s="472">
        <f t="shared" si="1455"/>
        <v>2819774962.2783999</v>
      </c>
      <c r="R1940" s="472">
        <f t="shared" si="1456"/>
        <v>57546427.801600002</v>
      </c>
      <c r="S1940" s="759">
        <f t="shared" si="1445"/>
        <v>2015</v>
      </c>
      <c r="T1940" s="470">
        <f t="shared" si="1457"/>
        <v>1</v>
      </c>
      <c r="U1940" s="612">
        <f t="shared" si="1446"/>
        <v>57546427.801600002</v>
      </c>
      <c r="V1940" s="464">
        <f t="shared" si="1447"/>
        <v>2015</v>
      </c>
      <c r="W1940" s="612">
        <f t="shared" si="1458"/>
        <v>2762228534.4768</v>
      </c>
      <c r="X1940" s="561"/>
      <c r="Y1940" s="474"/>
      <c r="Z1940" s="449"/>
      <c r="AA1940" s="475" t="s">
        <v>4180</v>
      </c>
      <c r="AB1940" s="476"/>
      <c r="AC1940" s="476"/>
      <c r="AD1940" s="567">
        <f>G1947</f>
        <v>2921910708</v>
      </c>
      <c r="AE1940" s="476"/>
      <c r="AF1940" s="568"/>
      <c r="AG1940" s="476"/>
      <c r="AH1940" s="476"/>
      <c r="AI1940" s="477"/>
      <c r="AJ1940" s="478"/>
      <c r="AK1940" s="479"/>
      <c r="AL1940" s="480"/>
      <c r="AM1940" s="474"/>
      <c r="AN1940" s="481"/>
      <c r="AO1940" s="474"/>
      <c r="AP1940" s="476"/>
      <c r="AQ1940" s="482"/>
      <c r="AR1940" s="478"/>
      <c r="AS1940" s="478"/>
      <c r="AT1940" s="476"/>
      <c r="AU1940" s="482"/>
      <c r="AV1940" s="478"/>
      <c r="AW1940" s="483"/>
      <c r="AX1940" s="476"/>
      <c r="AY1940" s="482"/>
      <c r="AZ1940" s="478"/>
      <c r="BA1940" s="484"/>
      <c r="BB1940" s="474"/>
      <c r="BC1940" s="485"/>
      <c r="BD1940" s="485"/>
      <c r="BG1940" s="487"/>
    </row>
    <row r="1941" spans="1:59" s="486" customFormat="1" ht="18" customHeight="1" x14ac:dyDescent="0.2">
      <c r="A1941" s="1368" t="str">
        <f t="shared" si="1448"/>
        <v>JEMBATAN RANGKA SEI. DANAU BESAR RUAS JALAN KOTO RAJO - PL. JAMBU2016</v>
      </c>
      <c r="B1941" s="1373"/>
      <c r="C1941" s="488"/>
      <c r="D1941" s="489"/>
      <c r="E1941" s="558"/>
      <c r="F1941" s="559">
        <v>2016</v>
      </c>
      <c r="G1941" s="619">
        <v>0</v>
      </c>
      <c r="H1941" s="464">
        <f t="shared" si="1449"/>
        <v>48</v>
      </c>
      <c r="I1941" s="467"/>
      <c r="J1941" s="468">
        <f t="shared" si="1443"/>
        <v>2063</v>
      </c>
      <c r="K1941" s="490">
        <f t="shared" si="1450"/>
        <v>0</v>
      </c>
      <c r="L1941" s="469">
        <f t="shared" si="1451"/>
        <v>0</v>
      </c>
      <c r="M1941" s="683">
        <f t="shared" si="1452"/>
        <v>0</v>
      </c>
      <c r="N1941" s="470">
        <f t="shared" si="1453"/>
        <v>48</v>
      </c>
      <c r="O1941" s="468">
        <f t="shared" si="1444"/>
        <v>2063</v>
      </c>
      <c r="P1941" s="616">
        <f t="shared" si="1454"/>
        <v>2762228534.4768</v>
      </c>
      <c r="Q1941" s="472">
        <f t="shared" si="1455"/>
        <v>2762228534.4768</v>
      </c>
      <c r="R1941" s="472">
        <f t="shared" si="1456"/>
        <v>57546427.801600002</v>
      </c>
      <c r="S1941" s="759">
        <f t="shared" si="1445"/>
        <v>2016</v>
      </c>
      <c r="T1941" s="470">
        <f t="shared" si="1457"/>
        <v>1</v>
      </c>
      <c r="U1941" s="612">
        <f t="shared" si="1446"/>
        <v>57546427.801600002</v>
      </c>
      <c r="V1941" s="464">
        <f t="shared" si="1447"/>
        <v>2016</v>
      </c>
      <c r="W1941" s="612">
        <f t="shared" si="1458"/>
        <v>2704682106.6752</v>
      </c>
      <c r="X1941" s="473"/>
      <c r="Y1941" s="478"/>
      <c r="Z1941" s="449"/>
      <c r="AA1941" s="475" t="s">
        <v>4181</v>
      </c>
      <c r="AB1941" s="491"/>
      <c r="AC1941" s="491"/>
      <c r="AD1941" s="567">
        <f>U1947</f>
        <v>389867884.72959995</v>
      </c>
      <c r="AE1941" s="491"/>
      <c r="AF1941" s="568"/>
      <c r="AG1941" s="491"/>
      <c r="AH1941" s="491"/>
      <c r="AI1941" s="477"/>
      <c r="AJ1941" s="478"/>
      <c r="AK1941" s="479"/>
      <c r="AL1941" s="480"/>
      <c r="AM1941" s="474"/>
      <c r="AN1941" s="481"/>
      <c r="AO1941" s="474"/>
      <c r="AP1941" s="476"/>
      <c r="AQ1941" s="482"/>
      <c r="AR1941" s="478"/>
      <c r="AS1941" s="478"/>
      <c r="AT1941" s="476"/>
      <c r="AU1941" s="482"/>
      <c r="AV1941" s="478"/>
      <c r="AW1941" s="483"/>
      <c r="AX1941" s="476"/>
      <c r="AY1941" s="482"/>
      <c r="AZ1941" s="478"/>
      <c r="BA1941" s="484"/>
      <c r="BB1941" s="474"/>
      <c r="BC1941" s="485"/>
      <c r="BD1941" s="485"/>
      <c r="BG1941" s="487"/>
    </row>
    <row r="1942" spans="1:59" s="486" customFormat="1" ht="18" customHeight="1" x14ac:dyDescent="0.2">
      <c r="A1942" s="1368" t="str">
        <f t="shared" si="1448"/>
        <v>JEMBATAN RANGKA SEI. DANAU BESAR RUAS JALAN KOTO RAJO - PL. JAMBU2017</v>
      </c>
      <c r="B1942" s="1373"/>
      <c r="C1942" s="488"/>
      <c r="D1942" s="489"/>
      <c r="E1942" s="558"/>
      <c r="F1942" s="559">
        <v>2017</v>
      </c>
      <c r="G1942" s="619">
        <v>0</v>
      </c>
      <c r="H1942" s="464">
        <f t="shared" si="1449"/>
        <v>47</v>
      </c>
      <c r="I1942" s="467"/>
      <c r="J1942" s="468">
        <f t="shared" si="1443"/>
        <v>2063</v>
      </c>
      <c r="K1942" s="490">
        <f t="shared" si="1450"/>
        <v>0</v>
      </c>
      <c r="L1942" s="469">
        <f t="shared" si="1451"/>
        <v>0</v>
      </c>
      <c r="M1942" s="683">
        <f t="shared" si="1452"/>
        <v>0</v>
      </c>
      <c r="N1942" s="470">
        <f t="shared" si="1453"/>
        <v>47</v>
      </c>
      <c r="O1942" s="468">
        <f t="shared" si="1444"/>
        <v>2063</v>
      </c>
      <c r="P1942" s="616">
        <f t="shared" si="1454"/>
        <v>2704682106.6752</v>
      </c>
      <c r="Q1942" s="472">
        <f t="shared" si="1455"/>
        <v>2704682106.6752</v>
      </c>
      <c r="R1942" s="472">
        <f t="shared" si="1456"/>
        <v>57546427.801600002</v>
      </c>
      <c r="S1942" s="759">
        <f t="shared" si="1445"/>
        <v>2017</v>
      </c>
      <c r="T1942" s="470">
        <f t="shared" si="1457"/>
        <v>1</v>
      </c>
      <c r="U1942" s="612">
        <f t="shared" si="1446"/>
        <v>57546427.801600002</v>
      </c>
      <c r="V1942" s="464">
        <f t="shared" si="1447"/>
        <v>2017</v>
      </c>
      <c r="W1942" s="612">
        <f t="shared" si="1458"/>
        <v>2647135678.8736</v>
      </c>
      <c r="X1942" s="473"/>
      <c r="Y1942" s="478"/>
      <c r="Z1942" s="449"/>
      <c r="AA1942" s="492" t="s">
        <v>4182</v>
      </c>
      <c r="AB1942" s="476"/>
      <c r="AC1942" s="476"/>
      <c r="AD1942" s="567">
        <f>AD1940-AD1941</f>
        <v>2532042823.2704</v>
      </c>
      <c r="AE1942" s="476"/>
      <c r="AF1942" s="568"/>
      <c r="AG1942" s="476"/>
      <c r="AH1942" s="476"/>
      <c r="AI1942" s="477"/>
      <c r="AJ1942" s="478"/>
      <c r="AK1942" s="479"/>
      <c r="AL1942" s="480"/>
      <c r="AM1942" s="474"/>
      <c r="AN1942" s="481"/>
      <c r="AO1942" s="474"/>
      <c r="AP1942" s="476"/>
      <c r="AQ1942" s="482"/>
      <c r="AR1942" s="478"/>
      <c r="AS1942" s="478"/>
      <c r="AT1942" s="476"/>
      <c r="AU1942" s="482"/>
      <c r="AV1942" s="478"/>
      <c r="AW1942" s="483"/>
      <c r="AX1942" s="476"/>
      <c r="AY1942" s="482"/>
      <c r="AZ1942" s="478"/>
      <c r="BA1942" s="484"/>
      <c r="BB1942" s="474"/>
      <c r="BC1942" s="485"/>
      <c r="BD1942" s="485"/>
      <c r="BG1942" s="487"/>
    </row>
    <row r="1943" spans="1:59" s="486" customFormat="1" ht="18" customHeight="1" x14ac:dyDescent="0.2">
      <c r="A1943" s="1368" t="str">
        <f t="shared" si="1448"/>
        <v>JEMBATAN RANGKA SEI. DANAU BESAR RUAS JALAN KOTO RAJO - PL. JAMBU2018</v>
      </c>
      <c r="B1943" s="687"/>
      <c r="C1943" s="488"/>
      <c r="D1943" s="489"/>
      <c r="E1943" s="558"/>
      <c r="F1943" s="559">
        <v>2018</v>
      </c>
      <c r="G1943" s="619">
        <v>0</v>
      </c>
      <c r="H1943" s="464">
        <f t="shared" si="1449"/>
        <v>46</v>
      </c>
      <c r="I1943" s="467"/>
      <c r="J1943" s="468">
        <f t="shared" si="1443"/>
        <v>2063</v>
      </c>
      <c r="K1943" s="490">
        <f t="shared" si="1450"/>
        <v>0</v>
      </c>
      <c r="L1943" s="469">
        <f t="shared" si="1451"/>
        <v>0</v>
      </c>
      <c r="M1943" s="683">
        <f t="shared" si="1452"/>
        <v>0</v>
      </c>
      <c r="N1943" s="470">
        <f t="shared" si="1453"/>
        <v>46</v>
      </c>
      <c r="O1943" s="468">
        <f t="shared" si="1444"/>
        <v>2063</v>
      </c>
      <c r="P1943" s="616">
        <f t="shared" si="1454"/>
        <v>2647135678.8736</v>
      </c>
      <c r="Q1943" s="472">
        <f t="shared" si="1455"/>
        <v>2647135678.8736</v>
      </c>
      <c r="R1943" s="472">
        <f t="shared" si="1456"/>
        <v>57546427.801600002</v>
      </c>
      <c r="S1943" s="759">
        <f t="shared" si="1445"/>
        <v>2018</v>
      </c>
      <c r="T1943" s="470">
        <f t="shared" si="1457"/>
        <v>1</v>
      </c>
      <c r="U1943" s="612">
        <f t="shared" si="1446"/>
        <v>57546427.801600002</v>
      </c>
      <c r="V1943" s="464">
        <f t="shared" si="1447"/>
        <v>2018</v>
      </c>
      <c r="W1943" s="612">
        <f t="shared" si="1458"/>
        <v>2589589251.072</v>
      </c>
      <c r="X1943" s="473"/>
      <c r="Y1943" s="478"/>
      <c r="Z1943" s="449"/>
      <c r="AA1943" s="531" t="s">
        <v>4183</v>
      </c>
      <c r="AB1943" s="496"/>
      <c r="AC1943" s="496"/>
      <c r="AD1943" s="569">
        <f>AD1942-W1947</f>
        <v>0</v>
      </c>
      <c r="AE1943" s="476"/>
      <c r="AF1943" s="568"/>
      <c r="AG1943" s="476"/>
      <c r="AH1943" s="476"/>
      <c r="AI1943" s="477"/>
      <c r="AJ1943" s="478"/>
      <c r="AK1943" s="479"/>
      <c r="AL1943" s="480"/>
      <c r="AM1943" s="474"/>
      <c r="AN1943" s="481"/>
      <c r="AO1943" s="474"/>
      <c r="AP1943" s="476"/>
      <c r="AQ1943" s="482"/>
      <c r="AR1943" s="478"/>
      <c r="AS1943" s="478"/>
      <c r="AT1943" s="476"/>
      <c r="AU1943" s="482"/>
      <c r="AV1943" s="478"/>
      <c r="AW1943" s="483"/>
      <c r="AX1943" s="476"/>
      <c r="AY1943" s="482"/>
      <c r="AZ1943" s="478"/>
      <c r="BA1943" s="484"/>
      <c r="BB1943" s="474"/>
      <c r="BC1943" s="485"/>
      <c r="BD1943" s="485"/>
      <c r="BG1943" s="487"/>
    </row>
    <row r="1944" spans="1:59" s="486" customFormat="1" ht="18" customHeight="1" x14ac:dyDescent="0.2">
      <c r="A1944" s="1368" t="str">
        <f t="shared" si="1448"/>
        <v>JEMBATAN RANGKA SEI. DANAU BESAR RUAS JALAN KOTO RAJO - PL. JAMBU2019</v>
      </c>
      <c r="B1944" s="687"/>
      <c r="C1944" s="488"/>
      <c r="D1944" s="489"/>
      <c r="E1944" s="558"/>
      <c r="F1944" s="559">
        <v>2019</v>
      </c>
      <c r="G1944" s="619">
        <v>0</v>
      </c>
      <c r="H1944" s="464">
        <f t="shared" si="1449"/>
        <v>45</v>
      </c>
      <c r="I1944" s="467"/>
      <c r="J1944" s="468">
        <f t="shared" si="1443"/>
        <v>2063</v>
      </c>
      <c r="K1944" s="490">
        <f t="shared" si="1450"/>
        <v>0</v>
      </c>
      <c r="L1944" s="469">
        <f t="shared" si="1451"/>
        <v>0</v>
      </c>
      <c r="M1944" s="683">
        <f t="shared" si="1452"/>
        <v>0</v>
      </c>
      <c r="N1944" s="470">
        <f t="shared" si="1453"/>
        <v>45</v>
      </c>
      <c r="O1944" s="468">
        <f t="shared" si="1444"/>
        <v>2063</v>
      </c>
      <c r="P1944" s="616">
        <f t="shared" si="1454"/>
        <v>2589589251.072</v>
      </c>
      <c r="Q1944" s="472">
        <f t="shared" si="1455"/>
        <v>2589589251.072</v>
      </c>
      <c r="R1944" s="472">
        <f t="shared" si="1456"/>
        <v>57546427.801600002</v>
      </c>
      <c r="S1944" s="1189">
        <f t="shared" si="1445"/>
        <v>2019</v>
      </c>
      <c r="T1944" s="470">
        <f t="shared" si="1457"/>
        <v>1</v>
      </c>
      <c r="U1944" s="612">
        <f t="shared" si="1446"/>
        <v>57546427.801600002</v>
      </c>
      <c r="V1944" s="464">
        <f t="shared" si="1447"/>
        <v>2019</v>
      </c>
      <c r="W1944" s="612">
        <f t="shared" si="1458"/>
        <v>2532042823.2704</v>
      </c>
      <c r="X1944" s="473"/>
      <c r="Y1944" s="478"/>
      <c r="Z1944" s="449"/>
      <c r="AA1944" s="573"/>
      <c r="AB1944" s="476"/>
      <c r="AC1944" s="476"/>
      <c r="AD1944" s="568"/>
      <c r="AE1944" s="476"/>
      <c r="AF1944" s="568"/>
      <c r="AG1944" s="476"/>
      <c r="AH1944" s="476"/>
      <c r="AI1944" s="477"/>
      <c r="AJ1944" s="478"/>
      <c r="AK1944" s="479"/>
      <c r="AL1944" s="480"/>
      <c r="AM1944" s="474"/>
      <c r="AN1944" s="481"/>
      <c r="AO1944" s="474"/>
      <c r="AP1944" s="476"/>
      <c r="AQ1944" s="482"/>
      <c r="AR1944" s="478"/>
      <c r="AS1944" s="478"/>
      <c r="AT1944" s="476"/>
      <c r="AU1944" s="482"/>
      <c r="AV1944" s="478"/>
      <c r="AW1944" s="483"/>
      <c r="AX1944" s="476"/>
      <c r="AY1944" s="482"/>
      <c r="AZ1944" s="478"/>
      <c r="BA1944" s="484"/>
      <c r="BB1944" s="474"/>
      <c r="BC1944" s="485"/>
      <c r="BD1944" s="485"/>
      <c r="BG1944" s="487"/>
    </row>
    <row r="1945" spans="1:59" s="486" customFormat="1" ht="18" customHeight="1" x14ac:dyDescent="0.2">
      <c r="A1945" s="1368"/>
      <c r="B1945" s="687"/>
      <c r="C1945" s="488"/>
      <c r="D1945" s="489"/>
      <c r="E1945" s="558"/>
      <c r="F1945" s="466"/>
      <c r="G1945" s="619"/>
      <c r="H1945" s="464"/>
      <c r="I1945" s="467"/>
      <c r="J1945" s="468"/>
      <c r="K1945" s="490"/>
      <c r="L1945" s="469"/>
      <c r="M1945" s="683"/>
      <c r="N1945" s="470"/>
      <c r="O1945" s="468"/>
      <c r="P1945" s="616"/>
      <c r="Q1945" s="472"/>
      <c r="R1945" s="472"/>
      <c r="S1945" s="634"/>
      <c r="T1945" s="470"/>
      <c r="U1945" s="612"/>
      <c r="V1945" s="464"/>
      <c r="W1945" s="612"/>
      <c r="X1945" s="473"/>
      <c r="Y1945" s="478"/>
      <c r="Z1945" s="449"/>
      <c r="AA1945" s="573"/>
      <c r="AB1945" s="476"/>
      <c r="AC1945" s="476"/>
      <c r="AD1945" s="568"/>
      <c r="AE1945" s="476"/>
      <c r="AF1945" s="568"/>
      <c r="AG1945" s="476"/>
      <c r="AH1945" s="476"/>
      <c r="AI1945" s="477"/>
      <c r="AJ1945" s="478"/>
      <c r="AK1945" s="479"/>
      <c r="AL1945" s="480"/>
      <c r="AM1945" s="474"/>
      <c r="AN1945" s="481"/>
      <c r="AO1945" s="474"/>
      <c r="AP1945" s="476"/>
      <c r="AQ1945" s="482"/>
      <c r="AR1945" s="478"/>
      <c r="AS1945" s="478"/>
      <c r="AT1945" s="476"/>
      <c r="AU1945" s="482"/>
      <c r="AV1945" s="478"/>
      <c r="AW1945" s="483"/>
      <c r="AX1945" s="476"/>
      <c r="AY1945" s="482"/>
      <c r="AZ1945" s="478"/>
      <c r="BA1945" s="484"/>
      <c r="BB1945" s="474"/>
      <c r="BC1945" s="485"/>
      <c r="BD1945" s="485"/>
      <c r="BG1945" s="487"/>
    </row>
    <row r="1946" spans="1:59" s="486" customFormat="1" ht="18" customHeight="1" x14ac:dyDescent="0.2">
      <c r="A1946" s="1368" t="str">
        <f>LEFT(D1946,8)</f>
        <v/>
      </c>
      <c r="B1946" s="687"/>
      <c r="C1946" s="463"/>
      <c r="D1946" s="489"/>
      <c r="E1946" s="465"/>
      <c r="F1946" s="466"/>
      <c r="G1946" s="620"/>
      <c r="H1946" s="464"/>
      <c r="I1946" s="467"/>
      <c r="J1946" s="468"/>
      <c r="K1946" s="574"/>
      <c r="L1946" s="469"/>
      <c r="M1946" s="683"/>
      <c r="N1946" s="470"/>
      <c r="O1946" s="468"/>
      <c r="P1946" s="616"/>
      <c r="Q1946" s="472"/>
      <c r="R1946" s="472"/>
      <c r="S1946" s="634"/>
      <c r="T1946" s="470"/>
      <c r="U1946" s="612"/>
      <c r="V1946" s="464"/>
      <c r="W1946" s="612"/>
      <c r="X1946" s="473"/>
      <c r="Y1946" s="478"/>
      <c r="Z1946" s="449"/>
      <c r="AA1946" s="573"/>
      <c r="AB1946" s="476"/>
      <c r="AC1946" s="476"/>
      <c r="AD1946" s="568"/>
      <c r="AE1946" s="476"/>
      <c r="AF1946" s="568"/>
      <c r="AG1946" s="476"/>
      <c r="AH1946" s="476"/>
      <c r="AI1946" s="477"/>
      <c r="AJ1946" s="478"/>
      <c r="AK1946" s="479"/>
      <c r="AL1946" s="480"/>
      <c r="AM1946" s="474"/>
      <c r="AN1946" s="481"/>
      <c r="AO1946" s="474"/>
      <c r="AP1946" s="476"/>
      <c r="AQ1946" s="482"/>
      <c r="AR1946" s="478"/>
      <c r="AS1946" s="478"/>
      <c r="AT1946" s="476"/>
      <c r="AU1946" s="482"/>
      <c r="AV1946" s="478"/>
      <c r="AW1946" s="483"/>
      <c r="AX1946" s="476"/>
      <c r="AY1946" s="482"/>
      <c r="AZ1946" s="478"/>
      <c r="BA1946" s="484"/>
      <c r="BB1946" s="474"/>
      <c r="BC1946" s="485"/>
      <c r="BD1946" s="485"/>
      <c r="BG1946" s="487"/>
    </row>
    <row r="1947" spans="1:59" s="526" customFormat="1" ht="18" customHeight="1" x14ac:dyDescent="0.2">
      <c r="A1947" s="1370" t="s">
        <v>4184</v>
      </c>
      <c r="B1947" s="1956" t="s">
        <v>4184</v>
      </c>
      <c r="C1947" s="1957"/>
      <c r="D1947" s="1957"/>
      <c r="E1947" s="1957"/>
      <c r="F1947" s="1958"/>
      <c r="G1947" s="624">
        <f>SUM(G1938:G1946)</f>
        <v>2921910708</v>
      </c>
      <c r="H1947" s="505"/>
      <c r="I1947" s="506"/>
      <c r="J1947" s="507"/>
      <c r="K1947" s="507"/>
      <c r="L1947" s="505"/>
      <c r="M1947" s="684"/>
      <c r="N1947" s="508"/>
      <c r="O1947" s="507"/>
      <c r="P1947" s="749"/>
      <c r="Q1947" s="510"/>
      <c r="R1947" s="511"/>
      <c r="S1947" s="512"/>
      <c r="T1947" s="512"/>
      <c r="U1947" s="610">
        <f>SUM(U1938:U1946)</f>
        <v>389867884.72959995</v>
      </c>
      <c r="V1947" s="513"/>
      <c r="W1947" s="610">
        <f>G1947-U1947</f>
        <v>2532042823.2704</v>
      </c>
      <c r="X1947" s="514"/>
      <c r="Y1947" s="515"/>
      <c r="Z1947" s="515"/>
      <c r="AA1947" s="515"/>
      <c r="AB1947" s="515"/>
      <c r="AC1947" s="515"/>
      <c r="AD1947" s="570"/>
      <c r="AE1947" s="515"/>
      <c r="AF1947" s="570">
        <v>332321456.92799997</v>
      </c>
      <c r="AG1947" s="515"/>
      <c r="AH1947" s="515"/>
      <c r="AI1947" s="516"/>
      <c r="AJ1947" s="517"/>
      <c r="AK1947" s="518"/>
      <c r="AL1947" s="519"/>
      <c r="AM1947" s="520"/>
      <c r="AN1947" s="521"/>
      <c r="AO1947" s="520"/>
      <c r="AP1947" s="515"/>
      <c r="AQ1947" s="522"/>
      <c r="AR1947" s="517"/>
      <c r="AS1947" s="517"/>
      <c r="AT1947" s="515"/>
      <c r="AU1947" s="522"/>
      <c r="AV1947" s="517"/>
      <c r="AW1947" s="523"/>
      <c r="AX1947" s="515"/>
      <c r="AY1947" s="522"/>
      <c r="AZ1947" s="517"/>
      <c r="BA1947" s="524"/>
      <c r="BB1947" s="520"/>
      <c r="BC1947" s="525"/>
      <c r="BD1947" s="525"/>
      <c r="BG1947" s="527"/>
    </row>
    <row r="1948" spans="1:59" ht="18" customHeight="1" x14ac:dyDescent="0.2"/>
    <row r="1950" spans="1:59" s="422" customFormat="1" ht="18" customHeight="1" x14ac:dyDescent="0.2">
      <c r="A1950" s="1366" t="str">
        <f>C1950</f>
        <v>J4</v>
      </c>
      <c r="B1950" s="742" t="s">
        <v>4187</v>
      </c>
      <c r="C1950" s="556" t="s">
        <v>4137</v>
      </c>
      <c r="D1950" s="553" t="s">
        <v>4193</v>
      </c>
      <c r="E1950" s="553"/>
      <c r="F1950" s="421"/>
      <c r="G1950" s="611"/>
      <c r="I1950" s="423"/>
      <c r="J1950" s="424"/>
      <c r="K1950" s="424"/>
      <c r="M1950" s="680"/>
      <c r="P1950" s="611"/>
      <c r="U1950" s="611"/>
      <c r="W1950" s="611"/>
      <c r="Y1950" s="425"/>
      <c r="Z1950" s="425"/>
      <c r="AA1950" s="425"/>
      <c r="AB1950" s="425"/>
      <c r="AC1950" s="425"/>
      <c r="AD1950" s="563"/>
      <c r="AE1950" s="425"/>
      <c r="AF1950" s="563"/>
      <c r="AG1950" s="425"/>
      <c r="AH1950" s="425"/>
      <c r="AI1950" s="425"/>
      <c r="AJ1950" s="425"/>
      <c r="AK1950" s="425"/>
      <c r="AL1950" s="425"/>
      <c r="AM1950" s="425"/>
      <c r="AN1950" s="425"/>
      <c r="AO1950" s="425"/>
      <c r="AP1950" s="425"/>
      <c r="AQ1950" s="425"/>
      <c r="AR1950" s="425"/>
      <c r="AS1950" s="425"/>
      <c r="AT1950" s="425"/>
      <c r="AU1950" s="425"/>
      <c r="AV1950" s="425"/>
      <c r="AW1950" s="425"/>
      <c r="AX1950" s="425"/>
      <c r="AY1950" s="425"/>
      <c r="AZ1950" s="425"/>
      <c r="BA1950" s="425"/>
      <c r="BB1950" s="425"/>
    </row>
    <row r="1951" spans="1:59" s="431" customFormat="1" ht="18" customHeight="1" x14ac:dyDescent="0.2">
      <c r="A1951" s="1367"/>
      <c r="B1951" s="1968" t="s">
        <v>5</v>
      </c>
      <c r="C1951" s="1968" t="s">
        <v>2280</v>
      </c>
      <c r="D1951" s="1968" t="s">
        <v>4157</v>
      </c>
      <c r="E1951" s="1968" t="s">
        <v>4158</v>
      </c>
      <c r="F1951" s="1968"/>
      <c r="G1951" s="2042" t="s">
        <v>4159</v>
      </c>
      <c r="H1951" s="1968" t="s">
        <v>4160</v>
      </c>
      <c r="I1951" s="1968"/>
      <c r="J1951" s="1968" t="s">
        <v>4185</v>
      </c>
      <c r="K1951" s="1964" t="s">
        <v>4162</v>
      </c>
      <c r="L1951" s="1968" t="s">
        <v>4163</v>
      </c>
      <c r="M1951" s="1971" t="s">
        <v>4164</v>
      </c>
      <c r="N1951" s="1962" t="s">
        <v>4165</v>
      </c>
      <c r="O1951" s="1968" t="s">
        <v>4166</v>
      </c>
      <c r="P1951" s="1972" t="s">
        <v>4167</v>
      </c>
      <c r="Q1951" s="1973"/>
      <c r="R1951" s="636" t="s">
        <v>4186</v>
      </c>
      <c r="S1951" s="1972" t="s">
        <v>4169</v>
      </c>
      <c r="T1951" s="1974"/>
      <c r="U1951" s="1973"/>
      <c r="V1951" s="1975" t="s">
        <v>4170</v>
      </c>
      <c r="W1951" s="1975"/>
      <c r="X1951" s="1960" t="s">
        <v>4171</v>
      </c>
      <c r="Y1951" s="1959"/>
      <c r="Z1951" s="633"/>
      <c r="AA1951" s="426"/>
      <c r="AB1951" s="426"/>
      <c r="AC1951" s="426"/>
      <c r="AD1951" s="564"/>
      <c r="AE1951" s="426"/>
      <c r="AF1951" s="564"/>
      <c r="AG1951" s="426"/>
      <c r="AH1951" s="426"/>
      <c r="AI1951" s="427"/>
      <c r="AJ1951" s="427"/>
      <c r="AK1951" s="427"/>
      <c r="AL1951" s="427"/>
      <c r="AM1951" s="428"/>
      <c r="AN1951" s="427"/>
      <c r="AO1951" s="427"/>
      <c r="AP1951" s="426"/>
      <c r="AQ1951" s="427"/>
      <c r="AR1951" s="427"/>
      <c r="AS1951" s="427"/>
      <c r="AT1951" s="426"/>
      <c r="AU1951" s="427"/>
      <c r="AV1951" s="427"/>
      <c r="AW1951" s="427"/>
      <c r="AX1951" s="426"/>
      <c r="AY1951" s="427"/>
      <c r="AZ1951" s="427"/>
      <c r="BA1951" s="427"/>
      <c r="BB1951" s="429"/>
      <c r="BC1951" s="430"/>
      <c r="BD1951" s="430"/>
    </row>
    <row r="1952" spans="1:59" s="431" customFormat="1" ht="18" customHeight="1" x14ac:dyDescent="0.2">
      <c r="A1952" s="1367"/>
      <c r="B1952" s="1968"/>
      <c r="C1952" s="1968"/>
      <c r="D1952" s="1968"/>
      <c r="E1952" s="1968"/>
      <c r="F1952" s="1968"/>
      <c r="G1952" s="2042"/>
      <c r="H1952" s="1968"/>
      <c r="I1952" s="1968"/>
      <c r="J1952" s="1968"/>
      <c r="K1952" s="1970"/>
      <c r="L1952" s="1968"/>
      <c r="M1952" s="1971"/>
      <c r="N1952" s="1963"/>
      <c r="O1952" s="1968"/>
      <c r="P1952" s="2037" t="s">
        <v>4172</v>
      </c>
      <c r="Q1952" s="1960" t="s">
        <v>4173</v>
      </c>
      <c r="R1952" s="1962" t="s">
        <v>4159</v>
      </c>
      <c r="S1952" s="1962" t="s">
        <v>4174</v>
      </c>
      <c r="T1952" s="1964" t="s">
        <v>4175</v>
      </c>
      <c r="U1952" s="1966" t="s">
        <v>4159</v>
      </c>
      <c r="V1952" s="1975"/>
      <c r="W1952" s="1975"/>
      <c r="X1952" s="1976"/>
      <c r="Y1952" s="1959"/>
      <c r="Z1952" s="633"/>
      <c r="AA1952" s="426"/>
      <c r="AB1952" s="426"/>
      <c r="AC1952" s="426"/>
      <c r="AD1952" s="564"/>
      <c r="AE1952" s="426"/>
      <c r="AF1952" s="564"/>
      <c r="AG1952" s="426"/>
      <c r="AH1952" s="426"/>
      <c r="AI1952" s="427"/>
      <c r="AJ1952" s="427"/>
      <c r="AK1952" s="426"/>
      <c r="AL1952" s="427"/>
      <c r="AM1952" s="428"/>
      <c r="AN1952" s="427"/>
      <c r="AO1952" s="427"/>
      <c r="AP1952" s="432"/>
      <c r="AQ1952" s="427"/>
      <c r="AR1952" s="427"/>
      <c r="AS1952" s="427"/>
      <c r="AT1952" s="432"/>
      <c r="AU1952" s="427"/>
      <c r="AV1952" s="427"/>
      <c r="AW1952" s="427"/>
      <c r="AX1952" s="432"/>
      <c r="AY1952" s="427"/>
      <c r="AZ1952" s="427"/>
      <c r="BA1952" s="427"/>
      <c r="BB1952" s="429"/>
      <c r="BC1952" s="430"/>
      <c r="BD1952" s="430"/>
    </row>
    <row r="1953" spans="1:59" s="431" customFormat="1" ht="18" customHeight="1" x14ac:dyDescent="0.2">
      <c r="A1953" s="1367"/>
      <c r="B1953" s="1968"/>
      <c r="C1953" s="1968"/>
      <c r="D1953" s="1968"/>
      <c r="E1953" s="433" t="s">
        <v>4176</v>
      </c>
      <c r="F1953" s="434" t="s">
        <v>2288</v>
      </c>
      <c r="G1953" s="2042"/>
      <c r="H1953" s="635" t="s">
        <v>2288</v>
      </c>
      <c r="I1953" s="635" t="s">
        <v>4177</v>
      </c>
      <c r="J1953" s="1968"/>
      <c r="K1953" s="1965"/>
      <c r="L1953" s="435" t="s">
        <v>2288</v>
      </c>
      <c r="M1953" s="681" t="s">
        <v>2288</v>
      </c>
      <c r="N1953" s="635" t="s">
        <v>2288</v>
      </c>
      <c r="O1953" s="1968"/>
      <c r="P1953" s="2038"/>
      <c r="Q1953" s="1961"/>
      <c r="R1953" s="1963"/>
      <c r="S1953" s="1963"/>
      <c r="T1953" s="1965"/>
      <c r="U1953" s="1967"/>
      <c r="V1953" s="635" t="s">
        <v>4178</v>
      </c>
      <c r="W1953" s="637" t="s">
        <v>4159</v>
      </c>
      <c r="X1953" s="1961"/>
      <c r="Y1953" s="436"/>
      <c r="Z1953" s="436"/>
      <c r="AA1953" s="426"/>
      <c r="AB1953" s="426"/>
      <c r="AC1953" s="426"/>
      <c r="AD1953" s="564"/>
      <c r="AE1953" s="426"/>
      <c r="AF1953" s="564"/>
      <c r="AG1953" s="426"/>
      <c r="AH1953" s="426"/>
      <c r="AI1953" s="427"/>
      <c r="AJ1953" s="432"/>
      <c r="AK1953" s="432"/>
      <c r="AL1953" s="427"/>
      <c r="AM1953" s="428"/>
      <c r="AN1953" s="432"/>
      <c r="AO1953" s="427"/>
      <c r="AP1953" s="432"/>
      <c r="AQ1953" s="432"/>
      <c r="AR1953" s="427"/>
      <c r="AS1953" s="427"/>
      <c r="AT1953" s="432"/>
      <c r="AU1953" s="432"/>
      <c r="AV1953" s="427"/>
      <c r="AW1953" s="427"/>
      <c r="AX1953" s="432"/>
      <c r="AY1953" s="432"/>
      <c r="AZ1953" s="427"/>
      <c r="BA1953" s="427"/>
      <c r="BB1953" s="429"/>
      <c r="BC1953" s="430"/>
      <c r="BD1953" s="430"/>
    </row>
    <row r="1954" spans="1:59" s="461" customFormat="1" ht="18" customHeight="1" x14ac:dyDescent="0.2">
      <c r="A1954" s="1368" t="str">
        <f>$D$1950&amp;S1954</f>
        <v>JEMBATAN SEI. TINGKALAK HULU (BALOK T) RUAS JALAN SP. HANDOYO - SUMBER DATAR2012</v>
      </c>
      <c r="B1954" s="738">
        <v>1</v>
      </c>
      <c r="C1954" s="532" t="s">
        <v>4194</v>
      </c>
      <c r="D1954" s="437" t="s">
        <v>3824</v>
      </c>
      <c r="E1954" s="438"/>
      <c r="F1954" s="439">
        <v>2012</v>
      </c>
      <c r="G1954" s="623">
        <v>76019206.029997841</v>
      </c>
      <c r="H1954" s="440">
        <f>VLOOKUP(LEFT(D1954,8),UE,4)</f>
        <v>50</v>
      </c>
      <c r="I1954" s="441"/>
      <c r="J1954" s="442">
        <f t="shared" ref="J1954:J1961" si="1459">F1954+N1954-1</f>
        <v>2061</v>
      </c>
      <c r="K1954" s="443"/>
      <c r="L1954" s="440"/>
      <c r="M1954" s="746">
        <f>IF(H1954+L1954&gt;$H1954,$H1954-H1954,L1954)</f>
        <v>0</v>
      </c>
      <c r="N1954" s="444">
        <f>H1954+M1954</f>
        <v>50</v>
      </c>
      <c r="O1954" s="442">
        <f t="shared" ref="O1954:O1961" si="1460">F1954+N1954-1</f>
        <v>2061</v>
      </c>
      <c r="P1954" s="617">
        <f>G1954</f>
        <v>76019206.029997841</v>
      </c>
      <c r="Q1954" s="445">
        <v>0</v>
      </c>
      <c r="R1954" s="445">
        <f>P1954/N1954</f>
        <v>1520384.1205999567</v>
      </c>
      <c r="S1954" s="446">
        <f t="shared" ref="S1954:S1961" si="1461">F1954</f>
        <v>2012</v>
      </c>
      <c r="T1954" s="447">
        <v>1</v>
      </c>
      <c r="U1954" s="613">
        <f t="shared" ref="U1954:U1961" si="1462">R1954*T1954</f>
        <v>1520384.1205999567</v>
      </c>
      <c r="V1954" s="442">
        <f t="shared" ref="V1954:V1961" si="1463">F1954</f>
        <v>2012</v>
      </c>
      <c r="W1954" s="617">
        <f>IF(OR(AND(ISBLANK(E1954),ISBLANK(G1954)),ISTEXT(E1954),ISTEXT(G1954)),"",G1954-R1954)</f>
        <v>74498821.909397885</v>
      </c>
      <c r="X1954" s="448"/>
      <c r="Y1954" s="449"/>
      <c r="Z1954" s="449"/>
      <c r="AA1954" s="450" t="s">
        <v>4179</v>
      </c>
      <c r="AB1954" s="451"/>
      <c r="AC1954" s="451"/>
      <c r="AD1954" s="565"/>
      <c r="AE1954" s="452"/>
      <c r="AF1954" s="571"/>
      <c r="AG1954" s="452"/>
      <c r="AH1954" s="452"/>
      <c r="AI1954" s="453"/>
      <c r="AJ1954" s="449"/>
      <c r="AK1954" s="453"/>
      <c r="AL1954" s="454"/>
      <c r="AM1954" s="455"/>
      <c r="AN1954" s="456"/>
      <c r="AO1954" s="455"/>
      <c r="AP1954" s="452"/>
      <c r="AQ1954" s="457"/>
      <c r="AR1954" s="449"/>
      <c r="AS1954" s="449"/>
      <c r="AT1954" s="452"/>
      <c r="AU1954" s="457"/>
      <c r="AV1954" s="449"/>
      <c r="AW1954" s="458"/>
      <c r="AX1954" s="452"/>
      <c r="AY1954" s="457"/>
      <c r="AZ1954" s="449"/>
      <c r="BA1954" s="459"/>
      <c r="BB1954" s="455"/>
      <c r="BC1954" s="460"/>
      <c r="BD1954" s="460"/>
      <c r="BG1954" s="462"/>
    </row>
    <row r="1955" spans="1:59" s="461" customFormat="1" ht="18" customHeight="1" x14ac:dyDescent="0.2">
      <c r="A1955" s="1368" t="str">
        <f t="shared" ref="A1955:A1961" si="1464">$D$1950&amp;S1955</f>
        <v>JEMBATAN SEI. TINGKALAK HULU (BALOK T) RUAS JALAN SP. HANDOYO - SUMBER DATAR2013</v>
      </c>
      <c r="B1955" s="738"/>
      <c r="C1955" s="488"/>
      <c r="D1955" s="489"/>
      <c r="E1955" s="558"/>
      <c r="F1955" s="559">
        <v>2013</v>
      </c>
      <c r="G1955" s="619">
        <v>0</v>
      </c>
      <c r="H1955" s="464">
        <f t="shared" ref="H1955:H1961" si="1465">IF(N1954-(F1955-F1954)&lt;=0,0,(N1954-(F1955-F1954)))</f>
        <v>49</v>
      </c>
      <c r="I1955" s="560"/>
      <c r="J1955" s="468">
        <f t="shared" si="1459"/>
        <v>2061</v>
      </c>
      <c r="K1955" s="490">
        <f t="shared" ref="K1955:K1961" si="1466">IF(G1955=0,0,IF(H1955=50,100%,G1955/W1954))</f>
        <v>0</v>
      </c>
      <c r="L1955" s="469">
        <f t="shared" ref="L1955:L1961" si="1467">IF(K1955=0%,0,IF(K1955&lt;=30%,5,IF(K1955&lt;=45%,10,15)))</f>
        <v>0</v>
      </c>
      <c r="M1955" s="683">
        <f t="shared" ref="M1955:M1961" si="1468">IF(OR(AND(ISBLANK(E1955),ISBLANK(G1955)),ISTEXT(E1955),ISTEXT(G1955)),"",IF(H1955+L1955&gt;$H$1899,$H$1899-H1955,L1955))</f>
        <v>0</v>
      </c>
      <c r="N1955" s="470">
        <f t="shared" ref="N1955:N1961" si="1469">IF(OR(AND(ISBLANK(F1955),ISBLANK(G1955)),ISTEXT(F1955),ISTEXT(G1955)),"",H1955+M1955)</f>
        <v>49</v>
      </c>
      <c r="O1955" s="468">
        <f t="shared" si="1460"/>
        <v>2061</v>
      </c>
      <c r="P1955" s="616">
        <f t="shared" ref="P1955:P1961" si="1470">W1954</f>
        <v>74498821.909397885</v>
      </c>
      <c r="Q1955" s="472">
        <f t="shared" ref="Q1955:Q1961" si="1471">P1955+G1955</f>
        <v>74498821.909397885</v>
      </c>
      <c r="R1955" s="472">
        <f t="shared" ref="R1955:R1961" si="1472">IF(L1955=0,R1954,Q1955/N1955)</f>
        <v>1520384.1205999567</v>
      </c>
      <c r="S1955" s="759">
        <f t="shared" si="1461"/>
        <v>2013</v>
      </c>
      <c r="T1955" s="470">
        <f t="shared" ref="T1955:T1961" si="1473">S1955-S1954</f>
        <v>1</v>
      </c>
      <c r="U1955" s="612">
        <f t="shared" si="1462"/>
        <v>1520384.1205999567</v>
      </c>
      <c r="V1955" s="464">
        <f t="shared" si="1463"/>
        <v>2013</v>
      </c>
      <c r="W1955" s="612">
        <f t="shared" ref="W1955:W1961" si="1474">IF(OR(AND(ISBLANK(E1955),ISBLANK(G1955)),ISTEXT(E1955),ISTEXT(G1955)),"",Q1955-U1955)</f>
        <v>72978437.78879793</v>
      </c>
      <c r="X1955" s="561"/>
      <c r="Y1955" s="449"/>
      <c r="Z1955" s="449"/>
      <c r="AA1955" s="554"/>
      <c r="AB1955" s="452"/>
      <c r="AC1955" s="452"/>
      <c r="AD1955" s="566"/>
      <c r="AE1955" s="452"/>
      <c r="AF1955" s="571"/>
      <c r="AG1955" s="452"/>
      <c r="AH1955" s="452"/>
      <c r="AI1955" s="453"/>
      <c r="AJ1955" s="449"/>
      <c r="AK1955" s="453"/>
      <c r="AL1955" s="454"/>
      <c r="AM1955" s="455"/>
      <c r="AN1955" s="456"/>
      <c r="AO1955" s="455"/>
      <c r="AP1955" s="452"/>
      <c r="AQ1955" s="457"/>
      <c r="AR1955" s="449"/>
      <c r="AS1955" s="449"/>
      <c r="AT1955" s="452"/>
      <c r="AU1955" s="457"/>
      <c r="AV1955" s="449"/>
      <c r="AW1955" s="458"/>
      <c r="AX1955" s="452"/>
      <c r="AY1955" s="457"/>
      <c r="AZ1955" s="449"/>
      <c r="BA1955" s="459"/>
      <c r="BB1955" s="455"/>
      <c r="BC1955" s="460"/>
      <c r="BD1955" s="460"/>
      <c r="BG1955" s="462"/>
    </row>
    <row r="1956" spans="1:59" s="461" customFormat="1" ht="18" customHeight="1" x14ac:dyDescent="0.2">
      <c r="A1956" s="1368" t="str">
        <f t="shared" si="1464"/>
        <v>JEMBATAN SEI. TINGKALAK HULU (BALOK T) RUAS JALAN SP. HANDOYO - SUMBER DATAR2014</v>
      </c>
      <c r="B1956" s="738">
        <v>2</v>
      </c>
      <c r="C1956" s="488" t="s">
        <v>1298</v>
      </c>
      <c r="D1956" s="489" t="s">
        <v>3824</v>
      </c>
      <c r="E1956" s="558"/>
      <c r="F1956" s="559">
        <v>2014</v>
      </c>
      <c r="G1956" s="619">
        <v>2236254252</v>
      </c>
      <c r="H1956" s="464">
        <f t="shared" si="1465"/>
        <v>48</v>
      </c>
      <c r="I1956" s="560"/>
      <c r="J1956" s="468">
        <f t="shared" si="1459"/>
        <v>2063</v>
      </c>
      <c r="K1956" s="490">
        <f t="shared" si="1466"/>
        <v>30.642670900571968</v>
      </c>
      <c r="L1956" s="469">
        <f t="shared" si="1467"/>
        <v>15</v>
      </c>
      <c r="M1956" s="683">
        <f t="shared" si="1468"/>
        <v>2</v>
      </c>
      <c r="N1956" s="470">
        <f t="shared" si="1469"/>
        <v>50</v>
      </c>
      <c r="O1956" s="468">
        <f t="shared" si="1460"/>
        <v>2063</v>
      </c>
      <c r="P1956" s="616">
        <f t="shared" si="1470"/>
        <v>72978437.78879793</v>
      </c>
      <c r="Q1956" s="472">
        <f t="shared" si="1471"/>
        <v>2309232689.7887979</v>
      </c>
      <c r="R1956" s="472">
        <f t="shared" si="1472"/>
        <v>46184653.795775957</v>
      </c>
      <c r="S1956" s="759">
        <f t="shared" si="1461"/>
        <v>2014</v>
      </c>
      <c r="T1956" s="470">
        <f t="shared" si="1473"/>
        <v>1</v>
      </c>
      <c r="U1956" s="612">
        <f t="shared" si="1462"/>
        <v>46184653.795775957</v>
      </c>
      <c r="V1956" s="464">
        <f t="shared" si="1463"/>
        <v>2014</v>
      </c>
      <c r="W1956" s="612">
        <f t="shared" si="1474"/>
        <v>2263048035.993022</v>
      </c>
      <c r="X1956" s="561"/>
      <c r="Y1956" s="449"/>
      <c r="Z1956" s="449"/>
      <c r="AA1956" s="554"/>
      <c r="AB1956" s="452"/>
      <c r="AC1956" s="452"/>
      <c r="AD1956" s="566"/>
      <c r="AE1956" s="452"/>
      <c r="AF1956" s="571"/>
      <c r="AG1956" s="452"/>
      <c r="AH1956" s="452"/>
      <c r="AI1956" s="453"/>
      <c r="AJ1956" s="449"/>
      <c r="AK1956" s="453"/>
      <c r="AL1956" s="454"/>
      <c r="AM1956" s="455"/>
      <c r="AN1956" s="456"/>
      <c r="AO1956" s="455"/>
      <c r="AP1956" s="452"/>
      <c r="AQ1956" s="457"/>
      <c r="AR1956" s="449"/>
      <c r="AS1956" s="449"/>
      <c r="AT1956" s="452"/>
      <c r="AU1956" s="457"/>
      <c r="AV1956" s="449"/>
      <c r="AW1956" s="458"/>
      <c r="AX1956" s="452"/>
      <c r="AY1956" s="457"/>
      <c r="AZ1956" s="449"/>
      <c r="BA1956" s="459"/>
      <c r="BB1956" s="455"/>
      <c r="BC1956" s="460"/>
      <c r="BD1956" s="460"/>
      <c r="BG1956" s="462"/>
    </row>
    <row r="1957" spans="1:59" s="486" customFormat="1" ht="18" customHeight="1" x14ac:dyDescent="0.2">
      <c r="A1957" s="1368" t="str">
        <f t="shared" si="1464"/>
        <v>JEMBATAN SEI. TINGKALAK HULU (BALOK T) RUAS JALAN SP. HANDOYO - SUMBER DATAR2015</v>
      </c>
      <c r="B1957" s="738"/>
      <c r="C1957" s="488"/>
      <c r="D1957" s="489"/>
      <c r="E1957" s="558"/>
      <c r="F1957" s="559">
        <v>2015</v>
      </c>
      <c r="G1957" s="619">
        <v>0</v>
      </c>
      <c r="H1957" s="464">
        <f t="shared" si="1465"/>
        <v>49</v>
      </c>
      <c r="I1957" s="560"/>
      <c r="J1957" s="468">
        <f t="shared" si="1459"/>
        <v>2063</v>
      </c>
      <c r="K1957" s="490">
        <f t="shared" si="1466"/>
        <v>0</v>
      </c>
      <c r="L1957" s="469">
        <f t="shared" si="1467"/>
        <v>0</v>
      </c>
      <c r="M1957" s="683">
        <f t="shared" si="1468"/>
        <v>0</v>
      </c>
      <c r="N1957" s="470">
        <f t="shared" si="1469"/>
        <v>49</v>
      </c>
      <c r="O1957" s="468">
        <f t="shared" si="1460"/>
        <v>2063</v>
      </c>
      <c r="P1957" s="616">
        <f t="shared" si="1470"/>
        <v>2263048035.993022</v>
      </c>
      <c r="Q1957" s="472">
        <f t="shared" si="1471"/>
        <v>2263048035.993022</v>
      </c>
      <c r="R1957" s="472">
        <f t="shared" si="1472"/>
        <v>46184653.795775957</v>
      </c>
      <c r="S1957" s="759">
        <f t="shared" si="1461"/>
        <v>2015</v>
      </c>
      <c r="T1957" s="470">
        <f t="shared" si="1473"/>
        <v>1</v>
      </c>
      <c r="U1957" s="612">
        <f t="shared" si="1462"/>
        <v>46184653.795775957</v>
      </c>
      <c r="V1957" s="464">
        <f t="shared" si="1463"/>
        <v>2015</v>
      </c>
      <c r="W1957" s="612">
        <f t="shared" si="1474"/>
        <v>2216863382.1972461</v>
      </c>
      <c r="X1957" s="561"/>
      <c r="Y1957" s="474"/>
      <c r="Z1957" s="449"/>
      <c r="AA1957" s="475" t="s">
        <v>4180</v>
      </c>
      <c r="AB1957" s="476"/>
      <c r="AC1957" s="476"/>
      <c r="AD1957" s="567">
        <f>G1964</f>
        <v>2312273458.0299978</v>
      </c>
      <c r="AE1957" s="476"/>
      <c r="AF1957" s="568"/>
      <c r="AG1957" s="476"/>
      <c r="AH1957" s="476"/>
      <c r="AI1957" s="477"/>
      <c r="AJ1957" s="478"/>
      <c r="AK1957" s="479"/>
      <c r="AL1957" s="480"/>
      <c r="AM1957" s="474"/>
      <c r="AN1957" s="481"/>
      <c r="AO1957" s="474"/>
      <c r="AP1957" s="476"/>
      <c r="AQ1957" s="482"/>
      <c r="AR1957" s="478"/>
      <c r="AS1957" s="478"/>
      <c r="AT1957" s="476"/>
      <c r="AU1957" s="482"/>
      <c r="AV1957" s="478"/>
      <c r="AW1957" s="483"/>
      <c r="AX1957" s="476"/>
      <c r="AY1957" s="482"/>
      <c r="AZ1957" s="478"/>
      <c r="BA1957" s="484"/>
      <c r="BB1957" s="474"/>
      <c r="BC1957" s="485"/>
      <c r="BD1957" s="485"/>
      <c r="BG1957" s="487"/>
    </row>
    <row r="1958" spans="1:59" s="486" customFormat="1" ht="18" customHeight="1" x14ac:dyDescent="0.2">
      <c r="A1958" s="1368" t="str">
        <f t="shared" si="1464"/>
        <v>JEMBATAN SEI. TINGKALAK HULU (BALOK T) RUAS JALAN SP. HANDOYO - SUMBER DATAR2016</v>
      </c>
      <c r="B1958" s="738"/>
      <c r="C1958" s="488"/>
      <c r="D1958" s="489"/>
      <c r="E1958" s="558"/>
      <c r="F1958" s="559">
        <v>2016</v>
      </c>
      <c r="G1958" s="619">
        <v>0</v>
      </c>
      <c r="H1958" s="464">
        <f t="shared" si="1465"/>
        <v>48</v>
      </c>
      <c r="I1958" s="560"/>
      <c r="J1958" s="468">
        <f t="shared" si="1459"/>
        <v>2063</v>
      </c>
      <c r="K1958" s="490">
        <f t="shared" si="1466"/>
        <v>0</v>
      </c>
      <c r="L1958" s="469">
        <f t="shared" si="1467"/>
        <v>0</v>
      </c>
      <c r="M1958" s="683">
        <f t="shared" si="1468"/>
        <v>0</v>
      </c>
      <c r="N1958" s="470">
        <f t="shared" si="1469"/>
        <v>48</v>
      </c>
      <c r="O1958" s="468">
        <f t="shared" si="1460"/>
        <v>2063</v>
      </c>
      <c r="P1958" s="616">
        <f t="shared" si="1470"/>
        <v>2216863382.1972461</v>
      </c>
      <c r="Q1958" s="472">
        <f t="shared" si="1471"/>
        <v>2216863382.1972461</v>
      </c>
      <c r="R1958" s="472">
        <f t="shared" si="1472"/>
        <v>46184653.795775957</v>
      </c>
      <c r="S1958" s="759">
        <f t="shared" si="1461"/>
        <v>2016</v>
      </c>
      <c r="T1958" s="470">
        <f t="shared" si="1473"/>
        <v>1</v>
      </c>
      <c r="U1958" s="612">
        <f t="shared" si="1462"/>
        <v>46184653.795775957</v>
      </c>
      <c r="V1958" s="464">
        <f t="shared" si="1463"/>
        <v>2016</v>
      </c>
      <c r="W1958" s="612">
        <f t="shared" si="1474"/>
        <v>2170678728.4014702</v>
      </c>
      <c r="X1958" s="473"/>
      <c r="Y1958" s="478"/>
      <c r="Z1958" s="449"/>
      <c r="AA1958" s="475" t="s">
        <v>4181</v>
      </c>
      <c r="AB1958" s="491"/>
      <c r="AC1958" s="491"/>
      <c r="AD1958" s="567">
        <f>U1964</f>
        <v>280148691.01585567</v>
      </c>
      <c r="AE1958" s="491"/>
      <c r="AF1958" s="568"/>
      <c r="AG1958" s="491"/>
      <c r="AH1958" s="491"/>
      <c r="AI1958" s="477"/>
      <c r="AJ1958" s="478"/>
      <c r="AK1958" s="479"/>
      <c r="AL1958" s="480"/>
      <c r="AM1958" s="474"/>
      <c r="AN1958" s="481"/>
      <c r="AO1958" s="474"/>
      <c r="AP1958" s="476"/>
      <c r="AQ1958" s="482"/>
      <c r="AR1958" s="478"/>
      <c r="AS1958" s="478"/>
      <c r="AT1958" s="476"/>
      <c r="AU1958" s="482"/>
      <c r="AV1958" s="478"/>
      <c r="AW1958" s="483"/>
      <c r="AX1958" s="476"/>
      <c r="AY1958" s="482"/>
      <c r="AZ1958" s="478"/>
      <c r="BA1958" s="484"/>
      <c r="BB1958" s="474"/>
      <c r="BC1958" s="485"/>
      <c r="BD1958" s="485"/>
      <c r="BG1958" s="487"/>
    </row>
    <row r="1959" spans="1:59" s="486" customFormat="1" ht="18" customHeight="1" x14ac:dyDescent="0.2">
      <c r="A1959" s="1368" t="str">
        <f t="shared" si="1464"/>
        <v>JEMBATAN SEI. TINGKALAK HULU (BALOK T) RUAS JALAN SP. HANDOYO - SUMBER DATAR2017</v>
      </c>
      <c r="B1959" s="738"/>
      <c r="C1959" s="488"/>
      <c r="D1959" s="489"/>
      <c r="E1959" s="558"/>
      <c r="F1959" s="559">
        <v>2017</v>
      </c>
      <c r="G1959" s="619">
        <v>0</v>
      </c>
      <c r="H1959" s="464">
        <f t="shared" si="1465"/>
        <v>47</v>
      </c>
      <c r="I1959" s="560"/>
      <c r="J1959" s="468">
        <f t="shared" si="1459"/>
        <v>2063</v>
      </c>
      <c r="K1959" s="490">
        <f t="shared" si="1466"/>
        <v>0</v>
      </c>
      <c r="L1959" s="469">
        <f t="shared" si="1467"/>
        <v>0</v>
      </c>
      <c r="M1959" s="683">
        <f t="shared" si="1468"/>
        <v>0</v>
      </c>
      <c r="N1959" s="470">
        <f t="shared" si="1469"/>
        <v>47</v>
      </c>
      <c r="O1959" s="468">
        <f t="shared" si="1460"/>
        <v>2063</v>
      </c>
      <c r="P1959" s="616">
        <f t="shared" si="1470"/>
        <v>2170678728.4014702</v>
      </c>
      <c r="Q1959" s="472">
        <f t="shared" si="1471"/>
        <v>2170678728.4014702</v>
      </c>
      <c r="R1959" s="472">
        <f t="shared" si="1472"/>
        <v>46184653.795775957</v>
      </c>
      <c r="S1959" s="759">
        <f t="shared" si="1461"/>
        <v>2017</v>
      </c>
      <c r="T1959" s="470">
        <f t="shared" si="1473"/>
        <v>1</v>
      </c>
      <c r="U1959" s="612">
        <f t="shared" si="1462"/>
        <v>46184653.795775957</v>
      </c>
      <c r="V1959" s="464">
        <f t="shared" si="1463"/>
        <v>2017</v>
      </c>
      <c r="W1959" s="612">
        <f t="shared" si="1474"/>
        <v>2124494074.6056943</v>
      </c>
      <c r="X1959" s="473"/>
      <c r="Y1959" s="478"/>
      <c r="Z1959" s="449"/>
      <c r="AA1959" s="492" t="s">
        <v>4182</v>
      </c>
      <c r="AB1959" s="476"/>
      <c r="AC1959" s="476"/>
      <c r="AD1959" s="567">
        <f>AD1957-AD1958</f>
        <v>2032124767.014142</v>
      </c>
      <c r="AE1959" s="476"/>
      <c r="AF1959" s="568"/>
      <c r="AG1959" s="476"/>
      <c r="AH1959" s="476"/>
      <c r="AI1959" s="477"/>
      <c r="AJ1959" s="478"/>
      <c r="AK1959" s="479"/>
      <c r="AL1959" s="480"/>
      <c r="AM1959" s="474"/>
      <c r="AN1959" s="481"/>
      <c r="AO1959" s="474"/>
      <c r="AP1959" s="476"/>
      <c r="AQ1959" s="482"/>
      <c r="AR1959" s="478"/>
      <c r="AS1959" s="478"/>
      <c r="AT1959" s="476"/>
      <c r="AU1959" s="482"/>
      <c r="AV1959" s="478"/>
      <c r="AW1959" s="483"/>
      <c r="AX1959" s="476"/>
      <c r="AY1959" s="482"/>
      <c r="AZ1959" s="478"/>
      <c r="BA1959" s="484"/>
      <c r="BB1959" s="474"/>
      <c r="BC1959" s="485"/>
      <c r="BD1959" s="485"/>
      <c r="BG1959" s="487"/>
    </row>
    <row r="1960" spans="1:59" s="486" customFormat="1" ht="18" customHeight="1" x14ac:dyDescent="0.2">
      <c r="A1960" s="1368" t="str">
        <f t="shared" si="1464"/>
        <v>JEMBATAN SEI. TINGKALAK HULU (BALOK T) RUAS JALAN SP. HANDOYO - SUMBER DATAR2018</v>
      </c>
      <c r="B1960" s="687"/>
      <c r="C1960" s="488"/>
      <c r="D1960" s="489"/>
      <c r="E1960" s="558"/>
      <c r="F1960" s="559">
        <v>2018</v>
      </c>
      <c r="G1960" s="619">
        <v>0</v>
      </c>
      <c r="H1960" s="464">
        <f t="shared" si="1465"/>
        <v>46</v>
      </c>
      <c r="I1960" s="560"/>
      <c r="J1960" s="468">
        <f t="shared" si="1459"/>
        <v>2063</v>
      </c>
      <c r="K1960" s="490">
        <f t="shared" si="1466"/>
        <v>0</v>
      </c>
      <c r="L1960" s="469">
        <f t="shared" si="1467"/>
        <v>0</v>
      </c>
      <c r="M1960" s="683">
        <f t="shared" si="1468"/>
        <v>0</v>
      </c>
      <c r="N1960" s="470">
        <f t="shared" si="1469"/>
        <v>46</v>
      </c>
      <c r="O1960" s="468">
        <f t="shared" si="1460"/>
        <v>2063</v>
      </c>
      <c r="P1960" s="616">
        <f t="shared" si="1470"/>
        <v>2124494074.6056943</v>
      </c>
      <c r="Q1960" s="472">
        <f t="shared" si="1471"/>
        <v>2124494074.6056943</v>
      </c>
      <c r="R1960" s="472">
        <f t="shared" si="1472"/>
        <v>46184653.795775957</v>
      </c>
      <c r="S1960" s="759">
        <f t="shared" si="1461"/>
        <v>2018</v>
      </c>
      <c r="T1960" s="470">
        <f t="shared" si="1473"/>
        <v>1</v>
      </c>
      <c r="U1960" s="612">
        <f t="shared" si="1462"/>
        <v>46184653.795775957</v>
      </c>
      <c r="V1960" s="464">
        <f t="shared" si="1463"/>
        <v>2018</v>
      </c>
      <c r="W1960" s="612">
        <f t="shared" si="1474"/>
        <v>2078309420.8099184</v>
      </c>
      <c r="X1960" s="473"/>
      <c r="Y1960" s="478"/>
      <c r="Z1960" s="449"/>
      <c r="AA1960" s="531" t="s">
        <v>4183</v>
      </c>
      <c r="AB1960" s="496"/>
      <c r="AC1960" s="496"/>
      <c r="AD1960" s="569">
        <f>AD1959-W1964</f>
        <v>0</v>
      </c>
      <c r="AE1960" s="476"/>
      <c r="AF1960" s="568"/>
      <c r="AG1960" s="476"/>
      <c r="AH1960" s="476"/>
      <c r="AI1960" s="477"/>
      <c r="AJ1960" s="478"/>
      <c r="AK1960" s="479"/>
      <c r="AL1960" s="480"/>
      <c r="AM1960" s="474"/>
      <c r="AN1960" s="481"/>
      <c r="AO1960" s="474"/>
      <c r="AP1960" s="476"/>
      <c r="AQ1960" s="482"/>
      <c r="AR1960" s="478"/>
      <c r="AS1960" s="478"/>
      <c r="AT1960" s="476"/>
      <c r="AU1960" s="482"/>
      <c r="AV1960" s="478"/>
      <c r="AW1960" s="483"/>
      <c r="AX1960" s="476"/>
      <c r="AY1960" s="482"/>
      <c r="AZ1960" s="478"/>
      <c r="BA1960" s="484"/>
      <c r="BB1960" s="474"/>
      <c r="BC1960" s="485"/>
      <c r="BD1960" s="485"/>
      <c r="BG1960" s="487"/>
    </row>
    <row r="1961" spans="1:59" s="486" customFormat="1" ht="18" customHeight="1" x14ac:dyDescent="0.2">
      <c r="A1961" s="1368" t="str">
        <f t="shared" si="1464"/>
        <v>JEMBATAN SEI. TINGKALAK HULU (BALOK T) RUAS JALAN SP. HANDOYO - SUMBER DATAR2019</v>
      </c>
      <c r="B1961" s="687"/>
      <c r="C1961" s="488"/>
      <c r="D1961" s="489"/>
      <c r="E1961" s="558"/>
      <c r="F1961" s="559">
        <v>2019</v>
      </c>
      <c r="G1961" s="619">
        <v>0</v>
      </c>
      <c r="H1961" s="464">
        <f t="shared" si="1465"/>
        <v>45</v>
      </c>
      <c r="I1961" s="560"/>
      <c r="J1961" s="468">
        <f t="shared" si="1459"/>
        <v>2063</v>
      </c>
      <c r="K1961" s="490">
        <f t="shared" si="1466"/>
        <v>0</v>
      </c>
      <c r="L1961" s="469">
        <f t="shared" si="1467"/>
        <v>0</v>
      </c>
      <c r="M1961" s="683">
        <f t="shared" si="1468"/>
        <v>0</v>
      </c>
      <c r="N1961" s="470">
        <f t="shared" si="1469"/>
        <v>45</v>
      </c>
      <c r="O1961" s="468">
        <f t="shared" si="1460"/>
        <v>2063</v>
      </c>
      <c r="P1961" s="616">
        <f t="shared" si="1470"/>
        <v>2078309420.8099184</v>
      </c>
      <c r="Q1961" s="472">
        <f t="shared" si="1471"/>
        <v>2078309420.8099184</v>
      </c>
      <c r="R1961" s="472">
        <f t="shared" si="1472"/>
        <v>46184653.795775957</v>
      </c>
      <c r="S1961" s="1189">
        <f t="shared" si="1461"/>
        <v>2019</v>
      </c>
      <c r="T1961" s="470">
        <f t="shared" si="1473"/>
        <v>1</v>
      </c>
      <c r="U1961" s="612">
        <f t="shared" si="1462"/>
        <v>46184653.795775957</v>
      </c>
      <c r="V1961" s="464">
        <f t="shared" si="1463"/>
        <v>2019</v>
      </c>
      <c r="W1961" s="612">
        <f t="shared" si="1474"/>
        <v>2032124767.0141425</v>
      </c>
      <c r="X1961" s="473"/>
      <c r="Y1961" s="478"/>
      <c r="Z1961" s="449"/>
      <c r="AA1961" s="573"/>
      <c r="AB1961" s="476"/>
      <c r="AC1961" s="476"/>
      <c r="AD1961" s="568"/>
      <c r="AE1961" s="476"/>
      <c r="AF1961" s="568"/>
      <c r="AG1961" s="476"/>
      <c r="AH1961" s="476"/>
      <c r="AI1961" s="477"/>
      <c r="AJ1961" s="478"/>
      <c r="AK1961" s="479"/>
      <c r="AL1961" s="480"/>
      <c r="AM1961" s="474"/>
      <c r="AN1961" s="481"/>
      <c r="AO1961" s="474"/>
      <c r="AP1961" s="476"/>
      <c r="AQ1961" s="482"/>
      <c r="AR1961" s="478"/>
      <c r="AS1961" s="478"/>
      <c r="AT1961" s="476"/>
      <c r="AU1961" s="482"/>
      <c r="AV1961" s="478"/>
      <c r="AW1961" s="483"/>
      <c r="AX1961" s="476"/>
      <c r="AY1961" s="482"/>
      <c r="AZ1961" s="478"/>
      <c r="BA1961" s="484"/>
      <c r="BB1961" s="474"/>
      <c r="BC1961" s="485"/>
      <c r="BD1961" s="485"/>
      <c r="BG1961" s="487"/>
    </row>
    <row r="1962" spans="1:59" s="486" customFormat="1" ht="18" customHeight="1" x14ac:dyDescent="0.2">
      <c r="A1962" s="1368"/>
      <c r="B1962" s="687"/>
      <c r="C1962" s="488"/>
      <c r="D1962" s="489"/>
      <c r="E1962" s="558"/>
      <c r="F1962" s="466"/>
      <c r="G1962" s="619"/>
      <c r="H1962" s="464"/>
      <c r="I1962" s="467"/>
      <c r="J1962" s="468"/>
      <c r="K1962" s="490"/>
      <c r="L1962" s="469"/>
      <c r="M1962" s="683"/>
      <c r="N1962" s="470"/>
      <c r="O1962" s="468"/>
      <c r="P1962" s="616"/>
      <c r="Q1962" s="472"/>
      <c r="R1962" s="472"/>
      <c r="S1962" s="634"/>
      <c r="T1962" s="470"/>
      <c r="U1962" s="612"/>
      <c r="V1962" s="464"/>
      <c r="W1962" s="612"/>
      <c r="X1962" s="473"/>
      <c r="Y1962" s="478"/>
      <c r="Z1962" s="449"/>
      <c r="AA1962" s="573"/>
      <c r="AB1962" s="476"/>
      <c r="AC1962" s="476"/>
      <c r="AD1962" s="568"/>
      <c r="AE1962" s="476"/>
      <c r="AF1962" s="568"/>
      <c r="AG1962" s="476"/>
      <c r="AH1962" s="476"/>
      <c r="AI1962" s="477"/>
      <c r="AJ1962" s="478"/>
      <c r="AK1962" s="479"/>
      <c r="AL1962" s="480"/>
      <c r="AM1962" s="474"/>
      <c r="AN1962" s="481"/>
      <c r="AO1962" s="474"/>
      <c r="AP1962" s="476"/>
      <c r="AQ1962" s="482"/>
      <c r="AR1962" s="478"/>
      <c r="AS1962" s="478"/>
      <c r="AT1962" s="476"/>
      <c r="AU1962" s="482"/>
      <c r="AV1962" s="478"/>
      <c r="AW1962" s="483"/>
      <c r="AX1962" s="476"/>
      <c r="AY1962" s="482"/>
      <c r="AZ1962" s="478"/>
      <c r="BA1962" s="484"/>
      <c r="BB1962" s="474"/>
      <c r="BC1962" s="485"/>
      <c r="BD1962" s="485"/>
      <c r="BG1962" s="487"/>
    </row>
    <row r="1963" spans="1:59" s="486" customFormat="1" ht="18" customHeight="1" x14ac:dyDescent="0.2">
      <c r="A1963" s="1368" t="str">
        <f>LEFT(D1963,8)</f>
        <v/>
      </c>
      <c r="B1963" s="687"/>
      <c r="C1963" s="463"/>
      <c r="D1963" s="489"/>
      <c r="E1963" s="465"/>
      <c r="F1963" s="466"/>
      <c r="G1963" s="620"/>
      <c r="H1963" s="464"/>
      <c r="I1963" s="467"/>
      <c r="J1963" s="468"/>
      <c r="K1963" s="574"/>
      <c r="L1963" s="469"/>
      <c r="M1963" s="683"/>
      <c r="N1963" s="470"/>
      <c r="O1963" s="468"/>
      <c r="P1963" s="616"/>
      <c r="Q1963" s="472"/>
      <c r="R1963" s="472"/>
      <c r="S1963" s="634"/>
      <c r="T1963" s="470"/>
      <c r="U1963" s="612"/>
      <c r="V1963" s="464"/>
      <c r="W1963" s="612"/>
      <c r="X1963" s="473"/>
      <c r="Y1963" s="478"/>
      <c r="Z1963" s="449"/>
      <c r="AA1963" s="573"/>
      <c r="AB1963" s="476"/>
      <c r="AC1963" s="476"/>
      <c r="AD1963" s="568"/>
      <c r="AE1963" s="476"/>
      <c r="AF1963" s="568"/>
      <c r="AG1963" s="476"/>
      <c r="AH1963" s="476"/>
      <c r="AI1963" s="477"/>
      <c r="AJ1963" s="478"/>
      <c r="AK1963" s="479"/>
      <c r="AL1963" s="480"/>
      <c r="AM1963" s="474"/>
      <c r="AN1963" s="481"/>
      <c r="AO1963" s="474"/>
      <c r="AP1963" s="476"/>
      <c r="AQ1963" s="482"/>
      <c r="AR1963" s="478"/>
      <c r="AS1963" s="478"/>
      <c r="AT1963" s="476"/>
      <c r="AU1963" s="482"/>
      <c r="AV1963" s="478"/>
      <c r="AW1963" s="483"/>
      <c r="AX1963" s="476"/>
      <c r="AY1963" s="482"/>
      <c r="AZ1963" s="478"/>
      <c r="BA1963" s="484"/>
      <c r="BB1963" s="474"/>
      <c r="BC1963" s="485"/>
      <c r="BD1963" s="485"/>
      <c r="BG1963" s="487"/>
    </row>
    <row r="1964" spans="1:59" s="526" customFormat="1" ht="18" customHeight="1" x14ac:dyDescent="0.2">
      <c r="A1964" s="1370" t="s">
        <v>4184</v>
      </c>
      <c r="B1964" s="1956" t="s">
        <v>4184</v>
      </c>
      <c r="C1964" s="1957"/>
      <c r="D1964" s="1957"/>
      <c r="E1964" s="1957"/>
      <c r="F1964" s="1958"/>
      <c r="G1964" s="624">
        <f>SUM(G1954:G1963)</f>
        <v>2312273458.0299978</v>
      </c>
      <c r="H1964" s="505"/>
      <c r="I1964" s="506"/>
      <c r="J1964" s="507"/>
      <c r="K1964" s="507"/>
      <c r="L1964" s="505"/>
      <c r="M1964" s="684"/>
      <c r="N1964" s="508"/>
      <c r="O1964" s="507"/>
      <c r="P1964" s="749"/>
      <c r="Q1964" s="510"/>
      <c r="R1964" s="511"/>
      <c r="S1964" s="512"/>
      <c r="T1964" s="512"/>
      <c r="U1964" s="610">
        <f>SUM(U1954:U1963)</f>
        <v>280148691.01585567</v>
      </c>
      <c r="V1964" s="513"/>
      <c r="W1964" s="610">
        <f>G1964-U1964</f>
        <v>2032124767.014142</v>
      </c>
      <c r="X1964" s="514"/>
      <c r="Y1964" s="515"/>
      <c r="Z1964" s="515"/>
      <c r="AA1964" s="515"/>
      <c r="AB1964" s="515"/>
      <c r="AC1964" s="515"/>
      <c r="AD1964" s="570"/>
      <c r="AE1964" s="515"/>
      <c r="AF1964" s="570">
        <v>278810752.98972774</v>
      </c>
      <c r="AG1964" s="515"/>
      <c r="AH1964" s="515"/>
      <c r="AI1964" s="516"/>
      <c r="AJ1964" s="517"/>
      <c r="AK1964" s="518"/>
      <c r="AL1964" s="519"/>
      <c r="AM1964" s="520"/>
      <c r="AN1964" s="521"/>
      <c r="AO1964" s="520"/>
      <c r="AP1964" s="515"/>
      <c r="AQ1964" s="522"/>
      <c r="AR1964" s="517"/>
      <c r="AS1964" s="517"/>
      <c r="AT1964" s="515"/>
      <c r="AU1964" s="522"/>
      <c r="AV1964" s="517"/>
      <c r="AW1964" s="523"/>
      <c r="AX1964" s="515"/>
      <c r="AY1964" s="522"/>
      <c r="AZ1964" s="517"/>
      <c r="BA1964" s="524"/>
      <c r="BB1964" s="520"/>
      <c r="BC1964" s="525"/>
      <c r="BD1964" s="525"/>
      <c r="BG1964" s="527"/>
    </row>
    <row r="1966" spans="1:59" x14ac:dyDescent="0.2">
      <c r="U1966" s="562">
        <f>SUBTOTAL(9,U32:U1964)</f>
        <v>1560231866383.7314</v>
      </c>
      <c r="W1966" s="562">
        <f>SUBTOTAL(9,W32:W1964)</f>
        <v>4499751510294.2295</v>
      </c>
    </row>
  </sheetData>
  <autoFilter ref="A3:AD1974" xr:uid="{00000000-0009-0000-0000-00000F000000}"/>
  <mergeCells count="2160">
    <mergeCell ref="Y1206:Y1207"/>
    <mergeCell ref="P1207:P1208"/>
    <mergeCell ref="Q1207:Q1208"/>
    <mergeCell ref="P1326:P1327"/>
    <mergeCell ref="Q1326:Q1327"/>
    <mergeCell ref="R1326:R1327"/>
    <mergeCell ref="S1326:S1327"/>
    <mergeCell ref="Y1289:Y1290"/>
    <mergeCell ref="Y1475:Y1476"/>
    <mergeCell ref="Y1230:Y1231"/>
    <mergeCell ref="Q1231:Q1232"/>
    <mergeCell ref="V1399:W1400"/>
    <mergeCell ref="T1252:T1253"/>
    <mergeCell ref="S1230:U1230"/>
    <mergeCell ref="V1206:W1207"/>
    <mergeCell ref="Y1251:Y1252"/>
    <mergeCell ref="P1252:P1253"/>
    <mergeCell ref="X1273:X1275"/>
    <mergeCell ref="X1251:X1253"/>
    <mergeCell ref="Y1305:Y1306"/>
    <mergeCell ref="U1425:U1426"/>
    <mergeCell ref="X1424:X1426"/>
    <mergeCell ref="X1230:X1232"/>
    <mergeCell ref="P1231:P1232"/>
    <mergeCell ref="P1400:P1401"/>
    <mergeCell ref="Y1325:Y1326"/>
    <mergeCell ref="X1325:X1327"/>
    <mergeCell ref="Y1424:Y1425"/>
    <mergeCell ref="V1305:W1306"/>
    <mergeCell ref="V1230:W1231"/>
    <mergeCell ref="V1449:W1450"/>
    <mergeCell ref="R1231:R1232"/>
    <mergeCell ref="Y1164:Y1165"/>
    <mergeCell ref="S1450:S1451"/>
    <mergeCell ref="T1450:T1451"/>
    <mergeCell ref="U1450:U1451"/>
    <mergeCell ref="R1207:R1208"/>
    <mergeCell ref="S1207:S1208"/>
    <mergeCell ref="T1207:T1208"/>
    <mergeCell ref="U1207:U1208"/>
    <mergeCell ref="S1083:U1083"/>
    <mergeCell ref="V1184:W1185"/>
    <mergeCell ref="X1449:X1451"/>
    <mergeCell ref="Y1273:Y1274"/>
    <mergeCell ref="R1274:R1275"/>
    <mergeCell ref="S1274:S1275"/>
    <mergeCell ref="T1274:T1275"/>
    <mergeCell ref="E1654:F1655"/>
    <mergeCell ref="G1654:G1656"/>
    <mergeCell ref="J1654:J1656"/>
    <mergeCell ref="U1476:U1477"/>
    <mergeCell ref="R1450:R1451"/>
    <mergeCell ref="V1610:W1611"/>
    <mergeCell ref="P1611:P1612"/>
    <mergeCell ref="Q1611:Q1612"/>
    <mergeCell ref="R1611:R1612"/>
    <mergeCell ref="N1141:N1142"/>
    <mergeCell ref="T1142:T1143"/>
    <mergeCell ref="U1142:U1143"/>
    <mergeCell ref="Y1399:Y1400"/>
    <mergeCell ref="R1400:R1401"/>
    <mergeCell ref="S1400:S1401"/>
    <mergeCell ref="S1206:U1206"/>
    <mergeCell ref="S1449:U1449"/>
    <mergeCell ref="P1120:Q1120"/>
    <mergeCell ref="S1120:U1120"/>
    <mergeCell ref="U1252:U1253"/>
    <mergeCell ref="P1230:Q1230"/>
    <mergeCell ref="Q1350:Q1351"/>
    <mergeCell ref="U1231:U1232"/>
    <mergeCell ref="X1289:X1291"/>
    <mergeCell ref="P1476:P1477"/>
    <mergeCell ref="Q1476:Q1477"/>
    <mergeCell ref="V1289:W1290"/>
    <mergeCell ref="S1476:S1477"/>
    <mergeCell ref="T1476:T1477"/>
    <mergeCell ref="T1326:T1327"/>
    <mergeCell ref="U1326:U1327"/>
    <mergeCell ref="N1610:N1611"/>
    <mergeCell ref="R1050:R1051"/>
    <mergeCell ref="P1142:P1143"/>
    <mergeCell ref="Q1142:Q1143"/>
    <mergeCell ref="R1142:R1143"/>
    <mergeCell ref="N1289:N1290"/>
    <mergeCell ref="O1289:O1291"/>
    <mergeCell ref="S1290:S1291"/>
    <mergeCell ref="O1399:O1401"/>
    <mergeCell ref="O1325:O1327"/>
    <mergeCell ref="P1325:Q1325"/>
    <mergeCell ref="S1325:U1325"/>
    <mergeCell ref="R1103:R1104"/>
    <mergeCell ref="Q1252:Q1253"/>
    <mergeCell ref="R1252:R1253"/>
    <mergeCell ref="S1252:S1253"/>
    <mergeCell ref="S1050:S1051"/>
    <mergeCell ref="T1050:T1051"/>
    <mergeCell ref="H1654:I1655"/>
    <mergeCell ref="H324:I325"/>
    <mergeCell ref="Q957:Q958"/>
    <mergeCell ref="L670:L671"/>
    <mergeCell ref="N692:N693"/>
    <mergeCell ref="N493:N494"/>
    <mergeCell ref="U408:U409"/>
    <mergeCell ref="R408:R409"/>
    <mergeCell ref="G493:G495"/>
    <mergeCell ref="G452:G454"/>
    <mergeCell ref="H452:I453"/>
    <mergeCell ref="P408:P409"/>
    <mergeCell ref="Q408:Q409"/>
    <mergeCell ref="K814:K816"/>
    <mergeCell ref="N837:N838"/>
    <mergeCell ref="O837:O839"/>
    <mergeCell ref="S1142:S1143"/>
    <mergeCell ref="K1102:K1104"/>
    <mergeCell ref="L1102:L1103"/>
    <mergeCell ref="M1102:M1103"/>
    <mergeCell ref="N1102:N1103"/>
    <mergeCell ref="O1102:O1104"/>
    <mergeCell ref="P1102:Q1102"/>
    <mergeCell ref="S1102:U1102"/>
    <mergeCell ref="J1065:J1067"/>
    <mergeCell ref="K1065:K1067"/>
    <mergeCell ref="L1065:L1066"/>
    <mergeCell ref="M1065:M1066"/>
    <mergeCell ref="L1449:L1450"/>
    <mergeCell ref="J886:J888"/>
    <mergeCell ref="K886:K888"/>
    <mergeCell ref="K387:K389"/>
    <mergeCell ref="N1632:N1633"/>
    <mergeCell ref="O1632:O1634"/>
    <mergeCell ref="P1632:Q1632"/>
    <mergeCell ref="S1632:U1632"/>
    <mergeCell ref="G1632:G1634"/>
    <mergeCell ref="H1632:I1633"/>
    <mergeCell ref="J1632:J1634"/>
    <mergeCell ref="K1632:K1634"/>
    <mergeCell ref="L1632:L1633"/>
    <mergeCell ref="Q1633:Q1634"/>
    <mergeCell ref="R1633:R1634"/>
    <mergeCell ref="S1633:S1634"/>
    <mergeCell ref="T1633:T1634"/>
    <mergeCell ref="R1350:R1351"/>
    <mergeCell ref="T1350:T1351"/>
    <mergeCell ref="U1350:U1351"/>
    <mergeCell ref="P1274:P1275"/>
    <mergeCell ref="Q1274:Q1275"/>
    <mergeCell ref="S1611:S1612"/>
    <mergeCell ref="M1564:M1565"/>
    <mergeCell ref="M1399:M1400"/>
    <mergeCell ref="T1400:T1401"/>
    <mergeCell ref="O1349:O1351"/>
    <mergeCell ref="U1400:U1401"/>
    <mergeCell ref="Q1400:Q1401"/>
    <mergeCell ref="N1273:N1274"/>
    <mergeCell ref="M1374:M1375"/>
    <mergeCell ref="N1349:N1350"/>
    <mergeCell ref="P1349:Q1349"/>
    <mergeCell ref="T1375:T1376"/>
    <mergeCell ref="U1375:U1376"/>
    <mergeCell ref="L1587:L1588"/>
    <mergeCell ref="V387:W388"/>
    <mergeCell ref="S650:U650"/>
    <mergeCell ref="S540:U540"/>
    <mergeCell ref="P494:P495"/>
    <mergeCell ref="T562:T563"/>
    <mergeCell ref="U562:U563"/>
    <mergeCell ref="X650:X652"/>
    <mergeCell ref="P651:P652"/>
    <mergeCell ref="Q651:Q652"/>
    <mergeCell ref="R651:R652"/>
    <mergeCell ref="S651:S652"/>
    <mergeCell ref="S607:U607"/>
    <mergeCell ref="C886:C888"/>
    <mergeCell ref="G933:G935"/>
    <mergeCell ref="H933:I934"/>
    <mergeCell ref="H776:I777"/>
    <mergeCell ref="X517:X519"/>
    <mergeCell ref="V627:W628"/>
    <mergeCell ref="R628:R629"/>
    <mergeCell ref="S628:S629"/>
    <mergeCell ref="B467:F467"/>
    <mergeCell ref="E452:F453"/>
    <mergeCell ref="V471:W472"/>
    <mergeCell ref="V433:W434"/>
    <mergeCell ref="S434:S435"/>
    <mergeCell ref="S471:U471"/>
    <mergeCell ref="L471:L472"/>
    <mergeCell ref="M471:M472"/>
    <mergeCell ref="E471:F472"/>
    <mergeCell ref="U541:U542"/>
    <mergeCell ref="M540:M541"/>
    <mergeCell ref="D1610:D1612"/>
    <mergeCell ref="P1610:Q1610"/>
    <mergeCell ref="P1450:P1451"/>
    <mergeCell ref="Q1450:Q1451"/>
    <mergeCell ref="C1610:C1612"/>
    <mergeCell ref="M1273:M1274"/>
    <mergeCell ref="B1610:B1612"/>
    <mergeCell ref="T1611:T1612"/>
    <mergeCell ref="U1611:U1612"/>
    <mergeCell ref="R1476:R1477"/>
    <mergeCell ref="G1610:G1612"/>
    <mergeCell ref="H1610:I1611"/>
    <mergeCell ref="J1610:J1612"/>
    <mergeCell ref="K1610:K1612"/>
    <mergeCell ref="L1610:L1611"/>
    <mergeCell ref="M1610:M1611"/>
    <mergeCell ref="C1230:C1232"/>
    <mergeCell ref="D1230:D1232"/>
    <mergeCell ref="E1230:F1231"/>
    <mergeCell ref="G1230:G1232"/>
    <mergeCell ref="H1230:I1231"/>
    <mergeCell ref="J1230:J1232"/>
    <mergeCell ref="K1230:K1232"/>
    <mergeCell ref="L1230:L1231"/>
    <mergeCell ref="M1230:M1231"/>
    <mergeCell ref="N1230:N1231"/>
    <mergeCell ref="O1230:O1232"/>
    <mergeCell ref="P1305:Q1305"/>
    <mergeCell ref="P1289:Q1289"/>
    <mergeCell ref="S1289:U1289"/>
    <mergeCell ref="T1290:T1291"/>
    <mergeCell ref="U1290:U1291"/>
    <mergeCell ref="P957:P958"/>
    <mergeCell ref="O1610:O1612"/>
    <mergeCell ref="S1610:U1610"/>
    <mergeCell ref="O956:O958"/>
    <mergeCell ref="P956:Q956"/>
    <mergeCell ref="S956:U956"/>
    <mergeCell ref="U979:U980"/>
    <mergeCell ref="N978:N979"/>
    <mergeCell ref="X1206:X1208"/>
    <mergeCell ref="B303:B305"/>
    <mergeCell ref="C303:C305"/>
    <mergeCell ref="D303:D305"/>
    <mergeCell ref="E303:F304"/>
    <mergeCell ref="G303:G305"/>
    <mergeCell ref="H303:I304"/>
    <mergeCell ref="C366:C368"/>
    <mergeCell ref="D366:D368"/>
    <mergeCell ref="E366:F367"/>
    <mergeCell ref="G366:G368"/>
    <mergeCell ref="H366:I367"/>
    <mergeCell ref="S366:U366"/>
    <mergeCell ref="V366:W367"/>
    <mergeCell ref="B343:F343"/>
    <mergeCell ref="M366:M367"/>
    <mergeCell ref="N366:N367"/>
    <mergeCell ref="O366:O368"/>
    <mergeCell ref="P366:Q366"/>
    <mergeCell ref="S325:S326"/>
    <mergeCell ref="B324:B326"/>
    <mergeCell ref="X670:X672"/>
    <mergeCell ref="B1098:F1098"/>
    <mergeCell ref="B1230:B1232"/>
    <mergeCell ref="Y650:Y651"/>
    <mergeCell ref="Y607:Y608"/>
    <mergeCell ref="Q608:Q609"/>
    <mergeCell ref="R608:R609"/>
    <mergeCell ref="Q586:Q587"/>
    <mergeCell ref="P650:Q650"/>
    <mergeCell ref="X627:X629"/>
    <mergeCell ref="S608:S609"/>
    <mergeCell ref="X540:X542"/>
    <mergeCell ref="Y540:Y541"/>
    <mergeCell ref="P541:P542"/>
    <mergeCell ref="Q541:Q542"/>
    <mergeCell ref="R541:R542"/>
    <mergeCell ref="S541:S542"/>
    <mergeCell ref="X585:X587"/>
    <mergeCell ref="T586:T587"/>
    <mergeCell ref="Y493:Y494"/>
    <mergeCell ref="P493:Q493"/>
    <mergeCell ref="S493:U493"/>
    <mergeCell ref="V493:W494"/>
    <mergeCell ref="Y627:Y628"/>
    <mergeCell ref="X493:X495"/>
    <mergeCell ref="Y670:Y671"/>
    <mergeCell ref="P671:P672"/>
    <mergeCell ref="Q671:Q672"/>
    <mergeCell ref="R671:R672"/>
    <mergeCell ref="S671:S672"/>
    <mergeCell ref="H670:I671"/>
    <mergeCell ref="J670:J672"/>
    <mergeCell ref="U628:U629"/>
    <mergeCell ref="T628:T629"/>
    <mergeCell ref="U608:U609"/>
    <mergeCell ref="J909:J911"/>
    <mergeCell ref="K909:K911"/>
    <mergeCell ref="L909:L910"/>
    <mergeCell ref="N861:N862"/>
    <mergeCell ref="M909:M910"/>
    <mergeCell ref="M886:M887"/>
    <mergeCell ref="M837:M838"/>
    <mergeCell ref="K738:K740"/>
    <mergeCell ref="M738:M739"/>
    <mergeCell ref="N738:N739"/>
    <mergeCell ref="O738:O740"/>
    <mergeCell ref="Q887:Q888"/>
    <mergeCell ref="R887:R888"/>
    <mergeCell ref="S887:S888"/>
    <mergeCell ref="T887:T888"/>
    <mergeCell ref="U887:U888"/>
    <mergeCell ref="V692:W693"/>
    <mergeCell ref="L692:L693"/>
    <mergeCell ref="K627:K629"/>
    <mergeCell ref="T651:T652"/>
    <mergeCell ref="S692:U692"/>
    <mergeCell ref="O650:O652"/>
    <mergeCell ref="B1116:F1116"/>
    <mergeCell ref="B627:B629"/>
    <mergeCell ref="D627:D629"/>
    <mergeCell ref="E627:F628"/>
    <mergeCell ref="G627:G629"/>
    <mergeCell ref="H627:I628"/>
    <mergeCell ref="J627:J629"/>
    <mergeCell ref="M956:M957"/>
    <mergeCell ref="N956:N957"/>
    <mergeCell ref="L738:L739"/>
    <mergeCell ref="L650:L651"/>
    <mergeCell ref="B646:F646"/>
    <mergeCell ref="B650:B652"/>
    <mergeCell ref="C650:C652"/>
    <mergeCell ref="D650:D652"/>
    <mergeCell ref="M716:M717"/>
    <mergeCell ref="B670:B672"/>
    <mergeCell ref="C670:C672"/>
    <mergeCell ref="D716:D718"/>
    <mergeCell ref="E716:F717"/>
    <mergeCell ref="G716:G718"/>
    <mergeCell ref="B712:F712"/>
    <mergeCell ref="B833:F833"/>
    <mergeCell ref="B857:F857"/>
    <mergeCell ref="K933:K935"/>
    <mergeCell ref="L933:L934"/>
    <mergeCell ref="B956:B958"/>
    <mergeCell ref="C956:C958"/>
    <mergeCell ref="D956:D958"/>
    <mergeCell ref="E956:F957"/>
    <mergeCell ref="G956:G958"/>
    <mergeCell ref="H956:I957"/>
    <mergeCell ref="P910:P911"/>
    <mergeCell ref="Q910:Q911"/>
    <mergeCell ref="S933:U933"/>
    <mergeCell ref="V540:W541"/>
    <mergeCell ref="V561:W562"/>
    <mergeCell ref="M933:M934"/>
    <mergeCell ref="P934:P935"/>
    <mergeCell ref="N814:N815"/>
    <mergeCell ref="O814:O816"/>
    <mergeCell ref="J933:J935"/>
    <mergeCell ref="L861:L862"/>
    <mergeCell ref="H861:I862"/>
    <mergeCell ref="P933:Q933"/>
    <mergeCell ref="P814:Q814"/>
    <mergeCell ref="P692:Q692"/>
    <mergeCell ref="P670:Q670"/>
    <mergeCell ref="S670:U670"/>
    <mergeCell ref="T910:T911"/>
    <mergeCell ref="U910:U911"/>
    <mergeCell ref="N933:N934"/>
    <mergeCell ref="O933:O935"/>
    <mergeCell ref="S862:S863"/>
    <mergeCell ref="V716:W717"/>
    <mergeCell ref="P739:P740"/>
    <mergeCell ref="Q777:Q778"/>
    <mergeCell ref="P838:P839"/>
    <mergeCell ref="Q838:Q839"/>
    <mergeCell ref="P795:Q795"/>
    <mergeCell ref="Q862:Q863"/>
    <mergeCell ref="U862:U863"/>
    <mergeCell ref="V861:W862"/>
    <mergeCell ref="K757:K759"/>
    <mergeCell ref="J407:J409"/>
    <mergeCell ref="K407:K409"/>
    <mergeCell ref="K650:K652"/>
    <mergeCell ref="M650:M651"/>
    <mergeCell ref="E607:F608"/>
    <mergeCell ref="N471:N472"/>
    <mergeCell ref="O471:O473"/>
    <mergeCell ref="M607:M608"/>
    <mergeCell ref="N607:N608"/>
    <mergeCell ref="L627:L628"/>
    <mergeCell ref="N540:N541"/>
    <mergeCell ref="M452:M453"/>
    <mergeCell ref="T434:T435"/>
    <mergeCell ref="U434:U435"/>
    <mergeCell ref="V452:W453"/>
    <mergeCell ref="T518:T519"/>
    <mergeCell ref="U518:U519"/>
    <mergeCell ref="H471:I472"/>
    <mergeCell ref="V650:W651"/>
    <mergeCell ref="H561:I562"/>
    <mergeCell ref="J493:J495"/>
    <mergeCell ref="K493:K495"/>
    <mergeCell ref="M493:M494"/>
    <mergeCell ref="S408:S409"/>
    <mergeCell ref="V585:W586"/>
    <mergeCell ref="G471:G473"/>
    <mergeCell ref="R518:R519"/>
    <mergeCell ref="K607:K609"/>
    <mergeCell ref="L607:L608"/>
    <mergeCell ref="S585:U585"/>
    <mergeCell ref="Q434:Q435"/>
    <mergeCell ref="S518:S519"/>
    <mergeCell ref="J452:J454"/>
    <mergeCell ref="K452:K454"/>
    <mergeCell ref="B517:B519"/>
    <mergeCell ref="P433:Q433"/>
    <mergeCell ref="S433:U433"/>
    <mergeCell ref="O433:O435"/>
    <mergeCell ref="K517:K519"/>
    <mergeCell ref="B512:F512"/>
    <mergeCell ref="P471:Q471"/>
    <mergeCell ref="B540:B542"/>
    <mergeCell ref="C540:C542"/>
    <mergeCell ref="D540:D542"/>
    <mergeCell ref="E540:F541"/>
    <mergeCell ref="B603:F603"/>
    <mergeCell ref="N650:N651"/>
    <mergeCell ref="E650:F651"/>
    <mergeCell ref="G650:G652"/>
    <mergeCell ref="B623:F623"/>
    <mergeCell ref="B607:B609"/>
    <mergeCell ref="G607:G609"/>
    <mergeCell ref="E433:F434"/>
    <mergeCell ref="G433:G435"/>
    <mergeCell ref="H433:I434"/>
    <mergeCell ref="J433:J435"/>
    <mergeCell ref="K433:K435"/>
    <mergeCell ref="T541:T542"/>
    <mergeCell ref="P562:P563"/>
    <mergeCell ref="Q562:Q563"/>
    <mergeCell ref="R562:R563"/>
    <mergeCell ref="S562:S563"/>
    <mergeCell ref="U586:U587"/>
    <mergeCell ref="U651:U652"/>
    <mergeCell ref="V1935:W1936"/>
    <mergeCell ref="U1565:U1566"/>
    <mergeCell ref="P1516:Q1516"/>
    <mergeCell ref="V1564:W1565"/>
    <mergeCell ref="X1564:X1566"/>
    <mergeCell ref="P1565:P1566"/>
    <mergeCell ref="Q1565:Q1566"/>
    <mergeCell ref="R1565:R1566"/>
    <mergeCell ref="S1565:S1566"/>
    <mergeCell ref="Y1564:Y1565"/>
    <mergeCell ref="X1632:X1634"/>
    <mergeCell ref="S1654:U1654"/>
    <mergeCell ref="V1654:W1655"/>
    <mergeCell ref="X1935:X1937"/>
    <mergeCell ref="Y1935:Y1936"/>
    <mergeCell ref="P1936:P1937"/>
    <mergeCell ref="R1936:R1937"/>
    <mergeCell ref="S1936:S1937"/>
    <mergeCell ref="S1588:S1589"/>
    <mergeCell ref="P1789:P1790"/>
    <mergeCell ref="U1876:U1877"/>
    <mergeCell ref="P1654:Q1654"/>
    <mergeCell ref="Q1655:Q1656"/>
    <mergeCell ref="Y1516:Y1517"/>
    <mergeCell ref="P1517:P1518"/>
    <mergeCell ref="Q1517:Q1518"/>
    <mergeCell ref="S1231:S1232"/>
    <mergeCell ref="T1231:T1232"/>
    <mergeCell ref="Y1493:Y1494"/>
    <mergeCell ref="X1399:X1401"/>
    <mergeCell ref="Y1812:Y1813"/>
    <mergeCell ref="P1813:P1814"/>
    <mergeCell ref="Q1813:Q1814"/>
    <mergeCell ref="R1813:R1814"/>
    <mergeCell ref="Y1610:Y1611"/>
    <mergeCell ref="U1897:U1898"/>
    <mergeCell ref="Y1914:Y1915"/>
    <mergeCell ref="P1915:P1916"/>
    <mergeCell ref="Q1915:Q1916"/>
    <mergeCell ref="U1633:U1634"/>
    <mergeCell ref="P1633:P1634"/>
    <mergeCell ref="R1915:R1916"/>
    <mergeCell ref="S1915:S1916"/>
    <mergeCell ref="T1915:T1916"/>
    <mergeCell ref="U1915:U1916"/>
    <mergeCell ref="V1914:W1915"/>
    <mergeCell ref="X1914:X1916"/>
    <mergeCell ref="Y1745:Y1746"/>
    <mergeCell ref="P1746:P1747"/>
    <mergeCell ref="Q1746:Q1747"/>
    <mergeCell ref="R1746:R1747"/>
    <mergeCell ref="V1632:W1633"/>
    <mergeCell ref="V1896:W1897"/>
    <mergeCell ref="X1896:X1898"/>
    <mergeCell ref="Y1896:Y1897"/>
    <mergeCell ref="P1897:P1898"/>
    <mergeCell ref="Q1897:Q1898"/>
    <mergeCell ref="T1876:T1877"/>
    <mergeCell ref="V1951:W1952"/>
    <mergeCell ref="S1951:U1951"/>
    <mergeCell ref="S1935:U1935"/>
    <mergeCell ref="Q1936:Q1937"/>
    <mergeCell ref="X1951:X1953"/>
    <mergeCell ref="T1897:T1898"/>
    <mergeCell ref="P1721:Q1721"/>
    <mergeCell ref="S1721:U1721"/>
    <mergeCell ref="V1721:W1722"/>
    <mergeCell ref="X1721:X1723"/>
    <mergeCell ref="P1722:P1723"/>
    <mergeCell ref="Q1722:Q1723"/>
    <mergeCell ref="R1722:R1723"/>
    <mergeCell ref="T1655:T1656"/>
    <mergeCell ref="X1676:X1678"/>
    <mergeCell ref="Y1769:Y1770"/>
    <mergeCell ref="Y1654:Y1655"/>
    <mergeCell ref="P1655:P1656"/>
    <mergeCell ref="S1746:S1747"/>
    <mergeCell ref="T1746:T1747"/>
    <mergeCell ref="Y1832:Y1833"/>
    <mergeCell ref="S1813:S1814"/>
    <mergeCell ref="T1813:T1814"/>
    <mergeCell ref="U1813:U1814"/>
    <mergeCell ref="Y1856:Y1857"/>
    <mergeCell ref="P1857:P1858"/>
    <mergeCell ref="X1654:X1656"/>
    <mergeCell ref="Y1951:Y1952"/>
    <mergeCell ref="P1952:P1953"/>
    <mergeCell ref="Q1952:Q1953"/>
    <mergeCell ref="R1952:R1953"/>
    <mergeCell ref="S1952:S1953"/>
    <mergeCell ref="B1931:F1931"/>
    <mergeCell ref="B1896:B1898"/>
    <mergeCell ref="C1896:C1898"/>
    <mergeCell ref="D1896:D1898"/>
    <mergeCell ref="E1896:F1897"/>
    <mergeCell ref="G1896:G1898"/>
    <mergeCell ref="H1896:I1897"/>
    <mergeCell ref="J1896:J1898"/>
    <mergeCell ref="K1896:K1898"/>
    <mergeCell ref="L1896:L1897"/>
    <mergeCell ref="M1896:M1897"/>
    <mergeCell ref="N1896:N1897"/>
    <mergeCell ref="O1896:O1898"/>
    <mergeCell ref="P1896:Q1896"/>
    <mergeCell ref="S1896:U1896"/>
    <mergeCell ref="B1910:F1910"/>
    <mergeCell ref="B1914:B1916"/>
    <mergeCell ref="C1914:C1916"/>
    <mergeCell ref="D1914:D1916"/>
    <mergeCell ref="E1914:F1915"/>
    <mergeCell ref="G1914:G1916"/>
    <mergeCell ref="H1914:I1915"/>
    <mergeCell ref="L1914:L1915"/>
    <mergeCell ref="M1914:M1915"/>
    <mergeCell ref="N1914:N1915"/>
    <mergeCell ref="O1914:O1916"/>
    <mergeCell ref="P1914:Q1914"/>
    <mergeCell ref="S1914:U1914"/>
    <mergeCell ref="J1914:J1916"/>
    <mergeCell ref="K1914:K1916"/>
    <mergeCell ref="R1897:R1898"/>
    <mergeCell ref="S1897:S1898"/>
    <mergeCell ref="B1964:F1964"/>
    <mergeCell ref="U1936:U1937"/>
    <mergeCell ref="B1947:F1947"/>
    <mergeCell ref="B1951:B1953"/>
    <mergeCell ref="C1951:C1953"/>
    <mergeCell ref="D1951:D1953"/>
    <mergeCell ref="E1951:F1952"/>
    <mergeCell ref="G1951:G1953"/>
    <mergeCell ref="H1951:I1952"/>
    <mergeCell ref="J1951:J1953"/>
    <mergeCell ref="K1951:K1953"/>
    <mergeCell ref="L1951:L1952"/>
    <mergeCell ref="M1951:M1952"/>
    <mergeCell ref="N1951:N1952"/>
    <mergeCell ref="O1951:O1953"/>
    <mergeCell ref="P1951:Q1951"/>
    <mergeCell ref="B1935:B1937"/>
    <mergeCell ref="C1935:C1937"/>
    <mergeCell ref="D1935:D1937"/>
    <mergeCell ref="E1935:F1936"/>
    <mergeCell ref="G1935:G1937"/>
    <mergeCell ref="H1935:I1936"/>
    <mergeCell ref="J1935:J1937"/>
    <mergeCell ref="K1935:K1937"/>
    <mergeCell ref="L1935:L1936"/>
    <mergeCell ref="M1935:M1936"/>
    <mergeCell ref="N1935:N1936"/>
    <mergeCell ref="O1935:O1937"/>
    <mergeCell ref="P1935:Q1935"/>
    <mergeCell ref="T1952:T1953"/>
    <mergeCell ref="U1952:U1953"/>
    <mergeCell ref="T1936:T1937"/>
    <mergeCell ref="Y1349:Y1350"/>
    <mergeCell ref="B1449:B1451"/>
    <mergeCell ref="C1449:C1451"/>
    <mergeCell ref="D1449:D1451"/>
    <mergeCell ref="B1516:B1518"/>
    <mergeCell ref="C1516:C1518"/>
    <mergeCell ref="P1494:P1495"/>
    <mergeCell ref="Q1494:Q1495"/>
    <mergeCell ref="R1494:R1495"/>
    <mergeCell ref="S1494:S1495"/>
    <mergeCell ref="T1494:T1495"/>
    <mergeCell ref="U1494:U1495"/>
    <mergeCell ref="B1489:F1489"/>
    <mergeCell ref="B1493:B1495"/>
    <mergeCell ref="C1493:C1495"/>
    <mergeCell ref="D1493:D1495"/>
    <mergeCell ref="P1564:Q1564"/>
    <mergeCell ref="E1449:F1450"/>
    <mergeCell ref="G1449:G1451"/>
    <mergeCell ref="H1449:I1450"/>
    <mergeCell ref="J1449:J1451"/>
    <mergeCell ref="B1538:B1540"/>
    <mergeCell ref="C1538:C1540"/>
    <mergeCell ref="N1564:N1565"/>
    <mergeCell ref="O1564:O1566"/>
    <mergeCell ref="D1516:D1518"/>
    <mergeCell ref="E1516:F1517"/>
    <mergeCell ref="G1516:G1518"/>
    <mergeCell ref="O1449:O1451"/>
    <mergeCell ref="S1564:U1564"/>
    <mergeCell ref="K1564:K1566"/>
    <mergeCell ref="L1564:L1565"/>
    <mergeCell ref="Y471:Y472"/>
    <mergeCell ref="P472:P473"/>
    <mergeCell ref="Q472:Q473"/>
    <mergeCell ref="R472:R473"/>
    <mergeCell ref="S472:S473"/>
    <mergeCell ref="T472:T473"/>
    <mergeCell ref="U472:U473"/>
    <mergeCell ref="L517:L518"/>
    <mergeCell ref="M517:M518"/>
    <mergeCell ref="P517:Q517"/>
    <mergeCell ref="S517:U517"/>
    <mergeCell ref="S627:U627"/>
    <mergeCell ref="V607:W608"/>
    <mergeCell ref="X607:X609"/>
    <mergeCell ref="M627:M628"/>
    <mergeCell ref="N627:N628"/>
    <mergeCell ref="O627:O629"/>
    <mergeCell ref="P627:Q627"/>
    <mergeCell ref="V517:W518"/>
    <mergeCell ref="Y561:Y562"/>
    <mergeCell ref="P586:P587"/>
    <mergeCell ref="Y517:Y518"/>
    <mergeCell ref="T494:T495"/>
    <mergeCell ref="U494:U495"/>
    <mergeCell ref="X561:X563"/>
    <mergeCell ref="P585:Q585"/>
    <mergeCell ref="P628:P629"/>
    <mergeCell ref="P607:Q607"/>
    <mergeCell ref="S494:S495"/>
    <mergeCell ref="O540:O542"/>
    <mergeCell ref="Y387:Y388"/>
    <mergeCell ref="P388:P389"/>
    <mergeCell ref="Q388:Q389"/>
    <mergeCell ref="R388:R389"/>
    <mergeCell ref="S388:S389"/>
    <mergeCell ref="T388:T389"/>
    <mergeCell ref="U388:U389"/>
    <mergeCell ref="P387:Q387"/>
    <mergeCell ref="S387:U387"/>
    <mergeCell ref="U348:U349"/>
    <mergeCell ref="P452:Q452"/>
    <mergeCell ref="S452:U452"/>
    <mergeCell ref="X407:X409"/>
    <mergeCell ref="P434:P435"/>
    <mergeCell ref="S407:U407"/>
    <mergeCell ref="Y366:Y367"/>
    <mergeCell ref="Q367:Q368"/>
    <mergeCell ref="R367:R368"/>
    <mergeCell ref="S367:S368"/>
    <mergeCell ref="T367:T368"/>
    <mergeCell ref="U367:U368"/>
    <mergeCell ref="Y347:Y348"/>
    <mergeCell ref="P348:P349"/>
    <mergeCell ref="X366:X368"/>
    <mergeCell ref="P367:P368"/>
    <mergeCell ref="T408:T409"/>
    <mergeCell ref="Y407:Y408"/>
    <mergeCell ref="X452:X454"/>
    <mergeCell ref="R453:R454"/>
    <mergeCell ref="S453:S454"/>
    <mergeCell ref="X387:X389"/>
    <mergeCell ref="J347:J349"/>
    <mergeCell ref="M387:M388"/>
    <mergeCell ref="C256:C258"/>
    <mergeCell ref="D256:D258"/>
    <mergeCell ref="E256:F257"/>
    <mergeCell ref="G256:G258"/>
    <mergeCell ref="R348:R349"/>
    <mergeCell ref="H347:I348"/>
    <mergeCell ref="Q348:Q349"/>
    <mergeCell ref="O303:O305"/>
    <mergeCell ref="P303:Q303"/>
    <mergeCell ref="J366:J368"/>
    <mergeCell ref="K366:K368"/>
    <mergeCell ref="L366:L367"/>
    <mergeCell ref="D407:D409"/>
    <mergeCell ref="Y256:Y257"/>
    <mergeCell ref="Y452:Y453"/>
    <mergeCell ref="Y303:Y304"/>
    <mergeCell ref="Y324:Y325"/>
    <mergeCell ref="V347:W348"/>
    <mergeCell ref="X347:X349"/>
    <mergeCell ref="V303:W304"/>
    <mergeCell ref="X303:X305"/>
    <mergeCell ref="X324:X326"/>
    <mergeCell ref="L407:L408"/>
    <mergeCell ref="M407:M408"/>
    <mergeCell ref="D433:D435"/>
    <mergeCell ref="T173:T174"/>
    <mergeCell ref="S347:U347"/>
    <mergeCell ref="C324:C326"/>
    <mergeCell ref="D324:D326"/>
    <mergeCell ref="E324:F325"/>
    <mergeCell ref="G324:G326"/>
    <mergeCell ref="G215:G217"/>
    <mergeCell ref="K347:K349"/>
    <mergeCell ref="L347:L348"/>
    <mergeCell ref="M347:M348"/>
    <mergeCell ref="N347:N348"/>
    <mergeCell ref="O347:O349"/>
    <mergeCell ref="H172:I173"/>
    <mergeCell ref="J172:J174"/>
    <mergeCell ref="B189:F189"/>
    <mergeCell ref="B298:F298"/>
    <mergeCell ref="O282:O284"/>
    <mergeCell ref="L215:L216"/>
    <mergeCell ref="M215:M216"/>
    <mergeCell ref="N215:N216"/>
    <mergeCell ref="B320:F320"/>
    <mergeCell ref="P257:P258"/>
    <mergeCell ref="Q257:Q258"/>
    <mergeCell ref="T304:T305"/>
    <mergeCell ref="U304:U305"/>
    <mergeCell ref="Q283:Q284"/>
    <mergeCell ref="R283:R284"/>
    <mergeCell ref="S283:S284"/>
    <mergeCell ref="M303:M304"/>
    <mergeCell ref="O324:O326"/>
    <mergeCell ref="N303:N304"/>
    <mergeCell ref="P304:P305"/>
    <mergeCell ref="B366:B368"/>
    <mergeCell ref="N407:N408"/>
    <mergeCell ref="E407:F408"/>
    <mergeCell ref="G407:G409"/>
    <mergeCell ref="H407:I408"/>
    <mergeCell ref="B252:F252"/>
    <mergeCell ref="U237:U238"/>
    <mergeCell ref="P215:Q215"/>
    <mergeCell ref="C194:C196"/>
    <mergeCell ref="B211:F211"/>
    <mergeCell ref="P282:Q282"/>
    <mergeCell ref="D282:D284"/>
    <mergeCell ref="E282:F283"/>
    <mergeCell ref="G282:G284"/>
    <mergeCell ref="P283:P284"/>
    <mergeCell ref="H282:I283"/>
    <mergeCell ref="J282:J284"/>
    <mergeCell ref="K282:K284"/>
    <mergeCell ref="L282:L283"/>
    <mergeCell ref="M282:M283"/>
    <mergeCell ref="N282:N283"/>
    <mergeCell ref="T283:T284"/>
    <mergeCell ref="U283:U284"/>
    <mergeCell ref="P256:Q256"/>
    <mergeCell ref="S256:U256"/>
    <mergeCell ref="S282:U282"/>
    <mergeCell ref="E215:F216"/>
    <mergeCell ref="J387:J389"/>
    <mergeCell ref="O215:O217"/>
    <mergeCell ref="N387:N388"/>
    <mergeCell ref="O387:O389"/>
    <mergeCell ref="B362:F362"/>
    <mergeCell ref="X215:X217"/>
    <mergeCell ref="Y215:Y216"/>
    <mergeCell ref="B277:F277"/>
    <mergeCell ref="B282:B284"/>
    <mergeCell ref="C282:C284"/>
    <mergeCell ref="S303:U303"/>
    <mergeCell ref="E236:F237"/>
    <mergeCell ref="G236:G238"/>
    <mergeCell ref="H236:I237"/>
    <mergeCell ref="B172:B174"/>
    <mergeCell ref="C172:C174"/>
    <mergeCell ref="D172:D174"/>
    <mergeCell ref="E172:F173"/>
    <mergeCell ref="G172:G174"/>
    <mergeCell ref="H152:I153"/>
    <mergeCell ref="J152:J154"/>
    <mergeCell ref="K152:K154"/>
    <mergeCell ref="B152:B154"/>
    <mergeCell ref="P172:Q172"/>
    <mergeCell ref="S172:U172"/>
    <mergeCell ref="V172:W173"/>
    <mergeCell ref="P216:P217"/>
    <mergeCell ref="Q216:Q217"/>
    <mergeCell ref="R216:R217"/>
    <mergeCell ref="S216:S217"/>
    <mergeCell ref="T216:T217"/>
    <mergeCell ref="U216:U217"/>
    <mergeCell ref="B215:B217"/>
    <mergeCell ref="C215:C217"/>
    <mergeCell ref="D215:D217"/>
    <mergeCell ref="V215:W216"/>
    <mergeCell ref="V194:W195"/>
    <mergeCell ref="Y194:Y195"/>
    <mergeCell ref="P195:P196"/>
    <mergeCell ref="Q195:Q196"/>
    <mergeCell ref="R195:R196"/>
    <mergeCell ref="S195:S196"/>
    <mergeCell ref="H194:I195"/>
    <mergeCell ref="J194:J196"/>
    <mergeCell ref="K194:K196"/>
    <mergeCell ref="L194:L195"/>
    <mergeCell ref="M194:M195"/>
    <mergeCell ref="N194:N195"/>
    <mergeCell ref="T195:T196"/>
    <mergeCell ref="U195:U196"/>
    <mergeCell ref="P194:Q194"/>
    <mergeCell ref="S194:U194"/>
    <mergeCell ref="X152:X154"/>
    <mergeCell ref="Y152:Y153"/>
    <mergeCell ref="P153:P154"/>
    <mergeCell ref="Q153:Q154"/>
    <mergeCell ref="R153:R154"/>
    <mergeCell ref="S153:S154"/>
    <mergeCell ref="O152:O154"/>
    <mergeCell ref="V152:W153"/>
    <mergeCell ref="P152:Q152"/>
    <mergeCell ref="U173:U174"/>
    <mergeCell ref="X172:X174"/>
    <mergeCell ref="Y172:Y173"/>
    <mergeCell ref="P173:P174"/>
    <mergeCell ref="Q173:Q174"/>
    <mergeCell ref="R173:R174"/>
    <mergeCell ref="S173:S174"/>
    <mergeCell ref="M152:M153"/>
    <mergeCell ref="H83:I84"/>
    <mergeCell ref="J83:J85"/>
    <mergeCell ref="K83:K85"/>
    <mergeCell ref="L83:L84"/>
    <mergeCell ref="M83:M84"/>
    <mergeCell ref="N83:N84"/>
    <mergeCell ref="T84:T85"/>
    <mergeCell ref="U84:U85"/>
    <mergeCell ref="P83:Q83"/>
    <mergeCell ref="S83:U83"/>
    <mergeCell ref="O83:O85"/>
    <mergeCell ref="V83:W84"/>
    <mergeCell ref="X130:X132"/>
    <mergeCell ref="Y130:Y131"/>
    <mergeCell ref="P131:P132"/>
    <mergeCell ref="Q131:Q132"/>
    <mergeCell ref="R131:R132"/>
    <mergeCell ref="S131:S132"/>
    <mergeCell ref="H130:I131"/>
    <mergeCell ref="J130:J132"/>
    <mergeCell ref="K130:K132"/>
    <mergeCell ref="L130:L131"/>
    <mergeCell ref="K111:K113"/>
    <mergeCell ref="L111:L112"/>
    <mergeCell ref="N152:N153"/>
    <mergeCell ref="X111:X113"/>
    <mergeCell ref="R112:R113"/>
    <mergeCell ref="S112:S113"/>
    <mergeCell ref="T112:T113"/>
    <mergeCell ref="U112:U113"/>
    <mergeCell ref="M36:M37"/>
    <mergeCell ref="N36:N37"/>
    <mergeCell ref="T37:T38"/>
    <mergeCell ref="U37:U38"/>
    <mergeCell ref="P36:Q36"/>
    <mergeCell ref="S36:U36"/>
    <mergeCell ref="T57:T58"/>
    <mergeCell ref="V36:W37"/>
    <mergeCell ref="V56:W57"/>
    <mergeCell ref="X56:X58"/>
    <mergeCell ref="O36:O38"/>
    <mergeCell ref="S111:U111"/>
    <mergeCell ref="T131:T132"/>
    <mergeCell ref="U131:U132"/>
    <mergeCell ref="S130:U130"/>
    <mergeCell ref="O130:O132"/>
    <mergeCell ref="V130:W131"/>
    <mergeCell ref="U153:U154"/>
    <mergeCell ref="Y56:Y57"/>
    <mergeCell ref="P57:P58"/>
    <mergeCell ref="Y36:Y37"/>
    <mergeCell ref="P37:P38"/>
    <mergeCell ref="Q37:Q38"/>
    <mergeCell ref="R37:R38"/>
    <mergeCell ref="S37:S38"/>
    <mergeCell ref="P56:Q56"/>
    <mergeCell ref="S56:U56"/>
    <mergeCell ref="X83:X85"/>
    <mergeCell ref="Y83:Y84"/>
    <mergeCell ref="P84:P85"/>
    <mergeCell ref="Q84:Q85"/>
    <mergeCell ref="R84:R85"/>
    <mergeCell ref="S84:S85"/>
    <mergeCell ref="B147:F147"/>
    <mergeCell ref="B32:F32"/>
    <mergeCell ref="B36:B38"/>
    <mergeCell ref="C36:C38"/>
    <mergeCell ref="X36:X38"/>
    <mergeCell ref="M130:M131"/>
    <mergeCell ref="Y111:Y112"/>
    <mergeCell ref="V111:W112"/>
    <mergeCell ref="E56:F57"/>
    <mergeCell ref="Q57:Q58"/>
    <mergeCell ref="R57:R58"/>
    <mergeCell ref="S57:S58"/>
    <mergeCell ref="H56:I57"/>
    <mergeCell ref="J56:J58"/>
    <mergeCell ref="K56:K58"/>
    <mergeCell ref="E36:F37"/>
    <mergeCell ref="G36:G38"/>
    <mergeCell ref="X5:X7"/>
    <mergeCell ref="Y5:Y6"/>
    <mergeCell ref="P6:P7"/>
    <mergeCell ref="Q6:Q7"/>
    <mergeCell ref="R6:R7"/>
    <mergeCell ref="S6:S7"/>
    <mergeCell ref="H5:I6"/>
    <mergeCell ref="J5:J7"/>
    <mergeCell ref="K5:K7"/>
    <mergeCell ref="L5:L6"/>
    <mergeCell ref="M5:M6"/>
    <mergeCell ref="N5:N6"/>
    <mergeCell ref="T6:T7"/>
    <mergeCell ref="U6:U7"/>
    <mergeCell ref="S5:U5"/>
    <mergeCell ref="O5:O7"/>
    <mergeCell ref="P5:Q5"/>
    <mergeCell ref="V5:W6"/>
    <mergeCell ref="B5:B7"/>
    <mergeCell ref="J236:J238"/>
    <mergeCell ref="B168:F168"/>
    <mergeCell ref="B194:B196"/>
    <mergeCell ref="C5:C7"/>
    <mergeCell ref="D5:D7"/>
    <mergeCell ref="E5:F6"/>
    <mergeCell ref="N130:N131"/>
    <mergeCell ref="P111:Q111"/>
    <mergeCell ref="P112:P113"/>
    <mergeCell ref="Q112:Q113"/>
    <mergeCell ref="D194:D196"/>
    <mergeCell ref="S215:U215"/>
    <mergeCell ref="S152:U152"/>
    <mergeCell ref="B52:F52"/>
    <mergeCell ref="B56:B58"/>
    <mergeCell ref="C56:C58"/>
    <mergeCell ref="D56:D58"/>
    <mergeCell ref="N236:N237"/>
    <mergeCell ref="O236:O238"/>
    <mergeCell ref="P236:Q236"/>
    <mergeCell ref="S236:U236"/>
    <mergeCell ref="G5:G7"/>
    <mergeCell ref="U57:U58"/>
    <mergeCell ref="L56:L57"/>
    <mergeCell ref="M56:M57"/>
    <mergeCell ref="N56:N57"/>
    <mergeCell ref="L152:L153"/>
    <mergeCell ref="O194:O196"/>
    <mergeCell ref="T153:T154"/>
    <mergeCell ref="D152:D154"/>
    <mergeCell ref="E152:F153"/>
    <mergeCell ref="B126:F126"/>
    <mergeCell ref="K236:K238"/>
    <mergeCell ref="L236:L237"/>
    <mergeCell ref="M236:M237"/>
    <mergeCell ref="B130:B132"/>
    <mergeCell ref="C130:C132"/>
    <mergeCell ref="D130:D132"/>
    <mergeCell ref="E130:F131"/>
    <mergeCell ref="G130:G132"/>
    <mergeCell ref="P130:Q130"/>
    <mergeCell ref="K172:K174"/>
    <mergeCell ref="L172:L173"/>
    <mergeCell ref="M172:M173"/>
    <mergeCell ref="N172:N173"/>
    <mergeCell ref="H36:I37"/>
    <mergeCell ref="J36:J38"/>
    <mergeCell ref="K36:K38"/>
    <mergeCell ref="L36:L37"/>
    <mergeCell ref="C83:C85"/>
    <mergeCell ref="D83:D85"/>
    <mergeCell ref="E83:F84"/>
    <mergeCell ref="D36:D38"/>
    <mergeCell ref="M111:M112"/>
    <mergeCell ref="N111:N112"/>
    <mergeCell ref="O111:O113"/>
    <mergeCell ref="B111:B113"/>
    <mergeCell ref="C111:C113"/>
    <mergeCell ref="D111:D113"/>
    <mergeCell ref="E111:F112"/>
    <mergeCell ref="G111:G113"/>
    <mergeCell ref="H111:I112"/>
    <mergeCell ref="J111:J113"/>
    <mergeCell ref="G83:G85"/>
    <mergeCell ref="O56:O58"/>
    <mergeCell ref="G56:G58"/>
    <mergeCell ref="B107:F107"/>
    <mergeCell ref="B256:B258"/>
    <mergeCell ref="G347:G349"/>
    <mergeCell ref="B448:F448"/>
    <mergeCell ref="Q518:Q519"/>
    <mergeCell ref="B433:B435"/>
    <mergeCell ref="B452:B454"/>
    <mergeCell ref="C452:C454"/>
    <mergeCell ref="L387:L388"/>
    <mergeCell ref="E387:F388"/>
    <mergeCell ref="G387:G389"/>
    <mergeCell ref="H387:I388"/>
    <mergeCell ref="B407:B409"/>
    <mergeCell ref="C407:C409"/>
    <mergeCell ref="P453:P454"/>
    <mergeCell ref="Q453:Q454"/>
    <mergeCell ref="B79:F79"/>
    <mergeCell ref="B83:B85"/>
    <mergeCell ref="D452:D454"/>
    <mergeCell ref="L433:L434"/>
    <mergeCell ref="M433:M434"/>
    <mergeCell ref="O452:O454"/>
    <mergeCell ref="O172:O174"/>
    <mergeCell ref="C152:C154"/>
    <mergeCell ref="G152:G154"/>
    <mergeCell ref="E194:F195"/>
    <mergeCell ref="H215:I216"/>
    <mergeCell ref="J215:J217"/>
    <mergeCell ref="K215:K217"/>
    <mergeCell ref="X692:X694"/>
    <mergeCell ref="Y692:Y693"/>
    <mergeCell ref="P693:P694"/>
    <mergeCell ref="Q693:Q694"/>
    <mergeCell ref="R693:R694"/>
    <mergeCell ref="B493:B495"/>
    <mergeCell ref="C493:C495"/>
    <mergeCell ref="D493:D495"/>
    <mergeCell ref="C517:C519"/>
    <mergeCell ref="E493:F494"/>
    <mergeCell ref="R494:R495"/>
    <mergeCell ref="N776:N777"/>
    <mergeCell ref="O776:O778"/>
    <mergeCell ref="P776:Q776"/>
    <mergeCell ref="M670:M671"/>
    <mergeCell ref="N670:N671"/>
    <mergeCell ref="O670:O672"/>
    <mergeCell ref="M692:M693"/>
    <mergeCell ref="O561:O563"/>
    <mergeCell ref="G517:G519"/>
    <mergeCell ref="H517:I518"/>
    <mergeCell ref="J517:J519"/>
    <mergeCell ref="Q628:Q629"/>
    <mergeCell ref="O692:O694"/>
    <mergeCell ref="C627:C629"/>
    <mergeCell ref="P608:P609"/>
    <mergeCell ref="D670:D672"/>
    <mergeCell ref="E670:F671"/>
    <mergeCell ref="B666:F666"/>
    <mergeCell ref="K716:K718"/>
    <mergeCell ref="L716:L717"/>
    <mergeCell ref="B536:F536"/>
    <mergeCell ref="N909:N910"/>
    <mergeCell ref="B776:B778"/>
    <mergeCell ref="C776:C778"/>
    <mergeCell ref="J650:J652"/>
    <mergeCell ref="G670:G672"/>
    <mergeCell ref="C909:C911"/>
    <mergeCell ref="D909:D911"/>
    <mergeCell ref="D861:D863"/>
    <mergeCell ref="D837:D839"/>
    <mergeCell ref="E837:F838"/>
    <mergeCell ref="G837:G839"/>
    <mergeCell ref="B738:B740"/>
    <mergeCell ref="C738:C740"/>
    <mergeCell ref="L886:L887"/>
    <mergeCell ref="J861:J863"/>
    <mergeCell ref="J692:J694"/>
    <mergeCell ref="K692:K694"/>
    <mergeCell ref="H650:I651"/>
    <mergeCell ref="N886:N887"/>
    <mergeCell ref="J757:J759"/>
    <mergeCell ref="N757:N758"/>
    <mergeCell ref="M861:M862"/>
    <mergeCell ref="M814:M815"/>
    <mergeCell ref="L795:L796"/>
    <mergeCell ref="M795:M796"/>
    <mergeCell ref="J795:J797"/>
    <mergeCell ref="C692:C694"/>
    <mergeCell ref="D692:D694"/>
    <mergeCell ref="E692:F693"/>
    <mergeCell ref="G692:G694"/>
    <mergeCell ref="H692:I693"/>
    <mergeCell ref="K670:K672"/>
    <mergeCell ref="X757:X759"/>
    <mergeCell ref="V795:W796"/>
    <mergeCell ref="X795:X797"/>
    <mergeCell ref="X738:X740"/>
    <mergeCell ref="U739:U740"/>
    <mergeCell ref="X776:X778"/>
    <mergeCell ref="V909:W910"/>
    <mergeCell ref="X909:X911"/>
    <mergeCell ref="X814:X816"/>
    <mergeCell ref="X933:X935"/>
    <mergeCell ref="X886:X888"/>
    <mergeCell ref="P837:Q837"/>
    <mergeCell ref="P886:Q886"/>
    <mergeCell ref="R910:R911"/>
    <mergeCell ref="S910:S911"/>
    <mergeCell ref="T671:T672"/>
    <mergeCell ref="U671:U672"/>
    <mergeCell ref="P909:Q909"/>
    <mergeCell ref="P887:P888"/>
    <mergeCell ref="Q934:Q935"/>
    <mergeCell ref="R934:R935"/>
    <mergeCell ref="S934:S935"/>
    <mergeCell ref="T934:T935"/>
    <mergeCell ref="U934:U935"/>
    <mergeCell ref="S777:S778"/>
    <mergeCell ref="T777:T778"/>
    <mergeCell ref="U777:U778"/>
    <mergeCell ref="V670:W671"/>
    <mergeCell ref="X861:X863"/>
    <mergeCell ref="T815:T816"/>
    <mergeCell ref="U815:U816"/>
    <mergeCell ref="T862:T863"/>
    <mergeCell ref="B952:F952"/>
    <mergeCell ref="D776:D778"/>
    <mergeCell ref="E776:F777"/>
    <mergeCell ref="B886:B888"/>
    <mergeCell ref="E861:F862"/>
    <mergeCell ref="B861:B863"/>
    <mergeCell ref="C861:C863"/>
    <mergeCell ref="D738:D740"/>
    <mergeCell ref="B837:B839"/>
    <mergeCell ref="B810:F810"/>
    <mergeCell ref="E909:F910"/>
    <mergeCell ref="H909:I910"/>
    <mergeCell ref="B905:F905"/>
    <mergeCell ref="B716:B718"/>
    <mergeCell ref="B882:F882"/>
    <mergeCell ref="B933:B935"/>
    <mergeCell ref="C933:C935"/>
    <mergeCell ref="B928:F928"/>
    <mergeCell ref="C716:C718"/>
    <mergeCell ref="G909:G911"/>
    <mergeCell ref="C837:C839"/>
    <mergeCell ref="C757:C759"/>
    <mergeCell ref="D886:D888"/>
    <mergeCell ref="E886:F887"/>
    <mergeCell ref="G886:G888"/>
    <mergeCell ref="H886:I887"/>
    <mergeCell ref="H716:I717"/>
    <mergeCell ref="J956:J958"/>
    <mergeCell ref="C814:C816"/>
    <mergeCell ref="B734:F734"/>
    <mergeCell ref="G795:G797"/>
    <mergeCell ref="E738:F739"/>
    <mergeCell ref="G738:G740"/>
    <mergeCell ref="H738:I739"/>
    <mergeCell ref="J738:J740"/>
    <mergeCell ref="B753:F753"/>
    <mergeCell ref="L814:L815"/>
    <mergeCell ref="K861:K863"/>
    <mergeCell ref="J776:J778"/>
    <mergeCell ref="D795:D797"/>
    <mergeCell ref="E795:F796"/>
    <mergeCell ref="E814:F815"/>
    <mergeCell ref="G814:G816"/>
    <mergeCell ref="H814:I815"/>
    <mergeCell ref="J814:J816"/>
    <mergeCell ref="H795:I796"/>
    <mergeCell ref="D814:D816"/>
    <mergeCell ref="B795:B797"/>
    <mergeCell ref="C795:C797"/>
    <mergeCell ref="G776:G778"/>
    <mergeCell ref="B909:B911"/>
    <mergeCell ref="D757:D759"/>
    <mergeCell ref="E757:F758"/>
    <mergeCell ref="B772:F772"/>
    <mergeCell ref="B757:B759"/>
    <mergeCell ref="D933:D935"/>
    <mergeCell ref="G861:G863"/>
    <mergeCell ref="G757:G759"/>
    <mergeCell ref="H757:I758"/>
    <mergeCell ref="H978:I979"/>
    <mergeCell ref="J978:J980"/>
    <mergeCell ref="B999:F999"/>
    <mergeCell ref="T1004:T1005"/>
    <mergeCell ref="U1004:U1005"/>
    <mergeCell ref="L978:L979"/>
    <mergeCell ref="M978:M979"/>
    <mergeCell ref="B978:B980"/>
    <mergeCell ref="C978:C980"/>
    <mergeCell ref="D978:D980"/>
    <mergeCell ref="E978:F979"/>
    <mergeCell ref="G978:G980"/>
    <mergeCell ref="M1003:M1004"/>
    <mergeCell ref="P1004:P1005"/>
    <mergeCell ref="Q1004:Q1005"/>
    <mergeCell ref="R1004:R1005"/>
    <mergeCell ref="S1004:S1005"/>
    <mergeCell ref="B1003:B1005"/>
    <mergeCell ref="C1003:C1005"/>
    <mergeCell ref="D1003:D1005"/>
    <mergeCell ref="E1003:F1004"/>
    <mergeCell ref="G1003:G1005"/>
    <mergeCell ref="Q979:Q980"/>
    <mergeCell ref="R979:R980"/>
    <mergeCell ref="B1065:B1067"/>
    <mergeCell ref="C1065:C1067"/>
    <mergeCell ref="D1065:D1067"/>
    <mergeCell ref="H1065:I1066"/>
    <mergeCell ref="G1049:G1051"/>
    <mergeCell ref="B1045:F1045"/>
    <mergeCell ref="B1031:B1033"/>
    <mergeCell ref="C1031:C1033"/>
    <mergeCell ref="V1003:W1004"/>
    <mergeCell ref="G1031:G1033"/>
    <mergeCell ref="H1031:I1032"/>
    <mergeCell ref="J1031:J1033"/>
    <mergeCell ref="Q1032:Q1033"/>
    <mergeCell ref="R1032:R1033"/>
    <mergeCell ref="S1032:S1033"/>
    <mergeCell ref="P1032:P1033"/>
    <mergeCell ref="T1032:T1033"/>
    <mergeCell ref="U1032:U1033"/>
    <mergeCell ref="E1031:F1032"/>
    <mergeCell ref="N1003:N1004"/>
    <mergeCell ref="O1003:O1005"/>
    <mergeCell ref="P1003:Q1003"/>
    <mergeCell ref="S1003:U1003"/>
    <mergeCell ref="B1027:F1027"/>
    <mergeCell ref="L1031:L1032"/>
    <mergeCell ref="M1031:M1032"/>
    <mergeCell ref="N1031:N1032"/>
    <mergeCell ref="O1031:O1033"/>
    <mergeCell ref="P1031:Q1031"/>
    <mergeCell ref="S1031:U1031"/>
    <mergeCell ref="U1050:U1051"/>
    <mergeCell ref="P1065:Q1065"/>
    <mergeCell ref="S1065:U1065"/>
    <mergeCell ref="L1049:L1050"/>
    <mergeCell ref="H1003:I1004"/>
    <mergeCell ref="J1003:J1005"/>
    <mergeCell ref="K1003:K1005"/>
    <mergeCell ref="L1003:L1004"/>
    <mergeCell ref="R1084:R1085"/>
    <mergeCell ref="P1066:P1067"/>
    <mergeCell ref="Q1066:Q1067"/>
    <mergeCell ref="P1084:P1085"/>
    <mergeCell ref="Y1102:Y1103"/>
    <mergeCell ref="Y1065:Y1066"/>
    <mergeCell ref="B1079:F1079"/>
    <mergeCell ref="M1049:M1050"/>
    <mergeCell ref="N1049:N1050"/>
    <mergeCell ref="O1049:O1051"/>
    <mergeCell ref="P1049:Q1049"/>
    <mergeCell ref="S1049:U1049"/>
    <mergeCell ref="V1049:W1050"/>
    <mergeCell ref="X1049:X1051"/>
    <mergeCell ref="U1066:U1067"/>
    <mergeCell ref="S1066:S1067"/>
    <mergeCell ref="T1066:T1067"/>
    <mergeCell ref="B1083:B1085"/>
    <mergeCell ref="C1083:C1085"/>
    <mergeCell ref="D1083:D1085"/>
    <mergeCell ref="E1083:F1084"/>
    <mergeCell ref="P1050:P1051"/>
    <mergeCell ref="E1065:F1066"/>
    <mergeCell ref="B1049:B1051"/>
    <mergeCell ref="C1049:C1051"/>
    <mergeCell ref="D1049:D1051"/>
    <mergeCell ref="E1049:F1050"/>
    <mergeCell ref="Q1050:Q1051"/>
    <mergeCell ref="Y1049:Y1050"/>
    <mergeCell ref="V1102:W1103"/>
    <mergeCell ref="Y1083:Y1084"/>
    <mergeCell ref="Q1084:Q1085"/>
    <mergeCell ref="G1065:G1067"/>
    <mergeCell ref="X1065:X1067"/>
    <mergeCell ref="P1103:P1104"/>
    <mergeCell ref="Q1103:Q1104"/>
    <mergeCell ref="B1137:F1137"/>
    <mergeCell ref="B1141:B1143"/>
    <mergeCell ref="C1141:C1143"/>
    <mergeCell ref="D1141:D1143"/>
    <mergeCell ref="E1141:F1142"/>
    <mergeCell ref="G1141:G1143"/>
    <mergeCell ref="H1141:I1142"/>
    <mergeCell ref="X1102:X1104"/>
    <mergeCell ref="B1061:F1061"/>
    <mergeCell ref="B1102:B1104"/>
    <mergeCell ref="C1102:C1104"/>
    <mergeCell ref="D1102:D1104"/>
    <mergeCell ref="E1102:F1103"/>
    <mergeCell ref="G1102:G1104"/>
    <mergeCell ref="H1102:I1103"/>
    <mergeCell ref="J1102:J1104"/>
    <mergeCell ref="G1083:G1085"/>
    <mergeCell ref="H1083:I1084"/>
    <mergeCell ref="J1083:J1085"/>
    <mergeCell ref="K1083:K1085"/>
    <mergeCell ref="L1083:L1084"/>
    <mergeCell ref="M1083:M1084"/>
    <mergeCell ref="N1083:N1084"/>
    <mergeCell ref="O1083:O1085"/>
    <mergeCell ref="V1083:W1084"/>
    <mergeCell ref="X1083:X1085"/>
    <mergeCell ref="N1065:N1066"/>
    <mergeCell ref="O1065:O1067"/>
    <mergeCell ref="R1066:R1067"/>
    <mergeCell ref="P1083:Q1083"/>
    <mergeCell ref="V1065:W1066"/>
    <mergeCell ref="S1103:S1104"/>
    <mergeCell ref="X1164:X1166"/>
    <mergeCell ref="P1165:P1166"/>
    <mergeCell ref="Q1165:Q1166"/>
    <mergeCell ref="R1165:R1166"/>
    <mergeCell ref="S1165:S1166"/>
    <mergeCell ref="T1165:T1166"/>
    <mergeCell ref="U1165:U1166"/>
    <mergeCell ref="B1164:B1166"/>
    <mergeCell ref="X1120:X1122"/>
    <mergeCell ref="Y1120:Y1121"/>
    <mergeCell ref="P1121:P1122"/>
    <mergeCell ref="Q1121:Q1122"/>
    <mergeCell ref="R1121:R1122"/>
    <mergeCell ref="S1121:S1122"/>
    <mergeCell ref="T1121:T1122"/>
    <mergeCell ref="U1121:U1122"/>
    <mergeCell ref="B1120:B1122"/>
    <mergeCell ref="C1120:C1122"/>
    <mergeCell ref="D1120:D1122"/>
    <mergeCell ref="E1120:F1121"/>
    <mergeCell ref="G1120:G1122"/>
    <mergeCell ref="H1120:I1121"/>
    <mergeCell ref="J1120:J1122"/>
    <mergeCell ref="K1120:K1122"/>
    <mergeCell ref="L1120:L1121"/>
    <mergeCell ref="M1120:M1121"/>
    <mergeCell ref="N1120:N1121"/>
    <mergeCell ref="O1120:O1122"/>
    <mergeCell ref="V1120:W1121"/>
    <mergeCell ref="V1141:W1142"/>
    <mergeCell ref="Y1141:Y1142"/>
    <mergeCell ref="X1141:X1143"/>
    <mergeCell ref="Y1184:Y1185"/>
    <mergeCell ref="B1206:B1208"/>
    <mergeCell ref="C1206:C1208"/>
    <mergeCell ref="D1206:D1208"/>
    <mergeCell ref="E1206:F1207"/>
    <mergeCell ref="G1206:G1208"/>
    <mergeCell ref="H1206:I1207"/>
    <mergeCell ref="J1206:J1208"/>
    <mergeCell ref="K1206:K1208"/>
    <mergeCell ref="L1206:L1207"/>
    <mergeCell ref="P1185:P1186"/>
    <mergeCell ref="Q1185:Q1186"/>
    <mergeCell ref="R1185:R1186"/>
    <mergeCell ref="S1185:S1186"/>
    <mergeCell ref="T1185:T1186"/>
    <mergeCell ref="U1185:U1186"/>
    <mergeCell ref="B1202:F1202"/>
    <mergeCell ref="K1184:K1186"/>
    <mergeCell ref="L1184:L1185"/>
    <mergeCell ref="M1184:M1185"/>
    <mergeCell ref="N1184:N1185"/>
    <mergeCell ref="O1184:O1186"/>
    <mergeCell ref="P1184:Q1184"/>
    <mergeCell ref="S1184:U1184"/>
    <mergeCell ref="N1206:N1207"/>
    <mergeCell ref="O1206:O1208"/>
    <mergeCell ref="P1206:Q1206"/>
    <mergeCell ref="X1184:X1186"/>
    <mergeCell ref="C1184:C1186"/>
    <mergeCell ref="D1184:D1186"/>
    <mergeCell ref="E1184:F1185"/>
    <mergeCell ref="G1184:G1186"/>
    <mergeCell ref="Y1449:Y1450"/>
    <mergeCell ref="P1449:Q1449"/>
    <mergeCell ref="B1628:F1628"/>
    <mergeCell ref="G1305:G1307"/>
    <mergeCell ref="H1305:I1306"/>
    <mergeCell ref="J1305:J1307"/>
    <mergeCell ref="P1306:P1307"/>
    <mergeCell ref="Q1306:Q1307"/>
    <mergeCell ref="R1306:R1307"/>
    <mergeCell ref="S1306:S1307"/>
    <mergeCell ref="T1306:T1307"/>
    <mergeCell ref="U1306:U1307"/>
    <mergeCell ref="E1289:F1290"/>
    <mergeCell ref="G1289:G1291"/>
    <mergeCell ref="H1289:I1290"/>
    <mergeCell ref="J1289:J1291"/>
    <mergeCell ref="K1289:K1291"/>
    <mergeCell ref="N1305:N1306"/>
    <mergeCell ref="B1301:F1301"/>
    <mergeCell ref="B1289:B1291"/>
    <mergeCell ref="C1289:C1291"/>
    <mergeCell ref="D1289:D1291"/>
    <mergeCell ref="L1305:L1306"/>
    <mergeCell ref="M1289:M1290"/>
    <mergeCell ref="C1305:C1307"/>
    <mergeCell ref="D1305:D1307"/>
    <mergeCell ref="S1305:U1305"/>
    <mergeCell ref="G1399:G1401"/>
    <mergeCell ref="B1370:F1370"/>
    <mergeCell ref="B1399:B1401"/>
    <mergeCell ref="O1305:O1307"/>
    <mergeCell ref="P1350:P1351"/>
    <mergeCell ref="B1606:F1606"/>
    <mergeCell ref="T1588:T1589"/>
    <mergeCell ref="H1587:I1588"/>
    <mergeCell ref="K1587:K1589"/>
    <mergeCell ref="Y1374:Y1375"/>
    <mergeCell ref="P1375:P1376"/>
    <mergeCell ref="Q1375:Q1376"/>
    <mergeCell ref="R1655:R1656"/>
    <mergeCell ref="S1655:S1656"/>
    <mergeCell ref="Y1632:Y1633"/>
    <mergeCell ref="U1655:U1656"/>
    <mergeCell ref="Y1587:Y1588"/>
    <mergeCell ref="U1588:U1589"/>
    <mergeCell ref="E1493:F1494"/>
    <mergeCell ref="G1493:G1495"/>
    <mergeCell ref="H1493:I1494"/>
    <mergeCell ref="J1493:J1495"/>
    <mergeCell ref="O1493:O1495"/>
    <mergeCell ref="P1493:Q1493"/>
    <mergeCell ref="S1493:U1493"/>
    <mergeCell ref="K1493:K1495"/>
    <mergeCell ref="L1493:L1494"/>
    <mergeCell ref="M1493:M1494"/>
    <mergeCell ref="N1493:N1494"/>
    <mergeCell ref="V1538:W1539"/>
    <mergeCell ref="X1538:X1540"/>
    <mergeCell ref="T1565:T1566"/>
    <mergeCell ref="M1587:M1588"/>
    <mergeCell ref="N1587:N1588"/>
    <mergeCell ref="O1587:O1589"/>
    <mergeCell ref="P1587:Q1587"/>
    <mergeCell ref="S1587:U1587"/>
    <mergeCell ref="C1654:C1656"/>
    <mergeCell ref="M1632:M1633"/>
    <mergeCell ref="D1654:D1656"/>
    <mergeCell ref="E1610:F1611"/>
    <mergeCell ref="X1493:X1495"/>
    <mergeCell ref="B1534:F1534"/>
    <mergeCell ref="K1538:K1540"/>
    <mergeCell ref="L1538:L1539"/>
    <mergeCell ref="B1672:F1672"/>
    <mergeCell ref="B1697:B1699"/>
    <mergeCell ref="C1697:C1699"/>
    <mergeCell ref="D1697:D1699"/>
    <mergeCell ref="E1697:F1698"/>
    <mergeCell ref="G1697:G1699"/>
    <mergeCell ref="H1697:I1698"/>
    <mergeCell ref="J1697:J1699"/>
    <mergeCell ref="K1697:K1699"/>
    <mergeCell ref="L1697:L1698"/>
    <mergeCell ref="M1697:M1698"/>
    <mergeCell ref="N1697:N1698"/>
    <mergeCell ref="V1587:W1588"/>
    <mergeCell ref="X1587:X1589"/>
    <mergeCell ref="P1588:P1589"/>
    <mergeCell ref="Q1588:Q1589"/>
    <mergeCell ref="J1587:J1589"/>
    <mergeCell ref="K1654:K1656"/>
    <mergeCell ref="L1654:L1655"/>
    <mergeCell ref="R1588:R1589"/>
    <mergeCell ref="C1587:C1589"/>
    <mergeCell ref="B1587:B1589"/>
    <mergeCell ref="D1587:D1589"/>
    <mergeCell ref="E1587:F1588"/>
    <mergeCell ref="V1697:W1698"/>
    <mergeCell ref="X1697:X1699"/>
    <mergeCell ref="O1697:O1699"/>
    <mergeCell ref="T1698:T1699"/>
    <mergeCell ref="U1698:U1699"/>
    <mergeCell ref="B1721:B1723"/>
    <mergeCell ref="C1721:C1723"/>
    <mergeCell ref="D1721:D1723"/>
    <mergeCell ref="E1721:F1722"/>
    <mergeCell ref="G1721:G1723"/>
    <mergeCell ref="H1721:I1722"/>
    <mergeCell ref="J1721:J1723"/>
    <mergeCell ref="K1721:K1723"/>
    <mergeCell ref="L1721:L1722"/>
    <mergeCell ref="M1721:M1722"/>
    <mergeCell ref="N1721:N1722"/>
    <mergeCell ref="O1721:O1723"/>
    <mergeCell ref="S1722:S1723"/>
    <mergeCell ref="T1722:T1723"/>
    <mergeCell ref="U1722:U1723"/>
    <mergeCell ref="P1697:Q1697"/>
    <mergeCell ref="B1745:B1747"/>
    <mergeCell ref="C1745:C1747"/>
    <mergeCell ref="D1745:D1747"/>
    <mergeCell ref="E1745:F1746"/>
    <mergeCell ref="G1745:G1747"/>
    <mergeCell ref="H1745:I1746"/>
    <mergeCell ref="J1745:J1747"/>
    <mergeCell ref="M1676:M1677"/>
    <mergeCell ref="N1676:N1677"/>
    <mergeCell ref="O1676:O1678"/>
    <mergeCell ref="P1676:Q1676"/>
    <mergeCell ref="S1676:U1676"/>
    <mergeCell ref="B1765:F1765"/>
    <mergeCell ref="P1770:P1771"/>
    <mergeCell ref="Q1770:Q1771"/>
    <mergeCell ref="R1770:R1771"/>
    <mergeCell ref="S1770:S1771"/>
    <mergeCell ref="T1770:T1771"/>
    <mergeCell ref="U1770:U1771"/>
    <mergeCell ref="B1717:F1717"/>
    <mergeCell ref="R1698:R1699"/>
    <mergeCell ref="K1745:K1747"/>
    <mergeCell ref="S1697:U1697"/>
    <mergeCell ref="B1676:B1678"/>
    <mergeCell ref="C1676:C1678"/>
    <mergeCell ref="D1676:D1678"/>
    <mergeCell ref="E1676:F1677"/>
    <mergeCell ref="G1676:G1678"/>
    <mergeCell ref="H1676:I1677"/>
    <mergeCell ref="B1693:F1693"/>
    <mergeCell ref="B1808:F1808"/>
    <mergeCell ref="B1812:B1814"/>
    <mergeCell ref="C1812:C1814"/>
    <mergeCell ref="D1812:D1814"/>
    <mergeCell ref="E1812:F1813"/>
    <mergeCell ref="G1812:G1814"/>
    <mergeCell ref="H1812:I1813"/>
    <mergeCell ref="J1812:J1814"/>
    <mergeCell ref="V1788:W1789"/>
    <mergeCell ref="Y1721:Y1722"/>
    <mergeCell ref="B1741:F1741"/>
    <mergeCell ref="V1745:W1746"/>
    <mergeCell ref="X1745:X1747"/>
    <mergeCell ref="Y1697:Y1698"/>
    <mergeCell ref="P1698:P1699"/>
    <mergeCell ref="Q1698:Q1699"/>
    <mergeCell ref="L1745:L1746"/>
    <mergeCell ref="S1698:S1699"/>
    <mergeCell ref="M1745:M1746"/>
    <mergeCell ref="N1745:N1746"/>
    <mergeCell ref="O1745:O1747"/>
    <mergeCell ref="P1745:Q1745"/>
    <mergeCell ref="S1745:U1745"/>
    <mergeCell ref="M1788:M1789"/>
    <mergeCell ref="N1788:N1789"/>
    <mergeCell ref="O1788:O1790"/>
    <mergeCell ref="P1788:Q1788"/>
    <mergeCell ref="S1788:U1788"/>
    <mergeCell ref="U1746:U1747"/>
    <mergeCell ref="X1788:X1790"/>
    <mergeCell ref="Y1788:Y1789"/>
    <mergeCell ref="B1769:B1771"/>
    <mergeCell ref="B1784:F1784"/>
    <mergeCell ref="L1788:L1789"/>
    <mergeCell ref="C1769:C1771"/>
    <mergeCell ref="D1769:D1771"/>
    <mergeCell ref="E1769:F1770"/>
    <mergeCell ref="G1769:G1771"/>
    <mergeCell ref="H1769:I1770"/>
    <mergeCell ref="J1769:J1771"/>
    <mergeCell ref="K1769:K1771"/>
    <mergeCell ref="L1769:L1770"/>
    <mergeCell ref="M1769:M1770"/>
    <mergeCell ref="S1789:S1790"/>
    <mergeCell ref="B1788:B1790"/>
    <mergeCell ref="C1788:C1790"/>
    <mergeCell ref="D1788:D1790"/>
    <mergeCell ref="E1788:F1789"/>
    <mergeCell ref="G1788:G1790"/>
    <mergeCell ref="H1788:I1789"/>
    <mergeCell ref="J1788:J1790"/>
    <mergeCell ref="K1788:K1790"/>
    <mergeCell ref="H1856:I1857"/>
    <mergeCell ref="J1856:J1858"/>
    <mergeCell ref="M1832:M1833"/>
    <mergeCell ref="V1832:W1833"/>
    <mergeCell ref="X1832:X1834"/>
    <mergeCell ref="S1832:U1832"/>
    <mergeCell ref="K1832:K1834"/>
    <mergeCell ref="O1832:O1834"/>
    <mergeCell ref="P1832:Q1832"/>
    <mergeCell ref="H1832:I1833"/>
    <mergeCell ref="J1832:J1834"/>
    <mergeCell ref="L1832:L1833"/>
    <mergeCell ref="T1789:T1790"/>
    <mergeCell ref="N1769:N1770"/>
    <mergeCell ref="O1769:O1771"/>
    <mergeCell ref="P1769:Q1769"/>
    <mergeCell ref="S1769:U1769"/>
    <mergeCell ref="V1769:W1770"/>
    <mergeCell ref="U1789:U1790"/>
    <mergeCell ref="X1769:X1771"/>
    <mergeCell ref="P1833:P1834"/>
    <mergeCell ref="Q1833:Q1834"/>
    <mergeCell ref="R1833:R1834"/>
    <mergeCell ref="S1833:S1834"/>
    <mergeCell ref="T1833:T1834"/>
    <mergeCell ref="U1833:U1834"/>
    <mergeCell ref="B1832:B1834"/>
    <mergeCell ref="C1832:C1834"/>
    <mergeCell ref="D1832:D1834"/>
    <mergeCell ref="E1832:F1833"/>
    <mergeCell ref="G1832:G1834"/>
    <mergeCell ref="Q1789:Q1790"/>
    <mergeCell ref="R1789:R1790"/>
    <mergeCell ref="Y716:Y717"/>
    <mergeCell ref="P717:P718"/>
    <mergeCell ref="Q717:Q718"/>
    <mergeCell ref="R717:R718"/>
    <mergeCell ref="S717:S718"/>
    <mergeCell ref="T717:T718"/>
    <mergeCell ref="P716:Q716"/>
    <mergeCell ref="R1290:R1291"/>
    <mergeCell ref="P1399:Q1399"/>
    <mergeCell ref="S1399:U1399"/>
    <mergeCell ref="B1226:F1226"/>
    <mergeCell ref="S1374:U1374"/>
    <mergeCell ref="V1374:W1375"/>
    <mergeCell ref="B1247:F1247"/>
    <mergeCell ref="C1164:C1166"/>
    <mergeCell ref="D1164:D1166"/>
    <mergeCell ref="E1164:F1165"/>
    <mergeCell ref="X1305:X1307"/>
    <mergeCell ref="Y1676:Y1677"/>
    <mergeCell ref="P1677:P1678"/>
    <mergeCell ref="Q1677:Q1678"/>
    <mergeCell ref="R1677:R1678"/>
    <mergeCell ref="S1677:S1678"/>
    <mergeCell ref="T1677:T1678"/>
    <mergeCell ref="U1677:U1678"/>
    <mergeCell ref="B1871:F1871"/>
    <mergeCell ref="K1856:K1858"/>
    <mergeCell ref="L1856:L1857"/>
    <mergeCell ref="M1856:M1857"/>
    <mergeCell ref="N1856:N1857"/>
    <mergeCell ref="O1856:O1858"/>
    <mergeCell ref="P1856:Q1856"/>
    <mergeCell ref="S1856:U1856"/>
    <mergeCell ref="V1856:W1857"/>
    <mergeCell ref="X1856:X1858"/>
    <mergeCell ref="B1828:F1828"/>
    <mergeCell ref="K1812:K1814"/>
    <mergeCell ref="L1812:L1813"/>
    <mergeCell ref="M1812:M1813"/>
    <mergeCell ref="N1812:N1813"/>
    <mergeCell ref="O1812:O1814"/>
    <mergeCell ref="P1812:Q1812"/>
    <mergeCell ref="S1812:U1812"/>
    <mergeCell ref="V1812:W1813"/>
    <mergeCell ref="X1812:X1814"/>
    <mergeCell ref="N1832:N1833"/>
    <mergeCell ref="Q1857:Q1858"/>
    <mergeCell ref="R1857:R1858"/>
    <mergeCell ref="S1857:S1858"/>
    <mergeCell ref="T1857:T1858"/>
    <mergeCell ref="U1857:U1858"/>
    <mergeCell ref="B1852:F1852"/>
    <mergeCell ref="B1856:B1858"/>
    <mergeCell ref="C1856:C1858"/>
    <mergeCell ref="D1856:D1858"/>
    <mergeCell ref="E1856:F1857"/>
    <mergeCell ref="G1856:G1858"/>
    <mergeCell ref="B1650:F1650"/>
    <mergeCell ref="B1632:B1634"/>
    <mergeCell ref="J1676:J1678"/>
    <mergeCell ref="K1676:K1678"/>
    <mergeCell ref="L1676:L1677"/>
    <mergeCell ref="E1564:F1565"/>
    <mergeCell ref="G1564:G1566"/>
    <mergeCell ref="B1583:F1583"/>
    <mergeCell ref="B1564:B1566"/>
    <mergeCell ref="C1564:C1566"/>
    <mergeCell ref="V1676:W1677"/>
    <mergeCell ref="D1564:D1566"/>
    <mergeCell ref="M1654:M1655"/>
    <mergeCell ref="N1654:N1655"/>
    <mergeCell ref="O1654:O1656"/>
    <mergeCell ref="Y1538:Y1539"/>
    <mergeCell ref="Q1539:Q1540"/>
    <mergeCell ref="R1539:R1540"/>
    <mergeCell ref="S1539:S1540"/>
    <mergeCell ref="T1539:T1540"/>
    <mergeCell ref="U1539:U1540"/>
    <mergeCell ref="B1560:F1560"/>
    <mergeCell ref="S1538:U1538"/>
    <mergeCell ref="J1538:J1540"/>
    <mergeCell ref="H1564:I1565"/>
    <mergeCell ref="J1564:J1566"/>
    <mergeCell ref="G1587:G1589"/>
    <mergeCell ref="X1610:X1612"/>
    <mergeCell ref="C1632:C1634"/>
    <mergeCell ref="D1632:D1634"/>
    <mergeCell ref="E1632:F1633"/>
    <mergeCell ref="B1654:B1656"/>
    <mergeCell ref="X1516:X1518"/>
    <mergeCell ref="K1449:K1451"/>
    <mergeCell ref="B1475:B1477"/>
    <mergeCell ref="G1538:G1540"/>
    <mergeCell ref="P1539:P1540"/>
    <mergeCell ref="P1424:Q1424"/>
    <mergeCell ref="O1424:O1426"/>
    <mergeCell ref="K1399:K1401"/>
    <mergeCell ref="N1475:N1476"/>
    <mergeCell ref="L1424:L1425"/>
    <mergeCell ref="M1424:M1425"/>
    <mergeCell ref="N1424:N1425"/>
    <mergeCell ref="G1325:G1327"/>
    <mergeCell ref="H1325:I1326"/>
    <mergeCell ref="J1325:J1327"/>
    <mergeCell ref="K1325:K1327"/>
    <mergeCell ref="V1424:W1425"/>
    <mergeCell ref="B1470:F1470"/>
    <mergeCell ref="E1538:F1539"/>
    <mergeCell ref="S1424:U1424"/>
    <mergeCell ref="N1449:N1450"/>
    <mergeCell ref="T1517:T1518"/>
    <mergeCell ref="U1517:U1518"/>
    <mergeCell ref="S1425:S1426"/>
    <mergeCell ref="T1425:T1426"/>
    <mergeCell ref="M1449:M1450"/>
    <mergeCell ref="O1475:O1477"/>
    <mergeCell ref="P1475:Q1475"/>
    <mergeCell ref="S1375:S1376"/>
    <mergeCell ref="X1374:X1376"/>
    <mergeCell ref="X1349:X1351"/>
    <mergeCell ref="P1374:Q1374"/>
    <mergeCell ref="S1475:U1475"/>
    <mergeCell ref="M1475:M1476"/>
    <mergeCell ref="J1424:J1426"/>
    <mergeCell ref="K1424:K1426"/>
    <mergeCell ref="B1420:F1420"/>
    <mergeCell ref="R1517:R1518"/>
    <mergeCell ref="S1517:S1518"/>
    <mergeCell ref="D1538:D1540"/>
    <mergeCell ref="C1475:C1477"/>
    <mergeCell ref="D1475:D1477"/>
    <mergeCell ref="E1475:F1476"/>
    <mergeCell ref="G1475:G1477"/>
    <mergeCell ref="H1475:I1476"/>
    <mergeCell ref="J1475:J1477"/>
    <mergeCell ref="K1475:K1477"/>
    <mergeCell ref="L1475:L1476"/>
    <mergeCell ref="V1475:W1476"/>
    <mergeCell ref="B1445:F1445"/>
    <mergeCell ref="G1424:G1426"/>
    <mergeCell ref="H1424:I1425"/>
    <mergeCell ref="M1516:M1517"/>
    <mergeCell ref="N1516:N1517"/>
    <mergeCell ref="O1516:O1518"/>
    <mergeCell ref="H1538:I1539"/>
    <mergeCell ref="B1512:F1512"/>
    <mergeCell ref="X1475:X1477"/>
    <mergeCell ref="B1160:F1160"/>
    <mergeCell ref="K1141:K1143"/>
    <mergeCell ref="K1374:K1376"/>
    <mergeCell ref="B1424:B1426"/>
    <mergeCell ref="L1141:L1142"/>
    <mergeCell ref="M1141:M1142"/>
    <mergeCell ref="P1425:P1426"/>
    <mergeCell ref="Q1425:Q1426"/>
    <mergeCell ref="R1425:R1426"/>
    <mergeCell ref="M1538:M1539"/>
    <mergeCell ref="N1538:N1539"/>
    <mergeCell ref="O1538:O1540"/>
    <mergeCell ref="P1538:Q1538"/>
    <mergeCell ref="J1273:J1275"/>
    <mergeCell ref="K1273:K1275"/>
    <mergeCell ref="L1273:L1274"/>
    <mergeCell ref="G1251:G1253"/>
    <mergeCell ref="H1251:I1252"/>
    <mergeCell ref="B1273:B1275"/>
    <mergeCell ref="H1516:I1517"/>
    <mergeCell ref="J1516:J1518"/>
    <mergeCell ref="K1516:K1518"/>
    <mergeCell ref="L1516:L1517"/>
    <mergeCell ref="V1493:W1494"/>
    <mergeCell ref="S1516:U1516"/>
    <mergeCell ref="V1516:W1517"/>
    <mergeCell ref="H1399:I1400"/>
    <mergeCell ref="J1399:J1401"/>
    <mergeCell ref="H1374:I1375"/>
    <mergeCell ref="J1374:J1376"/>
    <mergeCell ref="K1251:K1253"/>
    <mergeCell ref="Y1031:Y1032"/>
    <mergeCell ref="Y1003:Y1004"/>
    <mergeCell ref="S837:U837"/>
    <mergeCell ref="V837:W838"/>
    <mergeCell ref="R862:R863"/>
    <mergeCell ref="Y433:Y434"/>
    <mergeCell ref="Y738:Y739"/>
    <mergeCell ref="S795:U795"/>
    <mergeCell ref="S776:U776"/>
    <mergeCell ref="R758:R759"/>
    <mergeCell ref="S758:S759"/>
    <mergeCell ref="T758:T759"/>
    <mergeCell ref="Y776:Y777"/>
    <mergeCell ref="X837:X839"/>
    <mergeCell ref="X956:X958"/>
    <mergeCell ref="Y956:Y957"/>
    <mergeCell ref="Y909:Y910"/>
    <mergeCell ref="Y861:Y862"/>
    <mergeCell ref="S757:U757"/>
    <mergeCell ref="V757:W758"/>
    <mergeCell ref="X1003:X1005"/>
    <mergeCell ref="V978:W979"/>
    <mergeCell ref="X978:X980"/>
    <mergeCell ref="S693:S694"/>
    <mergeCell ref="T693:T694"/>
    <mergeCell ref="U693:U694"/>
    <mergeCell ref="Y585:Y586"/>
    <mergeCell ref="R586:R587"/>
    <mergeCell ref="V1031:W1032"/>
    <mergeCell ref="X1031:X1033"/>
    <mergeCell ref="S978:U978"/>
    <mergeCell ref="T979:T980"/>
    <mergeCell ref="J1049:J1051"/>
    <mergeCell ref="Q739:Q740"/>
    <mergeCell ref="R739:R740"/>
    <mergeCell ref="S739:S740"/>
    <mergeCell ref="T739:T740"/>
    <mergeCell ref="K1349:K1351"/>
    <mergeCell ref="L1349:L1350"/>
    <mergeCell ref="L1399:L1400"/>
    <mergeCell ref="M1305:M1306"/>
    <mergeCell ref="N1374:N1375"/>
    <mergeCell ref="O1374:O1376"/>
    <mergeCell ref="M1349:M1350"/>
    <mergeCell ref="M1325:M1326"/>
    <mergeCell ref="V956:W957"/>
    <mergeCell ref="S909:U909"/>
    <mergeCell ref="O1251:O1253"/>
    <mergeCell ref="P1251:Q1251"/>
    <mergeCell ref="S1251:U1251"/>
    <mergeCell ref="V1251:W1252"/>
    <mergeCell ref="P1290:P1291"/>
    <mergeCell ref="Q1290:Q1291"/>
    <mergeCell ref="L1325:L1326"/>
    <mergeCell ref="M1164:M1165"/>
    <mergeCell ref="V738:W739"/>
    <mergeCell ref="P862:P863"/>
    <mergeCell ref="L757:L758"/>
    <mergeCell ref="M757:M758"/>
    <mergeCell ref="V1164:W1165"/>
    <mergeCell ref="T1103:T1104"/>
    <mergeCell ref="U1103:U1104"/>
    <mergeCell ref="K1049:K1051"/>
    <mergeCell ref="K1031:K1033"/>
    <mergeCell ref="B1180:F1180"/>
    <mergeCell ref="H1184:I1185"/>
    <mergeCell ref="J1184:J1186"/>
    <mergeCell ref="C1325:C1327"/>
    <mergeCell ref="B1269:F1269"/>
    <mergeCell ref="B1251:B1253"/>
    <mergeCell ref="C1251:C1253"/>
    <mergeCell ref="D1325:D1327"/>
    <mergeCell ref="E1325:F1326"/>
    <mergeCell ref="E1374:F1375"/>
    <mergeCell ref="G1374:G1376"/>
    <mergeCell ref="L1289:L1290"/>
    <mergeCell ref="K1305:K1307"/>
    <mergeCell ref="G1273:G1275"/>
    <mergeCell ref="B1345:F1345"/>
    <mergeCell ref="B1321:F1321"/>
    <mergeCell ref="J1251:J1253"/>
    <mergeCell ref="D1251:D1253"/>
    <mergeCell ref="E1251:F1252"/>
    <mergeCell ref="C1374:C1376"/>
    <mergeCell ref="D1374:D1376"/>
    <mergeCell ref="E1349:F1350"/>
    <mergeCell ref="G1349:G1351"/>
    <mergeCell ref="H1349:I1350"/>
    <mergeCell ref="J1349:J1351"/>
    <mergeCell ref="C1273:C1275"/>
    <mergeCell ref="D1273:D1275"/>
    <mergeCell ref="C1349:C1351"/>
    <mergeCell ref="D1349:D1351"/>
    <mergeCell ref="B1285:F1285"/>
    <mergeCell ref="B1305:B1307"/>
    <mergeCell ref="E1305:F1306"/>
    <mergeCell ref="B1395:F1395"/>
    <mergeCell ref="B1374:B1376"/>
    <mergeCell ref="H1273:I1274"/>
    <mergeCell ref="C1399:C1401"/>
    <mergeCell ref="D1399:D1401"/>
    <mergeCell ref="E1399:F1400"/>
    <mergeCell ref="N1399:N1400"/>
    <mergeCell ref="C1424:C1426"/>
    <mergeCell ref="D1424:D1426"/>
    <mergeCell ref="E1424:F1425"/>
    <mergeCell ref="B1325:B1327"/>
    <mergeCell ref="N1251:N1252"/>
    <mergeCell ref="R1375:R1376"/>
    <mergeCell ref="S1273:U1273"/>
    <mergeCell ref="V1273:W1274"/>
    <mergeCell ref="L1374:L1375"/>
    <mergeCell ref="B1349:B1351"/>
    <mergeCell ref="S1349:U1349"/>
    <mergeCell ref="V1349:W1350"/>
    <mergeCell ref="N1325:N1326"/>
    <mergeCell ref="V1325:W1326"/>
    <mergeCell ref="S1350:S1351"/>
    <mergeCell ref="L1251:L1252"/>
    <mergeCell ref="M1251:M1252"/>
    <mergeCell ref="U1274:U1275"/>
    <mergeCell ref="E1273:F1274"/>
    <mergeCell ref="O1273:O1275"/>
    <mergeCell ref="P1273:Q1273"/>
    <mergeCell ref="G1164:G1166"/>
    <mergeCell ref="H1164:I1165"/>
    <mergeCell ref="J1164:J1166"/>
    <mergeCell ref="K1164:K1166"/>
    <mergeCell ref="L1164:L1165"/>
    <mergeCell ref="S1084:S1085"/>
    <mergeCell ref="B791:F791"/>
    <mergeCell ref="B814:B816"/>
    <mergeCell ref="O1164:O1166"/>
    <mergeCell ref="P1164:Q1164"/>
    <mergeCell ref="S1164:U1164"/>
    <mergeCell ref="H1049:I1050"/>
    <mergeCell ref="M1206:M1207"/>
    <mergeCell ref="J1141:J1143"/>
    <mergeCell ref="B1184:B1186"/>
    <mergeCell ref="T1084:T1085"/>
    <mergeCell ref="U1084:U1085"/>
    <mergeCell ref="O1141:O1143"/>
    <mergeCell ref="P1141:Q1141"/>
    <mergeCell ref="S1141:U1141"/>
    <mergeCell ref="N1164:N1165"/>
    <mergeCell ref="K795:K797"/>
    <mergeCell ref="D1031:D1033"/>
    <mergeCell ref="S814:U814"/>
    <mergeCell ref="K956:K958"/>
    <mergeCell ref="L956:L957"/>
    <mergeCell ref="B974:F974"/>
    <mergeCell ref="E933:F934"/>
    <mergeCell ref="K978:K980"/>
    <mergeCell ref="T796:T797"/>
    <mergeCell ref="Q796:Q797"/>
    <mergeCell ref="R796:R797"/>
    <mergeCell ref="Y978:Y979"/>
    <mergeCell ref="S886:U886"/>
    <mergeCell ref="V886:W887"/>
    <mergeCell ref="P815:P816"/>
    <mergeCell ref="Q815:Q816"/>
    <mergeCell ref="R815:R816"/>
    <mergeCell ref="S716:U716"/>
    <mergeCell ref="U717:U718"/>
    <mergeCell ref="Y795:Y796"/>
    <mergeCell ref="N716:N717"/>
    <mergeCell ref="O716:O718"/>
    <mergeCell ref="X716:X718"/>
    <mergeCell ref="U796:U797"/>
    <mergeCell ref="S796:S797"/>
    <mergeCell ref="Y886:Y887"/>
    <mergeCell ref="V933:W934"/>
    <mergeCell ref="O978:O980"/>
    <mergeCell ref="P978:Q978"/>
    <mergeCell ref="P979:P980"/>
    <mergeCell ref="O861:O863"/>
    <mergeCell ref="O795:O797"/>
    <mergeCell ref="N795:N796"/>
    <mergeCell ref="Y837:Y838"/>
    <mergeCell ref="Y814:Y815"/>
    <mergeCell ref="Y933:Y934"/>
    <mergeCell ref="R957:R958"/>
    <mergeCell ref="S957:S958"/>
    <mergeCell ref="T957:T958"/>
    <mergeCell ref="U957:U958"/>
    <mergeCell ref="O909:O911"/>
    <mergeCell ref="S979:S980"/>
    <mergeCell ref="O886:O888"/>
    <mergeCell ref="H837:I838"/>
    <mergeCell ref="J837:J839"/>
    <mergeCell ref="K837:K839"/>
    <mergeCell ref="Q758:Q759"/>
    <mergeCell ref="T838:T839"/>
    <mergeCell ref="V814:W815"/>
    <mergeCell ref="V776:W777"/>
    <mergeCell ref="P777:P778"/>
    <mergeCell ref="J540:J542"/>
    <mergeCell ref="D561:D563"/>
    <mergeCell ref="T453:T454"/>
    <mergeCell ref="U453:U454"/>
    <mergeCell ref="T608:T609"/>
    <mergeCell ref="S586:S587"/>
    <mergeCell ref="D585:D587"/>
    <mergeCell ref="E585:F586"/>
    <mergeCell ref="G585:G587"/>
    <mergeCell ref="H585:I586"/>
    <mergeCell ref="J585:J587"/>
    <mergeCell ref="L561:L562"/>
    <mergeCell ref="O585:O587"/>
    <mergeCell ref="P796:P797"/>
    <mergeCell ref="E561:F562"/>
    <mergeCell ref="G561:G563"/>
    <mergeCell ref="G540:G542"/>
    <mergeCell ref="D607:D609"/>
    <mergeCell ref="K540:K542"/>
    <mergeCell ref="J471:J473"/>
    <mergeCell ref="L540:L541"/>
    <mergeCell ref="P518:P519"/>
    <mergeCell ref="P738:Q738"/>
    <mergeCell ref="S738:U738"/>
    <mergeCell ref="N517:N518"/>
    <mergeCell ref="D517:D519"/>
    <mergeCell ref="H493:I494"/>
    <mergeCell ref="O517:O519"/>
    <mergeCell ref="B489:F489"/>
    <mergeCell ref="K471:K473"/>
    <mergeCell ref="P540:Q540"/>
    <mergeCell ref="H540:I541"/>
    <mergeCell ref="L493:L494"/>
    <mergeCell ref="B557:F557"/>
    <mergeCell ref="H607:I608"/>
    <mergeCell ref="J607:J609"/>
    <mergeCell ref="O607:O609"/>
    <mergeCell ref="K561:K563"/>
    <mergeCell ref="C607:C609"/>
    <mergeCell ref="C471:C473"/>
    <mergeCell ref="K776:K778"/>
    <mergeCell ref="L776:L777"/>
    <mergeCell ref="M776:M777"/>
    <mergeCell ref="J716:J718"/>
    <mergeCell ref="Q304:Q305"/>
    <mergeCell ref="R304:R305"/>
    <mergeCell ref="S304:S305"/>
    <mergeCell ref="L303:L304"/>
    <mergeCell ref="L452:L453"/>
    <mergeCell ref="K585:K587"/>
    <mergeCell ref="L585:L586"/>
    <mergeCell ref="M585:M586"/>
    <mergeCell ref="N585:N586"/>
    <mergeCell ref="B581:F581"/>
    <mergeCell ref="J561:J563"/>
    <mergeCell ref="E517:F518"/>
    <mergeCell ref="N452:N453"/>
    <mergeCell ref="B387:B389"/>
    <mergeCell ref="C387:C389"/>
    <mergeCell ref="D387:D389"/>
    <mergeCell ref="B383:F383"/>
    <mergeCell ref="L324:L325"/>
    <mergeCell ref="M324:M325"/>
    <mergeCell ref="C585:C587"/>
    <mergeCell ref="B471:B473"/>
    <mergeCell ref="B403:F403"/>
    <mergeCell ref="J324:J326"/>
    <mergeCell ref="S324:U324"/>
    <mergeCell ref="R434:R435"/>
    <mergeCell ref="N433:N434"/>
    <mergeCell ref="B561:B563"/>
    <mergeCell ref="C561:C563"/>
    <mergeCell ref="D471:D473"/>
    <mergeCell ref="N561:N562"/>
    <mergeCell ref="O493:O495"/>
    <mergeCell ref="Q494:Q495"/>
    <mergeCell ref="X194:X196"/>
    <mergeCell ref="V236:W237"/>
    <mergeCell ref="B230:F230"/>
    <mergeCell ref="B236:B238"/>
    <mergeCell ref="C236:C238"/>
    <mergeCell ref="D236:D238"/>
    <mergeCell ref="B429:F429"/>
    <mergeCell ref="B347:B349"/>
    <mergeCell ref="C347:C349"/>
    <mergeCell ref="D347:D349"/>
    <mergeCell ref="E347:F348"/>
    <mergeCell ref="G194:G196"/>
    <mergeCell ref="O256:O258"/>
    <mergeCell ref="V256:W257"/>
    <mergeCell ref="H256:I257"/>
    <mergeCell ref="J256:J258"/>
    <mergeCell ref="K256:K258"/>
    <mergeCell ref="L256:L257"/>
    <mergeCell ref="M256:M257"/>
    <mergeCell ref="N256:N257"/>
    <mergeCell ref="T257:T258"/>
    <mergeCell ref="U257:U258"/>
    <mergeCell ref="J303:J305"/>
    <mergeCell ref="T325:T326"/>
    <mergeCell ref="U325:U326"/>
    <mergeCell ref="X256:X258"/>
    <mergeCell ref="O407:O409"/>
    <mergeCell ref="R257:R258"/>
    <mergeCell ref="S257:S258"/>
    <mergeCell ref="V324:W325"/>
    <mergeCell ref="K303:K305"/>
    <mergeCell ref="V407:W408"/>
    <mergeCell ref="X236:X238"/>
    <mergeCell ref="Y236:Y237"/>
    <mergeCell ref="P237:P238"/>
    <mergeCell ref="Q237:Q238"/>
    <mergeCell ref="R237:R238"/>
    <mergeCell ref="S237:S238"/>
    <mergeCell ref="T237:T238"/>
    <mergeCell ref="B688:F688"/>
    <mergeCell ref="B692:B694"/>
    <mergeCell ref="S348:S349"/>
    <mergeCell ref="T348:T349"/>
    <mergeCell ref="X471:X473"/>
    <mergeCell ref="P347:Q347"/>
    <mergeCell ref="O757:O759"/>
    <mergeCell ref="P757:Q757"/>
    <mergeCell ref="U758:U759"/>
    <mergeCell ref="P407:Q407"/>
    <mergeCell ref="B585:B587"/>
    <mergeCell ref="S561:U561"/>
    <mergeCell ref="P561:Q561"/>
    <mergeCell ref="Y282:Y283"/>
    <mergeCell ref="V282:W283"/>
    <mergeCell ref="X282:X284"/>
    <mergeCell ref="P325:P326"/>
    <mergeCell ref="Q325:Q326"/>
    <mergeCell ref="P324:Q324"/>
    <mergeCell ref="K324:K326"/>
    <mergeCell ref="N324:N325"/>
    <mergeCell ref="X433:X435"/>
    <mergeCell ref="R325:R326"/>
    <mergeCell ref="M561:M562"/>
    <mergeCell ref="C433:C435"/>
    <mergeCell ref="B1887:F1887"/>
    <mergeCell ref="Y757:Y758"/>
    <mergeCell ref="P758:P759"/>
    <mergeCell ref="B1875:B1877"/>
    <mergeCell ref="C1875:C1877"/>
    <mergeCell ref="D1875:D1877"/>
    <mergeCell ref="E1875:F1876"/>
    <mergeCell ref="G1875:G1877"/>
    <mergeCell ref="H1875:I1876"/>
    <mergeCell ref="J1875:J1877"/>
    <mergeCell ref="K1875:K1877"/>
    <mergeCell ref="L1875:L1876"/>
    <mergeCell ref="M1875:M1876"/>
    <mergeCell ref="N1875:N1876"/>
    <mergeCell ref="O1875:O1877"/>
    <mergeCell ref="P1875:Q1875"/>
    <mergeCell ref="S1875:U1875"/>
    <mergeCell ref="V1875:W1876"/>
    <mergeCell ref="X1875:X1877"/>
    <mergeCell ref="Y1875:Y1876"/>
    <mergeCell ref="P1876:P1877"/>
    <mergeCell ref="Q1876:Q1877"/>
    <mergeCell ref="R1876:R1877"/>
    <mergeCell ref="S1876:S1877"/>
    <mergeCell ref="R777:R778"/>
    <mergeCell ref="S815:S816"/>
    <mergeCell ref="R838:R839"/>
    <mergeCell ref="S838:S839"/>
    <mergeCell ref="U838:U839"/>
    <mergeCell ref="S861:U861"/>
    <mergeCell ref="P861:Q861"/>
    <mergeCell ref="L837:L838"/>
  </mergeCells>
  <pageMargins left="0.7" right="0.7" top="0.75" bottom="0.75" header="0.3" footer="0.3"/>
  <pageSetup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2:XFC82"/>
  <sheetViews>
    <sheetView topLeftCell="A4" zoomScale="69" zoomScaleNormal="69" workbookViewId="0">
      <pane xSplit="9" ySplit="7" topLeftCell="Q11" activePane="bottomRight" state="frozen"/>
      <selection activeCell="A4" sqref="A4"/>
      <selection pane="topRight" activeCell="K4" sqref="K4"/>
      <selection pane="bottomLeft" activeCell="A11" sqref="A11"/>
      <selection pane="bottomRight" activeCell="F36" sqref="F36"/>
    </sheetView>
  </sheetViews>
  <sheetFormatPr baseColWidth="10" defaultColWidth="9.1640625" defaultRowHeight="14" x14ac:dyDescent="0.2"/>
  <cols>
    <col min="1" max="1" width="21.1640625" style="946" customWidth="1"/>
    <col min="2" max="2" width="7.33203125" style="946" customWidth="1"/>
    <col min="3" max="3" width="9.1640625" style="946"/>
    <col min="4" max="4" width="7.5" style="946" customWidth="1"/>
    <col min="5" max="5" width="7.6640625" style="946" customWidth="1"/>
    <col min="6" max="6" width="55.1640625" style="946" customWidth="1"/>
    <col min="7" max="7" width="11.33203125" style="946" customWidth="1"/>
    <col min="8" max="8" width="18.83203125" style="1177" customWidth="1"/>
    <col min="9" max="9" width="13" style="946" customWidth="1"/>
    <col min="10" max="10" width="18.5" style="1177" customWidth="1"/>
    <col min="11" max="11" width="9.1640625" style="843" customWidth="1"/>
    <col min="12" max="12" width="10.1640625" style="946" customWidth="1"/>
    <col min="13" max="13" width="16.33203125" style="843" customWidth="1"/>
    <col min="14" max="14" width="29" style="975" customWidth="1"/>
    <col min="15" max="15" width="14" style="1177" customWidth="1"/>
    <col min="16" max="16" width="19.6640625" style="946" customWidth="1"/>
    <col min="17" max="17" width="11.1640625" style="946" customWidth="1"/>
    <col min="18" max="18" width="17.33203125" style="946" customWidth="1"/>
    <col min="19" max="19" width="12.33203125" style="946" customWidth="1"/>
    <col min="20" max="20" width="28" style="958" customWidth="1"/>
    <col min="21" max="21" width="16.1640625" style="1177" customWidth="1"/>
    <col min="22" max="22" width="21.83203125" style="946" customWidth="1"/>
    <col min="23" max="23" width="18.5" style="946" customWidth="1"/>
    <col min="24" max="26" width="22.1640625" style="946" customWidth="1"/>
    <col min="27" max="27" width="22.1640625" style="958" customWidth="1"/>
    <col min="28" max="28" width="22.1640625" style="946" customWidth="1"/>
    <col min="29" max="33" width="22.1640625" style="958" customWidth="1"/>
    <col min="34" max="34" width="27.5" style="958" customWidth="1"/>
    <col min="35" max="35" width="24.5" style="958" customWidth="1"/>
    <col min="36" max="36" width="25" style="958" customWidth="1"/>
    <col min="37" max="37" width="34.83203125" style="946" customWidth="1"/>
    <col min="38" max="38" width="15.33203125" style="946" customWidth="1"/>
    <col min="39" max="16384" width="9.1640625" style="946"/>
  </cols>
  <sheetData>
    <row r="2" spans="1:37" ht="25" x14ac:dyDescent="0.2">
      <c r="E2" s="2014" t="s">
        <v>0</v>
      </c>
      <c r="F2" s="2014"/>
      <c r="G2" s="2014"/>
      <c r="H2" s="2014"/>
      <c r="I2" s="2015"/>
      <c r="J2" s="2014"/>
      <c r="K2" s="2014"/>
      <c r="L2" s="2014"/>
      <c r="M2" s="2014"/>
      <c r="N2" s="2014"/>
      <c r="O2" s="2014"/>
      <c r="P2" s="2014"/>
      <c r="Q2" s="2014"/>
      <c r="R2" s="2014"/>
      <c r="S2" s="2014"/>
      <c r="T2" s="2014"/>
      <c r="U2" s="2014"/>
      <c r="V2" s="2014"/>
      <c r="W2" s="1252"/>
    </row>
    <row r="3" spans="1:37" ht="25" x14ac:dyDescent="0.2">
      <c r="E3" s="2014" t="s">
        <v>474</v>
      </c>
      <c r="F3" s="2014"/>
      <c r="G3" s="2014"/>
      <c r="H3" s="2014"/>
      <c r="I3" s="2015"/>
      <c r="J3" s="2014"/>
      <c r="K3" s="2014"/>
      <c r="L3" s="2014"/>
      <c r="M3" s="2014"/>
      <c r="N3" s="2014"/>
      <c r="O3" s="2014"/>
      <c r="P3" s="2014"/>
      <c r="Q3" s="2014"/>
      <c r="R3" s="2014"/>
      <c r="S3" s="2014"/>
      <c r="T3" s="2014"/>
      <c r="U3" s="2014"/>
      <c r="V3" s="2014"/>
      <c r="W3" s="1252"/>
      <c r="AF3" s="958">
        <f>AC12:AF12</f>
        <v>7145711898.147665</v>
      </c>
    </row>
    <row r="4" spans="1:37" ht="12" customHeight="1" x14ac:dyDescent="0.2">
      <c r="E4" s="1169"/>
      <c r="F4" s="1169"/>
      <c r="G4" s="1203"/>
      <c r="H4" s="1169"/>
      <c r="I4" s="1169"/>
      <c r="J4" s="977"/>
      <c r="K4" s="844"/>
      <c r="L4" s="977"/>
      <c r="M4" s="844"/>
      <c r="N4" s="978"/>
      <c r="O4" s="1169"/>
      <c r="P4" s="1169"/>
      <c r="Q4" s="1169"/>
      <c r="R4" s="1169"/>
      <c r="S4" s="1169"/>
      <c r="T4" s="976"/>
      <c r="U4" s="1169"/>
      <c r="V4" s="1169"/>
      <c r="W4" s="1252"/>
      <c r="AK4" s="992"/>
    </row>
    <row r="5" spans="1:37" ht="26" thickBot="1" x14ac:dyDescent="0.25">
      <c r="E5" s="2016" t="s">
        <v>32</v>
      </c>
      <c r="F5" s="2016"/>
      <c r="G5" s="1204"/>
      <c r="H5" s="980" t="s">
        <v>475</v>
      </c>
      <c r="I5" s="981"/>
      <c r="J5" s="982"/>
      <c r="K5" s="845"/>
      <c r="L5" s="983"/>
      <c r="M5" s="845"/>
      <c r="N5" s="984"/>
      <c r="O5" s="985"/>
      <c r="P5" s="981"/>
      <c r="Q5" s="981"/>
      <c r="R5" s="981"/>
      <c r="S5" s="981"/>
      <c r="T5" s="986"/>
      <c r="U5" s="987"/>
      <c r="V5" s="988"/>
      <c r="W5" s="988"/>
    </row>
    <row r="6" spans="1:37" s="869" customFormat="1" ht="28.5" customHeight="1" thickTop="1" x14ac:dyDescent="0.2">
      <c r="A6" s="1906" t="s">
        <v>3573</v>
      </c>
      <c r="B6" s="1906" t="s">
        <v>3572</v>
      </c>
      <c r="C6" s="1906" t="s">
        <v>3574</v>
      </c>
      <c r="E6" s="1907" t="s">
        <v>869</v>
      </c>
      <c r="F6" s="2017" t="s">
        <v>870</v>
      </c>
      <c r="G6" s="1205"/>
      <c r="H6" s="2023" t="s">
        <v>883</v>
      </c>
      <c r="I6" s="2024"/>
      <c r="J6" s="2025" t="s">
        <v>3831</v>
      </c>
      <c r="K6" s="2026" t="s">
        <v>1110</v>
      </c>
      <c r="L6" s="1910" t="s">
        <v>1111</v>
      </c>
      <c r="M6" s="2026" t="s">
        <v>872</v>
      </c>
      <c r="N6" s="1910" t="s">
        <v>1112</v>
      </c>
      <c r="O6" s="1910" t="s">
        <v>3832</v>
      </c>
      <c r="P6" s="1910"/>
      <c r="Q6" s="1910" t="s">
        <v>875</v>
      </c>
      <c r="R6" s="1910" t="s">
        <v>1104</v>
      </c>
      <c r="S6" s="1910" t="s">
        <v>909</v>
      </c>
      <c r="T6" s="1934" t="s">
        <v>1105</v>
      </c>
      <c r="U6" s="1910" t="s">
        <v>1113</v>
      </c>
      <c r="V6" s="1937" t="s">
        <v>911</v>
      </c>
      <c r="W6" s="966"/>
      <c r="X6" s="1920" t="s">
        <v>2279</v>
      </c>
      <c r="Y6" s="1927" t="s">
        <v>2280</v>
      </c>
      <c r="Z6" s="1927" t="s">
        <v>2281</v>
      </c>
      <c r="AA6" s="1916" t="s">
        <v>2282</v>
      </c>
      <c r="AB6" s="1920" t="s">
        <v>4778</v>
      </c>
      <c r="AC6" s="1923" t="s">
        <v>4785</v>
      </c>
      <c r="AD6" s="1923"/>
      <c r="AE6" s="1923"/>
      <c r="AF6" s="1923"/>
      <c r="AG6" s="1923"/>
      <c r="AH6" s="1923"/>
      <c r="AI6" s="1924" t="s">
        <v>2489</v>
      </c>
      <c r="AJ6" s="1924" t="s">
        <v>4786</v>
      </c>
      <c r="AK6" s="874"/>
    </row>
    <row r="7" spans="1:37" s="869" customFormat="1" ht="14.25" customHeight="1" x14ac:dyDescent="0.2">
      <c r="A7" s="1906"/>
      <c r="B7" s="1906"/>
      <c r="C7" s="1906"/>
      <c r="E7" s="1908"/>
      <c r="F7" s="2019"/>
      <c r="G7" s="1206"/>
      <c r="H7" s="2010" t="s">
        <v>877</v>
      </c>
      <c r="I7" s="2010" t="s">
        <v>3833</v>
      </c>
      <c r="J7" s="2010"/>
      <c r="K7" s="2027"/>
      <c r="L7" s="1911"/>
      <c r="M7" s="2027"/>
      <c r="N7" s="1911"/>
      <c r="O7" s="2012" t="s">
        <v>882</v>
      </c>
      <c r="P7" s="1930" t="s">
        <v>883</v>
      </c>
      <c r="Q7" s="1911"/>
      <c r="R7" s="1911"/>
      <c r="S7" s="1911"/>
      <c r="T7" s="1935"/>
      <c r="U7" s="1911"/>
      <c r="V7" s="1938"/>
      <c r="W7" s="966"/>
      <c r="X7" s="1921"/>
      <c r="Y7" s="1928"/>
      <c r="Z7" s="1928"/>
      <c r="AA7" s="1917"/>
      <c r="AB7" s="1921"/>
      <c r="AC7" s="1932" t="s">
        <v>4779</v>
      </c>
      <c r="AD7" s="1932" t="s">
        <v>4780</v>
      </c>
      <c r="AE7" s="1932" t="s">
        <v>4781</v>
      </c>
      <c r="AF7" s="1932" t="s">
        <v>4782</v>
      </c>
      <c r="AG7" s="1932" t="s">
        <v>4783</v>
      </c>
      <c r="AH7" s="1932" t="s">
        <v>4784</v>
      </c>
      <c r="AI7" s="1925"/>
      <c r="AJ7" s="1925"/>
    </row>
    <row r="8" spans="1:37" s="869" customFormat="1" ht="12" customHeight="1" thickBot="1" x14ac:dyDescent="0.25">
      <c r="A8" s="1906"/>
      <c r="B8" s="1906"/>
      <c r="C8" s="1906"/>
      <c r="E8" s="1909"/>
      <c r="F8" s="2021"/>
      <c r="G8" s="1207"/>
      <c r="H8" s="2011"/>
      <c r="I8" s="2011"/>
      <c r="J8" s="2011"/>
      <c r="K8" s="2028"/>
      <c r="L8" s="1912"/>
      <c r="M8" s="2028"/>
      <c r="N8" s="1912"/>
      <c r="O8" s="2013"/>
      <c r="P8" s="1931"/>
      <c r="Q8" s="1912"/>
      <c r="R8" s="1912"/>
      <c r="S8" s="1912"/>
      <c r="T8" s="1936"/>
      <c r="U8" s="1912"/>
      <c r="V8" s="1939"/>
      <c r="W8" s="966"/>
      <c r="X8" s="1922"/>
      <c r="Y8" s="1929"/>
      <c r="Z8" s="1929"/>
      <c r="AA8" s="1918"/>
      <c r="AB8" s="1922"/>
      <c r="AC8" s="1933"/>
      <c r="AD8" s="1933"/>
      <c r="AE8" s="1933"/>
      <c r="AF8" s="1933"/>
      <c r="AG8" s="1933"/>
      <c r="AH8" s="1933"/>
      <c r="AI8" s="1926"/>
      <c r="AJ8" s="1926"/>
    </row>
    <row r="9" spans="1:37" s="857" customFormat="1" thickTop="1" x14ac:dyDescent="0.2">
      <c r="E9" s="846">
        <v>1</v>
      </c>
      <c r="F9" s="847">
        <v>2</v>
      </c>
      <c r="G9" s="847"/>
      <c r="H9" s="847">
        <v>3</v>
      </c>
      <c r="I9" s="848">
        <v>4</v>
      </c>
      <c r="J9" s="848">
        <v>6</v>
      </c>
      <c r="K9" s="849">
        <v>7</v>
      </c>
      <c r="L9" s="850">
        <v>8</v>
      </c>
      <c r="M9" s="851">
        <v>9</v>
      </c>
      <c r="N9" s="852">
        <v>10</v>
      </c>
      <c r="O9" s="847">
        <v>11</v>
      </c>
      <c r="P9" s="847">
        <v>12</v>
      </c>
      <c r="Q9" s="847">
        <v>13</v>
      </c>
      <c r="R9" s="848">
        <v>14</v>
      </c>
      <c r="S9" s="848">
        <v>15</v>
      </c>
      <c r="T9" s="1171">
        <v>16</v>
      </c>
      <c r="U9" s="848">
        <v>17</v>
      </c>
      <c r="V9" s="853">
        <v>18</v>
      </c>
      <c r="W9" s="967"/>
      <c r="X9" s="989">
        <v>19</v>
      </c>
      <c r="Y9" s="990">
        <v>20</v>
      </c>
      <c r="Z9" s="990">
        <v>21</v>
      </c>
      <c r="AA9" s="991">
        <v>22</v>
      </c>
      <c r="AB9" s="990">
        <v>23</v>
      </c>
      <c r="AC9" s="854">
        <v>24</v>
      </c>
      <c r="AD9" s="854">
        <v>25</v>
      </c>
      <c r="AE9" s="991"/>
      <c r="AF9" s="991"/>
      <c r="AG9" s="991"/>
      <c r="AH9" s="991"/>
      <c r="AI9" s="991"/>
      <c r="AJ9" s="991">
        <v>27</v>
      </c>
      <c r="AK9" s="962"/>
    </row>
    <row r="10" spans="1:37" s="857" customFormat="1" ht="12.75" hidden="1" customHeight="1" x14ac:dyDescent="0.2">
      <c r="E10" s="855"/>
      <c r="F10" s="862"/>
      <c r="G10" s="862"/>
      <c r="H10" s="861"/>
      <c r="I10" s="862"/>
      <c r="J10" s="861"/>
      <c r="K10" s="856"/>
      <c r="L10" s="862"/>
      <c r="M10" s="856"/>
      <c r="N10" s="863"/>
      <c r="O10" s="861"/>
      <c r="P10" s="862"/>
      <c r="Q10" s="862"/>
      <c r="R10" s="862"/>
      <c r="S10" s="862"/>
      <c r="T10" s="864"/>
      <c r="U10" s="861"/>
      <c r="V10" s="865"/>
      <c r="W10" s="968"/>
      <c r="AA10" s="868"/>
      <c r="AC10" s="868"/>
      <c r="AD10" s="868"/>
      <c r="AE10" s="868"/>
      <c r="AF10" s="868"/>
      <c r="AG10" s="868"/>
      <c r="AH10" s="868"/>
      <c r="AI10" s="868"/>
      <c r="AJ10" s="868"/>
    </row>
    <row r="11" spans="1:37" s="857" customFormat="1" ht="35.25" hidden="1" customHeight="1" x14ac:dyDescent="0.2">
      <c r="E11" s="858" t="s">
        <v>476</v>
      </c>
      <c r="F11" s="859" t="s">
        <v>1130</v>
      </c>
      <c r="G11" s="859"/>
      <c r="H11" s="861"/>
      <c r="I11" s="862"/>
      <c r="J11" s="861"/>
      <c r="K11" s="856"/>
      <c r="L11" s="862"/>
      <c r="M11" s="856"/>
      <c r="N11" s="863"/>
      <c r="O11" s="861"/>
      <c r="P11" s="862"/>
      <c r="Q11" s="862"/>
      <c r="R11" s="862"/>
      <c r="S11" s="862"/>
      <c r="T11" s="864">
        <f>T12</f>
        <v>89121288981.476654</v>
      </c>
      <c r="U11" s="861"/>
      <c r="V11" s="865"/>
      <c r="W11" s="968"/>
      <c r="X11" s="866"/>
      <c r="Y11" s="867"/>
      <c r="AA11" s="868"/>
      <c r="AC11" s="864">
        <f t="shared" ref="AC11:AK11" si="0">AC12</f>
        <v>37666217477.203796</v>
      </c>
      <c r="AD11" s="864">
        <f t="shared" si="0"/>
        <v>4121035521.8276653</v>
      </c>
      <c r="AE11" s="864">
        <f t="shared" si="0"/>
        <v>7145711898.147665</v>
      </c>
      <c r="AF11" s="864">
        <f t="shared" si="0"/>
        <v>7145711898.147665</v>
      </c>
      <c r="AG11" s="864">
        <f t="shared" si="0"/>
        <v>6046905547.7314205</v>
      </c>
      <c r="AH11" s="864">
        <f t="shared" si="0"/>
        <v>5221577446.8485794</v>
      </c>
      <c r="AI11" s="864">
        <f t="shared" si="0"/>
        <v>61428477789.906784</v>
      </c>
      <c r="AJ11" s="864">
        <f t="shared" si="0"/>
        <v>27692811191.569866</v>
      </c>
      <c r="AK11" s="864">
        <f t="shared" si="0"/>
        <v>56206900343.058212</v>
      </c>
    </row>
    <row r="12" spans="1:37" s="869" customFormat="1" ht="35.25" hidden="1" customHeight="1" x14ac:dyDescent="0.2">
      <c r="E12" s="858" t="s">
        <v>477</v>
      </c>
      <c r="F12" s="859" t="s">
        <v>1131</v>
      </c>
      <c r="G12" s="859"/>
      <c r="H12" s="870"/>
      <c r="I12" s="871"/>
      <c r="J12" s="861"/>
      <c r="K12" s="856"/>
      <c r="L12" s="862"/>
      <c r="M12" s="856"/>
      <c r="N12" s="872"/>
      <c r="O12" s="870"/>
      <c r="P12" s="871"/>
      <c r="Q12" s="871"/>
      <c r="R12" s="871"/>
      <c r="S12" s="871"/>
      <c r="T12" s="864">
        <f>T13+T34</f>
        <v>89121288981.476654</v>
      </c>
      <c r="U12" s="870"/>
      <c r="V12" s="873"/>
      <c r="W12" s="964">
        <v>89087376148.923065</v>
      </c>
      <c r="X12" s="965">
        <f>T12-W12</f>
        <v>33912832.553588867</v>
      </c>
      <c r="Y12" s="875"/>
      <c r="Z12" s="874"/>
      <c r="AA12" s="927"/>
      <c r="AB12" s="964"/>
      <c r="AC12" s="927">
        <f>SUM(AC14:AC49)</f>
        <v>37666217477.203796</v>
      </c>
      <c r="AD12" s="927">
        <f>SUM(AD14:AD49)</f>
        <v>4121035521.8276653</v>
      </c>
      <c r="AE12" s="927">
        <f>SUM(AE14:AE49)</f>
        <v>7145711898.147665</v>
      </c>
      <c r="AF12" s="927">
        <f>SUM(AF14:AF49)</f>
        <v>7145711898.147665</v>
      </c>
      <c r="AG12" s="927">
        <f>SUM(AG14:AG49)</f>
        <v>6046905547.7314205</v>
      </c>
      <c r="AH12" s="864">
        <f>AH13+AH34</f>
        <v>5221577446.8485794</v>
      </c>
      <c r="AI12" s="864">
        <f>AI13+AI34</f>
        <v>61428477789.906784</v>
      </c>
      <c r="AJ12" s="864">
        <f>AJ13+AJ34</f>
        <v>27692811191.569866</v>
      </c>
      <c r="AK12" s="864">
        <f>AK13+AK34</f>
        <v>56206900343.058212</v>
      </c>
    </row>
    <row r="13" spans="1:37" s="869" customFormat="1" ht="35.25" hidden="1" customHeight="1" x14ac:dyDescent="0.2">
      <c r="E13" s="858"/>
      <c r="F13" s="859" t="s">
        <v>4903</v>
      </c>
      <c r="G13" s="859"/>
      <c r="H13" s="870"/>
      <c r="I13" s="871"/>
      <c r="J13" s="861"/>
      <c r="K13" s="856"/>
      <c r="L13" s="862"/>
      <c r="M13" s="856"/>
      <c r="N13" s="872"/>
      <c r="O13" s="870"/>
      <c r="P13" s="871"/>
      <c r="Q13" s="871"/>
      <c r="R13" s="871"/>
      <c r="S13" s="871"/>
      <c r="T13" s="864">
        <f>SUM(T14:T32)</f>
        <v>79530438981.476654</v>
      </c>
      <c r="U13" s="870"/>
      <c r="V13" s="1208"/>
      <c r="W13" s="964"/>
      <c r="X13" s="965"/>
      <c r="Y13" s="875"/>
      <c r="Z13" s="874"/>
      <c r="AA13" s="927"/>
      <c r="AB13" s="964"/>
      <c r="AC13" s="927"/>
      <c r="AD13" s="927"/>
      <c r="AE13" s="927"/>
      <c r="AF13" s="927"/>
      <c r="AG13" s="927"/>
      <c r="AH13" s="864">
        <f>SUM(AH14:AH32)</f>
        <v>5035493446.8485794</v>
      </c>
      <c r="AI13" s="864">
        <f>SUM(AI14:AI32)</f>
        <v>55323711789.906784</v>
      </c>
      <c r="AJ13" s="864">
        <f>SUM(AJ14:AJ32)</f>
        <v>24206727191.569866</v>
      </c>
      <c r="AK13" s="864">
        <f>SUM(AK14:AK32)</f>
        <v>50288218343.058212</v>
      </c>
    </row>
    <row r="14" spans="1:37" s="857" customFormat="1" ht="35.25" customHeight="1" x14ac:dyDescent="0.2">
      <c r="A14" s="857" t="s">
        <v>4895</v>
      </c>
      <c r="B14" s="857" t="e">
        <f>VLOOKUP(A14,RUAS,2,FALSE)</f>
        <v>#N/A</v>
      </c>
      <c r="D14" s="884" t="e">
        <f>RIGHT(#REF!,1)</f>
        <v>#REF!</v>
      </c>
      <c r="E14" s="855"/>
      <c r="F14" s="878" t="s">
        <v>478</v>
      </c>
      <c r="G14" s="878"/>
      <c r="H14" s="880" t="s">
        <v>3819</v>
      </c>
      <c r="I14" s="880"/>
      <c r="J14" s="880" t="s">
        <v>479</v>
      </c>
      <c r="K14" s="881" t="s">
        <v>480</v>
      </c>
      <c r="L14" s="880"/>
      <c r="M14" s="881"/>
      <c r="N14" s="880" t="s">
        <v>481</v>
      </c>
      <c r="O14" s="1126">
        <v>2001</v>
      </c>
      <c r="P14" s="880"/>
      <c r="Q14" s="880"/>
      <c r="R14" s="880" t="s">
        <v>482</v>
      </c>
      <c r="S14" s="880" t="s">
        <v>12</v>
      </c>
      <c r="T14" s="882">
        <v>9520000000</v>
      </c>
      <c r="U14" s="880" t="s">
        <v>43</v>
      </c>
      <c r="V14" s="880"/>
      <c r="W14" s="969"/>
      <c r="X14" s="884" t="str">
        <f>LEFT(H14,8)</f>
        <v>04.13.01</v>
      </c>
      <c r="Y14" s="884" t="str">
        <f t="shared" ref="Y14:Y32" si="1">VLOOKUP(X14,UE,3,FALSE)</f>
        <v>Jalan</v>
      </c>
      <c r="Z14" s="884">
        <f t="shared" ref="Z14:Z32" si="2">VLOOKUP(X14,UE,4,FALSE)</f>
        <v>10</v>
      </c>
      <c r="AA14" s="868">
        <f>T14/Z14</f>
        <v>952000000</v>
      </c>
      <c r="AB14" s="885">
        <f>IF(2013-O14+1&gt;Z14,Z14,IF(2013-O14+1&lt;0,0,2013-O14+1))</f>
        <v>10</v>
      </c>
      <c r="AC14" s="868">
        <f>IF(AB14&gt;Z14,T14,AA14*AB14)</f>
        <v>9520000000</v>
      </c>
      <c r="AD14" s="868">
        <f>IF(T14=AC14,0,AA14)</f>
        <v>0</v>
      </c>
      <c r="AE14" s="868">
        <f>IF(T14=AC14+AD14,0,AA14)</f>
        <v>0</v>
      </c>
      <c r="AF14" s="868">
        <f>IF(T14=AC14+AD14+AE14,0,AA14)</f>
        <v>0</v>
      </c>
      <c r="AG14" s="868">
        <f>IF(T14=AD14+AE14+AF14+AC14,0,AA14)</f>
        <v>0</v>
      </c>
      <c r="AH14" s="886">
        <f>IF(T14=AD14+AE14+AF14+AC14+AG14,0,AA14)</f>
        <v>0</v>
      </c>
      <c r="AI14" s="886">
        <f>SUM(AC14:AH14)</f>
        <v>9520000000</v>
      </c>
      <c r="AJ14" s="868">
        <f>T14-AI14</f>
        <v>0</v>
      </c>
      <c r="AK14" s="898">
        <f t="shared" ref="AK14:AK32" si="3">SUM(AC14:AG14)</f>
        <v>9520000000</v>
      </c>
    </row>
    <row r="15" spans="1:37" s="857" customFormat="1" ht="35.25" hidden="1" customHeight="1" x14ac:dyDescent="0.2">
      <c r="A15" s="857" t="s">
        <v>5253</v>
      </c>
      <c r="B15" s="857" t="e">
        <v>#N/A</v>
      </c>
      <c r="E15" s="855"/>
      <c r="F15" s="878" t="s">
        <v>483</v>
      </c>
      <c r="G15" s="878"/>
      <c r="H15" s="880" t="s">
        <v>3820</v>
      </c>
      <c r="I15" s="880"/>
      <c r="J15" s="880" t="s">
        <v>479</v>
      </c>
      <c r="K15" s="881" t="s">
        <v>490</v>
      </c>
      <c r="L15" s="880"/>
      <c r="M15" s="881"/>
      <c r="N15" s="880" t="s">
        <v>496</v>
      </c>
      <c r="O15" s="1126">
        <v>2001</v>
      </c>
      <c r="P15" s="880"/>
      <c r="Q15" s="880"/>
      <c r="R15" s="880" t="s">
        <v>482</v>
      </c>
      <c r="S15" s="1126" t="s">
        <v>12</v>
      </c>
      <c r="T15" s="882">
        <v>2275000000</v>
      </c>
      <c r="U15" s="880" t="s">
        <v>43</v>
      </c>
      <c r="V15" s="880"/>
      <c r="W15" s="969"/>
      <c r="X15" s="884" t="str">
        <f t="shared" ref="X15:X30" si="4">LEFT(H15,8)</f>
        <v>04.13.01</v>
      </c>
      <c r="Y15" s="884" t="str">
        <f t="shared" si="1"/>
        <v>Jalan</v>
      </c>
      <c r="Z15" s="884">
        <f t="shared" si="2"/>
        <v>10</v>
      </c>
      <c r="AA15" s="868">
        <f t="shared" ref="AA15:AA30" si="5">T15/Z15</f>
        <v>227500000</v>
      </c>
      <c r="AB15" s="885">
        <f t="shared" ref="AB15:AB30" si="6">IF(2013-O15+1&gt;Z15,Z15,IF(2013-O15+1&lt;0,0,2013-O15+1))</f>
        <v>10</v>
      </c>
      <c r="AC15" s="868">
        <f t="shared" ref="AC15:AC30" si="7">IF(AB15&gt;Z15,T15,AA15*AB15)</f>
        <v>2275000000</v>
      </c>
      <c r="AD15" s="868">
        <f t="shared" ref="AD15:AD30" si="8">IF(T15=AC15,0,AA15)</f>
        <v>0</v>
      </c>
      <c r="AE15" s="868">
        <f t="shared" ref="AE15:AE30" si="9">IF(T15=AC15+AD15,0,AA15)</f>
        <v>0</v>
      </c>
      <c r="AF15" s="868">
        <f t="shared" ref="AF15:AF30" si="10">IF(T15=AC15+AD15+AE15,0,AA15)</f>
        <v>0</v>
      </c>
      <c r="AG15" s="868">
        <f t="shared" ref="AG15:AG30" si="11">IF(T15=AD15+AE15+AF15+AC15,0,AA15)</f>
        <v>0</v>
      </c>
      <c r="AH15" s="886">
        <f t="shared" ref="AH15:AH30" si="12">IF(T15=AD15+AE15+AF15+AC15+AG15,0,AA15)</f>
        <v>0</v>
      </c>
      <c r="AI15" s="886">
        <f t="shared" ref="AI15:AI30" si="13">SUM(AC15:AH15)</f>
        <v>2275000000</v>
      </c>
      <c r="AJ15" s="868">
        <f t="shared" ref="AJ15:AJ30" si="14">T15-AI15</f>
        <v>0</v>
      </c>
      <c r="AK15" s="898">
        <f t="shared" si="3"/>
        <v>2275000000</v>
      </c>
    </row>
    <row r="16" spans="1:37" s="857" customFormat="1" ht="35.25" hidden="1" customHeight="1" x14ac:dyDescent="0.2">
      <c r="A16" s="857" t="s">
        <v>4896</v>
      </c>
      <c r="B16" s="857" t="e">
        <f t="shared" ref="B16:B32" si="15">VLOOKUP(A16,RUAS,2,FALSE)</f>
        <v>#N/A</v>
      </c>
      <c r="D16" s="884" t="e">
        <f>RIGHT(#REF!,1)</f>
        <v>#REF!</v>
      </c>
      <c r="E16" s="855"/>
      <c r="F16" s="878" t="s">
        <v>1148</v>
      </c>
      <c r="G16" s="878"/>
      <c r="H16" s="861" t="s">
        <v>2494</v>
      </c>
      <c r="I16" s="871"/>
      <c r="J16" s="861" t="s">
        <v>519</v>
      </c>
      <c r="K16" s="856"/>
      <c r="L16" s="862"/>
      <c r="M16" s="856">
        <v>3000</v>
      </c>
      <c r="N16" s="863" t="s">
        <v>3087</v>
      </c>
      <c r="O16" s="861">
        <v>2007</v>
      </c>
      <c r="P16" s="862"/>
      <c r="Q16" s="862"/>
      <c r="R16" s="862"/>
      <c r="S16" s="862" t="s">
        <v>12</v>
      </c>
      <c r="T16" s="899">
        <v>2826398290.872139</v>
      </c>
      <c r="U16" s="861" t="s">
        <v>43</v>
      </c>
      <c r="V16" s="865"/>
      <c r="W16" s="968"/>
      <c r="X16" s="884" t="str">
        <f t="shared" si="4"/>
        <v>04.13.01</v>
      </c>
      <c r="Y16" s="884" t="str">
        <f t="shared" si="1"/>
        <v>Jalan</v>
      </c>
      <c r="Z16" s="884">
        <f t="shared" si="2"/>
        <v>10</v>
      </c>
      <c r="AA16" s="868">
        <f t="shared" si="5"/>
        <v>282639829.08721387</v>
      </c>
      <c r="AB16" s="885">
        <f t="shared" si="6"/>
        <v>7</v>
      </c>
      <c r="AC16" s="868">
        <f t="shared" si="7"/>
        <v>1978478803.610497</v>
      </c>
      <c r="AD16" s="868">
        <f t="shared" si="8"/>
        <v>282639829.08721387</v>
      </c>
      <c r="AE16" s="868">
        <f t="shared" si="9"/>
        <v>282639829.08721387</v>
      </c>
      <c r="AF16" s="868">
        <f t="shared" si="10"/>
        <v>282639829.08721387</v>
      </c>
      <c r="AG16" s="868">
        <f t="shared" si="11"/>
        <v>0</v>
      </c>
      <c r="AH16" s="886">
        <f t="shared" si="12"/>
        <v>0</v>
      </c>
      <c r="AI16" s="886">
        <f t="shared" si="13"/>
        <v>2826398290.872139</v>
      </c>
      <c r="AJ16" s="868">
        <f t="shared" si="14"/>
        <v>0</v>
      </c>
      <c r="AK16" s="898">
        <f t="shared" si="3"/>
        <v>2826398290.872139</v>
      </c>
    </row>
    <row r="17" spans="1:16383" s="857" customFormat="1" ht="35.25" hidden="1" customHeight="1" x14ac:dyDescent="0.2">
      <c r="A17" s="857" t="s">
        <v>4896</v>
      </c>
      <c r="B17" s="857" t="e">
        <f t="shared" si="15"/>
        <v>#N/A</v>
      </c>
      <c r="D17" s="884" t="e">
        <f>RIGHT(#REF!,1)</f>
        <v>#REF!</v>
      </c>
      <c r="E17" s="855"/>
      <c r="F17" s="878" t="s">
        <v>1150</v>
      </c>
      <c r="G17" s="878"/>
      <c r="H17" s="861" t="s">
        <v>2494</v>
      </c>
      <c r="I17" s="871"/>
      <c r="J17" s="861" t="s">
        <v>519</v>
      </c>
      <c r="K17" s="856"/>
      <c r="L17" s="862"/>
      <c r="M17" s="856">
        <v>2275</v>
      </c>
      <c r="N17" s="863" t="s">
        <v>3087</v>
      </c>
      <c r="O17" s="861">
        <v>2007</v>
      </c>
      <c r="P17" s="862"/>
      <c r="Q17" s="862"/>
      <c r="R17" s="862"/>
      <c r="S17" s="862" t="s">
        <v>12</v>
      </c>
      <c r="T17" s="899">
        <v>2194386304.3273997</v>
      </c>
      <c r="U17" s="861" t="s">
        <v>43</v>
      </c>
      <c r="V17" s="865"/>
      <c r="W17" s="968"/>
      <c r="X17" s="884" t="str">
        <f t="shared" si="4"/>
        <v>04.13.01</v>
      </c>
      <c r="Y17" s="884" t="str">
        <f t="shared" si="1"/>
        <v>Jalan</v>
      </c>
      <c r="Z17" s="884">
        <f t="shared" si="2"/>
        <v>10</v>
      </c>
      <c r="AA17" s="868">
        <f t="shared" si="5"/>
        <v>219438630.43273997</v>
      </c>
      <c r="AB17" s="885">
        <f t="shared" si="6"/>
        <v>7</v>
      </c>
      <c r="AC17" s="868">
        <f t="shared" si="7"/>
        <v>1536070413.0291798</v>
      </c>
      <c r="AD17" s="868">
        <f t="shared" si="8"/>
        <v>219438630.43273997</v>
      </c>
      <c r="AE17" s="868">
        <f t="shared" si="9"/>
        <v>219438630.43273997</v>
      </c>
      <c r="AF17" s="868">
        <f t="shared" si="10"/>
        <v>219438630.43273997</v>
      </c>
      <c r="AG17" s="868">
        <f t="shared" si="11"/>
        <v>0</v>
      </c>
      <c r="AH17" s="886">
        <f t="shared" si="12"/>
        <v>0</v>
      </c>
      <c r="AI17" s="886">
        <f t="shared" si="13"/>
        <v>2194386304.3273997</v>
      </c>
      <c r="AJ17" s="868">
        <f t="shared" si="14"/>
        <v>0</v>
      </c>
      <c r="AK17" s="898">
        <f t="shared" si="3"/>
        <v>2194386304.3273997</v>
      </c>
    </row>
    <row r="18" spans="1:16383" s="857" customFormat="1" ht="35.25" customHeight="1" x14ac:dyDescent="0.2">
      <c r="A18" s="857" t="s">
        <v>4895</v>
      </c>
      <c r="B18" s="857" t="e">
        <f t="shared" si="15"/>
        <v>#N/A</v>
      </c>
      <c r="D18" s="884" t="e">
        <f>RIGHT(#REF!,1)</f>
        <v>#REF!</v>
      </c>
      <c r="E18" s="855"/>
      <c r="F18" s="878" t="s">
        <v>1151</v>
      </c>
      <c r="G18" s="878"/>
      <c r="H18" s="861" t="s">
        <v>2494</v>
      </c>
      <c r="I18" s="871"/>
      <c r="J18" s="861" t="s">
        <v>519</v>
      </c>
      <c r="K18" s="856"/>
      <c r="L18" s="862"/>
      <c r="M18" s="856"/>
      <c r="N18" s="863" t="s">
        <v>3089</v>
      </c>
      <c r="O18" s="861">
        <v>2007</v>
      </c>
      <c r="P18" s="862"/>
      <c r="Q18" s="862"/>
      <c r="R18" s="862"/>
      <c r="S18" s="862" t="s">
        <v>12</v>
      </c>
      <c r="T18" s="899">
        <v>5037798091.3787003</v>
      </c>
      <c r="U18" s="861" t="s">
        <v>43</v>
      </c>
      <c r="V18" s="865"/>
      <c r="W18" s="968"/>
      <c r="X18" s="884" t="str">
        <f t="shared" si="4"/>
        <v>04.13.01</v>
      </c>
      <c r="Y18" s="884" t="str">
        <f t="shared" si="1"/>
        <v>Jalan</v>
      </c>
      <c r="Z18" s="884">
        <f t="shared" si="2"/>
        <v>10</v>
      </c>
      <c r="AA18" s="868">
        <f t="shared" si="5"/>
        <v>503779809.13787001</v>
      </c>
      <c r="AB18" s="885">
        <f t="shared" si="6"/>
        <v>7</v>
      </c>
      <c r="AC18" s="868">
        <f t="shared" si="7"/>
        <v>3526458663.9650903</v>
      </c>
      <c r="AD18" s="868">
        <f t="shared" si="8"/>
        <v>503779809.13787001</v>
      </c>
      <c r="AE18" s="868">
        <f t="shared" si="9"/>
        <v>503779809.13787001</v>
      </c>
      <c r="AF18" s="868">
        <f t="shared" si="10"/>
        <v>503779809.13787001</v>
      </c>
      <c r="AG18" s="868">
        <f t="shared" si="11"/>
        <v>0</v>
      </c>
      <c r="AH18" s="886">
        <f t="shared" si="12"/>
        <v>0</v>
      </c>
      <c r="AI18" s="886">
        <f t="shared" si="13"/>
        <v>5037798091.3787003</v>
      </c>
      <c r="AJ18" s="868">
        <f t="shared" si="14"/>
        <v>0</v>
      </c>
      <c r="AK18" s="898">
        <f t="shared" si="3"/>
        <v>5037798091.3787003</v>
      </c>
    </row>
    <row r="19" spans="1:16383" s="857" customFormat="1" ht="42.75" customHeight="1" x14ac:dyDescent="0.2">
      <c r="A19" s="857" t="s">
        <v>4895</v>
      </c>
      <c r="B19" s="857" t="e">
        <f t="shared" si="15"/>
        <v>#N/A</v>
      </c>
      <c r="D19" s="884" t="e">
        <f>RIGHT(#REF!,1)</f>
        <v>#REF!</v>
      </c>
      <c r="E19" s="890"/>
      <c r="F19" s="878" t="s">
        <v>1183</v>
      </c>
      <c r="G19" s="879"/>
      <c r="H19" s="880" t="s">
        <v>2494</v>
      </c>
      <c r="I19" s="880">
        <v>0</v>
      </c>
      <c r="J19" s="880" t="s">
        <v>835</v>
      </c>
      <c r="K19" s="881">
        <v>4</v>
      </c>
      <c r="L19" s="880">
        <v>3.5</v>
      </c>
      <c r="M19" s="881">
        <v>14</v>
      </c>
      <c r="N19" s="880" t="s">
        <v>3083</v>
      </c>
      <c r="O19" s="1126">
        <v>2007</v>
      </c>
      <c r="P19" s="880">
        <v>0</v>
      </c>
      <c r="Q19" s="880">
        <v>0</v>
      </c>
      <c r="R19" s="880">
        <v>0</v>
      </c>
      <c r="S19" s="1126" t="s">
        <v>12</v>
      </c>
      <c r="T19" s="882">
        <v>929480817.58420205</v>
      </c>
      <c r="U19" s="880" t="s">
        <v>43</v>
      </c>
      <c r="V19" s="880">
        <v>0</v>
      </c>
      <c r="W19" s="969"/>
      <c r="X19" s="884" t="str">
        <f t="shared" si="4"/>
        <v>04.13.01</v>
      </c>
      <c r="Y19" s="884" t="str">
        <f t="shared" si="1"/>
        <v>Jalan</v>
      </c>
      <c r="Z19" s="884">
        <f t="shared" si="2"/>
        <v>10</v>
      </c>
      <c r="AA19" s="868">
        <f t="shared" si="5"/>
        <v>92948081.758420199</v>
      </c>
      <c r="AB19" s="885">
        <f t="shared" si="6"/>
        <v>7</v>
      </c>
      <c r="AC19" s="868">
        <f t="shared" si="7"/>
        <v>650636572.30894136</v>
      </c>
      <c r="AD19" s="868">
        <f t="shared" si="8"/>
        <v>92948081.758420199</v>
      </c>
      <c r="AE19" s="868">
        <f t="shared" si="9"/>
        <v>92948081.758420199</v>
      </c>
      <c r="AF19" s="868">
        <f t="shared" si="10"/>
        <v>92948081.758420199</v>
      </c>
      <c r="AG19" s="868">
        <f t="shared" si="11"/>
        <v>0</v>
      </c>
      <c r="AH19" s="886">
        <f t="shared" si="12"/>
        <v>0</v>
      </c>
      <c r="AI19" s="886">
        <f t="shared" si="13"/>
        <v>929480817.58420205</v>
      </c>
      <c r="AJ19" s="868">
        <f t="shared" si="14"/>
        <v>0</v>
      </c>
      <c r="AK19" s="898">
        <f t="shared" si="3"/>
        <v>929480817.58420205</v>
      </c>
    </row>
    <row r="20" spans="1:16383" s="857" customFormat="1" ht="42.75" customHeight="1" x14ac:dyDescent="0.2">
      <c r="A20" s="857" t="s">
        <v>4895</v>
      </c>
      <c r="B20" s="1260" t="e">
        <v>#N/A</v>
      </c>
      <c r="C20" s="1260"/>
      <c r="D20" s="1260"/>
      <c r="E20" s="1262"/>
      <c r="F20" s="1290" t="s">
        <v>5145</v>
      </c>
      <c r="G20" s="1263"/>
      <c r="H20" s="1264" t="s">
        <v>2494</v>
      </c>
      <c r="I20" s="1265"/>
      <c r="J20" s="1264"/>
      <c r="K20" s="1266"/>
      <c r="L20" s="1267"/>
      <c r="M20" s="1266"/>
      <c r="N20" s="1268" t="s">
        <v>3113</v>
      </c>
      <c r="O20" s="1264">
        <v>2008</v>
      </c>
      <c r="P20" s="1267"/>
      <c r="Q20" s="1268" t="s">
        <v>5084</v>
      </c>
      <c r="R20" s="1268"/>
      <c r="S20" s="1268" t="s">
        <v>5085</v>
      </c>
      <c r="T20" s="1269">
        <v>497351470.55754954</v>
      </c>
      <c r="U20" s="1270" t="s">
        <v>43</v>
      </c>
      <c r="V20" s="1268" t="s">
        <v>5086</v>
      </c>
      <c r="W20" s="968"/>
      <c r="X20" s="884" t="str">
        <f t="shared" si="4"/>
        <v>04.13.01</v>
      </c>
      <c r="Y20" s="884" t="str">
        <f t="shared" si="1"/>
        <v>Jalan</v>
      </c>
      <c r="Z20" s="884">
        <f t="shared" si="2"/>
        <v>10</v>
      </c>
      <c r="AA20" s="868">
        <f t="shared" si="5"/>
        <v>49735147.055754952</v>
      </c>
      <c r="AB20" s="885">
        <f t="shared" si="6"/>
        <v>6</v>
      </c>
      <c r="AC20" s="868">
        <f t="shared" si="7"/>
        <v>298410882.3345297</v>
      </c>
      <c r="AD20" s="868">
        <f t="shared" si="8"/>
        <v>49735147.055754952</v>
      </c>
      <c r="AE20" s="868">
        <f t="shared" si="9"/>
        <v>49735147.055754952</v>
      </c>
      <c r="AF20" s="868">
        <f t="shared" si="10"/>
        <v>49735147.055754952</v>
      </c>
      <c r="AG20" s="868">
        <f t="shared" si="11"/>
        <v>49735147.055754952</v>
      </c>
      <c r="AH20" s="886">
        <f t="shared" si="12"/>
        <v>0</v>
      </c>
      <c r="AI20" s="886">
        <f t="shared" si="13"/>
        <v>497351470.55754954</v>
      </c>
      <c r="AJ20" s="868">
        <f t="shared" si="14"/>
        <v>0</v>
      </c>
      <c r="AK20" s="898">
        <f t="shared" si="3"/>
        <v>497351470.55754954</v>
      </c>
      <c r="AL20" s="1260"/>
      <c r="AM20" s="1260"/>
      <c r="AN20" s="1260"/>
      <c r="AO20" s="1260"/>
      <c r="AP20" s="1260"/>
      <c r="AQ20" s="1260"/>
      <c r="AR20" s="1260"/>
      <c r="AS20" s="1260"/>
      <c r="AT20" s="1260"/>
      <c r="AU20" s="1260"/>
      <c r="AV20" s="1260"/>
      <c r="AW20" s="1260"/>
      <c r="AX20" s="1260"/>
      <c r="AY20" s="1260"/>
      <c r="AZ20" s="1260"/>
      <c r="BA20" s="1260"/>
      <c r="BB20" s="1260"/>
      <c r="BC20" s="1260"/>
      <c r="BD20" s="1260"/>
      <c r="BE20" s="1260"/>
      <c r="BF20" s="1260"/>
      <c r="BG20" s="1260"/>
      <c r="BH20" s="1260"/>
      <c r="BI20" s="1260"/>
      <c r="BJ20" s="1260"/>
      <c r="BK20" s="1260"/>
      <c r="BL20" s="1260"/>
      <c r="BM20" s="1260"/>
      <c r="BN20" s="1260"/>
      <c r="BO20" s="1260"/>
      <c r="BP20" s="1260"/>
      <c r="BQ20" s="1260"/>
      <c r="BR20" s="1260"/>
      <c r="BS20" s="1260"/>
      <c r="BT20" s="1260"/>
      <c r="BU20" s="1260"/>
      <c r="BV20" s="1260"/>
      <c r="BW20" s="1260"/>
      <c r="BX20" s="1260"/>
      <c r="BY20" s="1260"/>
      <c r="BZ20" s="1260"/>
      <c r="CA20" s="1260"/>
      <c r="CB20" s="1260"/>
      <c r="CC20" s="1260"/>
      <c r="CD20" s="1260"/>
      <c r="CE20" s="1260"/>
      <c r="CF20" s="1260"/>
      <c r="CG20" s="1260"/>
      <c r="CH20" s="1260"/>
      <c r="CI20" s="1260"/>
      <c r="CJ20" s="1260"/>
      <c r="CK20" s="1260"/>
      <c r="CL20" s="1260"/>
      <c r="CM20" s="1260"/>
      <c r="CN20" s="1260"/>
      <c r="CO20" s="1260"/>
      <c r="CP20" s="1260"/>
      <c r="CQ20" s="1260"/>
      <c r="CR20" s="1260"/>
      <c r="CS20" s="1260"/>
      <c r="CT20" s="1260"/>
      <c r="CU20" s="1260"/>
      <c r="CV20" s="1260"/>
      <c r="CW20" s="1260"/>
      <c r="CX20" s="1260"/>
      <c r="CY20" s="1260"/>
      <c r="CZ20" s="1260"/>
      <c r="DA20" s="1260"/>
      <c r="DB20" s="1260"/>
      <c r="DC20" s="1260"/>
      <c r="DD20" s="1260"/>
      <c r="DE20" s="1260"/>
      <c r="DF20" s="1260"/>
      <c r="DG20" s="1260"/>
      <c r="DH20" s="1260"/>
      <c r="DI20" s="1260"/>
      <c r="DJ20" s="1260"/>
      <c r="DK20" s="1260"/>
      <c r="DL20" s="1260"/>
      <c r="DM20" s="1260"/>
      <c r="DN20" s="1260"/>
      <c r="DO20" s="1260"/>
      <c r="DP20" s="1260"/>
      <c r="DQ20" s="1260"/>
      <c r="DR20" s="1260"/>
      <c r="DS20" s="1260"/>
      <c r="DT20" s="1260"/>
      <c r="DU20" s="1260"/>
      <c r="DV20" s="1260"/>
      <c r="DW20" s="1260"/>
      <c r="DX20" s="1260"/>
      <c r="DY20" s="1260"/>
      <c r="DZ20" s="1260"/>
      <c r="EA20" s="1260"/>
      <c r="EB20" s="1260"/>
      <c r="EC20" s="1260"/>
      <c r="ED20" s="1260"/>
      <c r="EE20" s="1260"/>
      <c r="EF20" s="1260"/>
      <c r="EG20" s="1260"/>
      <c r="EH20" s="1260"/>
      <c r="EI20" s="1260"/>
      <c r="EJ20" s="1260"/>
      <c r="EK20" s="1260"/>
      <c r="EL20" s="1260"/>
      <c r="EM20" s="1260"/>
      <c r="EN20" s="1260"/>
      <c r="EO20" s="1260"/>
      <c r="EP20" s="1260"/>
      <c r="EQ20" s="1260"/>
      <c r="ER20" s="1260"/>
      <c r="ES20" s="1260"/>
      <c r="ET20" s="1260"/>
      <c r="EU20" s="1260"/>
      <c r="EV20" s="1260"/>
      <c r="EW20" s="1260"/>
      <c r="EX20" s="1260"/>
      <c r="EY20" s="1260"/>
      <c r="EZ20" s="1260"/>
      <c r="FA20" s="1260"/>
      <c r="FB20" s="1260"/>
      <c r="FC20" s="1260"/>
      <c r="FD20" s="1260"/>
      <c r="FE20" s="1260"/>
      <c r="FF20" s="1260"/>
      <c r="FG20" s="1260"/>
      <c r="FH20" s="1260"/>
      <c r="FI20" s="1260"/>
      <c r="FJ20" s="1260"/>
      <c r="FK20" s="1260"/>
      <c r="FL20" s="1260"/>
      <c r="FM20" s="1260"/>
      <c r="FN20" s="1260"/>
      <c r="FO20" s="1260"/>
      <c r="FP20" s="1260"/>
      <c r="FQ20" s="1260"/>
      <c r="FR20" s="1260"/>
      <c r="FS20" s="1260"/>
      <c r="FT20" s="1260"/>
      <c r="FU20" s="1260"/>
      <c r="FV20" s="1260"/>
      <c r="FW20" s="1260"/>
      <c r="FX20" s="1260"/>
      <c r="FY20" s="1260"/>
      <c r="FZ20" s="1260"/>
      <c r="GA20" s="1260"/>
      <c r="GB20" s="1260"/>
      <c r="GC20" s="1260"/>
      <c r="GD20" s="1260"/>
      <c r="GE20" s="1260"/>
      <c r="GF20" s="1260"/>
      <c r="GG20" s="1260"/>
      <c r="GH20" s="1260"/>
      <c r="GI20" s="1260"/>
      <c r="GJ20" s="1260"/>
      <c r="GK20" s="1260"/>
      <c r="GL20" s="1260"/>
      <c r="GM20" s="1260"/>
      <c r="GN20" s="1260"/>
      <c r="GO20" s="1260"/>
      <c r="GP20" s="1260"/>
      <c r="GQ20" s="1260"/>
      <c r="GR20" s="1260"/>
      <c r="GS20" s="1260"/>
      <c r="GT20" s="1260"/>
      <c r="GU20" s="1260"/>
      <c r="GV20" s="1260"/>
      <c r="GW20" s="1260"/>
      <c r="GX20" s="1260"/>
      <c r="GY20" s="1260"/>
      <c r="GZ20" s="1260"/>
      <c r="HA20" s="1260"/>
      <c r="HB20" s="1260"/>
      <c r="HC20" s="1260"/>
      <c r="HD20" s="1260"/>
      <c r="HE20" s="1260"/>
      <c r="HF20" s="1260"/>
      <c r="HG20" s="1260"/>
      <c r="HH20" s="1260"/>
      <c r="HI20" s="1260"/>
      <c r="HJ20" s="1260"/>
      <c r="HK20" s="1260"/>
      <c r="HL20" s="1260"/>
      <c r="HM20" s="1260"/>
      <c r="HN20" s="1260"/>
      <c r="HO20" s="1260"/>
      <c r="HP20" s="1260"/>
      <c r="HQ20" s="1260"/>
      <c r="HR20" s="1260"/>
      <c r="HS20" s="1260"/>
      <c r="HT20" s="1260"/>
      <c r="HU20" s="1260"/>
      <c r="HV20" s="1260"/>
      <c r="HW20" s="1260"/>
      <c r="HX20" s="1260"/>
      <c r="HY20" s="1260"/>
      <c r="HZ20" s="1260"/>
      <c r="IA20" s="1260"/>
      <c r="IB20" s="1260"/>
      <c r="IC20" s="1260"/>
      <c r="ID20" s="1260"/>
      <c r="IE20" s="1260"/>
      <c r="IF20" s="1260"/>
      <c r="IG20" s="1260"/>
      <c r="IH20" s="1260"/>
      <c r="II20" s="1260"/>
      <c r="IJ20" s="1260"/>
      <c r="IK20" s="1260"/>
      <c r="IL20" s="1260"/>
      <c r="IM20" s="1260"/>
      <c r="IN20" s="1260"/>
      <c r="IO20" s="1260"/>
      <c r="IP20" s="1260"/>
      <c r="IQ20" s="1260"/>
      <c r="IR20" s="1260"/>
      <c r="IS20" s="1260"/>
      <c r="IT20" s="1260"/>
      <c r="IU20" s="1260"/>
      <c r="IV20" s="1260"/>
      <c r="IW20" s="1260"/>
      <c r="IX20" s="1260"/>
      <c r="IY20" s="1260"/>
      <c r="IZ20" s="1260"/>
      <c r="JA20" s="1260"/>
      <c r="JB20" s="1260"/>
      <c r="JC20" s="1260"/>
      <c r="JD20" s="1260"/>
      <c r="JE20" s="1260"/>
      <c r="JF20" s="1260"/>
      <c r="JG20" s="1260"/>
      <c r="JH20" s="1260"/>
      <c r="JI20" s="1260"/>
      <c r="JJ20" s="1260"/>
      <c r="JK20" s="1260"/>
      <c r="JL20" s="1260"/>
      <c r="JM20" s="1260"/>
      <c r="JN20" s="1260"/>
      <c r="JO20" s="1260"/>
      <c r="JP20" s="1260"/>
      <c r="JQ20" s="1260"/>
      <c r="JR20" s="1260"/>
      <c r="JS20" s="1260"/>
      <c r="JT20" s="1260"/>
      <c r="JU20" s="1260"/>
      <c r="JV20" s="1260"/>
      <c r="JW20" s="1260"/>
      <c r="JX20" s="1260"/>
      <c r="JY20" s="1260"/>
      <c r="JZ20" s="1260"/>
      <c r="KA20" s="1260"/>
      <c r="KB20" s="1260"/>
      <c r="KC20" s="1260"/>
      <c r="KD20" s="1260"/>
      <c r="KE20" s="1260"/>
      <c r="KF20" s="1260"/>
      <c r="KG20" s="1260"/>
      <c r="KH20" s="1260"/>
      <c r="KI20" s="1260"/>
      <c r="KJ20" s="1260"/>
      <c r="KK20" s="1260"/>
      <c r="KL20" s="1260"/>
      <c r="KM20" s="1260"/>
      <c r="KN20" s="1260"/>
      <c r="KO20" s="1260"/>
      <c r="KP20" s="1260"/>
      <c r="KQ20" s="1260"/>
      <c r="KR20" s="1260"/>
      <c r="KS20" s="1260"/>
      <c r="KT20" s="1260"/>
      <c r="KU20" s="1260"/>
      <c r="KV20" s="1260"/>
      <c r="KW20" s="1260"/>
      <c r="KX20" s="1260"/>
      <c r="KY20" s="1260"/>
      <c r="KZ20" s="1260"/>
      <c r="LA20" s="1260"/>
      <c r="LB20" s="1260"/>
      <c r="LC20" s="1260"/>
      <c r="LD20" s="1260"/>
      <c r="LE20" s="1260"/>
      <c r="LF20" s="1260"/>
      <c r="LG20" s="1260"/>
      <c r="LH20" s="1260"/>
      <c r="LI20" s="1260"/>
      <c r="LJ20" s="1260"/>
      <c r="LK20" s="1260"/>
      <c r="LL20" s="1260"/>
      <c r="LM20" s="1260"/>
      <c r="LN20" s="1260"/>
      <c r="LO20" s="1260"/>
      <c r="LP20" s="1260"/>
      <c r="LQ20" s="1260"/>
      <c r="LR20" s="1260"/>
      <c r="LS20" s="1260"/>
      <c r="LT20" s="1260"/>
      <c r="LU20" s="1260"/>
      <c r="LV20" s="1260"/>
      <c r="LW20" s="1260"/>
      <c r="LX20" s="1260"/>
      <c r="LY20" s="1260"/>
      <c r="LZ20" s="1260"/>
      <c r="MA20" s="1260"/>
      <c r="MB20" s="1260"/>
      <c r="MC20" s="1260"/>
      <c r="MD20" s="1260"/>
      <c r="ME20" s="1260"/>
      <c r="MF20" s="1260"/>
      <c r="MG20" s="1260"/>
      <c r="MH20" s="1260"/>
      <c r="MI20" s="1260"/>
      <c r="MJ20" s="1260"/>
      <c r="MK20" s="1260"/>
      <c r="ML20" s="1260"/>
      <c r="MM20" s="1260"/>
      <c r="MN20" s="1260"/>
      <c r="MO20" s="1260"/>
      <c r="MP20" s="1260"/>
      <c r="MQ20" s="1260"/>
      <c r="MR20" s="1260"/>
      <c r="MS20" s="1260"/>
      <c r="MT20" s="1260"/>
      <c r="MU20" s="1260"/>
      <c r="MV20" s="1260"/>
      <c r="MW20" s="1260"/>
      <c r="MX20" s="1260"/>
      <c r="MY20" s="1260"/>
      <c r="MZ20" s="1260"/>
      <c r="NA20" s="1260"/>
      <c r="NB20" s="1260"/>
      <c r="NC20" s="1260"/>
      <c r="ND20" s="1260"/>
      <c r="NE20" s="1260"/>
      <c r="NF20" s="1260"/>
      <c r="NG20" s="1260"/>
      <c r="NH20" s="1260"/>
      <c r="NI20" s="1260"/>
      <c r="NJ20" s="1260"/>
      <c r="NK20" s="1260"/>
      <c r="NL20" s="1260"/>
      <c r="NM20" s="1260"/>
      <c r="NN20" s="1260"/>
      <c r="NO20" s="1260"/>
      <c r="NP20" s="1260"/>
      <c r="NQ20" s="1260"/>
      <c r="NR20" s="1260"/>
      <c r="NS20" s="1260"/>
      <c r="NT20" s="1260"/>
      <c r="NU20" s="1260"/>
      <c r="NV20" s="1260"/>
      <c r="NW20" s="1260"/>
      <c r="NX20" s="1260"/>
      <c r="NY20" s="1260"/>
      <c r="NZ20" s="1260"/>
      <c r="OA20" s="1260"/>
      <c r="OB20" s="1260"/>
      <c r="OC20" s="1260"/>
      <c r="OD20" s="1260"/>
      <c r="OE20" s="1260"/>
      <c r="OF20" s="1260"/>
      <c r="OG20" s="1260"/>
      <c r="OH20" s="1260"/>
      <c r="OI20" s="1260"/>
      <c r="OJ20" s="1260"/>
      <c r="OK20" s="1260"/>
      <c r="OL20" s="1260"/>
      <c r="OM20" s="1260"/>
      <c r="ON20" s="1260"/>
      <c r="OO20" s="1260"/>
      <c r="OP20" s="1260"/>
      <c r="OQ20" s="1260"/>
      <c r="OR20" s="1260"/>
      <c r="OS20" s="1260"/>
      <c r="OT20" s="1260"/>
      <c r="OU20" s="1260"/>
      <c r="OV20" s="1260"/>
      <c r="OW20" s="1260"/>
      <c r="OX20" s="1260"/>
      <c r="OY20" s="1260"/>
      <c r="OZ20" s="1260"/>
      <c r="PA20" s="1260"/>
      <c r="PB20" s="1260"/>
      <c r="PC20" s="1260"/>
      <c r="PD20" s="1260"/>
      <c r="PE20" s="1260"/>
      <c r="PF20" s="1260"/>
      <c r="PG20" s="1260"/>
      <c r="PH20" s="1260"/>
      <c r="PI20" s="1260"/>
      <c r="PJ20" s="1260"/>
      <c r="PK20" s="1260"/>
      <c r="PL20" s="1260"/>
      <c r="PM20" s="1260"/>
      <c r="PN20" s="1260"/>
      <c r="PO20" s="1260"/>
      <c r="PP20" s="1260"/>
      <c r="PQ20" s="1260"/>
      <c r="PR20" s="1260"/>
      <c r="PS20" s="1260"/>
      <c r="PT20" s="1260"/>
      <c r="PU20" s="1260"/>
      <c r="PV20" s="1260"/>
      <c r="PW20" s="1260"/>
      <c r="PX20" s="1260"/>
      <c r="PY20" s="1260"/>
      <c r="PZ20" s="1260"/>
      <c r="QA20" s="1260"/>
      <c r="QB20" s="1260"/>
      <c r="QC20" s="1260"/>
      <c r="QD20" s="1260"/>
      <c r="QE20" s="1260"/>
      <c r="QF20" s="1260"/>
      <c r="QG20" s="1260"/>
      <c r="QH20" s="1260"/>
      <c r="QI20" s="1260"/>
      <c r="QJ20" s="1260"/>
      <c r="QK20" s="1260"/>
      <c r="QL20" s="1260"/>
      <c r="QM20" s="1260"/>
      <c r="QN20" s="1260"/>
      <c r="QO20" s="1260"/>
      <c r="QP20" s="1260"/>
      <c r="QQ20" s="1260"/>
      <c r="QR20" s="1260"/>
      <c r="QS20" s="1260"/>
      <c r="QT20" s="1260"/>
      <c r="QU20" s="1260"/>
      <c r="QV20" s="1260"/>
      <c r="QW20" s="1260"/>
      <c r="QX20" s="1260"/>
      <c r="QY20" s="1260"/>
      <c r="QZ20" s="1260"/>
      <c r="RA20" s="1260"/>
      <c r="RB20" s="1260"/>
      <c r="RC20" s="1260"/>
      <c r="RD20" s="1260"/>
      <c r="RE20" s="1260"/>
      <c r="RF20" s="1260"/>
      <c r="RG20" s="1260"/>
      <c r="RH20" s="1260"/>
      <c r="RI20" s="1260"/>
      <c r="RJ20" s="1260"/>
      <c r="RK20" s="1260"/>
      <c r="RL20" s="1260"/>
      <c r="RM20" s="1260"/>
      <c r="RN20" s="1260"/>
      <c r="RO20" s="1260"/>
      <c r="RP20" s="1260"/>
      <c r="RQ20" s="1260"/>
      <c r="RR20" s="1260"/>
      <c r="RS20" s="1260"/>
      <c r="RT20" s="1260"/>
      <c r="RU20" s="1260"/>
      <c r="RV20" s="1260"/>
      <c r="RW20" s="1260"/>
      <c r="RX20" s="1260"/>
      <c r="RY20" s="1260"/>
      <c r="RZ20" s="1260"/>
      <c r="SA20" s="1260"/>
      <c r="SB20" s="1260"/>
      <c r="SC20" s="1260"/>
      <c r="SD20" s="1260"/>
      <c r="SE20" s="1260"/>
      <c r="SF20" s="1260"/>
      <c r="SG20" s="1260"/>
      <c r="SH20" s="1260"/>
      <c r="SI20" s="1260"/>
      <c r="SJ20" s="1260"/>
      <c r="SK20" s="1260"/>
      <c r="SL20" s="1260"/>
      <c r="SM20" s="1260"/>
      <c r="SN20" s="1260"/>
      <c r="SO20" s="1260"/>
      <c r="SP20" s="1260"/>
      <c r="SQ20" s="1260"/>
      <c r="SR20" s="1260"/>
      <c r="SS20" s="1260"/>
      <c r="ST20" s="1260"/>
      <c r="SU20" s="1260"/>
      <c r="SV20" s="1260"/>
      <c r="SW20" s="1260"/>
      <c r="SX20" s="1260"/>
      <c r="SY20" s="1260"/>
      <c r="SZ20" s="1260"/>
      <c r="TA20" s="1260"/>
      <c r="TB20" s="1260"/>
      <c r="TC20" s="1260"/>
      <c r="TD20" s="1260"/>
      <c r="TE20" s="1260"/>
      <c r="TF20" s="1260"/>
      <c r="TG20" s="1260"/>
      <c r="TH20" s="1260"/>
      <c r="TI20" s="1260"/>
      <c r="TJ20" s="1260"/>
      <c r="TK20" s="1260"/>
      <c r="TL20" s="1260"/>
      <c r="TM20" s="1260"/>
      <c r="TN20" s="1260"/>
      <c r="TO20" s="1260"/>
      <c r="TP20" s="1260"/>
      <c r="TQ20" s="1260"/>
      <c r="TR20" s="1260"/>
      <c r="TS20" s="1260"/>
      <c r="TT20" s="1260"/>
      <c r="TU20" s="1260"/>
      <c r="TV20" s="1260"/>
      <c r="TW20" s="1260"/>
      <c r="TX20" s="1260"/>
      <c r="TY20" s="1260"/>
      <c r="TZ20" s="1260"/>
      <c r="UA20" s="1260"/>
      <c r="UB20" s="1260"/>
      <c r="UC20" s="1260"/>
      <c r="UD20" s="1260"/>
      <c r="UE20" s="1260"/>
      <c r="UF20" s="1260"/>
      <c r="UG20" s="1260"/>
      <c r="UH20" s="1260"/>
      <c r="UI20" s="1260"/>
      <c r="UJ20" s="1260"/>
      <c r="UK20" s="1260"/>
      <c r="UL20" s="1260"/>
      <c r="UM20" s="1260"/>
      <c r="UN20" s="1260"/>
      <c r="UO20" s="1260"/>
      <c r="UP20" s="1260"/>
      <c r="UQ20" s="1260"/>
      <c r="UR20" s="1260"/>
      <c r="US20" s="1260"/>
      <c r="UT20" s="1260"/>
      <c r="UU20" s="1260"/>
      <c r="UV20" s="1260"/>
      <c r="UW20" s="1260"/>
      <c r="UX20" s="1260"/>
      <c r="UY20" s="1260"/>
      <c r="UZ20" s="1260"/>
      <c r="VA20" s="1260"/>
      <c r="VB20" s="1260"/>
      <c r="VC20" s="1260"/>
      <c r="VD20" s="1260"/>
      <c r="VE20" s="1260"/>
      <c r="VF20" s="1260"/>
      <c r="VG20" s="1260"/>
      <c r="VH20" s="1260"/>
      <c r="VI20" s="1260"/>
      <c r="VJ20" s="1260"/>
      <c r="VK20" s="1260"/>
      <c r="VL20" s="1260"/>
      <c r="VM20" s="1260"/>
      <c r="VN20" s="1260"/>
      <c r="VO20" s="1260"/>
      <c r="VP20" s="1260"/>
      <c r="VQ20" s="1260"/>
      <c r="VR20" s="1260"/>
      <c r="VS20" s="1260"/>
      <c r="VT20" s="1260"/>
      <c r="VU20" s="1260"/>
      <c r="VV20" s="1260"/>
      <c r="VW20" s="1260"/>
      <c r="VX20" s="1260"/>
      <c r="VY20" s="1260"/>
      <c r="VZ20" s="1260"/>
      <c r="WA20" s="1260"/>
      <c r="WB20" s="1260"/>
      <c r="WC20" s="1260"/>
      <c r="WD20" s="1260"/>
      <c r="WE20" s="1260"/>
      <c r="WF20" s="1260"/>
      <c r="WG20" s="1260"/>
      <c r="WH20" s="1260"/>
      <c r="WI20" s="1260"/>
      <c r="WJ20" s="1260"/>
      <c r="WK20" s="1260"/>
      <c r="WL20" s="1260"/>
      <c r="WM20" s="1260"/>
      <c r="WN20" s="1260"/>
      <c r="WO20" s="1260"/>
      <c r="WP20" s="1260"/>
      <c r="WQ20" s="1260"/>
      <c r="WR20" s="1260"/>
      <c r="WS20" s="1260"/>
      <c r="WT20" s="1260"/>
      <c r="WU20" s="1260"/>
      <c r="WV20" s="1260"/>
      <c r="WW20" s="1260"/>
      <c r="WX20" s="1260"/>
      <c r="WY20" s="1260"/>
      <c r="WZ20" s="1260"/>
      <c r="XA20" s="1260"/>
      <c r="XB20" s="1260"/>
      <c r="XC20" s="1260"/>
      <c r="XD20" s="1260"/>
      <c r="XE20" s="1260"/>
      <c r="XF20" s="1260"/>
      <c r="XG20" s="1260"/>
      <c r="XH20" s="1260"/>
      <c r="XI20" s="1260"/>
      <c r="XJ20" s="1260"/>
      <c r="XK20" s="1260"/>
      <c r="XL20" s="1260"/>
      <c r="XM20" s="1260"/>
      <c r="XN20" s="1260"/>
      <c r="XO20" s="1260"/>
      <c r="XP20" s="1260"/>
      <c r="XQ20" s="1260"/>
      <c r="XR20" s="1260"/>
      <c r="XS20" s="1260"/>
      <c r="XT20" s="1260"/>
      <c r="XU20" s="1260"/>
      <c r="XV20" s="1260"/>
      <c r="XW20" s="1260"/>
      <c r="XX20" s="1260"/>
      <c r="XY20" s="1260"/>
      <c r="XZ20" s="1260"/>
      <c r="YA20" s="1260"/>
      <c r="YB20" s="1260"/>
      <c r="YC20" s="1260"/>
      <c r="YD20" s="1260"/>
      <c r="YE20" s="1260"/>
      <c r="YF20" s="1260"/>
      <c r="YG20" s="1260"/>
      <c r="YH20" s="1260"/>
      <c r="YI20" s="1260"/>
      <c r="YJ20" s="1260"/>
      <c r="YK20" s="1260"/>
      <c r="YL20" s="1260"/>
      <c r="YM20" s="1260"/>
      <c r="YN20" s="1260"/>
      <c r="YO20" s="1260"/>
      <c r="YP20" s="1260"/>
      <c r="YQ20" s="1260"/>
      <c r="YR20" s="1260"/>
      <c r="YS20" s="1260"/>
      <c r="YT20" s="1260"/>
      <c r="YU20" s="1260"/>
      <c r="YV20" s="1260"/>
      <c r="YW20" s="1260"/>
      <c r="YX20" s="1260"/>
      <c r="YY20" s="1260"/>
      <c r="YZ20" s="1260"/>
      <c r="ZA20" s="1260"/>
      <c r="ZB20" s="1260"/>
      <c r="ZC20" s="1260"/>
      <c r="ZD20" s="1260"/>
      <c r="ZE20" s="1260"/>
      <c r="ZF20" s="1260"/>
      <c r="ZG20" s="1260"/>
      <c r="ZH20" s="1260"/>
      <c r="ZI20" s="1260"/>
      <c r="ZJ20" s="1260"/>
      <c r="ZK20" s="1260"/>
      <c r="ZL20" s="1260"/>
      <c r="ZM20" s="1260"/>
      <c r="ZN20" s="1260"/>
      <c r="ZO20" s="1260"/>
      <c r="ZP20" s="1260"/>
      <c r="ZQ20" s="1260"/>
      <c r="ZR20" s="1260"/>
      <c r="ZS20" s="1260"/>
      <c r="ZT20" s="1260"/>
      <c r="ZU20" s="1260"/>
      <c r="ZV20" s="1260"/>
      <c r="ZW20" s="1260"/>
      <c r="ZX20" s="1260"/>
      <c r="ZY20" s="1260"/>
      <c r="ZZ20" s="1260"/>
      <c r="AAA20" s="1260"/>
      <c r="AAB20" s="1260"/>
      <c r="AAC20" s="1260"/>
      <c r="AAD20" s="1260"/>
      <c r="AAE20" s="1260"/>
      <c r="AAF20" s="1260"/>
      <c r="AAG20" s="1260"/>
      <c r="AAH20" s="1260"/>
      <c r="AAI20" s="1260"/>
      <c r="AAJ20" s="1260"/>
      <c r="AAK20" s="1260"/>
      <c r="AAL20" s="1260"/>
      <c r="AAM20" s="1260"/>
      <c r="AAN20" s="1260"/>
      <c r="AAO20" s="1260"/>
      <c r="AAP20" s="1260"/>
      <c r="AAQ20" s="1260"/>
      <c r="AAR20" s="1260"/>
      <c r="AAS20" s="1260"/>
      <c r="AAT20" s="1260"/>
      <c r="AAU20" s="1260"/>
      <c r="AAV20" s="1260"/>
      <c r="AAW20" s="1260"/>
      <c r="AAX20" s="1260"/>
      <c r="AAY20" s="1260"/>
      <c r="AAZ20" s="1260"/>
      <c r="ABA20" s="1260"/>
      <c r="ABB20" s="1260"/>
      <c r="ABC20" s="1260"/>
      <c r="ABD20" s="1260"/>
      <c r="ABE20" s="1260"/>
      <c r="ABF20" s="1260"/>
      <c r="ABG20" s="1260"/>
      <c r="ABH20" s="1260"/>
      <c r="ABI20" s="1260"/>
      <c r="ABJ20" s="1260"/>
      <c r="ABK20" s="1260"/>
      <c r="ABL20" s="1260"/>
      <c r="ABM20" s="1260"/>
      <c r="ABN20" s="1260"/>
      <c r="ABO20" s="1260"/>
      <c r="ABP20" s="1260"/>
      <c r="ABQ20" s="1260"/>
      <c r="ABR20" s="1260"/>
      <c r="ABS20" s="1260"/>
      <c r="ABT20" s="1260"/>
      <c r="ABU20" s="1260"/>
      <c r="ABV20" s="1260"/>
      <c r="ABW20" s="1260"/>
      <c r="ABX20" s="1260"/>
      <c r="ABY20" s="1260"/>
      <c r="ABZ20" s="1260"/>
      <c r="ACA20" s="1260"/>
      <c r="ACB20" s="1260"/>
      <c r="ACC20" s="1260"/>
      <c r="ACD20" s="1260"/>
      <c r="ACE20" s="1260"/>
      <c r="ACF20" s="1260"/>
      <c r="ACG20" s="1260"/>
      <c r="ACH20" s="1260"/>
      <c r="ACI20" s="1260"/>
      <c r="ACJ20" s="1260"/>
      <c r="ACK20" s="1260"/>
      <c r="ACL20" s="1260"/>
      <c r="ACM20" s="1260"/>
      <c r="ACN20" s="1260"/>
      <c r="ACO20" s="1260"/>
      <c r="ACP20" s="1260"/>
      <c r="ACQ20" s="1260"/>
      <c r="ACR20" s="1260"/>
      <c r="ACS20" s="1260"/>
      <c r="ACT20" s="1260"/>
      <c r="ACU20" s="1260"/>
      <c r="ACV20" s="1260"/>
      <c r="ACW20" s="1260"/>
      <c r="ACX20" s="1260"/>
      <c r="ACY20" s="1260"/>
      <c r="ACZ20" s="1260"/>
      <c r="ADA20" s="1260"/>
      <c r="ADB20" s="1260"/>
      <c r="ADC20" s="1260"/>
      <c r="ADD20" s="1260"/>
      <c r="ADE20" s="1260"/>
      <c r="ADF20" s="1260"/>
      <c r="ADG20" s="1260"/>
      <c r="ADH20" s="1260"/>
      <c r="ADI20" s="1260"/>
      <c r="ADJ20" s="1260"/>
      <c r="ADK20" s="1260"/>
      <c r="ADL20" s="1260"/>
      <c r="ADM20" s="1260"/>
      <c r="ADN20" s="1260"/>
      <c r="ADO20" s="1260"/>
      <c r="ADP20" s="1260"/>
      <c r="ADQ20" s="1260"/>
      <c r="ADR20" s="1260"/>
      <c r="ADS20" s="1260"/>
      <c r="ADT20" s="1260"/>
      <c r="ADU20" s="1260"/>
      <c r="ADV20" s="1260"/>
      <c r="ADW20" s="1260"/>
      <c r="ADX20" s="1260"/>
      <c r="ADY20" s="1260"/>
      <c r="ADZ20" s="1260"/>
      <c r="AEA20" s="1260"/>
      <c r="AEB20" s="1260"/>
      <c r="AEC20" s="1260"/>
      <c r="AED20" s="1260"/>
      <c r="AEE20" s="1260"/>
      <c r="AEF20" s="1260"/>
      <c r="AEG20" s="1260"/>
      <c r="AEH20" s="1260"/>
      <c r="AEI20" s="1260"/>
      <c r="AEJ20" s="1260"/>
      <c r="AEK20" s="1260"/>
      <c r="AEL20" s="1260"/>
      <c r="AEM20" s="1260"/>
      <c r="AEN20" s="1260"/>
      <c r="AEO20" s="1260"/>
      <c r="AEP20" s="1260"/>
      <c r="AEQ20" s="1260"/>
      <c r="AER20" s="1260"/>
      <c r="AES20" s="1260"/>
      <c r="AET20" s="1260"/>
      <c r="AEU20" s="1260"/>
      <c r="AEV20" s="1260"/>
      <c r="AEW20" s="1260"/>
      <c r="AEX20" s="1260"/>
      <c r="AEY20" s="1260"/>
      <c r="AEZ20" s="1260"/>
      <c r="AFA20" s="1260"/>
      <c r="AFB20" s="1260"/>
      <c r="AFC20" s="1260"/>
      <c r="AFD20" s="1260"/>
      <c r="AFE20" s="1260"/>
      <c r="AFF20" s="1260"/>
      <c r="AFG20" s="1260"/>
      <c r="AFH20" s="1260"/>
      <c r="AFI20" s="1260"/>
      <c r="AFJ20" s="1260"/>
      <c r="AFK20" s="1260"/>
      <c r="AFL20" s="1260"/>
      <c r="AFM20" s="1260"/>
      <c r="AFN20" s="1260"/>
      <c r="AFO20" s="1260"/>
      <c r="AFP20" s="1260"/>
      <c r="AFQ20" s="1260"/>
      <c r="AFR20" s="1260"/>
      <c r="AFS20" s="1260"/>
      <c r="AFT20" s="1260"/>
      <c r="AFU20" s="1260"/>
      <c r="AFV20" s="1260"/>
      <c r="AFW20" s="1260"/>
      <c r="AFX20" s="1260"/>
      <c r="AFY20" s="1260"/>
      <c r="AFZ20" s="1260"/>
      <c r="AGA20" s="1260"/>
      <c r="AGB20" s="1260"/>
      <c r="AGC20" s="1260"/>
      <c r="AGD20" s="1260"/>
      <c r="AGE20" s="1260"/>
      <c r="AGF20" s="1260"/>
      <c r="AGG20" s="1260"/>
      <c r="AGH20" s="1260"/>
      <c r="AGI20" s="1260"/>
      <c r="AGJ20" s="1260"/>
      <c r="AGK20" s="1260"/>
      <c r="AGL20" s="1260"/>
      <c r="AGM20" s="1260"/>
      <c r="AGN20" s="1260"/>
      <c r="AGO20" s="1260"/>
      <c r="AGP20" s="1260"/>
      <c r="AGQ20" s="1260"/>
      <c r="AGR20" s="1260"/>
      <c r="AGS20" s="1260"/>
      <c r="AGT20" s="1260"/>
      <c r="AGU20" s="1260"/>
      <c r="AGV20" s="1260"/>
      <c r="AGW20" s="1260"/>
      <c r="AGX20" s="1260"/>
      <c r="AGY20" s="1260"/>
      <c r="AGZ20" s="1260"/>
      <c r="AHA20" s="1260"/>
      <c r="AHB20" s="1260"/>
      <c r="AHC20" s="1260"/>
      <c r="AHD20" s="1260"/>
      <c r="AHE20" s="1260"/>
      <c r="AHF20" s="1260"/>
      <c r="AHG20" s="1260"/>
      <c r="AHH20" s="1260"/>
      <c r="AHI20" s="1260"/>
      <c r="AHJ20" s="1260"/>
      <c r="AHK20" s="1260"/>
      <c r="AHL20" s="1260"/>
      <c r="AHM20" s="1260"/>
      <c r="AHN20" s="1260"/>
      <c r="AHO20" s="1260"/>
      <c r="AHP20" s="1260"/>
      <c r="AHQ20" s="1260"/>
      <c r="AHR20" s="1260"/>
      <c r="AHS20" s="1260"/>
      <c r="AHT20" s="1260"/>
      <c r="AHU20" s="1260"/>
      <c r="AHV20" s="1260"/>
      <c r="AHW20" s="1260"/>
      <c r="AHX20" s="1260"/>
      <c r="AHY20" s="1260"/>
      <c r="AHZ20" s="1260"/>
      <c r="AIA20" s="1260"/>
      <c r="AIB20" s="1260"/>
      <c r="AIC20" s="1260"/>
      <c r="AID20" s="1260"/>
      <c r="AIE20" s="1260"/>
      <c r="AIF20" s="1260"/>
      <c r="AIG20" s="1260"/>
      <c r="AIH20" s="1260"/>
      <c r="AII20" s="1260"/>
      <c r="AIJ20" s="1260"/>
      <c r="AIK20" s="1260"/>
      <c r="AIL20" s="1260"/>
      <c r="AIM20" s="1260"/>
      <c r="AIN20" s="1260"/>
      <c r="AIO20" s="1260"/>
      <c r="AIP20" s="1260"/>
      <c r="AIQ20" s="1260"/>
      <c r="AIR20" s="1260"/>
      <c r="AIS20" s="1260"/>
      <c r="AIT20" s="1260"/>
      <c r="AIU20" s="1260"/>
      <c r="AIV20" s="1260"/>
      <c r="AIW20" s="1260"/>
      <c r="AIX20" s="1260"/>
      <c r="AIY20" s="1260"/>
      <c r="AIZ20" s="1260"/>
      <c r="AJA20" s="1260"/>
      <c r="AJB20" s="1260"/>
      <c r="AJC20" s="1260"/>
      <c r="AJD20" s="1260"/>
      <c r="AJE20" s="1260"/>
      <c r="AJF20" s="1260"/>
      <c r="AJG20" s="1260"/>
      <c r="AJH20" s="1260"/>
      <c r="AJI20" s="1260"/>
      <c r="AJJ20" s="1260"/>
      <c r="AJK20" s="1260"/>
      <c r="AJL20" s="1260"/>
      <c r="AJM20" s="1260"/>
      <c r="AJN20" s="1260"/>
      <c r="AJO20" s="1260"/>
      <c r="AJP20" s="1260"/>
      <c r="AJQ20" s="1260"/>
      <c r="AJR20" s="1260"/>
      <c r="AJS20" s="1260"/>
      <c r="AJT20" s="1260"/>
      <c r="AJU20" s="1260"/>
      <c r="AJV20" s="1260"/>
      <c r="AJW20" s="1260"/>
      <c r="AJX20" s="1260"/>
      <c r="AJY20" s="1260"/>
      <c r="AJZ20" s="1260"/>
      <c r="AKA20" s="1260"/>
      <c r="AKB20" s="1260"/>
      <c r="AKC20" s="1260"/>
      <c r="AKD20" s="1260"/>
      <c r="AKE20" s="1260"/>
      <c r="AKF20" s="1260"/>
      <c r="AKG20" s="1260"/>
      <c r="AKH20" s="1260"/>
      <c r="AKI20" s="1260"/>
      <c r="AKJ20" s="1260"/>
      <c r="AKK20" s="1260"/>
      <c r="AKL20" s="1260"/>
      <c r="AKM20" s="1260"/>
      <c r="AKN20" s="1260"/>
      <c r="AKO20" s="1260"/>
      <c r="AKP20" s="1260"/>
      <c r="AKQ20" s="1260"/>
      <c r="AKR20" s="1260"/>
      <c r="AKS20" s="1260"/>
      <c r="AKT20" s="1260"/>
      <c r="AKU20" s="1260"/>
      <c r="AKV20" s="1260"/>
      <c r="AKW20" s="1260"/>
      <c r="AKX20" s="1260"/>
      <c r="AKY20" s="1260"/>
      <c r="AKZ20" s="1260"/>
      <c r="ALA20" s="1260"/>
      <c r="ALB20" s="1260"/>
      <c r="ALC20" s="1260"/>
      <c r="ALD20" s="1260"/>
      <c r="ALE20" s="1260"/>
      <c r="ALF20" s="1260"/>
      <c r="ALG20" s="1260"/>
      <c r="ALH20" s="1260"/>
      <c r="ALI20" s="1260"/>
      <c r="ALJ20" s="1260"/>
      <c r="ALK20" s="1260"/>
      <c r="ALL20" s="1260"/>
      <c r="ALM20" s="1260"/>
      <c r="ALN20" s="1260"/>
      <c r="ALO20" s="1260"/>
      <c r="ALP20" s="1260"/>
      <c r="ALQ20" s="1260"/>
      <c r="ALR20" s="1260"/>
      <c r="ALS20" s="1260"/>
      <c r="ALT20" s="1260"/>
      <c r="ALU20" s="1260"/>
      <c r="ALV20" s="1260"/>
      <c r="ALW20" s="1260"/>
      <c r="ALX20" s="1260"/>
      <c r="ALY20" s="1260"/>
      <c r="ALZ20" s="1260"/>
      <c r="AMA20" s="1260"/>
      <c r="AMB20" s="1260"/>
      <c r="AMC20" s="1260"/>
      <c r="AMD20" s="1260"/>
      <c r="AME20" s="1260"/>
      <c r="AMF20" s="1260"/>
      <c r="AMG20" s="1260"/>
      <c r="AMH20" s="1260"/>
      <c r="AMI20" s="1260"/>
      <c r="AMJ20" s="1260"/>
      <c r="AMK20" s="1260"/>
      <c r="AML20" s="1260"/>
      <c r="AMM20" s="1260"/>
      <c r="AMN20" s="1260"/>
      <c r="AMO20" s="1260"/>
      <c r="AMP20" s="1260"/>
      <c r="AMQ20" s="1260"/>
      <c r="AMR20" s="1260"/>
      <c r="AMS20" s="1260"/>
      <c r="AMT20" s="1260"/>
      <c r="AMU20" s="1260"/>
      <c r="AMV20" s="1260"/>
      <c r="AMW20" s="1260"/>
      <c r="AMX20" s="1260"/>
      <c r="AMY20" s="1260"/>
      <c r="AMZ20" s="1260"/>
      <c r="ANA20" s="1260"/>
      <c r="ANB20" s="1260"/>
      <c r="ANC20" s="1260"/>
      <c r="AND20" s="1260"/>
      <c r="ANE20" s="1260"/>
      <c r="ANF20" s="1260"/>
      <c r="ANG20" s="1260"/>
      <c r="ANH20" s="1260"/>
      <c r="ANI20" s="1260"/>
      <c r="ANJ20" s="1260"/>
      <c r="ANK20" s="1260"/>
      <c r="ANL20" s="1260"/>
      <c r="ANM20" s="1260"/>
      <c r="ANN20" s="1260"/>
      <c r="ANO20" s="1260"/>
      <c r="ANP20" s="1260"/>
      <c r="ANQ20" s="1260"/>
      <c r="ANR20" s="1260"/>
      <c r="ANS20" s="1260"/>
      <c r="ANT20" s="1260"/>
      <c r="ANU20" s="1260"/>
      <c r="ANV20" s="1260"/>
      <c r="ANW20" s="1260"/>
      <c r="ANX20" s="1260"/>
      <c r="ANY20" s="1260"/>
      <c r="ANZ20" s="1260"/>
      <c r="AOA20" s="1260"/>
      <c r="AOB20" s="1260"/>
      <c r="AOC20" s="1260"/>
      <c r="AOD20" s="1260"/>
      <c r="AOE20" s="1260"/>
      <c r="AOF20" s="1260"/>
      <c r="AOG20" s="1260"/>
      <c r="AOH20" s="1260"/>
      <c r="AOI20" s="1260"/>
      <c r="AOJ20" s="1260"/>
      <c r="AOK20" s="1260"/>
      <c r="AOL20" s="1260"/>
      <c r="AOM20" s="1260"/>
      <c r="AON20" s="1260"/>
      <c r="AOO20" s="1260"/>
      <c r="AOP20" s="1260"/>
      <c r="AOQ20" s="1260"/>
      <c r="AOR20" s="1260"/>
      <c r="AOS20" s="1260"/>
      <c r="AOT20" s="1260"/>
      <c r="AOU20" s="1260"/>
      <c r="AOV20" s="1260"/>
      <c r="AOW20" s="1260"/>
      <c r="AOX20" s="1260"/>
      <c r="AOY20" s="1260"/>
      <c r="AOZ20" s="1260"/>
      <c r="APA20" s="1260"/>
      <c r="APB20" s="1260"/>
      <c r="APC20" s="1260"/>
      <c r="APD20" s="1260"/>
      <c r="APE20" s="1260"/>
      <c r="APF20" s="1260"/>
      <c r="APG20" s="1260"/>
      <c r="APH20" s="1260"/>
      <c r="API20" s="1260"/>
      <c r="APJ20" s="1260"/>
      <c r="APK20" s="1260"/>
      <c r="APL20" s="1260"/>
      <c r="APM20" s="1260"/>
      <c r="APN20" s="1260"/>
      <c r="APO20" s="1260"/>
      <c r="APP20" s="1260"/>
      <c r="APQ20" s="1260"/>
      <c r="APR20" s="1260"/>
      <c r="APS20" s="1260"/>
      <c r="APT20" s="1260"/>
      <c r="APU20" s="1260"/>
      <c r="APV20" s="1260"/>
      <c r="APW20" s="1260"/>
      <c r="APX20" s="1260"/>
      <c r="APY20" s="1260"/>
      <c r="APZ20" s="1260"/>
      <c r="AQA20" s="1260"/>
      <c r="AQB20" s="1260"/>
      <c r="AQC20" s="1260"/>
      <c r="AQD20" s="1260"/>
      <c r="AQE20" s="1260"/>
      <c r="AQF20" s="1260"/>
      <c r="AQG20" s="1260"/>
      <c r="AQH20" s="1260"/>
      <c r="AQI20" s="1260"/>
      <c r="AQJ20" s="1260"/>
      <c r="AQK20" s="1260"/>
      <c r="AQL20" s="1260"/>
      <c r="AQM20" s="1260"/>
      <c r="AQN20" s="1260"/>
      <c r="AQO20" s="1260"/>
      <c r="AQP20" s="1260"/>
      <c r="AQQ20" s="1260"/>
      <c r="AQR20" s="1260"/>
      <c r="AQS20" s="1260"/>
      <c r="AQT20" s="1260"/>
      <c r="AQU20" s="1260"/>
      <c r="AQV20" s="1260"/>
      <c r="AQW20" s="1260"/>
      <c r="AQX20" s="1260"/>
      <c r="AQY20" s="1260"/>
      <c r="AQZ20" s="1260"/>
      <c r="ARA20" s="1260"/>
      <c r="ARB20" s="1260"/>
      <c r="ARC20" s="1260"/>
      <c r="ARD20" s="1260"/>
      <c r="ARE20" s="1260"/>
      <c r="ARF20" s="1260"/>
      <c r="ARG20" s="1260"/>
      <c r="ARH20" s="1260"/>
      <c r="ARI20" s="1260"/>
      <c r="ARJ20" s="1260"/>
      <c r="ARK20" s="1260"/>
      <c r="ARL20" s="1260"/>
      <c r="ARM20" s="1260"/>
      <c r="ARN20" s="1260"/>
      <c r="ARO20" s="1260"/>
      <c r="ARP20" s="1260"/>
      <c r="ARQ20" s="1260"/>
      <c r="ARR20" s="1260"/>
      <c r="ARS20" s="1260"/>
      <c r="ART20" s="1260"/>
      <c r="ARU20" s="1260"/>
      <c r="ARV20" s="1260"/>
      <c r="ARW20" s="1260"/>
      <c r="ARX20" s="1260"/>
      <c r="ARY20" s="1260"/>
      <c r="ARZ20" s="1260"/>
      <c r="ASA20" s="1260"/>
      <c r="ASB20" s="1260"/>
      <c r="ASC20" s="1260"/>
      <c r="ASD20" s="1260"/>
      <c r="ASE20" s="1260"/>
      <c r="ASF20" s="1260"/>
      <c r="ASG20" s="1260"/>
      <c r="ASH20" s="1260"/>
      <c r="ASI20" s="1260"/>
      <c r="ASJ20" s="1260"/>
      <c r="ASK20" s="1260"/>
      <c r="ASL20" s="1260"/>
      <c r="ASM20" s="1260"/>
      <c r="ASN20" s="1260"/>
      <c r="ASO20" s="1260"/>
      <c r="ASP20" s="1260"/>
      <c r="ASQ20" s="1260"/>
      <c r="ASR20" s="1260"/>
      <c r="ASS20" s="1260"/>
      <c r="AST20" s="1260"/>
      <c r="ASU20" s="1260"/>
      <c r="ASV20" s="1260"/>
      <c r="ASW20" s="1260"/>
      <c r="ASX20" s="1260"/>
      <c r="ASY20" s="1260"/>
      <c r="ASZ20" s="1260"/>
      <c r="ATA20" s="1260"/>
      <c r="ATB20" s="1260"/>
      <c r="ATC20" s="1260"/>
      <c r="ATD20" s="1260"/>
      <c r="ATE20" s="1260"/>
      <c r="ATF20" s="1260"/>
      <c r="ATG20" s="1260"/>
      <c r="ATH20" s="1260"/>
      <c r="ATI20" s="1260"/>
      <c r="ATJ20" s="1260"/>
      <c r="ATK20" s="1260"/>
      <c r="ATL20" s="1260"/>
      <c r="ATM20" s="1260"/>
      <c r="ATN20" s="1260"/>
      <c r="ATO20" s="1260"/>
      <c r="ATP20" s="1260"/>
      <c r="ATQ20" s="1260"/>
      <c r="ATR20" s="1260"/>
      <c r="ATS20" s="1260"/>
      <c r="ATT20" s="1260"/>
      <c r="ATU20" s="1260"/>
      <c r="ATV20" s="1260"/>
      <c r="ATW20" s="1260"/>
      <c r="ATX20" s="1260"/>
      <c r="ATY20" s="1260"/>
      <c r="ATZ20" s="1260"/>
      <c r="AUA20" s="1260"/>
      <c r="AUB20" s="1260"/>
      <c r="AUC20" s="1260"/>
      <c r="AUD20" s="1260"/>
      <c r="AUE20" s="1260"/>
      <c r="AUF20" s="1260"/>
      <c r="AUG20" s="1260"/>
      <c r="AUH20" s="1260"/>
      <c r="AUI20" s="1260"/>
      <c r="AUJ20" s="1260"/>
      <c r="AUK20" s="1260"/>
      <c r="AUL20" s="1260"/>
      <c r="AUM20" s="1260"/>
      <c r="AUN20" s="1260"/>
      <c r="AUO20" s="1260"/>
      <c r="AUP20" s="1260"/>
      <c r="AUQ20" s="1260"/>
      <c r="AUR20" s="1260"/>
      <c r="AUS20" s="1260"/>
      <c r="AUT20" s="1260"/>
      <c r="AUU20" s="1260"/>
      <c r="AUV20" s="1260"/>
      <c r="AUW20" s="1260"/>
      <c r="AUX20" s="1260"/>
      <c r="AUY20" s="1260"/>
      <c r="AUZ20" s="1260"/>
      <c r="AVA20" s="1260"/>
      <c r="AVB20" s="1260"/>
      <c r="AVC20" s="1260"/>
      <c r="AVD20" s="1260"/>
      <c r="AVE20" s="1260"/>
      <c r="AVF20" s="1260"/>
      <c r="AVG20" s="1260"/>
      <c r="AVH20" s="1260"/>
      <c r="AVI20" s="1260"/>
      <c r="AVJ20" s="1260"/>
      <c r="AVK20" s="1260"/>
      <c r="AVL20" s="1260"/>
      <c r="AVM20" s="1260"/>
      <c r="AVN20" s="1260"/>
      <c r="AVO20" s="1260"/>
      <c r="AVP20" s="1260"/>
      <c r="AVQ20" s="1260"/>
      <c r="AVR20" s="1260"/>
      <c r="AVS20" s="1260"/>
      <c r="AVT20" s="1260"/>
      <c r="AVU20" s="1260"/>
      <c r="AVV20" s="1260"/>
      <c r="AVW20" s="1260"/>
      <c r="AVX20" s="1260"/>
      <c r="AVY20" s="1260"/>
      <c r="AVZ20" s="1260"/>
      <c r="AWA20" s="1260"/>
      <c r="AWB20" s="1260"/>
      <c r="AWC20" s="1260"/>
      <c r="AWD20" s="1260"/>
      <c r="AWE20" s="1260"/>
      <c r="AWF20" s="1260"/>
      <c r="AWG20" s="1260"/>
      <c r="AWH20" s="1260"/>
      <c r="AWI20" s="1260"/>
      <c r="AWJ20" s="1260"/>
      <c r="AWK20" s="1260"/>
      <c r="AWL20" s="1260"/>
      <c r="AWM20" s="1260"/>
      <c r="AWN20" s="1260"/>
      <c r="AWO20" s="1260"/>
      <c r="AWP20" s="1260"/>
      <c r="AWQ20" s="1260"/>
      <c r="AWR20" s="1260"/>
      <c r="AWS20" s="1260"/>
      <c r="AWT20" s="1260"/>
      <c r="AWU20" s="1260"/>
      <c r="AWV20" s="1260"/>
      <c r="AWW20" s="1260"/>
      <c r="AWX20" s="1260"/>
      <c r="AWY20" s="1260"/>
      <c r="AWZ20" s="1260"/>
      <c r="AXA20" s="1260"/>
      <c r="AXB20" s="1260"/>
      <c r="AXC20" s="1260"/>
      <c r="AXD20" s="1260"/>
      <c r="AXE20" s="1260"/>
      <c r="AXF20" s="1260"/>
      <c r="AXG20" s="1260"/>
      <c r="AXH20" s="1260"/>
      <c r="AXI20" s="1260"/>
      <c r="AXJ20" s="1260"/>
      <c r="AXK20" s="1260"/>
      <c r="AXL20" s="1260"/>
      <c r="AXM20" s="1260"/>
      <c r="AXN20" s="1260"/>
      <c r="AXO20" s="1260"/>
      <c r="AXP20" s="1260"/>
      <c r="AXQ20" s="1260"/>
      <c r="AXR20" s="1260"/>
      <c r="AXS20" s="1260"/>
      <c r="AXT20" s="1260"/>
      <c r="AXU20" s="1260"/>
      <c r="AXV20" s="1260"/>
      <c r="AXW20" s="1260"/>
      <c r="AXX20" s="1260"/>
      <c r="AXY20" s="1260"/>
      <c r="AXZ20" s="1260"/>
      <c r="AYA20" s="1260"/>
      <c r="AYB20" s="1260"/>
      <c r="AYC20" s="1260"/>
      <c r="AYD20" s="1260"/>
      <c r="AYE20" s="1260"/>
      <c r="AYF20" s="1260"/>
      <c r="AYG20" s="1260"/>
      <c r="AYH20" s="1260"/>
      <c r="AYI20" s="1260"/>
      <c r="AYJ20" s="1260"/>
      <c r="AYK20" s="1260"/>
      <c r="AYL20" s="1260"/>
      <c r="AYM20" s="1260"/>
      <c r="AYN20" s="1260"/>
      <c r="AYO20" s="1260"/>
      <c r="AYP20" s="1260"/>
      <c r="AYQ20" s="1260"/>
      <c r="AYR20" s="1260"/>
      <c r="AYS20" s="1260"/>
      <c r="AYT20" s="1260"/>
      <c r="AYU20" s="1260"/>
      <c r="AYV20" s="1260"/>
      <c r="AYW20" s="1260"/>
      <c r="AYX20" s="1260"/>
      <c r="AYY20" s="1260"/>
      <c r="AYZ20" s="1260"/>
      <c r="AZA20" s="1260"/>
      <c r="AZB20" s="1260"/>
      <c r="AZC20" s="1260"/>
      <c r="AZD20" s="1260"/>
      <c r="AZE20" s="1260"/>
      <c r="AZF20" s="1260"/>
      <c r="AZG20" s="1260"/>
      <c r="AZH20" s="1260"/>
      <c r="AZI20" s="1260"/>
      <c r="AZJ20" s="1260"/>
      <c r="AZK20" s="1260"/>
      <c r="AZL20" s="1260"/>
      <c r="AZM20" s="1260"/>
      <c r="AZN20" s="1260"/>
      <c r="AZO20" s="1260"/>
      <c r="AZP20" s="1260"/>
      <c r="AZQ20" s="1260"/>
      <c r="AZR20" s="1260"/>
      <c r="AZS20" s="1260"/>
      <c r="AZT20" s="1260"/>
      <c r="AZU20" s="1260"/>
      <c r="AZV20" s="1260"/>
      <c r="AZW20" s="1260"/>
      <c r="AZX20" s="1260"/>
      <c r="AZY20" s="1260"/>
      <c r="AZZ20" s="1260"/>
      <c r="BAA20" s="1260"/>
      <c r="BAB20" s="1260"/>
      <c r="BAC20" s="1260"/>
      <c r="BAD20" s="1260"/>
      <c r="BAE20" s="1260"/>
      <c r="BAF20" s="1260"/>
      <c r="BAG20" s="1260"/>
      <c r="BAH20" s="1260"/>
      <c r="BAI20" s="1260"/>
      <c r="BAJ20" s="1260"/>
      <c r="BAK20" s="1260"/>
      <c r="BAL20" s="1260"/>
      <c r="BAM20" s="1260"/>
      <c r="BAN20" s="1260"/>
      <c r="BAO20" s="1260"/>
      <c r="BAP20" s="1260"/>
      <c r="BAQ20" s="1260"/>
      <c r="BAR20" s="1260"/>
      <c r="BAS20" s="1260"/>
      <c r="BAT20" s="1260"/>
      <c r="BAU20" s="1260"/>
      <c r="BAV20" s="1260"/>
      <c r="BAW20" s="1260"/>
      <c r="BAX20" s="1260"/>
      <c r="BAY20" s="1260"/>
      <c r="BAZ20" s="1260"/>
      <c r="BBA20" s="1260"/>
      <c r="BBB20" s="1260"/>
      <c r="BBC20" s="1260"/>
      <c r="BBD20" s="1260"/>
      <c r="BBE20" s="1260"/>
      <c r="BBF20" s="1260"/>
      <c r="BBG20" s="1260"/>
      <c r="BBH20" s="1260"/>
      <c r="BBI20" s="1260"/>
      <c r="BBJ20" s="1260"/>
      <c r="BBK20" s="1260"/>
      <c r="BBL20" s="1260"/>
      <c r="BBM20" s="1260"/>
      <c r="BBN20" s="1260"/>
      <c r="BBO20" s="1260"/>
      <c r="BBP20" s="1260"/>
      <c r="BBQ20" s="1260"/>
      <c r="BBR20" s="1260"/>
      <c r="BBS20" s="1260"/>
      <c r="BBT20" s="1260"/>
      <c r="BBU20" s="1260"/>
      <c r="BBV20" s="1260"/>
      <c r="BBW20" s="1260"/>
      <c r="BBX20" s="1260"/>
      <c r="BBY20" s="1260"/>
      <c r="BBZ20" s="1260"/>
      <c r="BCA20" s="1260"/>
      <c r="BCB20" s="1260"/>
      <c r="BCC20" s="1260"/>
      <c r="BCD20" s="1260"/>
      <c r="BCE20" s="1260"/>
      <c r="BCF20" s="1260"/>
      <c r="BCG20" s="1260"/>
      <c r="BCH20" s="1260"/>
      <c r="BCI20" s="1260"/>
      <c r="BCJ20" s="1260"/>
      <c r="BCK20" s="1260"/>
      <c r="BCL20" s="1260"/>
      <c r="BCM20" s="1260"/>
      <c r="BCN20" s="1260"/>
      <c r="BCO20" s="1260"/>
      <c r="BCP20" s="1260"/>
      <c r="BCQ20" s="1260"/>
      <c r="BCR20" s="1260"/>
      <c r="BCS20" s="1260"/>
      <c r="BCT20" s="1260"/>
      <c r="BCU20" s="1260"/>
      <c r="BCV20" s="1260"/>
      <c r="BCW20" s="1260"/>
      <c r="BCX20" s="1260"/>
      <c r="BCY20" s="1260"/>
      <c r="BCZ20" s="1260"/>
      <c r="BDA20" s="1260"/>
      <c r="BDB20" s="1260"/>
      <c r="BDC20" s="1260"/>
      <c r="BDD20" s="1260"/>
      <c r="BDE20" s="1260"/>
      <c r="BDF20" s="1260"/>
      <c r="BDG20" s="1260"/>
      <c r="BDH20" s="1260"/>
      <c r="BDI20" s="1260"/>
      <c r="BDJ20" s="1260"/>
      <c r="BDK20" s="1260"/>
      <c r="BDL20" s="1260"/>
      <c r="BDM20" s="1260"/>
      <c r="BDN20" s="1260"/>
      <c r="BDO20" s="1260"/>
      <c r="BDP20" s="1260"/>
      <c r="BDQ20" s="1260"/>
      <c r="BDR20" s="1260"/>
      <c r="BDS20" s="1260"/>
      <c r="BDT20" s="1260"/>
      <c r="BDU20" s="1260"/>
      <c r="BDV20" s="1260"/>
      <c r="BDW20" s="1260"/>
      <c r="BDX20" s="1260"/>
      <c r="BDY20" s="1260"/>
      <c r="BDZ20" s="1260"/>
      <c r="BEA20" s="1260"/>
      <c r="BEB20" s="1260"/>
      <c r="BEC20" s="1260"/>
      <c r="BED20" s="1260"/>
      <c r="BEE20" s="1260"/>
      <c r="BEF20" s="1260"/>
      <c r="BEG20" s="1260"/>
      <c r="BEH20" s="1260"/>
      <c r="BEI20" s="1260"/>
      <c r="BEJ20" s="1260"/>
      <c r="BEK20" s="1260"/>
      <c r="BEL20" s="1260"/>
      <c r="BEM20" s="1260"/>
      <c r="BEN20" s="1260"/>
      <c r="BEO20" s="1260"/>
      <c r="BEP20" s="1260"/>
      <c r="BEQ20" s="1260"/>
      <c r="BER20" s="1260"/>
      <c r="BES20" s="1260"/>
      <c r="BET20" s="1260"/>
      <c r="BEU20" s="1260"/>
      <c r="BEV20" s="1260"/>
      <c r="BEW20" s="1260"/>
      <c r="BEX20" s="1260"/>
      <c r="BEY20" s="1260"/>
      <c r="BEZ20" s="1260"/>
      <c r="BFA20" s="1260"/>
      <c r="BFB20" s="1260"/>
      <c r="BFC20" s="1260"/>
      <c r="BFD20" s="1260"/>
      <c r="BFE20" s="1260"/>
      <c r="BFF20" s="1260"/>
      <c r="BFG20" s="1260"/>
      <c r="BFH20" s="1260"/>
      <c r="BFI20" s="1260"/>
      <c r="BFJ20" s="1260"/>
      <c r="BFK20" s="1260"/>
      <c r="BFL20" s="1260"/>
      <c r="BFM20" s="1260"/>
      <c r="BFN20" s="1260"/>
      <c r="BFO20" s="1260"/>
      <c r="BFP20" s="1260"/>
      <c r="BFQ20" s="1260"/>
      <c r="BFR20" s="1260"/>
      <c r="BFS20" s="1260"/>
      <c r="BFT20" s="1260"/>
      <c r="BFU20" s="1260"/>
      <c r="BFV20" s="1260"/>
      <c r="BFW20" s="1260"/>
      <c r="BFX20" s="1260"/>
      <c r="BFY20" s="1260"/>
      <c r="BFZ20" s="1260"/>
      <c r="BGA20" s="1260"/>
      <c r="BGB20" s="1260"/>
      <c r="BGC20" s="1260"/>
      <c r="BGD20" s="1260"/>
      <c r="BGE20" s="1260"/>
      <c r="BGF20" s="1260"/>
      <c r="BGG20" s="1260"/>
      <c r="BGH20" s="1260"/>
      <c r="BGI20" s="1260"/>
      <c r="BGJ20" s="1260"/>
      <c r="BGK20" s="1260"/>
      <c r="BGL20" s="1260"/>
      <c r="BGM20" s="1260"/>
      <c r="BGN20" s="1260"/>
      <c r="BGO20" s="1260"/>
      <c r="BGP20" s="1260"/>
      <c r="BGQ20" s="1260"/>
      <c r="BGR20" s="1260"/>
      <c r="BGS20" s="1260"/>
      <c r="BGT20" s="1260"/>
      <c r="BGU20" s="1260"/>
      <c r="BGV20" s="1260"/>
      <c r="BGW20" s="1260"/>
      <c r="BGX20" s="1260"/>
      <c r="BGY20" s="1260"/>
      <c r="BGZ20" s="1260"/>
      <c r="BHA20" s="1260"/>
      <c r="BHB20" s="1260"/>
      <c r="BHC20" s="1260"/>
      <c r="BHD20" s="1260"/>
      <c r="BHE20" s="1260"/>
      <c r="BHF20" s="1260"/>
      <c r="BHG20" s="1260"/>
      <c r="BHH20" s="1260"/>
      <c r="BHI20" s="1260"/>
      <c r="BHJ20" s="1260"/>
      <c r="BHK20" s="1260"/>
      <c r="BHL20" s="1260"/>
      <c r="BHM20" s="1260"/>
      <c r="BHN20" s="1260"/>
      <c r="BHO20" s="1260"/>
      <c r="BHP20" s="1260"/>
      <c r="BHQ20" s="1260"/>
      <c r="BHR20" s="1260"/>
      <c r="BHS20" s="1260"/>
      <c r="BHT20" s="1260"/>
      <c r="BHU20" s="1260"/>
      <c r="BHV20" s="1260"/>
      <c r="BHW20" s="1260"/>
      <c r="BHX20" s="1260"/>
      <c r="BHY20" s="1260"/>
      <c r="BHZ20" s="1260"/>
      <c r="BIA20" s="1260"/>
      <c r="BIB20" s="1260"/>
      <c r="BIC20" s="1260"/>
      <c r="BID20" s="1260"/>
      <c r="BIE20" s="1260"/>
      <c r="BIF20" s="1260"/>
      <c r="BIG20" s="1260"/>
      <c r="BIH20" s="1260"/>
      <c r="BII20" s="1260"/>
      <c r="BIJ20" s="1260"/>
      <c r="BIK20" s="1260"/>
      <c r="BIL20" s="1260"/>
      <c r="BIM20" s="1260"/>
      <c r="BIN20" s="1260"/>
      <c r="BIO20" s="1260"/>
      <c r="BIP20" s="1260"/>
      <c r="BIQ20" s="1260"/>
      <c r="BIR20" s="1260"/>
      <c r="BIS20" s="1260"/>
      <c r="BIT20" s="1260"/>
      <c r="BIU20" s="1260"/>
      <c r="BIV20" s="1260"/>
      <c r="BIW20" s="1260"/>
      <c r="BIX20" s="1260"/>
      <c r="BIY20" s="1260"/>
      <c r="BIZ20" s="1260"/>
      <c r="BJA20" s="1260"/>
      <c r="BJB20" s="1260"/>
      <c r="BJC20" s="1260"/>
      <c r="BJD20" s="1260"/>
      <c r="BJE20" s="1260"/>
      <c r="BJF20" s="1260"/>
      <c r="BJG20" s="1260"/>
      <c r="BJH20" s="1260"/>
      <c r="BJI20" s="1260"/>
      <c r="BJJ20" s="1260"/>
      <c r="BJK20" s="1260"/>
      <c r="BJL20" s="1260"/>
      <c r="BJM20" s="1260"/>
      <c r="BJN20" s="1260"/>
      <c r="BJO20" s="1260"/>
      <c r="BJP20" s="1260"/>
      <c r="BJQ20" s="1260"/>
      <c r="BJR20" s="1260"/>
      <c r="BJS20" s="1260"/>
      <c r="BJT20" s="1260"/>
      <c r="BJU20" s="1260"/>
      <c r="BJV20" s="1260"/>
      <c r="BJW20" s="1260"/>
      <c r="BJX20" s="1260"/>
      <c r="BJY20" s="1260"/>
      <c r="BJZ20" s="1260"/>
      <c r="BKA20" s="1260"/>
      <c r="BKB20" s="1260"/>
      <c r="BKC20" s="1260"/>
      <c r="BKD20" s="1260"/>
      <c r="BKE20" s="1260"/>
      <c r="BKF20" s="1260"/>
      <c r="BKG20" s="1260"/>
      <c r="BKH20" s="1260"/>
      <c r="BKI20" s="1260"/>
      <c r="BKJ20" s="1260"/>
      <c r="BKK20" s="1260"/>
      <c r="BKL20" s="1260"/>
      <c r="BKM20" s="1260"/>
      <c r="BKN20" s="1260"/>
      <c r="BKO20" s="1260"/>
      <c r="BKP20" s="1260"/>
      <c r="BKQ20" s="1260"/>
      <c r="BKR20" s="1260"/>
      <c r="BKS20" s="1260"/>
      <c r="BKT20" s="1260"/>
      <c r="BKU20" s="1260"/>
      <c r="BKV20" s="1260"/>
      <c r="BKW20" s="1260"/>
      <c r="BKX20" s="1260"/>
      <c r="BKY20" s="1260"/>
      <c r="BKZ20" s="1260"/>
      <c r="BLA20" s="1260"/>
      <c r="BLB20" s="1260"/>
      <c r="BLC20" s="1260"/>
      <c r="BLD20" s="1260"/>
      <c r="BLE20" s="1260"/>
      <c r="BLF20" s="1260"/>
      <c r="BLG20" s="1260"/>
      <c r="BLH20" s="1260"/>
      <c r="BLI20" s="1260"/>
      <c r="BLJ20" s="1260"/>
      <c r="BLK20" s="1260"/>
      <c r="BLL20" s="1260"/>
      <c r="BLM20" s="1260"/>
      <c r="BLN20" s="1260"/>
      <c r="BLO20" s="1260"/>
      <c r="BLP20" s="1260"/>
      <c r="BLQ20" s="1260"/>
      <c r="BLR20" s="1260"/>
      <c r="BLS20" s="1260"/>
      <c r="BLT20" s="1260"/>
      <c r="BLU20" s="1260"/>
      <c r="BLV20" s="1260"/>
      <c r="BLW20" s="1260"/>
      <c r="BLX20" s="1260"/>
      <c r="BLY20" s="1260"/>
      <c r="BLZ20" s="1260"/>
      <c r="BMA20" s="1260"/>
      <c r="BMB20" s="1260"/>
      <c r="BMC20" s="1260"/>
      <c r="BMD20" s="1260"/>
      <c r="BME20" s="1260"/>
      <c r="BMF20" s="1260"/>
      <c r="BMG20" s="1260"/>
      <c r="BMH20" s="1260"/>
      <c r="BMI20" s="1260"/>
      <c r="BMJ20" s="1260"/>
      <c r="BMK20" s="1260"/>
      <c r="BML20" s="1260"/>
      <c r="BMM20" s="1260"/>
      <c r="BMN20" s="1260"/>
      <c r="BMO20" s="1260"/>
      <c r="BMP20" s="1260"/>
      <c r="BMQ20" s="1260"/>
      <c r="BMR20" s="1260"/>
      <c r="BMS20" s="1260"/>
      <c r="BMT20" s="1260"/>
      <c r="BMU20" s="1260"/>
      <c r="BMV20" s="1260"/>
      <c r="BMW20" s="1260"/>
      <c r="BMX20" s="1260"/>
      <c r="BMY20" s="1260"/>
      <c r="BMZ20" s="1260"/>
      <c r="BNA20" s="1260"/>
      <c r="BNB20" s="1260"/>
      <c r="BNC20" s="1260"/>
      <c r="BND20" s="1260"/>
      <c r="BNE20" s="1260"/>
      <c r="BNF20" s="1260"/>
      <c r="BNG20" s="1260"/>
      <c r="BNH20" s="1260"/>
      <c r="BNI20" s="1260"/>
      <c r="BNJ20" s="1260"/>
      <c r="BNK20" s="1260"/>
      <c r="BNL20" s="1260"/>
      <c r="BNM20" s="1260"/>
      <c r="BNN20" s="1260"/>
      <c r="BNO20" s="1260"/>
      <c r="BNP20" s="1260"/>
      <c r="BNQ20" s="1260"/>
      <c r="BNR20" s="1260"/>
      <c r="BNS20" s="1260"/>
      <c r="BNT20" s="1260"/>
      <c r="BNU20" s="1260"/>
      <c r="BNV20" s="1260"/>
      <c r="BNW20" s="1260"/>
      <c r="BNX20" s="1260"/>
      <c r="BNY20" s="1260"/>
      <c r="BNZ20" s="1260"/>
      <c r="BOA20" s="1260"/>
      <c r="BOB20" s="1260"/>
      <c r="BOC20" s="1260"/>
      <c r="BOD20" s="1260"/>
      <c r="BOE20" s="1260"/>
      <c r="BOF20" s="1260"/>
      <c r="BOG20" s="1260"/>
      <c r="BOH20" s="1260"/>
      <c r="BOI20" s="1260"/>
      <c r="BOJ20" s="1260"/>
      <c r="BOK20" s="1260"/>
      <c r="BOL20" s="1260"/>
      <c r="BOM20" s="1260"/>
      <c r="BON20" s="1260"/>
      <c r="BOO20" s="1260"/>
      <c r="BOP20" s="1260"/>
      <c r="BOQ20" s="1260"/>
      <c r="BOR20" s="1260"/>
      <c r="BOS20" s="1260"/>
      <c r="BOT20" s="1260"/>
      <c r="BOU20" s="1260"/>
      <c r="BOV20" s="1260"/>
      <c r="BOW20" s="1260"/>
      <c r="BOX20" s="1260"/>
      <c r="BOY20" s="1260"/>
      <c r="BOZ20" s="1260"/>
      <c r="BPA20" s="1260"/>
      <c r="BPB20" s="1260"/>
      <c r="BPC20" s="1260"/>
      <c r="BPD20" s="1260"/>
      <c r="BPE20" s="1260"/>
      <c r="BPF20" s="1260"/>
      <c r="BPG20" s="1260"/>
      <c r="BPH20" s="1260"/>
      <c r="BPI20" s="1260"/>
      <c r="BPJ20" s="1260"/>
      <c r="BPK20" s="1260"/>
      <c r="BPL20" s="1260"/>
      <c r="BPM20" s="1260"/>
      <c r="BPN20" s="1260"/>
      <c r="BPO20" s="1260"/>
      <c r="BPP20" s="1260"/>
      <c r="BPQ20" s="1260"/>
      <c r="BPR20" s="1260"/>
      <c r="BPS20" s="1260"/>
      <c r="BPT20" s="1260"/>
      <c r="BPU20" s="1260"/>
      <c r="BPV20" s="1260"/>
      <c r="BPW20" s="1260"/>
      <c r="BPX20" s="1260"/>
      <c r="BPY20" s="1260"/>
      <c r="BPZ20" s="1260"/>
      <c r="BQA20" s="1260"/>
      <c r="BQB20" s="1260"/>
      <c r="BQC20" s="1260"/>
      <c r="BQD20" s="1260"/>
      <c r="BQE20" s="1260"/>
      <c r="BQF20" s="1260"/>
      <c r="BQG20" s="1260"/>
      <c r="BQH20" s="1260"/>
      <c r="BQI20" s="1260"/>
      <c r="BQJ20" s="1260"/>
      <c r="BQK20" s="1260"/>
      <c r="BQL20" s="1260"/>
      <c r="BQM20" s="1260"/>
      <c r="BQN20" s="1260"/>
      <c r="BQO20" s="1260"/>
      <c r="BQP20" s="1260"/>
      <c r="BQQ20" s="1260"/>
      <c r="BQR20" s="1260"/>
      <c r="BQS20" s="1260"/>
      <c r="BQT20" s="1260"/>
      <c r="BQU20" s="1260"/>
      <c r="BQV20" s="1260"/>
      <c r="BQW20" s="1260"/>
      <c r="BQX20" s="1260"/>
      <c r="BQY20" s="1260"/>
      <c r="BQZ20" s="1260"/>
      <c r="BRA20" s="1260"/>
      <c r="BRB20" s="1260"/>
      <c r="BRC20" s="1260"/>
      <c r="BRD20" s="1260"/>
      <c r="BRE20" s="1260"/>
      <c r="BRF20" s="1260"/>
      <c r="BRG20" s="1260"/>
      <c r="BRH20" s="1260"/>
      <c r="BRI20" s="1260"/>
      <c r="BRJ20" s="1260"/>
      <c r="BRK20" s="1260"/>
      <c r="BRL20" s="1260"/>
      <c r="BRM20" s="1260"/>
      <c r="BRN20" s="1260"/>
      <c r="BRO20" s="1260"/>
      <c r="BRP20" s="1260"/>
      <c r="BRQ20" s="1260"/>
      <c r="BRR20" s="1260"/>
      <c r="BRS20" s="1260"/>
      <c r="BRT20" s="1260"/>
      <c r="BRU20" s="1260"/>
      <c r="BRV20" s="1260"/>
      <c r="BRW20" s="1260"/>
      <c r="BRX20" s="1260"/>
      <c r="BRY20" s="1260"/>
      <c r="BRZ20" s="1260"/>
      <c r="BSA20" s="1260"/>
      <c r="BSB20" s="1260"/>
      <c r="BSC20" s="1260"/>
      <c r="BSD20" s="1260"/>
      <c r="BSE20" s="1260"/>
      <c r="BSF20" s="1260"/>
      <c r="BSG20" s="1260"/>
      <c r="BSH20" s="1260"/>
      <c r="BSI20" s="1260"/>
      <c r="BSJ20" s="1260"/>
      <c r="BSK20" s="1260"/>
      <c r="BSL20" s="1260"/>
      <c r="BSM20" s="1260"/>
      <c r="BSN20" s="1260"/>
      <c r="BSO20" s="1260"/>
      <c r="BSP20" s="1260"/>
      <c r="BSQ20" s="1260"/>
      <c r="BSR20" s="1260"/>
      <c r="BSS20" s="1260"/>
      <c r="BST20" s="1260"/>
      <c r="BSU20" s="1260"/>
      <c r="BSV20" s="1260"/>
      <c r="BSW20" s="1260"/>
      <c r="BSX20" s="1260"/>
      <c r="BSY20" s="1260"/>
      <c r="BSZ20" s="1260"/>
      <c r="BTA20" s="1260"/>
      <c r="BTB20" s="1260"/>
      <c r="BTC20" s="1260"/>
      <c r="BTD20" s="1260"/>
      <c r="BTE20" s="1260"/>
      <c r="BTF20" s="1260"/>
      <c r="BTG20" s="1260"/>
      <c r="BTH20" s="1260"/>
      <c r="BTI20" s="1260"/>
      <c r="BTJ20" s="1260"/>
      <c r="BTK20" s="1260"/>
      <c r="BTL20" s="1260"/>
      <c r="BTM20" s="1260"/>
      <c r="BTN20" s="1260"/>
      <c r="BTO20" s="1260"/>
      <c r="BTP20" s="1260"/>
      <c r="BTQ20" s="1260"/>
      <c r="BTR20" s="1260"/>
      <c r="BTS20" s="1260"/>
      <c r="BTT20" s="1260"/>
      <c r="BTU20" s="1260"/>
      <c r="BTV20" s="1260"/>
      <c r="BTW20" s="1260"/>
      <c r="BTX20" s="1260"/>
      <c r="BTY20" s="1260"/>
      <c r="BTZ20" s="1260"/>
      <c r="BUA20" s="1260"/>
      <c r="BUB20" s="1260"/>
      <c r="BUC20" s="1260"/>
      <c r="BUD20" s="1260"/>
      <c r="BUE20" s="1260"/>
      <c r="BUF20" s="1260"/>
      <c r="BUG20" s="1260"/>
      <c r="BUH20" s="1260"/>
      <c r="BUI20" s="1260"/>
      <c r="BUJ20" s="1260"/>
      <c r="BUK20" s="1260"/>
      <c r="BUL20" s="1260"/>
      <c r="BUM20" s="1260"/>
      <c r="BUN20" s="1260"/>
      <c r="BUO20" s="1260"/>
      <c r="BUP20" s="1260"/>
      <c r="BUQ20" s="1260"/>
      <c r="BUR20" s="1260"/>
      <c r="BUS20" s="1260"/>
      <c r="BUT20" s="1260"/>
      <c r="BUU20" s="1260"/>
      <c r="BUV20" s="1260"/>
      <c r="BUW20" s="1260"/>
      <c r="BUX20" s="1260"/>
      <c r="BUY20" s="1260"/>
      <c r="BUZ20" s="1260"/>
      <c r="BVA20" s="1260"/>
      <c r="BVB20" s="1260"/>
      <c r="BVC20" s="1260"/>
      <c r="BVD20" s="1260"/>
      <c r="BVE20" s="1260"/>
      <c r="BVF20" s="1260"/>
      <c r="BVG20" s="1260"/>
      <c r="BVH20" s="1260"/>
      <c r="BVI20" s="1260"/>
      <c r="BVJ20" s="1260"/>
      <c r="BVK20" s="1260"/>
      <c r="BVL20" s="1260"/>
      <c r="BVM20" s="1260"/>
      <c r="BVN20" s="1260"/>
      <c r="BVO20" s="1260"/>
      <c r="BVP20" s="1260"/>
      <c r="BVQ20" s="1260"/>
      <c r="BVR20" s="1260"/>
      <c r="BVS20" s="1260"/>
      <c r="BVT20" s="1260"/>
      <c r="BVU20" s="1260"/>
      <c r="BVV20" s="1260"/>
      <c r="BVW20" s="1260"/>
      <c r="BVX20" s="1260"/>
      <c r="BVY20" s="1260"/>
      <c r="BVZ20" s="1260"/>
      <c r="BWA20" s="1260"/>
      <c r="BWB20" s="1260"/>
      <c r="BWC20" s="1260"/>
      <c r="BWD20" s="1260"/>
      <c r="BWE20" s="1260"/>
      <c r="BWF20" s="1260"/>
      <c r="BWG20" s="1260"/>
      <c r="BWH20" s="1260"/>
      <c r="BWI20" s="1260"/>
      <c r="BWJ20" s="1260"/>
      <c r="BWK20" s="1260"/>
      <c r="BWL20" s="1260"/>
      <c r="BWM20" s="1260"/>
      <c r="BWN20" s="1260"/>
      <c r="BWO20" s="1260"/>
      <c r="BWP20" s="1260"/>
      <c r="BWQ20" s="1260"/>
      <c r="BWR20" s="1260"/>
      <c r="BWS20" s="1260"/>
      <c r="BWT20" s="1260"/>
      <c r="BWU20" s="1260"/>
      <c r="BWV20" s="1260"/>
      <c r="BWW20" s="1260"/>
      <c r="BWX20" s="1260"/>
      <c r="BWY20" s="1260"/>
      <c r="BWZ20" s="1260"/>
      <c r="BXA20" s="1260"/>
      <c r="BXB20" s="1260"/>
      <c r="BXC20" s="1260"/>
      <c r="BXD20" s="1260"/>
      <c r="BXE20" s="1260"/>
      <c r="BXF20" s="1260"/>
      <c r="BXG20" s="1260"/>
      <c r="BXH20" s="1260"/>
      <c r="BXI20" s="1260"/>
      <c r="BXJ20" s="1260"/>
      <c r="BXK20" s="1260"/>
      <c r="BXL20" s="1260"/>
      <c r="BXM20" s="1260"/>
      <c r="BXN20" s="1260"/>
      <c r="BXO20" s="1260"/>
      <c r="BXP20" s="1260"/>
      <c r="BXQ20" s="1260"/>
      <c r="BXR20" s="1260"/>
      <c r="BXS20" s="1260"/>
      <c r="BXT20" s="1260"/>
      <c r="BXU20" s="1260"/>
      <c r="BXV20" s="1260"/>
      <c r="BXW20" s="1260"/>
      <c r="BXX20" s="1260"/>
      <c r="BXY20" s="1260"/>
      <c r="BXZ20" s="1260"/>
      <c r="BYA20" s="1260"/>
      <c r="BYB20" s="1260"/>
      <c r="BYC20" s="1260"/>
      <c r="BYD20" s="1260"/>
      <c r="BYE20" s="1260"/>
      <c r="BYF20" s="1260"/>
      <c r="BYG20" s="1260"/>
      <c r="BYH20" s="1260"/>
      <c r="BYI20" s="1260"/>
      <c r="BYJ20" s="1260"/>
      <c r="BYK20" s="1260"/>
      <c r="BYL20" s="1260"/>
      <c r="BYM20" s="1260"/>
      <c r="BYN20" s="1260"/>
      <c r="BYO20" s="1260"/>
      <c r="BYP20" s="1260"/>
      <c r="BYQ20" s="1260"/>
      <c r="BYR20" s="1260"/>
      <c r="BYS20" s="1260"/>
      <c r="BYT20" s="1260"/>
      <c r="BYU20" s="1260"/>
      <c r="BYV20" s="1260"/>
      <c r="BYW20" s="1260"/>
      <c r="BYX20" s="1260"/>
      <c r="BYY20" s="1260"/>
      <c r="BYZ20" s="1260"/>
      <c r="BZA20" s="1260"/>
      <c r="BZB20" s="1260"/>
      <c r="BZC20" s="1260"/>
      <c r="BZD20" s="1260"/>
      <c r="BZE20" s="1260"/>
      <c r="BZF20" s="1260"/>
      <c r="BZG20" s="1260"/>
      <c r="BZH20" s="1260"/>
      <c r="BZI20" s="1260"/>
      <c r="BZJ20" s="1260"/>
      <c r="BZK20" s="1260"/>
      <c r="BZL20" s="1260"/>
      <c r="BZM20" s="1260"/>
      <c r="BZN20" s="1260"/>
      <c r="BZO20" s="1260"/>
      <c r="BZP20" s="1260"/>
      <c r="BZQ20" s="1260"/>
      <c r="BZR20" s="1260"/>
      <c r="BZS20" s="1260"/>
      <c r="BZT20" s="1260"/>
      <c r="BZU20" s="1260"/>
      <c r="BZV20" s="1260"/>
      <c r="BZW20" s="1260"/>
      <c r="BZX20" s="1260"/>
      <c r="BZY20" s="1260"/>
      <c r="BZZ20" s="1260"/>
      <c r="CAA20" s="1260"/>
      <c r="CAB20" s="1260"/>
      <c r="CAC20" s="1260"/>
      <c r="CAD20" s="1260"/>
      <c r="CAE20" s="1260"/>
      <c r="CAF20" s="1260"/>
      <c r="CAG20" s="1260"/>
      <c r="CAH20" s="1260"/>
      <c r="CAI20" s="1260"/>
      <c r="CAJ20" s="1260"/>
      <c r="CAK20" s="1260"/>
      <c r="CAL20" s="1260"/>
      <c r="CAM20" s="1260"/>
      <c r="CAN20" s="1260"/>
      <c r="CAO20" s="1260"/>
      <c r="CAP20" s="1260"/>
      <c r="CAQ20" s="1260"/>
      <c r="CAR20" s="1260"/>
      <c r="CAS20" s="1260"/>
      <c r="CAT20" s="1260"/>
      <c r="CAU20" s="1260"/>
      <c r="CAV20" s="1260"/>
      <c r="CAW20" s="1260"/>
      <c r="CAX20" s="1260"/>
      <c r="CAY20" s="1260"/>
      <c r="CAZ20" s="1260"/>
      <c r="CBA20" s="1260"/>
      <c r="CBB20" s="1260"/>
      <c r="CBC20" s="1260"/>
      <c r="CBD20" s="1260"/>
      <c r="CBE20" s="1260"/>
      <c r="CBF20" s="1260"/>
      <c r="CBG20" s="1260"/>
      <c r="CBH20" s="1260"/>
      <c r="CBI20" s="1260"/>
      <c r="CBJ20" s="1260"/>
      <c r="CBK20" s="1260"/>
      <c r="CBL20" s="1260"/>
      <c r="CBM20" s="1260"/>
      <c r="CBN20" s="1260"/>
      <c r="CBO20" s="1260"/>
      <c r="CBP20" s="1260"/>
      <c r="CBQ20" s="1260"/>
      <c r="CBR20" s="1260"/>
      <c r="CBS20" s="1260"/>
      <c r="CBT20" s="1260"/>
      <c r="CBU20" s="1260"/>
      <c r="CBV20" s="1260"/>
      <c r="CBW20" s="1260"/>
      <c r="CBX20" s="1260"/>
      <c r="CBY20" s="1260"/>
      <c r="CBZ20" s="1260"/>
      <c r="CCA20" s="1260"/>
      <c r="CCB20" s="1260"/>
      <c r="CCC20" s="1260"/>
      <c r="CCD20" s="1260"/>
      <c r="CCE20" s="1260"/>
      <c r="CCF20" s="1260"/>
      <c r="CCG20" s="1260"/>
      <c r="CCH20" s="1260"/>
      <c r="CCI20" s="1260"/>
      <c r="CCJ20" s="1260"/>
      <c r="CCK20" s="1260"/>
      <c r="CCL20" s="1260"/>
      <c r="CCM20" s="1260"/>
      <c r="CCN20" s="1260"/>
      <c r="CCO20" s="1260"/>
      <c r="CCP20" s="1260"/>
      <c r="CCQ20" s="1260"/>
      <c r="CCR20" s="1260"/>
      <c r="CCS20" s="1260"/>
      <c r="CCT20" s="1260"/>
      <c r="CCU20" s="1260"/>
      <c r="CCV20" s="1260"/>
      <c r="CCW20" s="1260"/>
      <c r="CCX20" s="1260"/>
      <c r="CCY20" s="1260"/>
      <c r="CCZ20" s="1260"/>
      <c r="CDA20" s="1260"/>
      <c r="CDB20" s="1260"/>
      <c r="CDC20" s="1260"/>
      <c r="CDD20" s="1260"/>
      <c r="CDE20" s="1260"/>
      <c r="CDF20" s="1260"/>
      <c r="CDG20" s="1260"/>
      <c r="CDH20" s="1260"/>
      <c r="CDI20" s="1260"/>
      <c r="CDJ20" s="1260"/>
      <c r="CDK20" s="1260"/>
      <c r="CDL20" s="1260"/>
      <c r="CDM20" s="1260"/>
      <c r="CDN20" s="1260"/>
      <c r="CDO20" s="1260"/>
      <c r="CDP20" s="1260"/>
      <c r="CDQ20" s="1260"/>
      <c r="CDR20" s="1260"/>
      <c r="CDS20" s="1260"/>
      <c r="CDT20" s="1260"/>
      <c r="CDU20" s="1260"/>
      <c r="CDV20" s="1260"/>
      <c r="CDW20" s="1260"/>
      <c r="CDX20" s="1260"/>
      <c r="CDY20" s="1260"/>
      <c r="CDZ20" s="1260"/>
      <c r="CEA20" s="1260"/>
      <c r="CEB20" s="1260"/>
      <c r="CEC20" s="1260"/>
      <c r="CED20" s="1260"/>
      <c r="CEE20" s="1260"/>
      <c r="CEF20" s="1260"/>
      <c r="CEG20" s="1260"/>
      <c r="CEH20" s="1260"/>
      <c r="CEI20" s="1260"/>
      <c r="CEJ20" s="1260"/>
      <c r="CEK20" s="1260"/>
      <c r="CEL20" s="1260"/>
      <c r="CEM20" s="1260"/>
      <c r="CEN20" s="1260"/>
      <c r="CEO20" s="1260"/>
      <c r="CEP20" s="1260"/>
      <c r="CEQ20" s="1260"/>
      <c r="CER20" s="1260"/>
      <c r="CES20" s="1260"/>
      <c r="CET20" s="1260"/>
      <c r="CEU20" s="1260"/>
      <c r="CEV20" s="1260"/>
      <c r="CEW20" s="1260"/>
      <c r="CEX20" s="1260"/>
      <c r="CEY20" s="1260"/>
      <c r="CEZ20" s="1260"/>
      <c r="CFA20" s="1260"/>
      <c r="CFB20" s="1260"/>
      <c r="CFC20" s="1260"/>
      <c r="CFD20" s="1260"/>
      <c r="CFE20" s="1260"/>
      <c r="CFF20" s="1260"/>
      <c r="CFG20" s="1260"/>
      <c r="CFH20" s="1260"/>
      <c r="CFI20" s="1260"/>
      <c r="CFJ20" s="1260"/>
      <c r="CFK20" s="1260"/>
      <c r="CFL20" s="1260"/>
      <c r="CFM20" s="1260"/>
      <c r="CFN20" s="1260"/>
      <c r="CFO20" s="1260"/>
      <c r="CFP20" s="1260"/>
      <c r="CFQ20" s="1260"/>
      <c r="CFR20" s="1260"/>
      <c r="CFS20" s="1260"/>
      <c r="CFT20" s="1260"/>
      <c r="CFU20" s="1260"/>
      <c r="CFV20" s="1260"/>
      <c r="CFW20" s="1260"/>
      <c r="CFX20" s="1260"/>
      <c r="CFY20" s="1260"/>
      <c r="CFZ20" s="1260"/>
      <c r="CGA20" s="1260"/>
      <c r="CGB20" s="1260"/>
      <c r="CGC20" s="1260"/>
      <c r="CGD20" s="1260"/>
      <c r="CGE20" s="1260"/>
      <c r="CGF20" s="1260"/>
      <c r="CGG20" s="1260"/>
      <c r="CGH20" s="1260"/>
      <c r="CGI20" s="1260"/>
      <c r="CGJ20" s="1260"/>
      <c r="CGK20" s="1260"/>
      <c r="CGL20" s="1260"/>
      <c r="CGM20" s="1260"/>
      <c r="CGN20" s="1260"/>
      <c r="CGO20" s="1260"/>
      <c r="CGP20" s="1260"/>
      <c r="CGQ20" s="1260"/>
      <c r="CGR20" s="1260"/>
      <c r="CGS20" s="1260"/>
      <c r="CGT20" s="1260"/>
      <c r="CGU20" s="1260"/>
      <c r="CGV20" s="1260"/>
      <c r="CGW20" s="1260"/>
      <c r="CGX20" s="1260"/>
      <c r="CGY20" s="1260"/>
      <c r="CGZ20" s="1260"/>
      <c r="CHA20" s="1260"/>
      <c r="CHB20" s="1260"/>
      <c r="CHC20" s="1260"/>
      <c r="CHD20" s="1260"/>
      <c r="CHE20" s="1260"/>
      <c r="CHF20" s="1260"/>
      <c r="CHG20" s="1260"/>
      <c r="CHH20" s="1260"/>
      <c r="CHI20" s="1260"/>
      <c r="CHJ20" s="1260"/>
      <c r="CHK20" s="1260"/>
      <c r="CHL20" s="1260"/>
      <c r="CHM20" s="1260"/>
      <c r="CHN20" s="1260"/>
      <c r="CHO20" s="1260"/>
      <c r="CHP20" s="1260"/>
      <c r="CHQ20" s="1260"/>
      <c r="CHR20" s="1260"/>
      <c r="CHS20" s="1260"/>
      <c r="CHT20" s="1260"/>
      <c r="CHU20" s="1260"/>
      <c r="CHV20" s="1260"/>
      <c r="CHW20" s="1260"/>
      <c r="CHX20" s="1260"/>
      <c r="CHY20" s="1260"/>
      <c r="CHZ20" s="1260"/>
      <c r="CIA20" s="1260"/>
      <c r="CIB20" s="1260"/>
      <c r="CIC20" s="1260"/>
      <c r="CID20" s="1260"/>
      <c r="CIE20" s="1260"/>
      <c r="CIF20" s="1260"/>
      <c r="CIG20" s="1260"/>
      <c r="CIH20" s="1260"/>
      <c r="CII20" s="1260"/>
      <c r="CIJ20" s="1260"/>
      <c r="CIK20" s="1260"/>
      <c r="CIL20" s="1260"/>
      <c r="CIM20" s="1260"/>
      <c r="CIN20" s="1260"/>
      <c r="CIO20" s="1260"/>
      <c r="CIP20" s="1260"/>
      <c r="CIQ20" s="1260"/>
      <c r="CIR20" s="1260"/>
      <c r="CIS20" s="1260"/>
      <c r="CIT20" s="1260"/>
      <c r="CIU20" s="1260"/>
      <c r="CIV20" s="1260"/>
      <c r="CIW20" s="1260"/>
      <c r="CIX20" s="1260"/>
      <c r="CIY20" s="1260"/>
      <c r="CIZ20" s="1260"/>
      <c r="CJA20" s="1260"/>
      <c r="CJB20" s="1260"/>
      <c r="CJC20" s="1260"/>
      <c r="CJD20" s="1260"/>
      <c r="CJE20" s="1260"/>
      <c r="CJF20" s="1260"/>
      <c r="CJG20" s="1260"/>
      <c r="CJH20" s="1260"/>
      <c r="CJI20" s="1260"/>
      <c r="CJJ20" s="1260"/>
      <c r="CJK20" s="1260"/>
      <c r="CJL20" s="1260"/>
      <c r="CJM20" s="1260"/>
      <c r="CJN20" s="1260"/>
      <c r="CJO20" s="1260"/>
      <c r="CJP20" s="1260"/>
      <c r="CJQ20" s="1260"/>
      <c r="CJR20" s="1260"/>
      <c r="CJS20" s="1260"/>
      <c r="CJT20" s="1260"/>
      <c r="CJU20" s="1260"/>
      <c r="CJV20" s="1260"/>
      <c r="CJW20" s="1260"/>
      <c r="CJX20" s="1260"/>
      <c r="CJY20" s="1260"/>
      <c r="CJZ20" s="1260"/>
      <c r="CKA20" s="1260"/>
      <c r="CKB20" s="1260"/>
      <c r="CKC20" s="1260"/>
      <c r="CKD20" s="1260"/>
      <c r="CKE20" s="1260"/>
      <c r="CKF20" s="1260"/>
      <c r="CKG20" s="1260"/>
      <c r="CKH20" s="1260"/>
      <c r="CKI20" s="1260"/>
      <c r="CKJ20" s="1260"/>
      <c r="CKK20" s="1260"/>
      <c r="CKL20" s="1260"/>
      <c r="CKM20" s="1260"/>
      <c r="CKN20" s="1260"/>
      <c r="CKO20" s="1260"/>
      <c r="CKP20" s="1260"/>
      <c r="CKQ20" s="1260"/>
      <c r="CKR20" s="1260"/>
      <c r="CKS20" s="1260"/>
      <c r="CKT20" s="1260"/>
      <c r="CKU20" s="1260"/>
      <c r="CKV20" s="1260"/>
      <c r="CKW20" s="1260"/>
      <c r="CKX20" s="1260"/>
      <c r="CKY20" s="1260"/>
      <c r="CKZ20" s="1260"/>
      <c r="CLA20" s="1260"/>
      <c r="CLB20" s="1260"/>
      <c r="CLC20" s="1260"/>
      <c r="CLD20" s="1260"/>
      <c r="CLE20" s="1260"/>
      <c r="CLF20" s="1260"/>
      <c r="CLG20" s="1260"/>
      <c r="CLH20" s="1260"/>
      <c r="CLI20" s="1260"/>
      <c r="CLJ20" s="1260"/>
      <c r="CLK20" s="1260"/>
      <c r="CLL20" s="1260"/>
      <c r="CLM20" s="1260"/>
      <c r="CLN20" s="1260"/>
      <c r="CLO20" s="1260"/>
      <c r="CLP20" s="1260"/>
      <c r="CLQ20" s="1260"/>
      <c r="CLR20" s="1260"/>
      <c r="CLS20" s="1260"/>
      <c r="CLT20" s="1260"/>
      <c r="CLU20" s="1260"/>
      <c r="CLV20" s="1260"/>
      <c r="CLW20" s="1260"/>
      <c r="CLX20" s="1260"/>
      <c r="CLY20" s="1260"/>
      <c r="CLZ20" s="1260"/>
      <c r="CMA20" s="1260"/>
      <c r="CMB20" s="1260"/>
      <c r="CMC20" s="1260"/>
      <c r="CMD20" s="1260"/>
      <c r="CME20" s="1260"/>
      <c r="CMF20" s="1260"/>
      <c r="CMG20" s="1260"/>
      <c r="CMH20" s="1260"/>
      <c r="CMI20" s="1260"/>
      <c r="CMJ20" s="1260"/>
      <c r="CMK20" s="1260"/>
      <c r="CML20" s="1260"/>
      <c r="CMM20" s="1260"/>
      <c r="CMN20" s="1260"/>
      <c r="CMO20" s="1260"/>
      <c r="CMP20" s="1260"/>
      <c r="CMQ20" s="1260"/>
      <c r="CMR20" s="1260"/>
      <c r="CMS20" s="1260"/>
      <c r="CMT20" s="1260"/>
      <c r="CMU20" s="1260"/>
      <c r="CMV20" s="1260"/>
      <c r="CMW20" s="1260"/>
      <c r="CMX20" s="1260"/>
      <c r="CMY20" s="1260"/>
      <c r="CMZ20" s="1260"/>
      <c r="CNA20" s="1260"/>
      <c r="CNB20" s="1260"/>
      <c r="CNC20" s="1260"/>
      <c r="CND20" s="1260"/>
      <c r="CNE20" s="1260"/>
      <c r="CNF20" s="1260"/>
      <c r="CNG20" s="1260"/>
      <c r="CNH20" s="1260"/>
      <c r="CNI20" s="1260"/>
      <c r="CNJ20" s="1260"/>
      <c r="CNK20" s="1260"/>
      <c r="CNL20" s="1260"/>
      <c r="CNM20" s="1260"/>
      <c r="CNN20" s="1260"/>
      <c r="CNO20" s="1260"/>
      <c r="CNP20" s="1260"/>
      <c r="CNQ20" s="1260"/>
      <c r="CNR20" s="1260"/>
      <c r="CNS20" s="1260"/>
      <c r="CNT20" s="1260"/>
      <c r="CNU20" s="1260"/>
      <c r="CNV20" s="1260"/>
      <c r="CNW20" s="1260"/>
      <c r="CNX20" s="1260"/>
      <c r="CNY20" s="1260"/>
      <c r="CNZ20" s="1260"/>
      <c r="COA20" s="1260"/>
      <c r="COB20" s="1260"/>
      <c r="COC20" s="1260"/>
      <c r="COD20" s="1260"/>
      <c r="COE20" s="1260"/>
      <c r="COF20" s="1260"/>
      <c r="COG20" s="1260"/>
      <c r="COH20" s="1260"/>
      <c r="COI20" s="1260"/>
      <c r="COJ20" s="1260"/>
      <c r="COK20" s="1260"/>
      <c r="COL20" s="1260"/>
      <c r="COM20" s="1260"/>
      <c r="CON20" s="1260"/>
      <c r="COO20" s="1260"/>
      <c r="COP20" s="1260"/>
      <c r="COQ20" s="1260"/>
      <c r="COR20" s="1260"/>
      <c r="COS20" s="1260"/>
      <c r="COT20" s="1260"/>
      <c r="COU20" s="1260"/>
      <c r="COV20" s="1260"/>
      <c r="COW20" s="1260"/>
      <c r="COX20" s="1260"/>
      <c r="COY20" s="1260"/>
      <c r="COZ20" s="1260"/>
      <c r="CPA20" s="1260"/>
      <c r="CPB20" s="1260"/>
      <c r="CPC20" s="1260"/>
      <c r="CPD20" s="1260"/>
      <c r="CPE20" s="1260"/>
      <c r="CPF20" s="1260"/>
      <c r="CPG20" s="1260"/>
      <c r="CPH20" s="1260"/>
      <c r="CPI20" s="1260"/>
      <c r="CPJ20" s="1260"/>
      <c r="CPK20" s="1260"/>
      <c r="CPL20" s="1260"/>
      <c r="CPM20" s="1260"/>
      <c r="CPN20" s="1260"/>
      <c r="CPO20" s="1260"/>
      <c r="CPP20" s="1260"/>
      <c r="CPQ20" s="1260"/>
      <c r="CPR20" s="1260"/>
      <c r="CPS20" s="1260"/>
      <c r="CPT20" s="1260"/>
      <c r="CPU20" s="1260"/>
      <c r="CPV20" s="1260"/>
      <c r="CPW20" s="1260"/>
      <c r="CPX20" s="1260"/>
      <c r="CPY20" s="1260"/>
      <c r="CPZ20" s="1260"/>
      <c r="CQA20" s="1260"/>
      <c r="CQB20" s="1260"/>
      <c r="CQC20" s="1260"/>
      <c r="CQD20" s="1260"/>
      <c r="CQE20" s="1260"/>
      <c r="CQF20" s="1260"/>
      <c r="CQG20" s="1260"/>
      <c r="CQH20" s="1260"/>
      <c r="CQI20" s="1260"/>
      <c r="CQJ20" s="1260"/>
      <c r="CQK20" s="1260"/>
      <c r="CQL20" s="1260"/>
      <c r="CQM20" s="1260"/>
      <c r="CQN20" s="1260"/>
      <c r="CQO20" s="1260"/>
      <c r="CQP20" s="1260"/>
      <c r="CQQ20" s="1260"/>
      <c r="CQR20" s="1260"/>
      <c r="CQS20" s="1260"/>
      <c r="CQT20" s="1260"/>
      <c r="CQU20" s="1260"/>
      <c r="CQV20" s="1260"/>
      <c r="CQW20" s="1260"/>
      <c r="CQX20" s="1260"/>
      <c r="CQY20" s="1260"/>
      <c r="CQZ20" s="1260"/>
      <c r="CRA20" s="1260"/>
      <c r="CRB20" s="1260"/>
      <c r="CRC20" s="1260"/>
      <c r="CRD20" s="1260"/>
      <c r="CRE20" s="1260"/>
      <c r="CRF20" s="1260"/>
      <c r="CRG20" s="1260"/>
      <c r="CRH20" s="1260"/>
      <c r="CRI20" s="1260"/>
      <c r="CRJ20" s="1260"/>
      <c r="CRK20" s="1260"/>
      <c r="CRL20" s="1260"/>
      <c r="CRM20" s="1260"/>
      <c r="CRN20" s="1260"/>
      <c r="CRO20" s="1260"/>
      <c r="CRP20" s="1260"/>
      <c r="CRQ20" s="1260"/>
      <c r="CRR20" s="1260"/>
      <c r="CRS20" s="1260"/>
      <c r="CRT20" s="1260"/>
      <c r="CRU20" s="1260"/>
      <c r="CRV20" s="1260"/>
      <c r="CRW20" s="1260"/>
      <c r="CRX20" s="1260"/>
      <c r="CRY20" s="1260"/>
      <c r="CRZ20" s="1260"/>
      <c r="CSA20" s="1260"/>
      <c r="CSB20" s="1260"/>
      <c r="CSC20" s="1260"/>
      <c r="CSD20" s="1260"/>
      <c r="CSE20" s="1260"/>
      <c r="CSF20" s="1260"/>
      <c r="CSG20" s="1260"/>
      <c r="CSH20" s="1260"/>
      <c r="CSI20" s="1260"/>
      <c r="CSJ20" s="1260"/>
      <c r="CSK20" s="1260"/>
      <c r="CSL20" s="1260"/>
      <c r="CSM20" s="1260"/>
      <c r="CSN20" s="1260"/>
      <c r="CSO20" s="1260"/>
      <c r="CSP20" s="1260"/>
      <c r="CSQ20" s="1260"/>
      <c r="CSR20" s="1260"/>
      <c r="CSS20" s="1260"/>
      <c r="CST20" s="1260"/>
      <c r="CSU20" s="1260"/>
      <c r="CSV20" s="1260"/>
      <c r="CSW20" s="1260"/>
      <c r="CSX20" s="1260"/>
      <c r="CSY20" s="1260"/>
      <c r="CSZ20" s="1260"/>
      <c r="CTA20" s="1260"/>
      <c r="CTB20" s="1260"/>
      <c r="CTC20" s="1260"/>
      <c r="CTD20" s="1260"/>
      <c r="CTE20" s="1260"/>
      <c r="CTF20" s="1260"/>
      <c r="CTG20" s="1260"/>
      <c r="CTH20" s="1260"/>
      <c r="CTI20" s="1260"/>
      <c r="CTJ20" s="1260"/>
      <c r="CTK20" s="1260"/>
      <c r="CTL20" s="1260"/>
      <c r="CTM20" s="1260"/>
      <c r="CTN20" s="1260"/>
      <c r="CTO20" s="1260"/>
      <c r="CTP20" s="1260"/>
      <c r="CTQ20" s="1260"/>
      <c r="CTR20" s="1260"/>
      <c r="CTS20" s="1260"/>
      <c r="CTT20" s="1260"/>
      <c r="CTU20" s="1260"/>
      <c r="CTV20" s="1260"/>
      <c r="CTW20" s="1260"/>
      <c r="CTX20" s="1260"/>
      <c r="CTY20" s="1260"/>
      <c r="CTZ20" s="1260"/>
      <c r="CUA20" s="1260"/>
      <c r="CUB20" s="1260"/>
      <c r="CUC20" s="1260"/>
      <c r="CUD20" s="1260"/>
      <c r="CUE20" s="1260"/>
      <c r="CUF20" s="1260"/>
      <c r="CUG20" s="1260"/>
      <c r="CUH20" s="1260"/>
      <c r="CUI20" s="1260"/>
      <c r="CUJ20" s="1260"/>
      <c r="CUK20" s="1260"/>
      <c r="CUL20" s="1260"/>
      <c r="CUM20" s="1260"/>
      <c r="CUN20" s="1260"/>
      <c r="CUO20" s="1260"/>
      <c r="CUP20" s="1260"/>
      <c r="CUQ20" s="1260"/>
      <c r="CUR20" s="1260"/>
      <c r="CUS20" s="1260"/>
      <c r="CUT20" s="1260"/>
      <c r="CUU20" s="1260"/>
      <c r="CUV20" s="1260"/>
      <c r="CUW20" s="1260"/>
      <c r="CUX20" s="1260"/>
      <c r="CUY20" s="1260"/>
      <c r="CUZ20" s="1260"/>
      <c r="CVA20" s="1260"/>
      <c r="CVB20" s="1260"/>
      <c r="CVC20" s="1260"/>
      <c r="CVD20" s="1260"/>
      <c r="CVE20" s="1260"/>
      <c r="CVF20" s="1260"/>
      <c r="CVG20" s="1260"/>
      <c r="CVH20" s="1260"/>
      <c r="CVI20" s="1260"/>
      <c r="CVJ20" s="1260"/>
      <c r="CVK20" s="1260"/>
      <c r="CVL20" s="1260"/>
      <c r="CVM20" s="1260"/>
      <c r="CVN20" s="1260"/>
      <c r="CVO20" s="1260"/>
      <c r="CVP20" s="1260"/>
      <c r="CVQ20" s="1260"/>
      <c r="CVR20" s="1260"/>
      <c r="CVS20" s="1260"/>
      <c r="CVT20" s="1260"/>
      <c r="CVU20" s="1260"/>
      <c r="CVV20" s="1260"/>
      <c r="CVW20" s="1260"/>
      <c r="CVX20" s="1260"/>
      <c r="CVY20" s="1260"/>
      <c r="CVZ20" s="1260"/>
      <c r="CWA20" s="1260"/>
      <c r="CWB20" s="1260"/>
      <c r="CWC20" s="1260"/>
      <c r="CWD20" s="1260"/>
      <c r="CWE20" s="1260"/>
      <c r="CWF20" s="1260"/>
      <c r="CWG20" s="1260"/>
      <c r="CWH20" s="1260"/>
      <c r="CWI20" s="1260"/>
      <c r="CWJ20" s="1260"/>
      <c r="CWK20" s="1260"/>
      <c r="CWL20" s="1260"/>
      <c r="CWM20" s="1260"/>
      <c r="CWN20" s="1260"/>
      <c r="CWO20" s="1260"/>
      <c r="CWP20" s="1260"/>
      <c r="CWQ20" s="1260"/>
      <c r="CWR20" s="1260"/>
      <c r="CWS20" s="1260"/>
      <c r="CWT20" s="1260"/>
      <c r="CWU20" s="1260"/>
      <c r="CWV20" s="1260"/>
      <c r="CWW20" s="1260"/>
      <c r="CWX20" s="1260"/>
      <c r="CWY20" s="1260"/>
      <c r="CWZ20" s="1260"/>
      <c r="CXA20" s="1260"/>
      <c r="CXB20" s="1260"/>
      <c r="CXC20" s="1260"/>
      <c r="CXD20" s="1260"/>
      <c r="CXE20" s="1260"/>
      <c r="CXF20" s="1260"/>
      <c r="CXG20" s="1260"/>
      <c r="CXH20" s="1260"/>
      <c r="CXI20" s="1260"/>
      <c r="CXJ20" s="1260"/>
      <c r="CXK20" s="1260"/>
      <c r="CXL20" s="1260"/>
      <c r="CXM20" s="1260"/>
      <c r="CXN20" s="1260"/>
      <c r="CXO20" s="1260"/>
      <c r="CXP20" s="1260"/>
      <c r="CXQ20" s="1260"/>
      <c r="CXR20" s="1260"/>
      <c r="CXS20" s="1260"/>
      <c r="CXT20" s="1260"/>
      <c r="CXU20" s="1260"/>
      <c r="CXV20" s="1260"/>
      <c r="CXW20" s="1260"/>
      <c r="CXX20" s="1260"/>
      <c r="CXY20" s="1260"/>
      <c r="CXZ20" s="1260"/>
      <c r="CYA20" s="1260"/>
      <c r="CYB20" s="1260"/>
      <c r="CYC20" s="1260"/>
      <c r="CYD20" s="1260"/>
      <c r="CYE20" s="1260"/>
      <c r="CYF20" s="1260"/>
      <c r="CYG20" s="1260"/>
      <c r="CYH20" s="1260"/>
      <c r="CYI20" s="1260"/>
      <c r="CYJ20" s="1260"/>
      <c r="CYK20" s="1260"/>
      <c r="CYL20" s="1260"/>
      <c r="CYM20" s="1260"/>
      <c r="CYN20" s="1260"/>
      <c r="CYO20" s="1260"/>
      <c r="CYP20" s="1260"/>
      <c r="CYQ20" s="1260"/>
      <c r="CYR20" s="1260"/>
      <c r="CYS20" s="1260"/>
      <c r="CYT20" s="1260"/>
      <c r="CYU20" s="1260"/>
      <c r="CYV20" s="1260"/>
      <c r="CYW20" s="1260"/>
      <c r="CYX20" s="1260"/>
      <c r="CYY20" s="1260"/>
      <c r="CYZ20" s="1260"/>
      <c r="CZA20" s="1260"/>
      <c r="CZB20" s="1260"/>
      <c r="CZC20" s="1260"/>
      <c r="CZD20" s="1260"/>
      <c r="CZE20" s="1260"/>
      <c r="CZF20" s="1260"/>
      <c r="CZG20" s="1260"/>
      <c r="CZH20" s="1260"/>
      <c r="CZI20" s="1260"/>
      <c r="CZJ20" s="1260"/>
      <c r="CZK20" s="1260"/>
      <c r="CZL20" s="1260"/>
      <c r="CZM20" s="1260"/>
      <c r="CZN20" s="1260"/>
      <c r="CZO20" s="1260"/>
      <c r="CZP20" s="1260"/>
      <c r="CZQ20" s="1260"/>
      <c r="CZR20" s="1260"/>
      <c r="CZS20" s="1260"/>
      <c r="CZT20" s="1260"/>
      <c r="CZU20" s="1260"/>
      <c r="CZV20" s="1260"/>
      <c r="CZW20" s="1260"/>
      <c r="CZX20" s="1260"/>
      <c r="CZY20" s="1260"/>
      <c r="CZZ20" s="1260"/>
      <c r="DAA20" s="1260"/>
      <c r="DAB20" s="1260"/>
      <c r="DAC20" s="1260"/>
      <c r="DAD20" s="1260"/>
      <c r="DAE20" s="1260"/>
      <c r="DAF20" s="1260"/>
      <c r="DAG20" s="1260"/>
      <c r="DAH20" s="1260"/>
      <c r="DAI20" s="1260"/>
      <c r="DAJ20" s="1260"/>
      <c r="DAK20" s="1260"/>
      <c r="DAL20" s="1260"/>
      <c r="DAM20" s="1260"/>
      <c r="DAN20" s="1260"/>
      <c r="DAO20" s="1260"/>
      <c r="DAP20" s="1260"/>
      <c r="DAQ20" s="1260"/>
      <c r="DAR20" s="1260"/>
      <c r="DAS20" s="1260"/>
      <c r="DAT20" s="1260"/>
      <c r="DAU20" s="1260"/>
      <c r="DAV20" s="1260"/>
      <c r="DAW20" s="1260"/>
      <c r="DAX20" s="1260"/>
      <c r="DAY20" s="1260"/>
      <c r="DAZ20" s="1260"/>
      <c r="DBA20" s="1260"/>
      <c r="DBB20" s="1260"/>
      <c r="DBC20" s="1260"/>
      <c r="DBD20" s="1260"/>
      <c r="DBE20" s="1260"/>
      <c r="DBF20" s="1260"/>
      <c r="DBG20" s="1260"/>
      <c r="DBH20" s="1260"/>
      <c r="DBI20" s="1260"/>
      <c r="DBJ20" s="1260"/>
      <c r="DBK20" s="1260"/>
      <c r="DBL20" s="1260"/>
      <c r="DBM20" s="1260"/>
      <c r="DBN20" s="1260"/>
      <c r="DBO20" s="1260"/>
      <c r="DBP20" s="1260"/>
      <c r="DBQ20" s="1260"/>
      <c r="DBR20" s="1260"/>
      <c r="DBS20" s="1260"/>
      <c r="DBT20" s="1260"/>
      <c r="DBU20" s="1260"/>
      <c r="DBV20" s="1260"/>
      <c r="DBW20" s="1260"/>
      <c r="DBX20" s="1260"/>
      <c r="DBY20" s="1260"/>
      <c r="DBZ20" s="1260"/>
      <c r="DCA20" s="1260"/>
      <c r="DCB20" s="1260"/>
      <c r="DCC20" s="1260"/>
      <c r="DCD20" s="1260"/>
      <c r="DCE20" s="1260"/>
      <c r="DCF20" s="1260"/>
      <c r="DCG20" s="1260"/>
      <c r="DCH20" s="1260"/>
      <c r="DCI20" s="1260"/>
      <c r="DCJ20" s="1260"/>
      <c r="DCK20" s="1260"/>
      <c r="DCL20" s="1260"/>
      <c r="DCM20" s="1260"/>
      <c r="DCN20" s="1260"/>
      <c r="DCO20" s="1260"/>
      <c r="DCP20" s="1260"/>
      <c r="DCQ20" s="1260"/>
      <c r="DCR20" s="1260"/>
      <c r="DCS20" s="1260"/>
      <c r="DCT20" s="1260"/>
      <c r="DCU20" s="1260"/>
      <c r="DCV20" s="1260"/>
      <c r="DCW20" s="1260"/>
      <c r="DCX20" s="1260"/>
      <c r="DCY20" s="1260"/>
      <c r="DCZ20" s="1260"/>
      <c r="DDA20" s="1260"/>
      <c r="DDB20" s="1260"/>
      <c r="DDC20" s="1260"/>
      <c r="DDD20" s="1260"/>
      <c r="DDE20" s="1260"/>
      <c r="DDF20" s="1260"/>
      <c r="DDG20" s="1260"/>
      <c r="DDH20" s="1260"/>
      <c r="DDI20" s="1260"/>
      <c r="DDJ20" s="1260"/>
      <c r="DDK20" s="1260"/>
      <c r="DDL20" s="1260"/>
      <c r="DDM20" s="1260"/>
      <c r="DDN20" s="1260"/>
      <c r="DDO20" s="1260"/>
      <c r="DDP20" s="1260"/>
      <c r="DDQ20" s="1260"/>
      <c r="DDR20" s="1260"/>
      <c r="DDS20" s="1260"/>
      <c r="DDT20" s="1260"/>
      <c r="DDU20" s="1260"/>
      <c r="DDV20" s="1260"/>
      <c r="DDW20" s="1260"/>
      <c r="DDX20" s="1260"/>
      <c r="DDY20" s="1260"/>
      <c r="DDZ20" s="1260"/>
      <c r="DEA20" s="1260"/>
      <c r="DEB20" s="1260"/>
      <c r="DEC20" s="1260"/>
      <c r="DED20" s="1260"/>
      <c r="DEE20" s="1260"/>
      <c r="DEF20" s="1260"/>
      <c r="DEG20" s="1260"/>
      <c r="DEH20" s="1260"/>
      <c r="DEI20" s="1260"/>
      <c r="DEJ20" s="1260"/>
      <c r="DEK20" s="1260"/>
      <c r="DEL20" s="1260"/>
      <c r="DEM20" s="1260"/>
      <c r="DEN20" s="1260"/>
      <c r="DEO20" s="1260"/>
      <c r="DEP20" s="1260"/>
      <c r="DEQ20" s="1260"/>
      <c r="DER20" s="1260"/>
      <c r="DES20" s="1260"/>
      <c r="DET20" s="1260"/>
      <c r="DEU20" s="1260"/>
      <c r="DEV20" s="1260"/>
      <c r="DEW20" s="1260"/>
      <c r="DEX20" s="1260"/>
      <c r="DEY20" s="1260"/>
      <c r="DEZ20" s="1260"/>
      <c r="DFA20" s="1260"/>
      <c r="DFB20" s="1260"/>
      <c r="DFC20" s="1260"/>
      <c r="DFD20" s="1260"/>
      <c r="DFE20" s="1260"/>
      <c r="DFF20" s="1260"/>
      <c r="DFG20" s="1260"/>
      <c r="DFH20" s="1260"/>
      <c r="DFI20" s="1260"/>
      <c r="DFJ20" s="1260"/>
      <c r="DFK20" s="1260"/>
      <c r="DFL20" s="1260"/>
      <c r="DFM20" s="1260"/>
      <c r="DFN20" s="1260"/>
      <c r="DFO20" s="1260"/>
      <c r="DFP20" s="1260"/>
      <c r="DFQ20" s="1260"/>
      <c r="DFR20" s="1260"/>
      <c r="DFS20" s="1260"/>
      <c r="DFT20" s="1260"/>
      <c r="DFU20" s="1260"/>
      <c r="DFV20" s="1260"/>
      <c r="DFW20" s="1260"/>
      <c r="DFX20" s="1260"/>
      <c r="DFY20" s="1260"/>
      <c r="DFZ20" s="1260"/>
      <c r="DGA20" s="1260"/>
      <c r="DGB20" s="1260"/>
      <c r="DGC20" s="1260"/>
      <c r="DGD20" s="1260"/>
      <c r="DGE20" s="1260"/>
      <c r="DGF20" s="1260"/>
      <c r="DGG20" s="1260"/>
      <c r="DGH20" s="1260"/>
      <c r="DGI20" s="1260"/>
      <c r="DGJ20" s="1260"/>
      <c r="DGK20" s="1260"/>
      <c r="DGL20" s="1260"/>
      <c r="DGM20" s="1260"/>
      <c r="DGN20" s="1260"/>
      <c r="DGO20" s="1260"/>
      <c r="DGP20" s="1260"/>
      <c r="DGQ20" s="1260"/>
      <c r="DGR20" s="1260"/>
      <c r="DGS20" s="1260"/>
      <c r="DGT20" s="1260"/>
      <c r="DGU20" s="1260"/>
      <c r="DGV20" s="1260"/>
      <c r="DGW20" s="1260"/>
      <c r="DGX20" s="1260"/>
      <c r="DGY20" s="1260"/>
      <c r="DGZ20" s="1260"/>
      <c r="DHA20" s="1260"/>
      <c r="DHB20" s="1260"/>
      <c r="DHC20" s="1260"/>
      <c r="DHD20" s="1260"/>
      <c r="DHE20" s="1260"/>
      <c r="DHF20" s="1260"/>
      <c r="DHG20" s="1260"/>
      <c r="DHH20" s="1260"/>
      <c r="DHI20" s="1260"/>
      <c r="DHJ20" s="1260"/>
      <c r="DHK20" s="1260"/>
      <c r="DHL20" s="1260"/>
      <c r="DHM20" s="1260"/>
      <c r="DHN20" s="1260"/>
      <c r="DHO20" s="1260"/>
      <c r="DHP20" s="1260"/>
      <c r="DHQ20" s="1260"/>
      <c r="DHR20" s="1260"/>
      <c r="DHS20" s="1260"/>
      <c r="DHT20" s="1260"/>
      <c r="DHU20" s="1260"/>
      <c r="DHV20" s="1260"/>
      <c r="DHW20" s="1260"/>
      <c r="DHX20" s="1260"/>
      <c r="DHY20" s="1260"/>
      <c r="DHZ20" s="1260"/>
      <c r="DIA20" s="1260"/>
      <c r="DIB20" s="1260"/>
      <c r="DIC20" s="1260"/>
      <c r="DID20" s="1260"/>
      <c r="DIE20" s="1260"/>
      <c r="DIF20" s="1260"/>
      <c r="DIG20" s="1260"/>
      <c r="DIH20" s="1260"/>
      <c r="DII20" s="1260"/>
      <c r="DIJ20" s="1260"/>
      <c r="DIK20" s="1260"/>
      <c r="DIL20" s="1260"/>
      <c r="DIM20" s="1260"/>
      <c r="DIN20" s="1260"/>
      <c r="DIO20" s="1260"/>
      <c r="DIP20" s="1260"/>
      <c r="DIQ20" s="1260"/>
      <c r="DIR20" s="1260"/>
      <c r="DIS20" s="1260"/>
      <c r="DIT20" s="1260"/>
      <c r="DIU20" s="1260"/>
      <c r="DIV20" s="1260"/>
      <c r="DIW20" s="1260"/>
      <c r="DIX20" s="1260"/>
      <c r="DIY20" s="1260"/>
      <c r="DIZ20" s="1260"/>
      <c r="DJA20" s="1260"/>
      <c r="DJB20" s="1260"/>
      <c r="DJC20" s="1260"/>
      <c r="DJD20" s="1260"/>
      <c r="DJE20" s="1260"/>
      <c r="DJF20" s="1260"/>
      <c r="DJG20" s="1260"/>
      <c r="DJH20" s="1260"/>
      <c r="DJI20" s="1260"/>
      <c r="DJJ20" s="1260"/>
      <c r="DJK20" s="1260"/>
      <c r="DJL20" s="1260"/>
      <c r="DJM20" s="1260"/>
      <c r="DJN20" s="1260"/>
      <c r="DJO20" s="1260"/>
      <c r="DJP20" s="1260"/>
      <c r="DJQ20" s="1260"/>
      <c r="DJR20" s="1260"/>
      <c r="DJS20" s="1260"/>
      <c r="DJT20" s="1260"/>
      <c r="DJU20" s="1260"/>
      <c r="DJV20" s="1260"/>
      <c r="DJW20" s="1260"/>
      <c r="DJX20" s="1260"/>
      <c r="DJY20" s="1260"/>
      <c r="DJZ20" s="1260"/>
      <c r="DKA20" s="1260"/>
      <c r="DKB20" s="1260"/>
      <c r="DKC20" s="1260"/>
      <c r="DKD20" s="1260"/>
      <c r="DKE20" s="1260"/>
      <c r="DKF20" s="1260"/>
      <c r="DKG20" s="1260"/>
      <c r="DKH20" s="1260"/>
      <c r="DKI20" s="1260"/>
      <c r="DKJ20" s="1260"/>
      <c r="DKK20" s="1260"/>
      <c r="DKL20" s="1260"/>
      <c r="DKM20" s="1260"/>
      <c r="DKN20" s="1260"/>
      <c r="DKO20" s="1260"/>
      <c r="DKP20" s="1260"/>
      <c r="DKQ20" s="1260"/>
      <c r="DKR20" s="1260"/>
      <c r="DKS20" s="1260"/>
      <c r="DKT20" s="1260"/>
      <c r="DKU20" s="1260"/>
      <c r="DKV20" s="1260"/>
      <c r="DKW20" s="1260"/>
      <c r="DKX20" s="1260"/>
      <c r="DKY20" s="1260"/>
      <c r="DKZ20" s="1260"/>
      <c r="DLA20" s="1260"/>
      <c r="DLB20" s="1260"/>
      <c r="DLC20" s="1260"/>
      <c r="DLD20" s="1260"/>
      <c r="DLE20" s="1260"/>
      <c r="DLF20" s="1260"/>
      <c r="DLG20" s="1260"/>
      <c r="DLH20" s="1260"/>
      <c r="DLI20" s="1260"/>
      <c r="DLJ20" s="1260"/>
      <c r="DLK20" s="1260"/>
      <c r="DLL20" s="1260"/>
      <c r="DLM20" s="1260"/>
      <c r="DLN20" s="1260"/>
      <c r="DLO20" s="1260"/>
      <c r="DLP20" s="1260"/>
      <c r="DLQ20" s="1260"/>
      <c r="DLR20" s="1260"/>
      <c r="DLS20" s="1260"/>
      <c r="DLT20" s="1260"/>
      <c r="DLU20" s="1260"/>
      <c r="DLV20" s="1260"/>
      <c r="DLW20" s="1260"/>
      <c r="DLX20" s="1260"/>
      <c r="DLY20" s="1260"/>
      <c r="DLZ20" s="1260"/>
      <c r="DMA20" s="1260"/>
      <c r="DMB20" s="1260"/>
      <c r="DMC20" s="1260"/>
      <c r="DMD20" s="1260"/>
      <c r="DME20" s="1260"/>
      <c r="DMF20" s="1260"/>
      <c r="DMG20" s="1260"/>
      <c r="DMH20" s="1260"/>
      <c r="DMI20" s="1260"/>
      <c r="DMJ20" s="1260"/>
      <c r="DMK20" s="1260"/>
      <c r="DML20" s="1260"/>
      <c r="DMM20" s="1260"/>
      <c r="DMN20" s="1260"/>
      <c r="DMO20" s="1260"/>
      <c r="DMP20" s="1260"/>
      <c r="DMQ20" s="1260"/>
      <c r="DMR20" s="1260"/>
      <c r="DMS20" s="1260"/>
      <c r="DMT20" s="1260"/>
      <c r="DMU20" s="1260"/>
      <c r="DMV20" s="1260"/>
      <c r="DMW20" s="1260"/>
      <c r="DMX20" s="1260"/>
      <c r="DMY20" s="1260"/>
      <c r="DMZ20" s="1260"/>
      <c r="DNA20" s="1260"/>
      <c r="DNB20" s="1260"/>
      <c r="DNC20" s="1260"/>
      <c r="DND20" s="1260"/>
      <c r="DNE20" s="1260"/>
      <c r="DNF20" s="1260"/>
      <c r="DNG20" s="1260"/>
      <c r="DNH20" s="1260"/>
      <c r="DNI20" s="1260"/>
      <c r="DNJ20" s="1260"/>
      <c r="DNK20" s="1260"/>
      <c r="DNL20" s="1260"/>
      <c r="DNM20" s="1260"/>
      <c r="DNN20" s="1260"/>
      <c r="DNO20" s="1260"/>
      <c r="DNP20" s="1260"/>
      <c r="DNQ20" s="1260"/>
      <c r="DNR20" s="1260"/>
      <c r="DNS20" s="1260"/>
      <c r="DNT20" s="1260"/>
      <c r="DNU20" s="1260"/>
      <c r="DNV20" s="1260"/>
      <c r="DNW20" s="1260"/>
      <c r="DNX20" s="1260"/>
      <c r="DNY20" s="1260"/>
      <c r="DNZ20" s="1260"/>
      <c r="DOA20" s="1260"/>
      <c r="DOB20" s="1260"/>
      <c r="DOC20" s="1260"/>
      <c r="DOD20" s="1260"/>
      <c r="DOE20" s="1260"/>
      <c r="DOF20" s="1260"/>
      <c r="DOG20" s="1260"/>
      <c r="DOH20" s="1260"/>
      <c r="DOI20" s="1260"/>
      <c r="DOJ20" s="1260"/>
      <c r="DOK20" s="1260"/>
      <c r="DOL20" s="1260"/>
      <c r="DOM20" s="1260"/>
      <c r="DON20" s="1260"/>
      <c r="DOO20" s="1260"/>
      <c r="DOP20" s="1260"/>
      <c r="DOQ20" s="1260"/>
      <c r="DOR20" s="1260"/>
      <c r="DOS20" s="1260"/>
      <c r="DOT20" s="1260"/>
      <c r="DOU20" s="1260"/>
      <c r="DOV20" s="1260"/>
      <c r="DOW20" s="1260"/>
      <c r="DOX20" s="1260"/>
      <c r="DOY20" s="1260"/>
      <c r="DOZ20" s="1260"/>
      <c r="DPA20" s="1260"/>
      <c r="DPB20" s="1260"/>
      <c r="DPC20" s="1260"/>
      <c r="DPD20" s="1260"/>
      <c r="DPE20" s="1260"/>
      <c r="DPF20" s="1260"/>
      <c r="DPG20" s="1260"/>
      <c r="DPH20" s="1260"/>
      <c r="DPI20" s="1260"/>
      <c r="DPJ20" s="1260"/>
      <c r="DPK20" s="1260"/>
      <c r="DPL20" s="1260"/>
      <c r="DPM20" s="1260"/>
      <c r="DPN20" s="1260"/>
      <c r="DPO20" s="1260"/>
      <c r="DPP20" s="1260"/>
      <c r="DPQ20" s="1260"/>
      <c r="DPR20" s="1260"/>
      <c r="DPS20" s="1260"/>
      <c r="DPT20" s="1260"/>
      <c r="DPU20" s="1260"/>
      <c r="DPV20" s="1260"/>
      <c r="DPW20" s="1260"/>
      <c r="DPX20" s="1260"/>
      <c r="DPY20" s="1260"/>
      <c r="DPZ20" s="1260"/>
      <c r="DQA20" s="1260"/>
      <c r="DQB20" s="1260"/>
      <c r="DQC20" s="1260"/>
      <c r="DQD20" s="1260"/>
      <c r="DQE20" s="1260"/>
      <c r="DQF20" s="1260"/>
      <c r="DQG20" s="1260"/>
      <c r="DQH20" s="1260"/>
      <c r="DQI20" s="1260"/>
      <c r="DQJ20" s="1260"/>
      <c r="DQK20" s="1260"/>
      <c r="DQL20" s="1260"/>
      <c r="DQM20" s="1260"/>
      <c r="DQN20" s="1260"/>
      <c r="DQO20" s="1260"/>
      <c r="DQP20" s="1260"/>
      <c r="DQQ20" s="1260"/>
      <c r="DQR20" s="1260"/>
      <c r="DQS20" s="1260"/>
      <c r="DQT20" s="1260"/>
      <c r="DQU20" s="1260"/>
      <c r="DQV20" s="1260"/>
      <c r="DQW20" s="1260"/>
      <c r="DQX20" s="1260"/>
      <c r="DQY20" s="1260"/>
      <c r="DQZ20" s="1260"/>
      <c r="DRA20" s="1260"/>
      <c r="DRB20" s="1260"/>
      <c r="DRC20" s="1260"/>
      <c r="DRD20" s="1260"/>
      <c r="DRE20" s="1260"/>
      <c r="DRF20" s="1260"/>
      <c r="DRG20" s="1260"/>
      <c r="DRH20" s="1260"/>
      <c r="DRI20" s="1260"/>
      <c r="DRJ20" s="1260"/>
      <c r="DRK20" s="1260"/>
      <c r="DRL20" s="1260"/>
      <c r="DRM20" s="1260"/>
      <c r="DRN20" s="1260"/>
      <c r="DRO20" s="1260"/>
      <c r="DRP20" s="1260"/>
      <c r="DRQ20" s="1260"/>
      <c r="DRR20" s="1260"/>
      <c r="DRS20" s="1260"/>
      <c r="DRT20" s="1260"/>
      <c r="DRU20" s="1260"/>
      <c r="DRV20" s="1260"/>
      <c r="DRW20" s="1260"/>
      <c r="DRX20" s="1260"/>
      <c r="DRY20" s="1260"/>
      <c r="DRZ20" s="1260"/>
      <c r="DSA20" s="1260"/>
      <c r="DSB20" s="1260"/>
      <c r="DSC20" s="1260"/>
      <c r="DSD20" s="1260"/>
      <c r="DSE20" s="1260"/>
      <c r="DSF20" s="1260"/>
      <c r="DSG20" s="1260"/>
      <c r="DSH20" s="1260"/>
      <c r="DSI20" s="1260"/>
      <c r="DSJ20" s="1260"/>
      <c r="DSK20" s="1260"/>
      <c r="DSL20" s="1260"/>
      <c r="DSM20" s="1260"/>
      <c r="DSN20" s="1260"/>
      <c r="DSO20" s="1260"/>
      <c r="DSP20" s="1260"/>
      <c r="DSQ20" s="1260"/>
      <c r="DSR20" s="1260"/>
      <c r="DSS20" s="1260"/>
      <c r="DST20" s="1260"/>
      <c r="DSU20" s="1260"/>
      <c r="DSV20" s="1260"/>
      <c r="DSW20" s="1260"/>
      <c r="DSX20" s="1260"/>
      <c r="DSY20" s="1260"/>
      <c r="DSZ20" s="1260"/>
      <c r="DTA20" s="1260"/>
      <c r="DTB20" s="1260"/>
      <c r="DTC20" s="1260"/>
      <c r="DTD20" s="1260"/>
      <c r="DTE20" s="1260"/>
      <c r="DTF20" s="1260"/>
      <c r="DTG20" s="1260"/>
      <c r="DTH20" s="1260"/>
      <c r="DTI20" s="1260"/>
      <c r="DTJ20" s="1260"/>
      <c r="DTK20" s="1260"/>
      <c r="DTL20" s="1260"/>
      <c r="DTM20" s="1260"/>
      <c r="DTN20" s="1260"/>
      <c r="DTO20" s="1260"/>
      <c r="DTP20" s="1260"/>
      <c r="DTQ20" s="1260"/>
      <c r="DTR20" s="1260"/>
      <c r="DTS20" s="1260"/>
      <c r="DTT20" s="1260"/>
      <c r="DTU20" s="1260"/>
      <c r="DTV20" s="1260"/>
      <c r="DTW20" s="1260"/>
      <c r="DTX20" s="1260"/>
      <c r="DTY20" s="1260"/>
      <c r="DTZ20" s="1260"/>
      <c r="DUA20" s="1260"/>
      <c r="DUB20" s="1260"/>
      <c r="DUC20" s="1260"/>
      <c r="DUD20" s="1260"/>
      <c r="DUE20" s="1260"/>
      <c r="DUF20" s="1260"/>
      <c r="DUG20" s="1260"/>
      <c r="DUH20" s="1260"/>
      <c r="DUI20" s="1260"/>
      <c r="DUJ20" s="1260"/>
      <c r="DUK20" s="1260"/>
      <c r="DUL20" s="1260"/>
      <c r="DUM20" s="1260"/>
      <c r="DUN20" s="1260"/>
      <c r="DUO20" s="1260"/>
      <c r="DUP20" s="1260"/>
      <c r="DUQ20" s="1260"/>
      <c r="DUR20" s="1260"/>
      <c r="DUS20" s="1260"/>
      <c r="DUT20" s="1260"/>
      <c r="DUU20" s="1260"/>
      <c r="DUV20" s="1260"/>
      <c r="DUW20" s="1260"/>
      <c r="DUX20" s="1260"/>
      <c r="DUY20" s="1260"/>
      <c r="DUZ20" s="1260"/>
      <c r="DVA20" s="1260"/>
      <c r="DVB20" s="1260"/>
      <c r="DVC20" s="1260"/>
      <c r="DVD20" s="1260"/>
      <c r="DVE20" s="1260"/>
      <c r="DVF20" s="1260"/>
      <c r="DVG20" s="1260"/>
      <c r="DVH20" s="1260"/>
      <c r="DVI20" s="1260"/>
      <c r="DVJ20" s="1260"/>
      <c r="DVK20" s="1260"/>
      <c r="DVL20" s="1260"/>
      <c r="DVM20" s="1260"/>
      <c r="DVN20" s="1260"/>
      <c r="DVO20" s="1260"/>
      <c r="DVP20" s="1260"/>
      <c r="DVQ20" s="1260"/>
      <c r="DVR20" s="1260"/>
      <c r="DVS20" s="1260"/>
      <c r="DVT20" s="1260"/>
      <c r="DVU20" s="1260"/>
      <c r="DVV20" s="1260"/>
      <c r="DVW20" s="1260"/>
      <c r="DVX20" s="1260"/>
      <c r="DVY20" s="1260"/>
      <c r="DVZ20" s="1260"/>
      <c r="DWA20" s="1260"/>
      <c r="DWB20" s="1260"/>
      <c r="DWC20" s="1260"/>
      <c r="DWD20" s="1260"/>
      <c r="DWE20" s="1260"/>
      <c r="DWF20" s="1260"/>
      <c r="DWG20" s="1260"/>
      <c r="DWH20" s="1260"/>
      <c r="DWI20" s="1260"/>
      <c r="DWJ20" s="1260"/>
      <c r="DWK20" s="1260"/>
      <c r="DWL20" s="1260"/>
      <c r="DWM20" s="1260"/>
      <c r="DWN20" s="1260"/>
      <c r="DWO20" s="1260"/>
      <c r="DWP20" s="1260"/>
      <c r="DWQ20" s="1260"/>
      <c r="DWR20" s="1260"/>
      <c r="DWS20" s="1260"/>
      <c r="DWT20" s="1260"/>
      <c r="DWU20" s="1260"/>
      <c r="DWV20" s="1260"/>
      <c r="DWW20" s="1260"/>
      <c r="DWX20" s="1260"/>
      <c r="DWY20" s="1260"/>
      <c r="DWZ20" s="1260"/>
      <c r="DXA20" s="1260"/>
      <c r="DXB20" s="1260"/>
      <c r="DXC20" s="1260"/>
      <c r="DXD20" s="1260"/>
      <c r="DXE20" s="1260"/>
      <c r="DXF20" s="1260"/>
      <c r="DXG20" s="1260"/>
      <c r="DXH20" s="1260"/>
      <c r="DXI20" s="1260"/>
      <c r="DXJ20" s="1260"/>
      <c r="DXK20" s="1260"/>
      <c r="DXL20" s="1260"/>
      <c r="DXM20" s="1260"/>
      <c r="DXN20" s="1260"/>
      <c r="DXO20" s="1260"/>
      <c r="DXP20" s="1260"/>
      <c r="DXQ20" s="1260"/>
      <c r="DXR20" s="1260"/>
      <c r="DXS20" s="1260"/>
      <c r="DXT20" s="1260"/>
      <c r="DXU20" s="1260"/>
      <c r="DXV20" s="1260"/>
      <c r="DXW20" s="1260"/>
      <c r="DXX20" s="1260"/>
      <c r="DXY20" s="1260"/>
      <c r="DXZ20" s="1260"/>
      <c r="DYA20" s="1260"/>
      <c r="DYB20" s="1260"/>
      <c r="DYC20" s="1260"/>
      <c r="DYD20" s="1260"/>
      <c r="DYE20" s="1260"/>
      <c r="DYF20" s="1260"/>
      <c r="DYG20" s="1260"/>
      <c r="DYH20" s="1260"/>
      <c r="DYI20" s="1260"/>
      <c r="DYJ20" s="1260"/>
      <c r="DYK20" s="1260"/>
      <c r="DYL20" s="1260"/>
      <c r="DYM20" s="1260"/>
      <c r="DYN20" s="1260"/>
      <c r="DYO20" s="1260"/>
      <c r="DYP20" s="1260"/>
      <c r="DYQ20" s="1260"/>
      <c r="DYR20" s="1260"/>
      <c r="DYS20" s="1260"/>
      <c r="DYT20" s="1260"/>
      <c r="DYU20" s="1260"/>
      <c r="DYV20" s="1260"/>
      <c r="DYW20" s="1260"/>
      <c r="DYX20" s="1260"/>
      <c r="DYY20" s="1260"/>
      <c r="DYZ20" s="1260"/>
      <c r="DZA20" s="1260"/>
      <c r="DZB20" s="1260"/>
      <c r="DZC20" s="1260"/>
      <c r="DZD20" s="1260"/>
      <c r="DZE20" s="1260"/>
      <c r="DZF20" s="1260"/>
      <c r="DZG20" s="1260"/>
      <c r="DZH20" s="1260"/>
      <c r="DZI20" s="1260"/>
      <c r="DZJ20" s="1260"/>
      <c r="DZK20" s="1260"/>
      <c r="DZL20" s="1260"/>
      <c r="DZM20" s="1260"/>
      <c r="DZN20" s="1260"/>
      <c r="DZO20" s="1260"/>
      <c r="DZP20" s="1260"/>
      <c r="DZQ20" s="1260"/>
      <c r="DZR20" s="1260"/>
      <c r="DZS20" s="1260"/>
      <c r="DZT20" s="1260"/>
      <c r="DZU20" s="1260"/>
      <c r="DZV20" s="1260"/>
      <c r="DZW20" s="1260"/>
      <c r="DZX20" s="1260"/>
      <c r="DZY20" s="1260"/>
      <c r="DZZ20" s="1260"/>
      <c r="EAA20" s="1260"/>
      <c r="EAB20" s="1260"/>
      <c r="EAC20" s="1260"/>
      <c r="EAD20" s="1260"/>
      <c r="EAE20" s="1260"/>
      <c r="EAF20" s="1260"/>
      <c r="EAG20" s="1260"/>
      <c r="EAH20" s="1260"/>
      <c r="EAI20" s="1260"/>
      <c r="EAJ20" s="1260"/>
      <c r="EAK20" s="1260"/>
      <c r="EAL20" s="1260"/>
      <c r="EAM20" s="1260"/>
      <c r="EAN20" s="1260"/>
      <c r="EAO20" s="1260"/>
      <c r="EAP20" s="1260"/>
      <c r="EAQ20" s="1260"/>
      <c r="EAR20" s="1260"/>
      <c r="EAS20" s="1260"/>
      <c r="EAT20" s="1260"/>
      <c r="EAU20" s="1260"/>
      <c r="EAV20" s="1260"/>
      <c r="EAW20" s="1260"/>
      <c r="EAX20" s="1260"/>
      <c r="EAY20" s="1260"/>
      <c r="EAZ20" s="1260"/>
      <c r="EBA20" s="1260"/>
      <c r="EBB20" s="1260"/>
      <c r="EBC20" s="1260"/>
      <c r="EBD20" s="1260"/>
      <c r="EBE20" s="1260"/>
      <c r="EBF20" s="1260"/>
      <c r="EBG20" s="1260"/>
      <c r="EBH20" s="1260"/>
      <c r="EBI20" s="1260"/>
      <c r="EBJ20" s="1260"/>
      <c r="EBK20" s="1260"/>
      <c r="EBL20" s="1260"/>
      <c r="EBM20" s="1260"/>
      <c r="EBN20" s="1260"/>
      <c r="EBO20" s="1260"/>
      <c r="EBP20" s="1260"/>
      <c r="EBQ20" s="1260"/>
      <c r="EBR20" s="1260"/>
      <c r="EBS20" s="1260"/>
      <c r="EBT20" s="1260"/>
      <c r="EBU20" s="1260"/>
      <c r="EBV20" s="1260"/>
      <c r="EBW20" s="1260"/>
      <c r="EBX20" s="1260"/>
      <c r="EBY20" s="1260"/>
      <c r="EBZ20" s="1260"/>
      <c r="ECA20" s="1260"/>
      <c r="ECB20" s="1260"/>
      <c r="ECC20" s="1260"/>
      <c r="ECD20" s="1260"/>
      <c r="ECE20" s="1260"/>
      <c r="ECF20" s="1260"/>
      <c r="ECG20" s="1260"/>
      <c r="ECH20" s="1260"/>
      <c r="ECI20" s="1260"/>
      <c r="ECJ20" s="1260"/>
      <c r="ECK20" s="1260"/>
      <c r="ECL20" s="1260"/>
      <c r="ECM20" s="1260"/>
      <c r="ECN20" s="1260"/>
      <c r="ECO20" s="1260"/>
      <c r="ECP20" s="1260"/>
      <c r="ECQ20" s="1260"/>
      <c r="ECR20" s="1260"/>
      <c r="ECS20" s="1260"/>
      <c r="ECT20" s="1260"/>
      <c r="ECU20" s="1260"/>
      <c r="ECV20" s="1260"/>
      <c r="ECW20" s="1260"/>
      <c r="ECX20" s="1260"/>
      <c r="ECY20" s="1260"/>
      <c r="ECZ20" s="1260"/>
      <c r="EDA20" s="1260"/>
      <c r="EDB20" s="1260"/>
      <c r="EDC20" s="1260"/>
      <c r="EDD20" s="1260"/>
      <c r="EDE20" s="1260"/>
      <c r="EDF20" s="1260"/>
      <c r="EDG20" s="1260"/>
      <c r="EDH20" s="1260"/>
      <c r="EDI20" s="1260"/>
      <c r="EDJ20" s="1260"/>
      <c r="EDK20" s="1260"/>
      <c r="EDL20" s="1260"/>
      <c r="EDM20" s="1260"/>
      <c r="EDN20" s="1260"/>
      <c r="EDO20" s="1260"/>
      <c r="EDP20" s="1260"/>
      <c r="EDQ20" s="1260"/>
      <c r="EDR20" s="1260"/>
      <c r="EDS20" s="1260"/>
      <c r="EDT20" s="1260"/>
      <c r="EDU20" s="1260"/>
      <c r="EDV20" s="1260"/>
      <c r="EDW20" s="1260"/>
      <c r="EDX20" s="1260"/>
      <c r="EDY20" s="1260"/>
      <c r="EDZ20" s="1260"/>
      <c r="EEA20" s="1260"/>
      <c r="EEB20" s="1260"/>
      <c r="EEC20" s="1260"/>
      <c r="EED20" s="1260"/>
      <c r="EEE20" s="1260"/>
      <c r="EEF20" s="1260"/>
      <c r="EEG20" s="1260"/>
      <c r="EEH20" s="1260"/>
      <c r="EEI20" s="1260"/>
      <c r="EEJ20" s="1260"/>
      <c r="EEK20" s="1260"/>
      <c r="EEL20" s="1260"/>
      <c r="EEM20" s="1260"/>
      <c r="EEN20" s="1260"/>
      <c r="EEO20" s="1260"/>
      <c r="EEP20" s="1260"/>
      <c r="EEQ20" s="1260"/>
      <c r="EER20" s="1260"/>
      <c r="EES20" s="1260"/>
      <c r="EET20" s="1260"/>
      <c r="EEU20" s="1260"/>
      <c r="EEV20" s="1260"/>
      <c r="EEW20" s="1260"/>
      <c r="EEX20" s="1260"/>
      <c r="EEY20" s="1260"/>
      <c r="EEZ20" s="1260"/>
      <c r="EFA20" s="1260"/>
      <c r="EFB20" s="1260"/>
      <c r="EFC20" s="1260"/>
      <c r="EFD20" s="1260"/>
      <c r="EFE20" s="1260"/>
      <c r="EFF20" s="1260"/>
      <c r="EFG20" s="1260"/>
      <c r="EFH20" s="1260"/>
      <c r="EFI20" s="1260"/>
      <c r="EFJ20" s="1260"/>
      <c r="EFK20" s="1260"/>
      <c r="EFL20" s="1260"/>
      <c r="EFM20" s="1260"/>
      <c r="EFN20" s="1260"/>
      <c r="EFO20" s="1260"/>
      <c r="EFP20" s="1260"/>
      <c r="EFQ20" s="1260"/>
      <c r="EFR20" s="1260"/>
      <c r="EFS20" s="1260"/>
      <c r="EFT20" s="1260"/>
      <c r="EFU20" s="1260"/>
      <c r="EFV20" s="1260"/>
      <c r="EFW20" s="1260"/>
      <c r="EFX20" s="1260"/>
      <c r="EFY20" s="1260"/>
      <c r="EFZ20" s="1260"/>
      <c r="EGA20" s="1260"/>
      <c r="EGB20" s="1260"/>
      <c r="EGC20" s="1260"/>
      <c r="EGD20" s="1260"/>
      <c r="EGE20" s="1260"/>
      <c r="EGF20" s="1260"/>
      <c r="EGG20" s="1260"/>
      <c r="EGH20" s="1260"/>
      <c r="EGI20" s="1260"/>
      <c r="EGJ20" s="1260"/>
      <c r="EGK20" s="1260"/>
      <c r="EGL20" s="1260"/>
      <c r="EGM20" s="1260"/>
      <c r="EGN20" s="1260"/>
      <c r="EGO20" s="1260"/>
      <c r="EGP20" s="1260"/>
      <c r="EGQ20" s="1260"/>
      <c r="EGR20" s="1260"/>
      <c r="EGS20" s="1260"/>
      <c r="EGT20" s="1260"/>
      <c r="EGU20" s="1260"/>
      <c r="EGV20" s="1260"/>
      <c r="EGW20" s="1260"/>
      <c r="EGX20" s="1260"/>
      <c r="EGY20" s="1260"/>
      <c r="EGZ20" s="1260"/>
      <c r="EHA20" s="1260"/>
      <c r="EHB20" s="1260"/>
      <c r="EHC20" s="1260"/>
      <c r="EHD20" s="1260"/>
      <c r="EHE20" s="1260"/>
      <c r="EHF20" s="1260"/>
      <c r="EHG20" s="1260"/>
      <c r="EHH20" s="1260"/>
      <c r="EHI20" s="1260"/>
      <c r="EHJ20" s="1260"/>
      <c r="EHK20" s="1260"/>
      <c r="EHL20" s="1260"/>
      <c r="EHM20" s="1260"/>
      <c r="EHN20" s="1260"/>
      <c r="EHO20" s="1260"/>
      <c r="EHP20" s="1260"/>
      <c r="EHQ20" s="1260"/>
      <c r="EHR20" s="1260"/>
      <c r="EHS20" s="1260"/>
      <c r="EHT20" s="1260"/>
      <c r="EHU20" s="1260"/>
      <c r="EHV20" s="1260"/>
      <c r="EHW20" s="1260"/>
      <c r="EHX20" s="1260"/>
      <c r="EHY20" s="1260"/>
      <c r="EHZ20" s="1260"/>
      <c r="EIA20" s="1260"/>
      <c r="EIB20" s="1260"/>
      <c r="EIC20" s="1260"/>
      <c r="EID20" s="1260"/>
      <c r="EIE20" s="1260"/>
      <c r="EIF20" s="1260"/>
      <c r="EIG20" s="1260"/>
      <c r="EIH20" s="1260"/>
      <c r="EII20" s="1260"/>
      <c r="EIJ20" s="1260"/>
      <c r="EIK20" s="1260"/>
      <c r="EIL20" s="1260"/>
      <c r="EIM20" s="1260"/>
      <c r="EIN20" s="1260"/>
      <c r="EIO20" s="1260"/>
      <c r="EIP20" s="1260"/>
      <c r="EIQ20" s="1260"/>
      <c r="EIR20" s="1260"/>
      <c r="EIS20" s="1260"/>
      <c r="EIT20" s="1260"/>
      <c r="EIU20" s="1260"/>
      <c r="EIV20" s="1260"/>
      <c r="EIW20" s="1260"/>
      <c r="EIX20" s="1260"/>
      <c r="EIY20" s="1260"/>
      <c r="EIZ20" s="1260"/>
      <c r="EJA20" s="1260"/>
      <c r="EJB20" s="1260"/>
      <c r="EJC20" s="1260"/>
      <c r="EJD20" s="1260"/>
      <c r="EJE20" s="1260"/>
      <c r="EJF20" s="1260"/>
      <c r="EJG20" s="1260"/>
      <c r="EJH20" s="1260"/>
      <c r="EJI20" s="1260"/>
      <c r="EJJ20" s="1260"/>
      <c r="EJK20" s="1260"/>
      <c r="EJL20" s="1260"/>
      <c r="EJM20" s="1260"/>
      <c r="EJN20" s="1260"/>
      <c r="EJO20" s="1260"/>
      <c r="EJP20" s="1260"/>
      <c r="EJQ20" s="1260"/>
      <c r="EJR20" s="1260"/>
      <c r="EJS20" s="1260"/>
      <c r="EJT20" s="1260"/>
      <c r="EJU20" s="1260"/>
      <c r="EJV20" s="1260"/>
      <c r="EJW20" s="1260"/>
      <c r="EJX20" s="1260"/>
      <c r="EJY20" s="1260"/>
      <c r="EJZ20" s="1260"/>
      <c r="EKA20" s="1260"/>
      <c r="EKB20" s="1260"/>
      <c r="EKC20" s="1260"/>
      <c r="EKD20" s="1260"/>
      <c r="EKE20" s="1260"/>
      <c r="EKF20" s="1260"/>
      <c r="EKG20" s="1260"/>
      <c r="EKH20" s="1260"/>
      <c r="EKI20" s="1260"/>
      <c r="EKJ20" s="1260"/>
      <c r="EKK20" s="1260"/>
      <c r="EKL20" s="1260"/>
      <c r="EKM20" s="1260"/>
      <c r="EKN20" s="1260"/>
      <c r="EKO20" s="1260"/>
      <c r="EKP20" s="1260"/>
      <c r="EKQ20" s="1260"/>
      <c r="EKR20" s="1260"/>
      <c r="EKS20" s="1260"/>
      <c r="EKT20" s="1260"/>
      <c r="EKU20" s="1260"/>
      <c r="EKV20" s="1260"/>
      <c r="EKW20" s="1260"/>
      <c r="EKX20" s="1260"/>
      <c r="EKY20" s="1260"/>
      <c r="EKZ20" s="1260"/>
      <c r="ELA20" s="1260"/>
      <c r="ELB20" s="1260"/>
      <c r="ELC20" s="1260"/>
      <c r="ELD20" s="1260"/>
      <c r="ELE20" s="1260"/>
      <c r="ELF20" s="1260"/>
      <c r="ELG20" s="1260"/>
      <c r="ELH20" s="1260"/>
      <c r="ELI20" s="1260"/>
      <c r="ELJ20" s="1260"/>
      <c r="ELK20" s="1260"/>
      <c r="ELL20" s="1260"/>
      <c r="ELM20" s="1260"/>
      <c r="ELN20" s="1260"/>
      <c r="ELO20" s="1260"/>
      <c r="ELP20" s="1260"/>
      <c r="ELQ20" s="1260"/>
      <c r="ELR20" s="1260"/>
      <c r="ELS20" s="1260"/>
      <c r="ELT20" s="1260"/>
      <c r="ELU20" s="1260"/>
      <c r="ELV20" s="1260"/>
      <c r="ELW20" s="1260"/>
      <c r="ELX20" s="1260"/>
      <c r="ELY20" s="1260"/>
      <c r="ELZ20" s="1260"/>
      <c r="EMA20" s="1260"/>
      <c r="EMB20" s="1260"/>
      <c r="EMC20" s="1260"/>
      <c r="EMD20" s="1260"/>
      <c r="EME20" s="1260"/>
      <c r="EMF20" s="1260"/>
      <c r="EMG20" s="1260"/>
      <c r="EMH20" s="1260"/>
      <c r="EMI20" s="1260"/>
      <c r="EMJ20" s="1260"/>
      <c r="EMK20" s="1260"/>
      <c r="EML20" s="1260"/>
      <c r="EMM20" s="1260"/>
      <c r="EMN20" s="1260"/>
      <c r="EMO20" s="1260"/>
      <c r="EMP20" s="1260"/>
      <c r="EMQ20" s="1260"/>
      <c r="EMR20" s="1260"/>
      <c r="EMS20" s="1260"/>
      <c r="EMT20" s="1260"/>
      <c r="EMU20" s="1260"/>
      <c r="EMV20" s="1260"/>
      <c r="EMW20" s="1260"/>
      <c r="EMX20" s="1260"/>
      <c r="EMY20" s="1260"/>
      <c r="EMZ20" s="1260"/>
      <c r="ENA20" s="1260"/>
      <c r="ENB20" s="1260"/>
      <c r="ENC20" s="1260"/>
      <c r="END20" s="1260"/>
      <c r="ENE20" s="1260"/>
      <c r="ENF20" s="1260"/>
      <c r="ENG20" s="1260"/>
      <c r="ENH20" s="1260"/>
      <c r="ENI20" s="1260"/>
      <c r="ENJ20" s="1260"/>
      <c r="ENK20" s="1260"/>
      <c r="ENL20" s="1260"/>
      <c r="ENM20" s="1260"/>
      <c r="ENN20" s="1260"/>
      <c r="ENO20" s="1260"/>
      <c r="ENP20" s="1260"/>
      <c r="ENQ20" s="1260"/>
      <c r="ENR20" s="1260"/>
      <c r="ENS20" s="1260"/>
      <c r="ENT20" s="1260"/>
      <c r="ENU20" s="1260"/>
      <c r="ENV20" s="1260"/>
      <c r="ENW20" s="1260"/>
      <c r="ENX20" s="1260"/>
      <c r="ENY20" s="1260"/>
      <c r="ENZ20" s="1260"/>
      <c r="EOA20" s="1260"/>
      <c r="EOB20" s="1260"/>
      <c r="EOC20" s="1260"/>
      <c r="EOD20" s="1260"/>
      <c r="EOE20" s="1260"/>
      <c r="EOF20" s="1260"/>
      <c r="EOG20" s="1260"/>
      <c r="EOH20" s="1260"/>
      <c r="EOI20" s="1260"/>
      <c r="EOJ20" s="1260"/>
      <c r="EOK20" s="1260"/>
      <c r="EOL20" s="1260"/>
      <c r="EOM20" s="1260"/>
      <c r="EON20" s="1260"/>
      <c r="EOO20" s="1260"/>
      <c r="EOP20" s="1260"/>
      <c r="EOQ20" s="1260"/>
      <c r="EOR20" s="1260"/>
      <c r="EOS20" s="1260"/>
      <c r="EOT20" s="1260"/>
      <c r="EOU20" s="1260"/>
      <c r="EOV20" s="1260"/>
      <c r="EOW20" s="1260"/>
      <c r="EOX20" s="1260"/>
      <c r="EOY20" s="1260"/>
      <c r="EOZ20" s="1260"/>
      <c r="EPA20" s="1260"/>
      <c r="EPB20" s="1260"/>
      <c r="EPC20" s="1260"/>
      <c r="EPD20" s="1260"/>
      <c r="EPE20" s="1260"/>
      <c r="EPF20" s="1260"/>
      <c r="EPG20" s="1260"/>
      <c r="EPH20" s="1260"/>
      <c r="EPI20" s="1260"/>
      <c r="EPJ20" s="1260"/>
      <c r="EPK20" s="1260"/>
      <c r="EPL20" s="1260"/>
      <c r="EPM20" s="1260"/>
      <c r="EPN20" s="1260"/>
      <c r="EPO20" s="1260"/>
      <c r="EPP20" s="1260"/>
      <c r="EPQ20" s="1260"/>
      <c r="EPR20" s="1260"/>
      <c r="EPS20" s="1260"/>
      <c r="EPT20" s="1260"/>
      <c r="EPU20" s="1260"/>
      <c r="EPV20" s="1260"/>
      <c r="EPW20" s="1260"/>
      <c r="EPX20" s="1260"/>
      <c r="EPY20" s="1260"/>
      <c r="EPZ20" s="1260"/>
      <c r="EQA20" s="1260"/>
      <c r="EQB20" s="1260"/>
      <c r="EQC20" s="1260"/>
      <c r="EQD20" s="1260"/>
      <c r="EQE20" s="1260"/>
      <c r="EQF20" s="1260"/>
      <c r="EQG20" s="1260"/>
      <c r="EQH20" s="1260"/>
      <c r="EQI20" s="1260"/>
      <c r="EQJ20" s="1260"/>
      <c r="EQK20" s="1260"/>
      <c r="EQL20" s="1260"/>
      <c r="EQM20" s="1260"/>
      <c r="EQN20" s="1260"/>
      <c r="EQO20" s="1260"/>
      <c r="EQP20" s="1260"/>
      <c r="EQQ20" s="1260"/>
      <c r="EQR20" s="1260"/>
      <c r="EQS20" s="1260"/>
      <c r="EQT20" s="1260"/>
      <c r="EQU20" s="1260"/>
      <c r="EQV20" s="1260"/>
      <c r="EQW20" s="1260"/>
      <c r="EQX20" s="1260"/>
      <c r="EQY20" s="1260"/>
      <c r="EQZ20" s="1260"/>
      <c r="ERA20" s="1260"/>
      <c r="ERB20" s="1260"/>
      <c r="ERC20" s="1260"/>
      <c r="ERD20" s="1260"/>
      <c r="ERE20" s="1260"/>
      <c r="ERF20" s="1260"/>
      <c r="ERG20" s="1260"/>
      <c r="ERH20" s="1260"/>
      <c r="ERI20" s="1260"/>
      <c r="ERJ20" s="1260"/>
      <c r="ERK20" s="1260"/>
      <c r="ERL20" s="1260"/>
      <c r="ERM20" s="1260"/>
      <c r="ERN20" s="1260"/>
      <c r="ERO20" s="1260"/>
      <c r="ERP20" s="1260"/>
      <c r="ERQ20" s="1260"/>
      <c r="ERR20" s="1260"/>
      <c r="ERS20" s="1260"/>
      <c r="ERT20" s="1260"/>
      <c r="ERU20" s="1260"/>
      <c r="ERV20" s="1260"/>
      <c r="ERW20" s="1260"/>
      <c r="ERX20" s="1260"/>
      <c r="ERY20" s="1260"/>
      <c r="ERZ20" s="1260"/>
      <c r="ESA20" s="1260"/>
      <c r="ESB20" s="1260"/>
      <c r="ESC20" s="1260"/>
      <c r="ESD20" s="1260"/>
      <c r="ESE20" s="1260"/>
      <c r="ESF20" s="1260"/>
      <c r="ESG20" s="1260"/>
      <c r="ESH20" s="1260"/>
      <c r="ESI20" s="1260"/>
      <c r="ESJ20" s="1260"/>
      <c r="ESK20" s="1260"/>
      <c r="ESL20" s="1260"/>
      <c r="ESM20" s="1260"/>
      <c r="ESN20" s="1260"/>
      <c r="ESO20" s="1260"/>
      <c r="ESP20" s="1260"/>
      <c r="ESQ20" s="1260"/>
      <c r="ESR20" s="1260"/>
      <c r="ESS20" s="1260"/>
      <c r="EST20" s="1260"/>
      <c r="ESU20" s="1260"/>
      <c r="ESV20" s="1260"/>
      <c r="ESW20" s="1260"/>
      <c r="ESX20" s="1260"/>
      <c r="ESY20" s="1260"/>
      <c r="ESZ20" s="1260"/>
      <c r="ETA20" s="1260"/>
      <c r="ETB20" s="1260"/>
      <c r="ETC20" s="1260"/>
      <c r="ETD20" s="1260"/>
      <c r="ETE20" s="1260"/>
      <c r="ETF20" s="1260"/>
      <c r="ETG20" s="1260"/>
      <c r="ETH20" s="1260"/>
      <c r="ETI20" s="1260"/>
      <c r="ETJ20" s="1260"/>
      <c r="ETK20" s="1260"/>
      <c r="ETL20" s="1260"/>
      <c r="ETM20" s="1260"/>
      <c r="ETN20" s="1260"/>
      <c r="ETO20" s="1260"/>
      <c r="ETP20" s="1260"/>
      <c r="ETQ20" s="1260"/>
      <c r="ETR20" s="1260"/>
      <c r="ETS20" s="1260"/>
      <c r="ETT20" s="1260"/>
      <c r="ETU20" s="1260"/>
      <c r="ETV20" s="1260"/>
      <c r="ETW20" s="1260"/>
      <c r="ETX20" s="1260"/>
      <c r="ETY20" s="1260"/>
      <c r="ETZ20" s="1260"/>
      <c r="EUA20" s="1260"/>
      <c r="EUB20" s="1260"/>
      <c r="EUC20" s="1260"/>
      <c r="EUD20" s="1260"/>
      <c r="EUE20" s="1260"/>
      <c r="EUF20" s="1260"/>
      <c r="EUG20" s="1260"/>
      <c r="EUH20" s="1260"/>
      <c r="EUI20" s="1260"/>
      <c r="EUJ20" s="1260"/>
      <c r="EUK20" s="1260"/>
      <c r="EUL20" s="1260"/>
      <c r="EUM20" s="1260"/>
      <c r="EUN20" s="1260"/>
      <c r="EUO20" s="1260"/>
      <c r="EUP20" s="1260"/>
      <c r="EUQ20" s="1260"/>
      <c r="EUR20" s="1260"/>
      <c r="EUS20" s="1260"/>
      <c r="EUT20" s="1260"/>
      <c r="EUU20" s="1260"/>
      <c r="EUV20" s="1260"/>
      <c r="EUW20" s="1260"/>
      <c r="EUX20" s="1260"/>
      <c r="EUY20" s="1260"/>
      <c r="EUZ20" s="1260"/>
      <c r="EVA20" s="1260"/>
      <c r="EVB20" s="1260"/>
      <c r="EVC20" s="1260"/>
      <c r="EVD20" s="1260"/>
      <c r="EVE20" s="1260"/>
      <c r="EVF20" s="1260"/>
      <c r="EVG20" s="1260"/>
      <c r="EVH20" s="1260"/>
      <c r="EVI20" s="1260"/>
      <c r="EVJ20" s="1260"/>
      <c r="EVK20" s="1260"/>
      <c r="EVL20" s="1260"/>
      <c r="EVM20" s="1260"/>
      <c r="EVN20" s="1260"/>
      <c r="EVO20" s="1260"/>
      <c r="EVP20" s="1260"/>
      <c r="EVQ20" s="1260"/>
      <c r="EVR20" s="1260"/>
      <c r="EVS20" s="1260"/>
      <c r="EVT20" s="1260"/>
      <c r="EVU20" s="1260"/>
      <c r="EVV20" s="1260"/>
      <c r="EVW20" s="1260"/>
      <c r="EVX20" s="1260"/>
      <c r="EVY20" s="1260"/>
      <c r="EVZ20" s="1260"/>
      <c r="EWA20" s="1260"/>
      <c r="EWB20" s="1260"/>
      <c r="EWC20" s="1260"/>
      <c r="EWD20" s="1260"/>
      <c r="EWE20" s="1260"/>
      <c r="EWF20" s="1260"/>
      <c r="EWG20" s="1260"/>
      <c r="EWH20" s="1260"/>
      <c r="EWI20" s="1260"/>
      <c r="EWJ20" s="1260"/>
      <c r="EWK20" s="1260"/>
      <c r="EWL20" s="1260"/>
      <c r="EWM20" s="1260"/>
      <c r="EWN20" s="1260"/>
      <c r="EWO20" s="1260"/>
      <c r="EWP20" s="1260"/>
      <c r="EWQ20" s="1260"/>
      <c r="EWR20" s="1260"/>
      <c r="EWS20" s="1260"/>
      <c r="EWT20" s="1260"/>
      <c r="EWU20" s="1260"/>
      <c r="EWV20" s="1260"/>
      <c r="EWW20" s="1260"/>
      <c r="EWX20" s="1260"/>
      <c r="EWY20" s="1260"/>
      <c r="EWZ20" s="1260"/>
      <c r="EXA20" s="1260"/>
      <c r="EXB20" s="1260"/>
      <c r="EXC20" s="1260"/>
      <c r="EXD20" s="1260"/>
      <c r="EXE20" s="1260"/>
      <c r="EXF20" s="1260"/>
      <c r="EXG20" s="1260"/>
      <c r="EXH20" s="1260"/>
      <c r="EXI20" s="1260"/>
      <c r="EXJ20" s="1260"/>
      <c r="EXK20" s="1260"/>
      <c r="EXL20" s="1260"/>
      <c r="EXM20" s="1260"/>
      <c r="EXN20" s="1260"/>
      <c r="EXO20" s="1260"/>
      <c r="EXP20" s="1260"/>
      <c r="EXQ20" s="1260"/>
      <c r="EXR20" s="1260"/>
      <c r="EXS20" s="1260"/>
      <c r="EXT20" s="1260"/>
      <c r="EXU20" s="1260"/>
      <c r="EXV20" s="1260"/>
      <c r="EXW20" s="1260"/>
      <c r="EXX20" s="1260"/>
      <c r="EXY20" s="1260"/>
      <c r="EXZ20" s="1260"/>
      <c r="EYA20" s="1260"/>
      <c r="EYB20" s="1260"/>
      <c r="EYC20" s="1260"/>
      <c r="EYD20" s="1260"/>
      <c r="EYE20" s="1260"/>
      <c r="EYF20" s="1260"/>
      <c r="EYG20" s="1260"/>
      <c r="EYH20" s="1260"/>
      <c r="EYI20" s="1260"/>
      <c r="EYJ20" s="1260"/>
      <c r="EYK20" s="1260"/>
      <c r="EYL20" s="1260"/>
      <c r="EYM20" s="1260"/>
      <c r="EYN20" s="1260"/>
      <c r="EYO20" s="1260"/>
      <c r="EYP20" s="1260"/>
      <c r="EYQ20" s="1260"/>
      <c r="EYR20" s="1260"/>
      <c r="EYS20" s="1260"/>
      <c r="EYT20" s="1260"/>
      <c r="EYU20" s="1260"/>
      <c r="EYV20" s="1260"/>
      <c r="EYW20" s="1260"/>
      <c r="EYX20" s="1260"/>
      <c r="EYY20" s="1260"/>
      <c r="EYZ20" s="1260"/>
      <c r="EZA20" s="1260"/>
      <c r="EZB20" s="1260"/>
      <c r="EZC20" s="1260"/>
      <c r="EZD20" s="1260"/>
      <c r="EZE20" s="1260"/>
      <c r="EZF20" s="1260"/>
      <c r="EZG20" s="1260"/>
      <c r="EZH20" s="1260"/>
      <c r="EZI20" s="1260"/>
      <c r="EZJ20" s="1260"/>
      <c r="EZK20" s="1260"/>
      <c r="EZL20" s="1260"/>
      <c r="EZM20" s="1260"/>
      <c r="EZN20" s="1260"/>
      <c r="EZO20" s="1260"/>
      <c r="EZP20" s="1260"/>
      <c r="EZQ20" s="1260"/>
      <c r="EZR20" s="1260"/>
      <c r="EZS20" s="1260"/>
      <c r="EZT20" s="1260"/>
      <c r="EZU20" s="1260"/>
      <c r="EZV20" s="1260"/>
      <c r="EZW20" s="1260"/>
      <c r="EZX20" s="1260"/>
      <c r="EZY20" s="1260"/>
      <c r="EZZ20" s="1260"/>
      <c r="FAA20" s="1260"/>
      <c r="FAB20" s="1260"/>
      <c r="FAC20" s="1260"/>
      <c r="FAD20" s="1260"/>
      <c r="FAE20" s="1260"/>
      <c r="FAF20" s="1260"/>
      <c r="FAG20" s="1260"/>
      <c r="FAH20" s="1260"/>
      <c r="FAI20" s="1260"/>
      <c r="FAJ20" s="1260"/>
      <c r="FAK20" s="1260"/>
      <c r="FAL20" s="1260"/>
      <c r="FAM20" s="1260"/>
      <c r="FAN20" s="1260"/>
      <c r="FAO20" s="1260"/>
      <c r="FAP20" s="1260"/>
      <c r="FAQ20" s="1260"/>
      <c r="FAR20" s="1260"/>
      <c r="FAS20" s="1260"/>
      <c r="FAT20" s="1260"/>
      <c r="FAU20" s="1260"/>
      <c r="FAV20" s="1260"/>
      <c r="FAW20" s="1260"/>
      <c r="FAX20" s="1260"/>
      <c r="FAY20" s="1260"/>
      <c r="FAZ20" s="1260"/>
      <c r="FBA20" s="1260"/>
      <c r="FBB20" s="1260"/>
      <c r="FBC20" s="1260"/>
      <c r="FBD20" s="1260"/>
      <c r="FBE20" s="1260"/>
      <c r="FBF20" s="1260"/>
      <c r="FBG20" s="1260"/>
      <c r="FBH20" s="1260"/>
      <c r="FBI20" s="1260"/>
      <c r="FBJ20" s="1260"/>
      <c r="FBK20" s="1260"/>
      <c r="FBL20" s="1260"/>
      <c r="FBM20" s="1260"/>
      <c r="FBN20" s="1260"/>
      <c r="FBO20" s="1260"/>
      <c r="FBP20" s="1260"/>
      <c r="FBQ20" s="1260"/>
      <c r="FBR20" s="1260"/>
      <c r="FBS20" s="1260"/>
      <c r="FBT20" s="1260"/>
      <c r="FBU20" s="1260"/>
      <c r="FBV20" s="1260"/>
      <c r="FBW20" s="1260"/>
      <c r="FBX20" s="1260"/>
      <c r="FBY20" s="1260"/>
      <c r="FBZ20" s="1260"/>
      <c r="FCA20" s="1260"/>
      <c r="FCB20" s="1260"/>
      <c r="FCC20" s="1260"/>
      <c r="FCD20" s="1260"/>
      <c r="FCE20" s="1260"/>
      <c r="FCF20" s="1260"/>
      <c r="FCG20" s="1260"/>
      <c r="FCH20" s="1260"/>
      <c r="FCI20" s="1260"/>
      <c r="FCJ20" s="1260"/>
      <c r="FCK20" s="1260"/>
      <c r="FCL20" s="1260"/>
      <c r="FCM20" s="1260"/>
      <c r="FCN20" s="1260"/>
      <c r="FCO20" s="1260"/>
      <c r="FCP20" s="1260"/>
      <c r="FCQ20" s="1260"/>
      <c r="FCR20" s="1260"/>
      <c r="FCS20" s="1260"/>
      <c r="FCT20" s="1260"/>
      <c r="FCU20" s="1260"/>
      <c r="FCV20" s="1260"/>
      <c r="FCW20" s="1260"/>
      <c r="FCX20" s="1260"/>
      <c r="FCY20" s="1260"/>
      <c r="FCZ20" s="1260"/>
      <c r="FDA20" s="1260"/>
      <c r="FDB20" s="1260"/>
      <c r="FDC20" s="1260"/>
      <c r="FDD20" s="1260"/>
      <c r="FDE20" s="1260"/>
      <c r="FDF20" s="1260"/>
      <c r="FDG20" s="1260"/>
      <c r="FDH20" s="1260"/>
      <c r="FDI20" s="1260"/>
      <c r="FDJ20" s="1260"/>
      <c r="FDK20" s="1260"/>
      <c r="FDL20" s="1260"/>
      <c r="FDM20" s="1260"/>
      <c r="FDN20" s="1260"/>
      <c r="FDO20" s="1260"/>
      <c r="FDP20" s="1260"/>
      <c r="FDQ20" s="1260"/>
      <c r="FDR20" s="1260"/>
      <c r="FDS20" s="1260"/>
      <c r="FDT20" s="1260"/>
      <c r="FDU20" s="1260"/>
      <c r="FDV20" s="1260"/>
      <c r="FDW20" s="1260"/>
      <c r="FDX20" s="1260"/>
      <c r="FDY20" s="1260"/>
      <c r="FDZ20" s="1260"/>
      <c r="FEA20" s="1260"/>
      <c r="FEB20" s="1260"/>
      <c r="FEC20" s="1260"/>
      <c r="FED20" s="1260"/>
      <c r="FEE20" s="1260"/>
      <c r="FEF20" s="1260"/>
      <c r="FEG20" s="1260"/>
      <c r="FEH20" s="1260"/>
      <c r="FEI20" s="1260"/>
      <c r="FEJ20" s="1260"/>
      <c r="FEK20" s="1260"/>
      <c r="FEL20" s="1260"/>
      <c r="FEM20" s="1260"/>
      <c r="FEN20" s="1260"/>
      <c r="FEO20" s="1260"/>
      <c r="FEP20" s="1260"/>
      <c r="FEQ20" s="1260"/>
      <c r="FER20" s="1260"/>
      <c r="FES20" s="1260"/>
      <c r="FET20" s="1260"/>
      <c r="FEU20" s="1260"/>
      <c r="FEV20" s="1260"/>
      <c r="FEW20" s="1260"/>
      <c r="FEX20" s="1260"/>
      <c r="FEY20" s="1260"/>
      <c r="FEZ20" s="1260"/>
      <c r="FFA20" s="1260"/>
      <c r="FFB20" s="1260"/>
      <c r="FFC20" s="1260"/>
      <c r="FFD20" s="1260"/>
      <c r="FFE20" s="1260"/>
      <c r="FFF20" s="1260"/>
      <c r="FFG20" s="1260"/>
      <c r="FFH20" s="1260"/>
      <c r="FFI20" s="1260"/>
      <c r="FFJ20" s="1260"/>
      <c r="FFK20" s="1260"/>
      <c r="FFL20" s="1260"/>
      <c r="FFM20" s="1260"/>
      <c r="FFN20" s="1260"/>
      <c r="FFO20" s="1260"/>
      <c r="FFP20" s="1260"/>
      <c r="FFQ20" s="1260"/>
      <c r="FFR20" s="1260"/>
      <c r="FFS20" s="1260"/>
      <c r="FFT20" s="1260"/>
      <c r="FFU20" s="1260"/>
      <c r="FFV20" s="1260"/>
      <c r="FFW20" s="1260"/>
      <c r="FFX20" s="1260"/>
      <c r="FFY20" s="1260"/>
      <c r="FFZ20" s="1260"/>
      <c r="FGA20" s="1260"/>
      <c r="FGB20" s="1260"/>
      <c r="FGC20" s="1260"/>
      <c r="FGD20" s="1260"/>
      <c r="FGE20" s="1260"/>
      <c r="FGF20" s="1260"/>
      <c r="FGG20" s="1260"/>
      <c r="FGH20" s="1260"/>
      <c r="FGI20" s="1260"/>
      <c r="FGJ20" s="1260"/>
      <c r="FGK20" s="1260"/>
      <c r="FGL20" s="1260"/>
      <c r="FGM20" s="1260"/>
      <c r="FGN20" s="1260"/>
      <c r="FGO20" s="1260"/>
      <c r="FGP20" s="1260"/>
      <c r="FGQ20" s="1260"/>
      <c r="FGR20" s="1260"/>
      <c r="FGS20" s="1260"/>
      <c r="FGT20" s="1260"/>
      <c r="FGU20" s="1260"/>
      <c r="FGV20" s="1260"/>
      <c r="FGW20" s="1260"/>
      <c r="FGX20" s="1260"/>
      <c r="FGY20" s="1260"/>
      <c r="FGZ20" s="1260"/>
      <c r="FHA20" s="1260"/>
      <c r="FHB20" s="1260"/>
      <c r="FHC20" s="1260"/>
      <c r="FHD20" s="1260"/>
      <c r="FHE20" s="1260"/>
      <c r="FHF20" s="1260"/>
      <c r="FHG20" s="1260"/>
      <c r="FHH20" s="1260"/>
      <c r="FHI20" s="1260"/>
      <c r="FHJ20" s="1260"/>
      <c r="FHK20" s="1260"/>
      <c r="FHL20" s="1260"/>
      <c r="FHM20" s="1260"/>
      <c r="FHN20" s="1260"/>
      <c r="FHO20" s="1260"/>
      <c r="FHP20" s="1260"/>
      <c r="FHQ20" s="1260"/>
      <c r="FHR20" s="1260"/>
      <c r="FHS20" s="1260"/>
      <c r="FHT20" s="1260"/>
      <c r="FHU20" s="1260"/>
      <c r="FHV20" s="1260"/>
      <c r="FHW20" s="1260"/>
      <c r="FHX20" s="1260"/>
      <c r="FHY20" s="1260"/>
      <c r="FHZ20" s="1260"/>
      <c r="FIA20" s="1260"/>
      <c r="FIB20" s="1260"/>
      <c r="FIC20" s="1260"/>
      <c r="FID20" s="1260"/>
      <c r="FIE20" s="1260"/>
      <c r="FIF20" s="1260"/>
      <c r="FIG20" s="1260"/>
      <c r="FIH20" s="1260"/>
      <c r="FII20" s="1260"/>
      <c r="FIJ20" s="1260"/>
      <c r="FIK20" s="1260"/>
      <c r="FIL20" s="1260"/>
      <c r="FIM20" s="1260"/>
      <c r="FIN20" s="1260"/>
      <c r="FIO20" s="1260"/>
      <c r="FIP20" s="1260"/>
      <c r="FIQ20" s="1260"/>
      <c r="FIR20" s="1260"/>
      <c r="FIS20" s="1260"/>
      <c r="FIT20" s="1260"/>
      <c r="FIU20" s="1260"/>
      <c r="FIV20" s="1260"/>
      <c r="FIW20" s="1260"/>
      <c r="FIX20" s="1260"/>
      <c r="FIY20" s="1260"/>
      <c r="FIZ20" s="1260"/>
      <c r="FJA20" s="1260"/>
      <c r="FJB20" s="1260"/>
      <c r="FJC20" s="1260"/>
      <c r="FJD20" s="1260"/>
      <c r="FJE20" s="1260"/>
      <c r="FJF20" s="1260"/>
      <c r="FJG20" s="1260"/>
      <c r="FJH20" s="1260"/>
      <c r="FJI20" s="1260"/>
      <c r="FJJ20" s="1260"/>
      <c r="FJK20" s="1260"/>
      <c r="FJL20" s="1260"/>
      <c r="FJM20" s="1260"/>
      <c r="FJN20" s="1260"/>
      <c r="FJO20" s="1260"/>
      <c r="FJP20" s="1260"/>
      <c r="FJQ20" s="1260"/>
      <c r="FJR20" s="1260"/>
      <c r="FJS20" s="1260"/>
      <c r="FJT20" s="1260"/>
      <c r="FJU20" s="1260"/>
      <c r="FJV20" s="1260"/>
      <c r="FJW20" s="1260"/>
      <c r="FJX20" s="1260"/>
      <c r="FJY20" s="1260"/>
      <c r="FJZ20" s="1260"/>
      <c r="FKA20" s="1260"/>
      <c r="FKB20" s="1260"/>
      <c r="FKC20" s="1260"/>
      <c r="FKD20" s="1260"/>
      <c r="FKE20" s="1260"/>
      <c r="FKF20" s="1260"/>
      <c r="FKG20" s="1260"/>
      <c r="FKH20" s="1260"/>
      <c r="FKI20" s="1260"/>
      <c r="FKJ20" s="1260"/>
      <c r="FKK20" s="1260"/>
      <c r="FKL20" s="1260"/>
      <c r="FKM20" s="1260"/>
      <c r="FKN20" s="1260"/>
      <c r="FKO20" s="1260"/>
      <c r="FKP20" s="1260"/>
      <c r="FKQ20" s="1260"/>
      <c r="FKR20" s="1260"/>
      <c r="FKS20" s="1260"/>
      <c r="FKT20" s="1260"/>
      <c r="FKU20" s="1260"/>
      <c r="FKV20" s="1260"/>
      <c r="FKW20" s="1260"/>
      <c r="FKX20" s="1260"/>
      <c r="FKY20" s="1260"/>
      <c r="FKZ20" s="1260"/>
      <c r="FLA20" s="1260"/>
      <c r="FLB20" s="1260"/>
      <c r="FLC20" s="1260"/>
      <c r="FLD20" s="1260"/>
      <c r="FLE20" s="1260"/>
      <c r="FLF20" s="1260"/>
      <c r="FLG20" s="1260"/>
      <c r="FLH20" s="1260"/>
      <c r="FLI20" s="1260"/>
      <c r="FLJ20" s="1260"/>
      <c r="FLK20" s="1260"/>
      <c r="FLL20" s="1260"/>
      <c r="FLM20" s="1260"/>
      <c r="FLN20" s="1260"/>
      <c r="FLO20" s="1260"/>
      <c r="FLP20" s="1260"/>
      <c r="FLQ20" s="1260"/>
      <c r="FLR20" s="1260"/>
      <c r="FLS20" s="1260"/>
      <c r="FLT20" s="1260"/>
      <c r="FLU20" s="1260"/>
      <c r="FLV20" s="1260"/>
      <c r="FLW20" s="1260"/>
      <c r="FLX20" s="1260"/>
      <c r="FLY20" s="1260"/>
      <c r="FLZ20" s="1260"/>
      <c r="FMA20" s="1260"/>
      <c r="FMB20" s="1260"/>
      <c r="FMC20" s="1260"/>
      <c r="FMD20" s="1260"/>
      <c r="FME20" s="1260"/>
      <c r="FMF20" s="1260"/>
      <c r="FMG20" s="1260"/>
      <c r="FMH20" s="1260"/>
      <c r="FMI20" s="1260"/>
      <c r="FMJ20" s="1260"/>
      <c r="FMK20" s="1260"/>
      <c r="FML20" s="1260"/>
      <c r="FMM20" s="1260"/>
      <c r="FMN20" s="1260"/>
      <c r="FMO20" s="1260"/>
      <c r="FMP20" s="1260"/>
      <c r="FMQ20" s="1260"/>
      <c r="FMR20" s="1260"/>
      <c r="FMS20" s="1260"/>
      <c r="FMT20" s="1260"/>
      <c r="FMU20" s="1260"/>
      <c r="FMV20" s="1260"/>
      <c r="FMW20" s="1260"/>
      <c r="FMX20" s="1260"/>
      <c r="FMY20" s="1260"/>
      <c r="FMZ20" s="1260"/>
      <c r="FNA20" s="1260"/>
      <c r="FNB20" s="1260"/>
      <c r="FNC20" s="1260"/>
      <c r="FND20" s="1260"/>
      <c r="FNE20" s="1260"/>
      <c r="FNF20" s="1260"/>
      <c r="FNG20" s="1260"/>
      <c r="FNH20" s="1260"/>
      <c r="FNI20" s="1260"/>
      <c r="FNJ20" s="1260"/>
      <c r="FNK20" s="1260"/>
      <c r="FNL20" s="1260"/>
      <c r="FNM20" s="1260"/>
      <c r="FNN20" s="1260"/>
      <c r="FNO20" s="1260"/>
      <c r="FNP20" s="1260"/>
      <c r="FNQ20" s="1260"/>
      <c r="FNR20" s="1260"/>
      <c r="FNS20" s="1260"/>
      <c r="FNT20" s="1260"/>
      <c r="FNU20" s="1260"/>
      <c r="FNV20" s="1260"/>
      <c r="FNW20" s="1260"/>
      <c r="FNX20" s="1260"/>
      <c r="FNY20" s="1260"/>
      <c r="FNZ20" s="1260"/>
      <c r="FOA20" s="1260"/>
      <c r="FOB20" s="1260"/>
      <c r="FOC20" s="1260"/>
      <c r="FOD20" s="1260"/>
      <c r="FOE20" s="1260"/>
      <c r="FOF20" s="1260"/>
      <c r="FOG20" s="1260"/>
      <c r="FOH20" s="1260"/>
      <c r="FOI20" s="1260"/>
      <c r="FOJ20" s="1260"/>
      <c r="FOK20" s="1260"/>
      <c r="FOL20" s="1260"/>
      <c r="FOM20" s="1260"/>
      <c r="FON20" s="1260"/>
      <c r="FOO20" s="1260"/>
      <c r="FOP20" s="1260"/>
      <c r="FOQ20" s="1260"/>
      <c r="FOR20" s="1260"/>
      <c r="FOS20" s="1260"/>
      <c r="FOT20" s="1260"/>
      <c r="FOU20" s="1260"/>
      <c r="FOV20" s="1260"/>
      <c r="FOW20" s="1260"/>
      <c r="FOX20" s="1260"/>
      <c r="FOY20" s="1260"/>
      <c r="FOZ20" s="1260"/>
      <c r="FPA20" s="1260"/>
      <c r="FPB20" s="1260"/>
      <c r="FPC20" s="1260"/>
      <c r="FPD20" s="1260"/>
      <c r="FPE20" s="1260"/>
      <c r="FPF20" s="1260"/>
      <c r="FPG20" s="1260"/>
      <c r="FPH20" s="1260"/>
      <c r="FPI20" s="1260"/>
      <c r="FPJ20" s="1260"/>
      <c r="FPK20" s="1260"/>
      <c r="FPL20" s="1260"/>
      <c r="FPM20" s="1260"/>
      <c r="FPN20" s="1260"/>
      <c r="FPO20" s="1260"/>
      <c r="FPP20" s="1260"/>
      <c r="FPQ20" s="1260"/>
      <c r="FPR20" s="1260"/>
      <c r="FPS20" s="1260"/>
      <c r="FPT20" s="1260"/>
      <c r="FPU20" s="1260"/>
      <c r="FPV20" s="1260"/>
      <c r="FPW20" s="1260"/>
      <c r="FPX20" s="1260"/>
      <c r="FPY20" s="1260"/>
      <c r="FPZ20" s="1260"/>
      <c r="FQA20" s="1260"/>
      <c r="FQB20" s="1260"/>
      <c r="FQC20" s="1260"/>
      <c r="FQD20" s="1260"/>
      <c r="FQE20" s="1260"/>
      <c r="FQF20" s="1260"/>
      <c r="FQG20" s="1260"/>
      <c r="FQH20" s="1260"/>
      <c r="FQI20" s="1260"/>
      <c r="FQJ20" s="1260"/>
      <c r="FQK20" s="1260"/>
      <c r="FQL20" s="1260"/>
      <c r="FQM20" s="1260"/>
      <c r="FQN20" s="1260"/>
      <c r="FQO20" s="1260"/>
      <c r="FQP20" s="1260"/>
      <c r="FQQ20" s="1260"/>
      <c r="FQR20" s="1260"/>
      <c r="FQS20" s="1260"/>
      <c r="FQT20" s="1260"/>
      <c r="FQU20" s="1260"/>
      <c r="FQV20" s="1260"/>
      <c r="FQW20" s="1260"/>
      <c r="FQX20" s="1260"/>
      <c r="FQY20" s="1260"/>
      <c r="FQZ20" s="1260"/>
      <c r="FRA20" s="1260"/>
      <c r="FRB20" s="1260"/>
      <c r="FRC20" s="1260"/>
      <c r="FRD20" s="1260"/>
      <c r="FRE20" s="1260"/>
      <c r="FRF20" s="1260"/>
      <c r="FRG20" s="1260"/>
      <c r="FRH20" s="1260"/>
      <c r="FRI20" s="1260"/>
      <c r="FRJ20" s="1260"/>
      <c r="FRK20" s="1260"/>
      <c r="FRL20" s="1260"/>
      <c r="FRM20" s="1260"/>
      <c r="FRN20" s="1260"/>
      <c r="FRO20" s="1260"/>
      <c r="FRP20" s="1260"/>
      <c r="FRQ20" s="1260"/>
      <c r="FRR20" s="1260"/>
      <c r="FRS20" s="1260"/>
      <c r="FRT20" s="1260"/>
      <c r="FRU20" s="1260"/>
      <c r="FRV20" s="1260"/>
      <c r="FRW20" s="1260"/>
      <c r="FRX20" s="1260"/>
      <c r="FRY20" s="1260"/>
      <c r="FRZ20" s="1260"/>
      <c r="FSA20" s="1260"/>
      <c r="FSB20" s="1260"/>
      <c r="FSC20" s="1260"/>
      <c r="FSD20" s="1260"/>
      <c r="FSE20" s="1260"/>
      <c r="FSF20" s="1260"/>
      <c r="FSG20" s="1260"/>
      <c r="FSH20" s="1260"/>
      <c r="FSI20" s="1260"/>
      <c r="FSJ20" s="1260"/>
      <c r="FSK20" s="1260"/>
      <c r="FSL20" s="1260"/>
      <c r="FSM20" s="1260"/>
      <c r="FSN20" s="1260"/>
      <c r="FSO20" s="1260"/>
      <c r="FSP20" s="1260"/>
      <c r="FSQ20" s="1260"/>
      <c r="FSR20" s="1260"/>
      <c r="FSS20" s="1260"/>
      <c r="FST20" s="1260"/>
      <c r="FSU20" s="1260"/>
      <c r="FSV20" s="1260"/>
      <c r="FSW20" s="1260"/>
      <c r="FSX20" s="1260"/>
      <c r="FSY20" s="1260"/>
      <c r="FSZ20" s="1260"/>
      <c r="FTA20" s="1260"/>
      <c r="FTB20" s="1260"/>
      <c r="FTC20" s="1260"/>
      <c r="FTD20" s="1260"/>
      <c r="FTE20" s="1260"/>
      <c r="FTF20" s="1260"/>
      <c r="FTG20" s="1260"/>
      <c r="FTH20" s="1260"/>
      <c r="FTI20" s="1260"/>
      <c r="FTJ20" s="1260"/>
      <c r="FTK20" s="1260"/>
      <c r="FTL20" s="1260"/>
      <c r="FTM20" s="1260"/>
      <c r="FTN20" s="1260"/>
      <c r="FTO20" s="1260"/>
      <c r="FTP20" s="1260"/>
      <c r="FTQ20" s="1260"/>
      <c r="FTR20" s="1260"/>
      <c r="FTS20" s="1260"/>
      <c r="FTT20" s="1260"/>
      <c r="FTU20" s="1260"/>
      <c r="FTV20" s="1260"/>
      <c r="FTW20" s="1260"/>
      <c r="FTX20" s="1260"/>
      <c r="FTY20" s="1260"/>
      <c r="FTZ20" s="1260"/>
      <c r="FUA20" s="1260"/>
      <c r="FUB20" s="1260"/>
      <c r="FUC20" s="1260"/>
      <c r="FUD20" s="1260"/>
      <c r="FUE20" s="1260"/>
      <c r="FUF20" s="1260"/>
      <c r="FUG20" s="1260"/>
      <c r="FUH20" s="1260"/>
      <c r="FUI20" s="1260"/>
      <c r="FUJ20" s="1260"/>
      <c r="FUK20" s="1260"/>
      <c r="FUL20" s="1260"/>
      <c r="FUM20" s="1260"/>
      <c r="FUN20" s="1260"/>
      <c r="FUO20" s="1260"/>
      <c r="FUP20" s="1260"/>
      <c r="FUQ20" s="1260"/>
      <c r="FUR20" s="1260"/>
      <c r="FUS20" s="1260"/>
      <c r="FUT20" s="1260"/>
      <c r="FUU20" s="1260"/>
      <c r="FUV20" s="1260"/>
      <c r="FUW20" s="1260"/>
      <c r="FUX20" s="1260"/>
      <c r="FUY20" s="1260"/>
      <c r="FUZ20" s="1260"/>
      <c r="FVA20" s="1260"/>
      <c r="FVB20" s="1260"/>
      <c r="FVC20" s="1260"/>
      <c r="FVD20" s="1260"/>
      <c r="FVE20" s="1260"/>
      <c r="FVF20" s="1260"/>
      <c r="FVG20" s="1260"/>
      <c r="FVH20" s="1260"/>
      <c r="FVI20" s="1260"/>
      <c r="FVJ20" s="1260"/>
      <c r="FVK20" s="1260"/>
      <c r="FVL20" s="1260"/>
      <c r="FVM20" s="1260"/>
      <c r="FVN20" s="1260"/>
      <c r="FVO20" s="1260"/>
      <c r="FVP20" s="1260"/>
      <c r="FVQ20" s="1260"/>
      <c r="FVR20" s="1260"/>
      <c r="FVS20" s="1260"/>
      <c r="FVT20" s="1260"/>
      <c r="FVU20" s="1260"/>
      <c r="FVV20" s="1260"/>
      <c r="FVW20" s="1260"/>
      <c r="FVX20" s="1260"/>
      <c r="FVY20" s="1260"/>
      <c r="FVZ20" s="1260"/>
      <c r="FWA20" s="1260"/>
      <c r="FWB20" s="1260"/>
      <c r="FWC20" s="1260"/>
      <c r="FWD20" s="1260"/>
      <c r="FWE20" s="1260"/>
      <c r="FWF20" s="1260"/>
      <c r="FWG20" s="1260"/>
      <c r="FWH20" s="1260"/>
      <c r="FWI20" s="1260"/>
      <c r="FWJ20" s="1260"/>
      <c r="FWK20" s="1260"/>
      <c r="FWL20" s="1260"/>
      <c r="FWM20" s="1260"/>
      <c r="FWN20" s="1260"/>
      <c r="FWO20" s="1260"/>
      <c r="FWP20" s="1260"/>
      <c r="FWQ20" s="1260"/>
      <c r="FWR20" s="1260"/>
      <c r="FWS20" s="1260"/>
      <c r="FWT20" s="1260"/>
      <c r="FWU20" s="1260"/>
      <c r="FWV20" s="1260"/>
      <c r="FWW20" s="1260"/>
      <c r="FWX20" s="1260"/>
      <c r="FWY20" s="1260"/>
      <c r="FWZ20" s="1260"/>
      <c r="FXA20" s="1260"/>
      <c r="FXB20" s="1260"/>
      <c r="FXC20" s="1260"/>
      <c r="FXD20" s="1260"/>
      <c r="FXE20" s="1260"/>
      <c r="FXF20" s="1260"/>
      <c r="FXG20" s="1260"/>
      <c r="FXH20" s="1260"/>
      <c r="FXI20" s="1260"/>
      <c r="FXJ20" s="1260"/>
      <c r="FXK20" s="1260"/>
      <c r="FXL20" s="1260"/>
      <c r="FXM20" s="1260"/>
      <c r="FXN20" s="1260"/>
      <c r="FXO20" s="1260"/>
      <c r="FXP20" s="1260"/>
      <c r="FXQ20" s="1260"/>
      <c r="FXR20" s="1260"/>
      <c r="FXS20" s="1260"/>
      <c r="FXT20" s="1260"/>
      <c r="FXU20" s="1260"/>
      <c r="FXV20" s="1260"/>
      <c r="FXW20" s="1260"/>
      <c r="FXX20" s="1260"/>
      <c r="FXY20" s="1260"/>
      <c r="FXZ20" s="1260"/>
      <c r="FYA20" s="1260"/>
      <c r="FYB20" s="1260"/>
      <c r="FYC20" s="1260"/>
      <c r="FYD20" s="1260"/>
      <c r="FYE20" s="1260"/>
      <c r="FYF20" s="1260"/>
      <c r="FYG20" s="1260"/>
      <c r="FYH20" s="1260"/>
      <c r="FYI20" s="1260"/>
      <c r="FYJ20" s="1260"/>
      <c r="FYK20" s="1260"/>
      <c r="FYL20" s="1260"/>
      <c r="FYM20" s="1260"/>
      <c r="FYN20" s="1260"/>
      <c r="FYO20" s="1260"/>
      <c r="FYP20" s="1260"/>
      <c r="FYQ20" s="1260"/>
      <c r="FYR20" s="1260"/>
      <c r="FYS20" s="1260"/>
      <c r="FYT20" s="1260"/>
      <c r="FYU20" s="1260"/>
      <c r="FYV20" s="1260"/>
      <c r="FYW20" s="1260"/>
      <c r="FYX20" s="1260"/>
      <c r="FYY20" s="1260"/>
      <c r="FYZ20" s="1260"/>
      <c r="FZA20" s="1260"/>
      <c r="FZB20" s="1260"/>
      <c r="FZC20" s="1260"/>
      <c r="FZD20" s="1260"/>
      <c r="FZE20" s="1260"/>
      <c r="FZF20" s="1260"/>
      <c r="FZG20" s="1260"/>
      <c r="FZH20" s="1260"/>
      <c r="FZI20" s="1260"/>
      <c r="FZJ20" s="1260"/>
      <c r="FZK20" s="1260"/>
      <c r="FZL20" s="1260"/>
      <c r="FZM20" s="1260"/>
      <c r="FZN20" s="1260"/>
      <c r="FZO20" s="1260"/>
      <c r="FZP20" s="1260"/>
      <c r="FZQ20" s="1260"/>
      <c r="FZR20" s="1260"/>
      <c r="FZS20" s="1260"/>
      <c r="FZT20" s="1260"/>
      <c r="FZU20" s="1260"/>
      <c r="FZV20" s="1260"/>
      <c r="FZW20" s="1260"/>
      <c r="FZX20" s="1260"/>
      <c r="FZY20" s="1260"/>
      <c r="FZZ20" s="1260"/>
      <c r="GAA20" s="1260"/>
      <c r="GAB20" s="1260"/>
      <c r="GAC20" s="1260"/>
      <c r="GAD20" s="1260"/>
      <c r="GAE20" s="1260"/>
      <c r="GAF20" s="1260"/>
      <c r="GAG20" s="1260"/>
      <c r="GAH20" s="1260"/>
      <c r="GAI20" s="1260"/>
      <c r="GAJ20" s="1260"/>
      <c r="GAK20" s="1260"/>
      <c r="GAL20" s="1260"/>
      <c r="GAM20" s="1260"/>
      <c r="GAN20" s="1260"/>
      <c r="GAO20" s="1260"/>
      <c r="GAP20" s="1260"/>
      <c r="GAQ20" s="1260"/>
      <c r="GAR20" s="1260"/>
      <c r="GAS20" s="1260"/>
      <c r="GAT20" s="1260"/>
      <c r="GAU20" s="1260"/>
      <c r="GAV20" s="1260"/>
      <c r="GAW20" s="1260"/>
      <c r="GAX20" s="1260"/>
      <c r="GAY20" s="1260"/>
      <c r="GAZ20" s="1260"/>
      <c r="GBA20" s="1260"/>
      <c r="GBB20" s="1260"/>
      <c r="GBC20" s="1260"/>
      <c r="GBD20" s="1260"/>
      <c r="GBE20" s="1260"/>
      <c r="GBF20" s="1260"/>
      <c r="GBG20" s="1260"/>
      <c r="GBH20" s="1260"/>
      <c r="GBI20" s="1260"/>
      <c r="GBJ20" s="1260"/>
      <c r="GBK20" s="1260"/>
      <c r="GBL20" s="1260"/>
      <c r="GBM20" s="1260"/>
      <c r="GBN20" s="1260"/>
      <c r="GBO20" s="1260"/>
      <c r="GBP20" s="1260"/>
      <c r="GBQ20" s="1260"/>
      <c r="GBR20" s="1260"/>
      <c r="GBS20" s="1260"/>
      <c r="GBT20" s="1260"/>
      <c r="GBU20" s="1260"/>
      <c r="GBV20" s="1260"/>
      <c r="GBW20" s="1260"/>
      <c r="GBX20" s="1260"/>
      <c r="GBY20" s="1260"/>
      <c r="GBZ20" s="1260"/>
      <c r="GCA20" s="1260"/>
      <c r="GCB20" s="1260"/>
      <c r="GCC20" s="1260"/>
      <c r="GCD20" s="1260"/>
      <c r="GCE20" s="1260"/>
      <c r="GCF20" s="1260"/>
      <c r="GCG20" s="1260"/>
      <c r="GCH20" s="1260"/>
      <c r="GCI20" s="1260"/>
      <c r="GCJ20" s="1260"/>
      <c r="GCK20" s="1260"/>
      <c r="GCL20" s="1260"/>
      <c r="GCM20" s="1260"/>
      <c r="GCN20" s="1260"/>
      <c r="GCO20" s="1260"/>
      <c r="GCP20" s="1260"/>
      <c r="GCQ20" s="1260"/>
      <c r="GCR20" s="1260"/>
      <c r="GCS20" s="1260"/>
      <c r="GCT20" s="1260"/>
      <c r="GCU20" s="1260"/>
      <c r="GCV20" s="1260"/>
      <c r="GCW20" s="1260"/>
      <c r="GCX20" s="1260"/>
      <c r="GCY20" s="1260"/>
      <c r="GCZ20" s="1260"/>
      <c r="GDA20" s="1260"/>
      <c r="GDB20" s="1260"/>
      <c r="GDC20" s="1260"/>
      <c r="GDD20" s="1260"/>
      <c r="GDE20" s="1260"/>
      <c r="GDF20" s="1260"/>
      <c r="GDG20" s="1260"/>
      <c r="GDH20" s="1260"/>
      <c r="GDI20" s="1260"/>
      <c r="GDJ20" s="1260"/>
      <c r="GDK20" s="1260"/>
      <c r="GDL20" s="1260"/>
      <c r="GDM20" s="1260"/>
      <c r="GDN20" s="1260"/>
      <c r="GDO20" s="1260"/>
      <c r="GDP20" s="1260"/>
      <c r="GDQ20" s="1260"/>
      <c r="GDR20" s="1260"/>
      <c r="GDS20" s="1260"/>
      <c r="GDT20" s="1260"/>
      <c r="GDU20" s="1260"/>
      <c r="GDV20" s="1260"/>
      <c r="GDW20" s="1260"/>
      <c r="GDX20" s="1260"/>
      <c r="GDY20" s="1260"/>
      <c r="GDZ20" s="1260"/>
      <c r="GEA20" s="1260"/>
      <c r="GEB20" s="1260"/>
      <c r="GEC20" s="1260"/>
      <c r="GED20" s="1260"/>
      <c r="GEE20" s="1260"/>
      <c r="GEF20" s="1260"/>
      <c r="GEG20" s="1260"/>
      <c r="GEH20" s="1260"/>
      <c r="GEI20" s="1260"/>
      <c r="GEJ20" s="1260"/>
      <c r="GEK20" s="1260"/>
      <c r="GEL20" s="1260"/>
      <c r="GEM20" s="1260"/>
      <c r="GEN20" s="1260"/>
      <c r="GEO20" s="1260"/>
      <c r="GEP20" s="1260"/>
      <c r="GEQ20" s="1260"/>
      <c r="GER20" s="1260"/>
      <c r="GES20" s="1260"/>
      <c r="GET20" s="1260"/>
      <c r="GEU20" s="1260"/>
      <c r="GEV20" s="1260"/>
      <c r="GEW20" s="1260"/>
      <c r="GEX20" s="1260"/>
      <c r="GEY20" s="1260"/>
      <c r="GEZ20" s="1260"/>
      <c r="GFA20" s="1260"/>
      <c r="GFB20" s="1260"/>
      <c r="GFC20" s="1260"/>
      <c r="GFD20" s="1260"/>
      <c r="GFE20" s="1260"/>
      <c r="GFF20" s="1260"/>
      <c r="GFG20" s="1260"/>
      <c r="GFH20" s="1260"/>
      <c r="GFI20" s="1260"/>
      <c r="GFJ20" s="1260"/>
      <c r="GFK20" s="1260"/>
      <c r="GFL20" s="1260"/>
      <c r="GFM20" s="1260"/>
      <c r="GFN20" s="1260"/>
      <c r="GFO20" s="1260"/>
      <c r="GFP20" s="1260"/>
      <c r="GFQ20" s="1260"/>
      <c r="GFR20" s="1260"/>
      <c r="GFS20" s="1260"/>
      <c r="GFT20" s="1260"/>
      <c r="GFU20" s="1260"/>
      <c r="GFV20" s="1260"/>
      <c r="GFW20" s="1260"/>
      <c r="GFX20" s="1260"/>
      <c r="GFY20" s="1260"/>
      <c r="GFZ20" s="1260"/>
      <c r="GGA20" s="1260"/>
      <c r="GGB20" s="1260"/>
      <c r="GGC20" s="1260"/>
      <c r="GGD20" s="1260"/>
      <c r="GGE20" s="1260"/>
      <c r="GGF20" s="1260"/>
      <c r="GGG20" s="1260"/>
      <c r="GGH20" s="1260"/>
      <c r="GGI20" s="1260"/>
      <c r="GGJ20" s="1260"/>
      <c r="GGK20" s="1260"/>
      <c r="GGL20" s="1260"/>
      <c r="GGM20" s="1260"/>
      <c r="GGN20" s="1260"/>
      <c r="GGO20" s="1260"/>
      <c r="GGP20" s="1260"/>
      <c r="GGQ20" s="1260"/>
      <c r="GGR20" s="1260"/>
      <c r="GGS20" s="1260"/>
      <c r="GGT20" s="1260"/>
      <c r="GGU20" s="1260"/>
      <c r="GGV20" s="1260"/>
      <c r="GGW20" s="1260"/>
      <c r="GGX20" s="1260"/>
      <c r="GGY20" s="1260"/>
      <c r="GGZ20" s="1260"/>
      <c r="GHA20" s="1260"/>
      <c r="GHB20" s="1260"/>
      <c r="GHC20" s="1260"/>
      <c r="GHD20" s="1260"/>
      <c r="GHE20" s="1260"/>
      <c r="GHF20" s="1260"/>
      <c r="GHG20" s="1260"/>
      <c r="GHH20" s="1260"/>
      <c r="GHI20" s="1260"/>
      <c r="GHJ20" s="1260"/>
      <c r="GHK20" s="1260"/>
      <c r="GHL20" s="1260"/>
      <c r="GHM20" s="1260"/>
      <c r="GHN20" s="1260"/>
      <c r="GHO20" s="1260"/>
      <c r="GHP20" s="1260"/>
      <c r="GHQ20" s="1260"/>
      <c r="GHR20" s="1260"/>
      <c r="GHS20" s="1260"/>
      <c r="GHT20" s="1260"/>
      <c r="GHU20" s="1260"/>
      <c r="GHV20" s="1260"/>
      <c r="GHW20" s="1260"/>
      <c r="GHX20" s="1260"/>
      <c r="GHY20" s="1260"/>
      <c r="GHZ20" s="1260"/>
      <c r="GIA20" s="1260"/>
      <c r="GIB20" s="1260"/>
      <c r="GIC20" s="1260"/>
      <c r="GID20" s="1260"/>
      <c r="GIE20" s="1260"/>
      <c r="GIF20" s="1260"/>
      <c r="GIG20" s="1260"/>
      <c r="GIH20" s="1260"/>
      <c r="GII20" s="1260"/>
      <c r="GIJ20" s="1260"/>
      <c r="GIK20" s="1260"/>
      <c r="GIL20" s="1260"/>
      <c r="GIM20" s="1260"/>
      <c r="GIN20" s="1260"/>
      <c r="GIO20" s="1260"/>
      <c r="GIP20" s="1260"/>
      <c r="GIQ20" s="1260"/>
      <c r="GIR20" s="1260"/>
      <c r="GIS20" s="1260"/>
      <c r="GIT20" s="1260"/>
      <c r="GIU20" s="1260"/>
      <c r="GIV20" s="1260"/>
      <c r="GIW20" s="1260"/>
      <c r="GIX20" s="1260"/>
      <c r="GIY20" s="1260"/>
      <c r="GIZ20" s="1260"/>
      <c r="GJA20" s="1260"/>
      <c r="GJB20" s="1260"/>
      <c r="GJC20" s="1260"/>
      <c r="GJD20" s="1260"/>
      <c r="GJE20" s="1260"/>
      <c r="GJF20" s="1260"/>
      <c r="GJG20" s="1260"/>
      <c r="GJH20" s="1260"/>
      <c r="GJI20" s="1260"/>
      <c r="GJJ20" s="1260"/>
      <c r="GJK20" s="1260"/>
      <c r="GJL20" s="1260"/>
      <c r="GJM20" s="1260"/>
      <c r="GJN20" s="1260"/>
      <c r="GJO20" s="1260"/>
      <c r="GJP20" s="1260"/>
      <c r="GJQ20" s="1260"/>
      <c r="GJR20" s="1260"/>
      <c r="GJS20" s="1260"/>
      <c r="GJT20" s="1260"/>
      <c r="GJU20" s="1260"/>
      <c r="GJV20" s="1260"/>
      <c r="GJW20" s="1260"/>
      <c r="GJX20" s="1260"/>
      <c r="GJY20" s="1260"/>
      <c r="GJZ20" s="1260"/>
      <c r="GKA20" s="1260"/>
      <c r="GKB20" s="1260"/>
      <c r="GKC20" s="1260"/>
      <c r="GKD20" s="1260"/>
      <c r="GKE20" s="1260"/>
      <c r="GKF20" s="1260"/>
      <c r="GKG20" s="1260"/>
      <c r="GKH20" s="1260"/>
      <c r="GKI20" s="1260"/>
      <c r="GKJ20" s="1260"/>
      <c r="GKK20" s="1260"/>
      <c r="GKL20" s="1260"/>
      <c r="GKM20" s="1260"/>
      <c r="GKN20" s="1260"/>
      <c r="GKO20" s="1260"/>
      <c r="GKP20" s="1260"/>
      <c r="GKQ20" s="1260"/>
      <c r="GKR20" s="1260"/>
      <c r="GKS20" s="1260"/>
      <c r="GKT20" s="1260"/>
      <c r="GKU20" s="1260"/>
      <c r="GKV20" s="1260"/>
      <c r="GKW20" s="1260"/>
      <c r="GKX20" s="1260"/>
      <c r="GKY20" s="1260"/>
      <c r="GKZ20" s="1260"/>
      <c r="GLA20" s="1260"/>
      <c r="GLB20" s="1260"/>
      <c r="GLC20" s="1260"/>
      <c r="GLD20" s="1260"/>
      <c r="GLE20" s="1260"/>
      <c r="GLF20" s="1260"/>
      <c r="GLG20" s="1260"/>
      <c r="GLH20" s="1260"/>
      <c r="GLI20" s="1260"/>
      <c r="GLJ20" s="1260"/>
      <c r="GLK20" s="1260"/>
      <c r="GLL20" s="1260"/>
      <c r="GLM20" s="1260"/>
      <c r="GLN20" s="1260"/>
      <c r="GLO20" s="1260"/>
      <c r="GLP20" s="1260"/>
      <c r="GLQ20" s="1260"/>
      <c r="GLR20" s="1260"/>
      <c r="GLS20" s="1260"/>
      <c r="GLT20" s="1260"/>
      <c r="GLU20" s="1260"/>
      <c r="GLV20" s="1260"/>
      <c r="GLW20" s="1260"/>
      <c r="GLX20" s="1260"/>
      <c r="GLY20" s="1260"/>
      <c r="GLZ20" s="1260"/>
      <c r="GMA20" s="1260"/>
      <c r="GMB20" s="1260"/>
      <c r="GMC20" s="1260"/>
      <c r="GMD20" s="1260"/>
      <c r="GME20" s="1260"/>
      <c r="GMF20" s="1260"/>
      <c r="GMG20" s="1260"/>
      <c r="GMH20" s="1260"/>
      <c r="GMI20" s="1260"/>
      <c r="GMJ20" s="1260"/>
      <c r="GMK20" s="1260"/>
      <c r="GML20" s="1260"/>
      <c r="GMM20" s="1260"/>
      <c r="GMN20" s="1260"/>
      <c r="GMO20" s="1260"/>
      <c r="GMP20" s="1260"/>
      <c r="GMQ20" s="1260"/>
      <c r="GMR20" s="1260"/>
      <c r="GMS20" s="1260"/>
      <c r="GMT20" s="1260"/>
      <c r="GMU20" s="1260"/>
      <c r="GMV20" s="1260"/>
      <c r="GMW20" s="1260"/>
      <c r="GMX20" s="1260"/>
      <c r="GMY20" s="1260"/>
      <c r="GMZ20" s="1260"/>
      <c r="GNA20" s="1260"/>
      <c r="GNB20" s="1260"/>
      <c r="GNC20" s="1260"/>
      <c r="GND20" s="1260"/>
      <c r="GNE20" s="1260"/>
      <c r="GNF20" s="1260"/>
      <c r="GNG20" s="1260"/>
      <c r="GNH20" s="1260"/>
      <c r="GNI20" s="1260"/>
      <c r="GNJ20" s="1260"/>
      <c r="GNK20" s="1260"/>
      <c r="GNL20" s="1260"/>
      <c r="GNM20" s="1260"/>
      <c r="GNN20" s="1260"/>
      <c r="GNO20" s="1260"/>
      <c r="GNP20" s="1260"/>
      <c r="GNQ20" s="1260"/>
      <c r="GNR20" s="1260"/>
      <c r="GNS20" s="1260"/>
      <c r="GNT20" s="1260"/>
      <c r="GNU20" s="1260"/>
      <c r="GNV20" s="1260"/>
      <c r="GNW20" s="1260"/>
      <c r="GNX20" s="1260"/>
      <c r="GNY20" s="1260"/>
      <c r="GNZ20" s="1260"/>
      <c r="GOA20" s="1260"/>
      <c r="GOB20" s="1260"/>
      <c r="GOC20" s="1260"/>
      <c r="GOD20" s="1260"/>
      <c r="GOE20" s="1260"/>
      <c r="GOF20" s="1260"/>
      <c r="GOG20" s="1260"/>
      <c r="GOH20" s="1260"/>
      <c r="GOI20" s="1260"/>
      <c r="GOJ20" s="1260"/>
      <c r="GOK20" s="1260"/>
      <c r="GOL20" s="1260"/>
      <c r="GOM20" s="1260"/>
      <c r="GON20" s="1260"/>
      <c r="GOO20" s="1260"/>
      <c r="GOP20" s="1260"/>
      <c r="GOQ20" s="1260"/>
      <c r="GOR20" s="1260"/>
      <c r="GOS20" s="1260"/>
      <c r="GOT20" s="1260"/>
      <c r="GOU20" s="1260"/>
      <c r="GOV20" s="1260"/>
      <c r="GOW20" s="1260"/>
      <c r="GOX20" s="1260"/>
      <c r="GOY20" s="1260"/>
      <c r="GOZ20" s="1260"/>
      <c r="GPA20" s="1260"/>
      <c r="GPB20" s="1260"/>
      <c r="GPC20" s="1260"/>
      <c r="GPD20" s="1260"/>
      <c r="GPE20" s="1260"/>
      <c r="GPF20" s="1260"/>
      <c r="GPG20" s="1260"/>
      <c r="GPH20" s="1260"/>
      <c r="GPI20" s="1260"/>
      <c r="GPJ20" s="1260"/>
      <c r="GPK20" s="1260"/>
      <c r="GPL20" s="1260"/>
      <c r="GPM20" s="1260"/>
      <c r="GPN20" s="1260"/>
      <c r="GPO20" s="1260"/>
      <c r="GPP20" s="1260"/>
      <c r="GPQ20" s="1260"/>
      <c r="GPR20" s="1260"/>
      <c r="GPS20" s="1260"/>
      <c r="GPT20" s="1260"/>
      <c r="GPU20" s="1260"/>
      <c r="GPV20" s="1260"/>
      <c r="GPW20" s="1260"/>
      <c r="GPX20" s="1260"/>
      <c r="GPY20" s="1260"/>
      <c r="GPZ20" s="1260"/>
      <c r="GQA20" s="1260"/>
      <c r="GQB20" s="1260"/>
      <c r="GQC20" s="1260"/>
      <c r="GQD20" s="1260"/>
      <c r="GQE20" s="1260"/>
      <c r="GQF20" s="1260"/>
      <c r="GQG20" s="1260"/>
      <c r="GQH20" s="1260"/>
      <c r="GQI20" s="1260"/>
      <c r="GQJ20" s="1260"/>
      <c r="GQK20" s="1260"/>
      <c r="GQL20" s="1260"/>
      <c r="GQM20" s="1260"/>
      <c r="GQN20" s="1260"/>
      <c r="GQO20" s="1260"/>
      <c r="GQP20" s="1260"/>
      <c r="GQQ20" s="1260"/>
      <c r="GQR20" s="1260"/>
      <c r="GQS20" s="1260"/>
      <c r="GQT20" s="1260"/>
      <c r="GQU20" s="1260"/>
      <c r="GQV20" s="1260"/>
      <c r="GQW20" s="1260"/>
      <c r="GQX20" s="1260"/>
      <c r="GQY20" s="1260"/>
      <c r="GQZ20" s="1260"/>
      <c r="GRA20" s="1260"/>
      <c r="GRB20" s="1260"/>
      <c r="GRC20" s="1260"/>
      <c r="GRD20" s="1260"/>
      <c r="GRE20" s="1260"/>
      <c r="GRF20" s="1260"/>
      <c r="GRG20" s="1260"/>
      <c r="GRH20" s="1260"/>
      <c r="GRI20" s="1260"/>
      <c r="GRJ20" s="1260"/>
      <c r="GRK20" s="1260"/>
      <c r="GRL20" s="1260"/>
      <c r="GRM20" s="1260"/>
      <c r="GRN20" s="1260"/>
      <c r="GRO20" s="1260"/>
      <c r="GRP20" s="1260"/>
      <c r="GRQ20" s="1260"/>
      <c r="GRR20" s="1260"/>
      <c r="GRS20" s="1260"/>
      <c r="GRT20" s="1260"/>
      <c r="GRU20" s="1260"/>
      <c r="GRV20" s="1260"/>
      <c r="GRW20" s="1260"/>
      <c r="GRX20" s="1260"/>
      <c r="GRY20" s="1260"/>
      <c r="GRZ20" s="1260"/>
      <c r="GSA20" s="1260"/>
      <c r="GSB20" s="1260"/>
      <c r="GSC20" s="1260"/>
      <c r="GSD20" s="1260"/>
      <c r="GSE20" s="1260"/>
      <c r="GSF20" s="1260"/>
      <c r="GSG20" s="1260"/>
      <c r="GSH20" s="1260"/>
      <c r="GSI20" s="1260"/>
      <c r="GSJ20" s="1260"/>
      <c r="GSK20" s="1260"/>
      <c r="GSL20" s="1260"/>
      <c r="GSM20" s="1260"/>
      <c r="GSN20" s="1260"/>
      <c r="GSO20" s="1260"/>
      <c r="GSP20" s="1260"/>
      <c r="GSQ20" s="1260"/>
      <c r="GSR20" s="1260"/>
      <c r="GSS20" s="1260"/>
      <c r="GST20" s="1260"/>
      <c r="GSU20" s="1260"/>
      <c r="GSV20" s="1260"/>
      <c r="GSW20" s="1260"/>
      <c r="GSX20" s="1260"/>
      <c r="GSY20" s="1260"/>
      <c r="GSZ20" s="1260"/>
      <c r="GTA20" s="1260"/>
      <c r="GTB20" s="1260"/>
      <c r="GTC20" s="1260"/>
      <c r="GTD20" s="1260"/>
      <c r="GTE20" s="1260"/>
      <c r="GTF20" s="1260"/>
      <c r="GTG20" s="1260"/>
      <c r="GTH20" s="1260"/>
      <c r="GTI20" s="1260"/>
      <c r="GTJ20" s="1260"/>
      <c r="GTK20" s="1260"/>
      <c r="GTL20" s="1260"/>
      <c r="GTM20" s="1260"/>
      <c r="GTN20" s="1260"/>
      <c r="GTO20" s="1260"/>
      <c r="GTP20" s="1260"/>
      <c r="GTQ20" s="1260"/>
      <c r="GTR20" s="1260"/>
      <c r="GTS20" s="1260"/>
      <c r="GTT20" s="1260"/>
      <c r="GTU20" s="1260"/>
      <c r="GTV20" s="1260"/>
      <c r="GTW20" s="1260"/>
      <c r="GTX20" s="1260"/>
      <c r="GTY20" s="1260"/>
      <c r="GTZ20" s="1260"/>
      <c r="GUA20" s="1260"/>
      <c r="GUB20" s="1260"/>
      <c r="GUC20" s="1260"/>
      <c r="GUD20" s="1260"/>
      <c r="GUE20" s="1260"/>
      <c r="GUF20" s="1260"/>
      <c r="GUG20" s="1260"/>
      <c r="GUH20" s="1260"/>
      <c r="GUI20" s="1260"/>
      <c r="GUJ20" s="1260"/>
      <c r="GUK20" s="1260"/>
      <c r="GUL20" s="1260"/>
      <c r="GUM20" s="1260"/>
      <c r="GUN20" s="1260"/>
      <c r="GUO20" s="1260"/>
      <c r="GUP20" s="1260"/>
      <c r="GUQ20" s="1260"/>
      <c r="GUR20" s="1260"/>
      <c r="GUS20" s="1260"/>
      <c r="GUT20" s="1260"/>
      <c r="GUU20" s="1260"/>
      <c r="GUV20" s="1260"/>
      <c r="GUW20" s="1260"/>
      <c r="GUX20" s="1260"/>
      <c r="GUY20" s="1260"/>
      <c r="GUZ20" s="1260"/>
      <c r="GVA20" s="1260"/>
      <c r="GVB20" s="1260"/>
      <c r="GVC20" s="1260"/>
      <c r="GVD20" s="1260"/>
      <c r="GVE20" s="1260"/>
      <c r="GVF20" s="1260"/>
      <c r="GVG20" s="1260"/>
      <c r="GVH20" s="1260"/>
      <c r="GVI20" s="1260"/>
      <c r="GVJ20" s="1260"/>
      <c r="GVK20" s="1260"/>
      <c r="GVL20" s="1260"/>
      <c r="GVM20" s="1260"/>
      <c r="GVN20" s="1260"/>
      <c r="GVO20" s="1260"/>
      <c r="GVP20" s="1260"/>
      <c r="GVQ20" s="1260"/>
      <c r="GVR20" s="1260"/>
      <c r="GVS20" s="1260"/>
      <c r="GVT20" s="1260"/>
      <c r="GVU20" s="1260"/>
      <c r="GVV20" s="1260"/>
      <c r="GVW20" s="1260"/>
      <c r="GVX20" s="1260"/>
      <c r="GVY20" s="1260"/>
      <c r="GVZ20" s="1260"/>
      <c r="GWA20" s="1260"/>
      <c r="GWB20" s="1260"/>
      <c r="GWC20" s="1260"/>
      <c r="GWD20" s="1260"/>
      <c r="GWE20" s="1260"/>
      <c r="GWF20" s="1260"/>
      <c r="GWG20" s="1260"/>
      <c r="GWH20" s="1260"/>
      <c r="GWI20" s="1260"/>
      <c r="GWJ20" s="1260"/>
      <c r="GWK20" s="1260"/>
      <c r="GWL20" s="1260"/>
      <c r="GWM20" s="1260"/>
      <c r="GWN20" s="1260"/>
      <c r="GWO20" s="1260"/>
      <c r="GWP20" s="1260"/>
      <c r="GWQ20" s="1260"/>
      <c r="GWR20" s="1260"/>
      <c r="GWS20" s="1260"/>
      <c r="GWT20" s="1260"/>
      <c r="GWU20" s="1260"/>
      <c r="GWV20" s="1260"/>
      <c r="GWW20" s="1260"/>
      <c r="GWX20" s="1260"/>
      <c r="GWY20" s="1260"/>
      <c r="GWZ20" s="1260"/>
      <c r="GXA20" s="1260"/>
      <c r="GXB20" s="1260"/>
      <c r="GXC20" s="1260"/>
      <c r="GXD20" s="1260"/>
      <c r="GXE20" s="1260"/>
      <c r="GXF20" s="1260"/>
      <c r="GXG20" s="1260"/>
      <c r="GXH20" s="1260"/>
      <c r="GXI20" s="1260"/>
      <c r="GXJ20" s="1260"/>
      <c r="GXK20" s="1260"/>
      <c r="GXL20" s="1260"/>
      <c r="GXM20" s="1260"/>
      <c r="GXN20" s="1260"/>
      <c r="GXO20" s="1260"/>
      <c r="GXP20" s="1260"/>
      <c r="GXQ20" s="1260"/>
      <c r="GXR20" s="1260"/>
      <c r="GXS20" s="1260"/>
      <c r="GXT20" s="1260"/>
      <c r="GXU20" s="1260"/>
      <c r="GXV20" s="1260"/>
      <c r="GXW20" s="1260"/>
      <c r="GXX20" s="1260"/>
      <c r="GXY20" s="1260"/>
      <c r="GXZ20" s="1260"/>
      <c r="GYA20" s="1260"/>
      <c r="GYB20" s="1260"/>
      <c r="GYC20" s="1260"/>
      <c r="GYD20" s="1260"/>
      <c r="GYE20" s="1260"/>
      <c r="GYF20" s="1260"/>
      <c r="GYG20" s="1260"/>
      <c r="GYH20" s="1260"/>
      <c r="GYI20" s="1260"/>
      <c r="GYJ20" s="1260"/>
      <c r="GYK20" s="1260"/>
      <c r="GYL20" s="1260"/>
      <c r="GYM20" s="1260"/>
      <c r="GYN20" s="1260"/>
      <c r="GYO20" s="1260"/>
      <c r="GYP20" s="1260"/>
      <c r="GYQ20" s="1260"/>
      <c r="GYR20" s="1260"/>
      <c r="GYS20" s="1260"/>
      <c r="GYT20" s="1260"/>
      <c r="GYU20" s="1260"/>
      <c r="GYV20" s="1260"/>
      <c r="GYW20" s="1260"/>
      <c r="GYX20" s="1260"/>
      <c r="GYY20" s="1260"/>
      <c r="GYZ20" s="1260"/>
      <c r="GZA20" s="1260"/>
      <c r="GZB20" s="1260"/>
      <c r="GZC20" s="1260"/>
      <c r="GZD20" s="1260"/>
      <c r="GZE20" s="1260"/>
      <c r="GZF20" s="1260"/>
      <c r="GZG20" s="1260"/>
      <c r="GZH20" s="1260"/>
      <c r="GZI20" s="1260"/>
      <c r="GZJ20" s="1260"/>
      <c r="GZK20" s="1260"/>
      <c r="GZL20" s="1260"/>
      <c r="GZM20" s="1260"/>
      <c r="GZN20" s="1260"/>
      <c r="GZO20" s="1260"/>
      <c r="GZP20" s="1260"/>
      <c r="GZQ20" s="1260"/>
      <c r="GZR20" s="1260"/>
      <c r="GZS20" s="1260"/>
      <c r="GZT20" s="1260"/>
      <c r="GZU20" s="1260"/>
      <c r="GZV20" s="1260"/>
      <c r="GZW20" s="1260"/>
      <c r="GZX20" s="1260"/>
      <c r="GZY20" s="1260"/>
      <c r="GZZ20" s="1260"/>
      <c r="HAA20" s="1260"/>
      <c r="HAB20" s="1260"/>
      <c r="HAC20" s="1260"/>
      <c r="HAD20" s="1260"/>
      <c r="HAE20" s="1260"/>
      <c r="HAF20" s="1260"/>
      <c r="HAG20" s="1260"/>
      <c r="HAH20" s="1260"/>
      <c r="HAI20" s="1260"/>
      <c r="HAJ20" s="1260"/>
      <c r="HAK20" s="1260"/>
      <c r="HAL20" s="1260"/>
      <c r="HAM20" s="1260"/>
      <c r="HAN20" s="1260"/>
      <c r="HAO20" s="1260"/>
      <c r="HAP20" s="1260"/>
      <c r="HAQ20" s="1260"/>
      <c r="HAR20" s="1260"/>
      <c r="HAS20" s="1260"/>
      <c r="HAT20" s="1260"/>
      <c r="HAU20" s="1260"/>
      <c r="HAV20" s="1260"/>
      <c r="HAW20" s="1260"/>
      <c r="HAX20" s="1260"/>
      <c r="HAY20" s="1260"/>
      <c r="HAZ20" s="1260"/>
      <c r="HBA20" s="1260"/>
      <c r="HBB20" s="1260"/>
      <c r="HBC20" s="1260"/>
      <c r="HBD20" s="1260"/>
      <c r="HBE20" s="1260"/>
      <c r="HBF20" s="1260"/>
      <c r="HBG20" s="1260"/>
      <c r="HBH20" s="1260"/>
      <c r="HBI20" s="1260"/>
      <c r="HBJ20" s="1260"/>
      <c r="HBK20" s="1260"/>
      <c r="HBL20" s="1260"/>
      <c r="HBM20" s="1260"/>
      <c r="HBN20" s="1260"/>
      <c r="HBO20" s="1260"/>
      <c r="HBP20" s="1260"/>
      <c r="HBQ20" s="1260"/>
      <c r="HBR20" s="1260"/>
      <c r="HBS20" s="1260"/>
      <c r="HBT20" s="1260"/>
      <c r="HBU20" s="1260"/>
      <c r="HBV20" s="1260"/>
      <c r="HBW20" s="1260"/>
      <c r="HBX20" s="1260"/>
      <c r="HBY20" s="1260"/>
      <c r="HBZ20" s="1260"/>
      <c r="HCA20" s="1260"/>
      <c r="HCB20" s="1260"/>
      <c r="HCC20" s="1260"/>
      <c r="HCD20" s="1260"/>
      <c r="HCE20" s="1260"/>
      <c r="HCF20" s="1260"/>
      <c r="HCG20" s="1260"/>
      <c r="HCH20" s="1260"/>
      <c r="HCI20" s="1260"/>
      <c r="HCJ20" s="1260"/>
      <c r="HCK20" s="1260"/>
      <c r="HCL20" s="1260"/>
      <c r="HCM20" s="1260"/>
      <c r="HCN20" s="1260"/>
      <c r="HCO20" s="1260"/>
      <c r="HCP20" s="1260"/>
      <c r="HCQ20" s="1260"/>
      <c r="HCR20" s="1260"/>
      <c r="HCS20" s="1260"/>
      <c r="HCT20" s="1260"/>
      <c r="HCU20" s="1260"/>
      <c r="HCV20" s="1260"/>
      <c r="HCW20" s="1260"/>
      <c r="HCX20" s="1260"/>
      <c r="HCY20" s="1260"/>
      <c r="HCZ20" s="1260"/>
      <c r="HDA20" s="1260"/>
      <c r="HDB20" s="1260"/>
      <c r="HDC20" s="1260"/>
      <c r="HDD20" s="1260"/>
      <c r="HDE20" s="1260"/>
      <c r="HDF20" s="1260"/>
      <c r="HDG20" s="1260"/>
      <c r="HDH20" s="1260"/>
      <c r="HDI20" s="1260"/>
      <c r="HDJ20" s="1260"/>
      <c r="HDK20" s="1260"/>
      <c r="HDL20" s="1260"/>
      <c r="HDM20" s="1260"/>
      <c r="HDN20" s="1260"/>
      <c r="HDO20" s="1260"/>
      <c r="HDP20" s="1260"/>
      <c r="HDQ20" s="1260"/>
      <c r="HDR20" s="1260"/>
      <c r="HDS20" s="1260"/>
      <c r="HDT20" s="1260"/>
      <c r="HDU20" s="1260"/>
      <c r="HDV20" s="1260"/>
      <c r="HDW20" s="1260"/>
      <c r="HDX20" s="1260"/>
      <c r="HDY20" s="1260"/>
      <c r="HDZ20" s="1260"/>
      <c r="HEA20" s="1260"/>
      <c r="HEB20" s="1260"/>
      <c r="HEC20" s="1260"/>
      <c r="HED20" s="1260"/>
      <c r="HEE20" s="1260"/>
      <c r="HEF20" s="1260"/>
      <c r="HEG20" s="1260"/>
      <c r="HEH20" s="1260"/>
      <c r="HEI20" s="1260"/>
      <c r="HEJ20" s="1260"/>
      <c r="HEK20" s="1260"/>
      <c r="HEL20" s="1260"/>
      <c r="HEM20" s="1260"/>
      <c r="HEN20" s="1260"/>
      <c r="HEO20" s="1260"/>
      <c r="HEP20" s="1260"/>
      <c r="HEQ20" s="1260"/>
      <c r="HER20" s="1260"/>
      <c r="HES20" s="1260"/>
      <c r="HET20" s="1260"/>
      <c r="HEU20" s="1260"/>
      <c r="HEV20" s="1260"/>
      <c r="HEW20" s="1260"/>
      <c r="HEX20" s="1260"/>
      <c r="HEY20" s="1260"/>
      <c r="HEZ20" s="1260"/>
      <c r="HFA20" s="1260"/>
      <c r="HFB20" s="1260"/>
      <c r="HFC20" s="1260"/>
      <c r="HFD20" s="1260"/>
      <c r="HFE20" s="1260"/>
      <c r="HFF20" s="1260"/>
      <c r="HFG20" s="1260"/>
      <c r="HFH20" s="1260"/>
      <c r="HFI20" s="1260"/>
      <c r="HFJ20" s="1260"/>
      <c r="HFK20" s="1260"/>
      <c r="HFL20" s="1260"/>
      <c r="HFM20" s="1260"/>
      <c r="HFN20" s="1260"/>
      <c r="HFO20" s="1260"/>
      <c r="HFP20" s="1260"/>
      <c r="HFQ20" s="1260"/>
      <c r="HFR20" s="1260"/>
      <c r="HFS20" s="1260"/>
      <c r="HFT20" s="1260"/>
      <c r="HFU20" s="1260"/>
      <c r="HFV20" s="1260"/>
      <c r="HFW20" s="1260"/>
      <c r="HFX20" s="1260"/>
      <c r="HFY20" s="1260"/>
      <c r="HFZ20" s="1260"/>
      <c r="HGA20" s="1260"/>
      <c r="HGB20" s="1260"/>
      <c r="HGC20" s="1260"/>
      <c r="HGD20" s="1260"/>
      <c r="HGE20" s="1260"/>
      <c r="HGF20" s="1260"/>
      <c r="HGG20" s="1260"/>
      <c r="HGH20" s="1260"/>
      <c r="HGI20" s="1260"/>
      <c r="HGJ20" s="1260"/>
      <c r="HGK20" s="1260"/>
      <c r="HGL20" s="1260"/>
      <c r="HGM20" s="1260"/>
      <c r="HGN20" s="1260"/>
      <c r="HGO20" s="1260"/>
      <c r="HGP20" s="1260"/>
      <c r="HGQ20" s="1260"/>
      <c r="HGR20" s="1260"/>
      <c r="HGS20" s="1260"/>
      <c r="HGT20" s="1260"/>
      <c r="HGU20" s="1260"/>
      <c r="HGV20" s="1260"/>
      <c r="HGW20" s="1260"/>
      <c r="HGX20" s="1260"/>
      <c r="HGY20" s="1260"/>
      <c r="HGZ20" s="1260"/>
      <c r="HHA20" s="1260"/>
      <c r="HHB20" s="1260"/>
      <c r="HHC20" s="1260"/>
      <c r="HHD20" s="1260"/>
      <c r="HHE20" s="1260"/>
      <c r="HHF20" s="1260"/>
      <c r="HHG20" s="1260"/>
      <c r="HHH20" s="1260"/>
      <c r="HHI20" s="1260"/>
      <c r="HHJ20" s="1260"/>
      <c r="HHK20" s="1260"/>
      <c r="HHL20" s="1260"/>
      <c r="HHM20" s="1260"/>
      <c r="HHN20" s="1260"/>
      <c r="HHO20" s="1260"/>
      <c r="HHP20" s="1260"/>
      <c r="HHQ20" s="1260"/>
      <c r="HHR20" s="1260"/>
      <c r="HHS20" s="1260"/>
      <c r="HHT20" s="1260"/>
      <c r="HHU20" s="1260"/>
      <c r="HHV20" s="1260"/>
      <c r="HHW20" s="1260"/>
      <c r="HHX20" s="1260"/>
      <c r="HHY20" s="1260"/>
      <c r="HHZ20" s="1260"/>
      <c r="HIA20" s="1260"/>
      <c r="HIB20" s="1260"/>
      <c r="HIC20" s="1260"/>
      <c r="HID20" s="1260"/>
      <c r="HIE20" s="1260"/>
      <c r="HIF20" s="1260"/>
      <c r="HIG20" s="1260"/>
      <c r="HIH20" s="1260"/>
      <c r="HII20" s="1260"/>
      <c r="HIJ20" s="1260"/>
      <c r="HIK20" s="1260"/>
      <c r="HIL20" s="1260"/>
      <c r="HIM20" s="1260"/>
      <c r="HIN20" s="1260"/>
      <c r="HIO20" s="1260"/>
      <c r="HIP20" s="1260"/>
      <c r="HIQ20" s="1260"/>
      <c r="HIR20" s="1260"/>
      <c r="HIS20" s="1260"/>
      <c r="HIT20" s="1260"/>
      <c r="HIU20" s="1260"/>
      <c r="HIV20" s="1260"/>
      <c r="HIW20" s="1260"/>
      <c r="HIX20" s="1260"/>
      <c r="HIY20" s="1260"/>
      <c r="HIZ20" s="1260"/>
      <c r="HJA20" s="1260"/>
      <c r="HJB20" s="1260"/>
      <c r="HJC20" s="1260"/>
      <c r="HJD20" s="1260"/>
      <c r="HJE20" s="1260"/>
      <c r="HJF20" s="1260"/>
      <c r="HJG20" s="1260"/>
      <c r="HJH20" s="1260"/>
      <c r="HJI20" s="1260"/>
      <c r="HJJ20" s="1260"/>
      <c r="HJK20" s="1260"/>
      <c r="HJL20" s="1260"/>
      <c r="HJM20" s="1260"/>
      <c r="HJN20" s="1260"/>
      <c r="HJO20" s="1260"/>
      <c r="HJP20" s="1260"/>
      <c r="HJQ20" s="1260"/>
      <c r="HJR20" s="1260"/>
      <c r="HJS20" s="1260"/>
      <c r="HJT20" s="1260"/>
      <c r="HJU20" s="1260"/>
      <c r="HJV20" s="1260"/>
      <c r="HJW20" s="1260"/>
      <c r="HJX20" s="1260"/>
      <c r="HJY20" s="1260"/>
      <c r="HJZ20" s="1260"/>
      <c r="HKA20" s="1260"/>
      <c r="HKB20" s="1260"/>
      <c r="HKC20" s="1260"/>
      <c r="HKD20" s="1260"/>
      <c r="HKE20" s="1260"/>
      <c r="HKF20" s="1260"/>
      <c r="HKG20" s="1260"/>
      <c r="HKH20" s="1260"/>
      <c r="HKI20" s="1260"/>
      <c r="HKJ20" s="1260"/>
      <c r="HKK20" s="1260"/>
      <c r="HKL20" s="1260"/>
      <c r="HKM20" s="1260"/>
      <c r="HKN20" s="1260"/>
      <c r="HKO20" s="1260"/>
      <c r="HKP20" s="1260"/>
      <c r="HKQ20" s="1260"/>
      <c r="HKR20" s="1260"/>
      <c r="HKS20" s="1260"/>
      <c r="HKT20" s="1260"/>
      <c r="HKU20" s="1260"/>
      <c r="HKV20" s="1260"/>
      <c r="HKW20" s="1260"/>
      <c r="HKX20" s="1260"/>
      <c r="HKY20" s="1260"/>
      <c r="HKZ20" s="1260"/>
      <c r="HLA20" s="1260"/>
      <c r="HLB20" s="1260"/>
      <c r="HLC20" s="1260"/>
      <c r="HLD20" s="1260"/>
      <c r="HLE20" s="1260"/>
      <c r="HLF20" s="1260"/>
      <c r="HLG20" s="1260"/>
      <c r="HLH20" s="1260"/>
      <c r="HLI20" s="1260"/>
      <c r="HLJ20" s="1260"/>
      <c r="HLK20" s="1260"/>
      <c r="HLL20" s="1260"/>
      <c r="HLM20" s="1260"/>
      <c r="HLN20" s="1260"/>
      <c r="HLO20" s="1260"/>
      <c r="HLP20" s="1260"/>
      <c r="HLQ20" s="1260"/>
      <c r="HLR20" s="1260"/>
      <c r="HLS20" s="1260"/>
      <c r="HLT20" s="1260"/>
      <c r="HLU20" s="1260"/>
      <c r="HLV20" s="1260"/>
      <c r="HLW20" s="1260"/>
      <c r="HLX20" s="1260"/>
      <c r="HLY20" s="1260"/>
      <c r="HLZ20" s="1260"/>
      <c r="HMA20" s="1260"/>
      <c r="HMB20" s="1260"/>
      <c r="HMC20" s="1260"/>
      <c r="HMD20" s="1260"/>
      <c r="HME20" s="1260"/>
      <c r="HMF20" s="1260"/>
      <c r="HMG20" s="1260"/>
      <c r="HMH20" s="1260"/>
      <c r="HMI20" s="1260"/>
      <c r="HMJ20" s="1260"/>
      <c r="HMK20" s="1260"/>
      <c r="HML20" s="1260"/>
      <c r="HMM20" s="1260"/>
      <c r="HMN20" s="1260"/>
      <c r="HMO20" s="1260"/>
      <c r="HMP20" s="1260"/>
      <c r="HMQ20" s="1260"/>
      <c r="HMR20" s="1260"/>
      <c r="HMS20" s="1260"/>
      <c r="HMT20" s="1260"/>
      <c r="HMU20" s="1260"/>
      <c r="HMV20" s="1260"/>
      <c r="HMW20" s="1260"/>
      <c r="HMX20" s="1260"/>
      <c r="HMY20" s="1260"/>
      <c r="HMZ20" s="1260"/>
      <c r="HNA20" s="1260"/>
      <c r="HNB20" s="1260"/>
      <c r="HNC20" s="1260"/>
      <c r="HND20" s="1260"/>
      <c r="HNE20" s="1260"/>
      <c r="HNF20" s="1260"/>
      <c r="HNG20" s="1260"/>
      <c r="HNH20" s="1260"/>
      <c r="HNI20" s="1260"/>
      <c r="HNJ20" s="1260"/>
      <c r="HNK20" s="1260"/>
      <c r="HNL20" s="1260"/>
      <c r="HNM20" s="1260"/>
      <c r="HNN20" s="1260"/>
      <c r="HNO20" s="1260"/>
      <c r="HNP20" s="1260"/>
      <c r="HNQ20" s="1260"/>
      <c r="HNR20" s="1260"/>
      <c r="HNS20" s="1260"/>
      <c r="HNT20" s="1260"/>
      <c r="HNU20" s="1260"/>
      <c r="HNV20" s="1260"/>
      <c r="HNW20" s="1260"/>
      <c r="HNX20" s="1260"/>
      <c r="HNY20" s="1260"/>
      <c r="HNZ20" s="1260"/>
      <c r="HOA20" s="1260"/>
      <c r="HOB20" s="1260"/>
      <c r="HOC20" s="1260"/>
      <c r="HOD20" s="1260"/>
      <c r="HOE20" s="1260"/>
      <c r="HOF20" s="1260"/>
      <c r="HOG20" s="1260"/>
      <c r="HOH20" s="1260"/>
      <c r="HOI20" s="1260"/>
      <c r="HOJ20" s="1260"/>
      <c r="HOK20" s="1260"/>
      <c r="HOL20" s="1260"/>
      <c r="HOM20" s="1260"/>
      <c r="HON20" s="1260"/>
      <c r="HOO20" s="1260"/>
      <c r="HOP20" s="1260"/>
      <c r="HOQ20" s="1260"/>
      <c r="HOR20" s="1260"/>
      <c r="HOS20" s="1260"/>
      <c r="HOT20" s="1260"/>
      <c r="HOU20" s="1260"/>
      <c r="HOV20" s="1260"/>
      <c r="HOW20" s="1260"/>
      <c r="HOX20" s="1260"/>
      <c r="HOY20" s="1260"/>
      <c r="HOZ20" s="1260"/>
      <c r="HPA20" s="1260"/>
      <c r="HPB20" s="1260"/>
      <c r="HPC20" s="1260"/>
      <c r="HPD20" s="1260"/>
      <c r="HPE20" s="1260"/>
      <c r="HPF20" s="1260"/>
      <c r="HPG20" s="1260"/>
      <c r="HPH20" s="1260"/>
      <c r="HPI20" s="1260"/>
      <c r="HPJ20" s="1260"/>
      <c r="HPK20" s="1260"/>
      <c r="HPL20" s="1260"/>
      <c r="HPM20" s="1260"/>
      <c r="HPN20" s="1260"/>
      <c r="HPO20" s="1260"/>
      <c r="HPP20" s="1260"/>
      <c r="HPQ20" s="1260"/>
      <c r="HPR20" s="1260"/>
      <c r="HPS20" s="1260"/>
      <c r="HPT20" s="1260"/>
      <c r="HPU20" s="1260"/>
      <c r="HPV20" s="1260"/>
      <c r="HPW20" s="1260"/>
      <c r="HPX20" s="1260"/>
      <c r="HPY20" s="1260"/>
      <c r="HPZ20" s="1260"/>
      <c r="HQA20" s="1260"/>
      <c r="HQB20" s="1260"/>
      <c r="HQC20" s="1260"/>
      <c r="HQD20" s="1260"/>
      <c r="HQE20" s="1260"/>
      <c r="HQF20" s="1260"/>
      <c r="HQG20" s="1260"/>
      <c r="HQH20" s="1260"/>
      <c r="HQI20" s="1260"/>
      <c r="HQJ20" s="1260"/>
      <c r="HQK20" s="1260"/>
      <c r="HQL20" s="1260"/>
      <c r="HQM20" s="1260"/>
      <c r="HQN20" s="1260"/>
      <c r="HQO20" s="1260"/>
      <c r="HQP20" s="1260"/>
      <c r="HQQ20" s="1260"/>
      <c r="HQR20" s="1260"/>
      <c r="HQS20" s="1260"/>
      <c r="HQT20" s="1260"/>
      <c r="HQU20" s="1260"/>
      <c r="HQV20" s="1260"/>
      <c r="HQW20" s="1260"/>
      <c r="HQX20" s="1260"/>
      <c r="HQY20" s="1260"/>
      <c r="HQZ20" s="1260"/>
      <c r="HRA20" s="1260"/>
      <c r="HRB20" s="1260"/>
      <c r="HRC20" s="1260"/>
      <c r="HRD20" s="1260"/>
      <c r="HRE20" s="1260"/>
      <c r="HRF20" s="1260"/>
      <c r="HRG20" s="1260"/>
      <c r="HRH20" s="1260"/>
      <c r="HRI20" s="1260"/>
      <c r="HRJ20" s="1260"/>
      <c r="HRK20" s="1260"/>
      <c r="HRL20" s="1260"/>
      <c r="HRM20" s="1260"/>
      <c r="HRN20" s="1260"/>
      <c r="HRO20" s="1260"/>
      <c r="HRP20" s="1260"/>
      <c r="HRQ20" s="1260"/>
      <c r="HRR20" s="1260"/>
      <c r="HRS20" s="1260"/>
      <c r="HRT20" s="1260"/>
      <c r="HRU20" s="1260"/>
      <c r="HRV20" s="1260"/>
      <c r="HRW20" s="1260"/>
      <c r="HRX20" s="1260"/>
      <c r="HRY20" s="1260"/>
      <c r="HRZ20" s="1260"/>
      <c r="HSA20" s="1260"/>
      <c r="HSB20" s="1260"/>
      <c r="HSC20" s="1260"/>
      <c r="HSD20" s="1260"/>
      <c r="HSE20" s="1260"/>
      <c r="HSF20" s="1260"/>
      <c r="HSG20" s="1260"/>
      <c r="HSH20" s="1260"/>
      <c r="HSI20" s="1260"/>
      <c r="HSJ20" s="1260"/>
      <c r="HSK20" s="1260"/>
      <c r="HSL20" s="1260"/>
      <c r="HSM20" s="1260"/>
      <c r="HSN20" s="1260"/>
      <c r="HSO20" s="1260"/>
      <c r="HSP20" s="1260"/>
      <c r="HSQ20" s="1260"/>
      <c r="HSR20" s="1260"/>
      <c r="HSS20" s="1260"/>
      <c r="HST20" s="1260"/>
      <c r="HSU20" s="1260"/>
      <c r="HSV20" s="1260"/>
      <c r="HSW20" s="1260"/>
      <c r="HSX20" s="1260"/>
      <c r="HSY20" s="1260"/>
      <c r="HSZ20" s="1260"/>
      <c r="HTA20" s="1260"/>
      <c r="HTB20" s="1260"/>
      <c r="HTC20" s="1260"/>
      <c r="HTD20" s="1260"/>
      <c r="HTE20" s="1260"/>
      <c r="HTF20" s="1260"/>
      <c r="HTG20" s="1260"/>
      <c r="HTH20" s="1260"/>
      <c r="HTI20" s="1260"/>
      <c r="HTJ20" s="1260"/>
      <c r="HTK20" s="1260"/>
      <c r="HTL20" s="1260"/>
      <c r="HTM20" s="1260"/>
      <c r="HTN20" s="1260"/>
      <c r="HTO20" s="1260"/>
      <c r="HTP20" s="1260"/>
      <c r="HTQ20" s="1260"/>
      <c r="HTR20" s="1260"/>
      <c r="HTS20" s="1260"/>
      <c r="HTT20" s="1260"/>
      <c r="HTU20" s="1260"/>
      <c r="HTV20" s="1260"/>
      <c r="HTW20" s="1260"/>
      <c r="HTX20" s="1260"/>
      <c r="HTY20" s="1260"/>
      <c r="HTZ20" s="1260"/>
      <c r="HUA20" s="1260"/>
      <c r="HUB20" s="1260"/>
      <c r="HUC20" s="1260"/>
      <c r="HUD20" s="1260"/>
      <c r="HUE20" s="1260"/>
      <c r="HUF20" s="1260"/>
      <c r="HUG20" s="1260"/>
      <c r="HUH20" s="1260"/>
      <c r="HUI20" s="1260"/>
      <c r="HUJ20" s="1260"/>
      <c r="HUK20" s="1260"/>
      <c r="HUL20" s="1260"/>
      <c r="HUM20" s="1260"/>
      <c r="HUN20" s="1260"/>
      <c r="HUO20" s="1260"/>
      <c r="HUP20" s="1260"/>
      <c r="HUQ20" s="1260"/>
      <c r="HUR20" s="1260"/>
      <c r="HUS20" s="1260"/>
      <c r="HUT20" s="1260"/>
      <c r="HUU20" s="1260"/>
      <c r="HUV20" s="1260"/>
      <c r="HUW20" s="1260"/>
      <c r="HUX20" s="1260"/>
      <c r="HUY20" s="1260"/>
      <c r="HUZ20" s="1260"/>
      <c r="HVA20" s="1260"/>
      <c r="HVB20" s="1260"/>
      <c r="HVC20" s="1260"/>
      <c r="HVD20" s="1260"/>
      <c r="HVE20" s="1260"/>
      <c r="HVF20" s="1260"/>
      <c r="HVG20" s="1260"/>
      <c r="HVH20" s="1260"/>
      <c r="HVI20" s="1260"/>
      <c r="HVJ20" s="1260"/>
      <c r="HVK20" s="1260"/>
      <c r="HVL20" s="1260"/>
      <c r="HVM20" s="1260"/>
      <c r="HVN20" s="1260"/>
      <c r="HVO20" s="1260"/>
      <c r="HVP20" s="1260"/>
      <c r="HVQ20" s="1260"/>
      <c r="HVR20" s="1260"/>
      <c r="HVS20" s="1260"/>
      <c r="HVT20" s="1260"/>
      <c r="HVU20" s="1260"/>
      <c r="HVV20" s="1260"/>
      <c r="HVW20" s="1260"/>
      <c r="HVX20" s="1260"/>
      <c r="HVY20" s="1260"/>
      <c r="HVZ20" s="1260"/>
      <c r="HWA20" s="1260"/>
      <c r="HWB20" s="1260"/>
      <c r="HWC20" s="1260"/>
      <c r="HWD20" s="1260"/>
      <c r="HWE20" s="1260"/>
      <c r="HWF20" s="1260"/>
      <c r="HWG20" s="1260"/>
      <c r="HWH20" s="1260"/>
      <c r="HWI20" s="1260"/>
      <c r="HWJ20" s="1260"/>
      <c r="HWK20" s="1260"/>
      <c r="HWL20" s="1260"/>
      <c r="HWM20" s="1260"/>
      <c r="HWN20" s="1260"/>
      <c r="HWO20" s="1260"/>
      <c r="HWP20" s="1260"/>
      <c r="HWQ20" s="1260"/>
      <c r="HWR20" s="1260"/>
      <c r="HWS20" s="1260"/>
      <c r="HWT20" s="1260"/>
      <c r="HWU20" s="1260"/>
      <c r="HWV20" s="1260"/>
      <c r="HWW20" s="1260"/>
      <c r="HWX20" s="1260"/>
      <c r="HWY20" s="1260"/>
      <c r="HWZ20" s="1260"/>
      <c r="HXA20" s="1260"/>
      <c r="HXB20" s="1260"/>
      <c r="HXC20" s="1260"/>
      <c r="HXD20" s="1260"/>
      <c r="HXE20" s="1260"/>
      <c r="HXF20" s="1260"/>
      <c r="HXG20" s="1260"/>
      <c r="HXH20" s="1260"/>
      <c r="HXI20" s="1260"/>
      <c r="HXJ20" s="1260"/>
      <c r="HXK20" s="1260"/>
      <c r="HXL20" s="1260"/>
      <c r="HXM20" s="1260"/>
      <c r="HXN20" s="1260"/>
      <c r="HXO20" s="1260"/>
      <c r="HXP20" s="1260"/>
      <c r="HXQ20" s="1260"/>
      <c r="HXR20" s="1260"/>
      <c r="HXS20" s="1260"/>
      <c r="HXT20" s="1260"/>
      <c r="HXU20" s="1260"/>
      <c r="HXV20" s="1260"/>
      <c r="HXW20" s="1260"/>
      <c r="HXX20" s="1260"/>
      <c r="HXY20" s="1260"/>
      <c r="HXZ20" s="1260"/>
      <c r="HYA20" s="1260"/>
      <c r="HYB20" s="1260"/>
      <c r="HYC20" s="1260"/>
      <c r="HYD20" s="1260"/>
      <c r="HYE20" s="1260"/>
      <c r="HYF20" s="1260"/>
      <c r="HYG20" s="1260"/>
      <c r="HYH20" s="1260"/>
      <c r="HYI20" s="1260"/>
      <c r="HYJ20" s="1260"/>
      <c r="HYK20" s="1260"/>
      <c r="HYL20" s="1260"/>
      <c r="HYM20" s="1260"/>
      <c r="HYN20" s="1260"/>
      <c r="HYO20" s="1260"/>
      <c r="HYP20" s="1260"/>
      <c r="HYQ20" s="1260"/>
      <c r="HYR20" s="1260"/>
      <c r="HYS20" s="1260"/>
      <c r="HYT20" s="1260"/>
      <c r="HYU20" s="1260"/>
      <c r="HYV20" s="1260"/>
      <c r="HYW20" s="1260"/>
      <c r="HYX20" s="1260"/>
      <c r="HYY20" s="1260"/>
      <c r="HYZ20" s="1260"/>
      <c r="HZA20" s="1260"/>
      <c r="HZB20" s="1260"/>
      <c r="HZC20" s="1260"/>
      <c r="HZD20" s="1260"/>
      <c r="HZE20" s="1260"/>
      <c r="HZF20" s="1260"/>
      <c r="HZG20" s="1260"/>
      <c r="HZH20" s="1260"/>
      <c r="HZI20" s="1260"/>
      <c r="HZJ20" s="1260"/>
      <c r="HZK20" s="1260"/>
      <c r="HZL20" s="1260"/>
      <c r="HZM20" s="1260"/>
      <c r="HZN20" s="1260"/>
      <c r="HZO20" s="1260"/>
      <c r="HZP20" s="1260"/>
      <c r="HZQ20" s="1260"/>
      <c r="HZR20" s="1260"/>
      <c r="HZS20" s="1260"/>
      <c r="HZT20" s="1260"/>
      <c r="HZU20" s="1260"/>
      <c r="HZV20" s="1260"/>
      <c r="HZW20" s="1260"/>
      <c r="HZX20" s="1260"/>
      <c r="HZY20" s="1260"/>
      <c r="HZZ20" s="1260"/>
      <c r="IAA20" s="1260"/>
      <c r="IAB20" s="1260"/>
      <c r="IAC20" s="1260"/>
      <c r="IAD20" s="1260"/>
      <c r="IAE20" s="1260"/>
      <c r="IAF20" s="1260"/>
      <c r="IAG20" s="1260"/>
      <c r="IAH20" s="1260"/>
      <c r="IAI20" s="1260"/>
      <c r="IAJ20" s="1260"/>
      <c r="IAK20" s="1260"/>
      <c r="IAL20" s="1260"/>
      <c r="IAM20" s="1260"/>
      <c r="IAN20" s="1260"/>
      <c r="IAO20" s="1260"/>
      <c r="IAP20" s="1260"/>
      <c r="IAQ20" s="1260"/>
      <c r="IAR20" s="1260"/>
      <c r="IAS20" s="1260"/>
      <c r="IAT20" s="1260"/>
      <c r="IAU20" s="1260"/>
      <c r="IAV20" s="1260"/>
      <c r="IAW20" s="1260"/>
      <c r="IAX20" s="1260"/>
      <c r="IAY20" s="1260"/>
      <c r="IAZ20" s="1260"/>
      <c r="IBA20" s="1260"/>
      <c r="IBB20" s="1260"/>
      <c r="IBC20" s="1260"/>
      <c r="IBD20" s="1260"/>
      <c r="IBE20" s="1260"/>
      <c r="IBF20" s="1260"/>
      <c r="IBG20" s="1260"/>
      <c r="IBH20" s="1260"/>
      <c r="IBI20" s="1260"/>
      <c r="IBJ20" s="1260"/>
      <c r="IBK20" s="1260"/>
      <c r="IBL20" s="1260"/>
      <c r="IBM20" s="1260"/>
      <c r="IBN20" s="1260"/>
      <c r="IBO20" s="1260"/>
      <c r="IBP20" s="1260"/>
      <c r="IBQ20" s="1260"/>
      <c r="IBR20" s="1260"/>
      <c r="IBS20" s="1260"/>
      <c r="IBT20" s="1260"/>
      <c r="IBU20" s="1260"/>
      <c r="IBV20" s="1260"/>
      <c r="IBW20" s="1260"/>
      <c r="IBX20" s="1260"/>
      <c r="IBY20" s="1260"/>
      <c r="IBZ20" s="1260"/>
      <c r="ICA20" s="1260"/>
      <c r="ICB20" s="1260"/>
      <c r="ICC20" s="1260"/>
      <c r="ICD20" s="1260"/>
      <c r="ICE20" s="1260"/>
      <c r="ICF20" s="1260"/>
      <c r="ICG20" s="1260"/>
      <c r="ICH20" s="1260"/>
      <c r="ICI20" s="1260"/>
      <c r="ICJ20" s="1260"/>
      <c r="ICK20" s="1260"/>
      <c r="ICL20" s="1260"/>
      <c r="ICM20" s="1260"/>
      <c r="ICN20" s="1260"/>
      <c r="ICO20" s="1260"/>
      <c r="ICP20" s="1260"/>
      <c r="ICQ20" s="1260"/>
      <c r="ICR20" s="1260"/>
      <c r="ICS20" s="1260"/>
      <c r="ICT20" s="1260"/>
      <c r="ICU20" s="1260"/>
      <c r="ICV20" s="1260"/>
      <c r="ICW20" s="1260"/>
      <c r="ICX20" s="1260"/>
      <c r="ICY20" s="1260"/>
      <c r="ICZ20" s="1260"/>
      <c r="IDA20" s="1260"/>
      <c r="IDB20" s="1260"/>
      <c r="IDC20" s="1260"/>
      <c r="IDD20" s="1260"/>
      <c r="IDE20" s="1260"/>
      <c r="IDF20" s="1260"/>
      <c r="IDG20" s="1260"/>
      <c r="IDH20" s="1260"/>
      <c r="IDI20" s="1260"/>
      <c r="IDJ20" s="1260"/>
      <c r="IDK20" s="1260"/>
      <c r="IDL20" s="1260"/>
      <c r="IDM20" s="1260"/>
      <c r="IDN20" s="1260"/>
      <c r="IDO20" s="1260"/>
      <c r="IDP20" s="1260"/>
      <c r="IDQ20" s="1260"/>
      <c r="IDR20" s="1260"/>
      <c r="IDS20" s="1260"/>
      <c r="IDT20" s="1260"/>
      <c r="IDU20" s="1260"/>
      <c r="IDV20" s="1260"/>
      <c r="IDW20" s="1260"/>
      <c r="IDX20" s="1260"/>
      <c r="IDY20" s="1260"/>
      <c r="IDZ20" s="1260"/>
      <c r="IEA20" s="1260"/>
      <c r="IEB20" s="1260"/>
      <c r="IEC20" s="1260"/>
      <c r="IED20" s="1260"/>
      <c r="IEE20" s="1260"/>
      <c r="IEF20" s="1260"/>
      <c r="IEG20" s="1260"/>
      <c r="IEH20" s="1260"/>
      <c r="IEI20" s="1260"/>
      <c r="IEJ20" s="1260"/>
      <c r="IEK20" s="1260"/>
      <c r="IEL20" s="1260"/>
      <c r="IEM20" s="1260"/>
      <c r="IEN20" s="1260"/>
      <c r="IEO20" s="1260"/>
      <c r="IEP20" s="1260"/>
      <c r="IEQ20" s="1260"/>
      <c r="IER20" s="1260"/>
      <c r="IES20" s="1260"/>
      <c r="IET20" s="1260"/>
      <c r="IEU20" s="1260"/>
      <c r="IEV20" s="1260"/>
      <c r="IEW20" s="1260"/>
      <c r="IEX20" s="1260"/>
      <c r="IEY20" s="1260"/>
      <c r="IEZ20" s="1260"/>
      <c r="IFA20" s="1260"/>
      <c r="IFB20" s="1260"/>
      <c r="IFC20" s="1260"/>
      <c r="IFD20" s="1260"/>
      <c r="IFE20" s="1260"/>
      <c r="IFF20" s="1260"/>
      <c r="IFG20" s="1260"/>
      <c r="IFH20" s="1260"/>
      <c r="IFI20" s="1260"/>
      <c r="IFJ20" s="1260"/>
      <c r="IFK20" s="1260"/>
      <c r="IFL20" s="1260"/>
      <c r="IFM20" s="1260"/>
      <c r="IFN20" s="1260"/>
      <c r="IFO20" s="1260"/>
      <c r="IFP20" s="1260"/>
      <c r="IFQ20" s="1260"/>
      <c r="IFR20" s="1260"/>
      <c r="IFS20" s="1260"/>
      <c r="IFT20" s="1260"/>
      <c r="IFU20" s="1260"/>
      <c r="IFV20" s="1260"/>
      <c r="IFW20" s="1260"/>
      <c r="IFX20" s="1260"/>
      <c r="IFY20" s="1260"/>
      <c r="IFZ20" s="1260"/>
      <c r="IGA20" s="1260"/>
      <c r="IGB20" s="1260"/>
      <c r="IGC20" s="1260"/>
      <c r="IGD20" s="1260"/>
      <c r="IGE20" s="1260"/>
      <c r="IGF20" s="1260"/>
      <c r="IGG20" s="1260"/>
      <c r="IGH20" s="1260"/>
      <c r="IGI20" s="1260"/>
      <c r="IGJ20" s="1260"/>
      <c r="IGK20" s="1260"/>
      <c r="IGL20" s="1260"/>
      <c r="IGM20" s="1260"/>
      <c r="IGN20" s="1260"/>
      <c r="IGO20" s="1260"/>
      <c r="IGP20" s="1260"/>
      <c r="IGQ20" s="1260"/>
      <c r="IGR20" s="1260"/>
      <c r="IGS20" s="1260"/>
      <c r="IGT20" s="1260"/>
      <c r="IGU20" s="1260"/>
      <c r="IGV20" s="1260"/>
      <c r="IGW20" s="1260"/>
      <c r="IGX20" s="1260"/>
      <c r="IGY20" s="1260"/>
      <c r="IGZ20" s="1260"/>
      <c r="IHA20" s="1260"/>
      <c r="IHB20" s="1260"/>
      <c r="IHC20" s="1260"/>
      <c r="IHD20" s="1260"/>
      <c r="IHE20" s="1260"/>
      <c r="IHF20" s="1260"/>
      <c r="IHG20" s="1260"/>
      <c r="IHH20" s="1260"/>
      <c r="IHI20" s="1260"/>
      <c r="IHJ20" s="1260"/>
      <c r="IHK20" s="1260"/>
      <c r="IHL20" s="1260"/>
      <c r="IHM20" s="1260"/>
      <c r="IHN20" s="1260"/>
      <c r="IHO20" s="1260"/>
      <c r="IHP20" s="1260"/>
      <c r="IHQ20" s="1260"/>
      <c r="IHR20" s="1260"/>
      <c r="IHS20" s="1260"/>
      <c r="IHT20" s="1260"/>
      <c r="IHU20" s="1260"/>
      <c r="IHV20" s="1260"/>
      <c r="IHW20" s="1260"/>
      <c r="IHX20" s="1260"/>
      <c r="IHY20" s="1260"/>
      <c r="IHZ20" s="1260"/>
      <c r="IIA20" s="1260"/>
      <c r="IIB20" s="1260"/>
      <c r="IIC20" s="1260"/>
      <c r="IID20" s="1260"/>
      <c r="IIE20" s="1260"/>
      <c r="IIF20" s="1260"/>
      <c r="IIG20" s="1260"/>
      <c r="IIH20" s="1260"/>
      <c r="III20" s="1260"/>
      <c r="IIJ20" s="1260"/>
      <c r="IIK20" s="1260"/>
      <c r="IIL20" s="1260"/>
      <c r="IIM20" s="1260"/>
      <c r="IIN20" s="1260"/>
      <c r="IIO20" s="1260"/>
      <c r="IIP20" s="1260"/>
      <c r="IIQ20" s="1260"/>
      <c r="IIR20" s="1260"/>
      <c r="IIS20" s="1260"/>
      <c r="IIT20" s="1260"/>
      <c r="IIU20" s="1260"/>
      <c r="IIV20" s="1260"/>
      <c r="IIW20" s="1260"/>
      <c r="IIX20" s="1260"/>
      <c r="IIY20" s="1260"/>
      <c r="IIZ20" s="1260"/>
      <c r="IJA20" s="1260"/>
      <c r="IJB20" s="1260"/>
      <c r="IJC20" s="1260"/>
      <c r="IJD20" s="1260"/>
      <c r="IJE20" s="1260"/>
      <c r="IJF20" s="1260"/>
      <c r="IJG20" s="1260"/>
      <c r="IJH20" s="1260"/>
      <c r="IJI20" s="1260"/>
      <c r="IJJ20" s="1260"/>
      <c r="IJK20" s="1260"/>
      <c r="IJL20" s="1260"/>
      <c r="IJM20" s="1260"/>
      <c r="IJN20" s="1260"/>
      <c r="IJO20" s="1260"/>
      <c r="IJP20" s="1260"/>
      <c r="IJQ20" s="1260"/>
      <c r="IJR20" s="1260"/>
      <c r="IJS20" s="1260"/>
      <c r="IJT20" s="1260"/>
      <c r="IJU20" s="1260"/>
      <c r="IJV20" s="1260"/>
      <c r="IJW20" s="1260"/>
      <c r="IJX20" s="1260"/>
      <c r="IJY20" s="1260"/>
      <c r="IJZ20" s="1260"/>
      <c r="IKA20" s="1260"/>
      <c r="IKB20" s="1260"/>
      <c r="IKC20" s="1260"/>
      <c r="IKD20" s="1260"/>
      <c r="IKE20" s="1260"/>
      <c r="IKF20" s="1260"/>
      <c r="IKG20" s="1260"/>
      <c r="IKH20" s="1260"/>
      <c r="IKI20" s="1260"/>
      <c r="IKJ20" s="1260"/>
      <c r="IKK20" s="1260"/>
      <c r="IKL20" s="1260"/>
      <c r="IKM20" s="1260"/>
      <c r="IKN20" s="1260"/>
      <c r="IKO20" s="1260"/>
      <c r="IKP20" s="1260"/>
      <c r="IKQ20" s="1260"/>
      <c r="IKR20" s="1260"/>
      <c r="IKS20" s="1260"/>
      <c r="IKT20" s="1260"/>
      <c r="IKU20" s="1260"/>
      <c r="IKV20" s="1260"/>
      <c r="IKW20" s="1260"/>
      <c r="IKX20" s="1260"/>
      <c r="IKY20" s="1260"/>
      <c r="IKZ20" s="1260"/>
      <c r="ILA20" s="1260"/>
      <c r="ILB20" s="1260"/>
      <c r="ILC20" s="1260"/>
      <c r="ILD20" s="1260"/>
      <c r="ILE20" s="1260"/>
      <c r="ILF20" s="1260"/>
      <c r="ILG20" s="1260"/>
      <c r="ILH20" s="1260"/>
      <c r="ILI20" s="1260"/>
      <c r="ILJ20" s="1260"/>
      <c r="ILK20" s="1260"/>
      <c r="ILL20" s="1260"/>
      <c r="ILM20" s="1260"/>
      <c r="ILN20" s="1260"/>
      <c r="ILO20" s="1260"/>
      <c r="ILP20" s="1260"/>
      <c r="ILQ20" s="1260"/>
      <c r="ILR20" s="1260"/>
      <c r="ILS20" s="1260"/>
      <c r="ILT20" s="1260"/>
      <c r="ILU20" s="1260"/>
      <c r="ILV20" s="1260"/>
      <c r="ILW20" s="1260"/>
      <c r="ILX20" s="1260"/>
      <c r="ILY20" s="1260"/>
      <c r="ILZ20" s="1260"/>
      <c r="IMA20" s="1260"/>
      <c r="IMB20" s="1260"/>
      <c r="IMC20" s="1260"/>
      <c r="IMD20" s="1260"/>
      <c r="IME20" s="1260"/>
      <c r="IMF20" s="1260"/>
      <c r="IMG20" s="1260"/>
      <c r="IMH20" s="1260"/>
      <c r="IMI20" s="1260"/>
      <c r="IMJ20" s="1260"/>
      <c r="IMK20" s="1260"/>
      <c r="IML20" s="1260"/>
      <c r="IMM20" s="1260"/>
      <c r="IMN20" s="1260"/>
      <c r="IMO20" s="1260"/>
      <c r="IMP20" s="1260"/>
      <c r="IMQ20" s="1260"/>
      <c r="IMR20" s="1260"/>
      <c r="IMS20" s="1260"/>
      <c r="IMT20" s="1260"/>
      <c r="IMU20" s="1260"/>
      <c r="IMV20" s="1260"/>
      <c r="IMW20" s="1260"/>
      <c r="IMX20" s="1260"/>
      <c r="IMY20" s="1260"/>
      <c r="IMZ20" s="1260"/>
      <c r="INA20" s="1260"/>
      <c r="INB20" s="1260"/>
      <c r="INC20" s="1260"/>
      <c r="IND20" s="1260"/>
      <c r="INE20" s="1260"/>
      <c r="INF20" s="1260"/>
      <c r="ING20" s="1260"/>
      <c r="INH20" s="1260"/>
      <c r="INI20" s="1260"/>
      <c r="INJ20" s="1260"/>
      <c r="INK20" s="1260"/>
      <c r="INL20" s="1260"/>
      <c r="INM20" s="1260"/>
      <c r="INN20" s="1260"/>
      <c r="INO20" s="1260"/>
      <c r="INP20" s="1260"/>
      <c r="INQ20" s="1260"/>
      <c r="INR20" s="1260"/>
      <c r="INS20" s="1260"/>
      <c r="INT20" s="1260"/>
      <c r="INU20" s="1260"/>
      <c r="INV20" s="1260"/>
      <c r="INW20" s="1260"/>
      <c r="INX20" s="1260"/>
      <c r="INY20" s="1260"/>
      <c r="INZ20" s="1260"/>
      <c r="IOA20" s="1260"/>
      <c r="IOB20" s="1260"/>
      <c r="IOC20" s="1260"/>
      <c r="IOD20" s="1260"/>
      <c r="IOE20" s="1260"/>
      <c r="IOF20" s="1260"/>
      <c r="IOG20" s="1260"/>
      <c r="IOH20" s="1260"/>
      <c r="IOI20" s="1260"/>
      <c r="IOJ20" s="1260"/>
      <c r="IOK20" s="1260"/>
      <c r="IOL20" s="1260"/>
      <c r="IOM20" s="1260"/>
      <c r="ION20" s="1260"/>
      <c r="IOO20" s="1260"/>
      <c r="IOP20" s="1260"/>
      <c r="IOQ20" s="1260"/>
      <c r="IOR20" s="1260"/>
      <c r="IOS20" s="1260"/>
      <c r="IOT20" s="1260"/>
      <c r="IOU20" s="1260"/>
      <c r="IOV20" s="1260"/>
      <c r="IOW20" s="1260"/>
      <c r="IOX20" s="1260"/>
      <c r="IOY20" s="1260"/>
      <c r="IOZ20" s="1260"/>
      <c r="IPA20" s="1260"/>
      <c r="IPB20" s="1260"/>
      <c r="IPC20" s="1260"/>
      <c r="IPD20" s="1260"/>
      <c r="IPE20" s="1260"/>
      <c r="IPF20" s="1260"/>
      <c r="IPG20" s="1260"/>
      <c r="IPH20" s="1260"/>
      <c r="IPI20" s="1260"/>
      <c r="IPJ20" s="1260"/>
      <c r="IPK20" s="1260"/>
      <c r="IPL20" s="1260"/>
      <c r="IPM20" s="1260"/>
      <c r="IPN20" s="1260"/>
      <c r="IPO20" s="1260"/>
      <c r="IPP20" s="1260"/>
      <c r="IPQ20" s="1260"/>
      <c r="IPR20" s="1260"/>
      <c r="IPS20" s="1260"/>
      <c r="IPT20" s="1260"/>
      <c r="IPU20" s="1260"/>
      <c r="IPV20" s="1260"/>
      <c r="IPW20" s="1260"/>
      <c r="IPX20" s="1260"/>
      <c r="IPY20" s="1260"/>
      <c r="IPZ20" s="1260"/>
      <c r="IQA20" s="1260"/>
      <c r="IQB20" s="1260"/>
      <c r="IQC20" s="1260"/>
      <c r="IQD20" s="1260"/>
      <c r="IQE20" s="1260"/>
      <c r="IQF20" s="1260"/>
      <c r="IQG20" s="1260"/>
      <c r="IQH20" s="1260"/>
      <c r="IQI20" s="1260"/>
      <c r="IQJ20" s="1260"/>
      <c r="IQK20" s="1260"/>
      <c r="IQL20" s="1260"/>
      <c r="IQM20" s="1260"/>
      <c r="IQN20" s="1260"/>
      <c r="IQO20" s="1260"/>
      <c r="IQP20" s="1260"/>
      <c r="IQQ20" s="1260"/>
      <c r="IQR20" s="1260"/>
      <c r="IQS20" s="1260"/>
      <c r="IQT20" s="1260"/>
      <c r="IQU20" s="1260"/>
      <c r="IQV20" s="1260"/>
      <c r="IQW20" s="1260"/>
      <c r="IQX20" s="1260"/>
      <c r="IQY20" s="1260"/>
      <c r="IQZ20" s="1260"/>
      <c r="IRA20" s="1260"/>
      <c r="IRB20" s="1260"/>
      <c r="IRC20" s="1260"/>
      <c r="IRD20" s="1260"/>
      <c r="IRE20" s="1260"/>
      <c r="IRF20" s="1260"/>
      <c r="IRG20" s="1260"/>
      <c r="IRH20" s="1260"/>
      <c r="IRI20" s="1260"/>
      <c r="IRJ20" s="1260"/>
      <c r="IRK20" s="1260"/>
      <c r="IRL20" s="1260"/>
      <c r="IRM20" s="1260"/>
      <c r="IRN20" s="1260"/>
      <c r="IRO20" s="1260"/>
      <c r="IRP20" s="1260"/>
      <c r="IRQ20" s="1260"/>
      <c r="IRR20" s="1260"/>
      <c r="IRS20" s="1260"/>
      <c r="IRT20" s="1260"/>
      <c r="IRU20" s="1260"/>
      <c r="IRV20" s="1260"/>
      <c r="IRW20" s="1260"/>
      <c r="IRX20" s="1260"/>
      <c r="IRY20" s="1260"/>
      <c r="IRZ20" s="1260"/>
      <c r="ISA20" s="1260"/>
      <c r="ISB20" s="1260"/>
      <c r="ISC20" s="1260"/>
      <c r="ISD20" s="1260"/>
      <c r="ISE20" s="1260"/>
      <c r="ISF20" s="1260"/>
      <c r="ISG20" s="1260"/>
      <c r="ISH20" s="1260"/>
      <c r="ISI20" s="1260"/>
      <c r="ISJ20" s="1260"/>
      <c r="ISK20" s="1260"/>
      <c r="ISL20" s="1260"/>
      <c r="ISM20" s="1260"/>
      <c r="ISN20" s="1260"/>
      <c r="ISO20" s="1260"/>
      <c r="ISP20" s="1260"/>
      <c r="ISQ20" s="1260"/>
      <c r="ISR20" s="1260"/>
      <c r="ISS20" s="1260"/>
      <c r="IST20" s="1260"/>
      <c r="ISU20" s="1260"/>
      <c r="ISV20" s="1260"/>
      <c r="ISW20" s="1260"/>
      <c r="ISX20" s="1260"/>
      <c r="ISY20" s="1260"/>
      <c r="ISZ20" s="1260"/>
      <c r="ITA20" s="1260"/>
      <c r="ITB20" s="1260"/>
      <c r="ITC20" s="1260"/>
      <c r="ITD20" s="1260"/>
      <c r="ITE20" s="1260"/>
      <c r="ITF20" s="1260"/>
      <c r="ITG20" s="1260"/>
      <c r="ITH20" s="1260"/>
      <c r="ITI20" s="1260"/>
      <c r="ITJ20" s="1260"/>
      <c r="ITK20" s="1260"/>
      <c r="ITL20" s="1260"/>
      <c r="ITM20" s="1260"/>
      <c r="ITN20" s="1260"/>
      <c r="ITO20" s="1260"/>
      <c r="ITP20" s="1260"/>
      <c r="ITQ20" s="1260"/>
      <c r="ITR20" s="1260"/>
      <c r="ITS20" s="1260"/>
      <c r="ITT20" s="1260"/>
      <c r="ITU20" s="1260"/>
      <c r="ITV20" s="1260"/>
      <c r="ITW20" s="1260"/>
      <c r="ITX20" s="1260"/>
      <c r="ITY20" s="1260"/>
      <c r="ITZ20" s="1260"/>
      <c r="IUA20" s="1260"/>
      <c r="IUB20" s="1260"/>
      <c r="IUC20" s="1260"/>
      <c r="IUD20" s="1260"/>
      <c r="IUE20" s="1260"/>
      <c r="IUF20" s="1260"/>
      <c r="IUG20" s="1260"/>
      <c r="IUH20" s="1260"/>
      <c r="IUI20" s="1260"/>
      <c r="IUJ20" s="1260"/>
      <c r="IUK20" s="1260"/>
      <c r="IUL20" s="1260"/>
      <c r="IUM20" s="1260"/>
      <c r="IUN20" s="1260"/>
      <c r="IUO20" s="1260"/>
      <c r="IUP20" s="1260"/>
      <c r="IUQ20" s="1260"/>
      <c r="IUR20" s="1260"/>
      <c r="IUS20" s="1260"/>
      <c r="IUT20" s="1260"/>
      <c r="IUU20" s="1260"/>
      <c r="IUV20" s="1260"/>
      <c r="IUW20" s="1260"/>
      <c r="IUX20" s="1260"/>
      <c r="IUY20" s="1260"/>
      <c r="IUZ20" s="1260"/>
      <c r="IVA20" s="1260"/>
      <c r="IVB20" s="1260"/>
      <c r="IVC20" s="1260"/>
      <c r="IVD20" s="1260"/>
      <c r="IVE20" s="1260"/>
      <c r="IVF20" s="1260"/>
      <c r="IVG20" s="1260"/>
      <c r="IVH20" s="1260"/>
      <c r="IVI20" s="1260"/>
      <c r="IVJ20" s="1260"/>
      <c r="IVK20" s="1260"/>
      <c r="IVL20" s="1260"/>
      <c r="IVM20" s="1260"/>
      <c r="IVN20" s="1260"/>
      <c r="IVO20" s="1260"/>
      <c r="IVP20" s="1260"/>
      <c r="IVQ20" s="1260"/>
      <c r="IVR20" s="1260"/>
      <c r="IVS20" s="1260"/>
      <c r="IVT20" s="1260"/>
      <c r="IVU20" s="1260"/>
      <c r="IVV20" s="1260"/>
      <c r="IVW20" s="1260"/>
      <c r="IVX20" s="1260"/>
      <c r="IVY20" s="1260"/>
      <c r="IVZ20" s="1260"/>
      <c r="IWA20" s="1260"/>
      <c r="IWB20" s="1260"/>
      <c r="IWC20" s="1260"/>
      <c r="IWD20" s="1260"/>
      <c r="IWE20" s="1260"/>
      <c r="IWF20" s="1260"/>
      <c r="IWG20" s="1260"/>
      <c r="IWH20" s="1260"/>
      <c r="IWI20" s="1260"/>
      <c r="IWJ20" s="1260"/>
      <c r="IWK20" s="1260"/>
      <c r="IWL20" s="1260"/>
      <c r="IWM20" s="1260"/>
      <c r="IWN20" s="1260"/>
      <c r="IWO20" s="1260"/>
      <c r="IWP20" s="1260"/>
      <c r="IWQ20" s="1260"/>
      <c r="IWR20" s="1260"/>
      <c r="IWS20" s="1260"/>
      <c r="IWT20" s="1260"/>
      <c r="IWU20" s="1260"/>
      <c r="IWV20" s="1260"/>
      <c r="IWW20" s="1260"/>
      <c r="IWX20" s="1260"/>
      <c r="IWY20" s="1260"/>
      <c r="IWZ20" s="1260"/>
      <c r="IXA20" s="1260"/>
      <c r="IXB20" s="1260"/>
      <c r="IXC20" s="1260"/>
      <c r="IXD20" s="1260"/>
      <c r="IXE20" s="1260"/>
      <c r="IXF20" s="1260"/>
      <c r="IXG20" s="1260"/>
      <c r="IXH20" s="1260"/>
      <c r="IXI20" s="1260"/>
      <c r="IXJ20" s="1260"/>
      <c r="IXK20" s="1260"/>
      <c r="IXL20" s="1260"/>
      <c r="IXM20" s="1260"/>
      <c r="IXN20" s="1260"/>
      <c r="IXO20" s="1260"/>
      <c r="IXP20" s="1260"/>
      <c r="IXQ20" s="1260"/>
      <c r="IXR20" s="1260"/>
      <c r="IXS20" s="1260"/>
      <c r="IXT20" s="1260"/>
      <c r="IXU20" s="1260"/>
      <c r="IXV20" s="1260"/>
      <c r="IXW20" s="1260"/>
      <c r="IXX20" s="1260"/>
      <c r="IXY20" s="1260"/>
      <c r="IXZ20" s="1260"/>
      <c r="IYA20" s="1260"/>
      <c r="IYB20" s="1260"/>
      <c r="IYC20" s="1260"/>
      <c r="IYD20" s="1260"/>
      <c r="IYE20" s="1260"/>
      <c r="IYF20" s="1260"/>
      <c r="IYG20" s="1260"/>
      <c r="IYH20" s="1260"/>
      <c r="IYI20" s="1260"/>
      <c r="IYJ20" s="1260"/>
      <c r="IYK20" s="1260"/>
      <c r="IYL20" s="1260"/>
      <c r="IYM20" s="1260"/>
      <c r="IYN20" s="1260"/>
      <c r="IYO20" s="1260"/>
      <c r="IYP20" s="1260"/>
      <c r="IYQ20" s="1260"/>
      <c r="IYR20" s="1260"/>
      <c r="IYS20" s="1260"/>
      <c r="IYT20" s="1260"/>
      <c r="IYU20" s="1260"/>
      <c r="IYV20" s="1260"/>
      <c r="IYW20" s="1260"/>
      <c r="IYX20" s="1260"/>
      <c r="IYY20" s="1260"/>
      <c r="IYZ20" s="1260"/>
      <c r="IZA20" s="1260"/>
      <c r="IZB20" s="1260"/>
      <c r="IZC20" s="1260"/>
      <c r="IZD20" s="1260"/>
      <c r="IZE20" s="1260"/>
      <c r="IZF20" s="1260"/>
      <c r="IZG20" s="1260"/>
      <c r="IZH20" s="1260"/>
      <c r="IZI20" s="1260"/>
      <c r="IZJ20" s="1260"/>
      <c r="IZK20" s="1260"/>
      <c r="IZL20" s="1260"/>
      <c r="IZM20" s="1260"/>
      <c r="IZN20" s="1260"/>
      <c r="IZO20" s="1260"/>
      <c r="IZP20" s="1260"/>
      <c r="IZQ20" s="1260"/>
      <c r="IZR20" s="1260"/>
      <c r="IZS20" s="1260"/>
      <c r="IZT20" s="1260"/>
      <c r="IZU20" s="1260"/>
      <c r="IZV20" s="1260"/>
      <c r="IZW20" s="1260"/>
      <c r="IZX20" s="1260"/>
      <c r="IZY20" s="1260"/>
      <c r="IZZ20" s="1260"/>
      <c r="JAA20" s="1260"/>
      <c r="JAB20" s="1260"/>
      <c r="JAC20" s="1260"/>
      <c r="JAD20" s="1260"/>
      <c r="JAE20" s="1260"/>
      <c r="JAF20" s="1260"/>
      <c r="JAG20" s="1260"/>
      <c r="JAH20" s="1260"/>
      <c r="JAI20" s="1260"/>
      <c r="JAJ20" s="1260"/>
      <c r="JAK20" s="1260"/>
      <c r="JAL20" s="1260"/>
      <c r="JAM20" s="1260"/>
      <c r="JAN20" s="1260"/>
      <c r="JAO20" s="1260"/>
      <c r="JAP20" s="1260"/>
      <c r="JAQ20" s="1260"/>
      <c r="JAR20" s="1260"/>
      <c r="JAS20" s="1260"/>
      <c r="JAT20" s="1260"/>
      <c r="JAU20" s="1260"/>
      <c r="JAV20" s="1260"/>
      <c r="JAW20" s="1260"/>
      <c r="JAX20" s="1260"/>
      <c r="JAY20" s="1260"/>
      <c r="JAZ20" s="1260"/>
      <c r="JBA20" s="1260"/>
      <c r="JBB20" s="1260"/>
      <c r="JBC20" s="1260"/>
      <c r="JBD20" s="1260"/>
      <c r="JBE20" s="1260"/>
      <c r="JBF20" s="1260"/>
      <c r="JBG20" s="1260"/>
      <c r="JBH20" s="1260"/>
      <c r="JBI20" s="1260"/>
      <c r="JBJ20" s="1260"/>
      <c r="JBK20" s="1260"/>
      <c r="JBL20" s="1260"/>
      <c r="JBM20" s="1260"/>
      <c r="JBN20" s="1260"/>
      <c r="JBO20" s="1260"/>
      <c r="JBP20" s="1260"/>
      <c r="JBQ20" s="1260"/>
      <c r="JBR20" s="1260"/>
      <c r="JBS20" s="1260"/>
      <c r="JBT20" s="1260"/>
      <c r="JBU20" s="1260"/>
      <c r="JBV20" s="1260"/>
      <c r="JBW20" s="1260"/>
      <c r="JBX20" s="1260"/>
      <c r="JBY20" s="1260"/>
      <c r="JBZ20" s="1260"/>
      <c r="JCA20" s="1260"/>
      <c r="JCB20" s="1260"/>
      <c r="JCC20" s="1260"/>
      <c r="JCD20" s="1260"/>
      <c r="JCE20" s="1260"/>
      <c r="JCF20" s="1260"/>
      <c r="JCG20" s="1260"/>
      <c r="JCH20" s="1260"/>
      <c r="JCI20" s="1260"/>
      <c r="JCJ20" s="1260"/>
      <c r="JCK20" s="1260"/>
      <c r="JCL20" s="1260"/>
      <c r="JCM20" s="1260"/>
      <c r="JCN20" s="1260"/>
      <c r="JCO20" s="1260"/>
      <c r="JCP20" s="1260"/>
      <c r="JCQ20" s="1260"/>
      <c r="JCR20" s="1260"/>
      <c r="JCS20" s="1260"/>
      <c r="JCT20" s="1260"/>
      <c r="JCU20" s="1260"/>
      <c r="JCV20" s="1260"/>
      <c r="JCW20" s="1260"/>
      <c r="JCX20" s="1260"/>
      <c r="JCY20" s="1260"/>
      <c r="JCZ20" s="1260"/>
      <c r="JDA20" s="1260"/>
      <c r="JDB20" s="1260"/>
      <c r="JDC20" s="1260"/>
      <c r="JDD20" s="1260"/>
      <c r="JDE20" s="1260"/>
      <c r="JDF20" s="1260"/>
      <c r="JDG20" s="1260"/>
      <c r="JDH20" s="1260"/>
      <c r="JDI20" s="1260"/>
      <c r="JDJ20" s="1260"/>
      <c r="JDK20" s="1260"/>
      <c r="JDL20" s="1260"/>
      <c r="JDM20" s="1260"/>
      <c r="JDN20" s="1260"/>
      <c r="JDO20" s="1260"/>
      <c r="JDP20" s="1260"/>
      <c r="JDQ20" s="1260"/>
      <c r="JDR20" s="1260"/>
      <c r="JDS20" s="1260"/>
      <c r="JDT20" s="1260"/>
      <c r="JDU20" s="1260"/>
      <c r="JDV20" s="1260"/>
      <c r="JDW20" s="1260"/>
      <c r="JDX20" s="1260"/>
      <c r="JDY20" s="1260"/>
      <c r="JDZ20" s="1260"/>
      <c r="JEA20" s="1260"/>
      <c r="JEB20" s="1260"/>
      <c r="JEC20" s="1260"/>
      <c r="JED20" s="1260"/>
      <c r="JEE20" s="1260"/>
      <c r="JEF20" s="1260"/>
      <c r="JEG20" s="1260"/>
      <c r="JEH20" s="1260"/>
      <c r="JEI20" s="1260"/>
      <c r="JEJ20" s="1260"/>
      <c r="JEK20" s="1260"/>
      <c r="JEL20" s="1260"/>
      <c r="JEM20" s="1260"/>
      <c r="JEN20" s="1260"/>
      <c r="JEO20" s="1260"/>
      <c r="JEP20" s="1260"/>
      <c r="JEQ20" s="1260"/>
      <c r="JER20" s="1260"/>
      <c r="JES20" s="1260"/>
      <c r="JET20" s="1260"/>
      <c r="JEU20" s="1260"/>
      <c r="JEV20" s="1260"/>
      <c r="JEW20" s="1260"/>
      <c r="JEX20" s="1260"/>
      <c r="JEY20" s="1260"/>
      <c r="JEZ20" s="1260"/>
      <c r="JFA20" s="1260"/>
      <c r="JFB20" s="1260"/>
      <c r="JFC20" s="1260"/>
      <c r="JFD20" s="1260"/>
      <c r="JFE20" s="1260"/>
      <c r="JFF20" s="1260"/>
      <c r="JFG20" s="1260"/>
      <c r="JFH20" s="1260"/>
      <c r="JFI20" s="1260"/>
      <c r="JFJ20" s="1260"/>
      <c r="JFK20" s="1260"/>
      <c r="JFL20" s="1260"/>
      <c r="JFM20" s="1260"/>
      <c r="JFN20" s="1260"/>
      <c r="JFO20" s="1260"/>
      <c r="JFP20" s="1260"/>
      <c r="JFQ20" s="1260"/>
      <c r="JFR20" s="1260"/>
      <c r="JFS20" s="1260"/>
      <c r="JFT20" s="1260"/>
      <c r="JFU20" s="1260"/>
      <c r="JFV20" s="1260"/>
      <c r="JFW20" s="1260"/>
      <c r="JFX20" s="1260"/>
      <c r="JFY20" s="1260"/>
      <c r="JFZ20" s="1260"/>
      <c r="JGA20" s="1260"/>
      <c r="JGB20" s="1260"/>
      <c r="JGC20" s="1260"/>
      <c r="JGD20" s="1260"/>
      <c r="JGE20" s="1260"/>
      <c r="JGF20" s="1260"/>
      <c r="JGG20" s="1260"/>
      <c r="JGH20" s="1260"/>
      <c r="JGI20" s="1260"/>
      <c r="JGJ20" s="1260"/>
      <c r="JGK20" s="1260"/>
      <c r="JGL20" s="1260"/>
      <c r="JGM20" s="1260"/>
      <c r="JGN20" s="1260"/>
      <c r="JGO20" s="1260"/>
      <c r="JGP20" s="1260"/>
      <c r="JGQ20" s="1260"/>
      <c r="JGR20" s="1260"/>
      <c r="JGS20" s="1260"/>
      <c r="JGT20" s="1260"/>
      <c r="JGU20" s="1260"/>
      <c r="JGV20" s="1260"/>
      <c r="JGW20" s="1260"/>
      <c r="JGX20" s="1260"/>
      <c r="JGY20" s="1260"/>
      <c r="JGZ20" s="1260"/>
      <c r="JHA20" s="1260"/>
      <c r="JHB20" s="1260"/>
      <c r="JHC20" s="1260"/>
      <c r="JHD20" s="1260"/>
      <c r="JHE20" s="1260"/>
      <c r="JHF20" s="1260"/>
      <c r="JHG20" s="1260"/>
      <c r="JHH20" s="1260"/>
      <c r="JHI20" s="1260"/>
      <c r="JHJ20" s="1260"/>
      <c r="JHK20" s="1260"/>
      <c r="JHL20" s="1260"/>
      <c r="JHM20" s="1260"/>
      <c r="JHN20" s="1260"/>
      <c r="JHO20" s="1260"/>
      <c r="JHP20" s="1260"/>
      <c r="JHQ20" s="1260"/>
      <c r="JHR20" s="1260"/>
      <c r="JHS20" s="1260"/>
      <c r="JHT20" s="1260"/>
      <c r="JHU20" s="1260"/>
      <c r="JHV20" s="1260"/>
      <c r="JHW20" s="1260"/>
      <c r="JHX20" s="1260"/>
      <c r="JHY20" s="1260"/>
      <c r="JHZ20" s="1260"/>
      <c r="JIA20" s="1260"/>
      <c r="JIB20" s="1260"/>
      <c r="JIC20" s="1260"/>
      <c r="JID20" s="1260"/>
      <c r="JIE20" s="1260"/>
      <c r="JIF20" s="1260"/>
      <c r="JIG20" s="1260"/>
      <c r="JIH20" s="1260"/>
      <c r="JII20" s="1260"/>
      <c r="JIJ20" s="1260"/>
      <c r="JIK20" s="1260"/>
      <c r="JIL20" s="1260"/>
      <c r="JIM20" s="1260"/>
      <c r="JIN20" s="1260"/>
      <c r="JIO20" s="1260"/>
      <c r="JIP20" s="1260"/>
      <c r="JIQ20" s="1260"/>
      <c r="JIR20" s="1260"/>
      <c r="JIS20" s="1260"/>
      <c r="JIT20" s="1260"/>
      <c r="JIU20" s="1260"/>
      <c r="JIV20" s="1260"/>
      <c r="JIW20" s="1260"/>
      <c r="JIX20" s="1260"/>
      <c r="JIY20" s="1260"/>
      <c r="JIZ20" s="1260"/>
      <c r="JJA20" s="1260"/>
      <c r="JJB20" s="1260"/>
      <c r="JJC20" s="1260"/>
      <c r="JJD20" s="1260"/>
      <c r="JJE20" s="1260"/>
      <c r="JJF20" s="1260"/>
      <c r="JJG20" s="1260"/>
      <c r="JJH20" s="1260"/>
      <c r="JJI20" s="1260"/>
      <c r="JJJ20" s="1260"/>
      <c r="JJK20" s="1260"/>
      <c r="JJL20" s="1260"/>
      <c r="JJM20" s="1260"/>
      <c r="JJN20" s="1260"/>
      <c r="JJO20" s="1260"/>
      <c r="JJP20" s="1260"/>
      <c r="JJQ20" s="1260"/>
      <c r="JJR20" s="1260"/>
      <c r="JJS20" s="1260"/>
      <c r="JJT20" s="1260"/>
      <c r="JJU20" s="1260"/>
      <c r="JJV20" s="1260"/>
      <c r="JJW20" s="1260"/>
      <c r="JJX20" s="1260"/>
      <c r="JJY20" s="1260"/>
      <c r="JJZ20" s="1260"/>
      <c r="JKA20" s="1260"/>
      <c r="JKB20" s="1260"/>
      <c r="JKC20" s="1260"/>
      <c r="JKD20" s="1260"/>
      <c r="JKE20" s="1260"/>
      <c r="JKF20" s="1260"/>
      <c r="JKG20" s="1260"/>
      <c r="JKH20" s="1260"/>
      <c r="JKI20" s="1260"/>
      <c r="JKJ20" s="1260"/>
      <c r="JKK20" s="1260"/>
      <c r="JKL20" s="1260"/>
      <c r="JKM20" s="1260"/>
      <c r="JKN20" s="1260"/>
      <c r="JKO20" s="1260"/>
      <c r="JKP20" s="1260"/>
      <c r="JKQ20" s="1260"/>
      <c r="JKR20" s="1260"/>
      <c r="JKS20" s="1260"/>
      <c r="JKT20" s="1260"/>
      <c r="JKU20" s="1260"/>
      <c r="JKV20" s="1260"/>
      <c r="JKW20" s="1260"/>
      <c r="JKX20" s="1260"/>
      <c r="JKY20" s="1260"/>
      <c r="JKZ20" s="1260"/>
      <c r="JLA20" s="1260"/>
      <c r="JLB20" s="1260"/>
      <c r="JLC20" s="1260"/>
      <c r="JLD20" s="1260"/>
      <c r="JLE20" s="1260"/>
      <c r="JLF20" s="1260"/>
      <c r="JLG20" s="1260"/>
      <c r="JLH20" s="1260"/>
      <c r="JLI20" s="1260"/>
      <c r="JLJ20" s="1260"/>
      <c r="JLK20" s="1260"/>
      <c r="JLL20" s="1260"/>
      <c r="JLM20" s="1260"/>
      <c r="JLN20" s="1260"/>
      <c r="JLO20" s="1260"/>
      <c r="JLP20" s="1260"/>
      <c r="JLQ20" s="1260"/>
      <c r="JLR20" s="1260"/>
      <c r="JLS20" s="1260"/>
      <c r="JLT20" s="1260"/>
      <c r="JLU20" s="1260"/>
      <c r="JLV20" s="1260"/>
      <c r="JLW20" s="1260"/>
      <c r="JLX20" s="1260"/>
      <c r="JLY20" s="1260"/>
      <c r="JLZ20" s="1260"/>
      <c r="JMA20" s="1260"/>
      <c r="JMB20" s="1260"/>
      <c r="JMC20" s="1260"/>
      <c r="JMD20" s="1260"/>
      <c r="JME20" s="1260"/>
      <c r="JMF20" s="1260"/>
      <c r="JMG20" s="1260"/>
      <c r="JMH20" s="1260"/>
      <c r="JMI20" s="1260"/>
      <c r="JMJ20" s="1260"/>
      <c r="JMK20" s="1260"/>
      <c r="JML20" s="1260"/>
      <c r="JMM20" s="1260"/>
      <c r="JMN20" s="1260"/>
      <c r="JMO20" s="1260"/>
      <c r="JMP20" s="1260"/>
      <c r="JMQ20" s="1260"/>
      <c r="JMR20" s="1260"/>
      <c r="JMS20" s="1260"/>
      <c r="JMT20" s="1260"/>
      <c r="JMU20" s="1260"/>
      <c r="JMV20" s="1260"/>
      <c r="JMW20" s="1260"/>
      <c r="JMX20" s="1260"/>
      <c r="JMY20" s="1260"/>
      <c r="JMZ20" s="1260"/>
      <c r="JNA20" s="1260"/>
      <c r="JNB20" s="1260"/>
      <c r="JNC20" s="1260"/>
      <c r="JND20" s="1260"/>
      <c r="JNE20" s="1260"/>
      <c r="JNF20" s="1260"/>
      <c r="JNG20" s="1260"/>
      <c r="JNH20" s="1260"/>
      <c r="JNI20" s="1260"/>
      <c r="JNJ20" s="1260"/>
      <c r="JNK20" s="1260"/>
      <c r="JNL20" s="1260"/>
      <c r="JNM20" s="1260"/>
      <c r="JNN20" s="1260"/>
      <c r="JNO20" s="1260"/>
      <c r="JNP20" s="1260"/>
      <c r="JNQ20" s="1260"/>
      <c r="JNR20" s="1260"/>
      <c r="JNS20" s="1260"/>
      <c r="JNT20" s="1260"/>
      <c r="JNU20" s="1260"/>
      <c r="JNV20" s="1260"/>
      <c r="JNW20" s="1260"/>
      <c r="JNX20" s="1260"/>
      <c r="JNY20" s="1260"/>
      <c r="JNZ20" s="1260"/>
      <c r="JOA20" s="1260"/>
      <c r="JOB20" s="1260"/>
      <c r="JOC20" s="1260"/>
      <c r="JOD20" s="1260"/>
      <c r="JOE20" s="1260"/>
      <c r="JOF20" s="1260"/>
      <c r="JOG20" s="1260"/>
      <c r="JOH20" s="1260"/>
      <c r="JOI20" s="1260"/>
      <c r="JOJ20" s="1260"/>
      <c r="JOK20" s="1260"/>
      <c r="JOL20" s="1260"/>
      <c r="JOM20" s="1260"/>
      <c r="JON20" s="1260"/>
      <c r="JOO20" s="1260"/>
      <c r="JOP20" s="1260"/>
      <c r="JOQ20" s="1260"/>
      <c r="JOR20" s="1260"/>
      <c r="JOS20" s="1260"/>
      <c r="JOT20" s="1260"/>
      <c r="JOU20" s="1260"/>
      <c r="JOV20" s="1260"/>
      <c r="JOW20" s="1260"/>
      <c r="JOX20" s="1260"/>
      <c r="JOY20" s="1260"/>
      <c r="JOZ20" s="1260"/>
      <c r="JPA20" s="1260"/>
      <c r="JPB20" s="1260"/>
      <c r="JPC20" s="1260"/>
      <c r="JPD20" s="1260"/>
      <c r="JPE20" s="1260"/>
      <c r="JPF20" s="1260"/>
      <c r="JPG20" s="1260"/>
      <c r="JPH20" s="1260"/>
      <c r="JPI20" s="1260"/>
      <c r="JPJ20" s="1260"/>
      <c r="JPK20" s="1260"/>
      <c r="JPL20" s="1260"/>
      <c r="JPM20" s="1260"/>
      <c r="JPN20" s="1260"/>
      <c r="JPO20" s="1260"/>
      <c r="JPP20" s="1260"/>
      <c r="JPQ20" s="1260"/>
      <c r="JPR20" s="1260"/>
      <c r="JPS20" s="1260"/>
      <c r="JPT20" s="1260"/>
      <c r="JPU20" s="1260"/>
      <c r="JPV20" s="1260"/>
      <c r="JPW20" s="1260"/>
      <c r="JPX20" s="1260"/>
      <c r="JPY20" s="1260"/>
      <c r="JPZ20" s="1260"/>
      <c r="JQA20" s="1260"/>
      <c r="JQB20" s="1260"/>
      <c r="JQC20" s="1260"/>
      <c r="JQD20" s="1260"/>
      <c r="JQE20" s="1260"/>
      <c r="JQF20" s="1260"/>
      <c r="JQG20" s="1260"/>
      <c r="JQH20" s="1260"/>
      <c r="JQI20" s="1260"/>
      <c r="JQJ20" s="1260"/>
      <c r="JQK20" s="1260"/>
      <c r="JQL20" s="1260"/>
      <c r="JQM20" s="1260"/>
      <c r="JQN20" s="1260"/>
      <c r="JQO20" s="1260"/>
      <c r="JQP20" s="1260"/>
      <c r="JQQ20" s="1260"/>
      <c r="JQR20" s="1260"/>
      <c r="JQS20" s="1260"/>
      <c r="JQT20" s="1260"/>
      <c r="JQU20" s="1260"/>
      <c r="JQV20" s="1260"/>
      <c r="JQW20" s="1260"/>
      <c r="JQX20" s="1260"/>
      <c r="JQY20" s="1260"/>
      <c r="JQZ20" s="1260"/>
      <c r="JRA20" s="1260"/>
      <c r="JRB20" s="1260"/>
      <c r="JRC20" s="1260"/>
      <c r="JRD20" s="1260"/>
      <c r="JRE20" s="1260"/>
      <c r="JRF20" s="1260"/>
      <c r="JRG20" s="1260"/>
      <c r="JRH20" s="1260"/>
      <c r="JRI20" s="1260"/>
      <c r="JRJ20" s="1260"/>
      <c r="JRK20" s="1260"/>
      <c r="JRL20" s="1260"/>
      <c r="JRM20" s="1260"/>
      <c r="JRN20" s="1260"/>
      <c r="JRO20" s="1260"/>
      <c r="JRP20" s="1260"/>
      <c r="JRQ20" s="1260"/>
      <c r="JRR20" s="1260"/>
      <c r="JRS20" s="1260"/>
      <c r="JRT20" s="1260"/>
      <c r="JRU20" s="1260"/>
      <c r="JRV20" s="1260"/>
      <c r="JRW20" s="1260"/>
      <c r="JRX20" s="1260"/>
      <c r="JRY20" s="1260"/>
      <c r="JRZ20" s="1260"/>
      <c r="JSA20" s="1260"/>
      <c r="JSB20" s="1260"/>
      <c r="JSC20" s="1260"/>
      <c r="JSD20" s="1260"/>
      <c r="JSE20" s="1260"/>
      <c r="JSF20" s="1260"/>
      <c r="JSG20" s="1260"/>
      <c r="JSH20" s="1260"/>
      <c r="JSI20" s="1260"/>
      <c r="JSJ20" s="1260"/>
      <c r="JSK20" s="1260"/>
      <c r="JSL20" s="1260"/>
      <c r="JSM20" s="1260"/>
      <c r="JSN20" s="1260"/>
      <c r="JSO20" s="1260"/>
      <c r="JSP20" s="1260"/>
      <c r="JSQ20" s="1260"/>
      <c r="JSR20" s="1260"/>
      <c r="JSS20" s="1260"/>
      <c r="JST20" s="1260"/>
      <c r="JSU20" s="1260"/>
      <c r="JSV20" s="1260"/>
      <c r="JSW20" s="1260"/>
      <c r="JSX20" s="1260"/>
      <c r="JSY20" s="1260"/>
      <c r="JSZ20" s="1260"/>
      <c r="JTA20" s="1260"/>
      <c r="JTB20" s="1260"/>
      <c r="JTC20" s="1260"/>
      <c r="JTD20" s="1260"/>
      <c r="JTE20" s="1260"/>
      <c r="JTF20" s="1260"/>
      <c r="JTG20" s="1260"/>
      <c r="JTH20" s="1260"/>
      <c r="JTI20" s="1260"/>
      <c r="JTJ20" s="1260"/>
      <c r="JTK20" s="1260"/>
      <c r="JTL20" s="1260"/>
      <c r="JTM20" s="1260"/>
      <c r="JTN20" s="1260"/>
      <c r="JTO20" s="1260"/>
      <c r="JTP20" s="1260"/>
      <c r="JTQ20" s="1260"/>
      <c r="JTR20" s="1260"/>
      <c r="JTS20" s="1260"/>
      <c r="JTT20" s="1260"/>
      <c r="JTU20" s="1260"/>
      <c r="JTV20" s="1260"/>
      <c r="JTW20" s="1260"/>
      <c r="JTX20" s="1260"/>
      <c r="JTY20" s="1260"/>
      <c r="JTZ20" s="1260"/>
      <c r="JUA20" s="1260"/>
      <c r="JUB20" s="1260"/>
      <c r="JUC20" s="1260"/>
      <c r="JUD20" s="1260"/>
      <c r="JUE20" s="1260"/>
      <c r="JUF20" s="1260"/>
      <c r="JUG20" s="1260"/>
      <c r="JUH20" s="1260"/>
      <c r="JUI20" s="1260"/>
      <c r="JUJ20" s="1260"/>
      <c r="JUK20" s="1260"/>
      <c r="JUL20" s="1260"/>
      <c r="JUM20" s="1260"/>
      <c r="JUN20" s="1260"/>
      <c r="JUO20" s="1260"/>
      <c r="JUP20" s="1260"/>
      <c r="JUQ20" s="1260"/>
      <c r="JUR20" s="1260"/>
      <c r="JUS20" s="1260"/>
      <c r="JUT20" s="1260"/>
      <c r="JUU20" s="1260"/>
      <c r="JUV20" s="1260"/>
      <c r="JUW20" s="1260"/>
      <c r="JUX20" s="1260"/>
      <c r="JUY20" s="1260"/>
      <c r="JUZ20" s="1260"/>
      <c r="JVA20" s="1260"/>
      <c r="JVB20" s="1260"/>
      <c r="JVC20" s="1260"/>
      <c r="JVD20" s="1260"/>
      <c r="JVE20" s="1260"/>
      <c r="JVF20" s="1260"/>
      <c r="JVG20" s="1260"/>
      <c r="JVH20" s="1260"/>
      <c r="JVI20" s="1260"/>
      <c r="JVJ20" s="1260"/>
      <c r="JVK20" s="1260"/>
      <c r="JVL20" s="1260"/>
      <c r="JVM20" s="1260"/>
      <c r="JVN20" s="1260"/>
      <c r="JVO20" s="1260"/>
      <c r="JVP20" s="1260"/>
      <c r="JVQ20" s="1260"/>
      <c r="JVR20" s="1260"/>
      <c r="JVS20" s="1260"/>
      <c r="JVT20" s="1260"/>
      <c r="JVU20" s="1260"/>
      <c r="JVV20" s="1260"/>
      <c r="JVW20" s="1260"/>
      <c r="JVX20" s="1260"/>
      <c r="JVY20" s="1260"/>
      <c r="JVZ20" s="1260"/>
      <c r="JWA20" s="1260"/>
      <c r="JWB20" s="1260"/>
      <c r="JWC20" s="1260"/>
      <c r="JWD20" s="1260"/>
      <c r="JWE20" s="1260"/>
      <c r="JWF20" s="1260"/>
      <c r="JWG20" s="1260"/>
      <c r="JWH20" s="1260"/>
      <c r="JWI20" s="1260"/>
      <c r="JWJ20" s="1260"/>
      <c r="JWK20" s="1260"/>
      <c r="JWL20" s="1260"/>
      <c r="JWM20" s="1260"/>
      <c r="JWN20" s="1260"/>
      <c r="JWO20" s="1260"/>
      <c r="JWP20" s="1260"/>
      <c r="JWQ20" s="1260"/>
      <c r="JWR20" s="1260"/>
      <c r="JWS20" s="1260"/>
      <c r="JWT20" s="1260"/>
      <c r="JWU20" s="1260"/>
      <c r="JWV20" s="1260"/>
      <c r="JWW20" s="1260"/>
      <c r="JWX20" s="1260"/>
      <c r="JWY20" s="1260"/>
      <c r="JWZ20" s="1260"/>
      <c r="JXA20" s="1260"/>
      <c r="JXB20" s="1260"/>
      <c r="JXC20" s="1260"/>
      <c r="JXD20" s="1260"/>
      <c r="JXE20" s="1260"/>
      <c r="JXF20" s="1260"/>
      <c r="JXG20" s="1260"/>
      <c r="JXH20" s="1260"/>
      <c r="JXI20" s="1260"/>
      <c r="JXJ20" s="1260"/>
      <c r="JXK20" s="1260"/>
      <c r="JXL20" s="1260"/>
      <c r="JXM20" s="1260"/>
      <c r="JXN20" s="1260"/>
      <c r="JXO20" s="1260"/>
      <c r="JXP20" s="1260"/>
      <c r="JXQ20" s="1260"/>
      <c r="JXR20" s="1260"/>
      <c r="JXS20" s="1260"/>
      <c r="JXT20" s="1260"/>
      <c r="JXU20" s="1260"/>
      <c r="JXV20" s="1260"/>
      <c r="JXW20" s="1260"/>
      <c r="JXX20" s="1260"/>
      <c r="JXY20" s="1260"/>
      <c r="JXZ20" s="1260"/>
      <c r="JYA20" s="1260"/>
      <c r="JYB20" s="1260"/>
      <c r="JYC20" s="1260"/>
      <c r="JYD20" s="1260"/>
      <c r="JYE20" s="1260"/>
      <c r="JYF20" s="1260"/>
      <c r="JYG20" s="1260"/>
      <c r="JYH20" s="1260"/>
      <c r="JYI20" s="1260"/>
      <c r="JYJ20" s="1260"/>
      <c r="JYK20" s="1260"/>
      <c r="JYL20" s="1260"/>
      <c r="JYM20" s="1260"/>
      <c r="JYN20" s="1260"/>
      <c r="JYO20" s="1260"/>
      <c r="JYP20" s="1260"/>
      <c r="JYQ20" s="1260"/>
      <c r="JYR20" s="1260"/>
      <c r="JYS20" s="1260"/>
      <c r="JYT20" s="1260"/>
      <c r="JYU20" s="1260"/>
      <c r="JYV20" s="1260"/>
      <c r="JYW20" s="1260"/>
      <c r="JYX20" s="1260"/>
      <c r="JYY20" s="1260"/>
      <c r="JYZ20" s="1260"/>
      <c r="JZA20" s="1260"/>
      <c r="JZB20" s="1260"/>
      <c r="JZC20" s="1260"/>
      <c r="JZD20" s="1260"/>
      <c r="JZE20" s="1260"/>
      <c r="JZF20" s="1260"/>
      <c r="JZG20" s="1260"/>
      <c r="JZH20" s="1260"/>
      <c r="JZI20" s="1260"/>
      <c r="JZJ20" s="1260"/>
      <c r="JZK20" s="1260"/>
      <c r="JZL20" s="1260"/>
      <c r="JZM20" s="1260"/>
      <c r="JZN20" s="1260"/>
      <c r="JZO20" s="1260"/>
      <c r="JZP20" s="1260"/>
      <c r="JZQ20" s="1260"/>
      <c r="JZR20" s="1260"/>
      <c r="JZS20" s="1260"/>
      <c r="JZT20" s="1260"/>
      <c r="JZU20" s="1260"/>
      <c r="JZV20" s="1260"/>
      <c r="JZW20" s="1260"/>
      <c r="JZX20" s="1260"/>
      <c r="JZY20" s="1260"/>
      <c r="JZZ20" s="1260"/>
      <c r="KAA20" s="1260"/>
      <c r="KAB20" s="1260"/>
      <c r="KAC20" s="1260"/>
      <c r="KAD20" s="1260"/>
      <c r="KAE20" s="1260"/>
      <c r="KAF20" s="1260"/>
      <c r="KAG20" s="1260"/>
      <c r="KAH20" s="1260"/>
      <c r="KAI20" s="1260"/>
      <c r="KAJ20" s="1260"/>
      <c r="KAK20" s="1260"/>
      <c r="KAL20" s="1260"/>
      <c r="KAM20" s="1260"/>
      <c r="KAN20" s="1260"/>
      <c r="KAO20" s="1260"/>
      <c r="KAP20" s="1260"/>
      <c r="KAQ20" s="1260"/>
      <c r="KAR20" s="1260"/>
      <c r="KAS20" s="1260"/>
      <c r="KAT20" s="1260"/>
      <c r="KAU20" s="1260"/>
      <c r="KAV20" s="1260"/>
      <c r="KAW20" s="1260"/>
      <c r="KAX20" s="1260"/>
      <c r="KAY20" s="1260"/>
      <c r="KAZ20" s="1260"/>
      <c r="KBA20" s="1260"/>
      <c r="KBB20" s="1260"/>
      <c r="KBC20" s="1260"/>
      <c r="KBD20" s="1260"/>
      <c r="KBE20" s="1260"/>
      <c r="KBF20" s="1260"/>
      <c r="KBG20" s="1260"/>
      <c r="KBH20" s="1260"/>
      <c r="KBI20" s="1260"/>
      <c r="KBJ20" s="1260"/>
      <c r="KBK20" s="1260"/>
      <c r="KBL20" s="1260"/>
      <c r="KBM20" s="1260"/>
      <c r="KBN20" s="1260"/>
      <c r="KBO20" s="1260"/>
      <c r="KBP20" s="1260"/>
      <c r="KBQ20" s="1260"/>
      <c r="KBR20" s="1260"/>
      <c r="KBS20" s="1260"/>
      <c r="KBT20" s="1260"/>
      <c r="KBU20" s="1260"/>
      <c r="KBV20" s="1260"/>
      <c r="KBW20" s="1260"/>
      <c r="KBX20" s="1260"/>
      <c r="KBY20" s="1260"/>
      <c r="KBZ20" s="1260"/>
      <c r="KCA20" s="1260"/>
      <c r="KCB20" s="1260"/>
      <c r="KCC20" s="1260"/>
      <c r="KCD20" s="1260"/>
      <c r="KCE20" s="1260"/>
      <c r="KCF20" s="1260"/>
      <c r="KCG20" s="1260"/>
      <c r="KCH20" s="1260"/>
      <c r="KCI20" s="1260"/>
      <c r="KCJ20" s="1260"/>
      <c r="KCK20" s="1260"/>
      <c r="KCL20" s="1260"/>
      <c r="KCM20" s="1260"/>
      <c r="KCN20" s="1260"/>
      <c r="KCO20" s="1260"/>
      <c r="KCP20" s="1260"/>
      <c r="KCQ20" s="1260"/>
      <c r="KCR20" s="1260"/>
      <c r="KCS20" s="1260"/>
      <c r="KCT20" s="1260"/>
      <c r="KCU20" s="1260"/>
      <c r="KCV20" s="1260"/>
      <c r="KCW20" s="1260"/>
      <c r="KCX20" s="1260"/>
      <c r="KCY20" s="1260"/>
      <c r="KCZ20" s="1260"/>
      <c r="KDA20" s="1260"/>
      <c r="KDB20" s="1260"/>
      <c r="KDC20" s="1260"/>
      <c r="KDD20" s="1260"/>
      <c r="KDE20" s="1260"/>
      <c r="KDF20" s="1260"/>
      <c r="KDG20" s="1260"/>
      <c r="KDH20" s="1260"/>
      <c r="KDI20" s="1260"/>
      <c r="KDJ20" s="1260"/>
      <c r="KDK20" s="1260"/>
      <c r="KDL20" s="1260"/>
      <c r="KDM20" s="1260"/>
      <c r="KDN20" s="1260"/>
      <c r="KDO20" s="1260"/>
      <c r="KDP20" s="1260"/>
      <c r="KDQ20" s="1260"/>
      <c r="KDR20" s="1260"/>
      <c r="KDS20" s="1260"/>
      <c r="KDT20" s="1260"/>
      <c r="KDU20" s="1260"/>
      <c r="KDV20" s="1260"/>
      <c r="KDW20" s="1260"/>
      <c r="KDX20" s="1260"/>
      <c r="KDY20" s="1260"/>
      <c r="KDZ20" s="1260"/>
      <c r="KEA20" s="1260"/>
      <c r="KEB20" s="1260"/>
      <c r="KEC20" s="1260"/>
      <c r="KED20" s="1260"/>
      <c r="KEE20" s="1260"/>
      <c r="KEF20" s="1260"/>
      <c r="KEG20" s="1260"/>
      <c r="KEH20" s="1260"/>
      <c r="KEI20" s="1260"/>
      <c r="KEJ20" s="1260"/>
      <c r="KEK20" s="1260"/>
      <c r="KEL20" s="1260"/>
      <c r="KEM20" s="1260"/>
      <c r="KEN20" s="1260"/>
      <c r="KEO20" s="1260"/>
      <c r="KEP20" s="1260"/>
      <c r="KEQ20" s="1260"/>
      <c r="KER20" s="1260"/>
      <c r="KES20" s="1260"/>
      <c r="KET20" s="1260"/>
      <c r="KEU20" s="1260"/>
      <c r="KEV20" s="1260"/>
      <c r="KEW20" s="1260"/>
      <c r="KEX20" s="1260"/>
      <c r="KEY20" s="1260"/>
      <c r="KEZ20" s="1260"/>
      <c r="KFA20" s="1260"/>
      <c r="KFB20" s="1260"/>
      <c r="KFC20" s="1260"/>
      <c r="KFD20" s="1260"/>
      <c r="KFE20" s="1260"/>
      <c r="KFF20" s="1260"/>
      <c r="KFG20" s="1260"/>
      <c r="KFH20" s="1260"/>
      <c r="KFI20" s="1260"/>
      <c r="KFJ20" s="1260"/>
      <c r="KFK20" s="1260"/>
      <c r="KFL20" s="1260"/>
      <c r="KFM20" s="1260"/>
      <c r="KFN20" s="1260"/>
      <c r="KFO20" s="1260"/>
      <c r="KFP20" s="1260"/>
      <c r="KFQ20" s="1260"/>
      <c r="KFR20" s="1260"/>
      <c r="KFS20" s="1260"/>
      <c r="KFT20" s="1260"/>
      <c r="KFU20" s="1260"/>
      <c r="KFV20" s="1260"/>
      <c r="KFW20" s="1260"/>
      <c r="KFX20" s="1260"/>
      <c r="KFY20" s="1260"/>
      <c r="KFZ20" s="1260"/>
      <c r="KGA20" s="1260"/>
      <c r="KGB20" s="1260"/>
      <c r="KGC20" s="1260"/>
      <c r="KGD20" s="1260"/>
      <c r="KGE20" s="1260"/>
      <c r="KGF20" s="1260"/>
      <c r="KGG20" s="1260"/>
      <c r="KGH20" s="1260"/>
      <c r="KGI20" s="1260"/>
      <c r="KGJ20" s="1260"/>
      <c r="KGK20" s="1260"/>
      <c r="KGL20" s="1260"/>
      <c r="KGM20" s="1260"/>
      <c r="KGN20" s="1260"/>
      <c r="KGO20" s="1260"/>
      <c r="KGP20" s="1260"/>
      <c r="KGQ20" s="1260"/>
      <c r="KGR20" s="1260"/>
      <c r="KGS20" s="1260"/>
      <c r="KGT20" s="1260"/>
      <c r="KGU20" s="1260"/>
      <c r="KGV20" s="1260"/>
      <c r="KGW20" s="1260"/>
      <c r="KGX20" s="1260"/>
      <c r="KGY20" s="1260"/>
      <c r="KGZ20" s="1260"/>
      <c r="KHA20" s="1260"/>
      <c r="KHB20" s="1260"/>
      <c r="KHC20" s="1260"/>
      <c r="KHD20" s="1260"/>
      <c r="KHE20" s="1260"/>
      <c r="KHF20" s="1260"/>
      <c r="KHG20" s="1260"/>
      <c r="KHH20" s="1260"/>
      <c r="KHI20" s="1260"/>
      <c r="KHJ20" s="1260"/>
      <c r="KHK20" s="1260"/>
      <c r="KHL20" s="1260"/>
      <c r="KHM20" s="1260"/>
      <c r="KHN20" s="1260"/>
      <c r="KHO20" s="1260"/>
      <c r="KHP20" s="1260"/>
      <c r="KHQ20" s="1260"/>
      <c r="KHR20" s="1260"/>
      <c r="KHS20" s="1260"/>
      <c r="KHT20" s="1260"/>
      <c r="KHU20" s="1260"/>
      <c r="KHV20" s="1260"/>
      <c r="KHW20" s="1260"/>
      <c r="KHX20" s="1260"/>
      <c r="KHY20" s="1260"/>
      <c r="KHZ20" s="1260"/>
      <c r="KIA20" s="1260"/>
      <c r="KIB20" s="1260"/>
      <c r="KIC20" s="1260"/>
      <c r="KID20" s="1260"/>
      <c r="KIE20" s="1260"/>
      <c r="KIF20" s="1260"/>
      <c r="KIG20" s="1260"/>
      <c r="KIH20" s="1260"/>
      <c r="KII20" s="1260"/>
      <c r="KIJ20" s="1260"/>
      <c r="KIK20" s="1260"/>
      <c r="KIL20" s="1260"/>
      <c r="KIM20" s="1260"/>
      <c r="KIN20" s="1260"/>
      <c r="KIO20" s="1260"/>
      <c r="KIP20" s="1260"/>
      <c r="KIQ20" s="1260"/>
      <c r="KIR20" s="1260"/>
      <c r="KIS20" s="1260"/>
      <c r="KIT20" s="1260"/>
      <c r="KIU20" s="1260"/>
      <c r="KIV20" s="1260"/>
      <c r="KIW20" s="1260"/>
      <c r="KIX20" s="1260"/>
      <c r="KIY20" s="1260"/>
      <c r="KIZ20" s="1260"/>
      <c r="KJA20" s="1260"/>
      <c r="KJB20" s="1260"/>
      <c r="KJC20" s="1260"/>
      <c r="KJD20" s="1260"/>
      <c r="KJE20" s="1260"/>
      <c r="KJF20" s="1260"/>
      <c r="KJG20" s="1260"/>
      <c r="KJH20" s="1260"/>
      <c r="KJI20" s="1260"/>
      <c r="KJJ20" s="1260"/>
      <c r="KJK20" s="1260"/>
      <c r="KJL20" s="1260"/>
      <c r="KJM20" s="1260"/>
      <c r="KJN20" s="1260"/>
      <c r="KJO20" s="1260"/>
      <c r="KJP20" s="1260"/>
      <c r="KJQ20" s="1260"/>
      <c r="KJR20" s="1260"/>
      <c r="KJS20" s="1260"/>
      <c r="KJT20" s="1260"/>
      <c r="KJU20" s="1260"/>
      <c r="KJV20" s="1260"/>
      <c r="KJW20" s="1260"/>
      <c r="KJX20" s="1260"/>
      <c r="KJY20" s="1260"/>
      <c r="KJZ20" s="1260"/>
      <c r="KKA20" s="1260"/>
      <c r="KKB20" s="1260"/>
      <c r="KKC20" s="1260"/>
      <c r="KKD20" s="1260"/>
      <c r="KKE20" s="1260"/>
      <c r="KKF20" s="1260"/>
      <c r="KKG20" s="1260"/>
      <c r="KKH20" s="1260"/>
      <c r="KKI20" s="1260"/>
      <c r="KKJ20" s="1260"/>
      <c r="KKK20" s="1260"/>
      <c r="KKL20" s="1260"/>
      <c r="KKM20" s="1260"/>
      <c r="KKN20" s="1260"/>
      <c r="KKO20" s="1260"/>
      <c r="KKP20" s="1260"/>
      <c r="KKQ20" s="1260"/>
      <c r="KKR20" s="1260"/>
      <c r="KKS20" s="1260"/>
      <c r="KKT20" s="1260"/>
      <c r="KKU20" s="1260"/>
      <c r="KKV20" s="1260"/>
      <c r="KKW20" s="1260"/>
      <c r="KKX20" s="1260"/>
      <c r="KKY20" s="1260"/>
      <c r="KKZ20" s="1260"/>
      <c r="KLA20" s="1260"/>
      <c r="KLB20" s="1260"/>
      <c r="KLC20" s="1260"/>
      <c r="KLD20" s="1260"/>
      <c r="KLE20" s="1260"/>
      <c r="KLF20" s="1260"/>
      <c r="KLG20" s="1260"/>
      <c r="KLH20" s="1260"/>
      <c r="KLI20" s="1260"/>
      <c r="KLJ20" s="1260"/>
      <c r="KLK20" s="1260"/>
      <c r="KLL20" s="1260"/>
      <c r="KLM20" s="1260"/>
      <c r="KLN20" s="1260"/>
      <c r="KLO20" s="1260"/>
      <c r="KLP20" s="1260"/>
      <c r="KLQ20" s="1260"/>
      <c r="KLR20" s="1260"/>
      <c r="KLS20" s="1260"/>
      <c r="KLT20" s="1260"/>
      <c r="KLU20" s="1260"/>
      <c r="KLV20" s="1260"/>
      <c r="KLW20" s="1260"/>
      <c r="KLX20" s="1260"/>
      <c r="KLY20" s="1260"/>
      <c r="KLZ20" s="1260"/>
      <c r="KMA20" s="1260"/>
      <c r="KMB20" s="1260"/>
      <c r="KMC20" s="1260"/>
      <c r="KMD20" s="1260"/>
      <c r="KME20" s="1260"/>
      <c r="KMF20" s="1260"/>
      <c r="KMG20" s="1260"/>
      <c r="KMH20" s="1260"/>
      <c r="KMI20" s="1260"/>
      <c r="KMJ20" s="1260"/>
      <c r="KMK20" s="1260"/>
      <c r="KML20" s="1260"/>
      <c r="KMM20" s="1260"/>
      <c r="KMN20" s="1260"/>
      <c r="KMO20" s="1260"/>
      <c r="KMP20" s="1260"/>
      <c r="KMQ20" s="1260"/>
      <c r="KMR20" s="1260"/>
      <c r="KMS20" s="1260"/>
      <c r="KMT20" s="1260"/>
      <c r="KMU20" s="1260"/>
      <c r="KMV20" s="1260"/>
      <c r="KMW20" s="1260"/>
      <c r="KMX20" s="1260"/>
      <c r="KMY20" s="1260"/>
      <c r="KMZ20" s="1260"/>
      <c r="KNA20" s="1260"/>
      <c r="KNB20" s="1260"/>
      <c r="KNC20" s="1260"/>
      <c r="KND20" s="1260"/>
      <c r="KNE20" s="1260"/>
      <c r="KNF20" s="1260"/>
      <c r="KNG20" s="1260"/>
      <c r="KNH20" s="1260"/>
      <c r="KNI20" s="1260"/>
      <c r="KNJ20" s="1260"/>
      <c r="KNK20" s="1260"/>
      <c r="KNL20" s="1260"/>
      <c r="KNM20" s="1260"/>
      <c r="KNN20" s="1260"/>
      <c r="KNO20" s="1260"/>
      <c r="KNP20" s="1260"/>
      <c r="KNQ20" s="1260"/>
      <c r="KNR20" s="1260"/>
      <c r="KNS20" s="1260"/>
      <c r="KNT20" s="1260"/>
      <c r="KNU20" s="1260"/>
      <c r="KNV20" s="1260"/>
      <c r="KNW20" s="1260"/>
      <c r="KNX20" s="1260"/>
      <c r="KNY20" s="1260"/>
      <c r="KNZ20" s="1260"/>
      <c r="KOA20" s="1260"/>
      <c r="KOB20" s="1260"/>
      <c r="KOC20" s="1260"/>
      <c r="KOD20" s="1260"/>
      <c r="KOE20" s="1260"/>
      <c r="KOF20" s="1260"/>
      <c r="KOG20" s="1260"/>
      <c r="KOH20" s="1260"/>
      <c r="KOI20" s="1260"/>
      <c r="KOJ20" s="1260"/>
      <c r="KOK20" s="1260"/>
      <c r="KOL20" s="1260"/>
      <c r="KOM20" s="1260"/>
      <c r="KON20" s="1260"/>
      <c r="KOO20" s="1260"/>
      <c r="KOP20" s="1260"/>
      <c r="KOQ20" s="1260"/>
      <c r="KOR20" s="1260"/>
      <c r="KOS20" s="1260"/>
      <c r="KOT20" s="1260"/>
      <c r="KOU20" s="1260"/>
      <c r="KOV20" s="1260"/>
      <c r="KOW20" s="1260"/>
      <c r="KOX20" s="1260"/>
      <c r="KOY20" s="1260"/>
      <c r="KOZ20" s="1260"/>
      <c r="KPA20" s="1260"/>
      <c r="KPB20" s="1260"/>
      <c r="KPC20" s="1260"/>
      <c r="KPD20" s="1260"/>
      <c r="KPE20" s="1260"/>
      <c r="KPF20" s="1260"/>
      <c r="KPG20" s="1260"/>
      <c r="KPH20" s="1260"/>
      <c r="KPI20" s="1260"/>
      <c r="KPJ20" s="1260"/>
      <c r="KPK20" s="1260"/>
      <c r="KPL20" s="1260"/>
      <c r="KPM20" s="1260"/>
      <c r="KPN20" s="1260"/>
      <c r="KPO20" s="1260"/>
      <c r="KPP20" s="1260"/>
      <c r="KPQ20" s="1260"/>
      <c r="KPR20" s="1260"/>
      <c r="KPS20" s="1260"/>
      <c r="KPT20" s="1260"/>
      <c r="KPU20" s="1260"/>
      <c r="KPV20" s="1260"/>
      <c r="KPW20" s="1260"/>
      <c r="KPX20" s="1260"/>
      <c r="KPY20" s="1260"/>
      <c r="KPZ20" s="1260"/>
      <c r="KQA20" s="1260"/>
      <c r="KQB20" s="1260"/>
      <c r="KQC20" s="1260"/>
      <c r="KQD20" s="1260"/>
      <c r="KQE20" s="1260"/>
      <c r="KQF20" s="1260"/>
      <c r="KQG20" s="1260"/>
      <c r="KQH20" s="1260"/>
      <c r="KQI20" s="1260"/>
      <c r="KQJ20" s="1260"/>
      <c r="KQK20" s="1260"/>
      <c r="KQL20" s="1260"/>
      <c r="KQM20" s="1260"/>
      <c r="KQN20" s="1260"/>
      <c r="KQO20" s="1260"/>
      <c r="KQP20" s="1260"/>
      <c r="KQQ20" s="1260"/>
      <c r="KQR20" s="1260"/>
      <c r="KQS20" s="1260"/>
      <c r="KQT20" s="1260"/>
      <c r="KQU20" s="1260"/>
      <c r="KQV20" s="1260"/>
      <c r="KQW20" s="1260"/>
      <c r="KQX20" s="1260"/>
      <c r="KQY20" s="1260"/>
      <c r="KQZ20" s="1260"/>
      <c r="KRA20" s="1260"/>
      <c r="KRB20" s="1260"/>
      <c r="KRC20" s="1260"/>
      <c r="KRD20" s="1260"/>
      <c r="KRE20" s="1260"/>
      <c r="KRF20" s="1260"/>
      <c r="KRG20" s="1260"/>
      <c r="KRH20" s="1260"/>
      <c r="KRI20" s="1260"/>
      <c r="KRJ20" s="1260"/>
      <c r="KRK20" s="1260"/>
      <c r="KRL20" s="1260"/>
      <c r="KRM20" s="1260"/>
      <c r="KRN20" s="1260"/>
      <c r="KRO20" s="1260"/>
      <c r="KRP20" s="1260"/>
      <c r="KRQ20" s="1260"/>
      <c r="KRR20" s="1260"/>
      <c r="KRS20" s="1260"/>
      <c r="KRT20" s="1260"/>
      <c r="KRU20" s="1260"/>
      <c r="KRV20" s="1260"/>
      <c r="KRW20" s="1260"/>
      <c r="KRX20" s="1260"/>
      <c r="KRY20" s="1260"/>
      <c r="KRZ20" s="1260"/>
      <c r="KSA20" s="1260"/>
      <c r="KSB20" s="1260"/>
      <c r="KSC20" s="1260"/>
      <c r="KSD20" s="1260"/>
      <c r="KSE20" s="1260"/>
      <c r="KSF20" s="1260"/>
      <c r="KSG20" s="1260"/>
      <c r="KSH20" s="1260"/>
      <c r="KSI20" s="1260"/>
      <c r="KSJ20" s="1260"/>
      <c r="KSK20" s="1260"/>
      <c r="KSL20" s="1260"/>
      <c r="KSM20" s="1260"/>
      <c r="KSN20" s="1260"/>
      <c r="KSO20" s="1260"/>
      <c r="KSP20" s="1260"/>
      <c r="KSQ20" s="1260"/>
      <c r="KSR20" s="1260"/>
      <c r="KSS20" s="1260"/>
      <c r="KST20" s="1260"/>
      <c r="KSU20" s="1260"/>
      <c r="KSV20" s="1260"/>
      <c r="KSW20" s="1260"/>
      <c r="KSX20" s="1260"/>
      <c r="KSY20" s="1260"/>
      <c r="KSZ20" s="1260"/>
      <c r="KTA20" s="1260"/>
      <c r="KTB20" s="1260"/>
      <c r="KTC20" s="1260"/>
      <c r="KTD20" s="1260"/>
      <c r="KTE20" s="1260"/>
      <c r="KTF20" s="1260"/>
      <c r="KTG20" s="1260"/>
      <c r="KTH20" s="1260"/>
      <c r="KTI20" s="1260"/>
      <c r="KTJ20" s="1260"/>
      <c r="KTK20" s="1260"/>
      <c r="KTL20" s="1260"/>
      <c r="KTM20" s="1260"/>
      <c r="KTN20" s="1260"/>
      <c r="KTO20" s="1260"/>
      <c r="KTP20" s="1260"/>
      <c r="KTQ20" s="1260"/>
      <c r="KTR20" s="1260"/>
      <c r="KTS20" s="1260"/>
      <c r="KTT20" s="1260"/>
      <c r="KTU20" s="1260"/>
      <c r="KTV20" s="1260"/>
      <c r="KTW20" s="1260"/>
      <c r="KTX20" s="1260"/>
      <c r="KTY20" s="1260"/>
      <c r="KTZ20" s="1260"/>
      <c r="KUA20" s="1260"/>
      <c r="KUB20" s="1260"/>
      <c r="KUC20" s="1260"/>
      <c r="KUD20" s="1260"/>
      <c r="KUE20" s="1260"/>
      <c r="KUF20" s="1260"/>
      <c r="KUG20" s="1260"/>
      <c r="KUH20" s="1260"/>
      <c r="KUI20" s="1260"/>
      <c r="KUJ20" s="1260"/>
      <c r="KUK20" s="1260"/>
      <c r="KUL20" s="1260"/>
      <c r="KUM20" s="1260"/>
      <c r="KUN20" s="1260"/>
      <c r="KUO20" s="1260"/>
      <c r="KUP20" s="1260"/>
      <c r="KUQ20" s="1260"/>
      <c r="KUR20" s="1260"/>
      <c r="KUS20" s="1260"/>
      <c r="KUT20" s="1260"/>
      <c r="KUU20" s="1260"/>
      <c r="KUV20" s="1260"/>
      <c r="KUW20" s="1260"/>
      <c r="KUX20" s="1260"/>
      <c r="KUY20" s="1260"/>
      <c r="KUZ20" s="1260"/>
      <c r="KVA20" s="1260"/>
      <c r="KVB20" s="1260"/>
      <c r="KVC20" s="1260"/>
      <c r="KVD20" s="1260"/>
      <c r="KVE20" s="1260"/>
      <c r="KVF20" s="1260"/>
      <c r="KVG20" s="1260"/>
      <c r="KVH20" s="1260"/>
      <c r="KVI20" s="1260"/>
      <c r="KVJ20" s="1260"/>
      <c r="KVK20" s="1260"/>
      <c r="KVL20" s="1260"/>
      <c r="KVM20" s="1260"/>
      <c r="KVN20" s="1260"/>
      <c r="KVO20" s="1260"/>
      <c r="KVP20" s="1260"/>
      <c r="KVQ20" s="1260"/>
      <c r="KVR20" s="1260"/>
      <c r="KVS20" s="1260"/>
      <c r="KVT20" s="1260"/>
      <c r="KVU20" s="1260"/>
      <c r="KVV20" s="1260"/>
      <c r="KVW20" s="1260"/>
      <c r="KVX20" s="1260"/>
      <c r="KVY20" s="1260"/>
      <c r="KVZ20" s="1260"/>
      <c r="KWA20" s="1260"/>
      <c r="KWB20" s="1260"/>
      <c r="KWC20" s="1260"/>
      <c r="KWD20" s="1260"/>
      <c r="KWE20" s="1260"/>
      <c r="KWF20" s="1260"/>
      <c r="KWG20" s="1260"/>
      <c r="KWH20" s="1260"/>
      <c r="KWI20" s="1260"/>
      <c r="KWJ20" s="1260"/>
      <c r="KWK20" s="1260"/>
      <c r="KWL20" s="1260"/>
      <c r="KWM20" s="1260"/>
      <c r="KWN20" s="1260"/>
      <c r="KWO20" s="1260"/>
      <c r="KWP20" s="1260"/>
      <c r="KWQ20" s="1260"/>
      <c r="KWR20" s="1260"/>
      <c r="KWS20" s="1260"/>
      <c r="KWT20" s="1260"/>
      <c r="KWU20" s="1260"/>
      <c r="KWV20" s="1260"/>
      <c r="KWW20" s="1260"/>
      <c r="KWX20" s="1260"/>
      <c r="KWY20" s="1260"/>
      <c r="KWZ20" s="1260"/>
      <c r="KXA20" s="1260"/>
      <c r="KXB20" s="1260"/>
      <c r="KXC20" s="1260"/>
      <c r="KXD20" s="1260"/>
      <c r="KXE20" s="1260"/>
      <c r="KXF20" s="1260"/>
      <c r="KXG20" s="1260"/>
      <c r="KXH20" s="1260"/>
      <c r="KXI20" s="1260"/>
      <c r="KXJ20" s="1260"/>
      <c r="KXK20" s="1260"/>
      <c r="KXL20" s="1260"/>
      <c r="KXM20" s="1260"/>
      <c r="KXN20" s="1260"/>
      <c r="KXO20" s="1260"/>
      <c r="KXP20" s="1260"/>
      <c r="KXQ20" s="1260"/>
      <c r="KXR20" s="1260"/>
      <c r="KXS20" s="1260"/>
      <c r="KXT20" s="1260"/>
      <c r="KXU20" s="1260"/>
      <c r="KXV20" s="1260"/>
      <c r="KXW20" s="1260"/>
      <c r="KXX20" s="1260"/>
      <c r="KXY20" s="1260"/>
      <c r="KXZ20" s="1260"/>
      <c r="KYA20" s="1260"/>
      <c r="KYB20" s="1260"/>
      <c r="KYC20" s="1260"/>
      <c r="KYD20" s="1260"/>
      <c r="KYE20" s="1260"/>
      <c r="KYF20" s="1260"/>
      <c r="KYG20" s="1260"/>
      <c r="KYH20" s="1260"/>
      <c r="KYI20" s="1260"/>
      <c r="KYJ20" s="1260"/>
      <c r="KYK20" s="1260"/>
      <c r="KYL20" s="1260"/>
      <c r="KYM20" s="1260"/>
      <c r="KYN20" s="1260"/>
      <c r="KYO20" s="1260"/>
      <c r="KYP20" s="1260"/>
      <c r="KYQ20" s="1260"/>
      <c r="KYR20" s="1260"/>
      <c r="KYS20" s="1260"/>
      <c r="KYT20" s="1260"/>
      <c r="KYU20" s="1260"/>
      <c r="KYV20" s="1260"/>
      <c r="KYW20" s="1260"/>
      <c r="KYX20" s="1260"/>
      <c r="KYY20" s="1260"/>
      <c r="KYZ20" s="1260"/>
      <c r="KZA20" s="1260"/>
      <c r="KZB20" s="1260"/>
      <c r="KZC20" s="1260"/>
      <c r="KZD20" s="1260"/>
      <c r="KZE20" s="1260"/>
      <c r="KZF20" s="1260"/>
      <c r="KZG20" s="1260"/>
      <c r="KZH20" s="1260"/>
      <c r="KZI20" s="1260"/>
      <c r="KZJ20" s="1260"/>
      <c r="KZK20" s="1260"/>
      <c r="KZL20" s="1260"/>
      <c r="KZM20" s="1260"/>
      <c r="KZN20" s="1260"/>
      <c r="KZO20" s="1260"/>
      <c r="KZP20" s="1260"/>
      <c r="KZQ20" s="1260"/>
      <c r="KZR20" s="1260"/>
      <c r="KZS20" s="1260"/>
      <c r="KZT20" s="1260"/>
      <c r="KZU20" s="1260"/>
      <c r="KZV20" s="1260"/>
      <c r="KZW20" s="1260"/>
      <c r="KZX20" s="1260"/>
      <c r="KZY20" s="1260"/>
      <c r="KZZ20" s="1260"/>
      <c r="LAA20" s="1260"/>
      <c r="LAB20" s="1260"/>
      <c r="LAC20" s="1260"/>
      <c r="LAD20" s="1260"/>
      <c r="LAE20" s="1260"/>
      <c r="LAF20" s="1260"/>
      <c r="LAG20" s="1260"/>
      <c r="LAH20" s="1260"/>
      <c r="LAI20" s="1260"/>
      <c r="LAJ20" s="1260"/>
      <c r="LAK20" s="1260"/>
      <c r="LAL20" s="1260"/>
      <c r="LAM20" s="1260"/>
      <c r="LAN20" s="1260"/>
      <c r="LAO20" s="1260"/>
      <c r="LAP20" s="1260"/>
      <c r="LAQ20" s="1260"/>
      <c r="LAR20" s="1260"/>
      <c r="LAS20" s="1260"/>
      <c r="LAT20" s="1260"/>
      <c r="LAU20" s="1260"/>
      <c r="LAV20" s="1260"/>
      <c r="LAW20" s="1260"/>
      <c r="LAX20" s="1260"/>
      <c r="LAY20" s="1260"/>
      <c r="LAZ20" s="1260"/>
      <c r="LBA20" s="1260"/>
      <c r="LBB20" s="1260"/>
      <c r="LBC20" s="1260"/>
      <c r="LBD20" s="1260"/>
      <c r="LBE20" s="1260"/>
      <c r="LBF20" s="1260"/>
      <c r="LBG20" s="1260"/>
      <c r="LBH20" s="1260"/>
      <c r="LBI20" s="1260"/>
      <c r="LBJ20" s="1260"/>
      <c r="LBK20" s="1260"/>
      <c r="LBL20" s="1260"/>
      <c r="LBM20" s="1260"/>
      <c r="LBN20" s="1260"/>
      <c r="LBO20" s="1260"/>
      <c r="LBP20" s="1260"/>
      <c r="LBQ20" s="1260"/>
      <c r="LBR20" s="1260"/>
      <c r="LBS20" s="1260"/>
      <c r="LBT20" s="1260"/>
      <c r="LBU20" s="1260"/>
      <c r="LBV20" s="1260"/>
      <c r="LBW20" s="1260"/>
      <c r="LBX20" s="1260"/>
      <c r="LBY20" s="1260"/>
      <c r="LBZ20" s="1260"/>
      <c r="LCA20" s="1260"/>
      <c r="LCB20" s="1260"/>
      <c r="LCC20" s="1260"/>
      <c r="LCD20" s="1260"/>
      <c r="LCE20" s="1260"/>
      <c r="LCF20" s="1260"/>
      <c r="LCG20" s="1260"/>
      <c r="LCH20" s="1260"/>
      <c r="LCI20" s="1260"/>
      <c r="LCJ20" s="1260"/>
      <c r="LCK20" s="1260"/>
      <c r="LCL20" s="1260"/>
      <c r="LCM20" s="1260"/>
      <c r="LCN20" s="1260"/>
      <c r="LCO20" s="1260"/>
      <c r="LCP20" s="1260"/>
      <c r="LCQ20" s="1260"/>
      <c r="LCR20" s="1260"/>
      <c r="LCS20" s="1260"/>
      <c r="LCT20" s="1260"/>
      <c r="LCU20" s="1260"/>
      <c r="LCV20" s="1260"/>
      <c r="LCW20" s="1260"/>
      <c r="LCX20" s="1260"/>
      <c r="LCY20" s="1260"/>
      <c r="LCZ20" s="1260"/>
      <c r="LDA20" s="1260"/>
      <c r="LDB20" s="1260"/>
      <c r="LDC20" s="1260"/>
      <c r="LDD20" s="1260"/>
      <c r="LDE20" s="1260"/>
      <c r="LDF20" s="1260"/>
      <c r="LDG20" s="1260"/>
      <c r="LDH20" s="1260"/>
      <c r="LDI20" s="1260"/>
      <c r="LDJ20" s="1260"/>
      <c r="LDK20" s="1260"/>
      <c r="LDL20" s="1260"/>
      <c r="LDM20" s="1260"/>
      <c r="LDN20" s="1260"/>
      <c r="LDO20" s="1260"/>
      <c r="LDP20" s="1260"/>
      <c r="LDQ20" s="1260"/>
      <c r="LDR20" s="1260"/>
      <c r="LDS20" s="1260"/>
      <c r="LDT20" s="1260"/>
      <c r="LDU20" s="1260"/>
      <c r="LDV20" s="1260"/>
      <c r="LDW20" s="1260"/>
      <c r="LDX20" s="1260"/>
      <c r="LDY20" s="1260"/>
      <c r="LDZ20" s="1260"/>
      <c r="LEA20" s="1260"/>
      <c r="LEB20" s="1260"/>
      <c r="LEC20" s="1260"/>
      <c r="LED20" s="1260"/>
      <c r="LEE20" s="1260"/>
      <c r="LEF20" s="1260"/>
      <c r="LEG20" s="1260"/>
      <c r="LEH20" s="1260"/>
      <c r="LEI20" s="1260"/>
      <c r="LEJ20" s="1260"/>
      <c r="LEK20" s="1260"/>
      <c r="LEL20" s="1260"/>
      <c r="LEM20" s="1260"/>
      <c r="LEN20" s="1260"/>
      <c r="LEO20" s="1260"/>
      <c r="LEP20" s="1260"/>
      <c r="LEQ20" s="1260"/>
      <c r="LER20" s="1260"/>
      <c r="LES20" s="1260"/>
      <c r="LET20" s="1260"/>
      <c r="LEU20" s="1260"/>
      <c r="LEV20" s="1260"/>
      <c r="LEW20" s="1260"/>
      <c r="LEX20" s="1260"/>
      <c r="LEY20" s="1260"/>
      <c r="LEZ20" s="1260"/>
      <c r="LFA20" s="1260"/>
      <c r="LFB20" s="1260"/>
      <c r="LFC20" s="1260"/>
      <c r="LFD20" s="1260"/>
      <c r="LFE20" s="1260"/>
      <c r="LFF20" s="1260"/>
      <c r="LFG20" s="1260"/>
      <c r="LFH20" s="1260"/>
      <c r="LFI20" s="1260"/>
      <c r="LFJ20" s="1260"/>
      <c r="LFK20" s="1260"/>
      <c r="LFL20" s="1260"/>
      <c r="LFM20" s="1260"/>
      <c r="LFN20" s="1260"/>
      <c r="LFO20" s="1260"/>
      <c r="LFP20" s="1260"/>
      <c r="LFQ20" s="1260"/>
      <c r="LFR20" s="1260"/>
      <c r="LFS20" s="1260"/>
      <c r="LFT20" s="1260"/>
      <c r="LFU20" s="1260"/>
      <c r="LFV20" s="1260"/>
      <c r="LFW20" s="1260"/>
      <c r="LFX20" s="1260"/>
      <c r="LFY20" s="1260"/>
      <c r="LFZ20" s="1260"/>
      <c r="LGA20" s="1260"/>
      <c r="LGB20" s="1260"/>
      <c r="LGC20" s="1260"/>
      <c r="LGD20" s="1260"/>
      <c r="LGE20" s="1260"/>
      <c r="LGF20" s="1260"/>
      <c r="LGG20" s="1260"/>
      <c r="LGH20" s="1260"/>
      <c r="LGI20" s="1260"/>
      <c r="LGJ20" s="1260"/>
      <c r="LGK20" s="1260"/>
      <c r="LGL20" s="1260"/>
      <c r="LGM20" s="1260"/>
      <c r="LGN20" s="1260"/>
      <c r="LGO20" s="1260"/>
      <c r="LGP20" s="1260"/>
      <c r="LGQ20" s="1260"/>
      <c r="LGR20" s="1260"/>
      <c r="LGS20" s="1260"/>
      <c r="LGT20" s="1260"/>
      <c r="LGU20" s="1260"/>
      <c r="LGV20" s="1260"/>
      <c r="LGW20" s="1260"/>
      <c r="LGX20" s="1260"/>
      <c r="LGY20" s="1260"/>
      <c r="LGZ20" s="1260"/>
      <c r="LHA20" s="1260"/>
      <c r="LHB20" s="1260"/>
      <c r="LHC20" s="1260"/>
      <c r="LHD20" s="1260"/>
      <c r="LHE20" s="1260"/>
      <c r="LHF20" s="1260"/>
      <c r="LHG20" s="1260"/>
      <c r="LHH20" s="1260"/>
      <c r="LHI20" s="1260"/>
      <c r="LHJ20" s="1260"/>
      <c r="LHK20" s="1260"/>
      <c r="LHL20" s="1260"/>
      <c r="LHM20" s="1260"/>
      <c r="LHN20" s="1260"/>
      <c r="LHO20" s="1260"/>
      <c r="LHP20" s="1260"/>
      <c r="LHQ20" s="1260"/>
      <c r="LHR20" s="1260"/>
      <c r="LHS20" s="1260"/>
      <c r="LHT20" s="1260"/>
      <c r="LHU20" s="1260"/>
      <c r="LHV20" s="1260"/>
      <c r="LHW20" s="1260"/>
      <c r="LHX20" s="1260"/>
      <c r="LHY20" s="1260"/>
      <c r="LHZ20" s="1260"/>
      <c r="LIA20" s="1260"/>
      <c r="LIB20" s="1260"/>
      <c r="LIC20" s="1260"/>
      <c r="LID20" s="1260"/>
      <c r="LIE20" s="1260"/>
      <c r="LIF20" s="1260"/>
      <c r="LIG20" s="1260"/>
      <c r="LIH20" s="1260"/>
      <c r="LII20" s="1260"/>
      <c r="LIJ20" s="1260"/>
      <c r="LIK20" s="1260"/>
      <c r="LIL20" s="1260"/>
      <c r="LIM20" s="1260"/>
      <c r="LIN20" s="1260"/>
      <c r="LIO20" s="1260"/>
      <c r="LIP20" s="1260"/>
      <c r="LIQ20" s="1260"/>
      <c r="LIR20" s="1260"/>
      <c r="LIS20" s="1260"/>
      <c r="LIT20" s="1260"/>
      <c r="LIU20" s="1260"/>
      <c r="LIV20" s="1260"/>
      <c r="LIW20" s="1260"/>
      <c r="LIX20" s="1260"/>
      <c r="LIY20" s="1260"/>
      <c r="LIZ20" s="1260"/>
      <c r="LJA20" s="1260"/>
      <c r="LJB20" s="1260"/>
      <c r="LJC20" s="1260"/>
      <c r="LJD20" s="1260"/>
      <c r="LJE20" s="1260"/>
      <c r="LJF20" s="1260"/>
      <c r="LJG20" s="1260"/>
      <c r="LJH20" s="1260"/>
      <c r="LJI20" s="1260"/>
      <c r="LJJ20" s="1260"/>
      <c r="LJK20" s="1260"/>
      <c r="LJL20" s="1260"/>
      <c r="LJM20" s="1260"/>
      <c r="LJN20" s="1260"/>
      <c r="LJO20" s="1260"/>
      <c r="LJP20" s="1260"/>
      <c r="LJQ20" s="1260"/>
      <c r="LJR20" s="1260"/>
      <c r="LJS20" s="1260"/>
      <c r="LJT20" s="1260"/>
      <c r="LJU20" s="1260"/>
      <c r="LJV20" s="1260"/>
      <c r="LJW20" s="1260"/>
      <c r="LJX20" s="1260"/>
      <c r="LJY20" s="1260"/>
      <c r="LJZ20" s="1260"/>
      <c r="LKA20" s="1260"/>
      <c r="LKB20" s="1260"/>
      <c r="LKC20" s="1260"/>
      <c r="LKD20" s="1260"/>
      <c r="LKE20" s="1260"/>
      <c r="LKF20" s="1260"/>
      <c r="LKG20" s="1260"/>
      <c r="LKH20" s="1260"/>
      <c r="LKI20" s="1260"/>
      <c r="LKJ20" s="1260"/>
      <c r="LKK20" s="1260"/>
      <c r="LKL20" s="1260"/>
      <c r="LKM20" s="1260"/>
      <c r="LKN20" s="1260"/>
      <c r="LKO20" s="1260"/>
      <c r="LKP20" s="1260"/>
      <c r="LKQ20" s="1260"/>
      <c r="LKR20" s="1260"/>
      <c r="LKS20" s="1260"/>
      <c r="LKT20" s="1260"/>
      <c r="LKU20" s="1260"/>
      <c r="LKV20" s="1260"/>
      <c r="LKW20" s="1260"/>
      <c r="LKX20" s="1260"/>
      <c r="LKY20" s="1260"/>
      <c r="LKZ20" s="1260"/>
      <c r="LLA20" s="1260"/>
      <c r="LLB20" s="1260"/>
      <c r="LLC20" s="1260"/>
      <c r="LLD20" s="1260"/>
      <c r="LLE20" s="1260"/>
      <c r="LLF20" s="1260"/>
      <c r="LLG20" s="1260"/>
      <c r="LLH20" s="1260"/>
      <c r="LLI20" s="1260"/>
      <c r="LLJ20" s="1260"/>
      <c r="LLK20" s="1260"/>
      <c r="LLL20" s="1260"/>
      <c r="LLM20" s="1260"/>
      <c r="LLN20" s="1260"/>
      <c r="LLO20" s="1260"/>
      <c r="LLP20" s="1260"/>
      <c r="LLQ20" s="1260"/>
      <c r="LLR20" s="1260"/>
      <c r="LLS20" s="1260"/>
      <c r="LLT20" s="1260"/>
      <c r="LLU20" s="1260"/>
      <c r="LLV20" s="1260"/>
      <c r="LLW20" s="1260"/>
      <c r="LLX20" s="1260"/>
      <c r="LLY20" s="1260"/>
      <c r="LLZ20" s="1260"/>
      <c r="LMA20" s="1260"/>
      <c r="LMB20" s="1260"/>
      <c r="LMC20" s="1260"/>
      <c r="LMD20" s="1260"/>
      <c r="LME20" s="1260"/>
      <c r="LMF20" s="1260"/>
      <c r="LMG20" s="1260"/>
      <c r="LMH20" s="1260"/>
      <c r="LMI20" s="1260"/>
      <c r="LMJ20" s="1260"/>
      <c r="LMK20" s="1260"/>
      <c r="LML20" s="1260"/>
      <c r="LMM20" s="1260"/>
      <c r="LMN20" s="1260"/>
      <c r="LMO20" s="1260"/>
      <c r="LMP20" s="1260"/>
      <c r="LMQ20" s="1260"/>
      <c r="LMR20" s="1260"/>
      <c r="LMS20" s="1260"/>
      <c r="LMT20" s="1260"/>
      <c r="LMU20" s="1260"/>
      <c r="LMV20" s="1260"/>
      <c r="LMW20" s="1260"/>
      <c r="LMX20" s="1260"/>
      <c r="LMY20" s="1260"/>
      <c r="LMZ20" s="1260"/>
      <c r="LNA20" s="1260"/>
      <c r="LNB20" s="1260"/>
      <c r="LNC20" s="1260"/>
      <c r="LND20" s="1260"/>
      <c r="LNE20" s="1260"/>
      <c r="LNF20" s="1260"/>
      <c r="LNG20" s="1260"/>
      <c r="LNH20" s="1260"/>
      <c r="LNI20" s="1260"/>
      <c r="LNJ20" s="1260"/>
      <c r="LNK20" s="1260"/>
      <c r="LNL20" s="1260"/>
      <c r="LNM20" s="1260"/>
      <c r="LNN20" s="1260"/>
      <c r="LNO20" s="1260"/>
      <c r="LNP20" s="1260"/>
      <c r="LNQ20" s="1260"/>
      <c r="LNR20" s="1260"/>
      <c r="LNS20" s="1260"/>
      <c r="LNT20" s="1260"/>
      <c r="LNU20" s="1260"/>
      <c r="LNV20" s="1260"/>
      <c r="LNW20" s="1260"/>
      <c r="LNX20" s="1260"/>
      <c r="LNY20" s="1260"/>
      <c r="LNZ20" s="1260"/>
      <c r="LOA20" s="1260"/>
      <c r="LOB20" s="1260"/>
      <c r="LOC20" s="1260"/>
      <c r="LOD20" s="1260"/>
      <c r="LOE20" s="1260"/>
      <c r="LOF20" s="1260"/>
      <c r="LOG20" s="1260"/>
      <c r="LOH20" s="1260"/>
      <c r="LOI20" s="1260"/>
      <c r="LOJ20" s="1260"/>
      <c r="LOK20" s="1260"/>
      <c r="LOL20" s="1260"/>
      <c r="LOM20" s="1260"/>
      <c r="LON20" s="1260"/>
      <c r="LOO20" s="1260"/>
      <c r="LOP20" s="1260"/>
      <c r="LOQ20" s="1260"/>
      <c r="LOR20" s="1260"/>
      <c r="LOS20" s="1260"/>
      <c r="LOT20" s="1260"/>
      <c r="LOU20" s="1260"/>
      <c r="LOV20" s="1260"/>
      <c r="LOW20" s="1260"/>
      <c r="LOX20" s="1260"/>
      <c r="LOY20" s="1260"/>
      <c r="LOZ20" s="1260"/>
      <c r="LPA20" s="1260"/>
      <c r="LPB20" s="1260"/>
      <c r="LPC20" s="1260"/>
      <c r="LPD20" s="1260"/>
      <c r="LPE20" s="1260"/>
      <c r="LPF20" s="1260"/>
      <c r="LPG20" s="1260"/>
      <c r="LPH20" s="1260"/>
      <c r="LPI20" s="1260"/>
      <c r="LPJ20" s="1260"/>
      <c r="LPK20" s="1260"/>
      <c r="LPL20" s="1260"/>
      <c r="LPM20" s="1260"/>
      <c r="LPN20" s="1260"/>
      <c r="LPO20" s="1260"/>
      <c r="LPP20" s="1260"/>
      <c r="LPQ20" s="1260"/>
      <c r="LPR20" s="1260"/>
      <c r="LPS20" s="1260"/>
      <c r="LPT20" s="1260"/>
      <c r="LPU20" s="1260"/>
      <c r="LPV20" s="1260"/>
      <c r="LPW20" s="1260"/>
      <c r="LPX20" s="1260"/>
      <c r="LPY20" s="1260"/>
      <c r="LPZ20" s="1260"/>
      <c r="LQA20" s="1260"/>
      <c r="LQB20" s="1260"/>
      <c r="LQC20" s="1260"/>
      <c r="LQD20" s="1260"/>
      <c r="LQE20" s="1260"/>
      <c r="LQF20" s="1260"/>
      <c r="LQG20" s="1260"/>
      <c r="LQH20" s="1260"/>
      <c r="LQI20" s="1260"/>
      <c r="LQJ20" s="1260"/>
      <c r="LQK20" s="1260"/>
      <c r="LQL20" s="1260"/>
      <c r="LQM20" s="1260"/>
      <c r="LQN20" s="1260"/>
      <c r="LQO20" s="1260"/>
      <c r="LQP20" s="1260"/>
      <c r="LQQ20" s="1260"/>
      <c r="LQR20" s="1260"/>
      <c r="LQS20" s="1260"/>
      <c r="LQT20" s="1260"/>
      <c r="LQU20" s="1260"/>
      <c r="LQV20" s="1260"/>
      <c r="LQW20" s="1260"/>
      <c r="LQX20" s="1260"/>
      <c r="LQY20" s="1260"/>
      <c r="LQZ20" s="1260"/>
      <c r="LRA20" s="1260"/>
      <c r="LRB20" s="1260"/>
      <c r="LRC20" s="1260"/>
      <c r="LRD20" s="1260"/>
      <c r="LRE20" s="1260"/>
      <c r="LRF20" s="1260"/>
      <c r="LRG20" s="1260"/>
      <c r="LRH20" s="1260"/>
      <c r="LRI20" s="1260"/>
      <c r="LRJ20" s="1260"/>
      <c r="LRK20" s="1260"/>
      <c r="LRL20" s="1260"/>
      <c r="LRM20" s="1260"/>
      <c r="LRN20" s="1260"/>
      <c r="LRO20" s="1260"/>
      <c r="LRP20" s="1260"/>
      <c r="LRQ20" s="1260"/>
      <c r="LRR20" s="1260"/>
      <c r="LRS20" s="1260"/>
      <c r="LRT20" s="1260"/>
      <c r="LRU20" s="1260"/>
      <c r="LRV20" s="1260"/>
      <c r="LRW20" s="1260"/>
      <c r="LRX20" s="1260"/>
      <c r="LRY20" s="1260"/>
      <c r="LRZ20" s="1260"/>
      <c r="LSA20" s="1260"/>
      <c r="LSB20" s="1260"/>
      <c r="LSC20" s="1260"/>
      <c r="LSD20" s="1260"/>
      <c r="LSE20" s="1260"/>
      <c r="LSF20" s="1260"/>
      <c r="LSG20" s="1260"/>
      <c r="LSH20" s="1260"/>
      <c r="LSI20" s="1260"/>
      <c r="LSJ20" s="1260"/>
      <c r="LSK20" s="1260"/>
      <c r="LSL20" s="1260"/>
      <c r="LSM20" s="1260"/>
      <c r="LSN20" s="1260"/>
      <c r="LSO20" s="1260"/>
      <c r="LSP20" s="1260"/>
      <c r="LSQ20" s="1260"/>
      <c r="LSR20" s="1260"/>
      <c r="LSS20" s="1260"/>
      <c r="LST20" s="1260"/>
      <c r="LSU20" s="1260"/>
      <c r="LSV20" s="1260"/>
      <c r="LSW20" s="1260"/>
      <c r="LSX20" s="1260"/>
      <c r="LSY20" s="1260"/>
      <c r="LSZ20" s="1260"/>
      <c r="LTA20" s="1260"/>
      <c r="LTB20" s="1260"/>
      <c r="LTC20" s="1260"/>
      <c r="LTD20" s="1260"/>
      <c r="LTE20" s="1260"/>
      <c r="LTF20" s="1260"/>
      <c r="LTG20" s="1260"/>
      <c r="LTH20" s="1260"/>
      <c r="LTI20" s="1260"/>
      <c r="LTJ20" s="1260"/>
      <c r="LTK20" s="1260"/>
      <c r="LTL20" s="1260"/>
      <c r="LTM20" s="1260"/>
      <c r="LTN20" s="1260"/>
      <c r="LTO20" s="1260"/>
      <c r="LTP20" s="1260"/>
      <c r="LTQ20" s="1260"/>
      <c r="LTR20" s="1260"/>
      <c r="LTS20" s="1260"/>
      <c r="LTT20" s="1260"/>
      <c r="LTU20" s="1260"/>
      <c r="LTV20" s="1260"/>
      <c r="LTW20" s="1260"/>
      <c r="LTX20" s="1260"/>
      <c r="LTY20" s="1260"/>
      <c r="LTZ20" s="1260"/>
      <c r="LUA20" s="1260"/>
      <c r="LUB20" s="1260"/>
      <c r="LUC20" s="1260"/>
      <c r="LUD20" s="1260"/>
      <c r="LUE20" s="1260"/>
      <c r="LUF20" s="1260"/>
      <c r="LUG20" s="1260"/>
      <c r="LUH20" s="1260"/>
      <c r="LUI20" s="1260"/>
      <c r="LUJ20" s="1260"/>
      <c r="LUK20" s="1260"/>
      <c r="LUL20" s="1260"/>
      <c r="LUM20" s="1260"/>
      <c r="LUN20" s="1260"/>
      <c r="LUO20" s="1260"/>
      <c r="LUP20" s="1260"/>
      <c r="LUQ20" s="1260"/>
      <c r="LUR20" s="1260"/>
      <c r="LUS20" s="1260"/>
      <c r="LUT20" s="1260"/>
      <c r="LUU20" s="1260"/>
      <c r="LUV20" s="1260"/>
      <c r="LUW20" s="1260"/>
      <c r="LUX20" s="1260"/>
      <c r="LUY20" s="1260"/>
      <c r="LUZ20" s="1260"/>
      <c r="LVA20" s="1260"/>
      <c r="LVB20" s="1260"/>
      <c r="LVC20" s="1260"/>
      <c r="LVD20" s="1260"/>
      <c r="LVE20" s="1260"/>
      <c r="LVF20" s="1260"/>
      <c r="LVG20" s="1260"/>
      <c r="LVH20" s="1260"/>
      <c r="LVI20" s="1260"/>
      <c r="LVJ20" s="1260"/>
      <c r="LVK20" s="1260"/>
      <c r="LVL20" s="1260"/>
      <c r="LVM20" s="1260"/>
      <c r="LVN20" s="1260"/>
      <c r="LVO20" s="1260"/>
      <c r="LVP20" s="1260"/>
      <c r="LVQ20" s="1260"/>
      <c r="LVR20" s="1260"/>
      <c r="LVS20" s="1260"/>
      <c r="LVT20" s="1260"/>
      <c r="LVU20" s="1260"/>
      <c r="LVV20" s="1260"/>
      <c r="LVW20" s="1260"/>
      <c r="LVX20" s="1260"/>
      <c r="LVY20" s="1260"/>
      <c r="LVZ20" s="1260"/>
      <c r="LWA20" s="1260"/>
      <c r="LWB20" s="1260"/>
      <c r="LWC20" s="1260"/>
      <c r="LWD20" s="1260"/>
      <c r="LWE20" s="1260"/>
      <c r="LWF20" s="1260"/>
      <c r="LWG20" s="1260"/>
      <c r="LWH20" s="1260"/>
      <c r="LWI20" s="1260"/>
      <c r="LWJ20" s="1260"/>
      <c r="LWK20" s="1260"/>
      <c r="LWL20" s="1260"/>
      <c r="LWM20" s="1260"/>
      <c r="LWN20" s="1260"/>
      <c r="LWO20" s="1260"/>
      <c r="LWP20" s="1260"/>
      <c r="LWQ20" s="1260"/>
      <c r="LWR20" s="1260"/>
      <c r="LWS20" s="1260"/>
      <c r="LWT20" s="1260"/>
      <c r="LWU20" s="1260"/>
      <c r="LWV20" s="1260"/>
      <c r="LWW20" s="1260"/>
      <c r="LWX20" s="1260"/>
      <c r="LWY20" s="1260"/>
      <c r="LWZ20" s="1260"/>
      <c r="LXA20" s="1260"/>
      <c r="LXB20" s="1260"/>
      <c r="LXC20" s="1260"/>
      <c r="LXD20" s="1260"/>
      <c r="LXE20" s="1260"/>
      <c r="LXF20" s="1260"/>
      <c r="LXG20" s="1260"/>
      <c r="LXH20" s="1260"/>
      <c r="LXI20" s="1260"/>
      <c r="LXJ20" s="1260"/>
      <c r="LXK20" s="1260"/>
      <c r="LXL20" s="1260"/>
      <c r="LXM20" s="1260"/>
      <c r="LXN20" s="1260"/>
      <c r="LXO20" s="1260"/>
      <c r="LXP20" s="1260"/>
      <c r="LXQ20" s="1260"/>
      <c r="LXR20" s="1260"/>
      <c r="LXS20" s="1260"/>
      <c r="LXT20" s="1260"/>
      <c r="LXU20" s="1260"/>
      <c r="LXV20" s="1260"/>
      <c r="LXW20" s="1260"/>
      <c r="LXX20" s="1260"/>
      <c r="LXY20" s="1260"/>
      <c r="LXZ20" s="1260"/>
      <c r="LYA20" s="1260"/>
      <c r="LYB20" s="1260"/>
      <c r="LYC20" s="1260"/>
      <c r="LYD20" s="1260"/>
      <c r="LYE20" s="1260"/>
      <c r="LYF20" s="1260"/>
      <c r="LYG20" s="1260"/>
      <c r="LYH20" s="1260"/>
      <c r="LYI20" s="1260"/>
      <c r="LYJ20" s="1260"/>
      <c r="LYK20" s="1260"/>
      <c r="LYL20" s="1260"/>
      <c r="LYM20" s="1260"/>
      <c r="LYN20" s="1260"/>
      <c r="LYO20" s="1260"/>
      <c r="LYP20" s="1260"/>
      <c r="LYQ20" s="1260"/>
      <c r="LYR20" s="1260"/>
      <c r="LYS20" s="1260"/>
      <c r="LYT20" s="1260"/>
      <c r="LYU20" s="1260"/>
      <c r="LYV20" s="1260"/>
      <c r="LYW20" s="1260"/>
      <c r="LYX20" s="1260"/>
      <c r="LYY20" s="1260"/>
      <c r="LYZ20" s="1260"/>
      <c r="LZA20" s="1260"/>
      <c r="LZB20" s="1260"/>
      <c r="LZC20" s="1260"/>
      <c r="LZD20" s="1260"/>
      <c r="LZE20" s="1260"/>
      <c r="LZF20" s="1260"/>
      <c r="LZG20" s="1260"/>
      <c r="LZH20" s="1260"/>
      <c r="LZI20" s="1260"/>
      <c r="LZJ20" s="1260"/>
      <c r="LZK20" s="1260"/>
      <c r="LZL20" s="1260"/>
      <c r="LZM20" s="1260"/>
      <c r="LZN20" s="1260"/>
      <c r="LZO20" s="1260"/>
      <c r="LZP20" s="1260"/>
      <c r="LZQ20" s="1260"/>
      <c r="LZR20" s="1260"/>
      <c r="LZS20" s="1260"/>
      <c r="LZT20" s="1260"/>
      <c r="LZU20" s="1260"/>
      <c r="LZV20" s="1260"/>
      <c r="LZW20" s="1260"/>
      <c r="LZX20" s="1260"/>
      <c r="LZY20" s="1260"/>
      <c r="LZZ20" s="1260"/>
      <c r="MAA20" s="1260"/>
      <c r="MAB20" s="1260"/>
      <c r="MAC20" s="1260"/>
      <c r="MAD20" s="1260"/>
      <c r="MAE20" s="1260"/>
      <c r="MAF20" s="1260"/>
      <c r="MAG20" s="1260"/>
      <c r="MAH20" s="1260"/>
      <c r="MAI20" s="1260"/>
      <c r="MAJ20" s="1260"/>
      <c r="MAK20" s="1260"/>
      <c r="MAL20" s="1260"/>
      <c r="MAM20" s="1260"/>
      <c r="MAN20" s="1260"/>
      <c r="MAO20" s="1260"/>
      <c r="MAP20" s="1260"/>
      <c r="MAQ20" s="1260"/>
      <c r="MAR20" s="1260"/>
      <c r="MAS20" s="1260"/>
      <c r="MAT20" s="1260"/>
      <c r="MAU20" s="1260"/>
      <c r="MAV20" s="1260"/>
      <c r="MAW20" s="1260"/>
      <c r="MAX20" s="1260"/>
      <c r="MAY20" s="1260"/>
      <c r="MAZ20" s="1260"/>
      <c r="MBA20" s="1260"/>
      <c r="MBB20" s="1260"/>
      <c r="MBC20" s="1260"/>
      <c r="MBD20" s="1260"/>
      <c r="MBE20" s="1260"/>
      <c r="MBF20" s="1260"/>
      <c r="MBG20" s="1260"/>
      <c r="MBH20" s="1260"/>
      <c r="MBI20" s="1260"/>
      <c r="MBJ20" s="1260"/>
      <c r="MBK20" s="1260"/>
      <c r="MBL20" s="1260"/>
      <c r="MBM20" s="1260"/>
      <c r="MBN20" s="1260"/>
      <c r="MBO20" s="1260"/>
      <c r="MBP20" s="1260"/>
      <c r="MBQ20" s="1260"/>
      <c r="MBR20" s="1260"/>
      <c r="MBS20" s="1260"/>
      <c r="MBT20" s="1260"/>
      <c r="MBU20" s="1260"/>
      <c r="MBV20" s="1260"/>
      <c r="MBW20" s="1260"/>
      <c r="MBX20" s="1260"/>
      <c r="MBY20" s="1260"/>
      <c r="MBZ20" s="1260"/>
      <c r="MCA20" s="1260"/>
      <c r="MCB20" s="1260"/>
      <c r="MCC20" s="1260"/>
      <c r="MCD20" s="1260"/>
      <c r="MCE20" s="1260"/>
      <c r="MCF20" s="1260"/>
      <c r="MCG20" s="1260"/>
      <c r="MCH20" s="1260"/>
      <c r="MCI20" s="1260"/>
      <c r="MCJ20" s="1260"/>
      <c r="MCK20" s="1260"/>
      <c r="MCL20" s="1260"/>
      <c r="MCM20" s="1260"/>
      <c r="MCN20" s="1260"/>
      <c r="MCO20" s="1260"/>
      <c r="MCP20" s="1260"/>
      <c r="MCQ20" s="1260"/>
      <c r="MCR20" s="1260"/>
      <c r="MCS20" s="1260"/>
      <c r="MCT20" s="1260"/>
      <c r="MCU20" s="1260"/>
      <c r="MCV20" s="1260"/>
      <c r="MCW20" s="1260"/>
      <c r="MCX20" s="1260"/>
      <c r="MCY20" s="1260"/>
      <c r="MCZ20" s="1260"/>
      <c r="MDA20" s="1260"/>
      <c r="MDB20" s="1260"/>
      <c r="MDC20" s="1260"/>
      <c r="MDD20" s="1260"/>
      <c r="MDE20" s="1260"/>
      <c r="MDF20" s="1260"/>
      <c r="MDG20" s="1260"/>
      <c r="MDH20" s="1260"/>
      <c r="MDI20" s="1260"/>
      <c r="MDJ20" s="1260"/>
      <c r="MDK20" s="1260"/>
      <c r="MDL20" s="1260"/>
      <c r="MDM20" s="1260"/>
      <c r="MDN20" s="1260"/>
      <c r="MDO20" s="1260"/>
      <c r="MDP20" s="1260"/>
      <c r="MDQ20" s="1260"/>
      <c r="MDR20" s="1260"/>
      <c r="MDS20" s="1260"/>
      <c r="MDT20" s="1260"/>
      <c r="MDU20" s="1260"/>
      <c r="MDV20" s="1260"/>
      <c r="MDW20" s="1260"/>
      <c r="MDX20" s="1260"/>
      <c r="MDY20" s="1260"/>
      <c r="MDZ20" s="1260"/>
      <c r="MEA20" s="1260"/>
      <c r="MEB20" s="1260"/>
      <c r="MEC20" s="1260"/>
      <c r="MED20" s="1260"/>
      <c r="MEE20" s="1260"/>
      <c r="MEF20" s="1260"/>
      <c r="MEG20" s="1260"/>
      <c r="MEH20" s="1260"/>
      <c r="MEI20" s="1260"/>
      <c r="MEJ20" s="1260"/>
      <c r="MEK20" s="1260"/>
      <c r="MEL20" s="1260"/>
      <c r="MEM20" s="1260"/>
      <c r="MEN20" s="1260"/>
      <c r="MEO20" s="1260"/>
      <c r="MEP20" s="1260"/>
      <c r="MEQ20" s="1260"/>
      <c r="MER20" s="1260"/>
      <c r="MES20" s="1260"/>
      <c r="MET20" s="1260"/>
      <c r="MEU20" s="1260"/>
      <c r="MEV20" s="1260"/>
      <c r="MEW20" s="1260"/>
      <c r="MEX20" s="1260"/>
      <c r="MEY20" s="1260"/>
      <c r="MEZ20" s="1260"/>
      <c r="MFA20" s="1260"/>
      <c r="MFB20" s="1260"/>
      <c r="MFC20" s="1260"/>
      <c r="MFD20" s="1260"/>
      <c r="MFE20" s="1260"/>
      <c r="MFF20" s="1260"/>
      <c r="MFG20" s="1260"/>
      <c r="MFH20" s="1260"/>
      <c r="MFI20" s="1260"/>
      <c r="MFJ20" s="1260"/>
      <c r="MFK20" s="1260"/>
      <c r="MFL20" s="1260"/>
      <c r="MFM20" s="1260"/>
      <c r="MFN20" s="1260"/>
      <c r="MFO20" s="1260"/>
      <c r="MFP20" s="1260"/>
      <c r="MFQ20" s="1260"/>
      <c r="MFR20" s="1260"/>
      <c r="MFS20" s="1260"/>
      <c r="MFT20" s="1260"/>
      <c r="MFU20" s="1260"/>
      <c r="MFV20" s="1260"/>
      <c r="MFW20" s="1260"/>
      <c r="MFX20" s="1260"/>
      <c r="MFY20" s="1260"/>
      <c r="MFZ20" s="1260"/>
      <c r="MGA20" s="1260"/>
      <c r="MGB20" s="1260"/>
      <c r="MGC20" s="1260"/>
      <c r="MGD20" s="1260"/>
      <c r="MGE20" s="1260"/>
      <c r="MGF20" s="1260"/>
      <c r="MGG20" s="1260"/>
      <c r="MGH20" s="1260"/>
      <c r="MGI20" s="1260"/>
      <c r="MGJ20" s="1260"/>
      <c r="MGK20" s="1260"/>
      <c r="MGL20" s="1260"/>
      <c r="MGM20" s="1260"/>
      <c r="MGN20" s="1260"/>
      <c r="MGO20" s="1260"/>
      <c r="MGP20" s="1260"/>
      <c r="MGQ20" s="1260"/>
      <c r="MGR20" s="1260"/>
      <c r="MGS20" s="1260"/>
      <c r="MGT20" s="1260"/>
      <c r="MGU20" s="1260"/>
      <c r="MGV20" s="1260"/>
      <c r="MGW20" s="1260"/>
      <c r="MGX20" s="1260"/>
      <c r="MGY20" s="1260"/>
      <c r="MGZ20" s="1260"/>
      <c r="MHA20" s="1260"/>
      <c r="MHB20" s="1260"/>
      <c r="MHC20" s="1260"/>
      <c r="MHD20" s="1260"/>
      <c r="MHE20" s="1260"/>
      <c r="MHF20" s="1260"/>
      <c r="MHG20" s="1260"/>
      <c r="MHH20" s="1260"/>
      <c r="MHI20" s="1260"/>
      <c r="MHJ20" s="1260"/>
      <c r="MHK20" s="1260"/>
      <c r="MHL20" s="1260"/>
      <c r="MHM20" s="1260"/>
      <c r="MHN20" s="1260"/>
      <c r="MHO20" s="1260"/>
      <c r="MHP20" s="1260"/>
      <c r="MHQ20" s="1260"/>
      <c r="MHR20" s="1260"/>
      <c r="MHS20" s="1260"/>
      <c r="MHT20" s="1260"/>
      <c r="MHU20" s="1260"/>
      <c r="MHV20" s="1260"/>
      <c r="MHW20" s="1260"/>
      <c r="MHX20" s="1260"/>
      <c r="MHY20" s="1260"/>
      <c r="MHZ20" s="1260"/>
      <c r="MIA20" s="1260"/>
      <c r="MIB20" s="1260"/>
      <c r="MIC20" s="1260"/>
      <c r="MID20" s="1260"/>
      <c r="MIE20" s="1260"/>
      <c r="MIF20" s="1260"/>
      <c r="MIG20" s="1260"/>
      <c r="MIH20" s="1260"/>
      <c r="MII20" s="1260"/>
      <c r="MIJ20" s="1260"/>
      <c r="MIK20" s="1260"/>
      <c r="MIL20" s="1260"/>
      <c r="MIM20" s="1260"/>
      <c r="MIN20" s="1260"/>
      <c r="MIO20" s="1260"/>
      <c r="MIP20" s="1260"/>
      <c r="MIQ20" s="1260"/>
      <c r="MIR20" s="1260"/>
      <c r="MIS20" s="1260"/>
      <c r="MIT20" s="1260"/>
      <c r="MIU20" s="1260"/>
      <c r="MIV20" s="1260"/>
      <c r="MIW20" s="1260"/>
      <c r="MIX20" s="1260"/>
      <c r="MIY20" s="1260"/>
      <c r="MIZ20" s="1260"/>
      <c r="MJA20" s="1260"/>
      <c r="MJB20" s="1260"/>
      <c r="MJC20" s="1260"/>
      <c r="MJD20" s="1260"/>
      <c r="MJE20" s="1260"/>
      <c r="MJF20" s="1260"/>
      <c r="MJG20" s="1260"/>
      <c r="MJH20" s="1260"/>
      <c r="MJI20" s="1260"/>
      <c r="MJJ20" s="1260"/>
      <c r="MJK20" s="1260"/>
      <c r="MJL20" s="1260"/>
      <c r="MJM20" s="1260"/>
      <c r="MJN20" s="1260"/>
      <c r="MJO20" s="1260"/>
      <c r="MJP20" s="1260"/>
      <c r="MJQ20" s="1260"/>
      <c r="MJR20" s="1260"/>
      <c r="MJS20" s="1260"/>
      <c r="MJT20" s="1260"/>
      <c r="MJU20" s="1260"/>
      <c r="MJV20" s="1260"/>
      <c r="MJW20" s="1260"/>
      <c r="MJX20" s="1260"/>
      <c r="MJY20" s="1260"/>
      <c r="MJZ20" s="1260"/>
      <c r="MKA20" s="1260"/>
      <c r="MKB20" s="1260"/>
      <c r="MKC20" s="1260"/>
      <c r="MKD20" s="1260"/>
      <c r="MKE20" s="1260"/>
      <c r="MKF20" s="1260"/>
      <c r="MKG20" s="1260"/>
      <c r="MKH20" s="1260"/>
      <c r="MKI20" s="1260"/>
      <c r="MKJ20" s="1260"/>
      <c r="MKK20" s="1260"/>
      <c r="MKL20" s="1260"/>
      <c r="MKM20" s="1260"/>
      <c r="MKN20" s="1260"/>
      <c r="MKO20" s="1260"/>
      <c r="MKP20" s="1260"/>
      <c r="MKQ20" s="1260"/>
      <c r="MKR20" s="1260"/>
      <c r="MKS20" s="1260"/>
      <c r="MKT20" s="1260"/>
      <c r="MKU20" s="1260"/>
      <c r="MKV20" s="1260"/>
      <c r="MKW20" s="1260"/>
      <c r="MKX20" s="1260"/>
      <c r="MKY20" s="1260"/>
      <c r="MKZ20" s="1260"/>
      <c r="MLA20" s="1260"/>
      <c r="MLB20" s="1260"/>
      <c r="MLC20" s="1260"/>
      <c r="MLD20" s="1260"/>
      <c r="MLE20" s="1260"/>
      <c r="MLF20" s="1260"/>
      <c r="MLG20" s="1260"/>
      <c r="MLH20" s="1260"/>
      <c r="MLI20" s="1260"/>
      <c r="MLJ20" s="1260"/>
      <c r="MLK20" s="1260"/>
      <c r="MLL20" s="1260"/>
      <c r="MLM20" s="1260"/>
      <c r="MLN20" s="1260"/>
      <c r="MLO20" s="1260"/>
      <c r="MLP20" s="1260"/>
      <c r="MLQ20" s="1260"/>
      <c r="MLR20" s="1260"/>
      <c r="MLS20" s="1260"/>
      <c r="MLT20" s="1260"/>
      <c r="MLU20" s="1260"/>
      <c r="MLV20" s="1260"/>
      <c r="MLW20" s="1260"/>
      <c r="MLX20" s="1260"/>
      <c r="MLY20" s="1260"/>
      <c r="MLZ20" s="1260"/>
      <c r="MMA20" s="1260"/>
      <c r="MMB20" s="1260"/>
      <c r="MMC20" s="1260"/>
      <c r="MMD20" s="1260"/>
      <c r="MME20" s="1260"/>
      <c r="MMF20" s="1260"/>
      <c r="MMG20" s="1260"/>
      <c r="MMH20" s="1260"/>
      <c r="MMI20" s="1260"/>
      <c r="MMJ20" s="1260"/>
      <c r="MMK20" s="1260"/>
      <c r="MML20" s="1260"/>
      <c r="MMM20" s="1260"/>
      <c r="MMN20" s="1260"/>
      <c r="MMO20" s="1260"/>
      <c r="MMP20" s="1260"/>
      <c r="MMQ20" s="1260"/>
      <c r="MMR20" s="1260"/>
      <c r="MMS20" s="1260"/>
      <c r="MMT20" s="1260"/>
      <c r="MMU20" s="1260"/>
      <c r="MMV20" s="1260"/>
      <c r="MMW20" s="1260"/>
      <c r="MMX20" s="1260"/>
      <c r="MMY20" s="1260"/>
      <c r="MMZ20" s="1260"/>
      <c r="MNA20" s="1260"/>
      <c r="MNB20" s="1260"/>
      <c r="MNC20" s="1260"/>
      <c r="MND20" s="1260"/>
      <c r="MNE20" s="1260"/>
      <c r="MNF20" s="1260"/>
      <c r="MNG20" s="1260"/>
      <c r="MNH20" s="1260"/>
      <c r="MNI20" s="1260"/>
      <c r="MNJ20" s="1260"/>
      <c r="MNK20" s="1260"/>
      <c r="MNL20" s="1260"/>
      <c r="MNM20" s="1260"/>
      <c r="MNN20" s="1260"/>
      <c r="MNO20" s="1260"/>
      <c r="MNP20" s="1260"/>
      <c r="MNQ20" s="1260"/>
      <c r="MNR20" s="1260"/>
      <c r="MNS20" s="1260"/>
      <c r="MNT20" s="1260"/>
      <c r="MNU20" s="1260"/>
      <c r="MNV20" s="1260"/>
      <c r="MNW20" s="1260"/>
      <c r="MNX20" s="1260"/>
      <c r="MNY20" s="1260"/>
      <c r="MNZ20" s="1260"/>
      <c r="MOA20" s="1260"/>
      <c r="MOB20" s="1260"/>
      <c r="MOC20" s="1260"/>
      <c r="MOD20" s="1260"/>
      <c r="MOE20" s="1260"/>
      <c r="MOF20" s="1260"/>
      <c r="MOG20" s="1260"/>
      <c r="MOH20" s="1260"/>
      <c r="MOI20" s="1260"/>
      <c r="MOJ20" s="1260"/>
      <c r="MOK20" s="1260"/>
      <c r="MOL20" s="1260"/>
      <c r="MOM20" s="1260"/>
      <c r="MON20" s="1260"/>
      <c r="MOO20" s="1260"/>
      <c r="MOP20" s="1260"/>
      <c r="MOQ20" s="1260"/>
      <c r="MOR20" s="1260"/>
      <c r="MOS20" s="1260"/>
      <c r="MOT20" s="1260"/>
      <c r="MOU20" s="1260"/>
      <c r="MOV20" s="1260"/>
      <c r="MOW20" s="1260"/>
      <c r="MOX20" s="1260"/>
      <c r="MOY20" s="1260"/>
      <c r="MOZ20" s="1260"/>
      <c r="MPA20" s="1260"/>
      <c r="MPB20" s="1260"/>
      <c r="MPC20" s="1260"/>
      <c r="MPD20" s="1260"/>
      <c r="MPE20" s="1260"/>
      <c r="MPF20" s="1260"/>
      <c r="MPG20" s="1260"/>
      <c r="MPH20" s="1260"/>
      <c r="MPI20" s="1260"/>
      <c r="MPJ20" s="1260"/>
      <c r="MPK20" s="1260"/>
      <c r="MPL20" s="1260"/>
      <c r="MPM20" s="1260"/>
      <c r="MPN20" s="1260"/>
      <c r="MPO20" s="1260"/>
      <c r="MPP20" s="1260"/>
      <c r="MPQ20" s="1260"/>
      <c r="MPR20" s="1260"/>
      <c r="MPS20" s="1260"/>
      <c r="MPT20" s="1260"/>
      <c r="MPU20" s="1260"/>
      <c r="MPV20" s="1260"/>
      <c r="MPW20" s="1260"/>
      <c r="MPX20" s="1260"/>
      <c r="MPY20" s="1260"/>
      <c r="MPZ20" s="1260"/>
      <c r="MQA20" s="1260"/>
      <c r="MQB20" s="1260"/>
      <c r="MQC20" s="1260"/>
      <c r="MQD20" s="1260"/>
      <c r="MQE20" s="1260"/>
      <c r="MQF20" s="1260"/>
      <c r="MQG20" s="1260"/>
      <c r="MQH20" s="1260"/>
      <c r="MQI20" s="1260"/>
      <c r="MQJ20" s="1260"/>
      <c r="MQK20" s="1260"/>
      <c r="MQL20" s="1260"/>
      <c r="MQM20" s="1260"/>
      <c r="MQN20" s="1260"/>
      <c r="MQO20" s="1260"/>
      <c r="MQP20" s="1260"/>
      <c r="MQQ20" s="1260"/>
      <c r="MQR20" s="1260"/>
      <c r="MQS20" s="1260"/>
      <c r="MQT20" s="1260"/>
      <c r="MQU20" s="1260"/>
      <c r="MQV20" s="1260"/>
      <c r="MQW20" s="1260"/>
      <c r="MQX20" s="1260"/>
      <c r="MQY20" s="1260"/>
      <c r="MQZ20" s="1260"/>
      <c r="MRA20" s="1260"/>
      <c r="MRB20" s="1260"/>
      <c r="MRC20" s="1260"/>
      <c r="MRD20" s="1260"/>
      <c r="MRE20" s="1260"/>
      <c r="MRF20" s="1260"/>
      <c r="MRG20" s="1260"/>
      <c r="MRH20" s="1260"/>
      <c r="MRI20" s="1260"/>
      <c r="MRJ20" s="1260"/>
      <c r="MRK20" s="1260"/>
      <c r="MRL20" s="1260"/>
      <c r="MRM20" s="1260"/>
      <c r="MRN20" s="1260"/>
      <c r="MRO20" s="1260"/>
      <c r="MRP20" s="1260"/>
      <c r="MRQ20" s="1260"/>
      <c r="MRR20" s="1260"/>
      <c r="MRS20" s="1260"/>
      <c r="MRT20" s="1260"/>
      <c r="MRU20" s="1260"/>
      <c r="MRV20" s="1260"/>
      <c r="MRW20" s="1260"/>
      <c r="MRX20" s="1260"/>
      <c r="MRY20" s="1260"/>
      <c r="MRZ20" s="1260"/>
      <c r="MSA20" s="1260"/>
      <c r="MSB20" s="1260"/>
      <c r="MSC20" s="1260"/>
      <c r="MSD20" s="1260"/>
      <c r="MSE20" s="1260"/>
      <c r="MSF20" s="1260"/>
      <c r="MSG20" s="1260"/>
      <c r="MSH20" s="1260"/>
      <c r="MSI20" s="1260"/>
      <c r="MSJ20" s="1260"/>
      <c r="MSK20" s="1260"/>
      <c r="MSL20" s="1260"/>
      <c r="MSM20" s="1260"/>
      <c r="MSN20" s="1260"/>
      <c r="MSO20" s="1260"/>
      <c r="MSP20" s="1260"/>
      <c r="MSQ20" s="1260"/>
      <c r="MSR20" s="1260"/>
      <c r="MSS20" s="1260"/>
      <c r="MST20" s="1260"/>
      <c r="MSU20" s="1260"/>
      <c r="MSV20" s="1260"/>
      <c r="MSW20" s="1260"/>
      <c r="MSX20" s="1260"/>
      <c r="MSY20" s="1260"/>
      <c r="MSZ20" s="1260"/>
      <c r="MTA20" s="1260"/>
      <c r="MTB20" s="1260"/>
      <c r="MTC20" s="1260"/>
      <c r="MTD20" s="1260"/>
      <c r="MTE20" s="1260"/>
      <c r="MTF20" s="1260"/>
      <c r="MTG20" s="1260"/>
      <c r="MTH20" s="1260"/>
      <c r="MTI20" s="1260"/>
      <c r="MTJ20" s="1260"/>
      <c r="MTK20" s="1260"/>
      <c r="MTL20" s="1260"/>
      <c r="MTM20" s="1260"/>
      <c r="MTN20" s="1260"/>
      <c r="MTO20" s="1260"/>
      <c r="MTP20" s="1260"/>
      <c r="MTQ20" s="1260"/>
      <c r="MTR20" s="1260"/>
      <c r="MTS20" s="1260"/>
      <c r="MTT20" s="1260"/>
      <c r="MTU20" s="1260"/>
      <c r="MTV20" s="1260"/>
      <c r="MTW20" s="1260"/>
      <c r="MTX20" s="1260"/>
      <c r="MTY20" s="1260"/>
      <c r="MTZ20" s="1260"/>
      <c r="MUA20" s="1260"/>
      <c r="MUB20" s="1260"/>
      <c r="MUC20" s="1260"/>
      <c r="MUD20" s="1260"/>
      <c r="MUE20" s="1260"/>
      <c r="MUF20" s="1260"/>
      <c r="MUG20" s="1260"/>
      <c r="MUH20" s="1260"/>
      <c r="MUI20" s="1260"/>
      <c r="MUJ20" s="1260"/>
      <c r="MUK20" s="1260"/>
      <c r="MUL20" s="1260"/>
      <c r="MUM20" s="1260"/>
      <c r="MUN20" s="1260"/>
      <c r="MUO20" s="1260"/>
      <c r="MUP20" s="1260"/>
      <c r="MUQ20" s="1260"/>
      <c r="MUR20" s="1260"/>
      <c r="MUS20" s="1260"/>
      <c r="MUT20" s="1260"/>
      <c r="MUU20" s="1260"/>
      <c r="MUV20" s="1260"/>
      <c r="MUW20" s="1260"/>
      <c r="MUX20" s="1260"/>
      <c r="MUY20" s="1260"/>
      <c r="MUZ20" s="1260"/>
      <c r="MVA20" s="1260"/>
      <c r="MVB20" s="1260"/>
      <c r="MVC20" s="1260"/>
      <c r="MVD20" s="1260"/>
      <c r="MVE20" s="1260"/>
      <c r="MVF20" s="1260"/>
      <c r="MVG20" s="1260"/>
      <c r="MVH20" s="1260"/>
      <c r="MVI20" s="1260"/>
      <c r="MVJ20" s="1260"/>
      <c r="MVK20" s="1260"/>
      <c r="MVL20" s="1260"/>
      <c r="MVM20" s="1260"/>
      <c r="MVN20" s="1260"/>
      <c r="MVO20" s="1260"/>
      <c r="MVP20" s="1260"/>
      <c r="MVQ20" s="1260"/>
      <c r="MVR20" s="1260"/>
      <c r="MVS20" s="1260"/>
      <c r="MVT20" s="1260"/>
      <c r="MVU20" s="1260"/>
      <c r="MVV20" s="1260"/>
      <c r="MVW20" s="1260"/>
      <c r="MVX20" s="1260"/>
      <c r="MVY20" s="1260"/>
      <c r="MVZ20" s="1260"/>
      <c r="MWA20" s="1260"/>
      <c r="MWB20" s="1260"/>
      <c r="MWC20" s="1260"/>
      <c r="MWD20" s="1260"/>
      <c r="MWE20" s="1260"/>
      <c r="MWF20" s="1260"/>
      <c r="MWG20" s="1260"/>
      <c r="MWH20" s="1260"/>
      <c r="MWI20" s="1260"/>
      <c r="MWJ20" s="1260"/>
      <c r="MWK20" s="1260"/>
      <c r="MWL20" s="1260"/>
      <c r="MWM20" s="1260"/>
      <c r="MWN20" s="1260"/>
      <c r="MWO20" s="1260"/>
      <c r="MWP20" s="1260"/>
      <c r="MWQ20" s="1260"/>
      <c r="MWR20" s="1260"/>
      <c r="MWS20" s="1260"/>
      <c r="MWT20" s="1260"/>
      <c r="MWU20" s="1260"/>
      <c r="MWV20" s="1260"/>
      <c r="MWW20" s="1260"/>
      <c r="MWX20" s="1260"/>
      <c r="MWY20" s="1260"/>
      <c r="MWZ20" s="1260"/>
      <c r="MXA20" s="1260"/>
      <c r="MXB20" s="1260"/>
      <c r="MXC20" s="1260"/>
      <c r="MXD20" s="1260"/>
      <c r="MXE20" s="1260"/>
      <c r="MXF20" s="1260"/>
      <c r="MXG20" s="1260"/>
      <c r="MXH20" s="1260"/>
      <c r="MXI20" s="1260"/>
      <c r="MXJ20" s="1260"/>
      <c r="MXK20" s="1260"/>
      <c r="MXL20" s="1260"/>
      <c r="MXM20" s="1260"/>
      <c r="MXN20" s="1260"/>
      <c r="MXO20" s="1260"/>
      <c r="MXP20" s="1260"/>
      <c r="MXQ20" s="1260"/>
      <c r="MXR20" s="1260"/>
      <c r="MXS20" s="1260"/>
      <c r="MXT20" s="1260"/>
      <c r="MXU20" s="1260"/>
      <c r="MXV20" s="1260"/>
      <c r="MXW20" s="1260"/>
      <c r="MXX20" s="1260"/>
      <c r="MXY20" s="1260"/>
      <c r="MXZ20" s="1260"/>
      <c r="MYA20" s="1260"/>
      <c r="MYB20" s="1260"/>
      <c r="MYC20" s="1260"/>
      <c r="MYD20" s="1260"/>
      <c r="MYE20" s="1260"/>
      <c r="MYF20" s="1260"/>
      <c r="MYG20" s="1260"/>
      <c r="MYH20" s="1260"/>
      <c r="MYI20" s="1260"/>
      <c r="MYJ20" s="1260"/>
      <c r="MYK20" s="1260"/>
      <c r="MYL20" s="1260"/>
      <c r="MYM20" s="1260"/>
      <c r="MYN20" s="1260"/>
      <c r="MYO20" s="1260"/>
      <c r="MYP20" s="1260"/>
      <c r="MYQ20" s="1260"/>
      <c r="MYR20" s="1260"/>
      <c r="MYS20" s="1260"/>
      <c r="MYT20" s="1260"/>
      <c r="MYU20" s="1260"/>
      <c r="MYV20" s="1260"/>
      <c r="MYW20" s="1260"/>
      <c r="MYX20" s="1260"/>
      <c r="MYY20" s="1260"/>
      <c r="MYZ20" s="1260"/>
      <c r="MZA20" s="1260"/>
      <c r="MZB20" s="1260"/>
      <c r="MZC20" s="1260"/>
      <c r="MZD20" s="1260"/>
      <c r="MZE20" s="1260"/>
      <c r="MZF20" s="1260"/>
      <c r="MZG20" s="1260"/>
      <c r="MZH20" s="1260"/>
      <c r="MZI20" s="1260"/>
      <c r="MZJ20" s="1260"/>
      <c r="MZK20" s="1260"/>
      <c r="MZL20" s="1260"/>
      <c r="MZM20" s="1260"/>
      <c r="MZN20" s="1260"/>
      <c r="MZO20" s="1260"/>
      <c r="MZP20" s="1260"/>
      <c r="MZQ20" s="1260"/>
      <c r="MZR20" s="1260"/>
      <c r="MZS20" s="1260"/>
      <c r="MZT20" s="1260"/>
      <c r="MZU20" s="1260"/>
      <c r="MZV20" s="1260"/>
      <c r="MZW20" s="1260"/>
      <c r="MZX20" s="1260"/>
      <c r="MZY20" s="1260"/>
      <c r="MZZ20" s="1260"/>
      <c r="NAA20" s="1260"/>
      <c r="NAB20" s="1260"/>
      <c r="NAC20" s="1260"/>
      <c r="NAD20" s="1260"/>
      <c r="NAE20" s="1260"/>
      <c r="NAF20" s="1260"/>
      <c r="NAG20" s="1260"/>
      <c r="NAH20" s="1260"/>
      <c r="NAI20" s="1260"/>
      <c r="NAJ20" s="1260"/>
      <c r="NAK20" s="1260"/>
      <c r="NAL20" s="1260"/>
      <c r="NAM20" s="1260"/>
      <c r="NAN20" s="1260"/>
      <c r="NAO20" s="1260"/>
      <c r="NAP20" s="1260"/>
      <c r="NAQ20" s="1260"/>
      <c r="NAR20" s="1260"/>
      <c r="NAS20" s="1260"/>
      <c r="NAT20" s="1260"/>
      <c r="NAU20" s="1260"/>
      <c r="NAV20" s="1260"/>
      <c r="NAW20" s="1260"/>
      <c r="NAX20" s="1260"/>
      <c r="NAY20" s="1260"/>
      <c r="NAZ20" s="1260"/>
      <c r="NBA20" s="1260"/>
      <c r="NBB20" s="1260"/>
      <c r="NBC20" s="1260"/>
      <c r="NBD20" s="1260"/>
      <c r="NBE20" s="1260"/>
      <c r="NBF20" s="1260"/>
      <c r="NBG20" s="1260"/>
      <c r="NBH20" s="1260"/>
      <c r="NBI20" s="1260"/>
      <c r="NBJ20" s="1260"/>
      <c r="NBK20" s="1260"/>
      <c r="NBL20" s="1260"/>
      <c r="NBM20" s="1260"/>
      <c r="NBN20" s="1260"/>
      <c r="NBO20" s="1260"/>
      <c r="NBP20" s="1260"/>
      <c r="NBQ20" s="1260"/>
      <c r="NBR20" s="1260"/>
      <c r="NBS20" s="1260"/>
      <c r="NBT20" s="1260"/>
      <c r="NBU20" s="1260"/>
      <c r="NBV20" s="1260"/>
      <c r="NBW20" s="1260"/>
      <c r="NBX20" s="1260"/>
      <c r="NBY20" s="1260"/>
      <c r="NBZ20" s="1260"/>
      <c r="NCA20" s="1260"/>
      <c r="NCB20" s="1260"/>
      <c r="NCC20" s="1260"/>
      <c r="NCD20" s="1260"/>
      <c r="NCE20" s="1260"/>
      <c r="NCF20" s="1260"/>
      <c r="NCG20" s="1260"/>
      <c r="NCH20" s="1260"/>
      <c r="NCI20" s="1260"/>
      <c r="NCJ20" s="1260"/>
      <c r="NCK20" s="1260"/>
      <c r="NCL20" s="1260"/>
      <c r="NCM20" s="1260"/>
      <c r="NCN20" s="1260"/>
      <c r="NCO20" s="1260"/>
      <c r="NCP20" s="1260"/>
      <c r="NCQ20" s="1260"/>
      <c r="NCR20" s="1260"/>
      <c r="NCS20" s="1260"/>
      <c r="NCT20" s="1260"/>
      <c r="NCU20" s="1260"/>
      <c r="NCV20" s="1260"/>
      <c r="NCW20" s="1260"/>
      <c r="NCX20" s="1260"/>
      <c r="NCY20" s="1260"/>
      <c r="NCZ20" s="1260"/>
      <c r="NDA20" s="1260"/>
      <c r="NDB20" s="1260"/>
      <c r="NDC20" s="1260"/>
      <c r="NDD20" s="1260"/>
      <c r="NDE20" s="1260"/>
      <c r="NDF20" s="1260"/>
      <c r="NDG20" s="1260"/>
      <c r="NDH20" s="1260"/>
      <c r="NDI20" s="1260"/>
      <c r="NDJ20" s="1260"/>
      <c r="NDK20" s="1260"/>
      <c r="NDL20" s="1260"/>
      <c r="NDM20" s="1260"/>
      <c r="NDN20" s="1260"/>
      <c r="NDO20" s="1260"/>
      <c r="NDP20" s="1260"/>
      <c r="NDQ20" s="1260"/>
      <c r="NDR20" s="1260"/>
      <c r="NDS20" s="1260"/>
      <c r="NDT20" s="1260"/>
      <c r="NDU20" s="1260"/>
      <c r="NDV20" s="1260"/>
      <c r="NDW20" s="1260"/>
      <c r="NDX20" s="1260"/>
      <c r="NDY20" s="1260"/>
      <c r="NDZ20" s="1260"/>
      <c r="NEA20" s="1260"/>
      <c r="NEB20" s="1260"/>
      <c r="NEC20" s="1260"/>
      <c r="NED20" s="1260"/>
      <c r="NEE20" s="1260"/>
      <c r="NEF20" s="1260"/>
      <c r="NEG20" s="1260"/>
      <c r="NEH20" s="1260"/>
      <c r="NEI20" s="1260"/>
      <c r="NEJ20" s="1260"/>
      <c r="NEK20" s="1260"/>
      <c r="NEL20" s="1260"/>
      <c r="NEM20" s="1260"/>
      <c r="NEN20" s="1260"/>
      <c r="NEO20" s="1260"/>
      <c r="NEP20" s="1260"/>
      <c r="NEQ20" s="1260"/>
      <c r="NER20" s="1260"/>
      <c r="NES20" s="1260"/>
      <c r="NET20" s="1260"/>
      <c r="NEU20" s="1260"/>
      <c r="NEV20" s="1260"/>
      <c r="NEW20" s="1260"/>
      <c r="NEX20" s="1260"/>
      <c r="NEY20" s="1260"/>
      <c r="NEZ20" s="1260"/>
      <c r="NFA20" s="1260"/>
      <c r="NFB20" s="1260"/>
      <c r="NFC20" s="1260"/>
      <c r="NFD20" s="1260"/>
      <c r="NFE20" s="1260"/>
      <c r="NFF20" s="1260"/>
      <c r="NFG20" s="1260"/>
      <c r="NFH20" s="1260"/>
      <c r="NFI20" s="1260"/>
      <c r="NFJ20" s="1260"/>
      <c r="NFK20" s="1260"/>
      <c r="NFL20" s="1260"/>
      <c r="NFM20" s="1260"/>
      <c r="NFN20" s="1260"/>
      <c r="NFO20" s="1260"/>
      <c r="NFP20" s="1260"/>
      <c r="NFQ20" s="1260"/>
      <c r="NFR20" s="1260"/>
      <c r="NFS20" s="1260"/>
      <c r="NFT20" s="1260"/>
      <c r="NFU20" s="1260"/>
      <c r="NFV20" s="1260"/>
      <c r="NFW20" s="1260"/>
      <c r="NFX20" s="1260"/>
      <c r="NFY20" s="1260"/>
      <c r="NFZ20" s="1260"/>
      <c r="NGA20" s="1260"/>
      <c r="NGB20" s="1260"/>
      <c r="NGC20" s="1260"/>
      <c r="NGD20" s="1260"/>
      <c r="NGE20" s="1260"/>
      <c r="NGF20" s="1260"/>
      <c r="NGG20" s="1260"/>
      <c r="NGH20" s="1260"/>
      <c r="NGI20" s="1260"/>
      <c r="NGJ20" s="1260"/>
      <c r="NGK20" s="1260"/>
      <c r="NGL20" s="1260"/>
      <c r="NGM20" s="1260"/>
      <c r="NGN20" s="1260"/>
      <c r="NGO20" s="1260"/>
      <c r="NGP20" s="1260"/>
      <c r="NGQ20" s="1260"/>
      <c r="NGR20" s="1260"/>
      <c r="NGS20" s="1260"/>
      <c r="NGT20" s="1260"/>
      <c r="NGU20" s="1260"/>
      <c r="NGV20" s="1260"/>
      <c r="NGW20" s="1260"/>
      <c r="NGX20" s="1260"/>
      <c r="NGY20" s="1260"/>
      <c r="NGZ20" s="1260"/>
      <c r="NHA20" s="1260"/>
      <c r="NHB20" s="1260"/>
      <c r="NHC20" s="1260"/>
      <c r="NHD20" s="1260"/>
      <c r="NHE20" s="1260"/>
      <c r="NHF20" s="1260"/>
      <c r="NHG20" s="1260"/>
      <c r="NHH20" s="1260"/>
      <c r="NHI20" s="1260"/>
      <c r="NHJ20" s="1260"/>
      <c r="NHK20" s="1260"/>
      <c r="NHL20" s="1260"/>
      <c r="NHM20" s="1260"/>
      <c r="NHN20" s="1260"/>
      <c r="NHO20" s="1260"/>
      <c r="NHP20" s="1260"/>
      <c r="NHQ20" s="1260"/>
      <c r="NHR20" s="1260"/>
      <c r="NHS20" s="1260"/>
      <c r="NHT20" s="1260"/>
      <c r="NHU20" s="1260"/>
      <c r="NHV20" s="1260"/>
      <c r="NHW20" s="1260"/>
      <c r="NHX20" s="1260"/>
      <c r="NHY20" s="1260"/>
      <c r="NHZ20" s="1260"/>
      <c r="NIA20" s="1260"/>
      <c r="NIB20" s="1260"/>
      <c r="NIC20" s="1260"/>
      <c r="NID20" s="1260"/>
      <c r="NIE20" s="1260"/>
      <c r="NIF20" s="1260"/>
      <c r="NIG20" s="1260"/>
      <c r="NIH20" s="1260"/>
      <c r="NII20" s="1260"/>
      <c r="NIJ20" s="1260"/>
      <c r="NIK20" s="1260"/>
      <c r="NIL20" s="1260"/>
      <c r="NIM20" s="1260"/>
      <c r="NIN20" s="1260"/>
      <c r="NIO20" s="1260"/>
      <c r="NIP20" s="1260"/>
      <c r="NIQ20" s="1260"/>
      <c r="NIR20" s="1260"/>
      <c r="NIS20" s="1260"/>
      <c r="NIT20" s="1260"/>
      <c r="NIU20" s="1260"/>
      <c r="NIV20" s="1260"/>
      <c r="NIW20" s="1260"/>
      <c r="NIX20" s="1260"/>
      <c r="NIY20" s="1260"/>
      <c r="NIZ20" s="1260"/>
      <c r="NJA20" s="1260"/>
      <c r="NJB20" s="1260"/>
      <c r="NJC20" s="1260"/>
      <c r="NJD20" s="1260"/>
      <c r="NJE20" s="1260"/>
      <c r="NJF20" s="1260"/>
      <c r="NJG20" s="1260"/>
      <c r="NJH20" s="1260"/>
      <c r="NJI20" s="1260"/>
      <c r="NJJ20" s="1260"/>
      <c r="NJK20" s="1260"/>
      <c r="NJL20" s="1260"/>
      <c r="NJM20" s="1260"/>
      <c r="NJN20" s="1260"/>
      <c r="NJO20" s="1260"/>
      <c r="NJP20" s="1260"/>
      <c r="NJQ20" s="1260"/>
      <c r="NJR20" s="1260"/>
      <c r="NJS20" s="1260"/>
      <c r="NJT20" s="1260"/>
      <c r="NJU20" s="1260"/>
      <c r="NJV20" s="1260"/>
      <c r="NJW20" s="1260"/>
      <c r="NJX20" s="1260"/>
      <c r="NJY20" s="1260"/>
      <c r="NJZ20" s="1260"/>
      <c r="NKA20" s="1260"/>
      <c r="NKB20" s="1260"/>
      <c r="NKC20" s="1260"/>
      <c r="NKD20" s="1260"/>
      <c r="NKE20" s="1260"/>
      <c r="NKF20" s="1260"/>
      <c r="NKG20" s="1260"/>
      <c r="NKH20" s="1260"/>
      <c r="NKI20" s="1260"/>
      <c r="NKJ20" s="1260"/>
      <c r="NKK20" s="1260"/>
      <c r="NKL20" s="1260"/>
      <c r="NKM20" s="1260"/>
      <c r="NKN20" s="1260"/>
      <c r="NKO20" s="1260"/>
      <c r="NKP20" s="1260"/>
      <c r="NKQ20" s="1260"/>
      <c r="NKR20" s="1260"/>
      <c r="NKS20" s="1260"/>
      <c r="NKT20" s="1260"/>
      <c r="NKU20" s="1260"/>
      <c r="NKV20" s="1260"/>
      <c r="NKW20" s="1260"/>
      <c r="NKX20" s="1260"/>
      <c r="NKY20" s="1260"/>
      <c r="NKZ20" s="1260"/>
      <c r="NLA20" s="1260"/>
      <c r="NLB20" s="1260"/>
      <c r="NLC20" s="1260"/>
      <c r="NLD20" s="1260"/>
      <c r="NLE20" s="1260"/>
      <c r="NLF20" s="1260"/>
      <c r="NLG20" s="1260"/>
      <c r="NLH20" s="1260"/>
      <c r="NLI20" s="1260"/>
      <c r="NLJ20" s="1260"/>
      <c r="NLK20" s="1260"/>
      <c r="NLL20" s="1260"/>
      <c r="NLM20" s="1260"/>
      <c r="NLN20" s="1260"/>
      <c r="NLO20" s="1260"/>
      <c r="NLP20" s="1260"/>
      <c r="NLQ20" s="1260"/>
      <c r="NLR20" s="1260"/>
      <c r="NLS20" s="1260"/>
      <c r="NLT20" s="1260"/>
      <c r="NLU20" s="1260"/>
      <c r="NLV20" s="1260"/>
      <c r="NLW20" s="1260"/>
      <c r="NLX20" s="1260"/>
      <c r="NLY20" s="1260"/>
      <c r="NLZ20" s="1260"/>
      <c r="NMA20" s="1260"/>
      <c r="NMB20" s="1260"/>
      <c r="NMC20" s="1260"/>
      <c r="NMD20" s="1260"/>
      <c r="NME20" s="1260"/>
      <c r="NMF20" s="1260"/>
      <c r="NMG20" s="1260"/>
      <c r="NMH20" s="1260"/>
      <c r="NMI20" s="1260"/>
      <c r="NMJ20" s="1260"/>
      <c r="NMK20" s="1260"/>
      <c r="NML20" s="1260"/>
      <c r="NMM20" s="1260"/>
      <c r="NMN20" s="1260"/>
      <c r="NMO20" s="1260"/>
      <c r="NMP20" s="1260"/>
      <c r="NMQ20" s="1260"/>
      <c r="NMR20" s="1260"/>
      <c r="NMS20" s="1260"/>
      <c r="NMT20" s="1260"/>
      <c r="NMU20" s="1260"/>
      <c r="NMV20" s="1260"/>
      <c r="NMW20" s="1260"/>
      <c r="NMX20" s="1260"/>
      <c r="NMY20" s="1260"/>
      <c r="NMZ20" s="1260"/>
      <c r="NNA20" s="1260"/>
      <c r="NNB20" s="1260"/>
      <c r="NNC20" s="1260"/>
      <c r="NND20" s="1260"/>
      <c r="NNE20" s="1260"/>
      <c r="NNF20" s="1260"/>
      <c r="NNG20" s="1260"/>
      <c r="NNH20" s="1260"/>
      <c r="NNI20" s="1260"/>
      <c r="NNJ20" s="1260"/>
      <c r="NNK20" s="1260"/>
      <c r="NNL20" s="1260"/>
      <c r="NNM20" s="1260"/>
      <c r="NNN20" s="1260"/>
      <c r="NNO20" s="1260"/>
      <c r="NNP20" s="1260"/>
      <c r="NNQ20" s="1260"/>
      <c r="NNR20" s="1260"/>
      <c r="NNS20" s="1260"/>
      <c r="NNT20" s="1260"/>
      <c r="NNU20" s="1260"/>
      <c r="NNV20" s="1260"/>
      <c r="NNW20" s="1260"/>
      <c r="NNX20" s="1260"/>
      <c r="NNY20" s="1260"/>
      <c r="NNZ20" s="1260"/>
      <c r="NOA20" s="1260"/>
      <c r="NOB20" s="1260"/>
      <c r="NOC20" s="1260"/>
      <c r="NOD20" s="1260"/>
      <c r="NOE20" s="1260"/>
      <c r="NOF20" s="1260"/>
      <c r="NOG20" s="1260"/>
      <c r="NOH20" s="1260"/>
      <c r="NOI20" s="1260"/>
      <c r="NOJ20" s="1260"/>
      <c r="NOK20" s="1260"/>
      <c r="NOL20" s="1260"/>
      <c r="NOM20" s="1260"/>
      <c r="NON20" s="1260"/>
      <c r="NOO20" s="1260"/>
      <c r="NOP20" s="1260"/>
      <c r="NOQ20" s="1260"/>
      <c r="NOR20" s="1260"/>
      <c r="NOS20" s="1260"/>
      <c r="NOT20" s="1260"/>
      <c r="NOU20" s="1260"/>
      <c r="NOV20" s="1260"/>
      <c r="NOW20" s="1260"/>
      <c r="NOX20" s="1260"/>
      <c r="NOY20" s="1260"/>
      <c r="NOZ20" s="1260"/>
      <c r="NPA20" s="1260"/>
      <c r="NPB20" s="1260"/>
      <c r="NPC20" s="1260"/>
      <c r="NPD20" s="1260"/>
      <c r="NPE20" s="1260"/>
      <c r="NPF20" s="1260"/>
      <c r="NPG20" s="1260"/>
      <c r="NPH20" s="1260"/>
      <c r="NPI20" s="1260"/>
      <c r="NPJ20" s="1260"/>
      <c r="NPK20" s="1260"/>
      <c r="NPL20" s="1260"/>
      <c r="NPM20" s="1260"/>
      <c r="NPN20" s="1260"/>
      <c r="NPO20" s="1260"/>
      <c r="NPP20" s="1260"/>
      <c r="NPQ20" s="1260"/>
      <c r="NPR20" s="1260"/>
      <c r="NPS20" s="1260"/>
      <c r="NPT20" s="1260"/>
      <c r="NPU20" s="1260"/>
      <c r="NPV20" s="1260"/>
      <c r="NPW20" s="1260"/>
      <c r="NPX20" s="1260"/>
      <c r="NPY20" s="1260"/>
      <c r="NPZ20" s="1260"/>
      <c r="NQA20" s="1260"/>
      <c r="NQB20" s="1260"/>
      <c r="NQC20" s="1260"/>
      <c r="NQD20" s="1260"/>
      <c r="NQE20" s="1260"/>
      <c r="NQF20" s="1260"/>
      <c r="NQG20" s="1260"/>
      <c r="NQH20" s="1260"/>
      <c r="NQI20" s="1260"/>
      <c r="NQJ20" s="1260"/>
      <c r="NQK20" s="1260"/>
      <c r="NQL20" s="1260"/>
      <c r="NQM20" s="1260"/>
      <c r="NQN20" s="1260"/>
      <c r="NQO20" s="1260"/>
      <c r="NQP20" s="1260"/>
      <c r="NQQ20" s="1260"/>
      <c r="NQR20" s="1260"/>
      <c r="NQS20" s="1260"/>
      <c r="NQT20" s="1260"/>
      <c r="NQU20" s="1260"/>
      <c r="NQV20" s="1260"/>
      <c r="NQW20" s="1260"/>
      <c r="NQX20" s="1260"/>
      <c r="NQY20" s="1260"/>
      <c r="NQZ20" s="1260"/>
      <c r="NRA20" s="1260"/>
      <c r="NRB20" s="1260"/>
      <c r="NRC20" s="1260"/>
      <c r="NRD20" s="1260"/>
      <c r="NRE20" s="1260"/>
      <c r="NRF20" s="1260"/>
      <c r="NRG20" s="1260"/>
      <c r="NRH20" s="1260"/>
      <c r="NRI20" s="1260"/>
      <c r="NRJ20" s="1260"/>
      <c r="NRK20" s="1260"/>
      <c r="NRL20" s="1260"/>
      <c r="NRM20" s="1260"/>
      <c r="NRN20" s="1260"/>
      <c r="NRO20" s="1260"/>
      <c r="NRP20" s="1260"/>
      <c r="NRQ20" s="1260"/>
      <c r="NRR20" s="1260"/>
      <c r="NRS20" s="1260"/>
      <c r="NRT20" s="1260"/>
      <c r="NRU20" s="1260"/>
      <c r="NRV20" s="1260"/>
      <c r="NRW20" s="1260"/>
      <c r="NRX20" s="1260"/>
      <c r="NRY20" s="1260"/>
      <c r="NRZ20" s="1260"/>
      <c r="NSA20" s="1260"/>
      <c r="NSB20" s="1260"/>
      <c r="NSC20" s="1260"/>
      <c r="NSD20" s="1260"/>
      <c r="NSE20" s="1260"/>
      <c r="NSF20" s="1260"/>
      <c r="NSG20" s="1260"/>
      <c r="NSH20" s="1260"/>
      <c r="NSI20" s="1260"/>
      <c r="NSJ20" s="1260"/>
      <c r="NSK20" s="1260"/>
      <c r="NSL20" s="1260"/>
      <c r="NSM20" s="1260"/>
      <c r="NSN20" s="1260"/>
      <c r="NSO20" s="1260"/>
      <c r="NSP20" s="1260"/>
      <c r="NSQ20" s="1260"/>
      <c r="NSR20" s="1260"/>
      <c r="NSS20" s="1260"/>
      <c r="NST20" s="1260"/>
      <c r="NSU20" s="1260"/>
      <c r="NSV20" s="1260"/>
      <c r="NSW20" s="1260"/>
      <c r="NSX20" s="1260"/>
      <c r="NSY20" s="1260"/>
      <c r="NSZ20" s="1260"/>
      <c r="NTA20" s="1260"/>
      <c r="NTB20" s="1260"/>
      <c r="NTC20" s="1260"/>
      <c r="NTD20" s="1260"/>
      <c r="NTE20" s="1260"/>
      <c r="NTF20" s="1260"/>
      <c r="NTG20" s="1260"/>
      <c r="NTH20" s="1260"/>
      <c r="NTI20" s="1260"/>
      <c r="NTJ20" s="1260"/>
      <c r="NTK20" s="1260"/>
      <c r="NTL20" s="1260"/>
      <c r="NTM20" s="1260"/>
      <c r="NTN20" s="1260"/>
      <c r="NTO20" s="1260"/>
      <c r="NTP20" s="1260"/>
      <c r="NTQ20" s="1260"/>
      <c r="NTR20" s="1260"/>
      <c r="NTS20" s="1260"/>
      <c r="NTT20" s="1260"/>
      <c r="NTU20" s="1260"/>
      <c r="NTV20" s="1260"/>
      <c r="NTW20" s="1260"/>
      <c r="NTX20" s="1260"/>
      <c r="NTY20" s="1260"/>
      <c r="NTZ20" s="1260"/>
      <c r="NUA20" s="1260"/>
      <c r="NUB20" s="1260"/>
      <c r="NUC20" s="1260"/>
      <c r="NUD20" s="1260"/>
      <c r="NUE20" s="1260"/>
      <c r="NUF20" s="1260"/>
      <c r="NUG20" s="1260"/>
      <c r="NUH20" s="1260"/>
      <c r="NUI20" s="1260"/>
      <c r="NUJ20" s="1260"/>
      <c r="NUK20" s="1260"/>
      <c r="NUL20" s="1260"/>
      <c r="NUM20" s="1260"/>
      <c r="NUN20" s="1260"/>
      <c r="NUO20" s="1260"/>
      <c r="NUP20" s="1260"/>
      <c r="NUQ20" s="1260"/>
      <c r="NUR20" s="1260"/>
      <c r="NUS20" s="1260"/>
      <c r="NUT20" s="1260"/>
      <c r="NUU20" s="1260"/>
      <c r="NUV20" s="1260"/>
      <c r="NUW20" s="1260"/>
      <c r="NUX20" s="1260"/>
      <c r="NUY20" s="1260"/>
      <c r="NUZ20" s="1260"/>
      <c r="NVA20" s="1260"/>
      <c r="NVB20" s="1260"/>
      <c r="NVC20" s="1260"/>
      <c r="NVD20" s="1260"/>
      <c r="NVE20" s="1260"/>
      <c r="NVF20" s="1260"/>
      <c r="NVG20" s="1260"/>
      <c r="NVH20" s="1260"/>
      <c r="NVI20" s="1260"/>
      <c r="NVJ20" s="1260"/>
      <c r="NVK20" s="1260"/>
      <c r="NVL20" s="1260"/>
      <c r="NVM20" s="1260"/>
      <c r="NVN20" s="1260"/>
      <c r="NVO20" s="1260"/>
      <c r="NVP20" s="1260"/>
      <c r="NVQ20" s="1260"/>
      <c r="NVR20" s="1260"/>
      <c r="NVS20" s="1260"/>
      <c r="NVT20" s="1260"/>
      <c r="NVU20" s="1260"/>
      <c r="NVV20" s="1260"/>
      <c r="NVW20" s="1260"/>
      <c r="NVX20" s="1260"/>
      <c r="NVY20" s="1260"/>
      <c r="NVZ20" s="1260"/>
      <c r="NWA20" s="1260"/>
      <c r="NWB20" s="1260"/>
      <c r="NWC20" s="1260"/>
      <c r="NWD20" s="1260"/>
      <c r="NWE20" s="1260"/>
      <c r="NWF20" s="1260"/>
      <c r="NWG20" s="1260"/>
      <c r="NWH20" s="1260"/>
      <c r="NWI20" s="1260"/>
      <c r="NWJ20" s="1260"/>
      <c r="NWK20" s="1260"/>
      <c r="NWL20" s="1260"/>
      <c r="NWM20" s="1260"/>
      <c r="NWN20" s="1260"/>
      <c r="NWO20" s="1260"/>
      <c r="NWP20" s="1260"/>
      <c r="NWQ20" s="1260"/>
      <c r="NWR20" s="1260"/>
      <c r="NWS20" s="1260"/>
      <c r="NWT20" s="1260"/>
      <c r="NWU20" s="1260"/>
      <c r="NWV20" s="1260"/>
      <c r="NWW20" s="1260"/>
      <c r="NWX20" s="1260"/>
      <c r="NWY20" s="1260"/>
      <c r="NWZ20" s="1260"/>
      <c r="NXA20" s="1260"/>
      <c r="NXB20" s="1260"/>
      <c r="NXC20" s="1260"/>
      <c r="NXD20" s="1260"/>
      <c r="NXE20" s="1260"/>
      <c r="NXF20" s="1260"/>
      <c r="NXG20" s="1260"/>
      <c r="NXH20" s="1260"/>
      <c r="NXI20" s="1260"/>
      <c r="NXJ20" s="1260"/>
      <c r="NXK20" s="1260"/>
      <c r="NXL20" s="1260"/>
      <c r="NXM20" s="1260"/>
      <c r="NXN20" s="1260"/>
      <c r="NXO20" s="1260"/>
      <c r="NXP20" s="1260"/>
      <c r="NXQ20" s="1260"/>
      <c r="NXR20" s="1260"/>
      <c r="NXS20" s="1260"/>
      <c r="NXT20" s="1260"/>
      <c r="NXU20" s="1260"/>
      <c r="NXV20" s="1260"/>
      <c r="NXW20" s="1260"/>
      <c r="NXX20" s="1260"/>
      <c r="NXY20" s="1260"/>
      <c r="NXZ20" s="1260"/>
      <c r="NYA20" s="1260"/>
      <c r="NYB20" s="1260"/>
      <c r="NYC20" s="1260"/>
      <c r="NYD20" s="1260"/>
      <c r="NYE20" s="1260"/>
      <c r="NYF20" s="1260"/>
      <c r="NYG20" s="1260"/>
      <c r="NYH20" s="1260"/>
      <c r="NYI20" s="1260"/>
      <c r="NYJ20" s="1260"/>
      <c r="NYK20" s="1260"/>
      <c r="NYL20" s="1260"/>
      <c r="NYM20" s="1260"/>
      <c r="NYN20" s="1260"/>
      <c r="NYO20" s="1260"/>
      <c r="NYP20" s="1260"/>
      <c r="NYQ20" s="1260"/>
      <c r="NYR20" s="1260"/>
      <c r="NYS20" s="1260"/>
      <c r="NYT20" s="1260"/>
      <c r="NYU20" s="1260"/>
      <c r="NYV20" s="1260"/>
      <c r="NYW20" s="1260"/>
      <c r="NYX20" s="1260"/>
      <c r="NYY20" s="1260"/>
      <c r="NYZ20" s="1260"/>
      <c r="NZA20" s="1260"/>
      <c r="NZB20" s="1260"/>
      <c r="NZC20" s="1260"/>
      <c r="NZD20" s="1260"/>
      <c r="NZE20" s="1260"/>
      <c r="NZF20" s="1260"/>
      <c r="NZG20" s="1260"/>
      <c r="NZH20" s="1260"/>
      <c r="NZI20" s="1260"/>
      <c r="NZJ20" s="1260"/>
      <c r="NZK20" s="1260"/>
      <c r="NZL20" s="1260"/>
      <c r="NZM20" s="1260"/>
      <c r="NZN20" s="1260"/>
      <c r="NZO20" s="1260"/>
      <c r="NZP20" s="1260"/>
      <c r="NZQ20" s="1260"/>
      <c r="NZR20" s="1260"/>
      <c r="NZS20" s="1260"/>
      <c r="NZT20" s="1260"/>
      <c r="NZU20" s="1260"/>
      <c r="NZV20" s="1260"/>
      <c r="NZW20" s="1260"/>
      <c r="NZX20" s="1260"/>
      <c r="NZY20" s="1260"/>
      <c r="NZZ20" s="1260"/>
      <c r="OAA20" s="1260"/>
      <c r="OAB20" s="1260"/>
      <c r="OAC20" s="1260"/>
      <c r="OAD20" s="1260"/>
      <c r="OAE20" s="1260"/>
      <c r="OAF20" s="1260"/>
      <c r="OAG20" s="1260"/>
      <c r="OAH20" s="1260"/>
      <c r="OAI20" s="1260"/>
      <c r="OAJ20" s="1260"/>
      <c r="OAK20" s="1260"/>
      <c r="OAL20" s="1260"/>
      <c r="OAM20" s="1260"/>
      <c r="OAN20" s="1260"/>
      <c r="OAO20" s="1260"/>
      <c r="OAP20" s="1260"/>
      <c r="OAQ20" s="1260"/>
      <c r="OAR20" s="1260"/>
      <c r="OAS20" s="1260"/>
      <c r="OAT20" s="1260"/>
      <c r="OAU20" s="1260"/>
      <c r="OAV20" s="1260"/>
      <c r="OAW20" s="1260"/>
      <c r="OAX20" s="1260"/>
      <c r="OAY20" s="1260"/>
      <c r="OAZ20" s="1260"/>
      <c r="OBA20" s="1260"/>
      <c r="OBB20" s="1260"/>
      <c r="OBC20" s="1260"/>
      <c r="OBD20" s="1260"/>
      <c r="OBE20" s="1260"/>
      <c r="OBF20" s="1260"/>
      <c r="OBG20" s="1260"/>
      <c r="OBH20" s="1260"/>
      <c r="OBI20" s="1260"/>
      <c r="OBJ20" s="1260"/>
      <c r="OBK20" s="1260"/>
      <c r="OBL20" s="1260"/>
      <c r="OBM20" s="1260"/>
      <c r="OBN20" s="1260"/>
      <c r="OBO20" s="1260"/>
      <c r="OBP20" s="1260"/>
      <c r="OBQ20" s="1260"/>
      <c r="OBR20" s="1260"/>
      <c r="OBS20" s="1260"/>
      <c r="OBT20" s="1260"/>
      <c r="OBU20" s="1260"/>
      <c r="OBV20" s="1260"/>
      <c r="OBW20" s="1260"/>
      <c r="OBX20" s="1260"/>
      <c r="OBY20" s="1260"/>
      <c r="OBZ20" s="1260"/>
      <c r="OCA20" s="1260"/>
      <c r="OCB20" s="1260"/>
      <c r="OCC20" s="1260"/>
      <c r="OCD20" s="1260"/>
      <c r="OCE20" s="1260"/>
      <c r="OCF20" s="1260"/>
      <c r="OCG20" s="1260"/>
      <c r="OCH20" s="1260"/>
      <c r="OCI20" s="1260"/>
      <c r="OCJ20" s="1260"/>
      <c r="OCK20" s="1260"/>
      <c r="OCL20" s="1260"/>
      <c r="OCM20" s="1260"/>
      <c r="OCN20" s="1260"/>
      <c r="OCO20" s="1260"/>
      <c r="OCP20" s="1260"/>
      <c r="OCQ20" s="1260"/>
      <c r="OCR20" s="1260"/>
      <c r="OCS20" s="1260"/>
      <c r="OCT20" s="1260"/>
      <c r="OCU20" s="1260"/>
      <c r="OCV20" s="1260"/>
      <c r="OCW20" s="1260"/>
      <c r="OCX20" s="1260"/>
      <c r="OCY20" s="1260"/>
      <c r="OCZ20" s="1260"/>
      <c r="ODA20" s="1260"/>
      <c r="ODB20" s="1260"/>
      <c r="ODC20" s="1260"/>
      <c r="ODD20" s="1260"/>
      <c r="ODE20" s="1260"/>
      <c r="ODF20" s="1260"/>
      <c r="ODG20" s="1260"/>
      <c r="ODH20" s="1260"/>
      <c r="ODI20" s="1260"/>
      <c r="ODJ20" s="1260"/>
      <c r="ODK20" s="1260"/>
      <c r="ODL20" s="1260"/>
      <c r="ODM20" s="1260"/>
      <c r="ODN20" s="1260"/>
      <c r="ODO20" s="1260"/>
      <c r="ODP20" s="1260"/>
      <c r="ODQ20" s="1260"/>
      <c r="ODR20" s="1260"/>
      <c r="ODS20" s="1260"/>
      <c r="ODT20" s="1260"/>
      <c r="ODU20" s="1260"/>
      <c r="ODV20" s="1260"/>
      <c r="ODW20" s="1260"/>
      <c r="ODX20" s="1260"/>
      <c r="ODY20" s="1260"/>
      <c r="ODZ20" s="1260"/>
      <c r="OEA20" s="1260"/>
      <c r="OEB20" s="1260"/>
      <c r="OEC20" s="1260"/>
      <c r="OED20" s="1260"/>
      <c r="OEE20" s="1260"/>
      <c r="OEF20" s="1260"/>
      <c r="OEG20" s="1260"/>
      <c r="OEH20" s="1260"/>
      <c r="OEI20" s="1260"/>
      <c r="OEJ20" s="1260"/>
      <c r="OEK20" s="1260"/>
      <c r="OEL20" s="1260"/>
      <c r="OEM20" s="1260"/>
      <c r="OEN20" s="1260"/>
      <c r="OEO20" s="1260"/>
      <c r="OEP20" s="1260"/>
      <c r="OEQ20" s="1260"/>
      <c r="OER20" s="1260"/>
      <c r="OES20" s="1260"/>
      <c r="OET20" s="1260"/>
      <c r="OEU20" s="1260"/>
      <c r="OEV20" s="1260"/>
      <c r="OEW20" s="1260"/>
      <c r="OEX20" s="1260"/>
      <c r="OEY20" s="1260"/>
      <c r="OEZ20" s="1260"/>
      <c r="OFA20" s="1260"/>
      <c r="OFB20" s="1260"/>
      <c r="OFC20" s="1260"/>
      <c r="OFD20" s="1260"/>
      <c r="OFE20" s="1260"/>
      <c r="OFF20" s="1260"/>
      <c r="OFG20" s="1260"/>
      <c r="OFH20" s="1260"/>
      <c r="OFI20" s="1260"/>
      <c r="OFJ20" s="1260"/>
      <c r="OFK20" s="1260"/>
      <c r="OFL20" s="1260"/>
      <c r="OFM20" s="1260"/>
      <c r="OFN20" s="1260"/>
      <c r="OFO20" s="1260"/>
      <c r="OFP20" s="1260"/>
      <c r="OFQ20" s="1260"/>
      <c r="OFR20" s="1260"/>
      <c r="OFS20" s="1260"/>
      <c r="OFT20" s="1260"/>
      <c r="OFU20" s="1260"/>
      <c r="OFV20" s="1260"/>
      <c r="OFW20" s="1260"/>
      <c r="OFX20" s="1260"/>
      <c r="OFY20" s="1260"/>
      <c r="OFZ20" s="1260"/>
      <c r="OGA20" s="1260"/>
      <c r="OGB20" s="1260"/>
      <c r="OGC20" s="1260"/>
      <c r="OGD20" s="1260"/>
      <c r="OGE20" s="1260"/>
      <c r="OGF20" s="1260"/>
      <c r="OGG20" s="1260"/>
      <c r="OGH20" s="1260"/>
      <c r="OGI20" s="1260"/>
      <c r="OGJ20" s="1260"/>
      <c r="OGK20" s="1260"/>
      <c r="OGL20" s="1260"/>
      <c r="OGM20" s="1260"/>
      <c r="OGN20" s="1260"/>
      <c r="OGO20" s="1260"/>
      <c r="OGP20" s="1260"/>
      <c r="OGQ20" s="1260"/>
      <c r="OGR20" s="1260"/>
      <c r="OGS20" s="1260"/>
      <c r="OGT20" s="1260"/>
      <c r="OGU20" s="1260"/>
      <c r="OGV20" s="1260"/>
      <c r="OGW20" s="1260"/>
      <c r="OGX20" s="1260"/>
      <c r="OGY20" s="1260"/>
      <c r="OGZ20" s="1260"/>
      <c r="OHA20" s="1260"/>
      <c r="OHB20" s="1260"/>
      <c r="OHC20" s="1260"/>
      <c r="OHD20" s="1260"/>
      <c r="OHE20" s="1260"/>
      <c r="OHF20" s="1260"/>
      <c r="OHG20" s="1260"/>
      <c r="OHH20" s="1260"/>
      <c r="OHI20" s="1260"/>
      <c r="OHJ20" s="1260"/>
      <c r="OHK20" s="1260"/>
      <c r="OHL20" s="1260"/>
      <c r="OHM20" s="1260"/>
      <c r="OHN20" s="1260"/>
      <c r="OHO20" s="1260"/>
      <c r="OHP20" s="1260"/>
      <c r="OHQ20" s="1260"/>
      <c r="OHR20" s="1260"/>
      <c r="OHS20" s="1260"/>
      <c r="OHT20" s="1260"/>
      <c r="OHU20" s="1260"/>
      <c r="OHV20" s="1260"/>
      <c r="OHW20" s="1260"/>
      <c r="OHX20" s="1260"/>
      <c r="OHY20" s="1260"/>
      <c r="OHZ20" s="1260"/>
      <c r="OIA20" s="1260"/>
      <c r="OIB20" s="1260"/>
      <c r="OIC20" s="1260"/>
      <c r="OID20" s="1260"/>
      <c r="OIE20" s="1260"/>
      <c r="OIF20" s="1260"/>
      <c r="OIG20" s="1260"/>
      <c r="OIH20" s="1260"/>
      <c r="OII20" s="1260"/>
      <c r="OIJ20" s="1260"/>
      <c r="OIK20" s="1260"/>
      <c r="OIL20" s="1260"/>
      <c r="OIM20" s="1260"/>
      <c r="OIN20" s="1260"/>
      <c r="OIO20" s="1260"/>
      <c r="OIP20" s="1260"/>
      <c r="OIQ20" s="1260"/>
      <c r="OIR20" s="1260"/>
      <c r="OIS20" s="1260"/>
      <c r="OIT20" s="1260"/>
      <c r="OIU20" s="1260"/>
      <c r="OIV20" s="1260"/>
      <c r="OIW20" s="1260"/>
      <c r="OIX20" s="1260"/>
      <c r="OIY20" s="1260"/>
      <c r="OIZ20" s="1260"/>
      <c r="OJA20" s="1260"/>
      <c r="OJB20" s="1260"/>
      <c r="OJC20" s="1260"/>
      <c r="OJD20" s="1260"/>
      <c r="OJE20" s="1260"/>
      <c r="OJF20" s="1260"/>
      <c r="OJG20" s="1260"/>
      <c r="OJH20" s="1260"/>
      <c r="OJI20" s="1260"/>
      <c r="OJJ20" s="1260"/>
      <c r="OJK20" s="1260"/>
      <c r="OJL20" s="1260"/>
      <c r="OJM20" s="1260"/>
      <c r="OJN20" s="1260"/>
      <c r="OJO20" s="1260"/>
      <c r="OJP20" s="1260"/>
      <c r="OJQ20" s="1260"/>
      <c r="OJR20" s="1260"/>
      <c r="OJS20" s="1260"/>
      <c r="OJT20" s="1260"/>
      <c r="OJU20" s="1260"/>
      <c r="OJV20" s="1260"/>
      <c r="OJW20" s="1260"/>
      <c r="OJX20" s="1260"/>
      <c r="OJY20" s="1260"/>
      <c r="OJZ20" s="1260"/>
      <c r="OKA20" s="1260"/>
      <c r="OKB20" s="1260"/>
      <c r="OKC20" s="1260"/>
      <c r="OKD20" s="1260"/>
      <c r="OKE20" s="1260"/>
      <c r="OKF20" s="1260"/>
      <c r="OKG20" s="1260"/>
      <c r="OKH20" s="1260"/>
      <c r="OKI20" s="1260"/>
      <c r="OKJ20" s="1260"/>
      <c r="OKK20" s="1260"/>
      <c r="OKL20" s="1260"/>
      <c r="OKM20" s="1260"/>
      <c r="OKN20" s="1260"/>
      <c r="OKO20" s="1260"/>
      <c r="OKP20" s="1260"/>
      <c r="OKQ20" s="1260"/>
      <c r="OKR20" s="1260"/>
      <c r="OKS20" s="1260"/>
      <c r="OKT20" s="1260"/>
      <c r="OKU20" s="1260"/>
      <c r="OKV20" s="1260"/>
      <c r="OKW20" s="1260"/>
      <c r="OKX20" s="1260"/>
      <c r="OKY20" s="1260"/>
      <c r="OKZ20" s="1260"/>
      <c r="OLA20" s="1260"/>
      <c r="OLB20" s="1260"/>
      <c r="OLC20" s="1260"/>
      <c r="OLD20" s="1260"/>
      <c r="OLE20" s="1260"/>
      <c r="OLF20" s="1260"/>
      <c r="OLG20" s="1260"/>
      <c r="OLH20" s="1260"/>
      <c r="OLI20" s="1260"/>
      <c r="OLJ20" s="1260"/>
      <c r="OLK20" s="1260"/>
      <c r="OLL20" s="1260"/>
      <c r="OLM20" s="1260"/>
      <c r="OLN20" s="1260"/>
      <c r="OLO20" s="1260"/>
      <c r="OLP20" s="1260"/>
      <c r="OLQ20" s="1260"/>
      <c r="OLR20" s="1260"/>
      <c r="OLS20" s="1260"/>
      <c r="OLT20" s="1260"/>
      <c r="OLU20" s="1260"/>
      <c r="OLV20" s="1260"/>
      <c r="OLW20" s="1260"/>
      <c r="OLX20" s="1260"/>
      <c r="OLY20" s="1260"/>
      <c r="OLZ20" s="1260"/>
      <c r="OMA20" s="1260"/>
      <c r="OMB20" s="1260"/>
      <c r="OMC20" s="1260"/>
      <c r="OMD20" s="1260"/>
      <c r="OME20" s="1260"/>
      <c r="OMF20" s="1260"/>
      <c r="OMG20" s="1260"/>
      <c r="OMH20" s="1260"/>
      <c r="OMI20" s="1260"/>
      <c r="OMJ20" s="1260"/>
      <c r="OMK20" s="1260"/>
      <c r="OML20" s="1260"/>
      <c r="OMM20" s="1260"/>
      <c r="OMN20" s="1260"/>
      <c r="OMO20" s="1260"/>
      <c r="OMP20" s="1260"/>
      <c r="OMQ20" s="1260"/>
      <c r="OMR20" s="1260"/>
      <c r="OMS20" s="1260"/>
      <c r="OMT20" s="1260"/>
      <c r="OMU20" s="1260"/>
      <c r="OMV20" s="1260"/>
      <c r="OMW20" s="1260"/>
      <c r="OMX20" s="1260"/>
      <c r="OMY20" s="1260"/>
      <c r="OMZ20" s="1260"/>
      <c r="ONA20" s="1260"/>
      <c r="ONB20" s="1260"/>
      <c r="ONC20" s="1260"/>
      <c r="OND20" s="1260"/>
      <c r="ONE20" s="1260"/>
      <c r="ONF20" s="1260"/>
      <c r="ONG20" s="1260"/>
      <c r="ONH20" s="1260"/>
      <c r="ONI20" s="1260"/>
      <c r="ONJ20" s="1260"/>
      <c r="ONK20" s="1260"/>
      <c r="ONL20" s="1260"/>
      <c r="ONM20" s="1260"/>
      <c r="ONN20" s="1260"/>
      <c r="ONO20" s="1260"/>
      <c r="ONP20" s="1260"/>
      <c r="ONQ20" s="1260"/>
      <c r="ONR20" s="1260"/>
      <c r="ONS20" s="1260"/>
      <c r="ONT20" s="1260"/>
      <c r="ONU20" s="1260"/>
      <c r="ONV20" s="1260"/>
      <c r="ONW20" s="1260"/>
      <c r="ONX20" s="1260"/>
      <c r="ONY20" s="1260"/>
      <c r="ONZ20" s="1260"/>
      <c r="OOA20" s="1260"/>
      <c r="OOB20" s="1260"/>
      <c r="OOC20" s="1260"/>
      <c r="OOD20" s="1260"/>
      <c r="OOE20" s="1260"/>
      <c r="OOF20" s="1260"/>
      <c r="OOG20" s="1260"/>
      <c r="OOH20" s="1260"/>
      <c r="OOI20" s="1260"/>
      <c r="OOJ20" s="1260"/>
      <c r="OOK20" s="1260"/>
      <c r="OOL20" s="1260"/>
      <c r="OOM20" s="1260"/>
      <c r="OON20" s="1260"/>
      <c r="OOO20" s="1260"/>
      <c r="OOP20" s="1260"/>
      <c r="OOQ20" s="1260"/>
      <c r="OOR20" s="1260"/>
      <c r="OOS20" s="1260"/>
      <c r="OOT20" s="1260"/>
      <c r="OOU20" s="1260"/>
      <c r="OOV20" s="1260"/>
      <c r="OOW20" s="1260"/>
      <c r="OOX20" s="1260"/>
      <c r="OOY20" s="1260"/>
      <c r="OOZ20" s="1260"/>
      <c r="OPA20" s="1260"/>
      <c r="OPB20" s="1260"/>
      <c r="OPC20" s="1260"/>
      <c r="OPD20" s="1260"/>
      <c r="OPE20" s="1260"/>
      <c r="OPF20" s="1260"/>
      <c r="OPG20" s="1260"/>
      <c r="OPH20" s="1260"/>
      <c r="OPI20" s="1260"/>
      <c r="OPJ20" s="1260"/>
      <c r="OPK20" s="1260"/>
      <c r="OPL20" s="1260"/>
      <c r="OPM20" s="1260"/>
      <c r="OPN20" s="1260"/>
      <c r="OPO20" s="1260"/>
      <c r="OPP20" s="1260"/>
      <c r="OPQ20" s="1260"/>
      <c r="OPR20" s="1260"/>
      <c r="OPS20" s="1260"/>
      <c r="OPT20" s="1260"/>
      <c r="OPU20" s="1260"/>
      <c r="OPV20" s="1260"/>
      <c r="OPW20" s="1260"/>
      <c r="OPX20" s="1260"/>
      <c r="OPY20" s="1260"/>
      <c r="OPZ20" s="1260"/>
      <c r="OQA20" s="1260"/>
      <c r="OQB20" s="1260"/>
      <c r="OQC20" s="1260"/>
      <c r="OQD20" s="1260"/>
      <c r="OQE20" s="1260"/>
      <c r="OQF20" s="1260"/>
      <c r="OQG20" s="1260"/>
      <c r="OQH20" s="1260"/>
      <c r="OQI20" s="1260"/>
      <c r="OQJ20" s="1260"/>
      <c r="OQK20" s="1260"/>
      <c r="OQL20" s="1260"/>
      <c r="OQM20" s="1260"/>
      <c r="OQN20" s="1260"/>
      <c r="OQO20" s="1260"/>
      <c r="OQP20" s="1260"/>
      <c r="OQQ20" s="1260"/>
      <c r="OQR20" s="1260"/>
      <c r="OQS20" s="1260"/>
      <c r="OQT20" s="1260"/>
      <c r="OQU20" s="1260"/>
      <c r="OQV20" s="1260"/>
      <c r="OQW20" s="1260"/>
      <c r="OQX20" s="1260"/>
      <c r="OQY20" s="1260"/>
      <c r="OQZ20" s="1260"/>
      <c r="ORA20" s="1260"/>
      <c r="ORB20" s="1260"/>
      <c r="ORC20" s="1260"/>
      <c r="ORD20" s="1260"/>
      <c r="ORE20" s="1260"/>
      <c r="ORF20" s="1260"/>
      <c r="ORG20" s="1260"/>
      <c r="ORH20" s="1260"/>
      <c r="ORI20" s="1260"/>
      <c r="ORJ20" s="1260"/>
      <c r="ORK20" s="1260"/>
      <c r="ORL20" s="1260"/>
      <c r="ORM20" s="1260"/>
      <c r="ORN20" s="1260"/>
      <c r="ORO20" s="1260"/>
      <c r="ORP20" s="1260"/>
      <c r="ORQ20" s="1260"/>
      <c r="ORR20" s="1260"/>
      <c r="ORS20" s="1260"/>
      <c r="ORT20" s="1260"/>
      <c r="ORU20" s="1260"/>
      <c r="ORV20" s="1260"/>
      <c r="ORW20" s="1260"/>
      <c r="ORX20" s="1260"/>
      <c r="ORY20" s="1260"/>
      <c r="ORZ20" s="1260"/>
      <c r="OSA20" s="1260"/>
      <c r="OSB20" s="1260"/>
      <c r="OSC20" s="1260"/>
      <c r="OSD20" s="1260"/>
      <c r="OSE20" s="1260"/>
      <c r="OSF20" s="1260"/>
      <c r="OSG20" s="1260"/>
      <c r="OSH20" s="1260"/>
      <c r="OSI20" s="1260"/>
      <c r="OSJ20" s="1260"/>
      <c r="OSK20" s="1260"/>
      <c r="OSL20" s="1260"/>
      <c r="OSM20" s="1260"/>
      <c r="OSN20" s="1260"/>
      <c r="OSO20" s="1260"/>
      <c r="OSP20" s="1260"/>
      <c r="OSQ20" s="1260"/>
      <c r="OSR20" s="1260"/>
      <c r="OSS20" s="1260"/>
      <c r="OST20" s="1260"/>
      <c r="OSU20" s="1260"/>
      <c r="OSV20" s="1260"/>
      <c r="OSW20" s="1260"/>
      <c r="OSX20" s="1260"/>
      <c r="OSY20" s="1260"/>
      <c r="OSZ20" s="1260"/>
      <c r="OTA20" s="1260"/>
      <c r="OTB20" s="1260"/>
      <c r="OTC20" s="1260"/>
      <c r="OTD20" s="1260"/>
      <c r="OTE20" s="1260"/>
      <c r="OTF20" s="1260"/>
      <c r="OTG20" s="1260"/>
      <c r="OTH20" s="1260"/>
      <c r="OTI20" s="1260"/>
      <c r="OTJ20" s="1260"/>
      <c r="OTK20" s="1260"/>
      <c r="OTL20" s="1260"/>
      <c r="OTM20" s="1260"/>
      <c r="OTN20" s="1260"/>
      <c r="OTO20" s="1260"/>
      <c r="OTP20" s="1260"/>
      <c r="OTQ20" s="1260"/>
      <c r="OTR20" s="1260"/>
      <c r="OTS20" s="1260"/>
      <c r="OTT20" s="1260"/>
      <c r="OTU20" s="1260"/>
      <c r="OTV20" s="1260"/>
      <c r="OTW20" s="1260"/>
      <c r="OTX20" s="1260"/>
      <c r="OTY20" s="1260"/>
      <c r="OTZ20" s="1260"/>
      <c r="OUA20" s="1260"/>
      <c r="OUB20" s="1260"/>
      <c r="OUC20" s="1260"/>
      <c r="OUD20" s="1260"/>
      <c r="OUE20" s="1260"/>
      <c r="OUF20" s="1260"/>
      <c r="OUG20" s="1260"/>
      <c r="OUH20" s="1260"/>
      <c r="OUI20" s="1260"/>
      <c r="OUJ20" s="1260"/>
      <c r="OUK20" s="1260"/>
      <c r="OUL20" s="1260"/>
      <c r="OUM20" s="1260"/>
      <c r="OUN20" s="1260"/>
      <c r="OUO20" s="1260"/>
      <c r="OUP20" s="1260"/>
      <c r="OUQ20" s="1260"/>
      <c r="OUR20" s="1260"/>
      <c r="OUS20" s="1260"/>
      <c r="OUT20" s="1260"/>
      <c r="OUU20" s="1260"/>
      <c r="OUV20" s="1260"/>
      <c r="OUW20" s="1260"/>
      <c r="OUX20" s="1260"/>
      <c r="OUY20" s="1260"/>
      <c r="OUZ20" s="1260"/>
      <c r="OVA20" s="1260"/>
      <c r="OVB20" s="1260"/>
      <c r="OVC20" s="1260"/>
      <c r="OVD20" s="1260"/>
      <c r="OVE20" s="1260"/>
      <c r="OVF20" s="1260"/>
      <c r="OVG20" s="1260"/>
      <c r="OVH20" s="1260"/>
      <c r="OVI20" s="1260"/>
      <c r="OVJ20" s="1260"/>
      <c r="OVK20" s="1260"/>
      <c r="OVL20" s="1260"/>
      <c r="OVM20" s="1260"/>
      <c r="OVN20" s="1260"/>
      <c r="OVO20" s="1260"/>
      <c r="OVP20" s="1260"/>
      <c r="OVQ20" s="1260"/>
      <c r="OVR20" s="1260"/>
      <c r="OVS20" s="1260"/>
      <c r="OVT20" s="1260"/>
      <c r="OVU20" s="1260"/>
      <c r="OVV20" s="1260"/>
      <c r="OVW20" s="1260"/>
      <c r="OVX20" s="1260"/>
      <c r="OVY20" s="1260"/>
      <c r="OVZ20" s="1260"/>
      <c r="OWA20" s="1260"/>
      <c r="OWB20" s="1260"/>
      <c r="OWC20" s="1260"/>
      <c r="OWD20" s="1260"/>
      <c r="OWE20" s="1260"/>
      <c r="OWF20" s="1260"/>
      <c r="OWG20" s="1260"/>
      <c r="OWH20" s="1260"/>
      <c r="OWI20" s="1260"/>
      <c r="OWJ20" s="1260"/>
      <c r="OWK20" s="1260"/>
      <c r="OWL20" s="1260"/>
      <c r="OWM20" s="1260"/>
      <c r="OWN20" s="1260"/>
      <c r="OWO20" s="1260"/>
      <c r="OWP20" s="1260"/>
      <c r="OWQ20" s="1260"/>
      <c r="OWR20" s="1260"/>
      <c r="OWS20" s="1260"/>
      <c r="OWT20" s="1260"/>
      <c r="OWU20" s="1260"/>
      <c r="OWV20" s="1260"/>
      <c r="OWW20" s="1260"/>
      <c r="OWX20" s="1260"/>
      <c r="OWY20" s="1260"/>
      <c r="OWZ20" s="1260"/>
      <c r="OXA20" s="1260"/>
      <c r="OXB20" s="1260"/>
      <c r="OXC20" s="1260"/>
      <c r="OXD20" s="1260"/>
      <c r="OXE20" s="1260"/>
      <c r="OXF20" s="1260"/>
      <c r="OXG20" s="1260"/>
      <c r="OXH20" s="1260"/>
      <c r="OXI20" s="1260"/>
      <c r="OXJ20" s="1260"/>
      <c r="OXK20" s="1260"/>
      <c r="OXL20" s="1260"/>
      <c r="OXM20" s="1260"/>
      <c r="OXN20" s="1260"/>
      <c r="OXO20" s="1260"/>
      <c r="OXP20" s="1260"/>
      <c r="OXQ20" s="1260"/>
      <c r="OXR20" s="1260"/>
      <c r="OXS20" s="1260"/>
      <c r="OXT20" s="1260"/>
      <c r="OXU20" s="1260"/>
      <c r="OXV20" s="1260"/>
      <c r="OXW20" s="1260"/>
      <c r="OXX20" s="1260"/>
      <c r="OXY20" s="1260"/>
      <c r="OXZ20" s="1260"/>
      <c r="OYA20" s="1260"/>
      <c r="OYB20" s="1260"/>
      <c r="OYC20" s="1260"/>
      <c r="OYD20" s="1260"/>
      <c r="OYE20" s="1260"/>
      <c r="OYF20" s="1260"/>
      <c r="OYG20" s="1260"/>
      <c r="OYH20" s="1260"/>
      <c r="OYI20" s="1260"/>
      <c r="OYJ20" s="1260"/>
      <c r="OYK20" s="1260"/>
      <c r="OYL20" s="1260"/>
      <c r="OYM20" s="1260"/>
      <c r="OYN20" s="1260"/>
      <c r="OYO20" s="1260"/>
      <c r="OYP20" s="1260"/>
      <c r="OYQ20" s="1260"/>
      <c r="OYR20" s="1260"/>
      <c r="OYS20" s="1260"/>
      <c r="OYT20" s="1260"/>
      <c r="OYU20" s="1260"/>
      <c r="OYV20" s="1260"/>
      <c r="OYW20" s="1260"/>
      <c r="OYX20" s="1260"/>
      <c r="OYY20" s="1260"/>
      <c r="OYZ20" s="1260"/>
      <c r="OZA20" s="1260"/>
      <c r="OZB20" s="1260"/>
      <c r="OZC20" s="1260"/>
      <c r="OZD20" s="1260"/>
      <c r="OZE20" s="1260"/>
      <c r="OZF20" s="1260"/>
      <c r="OZG20" s="1260"/>
      <c r="OZH20" s="1260"/>
      <c r="OZI20" s="1260"/>
      <c r="OZJ20" s="1260"/>
      <c r="OZK20" s="1260"/>
      <c r="OZL20" s="1260"/>
      <c r="OZM20" s="1260"/>
      <c r="OZN20" s="1260"/>
      <c r="OZO20" s="1260"/>
      <c r="OZP20" s="1260"/>
      <c r="OZQ20" s="1260"/>
      <c r="OZR20" s="1260"/>
      <c r="OZS20" s="1260"/>
      <c r="OZT20" s="1260"/>
      <c r="OZU20" s="1260"/>
      <c r="OZV20" s="1260"/>
      <c r="OZW20" s="1260"/>
      <c r="OZX20" s="1260"/>
      <c r="OZY20" s="1260"/>
      <c r="OZZ20" s="1260"/>
      <c r="PAA20" s="1260"/>
      <c r="PAB20" s="1260"/>
      <c r="PAC20" s="1260"/>
      <c r="PAD20" s="1260"/>
      <c r="PAE20" s="1260"/>
      <c r="PAF20" s="1260"/>
      <c r="PAG20" s="1260"/>
      <c r="PAH20" s="1260"/>
      <c r="PAI20" s="1260"/>
      <c r="PAJ20" s="1260"/>
      <c r="PAK20" s="1260"/>
      <c r="PAL20" s="1260"/>
      <c r="PAM20" s="1260"/>
      <c r="PAN20" s="1260"/>
      <c r="PAO20" s="1260"/>
      <c r="PAP20" s="1260"/>
      <c r="PAQ20" s="1260"/>
      <c r="PAR20" s="1260"/>
      <c r="PAS20" s="1260"/>
      <c r="PAT20" s="1260"/>
      <c r="PAU20" s="1260"/>
      <c r="PAV20" s="1260"/>
      <c r="PAW20" s="1260"/>
      <c r="PAX20" s="1260"/>
      <c r="PAY20" s="1260"/>
      <c r="PAZ20" s="1260"/>
      <c r="PBA20" s="1260"/>
      <c r="PBB20" s="1260"/>
      <c r="PBC20" s="1260"/>
      <c r="PBD20" s="1260"/>
      <c r="PBE20" s="1260"/>
      <c r="PBF20" s="1260"/>
      <c r="PBG20" s="1260"/>
      <c r="PBH20" s="1260"/>
      <c r="PBI20" s="1260"/>
      <c r="PBJ20" s="1260"/>
      <c r="PBK20" s="1260"/>
      <c r="PBL20" s="1260"/>
      <c r="PBM20" s="1260"/>
      <c r="PBN20" s="1260"/>
      <c r="PBO20" s="1260"/>
      <c r="PBP20" s="1260"/>
      <c r="PBQ20" s="1260"/>
      <c r="PBR20" s="1260"/>
      <c r="PBS20" s="1260"/>
      <c r="PBT20" s="1260"/>
      <c r="PBU20" s="1260"/>
      <c r="PBV20" s="1260"/>
      <c r="PBW20" s="1260"/>
      <c r="PBX20" s="1260"/>
      <c r="PBY20" s="1260"/>
      <c r="PBZ20" s="1260"/>
      <c r="PCA20" s="1260"/>
      <c r="PCB20" s="1260"/>
      <c r="PCC20" s="1260"/>
      <c r="PCD20" s="1260"/>
      <c r="PCE20" s="1260"/>
      <c r="PCF20" s="1260"/>
      <c r="PCG20" s="1260"/>
      <c r="PCH20" s="1260"/>
      <c r="PCI20" s="1260"/>
      <c r="PCJ20" s="1260"/>
      <c r="PCK20" s="1260"/>
      <c r="PCL20" s="1260"/>
      <c r="PCM20" s="1260"/>
      <c r="PCN20" s="1260"/>
      <c r="PCO20" s="1260"/>
      <c r="PCP20" s="1260"/>
      <c r="PCQ20" s="1260"/>
      <c r="PCR20" s="1260"/>
      <c r="PCS20" s="1260"/>
      <c r="PCT20" s="1260"/>
      <c r="PCU20" s="1260"/>
      <c r="PCV20" s="1260"/>
      <c r="PCW20" s="1260"/>
      <c r="PCX20" s="1260"/>
      <c r="PCY20" s="1260"/>
      <c r="PCZ20" s="1260"/>
      <c r="PDA20" s="1260"/>
      <c r="PDB20" s="1260"/>
      <c r="PDC20" s="1260"/>
      <c r="PDD20" s="1260"/>
      <c r="PDE20" s="1260"/>
      <c r="PDF20" s="1260"/>
      <c r="PDG20" s="1260"/>
      <c r="PDH20" s="1260"/>
      <c r="PDI20" s="1260"/>
      <c r="PDJ20" s="1260"/>
      <c r="PDK20" s="1260"/>
      <c r="PDL20" s="1260"/>
      <c r="PDM20" s="1260"/>
      <c r="PDN20" s="1260"/>
      <c r="PDO20" s="1260"/>
      <c r="PDP20" s="1260"/>
      <c r="PDQ20" s="1260"/>
      <c r="PDR20" s="1260"/>
      <c r="PDS20" s="1260"/>
      <c r="PDT20" s="1260"/>
      <c r="PDU20" s="1260"/>
      <c r="PDV20" s="1260"/>
      <c r="PDW20" s="1260"/>
      <c r="PDX20" s="1260"/>
      <c r="PDY20" s="1260"/>
      <c r="PDZ20" s="1260"/>
      <c r="PEA20" s="1260"/>
      <c r="PEB20" s="1260"/>
      <c r="PEC20" s="1260"/>
      <c r="PED20" s="1260"/>
      <c r="PEE20" s="1260"/>
      <c r="PEF20" s="1260"/>
      <c r="PEG20" s="1260"/>
      <c r="PEH20" s="1260"/>
      <c r="PEI20" s="1260"/>
      <c r="PEJ20" s="1260"/>
      <c r="PEK20" s="1260"/>
      <c r="PEL20" s="1260"/>
      <c r="PEM20" s="1260"/>
      <c r="PEN20" s="1260"/>
      <c r="PEO20" s="1260"/>
      <c r="PEP20" s="1260"/>
      <c r="PEQ20" s="1260"/>
      <c r="PER20" s="1260"/>
      <c r="PES20" s="1260"/>
      <c r="PET20" s="1260"/>
      <c r="PEU20" s="1260"/>
      <c r="PEV20" s="1260"/>
      <c r="PEW20" s="1260"/>
      <c r="PEX20" s="1260"/>
      <c r="PEY20" s="1260"/>
      <c r="PEZ20" s="1260"/>
      <c r="PFA20" s="1260"/>
      <c r="PFB20" s="1260"/>
      <c r="PFC20" s="1260"/>
      <c r="PFD20" s="1260"/>
      <c r="PFE20" s="1260"/>
      <c r="PFF20" s="1260"/>
      <c r="PFG20" s="1260"/>
      <c r="PFH20" s="1260"/>
      <c r="PFI20" s="1260"/>
      <c r="PFJ20" s="1260"/>
      <c r="PFK20" s="1260"/>
      <c r="PFL20" s="1260"/>
      <c r="PFM20" s="1260"/>
      <c r="PFN20" s="1260"/>
      <c r="PFO20" s="1260"/>
      <c r="PFP20" s="1260"/>
      <c r="PFQ20" s="1260"/>
      <c r="PFR20" s="1260"/>
      <c r="PFS20" s="1260"/>
      <c r="PFT20" s="1260"/>
      <c r="PFU20" s="1260"/>
      <c r="PFV20" s="1260"/>
      <c r="PFW20" s="1260"/>
      <c r="PFX20" s="1260"/>
      <c r="PFY20" s="1260"/>
      <c r="PFZ20" s="1260"/>
      <c r="PGA20" s="1260"/>
      <c r="PGB20" s="1260"/>
      <c r="PGC20" s="1260"/>
      <c r="PGD20" s="1260"/>
      <c r="PGE20" s="1260"/>
      <c r="PGF20" s="1260"/>
      <c r="PGG20" s="1260"/>
      <c r="PGH20" s="1260"/>
      <c r="PGI20" s="1260"/>
      <c r="PGJ20" s="1260"/>
      <c r="PGK20" s="1260"/>
      <c r="PGL20" s="1260"/>
      <c r="PGM20" s="1260"/>
      <c r="PGN20" s="1260"/>
      <c r="PGO20" s="1260"/>
      <c r="PGP20" s="1260"/>
      <c r="PGQ20" s="1260"/>
      <c r="PGR20" s="1260"/>
      <c r="PGS20" s="1260"/>
      <c r="PGT20" s="1260"/>
      <c r="PGU20" s="1260"/>
      <c r="PGV20" s="1260"/>
      <c r="PGW20" s="1260"/>
      <c r="PGX20" s="1260"/>
      <c r="PGY20" s="1260"/>
      <c r="PGZ20" s="1260"/>
      <c r="PHA20" s="1260"/>
      <c r="PHB20" s="1260"/>
      <c r="PHC20" s="1260"/>
      <c r="PHD20" s="1260"/>
      <c r="PHE20" s="1260"/>
      <c r="PHF20" s="1260"/>
      <c r="PHG20" s="1260"/>
      <c r="PHH20" s="1260"/>
      <c r="PHI20" s="1260"/>
      <c r="PHJ20" s="1260"/>
      <c r="PHK20" s="1260"/>
      <c r="PHL20" s="1260"/>
      <c r="PHM20" s="1260"/>
      <c r="PHN20" s="1260"/>
      <c r="PHO20" s="1260"/>
      <c r="PHP20" s="1260"/>
      <c r="PHQ20" s="1260"/>
      <c r="PHR20" s="1260"/>
      <c r="PHS20" s="1260"/>
      <c r="PHT20" s="1260"/>
      <c r="PHU20" s="1260"/>
      <c r="PHV20" s="1260"/>
      <c r="PHW20" s="1260"/>
      <c r="PHX20" s="1260"/>
      <c r="PHY20" s="1260"/>
      <c r="PHZ20" s="1260"/>
      <c r="PIA20" s="1260"/>
      <c r="PIB20" s="1260"/>
      <c r="PIC20" s="1260"/>
      <c r="PID20" s="1260"/>
      <c r="PIE20" s="1260"/>
      <c r="PIF20" s="1260"/>
      <c r="PIG20" s="1260"/>
      <c r="PIH20" s="1260"/>
      <c r="PII20" s="1260"/>
      <c r="PIJ20" s="1260"/>
      <c r="PIK20" s="1260"/>
      <c r="PIL20" s="1260"/>
      <c r="PIM20" s="1260"/>
      <c r="PIN20" s="1260"/>
      <c r="PIO20" s="1260"/>
      <c r="PIP20" s="1260"/>
      <c r="PIQ20" s="1260"/>
      <c r="PIR20" s="1260"/>
      <c r="PIS20" s="1260"/>
      <c r="PIT20" s="1260"/>
      <c r="PIU20" s="1260"/>
      <c r="PIV20" s="1260"/>
      <c r="PIW20" s="1260"/>
      <c r="PIX20" s="1260"/>
      <c r="PIY20" s="1260"/>
      <c r="PIZ20" s="1260"/>
      <c r="PJA20" s="1260"/>
      <c r="PJB20" s="1260"/>
      <c r="PJC20" s="1260"/>
      <c r="PJD20" s="1260"/>
      <c r="PJE20" s="1260"/>
      <c r="PJF20" s="1260"/>
      <c r="PJG20" s="1260"/>
      <c r="PJH20" s="1260"/>
      <c r="PJI20" s="1260"/>
      <c r="PJJ20" s="1260"/>
      <c r="PJK20" s="1260"/>
      <c r="PJL20" s="1260"/>
      <c r="PJM20" s="1260"/>
      <c r="PJN20" s="1260"/>
      <c r="PJO20" s="1260"/>
      <c r="PJP20" s="1260"/>
      <c r="PJQ20" s="1260"/>
      <c r="PJR20" s="1260"/>
      <c r="PJS20" s="1260"/>
      <c r="PJT20" s="1260"/>
      <c r="PJU20" s="1260"/>
      <c r="PJV20" s="1260"/>
      <c r="PJW20" s="1260"/>
      <c r="PJX20" s="1260"/>
      <c r="PJY20" s="1260"/>
      <c r="PJZ20" s="1260"/>
      <c r="PKA20" s="1260"/>
      <c r="PKB20" s="1260"/>
      <c r="PKC20" s="1260"/>
      <c r="PKD20" s="1260"/>
      <c r="PKE20" s="1260"/>
      <c r="PKF20" s="1260"/>
      <c r="PKG20" s="1260"/>
      <c r="PKH20" s="1260"/>
      <c r="PKI20" s="1260"/>
      <c r="PKJ20" s="1260"/>
      <c r="PKK20" s="1260"/>
      <c r="PKL20" s="1260"/>
      <c r="PKM20" s="1260"/>
      <c r="PKN20" s="1260"/>
      <c r="PKO20" s="1260"/>
      <c r="PKP20" s="1260"/>
      <c r="PKQ20" s="1260"/>
      <c r="PKR20" s="1260"/>
      <c r="PKS20" s="1260"/>
      <c r="PKT20" s="1260"/>
      <c r="PKU20" s="1260"/>
      <c r="PKV20" s="1260"/>
      <c r="PKW20" s="1260"/>
      <c r="PKX20" s="1260"/>
      <c r="PKY20" s="1260"/>
      <c r="PKZ20" s="1260"/>
      <c r="PLA20" s="1260"/>
      <c r="PLB20" s="1260"/>
      <c r="PLC20" s="1260"/>
      <c r="PLD20" s="1260"/>
      <c r="PLE20" s="1260"/>
      <c r="PLF20" s="1260"/>
      <c r="PLG20" s="1260"/>
      <c r="PLH20" s="1260"/>
      <c r="PLI20" s="1260"/>
      <c r="PLJ20" s="1260"/>
      <c r="PLK20" s="1260"/>
      <c r="PLL20" s="1260"/>
      <c r="PLM20" s="1260"/>
      <c r="PLN20" s="1260"/>
      <c r="PLO20" s="1260"/>
      <c r="PLP20" s="1260"/>
      <c r="PLQ20" s="1260"/>
      <c r="PLR20" s="1260"/>
      <c r="PLS20" s="1260"/>
      <c r="PLT20" s="1260"/>
      <c r="PLU20" s="1260"/>
      <c r="PLV20" s="1260"/>
      <c r="PLW20" s="1260"/>
      <c r="PLX20" s="1260"/>
      <c r="PLY20" s="1260"/>
      <c r="PLZ20" s="1260"/>
      <c r="PMA20" s="1260"/>
      <c r="PMB20" s="1260"/>
      <c r="PMC20" s="1260"/>
      <c r="PMD20" s="1260"/>
      <c r="PME20" s="1260"/>
      <c r="PMF20" s="1260"/>
      <c r="PMG20" s="1260"/>
      <c r="PMH20" s="1260"/>
      <c r="PMI20" s="1260"/>
      <c r="PMJ20" s="1260"/>
      <c r="PMK20" s="1260"/>
      <c r="PML20" s="1260"/>
      <c r="PMM20" s="1260"/>
      <c r="PMN20" s="1260"/>
      <c r="PMO20" s="1260"/>
      <c r="PMP20" s="1260"/>
      <c r="PMQ20" s="1260"/>
      <c r="PMR20" s="1260"/>
      <c r="PMS20" s="1260"/>
      <c r="PMT20" s="1260"/>
      <c r="PMU20" s="1260"/>
      <c r="PMV20" s="1260"/>
      <c r="PMW20" s="1260"/>
      <c r="PMX20" s="1260"/>
      <c r="PMY20" s="1260"/>
      <c r="PMZ20" s="1260"/>
      <c r="PNA20" s="1260"/>
      <c r="PNB20" s="1260"/>
      <c r="PNC20" s="1260"/>
      <c r="PND20" s="1260"/>
      <c r="PNE20" s="1260"/>
      <c r="PNF20" s="1260"/>
      <c r="PNG20" s="1260"/>
      <c r="PNH20" s="1260"/>
      <c r="PNI20" s="1260"/>
      <c r="PNJ20" s="1260"/>
      <c r="PNK20" s="1260"/>
      <c r="PNL20" s="1260"/>
      <c r="PNM20" s="1260"/>
      <c r="PNN20" s="1260"/>
      <c r="PNO20" s="1260"/>
      <c r="PNP20" s="1260"/>
      <c r="PNQ20" s="1260"/>
      <c r="PNR20" s="1260"/>
      <c r="PNS20" s="1260"/>
      <c r="PNT20" s="1260"/>
      <c r="PNU20" s="1260"/>
      <c r="PNV20" s="1260"/>
      <c r="PNW20" s="1260"/>
      <c r="PNX20" s="1260"/>
      <c r="PNY20" s="1260"/>
      <c r="PNZ20" s="1260"/>
      <c r="POA20" s="1260"/>
      <c r="POB20" s="1260"/>
      <c r="POC20" s="1260"/>
      <c r="POD20" s="1260"/>
      <c r="POE20" s="1260"/>
      <c r="POF20" s="1260"/>
      <c r="POG20" s="1260"/>
      <c r="POH20" s="1260"/>
      <c r="POI20" s="1260"/>
      <c r="POJ20" s="1260"/>
      <c r="POK20" s="1260"/>
      <c r="POL20" s="1260"/>
      <c r="POM20" s="1260"/>
      <c r="PON20" s="1260"/>
      <c r="POO20" s="1260"/>
      <c r="POP20" s="1260"/>
      <c r="POQ20" s="1260"/>
      <c r="POR20" s="1260"/>
      <c r="POS20" s="1260"/>
      <c r="POT20" s="1260"/>
      <c r="POU20" s="1260"/>
      <c r="POV20" s="1260"/>
      <c r="POW20" s="1260"/>
      <c r="POX20" s="1260"/>
      <c r="POY20" s="1260"/>
      <c r="POZ20" s="1260"/>
      <c r="PPA20" s="1260"/>
      <c r="PPB20" s="1260"/>
      <c r="PPC20" s="1260"/>
      <c r="PPD20" s="1260"/>
      <c r="PPE20" s="1260"/>
      <c r="PPF20" s="1260"/>
      <c r="PPG20" s="1260"/>
      <c r="PPH20" s="1260"/>
      <c r="PPI20" s="1260"/>
      <c r="PPJ20" s="1260"/>
      <c r="PPK20" s="1260"/>
      <c r="PPL20" s="1260"/>
      <c r="PPM20" s="1260"/>
      <c r="PPN20" s="1260"/>
      <c r="PPO20" s="1260"/>
      <c r="PPP20" s="1260"/>
      <c r="PPQ20" s="1260"/>
      <c r="PPR20" s="1260"/>
      <c r="PPS20" s="1260"/>
      <c r="PPT20" s="1260"/>
      <c r="PPU20" s="1260"/>
      <c r="PPV20" s="1260"/>
      <c r="PPW20" s="1260"/>
      <c r="PPX20" s="1260"/>
      <c r="PPY20" s="1260"/>
      <c r="PPZ20" s="1260"/>
      <c r="PQA20" s="1260"/>
      <c r="PQB20" s="1260"/>
      <c r="PQC20" s="1260"/>
      <c r="PQD20" s="1260"/>
      <c r="PQE20" s="1260"/>
      <c r="PQF20" s="1260"/>
      <c r="PQG20" s="1260"/>
      <c r="PQH20" s="1260"/>
      <c r="PQI20" s="1260"/>
      <c r="PQJ20" s="1260"/>
      <c r="PQK20" s="1260"/>
      <c r="PQL20" s="1260"/>
      <c r="PQM20" s="1260"/>
      <c r="PQN20" s="1260"/>
      <c r="PQO20" s="1260"/>
      <c r="PQP20" s="1260"/>
      <c r="PQQ20" s="1260"/>
      <c r="PQR20" s="1260"/>
      <c r="PQS20" s="1260"/>
      <c r="PQT20" s="1260"/>
      <c r="PQU20" s="1260"/>
      <c r="PQV20" s="1260"/>
      <c r="PQW20" s="1260"/>
      <c r="PQX20" s="1260"/>
      <c r="PQY20" s="1260"/>
      <c r="PQZ20" s="1260"/>
      <c r="PRA20" s="1260"/>
      <c r="PRB20" s="1260"/>
      <c r="PRC20" s="1260"/>
      <c r="PRD20" s="1260"/>
      <c r="PRE20" s="1260"/>
      <c r="PRF20" s="1260"/>
      <c r="PRG20" s="1260"/>
      <c r="PRH20" s="1260"/>
      <c r="PRI20" s="1260"/>
      <c r="PRJ20" s="1260"/>
      <c r="PRK20" s="1260"/>
      <c r="PRL20" s="1260"/>
      <c r="PRM20" s="1260"/>
      <c r="PRN20" s="1260"/>
      <c r="PRO20" s="1260"/>
      <c r="PRP20" s="1260"/>
      <c r="PRQ20" s="1260"/>
      <c r="PRR20" s="1260"/>
      <c r="PRS20" s="1260"/>
      <c r="PRT20" s="1260"/>
      <c r="PRU20" s="1260"/>
      <c r="PRV20" s="1260"/>
      <c r="PRW20" s="1260"/>
      <c r="PRX20" s="1260"/>
      <c r="PRY20" s="1260"/>
      <c r="PRZ20" s="1260"/>
      <c r="PSA20" s="1260"/>
      <c r="PSB20" s="1260"/>
      <c r="PSC20" s="1260"/>
      <c r="PSD20" s="1260"/>
      <c r="PSE20" s="1260"/>
      <c r="PSF20" s="1260"/>
      <c r="PSG20" s="1260"/>
      <c r="PSH20" s="1260"/>
      <c r="PSI20" s="1260"/>
      <c r="PSJ20" s="1260"/>
      <c r="PSK20" s="1260"/>
      <c r="PSL20" s="1260"/>
      <c r="PSM20" s="1260"/>
      <c r="PSN20" s="1260"/>
      <c r="PSO20" s="1260"/>
      <c r="PSP20" s="1260"/>
      <c r="PSQ20" s="1260"/>
      <c r="PSR20" s="1260"/>
      <c r="PSS20" s="1260"/>
      <c r="PST20" s="1260"/>
      <c r="PSU20" s="1260"/>
      <c r="PSV20" s="1260"/>
      <c r="PSW20" s="1260"/>
      <c r="PSX20" s="1260"/>
      <c r="PSY20" s="1260"/>
      <c r="PSZ20" s="1260"/>
      <c r="PTA20" s="1260"/>
      <c r="PTB20" s="1260"/>
      <c r="PTC20" s="1260"/>
      <c r="PTD20" s="1260"/>
      <c r="PTE20" s="1260"/>
      <c r="PTF20" s="1260"/>
      <c r="PTG20" s="1260"/>
      <c r="PTH20" s="1260"/>
      <c r="PTI20" s="1260"/>
      <c r="PTJ20" s="1260"/>
      <c r="PTK20" s="1260"/>
      <c r="PTL20" s="1260"/>
      <c r="PTM20" s="1260"/>
      <c r="PTN20" s="1260"/>
      <c r="PTO20" s="1260"/>
      <c r="PTP20" s="1260"/>
      <c r="PTQ20" s="1260"/>
      <c r="PTR20" s="1260"/>
      <c r="PTS20" s="1260"/>
      <c r="PTT20" s="1260"/>
      <c r="PTU20" s="1260"/>
      <c r="PTV20" s="1260"/>
      <c r="PTW20" s="1260"/>
      <c r="PTX20" s="1260"/>
      <c r="PTY20" s="1260"/>
      <c r="PTZ20" s="1260"/>
      <c r="PUA20" s="1260"/>
      <c r="PUB20" s="1260"/>
      <c r="PUC20" s="1260"/>
      <c r="PUD20" s="1260"/>
      <c r="PUE20" s="1260"/>
      <c r="PUF20" s="1260"/>
      <c r="PUG20" s="1260"/>
      <c r="PUH20" s="1260"/>
      <c r="PUI20" s="1260"/>
      <c r="PUJ20" s="1260"/>
      <c r="PUK20" s="1260"/>
      <c r="PUL20" s="1260"/>
      <c r="PUM20" s="1260"/>
      <c r="PUN20" s="1260"/>
      <c r="PUO20" s="1260"/>
      <c r="PUP20" s="1260"/>
      <c r="PUQ20" s="1260"/>
      <c r="PUR20" s="1260"/>
      <c r="PUS20" s="1260"/>
      <c r="PUT20" s="1260"/>
      <c r="PUU20" s="1260"/>
      <c r="PUV20" s="1260"/>
      <c r="PUW20" s="1260"/>
      <c r="PUX20" s="1260"/>
      <c r="PUY20" s="1260"/>
      <c r="PUZ20" s="1260"/>
      <c r="PVA20" s="1260"/>
      <c r="PVB20" s="1260"/>
      <c r="PVC20" s="1260"/>
      <c r="PVD20" s="1260"/>
      <c r="PVE20" s="1260"/>
      <c r="PVF20" s="1260"/>
      <c r="PVG20" s="1260"/>
      <c r="PVH20" s="1260"/>
      <c r="PVI20" s="1260"/>
      <c r="PVJ20" s="1260"/>
      <c r="PVK20" s="1260"/>
      <c r="PVL20" s="1260"/>
      <c r="PVM20" s="1260"/>
      <c r="PVN20" s="1260"/>
      <c r="PVO20" s="1260"/>
      <c r="PVP20" s="1260"/>
      <c r="PVQ20" s="1260"/>
      <c r="PVR20" s="1260"/>
      <c r="PVS20" s="1260"/>
      <c r="PVT20" s="1260"/>
      <c r="PVU20" s="1260"/>
      <c r="PVV20" s="1260"/>
      <c r="PVW20" s="1260"/>
      <c r="PVX20" s="1260"/>
      <c r="PVY20" s="1260"/>
      <c r="PVZ20" s="1260"/>
      <c r="PWA20" s="1260"/>
      <c r="PWB20" s="1260"/>
      <c r="PWC20" s="1260"/>
      <c r="PWD20" s="1260"/>
      <c r="PWE20" s="1260"/>
      <c r="PWF20" s="1260"/>
      <c r="PWG20" s="1260"/>
      <c r="PWH20" s="1260"/>
      <c r="PWI20" s="1260"/>
      <c r="PWJ20" s="1260"/>
      <c r="PWK20" s="1260"/>
      <c r="PWL20" s="1260"/>
      <c r="PWM20" s="1260"/>
      <c r="PWN20" s="1260"/>
      <c r="PWO20" s="1260"/>
      <c r="PWP20" s="1260"/>
      <c r="PWQ20" s="1260"/>
      <c r="PWR20" s="1260"/>
      <c r="PWS20" s="1260"/>
      <c r="PWT20" s="1260"/>
      <c r="PWU20" s="1260"/>
      <c r="PWV20" s="1260"/>
      <c r="PWW20" s="1260"/>
      <c r="PWX20" s="1260"/>
      <c r="PWY20" s="1260"/>
      <c r="PWZ20" s="1260"/>
      <c r="PXA20" s="1260"/>
      <c r="PXB20" s="1260"/>
      <c r="PXC20" s="1260"/>
      <c r="PXD20" s="1260"/>
      <c r="PXE20" s="1260"/>
      <c r="PXF20" s="1260"/>
      <c r="PXG20" s="1260"/>
      <c r="PXH20" s="1260"/>
      <c r="PXI20" s="1260"/>
      <c r="PXJ20" s="1260"/>
      <c r="PXK20" s="1260"/>
      <c r="PXL20" s="1260"/>
      <c r="PXM20" s="1260"/>
      <c r="PXN20" s="1260"/>
      <c r="PXO20" s="1260"/>
      <c r="PXP20" s="1260"/>
      <c r="PXQ20" s="1260"/>
      <c r="PXR20" s="1260"/>
      <c r="PXS20" s="1260"/>
      <c r="PXT20" s="1260"/>
      <c r="PXU20" s="1260"/>
      <c r="PXV20" s="1260"/>
      <c r="PXW20" s="1260"/>
      <c r="PXX20" s="1260"/>
      <c r="PXY20" s="1260"/>
      <c r="PXZ20" s="1260"/>
      <c r="PYA20" s="1260"/>
      <c r="PYB20" s="1260"/>
      <c r="PYC20" s="1260"/>
      <c r="PYD20" s="1260"/>
      <c r="PYE20" s="1260"/>
      <c r="PYF20" s="1260"/>
      <c r="PYG20" s="1260"/>
      <c r="PYH20" s="1260"/>
      <c r="PYI20" s="1260"/>
      <c r="PYJ20" s="1260"/>
      <c r="PYK20" s="1260"/>
      <c r="PYL20" s="1260"/>
      <c r="PYM20" s="1260"/>
      <c r="PYN20" s="1260"/>
      <c r="PYO20" s="1260"/>
      <c r="PYP20" s="1260"/>
      <c r="PYQ20" s="1260"/>
      <c r="PYR20" s="1260"/>
      <c r="PYS20" s="1260"/>
      <c r="PYT20" s="1260"/>
      <c r="PYU20" s="1260"/>
      <c r="PYV20" s="1260"/>
      <c r="PYW20" s="1260"/>
      <c r="PYX20" s="1260"/>
      <c r="PYY20" s="1260"/>
      <c r="PYZ20" s="1260"/>
      <c r="PZA20" s="1260"/>
      <c r="PZB20" s="1260"/>
      <c r="PZC20" s="1260"/>
      <c r="PZD20" s="1260"/>
      <c r="PZE20" s="1260"/>
      <c r="PZF20" s="1260"/>
      <c r="PZG20" s="1260"/>
      <c r="PZH20" s="1260"/>
      <c r="PZI20" s="1260"/>
      <c r="PZJ20" s="1260"/>
      <c r="PZK20" s="1260"/>
      <c r="PZL20" s="1260"/>
      <c r="PZM20" s="1260"/>
      <c r="PZN20" s="1260"/>
      <c r="PZO20" s="1260"/>
      <c r="PZP20" s="1260"/>
      <c r="PZQ20" s="1260"/>
      <c r="PZR20" s="1260"/>
      <c r="PZS20" s="1260"/>
      <c r="PZT20" s="1260"/>
      <c r="PZU20" s="1260"/>
      <c r="PZV20" s="1260"/>
      <c r="PZW20" s="1260"/>
      <c r="PZX20" s="1260"/>
      <c r="PZY20" s="1260"/>
      <c r="PZZ20" s="1260"/>
      <c r="QAA20" s="1260"/>
      <c r="QAB20" s="1260"/>
      <c r="QAC20" s="1260"/>
      <c r="QAD20" s="1260"/>
      <c r="QAE20" s="1260"/>
      <c r="QAF20" s="1260"/>
      <c r="QAG20" s="1260"/>
      <c r="QAH20" s="1260"/>
      <c r="QAI20" s="1260"/>
      <c r="QAJ20" s="1260"/>
      <c r="QAK20" s="1260"/>
      <c r="QAL20" s="1260"/>
      <c r="QAM20" s="1260"/>
      <c r="QAN20" s="1260"/>
      <c r="QAO20" s="1260"/>
      <c r="QAP20" s="1260"/>
      <c r="QAQ20" s="1260"/>
      <c r="QAR20" s="1260"/>
      <c r="QAS20" s="1260"/>
      <c r="QAT20" s="1260"/>
      <c r="QAU20" s="1260"/>
      <c r="QAV20" s="1260"/>
      <c r="QAW20" s="1260"/>
      <c r="QAX20" s="1260"/>
      <c r="QAY20" s="1260"/>
      <c r="QAZ20" s="1260"/>
      <c r="QBA20" s="1260"/>
      <c r="QBB20" s="1260"/>
      <c r="QBC20" s="1260"/>
      <c r="QBD20" s="1260"/>
      <c r="QBE20" s="1260"/>
      <c r="QBF20" s="1260"/>
      <c r="QBG20" s="1260"/>
      <c r="QBH20" s="1260"/>
      <c r="QBI20" s="1260"/>
      <c r="QBJ20" s="1260"/>
      <c r="QBK20" s="1260"/>
      <c r="QBL20" s="1260"/>
      <c r="QBM20" s="1260"/>
      <c r="QBN20" s="1260"/>
      <c r="QBO20" s="1260"/>
      <c r="QBP20" s="1260"/>
      <c r="QBQ20" s="1260"/>
      <c r="QBR20" s="1260"/>
      <c r="QBS20" s="1260"/>
      <c r="QBT20" s="1260"/>
      <c r="QBU20" s="1260"/>
      <c r="QBV20" s="1260"/>
      <c r="QBW20" s="1260"/>
      <c r="QBX20" s="1260"/>
      <c r="QBY20" s="1260"/>
      <c r="QBZ20" s="1260"/>
      <c r="QCA20" s="1260"/>
      <c r="QCB20" s="1260"/>
      <c r="QCC20" s="1260"/>
      <c r="QCD20" s="1260"/>
      <c r="QCE20" s="1260"/>
      <c r="QCF20" s="1260"/>
      <c r="QCG20" s="1260"/>
      <c r="QCH20" s="1260"/>
      <c r="QCI20" s="1260"/>
      <c r="QCJ20" s="1260"/>
      <c r="QCK20" s="1260"/>
      <c r="QCL20" s="1260"/>
      <c r="QCM20" s="1260"/>
      <c r="QCN20" s="1260"/>
      <c r="QCO20" s="1260"/>
      <c r="QCP20" s="1260"/>
      <c r="QCQ20" s="1260"/>
      <c r="QCR20" s="1260"/>
      <c r="QCS20" s="1260"/>
      <c r="QCT20" s="1260"/>
      <c r="QCU20" s="1260"/>
      <c r="QCV20" s="1260"/>
      <c r="QCW20" s="1260"/>
      <c r="QCX20" s="1260"/>
      <c r="QCY20" s="1260"/>
      <c r="QCZ20" s="1260"/>
      <c r="QDA20" s="1260"/>
      <c r="QDB20" s="1260"/>
      <c r="QDC20" s="1260"/>
      <c r="QDD20" s="1260"/>
      <c r="QDE20" s="1260"/>
      <c r="QDF20" s="1260"/>
      <c r="QDG20" s="1260"/>
      <c r="QDH20" s="1260"/>
      <c r="QDI20" s="1260"/>
      <c r="QDJ20" s="1260"/>
      <c r="QDK20" s="1260"/>
      <c r="QDL20" s="1260"/>
      <c r="QDM20" s="1260"/>
      <c r="QDN20" s="1260"/>
      <c r="QDO20" s="1260"/>
      <c r="QDP20" s="1260"/>
      <c r="QDQ20" s="1260"/>
      <c r="QDR20" s="1260"/>
      <c r="QDS20" s="1260"/>
      <c r="QDT20" s="1260"/>
      <c r="QDU20" s="1260"/>
      <c r="QDV20" s="1260"/>
      <c r="QDW20" s="1260"/>
      <c r="QDX20" s="1260"/>
      <c r="QDY20" s="1260"/>
      <c r="QDZ20" s="1260"/>
      <c r="QEA20" s="1260"/>
      <c r="QEB20" s="1260"/>
      <c r="QEC20" s="1260"/>
      <c r="QED20" s="1260"/>
      <c r="QEE20" s="1260"/>
      <c r="QEF20" s="1260"/>
      <c r="QEG20" s="1260"/>
      <c r="QEH20" s="1260"/>
      <c r="QEI20" s="1260"/>
      <c r="QEJ20" s="1260"/>
      <c r="QEK20" s="1260"/>
      <c r="QEL20" s="1260"/>
      <c r="QEM20" s="1260"/>
      <c r="QEN20" s="1260"/>
      <c r="QEO20" s="1260"/>
      <c r="QEP20" s="1260"/>
      <c r="QEQ20" s="1260"/>
      <c r="QER20" s="1260"/>
      <c r="QES20" s="1260"/>
      <c r="QET20" s="1260"/>
      <c r="QEU20" s="1260"/>
      <c r="QEV20" s="1260"/>
      <c r="QEW20" s="1260"/>
      <c r="QEX20" s="1260"/>
      <c r="QEY20" s="1260"/>
      <c r="QEZ20" s="1260"/>
      <c r="QFA20" s="1260"/>
      <c r="QFB20" s="1260"/>
      <c r="QFC20" s="1260"/>
      <c r="QFD20" s="1260"/>
      <c r="QFE20" s="1260"/>
      <c r="QFF20" s="1260"/>
      <c r="QFG20" s="1260"/>
      <c r="QFH20" s="1260"/>
      <c r="QFI20" s="1260"/>
      <c r="QFJ20" s="1260"/>
      <c r="QFK20" s="1260"/>
      <c r="QFL20" s="1260"/>
      <c r="QFM20" s="1260"/>
      <c r="QFN20" s="1260"/>
      <c r="QFO20" s="1260"/>
      <c r="QFP20" s="1260"/>
      <c r="QFQ20" s="1260"/>
      <c r="QFR20" s="1260"/>
      <c r="QFS20" s="1260"/>
      <c r="QFT20" s="1260"/>
      <c r="QFU20" s="1260"/>
      <c r="QFV20" s="1260"/>
      <c r="QFW20" s="1260"/>
      <c r="QFX20" s="1260"/>
      <c r="QFY20" s="1260"/>
      <c r="QFZ20" s="1260"/>
      <c r="QGA20" s="1260"/>
      <c r="QGB20" s="1260"/>
      <c r="QGC20" s="1260"/>
      <c r="QGD20" s="1260"/>
      <c r="QGE20" s="1260"/>
      <c r="QGF20" s="1260"/>
      <c r="QGG20" s="1260"/>
      <c r="QGH20" s="1260"/>
      <c r="QGI20" s="1260"/>
      <c r="QGJ20" s="1260"/>
      <c r="QGK20" s="1260"/>
      <c r="QGL20" s="1260"/>
      <c r="QGM20" s="1260"/>
      <c r="QGN20" s="1260"/>
      <c r="QGO20" s="1260"/>
      <c r="QGP20" s="1260"/>
      <c r="QGQ20" s="1260"/>
      <c r="QGR20" s="1260"/>
      <c r="QGS20" s="1260"/>
      <c r="QGT20" s="1260"/>
      <c r="QGU20" s="1260"/>
      <c r="QGV20" s="1260"/>
      <c r="QGW20" s="1260"/>
      <c r="QGX20" s="1260"/>
      <c r="QGY20" s="1260"/>
      <c r="QGZ20" s="1260"/>
      <c r="QHA20" s="1260"/>
      <c r="QHB20" s="1260"/>
      <c r="QHC20" s="1260"/>
      <c r="QHD20" s="1260"/>
      <c r="QHE20" s="1260"/>
      <c r="QHF20" s="1260"/>
      <c r="QHG20" s="1260"/>
      <c r="QHH20" s="1260"/>
      <c r="QHI20" s="1260"/>
      <c r="QHJ20" s="1260"/>
      <c r="QHK20" s="1260"/>
      <c r="QHL20" s="1260"/>
      <c r="QHM20" s="1260"/>
      <c r="QHN20" s="1260"/>
      <c r="QHO20" s="1260"/>
      <c r="QHP20" s="1260"/>
      <c r="QHQ20" s="1260"/>
      <c r="QHR20" s="1260"/>
      <c r="QHS20" s="1260"/>
      <c r="QHT20" s="1260"/>
      <c r="QHU20" s="1260"/>
      <c r="QHV20" s="1260"/>
      <c r="QHW20" s="1260"/>
      <c r="QHX20" s="1260"/>
      <c r="QHY20" s="1260"/>
      <c r="QHZ20" s="1260"/>
      <c r="QIA20" s="1260"/>
      <c r="QIB20" s="1260"/>
      <c r="QIC20" s="1260"/>
      <c r="QID20" s="1260"/>
      <c r="QIE20" s="1260"/>
      <c r="QIF20" s="1260"/>
      <c r="QIG20" s="1260"/>
      <c r="QIH20" s="1260"/>
      <c r="QII20" s="1260"/>
      <c r="QIJ20" s="1260"/>
      <c r="QIK20" s="1260"/>
      <c r="QIL20" s="1260"/>
      <c r="QIM20" s="1260"/>
      <c r="QIN20" s="1260"/>
      <c r="QIO20" s="1260"/>
      <c r="QIP20" s="1260"/>
      <c r="QIQ20" s="1260"/>
      <c r="QIR20" s="1260"/>
      <c r="QIS20" s="1260"/>
      <c r="QIT20" s="1260"/>
      <c r="QIU20" s="1260"/>
      <c r="QIV20" s="1260"/>
      <c r="QIW20" s="1260"/>
      <c r="QIX20" s="1260"/>
      <c r="QIY20" s="1260"/>
      <c r="QIZ20" s="1260"/>
      <c r="QJA20" s="1260"/>
      <c r="QJB20" s="1260"/>
      <c r="QJC20" s="1260"/>
      <c r="QJD20" s="1260"/>
      <c r="QJE20" s="1260"/>
      <c r="QJF20" s="1260"/>
      <c r="QJG20" s="1260"/>
      <c r="QJH20" s="1260"/>
      <c r="QJI20" s="1260"/>
      <c r="QJJ20" s="1260"/>
      <c r="QJK20" s="1260"/>
      <c r="QJL20" s="1260"/>
      <c r="QJM20" s="1260"/>
      <c r="QJN20" s="1260"/>
      <c r="QJO20" s="1260"/>
      <c r="QJP20" s="1260"/>
      <c r="QJQ20" s="1260"/>
      <c r="QJR20" s="1260"/>
      <c r="QJS20" s="1260"/>
      <c r="QJT20" s="1260"/>
      <c r="QJU20" s="1260"/>
      <c r="QJV20" s="1260"/>
      <c r="QJW20" s="1260"/>
      <c r="QJX20" s="1260"/>
      <c r="QJY20" s="1260"/>
      <c r="QJZ20" s="1260"/>
      <c r="QKA20" s="1260"/>
      <c r="QKB20" s="1260"/>
      <c r="QKC20" s="1260"/>
      <c r="QKD20" s="1260"/>
      <c r="QKE20" s="1260"/>
      <c r="QKF20" s="1260"/>
      <c r="QKG20" s="1260"/>
      <c r="QKH20" s="1260"/>
      <c r="QKI20" s="1260"/>
      <c r="QKJ20" s="1260"/>
      <c r="QKK20" s="1260"/>
      <c r="QKL20" s="1260"/>
      <c r="QKM20" s="1260"/>
      <c r="QKN20" s="1260"/>
      <c r="QKO20" s="1260"/>
      <c r="QKP20" s="1260"/>
      <c r="QKQ20" s="1260"/>
      <c r="QKR20" s="1260"/>
      <c r="QKS20" s="1260"/>
      <c r="QKT20" s="1260"/>
      <c r="QKU20" s="1260"/>
      <c r="QKV20" s="1260"/>
      <c r="QKW20" s="1260"/>
      <c r="QKX20" s="1260"/>
      <c r="QKY20" s="1260"/>
      <c r="QKZ20" s="1260"/>
      <c r="QLA20" s="1260"/>
      <c r="QLB20" s="1260"/>
      <c r="QLC20" s="1260"/>
      <c r="QLD20" s="1260"/>
      <c r="QLE20" s="1260"/>
      <c r="QLF20" s="1260"/>
      <c r="QLG20" s="1260"/>
      <c r="QLH20" s="1260"/>
      <c r="QLI20" s="1260"/>
      <c r="QLJ20" s="1260"/>
      <c r="QLK20" s="1260"/>
      <c r="QLL20" s="1260"/>
      <c r="QLM20" s="1260"/>
      <c r="QLN20" s="1260"/>
      <c r="QLO20" s="1260"/>
      <c r="QLP20" s="1260"/>
      <c r="QLQ20" s="1260"/>
      <c r="QLR20" s="1260"/>
      <c r="QLS20" s="1260"/>
      <c r="QLT20" s="1260"/>
      <c r="QLU20" s="1260"/>
      <c r="QLV20" s="1260"/>
      <c r="QLW20" s="1260"/>
      <c r="QLX20" s="1260"/>
      <c r="QLY20" s="1260"/>
      <c r="QLZ20" s="1260"/>
      <c r="QMA20" s="1260"/>
      <c r="QMB20" s="1260"/>
      <c r="QMC20" s="1260"/>
      <c r="QMD20" s="1260"/>
      <c r="QME20" s="1260"/>
      <c r="QMF20" s="1260"/>
      <c r="QMG20" s="1260"/>
      <c r="QMH20" s="1260"/>
      <c r="QMI20" s="1260"/>
      <c r="QMJ20" s="1260"/>
      <c r="QMK20" s="1260"/>
      <c r="QML20" s="1260"/>
      <c r="QMM20" s="1260"/>
      <c r="QMN20" s="1260"/>
      <c r="QMO20" s="1260"/>
      <c r="QMP20" s="1260"/>
      <c r="QMQ20" s="1260"/>
      <c r="QMR20" s="1260"/>
      <c r="QMS20" s="1260"/>
      <c r="QMT20" s="1260"/>
      <c r="QMU20" s="1260"/>
      <c r="QMV20" s="1260"/>
      <c r="QMW20" s="1260"/>
      <c r="QMX20" s="1260"/>
      <c r="QMY20" s="1260"/>
      <c r="QMZ20" s="1260"/>
      <c r="QNA20" s="1260"/>
      <c r="QNB20" s="1260"/>
      <c r="QNC20" s="1260"/>
      <c r="QND20" s="1260"/>
      <c r="QNE20" s="1260"/>
      <c r="QNF20" s="1260"/>
      <c r="QNG20" s="1260"/>
      <c r="QNH20" s="1260"/>
      <c r="QNI20" s="1260"/>
      <c r="QNJ20" s="1260"/>
      <c r="QNK20" s="1260"/>
      <c r="QNL20" s="1260"/>
      <c r="QNM20" s="1260"/>
      <c r="QNN20" s="1260"/>
      <c r="QNO20" s="1260"/>
      <c r="QNP20" s="1260"/>
      <c r="QNQ20" s="1260"/>
      <c r="QNR20" s="1260"/>
      <c r="QNS20" s="1260"/>
      <c r="QNT20" s="1260"/>
      <c r="QNU20" s="1260"/>
      <c r="QNV20" s="1260"/>
      <c r="QNW20" s="1260"/>
      <c r="QNX20" s="1260"/>
      <c r="QNY20" s="1260"/>
      <c r="QNZ20" s="1260"/>
      <c r="QOA20" s="1260"/>
      <c r="QOB20" s="1260"/>
      <c r="QOC20" s="1260"/>
      <c r="QOD20" s="1260"/>
      <c r="QOE20" s="1260"/>
      <c r="QOF20" s="1260"/>
      <c r="QOG20" s="1260"/>
      <c r="QOH20" s="1260"/>
      <c r="QOI20" s="1260"/>
      <c r="QOJ20" s="1260"/>
      <c r="QOK20" s="1260"/>
      <c r="QOL20" s="1260"/>
      <c r="QOM20" s="1260"/>
      <c r="QON20" s="1260"/>
      <c r="QOO20" s="1260"/>
      <c r="QOP20" s="1260"/>
      <c r="QOQ20" s="1260"/>
      <c r="QOR20" s="1260"/>
      <c r="QOS20" s="1260"/>
      <c r="QOT20" s="1260"/>
      <c r="QOU20" s="1260"/>
      <c r="QOV20" s="1260"/>
      <c r="QOW20" s="1260"/>
      <c r="QOX20" s="1260"/>
      <c r="QOY20" s="1260"/>
      <c r="QOZ20" s="1260"/>
      <c r="QPA20" s="1260"/>
      <c r="QPB20" s="1260"/>
      <c r="QPC20" s="1260"/>
      <c r="QPD20" s="1260"/>
      <c r="QPE20" s="1260"/>
      <c r="QPF20" s="1260"/>
      <c r="QPG20" s="1260"/>
      <c r="QPH20" s="1260"/>
      <c r="QPI20" s="1260"/>
      <c r="QPJ20" s="1260"/>
      <c r="QPK20" s="1260"/>
      <c r="QPL20" s="1260"/>
      <c r="QPM20" s="1260"/>
      <c r="QPN20" s="1260"/>
      <c r="QPO20" s="1260"/>
      <c r="QPP20" s="1260"/>
      <c r="QPQ20" s="1260"/>
      <c r="QPR20" s="1260"/>
      <c r="QPS20" s="1260"/>
      <c r="QPT20" s="1260"/>
      <c r="QPU20" s="1260"/>
      <c r="QPV20" s="1260"/>
      <c r="QPW20" s="1260"/>
      <c r="QPX20" s="1260"/>
      <c r="QPY20" s="1260"/>
      <c r="QPZ20" s="1260"/>
      <c r="QQA20" s="1260"/>
      <c r="QQB20" s="1260"/>
      <c r="QQC20" s="1260"/>
      <c r="QQD20" s="1260"/>
      <c r="QQE20" s="1260"/>
      <c r="QQF20" s="1260"/>
      <c r="QQG20" s="1260"/>
      <c r="QQH20" s="1260"/>
      <c r="QQI20" s="1260"/>
      <c r="QQJ20" s="1260"/>
      <c r="QQK20" s="1260"/>
      <c r="QQL20" s="1260"/>
      <c r="QQM20" s="1260"/>
      <c r="QQN20" s="1260"/>
      <c r="QQO20" s="1260"/>
      <c r="QQP20" s="1260"/>
      <c r="QQQ20" s="1260"/>
      <c r="QQR20" s="1260"/>
      <c r="QQS20" s="1260"/>
      <c r="QQT20" s="1260"/>
      <c r="QQU20" s="1260"/>
      <c r="QQV20" s="1260"/>
      <c r="QQW20" s="1260"/>
      <c r="QQX20" s="1260"/>
      <c r="QQY20" s="1260"/>
      <c r="QQZ20" s="1260"/>
      <c r="QRA20" s="1260"/>
      <c r="QRB20" s="1260"/>
      <c r="QRC20" s="1260"/>
      <c r="QRD20" s="1260"/>
      <c r="QRE20" s="1260"/>
      <c r="QRF20" s="1260"/>
      <c r="QRG20" s="1260"/>
      <c r="QRH20" s="1260"/>
      <c r="QRI20" s="1260"/>
      <c r="QRJ20" s="1260"/>
      <c r="QRK20" s="1260"/>
      <c r="QRL20" s="1260"/>
      <c r="QRM20" s="1260"/>
      <c r="QRN20" s="1260"/>
      <c r="QRO20" s="1260"/>
      <c r="QRP20" s="1260"/>
      <c r="QRQ20" s="1260"/>
      <c r="QRR20" s="1260"/>
      <c r="QRS20" s="1260"/>
      <c r="QRT20" s="1260"/>
      <c r="QRU20" s="1260"/>
      <c r="QRV20" s="1260"/>
      <c r="QRW20" s="1260"/>
      <c r="QRX20" s="1260"/>
      <c r="QRY20" s="1260"/>
      <c r="QRZ20" s="1260"/>
      <c r="QSA20" s="1260"/>
      <c r="QSB20" s="1260"/>
      <c r="QSC20" s="1260"/>
      <c r="QSD20" s="1260"/>
      <c r="QSE20" s="1260"/>
      <c r="QSF20" s="1260"/>
      <c r="QSG20" s="1260"/>
      <c r="QSH20" s="1260"/>
      <c r="QSI20" s="1260"/>
      <c r="QSJ20" s="1260"/>
      <c r="QSK20" s="1260"/>
      <c r="QSL20" s="1260"/>
      <c r="QSM20" s="1260"/>
      <c r="QSN20" s="1260"/>
      <c r="QSO20" s="1260"/>
      <c r="QSP20" s="1260"/>
      <c r="QSQ20" s="1260"/>
      <c r="QSR20" s="1260"/>
      <c r="QSS20" s="1260"/>
      <c r="QST20" s="1260"/>
      <c r="QSU20" s="1260"/>
      <c r="QSV20" s="1260"/>
      <c r="QSW20" s="1260"/>
      <c r="QSX20" s="1260"/>
      <c r="QSY20" s="1260"/>
      <c r="QSZ20" s="1260"/>
      <c r="QTA20" s="1260"/>
      <c r="QTB20" s="1260"/>
      <c r="QTC20" s="1260"/>
      <c r="QTD20" s="1260"/>
      <c r="QTE20" s="1260"/>
      <c r="QTF20" s="1260"/>
      <c r="QTG20" s="1260"/>
      <c r="QTH20" s="1260"/>
      <c r="QTI20" s="1260"/>
      <c r="QTJ20" s="1260"/>
      <c r="QTK20" s="1260"/>
      <c r="QTL20" s="1260"/>
      <c r="QTM20" s="1260"/>
      <c r="QTN20" s="1260"/>
      <c r="QTO20" s="1260"/>
      <c r="QTP20" s="1260"/>
      <c r="QTQ20" s="1260"/>
      <c r="QTR20" s="1260"/>
      <c r="QTS20" s="1260"/>
      <c r="QTT20" s="1260"/>
      <c r="QTU20" s="1260"/>
      <c r="QTV20" s="1260"/>
      <c r="QTW20" s="1260"/>
      <c r="QTX20" s="1260"/>
      <c r="QTY20" s="1260"/>
      <c r="QTZ20" s="1260"/>
      <c r="QUA20" s="1260"/>
      <c r="QUB20" s="1260"/>
      <c r="QUC20" s="1260"/>
      <c r="QUD20" s="1260"/>
      <c r="QUE20" s="1260"/>
      <c r="QUF20" s="1260"/>
      <c r="QUG20" s="1260"/>
      <c r="QUH20" s="1260"/>
      <c r="QUI20" s="1260"/>
      <c r="QUJ20" s="1260"/>
      <c r="QUK20" s="1260"/>
      <c r="QUL20" s="1260"/>
      <c r="QUM20" s="1260"/>
      <c r="QUN20" s="1260"/>
      <c r="QUO20" s="1260"/>
      <c r="QUP20" s="1260"/>
      <c r="QUQ20" s="1260"/>
      <c r="QUR20" s="1260"/>
      <c r="QUS20" s="1260"/>
      <c r="QUT20" s="1260"/>
      <c r="QUU20" s="1260"/>
      <c r="QUV20" s="1260"/>
      <c r="QUW20" s="1260"/>
      <c r="QUX20" s="1260"/>
      <c r="QUY20" s="1260"/>
      <c r="QUZ20" s="1260"/>
      <c r="QVA20" s="1260"/>
      <c r="QVB20" s="1260"/>
      <c r="QVC20" s="1260"/>
      <c r="QVD20" s="1260"/>
      <c r="QVE20" s="1260"/>
      <c r="QVF20" s="1260"/>
      <c r="QVG20" s="1260"/>
      <c r="QVH20" s="1260"/>
      <c r="QVI20" s="1260"/>
      <c r="QVJ20" s="1260"/>
      <c r="QVK20" s="1260"/>
      <c r="QVL20" s="1260"/>
      <c r="QVM20" s="1260"/>
      <c r="QVN20" s="1260"/>
      <c r="QVO20" s="1260"/>
      <c r="QVP20" s="1260"/>
      <c r="QVQ20" s="1260"/>
      <c r="QVR20" s="1260"/>
      <c r="QVS20" s="1260"/>
      <c r="QVT20" s="1260"/>
      <c r="QVU20" s="1260"/>
      <c r="QVV20" s="1260"/>
      <c r="QVW20" s="1260"/>
      <c r="QVX20" s="1260"/>
      <c r="QVY20" s="1260"/>
      <c r="QVZ20" s="1260"/>
      <c r="QWA20" s="1260"/>
      <c r="QWB20" s="1260"/>
      <c r="QWC20" s="1260"/>
      <c r="QWD20" s="1260"/>
      <c r="QWE20" s="1260"/>
      <c r="QWF20" s="1260"/>
      <c r="QWG20" s="1260"/>
      <c r="QWH20" s="1260"/>
      <c r="QWI20" s="1260"/>
      <c r="QWJ20" s="1260"/>
      <c r="QWK20" s="1260"/>
      <c r="QWL20" s="1260"/>
      <c r="QWM20" s="1260"/>
      <c r="QWN20" s="1260"/>
      <c r="QWO20" s="1260"/>
      <c r="QWP20" s="1260"/>
      <c r="QWQ20" s="1260"/>
      <c r="QWR20" s="1260"/>
      <c r="QWS20" s="1260"/>
      <c r="QWT20" s="1260"/>
      <c r="QWU20" s="1260"/>
      <c r="QWV20" s="1260"/>
      <c r="QWW20" s="1260"/>
      <c r="QWX20" s="1260"/>
      <c r="QWY20" s="1260"/>
      <c r="QWZ20" s="1260"/>
      <c r="QXA20" s="1260"/>
      <c r="QXB20" s="1260"/>
      <c r="QXC20" s="1260"/>
      <c r="QXD20" s="1260"/>
      <c r="QXE20" s="1260"/>
      <c r="QXF20" s="1260"/>
      <c r="QXG20" s="1260"/>
      <c r="QXH20" s="1260"/>
      <c r="QXI20" s="1260"/>
      <c r="QXJ20" s="1260"/>
      <c r="QXK20" s="1260"/>
      <c r="QXL20" s="1260"/>
      <c r="QXM20" s="1260"/>
      <c r="QXN20" s="1260"/>
      <c r="QXO20" s="1260"/>
      <c r="QXP20" s="1260"/>
      <c r="QXQ20" s="1260"/>
      <c r="QXR20" s="1260"/>
      <c r="QXS20" s="1260"/>
      <c r="QXT20" s="1260"/>
      <c r="QXU20" s="1260"/>
      <c r="QXV20" s="1260"/>
      <c r="QXW20" s="1260"/>
      <c r="QXX20" s="1260"/>
      <c r="QXY20" s="1260"/>
      <c r="QXZ20" s="1260"/>
      <c r="QYA20" s="1260"/>
      <c r="QYB20" s="1260"/>
      <c r="QYC20" s="1260"/>
      <c r="QYD20" s="1260"/>
      <c r="QYE20" s="1260"/>
      <c r="QYF20" s="1260"/>
      <c r="QYG20" s="1260"/>
      <c r="QYH20" s="1260"/>
      <c r="QYI20" s="1260"/>
      <c r="QYJ20" s="1260"/>
      <c r="QYK20" s="1260"/>
      <c r="QYL20" s="1260"/>
      <c r="QYM20" s="1260"/>
      <c r="QYN20" s="1260"/>
      <c r="QYO20" s="1260"/>
      <c r="QYP20" s="1260"/>
      <c r="QYQ20" s="1260"/>
      <c r="QYR20" s="1260"/>
      <c r="QYS20" s="1260"/>
      <c r="QYT20" s="1260"/>
      <c r="QYU20" s="1260"/>
      <c r="QYV20" s="1260"/>
      <c r="QYW20" s="1260"/>
      <c r="QYX20" s="1260"/>
      <c r="QYY20" s="1260"/>
      <c r="QYZ20" s="1260"/>
      <c r="QZA20" s="1260"/>
      <c r="QZB20" s="1260"/>
      <c r="QZC20" s="1260"/>
      <c r="QZD20" s="1260"/>
      <c r="QZE20" s="1260"/>
      <c r="QZF20" s="1260"/>
      <c r="QZG20" s="1260"/>
      <c r="QZH20" s="1260"/>
      <c r="QZI20" s="1260"/>
      <c r="QZJ20" s="1260"/>
      <c r="QZK20" s="1260"/>
      <c r="QZL20" s="1260"/>
      <c r="QZM20" s="1260"/>
      <c r="QZN20" s="1260"/>
      <c r="QZO20" s="1260"/>
      <c r="QZP20" s="1260"/>
      <c r="QZQ20" s="1260"/>
      <c r="QZR20" s="1260"/>
      <c r="QZS20" s="1260"/>
      <c r="QZT20" s="1260"/>
      <c r="QZU20" s="1260"/>
      <c r="QZV20" s="1260"/>
      <c r="QZW20" s="1260"/>
      <c r="QZX20" s="1260"/>
      <c r="QZY20" s="1260"/>
      <c r="QZZ20" s="1260"/>
      <c r="RAA20" s="1260"/>
      <c r="RAB20" s="1260"/>
      <c r="RAC20" s="1260"/>
      <c r="RAD20" s="1260"/>
      <c r="RAE20" s="1260"/>
      <c r="RAF20" s="1260"/>
      <c r="RAG20" s="1260"/>
      <c r="RAH20" s="1260"/>
      <c r="RAI20" s="1260"/>
      <c r="RAJ20" s="1260"/>
      <c r="RAK20" s="1260"/>
      <c r="RAL20" s="1260"/>
      <c r="RAM20" s="1260"/>
      <c r="RAN20" s="1260"/>
      <c r="RAO20" s="1260"/>
      <c r="RAP20" s="1260"/>
      <c r="RAQ20" s="1260"/>
      <c r="RAR20" s="1260"/>
      <c r="RAS20" s="1260"/>
      <c r="RAT20" s="1260"/>
      <c r="RAU20" s="1260"/>
      <c r="RAV20" s="1260"/>
      <c r="RAW20" s="1260"/>
      <c r="RAX20" s="1260"/>
      <c r="RAY20" s="1260"/>
      <c r="RAZ20" s="1260"/>
      <c r="RBA20" s="1260"/>
      <c r="RBB20" s="1260"/>
      <c r="RBC20" s="1260"/>
      <c r="RBD20" s="1260"/>
      <c r="RBE20" s="1260"/>
      <c r="RBF20" s="1260"/>
      <c r="RBG20" s="1260"/>
      <c r="RBH20" s="1260"/>
      <c r="RBI20" s="1260"/>
      <c r="RBJ20" s="1260"/>
      <c r="RBK20" s="1260"/>
      <c r="RBL20" s="1260"/>
      <c r="RBM20" s="1260"/>
      <c r="RBN20" s="1260"/>
      <c r="RBO20" s="1260"/>
      <c r="RBP20" s="1260"/>
      <c r="RBQ20" s="1260"/>
      <c r="RBR20" s="1260"/>
      <c r="RBS20" s="1260"/>
      <c r="RBT20" s="1260"/>
      <c r="RBU20" s="1260"/>
      <c r="RBV20" s="1260"/>
      <c r="RBW20" s="1260"/>
      <c r="RBX20" s="1260"/>
      <c r="RBY20" s="1260"/>
      <c r="RBZ20" s="1260"/>
      <c r="RCA20" s="1260"/>
      <c r="RCB20" s="1260"/>
      <c r="RCC20" s="1260"/>
      <c r="RCD20" s="1260"/>
      <c r="RCE20" s="1260"/>
      <c r="RCF20" s="1260"/>
      <c r="RCG20" s="1260"/>
      <c r="RCH20" s="1260"/>
      <c r="RCI20" s="1260"/>
      <c r="RCJ20" s="1260"/>
      <c r="RCK20" s="1260"/>
      <c r="RCL20" s="1260"/>
      <c r="RCM20" s="1260"/>
      <c r="RCN20" s="1260"/>
      <c r="RCO20" s="1260"/>
      <c r="RCP20" s="1260"/>
      <c r="RCQ20" s="1260"/>
      <c r="RCR20" s="1260"/>
      <c r="RCS20" s="1260"/>
      <c r="RCT20" s="1260"/>
      <c r="RCU20" s="1260"/>
      <c r="RCV20" s="1260"/>
      <c r="RCW20" s="1260"/>
      <c r="RCX20" s="1260"/>
      <c r="RCY20" s="1260"/>
      <c r="RCZ20" s="1260"/>
      <c r="RDA20" s="1260"/>
      <c r="RDB20" s="1260"/>
      <c r="RDC20" s="1260"/>
      <c r="RDD20" s="1260"/>
      <c r="RDE20" s="1260"/>
      <c r="RDF20" s="1260"/>
      <c r="RDG20" s="1260"/>
      <c r="RDH20" s="1260"/>
      <c r="RDI20" s="1260"/>
      <c r="RDJ20" s="1260"/>
      <c r="RDK20" s="1260"/>
      <c r="RDL20" s="1260"/>
      <c r="RDM20" s="1260"/>
      <c r="RDN20" s="1260"/>
      <c r="RDO20" s="1260"/>
      <c r="RDP20" s="1260"/>
      <c r="RDQ20" s="1260"/>
      <c r="RDR20" s="1260"/>
      <c r="RDS20" s="1260"/>
      <c r="RDT20" s="1260"/>
      <c r="RDU20" s="1260"/>
      <c r="RDV20" s="1260"/>
      <c r="RDW20" s="1260"/>
      <c r="RDX20" s="1260"/>
      <c r="RDY20" s="1260"/>
      <c r="RDZ20" s="1260"/>
      <c r="REA20" s="1260"/>
      <c r="REB20" s="1260"/>
      <c r="REC20" s="1260"/>
      <c r="RED20" s="1260"/>
      <c r="REE20" s="1260"/>
      <c r="REF20" s="1260"/>
      <c r="REG20" s="1260"/>
      <c r="REH20" s="1260"/>
      <c r="REI20" s="1260"/>
      <c r="REJ20" s="1260"/>
      <c r="REK20" s="1260"/>
      <c r="REL20" s="1260"/>
      <c r="REM20" s="1260"/>
      <c r="REN20" s="1260"/>
      <c r="REO20" s="1260"/>
      <c r="REP20" s="1260"/>
      <c r="REQ20" s="1260"/>
      <c r="RER20" s="1260"/>
      <c r="RES20" s="1260"/>
      <c r="RET20" s="1260"/>
      <c r="REU20" s="1260"/>
      <c r="REV20" s="1260"/>
      <c r="REW20" s="1260"/>
      <c r="REX20" s="1260"/>
      <c r="REY20" s="1260"/>
      <c r="REZ20" s="1260"/>
      <c r="RFA20" s="1260"/>
      <c r="RFB20" s="1260"/>
      <c r="RFC20" s="1260"/>
      <c r="RFD20" s="1260"/>
      <c r="RFE20" s="1260"/>
      <c r="RFF20" s="1260"/>
      <c r="RFG20" s="1260"/>
      <c r="RFH20" s="1260"/>
      <c r="RFI20" s="1260"/>
      <c r="RFJ20" s="1260"/>
      <c r="RFK20" s="1260"/>
      <c r="RFL20" s="1260"/>
      <c r="RFM20" s="1260"/>
      <c r="RFN20" s="1260"/>
      <c r="RFO20" s="1260"/>
      <c r="RFP20" s="1260"/>
      <c r="RFQ20" s="1260"/>
      <c r="RFR20" s="1260"/>
      <c r="RFS20" s="1260"/>
      <c r="RFT20" s="1260"/>
      <c r="RFU20" s="1260"/>
      <c r="RFV20" s="1260"/>
      <c r="RFW20" s="1260"/>
      <c r="RFX20" s="1260"/>
      <c r="RFY20" s="1260"/>
      <c r="RFZ20" s="1260"/>
      <c r="RGA20" s="1260"/>
      <c r="RGB20" s="1260"/>
      <c r="RGC20" s="1260"/>
      <c r="RGD20" s="1260"/>
      <c r="RGE20" s="1260"/>
      <c r="RGF20" s="1260"/>
      <c r="RGG20" s="1260"/>
      <c r="RGH20" s="1260"/>
      <c r="RGI20" s="1260"/>
      <c r="RGJ20" s="1260"/>
      <c r="RGK20" s="1260"/>
      <c r="RGL20" s="1260"/>
      <c r="RGM20" s="1260"/>
      <c r="RGN20" s="1260"/>
      <c r="RGO20" s="1260"/>
      <c r="RGP20" s="1260"/>
      <c r="RGQ20" s="1260"/>
      <c r="RGR20" s="1260"/>
      <c r="RGS20" s="1260"/>
      <c r="RGT20" s="1260"/>
      <c r="RGU20" s="1260"/>
      <c r="RGV20" s="1260"/>
      <c r="RGW20" s="1260"/>
      <c r="RGX20" s="1260"/>
      <c r="RGY20" s="1260"/>
      <c r="RGZ20" s="1260"/>
      <c r="RHA20" s="1260"/>
      <c r="RHB20" s="1260"/>
      <c r="RHC20" s="1260"/>
      <c r="RHD20" s="1260"/>
      <c r="RHE20" s="1260"/>
      <c r="RHF20" s="1260"/>
      <c r="RHG20" s="1260"/>
      <c r="RHH20" s="1260"/>
      <c r="RHI20" s="1260"/>
      <c r="RHJ20" s="1260"/>
      <c r="RHK20" s="1260"/>
      <c r="RHL20" s="1260"/>
      <c r="RHM20" s="1260"/>
      <c r="RHN20" s="1260"/>
      <c r="RHO20" s="1260"/>
      <c r="RHP20" s="1260"/>
      <c r="RHQ20" s="1260"/>
      <c r="RHR20" s="1260"/>
      <c r="RHS20" s="1260"/>
      <c r="RHT20" s="1260"/>
      <c r="RHU20" s="1260"/>
      <c r="RHV20" s="1260"/>
      <c r="RHW20" s="1260"/>
      <c r="RHX20" s="1260"/>
      <c r="RHY20" s="1260"/>
      <c r="RHZ20" s="1260"/>
      <c r="RIA20" s="1260"/>
      <c r="RIB20" s="1260"/>
      <c r="RIC20" s="1260"/>
      <c r="RID20" s="1260"/>
      <c r="RIE20" s="1260"/>
      <c r="RIF20" s="1260"/>
      <c r="RIG20" s="1260"/>
      <c r="RIH20" s="1260"/>
      <c r="RII20" s="1260"/>
      <c r="RIJ20" s="1260"/>
      <c r="RIK20" s="1260"/>
      <c r="RIL20" s="1260"/>
      <c r="RIM20" s="1260"/>
      <c r="RIN20" s="1260"/>
      <c r="RIO20" s="1260"/>
      <c r="RIP20" s="1260"/>
      <c r="RIQ20" s="1260"/>
      <c r="RIR20" s="1260"/>
      <c r="RIS20" s="1260"/>
      <c r="RIT20" s="1260"/>
      <c r="RIU20" s="1260"/>
      <c r="RIV20" s="1260"/>
      <c r="RIW20" s="1260"/>
      <c r="RIX20" s="1260"/>
      <c r="RIY20" s="1260"/>
      <c r="RIZ20" s="1260"/>
      <c r="RJA20" s="1260"/>
      <c r="RJB20" s="1260"/>
      <c r="RJC20" s="1260"/>
      <c r="RJD20" s="1260"/>
      <c r="RJE20" s="1260"/>
      <c r="RJF20" s="1260"/>
      <c r="RJG20" s="1260"/>
      <c r="RJH20" s="1260"/>
      <c r="RJI20" s="1260"/>
      <c r="RJJ20" s="1260"/>
      <c r="RJK20" s="1260"/>
      <c r="RJL20" s="1260"/>
      <c r="RJM20" s="1260"/>
      <c r="RJN20" s="1260"/>
      <c r="RJO20" s="1260"/>
      <c r="RJP20" s="1260"/>
      <c r="RJQ20" s="1260"/>
      <c r="RJR20" s="1260"/>
      <c r="RJS20" s="1260"/>
      <c r="RJT20" s="1260"/>
      <c r="RJU20" s="1260"/>
      <c r="RJV20" s="1260"/>
      <c r="RJW20" s="1260"/>
      <c r="RJX20" s="1260"/>
      <c r="RJY20" s="1260"/>
      <c r="RJZ20" s="1260"/>
      <c r="RKA20" s="1260"/>
      <c r="RKB20" s="1260"/>
      <c r="RKC20" s="1260"/>
      <c r="RKD20" s="1260"/>
      <c r="RKE20" s="1260"/>
      <c r="RKF20" s="1260"/>
      <c r="RKG20" s="1260"/>
      <c r="RKH20" s="1260"/>
      <c r="RKI20" s="1260"/>
      <c r="RKJ20" s="1260"/>
      <c r="RKK20" s="1260"/>
      <c r="RKL20" s="1260"/>
      <c r="RKM20" s="1260"/>
      <c r="RKN20" s="1260"/>
      <c r="RKO20" s="1260"/>
      <c r="RKP20" s="1260"/>
      <c r="RKQ20" s="1260"/>
      <c r="RKR20" s="1260"/>
      <c r="RKS20" s="1260"/>
      <c r="RKT20" s="1260"/>
      <c r="RKU20" s="1260"/>
      <c r="RKV20" s="1260"/>
      <c r="RKW20" s="1260"/>
      <c r="RKX20" s="1260"/>
      <c r="RKY20" s="1260"/>
      <c r="RKZ20" s="1260"/>
      <c r="RLA20" s="1260"/>
      <c r="RLB20" s="1260"/>
      <c r="RLC20" s="1260"/>
      <c r="RLD20" s="1260"/>
      <c r="RLE20" s="1260"/>
      <c r="RLF20" s="1260"/>
      <c r="RLG20" s="1260"/>
      <c r="RLH20" s="1260"/>
      <c r="RLI20" s="1260"/>
      <c r="RLJ20" s="1260"/>
      <c r="RLK20" s="1260"/>
      <c r="RLL20" s="1260"/>
      <c r="RLM20" s="1260"/>
      <c r="RLN20" s="1260"/>
      <c r="RLO20" s="1260"/>
      <c r="RLP20" s="1260"/>
      <c r="RLQ20" s="1260"/>
      <c r="RLR20" s="1260"/>
      <c r="RLS20" s="1260"/>
      <c r="RLT20" s="1260"/>
      <c r="RLU20" s="1260"/>
      <c r="RLV20" s="1260"/>
      <c r="RLW20" s="1260"/>
      <c r="RLX20" s="1260"/>
      <c r="RLY20" s="1260"/>
      <c r="RLZ20" s="1260"/>
      <c r="RMA20" s="1260"/>
      <c r="RMB20" s="1260"/>
      <c r="RMC20" s="1260"/>
      <c r="RMD20" s="1260"/>
      <c r="RME20" s="1260"/>
      <c r="RMF20" s="1260"/>
      <c r="RMG20" s="1260"/>
      <c r="RMH20" s="1260"/>
      <c r="RMI20" s="1260"/>
      <c r="RMJ20" s="1260"/>
      <c r="RMK20" s="1260"/>
      <c r="RML20" s="1260"/>
      <c r="RMM20" s="1260"/>
      <c r="RMN20" s="1260"/>
      <c r="RMO20" s="1260"/>
      <c r="RMP20" s="1260"/>
      <c r="RMQ20" s="1260"/>
      <c r="RMR20" s="1260"/>
      <c r="RMS20" s="1260"/>
      <c r="RMT20" s="1260"/>
      <c r="RMU20" s="1260"/>
      <c r="RMV20" s="1260"/>
      <c r="RMW20" s="1260"/>
      <c r="RMX20" s="1260"/>
      <c r="RMY20" s="1260"/>
      <c r="RMZ20" s="1260"/>
      <c r="RNA20" s="1260"/>
      <c r="RNB20" s="1260"/>
      <c r="RNC20" s="1260"/>
      <c r="RND20" s="1260"/>
      <c r="RNE20" s="1260"/>
      <c r="RNF20" s="1260"/>
      <c r="RNG20" s="1260"/>
      <c r="RNH20" s="1260"/>
      <c r="RNI20" s="1260"/>
      <c r="RNJ20" s="1260"/>
      <c r="RNK20" s="1260"/>
      <c r="RNL20" s="1260"/>
      <c r="RNM20" s="1260"/>
      <c r="RNN20" s="1260"/>
      <c r="RNO20" s="1260"/>
      <c r="RNP20" s="1260"/>
      <c r="RNQ20" s="1260"/>
      <c r="RNR20" s="1260"/>
      <c r="RNS20" s="1260"/>
      <c r="RNT20" s="1260"/>
      <c r="RNU20" s="1260"/>
      <c r="RNV20" s="1260"/>
      <c r="RNW20" s="1260"/>
      <c r="RNX20" s="1260"/>
      <c r="RNY20" s="1260"/>
      <c r="RNZ20" s="1260"/>
      <c r="ROA20" s="1260"/>
      <c r="ROB20" s="1260"/>
      <c r="ROC20" s="1260"/>
      <c r="ROD20" s="1260"/>
      <c r="ROE20" s="1260"/>
      <c r="ROF20" s="1260"/>
      <c r="ROG20" s="1260"/>
      <c r="ROH20" s="1260"/>
      <c r="ROI20" s="1260"/>
      <c r="ROJ20" s="1260"/>
      <c r="ROK20" s="1260"/>
      <c r="ROL20" s="1260"/>
      <c r="ROM20" s="1260"/>
      <c r="RON20" s="1260"/>
      <c r="ROO20" s="1260"/>
      <c r="ROP20" s="1260"/>
      <c r="ROQ20" s="1260"/>
      <c r="ROR20" s="1260"/>
      <c r="ROS20" s="1260"/>
      <c r="ROT20" s="1260"/>
      <c r="ROU20" s="1260"/>
      <c r="ROV20" s="1260"/>
      <c r="ROW20" s="1260"/>
      <c r="ROX20" s="1260"/>
      <c r="ROY20" s="1260"/>
      <c r="ROZ20" s="1260"/>
      <c r="RPA20" s="1260"/>
      <c r="RPB20" s="1260"/>
      <c r="RPC20" s="1260"/>
      <c r="RPD20" s="1260"/>
      <c r="RPE20" s="1260"/>
      <c r="RPF20" s="1260"/>
      <c r="RPG20" s="1260"/>
      <c r="RPH20" s="1260"/>
      <c r="RPI20" s="1260"/>
      <c r="RPJ20" s="1260"/>
      <c r="RPK20" s="1260"/>
      <c r="RPL20" s="1260"/>
      <c r="RPM20" s="1260"/>
      <c r="RPN20" s="1260"/>
      <c r="RPO20" s="1260"/>
      <c r="RPP20" s="1260"/>
      <c r="RPQ20" s="1260"/>
      <c r="RPR20" s="1260"/>
      <c r="RPS20" s="1260"/>
      <c r="RPT20" s="1260"/>
      <c r="RPU20" s="1260"/>
      <c r="RPV20" s="1260"/>
      <c r="RPW20" s="1260"/>
      <c r="RPX20" s="1260"/>
      <c r="RPY20" s="1260"/>
      <c r="RPZ20" s="1260"/>
      <c r="RQA20" s="1260"/>
      <c r="RQB20" s="1260"/>
      <c r="RQC20" s="1260"/>
      <c r="RQD20" s="1260"/>
      <c r="RQE20" s="1260"/>
      <c r="RQF20" s="1260"/>
      <c r="RQG20" s="1260"/>
      <c r="RQH20" s="1260"/>
      <c r="RQI20" s="1260"/>
      <c r="RQJ20" s="1260"/>
      <c r="RQK20" s="1260"/>
      <c r="RQL20" s="1260"/>
      <c r="RQM20" s="1260"/>
      <c r="RQN20" s="1260"/>
      <c r="RQO20" s="1260"/>
      <c r="RQP20" s="1260"/>
      <c r="RQQ20" s="1260"/>
      <c r="RQR20" s="1260"/>
      <c r="RQS20" s="1260"/>
      <c r="RQT20" s="1260"/>
      <c r="RQU20" s="1260"/>
      <c r="RQV20" s="1260"/>
      <c r="RQW20" s="1260"/>
      <c r="RQX20" s="1260"/>
      <c r="RQY20" s="1260"/>
      <c r="RQZ20" s="1260"/>
      <c r="RRA20" s="1260"/>
      <c r="RRB20" s="1260"/>
      <c r="RRC20" s="1260"/>
      <c r="RRD20" s="1260"/>
      <c r="RRE20" s="1260"/>
      <c r="RRF20" s="1260"/>
      <c r="RRG20" s="1260"/>
      <c r="RRH20" s="1260"/>
      <c r="RRI20" s="1260"/>
      <c r="RRJ20" s="1260"/>
      <c r="RRK20" s="1260"/>
      <c r="RRL20" s="1260"/>
      <c r="RRM20" s="1260"/>
      <c r="RRN20" s="1260"/>
      <c r="RRO20" s="1260"/>
      <c r="RRP20" s="1260"/>
      <c r="RRQ20" s="1260"/>
      <c r="RRR20" s="1260"/>
      <c r="RRS20" s="1260"/>
      <c r="RRT20" s="1260"/>
      <c r="RRU20" s="1260"/>
      <c r="RRV20" s="1260"/>
      <c r="RRW20" s="1260"/>
      <c r="RRX20" s="1260"/>
      <c r="RRY20" s="1260"/>
      <c r="RRZ20" s="1260"/>
      <c r="RSA20" s="1260"/>
      <c r="RSB20" s="1260"/>
      <c r="RSC20" s="1260"/>
      <c r="RSD20" s="1260"/>
      <c r="RSE20" s="1260"/>
      <c r="RSF20" s="1260"/>
      <c r="RSG20" s="1260"/>
      <c r="RSH20" s="1260"/>
      <c r="RSI20" s="1260"/>
      <c r="RSJ20" s="1260"/>
      <c r="RSK20" s="1260"/>
      <c r="RSL20" s="1260"/>
      <c r="RSM20" s="1260"/>
      <c r="RSN20" s="1260"/>
      <c r="RSO20" s="1260"/>
      <c r="RSP20" s="1260"/>
      <c r="RSQ20" s="1260"/>
      <c r="RSR20" s="1260"/>
      <c r="RSS20" s="1260"/>
      <c r="RST20" s="1260"/>
      <c r="RSU20" s="1260"/>
      <c r="RSV20" s="1260"/>
      <c r="RSW20" s="1260"/>
      <c r="RSX20" s="1260"/>
      <c r="RSY20" s="1260"/>
      <c r="RSZ20" s="1260"/>
      <c r="RTA20" s="1260"/>
      <c r="RTB20" s="1260"/>
      <c r="RTC20" s="1260"/>
      <c r="RTD20" s="1260"/>
      <c r="RTE20" s="1260"/>
      <c r="RTF20" s="1260"/>
      <c r="RTG20" s="1260"/>
      <c r="RTH20" s="1260"/>
      <c r="RTI20" s="1260"/>
      <c r="RTJ20" s="1260"/>
      <c r="RTK20" s="1260"/>
      <c r="RTL20" s="1260"/>
      <c r="RTM20" s="1260"/>
      <c r="RTN20" s="1260"/>
      <c r="RTO20" s="1260"/>
      <c r="RTP20" s="1260"/>
      <c r="RTQ20" s="1260"/>
      <c r="RTR20" s="1260"/>
      <c r="RTS20" s="1260"/>
      <c r="RTT20" s="1260"/>
      <c r="RTU20" s="1260"/>
      <c r="RTV20" s="1260"/>
      <c r="RTW20" s="1260"/>
      <c r="RTX20" s="1260"/>
      <c r="RTY20" s="1260"/>
      <c r="RTZ20" s="1260"/>
      <c r="RUA20" s="1260"/>
      <c r="RUB20" s="1260"/>
      <c r="RUC20" s="1260"/>
      <c r="RUD20" s="1260"/>
      <c r="RUE20" s="1260"/>
      <c r="RUF20" s="1260"/>
      <c r="RUG20" s="1260"/>
      <c r="RUH20" s="1260"/>
      <c r="RUI20" s="1260"/>
      <c r="RUJ20" s="1260"/>
      <c r="RUK20" s="1260"/>
      <c r="RUL20" s="1260"/>
      <c r="RUM20" s="1260"/>
      <c r="RUN20" s="1260"/>
      <c r="RUO20" s="1260"/>
      <c r="RUP20" s="1260"/>
      <c r="RUQ20" s="1260"/>
      <c r="RUR20" s="1260"/>
      <c r="RUS20" s="1260"/>
      <c r="RUT20" s="1260"/>
      <c r="RUU20" s="1260"/>
      <c r="RUV20" s="1260"/>
      <c r="RUW20" s="1260"/>
      <c r="RUX20" s="1260"/>
      <c r="RUY20" s="1260"/>
      <c r="RUZ20" s="1260"/>
      <c r="RVA20" s="1260"/>
      <c r="RVB20" s="1260"/>
      <c r="RVC20" s="1260"/>
      <c r="RVD20" s="1260"/>
      <c r="RVE20" s="1260"/>
      <c r="RVF20" s="1260"/>
      <c r="RVG20" s="1260"/>
      <c r="RVH20" s="1260"/>
      <c r="RVI20" s="1260"/>
      <c r="RVJ20" s="1260"/>
      <c r="RVK20" s="1260"/>
      <c r="RVL20" s="1260"/>
      <c r="RVM20" s="1260"/>
      <c r="RVN20" s="1260"/>
      <c r="RVO20" s="1260"/>
      <c r="RVP20" s="1260"/>
      <c r="RVQ20" s="1260"/>
      <c r="RVR20" s="1260"/>
      <c r="RVS20" s="1260"/>
      <c r="RVT20" s="1260"/>
      <c r="RVU20" s="1260"/>
      <c r="RVV20" s="1260"/>
      <c r="RVW20" s="1260"/>
      <c r="RVX20" s="1260"/>
      <c r="RVY20" s="1260"/>
      <c r="RVZ20" s="1260"/>
      <c r="RWA20" s="1260"/>
      <c r="RWB20" s="1260"/>
      <c r="RWC20" s="1260"/>
      <c r="RWD20" s="1260"/>
      <c r="RWE20" s="1260"/>
      <c r="RWF20" s="1260"/>
      <c r="RWG20" s="1260"/>
      <c r="RWH20" s="1260"/>
      <c r="RWI20" s="1260"/>
      <c r="RWJ20" s="1260"/>
      <c r="RWK20" s="1260"/>
      <c r="RWL20" s="1260"/>
      <c r="RWM20" s="1260"/>
      <c r="RWN20" s="1260"/>
      <c r="RWO20" s="1260"/>
      <c r="RWP20" s="1260"/>
      <c r="RWQ20" s="1260"/>
      <c r="RWR20" s="1260"/>
      <c r="RWS20" s="1260"/>
      <c r="RWT20" s="1260"/>
      <c r="RWU20" s="1260"/>
      <c r="RWV20" s="1260"/>
      <c r="RWW20" s="1260"/>
      <c r="RWX20" s="1260"/>
      <c r="RWY20" s="1260"/>
      <c r="RWZ20" s="1260"/>
      <c r="RXA20" s="1260"/>
      <c r="RXB20" s="1260"/>
      <c r="RXC20" s="1260"/>
      <c r="RXD20" s="1260"/>
      <c r="RXE20" s="1260"/>
      <c r="RXF20" s="1260"/>
      <c r="RXG20" s="1260"/>
      <c r="RXH20" s="1260"/>
      <c r="RXI20" s="1260"/>
      <c r="RXJ20" s="1260"/>
      <c r="RXK20" s="1260"/>
      <c r="RXL20" s="1260"/>
      <c r="RXM20" s="1260"/>
      <c r="RXN20" s="1260"/>
      <c r="RXO20" s="1260"/>
      <c r="RXP20" s="1260"/>
      <c r="RXQ20" s="1260"/>
      <c r="RXR20" s="1260"/>
      <c r="RXS20" s="1260"/>
      <c r="RXT20" s="1260"/>
      <c r="RXU20" s="1260"/>
      <c r="RXV20" s="1260"/>
      <c r="RXW20" s="1260"/>
      <c r="RXX20" s="1260"/>
      <c r="RXY20" s="1260"/>
      <c r="RXZ20" s="1260"/>
      <c r="RYA20" s="1260"/>
      <c r="RYB20" s="1260"/>
      <c r="RYC20" s="1260"/>
      <c r="RYD20" s="1260"/>
      <c r="RYE20" s="1260"/>
      <c r="RYF20" s="1260"/>
      <c r="RYG20" s="1260"/>
      <c r="RYH20" s="1260"/>
      <c r="RYI20" s="1260"/>
      <c r="RYJ20" s="1260"/>
      <c r="RYK20" s="1260"/>
      <c r="RYL20" s="1260"/>
      <c r="RYM20" s="1260"/>
      <c r="RYN20" s="1260"/>
      <c r="RYO20" s="1260"/>
      <c r="RYP20" s="1260"/>
      <c r="RYQ20" s="1260"/>
      <c r="RYR20" s="1260"/>
      <c r="RYS20" s="1260"/>
      <c r="RYT20" s="1260"/>
      <c r="RYU20" s="1260"/>
      <c r="RYV20" s="1260"/>
      <c r="RYW20" s="1260"/>
      <c r="RYX20" s="1260"/>
      <c r="RYY20" s="1260"/>
      <c r="RYZ20" s="1260"/>
      <c r="RZA20" s="1260"/>
      <c r="RZB20" s="1260"/>
      <c r="RZC20" s="1260"/>
      <c r="RZD20" s="1260"/>
      <c r="RZE20" s="1260"/>
      <c r="RZF20" s="1260"/>
      <c r="RZG20" s="1260"/>
      <c r="RZH20" s="1260"/>
      <c r="RZI20" s="1260"/>
      <c r="RZJ20" s="1260"/>
      <c r="RZK20" s="1260"/>
      <c r="RZL20" s="1260"/>
      <c r="RZM20" s="1260"/>
      <c r="RZN20" s="1260"/>
      <c r="RZO20" s="1260"/>
      <c r="RZP20" s="1260"/>
      <c r="RZQ20" s="1260"/>
      <c r="RZR20" s="1260"/>
      <c r="RZS20" s="1260"/>
      <c r="RZT20" s="1260"/>
      <c r="RZU20" s="1260"/>
      <c r="RZV20" s="1260"/>
      <c r="RZW20" s="1260"/>
      <c r="RZX20" s="1260"/>
      <c r="RZY20" s="1260"/>
      <c r="RZZ20" s="1260"/>
      <c r="SAA20" s="1260"/>
      <c r="SAB20" s="1260"/>
      <c r="SAC20" s="1260"/>
      <c r="SAD20" s="1260"/>
      <c r="SAE20" s="1260"/>
      <c r="SAF20" s="1260"/>
      <c r="SAG20" s="1260"/>
      <c r="SAH20" s="1260"/>
      <c r="SAI20" s="1260"/>
      <c r="SAJ20" s="1260"/>
      <c r="SAK20" s="1260"/>
      <c r="SAL20" s="1260"/>
      <c r="SAM20" s="1260"/>
      <c r="SAN20" s="1260"/>
      <c r="SAO20" s="1260"/>
      <c r="SAP20" s="1260"/>
      <c r="SAQ20" s="1260"/>
      <c r="SAR20" s="1260"/>
      <c r="SAS20" s="1260"/>
      <c r="SAT20" s="1260"/>
      <c r="SAU20" s="1260"/>
      <c r="SAV20" s="1260"/>
      <c r="SAW20" s="1260"/>
      <c r="SAX20" s="1260"/>
      <c r="SAY20" s="1260"/>
      <c r="SAZ20" s="1260"/>
      <c r="SBA20" s="1260"/>
      <c r="SBB20" s="1260"/>
      <c r="SBC20" s="1260"/>
      <c r="SBD20" s="1260"/>
      <c r="SBE20" s="1260"/>
      <c r="SBF20" s="1260"/>
      <c r="SBG20" s="1260"/>
      <c r="SBH20" s="1260"/>
      <c r="SBI20" s="1260"/>
      <c r="SBJ20" s="1260"/>
      <c r="SBK20" s="1260"/>
      <c r="SBL20" s="1260"/>
      <c r="SBM20" s="1260"/>
      <c r="SBN20" s="1260"/>
      <c r="SBO20" s="1260"/>
      <c r="SBP20" s="1260"/>
      <c r="SBQ20" s="1260"/>
      <c r="SBR20" s="1260"/>
      <c r="SBS20" s="1260"/>
      <c r="SBT20" s="1260"/>
      <c r="SBU20" s="1260"/>
      <c r="SBV20" s="1260"/>
      <c r="SBW20" s="1260"/>
      <c r="SBX20" s="1260"/>
      <c r="SBY20" s="1260"/>
      <c r="SBZ20" s="1260"/>
      <c r="SCA20" s="1260"/>
      <c r="SCB20" s="1260"/>
      <c r="SCC20" s="1260"/>
      <c r="SCD20" s="1260"/>
      <c r="SCE20" s="1260"/>
      <c r="SCF20" s="1260"/>
      <c r="SCG20" s="1260"/>
      <c r="SCH20" s="1260"/>
      <c r="SCI20" s="1260"/>
      <c r="SCJ20" s="1260"/>
      <c r="SCK20" s="1260"/>
      <c r="SCL20" s="1260"/>
      <c r="SCM20" s="1260"/>
      <c r="SCN20" s="1260"/>
      <c r="SCO20" s="1260"/>
      <c r="SCP20" s="1260"/>
      <c r="SCQ20" s="1260"/>
      <c r="SCR20" s="1260"/>
      <c r="SCS20" s="1260"/>
      <c r="SCT20" s="1260"/>
      <c r="SCU20" s="1260"/>
      <c r="SCV20" s="1260"/>
      <c r="SCW20" s="1260"/>
      <c r="SCX20" s="1260"/>
      <c r="SCY20" s="1260"/>
      <c r="SCZ20" s="1260"/>
      <c r="SDA20" s="1260"/>
      <c r="SDB20" s="1260"/>
      <c r="SDC20" s="1260"/>
      <c r="SDD20" s="1260"/>
      <c r="SDE20" s="1260"/>
      <c r="SDF20" s="1260"/>
      <c r="SDG20" s="1260"/>
      <c r="SDH20" s="1260"/>
      <c r="SDI20" s="1260"/>
      <c r="SDJ20" s="1260"/>
      <c r="SDK20" s="1260"/>
      <c r="SDL20" s="1260"/>
      <c r="SDM20" s="1260"/>
      <c r="SDN20" s="1260"/>
      <c r="SDO20" s="1260"/>
      <c r="SDP20" s="1260"/>
      <c r="SDQ20" s="1260"/>
      <c r="SDR20" s="1260"/>
      <c r="SDS20" s="1260"/>
      <c r="SDT20" s="1260"/>
      <c r="SDU20" s="1260"/>
      <c r="SDV20" s="1260"/>
      <c r="SDW20" s="1260"/>
      <c r="SDX20" s="1260"/>
      <c r="SDY20" s="1260"/>
      <c r="SDZ20" s="1260"/>
      <c r="SEA20" s="1260"/>
      <c r="SEB20" s="1260"/>
      <c r="SEC20" s="1260"/>
      <c r="SED20" s="1260"/>
      <c r="SEE20" s="1260"/>
      <c r="SEF20" s="1260"/>
      <c r="SEG20" s="1260"/>
      <c r="SEH20" s="1260"/>
      <c r="SEI20" s="1260"/>
      <c r="SEJ20" s="1260"/>
      <c r="SEK20" s="1260"/>
      <c r="SEL20" s="1260"/>
      <c r="SEM20" s="1260"/>
      <c r="SEN20" s="1260"/>
      <c r="SEO20" s="1260"/>
      <c r="SEP20" s="1260"/>
      <c r="SEQ20" s="1260"/>
      <c r="SER20" s="1260"/>
      <c r="SES20" s="1260"/>
      <c r="SET20" s="1260"/>
      <c r="SEU20" s="1260"/>
      <c r="SEV20" s="1260"/>
      <c r="SEW20" s="1260"/>
      <c r="SEX20" s="1260"/>
      <c r="SEY20" s="1260"/>
      <c r="SEZ20" s="1260"/>
      <c r="SFA20" s="1260"/>
      <c r="SFB20" s="1260"/>
      <c r="SFC20" s="1260"/>
      <c r="SFD20" s="1260"/>
      <c r="SFE20" s="1260"/>
      <c r="SFF20" s="1260"/>
      <c r="SFG20" s="1260"/>
      <c r="SFH20" s="1260"/>
      <c r="SFI20" s="1260"/>
      <c r="SFJ20" s="1260"/>
      <c r="SFK20" s="1260"/>
      <c r="SFL20" s="1260"/>
      <c r="SFM20" s="1260"/>
      <c r="SFN20" s="1260"/>
      <c r="SFO20" s="1260"/>
      <c r="SFP20" s="1260"/>
      <c r="SFQ20" s="1260"/>
      <c r="SFR20" s="1260"/>
      <c r="SFS20" s="1260"/>
      <c r="SFT20" s="1260"/>
      <c r="SFU20" s="1260"/>
      <c r="SFV20" s="1260"/>
      <c r="SFW20" s="1260"/>
      <c r="SFX20" s="1260"/>
      <c r="SFY20" s="1260"/>
      <c r="SFZ20" s="1260"/>
      <c r="SGA20" s="1260"/>
      <c r="SGB20" s="1260"/>
      <c r="SGC20" s="1260"/>
      <c r="SGD20" s="1260"/>
      <c r="SGE20" s="1260"/>
      <c r="SGF20" s="1260"/>
      <c r="SGG20" s="1260"/>
      <c r="SGH20" s="1260"/>
      <c r="SGI20" s="1260"/>
      <c r="SGJ20" s="1260"/>
      <c r="SGK20" s="1260"/>
      <c r="SGL20" s="1260"/>
      <c r="SGM20" s="1260"/>
      <c r="SGN20" s="1260"/>
      <c r="SGO20" s="1260"/>
      <c r="SGP20" s="1260"/>
      <c r="SGQ20" s="1260"/>
      <c r="SGR20" s="1260"/>
      <c r="SGS20" s="1260"/>
      <c r="SGT20" s="1260"/>
      <c r="SGU20" s="1260"/>
      <c r="SGV20" s="1260"/>
      <c r="SGW20" s="1260"/>
      <c r="SGX20" s="1260"/>
      <c r="SGY20" s="1260"/>
      <c r="SGZ20" s="1260"/>
      <c r="SHA20" s="1260"/>
      <c r="SHB20" s="1260"/>
      <c r="SHC20" s="1260"/>
      <c r="SHD20" s="1260"/>
      <c r="SHE20" s="1260"/>
      <c r="SHF20" s="1260"/>
      <c r="SHG20" s="1260"/>
      <c r="SHH20" s="1260"/>
      <c r="SHI20" s="1260"/>
      <c r="SHJ20" s="1260"/>
      <c r="SHK20" s="1260"/>
      <c r="SHL20" s="1260"/>
      <c r="SHM20" s="1260"/>
      <c r="SHN20" s="1260"/>
      <c r="SHO20" s="1260"/>
      <c r="SHP20" s="1260"/>
      <c r="SHQ20" s="1260"/>
      <c r="SHR20" s="1260"/>
      <c r="SHS20" s="1260"/>
      <c r="SHT20" s="1260"/>
      <c r="SHU20" s="1260"/>
      <c r="SHV20" s="1260"/>
      <c r="SHW20" s="1260"/>
      <c r="SHX20" s="1260"/>
      <c r="SHY20" s="1260"/>
      <c r="SHZ20" s="1260"/>
      <c r="SIA20" s="1260"/>
      <c r="SIB20" s="1260"/>
      <c r="SIC20" s="1260"/>
      <c r="SID20" s="1260"/>
      <c r="SIE20" s="1260"/>
      <c r="SIF20" s="1260"/>
      <c r="SIG20" s="1260"/>
      <c r="SIH20" s="1260"/>
      <c r="SII20" s="1260"/>
      <c r="SIJ20" s="1260"/>
      <c r="SIK20" s="1260"/>
      <c r="SIL20" s="1260"/>
      <c r="SIM20" s="1260"/>
      <c r="SIN20" s="1260"/>
      <c r="SIO20" s="1260"/>
      <c r="SIP20" s="1260"/>
      <c r="SIQ20" s="1260"/>
      <c r="SIR20" s="1260"/>
      <c r="SIS20" s="1260"/>
      <c r="SIT20" s="1260"/>
      <c r="SIU20" s="1260"/>
      <c r="SIV20" s="1260"/>
      <c r="SIW20" s="1260"/>
      <c r="SIX20" s="1260"/>
      <c r="SIY20" s="1260"/>
      <c r="SIZ20" s="1260"/>
      <c r="SJA20" s="1260"/>
      <c r="SJB20" s="1260"/>
      <c r="SJC20" s="1260"/>
      <c r="SJD20" s="1260"/>
      <c r="SJE20" s="1260"/>
      <c r="SJF20" s="1260"/>
      <c r="SJG20" s="1260"/>
      <c r="SJH20" s="1260"/>
      <c r="SJI20" s="1260"/>
      <c r="SJJ20" s="1260"/>
      <c r="SJK20" s="1260"/>
      <c r="SJL20" s="1260"/>
      <c r="SJM20" s="1260"/>
      <c r="SJN20" s="1260"/>
      <c r="SJO20" s="1260"/>
      <c r="SJP20" s="1260"/>
      <c r="SJQ20" s="1260"/>
      <c r="SJR20" s="1260"/>
      <c r="SJS20" s="1260"/>
      <c r="SJT20" s="1260"/>
      <c r="SJU20" s="1260"/>
      <c r="SJV20" s="1260"/>
      <c r="SJW20" s="1260"/>
      <c r="SJX20" s="1260"/>
      <c r="SJY20" s="1260"/>
      <c r="SJZ20" s="1260"/>
      <c r="SKA20" s="1260"/>
      <c r="SKB20" s="1260"/>
      <c r="SKC20" s="1260"/>
      <c r="SKD20" s="1260"/>
      <c r="SKE20" s="1260"/>
      <c r="SKF20" s="1260"/>
      <c r="SKG20" s="1260"/>
      <c r="SKH20" s="1260"/>
      <c r="SKI20" s="1260"/>
      <c r="SKJ20" s="1260"/>
      <c r="SKK20" s="1260"/>
      <c r="SKL20" s="1260"/>
      <c r="SKM20" s="1260"/>
      <c r="SKN20" s="1260"/>
      <c r="SKO20" s="1260"/>
      <c r="SKP20" s="1260"/>
      <c r="SKQ20" s="1260"/>
      <c r="SKR20" s="1260"/>
      <c r="SKS20" s="1260"/>
      <c r="SKT20" s="1260"/>
      <c r="SKU20" s="1260"/>
      <c r="SKV20" s="1260"/>
      <c r="SKW20" s="1260"/>
      <c r="SKX20" s="1260"/>
      <c r="SKY20" s="1260"/>
      <c r="SKZ20" s="1260"/>
      <c r="SLA20" s="1260"/>
      <c r="SLB20" s="1260"/>
      <c r="SLC20" s="1260"/>
      <c r="SLD20" s="1260"/>
      <c r="SLE20" s="1260"/>
      <c r="SLF20" s="1260"/>
      <c r="SLG20" s="1260"/>
      <c r="SLH20" s="1260"/>
      <c r="SLI20" s="1260"/>
      <c r="SLJ20" s="1260"/>
      <c r="SLK20" s="1260"/>
      <c r="SLL20" s="1260"/>
      <c r="SLM20" s="1260"/>
      <c r="SLN20" s="1260"/>
      <c r="SLO20" s="1260"/>
      <c r="SLP20" s="1260"/>
      <c r="SLQ20" s="1260"/>
      <c r="SLR20" s="1260"/>
      <c r="SLS20" s="1260"/>
      <c r="SLT20" s="1260"/>
      <c r="SLU20" s="1260"/>
      <c r="SLV20" s="1260"/>
      <c r="SLW20" s="1260"/>
      <c r="SLX20" s="1260"/>
      <c r="SLY20" s="1260"/>
      <c r="SLZ20" s="1260"/>
      <c r="SMA20" s="1260"/>
      <c r="SMB20" s="1260"/>
      <c r="SMC20" s="1260"/>
      <c r="SMD20" s="1260"/>
      <c r="SME20" s="1260"/>
      <c r="SMF20" s="1260"/>
      <c r="SMG20" s="1260"/>
      <c r="SMH20" s="1260"/>
      <c r="SMI20" s="1260"/>
      <c r="SMJ20" s="1260"/>
      <c r="SMK20" s="1260"/>
      <c r="SML20" s="1260"/>
      <c r="SMM20" s="1260"/>
      <c r="SMN20" s="1260"/>
      <c r="SMO20" s="1260"/>
      <c r="SMP20" s="1260"/>
      <c r="SMQ20" s="1260"/>
      <c r="SMR20" s="1260"/>
      <c r="SMS20" s="1260"/>
      <c r="SMT20" s="1260"/>
      <c r="SMU20" s="1260"/>
      <c r="SMV20" s="1260"/>
      <c r="SMW20" s="1260"/>
      <c r="SMX20" s="1260"/>
      <c r="SMY20" s="1260"/>
      <c r="SMZ20" s="1260"/>
      <c r="SNA20" s="1260"/>
      <c r="SNB20" s="1260"/>
      <c r="SNC20" s="1260"/>
      <c r="SND20" s="1260"/>
      <c r="SNE20" s="1260"/>
      <c r="SNF20" s="1260"/>
      <c r="SNG20" s="1260"/>
      <c r="SNH20" s="1260"/>
      <c r="SNI20" s="1260"/>
      <c r="SNJ20" s="1260"/>
      <c r="SNK20" s="1260"/>
      <c r="SNL20" s="1260"/>
      <c r="SNM20" s="1260"/>
      <c r="SNN20" s="1260"/>
      <c r="SNO20" s="1260"/>
      <c r="SNP20" s="1260"/>
      <c r="SNQ20" s="1260"/>
      <c r="SNR20" s="1260"/>
      <c r="SNS20" s="1260"/>
      <c r="SNT20" s="1260"/>
      <c r="SNU20" s="1260"/>
      <c r="SNV20" s="1260"/>
      <c r="SNW20" s="1260"/>
      <c r="SNX20" s="1260"/>
      <c r="SNY20" s="1260"/>
      <c r="SNZ20" s="1260"/>
      <c r="SOA20" s="1260"/>
      <c r="SOB20" s="1260"/>
      <c r="SOC20" s="1260"/>
      <c r="SOD20" s="1260"/>
      <c r="SOE20" s="1260"/>
      <c r="SOF20" s="1260"/>
      <c r="SOG20" s="1260"/>
      <c r="SOH20" s="1260"/>
      <c r="SOI20" s="1260"/>
      <c r="SOJ20" s="1260"/>
      <c r="SOK20" s="1260"/>
      <c r="SOL20" s="1260"/>
      <c r="SOM20" s="1260"/>
      <c r="SON20" s="1260"/>
      <c r="SOO20" s="1260"/>
      <c r="SOP20" s="1260"/>
      <c r="SOQ20" s="1260"/>
      <c r="SOR20" s="1260"/>
      <c r="SOS20" s="1260"/>
      <c r="SOT20" s="1260"/>
      <c r="SOU20" s="1260"/>
      <c r="SOV20" s="1260"/>
      <c r="SOW20" s="1260"/>
      <c r="SOX20" s="1260"/>
      <c r="SOY20" s="1260"/>
      <c r="SOZ20" s="1260"/>
      <c r="SPA20" s="1260"/>
      <c r="SPB20" s="1260"/>
      <c r="SPC20" s="1260"/>
      <c r="SPD20" s="1260"/>
      <c r="SPE20" s="1260"/>
      <c r="SPF20" s="1260"/>
      <c r="SPG20" s="1260"/>
      <c r="SPH20" s="1260"/>
      <c r="SPI20" s="1260"/>
      <c r="SPJ20" s="1260"/>
      <c r="SPK20" s="1260"/>
      <c r="SPL20" s="1260"/>
      <c r="SPM20" s="1260"/>
      <c r="SPN20" s="1260"/>
      <c r="SPO20" s="1260"/>
      <c r="SPP20" s="1260"/>
      <c r="SPQ20" s="1260"/>
      <c r="SPR20" s="1260"/>
      <c r="SPS20" s="1260"/>
      <c r="SPT20" s="1260"/>
      <c r="SPU20" s="1260"/>
      <c r="SPV20" s="1260"/>
      <c r="SPW20" s="1260"/>
      <c r="SPX20" s="1260"/>
      <c r="SPY20" s="1260"/>
      <c r="SPZ20" s="1260"/>
      <c r="SQA20" s="1260"/>
      <c r="SQB20" s="1260"/>
      <c r="SQC20" s="1260"/>
      <c r="SQD20" s="1260"/>
      <c r="SQE20" s="1260"/>
      <c r="SQF20" s="1260"/>
      <c r="SQG20" s="1260"/>
      <c r="SQH20" s="1260"/>
      <c r="SQI20" s="1260"/>
      <c r="SQJ20" s="1260"/>
      <c r="SQK20" s="1260"/>
      <c r="SQL20" s="1260"/>
      <c r="SQM20" s="1260"/>
      <c r="SQN20" s="1260"/>
      <c r="SQO20" s="1260"/>
      <c r="SQP20" s="1260"/>
      <c r="SQQ20" s="1260"/>
      <c r="SQR20" s="1260"/>
      <c r="SQS20" s="1260"/>
      <c r="SQT20" s="1260"/>
      <c r="SQU20" s="1260"/>
      <c r="SQV20" s="1260"/>
      <c r="SQW20" s="1260"/>
      <c r="SQX20" s="1260"/>
      <c r="SQY20" s="1260"/>
      <c r="SQZ20" s="1260"/>
      <c r="SRA20" s="1260"/>
      <c r="SRB20" s="1260"/>
      <c r="SRC20" s="1260"/>
      <c r="SRD20" s="1260"/>
      <c r="SRE20" s="1260"/>
      <c r="SRF20" s="1260"/>
      <c r="SRG20" s="1260"/>
      <c r="SRH20" s="1260"/>
      <c r="SRI20" s="1260"/>
      <c r="SRJ20" s="1260"/>
      <c r="SRK20" s="1260"/>
      <c r="SRL20" s="1260"/>
      <c r="SRM20" s="1260"/>
      <c r="SRN20" s="1260"/>
      <c r="SRO20" s="1260"/>
      <c r="SRP20" s="1260"/>
      <c r="SRQ20" s="1260"/>
      <c r="SRR20" s="1260"/>
      <c r="SRS20" s="1260"/>
      <c r="SRT20" s="1260"/>
      <c r="SRU20" s="1260"/>
      <c r="SRV20" s="1260"/>
      <c r="SRW20" s="1260"/>
      <c r="SRX20" s="1260"/>
      <c r="SRY20" s="1260"/>
      <c r="SRZ20" s="1260"/>
      <c r="SSA20" s="1260"/>
      <c r="SSB20" s="1260"/>
      <c r="SSC20" s="1260"/>
      <c r="SSD20" s="1260"/>
      <c r="SSE20" s="1260"/>
      <c r="SSF20" s="1260"/>
      <c r="SSG20" s="1260"/>
      <c r="SSH20" s="1260"/>
      <c r="SSI20" s="1260"/>
      <c r="SSJ20" s="1260"/>
      <c r="SSK20" s="1260"/>
      <c r="SSL20" s="1260"/>
      <c r="SSM20" s="1260"/>
      <c r="SSN20" s="1260"/>
      <c r="SSO20" s="1260"/>
      <c r="SSP20" s="1260"/>
      <c r="SSQ20" s="1260"/>
      <c r="SSR20" s="1260"/>
      <c r="SSS20" s="1260"/>
      <c r="SST20" s="1260"/>
      <c r="SSU20" s="1260"/>
      <c r="SSV20" s="1260"/>
      <c r="SSW20" s="1260"/>
      <c r="SSX20" s="1260"/>
      <c r="SSY20" s="1260"/>
      <c r="SSZ20" s="1260"/>
      <c r="STA20" s="1260"/>
      <c r="STB20" s="1260"/>
      <c r="STC20" s="1260"/>
      <c r="STD20" s="1260"/>
      <c r="STE20" s="1260"/>
      <c r="STF20" s="1260"/>
      <c r="STG20" s="1260"/>
      <c r="STH20" s="1260"/>
      <c r="STI20" s="1260"/>
      <c r="STJ20" s="1260"/>
      <c r="STK20" s="1260"/>
      <c r="STL20" s="1260"/>
      <c r="STM20" s="1260"/>
      <c r="STN20" s="1260"/>
      <c r="STO20" s="1260"/>
      <c r="STP20" s="1260"/>
      <c r="STQ20" s="1260"/>
      <c r="STR20" s="1260"/>
      <c r="STS20" s="1260"/>
      <c r="STT20" s="1260"/>
      <c r="STU20" s="1260"/>
      <c r="STV20" s="1260"/>
      <c r="STW20" s="1260"/>
      <c r="STX20" s="1260"/>
      <c r="STY20" s="1260"/>
      <c r="STZ20" s="1260"/>
      <c r="SUA20" s="1260"/>
      <c r="SUB20" s="1260"/>
      <c r="SUC20" s="1260"/>
      <c r="SUD20" s="1260"/>
      <c r="SUE20" s="1260"/>
      <c r="SUF20" s="1260"/>
      <c r="SUG20" s="1260"/>
      <c r="SUH20" s="1260"/>
      <c r="SUI20" s="1260"/>
      <c r="SUJ20" s="1260"/>
      <c r="SUK20" s="1260"/>
      <c r="SUL20" s="1260"/>
      <c r="SUM20" s="1260"/>
      <c r="SUN20" s="1260"/>
      <c r="SUO20" s="1260"/>
      <c r="SUP20" s="1260"/>
      <c r="SUQ20" s="1260"/>
      <c r="SUR20" s="1260"/>
      <c r="SUS20" s="1260"/>
      <c r="SUT20" s="1260"/>
      <c r="SUU20" s="1260"/>
      <c r="SUV20" s="1260"/>
      <c r="SUW20" s="1260"/>
      <c r="SUX20" s="1260"/>
      <c r="SUY20" s="1260"/>
      <c r="SUZ20" s="1260"/>
      <c r="SVA20" s="1260"/>
      <c r="SVB20" s="1260"/>
      <c r="SVC20" s="1260"/>
      <c r="SVD20" s="1260"/>
      <c r="SVE20" s="1260"/>
      <c r="SVF20" s="1260"/>
      <c r="SVG20" s="1260"/>
      <c r="SVH20" s="1260"/>
      <c r="SVI20" s="1260"/>
      <c r="SVJ20" s="1260"/>
      <c r="SVK20" s="1260"/>
      <c r="SVL20" s="1260"/>
      <c r="SVM20" s="1260"/>
      <c r="SVN20" s="1260"/>
      <c r="SVO20" s="1260"/>
      <c r="SVP20" s="1260"/>
      <c r="SVQ20" s="1260"/>
      <c r="SVR20" s="1260"/>
      <c r="SVS20" s="1260"/>
      <c r="SVT20" s="1260"/>
      <c r="SVU20" s="1260"/>
      <c r="SVV20" s="1260"/>
      <c r="SVW20" s="1260"/>
      <c r="SVX20" s="1260"/>
      <c r="SVY20" s="1260"/>
      <c r="SVZ20" s="1260"/>
      <c r="SWA20" s="1260"/>
      <c r="SWB20" s="1260"/>
      <c r="SWC20" s="1260"/>
      <c r="SWD20" s="1260"/>
      <c r="SWE20" s="1260"/>
      <c r="SWF20" s="1260"/>
      <c r="SWG20" s="1260"/>
      <c r="SWH20" s="1260"/>
      <c r="SWI20" s="1260"/>
      <c r="SWJ20" s="1260"/>
      <c r="SWK20" s="1260"/>
      <c r="SWL20" s="1260"/>
      <c r="SWM20" s="1260"/>
      <c r="SWN20" s="1260"/>
      <c r="SWO20" s="1260"/>
      <c r="SWP20" s="1260"/>
      <c r="SWQ20" s="1260"/>
      <c r="SWR20" s="1260"/>
      <c r="SWS20" s="1260"/>
      <c r="SWT20" s="1260"/>
      <c r="SWU20" s="1260"/>
      <c r="SWV20" s="1260"/>
      <c r="SWW20" s="1260"/>
      <c r="SWX20" s="1260"/>
      <c r="SWY20" s="1260"/>
      <c r="SWZ20" s="1260"/>
      <c r="SXA20" s="1260"/>
      <c r="SXB20" s="1260"/>
      <c r="SXC20" s="1260"/>
      <c r="SXD20" s="1260"/>
      <c r="SXE20" s="1260"/>
      <c r="SXF20" s="1260"/>
      <c r="SXG20" s="1260"/>
      <c r="SXH20" s="1260"/>
      <c r="SXI20" s="1260"/>
      <c r="SXJ20" s="1260"/>
      <c r="SXK20" s="1260"/>
      <c r="SXL20" s="1260"/>
      <c r="SXM20" s="1260"/>
      <c r="SXN20" s="1260"/>
      <c r="SXO20" s="1260"/>
      <c r="SXP20" s="1260"/>
      <c r="SXQ20" s="1260"/>
      <c r="SXR20" s="1260"/>
      <c r="SXS20" s="1260"/>
      <c r="SXT20" s="1260"/>
      <c r="SXU20" s="1260"/>
      <c r="SXV20" s="1260"/>
      <c r="SXW20" s="1260"/>
      <c r="SXX20" s="1260"/>
      <c r="SXY20" s="1260"/>
      <c r="SXZ20" s="1260"/>
      <c r="SYA20" s="1260"/>
      <c r="SYB20" s="1260"/>
      <c r="SYC20" s="1260"/>
      <c r="SYD20" s="1260"/>
      <c r="SYE20" s="1260"/>
      <c r="SYF20" s="1260"/>
      <c r="SYG20" s="1260"/>
      <c r="SYH20" s="1260"/>
      <c r="SYI20" s="1260"/>
      <c r="SYJ20" s="1260"/>
      <c r="SYK20" s="1260"/>
      <c r="SYL20" s="1260"/>
      <c r="SYM20" s="1260"/>
      <c r="SYN20" s="1260"/>
      <c r="SYO20" s="1260"/>
      <c r="SYP20" s="1260"/>
      <c r="SYQ20" s="1260"/>
      <c r="SYR20" s="1260"/>
      <c r="SYS20" s="1260"/>
      <c r="SYT20" s="1260"/>
      <c r="SYU20" s="1260"/>
      <c r="SYV20" s="1260"/>
      <c r="SYW20" s="1260"/>
      <c r="SYX20" s="1260"/>
      <c r="SYY20" s="1260"/>
      <c r="SYZ20" s="1260"/>
      <c r="SZA20" s="1260"/>
      <c r="SZB20" s="1260"/>
      <c r="SZC20" s="1260"/>
      <c r="SZD20" s="1260"/>
      <c r="SZE20" s="1260"/>
      <c r="SZF20" s="1260"/>
      <c r="SZG20" s="1260"/>
      <c r="SZH20" s="1260"/>
      <c r="SZI20" s="1260"/>
      <c r="SZJ20" s="1260"/>
      <c r="SZK20" s="1260"/>
      <c r="SZL20" s="1260"/>
      <c r="SZM20" s="1260"/>
      <c r="SZN20" s="1260"/>
      <c r="SZO20" s="1260"/>
      <c r="SZP20" s="1260"/>
      <c r="SZQ20" s="1260"/>
      <c r="SZR20" s="1260"/>
      <c r="SZS20" s="1260"/>
      <c r="SZT20" s="1260"/>
      <c r="SZU20" s="1260"/>
      <c r="SZV20" s="1260"/>
      <c r="SZW20" s="1260"/>
      <c r="SZX20" s="1260"/>
      <c r="SZY20" s="1260"/>
      <c r="SZZ20" s="1260"/>
      <c r="TAA20" s="1260"/>
      <c r="TAB20" s="1260"/>
      <c r="TAC20" s="1260"/>
      <c r="TAD20" s="1260"/>
      <c r="TAE20" s="1260"/>
      <c r="TAF20" s="1260"/>
      <c r="TAG20" s="1260"/>
      <c r="TAH20" s="1260"/>
      <c r="TAI20" s="1260"/>
      <c r="TAJ20" s="1260"/>
      <c r="TAK20" s="1260"/>
      <c r="TAL20" s="1260"/>
      <c r="TAM20" s="1260"/>
      <c r="TAN20" s="1260"/>
      <c r="TAO20" s="1260"/>
      <c r="TAP20" s="1260"/>
      <c r="TAQ20" s="1260"/>
      <c r="TAR20" s="1260"/>
      <c r="TAS20" s="1260"/>
      <c r="TAT20" s="1260"/>
      <c r="TAU20" s="1260"/>
      <c r="TAV20" s="1260"/>
      <c r="TAW20" s="1260"/>
      <c r="TAX20" s="1260"/>
      <c r="TAY20" s="1260"/>
      <c r="TAZ20" s="1260"/>
      <c r="TBA20" s="1260"/>
      <c r="TBB20" s="1260"/>
      <c r="TBC20" s="1260"/>
      <c r="TBD20" s="1260"/>
      <c r="TBE20" s="1260"/>
      <c r="TBF20" s="1260"/>
      <c r="TBG20" s="1260"/>
      <c r="TBH20" s="1260"/>
      <c r="TBI20" s="1260"/>
      <c r="TBJ20" s="1260"/>
      <c r="TBK20" s="1260"/>
      <c r="TBL20" s="1260"/>
      <c r="TBM20" s="1260"/>
      <c r="TBN20" s="1260"/>
      <c r="TBO20" s="1260"/>
      <c r="TBP20" s="1260"/>
      <c r="TBQ20" s="1260"/>
      <c r="TBR20" s="1260"/>
      <c r="TBS20" s="1260"/>
      <c r="TBT20" s="1260"/>
      <c r="TBU20" s="1260"/>
      <c r="TBV20" s="1260"/>
      <c r="TBW20" s="1260"/>
      <c r="TBX20" s="1260"/>
      <c r="TBY20" s="1260"/>
      <c r="TBZ20" s="1260"/>
      <c r="TCA20" s="1260"/>
      <c r="TCB20" s="1260"/>
      <c r="TCC20" s="1260"/>
      <c r="TCD20" s="1260"/>
      <c r="TCE20" s="1260"/>
      <c r="TCF20" s="1260"/>
      <c r="TCG20" s="1260"/>
      <c r="TCH20" s="1260"/>
      <c r="TCI20" s="1260"/>
      <c r="TCJ20" s="1260"/>
      <c r="TCK20" s="1260"/>
      <c r="TCL20" s="1260"/>
      <c r="TCM20" s="1260"/>
      <c r="TCN20" s="1260"/>
      <c r="TCO20" s="1260"/>
      <c r="TCP20" s="1260"/>
      <c r="TCQ20" s="1260"/>
      <c r="TCR20" s="1260"/>
      <c r="TCS20" s="1260"/>
      <c r="TCT20" s="1260"/>
      <c r="TCU20" s="1260"/>
      <c r="TCV20" s="1260"/>
      <c r="TCW20" s="1260"/>
      <c r="TCX20" s="1260"/>
      <c r="TCY20" s="1260"/>
      <c r="TCZ20" s="1260"/>
      <c r="TDA20" s="1260"/>
      <c r="TDB20" s="1260"/>
      <c r="TDC20" s="1260"/>
      <c r="TDD20" s="1260"/>
      <c r="TDE20" s="1260"/>
      <c r="TDF20" s="1260"/>
      <c r="TDG20" s="1260"/>
      <c r="TDH20" s="1260"/>
      <c r="TDI20" s="1260"/>
      <c r="TDJ20" s="1260"/>
      <c r="TDK20" s="1260"/>
      <c r="TDL20" s="1260"/>
      <c r="TDM20" s="1260"/>
      <c r="TDN20" s="1260"/>
      <c r="TDO20" s="1260"/>
      <c r="TDP20" s="1260"/>
      <c r="TDQ20" s="1260"/>
      <c r="TDR20" s="1260"/>
      <c r="TDS20" s="1260"/>
      <c r="TDT20" s="1260"/>
      <c r="TDU20" s="1260"/>
      <c r="TDV20" s="1260"/>
      <c r="TDW20" s="1260"/>
      <c r="TDX20" s="1260"/>
      <c r="TDY20" s="1260"/>
      <c r="TDZ20" s="1260"/>
      <c r="TEA20" s="1260"/>
      <c r="TEB20" s="1260"/>
      <c r="TEC20" s="1260"/>
      <c r="TED20" s="1260"/>
      <c r="TEE20" s="1260"/>
      <c r="TEF20" s="1260"/>
      <c r="TEG20" s="1260"/>
      <c r="TEH20" s="1260"/>
      <c r="TEI20" s="1260"/>
      <c r="TEJ20" s="1260"/>
      <c r="TEK20" s="1260"/>
      <c r="TEL20" s="1260"/>
      <c r="TEM20" s="1260"/>
      <c r="TEN20" s="1260"/>
      <c r="TEO20" s="1260"/>
      <c r="TEP20" s="1260"/>
      <c r="TEQ20" s="1260"/>
      <c r="TER20" s="1260"/>
      <c r="TES20" s="1260"/>
      <c r="TET20" s="1260"/>
      <c r="TEU20" s="1260"/>
      <c r="TEV20" s="1260"/>
      <c r="TEW20" s="1260"/>
      <c r="TEX20" s="1260"/>
      <c r="TEY20" s="1260"/>
      <c r="TEZ20" s="1260"/>
      <c r="TFA20" s="1260"/>
      <c r="TFB20" s="1260"/>
      <c r="TFC20" s="1260"/>
      <c r="TFD20" s="1260"/>
      <c r="TFE20" s="1260"/>
      <c r="TFF20" s="1260"/>
      <c r="TFG20" s="1260"/>
      <c r="TFH20" s="1260"/>
      <c r="TFI20" s="1260"/>
      <c r="TFJ20" s="1260"/>
      <c r="TFK20" s="1260"/>
      <c r="TFL20" s="1260"/>
      <c r="TFM20" s="1260"/>
      <c r="TFN20" s="1260"/>
      <c r="TFO20" s="1260"/>
      <c r="TFP20" s="1260"/>
      <c r="TFQ20" s="1260"/>
      <c r="TFR20" s="1260"/>
      <c r="TFS20" s="1260"/>
      <c r="TFT20" s="1260"/>
      <c r="TFU20" s="1260"/>
      <c r="TFV20" s="1260"/>
      <c r="TFW20" s="1260"/>
      <c r="TFX20" s="1260"/>
      <c r="TFY20" s="1260"/>
      <c r="TFZ20" s="1260"/>
      <c r="TGA20" s="1260"/>
      <c r="TGB20" s="1260"/>
      <c r="TGC20" s="1260"/>
      <c r="TGD20" s="1260"/>
      <c r="TGE20" s="1260"/>
      <c r="TGF20" s="1260"/>
      <c r="TGG20" s="1260"/>
      <c r="TGH20" s="1260"/>
      <c r="TGI20" s="1260"/>
      <c r="TGJ20" s="1260"/>
      <c r="TGK20" s="1260"/>
      <c r="TGL20" s="1260"/>
      <c r="TGM20" s="1260"/>
      <c r="TGN20" s="1260"/>
      <c r="TGO20" s="1260"/>
      <c r="TGP20" s="1260"/>
      <c r="TGQ20" s="1260"/>
      <c r="TGR20" s="1260"/>
      <c r="TGS20" s="1260"/>
      <c r="TGT20" s="1260"/>
      <c r="TGU20" s="1260"/>
      <c r="TGV20" s="1260"/>
      <c r="TGW20" s="1260"/>
      <c r="TGX20" s="1260"/>
      <c r="TGY20" s="1260"/>
      <c r="TGZ20" s="1260"/>
      <c r="THA20" s="1260"/>
      <c r="THB20" s="1260"/>
      <c r="THC20" s="1260"/>
      <c r="THD20" s="1260"/>
      <c r="THE20" s="1260"/>
      <c r="THF20" s="1260"/>
      <c r="THG20" s="1260"/>
      <c r="THH20" s="1260"/>
      <c r="THI20" s="1260"/>
      <c r="THJ20" s="1260"/>
      <c r="THK20" s="1260"/>
      <c r="THL20" s="1260"/>
      <c r="THM20" s="1260"/>
      <c r="THN20" s="1260"/>
      <c r="THO20" s="1260"/>
      <c r="THP20" s="1260"/>
      <c r="THQ20" s="1260"/>
      <c r="THR20" s="1260"/>
      <c r="THS20" s="1260"/>
      <c r="THT20" s="1260"/>
      <c r="THU20" s="1260"/>
      <c r="THV20" s="1260"/>
      <c r="THW20" s="1260"/>
      <c r="THX20" s="1260"/>
      <c r="THY20" s="1260"/>
      <c r="THZ20" s="1260"/>
      <c r="TIA20" s="1260"/>
      <c r="TIB20" s="1260"/>
      <c r="TIC20" s="1260"/>
      <c r="TID20" s="1260"/>
      <c r="TIE20" s="1260"/>
      <c r="TIF20" s="1260"/>
      <c r="TIG20" s="1260"/>
      <c r="TIH20" s="1260"/>
      <c r="TII20" s="1260"/>
      <c r="TIJ20" s="1260"/>
      <c r="TIK20" s="1260"/>
      <c r="TIL20" s="1260"/>
      <c r="TIM20" s="1260"/>
      <c r="TIN20" s="1260"/>
      <c r="TIO20" s="1260"/>
      <c r="TIP20" s="1260"/>
      <c r="TIQ20" s="1260"/>
      <c r="TIR20" s="1260"/>
      <c r="TIS20" s="1260"/>
      <c r="TIT20" s="1260"/>
      <c r="TIU20" s="1260"/>
      <c r="TIV20" s="1260"/>
      <c r="TIW20" s="1260"/>
      <c r="TIX20" s="1260"/>
      <c r="TIY20" s="1260"/>
      <c r="TIZ20" s="1260"/>
      <c r="TJA20" s="1260"/>
      <c r="TJB20" s="1260"/>
      <c r="TJC20" s="1260"/>
      <c r="TJD20" s="1260"/>
      <c r="TJE20" s="1260"/>
      <c r="TJF20" s="1260"/>
      <c r="TJG20" s="1260"/>
      <c r="TJH20" s="1260"/>
      <c r="TJI20" s="1260"/>
      <c r="TJJ20" s="1260"/>
      <c r="TJK20" s="1260"/>
      <c r="TJL20" s="1260"/>
      <c r="TJM20" s="1260"/>
      <c r="TJN20" s="1260"/>
      <c r="TJO20" s="1260"/>
      <c r="TJP20" s="1260"/>
      <c r="TJQ20" s="1260"/>
      <c r="TJR20" s="1260"/>
      <c r="TJS20" s="1260"/>
      <c r="TJT20" s="1260"/>
      <c r="TJU20" s="1260"/>
      <c r="TJV20" s="1260"/>
      <c r="TJW20" s="1260"/>
      <c r="TJX20" s="1260"/>
      <c r="TJY20" s="1260"/>
      <c r="TJZ20" s="1260"/>
      <c r="TKA20" s="1260"/>
      <c r="TKB20" s="1260"/>
      <c r="TKC20" s="1260"/>
      <c r="TKD20" s="1260"/>
      <c r="TKE20" s="1260"/>
      <c r="TKF20" s="1260"/>
      <c r="TKG20" s="1260"/>
      <c r="TKH20" s="1260"/>
      <c r="TKI20" s="1260"/>
      <c r="TKJ20" s="1260"/>
      <c r="TKK20" s="1260"/>
      <c r="TKL20" s="1260"/>
      <c r="TKM20" s="1260"/>
      <c r="TKN20" s="1260"/>
      <c r="TKO20" s="1260"/>
      <c r="TKP20" s="1260"/>
      <c r="TKQ20" s="1260"/>
      <c r="TKR20" s="1260"/>
      <c r="TKS20" s="1260"/>
      <c r="TKT20" s="1260"/>
      <c r="TKU20" s="1260"/>
      <c r="TKV20" s="1260"/>
      <c r="TKW20" s="1260"/>
      <c r="TKX20" s="1260"/>
      <c r="TKY20" s="1260"/>
      <c r="TKZ20" s="1260"/>
      <c r="TLA20" s="1260"/>
      <c r="TLB20" s="1260"/>
      <c r="TLC20" s="1260"/>
      <c r="TLD20" s="1260"/>
      <c r="TLE20" s="1260"/>
      <c r="TLF20" s="1260"/>
      <c r="TLG20" s="1260"/>
      <c r="TLH20" s="1260"/>
      <c r="TLI20" s="1260"/>
      <c r="TLJ20" s="1260"/>
      <c r="TLK20" s="1260"/>
      <c r="TLL20" s="1260"/>
      <c r="TLM20" s="1260"/>
      <c r="TLN20" s="1260"/>
      <c r="TLO20" s="1260"/>
      <c r="TLP20" s="1260"/>
      <c r="TLQ20" s="1260"/>
      <c r="TLR20" s="1260"/>
      <c r="TLS20" s="1260"/>
      <c r="TLT20" s="1260"/>
      <c r="TLU20" s="1260"/>
      <c r="TLV20" s="1260"/>
      <c r="TLW20" s="1260"/>
      <c r="TLX20" s="1260"/>
      <c r="TLY20" s="1260"/>
      <c r="TLZ20" s="1260"/>
      <c r="TMA20" s="1260"/>
      <c r="TMB20" s="1260"/>
      <c r="TMC20" s="1260"/>
      <c r="TMD20" s="1260"/>
      <c r="TME20" s="1260"/>
      <c r="TMF20" s="1260"/>
      <c r="TMG20" s="1260"/>
      <c r="TMH20" s="1260"/>
      <c r="TMI20" s="1260"/>
      <c r="TMJ20" s="1260"/>
      <c r="TMK20" s="1260"/>
      <c r="TML20" s="1260"/>
      <c r="TMM20" s="1260"/>
      <c r="TMN20" s="1260"/>
      <c r="TMO20" s="1260"/>
      <c r="TMP20" s="1260"/>
      <c r="TMQ20" s="1260"/>
      <c r="TMR20" s="1260"/>
      <c r="TMS20" s="1260"/>
      <c r="TMT20" s="1260"/>
      <c r="TMU20" s="1260"/>
      <c r="TMV20" s="1260"/>
      <c r="TMW20" s="1260"/>
      <c r="TMX20" s="1260"/>
      <c r="TMY20" s="1260"/>
      <c r="TMZ20" s="1260"/>
      <c r="TNA20" s="1260"/>
      <c r="TNB20" s="1260"/>
      <c r="TNC20" s="1260"/>
      <c r="TND20" s="1260"/>
      <c r="TNE20" s="1260"/>
      <c r="TNF20" s="1260"/>
      <c r="TNG20" s="1260"/>
      <c r="TNH20" s="1260"/>
      <c r="TNI20" s="1260"/>
      <c r="TNJ20" s="1260"/>
      <c r="TNK20" s="1260"/>
      <c r="TNL20" s="1260"/>
      <c r="TNM20" s="1260"/>
      <c r="TNN20" s="1260"/>
      <c r="TNO20" s="1260"/>
      <c r="TNP20" s="1260"/>
      <c r="TNQ20" s="1260"/>
      <c r="TNR20" s="1260"/>
      <c r="TNS20" s="1260"/>
      <c r="TNT20" s="1260"/>
      <c r="TNU20" s="1260"/>
      <c r="TNV20" s="1260"/>
      <c r="TNW20" s="1260"/>
      <c r="TNX20" s="1260"/>
      <c r="TNY20" s="1260"/>
      <c r="TNZ20" s="1260"/>
      <c r="TOA20" s="1260"/>
      <c r="TOB20" s="1260"/>
      <c r="TOC20" s="1260"/>
      <c r="TOD20" s="1260"/>
      <c r="TOE20" s="1260"/>
      <c r="TOF20" s="1260"/>
      <c r="TOG20" s="1260"/>
      <c r="TOH20" s="1260"/>
      <c r="TOI20" s="1260"/>
      <c r="TOJ20" s="1260"/>
      <c r="TOK20" s="1260"/>
      <c r="TOL20" s="1260"/>
      <c r="TOM20" s="1260"/>
      <c r="TON20" s="1260"/>
      <c r="TOO20" s="1260"/>
      <c r="TOP20" s="1260"/>
      <c r="TOQ20" s="1260"/>
      <c r="TOR20" s="1260"/>
      <c r="TOS20" s="1260"/>
      <c r="TOT20" s="1260"/>
      <c r="TOU20" s="1260"/>
      <c r="TOV20" s="1260"/>
      <c r="TOW20" s="1260"/>
      <c r="TOX20" s="1260"/>
      <c r="TOY20" s="1260"/>
      <c r="TOZ20" s="1260"/>
      <c r="TPA20" s="1260"/>
      <c r="TPB20" s="1260"/>
      <c r="TPC20" s="1260"/>
      <c r="TPD20" s="1260"/>
      <c r="TPE20" s="1260"/>
      <c r="TPF20" s="1260"/>
      <c r="TPG20" s="1260"/>
      <c r="TPH20" s="1260"/>
      <c r="TPI20" s="1260"/>
      <c r="TPJ20" s="1260"/>
      <c r="TPK20" s="1260"/>
      <c r="TPL20" s="1260"/>
      <c r="TPM20" s="1260"/>
      <c r="TPN20" s="1260"/>
      <c r="TPO20" s="1260"/>
      <c r="TPP20" s="1260"/>
      <c r="TPQ20" s="1260"/>
      <c r="TPR20" s="1260"/>
      <c r="TPS20" s="1260"/>
      <c r="TPT20" s="1260"/>
      <c r="TPU20" s="1260"/>
      <c r="TPV20" s="1260"/>
      <c r="TPW20" s="1260"/>
      <c r="TPX20" s="1260"/>
      <c r="TPY20" s="1260"/>
      <c r="TPZ20" s="1260"/>
      <c r="TQA20" s="1260"/>
      <c r="TQB20" s="1260"/>
      <c r="TQC20" s="1260"/>
      <c r="TQD20" s="1260"/>
      <c r="TQE20" s="1260"/>
      <c r="TQF20" s="1260"/>
      <c r="TQG20" s="1260"/>
      <c r="TQH20" s="1260"/>
      <c r="TQI20" s="1260"/>
      <c r="TQJ20" s="1260"/>
      <c r="TQK20" s="1260"/>
      <c r="TQL20" s="1260"/>
      <c r="TQM20" s="1260"/>
      <c r="TQN20" s="1260"/>
      <c r="TQO20" s="1260"/>
      <c r="TQP20" s="1260"/>
      <c r="TQQ20" s="1260"/>
      <c r="TQR20" s="1260"/>
      <c r="TQS20" s="1260"/>
      <c r="TQT20" s="1260"/>
      <c r="TQU20" s="1260"/>
      <c r="TQV20" s="1260"/>
      <c r="TQW20" s="1260"/>
      <c r="TQX20" s="1260"/>
      <c r="TQY20" s="1260"/>
      <c r="TQZ20" s="1260"/>
      <c r="TRA20" s="1260"/>
      <c r="TRB20" s="1260"/>
      <c r="TRC20" s="1260"/>
      <c r="TRD20" s="1260"/>
      <c r="TRE20" s="1260"/>
      <c r="TRF20" s="1260"/>
      <c r="TRG20" s="1260"/>
      <c r="TRH20" s="1260"/>
      <c r="TRI20" s="1260"/>
      <c r="TRJ20" s="1260"/>
      <c r="TRK20" s="1260"/>
      <c r="TRL20" s="1260"/>
      <c r="TRM20" s="1260"/>
      <c r="TRN20" s="1260"/>
      <c r="TRO20" s="1260"/>
      <c r="TRP20" s="1260"/>
      <c r="TRQ20" s="1260"/>
      <c r="TRR20" s="1260"/>
      <c r="TRS20" s="1260"/>
      <c r="TRT20" s="1260"/>
      <c r="TRU20" s="1260"/>
      <c r="TRV20" s="1260"/>
      <c r="TRW20" s="1260"/>
      <c r="TRX20" s="1260"/>
      <c r="TRY20" s="1260"/>
      <c r="TRZ20" s="1260"/>
      <c r="TSA20" s="1260"/>
      <c r="TSB20" s="1260"/>
      <c r="TSC20" s="1260"/>
      <c r="TSD20" s="1260"/>
      <c r="TSE20" s="1260"/>
      <c r="TSF20" s="1260"/>
      <c r="TSG20" s="1260"/>
      <c r="TSH20" s="1260"/>
      <c r="TSI20" s="1260"/>
      <c r="TSJ20" s="1260"/>
      <c r="TSK20" s="1260"/>
      <c r="TSL20" s="1260"/>
      <c r="TSM20" s="1260"/>
      <c r="TSN20" s="1260"/>
      <c r="TSO20" s="1260"/>
      <c r="TSP20" s="1260"/>
      <c r="TSQ20" s="1260"/>
      <c r="TSR20" s="1260"/>
      <c r="TSS20" s="1260"/>
      <c r="TST20" s="1260"/>
      <c r="TSU20" s="1260"/>
      <c r="TSV20" s="1260"/>
      <c r="TSW20" s="1260"/>
      <c r="TSX20" s="1260"/>
      <c r="TSY20" s="1260"/>
      <c r="TSZ20" s="1260"/>
      <c r="TTA20" s="1260"/>
      <c r="TTB20" s="1260"/>
      <c r="TTC20" s="1260"/>
      <c r="TTD20" s="1260"/>
      <c r="TTE20" s="1260"/>
      <c r="TTF20" s="1260"/>
      <c r="TTG20" s="1260"/>
      <c r="TTH20" s="1260"/>
      <c r="TTI20" s="1260"/>
      <c r="TTJ20" s="1260"/>
      <c r="TTK20" s="1260"/>
      <c r="TTL20" s="1260"/>
      <c r="TTM20" s="1260"/>
      <c r="TTN20" s="1260"/>
      <c r="TTO20" s="1260"/>
      <c r="TTP20" s="1260"/>
      <c r="TTQ20" s="1260"/>
      <c r="TTR20" s="1260"/>
      <c r="TTS20" s="1260"/>
      <c r="TTT20" s="1260"/>
      <c r="TTU20" s="1260"/>
      <c r="TTV20" s="1260"/>
      <c r="TTW20" s="1260"/>
      <c r="TTX20" s="1260"/>
      <c r="TTY20" s="1260"/>
      <c r="TTZ20" s="1260"/>
      <c r="TUA20" s="1260"/>
      <c r="TUB20" s="1260"/>
      <c r="TUC20" s="1260"/>
      <c r="TUD20" s="1260"/>
      <c r="TUE20" s="1260"/>
      <c r="TUF20" s="1260"/>
      <c r="TUG20" s="1260"/>
      <c r="TUH20" s="1260"/>
      <c r="TUI20" s="1260"/>
      <c r="TUJ20" s="1260"/>
      <c r="TUK20" s="1260"/>
      <c r="TUL20" s="1260"/>
      <c r="TUM20" s="1260"/>
      <c r="TUN20" s="1260"/>
      <c r="TUO20" s="1260"/>
      <c r="TUP20" s="1260"/>
      <c r="TUQ20" s="1260"/>
      <c r="TUR20" s="1260"/>
      <c r="TUS20" s="1260"/>
      <c r="TUT20" s="1260"/>
      <c r="TUU20" s="1260"/>
      <c r="TUV20" s="1260"/>
      <c r="TUW20" s="1260"/>
      <c r="TUX20" s="1260"/>
      <c r="TUY20" s="1260"/>
      <c r="TUZ20" s="1260"/>
      <c r="TVA20" s="1260"/>
      <c r="TVB20" s="1260"/>
      <c r="TVC20" s="1260"/>
      <c r="TVD20" s="1260"/>
      <c r="TVE20" s="1260"/>
      <c r="TVF20" s="1260"/>
      <c r="TVG20" s="1260"/>
      <c r="TVH20" s="1260"/>
      <c r="TVI20" s="1260"/>
      <c r="TVJ20" s="1260"/>
      <c r="TVK20" s="1260"/>
      <c r="TVL20" s="1260"/>
      <c r="TVM20" s="1260"/>
      <c r="TVN20" s="1260"/>
      <c r="TVO20" s="1260"/>
      <c r="TVP20" s="1260"/>
      <c r="TVQ20" s="1260"/>
      <c r="TVR20" s="1260"/>
      <c r="TVS20" s="1260"/>
      <c r="TVT20" s="1260"/>
      <c r="TVU20" s="1260"/>
      <c r="TVV20" s="1260"/>
      <c r="TVW20" s="1260"/>
      <c r="TVX20" s="1260"/>
      <c r="TVY20" s="1260"/>
      <c r="TVZ20" s="1260"/>
      <c r="TWA20" s="1260"/>
      <c r="TWB20" s="1260"/>
      <c r="TWC20" s="1260"/>
      <c r="TWD20" s="1260"/>
      <c r="TWE20" s="1260"/>
      <c r="TWF20" s="1260"/>
      <c r="TWG20" s="1260"/>
      <c r="TWH20" s="1260"/>
      <c r="TWI20" s="1260"/>
      <c r="TWJ20" s="1260"/>
      <c r="TWK20" s="1260"/>
      <c r="TWL20" s="1260"/>
      <c r="TWM20" s="1260"/>
      <c r="TWN20" s="1260"/>
      <c r="TWO20" s="1260"/>
      <c r="TWP20" s="1260"/>
      <c r="TWQ20" s="1260"/>
      <c r="TWR20" s="1260"/>
      <c r="TWS20" s="1260"/>
      <c r="TWT20" s="1260"/>
      <c r="TWU20" s="1260"/>
      <c r="TWV20" s="1260"/>
      <c r="TWW20" s="1260"/>
      <c r="TWX20" s="1260"/>
      <c r="TWY20" s="1260"/>
      <c r="TWZ20" s="1260"/>
      <c r="TXA20" s="1260"/>
      <c r="TXB20" s="1260"/>
      <c r="TXC20" s="1260"/>
      <c r="TXD20" s="1260"/>
      <c r="TXE20" s="1260"/>
      <c r="TXF20" s="1260"/>
      <c r="TXG20" s="1260"/>
      <c r="TXH20" s="1260"/>
      <c r="TXI20" s="1260"/>
      <c r="TXJ20" s="1260"/>
      <c r="TXK20" s="1260"/>
      <c r="TXL20" s="1260"/>
      <c r="TXM20" s="1260"/>
      <c r="TXN20" s="1260"/>
      <c r="TXO20" s="1260"/>
      <c r="TXP20" s="1260"/>
      <c r="TXQ20" s="1260"/>
      <c r="TXR20" s="1260"/>
      <c r="TXS20" s="1260"/>
      <c r="TXT20" s="1260"/>
      <c r="TXU20" s="1260"/>
      <c r="TXV20" s="1260"/>
      <c r="TXW20" s="1260"/>
      <c r="TXX20" s="1260"/>
      <c r="TXY20" s="1260"/>
      <c r="TXZ20" s="1260"/>
      <c r="TYA20" s="1260"/>
      <c r="TYB20" s="1260"/>
      <c r="TYC20" s="1260"/>
      <c r="TYD20" s="1260"/>
      <c r="TYE20" s="1260"/>
      <c r="TYF20" s="1260"/>
      <c r="TYG20" s="1260"/>
      <c r="TYH20" s="1260"/>
      <c r="TYI20" s="1260"/>
      <c r="TYJ20" s="1260"/>
      <c r="TYK20" s="1260"/>
      <c r="TYL20" s="1260"/>
      <c r="TYM20" s="1260"/>
      <c r="TYN20" s="1260"/>
      <c r="TYO20" s="1260"/>
      <c r="TYP20" s="1260"/>
      <c r="TYQ20" s="1260"/>
      <c r="TYR20" s="1260"/>
      <c r="TYS20" s="1260"/>
      <c r="TYT20" s="1260"/>
      <c r="TYU20" s="1260"/>
      <c r="TYV20" s="1260"/>
      <c r="TYW20" s="1260"/>
      <c r="TYX20" s="1260"/>
      <c r="TYY20" s="1260"/>
      <c r="TYZ20" s="1260"/>
      <c r="TZA20" s="1260"/>
      <c r="TZB20" s="1260"/>
      <c r="TZC20" s="1260"/>
      <c r="TZD20" s="1260"/>
      <c r="TZE20" s="1260"/>
      <c r="TZF20" s="1260"/>
      <c r="TZG20" s="1260"/>
      <c r="TZH20" s="1260"/>
      <c r="TZI20" s="1260"/>
      <c r="TZJ20" s="1260"/>
      <c r="TZK20" s="1260"/>
      <c r="TZL20" s="1260"/>
      <c r="TZM20" s="1260"/>
      <c r="TZN20" s="1260"/>
      <c r="TZO20" s="1260"/>
      <c r="TZP20" s="1260"/>
      <c r="TZQ20" s="1260"/>
      <c r="TZR20" s="1260"/>
      <c r="TZS20" s="1260"/>
      <c r="TZT20" s="1260"/>
      <c r="TZU20" s="1260"/>
      <c r="TZV20" s="1260"/>
      <c r="TZW20" s="1260"/>
      <c r="TZX20" s="1260"/>
      <c r="TZY20" s="1260"/>
      <c r="TZZ20" s="1260"/>
      <c r="UAA20" s="1260"/>
      <c r="UAB20" s="1260"/>
      <c r="UAC20" s="1260"/>
      <c r="UAD20" s="1260"/>
      <c r="UAE20" s="1260"/>
      <c r="UAF20" s="1260"/>
      <c r="UAG20" s="1260"/>
      <c r="UAH20" s="1260"/>
      <c r="UAI20" s="1260"/>
      <c r="UAJ20" s="1260"/>
      <c r="UAK20" s="1260"/>
      <c r="UAL20" s="1260"/>
      <c r="UAM20" s="1260"/>
      <c r="UAN20" s="1260"/>
      <c r="UAO20" s="1260"/>
      <c r="UAP20" s="1260"/>
      <c r="UAQ20" s="1260"/>
      <c r="UAR20" s="1260"/>
      <c r="UAS20" s="1260"/>
      <c r="UAT20" s="1260"/>
      <c r="UAU20" s="1260"/>
      <c r="UAV20" s="1260"/>
      <c r="UAW20" s="1260"/>
      <c r="UAX20" s="1260"/>
      <c r="UAY20" s="1260"/>
      <c r="UAZ20" s="1260"/>
      <c r="UBA20" s="1260"/>
      <c r="UBB20" s="1260"/>
      <c r="UBC20" s="1260"/>
      <c r="UBD20" s="1260"/>
      <c r="UBE20" s="1260"/>
      <c r="UBF20" s="1260"/>
      <c r="UBG20" s="1260"/>
      <c r="UBH20" s="1260"/>
      <c r="UBI20" s="1260"/>
      <c r="UBJ20" s="1260"/>
      <c r="UBK20" s="1260"/>
      <c r="UBL20" s="1260"/>
      <c r="UBM20" s="1260"/>
      <c r="UBN20" s="1260"/>
      <c r="UBO20" s="1260"/>
      <c r="UBP20" s="1260"/>
      <c r="UBQ20" s="1260"/>
      <c r="UBR20" s="1260"/>
      <c r="UBS20" s="1260"/>
      <c r="UBT20" s="1260"/>
      <c r="UBU20" s="1260"/>
      <c r="UBV20" s="1260"/>
      <c r="UBW20" s="1260"/>
      <c r="UBX20" s="1260"/>
      <c r="UBY20" s="1260"/>
      <c r="UBZ20" s="1260"/>
      <c r="UCA20" s="1260"/>
      <c r="UCB20" s="1260"/>
      <c r="UCC20" s="1260"/>
      <c r="UCD20" s="1260"/>
      <c r="UCE20" s="1260"/>
      <c r="UCF20" s="1260"/>
      <c r="UCG20" s="1260"/>
      <c r="UCH20" s="1260"/>
      <c r="UCI20" s="1260"/>
      <c r="UCJ20" s="1260"/>
      <c r="UCK20" s="1260"/>
      <c r="UCL20" s="1260"/>
      <c r="UCM20" s="1260"/>
      <c r="UCN20" s="1260"/>
      <c r="UCO20" s="1260"/>
      <c r="UCP20" s="1260"/>
      <c r="UCQ20" s="1260"/>
      <c r="UCR20" s="1260"/>
      <c r="UCS20" s="1260"/>
      <c r="UCT20" s="1260"/>
      <c r="UCU20" s="1260"/>
      <c r="UCV20" s="1260"/>
      <c r="UCW20" s="1260"/>
      <c r="UCX20" s="1260"/>
      <c r="UCY20" s="1260"/>
      <c r="UCZ20" s="1260"/>
      <c r="UDA20" s="1260"/>
      <c r="UDB20" s="1260"/>
      <c r="UDC20" s="1260"/>
      <c r="UDD20" s="1260"/>
      <c r="UDE20" s="1260"/>
      <c r="UDF20" s="1260"/>
      <c r="UDG20" s="1260"/>
      <c r="UDH20" s="1260"/>
      <c r="UDI20" s="1260"/>
      <c r="UDJ20" s="1260"/>
      <c r="UDK20" s="1260"/>
      <c r="UDL20" s="1260"/>
      <c r="UDM20" s="1260"/>
      <c r="UDN20" s="1260"/>
      <c r="UDO20" s="1260"/>
      <c r="UDP20" s="1260"/>
      <c r="UDQ20" s="1260"/>
      <c r="UDR20" s="1260"/>
      <c r="UDS20" s="1260"/>
      <c r="UDT20" s="1260"/>
      <c r="UDU20" s="1260"/>
      <c r="UDV20" s="1260"/>
      <c r="UDW20" s="1260"/>
      <c r="UDX20" s="1260"/>
      <c r="UDY20" s="1260"/>
      <c r="UDZ20" s="1260"/>
      <c r="UEA20" s="1260"/>
      <c r="UEB20" s="1260"/>
      <c r="UEC20" s="1260"/>
      <c r="UED20" s="1260"/>
      <c r="UEE20" s="1260"/>
      <c r="UEF20" s="1260"/>
      <c r="UEG20" s="1260"/>
      <c r="UEH20" s="1260"/>
      <c r="UEI20" s="1260"/>
      <c r="UEJ20" s="1260"/>
      <c r="UEK20" s="1260"/>
      <c r="UEL20" s="1260"/>
      <c r="UEM20" s="1260"/>
      <c r="UEN20" s="1260"/>
      <c r="UEO20" s="1260"/>
      <c r="UEP20" s="1260"/>
      <c r="UEQ20" s="1260"/>
      <c r="UER20" s="1260"/>
      <c r="UES20" s="1260"/>
      <c r="UET20" s="1260"/>
      <c r="UEU20" s="1260"/>
      <c r="UEV20" s="1260"/>
      <c r="UEW20" s="1260"/>
      <c r="UEX20" s="1260"/>
      <c r="UEY20" s="1260"/>
      <c r="UEZ20" s="1260"/>
      <c r="UFA20" s="1260"/>
      <c r="UFB20" s="1260"/>
      <c r="UFC20" s="1260"/>
      <c r="UFD20" s="1260"/>
      <c r="UFE20" s="1260"/>
      <c r="UFF20" s="1260"/>
      <c r="UFG20" s="1260"/>
      <c r="UFH20" s="1260"/>
      <c r="UFI20" s="1260"/>
      <c r="UFJ20" s="1260"/>
      <c r="UFK20" s="1260"/>
      <c r="UFL20" s="1260"/>
      <c r="UFM20" s="1260"/>
      <c r="UFN20" s="1260"/>
      <c r="UFO20" s="1260"/>
      <c r="UFP20" s="1260"/>
      <c r="UFQ20" s="1260"/>
      <c r="UFR20" s="1260"/>
      <c r="UFS20" s="1260"/>
      <c r="UFT20" s="1260"/>
      <c r="UFU20" s="1260"/>
      <c r="UFV20" s="1260"/>
      <c r="UFW20" s="1260"/>
      <c r="UFX20" s="1260"/>
      <c r="UFY20" s="1260"/>
      <c r="UFZ20" s="1260"/>
      <c r="UGA20" s="1260"/>
      <c r="UGB20" s="1260"/>
      <c r="UGC20" s="1260"/>
      <c r="UGD20" s="1260"/>
      <c r="UGE20" s="1260"/>
      <c r="UGF20" s="1260"/>
      <c r="UGG20" s="1260"/>
      <c r="UGH20" s="1260"/>
      <c r="UGI20" s="1260"/>
      <c r="UGJ20" s="1260"/>
      <c r="UGK20" s="1260"/>
      <c r="UGL20" s="1260"/>
      <c r="UGM20" s="1260"/>
      <c r="UGN20" s="1260"/>
      <c r="UGO20" s="1260"/>
      <c r="UGP20" s="1260"/>
      <c r="UGQ20" s="1260"/>
      <c r="UGR20" s="1260"/>
      <c r="UGS20" s="1260"/>
      <c r="UGT20" s="1260"/>
      <c r="UGU20" s="1260"/>
      <c r="UGV20" s="1260"/>
      <c r="UGW20" s="1260"/>
      <c r="UGX20" s="1260"/>
      <c r="UGY20" s="1260"/>
      <c r="UGZ20" s="1260"/>
      <c r="UHA20" s="1260"/>
      <c r="UHB20" s="1260"/>
      <c r="UHC20" s="1260"/>
      <c r="UHD20" s="1260"/>
      <c r="UHE20" s="1260"/>
      <c r="UHF20" s="1260"/>
      <c r="UHG20" s="1260"/>
      <c r="UHH20" s="1260"/>
      <c r="UHI20" s="1260"/>
      <c r="UHJ20" s="1260"/>
      <c r="UHK20" s="1260"/>
      <c r="UHL20" s="1260"/>
      <c r="UHM20" s="1260"/>
      <c r="UHN20" s="1260"/>
      <c r="UHO20" s="1260"/>
      <c r="UHP20" s="1260"/>
      <c r="UHQ20" s="1260"/>
      <c r="UHR20" s="1260"/>
      <c r="UHS20" s="1260"/>
      <c r="UHT20" s="1260"/>
      <c r="UHU20" s="1260"/>
      <c r="UHV20" s="1260"/>
      <c r="UHW20" s="1260"/>
      <c r="UHX20" s="1260"/>
      <c r="UHY20" s="1260"/>
      <c r="UHZ20" s="1260"/>
      <c r="UIA20" s="1260"/>
      <c r="UIB20" s="1260"/>
      <c r="UIC20" s="1260"/>
      <c r="UID20" s="1260"/>
      <c r="UIE20" s="1260"/>
      <c r="UIF20" s="1260"/>
      <c r="UIG20" s="1260"/>
      <c r="UIH20" s="1260"/>
      <c r="UII20" s="1260"/>
      <c r="UIJ20" s="1260"/>
      <c r="UIK20" s="1260"/>
      <c r="UIL20" s="1260"/>
      <c r="UIM20" s="1260"/>
      <c r="UIN20" s="1260"/>
      <c r="UIO20" s="1260"/>
      <c r="UIP20" s="1260"/>
      <c r="UIQ20" s="1260"/>
      <c r="UIR20" s="1260"/>
      <c r="UIS20" s="1260"/>
      <c r="UIT20" s="1260"/>
      <c r="UIU20" s="1260"/>
      <c r="UIV20" s="1260"/>
      <c r="UIW20" s="1260"/>
      <c r="UIX20" s="1260"/>
      <c r="UIY20" s="1260"/>
      <c r="UIZ20" s="1260"/>
      <c r="UJA20" s="1260"/>
      <c r="UJB20" s="1260"/>
      <c r="UJC20" s="1260"/>
      <c r="UJD20" s="1260"/>
      <c r="UJE20" s="1260"/>
      <c r="UJF20" s="1260"/>
      <c r="UJG20" s="1260"/>
      <c r="UJH20" s="1260"/>
      <c r="UJI20" s="1260"/>
      <c r="UJJ20" s="1260"/>
      <c r="UJK20" s="1260"/>
      <c r="UJL20" s="1260"/>
      <c r="UJM20" s="1260"/>
      <c r="UJN20" s="1260"/>
      <c r="UJO20" s="1260"/>
      <c r="UJP20" s="1260"/>
      <c r="UJQ20" s="1260"/>
      <c r="UJR20" s="1260"/>
      <c r="UJS20" s="1260"/>
      <c r="UJT20" s="1260"/>
      <c r="UJU20" s="1260"/>
      <c r="UJV20" s="1260"/>
      <c r="UJW20" s="1260"/>
      <c r="UJX20" s="1260"/>
      <c r="UJY20" s="1260"/>
      <c r="UJZ20" s="1260"/>
      <c r="UKA20" s="1260"/>
      <c r="UKB20" s="1260"/>
      <c r="UKC20" s="1260"/>
      <c r="UKD20" s="1260"/>
      <c r="UKE20" s="1260"/>
      <c r="UKF20" s="1260"/>
      <c r="UKG20" s="1260"/>
      <c r="UKH20" s="1260"/>
      <c r="UKI20" s="1260"/>
      <c r="UKJ20" s="1260"/>
      <c r="UKK20" s="1260"/>
      <c r="UKL20" s="1260"/>
      <c r="UKM20" s="1260"/>
      <c r="UKN20" s="1260"/>
      <c r="UKO20" s="1260"/>
      <c r="UKP20" s="1260"/>
      <c r="UKQ20" s="1260"/>
      <c r="UKR20" s="1260"/>
      <c r="UKS20" s="1260"/>
      <c r="UKT20" s="1260"/>
      <c r="UKU20" s="1260"/>
      <c r="UKV20" s="1260"/>
      <c r="UKW20" s="1260"/>
      <c r="UKX20" s="1260"/>
      <c r="UKY20" s="1260"/>
      <c r="UKZ20" s="1260"/>
      <c r="ULA20" s="1260"/>
      <c r="ULB20" s="1260"/>
      <c r="ULC20" s="1260"/>
      <c r="ULD20" s="1260"/>
      <c r="ULE20" s="1260"/>
      <c r="ULF20" s="1260"/>
      <c r="ULG20" s="1260"/>
      <c r="ULH20" s="1260"/>
      <c r="ULI20" s="1260"/>
      <c r="ULJ20" s="1260"/>
      <c r="ULK20" s="1260"/>
      <c r="ULL20" s="1260"/>
      <c r="ULM20" s="1260"/>
      <c r="ULN20" s="1260"/>
      <c r="ULO20" s="1260"/>
      <c r="ULP20" s="1260"/>
      <c r="ULQ20" s="1260"/>
      <c r="ULR20" s="1260"/>
      <c r="ULS20" s="1260"/>
      <c r="ULT20" s="1260"/>
      <c r="ULU20" s="1260"/>
      <c r="ULV20" s="1260"/>
      <c r="ULW20" s="1260"/>
      <c r="ULX20" s="1260"/>
      <c r="ULY20" s="1260"/>
      <c r="ULZ20" s="1260"/>
      <c r="UMA20" s="1260"/>
      <c r="UMB20" s="1260"/>
      <c r="UMC20" s="1260"/>
      <c r="UMD20" s="1260"/>
      <c r="UME20" s="1260"/>
      <c r="UMF20" s="1260"/>
      <c r="UMG20" s="1260"/>
      <c r="UMH20" s="1260"/>
      <c r="UMI20" s="1260"/>
      <c r="UMJ20" s="1260"/>
      <c r="UMK20" s="1260"/>
      <c r="UML20" s="1260"/>
      <c r="UMM20" s="1260"/>
      <c r="UMN20" s="1260"/>
      <c r="UMO20" s="1260"/>
      <c r="UMP20" s="1260"/>
      <c r="UMQ20" s="1260"/>
      <c r="UMR20" s="1260"/>
      <c r="UMS20" s="1260"/>
      <c r="UMT20" s="1260"/>
      <c r="UMU20" s="1260"/>
      <c r="UMV20" s="1260"/>
      <c r="UMW20" s="1260"/>
      <c r="UMX20" s="1260"/>
      <c r="UMY20" s="1260"/>
      <c r="UMZ20" s="1260"/>
      <c r="UNA20" s="1260"/>
      <c r="UNB20" s="1260"/>
      <c r="UNC20" s="1260"/>
      <c r="UND20" s="1260"/>
      <c r="UNE20" s="1260"/>
      <c r="UNF20" s="1260"/>
      <c r="UNG20" s="1260"/>
      <c r="UNH20" s="1260"/>
      <c r="UNI20" s="1260"/>
      <c r="UNJ20" s="1260"/>
      <c r="UNK20" s="1260"/>
      <c r="UNL20" s="1260"/>
      <c r="UNM20" s="1260"/>
      <c r="UNN20" s="1260"/>
      <c r="UNO20" s="1260"/>
      <c r="UNP20" s="1260"/>
      <c r="UNQ20" s="1260"/>
      <c r="UNR20" s="1260"/>
      <c r="UNS20" s="1260"/>
      <c r="UNT20" s="1260"/>
      <c r="UNU20" s="1260"/>
      <c r="UNV20" s="1260"/>
      <c r="UNW20" s="1260"/>
      <c r="UNX20" s="1260"/>
      <c r="UNY20" s="1260"/>
      <c r="UNZ20" s="1260"/>
      <c r="UOA20" s="1260"/>
      <c r="UOB20" s="1260"/>
      <c r="UOC20" s="1260"/>
      <c r="UOD20" s="1260"/>
      <c r="UOE20" s="1260"/>
      <c r="UOF20" s="1260"/>
      <c r="UOG20" s="1260"/>
      <c r="UOH20" s="1260"/>
      <c r="UOI20" s="1260"/>
      <c r="UOJ20" s="1260"/>
      <c r="UOK20" s="1260"/>
      <c r="UOL20" s="1260"/>
      <c r="UOM20" s="1260"/>
      <c r="UON20" s="1260"/>
      <c r="UOO20" s="1260"/>
      <c r="UOP20" s="1260"/>
      <c r="UOQ20" s="1260"/>
      <c r="UOR20" s="1260"/>
      <c r="UOS20" s="1260"/>
      <c r="UOT20" s="1260"/>
      <c r="UOU20" s="1260"/>
      <c r="UOV20" s="1260"/>
      <c r="UOW20" s="1260"/>
      <c r="UOX20" s="1260"/>
      <c r="UOY20" s="1260"/>
      <c r="UOZ20" s="1260"/>
      <c r="UPA20" s="1260"/>
      <c r="UPB20" s="1260"/>
      <c r="UPC20" s="1260"/>
      <c r="UPD20" s="1260"/>
      <c r="UPE20" s="1260"/>
      <c r="UPF20" s="1260"/>
      <c r="UPG20" s="1260"/>
      <c r="UPH20" s="1260"/>
      <c r="UPI20" s="1260"/>
      <c r="UPJ20" s="1260"/>
      <c r="UPK20" s="1260"/>
      <c r="UPL20" s="1260"/>
      <c r="UPM20" s="1260"/>
      <c r="UPN20" s="1260"/>
      <c r="UPO20" s="1260"/>
      <c r="UPP20" s="1260"/>
      <c r="UPQ20" s="1260"/>
      <c r="UPR20" s="1260"/>
      <c r="UPS20" s="1260"/>
      <c r="UPT20" s="1260"/>
      <c r="UPU20" s="1260"/>
      <c r="UPV20" s="1260"/>
      <c r="UPW20" s="1260"/>
      <c r="UPX20" s="1260"/>
      <c r="UPY20" s="1260"/>
      <c r="UPZ20" s="1260"/>
      <c r="UQA20" s="1260"/>
      <c r="UQB20" s="1260"/>
      <c r="UQC20" s="1260"/>
      <c r="UQD20" s="1260"/>
      <c r="UQE20" s="1260"/>
      <c r="UQF20" s="1260"/>
      <c r="UQG20" s="1260"/>
      <c r="UQH20" s="1260"/>
      <c r="UQI20" s="1260"/>
      <c r="UQJ20" s="1260"/>
      <c r="UQK20" s="1260"/>
      <c r="UQL20" s="1260"/>
      <c r="UQM20" s="1260"/>
      <c r="UQN20" s="1260"/>
      <c r="UQO20" s="1260"/>
      <c r="UQP20" s="1260"/>
      <c r="UQQ20" s="1260"/>
      <c r="UQR20" s="1260"/>
      <c r="UQS20" s="1260"/>
      <c r="UQT20" s="1260"/>
      <c r="UQU20" s="1260"/>
      <c r="UQV20" s="1260"/>
      <c r="UQW20" s="1260"/>
      <c r="UQX20" s="1260"/>
      <c r="UQY20" s="1260"/>
      <c r="UQZ20" s="1260"/>
      <c r="URA20" s="1260"/>
      <c r="URB20" s="1260"/>
      <c r="URC20" s="1260"/>
      <c r="URD20" s="1260"/>
      <c r="URE20" s="1260"/>
      <c r="URF20" s="1260"/>
      <c r="URG20" s="1260"/>
      <c r="URH20" s="1260"/>
      <c r="URI20" s="1260"/>
      <c r="URJ20" s="1260"/>
      <c r="URK20" s="1260"/>
      <c r="URL20" s="1260"/>
      <c r="URM20" s="1260"/>
      <c r="URN20" s="1260"/>
      <c r="URO20" s="1260"/>
      <c r="URP20" s="1260"/>
      <c r="URQ20" s="1260"/>
      <c r="URR20" s="1260"/>
      <c r="URS20" s="1260"/>
      <c r="URT20" s="1260"/>
      <c r="URU20" s="1260"/>
      <c r="URV20" s="1260"/>
      <c r="URW20" s="1260"/>
      <c r="URX20" s="1260"/>
      <c r="URY20" s="1260"/>
      <c r="URZ20" s="1260"/>
      <c r="USA20" s="1260"/>
      <c r="USB20" s="1260"/>
      <c r="USC20" s="1260"/>
      <c r="USD20" s="1260"/>
      <c r="USE20" s="1260"/>
      <c r="USF20" s="1260"/>
      <c r="USG20" s="1260"/>
      <c r="USH20" s="1260"/>
      <c r="USI20" s="1260"/>
      <c r="USJ20" s="1260"/>
      <c r="USK20" s="1260"/>
      <c r="USL20" s="1260"/>
      <c r="USM20" s="1260"/>
      <c r="USN20" s="1260"/>
      <c r="USO20" s="1260"/>
      <c r="USP20" s="1260"/>
      <c r="USQ20" s="1260"/>
      <c r="USR20" s="1260"/>
      <c r="USS20" s="1260"/>
      <c r="UST20" s="1260"/>
      <c r="USU20" s="1260"/>
      <c r="USV20" s="1260"/>
      <c r="USW20" s="1260"/>
      <c r="USX20" s="1260"/>
      <c r="USY20" s="1260"/>
      <c r="USZ20" s="1260"/>
      <c r="UTA20" s="1260"/>
      <c r="UTB20" s="1260"/>
      <c r="UTC20" s="1260"/>
      <c r="UTD20" s="1260"/>
      <c r="UTE20" s="1260"/>
      <c r="UTF20" s="1260"/>
      <c r="UTG20" s="1260"/>
      <c r="UTH20" s="1260"/>
      <c r="UTI20" s="1260"/>
      <c r="UTJ20" s="1260"/>
      <c r="UTK20" s="1260"/>
      <c r="UTL20" s="1260"/>
      <c r="UTM20" s="1260"/>
      <c r="UTN20" s="1260"/>
      <c r="UTO20" s="1260"/>
      <c r="UTP20" s="1260"/>
      <c r="UTQ20" s="1260"/>
      <c r="UTR20" s="1260"/>
      <c r="UTS20" s="1260"/>
      <c r="UTT20" s="1260"/>
      <c r="UTU20" s="1260"/>
      <c r="UTV20" s="1260"/>
      <c r="UTW20" s="1260"/>
      <c r="UTX20" s="1260"/>
      <c r="UTY20" s="1260"/>
      <c r="UTZ20" s="1260"/>
      <c r="UUA20" s="1260"/>
      <c r="UUB20" s="1260"/>
      <c r="UUC20" s="1260"/>
      <c r="UUD20" s="1260"/>
      <c r="UUE20" s="1260"/>
      <c r="UUF20" s="1260"/>
      <c r="UUG20" s="1260"/>
      <c r="UUH20" s="1260"/>
      <c r="UUI20" s="1260"/>
      <c r="UUJ20" s="1260"/>
      <c r="UUK20" s="1260"/>
      <c r="UUL20" s="1260"/>
      <c r="UUM20" s="1260"/>
      <c r="UUN20" s="1260"/>
      <c r="UUO20" s="1260"/>
      <c r="UUP20" s="1260"/>
      <c r="UUQ20" s="1260"/>
      <c r="UUR20" s="1260"/>
      <c r="UUS20" s="1260"/>
      <c r="UUT20" s="1260"/>
      <c r="UUU20" s="1260"/>
      <c r="UUV20" s="1260"/>
      <c r="UUW20" s="1260"/>
      <c r="UUX20" s="1260"/>
      <c r="UUY20" s="1260"/>
      <c r="UUZ20" s="1260"/>
      <c r="UVA20" s="1260"/>
      <c r="UVB20" s="1260"/>
      <c r="UVC20" s="1260"/>
      <c r="UVD20" s="1260"/>
      <c r="UVE20" s="1260"/>
      <c r="UVF20" s="1260"/>
      <c r="UVG20" s="1260"/>
      <c r="UVH20" s="1260"/>
      <c r="UVI20" s="1260"/>
      <c r="UVJ20" s="1260"/>
      <c r="UVK20" s="1260"/>
      <c r="UVL20" s="1260"/>
      <c r="UVM20" s="1260"/>
      <c r="UVN20" s="1260"/>
      <c r="UVO20" s="1260"/>
      <c r="UVP20" s="1260"/>
      <c r="UVQ20" s="1260"/>
      <c r="UVR20" s="1260"/>
      <c r="UVS20" s="1260"/>
      <c r="UVT20" s="1260"/>
      <c r="UVU20" s="1260"/>
      <c r="UVV20" s="1260"/>
      <c r="UVW20" s="1260"/>
      <c r="UVX20" s="1260"/>
      <c r="UVY20" s="1260"/>
      <c r="UVZ20" s="1260"/>
      <c r="UWA20" s="1260"/>
      <c r="UWB20" s="1260"/>
      <c r="UWC20" s="1260"/>
      <c r="UWD20" s="1260"/>
      <c r="UWE20" s="1260"/>
      <c r="UWF20" s="1260"/>
      <c r="UWG20" s="1260"/>
      <c r="UWH20" s="1260"/>
      <c r="UWI20" s="1260"/>
      <c r="UWJ20" s="1260"/>
      <c r="UWK20" s="1260"/>
      <c r="UWL20" s="1260"/>
      <c r="UWM20" s="1260"/>
      <c r="UWN20" s="1260"/>
      <c r="UWO20" s="1260"/>
      <c r="UWP20" s="1260"/>
      <c r="UWQ20" s="1260"/>
      <c r="UWR20" s="1260"/>
      <c r="UWS20" s="1260"/>
      <c r="UWT20" s="1260"/>
      <c r="UWU20" s="1260"/>
      <c r="UWV20" s="1260"/>
      <c r="UWW20" s="1260"/>
      <c r="UWX20" s="1260"/>
      <c r="UWY20" s="1260"/>
      <c r="UWZ20" s="1260"/>
      <c r="UXA20" s="1260"/>
      <c r="UXB20" s="1260"/>
      <c r="UXC20" s="1260"/>
      <c r="UXD20" s="1260"/>
      <c r="UXE20" s="1260"/>
      <c r="UXF20" s="1260"/>
      <c r="UXG20" s="1260"/>
      <c r="UXH20" s="1260"/>
      <c r="UXI20" s="1260"/>
      <c r="UXJ20" s="1260"/>
      <c r="UXK20" s="1260"/>
      <c r="UXL20" s="1260"/>
      <c r="UXM20" s="1260"/>
      <c r="UXN20" s="1260"/>
      <c r="UXO20" s="1260"/>
      <c r="UXP20" s="1260"/>
      <c r="UXQ20" s="1260"/>
      <c r="UXR20" s="1260"/>
      <c r="UXS20" s="1260"/>
      <c r="UXT20" s="1260"/>
      <c r="UXU20" s="1260"/>
      <c r="UXV20" s="1260"/>
      <c r="UXW20" s="1260"/>
      <c r="UXX20" s="1260"/>
      <c r="UXY20" s="1260"/>
      <c r="UXZ20" s="1260"/>
      <c r="UYA20" s="1260"/>
      <c r="UYB20" s="1260"/>
      <c r="UYC20" s="1260"/>
      <c r="UYD20" s="1260"/>
      <c r="UYE20" s="1260"/>
      <c r="UYF20" s="1260"/>
      <c r="UYG20" s="1260"/>
      <c r="UYH20" s="1260"/>
      <c r="UYI20" s="1260"/>
      <c r="UYJ20" s="1260"/>
      <c r="UYK20" s="1260"/>
      <c r="UYL20" s="1260"/>
      <c r="UYM20" s="1260"/>
      <c r="UYN20" s="1260"/>
      <c r="UYO20" s="1260"/>
      <c r="UYP20" s="1260"/>
      <c r="UYQ20" s="1260"/>
      <c r="UYR20" s="1260"/>
      <c r="UYS20" s="1260"/>
      <c r="UYT20" s="1260"/>
      <c r="UYU20" s="1260"/>
      <c r="UYV20" s="1260"/>
      <c r="UYW20" s="1260"/>
      <c r="UYX20" s="1260"/>
      <c r="UYY20" s="1260"/>
      <c r="UYZ20" s="1260"/>
      <c r="UZA20" s="1260"/>
      <c r="UZB20" s="1260"/>
      <c r="UZC20" s="1260"/>
      <c r="UZD20" s="1260"/>
      <c r="UZE20" s="1260"/>
      <c r="UZF20" s="1260"/>
      <c r="UZG20" s="1260"/>
      <c r="UZH20" s="1260"/>
      <c r="UZI20" s="1260"/>
      <c r="UZJ20" s="1260"/>
      <c r="UZK20" s="1260"/>
      <c r="UZL20" s="1260"/>
      <c r="UZM20" s="1260"/>
      <c r="UZN20" s="1260"/>
      <c r="UZO20" s="1260"/>
      <c r="UZP20" s="1260"/>
      <c r="UZQ20" s="1260"/>
      <c r="UZR20" s="1260"/>
      <c r="UZS20" s="1260"/>
      <c r="UZT20" s="1260"/>
      <c r="UZU20" s="1260"/>
      <c r="UZV20" s="1260"/>
      <c r="UZW20" s="1260"/>
      <c r="UZX20" s="1260"/>
      <c r="UZY20" s="1260"/>
      <c r="UZZ20" s="1260"/>
      <c r="VAA20" s="1260"/>
      <c r="VAB20" s="1260"/>
      <c r="VAC20" s="1260"/>
      <c r="VAD20" s="1260"/>
      <c r="VAE20" s="1260"/>
      <c r="VAF20" s="1260"/>
      <c r="VAG20" s="1260"/>
      <c r="VAH20" s="1260"/>
      <c r="VAI20" s="1260"/>
      <c r="VAJ20" s="1260"/>
      <c r="VAK20" s="1260"/>
      <c r="VAL20" s="1260"/>
      <c r="VAM20" s="1260"/>
      <c r="VAN20" s="1260"/>
      <c r="VAO20" s="1260"/>
      <c r="VAP20" s="1260"/>
      <c r="VAQ20" s="1260"/>
      <c r="VAR20" s="1260"/>
      <c r="VAS20" s="1260"/>
      <c r="VAT20" s="1260"/>
      <c r="VAU20" s="1260"/>
      <c r="VAV20" s="1260"/>
      <c r="VAW20" s="1260"/>
      <c r="VAX20" s="1260"/>
      <c r="VAY20" s="1260"/>
      <c r="VAZ20" s="1260"/>
      <c r="VBA20" s="1260"/>
      <c r="VBB20" s="1260"/>
      <c r="VBC20" s="1260"/>
      <c r="VBD20" s="1260"/>
      <c r="VBE20" s="1260"/>
      <c r="VBF20" s="1260"/>
      <c r="VBG20" s="1260"/>
      <c r="VBH20" s="1260"/>
      <c r="VBI20" s="1260"/>
      <c r="VBJ20" s="1260"/>
      <c r="VBK20" s="1260"/>
      <c r="VBL20" s="1260"/>
      <c r="VBM20" s="1260"/>
      <c r="VBN20" s="1260"/>
      <c r="VBO20" s="1260"/>
      <c r="VBP20" s="1260"/>
      <c r="VBQ20" s="1260"/>
      <c r="VBR20" s="1260"/>
      <c r="VBS20" s="1260"/>
      <c r="VBT20" s="1260"/>
      <c r="VBU20" s="1260"/>
      <c r="VBV20" s="1260"/>
      <c r="VBW20" s="1260"/>
      <c r="VBX20" s="1260"/>
      <c r="VBY20" s="1260"/>
      <c r="VBZ20" s="1260"/>
      <c r="VCA20" s="1260"/>
      <c r="VCB20" s="1260"/>
      <c r="VCC20" s="1260"/>
      <c r="VCD20" s="1260"/>
      <c r="VCE20" s="1260"/>
      <c r="VCF20" s="1260"/>
      <c r="VCG20" s="1260"/>
      <c r="VCH20" s="1260"/>
      <c r="VCI20" s="1260"/>
      <c r="VCJ20" s="1260"/>
      <c r="VCK20" s="1260"/>
      <c r="VCL20" s="1260"/>
      <c r="VCM20" s="1260"/>
      <c r="VCN20" s="1260"/>
      <c r="VCO20" s="1260"/>
      <c r="VCP20" s="1260"/>
      <c r="VCQ20" s="1260"/>
      <c r="VCR20" s="1260"/>
      <c r="VCS20" s="1260"/>
      <c r="VCT20" s="1260"/>
      <c r="VCU20" s="1260"/>
      <c r="VCV20" s="1260"/>
      <c r="VCW20" s="1260"/>
      <c r="VCX20" s="1260"/>
      <c r="VCY20" s="1260"/>
      <c r="VCZ20" s="1260"/>
      <c r="VDA20" s="1260"/>
      <c r="VDB20" s="1260"/>
      <c r="VDC20" s="1260"/>
      <c r="VDD20" s="1260"/>
      <c r="VDE20" s="1260"/>
      <c r="VDF20" s="1260"/>
      <c r="VDG20" s="1260"/>
      <c r="VDH20" s="1260"/>
      <c r="VDI20" s="1260"/>
      <c r="VDJ20" s="1260"/>
      <c r="VDK20" s="1260"/>
      <c r="VDL20" s="1260"/>
      <c r="VDM20" s="1260"/>
      <c r="VDN20" s="1260"/>
      <c r="VDO20" s="1260"/>
      <c r="VDP20" s="1260"/>
      <c r="VDQ20" s="1260"/>
      <c r="VDR20" s="1260"/>
      <c r="VDS20" s="1260"/>
      <c r="VDT20" s="1260"/>
      <c r="VDU20" s="1260"/>
      <c r="VDV20" s="1260"/>
      <c r="VDW20" s="1260"/>
      <c r="VDX20" s="1260"/>
      <c r="VDY20" s="1260"/>
      <c r="VDZ20" s="1260"/>
      <c r="VEA20" s="1260"/>
      <c r="VEB20" s="1260"/>
      <c r="VEC20" s="1260"/>
      <c r="VED20" s="1260"/>
      <c r="VEE20" s="1260"/>
      <c r="VEF20" s="1260"/>
      <c r="VEG20" s="1260"/>
      <c r="VEH20" s="1260"/>
      <c r="VEI20" s="1260"/>
      <c r="VEJ20" s="1260"/>
      <c r="VEK20" s="1260"/>
      <c r="VEL20" s="1260"/>
      <c r="VEM20" s="1260"/>
      <c r="VEN20" s="1260"/>
      <c r="VEO20" s="1260"/>
      <c r="VEP20" s="1260"/>
      <c r="VEQ20" s="1260"/>
      <c r="VER20" s="1260"/>
      <c r="VES20" s="1260"/>
      <c r="VET20" s="1260"/>
      <c r="VEU20" s="1260"/>
      <c r="VEV20" s="1260"/>
      <c r="VEW20" s="1260"/>
      <c r="VEX20" s="1260"/>
      <c r="VEY20" s="1260"/>
      <c r="VEZ20" s="1260"/>
      <c r="VFA20" s="1260"/>
      <c r="VFB20" s="1260"/>
      <c r="VFC20" s="1260"/>
      <c r="VFD20" s="1260"/>
      <c r="VFE20" s="1260"/>
      <c r="VFF20" s="1260"/>
      <c r="VFG20" s="1260"/>
      <c r="VFH20" s="1260"/>
      <c r="VFI20" s="1260"/>
      <c r="VFJ20" s="1260"/>
      <c r="VFK20" s="1260"/>
      <c r="VFL20" s="1260"/>
      <c r="VFM20" s="1260"/>
      <c r="VFN20" s="1260"/>
      <c r="VFO20" s="1260"/>
      <c r="VFP20" s="1260"/>
      <c r="VFQ20" s="1260"/>
      <c r="VFR20" s="1260"/>
      <c r="VFS20" s="1260"/>
      <c r="VFT20" s="1260"/>
      <c r="VFU20" s="1260"/>
      <c r="VFV20" s="1260"/>
      <c r="VFW20" s="1260"/>
      <c r="VFX20" s="1260"/>
      <c r="VFY20" s="1260"/>
      <c r="VFZ20" s="1260"/>
      <c r="VGA20" s="1260"/>
      <c r="VGB20" s="1260"/>
      <c r="VGC20" s="1260"/>
      <c r="VGD20" s="1260"/>
      <c r="VGE20" s="1260"/>
      <c r="VGF20" s="1260"/>
      <c r="VGG20" s="1260"/>
      <c r="VGH20" s="1260"/>
      <c r="VGI20" s="1260"/>
      <c r="VGJ20" s="1260"/>
      <c r="VGK20" s="1260"/>
      <c r="VGL20" s="1260"/>
      <c r="VGM20" s="1260"/>
      <c r="VGN20" s="1260"/>
      <c r="VGO20" s="1260"/>
      <c r="VGP20" s="1260"/>
      <c r="VGQ20" s="1260"/>
      <c r="VGR20" s="1260"/>
      <c r="VGS20" s="1260"/>
      <c r="VGT20" s="1260"/>
      <c r="VGU20" s="1260"/>
      <c r="VGV20" s="1260"/>
      <c r="VGW20" s="1260"/>
      <c r="VGX20" s="1260"/>
      <c r="VGY20" s="1260"/>
      <c r="VGZ20" s="1260"/>
      <c r="VHA20" s="1260"/>
      <c r="VHB20" s="1260"/>
      <c r="VHC20" s="1260"/>
      <c r="VHD20" s="1260"/>
      <c r="VHE20" s="1260"/>
      <c r="VHF20" s="1260"/>
      <c r="VHG20" s="1260"/>
      <c r="VHH20" s="1260"/>
      <c r="VHI20" s="1260"/>
      <c r="VHJ20" s="1260"/>
      <c r="VHK20" s="1260"/>
      <c r="VHL20" s="1260"/>
      <c r="VHM20" s="1260"/>
      <c r="VHN20" s="1260"/>
      <c r="VHO20" s="1260"/>
      <c r="VHP20" s="1260"/>
      <c r="VHQ20" s="1260"/>
      <c r="VHR20" s="1260"/>
      <c r="VHS20" s="1260"/>
      <c r="VHT20" s="1260"/>
      <c r="VHU20" s="1260"/>
      <c r="VHV20" s="1260"/>
      <c r="VHW20" s="1260"/>
      <c r="VHX20" s="1260"/>
      <c r="VHY20" s="1260"/>
      <c r="VHZ20" s="1260"/>
      <c r="VIA20" s="1260"/>
      <c r="VIB20" s="1260"/>
      <c r="VIC20" s="1260"/>
      <c r="VID20" s="1260"/>
      <c r="VIE20" s="1260"/>
      <c r="VIF20" s="1260"/>
      <c r="VIG20" s="1260"/>
      <c r="VIH20" s="1260"/>
      <c r="VII20" s="1260"/>
      <c r="VIJ20" s="1260"/>
      <c r="VIK20" s="1260"/>
      <c r="VIL20" s="1260"/>
      <c r="VIM20" s="1260"/>
      <c r="VIN20" s="1260"/>
      <c r="VIO20" s="1260"/>
      <c r="VIP20" s="1260"/>
      <c r="VIQ20" s="1260"/>
      <c r="VIR20" s="1260"/>
      <c r="VIS20" s="1260"/>
      <c r="VIT20" s="1260"/>
      <c r="VIU20" s="1260"/>
      <c r="VIV20" s="1260"/>
      <c r="VIW20" s="1260"/>
      <c r="VIX20" s="1260"/>
      <c r="VIY20" s="1260"/>
      <c r="VIZ20" s="1260"/>
      <c r="VJA20" s="1260"/>
      <c r="VJB20" s="1260"/>
      <c r="VJC20" s="1260"/>
      <c r="VJD20" s="1260"/>
      <c r="VJE20" s="1260"/>
      <c r="VJF20" s="1260"/>
      <c r="VJG20" s="1260"/>
      <c r="VJH20" s="1260"/>
      <c r="VJI20" s="1260"/>
      <c r="VJJ20" s="1260"/>
      <c r="VJK20" s="1260"/>
      <c r="VJL20" s="1260"/>
      <c r="VJM20" s="1260"/>
      <c r="VJN20" s="1260"/>
      <c r="VJO20" s="1260"/>
      <c r="VJP20" s="1260"/>
      <c r="VJQ20" s="1260"/>
      <c r="VJR20" s="1260"/>
      <c r="VJS20" s="1260"/>
      <c r="VJT20" s="1260"/>
      <c r="VJU20" s="1260"/>
      <c r="VJV20" s="1260"/>
      <c r="VJW20" s="1260"/>
      <c r="VJX20" s="1260"/>
      <c r="VJY20" s="1260"/>
      <c r="VJZ20" s="1260"/>
      <c r="VKA20" s="1260"/>
      <c r="VKB20" s="1260"/>
      <c r="VKC20" s="1260"/>
      <c r="VKD20" s="1260"/>
      <c r="VKE20" s="1260"/>
      <c r="VKF20" s="1260"/>
      <c r="VKG20" s="1260"/>
      <c r="VKH20" s="1260"/>
      <c r="VKI20" s="1260"/>
      <c r="VKJ20" s="1260"/>
      <c r="VKK20" s="1260"/>
      <c r="VKL20" s="1260"/>
      <c r="VKM20" s="1260"/>
      <c r="VKN20" s="1260"/>
      <c r="VKO20" s="1260"/>
      <c r="VKP20" s="1260"/>
      <c r="VKQ20" s="1260"/>
      <c r="VKR20" s="1260"/>
      <c r="VKS20" s="1260"/>
      <c r="VKT20" s="1260"/>
      <c r="VKU20" s="1260"/>
      <c r="VKV20" s="1260"/>
      <c r="VKW20" s="1260"/>
      <c r="VKX20" s="1260"/>
      <c r="VKY20" s="1260"/>
      <c r="VKZ20" s="1260"/>
      <c r="VLA20" s="1260"/>
      <c r="VLB20" s="1260"/>
      <c r="VLC20" s="1260"/>
      <c r="VLD20" s="1260"/>
      <c r="VLE20" s="1260"/>
      <c r="VLF20" s="1260"/>
      <c r="VLG20" s="1260"/>
      <c r="VLH20" s="1260"/>
      <c r="VLI20" s="1260"/>
      <c r="VLJ20" s="1260"/>
      <c r="VLK20" s="1260"/>
      <c r="VLL20" s="1260"/>
      <c r="VLM20" s="1260"/>
      <c r="VLN20" s="1260"/>
      <c r="VLO20" s="1260"/>
      <c r="VLP20" s="1260"/>
      <c r="VLQ20" s="1260"/>
      <c r="VLR20" s="1260"/>
      <c r="VLS20" s="1260"/>
      <c r="VLT20" s="1260"/>
      <c r="VLU20" s="1260"/>
      <c r="VLV20" s="1260"/>
      <c r="VLW20" s="1260"/>
      <c r="VLX20" s="1260"/>
      <c r="VLY20" s="1260"/>
      <c r="VLZ20" s="1260"/>
      <c r="VMA20" s="1260"/>
      <c r="VMB20" s="1260"/>
      <c r="VMC20" s="1260"/>
      <c r="VMD20" s="1260"/>
      <c r="VME20" s="1260"/>
      <c r="VMF20" s="1260"/>
      <c r="VMG20" s="1260"/>
      <c r="VMH20" s="1260"/>
      <c r="VMI20" s="1260"/>
      <c r="VMJ20" s="1260"/>
      <c r="VMK20" s="1260"/>
      <c r="VML20" s="1260"/>
      <c r="VMM20" s="1260"/>
      <c r="VMN20" s="1260"/>
      <c r="VMO20" s="1260"/>
      <c r="VMP20" s="1260"/>
      <c r="VMQ20" s="1260"/>
      <c r="VMR20" s="1260"/>
      <c r="VMS20" s="1260"/>
      <c r="VMT20" s="1260"/>
      <c r="VMU20" s="1260"/>
      <c r="VMV20" s="1260"/>
      <c r="VMW20" s="1260"/>
      <c r="VMX20" s="1260"/>
      <c r="VMY20" s="1260"/>
      <c r="VMZ20" s="1260"/>
      <c r="VNA20" s="1260"/>
      <c r="VNB20" s="1260"/>
      <c r="VNC20" s="1260"/>
      <c r="VND20" s="1260"/>
      <c r="VNE20" s="1260"/>
      <c r="VNF20" s="1260"/>
      <c r="VNG20" s="1260"/>
      <c r="VNH20" s="1260"/>
      <c r="VNI20" s="1260"/>
      <c r="VNJ20" s="1260"/>
      <c r="VNK20" s="1260"/>
      <c r="VNL20" s="1260"/>
      <c r="VNM20" s="1260"/>
      <c r="VNN20" s="1260"/>
      <c r="VNO20" s="1260"/>
      <c r="VNP20" s="1260"/>
      <c r="VNQ20" s="1260"/>
      <c r="VNR20" s="1260"/>
      <c r="VNS20" s="1260"/>
      <c r="VNT20" s="1260"/>
      <c r="VNU20" s="1260"/>
      <c r="VNV20" s="1260"/>
      <c r="VNW20" s="1260"/>
      <c r="VNX20" s="1260"/>
      <c r="VNY20" s="1260"/>
      <c r="VNZ20" s="1260"/>
      <c r="VOA20" s="1260"/>
      <c r="VOB20" s="1260"/>
      <c r="VOC20" s="1260"/>
      <c r="VOD20" s="1260"/>
      <c r="VOE20" s="1260"/>
      <c r="VOF20" s="1260"/>
      <c r="VOG20" s="1260"/>
      <c r="VOH20" s="1260"/>
      <c r="VOI20" s="1260"/>
      <c r="VOJ20" s="1260"/>
      <c r="VOK20" s="1260"/>
      <c r="VOL20" s="1260"/>
      <c r="VOM20" s="1260"/>
      <c r="VON20" s="1260"/>
      <c r="VOO20" s="1260"/>
      <c r="VOP20" s="1260"/>
      <c r="VOQ20" s="1260"/>
      <c r="VOR20" s="1260"/>
      <c r="VOS20" s="1260"/>
      <c r="VOT20" s="1260"/>
      <c r="VOU20" s="1260"/>
      <c r="VOV20" s="1260"/>
      <c r="VOW20" s="1260"/>
      <c r="VOX20" s="1260"/>
      <c r="VOY20" s="1260"/>
      <c r="VOZ20" s="1260"/>
      <c r="VPA20" s="1260"/>
      <c r="VPB20" s="1260"/>
      <c r="VPC20" s="1260"/>
      <c r="VPD20" s="1260"/>
      <c r="VPE20" s="1260"/>
      <c r="VPF20" s="1260"/>
      <c r="VPG20" s="1260"/>
      <c r="VPH20" s="1260"/>
      <c r="VPI20" s="1260"/>
      <c r="VPJ20" s="1260"/>
      <c r="VPK20" s="1260"/>
      <c r="VPL20" s="1260"/>
      <c r="VPM20" s="1260"/>
      <c r="VPN20" s="1260"/>
      <c r="VPO20" s="1260"/>
      <c r="VPP20" s="1260"/>
      <c r="VPQ20" s="1260"/>
      <c r="VPR20" s="1260"/>
      <c r="VPS20" s="1260"/>
      <c r="VPT20" s="1260"/>
      <c r="VPU20" s="1260"/>
      <c r="VPV20" s="1260"/>
      <c r="VPW20" s="1260"/>
      <c r="VPX20" s="1260"/>
      <c r="VPY20" s="1260"/>
      <c r="VPZ20" s="1260"/>
      <c r="VQA20" s="1260"/>
      <c r="VQB20" s="1260"/>
      <c r="VQC20" s="1260"/>
      <c r="VQD20" s="1260"/>
      <c r="VQE20" s="1260"/>
      <c r="VQF20" s="1260"/>
      <c r="VQG20" s="1260"/>
      <c r="VQH20" s="1260"/>
      <c r="VQI20" s="1260"/>
      <c r="VQJ20" s="1260"/>
      <c r="VQK20" s="1260"/>
      <c r="VQL20" s="1260"/>
      <c r="VQM20" s="1260"/>
      <c r="VQN20" s="1260"/>
      <c r="VQO20" s="1260"/>
      <c r="VQP20" s="1260"/>
      <c r="VQQ20" s="1260"/>
      <c r="VQR20" s="1260"/>
      <c r="VQS20" s="1260"/>
      <c r="VQT20" s="1260"/>
      <c r="VQU20" s="1260"/>
      <c r="VQV20" s="1260"/>
      <c r="VQW20" s="1260"/>
      <c r="VQX20" s="1260"/>
      <c r="VQY20" s="1260"/>
      <c r="VQZ20" s="1260"/>
      <c r="VRA20" s="1260"/>
      <c r="VRB20" s="1260"/>
      <c r="VRC20" s="1260"/>
      <c r="VRD20" s="1260"/>
      <c r="VRE20" s="1260"/>
      <c r="VRF20" s="1260"/>
      <c r="VRG20" s="1260"/>
      <c r="VRH20" s="1260"/>
      <c r="VRI20" s="1260"/>
      <c r="VRJ20" s="1260"/>
      <c r="VRK20" s="1260"/>
      <c r="VRL20" s="1260"/>
      <c r="VRM20" s="1260"/>
      <c r="VRN20" s="1260"/>
      <c r="VRO20" s="1260"/>
      <c r="VRP20" s="1260"/>
      <c r="VRQ20" s="1260"/>
      <c r="VRR20" s="1260"/>
      <c r="VRS20" s="1260"/>
      <c r="VRT20" s="1260"/>
      <c r="VRU20" s="1260"/>
      <c r="VRV20" s="1260"/>
      <c r="VRW20" s="1260"/>
      <c r="VRX20" s="1260"/>
      <c r="VRY20" s="1260"/>
      <c r="VRZ20" s="1260"/>
      <c r="VSA20" s="1260"/>
      <c r="VSB20" s="1260"/>
      <c r="VSC20" s="1260"/>
      <c r="VSD20" s="1260"/>
      <c r="VSE20" s="1260"/>
      <c r="VSF20" s="1260"/>
      <c r="VSG20" s="1260"/>
      <c r="VSH20" s="1260"/>
      <c r="VSI20" s="1260"/>
      <c r="VSJ20" s="1260"/>
      <c r="VSK20" s="1260"/>
      <c r="VSL20" s="1260"/>
      <c r="VSM20" s="1260"/>
      <c r="VSN20" s="1260"/>
      <c r="VSO20" s="1260"/>
      <c r="VSP20" s="1260"/>
      <c r="VSQ20" s="1260"/>
      <c r="VSR20" s="1260"/>
      <c r="VSS20" s="1260"/>
      <c r="VST20" s="1260"/>
      <c r="VSU20" s="1260"/>
      <c r="VSV20" s="1260"/>
      <c r="VSW20" s="1260"/>
      <c r="VSX20" s="1260"/>
      <c r="VSY20" s="1260"/>
      <c r="VSZ20" s="1260"/>
      <c r="VTA20" s="1260"/>
      <c r="VTB20" s="1260"/>
      <c r="VTC20" s="1260"/>
      <c r="VTD20" s="1260"/>
      <c r="VTE20" s="1260"/>
      <c r="VTF20" s="1260"/>
      <c r="VTG20" s="1260"/>
      <c r="VTH20" s="1260"/>
      <c r="VTI20" s="1260"/>
      <c r="VTJ20" s="1260"/>
      <c r="VTK20" s="1260"/>
      <c r="VTL20" s="1260"/>
      <c r="VTM20" s="1260"/>
      <c r="VTN20" s="1260"/>
      <c r="VTO20" s="1260"/>
      <c r="VTP20" s="1260"/>
      <c r="VTQ20" s="1260"/>
      <c r="VTR20" s="1260"/>
      <c r="VTS20" s="1260"/>
      <c r="VTT20" s="1260"/>
      <c r="VTU20" s="1260"/>
      <c r="VTV20" s="1260"/>
      <c r="VTW20" s="1260"/>
      <c r="VTX20" s="1260"/>
      <c r="VTY20" s="1260"/>
      <c r="VTZ20" s="1260"/>
      <c r="VUA20" s="1260"/>
      <c r="VUB20" s="1260"/>
      <c r="VUC20" s="1260"/>
      <c r="VUD20" s="1260"/>
      <c r="VUE20" s="1260"/>
      <c r="VUF20" s="1260"/>
      <c r="VUG20" s="1260"/>
      <c r="VUH20" s="1260"/>
      <c r="VUI20" s="1260"/>
      <c r="VUJ20" s="1260"/>
      <c r="VUK20" s="1260"/>
      <c r="VUL20" s="1260"/>
      <c r="VUM20" s="1260"/>
      <c r="VUN20" s="1260"/>
      <c r="VUO20" s="1260"/>
      <c r="VUP20" s="1260"/>
      <c r="VUQ20" s="1260"/>
      <c r="VUR20" s="1260"/>
      <c r="VUS20" s="1260"/>
      <c r="VUT20" s="1260"/>
      <c r="VUU20" s="1260"/>
      <c r="VUV20" s="1260"/>
      <c r="VUW20" s="1260"/>
      <c r="VUX20" s="1260"/>
      <c r="VUY20" s="1260"/>
      <c r="VUZ20" s="1260"/>
      <c r="VVA20" s="1260"/>
      <c r="VVB20" s="1260"/>
      <c r="VVC20" s="1260"/>
      <c r="VVD20" s="1260"/>
      <c r="VVE20" s="1260"/>
      <c r="VVF20" s="1260"/>
      <c r="VVG20" s="1260"/>
      <c r="VVH20" s="1260"/>
      <c r="VVI20" s="1260"/>
      <c r="VVJ20" s="1260"/>
      <c r="VVK20" s="1260"/>
      <c r="VVL20" s="1260"/>
      <c r="VVM20" s="1260"/>
      <c r="VVN20" s="1260"/>
      <c r="VVO20" s="1260"/>
      <c r="VVP20" s="1260"/>
      <c r="VVQ20" s="1260"/>
      <c r="VVR20" s="1260"/>
      <c r="VVS20" s="1260"/>
      <c r="VVT20" s="1260"/>
      <c r="VVU20" s="1260"/>
      <c r="VVV20" s="1260"/>
      <c r="VVW20" s="1260"/>
      <c r="VVX20" s="1260"/>
      <c r="VVY20" s="1260"/>
      <c r="VVZ20" s="1260"/>
      <c r="VWA20" s="1260"/>
      <c r="VWB20" s="1260"/>
      <c r="VWC20" s="1260"/>
      <c r="VWD20" s="1260"/>
      <c r="VWE20" s="1260"/>
      <c r="VWF20" s="1260"/>
      <c r="VWG20" s="1260"/>
      <c r="VWH20" s="1260"/>
      <c r="VWI20" s="1260"/>
      <c r="VWJ20" s="1260"/>
      <c r="VWK20" s="1260"/>
      <c r="VWL20" s="1260"/>
      <c r="VWM20" s="1260"/>
      <c r="VWN20" s="1260"/>
      <c r="VWO20" s="1260"/>
      <c r="VWP20" s="1260"/>
      <c r="VWQ20" s="1260"/>
      <c r="VWR20" s="1260"/>
      <c r="VWS20" s="1260"/>
      <c r="VWT20" s="1260"/>
      <c r="VWU20" s="1260"/>
      <c r="VWV20" s="1260"/>
      <c r="VWW20" s="1260"/>
      <c r="VWX20" s="1260"/>
      <c r="VWY20" s="1260"/>
      <c r="VWZ20" s="1260"/>
      <c r="VXA20" s="1260"/>
      <c r="VXB20" s="1260"/>
      <c r="VXC20" s="1260"/>
      <c r="VXD20" s="1260"/>
      <c r="VXE20" s="1260"/>
      <c r="VXF20" s="1260"/>
      <c r="VXG20" s="1260"/>
      <c r="VXH20" s="1260"/>
      <c r="VXI20" s="1260"/>
      <c r="VXJ20" s="1260"/>
      <c r="VXK20" s="1260"/>
      <c r="VXL20" s="1260"/>
      <c r="VXM20" s="1260"/>
      <c r="VXN20" s="1260"/>
      <c r="VXO20" s="1260"/>
      <c r="VXP20" s="1260"/>
      <c r="VXQ20" s="1260"/>
      <c r="VXR20" s="1260"/>
      <c r="VXS20" s="1260"/>
      <c r="VXT20" s="1260"/>
      <c r="VXU20" s="1260"/>
      <c r="VXV20" s="1260"/>
      <c r="VXW20" s="1260"/>
      <c r="VXX20" s="1260"/>
      <c r="VXY20" s="1260"/>
      <c r="VXZ20" s="1260"/>
      <c r="VYA20" s="1260"/>
      <c r="VYB20" s="1260"/>
      <c r="VYC20" s="1260"/>
      <c r="VYD20" s="1260"/>
      <c r="VYE20" s="1260"/>
      <c r="VYF20" s="1260"/>
      <c r="VYG20" s="1260"/>
      <c r="VYH20" s="1260"/>
      <c r="VYI20" s="1260"/>
      <c r="VYJ20" s="1260"/>
      <c r="VYK20" s="1260"/>
      <c r="VYL20" s="1260"/>
      <c r="VYM20" s="1260"/>
      <c r="VYN20" s="1260"/>
      <c r="VYO20" s="1260"/>
      <c r="VYP20" s="1260"/>
      <c r="VYQ20" s="1260"/>
      <c r="VYR20" s="1260"/>
      <c r="VYS20" s="1260"/>
      <c r="VYT20" s="1260"/>
      <c r="VYU20" s="1260"/>
      <c r="VYV20" s="1260"/>
      <c r="VYW20" s="1260"/>
      <c r="VYX20" s="1260"/>
      <c r="VYY20" s="1260"/>
      <c r="VYZ20" s="1260"/>
      <c r="VZA20" s="1260"/>
      <c r="VZB20" s="1260"/>
      <c r="VZC20" s="1260"/>
      <c r="VZD20" s="1260"/>
      <c r="VZE20" s="1260"/>
      <c r="VZF20" s="1260"/>
      <c r="VZG20" s="1260"/>
      <c r="VZH20" s="1260"/>
      <c r="VZI20" s="1260"/>
      <c r="VZJ20" s="1260"/>
      <c r="VZK20" s="1260"/>
      <c r="VZL20" s="1260"/>
      <c r="VZM20" s="1260"/>
      <c r="VZN20" s="1260"/>
      <c r="VZO20" s="1260"/>
      <c r="VZP20" s="1260"/>
      <c r="VZQ20" s="1260"/>
      <c r="VZR20" s="1260"/>
      <c r="VZS20" s="1260"/>
      <c r="VZT20" s="1260"/>
      <c r="VZU20" s="1260"/>
      <c r="VZV20" s="1260"/>
      <c r="VZW20" s="1260"/>
      <c r="VZX20" s="1260"/>
      <c r="VZY20" s="1260"/>
      <c r="VZZ20" s="1260"/>
      <c r="WAA20" s="1260"/>
      <c r="WAB20" s="1260"/>
      <c r="WAC20" s="1260"/>
      <c r="WAD20" s="1260"/>
      <c r="WAE20" s="1260"/>
      <c r="WAF20" s="1260"/>
      <c r="WAG20" s="1260"/>
      <c r="WAH20" s="1260"/>
      <c r="WAI20" s="1260"/>
      <c r="WAJ20" s="1260"/>
      <c r="WAK20" s="1260"/>
      <c r="WAL20" s="1260"/>
      <c r="WAM20" s="1260"/>
      <c r="WAN20" s="1260"/>
      <c r="WAO20" s="1260"/>
      <c r="WAP20" s="1260"/>
      <c r="WAQ20" s="1260"/>
      <c r="WAR20" s="1260"/>
      <c r="WAS20" s="1260"/>
      <c r="WAT20" s="1260"/>
      <c r="WAU20" s="1260"/>
      <c r="WAV20" s="1260"/>
      <c r="WAW20" s="1260"/>
      <c r="WAX20" s="1260"/>
      <c r="WAY20" s="1260"/>
      <c r="WAZ20" s="1260"/>
      <c r="WBA20" s="1260"/>
      <c r="WBB20" s="1260"/>
      <c r="WBC20" s="1260"/>
      <c r="WBD20" s="1260"/>
      <c r="WBE20" s="1260"/>
      <c r="WBF20" s="1260"/>
      <c r="WBG20" s="1260"/>
      <c r="WBH20" s="1260"/>
      <c r="WBI20" s="1260"/>
      <c r="WBJ20" s="1260"/>
      <c r="WBK20" s="1260"/>
      <c r="WBL20" s="1260"/>
      <c r="WBM20" s="1260"/>
      <c r="WBN20" s="1260"/>
      <c r="WBO20" s="1260"/>
      <c r="WBP20" s="1260"/>
      <c r="WBQ20" s="1260"/>
      <c r="WBR20" s="1260"/>
      <c r="WBS20" s="1260"/>
      <c r="WBT20" s="1260"/>
      <c r="WBU20" s="1260"/>
      <c r="WBV20" s="1260"/>
      <c r="WBW20" s="1260"/>
      <c r="WBX20" s="1260"/>
      <c r="WBY20" s="1260"/>
      <c r="WBZ20" s="1260"/>
      <c r="WCA20" s="1260"/>
      <c r="WCB20" s="1260"/>
      <c r="WCC20" s="1260"/>
      <c r="WCD20" s="1260"/>
      <c r="WCE20" s="1260"/>
      <c r="WCF20" s="1260"/>
      <c r="WCG20" s="1260"/>
      <c r="WCH20" s="1260"/>
      <c r="WCI20" s="1260"/>
      <c r="WCJ20" s="1260"/>
      <c r="WCK20" s="1260"/>
      <c r="WCL20" s="1260"/>
      <c r="WCM20" s="1260"/>
      <c r="WCN20" s="1260"/>
      <c r="WCO20" s="1260"/>
      <c r="WCP20" s="1260"/>
      <c r="WCQ20" s="1260"/>
      <c r="WCR20" s="1260"/>
      <c r="WCS20" s="1260"/>
      <c r="WCT20" s="1260"/>
      <c r="WCU20" s="1260"/>
      <c r="WCV20" s="1260"/>
      <c r="WCW20" s="1260"/>
      <c r="WCX20" s="1260"/>
      <c r="WCY20" s="1260"/>
      <c r="WCZ20" s="1260"/>
      <c r="WDA20" s="1260"/>
      <c r="WDB20" s="1260"/>
      <c r="WDC20" s="1260"/>
      <c r="WDD20" s="1260"/>
      <c r="WDE20" s="1260"/>
      <c r="WDF20" s="1260"/>
      <c r="WDG20" s="1260"/>
      <c r="WDH20" s="1260"/>
      <c r="WDI20" s="1260"/>
      <c r="WDJ20" s="1260"/>
      <c r="WDK20" s="1260"/>
      <c r="WDL20" s="1260"/>
      <c r="WDM20" s="1260"/>
      <c r="WDN20" s="1260"/>
      <c r="WDO20" s="1260"/>
      <c r="WDP20" s="1260"/>
      <c r="WDQ20" s="1260"/>
      <c r="WDR20" s="1260"/>
      <c r="WDS20" s="1260"/>
      <c r="WDT20" s="1260"/>
      <c r="WDU20" s="1260"/>
      <c r="WDV20" s="1260"/>
      <c r="WDW20" s="1260"/>
      <c r="WDX20" s="1260"/>
      <c r="WDY20" s="1260"/>
      <c r="WDZ20" s="1260"/>
      <c r="WEA20" s="1260"/>
      <c r="WEB20" s="1260"/>
      <c r="WEC20" s="1260"/>
      <c r="WED20" s="1260"/>
      <c r="WEE20" s="1260"/>
      <c r="WEF20" s="1260"/>
      <c r="WEG20" s="1260"/>
      <c r="WEH20" s="1260"/>
      <c r="WEI20" s="1260"/>
      <c r="WEJ20" s="1260"/>
      <c r="WEK20" s="1260"/>
      <c r="WEL20" s="1260"/>
      <c r="WEM20" s="1260"/>
      <c r="WEN20" s="1260"/>
      <c r="WEO20" s="1260"/>
      <c r="WEP20" s="1260"/>
      <c r="WEQ20" s="1260"/>
      <c r="WER20" s="1260"/>
      <c r="WES20" s="1260"/>
      <c r="WET20" s="1260"/>
      <c r="WEU20" s="1260"/>
      <c r="WEV20" s="1260"/>
      <c r="WEW20" s="1260"/>
      <c r="WEX20" s="1260"/>
      <c r="WEY20" s="1260"/>
      <c r="WEZ20" s="1260"/>
      <c r="WFA20" s="1260"/>
      <c r="WFB20" s="1260"/>
      <c r="WFC20" s="1260"/>
      <c r="WFD20" s="1260"/>
      <c r="WFE20" s="1260"/>
      <c r="WFF20" s="1260"/>
      <c r="WFG20" s="1260"/>
      <c r="WFH20" s="1260"/>
      <c r="WFI20" s="1260"/>
      <c r="WFJ20" s="1260"/>
      <c r="WFK20" s="1260"/>
      <c r="WFL20" s="1260"/>
      <c r="WFM20" s="1260"/>
      <c r="WFN20" s="1260"/>
      <c r="WFO20" s="1260"/>
      <c r="WFP20" s="1260"/>
      <c r="WFQ20" s="1260"/>
      <c r="WFR20" s="1260"/>
      <c r="WFS20" s="1260"/>
      <c r="WFT20" s="1260"/>
      <c r="WFU20" s="1260"/>
      <c r="WFV20" s="1260"/>
      <c r="WFW20" s="1260"/>
      <c r="WFX20" s="1260"/>
      <c r="WFY20" s="1260"/>
      <c r="WFZ20" s="1260"/>
      <c r="WGA20" s="1260"/>
      <c r="WGB20" s="1260"/>
      <c r="WGC20" s="1260"/>
      <c r="WGD20" s="1260"/>
      <c r="WGE20" s="1260"/>
      <c r="WGF20" s="1260"/>
      <c r="WGG20" s="1260"/>
      <c r="WGH20" s="1260"/>
      <c r="WGI20" s="1260"/>
      <c r="WGJ20" s="1260"/>
      <c r="WGK20" s="1260"/>
      <c r="WGL20" s="1260"/>
      <c r="WGM20" s="1260"/>
      <c r="WGN20" s="1260"/>
      <c r="WGO20" s="1260"/>
      <c r="WGP20" s="1260"/>
      <c r="WGQ20" s="1260"/>
      <c r="WGR20" s="1260"/>
      <c r="WGS20" s="1260"/>
      <c r="WGT20" s="1260"/>
      <c r="WGU20" s="1260"/>
      <c r="WGV20" s="1260"/>
      <c r="WGW20" s="1260"/>
      <c r="WGX20" s="1260"/>
      <c r="WGY20" s="1260"/>
      <c r="WGZ20" s="1260"/>
      <c r="WHA20" s="1260"/>
      <c r="WHB20" s="1260"/>
      <c r="WHC20" s="1260"/>
      <c r="WHD20" s="1260"/>
      <c r="WHE20" s="1260"/>
      <c r="WHF20" s="1260"/>
      <c r="WHG20" s="1260"/>
      <c r="WHH20" s="1260"/>
      <c r="WHI20" s="1260"/>
      <c r="WHJ20" s="1260"/>
      <c r="WHK20" s="1260"/>
      <c r="WHL20" s="1260"/>
      <c r="WHM20" s="1260"/>
      <c r="WHN20" s="1260"/>
      <c r="WHO20" s="1260"/>
      <c r="WHP20" s="1260"/>
      <c r="WHQ20" s="1260"/>
      <c r="WHR20" s="1260"/>
      <c r="WHS20" s="1260"/>
      <c r="WHT20" s="1260"/>
      <c r="WHU20" s="1260"/>
      <c r="WHV20" s="1260"/>
      <c r="WHW20" s="1260"/>
      <c r="WHX20" s="1260"/>
      <c r="WHY20" s="1260"/>
      <c r="WHZ20" s="1260"/>
      <c r="WIA20" s="1260"/>
      <c r="WIB20" s="1260"/>
      <c r="WIC20" s="1260"/>
      <c r="WID20" s="1260"/>
      <c r="WIE20" s="1260"/>
      <c r="WIF20" s="1260"/>
      <c r="WIG20" s="1260"/>
      <c r="WIH20" s="1260"/>
      <c r="WII20" s="1260"/>
      <c r="WIJ20" s="1260"/>
      <c r="WIK20" s="1260"/>
      <c r="WIL20" s="1260"/>
      <c r="WIM20" s="1260"/>
      <c r="WIN20" s="1260"/>
      <c r="WIO20" s="1260"/>
      <c r="WIP20" s="1260"/>
      <c r="WIQ20" s="1260"/>
      <c r="WIR20" s="1260"/>
      <c r="WIS20" s="1260"/>
      <c r="WIT20" s="1260"/>
      <c r="WIU20" s="1260"/>
      <c r="WIV20" s="1260"/>
      <c r="WIW20" s="1260"/>
      <c r="WIX20" s="1260"/>
      <c r="WIY20" s="1260"/>
      <c r="WIZ20" s="1260"/>
      <c r="WJA20" s="1260"/>
      <c r="WJB20" s="1260"/>
      <c r="WJC20" s="1260"/>
      <c r="WJD20" s="1260"/>
      <c r="WJE20" s="1260"/>
      <c r="WJF20" s="1260"/>
      <c r="WJG20" s="1260"/>
      <c r="WJH20" s="1260"/>
      <c r="WJI20" s="1260"/>
      <c r="WJJ20" s="1260"/>
      <c r="WJK20" s="1260"/>
      <c r="WJL20" s="1260"/>
      <c r="WJM20" s="1260"/>
      <c r="WJN20" s="1260"/>
      <c r="WJO20" s="1260"/>
      <c r="WJP20" s="1260"/>
      <c r="WJQ20" s="1260"/>
      <c r="WJR20" s="1260"/>
      <c r="WJS20" s="1260"/>
      <c r="WJT20" s="1260"/>
      <c r="WJU20" s="1260"/>
      <c r="WJV20" s="1260"/>
      <c r="WJW20" s="1260"/>
      <c r="WJX20" s="1260"/>
      <c r="WJY20" s="1260"/>
      <c r="WJZ20" s="1260"/>
      <c r="WKA20" s="1260"/>
      <c r="WKB20" s="1260"/>
      <c r="WKC20" s="1260"/>
      <c r="WKD20" s="1260"/>
      <c r="WKE20" s="1260"/>
      <c r="WKF20" s="1260"/>
      <c r="WKG20" s="1260"/>
      <c r="WKH20" s="1260"/>
      <c r="WKI20" s="1260"/>
      <c r="WKJ20" s="1260"/>
      <c r="WKK20" s="1260"/>
      <c r="WKL20" s="1260"/>
      <c r="WKM20" s="1260"/>
      <c r="WKN20" s="1260"/>
      <c r="WKO20" s="1260"/>
      <c r="WKP20" s="1260"/>
      <c r="WKQ20" s="1260"/>
      <c r="WKR20" s="1260"/>
      <c r="WKS20" s="1260"/>
      <c r="WKT20" s="1260"/>
      <c r="WKU20" s="1260"/>
      <c r="WKV20" s="1260"/>
      <c r="WKW20" s="1260"/>
      <c r="WKX20" s="1260"/>
      <c r="WKY20" s="1260"/>
      <c r="WKZ20" s="1260"/>
      <c r="WLA20" s="1260"/>
      <c r="WLB20" s="1260"/>
      <c r="WLC20" s="1260"/>
      <c r="WLD20" s="1260"/>
      <c r="WLE20" s="1260"/>
      <c r="WLF20" s="1260"/>
      <c r="WLG20" s="1260"/>
      <c r="WLH20" s="1260"/>
      <c r="WLI20" s="1260"/>
      <c r="WLJ20" s="1260"/>
      <c r="WLK20" s="1260"/>
      <c r="WLL20" s="1260"/>
      <c r="WLM20" s="1260"/>
      <c r="WLN20" s="1260"/>
      <c r="WLO20" s="1260"/>
      <c r="WLP20" s="1260"/>
      <c r="WLQ20" s="1260"/>
      <c r="WLR20" s="1260"/>
      <c r="WLS20" s="1260"/>
      <c r="WLT20" s="1260"/>
      <c r="WLU20" s="1260"/>
      <c r="WLV20" s="1260"/>
      <c r="WLW20" s="1260"/>
      <c r="WLX20" s="1260"/>
      <c r="WLY20" s="1260"/>
      <c r="WLZ20" s="1260"/>
      <c r="WMA20" s="1260"/>
      <c r="WMB20" s="1260"/>
      <c r="WMC20" s="1260"/>
      <c r="WMD20" s="1260"/>
      <c r="WME20" s="1260"/>
      <c r="WMF20" s="1260"/>
      <c r="WMG20" s="1260"/>
      <c r="WMH20" s="1260"/>
      <c r="WMI20" s="1260"/>
      <c r="WMJ20" s="1260"/>
      <c r="WMK20" s="1260"/>
      <c r="WML20" s="1260"/>
      <c r="WMM20" s="1260"/>
      <c r="WMN20" s="1260"/>
      <c r="WMO20" s="1260"/>
      <c r="WMP20" s="1260"/>
      <c r="WMQ20" s="1260"/>
      <c r="WMR20" s="1260"/>
      <c r="WMS20" s="1260"/>
      <c r="WMT20" s="1260"/>
      <c r="WMU20" s="1260"/>
      <c r="WMV20" s="1260"/>
      <c r="WMW20" s="1260"/>
      <c r="WMX20" s="1260"/>
      <c r="WMY20" s="1260"/>
      <c r="WMZ20" s="1260"/>
      <c r="WNA20" s="1260"/>
      <c r="WNB20" s="1260"/>
      <c r="WNC20" s="1260"/>
      <c r="WND20" s="1260"/>
      <c r="WNE20" s="1260"/>
      <c r="WNF20" s="1260"/>
      <c r="WNG20" s="1260"/>
      <c r="WNH20" s="1260"/>
      <c r="WNI20" s="1260"/>
      <c r="WNJ20" s="1260"/>
      <c r="WNK20" s="1260"/>
      <c r="WNL20" s="1260"/>
      <c r="WNM20" s="1260"/>
      <c r="WNN20" s="1260"/>
      <c r="WNO20" s="1260"/>
      <c r="WNP20" s="1260"/>
      <c r="WNQ20" s="1260"/>
      <c r="WNR20" s="1260"/>
      <c r="WNS20" s="1260"/>
      <c r="WNT20" s="1260"/>
      <c r="WNU20" s="1260"/>
      <c r="WNV20" s="1260"/>
      <c r="WNW20" s="1260"/>
      <c r="WNX20" s="1260"/>
      <c r="WNY20" s="1260"/>
      <c r="WNZ20" s="1260"/>
      <c r="WOA20" s="1260"/>
      <c r="WOB20" s="1260"/>
      <c r="WOC20" s="1260"/>
      <c r="WOD20" s="1260"/>
      <c r="WOE20" s="1260"/>
      <c r="WOF20" s="1260"/>
      <c r="WOG20" s="1260"/>
      <c r="WOH20" s="1260"/>
      <c r="WOI20" s="1260"/>
      <c r="WOJ20" s="1260"/>
      <c r="WOK20" s="1260"/>
      <c r="WOL20" s="1260"/>
      <c r="WOM20" s="1260"/>
      <c r="WON20" s="1260"/>
      <c r="WOO20" s="1260"/>
      <c r="WOP20" s="1260"/>
      <c r="WOQ20" s="1260"/>
      <c r="WOR20" s="1260"/>
      <c r="WOS20" s="1260"/>
      <c r="WOT20" s="1260"/>
      <c r="WOU20" s="1260"/>
      <c r="WOV20" s="1260"/>
      <c r="WOW20" s="1260"/>
      <c r="WOX20" s="1260"/>
      <c r="WOY20" s="1260"/>
      <c r="WOZ20" s="1260"/>
      <c r="WPA20" s="1260"/>
      <c r="WPB20" s="1260"/>
      <c r="WPC20" s="1260"/>
      <c r="WPD20" s="1260"/>
      <c r="WPE20" s="1260"/>
      <c r="WPF20" s="1260"/>
      <c r="WPG20" s="1260"/>
      <c r="WPH20" s="1260"/>
      <c r="WPI20" s="1260"/>
      <c r="WPJ20" s="1260"/>
      <c r="WPK20" s="1260"/>
      <c r="WPL20" s="1260"/>
      <c r="WPM20" s="1260"/>
      <c r="WPN20" s="1260"/>
      <c r="WPO20" s="1260"/>
      <c r="WPP20" s="1260"/>
      <c r="WPQ20" s="1260"/>
      <c r="WPR20" s="1260"/>
      <c r="WPS20" s="1260"/>
      <c r="WPT20" s="1260"/>
      <c r="WPU20" s="1260"/>
      <c r="WPV20" s="1260"/>
      <c r="WPW20" s="1260"/>
      <c r="WPX20" s="1260"/>
      <c r="WPY20" s="1260"/>
      <c r="WPZ20" s="1260"/>
      <c r="WQA20" s="1260"/>
      <c r="WQB20" s="1260"/>
      <c r="WQC20" s="1260"/>
      <c r="WQD20" s="1260"/>
      <c r="WQE20" s="1260"/>
      <c r="WQF20" s="1260"/>
      <c r="WQG20" s="1260"/>
      <c r="WQH20" s="1260"/>
      <c r="WQI20" s="1260"/>
      <c r="WQJ20" s="1260"/>
      <c r="WQK20" s="1260"/>
      <c r="WQL20" s="1260"/>
      <c r="WQM20" s="1260"/>
      <c r="WQN20" s="1260"/>
      <c r="WQO20" s="1260"/>
      <c r="WQP20" s="1260"/>
      <c r="WQQ20" s="1260"/>
      <c r="WQR20" s="1260"/>
      <c r="WQS20" s="1260"/>
      <c r="WQT20" s="1260"/>
      <c r="WQU20" s="1260"/>
      <c r="WQV20" s="1260"/>
      <c r="WQW20" s="1260"/>
      <c r="WQX20" s="1260"/>
      <c r="WQY20" s="1260"/>
      <c r="WQZ20" s="1260"/>
      <c r="WRA20" s="1260"/>
      <c r="WRB20" s="1260"/>
      <c r="WRC20" s="1260"/>
      <c r="WRD20" s="1260"/>
      <c r="WRE20" s="1260"/>
      <c r="WRF20" s="1260"/>
      <c r="WRG20" s="1260"/>
      <c r="WRH20" s="1260"/>
      <c r="WRI20" s="1260"/>
      <c r="WRJ20" s="1260"/>
      <c r="WRK20" s="1260"/>
      <c r="WRL20" s="1260"/>
      <c r="WRM20" s="1260"/>
      <c r="WRN20" s="1260"/>
      <c r="WRO20" s="1260"/>
      <c r="WRP20" s="1260"/>
      <c r="WRQ20" s="1260"/>
      <c r="WRR20" s="1260"/>
      <c r="WRS20" s="1260"/>
      <c r="WRT20" s="1260"/>
      <c r="WRU20" s="1260"/>
      <c r="WRV20" s="1260"/>
      <c r="WRW20" s="1260"/>
      <c r="WRX20" s="1260"/>
      <c r="WRY20" s="1260"/>
      <c r="WRZ20" s="1260"/>
      <c r="WSA20" s="1260"/>
      <c r="WSB20" s="1260"/>
      <c r="WSC20" s="1260"/>
      <c r="WSD20" s="1260"/>
      <c r="WSE20" s="1260"/>
      <c r="WSF20" s="1260"/>
      <c r="WSG20" s="1260"/>
      <c r="WSH20" s="1260"/>
      <c r="WSI20" s="1260"/>
      <c r="WSJ20" s="1260"/>
      <c r="WSK20" s="1260"/>
      <c r="WSL20" s="1260"/>
      <c r="WSM20" s="1260"/>
      <c r="WSN20" s="1260"/>
      <c r="WSO20" s="1260"/>
      <c r="WSP20" s="1260"/>
      <c r="WSQ20" s="1260"/>
      <c r="WSR20" s="1260"/>
      <c r="WSS20" s="1260"/>
      <c r="WST20" s="1260"/>
      <c r="WSU20" s="1260"/>
      <c r="WSV20" s="1260"/>
      <c r="WSW20" s="1260"/>
      <c r="WSX20" s="1260"/>
      <c r="WSY20" s="1260"/>
      <c r="WSZ20" s="1260"/>
      <c r="WTA20" s="1260"/>
      <c r="WTB20" s="1260"/>
      <c r="WTC20" s="1260"/>
      <c r="WTD20" s="1260"/>
      <c r="WTE20" s="1260"/>
      <c r="WTF20" s="1260"/>
      <c r="WTG20" s="1260"/>
      <c r="WTH20" s="1260"/>
      <c r="WTI20" s="1260"/>
      <c r="WTJ20" s="1260"/>
      <c r="WTK20" s="1260"/>
      <c r="WTL20" s="1260"/>
      <c r="WTM20" s="1260"/>
      <c r="WTN20" s="1260"/>
      <c r="WTO20" s="1260"/>
      <c r="WTP20" s="1260"/>
      <c r="WTQ20" s="1260"/>
      <c r="WTR20" s="1260"/>
      <c r="WTS20" s="1260"/>
      <c r="WTT20" s="1260"/>
      <c r="WTU20" s="1260"/>
      <c r="WTV20" s="1260"/>
      <c r="WTW20" s="1260"/>
      <c r="WTX20" s="1260"/>
      <c r="WTY20" s="1260"/>
      <c r="WTZ20" s="1260"/>
      <c r="WUA20" s="1260"/>
      <c r="WUB20" s="1260"/>
      <c r="WUC20" s="1260"/>
      <c r="WUD20" s="1260"/>
      <c r="WUE20" s="1260"/>
      <c r="WUF20" s="1260"/>
      <c r="WUG20" s="1260"/>
      <c r="WUH20" s="1260"/>
      <c r="WUI20" s="1260"/>
      <c r="WUJ20" s="1260"/>
      <c r="WUK20" s="1260"/>
      <c r="WUL20" s="1260"/>
      <c r="WUM20" s="1260"/>
      <c r="WUN20" s="1260"/>
      <c r="WUO20" s="1260"/>
      <c r="WUP20" s="1260"/>
      <c r="WUQ20" s="1260"/>
      <c r="WUR20" s="1260"/>
      <c r="WUS20" s="1260"/>
      <c r="WUT20" s="1260"/>
      <c r="WUU20" s="1260"/>
      <c r="WUV20" s="1260"/>
      <c r="WUW20" s="1260"/>
      <c r="WUX20" s="1260"/>
      <c r="WUY20" s="1260"/>
      <c r="WUZ20" s="1260"/>
      <c r="WVA20" s="1260"/>
      <c r="WVB20" s="1260"/>
      <c r="WVC20" s="1260"/>
      <c r="WVD20" s="1260"/>
      <c r="WVE20" s="1260"/>
      <c r="WVF20" s="1260"/>
      <c r="WVG20" s="1260"/>
      <c r="WVH20" s="1260"/>
      <c r="WVI20" s="1260"/>
      <c r="WVJ20" s="1260"/>
      <c r="WVK20" s="1260"/>
      <c r="WVL20" s="1260"/>
      <c r="WVM20" s="1260"/>
      <c r="WVN20" s="1260"/>
      <c r="WVO20" s="1260"/>
      <c r="WVP20" s="1260"/>
      <c r="WVQ20" s="1260"/>
      <c r="WVR20" s="1260"/>
      <c r="WVS20" s="1260"/>
      <c r="WVT20" s="1260"/>
      <c r="WVU20" s="1260"/>
      <c r="WVV20" s="1260"/>
      <c r="WVW20" s="1260"/>
      <c r="WVX20" s="1260"/>
      <c r="WVY20" s="1260"/>
      <c r="WVZ20" s="1260"/>
      <c r="WWA20" s="1260"/>
      <c r="WWB20" s="1260"/>
      <c r="WWC20" s="1260"/>
      <c r="WWD20" s="1260"/>
      <c r="WWE20" s="1260"/>
      <c r="WWF20" s="1260"/>
      <c r="WWG20" s="1260"/>
      <c r="WWH20" s="1260"/>
      <c r="WWI20" s="1260"/>
      <c r="WWJ20" s="1260"/>
      <c r="WWK20" s="1260"/>
      <c r="WWL20" s="1260"/>
      <c r="WWM20" s="1260"/>
      <c r="WWN20" s="1260"/>
      <c r="WWO20" s="1260"/>
      <c r="WWP20" s="1260"/>
      <c r="WWQ20" s="1260"/>
      <c r="WWR20" s="1260"/>
      <c r="WWS20" s="1260"/>
      <c r="WWT20" s="1260"/>
      <c r="WWU20" s="1260"/>
      <c r="WWV20" s="1260"/>
      <c r="WWW20" s="1260"/>
      <c r="WWX20" s="1260"/>
      <c r="WWY20" s="1260"/>
      <c r="WWZ20" s="1260"/>
      <c r="WXA20" s="1260"/>
      <c r="WXB20" s="1260"/>
      <c r="WXC20" s="1260"/>
      <c r="WXD20" s="1260"/>
      <c r="WXE20" s="1260"/>
      <c r="WXF20" s="1260"/>
      <c r="WXG20" s="1260"/>
      <c r="WXH20" s="1260"/>
      <c r="WXI20" s="1260"/>
      <c r="WXJ20" s="1260"/>
      <c r="WXK20" s="1260"/>
      <c r="WXL20" s="1260"/>
      <c r="WXM20" s="1260"/>
      <c r="WXN20" s="1260"/>
      <c r="WXO20" s="1260"/>
      <c r="WXP20" s="1260"/>
      <c r="WXQ20" s="1260"/>
      <c r="WXR20" s="1260"/>
      <c r="WXS20" s="1260"/>
      <c r="WXT20" s="1260"/>
      <c r="WXU20" s="1260"/>
      <c r="WXV20" s="1260"/>
      <c r="WXW20" s="1260"/>
      <c r="WXX20" s="1260"/>
      <c r="WXY20" s="1260"/>
      <c r="WXZ20" s="1260"/>
      <c r="WYA20" s="1260"/>
      <c r="WYB20" s="1260"/>
      <c r="WYC20" s="1260"/>
      <c r="WYD20" s="1260"/>
      <c r="WYE20" s="1260"/>
      <c r="WYF20" s="1260"/>
      <c r="WYG20" s="1260"/>
      <c r="WYH20" s="1260"/>
      <c r="WYI20" s="1260"/>
      <c r="WYJ20" s="1260"/>
      <c r="WYK20" s="1260"/>
      <c r="WYL20" s="1260"/>
      <c r="WYM20" s="1260"/>
      <c r="WYN20" s="1260"/>
      <c r="WYO20" s="1260"/>
      <c r="WYP20" s="1260"/>
      <c r="WYQ20" s="1260"/>
      <c r="WYR20" s="1260"/>
      <c r="WYS20" s="1260"/>
      <c r="WYT20" s="1260"/>
      <c r="WYU20" s="1260"/>
      <c r="WYV20" s="1260"/>
      <c r="WYW20" s="1260"/>
      <c r="WYX20" s="1260"/>
      <c r="WYY20" s="1260"/>
      <c r="WYZ20" s="1260"/>
      <c r="WZA20" s="1260"/>
      <c r="WZB20" s="1260"/>
      <c r="WZC20" s="1260"/>
      <c r="WZD20" s="1260"/>
      <c r="WZE20" s="1260"/>
      <c r="WZF20" s="1260"/>
      <c r="WZG20" s="1260"/>
      <c r="WZH20" s="1260"/>
      <c r="WZI20" s="1260"/>
      <c r="WZJ20" s="1260"/>
      <c r="WZK20" s="1260"/>
      <c r="WZL20" s="1260"/>
      <c r="WZM20" s="1260"/>
      <c r="WZN20" s="1260"/>
      <c r="WZO20" s="1260"/>
      <c r="WZP20" s="1260"/>
      <c r="WZQ20" s="1260"/>
      <c r="WZR20" s="1260"/>
      <c r="WZS20" s="1260"/>
      <c r="WZT20" s="1260"/>
      <c r="WZU20" s="1260"/>
      <c r="WZV20" s="1260"/>
      <c r="WZW20" s="1260"/>
      <c r="WZX20" s="1260"/>
      <c r="WZY20" s="1260"/>
      <c r="WZZ20" s="1260"/>
      <c r="XAA20" s="1260"/>
      <c r="XAB20" s="1260"/>
      <c r="XAC20" s="1260"/>
      <c r="XAD20" s="1260"/>
      <c r="XAE20" s="1260"/>
      <c r="XAF20" s="1260"/>
      <c r="XAG20" s="1260"/>
      <c r="XAH20" s="1260"/>
      <c r="XAI20" s="1260"/>
      <c r="XAJ20" s="1260"/>
      <c r="XAK20" s="1260"/>
      <c r="XAL20" s="1260"/>
      <c r="XAM20" s="1260"/>
      <c r="XAN20" s="1260"/>
      <c r="XAO20" s="1260"/>
      <c r="XAP20" s="1260"/>
      <c r="XAQ20" s="1260"/>
      <c r="XAR20" s="1260"/>
      <c r="XAS20" s="1260"/>
      <c r="XAT20" s="1260"/>
      <c r="XAU20" s="1260"/>
      <c r="XAV20" s="1260"/>
      <c r="XAW20" s="1260"/>
      <c r="XAX20" s="1260"/>
      <c r="XAY20" s="1260"/>
      <c r="XAZ20" s="1260"/>
      <c r="XBA20" s="1260"/>
      <c r="XBB20" s="1260"/>
      <c r="XBC20" s="1260"/>
      <c r="XBD20" s="1260"/>
      <c r="XBE20" s="1260"/>
      <c r="XBF20" s="1260"/>
      <c r="XBG20" s="1260"/>
      <c r="XBH20" s="1260"/>
      <c r="XBI20" s="1260"/>
      <c r="XBJ20" s="1260"/>
      <c r="XBK20" s="1260"/>
      <c r="XBL20" s="1260"/>
      <c r="XBM20" s="1260"/>
      <c r="XBN20" s="1260"/>
      <c r="XBO20" s="1260"/>
      <c r="XBP20" s="1260"/>
      <c r="XBQ20" s="1260"/>
      <c r="XBR20" s="1260"/>
      <c r="XBS20" s="1260"/>
      <c r="XBT20" s="1260"/>
      <c r="XBU20" s="1260"/>
      <c r="XBV20" s="1260"/>
      <c r="XBW20" s="1260"/>
      <c r="XBX20" s="1260"/>
      <c r="XBY20" s="1260"/>
      <c r="XBZ20" s="1260"/>
      <c r="XCA20" s="1260"/>
      <c r="XCB20" s="1260"/>
      <c r="XCC20" s="1260"/>
      <c r="XCD20" s="1260"/>
      <c r="XCE20" s="1260"/>
      <c r="XCF20" s="1260"/>
      <c r="XCG20" s="1260"/>
      <c r="XCH20" s="1260"/>
      <c r="XCI20" s="1260"/>
      <c r="XCJ20" s="1260"/>
      <c r="XCK20" s="1260"/>
      <c r="XCL20" s="1260"/>
      <c r="XCM20" s="1260"/>
      <c r="XCN20" s="1260"/>
      <c r="XCO20" s="1260"/>
      <c r="XCP20" s="1260"/>
      <c r="XCQ20" s="1260"/>
      <c r="XCR20" s="1260"/>
      <c r="XCS20" s="1260"/>
      <c r="XCT20" s="1260"/>
      <c r="XCU20" s="1260"/>
      <c r="XCV20" s="1260"/>
      <c r="XCW20" s="1260"/>
      <c r="XCX20" s="1260"/>
      <c r="XCY20" s="1260"/>
      <c r="XCZ20" s="1260"/>
      <c r="XDA20" s="1260"/>
      <c r="XDB20" s="1260"/>
      <c r="XDC20" s="1260"/>
      <c r="XDD20" s="1260"/>
      <c r="XDE20" s="1260"/>
      <c r="XDF20" s="1260"/>
      <c r="XDG20" s="1260"/>
      <c r="XDH20" s="1260"/>
      <c r="XDI20" s="1260"/>
      <c r="XDJ20" s="1260"/>
      <c r="XDK20" s="1260"/>
      <c r="XDL20" s="1260"/>
      <c r="XDM20" s="1260"/>
      <c r="XDN20" s="1260"/>
      <c r="XDO20" s="1260"/>
      <c r="XDP20" s="1260"/>
      <c r="XDQ20" s="1260"/>
      <c r="XDR20" s="1260"/>
      <c r="XDS20" s="1260"/>
      <c r="XDT20" s="1260"/>
      <c r="XDU20" s="1260"/>
      <c r="XDV20" s="1260"/>
      <c r="XDW20" s="1260"/>
      <c r="XDX20" s="1260"/>
      <c r="XDY20" s="1260"/>
      <c r="XDZ20" s="1260"/>
      <c r="XEA20" s="1260"/>
      <c r="XEB20" s="1260"/>
      <c r="XEC20" s="1260"/>
      <c r="XED20" s="1260"/>
      <c r="XEE20" s="1260"/>
      <c r="XEF20" s="1260"/>
      <c r="XEG20" s="1260"/>
      <c r="XEH20" s="1260"/>
      <c r="XEI20" s="1260"/>
      <c r="XEJ20" s="1260"/>
      <c r="XEK20" s="1260"/>
      <c r="XEL20" s="1260"/>
      <c r="XEM20" s="1260"/>
      <c r="XEN20" s="1260"/>
      <c r="XEO20" s="1260"/>
      <c r="XEP20" s="1260"/>
      <c r="XEQ20" s="1260"/>
      <c r="XER20" s="1260"/>
      <c r="XES20" s="1260"/>
      <c r="XET20" s="1260"/>
      <c r="XEU20" s="1260"/>
      <c r="XEV20" s="1260"/>
      <c r="XEW20" s="1260"/>
      <c r="XEX20" s="1260"/>
      <c r="XEY20" s="1260"/>
      <c r="XEZ20" s="1260"/>
      <c r="XFA20" s="1260"/>
      <c r="XFB20" s="1260"/>
      <c r="XFC20" s="1260"/>
    </row>
    <row r="21" spans="1:16383" s="857" customFormat="1" ht="42.75" hidden="1" customHeight="1" x14ac:dyDescent="0.2">
      <c r="A21" s="857" t="s">
        <v>4896</v>
      </c>
      <c r="B21" s="1280" t="e">
        <v>#N/A</v>
      </c>
      <c r="C21" s="1280"/>
      <c r="D21" s="1280"/>
      <c r="E21" s="1281"/>
      <c r="F21" s="1287" t="s">
        <v>5189</v>
      </c>
      <c r="G21" s="1282"/>
      <c r="H21" s="1283" t="s">
        <v>2494</v>
      </c>
      <c r="I21" s="1284"/>
      <c r="J21" s="1288" t="s">
        <v>519</v>
      </c>
      <c r="K21" s="1289">
        <v>265.7</v>
      </c>
      <c r="L21" s="1289"/>
      <c r="M21" s="1289"/>
      <c r="N21" s="1288" t="s">
        <v>5190</v>
      </c>
      <c r="O21" s="1283">
        <v>2008</v>
      </c>
      <c r="P21" s="1285"/>
      <c r="Q21" s="1288" t="s">
        <v>5084</v>
      </c>
      <c r="R21" s="1285"/>
      <c r="S21" s="1288" t="s">
        <v>5085</v>
      </c>
      <c r="T21" s="1286">
        <v>1463770462.0105574</v>
      </c>
      <c r="U21" s="1289" t="s">
        <v>43</v>
      </c>
      <c r="V21" s="1288" t="s">
        <v>5098</v>
      </c>
      <c r="W21" s="968"/>
      <c r="X21" s="884" t="str">
        <f t="shared" si="4"/>
        <v>04.13.01</v>
      </c>
      <c r="Y21" s="884" t="str">
        <f t="shared" si="1"/>
        <v>Jalan</v>
      </c>
      <c r="Z21" s="884">
        <f t="shared" si="2"/>
        <v>10</v>
      </c>
      <c r="AA21" s="868">
        <f t="shared" si="5"/>
        <v>146377046.20105574</v>
      </c>
      <c r="AB21" s="885">
        <f t="shared" si="6"/>
        <v>6</v>
      </c>
      <c r="AC21" s="868">
        <f t="shared" si="7"/>
        <v>878262277.20633435</v>
      </c>
      <c r="AD21" s="868">
        <f t="shared" si="8"/>
        <v>146377046.20105574</v>
      </c>
      <c r="AE21" s="868">
        <f t="shared" si="9"/>
        <v>146377046.20105574</v>
      </c>
      <c r="AF21" s="868">
        <f t="shared" si="10"/>
        <v>146377046.20105574</v>
      </c>
      <c r="AG21" s="868">
        <f t="shared" si="11"/>
        <v>146377046.20105574</v>
      </c>
      <c r="AH21" s="886">
        <f t="shared" si="12"/>
        <v>0</v>
      </c>
      <c r="AI21" s="886">
        <f t="shared" si="13"/>
        <v>1463770462.0105574</v>
      </c>
      <c r="AJ21" s="868">
        <f t="shared" si="14"/>
        <v>0</v>
      </c>
      <c r="AK21" s="898">
        <f t="shared" si="3"/>
        <v>1463770462.0105574</v>
      </c>
      <c r="AL21" s="1280"/>
      <c r="AM21" s="1280"/>
      <c r="AN21" s="1280"/>
      <c r="AO21" s="1280"/>
      <c r="AP21" s="1280"/>
      <c r="AQ21" s="1280"/>
      <c r="AR21" s="1280"/>
      <c r="AS21" s="1280"/>
      <c r="AT21" s="1280"/>
      <c r="AU21" s="1280"/>
      <c r="AV21" s="1280"/>
      <c r="AW21" s="1280"/>
      <c r="AX21" s="1280"/>
      <c r="AY21" s="1280"/>
      <c r="AZ21" s="1280"/>
      <c r="BA21" s="1280"/>
      <c r="BB21" s="1280"/>
      <c r="BC21" s="1280"/>
      <c r="BD21" s="1280"/>
      <c r="BE21" s="1280"/>
      <c r="BF21" s="1280"/>
      <c r="BG21" s="1280"/>
      <c r="BH21" s="1280"/>
      <c r="BI21" s="1280"/>
      <c r="BJ21" s="1280"/>
      <c r="BK21" s="1280"/>
      <c r="BL21" s="1280"/>
      <c r="BM21" s="1280"/>
      <c r="BN21" s="1280"/>
      <c r="BO21" s="1280"/>
      <c r="BP21" s="1280"/>
      <c r="BQ21" s="1280"/>
      <c r="BR21" s="1280"/>
      <c r="BS21" s="1280"/>
      <c r="BT21" s="1280"/>
      <c r="BU21" s="1280"/>
      <c r="BV21" s="1280"/>
      <c r="BW21" s="1280"/>
      <c r="BX21" s="1280"/>
      <c r="BY21" s="1280"/>
      <c r="BZ21" s="1280"/>
      <c r="CA21" s="1280"/>
      <c r="CB21" s="1280"/>
      <c r="CC21" s="1280"/>
      <c r="CD21" s="1280"/>
      <c r="CE21" s="1280"/>
      <c r="CF21" s="1280"/>
      <c r="CG21" s="1280"/>
      <c r="CH21" s="1280"/>
      <c r="CI21" s="1280"/>
      <c r="CJ21" s="1280"/>
      <c r="CK21" s="1280"/>
      <c r="CL21" s="1280"/>
      <c r="CM21" s="1280"/>
      <c r="CN21" s="1280"/>
      <c r="CO21" s="1280"/>
      <c r="CP21" s="1280"/>
      <c r="CQ21" s="1280"/>
      <c r="CR21" s="1280"/>
      <c r="CS21" s="1280"/>
      <c r="CT21" s="1280"/>
      <c r="CU21" s="1280"/>
      <c r="CV21" s="1280"/>
      <c r="CW21" s="1280"/>
      <c r="CX21" s="1280"/>
      <c r="CY21" s="1280"/>
      <c r="CZ21" s="1280"/>
      <c r="DA21" s="1280"/>
      <c r="DB21" s="1280"/>
      <c r="DC21" s="1280"/>
      <c r="DD21" s="1280"/>
      <c r="DE21" s="1280"/>
      <c r="DF21" s="1280"/>
      <c r="DG21" s="1280"/>
      <c r="DH21" s="1280"/>
      <c r="DI21" s="1280"/>
      <c r="DJ21" s="1280"/>
      <c r="DK21" s="1280"/>
      <c r="DL21" s="1280"/>
      <c r="DM21" s="1280"/>
      <c r="DN21" s="1280"/>
      <c r="DO21" s="1280"/>
      <c r="DP21" s="1280"/>
      <c r="DQ21" s="1280"/>
      <c r="DR21" s="1280"/>
      <c r="DS21" s="1280"/>
      <c r="DT21" s="1280"/>
      <c r="DU21" s="1280"/>
      <c r="DV21" s="1280"/>
      <c r="DW21" s="1280"/>
      <c r="DX21" s="1280"/>
      <c r="DY21" s="1280"/>
      <c r="DZ21" s="1280"/>
      <c r="EA21" s="1280"/>
      <c r="EB21" s="1280"/>
      <c r="EC21" s="1280"/>
      <c r="ED21" s="1280"/>
      <c r="EE21" s="1280"/>
      <c r="EF21" s="1280"/>
      <c r="EG21" s="1280"/>
      <c r="EH21" s="1280"/>
      <c r="EI21" s="1280"/>
      <c r="EJ21" s="1280"/>
      <c r="EK21" s="1280"/>
      <c r="EL21" s="1280"/>
      <c r="EM21" s="1280"/>
      <c r="EN21" s="1280"/>
      <c r="EO21" s="1280"/>
      <c r="EP21" s="1280"/>
      <c r="EQ21" s="1280"/>
      <c r="ER21" s="1280"/>
      <c r="ES21" s="1280"/>
      <c r="ET21" s="1280"/>
      <c r="EU21" s="1280"/>
      <c r="EV21" s="1280"/>
      <c r="EW21" s="1280"/>
      <c r="EX21" s="1280"/>
      <c r="EY21" s="1280"/>
      <c r="EZ21" s="1280"/>
      <c r="FA21" s="1280"/>
      <c r="FB21" s="1280"/>
      <c r="FC21" s="1280"/>
      <c r="FD21" s="1280"/>
      <c r="FE21" s="1280"/>
      <c r="FF21" s="1280"/>
      <c r="FG21" s="1280"/>
      <c r="FH21" s="1280"/>
      <c r="FI21" s="1280"/>
      <c r="FJ21" s="1280"/>
      <c r="FK21" s="1280"/>
      <c r="FL21" s="1280"/>
      <c r="FM21" s="1280"/>
      <c r="FN21" s="1280"/>
      <c r="FO21" s="1280"/>
      <c r="FP21" s="1280"/>
      <c r="FQ21" s="1280"/>
      <c r="FR21" s="1280"/>
      <c r="FS21" s="1280"/>
      <c r="FT21" s="1280"/>
      <c r="FU21" s="1280"/>
      <c r="FV21" s="1280"/>
      <c r="FW21" s="1280"/>
      <c r="FX21" s="1280"/>
      <c r="FY21" s="1280"/>
      <c r="FZ21" s="1280"/>
      <c r="GA21" s="1280"/>
      <c r="GB21" s="1280"/>
      <c r="GC21" s="1280"/>
      <c r="GD21" s="1280"/>
      <c r="GE21" s="1280"/>
      <c r="GF21" s="1280"/>
      <c r="GG21" s="1280"/>
      <c r="GH21" s="1280"/>
      <c r="GI21" s="1280"/>
      <c r="GJ21" s="1280"/>
      <c r="GK21" s="1280"/>
      <c r="GL21" s="1280"/>
      <c r="GM21" s="1280"/>
      <c r="GN21" s="1280"/>
      <c r="GO21" s="1280"/>
      <c r="GP21" s="1280"/>
      <c r="GQ21" s="1280"/>
      <c r="GR21" s="1280"/>
      <c r="GS21" s="1280"/>
      <c r="GT21" s="1280"/>
      <c r="GU21" s="1280"/>
      <c r="GV21" s="1280"/>
      <c r="GW21" s="1280"/>
      <c r="GX21" s="1280"/>
      <c r="GY21" s="1280"/>
      <c r="GZ21" s="1280"/>
      <c r="HA21" s="1280"/>
      <c r="HB21" s="1280"/>
      <c r="HC21" s="1280"/>
      <c r="HD21" s="1280"/>
      <c r="HE21" s="1280"/>
      <c r="HF21" s="1280"/>
      <c r="HG21" s="1280"/>
      <c r="HH21" s="1280"/>
      <c r="HI21" s="1280"/>
      <c r="HJ21" s="1280"/>
      <c r="HK21" s="1280"/>
      <c r="HL21" s="1280"/>
      <c r="HM21" s="1280"/>
      <c r="HN21" s="1280"/>
      <c r="HO21" s="1280"/>
      <c r="HP21" s="1280"/>
      <c r="HQ21" s="1280"/>
      <c r="HR21" s="1280"/>
      <c r="HS21" s="1280"/>
      <c r="HT21" s="1280"/>
      <c r="HU21" s="1280"/>
      <c r="HV21" s="1280"/>
      <c r="HW21" s="1280"/>
      <c r="HX21" s="1280"/>
      <c r="HY21" s="1280"/>
      <c r="HZ21" s="1280"/>
      <c r="IA21" s="1280"/>
      <c r="IB21" s="1280"/>
      <c r="IC21" s="1280"/>
      <c r="ID21" s="1280"/>
      <c r="IE21" s="1280"/>
      <c r="IF21" s="1280"/>
      <c r="IG21" s="1280"/>
      <c r="IH21" s="1280"/>
      <c r="II21" s="1280"/>
      <c r="IJ21" s="1280"/>
      <c r="IK21" s="1280"/>
      <c r="IL21" s="1280"/>
      <c r="IM21" s="1280"/>
      <c r="IN21" s="1280"/>
      <c r="IO21" s="1280"/>
      <c r="IP21" s="1280"/>
      <c r="IQ21" s="1280"/>
      <c r="IR21" s="1280"/>
      <c r="IS21" s="1280"/>
      <c r="IT21" s="1280"/>
      <c r="IU21" s="1280"/>
      <c r="IV21" s="1280"/>
      <c r="IW21" s="1280"/>
      <c r="IX21" s="1280"/>
      <c r="IY21" s="1280"/>
      <c r="IZ21" s="1280"/>
      <c r="JA21" s="1280"/>
      <c r="JB21" s="1280"/>
      <c r="JC21" s="1280"/>
      <c r="JD21" s="1280"/>
      <c r="JE21" s="1280"/>
      <c r="JF21" s="1280"/>
      <c r="JG21" s="1280"/>
      <c r="JH21" s="1280"/>
      <c r="JI21" s="1280"/>
      <c r="JJ21" s="1280"/>
      <c r="JK21" s="1280"/>
      <c r="JL21" s="1280"/>
      <c r="JM21" s="1280"/>
      <c r="JN21" s="1280"/>
      <c r="JO21" s="1280"/>
      <c r="JP21" s="1280"/>
      <c r="JQ21" s="1280"/>
      <c r="JR21" s="1280"/>
      <c r="JS21" s="1280"/>
      <c r="JT21" s="1280"/>
      <c r="JU21" s="1280"/>
      <c r="JV21" s="1280"/>
      <c r="JW21" s="1280"/>
      <c r="JX21" s="1280"/>
      <c r="JY21" s="1280"/>
      <c r="JZ21" s="1280"/>
      <c r="KA21" s="1280"/>
      <c r="KB21" s="1280"/>
      <c r="KC21" s="1280"/>
      <c r="KD21" s="1280"/>
      <c r="KE21" s="1280"/>
      <c r="KF21" s="1280"/>
      <c r="KG21" s="1280"/>
      <c r="KH21" s="1280"/>
      <c r="KI21" s="1280"/>
      <c r="KJ21" s="1280"/>
      <c r="KK21" s="1280"/>
      <c r="KL21" s="1280"/>
      <c r="KM21" s="1280"/>
      <c r="KN21" s="1280"/>
      <c r="KO21" s="1280"/>
      <c r="KP21" s="1280"/>
      <c r="KQ21" s="1280"/>
      <c r="KR21" s="1280"/>
      <c r="KS21" s="1280"/>
      <c r="KT21" s="1280"/>
      <c r="KU21" s="1280"/>
      <c r="KV21" s="1280"/>
      <c r="KW21" s="1280"/>
      <c r="KX21" s="1280"/>
      <c r="KY21" s="1280"/>
      <c r="KZ21" s="1280"/>
      <c r="LA21" s="1280"/>
      <c r="LB21" s="1280"/>
      <c r="LC21" s="1280"/>
      <c r="LD21" s="1280"/>
      <c r="LE21" s="1280"/>
      <c r="LF21" s="1280"/>
      <c r="LG21" s="1280"/>
      <c r="LH21" s="1280"/>
      <c r="LI21" s="1280"/>
      <c r="LJ21" s="1280"/>
      <c r="LK21" s="1280"/>
      <c r="LL21" s="1280"/>
      <c r="LM21" s="1280"/>
      <c r="LN21" s="1280"/>
      <c r="LO21" s="1280"/>
      <c r="LP21" s="1280"/>
      <c r="LQ21" s="1280"/>
      <c r="LR21" s="1280"/>
      <c r="LS21" s="1280"/>
      <c r="LT21" s="1280"/>
      <c r="LU21" s="1280"/>
      <c r="LV21" s="1280"/>
      <c r="LW21" s="1280"/>
      <c r="LX21" s="1280"/>
      <c r="LY21" s="1280"/>
      <c r="LZ21" s="1280"/>
      <c r="MA21" s="1280"/>
      <c r="MB21" s="1280"/>
      <c r="MC21" s="1280"/>
      <c r="MD21" s="1280"/>
      <c r="ME21" s="1280"/>
      <c r="MF21" s="1280"/>
      <c r="MG21" s="1280"/>
      <c r="MH21" s="1280"/>
      <c r="MI21" s="1280"/>
      <c r="MJ21" s="1280"/>
      <c r="MK21" s="1280"/>
      <c r="ML21" s="1280"/>
      <c r="MM21" s="1280"/>
      <c r="MN21" s="1280"/>
      <c r="MO21" s="1280"/>
      <c r="MP21" s="1280"/>
      <c r="MQ21" s="1280"/>
      <c r="MR21" s="1280"/>
      <c r="MS21" s="1280"/>
      <c r="MT21" s="1280"/>
      <c r="MU21" s="1280"/>
      <c r="MV21" s="1280"/>
      <c r="MW21" s="1280"/>
      <c r="MX21" s="1280"/>
      <c r="MY21" s="1280"/>
      <c r="MZ21" s="1280"/>
      <c r="NA21" s="1280"/>
      <c r="NB21" s="1280"/>
      <c r="NC21" s="1280"/>
      <c r="ND21" s="1280"/>
      <c r="NE21" s="1280"/>
      <c r="NF21" s="1280"/>
      <c r="NG21" s="1280"/>
      <c r="NH21" s="1280"/>
      <c r="NI21" s="1280"/>
      <c r="NJ21" s="1280"/>
      <c r="NK21" s="1280"/>
      <c r="NL21" s="1280"/>
      <c r="NM21" s="1280"/>
      <c r="NN21" s="1280"/>
      <c r="NO21" s="1280"/>
      <c r="NP21" s="1280"/>
      <c r="NQ21" s="1280"/>
      <c r="NR21" s="1280"/>
      <c r="NS21" s="1280"/>
      <c r="NT21" s="1280"/>
      <c r="NU21" s="1280"/>
      <c r="NV21" s="1280"/>
      <c r="NW21" s="1280"/>
      <c r="NX21" s="1280"/>
      <c r="NY21" s="1280"/>
      <c r="NZ21" s="1280"/>
      <c r="OA21" s="1280"/>
      <c r="OB21" s="1280"/>
      <c r="OC21" s="1280"/>
      <c r="OD21" s="1280"/>
      <c r="OE21" s="1280"/>
      <c r="OF21" s="1280"/>
      <c r="OG21" s="1280"/>
      <c r="OH21" s="1280"/>
      <c r="OI21" s="1280"/>
      <c r="OJ21" s="1280"/>
      <c r="OK21" s="1280"/>
      <c r="OL21" s="1280"/>
      <c r="OM21" s="1280"/>
      <c r="ON21" s="1280"/>
      <c r="OO21" s="1280"/>
      <c r="OP21" s="1280"/>
      <c r="OQ21" s="1280"/>
      <c r="OR21" s="1280"/>
      <c r="OS21" s="1280"/>
      <c r="OT21" s="1280"/>
      <c r="OU21" s="1280"/>
      <c r="OV21" s="1280"/>
      <c r="OW21" s="1280"/>
      <c r="OX21" s="1280"/>
      <c r="OY21" s="1280"/>
      <c r="OZ21" s="1280"/>
      <c r="PA21" s="1280"/>
      <c r="PB21" s="1280"/>
      <c r="PC21" s="1280"/>
      <c r="PD21" s="1280"/>
      <c r="PE21" s="1280"/>
      <c r="PF21" s="1280"/>
      <c r="PG21" s="1280"/>
      <c r="PH21" s="1280"/>
      <c r="PI21" s="1280"/>
      <c r="PJ21" s="1280"/>
      <c r="PK21" s="1280"/>
      <c r="PL21" s="1280"/>
      <c r="PM21" s="1280"/>
      <c r="PN21" s="1280"/>
      <c r="PO21" s="1280"/>
      <c r="PP21" s="1280"/>
      <c r="PQ21" s="1280"/>
      <c r="PR21" s="1280"/>
      <c r="PS21" s="1280"/>
      <c r="PT21" s="1280"/>
      <c r="PU21" s="1280"/>
      <c r="PV21" s="1280"/>
      <c r="PW21" s="1280"/>
      <c r="PX21" s="1280"/>
      <c r="PY21" s="1280"/>
      <c r="PZ21" s="1280"/>
      <c r="QA21" s="1280"/>
      <c r="QB21" s="1280"/>
      <c r="QC21" s="1280"/>
      <c r="QD21" s="1280"/>
      <c r="QE21" s="1280"/>
      <c r="QF21" s="1280"/>
      <c r="QG21" s="1280"/>
      <c r="QH21" s="1280"/>
      <c r="QI21" s="1280"/>
      <c r="QJ21" s="1280"/>
      <c r="QK21" s="1280"/>
      <c r="QL21" s="1280"/>
      <c r="QM21" s="1280"/>
      <c r="QN21" s="1280"/>
      <c r="QO21" s="1280"/>
      <c r="QP21" s="1280"/>
      <c r="QQ21" s="1280"/>
      <c r="QR21" s="1280"/>
      <c r="QS21" s="1280"/>
      <c r="QT21" s="1280"/>
      <c r="QU21" s="1280"/>
      <c r="QV21" s="1280"/>
      <c r="QW21" s="1280"/>
      <c r="QX21" s="1280"/>
      <c r="QY21" s="1280"/>
      <c r="QZ21" s="1280"/>
      <c r="RA21" s="1280"/>
      <c r="RB21" s="1280"/>
      <c r="RC21" s="1280"/>
      <c r="RD21" s="1280"/>
      <c r="RE21" s="1280"/>
      <c r="RF21" s="1280"/>
      <c r="RG21" s="1280"/>
      <c r="RH21" s="1280"/>
      <c r="RI21" s="1280"/>
      <c r="RJ21" s="1280"/>
      <c r="RK21" s="1280"/>
      <c r="RL21" s="1280"/>
      <c r="RM21" s="1280"/>
      <c r="RN21" s="1280"/>
      <c r="RO21" s="1280"/>
      <c r="RP21" s="1280"/>
      <c r="RQ21" s="1280"/>
      <c r="RR21" s="1280"/>
      <c r="RS21" s="1280"/>
      <c r="RT21" s="1280"/>
      <c r="RU21" s="1280"/>
      <c r="RV21" s="1280"/>
      <c r="RW21" s="1280"/>
      <c r="RX21" s="1280"/>
      <c r="RY21" s="1280"/>
      <c r="RZ21" s="1280"/>
      <c r="SA21" s="1280"/>
      <c r="SB21" s="1280"/>
      <c r="SC21" s="1280"/>
      <c r="SD21" s="1280"/>
      <c r="SE21" s="1280"/>
      <c r="SF21" s="1280"/>
      <c r="SG21" s="1280"/>
      <c r="SH21" s="1280"/>
      <c r="SI21" s="1280"/>
      <c r="SJ21" s="1280"/>
      <c r="SK21" s="1280"/>
      <c r="SL21" s="1280"/>
      <c r="SM21" s="1280"/>
      <c r="SN21" s="1280"/>
      <c r="SO21" s="1280"/>
      <c r="SP21" s="1280"/>
      <c r="SQ21" s="1280"/>
      <c r="SR21" s="1280"/>
      <c r="SS21" s="1280"/>
      <c r="ST21" s="1280"/>
      <c r="SU21" s="1280"/>
      <c r="SV21" s="1280"/>
      <c r="SW21" s="1280"/>
      <c r="SX21" s="1280"/>
      <c r="SY21" s="1280"/>
      <c r="SZ21" s="1280"/>
      <c r="TA21" s="1280"/>
      <c r="TB21" s="1280"/>
      <c r="TC21" s="1280"/>
      <c r="TD21" s="1280"/>
      <c r="TE21" s="1280"/>
      <c r="TF21" s="1280"/>
      <c r="TG21" s="1280"/>
      <c r="TH21" s="1280"/>
      <c r="TI21" s="1280"/>
      <c r="TJ21" s="1280"/>
      <c r="TK21" s="1280"/>
      <c r="TL21" s="1280"/>
      <c r="TM21" s="1280"/>
      <c r="TN21" s="1280"/>
      <c r="TO21" s="1280"/>
      <c r="TP21" s="1280"/>
      <c r="TQ21" s="1280"/>
      <c r="TR21" s="1280"/>
      <c r="TS21" s="1280"/>
      <c r="TT21" s="1280"/>
      <c r="TU21" s="1280"/>
      <c r="TV21" s="1280"/>
      <c r="TW21" s="1280"/>
      <c r="TX21" s="1280"/>
      <c r="TY21" s="1280"/>
      <c r="TZ21" s="1280"/>
      <c r="UA21" s="1280"/>
      <c r="UB21" s="1280"/>
      <c r="UC21" s="1280"/>
      <c r="UD21" s="1280"/>
      <c r="UE21" s="1280"/>
      <c r="UF21" s="1280"/>
      <c r="UG21" s="1280"/>
      <c r="UH21" s="1280"/>
      <c r="UI21" s="1280"/>
      <c r="UJ21" s="1280"/>
      <c r="UK21" s="1280"/>
      <c r="UL21" s="1280"/>
      <c r="UM21" s="1280"/>
      <c r="UN21" s="1280"/>
      <c r="UO21" s="1280"/>
      <c r="UP21" s="1280"/>
      <c r="UQ21" s="1280"/>
      <c r="UR21" s="1280"/>
      <c r="US21" s="1280"/>
      <c r="UT21" s="1280"/>
      <c r="UU21" s="1280"/>
      <c r="UV21" s="1280"/>
      <c r="UW21" s="1280"/>
      <c r="UX21" s="1280"/>
      <c r="UY21" s="1280"/>
      <c r="UZ21" s="1280"/>
      <c r="VA21" s="1280"/>
      <c r="VB21" s="1280"/>
      <c r="VC21" s="1280"/>
      <c r="VD21" s="1280"/>
      <c r="VE21" s="1280"/>
      <c r="VF21" s="1280"/>
      <c r="VG21" s="1280"/>
      <c r="VH21" s="1280"/>
      <c r="VI21" s="1280"/>
      <c r="VJ21" s="1280"/>
      <c r="VK21" s="1280"/>
      <c r="VL21" s="1280"/>
      <c r="VM21" s="1280"/>
      <c r="VN21" s="1280"/>
      <c r="VO21" s="1280"/>
      <c r="VP21" s="1280"/>
      <c r="VQ21" s="1280"/>
      <c r="VR21" s="1280"/>
      <c r="VS21" s="1280"/>
      <c r="VT21" s="1280"/>
      <c r="VU21" s="1280"/>
      <c r="VV21" s="1280"/>
      <c r="VW21" s="1280"/>
      <c r="VX21" s="1280"/>
      <c r="VY21" s="1280"/>
      <c r="VZ21" s="1280"/>
      <c r="WA21" s="1280"/>
      <c r="WB21" s="1280"/>
      <c r="WC21" s="1280"/>
      <c r="WD21" s="1280"/>
      <c r="WE21" s="1280"/>
      <c r="WF21" s="1280"/>
      <c r="WG21" s="1280"/>
      <c r="WH21" s="1280"/>
      <c r="WI21" s="1280"/>
      <c r="WJ21" s="1280"/>
      <c r="WK21" s="1280"/>
      <c r="WL21" s="1280"/>
      <c r="WM21" s="1280"/>
      <c r="WN21" s="1280"/>
      <c r="WO21" s="1280"/>
      <c r="WP21" s="1280"/>
      <c r="WQ21" s="1280"/>
      <c r="WR21" s="1280"/>
      <c r="WS21" s="1280"/>
      <c r="WT21" s="1280"/>
      <c r="WU21" s="1280"/>
      <c r="WV21" s="1280"/>
      <c r="WW21" s="1280"/>
      <c r="WX21" s="1280"/>
      <c r="WY21" s="1280"/>
      <c r="WZ21" s="1280"/>
      <c r="XA21" s="1280"/>
      <c r="XB21" s="1280"/>
      <c r="XC21" s="1280"/>
      <c r="XD21" s="1280"/>
      <c r="XE21" s="1280"/>
      <c r="XF21" s="1280"/>
      <c r="XG21" s="1280"/>
      <c r="XH21" s="1280"/>
      <c r="XI21" s="1280"/>
      <c r="XJ21" s="1280"/>
      <c r="XK21" s="1280"/>
      <c r="XL21" s="1280"/>
      <c r="XM21" s="1280"/>
      <c r="XN21" s="1280"/>
      <c r="XO21" s="1280"/>
      <c r="XP21" s="1280"/>
      <c r="XQ21" s="1280"/>
      <c r="XR21" s="1280"/>
      <c r="XS21" s="1280"/>
      <c r="XT21" s="1280"/>
      <c r="XU21" s="1280"/>
      <c r="XV21" s="1280"/>
      <c r="XW21" s="1280"/>
      <c r="XX21" s="1280"/>
      <c r="XY21" s="1280"/>
      <c r="XZ21" s="1280"/>
      <c r="YA21" s="1280"/>
      <c r="YB21" s="1280"/>
      <c r="YC21" s="1280"/>
      <c r="YD21" s="1280"/>
      <c r="YE21" s="1280"/>
      <c r="YF21" s="1280"/>
      <c r="YG21" s="1280"/>
      <c r="YH21" s="1280"/>
      <c r="YI21" s="1280"/>
      <c r="YJ21" s="1280"/>
      <c r="YK21" s="1280"/>
      <c r="YL21" s="1280"/>
      <c r="YM21" s="1280"/>
      <c r="YN21" s="1280"/>
      <c r="YO21" s="1280"/>
      <c r="YP21" s="1280"/>
      <c r="YQ21" s="1280"/>
      <c r="YR21" s="1280"/>
      <c r="YS21" s="1280"/>
      <c r="YT21" s="1280"/>
      <c r="YU21" s="1280"/>
      <c r="YV21" s="1280"/>
      <c r="YW21" s="1280"/>
      <c r="YX21" s="1280"/>
      <c r="YY21" s="1280"/>
      <c r="YZ21" s="1280"/>
      <c r="ZA21" s="1280"/>
      <c r="ZB21" s="1280"/>
      <c r="ZC21" s="1280"/>
      <c r="ZD21" s="1280"/>
      <c r="ZE21" s="1280"/>
      <c r="ZF21" s="1280"/>
      <c r="ZG21" s="1280"/>
      <c r="ZH21" s="1280"/>
      <c r="ZI21" s="1280"/>
      <c r="ZJ21" s="1280"/>
      <c r="ZK21" s="1280"/>
      <c r="ZL21" s="1280"/>
      <c r="ZM21" s="1280"/>
      <c r="ZN21" s="1280"/>
      <c r="ZO21" s="1280"/>
      <c r="ZP21" s="1280"/>
      <c r="ZQ21" s="1280"/>
      <c r="ZR21" s="1280"/>
      <c r="ZS21" s="1280"/>
      <c r="ZT21" s="1280"/>
      <c r="ZU21" s="1280"/>
      <c r="ZV21" s="1280"/>
      <c r="ZW21" s="1280"/>
      <c r="ZX21" s="1280"/>
      <c r="ZY21" s="1280"/>
      <c r="ZZ21" s="1280"/>
      <c r="AAA21" s="1280"/>
      <c r="AAB21" s="1280"/>
      <c r="AAC21" s="1280"/>
      <c r="AAD21" s="1280"/>
      <c r="AAE21" s="1280"/>
      <c r="AAF21" s="1280"/>
      <c r="AAG21" s="1280"/>
      <c r="AAH21" s="1280"/>
      <c r="AAI21" s="1280"/>
      <c r="AAJ21" s="1280"/>
      <c r="AAK21" s="1280"/>
      <c r="AAL21" s="1280"/>
      <c r="AAM21" s="1280"/>
      <c r="AAN21" s="1280"/>
      <c r="AAO21" s="1280"/>
      <c r="AAP21" s="1280"/>
      <c r="AAQ21" s="1280"/>
      <c r="AAR21" s="1280"/>
      <c r="AAS21" s="1280"/>
      <c r="AAT21" s="1280"/>
      <c r="AAU21" s="1280"/>
      <c r="AAV21" s="1280"/>
      <c r="AAW21" s="1280"/>
      <c r="AAX21" s="1280"/>
      <c r="AAY21" s="1280"/>
      <c r="AAZ21" s="1280"/>
      <c r="ABA21" s="1280"/>
      <c r="ABB21" s="1280"/>
      <c r="ABC21" s="1280"/>
      <c r="ABD21" s="1280"/>
      <c r="ABE21" s="1280"/>
      <c r="ABF21" s="1280"/>
      <c r="ABG21" s="1280"/>
      <c r="ABH21" s="1280"/>
      <c r="ABI21" s="1280"/>
      <c r="ABJ21" s="1280"/>
      <c r="ABK21" s="1280"/>
      <c r="ABL21" s="1280"/>
      <c r="ABM21" s="1280"/>
      <c r="ABN21" s="1280"/>
      <c r="ABO21" s="1280"/>
      <c r="ABP21" s="1280"/>
      <c r="ABQ21" s="1280"/>
      <c r="ABR21" s="1280"/>
      <c r="ABS21" s="1280"/>
      <c r="ABT21" s="1280"/>
      <c r="ABU21" s="1280"/>
      <c r="ABV21" s="1280"/>
      <c r="ABW21" s="1280"/>
      <c r="ABX21" s="1280"/>
      <c r="ABY21" s="1280"/>
      <c r="ABZ21" s="1280"/>
      <c r="ACA21" s="1280"/>
      <c r="ACB21" s="1280"/>
      <c r="ACC21" s="1280"/>
      <c r="ACD21" s="1280"/>
      <c r="ACE21" s="1280"/>
      <c r="ACF21" s="1280"/>
      <c r="ACG21" s="1280"/>
      <c r="ACH21" s="1280"/>
      <c r="ACI21" s="1280"/>
      <c r="ACJ21" s="1280"/>
      <c r="ACK21" s="1280"/>
      <c r="ACL21" s="1280"/>
      <c r="ACM21" s="1280"/>
      <c r="ACN21" s="1280"/>
      <c r="ACO21" s="1280"/>
      <c r="ACP21" s="1280"/>
      <c r="ACQ21" s="1280"/>
      <c r="ACR21" s="1280"/>
      <c r="ACS21" s="1280"/>
      <c r="ACT21" s="1280"/>
      <c r="ACU21" s="1280"/>
      <c r="ACV21" s="1280"/>
      <c r="ACW21" s="1280"/>
      <c r="ACX21" s="1280"/>
      <c r="ACY21" s="1280"/>
      <c r="ACZ21" s="1280"/>
      <c r="ADA21" s="1280"/>
      <c r="ADB21" s="1280"/>
      <c r="ADC21" s="1280"/>
      <c r="ADD21" s="1280"/>
      <c r="ADE21" s="1280"/>
      <c r="ADF21" s="1280"/>
      <c r="ADG21" s="1280"/>
      <c r="ADH21" s="1280"/>
      <c r="ADI21" s="1280"/>
      <c r="ADJ21" s="1280"/>
      <c r="ADK21" s="1280"/>
      <c r="ADL21" s="1280"/>
      <c r="ADM21" s="1280"/>
      <c r="ADN21" s="1280"/>
      <c r="ADO21" s="1280"/>
      <c r="ADP21" s="1280"/>
      <c r="ADQ21" s="1280"/>
      <c r="ADR21" s="1280"/>
      <c r="ADS21" s="1280"/>
      <c r="ADT21" s="1280"/>
      <c r="ADU21" s="1280"/>
      <c r="ADV21" s="1280"/>
      <c r="ADW21" s="1280"/>
      <c r="ADX21" s="1280"/>
      <c r="ADY21" s="1280"/>
      <c r="ADZ21" s="1280"/>
      <c r="AEA21" s="1280"/>
      <c r="AEB21" s="1280"/>
      <c r="AEC21" s="1280"/>
      <c r="AED21" s="1280"/>
      <c r="AEE21" s="1280"/>
      <c r="AEF21" s="1280"/>
      <c r="AEG21" s="1280"/>
      <c r="AEH21" s="1280"/>
      <c r="AEI21" s="1280"/>
      <c r="AEJ21" s="1280"/>
      <c r="AEK21" s="1280"/>
      <c r="AEL21" s="1280"/>
      <c r="AEM21" s="1280"/>
      <c r="AEN21" s="1280"/>
      <c r="AEO21" s="1280"/>
      <c r="AEP21" s="1280"/>
      <c r="AEQ21" s="1280"/>
      <c r="AER21" s="1280"/>
      <c r="AES21" s="1280"/>
      <c r="AET21" s="1280"/>
      <c r="AEU21" s="1280"/>
      <c r="AEV21" s="1280"/>
      <c r="AEW21" s="1280"/>
      <c r="AEX21" s="1280"/>
      <c r="AEY21" s="1280"/>
      <c r="AEZ21" s="1280"/>
      <c r="AFA21" s="1280"/>
      <c r="AFB21" s="1280"/>
      <c r="AFC21" s="1280"/>
      <c r="AFD21" s="1280"/>
      <c r="AFE21" s="1280"/>
      <c r="AFF21" s="1280"/>
      <c r="AFG21" s="1280"/>
      <c r="AFH21" s="1280"/>
      <c r="AFI21" s="1280"/>
      <c r="AFJ21" s="1280"/>
      <c r="AFK21" s="1280"/>
      <c r="AFL21" s="1280"/>
      <c r="AFM21" s="1280"/>
      <c r="AFN21" s="1280"/>
      <c r="AFO21" s="1280"/>
      <c r="AFP21" s="1280"/>
      <c r="AFQ21" s="1280"/>
      <c r="AFR21" s="1280"/>
      <c r="AFS21" s="1280"/>
      <c r="AFT21" s="1280"/>
      <c r="AFU21" s="1280"/>
      <c r="AFV21" s="1280"/>
      <c r="AFW21" s="1280"/>
      <c r="AFX21" s="1280"/>
      <c r="AFY21" s="1280"/>
      <c r="AFZ21" s="1280"/>
      <c r="AGA21" s="1280"/>
      <c r="AGB21" s="1280"/>
      <c r="AGC21" s="1280"/>
      <c r="AGD21" s="1280"/>
      <c r="AGE21" s="1280"/>
      <c r="AGF21" s="1280"/>
      <c r="AGG21" s="1280"/>
      <c r="AGH21" s="1280"/>
      <c r="AGI21" s="1280"/>
      <c r="AGJ21" s="1280"/>
      <c r="AGK21" s="1280"/>
      <c r="AGL21" s="1280"/>
      <c r="AGM21" s="1280"/>
      <c r="AGN21" s="1280"/>
      <c r="AGO21" s="1280"/>
      <c r="AGP21" s="1280"/>
      <c r="AGQ21" s="1280"/>
      <c r="AGR21" s="1280"/>
      <c r="AGS21" s="1280"/>
      <c r="AGT21" s="1280"/>
      <c r="AGU21" s="1280"/>
      <c r="AGV21" s="1280"/>
      <c r="AGW21" s="1280"/>
      <c r="AGX21" s="1280"/>
      <c r="AGY21" s="1280"/>
      <c r="AGZ21" s="1280"/>
      <c r="AHA21" s="1280"/>
      <c r="AHB21" s="1280"/>
      <c r="AHC21" s="1280"/>
      <c r="AHD21" s="1280"/>
      <c r="AHE21" s="1280"/>
      <c r="AHF21" s="1280"/>
      <c r="AHG21" s="1280"/>
      <c r="AHH21" s="1280"/>
      <c r="AHI21" s="1280"/>
      <c r="AHJ21" s="1280"/>
      <c r="AHK21" s="1280"/>
      <c r="AHL21" s="1280"/>
      <c r="AHM21" s="1280"/>
      <c r="AHN21" s="1280"/>
      <c r="AHO21" s="1280"/>
      <c r="AHP21" s="1280"/>
      <c r="AHQ21" s="1280"/>
      <c r="AHR21" s="1280"/>
      <c r="AHS21" s="1280"/>
      <c r="AHT21" s="1280"/>
      <c r="AHU21" s="1280"/>
      <c r="AHV21" s="1280"/>
      <c r="AHW21" s="1280"/>
      <c r="AHX21" s="1280"/>
      <c r="AHY21" s="1280"/>
      <c r="AHZ21" s="1280"/>
      <c r="AIA21" s="1280"/>
      <c r="AIB21" s="1280"/>
      <c r="AIC21" s="1280"/>
      <c r="AID21" s="1280"/>
      <c r="AIE21" s="1280"/>
      <c r="AIF21" s="1280"/>
      <c r="AIG21" s="1280"/>
      <c r="AIH21" s="1280"/>
      <c r="AII21" s="1280"/>
      <c r="AIJ21" s="1280"/>
      <c r="AIK21" s="1280"/>
      <c r="AIL21" s="1280"/>
      <c r="AIM21" s="1280"/>
      <c r="AIN21" s="1280"/>
      <c r="AIO21" s="1280"/>
      <c r="AIP21" s="1280"/>
      <c r="AIQ21" s="1280"/>
      <c r="AIR21" s="1280"/>
      <c r="AIS21" s="1280"/>
      <c r="AIT21" s="1280"/>
      <c r="AIU21" s="1280"/>
      <c r="AIV21" s="1280"/>
      <c r="AIW21" s="1280"/>
      <c r="AIX21" s="1280"/>
      <c r="AIY21" s="1280"/>
      <c r="AIZ21" s="1280"/>
      <c r="AJA21" s="1280"/>
      <c r="AJB21" s="1280"/>
      <c r="AJC21" s="1280"/>
      <c r="AJD21" s="1280"/>
      <c r="AJE21" s="1280"/>
      <c r="AJF21" s="1280"/>
      <c r="AJG21" s="1280"/>
      <c r="AJH21" s="1280"/>
      <c r="AJI21" s="1280"/>
      <c r="AJJ21" s="1280"/>
      <c r="AJK21" s="1280"/>
      <c r="AJL21" s="1280"/>
      <c r="AJM21" s="1280"/>
      <c r="AJN21" s="1280"/>
      <c r="AJO21" s="1280"/>
      <c r="AJP21" s="1280"/>
      <c r="AJQ21" s="1280"/>
      <c r="AJR21" s="1280"/>
      <c r="AJS21" s="1280"/>
      <c r="AJT21" s="1280"/>
      <c r="AJU21" s="1280"/>
      <c r="AJV21" s="1280"/>
      <c r="AJW21" s="1280"/>
      <c r="AJX21" s="1280"/>
      <c r="AJY21" s="1280"/>
      <c r="AJZ21" s="1280"/>
      <c r="AKA21" s="1280"/>
      <c r="AKB21" s="1280"/>
      <c r="AKC21" s="1280"/>
      <c r="AKD21" s="1280"/>
      <c r="AKE21" s="1280"/>
      <c r="AKF21" s="1280"/>
      <c r="AKG21" s="1280"/>
      <c r="AKH21" s="1280"/>
      <c r="AKI21" s="1280"/>
      <c r="AKJ21" s="1280"/>
      <c r="AKK21" s="1280"/>
      <c r="AKL21" s="1280"/>
      <c r="AKM21" s="1280"/>
      <c r="AKN21" s="1280"/>
      <c r="AKO21" s="1280"/>
      <c r="AKP21" s="1280"/>
      <c r="AKQ21" s="1280"/>
      <c r="AKR21" s="1280"/>
      <c r="AKS21" s="1280"/>
      <c r="AKT21" s="1280"/>
      <c r="AKU21" s="1280"/>
      <c r="AKV21" s="1280"/>
      <c r="AKW21" s="1280"/>
      <c r="AKX21" s="1280"/>
      <c r="AKY21" s="1280"/>
      <c r="AKZ21" s="1280"/>
      <c r="ALA21" s="1280"/>
      <c r="ALB21" s="1280"/>
      <c r="ALC21" s="1280"/>
      <c r="ALD21" s="1280"/>
      <c r="ALE21" s="1280"/>
      <c r="ALF21" s="1280"/>
      <c r="ALG21" s="1280"/>
      <c r="ALH21" s="1280"/>
      <c r="ALI21" s="1280"/>
      <c r="ALJ21" s="1280"/>
      <c r="ALK21" s="1280"/>
      <c r="ALL21" s="1280"/>
      <c r="ALM21" s="1280"/>
      <c r="ALN21" s="1280"/>
      <c r="ALO21" s="1280"/>
      <c r="ALP21" s="1280"/>
      <c r="ALQ21" s="1280"/>
      <c r="ALR21" s="1280"/>
      <c r="ALS21" s="1280"/>
      <c r="ALT21" s="1280"/>
      <c r="ALU21" s="1280"/>
      <c r="ALV21" s="1280"/>
      <c r="ALW21" s="1280"/>
      <c r="ALX21" s="1280"/>
      <c r="ALY21" s="1280"/>
      <c r="ALZ21" s="1280"/>
      <c r="AMA21" s="1280"/>
      <c r="AMB21" s="1280"/>
      <c r="AMC21" s="1280"/>
      <c r="AMD21" s="1280"/>
      <c r="AME21" s="1280"/>
      <c r="AMF21" s="1280"/>
      <c r="AMG21" s="1280"/>
      <c r="AMH21" s="1280"/>
      <c r="AMI21" s="1280"/>
      <c r="AMJ21" s="1280"/>
      <c r="AMK21" s="1280"/>
      <c r="AML21" s="1280"/>
      <c r="AMM21" s="1280"/>
      <c r="AMN21" s="1280"/>
      <c r="AMO21" s="1280"/>
      <c r="AMP21" s="1280"/>
      <c r="AMQ21" s="1280"/>
      <c r="AMR21" s="1280"/>
      <c r="AMS21" s="1280"/>
      <c r="AMT21" s="1280"/>
      <c r="AMU21" s="1280"/>
      <c r="AMV21" s="1280"/>
      <c r="AMW21" s="1280"/>
      <c r="AMX21" s="1280"/>
      <c r="AMY21" s="1280"/>
      <c r="AMZ21" s="1280"/>
      <c r="ANA21" s="1280"/>
      <c r="ANB21" s="1280"/>
      <c r="ANC21" s="1280"/>
      <c r="AND21" s="1280"/>
      <c r="ANE21" s="1280"/>
      <c r="ANF21" s="1280"/>
      <c r="ANG21" s="1280"/>
      <c r="ANH21" s="1280"/>
      <c r="ANI21" s="1280"/>
      <c r="ANJ21" s="1280"/>
      <c r="ANK21" s="1280"/>
      <c r="ANL21" s="1280"/>
      <c r="ANM21" s="1280"/>
      <c r="ANN21" s="1280"/>
      <c r="ANO21" s="1280"/>
      <c r="ANP21" s="1280"/>
      <c r="ANQ21" s="1280"/>
      <c r="ANR21" s="1280"/>
      <c r="ANS21" s="1280"/>
      <c r="ANT21" s="1280"/>
      <c r="ANU21" s="1280"/>
      <c r="ANV21" s="1280"/>
      <c r="ANW21" s="1280"/>
      <c r="ANX21" s="1280"/>
      <c r="ANY21" s="1280"/>
      <c r="ANZ21" s="1280"/>
      <c r="AOA21" s="1280"/>
      <c r="AOB21" s="1280"/>
      <c r="AOC21" s="1280"/>
      <c r="AOD21" s="1280"/>
      <c r="AOE21" s="1280"/>
      <c r="AOF21" s="1280"/>
      <c r="AOG21" s="1280"/>
      <c r="AOH21" s="1280"/>
      <c r="AOI21" s="1280"/>
      <c r="AOJ21" s="1280"/>
      <c r="AOK21" s="1280"/>
      <c r="AOL21" s="1280"/>
      <c r="AOM21" s="1280"/>
      <c r="AON21" s="1280"/>
      <c r="AOO21" s="1280"/>
      <c r="AOP21" s="1280"/>
      <c r="AOQ21" s="1280"/>
      <c r="AOR21" s="1280"/>
      <c r="AOS21" s="1280"/>
      <c r="AOT21" s="1280"/>
      <c r="AOU21" s="1280"/>
      <c r="AOV21" s="1280"/>
      <c r="AOW21" s="1280"/>
      <c r="AOX21" s="1280"/>
      <c r="AOY21" s="1280"/>
      <c r="AOZ21" s="1280"/>
      <c r="APA21" s="1280"/>
      <c r="APB21" s="1280"/>
      <c r="APC21" s="1280"/>
      <c r="APD21" s="1280"/>
      <c r="APE21" s="1280"/>
      <c r="APF21" s="1280"/>
      <c r="APG21" s="1280"/>
      <c r="APH21" s="1280"/>
      <c r="API21" s="1280"/>
      <c r="APJ21" s="1280"/>
      <c r="APK21" s="1280"/>
      <c r="APL21" s="1280"/>
      <c r="APM21" s="1280"/>
      <c r="APN21" s="1280"/>
      <c r="APO21" s="1280"/>
      <c r="APP21" s="1280"/>
      <c r="APQ21" s="1280"/>
      <c r="APR21" s="1280"/>
      <c r="APS21" s="1280"/>
      <c r="APT21" s="1280"/>
      <c r="APU21" s="1280"/>
      <c r="APV21" s="1280"/>
      <c r="APW21" s="1280"/>
      <c r="APX21" s="1280"/>
      <c r="APY21" s="1280"/>
      <c r="APZ21" s="1280"/>
      <c r="AQA21" s="1280"/>
      <c r="AQB21" s="1280"/>
      <c r="AQC21" s="1280"/>
      <c r="AQD21" s="1280"/>
      <c r="AQE21" s="1280"/>
      <c r="AQF21" s="1280"/>
      <c r="AQG21" s="1280"/>
      <c r="AQH21" s="1280"/>
      <c r="AQI21" s="1280"/>
      <c r="AQJ21" s="1280"/>
      <c r="AQK21" s="1280"/>
      <c r="AQL21" s="1280"/>
      <c r="AQM21" s="1280"/>
      <c r="AQN21" s="1280"/>
      <c r="AQO21" s="1280"/>
      <c r="AQP21" s="1280"/>
      <c r="AQQ21" s="1280"/>
      <c r="AQR21" s="1280"/>
      <c r="AQS21" s="1280"/>
      <c r="AQT21" s="1280"/>
      <c r="AQU21" s="1280"/>
      <c r="AQV21" s="1280"/>
      <c r="AQW21" s="1280"/>
      <c r="AQX21" s="1280"/>
      <c r="AQY21" s="1280"/>
      <c r="AQZ21" s="1280"/>
      <c r="ARA21" s="1280"/>
      <c r="ARB21" s="1280"/>
      <c r="ARC21" s="1280"/>
      <c r="ARD21" s="1280"/>
      <c r="ARE21" s="1280"/>
      <c r="ARF21" s="1280"/>
      <c r="ARG21" s="1280"/>
      <c r="ARH21" s="1280"/>
      <c r="ARI21" s="1280"/>
      <c r="ARJ21" s="1280"/>
      <c r="ARK21" s="1280"/>
      <c r="ARL21" s="1280"/>
      <c r="ARM21" s="1280"/>
      <c r="ARN21" s="1280"/>
      <c r="ARO21" s="1280"/>
      <c r="ARP21" s="1280"/>
      <c r="ARQ21" s="1280"/>
      <c r="ARR21" s="1280"/>
      <c r="ARS21" s="1280"/>
      <c r="ART21" s="1280"/>
      <c r="ARU21" s="1280"/>
      <c r="ARV21" s="1280"/>
      <c r="ARW21" s="1280"/>
      <c r="ARX21" s="1280"/>
      <c r="ARY21" s="1280"/>
      <c r="ARZ21" s="1280"/>
      <c r="ASA21" s="1280"/>
      <c r="ASB21" s="1280"/>
      <c r="ASC21" s="1280"/>
      <c r="ASD21" s="1280"/>
      <c r="ASE21" s="1280"/>
      <c r="ASF21" s="1280"/>
      <c r="ASG21" s="1280"/>
      <c r="ASH21" s="1280"/>
      <c r="ASI21" s="1280"/>
      <c r="ASJ21" s="1280"/>
      <c r="ASK21" s="1280"/>
      <c r="ASL21" s="1280"/>
      <c r="ASM21" s="1280"/>
      <c r="ASN21" s="1280"/>
      <c r="ASO21" s="1280"/>
      <c r="ASP21" s="1280"/>
      <c r="ASQ21" s="1280"/>
      <c r="ASR21" s="1280"/>
      <c r="ASS21" s="1280"/>
      <c r="AST21" s="1280"/>
      <c r="ASU21" s="1280"/>
      <c r="ASV21" s="1280"/>
      <c r="ASW21" s="1280"/>
      <c r="ASX21" s="1280"/>
      <c r="ASY21" s="1280"/>
      <c r="ASZ21" s="1280"/>
      <c r="ATA21" s="1280"/>
      <c r="ATB21" s="1280"/>
      <c r="ATC21" s="1280"/>
      <c r="ATD21" s="1280"/>
      <c r="ATE21" s="1280"/>
      <c r="ATF21" s="1280"/>
      <c r="ATG21" s="1280"/>
      <c r="ATH21" s="1280"/>
      <c r="ATI21" s="1280"/>
      <c r="ATJ21" s="1280"/>
      <c r="ATK21" s="1280"/>
      <c r="ATL21" s="1280"/>
      <c r="ATM21" s="1280"/>
      <c r="ATN21" s="1280"/>
      <c r="ATO21" s="1280"/>
      <c r="ATP21" s="1280"/>
      <c r="ATQ21" s="1280"/>
      <c r="ATR21" s="1280"/>
      <c r="ATS21" s="1280"/>
      <c r="ATT21" s="1280"/>
      <c r="ATU21" s="1280"/>
      <c r="ATV21" s="1280"/>
      <c r="ATW21" s="1280"/>
      <c r="ATX21" s="1280"/>
      <c r="ATY21" s="1280"/>
      <c r="ATZ21" s="1280"/>
      <c r="AUA21" s="1280"/>
      <c r="AUB21" s="1280"/>
      <c r="AUC21" s="1280"/>
      <c r="AUD21" s="1280"/>
      <c r="AUE21" s="1280"/>
      <c r="AUF21" s="1280"/>
      <c r="AUG21" s="1280"/>
      <c r="AUH21" s="1280"/>
      <c r="AUI21" s="1280"/>
      <c r="AUJ21" s="1280"/>
      <c r="AUK21" s="1280"/>
      <c r="AUL21" s="1280"/>
      <c r="AUM21" s="1280"/>
      <c r="AUN21" s="1280"/>
      <c r="AUO21" s="1280"/>
      <c r="AUP21" s="1280"/>
      <c r="AUQ21" s="1280"/>
      <c r="AUR21" s="1280"/>
      <c r="AUS21" s="1280"/>
      <c r="AUT21" s="1280"/>
      <c r="AUU21" s="1280"/>
      <c r="AUV21" s="1280"/>
      <c r="AUW21" s="1280"/>
      <c r="AUX21" s="1280"/>
      <c r="AUY21" s="1280"/>
      <c r="AUZ21" s="1280"/>
      <c r="AVA21" s="1280"/>
      <c r="AVB21" s="1280"/>
      <c r="AVC21" s="1280"/>
      <c r="AVD21" s="1280"/>
      <c r="AVE21" s="1280"/>
      <c r="AVF21" s="1280"/>
      <c r="AVG21" s="1280"/>
      <c r="AVH21" s="1280"/>
      <c r="AVI21" s="1280"/>
      <c r="AVJ21" s="1280"/>
      <c r="AVK21" s="1280"/>
      <c r="AVL21" s="1280"/>
      <c r="AVM21" s="1280"/>
      <c r="AVN21" s="1280"/>
      <c r="AVO21" s="1280"/>
      <c r="AVP21" s="1280"/>
      <c r="AVQ21" s="1280"/>
      <c r="AVR21" s="1280"/>
      <c r="AVS21" s="1280"/>
      <c r="AVT21" s="1280"/>
      <c r="AVU21" s="1280"/>
      <c r="AVV21" s="1280"/>
      <c r="AVW21" s="1280"/>
      <c r="AVX21" s="1280"/>
      <c r="AVY21" s="1280"/>
      <c r="AVZ21" s="1280"/>
      <c r="AWA21" s="1280"/>
      <c r="AWB21" s="1280"/>
      <c r="AWC21" s="1280"/>
      <c r="AWD21" s="1280"/>
      <c r="AWE21" s="1280"/>
      <c r="AWF21" s="1280"/>
      <c r="AWG21" s="1280"/>
      <c r="AWH21" s="1280"/>
      <c r="AWI21" s="1280"/>
      <c r="AWJ21" s="1280"/>
      <c r="AWK21" s="1280"/>
      <c r="AWL21" s="1280"/>
      <c r="AWM21" s="1280"/>
      <c r="AWN21" s="1280"/>
      <c r="AWO21" s="1280"/>
      <c r="AWP21" s="1280"/>
      <c r="AWQ21" s="1280"/>
      <c r="AWR21" s="1280"/>
      <c r="AWS21" s="1280"/>
      <c r="AWT21" s="1280"/>
      <c r="AWU21" s="1280"/>
      <c r="AWV21" s="1280"/>
      <c r="AWW21" s="1280"/>
      <c r="AWX21" s="1280"/>
      <c r="AWY21" s="1280"/>
      <c r="AWZ21" s="1280"/>
      <c r="AXA21" s="1280"/>
      <c r="AXB21" s="1280"/>
      <c r="AXC21" s="1280"/>
      <c r="AXD21" s="1280"/>
      <c r="AXE21" s="1280"/>
      <c r="AXF21" s="1280"/>
      <c r="AXG21" s="1280"/>
      <c r="AXH21" s="1280"/>
      <c r="AXI21" s="1280"/>
      <c r="AXJ21" s="1280"/>
      <c r="AXK21" s="1280"/>
      <c r="AXL21" s="1280"/>
      <c r="AXM21" s="1280"/>
      <c r="AXN21" s="1280"/>
      <c r="AXO21" s="1280"/>
      <c r="AXP21" s="1280"/>
      <c r="AXQ21" s="1280"/>
      <c r="AXR21" s="1280"/>
      <c r="AXS21" s="1280"/>
      <c r="AXT21" s="1280"/>
      <c r="AXU21" s="1280"/>
      <c r="AXV21" s="1280"/>
      <c r="AXW21" s="1280"/>
      <c r="AXX21" s="1280"/>
      <c r="AXY21" s="1280"/>
      <c r="AXZ21" s="1280"/>
      <c r="AYA21" s="1280"/>
      <c r="AYB21" s="1280"/>
      <c r="AYC21" s="1280"/>
      <c r="AYD21" s="1280"/>
      <c r="AYE21" s="1280"/>
      <c r="AYF21" s="1280"/>
      <c r="AYG21" s="1280"/>
      <c r="AYH21" s="1280"/>
      <c r="AYI21" s="1280"/>
      <c r="AYJ21" s="1280"/>
      <c r="AYK21" s="1280"/>
      <c r="AYL21" s="1280"/>
      <c r="AYM21" s="1280"/>
      <c r="AYN21" s="1280"/>
      <c r="AYO21" s="1280"/>
      <c r="AYP21" s="1280"/>
      <c r="AYQ21" s="1280"/>
      <c r="AYR21" s="1280"/>
      <c r="AYS21" s="1280"/>
      <c r="AYT21" s="1280"/>
      <c r="AYU21" s="1280"/>
      <c r="AYV21" s="1280"/>
      <c r="AYW21" s="1280"/>
      <c r="AYX21" s="1280"/>
      <c r="AYY21" s="1280"/>
      <c r="AYZ21" s="1280"/>
      <c r="AZA21" s="1280"/>
      <c r="AZB21" s="1280"/>
      <c r="AZC21" s="1280"/>
      <c r="AZD21" s="1280"/>
      <c r="AZE21" s="1280"/>
      <c r="AZF21" s="1280"/>
      <c r="AZG21" s="1280"/>
      <c r="AZH21" s="1280"/>
      <c r="AZI21" s="1280"/>
      <c r="AZJ21" s="1280"/>
      <c r="AZK21" s="1280"/>
      <c r="AZL21" s="1280"/>
      <c r="AZM21" s="1280"/>
      <c r="AZN21" s="1280"/>
      <c r="AZO21" s="1280"/>
      <c r="AZP21" s="1280"/>
      <c r="AZQ21" s="1280"/>
      <c r="AZR21" s="1280"/>
      <c r="AZS21" s="1280"/>
      <c r="AZT21" s="1280"/>
      <c r="AZU21" s="1280"/>
      <c r="AZV21" s="1280"/>
      <c r="AZW21" s="1280"/>
      <c r="AZX21" s="1280"/>
      <c r="AZY21" s="1280"/>
      <c r="AZZ21" s="1280"/>
      <c r="BAA21" s="1280"/>
      <c r="BAB21" s="1280"/>
      <c r="BAC21" s="1280"/>
      <c r="BAD21" s="1280"/>
      <c r="BAE21" s="1280"/>
      <c r="BAF21" s="1280"/>
      <c r="BAG21" s="1280"/>
      <c r="BAH21" s="1280"/>
      <c r="BAI21" s="1280"/>
      <c r="BAJ21" s="1280"/>
      <c r="BAK21" s="1280"/>
      <c r="BAL21" s="1280"/>
      <c r="BAM21" s="1280"/>
      <c r="BAN21" s="1280"/>
      <c r="BAO21" s="1280"/>
      <c r="BAP21" s="1280"/>
      <c r="BAQ21" s="1280"/>
      <c r="BAR21" s="1280"/>
      <c r="BAS21" s="1280"/>
      <c r="BAT21" s="1280"/>
      <c r="BAU21" s="1280"/>
      <c r="BAV21" s="1280"/>
      <c r="BAW21" s="1280"/>
      <c r="BAX21" s="1280"/>
      <c r="BAY21" s="1280"/>
      <c r="BAZ21" s="1280"/>
      <c r="BBA21" s="1280"/>
      <c r="BBB21" s="1280"/>
      <c r="BBC21" s="1280"/>
      <c r="BBD21" s="1280"/>
      <c r="BBE21" s="1280"/>
      <c r="BBF21" s="1280"/>
      <c r="BBG21" s="1280"/>
      <c r="BBH21" s="1280"/>
      <c r="BBI21" s="1280"/>
      <c r="BBJ21" s="1280"/>
      <c r="BBK21" s="1280"/>
      <c r="BBL21" s="1280"/>
      <c r="BBM21" s="1280"/>
      <c r="BBN21" s="1280"/>
      <c r="BBO21" s="1280"/>
      <c r="BBP21" s="1280"/>
      <c r="BBQ21" s="1280"/>
      <c r="BBR21" s="1280"/>
      <c r="BBS21" s="1280"/>
      <c r="BBT21" s="1280"/>
      <c r="BBU21" s="1280"/>
      <c r="BBV21" s="1280"/>
      <c r="BBW21" s="1280"/>
      <c r="BBX21" s="1280"/>
      <c r="BBY21" s="1280"/>
      <c r="BBZ21" s="1280"/>
      <c r="BCA21" s="1280"/>
      <c r="BCB21" s="1280"/>
      <c r="BCC21" s="1280"/>
      <c r="BCD21" s="1280"/>
      <c r="BCE21" s="1280"/>
      <c r="BCF21" s="1280"/>
      <c r="BCG21" s="1280"/>
      <c r="BCH21" s="1280"/>
      <c r="BCI21" s="1280"/>
      <c r="BCJ21" s="1280"/>
      <c r="BCK21" s="1280"/>
      <c r="BCL21" s="1280"/>
      <c r="BCM21" s="1280"/>
      <c r="BCN21" s="1280"/>
      <c r="BCO21" s="1280"/>
      <c r="BCP21" s="1280"/>
      <c r="BCQ21" s="1280"/>
      <c r="BCR21" s="1280"/>
      <c r="BCS21" s="1280"/>
      <c r="BCT21" s="1280"/>
      <c r="BCU21" s="1280"/>
      <c r="BCV21" s="1280"/>
      <c r="BCW21" s="1280"/>
      <c r="BCX21" s="1280"/>
      <c r="BCY21" s="1280"/>
      <c r="BCZ21" s="1280"/>
      <c r="BDA21" s="1280"/>
      <c r="BDB21" s="1280"/>
      <c r="BDC21" s="1280"/>
      <c r="BDD21" s="1280"/>
      <c r="BDE21" s="1280"/>
      <c r="BDF21" s="1280"/>
      <c r="BDG21" s="1280"/>
      <c r="BDH21" s="1280"/>
      <c r="BDI21" s="1280"/>
      <c r="BDJ21" s="1280"/>
      <c r="BDK21" s="1280"/>
      <c r="BDL21" s="1280"/>
      <c r="BDM21" s="1280"/>
      <c r="BDN21" s="1280"/>
      <c r="BDO21" s="1280"/>
      <c r="BDP21" s="1280"/>
      <c r="BDQ21" s="1280"/>
      <c r="BDR21" s="1280"/>
      <c r="BDS21" s="1280"/>
      <c r="BDT21" s="1280"/>
      <c r="BDU21" s="1280"/>
      <c r="BDV21" s="1280"/>
      <c r="BDW21" s="1280"/>
      <c r="BDX21" s="1280"/>
      <c r="BDY21" s="1280"/>
      <c r="BDZ21" s="1280"/>
      <c r="BEA21" s="1280"/>
      <c r="BEB21" s="1280"/>
      <c r="BEC21" s="1280"/>
      <c r="BED21" s="1280"/>
      <c r="BEE21" s="1280"/>
      <c r="BEF21" s="1280"/>
      <c r="BEG21" s="1280"/>
      <c r="BEH21" s="1280"/>
      <c r="BEI21" s="1280"/>
      <c r="BEJ21" s="1280"/>
      <c r="BEK21" s="1280"/>
      <c r="BEL21" s="1280"/>
      <c r="BEM21" s="1280"/>
      <c r="BEN21" s="1280"/>
      <c r="BEO21" s="1280"/>
      <c r="BEP21" s="1280"/>
      <c r="BEQ21" s="1280"/>
      <c r="BER21" s="1280"/>
      <c r="BES21" s="1280"/>
      <c r="BET21" s="1280"/>
      <c r="BEU21" s="1280"/>
      <c r="BEV21" s="1280"/>
      <c r="BEW21" s="1280"/>
      <c r="BEX21" s="1280"/>
      <c r="BEY21" s="1280"/>
      <c r="BEZ21" s="1280"/>
      <c r="BFA21" s="1280"/>
      <c r="BFB21" s="1280"/>
      <c r="BFC21" s="1280"/>
      <c r="BFD21" s="1280"/>
      <c r="BFE21" s="1280"/>
      <c r="BFF21" s="1280"/>
      <c r="BFG21" s="1280"/>
      <c r="BFH21" s="1280"/>
      <c r="BFI21" s="1280"/>
      <c r="BFJ21" s="1280"/>
      <c r="BFK21" s="1280"/>
      <c r="BFL21" s="1280"/>
      <c r="BFM21" s="1280"/>
      <c r="BFN21" s="1280"/>
      <c r="BFO21" s="1280"/>
      <c r="BFP21" s="1280"/>
      <c r="BFQ21" s="1280"/>
      <c r="BFR21" s="1280"/>
      <c r="BFS21" s="1280"/>
      <c r="BFT21" s="1280"/>
      <c r="BFU21" s="1280"/>
      <c r="BFV21" s="1280"/>
      <c r="BFW21" s="1280"/>
      <c r="BFX21" s="1280"/>
      <c r="BFY21" s="1280"/>
      <c r="BFZ21" s="1280"/>
      <c r="BGA21" s="1280"/>
      <c r="BGB21" s="1280"/>
      <c r="BGC21" s="1280"/>
      <c r="BGD21" s="1280"/>
      <c r="BGE21" s="1280"/>
      <c r="BGF21" s="1280"/>
      <c r="BGG21" s="1280"/>
      <c r="BGH21" s="1280"/>
      <c r="BGI21" s="1280"/>
      <c r="BGJ21" s="1280"/>
      <c r="BGK21" s="1280"/>
      <c r="BGL21" s="1280"/>
      <c r="BGM21" s="1280"/>
      <c r="BGN21" s="1280"/>
      <c r="BGO21" s="1280"/>
      <c r="BGP21" s="1280"/>
      <c r="BGQ21" s="1280"/>
      <c r="BGR21" s="1280"/>
      <c r="BGS21" s="1280"/>
      <c r="BGT21" s="1280"/>
      <c r="BGU21" s="1280"/>
      <c r="BGV21" s="1280"/>
      <c r="BGW21" s="1280"/>
      <c r="BGX21" s="1280"/>
      <c r="BGY21" s="1280"/>
      <c r="BGZ21" s="1280"/>
      <c r="BHA21" s="1280"/>
      <c r="BHB21" s="1280"/>
      <c r="BHC21" s="1280"/>
      <c r="BHD21" s="1280"/>
      <c r="BHE21" s="1280"/>
      <c r="BHF21" s="1280"/>
      <c r="BHG21" s="1280"/>
      <c r="BHH21" s="1280"/>
      <c r="BHI21" s="1280"/>
      <c r="BHJ21" s="1280"/>
      <c r="BHK21" s="1280"/>
      <c r="BHL21" s="1280"/>
      <c r="BHM21" s="1280"/>
      <c r="BHN21" s="1280"/>
      <c r="BHO21" s="1280"/>
      <c r="BHP21" s="1280"/>
      <c r="BHQ21" s="1280"/>
      <c r="BHR21" s="1280"/>
      <c r="BHS21" s="1280"/>
      <c r="BHT21" s="1280"/>
      <c r="BHU21" s="1280"/>
      <c r="BHV21" s="1280"/>
      <c r="BHW21" s="1280"/>
      <c r="BHX21" s="1280"/>
      <c r="BHY21" s="1280"/>
      <c r="BHZ21" s="1280"/>
      <c r="BIA21" s="1280"/>
      <c r="BIB21" s="1280"/>
      <c r="BIC21" s="1280"/>
      <c r="BID21" s="1280"/>
      <c r="BIE21" s="1280"/>
      <c r="BIF21" s="1280"/>
      <c r="BIG21" s="1280"/>
      <c r="BIH21" s="1280"/>
      <c r="BII21" s="1280"/>
      <c r="BIJ21" s="1280"/>
      <c r="BIK21" s="1280"/>
      <c r="BIL21" s="1280"/>
      <c r="BIM21" s="1280"/>
      <c r="BIN21" s="1280"/>
      <c r="BIO21" s="1280"/>
      <c r="BIP21" s="1280"/>
      <c r="BIQ21" s="1280"/>
      <c r="BIR21" s="1280"/>
      <c r="BIS21" s="1280"/>
      <c r="BIT21" s="1280"/>
      <c r="BIU21" s="1280"/>
      <c r="BIV21" s="1280"/>
      <c r="BIW21" s="1280"/>
      <c r="BIX21" s="1280"/>
      <c r="BIY21" s="1280"/>
      <c r="BIZ21" s="1280"/>
      <c r="BJA21" s="1280"/>
      <c r="BJB21" s="1280"/>
      <c r="BJC21" s="1280"/>
      <c r="BJD21" s="1280"/>
      <c r="BJE21" s="1280"/>
      <c r="BJF21" s="1280"/>
      <c r="BJG21" s="1280"/>
      <c r="BJH21" s="1280"/>
      <c r="BJI21" s="1280"/>
      <c r="BJJ21" s="1280"/>
      <c r="BJK21" s="1280"/>
      <c r="BJL21" s="1280"/>
      <c r="BJM21" s="1280"/>
      <c r="BJN21" s="1280"/>
      <c r="BJO21" s="1280"/>
      <c r="BJP21" s="1280"/>
      <c r="BJQ21" s="1280"/>
      <c r="BJR21" s="1280"/>
      <c r="BJS21" s="1280"/>
      <c r="BJT21" s="1280"/>
      <c r="BJU21" s="1280"/>
      <c r="BJV21" s="1280"/>
      <c r="BJW21" s="1280"/>
      <c r="BJX21" s="1280"/>
      <c r="BJY21" s="1280"/>
      <c r="BJZ21" s="1280"/>
      <c r="BKA21" s="1280"/>
      <c r="BKB21" s="1280"/>
      <c r="BKC21" s="1280"/>
      <c r="BKD21" s="1280"/>
      <c r="BKE21" s="1280"/>
      <c r="BKF21" s="1280"/>
      <c r="BKG21" s="1280"/>
      <c r="BKH21" s="1280"/>
      <c r="BKI21" s="1280"/>
      <c r="BKJ21" s="1280"/>
      <c r="BKK21" s="1280"/>
      <c r="BKL21" s="1280"/>
      <c r="BKM21" s="1280"/>
      <c r="BKN21" s="1280"/>
      <c r="BKO21" s="1280"/>
      <c r="BKP21" s="1280"/>
      <c r="BKQ21" s="1280"/>
      <c r="BKR21" s="1280"/>
      <c r="BKS21" s="1280"/>
      <c r="BKT21" s="1280"/>
      <c r="BKU21" s="1280"/>
      <c r="BKV21" s="1280"/>
      <c r="BKW21" s="1280"/>
      <c r="BKX21" s="1280"/>
      <c r="BKY21" s="1280"/>
      <c r="BKZ21" s="1280"/>
      <c r="BLA21" s="1280"/>
      <c r="BLB21" s="1280"/>
      <c r="BLC21" s="1280"/>
      <c r="BLD21" s="1280"/>
      <c r="BLE21" s="1280"/>
      <c r="BLF21" s="1280"/>
      <c r="BLG21" s="1280"/>
      <c r="BLH21" s="1280"/>
      <c r="BLI21" s="1280"/>
      <c r="BLJ21" s="1280"/>
      <c r="BLK21" s="1280"/>
      <c r="BLL21" s="1280"/>
      <c r="BLM21" s="1280"/>
      <c r="BLN21" s="1280"/>
      <c r="BLO21" s="1280"/>
      <c r="BLP21" s="1280"/>
      <c r="BLQ21" s="1280"/>
      <c r="BLR21" s="1280"/>
      <c r="BLS21" s="1280"/>
      <c r="BLT21" s="1280"/>
      <c r="BLU21" s="1280"/>
      <c r="BLV21" s="1280"/>
      <c r="BLW21" s="1280"/>
      <c r="BLX21" s="1280"/>
      <c r="BLY21" s="1280"/>
      <c r="BLZ21" s="1280"/>
      <c r="BMA21" s="1280"/>
      <c r="BMB21" s="1280"/>
      <c r="BMC21" s="1280"/>
      <c r="BMD21" s="1280"/>
      <c r="BME21" s="1280"/>
      <c r="BMF21" s="1280"/>
      <c r="BMG21" s="1280"/>
      <c r="BMH21" s="1280"/>
      <c r="BMI21" s="1280"/>
      <c r="BMJ21" s="1280"/>
      <c r="BMK21" s="1280"/>
      <c r="BML21" s="1280"/>
      <c r="BMM21" s="1280"/>
      <c r="BMN21" s="1280"/>
      <c r="BMO21" s="1280"/>
      <c r="BMP21" s="1280"/>
      <c r="BMQ21" s="1280"/>
      <c r="BMR21" s="1280"/>
      <c r="BMS21" s="1280"/>
      <c r="BMT21" s="1280"/>
      <c r="BMU21" s="1280"/>
      <c r="BMV21" s="1280"/>
      <c r="BMW21" s="1280"/>
      <c r="BMX21" s="1280"/>
      <c r="BMY21" s="1280"/>
      <c r="BMZ21" s="1280"/>
      <c r="BNA21" s="1280"/>
      <c r="BNB21" s="1280"/>
      <c r="BNC21" s="1280"/>
      <c r="BND21" s="1280"/>
      <c r="BNE21" s="1280"/>
      <c r="BNF21" s="1280"/>
      <c r="BNG21" s="1280"/>
      <c r="BNH21" s="1280"/>
      <c r="BNI21" s="1280"/>
      <c r="BNJ21" s="1280"/>
      <c r="BNK21" s="1280"/>
      <c r="BNL21" s="1280"/>
      <c r="BNM21" s="1280"/>
      <c r="BNN21" s="1280"/>
      <c r="BNO21" s="1280"/>
      <c r="BNP21" s="1280"/>
      <c r="BNQ21" s="1280"/>
      <c r="BNR21" s="1280"/>
      <c r="BNS21" s="1280"/>
      <c r="BNT21" s="1280"/>
      <c r="BNU21" s="1280"/>
      <c r="BNV21" s="1280"/>
      <c r="BNW21" s="1280"/>
      <c r="BNX21" s="1280"/>
      <c r="BNY21" s="1280"/>
      <c r="BNZ21" s="1280"/>
      <c r="BOA21" s="1280"/>
      <c r="BOB21" s="1280"/>
      <c r="BOC21" s="1280"/>
      <c r="BOD21" s="1280"/>
      <c r="BOE21" s="1280"/>
      <c r="BOF21" s="1280"/>
      <c r="BOG21" s="1280"/>
      <c r="BOH21" s="1280"/>
      <c r="BOI21" s="1280"/>
      <c r="BOJ21" s="1280"/>
      <c r="BOK21" s="1280"/>
      <c r="BOL21" s="1280"/>
      <c r="BOM21" s="1280"/>
      <c r="BON21" s="1280"/>
      <c r="BOO21" s="1280"/>
      <c r="BOP21" s="1280"/>
      <c r="BOQ21" s="1280"/>
      <c r="BOR21" s="1280"/>
      <c r="BOS21" s="1280"/>
      <c r="BOT21" s="1280"/>
      <c r="BOU21" s="1280"/>
      <c r="BOV21" s="1280"/>
      <c r="BOW21" s="1280"/>
      <c r="BOX21" s="1280"/>
      <c r="BOY21" s="1280"/>
      <c r="BOZ21" s="1280"/>
      <c r="BPA21" s="1280"/>
      <c r="BPB21" s="1280"/>
      <c r="BPC21" s="1280"/>
      <c r="BPD21" s="1280"/>
      <c r="BPE21" s="1280"/>
      <c r="BPF21" s="1280"/>
      <c r="BPG21" s="1280"/>
      <c r="BPH21" s="1280"/>
      <c r="BPI21" s="1280"/>
      <c r="BPJ21" s="1280"/>
      <c r="BPK21" s="1280"/>
      <c r="BPL21" s="1280"/>
      <c r="BPM21" s="1280"/>
      <c r="BPN21" s="1280"/>
      <c r="BPO21" s="1280"/>
      <c r="BPP21" s="1280"/>
      <c r="BPQ21" s="1280"/>
      <c r="BPR21" s="1280"/>
      <c r="BPS21" s="1280"/>
      <c r="BPT21" s="1280"/>
      <c r="BPU21" s="1280"/>
      <c r="BPV21" s="1280"/>
      <c r="BPW21" s="1280"/>
      <c r="BPX21" s="1280"/>
      <c r="BPY21" s="1280"/>
      <c r="BPZ21" s="1280"/>
      <c r="BQA21" s="1280"/>
      <c r="BQB21" s="1280"/>
      <c r="BQC21" s="1280"/>
      <c r="BQD21" s="1280"/>
      <c r="BQE21" s="1280"/>
      <c r="BQF21" s="1280"/>
      <c r="BQG21" s="1280"/>
      <c r="BQH21" s="1280"/>
      <c r="BQI21" s="1280"/>
      <c r="BQJ21" s="1280"/>
      <c r="BQK21" s="1280"/>
      <c r="BQL21" s="1280"/>
      <c r="BQM21" s="1280"/>
      <c r="BQN21" s="1280"/>
      <c r="BQO21" s="1280"/>
      <c r="BQP21" s="1280"/>
      <c r="BQQ21" s="1280"/>
      <c r="BQR21" s="1280"/>
      <c r="BQS21" s="1280"/>
      <c r="BQT21" s="1280"/>
      <c r="BQU21" s="1280"/>
      <c r="BQV21" s="1280"/>
      <c r="BQW21" s="1280"/>
      <c r="BQX21" s="1280"/>
      <c r="BQY21" s="1280"/>
      <c r="BQZ21" s="1280"/>
      <c r="BRA21" s="1280"/>
      <c r="BRB21" s="1280"/>
      <c r="BRC21" s="1280"/>
      <c r="BRD21" s="1280"/>
      <c r="BRE21" s="1280"/>
      <c r="BRF21" s="1280"/>
      <c r="BRG21" s="1280"/>
      <c r="BRH21" s="1280"/>
      <c r="BRI21" s="1280"/>
      <c r="BRJ21" s="1280"/>
      <c r="BRK21" s="1280"/>
      <c r="BRL21" s="1280"/>
      <c r="BRM21" s="1280"/>
      <c r="BRN21" s="1280"/>
      <c r="BRO21" s="1280"/>
      <c r="BRP21" s="1280"/>
      <c r="BRQ21" s="1280"/>
      <c r="BRR21" s="1280"/>
      <c r="BRS21" s="1280"/>
      <c r="BRT21" s="1280"/>
      <c r="BRU21" s="1280"/>
      <c r="BRV21" s="1280"/>
      <c r="BRW21" s="1280"/>
      <c r="BRX21" s="1280"/>
      <c r="BRY21" s="1280"/>
      <c r="BRZ21" s="1280"/>
      <c r="BSA21" s="1280"/>
      <c r="BSB21" s="1280"/>
      <c r="BSC21" s="1280"/>
      <c r="BSD21" s="1280"/>
      <c r="BSE21" s="1280"/>
      <c r="BSF21" s="1280"/>
      <c r="BSG21" s="1280"/>
      <c r="BSH21" s="1280"/>
      <c r="BSI21" s="1280"/>
      <c r="BSJ21" s="1280"/>
      <c r="BSK21" s="1280"/>
      <c r="BSL21" s="1280"/>
      <c r="BSM21" s="1280"/>
      <c r="BSN21" s="1280"/>
      <c r="BSO21" s="1280"/>
      <c r="BSP21" s="1280"/>
      <c r="BSQ21" s="1280"/>
      <c r="BSR21" s="1280"/>
      <c r="BSS21" s="1280"/>
      <c r="BST21" s="1280"/>
      <c r="BSU21" s="1280"/>
      <c r="BSV21" s="1280"/>
      <c r="BSW21" s="1280"/>
      <c r="BSX21" s="1280"/>
      <c r="BSY21" s="1280"/>
      <c r="BSZ21" s="1280"/>
      <c r="BTA21" s="1280"/>
      <c r="BTB21" s="1280"/>
      <c r="BTC21" s="1280"/>
      <c r="BTD21" s="1280"/>
      <c r="BTE21" s="1280"/>
      <c r="BTF21" s="1280"/>
      <c r="BTG21" s="1280"/>
      <c r="BTH21" s="1280"/>
      <c r="BTI21" s="1280"/>
      <c r="BTJ21" s="1280"/>
      <c r="BTK21" s="1280"/>
      <c r="BTL21" s="1280"/>
      <c r="BTM21" s="1280"/>
      <c r="BTN21" s="1280"/>
      <c r="BTO21" s="1280"/>
      <c r="BTP21" s="1280"/>
      <c r="BTQ21" s="1280"/>
      <c r="BTR21" s="1280"/>
      <c r="BTS21" s="1280"/>
      <c r="BTT21" s="1280"/>
      <c r="BTU21" s="1280"/>
      <c r="BTV21" s="1280"/>
      <c r="BTW21" s="1280"/>
      <c r="BTX21" s="1280"/>
      <c r="BTY21" s="1280"/>
      <c r="BTZ21" s="1280"/>
      <c r="BUA21" s="1280"/>
      <c r="BUB21" s="1280"/>
      <c r="BUC21" s="1280"/>
      <c r="BUD21" s="1280"/>
      <c r="BUE21" s="1280"/>
      <c r="BUF21" s="1280"/>
      <c r="BUG21" s="1280"/>
      <c r="BUH21" s="1280"/>
      <c r="BUI21" s="1280"/>
      <c r="BUJ21" s="1280"/>
      <c r="BUK21" s="1280"/>
      <c r="BUL21" s="1280"/>
      <c r="BUM21" s="1280"/>
      <c r="BUN21" s="1280"/>
      <c r="BUO21" s="1280"/>
      <c r="BUP21" s="1280"/>
      <c r="BUQ21" s="1280"/>
      <c r="BUR21" s="1280"/>
      <c r="BUS21" s="1280"/>
      <c r="BUT21" s="1280"/>
      <c r="BUU21" s="1280"/>
      <c r="BUV21" s="1280"/>
      <c r="BUW21" s="1280"/>
      <c r="BUX21" s="1280"/>
      <c r="BUY21" s="1280"/>
      <c r="BUZ21" s="1280"/>
      <c r="BVA21" s="1280"/>
      <c r="BVB21" s="1280"/>
      <c r="BVC21" s="1280"/>
      <c r="BVD21" s="1280"/>
      <c r="BVE21" s="1280"/>
      <c r="BVF21" s="1280"/>
      <c r="BVG21" s="1280"/>
      <c r="BVH21" s="1280"/>
      <c r="BVI21" s="1280"/>
      <c r="BVJ21" s="1280"/>
      <c r="BVK21" s="1280"/>
      <c r="BVL21" s="1280"/>
      <c r="BVM21" s="1280"/>
      <c r="BVN21" s="1280"/>
      <c r="BVO21" s="1280"/>
      <c r="BVP21" s="1280"/>
      <c r="BVQ21" s="1280"/>
      <c r="BVR21" s="1280"/>
      <c r="BVS21" s="1280"/>
      <c r="BVT21" s="1280"/>
      <c r="BVU21" s="1280"/>
      <c r="BVV21" s="1280"/>
      <c r="BVW21" s="1280"/>
      <c r="BVX21" s="1280"/>
      <c r="BVY21" s="1280"/>
      <c r="BVZ21" s="1280"/>
      <c r="BWA21" s="1280"/>
      <c r="BWB21" s="1280"/>
      <c r="BWC21" s="1280"/>
      <c r="BWD21" s="1280"/>
      <c r="BWE21" s="1280"/>
      <c r="BWF21" s="1280"/>
      <c r="BWG21" s="1280"/>
      <c r="BWH21" s="1280"/>
      <c r="BWI21" s="1280"/>
      <c r="BWJ21" s="1280"/>
      <c r="BWK21" s="1280"/>
      <c r="BWL21" s="1280"/>
      <c r="BWM21" s="1280"/>
      <c r="BWN21" s="1280"/>
      <c r="BWO21" s="1280"/>
      <c r="BWP21" s="1280"/>
      <c r="BWQ21" s="1280"/>
      <c r="BWR21" s="1280"/>
      <c r="BWS21" s="1280"/>
      <c r="BWT21" s="1280"/>
      <c r="BWU21" s="1280"/>
      <c r="BWV21" s="1280"/>
      <c r="BWW21" s="1280"/>
      <c r="BWX21" s="1280"/>
      <c r="BWY21" s="1280"/>
      <c r="BWZ21" s="1280"/>
      <c r="BXA21" s="1280"/>
      <c r="BXB21" s="1280"/>
      <c r="BXC21" s="1280"/>
      <c r="BXD21" s="1280"/>
      <c r="BXE21" s="1280"/>
      <c r="BXF21" s="1280"/>
      <c r="BXG21" s="1280"/>
      <c r="BXH21" s="1280"/>
      <c r="BXI21" s="1280"/>
      <c r="BXJ21" s="1280"/>
      <c r="BXK21" s="1280"/>
      <c r="BXL21" s="1280"/>
      <c r="BXM21" s="1280"/>
      <c r="BXN21" s="1280"/>
      <c r="BXO21" s="1280"/>
      <c r="BXP21" s="1280"/>
      <c r="BXQ21" s="1280"/>
      <c r="BXR21" s="1280"/>
      <c r="BXS21" s="1280"/>
      <c r="BXT21" s="1280"/>
      <c r="BXU21" s="1280"/>
      <c r="BXV21" s="1280"/>
      <c r="BXW21" s="1280"/>
      <c r="BXX21" s="1280"/>
      <c r="BXY21" s="1280"/>
      <c r="BXZ21" s="1280"/>
      <c r="BYA21" s="1280"/>
      <c r="BYB21" s="1280"/>
      <c r="BYC21" s="1280"/>
      <c r="BYD21" s="1280"/>
      <c r="BYE21" s="1280"/>
      <c r="BYF21" s="1280"/>
      <c r="BYG21" s="1280"/>
      <c r="BYH21" s="1280"/>
      <c r="BYI21" s="1280"/>
      <c r="BYJ21" s="1280"/>
      <c r="BYK21" s="1280"/>
      <c r="BYL21" s="1280"/>
      <c r="BYM21" s="1280"/>
      <c r="BYN21" s="1280"/>
      <c r="BYO21" s="1280"/>
      <c r="BYP21" s="1280"/>
      <c r="BYQ21" s="1280"/>
      <c r="BYR21" s="1280"/>
      <c r="BYS21" s="1280"/>
      <c r="BYT21" s="1280"/>
      <c r="BYU21" s="1280"/>
      <c r="BYV21" s="1280"/>
      <c r="BYW21" s="1280"/>
      <c r="BYX21" s="1280"/>
      <c r="BYY21" s="1280"/>
      <c r="BYZ21" s="1280"/>
      <c r="BZA21" s="1280"/>
      <c r="BZB21" s="1280"/>
      <c r="BZC21" s="1280"/>
      <c r="BZD21" s="1280"/>
      <c r="BZE21" s="1280"/>
      <c r="BZF21" s="1280"/>
      <c r="BZG21" s="1280"/>
      <c r="BZH21" s="1280"/>
      <c r="BZI21" s="1280"/>
      <c r="BZJ21" s="1280"/>
      <c r="BZK21" s="1280"/>
      <c r="BZL21" s="1280"/>
      <c r="BZM21" s="1280"/>
      <c r="BZN21" s="1280"/>
      <c r="BZO21" s="1280"/>
      <c r="BZP21" s="1280"/>
      <c r="BZQ21" s="1280"/>
      <c r="BZR21" s="1280"/>
      <c r="BZS21" s="1280"/>
      <c r="BZT21" s="1280"/>
      <c r="BZU21" s="1280"/>
      <c r="BZV21" s="1280"/>
      <c r="BZW21" s="1280"/>
      <c r="BZX21" s="1280"/>
      <c r="BZY21" s="1280"/>
      <c r="BZZ21" s="1280"/>
      <c r="CAA21" s="1280"/>
      <c r="CAB21" s="1280"/>
      <c r="CAC21" s="1280"/>
      <c r="CAD21" s="1280"/>
      <c r="CAE21" s="1280"/>
      <c r="CAF21" s="1280"/>
      <c r="CAG21" s="1280"/>
      <c r="CAH21" s="1280"/>
      <c r="CAI21" s="1280"/>
      <c r="CAJ21" s="1280"/>
      <c r="CAK21" s="1280"/>
      <c r="CAL21" s="1280"/>
      <c r="CAM21" s="1280"/>
      <c r="CAN21" s="1280"/>
      <c r="CAO21" s="1280"/>
      <c r="CAP21" s="1280"/>
      <c r="CAQ21" s="1280"/>
      <c r="CAR21" s="1280"/>
      <c r="CAS21" s="1280"/>
      <c r="CAT21" s="1280"/>
      <c r="CAU21" s="1280"/>
      <c r="CAV21" s="1280"/>
      <c r="CAW21" s="1280"/>
      <c r="CAX21" s="1280"/>
      <c r="CAY21" s="1280"/>
      <c r="CAZ21" s="1280"/>
      <c r="CBA21" s="1280"/>
      <c r="CBB21" s="1280"/>
      <c r="CBC21" s="1280"/>
      <c r="CBD21" s="1280"/>
      <c r="CBE21" s="1280"/>
      <c r="CBF21" s="1280"/>
      <c r="CBG21" s="1280"/>
      <c r="CBH21" s="1280"/>
      <c r="CBI21" s="1280"/>
      <c r="CBJ21" s="1280"/>
      <c r="CBK21" s="1280"/>
      <c r="CBL21" s="1280"/>
      <c r="CBM21" s="1280"/>
      <c r="CBN21" s="1280"/>
      <c r="CBO21" s="1280"/>
      <c r="CBP21" s="1280"/>
      <c r="CBQ21" s="1280"/>
      <c r="CBR21" s="1280"/>
      <c r="CBS21" s="1280"/>
      <c r="CBT21" s="1280"/>
      <c r="CBU21" s="1280"/>
      <c r="CBV21" s="1280"/>
      <c r="CBW21" s="1280"/>
      <c r="CBX21" s="1280"/>
      <c r="CBY21" s="1280"/>
      <c r="CBZ21" s="1280"/>
      <c r="CCA21" s="1280"/>
      <c r="CCB21" s="1280"/>
      <c r="CCC21" s="1280"/>
      <c r="CCD21" s="1280"/>
      <c r="CCE21" s="1280"/>
      <c r="CCF21" s="1280"/>
      <c r="CCG21" s="1280"/>
      <c r="CCH21" s="1280"/>
      <c r="CCI21" s="1280"/>
      <c r="CCJ21" s="1280"/>
      <c r="CCK21" s="1280"/>
      <c r="CCL21" s="1280"/>
      <c r="CCM21" s="1280"/>
      <c r="CCN21" s="1280"/>
      <c r="CCO21" s="1280"/>
      <c r="CCP21" s="1280"/>
      <c r="CCQ21" s="1280"/>
      <c r="CCR21" s="1280"/>
      <c r="CCS21" s="1280"/>
      <c r="CCT21" s="1280"/>
      <c r="CCU21" s="1280"/>
      <c r="CCV21" s="1280"/>
      <c r="CCW21" s="1280"/>
      <c r="CCX21" s="1280"/>
      <c r="CCY21" s="1280"/>
      <c r="CCZ21" s="1280"/>
      <c r="CDA21" s="1280"/>
      <c r="CDB21" s="1280"/>
      <c r="CDC21" s="1280"/>
      <c r="CDD21" s="1280"/>
      <c r="CDE21" s="1280"/>
      <c r="CDF21" s="1280"/>
      <c r="CDG21" s="1280"/>
      <c r="CDH21" s="1280"/>
      <c r="CDI21" s="1280"/>
      <c r="CDJ21" s="1280"/>
      <c r="CDK21" s="1280"/>
      <c r="CDL21" s="1280"/>
      <c r="CDM21" s="1280"/>
      <c r="CDN21" s="1280"/>
      <c r="CDO21" s="1280"/>
      <c r="CDP21" s="1280"/>
      <c r="CDQ21" s="1280"/>
      <c r="CDR21" s="1280"/>
      <c r="CDS21" s="1280"/>
      <c r="CDT21" s="1280"/>
      <c r="CDU21" s="1280"/>
      <c r="CDV21" s="1280"/>
      <c r="CDW21" s="1280"/>
      <c r="CDX21" s="1280"/>
      <c r="CDY21" s="1280"/>
      <c r="CDZ21" s="1280"/>
      <c r="CEA21" s="1280"/>
      <c r="CEB21" s="1280"/>
      <c r="CEC21" s="1280"/>
      <c r="CED21" s="1280"/>
      <c r="CEE21" s="1280"/>
      <c r="CEF21" s="1280"/>
      <c r="CEG21" s="1280"/>
      <c r="CEH21" s="1280"/>
      <c r="CEI21" s="1280"/>
      <c r="CEJ21" s="1280"/>
      <c r="CEK21" s="1280"/>
      <c r="CEL21" s="1280"/>
      <c r="CEM21" s="1280"/>
      <c r="CEN21" s="1280"/>
      <c r="CEO21" s="1280"/>
      <c r="CEP21" s="1280"/>
      <c r="CEQ21" s="1280"/>
      <c r="CER21" s="1280"/>
      <c r="CES21" s="1280"/>
      <c r="CET21" s="1280"/>
      <c r="CEU21" s="1280"/>
      <c r="CEV21" s="1280"/>
      <c r="CEW21" s="1280"/>
      <c r="CEX21" s="1280"/>
      <c r="CEY21" s="1280"/>
      <c r="CEZ21" s="1280"/>
      <c r="CFA21" s="1280"/>
      <c r="CFB21" s="1280"/>
      <c r="CFC21" s="1280"/>
      <c r="CFD21" s="1280"/>
      <c r="CFE21" s="1280"/>
      <c r="CFF21" s="1280"/>
      <c r="CFG21" s="1280"/>
      <c r="CFH21" s="1280"/>
      <c r="CFI21" s="1280"/>
      <c r="CFJ21" s="1280"/>
      <c r="CFK21" s="1280"/>
      <c r="CFL21" s="1280"/>
      <c r="CFM21" s="1280"/>
      <c r="CFN21" s="1280"/>
      <c r="CFO21" s="1280"/>
      <c r="CFP21" s="1280"/>
      <c r="CFQ21" s="1280"/>
      <c r="CFR21" s="1280"/>
      <c r="CFS21" s="1280"/>
      <c r="CFT21" s="1280"/>
      <c r="CFU21" s="1280"/>
      <c r="CFV21" s="1280"/>
      <c r="CFW21" s="1280"/>
      <c r="CFX21" s="1280"/>
      <c r="CFY21" s="1280"/>
      <c r="CFZ21" s="1280"/>
      <c r="CGA21" s="1280"/>
      <c r="CGB21" s="1280"/>
      <c r="CGC21" s="1280"/>
      <c r="CGD21" s="1280"/>
      <c r="CGE21" s="1280"/>
      <c r="CGF21" s="1280"/>
      <c r="CGG21" s="1280"/>
      <c r="CGH21" s="1280"/>
      <c r="CGI21" s="1280"/>
      <c r="CGJ21" s="1280"/>
      <c r="CGK21" s="1280"/>
      <c r="CGL21" s="1280"/>
      <c r="CGM21" s="1280"/>
      <c r="CGN21" s="1280"/>
      <c r="CGO21" s="1280"/>
      <c r="CGP21" s="1280"/>
      <c r="CGQ21" s="1280"/>
      <c r="CGR21" s="1280"/>
      <c r="CGS21" s="1280"/>
      <c r="CGT21" s="1280"/>
      <c r="CGU21" s="1280"/>
      <c r="CGV21" s="1280"/>
      <c r="CGW21" s="1280"/>
      <c r="CGX21" s="1280"/>
      <c r="CGY21" s="1280"/>
      <c r="CGZ21" s="1280"/>
      <c r="CHA21" s="1280"/>
      <c r="CHB21" s="1280"/>
      <c r="CHC21" s="1280"/>
      <c r="CHD21" s="1280"/>
      <c r="CHE21" s="1280"/>
      <c r="CHF21" s="1280"/>
      <c r="CHG21" s="1280"/>
      <c r="CHH21" s="1280"/>
      <c r="CHI21" s="1280"/>
      <c r="CHJ21" s="1280"/>
      <c r="CHK21" s="1280"/>
      <c r="CHL21" s="1280"/>
      <c r="CHM21" s="1280"/>
      <c r="CHN21" s="1280"/>
      <c r="CHO21" s="1280"/>
      <c r="CHP21" s="1280"/>
      <c r="CHQ21" s="1280"/>
      <c r="CHR21" s="1280"/>
      <c r="CHS21" s="1280"/>
      <c r="CHT21" s="1280"/>
      <c r="CHU21" s="1280"/>
      <c r="CHV21" s="1280"/>
      <c r="CHW21" s="1280"/>
      <c r="CHX21" s="1280"/>
      <c r="CHY21" s="1280"/>
      <c r="CHZ21" s="1280"/>
      <c r="CIA21" s="1280"/>
      <c r="CIB21" s="1280"/>
      <c r="CIC21" s="1280"/>
      <c r="CID21" s="1280"/>
      <c r="CIE21" s="1280"/>
      <c r="CIF21" s="1280"/>
      <c r="CIG21" s="1280"/>
      <c r="CIH21" s="1280"/>
      <c r="CII21" s="1280"/>
      <c r="CIJ21" s="1280"/>
      <c r="CIK21" s="1280"/>
      <c r="CIL21" s="1280"/>
      <c r="CIM21" s="1280"/>
      <c r="CIN21" s="1280"/>
      <c r="CIO21" s="1280"/>
      <c r="CIP21" s="1280"/>
      <c r="CIQ21" s="1280"/>
      <c r="CIR21" s="1280"/>
      <c r="CIS21" s="1280"/>
      <c r="CIT21" s="1280"/>
      <c r="CIU21" s="1280"/>
      <c r="CIV21" s="1280"/>
      <c r="CIW21" s="1280"/>
      <c r="CIX21" s="1280"/>
      <c r="CIY21" s="1280"/>
      <c r="CIZ21" s="1280"/>
      <c r="CJA21" s="1280"/>
      <c r="CJB21" s="1280"/>
      <c r="CJC21" s="1280"/>
      <c r="CJD21" s="1280"/>
      <c r="CJE21" s="1280"/>
      <c r="CJF21" s="1280"/>
      <c r="CJG21" s="1280"/>
      <c r="CJH21" s="1280"/>
      <c r="CJI21" s="1280"/>
      <c r="CJJ21" s="1280"/>
      <c r="CJK21" s="1280"/>
      <c r="CJL21" s="1280"/>
      <c r="CJM21" s="1280"/>
      <c r="CJN21" s="1280"/>
      <c r="CJO21" s="1280"/>
      <c r="CJP21" s="1280"/>
      <c r="CJQ21" s="1280"/>
      <c r="CJR21" s="1280"/>
      <c r="CJS21" s="1280"/>
      <c r="CJT21" s="1280"/>
      <c r="CJU21" s="1280"/>
      <c r="CJV21" s="1280"/>
      <c r="CJW21" s="1280"/>
      <c r="CJX21" s="1280"/>
      <c r="CJY21" s="1280"/>
      <c r="CJZ21" s="1280"/>
      <c r="CKA21" s="1280"/>
      <c r="CKB21" s="1280"/>
      <c r="CKC21" s="1280"/>
      <c r="CKD21" s="1280"/>
      <c r="CKE21" s="1280"/>
      <c r="CKF21" s="1280"/>
      <c r="CKG21" s="1280"/>
      <c r="CKH21" s="1280"/>
      <c r="CKI21" s="1280"/>
      <c r="CKJ21" s="1280"/>
      <c r="CKK21" s="1280"/>
      <c r="CKL21" s="1280"/>
      <c r="CKM21" s="1280"/>
      <c r="CKN21" s="1280"/>
      <c r="CKO21" s="1280"/>
      <c r="CKP21" s="1280"/>
      <c r="CKQ21" s="1280"/>
      <c r="CKR21" s="1280"/>
      <c r="CKS21" s="1280"/>
      <c r="CKT21" s="1280"/>
      <c r="CKU21" s="1280"/>
      <c r="CKV21" s="1280"/>
      <c r="CKW21" s="1280"/>
      <c r="CKX21" s="1280"/>
      <c r="CKY21" s="1280"/>
      <c r="CKZ21" s="1280"/>
      <c r="CLA21" s="1280"/>
      <c r="CLB21" s="1280"/>
      <c r="CLC21" s="1280"/>
      <c r="CLD21" s="1280"/>
      <c r="CLE21" s="1280"/>
      <c r="CLF21" s="1280"/>
      <c r="CLG21" s="1280"/>
      <c r="CLH21" s="1280"/>
      <c r="CLI21" s="1280"/>
      <c r="CLJ21" s="1280"/>
      <c r="CLK21" s="1280"/>
      <c r="CLL21" s="1280"/>
      <c r="CLM21" s="1280"/>
      <c r="CLN21" s="1280"/>
      <c r="CLO21" s="1280"/>
      <c r="CLP21" s="1280"/>
      <c r="CLQ21" s="1280"/>
      <c r="CLR21" s="1280"/>
      <c r="CLS21" s="1280"/>
      <c r="CLT21" s="1280"/>
      <c r="CLU21" s="1280"/>
      <c r="CLV21" s="1280"/>
      <c r="CLW21" s="1280"/>
      <c r="CLX21" s="1280"/>
      <c r="CLY21" s="1280"/>
      <c r="CLZ21" s="1280"/>
      <c r="CMA21" s="1280"/>
      <c r="CMB21" s="1280"/>
      <c r="CMC21" s="1280"/>
      <c r="CMD21" s="1280"/>
      <c r="CME21" s="1280"/>
      <c r="CMF21" s="1280"/>
      <c r="CMG21" s="1280"/>
      <c r="CMH21" s="1280"/>
      <c r="CMI21" s="1280"/>
      <c r="CMJ21" s="1280"/>
      <c r="CMK21" s="1280"/>
      <c r="CML21" s="1280"/>
      <c r="CMM21" s="1280"/>
      <c r="CMN21" s="1280"/>
      <c r="CMO21" s="1280"/>
      <c r="CMP21" s="1280"/>
      <c r="CMQ21" s="1280"/>
      <c r="CMR21" s="1280"/>
      <c r="CMS21" s="1280"/>
      <c r="CMT21" s="1280"/>
      <c r="CMU21" s="1280"/>
      <c r="CMV21" s="1280"/>
      <c r="CMW21" s="1280"/>
      <c r="CMX21" s="1280"/>
      <c r="CMY21" s="1280"/>
      <c r="CMZ21" s="1280"/>
      <c r="CNA21" s="1280"/>
      <c r="CNB21" s="1280"/>
      <c r="CNC21" s="1280"/>
      <c r="CND21" s="1280"/>
      <c r="CNE21" s="1280"/>
      <c r="CNF21" s="1280"/>
      <c r="CNG21" s="1280"/>
      <c r="CNH21" s="1280"/>
      <c r="CNI21" s="1280"/>
      <c r="CNJ21" s="1280"/>
      <c r="CNK21" s="1280"/>
      <c r="CNL21" s="1280"/>
      <c r="CNM21" s="1280"/>
      <c r="CNN21" s="1280"/>
      <c r="CNO21" s="1280"/>
      <c r="CNP21" s="1280"/>
      <c r="CNQ21" s="1280"/>
      <c r="CNR21" s="1280"/>
      <c r="CNS21" s="1280"/>
      <c r="CNT21" s="1280"/>
      <c r="CNU21" s="1280"/>
      <c r="CNV21" s="1280"/>
      <c r="CNW21" s="1280"/>
      <c r="CNX21" s="1280"/>
      <c r="CNY21" s="1280"/>
      <c r="CNZ21" s="1280"/>
      <c r="COA21" s="1280"/>
      <c r="COB21" s="1280"/>
      <c r="COC21" s="1280"/>
      <c r="COD21" s="1280"/>
      <c r="COE21" s="1280"/>
      <c r="COF21" s="1280"/>
      <c r="COG21" s="1280"/>
      <c r="COH21" s="1280"/>
      <c r="COI21" s="1280"/>
      <c r="COJ21" s="1280"/>
      <c r="COK21" s="1280"/>
      <c r="COL21" s="1280"/>
      <c r="COM21" s="1280"/>
      <c r="CON21" s="1280"/>
      <c r="COO21" s="1280"/>
      <c r="COP21" s="1280"/>
      <c r="COQ21" s="1280"/>
      <c r="COR21" s="1280"/>
      <c r="COS21" s="1280"/>
      <c r="COT21" s="1280"/>
      <c r="COU21" s="1280"/>
      <c r="COV21" s="1280"/>
      <c r="COW21" s="1280"/>
      <c r="COX21" s="1280"/>
      <c r="COY21" s="1280"/>
      <c r="COZ21" s="1280"/>
      <c r="CPA21" s="1280"/>
      <c r="CPB21" s="1280"/>
      <c r="CPC21" s="1280"/>
      <c r="CPD21" s="1280"/>
      <c r="CPE21" s="1280"/>
      <c r="CPF21" s="1280"/>
      <c r="CPG21" s="1280"/>
      <c r="CPH21" s="1280"/>
      <c r="CPI21" s="1280"/>
      <c r="CPJ21" s="1280"/>
      <c r="CPK21" s="1280"/>
      <c r="CPL21" s="1280"/>
      <c r="CPM21" s="1280"/>
      <c r="CPN21" s="1280"/>
      <c r="CPO21" s="1280"/>
      <c r="CPP21" s="1280"/>
      <c r="CPQ21" s="1280"/>
      <c r="CPR21" s="1280"/>
      <c r="CPS21" s="1280"/>
      <c r="CPT21" s="1280"/>
      <c r="CPU21" s="1280"/>
      <c r="CPV21" s="1280"/>
      <c r="CPW21" s="1280"/>
      <c r="CPX21" s="1280"/>
      <c r="CPY21" s="1280"/>
      <c r="CPZ21" s="1280"/>
      <c r="CQA21" s="1280"/>
      <c r="CQB21" s="1280"/>
      <c r="CQC21" s="1280"/>
      <c r="CQD21" s="1280"/>
      <c r="CQE21" s="1280"/>
      <c r="CQF21" s="1280"/>
      <c r="CQG21" s="1280"/>
      <c r="CQH21" s="1280"/>
      <c r="CQI21" s="1280"/>
      <c r="CQJ21" s="1280"/>
      <c r="CQK21" s="1280"/>
      <c r="CQL21" s="1280"/>
      <c r="CQM21" s="1280"/>
      <c r="CQN21" s="1280"/>
      <c r="CQO21" s="1280"/>
      <c r="CQP21" s="1280"/>
      <c r="CQQ21" s="1280"/>
      <c r="CQR21" s="1280"/>
      <c r="CQS21" s="1280"/>
      <c r="CQT21" s="1280"/>
      <c r="CQU21" s="1280"/>
      <c r="CQV21" s="1280"/>
      <c r="CQW21" s="1280"/>
      <c r="CQX21" s="1280"/>
      <c r="CQY21" s="1280"/>
      <c r="CQZ21" s="1280"/>
      <c r="CRA21" s="1280"/>
      <c r="CRB21" s="1280"/>
      <c r="CRC21" s="1280"/>
      <c r="CRD21" s="1280"/>
      <c r="CRE21" s="1280"/>
      <c r="CRF21" s="1280"/>
      <c r="CRG21" s="1280"/>
      <c r="CRH21" s="1280"/>
      <c r="CRI21" s="1280"/>
      <c r="CRJ21" s="1280"/>
      <c r="CRK21" s="1280"/>
      <c r="CRL21" s="1280"/>
      <c r="CRM21" s="1280"/>
      <c r="CRN21" s="1280"/>
      <c r="CRO21" s="1280"/>
      <c r="CRP21" s="1280"/>
      <c r="CRQ21" s="1280"/>
      <c r="CRR21" s="1280"/>
      <c r="CRS21" s="1280"/>
      <c r="CRT21" s="1280"/>
      <c r="CRU21" s="1280"/>
      <c r="CRV21" s="1280"/>
      <c r="CRW21" s="1280"/>
      <c r="CRX21" s="1280"/>
      <c r="CRY21" s="1280"/>
      <c r="CRZ21" s="1280"/>
      <c r="CSA21" s="1280"/>
      <c r="CSB21" s="1280"/>
      <c r="CSC21" s="1280"/>
      <c r="CSD21" s="1280"/>
      <c r="CSE21" s="1280"/>
      <c r="CSF21" s="1280"/>
      <c r="CSG21" s="1280"/>
      <c r="CSH21" s="1280"/>
      <c r="CSI21" s="1280"/>
      <c r="CSJ21" s="1280"/>
      <c r="CSK21" s="1280"/>
      <c r="CSL21" s="1280"/>
      <c r="CSM21" s="1280"/>
      <c r="CSN21" s="1280"/>
      <c r="CSO21" s="1280"/>
      <c r="CSP21" s="1280"/>
      <c r="CSQ21" s="1280"/>
      <c r="CSR21" s="1280"/>
      <c r="CSS21" s="1280"/>
      <c r="CST21" s="1280"/>
      <c r="CSU21" s="1280"/>
      <c r="CSV21" s="1280"/>
      <c r="CSW21" s="1280"/>
      <c r="CSX21" s="1280"/>
      <c r="CSY21" s="1280"/>
      <c r="CSZ21" s="1280"/>
      <c r="CTA21" s="1280"/>
      <c r="CTB21" s="1280"/>
      <c r="CTC21" s="1280"/>
      <c r="CTD21" s="1280"/>
      <c r="CTE21" s="1280"/>
      <c r="CTF21" s="1280"/>
      <c r="CTG21" s="1280"/>
      <c r="CTH21" s="1280"/>
      <c r="CTI21" s="1280"/>
      <c r="CTJ21" s="1280"/>
      <c r="CTK21" s="1280"/>
      <c r="CTL21" s="1280"/>
      <c r="CTM21" s="1280"/>
      <c r="CTN21" s="1280"/>
      <c r="CTO21" s="1280"/>
      <c r="CTP21" s="1280"/>
      <c r="CTQ21" s="1280"/>
      <c r="CTR21" s="1280"/>
      <c r="CTS21" s="1280"/>
      <c r="CTT21" s="1280"/>
      <c r="CTU21" s="1280"/>
      <c r="CTV21" s="1280"/>
      <c r="CTW21" s="1280"/>
      <c r="CTX21" s="1280"/>
      <c r="CTY21" s="1280"/>
      <c r="CTZ21" s="1280"/>
      <c r="CUA21" s="1280"/>
      <c r="CUB21" s="1280"/>
      <c r="CUC21" s="1280"/>
      <c r="CUD21" s="1280"/>
      <c r="CUE21" s="1280"/>
      <c r="CUF21" s="1280"/>
      <c r="CUG21" s="1280"/>
      <c r="CUH21" s="1280"/>
      <c r="CUI21" s="1280"/>
      <c r="CUJ21" s="1280"/>
      <c r="CUK21" s="1280"/>
      <c r="CUL21" s="1280"/>
      <c r="CUM21" s="1280"/>
      <c r="CUN21" s="1280"/>
      <c r="CUO21" s="1280"/>
      <c r="CUP21" s="1280"/>
      <c r="CUQ21" s="1280"/>
      <c r="CUR21" s="1280"/>
      <c r="CUS21" s="1280"/>
      <c r="CUT21" s="1280"/>
      <c r="CUU21" s="1280"/>
      <c r="CUV21" s="1280"/>
      <c r="CUW21" s="1280"/>
      <c r="CUX21" s="1280"/>
      <c r="CUY21" s="1280"/>
      <c r="CUZ21" s="1280"/>
      <c r="CVA21" s="1280"/>
      <c r="CVB21" s="1280"/>
      <c r="CVC21" s="1280"/>
      <c r="CVD21" s="1280"/>
      <c r="CVE21" s="1280"/>
      <c r="CVF21" s="1280"/>
      <c r="CVG21" s="1280"/>
      <c r="CVH21" s="1280"/>
      <c r="CVI21" s="1280"/>
      <c r="CVJ21" s="1280"/>
      <c r="CVK21" s="1280"/>
      <c r="CVL21" s="1280"/>
      <c r="CVM21" s="1280"/>
      <c r="CVN21" s="1280"/>
      <c r="CVO21" s="1280"/>
      <c r="CVP21" s="1280"/>
      <c r="CVQ21" s="1280"/>
      <c r="CVR21" s="1280"/>
      <c r="CVS21" s="1280"/>
      <c r="CVT21" s="1280"/>
      <c r="CVU21" s="1280"/>
      <c r="CVV21" s="1280"/>
      <c r="CVW21" s="1280"/>
      <c r="CVX21" s="1280"/>
      <c r="CVY21" s="1280"/>
      <c r="CVZ21" s="1280"/>
      <c r="CWA21" s="1280"/>
      <c r="CWB21" s="1280"/>
      <c r="CWC21" s="1280"/>
      <c r="CWD21" s="1280"/>
      <c r="CWE21" s="1280"/>
      <c r="CWF21" s="1280"/>
      <c r="CWG21" s="1280"/>
      <c r="CWH21" s="1280"/>
      <c r="CWI21" s="1280"/>
      <c r="CWJ21" s="1280"/>
      <c r="CWK21" s="1280"/>
      <c r="CWL21" s="1280"/>
      <c r="CWM21" s="1280"/>
      <c r="CWN21" s="1280"/>
      <c r="CWO21" s="1280"/>
      <c r="CWP21" s="1280"/>
      <c r="CWQ21" s="1280"/>
      <c r="CWR21" s="1280"/>
      <c r="CWS21" s="1280"/>
      <c r="CWT21" s="1280"/>
      <c r="CWU21" s="1280"/>
      <c r="CWV21" s="1280"/>
      <c r="CWW21" s="1280"/>
      <c r="CWX21" s="1280"/>
      <c r="CWY21" s="1280"/>
      <c r="CWZ21" s="1280"/>
      <c r="CXA21" s="1280"/>
      <c r="CXB21" s="1280"/>
      <c r="CXC21" s="1280"/>
      <c r="CXD21" s="1280"/>
      <c r="CXE21" s="1280"/>
      <c r="CXF21" s="1280"/>
      <c r="CXG21" s="1280"/>
      <c r="CXH21" s="1280"/>
      <c r="CXI21" s="1280"/>
      <c r="CXJ21" s="1280"/>
      <c r="CXK21" s="1280"/>
      <c r="CXL21" s="1280"/>
      <c r="CXM21" s="1280"/>
      <c r="CXN21" s="1280"/>
      <c r="CXO21" s="1280"/>
      <c r="CXP21" s="1280"/>
      <c r="CXQ21" s="1280"/>
      <c r="CXR21" s="1280"/>
      <c r="CXS21" s="1280"/>
      <c r="CXT21" s="1280"/>
      <c r="CXU21" s="1280"/>
      <c r="CXV21" s="1280"/>
      <c r="CXW21" s="1280"/>
      <c r="CXX21" s="1280"/>
      <c r="CXY21" s="1280"/>
      <c r="CXZ21" s="1280"/>
      <c r="CYA21" s="1280"/>
      <c r="CYB21" s="1280"/>
      <c r="CYC21" s="1280"/>
      <c r="CYD21" s="1280"/>
      <c r="CYE21" s="1280"/>
      <c r="CYF21" s="1280"/>
      <c r="CYG21" s="1280"/>
      <c r="CYH21" s="1280"/>
      <c r="CYI21" s="1280"/>
      <c r="CYJ21" s="1280"/>
      <c r="CYK21" s="1280"/>
      <c r="CYL21" s="1280"/>
      <c r="CYM21" s="1280"/>
      <c r="CYN21" s="1280"/>
      <c r="CYO21" s="1280"/>
      <c r="CYP21" s="1280"/>
      <c r="CYQ21" s="1280"/>
      <c r="CYR21" s="1280"/>
      <c r="CYS21" s="1280"/>
      <c r="CYT21" s="1280"/>
      <c r="CYU21" s="1280"/>
      <c r="CYV21" s="1280"/>
      <c r="CYW21" s="1280"/>
      <c r="CYX21" s="1280"/>
      <c r="CYY21" s="1280"/>
      <c r="CYZ21" s="1280"/>
      <c r="CZA21" s="1280"/>
      <c r="CZB21" s="1280"/>
      <c r="CZC21" s="1280"/>
      <c r="CZD21" s="1280"/>
      <c r="CZE21" s="1280"/>
      <c r="CZF21" s="1280"/>
      <c r="CZG21" s="1280"/>
      <c r="CZH21" s="1280"/>
      <c r="CZI21" s="1280"/>
      <c r="CZJ21" s="1280"/>
      <c r="CZK21" s="1280"/>
      <c r="CZL21" s="1280"/>
      <c r="CZM21" s="1280"/>
      <c r="CZN21" s="1280"/>
      <c r="CZO21" s="1280"/>
      <c r="CZP21" s="1280"/>
      <c r="CZQ21" s="1280"/>
      <c r="CZR21" s="1280"/>
      <c r="CZS21" s="1280"/>
      <c r="CZT21" s="1280"/>
      <c r="CZU21" s="1280"/>
      <c r="CZV21" s="1280"/>
      <c r="CZW21" s="1280"/>
      <c r="CZX21" s="1280"/>
      <c r="CZY21" s="1280"/>
      <c r="CZZ21" s="1280"/>
      <c r="DAA21" s="1280"/>
      <c r="DAB21" s="1280"/>
      <c r="DAC21" s="1280"/>
      <c r="DAD21" s="1280"/>
      <c r="DAE21" s="1280"/>
      <c r="DAF21" s="1280"/>
      <c r="DAG21" s="1280"/>
      <c r="DAH21" s="1280"/>
      <c r="DAI21" s="1280"/>
      <c r="DAJ21" s="1280"/>
      <c r="DAK21" s="1280"/>
      <c r="DAL21" s="1280"/>
      <c r="DAM21" s="1280"/>
      <c r="DAN21" s="1280"/>
      <c r="DAO21" s="1280"/>
      <c r="DAP21" s="1280"/>
      <c r="DAQ21" s="1280"/>
      <c r="DAR21" s="1280"/>
      <c r="DAS21" s="1280"/>
      <c r="DAT21" s="1280"/>
      <c r="DAU21" s="1280"/>
      <c r="DAV21" s="1280"/>
      <c r="DAW21" s="1280"/>
      <c r="DAX21" s="1280"/>
      <c r="DAY21" s="1280"/>
      <c r="DAZ21" s="1280"/>
      <c r="DBA21" s="1280"/>
      <c r="DBB21" s="1280"/>
      <c r="DBC21" s="1280"/>
      <c r="DBD21" s="1280"/>
      <c r="DBE21" s="1280"/>
      <c r="DBF21" s="1280"/>
      <c r="DBG21" s="1280"/>
      <c r="DBH21" s="1280"/>
      <c r="DBI21" s="1280"/>
      <c r="DBJ21" s="1280"/>
      <c r="DBK21" s="1280"/>
      <c r="DBL21" s="1280"/>
      <c r="DBM21" s="1280"/>
      <c r="DBN21" s="1280"/>
      <c r="DBO21" s="1280"/>
      <c r="DBP21" s="1280"/>
      <c r="DBQ21" s="1280"/>
      <c r="DBR21" s="1280"/>
      <c r="DBS21" s="1280"/>
      <c r="DBT21" s="1280"/>
      <c r="DBU21" s="1280"/>
      <c r="DBV21" s="1280"/>
      <c r="DBW21" s="1280"/>
      <c r="DBX21" s="1280"/>
      <c r="DBY21" s="1280"/>
      <c r="DBZ21" s="1280"/>
      <c r="DCA21" s="1280"/>
      <c r="DCB21" s="1280"/>
      <c r="DCC21" s="1280"/>
      <c r="DCD21" s="1280"/>
      <c r="DCE21" s="1280"/>
      <c r="DCF21" s="1280"/>
      <c r="DCG21" s="1280"/>
      <c r="DCH21" s="1280"/>
      <c r="DCI21" s="1280"/>
      <c r="DCJ21" s="1280"/>
      <c r="DCK21" s="1280"/>
      <c r="DCL21" s="1280"/>
      <c r="DCM21" s="1280"/>
      <c r="DCN21" s="1280"/>
      <c r="DCO21" s="1280"/>
      <c r="DCP21" s="1280"/>
      <c r="DCQ21" s="1280"/>
      <c r="DCR21" s="1280"/>
      <c r="DCS21" s="1280"/>
      <c r="DCT21" s="1280"/>
      <c r="DCU21" s="1280"/>
      <c r="DCV21" s="1280"/>
      <c r="DCW21" s="1280"/>
      <c r="DCX21" s="1280"/>
      <c r="DCY21" s="1280"/>
      <c r="DCZ21" s="1280"/>
      <c r="DDA21" s="1280"/>
      <c r="DDB21" s="1280"/>
      <c r="DDC21" s="1280"/>
      <c r="DDD21" s="1280"/>
      <c r="DDE21" s="1280"/>
      <c r="DDF21" s="1280"/>
      <c r="DDG21" s="1280"/>
      <c r="DDH21" s="1280"/>
      <c r="DDI21" s="1280"/>
      <c r="DDJ21" s="1280"/>
      <c r="DDK21" s="1280"/>
      <c r="DDL21" s="1280"/>
      <c r="DDM21" s="1280"/>
      <c r="DDN21" s="1280"/>
      <c r="DDO21" s="1280"/>
      <c r="DDP21" s="1280"/>
      <c r="DDQ21" s="1280"/>
      <c r="DDR21" s="1280"/>
      <c r="DDS21" s="1280"/>
      <c r="DDT21" s="1280"/>
      <c r="DDU21" s="1280"/>
      <c r="DDV21" s="1280"/>
      <c r="DDW21" s="1280"/>
      <c r="DDX21" s="1280"/>
      <c r="DDY21" s="1280"/>
      <c r="DDZ21" s="1280"/>
      <c r="DEA21" s="1280"/>
      <c r="DEB21" s="1280"/>
      <c r="DEC21" s="1280"/>
      <c r="DED21" s="1280"/>
      <c r="DEE21" s="1280"/>
      <c r="DEF21" s="1280"/>
      <c r="DEG21" s="1280"/>
      <c r="DEH21" s="1280"/>
      <c r="DEI21" s="1280"/>
      <c r="DEJ21" s="1280"/>
      <c r="DEK21" s="1280"/>
      <c r="DEL21" s="1280"/>
      <c r="DEM21" s="1280"/>
      <c r="DEN21" s="1280"/>
      <c r="DEO21" s="1280"/>
      <c r="DEP21" s="1280"/>
      <c r="DEQ21" s="1280"/>
      <c r="DER21" s="1280"/>
      <c r="DES21" s="1280"/>
      <c r="DET21" s="1280"/>
      <c r="DEU21" s="1280"/>
      <c r="DEV21" s="1280"/>
      <c r="DEW21" s="1280"/>
      <c r="DEX21" s="1280"/>
      <c r="DEY21" s="1280"/>
      <c r="DEZ21" s="1280"/>
      <c r="DFA21" s="1280"/>
      <c r="DFB21" s="1280"/>
      <c r="DFC21" s="1280"/>
      <c r="DFD21" s="1280"/>
      <c r="DFE21" s="1280"/>
      <c r="DFF21" s="1280"/>
      <c r="DFG21" s="1280"/>
      <c r="DFH21" s="1280"/>
      <c r="DFI21" s="1280"/>
      <c r="DFJ21" s="1280"/>
      <c r="DFK21" s="1280"/>
      <c r="DFL21" s="1280"/>
      <c r="DFM21" s="1280"/>
      <c r="DFN21" s="1280"/>
      <c r="DFO21" s="1280"/>
      <c r="DFP21" s="1280"/>
      <c r="DFQ21" s="1280"/>
      <c r="DFR21" s="1280"/>
      <c r="DFS21" s="1280"/>
      <c r="DFT21" s="1280"/>
      <c r="DFU21" s="1280"/>
      <c r="DFV21" s="1280"/>
      <c r="DFW21" s="1280"/>
      <c r="DFX21" s="1280"/>
      <c r="DFY21" s="1280"/>
      <c r="DFZ21" s="1280"/>
      <c r="DGA21" s="1280"/>
      <c r="DGB21" s="1280"/>
      <c r="DGC21" s="1280"/>
      <c r="DGD21" s="1280"/>
      <c r="DGE21" s="1280"/>
      <c r="DGF21" s="1280"/>
      <c r="DGG21" s="1280"/>
      <c r="DGH21" s="1280"/>
      <c r="DGI21" s="1280"/>
      <c r="DGJ21" s="1280"/>
      <c r="DGK21" s="1280"/>
      <c r="DGL21" s="1280"/>
      <c r="DGM21" s="1280"/>
      <c r="DGN21" s="1280"/>
      <c r="DGO21" s="1280"/>
      <c r="DGP21" s="1280"/>
      <c r="DGQ21" s="1280"/>
      <c r="DGR21" s="1280"/>
      <c r="DGS21" s="1280"/>
      <c r="DGT21" s="1280"/>
      <c r="DGU21" s="1280"/>
      <c r="DGV21" s="1280"/>
      <c r="DGW21" s="1280"/>
      <c r="DGX21" s="1280"/>
      <c r="DGY21" s="1280"/>
      <c r="DGZ21" s="1280"/>
      <c r="DHA21" s="1280"/>
      <c r="DHB21" s="1280"/>
      <c r="DHC21" s="1280"/>
      <c r="DHD21" s="1280"/>
      <c r="DHE21" s="1280"/>
      <c r="DHF21" s="1280"/>
      <c r="DHG21" s="1280"/>
      <c r="DHH21" s="1280"/>
      <c r="DHI21" s="1280"/>
      <c r="DHJ21" s="1280"/>
      <c r="DHK21" s="1280"/>
      <c r="DHL21" s="1280"/>
      <c r="DHM21" s="1280"/>
      <c r="DHN21" s="1280"/>
      <c r="DHO21" s="1280"/>
      <c r="DHP21" s="1280"/>
      <c r="DHQ21" s="1280"/>
      <c r="DHR21" s="1280"/>
      <c r="DHS21" s="1280"/>
      <c r="DHT21" s="1280"/>
      <c r="DHU21" s="1280"/>
      <c r="DHV21" s="1280"/>
      <c r="DHW21" s="1280"/>
      <c r="DHX21" s="1280"/>
      <c r="DHY21" s="1280"/>
      <c r="DHZ21" s="1280"/>
      <c r="DIA21" s="1280"/>
      <c r="DIB21" s="1280"/>
      <c r="DIC21" s="1280"/>
      <c r="DID21" s="1280"/>
      <c r="DIE21" s="1280"/>
      <c r="DIF21" s="1280"/>
      <c r="DIG21" s="1280"/>
      <c r="DIH21" s="1280"/>
      <c r="DII21" s="1280"/>
      <c r="DIJ21" s="1280"/>
      <c r="DIK21" s="1280"/>
      <c r="DIL21" s="1280"/>
      <c r="DIM21" s="1280"/>
      <c r="DIN21" s="1280"/>
      <c r="DIO21" s="1280"/>
      <c r="DIP21" s="1280"/>
      <c r="DIQ21" s="1280"/>
      <c r="DIR21" s="1280"/>
      <c r="DIS21" s="1280"/>
      <c r="DIT21" s="1280"/>
      <c r="DIU21" s="1280"/>
      <c r="DIV21" s="1280"/>
      <c r="DIW21" s="1280"/>
      <c r="DIX21" s="1280"/>
      <c r="DIY21" s="1280"/>
      <c r="DIZ21" s="1280"/>
      <c r="DJA21" s="1280"/>
      <c r="DJB21" s="1280"/>
      <c r="DJC21" s="1280"/>
      <c r="DJD21" s="1280"/>
      <c r="DJE21" s="1280"/>
      <c r="DJF21" s="1280"/>
      <c r="DJG21" s="1280"/>
      <c r="DJH21" s="1280"/>
      <c r="DJI21" s="1280"/>
      <c r="DJJ21" s="1280"/>
      <c r="DJK21" s="1280"/>
      <c r="DJL21" s="1280"/>
      <c r="DJM21" s="1280"/>
      <c r="DJN21" s="1280"/>
      <c r="DJO21" s="1280"/>
      <c r="DJP21" s="1280"/>
      <c r="DJQ21" s="1280"/>
      <c r="DJR21" s="1280"/>
      <c r="DJS21" s="1280"/>
      <c r="DJT21" s="1280"/>
      <c r="DJU21" s="1280"/>
      <c r="DJV21" s="1280"/>
      <c r="DJW21" s="1280"/>
      <c r="DJX21" s="1280"/>
      <c r="DJY21" s="1280"/>
      <c r="DJZ21" s="1280"/>
      <c r="DKA21" s="1280"/>
      <c r="DKB21" s="1280"/>
      <c r="DKC21" s="1280"/>
      <c r="DKD21" s="1280"/>
      <c r="DKE21" s="1280"/>
      <c r="DKF21" s="1280"/>
      <c r="DKG21" s="1280"/>
      <c r="DKH21" s="1280"/>
      <c r="DKI21" s="1280"/>
      <c r="DKJ21" s="1280"/>
      <c r="DKK21" s="1280"/>
      <c r="DKL21" s="1280"/>
      <c r="DKM21" s="1280"/>
      <c r="DKN21" s="1280"/>
      <c r="DKO21" s="1280"/>
      <c r="DKP21" s="1280"/>
      <c r="DKQ21" s="1280"/>
      <c r="DKR21" s="1280"/>
      <c r="DKS21" s="1280"/>
      <c r="DKT21" s="1280"/>
      <c r="DKU21" s="1280"/>
      <c r="DKV21" s="1280"/>
      <c r="DKW21" s="1280"/>
      <c r="DKX21" s="1280"/>
      <c r="DKY21" s="1280"/>
      <c r="DKZ21" s="1280"/>
      <c r="DLA21" s="1280"/>
      <c r="DLB21" s="1280"/>
      <c r="DLC21" s="1280"/>
      <c r="DLD21" s="1280"/>
      <c r="DLE21" s="1280"/>
      <c r="DLF21" s="1280"/>
      <c r="DLG21" s="1280"/>
      <c r="DLH21" s="1280"/>
      <c r="DLI21" s="1280"/>
      <c r="DLJ21" s="1280"/>
      <c r="DLK21" s="1280"/>
      <c r="DLL21" s="1280"/>
      <c r="DLM21" s="1280"/>
      <c r="DLN21" s="1280"/>
      <c r="DLO21" s="1280"/>
      <c r="DLP21" s="1280"/>
      <c r="DLQ21" s="1280"/>
      <c r="DLR21" s="1280"/>
      <c r="DLS21" s="1280"/>
      <c r="DLT21" s="1280"/>
      <c r="DLU21" s="1280"/>
      <c r="DLV21" s="1280"/>
      <c r="DLW21" s="1280"/>
      <c r="DLX21" s="1280"/>
      <c r="DLY21" s="1280"/>
      <c r="DLZ21" s="1280"/>
      <c r="DMA21" s="1280"/>
      <c r="DMB21" s="1280"/>
      <c r="DMC21" s="1280"/>
      <c r="DMD21" s="1280"/>
      <c r="DME21" s="1280"/>
      <c r="DMF21" s="1280"/>
      <c r="DMG21" s="1280"/>
      <c r="DMH21" s="1280"/>
      <c r="DMI21" s="1280"/>
      <c r="DMJ21" s="1280"/>
      <c r="DMK21" s="1280"/>
      <c r="DML21" s="1280"/>
      <c r="DMM21" s="1280"/>
      <c r="DMN21" s="1280"/>
      <c r="DMO21" s="1280"/>
      <c r="DMP21" s="1280"/>
      <c r="DMQ21" s="1280"/>
      <c r="DMR21" s="1280"/>
      <c r="DMS21" s="1280"/>
      <c r="DMT21" s="1280"/>
      <c r="DMU21" s="1280"/>
      <c r="DMV21" s="1280"/>
      <c r="DMW21" s="1280"/>
      <c r="DMX21" s="1280"/>
      <c r="DMY21" s="1280"/>
      <c r="DMZ21" s="1280"/>
      <c r="DNA21" s="1280"/>
      <c r="DNB21" s="1280"/>
      <c r="DNC21" s="1280"/>
      <c r="DND21" s="1280"/>
      <c r="DNE21" s="1280"/>
      <c r="DNF21" s="1280"/>
      <c r="DNG21" s="1280"/>
      <c r="DNH21" s="1280"/>
      <c r="DNI21" s="1280"/>
      <c r="DNJ21" s="1280"/>
      <c r="DNK21" s="1280"/>
      <c r="DNL21" s="1280"/>
      <c r="DNM21" s="1280"/>
      <c r="DNN21" s="1280"/>
      <c r="DNO21" s="1280"/>
      <c r="DNP21" s="1280"/>
      <c r="DNQ21" s="1280"/>
      <c r="DNR21" s="1280"/>
      <c r="DNS21" s="1280"/>
      <c r="DNT21" s="1280"/>
      <c r="DNU21" s="1280"/>
      <c r="DNV21" s="1280"/>
      <c r="DNW21" s="1280"/>
      <c r="DNX21" s="1280"/>
      <c r="DNY21" s="1280"/>
      <c r="DNZ21" s="1280"/>
      <c r="DOA21" s="1280"/>
      <c r="DOB21" s="1280"/>
      <c r="DOC21" s="1280"/>
      <c r="DOD21" s="1280"/>
      <c r="DOE21" s="1280"/>
      <c r="DOF21" s="1280"/>
      <c r="DOG21" s="1280"/>
      <c r="DOH21" s="1280"/>
      <c r="DOI21" s="1280"/>
      <c r="DOJ21" s="1280"/>
      <c r="DOK21" s="1280"/>
      <c r="DOL21" s="1280"/>
      <c r="DOM21" s="1280"/>
      <c r="DON21" s="1280"/>
      <c r="DOO21" s="1280"/>
      <c r="DOP21" s="1280"/>
      <c r="DOQ21" s="1280"/>
      <c r="DOR21" s="1280"/>
      <c r="DOS21" s="1280"/>
      <c r="DOT21" s="1280"/>
      <c r="DOU21" s="1280"/>
      <c r="DOV21" s="1280"/>
      <c r="DOW21" s="1280"/>
      <c r="DOX21" s="1280"/>
      <c r="DOY21" s="1280"/>
      <c r="DOZ21" s="1280"/>
      <c r="DPA21" s="1280"/>
      <c r="DPB21" s="1280"/>
      <c r="DPC21" s="1280"/>
      <c r="DPD21" s="1280"/>
      <c r="DPE21" s="1280"/>
      <c r="DPF21" s="1280"/>
      <c r="DPG21" s="1280"/>
      <c r="DPH21" s="1280"/>
      <c r="DPI21" s="1280"/>
      <c r="DPJ21" s="1280"/>
      <c r="DPK21" s="1280"/>
      <c r="DPL21" s="1280"/>
      <c r="DPM21" s="1280"/>
      <c r="DPN21" s="1280"/>
      <c r="DPO21" s="1280"/>
      <c r="DPP21" s="1280"/>
      <c r="DPQ21" s="1280"/>
      <c r="DPR21" s="1280"/>
      <c r="DPS21" s="1280"/>
      <c r="DPT21" s="1280"/>
      <c r="DPU21" s="1280"/>
      <c r="DPV21" s="1280"/>
      <c r="DPW21" s="1280"/>
      <c r="DPX21" s="1280"/>
      <c r="DPY21" s="1280"/>
      <c r="DPZ21" s="1280"/>
      <c r="DQA21" s="1280"/>
      <c r="DQB21" s="1280"/>
      <c r="DQC21" s="1280"/>
      <c r="DQD21" s="1280"/>
      <c r="DQE21" s="1280"/>
      <c r="DQF21" s="1280"/>
      <c r="DQG21" s="1280"/>
      <c r="DQH21" s="1280"/>
      <c r="DQI21" s="1280"/>
      <c r="DQJ21" s="1280"/>
      <c r="DQK21" s="1280"/>
      <c r="DQL21" s="1280"/>
      <c r="DQM21" s="1280"/>
      <c r="DQN21" s="1280"/>
      <c r="DQO21" s="1280"/>
      <c r="DQP21" s="1280"/>
      <c r="DQQ21" s="1280"/>
      <c r="DQR21" s="1280"/>
      <c r="DQS21" s="1280"/>
      <c r="DQT21" s="1280"/>
      <c r="DQU21" s="1280"/>
      <c r="DQV21" s="1280"/>
      <c r="DQW21" s="1280"/>
      <c r="DQX21" s="1280"/>
      <c r="DQY21" s="1280"/>
      <c r="DQZ21" s="1280"/>
      <c r="DRA21" s="1280"/>
      <c r="DRB21" s="1280"/>
      <c r="DRC21" s="1280"/>
      <c r="DRD21" s="1280"/>
      <c r="DRE21" s="1280"/>
      <c r="DRF21" s="1280"/>
      <c r="DRG21" s="1280"/>
      <c r="DRH21" s="1280"/>
      <c r="DRI21" s="1280"/>
      <c r="DRJ21" s="1280"/>
      <c r="DRK21" s="1280"/>
      <c r="DRL21" s="1280"/>
      <c r="DRM21" s="1280"/>
      <c r="DRN21" s="1280"/>
      <c r="DRO21" s="1280"/>
      <c r="DRP21" s="1280"/>
      <c r="DRQ21" s="1280"/>
      <c r="DRR21" s="1280"/>
      <c r="DRS21" s="1280"/>
      <c r="DRT21" s="1280"/>
      <c r="DRU21" s="1280"/>
      <c r="DRV21" s="1280"/>
      <c r="DRW21" s="1280"/>
      <c r="DRX21" s="1280"/>
      <c r="DRY21" s="1280"/>
      <c r="DRZ21" s="1280"/>
      <c r="DSA21" s="1280"/>
      <c r="DSB21" s="1280"/>
      <c r="DSC21" s="1280"/>
      <c r="DSD21" s="1280"/>
      <c r="DSE21" s="1280"/>
      <c r="DSF21" s="1280"/>
      <c r="DSG21" s="1280"/>
      <c r="DSH21" s="1280"/>
      <c r="DSI21" s="1280"/>
      <c r="DSJ21" s="1280"/>
      <c r="DSK21" s="1280"/>
      <c r="DSL21" s="1280"/>
      <c r="DSM21" s="1280"/>
      <c r="DSN21" s="1280"/>
      <c r="DSO21" s="1280"/>
      <c r="DSP21" s="1280"/>
      <c r="DSQ21" s="1280"/>
      <c r="DSR21" s="1280"/>
      <c r="DSS21" s="1280"/>
      <c r="DST21" s="1280"/>
      <c r="DSU21" s="1280"/>
      <c r="DSV21" s="1280"/>
      <c r="DSW21" s="1280"/>
      <c r="DSX21" s="1280"/>
      <c r="DSY21" s="1280"/>
      <c r="DSZ21" s="1280"/>
      <c r="DTA21" s="1280"/>
      <c r="DTB21" s="1280"/>
      <c r="DTC21" s="1280"/>
      <c r="DTD21" s="1280"/>
      <c r="DTE21" s="1280"/>
      <c r="DTF21" s="1280"/>
      <c r="DTG21" s="1280"/>
      <c r="DTH21" s="1280"/>
      <c r="DTI21" s="1280"/>
      <c r="DTJ21" s="1280"/>
      <c r="DTK21" s="1280"/>
      <c r="DTL21" s="1280"/>
      <c r="DTM21" s="1280"/>
      <c r="DTN21" s="1280"/>
      <c r="DTO21" s="1280"/>
      <c r="DTP21" s="1280"/>
      <c r="DTQ21" s="1280"/>
      <c r="DTR21" s="1280"/>
      <c r="DTS21" s="1280"/>
      <c r="DTT21" s="1280"/>
      <c r="DTU21" s="1280"/>
      <c r="DTV21" s="1280"/>
      <c r="DTW21" s="1280"/>
      <c r="DTX21" s="1280"/>
      <c r="DTY21" s="1280"/>
      <c r="DTZ21" s="1280"/>
      <c r="DUA21" s="1280"/>
      <c r="DUB21" s="1280"/>
      <c r="DUC21" s="1280"/>
      <c r="DUD21" s="1280"/>
      <c r="DUE21" s="1280"/>
      <c r="DUF21" s="1280"/>
      <c r="DUG21" s="1280"/>
      <c r="DUH21" s="1280"/>
      <c r="DUI21" s="1280"/>
      <c r="DUJ21" s="1280"/>
      <c r="DUK21" s="1280"/>
      <c r="DUL21" s="1280"/>
      <c r="DUM21" s="1280"/>
      <c r="DUN21" s="1280"/>
      <c r="DUO21" s="1280"/>
      <c r="DUP21" s="1280"/>
      <c r="DUQ21" s="1280"/>
      <c r="DUR21" s="1280"/>
      <c r="DUS21" s="1280"/>
      <c r="DUT21" s="1280"/>
      <c r="DUU21" s="1280"/>
      <c r="DUV21" s="1280"/>
      <c r="DUW21" s="1280"/>
      <c r="DUX21" s="1280"/>
      <c r="DUY21" s="1280"/>
      <c r="DUZ21" s="1280"/>
      <c r="DVA21" s="1280"/>
      <c r="DVB21" s="1280"/>
      <c r="DVC21" s="1280"/>
      <c r="DVD21" s="1280"/>
      <c r="DVE21" s="1280"/>
      <c r="DVF21" s="1280"/>
      <c r="DVG21" s="1280"/>
      <c r="DVH21" s="1280"/>
      <c r="DVI21" s="1280"/>
      <c r="DVJ21" s="1280"/>
      <c r="DVK21" s="1280"/>
      <c r="DVL21" s="1280"/>
      <c r="DVM21" s="1280"/>
      <c r="DVN21" s="1280"/>
      <c r="DVO21" s="1280"/>
      <c r="DVP21" s="1280"/>
      <c r="DVQ21" s="1280"/>
      <c r="DVR21" s="1280"/>
      <c r="DVS21" s="1280"/>
      <c r="DVT21" s="1280"/>
      <c r="DVU21" s="1280"/>
      <c r="DVV21" s="1280"/>
      <c r="DVW21" s="1280"/>
      <c r="DVX21" s="1280"/>
      <c r="DVY21" s="1280"/>
      <c r="DVZ21" s="1280"/>
      <c r="DWA21" s="1280"/>
      <c r="DWB21" s="1280"/>
      <c r="DWC21" s="1280"/>
      <c r="DWD21" s="1280"/>
      <c r="DWE21" s="1280"/>
      <c r="DWF21" s="1280"/>
      <c r="DWG21" s="1280"/>
      <c r="DWH21" s="1280"/>
      <c r="DWI21" s="1280"/>
      <c r="DWJ21" s="1280"/>
      <c r="DWK21" s="1280"/>
      <c r="DWL21" s="1280"/>
      <c r="DWM21" s="1280"/>
      <c r="DWN21" s="1280"/>
      <c r="DWO21" s="1280"/>
      <c r="DWP21" s="1280"/>
      <c r="DWQ21" s="1280"/>
      <c r="DWR21" s="1280"/>
      <c r="DWS21" s="1280"/>
      <c r="DWT21" s="1280"/>
      <c r="DWU21" s="1280"/>
      <c r="DWV21" s="1280"/>
      <c r="DWW21" s="1280"/>
      <c r="DWX21" s="1280"/>
      <c r="DWY21" s="1280"/>
      <c r="DWZ21" s="1280"/>
      <c r="DXA21" s="1280"/>
      <c r="DXB21" s="1280"/>
      <c r="DXC21" s="1280"/>
      <c r="DXD21" s="1280"/>
      <c r="DXE21" s="1280"/>
      <c r="DXF21" s="1280"/>
      <c r="DXG21" s="1280"/>
      <c r="DXH21" s="1280"/>
      <c r="DXI21" s="1280"/>
      <c r="DXJ21" s="1280"/>
      <c r="DXK21" s="1280"/>
      <c r="DXL21" s="1280"/>
      <c r="DXM21" s="1280"/>
      <c r="DXN21" s="1280"/>
      <c r="DXO21" s="1280"/>
      <c r="DXP21" s="1280"/>
      <c r="DXQ21" s="1280"/>
      <c r="DXR21" s="1280"/>
      <c r="DXS21" s="1280"/>
      <c r="DXT21" s="1280"/>
      <c r="DXU21" s="1280"/>
      <c r="DXV21" s="1280"/>
      <c r="DXW21" s="1280"/>
      <c r="DXX21" s="1280"/>
      <c r="DXY21" s="1280"/>
      <c r="DXZ21" s="1280"/>
      <c r="DYA21" s="1280"/>
      <c r="DYB21" s="1280"/>
      <c r="DYC21" s="1280"/>
      <c r="DYD21" s="1280"/>
      <c r="DYE21" s="1280"/>
      <c r="DYF21" s="1280"/>
      <c r="DYG21" s="1280"/>
      <c r="DYH21" s="1280"/>
      <c r="DYI21" s="1280"/>
      <c r="DYJ21" s="1280"/>
      <c r="DYK21" s="1280"/>
      <c r="DYL21" s="1280"/>
      <c r="DYM21" s="1280"/>
      <c r="DYN21" s="1280"/>
      <c r="DYO21" s="1280"/>
      <c r="DYP21" s="1280"/>
      <c r="DYQ21" s="1280"/>
      <c r="DYR21" s="1280"/>
      <c r="DYS21" s="1280"/>
      <c r="DYT21" s="1280"/>
      <c r="DYU21" s="1280"/>
      <c r="DYV21" s="1280"/>
      <c r="DYW21" s="1280"/>
      <c r="DYX21" s="1280"/>
      <c r="DYY21" s="1280"/>
      <c r="DYZ21" s="1280"/>
      <c r="DZA21" s="1280"/>
      <c r="DZB21" s="1280"/>
      <c r="DZC21" s="1280"/>
      <c r="DZD21" s="1280"/>
      <c r="DZE21" s="1280"/>
      <c r="DZF21" s="1280"/>
      <c r="DZG21" s="1280"/>
      <c r="DZH21" s="1280"/>
      <c r="DZI21" s="1280"/>
      <c r="DZJ21" s="1280"/>
      <c r="DZK21" s="1280"/>
      <c r="DZL21" s="1280"/>
      <c r="DZM21" s="1280"/>
      <c r="DZN21" s="1280"/>
      <c r="DZO21" s="1280"/>
      <c r="DZP21" s="1280"/>
      <c r="DZQ21" s="1280"/>
      <c r="DZR21" s="1280"/>
      <c r="DZS21" s="1280"/>
      <c r="DZT21" s="1280"/>
      <c r="DZU21" s="1280"/>
      <c r="DZV21" s="1280"/>
      <c r="DZW21" s="1280"/>
      <c r="DZX21" s="1280"/>
      <c r="DZY21" s="1280"/>
      <c r="DZZ21" s="1280"/>
      <c r="EAA21" s="1280"/>
      <c r="EAB21" s="1280"/>
      <c r="EAC21" s="1280"/>
      <c r="EAD21" s="1280"/>
      <c r="EAE21" s="1280"/>
      <c r="EAF21" s="1280"/>
      <c r="EAG21" s="1280"/>
      <c r="EAH21" s="1280"/>
      <c r="EAI21" s="1280"/>
      <c r="EAJ21" s="1280"/>
      <c r="EAK21" s="1280"/>
      <c r="EAL21" s="1280"/>
      <c r="EAM21" s="1280"/>
      <c r="EAN21" s="1280"/>
      <c r="EAO21" s="1280"/>
      <c r="EAP21" s="1280"/>
      <c r="EAQ21" s="1280"/>
      <c r="EAR21" s="1280"/>
      <c r="EAS21" s="1280"/>
      <c r="EAT21" s="1280"/>
      <c r="EAU21" s="1280"/>
      <c r="EAV21" s="1280"/>
      <c r="EAW21" s="1280"/>
      <c r="EAX21" s="1280"/>
      <c r="EAY21" s="1280"/>
      <c r="EAZ21" s="1280"/>
      <c r="EBA21" s="1280"/>
      <c r="EBB21" s="1280"/>
      <c r="EBC21" s="1280"/>
      <c r="EBD21" s="1280"/>
      <c r="EBE21" s="1280"/>
      <c r="EBF21" s="1280"/>
      <c r="EBG21" s="1280"/>
      <c r="EBH21" s="1280"/>
      <c r="EBI21" s="1280"/>
      <c r="EBJ21" s="1280"/>
      <c r="EBK21" s="1280"/>
      <c r="EBL21" s="1280"/>
      <c r="EBM21" s="1280"/>
      <c r="EBN21" s="1280"/>
      <c r="EBO21" s="1280"/>
      <c r="EBP21" s="1280"/>
      <c r="EBQ21" s="1280"/>
      <c r="EBR21" s="1280"/>
      <c r="EBS21" s="1280"/>
      <c r="EBT21" s="1280"/>
      <c r="EBU21" s="1280"/>
      <c r="EBV21" s="1280"/>
      <c r="EBW21" s="1280"/>
      <c r="EBX21" s="1280"/>
      <c r="EBY21" s="1280"/>
      <c r="EBZ21" s="1280"/>
      <c r="ECA21" s="1280"/>
      <c r="ECB21" s="1280"/>
      <c r="ECC21" s="1280"/>
      <c r="ECD21" s="1280"/>
      <c r="ECE21" s="1280"/>
      <c r="ECF21" s="1280"/>
      <c r="ECG21" s="1280"/>
      <c r="ECH21" s="1280"/>
      <c r="ECI21" s="1280"/>
      <c r="ECJ21" s="1280"/>
      <c r="ECK21" s="1280"/>
      <c r="ECL21" s="1280"/>
      <c r="ECM21" s="1280"/>
      <c r="ECN21" s="1280"/>
      <c r="ECO21" s="1280"/>
      <c r="ECP21" s="1280"/>
      <c r="ECQ21" s="1280"/>
      <c r="ECR21" s="1280"/>
      <c r="ECS21" s="1280"/>
      <c r="ECT21" s="1280"/>
      <c r="ECU21" s="1280"/>
      <c r="ECV21" s="1280"/>
      <c r="ECW21" s="1280"/>
      <c r="ECX21" s="1280"/>
      <c r="ECY21" s="1280"/>
      <c r="ECZ21" s="1280"/>
      <c r="EDA21" s="1280"/>
      <c r="EDB21" s="1280"/>
      <c r="EDC21" s="1280"/>
      <c r="EDD21" s="1280"/>
      <c r="EDE21" s="1280"/>
      <c r="EDF21" s="1280"/>
      <c r="EDG21" s="1280"/>
      <c r="EDH21" s="1280"/>
      <c r="EDI21" s="1280"/>
      <c r="EDJ21" s="1280"/>
      <c r="EDK21" s="1280"/>
      <c r="EDL21" s="1280"/>
      <c r="EDM21" s="1280"/>
      <c r="EDN21" s="1280"/>
      <c r="EDO21" s="1280"/>
      <c r="EDP21" s="1280"/>
      <c r="EDQ21" s="1280"/>
      <c r="EDR21" s="1280"/>
      <c r="EDS21" s="1280"/>
      <c r="EDT21" s="1280"/>
      <c r="EDU21" s="1280"/>
      <c r="EDV21" s="1280"/>
      <c r="EDW21" s="1280"/>
      <c r="EDX21" s="1280"/>
      <c r="EDY21" s="1280"/>
      <c r="EDZ21" s="1280"/>
      <c r="EEA21" s="1280"/>
      <c r="EEB21" s="1280"/>
      <c r="EEC21" s="1280"/>
      <c r="EED21" s="1280"/>
      <c r="EEE21" s="1280"/>
      <c r="EEF21" s="1280"/>
      <c r="EEG21" s="1280"/>
      <c r="EEH21" s="1280"/>
      <c r="EEI21" s="1280"/>
      <c r="EEJ21" s="1280"/>
      <c r="EEK21" s="1280"/>
      <c r="EEL21" s="1280"/>
      <c r="EEM21" s="1280"/>
      <c r="EEN21" s="1280"/>
      <c r="EEO21" s="1280"/>
      <c r="EEP21" s="1280"/>
      <c r="EEQ21" s="1280"/>
      <c r="EER21" s="1280"/>
      <c r="EES21" s="1280"/>
      <c r="EET21" s="1280"/>
      <c r="EEU21" s="1280"/>
      <c r="EEV21" s="1280"/>
      <c r="EEW21" s="1280"/>
      <c r="EEX21" s="1280"/>
      <c r="EEY21" s="1280"/>
      <c r="EEZ21" s="1280"/>
      <c r="EFA21" s="1280"/>
      <c r="EFB21" s="1280"/>
      <c r="EFC21" s="1280"/>
      <c r="EFD21" s="1280"/>
      <c r="EFE21" s="1280"/>
      <c r="EFF21" s="1280"/>
      <c r="EFG21" s="1280"/>
      <c r="EFH21" s="1280"/>
      <c r="EFI21" s="1280"/>
      <c r="EFJ21" s="1280"/>
      <c r="EFK21" s="1280"/>
      <c r="EFL21" s="1280"/>
      <c r="EFM21" s="1280"/>
      <c r="EFN21" s="1280"/>
      <c r="EFO21" s="1280"/>
      <c r="EFP21" s="1280"/>
      <c r="EFQ21" s="1280"/>
      <c r="EFR21" s="1280"/>
      <c r="EFS21" s="1280"/>
      <c r="EFT21" s="1280"/>
      <c r="EFU21" s="1280"/>
      <c r="EFV21" s="1280"/>
      <c r="EFW21" s="1280"/>
      <c r="EFX21" s="1280"/>
      <c r="EFY21" s="1280"/>
      <c r="EFZ21" s="1280"/>
      <c r="EGA21" s="1280"/>
      <c r="EGB21" s="1280"/>
      <c r="EGC21" s="1280"/>
      <c r="EGD21" s="1280"/>
      <c r="EGE21" s="1280"/>
      <c r="EGF21" s="1280"/>
      <c r="EGG21" s="1280"/>
      <c r="EGH21" s="1280"/>
      <c r="EGI21" s="1280"/>
      <c r="EGJ21" s="1280"/>
      <c r="EGK21" s="1280"/>
      <c r="EGL21" s="1280"/>
      <c r="EGM21" s="1280"/>
      <c r="EGN21" s="1280"/>
      <c r="EGO21" s="1280"/>
      <c r="EGP21" s="1280"/>
      <c r="EGQ21" s="1280"/>
      <c r="EGR21" s="1280"/>
      <c r="EGS21" s="1280"/>
      <c r="EGT21" s="1280"/>
      <c r="EGU21" s="1280"/>
      <c r="EGV21" s="1280"/>
      <c r="EGW21" s="1280"/>
      <c r="EGX21" s="1280"/>
      <c r="EGY21" s="1280"/>
      <c r="EGZ21" s="1280"/>
      <c r="EHA21" s="1280"/>
      <c r="EHB21" s="1280"/>
      <c r="EHC21" s="1280"/>
      <c r="EHD21" s="1280"/>
      <c r="EHE21" s="1280"/>
      <c r="EHF21" s="1280"/>
      <c r="EHG21" s="1280"/>
      <c r="EHH21" s="1280"/>
      <c r="EHI21" s="1280"/>
      <c r="EHJ21" s="1280"/>
      <c r="EHK21" s="1280"/>
      <c r="EHL21" s="1280"/>
      <c r="EHM21" s="1280"/>
      <c r="EHN21" s="1280"/>
      <c r="EHO21" s="1280"/>
      <c r="EHP21" s="1280"/>
      <c r="EHQ21" s="1280"/>
      <c r="EHR21" s="1280"/>
      <c r="EHS21" s="1280"/>
      <c r="EHT21" s="1280"/>
      <c r="EHU21" s="1280"/>
      <c r="EHV21" s="1280"/>
      <c r="EHW21" s="1280"/>
      <c r="EHX21" s="1280"/>
      <c r="EHY21" s="1280"/>
      <c r="EHZ21" s="1280"/>
      <c r="EIA21" s="1280"/>
      <c r="EIB21" s="1280"/>
      <c r="EIC21" s="1280"/>
      <c r="EID21" s="1280"/>
      <c r="EIE21" s="1280"/>
      <c r="EIF21" s="1280"/>
      <c r="EIG21" s="1280"/>
      <c r="EIH21" s="1280"/>
      <c r="EII21" s="1280"/>
      <c r="EIJ21" s="1280"/>
      <c r="EIK21" s="1280"/>
      <c r="EIL21" s="1280"/>
      <c r="EIM21" s="1280"/>
      <c r="EIN21" s="1280"/>
      <c r="EIO21" s="1280"/>
      <c r="EIP21" s="1280"/>
      <c r="EIQ21" s="1280"/>
      <c r="EIR21" s="1280"/>
      <c r="EIS21" s="1280"/>
      <c r="EIT21" s="1280"/>
      <c r="EIU21" s="1280"/>
      <c r="EIV21" s="1280"/>
      <c r="EIW21" s="1280"/>
      <c r="EIX21" s="1280"/>
      <c r="EIY21" s="1280"/>
      <c r="EIZ21" s="1280"/>
      <c r="EJA21" s="1280"/>
      <c r="EJB21" s="1280"/>
      <c r="EJC21" s="1280"/>
      <c r="EJD21" s="1280"/>
      <c r="EJE21" s="1280"/>
      <c r="EJF21" s="1280"/>
      <c r="EJG21" s="1280"/>
      <c r="EJH21" s="1280"/>
      <c r="EJI21" s="1280"/>
      <c r="EJJ21" s="1280"/>
      <c r="EJK21" s="1280"/>
      <c r="EJL21" s="1280"/>
      <c r="EJM21" s="1280"/>
      <c r="EJN21" s="1280"/>
      <c r="EJO21" s="1280"/>
      <c r="EJP21" s="1280"/>
      <c r="EJQ21" s="1280"/>
      <c r="EJR21" s="1280"/>
      <c r="EJS21" s="1280"/>
      <c r="EJT21" s="1280"/>
      <c r="EJU21" s="1280"/>
      <c r="EJV21" s="1280"/>
      <c r="EJW21" s="1280"/>
      <c r="EJX21" s="1280"/>
      <c r="EJY21" s="1280"/>
      <c r="EJZ21" s="1280"/>
      <c r="EKA21" s="1280"/>
      <c r="EKB21" s="1280"/>
      <c r="EKC21" s="1280"/>
      <c r="EKD21" s="1280"/>
      <c r="EKE21" s="1280"/>
      <c r="EKF21" s="1280"/>
      <c r="EKG21" s="1280"/>
      <c r="EKH21" s="1280"/>
      <c r="EKI21" s="1280"/>
      <c r="EKJ21" s="1280"/>
      <c r="EKK21" s="1280"/>
      <c r="EKL21" s="1280"/>
      <c r="EKM21" s="1280"/>
      <c r="EKN21" s="1280"/>
      <c r="EKO21" s="1280"/>
      <c r="EKP21" s="1280"/>
      <c r="EKQ21" s="1280"/>
      <c r="EKR21" s="1280"/>
      <c r="EKS21" s="1280"/>
      <c r="EKT21" s="1280"/>
      <c r="EKU21" s="1280"/>
      <c r="EKV21" s="1280"/>
      <c r="EKW21" s="1280"/>
      <c r="EKX21" s="1280"/>
      <c r="EKY21" s="1280"/>
      <c r="EKZ21" s="1280"/>
      <c r="ELA21" s="1280"/>
      <c r="ELB21" s="1280"/>
      <c r="ELC21" s="1280"/>
      <c r="ELD21" s="1280"/>
      <c r="ELE21" s="1280"/>
      <c r="ELF21" s="1280"/>
      <c r="ELG21" s="1280"/>
      <c r="ELH21" s="1280"/>
      <c r="ELI21" s="1280"/>
      <c r="ELJ21" s="1280"/>
      <c r="ELK21" s="1280"/>
      <c r="ELL21" s="1280"/>
      <c r="ELM21" s="1280"/>
      <c r="ELN21" s="1280"/>
      <c r="ELO21" s="1280"/>
      <c r="ELP21" s="1280"/>
      <c r="ELQ21" s="1280"/>
      <c r="ELR21" s="1280"/>
      <c r="ELS21" s="1280"/>
      <c r="ELT21" s="1280"/>
      <c r="ELU21" s="1280"/>
      <c r="ELV21" s="1280"/>
      <c r="ELW21" s="1280"/>
      <c r="ELX21" s="1280"/>
      <c r="ELY21" s="1280"/>
      <c r="ELZ21" s="1280"/>
      <c r="EMA21" s="1280"/>
      <c r="EMB21" s="1280"/>
      <c r="EMC21" s="1280"/>
      <c r="EMD21" s="1280"/>
      <c r="EME21" s="1280"/>
      <c r="EMF21" s="1280"/>
      <c r="EMG21" s="1280"/>
      <c r="EMH21" s="1280"/>
      <c r="EMI21" s="1280"/>
      <c r="EMJ21" s="1280"/>
      <c r="EMK21" s="1280"/>
      <c r="EML21" s="1280"/>
      <c r="EMM21" s="1280"/>
      <c r="EMN21" s="1280"/>
      <c r="EMO21" s="1280"/>
      <c r="EMP21" s="1280"/>
      <c r="EMQ21" s="1280"/>
      <c r="EMR21" s="1280"/>
      <c r="EMS21" s="1280"/>
      <c r="EMT21" s="1280"/>
      <c r="EMU21" s="1280"/>
      <c r="EMV21" s="1280"/>
      <c r="EMW21" s="1280"/>
      <c r="EMX21" s="1280"/>
      <c r="EMY21" s="1280"/>
      <c r="EMZ21" s="1280"/>
      <c r="ENA21" s="1280"/>
      <c r="ENB21" s="1280"/>
      <c r="ENC21" s="1280"/>
      <c r="END21" s="1280"/>
      <c r="ENE21" s="1280"/>
      <c r="ENF21" s="1280"/>
      <c r="ENG21" s="1280"/>
      <c r="ENH21" s="1280"/>
      <c r="ENI21" s="1280"/>
      <c r="ENJ21" s="1280"/>
      <c r="ENK21" s="1280"/>
      <c r="ENL21" s="1280"/>
      <c r="ENM21" s="1280"/>
      <c r="ENN21" s="1280"/>
      <c r="ENO21" s="1280"/>
      <c r="ENP21" s="1280"/>
      <c r="ENQ21" s="1280"/>
      <c r="ENR21" s="1280"/>
      <c r="ENS21" s="1280"/>
      <c r="ENT21" s="1280"/>
      <c r="ENU21" s="1280"/>
      <c r="ENV21" s="1280"/>
      <c r="ENW21" s="1280"/>
      <c r="ENX21" s="1280"/>
      <c r="ENY21" s="1280"/>
      <c r="ENZ21" s="1280"/>
      <c r="EOA21" s="1280"/>
      <c r="EOB21" s="1280"/>
      <c r="EOC21" s="1280"/>
      <c r="EOD21" s="1280"/>
      <c r="EOE21" s="1280"/>
      <c r="EOF21" s="1280"/>
      <c r="EOG21" s="1280"/>
      <c r="EOH21" s="1280"/>
      <c r="EOI21" s="1280"/>
      <c r="EOJ21" s="1280"/>
      <c r="EOK21" s="1280"/>
      <c r="EOL21" s="1280"/>
      <c r="EOM21" s="1280"/>
      <c r="EON21" s="1280"/>
      <c r="EOO21" s="1280"/>
      <c r="EOP21" s="1280"/>
      <c r="EOQ21" s="1280"/>
      <c r="EOR21" s="1280"/>
      <c r="EOS21" s="1280"/>
      <c r="EOT21" s="1280"/>
      <c r="EOU21" s="1280"/>
      <c r="EOV21" s="1280"/>
      <c r="EOW21" s="1280"/>
      <c r="EOX21" s="1280"/>
      <c r="EOY21" s="1280"/>
      <c r="EOZ21" s="1280"/>
      <c r="EPA21" s="1280"/>
      <c r="EPB21" s="1280"/>
      <c r="EPC21" s="1280"/>
      <c r="EPD21" s="1280"/>
      <c r="EPE21" s="1280"/>
      <c r="EPF21" s="1280"/>
      <c r="EPG21" s="1280"/>
      <c r="EPH21" s="1280"/>
      <c r="EPI21" s="1280"/>
      <c r="EPJ21" s="1280"/>
      <c r="EPK21" s="1280"/>
      <c r="EPL21" s="1280"/>
      <c r="EPM21" s="1280"/>
      <c r="EPN21" s="1280"/>
      <c r="EPO21" s="1280"/>
      <c r="EPP21" s="1280"/>
      <c r="EPQ21" s="1280"/>
      <c r="EPR21" s="1280"/>
      <c r="EPS21" s="1280"/>
      <c r="EPT21" s="1280"/>
      <c r="EPU21" s="1280"/>
      <c r="EPV21" s="1280"/>
      <c r="EPW21" s="1280"/>
      <c r="EPX21" s="1280"/>
      <c r="EPY21" s="1280"/>
      <c r="EPZ21" s="1280"/>
      <c r="EQA21" s="1280"/>
      <c r="EQB21" s="1280"/>
      <c r="EQC21" s="1280"/>
      <c r="EQD21" s="1280"/>
      <c r="EQE21" s="1280"/>
      <c r="EQF21" s="1280"/>
      <c r="EQG21" s="1280"/>
      <c r="EQH21" s="1280"/>
      <c r="EQI21" s="1280"/>
      <c r="EQJ21" s="1280"/>
      <c r="EQK21" s="1280"/>
      <c r="EQL21" s="1280"/>
      <c r="EQM21" s="1280"/>
      <c r="EQN21" s="1280"/>
      <c r="EQO21" s="1280"/>
      <c r="EQP21" s="1280"/>
      <c r="EQQ21" s="1280"/>
      <c r="EQR21" s="1280"/>
      <c r="EQS21" s="1280"/>
      <c r="EQT21" s="1280"/>
      <c r="EQU21" s="1280"/>
      <c r="EQV21" s="1280"/>
      <c r="EQW21" s="1280"/>
      <c r="EQX21" s="1280"/>
      <c r="EQY21" s="1280"/>
      <c r="EQZ21" s="1280"/>
      <c r="ERA21" s="1280"/>
      <c r="ERB21" s="1280"/>
      <c r="ERC21" s="1280"/>
      <c r="ERD21" s="1280"/>
      <c r="ERE21" s="1280"/>
      <c r="ERF21" s="1280"/>
      <c r="ERG21" s="1280"/>
      <c r="ERH21" s="1280"/>
      <c r="ERI21" s="1280"/>
      <c r="ERJ21" s="1280"/>
      <c r="ERK21" s="1280"/>
      <c r="ERL21" s="1280"/>
      <c r="ERM21" s="1280"/>
      <c r="ERN21" s="1280"/>
      <c r="ERO21" s="1280"/>
      <c r="ERP21" s="1280"/>
      <c r="ERQ21" s="1280"/>
      <c r="ERR21" s="1280"/>
      <c r="ERS21" s="1280"/>
      <c r="ERT21" s="1280"/>
      <c r="ERU21" s="1280"/>
      <c r="ERV21" s="1280"/>
      <c r="ERW21" s="1280"/>
      <c r="ERX21" s="1280"/>
      <c r="ERY21" s="1280"/>
      <c r="ERZ21" s="1280"/>
      <c r="ESA21" s="1280"/>
      <c r="ESB21" s="1280"/>
      <c r="ESC21" s="1280"/>
      <c r="ESD21" s="1280"/>
      <c r="ESE21" s="1280"/>
      <c r="ESF21" s="1280"/>
      <c r="ESG21" s="1280"/>
      <c r="ESH21" s="1280"/>
      <c r="ESI21" s="1280"/>
      <c r="ESJ21" s="1280"/>
      <c r="ESK21" s="1280"/>
      <c r="ESL21" s="1280"/>
      <c r="ESM21" s="1280"/>
      <c r="ESN21" s="1280"/>
      <c r="ESO21" s="1280"/>
      <c r="ESP21" s="1280"/>
      <c r="ESQ21" s="1280"/>
      <c r="ESR21" s="1280"/>
      <c r="ESS21" s="1280"/>
      <c r="EST21" s="1280"/>
      <c r="ESU21" s="1280"/>
      <c r="ESV21" s="1280"/>
      <c r="ESW21" s="1280"/>
      <c r="ESX21" s="1280"/>
      <c r="ESY21" s="1280"/>
      <c r="ESZ21" s="1280"/>
      <c r="ETA21" s="1280"/>
      <c r="ETB21" s="1280"/>
      <c r="ETC21" s="1280"/>
      <c r="ETD21" s="1280"/>
      <c r="ETE21" s="1280"/>
      <c r="ETF21" s="1280"/>
      <c r="ETG21" s="1280"/>
      <c r="ETH21" s="1280"/>
      <c r="ETI21" s="1280"/>
      <c r="ETJ21" s="1280"/>
      <c r="ETK21" s="1280"/>
      <c r="ETL21" s="1280"/>
      <c r="ETM21" s="1280"/>
      <c r="ETN21" s="1280"/>
      <c r="ETO21" s="1280"/>
      <c r="ETP21" s="1280"/>
      <c r="ETQ21" s="1280"/>
      <c r="ETR21" s="1280"/>
      <c r="ETS21" s="1280"/>
      <c r="ETT21" s="1280"/>
      <c r="ETU21" s="1280"/>
      <c r="ETV21" s="1280"/>
      <c r="ETW21" s="1280"/>
      <c r="ETX21" s="1280"/>
      <c r="ETY21" s="1280"/>
      <c r="ETZ21" s="1280"/>
      <c r="EUA21" s="1280"/>
      <c r="EUB21" s="1280"/>
      <c r="EUC21" s="1280"/>
      <c r="EUD21" s="1280"/>
      <c r="EUE21" s="1280"/>
      <c r="EUF21" s="1280"/>
      <c r="EUG21" s="1280"/>
      <c r="EUH21" s="1280"/>
      <c r="EUI21" s="1280"/>
      <c r="EUJ21" s="1280"/>
      <c r="EUK21" s="1280"/>
      <c r="EUL21" s="1280"/>
      <c r="EUM21" s="1280"/>
      <c r="EUN21" s="1280"/>
      <c r="EUO21" s="1280"/>
      <c r="EUP21" s="1280"/>
      <c r="EUQ21" s="1280"/>
      <c r="EUR21" s="1280"/>
      <c r="EUS21" s="1280"/>
      <c r="EUT21" s="1280"/>
      <c r="EUU21" s="1280"/>
      <c r="EUV21" s="1280"/>
      <c r="EUW21" s="1280"/>
      <c r="EUX21" s="1280"/>
      <c r="EUY21" s="1280"/>
      <c r="EUZ21" s="1280"/>
      <c r="EVA21" s="1280"/>
      <c r="EVB21" s="1280"/>
      <c r="EVC21" s="1280"/>
      <c r="EVD21" s="1280"/>
      <c r="EVE21" s="1280"/>
      <c r="EVF21" s="1280"/>
      <c r="EVG21" s="1280"/>
      <c r="EVH21" s="1280"/>
      <c r="EVI21" s="1280"/>
      <c r="EVJ21" s="1280"/>
      <c r="EVK21" s="1280"/>
      <c r="EVL21" s="1280"/>
      <c r="EVM21" s="1280"/>
      <c r="EVN21" s="1280"/>
      <c r="EVO21" s="1280"/>
      <c r="EVP21" s="1280"/>
      <c r="EVQ21" s="1280"/>
      <c r="EVR21" s="1280"/>
      <c r="EVS21" s="1280"/>
      <c r="EVT21" s="1280"/>
      <c r="EVU21" s="1280"/>
      <c r="EVV21" s="1280"/>
      <c r="EVW21" s="1280"/>
      <c r="EVX21" s="1280"/>
      <c r="EVY21" s="1280"/>
      <c r="EVZ21" s="1280"/>
      <c r="EWA21" s="1280"/>
      <c r="EWB21" s="1280"/>
      <c r="EWC21" s="1280"/>
      <c r="EWD21" s="1280"/>
      <c r="EWE21" s="1280"/>
      <c r="EWF21" s="1280"/>
      <c r="EWG21" s="1280"/>
      <c r="EWH21" s="1280"/>
      <c r="EWI21" s="1280"/>
      <c r="EWJ21" s="1280"/>
      <c r="EWK21" s="1280"/>
      <c r="EWL21" s="1280"/>
      <c r="EWM21" s="1280"/>
      <c r="EWN21" s="1280"/>
      <c r="EWO21" s="1280"/>
      <c r="EWP21" s="1280"/>
      <c r="EWQ21" s="1280"/>
      <c r="EWR21" s="1280"/>
      <c r="EWS21" s="1280"/>
      <c r="EWT21" s="1280"/>
      <c r="EWU21" s="1280"/>
      <c r="EWV21" s="1280"/>
      <c r="EWW21" s="1280"/>
      <c r="EWX21" s="1280"/>
      <c r="EWY21" s="1280"/>
      <c r="EWZ21" s="1280"/>
      <c r="EXA21" s="1280"/>
      <c r="EXB21" s="1280"/>
      <c r="EXC21" s="1280"/>
      <c r="EXD21" s="1280"/>
      <c r="EXE21" s="1280"/>
      <c r="EXF21" s="1280"/>
      <c r="EXG21" s="1280"/>
      <c r="EXH21" s="1280"/>
      <c r="EXI21" s="1280"/>
      <c r="EXJ21" s="1280"/>
      <c r="EXK21" s="1280"/>
      <c r="EXL21" s="1280"/>
      <c r="EXM21" s="1280"/>
      <c r="EXN21" s="1280"/>
      <c r="EXO21" s="1280"/>
      <c r="EXP21" s="1280"/>
      <c r="EXQ21" s="1280"/>
      <c r="EXR21" s="1280"/>
      <c r="EXS21" s="1280"/>
      <c r="EXT21" s="1280"/>
      <c r="EXU21" s="1280"/>
      <c r="EXV21" s="1280"/>
      <c r="EXW21" s="1280"/>
      <c r="EXX21" s="1280"/>
      <c r="EXY21" s="1280"/>
      <c r="EXZ21" s="1280"/>
      <c r="EYA21" s="1280"/>
      <c r="EYB21" s="1280"/>
      <c r="EYC21" s="1280"/>
      <c r="EYD21" s="1280"/>
      <c r="EYE21" s="1280"/>
      <c r="EYF21" s="1280"/>
      <c r="EYG21" s="1280"/>
      <c r="EYH21" s="1280"/>
      <c r="EYI21" s="1280"/>
      <c r="EYJ21" s="1280"/>
      <c r="EYK21" s="1280"/>
      <c r="EYL21" s="1280"/>
      <c r="EYM21" s="1280"/>
      <c r="EYN21" s="1280"/>
      <c r="EYO21" s="1280"/>
      <c r="EYP21" s="1280"/>
      <c r="EYQ21" s="1280"/>
      <c r="EYR21" s="1280"/>
      <c r="EYS21" s="1280"/>
      <c r="EYT21" s="1280"/>
      <c r="EYU21" s="1280"/>
      <c r="EYV21" s="1280"/>
      <c r="EYW21" s="1280"/>
      <c r="EYX21" s="1280"/>
      <c r="EYY21" s="1280"/>
      <c r="EYZ21" s="1280"/>
      <c r="EZA21" s="1280"/>
      <c r="EZB21" s="1280"/>
      <c r="EZC21" s="1280"/>
      <c r="EZD21" s="1280"/>
      <c r="EZE21" s="1280"/>
      <c r="EZF21" s="1280"/>
      <c r="EZG21" s="1280"/>
      <c r="EZH21" s="1280"/>
      <c r="EZI21" s="1280"/>
      <c r="EZJ21" s="1280"/>
      <c r="EZK21" s="1280"/>
      <c r="EZL21" s="1280"/>
      <c r="EZM21" s="1280"/>
      <c r="EZN21" s="1280"/>
      <c r="EZO21" s="1280"/>
      <c r="EZP21" s="1280"/>
      <c r="EZQ21" s="1280"/>
      <c r="EZR21" s="1280"/>
      <c r="EZS21" s="1280"/>
      <c r="EZT21" s="1280"/>
      <c r="EZU21" s="1280"/>
      <c r="EZV21" s="1280"/>
      <c r="EZW21" s="1280"/>
      <c r="EZX21" s="1280"/>
      <c r="EZY21" s="1280"/>
      <c r="EZZ21" s="1280"/>
      <c r="FAA21" s="1280"/>
      <c r="FAB21" s="1280"/>
      <c r="FAC21" s="1280"/>
      <c r="FAD21" s="1280"/>
      <c r="FAE21" s="1280"/>
      <c r="FAF21" s="1280"/>
      <c r="FAG21" s="1280"/>
      <c r="FAH21" s="1280"/>
      <c r="FAI21" s="1280"/>
      <c r="FAJ21" s="1280"/>
      <c r="FAK21" s="1280"/>
      <c r="FAL21" s="1280"/>
      <c r="FAM21" s="1280"/>
      <c r="FAN21" s="1280"/>
      <c r="FAO21" s="1280"/>
      <c r="FAP21" s="1280"/>
      <c r="FAQ21" s="1280"/>
      <c r="FAR21" s="1280"/>
      <c r="FAS21" s="1280"/>
      <c r="FAT21" s="1280"/>
      <c r="FAU21" s="1280"/>
      <c r="FAV21" s="1280"/>
      <c r="FAW21" s="1280"/>
      <c r="FAX21" s="1280"/>
      <c r="FAY21" s="1280"/>
      <c r="FAZ21" s="1280"/>
      <c r="FBA21" s="1280"/>
      <c r="FBB21" s="1280"/>
      <c r="FBC21" s="1280"/>
      <c r="FBD21" s="1280"/>
      <c r="FBE21" s="1280"/>
      <c r="FBF21" s="1280"/>
      <c r="FBG21" s="1280"/>
      <c r="FBH21" s="1280"/>
      <c r="FBI21" s="1280"/>
      <c r="FBJ21" s="1280"/>
      <c r="FBK21" s="1280"/>
      <c r="FBL21" s="1280"/>
      <c r="FBM21" s="1280"/>
      <c r="FBN21" s="1280"/>
      <c r="FBO21" s="1280"/>
      <c r="FBP21" s="1280"/>
      <c r="FBQ21" s="1280"/>
      <c r="FBR21" s="1280"/>
      <c r="FBS21" s="1280"/>
      <c r="FBT21" s="1280"/>
      <c r="FBU21" s="1280"/>
      <c r="FBV21" s="1280"/>
      <c r="FBW21" s="1280"/>
      <c r="FBX21" s="1280"/>
      <c r="FBY21" s="1280"/>
      <c r="FBZ21" s="1280"/>
      <c r="FCA21" s="1280"/>
      <c r="FCB21" s="1280"/>
      <c r="FCC21" s="1280"/>
      <c r="FCD21" s="1280"/>
      <c r="FCE21" s="1280"/>
      <c r="FCF21" s="1280"/>
      <c r="FCG21" s="1280"/>
      <c r="FCH21" s="1280"/>
      <c r="FCI21" s="1280"/>
      <c r="FCJ21" s="1280"/>
      <c r="FCK21" s="1280"/>
      <c r="FCL21" s="1280"/>
      <c r="FCM21" s="1280"/>
      <c r="FCN21" s="1280"/>
      <c r="FCO21" s="1280"/>
      <c r="FCP21" s="1280"/>
      <c r="FCQ21" s="1280"/>
      <c r="FCR21" s="1280"/>
      <c r="FCS21" s="1280"/>
      <c r="FCT21" s="1280"/>
      <c r="FCU21" s="1280"/>
      <c r="FCV21" s="1280"/>
      <c r="FCW21" s="1280"/>
      <c r="FCX21" s="1280"/>
      <c r="FCY21" s="1280"/>
      <c r="FCZ21" s="1280"/>
      <c r="FDA21" s="1280"/>
      <c r="FDB21" s="1280"/>
      <c r="FDC21" s="1280"/>
      <c r="FDD21" s="1280"/>
      <c r="FDE21" s="1280"/>
      <c r="FDF21" s="1280"/>
      <c r="FDG21" s="1280"/>
      <c r="FDH21" s="1280"/>
      <c r="FDI21" s="1280"/>
      <c r="FDJ21" s="1280"/>
      <c r="FDK21" s="1280"/>
      <c r="FDL21" s="1280"/>
      <c r="FDM21" s="1280"/>
      <c r="FDN21" s="1280"/>
      <c r="FDO21" s="1280"/>
      <c r="FDP21" s="1280"/>
      <c r="FDQ21" s="1280"/>
      <c r="FDR21" s="1280"/>
      <c r="FDS21" s="1280"/>
      <c r="FDT21" s="1280"/>
      <c r="FDU21" s="1280"/>
      <c r="FDV21" s="1280"/>
      <c r="FDW21" s="1280"/>
      <c r="FDX21" s="1280"/>
      <c r="FDY21" s="1280"/>
      <c r="FDZ21" s="1280"/>
      <c r="FEA21" s="1280"/>
      <c r="FEB21" s="1280"/>
      <c r="FEC21" s="1280"/>
      <c r="FED21" s="1280"/>
      <c r="FEE21" s="1280"/>
      <c r="FEF21" s="1280"/>
      <c r="FEG21" s="1280"/>
      <c r="FEH21" s="1280"/>
      <c r="FEI21" s="1280"/>
      <c r="FEJ21" s="1280"/>
      <c r="FEK21" s="1280"/>
      <c r="FEL21" s="1280"/>
      <c r="FEM21" s="1280"/>
      <c r="FEN21" s="1280"/>
      <c r="FEO21" s="1280"/>
      <c r="FEP21" s="1280"/>
      <c r="FEQ21" s="1280"/>
      <c r="FER21" s="1280"/>
      <c r="FES21" s="1280"/>
      <c r="FET21" s="1280"/>
      <c r="FEU21" s="1280"/>
      <c r="FEV21" s="1280"/>
      <c r="FEW21" s="1280"/>
      <c r="FEX21" s="1280"/>
      <c r="FEY21" s="1280"/>
      <c r="FEZ21" s="1280"/>
      <c r="FFA21" s="1280"/>
      <c r="FFB21" s="1280"/>
      <c r="FFC21" s="1280"/>
      <c r="FFD21" s="1280"/>
      <c r="FFE21" s="1280"/>
      <c r="FFF21" s="1280"/>
      <c r="FFG21" s="1280"/>
      <c r="FFH21" s="1280"/>
      <c r="FFI21" s="1280"/>
      <c r="FFJ21" s="1280"/>
      <c r="FFK21" s="1280"/>
      <c r="FFL21" s="1280"/>
      <c r="FFM21" s="1280"/>
      <c r="FFN21" s="1280"/>
      <c r="FFO21" s="1280"/>
      <c r="FFP21" s="1280"/>
      <c r="FFQ21" s="1280"/>
      <c r="FFR21" s="1280"/>
      <c r="FFS21" s="1280"/>
      <c r="FFT21" s="1280"/>
      <c r="FFU21" s="1280"/>
      <c r="FFV21" s="1280"/>
      <c r="FFW21" s="1280"/>
      <c r="FFX21" s="1280"/>
      <c r="FFY21" s="1280"/>
      <c r="FFZ21" s="1280"/>
      <c r="FGA21" s="1280"/>
      <c r="FGB21" s="1280"/>
      <c r="FGC21" s="1280"/>
      <c r="FGD21" s="1280"/>
      <c r="FGE21" s="1280"/>
      <c r="FGF21" s="1280"/>
      <c r="FGG21" s="1280"/>
      <c r="FGH21" s="1280"/>
      <c r="FGI21" s="1280"/>
      <c r="FGJ21" s="1280"/>
      <c r="FGK21" s="1280"/>
      <c r="FGL21" s="1280"/>
      <c r="FGM21" s="1280"/>
      <c r="FGN21" s="1280"/>
      <c r="FGO21" s="1280"/>
      <c r="FGP21" s="1280"/>
      <c r="FGQ21" s="1280"/>
      <c r="FGR21" s="1280"/>
      <c r="FGS21" s="1280"/>
      <c r="FGT21" s="1280"/>
      <c r="FGU21" s="1280"/>
      <c r="FGV21" s="1280"/>
      <c r="FGW21" s="1280"/>
      <c r="FGX21" s="1280"/>
      <c r="FGY21" s="1280"/>
      <c r="FGZ21" s="1280"/>
      <c r="FHA21" s="1280"/>
      <c r="FHB21" s="1280"/>
      <c r="FHC21" s="1280"/>
      <c r="FHD21" s="1280"/>
      <c r="FHE21" s="1280"/>
      <c r="FHF21" s="1280"/>
      <c r="FHG21" s="1280"/>
      <c r="FHH21" s="1280"/>
      <c r="FHI21" s="1280"/>
      <c r="FHJ21" s="1280"/>
      <c r="FHK21" s="1280"/>
      <c r="FHL21" s="1280"/>
      <c r="FHM21" s="1280"/>
      <c r="FHN21" s="1280"/>
      <c r="FHO21" s="1280"/>
      <c r="FHP21" s="1280"/>
      <c r="FHQ21" s="1280"/>
      <c r="FHR21" s="1280"/>
      <c r="FHS21" s="1280"/>
      <c r="FHT21" s="1280"/>
      <c r="FHU21" s="1280"/>
      <c r="FHV21" s="1280"/>
      <c r="FHW21" s="1280"/>
      <c r="FHX21" s="1280"/>
      <c r="FHY21" s="1280"/>
      <c r="FHZ21" s="1280"/>
      <c r="FIA21" s="1280"/>
      <c r="FIB21" s="1280"/>
      <c r="FIC21" s="1280"/>
      <c r="FID21" s="1280"/>
      <c r="FIE21" s="1280"/>
      <c r="FIF21" s="1280"/>
      <c r="FIG21" s="1280"/>
      <c r="FIH21" s="1280"/>
      <c r="FII21" s="1280"/>
      <c r="FIJ21" s="1280"/>
      <c r="FIK21" s="1280"/>
      <c r="FIL21" s="1280"/>
      <c r="FIM21" s="1280"/>
      <c r="FIN21" s="1280"/>
      <c r="FIO21" s="1280"/>
      <c r="FIP21" s="1280"/>
      <c r="FIQ21" s="1280"/>
      <c r="FIR21" s="1280"/>
      <c r="FIS21" s="1280"/>
      <c r="FIT21" s="1280"/>
      <c r="FIU21" s="1280"/>
      <c r="FIV21" s="1280"/>
      <c r="FIW21" s="1280"/>
      <c r="FIX21" s="1280"/>
      <c r="FIY21" s="1280"/>
      <c r="FIZ21" s="1280"/>
      <c r="FJA21" s="1280"/>
      <c r="FJB21" s="1280"/>
      <c r="FJC21" s="1280"/>
      <c r="FJD21" s="1280"/>
      <c r="FJE21" s="1280"/>
      <c r="FJF21" s="1280"/>
      <c r="FJG21" s="1280"/>
      <c r="FJH21" s="1280"/>
      <c r="FJI21" s="1280"/>
      <c r="FJJ21" s="1280"/>
      <c r="FJK21" s="1280"/>
      <c r="FJL21" s="1280"/>
      <c r="FJM21" s="1280"/>
      <c r="FJN21" s="1280"/>
      <c r="FJO21" s="1280"/>
      <c r="FJP21" s="1280"/>
      <c r="FJQ21" s="1280"/>
      <c r="FJR21" s="1280"/>
      <c r="FJS21" s="1280"/>
      <c r="FJT21" s="1280"/>
      <c r="FJU21" s="1280"/>
      <c r="FJV21" s="1280"/>
      <c r="FJW21" s="1280"/>
      <c r="FJX21" s="1280"/>
      <c r="FJY21" s="1280"/>
      <c r="FJZ21" s="1280"/>
      <c r="FKA21" s="1280"/>
      <c r="FKB21" s="1280"/>
      <c r="FKC21" s="1280"/>
      <c r="FKD21" s="1280"/>
      <c r="FKE21" s="1280"/>
      <c r="FKF21" s="1280"/>
      <c r="FKG21" s="1280"/>
      <c r="FKH21" s="1280"/>
      <c r="FKI21" s="1280"/>
      <c r="FKJ21" s="1280"/>
      <c r="FKK21" s="1280"/>
      <c r="FKL21" s="1280"/>
      <c r="FKM21" s="1280"/>
      <c r="FKN21" s="1280"/>
      <c r="FKO21" s="1280"/>
      <c r="FKP21" s="1280"/>
      <c r="FKQ21" s="1280"/>
      <c r="FKR21" s="1280"/>
      <c r="FKS21" s="1280"/>
      <c r="FKT21" s="1280"/>
      <c r="FKU21" s="1280"/>
      <c r="FKV21" s="1280"/>
      <c r="FKW21" s="1280"/>
      <c r="FKX21" s="1280"/>
      <c r="FKY21" s="1280"/>
      <c r="FKZ21" s="1280"/>
      <c r="FLA21" s="1280"/>
      <c r="FLB21" s="1280"/>
      <c r="FLC21" s="1280"/>
      <c r="FLD21" s="1280"/>
      <c r="FLE21" s="1280"/>
      <c r="FLF21" s="1280"/>
      <c r="FLG21" s="1280"/>
      <c r="FLH21" s="1280"/>
      <c r="FLI21" s="1280"/>
      <c r="FLJ21" s="1280"/>
      <c r="FLK21" s="1280"/>
      <c r="FLL21" s="1280"/>
      <c r="FLM21" s="1280"/>
      <c r="FLN21" s="1280"/>
      <c r="FLO21" s="1280"/>
      <c r="FLP21" s="1280"/>
      <c r="FLQ21" s="1280"/>
      <c r="FLR21" s="1280"/>
      <c r="FLS21" s="1280"/>
      <c r="FLT21" s="1280"/>
      <c r="FLU21" s="1280"/>
      <c r="FLV21" s="1280"/>
      <c r="FLW21" s="1280"/>
      <c r="FLX21" s="1280"/>
      <c r="FLY21" s="1280"/>
      <c r="FLZ21" s="1280"/>
      <c r="FMA21" s="1280"/>
      <c r="FMB21" s="1280"/>
      <c r="FMC21" s="1280"/>
      <c r="FMD21" s="1280"/>
      <c r="FME21" s="1280"/>
      <c r="FMF21" s="1280"/>
      <c r="FMG21" s="1280"/>
      <c r="FMH21" s="1280"/>
      <c r="FMI21" s="1280"/>
      <c r="FMJ21" s="1280"/>
      <c r="FMK21" s="1280"/>
      <c r="FML21" s="1280"/>
      <c r="FMM21" s="1280"/>
      <c r="FMN21" s="1280"/>
      <c r="FMO21" s="1280"/>
      <c r="FMP21" s="1280"/>
      <c r="FMQ21" s="1280"/>
      <c r="FMR21" s="1280"/>
      <c r="FMS21" s="1280"/>
      <c r="FMT21" s="1280"/>
      <c r="FMU21" s="1280"/>
      <c r="FMV21" s="1280"/>
      <c r="FMW21" s="1280"/>
      <c r="FMX21" s="1280"/>
      <c r="FMY21" s="1280"/>
      <c r="FMZ21" s="1280"/>
      <c r="FNA21" s="1280"/>
      <c r="FNB21" s="1280"/>
      <c r="FNC21" s="1280"/>
      <c r="FND21" s="1280"/>
      <c r="FNE21" s="1280"/>
      <c r="FNF21" s="1280"/>
      <c r="FNG21" s="1280"/>
      <c r="FNH21" s="1280"/>
      <c r="FNI21" s="1280"/>
      <c r="FNJ21" s="1280"/>
      <c r="FNK21" s="1280"/>
      <c r="FNL21" s="1280"/>
      <c r="FNM21" s="1280"/>
      <c r="FNN21" s="1280"/>
      <c r="FNO21" s="1280"/>
      <c r="FNP21" s="1280"/>
      <c r="FNQ21" s="1280"/>
      <c r="FNR21" s="1280"/>
      <c r="FNS21" s="1280"/>
      <c r="FNT21" s="1280"/>
      <c r="FNU21" s="1280"/>
      <c r="FNV21" s="1280"/>
      <c r="FNW21" s="1280"/>
      <c r="FNX21" s="1280"/>
      <c r="FNY21" s="1280"/>
      <c r="FNZ21" s="1280"/>
      <c r="FOA21" s="1280"/>
      <c r="FOB21" s="1280"/>
      <c r="FOC21" s="1280"/>
      <c r="FOD21" s="1280"/>
      <c r="FOE21" s="1280"/>
      <c r="FOF21" s="1280"/>
      <c r="FOG21" s="1280"/>
      <c r="FOH21" s="1280"/>
      <c r="FOI21" s="1280"/>
      <c r="FOJ21" s="1280"/>
      <c r="FOK21" s="1280"/>
      <c r="FOL21" s="1280"/>
      <c r="FOM21" s="1280"/>
      <c r="FON21" s="1280"/>
      <c r="FOO21" s="1280"/>
      <c r="FOP21" s="1280"/>
      <c r="FOQ21" s="1280"/>
      <c r="FOR21" s="1280"/>
      <c r="FOS21" s="1280"/>
      <c r="FOT21" s="1280"/>
      <c r="FOU21" s="1280"/>
      <c r="FOV21" s="1280"/>
      <c r="FOW21" s="1280"/>
      <c r="FOX21" s="1280"/>
      <c r="FOY21" s="1280"/>
      <c r="FOZ21" s="1280"/>
      <c r="FPA21" s="1280"/>
      <c r="FPB21" s="1280"/>
      <c r="FPC21" s="1280"/>
      <c r="FPD21" s="1280"/>
      <c r="FPE21" s="1280"/>
      <c r="FPF21" s="1280"/>
      <c r="FPG21" s="1280"/>
      <c r="FPH21" s="1280"/>
      <c r="FPI21" s="1280"/>
      <c r="FPJ21" s="1280"/>
      <c r="FPK21" s="1280"/>
      <c r="FPL21" s="1280"/>
      <c r="FPM21" s="1280"/>
      <c r="FPN21" s="1280"/>
      <c r="FPO21" s="1280"/>
      <c r="FPP21" s="1280"/>
      <c r="FPQ21" s="1280"/>
      <c r="FPR21" s="1280"/>
      <c r="FPS21" s="1280"/>
      <c r="FPT21" s="1280"/>
      <c r="FPU21" s="1280"/>
      <c r="FPV21" s="1280"/>
      <c r="FPW21" s="1280"/>
      <c r="FPX21" s="1280"/>
      <c r="FPY21" s="1280"/>
      <c r="FPZ21" s="1280"/>
      <c r="FQA21" s="1280"/>
      <c r="FQB21" s="1280"/>
      <c r="FQC21" s="1280"/>
      <c r="FQD21" s="1280"/>
      <c r="FQE21" s="1280"/>
      <c r="FQF21" s="1280"/>
      <c r="FQG21" s="1280"/>
      <c r="FQH21" s="1280"/>
      <c r="FQI21" s="1280"/>
      <c r="FQJ21" s="1280"/>
      <c r="FQK21" s="1280"/>
      <c r="FQL21" s="1280"/>
      <c r="FQM21" s="1280"/>
      <c r="FQN21" s="1280"/>
      <c r="FQO21" s="1280"/>
      <c r="FQP21" s="1280"/>
      <c r="FQQ21" s="1280"/>
      <c r="FQR21" s="1280"/>
      <c r="FQS21" s="1280"/>
      <c r="FQT21" s="1280"/>
      <c r="FQU21" s="1280"/>
      <c r="FQV21" s="1280"/>
      <c r="FQW21" s="1280"/>
      <c r="FQX21" s="1280"/>
      <c r="FQY21" s="1280"/>
      <c r="FQZ21" s="1280"/>
      <c r="FRA21" s="1280"/>
      <c r="FRB21" s="1280"/>
      <c r="FRC21" s="1280"/>
      <c r="FRD21" s="1280"/>
      <c r="FRE21" s="1280"/>
      <c r="FRF21" s="1280"/>
      <c r="FRG21" s="1280"/>
      <c r="FRH21" s="1280"/>
      <c r="FRI21" s="1280"/>
      <c r="FRJ21" s="1280"/>
      <c r="FRK21" s="1280"/>
      <c r="FRL21" s="1280"/>
      <c r="FRM21" s="1280"/>
      <c r="FRN21" s="1280"/>
      <c r="FRO21" s="1280"/>
      <c r="FRP21" s="1280"/>
      <c r="FRQ21" s="1280"/>
      <c r="FRR21" s="1280"/>
      <c r="FRS21" s="1280"/>
      <c r="FRT21" s="1280"/>
      <c r="FRU21" s="1280"/>
      <c r="FRV21" s="1280"/>
      <c r="FRW21" s="1280"/>
      <c r="FRX21" s="1280"/>
      <c r="FRY21" s="1280"/>
      <c r="FRZ21" s="1280"/>
      <c r="FSA21" s="1280"/>
      <c r="FSB21" s="1280"/>
      <c r="FSC21" s="1280"/>
      <c r="FSD21" s="1280"/>
      <c r="FSE21" s="1280"/>
      <c r="FSF21" s="1280"/>
      <c r="FSG21" s="1280"/>
      <c r="FSH21" s="1280"/>
      <c r="FSI21" s="1280"/>
      <c r="FSJ21" s="1280"/>
      <c r="FSK21" s="1280"/>
      <c r="FSL21" s="1280"/>
      <c r="FSM21" s="1280"/>
      <c r="FSN21" s="1280"/>
      <c r="FSO21" s="1280"/>
      <c r="FSP21" s="1280"/>
      <c r="FSQ21" s="1280"/>
      <c r="FSR21" s="1280"/>
      <c r="FSS21" s="1280"/>
      <c r="FST21" s="1280"/>
      <c r="FSU21" s="1280"/>
      <c r="FSV21" s="1280"/>
      <c r="FSW21" s="1280"/>
      <c r="FSX21" s="1280"/>
      <c r="FSY21" s="1280"/>
      <c r="FSZ21" s="1280"/>
      <c r="FTA21" s="1280"/>
      <c r="FTB21" s="1280"/>
      <c r="FTC21" s="1280"/>
      <c r="FTD21" s="1280"/>
      <c r="FTE21" s="1280"/>
      <c r="FTF21" s="1280"/>
      <c r="FTG21" s="1280"/>
      <c r="FTH21" s="1280"/>
      <c r="FTI21" s="1280"/>
      <c r="FTJ21" s="1280"/>
      <c r="FTK21" s="1280"/>
      <c r="FTL21" s="1280"/>
      <c r="FTM21" s="1280"/>
      <c r="FTN21" s="1280"/>
      <c r="FTO21" s="1280"/>
      <c r="FTP21" s="1280"/>
      <c r="FTQ21" s="1280"/>
      <c r="FTR21" s="1280"/>
      <c r="FTS21" s="1280"/>
      <c r="FTT21" s="1280"/>
      <c r="FTU21" s="1280"/>
      <c r="FTV21" s="1280"/>
      <c r="FTW21" s="1280"/>
      <c r="FTX21" s="1280"/>
      <c r="FTY21" s="1280"/>
      <c r="FTZ21" s="1280"/>
      <c r="FUA21" s="1280"/>
      <c r="FUB21" s="1280"/>
      <c r="FUC21" s="1280"/>
      <c r="FUD21" s="1280"/>
      <c r="FUE21" s="1280"/>
      <c r="FUF21" s="1280"/>
      <c r="FUG21" s="1280"/>
      <c r="FUH21" s="1280"/>
      <c r="FUI21" s="1280"/>
      <c r="FUJ21" s="1280"/>
      <c r="FUK21" s="1280"/>
      <c r="FUL21" s="1280"/>
      <c r="FUM21" s="1280"/>
      <c r="FUN21" s="1280"/>
      <c r="FUO21" s="1280"/>
      <c r="FUP21" s="1280"/>
      <c r="FUQ21" s="1280"/>
      <c r="FUR21" s="1280"/>
      <c r="FUS21" s="1280"/>
      <c r="FUT21" s="1280"/>
      <c r="FUU21" s="1280"/>
      <c r="FUV21" s="1280"/>
      <c r="FUW21" s="1280"/>
      <c r="FUX21" s="1280"/>
      <c r="FUY21" s="1280"/>
      <c r="FUZ21" s="1280"/>
      <c r="FVA21" s="1280"/>
      <c r="FVB21" s="1280"/>
      <c r="FVC21" s="1280"/>
      <c r="FVD21" s="1280"/>
      <c r="FVE21" s="1280"/>
      <c r="FVF21" s="1280"/>
      <c r="FVG21" s="1280"/>
      <c r="FVH21" s="1280"/>
      <c r="FVI21" s="1280"/>
      <c r="FVJ21" s="1280"/>
      <c r="FVK21" s="1280"/>
      <c r="FVL21" s="1280"/>
      <c r="FVM21" s="1280"/>
      <c r="FVN21" s="1280"/>
      <c r="FVO21" s="1280"/>
      <c r="FVP21" s="1280"/>
      <c r="FVQ21" s="1280"/>
      <c r="FVR21" s="1280"/>
      <c r="FVS21" s="1280"/>
      <c r="FVT21" s="1280"/>
      <c r="FVU21" s="1280"/>
      <c r="FVV21" s="1280"/>
      <c r="FVW21" s="1280"/>
      <c r="FVX21" s="1280"/>
      <c r="FVY21" s="1280"/>
      <c r="FVZ21" s="1280"/>
      <c r="FWA21" s="1280"/>
      <c r="FWB21" s="1280"/>
      <c r="FWC21" s="1280"/>
      <c r="FWD21" s="1280"/>
      <c r="FWE21" s="1280"/>
      <c r="FWF21" s="1280"/>
      <c r="FWG21" s="1280"/>
      <c r="FWH21" s="1280"/>
      <c r="FWI21" s="1280"/>
      <c r="FWJ21" s="1280"/>
      <c r="FWK21" s="1280"/>
      <c r="FWL21" s="1280"/>
      <c r="FWM21" s="1280"/>
      <c r="FWN21" s="1280"/>
      <c r="FWO21" s="1280"/>
      <c r="FWP21" s="1280"/>
      <c r="FWQ21" s="1280"/>
      <c r="FWR21" s="1280"/>
      <c r="FWS21" s="1280"/>
      <c r="FWT21" s="1280"/>
      <c r="FWU21" s="1280"/>
      <c r="FWV21" s="1280"/>
      <c r="FWW21" s="1280"/>
      <c r="FWX21" s="1280"/>
      <c r="FWY21" s="1280"/>
      <c r="FWZ21" s="1280"/>
      <c r="FXA21" s="1280"/>
      <c r="FXB21" s="1280"/>
      <c r="FXC21" s="1280"/>
      <c r="FXD21" s="1280"/>
      <c r="FXE21" s="1280"/>
      <c r="FXF21" s="1280"/>
      <c r="FXG21" s="1280"/>
      <c r="FXH21" s="1280"/>
      <c r="FXI21" s="1280"/>
      <c r="FXJ21" s="1280"/>
      <c r="FXK21" s="1280"/>
      <c r="FXL21" s="1280"/>
      <c r="FXM21" s="1280"/>
      <c r="FXN21" s="1280"/>
      <c r="FXO21" s="1280"/>
      <c r="FXP21" s="1280"/>
      <c r="FXQ21" s="1280"/>
      <c r="FXR21" s="1280"/>
      <c r="FXS21" s="1280"/>
      <c r="FXT21" s="1280"/>
      <c r="FXU21" s="1280"/>
      <c r="FXV21" s="1280"/>
      <c r="FXW21" s="1280"/>
      <c r="FXX21" s="1280"/>
      <c r="FXY21" s="1280"/>
      <c r="FXZ21" s="1280"/>
      <c r="FYA21" s="1280"/>
      <c r="FYB21" s="1280"/>
      <c r="FYC21" s="1280"/>
      <c r="FYD21" s="1280"/>
      <c r="FYE21" s="1280"/>
      <c r="FYF21" s="1280"/>
      <c r="FYG21" s="1280"/>
      <c r="FYH21" s="1280"/>
      <c r="FYI21" s="1280"/>
      <c r="FYJ21" s="1280"/>
      <c r="FYK21" s="1280"/>
      <c r="FYL21" s="1280"/>
      <c r="FYM21" s="1280"/>
      <c r="FYN21" s="1280"/>
      <c r="FYO21" s="1280"/>
      <c r="FYP21" s="1280"/>
      <c r="FYQ21" s="1280"/>
      <c r="FYR21" s="1280"/>
      <c r="FYS21" s="1280"/>
      <c r="FYT21" s="1280"/>
      <c r="FYU21" s="1280"/>
      <c r="FYV21" s="1280"/>
      <c r="FYW21" s="1280"/>
      <c r="FYX21" s="1280"/>
      <c r="FYY21" s="1280"/>
      <c r="FYZ21" s="1280"/>
      <c r="FZA21" s="1280"/>
      <c r="FZB21" s="1280"/>
      <c r="FZC21" s="1280"/>
      <c r="FZD21" s="1280"/>
      <c r="FZE21" s="1280"/>
      <c r="FZF21" s="1280"/>
      <c r="FZG21" s="1280"/>
      <c r="FZH21" s="1280"/>
      <c r="FZI21" s="1280"/>
      <c r="FZJ21" s="1280"/>
      <c r="FZK21" s="1280"/>
      <c r="FZL21" s="1280"/>
      <c r="FZM21" s="1280"/>
      <c r="FZN21" s="1280"/>
      <c r="FZO21" s="1280"/>
      <c r="FZP21" s="1280"/>
      <c r="FZQ21" s="1280"/>
      <c r="FZR21" s="1280"/>
      <c r="FZS21" s="1280"/>
      <c r="FZT21" s="1280"/>
      <c r="FZU21" s="1280"/>
      <c r="FZV21" s="1280"/>
      <c r="FZW21" s="1280"/>
      <c r="FZX21" s="1280"/>
      <c r="FZY21" s="1280"/>
      <c r="FZZ21" s="1280"/>
      <c r="GAA21" s="1280"/>
      <c r="GAB21" s="1280"/>
      <c r="GAC21" s="1280"/>
      <c r="GAD21" s="1280"/>
      <c r="GAE21" s="1280"/>
      <c r="GAF21" s="1280"/>
      <c r="GAG21" s="1280"/>
      <c r="GAH21" s="1280"/>
      <c r="GAI21" s="1280"/>
      <c r="GAJ21" s="1280"/>
      <c r="GAK21" s="1280"/>
      <c r="GAL21" s="1280"/>
      <c r="GAM21" s="1280"/>
      <c r="GAN21" s="1280"/>
      <c r="GAO21" s="1280"/>
      <c r="GAP21" s="1280"/>
      <c r="GAQ21" s="1280"/>
      <c r="GAR21" s="1280"/>
      <c r="GAS21" s="1280"/>
      <c r="GAT21" s="1280"/>
      <c r="GAU21" s="1280"/>
      <c r="GAV21" s="1280"/>
      <c r="GAW21" s="1280"/>
      <c r="GAX21" s="1280"/>
      <c r="GAY21" s="1280"/>
      <c r="GAZ21" s="1280"/>
      <c r="GBA21" s="1280"/>
      <c r="GBB21" s="1280"/>
      <c r="GBC21" s="1280"/>
      <c r="GBD21" s="1280"/>
      <c r="GBE21" s="1280"/>
      <c r="GBF21" s="1280"/>
      <c r="GBG21" s="1280"/>
      <c r="GBH21" s="1280"/>
      <c r="GBI21" s="1280"/>
      <c r="GBJ21" s="1280"/>
      <c r="GBK21" s="1280"/>
      <c r="GBL21" s="1280"/>
      <c r="GBM21" s="1280"/>
      <c r="GBN21" s="1280"/>
      <c r="GBO21" s="1280"/>
      <c r="GBP21" s="1280"/>
      <c r="GBQ21" s="1280"/>
      <c r="GBR21" s="1280"/>
      <c r="GBS21" s="1280"/>
      <c r="GBT21" s="1280"/>
      <c r="GBU21" s="1280"/>
      <c r="GBV21" s="1280"/>
      <c r="GBW21" s="1280"/>
      <c r="GBX21" s="1280"/>
      <c r="GBY21" s="1280"/>
      <c r="GBZ21" s="1280"/>
      <c r="GCA21" s="1280"/>
      <c r="GCB21" s="1280"/>
      <c r="GCC21" s="1280"/>
      <c r="GCD21" s="1280"/>
      <c r="GCE21" s="1280"/>
      <c r="GCF21" s="1280"/>
      <c r="GCG21" s="1280"/>
      <c r="GCH21" s="1280"/>
      <c r="GCI21" s="1280"/>
      <c r="GCJ21" s="1280"/>
      <c r="GCK21" s="1280"/>
      <c r="GCL21" s="1280"/>
      <c r="GCM21" s="1280"/>
      <c r="GCN21" s="1280"/>
      <c r="GCO21" s="1280"/>
      <c r="GCP21" s="1280"/>
      <c r="GCQ21" s="1280"/>
      <c r="GCR21" s="1280"/>
      <c r="GCS21" s="1280"/>
      <c r="GCT21" s="1280"/>
      <c r="GCU21" s="1280"/>
      <c r="GCV21" s="1280"/>
      <c r="GCW21" s="1280"/>
      <c r="GCX21" s="1280"/>
      <c r="GCY21" s="1280"/>
      <c r="GCZ21" s="1280"/>
      <c r="GDA21" s="1280"/>
      <c r="GDB21" s="1280"/>
      <c r="GDC21" s="1280"/>
      <c r="GDD21" s="1280"/>
      <c r="GDE21" s="1280"/>
      <c r="GDF21" s="1280"/>
      <c r="GDG21" s="1280"/>
      <c r="GDH21" s="1280"/>
      <c r="GDI21" s="1280"/>
      <c r="GDJ21" s="1280"/>
      <c r="GDK21" s="1280"/>
      <c r="GDL21" s="1280"/>
      <c r="GDM21" s="1280"/>
      <c r="GDN21" s="1280"/>
      <c r="GDO21" s="1280"/>
      <c r="GDP21" s="1280"/>
      <c r="GDQ21" s="1280"/>
      <c r="GDR21" s="1280"/>
      <c r="GDS21" s="1280"/>
      <c r="GDT21" s="1280"/>
      <c r="GDU21" s="1280"/>
      <c r="GDV21" s="1280"/>
      <c r="GDW21" s="1280"/>
      <c r="GDX21" s="1280"/>
      <c r="GDY21" s="1280"/>
      <c r="GDZ21" s="1280"/>
      <c r="GEA21" s="1280"/>
      <c r="GEB21" s="1280"/>
      <c r="GEC21" s="1280"/>
      <c r="GED21" s="1280"/>
      <c r="GEE21" s="1280"/>
      <c r="GEF21" s="1280"/>
      <c r="GEG21" s="1280"/>
      <c r="GEH21" s="1280"/>
      <c r="GEI21" s="1280"/>
      <c r="GEJ21" s="1280"/>
      <c r="GEK21" s="1280"/>
      <c r="GEL21" s="1280"/>
      <c r="GEM21" s="1280"/>
      <c r="GEN21" s="1280"/>
      <c r="GEO21" s="1280"/>
      <c r="GEP21" s="1280"/>
      <c r="GEQ21" s="1280"/>
      <c r="GER21" s="1280"/>
      <c r="GES21" s="1280"/>
      <c r="GET21" s="1280"/>
      <c r="GEU21" s="1280"/>
      <c r="GEV21" s="1280"/>
      <c r="GEW21" s="1280"/>
      <c r="GEX21" s="1280"/>
      <c r="GEY21" s="1280"/>
      <c r="GEZ21" s="1280"/>
      <c r="GFA21" s="1280"/>
      <c r="GFB21" s="1280"/>
      <c r="GFC21" s="1280"/>
      <c r="GFD21" s="1280"/>
      <c r="GFE21" s="1280"/>
      <c r="GFF21" s="1280"/>
      <c r="GFG21" s="1280"/>
      <c r="GFH21" s="1280"/>
      <c r="GFI21" s="1280"/>
      <c r="GFJ21" s="1280"/>
      <c r="GFK21" s="1280"/>
      <c r="GFL21" s="1280"/>
      <c r="GFM21" s="1280"/>
      <c r="GFN21" s="1280"/>
      <c r="GFO21" s="1280"/>
      <c r="GFP21" s="1280"/>
      <c r="GFQ21" s="1280"/>
      <c r="GFR21" s="1280"/>
      <c r="GFS21" s="1280"/>
      <c r="GFT21" s="1280"/>
      <c r="GFU21" s="1280"/>
      <c r="GFV21" s="1280"/>
      <c r="GFW21" s="1280"/>
      <c r="GFX21" s="1280"/>
      <c r="GFY21" s="1280"/>
      <c r="GFZ21" s="1280"/>
      <c r="GGA21" s="1280"/>
      <c r="GGB21" s="1280"/>
      <c r="GGC21" s="1280"/>
      <c r="GGD21" s="1280"/>
      <c r="GGE21" s="1280"/>
      <c r="GGF21" s="1280"/>
      <c r="GGG21" s="1280"/>
      <c r="GGH21" s="1280"/>
      <c r="GGI21" s="1280"/>
      <c r="GGJ21" s="1280"/>
      <c r="GGK21" s="1280"/>
      <c r="GGL21" s="1280"/>
      <c r="GGM21" s="1280"/>
      <c r="GGN21" s="1280"/>
      <c r="GGO21" s="1280"/>
      <c r="GGP21" s="1280"/>
      <c r="GGQ21" s="1280"/>
      <c r="GGR21" s="1280"/>
      <c r="GGS21" s="1280"/>
      <c r="GGT21" s="1280"/>
      <c r="GGU21" s="1280"/>
      <c r="GGV21" s="1280"/>
      <c r="GGW21" s="1280"/>
      <c r="GGX21" s="1280"/>
      <c r="GGY21" s="1280"/>
      <c r="GGZ21" s="1280"/>
      <c r="GHA21" s="1280"/>
      <c r="GHB21" s="1280"/>
      <c r="GHC21" s="1280"/>
      <c r="GHD21" s="1280"/>
      <c r="GHE21" s="1280"/>
      <c r="GHF21" s="1280"/>
      <c r="GHG21" s="1280"/>
      <c r="GHH21" s="1280"/>
      <c r="GHI21" s="1280"/>
      <c r="GHJ21" s="1280"/>
      <c r="GHK21" s="1280"/>
      <c r="GHL21" s="1280"/>
      <c r="GHM21" s="1280"/>
      <c r="GHN21" s="1280"/>
      <c r="GHO21" s="1280"/>
      <c r="GHP21" s="1280"/>
      <c r="GHQ21" s="1280"/>
      <c r="GHR21" s="1280"/>
      <c r="GHS21" s="1280"/>
      <c r="GHT21" s="1280"/>
      <c r="GHU21" s="1280"/>
      <c r="GHV21" s="1280"/>
      <c r="GHW21" s="1280"/>
      <c r="GHX21" s="1280"/>
      <c r="GHY21" s="1280"/>
      <c r="GHZ21" s="1280"/>
      <c r="GIA21" s="1280"/>
      <c r="GIB21" s="1280"/>
      <c r="GIC21" s="1280"/>
      <c r="GID21" s="1280"/>
      <c r="GIE21" s="1280"/>
      <c r="GIF21" s="1280"/>
      <c r="GIG21" s="1280"/>
      <c r="GIH21" s="1280"/>
      <c r="GII21" s="1280"/>
      <c r="GIJ21" s="1280"/>
      <c r="GIK21" s="1280"/>
      <c r="GIL21" s="1280"/>
      <c r="GIM21" s="1280"/>
      <c r="GIN21" s="1280"/>
      <c r="GIO21" s="1280"/>
      <c r="GIP21" s="1280"/>
      <c r="GIQ21" s="1280"/>
      <c r="GIR21" s="1280"/>
      <c r="GIS21" s="1280"/>
      <c r="GIT21" s="1280"/>
      <c r="GIU21" s="1280"/>
      <c r="GIV21" s="1280"/>
      <c r="GIW21" s="1280"/>
      <c r="GIX21" s="1280"/>
      <c r="GIY21" s="1280"/>
      <c r="GIZ21" s="1280"/>
      <c r="GJA21" s="1280"/>
      <c r="GJB21" s="1280"/>
      <c r="GJC21" s="1280"/>
      <c r="GJD21" s="1280"/>
      <c r="GJE21" s="1280"/>
      <c r="GJF21" s="1280"/>
      <c r="GJG21" s="1280"/>
      <c r="GJH21" s="1280"/>
      <c r="GJI21" s="1280"/>
      <c r="GJJ21" s="1280"/>
      <c r="GJK21" s="1280"/>
      <c r="GJL21" s="1280"/>
      <c r="GJM21" s="1280"/>
      <c r="GJN21" s="1280"/>
      <c r="GJO21" s="1280"/>
      <c r="GJP21" s="1280"/>
      <c r="GJQ21" s="1280"/>
      <c r="GJR21" s="1280"/>
      <c r="GJS21" s="1280"/>
      <c r="GJT21" s="1280"/>
      <c r="GJU21" s="1280"/>
      <c r="GJV21" s="1280"/>
      <c r="GJW21" s="1280"/>
      <c r="GJX21" s="1280"/>
      <c r="GJY21" s="1280"/>
      <c r="GJZ21" s="1280"/>
      <c r="GKA21" s="1280"/>
      <c r="GKB21" s="1280"/>
      <c r="GKC21" s="1280"/>
      <c r="GKD21" s="1280"/>
      <c r="GKE21" s="1280"/>
      <c r="GKF21" s="1280"/>
      <c r="GKG21" s="1280"/>
      <c r="GKH21" s="1280"/>
      <c r="GKI21" s="1280"/>
      <c r="GKJ21" s="1280"/>
      <c r="GKK21" s="1280"/>
      <c r="GKL21" s="1280"/>
      <c r="GKM21" s="1280"/>
      <c r="GKN21" s="1280"/>
      <c r="GKO21" s="1280"/>
      <c r="GKP21" s="1280"/>
      <c r="GKQ21" s="1280"/>
      <c r="GKR21" s="1280"/>
      <c r="GKS21" s="1280"/>
      <c r="GKT21" s="1280"/>
      <c r="GKU21" s="1280"/>
      <c r="GKV21" s="1280"/>
      <c r="GKW21" s="1280"/>
      <c r="GKX21" s="1280"/>
      <c r="GKY21" s="1280"/>
      <c r="GKZ21" s="1280"/>
      <c r="GLA21" s="1280"/>
      <c r="GLB21" s="1280"/>
      <c r="GLC21" s="1280"/>
      <c r="GLD21" s="1280"/>
      <c r="GLE21" s="1280"/>
      <c r="GLF21" s="1280"/>
      <c r="GLG21" s="1280"/>
      <c r="GLH21" s="1280"/>
      <c r="GLI21" s="1280"/>
      <c r="GLJ21" s="1280"/>
      <c r="GLK21" s="1280"/>
      <c r="GLL21" s="1280"/>
      <c r="GLM21" s="1280"/>
      <c r="GLN21" s="1280"/>
      <c r="GLO21" s="1280"/>
      <c r="GLP21" s="1280"/>
      <c r="GLQ21" s="1280"/>
      <c r="GLR21" s="1280"/>
      <c r="GLS21" s="1280"/>
      <c r="GLT21" s="1280"/>
      <c r="GLU21" s="1280"/>
      <c r="GLV21" s="1280"/>
      <c r="GLW21" s="1280"/>
      <c r="GLX21" s="1280"/>
      <c r="GLY21" s="1280"/>
      <c r="GLZ21" s="1280"/>
      <c r="GMA21" s="1280"/>
      <c r="GMB21" s="1280"/>
      <c r="GMC21" s="1280"/>
      <c r="GMD21" s="1280"/>
      <c r="GME21" s="1280"/>
      <c r="GMF21" s="1280"/>
      <c r="GMG21" s="1280"/>
      <c r="GMH21" s="1280"/>
      <c r="GMI21" s="1280"/>
      <c r="GMJ21" s="1280"/>
      <c r="GMK21" s="1280"/>
      <c r="GML21" s="1280"/>
      <c r="GMM21" s="1280"/>
      <c r="GMN21" s="1280"/>
      <c r="GMO21" s="1280"/>
      <c r="GMP21" s="1280"/>
      <c r="GMQ21" s="1280"/>
      <c r="GMR21" s="1280"/>
      <c r="GMS21" s="1280"/>
      <c r="GMT21" s="1280"/>
      <c r="GMU21" s="1280"/>
      <c r="GMV21" s="1280"/>
      <c r="GMW21" s="1280"/>
      <c r="GMX21" s="1280"/>
      <c r="GMY21" s="1280"/>
      <c r="GMZ21" s="1280"/>
      <c r="GNA21" s="1280"/>
      <c r="GNB21" s="1280"/>
      <c r="GNC21" s="1280"/>
      <c r="GND21" s="1280"/>
      <c r="GNE21" s="1280"/>
      <c r="GNF21" s="1280"/>
      <c r="GNG21" s="1280"/>
      <c r="GNH21" s="1280"/>
      <c r="GNI21" s="1280"/>
      <c r="GNJ21" s="1280"/>
      <c r="GNK21" s="1280"/>
      <c r="GNL21" s="1280"/>
      <c r="GNM21" s="1280"/>
      <c r="GNN21" s="1280"/>
      <c r="GNO21" s="1280"/>
      <c r="GNP21" s="1280"/>
      <c r="GNQ21" s="1280"/>
      <c r="GNR21" s="1280"/>
      <c r="GNS21" s="1280"/>
      <c r="GNT21" s="1280"/>
      <c r="GNU21" s="1280"/>
      <c r="GNV21" s="1280"/>
      <c r="GNW21" s="1280"/>
      <c r="GNX21" s="1280"/>
      <c r="GNY21" s="1280"/>
      <c r="GNZ21" s="1280"/>
      <c r="GOA21" s="1280"/>
      <c r="GOB21" s="1280"/>
      <c r="GOC21" s="1280"/>
      <c r="GOD21" s="1280"/>
      <c r="GOE21" s="1280"/>
      <c r="GOF21" s="1280"/>
      <c r="GOG21" s="1280"/>
      <c r="GOH21" s="1280"/>
      <c r="GOI21" s="1280"/>
      <c r="GOJ21" s="1280"/>
      <c r="GOK21" s="1280"/>
      <c r="GOL21" s="1280"/>
      <c r="GOM21" s="1280"/>
      <c r="GON21" s="1280"/>
      <c r="GOO21" s="1280"/>
      <c r="GOP21" s="1280"/>
      <c r="GOQ21" s="1280"/>
      <c r="GOR21" s="1280"/>
      <c r="GOS21" s="1280"/>
      <c r="GOT21" s="1280"/>
      <c r="GOU21" s="1280"/>
      <c r="GOV21" s="1280"/>
      <c r="GOW21" s="1280"/>
      <c r="GOX21" s="1280"/>
      <c r="GOY21" s="1280"/>
      <c r="GOZ21" s="1280"/>
      <c r="GPA21" s="1280"/>
      <c r="GPB21" s="1280"/>
      <c r="GPC21" s="1280"/>
      <c r="GPD21" s="1280"/>
      <c r="GPE21" s="1280"/>
      <c r="GPF21" s="1280"/>
      <c r="GPG21" s="1280"/>
      <c r="GPH21" s="1280"/>
      <c r="GPI21" s="1280"/>
      <c r="GPJ21" s="1280"/>
      <c r="GPK21" s="1280"/>
      <c r="GPL21" s="1280"/>
      <c r="GPM21" s="1280"/>
      <c r="GPN21" s="1280"/>
      <c r="GPO21" s="1280"/>
      <c r="GPP21" s="1280"/>
      <c r="GPQ21" s="1280"/>
      <c r="GPR21" s="1280"/>
      <c r="GPS21" s="1280"/>
      <c r="GPT21" s="1280"/>
      <c r="GPU21" s="1280"/>
      <c r="GPV21" s="1280"/>
      <c r="GPW21" s="1280"/>
      <c r="GPX21" s="1280"/>
      <c r="GPY21" s="1280"/>
      <c r="GPZ21" s="1280"/>
      <c r="GQA21" s="1280"/>
      <c r="GQB21" s="1280"/>
      <c r="GQC21" s="1280"/>
      <c r="GQD21" s="1280"/>
      <c r="GQE21" s="1280"/>
      <c r="GQF21" s="1280"/>
      <c r="GQG21" s="1280"/>
      <c r="GQH21" s="1280"/>
      <c r="GQI21" s="1280"/>
      <c r="GQJ21" s="1280"/>
      <c r="GQK21" s="1280"/>
      <c r="GQL21" s="1280"/>
      <c r="GQM21" s="1280"/>
      <c r="GQN21" s="1280"/>
      <c r="GQO21" s="1280"/>
      <c r="GQP21" s="1280"/>
      <c r="GQQ21" s="1280"/>
      <c r="GQR21" s="1280"/>
      <c r="GQS21" s="1280"/>
      <c r="GQT21" s="1280"/>
      <c r="GQU21" s="1280"/>
      <c r="GQV21" s="1280"/>
      <c r="GQW21" s="1280"/>
      <c r="GQX21" s="1280"/>
      <c r="GQY21" s="1280"/>
      <c r="GQZ21" s="1280"/>
      <c r="GRA21" s="1280"/>
      <c r="GRB21" s="1280"/>
      <c r="GRC21" s="1280"/>
      <c r="GRD21" s="1280"/>
      <c r="GRE21" s="1280"/>
      <c r="GRF21" s="1280"/>
      <c r="GRG21" s="1280"/>
      <c r="GRH21" s="1280"/>
      <c r="GRI21" s="1280"/>
      <c r="GRJ21" s="1280"/>
      <c r="GRK21" s="1280"/>
      <c r="GRL21" s="1280"/>
      <c r="GRM21" s="1280"/>
      <c r="GRN21" s="1280"/>
      <c r="GRO21" s="1280"/>
      <c r="GRP21" s="1280"/>
      <c r="GRQ21" s="1280"/>
      <c r="GRR21" s="1280"/>
      <c r="GRS21" s="1280"/>
      <c r="GRT21" s="1280"/>
      <c r="GRU21" s="1280"/>
      <c r="GRV21" s="1280"/>
      <c r="GRW21" s="1280"/>
      <c r="GRX21" s="1280"/>
      <c r="GRY21" s="1280"/>
      <c r="GRZ21" s="1280"/>
      <c r="GSA21" s="1280"/>
      <c r="GSB21" s="1280"/>
      <c r="GSC21" s="1280"/>
      <c r="GSD21" s="1280"/>
      <c r="GSE21" s="1280"/>
      <c r="GSF21" s="1280"/>
      <c r="GSG21" s="1280"/>
      <c r="GSH21" s="1280"/>
      <c r="GSI21" s="1280"/>
      <c r="GSJ21" s="1280"/>
      <c r="GSK21" s="1280"/>
      <c r="GSL21" s="1280"/>
      <c r="GSM21" s="1280"/>
      <c r="GSN21" s="1280"/>
      <c r="GSO21" s="1280"/>
      <c r="GSP21" s="1280"/>
      <c r="GSQ21" s="1280"/>
      <c r="GSR21" s="1280"/>
      <c r="GSS21" s="1280"/>
      <c r="GST21" s="1280"/>
      <c r="GSU21" s="1280"/>
      <c r="GSV21" s="1280"/>
      <c r="GSW21" s="1280"/>
      <c r="GSX21" s="1280"/>
      <c r="GSY21" s="1280"/>
      <c r="GSZ21" s="1280"/>
      <c r="GTA21" s="1280"/>
      <c r="GTB21" s="1280"/>
      <c r="GTC21" s="1280"/>
      <c r="GTD21" s="1280"/>
      <c r="GTE21" s="1280"/>
      <c r="GTF21" s="1280"/>
      <c r="GTG21" s="1280"/>
      <c r="GTH21" s="1280"/>
      <c r="GTI21" s="1280"/>
      <c r="GTJ21" s="1280"/>
      <c r="GTK21" s="1280"/>
      <c r="GTL21" s="1280"/>
      <c r="GTM21" s="1280"/>
      <c r="GTN21" s="1280"/>
      <c r="GTO21" s="1280"/>
      <c r="GTP21" s="1280"/>
      <c r="GTQ21" s="1280"/>
      <c r="GTR21" s="1280"/>
      <c r="GTS21" s="1280"/>
      <c r="GTT21" s="1280"/>
      <c r="GTU21" s="1280"/>
      <c r="GTV21" s="1280"/>
      <c r="GTW21" s="1280"/>
      <c r="GTX21" s="1280"/>
      <c r="GTY21" s="1280"/>
      <c r="GTZ21" s="1280"/>
      <c r="GUA21" s="1280"/>
      <c r="GUB21" s="1280"/>
      <c r="GUC21" s="1280"/>
      <c r="GUD21" s="1280"/>
      <c r="GUE21" s="1280"/>
      <c r="GUF21" s="1280"/>
      <c r="GUG21" s="1280"/>
      <c r="GUH21" s="1280"/>
      <c r="GUI21" s="1280"/>
      <c r="GUJ21" s="1280"/>
      <c r="GUK21" s="1280"/>
      <c r="GUL21" s="1280"/>
      <c r="GUM21" s="1280"/>
      <c r="GUN21" s="1280"/>
      <c r="GUO21" s="1280"/>
      <c r="GUP21" s="1280"/>
      <c r="GUQ21" s="1280"/>
      <c r="GUR21" s="1280"/>
      <c r="GUS21" s="1280"/>
      <c r="GUT21" s="1280"/>
      <c r="GUU21" s="1280"/>
      <c r="GUV21" s="1280"/>
      <c r="GUW21" s="1280"/>
      <c r="GUX21" s="1280"/>
      <c r="GUY21" s="1280"/>
      <c r="GUZ21" s="1280"/>
      <c r="GVA21" s="1280"/>
      <c r="GVB21" s="1280"/>
      <c r="GVC21" s="1280"/>
      <c r="GVD21" s="1280"/>
      <c r="GVE21" s="1280"/>
      <c r="GVF21" s="1280"/>
      <c r="GVG21" s="1280"/>
      <c r="GVH21" s="1280"/>
      <c r="GVI21" s="1280"/>
      <c r="GVJ21" s="1280"/>
      <c r="GVK21" s="1280"/>
      <c r="GVL21" s="1280"/>
      <c r="GVM21" s="1280"/>
      <c r="GVN21" s="1280"/>
      <c r="GVO21" s="1280"/>
      <c r="GVP21" s="1280"/>
      <c r="GVQ21" s="1280"/>
      <c r="GVR21" s="1280"/>
      <c r="GVS21" s="1280"/>
      <c r="GVT21" s="1280"/>
      <c r="GVU21" s="1280"/>
      <c r="GVV21" s="1280"/>
      <c r="GVW21" s="1280"/>
      <c r="GVX21" s="1280"/>
      <c r="GVY21" s="1280"/>
      <c r="GVZ21" s="1280"/>
      <c r="GWA21" s="1280"/>
      <c r="GWB21" s="1280"/>
      <c r="GWC21" s="1280"/>
      <c r="GWD21" s="1280"/>
      <c r="GWE21" s="1280"/>
      <c r="GWF21" s="1280"/>
      <c r="GWG21" s="1280"/>
      <c r="GWH21" s="1280"/>
      <c r="GWI21" s="1280"/>
      <c r="GWJ21" s="1280"/>
      <c r="GWK21" s="1280"/>
      <c r="GWL21" s="1280"/>
      <c r="GWM21" s="1280"/>
      <c r="GWN21" s="1280"/>
      <c r="GWO21" s="1280"/>
      <c r="GWP21" s="1280"/>
      <c r="GWQ21" s="1280"/>
      <c r="GWR21" s="1280"/>
      <c r="GWS21" s="1280"/>
      <c r="GWT21" s="1280"/>
      <c r="GWU21" s="1280"/>
      <c r="GWV21" s="1280"/>
      <c r="GWW21" s="1280"/>
      <c r="GWX21" s="1280"/>
      <c r="GWY21" s="1280"/>
      <c r="GWZ21" s="1280"/>
      <c r="GXA21" s="1280"/>
      <c r="GXB21" s="1280"/>
      <c r="GXC21" s="1280"/>
      <c r="GXD21" s="1280"/>
      <c r="GXE21" s="1280"/>
      <c r="GXF21" s="1280"/>
      <c r="GXG21" s="1280"/>
      <c r="GXH21" s="1280"/>
      <c r="GXI21" s="1280"/>
      <c r="GXJ21" s="1280"/>
      <c r="GXK21" s="1280"/>
      <c r="GXL21" s="1280"/>
      <c r="GXM21" s="1280"/>
      <c r="GXN21" s="1280"/>
      <c r="GXO21" s="1280"/>
      <c r="GXP21" s="1280"/>
      <c r="GXQ21" s="1280"/>
      <c r="GXR21" s="1280"/>
      <c r="GXS21" s="1280"/>
      <c r="GXT21" s="1280"/>
      <c r="GXU21" s="1280"/>
      <c r="GXV21" s="1280"/>
      <c r="GXW21" s="1280"/>
      <c r="GXX21" s="1280"/>
      <c r="GXY21" s="1280"/>
      <c r="GXZ21" s="1280"/>
      <c r="GYA21" s="1280"/>
      <c r="GYB21" s="1280"/>
      <c r="GYC21" s="1280"/>
      <c r="GYD21" s="1280"/>
      <c r="GYE21" s="1280"/>
      <c r="GYF21" s="1280"/>
      <c r="GYG21" s="1280"/>
      <c r="GYH21" s="1280"/>
      <c r="GYI21" s="1280"/>
      <c r="GYJ21" s="1280"/>
      <c r="GYK21" s="1280"/>
      <c r="GYL21" s="1280"/>
      <c r="GYM21" s="1280"/>
      <c r="GYN21" s="1280"/>
      <c r="GYO21" s="1280"/>
      <c r="GYP21" s="1280"/>
      <c r="GYQ21" s="1280"/>
      <c r="GYR21" s="1280"/>
      <c r="GYS21" s="1280"/>
      <c r="GYT21" s="1280"/>
      <c r="GYU21" s="1280"/>
      <c r="GYV21" s="1280"/>
      <c r="GYW21" s="1280"/>
      <c r="GYX21" s="1280"/>
      <c r="GYY21" s="1280"/>
      <c r="GYZ21" s="1280"/>
      <c r="GZA21" s="1280"/>
      <c r="GZB21" s="1280"/>
      <c r="GZC21" s="1280"/>
      <c r="GZD21" s="1280"/>
      <c r="GZE21" s="1280"/>
      <c r="GZF21" s="1280"/>
      <c r="GZG21" s="1280"/>
      <c r="GZH21" s="1280"/>
      <c r="GZI21" s="1280"/>
      <c r="GZJ21" s="1280"/>
      <c r="GZK21" s="1280"/>
      <c r="GZL21" s="1280"/>
      <c r="GZM21" s="1280"/>
      <c r="GZN21" s="1280"/>
      <c r="GZO21" s="1280"/>
      <c r="GZP21" s="1280"/>
      <c r="GZQ21" s="1280"/>
      <c r="GZR21" s="1280"/>
      <c r="GZS21" s="1280"/>
      <c r="GZT21" s="1280"/>
      <c r="GZU21" s="1280"/>
      <c r="GZV21" s="1280"/>
      <c r="GZW21" s="1280"/>
      <c r="GZX21" s="1280"/>
      <c r="GZY21" s="1280"/>
      <c r="GZZ21" s="1280"/>
      <c r="HAA21" s="1280"/>
      <c r="HAB21" s="1280"/>
      <c r="HAC21" s="1280"/>
      <c r="HAD21" s="1280"/>
      <c r="HAE21" s="1280"/>
      <c r="HAF21" s="1280"/>
      <c r="HAG21" s="1280"/>
      <c r="HAH21" s="1280"/>
      <c r="HAI21" s="1280"/>
      <c r="HAJ21" s="1280"/>
      <c r="HAK21" s="1280"/>
      <c r="HAL21" s="1280"/>
      <c r="HAM21" s="1280"/>
      <c r="HAN21" s="1280"/>
      <c r="HAO21" s="1280"/>
      <c r="HAP21" s="1280"/>
      <c r="HAQ21" s="1280"/>
      <c r="HAR21" s="1280"/>
      <c r="HAS21" s="1280"/>
      <c r="HAT21" s="1280"/>
      <c r="HAU21" s="1280"/>
      <c r="HAV21" s="1280"/>
      <c r="HAW21" s="1280"/>
      <c r="HAX21" s="1280"/>
      <c r="HAY21" s="1280"/>
      <c r="HAZ21" s="1280"/>
      <c r="HBA21" s="1280"/>
      <c r="HBB21" s="1280"/>
      <c r="HBC21" s="1280"/>
      <c r="HBD21" s="1280"/>
      <c r="HBE21" s="1280"/>
      <c r="HBF21" s="1280"/>
      <c r="HBG21" s="1280"/>
      <c r="HBH21" s="1280"/>
      <c r="HBI21" s="1280"/>
      <c r="HBJ21" s="1280"/>
      <c r="HBK21" s="1280"/>
      <c r="HBL21" s="1280"/>
      <c r="HBM21" s="1280"/>
      <c r="HBN21" s="1280"/>
      <c r="HBO21" s="1280"/>
      <c r="HBP21" s="1280"/>
      <c r="HBQ21" s="1280"/>
      <c r="HBR21" s="1280"/>
      <c r="HBS21" s="1280"/>
      <c r="HBT21" s="1280"/>
      <c r="HBU21" s="1280"/>
      <c r="HBV21" s="1280"/>
      <c r="HBW21" s="1280"/>
      <c r="HBX21" s="1280"/>
      <c r="HBY21" s="1280"/>
      <c r="HBZ21" s="1280"/>
      <c r="HCA21" s="1280"/>
      <c r="HCB21" s="1280"/>
      <c r="HCC21" s="1280"/>
      <c r="HCD21" s="1280"/>
      <c r="HCE21" s="1280"/>
      <c r="HCF21" s="1280"/>
      <c r="HCG21" s="1280"/>
      <c r="HCH21" s="1280"/>
      <c r="HCI21" s="1280"/>
      <c r="HCJ21" s="1280"/>
      <c r="HCK21" s="1280"/>
      <c r="HCL21" s="1280"/>
      <c r="HCM21" s="1280"/>
      <c r="HCN21" s="1280"/>
      <c r="HCO21" s="1280"/>
      <c r="HCP21" s="1280"/>
      <c r="HCQ21" s="1280"/>
      <c r="HCR21" s="1280"/>
      <c r="HCS21" s="1280"/>
      <c r="HCT21" s="1280"/>
      <c r="HCU21" s="1280"/>
      <c r="HCV21" s="1280"/>
      <c r="HCW21" s="1280"/>
      <c r="HCX21" s="1280"/>
      <c r="HCY21" s="1280"/>
      <c r="HCZ21" s="1280"/>
      <c r="HDA21" s="1280"/>
      <c r="HDB21" s="1280"/>
      <c r="HDC21" s="1280"/>
      <c r="HDD21" s="1280"/>
      <c r="HDE21" s="1280"/>
      <c r="HDF21" s="1280"/>
      <c r="HDG21" s="1280"/>
      <c r="HDH21" s="1280"/>
      <c r="HDI21" s="1280"/>
      <c r="HDJ21" s="1280"/>
      <c r="HDK21" s="1280"/>
      <c r="HDL21" s="1280"/>
      <c r="HDM21" s="1280"/>
      <c r="HDN21" s="1280"/>
      <c r="HDO21" s="1280"/>
      <c r="HDP21" s="1280"/>
      <c r="HDQ21" s="1280"/>
      <c r="HDR21" s="1280"/>
      <c r="HDS21" s="1280"/>
      <c r="HDT21" s="1280"/>
      <c r="HDU21" s="1280"/>
      <c r="HDV21" s="1280"/>
      <c r="HDW21" s="1280"/>
      <c r="HDX21" s="1280"/>
      <c r="HDY21" s="1280"/>
      <c r="HDZ21" s="1280"/>
      <c r="HEA21" s="1280"/>
      <c r="HEB21" s="1280"/>
      <c r="HEC21" s="1280"/>
      <c r="HED21" s="1280"/>
      <c r="HEE21" s="1280"/>
      <c r="HEF21" s="1280"/>
      <c r="HEG21" s="1280"/>
      <c r="HEH21" s="1280"/>
      <c r="HEI21" s="1280"/>
      <c r="HEJ21" s="1280"/>
      <c r="HEK21" s="1280"/>
      <c r="HEL21" s="1280"/>
      <c r="HEM21" s="1280"/>
      <c r="HEN21" s="1280"/>
      <c r="HEO21" s="1280"/>
      <c r="HEP21" s="1280"/>
      <c r="HEQ21" s="1280"/>
      <c r="HER21" s="1280"/>
      <c r="HES21" s="1280"/>
      <c r="HET21" s="1280"/>
      <c r="HEU21" s="1280"/>
      <c r="HEV21" s="1280"/>
      <c r="HEW21" s="1280"/>
      <c r="HEX21" s="1280"/>
      <c r="HEY21" s="1280"/>
      <c r="HEZ21" s="1280"/>
      <c r="HFA21" s="1280"/>
      <c r="HFB21" s="1280"/>
      <c r="HFC21" s="1280"/>
      <c r="HFD21" s="1280"/>
      <c r="HFE21" s="1280"/>
      <c r="HFF21" s="1280"/>
      <c r="HFG21" s="1280"/>
      <c r="HFH21" s="1280"/>
      <c r="HFI21" s="1280"/>
      <c r="HFJ21" s="1280"/>
      <c r="HFK21" s="1280"/>
      <c r="HFL21" s="1280"/>
      <c r="HFM21" s="1280"/>
      <c r="HFN21" s="1280"/>
      <c r="HFO21" s="1280"/>
      <c r="HFP21" s="1280"/>
      <c r="HFQ21" s="1280"/>
      <c r="HFR21" s="1280"/>
      <c r="HFS21" s="1280"/>
      <c r="HFT21" s="1280"/>
      <c r="HFU21" s="1280"/>
      <c r="HFV21" s="1280"/>
      <c r="HFW21" s="1280"/>
      <c r="HFX21" s="1280"/>
      <c r="HFY21" s="1280"/>
      <c r="HFZ21" s="1280"/>
      <c r="HGA21" s="1280"/>
      <c r="HGB21" s="1280"/>
      <c r="HGC21" s="1280"/>
      <c r="HGD21" s="1280"/>
      <c r="HGE21" s="1280"/>
      <c r="HGF21" s="1280"/>
      <c r="HGG21" s="1280"/>
      <c r="HGH21" s="1280"/>
      <c r="HGI21" s="1280"/>
      <c r="HGJ21" s="1280"/>
      <c r="HGK21" s="1280"/>
      <c r="HGL21" s="1280"/>
      <c r="HGM21" s="1280"/>
      <c r="HGN21" s="1280"/>
      <c r="HGO21" s="1280"/>
      <c r="HGP21" s="1280"/>
      <c r="HGQ21" s="1280"/>
      <c r="HGR21" s="1280"/>
      <c r="HGS21" s="1280"/>
      <c r="HGT21" s="1280"/>
      <c r="HGU21" s="1280"/>
      <c r="HGV21" s="1280"/>
      <c r="HGW21" s="1280"/>
      <c r="HGX21" s="1280"/>
      <c r="HGY21" s="1280"/>
      <c r="HGZ21" s="1280"/>
      <c r="HHA21" s="1280"/>
      <c r="HHB21" s="1280"/>
      <c r="HHC21" s="1280"/>
      <c r="HHD21" s="1280"/>
      <c r="HHE21" s="1280"/>
      <c r="HHF21" s="1280"/>
      <c r="HHG21" s="1280"/>
      <c r="HHH21" s="1280"/>
      <c r="HHI21" s="1280"/>
      <c r="HHJ21" s="1280"/>
      <c r="HHK21" s="1280"/>
      <c r="HHL21" s="1280"/>
      <c r="HHM21" s="1280"/>
      <c r="HHN21" s="1280"/>
      <c r="HHO21" s="1280"/>
      <c r="HHP21" s="1280"/>
      <c r="HHQ21" s="1280"/>
      <c r="HHR21" s="1280"/>
      <c r="HHS21" s="1280"/>
      <c r="HHT21" s="1280"/>
      <c r="HHU21" s="1280"/>
      <c r="HHV21" s="1280"/>
      <c r="HHW21" s="1280"/>
      <c r="HHX21" s="1280"/>
      <c r="HHY21" s="1280"/>
      <c r="HHZ21" s="1280"/>
      <c r="HIA21" s="1280"/>
      <c r="HIB21" s="1280"/>
      <c r="HIC21" s="1280"/>
      <c r="HID21" s="1280"/>
      <c r="HIE21" s="1280"/>
      <c r="HIF21" s="1280"/>
      <c r="HIG21" s="1280"/>
      <c r="HIH21" s="1280"/>
      <c r="HII21" s="1280"/>
      <c r="HIJ21" s="1280"/>
      <c r="HIK21" s="1280"/>
      <c r="HIL21" s="1280"/>
      <c r="HIM21" s="1280"/>
      <c r="HIN21" s="1280"/>
      <c r="HIO21" s="1280"/>
      <c r="HIP21" s="1280"/>
      <c r="HIQ21" s="1280"/>
      <c r="HIR21" s="1280"/>
      <c r="HIS21" s="1280"/>
      <c r="HIT21" s="1280"/>
      <c r="HIU21" s="1280"/>
      <c r="HIV21" s="1280"/>
      <c r="HIW21" s="1280"/>
      <c r="HIX21" s="1280"/>
      <c r="HIY21" s="1280"/>
      <c r="HIZ21" s="1280"/>
      <c r="HJA21" s="1280"/>
      <c r="HJB21" s="1280"/>
      <c r="HJC21" s="1280"/>
      <c r="HJD21" s="1280"/>
      <c r="HJE21" s="1280"/>
      <c r="HJF21" s="1280"/>
      <c r="HJG21" s="1280"/>
      <c r="HJH21" s="1280"/>
      <c r="HJI21" s="1280"/>
      <c r="HJJ21" s="1280"/>
      <c r="HJK21" s="1280"/>
      <c r="HJL21" s="1280"/>
      <c r="HJM21" s="1280"/>
      <c r="HJN21" s="1280"/>
      <c r="HJO21" s="1280"/>
      <c r="HJP21" s="1280"/>
      <c r="HJQ21" s="1280"/>
      <c r="HJR21" s="1280"/>
      <c r="HJS21" s="1280"/>
      <c r="HJT21" s="1280"/>
      <c r="HJU21" s="1280"/>
      <c r="HJV21" s="1280"/>
      <c r="HJW21" s="1280"/>
      <c r="HJX21" s="1280"/>
      <c r="HJY21" s="1280"/>
      <c r="HJZ21" s="1280"/>
      <c r="HKA21" s="1280"/>
      <c r="HKB21" s="1280"/>
      <c r="HKC21" s="1280"/>
      <c r="HKD21" s="1280"/>
      <c r="HKE21" s="1280"/>
      <c r="HKF21" s="1280"/>
      <c r="HKG21" s="1280"/>
      <c r="HKH21" s="1280"/>
      <c r="HKI21" s="1280"/>
      <c r="HKJ21" s="1280"/>
      <c r="HKK21" s="1280"/>
      <c r="HKL21" s="1280"/>
      <c r="HKM21" s="1280"/>
      <c r="HKN21" s="1280"/>
      <c r="HKO21" s="1280"/>
      <c r="HKP21" s="1280"/>
      <c r="HKQ21" s="1280"/>
      <c r="HKR21" s="1280"/>
      <c r="HKS21" s="1280"/>
      <c r="HKT21" s="1280"/>
      <c r="HKU21" s="1280"/>
      <c r="HKV21" s="1280"/>
      <c r="HKW21" s="1280"/>
      <c r="HKX21" s="1280"/>
      <c r="HKY21" s="1280"/>
      <c r="HKZ21" s="1280"/>
      <c r="HLA21" s="1280"/>
      <c r="HLB21" s="1280"/>
      <c r="HLC21" s="1280"/>
      <c r="HLD21" s="1280"/>
      <c r="HLE21" s="1280"/>
      <c r="HLF21" s="1280"/>
      <c r="HLG21" s="1280"/>
      <c r="HLH21" s="1280"/>
      <c r="HLI21" s="1280"/>
      <c r="HLJ21" s="1280"/>
      <c r="HLK21" s="1280"/>
      <c r="HLL21" s="1280"/>
      <c r="HLM21" s="1280"/>
      <c r="HLN21" s="1280"/>
      <c r="HLO21" s="1280"/>
      <c r="HLP21" s="1280"/>
      <c r="HLQ21" s="1280"/>
      <c r="HLR21" s="1280"/>
      <c r="HLS21" s="1280"/>
      <c r="HLT21" s="1280"/>
      <c r="HLU21" s="1280"/>
      <c r="HLV21" s="1280"/>
      <c r="HLW21" s="1280"/>
      <c r="HLX21" s="1280"/>
      <c r="HLY21" s="1280"/>
      <c r="HLZ21" s="1280"/>
      <c r="HMA21" s="1280"/>
      <c r="HMB21" s="1280"/>
      <c r="HMC21" s="1280"/>
      <c r="HMD21" s="1280"/>
      <c r="HME21" s="1280"/>
      <c r="HMF21" s="1280"/>
      <c r="HMG21" s="1280"/>
      <c r="HMH21" s="1280"/>
      <c r="HMI21" s="1280"/>
      <c r="HMJ21" s="1280"/>
      <c r="HMK21" s="1280"/>
      <c r="HML21" s="1280"/>
      <c r="HMM21" s="1280"/>
      <c r="HMN21" s="1280"/>
      <c r="HMO21" s="1280"/>
      <c r="HMP21" s="1280"/>
      <c r="HMQ21" s="1280"/>
      <c r="HMR21" s="1280"/>
      <c r="HMS21" s="1280"/>
      <c r="HMT21" s="1280"/>
      <c r="HMU21" s="1280"/>
      <c r="HMV21" s="1280"/>
      <c r="HMW21" s="1280"/>
      <c r="HMX21" s="1280"/>
      <c r="HMY21" s="1280"/>
      <c r="HMZ21" s="1280"/>
      <c r="HNA21" s="1280"/>
      <c r="HNB21" s="1280"/>
      <c r="HNC21" s="1280"/>
      <c r="HND21" s="1280"/>
      <c r="HNE21" s="1280"/>
      <c r="HNF21" s="1280"/>
      <c r="HNG21" s="1280"/>
      <c r="HNH21" s="1280"/>
      <c r="HNI21" s="1280"/>
      <c r="HNJ21" s="1280"/>
      <c r="HNK21" s="1280"/>
      <c r="HNL21" s="1280"/>
      <c r="HNM21" s="1280"/>
      <c r="HNN21" s="1280"/>
      <c r="HNO21" s="1280"/>
      <c r="HNP21" s="1280"/>
      <c r="HNQ21" s="1280"/>
      <c r="HNR21" s="1280"/>
      <c r="HNS21" s="1280"/>
      <c r="HNT21" s="1280"/>
      <c r="HNU21" s="1280"/>
      <c r="HNV21" s="1280"/>
      <c r="HNW21" s="1280"/>
      <c r="HNX21" s="1280"/>
      <c r="HNY21" s="1280"/>
      <c r="HNZ21" s="1280"/>
      <c r="HOA21" s="1280"/>
      <c r="HOB21" s="1280"/>
      <c r="HOC21" s="1280"/>
      <c r="HOD21" s="1280"/>
      <c r="HOE21" s="1280"/>
      <c r="HOF21" s="1280"/>
      <c r="HOG21" s="1280"/>
      <c r="HOH21" s="1280"/>
      <c r="HOI21" s="1280"/>
      <c r="HOJ21" s="1280"/>
      <c r="HOK21" s="1280"/>
      <c r="HOL21" s="1280"/>
      <c r="HOM21" s="1280"/>
      <c r="HON21" s="1280"/>
      <c r="HOO21" s="1280"/>
      <c r="HOP21" s="1280"/>
      <c r="HOQ21" s="1280"/>
      <c r="HOR21" s="1280"/>
      <c r="HOS21" s="1280"/>
      <c r="HOT21" s="1280"/>
      <c r="HOU21" s="1280"/>
      <c r="HOV21" s="1280"/>
      <c r="HOW21" s="1280"/>
      <c r="HOX21" s="1280"/>
      <c r="HOY21" s="1280"/>
      <c r="HOZ21" s="1280"/>
      <c r="HPA21" s="1280"/>
      <c r="HPB21" s="1280"/>
      <c r="HPC21" s="1280"/>
      <c r="HPD21" s="1280"/>
      <c r="HPE21" s="1280"/>
      <c r="HPF21" s="1280"/>
      <c r="HPG21" s="1280"/>
      <c r="HPH21" s="1280"/>
      <c r="HPI21" s="1280"/>
      <c r="HPJ21" s="1280"/>
      <c r="HPK21" s="1280"/>
      <c r="HPL21" s="1280"/>
      <c r="HPM21" s="1280"/>
      <c r="HPN21" s="1280"/>
      <c r="HPO21" s="1280"/>
      <c r="HPP21" s="1280"/>
      <c r="HPQ21" s="1280"/>
      <c r="HPR21" s="1280"/>
      <c r="HPS21" s="1280"/>
      <c r="HPT21" s="1280"/>
      <c r="HPU21" s="1280"/>
      <c r="HPV21" s="1280"/>
      <c r="HPW21" s="1280"/>
      <c r="HPX21" s="1280"/>
      <c r="HPY21" s="1280"/>
      <c r="HPZ21" s="1280"/>
      <c r="HQA21" s="1280"/>
      <c r="HQB21" s="1280"/>
      <c r="HQC21" s="1280"/>
      <c r="HQD21" s="1280"/>
      <c r="HQE21" s="1280"/>
      <c r="HQF21" s="1280"/>
      <c r="HQG21" s="1280"/>
      <c r="HQH21" s="1280"/>
      <c r="HQI21" s="1280"/>
      <c r="HQJ21" s="1280"/>
      <c r="HQK21" s="1280"/>
      <c r="HQL21" s="1280"/>
      <c r="HQM21" s="1280"/>
      <c r="HQN21" s="1280"/>
      <c r="HQO21" s="1280"/>
      <c r="HQP21" s="1280"/>
      <c r="HQQ21" s="1280"/>
      <c r="HQR21" s="1280"/>
      <c r="HQS21" s="1280"/>
      <c r="HQT21" s="1280"/>
      <c r="HQU21" s="1280"/>
      <c r="HQV21" s="1280"/>
      <c r="HQW21" s="1280"/>
      <c r="HQX21" s="1280"/>
      <c r="HQY21" s="1280"/>
      <c r="HQZ21" s="1280"/>
      <c r="HRA21" s="1280"/>
      <c r="HRB21" s="1280"/>
      <c r="HRC21" s="1280"/>
      <c r="HRD21" s="1280"/>
      <c r="HRE21" s="1280"/>
      <c r="HRF21" s="1280"/>
      <c r="HRG21" s="1280"/>
      <c r="HRH21" s="1280"/>
      <c r="HRI21" s="1280"/>
      <c r="HRJ21" s="1280"/>
      <c r="HRK21" s="1280"/>
      <c r="HRL21" s="1280"/>
      <c r="HRM21" s="1280"/>
      <c r="HRN21" s="1280"/>
      <c r="HRO21" s="1280"/>
      <c r="HRP21" s="1280"/>
      <c r="HRQ21" s="1280"/>
      <c r="HRR21" s="1280"/>
      <c r="HRS21" s="1280"/>
      <c r="HRT21" s="1280"/>
      <c r="HRU21" s="1280"/>
      <c r="HRV21" s="1280"/>
      <c r="HRW21" s="1280"/>
      <c r="HRX21" s="1280"/>
      <c r="HRY21" s="1280"/>
      <c r="HRZ21" s="1280"/>
      <c r="HSA21" s="1280"/>
      <c r="HSB21" s="1280"/>
      <c r="HSC21" s="1280"/>
      <c r="HSD21" s="1280"/>
      <c r="HSE21" s="1280"/>
      <c r="HSF21" s="1280"/>
      <c r="HSG21" s="1280"/>
      <c r="HSH21" s="1280"/>
      <c r="HSI21" s="1280"/>
      <c r="HSJ21" s="1280"/>
      <c r="HSK21" s="1280"/>
      <c r="HSL21" s="1280"/>
      <c r="HSM21" s="1280"/>
      <c r="HSN21" s="1280"/>
      <c r="HSO21" s="1280"/>
      <c r="HSP21" s="1280"/>
      <c r="HSQ21" s="1280"/>
      <c r="HSR21" s="1280"/>
      <c r="HSS21" s="1280"/>
      <c r="HST21" s="1280"/>
      <c r="HSU21" s="1280"/>
      <c r="HSV21" s="1280"/>
      <c r="HSW21" s="1280"/>
      <c r="HSX21" s="1280"/>
      <c r="HSY21" s="1280"/>
      <c r="HSZ21" s="1280"/>
      <c r="HTA21" s="1280"/>
      <c r="HTB21" s="1280"/>
      <c r="HTC21" s="1280"/>
      <c r="HTD21" s="1280"/>
      <c r="HTE21" s="1280"/>
      <c r="HTF21" s="1280"/>
      <c r="HTG21" s="1280"/>
      <c r="HTH21" s="1280"/>
      <c r="HTI21" s="1280"/>
      <c r="HTJ21" s="1280"/>
      <c r="HTK21" s="1280"/>
      <c r="HTL21" s="1280"/>
      <c r="HTM21" s="1280"/>
      <c r="HTN21" s="1280"/>
      <c r="HTO21" s="1280"/>
      <c r="HTP21" s="1280"/>
      <c r="HTQ21" s="1280"/>
      <c r="HTR21" s="1280"/>
      <c r="HTS21" s="1280"/>
      <c r="HTT21" s="1280"/>
      <c r="HTU21" s="1280"/>
      <c r="HTV21" s="1280"/>
      <c r="HTW21" s="1280"/>
      <c r="HTX21" s="1280"/>
      <c r="HTY21" s="1280"/>
      <c r="HTZ21" s="1280"/>
      <c r="HUA21" s="1280"/>
      <c r="HUB21" s="1280"/>
      <c r="HUC21" s="1280"/>
      <c r="HUD21" s="1280"/>
      <c r="HUE21" s="1280"/>
      <c r="HUF21" s="1280"/>
      <c r="HUG21" s="1280"/>
      <c r="HUH21" s="1280"/>
      <c r="HUI21" s="1280"/>
      <c r="HUJ21" s="1280"/>
      <c r="HUK21" s="1280"/>
      <c r="HUL21" s="1280"/>
      <c r="HUM21" s="1280"/>
      <c r="HUN21" s="1280"/>
      <c r="HUO21" s="1280"/>
      <c r="HUP21" s="1280"/>
      <c r="HUQ21" s="1280"/>
      <c r="HUR21" s="1280"/>
      <c r="HUS21" s="1280"/>
      <c r="HUT21" s="1280"/>
      <c r="HUU21" s="1280"/>
      <c r="HUV21" s="1280"/>
      <c r="HUW21" s="1280"/>
      <c r="HUX21" s="1280"/>
      <c r="HUY21" s="1280"/>
      <c r="HUZ21" s="1280"/>
      <c r="HVA21" s="1280"/>
      <c r="HVB21" s="1280"/>
      <c r="HVC21" s="1280"/>
      <c r="HVD21" s="1280"/>
      <c r="HVE21" s="1280"/>
      <c r="HVF21" s="1280"/>
      <c r="HVG21" s="1280"/>
      <c r="HVH21" s="1280"/>
      <c r="HVI21" s="1280"/>
      <c r="HVJ21" s="1280"/>
      <c r="HVK21" s="1280"/>
      <c r="HVL21" s="1280"/>
      <c r="HVM21" s="1280"/>
      <c r="HVN21" s="1280"/>
      <c r="HVO21" s="1280"/>
      <c r="HVP21" s="1280"/>
      <c r="HVQ21" s="1280"/>
      <c r="HVR21" s="1280"/>
      <c r="HVS21" s="1280"/>
      <c r="HVT21" s="1280"/>
      <c r="HVU21" s="1280"/>
      <c r="HVV21" s="1280"/>
      <c r="HVW21" s="1280"/>
      <c r="HVX21" s="1280"/>
      <c r="HVY21" s="1280"/>
      <c r="HVZ21" s="1280"/>
      <c r="HWA21" s="1280"/>
      <c r="HWB21" s="1280"/>
      <c r="HWC21" s="1280"/>
      <c r="HWD21" s="1280"/>
      <c r="HWE21" s="1280"/>
      <c r="HWF21" s="1280"/>
      <c r="HWG21" s="1280"/>
      <c r="HWH21" s="1280"/>
      <c r="HWI21" s="1280"/>
      <c r="HWJ21" s="1280"/>
      <c r="HWK21" s="1280"/>
      <c r="HWL21" s="1280"/>
      <c r="HWM21" s="1280"/>
      <c r="HWN21" s="1280"/>
      <c r="HWO21" s="1280"/>
      <c r="HWP21" s="1280"/>
      <c r="HWQ21" s="1280"/>
      <c r="HWR21" s="1280"/>
      <c r="HWS21" s="1280"/>
      <c r="HWT21" s="1280"/>
      <c r="HWU21" s="1280"/>
      <c r="HWV21" s="1280"/>
      <c r="HWW21" s="1280"/>
      <c r="HWX21" s="1280"/>
      <c r="HWY21" s="1280"/>
      <c r="HWZ21" s="1280"/>
      <c r="HXA21" s="1280"/>
      <c r="HXB21" s="1280"/>
      <c r="HXC21" s="1280"/>
      <c r="HXD21" s="1280"/>
      <c r="HXE21" s="1280"/>
      <c r="HXF21" s="1280"/>
      <c r="HXG21" s="1280"/>
      <c r="HXH21" s="1280"/>
      <c r="HXI21" s="1280"/>
      <c r="HXJ21" s="1280"/>
      <c r="HXK21" s="1280"/>
      <c r="HXL21" s="1280"/>
      <c r="HXM21" s="1280"/>
      <c r="HXN21" s="1280"/>
      <c r="HXO21" s="1280"/>
      <c r="HXP21" s="1280"/>
      <c r="HXQ21" s="1280"/>
      <c r="HXR21" s="1280"/>
      <c r="HXS21" s="1280"/>
      <c r="HXT21" s="1280"/>
      <c r="HXU21" s="1280"/>
      <c r="HXV21" s="1280"/>
      <c r="HXW21" s="1280"/>
      <c r="HXX21" s="1280"/>
      <c r="HXY21" s="1280"/>
      <c r="HXZ21" s="1280"/>
      <c r="HYA21" s="1280"/>
      <c r="HYB21" s="1280"/>
      <c r="HYC21" s="1280"/>
      <c r="HYD21" s="1280"/>
      <c r="HYE21" s="1280"/>
      <c r="HYF21" s="1280"/>
      <c r="HYG21" s="1280"/>
      <c r="HYH21" s="1280"/>
      <c r="HYI21" s="1280"/>
      <c r="HYJ21" s="1280"/>
      <c r="HYK21" s="1280"/>
      <c r="HYL21" s="1280"/>
      <c r="HYM21" s="1280"/>
      <c r="HYN21" s="1280"/>
      <c r="HYO21" s="1280"/>
      <c r="HYP21" s="1280"/>
      <c r="HYQ21" s="1280"/>
      <c r="HYR21" s="1280"/>
      <c r="HYS21" s="1280"/>
      <c r="HYT21" s="1280"/>
      <c r="HYU21" s="1280"/>
      <c r="HYV21" s="1280"/>
      <c r="HYW21" s="1280"/>
      <c r="HYX21" s="1280"/>
      <c r="HYY21" s="1280"/>
      <c r="HYZ21" s="1280"/>
      <c r="HZA21" s="1280"/>
      <c r="HZB21" s="1280"/>
      <c r="HZC21" s="1280"/>
      <c r="HZD21" s="1280"/>
      <c r="HZE21" s="1280"/>
      <c r="HZF21" s="1280"/>
      <c r="HZG21" s="1280"/>
      <c r="HZH21" s="1280"/>
      <c r="HZI21" s="1280"/>
      <c r="HZJ21" s="1280"/>
      <c r="HZK21" s="1280"/>
      <c r="HZL21" s="1280"/>
      <c r="HZM21" s="1280"/>
      <c r="HZN21" s="1280"/>
      <c r="HZO21" s="1280"/>
      <c r="HZP21" s="1280"/>
      <c r="HZQ21" s="1280"/>
      <c r="HZR21" s="1280"/>
      <c r="HZS21" s="1280"/>
      <c r="HZT21" s="1280"/>
      <c r="HZU21" s="1280"/>
      <c r="HZV21" s="1280"/>
      <c r="HZW21" s="1280"/>
      <c r="HZX21" s="1280"/>
      <c r="HZY21" s="1280"/>
      <c r="HZZ21" s="1280"/>
      <c r="IAA21" s="1280"/>
      <c r="IAB21" s="1280"/>
      <c r="IAC21" s="1280"/>
      <c r="IAD21" s="1280"/>
      <c r="IAE21" s="1280"/>
      <c r="IAF21" s="1280"/>
      <c r="IAG21" s="1280"/>
      <c r="IAH21" s="1280"/>
      <c r="IAI21" s="1280"/>
      <c r="IAJ21" s="1280"/>
      <c r="IAK21" s="1280"/>
      <c r="IAL21" s="1280"/>
      <c r="IAM21" s="1280"/>
      <c r="IAN21" s="1280"/>
      <c r="IAO21" s="1280"/>
      <c r="IAP21" s="1280"/>
      <c r="IAQ21" s="1280"/>
      <c r="IAR21" s="1280"/>
      <c r="IAS21" s="1280"/>
      <c r="IAT21" s="1280"/>
      <c r="IAU21" s="1280"/>
      <c r="IAV21" s="1280"/>
      <c r="IAW21" s="1280"/>
      <c r="IAX21" s="1280"/>
      <c r="IAY21" s="1280"/>
      <c r="IAZ21" s="1280"/>
      <c r="IBA21" s="1280"/>
      <c r="IBB21" s="1280"/>
      <c r="IBC21" s="1280"/>
      <c r="IBD21" s="1280"/>
      <c r="IBE21" s="1280"/>
      <c r="IBF21" s="1280"/>
      <c r="IBG21" s="1280"/>
      <c r="IBH21" s="1280"/>
      <c r="IBI21" s="1280"/>
      <c r="IBJ21" s="1280"/>
      <c r="IBK21" s="1280"/>
      <c r="IBL21" s="1280"/>
      <c r="IBM21" s="1280"/>
      <c r="IBN21" s="1280"/>
      <c r="IBO21" s="1280"/>
      <c r="IBP21" s="1280"/>
      <c r="IBQ21" s="1280"/>
      <c r="IBR21" s="1280"/>
      <c r="IBS21" s="1280"/>
      <c r="IBT21" s="1280"/>
      <c r="IBU21" s="1280"/>
      <c r="IBV21" s="1280"/>
      <c r="IBW21" s="1280"/>
      <c r="IBX21" s="1280"/>
      <c r="IBY21" s="1280"/>
      <c r="IBZ21" s="1280"/>
      <c r="ICA21" s="1280"/>
      <c r="ICB21" s="1280"/>
      <c r="ICC21" s="1280"/>
      <c r="ICD21" s="1280"/>
      <c r="ICE21" s="1280"/>
      <c r="ICF21" s="1280"/>
      <c r="ICG21" s="1280"/>
      <c r="ICH21" s="1280"/>
      <c r="ICI21" s="1280"/>
      <c r="ICJ21" s="1280"/>
      <c r="ICK21" s="1280"/>
      <c r="ICL21" s="1280"/>
      <c r="ICM21" s="1280"/>
      <c r="ICN21" s="1280"/>
      <c r="ICO21" s="1280"/>
      <c r="ICP21" s="1280"/>
      <c r="ICQ21" s="1280"/>
      <c r="ICR21" s="1280"/>
      <c r="ICS21" s="1280"/>
      <c r="ICT21" s="1280"/>
      <c r="ICU21" s="1280"/>
      <c r="ICV21" s="1280"/>
      <c r="ICW21" s="1280"/>
      <c r="ICX21" s="1280"/>
      <c r="ICY21" s="1280"/>
      <c r="ICZ21" s="1280"/>
      <c r="IDA21" s="1280"/>
      <c r="IDB21" s="1280"/>
      <c r="IDC21" s="1280"/>
      <c r="IDD21" s="1280"/>
      <c r="IDE21" s="1280"/>
      <c r="IDF21" s="1280"/>
      <c r="IDG21" s="1280"/>
      <c r="IDH21" s="1280"/>
      <c r="IDI21" s="1280"/>
      <c r="IDJ21" s="1280"/>
      <c r="IDK21" s="1280"/>
      <c r="IDL21" s="1280"/>
      <c r="IDM21" s="1280"/>
      <c r="IDN21" s="1280"/>
      <c r="IDO21" s="1280"/>
      <c r="IDP21" s="1280"/>
      <c r="IDQ21" s="1280"/>
      <c r="IDR21" s="1280"/>
      <c r="IDS21" s="1280"/>
      <c r="IDT21" s="1280"/>
      <c r="IDU21" s="1280"/>
      <c r="IDV21" s="1280"/>
      <c r="IDW21" s="1280"/>
      <c r="IDX21" s="1280"/>
      <c r="IDY21" s="1280"/>
      <c r="IDZ21" s="1280"/>
      <c r="IEA21" s="1280"/>
      <c r="IEB21" s="1280"/>
      <c r="IEC21" s="1280"/>
      <c r="IED21" s="1280"/>
      <c r="IEE21" s="1280"/>
      <c r="IEF21" s="1280"/>
      <c r="IEG21" s="1280"/>
      <c r="IEH21" s="1280"/>
      <c r="IEI21" s="1280"/>
      <c r="IEJ21" s="1280"/>
      <c r="IEK21" s="1280"/>
      <c r="IEL21" s="1280"/>
      <c r="IEM21" s="1280"/>
      <c r="IEN21" s="1280"/>
      <c r="IEO21" s="1280"/>
      <c r="IEP21" s="1280"/>
      <c r="IEQ21" s="1280"/>
      <c r="IER21" s="1280"/>
      <c r="IES21" s="1280"/>
      <c r="IET21" s="1280"/>
      <c r="IEU21" s="1280"/>
      <c r="IEV21" s="1280"/>
      <c r="IEW21" s="1280"/>
      <c r="IEX21" s="1280"/>
      <c r="IEY21" s="1280"/>
      <c r="IEZ21" s="1280"/>
      <c r="IFA21" s="1280"/>
      <c r="IFB21" s="1280"/>
      <c r="IFC21" s="1280"/>
      <c r="IFD21" s="1280"/>
      <c r="IFE21" s="1280"/>
      <c r="IFF21" s="1280"/>
      <c r="IFG21" s="1280"/>
      <c r="IFH21" s="1280"/>
      <c r="IFI21" s="1280"/>
      <c r="IFJ21" s="1280"/>
      <c r="IFK21" s="1280"/>
      <c r="IFL21" s="1280"/>
      <c r="IFM21" s="1280"/>
      <c r="IFN21" s="1280"/>
      <c r="IFO21" s="1280"/>
      <c r="IFP21" s="1280"/>
      <c r="IFQ21" s="1280"/>
      <c r="IFR21" s="1280"/>
      <c r="IFS21" s="1280"/>
      <c r="IFT21" s="1280"/>
      <c r="IFU21" s="1280"/>
      <c r="IFV21" s="1280"/>
      <c r="IFW21" s="1280"/>
      <c r="IFX21" s="1280"/>
      <c r="IFY21" s="1280"/>
      <c r="IFZ21" s="1280"/>
      <c r="IGA21" s="1280"/>
      <c r="IGB21" s="1280"/>
      <c r="IGC21" s="1280"/>
      <c r="IGD21" s="1280"/>
      <c r="IGE21" s="1280"/>
      <c r="IGF21" s="1280"/>
      <c r="IGG21" s="1280"/>
      <c r="IGH21" s="1280"/>
      <c r="IGI21" s="1280"/>
      <c r="IGJ21" s="1280"/>
      <c r="IGK21" s="1280"/>
      <c r="IGL21" s="1280"/>
      <c r="IGM21" s="1280"/>
      <c r="IGN21" s="1280"/>
      <c r="IGO21" s="1280"/>
      <c r="IGP21" s="1280"/>
      <c r="IGQ21" s="1280"/>
      <c r="IGR21" s="1280"/>
      <c r="IGS21" s="1280"/>
      <c r="IGT21" s="1280"/>
      <c r="IGU21" s="1280"/>
      <c r="IGV21" s="1280"/>
      <c r="IGW21" s="1280"/>
      <c r="IGX21" s="1280"/>
      <c r="IGY21" s="1280"/>
      <c r="IGZ21" s="1280"/>
      <c r="IHA21" s="1280"/>
      <c r="IHB21" s="1280"/>
      <c r="IHC21" s="1280"/>
      <c r="IHD21" s="1280"/>
      <c r="IHE21" s="1280"/>
      <c r="IHF21" s="1280"/>
      <c r="IHG21" s="1280"/>
      <c r="IHH21" s="1280"/>
      <c r="IHI21" s="1280"/>
      <c r="IHJ21" s="1280"/>
      <c r="IHK21" s="1280"/>
      <c r="IHL21" s="1280"/>
      <c r="IHM21" s="1280"/>
      <c r="IHN21" s="1280"/>
      <c r="IHO21" s="1280"/>
      <c r="IHP21" s="1280"/>
      <c r="IHQ21" s="1280"/>
      <c r="IHR21" s="1280"/>
      <c r="IHS21" s="1280"/>
      <c r="IHT21" s="1280"/>
      <c r="IHU21" s="1280"/>
      <c r="IHV21" s="1280"/>
      <c r="IHW21" s="1280"/>
      <c r="IHX21" s="1280"/>
      <c r="IHY21" s="1280"/>
      <c r="IHZ21" s="1280"/>
      <c r="IIA21" s="1280"/>
      <c r="IIB21" s="1280"/>
      <c r="IIC21" s="1280"/>
      <c r="IID21" s="1280"/>
      <c r="IIE21" s="1280"/>
      <c r="IIF21" s="1280"/>
      <c r="IIG21" s="1280"/>
      <c r="IIH21" s="1280"/>
      <c r="III21" s="1280"/>
      <c r="IIJ21" s="1280"/>
      <c r="IIK21" s="1280"/>
      <c r="IIL21" s="1280"/>
      <c r="IIM21" s="1280"/>
      <c r="IIN21" s="1280"/>
      <c r="IIO21" s="1280"/>
      <c r="IIP21" s="1280"/>
      <c r="IIQ21" s="1280"/>
      <c r="IIR21" s="1280"/>
      <c r="IIS21" s="1280"/>
      <c r="IIT21" s="1280"/>
      <c r="IIU21" s="1280"/>
      <c r="IIV21" s="1280"/>
      <c r="IIW21" s="1280"/>
      <c r="IIX21" s="1280"/>
      <c r="IIY21" s="1280"/>
      <c r="IIZ21" s="1280"/>
      <c r="IJA21" s="1280"/>
      <c r="IJB21" s="1280"/>
      <c r="IJC21" s="1280"/>
      <c r="IJD21" s="1280"/>
      <c r="IJE21" s="1280"/>
      <c r="IJF21" s="1280"/>
      <c r="IJG21" s="1280"/>
      <c r="IJH21" s="1280"/>
      <c r="IJI21" s="1280"/>
      <c r="IJJ21" s="1280"/>
      <c r="IJK21" s="1280"/>
      <c r="IJL21" s="1280"/>
      <c r="IJM21" s="1280"/>
      <c r="IJN21" s="1280"/>
      <c r="IJO21" s="1280"/>
      <c r="IJP21" s="1280"/>
      <c r="IJQ21" s="1280"/>
      <c r="IJR21" s="1280"/>
      <c r="IJS21" s="1280"/>
      <c r="IJT21" s="1280"/>
      <c r="IJU21" s="1280"/>
      <c r="IJV21" s="1280"/>
      <c r="IJW21" s="1280"/>
      <c r="IJX21" s="1280"/>
      <c r="IJY21" s="1280"/>
      <c r="IJZ21" s="1280"/>
      <c r="IKA21" s="1280"/>
      <c r="IKB21" s="1280"/>
      <c r="IKC21" s="1280"/>
      <c r="IKD21" s="1280"/>
      <c r="IKE21" s="1280"/>
      <c r="IKF21" s="1280"/>
      <c r="IKG21" s="1280"/>
      <c r="IKH21" s="1280"/>
      <c r="IKI21" s="1280"/>
      <c r="IKJ21" s="1280"/>
      <c r="IKK21" s="1280"/>
      <c r="IKL21" s="1280"/>
      <c r="IKM21" s="1280"/>
      <c r="IKN21" s="1280"/>
      <c r="IKO21" s="1280"/>
      <c r="IKP21" s="1280"/>
      <c r="IKQ21" s="1280"/>
      <c r="IKR21" s="1280"/>
      <c r="IKS21" s="1280"/>
      <c r="IKT21" s="1280"/>
      <c r="IKU21" s="1280"/>
      <c r="IKV21" s="1280"/>
      <c r="IKW21" s="1280"/>
      <c r="IKX21" s="1280"/>
      <c r="IKY21" s="1280"/>
      <c r="IKZ21" s="1280"/>
      <c r="ILA21" s="1280"/>
      <c r="ILB21" s="1280"/>
      <c r="ILC21" s="1280"/>
      <c r="ILD21" s="1280"/>
      <c r="ILE21" s="1280"/>
      <c r="ILF21" s="1280"/>
      <c r="ILG21" s="1280"/>
      <c r="ILH21" s="1280"/>
      <c r="ILI21" s="1280"/>
      <c r="ILJ21" s="1280"/>
      <c r="ILK21" s="1280"/>
      <c r="ILL21" s="1280"/>
      <c r="ILM21" s="1280"/>
      <c r="ILN21" s="1280"/>
      <c r="ILO21" s="1280"/>
      <c r="ILP21" s="1280"/>
      <c r="ILQ21" s="1280"/>
      <c r="ILR21" s="1280"/>
      <c r="ILS21" s="1280"/>
      <c r="ILT21" s="1280"/>
      <c r="ILU21" s="1280"/>
      <c r="ILV21" s="1280"/>
      <c r="ILW21" s="1280"/>
      <c r="ILX21" s="1280"/>
      <c r="ILY21" s="1280"/>
      <c r="ILZ21" s="1280"/>
      <c r="IMA21" s="1280"/>
      <c r="IMB21" s="1280"/>
      <c r="IMC21" s="1280"/>
      <c r="IMD21" s="1280"/>
      <c r="IME21" s="1280"/>
      <c r="IMF21" s="1280"/>
      <c r="IMG21" s="1280"/>
      <c r="IMH21" s="1280"/>
      <c r="IMI21" s="1280"/>
      <c r="IMJ21" s="1280"/>
      <c r="IMK21" s="1280"/>
      <c r="IML21" s="1280"/>
      <c r="IMM21" s="1280"/>
      <c r="IMN21" s="1280"/>
      <c r="IMO21" s="1280"/>
      <c r="IMP21" s="1280"/>
      <c r="IMQ21" s="1280"/>
      <c r="IMR21" s="1280"/>
      <c r="IMS21" s="1280"/>
      <c r="IMT21" s="1280"/>
      <c r="IMU21" s="1280"/>
      <c r="IMV21" s="1280"/>
      <c r="IMW21" s="1280"/>
      <c r="IMX21" s="1280"/>
      <c r="IMY21" s="1280"/>
      <c r="IMZ21" s="1280"/>
      <c r="INA21" s="1280"/>
      <c r="INB21" s="1280"/>
      <c r="INC21" s="1280"/>
      <c r="IND21" s="1280"/>
      <c r="INE21" s="1280"/>
      <c r="INF21" s="1280"/>
      <c r="ING21" s="1280"/>
      <c r="INH21" s="1280"/>
      <c r="INI21" s="1280"/>
      <c r="INJ21" s="1280"/>
      <c r="INK21" s="1280"/>
      <c r="INL21" s="1280"/>
      <c r="INM21" s="1280"/>
      <c r="INN21" s="1280"/>
      <c r="INO21" s="1280"/>
      <c r="INP21" s="1280"/>
      <c r="INQ21" s="1280"/>
      <c r="INR21" s="1280"/>
      <c r="INS21" s="1280"/>
      <c r="INT21" s="1280"/>
      <c r="INU21" s="1280"/>
      <c r="INV21" s="1280"/>
      <c r="INW21" s="1280"/>
      <c r="INX21" s="1280"/>
      <c r="INY21" s="1280"/>
      <c r="INZ21" s="1280"/>
      <c r="IOA21" s="1280"/>
      <c r="IOB21" s="1280"/>
      <c r="IOC21" s="1280"/>
      <c r="IOD21" s="1280"/>
      <c r="IOE21" s="1280"/>
      <c r="IOF21" s="1280"/>
      <c r="IOG21" s="1280"/>
      <c r="IOH21" s="1280"/>
      <c r="IOI21" s="1280"/>
      <c r="IOJ21" s="1280"/>
      <c r="IOK21" s="1280"/>
      <c r="IOL21" s="1280"/>
      <c r="IOM21" s="1280"/>
      <c r="ION21" s="1280"/>
      <c r="IOO21" s="1280"/>
      <c r="IOP21" s="1280"/>
      <c r="IOQ21" s="1280"/>
      <c r="IOR21" s="1280"/>
      <c r="IOS21" s="1280"/>
      <c r="IOT21" s="1280"/>
      <c r="IOU21" s="1280"/>
      <c r="IOV21" s="1280"/>
      <c r="IOW21" s="1280"/>
      <c r="IOX21" s="1280"/>
      <c r="IOY21" s="1280"/>
      <c r="IOZ21" s="1280"/>
      <c r="IPA21" s="1280"/>
      <c r="IPB21" s="1280"/>
      <c r="IPC21" s="1280"/>
      <c r="IPD21" s="1280"/>
      <c r="IPE21" s="1280"/>
      <c r="IPF21" s="1280"/>
      <c r="IPG21" s="1280"/>
      <c r="IPH21" s="1280"/>
      <c r="IPI21" s="1280"/>
      <c r="IPJ21" s="1280"/>
      <c r="IPK21" s="1280"/>
      <c r="IPL21" s="1280"/>
      <c r="IPM21" s="1280"/>
      <c r="IPN21" s="1280"/>
      <c r="IPO21" s="1280"/>
      <c r="IPP21" s="1280"/>
      <c r="IPQ21" s="1280"/>
      <c r="IPR21" s="1280"/>
      <c r="IPS21" s="1280"/>
      <c r="IPT21" s="1280"/>
      <c r="IPU21" s="1280"/>
      <c r="IPV21" s="1280"/>
      <c r="IPW21" s="1280"/>
      <c r="IPX21" s="1280"/>
      <c r="IPY21" s="1280"/>
      <c r="IPZ21" s="1280"/>
      <c r="IQA21" s="1280"/>
      <c r="IQB21" s="1280"/>
      <c r="IQC21" s="1280"/>
      <c r="IQD21" s="1280"/>
      <c r="IQE21" s="1280"/>
      <c r="IQF21" s="1280"/>
      <c r="IQG21" s="1280"/>
      <c r="IQH21" s="1280"/>
      <c r="IQI21" s="1280"/>
      <c r="IQJ21" s="1280"/>
      <c r="IQK21" s="1280"/>
      <c r="IQL21" s="1280"/>
      <c r="IQM21" s="1280"/>
      <c r="IQN21" s="1280"/>
      <c r="IQO21" s="1280"/>
      <c r="IQP21" s="1280"/>
      <c r="IQQ21" s="1280"/>
      <c r="IQR21" s="1280"/>
      <c r="IQS21" s="1280"/>
      <c r="IQT21" s="1280"/>
      <c r="IQU21" s="1280"/>
      <c r="IQV21" s="1280"/>
      <c r="IQW21" s="1280"/>
      <c r="IQX21" s="1280"/>
      <c r="IQY21" s="1280"/>
      <c r="IQZ21" s="1280"/>
      <c r="IRA21" s="1280"/>
      <c r="IRB21" s="1280"/>
      <c r="IRC21" s="1280"/>
      <c r="IRD21" s="1280"/>
      <c r="IRE21" s="1280"/>
      <c r="IRF21" s="1280"/>
      <c r="IRG21" s="1280"/>
      <c r="IRH21" s="1280"/>
      <c r="IRI21" s="1280"/>
      <c r="IRJ21" s="1280"/>
      <c r="IRK21" s="1280"/>
      <c r="IRL21" s="1280"/>
      <c r="IRM21" s="1280"/>
      <c r="IRN21" s="1280"/>
      <c r="IRO21" s="1280"/>
      <c r="IRP21" s="1280"/>
      <c r="IRQ21" s="1280"/>
      <c r="IRR21" s="1280"/>
      <c r="IRS21" s="1280"/>
      <c r="IRT21" s="1280"/>
      <c r="IRU21" s="1280"/>
      <c r="IRV21" s="1280"/>
      <c r="IRW21" s="1280"/>
      <c r="IRX21" s="1280"/>
      <c r="IRY21" s="1280"/>
      <c r="IRZ21" s="1280"/>
      <c r="ISA21" s="1280"/>
      <c r="ISB21" s="1280"/>
      <c r="ISC21" s="1280"/>
      <c r="ISD21" s="1280"/>
      <c r="ISE21" s="1280"/>
      <c r="ISF21" s="1280"/>
      <c r="ISG21" s="1280"/>
      <c r="ISH21" s="1280"/>
      <c r="ISI21" s="1280"/>
      <c r="ISJ21" s="1280"/>
      <c r="ISK21" s="1280"/>
      <c r="ISL21" s="1280"/>
      <c r="ISM21" s="1280"/>
      <c r="ISN21" s="1280"/>
      <c r="ISO21" s="1280"/>
      <c r="ISP21" s="1280"/>
      <c r="ISQ21" s="1280"/>
      <c r="ISR21" s="1280"/>
      <c r="ISS21" s="1280"/>
      <c r="IST21" s="1280"/>
      <c r="ISU21" s="1280"/>
      <c r="ISV21" s="1280"/>
      <c r="ISW21" s="1280"/>
      <c r="ISX21" s="1280"/>
      <c r="ISY21" s="1280"/>
      <c r="ISZ21" s="1280"/>
      <c r="ITA21" s="1280"/>
      <c r="ITB21" s="1280"/>
      <c r="ITC21" s="1280"/>
      <c r="ITD21" s="1280"/>
      <c r="ITE21" s="1280"/>
      <c r="ITF21" s="1280"/>
      <c r="ITG21" s="1280"/>
      <c r="ITH21" s="1280"/>
      <c r="ITI21" s="1280"/>
      <c r="ITJ21" s="1280"/>
      <c r="ITK21" s="1280"/>
      <c r="ITL21" s="1280"/>
      <c r="ITM21" s="1280"/>
      <c r="ITN21" s="1280"/>
      <c r="ITO21" s="1280"/>
      <c r="ITP21" s="1280"/>
      <c r="ITQ21" s="1280"/>
      <c r="ITR21" s="1280"/>
      <c r="ITS21" s="1280"/>
      <c r="ITT21" s="1280"/>
      <c r="ITU21" s="1280"/>
      <c r="ITV21" s="1280"/>
      <c r="ITW21" s="1280"/>
      <c r="ITX21" s="1280"/>
      <c r="ITY21" s="1280"/>
      <c r="ITZ21" s="1280"/>
      <c r="IUA21" s="1280"/>
      <c r="IUB21" s="1280"/>
      <c r="IUC21" s="1280"/>
      <c r="IUD21" s="1280"/>
      <c r="IUE21" s="1280"/>
      <c r="IUF21" s="1280"/>
      <c r="IUG21" s="1280"/>
      <c r="IUH21" s="1280"/>
      <c r="IUI21" s="1280"/>
      <c r="IUJ21" s="1280"/>
      <c r="IUK21" s="1280"/>
      <c r="IUL21" s="1280"/>
      <c r="IUM21" s="1280"/>
      <c r="IUN21" s="1280"/>
      <c r="IUO21" s="1280"/>
      <c r="IUP21" s="1280"/>
      <c r="IUQ21" s="1280"/>
      <c r="IUR21" s="1280"/>
      <c r="IUS21" s="1280"/>
      <c r="IUT21" s="1280"/>
      <c r="IUU21" s="1280"/>
      <c r="IUV21" s="1280"/>
      <c r="IUW21" s="1280"/>
      <c r="IUX21" s="1280"/>
      <c r="IUY21" s="1280"/>
      <c r="IUZ21" s="1280"/>
      <c r="IVA21" s="1280"/>
      <c r="IVB21" s="1280"/>
      <c r="IVC21" s="1280"/>
      <c r="IVD21" s="1280"/>
      <c r="IVE21" s="1280"/>
      <c r="IVF21" s="1280"/>
      <c r="IVG21" s="1280"/>
      <c r="IVH21" s="1280"/>
      <c r="IVI21" s="1280"/>
      <c r="IVJ21" s="1280"/>
      <c r="IVK21" s="1280"/>
      <c r="IVL21" s="1280"/>
      <c r="IVM21" s="1280"/>
      <c r="IVN21" s="1280"/>
      <c r="IVO21" s="1280"/>
      <c r="IVP21" s="1280"/>
      <c r="IVQ21" s="1280"/>
      <c r="IVR21" s="1280"/>
      <c r="IVS21" s="1280"/>
      <c r="IVT21" s="1280"/>
      <c r="IVU21" s="1280"/>
      <c r="IVV21" s="1280"/>
      <c r="IVW21" s="1280"/>
      <c r="IVX21" s="1280"/>
      <c r="IVY21" s="1280"/>
      <c r="IVZ21" s="1280"/>
      <c r="IWA21" s="1280"/>
      <c r="IWB21" s="1280"/>
      <c r="IWC21" s="1280"/>
      <c r="IWD21" s="1280"/>
      <c r="IWE21" s="1280"/>
      <c r="IWF21" s="1280"/>
      <c r="IWG21" s="1280"/>
      <c r="IWH21" s="1280"/>
      <c r="IWI21" s="1280"/>
      <c r="IWJ21" s="1280"/>
      <c r="IWK21" s="1280"/>
      <c r="IWL21" s="1280"/>
      <c r="IWM21" s="1280"/>
      <c r="IWN21" s="1280"/>
      <c r="IWO21" s="1280"/>
      <c r="IWP21" s="1280"/>
      <c r="IWQ21" s="1280"/>
      <c r="IWR21" s="1280"/>
      <c r="IWS21" s="1280"/>
      <c r="IWT21" s="1280"/>
      <c r="IWU21" s="1280"/>
      <c r="IWV21" s="1280"/>
      <c r="IWW21" s="1280"/>
      <c r="IWX21" s="1280"/>
      <c r="IWY21" s="1280"/>
      <c r="IWZ21" s="1280"/>
      <c r="IXA21" s="1280"/>
      <c r="IXB21" s="1280"/>
      <c r="IXC21" s="1280"/>
      <c r="IXD21" s="1280"/>
      <c r="IXE21" s="1280"/>
      <c r="IXF21" s="1280"/>
      <c r="IXG21" s="1280"/>
      <c r="IXH21" s="1280"/>
      <c r="IXI21" s="1280"/>
      <c r="IXJ21" s="1280"/>
      <c r="IXK21" s="1280"/>
      <c r="IXL21" s="1280"/>
      <c r="IXM21" s="1280"/>
      <c r="IXN21" s="1280"/>
      <c r="IXO21" s="1280"/>
      <c r="IXP21" s="1280"/>
      <c r="IXQ21" s="1280"/>
      <c r="IXR21" s="1280"/>
      <c r="IXS21" s="1280"/>
      <c r="IXT21" s="1280"/>
      <c r="IXU21" s="1280"/>
      <c r="IXV21" s="1280"/>
      <c r="IXW21" s="1280"/>
      <c r="IXX21" s="1280"/>
      <c r="IXY21" s="1280"/>
      <c r="IXZ21" s="1280"/>
      <c r="IYA21" s="1280"/>
      <c r="IYB21" s="1280"/>
      <c r="IYC21" s="1280"/>
      <c r="IYD21" s="1280"/>
      <c r="IYE21" s="1280"/>
      <c r="IYF21" s="1280"/>
      <c r="IYG21" s="1280"/>
      <c r="IYH21" s="1280"/>
      <c r="IYI21" s="1280"/>
      <c r="IYJ21" s="1280"/>
      <c r="IYK21" s="1280"/>
      <c r="IYL21" s="1280"/>
      <c r="IYM21" s="1280"/>
      <c r="IYN21" s="1280"/>
      <c r="IYO21" s="1280"/>
      <c r="IYP21" s="1280"/>
      <c r="IYQ21" s="1280"/>
      <c r="IYR21" s="1280"/>
      <c r="IYS21" s="1280"/>
      <c r="IYT21" s="1280"/>
      <c r="IYU21" s="1280"/>
      <c r="IYV21" s="1280"/>
      <c r="IYW21" s="1280"/>
      <c r="IYX21" s="1280"/>
      <c r="IYY21" s="1280"/>
      <c r="IYZ21" s="1280"/>
      <c r="IZA21" s="1280"/>
      <c r="IZB21" s="1280"/>
      <c r="IZC21" s="1280"/>
      <c r="IZD21" s="1280"/>
      <c r="IZE21" s="1280"/>
      <c r="IZF21" s="1280"/>
      <c r="IZG21" s="1280"/>
      <c r="IZH21" s="1280"/>
      <c r="IZI21" s="1280"/>
      <c r="IZJ21" s="1280"/>
      <c r="IZK21" s="1280"/>
      <c r="IZL21" s="1280"/>
      <c r="IZM21" s="1280"/>
      <c r="IZN21" s="1280"/>
      <c r="IZO21" s="1280"/>
      <c r="IZP21" s="1280"/>
      <c r="IZQ21" s="1280"/>
      <c r="IZR21" s="1280"/>
      <c r="IZS21" s="1280"/>
      <c r="IZT21" s="1280"/>
      <c r="IZU21" s="1280"/>
      <c r="IZV21" s="1280"/>
      <c r="IZW21" s="1280"/>
      <c r="IZX21" s="1280"/>
      <c r="IZY21" s="1280"/>
      <c r="IZZ21" s="1280"/>
      <c r="JAA21" s="1280"/>
      <c r="JAB21" s="1280"/>
      <c r="JAC21" s="1280"/>
      <c r="JAD21" s="1280"/>
      <c r="JAE21" s="1280"/>
      <c r="JAF21" s="1280"/>
      <c r="JAG21" s="1280"/>
      <c r="JAH21" s="1280"/>
      <c r="JAI21" s="1280"/>
      <c r="JAJ21" s="1280"/>
      <c r="JAK21" s="1280"/>
      <c r="JAL21" s="1280"/>
      <c r="JAM21" s="1280"/>
      <c r="JAN21" s="1280"/>
      <c r="JAO21" s="1280"/>
      <c r="JAP21" s="1280"/>
      <c r="JAQ21" s="1280"/>
      <c r="JAR21" s="1280"/>
      <c r="JAS21" s="1280"/>
      <c r="JAT21" s="1280"/>
      <c r="JAU21" s="1280"/>
      <c r="JAV21" s="1280"/>
      <c r="JAW21" s="1280"/>
      <c r="JAX21" s="1280"/>
      <c r="JAY21" s="1280"/>
      <c r="JAZ21" s="1280"/>
      <c r="JBA21" s="1280"/>
      <c r="JBB21" s="1280"/>
      <c r="JBC21" s="1280"/>
      <c r="JBD21" s="1280"/>
      <c r="JBE21" s="1280"/>
      <c r="JBF21" s="1280"/>
      <c r="JBG21" s="1280"/>
      <c r="JBH21" s="1280"/>
      <c r="JBI21" s="1280"/>
      <c r="JBJ21" s="1280"/>
      <c r="JBK21" s="1280"/>
      <c r="JBL21" s="1280"/>
      <c r="JBM21" s="1280"/>
      <c r="JBN21" s="1280"/>
      <c r="JBO21" s="1280"/>
      <c r="JBP21" s="1280"/>
      <c r="JBQ21" s="1280"/>
      <c r="JBR21" s="1280"/>
      <c r="JBS21" s="1280"/>
      <c r="JBT21" s="1280"/>
      <c r="JBU21" s="1280"/>
      <c r="JBV21" s="1280"/>
      <c r="JBW21" s="1280"/>
      <c r="JBX21" s="1280"/>
      <c r="JBY21" s="1280"/>
      <c r="JBZ21" s="1280"/>
      <c r="JCA21" s="1280"/>
      <c r="JCB21" s="1280"/>
      <c r="JCC21" s="1280"/>
      <c r="JCD21" s="1280"/>
      <c r="JCE21" s="1280"/>
      <c r="JCF21" s="1280"/>
      <c r="JCG21" s="1280"/>
      <c r="JCH21" s="1280"/>
      <c r="JCI21" s="1280"/>
      <c r="JCJ21" s="1280"/>
      <c r="JCK21" s="1280"/>
      <c r="JCL21" s="1280"/>
      <c r="JCM21" s="1280"/>
      <c r="JCN21" s="1280"/>
      <c r="JCO21" s="1280"/>
      <c r="JCP21" s="1280"/>
      <c r="JCQ21" s="1280"/>
      <c r="JCR21" s="1280"/>
      <c r="JCS21" s="1280"/>
      <c r="JCT21" s="1280"/>
      <c r="JCU21" s="1280"/>
      <c r="JCV21" s="1280"/>
      <c r="JCW21" s="1280"/>
      <c r="JCX21" s="1280"/>
      <c r="JCY21" s="1280"/>
      <c r="JCZ21" s="1280"/>
      <c r="JDA21" s="1280"/>
      <c r="JDB21" s="1280"/>
      <c r="JDC21" s="1280"/>
      <c r="JDD21" s="1280"/>
      <c r="JDE21" s="1280"/>
      <c r="JDF21" s="1280"/>
      <c r="JDG21" s="1280"/>
      <c r="JDH21" s="1280"/>
      <c r="JDI21" s="1280"/>
      <c r="JDJ21" s="1280"/>
      <c r="JDK21" s="1280"/>
      <c r="JDL21" s="1280"/>
      <c r="JDM21" s="1280"/>
      <c r="JDN21" s="1280"/>
      <c r="JDO21" s="1280"/>
      <c r="JDP21" s="1280"/>
      <c r="JDQ21" s="1280"/>
      <c r="JDR21" s="1280"/>
      <c r="JDS21" s="1280"/>
      <c r="JDT21" s="1280"/>
      <c r="JDU21" s="1280"/>
      <c r="JDV21" s="1280"/>
      <c r="JDW21" s="1280"/>
      <c r="JDX21" s="1280"/>
      <c r="JDY21" s="1280"/>
      <c r="JDZ21" s="1280"/>
      <c r="JEA21" s="1280"/>
      <c r="JEB21" s="1280"/>
      <c r="JEC21" s="1280"/>
      <c r="JED21" s="1280"/>
      <c r="JEE21" s="1280"/>
      <c r="JEF21" s="1280"/>
      <c r="JEG21" s="1280"/>
      <c r="JEH21" s="1280"/>
      <c r="JEI21" s="1280"/>
      <c r="JEJ21" s="1280"/>
      <c r="JEK21" s="1280"/>
      <c r="JEL21" s="1280"/>
      <c r="JEM21" s="1280"/>
      <c r="JEN21" s="1280"/>
      <c r="JEO21" s="1280"/>
      <c r="JEP21" s="1280"/>
      <c r="JEQ21" s="1280"/>
      <c r="JER21" s="1280"/>
      <c r="JES21" s="1280"/>
      <c r="JET21" s="1280"/>
      <c r="JEU21" s="1280"/>
      <c r="JEV21" s="1280"/>
      <c r="JEW21" s="1280"/>
      <c r="JEX21" s="1280"/>
      <c r="JEY21" s="1280"/>
      <c r="JEZ21" s="1280"/>
      <c r="JFA21" s="1280"/>
      <c r="JFB21" s="1280"/>
      <c r="JFC21" s="1280"/>
      <c r="JFD21" s="1280"/>
      <c r="JFE21" s="1280"/>
      <c r="JFF21" s="1280"/>
      <c r="JFG21" s="1280"/>
      <c r="JFH21" s="1280"/>
      <c r="JFI21" s="1280"/>
      <c r="JFJ21" s="1280"/>
      <c r="JFK21" s="1280"/>
      <c r="JFL21" s="1280"/>
      <c r="JFM21" s="1280"/>
      <c r="JFN21" s="1280"/>
      <c r="JFO21" s="1280"/>
      <c r="JFP21" s="1280"/>
      <c r="JFQ21" s="1280"/>
      <c r="JFR21" s="1280"/>
      <c r="JFS21" s="1280"/>
      <c r="JFT21" s="1280"/>
      <c r="JFU21" s="1280"/>
      <c r="JFV21" s="1280"/>
      <c r="JFW21" s="1280"/>
      <c r="JFX21" s="1280"/>
      <c r="JFY21" s="1280"/>
      <c r="JFZ21" s="1280"/>
      <c r="JGA21" s="1280"/>
      <c r="JGB21" s="1280"/>
      <c r="JGC21" s="1280"/>
      <c r="JGD21" s="1280"/>
      <c r="JGE21" s="1280"/>
      <c r="JGF21" s="1280"/>
      <c r="JGG21" s="1280"/>
      <c r="JGH21" s="1280"/>
      <c r="JGI21" s="1280"/>
      <c r="JGJ21" s="1280"/>
      <c r="JGK21" s="1280"/>
      <c r="JGL21" s="1280"/>
      <c r="JGM21" s="1280"/>
      <c r="JGN21" s="1280"/>
      <c r="JGO21" s="1280"/>
      <c r="JGP21" s="1280"/>
      <c r="JGQ21" s="1280"/>
      <c r="JGR21" s="1280"/>
      <c r="JGS21" s="1280"/>
      <c r="JGT21" s="1280"/>
      <c r="JGU21" s="1280"/>
      <c r="JGV21" s="1280"/>
      <c r="JGW21" s="1280"/>
      <c r="JGX21" s="1280"/>
      <c r="JGY21" s="1280"/>
      <c r="JGZ21" s="1280"/>
      <c r="JHA21" s="1280"/>
      <c r="JHB21" s="1280"/>
      <c r="JHC21" s="1280"/>
      <c r="JHD21" s="1280"/>
      <c r="JHE21" s="1280"/>
      <c r="JHF21" s="1280"/>
      <c r="JHG21" s="1280"/>
      <c r="JHH21" s="1280"/>
      <c r="JHI21" s="1280"/>
      <c r="JHJ21" s="1280"/>
      <c r="JHK21" s="1280"/>
      <c r="JHL21" s="1280"/>
      <c r="JHM21" s="1280"/>
      <c r="JHN21" s="1280"/>
      <c r="JHO21" s="1280"/>
      <c r="JHP21" s="1280"/>
      <c r="JHQ21" s="1280"/>
      <c r="JHR21" s="1280"/>
      <c r="JHS21" s="1280"/>
      <c r="JHT21" s="1280"/>
      <c r="JHU21" s="1280"/>
      <c r="JHV21" s="1280"/>
      <c r="JHW21" s="1280"/>
      <c r="JHX21" s="1280"/>
      <c r="JHY21" s="1280"/>
      <c r="JHZ21" s="1280"/>
      <c r="JIA21" s="1280"/>
      <c r="JIB21" s="1280"/>
      <c r="JIC21" s="1280"/>
      <c r="JID21" s="1280"/>
      <c r="JIE21" s="1280"/>
      <c r="JIF21" s="1280"/>
      <c r="JIG21" s="1280"/>
      <c r="JIH21" s="1280"/>
      <c r="JII21" s="1280"/>
      <c r="JIJ21" s="1280"/>
      <c r="JIK21" s="1280"/>
      <c r="JIL21" s="1280"/>
      <c r="JIM21" s="1280"/>
      <c r="JIN21" s="1280"/>
      <c r="JIO21" s="1280"/>
      <c r="JIP21" s="1280"/>
      <c r="JIQ21" s="1280"/>
      <c r="JIR21" s="1280"/>
      <c r="JIS21" s="1280"/>
      <c r="JIT21" s="1280"/>
      <c r="JIU21" s="1280"/>
      <c r="JIV21" s="1280"/>
      <c r="JIW21" s="1280"/>
      <c r="JIX21" s="1280"/>
      <c r="JIY21" s="1280"/>
      <c r="JIZ21" s="1280"/>
      <c r="JJA21" s="1280"/>
      <c r="JJB21" s="1280"/>
      <c r="JJC21" s="1280"/>
      <c r="JJD21" s="1280"/>
      <c r="JJE21" s="1280"/>
      <c r="JJF21" s="1280"/>
      <c r="JJG21" s="1280"/>
      <c r="JJH21" s="1280"/>
      <c r="JJI21" s="1280"/>
      <c r="JJJ21" s="1280"/>
      <c r="JJK21" s="1280"/>
      <c r="JJL21" s="1280"/>
      <c r="JJM21" s="1280"/>
      <c r="JJN21" s="1280"/>
      <c r="JJO21" s="1280"/>
      <c r="JJP21" s="1280"/>
      <c r="JJQ21" s="1280"/>
      <c r="JJR21" s="1280"/>
      <c r="JJS21" s="1280"/>
      <c r="JJT21" s="1280"/>
      <c r="JJU21" s="1280"/>
      <c r="JJV21" s="1280"/>
      <c r="JJW21" s="1280"/>
      <c r="JJX21" s="1280"/>
      <c r="JJY21" s="1280"/>
      <c r="JJZ21" s="1280"/>
      <c r="JKA21" s="1280"/>
      <c r="JKB21" s="1280"/>
      <c r="JKC21" s="1280"/>
      <c r="JKD21" s="1280"/>
      <c r="JKE21" s="1280"/>
      <c r="JKF21" s="1280"/>
      <c r="JKG21" s="1280"/>
      <c r="JKH21" s="1280"/>
      <c r="JKI21" s="1280"/>
      <c r="JKJ21" s="1280"/>
      <c r="JKK21" s="1280"/>
      <c r="JKL21" s="1280"/>
      <c r="JKM21" s="1280"/>
      <c r="JKN21" s="1280"/>
      <c r="JKO21" s="1280"/>
      <c r="JKP21" s="1280"/>
      <c r="JKQ21" s="1280"/>
      <c r="JKR21" s="1280"/>
      <c r="JKS21" s="1280"/>
      <c r="JKT21" s="1280"/>
      <c r="JKU21" s="1280"/>
      <c r="JKV21" s="1280"/>
      <c r="JKW21" s="1280"/>
      <c r="JKX21" s="1280"/>
      <c r="JKY21" s="1280"/>
      <c r="JKZ21" s="1280"/>
      <c r="JLA21" s="1280"/>
      <c r="JLB21" s="1280"/>
      <c r="JLC21" s="1280"/>
      <c r="JLD21" s="1280"/>
      <c r="JLE21" s="1280"/>
      <c r="JLF21" s="1280"/>
      <c r="JLG21" s="1280"/>
      <c r="JLH21" s="1280"/>
      <c r="JLI21" s="1280"/>
      <c r="JLJ21" s="1280"/>
      <c r="JLK21" s="1280"/>
      <c r="JLL21" s="1280"/>
      <c r="JLM21" s="1280"/>
      <c r="JLN21" s="1280"/>
      <c r="JLO21" s="1280"/>
      <c r="JLP21" s="1280"/>
      <c r="JLQ21" s="1280"/>
      <c r="JLR21" s="1280"/>
      <c r="JLS21" s="1280"/>
      <c r="JLT21" s="1280"/>
      <c r="JLU21" s="1280"/>
      <c r="JLV21" s="1280"/>
      <c r="JLW21" s="1280"/>
      <c r="JLX21" s="1280"/>
      <c r="JLY21" s="1280"/>
      <c r="JLZ21" s="1280"/>
      <c r="JMA21" s="1280"/>
      <c r="JMB21" s="1280"/>
      <c r="JMC21" s="1280"/>
      <c r="JMD21" s="1280"/>
      <c r="JME21" s="1280"/>
      <c r="JMF21" s="1280"/>
      <c r="JMG21" s="1280"/>
      <c r="JMH21" s="1280"/>
      <c r="JMI21" s="1280"/>
      <c r="JMJ21" s="1280"/>
      <c r="JMK21" s="1280"/>
      <c r="JML21" s="1280"/>
      <c r="JMM21" s="1280"/>
      <c r="JMN21" s="1280"/>
      <c r="JMO21" s="1280"/>
      <c r="JMP21" s="1280"/>
      <c r="JMQ21" s="1280"/>
      <c r="JMR21" s="1280"/>
      <c r="JMS21" s="1280"/>
      <c r="JMT21" s="1280"/>
      <c r="JMU21" s="1280"/>
      <c r="JMV21" s="1280"/>
      <c r="JMW21" s="1280"/>
      <c r="JMX21" s="1280"/>
      <c r="JMY21" s="1280"/>
      <c r="JMZ21" s="1280"/>
      <c r="JNA21" s="1280"/>
      <c r="JNB21" s="1280"/>
      <c r="JNC21" s="1280"/>
      <c r="JND21" s="1280"/>
      <c r="JNE21" s="1280"/>
      <c r="JNF21" s="1280"/>
      <c r="JNG21" s="1280"/>
      <c r="JNH21" s="1280"/>
      <c r="JNI21" s="1280"/>
      <c r="JNJ21" s="1280"/>
      <c r="JNK21" s="1280"/>
      <c r="JNL21" s="1280"/>
      <c r="JNM21" s="1280"/>
      <c r="JNN21" s="1280"/>
      <c r="JNO21" s="1280"/>
      <c r="JNP21" s="1280"/>
      <c r="JNQ21" s="1280"/>
      <c r="JNR21" s="1280"/>
      <c r="JNS21" s="1280"/>
      <c r="JNT21" s="1280"/>
      <c r="JNU21" s="1280"/>
      <c r="JNV21" s="1280"/>
      <c r="JNW21" s="1280"/>
      <c r="JNX21" s="1280"/>
      <c r="JNY21" s="1280"/>
      <c r="JNZ21" s="1280"/>
      <c r="JOA21" s="1280"/>
      <c r="JOB21" s="1280"/>
      <c r="JOC21" s="1280"/>
      <c r="JOD21" s="1280"/>
      <c r="JOE21" s="1280"/>
      <c r="JOF21" s="1280"/>
      <c r="JOG21" s="1280"/>
      <c r="JOH21" s="1280"/>
      <c r="JOI21" s="1280"/>
      <c r="JOJ21" s="1280"/>
      <c r="JOK21" s="1280"/>
      <c r="JOL21" s="1280"/>
      <c r="JOM21" s="1280"/>
      <c r="JON21" s="1280"/>
      <c r="JOO21" s="1280"/>
      <c r="JOP21" s="1280"/>
      <c r="JOQ21" s="1280"/>
      <c r="JOR21" s="1280"/>
      <c r="JOS21" s="1280"/>
      <c r="JOT21" s="1280"/>
      <c r="JOU21" s="1280"/>
      <c r="JOV21" s="1280"/>
      <c r="JOW21" s="1280"/>
      <c r="JOX21" s="1280"/>
      <c r="JOY21" s="1280"/>
      <c r="JOZ21" s="1280"/>
      <c r="JPA21" s="1280"/>
      <c r="JPB21" s="1280"/>
      <c r="JPC21" s="1280"/>
      <c r="JPD21" s="1280"/>
      <c r="JPE21" s="1280"/>
      <c r="JPF21" s="1280"/>
      <c r="JPG21" s="1280"/>
      <c r="JPH21" s="1280"/>
      <c r="JPI21" s="1280"/>
      <c r="JPJ21" s="1280"/>
      <c r="JPK21" s="1280"/>
      <c r="JPL21" s="1280"/>
      <c r="JPM21" s="1280"/>
      <c r="JPN21" s="1280"/>
      <c r="JPO21" s="1280"/>
      <c r="JPP21" s="1280"/>
      <c r="JPQ21" s="1280"/>
      <c r="JPR21" s="1280"/>
      <c r="JPS21" s="1280"/>
      <c r="JPT21" s="1280"/>
      <c r="JPU21" s="1280"/>
      <c r="JPV21" s="1280"/>
      <c r="JPW21" s="1280"/>
      <c r="JPX21" s="1280"/>
      <c r="JPY21" s="1280"/>
      <c r="JPZ21" s="1280"/>
      <c r="JQA21" s="1280"/>
      <c r="JQB21" s="1280"/>
      <c r="JQC21" s="1280"/>
      <c r="JQD21" s="1280"/>
      <c r="JQE21" s="1280"/>
      <c r="JQF21" s="1280"/>
      <c r="JQG21" s="1280"/>
      <c r="JQH21" s="1280"/>
      <c r="JQI21" s="1280"/>
      <c r="JQJ21" s="1280"/>
      <c r="JQK21" s="1280"/>
      <c r="JQL21" s="1280"/>
      <c r="JQM21" s="1280"/>
      <c r="JQN21" s="1280"/>
      <c r="JQO21" s="1280"/>
      <c r="JQP21" s="1280"/>
      <c r="JQQ21" s="1280"/>
      <c r="JQR21" s="1280"/>
      <c r="JQS21" s="1280"/>
      <c r="JQT21" s="1280"/>
      <c r="JQU21" s="1280"/>
      <c r="JQV21" s="1280"/>
      <c r="JQW21" s="1280"/>
      <c r="JQX21" s="1280"/>
      <c r="JQY21" s="1280"/>
      <c r="JQZ21" s="1280"/>
      <c r="JRA21" s="1280"/>
      <c r="JRB21" s="1280"/>
      <c r="JRC21" s="1280"/>
      <c r="JRD21" s="1280"/>
      <c r="JRE21" s="1280"/>
      <c r="JRF21" s="1280"/>
      <c r="JRG21" s="1280"/>
      <c r="JRH21" s="1280"/>
      <c r="JRI21" s="1280"/>
      <c r="JRJ21" s="1280"/>
      <c r="JRK21" s="1280"/>
      <c r="JRL21" s="1280"/>
      <c r="JRM21" s="1280"/>
      <c r="JRN21" s="1280"/>
      <c r="JRO21" s="1280"/>
      <c r="JRP21" s="1280"/>
      <c r="JRQ21" s="1280"/>
      <c r="JRR21" s="1280"/>
      <c r="JRS21" s="1280"/>
      <c r="JRT21" s="1280"/>
      <c r="JRU21" s="1280"/>
      <c r="JRV21" s="1280"/>
      <c r="JRW21" s="1280"/>
      <c r="JRX21" s="1280"/>
      <c r="JRY21" s="1280"/>
      <c r="JRZ21" s="1280"/>
      <c r="JSA21" s="1280"/>
      <c r="JSB21" s="1280"/>
      <c r="JSC21" s="1280"/>
      <c r="JSD21" s="1280"/>
      <c r="JSE21" s="1280"/>
      <c r="JSF21" s="1280"/>
      <c r="JSG21" s="1280"/>
      <c r="JSH21" s="1280"/>
      <c r="JSI21" s="1280"/>
      <c r="JSJ21" s="1280"/>
      <c r="JSK21" s="1280"/>
      <c r="JSL21" s="1280"/>
      <c r="JSM21" s="1280"/>
      <c r="JSN21" s="1280"/>
      <c r="JSO21" s="1280"/>
      <c r="JSP21" s="1280"/>
      <c r="JSQ21" s="1280"/>
      <c r="JSR21" s="1280"/>
      <c r="JSS21" s="1280"/>
      <c r="JST21" s="1280"/>
      <c r="JSU21" s="1280"/>
      <c r="JSV21" s="1280"/>
      <c r="JSW21" s="1280"/>
      <c r="JSX21" s="1280"/>
      <c r="JSY21" s="1280"/>
      <c r="JSZ21" s="1280"/>
      <c r="JTA21" s="1280"/>
      <c r="JTB21" s="1280"/>
      <c r="JTC21" s="1280"/>
      <c r="JTD21" s="1280"/>
      <c r="JTE21" s="1280"/>
      <c r="JTF21" s="1280"/>
      <c r="JTG21" s="1280"/>
      <c r="JTH21" s="1280"/>
      <c r="JTI21" s="1280"/>
      <c r="JTJ21" s="1280"/>
      <c r="JTK21" s="1280"/>
      <c r="JTL21" s="1280"/>
      <c r="JTM21" s="1280"/>
      <c r="JTN21" s="1280"/>
      <c r="JTO21" s="1280"/>
      <c r="JTP21" s="1280"/>
      <c r="JTQ21" s="1280"/>
      <c r="JTR21" s="1280"/>
      <c r="JTS21" s="1280"/>
      <c r="JTT21" s="1280"/>
      <c r="JTU21" s="1280"/>
      <c r="JTV21" s="1280"/>
      <c r="JTW21" s="1280"/>
      <c r="JTX21" s="1280"/>
      <c r="JTY21" s="1280"/>
      <c r="JTZ21" s="1280"/>
      <c r="JUA21" s="1280"/>
      <c r="JUB21" s="1280"/>
      <c r="JUC21" s="1280"/>
      <c r="JUD21" s="1280"/>
      <c r="JUE21" s="1280"/>
      <c r="JUF21" s="1280"/>
      <c r="JUG21" s="1280"/>
      <c r="JUH21" s="1280"/>
      <c r="JUI21" s="1280"/>
      <c r="JUJ21" s="1280"/>
      <c r="JUK21" s="1280"/>
      <c r="JUL21" s="1280"/>
      <c r="JUM21" s="1280"/>
      <c r="JUN21" s="1280"/>
      <c r="JUO21" s="1280"/>
      <c r="JUP21" s="1280"/>
      <c r="JUQ21" s="1280"/>
      <c r="JUR21" s="1280"/>
      <c r="JUS21" s="1280"/>
      <c r="JUT21" s="1280"/>
      <c r="JUU21" s="1280"/>
      <c r="JUV21" s="1280"/>
      <c r="JUW21" s="1280"/>
      <c r="JUX21" s="1280"/>
      <c r="JUY21" s="1280"/>
      <c r="JUZ21" s="1280"/>
      <c r="JVA21" s="1280"/>
      <c r="JVB21" s="1280"/>
      <c r="JVC21" s="1280"/>
      <c r="JVD21" s="1280"/>
      <c r="JVE21" s="1280"/>
      <c r="JVF21" s="1280"/>
      <c r="JVG21" s="1280"/>
      <c r="JVH21" s="1280"/>
      <c r="JVI21" s="1280"/>
      <c r="JVJ21" s="1280"/>
      <c r="JVK21" s="1280"/>
      <c r="JVL21" s="1280"/>
      <c r="JVM21" s="1280"/>
      <c r="JVN21" s="1280"/>
      <c r="JVO21" s="1280"/>
      <c r="JVP21" s="1280"/>
      <c r="JVQ21" s="1280"/>
      <c r="JVR21" s="1280"/>
      <c r="JVS21" s="1280"/>
      <c r="JVT21" s="1280"/>
      <c r="JVU21" s="1280"/>
      <c r="JVV21" s="1280"/>
      <c r="JVW21" s="1280"/>
      <c r="JVX21" s="1280"/>
      <c r="JVY21" s="1280"/>
      <c r="JVZ21" s="1280"/>
      <c r="JWA21" s="1280"/>
      <c r="JWB21" s="1280"/>
      <c r="JWC21" s="1280"/>
      <c r="JWD21" s="1280"/>
      <c r="JWE21" s="1280"/>
      <c r="JWF21" s="1280"/>
      <c r="JWG21" s="1280"/>
      <c r="JWH21" s="1280"/>
      <c r="JWI21" s="1280"/>
      <c r="JWJ21" s="1280"/>
      <c r="JWK21" s="1280"/>
      <c r="JWL21" s="1280"/>
      <c r="JWM21" s="1280"/>
      <c r="JWN21" s="1280"/>
      <c r="JWO21" s="1280"/>
      <c r="JWP21" s="1280"/>
      <c r="JWQ21" s="1280"/>
      <c r="JWR21" s="1280"/>
      <c r="JWS21" s="1280"/>
      <c r="JWT21" s="1280"/>
      <c r="JWU21" s="1280"/>
      <c r="JWV21" s="1280"/>
      <c r="JWW21" s="1280"/>
      <c r="JWX21" s="1280"/>
      <c r="JWY21" s="1280"/>
      <c r="JWZ21" s="1280"/>
      <c r="JXA21" s="1280"/>
      <c r="JXB21" s="1280"/>
      <c r="JXC21" s="1280"/>
      <c r="JXD21" s="1280"/>
      <c r="JXE21" s="1280"/>
      <c r="JXF21" s="1280"/>
      <c r="JXG21" s="1280"/>
      <c r="JXH21" s="1280"/>
      <c r="JXI21" s="1280"/>
      <c r="JXJ21" s="1280"/>
      <c r="JXK21" s="1280"/>
      <c r="JXL21" s="1280"/>
      <c r="JXM21" s="1280"/>
      <c r="JXN21" s="1280"/>
      <c r="JXO21" s="1280"/>
      <c r="JXP21" s="1280"/>
      <c r="JXQ21" s="1280"/>
      <c r="JXR21" s="1280"/>
      <c r="JXS21" s="1280"/>
      <c r="JXT21" s="1280"/>
      <c r="JXU21" s="1280"/>
      <c r="JXV21" s="1280"/>
      <c r="JXW21" s="1280"/>
      <c r="JXX21" s="1280"/>
      <c r="JXY21" s="1280"/>
      <c r="JXZ21" s="1280"/>
      <c r="JYA21" s="1280"/>
      <c r="JYB21" s="1280"/>
      <c r="JYC21" s="1280"/>
      <c r="JYD21" s="1280"/>
      <c r="JYE21" s="1280"/>
      <c r="JYF21" s="1280"/>
      <c r="JYG21" s="1280"/>
      <c r="JYH21" s="1280"/>
      <c r="JYI21" s="1280"/>
      <c r="JYJ21" s="1280"/>
      <c r="JYK21" s="1280"/>
      <c r="JYL21" s="1280"/>
      <c r="JYM21" s="1280"/>
      <c r="JYN21" s="1280"/>
      <c r="JYO21" s="1280"/>
      <c r="JYP21" s="1280"/>
      <c r="JYQ21" s="1280"/>
      <c r="JYR21" s="1280"/>
      <c r="JYS21" s="1280"/>
      <c r="JYT21" s="1280"/>
      <c r="JYU21" s="1280"/>
      <c r="JYV21" s="1280"/>
      <c r="JYW21" s="1280"/>
      <c r="JYX21" s="1280"/>
      <c r="JYY21" s="1280"/>
      <c r="JYZ21" s="1280"/>
      <c r="JZA21" s="1280"/>
      <c r="JZB21" s="1280"/>
      <c r="JZC21" s="1280"/>
      <c r="JZD21" s="1280"/>
      <c r="JZE21" s="1280"/>
      <c r="JZF21" s="1280"/>
      <c r="JZG21" s="1280"/>
      <c r="JZH21" s="1280"/>
      <c r="JZI21" s="1280"/>
      <c r="JZJ21" s="1280"/>
      <c r="JZK21" s="1280"/>
      <c r="JZL21" s="1280"/>
      <c r="JZM21" s="1280"/>
      <c r="JZN21" s="1280"/>
      <c r="JZO21" s="1280"/>
      <c r="JZP21" s="1280"/>
      <c r="JZQ21" s="1280"/>
      <c r="JZR21" s="1280"/>
      <c r="JZS21" s="1280"/>
      <c r="JZT21" s="1280"/>
      <c r="JZU21" s="1280"/>
      <c r="JZV21" s="1280"/>
      <c r="JZW21" s="1280"/>
      <c r="JZX21" s="1280"/>
      <c r="JZY21" s="1280"/>
      <c r="JZZ21" s="1280"/>
      <c r="KAA21" s="1280"/>
      <c r="KAB21" s="1280"/>
      <c r="KAC21" s="1280"/>
      <c r="KAD21" s="1280"/>
      <c r="KAE21" s="1280"/>
      <c r="KAF21" s="1280"/>
      <c r="KAG21" s="1280"/>
      <c r="KAH21" s="1280"/>
      <c r="KAI21" s="1280"/>
      <c r="KAJ21" s="1280"/>
      <c r="KAK21" s="1280"/>
      <c r="KAL21" s="1280"/>
      <c r="KAM21" s="1280"/>
      <c r="KAN21" s="1280"/>
      <c r="KAO21" s="1280"/>
      <c r="KAP21" s="1280"/>
      <c r="KAQ21" s="1280"/>
      <c r="KAR21" s="1280"/>
      <c r="KAS21" s="1280"/>
      <c r="KAT21" s="1280"/>
      <c r="KAU21" s="1280"/>
      <c r="KAV21" s="1280"/>
      <c r="KAW21" s="1280"/>
      <c r="KAX21" s="1280"/>
      <c r="KAY21" s="1280"/>
      <c r="KAZ21" s="1280"/>
      <c r="KBA21" s="1280"/>
      <c r="KBB21" s="1280"/>
      <c r="KBC21" s="1280"/>
      <c r="KBD21" s="1280"/>
      <c r="KBE21" s="1280"/>
      <c r="KBF21" s="1280"/>
      <c r="KBG21" s="1280"/>
      <c r="KBH21" s="1280"/>
      <c r="KBI21" s="1280"/>
      <c r="KBJ21" s="1280"/>
      <c r="KBK21" s="1280"/>
      <c r="KBL21" s="1280"/>
      <c r="KBM21" s="1280"/>
      <c r="KBN21" s="1280"/>
      <c r="KBO21" s="1280"/>
      <c r="KBP21" s="1280"/>
      <c r="KBQ21" s="1280"/>
      <c r="KBR21" s="1280"/>
      <c r="KBS21" s="1280"/>
      <c r="KBT21" s="1280"/>
      <c r="KBU21" s="1280"/>
      <c r="KBV21" s="1280"/>
      <c r="KBW21" s="1280"/>
      <c r="KBX21" s="1280"/>
      <c r="KBY21" s="1280"/>
      <c r="KBZ21" s="1280"/>
      <c r="KCA21" s="1280"/>
      <c r="KCB21" s="1280"/>
      <c r="KCC21" s="1280"/>
      <c r="KCD21" s="1280"/>
      <c r="KCE21" s="1280"/>
      <c r="KCF21" s="1280"/>
      <c r="KCG21" s="1280"/>
      <c r="KCH21" s="1280"/>
      <c r="KCI21" s="1280"/>
      <c r="KCJ21" s="1280"/>
      <c r="KCK21" s="1280"/>
      <c r="KCL21" s="1280"/>
      <c r="KCM21" s="1280"/>
      <c r="KCN21" s="1280"/>
      <c r="KCO21" s="1280"/>
      <c r="KCP21" s="1280"/>
      <c r="KCQ21" s="1280"/>
      <c r="KCR21" s="1280"/>
      <c r="KCS21" s="1280"/>
      <c r="KCT21" s="1280"/>
      <c r="KCU21" s="1280"/>
      <c r="KCV21" s="1280"/>
      <c r="KCW21" s="1280"/>
      <c r="KCX21" s="1280"/>
      <c r="KCY21" s="1280"/>
      <c r="KCZ21" s="1280"/>
      <c r="KDA21" s="1280"/>
      <c r="KDB21" s="1280"/>
      <c r="KDC21" s="1280"/>
      <c r="KDD21" s="1280"/>
      <c r="KDE21" s="1280"/>
      <c r="KDF21" s="1280"/>
      <c r="KDG21" s="1280"/>
      <c r="KDH21" s="1280"/>
      <c r="KDI21" s="1280"/>
      <c r="KDJ21" s="1280"/>
      <c r="KDK21" s="1280"/>
      <c r="KDL21" s="1280"/>
      <c r="KDM21" s="1280"/>
      <c r="KDN21" s="1280"/>
      <c r="KDO21" s="1280"/>
      <c r="KDP21" s="1280"/>
      <c r="KDQ21" s="1280"/>
      <c r="KDR21" s="1280"/>
      <c r="KDS21" s="1280"/>
      <c r="KDT21" s="1280"/>
      <c r="KDU21" s="1280"/>
      <c r="KDV21" s="1280"/>
      <c r="KDW21" s="1280"/>
      <c r="KDX21" s="1280"/>
      <c r="KDY21" s="1280"/>
      <c r="KDZ21" s="1280"/>
      <c r="KEA21" s="1280"/>
      <c r="KEB21" s="1280"/>
      <c r="KEC21" s="1280"/>
      <c r="KED21" s="1280"/>
      <c r="KEE21" s="1280"/>
      <c r="KEF21" s="1280"/>
      <c r="KEG21" s="1280"/>
      <c r="KEH21" s="1280"/>
      <c r="KEI21" s="1280"/>
      <c r="KEJ21" s="1280"/>
      <c r="KEK21" s="1280"/>
      <c r="KEL21" s="1280"/>
      <c r="KEM21" s="1280"/>
      <c r="KEN21" s="1280"/>
      <c r="KEO21" s="1280"/>
      <c r="KEP21" s="1280"/>
      <c r="KEQ21" s="1280"/>
      <c r="KER21" s="1280"/>
      <c r="KES21" s="1280"/>
      <c r="KET21" s="1280"/>
      <c r="KEU21" s="1280"/>
      <c r="KEV21" s="1280"/>
      <c r="KEW21" s="1280"/>
      <c r="KEX21" s="1280"/>
      <c r="KEY21" s="1280"/>
      <c r="KEZ21" s="1280"/>
      <c r="KFA21" s="1280"/>
      <c r="KFB21" s="1280"/>
      <c r="KFC21" s="1280"/>
      <c r="KFD21" s="1280"/>
      <c r="KFE21" s="1280"/>
      <c r="KFF21" s="1280"/>
      <c r="KFG21" s="1280"/>
      <c r="KFH21" s="1280"/>
      <c r="KFI21" s="1280"/>
      <c r="KFJ21" s="1280"/>
      <c r="KFK21" s="1280"/>
      <c r="KFL21" s="1280"/>
      <c r="KFM21" s="1280"/>
      <c r="KFN21" s="1280"/>
      <c r="KFO21" s="1280"/>
      <c r="KFP21" s="1280"/>
      <c r="KFQ21" s="1280"/>
      <c r="KFR21" s="1280"/>
      <c r="KFS21" s="1280"/>
      <c r="KFT21" s="1280"/>
      <c r="KFU21" s="1280"/>
      <c r="KFV21" s="1280"/>
      <c r="KFW21" s="1280"/>
      <c r="KFX21" s="1280"/>
      <c r="KFY21" s="1280"/>
      <c r="KFZ21" s="1280"/>
      <c r="KGA21" s="1280"/>
      <c r="KGB21" s="1280"/>
      <c r="KGC21" s="1280"/>
      <c r="KGD21" s="1280"/>
      <c r="KGE21" s="1280"/>
      <c r="KGF21" s="1280"/>
      <c r="KGG21" s="1280"/>
      <c r="KGH21" s="1280"/>
      <c r="KGI21" s="1280"/>
      <c r="KGJ21" s="1280"/>
      <c r="KGK21" s="1280"/>
      <c r="KGL21" s="1280"/>
      <c r="KGM21" s="1280"/>
      <c r="KGN21" s="1280"/>
      <c r="KGO21" s="1280"/>
      <c r="KGP21" s="1280"/>
      <c r="KGQ21" s="1280"/>
      <c r="KGR21" s="1280"/>
      <c r="KGS21" s="1280"/>
      <c r="KGT21" s="1280"/>
      <c r="KGU21" s="1280"/>
      <c r="KGV21" s="1280"/>
      <c r="KGW21" s="1280"/>
      <c r="KGX21" s="1280"/>
      <c r="KGY21" s="1280"/>
      <c r="KGZ21" s="1280"/>
      <c r="KHA21" s="1280"/>
      <c r="KHB21" s="1280"/>
      <c r="KHC21" s="1280"/>
      <c r="KHD21" s="1280"/>
      <c r="KHE21" s="1280"/>
      <c r="KHF21" s="1280"/>
      <c r="KHG21" s="1280"/>
      <c r="KHH21" s="1280"/>
      <c r="KHI21" s="1280"/>
      <c r="KHJ21" s="1280"/>
      <c r="KHK21" s="1280"/>
      <c r="KHL21" s="1280"/>
      <c r="KHM21" s="1280"/>
      <c r="KHN21" s="1280"/>
      <c r="KHO21" s="1280"/>
      <c r="KHP21" s="1280"/>
      <c r="KHQ21" s="1280"/>
      <c r="KHR21" s="1280"/>
      <c r="KHS21" s="1280"/>
      <c r="KHT21" s="1280"/>
      <c r="KHU21" s="1280"/>
      <c r="KHV21" s="1280"/>
      <c r="KHW21" s="1280"/>
      <c r="KHX21" s="1280"/>
      <c r="KHY21" s="1280"/>
      <c r="KHZ21" s="1280"/>
      <c r="KIA21" s="1280"/>
      <c r="KIB21" s="1280"/>
      <c r="KIC21" s="1280"/>
      <c r="KID21" s="1280"/>
      <c r="KIE21" s="1280"/>
      <c r="KIF21" s="1280"/>
      <c r="KIG21" s="1280"/>
      <c r="KIH21" s="1280"/>
      <c r="KII21" s="1280"/>
      <c r="KIJ21" s="1280"/>
      <c r="KIK21" s="1280"/>
      <c r="KIL21" s="1280"/>
      <c r="KIM21" s="1280"/>
      <c r="KIN21" s="1280"/>
      <c r="KIO21" s="1280"/>
      <c r="KIP21" s="1280"/>
      <c r="KIQ21" s="1280"/>
      <c r="KIR21" s="1280"/>
      <c r="KIS21" s="1280"/>
      <c r="KIT21" s="1280"/>
      <c r="KIU21" s="1280"/>
      <c r="KIV21" s="1280"/>
      <c r="KIW21" s="1280"/>
      <c r="KIX21" s="1280"/>
      <c r="KIY21" s="1280"/>
      <c r="KIZ21" s="1280"/>
      <c r="KJA21" s="1280"/>
      <c r="KJB21" s="1280"/>
      <c r="KJC21" s="1280"/>
      <c r="KJD21" s="1280"/>
      <c r="KJE21" s="1280"/>
      <c r="KJF21" s="1280"/>
      <c r="KJG21" s="1280"/>
      <c r="KJH21" s="1280"/>
      <c r="KJI21" s="1280"/>
      <c r="KJJ21" s="1280"/>
      <c r="KJK21" s="1280"/>
      <c r="KJL21" s="1280"/>
      <c r="KJM21" s="1280"/>
      <c r="KJN21" s="1280"/>
      <c r="KJO21" s="1280"/>
      <c r="KJP21" s="1280"/>
      <c r="KJQ21" s="1280"/>
      <c r="KJR21" s="1280"/>
      <c r="KJS21" s="1280"/>
      <c r="KJT21" s="1280"/>
      <c r="KJU21" s="1280"/>
      <c r="KJV21" s="1280"/>
      <c r="KJW21" s="1280"/>
      <c r="KJX21" s="1280"/>
      <c r="KJY21" s="1280"/>
      <c r="KJZ21" s="1280"/>
      <c r="KKA21" s="1280"/>
      <c r="KKB21" s="1280"/>
      <c r="KKC21" s="1280"/>
      <c r="KKD21" s="1280"/>
      <c r="KKE21" s="1280"/>
      <c r="KKF21" s="1280"/>
      <c r="KKG21" s="1280"/>
      <c r="KKH21" s="1280"/>
      <c r="KKI21" s="1280"/>
      <c r="KKJ21" s="1280"/>
      <c r="KKK21" s="1280"/>
      <c r="KKL21" s="1280"/>
      <c r="KKM21" s="1280"/>
      <c r="KKN21" s="1280"/>
      <c r="KKO21" s="1280"/>
      <c r="KKP21" s="1280"/>
      <c r="KKQ21" s="1280"/>
      <c r="KKR21" s="1280"/>
      <c r="KKS21" s="1280"/>
      <c r="KKT21" s="1280"/>
      <c r="KKU21" s="1280"/>
      <c r="KKV21" s="1280"/>
      <c r="KKW21" s="1280"/>
      <c r="KKX21" s="1280"/>
      <c r="KKY21" s="1280"/>
      <c r="KKZ21" s="1280"/>
      <c r="KLA21" s="1280"/>
      <c r="KLB21" s="1280"/>
      <c r="KLC21" s="1280"/>
      <c r="KLD21" s="1280"/>
      <c r="KLE21" s="1280"/>
      <c r="KLF21" s="1280"/>
      <c r="KLG21" s="1280"/>
      <c r="KLH21" s="1280"/>
      <c r="KLI21" s="1280"/>
      <c r="KLJ21" s="1280"/>
      <c r="KLK21" s="1280"/>
      <c r="KLL21" s="1280"/>
      <c r="KLM21" s="1280"/>
      <c r="KLN21" s="1280"/>
      <c r="KLO21" s="1280"/>
      <c r="KLP21" s="1280"/>
      <c r="KLQ21" s="1280"/>
      <c r="KLR21" s="1280"/>
      <c r="KLS21" s="1280"/>
      <c r="KLT21" s="1280"/>
      <c r="KLU21" s="1280"/>
      <c r="KLV21" s="1280"/>
      <c r="KLW21" s="1280"/>
      <c r="KLX21" s="1280"/>
      <c r="KLY21" s="1280"/>
      <c r="KLZ21" s="1280"/>
      <c r="KMA21" s="1280"/>
      <c r="KMB21" s="1280"/>
      <c r="KMC21" s="1280"/>
      <c r="KMD21" s="1280"/>
      <c r="KME21" s="1280"/>
      <c r="KMF21" s="1280"/>
      <c r="KMG21" s="1280"/>
      <c r="KMH21" s="1280"/>
      <c r="KMI21" s="1280"/>
      <c r="KMJ21" s="1280"/>
      <c r="KMK21" s="1280"/>
      <c r="KML21" s="1280"/>
      <c r="KMM21" s="1280"/>
      <c r="KMN21" s="1280"/>
      <c r="KMO21" s="1280"/>
      <c r="KMP21" s="1280"/>
      <c r="KMQ21" s="1280"/>
      <c r="KMR21" s="1280"/>
      <c r="KMS21" s="1280"/>
      <c r="KMT21" s="1280"/>
      <c r="KMU21" s="1280"/>
      <c r="KMV21" s="1280"/>
      <c r="KMW21" s="1280"/>
      <c r="KMX21" s="1280"/>
      <c r="KMY21" s="1280"/>
      <c r="KMZ21" s="1280"/>
      <c r="KNA21" s="1280"/>
      <c r="KNB21" s="1280"/>
      <c r="KNC21" s="1280"/>
      <c r="KND21" s="1280"/>
      <c r="KNE21" s="1280"/>
      <c r="KNF21" s="1280"/>
      <c r="KNG21" s="1280"/>
      <c r="KNH21" s="1280"/>
      <c r="KNI21" s="1280"/>
      <c r="KNJ21" s="1280"/>
      <c r="KNK21" s="1280"/>
      <c r="KNL21" s="1280"/>
      <c r="KNM21" s="1280"/>
      <c r="KNN21" s="1280"/>
      <c r="KNO21" s="1280"/>
      <c r="KNP21" s="1280"/>
      <c r="KNQ21" s="1280"/>
      <c r="KNR21" s="1280"/>
      <c r="KNS21" s="1280"/>
      <c r="KNT21" s="1280"/>
      <c r="KNU21" s="1280"/>
      <c r="KNV21" s="1280"/>
      <c r="KNW21" s="1280"/>
      <c r="KNX21" s="1280"/>
      <c r="KNY21" s="1280"/>
      <c r="KNZ21" s="1280"/>
      <c r="KOA21" s="1280"/>
      <c r="KOB21" s="1280"/>
      <c r="KOC21" s="1280"/>
      <c r="KOD21" s="1280"/>
      <c r="KOE21" s="1280"/>
      <c r="KOF21" s="1280"/>
      <c r="KOG21" s="1280"/>
      <c r="KOH21" s="1280"/>
      <c r="KOI21" s="1280"/>
      <c r="KOJ21" s="1280"/>
      <c r="KOK21" s="1280"/>
      <c r="KOL21" s="1280"/>
      <c r="KOM21" s="1280"/>
      <c r="KON21" s="1280"/>
      <c r="KOO21" s="1280"/>
      <c r="KOP21" s="1280"/>
      <c r="KOQ21" s="1280"/>
      <c r="KOR21" s="1280"/>
      <c r="KOS21" s="1280"/>
      <c r="KOT21" s="1280"/>
      <c r="KOU21" s="1280"/>
      <c r="KOV21" s="1280"/>
      <c r="KOW21" s="1280"/>
      <c r="KOX21" s="1280"/>
      <c r="KOY21" s="1280"/>
      <c r="KOZ21" s="1280"/>
      <c r="KPA21" s="1280"/>
      <c r="KPB21" s="1280"/>
      <c r="KPC21" s="1280"/>
      <c r="KPD21" s="1280"/>
      <c r="KPE21" s="1280"/>
      <c r="KPF21" s="1280"/>
      <c r="KPG21" s="1280"/>
      <c r="KPH21" s="1280"/>
      <c r="KPI21" s="1280"/>
      <c r="KPJ21" s="1280"/>
      <c r="KPK21" s="1280"/>
      <c r="KPL21" s="1280"/>
      <c r="KPM21" s="1280"/>
      <c r="KPN21" s="1280"/>
      <c r="KPO21" s="1280"/>
      <c r="KPP21" s="1280"/>
      <c r="KPQ21" s="1280"/>
      <c r="KPR21" s="1280"/>
      <c r="KPS21" s="1280"/>
      <c r="KPT21" s="1280"/>
      <c r="KPU21" s="1280"/>
      <c r="KPV21" s="1280"/>
      <c r="KPW21" s="1280"/>
      <c r="KPX21" s="1280"/>
      <c r="KPY21" s="1280"/>
      <c r="KPZ21" s="1280"/>
      <c r="KQA21" s="1280"/>
      <c r="KQB21" s="1280"/>
      <c r="KQC21" s="1280"/>
      <c r="KQD21" s="1280"/>
      <c r="KQE21" s="1280"/>
      <c r="KQF21" s="1280"/>
      <c r="KQG21" s="1280"/>
      <c r="KQH21" s="1280"/>
      <c r="KQI21" s="1280"/>
      <c r="KQJ21" s="1280"/>
      <c r="KQK21" s="1280"/>
      <c r="KQL21" s="1280"/>
      <c r="KQM21" s="1280"/>
      <c r="KQN21" s="1280"/>
      <c r="KQO21" s="1280"/>
      <c r="KQP21" s="1280"/>
      <c r="KQQ21" s="1280"/>
      <c r="KQR21" s="1280"/>
      <c r="KQS21" s="1280"/>
      <c r="KQT21" s="1280"/>
      <c r="KQU21" s="1280"/>
      <c r="KQV21" s="1280"/>
      <c r="KQW21" s="1280"/>
      <c r="KQX21" s="1280"/>
      <c r="KQY21" s="1280"/>
      <c r="KQZ21" s="1280"/>
      <c r="KRA21" s="1280"/>
      <c r="KRB21" s="1280"/>
      <c r="KRC21" s="1280"/>
      <c r="KRD21" s="1280"/>
      <c r="KRE21" s="1280"/>
      <c r="KRF21" s="1280"/>
      <c r="KRG21" s="1280"/>
      <c r="KRH21" s="1280"/>
      <c r="KRI21" s="1280"/>
      <c r="KRJ21" s="1280"/>
      <c r="KRK21" s="1280"/>
      <c r="KRL21" s="1280"/>
      <c r="KRM21" s="1280"/>
      <c r="KRN21" s="1280"/>
      <c r="KRO21" s="1280"/>
      <c r="KRP21" s="1280"/>
      <c r="KRQ21" s="1280"/>
      <c r="KRR21" s="1280"/>
      <c r="KRS21" s="1280"/>
      <c r="KRT21" s="1280"/>
      <c r="KRU21" s="1280"/>
      <c r="KRV21" s="1280"/>
      <c r="KRW21" s="1280"/>
      <c r="KRX21" s="1280"/>
      <c r="KRY21" s="1280"/>
      <c r="KRZ21" s="1280"/>
      <c r="KSA21" s="1280"/>
      <c r="KSB21" s="1280"/>
      <c r="KSC21" s="1280"/>
      <c r="KSD21" s="1280"/>
      <c r="KSE21" s="1280"/>
      <c r="KSF21" s="1280"/>
      <c r="KSG21" s="1280"/>
      <c r="KSH21" s="1280"/>
      <c r="KSI21" s="1280"/>
      <c r="KSJ21" s="1280"/>
      <c r="KSK21" s="1280"/>
      <c r="KSL21" s="1280"/>
      <c r="KSM21" s="1280"/>
      <c r="KSN21" s="1280"/>
      <c r="KSO21" s="1280"/>
      <c r="KSP21" s="1280"/>
      <c r="KSQ21" s="1280"/>
      <c r="KSR21" s="1280"/>
      <c r="KSS21" s="1280"/>
      <c r="KST21" s="1280"/>
      <c r="KSU21" s="1280"/>
      <c r="KSV21" s="1280"/>
      <c r="KSW21" s="1280"/>
      <c r="KSX21" s="1280"/>
      <c r="KSY21" s="1280"/>
      <c r="KSZ21" s="1280"/>
      <c r="KTA21" s="1280"/>
      <c r="KTB21" s="1280"/>
      <c r="KTC21" s="1280"/>
      <c r="KTD21" s="1280"/>
      <c r="KTE21" s="1280"/>
      <c r="KTF21" s="1280"/>
      <c r="KTG21" s="1280"/>
      <c r="KTH21" s="1280"/>
      <c r="KTI21" s="1280"/>
      <c r="KTJ21" s="1280"/>
      <c r="KTK21" s="1280"/>
      <c r="KTL21" s="1280"/>
      <c r="KTM21" s="1280"/>
      <c r="KTN21" s="1280"/>
      <c r="KTO21" s="1280"/>
      <c r="KTP21" s="1280"/>
      <c r="KTQ21" s="1280"/>
      <c r="KTR21" s="1280"/>
      <c r="KTS21" s="1280"/>
      <c r="KTT21" s="1280"/>
      <c r="KTU21" s="1280"/>
      <c r="KTV21" s="1280"/>
      <c r="KTW21" s="1280"/>
      <c r="KTX21" s="1280"/>
      <c r="KTY21" s="1280"/>
      <c r="KTZ21" s="1280"/>
      <c r="KUA21" s="1280"/>
      <c r="KUB21" s="1280"/>
      <c r="KUC21" s="1280"/>
      <c r="KUD21" s="1280"/>
      <c r="KUE21" s="1280"/>
      <c r="KUF21" s="1280"/>
      <c r="KUG21" s="1280"/>
      <c r="KUH21" s="1280"/>
      <c r="KUI21" s="1280"/>
      <c r="KUJ21" s="1280"/>
      <c r="KUK21" s="1280"/>
      <c r="KUL21" s="1280"/>
      <c r="KUM21" s="1280"/>
      <c r="KUN21" s="1280"/>
      <c r="KUO21" s="1280"/>
      <c r="KUP21" s="1280"/>
      <c r="KUQ21" s="1280"/>
      <c r="KUR21" s="1280"/>
      <c r="KUS21" s="1280"/>
      <c r="KUT21" s="1280"/>
      <c r="KUU21" s="1280"/>
      <c r="KUV21" s="1280"/>
      <c r="KUW21" s="1280"/>
      <c r="KUX21" s="1280"/>
      <c r="KUY21" s="1280"/>
      <c r="KUZ21" s="1280"/>
      <c r="KVA21" s="1280"/>
      <c r="KVB21" s="1280"/>
      <c r="KVC21" s="1280"/>
      <c r="KVD21" s="1280"/>
      <c r="KVE21" s="1280"/>
      <c r="KVF21" s="1280"/>
      <c r="KVG21" s="1280"/>
      <c r="KVH21" s="1280"/>
      <c r="KVI21" s="1280"/>
      <c r="KVJ21" s="1280"/>
      <c r="KVK21" s="1280"/>
      <c r="KVL21" s="1280"/>
      <c r="KVM21" s="1280"/>
      <c r="KVN21" s="1280"/>
      <c r="KVO21" s="1280"/>
      <c r="KVP21" s="1280"/>
      <c r="KVQ21" s="1280"/>
      <c r="KVR21" s="1280"/>
      <c r="KVS21" s="1280"/>
      <c r="KVT21" s="1280"/>
      <c r="KVU21" s="1280"/>
      <c r="KVV21" s="1280"/>
      <c r="KVW21" s="1280"/>
      <c r="KVX21" s="1280"/>
      <c r="KVY21" s="1280"/>
      <c r="KVZ21" s="1280"/>
      <c r="KWA21" s="1280"/>
      <c r="KWB21" s="1280"/>
      <c r="KWC21" s="1280"/>
      <c r="KWD21" s="1280"/>
      <c r="KWE21" s="1280"/>
      <c r="KWF21" s="1280"/>
      <c r="KWG21" s="1280"/>
      <c r="KWH21" s="1280"/>
      <c r="KWI21" s="1280"/>
      <c r="KWJ21" s="1280"/>
      <c r="KWK21" s="1280"/>
      <c r="KWL21" s="1280"/>
      <c r="KWM21" s="1280"/>
      <c r="KWN21" s="1280"/>
      <c r="KWO21" s="1280"/>
      <c r="KWP21" s="1280"/>
      <c r="KWQ21" s="1280"/>
      <c r="KWR21" s="1280"/>
      <c r="KWS21" s="1280"/>
      <c r="KWT21" s="1280"/>
      <c r="KWU21" s="1280"/>
      <c r="KWV21" s="1280"/>
      <c r="KWW21" s="1280"/>
      <c r="KWX21" s="1280"/>
      <c r="KWY21" s="1280"/>
      <c r="KWZ21" s="1280"/>
      <c r="KXA21" s="1280"/>
      <c r="KXB21" s="1280"/>
      <c r="KXC21" s="1280"/>
      <c r="KXD21" s="1280"/>
      <c r="KXE21" s="1280"/>
      <c r="KXF21" s="1280"/>
      <c r="KXG21" s="1280"/>
      <c r="KXH21" s="1280"/>
      <c r="KXI21" s="1280"/>
      <c r="KXJ21" s="1280"/>
      <c r="KXK21" s="1280"/>
      <c r="KXL21" s="1280"/>
      <c r="KXM21" s="1280"/>
      <c r="KXN21" s="1280"/>
      <c r="KXO21" s="1280"/>
      <c r="KXP21" s="1280"/>
      <c r="KXQ21" s="1280"/>
      <c r="KXR21" s="1280"/>
      <c r="KXS21" s="1280"/>
      <c r="KXT21" s="1280"/>
      <c r="KXU21" s="1280"/>
      <c r="KXV21" s="1280"/>
      <c r="KXW21" s="1280"/>
      <c r="KXX21" s="1280"/>
      <c r="KXY21" s="1280"/>
      <c r="KXZ21" s="1280"/>
      <c r="KYA21" s="1280"/>
      <c r="KYB21" s="1280"/>
      <c r="KYC21" s="1280"/>
      <c r="KYD21" s="1280"/>
      <c r="KYE21" s="1280"/>
      <c r="KYF21" s="1280"/>
      <c r="KYG21" s="1280"/>
      <c r="KYH21" s="1280"/>
      <c r="KYI21" s="1280"/>
      <c r="KYJ21" s="1280"/>
      <c r="KYK21" s="1280"/>
      <c r="KYL21" s="1280"/>
      <c r="KYM21" s="1280"/>
      <c r="KYN21" s="1280"/>
      <c r="KYO21" s="1280"/>
      <c r="KYP21" s="1280"/>
      <c r="KYQ21" s="1280"/>
      <c r="KYR21" s="1280"/>
      <c r="KYS21" s="1280"/>
      <c r="KYT21" s="1280"/>
      <c r="KYU21" s="1280"/>
      <c r="KYV21" s="1280"/>
      <c r="KYW21" s="1280"/>
      <c r="KYX21" s="1280"/>
      <c r="KYY21" s="1280"/>
      <c r="KYZ21" s="1280"/>
      <c r="KZA21" s="1280"/>
      <c r="KZB21" s="1280"/>
      <c r="KZC21" s="1280"/>
      <c r="KZD21" s="1280"/>
      <c r="KZE21" s="1280"/>
      <c r="KZF21" s="1280"/>
      <c r="KZG21" s="1280"/>
      <c r="KZH21" s="1280"/>
      <c r="KZI21" s="1280"/>
      <c r="KZJ21" s="1280"/>
      <c r="KZK21" s="1280"/>
      <c r="KZL21" s="1280"/>
      <c r="KZM21" s="1280"/>
      <c r="KZN21" s="1280"/>
      <c r="KZO21" s="1280"/>
      <c r="KZP21" s="1280"/>
      <c r="KZQ21" s="1280"/>
      <c r="KZR21" s="1280"/>
      <c r="KZS21" s="1280"/>
      <c r="KZT21" s="1280"/>
      <c r="KZU21" s="1280"/>
      <c r="KZV21" s="1280"/>
      <c r="KZW21" s="1280"/>
      <c r="KZX21" s="1280"/>
      <c r="KZY21" s="1280"/>
      <c r="KZZ21" s="1280"/>
      <c r="LAA21" s="1280"/>
      <c r="LAB21" s="1280"/>
      <c r="LAC21" s="1280"/>
      <c r="LAD21" s="1280"/>
      <c r="LAE21" s="1280"/>
      <c r="LAF21" s="1280"/>
      <c r="LAG21" s="1280"/>
      <c r="LAH21" s="1280"/>
      <c r="LAI21" s="1280"/>
      <c r="LAJ21" s="1280"/>
      <c r="LAK21" s="1280"/>
      <c r="LAL21" s="1280"/>
      <c r="LAM21" s="1280"/>
      <c r="LAN21" s="1280"/>
      <c r="LAO21" s="1280"/>
      <c r="LAP21" s="1280"/>
      <c r="LAQ21" s="1280"/>
      <c r="LAR21" s="1280"/>
      <c r="LAS21" s="1280"/>
      <c r="LAT21" s="1280"/>
      <c r="LAU21" s="1280"/>
      <c r="LAV21" s="1280"/>
      <c r="LAW21" s="1280"/>
      <c r="LAX21" s="1280"/>
      <c r="LAY21" s="1280"/>
      <c r="LAZ21" s="1280"/>
      <c r="LBA21" s="1280"/>
      <c r="LBB21" s="1280"/>
      <c r="LBC21" s="1280"/>
      <c r="LBD21" s="1280"/>
      <c r="LBE21" s="1280"/>
      <c r="LBF21" s="1280"/>
      <c r="LBG21" s="1280"/>
      <c r="LBH21" s="1280"/>
      <c r="LBI21" s="1280"/>
      <c r="LBJ21" s="1280"/>
      <c r="LBK21" s="1280"/>
      <c r="LBL21" s="1280"/>
      <c r="LBM21" s="1280"/>
      <c r="LBN21" s="1280"/>
      <c r="LBO21" s="1280"/>
      <c r="LBP21" s="1280"/>
      <c r="LBQ21" s="1280"/>
      <c r="LBR21" s="1280"/>
      <c r="LBS21" s="1280"/>
      <c r="LBT21" s="1280"/>
      <c r="LBU21" s="1280"/>
      <c r="LBV21" s="1280"/>
      <c r="LBW21" s="1280"/>
      <c r="LBX21" s="1280"/>
      <c r="LBY21" s="1280"/>
      <c r="LBZ21" s="1280"/>
      <c r="LCA21" s="1280"/>
      <c r="LCB21" s="1280"/>
      <c r="LCC21" s="1280"/>
      <c r="LCD21" s="1280"/>
      <c r="LCE21" s="1280"/>
      <c r="LCF21" s="1280"/>
      <c r="LCG21" s="1280"/>
      <c r="LCH21" s="1280"/>
      <c r="LCI21" s="1280"/>
      <c r="LCJ21" s="1280"/>
      <c r="LCK21" s="1280"/>
      <c r="LCL21" s="1280"/>
      <c r="LCM21" s="1280"/>
      <c r="LCN21" s="1280"/>
      <c r="LCO21" s="1280"/>
      <c r="LCP21" s="1280"/>
      <c r="LCQ21" s="1280"/>
      <c r="LCR21" s="1280"/>
      <c r="LCS21" s="1280"/>
      <c r="LCT21" s="1280"/>
      <c r="LCU21" s="1280"/>
      <c r="LCV21" s="1280"/>
      <c r="LCW21" s="1280"/>
      <c r="LCX21" s="1280"/>
      <c r="LCY21" s="1280"/>
      <c r="LCZ21" s="1280"/>
      <c r="LDA21" s="1280"/>
      <c r="LDB21" s="1280"/>
      <c r="LDC21" s="1280"/>
      <c r="LDD21" s="1280"/>
      <c r="LDE21" s="1280"/>
      <c r="LDF21" s="1280"/>
      <c r="LDG21" s="1280"/>
      <c r="LDH21" s="1280"/>
      <c r="LDI21" s="1280"/>
      <c r="LDJ21" s="1280"/>
      <c r="LDK21" s="1280"/>
      <c r="LDL21" s="1280"/>
      <c r="LDM21" s="1280"/>
      <c r="LDN21" s="1280"/>
      <c r="LDO21" s="1280"/>
      <c r="LDP21" s="1280"/>
      <c r="LDQ21" s="1280"/>
      <c r="LDR21" s="1280"/>
      <c r="LDS21" s="1280"/>
      <c r="LDT21" s="1280"/>
      <c r="LDU21" s="1280"/>
      <c r="LDV21" s="1280"/>
      <c r="LDW21" s="1280"/>
      <c r="LDX21" s="1280"/>
      <c r="LDY21" s="1280"/>
      <c r="LDZ21" s="1280"/>
      <c r="LEA21" s="1280"/>
      <c r="LEB21" s="1280"/>
      <c r="LEC21" s="1280"/>
      <c r="LED21" s="1280"/>
      <c r="LEE21" s="1280"/>
      <c r="LEF21" s="1280"/>
      <c r="LEG21" s="1280"/>
      <c r="LEH21" s="1280"/>
      <c r="LEI21" s="1280"/>
      <c r="LEJ21" s="1280"/>
      <c r="LEK21" s="1280"/>
      <c r="LEL21" s="1280"/>
      <c r="LEM21" s="1280"/>
      <c r="LEN21" s="1280"/>
      <c r="LEO21" s="1280"/>
      <c r="LEP21" s="1280"/>
      <c r="LEQ21" s="1280"/>
      <c r="LER21" s="1280"/>
      <c r="LES21" s="1280"/>
      <c r="LET21" s="1280"/>
      <c r="LEU21" s="1280"/>
      <c r="LEV21" s="1280"/>
      <c r="LEW21" s="1280"/>
      <c r="LEX21" s="1280"/>
      <c r="LEY21" s="1280"/>
      <c r="LEZ21" s="1280"/>
      <c r="LFA21" s="1280"/>
      <c r="LFB21" s="1280"/>
      <c r="LFC21" s="1280"/>
      <c r="LFD21" s="1280"/>
      <c r="LFE21" s="1280"/>
      <c r="LFF21" s="1280"/>
      <c r="LFG21" s="1280"/>
      <c r="LFH21" s="1280"/>
      <c r="LFI21" s="1280"/>
      <c r="LFJ21" s="1280"/>
      <c r="LFK21" s="1280"/>
      <c r="LFL21" s="1280"/>
      <c r="LFM21" s="1280"/>
      <c r="LFN21" s="1280"/>
      <c r="LFO21" s="1280"/>
      <c r="LFP21" s="1280"/>
      <c r="LFQ21" s="1280"/>
      <c r="LFR21" s="1280"/>
      <c r="LFS21" s="1280"/>
      <c r="LFT21" s="1280"/>
      <c r="LFU21" s="1280"/>
      <c r="LFV21" s="1280"/>
      <c r="LFW21" s="1280"/>
      <c r="LFX21" s="1280"/>
      <c r="LFY21" s="1280"/>
      <c r="LFZ21" s="1280"/>
      <c r="LGA21" s="1280"/>
      <c r="LGB21" s="1280"/>
      <c r="LGC21" s="1280"/>
      <c r="LGD21" s="1280"/>
      <c r="LGE21" s="1280"/>
      <c r="LGF21" s="1280"/>
      <c r="LGG21" s="1280"/>
      <c r="LGH21" s="1280"/>
      <c r="LGI21" s="1280"/>
      <c r="LGJ21" s="1280"/>
      <c r="LGK21" s="1280"/>
      <c r="LGL21" s="1280"/>
      <c r="LGM21" s="1280"/>
      <c r="LGN21" s="1280"/>
      <c r="LGO21" s="1280"/>
      <c r="LGP21" s="1280"/>
      <c r="LGQ21" s="1280"/>
      <c r="LGR21" s="1280"/>
      <c r="LGS21" s="1280"/>
      <c r="LGT21" s="1280"/>
      <c r="LGU21" s="1280"/>
      <c r="LGV21" s="1280"/>
      <c r="LGW21" s="1280"/>
      <c r="LGX21" s="1280"/>
      <c r="LGY21" s="1280"/>
      <c r="LGZ21" s="1280"/>
      <c r="LHA21" s="1280"/>
      <c r="LHB21" s="1280"/>
      <c r="LHC21" s="1280"/>
      <c r="LHD21" s="1280"/>
      <c r="LHE21" s="1280"/>
      <c r="LHF21" s="1280"/>
      <c r="LHG21" s="1280"/>
      <c r="LHH21" s="1280"/>
      <c r="LHI21" s="1280"/>
      <c r="LHJ21" s="1280"/>
      <c r="LHK21" s="1280"/>
      <c r="LHL21" s="1280"/>
      <c r="LHM21" s="1280"/>
      <c r="LHN21" s="1280"/>
      <c r="LHO21" s="1280"/>
      <c r="LHP21" s="1280"/>
      <c r="LHQ21" s="1280"/>
      <c r="LHR21" s="1280"/>
      <c r="LHS21" s="1280"/>
      <c r="LHT21" s="1280"/>
      <c r="LHU21" s="1280"/>
      <c r="LHV21" s="1280"/>
      <c r="LHW21" s="1280"/>
      <c r="LHX21" s="1280"/>
      <c r="LHY21" s="1280"/>
      <c r="LHZ21" s="1280"/>
      <c r="LIA21" s="1280"/>
      <c r="LIB21" s="1280"/>
      <c r="LIC21" s="1280"/>
      <c r="LID21" s="1280"/>
      <c r="LIE21" s="1280"/>
      <c r="LIF21" s="1280"/>
      <c r="LIG21" s="1280"/>
      <c r="LIH21" s="1280"/>
      <c r="LII21" s="1280"/>
      <c r="LIJ21" s="1280"/>
      <c r="LIK21" s="1280"/>
      <c r="LIL21" s="1280"/>
      <c r="LIM21" s="1280"/>
      <c r="LIN21" s="1280"/>
      <c r="LIO21" s="1280"/>
      <c r="LIP21" s="1280"/>
      <c r="LIQ21" s="1280"/>
      <c r="LIR21" s="1280"/>
      <c r="LIS21" s="1280"/>
      <c r="LIT21" s="1280"/>
      <c r="LIU21" s="1280"/>
      <c r="LIV21" s="1280"/>
      <c r="LIW21" s="1280"/>
      <c r="LIX21" s="1280"/>
      <c r="LIY21" s="1280"/>
      <c r="LIZ21" s="1280"/>
      <c r="LJA21" s="1280"/>
      <c r="LJB21" s="1280"/>
      <c r="LJC21" s="1280"/>
      <c r="LJD21" s="1280"/>
      <c r="LJE21" s="1280"/>
      <c r="LJF21" s="1280"/>
      <c r="LJG21" s="1280"/>
      <c r="LJH21" s="1280"/>
      <c r="LJI21" s="1280"/>
      <c r="LJJ21" s="1280"/>
      <c r="LJK21" s="1280"/>
      <c r="LJL21" s="1280"/>
      <c r="LJM21" s="1280"/>
      <c r="LJN21" s="1280"/>
      <c r="LJO21" s="1280"/>
      <c r="LJP21" s="1280"/>
      <c r="LJQ21" s="1280"/>
      <c r="LJR21" s="1280"/>
      <c r="LJS21" s="1280"/>
      <c r="LJT21" s="1280"/>
      <c r="LJU21" s="1280"/>
      <c r="LJV21" s="1280"/>
      <c r="LJW21" s="1280"/>
      <c r="LJX21" s="1280"/>
      <c r="LJY21" s="1280"/>
      <c r="LJZ21" s="1280"/>
      <c r="LKA21" s="1280"/>
      <c r="LKB21" s="1280"/>
      <c r="LKC21" s="1280"/>
      <c r="LKD21" s="1280"/>
      <c r="LKE21" s="1280"/>
      <c r="LKF21" s="1280"/>
      <c r="LKG21" s="1280"/>
      <c r="LKH21" s="1280"/>
      <c r="LKI21" s="1280"/>
      <c r="LKJ21" s="1280"/>
      <c r="LKK21" s="1280"/>
      <c r="LKL21" s="1280"/>
      <c r="LKM21" s="1280"/>
      <c r="LKN21" s="1280"/>
      <c r="LKO21" s="1280"/>
      <c r="LKP21" s="1280"/>
      <c r="LKQ21" s="1280"/>
      <c r="LKR21" s="1280"/>
      <c r="LKS21" s="1280"/>
      <c r="LKT21" s="1280"/>
      <c r="LKU21" s="1280"/>
      <c r="LKV21" s="1280"/>
      <c r="LKW21" s="1280"/>
      <c r="LKX21" s="1280"/>
      <c r="LKY21" s="1280"/>
      <c r="LKZ21" s="1280"/>
      <c r="LLA21" s="1280"/>
      <c r="LLB21" s="1280"/>
      <c r="LLC21" s="1280"/>
      <c r="LLD21" s="1280"/>
      <c r="LLE21" s="1280"/>
      <c r="LLF21" s="1280"/>
      <c r="LLG21" s="1280"/>
      <c r="LLH21" s="1280"/>
      <c r="LLI21" s="1280"/>
      <c r="LLJ21" s="1280"/>
      <c r="LLK21" s="1280"/>
      <c r="LLL21" s="1280"/>
      <c r="LLM21" s="1280"/>
      <c r="LLN21" s="1280"/>
      <c r="LLO21" s="1280"/>
      <c r="LLP21" s="1280"/>
      <c r="LLQ21" s="1280"/>
      <c r="LLR21" s="1280"/>
      <c r="LLS21" s="1280"/>
      <c r="LLT21" s="1280"/>
      <c r="LLU21" s="1280"/>
      <c r="LLV21" s="1280"/>
      <c r="LLW21" s="1280"/>
      <c r="LLX21" s="1280"/>
      <c r="LLY21" s="1280"/>
      <c r="LLZ21" s="1280"/>
      <c r="LMA21" s="1280"/>
      <c r="LMB21" s="1280"/>
      <c r="LMC21" s="1280"/>
      <c r="LMD21" s="1280"/>
      <c r="LME21" s="1280"/>
      <c r="LMF21" s="1280"/>
      <c r="LMG21" s="1280"/>
      <c r="LMH21" s="1280"/>
      <c r="LMI21" s="1280"/>
      <c r="LMJ21" s="1280"/>
      <c r="LMK21" s="1280"/>
      <c r="LML21" s="1280"/>
      <c r="LMM21" s="1280"/>
      <c r="LMN21" s="1280"/>
      <c r="LMO21" s="1280"/>
      <c r="LMP21" s="1280"/>
      <c r="LMQ21" s="1280"/>
      <c r="LMR21" s="1280"/>
      <c r="LMS21" s="1280"/>
      <c r="LMT21" s="1280"/>
      <c r="LMU21" s="1280"/>
      <c r="LMV21" s="1280"/>
      <c r="LMW21" s="1280"/>
      <c r="LMX21" s="1280"/>
      <c r="LMY21" s="1280"/>
      <c r="LMZ21" s="1280"/>
      <c r="LNA21" s="1280"/>
      <c r="LNB21" s="1280"/>
      <c r="LNC21" s="1280"/>
      <c r="LND21" s="1280"/>
      <c r="LNE21" s="1280"/>
      <c r="LNF21" s="1280"/>
      <c r="LNG21" s="1280"/>
      <c r="LNH21" s="1280"/>
      <c r="LNI21" s="1280"/>
      <c r="LNJ21" s="1280"/>
      <c r="LNK21" s="1280"/>
      <c r="LNL21" s="1280"/>
      <c r="LNM21" s="1280"/>
      <c r="LNN21" s="1280"/>
      <c r="LNO21" s="1280"/>
      <c r="LNP21" s="1280"/>
      <c r="LNQ21" s="1280"/>
      <c r="LNR21" s="1280"/>
      <c r="LNS21" s="1280"/>
      <c r="LNT21" s="1280"/>
      <c r="LNU21" s="1280"/>
      <c r="LNV21" s="1280"/>
      <c r="LNW21" s="1280"/>
      <c r="LNX21" s="1280"/>
      <c r="LNY21" s="1280"/>
      <c r="LNZ21" s="1280"/>
      <c r="LOA21" s="1280"/>
      <c r="LOB21" s="1280"/>
      <c r="LOC21" s="1280"/>
      <c r="LOD21" s="1280"/>
      <c r="LOE21" s="1280"/>
      <c r="LOF21" s="1280"/>
      <c r="LOG21" s="1280"/>
      <c r="LOH21" s="1280"/>
      <c r="LOI21" s="1280"/>
      <c r="LOJ21" s="1280"/>
      <c r="LOK21" s="1280"/>
      <c r="LOL21" s="1280"/>
      <c r="LOM21" s="1280"/>
      <c r="LON21" s="1280"/>
      <c r="LOO21" s="1280"/>
      <c r="LOP21" s="1280"/>
      <c r="LOQ21" s="1280"/>
      <c r="LOR21" s="1280"/>
      <c r="LOS21" s="1280"/>
      <c r="LOT21" s="1280"/>
      <c r="LOU21" s="1280"/>
      <c r="LOV21" s="1280"/>
      <c r="LOW21" s="1280"/>
      <c r="LOX21" s="1280"/>
      <c r="LOY21" s="1280"/>
      <c r="LOZ21" s="1280"/>
      <c r="LPA21" s="1280"/>
      <c r="LPB21" s="1280"/>
      <c r="LPC21" s="1280"/>
      <c r="LPD21" s="1280"/>
      <c r="LPE21" s="1280"/>
      <c r="LPF21" s="1280"/>
      <c r="LPG21" s="1280"/>
      <c r="LPH21" s="1280"/>
      <c r="LPI21" s="1280"/>
      <c r="LPJ21" s="1280"/>
      <c r="LPK21" s="1280"/>
      <c r="LPL21" s="1280"/>
      <c r="LPM21" s="1280"/>
      <c r="LPN21" s="1280"/>
      <c r="LPO21" s="1280"/>
      <c r="LPP21" s="1280"/>
      <c r="LPQ21" s="1280"/>
      <c r="LPR21" s="1280"/>
      <c r="LPS21" s="1280"/>
      <c r="LPT21" s="1280"/>
      <c r="LPU21" s="1280"/>
      <c r="LPV21" s="1280"/>
      <c r="LPW21" s="1280"/>
      <c r="LPX21" s="1280"/>
      <c r="LPY21" s="1280"/>
      <c r="LPZ21" s="1280"/>
      <c r="LQA21" s="1280"/>
      <c r="LQB21" s="1280"/>
      <c r="LQC21" s="1280"/>
      <c r="LQD21" s="1280"/>
      <c r="LQE21" s="1280"/>
      <c r="LQF21" s="1280"/>
      <c r="LQG21" s="1280"/>
      <c r="LQH21" s="1280"/>
      <c r="LQI21" s="1280"/>
      <c r="LQJ21" s="1280"/>
      <c r="LQK21" s="1280"/>
      <c r="LQL21" s="1280"/>
      <c r="LQM21" s="1280"/>
      <c r="LQN21" s="1280"/>
      <c r="LQO21" s="1280"/>
      <c r="LQP21" s="1280"/>
      <c r="LQQ21" s="1280"/>
      <c r="LQR21" s="1280"/>
      <c r="LQS21" s="1280"/>
      <c r="LQT21" s="1280"/>
      <c r="LQU21" s="1280"/>
      <c r="LQV21" s="1280"/>
      <c r="LQW21" s="1280"/>
      <c r="LQX21" s="1280"/>
      <c r="LQY21" s="1280"/>
      <c r="LQZ21" s="1280"/>
      <c r="LRA21" s="1280"/>
      <c r="LRB21" s="1280"/>
      <c r="LRC21" s="1280"/>
      <c r="LRD21" s="1280"/>
      <c r="LRE21" s="1280"/>
      <c r="LRF21" s="1280"/>
      <c r="LRG21" s="1280"/>
      <c r="LRH21" s="1280"/>
      <c r="LRI21" s="1280"/>
      <c r="LRJ21" s="1280"/>
      <c r="LRK21" s="1280"/>
      <c r="LRL21" s="1280"/>
      <c r="LRM21" s="1280"/>
      <c r="LRN21" s="1280"/>
      <c r="LRO21" s="1280"/>
      <c r="LRP21" s="1280"/>
      <c r="LRQ21" s="1280"/>
      <c r="LRR21" s="1280"/>
      <c r="LRS21" s="1280"/>
      <c r="LRT21" s="1280"/>
      <c r="LRU21" s="1280"/>
      <c r="LRV21" s="1280"/>
      <c r="LRW21" s="1280"/>
      <c r="LRX21" s="1280"/>
      <c r="LRY21" s="1280"/>
      <c r="LRZ21" s="1280"/>
      <c r="LSA21" s="1280"/>
      <c r="LSB21" s="1280"/>
      <c r="LSC21" s="1280"/>
      <c r="LSD21" s="1280"/>
      <c r="LSE21" s="1280"/>
      <c r="LSF21" s="1280"/>
      <c r="LSG21" s="1280"/>
      <c r="LSH21" s="1280"/>
      <c r="LSI21" s="1280"/>
      <c r="LSJ21" s="1280"/>
      <c r="LSK21" s="1280"/>
      <c r="LSL21" s="1280"/>
      <c r="LSM21" s="1280"/>
      <c r="LSN21" s="1280"/>
      <c r="LSO21" s="1280"/>
      <c r="LSP21" s="1280"/>
      <c r="LSQ21" s="1280"/>
      <c r="LSR21" s="1280"/>
      <c r="LSS21" s="1280"/>
      <c r="LST21" s="1280"/>
      <c r="LSU21" s="1280"/>
      <c r="LSV21" s="1280"/>
      <c r="LSW21" s="1280"/>
      <c r="LSX21" s="1280"/>
      <c r="LSY21" s="1280"/>
      <c r="LSZ21" s="1280"/>
      <c r="LTA21" s="1280"/>
      <c r="LTB21" s="1280"/>
      <c r="LTC21" s="1280"/>
      <c r="LTD21" s="1280"/>
      <c r="LTE21" s="1280"/>
      <c r="LTF21" s="1280"/>
      <c r="LTG21" s="1280"/>
      <c r="LTH21" s="1280"/>
      <c r="LTI21" s="1280"/>
      <c r="LTJ21" s="1280"/>
      <c r="LTK21" s="1280"/>
      <c r="LTL21" s="1280"/>
      <c r="LTM21" s="1280"/>
      <c r="LTN21" s="1280"/>
      <c r="LTO21" s="1280"/>
      <c r="LTP21" s="1280"/>
      <c r="LTQ21" s="1280"/>
      <c r="LTR21" s="1280"/>
      <c r="LTS21" s="1280"/>
      <c r="LTT21" s="1280"/>
      <c r="LTU21" s="1280"/>
      <c r="LTV21" s="1280"/>
      <c r="LTW21" s="1280"/>
      <c r="LTX21" s="1280"/>
      <c r="LTY21" s="1280"/>
      <c r="LTZ21" s="1280"/>
      <c r="LUA21" s="1280"/>
      <c r="LUB21" s="1280"/>
      <c r="LUC21" s="1280"/>
      <c r="LUD21" s="1280"/>
      <c r="LUE21" s="1280"/>
      <c r="LUF21" s="1280"/>
      <c r="LUG21" s="1280"/>
      <c r="LUH21" s="1280"/>
      <c r="LUI21" s="1280"/>
      <c r="LUJ21" s="1280"/>
      <c r="LUK21" s="1280"/>
      <c r="LUL21" s="1280"/>
      <c r="LUM21" s="1280"/>
      <c r="LUN21" s="1280"/>
      <c r="LUO21" s="1280"/>
      <c r="LUP21" s="1280"/>
      <c r="LUQ21" s="1280"/>
      <c r="LUR21" s="1280"/>
      <c r="LUS21" s="1280"/>
      <c r="LUT21" s="1280"/>
      <c r="LUU21" s="1280"/>
      <c r="LUV21" s="1280"/>
      <c r="LUW21" s="1280"/>
      <c r="LUX21" s="1280"/>
      <c r="LUY21" s="1280"/>
      <c r="LUZ21" s="1280"/>
      <c r="LVA21" s="1280"/>
      <c r="LVB21" s="1280"/>
      <c r="LVC21" s="1280"/>
      <c r="LVD21" s="1280"/>
      <c r="LVE21" s="1280"/>
      <c r="LVF21" s="1280"/>
      <c r="LVG21" s="1280"/>
      <c r="LVH21" s="1280"/>
      <c r="LVI21" s="1280"/>
      <c r="LVJ21" s="1280"/>
      <c r="LVK21" s="1280"/>
      <c r="LVL21" s="1280"/>
      <c r="LVM21" s="1280"/>
      <c r="LVN21" s="1280"/>
      <c r="LVO21" s="1280"/>
      <c r="LVP21" s="1280"/>
      <c r="LVQ21" s="1280"/>
      <c r="LVR21" s="1280"/>
      <c r="LVS21" s="1280"/>
      <c r="LVT21" s="1280"/>
      <c r="LVU21" s="1280"/>
      <c r="LVV21" s="1280"/>
      <c r="LVW21" s="1280"/>
      <c r="LVX21" s="1280"/>
      <c r="LVY21" s="1280"/>
      <c r="LVZ21" s="1280"/>
      <c r="LWA21" s="1280"/>
      <c r="LWB21" s="1280"/>
      <c r="LWC21" s="1280"/>
      <c r="LWD21" s="1280"/>
      <c r="LWE21" s="1280"/>
      <c r="LWF21" s="1280"/>
      <c r="LWG21" s="1280"/>
      <c r="LWH21" s="1280"/>
      <c r="LWI21" s="1280"/>
      <c r="LWJ21" s="1280"/>
      <c r="LWK21" s="1280"/>
      <c r="LWL21" s="1280"/>
      <c r="LWM21" s="1280"/>
      <c r="LWN21" s="1280"/>
      <c r="LWO21" s="1280"/>
      <c r="LWP21" s="1280"/>
      <c r="LWQ21" s="1280"/>
      <c r="LWR21" s="1280"/>
      <c r="LWS21" s="1280"/>
      <c r="LWT21" s="1280"/>
      <c r="LWU21" s="1280"/>
      <c r="LWV21" s="1280"/>
      <c r="LWW21" s="1280"/>
      <c r="LWX21" s="1280"/>
      <c r="LWY21" s="1280"/>
      <c r="LWZ21" s="1280"/>
      <c r="LXA21" s="1280"/>
      <c r="LXB21" s="1280"/>
      <c r="LXC21" s="1280"/>
      <c r="LXD21" s="1280"/>
      <c r="LXE21" s="1280"/>
      <c r="LXF21" s="1280"/>
      <c r="LXG21" s="1280"/>
      <c r="LXH21" s="1280"/>
      <c r="LXI21" s="1280"/>
      <c r="LXJ21" s="1280"/>
      <c r="LXK21" s="1280"/>
      <c r="LXL21" s="1280"/>
      <c r="LXM21" s="1280"/>
      <c r="LXN21" s="1280"/>
      <c r="LXO21" s="1280"/>
      <c r="LXP21" s="1280"/>
      <c r="LXQ21" s="1280"/>
      <c r="LXR21" s="1280"/>
      <c r="LXS21" s="1280"/>
      <c r="LXT21" s="1280"/>
      <c r="LXU21" s="1280"/>
      <c r="LXV21" s="1280"/>
      <c r="LXW21" s="1280"/>
      <c r="LXX21" s="1280"/>
      <c r="LXY21" s="1280"/>
      <c r="LXZ21" s="1280"/>
      <c r="LYA21" s="1280"/>
      <c r="LYB21" s="1280"/>
      <c r="LYC21" s="1280"/>
      <c r="LYD21" s="1280"/>
      <c r="LYE21" s="1280"/>
      <c r="LYF21" s="1280"/>
      <c r="LYG21" s="1280"/>
      <c r="LYH21" s="1280"/>
      <c r="LYI21" s="1280"/>
      <c r="LYJ21" s="1280"/>
      <c r="LYK21" s="1280"/>
      <c r="LYL21" s="1280"/>
      <c r="LYM21" s="1280"/>
      <c r="LYN21" s="1280"/>
      <c r="LYO21" s="1280"/>
      <c r="LYP21" s="1280"/>
      <c r="LYQ21" s="1280"/>
      <c r="LYR21" s="1280"/>
      <c r="LYS21" s="1280"/>
      <c r="LYT21" s="1280"/>
      <c r="LYU21" s="1280"/>
      <c r="LYV21" s="1280"/>
      <c r="LYW21" s="1280"/>
      <c r="LYX21" s="1280"/>
      <c r="LYY21" s="1280"/>
      <c r="LYZ21" s="1280"/>
      <c r="LZA21" s="1280"/>
      <c r="LZB21" s="1280"/>
      <c r="LZC21" s="1280"/>
      <c r="LZD21" s="1280"/>
      <c r="LZE21" s="1280"/>
      <c r="LZF21" s="1280"/>
      <c r="LZG21" s="1280"/>
      <c r="LZH21" s="1280"/>
      <c r="LZI21" s="1280"/>
      <c r="LZJ21" s="1280"/>
      <c r="LZK21" s="1280"/>
      <c r="LZL21" s="1280"/>
      <c r="LZM21" s="1280"/>
      <c r="LZN21" s="1280"/>
      <c r="LZO21" s="1280"/>
      <c r="LZP21" s="1280"/>
      <c r="LZQ21" s="1280"/>
      <c r="LZR21" s="1280"/>
      <c r="LZS21" s="1280"/>
      <c r="LZT21" s="1280"/>
      <c r="LZU21" s="1280"/>
      <c r="LZV21" s="1280"/>
      <c r="LZW21" s="1280"/>
      <c r="LZX21" s="1280"/>
      <c r="LZY21" s="1280"/>
      <c r="LZZ21" s="1280"/>
      <c r="MAA21" s="1280"/>
      <c r="MAB21" s="1280"/>
      <c r="MAC21" s="1280"/>
      <c r="MAD21" s="1280"/>
      <c r="MAE21" s="1280"/>
      <c r="MAF21" s="1280"/>
      <c r="MAG21" s="1280"/>
      <c r="MAH21" s="1280"/>
      <c r="MAI21" s="1280"/>
      <c r="MAJ21" s="1280"/>
      <c r="MAK21" s="1280"/>
      <c r="MAL21" s="1280"/>
      <c r="MAM21" s="1280"/>
      <c r="MAN21" s="1280"/>
      <c r="MAO21" s="1280"/>
      <c r="MAP21" s="1280"/>
      <c r="MAQ21" s="1280"/>
      <c r="MAR21" s="1280"/>
      <c r="MAS21" s="1280"/>
      <c r="MAT21" s="1280"/>
      <c r="MAU21" s="1280"/>
      <c r="MAV21" s="1280"/>
      <c r="MAW21" s="1280"/>
      <c r="MAX21" s="1280"/>
      <c r="MAY21" s="1280"/>
      <c r="MAZ21" s="1280"/>
      <c r="MBA21" s="1280"/>
      <c r="MBB21" s="1280"/>
      <c r="MBC21" s="1280"/>
      <c r="MBD21" s="1280"/>
      <c r="MBE21" s="1280"/>
      <c r="MBF21" s="1280"/>
      <c r="MBG21" s="1280"/>
      <c r="MBH21" s="1280"/>
      <c r="MBI21" s="1280"/>
      <c r="MBJ21" s="1280"/>
      <c r="MBK21" s="1280"/>
      <c r="MBL21" s="1280"/>
      <c r="MBM21" s="1280"/>
      <c r="MBN21" s="1280"/>
      <c r="MBO21" s="1280"/>
      <c r="MBP21" s="1280"/>
      <c r="MBQ21" s="1280"/>
      <c r="MBR21" s="1280"/>
      <c r="MBS21" s="1280"/>
      <c r="MBT21" s="1280"/>
      <c r="MBU21" s="1280"/>
      <c r="MBV21" s="1280"/>
      <c r="MBW21" s="1280"/>
      <c r="MBX21" s="1280"/>
      <c r="MBY21" s="1280"/>
      <c r="MBZ21" s="1280"/>
      <c r="MCA21" s="1280"/>
      <c r="MCB21" s="1280"/>
      <c r="MCC21" s="1280"/>
      <c r="MCD21" s="1280"/>
      <c r="MCE21" s="1280"/>
      <c r="MCF21" s="1280"/>
      <c r="MCG21" s="1280"/>
      <c r="MCH21" s="1280"/>
      <c r="MCI21" s="1280"/>
      <c r="MCJ21" s="1280"/>
      <c r="MCK21" s="1280"/>
      <c r="MCL21" s="1280"/>
      <c r="MCM21" s="1280"/>
      <c r="MCN21" s="1280"/>
      <c r="MCO21" s="1280"/>
      <c r="MCP21" s="1280"/>
      <c r="MCQ21" s="1280"/>
      <c r="MCR21" s="1280"/>
      <c r="MCS21" s="1280"/>
      <c r="MCT21" s="1280"/>
      <c r="MCU21" s="1280"/>
      <c r="MCV21" s="1280"/>
      <c r="MCW21" s="1280"/>
      <c r="MCX21" s="1280"/>
      <c r="MCY21" s="1280"/>
      <c r="MCZ21" s="1280"/>
      <c r="MDA21" s="1280"/>
      <c r="MDB21" s="1280"/>
      <c r="MDC21" s="1280"/>
      <c r="MDD21" s="1280"/>
      <c r="MDE21" s="1280"/>
      <c r="MDF21" s="1280"/>
      <c r="MDG21" s="1280"/>
      <c r="MDH21" s="1280"/>
      <c r="MDI21" s="1280"/>
      <c r="MDJ21" s="1280"/>
      <c r="MDK21" s="1280"/>
      <c r="MDL21" s="1280"/>
      <c r="MDM21" s="1280"/>
      <c r="MDN21" s="1280"/>
      <c r="MDO21" s="1280"/>
      <c r="MDP21" s="1280"/>
      <c r="MDQ21" s="1280"/>
      <c r="MDR21" s="1280"/>
      <c r="MDS21" s="1280"/>
      <c r="MDT21" s="1280"/>
      <c r="MDU21" s="1280"/>
      <c r="MDV21" s="1280"/>
      <c r="MDW21" s="1280"/>
      <c r="MDX21" s="1280"/>
      <c r="MDY21" s="1280"/>
      <c r="MDZ21" s="1280"/>
      <c r="MEA21" s="1280"/>
      <c r="MEB21" s="1280"/>
      <c r="MEC21" s="1280"/>
      <c r="MED21" s="1280"/>
      <c r="MEE21" s="1280"/>
      <c r="MEF21" s="1280"/>
      <c r="MEG21" s="1280"/>
      <c r="MEH21" s="1280"/>
      <c r="MEI21" s="1280"/>
      <c r="MEJ21" s="1280"/>
      <c r="MEK21" s="1280"/>
      <c r="MEL21" s="1280"/>
      <c r="MEM21" s="1280"/>
      <c r="MEN21" s="1280"/>
      <c r="MEO21" s="1280"/>
      <c r="MEP21" s="1280"/>
      <c r="MEQ21" s="1280"/>
      <c r="MER21" s="1280"/>
      <c r="MES21" s="1280"/>
      <c r="MET21" s="1280"/>
      <c r="MEU21" s="1280"/>
      <c r="MEV21" s="1280"/>
      <c r="MEW21" s="1280"/>
      <c r="MEX21" s="1280"/>
      <c r="MEY21" s="1280"/>
      <c r="MEZ21" s="1280"/>
      <c r="MFA21" s="1280"/>
      <c r="MFB21" s="1280"/>
      <c r="MFC21" s="1280"/>
      <c r="MFD21" s="1280"/>
      <c r="MFE21" s="1280"/>
      <c r="MFF21" s="1280"/>
      <c r="MFG21" s="1280"/>
      <c r="MFH21" s="1280"/>
      <c r="MFI21" s="1280"/>
      <c r="MFJ21" s="1280"/>
      <c r="MFK21" s="1280"/>
      <c r="MFL21" s="1280"/>
      <c r="MFM21" s="1280"/>
      <c r="MFN21" s="1280"/>
      <c r="MFO21" s="1280"/>
      <c r="MFP21" s="1280"/>
      <c r="MFQ21" s="1280"/>
      <c r="MFR21" s="1280"/>
      <c r="MFS21" s="1280"/>
      <c r="MFT21" s="1280"/>
      <c r="MFU21" s="1280"/>
      <c r="MFV21" s="1280"/>
      <c r="MFW21" s="1280"/>
      <c r="MFX21" s="1280"/>
      <c r="MFY21" s="1280"/>
      <c r="MFZ21" s="1280"/>
      <c r="MGA21" s="1280"/>
      <c r="MGB21" s="1280"/>
      <c r="MGC21" s="1280"/>
      <c r="MGD21" s="1280"/>
      <c r="MGE21" s="1280"/>
      <c r="MGF21" s="1280"/>
      <c r="MGG21" s="1280"/>
      <c r="MGH21" s="1280"/>
      <c r="MGI21" s="1280"/>
      <c r="MGJ21" s="1280"/>
      <c r="MGK21" s="1280"/>
      <c r="MGL21" s="1280"/>
      <c r="MGM21" s="1280"/>
      <c r="MGN21" s="1280"/>
      <c r="MGO21" s="1280"/>
      <c r="MGP21" s="1280"/>
      <c r="MGQ21" s="1280"/>
      <c r="MGR21" s="1280"/>
      <c r="MGS21" s="1280"/>
      <c r="MGT21" s="1280"/>
      <c r="MGU21" s="1280"/>
      <c r="MGV21" s="1280"/>
      <c r="MGW21" s="1280"/>
      <c r="MGX21" s="1280"/>
      <c r="MGY21" s="1280"/>
      <c r="MGZ21" s="1280"/>
      <c r="MHA21" s="1280"/>
      <c r="MHB21" s="1280"/>
      <c r="MHC21" s="1280"/>
      <c r="MHD21" s="1280"/>
      <c r="MHE21" s="1280"/>
      <c r="MHF21" s="1280"/>
      <c r="MHG21" s="1280"/>
      <c r="MHH21" s="1280"/>
      <c r="MHI21" s="1280"/>
      <c r="MHJ21" s="1280"/>
      <c r="MHK21" s="1280"/>
      <c r="MHL21" s="1280"/>
      <c r="MHM21" s="1280"/>
      <c r="MHN21" s="1280"/>
      <c r="MHO21" s="1280"/>
      <c r="MHP21" s="1280"/>
      <c r="MHQ21" s="1280"/>
      <c r="MHR21" s="1280"/>
      <c r="MHS21" s="1280"/>
      <c r="MHT21" s="1280"/>
      <c r="MHU21" s="1280"/>
      <c r="MHV21" s="1280"/>
      <c r="MHW21" s="1280"/>
      <c r="MHX21" s="1280"/>
      <c r="MHY21" s="1280"/>
      <c r="MHZ21" s="1280"/>
      <c r="MIA21" s="1280"/>
      <c r="MIB21" s="1280"/>
      <c r="MIC21" s="1280"/>
      <c r="MID21" s="1280"/>
      <c r="MIE21" s="1280"/>
      <c r="MIF21" s="1280"/>
      <c r="MIG21" s="1280"/>
      <c r="MIH21" s="1280"/>
      <c r="MII21" s="1280"/>
      <c r="MIJ21" s="1280"/>
      <c r="MIK21" s="1280"/>
      <c r="MIL21" s="1280"/>
      <c r="MIM21" s="1280"/>
      <c r="MIN21" s="1280"/>
      <c r="MIO21" s="1280"/>
      <c r="MIP21" s="1280"/>
      <c r="MIQ21" s="1280"/>
      <c r="MIR21" s="1280"/>
      <c r="MIS21" s="1280"/>
      <c r="MIT21" s="1280"/>
      <c r="MIU21" s="1280"/>
      <c r="MIV21" s="1280"/>
      <c r="MIW21" s="1280"/>
      <c r="MIX21" s="1280"/>
      <c r="MIY21" s="1280"/>
      <c r="MIZ21" s="1280"/>
      <c r="MJA21" s="1280"/>
      <c r="MJB21" s="1280"/>
      <c r="MJC21" s="1280"/>
      <c r="MJD21" s="1280"/>
      <c r="MJE21" s="1280"/>
      <c r="MJF21" s="1280"/>
      <c r="MJG21" s="1280"/>
      <c r="MJH21" s="1280"/>
      <c r="MJI21" s="1280"/>
      <c r="MJJ21" s="1280"/>
      <c r="MJK21" s="1280"/>
      <c r="MJL21" s="1280"/>
      <c r="MJM21" s="1280"/>
      <c r="MJN21" s="1280"/>
      <c r="MJO21" s="1280"/>
      <c r="MJP21" s="1280"/>
      <c r="MJQ21" s="1280"/>
      <c r="MJR21" s="1280"/>
      <c r="MJS21" s="1280"/>
      <c r="MJT21" s="1280"/>
      <c r="MJU21" s="1280"/>
      <c r="MJV21" s="1280"/>
      <c r="MJW21" s="1280"/>
      <c r="MJX21" s="1280"/>
      <c r="MJY21" s="1280"/>
      <c r="MJZ21" s="1280"/>
      <c r="MKA21" s="1280"/>
      <c r="MKB21" s="1280"/>
      <c r="MKC21" s="1280"/>
      <c r="MKD21" s="1280"/>
      <c r="MKE21" s="1280"/>
      <c r="MKF21" s="1280"/>
      <c r="MKG21" s="1280"/>
      <c r="MKH21" s="1280"/>
      <c r="MKI21" s="1280"/>
      <c r="MKJ21" s="1280"/>
      <c r="MKK21" s="1280"/>
      <c r="MKL21" s="1280"/>
      <c r="MKM21" s="1280"/>
      <c r="MKN21" s="1280"/>
      <c r="MKO21" s="1280"/>
      <c r="MKP21" s="1280"/>
      <c r="MKQ21" s="1280"/>
      <c r="MKR21" s="1280"/>
      <c r="MKS21" s="1280"/>
      <c r="MKT21" s="1280"/>
      <c r="MKU21" s="1280"/>
      <c r="MKV21" s="1280"/>
      <c r="MKW21" s="1280"/>
      <c r="MKX21" s="1280"/>
      <c r="MKY21" s="1280"/>
      <c r="MKZ21" s="1280"/>
      <c r="MLA21" s="1280"/>
      <c r="MLB21" s="1280"/>
      <c r="MLC21" s="1280"/>
      <c r="MLD21" s="1280"/>
      <c r="MLE21" s="1280"/>
      <c r="MLF21" s="1280"/>
      <c r="MLG21" s="1280"/>
      <c r="MLH21" s="1280"/>
      <c r="MLI21" s="1280"/>
      <c r="MLJ21" s="1280"/>
      <c r="MLK21" s="1280"/>
      <c r="MLL21" s="1280"/>
      <c r="MLM21" s="1280"/>
      <c r="MLN21" s="1280"/>
      <c r="MLO21" s="1280"/>
      <c r="MLP21" s="1280"/>
      <c r="MLQ21" s="1280"/>
      <c r="MLR21" s="1280"/>
      <c r="MLS21" s="1280"/>
      <c r="MLT21" s="1280"/>
      <c r="MLU21" s="1280"/>
      <c r="MLV21" s="1280"/>
      <c r="MLW21" s="1280"/>
      <c r="MLX21" s="1280"/>
      <c r="MLY21" s="1280"/>
      <c r="MLZ21" s="1280"/>
      <c r="MMA21" s="1280"/>
      <c r="MMB21" s="1280"/>
      <c r="MMC21" s="1280"/>
      <c r="MMD21" s="1280"/>
      <c r="MME21" s="1280"/>
      <c r="MMF21" s="1280"/>
      <c r="MMG21" s="1280"/>
      <c r="MMH21" s="1280"/>
      <c r="MMI21" s="1280"/>
      <c r="MMJ21" s="1280"/>
      <c r="MMK21" s="1280"/>
      <c r="MML21" s="1280"/>
      <c r="MMM21" s="1280"/>
      <c r="MMN21" s="1280"/>
      <c r="MMO21" s="1280"/>
      <c r="MMP21" s="1280"/>
      <c r="MMQ21" s="1280"/>
      <c r="MMR21" s="1280"/>
      <c r="MMS21" s="1280"/>
      <c r="MMT21" s="1280"/>
      <c r="MMU21" s="1280"/>
      <c r="MMV21" s="1280"/>
      <c r="MMW21" s="1280"/>
      <c r="MMX21" s="1280"/>
      <c r="MMY21" s="1280"/>
      <c r="MMZ21" s="1280"/>
      <c r="MNA21" s="1280"/>
      <c r="MNB21" s="1280"/>
      <c r="MNC21" s="1280"/>
      <c r="MND21" s="1280"/>
      <c r="MNE21" s="1280"/>
      <c r="MNF21" s="1280"/>
      <c r="MNG21" s="1280"/>
      <c r="MNH21" s="1280"/>
      <c r="MNI21" s="1280"/>
      <c r="MNJ21" s="1280"/>
      <c r="MNK21" s="1280"/>
      <c r="MNL21" s="1280"/>
      <c r="MNM21" s="1280"/>
      <c r="MNN21" s="1280"/>
      <c r="MNO21" s="1280"/>
      <c r="MNP21" s="1280"/>
      <c r="MNQ21" s="1280"/>
      <c r="MNR21" s="1280"/>
      <c r="MNS21" s="1280"/>
      <c r="MNT21" s="1280"/>
      <c r="MNU21" s="1280"/>
      <c r="MNV21" s="1280"/>
      <c r="MNW21" s="1280"/>
      <c r="MNX21" s="1280"/>
      <c r="MNY21" s="1280"/>
      <c r="MNZ21" s="1280"/>
      <c r="MOA21" s="1280"/>
      <c r="MOB21" s="1280"/>
      <c r="MOC21" s="1280"/>
      <c r="MOD21" s="1280"/>
      <c r="MOE21" s="1280"/>
      <c r="MOF21" s="1280"/>
      <c r="MOG21" s="1280"/>
      <c r="MOH21" s="1280"/>
      <c r="MOI21" s="1280"/>
      <c r="MOJ21" s="1280"/>
      <c r="MOK21" s="1280"/>
      <c r="MOL21" s="1280"/>
      <c r="MOM21" s="1280"/>
      <c r="MON21" s="1280"/>
      <c r="MOO21" s="1280"/>
      <c r="MOP21" s="1280"/>
      <c r="MOQ21" s="1280"/>
      <c r="MOR21" s="1280"/>
      <c r="MOS21" s="1280"/>
      <c r="MOT21" s="1280"/>
      <c r="MOU21" s="1280"/>
      <c r="MOV21" s="1280"/>
      <c r="MOW21" s="1280"/>
      <c r="MOX21" s="1280"/>
      <c r="MOY21" s="1280"/>
      <c r="MOZ21" s="1280"/>
      <c r="MPA21" s="1280"/>
      <c r="MPB21" s="1280"/>
      <c r="MPC21" s="1280"/>
      <c r="MPD21" s="1280"/>
      <c r="MPE21" s="1280"/>
      <c r="MPF21" s="1280"/>
      <c r="MPG21" s="1280"/>
      <c r="MPH21" s="1280"/>
      <c r="MPI21" s="1280"/>
      <c r="MPJ21" s="1280"/>
      <c r="MPK21" s="1280"/>
      <c r="MPL21" s="1280"/>
      <c r="MPM21" s="1280"/>
      <c r="MPN21" s="1280"/>
      <c r="MPO21" s="1280"/>
      <c r="MPP21" s="1280"/>
      <c r="MPQ21" s="1280"/>
      <c r="MPR21" s="1280"/>
      <c r="MPS21" s="1280"/>
      <c r="MPT21" s="1280"/>
      <c r="MPU21" s="1280"/>
      <c r="MPV21" s="1280"/>
      <c r="MPW21" s="1280"/>
      <c r="MPX21" s="1280"/>
      <c r="MPY21" s="1280"/>
      <c r="MPZ21" s="1280"/>
      <c r="MQA21" s="1280"/>
      <c r="MQB21" s="1280"/>
      <c r="MQC21" s="1280"/>
      <c r="MQD21" s="1280"/>
      <c r="MQE21" s="1280"/>
      <c r="MQF21" s="1280"/>
      <c r="MQG21" s="1280"/>
      <c r="MQH21" s="1280"/>
      <c r="MQI21" s="1280"/>
      <c r="MQJ21" s="1280"/>
      <c r="MQK21" s="1280"/>
      <c r="MQL21" s="1280"/>
      <c r="MQM21" s="1280"/>
      <c r="MQN21" s="1280"/>
      <c r="MQO21" s="1280"/>
      <c r="MQP21" s="1280"/>
      <c r="MQQ21" s="1280"/>
      <c r="MQR21" s="1280"/>
      <c r="MQS21" s="1280"/>
      <c r="MQT21" s="1280"/>
      <c r="MQU21" s="1280"/>
      <c r="MQV21" s="1280"/>
      <c r="MQW21" s="1280"/>
      <c r="MQX21" s="1280"/>
      <c r="MQY21" s="1280"/>
      <c r="MQZ21" s="1280"/>
      <c r="MRA21" s="1280"/>
      <c r="MRB21" s="1280"/>
      <c r="MRC21" s="1280"/>
      <c r="MRD21" s="1280"/>
      <c r="MRE21" s="1280"/>
      <c r="MRF21" s="1280"/>
      <c r="MRG21" s="1280"/>
      <c r="MRH21" s="1280"/>
      <c r="MRI21" s="1280"/>
      <c r="MRJ21" s="1280"/>
      <c r="MRK21" s="1280"/>
      <c r="MRL21" s="1280"/>
      <c r="MRM21" s="1280"/>
      <c r="MRN21" s="1280"/>
      <c r="MRO21" s="1280"/>
      <c r="MRP21" s="1280"/>
      <c r="MRQ21" s="1280"/>
      <c r="MRR21" s="1280"/>
      <c r="MRS21" s="1280"/>
      <c r="MRT21" s="1280"/>
      <c r="MRU21" s="1280"/>
      <c r="MRV21" s="1280"/>
      <c r="MRW21" s="1280"/>
      <c r="MRX21" s="1280"/>
      <c r="MRY21" s="1280"/>
      <c r="MRZ21" s="1280"/>
      <c r="MSA21" s="1280"/>
      <c r="MSB21" s="1280"/>
      <c r="MSC21" s="1280"/>
      <c r="MSD21" s="1280"/>
      <c r="MSE21" s="1280"/>
      <c r="MSF21" s="1280"/>
      <c r="MSG21" s="1280"/>
      <c r="MSH21" s="1280"/>
      <c r="MSI21" s="1280"/>
      <c r="MSJ21" s="1280"/>
      <c r="MSK21" s="1280"/>
      <c r="MSL21" s="1280"/>
      <c r="MSM21" s="1280"/>
      <c r="MSN21" s="1280"/>
      <c r="MSO21" s="1280"/>
      <c r="MSP21" s="1280"/>
      <c r="MSQ21" s="1280"/>
      <c r="MSR21" s="1280"/>
      <c r="MSS21" s="1280"/>
      <c r="MST21" s="1280"/>
      <c r="MSU21" s="1280"/>
      <c r="MSV21" s="1280"/>
      <c r="MSW21" s="1280"/>
      <c r="MSX21" s="1280"/>
      <c r="MSY21" s="1280"/>
      <c r="MSZ21" s="1280"/>
      <c r="MTA21" s="1280"/>
      <c r="MTB21" s="1280"/>
      <c r="MTC21" s="1280"/>
      <c r="MTD21" s="1280"/>
      <c r="MTE21" s="1280"/>
      <c r="MTF21" s="1280"/>
      <c r="MTG21" s="1280"/>
      <c r="MTH21" s="1280"/>
      <c r="MTI21" s="1280"/>
      <c r="MTJ21" s="1280"/>
      <c r="MTK21" s="1280"/>
      <c r="MTL21" s="1280"/>
      <c r="MTM21" s="1280"/>
      <c r="MTN21" s="1280"/>
      <c r="MTO21" s="1280"/>
      <c r="MTP21" s="1280"/>
      <c r="MTQ21" s="1280"/>
      <c r="MTR21" s="1280"/>
      <c r="MTS21" s="1280"/>
      <c r="MTT21" s="1280"/>
      <c r="MTU21" s="1280"/>
      <c r="MTV21" s="1280"/>
      <c r="MTW21" s="1280"/>
      <c r="MTX21" s="1280"/>
      <c r="MTY21" s="1280"/>
      <c r="MTZ21" s="1280"/>
      <c r="MUA21" s="1280"/>
      <c r="MUB21" s="1280"/>
      <c r="MUC21" s="1280"/>
      <c r="MUD21" s="1280"/>
      <c r="MUE21" s="1280"/>
      <c r="MUF21" s="1280"/>
      <c r="MUG21" s="1280"/>
      <c r="MUH21" s="1280"/>
      <c r="MUI21" s="1280"/>
      <c r="MUJ21" s="1280"/>
      <c r="MUK21" s="1280"/>
      <c r="MUL21" s="1280"/>
      <c r="MUM21" s="1280"/>
      <c r="MUN21" s="1280"/>
      <c r="MUO21" s="1280"/>
      <c r="MUP21" s="1280"/>
      <c r="MUQ21" s="1280"/>
      <c r="MUR21" s="1280"/>
      <c r="MUS21" s="1280"/>
      <c r="MUT21" s="1280"/>
      <c r="MUU21" s="1280"/>
      <c r="MUV21" s="1280"/>
      <c r="MUW21" s="1280"/>
      <c r="MUX21" s="1280"/>
      <c r="MUY21" s="1280"/>
      <c r="MUZ21" s="1280"/>
      <c r="MVA21" s="1280"/>
      <c r="MVB21" s="1280"/>
      <c r="MVC21" s="1280"/>
      <c r="MVD21" s="1280"/>
      <c r="MVE21" s="1280"/>
      <c r="MVF21" s="1280"/>
      <c r="MVG21" s="1280"/>
      <c r="MVH21" s="1280"/>
      <c r="MVI21" s="1280"/>
      <c r="MVJ21" s="1280"/>
      <c r="MVK21" s="1280"/>
      <c r="MVL21" s="1280"/>
      <c r="MVM21" s="1280"/>
      <c r="MVN21" s="1280"/>
      <c r="MVO21" s="1280"/>
      <c r="MVP21" s="1280"/>
      <c r="MVQ21" s="1280"/>
      <c r="MVR21" s="1280"/>
      <c r="MVS21" s="1280"/>
      <c r="MVT21" s="1280"/>
      <c r="MVU21" s="1280"/>
      <c r="MVV21" s="1280"/>
      <c r="MVW21" s="1280"/>
      <c r="MVX21" s="1280"/>
      <c r="MVY21" s="1280"/>
      <c r="MVZ21" s="1280"/>
      <c r="MWA21" s="1280"/>
      <c r="MWB21" s="1280"/>
      <c r="MWC21" s="1280"/>
      <c r="MWD21" s="1280"/>
      <c r="MWE21" s="1280"/>
      <c r="MWF21" s="1280"/>
      <c r="MWG21" s="1280"/>
      <c r="MWH21" s="1280"/>
      <c r="MWI21" s="1280"/>
      <c r="MWJ21" s="1280"/>
      <c r="MWK21" s="1280"/>
      <c r="MWL21" s="1280"/>
      <c r="MWM21" s="1280"/>
      <c r="MWN21" s="1280"/>
      <c r="MWO21" s="1280"/>
      <c r="MWP21" s="1280"/>
      <c r="MWQ21" s="1280"/>
      <c r="MWR21" s="1280"/>
      <c r="MWS21" s="1280"/>
      <c r="MWT21" s="1280"/>
      <c r="MWU21" s="1280"/>
      <c r="MWV21" s="1280"/>
      <c r="MWW21" s="1280"/>
      <c r="MWX21" s="1280"/>
      <c r="MWY21" s="1280"/>
      <c r="MWZ21" s="1280"/>
      <c r="MXA21" s="1280"/>
      <c r="MXB21" s="1280"/>
      <c r="MXC21" s="1280"/>
      <c r="MXD21" s="1280"/>
      <c r="MXE21" s="1280"/>
      <c r="MXF21" s="1280"/>
      <c r="MXG21" s="1280"/>
      <c r="MXH21" s="1280"/>
      <c r="MXI21" s="1280"/>
      <c r="MXJ21" s="1280"/>
      <c r="MXK21" s="1280"/>
      <c r="MXL21" s="1280"/>
      <c r="MXM21" s="1280"/>
      <c r="MXN21" s="1280"/>
      <c r="MXO21" s="1280"/>
      <c r="MXP21" s="1280"/>
      <c r="MXQ21" s="1280"/>
      <c r="MXR21" s="1280"/>
      <c r="MXS21" s="1280"/>
      <c r="MXT21" s="1280"/>
      <c r="MXU21" s="1280"/>
      <c r="MXV21" s="1280"/>
      <c r="MXW21" s="1280"/>
      <c r="MXX21" s="1280"/>
      <c r="MXY21" s="1280"/>
      <c r="MXZ21" s="1280"/>
      <c r="MYA21" s="1280"/>
      <c r="MYB21" s="1280"/>
      <c r="MYC21" s="1280"/>
      <c r="MYD21" s="1280"/>
      <c r="MYE21" s="1280"/>
      <c r="MYF21" s="1280"/>
      <c r="MYG21" s="1280"/>
      <c r="MYH21" s="1280"/>
      <c r="MYI21" s="1280"/>
      <c r="MYJ21" s="1280"/>
      <c r="MYK21" s="1280"/>
      <c r="MYL21" s="1280"/>
      <c r="MYM21" s="1280"/>
      <c r="MYN21" s="1280"/>
      <c r="MYO21" s="1280"/>
      <c r="MYP21" s="1280"/>
      <c r="MYQ21" s="1280"/>
      <c r="MYR21" s="1280"/>
      <c r="MYS21" s="1280"/>
      <c r="MYT21" s="1280"/>
      <c r="MYU21" s="1280"/>
      <c r="MYV21" s="1280"/>
      <c r="MYW21" s="1280"/>
      <c r="MYX21" s="1280"/>
      <c r="MYY21" s="1280"/>
      <c r="MYZ21" s="1280"/>
      <c r="MZA21" s="1280"/>
      <c r="MZB21" s="1280"/>
      <c r="MZC21" s="1280"/>
      <c r="MZD21" s="1280"/>
      <c r="MZE21" s="1280"/>
      <c r="MZF21" s="1280"/>
      <c r="MZG21" s="1280"/>
      <c r="MZH21" s="1280"/>
      <c r="MZI21" s="1280"/>
      <c r="MZJ21" s="1280"/>
      <c r="MZK21" s="1280"/>
      <c r="MZL21" s="1280"/>
      <c r="MZM21" s="1280"/>
      <c r="MZN21" s="1280"/>
      <c r="MZO21" s="1280"/>
      <c r="MZP21" s="1280"/>
      <c r="MZQ21" s="1280"/>
      <c r="MZR21" s="1280"/>
      <c r="MZS21" s="1280"/>
      <c r="MZT21" s="1280"/>
      <c r="MZU21" s="1280"/>
      <c r="MZV21" s="1280"/>
      <c r="MZW21" s="1280"/>
      <c r="MZX21" s="1280"/>
      <c r="MZY21" s="1280"/>
      <c r="MZZ21" s="1280"/>
      <c r="NAA21" s="1280"/>
      <c r="NAB21" s="1280"/>
      <c r="NAC21" s="1280"/>
      <c r="NAD21" s="1280"/>
      <c r="NAE21" s="1280"/>
      <c r="NAF21" s="1280"/>
      <c r="NAG21" s="1280"/>
      <c r="NAH21" s="1280"/>
      <c r="NAI21" s="1280"/>
      <c r="NAJ21" s="1280"/>
      <c r="NAK21" s="1280"/>
      <c r="NAL21" s="1280"/>
      <c r="NAM21" s="1280"/>
      <c r="NAN21" s="1280"/>
      <c r="NAO21" s="1280"/>
      <c r="NAP21" s="1280"/>
      <c r="NAQ21" s="1280"/>
      <c r="NAR21" s="1280"/>
      <c r="NAS21" s="1280"/>
      <c r="NAT21" s="1280"/>
      <c r="NAU21" s="1280"/>
      <c r="NAV21" s="1280"/>
      <c r="NAW21" s="1280"/>
      <c r="NAX21" s="1280"/>
      <c r="NAY21" s="1280"/>
      <c r="NAZ21" s="1280"/>
      <c r="NBA21" s="1280"/>
      <c r="NBB21" s="1280"/>
      <c r="NBC21" s="1280"/>
      <c r="NBD21" s="1280"/>
      <c r="NBE21" s="1280"/>
      <c r="NBF21" s="1280"/>
      <c r="NBG21" s="1280"/>
      <c r="NBH21" s="1280"/>
      <c r="NBI21" s="1280"/>
      <c r="NBJ21" s="1280"/>
      <c r="NBK21" s="1280"/>
      <c r="NBL21" s="1280"/>
      <c r="NBM21" s="1280"/>
      <c r="NBN21" s="1280"/>
      <c r="NBO21" s="1280"/>
      <c r="NBP21" s="1280"/>
      <c r="NBQ21" s="1280"/>
      <c r="NBR21" s="1280"/>
      <c r="NBS21" s="1280"/>
      <c r="NBT21" s="1280"/>
      <c r="NBU21" s="1280"/>
      <c r="NBV21" s="1280"/>
      <c r="NBW21" s="1280"/>
      <c r="NBX21" s="1280"/>
      <c r="NBY21" s="1280"/>
      <c r="NBZ21" s="1280"/>
      <c r="NCA21" s="1280"/>
      <c r="NCB21" s="1280"/>
      <c r="NCC21" s="1280"/>
      <c r="NCD21" s="1280"/>
      <c r="NCE21" s="1280"/>
      <c r="NCF21" s="1280"/>
      <c r="NCG21" s="1280"/>
      <c r="NCH21" s="1280"/>
      <c r="NCI21" s="1280"/>
      <c r="NCJ21" s="1280"/>
      <c r="NCK21" s="1280"/>
      <c r="NCL21" s="1280"/>
      <c r="NCM21" s="1280"/>
      <c r="NCN21" s="1280"/>
      <c r="NCO21" s="1280"/>
      <c r="NCP21" s="1280"/>
      <c r="NCQ21" s="1280"/>
      <c r="NCR21" s="1280"/>
      <c r="NCS21" s="1280"/>
      <c r="NCT21" s="1280"/>
      <c r="NCU21" s="1280"/>
      <c r="NCV21" s="1280"/>
      <c r="NCW21" s="1280"/>
      <c r="NCX21" s="1280"/>
      <c r="NCY21" s="1280"/>
      <c r="NCZ21" s="1280"/>
      <c r="NDA21" s="1280"/>
      <c r="NDB21" s="1280"/>
      <c r="NDC21" s="1280"/>
      <c r="NDD21" s="1280"/>
      <c r="NDE21" s="1280"/>
      <c r="NDF21" s="1280"/>
      <c r="NDG21" s="1280"/>
      <c r="NDH21" s="1280"/>
      <c r="NDI21" s="1280"/>
      <c r="NDJ21" s="1280"/>
      <c r="NDK21" s="1280"/>
      <c r="NDL21" s="1280"/>
      <c r="NDM21" s="1280"/>
      <c r="NDN21" s="1280"/>
      <c r="NDO21" s="1280"/>
      <c r="NDP21" s="1280"/>
      <c r="NDQ21" s="1280"/>
      <c r="NDR21" s="1280"/>
      <c r="NDS21" s="1280"/>
      <c r="NDT21" s="1280"/>
      <c r="NDU21" s="1280"/>
      <c r="NDV21" s="1280"/>
      <c r="NDW21" s="1280"/>
      <c r="NDX21" s="1280"/>
      <c r="NDY21" s="1280"/>
      <c r="NDZ21" s="1280"/>
      <c r="NEA21" s="1280"/>
      <c r="NEB21" s="1280"/>
      <c r="NEC21" s="1280"/>
      <c r="NED21" s="1280"/>
      <c r="NEE21" s="1280"/>
      <c r="NEF21" s="1280"/>
      <c r="NEG21" s="1280"/>
      <c r="NEH21" s="1280"/>
      <c r="NEI21" s="1280"/>
      <c r="NEJ21" s="1280"/>
      <c r="NEK21" s="1280"/>
      <c r="NEL21" s="1280"/>
      <c r="NEM21" s="1280"/>
      <c r="NEN21" s="1280"/>
      <c r="NEO21" s="1280"/>
      <c r="NEP21" s="1280"/>
      <c r="NEQ21" s="1280"/>
      <c r="NER21" s="1280"/>
      <c r="NES21" s="1280"/>
      <c r="NET21" s="1280"/>
      <c r="NEU21" s="1280"/>
      <c r="NEV21" s="1280"/>
      <c r="NEW21" s="1280"/>
      <c r="NEX21" s="1280"/>
      <c r="NEY21" s="1280"/>
      <c r="NEZ21" s="1280"/>
      <c r="NFA21" s="1280"/>
      <c r="NFB21" s="1280"/>
      <c r="NFC21" s="1280"/>
      <c r="NFD21" s="1280"/>
      <c r="NFE21" s="1280"/>
      <c r="NFF21" s="1280"/>
      <c r="NFG21" s="1280"/>
      <c r="NFH21" s="1280"/>
      <c r="NFI21" s="1280"/>
      <c r="NFJ21" s="1280"/>
      <c r="NFK21" s="1280"/>
      <c r="NFL21" s="1280"/>
      <c r="NFM21" s="1280"/>
      <c r="NFN21" s="1280"/>
      <c r="NFO21" s="1280"/>
      <c r="NFP21" s="1280"/>
      <c r="NFQ21" s="1280"/>
      <c r="NFR21" s="1280"/>
      <c r="NFS21" s="1280"/>
      <c r="NFT21" s="1280"/>
      <c r="NFU21" s="1280"/>
      <c r="NFV21" s="1280"/>
      <c r="NFW21" s="1280"/>
      <c r="NFX21" s="1280"/>
      <c r="NFY21" s="1280"/>
      <c r="NFZ21" s="1280"/>
      <c r="NGA21" s="1280"/>
      <c r="NGB21" s="1280"/>
      <c r="NGC21" s="1280"/>
      <c r="NGD21" s="1280"/>
      <c r="NGE21" s="1280"/>
      <c r="NGF21" s="1280"/>
      <c r="NGG21" s="1280"/>
      <c r="NGH21" s="1280"/>
      <c r="NGI21" s="1280"/>
      <c r="NGJ21" s="1280"/>
      <c r="NGK21" s="1280"/>
      <c r="NGL21" s="1280"/>
      <c r="NGM21" s="1280"/>
      <c r="NGN21" s="1280"/>
      <c r="NGO21" s="1280"/>
      <c r="NGP21" s="1280"/>
      <c r="NGQ21" s="1280"/>
      <c r="NGR21" s="1280"/>
      <c r="NGS21" s="1280"/>
      <c r="NGT21" s="1280"/>
      <c r="NGU21" s="1280"/>
      <c r="NGV21" s="1280"/>
      <c r="NGW21" s="1280"/>
      <c r="NGX21" s="1280"/>
      <c r="NGY21" s="1280"/>
      <c r="NGZ21" s="1280"/>
      <c r="NHA21" s="1280"/>
      <c r="NHB21" s="1280"/>
      <c r="NHC21" s="1280"/>
      <c r="NHD21" s="1280"/>
      <c r="NHE21" s="1280"/>
      <c r="NHF21" s="1280"/>
      <c r="NHG21" s="1280"/>
      <c r="NHH21" s="1280"/>
      <c r="NHI21" s="1280"/>
      <c r="NHJ21" s="1280"/>
      <c r="NHK21" s="1280"/>
      <c r="NHL21" s="1280"/>
      <c r="NHM21" s="1280"/>
      <c r="NHN21" s="1280"/>
      <c r="NHO21" s="1280"/>
      <c r="NHP21" s="1280"/>
      <c r="NHQ21" s="1280"/>
      <c r="NHR21" s="1280"/>
      <c r="NHS21" s="1280"/>
      <c r="NHT21" s="1280"/>
      <c r="NHU21" s="1280"/>
      <c r="NHV21" s="1280"/>
      <c r="NHW21" s="1280"/>
      <c r="NHX21" s="1280"/>
      <c r="NHY21" s="1280"/>
      <c r="NHZ21" s="1280"/>
      <c r="NIA21" s="1280"/>
      <c r="NIB21" s="1280"/>
      <c r="NIC21" s="1280"/>
      <c r="NID21" s="1280"/>
      <c r="NIE21" s="1280"/>
      <c r="NIF21" s="1280"/>
      <c r="NIG21" s="1280"/>
      <c r="NIH21" s="1280"/>
      <c r="NII21" s="1280"/>
      <c r="NIJ21" s="1280"/>
      <c r="NIK21" s="1280"/>
      <c r="NIL21" s="1280"/>
      <c r="NIM21" s="1280"/>
      <c r="NIN21" s="1280"/>
      <c r="NIO21" s="1280"/>
      <c r="NIP21" s="1280"/>
      <c r="NIQ21" s="1280"/>
      <c r="NIR21" s="1280"/>
      <c r="NIS21" s="1280"/>
      <c r="NIT21" s="1280"/>
      <c r="NIU21" s="1280"/>
      <c r="NIV21" s="1280"/>
      <c r="NIW21" s="1280"/>
      <c r="NIX21" s="1280"/>
      <c r="NIY21" s="1280"/>
      <c r="NIZ21" s="1280"/>
      <c r="NJA21" s="1280"/>
      <c r="NJB21" s="1280"/>
      <c r="NJC21" s="1280"/>
      <c r="NJD21" s="1280"/>
      <c r="NJE21" s="1280"/>
      <c r="NJF21" s="1280"/>
      <c r="NJG21" s="1280"/>
      <c r="NJH21" s="1280"/>
      <c r="NJI21" s="1280"/>
      <c r="NJJ21" s="1280"/>
      <c r="NJK21" s="1280"/>
      <c r="NJL21" s="1280"/>
      <c r="NJM21" s="1280"/>
      <c r="NJN21" s="1280"/>
      <c r="NJO21" s="1280"/>
      <c r="NJP21" s="1280"/>
      <c r="NJQ21" s="1280"/>
      <c r="NJR21" s="1280"/>
      <c r="NJS21" s="1280"/>
      <c r="NJT21" s="1280"/>
      <c r="NJU21" s="1280"/>
      <c r="NJV21" s="1280"/>
      <c r="NJW21" s="1280"/>
      <c r="NJX21" s="1280"/>
      <c r="NJY21" s="1280"/>
      <c r="NJZ21" s="1280"/>
      <c r="NKA21" s="1280"/>
      <c r="NKB21" s="1280"/>
      <c r="NKC21" s="1280"/>
      <c r="NKD21" s="1280"/>
      <c r="NKE21" s="1280"/>
      <c r="NKF21" s="1280"/>
      <c r="NKG21" s="1280"/>
      <c r="NKH21" s="1280"/>
      <c r="NKI21" s="1280"/>
      <c r="NKJ21" s="1280"/>
      <c r="NKK21" s="1280"/>
      <c r="NKL21" s="1280"/>
      <c r="NKM21" s="1280"/>
      <c r="NKN21" s="1280"/>
      <c r="NKO21" s="1280"/>
      <c r="NKP21" s="1280"/>
      <c r="NKQ21" s="1280"/>
      <c r="NKR21" s="1280"/>
      <c r="NKS21" s="1280"/>
      <c r="NKT21" s="1280"/>
      <c r="NKU21" s="1280"/>
      <c r="NKV21" s="1280"/>
      <c r="NKW21" s="1280"/>
      <c r="NKX21" s="1280"/>
      <c r="NKY21" s="1280"/>
      <c r="NKZ21" s="1280"/>
      <c r="NLA21" s="1280"/>
      <c r="NLB21" s="1280"/>
      <c r="NLC21" s="1280"/>
      <c r="NLD21" s="1280"/>
      <c r="NLE21" s="1280"/>
      <c r="NLF21" s="1280"/>
      <c r="NLG21" s="1280"/>
      <c r="NLH21" s="1280"/>
      <c r="NLI21" s="1280"/>
      <c r="NLJ21" s="1280"/>
      <c r="NLK21" s="1280"/>
      <c r="NLL21" s="1280"/>
      <c r="NLM21" s="1280"/>
      <c r="NLN21" s="1280"/>
      <c r="NLO21" s="1280"/>
      <c r="NLP21" s="1280"/>
      <c r="NLQ21" s="1280"/>
      <c r="NLR21" s="1280"/>
      <c r="NLS21" s="1280"/>
      <c r="NLT21" s="1280"/>
      <c r="NLU21" s="1280"/>
      <c r="NLV21" s="1280"/>
      <c r="NLW21" s="1280"/>
      <c r="NLX21" s="1280"/>
      <c r="NLY21" s="1280"/>
      <c r="NLZ21" s="1280"/>
      <c r="NMA21" s="1280"/>
      <c r="NMB21" s="1280"/>
      <c r="NMC21" s="1280"/>
      <c r="NMD21" s="1280"/>
      <c r="NME21" s="1280"/>
      <c r="NMF21" s="1280"/>
      <c r="NMG21" s="1280"/>
      <c r="NMH21" s="1280"/>
      <c r="NMI21" s="1280"/>
      <c r="NMJ21" s="1280"/>
      <c r="NMK21" s="1280"/>
      <c r="NML21" s="1280"/>
      <c r="NMM21" s="1280"/>
      <c r="NMN21" s="1280"/>
      <c r="NMO21" s="1280"/>
      <c r="NMP21" s="1280"/>
      <c r="NMQ21" s="1280"/>
      <c r="NMR21" s="1280"/>
      <c r="NMS21" s="1280"/>
      <c r="NMT21" s="1280"/>
      <c r="NMU21" s="1280"/>
      <c r="NMV21" s="1280"/>
      <c r="NMW21" s="1280"/>
      <c r="NMX21" s="1280"/>
      <c r="NMY21" s="1280"/>
      <c r="NMZ21" s="1280"/>
      <c r="NNA21" s="1280"/>
      <c r="NNB21" s="1280"/>
      <c r="NNC21" s="1280"/>
      <c r="NND21" s="1280"/>
      <c r="NNE21" s="1280"/>
      <c r="NNF21" s="1280"/>
      <c r="NNG21" s="1280"/>
      <c r="NNH21" s="1280"/>
      <c r="NNI21" s="1280"/>
      <c r="NNJ21" s="1280"/>
      <c r="NNK21" s="1280"/>
      <c r="NNL21" s="1280"/>
      <c r="NNM21" s="1280"/>
      <c r="NNN21" s="1280"/>
      <c r="NNO21" s="1280"/>
      <c r="NNP21" s="1280"/>
      <c r="NNQ21" s="1280"/>
      <c r="NNR21" s="1280"/>
      <c r="NNS21" s="1280"/>
      <c r="NNT21" s="1280"/>
      <c r="NNU21" s="1280"/>
      <c r="NNV21" s="1280"/>
      <c r="NNW21" s="1280"/>
      <c r="NNX21" s="1280"/>
      <c r="NNY21" s="1280"/>
      <c r="NNZ21" s="1280"/>
      <c r="NOA21" s="1280"/>
      <c r="NOB21" s="1280"/>
      <c r="NOC21" s="1280"/>
      <c r="NOD21" s="1280"/>
      <c r="NOE21" s="1280"/>
      <c r="NOF21" s="1280"/>
      <c r="NOG21" s="1280"/>
      <c r="NOH21" s="1280"/>
      <c r="NOI21" s="1280"/>
      <c r="NOJ21" s="1280"/>
      <c r="NOK21" s="1280"/>
      <c r="NOL21" s="1280"/>
      <c r="NOM21" s="1280"/>
      <c r="NON21" s="1280"/>
      <c r="NOO21" s="1280"/>
      <c r="NOP21" s="1280"/>
      <c r="NOQ21" s="1280"/>
      <c r="NOR21" s="1280"/>
      <c r="NOS21" s="1280"/>
      <c r="NOT21" s="1280"/>
      <c r="NOU21" s="1280"/>
      <c r="NOV21" s="1280"/>
      <c r="NOW21" s="1280"/>
      <c r="NOX21" s="1280"/>
      <c r="NOY21" s="1280"/>
      <c r="NOZ21" s="1280"/>
      <c r="NPA21" s="1280"/>
      <c r="NPB21" s="1280"/>
      <c r="NPC21" s="1280"/>
      <c r="NPD21" s="1280"/>
      <c r="NPE21" s="1280"/>
      <c r="NPF21" s="1280"/>
      <c r="NPG21" s="1280"/>
      <c r="NPH21" s="1280"/>
      <c r="NPI21" s="1280"/>
      <c r="NPJ21" s="1280"/>
      <c r="NPK21" s="1280"/>
      <c r="NPL21" s="1280"/>
      <c r="NPM21" s="1280"/>
      <c r="NPN21" s="1280"/>
      <c r="NPO21" s="1280"/>
      <c r="NPP21" s="1280"/>
      <c r="NPQ21" s="1280"/>
      <c r="NPR21" s="1280"/>
      <c r="NPS21" s="1280"/>
      <c r="NPT21" s="1280"/>
      <c r="NPU21" s="1280"/>
      <c r="NPV21" s="1280"/>
      <c r="NPW21" s="1280"/>
      <c r="NPX21" s="1280"/>
      <c r="NPY21" s="1280"/>
      <c r="NPZ21" s="1280"/>
      <c r="NQA21" s="1280"/>
      <c r="NQB21" s="1280"/>
      <c r="NQC21" s="1280"/>
      <c r="NQD21" s="1280"/>
      <c r="NQE21" s="1280"/>
      <c r="NQF21" s="1280"/>
      <c r="NQG21" s="1280"/>
      <c r="NQH21" s="1280"/>
      <c r="NQI21" s="1280"/>
      <c r="NQJ21" s="1280"/>
      <c r="NQK21" s="1280"/>
      <c r="NQL21" s="1280"/>
      <c r="NQM21" s="1280"/>
      <c r="NQN21" s="1280"/>
      <c r="NQO21" s="1280"/>
      <c r="NQP21" s="1280"/>
      <c r="NQQ21" s="1280"/>
      <c r="NQR21" s="1280"/>
      <c r="NQS21" s="1280"/>
      <c r="NQT21" s="1280"/>
      <c r="NQU21" s="1280"/>
      <c r="NQV21" s="1280"/>
      <c r="NQW21" s="1280"/>
      <c r="NQX21" s="1280"/>
      <c r="NQY21" s="1280"/>
      <c r="NQZ21" s="1280"/>
      <c r="NRA21" s="1280"/>
      <c r="NRB21" s="1280"/>
      <c r="NRC21" s="1280"/>
      <c r="NRD21" s="1280"/>
      <c r="NRE21" s="1280"/>
      <c r="NRF21" s="1280"/>
      <c r="NRG21" s="1280"/>
      <c r="NRH21" s="1280"/>
      <c r="NRI21" s="1280"/>
      <c r="NRJ21" s="1280"/>
      <c r="NRK21" s="1280"/>
      <c r="NRL21" s="1280"/>
      <c r="NRM21" s="1280"/>
      <c r="NRN21" s="1280"/>
      <c r="NRO21" s="1280"/>
      <c r="NRP21" s="1280"/>
      <c r="NRQ21" s="1280"/>
      <c r="NRR21" s="1280"/>
      <c r="NRS21" s="1280"/>
      <c r="NRT21" s="1280"/>
      <c r="NRU21" s="1280"/>
      <c r="NRV21" s="1280"/>
      <c r="NRW21" s="1280"/>
      <c r="NRX21" s="1280"/>
      <c r="NRY21" s="1280"/>
      <c r="NRZ21" s="1280"/>
      <c r="NSA21" s="1280"/>
      <c r="NSB21" s="1280"/>
      <c r="NSC21" s="1280"/>
      <c r="NSD21" s="1280"/>
      <c r="NSE21" s="1280"/>
      <c r="NSF21" s="1280"/>
      <c r="NSG21" s="1280"/>
      <c r="NSH21" s="1280"/>
      <c r="NSI21" s="1280"/>
      <c r="NSJ21" s="1280"/>
      <c r="NSK21" s="1280"/>
      <c r="NSL21" s="1280"/>
      <c r="NSM21" s="1280"/>
      <c r="NSN21" s="1280"/>
      <c r="NSO21" s="1280"/>
      <c r="NSP21" s="1280"/>
      <c r="NSQ21" s="1280"/>
      <c r="NSR21" s="1280"/>
      <c r="NSS21" s="1280"/>
      <c r="NST21" s="1280"/>
      <c r="NSU21" s="1280"/>
      <c r="NSV21" s="1280"/>
      <c r="NSW21" s="1280"/>
      <c r="NSX21" s="1280"/>
      <c r="NSY21" s="1280"/>
      <c r="NSZ21" s="1280"/>
      <c r="NTA21" s="1280"/>
      <c r="NTB21" s="1280"/>
      <c r="NTC21" s="1280"/>
      <c r="NTD21" s="1280"/>
      <c r="NTE21" s="1280"/>
      <c r="NTF21" s="1280"/>
      <c r="NTG21" s="1280"/>
      <c r="NTH21" s="1280"/>
      <c r="NTI21" s="1280"/>
      <c r="NTJ21" s="1280"/>
      <c r="NTK21" s="1280"/>
      <c r="NTL21" s="1280"/>
      <c r="NTM21" s="1280"/>
      <c r="NTN21" s="1280"/>
      <c r="NTO21" s="1280"/>
      <c r="NTP21" s="1280"/>
      <c r="NTQ21" s="1280"/>
      <c r="NTR21" s="1280"/>
      <c r="NTS21" s="1280"/>
      <c r="NTT21" s="1280"/>
      <c r="NTU21" s="1280"/>
      <c r="NTV21" s="1280"/>
      <c r="NTW21" s="1280"/>
      <c r="NTX21" s="1280"/>
      <c r="NTY21" s="1280"/>
      <c r="NTZ21" s="1280"/>
      <c r="NUA21" s="1280"/>
      <c r="NUB21" s="1280"/>
      <c r="NUC21" s="1280"/>
      <c r="NUD21" s="1280"/>
      <c r="NUE21" s="1280"/>
      <c r="NUF21" s="1280"/>
      <c r="NUG21" s="1280"/>
      <c r="NUH21" s="1280"/>
      <c r="NUI21" s="1280"/>
      <c r="NUJ21" s="1280"/>
      <c r="NUK21" s="1280"/>
      <c r="NUL21" s="1280"/>
      <c r="NUM21" s="1280"/>
      <c r="NUN21" s="1280"/>
      <c r="NUO21" s="1280"/>
      <c r="NUP21" s="1280"/>
      <c r="NUQ21" s="1280"/>
      <c r="NUR21" s="1280"/>
      <c r="NUS21" s="1280"/>
      <c r="NUT21" s="1280"/>
      <c r="NUU21" s="1280"/>
      <c r="NUV21" s="1280"/>
      <c r="NUW21" s="1280"/>
      <c r="NUX21" s="1280"/>
      <c r="NUY21" s="1280"/>
      <c r="NUZ21" s="1280"/>
      <c r="NVA21" s="1280"/>
      <c r="NVB21" s="1280"/>
      <c r="NVC21" s="1280"/>
      <c r="NVD21" s="1280"/>
      <c r="NVE21" s="1280"/>
      <c r="NVF21" s="1280"/>
      <c r="NVG21" s="1280"/>
      <c r="NVH21" s="1280"/>
      <c r="NVI21" s="1280"/>
      <c r="NVJ21" s="1280"/>
      <c r="NVK21" s="1280"/>
      <c r="NVL21" s="1280"/>
      <c r="NVM21" s="1280"/>
      <c r="NVN21" s="1280"/>
      <c r="NVO21" s="1280"/>
      <c r="NVP21" s="1280"/>
      <c r="NVQ21" s="1280"/>
      <c r="NVR21" s="1280"/>
      <c r="NVS21" s="1280"/>
      <c r="NVT21" s="1280"/>
      <c r="NVU21" s="1280"/>
      <c r="NVV21" s="1280"/>
      <c r="NVW21" s="1280"/>
      <c r="NVX21" s="1280"/>
      <c r="NVY21" s="1280"/>
      <c r="NVZ21" s="1280"/>
      <c r="NWA21" s="1280"/>
      <c r="NWB21" s="1280"/>
      <c r="NWC21" s="1280"/>
      <c r="NWD21" s="1280"/>
      <c r="NWE21" s="1280"/>
      <c r="NWF21" s="1280"/>
      <c r="NWG21" s="1280"/>
      <c r="NWH21" s="1280"/>
      <c r="NWI21" s="1280"/>
      <c r="NWJ21" s="1280"/>
      <c r="NWK21" s="1280"/>
      <c r="NWL21" s="1280"/>
      <c r="NWM21" s="1280"/>
      <c r="NWN21" s="1280"/>
      <c r="NWO21" s="1280"/>
      <c r="NWP21" s="1280"/>
      <c r="NWQ21" s="1280"/>
      <c r="NWR21" s="1280"/>
      <c r="NWS21" s="1280"/>
      <c r="NWT21" s="1280"/>
      <c r="NWU21" s="1280"/>
      <c r="NWV21" s="1280"/>
      <c r="NWW21" s="1280"/>
      <c r="NWX21" s="1280"/>
      <c r="NWY21" s="1280"/>
      <c r="NWZ21" s="1280"/>
      <c r="NXA21" s="1280"/>
      <c r="NXB21" s="1280"/>
      <c r="NXC21" s="1280"/>
      <c r="NXD21" s="1280"/>
      <c r="NXE21" s="1280"/>
      <c r="NXF21" s="1280"/>
      <c r="NXG21" s="1280"/>
      <c r="NXH21" s="1280"/>
      <c r="NXI21" s="1280"/>
      <c r="NXJ21" s="1280"/>
      <c r="NXK21" s="1280"/>
      <c r="NXL21" s="1280"/>
      <c r="NXM21" s="1280"/>
      <c r="NXN21" s="1280"/>
      <c r="NXO21" s="1280"/>
      <c r="NXP21" s="1280"/>
      <c r="NXQ21" s="1280"/>
      <c r="NXR21" s="1280"/>
      <c r="NXS21" s="1280"/>
      <c r="NXT21" s="1280"/>
      <c r="NXU21" s="1280"/>
      <c r="NXV21" s="1280"/>
      <c r="NXW21" s="1280"/>
      <c r="NXX21" s="1280"/>
      <c r="NXY21" s="1280"/>
      <c r="NXZ21" s="1280"/>
      <c r="NYA21" s="1280"/>
      <c r="NYB21" s="1280"/>
      <c r="NYC21" s="1280"/>
      <c r="NYD21" s="1280"/>
      <c r="NYE21" s="1280"/>
      <c r="NYF21" s="1280"/>
      <c r="NYG21" s="1280"/>
      <c r="NYH21" s="1280"/>
      <c r="NYI21" s="1280"/>
      <c r="NYJ21" s="1280"/>
      <c r="NYK21" s="1280"/>
      <c r="NYL21" s="1280"/>
      <c r="NYM21" s="1280"/>
      <c r="NYN21" s="1280"/>
      <c r="NYO21" s="1280"/>
      <c r="NYP21" s="1280"/>
      <c r="NYQ21" s="1280"/>
      <c r="NYR21" s="1280"/>
      <c r="NYS21" s="1280"/>
      <c r="NYT21" s="1280"/>
      <c r="NYU21" s="1280"/>
      <c r="NYV21" s="1280"/>
      <c r="NYW21" s="1280"/>
      <c r="NYX21" s="1280"/>
      <c r="NYY21" s="1280"/>
      <c r="NYZ21" s="1280"/>
      <c r="NZA21" s="1280"/>
      <c r="NZB21" s="1280"/>
      <c r="NZC21" s="1280"/>
      <c r="NZD21" s="1280"/>
      <c r="NZE21" s="1280"/>
      <c r="NZF21" s="1280"/>
      <c r="NZG21" s="1280"/>
      <c r="NZH21" s="1280"/>
      <c r="NZI21" s="1280"/>
      <c r="NZJ21" s="1280"/>
      <c r="NZK21" s="1280"/>
      <c r="NZL21" s="1280"/>
      <c r="NZM21" s="1280"/>
      <c r="NZN21" s="1280"/>
      <c r="NZO21" s="1280"/>
      <c r="NZP21" s="1280"/>
      <c r="NZQ21" s="1280"/>
      <c r="NZR21" s="1280"/>
      <c r="NZS21" s="1280"/>
      <c r="NZT21" s="1280"/>
      <c r="NZU21" s="1280"/>
      <c r="NZV21" s="1280"/>
      <c r="NZW21" s="1280"/>
      <c r="NZX21" s="1280"/>
      <c r="NZY21" s="1280"/>
      <c r="NZZ21" s="1280"/>
      <c r="OAA21" s="1280"/>
      <c r="OAB21" s="1280"/>
      <c r="OAC21" s="1280"/>
      <c r="OAD21" s="1280"/>
      <c r="OAE21" s="1280"/>
      <c r="OAF21" s="1280"/>
      <c r="OAG21" s="1280"/>
      <c r="OAH21" s="1280"/>
      <c r="OAI21" s="1280"/>
      <c r="OAJ21" s="1280"/>
      <c r="OAK21" s="1280"/>
      <c r="OAL21" s="1280"/>
      <c r="OAM21" s="1280"/>
      <c r="OAN21" s="1280"/>
      <c r="OAO21" s="1280"/>
      <c r="OAP21" s="1280"/>
      <c r="OAQ21" s="1280"/>
      <c r="OAR21" s="1280"/>
      <c r="OAS21" s="1280"/>
      <c r="OAT21" s="1280"/>
      <c r="OAU21" s="1280"/>
      <c r="OAV21" s="1280"/>
      <c r="OAW21" s="1280"/>
      <c r="OAX21" s="1280"/>
      <c r="OAY21" s="1280"/>
      <c r="OAZ21" s="1280"/>
      <c r="OBA21" s="1280"/>
      <c r="OBB21" s="1280"/>
      <c r="OBC21" s="1280"/>
      <c r="OBD21" s="1280"/>
      <c r="OBE21" s="1280"/>
      <c r="OBF21" s="1280"/>
      <c r="OBG21" s="1280"/>
      <c r="OBH21" s="1280"/>
      <c r="OBI21" s="1280"/>
      <c r="OBJ21" s="1280"/>
      <c r="OBK21" s="1280"/>
      <c r="OBL21" s="1280"/>
      <c r="OBM21" s="1280"/>
      <c r="OBN21" s="1280"/>
      <c r="OBO21" s="1280"/>
      <c r="OBP21" s="1280"/>
      <c r="OBQ21" s="1280"/>
      <c r="OBR21" s="1280"/>
      <c r="OBS21" s="1280"/>
      <c r="OBT21" s="1280"/>
      <c r="OBU21" s="1280"/>
      <c r="OBV21" s="1280"/>
      <c r="OBW21" s="1280"/>
      <c r="OBX21" s="1280"/>
      <c r="OBY21" s="1280"/>
      <c r="OBZ21" s="1280"/>
      <c r="OCA21" s="1280"/>
      <c r="OCB21" s="1280"/>
      <c r="OCC21" s="1280"/>
      <c r="OCD21" s="1280"/>
      <c r="OCE21" s="1280"/>
      <c r="OCF21" s="1280"/>
      <c r="OCG21" s="1280"/>
      <c r="OCH21" s="1280"/>
      <c r="OCI21" s="1280"/>
      <c r="OCJ21" s="1280"/>
      <c r="OCK21" s="1280"/>
      <c r="OCL21" s="1280"/>
      <c r="OCM21" s="1280"/>
      <c r="OCN21" s="1280"/>
      <c r="OCO21" s="1280"/>
      <c r="OCP21" s="1280"/>
      <c r="OCQ21" s="1280"/>
      <c r="OCR21" s="1280"/>
      <c r="OCS21" s="1280"/>
      <c r="OCT21" s="1280"/>
      <c r="OCU21" s="1280"/>
      <c r="OCV21" s="1280"/>
      <c r="OCW21" s="1280"/>
      <c r="OCX21" s="1280"/>
      <c r="OCY21" s="1280"/>
      <c r="OCZ21" s="1280"/>
      <c r="ODA21" s="1280"/>
      <c r="ODB21" s="1280"/>
      <c r="ODC21" s="1280"/>
      <c r="ODD21" s="1280"/>
      <c r="ODE21" s="1280"/>
      <c r="ODF21" s="1280"/>
      <c r="ODG21" s="1280"/>
      <c r="ODH21" s="1280"/>
      <c r="ODI21" s="1280"/>
      <c r="ODJ21" s="1280"/>
      <c r="ODK21" s="1280"/>
      <c r="ODL21" s="1280"/>
      <c r="ODM21" s="1280"/>
      <c r="ODN21" s="1280"/>
      <c r="ODO21" s="1280"/>
      <c r="ODP21" s="1280"/>
      <c r="ODQ21" s="1280"/>
      <c r="ODR21" s="1280"/>
      <c r="ODS21" s="1280"/>
      <c r="ODT21" s="1280"/>
      <c r="ODU21" s="1280"/>
      <c r="ODV21" s="1280"/>
      <c r="ODW21" s="1280"/>
      <c r="ODX21" s="1280"/>
      <c r="ODY21" s="1280"/>
      <c r="ODZ21" s="1280"/>
      <c r="OEA21" s="1280"/>
      <c r="OEB21" s="1280"/>
      <c r="OEC21" s="1280"/>
      <c r="OED21" s="1280"/>
      <c r="OEE21" s="1280"/>
      <c r="OEF21" s="1280"/>
      <c r="OEG21" s="1280"/>
      <c r="OEH21" s="1280"/>
      <c r="OEI21" s="1280"/>
      <c r="OEJ21" s="1280"/>
      <c r="OEK21" s="1280"/>
      <c r="OEL21" s="1280"/>
      <c r="OEM21" s="1280"/>
      <c r="OEN21" s="1280"/>
      <c r="OEO21" s="1280"/>
      <c r="OEP21" s="1280"/>
      <c r="OEQ21" s="1280"/>
      <c r="OER21" s="1280"/>
      <c r="OES21" s="1280"/>
      <c r="OET21" s="1280"/>
      <c r="OEU21" s="1280"/>
      <c r="OEV21" s="1280"/>
      <c r="OEW21" s="1280"/>
      <c r="OEX21" s="1280"/>
      <c r="OEY21" s="1280"/>
      <c r="OEZ21" s="1280"/>
      <c r="OFA21" s="1280"/>
      <c r="OFB21" s="1280"/>
      <c r="OFC21" s="1280"/>
      <c r="OFD21" s="1280"/>
      <c r="OFE21" s="1280"/>
      <c r="OFF21" s="1280"/>
      <c r="OFG21" s="1280"/>
      <c r="OFH21" s="1280"/>
      <c r="OFI21" s="1280"/>
      <c r="OFJ21" s="1280"/>
      <c r="OFK21" s="1280"/>
      <c r="OFL21" s="1280"/>
      <c r="OFM21" s="1280"/>
      <c r="OFN21" s="1280"/>
      <c r="OFO21" s="1280"/>
      <c r="OFP21" s="1280"/>
      <c r="OFQ21" s="1280"/>
      <c r="OFR21" s="1280"/>
      <c r="OFS21" s="1280"/>
      <c r="OFT21" s="1280"/>
      <c r="OFU21" s="1280"/>
      <c r="OFV21" s="1280"/>
      <c r="OFW21" s="1280"/>
      <c r="OFX21" s="1280"/>
      <c r="OFY21" s="1280"/>
      <c r="OFZ21" s="1280"/>
      <c r="OGA21" s="1280"/>
      <c r="OGB21" s="1280"/>
      <c r="OGC21" s="1280"/>
      <c r="OGD21" s="1280"/>
      <c r="OGE21" s="1280"/>
      <c r="OGF21" s="1280"/>
      <c r="OGG21" s="1280"/>
      <c r="OGH21" s="1280"/>
      <c r="OGI21" s="1280"/>
      <c r="OGJ21" s="1280"/>
      <c r="OGK21" s="1280"/>
      <c r="OGL21" s="1280"/>
      <c r="OGM21" s="1280"/>
      <c r="OGN21" s="1280"/>
      <c r="OGO21" s="1280"/>
      <c r="OGP21" s="1280"/>
      <c r="OGQ21" s="1280"/>
      <c r="OGR21" s="1280"/>
      <c r="OGS21" s="1280"/>
      <c r="OGT21" s="1280"/>
      <c r="OGU21" s="1280"/>
      <c r="OGV21" s="1280"/>
      <c r="OGW21" s="1280"/>
      <c r="OGX21" s="1280"/>
      <c r="OGY21" s="1280"/>
      <c r="OGZ21" s="1280"/>
      <c r="OHA21" s="1280"/>
      <c r="OHB21" s="1280"/>
      <c r="OHC21" s="1280"/>
      <c r="OHD21" s="1280"/>
      <c r="OHE21" s="1280"/>
      <c r="OHF21" s="1280"/>
      <c r="OHG21" s="1280"/>
      <c r="OHH21" s="1280"/>
      <c r="OHI21" s="1280"/>
      <c r="OHJ21" s="1280"/>
      <c r="OHK21" s="1280"/>
      <c r="OHL21" s="1280"/>
      <c r="OHM21" s="1280"/>
      <c r="OHN21" s="1280"/>
      <c r="OHO21" s="1280"/>
      <c r="OHP21" s="1280"/>
      <c r="OHQ21" s="1280"/>
      <c r="OHR21" s="1280"/>
      <c r="OHS21" s="1280"/>
      <c r="OHT21" s="1280"/>
      <c r="OHU21" s="1280"/>
      <c r="OHV21" s="1280"/>
      <c r="OHW21" s="1280"/>
      <c r="OHX21" s="1280"/>
      <c r="OHY21" s="1280"/>
      <c r="OHZ21" s="1280"/>
      <c r="OIA21" s="1280"/>
      <c r="OIB21" s="1280"/>
      <c r="OIC21" s="1280"/>
      <c r="OID21" s="1280"/>
      <c r="OIE21" s="1280"/>
      <c r="OIF21" s="1280"/>
      <c r="OIG21" s="1280"/>
      <c r="OIH21" s="1280"/>
      <c r="OII21" s="1280"/>
      <c r="OIJ21" s="1280"/>
      <c r="OIK21" s="1280"/>
      <c r="OIL21" s="1280"/>
      <c r="OIM21" s="1280"/>
      <c r="OIN21" s="1280"/>
      <c r="OIO21" s="1280"/>
      <c r="OIP21" s="1280"/>
      <c r="OIQ21" s="1280"/>
      <c r="OIR21" s="1280"/>
      <c r="OIS21" s="1280"/>
      <c r="OIT21" s="1280"/>
      <c r="OIU21" s="1280"/>
      <c r="OIV21" s="1280"/>
      <c r="OIW21" s="1280"/>
      <c r="OIX21" s="1280"/>
      <c r="OIY21" s="1280"/>
      <c r="OIZ21" s="1280"/>
      <c r="OJA21" s="1280"/>
      <c r="OJB21" s="1280"/>
      <c r="OJC21" s="1280"/>
      <c r="OJD21" s="1280"/>
      <c r="OJE21" s="1280"/>
      <c r="OJF21" s="1280"/>
      <c r="OJG21" s="1280"/>
      <c r="OJH21" s="1280"/>
      <c r="OJI21" s="1280"/>
      <c r="OJJ21" s="1280"/>
      <c r="OJK21" s="1280"/>
      <c r="OJL21" s="1280"/>
      <c r="OJM21" s="1280"/>
      <c r="OJN21" s="1280"/>
      <c r="OJO21" s="1280"/>
      <c r="OJP21" s="1280"/>
      <c r="OJQ21" s="1280"/>
      <c r="OJR21" s="1280"/>
      <c r="OJS21" s="1280"/>
      <c r="OJT21" s="1280"/>
      <c r="OJU21" s="1280"/>
      <c r="OJV21" s="1280"/>
      <c r="OJW21" s="1280"/>
      <c r="OJX21" s="1280"/>
      <c r="OJY21" s="1280"/>
      <c r="OJZ21" s="1280"/>
      <c r="OKA21" s="1280"/>
      <c r="OKB21" s="1280"/>
      <c r="OKC21" s="1280"/>
      <c r="OKD21" s="1280"/>
      <c r="OKE21" s="1280"/>
      <c r="OKF21" s="1280"/>
      <c r="OKG21" s="1280"/>
      <c r="OKH21" s="1280"/>
      <c r="OKI21" s="1280"/>
      <c r="OKJ21" s="1280"/>
      <c r="OKK21" s="1280"/>
      <c r="OKL21" s="1280"/>
      <c r="OKM21" s="1280"/>
      <c r="OKN21" s="1280"/>
      <c r="OKO21" s="1280"/>
      <c r="OKP21" s="1280"/>
      <c r="OKQ21" s="1280"/>
      <c r="OKR21" s="1280"/>
      <c r="OKS21" s="1280"/>
      <c r="OKT21" s="1280"/>
      <c r="OKU21" s="1280"/>
      <c r="OKV21" s="1280"/>
      <c r="OKW21" s="1280"/>
      <c r="OKX21" s="1280"/>
      <c r="OKY21" s="1280"/>
      <c r="OKZ21" s="1280"/>
      <c r="OLA21" s="1280"/>
      <c r="OLB21" s="1280"/>
      <c r="OLC21" s="1280"/>
      <c r="OLD21" s="1280"/>
      <c r="OLE21" s="1280"/>
      <c r="OLF21" s="1280"/>
      <c r="OLG21" s="1280"/>
      <c r="OLH21" s="1280"/>
      <c r="OLI21" s="1280"/>
      <c r="OLJ21" s="1280"/>
      <c r="OLK21" s="1280"/>
      <c r="OLL21" s="1280"/>
      <c r="OLM21" s="1280"/>
      <c r="OLN21" s="1280"/>
      <c r="OLO21" s="1280"/>
      <c r="OLP21" s="1280"/>
      <c r="OLQ21" s="1280"/>
      <c r="OLR21" s="1280"/>
      <c r="OLS21" s="1280"/>
      <c r="OLT21" s="1280"/>
      <c r="OLU21" s="1280"/>
      <c r="OLV21" s="1280"/>
      <c r="OLW21" s="1280"/>
      <c r="OLX21" s="1280"/>
      <c r="OLY21" s="1280"/>
      <c r="OLZ21" s="1280"/>
      <c r="OMA21" s="1280"/>
      <c r="OMB21" s="1280"/>
      <c r="OMC21" s="1280"/>
      <c r="OMD21" s="1280"/>
      <c r="OME21" s="1280"/>
      <c r="OMF21" s="1280"/>
      <c r="OMG21" s="1280"/>
      <c r="OMH21" s="1280"/>
      <c r="OMI21" s="1280"/>
      <c r="OMJ21" s="1280"/>
      <c r="OMK21" s="1280"/>
      <c r="OML21" s="1280"/>
      <c r="OMM21" s="1280"/>
      <c r="OMN21" s="1280"/>
      <c r="OMO21" s="1280"/>
      <c r="OMP21" s="1280"/>
      <c r="OMQ21" s="1280"/>
      <c r="OMR21" s="1280"/>
      <c r="OMS21" s="1280"/>
      <c r="OMT21" s="1280"/>
      <c r="OMU21" s="1280"/>
      <c r="OMV21" s="1280"/>
      <c r="OMW21" s="1280"/>
      <c r="OMX21" s="1280"/>
      <c r="OMY21" s="1280"/>
      <c r="OMZ21" s="1280"/>
      <c r="ONA21" s="1280"/>
      <c r="ONB21" s="1280"/>
      <c r="ONC21" s="1280"/>
      <c r="OND21" s="1280"/>
      <c r="ONE21" s="1280"/>
      <c r="ONF21" s="1280"/>
      <c r="ONG21" s="1280"/>
      <c r="ONH21" s="1280"/>
      <c r="ONI21" s="1280"/>
      <c r="ONJ21" s="1280"/>
      <c r="ONK21" s="1280"/>
      <c r="ONL21" s="1280"/>
      <c r="ONM21" s="1280"/>
      <c r="ONN21" s="1280"/>
      <c r="ONO21" s="1280"/>
      <c r="ONP21" s="1280"/>
      <c r="ONQ21" s="1280"/>
      <c r="ONR21" s="1280"/>
      <c r="ONS21" s="1280"/>
      <c r="ONT21" s="1280"/>
      <c r="ONU21" s="1280"/>
      <c r="ONV21" s="1280"/>
      <c r="ONW21" s="1280"/>
      <c r="ONX21" s="1280"/>
      <c r="ONY21" s="1280"/>
      <c r="ONZ21" s="1280"/>
      <c r="OOA21" s="1280"/>
      <c r="OOB21" s="1280"/>
      <c r="OOC21" s="1280"/>
      <c r="OOD21" s="1280"/>
      <c r="OOE21" s="1280"/>
      <c r="OOF21" s="1280"/>
      <c r="OOG21" s="1280"/>
      <c r="OOH21" s="1280"/>
      <c r="OOI21" s="1280"/>
      <c r="OOJ21" s="1280"/>
      <c r="OOK21" s="1280"/>
      <c r="OOL21" s="1280"/>
      <c r="OOM21" s="1280"/>
      <c r="OON21" s="1280"/>
      <c r="OOO21" s="1280"/>
      <c r="OOP21" s="1280"/>
      <c r="OOQ21" s="1280"/>
      <c r="OOR21" s="1280"/>
      <c r="OOS21" s="1280"/>
      <c r="OOT21" s="1280"/>
      <c r="OOU21" s="1280"/>
      <c r="OOV21" s="1280"/>
      <c r="OOW21" s="1280"/>
      <c r="OOX21" s="1280"/>
      <c r="OOY21" s="1280"/>
      <c r="OOZ21" s="1280"/>
      <c r="OPA21" s="1280"/>
      <c r="OPB21" s="1280"/>
      <c r="OPC21" s="1280"/>
      <c r="OPD21" s="1280"/>
      <c r="OPE21" s="1280"/>
      <c r="OPF21" s="1280"/>
      <c r="OPG21" s="1280"/>
      <c r="OPH21" s="1280"/>
      <c r="OPI21" s="1280"/>
      <c r="OPJ21" s="1280"/>
      <c r="OPK21" s="1280"/>
      <c r="OPL21" s="1280"/>
      <c r="OPM21" s="1280"/>
      <c r="OPN21" s="1280"/>
      <c r="OPO21" s="1280"/>
      <c r="OPP21" s="1280"/>
      <c r="OPQ21" s="1280"/>
      <c r="OPR21" s="1280"/>
      <c r="OPS21" s="1280"/>
      <c r="OPT21" s="1280"/>
      <c r="OPU21" s="1280"/>
      <c r="OPV21" s="1280"/>
      <c r="OPW21" s="1280"/>
      <c r="OPX21" s="1280"/>
      <c r="OPY21" s="1280"/>
      <c r="OPZ21" s="1280"/>
      <c r="OQA21" s="1280"/>
      <c r="OQB21" s="1280"/>
      <c r="OQC21" s="1280"/>
      <c r="OQD21" s="1280"/>
      <c r="OQE21" s="1280"/>
      <c r="OQF21" s="1280"/>
      <c r="OQG21" s="1280"/>
      <c r="OQH21" s="1280"/>
      <c r="OQI21" s="1280"/>
      <c r="OQJ21" s="1280"/>
      <c r="OQK21" s="1280"/>
      <c r="OQL21" s="1280"/>
      <c r="OQM21" s="1280"/>
      <c r="OQN21" s="1280"/>
      <c r="OQO21" s="1280"/>
      <c r="OQP21" s="1280"/>
      <c r="OQQ21" s="1280"/>
      <c r="OQR21" s="1280"/>
      <c r="OQS21" s="1280"/>
      <c r="OQT21" s="1280"/>
      <c r="OQU21" s="1280"/>
      <c r="OQV21" s="1280"/>
      <c r="OQW21" s="1280"/>
      <c r="OQX21" s="1280"/>
      <c r="OQY21" s="1280"/>
      <c r="OQZ21" s="1280"/>
      <c r="ORA21" s="1280"/>
      <c r="ORB21" s="1280"/>
      <c r="ORC21" s="1280"/>
      <c r="ORD21" s="1280"/>
      <c r="ORE21" s="1280"/>
      <c r="ORF21" s="1280"/>
      <c r="ORG21" s="1280"/>
      <c r="ORH21" s="1280"/>
      <c r="ORI21" s="1280"/>
      <c r="ORJ21" s="1280"/>
      <c r="ORK21" s="1280"/>
      <c r="ORL21" s="1280"/>
      <c r="ORM21" s="1280"/>
      <c r="ORN21" s="1280"/>
      <c r="ORO21" s="1280"/>
      <c r="ORP21" s="1280"/>
      <c r="ORQ21" s="1280"/>
      <c r="ORR21" s="1280"/>
      <c r="ORS21" s="1280"/>
      <c r="ORT21" s="1280"/>
      <c r="ORU21" s="1280"/>
      <c r="ORV21" s="1280"/>
      <c r="ORW21" s="1280"/>
      <c r="ORX21" s="1280"/>
      <c r="ORY21" s="1280"/>
      <c r="ORZ21" s="1280"/>
      <c r="OSA21" s="1280"/>
      <c r="OSB21" s="1280"/>
      <c r="OSC21" s="1280"/>
      <c r="OSD21" s="1280"/>
      <c r="OSE21" s="1280"/>
      <c r="OSF21" s="1280"/>
      <c r="OSG21" s="1280"/>
      <c r="OSH21" s="1280"/>
      <c r="OSI21" s="1280"/>
      <c r="OSJ21" s="1280"/>
      <c r="OSK21" s="1280"/>
      <c r="OSL21" s="1280"/>
      <c r="OSM21" s="1280"/>
      <c r="OSN21" s="1280"/>
      <c r="OSO21" s="1280"/>
      <c r="OSP21" s="1280"/>
      <c r="OSQ21" s="1280"/>
      <c r="OSR21" s="1280"/>
      <c r="OSS21" s="1280"/>
      <c r="OST21" s="1280"/>
      <c r="OSU21" s="1280"/>
      <c r="OSV21" s="1280"/>
      <c r="OSW21" s="1280"/>
      <c r="OSX21" s="1280"/>
      <c r="OSY21" s="1280"/>
      <c r="OSZ21" s="1280"/>
      <c r="OTA21" s="1280"/>
      <c r="OTB21" s="1280"/>
      <c r="OTC21" s="1280"/>
      <c r="OTD21" s="1280"/>
      <c r="OTE21" s="1280"/>
      <c r="OTF21" s="1280"/>
      <c r="OTG21" s="1280"/>
      <c r="OTH21" s="1280"/>
      <c r="OTI21" s="1280"/>
      <c r="OTJ21" s="1280"/>
      <c r="OTK21" s="1280"/>
      <c r="OTL21" s="1280"/>
      <c r="OTM21" s="1280"/>
      <c r="OTN21" s="1280"/>
      <c r="OTO21" s="1280"/>
      <c r="OTP21" s="1280"/>
      <c r="OTQ21" s="1280"/>
      <c r="OTR21" s="1280"/>
      <c r="OTS21" s="1280"/>
      <c r="OTT21" s="1280"/>
      <c r="OTU21" s="1280"/>
      <c r="OTV21" s="1280"/>
      <c r="OTW21" s="1280"/>
      <c r="OTX21" s="1280"/>
      <c r="OTY21" s="1280"/>
      <c r="OTZ21" s="1280"/>
      <c r="OUA21" s="1280"/>
      <c r="OUB21" s="1280"/>
      <c r="OUC21" s="1280"/>
      <c r="OUD21" s="1280"/>
      <c r="OUE21" s="1280"/>
      <c r="OUF21" s="1280"/>
      <c r="OUG21" s="1280"/>
      <c r="OUH21" s="1280"/>
      <c r="OUI21" s="1280"/>
      <c r="OUJ21" s="1280"/>
      <c r="OUK21" s="1280"/>
      <c r="OUL21" s="1280"/>
      <c r="OUM21" s="1280"/>
      <c r="OUN21" s="1280"/>
      <c r="OUO21" s="1280"/>
      <c r="OUP21" s="1280"/>
      <c r="OUQ21" s="1280"/>
      <c r="OUR21" s="1280"/>
      <c r="OUS21" s="1280"/>
      <c r="OUT21" s="1280"/>
      <c r="OUU21" s="1280"/>
      <c r="OUV21" s="1280"/>
      <c r="OUW21" s="1280"/>
      <c r="OUX21" s="1280"/>
      <c r="OUY21" s="1280"/>
      <c r="OUZ21" s="1280"/>
      <c r="OVA21" s="1280"/>
      <c r="OVB21" s="1280"/>
      <c r="OVC21" s="1280"/>
      <c r="OVD21" s="1280"/>
      <c r="OVE21" s="1280"/>
      <c r="OVF21" s="1280"/>
      <c r="OVG21" s="1280"/>
      <c r="OVH21" s="1280"/>
      <c r="OVI21" s="1280"/>
      <c r="OVJ21" s="1280"/>
      <c r="OVK21" s="1280"/>
      <c r="OVL21" s="1280"/>
      <c r="OVM21" s="1280"/>
      <c r="OVN21" s="1280"/>
      <c r="OVO21" s="1280"/>
      <c r="OVP21" s="1280"/>
      <c r="OVQ21" s="1280"/>
      <c r="OVR21" s="1280"/>
      <c r="OVS21" s="1280"/>
      <c r="OVT21" s="1280"/>
      <c r="OVU21" s="1280"/>
      <c r="OVV21" s="1280"/>
      <c r="OVW21" s="1280"/>
      <c r="OVX21" s="1280"/>
      <c r="OVY21" s="1280"/>
      <c r="OVZ21" s="1280"/>
      <c r="OWA21" s="1280"/>
      <c r="OWB21" s="1280"/>
      <c r="OWC21" s="1280"/>
      <c r="OWD21" s="1280"/>
      <c r="OWE21" s="1280"/>
      <c r="OWF21" s="1280"/>
      <c r="OWG21" s="1280"/>
      <c r="OWH21" s="1280"/>
      <c r="OWI21" s="1280"/>
      <c r="OWJ21" s="1280"/>
      <c r="OWK21" s="1280"/>
      <c r="OWL21" s="1280"/>
      <c r="OWM21" s="1280"/>
      <c r="OWN21" s="1280"/>
      <c r="OWO21" s="1280"/>
      <c r="OWP21" s="1280"/>
      <c r="OWQ21" s="1280"/>
      <c r="OWR21" s="1280"/>
      <c r="OWS21" s="1280"/>
      <c r="OWT21" s="1280"/>
      <c r="OWU21" s="1280"/>
      <c r="OWV21" s="1280"/>
      <c r="OWW21" s="1280"/>
      <c r="OWX21" s="1280"/>
      <c r="OWY21" s="1280"/>
      <c r="OWZ21" s="1280"/>
      <c r="OXA21" s="1280"/>
      <c r="OXB21" s="1280"/>
      <c r="OXC21" s="1280"/>
      <c r="OXD21" s="1280"/>
      <c r="OXE21" s="1280"/>
      <c r="OXF21" s="1280"/>
      <c r="OXG21" s="1280"/>
      <c r="OXH21" s="1280"/>
      <c r="OXI21" s="1280"/>
      <c r="OXJ21" s="1280"/>
      <c r="OXK21" s="1280"/>
      <c r="OXL21" s="1280"/>
      <c r="OXM21" s="1280"/>
      <c r="OXN21" s="1280"/>
      <c r="OXO21" s="1280"/>
      <c r="OXP21" s="1280"/>
      <c r="OXQ21" s="1280"/>
      <c r="OXR21" s="1280"/>
      <c r="OXS21" s="1280"/>
      <c r="OXT21" s="1280"/>
      <c r="OXU21" s="1280"/>
      <c r="OXV21" s="1280"/>
      <c r="OXW21" s="1280"/>
      <c r="OXX21" s="1280"/>
      <c r="OXY21" s="1280"/>
      <c r="OXZ21" s="1280"/>
      <c r="OYA21" s="1280"/>
      <c r="OYB21" s="1280"/>
      <c r="OYC21" s="1280"/>
      <c r="OYD21" s="1280"/>
      <c r="OYE21" s="1280"/>
      <c r="OYF21" s="1280"/>
      <c r="OYG21" s="1280"/>
      <c r="OYH21" s="1280"/>
      <c r="OYI21" s="1280"/>
      <c r="OYJ21" s="1280"/>
      <c r="OYK21" s="1280"/>
      <c r="OYL21" s="1280"/>
      <c r="OYM21" s="1280"/>
      <c r="OYN21" s="1280"/>
      <c r="OYO21" s="1280"/>
      <c r="OYP21" s="1280"/>
      <c r="OYQ21" s="1280"/>
      <c r="OYR21" s="1280"/>
      <c r="OYS21" s="1280"/>
      <c r="OYT21" s="1280"/>
      <c r="OYU21" s="1280"/>
      <c r="OYV21" s="1280"/>
      <c r="OYW21" s="1280"/>
      <c r="OYX21" s="1280"/>
      <c r="OYY21" s="1280"/>
      <c r="OYZ21" s="1280"/>
      <c r="OZA21" s="1280"/>
      <c r="OZB21" s="1280"/>
      <c r="OZC21" s="1280"/>
      <c r="OZD21" s="1280"/>
      <c r="OZE21" s="1280"/>
      <c r="OZF21" s="1280"/>
      <c r="OZG21" s="1280"/>
      <c r="OZH21" s="1280"/>
      <c r="OZI21" s="1280"/>
      <c r="OZJ21" s="1280"/>
      <c r="OZK21" s="1280"/>
      <c r="OZL21" s="1280"/>
      <c r="OZM21" s="1280"/>
      <c r="OZN21" s="1280"/>
      <c r="OZO21" s="1280"/>
      <c r="OZP21" s="1280"/>
      <c r="OZQ21" s="1280"/>
      <c r="OZR21" s="1280"/>
      <c r="OZS21" s="1280"/>
      <c r="OZT21" s="1280"/>
      <c r="OZU21" s="1280"/>
      <c r="OZV21" s="1280"/>
      <c r="OZW21" s="1280"/>
      <c r="OZX21" s="1280"/>
      <c r="OZY21" s="1280"/>
      <c r="OZZ21" s="1280"/>
      <c r="PAA21" s="1280"/>
      <c r="PAB21" s="1280"/>
      <c r="PAC21" s="1280"/>
      <c r="PAD21" s="1280"/>
      <c r="PAE21" s="1280"/>
      <c r="PAF21" s="1280"/>
      <c r="PAG21" s="1280"/>
      <c r="PAH21" s="1280"/>
      <c r="PAI21" s="1280"/>
      <c r="PAJ21" s="1280"/>
      <c r="PAK21" s="1280"/>
      <c r="PAL21" s="1280"/>
      <c r="PAM21" s="1280"/>
      <c r="PAN21" s="1280"/>
      <c r="PAO21" s="1280"/>
      <c r="PAP21" s="1280"/>
      <c r="PAQ21" s="1280"/>
      <c r="PAR21" s="1280"/>
      <c r="PAS21" s="1280"/>
      <c r="PAT21" s="1280"/>
      <c r="PAU21" s="1280"/>
      <c r="PAV21" s="1280"/>
      <c r="PAW21" s="1280"/>
      <c r="PAX21" s="1280"/>
      <c r="PAY21" s="1280"/>
      <c r="PAZ21" s="1280"/>
      <c r="PBA21" s="1280"/>
      <c r="PBB21" s="1280"/>
      <c r="PBC21" s="1280"/>
      <c r="PBD21" s="1280"/>
      <c r="PBE21" s="1280"/>
      <c r="PBF21" s="1280"/>
      <c r="PBG21" s="1280"/>
      <c r="PBH21" s="1280"/>
      <c r="PBI21" s="1280"/>
      <c r="PBJ21" s="1280"/>
      <c r="PBK21" s="1280"/>
      <c r="PBL21" s="1280"/>
      <c r="PBM21" s="1280"/>
      <c r="PBN21" s="1280"/>
      <c r="PBO21" s="1280"/>
      <c r="PBP21" s="1280"/>
      <c r="PBQ21" s="1280"/>
      <c r="PBR21" s="1280"/>
      <c r="PBS21" s="1280"/>
      <c r="PBT21" s="1280"/>
      <c r="PBU21" s="1280"/>
      <c r="PBV21" s="1280"/>
      <c r="PBW21" s="1280"/>
      <c r="PBX21" s="1280"/>
      <c r="PBY21" s="1280"/>
      <c r="PBZ21" s="1280"/>
      <c r="PCA21" s="1280"/>
      <c r="PCB21" s="1280"/>
      <c r="PCC21" s="1280"/>
      <c r="PCD21" s="1280"/>
      <c r="PCE21" s="1280"/>
      <c r="PCF21" s="1280"/>
      <c r="PCG21" s="1280"/>
      <c r="PCH21" s="1280"/>
      <c r="PCI21" s="1280"/>
      <c r="PCJ21" s="1280"/>
      <c r="PCK21" s="1280"/>
      <c r="PCL21" s="1280"/>
      <c r="PCM21" s="1280"/>
      <c r="PCN21" s="1280"/>
      <c r="PCO21" s="1280"/>
      <c r="PCP21" s="1280"/>
      <c r="PCQ21" s="1280"/>
      <c r="PCR21" s="1280"/>
      <c r="PCS21" s="1280"/>
      <c r="PCT21" s="1280"/>
      <c r="PCU21" s="1280"/>
      <c r="PCV21" s="1280"/>
      <c r="PCW21" s="1280"/>
      <c r="PCX21" s="1280"/>
      <c r="PCY21" s="1280"/>
      <c r="PCZ21" s="1280"/>
      <c r="PDA21" s="1280"/>
      <c r="PDB21" s="1280"/>
      <c r="PDC21" s="1280"/>
      <c r="PDD21" s="1280"/>
      <c r="PDE21" s="1280"/>
      <c r="PDF21" s="1280"/>
      <c r="PDG21" s="1280"/>
      <c r="PDH21" s="1280"/>
      <c r="PDI21" s="1280"/>
      <c r="PDJ21" s="1280"/>
      <c r="PDK21" s="1280"/>
      <c r="PDL21" s="1280"/>
      <c r="PDM21" s="1280"/>
      <c r="PDN21" s="1280"/>
      <c r="PDO21" s="1280"/>
      <c r="PDP21" s="1280"/>
      <c r="PDQ21" s="1280"/>
      <c r="PDR21" s="1280"/>
      <c r="PDS21" s="1280"/>
      <c r="PDT21" s="1280"/>
      <c r="PDU21" s="1280"/>
      <c r="PDV21" s="1280"/>
      <c r="PDW21" s="1280"/>
      <c r="PDX21" s="1280"/>
      <c r="PDY21" s="1280"/>
      <c r="PDZ21" s="1280"/>
      <c r="PEA21" s="1280"/>
      <c r="PEB21" s="1280"/>
      <c r="PEC21" s="1280"/>
      <c r="PED21" s="1280"/>
      <c r="PEE21" s="1280"/>
      <c r="PEF21" s="1280"/>
      <c r="PEG21" s="1280"/>
      <c r="PEH21" s="1280"/>
      <c r="PEI21" s="1280"/>
      <c r="PEJ21" s="1280"/>
      <c r="PEK21" s="1280"/>
      <c r="PEL21" s="1280"/>
      <c r="PEM21" s="1280"/>
      <c r="PEN21" s="1280"/>
      <c r="PEO21" s="1280"/>
      <c r="PEP21" s="1280"/>
      <c r="PEQ21" s="1280"/>
      <c r="PER21" s="1280"/>
      <c r="PES21" s="1280"/>
      <c r="PET21" s="1280"/>
      <c r="PEU21" s="1280"/>
      <c r="PEV21" s="1280"/>
      <c r="PEW21" s="1280"/>
      <c r="PEX21" s="1280"/>
      <c r="PEY21" s="1280"/>
      <c r="PEZ21" s="1280"/>
      <c r="PFA21" s="1280"/>
      <c r="PFB21" s="1280"/>
      <c r="PFC21" s="1280"/>
      <c r="PFD21" s="1280"/>
      <c r="PFE21" s="1280"/>
      <c r="PFF21" s="1280"/>
      <c r="PFG21" s="1280"/>
      <c r="PFH21" s="1280"/>
      <c r="PFI21" s="1280"/>
      <c r="PFJ21" s="1280"/>
      <c r="PFK21" s="1280"/>
      <c r="PFL21" s="1280"/>
      <c r="PFM21" s="1280"/>
      <c r="PFN21" s="1280"/>
      <c r="PFO21" s="1280"/>
      <c r="PFP21" s="1280"/>
      <c r="PFQ21" s="1280"/>
      <c r="PFR21" s="1280"/>
      <c r="PFS21" s="1280"/>
      <c r="PFT21" s="1280"/>
      <c r="PFU21" s="1280"/>
      <c r="PFV21" s="1280"/>
      <c r="PFW21" s="1280"/>
      <c r="PFX21" s="1280"/>
      <c r="PFY21" s="1280"/>
      <c r="PFZ21" s="1280"/>
      <c r="PGA21" s="1280"/>
      <c r="PGB21" s="1280"/>
      <c r="PGC21" s="1280"/>
      <c r="PGD21" s="1280"/>
      <c r="PGE21" s="1280"/>
      <c r="PGF21" s="1280"/>
      <c r="PGG21" s="1280"/>
      <c r="PGH21" s="1280"/>
      <c r="PGI21" s="1280"/>
      <c r="PGJ21" s="1280"/>
      <c r="PGK21" s="1280"/>
      <c r="PGL21" s="1280"/>
      <c r="PGM21" s="1280"/>
      <c r="PGN21" s="1280"/>
      <c r="PGO21" s="1280"/>
      <c r="PGP21" s="1280"/>
      <c r="PGQ21" s="1280"/>
      <c r="PGR21" s="1280"/>
      <c r="PGS21" s="1280"/>
      <c r="PGT21" s="1280"/>
      <c r="PGU21" s="1280"/>
      <c r="PGV21" s="1280"/>
      <c r="PGW21" s="1280"/>
      <c r="PGX21" s="1280"/>
      <c r="PGY21" s="1280"/>
      <c r="PGZ21" s="1280"/>
      <c r="PHA21" s="1280"/>
      <c r="PHB21" s="1280"/>
      <c r="PHC21" s="1280"/>
      <c r="PHD21" s="1280"/>
      <c r="PHE21" s="1280"/>
      <c r="PHF21" s="1280"/>
      <c r="PHG21" s="1280"/>
      <c r="PHH21" s="1280"/>
      <c r="PHI21" s="1280"/>
      <c r="PHJ21" s="1280"/>
      <c r="PHK21" s="1280"/>
      <c r="PHL21" s="1280"/>
      <c r="PHM21" s="1280"/>
      <c r="PHN21" s="1280"/>
      <c r="PHO21" s="1280"/>
      <c r="PHP21" s="1280"/>
      <c r="PHQ21" s="1280"/>
      <c r="PHR21" s="1280"/>
      <c r="PHS21" s="1280"/>
      <c r="PHT21" s="1280"/>
      <c r="PHU21" s="1280"/>
      <c r="PHV21" s="1280"/>
      <c r="PHW21" s="1280"/>
      <c r="PHX21" s="1280"/>
      <c r="PHY21" s="1280"/>
      <c r="PHZ21" s="1280"/>
      <c r="PIA21" s="1280"/>
      <c r="PIB21" s="1280"/>
      <c r="PIC21" s="1280"/>
      <c r="PID21" s="1280"/>
      <c r="PIE21" s="1280"/>
      <c r="PIF21" s="1280"/>
      <c r="PIG21" s="1280"/>
      <c r="PIH21" s="1280"/>
      <c r="PII21" s="1280"/>
      <c r="PIJ21" s="1280"/>
      <c r="PIK21" s="1280"/>
      <c r="PIL21" s="1280"/>
      <c r="PIM21" s="1280"/>
      <c r="PIN21" s="1280"/>
      <c r="PIO21" s="1280"/>
      <c r="PIP21" s="1280"/>
      <c r="PIQ21" s="1280"/>
      <c r="PIR21" s="1280"/>
      <c r="PIS21" s="1280"/>
      <c r="PIT21" s="1280"/>
      <c r="PIU21" s="1280"/>
      <c r="PIV21" s="1280"/>
      <c r="PIW21" s="1280"/>
      <c r="PIX21" s="1280"/>
      <c r="PIY21" s="1280"/>
      <c r="PIZ21" s="1280"/>
      <c r="PJA21" s="1280"/>
      <c r="PJB21" s="1280"/>
      <c r="PJC21" s="1280"/>
      <c r="PJD21" s="1280"/>
      <c r="PJE21" s="1280"/>
      <c r="PJF21" s="1280"/>
      <c r="PJG21" s="1280"/>
      <c r="PJH21" s="1280"/>
      <c r="PJI21" s="1280"/>
      <c r="PJJ21" s="1280"/>
      <c r="PJK21" s="1280"/>
      <c r="PJL21" s="1280"/>
      <c r="PJM21" s="1280"/>
      <c r="PJN21" s="1280"/>
      <c r="PJO21" s="1280"/>
      <c r="PJP21" s="1280"/>
      <c r="PJQ21" s="1280"/>
      <c r="PJR21" s="1280"/>
      <c r="PJS21" s="1280"/>
      <c r="PJT21" s="1280"/>
      <c r="PJU21" s="1280"/>
      <c r="PJV21" s="1280"/>
      <c r="PJW21" s="1280"/>
      <c r="PJX21" s="1280"/>
      <c r="PJY21" s="1280"/>
      <c r="PJZ21" s="1280"/>
      <c r="PKA21" s="1280"/>
      <c r="PKB21" s="1280"/>
      <c r="PKC21" s="1280"/>
      <c r="PKD21" s="1280"/>
      <c r="PKE21" s="1280"/>
      <c r="PKF21" s="1280"/>
      <c r="PKG21" s="1280"/>
      <c r="PKH21" s="1280"/>
      <c r="PKI21" s="1280"/>
      <c r="PKJ21" s="1280"/>
      <c r="PKK21" s="1280"/>
      <c r="PKL21" s="1280"/>
      <c r="PKM21" s="1280"/>
      <c r="PKN21" s="1280"/>
      <c r="PKO21" s="1280"/>
      <c r="PKP21" s="1280"/>
      <c r="PKQ21" s="1280"/>
      <c r="PKR21" s="1280"/>
      <c r="PKS21" s="1280"/>
      <c r="PKT21" s="1280"/>
      <c r="PKU21" s="1280"/>
      <c r="PKV21" s="1280"/>
      <c r="PKW21" s="1280"/>
      <c r="PKX21" s="1280"/>
      <c r="PKY21" s="1280"/>
      <c r="PKZ21" s="1280"/>
      <c r="PLA21" s="1280"/>
      <c r="PLB21" s="1280"/>
      <c r="PLC21" s="1280"/>
      <c r="PLD21" s="1280"/>
      <c r="PLE21" s="1280"/>
      <c r="PLF21" s="1280"/>
      <c r="PLG21" s="1280"/>
      <c r="PLH21" s="1280"/>
      <c r="PLI21" s="1280"/>
      <c r="PLJ21" s="1280"/>
      <c r="PLK21" s="1280"/>
      <c r="PLL21" s="1280"/>
      <c r="PLM21" s="1280"/>
      <c r="PLN21" s="1280"/>
      <c r="PLO21" s="1280"/>
      <c r="PLP21" s="1280"/>
      <c r="PLQ21" s="1280"/>
      <c r="PLR21" s="1280"/>
      <c r="PLS21" s="1280"/>
      <c r="PLT21" s="1280"/>
      <c r="PLU21" s="1280"/>
      <c r="PLV21" s="1280"/>
      <c r="PLW21" s="1280"/>
      <c r="PLX21" s="1280"/>
      <c r="PLY21" s="1280"/>
      <c r="PLZ21" s="1280"/>
      <c r="PMA21" s="1280"/>
      <c r="PMB21" s="1280"/>
      <c r="PMC21" s="1280"/>
      <c r="PMD21" s="1280"/>
      <c r="PME21" s="1280"/>
      <c r="PMF21" s="1280"/>
      <c r="PMG21" s="1280"/>
      <c r="PMH21" s="1280"/>
      <c r="PMI21" s="1280"/>
      <c r="PMJ21" s="1280"/>
      <c r="PMK21" s="1280"/>
      <c r="PML21" s="1280"/>
      <c r="PMM21" s="1280"/>
      <c r="PMN21" s="1280"/>
      <c r="PMO21" s="1280"/>
      <c r="PMP21" s="1280"/>
      <c r="PMQ21" s="1280"/>
      <c r="PMR21" s="1280"/>
      <c r="PMS21" s="1280"/>
      <c r="PMT21" s="1280"/>
      <c r="PMU21" s="1280"/>
      <c r="PMV21" s="1280"/>
      <c r="PMW21" s="1280"/>
      <c r="PMX21" s="1280"/>
      <c r="PMY21" s="1280"/>
      <c r="PMZ21" s="1280"/>
      <c r="PNA21" s="1280"/>
      <c r="PNB21" s="1280"/>
      <c r="PNC21" s="1280"/>
      <c r="PND21" s="1280"/>
      <c r="PNE21" s="1280"/>
      <c r="PNF21" s="1280"/>
      <c r="PNG21" s="1280"/>
      <c r="PNH21" s="1280"/>
      <c r="PNI21" s="1280"/>
      <c r="PNJ21" s="1280"/>
      <c r="PNK21" s="1280"/>
      <c r="PNL21" s="1280"/>
      <c r="PNM21" s="1280"/>
      <c r="PNN21" s="1280"/>
      <c r="PNO21" s="1280"/>
      <c r="PNP21" s="1280"/>
      <c r="PNQ21" s="1280"/>
      <c r="PNR21" s="1280"/>
      <c r="PNS21" s="1280"/>
      <c r="PNT21" s="1280"/>
      <c r="PNU21" s="1280"/>
      <c r="PNV21" s="1280"/>
      <c r="PNW21" s="1280"/>
      <c r="PNX21" s="1280"/>
      <c r="PNY21" s="1280"/>
      <c r="PNZ21" s="1280"/>
      <c r="POA21" s="1280"/>
      <c r="POB21" s="1280"/>
      <c r="POC21" s="1280"/>
      <c r="POD21" s="1280"/>
      <c r="POE21" s="1280"/>
      <c r="POF21" s="1280"/>
      <c r="POG21" s="1280"/>
      <c r="POH21" s="1280"/>
      <c r="POI21" s="1280"/>
      <c r="POJ21" s="1280"/>
      <c r="POK21" s="1280"/>
      <c r="POL21" s="1280"/>
      <c r="POM21" s="1280"/>
      <c r="PON21" s="1280"/>
      <c r="POO21" s="1280"/>
      <c r="POP21" s="1280"/>
      <c r="POQ21" s="1280"/>
      <c r="POR21" s="1280"/>
      <c r="POS21" s="1280"/>
      <c r="POT21" s="1280"/>
      <c r="POU21" s="1280"/>
      <c r="POV21" s="1280"/>
      <c r="POW21" s="1280"/>
      <c r="POX21" s="1280"/>
      <c r="POY21" s="1280"/>
      <c r="POZ21" s="1280"/>
      <c r="PPA21" s="1280"/>
      <c r="PPB21" s="1280"/>
      <c r="PPC21" s="1280"/>
      <c r="PPD21" s="1280"/>
      <c r="PPE21" s="1280"/>
      <c r="PPF21" s="1280"/>
      <c r="PPG21" s="1280"/>
      <c r="PPH21" s="1280"/>
      <c r="PPI21" s="1280"/>
      <c r="PPJ21" s="1280"/>
      <c r="PPK21" s="1280"/>
      <c r="PPL21" s="1280"/>
      <c r="PPM21" s="1280"/>
      <c r="PPN21" s="1280"/>
      <c r="PPO21" s="1280"/>
      <c r="PPP21" s="1280"/>
      <c r="PPQ21" s="1280"/>
      <c r="PPR21" s="1280"/>
      <c r="PPS21" s="1280"/>
      <c r="PPT21" s="1280"/>
      <c r="PPU21" s="1280"/>
      <c r="PPV21" s="1280"/>
      <c r="PPW21" s="1280"/>
      <c r="PPX21" s="1280"/>
      <c r="PPY21" s="1280"/>
      <c r="PPZ21" s="1280"/>
      <c r="PQA21" s="1280"/>
      <c r="PQB21" s="1280"/>
      <c r="PQC21" s="1280"/>
      <c r="PQD21" s="1280"/>
      <c r="PQE21" s="1280"/>
      <c r="PQF21" s="1280"/>
      <c r="PQG21" s="1280"/>
      <c r="PQH21" s="1280"/>
      <c r="PQI21" s="1280"/>
      <c r="PQJ21" s="1280"/>
      <c r="PQK21" s="1280"/>
      <c r="PQL21" s="1280"/>
      <c r="PQM21" s="1280"/>
      <c r="PQN21" s="1280"/>
      <c r="PQO21" s="1280"/>
      <c r="PQP21" s="1280"/>
      <c r="PQQ21" s="1280"/>
      <c r="PQR21" s="1280"/>
      <c r="PQS21" s="1280"/>
      <c r="PQT21" s="1280"/>
      <c r="PQU21" s="1280"/>
      <c r="PQV21" s="1280"/>
      <c r="PQW21" s="1280"/>
      <c r="PQX21" s="1280"/>
      <c r="PQY21" s="1280"/>
      <c r="PQZ21" s="1280"/>
      <c r="PRA21" s="1280"/>
      <c r="PRB21" s="1280"/>
      <c r="PRC21" s="1280"/>
      <c r="PRD21" s="1280"/>
      <c r="PRE21" s="1280"/>
      <c r="PRF21" s="1280"/>
      <c r="PRG21" s="1280"/>
      <c r="PRH21" s="1280"/>
      <c r="PRI21" s="1280"/>
      <c r="PRJ21" s="1280"/>
      <c r="PRK21" s="1280"/>
      <c r="PRL21" s="1280"/>
      <c r="PRM21" s="1280"/>
      <c r="PRN21" s="1280"/>
      <c r="PRO21" s="1280"/>
      <c r="PRP21" s="1280"/>
      <c r="PRQ21" s="1280"/>
      <c r="PRR21" s="1280"/>
      <c r="PRS21" s="1280"/>
      <c r="PRT21" s="1280"/>
      <c r="PRU21" s="1280"/>
      <c r="PRV21" s="1280"/>
      <c r="PRW21" s="1280"/>
      <c r="PRX21" s="1280"/>
      <c r="PRY21" s="1280"/>
      <c r="PRZ21" s="1280"/>
      <c r="PSA21" s="1280"/>
      <c r="PSB21" s="1280"/>
      <c r="PSC21" s="1280"/>
      <c r="PSD21" s="1280"/>
      <c r="PSE21" s="1280"/>
      <c r="PSF21" s="1280"/>
      <c r="PSG21" s="1280"/>
      <c r="PSH21" s="1280"/>
      <c r="PSI21" s="1280"/>
      <c r="PSJ21" s="1280"/>
      <c r="PSK21" s="1280"/>
      <c r="PSL21" s="1280"/>
      <c r="PSM21" s="1280"/>
      <c r="PSN21" s="1280"/>
      <c r="PSO21" s="1280"/>
      <c r="PSP21" s="1280"/>
      <c r="PSQ21" s="1280"/>
      <c r="PSR21" s="1280"/>
      <c r="PSS21" s="1280"/>
      <c r="PST21" s="1280"/>
      <c r="PSU21" s="1280"/>
      <c r="PSV21" s="1280"/>
      <c r="PSW21" s="1280"/>
      <c r="PSX21" s="1280"/>
      <c r="PSY21" s="1280"/>
      <c r="PSZ21" s="1280"/>
      <c r="PTA21" s="1280"/>
      <c r="PTB21" s="1280"/>
      <c r="PTC21" s="1280"/>
      <c r="PTD21" s="1280"/>
      <c r="PTE21" s="1280"/>
      <c r="PTF21" s="1280"/>
      <c r="PTG21" s="1280"/>
      <c r="PTH21" s="1280"/>
      <c r="PTI21" s="1280"/>
      <c r="PTJ21" s="1280"/>
      <c r="PTK21" s="1280"/>
      <c r="PTL21" s="1280"/>
      <c r="PTM21" s="1280"/>
      <c r="PTN21" s="1280"/>
      <c r="PTO21" s="1280"/>
      <c r="PTP21" s="1280"/>
      <c r="PTQ21" s="1280"/>
      <c r="PTR21" s="1280"/>
      <c r="PTS21" s="1280"/>
      <c r="PTT21" s="1280"/>
      <c r="PTU21" s="1280"/>
      <c r="PTV21" s="1280"/>
      <c r="PTW21" s="1280"/>
      <c r="PTX21" s="1280"/>
      <c r="PTY21" s="1280"/>
      <c r="PTZ21" s="1280"/>
      <c r="PUA21" s="1280"/>
      <c r="PUB21" s="1280"/>
      <c r="PUC21" s="1280"/>
      <c r="PUD21" s="1280"/>
      <c r="PUE21" s="1280"/>
      <c r="PUF21" s="1280"/>
      <c r="PUG21" s="1280"/>
      <c r="PUH21" s="1280"/>
      <c r="PUI21" s="1280"/>
      <c r="PUJ21" s="1280"/>
      <c r="PUK21" s="1280"/>
      <c r="PUL21" s="1280"/>
      <c r="PUM21" s="1280"/>
      <c r="PUN21" s="1280"/>
      <c r="PUO21" s="1280"/>
      <c r="PUP21" s="1280"/>
      <c r="PUQ21" s="1280"/>
      <c r="PUR21" s="1280"/>
      <c r="PUS21" s="1280"/>
      <c r="PUT21" s="1280"/>
      <c r="PUU21" s="1280"/>
      <c r="PUV21" s="1280"/>
      <c r="PUW21" s="1280"/>
      <c r="PUX21" s="1280"/>
      <c r="PUY21" s="1280"/>
      <c r="PUZ21" s="1280"/>
      <c r="PVA21" s="1280"/>
      <c r="PVB21" s="1280"/>
      <c r="PVC21" s="1280"/>
      <c r="PVD21" s="1280"/>
      <c r="PVE21" s="1280"/>
      <c r="PVF21" s="1280"/>
      <c r="PVG21" s="1280"/>
      <c r="PVH21" s="1280"/>
      <c r="PVI21" s="1280"/>
      <c r="PVJ21" s="1280"/>
      <c r="PVK21" s="1280"/>
      <c r="PVL21" s="1280"/>
      <c r="PVM21" s="1280"/>
      <c r="PVN21" s="1280"/>
      <c r="PVO21" s="1280"/>
      <c r="PVP21" s="1280"/>
      <c r="PVQ21" s="1280"/>
      <c r="PVR21" s="1280"/>
      <c r="PVS21" s="1280"/>
      <c r="PVT21" s="1280"/>
      <c r="PVU21" s="1280"/>
      <c r="PVV21" s="1280"/>
      <c r="PVW21" s="1280"/>
      <c r="PVX21" s="1280"/>
      <c r="PVY21" s="1280"/>
      <c r="PVZ21" s="1280"/>
      <c r="PWA21" s="1280"/>
      <c r="PWB21" s="1280"/>
      <c r="PWC21" s="1280"/>
      <c r="PWD21" s="1280"/>
      <c r="PWE21" s="1280"/>
      <c r="PWF21" s="1280"/>
      <c r="PWG21" s="1280"/>
      <c r="PWH21" s="1280"/>
      <c r="PWI21" s="1280"/>
      <c r="PWJ21" s="1280"/>
      <c r="PWK21" s="1280"/>
      <c r="PWL21" s="1280"/>
      <c r="PWM21" s="1280"/>
      <c r="PWN21" s="1280"/>
      <c r="PWO21" s="1280"/>
      <c r="PWP21" s="1280"/>
      <c r="PWQ21" s="1280"/>
      <c r="PWR21" s="1280"/>
      <c r="PWS21" s="1280"/>
      <c r="PWT21" s="1280"/>
      <c r="PWU21" s="1280"/>
      <c r="PWV21" s="1280"/>
      <c r="PWW21" s="1280"/>
      <c r="PWX21" s="1280"/>
      <c r="PWY21" s="1280"/>
      <c r="PWZ21" s="1280"/>
      <c r="PXA21" s="1280"/>
      <c r="PXB21" s="1280"/>
      <c r="PXC21" s="1280"/>
      <c r="PXD21" s="1280"/>
      <c r="PXE21" s="1280"/>
      <c r="PXF21" s="1280"/>
      <c r="PXG21" s="1280"/>
      <c r="PXH21" s="1280"/>
      <c r="PXI21" s="1280"/>
      <c r="PXJ21" s="1280"/>
      <c r="PXK21" s="1280"/>
      <c r="PXL21" s="1280"/>
      <c r="PXM21" s="1280"/>
      <c r="PXN21" s="1280"/>
      <c r="PXO21" s="1280"/>
      <c r="PXP21" s="1280"/>
      <c r="PXQ21" s="1280"/>
      <c r="PXR21" s="1280"/>
      <c r="PXS21" s="1280"/>
      <c r="PXT21" s="1280"/>
      <c r="PXU21" s="1280"/>
      <c r="PXV21" s="1280"/>
      <c r="PXW21" s="1280"/>
      <c r="PXX21" s="1280"/>
      <c r="PXY21" s="1280"/>
      <c r="PXZ21" s="1280"/>
      <c r="PYA21" s="1280"/>
      <c r="PYB21" s="1280"/>
      <c r="PYC21" s="1280"/>
      <c r="PYD21" s="1280"/>
      <c r="PYE21" s="1280"/>
      <c r="PYF21" s="1280"/>
      <c r="PYG21" s="1280"/>
      <c r="PYH21" s="1280"/>
      <c r="PYI21" s="1280"/>
      <c r="PYJ21" s="1280"/>
      <c r="PYK21" s="1280"/>
      <c r="PYL21" s="1280"/>
      <c r="PYM21" s="1280"/>
      <c r="PYN21" s="1280"/>
      <c r="PYO21" s="1280"/>
      <c r="PYP21" s="1280"/>
      <c r="PYQ21" s="1280"/>
      <c r="PYR21" s="1280"/>
      <c r="PYS21" s="1280"/>
      <c r="PYT21" s="1280"/>
      <c r="PYU21" s="1280"/>
      <c r="PYV21" s="1280"/>
      <c r="PYW21" s="1280"/>
      <c r="PYX21" s="1280"/>
      <c r="PYY21" s="1280"/>
      <c r="PYZ21" s="1280"/>
      <c r="PZA21" s="1280"/>
      <c r="PZB21" s="1280"/>
      <c r="PZC21" s="1280"/>
      <c r="PZD21" s="1280"/>
      <c r="PZE21" s="1280"/>
      <c r="PZF21" s="1280"/>
      <c r="PZG21" s="1280"/>
      <c r="PZH21" s="1280"/>
      <c r="PZI21" s="1280"/>
      <c r="PZJ21" s="1280"/>
      <c r="PZK21" s="1280"/>
      <c r="PZL21" s="1280"/>
      <c r="PZM21" s="1280"/>
      <c r="PZN21" s="1280"/>
      <c r="PZO21" s="1280"/>
      <c r="PZP21" s="1280"/>
      <c r="PZQ21" s="1280"/>
      <c r="PZR21" s="1280"/>
      <c r="PZS21" s="1280"/>
      <c r="PZT21" s="1280"/>
      <c r="PZU21" s="1280"/>
      <c r="PZV21" s="1280"/>
      <c r="PZW21" s="1280"/>
      <c r="PZX21" s="1280"/>
      <c r="PZY21" s="1280"/>
      <c r="PZZ21" s="1280"/>
      <c r="QAA21" s="1280"/>
      <c r="QAB21" s="1280"/>
      <c r="QAC21" s="1280"/>
      <c r="QAD21" s="1280"/>
      <c r="QAE21" s="1280"/>
      <c r="QAF21" s="1280"/>
      <c r="QAG21" s="1280"/>
      <c r="QAH21" s="1280"/>
      <c r="QAI21" s="1280"/>
      <c r="QAJ21" s="1280"/>
      <c r="QAK21" s="1280"/>
      <c r="QAL21" s="1280"/>
      <c r="QAM21" s="1280"/>
      <c r="QAN21" s="1280"/>
      <c r="QAO21" s="1280"/>
      <c r="QAP21" s="1280"/>
      <c r="QAQ21" s="1280"/>
      <c r="QAR21" s="1280"/>
      <c r="QAS21" s="1280"/>
      <c r="QAT21" s="1280"/>
      <c r="QAU21" s="1280"/>
      <c r="QAV21" s="1280"/>
      <c r="QAW21" s="1280"/>
      <c r="QAX21" s="1280"/>
      <c r="QAY21" s="1280"/>
      <c r="QAZ21" s="1280"/>
      <c r="QBA21" s="1280"/>
      <c r="QBB21" s="1280"/>
      <c r="QBC21" s="1280"/>
      <c r="QBD21" s="1280"/>
      <c r="QBE21" s="1280"/>
      <c r="QBF21" s="1280"/>
      <c r="QBG21" s="1280"/>
      <c r="QBH21" s="1280"/>
      <c r="QBI21" s="1280"/>
      <c r="QBJ21" s="1280"/>
      <c r="QBK21" s="1280"/>
      <c r="QBL21" s="1280"/>
      <c r="QBM21" s="1280"/>
      <c r="QBN21" s="1280"/>
      <c r="QBO21" s="1280"/>
      <c r="QBP21" s="1280"/>
      <c r="QBQ21" s="1280"/>
      <c r="QBR21" s="1280"/>
      <c r="QBS21" s="1280"/>
      <c r="QBT21" s="1280"/>
      <c r="QBU21" s="1280"/>
      <c r="QBV21" s="1280"/>
      <c r="QBW21" s="1280"/>
      <c r="QBX21" s="1280"/>
      <c r="QBY21" s="1280"/>
      <c r="QBZ21" s="1280"/>
      <c r="QCA21" s="1280"/>
      <c r="QCB21" s="1280"/>
      <c r="QCC21" s="1280"/>
      <c r="QCD21" s="1280"/>
      <c r="QCE21" s="1280"/>
      <c r="QCF21" s="1280"/>
      <c r="QCG21" s="1280"/>
      <c r="QCH21" s="1280"/>
      <c r="QCI21" s="1280"/>
      <c r="QCJ21" s="1280"/>
      <c r="QCK21" s="1280"/>
      <c r="QCL21" s="1280"/>
      <c r="QCM21" s="1280"/>
      <c r="QCN21" s="1280"/>
      <c r="QCO21" s="1280"/>
      <c r="QCP21" s="1280"/>
      <c r="QCQ21" s="1280"/>
      <c r="QCR21" s="1280"/>
      <c r="QCS21" s="1280"/>
      <c r="QCT21" s="1280"/>
      <c r="QCU21" s="1280"/>
      <c r="QCV21" s="1280"/>
      <c r="QCW21" s="1280"/>
      <c r="QCX21" s="1280"/>
      <c r="QCY21" s="1280"/>
      <c r="QCZ21" s="1280"/>
      <c r="QDA21" s="1280"/>
      <c r="QDB21" s="1280"/>
      <c r="QDC21" s="1280"/>
      <c r="QDD21" s="1280"/>
      <c r="QDE21" s="1280"/>
      <c r="QDF21" s="1280"/>
      <c r="QDG21" s="1280"/>
      <c r="QDH21" s="1280"/>
      <c r="QDI21" s="1280"/>
      <c r="QDJ21" s="1280"/>
      <c r="QDK21" s="1280"/>
      <c r="QDL21" s="1280"/>
      <c r="QDM21" s="1280"/>
      <c r="QDN21" s="1280"/>
      <c r="QDO21" s="1280"/>
      <c r="QDP21" s="1280"/>
      <c r="QDQ21" s="1280"/>
      <c r="QDR21" s="1280"/>
      <c r="QDS21" s="1280"/>
      <c r="QDT21" s="1280"/>
      <c r="QDU21" s="1280"/>
      <c r="QDV21" s="1280"/>
      <c r="QDW21" s="1280"/>
      <c r="QDX21" s="1280"/>
      <c r="QDY21" s="1280"/>
      <c r="QDZ21" s="1280"/>
      <c r="QEA21" s="1280"/>
      <c r="QEB21" s="1280"/>
      <c r="QEC21" s="1280"/>
      <c r="QED21" s="1280"/>
      <c r="QEE21" s="1280"/>
      <c r="QEF21" s="1280"/>
      <c r="QEG21" s="1280"/>
      <c r="QEH21" s="1280"/>
      <c r="QEI21" s="1280"/>
      <c r="QEJ21" s="1280"/>
      <c r="QEK21" s="1280"/>
      <c r="QEL21" s="1280"/>
      <c r="QEM21" s="1280"/>
      <c r="QEN21" s="1280"/>
      <c r="QEO21" s="1280"/>
      <c r="QEP21" s="1280"/>
      <c r="QEQ21" s="1280"/>
      <c r="QER21" s="1280"/>
      <c r="QES21" s="1280"/>
      <c r="QET21" s="1280"/>
      <c r="QEU21" s="1280"/>
      <c r="QEV21" s="1280"/>
      <c r="QEW21" s="1280"/>
      <c r="QEX21" s="1280"/>
      <c r="QEY21" s="1280"/>
      <c r="QEZ21" s="1280"/>
      <c r="QFA21" s="1280"/>
      <c r="QFB21" s="1280"/>
      <c r="QFC21" s="1280"/>
      <c r="QFD21" s="1280"/>
      <c r="QFE21" s="1280"/>
      <c r="QFF21" s="1280"/>
      <c r="QFG21" s="1280"/>
      <c r="QFH21" s="1280"/>
      <c r="QFI21" s="1280"/>
      <c r="QFJ21" s="1280"/>
      <c r="QFK21" s="1280"/>
      <c r="QFL21" s="1280"/>
      <c r="QFM21" s="1280"/>
      <c r="QFN21" s="1280"/>
      <c r="QFO21" s="1280"/>
      <c r="QFP21" s="1280"/>
      <c r="QFQ21" s="1280"/>
      <c r="QFR21" s="1280"/>
      <c r="QFS21" s="1280"/>
      <c r="QFT21" s="1280"/>
      <c r="QFU21" s="1280"/>
      <c r="QFV21" s="1280"/>
      <c r="QFW21" s="1280"/>
      <c r="QFX21" s="1280"/>
      <c r="QFY21" s="1280"/>
      <c r="QFZ21" s="1280"/>
      <c r="QGA21" s="1280"/>
      <c r="QGB21" s="1280"/>
      <c r="QGC21" s="1280"/>
      <c r="QGD21" s="1280"/>
      <c r="QGE21" s="1280"/>
      <c r="QGF21" s="1280"/>
      <c r="QGG21" s="1280"/>
      <c r="QGH21" s="1280"/>
      <c r="QGI21" s="1280"/>
      <c r="QGJ21" s="1280"/>
      <c r="QGK21" s="1280"/>
      <c r="QGL21" s="1280"/>
      <c r="QGM21" s="1280"/>
      <c r="QGN21" s="1280"/>
      <c r="QGO21" s="1280"/>
      <c r="QGP21" s="1280"/>
      <c r="QGQ21" s="1280"/>
      <c r="QGR21" s="1280"/>
      <c r="QGS21" s="1280"/>
      <c r="QGT21" s="1280"/>
      <c r="QGU21" s="1280"/>
      <c r="QGV21" s="1280"/>
      <c r="QGW21" s="1280"/>
      <c r="QGX21" s="1280"/>
      <c r="QGY21" s="1280"/>
      <c r="QGZ21" s="1280"/>
      <c r="QHA21" s="1280"/>
      <c r="QHB21" s="1280"/>
      <c r="QHC21" s="1280"/>
      <c r="QHD21" s="1280"/>
      <c r="QHE21" s="1280"/>
      <c r="QHF21" s="1280"/>
      <c r="QHG21" s="1280"/>
      <c r="QHH21" s="1280"/>
      <c r="QHI21" s="1280"/>
      <c r="QHJ21" s="1280"/>
      <c r="QHK21" s="1280"/>
      <c r="QHL21" s="1280"/>
      <c r="QHM21" s="1280"/>
      <c r="QHN21" s="1280"/>
      <c r="QHO21" s="1280"/>
      <c r="QHP21" s="1280"/>
      <c r="QHQ21" s="1280"/>
      <c r="QHR21" s="1280"/>
      <c r="QHS21" s="1280"/>
      <c r="QHT21" s="1280"/>
      <c r="QHU21" s="1280"/>
      <c r="QHV21" s="1280"/>
      <c r="QHW21" s="1280"/>
      <c r="QHX21" s="1280"/>
      <c r="QHY21" s="1280"/>
      <c r="QHZ21" s="1280"/>
      <c r="QIA21" s="1280"/>
      <c r="QIB21" s="1280"/>
      <c r="QIC21" s="1280"/>
      <c r="QID21" s="1280"/>
      <c r="QIE21" s="1280"/>
      <c r="QIF21" s="1280"/>
      <c r="QIG21" s="1280"/>
      <c r="QIH21" s="1280"/>
      <c r="QII21" s="1280"/>
      <c r="QIJ21" s="1280"/>
      <c r="QIK21" s="1280"/>
      <c r="QIL21" s="1280"/>
      <c r="QIM21" s="1280"/>
      <c r="QIN21" s="1280"/>
      <c r="QIO21" s="1280"/>
      <c r="QIP21" s="1280"/>
      <c r="QIQ21" s="1280"/>
      <c r="QIR21" s="1280"/>
      <c r="QIS21" s="1280"/>
      <c r="QIT21" s="1280"/>
      <c r="QIU21" s="1280"/>
      <c r="QIV21" s="1280"/>
      <c r="QIW21" s="1280"/>
      <c r="QIX21" s="1280"/>
      <c r="QIY21" s="1280"/>
      <c r="QIZ21" s="1280"/>
      <c r="QJA21" s="1280"/>
      <c r="QJB21" s="1280"/>
      <c r="QJC21" s="1280"/>
      <c r="QJD21" s="1280"/>
      <c r="QJE21" s="1280"/>
      <c r="QJF21" s="1280"/>
      <c r="QJG21" s="1280"/>
      <c r="QJH21" s="1280"/>
      <c r="QJI21" s="1280"/>
      <c r="QJJ21" s="1280"/>
      <c r="QJK21" s="1280"/>
      <c r="QJL21" s="1280"/>
      <c r="QJM21" s="1280"/>
      <c r="QJN21" s="1280"/>
      <c r="QJO21" s="1280"/>
      <c r="QJP21" s="1280"/>
      <c r="QJQ21" s="1280"/>
      <c r="QJR21" s="1280"/>
      <c r="QJS21" s="1280"/>
      <c r="QJT21" s="1280"/>
      <c r="QJU21" s="1280"/>
      <c r="QJV21" s="1280"/>
      <c r="QJW21" s="1280"/>
      <c r="QJX21" s="1280"/>
      <c r="QJY21" s="1280"/>
      <c r="QJZ21" s="1280"/>
      <c r="QKA21" s="1280"/>
      <c r="QKB21" s="1280"/>
      <c r="QKC21" s="1280"/>
      <c r="QKD21" s="1280"/>
      <c r="QKE21" s="1280"/>
      <c r="QKF21" s="1280"/>
      <c r="QKG21" s="1280"/>
      <c r="QKH21" s="1280"/>
      <c r="QKI21" s="1280"/>
      <c r="QKJ21" s="1280"/>
      <c r="QKK21" s="1280"/>
      <c r="QKL21" s="1280"/>
      <c r="QKM21" s="1280"/>
      <c r="QKN21" s="1280"/>
      <c r="QKO21" s="1280"/>
      <c r="QKP21" s="1280"/>
      <c r="QKQ21" s="1280"/>
      <c r="QKR21" s="1280"/>
      <c r="QKS21" s="1280"/>
      <c r="QKT21" s="1280"/>
      <c r="QKU21" s="1280"/>
      <c r="QKV21" s="1280"/>
      <c r="QKW21" s="1280"/>
      <c r="QKX21" s="1280"/>
      <c r="QKY21" s="1280"/>
      <c r="QKZ21" s="1280"/>
      <c r="QLA21" s="1280"/>
      <c r="QLB21" s="1280"/>
      <c r="QLC21" s="1280"/>
      <c r="QLD21" s="1280"/>
      <c r="QLE21" s="1280"/>
      <c r="QLF21" s="1280"/>
      <c r="QLG21" s="1280"/>
      <c r="QLH21" s="1280"/>
      <c r="QLI21" s="1280"/>
      <c r="QLJ21" s="1280"/>
      <c r="QLK21" s="1280"/>
      <c r="QLL21" s="1280"/>
      <c r="QLM21" s="1280"/>
      <c r="QLN21" s="1280"/>
      <c r="QLO21" s="1280"/>
      <c r="QLP21" s="1280"/>
      <c r="QLQ21" s="1280"/>
      <c r="QLR21" s="1280"/>
      <c r="QLS21" s="1280"/>
      <c r="QLT21" s="1280"/>
      <c r="QLU21" s="1280"/>
      <c r="QLV21" s="1280"/>
      <c r="QLW21" s="1280"/>
      <c r="QLX21" s="1280"/>
      <c r="QLY21" s="1280"/>
      <c r="QLZ21" s="1280"/>
      <c r="QMA21" s="1280"/>
      <c r="QMB21" s="1280"/>
      <c r="QMC21" s="1280"/>
      <c r="QMD21" s="1280"/>
      <c r="QME21" s="1280"/>
      <c r="QMF21" s="1280"/>
      <c r="QMG21" s="1280"/>
      <c r="QMH21" s="1280"/>
      <c r="QMI21" s="1280"/>
      <c r="QMJ21" s="1280"/>
      <c r="QMK21" s="1280"/>
      <c r="QML21" s="1280"/>
      <c r="QMM21" s="1280"/>
      <c r="QMN21" s="1280"/>
      <c r="QMO21" s="1280"/>
      <c r="QMP21" s="1280"/>
      <c r="QMQ21" s="1280"/>
      <c r="QMR21" s="1280"/>
      <c r="QMS21" s="1280"/>
      <c r="QMT21" s="1280"/>
      <c r="QMU21" s="1280"/>
      <c r="QMV21" s="1280"/>
      <c r="QMW21" s="1280"/>
      <c r="QMX21" s="1280"/>
      <c r="QMY21" s="1280"/>
      <c r="QMZ21" s="1280"/>
      <c r="QNA21" s="1280"/>
      <c r="QNB21" s="1280"/>
      <c r="QNC21" s="1280"/>
      <c r="QND21" s="1280"/>
      <c r="QNE21" s="1280"/>
      <c r="QNF21" s="1280"/>
      <c r="QNG21" s="1280"/>
      <c r="QNH21" s="1280"/>
      <c r="QNI21" s="1280"/>
      <c r="QNJ21" s="1280"/>
      <c r="QNK21" s="1280"/>
      <c r="QNL21" s="1280"/>
      <c r="QNM21" s="1280"/>
      <c r="QNN21" s="1280"/>
      <c r="QNO21" s="1280"/>
      <c r="QNP21" s="1280"/>
      <c r="QNQ21" s="1280"/>
      <c r="QNR21" s="1280"/>
      <c r="QNS21" s="1280"/>
      <c r="QNT21" s="1280"/>
      <c r="QNU21" s="1280"/>
      <c r="QNV21" s="1280"/>
      <c r="QNW21" s="1280"/>
      <c r="QNX21" s="1280"/>
      <c r="QNY21" s="1280"/>
      <c r="QNZ21" s="1280"/>
      <c r="QOA21" s="1280"/>
      <c r="QOB21" s="1280"/>
      <c r="QOC21" s="1280"/>
      <c r="QOD21" s="1280"/>
      <c r="QOE21" s="1280"/>
      <c r="QOF21" s="1280"/>
      <c r="QOG21" s="1280"/>
      <c r="QOH21" s="1280"/>
      <c r="QOI21" s="1280"/>
      <c r="QOJ21" s="1280"/>
      <c r="QOK21" s="1280"/>
      <c r="QOL21" s="1280"/>
      <c r="QOM21" s="1280"/>
      <c r="QON21" s="1280"/>
      <c r="QOO21" s="1280"/>
      <c r="QOP21" s="1280"/>
      <c r="QOQ21" s="1280"/>
      <c r="QOR21" s="1280"/>
      <c r="QOS21" s="1280"/>
      <c r="QOT21" s="1280"/>
      <c r="QOU21" s="1280"/>
      <c r="QOV21" s="1280"/>
      <c r="QOW21" s="1280"/>
      <c r="QOX21" s="1280"/>
      <c r="QOY21" s="1280"/>
      <c r="QOZ21" s="1280"/>
      <c r="QPA21" s="1280"/>
      <c r="QPB21" s="1280"/>
      <c r="QPC21" s="1280"/>
      <c r="QPD21" s="1280"/>
      <c r="QPE21" s="1280"/>
      <c r="QPF21" s="1280"/>
      <c r="QPG21" s="1280"/>
      <c r="QPH21" s="1280"/>
      <c r="QPI21" s="1280"/>
      <c r="QPJ21" s="1280"/>
      <c r="QPK21" s="1280"/>
      <c r="QPL21" s="1280"/>
      <c r="QPM21" s="1280"/>
      <c r="QPN21" s="1280"/>
      <c r="QPO21" s="1280"/>
      <c r="QPP21" s="1280"/>
      <c r="QPQ21" s="1280"/>
      <c r="QPR21" s="1280"/>
      <c r="QPS21" s="1280"/>
      <c r="QPT21" s="1280"/>
      <c r="QPU21" s="1280"/>
      <c r="QPV21" s="1280"/>
      <c r="QPW21" s="1280"/>
      <c r="QPX21" s="1280"/>
      <c r="QPY21" s="1280"/>
      <c r="QPZ21" s="1280"/>
      <c r="QQA21" s="1280"/>
      <c r="QQB21" s="1280"/>
      <c r="QQC21" s="1280"/>
      <c r="QQD21" s="1280"/>
      <c r="QQE21" s="1280"/>
      <c r="QQF21" s="1280"/>
      <c r="QQG21" s="1280"/>
      <c r="QQH21" s="1280"/>
      <c r="QQI21" s="1280"/>
      <c r="QQJ21" s="1280"/>
      <c r="QQK21" s="1280"/>
      <c r="QQL21" s="1280"/>
      <c r="QQM21" s="1280"/>
      <c r="QQN21" s="1280"/>
      <c r="QQO21" s="1280"/>
      <c r="QQP21" s="1280"/>
      <c r="QQQ21" s="1280"/>
      <c r="QQR21" s="1280"/>
      <c r="QQS21" s="1280"/>
      <c r="QQT21" s="1280"/>
      <c r="QQU21" s="1280"/>
      <c r="QQV21" s="1280"/>
      <c r="QQW21" s="1280"/>
      <c r="QQX21" s="1280"/>
      <c r="QQY21" s="1280"/>
      <c r="QQZ21" s="1280"/>
      <c r="QRA21" s="1280"/>
      <c r="QRB21" s="1280"/>
      <c r="QRC21" s="1280"/>
      <c r="QRD21" s="1280"/>
      <c r="QRE21" s="1280"/>
      <c r="QRF21" s="1280"/>
      <c r="QRG21" s="1280"/>
      <c r="QRH21" s="1280"/>
      <c r="QRI21" s="1280"/>
      <c r="QRJ21" s="1280"/>
      <c r="QRK21" s="1280"/>
      <c r="QRL21" s="1280"/>
      <c r="QRM21" s="1280"/>
      <c r="QRN21" s="1280"/>
      <c r="QRO21" s="1280"/>
      <c r="QRP21" s="1280"/>
      <c r="QRQ21" s="1280"/>
      <c r="QRR21" s="1280"/>
      <c r="QRS21" s="1280"/>
      <c r="QRT21" s="1280"/>
      <c r="QRU21" s="1280"/>
      <c r="QRV21" s="1280"/>
      <c r="QRW21" s="1280"/>
      <c r="QRX21" s="1280"/>
      <c r="QRY21" s="1280"/>
      <c r="QRZ21" s="1280"/>
      <c r="QSA21" s="1280"/>
      <c r="QSB21" s="1280"/>
      <c r="QSC21" s="1280"/>
      <c r="QSD21" s="1280"/>
      <c r="QSE21" s="1280"/>
      <c r="QSF21" s="1280"/>
      <c r="QSG21" s="1280"/>
      <c r="QSH21" s="1280"/>
      <c r="QSI21" s="1280"/>
      <c r="QSJ21" s="1280"/>
      <c r="QSK21" s="1280"/>
      <c r="QSL21" s="1280"/>
      <c r="QSM21" s="1280"/>
      <c r="QSN21" s="1280"/>
      <c r="QSO21" s="1280"/>
      <c r="QSP21" s="1280"/>
      <c r="QSQ21" s="1280"/>
      <c r="QSR21" s="1280"/>
      <c r="QSS21" s="1280"/>
      <c r="QST21" s="1280"/>
      <c r="QSU21" s="1280"/>
      <c r="QSV21" s="1280"/>
      <c r="QSW21" s="1280"/>
      <c r="QSX21" s="1280"/>
      <c r="QSY21" s="1280"/>
      <c r="QSZ21" s="1280"/>
      <c r="QTA21" s="1280"/>
      <c r="QTB21" s="1280"/>
      <c r="QTC21" s="1280"/>
      <c r="QTD21" s="1280"/>
      <c r="QTE21" s="1280"/>
      <c r="QTF21" s="1280"/>
      <c r="QTG21" s="1280"/>
      <c r="QTH21" s="1280"/>
      <c r="QTI21" s="1280"/>
      <c r="QTJ21" s="1280"/>
      <c r="QTK21" s="1280"/>
      <c r="QTL21" s="1280"/>
      <c r="QTM21" s="1280"/>
      <c r="QTN21" s="1280"/>
      <c r="QTO21" s="1280"/>
      <c r="QTP21" s="1280"/>
      <c r="QTQ21" s="1280"/>
      <c r="QTR21" s="1280"/>
      <c r="QTS21" s="1280"/>
      <c r="QTT21" s="1280"/>
      <c r="QTU21" s="1280"/>
      <c r="QTV21" s="1280"/>
      <c r="QTW21" s="1280"/>
      <c r="QTX21" s="1280"/>
      <c r="QTY21" s="1280"/>
      <c r="QTZ21" s="1280"/>
      <c r="QUA21" s="1280"/>
      <c r="QUB21" s="1280"/>
      <c r="QUC21" s="1280"/>
      <c r="QUD21" s="1280"/>
      <c r="QUE21" s="1280"/>
      <c r="QUF21" s="1280"/>
      <c r="QUG21" s="1280"/>
      <c r="QUH21" s="1280"/>
      <c r="QUI21" s="1280"/>
      <c r="QUJ21" s="1280"/>
      <c r="QUK21" s="1280"/>
      <c r="QUL21" s="1280"/>
      <c r="QUM21" s="1280"/>
      <c r="QUN21" s="1280"/>
      <c r="QUO21" s="1280"/>
      <c r="QUP21" s="1280"/>
      <c r="QUQ21" s="1280"/>
      <c r="QUR21" s="1280"/>
      <c r="QUS21" s="1280"/>
      <c r="QUT21" s="1280"/>
      <c r="QUU21" s="1280"/>
      <c r="QUV21" s="1280"/>
      <c r="QUW21" s="1280"/>
      <c r="QUX21" s="1280"/>
      <c r="QUY21" s="1280"/>
      <c r="QUZ21" s="1280"/>
      <c r="QVA21" s="1280"/>
      <c r="QVB21" s="1280"/>
      <c r="QVC21" s="1280"/>
      <c r="QVD21" s="1280"/>
      <c r="QVE21" s="1280"/>
      <c r="QVF21" s="1280"/>
      <c r="QVG21" s="1280"/>
      <c r="QVH21" s="1280"/>
      <c r="QVI21" s="1280"/>
      <c r="QVJ21" s="1280"/>
      <c r="QVK21" s="1280"/>
      <c r="QVL21" s="1280"/>
      <c r="QVM21" s="1280"/>
      <c r="QVN21" s="1280"/>
      <c r="QVO21" s="1280"/>
      <c r="QVP21" s="1280"/>
      <c r="QVQ21" s="1280"/>
      <c r="QVR21" s="1280"/>
      <c r="QVS21" s="1280"/>
      <c r="QVT21" s="1280"/>
      <c r="QVU21" s="1280"/>
      <c r="QVV21" s="1280"/>
      <c r="QVW21" s="1280"/>
      <c r="QVX21" s="1280"/>
      <c r="QVY21" s="1280"/>
      <c r="QVZ21" s="1280"/>
      <c r="QWA21" s="1280"/>
      <c r="QWB21" s="1280"/>
      <c r="QWC21" s="1280"/>
      <c r="QWD21" s="1280"/>
      <c r="QWE21" s="1280"/>
      <c r="QWF21" s="1280"/>
      <c r="QWG21" s="1280"/>
      <c r="QWH21" s="1280"/>
      <c r="QWI21" s="1280"/>
      <c r="QWJ21" s="1280"/>
      <c r="QWK21" s="1280"/>
      <c r="QWL21" s="1280"/>
      <c r="QWM21" s="1280"/>
      <c r="QWN21" s="1280"/>
      <c r="QWO21" s="1280"/>
      <c r="QWP21" s="1280"/>
      <c r="QWQ21" s="1280"/>
      <c r="QWR21" s="1280"/>
      <c r="QWS21" s="1280"/>
      <c r="QWT21" s="1280"/>
      <c r="QWU21" s="1280"/>
      <c r="QWV21" s="1280"/>
      <c r="QWW21" s="1280"/>
      <c r="QWX21" s="1280"/>
      <c r="QWY21" s="1280"/>
      <c r="QWZ21" s="1280"/>
      <c r="QXA21" s="1280"/>
      <c r="QXB21" s="1280"/>
      <c r="QXC21" s="1280"/>
      <c r="QXD21" s="1280"/>
      <c r="QXE21" s="1280"/>
      <c r="QXF21" s="1280"/>
      <c r="QXG21" s="1280"/>
      <c r="QXH21" s="1280"/>
      <c r="QXI21" s="1280"/>
      <c r="QXJ21" s="1280"/>
      <c r="QXK21" s="1280"/>
      <c r="QXL21" s="1280"/>
      <c r="QXM21" s="1280"/>
      <c r="QXN21" s="1280"/>
      <c r="QXO21" s="1280"/>
      <c r="QXP21" s="1280"/>
      <c r="QXQ21" s="1280"/>
      <c r="QXR21" s="1280"/>
      <c r="QXS21" s="1280"/>
      <c r="QXT21" s="1280"/>
      <c r="QXU21" s="1280"/>
      <c r="QXV21" s="1280"/>
      <c r="QXW21" s="1280"/>
      <c r="QXX21" s="1280"/>
      <c r="QXY21" s="1280"/>
      <c r="QXZ21" s="1280"/>
      <c r="QYA21" s="1280"/>
      <c r="QYB21" s="1280"/>
      <c r="QYC21" s="1280"/>
      <c r="QYD21" s="1280"/>
      <c r="QYE21" s="1280"/>
      <c r="QYF21" s="1280"/>
      <c r="QYG21" s="1280"/>
      <c r="QYH21" s="1280"/>
      <c r="QYI21" s="1280"/>
      <c r="QYJ21" s="1280"/>
      <c r="QYK21" s="1280"/>
      <c r="QYL21" s="1280"/>
      <c r="QYM21" s="1280"/>
      <c r="QYN21" s="1280"/>
      <c r="QYO21" s="1280"/>
      <c r="QYP21" s="1280"/>
      <c r="QYQ21" s="1280"/>
      <c r="QYR21" s="1280"/>
      <c r="QYS21" s="1280"/>
      <c r="QYT21" s="1280"/>
      <c r="QYU21" s="1280"/>
      <c r="QYV21" s="1280"/>
      <c r="QYW21" s="1280"/>
      <c r="QYX21" s="1280"/>
      <c r="QYY21" s="1280"/>
      <c r="QYZ21" s="1280"/>
      <c r="QZA21" s="1280"/>
      <c r="QZB21" s="1280"/>
      <c r="QZC21" s="1280"/>
      <c r="QZD21" s="1280"/>
      <c r="QZE21" s="1280"/>
      <c r="QZF21" s="1280"/>
      <c r="QZG21" s="1280"/>
      <c r="QZH21" s="1280"/>
      <c r="QZI21" s="1280"/>
      <c r="QZJ21" s="1280"/>
      <c r="QZK21" s="1280"/>
      <c r="QZL21" s="1280"/>
      <c r="QZM21" s="1280"/>
      <c r="QZN21" s="1280"/>
      <c r="QZO21" s="1280"/>
      <c r="QZP21" s="1280"/>
      <c r="QZQ21" s="1280"/>
      <c r="QZR21" s="1280"/>
      <c r="QZS21" s="1280"/>
      <c r="QZT21" s="1280"/>
      <c r="QZU21" s="1280"/>
      <c r="QZV21" s="1280"/>
      <c r="QZW21" s="1280"/>
      <c r="QZX21" s="1280"/>
      <c r="QZY21" s="1280"/>
      <c r="QZZ21" s="1280"/>
      <c r="RAA21" s="1280"/>
      <c r="RAB21" s="1280"/>
      <c r="RAC21" s="1280"/>
      <c r="RAD21" s="1280"/>
      <c r="RAE21" s="1280"/>
      <c r="RAF21" s="1280"/>
      <c r="RAG21" s="1280"/>
      <c r="RAH21" s="1280"/>
      <c r="RAI21" s="1280"/>
      <c r="RAJ21" s="1280"/>
      <c r="RAK21" s="1280"/>
      <c r="RAL21" s="1280"/>
      <c r="RAM21" s="1280"/>
      <c r="RAN21" s="1280"/>
      <c r="RAO21" s="1280"/>
      <c r="RAP21" s="1280"/>
      <c r="RAQ21" s="1280"/>
      <c r="RAR21" s="1280"/>
      <c r="RAS21" s="1280"/>
      <c r="RAT21" s="1280"/>
      <c r="RAU21" s="1280"/>
      <c r="RAV21" s="1280"/>
      <c r="RAW21" s="1280"/>
      <c r="RAX21" s="1280"/>
      <c r="RAY21" s="1280"/>
      <c r="RAZ21" s="1280"/>
      <c r="RBA21" s="1280"/>
      <c r="RBB21" s="1280"/>
      <c r="RBC21" s="1280"/>
      <c r="RBD21" s="1280"/>
      <c r="RBE21" s="1280"/>
      <c r="RBF21" s="1280"/>
      <c r="RBG21" s="1280"/>
      <c r="RBH21" s="1280"/>
      <c r="RBI21" s="1280"/>
      <c r="RBJ21" s="1280"/>
      <c r="RBK21" s="1280"/>
      <c r="RBL21" s="1280"/>
      <c r="RBM21" s="1280"/>
      <c r="RBN21" s="1280"/>
      <c r="RBO21" s="1280"/>
      <c r="RBP21" s="1280"/>
      <c r="RBQ21" s="1280"/>
      <c r="RBR21" s="1280"/>
      <c r="RBS21" s="1280"/>
      <c r="RBT21" s="1280"/>
      <c r="RBU21" s="1280"/>
      <c r="RBV21" s="1280"/>
      <c r="RBW21" s="1280"/>
      <c r="RBX21" s="1280"/>
      <c r="RBY21" s="1280"/>
      <c r="RBZ21" s="1280"/>
      <c r="RCA21" s="1280"/>
      <c r="RCB21" s="1280"/>
      <c r="RCC21" s="1280"/>
      <c r="RCD21" s="1280"/>
      <c r="RCE21" s="1280"/>
      <c r="RCF21" s="1280"/>
      <c r="RCG21" s="1280"/>
      <c r="RCH21" s="1280"/>
      <c r="RCI21" s="1280"/>
      <c r="RCJ21" s="1280"/>
      <c r="RCK21" s="1280"/>
      <c r="RCL21" s="1280"/>
      <c r="RCM21" s="1280"/>
      <c r="RCN21" s="1280"/>
      <c r="RCO21" s="1280"/>
      <c r="RCP21" s="1280"/>
      <c r="RCQ21" s="1280"/>
      <c r="RCR21" s="1280"/>
      <c r="RCS21" s="1280"/>
      <c r="RCT21" s="1280"/>
      <c r="RCU21" s="1280"/>
      <c r="RCV21" s="1280"/>
      <c r="RCW21" s="1280"/>
      <c r="RCX21" s="1280"/>
      <c r="RCY21" s="1280"/>
      <c r="RCZ21" s="1280"/>
      <c r="RDA21" s="1280"/>
      <c r="RDB21" s="1280"/>
      <c r="RDC21" s="1280"/>
      <c r="RDD21" s="1280"/>
      <c r="RDE21" s="1280"/>
      <c r="RDF21" s="1280"/>
      <c r="RDG21" s="1280"/>
      <c r="RDH21" s="1280"/>
      <c r="RDI21" s="1280"/>
      <c r="RDJ21" s="1280"/>
      <c r="RDK21" s="1280"/>
      <c r="RDL21" s="1280"/>
      <c r="RDM21" s="1280"/>
      <c r="RDN21" s="1280"/>
      <c r="RDO21" s="1280"/>
      <c r="RDP21" s="1280"/>
      <c r="RDQ21" s="1280"/>
      <c r="RDR21" s="1280"/>
      <c r="RDS21" s="1280"/>
      <c r="RDT21" s="1280"/>
      <c r="RDU21" s="1280"/>
      <c r="RDV21" s="1280"/>
      <c r="RDW21" s="1280"/>
      <c r="RDX21" s="1280"/>
      <c r="RDY21" s="1280"/>
      <c r="RDZ21" s="1280"/>
      <c r="REA21" s="1280"/>
      <c r="REB21" s="1280"/>
      <c r="REC21" s="1280"/>
      <c r="RED21" s="1280"/>
      <c r="REE21" s="1280"/>
      <c r="REF21" s="1280"/>
      <c r="REG21" s="1280"/>
      <c r="REH21" s="1280"/>
      <c r="REI21" s="1280"/>
      <c r="REJ21" s="1280"/>
      <c r="REK21" s="1280"/>
      <c r="REL21" s="1280"/>
      <c r="REM21" s="1280"/>
      <c r="REN21" s="1280"/>
      <c r="REO21" s="1280"/>
      <c r="REP21" s="1280"/>
      <c r="REQ21" s="1280"/>
      <c r="RER21" s="1280"/>
      <c r="RES21" s="1280"/>
      <c r="RET21" s="1280"/>
      <c r="REU21" s="1280"/>
      <c r="REV21" s="1280"/>
      <c r="REW21" s="1280"/>
      <c r="REX21" s="1280"/>
      <c r="REY21" s="1280"/>
      <c r="REZ21" s="1280"/>
      <c r="RFA21" s="1280"/>
      <c r="RFB21" s="1280"/>
      <c r="RFC21" s="1280"/>
      <c r="RFD21" s="1280"/>
      <c r="RFE21" s="1280"/>
      <c r="RFF21" s="1280"/>
      <c r="RFG21" s="1280"/>
      <c r="RFH21" s="1280"/>
      <c r="RFI21" s="1280"/>
      <c r="RFJ21" s="1280"/>
      <c r="RFK21" s="1280"/>
      <c r="RFL21" s="1280"/>
      <c r="RFM21" s="1280"/>
      <c r="RFN21" s="1280"/>
      <c r="RFO21" s="1280"/>
      <c r="RFP21" s="1280"/>
      <c r="RFQ21" s="1280"/>
      <c r="RFR21" s="1280"/>
      <c r="RFS21" s="1280"/>
      <c r="RFT21" s="1280"/>
      <c r="RFU21" s="1280"/>
      <c r="RFV21" s="1280"/>
      <c r="RFW21" s="1280"/>
      <c r="RFX21" s="1280"/>
      <c r="RFY21" s="1280"/>
      <c r="RFZ21" s="1280"/>
      <c r="RGA21" s="1280"/>
      <c r="RGB21" s="1280"/>
      <c r="RGC21" s="1280"/>
      <c r="RGD21" s="1280"/>
      <c r="RGE21" s="1280"/>
      <c r="RGF21" s="1280"/>
      <c r="RGG21" s="1280"/>
      <c r="RGH21" s="1280"/>
      <c r="RGI21" s="1280"/>
      <c r="RGJ21" s="1280"/>
      <c r="RGK21" s="1280"/>
      <c r="RGL21" s="1280"/>
      <c r="RGM21" s="1280"/>
      <c r="RGN21" s="1280"/>
      <c r="RGO21" s="1280"/>
      <c r="RGP21" s="1280"/>
      <c r="RGQ21" s="1280"/>
      <c r="RGR21" s="1280"/>
      <c r="RGS21" s="1280"/>
      <c r="RGT21" s="1280"/>
      <c r="RGU21" s="1280"/>
      <c r="RGV21" s="1280"/>
      <c r="RGW21" s="1280"/>
      <c r="RGX21" s="1280"/>
      <c r="RGY21" s="1280"/>
      <c r="RGZ21" s="1280"/>
      <c r="RHA21" s="1280"/>
      <c r="RHB21" s="1280"/>
      <c r="RHC21" s="1280"/>
      <c r="RHD21" s="1280"/>
      <c r="RHE21" s="1280"/>
      <c r="RHF21" s="1280"/>
      <c r="RHG21" s="1280"/>
      <c r="RHH21" s="1280"/>
      <c r="RHI21" s="1280"/>
      <c r="RHJ21" s="1280"/>
      <c r="RHK21" s="1280"/>
      <c r="RHL21" s="1280"/>
      <c r="RHM21" s="1280"/>
      <c r="RHN21" s="1280"/>
      <c r="RHO21" s="1280"/>
      <c r="RHP21" s="1280"/>
      <c r="RHQ21" s="1280"/>
      <c r="RHR21" s="1280"/>
      <c r="RHS21" s="1280"/>
      <c r="RHT21" s="1280"/>
      <c r="RHU21" s="1280"/>
      <c r="RHV21" s="1280"/>
      <c r="RHW21" s="1280"/>
      <c r="RHX21" s="1280"/>
      <c r="RHY21" s="1280"/>
      <c r="RHZ21" s="1280"/>
      <c r="RIA21" s="1280"/>
      <c r="RIB21" s="1280"/>
      <c r="RIC21" s="1280"/>
      <c r="RID21" s="1280"/>
      <c r="RIE21" s="1280"/>
      <c r="RIF21" s="1280"/>
      <c r="RIG21" s="1280"/>
      <c r="RIH21" s="1280"/>
      <c r="RII21" s="1280"/>
      <c r="RIJ21" s="1280"/>
      <c r="RIK21" s="1280"/>
      <c r="RIL21" s="1280"/>
      <c r="RIM21" s="1280"/>
      <c r="RIN21" s="1280"/>
      <c r="RIO21" s="1280"/>
      <c r="RIP21" s="1280"/>
      <c r="RIQ21" s="1280"/>
      <c r="RIR21" s="1280"/>
      <c r="RIS21" s="1280"/>
      <c r="RIT21" s="1280"/>
      <c r="RIU21" s="1280"/>
      <c r="RIV21" s="1280"/>
      <c r="RIW21" s="1280"/>
      <c r="RIX21" s="1280"/>
      <c r="RIY21" s="1280"/>
      <c r="RIZ21" s="1280"/>
      <c r="RJA21" s="1280"/>
      <c r="RJB21" s="1280"/>
      <c r="RJC21" s="1280"/>
      <c r="RJD21" s="1280"/>
      <c r="RJE21" s="1280"/>
      <c r="RJF21" s="1280"/>
      <c r="RJG21" s="1280"/>
      <c r="RJH21" s="1280"/>
      <c r="RJI21" s="1280"/>
      <c r="RJJ21" s="1280"/>
      <c r="RJK21" s="1280"/>
      <c r="RJL21" s="1280"/>
      <c r="RJM21" s="1280"/>
      <c r="RJN21" s="1280"/>
      <c r="RJO21" s="1280"/>
      <c r="RJP21" s="1280"/>
      <c r="RJQ21" s="1280"/>
      <c r="RJR21" s="1280"/>
      <c r="RJS21" s="1280"/>
      <c r="RJT21" s="1280"/>
      <c r="RJU21" s="1280"/>
      <c r="RJV21" s="1280"/>
      <c r="RJW21" s="1280"/>
      <c r="RJX21" s="1280"/>
      <c r="RJY21" s="1280"/>
      <c r="RJZ21" s="1280"/>
      <c r="RKA21" s="1280"/>
      <c r="RKB21" s="1280"/>
      <c r="RKC21" s="1280"/>
      <c r="RKD21" s="1280"/>
      <c r="RKE21" s="1280"/>
      <c r="RKF21" s="1280"/>
      <c r="RKG21" s="1280"/>
      <c r="RKH21" s="1280"/>
      <c r="RKI21" s="1280"/>
      <c r="RKJ21" s="1280"/>
      <c r="RKK21" s="1280"/>
      <c r="RKL21" s="1280"/>
      <c r="RKM21" s="1280"/>
      <c r="RKN21" s="1280"/>
      <c r="RKO21" s="1280"/>
      <c r="RKP21" s="1280"/>
      <c r="RKQ21" s="1280"/>
      <c r="RKR21" s="1280"/>
      <c r="RKS21" s="1280"/>
      <c r="RKT21" s="1280"/>
      <c r="RKU21" s="1280"/>
      <c r="RKV21" s="1280"/>
      <c r="RKW21" s="1280"/>
      <c r="RKX21" s="1280"/>
      <c r="RKY21" s="1280"/>
      <c r="RKZ21" s="1280"/>
      <c r="RLA21" s="1280"/>
      <c r="RLB21" s="1280"/>
      <c r="RLC21" s="1280"/>
      <c r="RLD21" s="1280"/>
      <c r="RLE21" s="1280"/>
      <c r="RLF21" s="1280"/>
      <c r="RLG21" s="1280"/>
      <c r="RLH21" s="1280"/>
      <c r="RLI21" s="1280"/>
      <c r="RLJ21" s="1280"/>
      <c r="RLK21" s="1280"/>
      <c r="RLL21" s="1280"/>
      <c r="RLM21" s="1280"/>
      <c r="RLN21" s="1280"/>
      <c r="RLO21" s="1280"/>
      <c r="RLP21" s="1280"/>
      <c r="RLQ21" s="1280"/>
      <c r="RLR21" s="1280"/>
      <c r="RLS21" s="1280"/>
      <c r="RLT21" s="1280"/>
      <c r="RLU21" s="1280"/>
      <c r="RLV21" s="1280"/>
      <c r="RLW21" s="1280"/>
      <c r="RLX21" s="1280"/>
      <c r="RLY21" s="1280"/>
      <c r="RLZ21" s="1280"/>
      <c r="RMA21" s="1280"/>
      <c r="RMB21" s="1280"/>
      <c r="RMC21" s="1280"/>
      <c r="RMD21" s="1280"/>
      <c r="RME21" s="1280"/>
      <c r="RMF21" s="1280"/>
      <c r="RMG21" s="1280"/>
      <c r="RMH21" s="1280"/>
      <c r="RMI21" s="1280"/>
      <c r="RMJ21" s="1280"/>
      <c r="RMK21" s="1280"/>
      <c r="RML21" s="1280"/>
      <c r="RMM21" s="1280"/>
      <c r="RMN21" s="1280"/>
      <c r="RMO21" s="1280"/>
      <c r="RMP21" s="1280"/>
      <c r="RMQ21" s="1280"/>
      <c r="RMR21" s="1280"/>
      <c r="RMS21" s="1280"/>
      <c r="RMT21" s="1280"/>
      <c r="RMU21" s="1280"/>
      <c r="RMV21" s="1280"/>
      <c r="RMW21" s="1280"/>
      <c r="RMX21" s="1280"/>
      <c r="RMY21" s="1280"/>
      <c r="RMZ21" s="1280"/>
      <c r="RNA21" s="1280"/>
      <c r="RNB21" s="1280"/>
      <c r="RNC21" s="1280"/>
      <c r="RND21" s="1280"/>
      <c r="RNE21" s="1280"/>
      <c r="RNF21" s="1280"/>
      <c r="RNG21" s="1280"/>
      <c r="RNH21" s="1280"/>
      <c r="RNI21" s="1280"/>
      <c r="RNJ21" s="1280"/>
      <c r="RNK21" s="1280"/>
      <c r="RNL21" s="1280"/>
      <c r="RNM21" s="1280"/>
      <c r="RNN21" s="1280"/>
      <c r="RNO21" s="1280"/>
      <c r="RNP21" s="1280"/>
      <c r="RNQ21" s="1280"/>
      <c r="RNR21" s="1280"/>
      <c r="RNS21" s="1280"/>
      <c r="RNT21" s="1280"/>
      <c r="RNU21" s="1280"/>
      <c r="RNV21" s="1280"/>
      <c r="RNW21" s="1280"/>
      <c r="RNX21" s="1280"/>
      <c r="RNY21" s="1280"/>
      <c r="RNZ21" s="1280"/>
      <c r="ROA21" s="1280"/>
      <c r="ROB21" s="1280"/>
      <c r="ROC21" s="1280"/>
      <c r="ROD21" s="1280"/>
      <c r="ROE21" s="1280"/>
      <c r="ROF21" s="1280"/>
      <c r="ROG21" s="1280"/>
      <c r="ROH21" s="1280"/>
      <c r="ROI21" s="1280"/>
      <c r="ROJ21" s="1280"/>
      <c r="ROK21" s="1280"/>
      <c r="ROL21" s="1280"/>
      <c r="ROM21" s="1280"/>
      <c r="RON21" s="1280"/>
      <c r="ROO21" s="1280"/>
      <c r="ROP21" s="1280"/>
      <c r="ROQ21" s="1280"/>
      <c r="ROR21" s="1280"/>
      <c r="ROS21" s="1280"/>
      <c r="ROT21" s="1280"/>
      <c r="ROU21" s="1280"/>
      <c r="ROV21" s="1280"/>
      <c r="ROW21" s="1280"/>
      <c r="ROX21" s="1280"/>
      <c r="ROY21" s="1280"/>
      <c r="ROZ21" s="1280"/>
      <c r="RPA21" s="1280"/>
      <c r="RPB21" s="1280"/>
      <c r="RPC21" s="1280"/>
      <c r="RPD21" s="1280"/>
      <c r="RPE21" s="1280"/>
      <c r="RPF21" s="1280"/>
      <c r="RPG21" s="1280"/>
      <c r="RPH21" s="1280"/>
      <c r="RPI21" s="1280"/>
      <c r="RPJ21" s="1280"/>
      <c r="RPK21" s="1280"/>
      <c r="RPL21" s="1280"/>
      <c r="RPM21" s="1280"/>
      <c r="RPN21" s="1280"/>
      <c r="RPO21" s="1280"/>
      <c r="RPP21" s="1280"/>
      <c r="RPQ21" s="1280"/>
      <c r="RPR21" s="1280"/>
      <c r="RPS21" s="1280"/>
      <c r="RPT21" s="1280"/>
      <c r="RPU21" s="1280"/>
      <c r="RPV21" s="1280"/>
      <c r="RPW21" s="1280"/>
      <c r="RPX21" s="1280"/>
      <c r="RPY21" s="1280"/>
      <c r="RPZ21" s="1280"/>
      <c r="RQA21" s="1280"/>
      <c r="RQB21" s="1280"/>
      <c r="RQC21" s="1280"/>
      <c r="RQD21" s="1280"/>
      <c r="RQE21" s="1280"/>
      <c r="RQF21" s="1280"/>
      <c r="RQG21" s="1280"/>
      <c r="RQH21" s="1280"/>
      <c r="RQI21" s="1280"/>
      <c r="RQJ21" s="1280"/>
      <c r="RQK21" s="1280"/>
      <c r="RQL21" s="1280"/>
      <c r="RQM21" s="1280"/>
      <c r="RQN21" s="1280"/>
      <c r="RQO21" s="1280"/>
      <c r="RQP21" s="1280"/>
      <c r="RQQ21" s="1280"/>
      <c r="RQR21" s="1280"/>
      <c r="RQS21" s="1280"/>
      <c r="RQT21" s="1280"/>
      <c r="RQU21" s="1280"/>
      <c r="RQV21" s="1280"/>
      <c r="RQW21" s="1280"/>
      <c r="RQX21" s="1280"/>
      <c r="RQY21" s="1280"/>
      <c r="RQZ21" s="1280"/>
      <c r="RRA21" s="1280"/>
      <c r="RRB21" s="1280"/>
      <c r="RRC21" s="1280"/>
      <c r="RRD21" s="1280"/>
      <c r="RRE21" s="1280"/>
      <c r="RRF21" s="1280"/>
      <c r="RRG21" s="1280"/>
      <c r="RRH21" s="1280"/>
      <c r="RRI21" s="1280"/>
      <c r="RRJ21" s="1280"/>
      <c r="RRK21" s="1280"/>
      <c r="RRL21" s="1280"/>
      <c r="RRM21" s="1280"/>
      <c r="RRN21" s="1280"/>
      <c r="RRO21" s="1280"/>
      <c r="RRP21" s="1280"/>
      <c r="RRQ21" s="1280"/>
      <c r="RRR21" s="1280"/>
      <c r="RRS21" s="1280"/>
      <c r="RRT21" s="1280"/>
      <c r="RRU21" s="1280"/>
      <c r="RRV21" s="1280"/>
      <c r="RRW21" s="1280"/>
      <c r="RRX21" s="1280"/>
      <c r="RRY21" s="1280"/>
      <c r="RRZ21" s="1280"/>
      <c r="RSA21" s="1280"/>
      <c r="RSB21" s="1280"/>
      <c r="RSC21" s="1280"/>
      <c r="RSD21" s="1280"/>
      <c r="RSE21" s="1280"/>
      <c r="RSF21" s="1280"/>
      <c r="RSG21" s="1280"/>
      <c r="RSH21" s="1280"/>
      <c r="RSI21" s="1280"/>
      <c r="RSJ21" s="1280"/>
      <c r="RSK21" s="1280"/>
      <c r="RSL21" s="1280"/>
      <c r="RSM21" s="1280"/>
      <c r="RSN21" s="1280"/>
      <c r="RSO21" s="1280"/>
      <c r="RSP21" s="1280"/>
      <c r="RSQ21" s="1280"/>
      <c r="RSR21" s="1280"/>
      <c r="RSS21" s="1280"/>
      <c r="RST21" s="1280"/>
      <c r="RSU21" s="1280"/>
      <c r="RSV21" s="1280"/>
      <c r="RSW21" s="1280"/>
      <c r="RSX21" s="1280"/>
      <c r="RSY21" s="1280"/>
      <c r="RSZ21" s="1280"/>
      <c r="RTA21" s="1280"/>
      <c r="RTB21" s="1280"/>
      <c r="RTC21" s="1280"/>
      <c r="RTD21" s="1280"/>
      <c r="RTE21" s="1280"/>
      <c r="RTF21" s="1280"/>
      <c r="RTG21" s="1280"/>
      <c r="RTH21" s="1280"/>
      <c r="RTI21" s="1280"/>
      <c r="RTJ21" s="1280"/>
      <c r="RTK21" s="1280"/>
      <c r="RTL21" s="1280"/>
      <c r="RTM21" s="1280"/>
      <c r="RTN21" s="1280"/>
      <c r="RTO21" s="1280"/>
      <c r="RTP21" s="1280"/>
      <c r="RTQ21" s="1280"/>
      <c r="RTR21" s="1280"/>
      <c r="RTS21" s="1280"/>
      <c r="RTT21" s="1280"/>
      <c r="RTU21" s="1280"/>
      <c r="RTV21" s="1280"/>
      <c r="RTW21" s="1280"/>
      <c r="RTX21" s="1280"/>
      <c r="RTY21" s="1280"/>
      <c r="RTZ21" s="1280"/>
      <c r="RUA21" s="1280"/>
      <c r="RUB21" s="1280"/>
      <c r="RUC21" s="1280"/>
      <c r="RUD21" s="1280"/>
      <c r="RUE21" s="1280"/>
      <c r="RUF21" s="1280"/>
      <c r="RUG21" s="1280"/>
      <c r="RUH21" s="1280"/>
      <c r="RUI21" s="1280"/>
      <c r="RUJ21" s="1280"/>
      <c r="RUK21" s="1280"/>
      <c r="RUL21" s="1280"/>
      <c r="RUM21" s="1280"/>
      <c r="RUN21" s="1280"/>
      <c r="RUO21" s="1280"/>
      <c r="RUP21" s="1280"/>
      <c r="RUQ21" s="1280"/>
      <c r="RUR21" s="1280"/>
      <c r="RUS21" s="1280"/>
      <c r="RUT21" s="1280"/>
      <c r="RUU21" s="1280"/>
      <c r="RUV21" s="1280"/>
      <c r="RUW21" s="1280"/>
      <c r="RUX21" s="1280"/>
      <c r="RUY21" s="1280"/>
      <c r="RUZ21" s="1280"/>
      <c r="RVA21" s="1280"/>
      <c r="RVB21" s="1280"/>
      <c r="RVC21" s="1280"/>
      <c r="RVD21" s="1280"/>
      <c r="RVE21" s="1280"/>
      <c r="RVF21" s="1280"/>
      <c r="RVG21" s="1280"/>
      <c r="RVH21" s="1280"/>
      <c r="RVI21" s="1280"/>
      <c r="RVJ21" s="1280"/>
      <c r="RVK21" s="1280"/>
      <c r="RVL21" s="1280"/>
      <c r="RVM21" s="1280"/>
      <c r="RVN21" s="1280"/>
      <c r="RVO21" s="1280"/>
      <c r="RVP21" s="1280"/>
      <c r="RVQ21" s="1280"/>
      <c r="RVR21" s="1280"/>
      <c r="RVS21" s="1280"/>
      <c r="RVT21" s="1280"/>
      <c r="RVU21" s="1280"/>
      <c r="RVV21" s="1280"/>
      <c r="RVW21" s="1280"/>
      <c r="RVX21" s="1280"/>
      <c r="RVY21" s="1280"/>
      <c r="RVZ21" s="1280"/>
      <c r="RWA21" s="1280"/>
      <c r="RWB21" s="1280"/>
      <c r="RWC21" s="1280"/>
      <c r="RWD21" s="1280"/>
      <c r="RWE21" s="1280"/>
      <c r="RWF21" s="1280"/>
      <c r="RWG21" s="1280"/>
      <c r="RWH21" s="1280"/>
      <c r="RWI21" s="1280"/>
      <c r="RWJ21" s="1280"/>
      <c r="RWK21" s="1280"/>
      <c r="RWL21" s="1280"/>
      <c r="RWM21" s="1280"/>
      <c r="RWN21" s="1280"/>
      <c r="RWO21" s="1280"/>
      <c r="RWP21" s="1280"/>
      <c r="RWQ21" s="1280"/>
      <c r="RWR21" s="1280"/>
      <c r="RWS21" s="1280"/>
      <c r="RWT21" s="1280"/>
      <c r="RWU21" s="1280"/>
      <c r="RWV21" s="1280"/>
      <c r="RWW21" s="1280"/>
      <c r="RWX21" s="1280"/>
      <c r="RWY21" s="1280"/>
      <c r="RWZ21" s="1280"/>
      <c r="RXA21" s="1280"/>
      <c r="RXB21" s="1280"/>
      <c r="RXC21" s="1280"/>
      <c r="RXD21" s="1280"/>
      <c r="RXE21" s="1280"/>
      <c r="RXF21" s="1280"/>
      <c r="RXG21" s="1280"/>
      <c r="RXH21" s="1280"/>
      <c r="RXI21" s="1280"/>
      <c r="RXJ21" s="1280"/>
      <c r="RXK21" s="1280"/>
      <c r="RXL21" s="1280"/>
      <c r="RXM21" s="1280"/>
      <c r="RXN21" s="1280"/>
      <c r="RXO21" s="1280"/>
      <c r="RXP21" s="1280"/>
      <c r="RXQ21" s="1280"/>
      <c r="RXR21" s="1280"/>
      <c r="RXS21" s="1280"/>
      <c r="RXT21" s="1280"/>
      <c r="RXU21" s="1280"/>
      <c r="RXV21" s="1280"/>
      <c r="RXW21" s="1280"/>
      <c r="RXX21" s="1280"/>
      <c r="RXY21" s="1280"/>
      <c r="RXZ21" s="1280"/>
      <c r="RYA21" s="1280"/>
      <c r="RYB21" s="1280"/>
      <c r="RYC21" s="1280"/>
      <c r="RYD21" s="1280"/>
      <c r="RYE21" s="1280"/>
      <c r="RYF21" s="1280"/>
      <c r="RYG21" s="1280"/>
      <c r="RYH21" s="1280"/>
      <c r="RYI21" s="1280"/>
      <c r="RYJ21" s="1280"/>
      <c r="RYK21" s="1280"/>
      <c r="RYL21" s="1280"/>
      <c r="RYM21" s="1280"/>
      <c r="RYN21" s="1280"/>
      <c r="RYO21" s="1280"/>
      <c r="RYP21" s="1280"/>
      <c r="RYQ21" s="1280"/>
      <c r="RYR21" s="1280"/>
      <c r="RYS21" s="1280"/>
      <c r="RYT21" s="1280"/>
      <c r="RYU21" s="1280"/>
      <c r="RYV21" s="1280"/>
      <c r="RYW21" s="1280"/>
      <c r="RYX21" s="1280"/>
      <c r="RYY21" s="1280"/>
      <c r="RYZ21" s="1280"/>
      <c r="RZA21" s="1280"/>
      <c r="RZB21" s="1280"/>
      <c r="RZC21" s="1280"/>
      <c r="RZD21" s="1280"/>
      <c r="RZE21" s="1280"/>
      <c r="RZF21" s="1280"/>
      <c r="RZG21" s="1280"/>
      <c r="RZH21" s="1280"/>
      <c r="RZI21" s="1280"/>
      <c r="RZJ21" s="1280"/>
      <c r="RZK21" s="1280"/>
      <c r="RZL21" s="1280"/>
      <c r="RZM21" s="1280"/>
      <c r="RZN21" s="1280"/>
      <c r="RZO21" s="1280"/>
      <c r="RZP21" s="1280"/>
      <c r="RZQ21" s="1280"/>
      <c r="RZR21" s="1280"/>
      <c r="RZS21" s="1280"/>
      <c r="RZT21" s="1280"/>
      <c r="RZU21" s="1280"/>
      <c r="RZV21" s="1280"/>
      <c r="RZW21" s="1280"/>
      <c r="RZX21" s="1280"/>
      <c r="RZY21" s="1280"/>
      <c r="RZZ21" s="1280"/>
      <c r="SAA21" s="1280"/>
      <c r="SAB21" s="1280"/>
      <c r="SAC21" s="1280"/>
      <c r="SAD21" s="1280"/>
      <c r="SAE21" s="1280"/>
      <c r="SAF21" s="1280"/>
      <c r="SAG21" s="1280"/>
      <c r="SAH21" s="1280"/>
      <c r="SAI21" s="1280"/>
      <c r="SAJ21" s="1280"/>
      <c r="SAK21" s="1280"/>
      <c r="SAL21" s="1280"/>
      <c r="SAM21" s="1280"/>
      <c r="SAN21" s="1280"/>
      <c r="SAO21" s="1280"/>
      <c r="SAP21" s="1280"/>
      <c r="SAQ21" s="1280"/>
      <c r="SAR21" s="1280"/>
      <c r="SAS21" s="1280"/>
      <c r="SAT21" s="1280"/>
      <c r="SAU21" s="1280"/>
      <c r="SAV21" s="1280"/>
      <c r="SAW21" s="1280"/>
      <c r="SAX21" s="1280"/>
      <c r="SAY21" s="1280"/>
      <c r="SAZ21" s="1280"/>
      <c r="SBA21" s="1280"/>
      <c r="SBB21" s="1280"/>
      <c r="SBC21" s="1280"/>
      <c r="SBD21" s="1280"/>
      <c r="SBE21" s="1280"/>
      <c r="SBF21" s="1280"/>
      <c r="SBG21" s="1280"/>
      <c r="SBH21" s="1280"/>
      <c r="SBI21" s="1280"/>
      <c r="SBJ21" s="1280"/>
      <c r="SBK21" s="1280"/>
      <c r="SBL21" s="1280"/>
      <c r="SBM21" s="1280"/>
      <c r="SBN21" s="1280"/>
      <c r="SBO21" s="1280"/>
      <c r="SBP21" s="1280"/>
      <c r="SBQ21" s="1280"/>
      <c r="SBR21" s="1280"/>
      <c r="SBS21" s="1280"/>
      <c r="SBT21" s="1280"/>
      <c r="SBU21" s="1280"/>
      <c r="SBV21" s="1280"/>
      <c r="SBW21" s="1280"/>
      <c r="SBX21" s="1280"/>
      <c r="SBY21" s="1280"/>
      <c r="SBZ21" s="1280"/>
      <c r="SCA21" s="1280"/>
      <c r="SCB21" s="1280"/>
      <c r="SCC21" s="1280"/>
      <c r="SCD21" s="1280"/>
      <c r="SCE21" s="1280"/>
      <c r="SCF21" s="1280"/>
      <c r="SCG21" s="1280"/>
      <c r="SCH21" s="1280"/>
      <c r="SCI21" s="1280"/>
      <c r="SCJ21" s="1280"/>
      <c r="SCK21" s="1280"/>
      <c r="SCL21" s="1280"/>
      <c r="SCM21" s="1280"/>
      <c r="SCN21" s="1280"/>
      <c r="SCO21" s="1280"/>
      <c r="SCP21" s="1280"/>
      <c r="SCQ21" s="1280"/>
      <c r="SCR21" s="1280"/>
      <c r="SCS21" s="1280"/>
      <c r="SCT21" s="1280"/>
      <c r="SCU21" s="1280"/>
      <c r="SCV21" s="1280"/>
      <c r="SCW21" s="1280"/>
      <c r="SCX21" s="1280"/>
      <c r="SCY21" s="1280"/>
      <c r="SCZ21" s="1280"/>
      <c r="SDA21" s="1280"/>
      <c r="SDB21" s="1280"/>
      <c r="SDC21" s="1280"/>
      <c r="SDD21" s="1280"/>
      <c r="SDE21" s="1280"/>
      <c r="SDF21" s="1280"/>
      <c r="SDG21" s="1280"/>
      <c r="SDH21" s="1280"/>
      <c r="SDI21" s="1280"/>
      <c r="SDJ21" s="1280"/>
      <c r="SDK21" s="1280"/>
      <c r="SDL21" s="1280"/>
      <c r="SDM21" s="1280"/>
      <c r="SDN21" s="1280"/>
      <c r="SDO21" s="1280"/>
      <c r="SDP21" s="1280"/>
      <c r="SDQ21" s="1280"/>
      <c r="SDR21" s="1280"/>
      <c r="SDS21" s="1280"/>
      <c r="SDT21" s="1280"/>
      <c r="SDU21" s="1280"/>
      <c r="SDV21" s="1280"/>
      <c r="SDW21" s="1280"/>
      <c r="SDX21" s="1280"/>
      <c r="SDY21" s="1280"/>
      <c r="SDZ21" s="1280"/>
      <c r="SEA21" s="1280"/>
      <c r="SEB21" s="1280"/>
      <c r="SEC21" s="1280"/>
      <c r="SED21" s="1280"/>
      <c r="SEE21" s="1280"/>
      <c r="SEF21" s="1280"/>
      <c r="SEG21" s="1280"/>
      <c r="SEH21" s="1280"/>
      <c r="SEI21" s="1280"/>
      <c r="SEJ21" s="1280"/>
      <c r="SEK21" s="1280"/>
      <c r="SEL21" s="1280"/>
      <c r="SEM21" s="1280"/>
      <c r="SEN21" s="1280"/>
      <c r="SEO21" s="1280"/>
      <c r="SEP21" s="1280"/>
      <c r="SEQ21" s="1280"/>
      <c r="SER21" s="1280"/>
      <c r="SES21" s="1280"/>
      <c r="SET21" s="1280"/>
      <c r="SEU21" s="1280"/>
      <c r="SEV21" s="1280"/>
      <c r="SEW21" s="1280"/>
      <c r="SEX21" s="1280"/>
      <c r="SEY21" s="1280"/>
      <c r="SEZ21" s="1280"/>
      <c r="SFA21" s="1280"/>
      <c r="SFB21" s="1280"/>
      <c r="SFC21" s="1280"/>
      <c r="SFD21" s="1280"/>
      <c r="SFE21" s="1280"/>
      <c r="SFF21" s="1280"/>
      <c r="SFG21" s="1280"/>
      <c r="SFH21" s="1280"/>
      <c r="SFI21" s="1280"/>
      <c r="SFJ21" s="1280"/>
      <c r="SFK21" s="1280"/>
      <c r="SFL21" s="1280"/>
      <c r="SFM21" s="1280"/>
      <c r="SFN21" s="1280"/>
      <c r="SFO21" s="1280"/>
      <c r="SFP21" s="1280"/>
      <c r="SFQ21" s="1280"/>
      <c r="SFR21" s="1280"/>
      <c r="SFS21" s="1280"/>
      <c r="SFT21" s="1280"/>
      <c r="SFU21" s="1280"/>
      <c r="SFV21" s="1280"/>
      <c r="SFW21" s="1280"/>
      <c r="SFX21" s="1280"/>
      <c r="SFY21" s="1280"/>
      <c r="SFZ21" s="1280"/>
      <c r="SGA21" s="1280"/>
      <c r="SGB21" s="1280"/>
      <c r="SGC21" s="1280"/>
      <c r="SGD21" s="1280"/>
      <c r="SGE21" s="1280"/>
      <c r="SGF21" s="1280"/>
      <c r="SGG21" s="1280"/>
      <c r="SGH21" s="1280"/>
      <c r="SGI21" s="1280"/>
      <c r="SGJ21" s="1280"/>
      <c r="SGK21" s="1280"/>
      <c r="SGL21" s="1280"/>
      <c r="SGM21" s="1280"/>
      <c r="SGN21" s="1280"/>
      <c r="SGO21" s="1280"/>
      <c r="SGP21" s="1280"/>
      <c r="SGQ21" s="1280"/>
      <c r="SGR21" s="1280"/>
      <c r="SGS21" s="1280"/>
      <c r="SGT21" s="1280"/>
      <c r="SGU21" s="1280"/>
      <c r="SGV21" s="1280"/>
      <c r="SGW21" s="1280"/>
      <c r="SGX21" s="1280"/>
      <c r="SGY21" s="1280"/>
      <c r="SGZ21" s="1280"/>
      <c r="SHA21" s="1280"/>
      <c r="SHB21" s="1280"/>
      <c r="SHC21" s="1280"/>
      <c r="SHD21" s="1280"/>
      <c r="SHE21" s="1280"/>
      <c r="SHF21" s="1280"/>
      <c r="SHG21" s="1280"/>
      <c r="SHH21" s="1280"/>
      <c r="SHI21" s="1280"/>
      <c r="SHJ21" s="1280"/>
      <c r="SHK21" s="1280"/>
      <c r="SHL21" s="1280"/>
      <c r="SHM21" s="1280"/>
      <c r="SHN21" s="1280"/>
      <c r="SHO21" s="1280"/>
      <c r="SHP21" s="1280"/>
      <c r="SHQ21" s="1280"/>
      <c r="SHR21" s="1280"/>
      <c r="SHS21" s="1280"/>
      <c r="SHT21" s="1280"/>
      <c r="SHU21" s="1280"/>
      <c r="SHV21" s="1280"/>
      <c r="SHW21" s="1280"/>
      <c r="SHX21" s="1280"/>
      <c r="SHY21" s="1280"/>
      <c r="SHZ21" s="1280"/>
      <c r="SIA21" s="1280"/>
      <c r="SIB21" s="1280"/>
      <c r="SIC21" s="1280"/>
      <c r="SID21" s="1280"/>
      <c r="SIE21" s="1280"/>
      <c r="SIF21" s="1280"/>
      <c r="SIG21" s="1280"/>
      <c r="SIH21" s="1280"/>
      <c r="SII21" s="1280"/>
      <c r="SIJ21" s="1280"/>
      <c r="SIK21" s="1280"/>
      <c r="SIL21" s="1280"/>
      <c r="SIM21" s="1280"/>
      <c r="SIN21" s="1280"/>
      <c r="SIO21" s="1280"/>
      <c r="SIP21" s="1280"/>
      <c r="SIQ21" s="1280"/>
      <c r="SIR21" s="1280"/>
      <c r="SIS21" s="1280"/>
      <c r="SIT21" s="1280"/>
      <c r="SIU21" s="1280"/>
      <c r="SIV21" s="1280"/>
      <c r="SIW21" s="1280"/>
      <c r="SIX21" s="1280"/>
      <c r="SIY21" s="1280"/>
      <c r="SIZ21" s="1280"/>
      <c r="SJA21" s="1280"/>
      <c r="SJB21" s="1280"/>
      <c r="SJC21" s="1280"/>
      <c r="SJD21" s="1280"/>
      <c r="SJE21" s="1280"/>
      <c r="SJF21" s="1280"/>
      <c r="SJG21" s="1280"/>
      <c r="SJH21" s="1280"/>
      <c r="SJI21" s="1280"/>
      <c r="SJJ21" s="1280"/>
      <c r="SJK21" s="1280"/>
      <c r="SJL21" s="1280"/>
      <c r="SJM21" s="1280"/>
      <c r="SJN21" s="1280"/>
      <c r="SJO21" s="1280"/>
      <c r="SJP21" s="1280"/>
      <c r="SJQ21" s="1280"/>
      <c r="SJR21" s="1280"/>
      <c r="SJS21" s="1280"/>
      <c r="SJT21" s="1280"/>
      <c r="SJU21" s="1280"/>
      <c r="SJV21" s="1280"/>
      <c r="SJW21" s="1280"/>
      <c r="SJX21" s="1280"/>
      <c r="SJY21" s="1280"/>
      <c r="SJZ21" s="1280"/>
      <c r="SKA21" s="1280"/>
      <c r="SKB21" s="1280"/>
      <c r="SKC21" s="1280"/>
      <c r="SKD21" s="1280"/>
      <c r="SKE21" s="1280"/>
      <c r="SKF21" s="1280"/>
      <c r="SKG21" s="1280"/>
      <c r="SKH21" s="1280"/>
      <c r="SKI21" s="1280"/>
      <c r="SKJ21" s="1280"/>
      <c r="SKK21" s="1280"/>
      <c r="SKL21" s="1280"/>
      <c r="SKM21" s="1280"/>
      <c r="SKN21" s="1280"/>
      <c r="SKO21" s="1280"/>
      <c r="SKP21" s="1280"/>
      <c r="SKQ21" s="1280"/>
      <c r="SKR21" s="1280"/>
      <c r="SKS21" s="1280"/>
      <c r="SKT21" s="1280"/>
      <c r="SKU21" s="1280"/>
      <c r="SKV21" s="1280"/>
      <c r="SKW21" s="1280"/>
      <c r="SKX21" s="1280"/>
      <c r="SKY21" s="1280"/>
      <c r="SKZ21" s="1280"/>
      <c r="SLA21" s="1280"/>
      <c r="SLB21" s="1280"/>
      <c r="SLC21" s="1280"/>
      <c r="SLD21" s="1280"/>
      <c r="SLE21" s="1280"/>
      <c r="SLF21" s="1280"/>
      <c r="SLG21" s="1280"/>
      <c r="SLH21" s="1280"/>
      <c r="SLI21" s="1280"/>
      <c r="SLJ21" s="1280"/>
      <c r="SLK21" s="1280"/>
      <c r="SLL21" s="1280"/>
      <c r="SLM21" s="1280"/>
      <c r="SLN21" s="1280"/>
      <c r="SLO21" s="1280"/>
      <c r="SLP21" s="1280"/>
      <c r="SLQ21" s="1280"/>
      <c r="SLR21" s="1280"/>
      <c r="SLS21" s="1280"/>
      <c r="SLT21" s="1280"/>
      <c r="SLU21" s="1280"/>
      <c r="SLV21" s="1280"/>
      <c r="SLW21" s="1280"/>
      <c r="SLX21" s="1280"/>
      <c r="SLY21" s="1280"/>
      <c r="SLZ21" s="1280"/>
      <c r="SMA21" s="1280"/>
      <c r="SMB21" s="1280"/>
      <c r="SMC21" s="1280"/>
      <c r="SMD21" s="1280"/>
      <c r="SME21" s="1280"/>
      <c r="SMF21" s="1280"/>
      <c r="SMG21" s="1280"/>
      <c r="SMH21" s="1280"/>
      <c r="SMI21" s="1280"/>
      <c r="SMJ21" s="1280"/>
      <c r="SMK21" s="1280"/>
      <c r="SML21" s="1280"/>
      <c r="SMM21" s="1280"/>
      <c r="SMN21" s="1280"/>
      <c r="SMO21" s="1280"/>
      <c r="SMP21" s="1280"/>
      <c r="SMQ21" s="1280"/>
      <c r="SMR21" s="1280"/>
      <c r="SMS21" s="1280"/>
      <c r="SMT21" s="1280"/>
      <c r="SMU21" s="1280"/>
      <c r="SMV21" s="1280"/>
      <c r="SMW21" s="1280"/>
      <c r="SMX21" s="1280"/>
      <c r="SMY21" s="1280"/>
      <c r="SMZ21" s="1280"/>
      <c r="SNA21" s="1280"/>
      <c r="SNB21" s="1280"/>
      <c r="SNC21" s="1280"/>
      <c r="SND21" s="1280"/>
      <c r="SNE21" s="1280"/>
      <c r="SNF21" s="1280"/>
      <c r="SNG21" s="1280"/>
      <c r="SNH21" s="1280"/>
      <c r="SNI21" s="1280"/>
      <c r="SNJ21" s="1280"/>
      <c r="SNK21" s="1280"/>
      <c r="SNL21" s="1280"/>
      <c r="SNM21" s="1280"/>
      <c r="SNN21" s="1280"/>
      <c r="SNO21" s="1280"/>
      <c r="SNP21" s="1280"/>
      <c r="SNQ21" s="1280"/>
      <c r="SNR21" s="1280"/>
      <c r="SNS21" s="1280"/>
      <c r="SNT21" s="1280"/>
      <c r="SNU21" s="1280"/>
      <c r="SNV21" s="1280"/>
      <c r="SNW21" s="1280"/>
      <c r="SNX21" s="1280"/>
      <c r="SNY21" s="1280"/>
      <c r="SNZ21" s="1280"/>
      <c r="SOA21" s="1280"/>
      <c r="SOB21" s="1280"/>
      <c r="SOC21" s="1280"/>
      <c r="SOD21" s="1280"/>
      <c r="SOE21" s="1280"/>
      <c r="SOF21" s="1280"/>
      <c r="SOG21" s="1280"/>
      <c r="SOH21" s="1280"/>
      <c r="SOI21" s="1280"/>
      <c r="SOJ21" s="1280"/>
      <c r="SOK21" s="1280"/>
      <c r="SOL21" s="1280"/>
      <c r="SOM21" s="1280"/>
      <c r="SON21" s="1280"/>
      <c r="SOO21" s="1280"/>
      <c r="SOP21" s="1280"/>
      <c r="SOQ21" s="1280"/>
      <c r="SOR21" s="1280"/>
      <c r="SOS21" s="1280"/>
      <c r="SOT21" s="1280"/>
      <c r="SOU21" s="1280"/>
      <c r="SOV21" s="1280"/>
      <c r="SOW21" s="1280"/>
      <c r="SOX21" s="1280"/>
      <c r="SOY21" s="1280"/>
      <c r="SOZ21" s="1280"/>
      <c r="SPA21" s="1280"/>
      <c r="SPB21" s="1280"/>
      <c r="SPC21" s="1280"/>
      <c r="SPD21" s="1280"/>
      <c r="SPE21" s="1280"/>
      <c r="SPF21" s="1280"/>
      <c r="SPG21" s="1280"/>
      <c r="SPH21" s="1280"/>
      <c r="SPI21" s="1280"/>
      <c r="SPJ21" s="1280"/>
      <c r="SPK21" s="1280"/>
      <c r="SPL21" s="1280"/>
      <c r="SPM21" s="1280"/>
      <c r="SPN21" s="1280"/>
      <c r="SPO21" s="1280"/>
      <c r="SPP21" s="1280"/>
      <c r="SPQ21" s="1280"/>
      <c r="SPR21" s="1280"/>
      <c r="SPS21" s="1280"/>
      <c r="SPT21" s="1280"/>
      <c r="SPU21" s="1280"/>
      <c r="SPV21" s="1280"/>
      <c r="SPW21" s="1280"/>
      <c r="SPX21" s="1280"/>
      <c r="SPY21" s="1280"/>
      <c r="SPZ21" s="1280"/>
      <c r="SQA21" s="1280"/>
      <c r="SQB21" s="1280"/>
      <c r="SQC21" s="1280"/>
      <c r="SQD21" s="1280"/>
      <c r="SQE21" s="1280"/>
      <c r="SQF21" s="1280"/>
      <c r="SQG21" s="1280"/>
      <c r="SQH21" s="1280"/>
      <c r="SQI21" s="1280"/>
      <c r="SQJ21" s="1280"/>
      <c r="SQK21" s="1280"/>
      <c r="SQL21" s="1280"/>
      <c r="SQM21" s="1280"/>
      <c r="SQN21" s="1280"/>
      <c r="SQO21" s="1280"/>
      <c r="SQP21" s="1280"/>
      <c r="SQQ21" s="1280"/>
      <c r="SQR21" s="1280"/>
      <c r="SQS21" s="1280"/>
      <c r="SQT21" s="1280"/>
      <c r="SQU21" s="1280"/>
      <c r="SQV21" s="1280"/>
      <c r="SQW21" s="1280"/>
      <c r="SQX21" s="1280"/>
      <c r="SQY21" s="1280"/>
      <c r="SQZ21" s="1280"/>
      <c r="SRA21" s="1280"/>
      <c r="SRB21" s="1280"/>
      <c r="SRC21" s="1280"/>
      <c r="SRD21" s="1280"/>
      <c r="SRE21" s="1280"/>
      <c r="SRF21" s="1280"/>
      <c r="SRG21" s="1280"/>
      <c r="SRH21" s="1280"/>
      <c r="SRI21" s="1280"/>
      <c r="SRJ21" s="1280"/>
      <c r="SRK21" s="1280"/>
      <c r="SRL21" s="1280"/>
      <c r="SRM21" s="1280"/>
      <c r="SRN21" s="1280"/>
      <c r="SRO21" s="1280"/>
      <c r="SRP21" s="1280"/>
      <c r="SRQ21" s="1280"/>
      <c r="SRR21" s="1280"/>
      <c r="SRS21" s="1280"/>
      <c r="SRT21" s="1280"/>
      <c r="SRU21" s="1280"/>
      <c r="SRV21" s="1280"/>
      <c r="SRW21" s="1280"/>
      <c r="SRX21" s="1280"/>
      <c r="SRY21" s="1280"/>
      <c r="SRZ21" s="1280"/>
      <c r="SSA21" s="1280"/>
      <c r="SSB21" s="1280"/>
      <c r="SSC21" s="1280"/>
      <c r="SSD21" s="1280"/>
      <c r="SSE21" s="1280"/>
      <c r="SSF21" s="1280"/>
      <c r="SSG21" s="1280"/>
      <c r="SSH21" s="1280"/>
      <c r="SSI21" s="1280"/>
      <c r="SSJ21" s="1280"/>
      <c r="SSK21" s="1280"/>
      <c r="SSL21" s="1280"/>
      <c r="SSM21" s="1280"/>
      <c r="SSN21" s="1280"/>
      <c r="SSO21" s="1280"/>
      <c r="SSP21" s="1280"/>
      <c r="SSQ21" s="1280"/>
      <c r="SSR21" s="1280"/>
      <c r="SSS21" s="1280"/>
      <c r="SST21" s="1280"/>
      <c r="SSU21" s="1280"/>
      <c r="SSV21" s="1280"/>
      <c r="SSW21" s="1280"/>
      <c r="SSX21" s="1280"/>
      <c r="SSY21" s="1280"/>
      <c r="SSZ21" s="1280"/>
      <c r="STA21" s="1280"/>
      <c r="STB21" s="1280"/>
      <c r="STC21" s="1280"/>
      <c r="STD21" s="1280"/>
      <c r="STE21" s="1280"/>
      <c r="STF21" s="1280"/>
      <c r="STG21" s="1280"/>
      <c r="STH21" s="1280"/>
      <c r="STI21" s="1280"/>
      <c r="STJ21" s="1280"/>
      <c r="STK21" s="1280"/>
      <c r="STL21" s="1280"/>
      <c r="STM21" s="1280"/>
      <c r="STN21" s="1280"/>
      <c r="STO21" s="1280"/>
      <c r="STP21" s="1280"/>
      <c r="STQ21" s="1280"/>
      <c r="STR21" s="1280"/>
      <c r="STS21" s="1280"/>
      <c r="STT21" s="1280"/>
      <c r="STU21" s="1280"/>
      <c r="STV21" s="1280"/>
      <c r="STW21" s="1280"/>
      <c r="STX21" s="1280"/>
      <c r="STY21" s="1280"/>
      <c r="STZ21" s="1280"/>
      <c r="SUA21" s="1280"/>
      <c r="SUB21" s="1280"/>
      <c r="SUC21" s="1280"/>
      <c r="SUD21" s="1280"/>
      <c r="SUE21" s="1280"/>
      <c r="SUF21" s="1280"/>
      <c r="SUG21" s="1280"/>
      <c r="SUH21" s="1280"/>
      <c r="SUI21" s="1280"/>
      <c r="SUJ21" s="1280"/>
      <c r="SUK21" s="1280"/>
      <c r="SUL21" s="1280"/>
      <c r="SUM21" s="1280"/>
      <c r="SUN21" s="1280"/>
      <c r="SUO21" s="1280"/>
      <c r="SUP21" s="1280"/>
      <c r="SUQ21" s="1280"/>
      <c r="SUR21" s="1280"/>
      <c r="SUS21" s="1280"/>
      <c r="SUT21" s="1280"/>
      <c r="SUU21" s="1280"/>
      <c r="SUV21" s="1280"/>
      <c r="SUW21" s="1280"/>
      <c r="SUX21" s="1280"/>
      <c r="SUY21" s="1280"/>
      <c r="SUZ21" s="1280"/>
      <c r="SVA21" s="1280"/>
      <c r="SVB21" s="1280"/>
      <c r="SVC21" s="1280"/>
      <c r="SVD21" s="1280"/>
      <c r="SVE21" s="1280"/>
      <c r="SVF21" s="1280"/>
      <c r="SVG21" s="1280"/>
      <c r="SVH21" s="1280"/>
      <c r="SVI21" s="1280"/>
      <c r="SVJ21" s="1280"/>
      <c r="SVK21" s="1280"/>
      <c r="SVL21" s="1280"/>
      <c r="SVM21" s="1280"/>
      <c r="SVN21" s="1280"/>
      <c r="SVO21" s="1280"/>
      <c r="SVP21" s="1280"/>
      <c r="SVQ21" s="1280"/>
      <c r="SVR21" s="1280"/>
      <c r="SVS21" s="1280"/>
      <c r="SVT21" s="1280"/>
      <c r="SVU21" s="1280"/>
      <c r="SVV21" s="1280"/>
      <c r="SVW21" s="1280"/>
      <c r="SVX21" s="1280"/>
      <c r="SVY21" s="1280"/>
      <c r="SVZ21" s="1280"/>
      <c r="SWA21" s="1280"/>
      <c r="SWB21" s="1280"/>
      <c r="SWC21" s="1280"/>
      <c r="SWD21" s="1280"/>
      <c r="SWE21" s="1280"/>
      <c r="SWF21" s="1280"/>
      <c r="SWG21" s="1280"/>
      <c r="SWH21" s="1280"/>
      <c r="SWI21" s="1280"/>
      <c r="SWJ21" s="1280"/>
      <c r="SWK21" s="1280"/>
      <c r="SWL21" s="1280"/>
      <c r="SWM21" s="1280"/>
      <c r="SWN21" s="1280"/>
      <c r="SWO21" s="1280"/>
      <c r="SWP21" s="1280"/>
      <c r="SWQ21" s="1280"/>
      <c r="SWR21" s="1280"/>
      <c r="SWS21" s="1280"/>
      <c r="SWT21" s="1280"/>
      <c r="SWU21" s="1280"/>
      <c r="SWV21" s="1280"/>
      <c r="SWW21" s="1280"/>
      <c r="SWX21" s="1280"/>
      <c r="SWY21" s="1280"/>
      <c r="SWZ21" s="1280"/>
      <c r="SXA21" s="1280"/>
      <c r="SXB21" s="1280"/>
      <c r="SXC21" s="1280"/>
      <c r="SXD21" s="1280"/>
      <c r="SXE21" s="1280"/>
      <c r="SXF21" s="1280"/>
      <c r="SXG21" s="1280"/>
      <c r="SXH21" s="1280"/>
      <c r="SXI21" s="1280"/>
      <c r="SXJ21" s="1280"/>
      <c r="SXK21" s="1280"/>
      <c r="SXL21" s="1280"/>
      <c r="SXM21" s="1280"/>
      <c r="SXN21" s="1280"/>
      <c r="SXO21" s="1280"/>
      <c r="SXP21" s="1280"/>
      <c r="SXQ21" s="1280"/>
      <c r="SXR21" s="1280"/>
      <c r="SXS21" s="1280"/>
      <c r="SXT21" s="1280"/>
      <c r="SXU21" s="1280"/>
      <c r="SXV21" s="1280"/>
      <c r="SXW21" s="1280"/>
      <c r="SXX21" s="1280"/>
      <c r="SXY21" s="1280"/>
      <c r="SXZ21" s="1280"/>
      <c r="SYA21" s="1280"/>
      <c r="SYB21" s="1280"/>
      <c r="SYC21" s="1280"/>
      <c r="SYD21" s="1280"/>
      <c r="SYE21" s="1280"/>
      <c r="SYF21" s="1280"/>
      <c r="SYG21" s="1280"/>
      <c r="SYH21" s="1280"/>
      <c r="SYI21" s="1280"/>
      <c r="SYJ21" s="1280"/>
      <c r="SYK21" s="1280"/>
      <c r="SYL21" s="1280"/>
      <c r="SYM21" s="1280"/>
      <c r="SYN21" s="1280"/>
      <c r="SYO21" s="1280"/>
      <c r="SYP21" s="1280"/>
      <c r="SYQ21" s="1280"/>
      <c r="SYR21" s="1280"/>
      <c r="SYS21" s="1280"/>
      <c r="SYT21" s="1280"/>
      <c r="SYU21" s="1280"/>
      <c r="SYV21" s="1280"/>
      <c r="SYW21" s="1280"/>
      <c r="SYX21" s="1280"/>
      <c r="SYY21" s="1280"/>
      <c r="SYZ21" s="1280"/>
      <c r="SZA21" s="1280"/>
      <c r="SZB21" s="1280"/>
      <c r="SZC21" s="1280"/>
      <c r="SZD21" s="1280"/>
      <c r="SZE21" s="1280"/>
      <c r="SZF21" s="1280"/>
      <c r="SZG21" s="1280"/>
      <c r="SZH21" s="1280"/>
      <c r="SZI21" s="1280"/>
      <c r="SZJ21" s="1280"/>
      <c r="SZK21" s="1280"/>
      <c r="SZL21" s="1280"/>
      <c r="SZM21" s="1280"/>
      <c r="SZN21" s="1280"/>
      <c r="SZO21" s="1280"/>
      <c r="SZP21" s="1280"/>
      <c r="SZQ21" s="1280"/>
      <c r="SZR21" s="1280"/>
      <c r="SZS21" s="1280"/>
      <c r="SZT21" s="1280"/>
      <c r="SZU21" s="1280"/>
      <c r="SZV21" s="1280"/>
      <c r="SZW21" s="1280"/>
      <c r="SZX21" s="1280"/>
      <c r="SZY21" s="1280"/>
      <c r="SZZ21" s="1280"/>
      <c r="TAA21" s="1280"/>
      <c r="TAB21" s="1280"/>
      <c r="TAC21" s="1280"/>
      <c r="TAD21" s="1280"/>
      <c r="TAE21" s="1280"/>
      <c r="TAF21" s="1280"/>
      <c r="TAG21" s="1280"/>
      <c r="TAH21" s="1280"/>
      <c r="TAI21" s="1280"/>
      <c r="TAJ21" s="1280"/>
      <c r="TAK21" s="1280"/>
      <c r="TAL21" s="1280"/>
      <c r="TAM21" s="1280"/>
      <c r="TAN21" s="1280"/>
      <c r="TAO21" s="1280"/>
      <c r="TAP21" s="1280"/>
      <c r="TAQ21" s="1280"/>
      <c r="TAR21" s="1280"/>
      <c r="TAS21" s="1280"/>
      <c r="TAT21" s="1280"/>
      <c r="TAU21" s="1280"/>
      <c r="TAV21" s="1280"/>
      <c r="TAW21" s="1280"/>
      <c r="TAX21" s="1280"/>
      <c r="TAY21" s="1280"/>
      <c r="TAZ21" s="1280"/>
      <c r="TBA21" s="1280"/>
      <c r="TBB21" s="1280"/>
      <c r="TBC21" s="1280"/>
      <c r="TBD21" s="1280"/>
      <c r="TBE21" s="1280"/>
      <c r="TBF21" s="1280"/>
      <c r="TBG21" s="1280"/>
      <c r="TBH21" s="1280"/>
      <c r="TBI21" s="1280"/>
      <c r="TBJ21" s="1280"/>
      <c r="TBK21" s="1280"/>
      <c r="TBL21" s="1280"/>
      <c r="TBM21" s="1280"/>
      <c r="TBN21" s="1280"/>
      <c r="TBO21" s="1280"/>
      <c r="TBP21" s="1280"/>
      <c r="TBQ21" s="1280"/>
      <c r="TBR21" s="1280"/>
      <c r="TBS21" s="1280"/>
      <c r="TBT21" s="1280"/>
      <c r="TBU21" s="1280"/>
      <c r="TBV21" s="1280"/>
      <c r="TBW21" s="1280"/>
      <c r="TBX21" s="1280"/>
      <c r="TBY21" s="1280"/>
      <c r="TBZ21" s="1280"/>
      <c r="TCA21" s="1280"/>
      <c r="TCB21" s="1280"/>
      <c r="TCC21" s="1280"/>
      <c r="TCD21" s="1280"/>
      <c r="TCE21" s="1280"/>
      <c r="TCF21" s="1280"/>
      <c r="TCG21" s="1280"/>
      <c r="TCH21" s="1280"/>
      <c r="TCI21" s="1280"/>
      <c r="TCJ21" s="1280"/>
      <c r="TCK21" s="1280"/>
      <c r="TCL21" s="1280"/>
      <c r="TCM21" s="1280"/>
      <c r="TCN21" s="1280"/>
      <c r="TCO21" s="1280"/>
      <c r="TCP21" s="1280"/>
      <c r="TCQ21" s="1280"/>
      <c r="TCR21" s="1280"/>
      <c r="TCS21" s="1280"/>
      <c r="TCT21" s="1280"/>
      <c r="TCU21" s="1280"/>
      <c r="TCV21" s="1280"/>
      <c r="TCW21" s="1280"/>
      <c r="TCX21" s="1280"/>
      <c r="TCY21" s="1280"/>
      <c r="TCZ21" s="1280"/>
      <c r="TDA21" s="1280"/>
      <c r="TDB21" s="1280"/>
      <c r="TDC21" s="1280"/>
      <c r="TDD21" s="1280"/>
      <c r="TDE21" s="1280"/>
      <c r="TDF21" s="1280"/>
      <c r="TDG21" s="1280"/>
      <c r="TDH21" s="1280"/>
      <c r="TDI21" s="1280"/>
      <c r="TDJ21" s="1280"/>
      <c r="TDK21" s="1280"/>
      <c r="TDL21" s="1280"/>
      <c r="TDM21" s="1280"/>
      <c r="TDN21" s="1280"/>
      <c r="TDO21" s="1280"/>
      <c r="TDP21" s="1280"/>
      <c r="TDQ21" s="1280"/>
      <c r="TDR21" s="1280"/>
      <c r="TDS21" s="1280"/>
      <c r="TDT21" s="1280"/>
      <c r="TDU21" s="1280"/>
      <c r="TDV21" s="1280"/>
      <c r="TDW21" s="1280"/>
      <c r="TDX21" s="1280"/>
      <c r="TDY21" s="1280"/>
      <c r="TDZ21" s="1280"/>
      <c r="TEA21" s="1280"/>
      <c r="TEB21" s="1280"/>
      <c r="TEC21" s="1280"/>
      <c r="TED21" s="1280"/>
      <c r="TEE21" s="1280"/>
      <c r="TEF21" s="1280"/>
      <c r="TEG21" s="1280"/>
      <c r="TEH21" s="1280"/>
      <c r="TEI21" s="1280"/>
      <c r="TEJ21" s="1280"/>
      <c r="TEK21" s="1280"/>
      <c r="TEL21" s="1280"/>
      <c r="TEM21" s="1280"/>
      <c r="TEN21" s="1280"/>
      <c r="TEO21" s="1280"/>
      <c r="TEP21" s="1280"/>
      <c r="TEQ21" s="1280"/>
      <c r="TER21" s="1280"/>
      <c r="TES21" s="1280"/>
      <c r="TET21" s="1280"/>
      <c r="TEU21" s="1280"/>
      <c r="TEV21" s="1280"/>
      <c r="TEW21" s="1280"/>
      <c r="TEX21" s="1280"/>
      <c r="TEY21" s="1280"/>
      <c r="TEZ21" s="1280"/>
      <c r="TFA21" s="1280"/>
      <c r="TFB21" s="1280"/>
      <c r="TFC21" s="1280"/>
      <c r="TFD21" s="1280"/>
      <c r="TFE21" s="1280"/>
      <c r="TFF21" s="1280"/>
      <c r="TFG21" s="1280"/>
      <c r="TFH21" s="1280"/>
      <c r="TFI21" s="1280"/>
      <c r="TFJ21" s="1280"/>
      <c r="TFK21" s="1280"/>
      <c r="TFL21" s="1280"/>
      <c r="TFM21" s="1280"/>
      <c r="TFN21" s="1280"/>
      <c r="TFO21" s="1280"/>
      <c r="TFP21" s="1280"/>
      <c r="TFQ21" s="1280"/>
      <c r="TFR21" s="1280"/>
      <c r="TFS21" s="1280"/>
      <c r="TFT21" s="1280"/>
      <c r="TFU21" s="1280"/>
      <c r="TFV21" s="1280"/>
      <c r="TFW21" s="1280"/>
      <c r="TFX21" s="1280"/>
      <c r="TFY21" s="1280"/>
      <c r="TFZ21" s="1280"/>
      <c r="TGA21" s="1280"/>
      <c r="TGB21" s="1280"/>
      <c r="TGC21" s="1280"/>
      <c r="TGD21" s="1280"/>
      <c r="TGE21" s="1280"/>
      <c r="TGF21" s="1280"/>
      <c r="TGG21" s="1280"/>
      <c r="TGH21" s="1280"/>
      <c r="TGI21" s="1280"/>
      <c r="TGJ21" s="1280"/>
      <c r="TGK21" s="1280"/>
      <c r="TGL21" s="1280"/>
      <c r="TGM21" s="1280"/>
      <c r="TGN21" s="1280"/>
      <c r="TGO21" s="1280"/>
      <c r="TGP21" s="1280"/>
      <c r="TGQ21" s="1280"/>
      <c r="TGR21" s="1280"/>
      <c r="TGS21" s="1280"/>
      <c r="TGT21" s="1280"/>
      <c r="TGU21" s="1280"/>
      <c r="TGV21" s="1280"/>
      <c r="TGW21" s="1280"/>
      <c r="TGX21" s="1280"/>
      <c r="TGY21" s="1280"/>
      <c r="TGZ21" s="1280"/>
      <c r="THA21" s="1280"/>
      <c r="THB21" s="1280"/>
      <c r="THC21" s="1280"/>
      <c r="THD21" s="1280"/>
      <c r="THE21" s="1280"/>
      <c r="THF21" s="1280"/>
      <c r="THG21" s="1280"/>
      <c r="THH21" s="1280"/>
      <c r="THI21" s="1280"/>
      <c r="THJ21" s="1280"/>
      <c r="THK21" s="1280"/>
      <c r="THL21" s="1280"/>
      <c r="THM21" s="1280"/>
      <c r="THN21" s="1280"/>
      <c r="THO21" s="1280"/>
      <c r="THP21" s="1280"/>
      <c r="THQ21" s="1280"/>
      <c r="THR21" s="1280"/>
      <c r="THS21" s="1280"/>
      <c r="THT21" s="1280"/>
      <c r="THU21" s="1280"/>
      <c r="THV21" s="1280"/>
      <c r="THW21" s="1280"/>
      <c r="THX21" s="1280"/>
      <c r="THY21" s="1280"/>
      <c r="THZ21" s="1280"/>
      <c r="TIA21" s="1280"/>
      <c r="TIB21" s="1280"/>
      <c r="TIC21" s="1280"/>
      <c r="TID21" s="1280"/>
      <c r="TIE21" s="1280"/>
      <c r="TIF21" s="1280"/>
      <c r="TIG21" s="1280"/>
      <c r="TIH21" s="1280"/>
      <c r="TII21" s="1280"/>
      <c r="TIJ21" s="1280"/>
      <c r="TIK21" s="1280"/>
      <c r="TIL21" s="1280"/>
      <c r="TIM21" s="1280"/>
      <c r="TIN21" s="1280"/>
      <c r="TIO21" s="1280"/>
      <c r="TIP21" s="1280"/>
      <c r="TIQ21" s="1280"/>
      <c r="TIR21" s="1280"/>
      <c r="TIS21" s="1280"/>
      <c r="TIT21" s="1280"/>
      <c r="TIU21" s="1280"/>
      <c r="TIV21" s="1280"/>
      <c r="TIW21" s="1280"/>
      <c r="TIX21" s="1280"/>
      <c r="TIY21" s="1280"/>
      <c r="TIZ21" s="1280"/>
      <c r="TJA21" s="1280"/>
      <c r="TJB21" s="1280"/>
      <c r="TJC21" s="1280"/>
      <c r="TJD21" s="1280"/>
      <c r="TJE21" s="1280"/>
      <c r="TJF21" s="1280"/>
      <c r="TJG21" s="1280"/>
      <c r="TJH21" s="1280"/>
      <c r="TJI21" s="1280"/>
      <c r="TJJ21" s="1280"/>
      <c r="TJK21" s="1280"/>
      <c r="TJL21" s="1280"/>
      <c r="TJM21" s="1280"/>
      <c r="TJN21" s="1280"/>
      <c r="TJO21" s="1280"/>
      <c r="TJP21" s="1280"/>
      <c r="TJQ21" s="1280"/>
      <c r="TJR21" s="1280"/>
      <c r="TJS21" s="1280"/>
      <c r="TJT21" s="1280"/>
      <c r="TJU21" s="1280"/>
      <c r="TJV21" s="1280"/>
      <c r="TJW21" s="1280"/>
      <c r="TJX21" s="1280"/>
      <c r="TJY21" s="1280"/>
      <c r="TJZ21" s="1280"/>
      <c r="TKA21" s="1280"/>
      <c r="TKB21" s="1280"/>
      <c r="TKC21" s="1280"/>
      <c r="TKD21" s="1280"/>
      <c r="TKE21" s="1280"/>
      <c r="TKF21" s="1280"/>
      <c r="TKG21" s="1280"/>
      <c r="TKH21" s="1280"/>
      <c r="TKI21" s="1280"/>
      <c r="TKJ21" s="1280"/>
      <c r="TKK21" s="1280"/>
      <c r="TKL21" s="1280"/>
      <c r="TKM21" s="1280"/>
      <c r="TKN21" s="1280"/>
      <c r="TKO21" s="1280"/>
      <c r="TKP21" s="1280"/>
      <c r="TKQ21" s="1280"/>
      <c r="TKR21" s="1280"/>
      <c r="TKS21" s="1280"/>
      <c r="TKT21" s="1280"/>
      <c r="TKU21" s="1280"/>
      <c r="TKV21" s="1280"/>
      <c r="TKW21" s="1280"/>
      <c r="TKX21" s="1280"/>
      <c r="TKY21" s="1280"/>
      <c r="TKZ21" s="1280"/>
      <c r="TLA21" s="1280"/>
      <c r="TLB21" s="1280"/>
      <c r="TLC21" s="1280"/>
      <c r="TLD21" s="1280"/>
      <c r="TLE21" s="1280"/>
      <c r="TLF21" s="1280"/>
      <c r="TLG21" s="1280"/>
      <c r="TLH21" s="1280"/>
      <c r="TLI21" s="1280"/>
      <c r="TLJ21" s="1280"/>
      <c r="TLK21" s="1280"/>
      <c r="TLL21" s="1280"/>
      <c r="TLM21" s="1280"/>
      <c r="TLN21" s="1280"/>
      <c r="TLO21" s="1280"/>
      <c r="TLP21" s="1280"/>
      <c r="TLQ21" s="1280"/>
      <c r="TLR21" s="1280"/>
      <c r="TLS21" s="1280"/>
      <c r="TLT21" s="1280"/>
      <c r="TLU21" s="1280"/>
      <c r="TLV21" s="1280"/>
      <c r="TLW21" s="1280"/>
      <c r="TLX21" s="1280"/>
      <c r="TLY21" s="1280"/>
      <c r="TLZ21" s="1280"/>
      <c r="TMA21" s="1280"/>
      <c r="TMB21" s="1280"/>
      <c r="TMC21" s="1280"/>
      <c r="TMD21" s="1280"/>
      <c r="TME21" s="1280"/>
      <c r="TMF21" s="1280"/>
      <c r="TMG21" s="1280"/>
      <c r="TMH21" s="1280"/>
      <c r="TMI21" s="1280"/>
      <c r="TMJ21" s="1280"/>
      <c r="TMK21" s="1280"/>
      <c r="TML21" s="1280"/>
      <c r="TMM21" s="1280"/>
      <c r="TMN21" s="1280"/>
      <c r="TMO21" s="1280"/>
      <c r="TMP21" s="1280"/>
      <c r="TMQ21" s="1280"/>
      <c r="TMR21" s="1280"/>
      <c r="TMS21" s="1280"/>
      <c r="TMT21" s="1280"/>
      <c r="TMU21" s="1280"/>
      <c r="TMV21" s="1280"/>
      <c r="TMW21" s="1280"/>
      <c r="TMX21" s="1280"/>
      <c r="TMY21" s="1280"/>
      <c r="TMZ21" s="1280"/>
      <c r="TNA21" s="1280"/>
      <c r="TNB21" s="1280"/>
      <c r="TNC21" s="1280"/>
      <c r="TND21" s="1280"/>
      <c r="TNE21" s="1280"/>
      <c r="TNF21" s="1280"/>
      <c r="TNG21" s="1280"/>
      <c r="TNH21" s="1280"/>
      <c r="TNI21" s="1280"/>
      <c r="TNJ21" s="1280"/>
      <c r="TNK21" s="1280"/>
      <c r="TNL21" s="1280"/>
      <c r="TNM21" s="1280"/>
      <c r="TNN21" s="1280"/>
      <c r="TNO21" s="1280"/>
      <c r="TNP21" s="1280"/>
      <c r="TNQ21" s="1280"/>
      <c r="TNR21" s="1280"/>
      <c r="TNS21" s="1280"/>
      <c r="TNT21" s="1280"/>
      <c r="TNU21" s="1280"/>
      <c r="TNV21" s="1280"/>
      <c r="TNW21" s="1280"/>
      <c r="TNX21" s="1280"/>
      <c r="TNY21" s="1280"/>
      <c r="TNZ21" s="1280"/>
      <c r="TOA21" s="1280"/>
      <c r="TOB21" s="1280"/>
      <c r="TOC21" s="1280"/>
      <c r="TOD21" s="1280"/>
      <c r="TOE21" s="1280"/>
      <c r="TOF21" s="1280"/>
      <c r="TOG21" s="1280"/>
      <c r="TOH21" s="1280"/>
      <c r="TOI21" s="1280"/>
      <c r="TOJ21" s="1280"/>
      <c r="TOK21" s="1280"/>
      <c r="TOL21" s="1280"/>
      <c r="TOM21" s="1280"/>
      <c r="TON21" s="1280"/>
      <c r="TOO21" s="1280"/>
      <c r="TOP21" s="1280"/>
      <c r="TOQ21" s="1280"/>
      <c r="TOR21" s="1280"/>
      <c r="TOS21" s="1280"/>
      <c r="TOT21" s="1280"/>
      <c r="TOU21" s="1280"/>
      <c r="TOV21" s="1280"/>
      <c r="TOW21" s="1280"/>
      <c r="TOX21" s="1280"/>
      <c r="TOY21" s="1280"/>
      <c r="TOZ21" s="1280"/>
      <c r="TPA21" s="1280"/>
      <c r="TPB21" s="1280"/>
      <c r="TPC21" s="1280"/>
      <c r="TPD21" s="1280"/>
      <c r="TPE21" s="1280"/>
      <c r="TPF21" s="1280"/>
      <c r="TPG21" s="1280"/>
      <c r="TPH21" s="1280"/>
      <c r="TPI21" s="1280"/>
      <c r="TPJ21" s="1280"/>
      <c r="TPK21" s="1280"/>
      <c r="TPL21" s="1280"/>
      <c r="TPM21" s="1280"/>
      <c r="TPN21" s="1280"/>
      <c r="TPO21" s="1280"/>
      <c r="TPP21" s="1280"/>
      <c r="TPQ21" s="1280"/>
      <c r="TPR21" s="1280"/>
      <c r="TPS21" s="1280"/>
      <c r="TPT21" s="1280"/>
      <c r="TPU21" s="1280"/>
      <c r="TPV21" s="1280"/>
      <c r="TPW21" s="1280"/>
      <c r="TPX21" s="1280"/>
      <c r="TPY21" s="1280"/>
      <c r="TPZ21" s="1280"/>
      <c r="TQA21" s="1280"/>
      <c r="TQB21" s="1280"/>
      <c r="TQC21" s="1280"/>
      <c r="TQD21" s="1280"/>
      <c r="TQE21" s="1280"/>
      <c r="TQF21" s="1280"/>
      <c r="TQG21" s="1280"/>
      <c r="TQH21" s="1280"/>
      <c r="TQI21" s="1280"/>
      <c r="TQJ21" s="1280"/>
      <c r="TQK21" s="1280"/>
      <c r="TQL21" s="1280"/>
      <c r="TQM21" s="1280"/>
      <c r="TQN21" s="1280"/>
      <c r="TQO21" s="1280"/>
      <c r="TQP21" s="1280"/>
      <c r="TQQ21" s="1280"/>
      <c r="TQR21" s="1280"/>
      <c r="TQS21" s="1280"/>
      <c r="TQT21" s="1280"/>
      <c r="TQU21" s="1280"/>
      <c r="TQV21" s="1280"/>
      <c r="TQW21" s="1280"/>
      <c r="TQX21" s="1280"/>
      <c r="TQY21" s="1280"/>
      <c r="TQZ21" s="1280"/>
      <c r="TRA21" s="1280"/>
      <c r="TRB21" s="1280"/>
      <c r="TRC21" s="1280"/>
      <c r="TRD21" s="1280"/>
      <c r="TRE21" s="1280"/>
      <c r="TRF21" s="1280"/>
      <c r="TRG21" s="1280"/>
      <c r="TRH21" s="1280"/>
      <c r="TRI21" s="1280"/>
      <c r="TRJ21" s="1280"/>
      <c r="TRK21" s="1280"/>
      <c r="TRL21" s="1280"/>
      <c r="TRM21" s="1280"/>
      <c r="TRN21" s="1280"/>
      <c r="TRO21" s="1280"/>
      <c r="TRP21" s="1280"/>
      <c r="TRQ21" s="1280"/>
      <c r="TRR21" s="1280"/>
      <c r="TRS21" s="1280"/>
      <c r="TRT21" s="1280"/>
      <c r="TRU21" s="1280"/>
      <c r="TRV21" s="1280"/>
      <c r="TRW21" s="1280"/>
      <c r="TRX21" s="1280"/>
      <c r="TRY21" s="1280"/>
      <c r="TRZ21" s="1280"/>
      <c r="TSA21" s="1280"/>
      <c r="TSB21" s="1280"/>
      <c r="TSC21" s="1280"/>
      <c r="TSD21" s="1280"/>
      <c r="TSE21" s="1280"/>
      <c r="TSF21" s="1280"/>
      <c r="TSG21" s="1280"/>
      <c r="TSH21" s="1280"/>
      <c r="TSI21" s="1280"/>
      <c r="TSJ21" s="1280"/>
      <c r="TSK21" s="1280"/>
      <c r="TSL21" s="1280"/>
      <c r="TSM21" s="1280"/>
      <c r="TSN21" s="1280"/>
      <c r="TSO21" s="1280"/>
      <c r="TSP21" s="1280"/>
      <c r="TSQ21" s="1280"/>
      <c r="TSR21" s="1280"/>
      <c r="TSS21" s="1280"/>
      <c r="TST21" s="1280"/>
      <c r="TSU21" s="1280"/>
      <c r="TSV21" s="1280"/>
      <c r="TSW21" s="1280"/>
      <c r="TSX21" s="1280"/>
      <c r="TSY21" s="1280"/>
      <c r="TSZ21" s="1280"/>
      <c r="TTA21" s="1280"/>
      <c r="TTB21" s="1280"/>
      <c r="TTC21" s="1280"/>
      <c r="TTD21" s="1280"/>
      <c r="TTE21" s="1280"/>
      <c r="TTF21" s="1280"/>
      <c r="TTG21" s="1280"/>
      <c r="TTH21" s="1280"/>
      <c r="TTI21" s="1280"/>
      <c r="TTJ21" s="1280"/>
      <c r="TTK21" s="1280"/>
      <c r="TTL21" s="1280"/>
      <c r="TTM21" s="1280"/>
      <c r="TTN21" s="1280"/>
      <c r="TTO21" s="1280"/>
      <c r="TTP21" s="1280"/>
      <c r="TTQ21" s="1280"/>
      <c r="TTR21" s="1280"/>
      <c r="TTS21" s="1280"/>
      <c r="TTT21" s="1280"/>
      <c r="TTU21" s="1280"/>
      <c r="TTV21" s="1280"/>
      <c r="TTW21" s="1280"/>
      <c r="TTX21" s="1280"/>
      <c r="TTY21" s="1280"/>
      <c r="TTZ21" s="1280"/>
      <c r="TUA21" s="1280"/>
      <c r="TUB21" s="1280"/>
      <c r="TUC21" s="1280"/>
      <c r="TUD21" s="1280"/>
      <c r="TUE21" s="1280"/>
      <c r="TUF21" s="1280"/>
      <c r="TUG21" s="1280"/>
      <c r="TUH21" s="1280"/>
      <c r="TUI21" s="1280"/>
      <c r="TUJ21" s="1280"/>
      <c r="TUK21" s="1280"/>
      <c r="TUL21" s="1280"/>
      <c r="TUM21" s="1280"/>
      <c r="TUN21" s="1280"/>
      <c r="TUO21" s="1280"/>
      <c r="TUP21" s="1280"/>
      <c r="TUQ21" s="1280"/>
      <c r="TUR21" s="1280"/>
      <c r="TUS21" s="1280"/>
      <c r="TUT21" s="1280"/>
      <c r="TUU21" s="1280"/>
      <c r="TUV21" s="1280"/>
      <c r="TUW21" s="1280"/>
      <c r="TUX21" s="1280"/>
      <c r="TUY21" s="1280"/>
      <c r="TUZ21" s="1280"/>
      <c r="TVA21" s="1280"/>
      <c r="TVB21" s="1280"/>
      <c r="TVC21" s="1280"/>
      <c r="TVD21" s="1280"/>
      <c r="TVE21" s="1280"/>
      <c r="TVF21" s="1280"/>
      <c r="TVG21" s="1280"/>
      <c r="TVH21" s="1280"/>
      <c r="TVI21" s="1280"/>
      <c r="TVJ21" s="1280"/>
      <c r="TVK21" s="1280"/>
      <c r="TVL21" s="1280"/>
      <c r="TVM21" s="1280"/>
      <c r="TVN21" s="1280"/>
      <c r="TVO21" s="1280"/>
      <c r="TVP21" s="1280"/>
      <c r="TVQ21" s="1280"/>
      <c r="TVR21" s="1280"/>
      <c r="TVS21" s="1280"/>
      <c r="TVT21" s="1280"/>
      <c r="TVU21" s="1280"/>
      <c r="TVV21" s="1280"/>
      <c r="TVW21" s="1280"/>
      <c r="TVX21" s="1280"/>
      <c r="TVY21" s="1280"/>
      <c r="TVZ21" s="1280"/>
      <c r="TWA21" s="1280"/>
      <c r="TWB21" s="1280"/>
      <c r="TWC21" s="1280"/>
      <c r="TWD21" s="1280"/>
      <c r="TWE21" s="1280"/>
      <c r="TWF21" s="1280"/>
      <c r="TWG21" s="1280"/>
      <c r="TWH21" s="1280"/>
      <c r="TWI21" s="1280"/>
      <c r="TWJ21" s="1280"/>
      <c r="TWK21" s="1280"/>
      <c r="TWL21" s="1280"/>
      <c r="TWM21" s="1280"/>
      <c r="TWN21" s="1280"/>
      <c r="TWO21" s="1280"/>
      <c r="TWP21" s="1280"/>
      <c r="TWQ21" s="1280"/>
      <c r="TWR21" s="1280"/>
      <c r="TWS21" s="1280"/>
      <c r="TWT21" s="1280"/>
      <c r="TWU21" s="1280"/>
      <c r="TWV21" s="1280"/>
      <c r="TWW21" s="1280"/>
      <c r="TWX21" s="1280"/>
      <c r="TWY21" s="1280"/>
      <c r="TWZ21" s="1280"/>
      <c r="TXA21" s="1280"/>
      <c r="TXB21" s="1280"/>
      <c r="TXC21" s="1280"/>
      <c r="TXD21" s="1280"/>
      <c r="TXE21" s="1280"/>
      <c r="TXF21" s="1280"/>
      <c r="TXG21" s="1280"/>
      <c r="TXH21" s="1280"/>
      <c r="TXI21" s="1280"/>
      <c r="TXJ21" s="1280"/>
      <c r="TXK21" s="1280"/>
      <c r="TXL21" s="1280"/>
      <c r="TXM21" s="1280"/>
      <c r="TXN21" s="1280"/>
      <c r="TXO21" s="1280"/>
      <c r="TXP21" s="1280"/>
      <c r="TXQ21" s="1280"/>
      <c r="TXR21" s="1280"/>
      <c r="TXS21" s="1280"/>
      <c r="TXT21" s="1280"/>
      <c r="TXU21" s="1280"/>
      <c r="TXV21" s="1280"/>
      <c r="TXW21" s="1280"/>
      <c r="TXX21" s="1280"/>
      <c r="TXY21" s="1280"/>
      <c r="TXZ21" s="1280"/>
      <c r="TYA21" s="1280"/>
      <c r="TYB21" s="1280"/>
      <c r="TYC21" s="1280"/>
      <c r="TYD21" s="1280"/>
      <c r="TYE21" s="1280"/>
      <c r="TYF21" s="1280"/>
      <c r="TYG21" s="1280"/>
      <c r="TYH21" s="1280"/>
      <c r="TYI21" s="1280"/>
      <c r="TYJ21" s="1280"/>
      <c r="TYK21" s="1280"/>
      <c r="TYL21" s="1280"/>
      <c r="TYM21" s="1280"/>
      <c r="TYN21" s="1280"/>
      <c r="TYO21" s="1280"/>
      <c r="TYP21" s="1280"/>
      <c r="TYQ21" s="1280"/>
      <c r="TYR21" s="1280"/>
      <c r="TYS21" s="1280"/>
      <c r="TYT21" s="1280"/>
      <c r="TYU21" s="1280"/>
      <c r="TYV21" s="1280"/>
      <c r="TYW21" s="1280"/>
      <c r="TYX21" s="1280"/>
      <c r="TYY21" s="1280"/>
      <c r="TYZ21" s="1280"/>
      <c r="TZA21" s="1280"/>
      <c r="TZB21" s="1280"/>
      <c r="TZC21" s="1280"/>
      <c r="TZD21" s="1280"/>
      <c r="TZE21" s="1280"/>
      <c r="TZF21" s="1280"/>
      <c r="TZG21" s="1280"/>
      <c r="TZH21" s="1280"/>
      <c r="TZI21" s="1280"/>
      <c r="TZJ21" s="1280"/>
      <c r="TZK21" s="1280"/>
      <c r="TZL21" s="1280"/>
      <c r="TZM21" s="1280"/>
      <c r="TZN21" s="1280"/>
      <c r="TZO21" s="1280"/>
      <c r="TZP21" s="1280"/>
      <c r="TZQ21" s="1280"/>
      <c r="TZR21" s="1280"/>
      <c r="TZS21" s="1280"/>
      <c r="TZT21" s="1280"/>
      <c r="TZU21" s="1280"/>
      <c r="TZV21" s="1280"/>
      <c r="TZW21" s="1280"/>
      <c r="TZX21" s="1280"/>
      <c r="TZY21" s="1280"/>
      <c r="TZZ21" s="1280"/>
      <c r="UAA21" s="1280"/>
      <c r="UAB21" s="1280"/>
      <c r="UAC21" s="1280"/>
      <c r="UAD21" s="1280"/>
      <c r="UAE21" s="1280"/>
      <c r="UAF21" s="1280"/>
      <c r="UAG21" s="1280"/>
      <c r="UAH21" s="1280"/>
      <c r="UAI21" s="1280"/>
      <c r="UAJ21" s="1280"/>
      <c r="UAK21" s="1280"/>
      <c r="UAL21" s="1280"/>
      <c r="UAM21" s="1280"/>
      <c r="UAN21" s="1280"/>
      <c r="UAO21" s="1280"/>
      <c r="UAP21" s="1280"/>
      <c r="UAQ21" s="1280"/>
      <c r="UAR21" s="1280"/>
      <c r="UAS21" s="1280"/>
      <c r="UAT21" s="1280"/>
      <c r="UAU21" s="1280"/>
      <c r="UAV21" s="1280"/>
      <c r="UAW21" s="1280"/>
      <c r="UAX21" s="1280"/>
      <c r="UAY21" s="1280"/>
      <c r="UAZ21" s="1280"/>
      <c r="UBA21" s="1280"/>
      <c r="UBB21" s="1280"/>
      <c r="UBC21" s="1280"/>
      <c r="UBD21" s="1280"/>
      <c r="UBE21" s="1280"/>
      <c r="UBF21" s="1280"/>
      <c r="UBG21" s="1280"/>
      <c r="UBH21" s="1280"/>
      <c r="UBI21" s="1280"/>
      <c r="UBJ21" s="1280"/>
      <c r="UBK21" s="1280"/>
      <c r="UBL21" s="1280"/>
      <c r="UBM21" s="1280"/>
      <c r="UBN21" s="1280"/>
      <c r="UBO21" s="1280"/>
      <c r="UBP21" s="1280"/>
      <c r="UBQ21" s="1280"/>
      <c r="UBR21" s="1280"/>
      <c r="UBS21" s="1280"/>
      <c r="UBT21" s="1280"/>
      <c r="UBU21" s="1280"/>
      <c r="UBV21" s="1280"/>
      <c r="UBW21" s="1280"/>
      <c r="UBX21" s="1280"/>
      <c r="UBY21" s="1280"/>
      <c r="UBZ21" s="1280"/>
      <c r="UCA21" s="1280"/>
      <c r="UCB21" s="1280"/>
      <c r="UCC21" s="1280"/>
      <c r="UCD21" s="1280"/>
      <c r="UCE21" s="1280"/>
      <c r="UCF21" s="1280"/>
      <c r="UCG21" s="1280"/>
      <c r="UCH21" s="1280"/>
      <c r="UCI21" s="1280"/>
      <c r="UCJ21" s="1280"/>
      <c r="UCK21" s="1280"/>
      <c r="UCL21" s="1280"/>
      <c r="UCM21" s="1280"/>
      <c r="UCN21" s="1280"/>
      <c r="UCO21" s="1280"/>
      <c r="UCP21" s="1280"/>
      <c r="UCQ21" s="1280"/>
      <c r="UCR21" s="1280"/>
      <c r="UCS21" s="1280"/>
      <c r="UCT21" s="1280"/>
      <c r="UCU21" s="1280"/>
      <c r="UCV21" s="1280"/>
      <c r="UCW21" s="1280"/>
      <c r="UCX21" s="1280"/>
      <c r="UCY21" s="1280"/>
      <c r="UCZ21" s="1280"/>
      <c r="UDA21" s="1280"/>
      <c r="UDB21" s="1280"/>
      <c r="UDC21" s="1280"/>
      <c r="UDD21" s="1280"/>
      <c r="UDE21" s="1280"/>
      <c r="UDF21" s="1280"/>
      <c r="UDG21" s="1280"/>
      <c r="UDH21" s="1280"/>
      <c r="UDI21" s="1280"/>
      <c r="UDJ21" s="1280"/>
      <c r="UDK21" s="1280"/>
      <c r="UDL21" s="1280"/>
      <c r="UDM21" s="1280"/>
      <c r="UDN21" s="1280"/>
      <c r="UDO21" s="1280"/>
      <c r="UDP21" s="1280"/>
      <c r="UDQ21" s="1280"/>
      <c r="UDR21" s="1280"/>
      <c r="UDS21" s="1280"/>
      <c r="UDT21" s="1280"/>
      <c r="UDU21" s="1280"/>
      <c r="UDV21" s="1280"/>
      <c r="UDW21" s="1280"/>
      <c r="UDX21" s="1280"/>
      <c r="UDY21" s="1280"/>
      <c r="UDZ21" s="1280"/>
      <c r="UEA21" s="1280"/>
      <c r="UEB21" s="1280"/>
      <c r="UEC21" s="1280"/>
      <c r="UED21" s="1280"/>
      <c r="UEE21" s="1280"/>
      <c r="UEF21" s="1280"/>
      <c r="UEG21" s="1280"/>
      <c r="UEH21" s="1280"/>
      <c r="UEI21" s="1280"/>
      <c r="UEJ21" s="1280"/>
      <c r="UEK21" s="1280"/>
      <c r="UEL21" s="1280"/>
      <c r="UEM21" s="1280"/>
      <c r="UEN21" s="1280"/>
      <c r="UEO21" s="1280"/>
      <c r="UEP21" s="1280"/>
      <c r="UEQ21" s="1280"/>
      <c r="UER21" s="1280"/>
      <c r="UES21" s="1280"/>
      <c r="UET21" s="1280"/>
      <c r="UEU21" s="1280"/>
      <c r="UEV21" s="1280"/>
      <c r="UEW21" s="1280"/>
      <c r="UEX21" s="1280"/>
      <c r="UEY21" s="1280"/>
      <c r="UEZ21" s="1280"/>
      <c r="UFA21" s="1280"/>
      <c r="UFB21" s="1280"/>
      <c r="UFC21" s="1280"/>
      <c r="UFD21" s="1280"/>
      <c r="UFE21" s="1280"/>
      <c r="UFF21" s="1280"/>
      <c r="UFG21" s="1280"/>
      <c r="UFH21" s="1280"/>
      <c r="UFI21" s="1280"/>
      <c r="UFJ21" s="1280"/>
      <c r="UFK21" s="1280"/>
      <c r="UFL21" s="1280"/>
      <c r="UFM21" s="1280"/>
      <c r="UFN21" s="1280"/>
      <c r="UFO21" s="1280"/>
      <c r="UFP21" s="1280"/>
      <c r="UFQ21" s="1280"/>
      <c r="UFR21" s="1280"/>
      <c r="UFS21" s="1280"/>
      <c r="UFT21" s="1280"/>
      <c r="UFU21" s="1280"/>
      <c r="UFV21" s="1280"/>
      <c r="UFW21" s="1280"/>
      <c r="UFX21" s="1280"/>
      <c r="UFY21" s="1280"/>
      <c r="UFZ21" s="1280"/>
      <c r="UGA21" s="1280"/>
      <c r="UGB21" s="1280"/>
      <c r="UGC21" s="1280"/>
      <c r="UGD21" s="1280"/>
      <c r="UGE21" s="1280"/>
      <c r="UGF21" s="1280"/>
      <c r="UGG21" s="1280"/>
      <c r="UGH21" s="1280"/>
      <c r="UGI21" s="1280"/>
      <c r="UGJ21" s="1280"/>
      <c r="UGK21" s="1280"/>
      <c r="UGL21" s="1280"/>
      <c r="UGM21" s="1280"/>
      <c r="UGN21" s="1280"/>
      <c r="UGO21" s="1280"/>
      <c r="UGP21" s="1280"/>
      <c r="UGQ21" s="1280"/>
      <c r="UGR21" s="1280"/>
      <c r="UGS21" s="1280"/>
      <c r="UGT21" s="1280"/>
      <c r="UGU21" s="1280"/>
      <c r="UGV21" s="1280"/>
      <c r="UGW21" s="1280"/>
      <c r="UGX21" s="1280"/>
      <c r="UGY21" s="1280"/>
      <c r="UGZ21" s="1280"/>
      <c r="UHA21" s="1280"/>
      <c r="UHB21" s="1280"/>
      <c r="UHC21" s="1280"/>
      <c r="UHD21" s="1280"/>
      <c r="UHE21" s="1280"/>
      <c r="UHF21" s="1280"/>
      <c r="UHG21" s="1280"/>
      <c r="UHH21" s="1280"/>
      <c r="UHI21" s="1280"/>
      <c r="UHJ21" s="1280"/>
      <c r="UHK21" s="1280"/>
      <c r="UHL21" s="1280"/>
      <c r="UHM21" s="1280"/>
      <c r="UHN21" s="1280"/>
      <c r="UHO21" s="1280"/>
      <c r="UHP21" s="1280"/>
      <c r="UHQ21" s="1280"/>
      <c r="UHR21" s="1280"/>
      <c r="UHS21" s="1280"/>
      <c r="UHT21" s="1280"/>
      <c r="UHU21" s="1280"/>
      <c r="UHV21" s="1280"/>
      <c r="UHW21" s="1280"/>
      <c r="UHX21" s="1280"/>
      <c r="UHY21" s="1280"/>
      <c r="UHZ21" s="1280"/>
      <c r="UIA21" s="1280"/>
      <c r="UIB21" s="1280"/>
      <c r="UIC21" s="1280"/>
      <c r="UID21" s="1280"/>
      <c r="UIE21" s="1280"/>
      <c r="UIF21" s="1280"/>
      <c r="UIG21" s="1280"/>
      <c r="UIH21" s="1280"/>
      <c r="UII21" s="1280"/>
      <c r="UIJ21" s="1280"/>
      <c r="UIK21" s="1280"/>
      <c r="UIL21" s="1280"/>
      <c r="UIM21" s="1280"/>
      <c r="UIN21" s="1280"/>
      <c r="UIO21" s="1280"/>
      <c r="UIP21" s="1280"/>
      <c r="UIQ21" s="1280"/>
      <c r="UIR21" s="1280"/>
      <c r="UIS21" s="1280"/>
      <c r="UIT21" s="1280"/>
      <c r="UIU21" s="1280"/>
      <c r="UIV21" s="1280"/>
      <c r="UIW21" s="1280"/>
      <c r="UIX21" s="1280"/>
      <c r="UIY21" s="1280"/>
      <c r="UIZ21" s="1280"/>
      <c r="UJA21" s="1280"/>
      <c r="UJB21" s="1280"/>
      <c r="UJC21" s="1280"/>
      <c r="UJD21" s="1280"/>
      <c r="UJE21" s="1280"/>
      <c r="UJF21" s="1280"/>
      <c r="UJG21" s="1280"/>
      <c r="UJH21" s="1280"/>
      <c r="UJI21" s="1280"/>
      <c r="UJJ21" s="1280"/>
      <c r="UJK21" s="1280"/>
      <c r="UJL21" s="1280"/>
      <c r="UJM21" s="1280"/>
      <c r="UJN21" s="1280"/>
      <c r="UJO21" s="1280"/>
      <c r="UJP21" s="1280"/>
      <c r="UJQ21" s="1280"/>
      <c r="UJR21" s="1280"/>
      <c r="UJS21" s="1280"/>
      <c r="UJT21" s="1280"/>
      <c r="UJU21" s="1280"/>
      <c r="UJV21" s="1280"/>
      <c r="UJW21" s="1280"/>
      <c r="UJX21" s="1280"/>
      <c r="UJY21" s="1280"/>
      <c r="UJZ21" s="1280"/>
      <c r="UKA21" s="1280"/>
      <c r="UKB21" s="1280"/>
      <c r="UKC21" s="1280"/>
      <c r="UKD21" s="1280"/>
      <c r="UKE21" s="1280"/>
      <c r="UKF21" s="1280"/>
      <c r="UKG21" s="1280"/>
      <c r="UKH21" s="1280"/>
      <c r="UKI21" s="1280"/>
      <c r="UKJ21" s="1280"/>
      <c r="UKK21" s="1280"/>
      <c r="UKL21" s="1280"/>
      <c r="UKM21" s="1280"/>
      <c r="UKN21" s="1280"/>
      <c r="UKO21" s="1280"/>
      <c r="UKP21" s="1280"/>
      <c r="UKQ21" s="1280"/>
      <c r="UKR21" s="1280"/>
      <c r="UKS21" s="1280"/>
      <c r="UKT21" s="1280"/>
      <c r="UKU21" s="1280"/>
      <c r="UKV21" s="1280"/>
      <c r="UKW21" s="1280"/>
      <c r="UKX21" s="1280"/>
      <c r="UKY21" s="1280"/>
      <c r="UKZ21" s="1280"/>
      <c r="ULA21" s="1280"/>
      <c r="ULB21" s="1280"/>
      <c r="ULC21" s="1280"/>
      <c r="ULD21" s="1280"/>
      <c r="ULE21" s="1280"/>
      <c r="ULF21" s="1280"/>
      <c r="ULG21" s="1280"/>
      <c r="ULH21" s="1280"/>
      <c r="ULI21" s="1280"/>
      <c r="ULJ21" s="1280"/>
      <c r="ULK21" s="1280"/>
      <c r="ULL21" s="1280"/>
      <c r="ULM21" s="1280"/>
      <c r="ULN21" s="1280"/>
      <c r="ULO21" s="1280"/>
      <c r="ULP21" s="1280"/>
      <c r="ULQ21" s="1280"/>
      <c r="ULR21" s="1280"/>
      <c r="ULS21" s="1280"/>
      <c r="ULT21" s="1280"/>
      <c r="ULU21" s="1280"/>
      <c r="ULV21" s="1280"/>
      <c r="ULW21" s="1280"/>
      <c r="ULX21" s="1280"/>
      <c r="ULY21" s="1280"/>
      <c r="ULZ21" s="1280"/>
      <c r="UMA21" s="1280"/>
      <c r="UMB21" s="1280"/>
      <c r="UMC21" s="1280"/>
      <c r="UMD21" s="1280"/>
      <c r="UME21" s="1280"/>
      <c r="UMF21" s="1280"/>
      <c r="UMG21" s="1280"/>
      <c r="UMH21" s="1280"/>
      <c r="UMI21" s="1280"/>
      <c r="UMJ21" s="1280"/>
      <c r="UMK21" s="1280"/>
      <c r="UML21" s="1280"/>
      <c r="UMM21" s="1280"/>
      <c r="UMN21" s="1280"/>
      <c r="UMO21" s="1280"/>
      <c r="UMP21" s="1280"/>
      <c r="UMQ21" s="1280"/>
      <c r="UMR21" s="1280"/>
      <c r="UMS21" s="1280"/>
      <c r="UMT21" s="1280"/>
      <c r="UMU21" s="1280"/>
      <c r="UMV21" s="1280"/>
      <c r="UMW21" s="1280"/>
      <c r="UMX21" s="1280"/>
      <c r="UMY21" s="1280"/>
      <c r="UMZ21" s="1280"/>
      <c r="UNA21" s="1280"/>
      <c r="UNB21" s="1280"/>
      <c r="UNC21" s="1280"/>
      <c r="UND21" s="1280"/>
      <c r="UNE21" s="1280"/>
      <c r="UNF21" s="1280"/>
      <c r="UNG21" s="1280"/>
      <c r="UNH21" s="1280"/>
      <c r="UNI21" s="1280"/>
      <c r="UNJ21" s="1280"/>
      <c r="UNK21" s="1280"/>
      <c r="UNL21" s="1280"/>
      <c r="UNM21" s="1280"/>
      <c r="UNN21" s="1280"/>
      <c r="UNO21" s="1280"/>
      <c r="UNP21" s="1280"/>
      <c r="UNQ21" s="1280"/>
      <c r="UNR21" s="1280"/>
      <c r="UNS21" s="1280"/>
      <c r="UNT21" s="1280"/>
      <c r="UNU21" s="1280"/>
      <c r="UNV21" s="1280"/>
      <c r="UNW21" s="1280"/>
      <c r="UNX21" s="1280"/>
      <c r="UNY21" s="1280"/>
      <c r="UNZ21" s="1280"/>
      <c r="UOA21" s="1280"/>
      <c r="UOB21" s="1280"/>
      <c r="UOC21" s="1280"/>
      <c r="UOD21" s="1280"/>
      <c r="UOE21" s="1280"/>
      <c r="UOF21" s="1280"/>
      <c r="UOG21" s="1280"/>
      <c r="UOH21" s="1280"/>
      <c r="UOI21" s="1280"/>
      <c r="UOJ21" s="1280"/>
      <c r="UOK21" s="1280"/>
      <c r="UOL21" s="1280"/>
      <c r="UOM21" s="1280"/>
      <c r="UON21" s="1280"/>
      <c r="UOO21" s="1280"/>
      <c r="UOP21" s="1280"/>
      <c r="UOQ21" s="1280"/>
      <c r="UOR21" s="1280"/>
      <c r="UOS21" s="1280"/>
      <c r="UOT21" s="1280"/>
      <c r="UOU21" s="1280"/>
      <c r="UOV21" s="1280"/>
      <c r="UOW21" s="1280"/>
      <c r="UOX21" s="1280"/>
      <c r="UOY21" s="1280"/>
      <c r="UOZ21" s="1280"/>
      <c r="UPA21" s="1280"/>
      <c r="UPB21" s="1280"/>
      <c r="UPC21" s="1280"/>
      <c r="UPD21" s="1280"/>
      <c r="UPE21" s="1280"/>
      <c r="UPF21" s="1280"/>
      <c r="UPG21" s="1280"/>
      <c r="UPH21" s="1280"/>
      <c r="UPI21" s="1280"/>
      <c r="UPJ21" s="1280"/>
      <c r="UPK21" s="1280"/>
      <c r="UPL21" s="1280"/>
      <c r="UPM21" s="1280"/>
      <c r="UPN21" s="1280"/>
      <c r="UPO21" s="1280"/>
      <c r="UPP21" s="1280"/>
      <c r="UPQ21" s="1280"/>
      <c r="UPR21" s="1280"/>
      <c r="UPS21" s="1280"/>
      <c r="UPT21" s="1280"/>
      <c r="UPU21" s="1280"/>
      <c r="UPV21" s="1280"/>
      <c r="UPW21" s="1280"/>
      <c r="UPX21" s="1280"/>
      <c r="UPY21" s="1280"/>
      <c r="UPZ21" s="1280"/>
      <c r="UQA21" s="1280"/>
      <c r="UQB21" s="1280"/>
      <c r="UQC21" s="1280"/>
      <c r="UQD21" s="1280"/>
      <c r="UQE21" s="1280"/>
      <c r="UQF21" s="1280"/>
      <c r="UQG21" s="1280"/>
      <c r="UQH21" s="1280"/>
      <c r="UQI21" s="1280"/>
      <c r="UQJ21" s="1280"/>
      <c r="UQK21" s="1280"/>
      <c r="UQL21" s="1280"/>
      <c r="UQM21" s="1280"/>
      <c r="UQN21" s="1280"/>
      <c r="UQO21" s="1280"/>
      <c r="UQP21" s="1280"/>
      <c r="UQQ21" s="1280"/>
      <c r="UQR21" s="1280"/>
      <c r="UQS21" s="1280"/>
      <c r="UQT21" s="1280"/>
      <c r="UQU21" s="1280"/>
      <c r="UQV21" s="1280"/>
      <c r="UQW21" s="1280"/>
      <c r="UQX21" s="1280"/>
      <c r="UQY21" s="1280"/>
      <c r="UQZ21" s="1280"/>
      <c r="URA21" s="1280"/>
      <c r="URB21" s="1280"/>
      <c r="URC21" s="1280"/>
      <c r="URD21" s="1280"/>
      <c r="URE21" s="1280"/>
      <c r="URF21" s="1280"/>
      <c r="URG21" s="1280"/>
      <c r="URH21" s="1280"/>
      <c r="URI21" s="1280"/>
      <c r="URJ21" s="1280"/>
      <c r="URK21" s="1280"/>
      <c r="URL21" s="1280"/>
      <c r="URM21" s="1280"/>
      <c r="URN21" s="1280"/>
      <c r="URO21" s="1280"/>
      <c r="URP21" s="1280"/>
      <c r="URQ21" s="1280"/>
      <c r="URR21" s="1280"/>
      <c r="URS21" s="1280"/>
      <c r="URT21" s="1280"/>
      <c r="URU21" s="1280"/>
      <c r="URV21" s="1280"/>
      <c r="URW21" s="1280"/>
      <c r="URX21" s="1280"/>
      <c r="URY21" s="1280"/>
      <c r="URZ21" s="1280"/>
      <c r="USA21" s="1280"/>
      <c r="USB21" s="1280"/>
      <c r="USC21" s="1280"/>
      <c r="USD21" s="1280"/>
      <c r="USE21" s="1280"/>
      <c r="USF21" s="1280"/>
      <c r="USG21" s="1280"/>
      <c r="USH21" s="1280"/>
      <c r="USI21" s="1280"/>
      <c r="USJ21" s="1280"/>
      <c r="USK21" s="1280"/>
      <c r="USL21" s="1280"/>
      <c r="USM21" s="1280"/>
      <c r="USN21" s="1280"/>
      <c r="USO21" s="1280"/>
      <c r="USP21" s="1280"/>
      <c r="USQ21" s="1280"/>
      <c r="USR21" s="1280"/>
      <c r="USS21" s="1280"/>
      <c r="UST21" s="1280"/>
      <c r="USU21" s="1280"/>
      <c r="USV21" s="1280"/>
      <c r="USW21" s="1280"/>
      <c r="USX21" s="1280"/>
      <c r="USY21" s="1280"/>
      <c r="USZ21" s="1280"/>
      <c r="UTA21" s="1280"/>
      <c r="UTB21" s="1280"/>
      <c r="UTC21" s="1280"/>
      <c r="UTD21" s="1280"/>
      <c r="UTE21" s="1280"/>
      <c r="UTF21" s="1280"/>
      <c r="UTG21" s="1280"/>
      <c r="UTH21" s="1280"/>
      <c r="UTI21" s="1280"/>
      <c r="UTJ21" s="1280"/>
      <c r="UTK21" s="1280"/>
      <c r="UTL21" s="1280"/>
      <c r="UTM21" s="1280"/>
      <c r="UTN21" s="1280"/>
      <c r="UTO21" s="1280"/>
      <c r="UTP21" s="1280"/>
      <c r="UTQ21" s="1280"/>
      <c r="UTR21" s="1280"/>
      <c r="UTS21" s="1280"/>
      <c r="UTT21" s="1280"/>
      <c r="UTU21" s="1280"/>
      <c r="UTV21" s="1280"/>
      <c r="UTW21" s="1280"/>
      <c r="UTX21" s="1280"/>
      <c r="UTY21" s="1280"/>
      <c r="UTZ21" s="1280"/>
      <c r="UUA21" s="1280"/>
      <c r="UUB21" s="1280"/>
      <c r="UUC21" s="1280"/>
      <c r="UUD21" s="1280"/>
      <c r="UUE21" s="1280"/>
      <c r="UUF21" s="1280"/>
      <c r="UUG21" s="1280"/>
      <c r="UUH21" s="1280"/>
      <c r="UUI21" s="1280"/>
      <c r="UUJ21" s="1280"/>
      <c r="UUK21" s="1280"/>
      <c r="UUL21" s="1280"/>
      <c r="UUM21" s="1280"/>
      <c r="UUN21" s="1280"/>
      <c r="UUO21" s="1280"/>
      <c r="UUP21" s="1280"/>
      <c r="UUQ21" s="1280"/>
      <c r="UUR21" s="1280"/>
      <c r="UUS21" s="1280"/>
      <c r="UUT21" s="1280"/>
      <c r="UUU21" s="1280"/>
      <c r="UUV21" s="1280"/>
      <c r="UUW21" s="1280"/>
      <c r="UUX21" s="1280"/>
      <c r="UUY21" s="1280"/>
      <c r="UUZ21" s="1280"/>
      <c r="UVA21" s="1280"/>
      <c r="UVB21" s="1280"/>
      <c r="UVC21" s="1280"/>
      <c r="UVD21" s="1280"/>
      <c r="UVE21" s="1280"/>
      <c r="UVF21" s="1280"/>
      <c r="UVG21" s="1280"/>
      <c r="UVH21" s="1280"/>
      <c r="UVI21" s="1280"/>
      <c r="UVJ21" s="1280"/>
      <c r="UVK21" s="1280"/>
      <c r="UVL21" s="1280"/>
      <c r="UVM21" s="1280"/>
      <c r="UVN21" s="1280"/>
      <c r="UVO21" s="1280"/>
      <c r="UVP21" s="1280"/>
      <c r="UVQ21" s="1280"/>
      <c r="UVR21" s="1280"/>
      <c r="UVS21" s="1280"/>
      <c r="UVT21" s="1280"/>
      <c r="UVU21" s="1280"/>
      <c r="UVV21" s="1280"/>
      <c r="UVW21" s="1280"/>
      <c r="UVX21" s="1280"/>
      <c r="UVY21" s="1280"/>
      <c r="UVZ21" s="1280"/>
      <c r="UWA21" s="1280"/>
      <c r="UWB21" s="1280"/>
      <c r="UWC21" s="1280"/>
      <c r="UWD21" s="1280"/>
      <c r="UWE21" s="1280"/>
      <c r="UWF21" s="1280"/>
      <c r="UWG21" s="1280"/>
      <c r="UWH21" s="1280"/>
      <c r="UWI21" s="1280"/>
      <c r="UWJ21" s="1280"/>
      <c r="UWK21" s="1280"/>
      <c r="UWL21" s="1280"/>
      <c r="UWM21" s="1280"/>
      <c r="UWN21" s="1280"/>
      <c r="UWO21" s="1280"/>
      <c r="UWP21" s="1280"/>
      <c r="UWQ21" s="1280"/>
      <c r="UWR21" s="1280"/>
      <c r="UWS21" s="1280"/>
      <c r="UWT21" s="1280"/>
      <c r="UWU21" s="1280"/>
      <c r="UWV21" s="1280"/>
      <c r="UWW21" s="1280"/>
      <c r="UWX21" s="1280"/>
      <c r="UWY21" s="1280"/>
      <c r="UWZ21" s="1280"/>
      <c r="UXA21" s="1280"/>
      <c r="UXB21" s="1280"/>
      <c r="UXC21" s="1280"/>
      <c r="UXD21" s="1280"/>
      <c r="UXE21" s="1280"/>
      <c r="UXF21" s="1280"/>
      <c r="UXG21" s="1280"/>
      <c r="UXH21" s="1280"/>
      <c r="UXI21" s="1280"/>
      <c r="UXJ21" s="1280"/>
      <c r="UXK21" s="1280"/>
      <c r="UXL21" s="1280"/>
      <c r="UXM21" s="1280"/>
      <c r="UXN21" s="1280"/>
      <c r="UXO21" s="1280"/>
      <c r="UXP21" s="1280"/>
      <c r="UXQ21" s="1280"/>
      <c r="UXR21" s="1280"/>
      <c r="UXS21" s="1280"/>
      <c r="UXT21" s="1280"/>
      <c r="UXU21" s="1280"/>
      <c r="UXV21" s="1280"/>
      <c r="UXW21" s="1280"/>
      <c r="UXX21" s="1280"/>
      <c r="UXY21" s="1280"/>
      <c r="UXZ21" s="1280"/>
      <c r="UYA21" s="1280"/>
      <c r="UYB21" s="1280"/>
      <c r="UYC21" s="1280"/>
      <c r="UYD21" s="1280"/>
      <c r="UYE21" s="1280"/>
      <c r="UYF21" s="1280"/>
      <c r="UYG21" s="1280"/>
      <c r="UYH21" s="1280"/>
      <c r="UYI21" s="1280"/>
      <c r="UYJ21" s="1280"/>
      <c r="UYK21" s="1280"/>
      <c r="UYL21" s="1280"/>
      <c r="UYM21" s="1280"/>
      <c r="UYN21" s="1280"/>
      <c r="UYO21" s="1280"/>
      <c r="UYP21" s="1280"/>
      <c r="UYQ21" s="1280"/>
      <c r="UYR21" s="1280"/>
      <c r="UYS21" s="1280"/>
      <c r="UYT21" s="1280"/>
      <c r="UYU21" s="1280"/>
      <c r="UYV21" s="1280"/>
      <c r="UYW21" s="1280"/>
      <c r="UYX21" s="1280"/>
      <c r="UYY21" s="1280"/>
      <c r="UYZ21" s="1280"/>
      <c r="UZA21" s="1280"/>
      <c r="UZB21" s="1280"/>
      <c r="UZC21" s="1280"/>
      <c r="UZD21" s="1280"/>
      <c r="UZE21" s="1280"/>
      <c r="UZF21" s="1280"/>
      <c r="UZG21" s="1280"/>
      <c r="UZH21" s="1280"/>
      <c r="UZI21" s="1280"/>
      <c r="UZJ21" s="1280"/>
      <c r="UZK21" s="1280"/>
      <c r="UZL21" s="1280"/>
      <c r="UZM21" s="1280"/>
      <c r="UZN21" s="1280"/>
      <c r="UZO21" s="1280"/>
      <c r="UZP21" s="1280"/>
      <c r="UZQ21" s="1280"/>
      <c r="UZR21" s="1280"/>
      <c r="UZS21" s="1280"/>
      <c r="UZT21" s="1280"/>
      <c r="UZU21" s="1280"/>
      <c r="UZV21" s="1280"/>
      <c r="UZW21" s="1280"/>
      <c r="UZX21" s="1280"/>
      <c r="UZY21" s="1280"/>
      <c r="UZZ21" s="1280"/>
      <c r="VAA21" s="1280"/>
      <c r="VAB21" s="1280"/>
      <c r="VAC21" s="1280"/>
      <c r="VAD21" s="1280"/>
      <c r="VAE21" s="1280"/>
      <c r="VAF21" s="1280"/>
      <c r="VAG21" s="1280"/>
      <c r="VAH21" s="1280"/>
      <c r="VAI21" s="1280"/>
      <c r="VAJ21" s="1280"/>
      <c r="VAK21" s="1280"/>
      <c r="VAL21" s="1280"/>
      <c r="VAM21" s="1280"/>
      <c r="VAN21" s="1280"/>
      <c r="VAO21" s="1280"/>
      <c r="VAP21" s="1280"/>
      <c r="VAQ21" s="1280"/>
      <c r="VAR21" s="1280"/>
      <c r="VAS21" s="1280"/>
      <c r="VAT21" s="1280"/>
      <c r="VAU21" s="1280"/>
      <c r="VAV21" s="1280"/>
      <c r="VAW21" s="1280"/>
      <c r="VAX21" s="1280"/>
      <c r="VAY21" s="1280"/>
      <c r="VAZ21" s="1280"/>
      <c r="VBA21" s="1280"/>
      <c r="VBB21" s="1280"/>
      <c r="VBC21" s="1280"/>
      <c r="VBD21" s="1280"/>
      <c r="VBE21" s="1280"/>
      <c r="VBF21" s="1280"/>
      <c r="VBG21" s="1280"/>
      <c r="VBH21" s="1280"/>
      <c r="VBI21" s="1280"/>
      <c r="VBJ21" s="1280"/>
      <c r="VBK21" s="1280"/>
      <c r="VBL21" s="1280"/>
      <c r="VBM21" s="1280"/>
      <c r="VBN21" s="1280"/>
      <c r="VBO21" s="1280"/>
      <c r="VBP21" s="1280"/>
      <c r="VBQ21" s="1280"/>
      <c r="VBR21" s="1280"/>
      <c r="VBS21" s="1280"/>
      <c r="VBT21" s="1280"/>
      <c r="VBU21" s="1280"/>
      <c r="VBV21" s="1280"/>
      <c r="VBW21" s="1280"/>
      <c r="VBX21" s="1280"/>
      <c r="VBY21" s="1280"/>
      <c r="VBZ21" s="1280"/>
      <c r="VCA21" s="1280"/>
      <c r="VCB21" s="1280"/>
      <c r="VCC21" s="1280"/>
      <c r="VCD21" s="1280"/>
      <c r="VCE21" s="1280"/>
      <c r="VCF21" s="1280"/>
      <c r="VCG21" s="1280"/>
      <c r="VCH21" s="1280"/>
      <c r="VCI21" s="1280"/>
      <c r="VCJ21" s="1280"/>
      <c r="VCK21" s="1280"/>
      <c r="VCL21" s="1280"/>
      <c r="VCM21" s="1280"/>
      <c r="VCN21" s="1280"/>
      <c r="VCO21" s="1280"/>
      <c r="VCP21" s="1280"/>
      <c r="VCQ21" s="1280"/>
      <c r="VCR21" s="1280"/>
      <c r="VCS21" s="1280"/>
      <c r="VCT21" s="1280"/>
      <c r="VCU21" s="1280"/>
      <c r="VCV21" s="1280"/>
      <c r="VCW21" s="1280"/>
      <c r="VCX21" s="1280"/>
      <c r="VCY21" s="1280"/>
      <c r="VCZ21" s="1280"/>
      <c r="VDA21" s="1280"/>
      <c r="VDB21" s="1280"/>
      <c r="VDC21" s="1280"/>
      <c r="VDD21" s="1280"/>
      <c r="VDE21" s="1280"/>
      <c r="VDF21" s="1280"/>
      <c r="VDG21" s="1280"/>
      <c r="VDH21" s="1280"/>
      <c r="VDI21" s="1280"/>
      <c r="VDJ21" s="1280"/>
      <c r="VDK21" s="1280"/>
      <c r="VDL21" s="1280"/>
      <c r="VDM21" s="1280"/>
      <c r="VDN21" s="1280"/>
      <c r="VDO21" s="1280"/>
      <c r="VDP21" s="1280"/>
      <c r="VDQ21" s="1280"/>
      <c r="VDR21" s="1280"/>
      <c r="VDS21" s="1280"/>
      <c r="VDT21" s="1280"/>
      <c r="VDU21" s="1280"/>
      <c r="VDV21" s="1280"/>
      <c r="VDW21" s="1280"/>
      <c r="VDX21" s="1280"/>
      <c r="VDY21" s="1280"/>
      <c r="VDZ21" s="1280"/>
      <c r="VEA21" s="1280"/>
      <c r="VEB21" s="1280"/>
      <c r="VEC21" s="1280"/>
      <c r="VED21" s="1280"/>
      <c r="VEE21" s="1280"/>
      <c r="VEF21" s="1280"/>
      <c r="VEG21" s="1280"/>
      <c r="VEH21" s="1280"/>
      <c r="VEI21" s="1280"/>
      <c r="VEJ21" s="1280"/>
      <c r="VEK21" s="1280"/>
      <c r="VEL21" s="1280"/>
      <c r="VEM21" s="1280"/>
      <c r="VEN21" s="1280"/>
      <c r="VEO21" s="1280"/>
      <c r="VEP21" s="1280"/>
      <c r="VEQ21" s="1280"/>
      <c r="VER21" s="1280"/>
      <c r="VES21" s="1280"/>
      <c r="VET21" s="1280"/>
      <c r="VEU21" s="1280"/>
      <c r="VEV21" s="1280"/>
      <c r="VEW21" s="1280"/>
      <c r="VEX21" s="1280"/>
      <c r="VEY21" s="1280"/>
      <c r="VEZ21" s="1280"/>
      <c r="VFA21" s="1280"/>
      <c r="VFB21" s="1280"/>
      <c r="VFC21" s="1280"/>
      <c r="VFD21" s="1280"/>
      <c r="VFE21" s="1280"/>
      <c r="VFF21" s="1280"/>
      <c r="VFG21" s="1280"/>
      <c r="VFH21" s="1280"/>
      <c r="VFI21" s="1280"/>
      <c r="VFJ21" s="1280"/>
      <c r="VFK21" s="1280"/>
      <c r="VFL21" s="1280"/>
      <c r="VFM21" s="1280"/>
      <c r="VFN21" s="1280"/>
      <c r="VFO21" s="1280"/>
      <c r="VFP21" s="1280"/>
      <c r="VFQ21" s="1280"/>
      <c r="VFR21" s="1280"/>
      <c r="VFS21" s="1280"/>
      <c r="VFT21" s="1280"/>
      <c r="VFU21" s="1280"/>
      <c r="VFV21" s="1280"/>
      <c r="VFW21" s="1280"/>
      <c r="VFX21" s="1280"/>
      <c r="VFY21" s="1280"/>
      <c r="VFZ21" s="1280"/>
      <c r="VGA21" s="1280"/>
      <c r="VGB21" s="1280"/>
      <c r="VGC21" s="1280"/>
      <c r="VGD21" s="1280"/>
      <c r="VGE21" s="1280"/>
      <c r="VGF21" s="1280"/>
      <c r="VGG21" s="1280"/>
      <c r="VGH21" s="1280"/>
      <c r="VGI21" s="1280"/>
      <c r="VGJ21" s="1280"/>
      <c r="VGK21" s="1280"/>
      <c r="VGL21" s="1280"/>
      <c r="VGM21" s="1280"/>
      <c r="VGN21" s="1280"/>
      <c r="VGO21" s="1280"/>
      <c r="VGP21" s="1280"/>
      <c r="VGQ21" s="1280"/>
      <c r="VGR21" s="1280"/>
      <c r="VGS21" s="1280"/>
      <c r="VGT21" s="1280"/>
      <c r="VGU21" s="1280"/>
      <c r="VGV21" s="1280"/>
      <c r="VGW21" s="1280"/>
      <c r="VGX21" s="1280"/>
      <c r="VGY21" s="1280"/>
      <c r="VGZ21" s="1280"/>
      <c r="VHA21" s="1280"/>
      <c r="VHB21" s="1280"/>
      <c r="VHC21" s="1280"/>
      <c r="VHD21" s="1280"/>
      <c r="VHE21" s="1280"/>
      <c r="VHF21" s="1280"/>
      <c r="VHG21" s="1280"/>
      <c r="VHH21" s="1280"/>
      <c r="VHI21" s="1280"/>
      <c r="VHJ21" s="1280"/>
      <c r="VHK21" s="1280"/>
      <c r="VHL21" s="1280"/>
      <c r="VHM21" s="1280"/>
      <c r="VHN21" s="1280"/>
      <c r="VHO21" s="1280"/>
      <c r="VHP21" s="1280"/>
      <c r="VHQ21" s="1280"/>
      <c r="VHR21" s="1280"/>
      <c r="VHS21" s="1280"/>
      <c r="VHT21" s="1280"/>
      <c r="VHU21" s="1280"/>
      <c r="VHV21" s="1280"/>
      <c r="VHW21" s="1280"/>
      <c r="VHX21" s="1280"/>
      <c r="VHY21" s="1280"/>
      <c r="VHZ21" s="1280"/>
      <c r="VIA21" s="1280"/>
      <c r="VIB21" s="1280"/>
      <c r="VIC21" s="1280"/>
      <c r="VID21" s="1280"/>
      <c r="VIE21" s="1280"/>
      <c r="VIF21" s="1280"/>
      <c r="VIG21" s="1280"/>
      <c r="VIH21" s="1280"/>
      <c r="VII21" s="1280"/>
      <c r="VIJ21" s="1280"/>
      <c r="VIK21" s="1280"/>
      <c r="VIL21" s="1280"/>
      <c r="VIM21" s="1280"/>
      <c r="VIN21" s="1280"/>
      <c r="VIO21" s="1280"/>
      <c r="VIP21" s="1280"/>
      <c r="VIQ21" s="1280"/>
      <c r="VIR21" s="1280"/>
      <c r="VIS21" s="1280"/>
      <c r="VIT21" s="1280"/>
      <c r="VIU21" s="1280"/>
      <c r="VIV21" s="1280"/>
      <c r="VIW21" s="1280"/>
      <c r="VIX21" s="1280"/>
      <c r="VIY21" s="1280"/>
      <c r="VIZ21" s="1280"/>
      <c r="VJA21" s="1280"/>
      <c r="VJB21" s="1280"/>
      <c r="VJC21" s="1280"/>
      <c r="VJD21" s="1280"/>
      <c r="VJE21" s="1280"/>
      <c r="VJF21" s="1280"/>
      <c r="VJG21" s="1280"/>
      <c r="VJH21" s="1280"/>
      <c r="VJI21" s="1280"/>
      <c r="VJJ21" s="1280"/>
      <c r="VJK21" s="1280"/>
      <c r="VJL21" s="1280"/>
      <c r="VJM21" s="1280"/>
      <c r="VJN21" s="1280"/>
      <c r="VJO21" s="1280"/>
      <c r="VJP21" s="1280"/>
      <c r="VJQ21" s="1280"/>
      <c r="VJR21" s="1280"/>
      <c r="VJS21" s="1280"/>
      <c r="VJT21" s="1280"/>
      <c r="VJU21" s="1280"/>
      <c r="VJV21" s="1280"/>
      <c r="VJW21" s="1280"/>
      <c r="VJX21" s="1280"/>
      <c r="VJY21" s="1280"/>
      <c r="VJZ21" s="1280"/>
      <c r="VKA21" s="1280"/>
      <c r="VKB21" s="1280"/>
      <c r="VKC21" s="1280"/>
      <c r="VKD21" s="1280"/>
      <c r="VKE21" s="1280"/>
      <c r="VKF21" s="1280"/>
      <c r="VKG21" s="1280"/>
      <c r="VKH21" s="1280"/>
      <c r="VKI21" s="1280"/>
      <c r="VKJ21" s="1280"/>
      <c r="VKK21" s="1280"/>
      <c r="VKL21" s="1280"/>
      <c r="VKM21" s="1280"/>
      <c r="VKN21" s="1280"/>
      <c r="VKO21" s="1280"/>
      <c r="VKP21" s="1280"/>
      <c r="VKQ21" s="1280"/>
      <c r="VKR21" s="1280"/>
      <c r="VKS21" s="1280"/>
      <c r="VKT21" s="1280"/>
      <c r="VKU21" s="1280"/>
      <c r="VKV21" s="1280"/>
      <c r="VKW21" s="1280"/>
      <c r="VKX21" s="1280"/>
      <c r="VKY21" s="1280"/>
      <c r="VKZ21" s="1280"/>
      <c r="VLA21" s="1280"/>
      <c r="VLB21" s="1280"/>
      <c r="VLC21" s="1280"/>
      <c r="VLD21" s="1280"/>
      <c r="VLE21" s="1280"/>
      <c r="VLF21" s="1280"/>
      <c r="VLG21" s="1280"/>
      <c r="VLH21" s="1280"/>
      <c r="VLI21" s="1280"/>
      <c r="VLJ21" s="1280"/>
      <c r="VLK21" s="1280"/>
      <c r="VLL21" s="1280"/>
      <c r="VLM21" s="1280"/>
      <c r="VLN21" s="1280"/>
      <c r="VLO21" s="1280"/>
      <c r="VLP21" s="1280"/>
      <c r="VLQ21" s="1280"/>
      <c r="VLR21" s="1280"/>
      <c r="VLS21" s="1280"/>
      <c r="VLT21" s="1280"/>
      <c r="VLU21" s="1280"/>
      <c r="VLV21" s="1280"/>
      <c r="VLW21" s="1280"/>
      <c r="VLX21" s="1280"/>
      <c r="VLY21" s="1280"/>
      <c r="VLZ21" s="1280"/>
      <c r="VMA21" s="1280"/>
      <c r="VMB21" s="1280"/>
      <c r="VMC21" s="1280"/>
      <c r="VMD21" s="1280"/>
      <c r="VME21" s="1280"/>
      <c r="VMF21" s="1280"/>
      <c r="VMG21" s="1280"/>
      <c r="VMH21" s="1280"/>
      <c r="VMI21" s="1280"/>
      <c r="VMJ21" s="1280"/>
      <c r="VMK21" s="1280"/>
      <c r="VML21" s="1280"/>
      <c r="VMM21" s="1280"/>
      <c r="VMN21" s="1280"/>
      <c r="VMO21" s="1280"/>
      <c r="VMP21" s="1280"/>
      <c r="VMQ21" s="1280"/>
      <c r="VMR21" s="1280"/>
      <c r="VMS21" s="1280"/>
      <c r="VMT21" s="1280"/>
      <c r="VMU21" s="1280"/>
      <c r="VMV21" s="1280"/>
      <c r="VMW21" s="1280"/>
      <c r="VMX21" s="1280"/>
      <c r="VMY21" s="1280"/>
      <c r="VMZ21" s="1280"/>
      <c r="VNA21" s="1280"/>
      <c r="VNB21" s="1280"/>
      <c r="VNC21" s="1280"/>
      <c r="VND21" s="1280"/>
      <c r="VNE21" s="1280"/>
      <c r="VNF21" s="1280"/>
      <c r="VNG21" s="1280"/>
      <c r="VNH21" s="1280"/>
      <c r="VNI21" s="1280"/>
      <c r="VNJ21" s="1280"/>
      <c r="VNK21" s="1280"/>
      <c r="VNL21" s="1280"/>
      <c r="VNM21" s="1280"/>
      <c r="VNN21" s="1280"/>
      <c r="VNO21" s="1280"/>
      <c r="VNP21" s="1280"/>
      <c r="VNQ21" s="1280"/>
      <c r="VNR21" s="1280"/>
      <c r="VNS21" s="1280"/>
      <c r="VNT21" s="1280"/>
      <c r="VNU21" s="1280"/>
      <c r="VNV21" s="1280"/>
      <c r="VNW21" s="1280"/>
      <c r="VNX21" s="1280"/>
      <c r="VNY21" s="1280"/>
      <c r="VNZ21" s="1280"/>
      <c r="VOA21" s="1280"/>
      <c r="VOB21" s="1280"/>
      <c r="VOC21" s="1280"/>
      <c r="VOD21" s="1280"/>
      <c r="VOE21" s="1280"/>
      <c r="VOF21" s="1280"/>
      <c r="VOG21" s="1280"/>
      <c r="VOH21" s="1280"/>
      <c r="VOI21" s="1280"/>
      <c r="VOJ21" s="1280"/>
      <c r="VOK21" s="1280"/>
      <c r="VOL21" s="1280"/>
      <c r="VOM21" s="1280"/>
      <c r="VON21" s="1280"/>
      <c r="VOO21" s="1280"/>
      <c r="VOP21" s="1280"/>
      <c r="VOQ21" s="1280"/>
      <c r="VOR21" s="1280"/>
      <c r="VOS21" s="1280"/>
      <c r="VOT21" s="1280"/>
      <c r="VOU21" s="1280"/>
      <c r="VOV21" s="1280"/>
      <c r="VOW21" s="1280"/>
      <c r="VOX21" s="1280"/>
      <c r="VOY21" s="1280"/>
      <c r="VOZ21" s="1280"/>
      <c r="VPA21" s="1280"/>
      <c r="VPB21" s="1280"/>
      <c r="VPC21" s="1280"/>
      <c r="VPD21" s="1280"/>
      <c r="VPE21" s="1280"/>
      <c r="VPF21" s="1280"/>
      <c r="VPG21" s="1280"/>
      <c r="VPH21" s="1280"/>
      <c r="VPI21" s="1280"/>
      <c r="VPJ21" s="1280"/>
      <c r="VPK21" s="1280"/>
      <c r="VPL21" s="1280"/>
      <c r="VPM21" s="1280"/>
      <c r="VPN21" s="1280"/>
      <c r="VPO21" s="1280"/>
      <c r="VPP21" s="1280"/>
      <c r="VPQ21" s="1280"/>
      <c r="VPR21" s="1280"/>
      <c r="VPS21" s="1280"/>
      <c r="VPT21" s="1280"/>
      <c r="VPU21" s="1280"/>
      <c r="VPV21" s="1280"/>
      <c r="VPW21" s="1280"/>
      <c r="VPX21" s="1280"/>
      <c r="VPY21" s="1280"/>
      <c r="VPZ21" s="1280"/>
      <c r="VQA21" s="1280"/>
      <c r="VQB21" s="1280"/>
      <c r="VQC21" s="1280"/>
      <c r="VQD21" s="1280"/>
      <c r="VQE21" s="1280"/>
      <c r="VQF21" s="1280"/>
      <c r="VQG21" s="1280"/>
      <c r="VQH21" s="1280"/>
      <c r="VQI21" s="1280"/>
      <c r="VQJ21" s="1280"/>
      <c r="VQK21" s="1280"/>
      <c r="VQL21" s="1280"/>
      <c r="VQM21" s="1280"/>
      <c r="VQN21" s="1280"/>
      <c r="VQO21" s="1280"/>
      <c r="VQP21" s="1280"/>
      <c r="VQQ21" s="1280"/>
      <c r="VQR21" s="1280"/>
      <c r="VQS21" s="1280"/>
      <c r="VQT21" s="1280"/>
      <c r="VQU21" s="1280"/>
      <c r="VQV21" s="1280"/>
      <c r="VQW21" s="1280"/>
      <c r="VQX21" s="1280"/>
      <c r="VQY21" s="1280"/>
      <c r="VQZ21" s="1280"/>
      <c r="VRA21" s="1280"/>
      <c r="VRB21" s="1280"/>
      <c r="VRC21" s="1280"/>
      <c r="VRD21" s="1280"/>
      <c r="VRE21" s="1280"/>
      <c r="VRF21" s="1280"/>
      <c r="VRG21" s="1280"/>
      <c r="VRH21" s="1280"/>
      <c r="VRI21" s="1280"/>
      <c r="VRJ21" s="1280"/>
      <c r="VRK21" s="1280"/>
      <c r="VRL21" s="1280"/>
      <c r="VRM21" s="1280"/>
      <c r="VRN21" s="1280"/>
      <c r="VRO21" s="1280"/>
      <c r="VRP21" s="1280"/>
      <c r="VRQ21" s="1280"/>
      <c r="VRR21" s="1280"/>
      <c r="VRS21" s="1280"/>
      <c r="VRT21" s="1280"/>
      <c r="VRU21" s="1280"/>
      <c r="VRV21" s="1280"/>
      <c r="VRW21" s="1280"/>
      <c r="VRX21" s="1280"/>
      <c r="VRY21" s="1280"/>
      <c r="VRZ21" s="1280"/>
      <c r="VSA21" s="1280"/>
      <c r="VSB21" s="1280"/>
      <c r="VSC21" s="1280"/>
      <c r="VSD21" s="1280"/>
      <c r="VSE21" s="1280"/>
      <c r="VSF21" s="1280"/>
      <c r="VSG21" s="1280"/>
      <c r="VSH21" s="1280"/>
      <c r="VSI21" s="1280"/>
      <c r="VSJ21" s="1280"/>
      <c r="VSK21" s="1280"/>
      <c r="VSL21" s="1280"/>
      <c r="VSM21" s="1280"/>
      <c r="VSN21" s="1280"/>
      <c r="VSO21" s="1280"/>
      <c r="VSP21" s="1280"/>
      <c r="VSQ21" s="1280"/>
      <c r="VSR21" s="1280"/>
      <c r="VSS21" s="1280"/>
      <c r="VST21" s="1280"/>
      <c r="VSU21" s="1280"/>
      <c r="VSV21" s="1280"/>
      <c r="VSW21" s="1280"/>
      <c r="VSX21" s="1280"/>
      <c r="VSY21" s="1280"/>
      <c r="VSZ21" s="1280"/>
      <c r="VTA21" s="1280"/>
      <c r="VTB21" s="1280"/>
      <c r="VTC21" s="1280"/>
      <c r="VTD21" s="1280"/>
      <c r="VTE21" s="1280"/>
      <c r="VTF21" s="1280"/>
      <c r="VTG21" s="1280"/>
      <c r="VTH21" s="1280"/>
      <c r="VTI21" s="1280"/>
      <c r="VTJ21" s="1280"/>
      <c r="VTK21" s="1280"/>
      <c r="VTL21" s="1280"/>
      <c r="VTM21" s="1280"/>
      <c r="VTN21" s="1280"/>
      <c r="VTO21" s="1280"/>
      <c r="VTP21" s="1280"/>
      <c r="VTQ21" s="1280"/>
      <c r="VTR21" s="1280"/>
      <c r="VTS21" s="1280"/>
      <c r="VTT21" s="1280"/>
      <c r="VTU21" s="1280"/>
      <c r="VTV21" s="1280"/>
      <c r="VTW21" s="1280"/>
      <c r="VTX21" s="1280"/>
      <c r="VTY21" s="1280"/>
      <c r="VTZ21" s="1280"/>
      <c r="VUA21" s="1280"/>
      <c r="VUB21" s="1280"/>
      <c r="VUC21" s="1280"/>
      <c r="VUD21" s="1280"/>
      <c r="VUE21" s="1280"/>
      <c r="VUF21" s="1280"/>
      <c r="VUG21" s="1280"/>
      <c r="VUH21" s="1280"/>
      <c r="VUI21" s="1280"/>
      <c r="VUJ21" s="1280"/>
      <c r="VUK21" s="1280"/>
      <c r="VUL21" s="1280"/>
      <c r="VUM21" s="1280"/>
      <c r="VUN21" s="1280"/>
      <c r="VUO21" s="1280"/>
      <c r="VUP21" s="1280"/>
      <c r="VUQ21" s="1280"/>
      <c r="VUR21" s="1280"/>
      <c r="VUS21" s="1280"/>
      <c r="VUT21" s="1280"/>
      <c r="VUU21" s="1280"/>
      <c r="VUV21" s="1280"/>
      <c r="VUW21" s="1280"/>
      <c r="VUX21" s="1280"/>
      <c r="VUY21" s="1280"/>
      <c r="VUZ21" s="1280"/>
      <c r="VVA21" s="1280"/>
      <c r="VVB21" s="1280"/>
      <c r="VVC21" s="1280"/>
      <c r="VVD21" s="1280"/>
      <c r="VVE21" s="1280"/>
      <c r="VVF21" s="1280"/>
      <c r="VVG21" s="1280"/>
      <c r="VVH21" s="1280"/>
      <c r="VVI21" s="1280"/>
      <c r="VVJ21" s="1280"/>
      <c r="VVK21" s="1280"/>
      <c r="VVL21" s="1280"/>
      <c r="VVM21" s="1280"/>
      <c r="VVN21" s="1280"/>
      <c r="VVO21" s="1280"/>
      <c r="VVP21" s="1280"/>
      <c r="VVQ21" s="1280"/>
      <c r="VVR21" s="1280"/>
      <c r="VVS21" s="1280"/>
      <c r="VVT21" s="1280"/>
      <c r="VVU21" s="1280"/>
      <c r="VVV21" s="1280"/>
      <c r="VVW21" s="1280"/>
      <c r="VVX21" s="1280"/>
      <c r="VVY21" s="1280"/>
      <c r="VVZ21" s="1280"/>
      <c r="VWA21" s="1280"/>
      <c r="VWB21" s="1280"/>
      <c r="VWC21" s="1280"/>
      <c r="VWD21" s="1280"/>
      <c r="VWE21" s="1280"/>
      <c r="VWF21" s="1280"/>
      <c r="VWG21" s="1280"/>
      <c r="VWH21" s="1280"/>
      <c r="VWI21" s="1280"/>
      <c r="VWJ21" s="1280"/>
      <c r="VWK21" s="1280"/>
      <c r="VWL21" s="1280"/>
      <c r="VWM21" s="1280"/>
      <c r="VWN21" s="1280"/>
      <c r="VWO21" s="1280"/>
      <c r="VWP21" s="1280"/>
      <c r="VWQ21" s="1280"/>
      <c r="VWR21" s="1280"/>
      <c r="VWS21" s="1280"/>
      <c r="VWT21" s="1280"/>
      <c r="VWU21" s="1280"/>
      <c r="VWV21" s="1280"/>
      <c r="VWW21" s="1280"/>
      <c r="VWX21" s="1280"/>
      <c r="VWY21" s="1280"/>
      <c r="VWZ21" s="1280"/>
      <c r="VXA21" s="1280"/>
      <c r="VXB21" s="1280"/>
      <c r="VXC21" s="1280"/>
      <c r="VXD21" s="1280"/>
      <c r="VXE21" s="1280"/>
      <c r="VXF21" s="1280"/>
      <c r="VXG21" s="1280"/>
      <c r="VXH21" s="1280"/>
      <c r="VXI21" s="1280"/>
      <c r="VXJ21" s="1280"/>
      <c r="VXK21" s="1280"/>
      <c r="VXL21" s="1280"/>
      <c r="VXM21" s="1280"/>
      <c r="VXN21" s="1280"/>
      <c r="VXO21" s="1280"/>
      <c r="VXP21" s="1280"/>
      <c r="VXQ21" s="1280"/>
      <c r="VXR21" s="1280"/>
      <c r="VXS21" s="1280"/>
      <c r="VXT21" s="1280"/>
      <c r="VXU21" s="1280"/>
      <c r="VXV21" s="1280"/>
      <c r="VXW21" s="1280"/>
      <c r="VXX21" s="1280"/>
      <c r="VXY21" s="1280"/>
      <c r="VXZ21" s="1280"/>
      <c r="VYA21" s="1280"/>
      <c r="VYB21" s="1280"/>
      <c r="VYC21" s="1280"/>
      <c r="VYD21" s="1280"/>
      <c r="VYE21" s="1280"/>
      <c r="VYF21" s="1280"/>
      <c r="VYG21" s="1280"/>
      <c r="VYH21" s="1280"/>
      <c r="VYI21" s="1280"/>
      <c r="VYJ21" s="1280"/>
      <c r="VYK21" s="1280"/>
      <c r="VYL21" s="1280"/>
      <c r="VYM21" s="1280"/>
      <c r="VYN21" s="1280"/>
      <c r="VYO21" s="1280"/>
      <c r="VYP21" s="1280"/>
      <c r="VYQ21" s="1280"/>
      <c r="VYR21" s="1280"/>
      <c r="VYS21" s="1280"/>
      <c r="VYT21" s="1280"/>
      <c r="VYU21" s="1280"/>
      <c r="VYV21" s="1280"/>
      <c r="VYW21" s="1280"/>
      <c r="VYX21" s="1280"/>
      <c r="VYY21" s="1280"/>
      <c r="VYZ21" s="1280"/>
      <c r="VZA21" s="1280"/>
      <c r="VZB21" s="1280"/>
      <c r="VZC21" s="1280"/>
      <c r="VZD21" s="1280"/>
      <c r="VZE21" s="1280"/>
      <c r="VZF21" s="1280"/>
      <c r="VZG21" s="1280"/>
      <c r="VZH21" s="1280"/>
      <c r="VZI21" s="1280"/>
      <c r="VZJ21" s="1280"/>
      <c r="VZK21" s="1280"/>
      <c r="VZL21" s="1280"/>
      <c r="VZM21" s="1280"/>
      <c r="VZN21" s="1280"/>
      <c r="VZO21" s="1280"/>
      <c r="VZP21" s="1280"/>
      <c r="VZQ21" s="1280"/>
      <c r="VZR21" s="1280"/>
      <c r="VZS21" s="1280"/>
      <c r="VZT21" s="1280"/>
      <c r="VZU21" s="1280"/>
      <c r="VZV21" s="1280"/>
      <c r="VZW21" s="1280"/>
      <c r="VZX21" s="1280"/>
      <c r="VZY21" s="1280"/>
      <c r="VZZ21" s="1280"/>
      <c r="WAA21" s="1280"/>
      <c r="WAB21" s="1280"/>
      <c r="WAC21" s="1280"/>
      <c r="WAD21" s="1280"/>
      <c r="WAE21" s="1280"/>
      <c r="WAF21" s="1280"/>
      <c r="WAG21" s="1280"/>
      <c r="WAH21" s="1280"/>
      <c r="WAI21" s="1280"/>
      <c r="WAJ21" s="1280"/>
      <c r="WAK21" s="1280"/>
      <c r="WAL21" s="1280"/>
      <c r="WAM21" s="1280"/>
      <c r="WAN21" s="1280"/>
      <c r="WAO21" s="1280"/>
      <c r="WAP21" s="1280"/>
      <c r="WAQ21" s="1280"/>
      <c r="WAR21" s="1280"/>
      <c r="WAS21" s="1280"/>
      <c r="WAT21" s="1280"/>
      <c r="WAU21" s="1280"/>
      <c r="WAV21" s="1280"/>
      <c r="WAW21" s="1280"/>
      <c r="WAX21" s="1280"/>
      <c r="WAY21" s="1280"/>
      <c r="WAZ21" s="1280"/>
      <c r="WBA21" s="1280"/>
      <c r="WBB21" s="1280"/>
      <c r="WBC21" s="1280"/>
      <c r="WBD21" s="1280"/>
      <c r="WBE21" s="1280"/>
      <c r="WBF21" s="1280"/>
      <c r="WBG21" s="1280"/>
      <c r="WBH21" s="1280"/>
      <c r="WBI21" s="1280"/>
      <c r="WBJ21" s="1280"/>
      <c r="WBK21" s="1280"/>
      <c r="WBL21" s="1280"/>
      <c r="WBM21" s="1280"/>
      <c r="WBN21" s="1280"/>
      <c r="WBO21" s="1280"/>
      <c r="WBP21" s="1280"/>
      <c r="WBQ21" s="1280"/>
      <c r="WBR21" s="1280"/>
      <c r="WBS21" s="1280"/>
      <c r="WBT21" s="1280"/>
      <c r="WBU21" s="1280"/>
      <c r="WBV21" s="1280"/>
      <c r="WBW21" s="1280"/>
      <c r="WBX21" s="1280"/>
      <c r="WBY21" s="1280"/>
      <c r="WBZ21" s="1280"/>
      <c r="WCA21" s="1280"/>
      <c r="WCB21" s="1280"/>
      <c r="WCC21" s="1280"/>
      <c r="WCD21" s="1280"/>
      <c r="WCE21" s="1280"/>
      <c r="WCF21" s="1280"/>
      <c r="WCG21" s="1280"/>
      <c r="WCH21" s="1280"/>
      <c r="WCI21" s="1280"/>
      <c r="WCJ21" s="1280"/>
      <c r="WCK21" s="1280"/>
      <c r="WCL21" s="1280"/>
      <c r="WCM21" s="1280"/>
      <c r="WCN21" s="1280"/>
      <c r="WCO21" s="1280"/>
      <c r="WCP21" s="1280"/>
      <c r="WCQ21" s="1280"/>
      <c r="WCR21" s="1280"/>
      <c r="WCS21" s="1280"/>
      <c r="WCT21" s="1280"/>
      <c r="WCU21" s="1280"/>
      <c r="WCV21" s="1280"/>
      <c r="WCW21" s="1280"/>
      <c r="WCX21" s="1280"/>
      <c r="WCY21" s="1280"/>
      <c r="WCZ21" s="1280"/>
      <c r="WDA21" s="1280"/>
      <c r="WDB21" s="1280"/>
      <c r="WDC21" s="1280"/>
      <c r="WDD21" s="1280"/>
      <c r="WDE21" s="1280"/>
      <c r="WDF21" s="1280"/>
      <c r="WDG21" s="1280"/>
      <c r="WDH21" s="1280"/>
      <c r="WDI21" s="1280"/>
      <c r="WDJ21" s="1280"/>
      <c r="WDK21" s="1280"/>
      <c r="WDL21" s="1280"/>
      <c r="WDM21" s="1280"/>
      <c r="WDN21" s="1280"/>
      <c r="WDO21" s="1280"/>
      <c r="WDP21" s="1280"/>
      <c r="WDQ21" s="1280"/>
      <c r="WDR21" s="1280"/>
      <c r="WDS21" s="1280"/>
      <c r="WDT21" s="1280"/>
      <c r="WDU21" s="1280"/>
      <c r="WDV21" s="1280"/>
      <c r="WDW21" s="1280"/>
      <c r="WDX21" s="1280"/>
      <c r="WDY21" s="1280"/>
      <c r="WDZ21" s="1280"/>
      <c r="WEA21" s="1280"/>
      <c r="WEB21" s="1280"/>
      <c r="WEC21" s="1280"/>
      <c r="WED21" s="1280"/>
      <c r="WEE21" s="1280"/>
      <c r="WEF21" s="1280"/>
      <c r="WEG21" s="1280"/>
      <c r="WEH21" s="1280"/>
      <c r="WEI21" s="1280"/>
      <c r="WEJ21" s="1280"/>
      <c r="WEK21" s="1280"/>
      <c r="WEL21" s="1280"/>
      <c r="WEM21" s="1280"/>
      <c r="WEN21" s="1280"/>
      <c r="WEO21" s="1280"/>
      <c r="WEP21" s="1280"/>
      <c r="WEQ21" s="1280"/>
      <c r="WER21" s="1280"/>
      <c r="WES21" s="1280"/>
      <c r="WET21" s="1280"/>
      <c r="WEU21" s="1280"/>
      <c r="WEV21" s="1280"/>
      <c r="WEW21" s="1280"/>
      <c r="WEX21" s="1280"/>
      <c r="WEY21" s="1280"/>
      <c r="WEZ21" s="1280"/>
      <c r="WFA21" s="1280"/>
      <c r="WFB21" s="1280"/>
      <c r="WFC21" s="1280"/>
      <c r="WFD21" s="1280"/>
      <c r="WFE21" s="1280"/>
      <c r="WFF21" s="1280"/>
      <c r="WFG21" s="1280"/>
      <c r="WFH21" s="1280"/>
      <c r="WFI21" s="1280"/>
      <c r="WFJ21" s="1280"/>
      <c r="WFK21" s="1280"/>
      <c r="WFL21" s="1280"/>
      <c r="WFM21" s="1280"/>
      <c r="WFN21" s="1280"/>
      <c r="WFO21" s="1280"/>
      <c r="WFP21" s="1280"/>
      <c r="WFQ21" s="1280"/>
      <c r="WFR21" s="1280"/>
      <c r="WFS21" s="1280"/>
      <c r="WFT21" s="1280"/>
      <c r="WFU21" s="1280"/>
      <c r="WFV21" s="1280"/>
      <c r="WFW21" s="1280"/>
      <c r="WFX21" s="1280"/>
      <c r="WFY21" s="1280"/>
      <c r="WFZ21" s="1280"/>
      <c r="WGA21" s="1280"/>
      <c r="WGB21" s="1280"/>
      <c r="WGC21" s="1280"/>
      <c r="WGD21" s="1280"/>
      <c r="WGE21" s="1280"/>
      <c r="WGF21" s="1280"/>
      <c r="WGG21" s="1280"/>
      <c r="WGH21" s="1280"/>
      <c r="WGI21" s="1280"/>
      <c r="WGJ21" s="1280"/>
      <c r="WGK21" s="1280"/>
      <c r="WGL21" s="1280"/>
      <c r="WGM21" s="1280"/>
      <c r="WGN21" s="1280"/>
      <c r="WGO21" s="1280"/>
      <c r="WGP21" s="1280"/>
      <c r="WGQ21" s="1280"/>
      <c r="WGR21" s="1280"/>
      <c r="WGS21" s="1280"/>
      <c r="WGT21" s="1280"/>
      <c r="WGU21" s="1280"/>
      <c r="WGV21" s="1280"/>
      <c r="WGW21" s="1280"/>
      <c r="WGX21" s="1280"/>
      <c r="WGY21" s="1280"/>
      <c r="WGZ21" s="1280"/>
      <c r="WHA21" s="1280"/>
      <c r="WHB21" s="1280"/>
      <c r="WHC21" s="1280"/>
      <c r="WHD21" s="1280"/>
      <c r="WHE21" s="1280"/>
      <c r="WHF21" s="1280"/>
      <c r="WHG21" s="1280"/>
      <c r="WHH21" s="1280"/>
      <c r="WHI21" s="1280"/>
      <c r="WHJ21" s="1280"/>
      <c r="WHK21" s="1280"/>
      <c r="WHL21" s="1280"/>
      <c r="WHM21" s="1280"/>
      <c r="WHN21" s="1280"/>
      <c r="WHO21" s="1280"/>
      <c r="WHP21" s="1280"/>
      <c r="WHQ21" s="1280"/>
      <c r="WHR21" s="1280"/>
      <c r="WHS21" s="1280"/>
      <c r="WHT21" s="1280"/>
      <c r="WHU21" s="1280"/>
      <c r="WHV21" s="1280"/>
      <c r="WHW21" s="1280"/>
      <c r="WHX21" s="1280"/>
      <c r="WHY21" s="1280"/>
      <c r="WHZ21" s="1280"/>
      <c r="WIA21" s="1280"/>
      <c r="WIB21" s="1280"/>
      <c r="WIC21" s="1280"/>
      <c r="WID21" s="1280"/>
      <c r="WIE21" s="1280"/>
      <c r="WIF21" s="1280"/>
      <c r="WIG21" s="1280"/>
      <c r="WIH21" s="1280"/>
      <c r="WII21" s="1280"/>
      <c r="WIJ21" s="1280"/>
      <c r="WIK21" s="1280"/>
      <c r="WIL21" s="1280"/>
      <c r="WIM21" s="1280"/>
      <c r="WIN21" s="1280"/>
      <c r="WIO21" s="1280"/>
      <c r="WIP21" s="1280"/>
      <c r="WIQ21" s="1280"/>
      <c r="WIR21" s="1280"/>
      <c r="WIS21" s="1280"/>
      <c r="WIT21" s="1280"/>
      <c r="WIU21" s="1280"/>
      <c r="WIV21" s="1280"/>
      <c r="WIW21" s="1280"/>
      <c r="WIX21" s="1280"/>
      <c r="WIY21" s="1280"/>
      <c r="WIZ21" s="1280"/>
      <c r="WJA21" s="1280"/>
      <c r="WJB21" s="1280"/>
      <c r="WJC21" s="1280"/>
      <c r="WJD21" s="1280"/>
      <c r="WJE21" s="1280"/>
      <c r="WJF21" s="1280"/>
      <c r="WJG21" s="1280"/>
      <c r="WJH21" s="1280"/>
      <c r="WJI21" s="1280"/>
      <c r="WJJ21" s="1280"/>
      <c r="WJK21" s="1280"/>
      <c r="WJL21" s="1280"/>
      <c r="WJM21" s="1280"/>
      <c r="WJN21" s="1280"/>
      <c r="WJO21" s="1280"/>
      <c r="WJP21" s="1280"/>
      <c r="WJQ21" s="1280"/>
      <c r="WJR21" s="1280"/>
      <c r="WJS21" s="1280"/>
      <c r="WJT21" s="1280"/>
      <c r="WJU21" s="1280"/>
      <c r="WJV21" s="1280"/>
      <c r="WJW21" s="1280"/>
      <c r="WJX21" s="1280"/>
      <c r="WJY21" s="1280"/>
      <c r="WJZ21" s="1280"/>
      <c r="WKA21" s="1280"/>
      <c r="WKB21" s="1280"/>
      <c r="WKC21" s="1280"/>
      <c r="WKD21" s="1280"/>
      <c r="WKE21" s="1280"/>
      <c r="WKF21" s="1280"/>
      <c r="WKG21" s="1280"/>
      <c r="WKH21" s="1280"/>
      <c r="WKI21" s="1280"/>
      <c r="WKJ21" s="1280"/>
      <c r="WKK21" s="1280"/>
      <c r="WKL21" s="1280"/>
      <c r="WKM21" s="1280"/>
      <c r="WKN21" s="1280"/>
      <c r="WKO21" s="1280"/>
      <c r="WKP21" s="1280"/>
      <c r="WKQ21" s="1280"/>
      <c r="WKR21" s="1280"/>
      <c r="WKS21" s="1280"/>
      <c r="WKT21" s="1280"/>
      <c r="WKU21" s="1280"/>
      <c r="WKV21" s="1280"/>
      <c r="WKW21" s="1280"/>
      <c r="WKX21" s="1280"/>
      <c r="WKY21" s="1280"/>
      <c r="WKZ21" s="1280"/>
      <c r="WLA21" s="1280"/>
      <c r="WLB21" s="1280"/>
      <c r="WLC21" s="1280"/>
      <c r="WLD21" s="1280"/>
      <c r="WLE21" s="1280"/>
      <c r="WLF21" s="1280"/>
      <c r="WLG21" s="1280"/>
      <c r="WLH21" s="1280"/>
      <c r="WLI21" s="1280"/>
      <c r="WLJ21" s="1280"/>
      <c r="WLK21" s="1280"/>
      <c r="WLL21" s="1280"/>
      <c r="WLM21" s="1280"/>
      <c r="WLN21" s="1280"/>
      <c r="WLO21" s="1280"/>
      <c r="WLP21" s="1280"/>
      <c r="WLQ21" s="1280"/>
      <c r="WLR21" s="1280"/>
      <c r="WLS21" s="1280"/>
      <c r="WLT21" s="1280"/>
      <c r="WLU21" s="1280"/>
      <c r="WLV21" s="1280"/>
      <c r="WLW21" s="1280"/>
      <c r="WLX21" s="1280"/>
      <c r="WLY21" s="1280"/>
      <c r="WLZ21" s="1280"/>
      <c r="WMA21" s="1280"/>
      <c r="WMB21" s="1280"/>
      <c r="WMC21" s="1280"/>
      <c r="WMD21" s="1280"/>
      <c r="WME21" s="1280"/>
      <c r="WMF21" s="1280"/>
      <c r="WMG21" s="1280"/>
      <c r="WMH21" s="1280"/>
      <c r="WMI21" s="1280"/>
      <c r="WMJ21" s="1280"/>
      <c r="WMK21" s="1280"/>
      <c r="WML21" s="1280"/>
      <c r="WMM21" s="1280"/>
      <c r="WMN21" s="1280"/>
      <c r="WMO21" s="1280"/>
      <c r="WMP21" s="1280"/>
      <c r="WMQ21" s="1280"/>
      <c r="WMR21" s="1280"/>
      <c r="WMS21" s="1280"/>
      <c r="WMT21" s="1280"/>
      <c r="WMU21" s="1280"/>
      <c r="WMV21" s="1280"/>
      <c r="WMW21" s="1280"/>
      <c r="WMX21" s="1280"/>
      <c r="WMY21" s="1280"/>
      <c r="WMZ21" s="1280"/>
      <c r="WNA21" s="1280"/>
      <c r="WNB21" s="1280"/>
      <c r="WNC21" s="1280"/>
      <c r="WND21" s="1280"/>
      <c r="WNE21" s="1280"/>
      <c r="WNF21" s="1280"/>
      <c r="WNG21" s="1280"/>
      <c r="WNH21" s="1280"/>
      <c r="WNI21" s="1280"/>
      <c r="WNJ21" s="1280"/>
      <c r="WNK21" s="1280"/>
      <c r="WNL21" s="1280"/>
      <c r="WNM21" s="1280"/>
      <c r="WNN21" s="1280"/>
      <c r="WNO21" s="1280"/>
      <c r="WNP21" s="1280"/>
      <c r="WNQ21" s="1280"/>
      <c r="WNR21" s="1280"/>
      <c r="WNS21" s="1280"/>
      <c r="WNT21" s="1280"/>
      <c r="WNU21" s="1280"/>
      <c r="WNV21" s="1280"/>
      <c r="WNW21" s="1280"/>
      <c r="WNX21" s="1280"/>
      <c r="WNY21" s="1280"/>
      <c r="WNZ21" s="1280"/>
      <c r="WOA21" s="1280"/>
      <c r="WOB21" s="1280"/>
      <c r="WOC21" s="1280"/>
      <c r="WOD21" s="1280"/>
      <c r="WOE21" s="1280"/>
      <c r="WOF21" s="1280"/>
      <c r="WOG21" s="1280"/>
      <c r="WOH21" s="1280"/>
      <c r="WOI21" s="1280"/>
      <c r="WOJ21" s="1280"/>
      <c r="WOK21" s="1280"/>
      <c r="WOL21" s="1280"/>
      <c r="WOM21" s="1280"/>
      <c r="WON21" s="1280"/>
      <c r="WOO21" s="1280"/>
      <c r="WOP21" s="1280"/>
      <c r="WOQ21" s="1280"/>
      <c r="WOR21" s="1280"/>
      <c r="WOS21" s="1280"/>
      <c r="WOT21" s="1280"/>
      <c r="WOU21" s="1280"/>
      <c r="WOV21" s="1280"/>
      <c r="WOW21" s="1280"/>
      <c r="WOX21" s="1280"/>
      <c r="WOY21" s="1280"/>
      <c r="WOZ21" s="1280"/>
      <c r="WPA21" s="1280"/>
      <c r="WPB21" s="1280"/>
      <c r="WPC21" s="1280"/>
      <c r="WPD21" s="1280"/>
      <c r="WPE21" s="1280"/>
      <c r="WPF21" s="1280"/>
      <c r="WPG21" s="1280"/>
      <c r="WPH21" s="1280"/>
      <c r="WPI21" s="1280"/>
      <c r="WPJ21" s="1280"/>
      <c r="WPK21" s="1280"/>
      <c r="WPL21" s="1280"/>
      <c r="WPM21" s="1280"/>
      <c r="WPN21" s="1280"/>
      <c r="WPO21" s="1280"/>
      <c r="WPP21" s="1280"/>
      <c r="WPQ21" s="1280"/>
      <c r="WPR21" s="1280"/>
      <c r="WPS21" s="1280"/>
      <c r="WPT21" s="1280"/>
      <c r="WPU21" s="1280"/>
      <c r="WPV21" s="1280"/>
      <c r="WPW21" s="1280"/>
      <c r="WPX21" s="1280"/>
      <c r="WPY21" s="1280"/>
      <c r="WPZ21" s="1280"/>
      <c r="WQA21" s="1280"/>
      <c r="WQB21" s="1280"/>
      <c r="WQC21" s="1280"/>
      <c r="WQD21" s="1280"/>
      <c r="WQE21" s="1280"/>
      <c r="WQF21" s="1280"/>
      <c r="WQG21" s="1280"/>
      <c r="WQH21" s="1280"/>
      <c r="WQI21" s="1280"/>
      <c r="WQJ21" s="1280"/>
      <c r="WQK21" s="1280"/>
      <c r="WQL21" s="1280"/>
      <c r="WQM21" s="1280"/>
      <c r="WQN21" s="1280"/>
      <c r="WQO21" s="1280"/>
      <c r="WQP21" s="1280"/>
      <c r="WQQ21" s="1280"/>
      <c r="WQR21" s="1280"/>
      <c r="WQS21" s="1280"/>
      <c r="WQT21" s="1280"/>
      <c r="WQU21" s="1280"/>
      <c r="WQV21" s="1280"/>
      <c r="WQW21" s="1280"/>
      <c r="WQX21" s="1280"/>
      <c r="WQY21" s="1280"/>
      <c r="WQZ21" s="1280"/>
      <c r="WRA21" s="1280"/>
      <c r="WRB21" s="1280"/>
      <c r="WRC21" s="1280"/>
      <c r="WRD21" s="1280"/>
      <c r="WRE21" s="1280"/>
      <c r="WRF21" s="1280"/>
      <c r="WRG21" s="1280"/>
      <c r="WRH21" s="1280"/>
      <c r="WRI21" s="1280"/>
      <c r="WRJ21" s="1280"/>
      <c r="WRK21" s="1280"/>
      <c r="WRL21" s="1280"/>
      <c r="WRM21" s="1280"/>
      <c r="WRN21" s="1280"/>
      <c r="WRO21" s="1280"/>
      <c r="WRP21" s="1280"/>
      <c r="WRQ21" s="1280"/>
      <c r="WRR21" s="1280"/>
      <c r="WRS21" s="1280"/>
      <c r="WRT21" s="1280"/>
      <c r="WRU21" s="1280"/>
      <c r="WRV21" s="1280"/>
      <c r="WRW21" s="1280"/>
      <c r="WRX21" s="1280"/>
      <c r="WRY21" s="1280"/>
      <c r="WRZ21" s="1280"/>
      <c r="WSA21" s="1280"/>
      <c r="WSB21" s="1280"/>
      <c r="WSC21" s="1280"/>
      <c r="WSD21" s="1280"/>
      <c r="WSE21" s="1280"/>
      <c r="WSF21" s="1280"/>
      <c r="WSG21" s="1280"/>
      <c r="WSH21" s="1280"/>
      <c r="WSI21" s="1280"/>
      <c r="WSJ21" s="1280"/>
      <c r="WSK21" s="1280"/>
      <c r="WSL21" s="1280"/>
      <c r="WSM21" s="1280"/>
      <c r="WSN21" s="1280"/>
      <c r="WSO21" s="1280"/>
      <c r="WSP21" s="1280"/>
      <c r="WSQ21" s="1280"/>
      <c r="WSR21" s="1280"/>
      <c r="WSS21" s="1280"/>
      <c r="WST21" s="1280"/>
      <c r="WSU21" s="1280"/>
      <c r="WSV21" s="1280"/>
      <c r="WSW21" s="1280"/>
      <c r="WSX21" s="1280"/>
      <c r="WSY21" s="1280"/>
      <c r="WSZ21" s="1280"/>
      <c r="WTA21" s="1280"/>
      <c r="WTB21" s="1280"/>
      <c r="WTC21" s="1280"/>
      <c r="WTD21" s="1280"/>
      <c r="WTE21" s="1280"/>
      <c r="WTF21" s="1280"/>
      <c r="WTG21" s="1280"/>
      <c r="WTH21" s="1280"/>
      <c r="WTI21" s="1280"/>
      <c r="WTJ21" s="1280"/>
      <c r="WTK21" s="1280"/>
      <c r="WTL21" s="1280"/>
      <c r="WTM21" s="1280"/>
      <c r="WTN21" s="1280"/>
      <c r="WTO21" s="1280"/>
      <c r="WTP21" s="1280"/>
      <c r="WTQ21" s="1280"/>
      <c r="WTR21" s="1280"/>
      <c r="WTS21" s="1280"/>
      <c r="WTT21" s="1280"/>
      <c r="WTU21" s="1280"/>
      <c r="WTV21" s="1280"/>
      <c r="WTW21" s="1280"/>
      <c r="WTX21" s="1280"/>
      <c r="WTY21" s="1280"/>
      <c r="WTZ21" s="1280"/>
      <c r="WUA21" s="1280"/>
      <c r="WUB21" s="1280"/>
      <c r="WUC21" s="1280"/>
      <c r="WUD21" s="1280"/>
      <c r="WUE21" s="1280"/>
      <c r="WUF21" s="1280"/>
      <c r="WUG21" s="1280"/>
      <c r="WUH21" s="1280"/>
      <c r="WUI21" s="1280"/>
      <c r="WUJ21" s="1280"/>
      <c r="WUK21" s="1280"/>
      <c r="WUL21" s="1280"/>
      <c r="WUM21" s="1280"/>
      <c r="WUN21" s="1280"/>
      <c r="WUO21" s="1280"/>
      <c r="WUP21" s="1280"/>
      <c r="WUQ21" s="1280"/>
      <c r="WUR21" s="1280"/>
      <c r="WUS21" s="1280"/>
      <c r="WUT21" s="1280"/>
      <c r="WUU21" s="1280"/>
      <c r="WUV21" s="1280"/>
      <c r="WUW21" s="1280"/>
      <c r="WUX21" s="1280"/>
      <c r="WUY21" s="1280"/>
      <c r="WUZ21" s="1280"/>
      <c r="WVA21" s="1280"/>
      <c r="WVB21" s="1280"/>
      <c r="WVC21" s="1280"/>
      <c r="WVD21" s="1280"/>
      <c r="WVE21" s="1280"/>
      <c r="WVF21" s="1280"/>
      <c r="WVG21" s="1280"/>
      <c r="WVH21" s="1280"/>
      <c r="WVI21" s="1280"/>
      <c r="WVJ21" s="1280"/>
      <c r="WVK21" s="1280"/>
      <c r="WVL21" s="1280"/>
      <c r="WVM21" s="1280"/>
      <c r="WVN21" s="1280"/>
      <c r="WVO21" s="1280"/>
      <c r="WVP21" s="1280"/>
      <c r="WVQ21" s="1280"/>
      <c r="WVR21" s="1280"/>
      <c r="WVS21" s="1280"/>
      <c r="WVT21" s="1280"/>
      <c r="WVU21" s="1280"/>
      <c r="WVV21" s="1280"/>
      <c r="WVW21" s="1280"/>
      <c r="WVX21" s="1280"/>
      <c r="WVY21" s="1280"/>
      <c r="WVZ21" s="1280"/>
      <c r="WWA21" s="1280"/>
      <c r="WWB21" s="1280"/>
      <c r="WWC21" s="1280"/>
      <c r="WWD21" s="1280"/>
      <c r="WWE21" s="1280"/>
      <c r="WWF21" s="1280"/>
      <c r="WWG21" s="1280"/>
      <c r="WWH21" s="1280"/>
      <c r="WWI21" s="1280"/>
      <c r="WWJ21" s="1280"/>
      <c r="WWK21" s="1280"/>
      <c r="WWL21" s="1280"/>
      <c r="WWM21" s="1280"/>
      <c r="WWN21" s="1280"/>
      <c r="WWO21" s="1280"/>
      <c r="WWP21" s="1280"/>
      <c r="WWQ21" s="1280"/>
      <c r="WWR21" s="1280"/>
      <c r="WWS21" s="1280"/>
      <c r="WWT21" s="1280"/>
      <c r="WWU21" s="1280"/>
      <c r="WWV21" s="1280"/>
      <c r="WWW21" s="1280"/>
      <c r="WWX21" s="1280"/>
      <c r="WWY21" s="1280"/>
      <c r="WWZ21" s="1280"/>
      <c r="WXA21" s="1280"/>
      <c r="WXB21" s="1280"/>
      <c r="WXC21" s="1280"/>
      <c r="WXD21" s="1280"/>
      <c r="WXE21" s="1280"/>
      <c r="WXF21" s="1280"/>
      <c r="WXG21" s="1280"/>
      <c r="WXH21" s="1280"/>
      <c r="WXI21" s="1280"/>
      <c r="WXJ21" s="1280"/>
      <c r="WXK21" s="1280"/>
      <c r="WXL21" s="1280"/>
      <c r="WXM21" s="1280"/>
      <c r="WXN21" s="1280"/>
      <c r="WXO21" s="1280"/>
      <c r="WXP21" s="1280"/>
      <c r="WXQ21" s="1280"/>
      <c r="WXR21" s="1280"/>
      <c r="WXS21" s="1280"/>
      <c r="WXT21" s="1280"/>
      <c r="WXU21" s="1280"/>
      <c r="WXV21" s="1280"/>
      <c r="WXW21" s="1280"/>
      <c r="WXX21" s="1280"/>
      <c r="WXY21" s="1280"/>
      <c r="WXZ21" s="1280"/>
      <c r="WYA21" s="1280"/>
      <c r="WYB21" s="1280"/>
      <c r="WYC21" s="1280"/>
      <c r="WYD21" s="1280"/>
      <c r="WYE21" s="1280"/>
      <c r="WYF21" s="1280"/>
      <c r="WYG21" s="1280"/>
      <c r="WYH21" s="1280"/>
      <c r="WYI21" s="1280"/>
      <c r="WYJ21" s="1280"/>
      <c r="WYK21" s="1280"/>
      <c r="WYL21" s="1280"/>
      <c r="WYM21" s="1280"/>
      <c r="WYN21" s="1280"/>
      <c r="WYO21" s="1280"/>
      <c r="WYP21" s="1280"/>
      <c r="WYQ21" s="1280"/>
      <c r="WYR21" s="1280"/>
      <c r="WYS21" s="1280"/>
      <c r="WYT21" s="1280"/>
      <c r="WYU21" s="1280"/>
      <c r="WYV21" s="1280"/>
      <c r="WYW21" s="1280"/>
      <c r="WYX21" s="1280"/>
      <c r="WYY21" s="1280"/>
      <c r="WYZ21" s="1280"/>
      <c r="WZA21" s="1280"/>
      <c r="WZB21" s="1280"/>
      <c r="WZC21" s="1280"/>
      <c r="WZD21" s="1280"/>
      <c r="WZE21" s="1280"/>
      <c r="WZF21" s="1280"/>
      <c r="WZG21" s="1280"/>
      <c r="WZH21" s="1280"/>
      <c r="WZI21" s="1280"/>
      <c r="WZJ21" s="1280"/>
      <c r="WZK21" s="1280"/>
      <c r="WZL21" s="1280"/>
      <c r="WZM21" s="1280"/>
      <c r="WZN21" s="1280"/>
      <c r="WZO21" s="1280"/>
      <c r="WZP21" s="1280"/>
      <c r="WZQ21" s="1280"/>
      <c r="WZR21" s="1280"/>
      <c r="WZS21" s="1280"/>
      <c r="WZT21" s="1280"/>
      <c r="WZU21" s="1280"/>
      <c r="WZV21" s="1280"/>
      <c r="WZW21" s="1280"/>
      <c r="WZX21" s="1280"/>
      <c r="WZY21" s="1280"/>
      <c r="WZZ21" s="1280"/>
      <c r="XAA21" s="1280"/>
      <c r="XAB21" s="1280"/>
      <c r="XAC21" s="1280"/>
      <c r="XAD21" s="1280"/>
      <c r="XAE21" s="1280"/>
      <c r="XAF21" s="1280"/>
      <c r="XAG21" s="1280"/>
      <c r="XAH21" s="1280"/>
      <c r="XAI21" s="1280"/>
      <c r="XAJ21" s="1280"/>
      <c r="XAK21" s="1280"/>
      <c r="XAL21" s="1280"/>
      <c r="XAM21" s="1280"/>
      <c r="XAN21" s="1280"/>
      <c r="XAO21" s="1280"/>
      <c r="XAP21" s="1280"/>
      <c r="XAQ21" s="1280"/>
      <c r="XAR21" s="1280"/>
      <c r="XAS21" s="1280"/>
      <c r="XAT21" s="1280"/>
      <c r="XAU21" s="1280"/>
      <c r="XAV21" s="1280"/>
      <c r="XAW21" s="1280"/>
      <c r="XAX21" s="1280"/>
      <c r="XAY21" s="1280"/>
      <c r="XAZ21" s="1280"/>
      <c r="XBA21" s="1280"/>
      <c r="XBB21" s="1280"/>
      <c r="XBC21" s="1280"/>
      <c r="XBD21" s="1280"/>
      <c r="XBE21" s="1280"/>
      <c r="XBF21" s="1280"/>
      <c r="XBG21" s="1280"/>
      <c r="XBH21" s="1280"/>
      <c r="XBI21" s="1280"/>
      <c r="XBJ21" s="1280"/>
      <c r="XBK21" s="1280"/>
      <c r="XBL21" s="1280"/>
      <c r="XBM21" s="1280"/>
      <c r="XBN21" s="1280"/>
      <c r="XBO21" s="1280"/>
      <c r="XBP21" s="1280"/>
      <c r="XBQ21" s="1280"/>
      <c r="XBR21" s="1280"/>
      <c r="XBS21" s="1280"/>
      <c r="XBT21" s="1280"/>
      <c r="XBU21" s="1280"/>
      <c r="XBV21" s="1280"/>
      <c r="XBW21" s="1280"/>
      <c r="XBX21" s="1280"/>
      <c r="XBY21" s="1280"/>
      <c r="XBZ21" s="1280"/>
      <c r="XCA21" s="1280"/>
      <c r="XCB21" s="1280"/>
      <c r="XCC21" s="1280"/>
      <c r="XCD21" s="1280"/>
      <c r="XCE21" s="1280"/>
      <c r="XCF21" s="1280"/>
      <c r="XCG21" s="1280"/>
      <c r="XCH21" s="1280"/>
      <c r="XCI21" s="1280"/>
      <c r="XCJ21" s="1280"/>
      <c r="XCK21" s="1280"/>
      <c r="XCL21" s="1280"/>
      <c r="XCM21" s="1280"/>
      <c r="XCN21" s="1280"/>
      <c r="XCO21" s="1280"/>
      <c r="XCP21" s="1280"/>
      <c r="XCQ21" s="1280"/>
      <c r="XCR21" s="1280"/>
      <c r="XCS21" s="1280"/>
      <c r="XCT21" s="1280"/>
      <c r="XCU21" s="1280"/>
      <c r="XCV21" s="1280"/>
      <c r="XCW21" s="1280"/>
      <c r="XCX21" s="1280"/>
      <c r="XCY21" s="1280"/>
      <c r="XCZ21" s="1280"/>
      <c r="XDA21" s="1280"/>
      <c r="XDB21" s="1280"/>
      <c r="XDC21" s="1280"/>
      <c r="XDD21" s="1280"/>
      <c r="XDE21" s="1280"/>
      <c r="XDF21" s="1280"/>
      <c r="XDG21" s="1280"/>
      <c r="XDH21" s="1280"/>
      <c r="XDI21" s="1280"/>
      <c r="XDJ21" s="1280"/>
      <c r="XDK21" s="1280"/>
      <c r="XDL21" s="1280"/>
      <c r="XDM21" s="1280"/>
      <c r="XDN21" s="1280"/>
      <c r="XDO21" s="1280"/>
      <c r="XDP21" s="1280"/>
      <c r="XDQ21" s="1280"/>
      <c r="XDR21" s="1280"/>
      <c r="XDS21" s="1280"/>
      <c r="XDT21" s="1280"/>
      <c r="XDU21" s="1280"/>
      <c r="XDV21" s="1280"/>
      <c r="XDW21" s="1280"/>
      <c r="XDX21" s="1280"/>
      <c r="XDY21" s="1280"/>
      <c r="XDZ21" s="1280"/>
      <c r="XEA21" s="1280"/>
      <c r="XEB21" s="1280"/>
      <c r="XEC21" s="1280"/>
      <c r="XED21" s="1280"/>
      <c r="XEE21" s="1280"/>
      <c r="XEF21" s="1280"/>
      <c r="XEG21" s="1280"/>
      <c r="XEH21" s="1280"/>
      <c r="XEI21" s="1280"/>
      <c r="XEJ21" s="1280"/>
      <c r="XEK21" s="1280"/>
      <c r="XEL21" s="1280"/>
      <c r="XEM21" s="1280"/>
      <c r="XEN21" s="1280"/>
      <c r="XEO21" s="1280"/>
      <c r="XEP21" s="1280"/>
      <c r="XEQ21" s="1280"/>
      <c r="XER21" s="1280"/>
      <c r="XES21" s="1280"/>
      <c r="XET21" s="1280"/>
      <c r="XEU21" s="1280"/>
      <c r="XEV21" s="1280"/>
      <c r="XEW21" s="1280"/>
      <c r="XEX21" s="1280"/>
      <c r="XEY21" s="1280"/>
      <c r="XEZ21" s="1280"/>
      <c r="XFA21" s="1280"/>
      <c r="XFB21" s="1280"/>
      <c r="XFC21" s="1280"/>
    </row>
    <row r="22" spans="1:16383" s="857" customFormat="1" ht="42.75" hidden="1" customHeight="1" x14ac:dyDescent="0.2">
      <c r="A22" s="857" t="s">
        <v>4896</v>
      </c>
      <c r="B22" s="1280" t="e">
        <v>#N/A</v>
      </c>
      <c r="C22" s="1280"/>
      <c r="D22" s="1280"/>
      <c r="E22" s="1281"/>
      <c r="F22" s="1291" t="s">
        <v>5193</v>
      </c>
      <c r="G22" s="1282"/>
      <c r="H22" s="1283" t="s">
        <v>2494</v>
      </c>
      <c r="I22" s="1284"/>
      <c r="J22" s="1288" t="s">
        <v>519</v>
      </c>
      <c r="K22" s="1289">
        <v>3000</v>
      </c>
      <c r="L22" s="1289"/>
      <c r="M22" s="1289"/>
      <c r="N22" s="1288" t="s">
        <v>5195</v>
      </c>
      <c r="O22" s="1283">
        <v>2008</v>
      </c>
      <c r="P22" s="1285"/>
      <c r="Q22" s="1288" t="s">
        <v>5084</v>
      </c>
      <c r="R22" s="1285"/>
      <c r="S22" s="1288" t="s">
        <v>5085</v>
      </c>
      <c r="T22" s="1286">
        <v>1676133109.72452</v>
      </c>
      <c r="U22" s="1289" t="s">
        <v>43</v>
      </c>
      <c r="V22" s="1288" t="s">
        <v>5098</v>
      </c>
      <c r="W22" s="968"/>
      <c r="X22" s="884" t="str">
        <f t="shared" si="4"/>
        <v>04.13.01</v>
      </c>
      <c r="Y22" s="884" t="str">
        <f t="shared" si="1"/>
        <v>Jalan</v>
      </c>
      <c r="Z22" s="884">
        <f t="shared" si="2"/>
        <v>10</v>
      </c>
      <c r="AA22" s="868">
        <f t="shared" si="5"/>
        <v>167613310.97245198</v>
      </c>
      <c r="AB22" s="885">
        <f t="shared" si="6"/>
        <v>6</v>
      </c>
      <c r="AC22" s="868">
        <f t="shared" si="7"/>
        <v>1005679865.8347119</v>
      </c>
      <c r="AD22" s="868">
        <f t="shared" si="8"/>
        <v>167613310.97245198</v>
      </c>
      <c r="AE22" s="868">
        <f t="shared" si="9"/>
        <v>167613310.97245198</v>
      </c>
      <c r="AF22" s="868">
        <f t="shared" si="10"/>
        <v>167613310.97245198</v>
      </c>
      <c r="AG22" s="868">
        <f t="shared" si="11"/>
        <v>167613310.97245198</v>
      </c>
      <c r="AH22" s="886">
        <f t="shared" si="12"/>
        <v>0</v>
      </c>
      <c r="AI22" s="886">
        <f t="shared" si="13"/>
        <v>1676133109.7245197</v>
      </c>
      <c r="AJ22" s="868">
        <f t="shared" si="14"/>
        <v>0</v>
      </c>
      <c r="AK22" s="898">
        <f t="shared" si="3"/>
        <v>1676133109.7245197</v>
      </c>
      <c r="AL22" s="1280"/>
      <c r="AM22" s="1280"/>
      <c r="AN22" s="1280"/>
      <c r="AO22" s="1280"/>
      <c r="AP22" s="1280"/>
      <c r="AQ22" s="1280"/>
      <c r="AR22" s="1280"/>
      <c r="AS22" s="1280"/>
      <c r="AT22" s="1280"/>
      <c r="AU22" s="1280"/>
      <c r="AV22" s="1280"/>
      <c r="AW22" s="1280"/>
      <c r="AX22" s="1280"/>
      <c r="AY22" s="1280"/>
      <c r="AZ22" s="1280"/>
      <c r="BA22" s="1280"/>
      <c r="BB22" s="1280"/>
      <c r="BC22" s="1280"/>
      <c r="BD22" s="1280"/>
      <c r="BE22" s="1280"/>
      <c r="BF22" s="1280"/>
      <c r="BG22" s="1280"/>
      <c r="BH22" s="1280"/>
      <c r="BI22" s="1280"/>
      <c r="BJ22" s="1280"/>
      <c r="BK22" s="1280"/>
      <c r="BL22" s="1280"/>
      <c r="BM22" s="1280"/>
      <c r="BN22" s="1280"/>
      <c r="BO22" s="1280"/>
      <c r="BP22" s="1280"/>
      <c r="BQ22" s="1280"/>
      <c r="BR22" s="1280"/>
      <c r="BS22" s="1280"/>
      <c r="BT22" s="1280"/>
      <c r="BU22" s="1280"/>
      <c r="BV22" s="1280"/>
      <c r="BW22" s="1280"/>
      <c r="BX22" s="1280"/>
      <c r="BY22" s="1280"/>
      <c r="BZ22" s="1280"/>
      <c r="CA22" s="1280"/>
      <c r="CB22" s="1280"/>
      <c r="CC22" s="1280"/>
      <c r="CD22" s="1280"/>
      <c r="CE22" s="1280"/>
      <c r="CF22" s="1280"/>
      <c r="CG22" s="1280"/>
      <c r="CH22" s="1280"/>
      <c r="CI22" s="1280"/>
      <c r="CJ22" s="1280"/>
      <c r="CK22" s="1280"/>
      <c r="CL22" s="1280"/>
      <c r="CM22" s="1280"/>
      <c r="CN22" s="1280"/>
      <c r="CO22" s="1280"/>
      <c r="CP22" s="1280"/>
      <c r="CQ22" s="1280"/>
      <c r="CR22" s="1280"/>
      <c r="CS22" s="1280"/>
      <c r="CT22" s="1280"/>
      <c r="CU22" s="1280"/>
      <c r="CV22" s="1280"/>
      <c r="CW22" s="1280"/>
      <c r="CX22" s="1280"/>
      <c r="CY22" s="1280"/>
      <c r="CZ22" s="1280"/>
      <c r="DA22" s="1280"/>
      <c r="DB22" s="1280"/>
      <c r="DC22" s="1280"/>
      <c r="DD22" s="1280"/>
      <c r="DE22" s="1280"/>
      <c r="DF22" s="1280"/>
      <c r="DG22" s="1280"/>
      <c r="DH22" s="1280"/>
      <c r="DI22" s="1280"/>
      <c r="DJ22" s="1280"/>
      <c r="DK22" s="1280"/>
      <c r="DL22" s="1280"/>
      <c r="DM22" s="1280"/>
      <c r="DN22" s="1280"/>
      <c r="DO22" s="1280"/>
      <c r="DP22" s="1280"/>
      <c r="DQ22" s="1280"/>
      <c r="DR22" s="1280"/>
      <c r="DS22" s="1280"/>
      <c r="DT22" s="1280"/>
      <c r="DU22" s="1280"/>
      <c r="DV22" s="1280"/>
      <c r="DW22" s="1280"/>
      <c r="DX22" s="1280"/>
      <c r="DY22" s="1280"/>
      <c r="DZ22" s="1280"/>
      <c r="EA22" s="1280"/>
      <c r="EB22" s="1280"/>
      <c r="EC22" s="1280"/>
      <c r="ED22" s="1280"/>
      <c r="EE22" s="1280"/>
      <c r="EF22" s="1280"/>
      <c r="EG22" s="1280"/>
      <c r="EH22" s="1280"/>
      <c r="EI22" s="1280"/>
      <c r="EJ22" s="1280"/>
      <c r="EK22" s="1280"/>
      <c r="EL22" s="1280"/>
      <c r="EM22" s="1280"/>
      <c r="EN22" s="1280"/>
      <c r="EO22" s="1280"/>
      <c r="EP22" s="1280"/>
      <c r="EQ22" s="1280"/>
      <c r="ER22" s="1280"/>
      <c r="ES22" s="1280"/>
      <c r="ET22" s="1280"/>
      <c r="EU22" s="1280"/>
      <c r="EV22" s="1280"/>
      <c r="EW22" s="1280"/>
      <c r="EX22" s="1280"/>
      <c r="EY22" s="1280"/>
      <c r="EZ22" s="1280"/>
      <c r="FA22" s="1280"/>
      <c r="FB22" s="1280"/>
      <c r="FC22" s="1280"/>
      <c r="FD22" s="1280"/>
      <c r="FE22" s="1280"/>
      <c r="FF22" s="1280"/>
      <c r="FG22" s="1280"/>
      <c r="FH22" s="1280"/>
      <c r="FI22" s="1280"/>
      <c r="FJ22" s="1280"/>
      <c r="FK22" s="1280"/>
      <c r="FL22" s="1280"/>
      <c r="FM22" s="1280"/>
      <c r="FN22" s="1280"/>
      <c r="FO22" s="1280"/>
      <c r="FP22" s="1280"/>
      <c r="FQ22" s="1280"/>
      <c r="FR22" s="1280"/>
      <c r="FS22" s="1280"/>
      <c r="FT22" s="1280"/>
      <c r="FU22" s="1280"/>
      <c r="FV22" s="1280"/>
      <c r="FW22" s="1280"/>
      <c r="FX22" s="1280"/>
      <c r="FY22" s="1280"/>
      <c r="FZ22" s="1280"/>
      <c r="GA22" s="1280"/>
      <c r="GB22" s="1280"/>
      <c r="GC22" s="1280"/>
      <c r="GD22" s="1280"/>
      <c r="GE22" s="1280"/>
      <c r="GF22" s="1280"/>
      <c r="GG22" s="1280"/>
      <c r="GH22" s="1280"/>
      <c r="GI22" s="1280"/>
      <c r="GJ22" s="1280"/>
      <c r="GK22" s="1280"/>
      <c r="GL22" s="1280"/>
      <c r="GM22" s="1280"/>
      <c r="GN22" s="1280"/>
      <c r="GO22" s="1280"/>
      <c r="GP22" s="1280"/>
      <c r="GQ22" s="1280"/>
      <c r="GR22" s="1280"/>
      <c r="GS22" s="1280"/>
      <c r="GT22" s="1280"/>
      <c r="GU22" s="1280"/>
      <c r="GV22" s="1280"/>
      <c r="GW22" s="1280"/>
      <c r="GX22" s="1280"/>
      <c r="GY22" s="1280"/>
      <c r="GZ22" s="1280"/>
      <c r="HA22" s="1280"/>
      <c r="HB22" s="1280"/>
      <c r="HC22" s="1280"/>
      <c r="HD22" s="1280"/>
      <c r="HE22" s="1280"/>
      <c r="HF22" s="1280"/>
      <c r="HG22" s="1280"/>
      <c r="HH22" s="1280"/>
      <c r="HI22" s="1280"/>
      <c r="HJ22" s="1280"/>
      <c r="HK22" s="1280"/>
      <c r="HL22" s="1280"/>
      <c r="HM22" s="1280"/>
      <c r="HN22" s="1280"/>
      <c r="HO22" s="1280"/>
      <c r="HP22" s="1280"/>
      <c r="HQ22" s="1280"/>
      <c r="HR22" s="1280"/>
      <c r="HS22" s="1280"/>
      <c r="HT22" s="1280"/>
      <c r="HU22" s="1280"/>
      <c r="HV22" s="1280"/>
      <c r="HW22" s="1280"/>
      <c r="HX22" s="1280"/>
      <c r="HY22" s="1280"/>
      <c r="HZ22" s="1280"/>
      <c r="IA22" s="1280"/>
      <c r="IB22" s="1280"/>
      <c r="IC22" s="1280"/>
      <c r="ID22" s="1280"/>
      <c r="IE22" s="1280"/>
      <c r="IF22" s="1280"/>
      <c r="IG22" s="1280"/>
      <c r="IH22" s="1280"/>
      <c r="II22" s="1280"/>
      <c r="IJ22" s="1280"/>
      <c r="IK22" s="1280"/>
      <c r="IL22" s="1280"/>
      <c r="IM22" s="1280"/>
      <c r="IN22" s="1280"/>
      <c r="IO22" s="1280"/>
      <c r="IP22" s="1280"/>
      <c r="IQ22" s="1280"/>
      <c r="IR22" s="1280"/>
      <c r="IS22" s="1280"/>
      <c r="IT22" s="1280"/>
      <c r="IU22" s="1280"/>
      <c r="IV22" s="1280"/>
      <c r="IW22" s="1280"/>
      <c r="IX22" s="1280"/>
      <c r="IY22" s="1280"/>
      <c r="IZ22" s="1280"/>
      <c r="JA22" s="1280"/>
      <c r="JB22" s="1280"/>
      <c r="JC22" s="1280"/>
      <c r="JD22" s="1280"/>
      <c r="JE22" s="1280"/>
      <c r="JF22" s="1280"/>
      <c r="JG22" s="1280"/>
      <c r="JH22" s="1280"/>
      <c r="JI22" s="1280"/>
      <c r="JJ22" s="1280"/>
      <c r="JK22" s="1280"/>
      <c r="JL22" s="1280"/>
      <c r="JM22" s="1280"/>
      <c r="JN22" s="1280"/>
      <c r="JO22" s="1280"/>
      <c r="JP22" s="1280"/>
      <c r="JQ22" s="1280"/>
      <c r="JR22" s="1280"/>
      <c r="JS22" s="1280"/>
      <c r="JT22" s="1280"/>
      <c r="JU22" s="1280"/>
      <c r="JV22" s="1280"/>
      <c r="JW22" s="1280"/>
      <c r="JX22" s="1280"/>
      <c r="JY22" s="1280"/>
      <c r="JZ22" s="1280"/>
      <c r="KA22" s="1280"/>
      <c r="KB22" s="1280"/>
      <c r="KC22" s="1280"/>
      <c r="KD22" s="1280"/>
      <c r="KE22" s="1280"/>
      <c r="KF22" s="1280"/>
      <c r="KG22" s="1280"/>
      <c r="KH22" s="1280"/>
      <c r="KI22" s="1280"/>
      <c r="KJ22" s="1280"/>
      <c r="KK22" s="1280"/>
      <c r="KL22" s="1280"/>
      <c r="KM22" s="1280"/>
      <c r="KN22" s="1280"/>
      <c r="KO22" s="1280"/>
      <c r="KP22" s="1280"/>
      <c r="KQ22" s="1280"/>
      <c r="KR22" s="1280"/>
      <c r="KS22" s="1280"/>
      <c r="KT22" s="1280"/>
      <c r="KU22" s="1280"/>
      <c r="KV22" s="1280"/>
      <c r="KW22" s="1280"/>
      <c r="KX22" s="1280"/>
      <c r="KY22" s="1280"/>
      <c r="KZ22" s="1280"/>
      <c r="LA22" s="1280"/>
      <c r="LB22" s="1280"/>
      <c r="LC22" s="1280"/>
      <c r="LD22" s="1280"/>
      <c r="LE22" s="1280"/>
      <c r="LF22" s="1280"/>
      <c r="LG22" s="1280"/>
      <c r="LH22" s="1280"/>
      <c r="LI22" s="1280"/>
      <c r="LJ22" s="1280"/>
      <c r="LK22" s="1280"/>
      <c r="LL22" s="1280"/>
      <c r="LM22" s="1280"/>
      <c r="LN22" s="1280"/>
      <c r="LO22" s="1280"/>
      <c r="LP22" s="1280"/>
      <c r="LQ22" s="1280"/>
      <c r="LR22" s="1280"/>
      <c r="LS22" s="1280"/>
      <c r="LT22" s="1280"/>
      <c r="LU22" s="1280"/>
      <c r="LV22" s="1280"/>
      <c r="LW22" s="1280"/>
      <c r="LX22" s="1280"/>
      <c r="LY22" s="1280"/>
      <c r="LZ22" s="1280"/>
      <c r="MA22" s="1280"/>
      <c r="MB22" s="1280"/>
      <c r="MC22" s="1280"/>
      <c r="MD22" s="1280"/>
      <c r="ME22" s="1280"/>
      <c r="MF22" s="1280"/>
      <c r="MG22" s="1280"/>
      <c r="MH22" s="1280"/>
      <c r="MI22" s="1280"/>
      <c r="MJ22" s="1280"/>
      <c r="MK22" s="1280"/>
      <c r="ML22" s="1280"/>
      <c r="MM22" s="1280"/>
      <c r="MN22" s="1280"/>
      <c r="MO22" s="1280"/>
      <c r="MP22" s="1280"/>
      <c r="MQ22" s="1280"/>
      <c r="MR22" s="1280"/>
      <c r="MS22" s="1280"/>
      <c r="MT22" s="1280"/>
      <c r="MU22" s="1280"/>
      <c r="MV22" s="1280"/>
      <c r="MW22" s="1280"/>
      <c r="MX22" s="1280"/>
      <c r="MY22" s="1280"/>
      <c r="MZ22" s="1280"/>
      <c r="NA22" s="1280"/>
      <c r="NB22" s="1280"/>
      <c r="NC22" s="1280"/>
      <c r="ND22" s="1280"/>
      <c r="NE22" s="1280"/>
      <c r="NF22" s="1280"/>
      <c r="NG22" s="1280"/>
      <c r="NH22" s="1280"/>
      <c r="NI22" s="1280"/>
      <c r="NJ22" s="1280"/>
      <c r="NK22" s="1280"/>
      <c r="NL22" s="1280"/>
      <c r="NM22" s="1280"/>
      <c r="NN22" s="1280"/>
      <c r="NO22" s="1280"/>
      <c r="NP22" s="1280"/>
      <c r="NQ22" s="1280"/>
      <c r="NR22" s="1280"/>
      <c r="NS22" s="1280"/>
      <c r="NT22" s="1280"/>
      <c r="NU22" s="1280"/>
      <c r="NV22" s="1280"/>
      <c r="NW22" s="1280"/>
      <c r="NX22" s="1280"/>
      <c r="NY22" s="1280"/>
      <c r="NZ22" s="1280"/>
      <c r="OA22" s="1280"/>
      <c r="OB22" s="1280"/>
      <c r="OC22" s="1280"/>
      <c r="OD22" s="1280"/>
      <c r="OE22" s="1280"/>
      <c r="OF22" s="1280"/>
      <c r="OG22" s="1280"/>
      <c r="OH22" s="1280"/>
      <c r="OI22" s="1280"/>
      <c r="OJ22" s="1280"/>
      <c r="OK22" s="1280"/>
      <c r="OL22" s="1280"/>
      <c r="OM22" s="1280"/>
      <c r="ON22" s="1280"/>
      <c r="OO22" s="1280"/>
      <c r="OP22" s="1280"/>
      <c r="OQ22" s="1280"/>
      <c r="OR22" s="1280"/>
      <c r="OS22" s="1280"/>
      <c r="OT22" s="1280"/>
      <c r="OU22" s="1280"/>
      <c r="OV22" s="1280"/>
      <c r="OW22" s="1280"/>
      <c r="OX22" s="1280"/>
      <c r="OY22" s="1280"/>
      <c r="OZ22" s="1280"/>
      <c r="PA22" s="1280"/>
      <c r="PB22" s="1280"/>
      <c r="PC22" s="1280"/>
      <c r="PD22" s="1280"/>
      <c r="PE22" s="1280"/>
      <c r="PF22" s="1280"/>
      <c r="PG22" s="1280"/>
      <c r="PH22" s="1280"/>
      <c r="PI22" s="1280"/>
      <c r="PJ22" s="1280"/>
      <c r="PK22" s="1280"/>
      <c r="PL22" s="1280"/>
      <c r="PM22" s="1280"/>
      <c r="PN22" s="1280"/>
      <c r="PO22" s="1280"/>
      <c r="PP22" s="1280"/>
      <c r="PQ22" s="1280"/>
      <c r="PR22" s="1280"/>
      <c r="PS22" s="1280"/>
      <c r="PT22" s="1280"/>
      <c r="PU22" s="1280"/>
      <c r="PV22" s="1280"/>
      <c r="PW22" s="1280"/>
      <c r="PX22" s="1280"/>
      <c r="PY22" s="1280"/>
      <c r="PZ22" s="1280"/>
      <c r="QA22" s="1280"/>
      <c r="QB22" s="1280"/>
      <c r="QC22" s="1280"/>
      <c r="QD22" s="1280"/>
      <c r="QE22" s="1280"/>
      <c r="QF22" s="1280"/>
      <c r="QG22" s="1280"/>
      <c r="QH22" s="1280"/>
      <c r="QI22" s="1280"/>
      <c r="QJ22" s="1280"/>
      <c r="QK22" s="1280"/>
      <c r="QL22" s="1280"/>
      <c r="QM22" s="1280"/>
      <c r="QN22" s="1280"/>
      <c r="QO22" s="1280"/>
      <c r="QP22" s="1280"/>
      <c r="QQ22" s="1280"/>
      <c r="QR22" s="1280"/>
      <c r="QS22" s="1280"/>
      <c r="QT22" s="1280"/>
      <c r="QU22" s="1280"/>
      <c r="QV22" s="1280"/>
      <c r="QW22" s="1280"/>
      <c r="QX22" s="1280"/>
      <c r="QY22" s="1280"/>
      <c r="QZ22" s="1280"/>
      <c r="RA22" s="1280"/>
      <c r="RB22" s="1280"/>
      <c r="RC22" s="1280"/>
      <c r="RD22" s="1280"/>
      <c r="RE22" s="1280"/>
      <c r="RF22" s="1280"/>
      <c r="RG22" s="1280"/>
      <c r="RH22" s="1280"/>
      <c r="RI22" s="1280"/>
      <c r="RJ22" s="1280"/>
      <c r="RK22" s="1280"/>
      <c r="RL22" s="1280"/>
      <c r="RM22" s="1280"/>
      <c r="RN22" s="1280"/>
      <c r="RO22" s="1280"/>
      <c r="RP22" s="1280"/>
      <c r="RQ22" s="1280"/>
      <c r="RR22" s="1280"/>
      <c r="RS22" s="1280"/>
      <c r="RT22" s="1280"/>
      <c r="RU22" s="1280"/>
      <c r="RV22" s="1280"/>
      <c r="RW22" s="1280"/>
      <c r="RX22" s="1280"/>
      <c r="RY22" s="1280"/>
      <c r="RZ22" s="1280"/>
      <c r="SA22" s="1280"/>
      <c r="SB22" s="1280"/>
      <c r="SC22" s="1280"/>
      <c r="SD22" s="1280"/>
      <c r="SE22" s="1280"/>
      <c r="SF22" s="1280"/>
      <c r="SG22" s="1280"/>
      <c r="SH22" s="1280"/>
      <c r="SI22" s="1280"/>
      <c r="SJ22" s="1280"/>
      <c r="SK22" s="1280"/>
      <c r="SL22" s="1280"/>
      <c r="SM22" s="1280"/>
      <c r="SN22" s="1280"/>
      <c r="SO22" s="1280"/>
      <c r="SP22" s="1280"/>
      <c r="SQ22" s="1280"/>
      <c r="SR22" s="1280"/>
      <c r="SS22" s="1280"/>
      <c r="ST22" s="1280"/>
      <c r="SU22" s="1280"/>
      <c r="SV22" s="1280"/>
      <c r="SW22" s="1280"/>
      <c r="SX22" s="1280"/>
      <c r="SY22" s="1280"/>
      <c r="SZ22" s="1280"/>
      <c r="TA22" s="1280"/>
      <c r="TB22" s="1280"/>
      <c r="TC22" s="1280"/>
      <c r="TD22" s="1280"/>
      <c r="TE22" s="1280"/>
      <c r="TF22" s="1280"/>
      <c r="TG22" s="1280"/>
      <c r="TH22" s="1280"/>
      <c r="TI22" s="1280"/>
      <c r="TJ22" s="1280"/>
      <c r="TK22" s="1280"/>
      <c r="TL22" s="1280"/>
      <c r="TM22" s="1280"/>
      <c r="TN22" s="1280"/>
      <c r="TO22" s="1280"/>
      <c r="TP22" s="1280"/>
      <c r="TQ22" s="1280"/>
      <c r="TR22" s="1280"/>
      <c r="TS22" s="1280"/>
      <c r="TT22" s="1280"/>
      <c r="TU22" s="1280"/>
      <c r="TV22" s="1280"/>
      <c r="TW22" s="1280"/>
      <c r="TX22" s="1280"/>
      <c r="TY22" s="1280"/>
      <c r="TZ22" s="1280"/>
      <c r="UA22" s="1280"/>
      <c r="UB22" s="1280"/>
      <c r="UC22" s="1280"/>
      <c r="UD22" s="1280"/>
      <c r="UE22" s="1280"/>
      <c r="UF22" s="1280"/>
      <c r="UG22" s="1280"/>
      <c r="UH22" s="1280"/>
      <c r="UI22" s="1280"/>
      <c r="UJ22" s="1280"/>
      <c r="UK22" s="1280"/>
      <c r="UL22" s="1280"/>
      <c r="UM22" s="1280"/>
      <c r="UN22" s="1280"/>
      <c r="UO22" s="1280"/>
      <c r="UP22" s="1280"/>
      <c r="UQ22" s="1280"/>
      <c r="UR22" s="1280"/>
      <c r="US22" s="1280"/>
      <c r="UT22" s="1280"/>
      <c r="UU22" s="1280"/>
      <c r="UV22" s="1280"/>
      <c r="UW22" s="1280"/>
      <c r="UX22" s="1280"/>
      <c r="UY22" s="1280"/>
      <c r="UZ22" s="1280"/>
      <c r="VA22" s="1280"/>
      <c r="VB22" s="1280"/>
      <c r="VC22" s="1280"/>
      <c r="VD22" s="1280"/>
      <c r="VE22" s="1280"/>
      <c r="VF22" s="1280"/>
      <c r="VG22" s="1280"/>
      <c r="VH22" s="1280"/>
      <c r="VI22" s="1280"/>
      <c r="VJ22" s="1280"/>
      <c r="VK22" s="1280"/>
      <c r="VL22" s="1280"/>
      <c r="VM22" s="1280"/>
      <c r="VN22" s="1280"/>
      <c r="VO22" s="1280"/>
      <c r="VP22" s="1280"/>
      <c r="VQ22" s="1280"/>
      <c r="VR22" s="1280"/>
      <c r="VS22" s="1280"/>
      <c r="VT22" s="1280"/>
      <c r="VU22" s="1280"/>
      <c r="VV22" s="1280"/>
      <c r="VW22" s="1280"/>
      <c r="VX22" s="1280"/>
      <c r="VY22" s="1280"/>
      <c r="VZ22" s="1280"/>
      <c r="WA22" s="1280"/>
      <c r="WB22" s="1280"/>
      <c r="WC22" s="1280"/>
      <c r="WD22" s="1280"/>
      <c r="WE22" s="1280"/>
      <c r="WF22" s="1280"/>
      <c r="WG22" s="1280"/>
      <c r="WH22" s="1280"/>
      <c r="WI22" s="1280"/>
      <c r="WJ22" s="1280"/>
      <c r="WK22" s="1280"/>
      <c r="WL22" s="1280"/>
      <c r="WM22" s="1280"/>
      <c r="WN22" s="1280"/>
      <c r="WO22" s="1280"/>
      <c r="WP22" s="1280"/>
      <c r="WQ22" s="1280"/>
      <c r="WR22" s="1280"/>
      <c r="WS22" s="1280"/>
      <c r="WT22" s="1280"/>
      <c r="WU22" s="1280"/>
      <c r="WV22" s="1280"/>
      <c r="WW22" s="1280"/>
      <c r="WX22" s="1280"/>
      <c r="WY22" s="1280"/>
      <c r="WZ22" s="1280"/>
      <c r="XA22" s="1280"/>
      <c r="XB22" s="1280"/>
      <c r="XC22" s="1280"/>
      <c r="XD22" s="1280"/>
      <c r="XE22" s="1280"/>
      <c r="XF22" s="1280"/>
      <c r="XG22" s="1280"/>
      <c r="XH22" s="1280"/>
      <c r="XI22" s="1280"/>
      <c r="XJ22" s="1280"/>
      <c r="XK22" s="1280"/>
      <c r="XL22" s="1280"/>
      <c r="XM22" s="1280"/>
      <c r="XN22" s="1280"/>
      <c r="XO22" s="1280"/>
      <c r="XP22" s="1280"/>
      <c r="XQ22" s="1280"/>
      <c r="XR22" s="1280"/>
      <c r="XS22" s="1280"/>
      <c r="XT22" s="1280"/>
      <c r="XU22" s="1280"/>
      <c r="XV22" s="1280"/>
      <c r="XW22" s="1280"/>
      <c r="XX22" s="1280"/>
      <c r="XY22" s="1280"/>
      <c r="XZ22" s="1280"/>
      <c r="YA22" s="1280"/>
      <c r="YB22" s="1280"/>
      <c r="YC22" s="1280"/>
      <c r="YD22" s="1280"/>
      <c r="YE22" s="1280"/>
      <c r="YF22" s="1280"/>
      <c r="YG22" s="1280"/>
      <c r="YH22" s="1280"/>
      <c r="YI22" s="1280"/>
      <c r="YJ22" s="1280"/>
      <c r="YK22" s="1280"/>
      <c r="YL22" s="1280"/>
      <c r="YM22" s="1280"/>
      <c r="YN22" s="1280"/>
      <c r="YO22" s="1280"/>
      <c r="YP22" s="1280"/>
      <c r="YQ22" s="1280"/>
      <c r="YR22" s="1280"/>
      <c r="YS22" s="1280"/>
      <c r="YT22" s="1280"/>
      <c r="YU22" s="1280"/>
      <c r="YV22" s="1280"/>
      <c r="YW22" s="1280"/>
      <c r="YX22" s="1280"/>
      <c r="YY22" s="1280"/>
      <c r="YZ22" s="1280"/>
      <c r="ZA22" s="1280"/>
      <c r="ZB22" s="1280"/>
      <c r="ZC22" s="1280"/>
      <c r="ZD22" s="1280"/>
      <c r="ZE22" s="1280"/>
      <c r="ZF22" s="1280"/>
      <c r="ZG22" s="1280"/>
      <c r="ZH22" s="1280"/>
      <c r="ZI22" s="1280"/>
      <c r="ZJ22" s="1280"/>
      <c r="ZK22" s="1280"/>
      <c r="ZL22" s="1280"/>
      <c r="ZM22" s="1280"/>
      <c r="ZN22" s="1280"/>
      <c r="ZO22" s="1280"/>
      <c r="ZP22" s="1280"/>
      <c r="ZQ22" s="1280"/>
      <c r="ZR22" s="1280"/>
      <c r="ZS22" s="1280"/>
      <c r="ZT22" s="1280"/>
      <c r="ZU22" s="1280"/>
      <c r="ZV22" s="1280"/>
      <c r="ZW22" s="1280"/>
      <c r="ZX22" s="1280"/>
      <c r="ZY22" s="1280"/>
      <c r="ZZ22" s="1280"/>
      <c r="AAA22" s="1280"/>
      <c r="AAB22" s="1280"/>
      <c r="AAC22" s="1280"/>
      <c r="AAD22" s="1280"/>
      <c r="AAE22" s="1280"/>
      <c r="AAF22" s="1280"/>
      <c r="AAG22" s="1280"/>
      <c r="AAH22" s="1280"/>
      <c r="AAI22" s="1280"/>
      <c r="AAJ22" s="1280"/>
      <c r="AAK22" s="1280"/>
      <c r="AAL22" s="1280"/>
      <c r="AAM22" s="1280"/>
      <c r="AAN22" s="1280"/>
      <c r="AAO22" s="1280"/>
      <c r="AAP22" s="1280"/>
      <c r="AAQ22" s="1280"/>
      <c r="AAR22" s="1280"/>
      <c r="AAS22" s="1280"/>
      <c r="AAT22" s="1280"/>
      <c r="AAU22" s="1280"/>
      <c r="AAV22" s="1280"/>
      <c r="AAW22" s="1280"/>
      <c r="AAX22" s="1280"/>
      <c r="AAY22" s="1280"/>
      <c r="AAZ22" s="1280"/>
      <c r="ABA22" s="1280"/>
      <c r="ABB22" s="1280"/>
      <c r="ABC22" s="1280"/>
      <c r="ABD22" s="1280"/>
      <c r="ABE22" s="1280"/>
      <c r="ABF22" s="1280"/>
      <c r="ABG22" s="1280"/>
      <c r="ABH22" s="1280"/>
      <c r="ABI22" s="1280"/>
      <c r="ABJ22" s="1280"/>
      <c r="ABK22" s="1280"/>
      <c r="ABL22" s="1280"/>
      <c r="ABM22" s="1280"/>
      <c r="ABN22" s="1280"/>
      <c r="ABO22" s="1280"/>
      <c r="ABP22" s="1280"/>
      <c r="ABQ22" s="1280"/>
      <c r="ABR22" s="1280"/>
      <c r="ABS22" s="1280"/>
      <c r="ABT22" s="1280"/>
      <c r="ABU22" s="1280"/>
      <c r="ABV22" s="1280"/>
      <c r="ABW22" s="1280"/>
      <c r="ABX22" s="1280"/>
      <c r="ABY22" s="1280"/>
      <c r="ABZ22" s="1280"/>
      <c r="ACA22" s="1280"/>
      <c r="ACB22" s="1280"/>
      <c r="ACC22" s="1280"/>
      <c r="ACD22" s="1280"/>
      <c r="ACE22" s="1280"/>
      <c r="ACF22" s="1280"/>
      <c r="ACG22" s="1280"/>
      <c r="ACH22" s="1280"/>
      <c r="ACI22" s="1280"/>
      <c r="ACJ22" s="1280"/>
      <c r="ACK22" s="1280"/>
      <c r="ACL22" s="1280"/>
      <c r="ACM22" s="1280"/>
      <c r="ACN22" s="1280"/>
      <c r="ACO22" s="1280"/>
      <c r="ACP22" s="1280"/>
      <c r="ACQ22" s="1280"/>
      <c r="ACR22" s="1280"/>
      <c r="ACS22" s="1280"/>
      <c r="ACT22" s="1280"/>
      <c r="ACU22" s="1280"/>
      <c r="ACV22" s="1280"/>
      <c r="ACW22" s="1280"/>
      <c r="ACX22" s="1280"/>
      <c r="ACY22" s="1280"/>
      <c r="ACZ22" s="1280"/>
      <c r="ADA22" s="1280"/>
      <c r="ADB22" s="1280"/>
      <c r="ADC22" s="1280"/>
      <c r="ADD22" s="1280"/>
      <c r="ADE22" s="1280"/>
      <c r="ADF22" s="1280"/>
      <c r="ADG22" s="1280"/>
      <c r="ADH22" s="1280"/>
      <c r="ADI22" s="1280"/>
      <c r="ADJ22" s="1280"/>
      <c r="ADK22" s="1280"/>
      <c r="ADL22" s="1280"/>
      <c r="ADM22" s="1280"/>
      <c r="ADN22" s="1280"/>
      <c r="ADO22" s="1280"/>
      <c r="ADP22" s="1280"/>
      <c r="ADQ22" s="1280"/>
      <c r="ADR22" s="1280"/>
      <c r="ADS22" s="1280"/>
      <c r="ADT22" s="1280"/>
      <c r="ADU22" s="1280"/>
      <c r="ADV22" s="1280"/>
      <c r="ADW22" s="1280"/>
      <c r="ADX22" s="1280"/>
      <c r="ADY22" s="1280"/>
      <c r="ADZ22" s="1280"/>
      <c r="AEA22" s="1280"/>
      <c r="AEB22" s="1280"/>
      <c r="AEC22" s="1280"/>
      <c r="AED22" s="1280"/>
      <c r="AEE22" s="1280"/>
      <c r="AEF22" s="1280"/>
      <c r="AEG22" s="1280"/>
      <c r="AEH22" s="1280"/>
      <c r="AEI22" s="1280"/>
      <c r="AEJ22" s="1280"/>
      <c r="AEK22" s="1280"/>
      <c r="AEL22" s="1280"/>
      <c r="AEM22" s="1280"/>
      <c r="AEN22" s="1280"/>
      <c r="AEO22" s="1280"/>
      <c r="AEP22" s="1280"/>
      <c r="AEQ22" s="1280"/>
      <c r="AER22" s="1280"/>
      <c r="AES22" s="1280"/>
      <c r="AET22" s="1280"/>
      <c r="AEU22" s="1280"/>
      <c r="AEV22" s="1280"/>
      <c r="AEW22" s="1280"/>
      <c r="AEX22" s="1280"/>
      <c r="AEY22" s="1280"/>
      <c r="AEZ22" s="1280"/>
      <c r="AFA22" s="1280"/>
      <c r="AFB22" s="1280"/>
      <c r="AFC22" s="1280"/>
      <c r="AFD22" s="1280"/>
      <c r="AFE22" s="1280"/>
      <c r="AFF22" s="1280"/>
      <c r="AFG22" s="1280"/>
      <c r="AFH22" s="1280"/>
      <c r="AFI22" s="1280"/>
      <c r="AFJ22" s="1280"/>
      <c r="AFK22" s="1280"/>
      <c r="AFL22" s="1280"/>
      <c r="AFM22" s="1280"/>
      <c r="AFN22" s="1280"/>
      <c r="AFO22" s="1280"/>
      <c r="AFP22" s="1280"/>
      <c r="AFQ22" s="1280"/>
      <c r="AFR22" s="1280"/>
      <c r="AFS22" s="1280"/>
      <c r="AFT22" s="1280"/>
      <c r="AFU22" s="1280"/>
      <c r="AFV22" s="1280"/>
      <c r="AFW22" s="1280"/>
      <c r="AFX22" s="1280"/>
      <c r="AFY22" s="1280"/>
      <c r="AFZ22" s="1280"/>
      <c r="AGA22" s="1280"/>
      <c r="AGB22" s="1280"/>
      <c r="AGC22" s="1280"/>
      <c r="AGD22" s="1280"/>
      <c r="AGE22" s="1280"/>
      <c r="AGF22" s="1280"/>
      <c r="AGG22" s="1280"/>
      <c r="AGH22" s="1280"/>
      <c r="AGI22" s="1280"/>
      <c r="AGJ22" s="1280"/>
      <c r="AGK22" s="1280"/>
      <c r="AGL22" s="1280"/>
      <c r="AGM22" s="1280"/>
      <c r="AGN22" s="1280"/>
      <c r="AGO22" s="1280"/>
      <c r="AGP22" s="1280"/>
      <c r="AGQ22" s="1280"/>
      <c r="AGR22" s="1280"/>
      <c r="AGS22" s="1280"/>
      <c r="AGT22" s="1280"/>
      <c r="AGU22" s="1280"/>
      <c r="AGV22" s="1280"/>
      <c r="AGW22" s="1280"/>
      <c r="AGX22" s="1280"/>
      <c r="AGY22" s="1280"/>
      <c r="AGZ22" s="1280"/>
      <c r="AHA22" s="1280"/>
      <c r="AHB22" s="1280"/>
      <c r="AHC22" s="1280"/>
      <c r="AHD22" s="1280"/>
      <c r="AHE22" s="1280"/>
      <c r="AHF22" s="1280"/>
      <c r="AHG22" s="1280"/>
      <c r="AHH22" s="1280"/>
      <c r="AHI22" s="1280"/>
      <c r="AHJ22" s="1280"/>
      <c r="AHK22" s="1280"/>
      <c r="AHL22" s="1280"/>
      <c r="AHM22" s="1280"/>
      <c r="AHN22" s="1280"/>
      <c r="AHO22" s="1280"/>
      <c r="AHP22" s="1280"/>
      <c r="AHQ22" s="1280"/>
      <c r="AHR22" s="1280"/>
      <c r="AHS22" s="1280"/>
      <c r="AHT22" s="1280"/>
      <c r="AHU22" s="1280"/>
      <c r="AHV22" s="1280"/>
      <c r="AHW22" s="1280"/>
      <c r="AHX22" s="1280"/>
      <c r="AHY22" s="1280"/>
      <c r="AHZ22" s="1280"/>
      <c r="AIA22" s="1280"/>
      <c r="AIB22" s="1280"/>
      <c r="AIC22" s="1280"/>
      <c r="AID22" s="1280"/>
      <c r="AIE22" s="1280"/>
      <c r="AIF22" s="1280"/>
      <c r="AIG22" s="1280"/>
      <c r="AIH22" s="1280"/>
      <c r="AII22" s="1280"/>
      <c r="AIJ22" s="1280"/>
      <c r="AIK22" s="1280"/>
      <c r="AIL22" s="1280"/>
      <c r="AIM22" s="1280"/>
      <c r="AIN22" s="1280"/>
      <c r="AIO22" s="1280"/>
      <c r="AIP22" s="1280"/>
      <c r="AIQ22" s="1280"/>
      <c r="AIR22" s="1280"/>
      <c r="AIS22" s="1280"/>
      <c r="AIT22" s="1280"/>
      <c r="AIU22" s="1280"/>
      <c r="AIV22" s="1280"/>
      <c r="AIW22" s="1280"/>
      <c r="AIX22" s="1280"/>
      <c r="AIY22" s="1280"/>
      <c r="AIZ22" s="1280"/>
      <c r="AJA22" s="1280"/>
      <c r="AJB22" s="1280"/>
      <c r="AJC22" s="1280"/>
      <c r="AJD22" s="1280"/>
      <c r="AJE22" s="1280"/>
      <c r="AJF22" s="1280"/>
      <c r="AJG22" s="1280"/>
      <c r="AJH22" s="1280"/>
      <c r="AJI22" s="1280"/>
      <c r="AJJ22" s="1280"/>
      <c r="AJK22" s="1280"/>
      <c r="AJL22" s="1280"/>
      <c r="AJM22" s="1280"/>
      <c r="AJN22" s="1280"/>
      <c r="AJO22" s="1280"/>
      <c r="AJP22" s="1280"/>
      <c r="AJQ22" s="1280"/>
      <c r="AJR22" s="1280"/>
      <c r="AJS22" s="1280"/>
      <c r="AJT22" s="1280"/>
      <c r="AJU22" s="1280"/>
      <c r="AJV22" s="1280"/>
      <c r="AJW22" s="1280"/>
      <c r="AJX22" s="1280"/>
      <c r="AJY22" s="1280"/>
      <c r="AJZ22" s="1280"/>
      <c r="AKA22" s="1280"/>
      <c r="AKB22" s="1280"/>
      <c r="AKC22" s="1280"/>
      <c r="AKD22" s="1280"/>
      <c r="AKE22" s="1280"/>
      <c r="AKF22" s="1280"/>
      <c r="AKG22" s="1280"/>
      <c r="AKH22" s="1280"/>
      <c r="AKI22" s="1280"/>
      <c r="AKJ22" s="1280"/>
      <c r="AKK22" s="1280"/>
      <c r="AKL22" s="1280"/>
      <c r="AKM22" s="1280"/>
      <c r="AKN22" s="1280"/>
      <c r="AKO22" s="1280"/>
      <c r="AKP22" s="1280"/>
      <c r="AKQ22" s="1280"/>
      <c r="AKR22" s="1280"/>
      <c r="AKS22" s="1280"/>
      <c r="AKT22" s="1280"/>
      <c r="AKU22" s="1280"/>
      <c r="AKV22" s="1280"/>
      <c r="AKW22" s="1280"/>
      <c r="AKX22" s="1280"/>
      <c r="AKY22" s="1280"/>
      <c r="AKZ22" s="1280"/>
      <c r="ALA22" s="1280"/>
      <c r="ALB22" s="1280"/>
      <c r="ALC22" s="1280"/>
      <c r="ALD22" s="1280"/>
      <c r="ALE22" s="1280"/>
      <c r="ALF22" s="1280"/>
      <c r="ALG22" s="1280"/>
      <c r="ALH22" s="1280"/>
      <c r="ALI22" s="1280"/>
      <c r="ALJ22" s="1280"/>
      <c r="ALK22" s="1280"/>
      <c r="ALL22" s="1280"/>
      <c r="ALM22" s="1280"/>
      <c r="ALN22" s="1280"/>
      <c r="ALO22" s="1280"/>
      <c r="ALP22" s="1280"/>
      <c r="ALQ22" s="1280"/>
      <c r="ALR22" s="1280"/>
      <c r="ALS22" s="1280"/>
      <c r="ALT22" s="1280"/>
      <c r="ALU22" s="1280"/>
      <c r="ALV22" s="1280"/>
      <c r="ALW22" s="1280"/>
      <c r="ALX22" s="1280"/>
      <c r="ALY22" s="1280"/>
      <c r="ALZ22" s="1280"/>
      <c r="AMA22" s="1280"/>
      <c r="AMB22" s="1280"/>
      <c r="AMC22" s="1280"/>
      <c r="AMD22" s="1280"/>
      <c r="AME22" s="1280"/>
      <c r="AMF22" s="1280"/>
      <c r="AMG22" s="1280"/>
      <c r="AMH22" s="1280"/>
      <c r="AMI22" s="1280"/>
      <c r="AMJ22" s="1280"/>
      <c r="AMK22" s="1280"/>
      <c r="AML22" s="1280"/>
      <c r="AMM22" s="1280"/>
      <c r="AMN22" s="1280"/>
      <c r="AMO22" s="1280"/>
      <c r="AMP22" s="1280"/>
      <c r="AMQ22" s="1280"/>
      <c r="AMR22" s="1280"/>
      <c r="AMS22" s="1280"/>
      <c r="AMT22" s="1280"/>
      <c r="AMU22" s="1280"/>
      <c r="AMV22" s="1280"/>
      <c r="AMW22" s="1280"/>
      <c r="AMX22" s="1280"/>
      <c r="AMY22" s="1280"/>
      <c r="AMZ22" s="1280"/>
      <c r="ANA22" s="1280"/>
      <c r="ANB22" s="1280"/>
      <c r="ANC22" s="1280"/>
      <c r="AND22" s="1280"/>
      <c r="ANE22" s="1280"/>
      <c r="ANF22" s="1280"/>
      <c r="ANG22" s="1280"/>
      <c r="ANH22" s="1280"/>
      <c r="ANI22" s="1280"/>
      <c r="ANJ22" s="1280"/>
      <c r="ANK22" s="1280"/>
      <c r="ANL22" s="1280"/>
      <c r="ANM22" s="1280"/>
      <c r="ANN22" s="1280"/>
      <c r="ANO22" s="1280"/>
      <c r="ANP22" s="1280"/>
      <c r="ANQ22" s="1280"/>
      <c r="ANR22" s="1280"/>
      <c r="ANS22" s="1280"/>
      <c r="ANT22" s="1280"/>
      <c r="ANU22" s="1280"/>
      <c r="ANV22" s="1280"/>
      <c r="ANW22" s="1280"/>
      <c r="ANX22" s="1280"/>
      <c r="ANY22" s="1280"/>
      <c r="ANZ22" s="1280"/>
      <c r="AOA22" s="1280"/>
      <c r="AOB22" s="1280"/>
      <c r="AOC22" s="1280"/>
      <c r="AOD22" s="1280"/>
      <c r="AOE22" s="1280"/>
      <c r="AOF22" s="1280"/>
      <c r="AOG22" s="1280"/>
      <c r="AOH22" s="1280"/>
      <c r="AOI22" s="1280"/>
      <c r="AOJ22" s="1280"/>
      <c r="AOK22" s="1280"/>
      <c r="AOL22" s="1280"/>
      <c r="AOM22" s="1280"/>
      <c r="AON22" s="1280"/>
      <c r="AOO22" s="1280"/>
      <c r="AOP22" s="1280"/>
      <c r="AOQ22" s="1280"/>
      <c r="AOR22" s="1280"/>
      <c r="AOS22" s="1280"/>
      <c r="AOT22" s="1280"/>
      <c r="AOU22" s="1280"/>
      <c r="AOV22" s="1280"/>
      <c r="AOW22" s="1280"/>
      <c r="AOX22" s="1280"/>
      <c r="AOY22" s="1280"/>
      <c r="AOZ22" s="1280"/>
      <c r="APA22" s="1280"/>
      <c r="APB22" s="1280"/>
      <c r="APC22" s="1280"/>
      <c r="APD22" s="1280"/>
      <c r="APE22" s="1280"/>
      <c r="APF22" s="1280"/>
      <c r="APG22" s="1280"/>
      <c r="APH22" s="1280"/>
      <c r="API22" s="1280"/>
      <c r="APJ22" s="1280"/>
      <c r="APK22" s="1280"/>
      <c r="APL22" s="1280"/>
      <c r="APM22" s="1280"/>
      <c r="APN22" s="1280"/>
      <c r="APO22" s="1280"/>
      <c r="APP22" s="1280"/>
      <c r="APQ22" s="1280"/>
      <c r="APR22" s="1280"/>
      <c r="APS22" s="1280"/>
      <c r="APT22" s="1280"/>
      <c r="APU22" s="1280"/>
      <c r="APV22" s="1280"/>
      <c r="APW22" s="1280"/>
      <c r="APX22" s="1280"/>
      <c r="APY22" s="1280"/>
      <c r="APZ22" s="1280"/>
      <c r="AQA22" s="1280"/>
      <c r="AQB22" s="1280"/>
      <c r="AQC22" s="1280"/>
      <c r="AQD22" s="1280"/>
      <c r="AQE22" s="1280"/>
      <c r="AQF22" s="1280"/>
      <c r="AQG22" s="1280"/>
      <c r="AQH22" s="1280"/>
      <c r="AQI22" s="1280"/>
      <c r="AQJ22" s="1280"/>
      <c r="AQK22" s="1280"/>
      <c r="AQL22" s="1280"/>
      <c r="AQM22" s="1280"/>
      <c r="AQN22" s="1280"/>
      <c r="AQO22" s="1280"/>
      <c r="AQP22" s="1280"/>
      <c r="AQQ22" s="1280"/>
      <c r="AQR22" s="1280"/>
      <c r="AQS22" s="1280"/>
      <c r="AQT22" s="1280"/>
      <c r="AQU22" s="1280"/>
      <c r="AQV22" s="1280"/>
      <c r="AQW22" s="1280"/>
      <c r="AQX22" s="1280"/>
      <c r="AQY22" s="1280"/>
      <c r="AQZ22" s="1280"/>
      <c r="ARA22" s="1280"/>
      <c r="ARB22" s="1280"/>
      <c r="ARC22" s="1280"/>
      <c r="ARD22" s="1280"/>
      <c r="ARE22" s="1280"/>
      <c r="ARF22" s="1280"/>
      <c r="ARG22" s="1280"/>
      <c r="ARH22" s="1280"/>
      <c r="ARI22" s="1280"/>
      <c r="ARJ22" s="1280"/>
      <c r="ARK22" s="1280"/>
      <c r="ARL22" s="1280"/>
      <c r="ARM22" s="1280"/>
      <c r="ARN22" s="1280"/>
      <c r="ARO22" s="1280"/>
      <c r="ARP22" s="1280"/>
      <c r="ARQ22" s="1280"/>
      <c r="ARR22" s="1280"/>
      <c r="ARS22" s="1280"/>
      <c r="ART22" s="1280"/>
      <c r="ARU22" s="1280"/>
      <c r="ARV22" s="1280"/>
      <c r="ARW22" s="1280"/>
      <c r="ARX22" s="1280"/>
      <c r="ARY22" s="1280"/>
      <c r="ARZ22" s="1280"/>
      <c r="ASA22" s="1280"/>
      <c r="ASB22" s="1280"/>
      <c r="ASC22" s="1280"/>
      <c r="ASD22" s="1280"/>
      <c r="ASE22" s="1280"/>
      <c r="ASF22" s="1280"/>
      <c r="ASG22" s="1280"/>
      <c r="ASH22" s="1280"/>
      <c r="ASI22" s="1280"/>
      <c r="ASJ22" s="1280"/>
      <c r="ASK22" s="1280"/>
      <c r="ASL22" s="1280"/>
      <c r="ASM22" s="1280"/>
      <c r="ASN22" s="1280"/>
      <c r="ASO22" s="1280"/>
      <c r="ASP22" s="1280"/>
      <c r="ASQ22" s="1280"/>
      <c r="ASR22" s="1280"/>
      <c r="ASS22" s="1280"/>
      <c r="AST22" s="1280"/>
      <c r="ASU22" s="1280"/>
      <c r="ASV22" s="1280"/>
      <c r="ASW22" s="1280"/>
      <c r="ASX22" s="1280"/>
      <c r="ASY22" s="1280"/>
      <c r="ASZ22" s="1280"/>
      <c r="ATA22" s="1280"/>
      <c r="ATB22" s="1280"/>
      <c r="ATC22" s="1280"/>
      <c r="ATD22" s="1280"/>
      <c r="ATE22" s="1280"/>
      <c r="ATF22" s="1280"/>
      <c r="ATG22" s="1280"/>
      <c r="ATH22" s="1280"/>
      <c r="ATI22" s="1280"/>
      <c r="ATJ22" s="1280"/>
      <c r="ATK22" s="1280"/>
      <c r="ATL22" s="1280"/>
      <c r="ATM22" s="1280"/>
      <c r="ATN22" s="1280"/>
      <c r="ATO22" s="1280"/>
      <c r="ATP22" s="1280"/>
      <c r="ATQ22" s="1280"/>
      <c r="ATR22" s="1280"/>
      <c r="ATS22" s="1280"/>
      <c r="ATT22" s="1280"/>
      <c r="ATU22" s="1280"/>
      <c r="ATV22" s="1280"/>
      <c r="ATW22" s="1280"/>
      <c r="ATX22" s="1280"/>
      <c r="ATY22" s="1280"/>
      <c r="ATZ22" s="1280"/>
      <c r="AUA22" s="1280"/>
      <c r="AUB22" s="1280"/>
      <c r="AUC22" s="1280"/>
      <c r="AUD22" s="1280"/>
      <c r="AUE22" s="1280"/>
      <c r="AUF22" s="1280"/>
      <c r="AUG22" s="1280"/>
      <c r="AUH22" s="1280"/>
      <c r="AUI22" s="1280"/>
      <c r="AUJ22" s="1280"/>
      <c r="AUK22" s="1280"/>
      <c r="AUL22" s="1280"/>
      <c r="AUM22" s="1280"/>
      <c r="AUN22" s="1280"/>
      <c r="AUO22" s="1280"/>
      <c r="AUP22" s="1280"/>
      <c r="AUQ22" s="1280"/>
      <c r="AUR22" s="1280"/>
      <c r="AUS22" s="1280"/>
      <c r="AUT22" s="1280"/>
      <c r="AUU22" s="1280"/>
      <c r="AUV22" s="1280"/>
      <c r="AUW22" s="1280"/>
      <c r="AUX22" s="1280"/>
      <c r="AUY22" s="1280"/>
      <c r="AUZ22" s="1280"/>
      <c r="AVA22" s="1280"/>
      <c r="AVB22" s="1280"/>
      <c r="AVC22" s="1280"/>
      <c r="AVD22" s="1280"/>
      <c r="AVE22" s="1280"/>
      <c r="AVF22" s="1280"/>
      <c r="AVG22" s="1280"/>
      <c r="AVH22" s="1280"/>
      <c r="AVI22" s="1280"/>
      <c r="AVJ22" s="1280"/>
      <c r="AVK22" s="1280"/>
      <c r="AVL22" s="1280"/>
      <c r="AVM22" s="1280"/>
      <c r="AVN22" s="1280"/>
      <c r="AVO22" s="1280"/>
      <c r="AVP22" s="1280"/>
      <c r="AVQ22" s="1280"/>
      <c r="AVR22" s="1280"/>
      <c r="AVS22" s="1280"/>
      <c r="AVT22" s="1280"/>
      <c r="AVU22" s="1280"/>
      <c r="AVV22" s="1280"/>
      <c r="AVW22" s="1280"/>
      <c r="AVX22" s="1280"/>
      <c r="AVY22" s="1280"/>
      <c r="AVZ22" s="1280"/>
      <c r="AWA22" s="1280"/>
      <c r="AWB22" s="1280"/>
      <c r="AWC22" s="1280"/>
      <c r="AWD22" s="1280"/>
      <c r="AWE22" s="1280"/>
      <c r="AWF22" s="1280"/>
      <c r="AWG22" s="1280"/>
      <c r="AWH22" s="1280"/>
      <c r="AWI22" s="1280"/>
      <c r="AWJ22" s="1280"/>
      <c r="AWK22" s="1280"/>
      <c r="AWL22" s="1280"/>
      <c r="AWM22" s="1280"/>
      <c r="AWN22" s="1280"/>
      <c r="AWO22" s="1280"/>
      <c r="AWP22" s="1280"/>
      <c r="AWQ22" s="1280"/>
      <c r="AWR22" s="1280"/>
      <c r="AWS22" s="1280"/>
      <c r="AWT22" s="1280"/>
      <c r="AWU22" s="1280"/>
      <c r="AWV22" s="1280"/>
      <c r="AWW22" s="1280"/>
      <c r="AWX22" s="1280"/>
      <c r="AWY22" s="1280"/>
      <c r="AWZ22" s="1280"/>
      <c r="AXA22" s="1280"/>
      <c r="AXB22" s="1280"/>
      <c r="AXC22" s="1280"/>
      <c r="AXD22" s="1280"/>
      <c r="AXE22" s="1280"/>
      <c r="AXF22" s="1280"/>
      <c r="AXG22" s="1280"/>
      <c r="AXH22" s="1280"/>
      <c r="AXI22" s="1280"/>
      <c r="AXJ22" s="1280"/>
      <c r="AXK22" s="1280"/>
      <c r="AXL22" s="1280"/>
      <c r="AXM22" s="1280"/>
      <c r="AXN22" s="1280"/>
      <c r="AXO22" s="1280"/>
      <c r="AXP22" s="1280"/>
      <c r="AXQ22" s="1280"/>
      <c r="AXR22" s="1280"/>
      <c r="AXS22" s="1280"/>
      <c r="AXT22" s="1280"/>
      <c r="AXU22" s="1280"/>
      <c r="AXV22" s="1280"/>
      <c r="AXW22" s="1280"/>
      <c r="AXX22" s="1280"/>
      <c r="AXY22" s="1280"/>
      <c r="AXZ22" s="1280"/>
      <c r="AYA22" s="1280"/>
      <c r="AYB22" s="1280"/>
      <c r="AYC22" s="1280"/>
      <c r="AYD22" s="1280"/>
      <c r="AYE22" s="1280"/>
      <c r="AYF22" s="1280"/>
      <c r="AYG22" s="1280"/>
      <c r="AYH22" s="1280"/>
      <c r="AYI22" s="1280"/>
      <c r="AYJ22" s="1280"/>
      <c r="AYK22" s="1280"/>
      <c r="AYL22" s="1280"/>
      <c r="AYM22" s="1280"/>
      <c r="AYN22" s="1280"/>
      <c r="AYO22" s="1280"/>
      <c r="AYP22" s="1280"/>
      <c r="AYQ22" s="1280"/>
      <c r="AYR22" s="1280"/>
      <c r="AYS22" s="1280"/>
      <c r="AYT22" s="1280"/>
      <c r="AYU22" s="1280"/>
      <c r="AYV22" s="1280"/>
      <c r="AYW22" s="1280"/>
      <c r="AYX22" s="1280"/>
      <c r="AYY22" s="1280"/>
      <c r="AYZ22" s="1280"/>
      <c r="AZA22" s="1280"/>
      <c r="AZB22" s="1280"/>
      <c r="AZC22" s="1280"/>
      <c r="AZD22" s="1280"/>
      <c r="AZE22" s="1280"/>
      <c r="AZF22" s="1280"/>
      <c r="AZG22" s="1280"/>
      <c r="AZH22" s="1280"/>
      <c r="AZI22" s="1280"/>
      <c r="AZJ22" s="1280"/>
      <c r="AZK22" s="1280"/>
      <c r="AZL22" s="1280"/>
      <c r="AZM22" s="1280"/>
      <c r="AZN22" s="1280"/>
      <c r="AZO22" s="1280"/>
      <c r="AZP22" s="1280"/>
      <c r="AZQ22" s="1280"/>
      <c r="AZR22" s="1280"/>
      <c r="AZS22" s="1280"/>
      <c r="AZT22" s="1280"/>
      <c r="AZU22" s="1280"/>
      <c r="AZV22" s="1280"/>
      <c r="AZW22" s="1280"/>
      <c r="AZX22" s="1280"/>
      <c r="AZY22" s="1280"/>
      <c r="AZZ22" s="1280"/>
      <c r="BAA22" s="1280"/>
      <c r="BAB22" s="1280"/>
      <c r="BAC22" s="1280"/>
      <c r="BAD22" s="1280"/>
      <c r="BAE22" s="1280"/>
      <c r="BAF22" s="1280"/>
      <c r="BAG22" s="1280"/>
      <c r="BAH22" s="1280"/>
      <c r="BAI22" s="1280"/>
      <c r="BAJ22" s="1280"/>
      <c r="BAK22" s="1280"/>
      <c r="BAL22" s="1280"/>
      <c r="BAM22" s="1280"/>
      <c r="BAN22" s="1280"/>
      <c r="BAO22" s="1280"/>
      <c r="BAP22" s="1280"/>
      <c r="BAQ22" s="1280"/>
      <c r="BAR22" s="1280"/>
      <c r="BAS22" s="1280"/>
      <c r="BAT22" s="1280"/>
      <c r="BAU22" s="1280"/>
      <c r="BAV22" s="1280"/>
      <c r="BAW22" s="1280"/>
      <c r="BAX22" s="1280"/>
      <c r="BAY22" s="1280"/>
      <c r="BAZ22" s="1280"/>
      <c r="BBA22" s="1280"/>
      <c r="BBB22" s="1280"/>
      <c r="BBC22" s="1280"/>
      <c r="BBD22" s="1280"/>
      <c r="BBE22" s="1280"/>
      <c r="BBF22" s="1280"/>
      <c r="BBG22" s="1280"/>
      <c r="BBH22" s="1280"/>
      <c r="BBI22" s="1280"/>
      <c r="BBJ22" s="1280"/>
      <c r="BBK22" s="1280"/>
      <c r="BBL22" s="1280"/>
      <c r="BBM22" s="1280"/>
      <c r="BBN22" s="1280"/>
      <c r="BBO22" s="1280"/>
      <c r="BBP22" s="1280"/>
      <c r="BBQ22" s="1280"/>
      <c r="BBR22" s="1280"/>
      <c r="BBS22" s="1280"/>
      <c r="BBT22" s="1280"/>
      <c r="BBU22" s="1280"/>
      <c r="BBV22" s="1280"/>
      <c r="BBW22" s="1280"/>
      <c r="BBX22" s="1280"/>
      <c r="BBY22" s="1280"/>
      <c r="BBZ22" s="1280"/>
      <c r="BCA22" s="1280"/>
      <c r="BCB22" s="1280"/>
      <c r="BCC22" s="1280"/>
      <c r="BCD22" s="1280"/>
      <c r="BCE22" s="1280"/>
      <c r="BCF22" s="1280"/>
      <c r="BCG22" s="1280"/>
      <c r="BCH22" s="1280"/>
      <c r="BCI22" s="1280"/>
      <c r="BCJ22" s="1280"/>
      <c r="BCK22" s="1280"/>
      <c r="BCL22" s="1280"/>
      <c r="BCM22" s="1280"/>
      <c r="BCN22" s="1280"/>
      <c r="BCO22" s="1280"/>
      <c r="BCP22" s="1280"/>
      <c r="BCQ22" s="1280"/>
      <c r="BCR22" s="1280"/>
      <c r="BCS22" s="1280"/>
      <c r="BCT22" s="1280"/>
      <c r="BCU22" s="1280"/>
      <c r="BCV22" s="1280"/>
      <c r="BCW22" s="1280"/>
      <c r="BCX22" s="1280"/>
      <c r="BCY22" s="1280"/>
      <c r="BCZ22" s="1280"/>
      <c r="BDA22" s="1280"/>
      <c r="BDB22" s="1280"/>
      <c r="BDC22" s="1280"/>
      <c r="BDD22" s="1280"/>
      <c r="BDE22" s="1280"/>
      <c r="BDF22" s="1280"/>
      <c r="BDG22" s="1280"/>
      <c r="BDH22" s="1280"/>
      <c r="BDI22" s="1280"/>
      <c r="BDJ22" s="1280"/>
      <c r="BDK22" s="1280"/>
      <c r="BDL22" s="1280"/>
      <c r="BDM22" s="1280"/>
      <c r="BDN22" s="1280"/>
      <c r="BDO22" s="1280"/>
      <c r="BDP22" s="1280"/>
      <c r="BDQ22" s="1280"/>
      <c r="BDR22" s="1280"/>
      <c r="BDS22" s="1280"/>
      <c r="BDT22" s="1280"/>
      <c r="BDU22" s="1280"/>
      <c r="BDV22" s="1280"/>
      <c r="BDW22" s="1280"/>
      <c r="BDX22" s="1280"/>
      <c r="BDY22" s="1280"/>
      <c r="BDZ22" s="1280"/>
      <c r="BEA22" s="1280"/>
      <c r="BEB22" s="1280"/>
      <c r="BEC22" s="1280"/>
      <c r="BED22" s="1280"/>
      <c r="BEE22" s="1280"/>
      <c r="BEF22" s="1280"/>
      <c r="BEG22" s="1280"/>
      <c r="BEH22" s="1280"/>
      <c r="BEI22" s="1280"/>
      <c r="BEJ22" s="1280"/>
      <c r="BEK22" s="1280"/>
      <c r="BEL22" s="1280"/>
      <c r="BEM22" s="1280"/>
      <c r="BEN22" s="1280"/>
      <c r="BEO22" s="1280"/>
      <c r="BEP22" s="1280"/>
      <c r="BEQ22" s="1280"/>
      <c r="BER22" s="1280"/>
      <c r="BES22" s="1280"/>
      <c r="BET22" s="1280"/>
      <c r="BEU22" s="1280"/>
      <c r="BEV22" s="1280"/>
      <c r="BEW22" s="1280"/>
      <c r="BEX22" s="1280"/>
      <c r="BEY22" s="1280"/>
      <c r="BEZ22" s="1280"/>
      <c r="BFA22" s="1280"/>
      <c r="BFB22" s="1280"/>
      <c r="BFC22" s="1280"/>
      <c r="BFD22" s="1280"/>
      <c r="BFE22" s="1280"/>
      <c r="BFF22" s="1280"/>
      <c r="BFG22" s="1280"/>
      <c r="BFH22" s="1280"/>
      <c r="BFI22" s="1280"/>
      <c r="BFJ22" s="1280"/>
      <c r="BFK22" s="1280"/>
      <c r="BFL22" s="1280"/>
      <c r="BFM22" s="1280"/>
      <c r="BFN22" s="1280"/>
      <c r="BFO22" s="1280"/>
      <c r="BFP22" s="1280"/>
      <c r="BFQ22" s="1280"/>
      <c r="BFR22" s="1280"/>
      <c r="BFS22" s="1280"/>
      <c r="BFT22" s="1280"/>
      <c r="BFU22" s="1280"/>
      <c r="BFV22" s="1280"/>
      <c r="BFW22" s="1280"/>
      <c r="BFX22" s="1280"/>
      <c r="BFY22" s="1280"/>
      <c r="BFZ22" s="1280"/>
      <c r="BGA22" s="1280"/>
      <c r="BGB22" s="1280"/>
      <c r="BGC22" s="1280"/>
      <c r="BGD22" s="1280"/>
      <c r="BGE22" s="1280"/>
      <c r="BGF22" s="1280"/>
      <c r="BGG22" s="1280"/>
      <c r="BGH22" s="1280"/>
      <c r="BGI22" s="1280"/>
      <c r="BGJ22" s="1280"/>
      <c r="BGK22" s="1280"/>
      <c r="BGL22" s="1280"/>
      <c r="BGM22" s="1280"/>
      <c r="BGN22" s="1280"/>
      <c r="BGO22" s="1280"/>
      <c r="BGP22" s="1280"/>
      <c r="BGQ22" s="1280"/>
      <c r="BGR22" s="1280"/>
      <c r="BGS22" s="1280"/>
      <c r="BGT22" s="1280"/>
      <c r="BGU22" s="1280"/>
      <c r="BGV22" s="1280"/>
      <c r="BGW22" s="1280"/>
      <c r="BGX22" s="1280"/>
      <c r="BGY22" s="1280"/>
      <c r="BGZ22" s="1280"/>
      <c r="BHA22" s="1280"/>
      <c r="BHB22" s="1280"/>
      <c r="BHC22" s="1280"/>
      <c r="BHD22" s="1280"/>
      <c r="BHE22" s="1280"/>
      <c r="BHF22" s="1280"/>
      <c r="BHG22" s="1280"/>
      <c r="BHH22" s="1280"/>
      <c r="BHI22" s="1280"/>
      <c r="BHJ22" s="1280"/>
      <c r="BHK22" s="1280"/>
      <c r="BHL22" s="1280"/>
      <c r="BHM22" s="1280"/>
      <c r="BHN22" s="1280"/>
      <c r="BHO22" s="1280"/>
      <c r="BHP22" s="1280"/>
      <c r="BHQ22" s="1280"/>
      <c r="BHR22" s="1280"/>
      <c r="BHS22" s="1280"/>
      <c r="BHT22" s="1280"/>
      <c r="BHU22" s="1280"/>
      <c r="BHV22" s="1280"/>
      <c r="BHW22" s="1280"/>
      <c r="BHX22" s="1280"/>
      <c r="BHY22" s="1280"/>
      <c r="BHZ22" s="1280"/>
      <c r="BIA22" s="1280"/>
      <c r="BIB22" s="1280"/>
      <c r="BIC22" s="1280"/>
      <c r="BID22" s="1280"/>
      <c r="BIE22" s="1280"/>
      <c r="BIF22" s="1280"/>
      <c r="BIG22" s="1280"/>
      <c r="BIH22" s="1280"/>
      <c r="BII22" s="1280"/>
      <c r="BIJ22" s="1280"/>
      <c r="BIK22" s="1280"/>
      <c r="BIL22" s="1280"/>
      <c r="BIM22" s="1280"/>
      <c r="BIN22" s="1280"/>
      <c r="BIO22" s="1280"/>
      <c r="BIP22" s="1280"/>
      <c r="BIQ22" s="1280"/>
      <c r="BIR22" s="1280"/>
      <c r="BIS22" s="1280"/>
      <c r="BIT22" s="1280"/>
      <c r="BIU22" s="1280"/>
      <c r="BIV22" s="1280"/>
      <c r="BIW22" s="1280"/>
      <c r="BIX22" s="1280"/>
      <c r="BIY22" s="1280"/>
      <c r="BIZ22" s="1280"/>
      <c r="BJA22" s="1280"/>
      <c r="BJB22" s="1280"/>
      <c r="BJC22" s="1280"/>
      <c r="BJD22" s="1280"/>
      <c r="BJE22" s="1280"/>
      <c r="BJF22" s="1280"/>
      <c r="BJG22" s="1280"/>
      <c r="BJH22" s="1280"/>
      <c r="BJI22" s="1280"/>
      <c r="BJJ22" s="1280"/>
      <c r="BJK22" s="1280"/>
      <c r="BJL22" s="1280"/>
      <c r="BJM22" s="1280"/>
      <c r="BJN22" s="1280"/>
      <c r="BJO22" s="1280"/>
      <c r="BJP22" s="1280"/>
      <c r="BJQ22" s="1280"/>
      <c r="BJR22" s="1280"/>
      <c r="BJS22" s="1280"/>
      <c r="BJT22" s="1280"/>
      <c r="BJU22" s="1280"/>
      <c r="BJV22" s="1280"/>
      <c r="BJW22" s="1280"/>
      <c r="BJX22" s="1280"/>
      <c r="BJY22" s="1280"/>
      <c r="BJZ22" s="1280"/>
      <c r="BKA22" s="1280"/>
      <c r="BKB22" s="1280"/>
      <c r="BKC22" s="1280"/>
      <c r="BKD22" s="1280"/>
      <c r="BKE22" s="1280"/>
      <c r="BKF22" s="1280"/>
      <c r="BKG22" s="1280"/>
      <c r="BKH22" s="1280"/>
      <c r="BKI22" s="1280"/>
      <c r="BKJ22" s="1280"/>
      <c r="BKK22" s="1280"/>
      <c r="BKL22" s="1280"/>
      <c r="BKM22" s="1280"/>
      <c r="BKN22" s="1280"/>
      <c r="BKO22" s="1280"/>
      <c r="BKP22" s="1280"/>
      <c r="BKQ22" s="1280"/>
      <c r="BKR22" s="1280"/>
      <c r="BKS22" s="1280"/>
      <c r="BKT22" s="1280"/>
      <c r="BKU22" s="1280"/>
      <c r="BKV22" s="1280"/>
      <c r="BKW22" s="1280"/>
      <c r="BKX22" s="1280"/>
      <c r="BKY22" s="1280"/>
      <c r="BKZ22" s="1280"/>
      <c r="BLA22" s="1280"/>
      <c r="BLB22" s="1280"/>
      <c r="BLC22" s="1280"/>
      <c r="BLD22" s="1280"/>
      <c r="BLE22" s="1280"/>
      <c r="BLF22" s="1280"/>
      <c r="BLG22" s="1280"/>
      <c r="BLH22" s="1280"/>
      <c r="BLI22" s="1280"/>
      <c r="BLJ22" s="1280"/>
      <c r="BLK22" s="1280"/>
      <c r="BLL22" s="1280"/>
      <c r="BLM22" s="1280"/>
      <c r="BLN22" s="1280"/>
      <c r="BLO22" s="1280"/>
      <c r="BLP22" s="1280"/>
      <c r="BLQ22" s="1280"/>
      <c r="BLR22" s="1280"/>
      <c r="BLS22" s="1280"/>
      <c r="BLT22" s="1280"/>
      <c r="BLU22" s="1280"/>
      <c r="BLV22" s="1280"/>
      <c r="BLW22" s="1280"/>
      <c r="BLX22" s="1280"/>
      <c r="BLY22" s="1280"/>
      <c r="BLZ22" s="1280"/>
      <c r="BMA22" s="1280"/>
      <c r="BMB22" s="1280"/>
      <c r="BMC22" s="1280"/>
      <c r="BMD22" s="1280"/>
      <c r="BME22" s="1280"/>
      <c r="BMF22" s="1280"/>
      <c r="BMG22" s="1280"/>
      <c r="BMH22" s="1280"/>
      <c r="BMI22" s="1280"/>
      <c r="BMJ22" s="1280"/>
      <c r="BMK22" s="1280"/>
      <c r="BML22" s="1280"/>
      <c r="BMM22" s="1280"/>
      <c r="BMN22" s="1280"/>
      <c r="BMO22" s="1280"/>
      <c r="BMP22" s="1280"/>
      <c r="BMQ22" s="1280"/>
      <c r="BMR22" s="1280"/>
      <c r="BMS22" s="1280"/>
      <c r="BMT22" s="1280"/>
      <c r="BMU22" s="1280"/>
      <c r="BMV22" s="1280"/>
      <c r="BMW22" s="1280"/>
      <c r="BMX22" s="1280"/>
      <c r="BMY22" s="1280"/>
      <c r="BMZ22" s="1280"/>
      <c r="BNA22" s="1280"/>
      <c r="BNB22" s="1280"/>
      <c r="BNC22" s="1280"/>
      <c r="BND22" s="1280"/>
      <c r="BNE22" s="1280"/>
      <c r="BNF22" s="1280"/>
      <c r="BNG22" s="1280"/>
      <c r="BNH22" s="1280"/>
      <c r="BNI22" s="1280"/>
      <c r="BNJ22" s="1280"/>
      <c r="BNK22" s="1280"/>
      <c r="BNL22" s="1280"/>
      <c r="BNM22" s="1280"/>
      <c r="BNN22" s="1280"/>
      <c r="BNO22" s="1280"/>
      <c r="BNP22" s="1280"/>
      <c r="BNQ22" s="1280"/>
      <c r="BNR22" s="1280"/>
      <c r="BNS22" s="1280"/>
      <c r="BNT22" s="1280"/>
      <c r="BNU22" s="1280"/>
      <c r="BNV22" s="1280"/>
      <c r="BNW22" s="1280"/>
      <c r="BNX22" s="1280"/>
      <c r="BNY22" s="1280"/>
      <c r="BNZ22" s="1280"/>
      <c r="BOA22" s="1280"/>
      <c r="BOB22" s="1280"/>
      <c r="BOC22" s="1280"/>
      <c r="BOD22" s="1280"/>
      <c r="BOE22" s="1280"/>
      <c r="BOF22" s="1280"/>
      <c r="BOG22" s="1280"/>
      <c r="BOH22" s="1280"/>
      <c r="BOI22" s="1280"/>
      <c r="BOJ22" s="1280"/>
      <c r="BOK22" s="1280"/>
      <c r="BOL22" s="1280"/>
      <c r="BOM22" s="1280"/>
      <c r="BON22" s="1280"/>
      <c r="BOO22" s="1280"/>
      <c r="BOP22" s="1280"/>
      <c r="BOQ22" s="1280"/>
      <c r="BOR22" s="1280"/>
      <c r="BOS22" s="1280"/>
      <c r="BOT22" s="1280"/>
      <c r="BOU22" s="1280"/>
      <c r="BOV22" s="1280"/>
      <c r="BOW22" s="1280"/>
      <c r="BOX22" s="1280"/>
      <c r="BOY22" s="1280"/>
      <c r="BOZ22" s="1280"/>
      <c r="BPA22" s="1280"/>
      <c r="BPB22" s="1280"/>
      <c r="BPC22" s="1280"/>
      <c r="BPD22" s="1280"/>
      <c r="BPE22" s="1280"/>
      <c r="BPF22" s="1280"/>
      <c r="BPG22" s="1280"/>
      <c r="BPH22" s="1280"/>
      <c r="BPI22" s="1280"/>
      <c r="BPJ22" s="1280"/>
      <c r="BPK22" s="1280"/>
      <c r="BPL22" s="1280"/>
      <c r="BPM22" s="1280"/>
      <c r="BPN22" s="1280"/>
      <c r="BPO22" s="1280"/>
      <c r="BPP22" s="1280"/>
      <c r="BPQ22" s="1280"/>
      <c r="BPR22" s="1280"/>
      <c r="BPS22" s="1280"/>
      <c r="BPT22" s="1280"/>
      <c r="BPU22" s="1280"/>
      <c r="BPV22" s="1280"/>
      <c r="BPW22" s="1280"/>
      <c r="BPX22" s="1280"/>
      <c r="BPY22" s="1280"/>
      <c r="BPZ22" s="1280"/>
      <c r="BQA22" s="1280"/>
      <c r="BQB22" s="1280"/>
      <c r="BQC22" s="1280"/>
      <c r="BQD22" s="1280"/>
      <c r="BQE22" s="1280"/>
      <c r="BQF22" s="1280"/>
      <c r="BQG22" s="1280"/>
      <c r="BQH22" s="1280"/>
      <c r="BQI22" s="1280"/>
      <c r="BQJ22" s="1280"/>
      <c r="BQK22" s="1280"/>
      <c r="BQL22" s="1280"/>
      <c r="BQM22" s="1280"/>
      <c r="BQN22" s="1280"/>
      <c r="BQO22" s="1280"/>
      <c r="BQP22" s="1280"/>
      <c r="BQQ22" s="1280"/>
      <c r="BQR22" s="1280"/>
      <c r="BQS22" s="1280"/>
      <c r="BQT22" s="1280"/>
      <c r="BQU22" s="1280"/>
      <c r="BQV22" s="1280"/>
      <c r="BQW22" s="1280"/>
      <c r="BQX22" s="1280"/>
      <c r="BQY22" s="1280"/>
      <c r="BQZ22" s="1280"/>
      <c r="BRA22" s="1280"/>
      <c r="BRB22" s="1280"/>
      <c r="BRC22" s="1280"/>
      <c r="BRD22" s="1280"/>
      <c r="BRE22" s="1280"/>
      <c r="BRF22" s="1280"/>
      <c r="BRG22" s="1280"/>
      <c r="BRH22" s="1280"/>
      <c r="BRI22" s="1280"/>
      <c r="BRJ22" s="1280"/>
      <c r="BRK22" s="1280"/>
      <c r="BRL22" s="1280"/>
      <c r="BRM22" s="1280"/>
      <c r="BRN22" s="1280"/>
      <c r="BRO22" s="1280"/>
      <c r="BRP22" s="1280"/>
      <c r="BRQ22" s="1280"/>
      <c r="BRR22" s="1280"/>
      <c r="BRS22" s="1280"/>
      <c r="BRT22" s="1280"/>
      <c r="BRU22" s="1280"/>
      <c r="BRV22" s="1280"/>
      <c r="BRW22" s="1280"/>
      <c r="BRX22" s="1280"/>
      <c r="BRY22" s="1280"/>
      <c r="BRZ22" s="1280"/>
      <c r="BSA22" s="1280"/>
      <c r="BSB22" s="1280"/>
      <c r="BSC22" s="1280"/>
      <c r="BSD22" s="1280"/>
      <c r="BSE22" s="1280"/>
      <c r="BSF22" s="1280"/>
      <c r="BSG22" s="1280"/>
      <c r="BSH22" s="1280"/>
      <c r="BSI22" s="1280"/>
      <c r="BSJ22" s="1280"/>
      <c r="BSK22" s="1280"/>
      <c r="BSL22" s="1280"/>
      <c r="BSM22" s="1280"/>
      <c r="BSN22" s="1280"/>
      <c r="BSO22" s="1280"/>
      <c r="BSP22" s="1280"/>
      <c r="BSQ22" s="1280"/>
      <c r="BSR22" s="1280"/>
      <c r="BSS22" s="1280"/>
      <c r="BST22" s="1280"/>
      <c r="BSU22" s="1280"/>
      <c r="BSV22" s="1280"/>
      <c r="BSW22" s="1280"/>
      <c r="BSX22" s="1280"/>
      <c r="BSY22" s="1280"/>
      <c r="BSZ22" s="1280"/>
      <c r="BTA22" s="1280"/>
      <c r="BTB22" s="1280"/>
      <c r="BTC22" s="1280"/>
      <c r="BTD22" s="1280"/>
      <c r="BTE22" s="1280"/>
      <c r="BTF22" s="1280"/>
      <c r="BTG22" s="1280"/>
      <c r="BTH22" s="1280"/>
      <c r="BTI22" s="1280"/>
      <c r="BTJ22" s="1280"/>
      <c r="BTK22" s="1280"/>
      <c r="BTL22" s="1280"/>
      <c r="BTM22" s="1280"/>
      <c r="BTN22" s="1280"/>
      <c r="BTO22" s="1280"/>
      <c r="BTP22" s="1280"/>
      <c r="BTQ22" s="1280"/>
      <c r="BTR22" s="1280"/>
      <c r="BTS22" s="1280"/>
      <c r="BTT22" s="1280"/>
      <c r="BTU22" s="1280"/>
      <c r="BTV22" s="1280"/>
      <c r="BTW22" s="1280"/>
      <c r="BTX22" s="1280"/>
      <c r="BTY22" s="1280"/>
      <c r="BTZ22" s="1280"/>
      <c r="BUA22" s="1280"/>
      <c r="BUB22" s="1280"/>
      <c r="BUC22" s="1280"/>
      <c r="BUD22" s="1280"/>
      <c r="BUE22" s="1280"/>
      <c r="BUF22" s="1280"/>
      <c r="BUG22" s="1280"/>
      <c r="BUH22" s="1280"/>
      <c r="BUI22" s="1280"/>
      <c r="BUJ22" s="1280"/>
      <c r="BUK22" s="1280"/>
      <c r="BUL22" s="1280"/>
      <c r="BUM22" s="1280"/>
      <c r="BUN22" s="1280"/>
      <c r="BUO22" s="1280"/>
      <c r="BUP22" s="1280"/>
      <c r="BUQ22" s="1280"/>
      <c r="BUR22" s="1280"/>
      <c r="BUS22" s="1280"/>
      <c r="BUT22" s="1280"/>
      <c r="BUU22" s="1280"/>
      <c r="BUV22" s="1280"/>
      <c r="BUW22" s="1280"/>
      <c r="BUX22" s="1280"/>
      <c r="BUY22" s="1280"/>
      <c r="BUZ22" s="1280"/>
      <c r="BVA22" s="1280"/>
      <c r="BVB22" s="1280"/>
      <c r="BVC22" s="1280"/>
      <c r="BVD22" s="1280"/>
      <c r="BVE22" s="1280"/>
      <c r="BVF22" s="1280"/>
      <c r="BVG22" s="1280"/>
      <c r="BVH22" s="1280"/>
      <c r="BVI22" s="1280"/>
      <c r="BVJ22" s="1280"/>
      <c r="BVK22" s="1280"/>
      <c r="BVL22" s="1280"/>
      <c r="BVM22" s="1280"/>
      <c r="BVN22" s="1280"/>
      <c r="BVO22" s="1280"/>
      <c r="BVP22" s="1280"/>
      <c r="BVQ22" s="1280"/>
      <c r="BVR22" s="1280"/>
      <c r="BVS22" s="1280"/>
      <c r="BVT22" s="1280"/>
      <c r="BVU22" s="1280"/>
      <c r="BVV22" s="1280"/>
      <c r="BVW22" s="1280"/>
      <c r="BVX22" s="1280"/>
      <c r="BVY22" s="1280"/>
      <c r="BVZ22" s="1280"/>
      <c r="BWA22" s="1280"/>
      <c r="BWB22" s="1280"/>
      <c r="BWC22" s="1280"/>
      <c r="BWD22" s="1280"/>
      <c r="BWE22" s="1280"/>
      <c r="BWF22" s="1280"/>
      <c r="BWG22" s="1280"/>
      <c r="BWH22" s="1280"/>
      <c r="BWI22" s="1280"/>
      <c r="BWJ22" s="1280"/>
      <c r="BWK22" s="1280"/>
      <c r="BWL22" s="1280"/>
      <c r="BWM22" s="1280"/>
      <c r="BWN22" s="1280"/>
      <c r="BWO22" s="1280"/>
      <c r="BWP22" s="1280"/>
      <c r="BWQ22" s="1280"/>
      <c r="BWR22" s="1280"/>
      <c r="BWS22" s="1280"/>
      <c r="BWT22" s="1280"/>
      <c r="BWU22" s="1280"/>
      <c r="BWV22" s="1280"/>
      <c r="BWW22" s="1280"/>
      <c r="BWX22" s="1280"/>
      <c r="BWY22" s="1280"/>
      <c r="BWZ22" s="1280"/>
      <c r="BXA22" s="1280"/>
      <c r="BXB22" s="1280"/>
      <c r="BXC22" s="1280"/>
      <c r="BXD22" s="1280"/>
      <c r="BXE22" s="1280"/>
      <c r="BXF22" s="1280"/>
      <c r="BXG22" s="1280"/>
      <c r="BXH22" s="1280"/>
      <c r="BXI22" s="1280"/>
      <c r="BXJ22" s="1280"/>
      <c r="BXK22" s="1280"/>
      <c r="BXL22" s="1280"/>
      <c r="BXM22" s="1280"/>
      <c r="BXN22" s="1280"/>
      <c r="BXO22" s="1280"/>
      <c r="BXP22" s="1280"/>
      <c r="BXQ22" s="1280"/>
      <c r="BXR22" s="1280"/>
      <c r="BXS22" s="1280"/>
      <c r="BXT22" s="1280"/>
      <c r="BXU22" s="1280"/>
      <c r="BXV22" s="1280"/>
      <c r="BXW22" s="1280"/>
      <c r="BXX22" s="1280"/>
      <c r="BXY22" s="1280"/>
      <c r="BXZ22" s="1280"/>
      <c r="BYA22" s="1280"/>
      <c r="BYB22" s="1280"/>
      <c r="BYC22" s="1280"/>
      <c r="BYD22" s="1280"/>
      <c r="BYE22" s="1280"/>
      <c r="BYF22" s="1280"/>
      <c r="BYG22" s="1280"/>
      <c r="BYH22" s="1280"/>
      <c r="BYI22" s="1280"/>
      <c r="BYJ22" s="1280"/>
      <c r="BYK22" s="1280"/>
      <c r="BYL22" s="1280"/>
      <c r="BYM22" s="1280"/>
      <c r="BYN22" s="1280"/>
      <c r="BYO22" s="1280"/>
      <c r="BYP22" s="1280"/>
      <c r="BYQ22" s="1280"/>
      <c r="BYR22" s="1280"/>
      <c r="BYS22" s="1280"/>
      <c r="BYT22" s="1280"/>
      <c r="BYU22" s="1280"/>
      <c r="BYV22" s="1280"/>
      <c r="BYW22" s="1280"/>
      <c r="BYX22" s="1280"/>
      <c r="BYY22" s="1280"/>
      <c r="BYZ22" s="1280"/>
      <c r="BZA22" s="1280"/>
      <c r="BZB22" s="1280"/>
      <c r="BZC22" s="1280"/>
      <c r="BZD22" s="1280"/>
      <c r="BZE22" s="1280"/>
      <c r="BZF22" s="1280"/>
      <c r="BZG22" s="1280"/>
      <c r="BZH22" s="1280"/>
      <c r="BZI22" s="1280"/>
      <c r="BZJ22" s="1280"/>
      <c r="BZK22" s="1280"/>
      <c r="BZL22" s="1280"/>
      <c r="BZM22" s="1280"/>
      <c r="BZN22" s="1280"/>
      <c r="BZO22" s="1280"/>
      <c r="BZP22" s="1280"/>
      <c r="BZQ22" s="1280"/>
      <c r="BZR22" s="1280"/>
      <c r="BZS22" s="1280"/>
      <c r="BZT22" s="1280"/>
      <c r="BZU22" s="1280"/>
      <c r="BZV22" s="1280"/>
      <c r="BZW22" s="1280"/>
      <c r="BZX22" s="1280"/>
      <c r="BZY22" s="1280"/>
      <c r="BZZ22" s="1280"/>
      <c r="CAA22" s="1280"/>
      <c r="CAB22" s="1280"/>
      <c r="CAC22" s="1280"/>
      <c r="CAD22" s="1280"/>
      <c r="CAE22" s="1280"/>
      <c r="CAF22" s="1280"/>
      <c r="CAG22" s="1280"/>
      <c r="CAH22" s="1280"/>
      <c r="CAI22" s="1280"/>
      <c r="CAJ22" s="1280"/>
      <c r="CAK22" s="1280"/>
      <c r="CAL22" s="1280"/>
      <c r="CAM22" s="1280"/>
      <c r="CAN22" s="1280"/>
      <c r="CAO22" s="1280"/>
      <c r="CAP22" s="1280"/>
      <c r="CAQ22" s="1280"/>
      <c r="CAR22" s="1280"/>
      <c r="CAS22" s="1280"/>
      <c r="CAT22" s="1280"/>
      <c r="CAU22" s="1280"/>
      <c r="CAV22" s="1280"/>
      <c r="CAW22" s="1280"/>
      <c r="CAX22" s="1280"/>
      <c r="CAY22" s="1280"/>
      <c r="CAZ22" s="1280"/>
      <c r="CBA22" s="1280"/>
      <c r="CBB22" s="1280"/>
      <c r="CBC22" s="1280"/>
      <c r="CBD22" s="1280"/>
      <c r="CBE22" s="1280"/>
      <c r="CBF22" s="1280"/>
      <c r="CBG22" s="1280"/>
      <c r="CBH22" s="1280"/>
      <c r="CBI22" s="1280"/>
      <c r="CBJ22" s="1280"/>
      <c r="CBK22" s="1280"/>
      <c r="CBL22" s="1280"/>
      <c r="CBM22" s="1280"/>
      <c r="CBN22" s="1280"/>
      <c r="CBO22" s="1280"/>
      <c r="CBP22" s="1280"/>
      <c r="CBQ22" s="1280"/>
      <c r="CBR22" s="1280"/>
      <c r="CBS22" s="1280"/>
      <c r="CBT22" s="1280"/>
      <c r="CBU22" s="1280"/>
      <c r="CBV22" s="1280"/>
      <c r="CBW22" s="1280"/>
      <c r="CBX22" s="1280"/>
      <c r="CBY22" s="1280"/>
      <c r="CBZ22" s="1280"/>
      <c r="CCA22" s="1280"/>
      <c r="CCB22" s="1280"/>
      <c r="CCC22" s="1280"/>
      <c r="CCD22" s="1280"/>
      <c r="CCE22" s="1280"/>
      <c r="CCF22" s="1280"/>
      <c r="CCG22" s="1280"/>
      <c r="CCH22" s="1280"/>
      <c r="CCI22" s="1280"/>
      <c r="CCJ22" s="1280"/>
      <c r="CCK22" s="1280"/>
      <c r="CCL22" s="1280"/>
      <c r="CCM22" s="1280"/>
      <c r="CCN22" s="1280"/>
      <c r="CCO22" s="1280"/>
      <c r="CCP22" s="1280"/>
      <c r="CCQ22" s="1280"/>
      <c r="CCR22" s="1280"/>
      <c r="CCS22" s="1280"/>
      <c r="CCT22" s="1280"/>
      <c r="CCU22" s="1280"/>
      <c r="CCV22" s="1280"/>
      <c r="CCW22" s="1280"/>
      <c r="CCX22" s="1280"/>
      <c r="CCY22" s="1280"/>
      <c r="CCZ22" s="1280"/>
      <c r="CDA22" s="1280"/>
      <c r="CDB22" s="1280"/>
      <c r="CDC22" s="1280"/>
      <c r="CDD22" s="1280"/>
      <c r="CDE22" s="1280"/>
      <c r="CDF22" s="1280"/>
      <c r="CDG22" s="1280"/>
      <c r="CDH22" s="1280"/>
      <c r="CDI22" s="1280"/>
      <c r="CDJ22" s="1280"/>
      <c r="CDK22" s="1280"/>
      <c r="CDL22" s="1280"/>
      <c r="CDM22" s="1280"/>
      <c r="CDN22" s="1280"/>
      <c r="CDO22" s="1280"/>
      <c r="CDP22" s="1280"/>
      <c r="CDQ22" s="1280"/>
      <c r="CDR22" s="1280"/>
      <c r="CDS22" s="1280"/>
      <c r="CDT22" s="1280"/>
      <c r="CDU22" s="1280"/>
      <c r="CDV22" s="1280"/>
      <c r="CDW22" s="1280"/>
      <c r="CDX22" s="1280"/>
      <c r="CDY22" s="1280"/>
      <c r="CDZ22" s="1280"/>
      <c r="CEA22" s="1280"/>
      <c r="CEB22" s="1280"/>
      <c r="CEC22" s="1280"/>
      <c r="CED22" s="1280"/>
      <c r="CEE22" s="1280"/>
      <c r="CEF22" s="1280"/>
      <c r="CEG22" s="1280"/>
      <c r="CEH22" s="1280"/>
      <c r="CEI22" s="1280"/>
      <c r="CEJ22" s="1280"/>
      <c r="CEK22" s="1280"/>
      <c r="CEL22" s="1280"/>
      <c r="CEM22" s="1280"/>
      <c r="CEN22" s="1280"/>
      <c r="CEO22" s="1280"/>
      <c r="CEP22" s="1280"/>
      <c r="CEQ22" s="1280"/>
      <c r="CER22" s="1280"/>
      <c r="CES22" s="1280"/>
      <c r="CET22" s="1280"/>
      <c r="CEU22" s="1280"/>
      <c r="CEV22" s="1280"/>
      <c r="CEW22" s="1280"/>
      <c r="CEX22" s="1280"/>
      <c r="CEY22" s="1280"/>
      <c r="CEZ22" s="1280"/>
      <c r="CFA22" s="1280"/>
      <c r="CFB22" s="1280"/>
      <c r="CFC22" s="1280"/>
      <c r="CFD22" s="1280"/>
      <c r="CFE22" s="1280"/>
      <c r="CFF22" s="1280"/>
      <c r="CFG22" s="1280"/>
      <c r="CFH22" s="1280"/>
      <c r="CFI22" s="1280"/>
      <c r="CFJ22" s="1280"/>
      <c r="CFK22" s="1280"/>
      <c r="CFL22" s="1280"/>
      <c r="CFM22" s="1280"/>
      <c r="CFN22" s="1280"/>
      <c r="CFO22" s="1280"/>
      <c r="CFP22" s="1280"/>
      <c r="CFQ22" s="1280"/>
      <c r="CFR22" s="1280"/>
      <c r="CFS22" s="1280"/>
      <c r="CFT22" s="1280"/>
      <c r="CFU22" s="1280"/>
      <c r="CFV22" s="1280"/>
      <c r="CFW22" s="1280"/>
      <c r="CFX22" s="1280"/>
      <c r="CFY22" s="1280"/>
      <c r="CFZ22" s="1280"/>
      <c r="CGA22" s="1280"/>
      <c r="CGB22" s="1280"/>
      <c r="CGC22" s="1280"/>
      <c r="CGD22" s="1280"/>
      <c r="CGE22" s="1280"/>
      <c r="CGF22" s="1280"/>
      <c r="CGG22" s="1280"/>
      <c r="CGH22" s="1280"/>
      <c r="CGI22" s="1280"/>
      <c r="CGJ22" s="1280"/>
      <c r="CGK22" s="1280"/>
      <c r="CGL22" s="1280"/>
      <c r="CGM22" s="1280"/>
      <c r="CGN22" s="1280"/>
      <c r="CGO22" s="1280"/>
      <c r="CGP22" s="1280"/>
      <c r="CGQ22" s="1280"/>
      <c r="CGR22" s="1280"/>
      <c r="CGS22" s="1280"/>
      <c r="CGT22" s="1280"/>
      <c r="CGU22" s="1280"/>
      <c r="CGV22" s="1280"/>
      <c r="CGW22" s="1280"/>
      <c r="CGX22" s="1280"/>
      <c r="CGY22" s="1280"/>
      <c r="CGZ22" s="1280"/>
      <c r="CHA22" s="1280"/>
      <c r="CHB22" s="1280"/>
      <c r="CHC22" s="1280"/>
      <c r="CHD22" s="1280"/>
      <c r="CHE22" s="1280"/>
      <c r="CHF22" s="1280"/>
      <c r="CHG22" s="1280"/>
      <c r="CHH22" s="1280"/>
      <c r="CHI22" s="1280"/>
      <c r="CHJ22" s="1280"/>
      <c r="CHK22" s="1280"/>
      <c r="CHL22" s="1280"/>
      <c r="CHM22" s="1280"/>
      <c r="CHN22" s="1280"/>
      <c r="CHO22" s="1280"/>
      <c r="CHP22" s="1280"/>
      <c r="CHQ22" s="1280"/>
      <c r="CHR22" s="1280"/>
      <c r="CHS22" s="1280"/>
      <c r="CHT22" s="1280"/>
      <c r="CHU22" s="1280"/>
      <c r="CHV22" s="1280"/>
      <c r="CHW22" s="1280"/>
      <c r="CHX22" s="1280"/>
      <c r="CHY22" s="1280"/>
      <c r="CHZ22" s="1280"/>
      <c r="CIA22" s="1280"/>
      <c r="CIB22" s="1280"/>
      <c r="CIC22" s="1280"/>
      <c r="CID22" s="1280"/>
      <c r="CIE22" s="1280"/>
      <c r="CIF22" s="1280"/>
      <c r="CIG22" s="1280"/>
      <c r="CIH22" s="1280"/>
      <c r="CII22" s="1280"/>
      <c r="CIJ22" s="1280"/>
      <c r="CIK22" s="1280"/>
      <c r="CIL22" s="1280"/>
      <c r="CIM22" s="1280"/>
      <c r="CIN22" s="1280"/>
      <c r="CIO22" s="1280"/>
      <c r="CIP22" s="1280"/>
      <c r="CIQ22" s="1280"/>
      <c r="CIR22" s="1280"/>
      <c r="CIS22" s="1280"/>
      <c r="CIT22" s="1280"/>
      <c r="CIU22" s="1280"/>
      <c r="CIV22" s="1280"/>
      <c r="CIW22" s="1280"/>
      <c r="CIX22" s="1280"/>
      <c r="CIY22" s="1280"/>
      <c r="CIZ22" s="1280"/>
      <c r="CJA22" s="1280"/>
      <c r="CJB22" s="1280"/>
      <c r="CJC22" s="1280"/>
      <c r="CJD22" s="1280"/>
      <c r="CJE22" s="1280"/>
      <c r="CJF22" s="1280"/>
      <c r="CJG22" s="1280"/>
      <c r="CJH22" s="1280"/>
      <c r="CJI22" s="1280"/>
      <c r="CJJ22" s="1280"/>
      <c r="CJK22" s="1280"/>
      <c r="CJL22" s="1280"/>
      <c r="CJM22" s="1280"/>
      <c r="CJN22" s="1280"/>
      <c r="CJO22" s="1280"/>
      <c r="CJP22" s="1280"/>
      <c r="CJQ22" s="1280"/>
      <c r="CJR22" s="1280"/>
      <c r="CJS22" s="1280"/>
      <c r="CJT22" s="1280"/>
      <c r="CJU22" s="1280"/>
      <c r="CJV22" s="1280"/>
      <c r="CJW22" s="1280"/>
      <c r="CJX22" s="1280"/>
      <c r="CJY22" s="1280"/>
      <c r="CJZ22" s="1280"/>
      <c r="CKA22" s="1280"/>
      <c r="CKB22" s="1280"/>
      <c r="CKC22" s="1280"/>
      <c r="CKD22" s="1280"/>
      <c r="CKE22" s="1280"/>
      <c r="CKF22" s="1280"/>
      <c r="CKG22" s="1280"/>
      <c r="CKH22" s="1280"/>
      <c r="CKI22" s="1280"/>
      <c r="CKJ22" s="1280"/>
      <c r="CKK22" s="1280"/>
      <c r="CKL22" s="1280"/>
      <c r="CKM22" s="1280"/>
      <c r="CKN22" s="1280"/>
      <c r="CKO22" s="1280"/>
      <c r="CKP22" s="1280"/>
      <c r="CKQ22" s="1280"/>
      <c r="CKR22" s="1280"/>
      <c r="CKS22" s="1280"/>
      <c r="CKT22" s="1280"/>
      <c r="CKU22" s="1280"/>
      <c r="CKV22" s="1280"/>
      <c r="CKW22" s="1280"/>
      <c r="CKX22" s="1280"/>
      <c r="CKY22" s="1280"/>
      <c r="CKZ22" s="1280"/>
      <c r="CLA22" s="1280"/>
      <c r="CLB22" s="1280"/>
      <c r="CLC22" s="1280"/>
      <c r="CLD22" s="1280"/>
      <c r="CLE22" s="1280"/>
      <c r="CLF22" s="1280"/>
      <c r="CLG22" s="1280"/>
      <c r="CLH22" s="1280"/>
      <c r="CLI22" s="1280"/>
      <c r="CLJ22" s="1280"/>
      <c r="CLK22" s="1280"/>
      <c r="CLL22" s="1280"/>
      <c r="CLM22" s="1280"/>
      <c r="CLN22" s="1280"/>
      <c r="CLO22" s="1280"/>
      <c r="CLP22" s="1280"/>
      <c r="CLQ22" s="1280"/>
      <c r="CLR22" s="1280"/>
      <c r="CLS22" s="1280"/>
      <c r="CLT22" s="1280"/>
      <c r="CLU22" s="1280"/>
      <c r="CLV22" s="1280"/>
      <c r="CLW22" s="1280"/>
      <c r="CLX22" s="1280"/>
      <c r="CLY22" s="1280"/>
      <c r="CLZ22" s="1280"/>
      <c r="CMA22" s="1280"/>
      <c r="CMB22" s="1280"/>
      <c r="CMC22" s="1280"/>
      <c r="CMD22" s="1280"/>
      <c r="CME22" s="1280"/>
      <c r="CMF22" s="1280"/>
      <c r="CMG22" s="1280"/>
      <c r="CMH22" s="1280"/>
      <c r="CMI22" s="1280"/>
      <c r="CMJ22" s="1280"/>
      <c r="CMK22" s="1280"/>
      <c r="CML22" s="1280"/>
      <c r="CMM22" s="1280"/>
      <c r="CMN22" s="1280"/>
      <c r="CMO22" s="1280"/>
      <c r="CMP22" s="1280"/>
      <c r="CMQ22" s="1280"/>
      <c r="CMR22" s="1280"/>
      <c r="CMS22" s="1280"/>
      <c r="CMT22" s="1280"/>
      <c r="CMU22" s="1280"/>
      <c r="CMV22" s="1280"/>
      <c r="CMW22" s="1280"/>
      <c r="CMX22" s="1280"/>
      <c r="CMY22" s="1280"/>
      <c r="CMZ22" s="1280"/>
      <c r="CNA22" s="1280"/>
      <c r="CNB22" s="1280"/>
      <c r="CNC22" s="1280"/>
      <c r="CND22" s="1280"/>
      <c r="CNE22" s="1280"/>
      <c r="CNF22" s="1280"/>
      <c r="CNG22" s="1280"/>
      <c r="CNH22" s="1280"/>
      <c r="CNI22" s="1280"/>
      <c r="CNJ22" s="1280"/>
      <c r="CNK22" s="1280"/>
      <c r="CNL22" s="1280"/>
      <c r="CNM22" s="1280"/>
      <c r="CNN22" s="1280"/>
      <c r="CNO22" s="1280"/>
      <c r="CNP22" s="1280"/>
      <c r="CNQ22" s="1280"/>
      <c r="CNR22" s="1280"/>
      <c r="CNS22" s="1280"/>
      <c r="CNT22" s="1280"/>
      <c r="CNU22" s="1280"/>
      <c r="CNV22" s="1280"/>
      <c r="CNW22" s="1280"/>
      <c r="CNX22" s="1280"/>
      <c r="CNY22" s="1280"/>
      <c r="CNZ22" s="1280"/>
      <c r="COA22" s="1280"/>
      <c r="COB22" s="1280"/>
      <c r="COC22" s="1280"/>
      <c r="COD22" s="1280"/>
      <c r="COE22" s="1280"/>
      <c r="COF22" s="1280"/>
      <c r="COG22" s="1280"/>
      <c r="COH22" s="1280"/>
      <c r="COI22" s="1280"/>
      <c r="COJ22" s="1280"/>
      <c r="COK22" s="1280"/>
      <c r="COL22" s="1280"/>
      <c r="COM22" s="1280"/>
      <c r="CON22" s="1280"/>
      <c r="COO22" s="1280"/>
      <c r="COP22" s="1280"/>
      <c r="COQ22" s="1280"/>
      <c r="COR22" s="1280"/>
      <c r="COS22" s="1280"/>
      <c r="COT22" s="1280"/>
      <c r="COU22" s="1280"/>
      <c r="COV22" s="1280"/>
      <c r="COW22" s="1280"/>
      <c r="COX22" s="1280"/>
      <c r="COY22" s="1280"/>
      <c r="COZ22" s="1280"/>
      <c r="CPA22" s="1280"/>
      <c r="CPB22" s="1280"/>
      <c r="CPC22" s="1280"/>
      <c r="CPD22" s="1280"/>
      <c r="CPE22" s="1280"/>
      <c r="CPF22" s="1280"/>
      <c r="CPG22" s="1280"/>
      <c r="CPH22" s="1280"/>
      <c r="CPI22" s="1280"/>
      <c r="CPJ22" s="1280"/>
      <c r="CPK22" s="1280"/>
      <c r="CPL22" s="1280"/>
      <c r="CPM22" s="1280"/>
      <c r="CPN22" s="1280"/>
      <c r="CPO22" s="1280"/>
      <c r="CPP22" s="1280"/>
      <c r="CPQ22" s="1280"/>
      <c r="CPR22" s="1280"/>
      <c r="CPS22" s="1280"/>
      <c r="CPT22" s="1280"/>
      <c r="CPU22" s="1280"/>
      <c r="CPV22" s="1280"/>
      <c r="CPW22" s="1280"/>
      <c r="CPX22" s="1280"/>
      <c r="CPY22" s="1280"/>
      <c r="CPZ22" s="1280"/>
      <c r="CQA22" s="1280"/>
      <c r="CQB22" s="1280"/>
      <c r="CQC22" s="1280"/>
      <c r="CQD22" s="1280"/>
      <c r="CQE22" s="1280"/>
      <c r="CQF22" s="1280"/>
      <c r="CQG22" s="1280"/>
      <c r="CQH22" s="1280"/>
      <c r="CQI22" s="1280"/>
      <c r="CQJ22" s="1280"/>
      <c r="CQK22" s="1280"/>
      <c r="CQL22" s="1280"/>
      <c r="CQM22" s="1280"/>
      <c r="CQN22" s="1280"/>
      <c r="CQO22" s="1280"/>
      <c r="CQP22" s="1280"/>
      <c r="CQQ22" s="1280"/>
      <c r="CQR22" s="1280"/>
      <c r="CQS22" s="1280"/>
      <c r="CQT22" s="1280"/>
      <c r="CQU22" s="1280"/>
      <c r="CQV22" s="1280"/>
      <c r="CQW22" s="1280"/>
      <c r="CQX22" s="1280"/>
      <c r="CQY22" s="1280"/>
      <c r="CQZ22" s="1280"/>
      <c r="CRA22" s="1280"/>
      <c r="CRB22" s="1280"/>
      <c r="CRC22" s="1280"/>
      <c r="CRD22" s="1280"/>
      <c r="CRE22" s="1280"/>
      <c r="CRF22" s="1280"/>
      <c r="CRG22" s="1280"/>
      <c r="CRH22" s="1280"/>
      <c r="CRI22" s="1280"/>
      <c r="CRJ22" s="1280"/>
      <c r="CRK22" s="1280"/>
      <c r="CRL22" s="1280"/>
      <c r="CRM22" s="1280"/>
      <c r="CRN22" s="1280"/>
      <c r="CRO22" s="1280"/>
      <c r="CRP22" s="1280"/>
      <c r="CRQ22" s="1280"/>
      <c r="CRR22" s="1280"/>
      <c r="CRS22" s="1280"/>
      <c r="CRT22" s="1280"/>
      <c r="CRU22" s="1280"/>
      <c r="CRV22" s="1280"/>
      <c r="CRW22" s="1280"/>
      <c r="CRX22" s="1280"/>
      <c r="CRY22" s="1280"/>
      <c r="CRZ22" s="1280"/>
      <c r="CSA22" s="1280"/>
      <c r="CSB22" s="1280"/>
      <c r="CSC22" s="1280"/>
      <c r="CSD22" s="1280"/>
      <c r="CSE22" s="1280"/>
      <c r="CSF22" s="1280"/>
      <c r="CSG22" s="1280"/>
      <c r="CSH22" s="1280"/>
      <c r="CSI22" s="1280"/>
      <c r="CSJ22" s="1280"/>
      <c r="CSK22" s="1280"/>
      <c r="CSL22" s="1280"/>
      <c r="CSM22" s="1280"/>
      <c r="CSN22" s="1280"/>
      <c r="CSO22" s="1280"/>
      <c r="CSP22" s="1280"/>
      <c r="CSQ22" s="1280"/>
      <c r="CSR22" s="1280"/>
      <c r="CSS22" s="1280"/>
      <c r="CST22" s="1280"/>
      <c r="CSU22" s="1280"/>
      <c r="CSV22" s="1280"/>
      <c r="CSW22" s="1280"/>
      <c r="CSX22" s="1280"/>
      <c r="CSY22" s="1280"/>
      <c r="CSZ22" s="1280"/>
      <c r="CTA22" s="1280"/>
      <c r="CTB22" s="1280"/>
      <c r="CTC22" s="1280"/>
      <c r="CTD22" s="1280"/>
      <c r="CTE22" s="1280"/>
      <c r="CTF22" s="1280"/>
      <c r="CTG22" s="1280"/>
      <c r="CTH22" s="1280"/>
      <c r="CTI22" s="1280"/>
      <c r="CTJ22" s="1280"/>
      <c r="CTK22" s="1280"/>
      <c r="CTL22" s="1280"/>
      <c r="CTM22" s="1280"/>
      <c r="CTN22" s="1280"/>
      <c r="CTO22" s="1280"/>
      <c r="CTP22" s="1280"/>
      <c r="CTQ22" s="1280"/>
      <c r="CTR22" s="1280"/>
      <c r="CTS22" s="1280"/>
      <c r="CTT22" s="1280"/>
      <c r="CTU22" s="1280"/>
      <c r="CTV22" s="1280"/>
      <c r="CTW22" s="1280"/>
      <c r="CTX22" s="1280"/>
      <c r="CTY22" s="1280"/>
      <c r="CTZ22" s="1280"/>
      <c r="CUA22" s="1280"/>
      <c r="CUB22" s="1280"/>
      <c r="CUC22" s="1280"/>
      <c r="CUD22" s="1280"/>
      <c r="CUE22" s="1280"/>
      <c r="CUF22" s="1280"/>
      <c r="CUG22" s="1280"/>
      <c r="CUH22" s="1280"/>
      <c r="CUI22" s="1280"/>
      <c r="CUJ22" s="1280"/>
      <c r="CUK22" s="1280"/>
      <c r="CUL22" s="1280"/>
      <c r="CUM22" s="1280"/>
      <c r="CUN22" s="1280"/>
      <c r="CUO22" s="1280"/>
      <c r="CUP22" s="1280"/>
      <c r="CUQ22" s="1280"/>
      <c r="CUR22" s="1280"/>
      <c r="CUS22" s="1280"/>
      <c r="CUT22" s="1280"/>
      <c r="CUU22" s="1280"/>
      <c r="CUV22" s="1280"/>
      <c r="CUW22" s="1280"/>
      <c r="CUX22" s="1280"/>
      <c r="CUY22" s="1280"/>
      <c r="CUZ22" s="1280"/>
      <c r="CVA22" s="1280"/>
      <c r="CVB22" s="1280"/>
      <c r="CVC22" s="1280"/>
      <c r="CVD22" s="1280"/>
      <c r="CVE22" s="1280"/>
      <c r="CVF22" s="1280"/>
      <c r="CVG22" s="1280"/>
      <c r="CVH22" s="1280"/>
      <c r="CVI22" s="1280"/>
      <c r="CVJ22" s="1280"/>
      <c r="CVK22" s="1280"/>
      <c r="CVL22" s="1280"/>
      <c r="CVM22" s="1280"/>
      <c r="CVN22" s="1280"/>
      <c r="CVO22" s="1280"/>
      <c r="CVP22" s="1280"/>
      <c r="CVQ22" s="1280"/>
      <c r="CVR22" s="1280"/>
      <c r="CVS22" s="1280"/>
      <c r="CVT22" s="1280"/>
      <c r="CVU22" s="1280"/>
      <c r="CVV22" s="1280"/>
      <c r="CVW22" s="1280"/>
      <c r="CVX22" s="1280"/>
      <c r="CVY22" s="1280"/>
      <c r="CVZ22" s="1280"/>
      <c r="CWA22" s="1280"/>
      <c r="CWB22" s="1280"/>
      <c r="CWC22" s="1280"/>
      <c r="CWD22" s="1280"/>
      <c r="CWE22" s="1280"/>
      <c r="CWF22" s="1280"/>
      <c r="CWG22" s="1280"/>
      <c r="CWH22" s="1280"/>
      <c r="CWI22" s="1280"/>
      <c r="CWJ22" s="1280"/>
      <c r="CWK22" s="1280"/>
      <c r="CWL22" s="1280"/>
      <c r="CWM22" s="1280"/>
      <c r="CWN22" s="1280"/>
      <c r="CWO22" s="1280"/>
      <c r="CWP22" s="1280"/>
      <c r="CWQ22" s="1280"/>
      <c r="CWR22" s="1280"/>
      <c r="CWS22" s="1280"/>
      <c r="CWT22" s="1280"/>
      <c r="CWU22" s="1280"/>
      <c r="CWV22" s="1280"/>
      <c r="CWW22" s="1280"/>
      <c r="CWX22" s="1280"/>
      <c r="CWY22" s="1280"/>
      <c r="CWZ22" s="1280"/>
      <c r="CXA22" s="1280"/>
      <c r="CXB22" s="1280"/>
      <c r="CXC22" s="1280"/>
      <c r="CXD22" s="1280"/>
      <c r="CXE22" s="1280"/>
      <c r="CXF22" s="1280"/>
      <c r="CXG22" s="1280"/>
      <c r="CXH22" s="1280"/>
      <c r="CXI22" s="1280"/>
      <c r="CXJ22" s="1280"/>
      <c r="CXK22" s="1280"/>
      <c r="CXL22" s="1280"/>
      <c r="CXM22" s="1280"/>
      <c r="CXN22" s="1280"/>
      <c r="CXO22" s="1280"/>
      <c r="CXP22" s="1280"/>
      <c r="CXQ22" s="1280"/>
      <c r="CXR22" s="1280"/>
      <c r="CXS22" s="1280"/>
      <c r="CXT22" s="1280"/>
      <c r="CXU22" s="1280"/>
      <c r="CXV22" s="1280"/>
      <c r="CXW22" s="1280"/>
      <c r="CXX22" s="1280"/>
      <c r="CXY22" s="1280"/>
      <c r="CXZ22" s="1280"/>
      <c r="CYA22" s="1280"/>
      <c r="CYB22" s="1280"/>
      <c r="CYC22" s="1280"/>
      <c r="CYD22" s="1280"/>
      <c r="CYE22" s="1280"/>
      <c r="CYF22" s="1280"/>
      <c r="CYG22" s="1280"/>
      <c r="CYH22" s="1280"/>
      <c r="CYI22" s="1280"/>
      <c r="CYJ22" s="1280"/>
      <c r="CYK22" s="1280"/>
      <c r="CYL22" s="1280"/>
      <c r="CYM22" s="1280"/>
      <c r="CYN22" s="1280"/>
      <c r="CYO22" s="1280"/>
      <c r="CYP22" s="1280"/>
      <c r="CYQ22" s="1280"/>
      <c r="CYR22" s="1280"/>
      <c r="CYS22" s="1280"/>
      <c r="CYT22" s="1280"/>
      <c r="CYU22" s="1280"/>
      <c r="CYV22" s="1280"/>
      <c r="CYW22" s="1280"/>
      <c r="CYX22" s="1280"/>
      <c r="CYY22" s="1280"/>
      <c r="CYZ22" s="1280"/>
      <c r="CZA22" s="1280"/>
      <c r="CZB22" s="1280"/>
      <c r="CZC22" s="1280"/>
      <c r="CZD22" s="1280"/>
      <c r="CZE22" s="1280"/>
      <c r="CZF22" s="1280"/>
      <c r="CZG22" s="1280"/>
      <c r="CZH22" s="1280"/>
      <c r="CZI22" s="1280"/>
      <c r="CZJ22" s="1280"/>
      <c r="CZK22" s="1280"/>
      <c r="CZL22" s="1280"/>
      <c r="CZM22" s="1280"/>
      <c r="CZN22" s="1280"/>
      <c r="CZO22" s="1280"/>
      <c r="CZP22" s="1280"/>
      <c r="CZQ22" s="1280"/>
      <c r="CZR22" s="1280"/>
      <c r="CZS22" s="1280"/>
      <c r="CZT22" s="1280"/>
      <c r="CZU22" s="1280"/>
      <c r="CZV22" s="1280"/>
      <c r="CZW22" s="1280"/>
      <c r="CZX22" s="1280"/>
      <c r="CZY22" s="1280"/>
      <c r="CZZ22" s="1280"/>
      <c r="DAA22" s="1280"/>
      <c r="DAB22" s="1280"/>
      <c r="DAC22" s="1280"/>
      <c r="DAD22" s="1280"/>
      <c r="DAE22" s="1280"/>
      <c r="DAF22" s="1280"/>
      <c r="DAG22" s="1280"/>
      <c r="DAH22" s="1280"/>
      <c r="DAI22" s="1280"/>
      <c r="DAJ22" s="1280"/>
      <c r="DAK22" s="1280"/>
      <c r="DAL22" s="1280"/>
      <c r="DAM22" s="1280"/>
      <c r="DAN22" s="1280"/>
      <c r="DAO22" s="1280"/>
      <c r="DAP22" s="1280"/>
      <c r="DAQ22" s="1280"/>
      <c r="DAR22" s="1280"/>
      <c r="DAS22" s="1280"/>
      <c r="DAT22" s="1280"/>
      <c r="DAU22" s="1280"/>
      <c r="DAV22" s="1280"/>
      <c r="DAW22" s="1280"/>
      <c r="DAX22" s="1280"/>
      <c r="DAY22" s="1280"/>
      <c r="DAZ22" s="1280"/>
      <c r="DBA22" s="1280"/>
      <c r="DBB22" s="1280"/>
      <c r="DBC22" s="1280"/>
      <c r="DBD22" s="1280"/>
      <c r="DBE22" s="1280"/>
      <c r="DBF22" s="1280"/>
      <c r="DBG22" s="1280"/>
      <c r="DBH22" s="1280"/>
      <c r="DBI22" s="1280"/>
      <c r="DBJ22" s="1280"/>
      <c r="DBK22" s="1280"/>
      <c r="DBL22" s="1280"/>
      <c r="DBM22" s="1280"/>
      <c r="DBN22" s="1280"/>
      <c r="DBO22" s="1280"/>
      <c r="DBP22" s="1280"/>
      <c r="DBQ22" s="1280"/>
      <c r="DBR22" s="1280"/>
      <c r="DBS22" s="1280"/>
      <c r="DBT22" s="1280"/>
      <c r="DBU22" s="1280"/>
      <c r="DBV22" s="1280"/>
      <c r="DBW22" s="1280"/>
      <c r="DBX22" s="1280"/>
      <c r="DBY22" s="1280"/>
      <c r="DBZ22" s="1280"/>
      <c r="DCA22" s="1280"/>
      <c r="DCB22" s="1280"/>
      <c r="DCC22" s="1280"/>
      <c r="DCD22" s="1280"/>
      <c r="DCE22" s="1280"/>
      <c r="DCF22" s="1280"/>
      <c r="DCG22" s="1280"/>
      <c r="DCH22" s="1280"/>
      <c r="DCI22" s="1280"/>
      <c r="DCJ22" s="1280"/>
      <c r="DCK22" s="1280"/>
      <c r="DCL22" s="1280"/>
      <c r="DCM22" s="1280"/>
      <c r="DCN22" s="1280"/>
      <c r="DCO22" s="1280"/>
      <c r="DCP22" s="1280"/>
      <c r="DCQ22" s="1280"/>
      <c r="DCR22" s="1280"/>
      <c r="DCS22" s="1280"/>
      <c r="DCT22" s="1280"/>
      <c r="DCU22" s="1280"/>
      <c r="DCV22" s="1280"/>
      <c r="DCW22" s="1280"/>
      <c r="DCX22" s="1280"/>
      <c r="DCY22" s="1280"/>
      <c r="DCZ22" s="1280"/>
      <c r="DDA22" s="1280"/>
      <c r="DDB22" s="1280"/>
      <c r="DDC22" s="1280"/>
      <c r="DDD22" s="1280"/>
      <c r="DDE22" s="1280"/>
      <c r="DDF22" s="1280"/>
      <c r="DDG22" s="1280"/>
      <c r="DDH22" s="1280"/>
      <c r="DDI22" s="1280"/>
      <c r="DDJ22" s="1280"/>
      <c r="DDK22" s="1280"/>
      <c r="DDL22" s="1280"/>
      <c r="DDM22" s="1280"/>
      <c r="DDN22" s="1280"/>
      <c r="DDO22" s="1280"/>
      <c r="DDP22" s="1280"/>
      <c r="DDQ22" s="1280"/>
      <c r="DDR22" s="1280"/>
      <c r="DDS22" s="1280"/>
      <c r="DDT22" s="1280"/>
      <c r="DDU22" s="1280"/>
      <c r="DDV22" s="1280"/>
      <c r="DDW22" s="1280"/>
      <c r="DDX22" s="1280"/>
      <c r="DDY22" s="1280"/>
      <c r="DDZ22" s="1280"/>
      <c r="DEA22" s="1280"/>
      <c r="DEB22" s="1280"/>
      <c r="DEC22" s="1280"/>
      <c r="DED22" s="1280"/>
      <c r="DEE22" s="1280"/>
      <c r="DEF22" s="1280"/>
      <c r="DEG22" s="1280"/>
      <c r="DEH22" s="1280"/>
      <c r="DEI22" s="1280"/>
      <c r="DEJ22" s="1280"/>
      <c r="DEK22" s="1280"/>
      <c r="DEL22" s="1280"/>
      <c r="DEM22" s="1280"/>
      <c r="DEN22" s="1280"/>
      <c r="DEO22" s="1280"/>
      <c r="DEP22" s="1280"/>
      <c r="DEQ22" s="1280"/>
      <c r="DER22" s="1280"/>
      <c r="DES22" s="1280"/>
      <c r="DET22" s="1280"/>
      <c r="DEU22" s="1280"/>
      <c r="DEV22" s="1280"/>
      <c r="DEW22" s="1280"/>
      <c r="DEX22" s="1280"/>
      <c r="DEY22" s="1280"/>
      <c r="DEZ22" s="1280"/>
      <c r="DFA22" s="1280"/>
      <c r="DFB22" s="1280"/>
      <c r="DFC22" s="1280"/>
      <c r="DFD22" s="1280"/>
      <c r="DFE22" s="1280"/>
      <c r="DFF22" s="1280"/>
      <c r="DFG22" s="1280"/>
      <c r="DFH22" s="1280"/>
      <c r="DFI22" s="1280"/>
      <c r="DFJ22" s="1280"/>
      <c r="DFK22" s="1280"/>
      <c r="DFL22" s="1280"/>
      <c r="DFM22" s="1280"/>
      <c r="DFN22" s="1280"/>
      <c r="DFO22" s="1280"/>
      <c r="DFP22" s="1280"/>
      <c r="DFQ22" s="1280"/>
      <c r="DFR22" s="1280"/>
      <c r="DFS22" s="1280"/>
      <c r="DFT22" s="1280"/>
      <c r="DFU22" s="1280"/>
      <c r="DFV22" s="1280"/>
      <c r="DFW22" s="1280"/>
      <c r="DFX22" s="1280"/>
      <c r="DFY22" s="1280"/>
      <c r="DFZ22" s="1280"/>
      <c r="DGA22" s="1280"/>
      <c r="DGB22" s="1280"/>
      <c r="DGC22" s="1280"/>
      <c r="DGD22" s="1280"/>
      <c r="DGE22" s="1280"/>
      <c r="DGF22" s="1280"/>
      <c r="DGG22" s="1280"/>
      <c r="DGH22" s="1280"/>
      <c r="DGI22" s="1280"/>
      <c r="DGJ22" s="1280"/>
      <c r="DGK22" s="1280"/>
      <c r="DGL22" s="1280"/>
      <c r="DGM22" s="1280"/>
      <c r="DGN22" s="1280"/>
      <c r="DGO22" s="1280"/>
      <c r="DGP22" s="1280"/>
      <c r="DGQ22" s="1280"/>
      <c r="DGR22" s="1280"/>
      <c r="DGS22" s="1280"/>
      <c r="DGT22" s="1280"/>
      <c r="DGU22" s="1280"/>
      <c r="DGV22" s="1280"/>
      <c r="DGW22" s="1280"/>
      <c r="DGX22" s="1280"/>
      <c r="DGY22" s="1280"/>
      <c r="DGZ22" s="1280"/>
      <c r="DHA22" s="1280"/>
      <c r="DHB22" s="1280"/>
      <c r="DHC22" s="1280"/>
      <c r="DHD22" s="1280"/>
      <c r="DHE22" s="1280"/>
      <c r="DHF22" s="1280"/>
      <c r="DHG22" s="1280"/>
      <c r="DHH22" s="1280"/>
      <c r="DHI22" s="1280"/>
      <c r="DHJ22" s="1280"/>
      <c r="DHK22" s="1280"/>
      <c r="DHL22" s="1280"/>
      <c r="DHM22" s="1280"/>
      <c r="DHN22" s="1280"/>
      <c r="DHO22" s="1280"/>
      <c r="DHP22" s="1280"/>
      <c r="DHQ22" s="1280"/>
      <c r="DHR22" s="1280"/>
      <c r="DHS22" s="1280"/>
      <c r="DHT22" s="1280"/>
      <c r="DHU22" s="1280"/>
      <c r="DHV22" s="1280"/>
      <c r="DHW22" s="1280"/>
      <c r="DHX22" s="1280"/>
      <c r="DHY22" s="1280"/>
      <c r="DHZ22" s="1280"/>
      <c r="DIA22" s="1280"/>
      <c r="DIB22" s="1280"/>
      <c r="DIC22" s="1280"/>
      <c r="DID22" s="1280"/>
      <c r="DIE22" s="1280"/>
      <c r="DIF22" s="1280"/>
      <c r="DIG22" s="1280"/>
      <c r="DIH22" s="1280"/>
      <c r="DII22" s="1280"/>
      <c r="DIJ22" s="1280"/>
      <c r="DIK22" s="1280"/>
      <c r="DIL22" s="1280"/>
      <c r="DIM22" s="1280"/>
      <c r="DIN22" s="1280"/>
      <c r="DIO22" s="1280"/>
      <c r="DIP22" s="1280"/>
      <c r="DIQ22" s="1280"/>
      <c r="DIR22" s="1280"/>
      <c r="DIS22" s="1280"/>
      <c r="DIT22" s="1280"/>
      <c r="DIU22" s="1280"/>
      <c r="DIV22" s="1280"/>
      <c r="DIW22" s="1280"/>
      <c r="DIX22" s="1280"/>
      <c r="DIY22" s="1280"/>
      <c r="DIZ22" s="1280"/>
      <c r="DJA22" s="1280"/>
      <c r="DJB22" s="1280"/>
      <c r="DJC22" s="1280"/>
      <c r="DJD22" s="1280"/>
      <c r="DJE22" s="1280"/>
      <c r="DJF22" s="1280"/>
      <c r="DJG22" s="1280"/>
      <c r="DJH22" s="1280"/>
      <c r="DJI22" s="1280"/>
      <c r="DJJ22" s="1280"/>
      <c r="DJK22" s="1280"/>
      <c r="DJL22" s="1280"/>
      <c r="DJM22" s="1280"/>
      <c r="DJN22" s="1280"/>
      <c r="DJO22" s="1280"/>
      <c r="DJP22" s="1280"/>
      <c r="DJQ22" s="1280"/>
      <c r="DJR22" s="1280"/>
      <c r="DJS22" s="1280"/>
      <c r="DJT22" s="1280"/>
      <c r="DJU22" s="1280"/>
      <c r="DJV22" s="1280"/>
      <c r="DJW22" s="1280"/>
      <c r="DJX22" s="1280"/>
      <c r="DJY22" s="1280"/>
      <c r="DJZ22" s="1280"/>
      <c r="DKA22" s="1280"/>
      <c r="DKB22" s="1280"/>
      <c r="DKC22" s="1280"/>
      <c r="DKD22" s="1280"/>
      <c r="DKE22" s="1280"/>
      <c r="DKF22" s="1280"/>
      <c r="DKG22" s="1280"/>
      <c r="DKH22" s="1280"/>
      <c r="DKI22" s="1280"/>
      <c r="DKJ22" s="1280"/>
      <c r="DKK22" s="1280"/>
      <c r="DKL22" s="1280"/>
      <c r="DKM22" s="1280"/>
      <c r="DKN22" s="1280"/>
      <c r="DKO22" s="1280"/>
      <c r="DKP22" s="1280"/>
      <c r="DKQ22" s="1280"/>
      <c r="DKR22" s="1280"/>
      <c r="DKS22" s="1280"/>
      <c r="DKT22" s="1280"/>
      <c r="DKU22" s="1280"/>
      <c r="DKV22" s="1280"/>
      <c r="DKW22" s="1280"/>
      <c r="DKX22" s="1280"/>
      <c r="DKY22" s="1280"/>
      <c r="DKZ22" s="1280"/>
      <c r="DLA22" s="1280"/>
      <c r="DLB22" s="1280"/>
      <c r="DLC22" s="1280"/>
      <c r="DLD22" s="1280"/>
      <c r="DLE22" s="1280"/>
      <c r="DLF22" s="1280"/>
      <c r="DLG22" s="1280"/>
      <c r="DLH22" s="1280"/>
      <c r="DLI22" s="1280"/>
      <c r="DLJ22" s="1280"/>
      <c r="DLK22" s="1280"/>
      <c r="DLL22" s="1280"/>
      <c r="DLM22" s="1280"/>
      <c r="DLN22" s="1280"/>
      <c r="DLO22" s="1280"/>
      <c r="DLP22" s="1280"/>
      <c r="DLQ22" s="1280"/>
      <c r="DLR22" s="1280"/>
      <c r="DLS22" s="1280"/>
      <c r="DLT22" s="1280"/>
      <c r="DLU22" s="1280"/>
      <c r="DLV22" s="1280"/>
      <c r="DLW22" s="1280"/>
      <c r="DLX22" s="1280"/>
      <c r="DLY22" s="1280"/>
      <c r="DLZ22" s="1280"/>
      <c r="DMA22" s="1280"/>
      <c r="DMB22" s="1280"/>
      <c r="DMC22" s="1280"/>
      <c r="DMD22" s="1280"/>
      <c r="DME22" s="1280"/>
      <c r="DMF22" s="1280"/>
      <c r="DMG22" s="1280"/>
      <c r="DMH22" s="1280"/>
      <c r="DMI22" s="1280"/>
      <c r="DMJ22" s="1280"/>
      <c r="DMK22" s="1280"/>
      <c r="DML22" s="1280"/>
      <c r="DMM22" s="1280"/>
      <c r="DMN22" s="1280"/>
      <c r="DMO22" s="1280"/>
      <c r="DMP22" s="1280"/>
      <c r="DMQ22" s="1280"/>
      <c r="DMR22" s="1280"/>
      <c r="DMS22" s="1280"/>
      <c r="DMT22" s="1280"/>
      <c r="DMU22" s="1280"/>
      <c r="DMV22" s="1280"/>
      <c r="DMW22" s="1280"/>
      <c r="DMX22" s="1280"/>
      <c r="DMY22" s="1280"/>
      <c r="DMZ22" s="1280"/>
      <c r="DNA22" s="1280"/>
      <c r="DNB22" s="1280"/>
      <c r="DNC22" s="1280"/>
      <c r="DND22" s="1280"/>
      <c r="DNE22" s="1280"/>
      <c r="DNF22" s="1280"/>
      <c r="DNG22" s="1280"/>
      <c r="DNH22" s="1280"/>
      <c r="DNI22" s="1280"/>
      <c r="DNJ22" s="1280"/>
      <c r="DNK22" s="1280"/>
      <c r="DNL22" s="1280"/>
      <c r="DNM22" s="1280"/>
      <c r="DNN22" s="1280"/>
      <c r="DNO22" s="1280"/>
      <c r="DNP22" s="1280"/>
      <c r="DNQ22" s="1280"/>
      <c r="DNR22" s="1280"/>
      <c r="DNS22" s="1280"/>
      <c r="DNT22" s="1280"/>
      <c r="DNU22" s="1280"/>
      <c r="DNV22" s="1280"/>
      <c r="DNW22" s="1280"/>
      <c r="DNX22" s="1280"/>
      <c r="DNY22" s="1280"/>
      <c r="DNZ22" s="1280"/>
      <c r="DOA22" s="1280"/>
      <c r="DOB22" s="1280"/>
      <c r="DOC22" s="1280"/>
      <c r="DOD22" s="1280"/>
      <c r="DOE22" s="1280"/>
      <c r="DOF22" s="1280"/>
      <c r="DOG22" s="1280"/>
      <c r="DOH22" s="1280"/>
      <c r="DOI22" s="1280"/>
      <c r="DOJ22" s="1280"/>
      <c r="DOK22" s="1280"/>
      <c r="DOL22" s="1280"/>
      <c r="DOM22" s="1280"/>
      <c r="DON22" s="1280"/>
      <c r="DOO22" s="1280"/>
      <c r="DOP22" s="1280"/>
      <c r="DOQ22" s="1280"/>
      <c r="DOR22" s="1280"/>
      <c r="DOS22" s="1280"/>
      <c r="DOT22" s="1280"/>
      <c r="DOU22" s="1280"/>
      <c r="DOV22" s="1280"/>
      <c r="DOW22" s="1280"/>
      <c r="DOX22" s="1280"/>
      <c r="DOY22" s="1280"/>
      <c r="DOZ22" s="1280"/>
      <c r="DPA22" s="1280"/>
      <c r="DPB22" s="1280"/>
      <c r="DPC22" s="1280"/>
      <c r="DPD22" s="1280"/>
      <c r="DPE22" s="1280"/>
      <c r="DPF22" s="1280"/>
      <c r="DPG22" s="1280"/>
      <c r="DPH22" s="1280"/>
      <c r="DPI22" s="1280"/>
      <c r="DPJ22" s="1280"/>
      <c r="DPK22" s="1280"/>
      <c r="DPL22" s="1280"/>
      <c r="DPM22" s="1280"/>
      <c r="DPN22" s="1280"/>
      <c r="DPO22" s="1280"/>
      <c r="DPP22" s="1280"/>
      <c r="DPQ22" s="1280"/>
      <c r="DPR22" s="1280"/>
      <c r="DPS22" s="1280"/>
      <c r="DPT22" s="1280"/>
      <c r="DPU22" s="1280"/>
      <c r="DPV22" s="1280"/>
      <c r="DPW22" s="1280"/>
      <c r="DPX22" s="1280"/>
      <c r="DPY22" s="1280"/>
      <c r="DPZ22" s="1280"/>
      <c r="DQA22" s="1280"/>
      <c r="DQB22" s="1280"/>
      <c r="DQC22" s="1280"/>
      <c r="DQD22" s="1280"/>
      <c r="DQE22" s="1280"/>
      <c r="DQF22" s="1280"/>
      <c r="DQG22" s="1280"/>
      <c r="DQH22" s="1280"/>
      <c r="DQI22" s="1280"/>
      <c r="DQJ22" s="1280"/>
      <c r="DQK22" s="1280"/>
      <c r="DQL22" s="1280"/>
      <c r="DQM22" s="1280"/>
      <c r="DQN22" s="1280"/>
      <c r="DQO22" s="1280"/>
      <c r="DQP22" s="1280"/>
      <c r="DQQ22" s="1280"/>
      <c r="DQR22" s="1280"/>
      <c r="DQS22" s="1280"/>
      <c r="DQT22" s="1280"/>
      <c r="DQU22" s="1280"/>
      <c r="DQV22" s="1280"/>
      <c r="DQW22" s="1280"/>
      <c r="DQX22" s="1280"/>
      <c r="DQY22" s="1280"/>
      <c r="DQZ22" s="1280"/>
      <c r="DRA22" s="1280"/>
      <c r="DRB22" s="1280"/>
      <c r="DRC22" s="1280"/>
      <c r="DRD22" s="1280"/>
      <c r="DRE22" s="1280"/>
      <c r="DRF22" s="1280"/>
      <c r="DRG22" s="1280"/>
      <c r="DRH22" s="1280"/>
      <c r="DRI22" s="1280"/>
      <c r="DRJ22" s="1280"/>
      <c r="DRK22" s="1280"/>
      <c r="DRL22" s="1280"/>
      <c r="DRM22" s="1280"/>
      <c r="DRN22" s="1280"/>
      <c r="DRO22" s="1280"/>
      <c r="DRP22" s="1280"/>
      <c r="DRQ22" s="1280"/>
      <c r="DRR22" s="1280"/>
      <c r="DRS22" s="1280"/>
      <c r="DRT22" s="1280"/>
      <c r="DRU22" s="1280"/>
      <c r="DRV22" s="1280"/>
      <c r="DRW22" s="1280"/>
      <c r="DRX22" s="1280"/>
      <c r="DRY22" s="1280"/>
      <c r="DRZ22" s="1280"/>
      <c r="DSA22" s="1280"/>
      <c r="DSB22" s="1280"/>
      <c r="DSC22" s="1280"/>
      <c r="DSD22" s="1280"/>
      <c r="DSE22" s="1280"/>
      <c r="DSF22" s="1280"/>
      <c r="DSG22" s="1280"/>
      <c r="DSH22" s="1280"/>
      <c r="DSI22" s="1280"/>
      <c r="DSJ22" s="1280"/>
      <c r="DSK22" s="1280"/>
      <c r="DSL22" s="1280"/>
      <c r="DSM22" s="1280"/>
      <c r="DSN22" s="1280"/>
      <c r="DSO22" s="1280"/>
      <c r="DSP22" s="1280"/>
      <c r="DSQ22" s="1280"/>
      <c r="DSR22" s="1280"/>
      <c r="DSS22" s="1280"/>
      <c r="DST22" s="1280"/>
      <c r="DSU22" s="1280"/>
      <c r="DSV22" s="1280"/>
      <c r="DSW22" s="1280"/>
      <c r="DSX22" s="1280"/>
      <c r="DSY22" s="1280"/>
      <c r="DSZ22" s="1280"/>
      <c r="DTA22" s="1280"/>
      <c r="DTB22" s="1280"/>
      <c r="DTC22" s="1280"/>
      <c r="DTD22" s="1280"/>
      <c r="DTE22" s="1280"/>
      <c r="DTF22" s="1280"/>
      <c r="DTG22" s="1280"/>
      <c r="DTH22" s="1280"/>
      <c r="DTI22" s="1280"/>
      <c r="DTJ22" s="1280"/>
      <c r="DTK22" s="1280"/>
      <c r="DTL22" s="1280"/>
      <c r="DTM22" s="1280"/>
      <c r="DTN22" s="1280"/>
      <c r="DTO22" s="1280"/>
      <c r="DTP22" s="1280"/>
      <c r="DTQ22" s="1280"/>
      <c r="DTR22" s="1280"/>
      <c r="DTS22" s="1280"/>
      <c r="DTT22" s="1280"/>
      <c r="DTU22" s="1280"/>
      <c r="DTV22" s="1280"/>
      <c r="DTW22" s="1280"/>
      <c r="DTX22" s="1280"/>
      <c r="DTY22" s="1280"/>
      <c r="DTZ22" s="1280"/>
      <c r="DUA22" s="1280"/>
      <c r="DUB22" s="1280"/>
      <c r="DUC22" s="1280"/>
      <c r="DUD22" s="1280"/>
      <c r="DUE22" s="1280"/>
      <c r="DUF22" s="1280"/>
      <c r="DUG22" s="1280"/>
      <c r="DUH22" s="1280"/>
      <c r="DUI22" s="1280"/>
      <c r="DUJ22" s="1280"/>
      <c r="DUK22" s="1280"/>
      <c r="DUL22" s="1280"/>
      <c r="DUM22" s="1280"/>
      <c r="DUN22" s="1280"/>
      <c r="DUO22" s="1280"/>
      <c r="DUP22" s="1280"/>
      <c r="DUQ22" s="1280"/>
      <c r="DUR22" s="1280"/>
      <c r="DUS22" s="1280"/>
      <c r="DUT22" s="1280"/>
      <c r="DUU22" s="1280"/>
      <c r="DUV22" s="1280"/>
      <c r="DUW22" s="1280"/>
      <c r="DUX22" s="1280"/>
      <c r="DUY22" s="1280"/>
      <c r="DUZ22" s="1280"/>
      <c r="DVA22" s="1280"/>
      <c r="DVB22" s="1280"/>
      <c r="DVC22" s="1280"/>
      <c r="DVD22" s="1280"/>
      <c r="DVE22" s="1280"/>
      <c r="DVF22" s="1280"/>
      <c r="DVG22" s="1280"/>
      <c r="DVH22" s="1280"/>
      <c r="DVI22" s="1280"/>
      <c r="DVJ22" s="1280"/>
      <c r="DVK22" s="1280"/>
      <c r="DVL22" s="1280"/>
      <c r="DVM22" s="1280"/>
      <c r="DVN22" s="1280"/>
      <c r="DVO22" s="1280"/>
      <c r="DVP22" s="1280"/>
      <c r="DVQ22" s="1280"/>
      <c r="DVR22" s="1280"/>
      <c r="DVS22" s="1280"/>
      <c r="DVT22" s="1280"/>
      <c r="DVU22" s="1280"/>
      <c r="DVV22" s="1280"/>
      <c r="DVW22" s="1280"/>
      <c r="DVX22" s="1280"/>
      <c r="DVY22" s="1280"/>
      <c r="DVZ22" s="1280"/>
      <c r="DWA22" s="1280"/>
      <c r="DWB22" s="1280"/>
      <c r="DWC22" s="1280"/>
      <c r="DWD22" s="1280"/>
      <c r="DWE22" s="1280"/>
      <c r="DWF22" s="1280"/>
      <c r="DWG22" s="1280"/>
      <c r="DWH22" s="1280"/>
      <c r="DWI22" s="1280"/>
      <c r="DWJ22" s="1280"/>
      <c r="DWK22" s="1280"/>
      <c r="DWL22" s="1280"/>
      <c r="DWM22" s="1280"/>
      <c r="DWN22" s="1280"/>
      <c r="DWO22" s="1280"/>
      <c r="DWP22" s="1280"/>
      <c r="DWQ22" s="1280"/>
      <c r="DWR22" s="1280"/>
      <c r="DWS22" s="1280"/>
      <c r="DWT22" s="1280"/>
      <c r="DWU22" s="1280"/>
      <c r="DWV22" s="1280"/>
      <c r="DWW22" s="1280"/>
      <c r="DWX22" s="1280"/>
      <c r="DWY22" s="1280"/>
      <c r="DWZ22" s="1280"/>
      <c r="DXA22" s="1280"/>
      <c r="DXB22" s="1280"/>
      <c r="DXC22" s="1280"/>
      <c r="DXD22" s="1280"/>
      <c r="DXE22" s="1280"/>
      <c r="DXF22" s="1280"/>
      <c r="DXG22" s="1280"/>
      <c r="DXH22" s="1280"/>
      <c r="DXI22" s="1280"/>
      <c r="DXJ22" s="1280"/>
      <c r="DXK22" s="1280"/>
      <c r="DXL22" s="1280"/>
      <c r="DXM22" s="1280"/>
      <c r="DXN22" s="1280"/>
      <c r="DXO22" s="1280"/>
      <c r="DXP22" s="1280"/>
      <c r="DXQ22" s="1280"/>
      <c r="DXR22" s="1280"/>
      <c r="DXS22" s="1280"/>
      <c r="DXT22" s="1280"/>
      <c r="DXU22" s="1280"/>
      <c r="DXV22" s="1280"/>
      <c r="DXW22" s="1280"/>
      <c r="DXX22" s="1280"/>
      <c r="DXY22" s="1280"/>
      <c r="DXZ22" s="1280"/>
      <c r="DYA22" s="1280"/>
      <c r="DYB22" s="1280"/>
      <c r="DYC22" s="1280"/>
      <c r="DYD22" s="1280"/>
      <c r="DYE22" s="1280"/>
      <c r="DYF22" s="1280"/>
      <c r="DYG22" s="1280"/>
      <c r="DYH22" s="1280"/>
      <c r="DYI22" s="1280"/>
      <c r="DYJ22" s="1280"/>
      <c r="DYK22" s="1280"/>
      <c r="DYL22" s="1280"/>
      <c r="DYM22" s="1280"/>
      <c r="DYN22" s="1280"/>
      <c r="DYO22" s="1280"/>
      <c r="DYP22" s="1280"/>
      <c r="DYQ22" s="1280"/>
      <c r="DYR22" s="1280"/>
      <c r="DYS22" s="1280"/>
      <c r="DYT22" s="1280"/>
      <c r="DYU22" s="1280"/>
      <c r="DYV22" s="1280"/>
      <c r="DYW22" s="1280"/>
      <c r="DYX22" s="1280"/>
      <c r="DYY22" s="1280"/>
      <c r="DYZ22" s="1280"/>
      <c r="DZA22" s="1280"/>
      <c r="DZB22" s="1280"/>
      <c r="DZC22" s="1280"/>
      <c r="DZD22" s="1280"/>
      <c r="DZE22" s="1280"/>
      <c r="DZF22" s="1280"/>
      <c r="DZG22" s="1280"/>
      <c r="DZH22" s="1280"/>
      <c r="DZI22" s="1280"/>
      <c r="DZJ22" s="1280"/>
      <c r="DZK22" s="1280"/>
      <c r="DZL22" s="1280"/>
      <c r="DZM22" s="1280"/>
      <c r="DZN22" s="1280"/>
      <c r="DZO22" s="1280"/>
      <c r="DZP22" s="1280"/>
      <c r="DZQ22" s="1280"/>
      <c r="DZR22" s="1280"/>
      <c r="DZS22" s="1280"/>
      <c r="DZT22" s="1280"/>
      <c r="DZU22" s="1280"/>
      <c r="DZV22" s="1280"/>
      <c r="DZW22" s="1280"/>
      <c r="DZX22" s="1280"/>
      <c r="DZY22" s="1280"/>
      <c r="DZZ22" s="1280"/>
      <c r="EAA22" s="1280"/>
      <c r="EAB22" s="1280"/>
      <c r="EAC22" s="1280"/>
      <c r="EAD22" s="1280"/>
      <c r="EAE22" s="1280"/>
      <c r="EAF22" s="1280"/>
      <c r="EAG22" s="1280"/>
      <c r="EAH22" s="1280"/>
      <c r="EAI22" s="1280"/>
      <c r="EAJ22" s="1280"/>
      <c r="EAK22" s="1280"/>
      <c r="EAL22" s="1280"/>
      <c r="EAM22" s="1280"/>
      <c r="EAN22" s="1280"/>
      <c r="EAO22" s="1280"/>
      <c r="EAP22" s="1280"/>
      <c r="EAQ22" s="1280"/>
      <c r="EAR22" s="1280"/>
      <c r="EAS22" s="1280"/>
      <c r="EAT22" s="1280"/>
      <c r="EAU22" s="1280"/>
      <c r="EAV22" s="1280"/>
      <c r="EAW22" s="1280"/>
      <c r="EAX22" s="1280"/>
      <c r="EAY22" s="1280"/>
      <c r="EAZ22" s="1280"/>
      <c r="EBA22" s="1280"/>
      <c r="EBB22" s="1280"/>
      <c r="EBC22" s="1280"/>
      <c r="EBD22" s="1280"/>
      <c r="EBE22" s="1280"/>
      <c r="EBF22" s="1280"/>
      <c r="EBG22" s="1280"/>
      <c r="EBH22" s="1280"/>
      <c r="EBI22" s="1280"/>
      <c r="EBJ22" s="1280"/>
      <c r="EBK22" s="1280"/>
      <c r="EBL22" s="1280"/>
      <c r="EBM22" s="1280"/>
      <c r="EBN22" s="1280"/>
      <c r="EBO22" s="1280"/>
      <c r="EBP22" s="1280"/>
      <c r="EBQ22" s="1280"/>
      <c r="EBR22" s="1280"/>
      <c r="EBS22" s="1280"/>
      <c r="EBT22" s="1280"/>
      <c r="EBU22" s="1280"/>
      <c r="EBV22" s="1280"/>
      <c r="EBW22" s="1280"/>
      <c r="EBX22" s="1280"/>
      <c r="EBY22" s="1280"/>
      <c r="EBZ22" s="1280"/>
      <c r="ECA22" s="1280"/>
      <c r="ECB22" s="1280"/>
      <c r="ECC22" s="1280"/>
      <c r="ECD22" s="1280"/>
      <c r="ECE22" s="1280"/>
      <c r="ECF22" s="1280"/>
      <c r="ECG22" s="1280"/>
      <c r="ECH22" s="1280"/>
      <c r="ECI22" s="1280"/>
      <c r="ECJ22" s="1280"/>
      <c r="ECK22" s="1280"/>
      <c r="ECL22" s="1280"/>
      <c r="ECM22" s="1280"/>
      <c r="ECN22" s="1280"/>
      <c r="ECO22" s="1280"/>
      <c r="ECP22" s="1280"/>
      <c r="ECQ22" s="1280"/>
      <c r="ECR22" s="1280"/>
      <c r="ECS22" s="1280"/>
      <c r="ECT22" s="1280"/>
      <c r="ECU22" s="1280"/>
      <c r="ECV22" s="1280"/>
      <c r="ECW22" s="1280"/>
      <c r="ECX22" s="1280"/>
      <c r="ECY22" s="1280"/>
      <c r="ECZ22" s="1280"/>
      <c r="EDA22" s="1280"/>
      <c r="EDB22" s="1280"/>
      <c r="EDC22" s="1280"/>
      <c r="EDD22" s="1280"/>
      <c r="EDE22" s="1280"/>
      <c r="EDF22" s="1280"/>
      <c r="EDG22" s="1280"/>
      <c r="EDH22" s="1280"/>
      <c r="EDI22" s="1280"/>
      <c r="EDJ22" s="1280"/>
      <c r="EDK22" s="1280"/>
      <c r="EDL22" s="1280"/>
      <c r="EDM22" s="1280"/>
      <c r="EDN22" s="1280"/>
      <c r="EDO22" s="1280"/>
      <c r="EDP22" s="1280"/>
      <c r="EDQ22" s="1280"/>
      <c r="EDR22" s="1280"/>
      <c r="EDS22" s="1280"/>
      <c r="EDT22" s="1280"/>
      <c r="EDU22" s="1280"/>
      <c r="EDV22" s="1280"/>
      <c r="EDW22" s="1280"/>
      <c r="EDX22" s="1280"/>
      <c r="EDY22" s="1280"/>
      <c r="EDZ22" s="1280"/>
      <c r="EEA22" s="1280"/>
      <c r="EEB22" s="1280"/>
      <c r="EEC22" s="1280"/>
      <c r="EED22" s="1280"/>
      <c r="EEE22" s="1280"/>
      <c r="EEF22" s="1280"/>
      <c r="EEG22" s="1280"/>
      <c r="EEH22" s="1280"/>
      <c r="EEI22" s="1280"/>
      <c r="EEJ22" s="1280"/>
      <c r="EEK22" s="1280"/>
      <c r="EEL22" s="1280"/>
      <c r="EEM22" s="1280"/>
      <c r="EEN22" s="1280"/>
      <c r="EEO22" s="1280"/>
      <c r="EEP22" s="1280"/>
      <c r="EEQ22" s="1280"/>
      <c r="EER22" s="1280"/>
      <c r="EES22" s="1280"/>
      <c r="EET22" s="1280"/>
      <c r="EEU22" s="1280"/>
      <c r="EEV22" s="1280"/>
      <c r="EEW22" s="1280"/>
      <c r="EEX22" s="1280"/>
      <c r="EEY22" s="1280"/>
      <c r="EEZ22" s="1280"/>
      <c r="EFA22" s="1280"/>
      <c r="EFB22" s="1280"/>
      <c r="EFC22" s="1280"/>
      <c r="EFD22" s="1280"/>
      <c r="EFE22" s="1280"/>
      <c r="EFF22" s="1280"/>
      <c r="EFG22" s="1280"/>
      <c r="EFH22" s="1280"/>
      <c r="EFI22" s="1280"/>
      <c r="EFJ22" s="1280"/>
      <c r="EFK22" s="1280"/>
      <c r="EFL22" s="1280"/>
      <c r="EFM22" s="1280"/>
      <c r="EFN22" s="1280"/>
      <c r="EFO22" s="1280"/>
      <c r="EFP22" s="1280"/>
      <c r="EFQ22" s="1280"/>
      <c r="EFR22" s="1280"/>
      <c r="EFS22" s="1280"/>
      <c r="EFT22" s="1280"/>
      <c r="EFU22" s="1280"/>
      <c r="EFV22" s="1280"/>
      <c r="EFW22" s="1280"/>
      <c r="EFX22" s="1280"/>
      <c r="EFY22" s="1280"/>
      <c r="EFZ22" s="1280"/>
      <c r="EGA22" s="1280"/>
      <c r="EGB22" s="1280"/>
      <c r="EGC22" s="1280"/>
      <c r="EGD22" s="1280"/>
      <c r="EGE22" s="1280"/>
      <c r="EGF22" s="1280"/>
      <c r="EGG22" s="1280"/>
      <c r="EGH22" s="1280"/>
      <c r="EGI22" s="1280"/>
      <c r="EGJ22" s="1280"/>
      <c r="EGK22" s="1280"/>
      <c r="EGL22" s="1280"/>
      <c r="EGM22" s="1280"/>
      <c r="EGN22" s="1280"/>
      <c r="EGO22" s="1280"/>
      <c r="EGP22" s="1280"/>
      <c r="EGQ22" s="1280"/>
      <c r="EGR22" s="1280"/>
      <c r="EGS22" s="1280"/>
      <c r="EGT22" s="1280"/>
      <c r="EGU22" s="1280"/>
      <c r="EGV22" s="1280"/>
      <c r="EGW22" s="1280"/>
      <c r="EGX22" s="1280"/>
      <c r="EGY22" s="1280"/>
      <c r="EGZ22" s="1280"/>
      <c r="EHA22" s="1280"/>
      <c r="EHB22" s="1280"/>
      <c r="EHC22" s="1280"/>
      <c r="EHD22" s="1280"/>
      <c r="EHE22" s="1280"/>
      <c r="EHF22" s="1280"/>
      <c r="EHG22" s="1280"/>
      <c r="EHH22" s="1280"/>
      <c r="EHI22" s="1280"/>
      <c r="EHJ22" s="1280"/>
      <c r="EHK22" s="1280"/>
      <c r="EHL22" s="1280"/>
      <c r="EHM22" s="1280"/>
      <c r="EHN22" s="1280"/>
      <c r="EHO22" s="1280"/>
      <c r="EHP22" s="1280"/>
      <c r="EHQ22" s="1280"/>
      <c r="EHR22" s="1280"/>
      <c r="EHS22" s="1280"/>
      <c r="EHT22" s="1280"/>
      <c r="EHU22" s="1280"/>
      <c r="EHV22" s="1280"/>
      <c r="EHW22" s="1280"/>
      <c r="EHX22" s="1280"/>
      <c r="EHY22" s="1280"/>
      <c r="EHZ22" s="1280"/>
      <c r="EIA22" s="1280"/>
      <c r="EIB22" s="1280"/>
      <c r="EIC22" s="1280"/>
      <c r="EID22" s="1280"/>
      <c r="EIE22" s="1280"/>
      <c r="EIF22" s="1280"/>
      <c r="EIG22" s="1280"/>
      <c r="EIH22" s="1280"/>
      <c r="EII22" s="1280"/>
      <c r="EIJ22" s="1280"/>
      <c r="EIK22" s="1280"/>
      <c r="EIL22" s="1280"/>
      <c r="EIM22" s="1280"/>
      <c r="EIN22" s="1280"/>
      <c r="EIO22" s="1280"/>
      <c r="EIP22" s="1280"/>
      <c r="EIQ22" s="1280"/>
      <c r="EIR22" s="1280"/>
      <c r="EIS22" s="1280"/>
      <c r="EIT22" s="1280"/>
      <c r="EIU22" s="1280"/>
      <c r="EIV22" s="1280"/>
      <c r="EIW22" s="1280"/>
      <c r="EIX22" s="1280"/>
      <c r="EIY22" s="1280"/>
      <c r="EIZ22" s="1280"/>
      <c r="EJA22" s="1280"/>
      <c r="EJB22" s="1280"/>
      <c r="EJC22" s="1280"/>
      <c r="EJD22" s="1280"/>
      <c r="EJE22" s="1280"/>
      <c r="EJF22" s="1280"/>
      <c r="EJG22" s="1280"/>
      <c r="EJH22" s="1280"/>
      <c r="EJI22" s="1280"/>
      <c r="EJJ22" s="1280"/>
      <c r="EJK22" s="1280"/>
      <c r="EJL22" s="1280"/>
      <c r="EJM22" s="1280"/>
      <c r="EJN22" s="1280"/>
      <c r="EJO22" s="1280"/>
      <c r="EJP22" s="1280"/>
      <c r="EJQ22" s="1280"/>
      <c r="EJR22" s="1280"/>
      <c r="EJS22" s="1280"/>
      <c r="EJT22" s="1280"/>
      <c r="EJU22" s="1280"/>
      <c r="EJV22" s="1280"/>
      <c r="EJW22" s="1280"/>
      <c r="EJX22" s="1280"/>
      <c r="EJY22" s="1280"/>
      <c r="EJZ22" s="1280"/>
      <c r="EKA22" s="1280"/>
      <c r="EKB22" s="1280"/>
      <c r="EKC22" s="1280"/>
      <c r="EKD22" s="1280"/>
      <c r="EKE22" s="1280"/>
      <c r="EKF22" s="1280"/>
      <c r="EKG22" s="1280"/>
      <c r="EKH22" s="1280"/>
      <c r="EKI22" s="1280"/>
      <c r="EKJ22" s="1280"/>
      <c r="EKK22" s="1280"/>
      <c r="EKL22" s="1280"/>
      <c r="EKM22" s="1280"/>
      <c r="EKN22" s="1280"/>
      <c r="EKO22" s="1280"/>
      <c r="EKP22" s="1280"/>
      <c r="EKQ22" s="1280"/>
      <c r="EKR22" s="1280"/>
      <c r="EKS22" s="1280"/>
      <c r="EKT22" s="1280"/>
      <c r="EKU22" s="1280"/>
      <c r="EKV22" s="1280"/>
      <c r="EKW22" s="1280"/>
      <c r="EKX22" s="1280"/>
      <c r="EKY22" s="1280"/>
      <c r="EKZ22" s="1280"/>
      <c r="ELA22" s="1280"/>
      <c r="ELB22" s="1280"/>
      <c r="ELC22" s="1280"/>
      <c r="ELD22" s="1280"/>
      <c r="ELE22" s="1280"/>
      <c r="ELF22" s="1280"/>
      <c r="ELG22" s="1280"/>
      <c r="ELH22" s="1280"/>
      <c r="ELI22" s="1280"/>
      <c r="ELJ22" s="1280"/>
      <c r="ELK22" s="1280"/>
      <c r="ELL22" s="1280"/>
      <c r="ELM22" s="1280"/>
      <c r="ELN22" s="1280"/>
      <c r="ELO22" s="1280"/>
      <c r="ELP22" s="1280"/>
      <c r="ELQ22" s="1280"/>
      <c r="ELR22" s="1280"/>
      <c r="ELS22" s="1280"/>
      <c r="ELT22" s="1280"/>
      <c r="ELU22" s="1280"/>
      <c r="ELV22" s="1280"/>
      <c r="ELW22" s="1280"/>
      <c r="ELX22" s="1280"/>
      <c r="ELY22" s="1280"/>
      <c r="ELZ22" s="1280"/>
      <c r="EMA22" s="1280"/>
      <c r="EMB22" s="1280"/>
      <c r="EMC22" s="1280"/>
      <c r="EMD22" s="1280"/>
      <c r="EME22" s="1280"/>
      <c r="EMF22" s="1280"/>
      <c r="EMG22" s="1280"/>
      <c r="EMH22" s="1280"/>
      <c r="EMI22" s="1280"/>
      <c r="EMJ22" s="1280"/>
      <c r="EMK22" s="1280"/>
      <c r="EML22" s="1280"/>
      <c r="EMM22" s="1280"/>
      <c r="EMN22" s="1280"/>
      <c r="EMO22" s="1280"/>
      <c r="EMP22" s="1280"/>
      <c r="EMQ22" s="1280"/>
      <c r="EMR22" s="1280"/>
      <c r="EMS22" s="1280"/>
      <c r="EMT22" s="1280"/>
      <c r="EMU22" s="1280"/>
      <c r="EMV22" s="1280"/>
      <c r="EMW22" s="1280"/>
      <c r="EMX22" s="1280"/>
      <c r="EMY22" s="1280"/>
      <c r="EMZ22" s="1280"/>
      <c r="ENA22" s="1280"/>
      <c r="ENB22" s="1280"/>
      <c r="ENC22" s="1280"/>
      <c r="END22" s="1280"/>
      <c r="ENE22" s="1280"/>
      <c r="ENF22" s="1280"/>
      <c r="ENG22" s="1280"/>
      <c r="ENH22" s="1280"/>
      <c r="ENI22" s="1280"/>
      <c r="ENJ22" s="1280"/>
      <c r="ENK22" s="1280"/>
      <c r="ENL22" s="1280"/>
      <c r="ENM22" s="1280"/>
      <c r="ENN22" s="1280"/>
      <c r="ENO22" s="1280"/>
      <c r="ENP22" s="1280"/>
      <c r="ENQ22" s="1280"/>
      <c r="ENR22" s="1280"/>
      <c r="ENS22" s="1280"/>
      <c r="ENT22" s="1280"/>
      <c r="ENU22" s="1280"/>
      <c r="ENV22" s="1280"/>
      <c r="ENW22" s="1280"/>
      <c r="ENX22" s="1280"/>
      <c r="ENY22" s="1280"/>
      <c r="ENZ22" s="1280"/>
      <c r="EOA22" s="1280"/>
      <c r="EOB22" s="1280"/>
      <c r="EOC22" s="1280"/>
      <c r="EOD22" s="1280"/>
      <c r="EOE22" s="1280"/>
      <c r="EOF22" s="1280"/>
      <c r="EOG22" s="1280"/>
      <c r="EOH22" s="1280"/>
      <c r="EOI22" s="1280"/>
      <c r="EOJ22" s="1280"/>
      <c r="EOK22" s="1280"/>
      <c r="EOL22" s="1280"/>
      <c r="EOM22" s="1280"/>
      <c r="EON22" s="1280"/>
      <c r="EOO22" s="1280"/>
      <c r="EOP22" s="1280"/>
      <c r="EOQ22" s="1280"/>
      <c r="EOR22" s="1280"/>
      <c r="EOS22" s="1280"/>
      <c r="EOT22" s="1280"/>
      <c r="EOU22" s="1280"/>
      <c r="EOV22" s="1280"/>
      <c r="EOW22" s="1280"/>
      <c r="EOX22" s="1280"/>
      <c r="EOY22" s="1280"/>
      <c r="EOZ22" s="1280"/>
      <c r="EPA22" s="1280"/>
      <c r="EPB22" s="1280"/>
      <c r="EPC22" s="1280"/>
      <c r="EPD22" s="1280"/>
      <c r="EPE22" s="1280"/>
      <c r="EPF22" s="1280"/>
      <c r="EPG22" s="1280"/>
      <c r="EPH22" s="1280"/>
      <c r="EPI22" s="1280"/>
      <c r="EPJ22" s="1280"/>
      <c r="EPK22" s="1280"/>
      <c r="EPL22" s="1280"/>
      <c r="EPM22" s="1280"/>
      <c r="EPN22" s="1280"/>
      <c r="EPO22" s="1280"/>
      <c r="EPP22" s="1280"/>
      <c r="EPQ22" s="1280"/>
      <c r="EPR22" s="1280"/>
      <c r="EPS22" s="1280"/>
      <c r="EPT22" s="1280"/>
      <c r="EPU22" s="1280"/>
      <c r="EPV22" s="1280"/>
      <c r="EPW22" s="1280"/>
      <c r="EPX22" s="1280"/>
      <c r="EPY22" s="1280"/>
      <c r="EPZ22" s="1280"/>
      <c r="EQA22" s="1280"/>
      <c r="EQB22" s="1280"/>
      <c r="EQC22" s="1280"/>
      <c r="EQD22" s="1280"/>
      <c r="EQE22" s="1280"/>
      <c r="EQF22" s="1280"/>
      <c r="EQG22" s="1280"/>
      <c r="EQH22" s="1280"/>
      <c r="EQI22" s="1280"/>
      <c r="EQJ22" s="1280"/>
      <c r="EQK22" s="1280"/>
      <c r="EQL22" s="1280"/>
      <c r="EQM22" s="1280"/>
      <c r="EQN22" s="1280"/>
      <c r="EQO22" s="1280"/>
      <c r="EQP22" s="1280"/>
      <c r="EQQ22" s="1280"/>
      <c r="EQR22" s="1280"/>
      <c r="EQS22" s="1280"/>
      <c r="EQT22" s="1280"/>
      <c r="EQU22" s="1280"/>
      <c r="EQV22" s="1280"/>
      <c r="EQW22" s="1280"/>
      <c r="EQX22" s="1280"/>
      <c r="EQY22" s="1280"/>
      <c r="EQZ22" s="1280"/>
      <c r="ERA22" s="1280"/>
      <c r="ERB22" s="1280"/>
      <c r="ERC22" s="1280"/>
      <c r="ERD22" s="1280"/>
      <c r="ERE22" s="1280"/>
      <c r="ERF22" s="1280"/>
      <c r="ERG22" s="1280"/>
      <c r="ERH22" s="1280"/>
      <c r="ERI22" s="1280"/>
      <c r="ERJ22" s="1280"/>
      <c r="ERK22" s="1280"/>
      <c r="ERL22" s="1280"/>
      <c r="ERM22" s="1280"/>
      <c r="ERN22" s="1280"/>
      <c r="ERO22" s="1280"/>
      <c r="ERP22" s="1280"/>
      <c r="ERQ22" s="1280"/>
      <c r="ERR22" s="1280"/>
      <c r="ERS22" s="1280"/>
      <c r="ERT22" s="1280"/>
      <c r="ERU22" s="1280"/>
      <c r="ERV22" s="1280"/>
      <c r="ERW22" s="1280"/>
      <c r="ERX22" s="1280"/>
      <c r="ERY22" s="1280"/>
      <c r="ERZ22" s="1280"/>
      <c r="ESA22" s="1280"/>
      <c r="ESB22" s="1280"/>
      <c r="ESC22" s="1280"/>
      <c r="ESD22" s="1280"/>
      <c r="ESE22" s="1280"/>
      <c r="ESF22" s="1280"/>
      <c r="ESG22" s="1280"/>
      <c r="ESH22" s="1280"/>
      <c r="ESI22" s="1280"/>
      <c r="ESJ22" s="1280"/>
      <c r="ESK22" s="1280"/>
      <c r="ESL22" s="1280"/>
      <c r="ESM22" s="1280"/>
      <c r="ESN22" s="1280"/>
      <c r="ESO22" s="1280"/>
      <c r="ESP22" s="1280"/>
      <c r="ESQ22" s="1280"/>
      <c r="ESR22" s="1280"/>
      <c r="ESS22" s="1280"/>
      <c r="EST22" s="1280"/>
      <c r="ESU22" s="1280"/>
      <c r="ESV22" s="1280"/>
      <c r="ESW22" s="1280"/>
      <c r="ESX22" s="1280"/>
      <c r="ESY22" s="1280"/>
      <c r="ESZ22" s="1280"/>
      <c r="ETA22" s="1280"/>
      <c r="ETB22" s="1280"/>
      <c r="ETC22" s="1280"/>
      <c r="ETD22" s="1280"/>
      <c r="ETE22" s="1280"/>
      <c r="ETF22" s="1280"/>
      <c r="ETG22" s="1280"/>
      <c r="ETH22" s="1280"/>
      <c r="ETI22" s="1280"/>
      <c r="ETJ22" s="1280"/>
      <c r="ETK22" s="1280"/>
      <c r="ETL22" s="1280"/>
      <c r="ETM22" s="1280"/>
      <c r="ETN22" s="1280"/>
      <c r="ETO22" s="1280"/>
      <c r="ETP22" s="1280"/>
      <c r="ETQ22" s="1280"/>
      <c r="ETR22" s="1280"/>
      <c r="ETS22" s="1280"/>
      <c r="ETT22" s="1280"/>
      <c r="ETU22" s="1280"/>
      <c r="ETV22" s="1280"/>
      <c r="ETW22" s="1280"/>
      <c r="ETX22" s="1280"/>
      <c r="ETY22" s="1280"/>
      <c r="ETZ22" s="1280"/>
      <c r="EUA22" s="1280"/>
      <c r="EUB22" s="1280"/>
      <c r="EUC22" s="1280"/>
      <c r="EUD22" s="1280"/>
      <c r="EUE22" s="1280"/>
      <c r="EUF22" s="1280"/>
      <c r="EUG22" s="1280"/>
      <c r="EUH22" s="1280"/>
      <c r="EUI22" s="1280"/>
      <c r="EUJ22" s="1280"/>
      <c r="EUK22" s="1280"/>
      <c r="EUL22" s="1280"/>
      <c r="EUM22" s="1280"/>
      <c r="EUN22" s="1280"/>
      <c r="EUO22" s="1280"/>
      <c r="EUP22" s="1280"/>
      <c r="EUQ22" s="1280"/>
      <c r="EUR22" s="1280"/>
      <c r="EUS22" s="1280"/>
      <c r="EUT22" s="1280"/>
      <c r="EUU22" s="1280"/>
      <c r="EUV22" s="1280"/>
      <c r="EUW22" s="1280"/>
      <c r="EUX22" s="1280"/>
      <c r="EUY22" s="1280"/>
      <c r="EUZ22" s="1280"/>
      <c r="EVA22" s="1280"/>
      <c r="EVB22" s="1280"/>
      <c r="EVC22" s="1280"/>
      <c r="EVD22" s="1280"/>
      <c r="EVE22" s="1280"/>
      <c r="EVF22" s="1280"/>
      <c r="EVG22" s="1280"/>
      <c r="EVH22" s="1280"/>
      <c r="EVI22" s="1280"/>
      <c r="EVJ22" s="1280"/>
      <c r="EVK22" s="1280"/>
      <c r="EVL22" s="1280"/>
      <c r="EVM22" s="1280"/>
      <c r="EVN22" s="1280"/>
      <c r="EVO22" s="1280"/>
      <c r="EVP22" s="1280"/>
      <c r="EVQ22" s="1280"/>
      <c r="EVR22" s="1280"/>
      <c r="EVS22" s="1280"/>
      <c r="EVT22" s="1280"/>
      <c r="EVU22" s="1280"/>
      <c r="EVV22" s="1280"/>
      <c r="EVW22" s="1280"/>
      <c r="EVX22" s="1280"/>
      <c r="EVY22" s="1280"/>
      <c r="EVZ22" s="1280"/>
      <c r="EWA22" s="1280"/>
      <c r="EWB22" s="1280"/>
      <c r="EWC22" s="1280"/>
      <c r="EWD22" s="1280"/>
      <c r="EWE22" s="1280"/>
      <c r="EWF22" s="1280"/>
      <c r="EWG22" s="1280"/>
      <c r="EWH22" s="1280"/>
      <c r="EWI22" s="1280"/>
      <c r="EWJ22" s="1280"/>
      <c r="EWK22" s="1280"/>
      <c r="EWL22" s="1280"/>
      <c r="EWM22" s="1280"/>
      <c r="EWN22" s="1280"/>
      <c r="EWO22" s="1280"/>
      <c r="EWP22" s="1280"/>
      <c r="EWQ22" s="1280"/>
      <c r="EWR22" s="1280"/>
      <c r="EWS22" s="1280"/>
      <c r="EWT22" s="1280"/>
      <c r="EWU22" s="1280"/>
      <c r="EWV22" s="1280"/>
      <c r="EWW22" s="1280"/>
      <c r="EWX22" s="1280"/>
      <c r="EWY22" s="1280"/>
      <c r="EWZ22" s="1280"/>
      <c r="EXA22" s="1280"/>
      <c r="EXB22" s="1280"/>
      <c r="EXC22" s="1280"/>
      <c r="EXD22" s="1280"/>
      <c r="EXE22" s="1280"/>
      <c r="EXF22" s="1280"/>
      <c r="EXG22" s="1280"/>
      <c r="EXH22" s="1280"/>
      <c r="EXI22" s="1280"/>
      <c r="EXJ22" s="1280"/>
      <c r="EXK22" s="1280"/>
      <c r="EXL22" s="1280"/>
      <c r="EXM22" s="1280"/>
      <c r="EXN22" s="1280"/>
      <c r="EXO22" s="1280"/>
      <c r="EXP22" s="1280"/>
      <c r="EXQ22" s="1280"/>
      <c r="EXR22" s="1280"/>
      <c r="EXS22" s="1280"/>
      <c r="EXT22" s="1280"/>
      <c r="EXU22" s="1280"/>
      <c r="EXV22" s="1280"/>
      <c r="EXW22" s="1280"/>
      <c r="EXX22" s="1280"/>
      <c r="EXY22" s="1280"/>
      <c r="EXZ22" s="1280"/>
      <c r="EYA22" s="1280"/>
      <c r="EYB22" s="1280"/>
      <c r="EYC22" s="1280"/>
      <c r="EYD22" s="1280"/>
      <c r="EYE22" s="1280"/>
      <c r="EYF22" s="1280"/>
      <c r="EYG22" s="1280"/>
      <c r="EYH22" s="1280"/>
      <c r="EYI22" s="1280"/>
      <c r="EYJ22" s="1280"/>
      <c r="EYK22" s="1280"/>
      <c r="EYL22" s="1280"/>
      <c r="EYM22" s="1280"/>
      <c r="EYN22" s="1280"/>
      <c r="EYO22" s="1280"/>
      <c r="EYP22" s="1280"/>
      <c r="EYQ22" s="1280"/>
      <c r="EYR22" s="1280"/>
      <c r="EYS22" s="1280"/>
      <c r="EYT22" s="1280"/>
      <c r="EYU22" s="1280"/>
      <c r="EYV22" s="1280"/>
      <c r="EYW22" s="1280"/>
      <c r="EYX22" s="1280"/>
      <c r="EYY22" s="1280"/>
      <c r="EYZ22" s="1280"/>
      <c r="EZA22" s="1280"/>
      <c r="EZB22" s="1280"/>
      <c r="EZC22" s="1280"/>
      <c r="EZD22" s="1280"/>
      <c r="EZE22" s="1280"/>
      <c r="EZF22" s="1280"/>
      <c r="EZG22" s="1280"/>
      <c r="EZH22" s="1280"/>
      <c r="EZI22" s="1280"/>
      <c r="EZJ22" s="1280"/>
      <c r="EZK22" s="1280"/>
      <c r="EZL22" s="1280"/>
      <c r="EZM22" s="1280"/>
      <c r="EZN22" s="1280"/>
      <c r="EZO22" s="1280"/>
      <c r="EZP22" s="1280"/>
      <c r="EZQ22" s="1280"/>
      <c r="EZR22" s="1280"/>
      <c r="EZS22" s="1280"/>
      <c r="EZT22" s="1280"/>
      <c r="EZU22" s="1280"/>
      <c r="EZV22" s="1280"/>
      <c r="EZW22" s="1280"/>
      <c r="EZX22" s="1280"/>
      <c r="EZY22" s="1280"/>
      <c r="EZZ22" s="1280"/>
      <c r="FAA22" s="1280"/>
      <c r="FAB22" s="1280"/>
      <c r="FAC22" s="1280"/>
      <c r="FAD22" s="1280"/>
      <c r="FAE22" s="1280"/>
      <c r="FAF22" s="1280"/>
      <c r="FAG22" s="1280"/>
      <c r="FAH22" s="1280"/>
      <c r="FAI22" s="1280"/>
      <c r="FAJ22" s="1280"/>
      <c r="FAK22" s="1280"/>
      <c r="FAL22" s="1280"/>
      <c r="FAM22" s="1280"/>
      <c r="FAN22" s="1280"/>
      <c r="FAO22" s="1280"/>
      <c r="FAP22" s="1280"/>
      <c r="FAQ22" s="1280"/>
      <c r="FAR22" s="1280"/>
      <c r="FAS22" s="1280"/>
      <c r="FAT22" s="1280"/>
      <c r="FAU22" s="1280"/>
      <c r="FAV22" s="1280"/>
      <c r="FAW22" s="1280"/>
      <c r="FAX22" s="1280"/>
      <c r="FAY22" s="1280"/>
      <c r="FAZ22" s="1280"/>
      <c r="FBA22" s="1280"/>
      <c r="FBB22" s="1280"/>
      <c r="FBC22" s="1280"/>
      <c r="FBD22" s="1280"/>
      <c r="FBE22" s="1280"/>
      <c r="FBF22" s="1280"/>
      <c r="FBG22" s="1280"/>
      <c r="FBH22" s="1280"/>
      <c r="FBI22" s="1280"/>
      <c r="FBJ22" s="1280"/>
      <c r="FBK22" s="1280"/>
      <c r="FBL22" s="1280"/>
      <c r="FBM22" s="1280"/>
      <c r="FBN22" s="1280"/>
      <c r="FBO22" s="1280"/>
      <c r="FBP22" s="1280"/>
      <c r="FBQ22" s="1280"/>
      <c r="FBR22" s="1280"/>
      <c r="FBS22" s="1280"/>
      <c r="FBT22" s="1280"/>
      <c r="FBU22" s="1280"/>
      <c r="FBV22" s="1280"/>
      <c r="FBW22" s="1280"/>
      <c r="FBX22" s="1280"/>
      <c r="FBY22" s="1280"/>
      <c r="FBZ22" s="1280"/>
      <c r="FCA22" s="1280"/>
      <c r="FCB22" s="1280"/>
      <c r="FCC22" s="1280"/>
      <c r="FCD22" s="1280"/>
      <c r="FCE22" s="1280"/>
      <c r="FCF22" s="1280"/>
      <c r="FCG22" s="1280"/>
      <c r="FCH22" s="1280"/>
      <c r="FCI22" s="1280"/>
      <c r="FCJ22" s="1280"/>
      <c r="FCK22" s="1280"/>
      <c r="FCL22" s="1280"/>
      <c r="FCM22" s="1280"/>
      <c r="FCN22" s="1280"/>
      <c r="FCO22" s="1280"/>
      <c r="FCP22" s="1280"/>
      <c r="FCQ22" s="1280"/>
      <c r="FCR22" s="1280"/>
      <c r="FCS22" s="1280"/>
      <c r="FCT22" s="1280"/>
      <c r="FCU22" s="1280"/>
      <c r="FCV22" s="1280"/>
      <c r="FCW22" s="1280"/>
      <c r="FCX22" s="1280"/>
      <c r="FCY22" s="1280"/>
      <c r="FCZ22" s="1280"/>
      <c r="FDA22" s="1280"/>
      <c r="FDB22" s="1280"/>
      <c r="FDC22" s="1280"/>
      <c r="FDD22" s="1280"/>
      <c r="FDE22" s="1280"/>
      <c r="FDF22" s="1280"/>
      <c r="FDG22" s="1280"/>
      <c r="FDH22" s="1280"/>
      <c r="FDI22" s="1280"/>
      <c r="FDJ22" s="1280"/>
      <c r="FDK22" s="1280"/>
      <c r="FDL22" s="1280"/>
      <c r="FDM22" s="1280"/>
      <c r="FDN22" s="1280"/>
      <c r="FDO22" s="1280"/>
      <c r="FDP22" s="1280"/>
      <c r="FDQ22" s="1280"/>
      <c r="FDR22" s="1280"/>
      <c r="FDS22" s="1280"/>
      <c r="FDT22" s="1280"/>
      <c r="FDU22" s="1280"/>
      <c r="FDV22" s="1280"/>
      <c r="FDW22" s="1280"/>
      <c r="FDX22" s="1280"/>
      <c r="FDY22" s="1280"/>
      <c r="FDZ22" s="1280"/>
      <c r="FEA22" s="1280"/>
      <c r="FEB22" s="1280"/>
      <c r="FEC22" s="1280"/>
      <c r="FED22" s="1280"/>
      <c r="FEE22" s="1280"/>
      <c r="FEF22" s="1280"/>
      <c r="FEG22" s="1280"/>
      <c r="FEH22" s="1280"/>
      <c r="FEI22" s="1280"/>
      <c r="FEJ22" s="1280"/>
      <c r="FEK22" s="1280"/>
      <c r="FEL22" s="1280"/>
      <c r="FEM22" s="1280"/>
      <c r="FEN22" s="1280"/>
      <c r="FEO22" s="1280"/>
      <c r="FEP22" s="1280"/>
      <c r="FEQ22" s="1280"/>
      <c r="FER22" s="1280"/>
      <c r="FES22" s="1280"/>
      <c r="FET22" s="1280"/>
      <c r="FEU22" s="1280"/>
      <c r="FEV22" s="1280"/>
      <c r="FEW22" s="1280"/>
      <c r="FEX22" s="1280"/>
      <c r="FEY22" s="1280"/>
      <c r="FEZ22" s="1280"/>
      <c r="FFA22" s="1280"/>
      <c r="FFB22" s="1280"/>
      <c r="FFC22" s="1280"/>
      <c r="FFD22" s="1280"/>
      <c r="FFE22" s="1280"/>
      <c r="FFF22" s="1280"/>
      <c r="FFG22" s="1280"/>
      <c r="FFH22" s="1280"/>
      <c r="FFI22" s="1280"/>
      <c r="FFJ22" s="1280"/>
      <c r="FFK22" s="1280"/>
      <c r="FFL22" s="1280"/>
      <c r="FFM22" s="1280"/>
      <c r="FFN22" s="1280"/>
      <c r="FFO22" s="1280"/>
      <c r="FFP22" s="1280"/>
      <c r="FFQ22" s="1280"/>
      <c r="FFR22" s="1280"/>
      <c r="FFS22" s="1280"/>
      <c r="FFT22" s="1280"/>
      <c r="FFU22" s="1280"/>
      <c r="FFV22" s="1280"/>
      <c r="FFW22" s="1280"/>
      <c r="FFX22" s="1280"/>
      <c r="FFY22" s="1280"/>
      <c r="FFZ22" s="1280"/>
      <c r="FGA22" s="1280"/>
      <c r="FGB22" s="1280"/>
      <c r="FGC22" s="1280"/>
      <c r="FGD22" s="1280"/>
      <c r="FGE22" s="1280"/>
      <c r="FGF22" s="1280"/>
      <c r="FGG22" s="1280"/>
      <c r="FGH22" s="1280"/>
      <c r="FGI22" s="1280"/>
      <c r="FGJ22" s="1280"/>
      <c r="FGK22" s="1280"/>
      <c r="FGL22" s="1280"/>
      <c r="FGM22" s="1280"/>
      <c r="FGN22" s="1280"/>
      <c r="FGO22" s="1280"/>
      <c r="FGP22" s="1280"/>
      <c r="FGQ22" s="1280"/>
      <c r="FGR22" s="1280"/>
      <c r="FGS22" s="1280"/>
      <c r="FGT22" s="1280"/>
      <c r="FGU22" s="1280"/>
      <c r="FGV22" s="1280"/>
      <c r="FGW22" s="1280"/>
      <c r="FGX22" s="1280"/>
      <c r="FGY22" s="1280"/>
      <c r="FGZ22" s="1280"/>
      <c r="FHA22" s="1280"/>
      <c r="FHB22" s="1280"/>
      <c r="FHC22" s="1280"/>
      <c r="FHD22" s="1280"/>
      <c r="FHE22" s="1280"/>
      <c r="FHF22" s="1280"/>
      <c r="FHG22" s="1280"/>
      <c r="FHH22" s="1280"/>
      <c r="FHI22" s="1280"/>
      <c r="FHJ22" s="1280"/>
      <c r="FHK22" s="1280"/>
      <c r="FHL22" s="1280"/>
      <c r="FHM22" s="1280"/>
      <c r="FHN22" s="1280"/>
      <c r="FHO22" s="1280"/>
      <c r="FHP22" s="1280"/>
      <c r="FHQ22" s="1280"/>
      <c r="FHR22" s="1280"/>
      <c r="FHS22" s="1280"/>
      <c r="FHT22" s="1280"/>
      <c r="FHU22" s="1280"/>
      <c r="FHV22" s="1280"/>
      <c r="FHW22" s="1280"/>
      <c r="FHX22" s="1280"/>
      <c r="FHY22" s="1280"/>
      <c r="FHZ22" s="1280"/>
      <c r="FIA22" s="1280"/>
      <c r="FIB22" s="1280"/>
      <c r="FIC22" s="1280"/>
      <c r="FID22" s="1280"/>
      <c r="FIE22" s="1280"/>
      <c r="FIF22" s="1280"/>
      <c r="FIG22" s="1280"/>
      <c r="FIH22" s="1280"/>
      <c r="FII22" s="1280"/>
      <c r="FIJ22" s="1280"/>
      <c r="FIK22" s="1280"/>
      <c r="FIL22" s="1280"/>
      <c r="FIM22" s="1280"/>
      <c r="FIN22" s="1280"/>
      <c r="FIO22" s="1280"/>
      <c r="FIP22" s="1280"/>
      <c r="FIQ22" s="1280"/>
      <c r="FIR22" s="1280"/>
      <c r="FIS22" s="1280"/>
      <c r="FIT22" s="1280"/>
      <c r="FIU22" s="1280"/>
      <c r="FIV22" s="1280"/>
      <c r="FIW22" s="1280"/>
      <c r="FIX22" s="1280"/>
      <c r="FIY22" s="1280"/>
      <c r="FIZ22" s="1280"/>
      <c r="FJA22" s="1280"/>
      <c r="FJB22" s="1280"/>
      <c r="FJC22" s="1280"/>
      <c r="FJD22" s="1280"/>
      <c r="FJE22" s="1280"/>
      <c r="FJF22" s="1280"/>
      <c r="FJG22" s="1280"/>
      <c r="FJH22" s="1280"/>
      <c r="FJI22" s="1280"/>
      <c r="FJJ22" s="1280"/>
      <c r="FJK22" s="1280"/>
      <c r="FJL22" s="1280"/>
      <c r="FJM22" s="1280"/>
      <c r="FJN22" s="1280"/>
      <c r="FJO22" s="1280"/>
      <c r="FJP22" s="1280"/>
      <c r="FJQ22" s="1280"/>
      <c r="FJR22" s="1280"/>
      <c r="FJS22" s="1280"/>
      <c r="FJT22" s="1280"/>
      <c r="FJU22" s="1280"/>
      <c r="FJV22" s="1280"/>
      <c r="FJW22" s="1280"/>
      <c r="FJX22" s="1280"/>
      <c r="FJY22" s="1280"/>
      <c r="FJZ22" s="1280"/>
      <c r="FKA22" s="1280"/>
      <c r="FKB22" s="1280"/>
      <c r="FKC22" s="1280"/>
      <c r="FKD22" s="1280"/>
      <c r="FKE22" s="1280"/>
      <c r="FKF22" s="1280"/>
      <c r="FKG22" s="1280"/>
      <c r="FKH22" s="1280"/>
      <c r="FKI22" s="1280"/>
      <c r="FKJ22" s="1280"/>
      <c r="FKK22" s="1280"/>
      <c r="FKL22" s="1280"/>
      <c r="FKM22" s="1280"/>
      <c r="FKN22" s="1280"/>
      <c r="FKO22" s="1280"/>
      <c r="FKP22" s="1280"/>
      <c r="FKQ22" s="1280"/>
      <c r="FKR22" s="1280"/>
      <c r="FKS22" s="1280"/>
      <c r="FKT22" s="1280"/>
      <c r="FKU22" s="1280"/>
      <c r="FKV22" s="1280"/>
      <c r="FKW22" s="1280"/>
      <c r="FKX22" s="1280"/>
      <c r="FKY22" s="1280"/>
      <c r="FKZ22" s="1280"/>
      <c r="FLA22" s="1280"/>
      <c r="FLB22" s="1280"/>
      <c r="FLC22" s="1280"/>
      <c r="FLD22" s="1280"/>
      <c r="FLE22" s="1280"/>
      <c r="FLF22" s="1280"/>
      <c r="FLG22" s="1280"/>
      <c r="FLH22" s="1280"/>
      <c r="FLI22" s="1280"/>
      <c r="FLJ22" s="1280"/>
      <c r="FLK22" s="1280"/>
      <c r="FLL22" s="1280"/>
      <c r="FLM22" s="1280"/>
      <c r="FLN22" s="1280"/>
      <c r="FLO22" s="1280"/>
      <c r="FLP22" s="1280"/>
      <c r="FLQ22" s="1280"/>
      <c r="FLR22" s="1280"/>
      <c r="FLS22" s="1280"/>
      <c r="FLT22" s="1280"/>
      <c r="FLU22" s="1280"/>
      <c r="FLV22" s="1280"/>
      <c r="FLW22" s="1280"/>
      <c r="FLX22" s="1280"/>
      <c r="FLY22" s="1280"/>
      <c r="FLZ22" s="1280"/>
      <c r="FMA22" s="1280"/>
      <c r="FMB22" s="1280"/>
      <c r="FMC22" s="1280"/>
      <c r="FMD22" s="1280"/>
      <c r="FME22" s="1280"/>
      <c r="FMF22" s="1280"/>
      <c r="FMG22" s="1280"/>
      <c r="FMH22" s="1280"/>
      <c r="FMI22" s="1280"/>
      <c r="FMJ22" s="1280"/>
      <c r="FMK22" s="1280"/>
      <c r="FML22" s="1280"/>
      <c r="FMM22" s="1280"/>
      <c r="FMN22" s="1280"/>
      <c r="FMO22" s="1280"/>
      <c r="FMP22" s="1280"/>
      <c r="FMQ22" s="1280"/>
      <c r="FMR22" s="1280"/>
      <c r="FMS22" s="1280"/>
      <c r="FMT22" s="1280"/>
      <c r="FMU22" s="1280"/>
      <c r="FMV22" s="1280"/>
      <c r="FMW22" s="1280"/>
      <c r="FMX22" s="1280"/>
      <c r="FMY22" s="1280"/>
      <c r="FMZ22" s="1280"/>
      <c r="FNA22" s="1280"/>
      <c r="FNB22" s="1280"/>
      <c r="FNC22" s="1280"/>
      <c r="FND22" s="1280"/>
      <c r="FNE22" s="1280"/>
      <c r="FNF22" s="1280"/>
      <c r="FNG22" s="1280"/>
      <c r="FNH22" s="1280"/>
      <c r="FNI22" s="1280"/>
      <c r="FNJ22" s="1280"/>
      <c r="FNK22" s="1280"/>
      <c r="FNL22" s="1280"/>
      <c r="FNM22" s="1280"/>
      <c r="FNN22" s="1280"/>
      <c r="FNO22" s="1280"/>
      <c r="FNP22" s="1280"/>
      <c r="FNQ22" s="1280"/>
      <c r="FNR22" s="1280"/>
      <c r="FNS22" s="1280"/>
      <c r="FNT22" s="1280"/>
      <c r="FNU22" s="1280"/>
      <c r="FNV22" s="1280"/>
      <c r="FNW22" s="1280"/>
      <c r="FNX22" s="1280"/>
      <c r="FNY22" s="1280"/>
      <c r="FNZ22" s="1280"/>
      <c r="FOA22" s="1280"/>
      <c r="FOB22" s="1280"/>
      <c r="FOC22" s="1280"/>
      <c r="FOD22" s="1280"/>
      <c r="FOE22" s="1280"/>
      <c r="FOF22" s="1280"/>
      <c r="FOG22" s="1280"/>
      <c r="FOH22" s="1280"/>
      <c r="FOI22" s="1280"/>
      <c r="FOJ22" s="1280"/>
      <c r="FOK22" s="1280"/>
      <c r="FOL22" s="1280"/>
      <c r="FOM22" s="1280"/>
      <c r="FON22" s="1280"/>
      <c r="FOO22" s="1280"/>
      <c r="FOP22" s="1280"/>
      <c r="FOQ22" s="1280"/>
      <c r="FOR22" s="1280"/>
      <c r="FOS22" s="1280"/>
      <c r="FOT22" s="1280"/>
      <c r="FOU22" s="1280"/>
      <c r="FOV22" s="1280"/>
      <c r="FOW22" s="1280"/>
      <c r="FOX22" s="1280"/>
      <c r="FOY22" s="1280"/>
      <c r="FOZ22" s="1280"/>
      <c r="FPA22" s="1280"/>
      <c r="FPB22" s="1280"/>
      <c r="FPC22" s="1280"/>
      <c r="FPD22" s="1280"/>
      <c r="FPE22" s="1280"/>
      <c r="FPF22" s="1280"/>
      <c r="FPG22" s="1280"/>
      <c r="FPH22" s="1280"/>
      <c r="FPI22" s="1280"/>
      <c r="FPJ22" s="1280"/>
      <c r="FPK22" s="1280"/>
      <c r="FPL22" s="1280"/>
      <c r="FPM22" s="1280"/>
      <c r="FPN22" s="1280"/>
      <c r="FPO22" s="1280"/>
      <c r="FPP22" s="1280"/>
      <c r="FPQ22" s="1280"/>
      <c r="FPR22" s="1280"/>
      <c r="FPS22" s="1280"/>
      <c r="FPT22" s="1280"/>
      <c r="FPU22" s="1280"/>
      <c r="FPV22" s="1280"/>
      <c r="FPW22" s="1280"/>
      <c r="FPX22" s="1280"/>
      <c r="FPY22" s="1280"/>
      <c r="FPZ22" s="1280"/>
      <c r="FQA22" s="1280"/>
      <c r="FQB22" s="1280"/>
      <c r="FQC22" s="1280"/>
      <c r="FQD22" s="1280"/>
      <c r="FQE22" s="1280"/>
      <c r="FQF22" s="1280"/>
      <c r="FQG22" s="1280"/>
      <c r="FQH22" s="1280"/>
      <c r="FQI22" s="1280"/>
      <c r="FQJ22" s="1280"/>
      <c r="FQK22" s="1280"/>
      <c r="FQL22" s="1280"/>
      <c r="FQM22" s="1280"/>
      <c r="FQN22" s="1280"/>
      <c r="FQO22" s="1280"/>
      <c r="FQP22" s="1280"/>
      <c r="FQQ22" s="1280"/>
      <c r="FQR22" s="1280"/>
      <c r="FQS22" s="1280"/>
      <c r="FQT22" s="1280"/>
      <c r="FQU22" s="1280"/>
      <c r="FQV22" s="1280"/>
      <c r="FQW22" s="1280"/>
      <c r="FQX22" s="1280"/>
      <c r="FQY22" s="1280"/>
      <c r="FQZ22" s="1280"/>
      <c r="FRA22" s="1280"/>
      <c r="FRB22" s="1280"/>
      <c r="FRC22" s="1280"/>
      <c r="FRD22" s="1280"/>
      <c r="FRE22" s="1280"/>
      <c r="FRF22" s="1280"/>
      <c r="FRG22" s="1280"/>
      <c r="FRH22" s="1280"/>
      <c r="FRI22" s="1280"/>
      <c r="FRJ22" s="1280"/>
      <c r="FRK22" s="1280"/>
      <c r="FRL22" s="1280"/>
      <c r="FRM22" s="1280"/>
      <c r="FRN22" s="1280"/>
      <c r="FRO22" s="1280"/>
      <c r="FRP22" s="1280"/>
      <c r="FRQ22" s="1280"/>
      <c r="FRR22" s="1280"/>
      <c r="FRS22" s="1280"/>
      <c r="FRT22" s="1280"/>
      <c r="FRU22" s="1280"/>
      <c r="FRV22" s="1280"/>
      <c r="FRW22" s="1280"/>
      <c r="FRX22" s="1280"/>
      <c r="FRY22" s="1280"/>
      <c r="FRZ22" s="1280"/>
      <c r="FSA22" s="1280"/>
      <c r="FSB22" s="1280"/>
      <c r="FSC22" s="1280"/>
      <c r="FSD22" s="1280"/>
      <c r="FSE22" s="1280"/>
      <c r="FSF22" s="1280"/>
      <c r="FSG22" s="1280"/>
      <c r="FSH22" s="1280"/>
      <c r="FSI22" s="1280"/>
      <c r="FSJ22" s="1280"/>
      <c r="FSK22" s="1280"/>
      <c r="FSL22" s="1280"/>
      <c r="FSM22" s="1280"/>
      <c r="FSN22" s="1280"/>
      <c r="FSO22" s="1280"/>
      <c r="FSP22" s="1280"/>
      <c r="FSQ22" s="1280"/>
      <c r="FSR22" s="1280"/>
      <c r="FSS22" s="1280"/>
      <c r="FST22" s="1280"/>
      <c r="FSU22" s="1280"/>
      <c r="FSV22" s="1280"/>
      <c r="FSW22" s="1280"/>
      <c r="FSX22" s="1280"/>
      <c r="FSY22" s="1280"/>
      <c r="FSZ22" s="1280"/>
      <c r="FTA22" s="1280"/>
      <c r="FTB22" s="1280"/>
      <c r="FTC22" s="1280"/>
      <c r="FTD22" s="1280"/>
      <c r="FTE22" s="1280"/>
      <c r="FTF22" s="1280"/>
      <c r="FTG22" s="1280"/>
      <c r="FTH22" s="1280"/>
      <c r="FTI22" s="1280"/>
      <c r="FTJ22" s="1280"/>
      <c r="FTK22" s="1280"/>
      <c r="FTL22" s="1280"/>
      <c r="FTM22" s="1280"/>
      <c r="FTN22" s="1280"/>
      <c r="FTO22" s="1280"/>
      <c r="FTP22" s="1280"/>
      <c r="FTQ22" s="1280"/>
      <c r="FTR22" s="1280"/>
      <c r="FTS22" s="1280"/>
      <c r="FTT22" s="1280"/>
      <c r="FTU22" s="1280"/>
      <c r="FTV22" s="1280"/>
      <c r="FTW22" s="1280"/>
      <c r="FTX22" s="1280"/>
      <c r="FTY22" s="1280"/>
      <c r="FTZ22" s="1280"/>
      <c r="FUA22" s="1280"/>
      <c r="FUB22" s="1280"/>
      <c r="FUC22" s="1280"/>
      <c r="FUD22" s="1280"/>
      <c r="FUE22" s="1280"/>
      <c r="FUF22" s="1280"/>
      <c r="FUG22" s="1280"/>
      <c r="FUH22" s="1280"/>
      <c r="FUI22" s="1280"/>
      <c r="FUJ22" s="1280"/>
      <c r="FUK22" s="1280"/>
      <c r="FUL22" s="1280"/>
      <c r="FUM22" s="1280"/>
      <c r="FUN22" s="1280"/>
      <c r="FUO22" s="1280"/>
      <c r="FUP22" s="1280"/>
      <c r="FUQ22" s="1280"/>
      <c r="FUR22" s="1280"/>
      <c r="FUS22" s="1280"/>
      <c r="FUT22" s="1280"/>
      <c r="FUU22" s="1280"/>
      <c r="FUV22" s="1280"/>
      <c r="FUW22" s="1280"/>
      <c r="FUX22" s="1280"/>
      <c r="FUY22" s="1280"/>
      <c r="FUZ22" s="1280"/>
      <c r="FVA22" s="1280"/>
      <c r="FVB22" s="1280"/>
      <c r="FVC22" s="1280"/>
      <c r="FVD22" s="1280"/>
      <c r="FVE22" s="1280"/>
      <c r="FVF22" s="1280"/>
      <c r="FVG22" s="1280"/>
      <c r="FVH22" s="1280"/>
      <c r="FVI22" s="1280"/>
      <c r="FVJ22" s="1280"/>
      <c r="FVK22" s="1280"/>
      <c r="FVL22" s="1280"/>
      <c r="FVM22" s="1280"/>
      <c r="FVN22" s="1280"/>
      <c r="FVO22" s="1280"/>
      <c r="FVP22" s="1280"/>
      <c r="FVQ22" s="1280"/>
      <c r="FVR22" s="1280"/>
      <c r="FVS22" s="1280"/>
      <c r="FVT22" s="1280"/>
      <c r="FVU22" s="1280"/>
      <c r="FVV22" s="1280"/>
      <c r="FVW22" s="1280"/>
      <c r="FVX22" s="1280"/>
      <c r="FVY22" s="1280"/>
      <c r="FVZ22" s="1280"/>
      <c r="FWA22" s="1280"/>
      <c r="FWB22" s="1280"/>
      <c r="FWC22" s="1280"/>
      <c r="FWD22" s="1280"/>
      <c r="FWE22" s="1280"/>
      <c r="FWF22" s="1280"/>
      <c r="FWG22" s="1280"/>
      <c r="FWH22" s="1280"/>
      <c r="FWI22" s="1280"/>
      <c r="FWJ22" s="1280"/>
      <c r="FWK22" s="1280"/>
      <c r="FWL22" s="1280"/>
      <c r="FWM22" s="1280"/>
      <c r="FWN22" s="1280"/>
      <c r="FWO22" s="1280"/>
      <c r="FWP22" s="1280"/>
      <c r="FWQ22" s="1280"/>
      <c r="FWR22" s="1280"/>
      <c r="FWS22" s="1280"/>
      <c r="FWT22" s="1280"/>
      <c r="FWU22" s="1280"/>
      <c r="FWV22" s="1280"/>
      <c r="FWW22" s="1280"/>
      <c r="FWX22" s="1280"/>
      <c r="FWY22" s="1280"/>
      <c r="FWZ22" s="1280"/>
      <c r="FXA22" s="1280"/>
      <c r="FXB22" s="1280"/>
      <c r="FXC22" s="1280"/>
      <c r="FXD22" s="1280"/>
      <c r="FXE22" s="1280"/>
      <c r="FXF22" s="1280"/>
      <c r="FXG22" s="1280"/>
      <c r="FXH22" s="1280"/>
      <c r="FXI22" s="1280"/>
      <c r="FXJ22" s="1280"/>
      <c r="FXK22" s="1280"/>
      <c r="FXL22" s="1280"/>
      <c r="FXM22" s="1280"/>
      <c r="FXN22" s="1280"/>
      <c r="FXO22" s="1280"/>
      <c r="FXP22" s="1280"/>
      <c r="FXQ22" s="1280"/>
      <c r="FXR22" s="1280"/>
      <c r="FXS22" s="1280"/>
      <c r="FXT22" s="1280"/>
      <c r="FXU22" s="1280"/>
      <c r="FXV22" s="1280"/>
      <c r="FXW22" s="1280"/>
      <c r="FXX22" s="1280"/>
      <c r="FXY22" s="1280"/>
      <c r="FXZ22" s="1280"/>
      <c r="FYA22" s="1280"/>
      <c r="FYB22" s="1280"/>
      <c r="FYC22" s="1280"/>
      <c r="FYD22" s="1280"/>
      <c r="FYE22" s="1280"/>
      <c r="FYF22" s="1280"/>
      <c r="FYG22" s="1280"/>
      <c r="FYH22" s="1280"/>
      <c r="FYI22" s="1280"/>
      <c r="FYJ22" s="1280"/>
      <c r="FYK22" s="1280"/>
      <c r="FYL22" s="1280"/>
      <c r="FYM22" s="1280"/>
      <c r="FYN22" s="1280"/>
      <c r="FYO22" s="1280"/>
      <c r="FYP22" s="1280"/>
      <c r="FYQ22" s="1280"/>
      <c r="FYR22" s="1280"/>
      <c r="FYS22" s="1280"/>
      <c r="FYT22" s="1280"/>
      <c r="FYU22" s="1280"/>
      <c r="FYV22" s="1280"/>
      <c r="FYW22" s="1280"/>
      <c r="FYX22" s="1280"/>
      <c r="FYY22" s="1280"/>
      <c r="FYZ22" s="1280"/>
      <c r="FZA22" s="1280"/>
      <c r="FZB22" s="1280"/>
      <c r="FZC22" s="1280"/>
      <c r="FZD22" s="1280"/>
      <c r="FZE22" s="1280"/>
      <c r="FZF22" s="1280"/>
      <c r="FZG22" s="1280"/>
      <c r="FZH22" s="1280"/>
      <c r="FZI22" s="1280"/>
      <c r="FZJ22" s="1280"/>
      <c r="FZK22" s="1280"/>
      <c r="FZL22" s="1280"/>
      <c r="FZM22" s="1280"/>
      <c r="FZN22" s="1280"/>
      <c r="FZO22" s="1280"/>
      <c r="FZP22" s="1280"/>
      <c r="FZQ22" s="1280"/>
      <c r="FZR22" s="1280"/>
      <c r="FZS22" s="1280"/>
      <c r="FZT22" s="1280"/>
      <c r="FZU22" s="1280"/>
      <c r="FZV22" s="1280"/>
      <c r="FZW22" s="1280"/>
      <c r="FZX22" s="1280"/>
      <c r="FZY22" s="1280"/>
      <c r="FZZ22" s="1280"/>
      <c r="GAA22" s="1280"/>
      <c r="GAB22" s="1280"/>
      <c r="GAC22" s="1280"/>
      <c r="GAD22" s="1280"/>
      <c r="GAE22" s="1280"/>
      <c r="GAF22" s="1280"/>
      <c r="GAG22" s="1280"/>
      <c r="GAH22" s="1280"/>
      <c r="GAI22" s="1280"/>
      <c r="GAJ22" s="1280"/>
      <c r="GAK22" s="1280"/>
      <c r="GAL22" s="1280"/>
      <c r="GAM22" s="1280"/>
      <c r="GAN22" s="1280"/>
      <c r="GAO22" s="1280"/>
      <c r="GAP22" s="1280"/>
      <c r="GAQ22" s="1280"/>
      <c r="GAR22" s="1280"/>
      <c r="GAS22" s="1280"/>
      <c r="GAT22" s="1280"/>
      <c r="GAU22" s="1280"/>
      <c r="GAV22" s="1280"/>
      <c r="GAW22" s="1280"/>
      <c r="GAX22" s="1280"/>
      <c r="GAY22" s="1280"/>
      <c r="GAZ22" s="1280"/>
      <c r="GBA22" s="1280"/>
      <c r="GBB22" s="1280"/>
      <c r="GBC22" s="1280"/>
      <c r="GBD22" s="1280"/>
      <c r="GBE22" s="1280"/>
      <c r="GBF22" s="1280"/>
      <c r="GBG22" s="1280"/>
      <c r="GBH22" s="1280"/>
      <c r="GBI22" s="1280"/>
      <c r="GBJ22" s="1280"/>
      <c r="GBK22" s="1280"/>
      <c r="GBL22" s="1280"/>
      <c r="GBM22" s="1280"/>
      <c r="GBN22" s="1280"/>
      <c r="GBO22" s="1280"/>
      <c r="GBP22" s="1280"/>
      <c r="GBQ22" s="1280"/>
      <c r="GBR22" s="1280"/>
      <c r="GBS22" s="1280"/>
      <c r="GBT22" s="1280"/>
      <c r="GBU22" s="1280"/>
      <c r="GBV22" s="1280"/>
      <c r="GBW22" s="1280"/>
      <c r="GBX22" s="1280"/>
      <c r="GBY22" s="1280"/>
      <c r="GBZ22" s="1280"/>
      <c r="GCA22" s="1280"/>
      <c r="GCB22" s="1280"/>
      <c r="GCC22" s="1280"/>
      <c r="GCD22" s="1280"/>
      <c r="GCE22" s="1280"/>
      <c r="GCF22" s="1280"/>
      <c r="GCG22" s="1280"/>
      <c r="GCH22" s="1280"/>
      <c r="GCI22" s="1280"/>
      <c r="GCJ22" s="1280"/>
      <c r="GCK22" s="1280"/>
      <c r="GCL22" s="1280"/>
      <c r="GCM22" s="1280"/>
      <c r="GCN22" s="1280"/>
      <c r="GCO22" s="1280"/>
      <c r="GCP22" s="1280"/>
      <c r="GCQ22" s="1280"/>
      <c r="GCR22" s="1280"/>
      <c r="GCS22" s="1280"/>
      <c r="GCT22" s="1280"/>
      <c r="GCU22" s="1280"/>
      <c r="GCV22" s="1280"/>
      <c r="GCW22" s="1280"/>
      <c r="GCX22" s="1280"/>
      <c r="GCY22" s="1280"/>
      <c r="GCZ22" s="1280"/>
      <c r="GDA22" s="1280"/>
      <c r="GDB22" s="1280"/>
      <c r="GDC22" s="1280"/>
      <c r="GDD22" s="1280"/>
      <c r="GDE22" s="1280"/>
      <c r="GDF22" s="1280"/>
      <c r="GDG22" s="1280"/>
      <c r="GDH22" s="1280"/>
      <c r="GDI22" s="1280"/>
      <c r="GDJ22" s="1280"/>
      <c r="GDK22" s="1280"/>
      <c r="GDL22" s="1280"/>
      <c r="GDM22" s="1280"/>
      <c r="GDN22" s="1280"/>
      <c r="GDO22" s="1280"/>
      <c r="GDP22" s="1280"/>
      <c r="GDQ22" s="1280"/>
      <c r="GDR22" s="1280"/>
      <c r="GDS22" s="1280"/>
      <c r="GDT22" s="1280"/>
      <c r="GDU22" s="1280"/>
      <c r="GDV22" s="1280"/>
      <c r="GDW22" s="1280"/>
      <c r="GDX22" s="1280"/>
      <c r="GDY22" s="1280"/>
      <c r="GDZ22" s="1280"/>
      <c r="GEA22" s="1280"/>
      <c r="GEB22" s="1280"/>
      <c r="GEC22" s="1280"/>
      <c r="GED22" s="1280"/>
      <c r="GEE22" s="1280"/>
      <c r="GEF22" s="1280"/>
      <c r="GEG22" s="1280"/>
      <c r="GEH22" s="1280"/>
      <c r="GEI22" s="1280"/>
      <c r="GEJ22" s="1280"/>
      <c r="GEK22" s="1280"/>
      <c r="GEL22" s="1280"/>
      <c r="GEM22" s="1280"/>
      <c r="GEN22" s="1280"/>
      <c r="GEO22" s="1280"/>
      <c r="GEP22" s="1280"/>
      <c r="GEQ22" s="1280"/>
      <c r="GER22" s="1280"/>
      <c r="GES22" s="1280"/>
      <c r="GET22" s="1280"/>
      <c r="GEU22" s="1280"/>
      <c r="GEV22" s="1280"/>
      <c r="GEW22" s="1280"/>
      <c r="GEX22" s="1280"/>
      <c r="GEY22" s="1280"/>
      <c r="GEZ22" s="1280"/>
      <c r="GFA22" s="1280"/>
      <c r="GFB22" s="1280"/>
      <c r="GFC22" s="1280"/>
      <c r="GFD22" s="1280"/>
      <c r="GFE22" s="1280"/>
      <c r="GFF22" s="1280"/>
      <c r="GFG22" s="1280"/>
      <c r="GFH22" s="1280"/>
      <c r="GFI22" s="1280"/>
      <c r="GFJ22" s="1280"/>
      <c r="GFK22" s="1280"/>
      <c r="GFL22" s="1280"/>
      <c r="GFM22" s="1280"/>
      <c r="GFN22" s="1280"/>
      <c r="GFO22" s="1280"/>
      <c r="GFP22" s="1280"/>
      <c r="GFQ22" s="1280"/>
      <c r="GFR22" s="1280"/>
      <c r="GFS22" s="1280"/>
      <c r="GFT22" s="1280"/>
      <c r="GFU22" s="1280"/>
      <c r="GFV22" s="1280"/>
      <c r="GFW22" s="1280"/>
      <c r="GFX22" s="1280"/>
      <c r="GFY22" s="1280"/>
      <c r="GFZ22" s="1280"/>
      <c r="GGA22" s="1280"/>
      <c r="GGB22" s="1280"/>
      <c r="GGC22" s="1280"/>
      <c r="GGD22" s="1280"/>
      <c r="GGE22" s="1280"/>
      <c r="GGF22" s="1280"/>
      <c r="GGG22" s="1280"/>
      <c r="GGH22" s="1280"/>
      <c r="GGI22" s="1280"/>
      <c r="GGJ22" s="1280"/>
      <c r="GGK22" s="1280"/>
      <c r="GGL22" s="1280"/>
      <c r="GGM22" s="1280"/>
      <c r="GGN22" s="1280"/>
      <c r="GGO22" s="1280"/>
      <c r="GGP22" s="1280"/>
      <c r="GGQ22" s="1280"/>
      <c r="GGR22" s="1280"/>
      <c r="GGS22" s="1280"/>
      <c r="GGT22" s="1280"/>
      <c r="GGU22" s="1280"/>
      <c r="GGV22" s="1280"/>
      <c r="GGW22" s="1280"/>
      <c r="GGX22" s="1280"/>
      <c r="GGY22" s="1280"/>
      <c r="GGZ22" s="1280"/>
      <c r="GHA22" s="1280"/>
      <c r="GHB22" s="1280"/>
      <c r="GHC22" s="1280"/>
      <c r="GHD22" s="1280"/>
      <c r="GHE22" s="1280"/>
      <c r="GHF22" s="1280"/>
      <c r="GHG22" s="1280"/>
      <c r="GHH22" s="1280"/>
      <c r="GHI22" s="1280"/>
      <c r="GHJ22" s="1280"/>
      <c r="GHK22" s="1280"/>
      <c r="GHL22" s="1280"/>
      <c r="GHM22" s="1280"/>
      <c r="GHN22" s="1280"/>
      <c r="GHO22" s="1280"/>
      <c r="GHP22" s="1280"/>
      <c r="GHQ22" s="1280"/>
      <c r="GHR22" s="1280"/>
      <c r="GHS22" s="1280"/>
      <c r="GHT22" s="1280"/>
      <c r="GHU22" s="1280"/>
      <c r="GHV22" s="1280"/>
      <c r="GHW22" s="1280"/>
      <c r="GHX22" s="1280"/>
      <c r="GHY22" s="1280"/>
      <c r="GHZ22" s="1280"/>
      <c r="GIA22" s="1280"/>
      <c r="GIB22" s="1280"/>
      <c r="GIC22" s="1280"/>
      <c r="GID22" s="1280"/>
      <c r="GIE22" s="1280"/>
      <c r="GIF22" s="1280"/>
      <c r="GIG22" s="1280"/>
      <c r="GIH22" s="1280"/>
      <c r="GII22" s="1280"/>
      <c r="GIJ22" s="1280"/>
      <c r="GIK22" s="1280"/>
      <c r="GIL22" s="1280"/>
      <c r="GIM22" s="1280"/>
      <c r="GIN22" s="1280"/>
      <c r="GIO22" s="1280"/>
      <c r="GIP22" s="1280"/>
      <c r="GIQ22" s="1280"/>
      <c r="GIR22" s="1280"/>
      <c r="GIS22" s="1280"/>
      <c r="GIT22" s="1280"/>
      <c r="GIU22" s="1280"/>
      <c r="GIV22" s="1280"/>
      <c r="GIW22" s="1280"/>
      <c r="GIX22" s="1280"/>
      <c r="GIY22" s="1280"/>
      <c r="GIZ22" s="1280"/>
      <c r="GJA22" s="1280"/>
      <c r="GJB22" s="1280"/>
      <c r="GJC22" s="1280"/>
      <c r="GJD22" s="1280"/>
      <c r="GJE22" s="1280"/>
      <c r="GJF22" s="1280"/>
      <c r="GJG22" s="1280"/>
      <c r="GJH22" s="1280"/>
      <c r="GJI22" s="1280"/>
      <c r="GJJ22" s="1280"/>
      <c r="GJK22" s="1280"/>
      <c r="GJL22" s="1280"/>
      <c r="GJM22" s="1280"/>
      <c r="GJN22" s="1280"/>
      <c r="GJO22" s="1280"/>
      <c r="GJP22" s="1280"/>
      <c r="GJQ22" s="1280"/>
      <c r="GJR22" s="1280"/>
      <c r="GJS22" s="1280"/>
      <c r="GJT22" s="1280"/>
      <c r="GJU22" s="1280"/>
      <c r="GJV22" s="1280"/>
      <c r="GJW22" s="1280"/>
      <c r="GJX22" s="1280"/>
      <c r="GJY22" s="1280"/>
      <c r="GJZ22" s="1280"/>
      <c r="GKA22" s="1280"/>
      <c r="GKB22" s="1280"/>
      <c r="GKC22" s="1280"/>
      <c r="GKD22" s="1280"/>
      <c r="GKE22" s="1280"/>
      <c r="GKF22" s="1280"/>
      <c r="GKG22" s="1280"/>
      <c r="GKH22" s="1280"/>
      <c r="GKI22" s="1280"/>
      <c r="GKJ22" s="1280"/>
      <c r="GKK22" s="1280"/>
      <c r="GKL22" s="1280"/>
      <c r="GKM22" s="1280"/>
      <c r="GKN22" s="1280"/>
      <c r="GKO22" s="1280"/>
      <c r="GKP22" s="1280"/>
      <c r="GKQ22" s="1280"/>
      <c r="GKR22" s="1280"/>
      <c r="GKS22" s="1280"/>
      <c r="GKT22" s="1280"/>
      <c r="GKU22" s="1280"/>
      <c r="GKV22" s="1280"/>
      <c r="GKW22" s="1280"/>
      <c r="GKX22" s="1280"/>
      <c r="GKY22" s="1280"/>
      <c r="GKZ22" s="1280"/>
      <c r="GLA22" s="1280"/>
      <c r="GLB22" s="1280"/>
      <c r="GLC22" s="1280"/>
      <c r="GLD22" s="1280"/>
      <c r="GLE22" s="1280"/>
      <c r="GLF22" s="1280"/>
      <c r="GLG22" s="1280"/>
      <c r="GLH22" s="1280"/>
      <c r="GLI22" s="1280"/>
      <c r="GLJ22" s="1280"/>
      <c r="GLK22" s="1280"/>
      <c r="GLL22" s="1280"/>
      <c r="GLM22" s="1280"/>
      <c r="GLN22" s="1280"/>
      <c r="GLO22" s="1280"/>
      <c r="GLP22" s="1280"/>
      <c r="GLQ22" s="1280"/>
      <c r="GLR22" s="1280"/>
      <c r="GLS22" s="1280"/>
      <c r="GLT22" s="1280"/>
      <c r="GLU22" s="1280"/>
      <c r="GLV22" s="1280"/>
      <c r="GLW22" s="1280"/>
      <c r="GLX22" s="1280"/>
      <c r="GLY22" s="1280"/>
      <c r="GLZ22" s="1280"/>
      <c r="GMA22" s="1280"/>
      <c r="GMB22" s="1280"/>
      <c r="GMC22" s="1280"/>
      <c r="GMD22" s="1280"/>
      <c r="GME22" s="1280"/>
      <c r="GMF22" s="1280"/>
      <c r="GMG22" s="1280"/>
      <c r="GMH22" s="1280"/>
      <c r="GMI22" s="1280"/>
      <c r="GMJ22" s="1280"/>
      <c r="GMK22" s="1280"/>
      <c r="GML22" s="1280"/>
      <c r="GMM22" s="1280"/>
      <c r="GMN22" s="1280"/>
      <c r="GMO22" s="1280"/>
      <c r="GMP22" s="1280"/>
      <c r="GMQ22" s="1280"/>
      <c r="GMR22" s="1280"/>
      <c r="GMS22" s="1280"/>
      <c r="GMT22" s="1280"/>
      <c r="GMU22" s="1280"/>
      <c r="GMV22" s="1280"/>
      <c r="GMW22" s="1280"/>
      <c r="GMX22" s="1280"/>
      <c r="GMY22" s="1280"/>
      <c r="GMZ22" s="1280"/>
      <c r="GNA22" s="1280"/>
      <c r="GNB22" s="1280"/>
      <c r="GNC22" s="1280"/>
      <c r="GND22" s="1280"/>
      <c r="GNE22" s="1280"/>
      <c r="GNF22" s="1280"/>
      <c r="GNG22" s="1280"/>
      <c r="GNH22" s="1280"/>
      <c r="GNI22" s="1280"/>
      <c r="GNJ22" s="1280"/>
      <c r="GNK22" s="1280"/>
      <c r="GNL22" s="1280"/>
      <c r="GNM22" s="1280"/>
      <c r="GNN22" s="1280"/>
      <c r="GNO22" s="1280"/>
      <c r="GNP22" s="1280"/>
      <c r="GNQ22" s="1280"/>
      <c r="GNR22" s="1280"/>
      <c r="GNS22" s="1280"/>
      <c r="GNT22" s="1280"/>
      <c r="GNU22" s="1280"/>
      <c r="GNV22" s="1280"/>
      <c r="GNW22" s="1280"/>
      <c r="GNX22" s="1280"/>
      <c r="GNY22" s="1280"/>
      <c r="GNZ22" s="1280"/>
      <c r="GOA22" s="1280"/>
      <c r="GOB22" s="1280"/>
      <c r="GOC22" s="1280"/>
      <c r="GOD22" s="1280"/>
      <c r="GOE22" s="1280"/>
      <c r="GOF22" s="1280"/>
      <c r="GOG22" s="1280"/>
      <c r="GOH22" s="1280"/>
      <c r="GOI22" s="1280"/>
      <c r="GOJ22" s="1280"/>
      <c r="GOK22" s="1280"/>
      <c r="GOL22" s="1280"/>
      <c r="GOM22" s="1280"/>
      <c r="GON22" s="1280"/>
      <c r="GOO22" s="1280"/>
      <c r="GOP22" s="1280"/>
      <c r="GOQ22" s="1280"/>
      <c r="GOR22" s="1280"/>
      <c r="GOS22" s="1280"/>
      <c r="GOT22" s="1280"/>
      <c r="GOU22" s="1280"/>
      <c r="GOV22" s="1280"/>
      <c r="GOW22" s="1280"/>
      <c r="GOX22" s="1280"/>
      <c r="GOY22" s="1280"/>
      <c r="GOZ22" s="1280"/>
      <c r="GPA22" s="1280"/>
      <c r="GPB22" s="1280"/>
      <c r="GPC22" s="1280"/>
      <c r="GPD22" s="1280"/>
      <c r="GPE22" s="1280"/>
      <c r="GPF22" s="1280"/>
      <c r="GPG22" s="1280"/>
      <c r="GPH22" s="1280"/>
      <c r="GPI22" s="1280"/>
      <c r="GPJ22" s="1280"/>
      <c r="GPK22" s="1280"/>
      <c r="GPL22" s="1280"/>
      <c r="GPM22" s="1280"/>
      <c r="GPN22" s="1280"/>
      <c r="GPO22" s="1280"/>
      <c r="GPP22" s="1280"/>
      <c r="GPQ22" s="1280"/>
      <c r="GPR22" s="1280"/>
      <c r="GPS22" s="1280"/>
      <c r="GPT22" s="1280"/>
      <c r="GPU22" s="1280"/>
      <c r="GPV22" s="1280"/>
      <c r="GPW22" s="1280"/>
      <c r="GPX22" s="1280"/>
      <c r="GPY22" s="1280"/>
      <c r="GPZ22" s="1280"/>
      <c r="GQA22" s="1280"/>
      <c r="GQB22" s="1280"/>
      <c r="GQC22" s="1280"/>
      <c r="GQD22" s="1280"/>
      <c r="GQE22" s="1280"/>
      <c r="GQF22" s="1280"/>
      <c r="GQG22" s="1280"/>
      <c r="GQH22" s="1280"/>
      <c r="GQI22" s="1280"/>
      <c r="GQJ22" s="1280"/>
      <c r="GQK22" s="1280"/>
      <c r="GQL22" s="1280"/>
      <c r="GQM22" s="1280"/>
      <c r="GQN22" s="1280"/>
      <c r="GQO22" s="1280"/>
      <c r="GQP22" s="1280"/>
      <c r="GQQ22" s="1280"/>
      <c r="GQR22" s="1280"/>
      <c r="GQS22" s="1280"/>
      <c r="GQT22" s="1280"/>
      <c r="GQU22" s="1280"/>
      <c r="GQV22" s="1280"/>
      <c r="GQW22" s="1280"/>
      <c r="GQX22" s="1280"/>
      <c r="GQY22" s="1280"/>
      <c r="GQZ22" s="1280"/>
      <c r="GRA22" s="1280"/>
      <c r="GRB22" s="1280"/>
      <c r="GRC22" s="1280"/>
      <c r="GRD22" s="1280"/>
      <c r="GRE22" s="1280"/>
      <c r="GRF22" s="1280"/>
      <c r="GRG22" s="1280"/>
      <c r="GRH22" s="1280"/>
      <c r="GRI22" s="1280"/>
      <c r="GRJ22" s="1280"/>
      <c r="GRK22" s="1280"/>
      <c r="GRL22" s="1280"/>
      <c r="GRM22" s="1280"/>
      <c r="GRN22" s="1280"/>
      <c r="GRO22" s="1280"/>
      <c r="GRP22" s="1280"/>
      <c r="GRQ22" s="1280"/>
      <c r="GRR22" s="1280"/>
      <c r="GRS22" s="1280"/>
      <c r="GRT22" s="1280"/>
      <c r="GRU22" s="1280"/>
      <c r="GRV22" s="1280"/>
      <c r="GRW22" s="1280"/>
      <c r="GRX22" s="1280"/>
      <c r="GRY22" s="1280"/>
      <c r="GRZ22" s="1280"/>
      <c r="GSA22" s="1280"/>
      <c r="GSB22" s="1280"/>
      <c r="GSC22" s="1280"/>
      <c r="GSD22" s="1280"/>
      <c r="GSE22" s="1280"/>
      <c r="GSF22" s="1280"/>
      <c r="GSG22" s="1280"/>
      <c r="GSH22" s="1280"/>
      <c r="GSI22" s="1280"/>
      <c r="GSJ22" s="1280"/>
      <c r="GSK22" s="1280"/>
      <c r="GSL22" s="1280"/>
      <c r="GSM22" s="1280"/>
      <c r="GSN22" s="1280"/>
      <c r="GSO22" s="1280"/>
      <c r="GSP22" s="1280"/>
      <c r="GSQ22" s="1280"/>
      <c r="GSR22" s="1280"/>
      <c r="GSS22" s="1280"/>
      <c r="GST22" s="1280"/>
      <c r="GSU22" s="1280"/>
      <c r="GSV22" s="1280"/>
      <c r="GSW22" s="1280"/>
      <c r="GSX22" s="1280"/>
      <c r="GSY22" s="1280"/>
      <c r="GSZ22" s="1280"/>
      <c r="GTA22" s="1280"/>
      <c r="GTB22" s="1280"/>
      <c r="GTC22" s="1280"/>
      <c r="GTD22" s="1280"/>
      <c r="GTE22" s="1280"/>
      <c r="GTF22" s="1280"/>
      <c r="GTG22" s="1280"/>
      <c r="GTH22" s="1280"/>
      <c r="GTI22" s="1280"/>
      <c r="GTJ22" s="1280"/>
      <c r="GTK22" s="1280"/>
      <c r="GTL22" s="1280"/>
      <c r="GTM22" s="1280"/>
      <c r="GTN22" s="1280"/>
      <c r="GTO22" s="1280"/>
      <c r="GTP22" s="1280"/>
      <c r="GTQ22" s="1280"/>
      <c r="GTR22" s="1280"/>
      <c r="GTS22" s="1280"/>
      <c r="GTT22" s="1280"/>
      <c r="GTU22" s="1280"/>
      <c r="GTV22" s="1280"/>
      <c r="GTW22" s="1280"/>
      <c r="GTX22" s="1280"/>
      <c r="GTY22" s="1280"/>
      <c r="GTZ22" s="1280"/>
      <c r="GUA22" s="1280"/>
      <c r="GUB22" s="1280"/>
      <c r="GUC22" s="1280"/>
      <c r="GUD22" s="1280"/>
      <c r="GUE22" s="1280"/>
      <c r="GUF22" s="1280"/>
      <c r="GUG22" s="1280"/>
      <c r="GUH22" s="1280"/>
      <c r="GUI22" s="1280"/>
      <c r="GUJ22" s="1280"/>
      <c r="GUK22" s="1280"/>
      <c r="GUL22" s="1280"/>
      <c r="GUM22" s="1280"/>
      <c r="GUN22" s="1280"/>
      <c r="GUO22" s="1280"/>
      <c r="GUP22" s="1280"/>
      <c r="GUQ22" s="1280"/>
      <c r="GUR22" s="1280"/>
      <c r="GUS22" s="1280"/>
      <c r="GUT22" s="1280"/>
      <c r="GUU22" s="1280"/>
      <c r="GUV22" s="1280"/>
      <c r="GUW22" s="1280"/>
      <c r="GUX22" s="1280"/>
      <c r="GUY22" s="1280"/>
      <c r="GUZ22" s="1280"/>
      <c r="GVA22" s="1280"/>
      <c r="GVB22" s="1280"/>
      <c r="GVC22" s="1280"/>
      <c r="GVD22" s="1280"/>
      <c r="GVE22" s="1280"/>
      <c r="GVF22" s="1280"/>
      <c r="GVG22" s="1280"/>
      <c r="GVH22" s="1280"/>
      <c r="GVI22" s="1280"/>
      <c r="GVJ22" s="1280"/>
      <c r="GVK22" s="1280"/>
      <c r="GVL22" s="1280"/>
      <c r="GVM22" s="1280"/>
      <c r="GVN22" s="1280"/>
      <c r="GVO22" s="1280"/>
      <c r="GVP22" s="1280"/>
      <c r="GVQ22" s="1280"/>
      <c r="GVR22" s="1280"/>
      <c r="GVS22" s="1280"/>
      <c r="GVT22" s="1280"/>
      <c r="GVU22" s="1280"/>
      <c r="GVV22" s="1280"/>
      <c r="GVW22" s="1280"/>
      <c r="GVX22" s="1280"/>
      <c r="GVY22" s="1280"/>
      <c r="GVZ22" s="1280"/>
      <c r="GWA22" s="1280"/>
      <c r="GWB22" s="1280"/>
      <c r="GWC22" s="1280"/>
      <c r="GWD22" s="1280"/>
      <c r="GWE22" s="1280"/>
      <c r="GWF22" s="1280"/>
      <c r="GWG22" s="1280"/>
      <c r="GWH22" s="1280"/>
      <c r="GWI22" s="1280"/>
      <c r="GWJ22" s="1280"/>
      <c r="GWK22" s="1280"/>
      <c r="GWL22" s="1280"/>
      <c r="GWM22" s="1280"/>
      <c r="GWN22" s="1280"/>
      <c r="GWO22" s="1280"/>
      <c r="GWP22" s="1280"/>
      <c r="GWQ22" s="1280"/>
      <c r="GWR22" s="1280"/>
      <c r="GWS22" s="1280"/>
      <c r="GWT22" s="1280"/>
      <c r="GWU22" s="1280"/>
      <c r="GWV22" s="1280"/>
      <c r="GWW22" s="1280"/>
      <c r="GWX22" s="1280"/>
      <c r="GWY22" s="1280"/>
      <c r="GWZ22" s="1280"/>
      <c r="GXA22" s="1280"/>
      <c r="GXB22" s="1280"/>
      <c r="GXC22" s="1280"/>
      <c r="GXD22" s="1280"/>
      <c r="GXE22" s="1280"/>
      <c r="GXF22" s="1280"/>
      <c r="GXG22" s="1280"/>
      <c r="GXH22" s="1280"/>
      <c r="GXI22" s="1280"/>
      <c r="GXJ22" s="1280"/>
      <c r="GXK22" s="1280"/>
      <c r="GXL22" s="1280"/>
      <c r="GXM22" s="1280"/>
      <c r="GXN22" s="1280"/>
      <c r="GXO22" s="1280"/>
      <c r="GXP22" s="1280"/>
      <c r="GXQ22" s="1280"/>
      <c r="GXR22" s="1280"/>
      <c r="GXS22" s="1280"/>
      <c r="GXT22" s="1280"/>
      <c r="GXU22" s="1280"/>
      <c r="GXV22" s="1280"/>
      <c r="GXW22" s="1280"/>
      <c r="GXX22" s="1280"/>
      <c r="GXY22" s="1280"/>
      <c r="GXZ22" s="1280"/>
      <c r="GYA22" s="1280"/>
      <c r="GYB22" s="1280"/>
      <c r="GYC22" s="1280"/>
      <c r="GYD22" s="1280"/>
      <c r="GYE22" s="1280"/>
      <c r="GYF22" s="1280"/>
      <c r="GYG22" s="1280"/>
      <c r="GYH22" s="1280"/>
      <c r="GYI22" s="1280"/>
      <c r="GYJ22" s="1280"/>
      <c r="GYK22" s="1280"/>
      <c r="GYL22" s="1280"/>
      <c r="GYM22" s="1280"/>
      <c r="GYN22" s="1280"/>
      <c r="GYO22" s="1280"/>
      <c r="GYP22" s="1280"/>
      <c r="GYQ22" s="1280"/>
      <c r="GYR22" s="1280"/>
      <c r="GYS22" s="1280"/>
      <c r="GYT22" s="1280"/>
      <c r="GYU22" s="1280"/>
      <c r="GYV22" s="1280"/>
      <c r="GYW22" s="1280"/>
      <c r="GYX22" s="1280"/>
      <c r="GYY22" s="1280"/>
      <c r="GYZ22" s="1280"/>
      <c r="GZA22" s="1280"/>
      <c r="GZB22" s="1280"/>
      <c r="GZC22" s="1280"/>
      <c r="GZD22" s="1280"/>
      <c r="GZE22" s="1280"/>
      <c r="GZF22" s="1280"/>
      <c r="GZG22" s="1280"/>
      <c r="GZH22" s="1280"/>
      <c r="GZI22" s="1280"/>
      <c r="GZJ22" s="1280"/>
      <c r="GZK22" s="1280"/>
      <c r="GZL22" s="1280"/>
      <c r="GZM22" s="1280"/>
      <c r="GZN22" s="1280"/>
      <c r="GZO22" s="1280"/>
      <c r="GZP22" s="1280"/>
      <c r="GZQ22" s="1280"/>
      <c r="GZR22" s="1280"/>
      <c r="GZS22" s="1280"/>
      <c r="GZT22" s="1280"/>
      <c r="GZU22" s="1280"/>
      <c r="GZV22" s="1280"/>
      <c r="GZW22" s="1280"/>
      <c r="GZX22" s="1280"/>
      <c r="GZY22" s="1280"/>
      <c r="GZZ22" s="1280"/>
      <c r="HAA22" s="1280"/>
      <c r="HAB22" s="1280"/>
      <c r="HAC22" s="1280"/>
      <c r="HAD22" s="1280"/>
      <c r="HAE22" s="1280"/>
      <c r="HAF22" s="1280"/>
      <c r="HAG22" s="1280"/>
      <c r="HAH22" s="1280"/>
      <c r="HAI22" s="1280"/>
      <c r="HAJ22" s="1280"/>
      <c r="HAK22" s="1280"/>
      <c r="HAL22" s="1280"/>
      <c r="HAM22" s="1280"/>
      <c r="HAN22" s="1280"/>
      <c r="HAO22" s="1280"/>
      <c r="HAP22" s="1280"/>
      <c r="HAQ22" s="1280"/>
      <c r="HAR22" s="1280"/>
      <c r="HAS22" s="1280"/>
      <c r="HAT22" s="1280"/>
      <c r="HAU22" s="1280"/>
      <c r="HAV22" s="1280"/>
      <c r="HAW22" s="1280"/>
      <c r="HAX22" s="1280"/>
      <c r="HAY22" s="1280"/>
      <c r="HAZ22" s="1280"/>
      <c r="HBA22" s="1280"/>
      <c r="HBB22" s="1280"/>
      <c r="HBC22" s="1280"/>
      <c r="HBD22" s="1280"/>
      <c r="HBE22" s="1280"/>
      <c r="HBF22" s="1280"/>
      <c r="HBG22" s="1280"/>
      <c r="HBH22" s="1280"/>
      <c r="HBI22" s="1280"/>
      <c r="HBJ22" s="1280"/>
      <c r="HBK22" s="1280"/>
      <c r="HBL22" s="1280"/>
      <c r="HBM22" s="1280"/>
      <c r="HBN22" s="1280"/>
      <c r="HBO22" s="1280"/>
      <c r="HBP22" s="1280"/>
      <c r="HBQ22" s="1280"/>
      <c r="HBR22" s="1280"/>
      <c r="HBS22" s="1280"/>
      <c r="HBT22" s="1280"/>
      <c r="HBU22" s="1280"/>
      <c r="HBV22" s="1280"/>
      <c r="HBW22" s="1280"/>
      <c r="HBX22" s="1280"/>
      <c r="HBY22" s="1280"/>
      <c r="HBZ22" s="1280"/>
      <c r="HCA22" s="1280"/>
      <c r="HCB22" s="1280"/>
      <c r="HCC22" s="1280"/>
      <c r="HCD22" s="1280"/>
      <c r="HCE22" s="1280"/>
      <c r="HCF22" s="1280"/>
      <c r="HCG22" s="1280"/>
      <c r="HCH22" s="1280"/>
      <c r="HCI22" s="1280"/>
      <c r="HCJ22" s="1280"/>
      <c r="HCK22" s="1280"/>
      <c r="HCL22" s="1280"/>
      <c r="HCM22" s="1280"/>
      <c r="HCN22" s="1280"/>
      <c r="HCO22" s="1280"/>
      <c r="HCP22" s="1280"/>
      <c r="HCQ22" s="1280"/>
      <c r="HCR22" s="1280"/>
      <c r="HCS22" s="1280"/>
      <c r="HCT22" s="1280"/>
      <c r="HCU22" s="1280"/>
      <c r="HCV22" s="1280"/>
      <c r="HCW22" s="1280"/>
      <c r="HCX22" s="1280"/>
      <c r="HCY22" s="1280"/>
      <c r="HCZ22" s="1280"/>
      <c r="HDA22" s="1280"/>
      <c r="HDB22" s="1280"/>
      <c r="HDC22" s="1280"/>
      <c r="HDD22" s="1280"/>
      <c r="HDE22" s="1280"/>
      <c r="HDF22" s="1280"/>
      <c r="HDG22" s="1280"/>
      <c r="HDH22" s="1280"/>
      <c r="HDI22" s="1280"/>
      <c r="HDJ22" s="1280"/>
      <c r="HDK22" s="1280"/>
      <c r="HDL22" s="1280"/>
      <c r="HDM22" s="1280"/>
      <c r="HDN22" s="1280"/>
      <c r="HDO22" s="1280"/>
      <c r="HDP22" s="1280"/>
      <c r="HDQ22" s="1280"/>
      <c r="HDR22" s="1280"/>
      <c r="HDS22" s="1280"/>
      <c r="HDT22" s="1280"/>
      <c r="HDU22" s="1280"/>
      <c r="HDV22" s="1280"/>
      <c r="HDW22" s="1280"/>
      <c r="HDX22" s="1280"/>
      <c r="HDY22" s="1280"/>
      <c r="HDZ22" s="1280"/>
      <c r="HEA22" s="1280"/>
      <c r="HEB22" s="1280"/>
      <c r="HEC22" s="1280"/>
      <c r="HED22" s="1280"/>
      <c r="HEE22" s="1280"/>
      <c r="HEF22" s="1280"/>
      <c r="HEG22" s="1280"/>
      <c r="HEH22" s="1280"/>
      <c r="HEI22" s="1280"/>
      <c r="HEJ22" s="1280"/>
      <c r="HEK22" s="1280"/>
      <c r="HEL22" s="1280"/>
      <c r="HEM22" s="1280"/>
      <c r="HEN22" s="1280"/>
      <c r="HEO22" s="1280"/>
      <c r="HEP22" s="1280"/>
      <c r="HEQ22" s="1280"/>
      <c r="HER22" s="1280"/>
      <c r="HES22" s="1280"/>
      <c r="HET22" s="1280"/>
      <c r="HEU22" s="1280"/>
      <c r="HEV22" s="1280"/>
      <c r="HEW22" s="1280"/>
      <c r="HEX22" s="1280"/>
      <c r="HEY22" s="1280"/>
      <c r="HEZ22" s="1280"/>
      <c r="HFA22" s="1280"/>
      <c r="HFB22" s="1280"/>
      <c r="HFC22" s="1280"/>
      <c r="HFD22" s="1280"/>
      <c r="HFE22" s="1280"/>
      <c r="HFF22" s="1280"/>
      <c r="HFG22" s="1280"/>
      <c r="HFH22" s="1280"/>
      <c r="HFI22" s="1280"/>
      <c r="HFJ22" s="1280"/>
      <c r="HFK22" s="1280"/>
      <c r="HFL22" s="1280"/>
      <c r="HFM22" s="1280"/>
      <c r="HFN22" s="1280"/>
      <c r="HFO22" s="1280"/>
      <c r="HFP22" s="1280"/>
      <c r="HFQ22" s="1280"/>
      <c r="HFR22" s="1280"/>
      <c r="HFS22" s="1280"/>
      <c r="HFT22" s="1280"/>
      <c r="HFU22" s="1280"/>
      <c r="HFV22" s="1280"/>
      <c r="HFW22" s="1280"/>
      <c r="HFX22" s="1280"/>
      <c r="HFY22" s="1280"/>
      <c r="HFZ22" s="1280"/>
      <c r="HGA22" s="1280"/>
      <c r="HGB22" s="1280"/>
      <c r="HGC22" s="1280"/>
      <c r="HGD22" s="1280"/>
      <c r="HGE22" s="1280"/>
      <c r="HGF22" s="1280"/>
      <c r="HGG22" s="1280"/>
      <c r="HGH22" s="1280"/>
      <c r="HGI22" s="1280"/>
      <c r="HGJ22" s="1280"/>
      <c r="HGK22" s="1280"/>
      <c r="HGL22" s="1280"/>
      <c r="HGM22" s="1280"/>
      <c r="HGN22" s="1280"/>
      <c r="HGO22" s="1280"/>
      <c r="HGP22" s="1280"/>
      <c r="HGQ22" s="1280"/>
      <c r="HGR22" s="1280"/>
      <c r="HGS22" s="1280"/>
      <c r="HGT22" s="1280"/>
      <c r="HGU22" s="1280"/>
      <c r="HGV22" s="1280"/>
      <c r="HGW22" s="1280"/>
      <c r="HGX22" s="1280"/>
      <c r="HGY22" s="1280"/>
      <c r="HGZ22" s="1280"/>
      <c r="HHA22" s="1280"/>
      <c r="HHB22" s="1280"/>
      <c r="HHC22" s="1280"/>
      <c r="HHD22" s="1280"/>
      <c r="HHE22" s="1280"/>
      <c r="HHF22" s="1280"/>
      <c r="HHG22" s="1280"/>
      <c r="HHH22" s="1280"/>
      <c r="HHI22" s="1280"/>
      <c r="HHJ22" s="1280"/>
      <c r="HHK22" s="1280"/>
      <c r="HHL22" s="1280"/>
      <c r="HHM22" s="1280"/>
      <c r="HHN22" s="1280"/>
      <c r="HHO22" s="1280"/>
      <c r="HHP22" s="1280"/>
      <c r="HHQ22" s="1280"/>
      <c r="HHR22" s="1280"/>
      <c r="HHS22" s="1280"/>
      <c r="HHT22" s="1280"/>
      <c r="HHU22" s="1280"/>
      <c r="HHV22" s="1280"/>
      <c r="HHW22" s="1280"/>
      <c r="HHX22" s="1280"/>
      <c r="HHY22" s="1280"/>
      <c r="HHZ22" s="1280"/>
      <c r="HIA22" s="1280"/>
      <c r="HIB22" s="1280"/>
      <c r="HIC22" s="1280"/>
      <c r="HID22" s="1280"/>
      <c r="HIE22" s="1280"/>
      <c r="HIF22" s="1280"/>
      <c r="HIG22" s="1280"/>
      <c r="HIH22" s="1280"/>
      <c r="HII22" s="1280"/>
      <c r="HIJ22" s="1280"/>
      <c r="HIK22" s="1280"/>
      <c r="HIL22" s="1280"/>
      <c r="HIM22" s="1280"/>
      <c r="HIN22" s="1280"/>
      <c r="HIO22" s="1280"/>
      <c r="HIP22" s="1280"/>
      <c r="HIQ22" s="1280"/>
      <c r="HIR22" s="1280"/>
      <c r="HIS22" s="1280"/>
      <c r="HIT22" s="1280"/>
      <c r="HIU22" s="1280"/>
      <c r="HIV22" s="1280"/>
      <c r="HIW22" s="1280"/>
      <c r="HIX22" s="1280"/>
      <c r="HIY22" s="1280"/>
      <c r="HIZ22" s="1280"/>
      <c r="HJA22" s="1280"/>
      <c r="HJB22" s="1280"/>
      <c r="HJC22" s="1280"/>
      <c r="HJD22" s="1280"/>
      <c r="HJE22" s="1280"/>
      <c r="HJF22" s="1280"/>
      <c r="HJG22" s="1280"/>
      <c r="HJH22" s="1280"/>
      <c r="HJI22" s="1280"/>
      <c r="HJJ22" s="1280"/>
      <c r="HJK22" s="1280"/>
      <c r="HJL22" s="1280"/>
      <c r="HJM22" s="1280"/>
      <c r="HJN22" s="1280"/>
      <c r="HJO22" s="1280"/>
      <c r="HJP22" s="1280"/>
      <c r="HJQ22" s="1280"/>
      <c r="HJR22" s="1280"/>
      <c r="HJS22" s="1280"/>
      <c r="HJT22" s="1280"/>
      <c r="HJU22" s="1280"/>
      <c r="HJV22" s="1280"/>
      <c r="HJW22" s="1280"/>
      <c r="HJX22" s="1280"/>
      <c r="HJY22" s="1280"/>
      <c r="HJZ22" s="1280"/>
      <c r="HKA22" s="1280"/>
      <c r="HKB22" s="1280"/>
      <c r="HKC22" s="1280"/>
      <c r="HKD22" s="1280"/>
      <c r="HKE22" s="1280"/>
      <c r="HKF22" s="1280"/>
      <c r="HKG22" s="1280"/>
      <c r="HKH22" s="1280"/>
      <c r="HKI22" s="1280"/>
      <c r="HKJ22" s="1280"/>
      <c r="HKK22" s="1280"/>
      <c r="HKL22" s="1280"/>
      <c r="HKM22" s="1280"/>
      <c r="HKN22" s="1280"/>
      <c r="HKO22" s="1280"/>
      <c r="HKP22" s="1280"/>
      <c r="HKQ22" s="1280"/>
      <c r="HKR22" s="1280"/>
      <c r="HKS22" s="1280"/>
      <c r="HKT22" s="1280"/>
      <c r="HKU22" s="1280"/>
      <c r="HKV22" s="1280"/>
      <c r="HKW22" s="1280"/>
      <c r="HKX22" s="1280"/>
      <c r="HKY22" s="1280"/>
      <c r="HKZ22" s="1280"/>
      <c r="HLA22" s="1280"/>
      <c r="HLB22" s="1280"/>
      <c r="HLC22" s="1280"/>
      <c r="HLD22" s="1280"/>
      <c r="HLE22" s="1280"/>
      <c r="HLF22" s="1280"/>
      <c r="HLG22" s="1280"/>
      <c r="HLH22" s="1280"/>
      <c r="HLI22" s="1280"/>
      <c r="HLJ22" s="1280"/>
      <c r="HLK22" s="1280"/>
      <c r="HLL22" s="1280"/>
      <c r="HLM22" s="1280"/>
      <c r="HLN22" s="1280"/>
      <c r="HLO22" s="1280"/>
      <c r="HLP22" s="1280"/>
      <c r="HLQ22" s="1280"/>
      <c r="HLR22" s="1280"/>
      <c r="HLS22" s="1280"/>
      <c r="HLT22" s="1280"/>
      <c r="HLU22" s="1280"/>
      <c r="HLV22" s="1280"/>
      <c r="HLW22" s="1280"/>
      <c r="HLX22" s="1280"/>
      <c r="HLY22" s="1280"/>
      <c r="HLZ22" s="1280"/>
      <c r="HMA22" s="1280"/>
      <c r="HMB22" s="1280"/>
      <c r="HMC22" s="1280"/>
      <c r="HMD22" s="1280"/>
      <c r="HME22" s="1280"/>
      <c r="HMF22" s="1280"/>
      <c r="HMG22" s="1280"/>
      <c r="HMH22" s="1280"/>
      <c r="HMI22" s="1280"/>
      <c r="HMJ22" s="1280"/>
      <c r="HMK22" s="1280"/>
      <c r="HML22" s="1280"/>
      <c r="HMM22" s="1280"/>
      <c r="HMN22" s="1280"/>
      <c r="HMO22" s="1280"/>
      <c r="HMP22" s="1280"/>
      <c r="HMQ22" s="1280"/>
      <c r="HMR22" s="1280"/>
      <c r="HMS22" s="1280"/>
      <c r="HMT22" s="1280"/>
      <c r="HMU22" s="1280"/>
      <c r="HMV22" s="1280"/>
      <c r="HMW22" s="1280"/>
      <c r="HMX22" s="1280"/>
      <c r="HMY22" s="1280"/>
      <c r="HMZ22" s="1280"/>
      <c r="HNA22" s="1280"/>
      <c r="HNB22" s="1280"/>
      <c r="HNC22" s="1280"/>
      <c r="HND22" s="1280"/>
      <c r="HNE22" s="1280"/>
      <c r="HNF22" s="1280"/>
      <c r="HNG22" s="1280"/>
      <c r="HNH22" s="1280"/>
      <c r="HNI22" s="1280"/>
      <c r="HNJ22" s="1280"/>
      <c r="HNK22" s="1280"/>
      <c r="HNL22" s="1280"/>
      <c r="HNM22" s="1280"/>
      <c r="HNN22" s="1280"/>
      <c r="HNO22" s="1280"/>
      <c r="HNP22" s="1280"/>
      <c r="HNQ22" s="1280"/>
      <c r="HNR22" s="1280"/>
      <c r="HNS22" s="1280"/>
      <c r="HNT22" s="1280"/>
      <c r="HNU22" s="1280"/>
      <c r="HNV22" s="1280"/>
      <c r="HNW22" s="1280"/>
      <c r="HNX22" s="1280"/>
      <c r="HNY22" s="1280"/>
      <c r="HNZ22" s="1280"/>
      <c r="HOA22" s="1280"/>
      <c r="HOB22" s="1280"/>
      <c r="HOC22" s="1280"/>
      <c r="HOD22" s="1280"/>
      <c r="HOE22" s="1280"/>
      <c r="HOF22" s="1280"/>
      <c r="HOG22" s="1280"/>
      <c r="HOH22" s="1280"/>
      <c r="HOI22" s="1280"/>
      <c r="HOJ22" s="1280"/>
      <c r="HOK22" s="1280"/>
      <c r="HOL22" s="1280"/>
      <c r="HOM22" s="1280"/>
      <c r="HON22" s="1280"/>
      <c r="HOO22" s="1280"/>
      <c r="HOP22" s="1280"/>
      <c r="HOQ22" s="1280"/>
      <c r="HOR22" s="1280"/>
      <c r="HOS22" s="1280"/>
      <c r="HOT22" s="1280"/>
      <c r="HOU22" s="1280"/>
      <c r="HOV22" s="1280"/>
      <c r="HOW22" s="1280"/>
      <c r="HOX22" s="1280"/>
      <c r="HOY22" s="1280"/>
      <c r="HOZ22" s="1280"/>
      <c r="HPA22" s="1280"/>
      <c r="HPB22" s="1280"/>
      <c r="HPC22" s="1280"/>
      <c r="HPD22" s="1280"/>
      <c r="HPE22" s="1280"/>
      <c r="HPF22" s="1280"/>
      <c r="HPG22" s="1280"/>
      <c r="HPH22" s="1280"/>
      <c r="HPI22" s="1280"/>
      <c r="HPJ22" s="1280"/>
      <c r="HPK22" s="1280"/>
      <c r="HPL22" s="1280"/>
      <c r="HPM22" s="1280"/>
      <c r="HPN22" s="1280"/>
      <c r="HPO22" s="1280"/>
      <c r="HPP22" s="1280"/>
      <c r="HPQ22" s="1280"/>
      <c r="HPR22" s="1280"/>
      <c r="HPS22" s="1280"/>
      <c r="HPT22" s="1280"/>
      <c r="HPU22" s="1280"/>
      <c r="HPV22" s="1280"/>
      <c r="HPW22" s="1280"/>
      <c r="HPX22" s="1280"/>
      <c r="HPY22" s="1280"/>
      <c r="HPZ22" s="1280"/>
      <c r="HQA22" s="1280"/>
      <c r="HQB22" s="1280"/>
      <c r="HQC22" s="1280"/>
      <c r="HQD22" s="1280"/>
      <c r="HQE22" s="1280"/>
      <c r="HQF22" s="1280"/>
      <c r="HQG22" s="1280"/>
      <c r="HQH22" s="1280"/>
      <c r="HQI22" s="1280"/>
      <c r="HQJ22" s="1280"/>
      <c r="HQK22" s="1280"/>
      <c r="HQL22" s="1280"/>
      <c r="HQM22" s="1280"/>
      <c r="HQN22" s="1280"/>
      <c r="HQO22" s="1280"/>
      <c r="HQP22" s="1280"/>
      <c r="HQQ22" s="1280"/>
      <c r="HQR22" s="1280"/>
      <c r="HQS22" s="1280"/>
      <c r="HQT22" s="1280"/>
      <c r="HQU22" s="1280"/>
      <c r="HQV22" s="1280"/>
      <c r="HQW22" s="1280"/>
      <c r="HQX22" s="1280"/>
      <c r="HQY22" s="1280"/>
      <c r="HQZ22" s="1280"/>
      <c r="HRA22" s="1280"/>
      <c r="HRB22" s="1280"/>
      <c r="HRC22" s="1280"/>
      <c r="HRD22" s="1280"/>
      <c r="HRE22" s="1280"/>
      <c r="HRF22" s="1280"/>
      <c r="HRG22" s="1280"/>
      <c r="HRH22" s="1280"/>
      <c r="HRI22" s="1280"/>
      <c r="HRJ22" s="1280"/>
      <c r="HRK22" s="1280"/>
      <c r="HRL22" s="1280"/>
      <c r="HRM22" s="1280"/>
      <c r="HRN22" s="1280"/>
      <c r="HRO22" s="1280"/>
      <c r="HRP22" s="1280"/>
      <c r="HRQ22" s="1280"/>
      <c r="HRR22" s="1280"/>
      <c r="HRS22" s="1280"/>
      <c r="HRT22" s="1280"/>
      <c r="HRU22" s="1280"/>
      <c r="HRV22" s="1280"/>
      <c r="HRW22" s="1280"/>
      <c r="HRX22" s="1280"/>
      <c r="HRY22" s="1280"/>
      <c r="HRZ22" s="1280"/>
      <c r="HSA22" s="1280"/>
      <c r="HSB22" s="1280"/>
      <c r="HSC22" s="1280"/>
      <c r="HSD22" s="1280"/>
      <c r="HSE22" s="1280"/>
      <c r="HSF22" s="1280"/>
      <c r="HSG22" s="1280"/>
      <c r="HSH22" s="1280"/>
      <c r="HSI22" s="1280"/>
      <c r="HSJ22" s="1280"/>
      <c r="HSK22" s="1280"/>
      <c r="HSL22" s="1280"/>
      <c r="HSM22" s="1280"/>
      <c r="HSN22" s="1280"/>
      <c r="HSO22" s="1280"/>
      <c r="HSP22" s="1280"/>
      <c r="HSQ22" s="1280"/>
      <c r="HSR22" s="1280"/>
      <c r="HSS22" s="1280"/>
      <c r="HST22" s="1280"/>
      <c r="HSU22" s="1280"/>
      <c r="HSV22" s="1280"/>
      <c r="HSW22" s="1280"/>
      <c r="HSX22" s="1280"/>
      <c r="HSY22" s="1280"/>
      <c r="HSZ22" s="1280"/>
      <c r="HTA22" s="1280"/>
      <c r="HTB22" s="1280"/>
      <c r="HTC22" s="1280"/>
      <c r="HTD22" s="1280"/>
      <c r="HTE22" s="1280"/>
      <c r="HTF22" s="1280"/>
      <c r="HTG22" s="1280"/>
      <c r="HTH22" s="1280"/>
      <c r="HTI22" s="1280"/>
      <c r="HTJ22" s="1280"/>
      <c r="HTK22" s="1280"/>
      <c r="HTL22" s="1280"/>
      <c r="HTM22" s="1280"/>
      <c r="HTN22" s="1280"/>
      <c r="HTO22" s="1280"/>
      <c r="HTP22" s="1280"/>
      <c r="HTQ22" s="1280"/>
      <c r="HTR22" s="1280"/>
      <c r="HTS22" s="1280"/>
      <c r="HTT22" s="1280"/>
      <c r="HTU22" s="1280"/>
      <c r="HTV22" s="1280"/>
      <c r="HTW22" s="1280"/>
      <c r="HTX22" s="1280"/>
      <c r="HTY22" s="1280"/>
      <c r="HTZ22" s="1280"/>
      <c r="HUA22" s="1280"/>
      <c r="HUB22" s="1280"/>
      <c r="HUC22" s="1280"/>
      <c r="HUD22" s="1280"/>
      <c r="HUE22" s="1280"/>
      <c r="HUF22" s="1280"/>
      <c r="HUG22" s="1280"/>
      <c r="HUH22" s="1280"/>
      <c r="HUI22" s="1280"/>
      <c r="HUJ22" s="1280"/>
      <c r="HUK22" s="1280"/>
      <c r="HUL22" s="1280"/>
      <c r="HUM22" s="1280"/>
      <c r="HUN22" s="1280"/>
      <c r="HUO22" s="1280"/>
      <c r="HUP22" s="1280"/>
      <c r="HUQ22" s="1280"/>
      <c r="HUR22" s="1280"/>
      <c r="HUS22" s="1280"/>
      <c r="HUT22" s="1280"/>
      <c r="HUU22" s="1280"/>
      <c r="HUV22" s="1280"/>
      <c r="HUW22" s="1280"/>
      <c r="HUX22" s="1280"/>
      <c r="HUY22" s="1280"/>
      <c r="HUZ22" s="1280"/>
      <c r="HVA22" s="1280"/>
      <c r="HVB22" s="1280"/>
      <c r="HVC22" s="1280"/>
      <c r="HVD22" s="1280"/>
      <c r="HVE22" s="1280"/>
      <c r="HVF22" s="1280"/>
      <c r="HVG22" s="1280"/>
      <c r="HVH22" s="1280"/>
      <c r="HVI22" s="1280"/>
      <c r="HVJ22" s="1280"/>
      <c r="HVK22" s="1280"/>
      <c r="HVL22" s="1280"/>
      <c r="HVM22" s="1280"/>
      <c r="HVN22" s="1280"/>
      <c r="HVO22" s="1280"/>
      <c r="HVP22" s="1280"/>
      <c r="HVQ22" s="1280"/>
      <c r="HVR22" s="1280"/>
      <c r="HVS22" s="1280"/>
      <c r="HVT22" s="1280"/>
      <c r="HVU22" s="1280"/>
      <c r="HVV22" s="1280"/>
      <c r="HVW22" s="1280"/>
      <c r="HVX22" s="1280"/>
      <c r="HVY22" s="1280"/>
      <c r="HVZ22" s="1280"/>
      <c r="HWA22" s="1280"/>
      <c r="HWB22" s="1280"/>
      <c r="HWC22" s="1280"/>
      <c r="HWD22" s="1280"/>
      <c r="HWE22" s="1280"/>
      <c r="HWF22" s="1280"/>
      <c r="HWG22" s="1280"/>
      <c r="HWH22" s="1280"/>
      <c r="HWI22" s="1280"/>
      <c r="HWJ22" s="1280"/>
      <c r="HWK22" s="1280"/>
      <c r="HWL22" s="1280"/>
      <c r="HWM22" s="1280"/>
      <c r="HWN22" s="1280"/>
      <c r="HWO22" s="1280"/>
      <c r="HWP22" s="1280"/>
      <c r="HWQ22" s="1280"/>
      <c r="HWR22" s="1280"/>
      <c r="HWS22" s="1280"/>
      <c r="HWT22" s="1280"/>
      <c r="HWU22" s="1280"/>
      <c r="HWV22" s="1280"/>
      <c r="HWW22" s="1280"/>
      <c r="HWX22" s="1280"/>
      <c r="HWY22" s="1280"/>
      <c r="HWZ22" s="1280"/>
      <c r="HXA22" s="1280"/>
      <c r="HXB22" s="1280"/>
      <c r="HXC22" s="1280"/>
      <c r="HXD22" s="1280"/>
      <c r="HXE22" s="1280"/>
      <c r="HXF22" s="1280"/>
      <c r="HXG22" s="1280"/>
      <c r="HXH22" s="1280"/>
      <c r="HXI22" s="1280"/>
      <c r="HXJ22" s="1280"/>
      <c r="HXK22" s="1280"/>
      <c r="HXL22" s="1280"/>
      <c r="HXM22" s="1280"/>
      <c r="HXN22" s="1280"/>
      <c r="HXO22" s="1280"/>
      <c r="HXP22" s="1280"/>
      <c r="HXQ22" s="1280"/>
      <c r="HXR22" s="1280"/>
      <c r="HXS22" s="1280"/>
      <c r="HXT22" s="1280"/>
      <c r="HXU22" s="1280"/>
      <c r="HXV22" s="1280"/>
      <c r="HXW22" s="1280"/>
      <c r="HXX22" s="1280"/>
      <c r="HXY22" s="1280"/>
      <c r="HXZ22" s="1280"/>
      <c r="HYA22" s="1280"/>
      <c r="HYB22" s="1280"/>
      <c r="HYC22" s="1280"/>
      <c r="HYD22" s="1280"/>
      <c r="HYE22" s="1280"/>
      <c r="HYF22" s="1280"/>
      <c r="HYG22" s="1280"/>
      <c r="HYH22" s="1280"/>
      <c r="HYI22" s="1280"/>
      <c r="HYJ22" s="1280"/>
      <c r="HYK22" s="1280"/>
      <c r="HYL22" s="1280"/>
      <c r="HYM22" s="1280"/>
      <c r="HYN22" s="1280"/>
      <c r="HYO22" s="1280"/>
      <c r="HYP22" s="1280"/>
      <c r="HYQ22" s="1280"/>
      <c r="HYR22" s="1280"/>
      <c r="HYS22" s="1280"/>
      <c r="HYT22" s="1280"/>
      <c r="HYU22" s="1280"/>
      <c r="HYV22" s="1280"/>
      <c r="HYW22" s="1280"/>
      <c r="HYX22" s="1280"/>
      <c r="HYY22" s="1280"/>
      <c r="HYZ22" s="1280"/>
      <c r="HZA22" s="1280"/>
      <c r="HZB22" s="1280"/>
      <c r="HZC22" s="1280"/>
      <c r="HZD22" s="1280"/>
      <c r="HZE22" s="1280"/>
      <c r="HZF22" s="1280"/>
      <c r="HZG22" s="1280"/>
      <c r="HZH22" s="1280"/>
      <c r="HZI22" s="1280"/>
      <c r="HZJ22" s="1280"/>
      <c r="HZK22" s="1280"/>
      <c r="HZL22" s="1280"/>
      <c r="HZM22" s="1280"/>
      <c r="HZN22" s="1280"/>
      <c r="HZO22" s="1280"/>
      <c r="HZP22" s="1280"/>
      <c r="HZQ22" s="1280"/>
      <c r="HZR22" s="1280"/>
      <c r="HZS22" s="1280"/>
      <c r="HZT22" s="1280"/>
      <c r="HZU22" s="1280"/>
      <c r="HZV22" s="1280"/>
      <c r="HZW22" s="1280"/>
      <c r="HZX22" s="1280"/>
      <c r="HZY22" s="1280"/>
      <c r="HZZ22" s="1280"/>
      <c r="IAA22" s="1280"/>
      <c r="IAB22" s="1280"/>
      <c r="IAC22" s="1280"/>
      <c r="IAD22" s="1280"/>
      <c r="IAE22" s="1280"/>
      <c r="IAF22" s="1280"/>
      <c r="IAG22" s="1280"/>
      <c r="IAH22" s="1280"/>
      <c r="IAI22" s="1280"/>
      <c r="IAJ22" s="1280"/>
      <c r="IAK22" s="1280"/>
      <c r="IAL22" s="1280"/>
      <c r="IAM22" s="1280"/>
      <c r="IAN22" s="1280"/>
      <c r="IAO22" s="1280"/>
      <c r="IAP22" s="1280"/>
      <c r="IAQ22" s="1280"/>
      <c r="IAR22" s="1280"/>
      <c r="IAS22" s="1280"/>
      <c r="IAT22" s="1280"/>
      <c r="IAU22" s="1280"/>
      <c r="IAV22" s="1280"/>
      <c r="IAW22" s="1280"/>
      <c r="IAX22" s="1280"/>
      <c r="IAY22" s="1280"/>
      <c r="IAZ22" s="1280"/>
      <c r="IBA22" s="1280"/>
      <c r="IBB22" s="1280"/>
      <c r="IBC22" s="1280"/>
      <c r="IBD22" s="1280"/>
      <c r="IBE22" s="1280"/>
      <c r="IBF22" s="1280"/>
      <c r="IBG22" s="1280"/>
      <c r="IBH22" s="1280"/>
      <c r="IBI22" s="1280"/>
      <c r="IBJ22" s="1280"/>
      <c r="IBK22" s="1280"/>
      <c r="IBL22" s="1280"/>
      <c r="IBM22" s="1280"/>
      <c r="IBN22" s="1280"/>
      <c r="IBO22" s="1280"/>
      <c r="IBP22" s="1280"/>
      <c r="IBQ22" s="1280"/>
      <c r="IBR22" s="1280"/>
      <c r="IBS22" s="1280"/>
      <c r="IBT22" s="1280"/>
      <c r="IBU22" s="1280"/>
      <c r="IBV22" s="1280"/>
      <c r="IBW22" s="1280"/>
      <c r="IBX22" s="1280"/>
      <c r="IBY22" s="1280"/>
      <c r="IBZ22" s="1280"/>
      <c r="ICA22" s="1280"/>
      <c r="ICB22" s="1280"/>
      <c r="ICC22" s="1280"/>
      <c r="ICD22" s="1280"/>
      <c r="ICE22" s="1280"/>
      <c r="ICF22" s="1280"/>
      <c r="ICG22" s="1280"/>
      <c r="ICH22" s="1280"/>
      <c r="ICI22" s="1280"/>
      <c r="ICJ22" s="1280"/>
      <c r="ICK22" s="1280"/>
      <c r="ICL22" s="1280"/>
      <c r="ICM22" s="1280"/>
      <c r="ICN22" s="1280"/>
      <c r="ICO22" s="1280"/>
      <c r="ICP22" s="1280"/>
      <c r="ICQ22" s="1280"/>
      <c r="ICR22" s="1280"/>
      <c r="ICS22" s="1280"/>
      <c r="ICT22" s="1280"/>
      <c r="ICU22" s="1280"/>
      <c r="ICV22" s="1280"/>
      <c r="ICW22" s="1280"/>
      <c r="ICX22" s="1280"/>
      <c r="ICY22" s="1280"/>
      <c r="ICZ22" s="1280"/>
      <c r="IDA22" s="1280"/>
      <c r="IDB22" s="1280"/>
      <c r="IDC22" s="1280"/>
      <c r="IDD22" s="1280"/>
      <c r="IDE22" s="1280"/>
      <c r="IDF22" s="1280"/>
      <c r="IDG22" s="1280"/>
      <c r="IDH22" s="1280"/>
      <c r="IDI22" s="1280"/>
      <c r="IDJ22" s="1280"/>
      <c r="IDK22" s="1280"/>
      <c r="IDL22" s="1280"/>
      <c r="IDM22" s="1280"/>
      <c r="IDN22" s="1280"/>
      <c r="IDO22" s="1280"/>
      <c r="IDP22" s="1280"/>
      <c r="IDQ22" s="1280"/>
      <c r="IDR22" s="1280"/>
      <c r="IDS22" s="1280"/>
      <c r="IDT22" s="1280"/>
      <c r="IDU22" s="1280"/>
      <c r="IDV22" s="1280"/>
      <c r="IDW22" s="1280"/>
      <c r="IDX22" s="1280"/>
      <c r="IDY22" s="1280"/>
      <c r="IDZ22" s="1280"/>
      <c r="IEA22" s="1280"/>
      <c r="IEB22" s="1280"/>
      <c r="IEC22" s="1280"/>
      <c r="IED22" s="1280"/>
      <c r="IEE22" s="1280"/>
      <c r="IEF22" s="1280"/>
      <c r="IEG22" s="1280"/>
      <c r="IEH22" s="1280"/>
      <c r="IEI22" s="1280"/>
      <c r="IEJ22" s="1280"/>
      <c r="IEK22" s="1280"/>
      <c r="IEL22" s="1280"/>
      <c r="IEM22" s="1280"/>
      <c r="IEN22" s="1280"/>
      <c r="IEO22" s="1280"/>
      <c r="IEP22" s="1280"/>
      <c r="IEQ22" s="1280"/>
      <c r="IER22" s="1280"/>
      <c r="IES22" s="1280"/>
      <c r="IET22" s="1280"/>
      <c r="IEU22" s="1280"/>
      <c r="IEV22" s="1280"/>
      <c r="IEW22" s="1280"/>
      <c r="IEX22" s="1280"/>
      <c r="IEY22" s="1280"/>
      <c r="IEZ22" s="1280"/>
      <c r="IFA22" s="1280"/>
      <c r="IFB22" s="1280"/>
      <c r="IFC22" s="1280"/>
      <c r="IFD22" s="1280"/>
      <c r="IFE22" s="1280"/>
      <c r="IFF22" s="1280"/>
      <c r="IFG22" s="1280"/>
      <c r="IFH22" s="1280"/>
      <c r="IFI22" s="1280"/>
      <c r="IFJ22" s="1280"/>
      <c r="IFK22" s="1280"/>
      <c r="IFL22" s="1280"/>
      <c r="IFM22" s="1280"/>
      <c r="IFN22" s="1280"/>
      <c r="IFO22" s="1280"/>
      <c r="IFP22" s="1280"/>
      <c r="IFQ22" s="1280"/>
      <c r="IFR22" s="1280"/>
      <c r="IFS22" s="1280"/>
      <c r="IFT22" s="1280"/>
      <c r="IFU22" s="1280"/>
      <c r="IFV22" s="1280"/>
      <c r="IFW22" s="1280"/>
      <c r="IFX22" s="1280"/>
      <c r="IFY22" s="1280"/>
      <c r="IFZ22" s="1280"/>
      <c r="IGA22" s="1280"/>
      <c r="IGB22" s="1280"/>
      <c r="IGC22" s="1280"/>
      <c r="IGD22" s="1280"/>
      <c r="IGE22" s="1280"/>
      <c r="IGF22" s="1280"/>
      <c r="IGG22" s="1280"/>
      <c r="IGH22" s="1280"/>
      <c r="IGI22" s="1280"/>
      <c r="IGJ22" s="1280"/>
      <c r="IGK22" s="1280"/>
      <c r="IGL22" s="1280"/>
      <c r="IGM22" s="1280"/>
      <c r="IGN22" s="1280"/>
      <c r="IGO22" s="1280"/>
      <c r="IGP22" s="1280"/>
      <c r="IGQ22" s="1280"/>
      <c r="IGR22" s="1280"/>
      <c r="IGS22" s="1280"/>
      <c r="IGT22" s="1280"/>
      <c r="IGU22" s="1280"/>
      <c r="IGV22" s="1280"/>
      <c r="IGW22" s="1280"/>
      <c r="IGX22" s="1280"/>
      <c r="IGY22" s="1280"/>
      <c r="IGZ22" s="1280"/>
      <c r="IHA22" s="1280"/>
      <c r="IHB22" s="1280"/>
      <c r="IHC22" s="1280"/>
      <c r="IHD22" s="1280"/>
      <c r="IHE22" s="1280"/>
      <c r="IHF22" s="1280"/>
      <c r="IHG22" s="1280"/>
      <c r="IHH22" s="1280"/>
      <c r="IHI22" s="1280"/>
      <c r="IHJ22" s="1280"/>
      <c r="IHK22" s="1280"/>
      <c r="IHL22" s="1280"/>
      <c r="IHM22" s="1280"/>
      <c r="IHN22" s="1280"/>
      <c r="IHO22" s="1280"/>
      <c r="IHP22" s="1280"/>
      <c r="IHQ22" s="1280"/>
      <c r="IHR22" s="1280"/>
      <c r="IHS22" s="1280"/>
      <c r="IHT22" s="1280"/>
      <c r="IHU22" s="1280"/>
      <c r="IHV22" s="1280"/>
      <c r="IHW22" s="1280"/>
      <c r="IHX22" s="1280"/>
      <c r="IHY22" s="1280"/>
      <c r="IHZ22" s="1280"/>
      <c r="IIA22" s="1280"/>
      <c r="IIB22" s="1280"/>
      <c r="IIC22" s="1280"/>
      <c r="IID22" s="1280"/>
      <c r="IIE22" s="1280"/>
      <c r="IIF22" s="1280"/>
      <c r="IIG22" s="1280"/>
      <c r="IIH22" s="1280"/>
      <c r="III22" s="1280"/>
      <c r="IIJ22" s="1280"/>
      <c r="IIK22" s="1280"/>
      <c r="IIL22" s="1280"/>
      <c r="IIM22" s="1280"/>
      <c r="IIN22" s="1280"/>
      <c r="IIO22" s="1280"/>
      <c r="IIP22" s="1280"/>
      <c r="IIQ22" s="1280"/>
      <c r="IIR22" s="1280"/>
      <c r="IIS22" s="1280"/>
      <c r="IIT22" s="1280"/>
      <c r="IIU22" s="1280"/>
      <c r="IIV22" s="1280"/>
      <c r="IIW22" s="1280"/>
      <c r="IIX22" s="1280"/>
      <c r="IIY22" s="1280"/>
      <c r="IIZ22" s="1280"/>
      <c r="IJA22" s="1280"/>
      <c r="IJB22" s="1280"/>
      <c r="IJC22" s="1280"/>
      <c r="IJD22" s="1280"/>
      <c r="IJE22" s="1280"/>
      <c r="IJF22" s="1280"/>
      <c r="IJG22" s="1280"/>
      <c r="IJH22" s="1280"/>
      <c r="IJI22" s="1280"/>
      <c r="IJJ22" s="1280"/>
      <c r="IJK22" s="1280"/>
      <c r="IJL22" s="1280"/>
      <c r="IJM22" s="1280"/>
      <c r="IJN22" s="1280"/>
      <c r="IJO22" s="1280"/>
      <c r="IJP22" s="1280"/>
      <c r="IJQ22" s="1280"/>
      <c r="IJR22" s="1280"/>
      <c r="IJS22" s="1280"/>
      <c r="IJT22" s="1280"/>
      <c r="IJU22" s="1280"/>
      <c r="IJV22" s="1280"/>
      <c r="IJW22" s="1280"/>
      <c r="IJX22" s="1280"/>
      <c r="IJY22" s="1280"/>
      <c r="IJZ22" s="1280"/>
      <c r="IKA22" s="1280"/>
      <c r="IKB22" s="1280"/>
      <c r="IKC22" s="1280"/>
      <c r="IKD22" s="1280"/>
      <c r="IKE22" s="1280"/>
      <c r="IKF22" s="1280"/>
      <c r="IKG22" s="1280"/>
      <c r="IKH22" s="1280"/>
      <c r="IKI22" s="1280"/>
      <c r="IKJ22" s="1280"/>
      <c r="IKK22" s="1280"/>
      <c r="IKL22" s="1280"/>
      <c r="IKM22" s="1280"/>
      <c r="IKN22" s="1280"/>
      <c r="IKO22" s="1280"/>
      <c r="IKP22" s="1280"/>
      <c r="IKQ22" s="1280"/>
      <c r="IKR22" s="1280"/>
      <c r="IKS22" s="1280"/>
      <c r="IKT22" s="1280"/>
      <c r="IKU22" s="1280"/>
      <c r="IKV22" s="1280"/>
      <c r="IKW22" s="1280"/>
      <c r="IKX22" s="1280"/>
      <c r="IKY22" s="1280"/>
      <c r="IKZ22" s="1280"/>
      <c r="ILA22" s="1280"/>
      <c r="ILB22" s="1280"/>
      <c r="ILC22" s="1280"/>
      <c r="ILD22" s="1280"/>
      <c r="ILE22" s="1280"/>
      <c r="ILF22" s="1280"/>
      <c r="ILG22" s="1280"/>
      <c r="ILH22" s="1280"/>
      <c r="ILI22" s="1280"/>
      <c r="ILJ22" s="1280"/>
      <c r="ILK22" s="1280"/>
      <c r="ILL22" s="1280"/>
      <c r="ILM22" s="1280"/>
      <c r="ILN22" s="1280"/>
      <c r="ILO22" s="1280"/>
      <c r="ILP22" s="1280"/>
      <c r="ILQ22" s="1280"/>
      <c r="ILR22" s="1280"/>
      <c r="ILS22" s="1280"/>
      <c r="ILT22" s="1280"/>
      <c r="ILU22" s="1280"/>
      <c r="ILV22" s="1280"/>
      <c r="ILW22" s="1280"/>
      <c r="ILX22" s="1280"/>
      <c r="ILY22" s="1280"/>
      <c r="ILZ22" s="1280"/>
      <c r="IMA22" s="1280"/>
      <c r="IMB22" s="1280"/>
      <c r="IMC22" s="1280"/>
      <c r="IMD22" s="1280"/>
      <c r="IME22" s="1280"/>
      <c r="IMF22" s="1280"/>
      <c r="IMG22" s="1280"/>
      <c r="IMH22" s="1280"/>
      <c r="IMI22" s="1280"/>
      <c r="IMJ22" s="1280"/>
      <c r="IMK22" s="1280"/>
      <c r="IML22" s="1280"/>
      <c r="IMM22" s="1280"/>
      <c r="IMN22" s="1280"/>
      <c r="IMO22" s="1280"/>
      <c r="IMP22" s="1280"/>
      <c r="IMQ22" s="1280"/>
      <c r="IMR22" s="1280"/>
      <c r="IMS22" s="1280"/>
      <c r="IMT22" s="1280"/>
      <c r="IMU22" s="1280"/>
      <c r="IMV22" s="1280"/>
      <c r="IMW22" s="1280"/>
      <c r="IMX22" s="1280"/>
      <c r="IMY22" s="1280"/>
      <c r="IMZ22" s="1280"/>
      <c r="INA22" s="1280"/>
      <c r="INB22" s="1280"/>
      <c r="INC22" s="1280"/>
      <c r="IND22" s="1280"/>
      <c r="INE22" s="1280"/>
      <c r="INF22" s="1280"/>
      <c r="ING22" s="1280"/>
      <c r="INH22" s="1280"/>
      <c r="INI22" s="1280"/>
      <c r="INJ22" s="1280"/>
      <c r="INK22" s="1280"/>
      <c r="INL22" s="1280"/>
      <c r="INM22" s="1280"/>
      <c r="INN22" s="1280"/>
      <c r="INO22" s="1280"/>
      <c r="INP22" s="1280"/>
      <c r="INQ22" s="1280"/>
      <c r="INR22" s="1280"/>
      <c r="INS22" s="1280"/>
      <c r="INT22" s="1280"/>
      <c r="INU22" s="1280"/>
      <c r="INV22" s="1280"/>
      <c r="INW22" s="1280"/>
      <c r="INX22" s="1280"/>
      <c r="INY22" s="1280"/>
      <c r="INZ22" s="1280"/>
      <c r="IOA22" s="1280"/>
      <c r="IOB22" s="1280"/>
      <c r="IOC22" s="1280"/>
      <c r="IOD22" s="1280"/>
      <c r="IOE22" s="1280"/>
      <c r="IOF22" s="1280"/>
      <c r="IOG22" s="1280"/>
      <c r="IOH22" s="1280"/>
      <c r="IOI22" s="1280"/>
      <c r="IOJ22" s="1280"/>
      <c r="IOK22" s="1280"/>
      <c r="IOL22" s="1280"/>
      <c r="IOM22" s="1280"/>
      <c r="ION22" s="1280"/>
      <c r="IOO22" s="1280"/>
      <c r="IOP22" s="1280"/>
      <c r="IOQ22" s="1280"/>
      <c r="IOR22" s="1280"/>
      <c r="IOS22" s="1280"/>
      <c r="IOT22" s="1280"/>
      <c r="IOU22" s="1280"/>
      <c r="IOV22" s="1280"/>
      <c r="IOW22" s="1280"/>
      <c r="IOX22" s="1280"/>
      <c r="IOY22" s="1280"/>
      <c r="IOZ22" s="1280"/>
      <c r="IPA22" s="1280"/>
      <c r="IPB22" s="1280"/>
      <c r="IPC22" s="1280"/>
      <c r="IPD22" s="1280"/>
      <c r="IPE22" s="1280"/>
      <c r="IPF22" s="1280"/>
      <c r="IPG22" s="1280"/>
      <c r="IPH22" s="1280"/>
      <c r="IPI22" s="1280"/>
      <c r="IPJ22" s="1280"/>
      <c r="IPK22" s="1280"/>
      <c r="IPL22" s="1280"/>
      <c r="IPM22" s="1280"/>
      <c r="IPN22" s="1280"/>
      <c r="IPO22" s="1280"/>
      <c r="IPP22" s="1280"/>
      <c r="IPQ22" s="1280"/>
      <c r="IPR22" s="1280"/>
      <c r="IPS22" s="1280"/>
      <c r="IPT22" s="1280"/>
      <c r="IPU22" s="1280"/>
      <c r="IPV22" s="1280"/>
      <c r="IPW22" s="1280"/>
      <c r="IPX22" s="1280"/>
      <c r="IPY22" s="1280"/>
      <c r="IPZ22" s="1280"/>
      <c r="IQA22" s="1280"/>
      <c r="IQB22" s="1280"/>
      <c r="IQC22" s="1280"/>
      <c r="IQD22" s="1280"/>
      <c r="IQE22" s="1280"/>
      <c r="IQF22" s="1280"/>
      <c r="IQG22" s="1280"/>
      <c r="IQH22" s="1280"/>
      <c r="IQI22" s="1280"/>
      <c r="IQJ22" s="1280"/>
      <c r="IQK22" s="1280"/>
      <c r="IQL22" s="1280"/>
      <c r="IQM22" s="1280"/>
      <c r="IQN22" s="1280"/>
      <c r="IQO22" s="1280"/>
      <c r="IQP22" s="1280"/>
      <c r="IQQ22" s="1280"/>
      <c r="IQR22" s="1280"/>
      <c r="IQS22" s="1280"/>
      <c r="IQT22" s="1280"/>
      <c r="IQU22" s="1280"/>
      <c r="IQV22" s="1280"/>
      <c r="IQW22" s="1280"/>
      <c r="IQX22" s="1280"/>
      <c r="IQY22" s="1280"/>
      <c r="IQZ22" s="1280"/>
      <c r="IRA22" s="1280"/>
      <c r="IRB22" s="1280"/>
      <c r="IRC22" s="1280"/>
      <c r="IRD22" s="1280"/>
      <c r="IRE22" s="1280"/>
      <c r="IRF22" s="1280"/>
      <c r="IRG22" s="1280"/>
      <c r="IRH22" s="1280"/>
      <c r="IRI22" s="1280"/>
      <c r="IRJ22" s="1280"/>
      <c r="IRK22" s="1280"/>
      <c r="IRL22" s="1280"/>
      <c r="IRM22" s="1280"/>
      <c r="IRN22" s="1280"/>
      <c r="IRO22" s="1280"/>
      <c r="IRP22" s="1280"/>
      <c r="IRQ22" s="1280"/>
      <c r="IRR22" s="1280"/>
      <c r="IRS22" s="1280"/>
      <c r="IRT22" s="1280"/>
      <c r="IRU22" s="1280"/>
      <c r="IRV22" s="1280"/>
      <c r="IRW22" s="1280"/>
      <c r="IRX22" s="1280"/>
      <c r="IRY22" s="1280"/>
      <c r="IRZ22" s="1280"/>
      <c r="ISA22" s="1280"/>
      <c r="ISB22" s="1280"/>
      <c r="ISC22" s="1280"/>
      <c r="ISD22" s="1280"/>
      <c r="ISE22" s="1280"/>
      <c r="ISF22" s="1280"/>
      <c r="ISG22" s="1280"/>
      <c r="ISH22" s="1280"/>
      <c r="ISI22" s="1280"/>
      <c r="ISJ22" s="1280"/>
      <c r="ISK22" s="1280"/>
      <c r="ISL22" s="1280"/>
      <c r="ISM22" s="1280"/>
      <c r="ISN22" s="1280"/>
      <c r="ISO22" s="1280"/>
      <c r="ISP22" s="1280"/>
      <c r="ISQ22" s="1280"/>
      <c r="ISR22" s="1280"/>
      <c r="ISS22" s="1280"/>
      <c r="IST22" s="1280"/>
      <c r="ISU22" s="1280"/>
      <c r="ISV22" s="1280"/>
      <c r="ISW22" s="1280"/>
      <c r="ISX22" s="1280"/>
      <c r="ISY22" s="1280"/>
      <c r="ISZ22" s="1280"/>
      <c r="ITA22" s="1280"/>
      <c r="ITB22" s="1280"/>
      <c r="ITC22" s="1280"/>
      <c r="ITD22" s="1280"/>
      <c r="ITE22" s="1280"/>
      <c r="ITF22" s="1280"/>
      <c r="ITG22" s="1280"/>
      <c r="ITH22" s="1280"/>
      <c r="ITI22" s="1280"/>
      <c r="ITJ22" s="1280"/>
      <c r="ITK22" s="1280"/>
      <c r="ITL22" s="1280"/>
      <c r="ITM22" s="1280"/>
      <c r="ITN22" s="1280"/>
      <c r="ITO22" s="1280"/>
      <c r="ITP22" s="1280"/>
      <c r="ITQ22" s="1280"/>
      <c r="ITR22" s="1280"/>
      <c r="ITS22" s="1280"/>
      <c r="ITT22" s="1280"/>
      <c r="ITU22" s="1280"/>
      <c r="ITV22" s="1280"/>
      <c r="ITW22" s="1280"/>
      <c r="ITX22" s="1280"/>
      <c r="ITY22" s="1280"/>
      <c r="ITZ22" s="1280"/>
      <c r="IUA22" s="1280"/>
      <c r="IUB22" s="1280"/>
      <c r="IUC22" s="1280"/>
      <c r="IUD22" s="1280"/>
      <c r="IUE22" s="1280"/>
      <c r="IUF22" s="1280"/>
      <c r="IUG22" s="1280"/>
      <c r="IUH22" s="1280"/>
      <c r="IUI22" s="1280"/>
      <c r="IUJ22" s="1280"/>
      <c r="IUK22" s="1280"/>
      <c r="IUL22" s="1280"/>
      <c r="IUM22" s="1280"/>
      <c r="IUN22" s="1280"/>
      <c r="IUO22" s="1280"/>
      <c r="IUP22" s="1280"/>
      <c r="IUQ22" s="1280"/>
      <c r="IUR22" s="1280"/>
      <c r="IUS22" s="1280"/>
      <c r="IUT22" s="1280"/>
      <c r="IUU22" s="1280"/>
      <c r="IUV22" s="1280"/>
      <c r="IUW22" s="1280"/>
      <c r="IUX22" s="1280"/>
      <c r="IUY22" s="1280"/>
      <c r="IUZ22" s="1280"/>
      <c r="IVA22" s="1280"/>
      <c r="IVB22" s="1280"/>
      <c r="IVC22" s="1280"/>
      <c r="IVD22" s="1280"/>
      <c r="IVE22" s="1280"/>
      <c r="IVF22" s="1280"/>
      <c r="IVG22" s="1280"/>
      <c r="IVH22" s="1280"/>
      <c r="IVI22" s="1280"/>
      <c r="IVJ22" s="1280"/>
      <c r="IVK22" s="1280"/>
      <c r="IVL22" s="1280"/>
      <c r="IVM22" s="1280"/>
      <c r="IVN22" s="1280"/>
      <c r="IVO22" s="1280"/>
      <c r="IVP22" s="1280"/>
      <c r="IVQ22" s="1280"/>
      <c r="IVR22" s="1280"/>
      <c r="IVS22" s="1280"/>
      <c r="IVT22" s="1280"/>
      <c r="IVU22" s="1280"/>
      <c r="IVV22" s="1280"/>
      <c r="IVW22" s="1280"/>
      <c r="IVX22" s="1280"/>
      <c r="IVY22" s="1280"/>
      <c r="IVZ22" s="1280"/>
      <c r="IWA22" s="1280"/>
      <c r="IWB22" s="1280"/>
      <c r="IWC22" s="1280"/>
      <c r="IWD22" s="1280"/>
      <c r="IWE22" s="1280"/>
      <c r="IWF22" s="1280"/>
      <c r="IWG22" s="1280"/>
      <c r="IWH22" s="1280"/>
      <c r="IWI22" s="1280"/>
      <c r="IWJ22" s="1280"/>
      <c r="IWK22" s="1280"/>
      <c r="IWL22" s="1280"/>
      <c r="IWM22" s="1280"/>
      <c r="IWN22" s="1280"/>
      <c r="IWO22" s="1280"/>
      <c r="IWP22" s="1280"/>
      <c r="IWQ22" s="1280"/>
      <c r="IWR22" s="1280"/>
      <c r="IWS22" s="1280"/>
      <c r="IWT22" s="1280"/>
      <c r="IWU22" s="1280"/>
      <c r="IWV22" s="1280"/>
      <c r="IWW22" s="1280"/>
      <c r="IWX22" s="1280"/>
      <c r="IWY22" s="1280"/>
      <c r="IWZ22" s="1280"/>
      <c r="IXA22" s="1280"/>
      <c r="IXB22" s="1280"/>
      <c r="IXC22" s="1280"/>
      <c r="IXD22" s="1280"/>
      <c r="IXE22" s="1280"/>
      <c r="IXF22" s="1280"/>
      <c r="IXG22" s="1280"/>
      <c r="IXH22" s="1280"/>
      <c r="IXI22" s="1280"/>
      <c r="IXJ22" s="1280"/>
      <c r="IXK22" s="1280"/>
      <c r="IXL22" s="1280"/>
      <c r="IXM22" s="1280"/>
      <c r="IXN22" s="1280"/>
      <c r="IXO22" s="1280"/>
      <c r="IXP22" s="1280"/>
      <c r="IXQ22" s="1280"/>
      <c r="IXR22" s="1280"/>
      <c r="IXS22" s="1280"/>
      <c r="IXT22" s="1280"/>
      <c r="IXU22" s="1280"/>
      <c r="IXV22" s="1280"/>
      <c r="IXW22" s="1280"/>
      <c r="IXX22" s="1280"/>
      <c r="IXY22" s="1280"/>
      <c r="IXZ22" s="1280"/>
      <c r="IYA22" s="1280"/>
      <c r="IYB22" s="1280"/>
      <c r="IYC22" s="1280"/>
      <c r="IYD22" s="1280"/>
      <c r="IYE22" s="1280"/>
      <c r="IYF22" s="1280"/>
      <c r="IYG22" s="1280"/>
      <c r="IYH22" s="1280"/>
      <c r="IYI22" s="1280"/>
      <c r="IYJ22" s="1280"/>
      <c r="IYK22" s="1280"/>
      <c r="IYL22" s="1280"/>
      <c r="IYM22" s="1280"/>
      <c r="IYN22" s="1280"/>
      <c r="IYO22" s="1280"/>
      <c r="IYP22" s="1280"/>
      <c r="IYQ22" s="1280"/>
      <c r="IYR22" s="1280"/>
      <c r="IYS22" s="1280"/>
      <c r="IYT22" s="1280"/>
      <c r="IYU22" s="1280"/>
      <c r="IYV22" s="1280"/>
      <c r="IYW22" s="1280"/>
      <c r="IYX22" s="1280"/>
      <c r="IYY22" s="1280"/>
      <c r="IYZ22" s="1280"/>
      <c r="IZA22" s="1280"/>
      <c r="IZB22" s="1280"/>
      <c r="IZC22" s="1280"/>
      <c r="IZD22" s="1280"/>
      <c r="IZE22" s="1280"/>
      <c r="IZF22" s="1280"/>
      <c r="IZG22" s="1280"/>
      <c r="IZH22" s="1280"/>
      <c r="IZI22" s="1280"/>
      <c r="IZJ22" s="1280"/>
      <c r="IZK22" s="1280"/>
      <c r="IZL22" s="1280"/>
      <c r="IZM22" s="1280"/>
      <c r="IZN22" s="1280"/>
      <c r="IZO22" s="1280"/>
      <c r="IZP22" s="1280"/>
      <c r="IZQ22" s="1280"/>
      <c r="IZR22" s="1280"/>
      <c r="IZS22" s="1280"/>
      <c r="IZT22" s="1280"/>
      <c r="IZU22" s="1280"/>
      <c r="IZV22" s="1280"/>
      <c r="IZW22" s="1280"/>
      <c r="IZX22" s="1280"/>
      <c r="IZY22" s="1280"/>
      <c r="IZZ22" s="1280"/>
      <c r="JAA22" s="1280"/>
      <c r="JAB22" s="1280"/>
      <c r="JAC22" s="1280"/>
      <c r="JAD22" s="1280"/>
      <c r="JAE22" s="1280"/>
      <c r="JAF22" s="1280"/>
      <c r="JAG22" s="1280"/>
      <c r="JAH22" s="1280"/>
      <c r="JAI22" s="1280"/>
      <c r="JAJ22" s="1280"/>
      <c r="JAK22" s="1280"/>
      <c r="JAL22" s="1280"/>
      <c r="JAM22" s="1280"/>
      <c r="JAN22" s="1280"/>
      <c r="JAO22" s="1280"/>
      <c r="JAP22" s="1280"/>
      <c r="JAQ22" s="1280"/>
      <c r="JAR22" s="1280"/>
      <c r="JAS22" s="1280"/>
      <c r="JAT22" s="1280"/>
      <c r="JAU22" s="1280"/>
      <c r="JAV22" s="1280"/>
      <c r="JAW22" s="1280"/>
      <c r="JAX22" s="1280"/>
      <c r="JAY22" s="1280"/>
      <c r="JAZ22" s="1280"/>
      <c r="JBA22" s="1280"/>
      <c r="JBB22" s="1280"/>
      <c r="JBC22" s="1280"/>
      <c r="JBD22" s="1280"/>
      <c r="JBE22" s="1280"/>
      <c r="JBF22" s="1280"/>
      <c r="JBG22" s="1280"/>
      <c r="JBH22" s="1280"/>
      <c r="JBI22" s="1280"/>
      <c r="JBJ22" s="1280"/>
      <c r="JBK22" s="1280"/>
      <c r="JBL22" s="1280"/>
      <c r="JBM22" s="1280"/>
      <c r="JBN22" s="1280"/>
      <c r="JBO22" s="1280"/>
      <c r="JBP22" s="1280"/>
      <c r="JBQ22" s="1280"/>
      <c r="JBR22" s="1280"/>
      <c r="JBS22" s="1280"/>
      <c r="JBT22" s="1280"/>
      <c r="JBU22" s="1280"/>
      <c r="JBV22" s="1280"/>
      <c r="JBW22" s="1280"/>
      <c r="JBX22" s="1280"/>
      <c r="JBY22" s="1280"/>
      <c r="JBZ22" s="1280"/>
      <c r="JCA22" s="1280"/>
      <c r="JCB22" s="1280"/>
      <c r="JCC22" s="1280"/>
      <c r="JCD22" s="1280"/>
      <c r="JCE22" s="1280"/>
      <c r="JCF22" s="1280"/>
      <c r="JCG22" s="1280"/>
      <c r="JCH22" s="1280"/>
      <c r="JCI22" s="1280"/>
      <c r="JCJ22" s="1280"/>
      <c r="JCK22" s="1280"/>
      <c r="JCL22" s="1280"/>
      <c r="JCM22" s="1280"/>
      <c r="JCN22" s="1280"/>
      <c r="JCO22" s="1280"/>
      <c r="JCP22" s="1280"/>
      <c r="JCQ22" s="1280"/>
      <c r="JCR22" s="1280"/>
      <c r="JCS22" s="1280"/>
      <c r="JCT22" s="1280"/>
      <c r="JCU22" s="1280"/>
      <c r="JCV22" s="1280"/>
      <c r="JCW22" s="1280"/>
      <c r="JCX22" s="1280"/>
      <c r="JCY22" s="1280"/>
      <c r="JCZ22" s="1280"/>
      <c r="JDA22" s="1280"/>
      <c r="JDB22" s="1280"/>
      <c r="JDC22" s="1280"/>
      <c r="JDD22" s="1280"/>
      <c r="JDE22" s="1280"/>
      <c r="JDF22" s="1280"/>
      <c r="JDG22" s="1280"/>
      <c r="JDH22" s="1280"/>
      <c r="JDI22" s="1280"/>
      <c r="JDJ22" s="1280"/>
      <c r="JDK22" s="1280"/>
      <c r="JDL22" s="1280"/>
      <c r="JDM22" s="1280"/>
      <c r="JDN22" s="1280"/>
      <c r="JDO22" s="1280"/>
      <c r="JDP22" s="1280"/>
      <c r="JDQ22" s="1280"/>
      <c r="JDR22" s="1280"/>
      <c r="JDS22" s="1280"/>
      <c r="JDT22" s="1280"/>
      <c r="JDU22" s="1280"/>
      <c r="JDV22" s="1280"/>
      <c r="JDW22" s="1280"/>
      <c r="JDX22" s="1280"/>
      <c r="JDY22" s="1280"/>
      <c r="JDZ22" s="1280"/>
      <c r="JEA22" s="1280"/>
      <c r="JEB22" s="1280"/>
      <c r="JEC22" s="1280"/>
      <c r="JED22" s="1280"/>
      <c r="JEE22" s="1280"/>
      <c r="JEF22" s="1280"/>
      <c r="JEG22" s="1280"/>
      <c r="JEH22" s="1280"/>
      <c r="JEI22" s="1280"/>
      <c r="JEJ22" s="1280"/>
      <c r="JEK22" s="1280"/>
      <c r="JEL22" s="1280"/>
      <c r="JEM22" s="1280"/>
      <c r="JEN22" s="1280"/>
      <c r="JEO22" s="1280"/>
      <c r="JEP22" s="1280"/>
      <c r="JEQ22" s="1280"/>
      <c r="JER22" s="1280"/>
      <c r="JES22" s="1280"/>
      <c r="JET22" s="1280"/>
      <c r="JEU22" s="1280"/>
      <c r="JEV22" s="1280"/>
      <c r="JEW22" s="1280"/>
      <c r="JEX22" s="1280"/>
      <c r="JEY22" s="1280"/>
      <c r="JEZ22" s="1280"/>
      <c r="JFA22" s="1280"/>
      <c r="JFB22" s="1280"/>
      <c r="JFC22" s="1280"/>
      <c r="JFD22" s="1280"/>
      <c r="JFE22" s="1280"/>
      <c r="JFF22" s="1280"/>
      <c r="JFG22" s="1280"/>
      <c r="JFH22" s="1280"/>
      <c r="JFI22" s="1280"/>
      <c r="JFJ22" s="1280"/>
      <c r="JFK22" s="1280"/>
      <c r="JFL22" s="1280"/>
      <c r="JFM22" s="1280"/>
      <c r="JFN22" s="1280"/>
      <c r="JFO22" s="1280"/>
      <c r="JFP22" s="1280"/>
      <c r="JFQ22" s="1280"/>
      <c r="JFR22" s="1280"/>
      <c r="JFS22" s="1280"/>
      <c r="JFT22" s="1280"/>
      <c r="JFU22" s="1280"/>
      <c r="JFV22" s="1280"/>
      <c r="JFW22" s="1280"/>
      <c r="JFX22" s="1280"/>
      <c r="JFY22" s="1280"/>
      <c r="JFZ22" s="1280"/>
      <c r="JGA22" s="1280"/>
      <c r="JGB22" s="1280"/>
      <c r="JGC22" s="1280"/>
      <c r="JGD22" s="1280"/>
      <c r="JGE22" s="1280"/>
      <c r="JGF22" s="1280"/>
      <c r="JGG22" s="1280"/>
      <c r="JGH22" s="1280"/>
      <c r="JGI22" s="1280"/>
      <c r="JGJ22" s="1280"/>
      <c r="JGK22" s="1280"/>
      <c r="JGL22" s="1280"/>
      <c r="JGM22" s="1280"/>
      <c r="JGN22" s="1280"/>
      <c r="JGO22" s="1280"/>
      <c r="JGP22" s="1280"/>
      <c r="JGQ22" s="1280"/>
      <c r="JGR22" s="1280"/>
      <c r="JGS22" s="1280"/>
      <c r="JGT22" s="1280"/>
      <c r="JGU22" s="1280"/>
      <c r="JGV22" s="1280"/>
      <c r="JGW22" s="1280"/>
      <c r="JGX22" s="1280"/>
      <c r="JGY22" s="1280"/>
      <c r="JGZ22" s="1280"/>
      <c r="JHA22" s="1280"/>
      <c r="JHB22" s="1280"/>
      <c r="JHC22" s="1280"/>
      <c r="JHD22" s="1280"/>
      <c r="JHE22" s="1280"/>
      <c r="JHF22" s="1280"/>
      <c r="JHG22" s="1280"/>
      <c r="JHH22" s="1280"/>
      <c r="JHI22" s="1280"/>
      <c r="JHJ22" s="1280"/>
      <c r="JHK22" s="1280"/>
      <c r="JHL22" s="1280"/>
      <c r="JHM22" s="1280"/>
      <c r="JHN22" s="1280"/>
      <c r="JHO22" s="1280"/>
      <c r="JHP22" s="1280"/>
      <c r="JHQ22" s="1280"/>
      <c r="JHR22" s="1280"/>
      <c r="JHS22" s="1280"/>
      <c r="JHT22" s="1280"/>
      <c r="JHU22" s="1280"/>
      <c r="JHV22" s="1280"/>
      <c r="JHW22" s="1280"/>
      <c r="JHX22" s="1280"/>
      <c r="JHY22" s="1280"/>
      <c r="JHZ22" s="1280"/>
      <c r="JIA22" s="1280"/>
      <c r="JIB22" s="1280"/>
      <c r="JIC22" s="1280"/>
      <c r="JID22" s="1280"/>
      <c r="JIE22" s="1280"/>
      <c r="JIF22" s="1280"/>
      <c r="JIG22" s="1280"/>
      <c r="JIH22" s="1280"/>
      <c r="JII22" s="1280"/>
      <c r="JIJ22" s="1280"/>
      <c r="JIK22" s="1280"/>
      <c r="JIL22" s="1280"/>
      <c r="JIM22" s="1280"/>
      <c r="JIN22" s="1280"/>
      <c r="JIO22" s="1280"/>
      <c r="JIP22" s="1280"/>
      <c r="JIQ22" s="1280"/>
      <c r="JIR22" s="1280"/>
      <c r="JIS22" s="1280"/>
      <c r="JIT22" s="1280"/>
      <c r="JIU22" s="1280"/>
      <c r="JIV22" s="1280"/>
      <c r="JIW22" s="1280"/>
      <c r="JIX22" s="1280"/>
      <c r="JIY22" s="1280"/>
      <c r="JIZ22" s="1280"/>
      <c r="JJA22" s="1280"/>
      <c r="JJB22" s="1280"/>
      <c r="JJC22" s="1280"/>
      <c r="JJD22" s="1280"/>
      <c r="JJE22" s="1280"/>
      <c r="JJF22" s="1280"/>
      <c r="JJG22" s="1280"/>
      <c r="JJH22" s="1280"/>
      <c r="JJI22" s="1280"/>
      <c r="JJJ22" s="1280"/>
      <c r="JJK22" s="1280"/>
      <c r="JJL22" s="1280"/>
      <c r="JJM22" s="1280"/>
      <c r="JJN22" s="1280"/>
      <c r="JJO22" s="1280"/>
      <c r="JJP22" s="1280"/>
      <c r="JJQ22" s="1280"/>
      <c r="JJR22" s="1280"/>
      <c r="JJS22" s="1280"/>
      <c r="JJT22" s="1280"/>
      <c r="JJU22" s="1280"/>
      <c r="JJV22" s="1280"/>
      <c r="JJW22" s="1280"/>
      <c r="JJX22" s="1280"/>
      <c r="JJY22" s="1280"/>
      <c r="JJZ22" s="1280"/>
      <c r="JKA22" s="1280"/>
      <c r="JKB22" s="1280"/>
      <c r="JKC22" s="1280"/>
      <c r="JKD22" s="1280"/>
      <c r="JKE22" s="1280"/>
      <c r="JKF22" s="1280"/>
      <c r="JKG22" s="1280"/>
      <c r="JKH22" s="1280"/>
      <c r="JKI22" s="1280"/>
      <c r="JKJ22" s="1280"/>
      <c r="JKK22" s="1280"/>
      <c r="JKL22" s="1280"/>
      <c r="JKM22" s="1280"/>
      <c r="JKN22" s="1280"/>
      <c r="JKO22" s="1280"/>
      <c r="JKP22" s="1280"/>
      <c r="JKQ22" s="1280"/>
      <c r="JKR22" s="1280"/>
      <c r="JKS22" s="1280"/>
      <c r="JKT22" s="1280"/>
      <c r="JKU22" s="1280"/>
      <c r="JKV22" s="1280"/>
      <c r="JKW22" s="1280"/>
      <c r="JKX22" s="1280"/>
      <c r="JKY22" s="1280"/>
      <c r="JKZ22" s="1280"/>
      <c r="JLA22" s="1280"/>
      <c r="JLB22" s="1280"/>
      <c r="JLC22" s="1280"/>
      <c r="JLD22" s="1280"/>
      <c r="JLE22" s="1280"/>
      <c r="JLF22" s="1280"/>
      <c r="JLG22" s="1280"/>
      <c r="JLH22" s="1280"/>
      <c r="JLI22" s="1280"/>
      <c r="JLJ22" s="1280"/>
      <c r="JLK22" s="1280"/>
      <c r="JLL22" s="1280"/>
      <c r="JLM22" s="1280"/>
      <c r="JLN22" s="1280"/>
      <c r="JLO22" s="1280"/>
      <c r="JLP22" s="1280"/>
      <c r="JLQ22" s="1280"/>
      <c r="JLR22" s="1280"/>
      <c r="JLS22" s="1280"/>
      <c r="JLT22" s="1280"/>
      <c r="JLU22" s="1280"/>
      <c r="JLV22" s="1280"/>
      <c r="JLW22" s="1280"/>
      <c r="JLX22" s="1280"/>
      <c r="JLY22" s="1280"/>
      <c r="JLZ22" s="1280"/>
      <c r="JMA22" s="1280"/>
      <c r="JMB22" s="1280"/>
      <c r="JMC22" s="1280"/>
      <c r="JMD22" s="1280"/>
      <c r="JME22" s="1280"/>
      <c r="JMF22" s="1280"/>
      <c r="JMG22" s="1280"/>
      <c r="JMH22" s="1280"/>
      <c r="JMI22" s="1280"/>
      <c r="JMJ22" s="1280"/>
      <c r="JMK22" s="1280"/>
      <c r="JML22" s="1280"/>
      <c r="JMM22" s="1280"/>
      <c r="JMN22" s="1280"/>
      <c r="JMO22" s="1280"/>
      <c r="JMP22" s="1280"/>
      <c r="JMQ22" s="1280"/>
      <c r="JMR22" s="1280"/>
      <c r="JMS22" s="1280"/>
      <c r="JMT22" s="1280"/>
      <c r="JMU22" s="1280"/>
      <c r="JMV22" s="1280"/>
      <c r="JMW22" s="1280"/>
      <c r="JMX22" s="1280"/>
      <c r="JMY22" s="1280"/>
      <c r="JMZ22" s="1280"/>
      <c r="JNA22" s="1280"/>
      <c r="JNB22" s="1280"/>
      <c r="JNC22" s="1280"/>
      <c r="JND22" s="1280"/>
      <c r="JNE22" s="1280"/>
      <c r="JNF22" s="1280"/>
      <c r="JNG22" s="1280"/>
      <c r="JNH22" s="1280"/>
      <c r="JNI22" s="1280"/>
      <c r="JNJ22" s="1280"/>
      <c r="JNK22" s="1280"/>
      <c r="JNL22" s="1280"/>
      <c r="JNM22" s="1280"/>
      <c r="JNN22" s="1280"/>
      <c r="JNO22" s="1280"/>
      <c r="JNP22" s="1280"/>
      <c r="JNQ22" s="1280"/>
      <c r="JNR22" s="1280"/>
      <c r="JNS22" s="1280"/>
      <c r="JNT22" s="1280"/>
      <c r="JNU22" s="1280"/>
      <c r="JNV22" s="1280"/>
      <c r="JNW22" s="1280"/>
      <c r="JNX22" s="1280"/>
      <c r="JNY22" s="1280"/>
      <c r="JNZ22" s="1280"/>
      <c r="JOA22" s="1280"/>
      <c r="JOB22" s="1280"/>
      <c r="JOC22" s="1280"/>
      <c r="JOD22" s="1280"/>
      <c r="JOE22" s="1280"/>
      <c r="JOF22" s="1280"/>
      <c r="JOG22" s="1280"/>
      <c r="JOH22" s="1280"/>
      <c r="JOI22" s="1280"/>
      <c r="JOJ22" s="1280"/>
      <c r="JOK22" s="1280"/>
      <c r="JOL22" s="1280"/>
      <c r="JOM22" s="1280"/>
      <c r="JON22" s="1280"/>
      <c r="JOO22" s="1280"/>
      <c r="JOP22" s="1280"/>
      <c r="JOQ22" s="1280"/>
      <c r="JOR22" s="1280"/>
      <c r="JOS22" s="1280"/>
      <c r="JOT22" s="1280"/>
      <c r="JOU22" s="1280"/>
      <c r="JOV22" s="1280"/>
      <c r="JOW22" s="1280"/>
      <c r="JOX22" s="1280"/>
      <c r="JOY22" s="1280"/>
      <c r="JOZ22" s="1280"/>
      <c r="JPA22" s="1280"/>
      <c r="JPB22" s="1280"/>
      <c r="JPC22" s="1280"/>
      <c r="JPD22" s="1280"/>
      <c r="JPE22" s="1280"/>
      <c r="JPF22" s="1280"/>
      <c r="JPG22" s="1280"/>
      <c r="JPH22" s="1280"/>
      <c r="JPI22" s="1280"/>
      <c r="JPJ22" s="1280"/>
      <c r="JPK22" s="1280"/>
      <c r="JPL22" s="1280"/>
      <c r="JPM22" s="1280"/>
      <c r="JPN22" s="1280"/>
      <c r="JPO22" s="1280"/>
      <c r="JPP22" s="1280"/>
      <c r="JPQ22" s="1280"/>
      <c r="JPR22" s="1280"/>
      <c r="JPS22" s="1280"/>
      <c r="JPT22" s="1280"/>
      <c r="JPU22" s="1280"/>
      <c r="JPV22" s="1280"/>
      <c r="JPW22" s="1280"/>
      <c r="JPX22" s="1280"/>
      <c r="JPY22" s="1280"/>
      <c r="JPZ22" s="1280"/>
      <c r="JQA22" s="1280"/>
      <c r="JQB22" s="1280"/>
      <c r="JQC22" s="1280"/>
      <c r="JQD22" s="1280"/>
      <c r="JQE22" s="1280"/>
      <c r="JQF22" s="1280"/>
      <c r="JQG22" s="1280"/>
      <c r="JQH22" s="1280"/>
      <c r="JQI22" s="1280"/>
      <c r="JQJ22" s="1280"/>
      <c r="JQK22" s="1280"/>
      <c r="JQL22" s="1280"/>
      <c r="JQM22" s="1280"/>
      <c r="JQN22" s="1280"/>
      <c r="JQO22" s="1280"/>
      <c r="JQP22" s="1280"/>
      <c r="JQQ22" s="1280"/>
      <c r="JQR22" s="1280"/>
      <c r="JQS22" s="1280"/>
      <c r="JQT22" s="1280"/>
      <c r="JQU22" s="1280"/>
      <c r="JQV22" s="1280"/>
      <c r="JQW22" s="1280"/>
      <c r="JQX22" s="1280"/>
      <c r="JQY22" s="1280"/>
      <c r="JQZ22" s="1280"/>
      <c r="JRA22" s="1280"/>
      <c r="JRB22" s="1280"/>
      <c r="JRC22" s="1280"/>
      <c r="JRD22" s="1280"/>
      <c r="JRE22" s="1280"/>
      <c r="JRF22" s="1280"/>
      <c r="JRG22" s="1280"/>
      <c r="JRH22" s="1280"/>
      <c r="JRI22" s="1280"/>
      <c r="JRJ22" s="1280"/>
      <c r="JRK22" s="1280"/>
      <c r="JRL22" s="1280"/>
      <c r="JRM22" s="1280"/>
      <c r="JRN22" s="1280"/>
      <c r="JRO22" s="1280"/>
      <c r="JRP22" s="1280"/>
      <c r="JRQ22" s="1280"/>
      <c r="JRR22" s="1280"/>
      <c r="JRS22" s="1280"/>
      <c r="JRT22" s="1280"/>
      <c r="JRU22" s="1280"/>
      <c r="JRV22" s="1280"/>
      <c r="JRW22" s="1280"/>
      <c r="JRX22" s="1280"/>
      <c r="JRY22" s="1280"/>
      <c r="JRZ22" s="1280"/>
      <c r="JSA22" s="1280"/>
      <c r="JSB22" s="1280"/>
      <c r="JSC22" s="1280"/>
      <c r="JSD22" s="1280"/>
      <c r="JSE22" s="1280"/>
      <c r="JSF22" s="1280"/>
      <c r="JSG22" s="1280"/>
      <c r="JSH22" s="1280"/>
      <c r="JSI22" s="1280"/>
      <c r="JSJ22" s="1280"/>
      <c r="JSK22" s="1280"/>
      <c r="JSL22" s="1280"/>
      <c r="JSM22" s="1280"/>
      <c r="JSN22" s="1280"/>
      <c r="JSO22" s="1280"/>
      <c r="JSP22" s="1280"/>
      <c r="JSQ22" s="1280"/>
      <c r="JSR22" s="1280"/>
      <c r="JSS22" s="1280"/>
      <c r="JST22" s="1280"/>
      <c r="JSU22" s="1280"/>
      <c r="JSV22" s="1280"/>
      <c r="JSW22" s="1280"/>
      <c r="JSX22" s="1280"/>
      <c r="JSY22" s="1280"/>
      <c r="JSZ22" s="1280"/>
      <c r="JTA22" s="1280"/>
      <c r="JTB22" s="1280"/>
      <c r="JTC22" s="1280"/>
      <c r="JTD22" s="1280"/>
      <c r="JTE22" s="1280"/>
      <c r="JTF22" s="1280"/>
      <c r="JTG22" s="1280"/>
      <c r="JTH22" s="1280"/>
      <c r="JTI22" s="1280"/>
      <c r="JTJ22" s="1280"/>
      <c r="JTK22" s="1280"/>
      <c r="JTL22" s="1280"/>
      <c r="JTM22" s="1280"/>
      <c r="JTN22" s="1280"/>
      <c r="JTO22" s="1280"/>
      <c r="JTP22" s="1280"/>
      <c r="JTQ22" s="1280"/>
      <c r="JTR22" s="1280"/>
      <c r="JTS22" s="1280"/>
      <c r="JTT22" s="1280"/>
      <c r="JTU22" s="1280"/>
      <c r="JTV22" s="1280"/>
      <c r="JTW22" s="1280"/>
      <c r="JTX22" s="1280"/>
      <c r="JTY22" s="1280"/>
      <c r="JTZ22" s="1280"/>
      <c r="JUA22" s="1280"/>
      <c r="JUB22" s="1280"/>
      <c r="JUC22" s="1280"/>
      <c r="JUD22" s="1280"/>
      <c r="JUE22" s="1280"/>
      <c r="JUF22" s="1280"/>
      <c r="JUG22" s="1280"/>
      <c r="JUH22" s="1280"/>
      <c r="JUI22" s="1280"/>
      <c r="JUJ22" s="1280"/>
      <c r="JUK22" s="1280"/>
      <c r="JUL22" s="1280"/>
      <c r="JUM22" s="1280"/>
      <c r="JUN22" s="1280"/>
      <c r="JUO22" s="1280"/>
      <c r="JUP22" s="1280"/>
      <c r="JUQ22" s="1280"/>
      <c r="JUR22" s="1280"/>
      <c r="JUS22" s="1280"/>
      <c r="JUT22" s="1280"/>
      <c r="JUU22" s="1280"/>
      <c r="JUV22" s="1280"/>
      <c r="JUW22" s="1280"/>
      <c r="JUX22" s="1280"/>
      <c r="JUY22" s="1280"/>
      <c r="JUZ22" s="1280"/>
      <c r="JVA22" s="1280"/>
      <c r="JVB22" s="1280"/>
      <c r="JVC22" s="1280"/>
      <c r="JVD22" s="1280"/>
      <c r="JVE22" s="1280"/>
      <c r="JVF22" s="1280"/>
      <c r="JVG22" s="1280"/>
      <c r="JVH22" s="1280"/>
      <c r="JVI22" s="1280"/>
      <c r="JVJ22" s="1280"/>
      <c r="JVK22" s="1280"/>
      <c r="JVL22" s="1280"/>
      <c r="JVM22" s="1280"/>
      <c r="JVN22" s="1280"/>
      <c r="JVO22" s="1280"/>
      <c r="JVP22" s="1280"/>
      <c r="JVQ22" s="1280"/>
      <c r="JVR22" s="1280"/>
      <c r="JVS22" s="1280"/>
      <c r="JVT22" s="1280"/>
      <c r="JVU22" s="1280"/>
      <c r="JVV22" s="1280"/>
      <c r="JVW22" s="1280"/>
      <c r="JVX22" s="1280"/>
      <c r="JVY22" s="1280"/>
      <c r="JVZ22" s="1280"/>
      <c r="JWA22" s="1280"/>
      <c r="JWB22" s="1280"/>
      <c r="JWC22" s="1280"/>
      <c r="JWD22" s="1280"/>
      <c r="JWE22" s="1280"/>
      <c r="JWF22" s="1280"/>
      <c r="JWG22" s="1280"/>
      <c r="JWH22" s="1280"/>
      <c r="JWI22" s="1280"/>
      <c r="JWJ22" s="1280"/>
      <c r="JWK22" s="1280"/>
      <c r="JWL22" s="1280"/>
      <c r="JWM22" s="1280"/>
      <c r="JWN22" s="1280"/>
      <c r="JWO22" s="1280"/>
      <c r="JWP22" s="1280"/>
      <c r="JWQ22" s="1280"/>
      <c r="JWR22" s="1280"/>
      <c r="JWS22" s="1280"/>
      <c r="JWT22" s="1280"/>
      <c r="JWU22" s="1280"/>
      <c r="JWV22" s="1280"/>
      <c r="JWW22" s="1280"/>
      <c r="JWX22" s="1280"/>
      <c r="JWY22" s="1280"/>
      <c r="JWZ22" s="1280"/>
      <c r="JXA22" s="1280"/>
      <c r="JXB22" s="1280"/>
      <c r="JXC22" s="1280"/>
      <c r="JXD22" s="1280"/>
      <c r="JXE22" s="1280"/>
      <c r="JXF22" s="1280"/>
      <c r="JXG22" s="1280"/>
      <c r="JXH22" s="1280"/>
      <c r="JXI22" s="1280"/>
      <c r="JXJ22" s="1280"/>
      <c r="JXK22" s="1280"/>
      <c r="JXL22" s="1280"/>
      <c r="JXM22" s="1280"/>
      <c r="JXN22" s="1280"/>
      <c r="JXO22" s="1280"/>
      <c r="JXP22" s="1280"/>
      <c r="JXQ22" s="1280"/>
      <c r="JXR22" s="1280"/>
      <c r="JXS22" s="1280"/>
      <c r="JXT22" s="1280"/>
      <c r="JXU22" s="1280"/>
      <c r="JXV22" s="1280"/>
      <c r="JXW22" s="1280"/>
      <c r="JXX22" s="1280"/>
      <c r="JXY22" s="1280"/>
      <c r="JXZ22" s="1280"/>
      <c r="JYA22" s="1280"/>
      <c r="JYB22" s="1280"/>
      <c r="JYC22" s="1280"/>
      <c r="JYD22" s="1280"/>
      <c r="JYE22" s="1280"/>
      <c r="JYF22" s="1280"/>
      <c r="JYG22" s="1280"/>
      <c r="JYH22" s="1280"/>
      <c r="JYI22" s="1280"/>
      <c r="JYJ22" s="1280"/>
      <c r="JYK22" s="1280"/>
      <c r="JYL22" s="1280"/>
      <c r="JYM22" s="1280"/>
      <c r="JYN22" s="1280"/>
      <c r="JYO22" s="1280"/>
      <c r="JYP22" s="1280"/>
      <c r="JYQ22" s="1280"/>
      <c r="JYR22" s="1280"/>
      <c r="JYS22" s="1280"/>
      <c r="JYT22" s="1280"/>
      <c r="JYU22" s="1280"/>
      <c r="JYV22" s="1280"/>
      <c r="JYW22" s="1280"/>
      <c r="JYX22" s="1280"/>
      <c r="JYY22" s="1280"/>
      <c r="JYZ22" s="1280"/>
      <c r="JZA22" s="1280"/>
      <c r="JZB22" s="1280"/>
      <c r="JZC22" s="1280"/>
      <c r="JZD22" s="1280"/>
      <c r="JZE22" s="1280"/>
      <c r="JZF22" s="1280"/>
      <c r="JZG22" s="1280"/>
      <c r="JZH22" s="1280"/>
      <c r="JZI22" s="1280"/>
      <c r="JZJ22" s="1280"/>
      <c r="JZK22" s="1280"/>
      <c r="JZL22" s="1280"/>
      <c r="JZM22" s="1280"/>
      <c r="JZN22" s="1280"/>
      <c r="JZO22" s="1280"/>
      <c r="JZP22" s="1280"/>
      <c r="JZQ22" s="1280"/>
      <c r="JZR22" s="1280"/>
      <c r="JZS22" s="1280"/>
      <c r="JZT22" s="1280"/>
      <c r="JZU22" s="1280"/>
      <c r="JZV22" s="1280"/>
      <c r="JZW22" s="1280"/>
      <c r="JZX22" s="1280"/>
      <c r="JZY22" s="1280"/>
      <c r="JZZ22" s="1280"/>
      <c r="KAA22" s="1280"/>
      <c r="KAB22" s="1280"/>
      <c r="KAC22" s="1280"/>
      <c r="KAD22" s="1280"/>
      <c r="KAE22" s="1280"/>
      <c r="KAF22" s="1280"/>
      <c r="KAG22" s="1280"/>
      <c r="KAH22" s="1280"/>
      <c r="KAI22" s="1280"/>
      <c r="KAJ22" s="1280"/>
      <c r="KAK22" s="1280"/>
      <c r="KAL22" s="1280"/>
      <c r="KAM22" s="1280"/>
      <c r="KAN22" s="1280"/>
      <c r="KAO22" s="1280"/>
      <c r="KAP22" s="1280"/>
      <c r="KAQ22" s="1280"/>
      <c r="KAR22" s="1280"/>
      <c r="KAS22" s="1280"/>
      <c r="KAT22" s="1280"/>
      <c r="KAU22" s="1280"/>
      <c r="KAV22" s="1280"/>
      <c r="KAW22" s="1280"/>
      <c r="KAX22" s="1280"/>
      <c r="KAY22" s="1280"/>
      <c r="KAZ22" s="1280"/>
      <c r="KBA22" s="1280"/>
      <c r="KBB22" s="1280"/>
      <c r="KBC22" s="1280"/>
      <c r="KBD22" s="1280"/>
      <c r="KBE22" s="1280"/>
      <c r="KBF22" s="1280"/>
      <c r="KBG22" s="1280"/>
      <c r="KBH22" s="1280"/>
      <c r="KBI22" s="1280"/>
      <c r="KBJ22" s="1280"/>
      <c r="KBK22" s="1280"/>
      <c r="KBL22" s="1280"/>
      <c r="KBM22" s="1280"/>
      <c r="KBN22" s="1280"/>
      <c r="KBO22" s="1280"/>
      <c r="KBP22" s="1280"/>
      <c r="KBQ22" s="1280"/>
      <c r="KBR22" s="1280"/>
      <c r="KBS22" s="1280"/>
      <c r="KBT22" s="1280"/>
      <c r="KBU22" s="1280"/>
      <c r="KBV22" s="1280"/>
      <c r="KBW22" s="1280"/>
      <c r="KBX22" s="1280"/>
      <c r="KBY22" s="1280"/>
      <c r="KBZ22" s="1280"/>
      <c r="KCA22" s="1280"/>
      <c r="KCB22" s="1280"/>
      <c r="KCC22" s="1280"/>
      <c r="KCD22" s="1280"/>
      <c r="KCE22" s="1280"/>
      <c r="KCF22" s="1280"/>
      <c r="KCG22" s="1280"/>
      <c r="KCH22" s="1280"/>
      <c r="KCI22" s="1280"/>
      <c r="KCJ22" s="1280"/>
      <c r="KCK22" s="1280"/>
      <c r="KCL22" s="1280"/>
      <c r="KCM22" s="1280"/>
      <c r="KCN22" s="1280"/>
      <c r="KCO22" s="1280"/>
      <c r="KCP22" s="1280"/>
      <c r="KCQ22" s="1280"/>
      <c r="KCR22" s="1280"/>
      <c r="KCS22" s="1280"/>
      <c r="KCT22" s="1280"/>
      <c r="KCU22" s="1280"/>
      <c r="KCV22" s="1280"/>
      <c r="KCW22" s="1280"/>
      <c r="KCX22" s="1280"/>
      <c r="KCY22" s="1280"/>
      <c r="KCZ22" s="1280"/>
      <c r="KDA22" s="1280"/>
      <c r="KDB22" s="1280"/>
      <c r="KDC22" s="1280"/>
      <c r="KDD22" s="1280"/>
      <c r="KDE22" s="1280"/>
      <c r="KDF22" s="1280"/>
      <c r="KDG22" s="1280"/>
      <c r="KDH22" s="1280"/>
      <c r="KDI22" s="1280"/>
      <c r="KDJ22" s="1280"/>
      <c r="KDK22" s="1280"/>
      <c r="KDL22" s="1280"/>
      <c r="KDM22" s="1280"/>
      <c r="KDN22" s="1280"/>
      <c r="KDO22" s="1280"/>
      <c r="KDP22" s="1280"/>
      <c r="KDQ22" s="1280"/>
      <c r="KDR22" s="1280"/>
      <c r="KDS22" s="1280"/>
      <c r="KDT22" s="1280"/>
      <c r="KDU22" s="1280"/>
      <c r="KDV22" s="1280"/>
      <c r="KDW22" s="1280"/>
      <c r="KDX22" s="1280"/>
      <c r="KDY22" s="1280"/>
      <c r="KDZ22" s="1280"/>
      <c r="KEA22" s="1280"/>
      <c r="KEB22" s="1280"/>
      <c r="KEC22" s="1280"/>
      <c r="KED22" s="1280"/>
      <c r="KEE22" s="1280"/>
      <c r="KEF22" s="1280"/>
      <c r="KEG22" s="1280"/>
      <c r="KEH22" s="1280"/>
      <c r="KEI22" s="1280"/>
      <c r="KEJ22" s="1280"/>
      <c r="KEK22" s="1280"/>
      <c r="KEL22" s="1280"/>
      <c r="KEM22" s="1280"/>
      <c r="KEN22" s="1280"/>
      <c r="KEO22" s="1280"/>
      <c r="KEP22" s="1280"/>
      <c r="KEQ22" s="1280"/>
      <c r="KER22" s="1280"/>
      <c r="KES22" s="1280"/>
      <c r="KET22" s="1280"/>
      <c r="KEU22" s="1280"/>
      <c r="KEV22" s="1280"/>
      <c r="KEW22" s="1280"/>
      <c r="KEX22" s="1280"/>
      <c r="KEY22" s="1280"/>
      <c r="KEZ22" s="1280"/>
      <c r="KFA22" s="1280"/>
      <c r="KFB22" s="1280"/>
      <c r="KFC22" s="1280"/>
      <c r="KFD22" s="1280"/>
      <c r="KFE22" s="1280"/>
      <c r="KFF22" s="1280"/>
      <c r="KFG22" s="1280"/>
      <c r="KFH22" s="1280"/>
      <c r="KFI22" s="1280"/>
      <c r="KFJ22" s="1280"/>
      <c r="KFK22" s="1280"/>
      <c r="KFL22" s="1280"/>
      <c r="KFM22" s="1280"/>
      <c r="KFN22" s="1280"/>
      <c r="KFO22" s="1280"/>
      <c r="KFP22" s="1280"/>
      <c r="KFQ22" s="1280"/>
      <c r="KFR22" s="1280"/>
      <c r="KFS22" s="1280"/>
      <c r="KFT22" s="1280"/>
      <c r="KFU22" s="1280"/>
      <c r="KFV22" s="1280"/>
      <c r="KFW22" s="1280"/>
      <c r="KFX22" s="1280"/>
      <c r="KFY22" s="1280"/>
      <c r="KFZ22" s="1280"/>
      <c r="KGA22" s="1280"/>
      <c r="KGB22" s="1280"/>
      <c r="KGC22" s="1280"/>
      <c r="KGD22" s="1280"/>
      <c r="KGE22" s="1280"/>
      <c r="KGF22" s="1280"/>
      <c r="KGG22" s="1280"/>
      <c r="KGH22" s="1280"/>
      <c r="KGI22" s="1280"/>
      <c r="KGJ22" s="1280"/>
      <c r="KGK22" s="1280"/>
      <c r="KGL22" s="1280"/>
      <c r="KGM22" s="1280"/>
      <c r="KGN22" s="1280"/>
      <c r="KGO22" s="1280"/>
      <c r="KGP22" s="1280"/>
      <c r="KGQ22" s="1280"/>
      <c r="KGR22" s="1280"/>
      <c r="KGS22" s="1280"/>
      <c r="KGT22" s="1280"/>
      <c r="KGU22" s="1280"/>
      <c r="KGV22" s="1280"/>
      <c r="KGW22" s="1280"/>
      <c r="KGX22" s="1280"/>
      <c r="KGY22" s="1280"/>
      <c r="KGZ22" s="1280"/>
      <c r="KHA22" s="1280"/>
      <c r="KHB22" s="1280"/>
      <c r="KHC22" s="1280"/>
      <c r="KHD22" s="1280"/>
      <c r="KHE22" s="1280"/>
      <c r="KHF22" s="1280"/>
      <c r="KHG22" s="1280"/>
      <c r="KHH22" s="1280"/>
      <c r="KHI22" s="1280"/>
      <c r="KHJ22" s="1280"/>
      <c r="KHK22" s="1280"/>
      <c r="KHL22" s="1280"/>
      <c r="KHM22" s="1280"/>
      <c r="KHN22" s="1280"/>
      <c r="KHO22" s="1280"/>
      <c r="KHP22" s="1280"/>
      <c r="KHQ22" s="1280"/>
      <c r="KHR22" s="1280"/>
      <c r="KHS22" s="1280"/>
      <c r="KHT22" s="1280"/>
      <c r="KHU22" s="1280"/>
      <c r="KHV22" s="1280"/>
      <c r="KHW22" s="1280"/>
      <c r="KHX22" s="1280"/>
      <c r="KHY22" s="1280"/>
      <c r="KHZ22" s="1280"/>
      <c r="KIA22" s="1280"/>
      <c r="KIB22" s="1280"/>
      <c r="KIC22" s="1280"/>
      <c r="KID22" s="1280"/>
      <c r="KIE22" s="1280"/>
      <c r="KIF22" s="1280"/>
      <c r="KIG22" s="1280"/>
      <c r="KIH22" s="1280"/>
      <c r="KII22" s="1280"/>
      <c r="KIJ22" s="1280"/>
      <c r="KIK22" s="1280"/>
      <c r="KIL22" s="1280"/>
      <c r="KIM22" s="1280"/>
      <c r="KIN22" s="1280"/>
      <c r="KIO22" s="1280"/>
      <c r="KIP22" s="1280"/>
      <c r="KIQ22" s="1280"/>
      <c r="KIR22" s="1280"/>
      <c r="KIS22" s="1280"/>
      <c r="KIT22" s="1280"/>
      <c r="KIU22" s="1280"/>
      <c r="KIV22" s="1280"/>
      <c r="KIW22" s="1280"/>
      <c r="KIX22" s="1280"/>
      <c r="KIY22" s="1280"/>
      <c r="KIZ22" s="1280"/>
      <c r="KJA22" s="1280"/>
      <c r="KJB22" s="1280"/>
      <c r="KJC22" s="1280"/>
      <c r="KJD22" s="1280"/>
      <c r="KJE22" s="1280"/>
      <c r="KJF22" s="1280"/>
      <c r="KJG22" s="1280"/>
      <c r="KJH22" s="1280"/>
      <c r="KJI22" s="1280"/>
      <c r="KJJ22" s="1280"/>
      <c r="KJK22" s="1280"/>
      <c r="KJL22" s="1280"/>
      <c r="KJM22" s="1280"/>
      <c r="KJN22" s="1280"/>
      <c r="KJO22" s="1280"/>
      <c r="KJP22" s="1280"/>
      <c r="KJQ22" s="1280"/>
      <c r="KJR22" s="1280"/>
      <c r="KJS22" s="1280"/>
      <c r="KJT22" s="1280"/>
      <c r="KJU22" s="1280"/>
      <c r="KJV22" s="1280"/>
      <c r="KJW22" s="1280"/>
      <c r="KJX22" s="1280"/>
      <c r="KJY22" s="1280"/>
      <c r="KJZ22" s="1280"/>
      <c r="KKA22" s="1280"/>
      <c r="KKB22" s="1280"/>
      <c r="KKC22" s="1280"/>
      <c r="KKD22" s="1280"/>
      <c r="KKE22" s="1280"/>
      <c r="KKF22" s="1280"/>
      <c r="KKG22" s="1280"/>
      <c r="KKH22" s="1280"/>
      <c r="KKI22" s="1280"/>
      <c r="KKJ22" s="1280"/>
      <c r="KKK22" s="1280"/>
      <c r="KKL22" s="1280"/>
      <c r="KKM22" s="1280"/>
      <c r="KKN22" s="1280"/>
      <c r="KKO22" s="1280"/>
      <c r="KKP22" s="1280"/>
      <c r="KKQ22" s="1280"/>
      <c r="KKR22" s="1280"/>
      <c r="KKS22" s="1280"/>
      <c r="KKT22" s="1280"/>
      <c r="KKU22" s="1280"/>
      <c r="KKV22" s="1280"/>
      <c r="KKW22" s="1280"/>
      <c r="KKX22" s="1280"/>
      <c r="KKY22" s="1280"/>
      <c r="KKZ22" s="1280"/>
      <c r="KLA22" s="1280"/>
      <c r="KLB22" s="1280"/>
      <c r="KLC22" s="1280"/>
      <c r="KLD22" s="1280"/>
      <c r="KLE22" s="1280"/>
      <c r="KLF22" s="1280"/>
      <c r="KLG22" s="1280"/>
      <c r="KLH22" s="1280"/>
      <c r="KLI22" s="1280"/>
      <c r="KLJ22" s="1280"/>
      <c r="KLK22" s="1280"/>
      <c r="KLL22" s="1280"/>
      <c r="KLM22" s="1280"/>
      <c r="KLN22" s="1280"/>
      <c r="KLO22" s="1280"/>
      <c r="KLP22" s="1280"/>
      <c r="KLQ22" s="1280"/>
      <c r="KLR22" s="1280"/>
      <c r="KLS22" s="1280"/>
      <c r="KLT22" s="1280"/>
      <c r="KLU22" s="1280"/>
      <c r="KLV22" s="1280"/>
      <c r="KLW22" s="1280"/>
      <c r="KLX22" s="1280"/>
      <c r="KLY22" s="1280"/>
      <c r="KLZ22" s="1280"/>
      <c r="KMA22" s="1280"/>
      <c r="KMB22" s="1280"/>
      <c r="KMC22" s="1280"/>
      <c r="KMD22" s="1280"/>
      <c r="KME22" s="1280"/>
      <c r="KMF22" s="1280"/>
      <c r="KMG22" s="1280"/>
      <c r="KMH22" s="1280"/>
      <c r="KMI22" s="1280"/>
      <c r="KMJ22" s="1280"/>
      <c r="KMK22" s="1280"/>
      <c r="KML22" s="1280"/>
      <c r="KMM22" s="1280"/>
      <c r="KMN22" s="1280"/>
      <c r="KMO22" s="1280"/>
      <c r="KMP22" s="1280"/>
      <c r="KMQ22" s="1280"/>
      <c r="KMR22" s="1280"/>
      <c r="KMS22" s="1280"/>
      <c r="KMT22" s="1280"/>
      <c r="KMU22" s="1280"/>
      <c r="KMV22" s="1280"/>
      <c r="KMW22" s="1280"/>
      <c r="KMX22" s="1280"/>
      <c r="KMY22" s="1280"/>
      <c r="KMZ22" s="1280"/>
      <c r="KNA22" s="1280"/>
      <c r="KNB22" s="1280"/>
      <c r="KNC22" s="1280"/>
      <c r="KND22" s="1280"/>
      <c r="KNE22" s="1280"/>
      <c r="KNF22" s="1280"/>
      <c r="KNG22" s="1280"/>
      <c r="KNH22" s="1280"/>
      <c r="KNI22" s="1280"/>
      <c r="KNJ22" s="1280"/>
      <c r="KNK22" s="1280"/>
      <c r="KNL22" s="1280"/>
      <c r="KNM22" s="1280"/>
      <c r="KNN22" s="1280"/>
      <c r="KNO22" s="1280"/>
      <c r="KNP22" s="1280"/>
      <c r="KNQ22" s="1280"/>
      <c r="KNR22" s="1280"/>
      <c r="KNS22" s="1280"/>
      <c r="KNT22" s="1280"/>
      <c r="KNU22" s="1280"/>
      <c r="KNV22" s="1280"/>
      <c r="KNW22" s="1280"/>
      <c r="KNX22" s="1280"/>
      <c r="KNY22" s="1280"/>
      <c r="KNZ22" s="1280"/>
      <c r="KOA22" s="1280"/>
      <c r="KOB22" s="1280"/>
      <c r="KOC22" s="1280"/>
      <c r="KOD22" s="1280"/>
      <c r="KOE22" s="1280"/>
      <c r="KOF22" s="1280"/>
      <c r="KOG22" s="1280"/>
      <c r="KOH22" s="1280"/>
      <c r="KOI22" s="1280"/>
      <c r="KOJ22" s="1280"/>
      <c r="KOK22" s="1280"/>
      <c r="KOL22" s="1280"/>
      <c r="KOM22" s="1280"/>
      <c r="KON22" s="1280"/>
      <c r="KOO22" s="1280"/>
      <c r="KOP22" s="1280"/>
      <c r="KOQ22" s="1280"/>
      <c r="KOR22" s="1280"/>
      <c r="KOS22" s="1280"/>
      <c r="KOT22" s="1280"/>
      <c r="KOU22" s="1280"/>
      <c r="KOV22" s="1280"/>
      <c r="KOW22" s="1280"/>
      <c r="KOX22" s="1280"/>
      <c r="KOY22" s="1280"/>
      <c r="KOZ22" s="1280"/>
      <c r="KPA22" s="1280"/>
      <c r="KPB22" s="1280"/>
      <c r="KPC22" s="1280"/>
      <c r="KPD22" s="1280"/>
      <c r="KPE22" s="1280"/>
      <c r="KPF22" s="1280"/>
      <c r="KPG22" s="1280"/>
      <c r="KPH22" s="1280"/>
      <c r="KPI22" s="1280"/>
      <c r="KPJ22" s="1280"/>
      <c r="KPK22" s="1280"/>
      <c r="KPL22" s="1280"/>
      <c r="KPM22" s="1280"/>
      <c r="KPN22" s="1280"/>
      <c r="KPO22" s="1280"/>
      <c r="KPP22" s="1280"/>
      <c r="KPQ22" s="1280"/>
      <c r="KPR22" s="1280"/>
      <c r="KPS22" s="1280"/>
      <c r="KPT22" s="1280"/>
      <c r="KPU22" s="1280"/>
      <c r="KPV22" s="1280"/>
      <c r="KPW22" s="1280"/>
      <c r="KPX22" s="1280"/>
      <c r="KPY22" s="1280"/>
      <c r="KPZ22" s="1280"/>
      <c r="KQA22" s="1280"/>
      <c r="KQB22" s="1280"/>
      <c r="KQC22" s="1280"/>
      <c r="KQD22" s="1280"/>
      <c r="KQE22" s="1280"/>
      <c r="KQF22" s="1280"/>
      <c r="KQG22" s="1280"/>
      <c r="KQH22" s="1280"/>
      <c r="KQI22" s="1280"/>
      <c r="KQJ22" s="1280"/>
      <c r="KQK22" s="1280"/>
      <c r="KQL22" s="1280"/>
      <c r="KQM22" s="1280"/>
      <c r="KQN22" s="1280"/>
      <c r="KQO22" s="1280"/>
      <c r="KQP22" s="1280"/>
      <c r="KQQ22" s="1280"/>
      <c r="KQR22" s="1280"/>
      <c r="KQS22" s="1280"/>
      <c r="KQT22" s="1280"/>
      <c r="KQU22" s="1280"/>
      <c r="KQV22" s="1280"/>
      <c r="KQW22" s="1280"/>
      <c r="KQX22" s="1280"/>
      <c r="KQY22" s="1280"/>
      <c r="KQZ22" s="1280"/>
      <c r="KRA22" s="1280"/>
      <c r="KRB22" s="1280"/>
      <c r="KRC22" s="1280"/>
      <c r="KRD22" s="1280"/>
      <c r="KRE22" s="1280"/>
      <c r="KRF22" s="1280"/>
      <c r="KRG22" s="1280"/>
      <c r="KRH22" s="1280"/>
      <c r="KRI22" s="1280"/>
      <c r="KRJ22" s="1280"/>
      <c r="KRK22" s="1280"/>
      <c r="KRL22" s="1280"/>
      <c r="KRM22" s="1280"/>
      <c r="KRN22" s="1280"/>
      <c r="KRO22" s="1280"/>
      <c r="KRP22" s="1280"/>
      <c r="KRQ22" s="1280"/>
      <c r="KRR22" s="1280"/>
      <c r="KRS22" s="1280"/>
      <c r="KRT22" s="1280"/>
      <c r="KRU22" s="1280"/>
      <c r="KRV22" s="1280"/>
      <c r="KRW22" s="1280"/>
      <c r="KRX22" s="1280"/>
      <c r="KRY22" s="1280"/>
      <c r="KRZ22" s="1280"/>
      <c r="KSA22" s="1280"/>
      <c r="KSB22" s="1280"/>
      <c r="KSC22" s="1280"/>
      <c r="KSD22" s="1280"/>
      <c r="KSE22" s="1280"/>
      <c r="KSF22" s="1280"/>
      <c r="KSG22" s="1280"/>
      <c r="KSH22" s="1280"/>
      <c r="KSI22" s="1280"/>
      <c r="KSJ22" s="1280"/>
      <c r="KSK22" s="1280"/>
      <c r="KSL22" s="1280"/>
      <c r="KSM22" s="1280"/>
      <c r="KSN22" s="1280"/>
      <c r="KSO22" s="1280"/>
      <c r="KSP22" s="1280"/>
      <c r="KSQ22" s="1280"/>
      <c r="KSR22" s="1280"/>
      <c r="KSS22" s="1280"/>
      <c r="KST22" s="1280"/>
      <c r="KSU22" s="1280"/>
      <c r="KSV22" s="1280"/>
      <c r="KSW22" s="1280"/>
      <c r="KSX22" s="1280"/>
      <c r="KSY22" s="1280"/>
      <c r="KSZ22" s="1280"/>
      <c r="KTA22" s="1280"/>
      <c r="KTB22" s="1280"/>
      <c r="KTC22" s="1280"/>
      <c r="KTD22" s="1280"/>
      <c r="KTE22" s="1280"/>
      <c r="KTF22" s="1280"/>
      <c r="KTG22" s="1280"/>
      <c r="KTH22" s="1280"/>
      <c r="KTI22" s="1280"/>
      <c r="KTJ22" s="1280"/>
      <c r="KTK22" s="1280"/>
      <c r="KTL22" s="1280"/>
      <c r="KTM22" s="1280"/>
      <c r="KTN22" s="1280"/>
      <c r="KTO22" s="1280"/>
      <c r="KTP22" s="1280"/>
      <c r="KTQ22" s="1280"/>
      <c r="KTR22" s="1280"/>
      <c r="KTS22" s="1280"/>
      <c r="KTT22" s="1280"/>
      <c r="KTU22" s="1280"/>
      <c r="KTV22" s="1280"/>
      <c r="KTW22" s="1280"/>
      <c r="KTX22" s="1280"/>
      <c r="KTY22" s="1280"/>
      <c r="KTZ22" s="1280"/>
      <c r="KUA22" s="1280"/>
      <c r="KUB22" s="1280"/>
      <c r="KUC22" s="1280"/>
      <c r="KUD22" s="1280"/>
      <c r="KUE22" s="1280"/>
      <c r="KUF22" s="1280"/>
      <c r="KUG22" s="1280"/>
      <c r="KUH22" s="1280"/>
      <c r="KUI22" s="1280"/>
      <c r="KUJ22" s="1280"/>
      <c r="KUK22" s="1280"/>
      <c r="KUL22" s="1280"/>
      <c r="KUM22" s="1280"/>
      <c r="KUN22" s="1280"/>
      <c r="KUO22" s="1280"/>
      <c r="KUP22" s="1280"/>
      <c r="KUQ22" s="1280"/>
      <c r="KUR22" s="1280"/>
      <c r="KUS22" s="1280"/>
      <c r="KUT22" s="1280"/>
      <c r="KUU22" s="1280"/>
      <c r="KUV22" s="1280"/>
      <c r="KUW22" s="1280"/>
      <c r="KUX22" s="1280"/>
      <c r="KUY22" s="1280"/>
      <c r="KUZ22" s="1280"/>
      <c r="KVA22" s="1280"/>
      <c r="KVB22" s="1280"/>
      <c r="KVC22" s="1280"/>
      <c r="KVD22" s="1280"/>
      <c r="KVE22" s="1280"/>
      <c r="KVF22" s="1280"/>
      <c r="KVG22" s="1280"/>
      <c r="KVH22" s="1280"/>
      <c r="KVI22" s="1280"/>
      <c r="KVJ22" s="1280"/>
      <c r="KVK22" s="1280"/>
      <c r="KVL22" s="1280"/>
      <c r="KVM22" s="1280"/>
      <c r="KVN22" s="1280"/>
      <c r="KVO22" s="1280"/>
      <c r="KVP22" s="1280"/>
      <c r="KVQ22" s="1280"/>
      <c r="KVR22" s="1280"/>
      <c r="KVS22" s="1280"/>
      <c r="KVT22" s="1280"/>
      <c r="KVU22" s="1280"/>
      <c r="KVV22" s="1280"/>
      <c r="KVW22" s="1280"/>
      <c r="KVX22" s="1280"/>
      <c r="KVY22" s="1280"/>
      <c r="KVZ22" s="1280"/>
      <c r="KWA22" s="1280"/>
      <c r="KWB22" s="1280"/>
      <c r="KWC22" s="1280"/>
      <c r="KWD22" s="1280"/>
      <c r="KWE22" s="1280"/>
      <c r="KWF22" s="1280"/>
      <c r="KWG22" s="1280"/>
      <c r="KWH22" s="1280"/>
      <c r="KWI22" s="1280"/>
      <c r="KWJ22" s="1280"/>
      <c r="KWK22" s="1280"/>
      <c r="KWL22" s="1280"/>
      <c r="KWM22" s="1280"/>
      <c r="KWN22" s="1280"/>
      <c r="KWO22" s="1280"/>
      <c r="KWP22" s="1280"/>
      <c r="KWQ22" s="1280"/>
      <c r="KWR22" s="1280"/>
      <c r="KWS22" s="1280"/>
      <c r="KWT22" s="1280"/>
      <c r="KWU22" s="1280"/>
      <c r="KWV22" s="1280"/>
      <c r="KWW22" s="1280"/>
      <c r="KWX22" s="1280"/>
      <c r="KWY22" s="1280"/>
      <c r="KWZ22" s="1280"/>
      <c r="KXA22" s="1280"/>
      <c r="KXB22" s="1280"/>
      <c r="KXC22" s="1280"/>
      <c r="KXD22" s="1280"/>
      <c r="KXE22" s="1280"/>
      <c r="KXF22" s="1280"/>
      <c r="KXG22" s="1280"/>
      <c r="KXH22" s="1280"/>
      <c r="KXI22" s="1280"/>
      <c r="KXJ22" s="1280"/>
      <c r="KXK22" s="1280"/>
      <c r="KXL22" s="1280"/>
      <c r="KXM22" s="1280"/>
      <c r="KXN22" s="1280"/>
      <c r="KXO22" s="1280"/>
      <c r="KXP22" s="1280"/>
      <c r="KXQ22" s="1280"/>
      <c r="KXR22" s="1280"/>
      <c r="KXS22" s="1280"/>
      <c r="KXT22" s="1280"/>
      <c r="KXU22" s="1280"/>
      <c r="KXV22" s="1280"/>
      <c r="KXW22" s="1280"/>
      <c r="KXX22" s="1280"/>
      <c r="KXY22" s="1280"/>
      <c r="KXZ22" s="1280"/>
      <c r="KYA22" s="1280"/>
      <c r="KYB22" s="1280"/>
      <c r="KYC22" s="1280"/>
      <c r="KYD22" s="1280"/>
      <c r="KYE22" s="1280"/>
      <c r="KYF22" s="1280"/>
      <c r="KYG22" s="1280"/>
      <c r="KYH22" s="1280"/>
      <c r="KYI22" s="1280"/>
      <c r="KYJ22" s="1280"/>
      <c r="KYK22" s="1280"/>
      <c r="KYL22" s="1280"/>
      <c r="KYM22" s="1280"/>
      <c r="KYN22" s="1280"/>
      <c r="KYO22" s="1280"/>
      <c r="KYP22" s="1280"/>
      <c r="KYQ22" s="1280"/>
      <c r="KYR22" s="1280"/>
      <c r="KYS22" s="1280"/>
      <c r="KYT22" s="1280"/>
      <c r="KYU22" s="1280"/>
      <c r="KYV22" s="1280"/>
      <c r="KYW22" s="1280"/>
      <c r="KYX22" s="1280"/>
      <c r="KYY22" s="1280"/>
      <c r="KYZ22" s="1280"/>
      <c r="KZA22" s="1280"/>
      <c r="KZB22" s="1280"/>
      <c r="KZC22" s="1280"/>
      <c r="KZD22" s="1280"/>
      <c r="KZE22" s="1280"/>
      <c r="KZF22" s="1280"/>
      <c r="KZG22" s="1280"/>
      <c r="KZH22" s="1280"/>
      <c r="KZI22" s="1280"/>
      <c r="KZJ22" s="1280"/>
      <c r="KZK22" s="1280"/>
      <c r="KZL22" s="1280"/>
      <c r="KZM22" s="1280"/>
      <c r="KZN22" s="1280"/>
      <c r="KZO22" s="1280"/>
      <c r="KZP22" s="1280"/>
      <c r="KZQ22" s="1280"/>
      <c r="KZR22" s="1280"/>
      <c r="KZS22" s="1280"/>
      <c r="KZT22" s="1280"/>
      <c r="KZU22" s="1280"/>
      <c r="KZV22" s="1280"/>
      <c r="KZW22" s="1280"/>
      <c r="KZX22" s="1280"/>
      <c r="KZY22" s="1280"/>
      <c r="KZZ22" s="1280"/>
      <c r="LAA22" s="1280"/>
      <c r="LAB22" s="1280"/>
      <c r="LAC22" s="1280"/>
      <c r="LAD22" s="1280"/>
      <c r="LAE22" s="1280"/>
      <c r="LAF22" s="1280"/>
      <c r="LAG22" s="1280"/>
      <c r="LAH22" s="1280"/>
      <c r="LAI22" s="1280"/>
      <c r="LAJ22" s="1280"/>
      <c r="LAK22" s="1280"/>
      <c r="LAL22" s="1280"/>
      <c r="LAM22" s="1280"/>
      <c r="LAN22" s="1280"/>
      <c r="LAO22" s="1280"/>
      <c r="LAP22" s="1280"/>
      <c r="LAQ22" s="1280"/>
      <c r="LAR22" s="1280"/>
      <c r="LAS22" s="1280"/>
      <c r="LAT22" s="1280"/>
      <c r="LAU22" s="1280"/>
      <c r="LAV22" s="1280"/>
      <c r="LAW22" s="1280"/>
      <c r="LAX22" s="1280"/>
      <c r="LAY22" s="1280"/>
      <c r="LAZ22" s="1280"/>
      <c r="LBA22" s="1280"/>
      <c r="LBB22" s="1280"/>
      <c r="LBC22" s="1280"/>
      <c r="LBD22" s="1280"/>
      <c r="LBE22" s="1280"/>
      <c r="LBF22" s="1280"/>
      <c r="LBG22" s="1280"/>
      <c r="LBH22" s="1280"/>
      <c r="LBI22" s="1280"/>
      <c r="LBJ22" s="1280"/>
      <c r="LBK22" s="1280"/>
      <c r="LBL22" s="1280"/>
      <c r="LBM22" s="1280"/>
      <c r="LBN22" s="1280"/>
      <c r="LBO22" s="1280"/>
      <c r="LBP22" s="1280"/>
      <c r="LBQ22" s="1280"/>
      <c r="LBR22" s="1280"/>
      <c r="LBS22" s="1280"/>
      <c r="LBT22" s="1280"/>
      <c r="LBU22" s="1280"/>
      <c r="LBV22" s="1280"/>
      <c r="LBW22" s="1280"/>
      <c r="LBX22" s="1280"/>
      <c r="LBY22" s="1280"/>
      <c r="LBZ22" s="1280"/>
      <c r="LCA22" s="1280"/>
      <c r="LCB22" s="1280"/>
      <c r="LCC22" s="1280"/>
      <c r="LCD22" s="1280"/>
      <c r="LCE22" s="1280"/>
      <c r="LCF22" s="1280"/>
      <c r="LCG22" s="1280"/>
      <c r="LCH22" s="1280"/>
      <c r="LCI22" s="1280"/>
      <c r="LCJ22" s="1280"/>
      <c r="LCK22" s="1280"/>
      <c r="LCL22" s="1280"/>
      <c r="LCM22" s="1280"/>
      <c r="LCN22" s="1280"/>
      <c r="LCO22" s="1280"/>
      <c r="LCP22" s="1280"/>
      <c r="LCQ22" s="1280"/>
      <c r="LCR22" s="1280"/>
      <c r="LCS22" s="1280"/>
      <c r="LCT22" s="1280"/>
      <c r="LCU22" s="1280"/>
      <c r="LCV22" s="1280"/>
      <c r="LCW22" s="1280"/>
      <c r="LCX22" s="1280"/>
      <c r="LCY22" s="1280"/>
      <c r="LCZ22" s="1280"/>
      <c r="LDA22" s="1280"/>
      <c r="LDB22" s="1280"/>
      <c r="LDC22" s="1280"/>
      <c r="LDD22" s="1280"/>
      <c r="LDE22" s="1280"/>
      <c r="LDF22" s="1280"/>
      <c r="LDG22" s="1280"/>
      <c r="LDH22" s="1280"/>
      <c r="LDI22" s="1280"/>
      <c r="LDJ22" s="1280"/>
      <c r="LDK22" s="1280"/>
      <c r="LDL22" s="1280"/>
      <c r="LDM22" s="1280"/>
      <c r="LDN22" s="1280"/>
      <c r="LDO22" s="1280"/>
      <c r="LDP22" s="1280"/>
      <c r="LDQ22" s="1280"/>
      <c r="LDR22" s="1280"/>
      <c r="LDS22" s="1280"/>
      <c r="LDT22" s="1280"/>
      <c r="LDU22" s="1280"/>
      <c r="LDV22" s="1280"/>
      <c r="LDW22" s="1280"/>
      <c r="LDX22" s="1280"/>
      <c r="LDY22" s="1280"/>
      <c r="LDZ22" s="1280"/>
      <c r="LEA22" s="1280"/>
      <c r="LEB22" s="1280"/>
      <c r="LEC22" s="1280"/>
      <c r="LED22" s="1280"/>
      <c r="LEE22" s="1280"/>
      <c r="LEF22" s="1280"/>
      <c r="LEG22" s="1280"/>
      <c r="LEH22" s="1280"/>
      <c r="LEI22" s="1280"/>
      <c r="LEJ22" s="1280"/>
      <c r="LEK22" s="1280"/>
      <c r="LEL22" s="1280"/>
      <c r="LEM22" s="1280"/>
      <c r="LEN22" s="1280"/>
      <c r="LEO22" s="1280"/>
      <c r="LEP22" s="1280"/>
      <c r="LEQ22" s="1280"/>
      <c r="LER22" s="1280"/>
      <c r="LES22" s="1280"/>
      <c r="LET22" s="1280"/>
      <c r="LEU22" s="1280"/>
      <c r="LEV22" s="1280"/>
      <c r="LEW22" s="1280"/>
      <c r="LEX22" s="1280"/>
      <c r="LEY22" s="1280"/>
      <c r="LEZ22" s="1280"/>
      <c r="LFA22" s="1280"/>
      <c r="LFB22" s="1280"/>
      <c r="LFC22" s="1280"/>
      <c r="LFD22" s="1280"/>
      <c r="LFE22" s="1280"/>
      <c r="LFF22" s="1280"/>
      <c r="LFG22" s="1280"/>
      <c r="LFH22" s="1280"/>
      <c r="LFI22" s="1280"/>
      <c r="LFJ22" s="1280"/>
      <c r="LFK22" s="1280"/>
      <c r="LFL22" s="1280"/>
      <c r="LFM22" s="1280"/>
      <c r="LFN22" s="1280"/>
      <c r="LFO22" s="1280"/>
      <c r="LFP22" s="1280"/>
      <c r="LFQ22" s="1280"/>
      <c r="LFR22" s="1280"/>
      <c r="LFS22" s="1280"/>
      <c r="LFT22" s="1280"/>
      <c r="LFU22" s="1280"/>
      <c r="LFV22" s="1280"/>
      <c r="LFW22" s="1280"/>
      <c r="LFX22" s="1280"/>
      <c r="LFY22" s="1280"/>
      <c r="LFZ22" s="1280"/>
      <c r="LGA22" s="1280"/>
      <c r="LGB22" s="1280"/>
      <c r="LGC22" s="1280"/>
      <c r="LGD22" s="1280"/>
      <c r="LGE22" s="1280"/>
      <c r="LGF22" s="1280"/>
      <c r="LGG22" s="1280"/>
      <c r="LGH22" s="1280"/>
      <c r="LGI22" s="1280"/>
      <c r="LGJ22" s="1280"/>
      <c r="LGK22" s="1280"/>
      <c r="LGL22" s="1280"/>
      <c r="LGM22" s="1280"/>
      <c r="LGN22" s="1280"/>
      <c r="LGO22" s="1280"/>
      <c r="LGP22" s="1280"/>
      <c r="LGQ22" s="1280"/>
      <c r="LGR22" s="1280"/>
      <c r="LGS22" s="1280"/>
      <c r="LGT22" s="1280"/>
      <c r="LGU22" s="1280"/>
      <c r="LGV22" s="1280"/>
      <c r="LGW22" s="1280"/>
      <c r="LGX22" s="1280"/>
      <c r="LGY22" s="1280"/>
      <c r="LGZ22" s="1280"/>
      <c r="LHA22" s="1280"/>
      <c r="LHB22" s="1280"/>
      <c r="LHC22" s="1280"/>
      <c r="LHD22" s="1280"/>
      <c r="LHE22" s="1280"/>
      <c r="LHF22" s="1280"/>
      <c r="LHG22" s="1280"/>
      <c r="LHH22" s="1280"/>
      <c r="LHI22" s="1280"/>
      <c r="LHJ22" s="1280"/>
      <c r="LHK22" s="1280"/>
      <c r="LHL22" s="1280"/>
      <c r="LHM22" s="1280"/>
      <c r="LHN22" s="1280"/>
      <c r="LHO22" s="1280"/>
      <c r="LHP22" s="1280"/>
      <c r="LHQ22" s="1280"/>
      <c r="LHR22" s="1280"/>
      <c r="LHS22" s="1280"/>
      <c r="LHT22" s="1280"/>
      <c r="LHU22" s="1280"/>
      <c r="LHV22" s="1280"/>
      <c r="LHW22" s="1280"/>
      <c r="LHX22" s="1280"/>
      <c r="LHY22" s="1280"/>
      <c r="LHZ22" s="1280"/>
      <c r="LIA22" s="1280"/>
      <c r="LIB22" s="1280"/>
      <c r="LIC22" s="1280"/>
      <c r="LID22" s="1280"/>
      <c r="LIE22" s="1280"/>
      <c r="LIF22" s="1280"/>
      <c r="LIG22" s="1280"/>
      <c r="LIH22" s="1280"/>
      <c r="LII22" s="1280"/>
      <c r="LIJ22" s="1280"/>
      <c r="LIK22" s="1280"/>
      <c r="LIL22" s="1280"/>
      <c r="LIM22" s="1280"/>
      <c r="LIN22" s="1280"/>
      <c r="LIO22" s="1280"/>
      <c r="LIP22" s="1280"/>
      <c r="LIQ22" s="1280"/>
      <c r="LIR22" s="1280"/>
      <c r="LIS22" s="1280"/>
      <c r="LIT22" s="1280"/>
      <c r="LIU22" s="1280"/>
      <c r="LIV22" s="1280"/>
      <c r="LIW22" s="1280"/>
      <c r="LIX22" s="1280"/>
      <c r="LIY22" s="1280"/>
      <c r="LIZ22" s="1280"/>
      <c r="LJA22" s="1280"/>
      <c r="LJB22" s="1280"/>
      <c r="LJC22" s="1280"/>
      <c r="LJD22" s="1280"/>
      <c r="LJE22" s="1280"/>
      <c r="LJF22" s="1280"/>
      <c r="LJG22" s="1280"/>
      <c r="LJH22" s="1280"/>
      <c r="LJI22" s="1280"/>
      <c r="LJJ22" s="1280"/>
      <c r="LJK22" s="1280"/>
      <c r="LJL22" s="1280"/>
      <c r="LJM22" s="1280"/>
      <c r="LJN22" s="1280"/>
      <c r="LJO22" s="1280"/>
      <c r="LJP22" s="1280"/>
      <c r="LJQ22" s="1280"/>
      <c r="LJR22" s="1280"/>
      <c r="LJS22" s="1280"/>
      <c r="LJT22" s="1280"/>
      <c r="LJU22" s="1280"/>
      <c r="LJV22" s="1280"/>
      <c r="LJW22" s="1280"/>
      <c r="LJX22" s="1280"/>
      <c r="LJY22" s="1280"/>
      <c r="LJZ22" s="1280"/>
      <c r="LKA22" s="1280"/>
      <c r="LKB22" s="1280"/>
      <c r="LKC22" s="1280"/>
      <c r="LKD22" s="1280"/>
      <c r="LKE22" s="1280"/>
      <c r="LKF22" s="1280"/>
      <c r="LKG22" s="1280"/>
      <c r="LKH22" s="1280"/>
      <c r="LKI22" s="1280"/>
      <c r="LKJ22" s="1280"/>
      <c r="LKK22" s="1280"/>
      <c r="LKL22" s="1280"/>
      <c r="LKM22" s="1280"/>
      <c r="LKN22" s="1280"/>
      <c r="LKO22" s="1280"/>
      <c r="LKP22" s="1280"/>
      <c r="LKQ22" s="1280"/>
      <c r="LKR22" s="1280"/>
      <c r="LKS22" s="1280"/>
      <c r="LKT22" s="1280"/>
      <c r="LKU22" s="1280"/>
      <c r="LKV22" s="1280"/>
      <c r="LKW22" s="1280"/>
      <c r="LKX22" s="1280"/>
      <c r="LKY22" s="1280"/>
      <c r="LKZ22" s="1280"/>
      <c r="LLA22" s="1280"/>
      <c r="LLB22" s="1280"/>
      <c r="LLC22" s="1280"/>
      <c r="LLD22" s="1280"/>
      <c r="LLE22" s="1280"/>
      <c r="LLF22" s="1280"/>
      <c r="LLG22" s="1280"/>
      <c r="LLH22" s="1280"/>
      <c r="LLI22" s="1280"/>
      <c r="LLJ22" s="1280"/>
      <c r="LLK22" s="1280"/>
      <c r="LLL22" s="1280"/>
      <c r="LLM22" s="1280"/>
      <c r="LLN22" s="1280"/>
      <c r="LLO22" s="1280"/>
      <c r="LLP22" s="1280"/>
      <c r="LLQ22" s="1280"/>
      <c r="LLR22" s="1280"/>
      <c r="LLS22" s="1280"/>
      <c r="LLT22" s="1280"/>
      <c r="LLU22" s="1280"/>
      <c r="LLV22" s="1280"/>
      <c r="LLW22" s="1280"/>
      <c r="LLX22" s="1280"/>
      <c r="LLY22" s="1280"/>
      <c r="LLZ22" s="1280"/>
      <c r="LMA22" s="1280"/>
      <c r="LMB22" s="1280"/>
      <c r="LMC22" s="1280"/>
      <c r="LMD22" s="1280"/>
      <c r="LME22" s="1280"/>
      <c r="LMF22" s="1280"/>
      <c r="LMG22" s="1280"/>
      <c r="LMH22" s="1280"/>
      <c r="LMI22" s="1280"/>
      <c r="LMJ22" s="1280"/>
      <c r="LMK22" s="1280"/>
      <c r="LML22" s="1280"/>
      <c r="LMM22" s="1280"/>
      <c r="LMN22" s="1280"/>
      <c r="LMO22" s="1280"/>
      <c r="LMP22" s="1280"/>
      <c r="LMQ22" s="1280"/>
      <c r="LMR22" s="1280"/>
      <c r="LMS22" s="1280"/>
      <c r="LMT22" s="1280"/>
      <c r="LMU22" s="1280"/>
      <c r="LMV22" s="1280"/>
      <c r="LMW22" s="1280"/>
      <c r="LMX22" s="1280"/>
      <c r="LMY22" s="1280"/>
      <c r="LMZ22" s="1280"/>
      <c r="LNA22" s="1280"/>
      <c r="LNB22" s="1280"/>
      <c r="LNC22" s="1280"/>
      <c r="LND22" s="1280"/>
      <c r="LNE22" s="1280"/>
      <c r="LNF22" s="1280"/>
      <c r="LNG22" s="1280"/>
      <c r="LNH22" s="1280"/>
      <c r="LNI22" s="1280"/>
      <c r="LNJ22" s="1280"/>
      <c r="LNK22" s="1280"/>
      <c r="LNL22" s="1280"/>
      <c r="LNM22" s="1280"/>
      <c r="LNN22" s="1280"/>
      <c r="LNO22" s="1280"/>
      <c r="LNP22" s="1280"/>
      <c r="LNQ22" s="1280"/>
      <c r="LNR22" s="1280"/>
      <c r="LNS22" s="1280"/>
      <c r="LNT22" s="1280"/>
      <c r="LNU22" s="1280"/>
      <c r="LNV22" s="1280"/>
      <c r="LNW22" s="1280"/>
      <c r="LNX22" s="1280"/>
      <c r="LNY22" s="1280"/>
      <c r="LNZ22" s="1280"/>
      <c r="LOA22" s="1280"/>
      <c r="LOB22" s="1280"/>
      <c r="LOC22" s="1280"/>
      <c r="LOD22" s="1280"/>
      <c r="LOE22" s="1280"/>
      <c r="LOF22" s="1280"/>
      <c r="LOG22" s="1280"/>
      <c r="LOH22" s="1280"/>
      <c r="LOI22" s="1280"/>
      <c r="LOJ22" s="1280"/>
      <c r="LOK22" s="1280"/>
      <c r="LOL22" s="1280"/>
      <c r="LOM22" s="1280"/>
      <c r="LON22" s="1280"/>
      <c r="LOO22" s="1280"/>
      <c r="LOP22" s="1280"/>
      <c r="LOQ22" s="1280"/>
      <c r="LOR22" s="1280"/>
      <c r="LOS22" s="1280"/>
      <c r="LOT22" s="1280"/>
      <c r="LOU22" s="1280"/>
      <c r="LOV22" s="1280"/>
      <c r="LOW22" s="1280"/>
      <c r="LOX22" s="1280"/>
      <c r="LOY22" s="1280"/>
      <c r="LOZ22" s="1280"/>
      <c r="LPA22" s="1280"/>
      <c r="LPB22" s="1280"/>
      <c r="LPC22" s="1280"/>
      <c r="LPD22" s="1280"/>
      <c r="LPE22" s="1280"/>
      <c r="LPF22" s="1280"/>
      <c r="LPG22" s="1280"/>
      <c r="LPH22" s="1280"/>
      <c r="LPI22" s="1280"/>
      <c r="LPJ22" s="1280"/>
      <c r="LPK22" s="1280"/>
      <c r="LPL22" s="1280"/>
      <c r="LPM22" s="1280"/>
      <c r="LPN22" s="1280"/>
      <c r="LPO22" s="1280"/>
      <c r="LPP22" s="1280"/>
      <c r="LPQ22" s="1280"/>
      <c r="LPR22" s="1280"/>
      <c r="LPS22" s="1280"/>
      <c r="LPT22" s="1280"/>
      <c r="LPU22" s="1280"/>
      <c r="LPV22" s="1280"/>
      <c r="LPW22" s="1280"/>
      <c r="LPX22" s="1280"/>
      <c r="LPY22" s="1280"/>
      <c r="LPZ22" s="1280"/>
      <c r="LQA22" s="1280"/>
      <c r="LQB22" s="1280"/>
      <c r="LQC22" s="1280"/>
      <c r="LQD22" s="1280"/>
      <c r="LQE22" s="1280"/>
      <c r="LQF22" s="1280"/>
      <c r="LQG22" s="1280"/>
      <c r="LQH22" s="1280"/>
      <c r="LQI22" s="1280"/>
      <c r="LQJ22" s="1280"/>
      <c r="LQK22" s="1280"/>
      <c r="LQL22" s="1280"/>
      <c r="LQM22" s="1280"/>
      <c r="LQN22" s="1280"/>
      <c r="LQO22" s="1280"/>
      <c r="LQP22" s="1280"/>
      <c r="LQQ22" s="1280"/>
      <c r="LQR22" s="1280"/>
      <c r="LQS22" s="1280"/>
      <c r="LQT22" s="1280"/>
      <c r="LQU22" s="1280"/>
      <c r="LQV22" s="1280"/>
      <c r="LQW22" s="1280"/>
      <c r="LQX22" s="1280"/>
      <c r="LQY22" s="1280"/>
      <c r="LQZ22" s="1280"/>
      <c r="LRA22" s="1280"/>
      <c r="LRB22" s="1280"/>
      <c r="LRC22" s="1280"/>
      <c r="LRD22" s="1280"/>
      <c r="LRE22" s="1280"/>
      <c r="LRF22" s="1280"/>
      <c r="LRG22" s="1280"/>
      <c r="LRH22" s="1280"/>
      <c r="LRI22" s="1280"/>
      <c r="LRJ22" s="1280"/>
      <c r="LRK22" s="1280"/>
      <c r="LRL22" s="1280"/>
      <c r="LRM22" s="1280"/>
      <c r="LRN22" s="1280"/>
      <c r="LRO22" s="1280"/>
      <c r="LRP22" s="1280"/>
      <c r="LRQ22" s="1280"/>
      <c r="LRR22" s="1280"/>
      <c r="LRS22" s="1280"/>
      <c r="LRT22" s="1280"/>
      <c r="LRU22" s="1280"/>
      <c r="LRV22" s="1280"/>
      <c r="LRW22" s="1280"/>
      <c r="LRX22" s="1280"/>
      <c r="LRY22" s="1280"/>
      <c r="LRZ22" s="1280"/>
      <c r="LSA22" s="1280"/>
      <c r="LSB22" s="1280"/>
      <c r="LSC22" s="1280"/>
      <c r="LSD22" s="1280"/>
      <c r="LSE22" s="1280"/>
      <c r="LSF22" s="1280"/>
      <c r="LSG22" s="1280"/>
      <c r="LSH22" s="1280"/>
      <c r="LSI22" s="1280"/>
      <c r="LSJ22" s="1280"/>
      <c r="LSK22" s="1280"/>
      <c r="LSL22" s="1280"/>
      <c r="LSM22" s="1280"/>
      <c r="LSN22" s="1280"/>
      <c r="LSO22" s="1280"/>
      <c r="LSP22" s="1280"/>
      <c r="LSQ22" s="1280"/>
      <c r="LSR22" s="1280"/>
      <c r="LSS22" s="1280"/>
      <c r="LST22" s="1280"/>
      <c r="LSU22" s="1280"/>
      <c r="LSV22" s="1280"/>
      <c r="LSW22" s="1280"/>
      <c r="LSX22" s="1280"/>
      <c r="LSY22" s="1280"/>
      <c r="LSZ22" s="1280"/>
      <c r="LTA22" s="1280"/>
      <c r="LTB22" s="1280"/>
      <c r="LTC22" s="1280"/>
      <c r="LTD22" s="1280"/>
      <c r="LTE22" s="1280"/>
      <c r="LTF22" s="1280"/>
      <c r="LTG22" s="1280"/>
      <c r="LTH22" s="1280"/>
      <c r="LTI22" s="1280"/>
      <c r="LTJ22" s="1280"/>
      <c r="LTK22" s="1280"/>
      <c r="LTL22" s="1280"/>
      <c r="LTM22" s="1280"/>
      <c r="LTN22" s="1280"/>
      <c r="LTO22" s="1280"/>
      <c r="LTP22" s="1280"/>
      <c r="LTQ22" s="1280"/>
      <c r="LTR22" s="1280"/>
      <c r="LTS22" s="1280"/>
      <c r="LTT22" s="1280"/>
      <c r="LTU22" s="1280"/>
      <c r="LTV22" s="1280"/>
      <c r="LTW22" s="1280"/>
      <c r="LTX22" s="1280"/>
      <c r="LTY22" s="1280"/>
      <c r="LTZ22" s="1280"/>
      <c r="LUA22" s="1280"/>
      <c r="LUB22" s="1280"/>
      <c r="LUC22" s="1280"/>
      <c r="LUD22" s="1280"/>
      <c r="LUE22" s="1280"/>
      <c r="LUF22" s="1280"/>
      <c r="LUG22" s="1280"/>
      <c r="LUH22" s="1280"/>
      <c r="LUI22" s="1280"/>
      <c r="LUJ22" s="1280"/>
      <c r="LUK22" s="1280"/>
      <c r="LUL22" s="1280"/>
      <c r="LUM22" s="1280"/>
      <c r="LUN22" s="1280"/>
      <c r="LUO22" s="1280"/>
      <c r="LUP22" s="1280"/>
      <c r="LUQ22" s="1280"/>
      <c r="LUR22" s="1280"/>
      <c r="LUS22" s="1280"/>
      <c r="LUT22" s="1280"/>
      <c r="LUU22" s="1280"/>
      <c r="LUV22" s="1280"/>
      <c r="LUW22" s="1280"/>
      <c r="LUX22" s="1280"/>
      <c r="LUY22" s="1280"/>
      <c r="LUZ22" s="1280"/>
      <c r="LVA22" s="1280"/>
      <c r="LVB22" s="1280"/>
      <c r="LVC22" s="1280"/>
      <c r="LVD22" s="1280"/>
      <c r="LVE22" s="1280"/>
      <c r="LVF22" s="1280"/>
      <c r="LVG22" s="1280"/>
      <c r="LVH22" s="1280"/>
      <c r="LVI22" s="1280"/>
      <c r="LVJ22" s="1280"/>
      <c r="LVK22" s="1280"/>
      <c r="LVL22" s="1280"/>
      <c r="LVM22" s="1280"/>
      <c r="LVN22" s="1280"/>
      <c r="LVO22" s="1280"/>
      <c r="LVP22" s="1280"/>
      <c r="LVQ22" s="1280"/>
      <c r="LVR22" s="1280"/>
      <c r="LVS22" s="1280"/>
      <c r="LVT22" s="1280"/>
      <c r="LVU22" s="1280"/>
      <c r="LVV22" s="1280"/>
      <c r="LVW22" s="1280"/>
      <c r="LVX22" s="1280"/>
      <c r="LVY22" s="1280"/>
      <c r="LVZ22" s="1280"/>
      <c r="LWA22" s="1280"/>
      <c r="LWB22" s="1280"/>
      <c r="LWC22" s="1280"/>
      <c r="LWD22" s="1280"/>
      <c r="LWE22" s="1280"/>
      <c r="LWF22" s="1280"/>
      <c r="LWG22" s="1280"/>
      <c r="LWH22" s="1280"/>
      <c r="LWI22" s="1280"/>
      <c r="LWJ22" s="1280"/>
      <c r="LWK22" s="1280"/>
      <c r="LWL22" s="1280"/>
      <c r="LWM22" s="1280"/>
      <c r="LWN22" s="1280"/>
      <c r="LWO22" s="1280"/>
      <c r="LWP22" s="1280"/>
      <c r="LWQ22" s="1280"/>
      <c r="LWR22" s="1280"/>
      <c r="LWS22" s="1280"/>
      <c r="LWT22" s="1280"/>
      <c r="LWU22" s="1280"/>
      <c r="LWV22" s="1280"/>
      <c r="LWW22" s="1280"/>
      <c r="LWX22" s="1280"/>
      <c r="LWY22" s="1280"/>
      <c r="LWZ22" s="1280"/>
      <c r="LXA22" s="1280"/>
      <c r="LXB22" s="1280"/>
      <c r="LXC22" s="1280"/>
      <c r="LXD22" s="1280"/>
      <c r="LXE22" s="1280"/>
      <c r="LXF22" s="1280"/>
      <c r="LXG22" s="1280"/>
      <c r="LXH22" s="1280"/>
      <c r="LXI22" s="1280"/>
      <c r="LXJ22" s="1280"/>
      <c r="LXK22" s="1280"/>
      <c r="LXL22" s="1280"/>
      <c r="LXM22" s="1280"/>
      <c r="LXN22" s="1280"/>
      <c r="LXO22" s="1280"/>
      <c r="LXP22" s="1280"/>
      <c r="LXQ22" s="1280"/>
      <c r="LXR22" s="1280"/>
      <c r="LXS22" s="1280"/>
      <c r="LXT22" s="1280"/>
      <c r="LXU22" s="1280"/>
      <c r="LXV22" s="1280"/>
      <c r="LXW22" s="1280"/>
      <c r="LXX22" s="1280"/>
      <c r="LXY22" s="1280"/>
      <c r="LXZ22" s="1280"/>
      <c r="LYA22" s="1280"/>
      <c r="LYB22" s="1280"/>
      <c r="LYC22" s="1280"/>
      <c r="LYD22" s="1280"/>
      <c r="LYE22" s="1280"/>
      <c r="LYF22" s="1280"/>
      <c r="LYG22" s="1280"/>
      <c r="LYH22" s="1280"/>
      <c r="LYI22" s="1280"/>
      <c r="LYJ22" s="1280"/>
      <c r="LYK22" s="1280"/>
      <c r="LYL22" s="1280"/>
      <c r="LYM22" s="1280"/>
      <c r="LYN22" s="1280"/>
      <c r="LYO22" s="1280"/>
      <c r="LYP22" s="1280"/>
      <c r="LYQ22" s="1280"/>
      <c r="LYR22" s="1280"/>
      <c r="LYS22" s="1280"/>
      <c r="LYT22" s="1280"/>
      <c r="LYU22" s="1280"/>
      <c r="LYV22" s="1280"/>
      <c r="LYW22" s="1280"/>
      <c r="LYX22" s="1280"/>
      <c r="LYY22" s="1280"/>
      <c r="LYZ22" s="1280"/>
      <c r="LZA22" s="1280"/>
      <c r="LZB22" s="1280"/>
      <c r="LZC22" s="1280"/>
      <c r="LZD22" s="1280"/>
      <c r="LZE22" s="1280"/>
      <c r="LZF22" s="1280"/>
      <c r="LZG22" s="1280"/>
      <c r="LZH22" s="1280"/>
      <c r="LZI22" s="1280"/>
      <c r="LZJ22" s="1280"/>
      <c r="LZK22" s="1280"/>
      <c r="LZL22" s="1280"/>
      <c r="LZM22" s="1280"/>
      <c r="LZN22" s="1280"/>
      <c r="LZO22" s="1280"/>
      <c r="LZP22" s="1280"/>
      <c r="LZQ22" s="1280"/>
      <c r="LZR22" s="1280"/>
      <c r="LZS22" s="1280"/>
      <c r="LZT22" s="1280"/>
      <c r="LZU22" s="1280"/>
      <c r="LZV22" s="1280"/>
      <c r="LZW22" s="1280"/>
      <c r="LZX22" s="1280"/>
      <c r="LZY22" s="1280"/>
      <c r="LZZ22" s="1280"/>
      <c r="MAA22" s="1280"/>
      <c r="MAB22" s="1280"/>
      <c r="MAC22" s="1280"/>
      <c r="MAD22" s="1280"/>
      <c r="MAE22" s="1280"/>
      <c r="MAF22" s="1280"/>
      <c r="MAG22" s="1280"/>
      <c r="MAH22" s="1280"/>
      <c r="MAI22" s="1280"/>
      <c r="MAJ22" s="1280"/>
      <c r="MAK22" s="1280"/>
      <c r="MAL22" s="1280"/>
      <c r="MAM22" s="1280"/>
      <c r="MAN22" s="1280"/>
      <c r="MAO22" s="1280"/>
      <c r="MAP22" s="1280"/>
      <c r="MAQ22" s="1280"/>
      <c r="MAR22" s="1280"/>
      <c r="MAS22" s="1280"/>
      <c r="MAT22" s="1280"/>
      <c r="MAU22" s="1280"/>
      <c r="MAV22" s="1280"/>
      <c r="MAW22" s="1280"/>
      <c r="MAX22" s="1280"/>
      <c r="MAY22" s="1280"/>
      <c r="MAZ22" s="1280"/>
      <c r="MBA22" s="1280"/>
      <c r="MBB22" s="1280"/>
      <c r="MBC22" s="1280"/>
      <c r="MBD22" s="1280"/>
      <c r="MBE22" s="1280"/>
      <c r="MBF22" s="1280"/>
      <c r="MBG22" s="1280"/>
      <c r="MBH22" s="1280"/>
      <c r="MBI22" s="1280"/>
      <c r="MBJ22" s="1280"/>
      <c r="MBK22" s="1280"/>
      <c r="MBL22" s="1280"/>
      <c r="MBM22" s="1280"/>
      <c r="MBN22" s="1280"/>
      <c r="MBO22" s="1280"/>
      <c r="MBP22" s="1280"/>
      <c r="MBQ22" s="1280"/>
      <c r="MBR22" s="1280"/>
      <c r="MBS22" s="1280"/>
      <c r="MBT22" s="1280"/>
      <c r="MBU22" s="1280"/>
      <c r="MBV22" s="1280"/>
      <c r="MBW22" s="1280"/>
      <c r="MBX22" s="1280"/>
      <c r="MBY22" s="1280"/>
      <c r="MBZ22" s="1280"/>
      <c r="MCA22" s="1280"/>
      <c r="MCB22" s="1280"/>
      <c r="MCC22" s="1280"/>
      <c r="MCD22" s="1280"/>
      <c r="MCE22" s="1280"/>
      <c r="MCF22" s="1280"/>
      <c r="MCG22" s="1280"/>
      <c r="MCH22" s="1280"/>
      <c r="MCI22" s="1280"/>
      <c r="MCJ22" s="1280"/>
      <c r="MCK22" s="1280"/>
      <c r="MCL22" s="1280"/>
      <c r="MCM22" s="1280"/>
      <c r="MCN22" s="1280"/>
      <c r="MCO22" s="1280"/>
      <c r="MCP22" s="1280"/>
      <c r="MCQ22" s="1280"/>
      <c r="MCR22" s="1280"/>
      <c r="MCS22" s="1280"/>
      <c r="MCT22" s="1280"/>
      <c r="MCU22" s="1280"/>
      <c r="MCV22" s="1280"/>
      <c r="MCW22" s="1280"/>
      <c r="MCX22" s="1280"/>
      <c r="MCY22" s="1280"/>
      <c r="MCZ22" s="1280"/>
      <c r="MDA22" s="1280"/>
      <c r="MDB22" s="1280"/>
      <c r="MDC22" s="1280"/>
      <c r="MDD22" s="1280"/>
      <c r="MDE22" s="1280"/>
      <c r="MDF22" s="1280"/>
      <c r="MDG22" s="1280"/>
      <c r="MDH22" s="1280"/>
      <c r="MDI22" s="1280"/>
      <c r="MDJ22" s="1280"/>
      <c r="MDK22" s="1280"/>
      <c r="MDL22" s="1280"/>
      <c r="MDM22" s="1280"/>
      <c r="MDN22" s="1280"/>
      <c r="MDO22" s="1280"/>
      <c r="MDP22" s="1280"/>
      <c r="MDQ22" s="1280"/>
      <c r="MDR22" s="1280"/>
      <c r="MDS22" s="1280"/>
      <c r="MDT22" s="1280"/>
      <c r="MDU22" s="1280"/>
      <c r="MDV22" s="1280"/>
      <c r="MDW22" s="1280"/>
      <c r="MDX22" s="1280"/>
      <c r="MDY22" s="1280"/>
      <c r="MDZ22" s="1280"/>
      <c r="MEA22" s="1280"/>
      <c r="MEB22" s="1280"/>
      <c r="MEC22" s="1280"/>
      <c r="MED22" s="1280"/>
      <c r="MEE22" s="1280"/>
      <c r="MEF22" s="1280"/>
      <c r="MEG22" s="1280"/>
      <c r="MEH22" s="1280"/>
      <c r="MEI22" s="1280"/>
      <c r="MEJ22" s="1280"/>
      <c r="MEK22" s="1280"/>
      <c r="MEL22" s="1280"/>
      <c r="MEM22" s="1280"/>
      <c r="MEN22" s="1280"/>
      <c r="MEO22" s="1280"/>
      <c r="MEP22" s="1280"/>
      <c r="MEQ22" s="1280"/>
      <c r="MER22" s="1280"/>
      <c r="MES22" s="1280"/>
      <c r="MET22" s="1280"/>
      <c r="MEU22" s="1280"/>
      <c r="MEV22" s="1280"/>
      <c r="MEW22" s="1280"/>
      <c r="MEX22" s="1280"/>
      <c r="MEY22" s="1280"/>
      <c r="MEZ22" s="1280"/>
      <c r="MFA22" s="1280"/>
      <c r="MFB22" s="1280"/>
      <c r="MFC22" s="1280"/>
      <c r="MFD22" s="1280"/>
      <c r="MFE22" s="1280"/>
      <c r="MFF22" s="1280"/>
      <c r="MFG22" s="1280"/>
      <c r="MFH22" s="1280"/>
      <c r="MFI22" s="1280"/>
      <c r="MFJ22" s="1280"/>
      <c r="MFK22" s="1280"/>
      <c r="MFL22" s="1280"/>
      <c r="MFM22" s="1280"/>
      <c r="MFN22" s="1280"/>
      <c r="MFO22" s="1280"/>
      <c r="MFP22" s="1280"/>
      <c r="MFQ22" s="1280"/>
      <c r="MFR22" s="1280"/>
      <c r="MFS22" s="1280"/>
      <c r="MFT22" s="1280"/>
      <c r="MFU22" s="1280"/>
      <c r="MFV22" s="1280"/>
      <c r="MFW22" s="1280"/>
      <c r="MFX22" s="1280"/>
      <c r="MFY22" s="1280"/>
      <c r="MFZ22" s="1280"/>
      <c r="MGA22" s="1280"/>
      <c r="MGB22" s="1280"/>
      <c r="MGC22" s="1280"/>
      <c r="MGD22" s="1280"/>
      <c r="MGE22" s="1280"/>
      <c r="MGF22" s="1280"/>
      <c r="MGG22" s="1280"/>
      <c r="MGH22" s="1280"/>
      <c r="MGI22" s="1280"/>
      <c r="MGJ22" s="1280"/>
      <c r="MGK22" s="1280"/>
      <c r="MGL22" s="1280"/>
      <c r="MGM22" s="1280"/>
      <c r="MGN22" s="1280"/>
      <c r="MGO22" s="1280"/>
      <c r="MGP22" s="1280"/>
      <c r="MGQ22" s="1280"/>
      <c r="MGR22" s="1280"/>
      <c r="MGS22" s="1280"/>
      <c r="MGT22" s="1280"/>
      <c r="MGU22" s="1280"/>
      <c r="MGV22" s="1280"/>
      <c r="MGW22" s="1280"/>
      <c r="MGX22" s="1280"/>
      <c r="MGY22" s="1280"/>
      <c r="MGZ22" s="1280"/>
      <c r="MHA22" s="1280"/>
      <c r="MHB22" s="1280"/>
      <c r="MHC22" s="1280"/>
      <c r="MHD22" s="1280"/>
      <c r="MHE22" s="1280"/>
      <c r="MHF22" s="1280"/>
      <c r="MHG22" s="1280"/>
      <c r="MHH22" s="1280"/>
      <c r="MHI22" s="1280"/>
      <c r="MHJ22" s="1280"/>
      <c r="MHK22" s="1280"/>
      <c r="MHL22" s="1280"/>
      <c r="MHM22" s="1280"/>
      <c r="MHN22" s="1280"/>
      <c r="MHO22" s="1280"/>
      <c r="MHP22" s="1280"/>
      <c r="MHQ22" s="1280"/>
      <c r="MHR22" s="1280"/>
      <c r="MHS22" s="1280"/>
      <c r="MHT22" s="1280"/>
      <c r="MHU22" s="1280"/>
      <c r="MHV22" s="1280"/>
      <c r="MHW22" s="1280"/>
      <c r="MHX22" s="1280"/>
      <c r="MHY22" s="1280"/>
      <c r="MHZ22" s="1280"/>
      <c r="MIA22" s="1280"/>
      <c r="MIB22" s="1280"/>
      <c r="MIC22" s="1280"/>
      <c r="MID22" s="1280"/>
      <c r="MIE22" s="1280"/>
      <c r="MIF22" s="1280"/>
      <c r="MIG22" s="1280"/>
      <c r="MIH22" s="1280"/>
      <c r="MII22" s="1280"/>
      <c r="MIJ22" s="1280"/>
      <c r="MIK22" s="1280"/>
      <c r="MIL22" s="1280"/>
      <c r="MIM22" s="1280"/>
      <c r="MIN22" s="1280"/>
      <c r="MIO22" s="1280"/>
      <c r="MIP22" s="1280"/>
      <c r="MIQ22" s="1280"/>
      <c r="MIR22" s="1280"/>
      <c r="MIS22" s="1280"/>
      <c r="MIT22" s="1280"/>
      <c r="MIU22" s="1280"/>
      <c r="MIV22" s="1280"/>
      <c r="MIW22" s="1280"/>
      <c r="MIX22" s="1280"/>
      <c r="MIY22" s="1280"/>
      <c r="MIZ22" s="1280"/>
      <c r="MJA22" s="1280"/>
      <c r="MJB22" s="1280"/>
      <c r="MJC22" s="1280"/>
      <c r="MJD22" s="1280"/>
      <c r="MJE22" s="1280"/>
      <c r="MJF22" s="1280"/>
      <c r="MJG22" s="1280"/>
      <c r="MJH22" s="1280"/>
      <c r="MJI22" s="1280"/>
      <c r="MJJ22" s="1280"/>
      <c r="MJK22" s="1280"/>
      <c r="MJL22" s="1280"/>
      <c r="MJM22" s="1280"/>
      <c r="MJN22" s="1280"/>
      <c r="MJO22" s="1280"/>
      <c r="MJP22" s="1280"/>
      <c r="MJQ22" s="1280"/>
      <c r="MJR22" s="1280"/>
      <c r="MJS22" s="1280"/>
      <c r="MJT22" s="1280"/>
      <c r="MJU22" s="1280"/>
      <c r="MJV22" s="1280"/>
      <c r="MJW22" s="1280"/>
      <c r="MJX22" s="1280"/>
      <c r="MJY22" s="1280"/>
      <c r="MJZ22" s="1280"/>
      <c r="MKA22" s="1280"/>
      <c r="MKB22" s="1280"/>
      <c r="MKC22" s="1280"/>
      <c r="MKD22" s="1280"/>
      <c r="MKE22" s="1280"/>
      <c r="MKF22" s="1280"/>
      <c r="MKG22" s="1280"/>
      <c r="MKH22" s="1280"/>
      <c r="MKI22" s="1280"/>
      <c r="MKJ22" s="1280"/>
      <c r="MKK22" s="1280"/>
      <c r="MKL22" s="1280"/>
      <c r="MKM22" s="1280"/>
      <c r="MKN22" s="1280"/>
      <c r="MKO22" s="1280"/>
      <c r="MKP22" s="1280"/>
      <c r="MKQ22" s="1280"/>
      <c r="MKR22" s="1280"/>
      <c r="MKS22" s="1280"/>
      <c r="MKT22" s="1280"/>
      <c r="MKU22" s="1280"/>
      <c r="MKV22" s="1280"/>
      <c r="MKW22" s="1280"/>
      <c r="MKX22" s="1280"/>
      <c r="MKY22" s="1280"/>
      <c r="MKZ22" s="1280"/>
      <c r="MLA22" s="1280"/>
      <c r="MLB22" s="1280"/>
      <c r="MLC22" s="1280"/>
      <c r="MLD22" s="1280"/>
      <c r="MLE22" s="1280"/>
      <c r="MLF22" s="1280"/>
      <c r="MLG22" s="1280"/>
      <c r="MLH22" s="1280"/>
      <c r="MLI22" s="1280"/>
      <c r="MLJ22" s="1280"/>
      <c r="MLK22" s="1280"/>
      <c r="MLL22" s="1280"/>
      <c r="MLM22" s="1280"/>
      <c r="MLN22" s="1280"/>
      <c r="MLO22" s="1280"/>
      <c r="MLP22" s="1280"/>
      <c r="MLQ22" s="1280"/>
      <c r="MLR22" s="1280"/>
      <c r="MLS22" s="1280"/>
      <c r="MLT22" s="1280"/>
      <c r="MLU22" s="1280"/>
      <c r="MLV22" s="1280"/>
      <c r="MLW22" s="1280"/>
      <c r="MLX22" s="1280"/>
      <c r="MLY22" s="1280"/>
      <c r="MLZ22" s="1280"/>
      <c r="MMA22" s="1280"/>
      <c r="MMB22" s="1280"/>
      <c r="MMC22" s="1280"/>
      <c r="MMD22" s="1280"/>
      <c r="MME22" s="1280"/>
      <c r="MMF22" s="1280"/>
      <c r="MMG22" s="1280"/>
      <c r="MMH22" s="1280"/>
      <c r="MMI22" s="1280"/>
      <c r="MMJ22" s="1280"/>
      <c r="MMK22" s="1280"/>
      <c r="MML22" s="1280"/>
      <c r="MMM22" s="1280"/>
      <c r="MMN22" s="1280"/>
      <c r="MMO22" s="1280"/>
      <c r="MMP22" s="1280"/>
      <c r="MMQ22" s="1280"/>
      <c r="MMR22" s="1280"/>
      <c r="MMS22" s="1280"/>
      <c r="MMT22" s="1280"/>
      <c r="MMU22" s="1280"/>
      <c r="MMV22" s="1280"/>
      <c r="MMW22" s="1280"/>
      <c r="MMX22" s="1280"/>
      <c r="MMY22" s="1280"/>
      <c r="MMZ22" s="1280"/>
      <c r="MNA22" s="1280"/>
      <c r="MNB22" s="1280"/>
      <c r="MNC22" s="1280"/>
      <c r="MND22" s="1280"/>
      <c r="MNE22" s="1280"/>
      <c r="MNF22" s="1280"/>
      <c r="MNG22" s="1280"/>
      <c r="MNH22" s="1280"/>
      <c r="MNI22" s="1280"/>
      <c r="MNJ22" s="1280"/>
      <c r="MNK22" s="1280"/>
      <c r="MNL22" s="1280"/>
      <c r="MNM22" s="1280"/>
      <c r="MNN22" s="1280"/>
      <c r="MNO22" s="1280"/>
      <c r="MNP22" s="1280"/>
      <c r="MNQ22" s="1280"/>
      <c r="MNR22" s="1280"/>
      <c r="MNS22" s="1280"/>
      <c r="MNT22" s="1280"/>
      <c r="MNU22" s="1280"/>
      <c r="MNV22" s="1280"/>
      <c r="MNW22" s="1280"/>
      <c r="MNX22" s="1280"/>
      <c r="MNY22" s="1280"/>
      <c r="MNZ22" s="1280"/>
      <c r="MOA22" s="1280"/>
      <c r="MOB22" s="1280"/>
      <c r="MOC22" s="1280"/>
      <c r="MOD22" s="1280"/>
      <c r="MOE22" s="1280"/>
      <c r="MOF22" s="1280"/>
      <c r="MOG22" s="1280"/>
      <c r="MOH22" s="1280"/>
      <c r="MOI22" s="1280"/>
      <c r="MOJ22" s="1280"/>
      <c r="MOK22" s="1280"/>
      <c r="MOL22" s="1280"/>
      <c r="MOM22" s="1280"/>
      <c r="MON22" s="1280"/>
      <c r="MOO22" s="1280"/>
      <c r="MOP22" s="1280"/>
      <c r="MOQ22" s="1280"/>
      <c r="MOR22" s="1280"/>
      <c r="MOS22" s="1280"/>
      <c r="MOT22" s="1280"/>
      <c r="MOU22" s="1280"/>
      <c r="MOV22" s="1280"/>
      <c r="MOW22" s="1280"/>
      <c r="MOX22" s="1280"/>
      <c r="MOY22" s="1280"/>
      <c r="MOZ22" s="1280"/>
      <c r="MPA22" s="1280"/>
      <c r="MPB22" s="1280"/>
      <c r="MPC22" s="1280"/>
      <c r="MPD22" s="1280"/>
      <c r="MPE22" s="1280"/>
      <c r="MPF22" s="1280"/>
      <c r="MPG22" s="1280"/>
      <c r="MPH22" s="1280"/>
      <c r="MPI22" s="1280"/>
      <c r="MPJ22" s="1280"/>
      <c r="MPK22" s="1280"/>
      <c r="MPL22" s="1280"/>
      <c r="MPM22" s="1280"/>
      <c r="MPN22" s="1280"/>
      <c r="MPO22" s="1280"/>
      <c r="MPP22" s="1280"/>
      <c r="MPQ22" s="1280"/>
      <c r="MPR22" s="1280"/>
      <c r="MPS22" s="1280"/>
      <c r="MPT22" s="1280"/>
      <c r="MPU22" s="1280"/>
      <c r="MPV22" s="1280"/>
      <c r="MPW22" s="1280"/>
      <c r="MPX22" s="1280"/>
      <c r="MPY22" s="1280"/>
      <c r="MPZ22" s="1280"/>
      <c r="MQA22" s="1280"/>
      <c r="MQB22" s="1280"/>
      <c r="MQC22" s="1280"/>
      <c r="MQD22" s="1280"/>
      <c r="MQE22" s="1280"/>
      <c r="MQF22" s="1280"/>
      <c r="MQG22" s="1280"/>
      <c r="MQH22" s="1280"/>
      <c r="MQI22" s="1280"/>
      <c r="MQJ22" s="1280"/>
      <c r="MQK22" s="1280"/>
      <c r="MQL22" s="1280"/>
      <c r="MQM22" s="1280"/>
      <c r="MQN22" s="1280"/>
      <c r="MQO22" s="1280"/>
      <c r="MQP22" s="1280"/>
      <c r="MQQ22" s="1280"/>
      <c r="MQR22" s="1280"/>
      <c r="MQS22" s="1280"/>
      <c r="MQT22" s="1280"/>
      <c r="MQU22" s="1280"/>
      <c r="MQV22" s="1280"/>
      <c r="MQW22" s="1280"/>
      <c r="MQX22" s="1280"/>
      <c r="MQY22" s="1280"/>
      <c r="MQZ22" s="1280"/>
      <c r="MRA22" s="1280"/>
      <c r="MRB22" s="1280"/>
      <c r="MRC22" s="1280"/>
      <c r="MRD22" s="1280"/>
      <c r="MRE22" s="1280"/>
      <c r="MRF22" s="1280"/>
      <c r="MRG22" s="1280"/>
      <c r="MRH22" s="1280"/>
      <c r="MRI22" s="1280"/>
      <c r="MRJ22" s="1280"/>
      <c r="MRK22" s="1280"/>
      <c r="MRL22" s="1280"/>
      <c r="MRM22" s="1280"/>
      <c r="MRN22" s="1280"/>
      <c r="MRO22" s="1280"/>
      <c r="MRP22" s="1280"/>
      <c r="MRQ22" s="1280"/>
      <c r="MRR22" s="1280"/>
      <c r="MRS22" s="1280"/>
      <c r="MRT22" s="1280"/>
      <c r="MRU22" s="1280"/>
      <c r="MRV22" s="1280"/>
      <c r="MRW22" s="1280"/>
      <c r="MRX22" s="1280"/>
      <c r="MRY22" s="1280"/>
      <c r="MRZ22" s="1280"/>
      <c r="MSA22" s="1280"/>
      <c r="MSB22" s="1280"/>
      <c r="MSC22" s="1280"/>
      <c r="MSD22" s="1280"/>
      <c r="MSE22" s="1280"/>
      <c r="MSF22" s="1280"/>
      <c r="MSG22" s="1280"/>
      <c r="MSH22" s="1280"/>
      <c r="MSI22" s="1280"/>
      <c r="MSJ22" s="1280"/>
      <c r="MSK22" s="1280"/>
      <c r="MSL22" s="1280"/>
      <c r="MSM22" s="1280"/>
      <c r="MSN22" s="1280"/>
      <c r="MSO22" s="1280"/>
      <c r="MSP22" s="1280"/>
      <c r="MSQ22" s="1280"/>
      <c r="MSR22" s="1280"/>
      <c r="MSS22" s="1280"/>
      <c r="MST22" s="1280"/>
      <c r="MSU22" s="1280"/>
      <c r="MSV22" s="1280"/>
      <c r="MSW22" s="1280"/>
      <c r="MSX22" s="1280"/>
      <c r="MSY22" s="1280"/>
      <c r="MSZ22" s="1280"/>
      <c r="MTA22" s="1280"/>
      <c r="MTB22" s="1280"/>
      <c r="MTC22" s="1280"/>
      <c r="MTD22" s="1280"/>
      <c r="MTE22" s="1280"/>
      <c r="MTF22" s="1280"/>
      <c r="MTG22" s="1280"/>
      <c r="MTH22" s="1280"/>
      <c r="MTI22" s="1280"/>
      <c r="MTJ22" s="1280"/>
      <c r="MTK22" s="1280"/>
      <c r="MTL22" s="1280"/>
      <c r="MTM22" s="1280"/>
      <c r="MTN22" s="1280"/>
      <c r="MTO22" s="1280"/>
      <c r="MTP22" s="1280"/>
      <c r="MTQ22" s="1280"/>
      <c r="MTR22" s="1280"/>
      <c r="MTS22" s="1280"/>
      <c r="MTT22" s="1280"/>
      <c r="MTU22" s="1280"/>
      <c r="MTV22" s="1280"/>
      <c r="MTW22" s="1280"/>
      <c r="MTX22" s="1280"/>
      <c r="MTY22" s="1280"/>
      <c r="MTZ22" s="1280"/>
      <c r="MUA22" s="1280"/>
      <c r="MUB22" s="1280"/>
      <c r="MUC22" s="1280"/>
      <c r="MUD22" s="1280"/>
      <c r="MUE22" s="1280"/>
      <c r="MUF22" s="1280"/>
      <c r="MUG22" s="1280"/>
      <c r="MUH22" s="1280"/>
      <c r="MUI22" s="1280"/>
      <c r="MUJ22" s="1280"/>
      <c r="MUK22" s="1280"/>
      <c r="MUL22" s="1280"/>
      <c r="MUM22" s="1280"/>
      <c r="MUN22" s="1280"/>
      <c r="MUO22" s="1280"/>
      <c r="MUP22" s="1280"/>
      <c r="MUQ22" s="1280"/>
      <c r="MUR22" s="1280"/>
      <c r="MUS22" s="1280"/>
      <c r="MUT22" s="1280"/>
      <c r="MUU22" s="1280"/>
      <c r="MUV22" s="1280"/>
      <c r="MUW22" s="1280"/>
      <c r="MUX22" s="1280"/>
      <c r="MUY22" s="1280"/>
      <c r="MUZ22" s="1280"/>
      <c r="MVA22" s="1280"/>
      <c r="MVB22" s="1280"/>
      <c r="MVC22" s="1280"/>
      <c r="MVD22" s="1280"/>
      <c r="MVE22" s="1280"/>
      <c r="MVF22" s="1280"/>
      <c r="MVG22" s="1280"/>
      <c r="MVH22" s="1280"/>
      <c r="MVI22" s="1280"/>
      <c r="MVJ22" s="1280"/>
      <c r="MVK22" s="1280"/>
      <c r="MVL22" s="1280"/>
      <c r="MVM22" s="1280"/>
      <c r="MVN22" s="1280"/>
      <c r="MVO22" s="1280"/>
      <c r="MVP22" s="1280"/>
      <c r="MVQ22" s="1280"/>
      <c r="MVR22" s="1280"/>
      <c r="MVS22" s="1280"/>
      <c r="MVT22" s="1280"/>
      <c r="MVU22" s="1280"/>
      <c r="MVV22" s="1280"/>
      <c r="MVW22" s="1280"/>
      <c r="MVX22" s="1280"/>
      <c r="MVY22" s="1280"/>
      <c r="MVZ22" s="1280"/>
      <c r="MWA22" s="1280"/>
      <c r="MWB22" s="1280"/>
      <c r="MWC22" s="1280"/>
      <c r="MWD22" s="1280"/>
      <c r="MWE22" s="1280"/>
      <c r="MWF22" s="1280"/>
      <c r="MWG22" s="1280"/>
      <c r="MWH22" s="1280"/>
      <c r="MWI22" s="1280"/>
      <c r="MWJ22" s="1280"/>
      <c r="MWK22" s="1280"/>
      <c r="MWL22" s="1280"/>
      <c r="MWM22" s="1280"/>
      <c r="MWN22" s="1280"/>
      <c r="MWO22" s="1280"/>
      <c r="MWP22" s="1280"/>
      <c r="MWQ22" s="1280"/>
      <c r="MWR22" s="1280"/>
      <c r="MWS22" s="1280"/>
      <c r="MWT22" s="1280"/>
      <c r="MWU22" s="1280"/>
      <c r="MWV22" s="1280"/>
      <c r="MWW22" s="1280"/>
      <c r="MWX22" s="1280"/>
      <c r="MWY22" s="1280"/>
      <c r="MWZ22" s="1280"/>
      <c r="MXA22" s="1280"/>
      <c r="MXB22" s="1280"/>
      <c r="MXC22" s="1280"/>
      <c r="MXD22" s="1280"/>
      <c r="MXE22" s="1280"/>
      <c r="MXF22" s="1280"/>
      <c r="MXG22" s="1280"/>
      <c r="MXH22" s="1280"/>
      <c r="MXI22" s="1280"/>
      <c r="MXJ22" s="1280"/>
      <c r="MXK22" s="1280"/>
      <c r="MXL22" s="1280"/>
      <c r="MXM22" s="1280"/>
      <c r="MXN22" s="1280"/>
      <c r="MXO22" s="1280"/>
      <c r="MXP22" s="1280"/>
      <c r="MXQ22" s="1280"/>
      <c r="MXR22" s="1280"/>
      <c r="MXS22" s="1280"/>
      <c r="MXT22" s="1280"/>
      <c r="MXU22" s="1280"/>
      <c r="MXV22" s="1280"/>
      <c r="MXW22" s="1280"/>
      <c r="MXX22" s="1280"/>
      <c r="MXY22" s="1280"/>
      <c r="MXZ22" s="1280"/>
      <c r="MYA22" s="1280"/>
      <c r="MYB22" s="1280"/>
      <c r="MYC22" s="1280"/>
      <c r="MYD22" s="1280"/>
      <c r="MYE22" s="1280"/>
      <c r="MYF22" s="1280"/>
      <c r="MYG22" s="1280"/>
      <c r="MYH22" s="1280"/>
      <c r="MYI22" s="1280"/>
      <c r="MYJ22" s="1280"/>
      <c r="MYK22" s="1280"/>
      <c r="MYL22" s="1280"/>
      <c r="MYM22" s="1280"/>
      <c r="MYN22" s="1280"/>
      <c r="MYO22" s="1280"/>
      <c r="MYP22" s="1280"/>
      <c r="MYQ22" s="1280"/>
      <c r="MYR22" s="1280"/>
      <c r="MYS22" s="1280"/>
      <c r="MYT22" s="1280"/>
      <c r="MYU22" s="1280"/>
      <c r="MYV22" s="1280"/>
      <c r="MYW22" s="1280"/>
      <c r="MYX22" s="1280"/>
      <c r="MYY22" s="1280"/>
      <c r="MYZ22" s="1280"/>
      <c r="MZA22" s="1280"/>
      <c r="MZB22" s="1280"/>
      <c r="MZC22" s="1280"/>
      <c r="MZD22" s="1280"/>
      <c r="MZE22" s="1280"/>
      <c r="MZF22" s="1280"/>
      <c r="MZG22" s="1280"/>
      <c r="MZH22" s="1280"/>
      <c r="MZI22" s="1280"/>
      <c r="MZJ22" s="1280"/>
      <c r="MZK22" s="1280"/>
      <c r="MZL22" s="1280"/>
      <c r="MZM22" s="1280"/>
      <c r="MZN22" s="1280"/>
      <c r="MZO22" s="1280"/>
      <c r="MZP22" s="1280"/>
      <c r="MZQ22" s="1280"/>
      <c r="MZR22" s="1280"/>
      <c r="MZS22" s="1280"/>
      <c r="MZT22" s="1280"/>
      <c r="MZU22" s="1280"/>
      <c r="MZV22" s="1280"/>
      <c r="MZW22" s="1280"/>
      <c r="MZX22" s="1280"/>
      <c r="MZY22" s="1280"/>
      <c r="MZZ22" s="1280"/>
      <c r="NAA22" s="1280"/>
      <c r="NAB22" s="1280"/>
      <c r="NAC22" s="1280"/>
      <c r="NAD22" s="1280"/>
      <c r="NAE22" s="1280"/>
      <c r="NAF22" s="1280"/>
      <c r="NAG22" s="1280"/>
      <c r="NAH22" s="1280"/>
      <c r="NAI22" s="1280"/>
      <c r="NAJ22" s="1280"/>
      <c r="NAK22" s="1280"/>
      <c r="NAL22" s="1280"/>
      <c r="NAM22" s="1280"/>
      <c r="NAN22" s="1280"/>
      <c r="NAO22" s="1280"/>
      <c r="NAP22" s="1280"/>
      <c r="NAQ22" s="1280"/>
      <c r="NAR22" s="1280"/>
      <c r="NAS22" s="1280"/>
      <c r="NAT22" s="1280"/>
      <c r="NAU22" s="1280"/>
      <c r="NAV22" s="1280"/>
      <c r="NAW22" s="1280"/>
      <c r="NAX22" s="1280"/>
      <c r="NAY22" s="1280"/>
      <c r="NAZ22" s="1280"/>
      <c r="NBA22" s="1280"/>
      <c r="NBB22" s="1280"/>
      <c r="NBC22" s="1280"/>
      <c r="NBD22" s="1280"/>
      <c r="NBE22" s="1280"/>
      <c r="NBF22" s="1280"/>
      <c r="NBG22" s="1280"/>
      <c r="NBH22" s="1280"/>
      <c r="NBI22" s="1280"/>
      <c r="NBJ22" s="1280"/>
      <c r="NBK22" s="1280"/>
      <c r="NBL22" s="1280"/>
      <c r="NBM22" s="1280"/>
      <c r="NBN22" s="1280"/>
      <c r="NBO22" s="1280"/>
      <c r="NBP22" s="1280"/>
      <c r="NBQ22" s="1280"/>
      <c r="NBR22" s="1280"/>
      <c r="NBS22" s="1280"/>
      <c r="NBT22" s="1280"/>
      <c r="NBU22" s="1280"/>
      <c r="NBV22" s="1280"/>
      <c r="NBW22" s="1280"/>
      <c r="NBX22" s="1280"/>
      <c r="NBY22" s="1280"/>
      <c r="NBZ22" s="1280"/>
      <c r="NCA22" s="1280"/>
      <c r="NCB22" s="1280"/>
      <c r="NCC22" s="1280"/>
      <c r="NCD22" s="1280"/>
      <c r="NCE22" s="1280"/>
      <c r="NCF22" s="1280"/>
      <c r="NCG22" s="1280"/>
      <c r="NCH22" s="1280"/>
      <c r="NCI22" s="1280"/>
      <c r="NCJ22" s="1280"/>
      <c r="NCK22" s="1280"/>
      <c r="NCL22" s="1280"/>
      <c r="NCM22" s="1280"/>
      <c r="NCN22" s="1280"/>
      <c r="NCO22" s="1280"/>
      <c r="NCP22" s="1280"/>
      <c r="NCQ22" s="1280"/>
      <c r="NCR22" s="1280"/>
      <c r="NCS22" s="1280"/>
      <c r="NCT22" s="1280"/>
      <c r="NCU22" s="1280"/>
      <c r="NCV22" s="1280"/>
      <c r="NCW22" s="1280"/>
      <c r="NCX22" s="1280"/>
      <c r="NCY22" s="1280"/>
      <c r="NCZ22" s="1280"/>
      <c r="NDA22" s="1280"/>
      <c r="NDB22" s="1280"/>
      <c r="NDC22" s="1280"/>
      <c r="NDD22" s="1280"/>
      <c r="NDE22" s="1280"/>
      <c r="NDF22" s="1280"/>
      <c r="NDG22" s="1280"/>
      <c r="NDH22" s="1280"/>
      <c r="NDI22" s="1280"/>
      <c r="NDJ22" s="1280"/>
      <c r="NDK22" s="1280"/>
      <c r="NDL22" s="1280"/>
      <c r="NDM22" s="1280"/>
      <c r="NDN22" s="1280"/>
      <c r="NDO22" s="1280"/>
      <c r="NDP22" s="1280"/>
      <c r="NDQ22" s="1280"/>
      <c r="NDR22" s="1280"/>
      <c r="NDS22" s="1280"/>
      <c r="NDT22" s="1280"/>
      <c r="NDU22" s="1280"/>
      <c r="NDV22" s="1280"/>
      <c r="NDW22" s="1280"/>
      <c r="NDX22" s="1280"/>
      <c r="NDY22" s="1280"/>
      <c r="NDZ22" s="1280"/>
      <c r="NEA22" s="1280"/>
      <c r="NEB22" s="1280"/>
      <c r="NEC22" s="1280"/>
      <c r="NED22" s="1280"/>
      <c r="NEE22" s="1280"/>
      <c r="NEF22" s="1280"/>
      <c r="NEG22" s="1280"/>
      <c r="NEH22" s="1280"/>
      <c r="NEI22" s="1280"/>
      <c r="NEJ22" s="1280"/>
      <c r="NEK22" s="1280"/>
      <c r="NEL22" s="1280"/>
      <c r="NEM22" s="1280"/>
      <c r="NEN22" s="1280"/>
      <c r="NEO22" s="1280"/>
      <c r="NEP22" s="1280"/>
      <c r="NEQ22" s="1280"/>
      <c r="NER22" s="1280"/>
      <c r="NES22" s="1280"/>
      <c r="NET22" s="1280"/>
      <c r="NEU22" s="1280"/>
      <c r="NEV22" s="1280"/>
      <c r="NEW22" s="1280"/>
      <c r="NEX22" s="1280"/>
      <c r="NEY22" s="1280"/>
      <c r="NEZ22" s="1280"/>
      <c r="NFA22" s="1280"/>
      <c r="NFB22" s="1280"/>
      <c r="NFC22" s="1280"/>
      <c r="NFD22" s="1280"/>
      <c r="NFE22" s="1280"/>
      <c r="NFF22" s="1280"/>
      <c r="NFG22" s="1280"/>
      <c r="NFH22" s="1280"/>
      <c r="NFI22" s="1280"/>
      <c r="NFJ22" s="1280"/>
      <c r="NFK22" s="1280"/>
      <c r="NFL22" s="1280"/>
      <c r="NFM22" s="1280"/>
      <c r="NFN22" s="1280"/>
      <c r="NFO22" s="1280"/>
      <c r="NFP22" s="1280"/>
      <c r="NFQ22" s="1280"/>
      <c r="NFR22" s="1280"/>
      <c r="NFS22" s="1280"/>
      <c r="NFT22" s="1280"/>
      <c r="NFU22" s="1280"/>
      <c r="NFV22" s="1280"/>
      <c r="NFW22" s="1280"/>
      <c r="NFX22" s="1280"/>
      <c r="NFY22" s="1280"/>
      <c r="NFZ22" s="1280"/>
      <c r="NGA22" s="1280"/>
      <c r="NGB22" s="1280"/>
      <c r="NGC22" s="1280"/>
      <c r="NGD22" s="1280"/>
      <c r="NGE22" s="1280"/>
      <c r="NGF22" s="1280"/>
      <c r="NGG22" s="1280"/>
      <c r="NGH22" s="1280"/>
      <c r="NGI22" s="1280"/>
      <c r="NGJ22" s="1280"/>
      <c r="NGK22" s="1280"/>
      <c r="NGL22" s="1280"/>
      <c r="NGM22" s="1280"/>
      <c r="NGN22" s="1280"/>
      <c r="NGO22" s="1280"/>
      <c r="NGP22" s="1280"/>
      <c r="NGQ22" s="1280"/>
      <c r="NGR22" s="1280"/>
      <c r="NGS22" s="1280"/>
      <c r="NGT22" s="1280"/>
      <c r="NGU22" s="1280"/>
      <c r="NGV22" s="1280"/>
      <c r="NGW22" s="1280"/>
      <c r="NGX22" s="1280"/>
      <c r="NGY22" s="1280"/>
      <c r="NGZ22" s="1280"/>
      <c r="NHA22" s="1280"/>
      <c r="NHB22" s="1280"/>
      <c r="NHC22" s="1280"/>
      <c r="NHD22" s="1280"/>
      <c r="NHE22" s="1280"/>
      <c r="NHF22" s="1280"/>
      <c r="NHG22" s="1280"/>
      <c r="NHH22" s="1280"/>
      <c r="NHI22" s="1280"/>
      <c r="NHJ22" s="1280"/>
      <c r="NHK22" s="1280"/>
      <c r="NHL22" s="1280"/>
      <c r="NHM22" s="1280"/>
      <c r="NHN22" s="1280"/>
      <c r="NHO22" s="1280"/>
      <c r="NHP22" s="1280"/>
      <c r="NHQ22" s="1280"/>
      <c r="NHR22" s="1280"/>
      <c r="NHS22" s="1280"/>
      <c r="NHT22" s="1280"/>
      <c r="NHU22" s="1280"/>
      <c r="NHV22" s="1280"/>
      <c r="NHW22" s="1280"/>
      <c r="NHX22" s="1280"/>
      <c r="NHY22" s="1280"/>
      <c r="NHZ22" s="1280"/>
      <c r="NIA22" s="1280"/>
      <c r="NIB22" s="1280"/>
      <c r="NIC22" s="1280"/>
      <c r="NID22" s="1280"/>
      <c r="NIE22" s="1280"/>
      <c r="NIF22" s="1280"/>
      <c r="NIG22" s="1280"/>
      <c r="NIH22" s="1280"/>
      <c r="NII22" s="1280"/>
      <c r="NIJ22" s="1280"/>
      <c r="NIK22" s="1280"/>
      <c r="NIL22" s="1280"/>
      <c r="NIM22" s="1280"/>
      <c r="NIN22" s="1280"/>
      <c r="NIO22" s="1280"/>
      <c r="NIP22" s="1280"/>
      <c r="NIQ22" s="1280"/>
      <c r="NIR22" s="1280"/>
      <c r="NIS22" s="1280"/>
      <c r="NIT22" s="1280"/>
      <c r="NIU22" s="1280"/>
      <c r="NIV22" s="1280"/>
      <c r="NIW22" s="1280"/>
      <c r="NIX22" s="1280"/>
      <c r="NIY22" s="1280"/>
      <c r="NIZ22" s="1280"/>
      <c r="NJA22" s="1280"/>
      <c r="NJB22" s="1280"/>
      <c r="NJC22" s="1280"/>
      <c r="NJD22" s="1280"/>
      <c r="NJE22" s="1280"/>
      <c r="NJF22" s="1280"/>
      <c r="NJG22" s="1280"/>
      <c r="NJH22" s="1280"/>
      <c r="NJI22" s="1280"/>
      <c r="NJJ22" s="1280"/>
      <c r="NJK22" s="1280"/>
      <c r="NJL22" s="1280"/>
      <c r="NJM22" s="1280"/>
      <c r="NJN22" s="1280"/>
      <c r="NJO22" s="1280"/>
      <c r="NJP22" s="1280"/>
      <c r="NJQ22" s="1280"/>
      <c r="NJR22" s="1280"/>
      <c r="NJS22" s="1280"/>
      <c r="NJT22" s="1280"/>
      <c r="NJU22" s="1280"/>
      <c r="NJV22" s="1280"/>
      <c r="NJW22" s="1280"/>
      <c r="NJX22" s="1280"/>
      <c r="NJY22" s="1280"/>
      <c r="NJZ22" s="1280"/>
      <c r="NKA22" s="1280"/>
      <c r="NKB22" s="1280"/>
      <c r="NKC22" s="1280"/>
      <c r="NKD22" s="1280"/>
      <c r="NKE22" s="1280"/>
      <c r="NKF22" s="1280"/>
      <c r="NKG22" s="1280"/>
      <c r="NKH22" s="1280"/>
      <c r="NKI22" s="1280"/>
      <c r="NKJ22" s="1280"/>
      <c r="NKK22" s="1280"/>
      <c r="NKL22" s="1280"/>
      <c r="NKM22" s="1280"/>
      <c r="NKN22" s="1280"/>
      <c r="NKO22" s="1280"/>
      <c r="NKP22" s="1280"/>
      <c r="NKQ22" s="1280"/>
      <c r="NKR22" s="1280"/>
      <c r="NKS22" s="1280"/>
      <c r="NKT22" s="1280"/>
      <c r="NKU22" s="1280"/>
      <c r="NKV22" s="1280"/>
      <c r="NKW22" s="1280"/>
      <c r="NKX22" s="1280"/>
      <c r="NKY22" s="1280"/>
      <c r="NKZ22" s="1280"/>
      <c r="NLA22" s="1280"/>
      <c r="NLB22" s="1280"/>
      <c r="NLC22" s="1280"/>
      <c r="NLD22" s="1280"/>
      <c r="NLE22" s="1280"/>
      <c r="NLF22" s="1280"/>
      <c r="NLG22" s="1280"/>
      <c r="NLH22" s="1280"/>
      <c r="NLI22" s="1280"/>
      <c r="NLJ22" s="1280"/>
      <c r="NLK22" s="1280"/>
      <c r="NLL22" s="1280"/>
      <c r="NLM22" s="1280"/>
      <c r="NLN22" s="1280"/>
      <c r="NLO22" s="1280"/>
      <c r="NLP22" s="1280"/>
      <c r="NLQ22" s="1280"/>
      <c r="NLR22" s="1280"/>
      <c r="NLS22" s="1280"/>
      <c r="NLT22" s="1280"/>
      <c r="NLU22" s="1280"/>
      <c r="NLV22" s="1280"/>
      <c r="NLW22" s="1280"/>
      <c r="NLX22" s="1280"/>
      <c r="NLY22" s="1280"/>
      <c r="NLZ22" s="1280"/>
      <c r="NMA22" s="1280"/>
      <c r="NMB22" s="1280"/>
      <c r="NMC22" s="1280"/>
      <c r="NMD22" s="1280"/>
      <c r="NME22" s="1280"/>
      <c r="NMF22" s="1280"/>
      <c r="NMG22" s="1280"/>
      <c r="NMH22" s="1280"/>
      <c r="NMI22" s="1280"/>
      <c r="NMJ22" s="1280"/>
      <c r="NMK22" s="1280"/>
      <c r="NML22" s="1280"/>
      <c r="NMM22" s="1280"/>
      <c r="NMN22" s="1280"/>
      <c r="NMO22" s="1280"/>
      <c r="NMP22" s="1280"/>
      <c r="NMQ22" s="1280"/>
      <c r="NMR22" s="1280"/>
      <c r="NMS22" s="1280"/>
      <c r="NMT22" s="1280"/>
      <c r="NMU22" s="1280"/>
      <c r="NMV22" s="1280"/>
      <c r="NMW22" s="1280"/>
      <c r="NMX22" s="1280"/>
      <c r="NMY22" s="1280"/>
      <c r="NMZ22" s="1280"/>
      <c r="NNA22" s="1280"/>
      <c r="NNB22" s="1280"/>
      <c r="NNC22" s="1280"/>
      <c r="NND22" s="1280"/>
      <c r="NNE22" s="1280"/>
      <c r="NNF22" s="1280"/>
      <c r="NNG22" s="1280"/>
      <c r="NNH22" s="1280"/>
      <c r="NNI22" s="1280"/>
      <c r="NNJ22" s="1280"/>
      <c r="NNK22" s="1280"/>
      <c r="NNL22" s="1280"/>
      <c r="NNM22" s="1280"/>
      <c r="NNN22" s="1280"/>
      <c r="NNO22" s="1280"/>
      <c r="NNP22" s="1280"/>
      <c r="NNQ22" s="1280"/>
      <c r="NNR22" s="1280"/>
      <c r="NNS22" s="1280"/>
      <c r="NNT22" s="1280"/>
      <c r="NNU22" s="1280"/>
      <c r="NNV22" s="1280"/>
      <c r="NNW22" s="1280"/>
      <c r="NNX22" s="1280"/>
      <c r="NNY22" s="1280"/>
      <c r="NNZ22" s="1280"/>
      <c r="NOA22" s="1280"/>
      <c r="NOB22" s="1280"/>
      <c r="NOC22" s="1280"/>
      <c r="NOD22" s="1280"/>
      <c r="NOE22" s="1280"/>
      <c r="NOF22" s="1280"/>
      <c r="NOG22" s="1280"/>
      <c r="NOH22" s="1280"/>
      <c r="NOI22" s="1280"/>
      <c r="NOJ22" s="1280"/>
      <c r="NOK22" s="1280"/>
      <c r="NOL22" s="1280"/>
      <c r="NOM22" s="1280"/>
      <c r="NON22" s="1280"/>
      <c r="NOO22" s="1280"/>
      <c r="NOP22" s="1280"/>
      <c r="NOQ22" s="1280"/>
      <c r="NOR22" s="1280"/>
      <c r="NOS22" s="1280"/>
      <c r="NOT22" s="1280"/>
      <c r="NOU22" s="1280"/>
      <c r="NOV22" s="1280"/>
      <c r="NOW22" s="1280"/>
      <c r="NOX22" s="1280"/>
      <c r="NOY22" s="1280"/>
      <c r="NOZ22" s="1280"/>
      <c r="NPA22" s="1280"/>
      <c r="NPB22" s="1280"/>
      <c r="NPC22" s="1280"/>
      <c r="NPD22" s="1280"/>
      <c r="NPE22" s="1280"/>
      <c r="NPF22" s="1280"/>
      <c r="NPG22" s="1280"/>
      <c r="NPH22" s="1280"/>
      <c r="NPI22" s="1280"/>
      <c r="NPJ22" s="1280"/>
      <c r="NPK22" s="1280"/>
      <c r="NPL22" s="1280"/>
      <c r="NPM22" s="1280"/>
      <c r="NPN22" s="1280"/>
      <c r="NPO22" s="1280"/>
      <c r="NPP22" s="1280"/>
      <c r="NPQ22" s="1280"/>
      <c r="NPR22" s="1280"/>
      <c r="NPS22" s="1280"/>
      <c r="NPT22" s="1280"/>
      <c r="NPU22" s="1280"/>
      <c r="NPV22" s="1280"/>
      <c r="NPW22" s="1280"/>
      <c r="NPX22" s="1280"/>
      <c r="NPY22" s="1280"/>
      <c r="NPZ22" s="1280"/>
      <c r="NQA22" s="1280"/>
      <c r="NQB22" s="1280"/>
      <c r="NQC22" s="1280"/>
      <c r="NQD22" s="1280"/>
      <c r="NQE22" s="1280"/>
      <c r="NQF22" s="1280"/>
      <c r="NQG22" s="1280"/>
      <c r="NQH22" s="1280"/>
      <c r="NQI22" s="1280"/>
      <c r="NQJ22" s="1280"/>
      <c r="NQK22" s="1280"/>
      <c r="NQL22" s="1280"/>
      <c r="NQM22" s="1280"/>
      <c r="NQN22" s="1280"/>
      <c r="NQO22" s="1280"/>
      <c r="NQP22" s="1280"/>
      <c r="NQQ22" s="1280"/>
      <c r="NQR22" s="1280"/>
      <c r="NQS22" s="1280"/>
      <c r="NQT22" s="1280"/>
      <c r="NQU22" s="1280"/>
      <c r="NQV22" s="1280"/>
      <c r="NQW22" s="1280"/>
      <c r="NQX22" s="1280"/>
      <c r="NQY22" s="1280"/>
      <c r="NQZ22" s="1280"/>
      <c r="NRA22" s="1280"/>
      <c r="NRB22" s="1280"/>
      <c r="NRC22" s="1280"/>
      <c r="NRD22" s="1280"/>
      <c r="NRE22" s="1280"/>
      <c r="NRF22" s="1280"/>
      <c r="NRG22" s="1280"/>
      <c r="NRH22" s="1280"/>
      <c r="NRI22" s="1280"/>
      <c r="NRJ22" s="1280"/>
      <c r="NRK22" s="1280"/>
      <c r="NRL22" s="1280"/>
      <c r="NRM22" s="1280"/>
      <c r="NRN22" s="1280"/>
      <c r="NRO22" s="1280"/>
      <c r="NRP22" s="1280"/>
      <c r="NRQ22" s="1280"/>
      <c r="NRR22" s="1280"/>
      <c r="NRS22" s="1280"/>
      <c r="NRT22" s="1280"/>
      <c r="NRU22" s="1280"/>
      <c r="NRV22" s="1280"/>
      <c r="NRW22" s="1280"/>
      <c r="NRX22" s="1280"/>
      <c r="NRY22" s="1280"/>
      <c r="NRZ22" s="1280"/>
      <c r="NSA22" s="1280"/>
      <c r="NSB22" s="1280"/>
      <c r="NSC22" s="1280"/>
      <c r="NSD22" s="1280"/>
      <c r="NSE22" s="1280"/>
      <c r="NSF22" s="1280"/>
      <c r="NSG22" s="1280"/>
      <c r="NSH22" s="1280"/>
      <c r="NSI22" s="1280"/>
      <c r="NSJ22" s="1280"/>
      <c r="NSK22" s="1280"/>
      <c r="NSL22" s="1280"/>
      <c r="NSM22" s="1280"/>
      <c r="NSN22" s="1280"/>
      <c r="NSO22" s="1280"/>
      <c r="NSP22" s="1280"/>
      <c r="NSQ22" s="1280"/>
      <c r="NSR22" s="1280"/>
      <c r="NSS22" s="1280"/>
      <c r="NST22" s="1280"/>
      <c r="NSU22" s="1280"/>
      <c r="NSV22" s="1280"/>
      <c r="NSW22" s="1280"/>
      <c r="NSX22" s="1280"/>
      <c r="NSY22" s="1280"/>
      <c r="NSZ22" s="1280"/>
      <c r="NTA22" s="1280"/>
      <c r="NTB22" s="1280"/>
      <c r="NTC22" s="1280"/>
      <c r="NTD22" s="1280"/>
      <c r="NTE22" s="1280"/>
      <c r="NTF22" s="1280"/>
      <c r="NTG22" s="1280"/>
      <c r="NTH22" s="1280"/>
      <c r="NTI22" s="1280"/>
      <c r="NTJ22" s="1280"/>
      <c r="NTK22" s="1280"/>
      <c r="NTL22" s="1280"/>
      <c r="NTM22" s="1280"/>
      <c r="NTN22" s="1280"/>
      <c r="NTO22" s="1280"/>
      <c r="NTP22" s="1280"/>
      <c r="NTQ22" s="1280"/>
      <c r="NTR22" s="1280"/>
      <c r="NTS22" s="1280"/>
      <c r="NTT22" s="1280"/>
      <c r="NTU22" s="1280"/>
      <c r="NTV22" s="1280"/>
      <c r="NTW22" s="1280"/>
      <c r="NTX22" s="1280"/>
      <c r="NTY22" s="1280"/>
      <c r="NTZ22" s="1280"/>
      <c r="NUA22" s="1280"/>
      <c r="NUB22" s="1280"/>
      <c r="NUC22" s="1280"/>
      <c r="NUD22" s="1280"/>
      <c r="NUE22" s="1280"/>
      <c r="NUF22" s="1280"/>
      <c r="NUG22" s="1280"/>
      <c r="NUH22" s="1280"/>
      <c r="NUI22" s="1280"/>
      <c r="NUJ22" s="1280"/>
      <c r="NUK22" s="1280"/>
      <c r="NUL22" s="1280"/>
      <c r="NUM22" s="1280"/>
      <c r="NUN22" s="1280"/>
      <c r="NUO22" s="1280"/>
      <c r="NUP22" s="1280"/>
      <c r="NUQ22" s="1280"/>
      <c r="NUR22" s="1280"/>
      <c r="NUS22" s="1280"/>
      <c r="NUT22" s="1280"/>
      <c r="NUU22" s="1280"/>
      <c r="NUV22" s="1280"/>
      <c r="NUW22" s="1280"/>
      <c r="NUX22" s="1280"/>
      <c r="NUY22" s="1280"/>
      <c r="NUZ22" s="1280"/>
      <c r="NVA22" s="1280"/>
      <c r="NVB22" s="1280"/>
      <c r="NVC22" s="1280"/>
      <c r="NVD22" s="1280"/>
      <c r="NVE22" s="1280"/>
      <c r="NVF22" s="1280"/>
      <c r="NVG22" s="1280"/>
      <c r="NVH22" s="1280"/>
      <c r="NVI22" s="1280"/>
      <c r="NVJ22" s="1280"/>
      <c r="NVK22" s="1280"/>
      <c r="NVL22" s="1280"/>
      <c r="NVM22" s="1280"/>
      <c r="NVN22" s="1280"/>
      <c r="NVO22" s="1280"/>
      <c r="NVP22" s="1280"/>
      <c r="NVQ22" s="1280"/>
      <c r="NVR22" s="1280"/>
      <c r="NVS22" s="1280"/>
      <c r="NVT22" s="1280"/>
      <c r="NVU22" s="1280"/>
      <c r="NVV22" s="1280"/>
      <c r="NVW22" s="1280"/>
      <c r="NVX22" s="1280"/>
      <c r="NVY22" s="1280"/>
      <c r="NVZ22" s="1280"/>
      <c r="NWA22" s="1280"/>
      <c r="NWB22" s="1280"/>
      <c r="NWC22" s="1280"/>
      <c r="NWD22" s="1280"/>
      <c r="NWE22" s="1280"/>
      <c r="NWF22" s="1280"/>
      <c r="NWG22" s="1280"/>
      <c r="NWH22" s="1280"/>
      <c r="NWI22" s="1280"/>
      <c r="NWJ22" s="1280"/>
      <c r="NWK22" s="1280"/>
      <c r="NWL22" s="1280"/>
      <c r="NWM22" s="1280"/>
      <c r="NWN22" s="1280"/>
      <c r="NWO22" s="1280"/>
      <c r="NWP22" s="1280"/>
      <c r="NWQ22" s="1280"/>
      <c r="NWR22" s="1280"/>
      <c r="NWS22" s="1280"/>
      <c r="NWT22" s="1280"/>
      <c r="NWU22" s="1280"/>
      <c r="NWV22" s="1280"/>
      <c r="NWW22" s="1280"/>
      <c r="NWX22" s="1280"/>
      <c r="NWY22" s="1280"/>
      <c r="NWZ22" s="1280"/>
      <c r="NXA22" s="1280"/>
      <c r="NXB22" s="1280"/>
      <c r="NXC22" s="1280"/>
      <c r="NXD22" s="1280"/>
      <c r="NXE22" s="1280"/>
      <c r="NXF22" s="1280"/>
      <c r="NXG22" s="1280"/>
      <c r="NXH22" s="1280"/>
      <c r="NXI22" s="1280"/>
      <c r="NXJ22" s="1280"/>
      <c r="NXK22" s="1280"/>
      <c r="NXL22" s="1280"/>
      <c r="NXM22" s="1280"/>
      <c r="NXN22" s="1280"/>
      <c r="NXO22" s="1280"/>
      <c r="NXP22" s="1280"/>
      <c r="NXQ22" s="1280"/>
      <c r="NXR22" s="1280"/>
      <c r="NXS22" s="1280"/>
      <c r="NXT22" s="1280"/>
      <c r="NXU22" s="1280"/>
      <c r="NXV22" s="1280"/>
      <c r="NXW22" s="1280"/>
      <c r="NXX22" s="1280"/>
      <c r="NXY22" s="1280"/>
      <c r="NXZ22" s="1280"/>
      <c r="NYA22" s="1280"/>
      <c r="NYB22" s="1280"/>
      <c r="NYC22" s="1280"/>
      <c r="NYD22" s="1280"/>
      <c r="NYE22" s="1280"/>
      <c r="NYF22" s="1280"/>
      <c r="NYG22" s="1280"/>
      <c r="NYH22" s="1280"/>
      <c r="NYI22" s="1280"/>
      <c r="NYJ22" s="1280"/>
      <c r="NYK22" s="1280"/>
      <c r="NYL22" s="1280"/>
      <c r="NYM22" s="1280"/>
      <c r="NYN22" s="1280"/>
      <c r="NYO22" s="1280"/>
      <c r="NYP22" s="1280"/>
      <c r="NYQ22" s="1280"/>
      <c r="NYR22" s="1280"/>
      <c r="NYS22" s="1280"/>
      <c r="NYT22" s="1280"/>
      <c r="NYU22" s="1280"/>
      <c r="NYV22" s="1280"/>
      <c r="NYW22" s="1280"/>
      <c r="NYX22" s="1280"/>
      <c r="NYY22" s="1280"/>
      <c r="NYZ22" s="1280"/>
      <c r="NZA22" s="1280"/>
      <c r="NZB22" s="1280"/>
      <c r="NZC22" s="1280"/>
      <c r="NZD22" s="1280"/>
      <c r="NZE22" s="1280"/>
      <c r="NZF22" s="1280"/>
      <c r="NZG22" s="1280"/>
      <c r="NZH22" s="1280"/>
      <c r="NZI22" s="1280"/>
      <c r="NZJ22" s="1280"/>
      <c r="NZK22" s="1280"/>
      <c r="NZL22" s="1280"/>
      <c r="NZM22" s="1280"/>
      <c r="NZN22" s="1280"/>
      <c r="NZO22" s="1280"/>
      <c r="NZP22" s="1280"/>
      <c r="NZQ22" s="1280"/>
      <c r="NZR22" s="1280"/>
      <c r="NZS22" s="1280"/>
      <c r="NZT22" s="1280"/>
      <c r="NZU22" s="1280"/>
      <c r="NZV22" s="1280"/>
      <c r="NZW22" s="1280"/>
      <c r="NZX22" s="1280"/>
      <c r="NZY22" s="1280"/>
      <c r="NZZ22" s="1280"/>
      <c r="OAA22" s="1280"/>
      <c r="OAB22" s="1280"/>
      <c r="OAC22" s="1280"/>
      <c r="OAD22" s="1280"/>
      <c r="OAE22" s="1280"/>
      <c r="OAF22" s="1280"/>
      <c r="OAG22" s="1280"/>
      <c r="OAH22" s="1280"/>
      <c r="OAI22" s="1280"/>
      <c r="OAJ22" s="1280"/>
      <c r="OAK22" s="1280"/>
      <c r="OAL22" s="1280"/>
      <c r="OAM22" s="1280"/>
      <c r="OAN22" s="1280"/>
      <c r="OAO22" s="1280"/>
      <c r="OAP22" s="1280"/>
      <c r="OAQ22" s="1280"/>
      <c r="OAR22" s="1280"/>
      <c r="OAS22" s="1280"/>
      <c r="OAT22" s="1280"/>
      <c r="OAU22" s="1280"/>
      <c r="OAV22" s="1280"/>
      <c r="OAW22" s="1280"/>
      <c r="OAX22" s="1280"/>
      <c r="OAY22" s="1280"/>
      <c r="OAZ22" s="1280"/>
      <c r="OBA22" s="1280"/>
      <c r="OBB22" s="1280"/>
      <c r="OBC22" s="1280"/>
      <c r="OBD22" s="1280"/>
      <c r="OBE22" s="1280"/>
      <c r="OBF22" s="1280"/>
      <c r="OBG22" s="1280"/>
      <c r="OBH22" s="1280"/>
      <c r="OBI22" s="1280"/>
      <c r="OBJ22" s="1280"/>
      <c r="OBK22" s="1280"/>
      <c r="OBL22" s="1280"/>
      <c r="OBM22" s="1280"/>
      <c r="OBN22" s="1280"/>
      <c r="OBO22" s="1280"/>
      <c r="OBP22" s="1280"/>
      <c r="OBQ22" s="1280"/>
      <c r="OBR22" s="1280"/>
      <c r="OBS22" s="1280"/>
      <c r="OBT22" s="1280"/>
      <c r="OBU22" s="1280"/>
      <c r="OBV22" s="1280"/>
      <c r="OBW22" s="1280"/>
      <c r="OBX22" s="1280"/>
      <c r="OBY22" s="1280"/>
      <c r="OBZ22" s="1280"/>
      <c r="OCA22" s="1280"/>
      <c r="OCB22" s="1280"/>
      <c r="OCC22" s="1280"/>
      <c r="OCD22" s="1280"/>
      <c r="OCE22" s="1280"/>
      <c r="OCF22" s="1280"/>
      <c r="OCG22" s="1280"/>
      <c r="OCH22" s="1280"/>
      <c r="OCI22" s="1280"/>
      <c r="OCJ22" s="1280"/>
      <c r="OCK22" s="1280"/>
      <c r="OCL22" s="1280"/>
      <c r="OCM22" s="1280"/>
      <c r="OCN22" s="1280"/>
      <c r="OCO22" s="1280"/>
      <c r="OCP22" s="1280"/>
      <c r="OCQ22" s="1280"/>
      <c r="OCR22" s="1280"/>
      <c r="OCS22" s="1280"/>
      <c r="OCT22" s="1280"/>
      <c r="OCU22" s="1280"/>
      <c r="OCV22" s="1280"/>
      <c r="OCW22" s="1280"/>
      <c r="OCX22" s="1280"/>
      <c r="OCY22" s="1280"/>
      <c r="OCZ22" s="1280"/>
      <c r="ODA22" s="1280"/>
      <c r="ODB22" s="1280"/>
      <c r="ODC22" s="1280"/>
      <c r="ODD22" s="1280"/>
      <c r="ODE22" s="1280"/>
      <c r="ODF22" s="1280"/>
      <c r="ODG22" s="1280"/>
      <c r="ODH22" s="1280"/>
      <c r="ODI22" s="1280"/>
      <c r="ODJ22" s="1280"/>
      <c r="ODK22" s="1280"/>
      <c r="ODL22" s="1280"/>
      <c r="ODM22" s="1280"/>
      <c r="ODN22" s="1280"/>
      <c r="ODO22" s="1280"/>
      <c r="ODP22" s="1280"/>
      <c r="ODQ22" s="1280"/>
      <c r="ODR22" s="1280"/>
      <c r="ODS22" s="1280"/>
      <c r="ODT22" s="1280"/>
      <c r="ODU22" s="1280"/>
      <c r="ODV22" s="1280"/>
      <c r="ODW22" s="1280"/>
      <c r="ODX22" s="1280"/>
      <c r="ODY22" s="1280"/>
      <c r="ODZ22" s="1280"/>
      <c r="OEA22" s="1280"/>
      <c r="OEB22" s="1280"/>
      <c r="OEC22" s="1280"/>
      <c r="OED22" s="1280"/>
      <c r="OEE22" s="1280"/>
      <c r="OEF22" s="1280"/>
      <c r="OEG22" s="1280"/>
      <c r="OEH22" s="1280"/>
      <c r="OEI22" s="1280"/>
      <c r="OEJ22" s="1280"/>
      <c r="OEK22" s="1280"/>
      <c r="OEL22" s="1280"/>
      <c r="OEM22" s="1280"/>
      <c r="OEN22" s="1280"/>
      <c r="OEO22" s="1280"/>
      <c r="OEP22" s="1280"/>
      <c r="OEQ22" s="1280"/>
      <c r="OER22" s="1280"/>
      <c r="OES22" s="1280"/>
      <c r="OET22" s="1280"/>
      <c r="OEU22" s="1280"/>
      <c r="OEV22" s="1280"/>
      <c r="OEW22" s="1280"/>
      <c r="OEX22" s="1280"/>
      <c r="OEY22" s="1280"/>
      <c r="OEZ22" s="1280"/>
      <c r="OFA22" s="1280"/>
      <c r="OFB22" s="1280"/>
      <c r="OFC22" s="1280"/>
      <c r="OFD22" s="1280"/>
      <c r="OFE22" s="1280"/>
      <c r="OFF22" s="1280"/>
      <c r="OFG22" s="1280"/>
      <c r="OFH22" s="1280"/>
      <c r="OFI22" s="1280"/>
      <c r="OFJ22" s="1280"/>
      <c r="OFK22" s="1280"/>
      <c r="OFL22" s="1280"/>
      <c r="OFM22" s="1280"/>
      <c r="OFN22" s="1280"/>
      <c r="OFO22" s="1280"/>
      <c r="OFP22" s="1280"/>
      <c r="OFQ22" s="1280"/>
      <c r="OFR22" s="1280"/>
      <c r="OFS22" s="1280"/>
      <c r="OFT22" s="1280"/>
      <c r="OFU22" s="1280"/>
      <c r="OFV22" s="1280"/>
      <c r="OFW22" s="1280"/>
      <c r="OFX22" s="1280"/>
      <c r="OFY22" s="1280"/>
      <c r="OFZ22" s="1280"/>
      <c r="OGA22" s="1280"/>
      <c r="OGB22" s="1280"/>
      <c r="OGC22" s="1280"/>
      <c r="OGD22" s="1280"/>
      <c r="OGE22" s="1280"/>
      <c r="OGF22" s="1280"/>
      <c r="OGG22" s="1280"/>
      <c r="OGH22" s="1280"/>
      <c r="OGI22" s="1280"/>
      <c r="OGJ22" s="1280"/>
      <c r="OGK22" s="1280"/>
      <c r="OGL22" s="1280"/>
      <c r="OGM22" s="1280"/>
      <c r="OGN22" s="1280"/>
      <c r="OGO22" s="1280"/>
      <c r="OGP22" s="1280"/>
      <c r="OGQ22" s="1280"/>
      <c r="OGR22" s="1280"/>
      <c r="OGS22" s="1280"/>
      <c r="OGT22" s="1280"/>
      <c r="OGU22" s="1280"/>
      <c r="OGV22" s="1280"/>
      <c r="OGW22" s="1280"/>
      <c r="OGX22" s="1280"/>
      <c r="OGY22" s="1280"/>
      <c r="OGZ22" s="1280"/>
      <c r="OHA22" s="1280"/>
      <c r="OHB22" s="1280"/>
      <c r="OHC22" s="1280"/>
      <c r="OHD22" s="1280"/>
      <c r="OHE22" s="1280"/>
      <c r="OHF22" s="1280"/>
      <c r="OHG22" s="1280"/>
      <c r="OHH22" s="1280"/>
      <c r="OHI22" s="1280"/>
      <c r="OHJ22" s="1280"/>
      <c r="OHK22" s="1280"/>
      <c r="OHL22" s="1280"/>
      <c r="OHM22" s="1280"/>
      <c r="OHN22" s="1280"/>
      <c r="OHO22" s="1280"/>
      <c r="OHP22" s="1280"/>
      <c r="OHQ22" s="1280"/>
      <c r="OHR22" s="1280"/>
      <c r="OHS22" s="1280"/>
      <c r="OHT22" s="1280"/>
      <c r="OHU22" s="1280"/>
      <c r="OHV22" s="1280"/>
      <c r="OHW22" s="1280"/>
      <c r="OHX22" s="1280"/>
      <c r="OHY22" s="1280"/>
      <c r="OHZ22" s="1280"/>
      <c r="OIA22" s="1280"/>
      <c r="OIB22" s="1280"/>
      <c r="OIC22" s="1280"/>
      <c r="OID22" s="1280"/>
      <c r="OIE22" s="1280"/>
      <c r="OIF22" s="1280"/>
      <c r="OIG22" s="1280"/>
      <c r="OIH22" s="1280"/>
      <c r="OII22" s="1280"/>
      <c r="OIJ22" s="1280"/>
      <c r="OIK22" s="1280"/>
      <c r="OIL22" s="1280"/>
      <c r="OIM22" s="1280"/>
      <c r="OIN22" s="1280"/>
      <c r="OIO22" s="1280"/>
      <c r="OIP22" s="1280"/>
      <c r="OIQ22" s="1280"/>
      <c r="OIR22" s="1280"/>
      <c r="OIS22" s="1280"/>
      <c r="OIT22" s="1280"/>
      <c r="OIU22" s="1280"/>
      <c r="OIV22" s="1280"/>
      <c r="OIW22" s="1280"/>
      <c r="OIX22" s="1280"/>
      <c r="OIY22" s="1280"/>
      <c r="OIZ22" s="1280"/>
      <c r="OJA22" s="1280"/>
      <c r="OJB22" s="1280"/>
      <c r="OJC22" s="1280"/>
      <c r="OJD22" s="1280"/>
      <c r="OJE22" s="1280"/>
      <c r="OJF22" s="1280"/>
      <c r="OJG22" s="1280"/>
      <c r="OJH22" s="1280"/>
      <c r="OJI22" s="1280"/>
      <c r="OJJ22" s="1280"/>
      <c r="OJK22" s="1280"/>
      <c r="OJL22" s="1280"/>
      <c r="OJM22" s="1280"/>
      <c r="OJN22" s="1280"/>
      <c r="OJO22" s="1280"/>
      <c r="OJP22" s="1280"/>
      <c r="OJQ22" s="1280"/>
      <c r="OJR22" s="1280"/>
      <c r="OJS22" s="1280"/>
      <c r="OJT22" s="1280"/>
      <c r="OJU22" s="1280"/>
      <c r="OJV22" s="1280"/>
      <c r="OJW22" s="1280"/>
      <c r="OJX22" s="1280"/>
      <c r="OJY22" s="1280"/>
      <c r="OJZ22" s="1280"/>
      <c r="OKA22" s="1280"/>
      <c r="OKB22" s="1280"/>
      <c r="OKC22" s="1280"/>
      <c r="OKD22" s="1280"/>
      <c r="OKE22" s="1280"/>
      <c r="OKF22" s="1280"/>
      <c r="OKG22" s="1280"/>
      <c r="OKH22" s="1280"/>
      <c r="OKI22" s="1280"/>
      <c r="OKJ22" s="1280"/>
      <c r="OKK22" s="1280"/>
      <c r="OKL22" s="1280"/>
      <c r="OKM22" s="1280"/>
      <c r="OKN22" s="1280"/>
      <c r="OKO22" s="1280"/>
      <c r="OKP22" s="1280"/>
      <c r="OKQ22" s="1280"/>
      <c r="OKR22" s="1280"/>
      <c r="OKS22" s="1280"/>
      <c r="OKT22" s="1280"/>
      <c r="OKU22" s="1280"/>
      <c r="OKV22" s="1280"/>
      <c r="OKW22" s="1280"/>
      <c r="OKX22" s="1280"/>
      <c r="OKY22" s="1280"/>
      <c r="OKZ22" s="1280"/>
      <c r="OLA22" s="1280"/>
      <c r="OLB22" s="1280"/>
      <c r="OLC22" s="1280"/>
      <c r="OLD22" s="1280"/>
      <c r="OLE22" s="1280"/>
      <c r="OLF22" s="1280"/>
      <c r="OLG22" s="1280"/>
      <c r="OLH22" s="1280"/>
      <c r="OLI22" s="1280"/>
      <c r="OLJ22" s="1280"/>
      <c r="OLK22" s="1280"/>
      <c r="OLL22" s="1280"/>
      <c r="OLM22" s="1280"/>
      <c r="OLN22" s="1280"/>
      <c r="OLO22" s="1280"/>
      <c r="OLP22" s="1280"/>
      <c r="OLQ22" s="1280"/>
      <c r="OLR22" s="1280"/>
      <c r="OLS22" s="1280"/>
      <c r="OLT22" s="1280"/>
      <c r="OLU22" s="1280"/>
      <c r="OLV22" s="1280"/>
      <c r="OLW22" s="1280"/>
      <c r="OLX22" s="1280"/>
      <c r="OLY22" s="1280"/>
      <c r="OLZ22" s="1280"/>
      <c r="OMA22" s="1280"/>
      <c r="OMB22" s="1280"/>
      <c r="OMC22" s="1280"/>
      <c r="OMD22" s="1280"/>
      <c r="OME22" s="1280"/>
      <c r="OMF22" s="1280"/>
      <c r="OMG22" s="1280"/>
      <c r="OMH22" s="1280"/>
      <c r="OMI22" s="1280"/>
      <c r="OMJ22" s="1280"/>
      <c r="OMK22" s="1280"/>
      <c r="OML22" s="1280"/>
      <c r="OMM22" s="1280"/>
      <c r="OMN22" s="1280"/>
      <c r="OMO22" s="1280"/>
      <c r="OMP22" s="1280"/>
      <c r="OMQ22" s="1280"/>
      <c r="OMR22" s="1280"/>
      <c r="OMS22" s="1280"/>
      <c r="OMT22" s="1280"/>
      <c r="OMU22" s="1280"/>
      <c r="OMV22" s="1280"/>
      <c r="OMW22" s="1280"/>
      <c r="OMX22" s="1280"/>
      <c r="OMY22" s="1280"/>
      <c r="OMZ22" s="1280"/>
      <c r="ONA22" s="1280"/>
      <c r="ONB22" s="1280"/>
      <c r="ONC22" s="1280"/>
      <c r="OND22" s="1280"/>
      <c r="ONE22" s="1280"/>
      <c r="ONF22" s="1280"/>
      <c r="ONG22" s="1280"/>
      <c r="ONH22" s="1280"/>
      <c r="ONI22" s="1280"/>
      <c r="ONJ22" s="1280"/>
      <c r="ONK22" s="1280"/>
      <c r="ONL22" s="1280"/>
      <c r="ONM22" s="1280"/>
      <c r="ONN22" s="1280"/>
      <c r="ONO22" s="1280"/>
      <c r="ONP22" s="1280"/>
      <c r="ONQ22" s="1280"/>
      <c r="ONR22" s="1280"/>
      <c r="ONS22" s="1280"/>
      <c r="ONT22" s="1280"/>
      <c r="ONU22" s="1280"/>
      <c r="ONV22" s="1280"/>
      <c r="ONW22" s="1280"/>
      <c r="ONX22" s="1280"/>
      <c r="ONY22" s="1280"/>
      <c r="ONZ22" s="1280"/>
      <c r="OOA22" s="1280"/>
      <c r="OOB22" s="1280"/>
      <c r="OOC22" s="1280"/>
      <c r="OOD22" s="1280"/>
      <c r="OOE22" s="1280"/>
      <c r="OOF22" s="1280"/>
      <c r="OOG22" s="1280"/>
      <c r="OOH22" s="1280"/>
      <c r="OOI22" s="1280"/>
      <c r="OOJ22" s="1280"/>
      <c r="OOK22" s="1280"/>
      <c r="OOL22" s="1280"/>
      <c r="OOM22" s="1280"/>
      <c r="OON22" s="1280"/>
      <c r="OOO22" s="1280"/>
      <c r="OOP22" s="1280"/>
      <c r="OOQ22" s="1280"/>
      <c r="OOR22" s="1280"/>
      <c r="OOS22" s="1280"/>
      <c r="OOT22" s="1280"/>
      <c r="OOU22" s="1280"/>
      <c r="OOV22" s="1280"/>
      <c r="OOW22" s="1280"/>
      <c r="OOX22" s="1280"/>
      <c r="OOY22" s="1280"/>
      <c r="OOZ22" s="1280"/>
      <c r="OPA22" s="1280"/>
      <c r="OPB22" s="1280"/>
      <c r="OPC22" s="1280"/>
      <c r="OPD22" s="1280"/>
      <c r="OPE22" s="1280"/>
      <c r="OPF22" s="1280"/>
      <c r="OPG22" s="1280"/>
      <c r="OPH22" s="1280"/>
      <c r="OPI22" s="1280"/>
      <c r="OPJ22" s="1280"/>
      <c r="OPK22" s="1280"/>
      <c r="OPL22" s="1280"/>
      <c r="OPM22" s="1280"/>
      <c r="OPN22" s="1280"/>
      <c r="OPO22" s="1280"/>
      <c r="OPP22" s="1280"/>
      <c r="OPQ22" s="1280"/>
      <c r="OPR22" s="1280"/>
      <c r="OPS22" s="1280"/>
      <c r="OPT22" s="1280"/>
      <c r="OPU22" s="1280"/>
      <c r="OPV22" s="1280"/>
      <c r="OPW22" s="1280"/>
      <c r="OPX22" s="1280"/>
      <c r="OPY22" s="1280"/>
      <c r="OPZ22" s="1280"/>
      <c r="OQA22" s="1280"/>
      <c r="OQB22" s="1280"/>
      <c r="OQC22" s="1280"/>
      <c r="OQD22" s="1280"/>
      <c r="OQE22" s="1280"/>
      <c r="OQF22" s="1280"/>
      <c r="OQG22" s="1280"/>
      <c r="OQH22" s="1280"/>
      <c r="OQI22" s="1280"/>
      <c r="OQJ22" s="1280"/>
      <c r="OQK22" s="1280"/>
      <c r="OQL22" s="1280"/>
      <c r="OQM22" s="1280"/>
      <c r="OQN22" s="1280"/>
      <c r="OQO22" s="1280"/>
      <c r="OQP22" s="1280"/>
      <c r="OQQ22" s="1280"/>
      <c r="OQR22" s="1280"/>
      <c r="OQS22" s="1280"/>
      <c r="OQT22" s="1280"/>
      <c r="OQU22" s="1280"/>
      <c r="OQV22" s="1280"/>
      <c r="OQW22" s="1280"/>
      <c r="OQX22" s="1280"/>
      <c r="OQY22" s="1280"/>
      <c r="OQZ22" s="1280"/>
      <c r="ORA22" s="1280"/>
      <c r="ORB22" s="1280"/>
      <c r="ORC22" s="1280"/>
      <c r="ORD22" s="1280"/>
      <c r="ORE22" s="1280"/>
      <c r="ORF22" s="1280"/>
      <c r="ORG22" s="1280"/>
      <c r="ORH22" s="1280"/>
      <c r="ORI22" s="1280"/>
      <c r="ORJ22" s="1280"/>
      <c r="ORK22" s="1280"/>
      <c r="ORL22" s="1280"/>
      <c r="ORM22" s="1280"/>
      <c r="ORN22" s="1280"/>
      <c r="ORO22" s="1280"/>
      <c r="ORP22" s="1280"/>
      <c r="ORQ22" s="1280"/>
      <c r="ORR22" s="1280"/>
      <c r="ORS22" s="1280"/>
      <c r="ORT22" s="1280"/>
      <c r="ORU22" s="1280"/>
      <c r="ORV22" s="1280"/>
      <c r="ORW22" s="1280"/>
      <c r="ORX22" s="1280"/>
      <c r="ORY22" s="1280"/>
      <c r="ORZ22" s="1280"/>
      <c r="OSA22" s="1280"/>
      <c r="OSB22" s="1280"/>
      <c r="OSC22" s="1280"/>
      <c r="OSD22" s="1280"/>
      <c r="OSE22" s="1280"/>
      <c r="OSF22" s="1280"/>
      <c r="OSG22" s="1280"/>
      <c r="OSH22" s="1280"/>
      <c r="OSI22" s="1280"/>
      <c r="OSJ22" s="1280"/>
      <c r="OSK22" s="1280"/>
      <c r="OSL22" s="1280"/>
      <c r="OSM22" s="1280"/>
      <c r="OSN22" s="1280"/>
      <c r="OSO22" s="1280"/>
      <c r="OSP22" s="1280"/>
      <c r="OSQ22" s="1280"/>
      <c r="OSR22" s="1280"/>
      <c r="OSS22" s="1280"/>
      <c r="OST22" s="1280"/>
      <c r="OSU22" s="1280"/>
      <c r="OSV22" s="1280"/>
      <c r="OSW22" s="1280"/>
      <c r="OSX22" s="1280"/>
      <c r="OSY22" s="1280"/>
      <c r="OSZ22" s="1280"/>
      <c r="OTA22" s="1280"/>
      <c r="OTB22" s="1280"/>
      <c r="OTC22" s="1280"/>
      <c r="OTD22" s="1280"/>
      <c r="OTE22" s="1280"/>
      <c r="OTF22" s="1280"/>
      <c r="OTG22" s="1280"/>
      <c r="OTH22" s="1280"/>
      <c r="OTI22" s="1280"/>
      <c r="OTJ22" s="1280"/>
      <c r="OTK22" s="1280"/>
      <c r="OTL22" s="1280"/>
      <c r="OTM22" s="1280"/>
      <c r="OTN22" s="1280"/>
      <c r="OTO22" s="1280"/>
      <c r="OTP22" s="1280"/>
      <c r="OTQ22" s="1280"/>
      <c r="OTR22" s="1280"/>
      <c r="OTS22" s="1280"/>
      <c r="OTT22" s="1280"/>
      <c r="OTU22" s="1280"/>
      <c r="OTV22" s="1280"/>
      <c r="OTW22" s="1280"/>
      <c r="OTX22" s="1280"/>
      <c r="OTY22" s="1280"/>
      <c r="OTZ22" s="1280"/>
      <c r="OUA22" s="1280"/>
      <c r="OUB22" s="1280"/>
      <c r="OUC22" s="1280"/>
      <c r="OUD22" s="1280"/>
      <c r="OUE22" s="1280"/>
      <c r="OUF22" s="1280"/>
      <c r="OUG22" s="1280"/>
      <c r="OUH22" s="1280"/>
      <c r="OUI22" s="1280"/>
      <c r="OUJ22" s="1280"/>
      <c r="OUK22" s="1280"/>
      <c r="OUL22" s="1280"/>
      <c r="OUM22" s="1280"/>
      <c r="OUN22" s="1280"/>
      <c r="OUO22" s="1280"/>
      <c r="OUP22" s="1280"/>
      <c r="OUQ22" s="1280"/>
      <c r="OUR22" s="1280"/>
      <c r="OUS22" s="1280"/>
      <c r="OUT22" s="1280"/>
      <c r="OUU22" s="1280"/>
      <c r="OUV22" s="1280"/>
      <c r="OUW22" s="1280"/>
      <c r="OUX22" s="1280"/>
      <c r="OUY22" s="1280"/>
      <c r="OUZ22" s="1280"/>
      <c r="OVA22" s="1280"/>
      <c r="OVB22" s="1280"/>
      <c r="OVC22" s="1280"/>
      <c r="OVD22" s="1280"/>
      <c r="OVE22" s="1280"/>
      <c r="OVF22" s="1280"/>
      <c r="OVG22" s="1280"/>
      <c r="OVH22" s="1280"/>
      <c r="OVI22" s="1280"/>
      <c r="OVJ22" s="1280"/>
      <c r="OVK22" s="1280"/>
      <c r="OVL22" s="1280"/>
      <c r="OVM22" s="1280"/>
      <c r="OVN22" s="1280"/>
      <c r="OVO22" s="1280"/>
      <c r="OVP22" s="1280"/>
      <c r="OVQ22" s="1280"/>
      <c r="OVR22" s="1280"/>
      <c r="OVS22" s="1280"/>
      <c r="OVT22" s="1280"/>
      <c r="OVU22" s="1280"/>
      <c r="OVV22" s="1280"/>
      <c r="OVW22" s="1280"/>
      <c r="OVX22" s="1280"/>
      <c r="OVY22" s="1280"/>
      <c r="OVZ22" s="1280"/>
      <c r="OWA22" s="1280"/>
      <c r="OWB22" s="1280"/>
      <c r="OWC22" s="1280"/>
      <c r="OWD22" s="1280"/>
      <c r="OWE22" s="1280"/>
      <c r="OWF22" s="1280"/>
      <c r="OWG22" s="1280"/>
      <c r="OWH22" s="1280"/>
      <c r="OWI22" s="1280"/>
      <c r="OWJ22" s="1280"/>
      <c r="OWK22" s="1280"/>
      <c r="OWL22" s="1280"/>
      <c r="OWM22" s="1280"/>
      <c r="OWN22" s="1280"/>
      <c r="OWO22" s="1280"/>
      <c r="OWP22" s="1280"/>
      <c r="OWQ22" s="1280"/>
      <c r="OWR22" s="1280"/>
      <c r="OWS22" s="1280"/>
      <c r="OWT22" s="1280"/>
      <c r="OWU22" s="1280"/>
      <c r="OWV22" s="1280"/>
      <c r="OWW22" s="1280"/>
      <c r="OWX22" s="1280"/>
      <c r="OWY22" s="1280"/>
      <c r="OWZ22" s="1280"/>
      <c r="OXA22" s="1280"/>
      <c r="OXB22" s="1280"/>
      <c r="OXC22" s="1280"/>
      <c r="OXD22" s="1280"/>
      <c r="OXE22" s="1280"/>
      <c r="OXF22" s="1280"/>
      <c r="OXG22" s="1280"/>
      <c r="OXH22" s="1280"/>
      <c r="OXI22" s="1280"/>
      <c r="OXJ22" s="1280"/>
      <c r="OXK22" s="1280"/>
      <c r="OXL22" s="1280"/>
      <c r="OXM22" s="1280"/>
      <c r="OXN22" s="1280"/>
      <c r="OXO22" s="1280"/>
      <c r="OXP22" s="1280"/>
      <c r="OXQ22" s="1280"/>
      <c r="OXR22" s="1280"/>
      <c r="OXS22" s="1280"/>
      <c r="OXT22" s="1280"/>
      <c r="OXU22" s="1280"/>
      <c r="OXV22" s="1280"/>
      <c r="OXW22" s="1280"/>
      <c r="OXX22" s="1280"/>
      <c r="OXY22" s="1280"/>
      <c r="OXZ22" s="1280"/>
      <c r="OYA22" s="1280"/>
      <c r="OYB22" s="1280"/>
      <c r="OYC22" s="1280"/>
      <c r="OYD22" s="1280"/>
      <c r="OYE22" s="1280"/>
      <c r="OYF22" s="1280"/>
      <c r="OYG22" s="1280"/>
      <c r="OYH22" s="1280"/>
      <c r="OYI22" s="1280"/>
      <c r="OYJ22" s="1280"/>
      <c r="OYK22" s="1280"/>
      <c r="OYL22" s="1280"/>
      <c r="OYM22" s="1280"/>
      <c r="OYN22" s="1280"/>
      <c r="OYO22" s="1280"/>
      <c r="OYP22" s="1280"/>
      <c r="OYQ22" s="1280"/>
      <c r="OYR22" s="1280"/>
      <c r="OYS22" s="1280"/>
      <c r="OYT22" s="1280"/>
      <c r="OYU22" s="1280"/>
      <c r="OYV22" s="1280"/>
      <c r="OYW22" s="1280"/>
      <c r="OYX22" s="1280"/>
      <c r="OYY22" s="1280"/>
      <c r="OYZ22" s="1280"/>
      <c r="OZA22" s="1280"/>
      <c r="OZB22" s="1280"/>
      <c r="OZC22" s="1280"/>
      <c r="OZD22" s="1280"/>
      <c r="OZE22" s="1280"/>
      <c r="OZF22" s="1280"/>
      <c r="OZG22" s="1280"/>
      <c r="OZH22" s="1280"/>
      <c r="OZI22" s="1280"/>
      <c r="OZJ22" s="1280"/>
      <c r="OZK22" s="1280"/>
      <c r="OZL22" s="1280"/>
      <c r="OZM22" s="1280"/>
      <c r="OZN22" s="1280"/>
      <c r="OZO22" s="1280"/>
      <c r="OZP22" s="1280"/>
      <c r="OZQ22" s="1280"/>
      <c r="OZR22" s="1280"/>
      <c r="OZS22" s="1280"/>
      <c r="OZT22" s="1280"/>
      <c r="OZU22" s="1280"/>
      <c r="OZV22" s="1280"/>
      <c r="OZW22" s="1280"/>
      <c r="OZX22" s="1280"/>
      <c r="OZY22" s="1280"/>
      <c r="OZZ22" s="1280"/>
      <c r="PAA22" s="1280"/>
      <c r="PAB22" s="1280"/>
      <c r="PAC22" s="1280"/>
      <c r="PAD22" s="1280"/>
      <c r="PAE22" s="1280"/>
      <c r="PAF22" s="1280"/>
      <c r="PAG22" s="1280"/>
      <c r="PAH22" s="1280"/>
      <c r="PAI22" s="1280"/>
      <c r="PAJ22" s="1280"/>
      <c r="PAK22" s="1280"/>
      <c r="PAL22" s="1280"/>
      <c r="PAM22" s="1280"/>
      <c r="PAN22" s="1280"/>
      <c r="PAO22" s="1280"/>
      <c r="PAP22" s="1280"/>
      <c r="PAQ22" s="1280"/>
      <c r="PAR22" s="1280"/>
      <c r="PAS22" s="1280"/>
      <c r="PAT22" s="1280"/>
      <c r="PAU22" s="1280"/>
      <c r="PAV22" s="1280"/>
      <c r="PAW22" s="1280"/>
      <c r="PAX22" s="1280"/>
      <c r="PAY22" s="1280"/>
      <c r="PAZ22" s="1280"/>
      <c r="PBA22" s="1280"/>
      <c r="PBB22" s="1280"/>
      <c r="PBC22" s="1280"/>
      <c r="PBD22" s="1280"/>
      <c r="PBE22" s="1280"/>
      <c r="PBF22" s="1280"/>
      <c r="PBG22" s="1280"/>
      <c r="PBH22" s="1280"/>
      <c r="PBI22" s="1280"/>
      <c r="PBJ22" s="1280"/>
      <c r="PBK22" s="1280"/>
      <c r="PBL22" s="1280"/>
      <c r="PBM22" s="1280"/>
      <c r="PBN22" s="1280"/>
      <c r="PBO22" s="1280"/>
      <c r="PBP22" s="1280"/>
      <c r="PBQ22" s="1280"/>
      <c r="PBR22" s="1280"/>
      <c r="PBS22" s="1280"/>
      <c r="PBT22" s="1280"/>
      <c r="PBU22" s="1280"/>
      <c r="PBV22" s="1280"/>
      <c r="PBW22" s="1280"/>
      <c r="PBX22" s="1280"/>
      <c r="PBY22" s="1280"/>
      <c r="PBZ22" s="1280"/>
      <c r="PCA22" s="1280"/>
      <c r="PCB22" s="1280"/>
      <c r="PCC22" s="1280"/>
      <c r="PCD22" s="1280"/>
      <c r="PCE22" s="1280"/>
      <c r="PCF22" s="1280"/>
      <c r="PCG22" s="1280"/>
      <c r="PCH22" s="1280"/>
      <c r="PCI22" s="1280"/>
      <c r="PCJ22" s="1280"/>
      <c r="PCK22" s="1280"/>
      <c r="PCL22" s="1280"/>
      <c r="PCM22" s="1280"/>
      <c r="PCN22" s="1280"/>
      <c r="PCO22" s="1280"/>
      <c r="PCP22" s="1280"/>
      <c r="PCQ22" s="1280"/>
      <c r="PCR22" s="1280"/>
      <c r="PCS22" s="1280"/>
      <c r="PCT22" s="1280"/>
      <c r="PCU22" s="1280"/>
      <c r="PCV22" s="1280"/>
      <c r="PCW22" s="1280"/>
      <c r="PCX22" s="1280"/>
      <c r="PCY22" s="1280"/>
      <c r="PCZ22" s="1280"/>
      <c r="PDA22" s="1280"/>
      <c r="PDB22" s="1280"/>
      <c r="PDC22" s="1280"/>
      <c r="PDD22" s="1280"/>
      <c r="PDE22" s="1280"/>
      <c r="PDF22" s="1280"/>
      <c r="PDG22" s="1280"/>
      <c r="PDH22" s="1280"/>
      <c r="PDI22" s="1280"/>
      <c r="PDJ22" s="1280"/>
      <c r="PDK22" s="1280"/>
      <c r="PDL22" s="1280"/>
      <c r="PDM22" s="1280"/>
      <c r="PDN22" s="1280"/>
      <c r="PDO22" s="1280"/>
      <c r="PDP22" s="1280"/>
      <c r="PDQ22" s="1280"/>
      <c r="PDR22" s="1280"/>
      <c r="PDS22" s="1280"/>
      <c r="PDT22" s="1280"/>
      <c r="PDU22" s="1280"/>
      <c r="PDV22" s="1280"/>
      <c r="PDW22" s="1280"/>
      <c r="PDX22" s="1280"/>
      <c r="PDY22" s="1280"/>
      <c r="PDZ22" s="1280"/>
      <c r="PEA22" s="1280"/>
      <c r="PEB22" s="1280"/>
      <c r="PEC22" s="1280"/>
      <c r="PED22" s="1280"/>
      <c r="PEE22" s="1280"/>
      <c r="PEF22" s="1280"/>
      <c r="PEG22" s="1280"/>
      <c r="PEH22" s="1280"/>
      <c r="PEI22" s="1280"/>
      <c r="PEJ22" s="1280"/>
      <c r="PEK22" s="1280"/>
      <c r="PEL22" s="1280"/>
      <c r="PEM22" s="1280"/>
      <c r="PEN22" s="1280"/>
      <c r="PEO22" s="1280"/>
      <c r="PEP22" s="1280"/>
      <c r="PEQ22" s="1280"/>
      <c r="PER22" s="1280"/>
      <c r="PES22" s="1280"/>
      <c r="PET22" s="1280"/>
      <c r="PEU22" s="1280"/>
      <c r="PEV22" s="1280"/>
      <c r="PEW22" s="1280"/>
      <c r="PEX22" s="1280"/>
      <c r="PEY22" s="1280"/>
      <c r="PEZ22" s="1280"/>
      <c r="PFA22" s="1280"/>
      <c r="PFB22" s="1280"/>
      <c r="PFC22" s="1280"/>
      <c r="PFD22" s="1280"/>
      <c r="PFE22" s="1280"/>
      <c r="PFF22" s="1280"/>
      <c r="PFG22" s="1280"/>
      <c r="PFH22" s="1280"/>
      <c r="PFI22" s="1280"/>
      <c r="PFJ22" s="1280"/>
      <c r="PFK22" s="1280"/>
      <c r="PFL22" s="1280"/>
      <c r="PFM22" s="1280"/>
      <c r="PFN22" s="1280"/>
      <c r="PFO22" s="1280"/>
      <c r="PFP22" s="1280"/>
      <c r="PFQ22" s="1280"/>
      <c r="PFR22" s="1280"/>
      <c r="PFS22" s="1280"/>
      <c r="PFT22" s="1280"/>
      <c r="PFU22" s="1280"/>
      <c r="PFV22" s="1280"/>
      <c r="PFW22" s="1280"/>
      <c r="PFX22" s="1280"/>
      <c r="PFY22" s="1280"/>
      <c r="PFZ22" s="1280"/>
      <c r="PGA22" s="1280"/>
      <c r="PGB22" s="1280"/>
      <c r="PGC22" s="1280"/>
      <c r="PGD22" s="1280"/>
      <c r="PGE22" s="1280"/>
      <c r="PGF22" s="1280"/>
      <c r="PGG22" s="1280"/>
      <c r="PGH22" s="1280"/>
      <c r="PGI22" s="1280"/>
      <c r="PGJ22" s="1280"/>
      <c r="PGK22" s="1280"/>
      <c r="PGL22" s="1280"/>
      <c r="PGM22" s="1280"/>
      <c r="PGN22" s="1280"/>
      <c r="PGO22" s="1280"/>
      <c r="PGP22" s="1280"/>
      <c r="PGQ22" s="1280"/>
      <c r="PGR22" s="1280"/>
      <c r="PGS22" s="1280"/>
      <c r="PGT22" s="1280"/>
      <c r="PGU22" s="1280"/>
      <c r="PGV22" s="1280"/>
      <c r="PGW22" s="1280"/>
      <c r="PGX22" s="1280"/>
      <c r="PGY22" s="1280"/>
      <c r="PGZ22" s="1280"/>
      <c r="PHA22" s="1280"/>
      <c r="PHB22" s="1280"/>
      <c r="PHC22" s="1280"/>
      <c r="PHD22" s="1280"/>
      <c r="PHE22" s="1280"/>
      <c r="PHF22" s="1280"/>
      <c r="PHG22" s="1280"/>
      <c r="PHH22" s="1280"/>
      <c r="PHI22" s="1280"/>
      <c r="PHJ22" s="1280"/>
      <c r="PHK22" s="1280"/>
      <c r="PHL22" s="1280"/>
      <c r="PHM22" s="1280"/>
      <c r="PHN22" s="1280"/>
      <c r="PHO22" s="1280"/>
      <c r="PHP22" s="1280"/>
      <c r="PHQ22" s="1280"/>
      <c r="PHR22" s="1280"/>
      <c r="PHS22" s="1280"/>
      <c r="PHT22" s="1280"/>
      <c r="PHU22" s="1280"/>
      <c r="PHV22" s="1280"/>
      <c r="PHW22" s="1280"/>
      <c r="PHX22" s="1280"/>
      <c r="PHY22" s="1280"/>
      <c r="PHZ22" s="1280"/>
      <c r="PIA22" s="1280"/>
      <c r="PIB22" s="1280"/>
      <c r="PIC22" s="1280"/>
      <c r="PID22" s="1280"/>
      <c r="PIE22" s="1280"/>
      <c r="PIF22" s="1280"/>
      <c r="PIG22" s="1280"/>
      <c r="PIH22" s="1280"/>
      <c r="PII22" s="1280"/>
      <c r="PIJ22" s="1280"/>
      <c r="PIK22" s="1280"/>
      <c r="PIL22" s="1280"/>
      <c r="PIM22" s="1280"/>
      <c r="PIN22" s="1280"/>
      <c r="PIO22" s="1280"/>
      <c r="PIP22" s="1280"/>
      <c r="PIQ22" s="1280"/>
      <c r="PIR22" s="1280"/>
      <c r="PIS22" s="1280"/>
      <c r="PIT22" s="1280"/>
      <c r="PIU22" s="1280"/>
      <c r="PIV22" s="1280"/>
      <c r="PIW22" s="1280"/>
      <c r="PIX22" s="1280"/>
      <c r="PIY22" s="1280"/>
      <c r="PIZ22" s="1280"/>
      <c r="PJA22" s="1280"/>
      <c r="PJB22" s="1280"/>
      <c r="PJC22" s="1280"/>
      <c r="PJD22" s="1280"/>
      <c r="PJE22" s="1280"/>
      <c r="PJF22" s="1280"/>
      <c r="PJG22" s="1280"/>
      <c r="PJH22" s="1280"/>
      <c r="PJI22" s="1280"/>
      <c r="PJJ22" s="1280"/>
      <c r="PJK22" s="1280"/>
      <c r="PJL22" s="1280"/>
      <c r="PJM22" s="1280"/>
      <c r="PJN22" s="1280"/>
      <c r="PJO22" s="1280"/>
      <c r="PJP22" s="1280"/>
      <c r="PJQ22" s="1280"/>
      <c r="PJR22" s="1280"/>
      <c r="PJS22" s="1280"/>
      <c r="PJT22" s="1280"/>
      <c r="PJU22" s="1280"/>
      <c r="PJV22" s="1280"/>
      <c r="PJW22" s="1280"/>
      <c r="PJX22" s="1280"/>
      <c r="PJY22" s="1280"/>
      <c r="PJZ22" s="1280"/>
      <c r="PKA22" s="1280"/>
      <c r="PKB22" s="1280"/>
      <c r="PKC22" s="1280"/>
      <c r="PKD22" s="1280"/>
      <c r="PKE22" s="1280"/>
      <c r="PKF22" s="1280"/>
      <c r="PKG22" s="1280"/>
      <c r="PKH22" s="1280"/>
      <c r="PKI22" s="1280"/>
      <c r="PKJ22" s="1280"/>
      <c r="PKK22" s="1280"/>
      <c r="PKL22" s="1280"/>
      <c r="PKM22" s="1280"/>
      <c r="PKN22" s="1280"/>
      <c r="PKO22" s="1280"/>
      <c r="PKP22" s="1280"/>
      <c r="PKQ22" s="1280"/>
      <c r="PKR22" s="1280"/>
      <c r="PKS22" s="1280"/>
      <c r="PKT22" s="1280"/>
      <c r="PKU22" s="1280"/>
      <c r="PKV22" s="1280"/>
      <c r="PKW22" s="1280"/>
      <c r="PKX22" s="1280"/>
      <c r="PKY22" s="1280"/>
      <c r="PKZ22" s="1280"/>
      <c r="PLA22" s="1280"/>
      <c r="PLB22" s="1280"/>
      <c r="PLC22" s="1280"/>
      <c r="PLD22" s="1280"/>
      <c r="PLE22" s="1280"/>
      <c r="PLF22" s="1280"/>
      <c r="PLG22" s="1280"/>
      <c r="PLH22" s="1280"/>
      <c r="PLI22" s="1280"/>
      <c r="PLJ22" s="1280"/>
      <c r="PLK22" s="1280"/>
      <c r="PLL22" s="1280"/>
      <c r="PLM22" s="1280"/>
      <c r="PLN22" s="1280"/>
      <c r="PLO22" s="1280"/>
      <c r="PLP22" s="1280"/>
      <c r="PLQ22" s="1280"/>
      <c r="PLR22" s="1280"/>
      <c r="PLS22" s="1280"/>
      <c r="PLT22" s="1280"/>
      <c r="PLU22" s="1280"/>
      <c r="PLV22" s="1280"/>
      <c r="PLW22" s="1280"/>
      <c r="PLX22" s="1280"/>
      <c r="PLY22" s="1280"/>
      <c r="PLZ22" s="1280"/>
      <c r="PMA22" s="1280"/>
      <c r="PMB22" s="1280"/>
      <c r="PMC22" s="1280"/>
      <c r="PMD22" s="1280"/>
      <c r="PME22" s="1280"/>
      <c r="PMF22" s="1280"/>
      <c r="PMG22" s="1280"/>
      <c r="PMH22" s="1280"/>
      <c r="PMI22" s="1280"/>
      <c r="PMJ22" s="1280"/>
      <c r="PMK22" s="1280"/>
      <c r="PML22" s="1280"/>
      <c r="PMM22" s="1280"/>
      <c r="PMN22" s="1280"/>
      <c r="PMO22" s="1280"/>
      <c r="PMP22" s="1280"/>
      <c r="PMQ22" s="1280"/>
      <c r="PMR22" s="1280"/>
      <c r="PMS22" s="1280"/>
      <c r="PMT22" s="1280"/>
      <c r="PMU22" s="1280"/>
      <c r="PMV22" s="1280"/>
      <c r="PMW22" s="1280"/>
      <c r="PMX22" s="1280"/>
      <c r="PMY22" s="1280"/>
      <c r="PMZ22" s="1280"/>
      <c r="PNA22" s="1280"/>
      <c r="PNB22" s="1280"/>
      <c r="PNC22" s="1280"/>
      <c r="PND22" s="1280"/>
      <c r="PNE22" s="1280"/>
      <c r="PNF22" s="1280"/>
      <c r="PNG22" s="1280"/>
      <c r="PNH22" s="1280"/>
      <c r="PNI22" s="1280"/>
      <c r="PNJ22" s="1280"/>
      <c r="PNK22" s="1280"/>
      <c r="PNL22" s="1280"/>
      <c r="PNM22" s="1280"/>
      <c r="PNN22" s="1280"/>
      <c r="PNO22" s="1280"/>
      <c r="PNP22" s="1280"/>
      <c r="PNQ22" s="1280"/>
      <c r="PNR22" s="1280"/>
      <c r="PNS22" s="1280"/>
      <c r="PNT22" s="1280"/>
      <c r="PNU22" s="1280"/>
      <c r="PNV22" s="1280"/>
      <c r="PNW22" s="1280"/>
      <c r="PNX22" s="1280"/>
      <c r="PNY22" s="1280"/>
      <c r="PNZ22" s="1280"/>
      <c r="POA22" s="1280"/>
      <c r="POB22" s="1280"/>
      <c r="POC22" s="1280"/>
      <c r="POD22" s="1280"/>
      <c r="POE22" s="1280"/>
      <c r="POF22" s="1280"/>
      <c r="POG22" s="1280"/>
      <c r="POH22" s="1280"/>
      <c r="POI22" s="1280"/>
      <c r="POJ22" s="1280"/>
      <c r="POK22" s="1280"/>
      <c r="POL22" s="1280"/>
      <c r="POM22" s="1280"/>
      <c r="PON22" s="1280"/>
      <c r="POO22" s="1280"/>
      <c r="POP22" s="1280"/>
      <c r="POQ22" s="1280"/>
      <c r="POR22" s="1280"/>
      <c r="POS22" s="1280"/>
      <c r="POT22" s="1280"/>
      <c r="POU22" s="1280"/>
      <c r="POV22" s="1280"/>
      <c r="POW22" s="1280"/>
      <c r="POX22" s="1280"/>
      <c r="POY22" s="1280"/>
      <c r="POZ22" s="1280"/>
      <c r="PPA22" s="1280"/>
      <c r="PPB22" s="1280"/>
      <c r="PPC22" s="1280"/>
      <c r="PPD22" s="1280"/>
      <c r="PPE22" s="1280"/>
      <c r="PPF22" s="1280"/>
      <c r="PPG22" s="1280"/>
      <c r="PPH22" s="1280"/>
      <c r="PPI22" s="1280"/>
      <c r="PPJ22" s="1280"/>
      <c r="PPK22" s="1280"/>
      <c r="PPL22" s="1280"/>
      <c r="PPM22" s="1280"/>
      <c r="PPN22" s="1280"/>
      <c r="PPO22" s="1280"/>
      <c r="PPP22" s="1280"/>
      <c r="PPQ22" s="1280"/>
      <c r="PPR22" s="1280"/>
      <c r="PPS22" s="1280"/>
      <c r="PPT22" s="1280"/>
      <c r="PPU22" s="1280"/>
      <c r="PPV22" s="1280"/>
      <c r="PPW22" s="1280"/>
      <c r="PPX22" s="1280"/>
      <c r="PPY22" s="1280"/>
      <c r="PPZ22" s="1280"/>
      <c r="PQA22" s="1280"/>
      <c r="PQB22" s="1280"/>
      <c r="PQC22" s="1280"/>
      <c r="PQD22" s="1280"/>
      <c r="PQE22" s="1280"/>
      <c r="PQF22" s="1280"/>
      <c r="PQG22" s="1280"/>
      <c r="PQH22" s="1280"/>
      <c r="PQI22" s="1280"/>
      <c r="PQJ22" s="1280"/>
      <c r="PQK22" s="1280"/>
      <c r="PQL22" s="1280"/>
      <c r="PQM22" s="1280"/>
      <c r="PQN22" s="1280"/>
      <c r="PQO22" s="1280"/>
      <c r="PQP22" s="1280"/>
      <c r="PQQ22" s="1280"/>
      <c r="PQR22" s="1280"/>
      <c r="PQS22" s="1280"/>
      <c r="PQT22" s="1280"/>
      <c r="PQU22" s="1280"/>
      <c r="PQV22" s="1280"/>
      <c r="PQW22" s="1280"/>
      <c r="PQX22" s="1280"/>
      <c r="PQY22" s="1280"/>
      <c r="PQZ22" s="1280"/>
      <c r="PRA22" s="1280"/>
      <c r="PRB22" s="1280"/>
      <c r="PRC22" s="1280"/>
      <c r="PRD22" s="1280"/>
      <c r="PRE22" s="1280"/>
      <c r="PRF22" s="1280"/>
      <c r="PRG22" s="1280"/>
      <c r="PRH22" s="1280"/>
      <c r="PRI22" s="1280"/>
      <c r="PRJ22" s="1280"/>
      <c r="PRK22" s="1280"/>
      <c r="PRL22" s="1280"/>
      <c r="PRM22" s="1280"/>
      <c r="PRN22" s="1280"/>
      <c r="PRO22" s="1280"/>
      <c r="PRP22" s="1280"/>
      <c r="PRQ22" s="1280"/>
      <c r="PRR22" s="1280"/>
      <c r="PRS22" s="1280"/>
      <c r="PRT22" s="1280"/>
      <c r="PRU22" s="1280"/>
      <c r="PRV22" s="1280"/>
      <c r="PRW22" s="1280"/>
      <c r="PRX22" s="1280"/>
      <c r="PRY22" s="1280"/>
      <c r="PRZ22" s="1280"/>
      <c r="PSA22" s="1280"/>
      <c r="PSB22" s="1280"/>
      <c r="PSC22" s="1280"/>
      <c r="PSD22" s="1280"/>
      <c r="PSE22" s="1280"/>
      <c r="PSF22" s="1280"/>
      <c r="PSG22" s="1280"/>
      <c r="PSH22" s="1280"/>
      <c r="PSI22" s="1280"/>
      <c r="PSJ22" s="1280"/>
      <c r="PSK22" s="1280"/>
      <c r="PSL22" s="1280"/>
      <c r="PSM22" s="1280"/>
      <c r="PSN22" s="1280"/>
      <c r="PSO22" s="1280"/>
      <c r="PSP22" s="1280"/>
      <c r="PSQ22" s="1280"/>
      <c r="PSR22" s="1280"/>
      <c r="PSS22" s="1280"/>
      <c r="PST22" s="1280"/>
      <c r="PSU22" s="1280"/>
      <c r="PSV22" s="1280"/>
      <c r="PSW22" s="1280"/>
      <c r="PSX22" s="1280"/>
      <c r="PSY22" s="1280"/>
      <c r="PSZ22" s="1280"/>
      <c r="PTA22" s="1280"/>
      <c r="PTB22" s="1280"/>
      <c r="PTC22" s="1280"/>
      <c r="PTD22" s="1280"/>
      <c r="PTE22" s="1280"/>
      <c r="PTF22" s="1280"/>
      <c r="PTG22" s="1280"/>
      <c r="PTH22" s="1280"/>
      <c r="PTI22" s="1280"/>
      <c r="PTJ22" s="1280"/>
      <c r="PTK22" s="1280"/>
      <c r="PTL22" s="1280"/>
      <c r="PTM22" s="1280"/>
      <c r="PTN22" s="1280"/>
      <c r="PTO22" s="1280"/>
      <c r="PTP22" s="1280"/>
      <c r="PTQ22" s="1280"/>
      <c r="PTR22" s="1280"/>
      <c r="PTS22" s="1280"/>
      <c r="PTT22" s="1280"/>
      <c r="PTU22" s="1280"/>
      <c r="PTV22" s="1280"/>
      <c r="PTW22" s="1280"/>
      <c r="PTX22" s="1280"/>
      <c r="PTY22" s="1280"/>
      <c r="PTZ22" s="1280"/>
      <c r="PUA22" s="1280"/>
      <c r="PUB22" s="1280"/>
      <c r="PUC22" s="1280"/>
      <c r="PUD22" s="1280"/>
      <c r="PUE22" s="1280"/>
      <c r="PUF22" s="1280"/>
      <c r="PUG22" s="1280"/>
      <c r="PUH22" s="1280"/>
      <c r="PUI22" s="1280"/>
      <c r="PUJ22" s="1280"/>
      <c r="PUK22" s="1280"/>
      <c r="PUL22" s="1280"/>
      <c r="PUM22" s="1280"/>
      <c r="PUN22" s="1280"/>
      <c r="PUO22" s="1280"/>
      <c r="PUP22" s="1280"/>
      <c r="PUQ22" s="1280"/>
      <c r="PUR22" s="1280"/>
      <c r="PUS22" s="1280"/>
      <c r="PUT22" s="1280"/>
      <c r="PUU22" s="1280"/>
      <c r="PUV22" s="1280"/>
      <c r="PUW22" s="1280"/>
      <c r="PUX22" s="1280"/>
      <c r="PUY22" s="1280"/>
      <c r="PUZ22" s="1280"/>
      <c r="PVA22" s="1280"/>
      <c r="PVB22" s="1280"/>
      <c r="PVC22" s="1280"/>
      <c r="PVD22" s="1280"/>
      <c r="PVE22" s="1280"/>
      <c r="PVF22" s="1280"/>
      <c r="PVG22" s="1280"/>
      <c r="PVH22" s="1280"/>
      <c r="PVI22" s="1280"/>
      <c r="PVJ22" s="1280"/>
      <c r="PVK22" s="1280"/>
      <c r="PVL22" s="1280"/>
      <c r="PVM22" s="1280"/>
      <c r="PVN22" s="1280"/>
      <c r="PVO22" s="1280"/>
      <c r="PVP22" s="1280"/>
      <c r="PVQ22" s="1280"/>
      <c r="PVR22" s="1280"/>
      <c r="PVS22" s="1280"/>
      <c r="PVT22" s="1280"/>
      <c r="PVU22" s="1280"/>
      <c r="PVV22" s="1280"/>
      <c r="PVW22" s="1280"/>
      <c r="PVX22" s="1280"/>
      <c r="PVY22" s="1280"/>
      <c r="PVZ22" s="1280"/>
      <c r="PWA22" s="1280"/>
      <c r="PWB22" s="1280"/>
      <c r="PWC22" s="1280"/>
      <c r="PWD22" s="1280"/>
      <c r="PWE22" s="1280"/>
      <c r="PWF22" s="1280"/>
      <c r="PWG22" s="1280"/>
      <c r="PWH22" s="1280"/>
      <c r="PWI22" s="1280"/>
      <c r="PWJ22" s="1280"/>
      <c r="PWK22" s="1280"/>
      <c r="PWL22" s="1280"/>
      <c r="PWM22" s="1280"/>
      <c r="PWN22" s="1280"/>
      <c r="PWO22" s="1280"/>
      <c r="PWP22" s="1280"/>
      <c r="PWQ22" s="1280"/>
      <c r="PWR22" s="1280"/>
      <c r="PWS22" s="1280"/>
      <c r="PWT22" s="1280"/>
      <c r="PWU22" s="1280"/>
      <c r="PWV22" s="1280"/>
      <c r="PWW22" s="1280"/>
      <c r="PWX22" s="1280"/>
      <c r="PWY22" s="1280"/>
      <c r="PWZ22" s="1280"/>
      <c r="PXA22" s="1280"/>
      <c r="PXB22" s="1280"/>
      <c r="PXC22" s="1280"/>
      <c r="PXD22" s="1280"/>
      <c r="PXE22" s="1280"/>
      <c r="PXF22" s="1280"/>
      <c r="PXG22" s="1280"/>
      <c r="PXH22" s="1280"/>
      <c r="PXI22" s="1280"/>
      <c r="PXJ22" s="1280"/>
      <c r="PXK22" s="1280"/>
      <c r="PXL22" s="1280"/>
      <c r="PXM22" s="1280"/>
      <c r="PXN22" s="1280"/>
      <c r="PXO22" s="1280"/>
      <c r="PXP22" s="1280"/>
      <c r="PXQ22" s="1280"/>
      <c r="PXR22" s="1280"/>
      <c r="PXS22" s="1280"/>
      <c r="PXT22" s="1280"/>
      <c r="PXU22" s="1280"/>
      <c r="PXV22" s="1280"/>
      <c r="PXW22" s="1280"/>
      <c r="PXX22" s="1280"/>
      <c r="PXY22" s="1280"/>
      <c r="PXZ22" s="1280"/>
      <c r="PYA22" s="1280"/>
      <c r="PYB22" s="1280"/>
      <c r="PYC22" s="1280"/>
      <c r="PYD22" s="1280"/>
      <c r="PYE22" s="1280"/>
      <c r="PYF22" s="1280"/>
      <c r="PYG22" s="1280"/>
      <c r="PYH22" s="1280"/>
      <c r="PYI22" s="1280"/>
      <c r="PYJ22" s="1280"/>
      <c r="PYK22" s="1280"/>
      <c r="PYL22" s="1280"/>
      <c r="PYM22" s="1280"/>
      <c r="PYN22" s="1280"/>
      <c r="PYO22" s="1280"/>
      <c r="PYP22" s="1280"/>
      <c r="PYQ22" s="1280"/>
      <c r="PYR22" s="1280"/>
      <c r="PYS22" s="1280"/>
      <c r="PYT22" s="1280"/>
      <c r="PYU22" s="1280"/>
      <c r="PYV22" s="1280"/>
      <c r="PYW22" s="1280"/>
      <c r="PYX22" s="1280"/>
      <c r="PYY22" s="1280"/>
      <c r="PYZ22" s="1280"/>
      <c r="PZA22" s="1280"/>
      <c r="PZB22" s="1280"/>
      <c r="PZC22" s="1280"/>
      <c r="PZD22" s="1280"/>
      <c r="PZE22" s="1280"/>
      <c r="PZF22" s="1280"/>
      <c r="PZG22" s="1280"/>
      <c r="PZH22" s="1280"/>
      <c r="PZI22" s="1280"/>
      <c r="PZJ22" s="1280"/>
      <c r="PZK22" s="1280"/>
      <c r="PZL22" s="1280"/>
      <c r="PZM22" s="1280"/>
      <c r="PZN22" s="1280"/>
      <c r="PZO22" s="1280"/>
      <c r="PZP22" s="1280"/>
      <c r="PZQ22" s="1280"/>
      <c r="PZR22" s="1280"/>
      <c r="PZS22" s="1280"/>
      <c r="PZT22" s="1280"/>
      <c r="PZU22" s="1280"/>
      <c r="PZV22" s="1280"/>
      <c r="PZW22" s="1280"/>
      <c r="PZX22" s="1280"/>
      <c r="PZY22" s="1280"/>
      <c r="PZZ22" s="1280"/>
      <c r="QAA22" s="1280"/>
      <c r="QAB22" s="1280"/>
      <c r="QAC22" s="1280"/>
      <c r="QAD22" s="1280"/>
      <c r="QAE22" s="1280"/>
      <c r="QAF22" s="1280"/>
      <c r="QAG22" s="1280"/>
      <c r="QAH22" s="1280"/>
      <c r="QAI22" s="1280"/>
      <c r="QAJ22" s="1280"/>
      <c r="QAK22" s="1280"/>
      <c r="QAL22" s="1280"/>
      <c r="QAM22" s="1280"/>
      <c r="QAN22" s="1280"/>
      <c r="QAO22" s="1280"/>
      <c r="QAP22" s="1280"/>
      <c r="QAQ22" s="1280"/>
      <c r="QAR22" s="1280"/>
      <c r="QAS22" s="1280"/>
      <c r="QAT22" s="1280"/>
      <c r="QAU22" s="1280"/>
      <c r="QAV22" s="1280"/>
      <c r="QAW22" s="1280"/>
      <c r="QAX22" s="1280"/>
      <c r="QAY22" s="1280"/>
      <c r="QAZ22" s="1280"/>
      <c r="QBA22" s="1280"/>
      <c r="QBB22" s="1280"/>
      <c r="QBC22" s="1280"/>
      <c r="QBD22" s="1280"/>
      <c r="QBE22" s="1280"/>
      <c r="QBF22" s="1280"/>
      <c r="QBG22" s="1280"/>
      <c r="QBH22" s="1280"/>
      <c r="QBI22" s="1280"/>
      <c r="QBJ22" s="1280"/>
      <c r="QBK22" s="1280"/>
      <c r="QBL22" s="1280"/>
      <c r="QBM22" s="1280"/>
      <c r="QBN22" s="1280"/>
      <c r="QBO22" s="1280"/>
      <c r="QBP22" s="1280"/>
      <c r="QBQ22" s="1280"/>
      <c r="QBR22" s="1280"/>
      <c r="QBS22" s="1280"/>
      <c r="QBT22" s="1280"/>
      <c r="QBU22" s="1280"/>
      <c r="QBV22" s="1280"/>
      <c r="QBW22" s="1280"/>
      <c r="QBX22" s="1280"/>
      <c r="QBY22" s="1280"/>
      <c r="QBZ22" s="1280"/>
      <c r="QCA22" s="1280"/>
      <c r="QCB22" s="1280"/>
      <c r="QCC22" s="1280"/>
      <c r="QCD22" s="1280"/>
      <c r="QCE22" s="1280"/>
      <c r="QCF22" s="1280"/>
      <c r="QCG22" s="1280"/>
      <c r="QCH22" s="1280"/>
      <c r="QCI22" s="1280"/>
      <c r="QCJ22" s="1280"/>
      <c r="QCK22" s="1280"/>
      <c r="QCL22" s="1280"/>
      <c r="QCM22" s="1280"/>
      <c r="QCN22" s="1280"/>
      <c r="QCO22" s="1280"/>
      <c r="QCP22" s="1280"/>
      <c r="QCQ22" s="1280"/>
      <c r="QCR22" s="1280"/>
      <c r="QCS22" s="1280"/>
      <c r="QCT22" s="1280"/>
      <c r="QCU22" s="1280"/>
      <c r="QCV22" s="1280"/>
      <c r="QCW22" s="1280"/>
      <c r="QCX22" s="1280"/>
      <c r="QCY22" s="1280"/>
      <c r="QCZ22" s="1280"/>
      <c r="QDA22" s="1280"/>
      <c r="QDB22" s="1280"/>
      <c r="QDC22" s="1280"/>
      <c r="QDD22" s="1280"/>
      <c r="QDE22" s="1280"/>
      <c r="QDF22" s="1280"/>
      <c r="QDG22" s="1280"/>
      <c r="QDH22" s="1280"/>
      <c r="QDI22" s="1280"/>
      <c r="QDJ22" s="1280"/>
      <c r="QDK22" s="1280"/>
      <c r="QDL22" s="1280"/>
      <c r="QDM22" s="1280"/>
      <c r="QDN22" s="1280"/>
      <c r="QDO22" s="1280"/>
      <c r="QDP22" s="1280"/>
      <c r="QDQ22" s="1280"/>
      <c r="QDR22" s="1280"/>
      <c r="QDS22" s="1280"/>
      <c r="QDT22" s="1280"/>
      <c r="QDU22" s="1280"/>
      <c r="QDV22" s="1280"/>
      <c r="QDW22" s="1280"/>
      <c r="QDX22" s="1280"/>
      <c r="QDY22" s="1280"/>
      <c r="QDZ22" s="1280"/>
      <c r="QEA22" s="1280"/>
      <c r="QEB22" s="1280"/>
      <c r="QEC22" s="1280"/>
      <c r="QED22" s="1280"/>
      <c r="QEE22" s="1280"/>
      <c r="QEF22" s="1280"/>
      <c r="QEG22" s="1280"/>
      <c r="QEH22" s="1280"/>
      <c r="QEI22" s="1280"/>
      <c r="QEJ22" s="1280"/>
      <c r="QEK22" s="1280"/>
      <c r="QEL22" s="1280"/>
      <c r="QEM22" s="1280"/>
      <c r="QEN22" s="1280"/>
      <c r="QEO22" s="1280"/>
      <c r="QEP22" s="1280"/>
      <c r="QEQ22" s="1280"/>
      <c r="QER22" s="1280"/>
      <c r="QES22" s="1280"/>
      <c r="QET22" s="1280"/>
      <c r="QEU22" s="1280"/>
      <c r="QEV22" s="1280"/>
      <c r="QEW22" s="1280"/>
      <c r="QEX22" s="1280"/>
      <c r="QEY22" s="1280"/>
      <c r="QEZ22" s="1280"/>
      <c r="QFA22" s="1280"/>
      <c r="QFB22" s="1280"/>
      <c r="QFC22" s="1280"/>
      <c r="QFD22" s="1280"/>
      <c r="QFE22" s="1280"/>
      <c r="QFF22" s="1280"/>
      <c r="QFG22" s="1280"/>
      <c r="QFH22" s="1280"/>
      <c r="QFI22" s="1280"/>
      <c r="QFJ22" s="1280"/>
      <c r="QFK22" s="1280"/>
      <c r="QFL22" s="1280"/>
      <c r="QFM22" s="1280"/>
      <c r="QFN22" s="1280"/>
      <c r="QFO22" s="1280"/>
      <c r="QFP22" s="1280"/>
      <c r="QFQ22" s="1280"/>
      <c r="QFR22" s="1280"/>
      <c r="QFS22" s="1280"/>
      <c r="QFT22" s="1280"/>
      <c r="QFU22" s="1280"/>
      <c r="QFV22" s="1280"/>
      <c r="QFW22" s="1280"/>
      <c r="QFX22" s="1280"/>
      <c r="QFY22" s="1280"/>
      <c r="QFZ22" s="1280"/>
      <c r="QGA22" s="1280"/>
      <c r="QGB22" s="1280"/>
      <c r="QGC22" s="1280"/>
      <c r="QGD22" s="1280"/>
      <c r="QGE22" s="1280"/>
      <c r="QGF22" s="1280"/>
      <c r="QGG22" s="1280"/>
      <c r="QGH22" s="1280"/>
      <c r="QGI22" s="1280"/>
      <c r="QGJ22" s="1280"/>
      <c r="QGK22" s="1280"/>
      <c r="QGL22" s="1280"/>
      <c r="QGM22" s="1280"/>
      <c r="QGN22" s="1280"/>
      <c r="QGO22" s="1280"/>
      <c r="QGP22" s="1280"/>
      <c r="QGQ22" s="1280"/>
      <c r="QGR22" s="1280"/>
      <c r="QGS22" s="1280"/>
      <c r="QGT22" s="1280"/>
      <c r="QGU22" s="1280"/>
      <c r="QGV22" s="1280"/>
      <c r="QGW22" s="1280"/>
      <c r="QGX22" s="1280"/>
      <c r="QGY22" s="1280"/>
      <c r="QGZ22" s="1280"/>
      <c r="QHA22" s="1280"/>
      <c r="QHB22" s="1280"/>
      <c r="QHC22" s="1280"/>
      <c r="QHD22" s="1280"/>
      <c r="QHE22" s="1280"/>
      <c r="QHF22" s="1280"/>
      <c r="QHG22" s="1280"/>
      <c r="QHH22" s="1280"/>
      <c r="QHI22" s="1280"/>
      <c r="QHJ22" s="1280"/>
      <c r="QHK22" s="1280"/>
      <c r="QHL22" s="1280"/>
      <c r="QHM22" s="1280"/>
      <c r="QHN22" s="1280"/>
      <c r="QHO22" s="1280"/>
      <c r="QHP22" s="1280"/>
      <c r="QHQ22" s="1280"/>
      <c r="QHR22" s="1280"/>
      <c r="QHS22" s="1280"/>
      <c r="QHT22" s="1280"/>
      <c r="QHU22" s="1280"/>
      <c r="QHV22" s="1280"/>
      <c r="QHW22" s="1280"/>
      <c r="QHX22" s="1280"/>
      <c r="QHY22" s="1280"/>
      <c r="QHZ22" s="1280"/>
      <c r="QIA22" s="1280"/>
      <c r="QIB22" s="1280"/>
      <c r="QIC22" s="1280"/>
      <c r="QID22" s="1280"/>
      <c r="QIE22" s="1280"/>
      <c r="QIF22" s="1280"/>
      <c r="QIG22" s="1280"/>
      <c r="QIH22" s="1280"/>
      <c r="QII22" s="1280"/>
      <c r="QIJ22" s="1280"/>
      <c r="QIK22" s="1280"/>
      <c r="QIL22" s="1280"/>
      <c r="QIM22" s="1280"/>
      <c r="QIN22" s="1280"/>
      <c r="QIO22" s="1280"/>
      <c r="QIP22" s="1280"/>
      <c r="QIQ22" s="1280"/>
      <c r="QIR22" s="1280"/>
      <c r="QIS22" s="1280"/>
      <c r="QIT22" s="1280"/>
      <c r="QIU22" s="1280"/>
      <c r="QIV22" s="1280"/>
      <c r="QIW22" s="1280"/>
      <c r="QIX22" s="1280"/>
      <c r="QIY22" s="1280"/>
      <c r="QIZ22" s="1280"/>
      <c r="QJA22" s="1280"/>
      <c r="QJB22" s="1280"/>
      <c r="QJC22" s="1280"/>
      <c r="QJD22" s="1280"/>
      <c r="QJE22" s="1280"/>
      <c r="QJF22" s="1280"/>
      <c r="QJG22" s="1280"/>
      <c r="QJH22" s="1280"/>
      <c r="QJI22" s="1280"/>
      <c r="QJJ22" s="1280"/>
      <c r="QJK22" s="1280"/>
      <c r="QJL22" s="1280"/>
      <c r="QJM22" s="1280"/>
      <c r="QJN22" s="1280"/>
      <c r="QJO22" s="1280"/>
      <c r="QJP22" s="1280"/>
      <c r="QJQ22" s="1280"/>
      <c r="QJR22" s="1280"/>
      <c r="QJS22" s="1280"/>
      <c r="QJT22" s="1280"/>
      <c r="QJU22" s="1280"/>
      <c r="QJV22" s="1280"/>
      <c r="QJW22" s="1280"/>
      <c r="QJX22" s="1280"/>
      <c r="QJY22" s="1280"/>
      <c r="QJZ22" s="1280"/>
      <c r="QKA22" s="1280"/>
      <c r="QKB22" s="1280"/>
      <c r="QKC22" s="1280"/>
      <c r="QKD22" s="1280"/>
      <c r="QKE22" s="1280"/>
      <c r="QKF22" s="1280"/>
      <c r="QKG22" s="1280"/>
      <c r="QKH22" s="1280"/>
      <c r="QKI22" s="1280"/>
      <c r="QKJ22" s="1280"/>
      <c r="QKK22" s="1280"/>
      <c r="QKL22" s="1280"/>
      <c r="QKM22" s="1280"/>
      <c r="QKN22" s="1280"/>
      <c r="QKO22" s="1280"/>
      <c r="QKP22" s="1280"/>
      <c r="QKQ22" s="1280"/>
      <c r="QKR22" s="1280"/>
      <c r="QKS22" s="1280"/>
      <c r="QKT22" s="1280"/>
      <c r="QKU22" s="1280"/>
      <c r="QKV22" s="1280"/>
      <c r="QKW22" s="1280"/>
      <c r="QKX22" s="1280"/>
      <c r="QKY22" s="1280"/>
      <c r="QKZ22" s="1280"/>
      <c r="QLA22" s="1280"/>
      <c r="QLB22" s="1280"/>
      <c r="QLC22" s="1280"/>
      <c r="QLD22" s="1280"/>
      <c r="QLE22" s="1280"/>
      <c r="QLF22" s="1280"/>
      <c r="QLG22" s="1280"/>
      <c r="QLH22" s="1280"/>
      <c r="QLI22" s="1280"/>
      <c r="QLJ22" s="1280"/>
      <c r="QLK22" s="1280"/>
      <c r="QLL22" s="1280"/>
      <c r="QLM22" s="1280"/>
      <c r="QLN22" s="1280"/>
      <c r="QLO22" s="1280"/>
      <c r="QLP22" s="1280"/>
      <c r="QLQ22" s="1280"/>
      <c r="QLR22" s="1280"/>
      <c r="QLS22" s="1280"/>
      <c r="QLT22" s="1280"/>
      <c r="QLU22" s="1280"/>
      <c r="QLV22" s="1280"/>
      <c r="QLW22" s="1280"/>
      <c r="QLX22" s="1280"/>
      <c r="QLY22" s="1280"/>
      <c r="QLZ22" s="1280"/>
      <c r="QMA22" s="1280"/>
      <c r="QMB22" s="1280"/>
      <c r="QMC22" s="1280"/>
      <c r="QMD22" s="1280"/>
      <c r="QME22" s="1280"/>
      <c r="QMF22" s="1280"/>
      <c r="QMG22" s="1280"/>
      <c r="QMH22" s="1280"/>
      <c r="QMI22" s="1280"/>
      <c r="QMJ22" s="1280"/>
      <c r="QMK22" s="1280"/>
      <c r="QML22" s="1280"/>
      <c r="QMM22" s="1280"/>
      <c r="QMN22" s="1280"/>
      <c r="QMO22" s="1280"/>
      <c r="QMP22" s="1280"/>
      <c r="QMQ22" s="1280"/>
      <c r="QMR22" s="1280"/>
      <c r="QMS22" s="1280"/>
      <c r="QMT22" s="1280"/>
      <c r="QMU22" s="1280"/>
      <c r="QMV22" s="1280"/>
      <c r="QMW22" s="1280"/>
      <c r="QMX22" s="1280"/>
      <c r="QMY22" s="1280"/>
      <c r="QMZ22" s="1280"/>
      <c r="QNA22" s="1280"/>
      <c r="QNB22" s="1280"/>
      <c r="QNC22" s="1280"/>
      <c r="QND22" s="1280"/>
      <c r="QNE22" s="1280"/>
      <c r="QNF22" s="1280"/>
      <c r="QNG22" s="1280"/>
      <c r="QNH22" s="1280"/>
      <c r="QNI22" s="1280"/>
      <c r="QNJ22" s="1280"/>
      <c r="QNK22" s="1280"/>
      <c r="QNL22" s="1280"/>
      <c r="QNM22" s="1280"/>
      <c r="QNN22" s="1280"/>
      <c r="QNO22" s="1280"/>
      <c r="QNP22" s="1280"/>
      <c r="QNQ22" s="1280"/>
      <c r="QNR22" s="1280"/>
      <c r="QNS22" s="1280"/>
      <c r="QNT22" s="1280"/>
      <c r="QNU22" s="1280"/>
      <c r="QNV22" s="1280"/>
      <c r="QNW22" s="1280"/>
      <c r="QNX22" s="1280"/>
      <c r="QNY22" s="1280"/>
      <c r="QNZ22" s="1280"/>
      <c r="QOA22" s="1280"/>
      <c r="QOB22" s="1280"/>
      <c r="QOC22" s="1280"/>
      <c r="QOD22" s="1280"/>
      <c r="QOE22" s="1280"/>
      <c r="QOF22" s="1280"/>
      <c r="QOG22" s="1280"/>
      <c r="QOH22" s="1280"/>
      <c r="QOI22" s="1280"/>
      <c r="QOJ22" s="1280"/>
      <c r="QOK22" s="1280"/>
      <c r="QOL22" s="1280"/>
      <c r="QOM22" s="1280"/>
      <c r="QON22" s="1280"/>
      <c r="QOO22" s="1280"/>
      <c r="QOP22" s="1280"/>
      <c r="QOQ22" s="1280"/>
      <c r="QOR22" s="1280"/>
      <c r="QOS22" s="1280"/>
      <c r="QOT22" s="1280"/>
      <c r="QOU22" s="1280"/>
      <c r="QOV22" s="1280"/>
      <c r="QOW22" s="1280"/>
      <c r="QOX22" s="1280"/>
      <c r="QOY22" s="1280"/>
      <c r="QOZ22" s="1280"/>
      <c r="QPA22" s="1280"/>
      <c r="QPB22" s="1280"/>
      <c r="QPC22" s="1280"/>
      <c r="QPD22" s="1280"/>
      <c r="QPE22" s="1280"/>
      <c r="QPF22" s="1280"/>
      <c r="QPG22" s="1280"/>
      <c r="QPH22" s="1280"/>
      <c r="QPI22" s="1280"/>
      <c r="QPJ22" s="1280"/>
      <c r="QPK22" s="1280"/>
      <c r="QPL22" s="1280"/>
      <c r="QPM22" s="1280"/>
      <c r="QPN22" s="1280"/>
      <c r="QPO22" s="1280"/>
      <c r="QPP22" s="1280"/>
      <c r="QPQ22" s="1280"/>
      <c r="QPR22" s="1280"/>
      <c r="QPS22" s="1280"/>
      <c r="QPT22" s="1280"/>
      <c r="QPU22" s="1280"/>
      <c r="QPV22" s="1280"/>
      <c r="QPW22" s="1280"/>
      <c r="QPX22" s="1280"/>
      <c r="QPY22" s="1280"/>
      <c r="QPZ22" s="1280"/>
      <c r="QQA22" s="1280"/>
      <c r="QQB22" s="1280"/>
      <c r="QQC22" s="1280"/>
      <c r="QQD22" s="1280"/>
      <c r="QQE22" s="1280"/>
      <c r="QQF22" s="1280"/>
      <c r="QQG22" s="1280"/>
      <c r="QQH22" s="1280"/>
      <c r="QQI22" s="1280"/>
      <c r="QQJ22" s="1280"/>
      <c r="QQK22" s="1280"/>
      <c r="QQL22" s="1280"/>
      <c r="QQM22" s="1280"/>
      <c r="QQN22" s="1280"/>
      <c r="QQO22" s="1280"/>
      <c r="QQP22" s="1280"/>
      <c r="QQQ22" s="1280"/>
      <c r="QQR22" s="1280"/>
      <c r="QQS22" s="1280"/>
      <c r="QQT22" s="1280"/>
      <c r="QQU22" s="1280"/>
      <c r="QQV22" s="1280"/>
      <c r="QQW22" s="1280"/>
      <c r="QQX22" s="1280"/>
      <c r="QQY22" s="1280"/>
      <c r="QQZ22" s="1280"/>
      <c r="QRA22" s="1280"/>
      <c r="QRB22" s="1280"/>
      <c r="QRC22" s="1280"/>
      <c r="QRD22" s="1280"/>
      <c r="QRE22" s="1280"/>
      <c r="QRF22" s="1280"/>
      <c r="QRG22" s="1280"/>
      <c r="QRH22" s="1280"/>
      <c r="QRI22" s="1280"/>
      <c r="QRJ22" s="1280"/>
      <c r="QRK22" s="1280"/>
      <c r="QRL22" s="1280"/>
      <c r="QRM22" s="1280"/>
      <c r="QRN22" s="1280"/>
      <c r="QRO22" s="1280"/>
      <c r="QRP22" s="1280"/>
      <c r="QRQ22" s="1280"/>
      <c r="QRR22" s="1280"/>
      <c r="QRS22" s="1280"/>
      <c r="QRT22" s="1280"/>
      <c r="QRU22" s="1280"/>
      <c r="QRV22" s="1280"/>
      <c r="QRW22" s="1280"/>
      <c r="QRX22" s="1280"/>
      <c r="QRY22" s="1280"/>
      <c r="QRZ22" s="1280"/>
      <c r="QSA22" s="1280"/>
      <c r="QSB22" s="1280"/>
      <c r="QSC22" s="1280"/>
      <c r="QSD22" s="1280"/>
      <c r="QSE22" s="1280"/>
      <c r="QSF22" s="1280"/>
      <c r="QSG22" s="1280"/>
      <c r="QSH22" s="1280"/>
      <c r="QSI22" s="1280"/>
      <c r="QSJ22" s="1280"/>
      <c r="QSK22" s="1280"/>
      <c r="QSL22" s="1280"/>
      <c r="QSM22" s="1280"/>
      <c r="QSN22" s="1280"/>
      <c r="QSO22" s="1280"/>
      <c r="QSP22" s="1280"/>
      <c r="QSQ22" s="1280"/>
      <c r="QSR22" s="1280"/>
      <c r="QSS22" s="1280"/>
      <c r="QST22" s="1280"/>
      <c r="QSU22" s="1280"/>
      <c r="QSV22" s="1280"/>
      <c r="QSW22" s="1280"/>
      <c r="QSX22" s="1280"/>
      <c r="QSY22" s="1280"/>
      <c r="QSZ22" s="1280"/>
      <c r="QTA22" s="1280"/>
      <c r="QTB22" s="1280"/>
      <c r="QTC22" s="1280"/>
      <c r="QTD22" s="1280"/>
      <c r="QTE22" s="1280"/>
      <c r="QTF22" s="1280"/>
      <c r="QTG22" s="1280"/>
      <c r="QTH22" s="1280"/>
      <c r="QTI22" s="1280"/>
      <c r="QTJ22" s="1280"/>
      <c r="QTK22" s="1280"/>
      <c r="QTL22" s="1280"/>
      <c r="QTM22" s="1280"/>
      <c r="QTN22" s="1280"/>
      <c r="QTO22" s="1280"/>
      <c r="QTP22" s="1280"/>
      <c r="QTQ22" s="1280"/>
      <c r="QTR22" s="1280"/>
      <c r="QTS22" s="1280"/>
      <c r="QTT22" s="1280"/>
      <c r="QTU22" s="1280"/>
      <c r="QTV22" s="1280"/>
      <c r="QTW22" s="1280"/>
      <c r="QTX22" s="1280"/>
      <c r="QTY22" s="1280"/>
      <c r="QTZ22" s="1280"/>
      <c r="QUA22" s="1280"/>
      <c r="QUB22" s="1280"/>
      <c r="QUC22" s="1280"/>
      <c r="QUD22" s="1280"/>
      <c r="QUE22" s="1280"/>
      <c r="QUF22" s="1280"/>
      <c r="QUG22" s="1280"/>
      <c r="QUH22" s="1280"/>
      <c r="QUI22" s="1280"/>
      <c r="QUJ22" s="1280"/>
      <c r="QUK22" s="1280"/>
      <c r="QUL22" s="1280"/>
      <c r="QUM22" s="1280"/>
      <c r="QUN22" s="1280"/>
      <c r="QUO22" s="1280"/>
      <c r="QUP22" s="1280"/>
      <c r="QUQ22" s="1280"/>
      <c r="QUR22" s="1280"/>
      <c r="QUS22" s="1280"/>
      <c r="QUT22" s="1280"/>
      <c r="QUU22" s="1280"/>
      <c r="QUV22" s="1280"/>
      <c r="QUW22" s="1280"/>
      <c r="QUX22" s="1280"/>
      <c r="QUY22" s="1280"/>
      <c r="QUZ22" s="1280"/>
      <c r="QVA22" s="1280"/>
      <c r="QVB22" s="1280"/>
      <c r="QVC22" s="1280"/>
      <c r="QVD22" s="1280"/>
      <c r="QVE22" s="1280"/>
      <c r="QVF22" s="1280"/>
      <c r="QVG22" s="1280"/>
      <c r="QVH22" s="1280"/>
      <c r="QVI22" s="1280"/>
      <c r="QVJ22" s="1280"/>
      <c r="QVK22" s="1280"/>
      <c r="QVL22" s="1280"/>
      <c r="QVM22" s="1280"/>
      <c r="QVN22" s="1280"/>
      <c r="QVO22" s="1280"/>
      <c r="QVP22" s="1280"/>
      <c r="QVQ22" s="1280"/>
      <c r="QVR22" s="1280"/>
      <c r="QVS22" s="1280"/>
      <c r="QVT22" s="1280"/>
      <c r="QVU22" s="1280"/>
      <c r="QVV22" s="1280"/>
      <c r="QVW22" s="1280"/>
      <c r="QVX22" s="1280"/>
      <c r="QVY22" s="1280"/>
      <c r="QVZ22" s="1280"/>
      <c r="QWA22" s="1280"/>
      <c r="QWB22" s="1280"/>
      <c r="QWC22" s="1280"/>
      <c r="QWD22" s="1280"/>
      <c r="QWE22" s="1280"/>
      <c r="QWF22" s="1280"/>
      <c r="QWG22" s="1280"/>
      <c r="QWH22" s="1280"/>
      <c r="QWI22" s="1280"/>
      <c r="QWJ22" s="1280"/>
      <c r="QWK22" s="1280"/>
      <c r="QWL22" s="1280"/>
      <c r="QWM22" s="1280"/>
      <c r="QWN22" s="1280"/>
      <c r="QWO22" s="1280"/>
      <c r="QWP22" s="1280"/>
      <c r="QWQ22" s="1280"/>
      <c r="QWR22" s="1280"/>
      <c r="QWS22" s="1280"/>
      <c r="QWT22" s="1280"/>
      <c r="QWU22" s="1280"/>
      <c r="QWV22" s="1280"/>
      <c r="QWW22" s="1280"/>
      <c r="QWX22" s="1280"/>
      <c r="QWY22" s="1280"/>
      <c r="QWZ22" s="1280"/>
      <c r="QXA22" s="1280"/>
      <c r="QXB22" s="1280"/>
      <c r="QXC22" s="1280"/>
      <c r="QXD22" s="1280"/>
      <c r="QXE22" s="1280"/>
      <c r="QXF22" s="1280"/>
      <c r="QXG22" s="1280"/>
      <c r="QXH22" s="1280"/>
      <c r="QXI22" s="1280"/>
      <c r="QXJ22" s="1280"/>
      <c r="QXK22" s="1280"/>
      <c r="QXL22" s="1280"/>
      <c r="QXM22" s="1280"/>
      <c r="QXN22" s="1280"/>
      <c r="QXO22" s="1280"/>
      <c r="QXP22" s="1280"/>
      <c r="QXQ22" s="1280"/>
      <c r="QXR22" s="1280"/>
      <c r="QXS22" s="1280"/>
      <c r="QXT22" s="1280"/>
      <c r="QXU22" s="1280"/>
      <c r="QXV22" s="1280"/>
      <c r="QXW22" s="1280"/>
      <c r="QXX22" s="1280"/>
      <c r="QXY22" s="1280"/>
      <c r="QXZ22" s="1280"/>
      <c r="QYA22" s="1280"/>
      <c r="QYB22" s="1280"/>
      <c r="QYC22" s="1280"/>
      <c r="QYD22" s="1280"/>
      <c r="QYE22" s="1280"/>
      <c r="QYF22" s="1280"/>
      <c r="QYG22" s="1280"/>
      <c r="QYH22" s="1280"/>
      <c r="QYI22" s="1280"/>
      <c r="QYJ22" s="1280"/>
      <c r="QYK22" s="1280"/>
      <c r="QYL22" s="1280"/>
      <c r="QYM22" s="1280"/>
      <c r="QYN22" s="1280"/>
      <c r="QYO22" s="1280"/>
      <c r="QYP22" s="1280"/>
      <c r="QYQ22" s="1280"/>
      <c r="QYR22" s="1280"/>
      <c r="QYS22" s="1280"/>
      <c r="QYT22" s="1280"/>
      <c r="QYU22" s="1280"/>
      <c r="QYV22" s="1280"/>
      <c r="QYW22" s="1280"/>
      <c r="QYX22" s="1280"/>
      <c r="QYY22" s="1280"/>
      <c r="QYZ22" s="1280"/>
      <c r="QZA22" s="1280"/>
      <c r="QZB22" s="1280"/>
      <c r="QZC22" s="1280"/>
      <c r="QZD22" s="1280"/>
      <c r="QZE22" s="1280"/>
      <c r="QZF22" s="1280"/>
      <c r="QZG22" s="1280"/>
      <c r="QZH22" s="1280"/>
      <c r="QZI22" s="1280"/>
      <c r="QZJ22" s="1280"/>
      <c r="QZK22" s="1280"/>
      <c r="QZL22" s="1280"/>
      <c r="QZM22" s="1280"/>
      <c r="QZN22" s="1280"/>
      <c r="QZO22" s="1280"/>
      <c r="QZP22" s="1280"/>
      <c r="QZQ22" s="1280"/>
      <c r="QZR22" s="1280"/>
      <c r="QZS22" s="1280"/>
      <c r="QZT22" s="1280"/>
      <c r="QZU22" s="1280"/>
      <c r="QZV22" s="1280"/>
      <c r="QZW22" s="1280"/>
      <c r="QZX22" s="1280"/>
      <c r="QZY22" s="1280"/>
      <c r="QZZ22" s="1280"/>
      <c r="RAA22" s="1280"/>
      <c r="RAB22" s="1280"/>
      <c r="RAC22" s="1280"/>
      <c r="RAD22" s="1280"/>
      <c r="RAE22" s="1280"/>
      <c r="RAF22" s="1280"/>
      <c r="RAG22" s="1280"/>
      <c r="RAH22" s="1280"/>
      <c r="RAI22" s="1280"/>
      <c r="RAJ22" s="1280"/>
      <c r="RAK22" s="1280"/>
      <c r="RAL22" s="1280"/>
      <c r="RAM22" s="1280"/>
      <c r="RAN22" s="1280"/>
      <c r="RAO22" s="1280"/>
      <c r="RAP22" s="1280"/>
      <c r="RAQ22" s="1280"/>
      <c r="RAR22" s="1280"/>
      <c r="RAS22" s="1280"/>
      <c r="RAT22" s="1280"/>
      <c r="RAU22" s="1280"/>
      <c r="RAV22" s="1280"/>
      <c r="RAW22" s="1280"/>
      <c r="RAX22" s="1280"/>
      <c r="RAY22" s="1280"/>
      <c r="RAZ22" s="1280"/>
      <c r="RBA22" s="1280"/>
      <c r="RBB22" s="1280"/>
      <c r="RBC22" s="1280"/>
      <c r="RBD22" s="1280"/>
      <c r="RBE22" s="1280"/>
      <c r="RBF22" s="1280"/>
      <c r="RBG22" s="1280"/>
      <c r="RBH22" s="1280"/>
      <c r="RBI22" s="1280"/>
      <c r="RBJ22" s="1280"/>
      <c r="RBK22" s="1280"/>
      <c r="RBL22" s="1280"/>
      <c r="RBM22" s="1280"/>
      <c r="RBN22" s="1280"/>
      <c r="RBO22" s="1280"/>
      <c r="RBP22" s="1280"/>
      <c r="RBQ22" s="1280"/>
      <c r="RBR22" s="1280"/>
      <c r="RBS22" s="1280"/>
      <c r="RBT22" s="1280"/>
      <c r="RBU22" s="1280"/>
      <c r="RBV22" s="1280"/>
      <c r="RBW22" s="1280"/>
      <c r="RBX22" s="1280"/>
      <c r="RBY22" s="1280"/>
      <c r="RBZ22" s="1280"/>
      <c r="RCA22" s="1280"/>
      <c r="RCB22" s="1280"/>
      <c r="RCC22" s="1280"/>
      <c r="RCD22" s="1280"/>
      <c r="RCE22" s="1280"/>
      <c r="RCF22" s="1280"/>
      <c r="RCG22" s="1280"/>
      <c r="RCH22" s="1280"/>
      <c r="RCI22" s="1280"/>
      <c r="RCJ22" s="1280"/>
      <c r="RCK22" s="1280"/>
      <c r="RCL22" s="1280"/>
      <c r="RCM22" s="1280"/>
      <c r="RCN22" s="1280"/>
      <c r="RCO22" s="1280"/>
      <c r="RCP22" s="1280"/>
      <c r="RCQ22" s="1280"/>
      <c r="RCR22" s="1280"/>
      <c r="RCS22" s="1280"/>
      <c r="RCT22" s="1280"/>
      <c r="RCU22" s="1280"/>
      <c r="RCV22" s="1280"/>
      <c r="RCW22" s="1280"/>
      <c r="RCX22" s="1280"/>
      <c r="RCY22" s="1280"/>
      <c r="RCZ22" s="1280"/>
      <c r="RDA22" s="1280"/>
      <c r="RDB22" s="1280"/>
      <c r="RDC22" s="1280"/>
      <c r="RDD22" s="1280"/>
      <c r="RDE22" s="1280"/>
      <c r="RDF22" s="1280"/>
      <c r="RDG22" s="1280"/>
      <c r="RDH22" s="1280"/>
      <c r="RDI22" s="1280"/>
      <c r="RDJ22" s="1280"/>
      <c r="RDK22" s="1280"/>
      <c r="RDL22" s="1280"/>
      <c r="RDM22" s="1280"/>
      <c r="RDN22" s="1280"/>
      <c r="RDO22" s="1280"/>
      <c r="RDP22" s="1280"/>
      <c r="RDQ22" s="1280"/>
      <c r="RDR22" s="1280"/>
      <c r="RDS22" s="1280"/>
      <c r="RDT22" s="1280"/>
      <c r="RDU22" s="1280"/>
      <c r="RDV22" s="1280"/>
      <c r="RDW22" s="1280"/>
      <c r="RDX22" s="1280"/>
      <c r="RDY22" s="1280"/>
      <c r="RDZ22" s="1280"/>
      <c r="REA22" s="1280"/>
      <c r="REB22" s="1280"/>
      <c r="REC22" s="1280"/>
      <c r="RED22" s="1280"/>
      <c r="REE22" s="1280"/>
      <c r="REF22" s="1280"/>
      <c r="REG22" s="1280"/>
      <c r="REH22" s="1280"/>
      <c r="REI22" s="1280"/>
      <c r="REJ22" s="1280"/>
      <c r="REK22" s="1280"/>
      <c r="REL22" s="1280"/>
      <c r="REM22" s="1280"/>
      <c r="REN22" s="1280"/>
      <c r="REO22" s="1280"/>
      <c r="REP22" s="1280"/>
      <c r="REQ22" s="1280"/>
      <c r="RER22" s="1280"/>
      <c r="RES22" s="1280"/>
      <c r="RET22" s="1280"/>
      <c r="REU22" s="1280"/>
      <c r="REV22" s="1280"/>
      <c r="REW22" s="1280"/>
      <c r="REX22" s="1280"/>
      <c r="REY22" s="1280"/>
      <c r="REZ22" s="1280"/>
      <c r="RFA22" s="1280"/>
      <c r="RFB22" s="1280"/>
      <c r="RFC22" s="1280"/>
      <c r="RFD22" s="1280"/>
      <c r="RFE22" s="1280"/>
      <c r="RFF22" s="1280"/>
      <c r="RFG22" s="1280"/>
      <c r="RFH22" s="1280"/>
      <c r="RFI22" s="1280"/>
      <c r="RFJ22" s="1280"/>
      <c r="RFK22" s="1280"/>
      <c r="RFL22" s="1280"/>
      <c r="RFM22" s="1280"/>
      <c r="RFN22" s="1280"/>
      <c r="RFO22" s="1280"/>
      <c r="RFP22" s="1280"/>
      <c r="RFQ22" s="1280"/>
      <c r="RFR22" s="1280"/>
      <c r="RFS22" s="1280"/>
      <c r="RFT22" s="1280"/>
      <c r="RFU22" s="1280"/>
      <c r="RFV22" s="1280"/>
      <c r="RFW22" s="1280"/>
      <c r="RFX22" s="1280"/>
      <c r="RFY22" s="1280"/>
      <c r="RFZ22" s="1280"/>
      <c r="RGA22" s="1280"/>
      <c r="RGB22" s="1280"/>
      <c r="RGC22" s="1280"/>
      <c r="RGD22" s="1280"/>
      <c r="RGE22" s="1280"/>
      <c r="RGF22" s="1280"/>
      <c r="RGG22" s="1280"/>
      <c r="RGH22" s="1280"/>
      <c r="RGI22" s="1280"/>
      <c r="RGJ22" s="1280"/>
      <c r="RGK22" s="1280"/>
      <c r="RGL22" s="1280"/>
      <c r="RGM22" s="1280"/>
      <c r="RGN22" s="1280"/>
      <c r="RGO22" s="1280"/>
      <c r="RGP22" s="1280"/>
      <c r="RGQ22" s="1280"/>
      <c r="RGR22" s="1280"/>
      <c r="RGS22" s="1280"/>
      <c r="RGT22" s="1280"/>
      <c r="RGU22" s="1280"/>
      <c r="RGV22" s="1280"/>
      <c r="RGW22" s="1280"/>
      <c r="RGX22" s="1280"/>
      <c r="RGY22" s="1280"/>
      <c r="RGZ22" s="1280"/>
      <c r="RHA22" s="1280"/>
      <c r="RHB22" s="1280"/>
      <c r="RHC22" s="1280"/>
      <c r="RHD22" s="1280"/>
      <c r="RHE22" s="1280"/>
      <c r="RHF22" s="1280"/>
      <c r="RHG22" s="1280"/>
      <c r="RHH22" s="1280"/>
      <c r="RHI22" s="1280"/>
      <c r="RHJ22" s="1280"/>
      <c r="RHK22" s="1280"/>
      <c r="RHL22" s="1280"/>
      <c r="RHM22" s="1280"/>
      <c r="RHN22" s="1280"/>
      <c r="RHO22" s="1280"/>
      <c r="RHP22" s="1280"/>
      <c r="RHQ22" s="1280"/>
      <c r="RHR22" s="1280"/>
      <c r="RHS22" s="1280"/>
      <c r="RHT22" s="1280"/>
      <c r="RHU22" s="1280"/>
      <c r="RHV22" s="1280"/>
      <c r="RHW22" s="1280"/>
      <c r="RHX22" s="1280"/>
      <c r="RHY22" s="1280"/>
      <c r="RHZ22" s="1280"/>
      <c r="RIA22" s="1280"/>
      <c r="RIB22" s="1280"/>
      <c r="RIC22" s="1280"/>
      <c r="RID22" s="1280"/>
      <c r="RIE22" s="1280"/>
      <c r="RIF22" s="1280"/>
      <c r="RIG22" s="1280"/>
      <c r="RIH22" s="1280"/>
      <c r="RII22" s="1280"/>
      <c r="RIJ22" s="1280"/>
      <c r="RIK22" s="1280"/>
      <c r="RIL22" s="1280"/>
      <c r="RIM22" s="1280"/>
      <c r="RIN22" s="1280"/>
      <c r="RIO22" s="1280"/>
      <c r="RIP22" s="1280"/>
      <c r="RIQ22" s="1280"/>
      <c r="RIR22" s="1280"/>
      <c r="RIS22" s="1280"/>
      <c r="RIT22" s="1280"/>
      <c r="RIU22" s="1280"/>
      <c r="RIV22" s="1280"/>
      <c r="RIW22" s="1280"/>
      <c r="RIX22" s="1280"/>
      <c r="RIY22" s="1280"/>
      <c r="RIZ22" s="1280"/>
      <c r="RJA22" s="1280"/>
      <c r="RJB22" s="1280"/>
      <c r="RJC22" s="1280"/>
      <c r="RJD22" s="1280"/>
      <c r="RJE22" s="1280"/>
      <c r="RJF22" s="1280"/>
      <c r="RJG22" s="1280"/>
      <c r="RJH22" s="1280"/>
      <c r="RJI22" s="1280"/>
      <c r="RJJ22" s="1280"/>
      <c r="RJK22" s="1280"/>
      <c r="RJL22" s="1280"/>
      <c r="RJM22" s="1280"/>
      <c r="RJN22" s="1280"/>
      <c r="RJO22" s="1280"/>
      <c r="RJP22" s="1280"/>
      <c r="RJQ22" s="1280"/>
      <c r="RJR22" s="1280"/>
      <c r="RJS22" s="1280"/>
      <c r="RJT22" s="1280"/>
      <c r="RJU22" s="1280"/>
      <c r="RJV22" s="1280"/>
      <c r="RJW22" s="1280"/>
      <c r="RJX22" s="1280"/>
      <c r="RJY22" s="1280"/>
      <c r="RJZ22" s="1280"/>
      <c r="RKA22" s="1280"/>
      <c r="RKB22" s="1280"/>
      <c r="RKC22" s="1280"/>
      <c r="RKD22" s="1280"/>
      <c r="RKE22" s="1280"/>
      <c r="RKF22" s="1280"/>
      <c r="RKG22" s="1280"/>
      <c r="RKH22" s="1280"/>
      <c r="RKI22" s="1280"/>
      <c r="RKJ22" s="1280"/>
      <c r="RKK22" s="1280"/>
      <c r="RKL22" s="1280"/>
      <c r="RKM22" s="1280"/>
      <c r="RKN22" s="1280"/>
      <c r="RKO22" s="1280"/>
      <c r="RKP22" s="1280"/>
      <c r="RKQ22" s="1280"/>
      <c r="RKR22" s="1280"/>
      <c r="RKS22" s="1280"/>
      <c r="RKT22" s="1280"/>
      <c r="RKU22" s="1280"/>
      <c r="RKV22" s="1280"/>
      <c r="RKW22" s="1280"/>
      <c r="RKX22" s="1280"/>
      <c r="RKY22" s="1280"/>
      <c r="RKZ22" s="1280"/>
      <c r="RLA22" s="1280"/>
      <c r="RLB22" s="1280"/>
      <c r="RLC22" s="1280"/>
      <c r="RLD22" s="1280"/>
      <c r="RLE22" s="1280"/>
      <c r="RLF22" s="1280"/>
      <c r="RLG22" s="1280"/>
      <c r="RLH22" s="1280"/>
      <c r="RLI22" s="1280"/>
      <c r="RLJ22" s="1280"/>
      <c r="RLK22" s="1280"/>
      <c r="RLL22" s="1280"/>
      <c r="RLM22" s="1280"/>
      <c r="RLN22" s="1280"/>
      <c r="RLO22" s="1280"/>
      <c r="RLP22" s="1280"/>
      <c r="RLQ22" s="1280"/>
      <c r="RLR22" s="1280"/>
      <c r="RLS22" s="1280"/>
      <c r="RLT22" s="1280"/>
      <c r="RLU22" s="1280"/>
      <c r="RLV22" s="1280"/>
      <c r="RLW22" s="1280"/>
      <c r="RLX22" s="1280"/>
      <c r="RLY22" s="1280"/>
      <c r="RLZ22" s="1280"/>
      <c r="RMA22" s="1280"/>
      <c r="RMB22" s="1280"/>
      <c r="RMC22" s="1280"/>
      <c r="RMD22" s="1280"/>
      <c r="RME22" s="1280"/>
      <c r="RMF22" s="1280"/>
      <c r="RMG22" s="1280"/>
      <c r="RMH22" s="1280"/>
      <c r="RMI22" s="1280"/>
      <c r="RMJ22" s="1280"/>
      <c r="RMK22" s="1280"/>
      <c r="RML22" s="1280"/>
      <c r="RMM22" s="1280"/>
      <c r="RMN22" s="1280"/>
      <c r="RMO22" s="1280"/>
      <c r="RMP22" s="1280"/>
      <c r="RMQ22" s="1280"/>
      <c r="RMR22" s="1280"/>
      <c r="RMS22" s="1280"/>
      <c r="RMT22" s="1280"/>
      <c r="RMU22" s="1280"/>
      <c r="RMV22" s="1280"/>
      <c r="RMW22" s="1280"/>
      <c r="RMX22" s="1280"/>
      <c r="RMY22" s="1280"/>
      <c r="RMZ22" s="1280"/>
      <c r="RNA22" s="1280"/>
      <c r="RNB22" s="1280"/>
      <c r="RNC22" s="1280"/>
      <c r="RND22" s="1280"/>
      <c r="RNE22" s="1280"/>
      <c r="RNF22" s="1280"/>
      <c r="RNG22" s="1280"/>
      <c r="RNH22" s="1280"/>
      <c r="RNI22" s="1280"/>
      <c r="RNJ22" s="1280"/>
      <c r="RNK22" s="1280"/>
      <c r="RNL22" s="1280"/>
      <c r="RNM22" s="1280"/>
      <c r="RNN22" s="1280"/>
      <c r="RNO22" s="1280"/>
      <c r="RNP22" s="1280"/>
      <c r="RNQ22" s="1280"/>
      <c r="RNR22" s="1280"/>
      <c r="RNS22" s="1280"/>
      <c r="RNT22" s="1280"/>
      <c r="RNU22" s="1280"/>
      <c r="RNV22" s="1280"/>
      <c r="RNW22" s="1280"/>
      <c r="RNX22" s="1280"/>
      <c r="RNY22" s="1280"/>
      <c r="RNZ22" s="1280"/>
      <c r="ROA22" s="1280"/>
      <c r="ROB22" s="1280"/>
      <c r="ROC22" s="1280"/>
      <c r="ROD22" s="1280"/>
      <c r="ROE22" s="1280"/>
      <c r="ROF22" s="1280"/>
      <c r="ROG22" s="1280"/>
      <c r="ROH22" s="1280"/>
      <c r="ROI22" s="1280"/>
      <c r="ROJ22" s="1280"/>
      <c r="ROK22" s="1280"/>
      <c r="ROL22" s="1280"/>
      <c r="ROM22" s="1280"/>
      <c r="RON22" s="1280"/>
      <c r="ROO22" s="1280"/>
      <c r="ROP22" s="1280"/>
      <c r="ROQ22" s="1280"/>
      <c r="ROR22" s="1280"/>
      <c r="ROS22" s="1280"/>
      <c r="ROT22" s="1280"/>
      <c r="ROU22" s="1280"/>
      <c r="ROV22" s="1280"/>
      <c r="ROW22" s="1280"/>
      <c r="ROX22" s="1280"/>
      <c r="ROY22" s="1280"/>
      <c r="ROZ22" s="1280"/>
      <c r="RPA22" s="1280"/>
      <c r="RPB22" s="1280"/>
      <c r="RPC22" s="1280"/>
      <c r="RPD22" s="1280"/>
      <c r="RPE22" s="1280"/>
      <c r="RPF22" s="1280"/>
      <c r="RPG22" s="1280"/>
      <c r="RPH22" s="1280"/>
      <c r="RPI22" s="1280"/>
      <c r="RPJ22" s="1280"/>
      <c r="RPK22" s="1280"/>
      <c r="RPL22" s="1280"/>
      <c r="RPM22" s="1280"/>
      <c r="RPN22" s="1280"/>
      <c r="RPO22" s="1280"/>
      <c r="RPP22" s="1280"/>
      <c r="RPQ22" s="1280"/>
      <c r="RPR22" s="1280"/>
      <c r="RPS22" s="1280"/>
      <c r="RPT22" s="1280"/>
      <c r="RPU22" s="1280"/>
      <c r="RPV22" s="1280"/>
      <c r="RPW22" s="1280"/>
      <c r="RPX22" s="1280"/>
      <c r="RPY22" s="1280"/>
      <c r="RPZ22" s="1280"/>
      <c r="RQA22" s="1280"/>
      <c r="RQB22" s="1280"/>
      <c r="RQC22" s="1280"/>
      <c r="RQD22" s="1280"/>
      <c r="RQE22" s="1280"/>
      <c r="RQF22" s="1280"/>
      <c r="RQG22" s="1280"/>
      <c r="RQH22" s="1280"/>
      <c r="RQI22" s="1280"/>
      <c r="RQJ22" s="1280"/>
      <c r="RQK22" s="1280"/>
      <c r="RQL22" s="1280"/>
      <c r="RQM22" s="1280"/>
      <c r="RQN22" s="1280"/>
      <c r="RQO22" s="1280"/>
      <c r="RQP22" s="1280"/>
      <c r="RQQ22" s="1280"/>
      <c r="RQR22" s="1280"/>
      <c r="RQS22" s="1280"/>
      <c r="RQT22" s="1280"/>
      <c r="RQU22" s="1280"/>
      <c r="RQV22" s="1280"/>
      <c r="RQW22" s="1280"/>
      <c r="RQX22" s="1280"/>
      <c r="RQY22" s="1280"/>
      <c r="RQZ22" s="1280"/>
      <c r="RRA22" s="1280"/>
      <c r="RRB22" s="1280"/>
      <c r="RRC22" s="1280"/>
      <c r="RRD22" s="1280"/>
      <c r="RRE22" s="1280"/>
      <c r="RRF22" s="1280"/>
      <c r="RRG22" s="1280"/>
      <c r="RRH22" s="1280"/>
      <c r="RRI22" s="1280"/>
      <c r="RRJ22" s="1280"/>
      <c r="RRK22" s="1280"/>
      <c r="RRL22" s="1280"/>
      <c r="RRM22" s="1280"/>
      <c r="RRN22" s="1280"/>
      <c r="RRO22" s="1280"/>
      <c r="RRP22" s="1280"/>
      <c r="RRQ22" s="1280"/>
      <c r="RRR22" s="1280"/>
      <c r="RRS22" s="1280"/>
      <c r="RRT22" s="1280"/>
      <c r="RRU22" s="1280"/>
      <c r="RRV22" s="1280"/>
      <c r="RRW22" s="1280"/>
      <c r="RRX22" s="1280"/>
      <c r="RRY22" s="1280"/>
      <c r="RRZ22" s="1280"/>
      <c r="RSA22" s="1280"/>
      <c r="RSB22" s="1280"/>
      <c r="RSC22" s="1280"/>
      <c r="RSD22" s="1280"/>
      <c r="RSE22" s="1280"/>
      <c r="RSF22" s="1280"/>
      <c r="RSG22" s="1280"/>
      <c r="RSH22" s="1280"/>
      <c r="RSI22" s="1280"/>
      <c r="RSJ22" s="1280"/>
      <c r="RSK22" s="1280"/>
      <c r="RSL22" s="1280"/>
      <c r="RSM22" s="1280"/>
      <c r="RSN22" s="1280"/>
      <c r="RSO22" s="1280"/>
      <c r="RSP22" s="1280"/>
      <c r="RSQ22" s="1280"/>
      <c r="RSR22" s="1280"/>
      <c r="RSS22" s="1280"/>
      <c r="RST22" s="1280"/>
      <c r="RSU22" s="1280"/>
      <c r="RSV22" s="1280"/>
      <c r="RSW22" s="1280"/>
      <c r="RSX22" s="1280"/>
      <c r="RSY22" s="1280"/>
      <c r="RSZ22" s="1280"/>
      <c r="RTA22" s="1280"/>
      <c r="RTB22" s="1280"/>
      <c r="RTC22" s="1280"/>
      <c r="RTD22" s="1280"/>
      <c r="RTE22" s="1280"/>
      <c r="RTF22" s="1280"/>
      <c r="RTG22" s="1280"/>
      <c r="RTH22" s="1280"/>
      <c r="RTI22" s="1280"/>
      <c r="RTJ22" s="1280"/>
      <c r="RTK22" s="1280"/>
      <c r="RTL22" s="1280"/>
      <c r="RTM22" s="1280"/>
      <c r="RTN22" s="1280"/>
      <c r="RTO22" s="1280"/>
      <c r="RTP22" s="1280"/>
      <c r="RTQ22" s="1280"/>
      <c r="RTR22" s="1280"/>
      <c r="RTS22" s="1280"/>
      <c r="RTT22" s="1280"/>
      <c r="RTU22" s="1280"/>
      <c r="RTV22" s="1280"/>
      <c r="RTW22" s="1280"/>
      <c r="RTX22" s="1280"/>
      <c r="RTY22" s="1280"/>
      <c r="RTZ22" s="1280"/>
      <c r="RUA22" s="1280"/>
      <c r="RUB22" s="1280"/>
      <c r="RUC22" s="1280"/>
      <c r="RUD22" s="1280"/>
      <c r="RUE22" s="1280"/>
      <c r="RUF22" s="1280"/>
      <c r="RUG22" s="1280"/>
      <c r="RUH22" s="1280"/>
      <c r="RUI22" s="1280"/>
      <c r="RUJ22" s="1280"/>
      <c r="RUK22" s="1280"/>
      <c r="RUL22" s="1280"/>
      <c r="RUM22" s="1280"/>
      <c r="RUN22" s="1280"/>
      <c r="RUO22" s="1280"/>
      <c r="RUP22" s="1280"/>
      <c r="RUQ22" s="1280"/>
      <c r="RUR22" s="1280"/>
      <c r="RUS22" s="1280"/>
      <c r="RUT22" s="1280"/>
      <c r="RUU22" s="1280"/>
      <c r="RUV22" s="1280"/>
      <c r="RUW22" s="1280"/>
      <c r="RUX22" s="1280"/>
      <c r="RUY22" s="1280"/>
      <c r="RUZ22" s="1280"/>
      <c r="RVA22" s="1280"/>
      <c r="RVB22" s="1280"/>
      <c r="RVC22" s="1280"/>
      <c r="RVD22" s="1280"/>
      <c r="RVE22" s="1280"/>
      <c r="RVF22" s="1280"/>
      <c r="RVG22" s="1280"/>
      <c r="RVH22" s="1280"/>
      <c r="RVI22" s="1280"/>
      <c r="RVJ22" s="1280"/>
      <c r="RVK22" s="1280"/>
      <c r="RVL22" s="1280"/>
      <c r="RVM22" s="1280"/>
      <c r="RVN22" s="1280"/>
      <c r="RVO22" s="1280"/>
      <c r="RVP22" s="1280"/>
      <c r="RVQ22" s="1280"/>
      <c r="RVR22" s="1280"/>
      <c r="RVS22" s="1280"/>
      <c r="RVT22" s="1280"/>
      <c r="RVU22" s="1280"/>
      <c r="RVV22" s="1280"/>
      <c r="RVW22" s="1280"/>
      <c r="RVX22" s="1280"/>
      <c r="RVY22" s="1280"/>
      <c r="RVZ22" s="1280"/>
      <c r="RWA22" s="1280"/>
      <c r="RWB22" s="1280"/>
      <c r="RWC22" s="1280"/>
      <c r="RWD22" s="1280"/>
      <c r="RWE22" s="1280"/>
      <c r="RWF22" s="1280"/>
      <c r="RWG22" s="1280"/>
      <c r="RWH22" s="1280"/>
      <c r="RWI22" s="1280"/>
      <c r="RWJ22" s="1280"/>
      <c r="RWK22" s="1280"/>
      <c r="RWL22" s="1280"/>
      <c r="RWM22" s="1280"/>
      <c r="RWN22" s="1280"/>
      <c r="RWO22" s="1280"/>
      <c r="RWP22" s="1280"/>
      <c r="RWQ22" s="1280"/>
      <c r="RWR22" s="1280"/>
      <c r="RWS22" s="1280"/>
      <c r="RWT22" s="1280"/>
      <c r="RWU22" s="1280"/>
      <c r="RWV22" s="1280"/>
      <c r="RWW22" s="1280"/>
      <c r="RWX22" s="1280"/>
      <c r="RWY22" s="1280"/>
      <c r="RWZ22" s="1280"/>
      <c r="RXA22" s="1280"/>
      <c r="RXB22" s="1280"/>
      <c r="RXC22" s="1280"/>
      <c r="RXD22" s="1280"/>
      <c r="RXE22" s="1280"/>
      <c r="RXF22" s="1280"/>
      <c r="RXG22" s="1280"/>
      <c r="RXH22" s="1280"/>
      <c r="RXI22" s="1280"/>
      <c r="RXJ22" s="1280"/>
      <c r="RXK22" s="1280"/>
      <c r="RXL22" s="1280"/>
      <c r="RXM22" s="1280"/>
      <c r="RXN22" s="1280"/>
      <c r="RXO22" s="1280"/>
      <c r="RXP22" s="1280"/>
      <c r="RXQ22" s="1280"/>
      <c r="RXR22" s="1280"/>
      <c r="RXS22" s="1280"/>
      <c r="RXT22" s="1280"/>
      <c r="RXU22" s="1280"/>
      <c r="RXV22" s="1280"/>
      <c r="RXW22" s="1280"/>
      <c r="RXX22" s="1280"/>
      <c r="RXY22" s="1280"/>
      <c r="RXZ22" s="1280"/>
      <c r="RYA22" s="1280"/>
      <c r="RYB22" s="1280"/>
      <c r="RYC22" s="1280"/>
      <c r="RYD22" s="1280"/>
      <c r="RYE22" s="1280"/>
      <c r="RYF22" s="1280"/>
      <c r="RYG22" s="1280"/>
      <c r="RYH22" s="1280"/>
      <c r="RYI22" s="1280"/>
      <c r="RYJ22" s="1280"/>
      <c r="RYK22" s="1280"/>
      <c r="RYL22" s="1280"/>
      <c r="RYM22" s="1280"/>
      <c r="RYN22" s="1280"/>
      <c r="RYO22" s="1280"/>
      <c r="RYP22" s="1280"/>
      <c r="RYQ22" s="1280"/>
      <c r="RYR22" s="1280"/>
      <c r="RYS22" s="1280"/>
      <c r="RYT22" s="1280"/>
      <c r="RYU22" s="1280"/>
      <c r="RYV22" s="1280"/>
      <c r="RYW22" s="1280"/>
      <c r="RYX22" s="1280"/>
      <c r="RYY22" s="1280"/>
      <c r="RYZ22" s="1280"/>
      <c r="RZA22" s="1280"/>
      <c r="RZB22" s="1280"/>
      <c r="RZC22" s="1280"/>
      <c r="RZD22" s="1280"/>
      <c r="RZE22" s="1280"/>
      <c r="RZF22" s="1280"/>
      <c r="RZG22" s="1280"/>
      <c r="RZH22" s="1280"/>
      <c r="RZI22" s="1280"/>
      <c r="RZJ22" s="1280"/>
      <c r="RZK22" s="1280"/>
      <c r="RZL22" s="1280"/>
      <c r="RZM22" s="1280"/>
      <c r="RZN22" s="1280"/>
      <c r="RZO22" s="1280"/>
      <c r="RZP22" s="1280"/>
      <c r="RZQ22" s="1280"/>
      <c r="RZR22" s="1280"/>
      <c r="RZS22" s="1280"/>
      <c r="RZT22" s="1280"/>
      <c r="RZU22" s="1280"/>
      <c r="RZV22" s="1280"/>
      <c r="RZW22" s="1280"/>
      <c r="RZX22" s="1280"/>
      <c r="RZY22" s="1280"/>
      <c r="RZZ22" s="1280"/>
      <c r="SAA22" s="1280"/>
      <c r="SAB22" s="1280"/>
      <c r="SAC22" s="1280"/>
      <c r="SAD22" s="1280"/>
      <c r="SAE22" s="1280"/>
      <c r="SAF22" s="1280"/>
      <c r="SAG22" s="1280"/>
      <c r="SAH22" s="1280"/>
      <c r="SAI22" s="1280"/>
      <c r="SAJ22" s="1280"/>
      <c r="SAK22" s="1280"/>
      <c r="SAL22" s="1280"/>
      <c r="SAM22" s="1280"/>
      <c r="SAN22" s="1280"/>
      <c r="SAO22" s="1280"/>
      <c r="SAP22" s="1280"/>
      <c r="SAQ22" s="1280"/>
      <c r="SAR22" s="1280"/>
      <c r="SAS22" s="1280"/>
      <c r="SAT22" s="1280"/>
      <c r="SAU22" s="1280"/>
      <c r="SAV22" s="1280"/>
      <c r="SAW22" s="1280"/>
      <c r="SAX22" s="1280"/>
      <c r="SAY22" s="1280"/>
      <c r="SAZ22" s="1280"/>
      <c r="SBA22" s="1280"/>
      <c r="SBB22" s="1280"/>
      <c r="SBC22" s="1280"/>
      <c r="SBD22" s="1280"/>
      <c r="SBE22" s="1280"/>
      <c r="SBF22" s="1280"/>
      <c r="SBG22" s="1280"/>
      <c r="SBH22" s="1280"/>
      <c r="SBI22" s="1280"/>
      <c r="SBJ22" s="1280"/>
      <c r="SBK22" s="1280"/>
      <c r="SBL22" s="1280"/>
      <c r="SBM22" s="1280"/>
      <c r="SBN22" s="1280"/>
      <c r="SBO22" s="1280"/>
      <c r="SBP22" s="1280"/>
      <c r="SBQ22" s="1280"/>
      <c r="SBR22" s="1280"/>
      <c r="SBS22" s="1280"/>
      <c r="SBT22" s="1280"/>
      <c r="SBU22" s="1280"/>
      <c r="SBV22" s="1280"/>
      <c r="SBW22" s="1280"/>
      <c r="SBX22" s="1280"/>
      <c r="SBY22" s="1280"/>
      <c r="SBZ22" s="1280"/>
      <c r="SCA22" s="1280"/>
      <c r="SCB22" s="1280"/>
      <c r="SCC22" s="1280"/>
      <c r="SCD22" s="1280"/>
      <c r="SCE22" s="1280"/>
      <c r="SCF22" s="1280"/>
      <c r="SCG22" s="1280"/>
      <c r="SCH22" s="1280"/>
      <c r="SCI22" s="1280"/>
      <c r="SCJ22" s="1280"/>
      <c r="SCK22" s="1280"/>
      <c r="SCL22" s="1280"/>
      <c r="SCM22" s="1280"/>
      <c r="SCN22" s="1280"/>
      <c r="SCO22" s="1280"/>
      <c r="SCP22" s="1280"/>
      <c r="SCQ22" s="1280"/>
      <c r="SCR22" s="1280"/>
      <c r="SCS22" s="1280"/>
      <c r="SCT22" s="1280"/>
      <c r="SCU22" s="1280"/>
      <c r="SCV22" s="1280"/>
      <c r="SCW22" s="1280"/>
      <c r="SCX22" s="1280"/>
      <c r="SCY22" s="1280"/>
      <c r="SCZ22" s="1280"/>
      <c r="SDA22" s="1280"/>
      <c r="SDB22" s="1280"/>
      <c r="SDC22" s="1280"/>
      <c r="SDD22" s="1280"/>
      <c r="SDE22" s="1280"/>
      <c r="SDF22" s="1280"/>
      <c r="SDG22" s="1280"/>
      <c r="SDH22" s="1280"/>
      <c r="SDI22" s="1280"/>
      <c r="SDJ22" s="1280"/>
      <c r="SDK22" s="1280"/>
      <c r="SDL22" s="1280"/>
      <c r="SDM22" s="1280"/>
      <c r="SDN22" s="1280"/>
      <c r="SDO22" s="1280"/>
      <c r="SDP22" s="1280"/>
      <c r="SDQ22" s="1280"/>
      <c r="SDR22" s="1280"/>
      <c r="SDS22" s="1280"/>
      <c r="SDT22" s="1280"/>
      <c r="SDU22" s="1280"/>
      <c r="SDV22" s="1280"/>
      <c r="SDW22" s="1280"/>
      <c r="SDX22" s="1280"/>
      <c r="SDY22" s="1280"/>
      <c r="SDZ22" s="1280"/>
      <c r="SEA22" s="1280"/>
      <c r="SEB22" s="1280"/>
      <c r="SEC22" s="1280"/>
      <c r="SED22" s="1280"/>
      <c r="SEE22" s="1280"/>
      <c r="SEF22" s="1280"/>
      <c r="SEG22" s="1280"/>
      <c r="SEH22" s="1280"/>
      <c r="SEI22" s="1280"/>
      <c r="SEJ22" s="1280"/>
      <c r="SEK22" s="1280"/>
      <c r="SEL22" s="1280"/>
      <c r="SEM22" s="1280"/>
      <c r="SEN22" s="1280"/>
      <c r="SEO22" s="1280"/>
      <c r="SEP22" s="1280"/>
      <c r="SEQ22" s="1280"/>
      <c r="SER22" s="1280"/>
      <c r="SES22" s="1280"/>
      <c r="SET22" s="1280"/>
      <c r="SEU22" s="1280"/>
      <c r="SEV22" s="1280"/>
      <c r="SEW22" s="1280"/>
      <c r="SEX22" s="1280"/>
      <c r="SEY22" s="1280"/>
      <c r="SEZ22" s="1280"/>
      <c r="SFA22" s="1280"/>
      <c r="SFB22" s="1280"/>
      <c r="SFC22" s="1280"/>
      <c r="SFD22" s="1280"/>
      <c r="SFE22" s="1280"/>
      <c r="SFF22" s="1280"/>
      <c r="SFG22" s="1280"/>
      <c r="SFH22" s="1280"/>
      <c r="SFI22" s="1280"/>
      <c r="SFJ22" s="1280"/>
      <c r="SFK22" s="1280"/>
      <c r="SFL22" s="1280"/>
      <c r="SFM22" s="1280"/>
      <c r="SFN22" s="1280"/>
      <c r="SFO22" s="1280"/>
      <c r="SFP22" s="1280"/>
      <c r="SFQ22" s="1280"/>
      <c r="SFR22" s="1280"/>
      <c r="SFS22" s="1280"/>
      <c r="SFT22" s="1280"/>
      <c r="SFU22" s="1280"/>
      <c r="SFV22" s="1280"/>
      <c r="SFW22" s="1280"/>
      <c r="SFX22" s="1280"/>
      <c r="SFY22" s="1280"/>
      <c r="SFZ22" s="1280"/>
      <c r="SGA22" s="1280"/>
      <c r="SGB22" s="1280"/>
      <c r="SGC22" s="1280"/>
      <c r="SGD22" s="1280"/>
      <c r="SGE22" s="1280"/>
      <c r="SGF22" s="1280"/>
      <c r="SGG22" s="1280"/>
      <c r="SGH22" s="1280"/>
      <c r="SGI22" s="1280"/>
      <c r="SGJ22" s="1280"/>
      <c r="SGK22" s="1280"/>
      <c r="SGL22" s="1280"/>
      <c r="SGM22" s="1280"/>
      <c r="SGN22" s="1280"/>
      <c r="SGO22" s="1280"/>
      <c r="SGP22" s="1280"/>
      <c r="SGQ22" s="1280"/>
      <c r="SGR22" s="1280"/>
      <c r="SGS22" s="1280"/>
      <c r="SGT22" s="1280"/>
      <c r="SGU22" s="1280"/>
      <c r="SGV22" s="1280"/>
      <c r="SGW22" s="1280"/>
      <c r="SGX22" s="1280"/>
      <c r="SGY22" s="1280"/>
      <c r="SGZ22" s="1280"/>
      <c r="SHA22" s="1280"/>
      <c r="SHB22" s="1280"/>
      <c r="SHC22" s="1280"/>
      <c r="SHD22" s="1280"/>
      <c r="SHE22" s="1280"/>
      <c r="SHF22" s="1280"/>
      <c r="SHG22" s="1280"/>
      <c r="SHH22" s="1280"/>
      <c r="SHI22" s="1280"/>
      <c r="SHJ22" s="1280"/>
      <c r="SHK22" s="1280"/>
      <c r="SHL22" s="1280"/>
      <c r="SHM22" s="1280"/>
      <c r="SHN22" s="1280"/>
      <c r="SHO22" s="1280"/>
      <c r="SHP22" s="1280"/>
      <c r="SHQ22" s="1280"/>
      <c r="SHR22" s="1280"/>
      <c r="SHS22" s="1280"/>
      <c r="SHT22" s="1280"/>
      <c r="SHU22" s="1280"/>
      <c r="SHV22" s="1280"/>
      <c r="SHW22" s="1280"/>
      <c r="SHX22" s="1280"/>
      <c r="SHY22" s="1280"/>
      <c r="SHZ22" s="1280"/>
      <c r="SIA22" s="1280"/>
      <c r="SIB22" s="1280"/>
      <c r="SIC22" s="1280"/>
      <c r="SID22" s="1280"/>
      <c r="SIE22" s="1280"/>
      <c r="SIF22" s="1280"/>
      <c r="SIG22" s="1280"/>
      <c r="SIH22" s="1280"/>
      <c r="SII22" s="1280"/>
      <c r="SIJ22" s="1280"/>
      <c r="SIK22" s="1280"/>
      <c r="SIL22" s="1280"/>
      <c r="SIM22" s="1280"/>
      <c r="SIN22" s="1280"/>
      <c r="SIO22" s="1280"/>
      <c r="SIP22" s="1280"/>
      <c r="SIQ22" s="1280"/>
      <c r="SIR22" s="1280"/>
      <c r="SIS22" s="1280"/>
      <c r="SIT22" s="1280"/>
      <c r="SIU22" s="1280"/>
      <c r="SIV22" s="1280"/>
      <c r="SIW22" s="1280"/>
      <c r="SIX22" s="1280"/>
      <c r="SIY22" s="1280"/>
      <c r="SIZ22" s="1280"/>
      <c r="SJA22" s="1280"/>
      <c r="SJB22" s="1280"/>
      <c r="SJC22" s="1280"/>
      <c r="SJD22" s="1280"/>
      <c r="SJE22" s="1280"/>
      <c r="SJF22" s="1280"/>
      <c r="SJG22" s="1280"/>
      <c r="SJH22" s="1280"/>
      <c r="SJI22" s="1280"/>
      <c r="SJJ22" s="1280"/>
      <c r="SJK22" s="1280"/>
      <c r="SJL22" s="1280"/>
      <c r="SJM22" s="1280"/>
      <c r="SJN22" s="1280"/>
      <c r="SJO22" s="1280"/>
      <c r="SJP22" s="1280"/>
      <c r="SJQ22" s="1280"/>
      <c r="SJR22" s="1280"/>
      <c r="SJS22" s="1280"/>
      <c r="SJT22" s="1280"/>
      <c r="SJU22" s="1280"/>
      <c r="SJV22" s="1280"/>
      <c r="SJW22" s="1280"/>
      <c r="SJX22" s="1280"/>
      <c r="SJY22" s="1280"/>
      <c r="SJZ22" s="1280"/>
      <c r="SKA22" s="1280"/>
      <c r="SKB22" s="1280"/>
      <c r="SKC22" s="1280"/>
      <c r="SKD22" s="1280"/>
      <c r="SKE22" s="1280"/>
      <c r="SKF22" s="1280"/>
      <c r="SKG22" s="1280"/>
      <c r="SKH22" s="1280"/>
      <c r="SKI22" s="1280"/>
      <c r="SKJ22" s="1280"/>
      <c r="SKK22" s="1280"/>
      <c r="SKL22" s="1280"/>
      <c r="SKM22" s="1280"/>
      <c r="SKN22" s="1280"/>
      <c r="SKO22" s="1280"/>
      <c r="SKP22" s="1280"/>
      <c r="SKQ22" s="1280"/>
      <c r="SKR22" s="1280"/>
      <c r="SKS22" s="1280"/>
      <c r="SKT22" s="1280"/>
      <c r="SKU22" s="1280"/>
      <c r="SKV22" s="1280"/>
      <c r="SKW22" s="1280"/>
      <c r="SKX22" s="1280"/>
      <c r="SKY22" s="1280"/>
      <c r="SKZ22" s="1280"/>
      <c r="SLA22" s="1280"/>
      <c r="SLB22" s="1280"/>
      <c r="SLC22" s="1280"/>
      <c r="SLD22" s="1280"/>
      <c r="SLE22" s="1280"/>
      <c r="SLF22" s="1280"/>
      <c r="SLG22" s="1280"/>
      <c r="SLH22" s="1280"/>
      <c r="SLI22" s="1280"/>
      <c r="SLJ22" s="1280"/>
      <c r="SLK22" s="1280"/>
      <c r="SLL22" s="1280"/>
      <c r="SLM22" s="1280"/>
      <c r="SLN22" s="1280"/>
      <c r="SLO22" s="1280"/>
      <c r="SLP22" s="1280"/>
      <c r="SLQ22" s="1280"/>
      <c r="SLR22" s="1280"/>
      <c r="SLS22" s="1280"/>
      <c r="SLT22" s="1280"/>
      <c r="SLU22" s="1280"/>
      <c r="SLV22" s="1280"/>
      <c r="SLW22" s="1280"/>
      <c r="SLX22" s="1280"/>
      <c r="SLY22" s="1280"/>
      <c r="SLZ22" s="1280"/>
      <c r="SMA22" s="1280"/>
      <c r="SMB22" s="1280"/>
      <c r="SMC22" s="1280"/>
      <c r="SMD22" s="1280"/>
      <c r="SME22" s="1280"/>
      <c r="SMF22" s="1280"/>
      <c r="SMG22" s="1280"/>
      <c r="SMH22" s="1280"/>
      <c r="SMI22" s="1280"/>
      <c r="SMJ22" s="1280"/>
      <c r="SMK22" s="1280"/>
      <c r="SML22" s="1280"/>
      <c r="SMM22" s="1280"/>
      <c r="SMN22" s="1280"/>
      <c r="SMO22" s="1280"/>
      <c r="SMP22" s="1280"/>
      <c r="SMQ22" s="1280"/>
      <c r="SMR22" s="1280"/>
      <c r="SMS22" s="1280"/>
      <c r="SMT22" s="1280"/>
      <c r="SMU22" s="1280"/>
      <c r="SMV22" s="1280"/>
      <c r="SMW22" s="1280"/>
      <c r="SMX22" s="1280"/>
      <c r="SMY22" s="1280"/>
      <c r="SMZ22" s="1280"/>
      <c r="SNA22" s="1280"/>
      <c r="SNB22" s="1280"/>
      <c r="SNC22" s="1280"/>
      <c r="SND22" s="1280"/>
      <c r="SNE22" s="1280"/>
      <c r="SNF22" s="1280"/>
      <c r="SNG22" s="1280"/>
      <c r="SNH22" s="1280"/>
      <c r="SNI22" s="1280"/>
      <c r="SNJ22" s="1280"/>
      <c r="SNK22" s="1280"/>
      <c r="SNL22" s="1280"/>
      <c r="SNM22" s="1280"/>
      <c r="SNN22" s="1280"/>
      <c r="SNO22" s="1280"/>
      <c r="SNP22" s="1280"/>
      <c r="SNQ22" s="1280"/>
      <c r="SNR22" s="1280"/>
      <c r="SNS22" s="1280"/>
      <c r="SNT22" s="1280"/>
      <c r="SNU22" s="1280"/>
      <c r="SNV22" s="1280"/>
      <c r="SNW22" s="1280"/>
      <c r="SNX22" s="1280"/>
      <c r="SNY22" s="1280"/>
      <c r="SNZ22" s="1280"/>
      <c r="SOA22" s="1280"/>
      <c r="SOB22" s="1280"/>
      <c r="SOC22" s="1280"/>
      <c r="SOD22" s="1280"/>
      <c r="SOE22" s="1280"/>
      <c r="SOF22" s="1280"/>
      <c r="SOG22" s="1280"/>
      <c r="SOH22" s="1280"/>
      <c r="SOI22" s="1280"/>
      <c r="SOJ22" s="1280"/>
      <c r="SOK22" s="1280"/>
      <c r="SOL22" s="1280"/>
      <c r="SOM22" s="1280"/>
      <c r="SON22" s="1280"/>
      <c r="SOO22" s="1280"/>
      <c r="SOP22" s="1280"/>
      <c r="SOQ22" s="1280"/>
      <c r="SOR22" s="1280"/>
      <c r="SOS22" s="1280"/>
      <c r="SOT22" s="1280"/>
      <c r="SOU22" s="1280"/>
      <c r="SOV22" s="1280"/>
      <c r="SOW22" s="1280"/>
      <c r="SOX22" s="1280"/>
      <c r="SOY22" s="1280"/>
      <c r="SOZ22" s="1280"/>
      <c r="SPA22" s="1280"/>
      <c r="SPB22" s="1280"/>
      <c r="SPC22" s="1280"/>
      <c r="SPD22" s="1280"/>
      <c r="SPE22" s="1280"/>
      <c r="SPF22" s="1280"/>
      <c r="SPG22" s="1280"/>
      <c r="SPH22" s="1280"/>
      <c r="SPI22" s="1280"/>
      <c r="SPJ22" s="1280"/>
      <c r="SPK22" s="1280"/>
      <c r="SPL22" s="1280"/>
      <c r="SPM22" s="1280"/>
      <c r="SPN22" s="1280"/>
      <c r="SPO22" s="1280"/>
      <c r="SPP22" s="1280"/>
      <c r="SPQ22" s="1280"/>
      <c r="SPR22" s="1280"/>
      <c r="SPS22" s="1280"/>
      <c r="SPT22" s="1280"/>
      <c r="SPU22" s="1280"/>
      <c r="SPV22" s="1280"/>
      <c r="SPW22" s="1280"/>
      <c r="SPX22" s="1280"/>
      <c r="SPY22" s="1280"/>
      <c r="SPZ22" s="1280"/>
      <c r="SQA22" s="1280"/>
      <c r="SQB22" s="1280"/>
      <c r="SQC22" s="1280"/>
      <c r="SQD22" s="1280"/>
      <c r="SQE22" s="1280"/>
      <c r="SQF22" s="1280"/>
      <c r="SQG22" s="1280"/>
      <c r="SQH22" s="1280"/>
      <c r="SQI22" s="1280"/>
      <c r="SQJ22" s="1280"/>
      <c r="SQK22" s="1280"/>
      <c r="SQL22" s="1280"/>
      <c r="SQM22" s="1280"/>
      <c r="SQN22" s="1280"/>
      <c r="SQO22" s="1280"/>
      <c r="SQP22" s="1280"/>
      <c r="SQQ22" s="1280"/>
      <c r="SQR22" s="1280"/>
      <c r="SQS22" s="1280"/>
      <c r="SQT22" s="1280"/>
      <c r="SQU22" s="1280"/>
      <c r="SQV22" s="1280"/>
      <c r="SQW22" s="1280"/>
      <c r="SQX22" s="1280"/>
      <c r="SQY22" s="1280"/>
      <c r="SQZ22" s="1280"/>
      <c r="SRA22" s="1280"/>
      <c r="SRB22" s="1280"/>
      <c r="SRC22" s="1280"/>
      <c r="SRD22" s="1280"/>
      <c r="SRE22" s="1280"/>
      <c r="SRF22" s="1280"/>
      <c r="SRG22" s="1280"/>
      <c r="SRH22" s="1280"/>
      <c r="SRI22" s="1280"/>
      <c r="SRJ22" s="1280"/>
      <c r="SRK22" s="1280"/>
      <c r="SRL22" s="1280"/>
      <c r="SRM22" s="1280"/>
      <c r="SRN22" s="1280"/>
      <c r="SRO22" s="1280"/>
      <c r="SRP22" s="1280"/>
      <c r="SRQ22" s="1280"/>
      <c r="SRR22" s="1280"/>
      <c r="SRS22" s="1280"/>
      <c r="SRT22" s="1280"/>
      <c r="SRU22" s="1280"/>
      <c r="SRV22" s="1280"/>
      <c r="SRW22" s="1280"/>
      <c r="SRX22" s="1280"/>
      <c r="SRY22" s="1280"/>
      <c r="SRZ22" s="1280"/>
      <c r="SSA22" s="1280"/>
      <c r="SSB22" s="1280"/>
      <c r="SSC22" s="1280"/>
      <c r="SSD22" s="1280"/>
      <c r="SSE22" s="1280"/>
      <c r="SSF22" s="1280"/>
      <c r="SSG22" s="1280"/>
      <c r="SSH22" s="1280"/>
      <c r="SSI22" s="1280"/>
      <c r="SSJ22" s="1280"/>
      <c r="SSK22" s="1280"/>
      <c r="SSL22" s="1280"/>
      <c r="SSM22" s="1280"/>
      <c r="SSN22" s="1280"/>
      <c r="SSO22" s="1280"/>
      <c r="SSP22" s="1280"/>
      <c r="SSQ22" s="1280"/>
      <c r="SSR22" s="1280"/>
      <c r="SSS22" s="1280"/>
      <c r="SST22" s="1280"/>
      <c r="SSU22" s="1280"/>
      <c r="SSV22" s="1280"/>
      <c r="SSW22" s="1280"/>
      <c r="SSX22" s="1280"/>
      <c r="SSY22" s="1280"/>
      <c r="SSZ22" s="1280"/>
      <c r="STA22" s="1280"/>
      <c r="STB22" s="1280"/>
      <c r="STC22" s="1280"/>
      <c r="STD22" s="1280"/>
      <c r="STE22" s="1280"/>
      <c r="STF22" s="1280"/>
      <c r="STG22" s="1280"/>
      <c r="STH22" s="1280"/>
      <c r="STI22" s="1280"/>
      <c r="STJ22" s="1280"/>
      <c r="STK22" s="1280"/>
      <c r="STL22" s="1280"/>
      <c r="STM22" s="1280"/>
      <c r="STN22" s="1280"/>
      <c r="STO22" s="1280"/>
      <c r="STP22" s="1280"/>
      <c r="STQ22" s="1280"/>
      <c r="STR22" s="1280"/>
      <c r="STS22" s="1280"/>
      <c r="STT22" s="1280"/>
      <c r="STU22" s="1280"/>
      <c r="STV22" s="1280"/>
      <c r="STW22" s="1280"/>
      <c r="STX22" s="1280"/>
      <c r="STY22" s="1280"/>
      <c r="STZ22" s="1280"/>
      <c r="SUA22" s="1280"/>
      <c r="SUB22" s="1280"/>
      <c r="SUC22" s="1280"/>
      <c r="SUD22" s="1280"/>
      <c r="SUE22" s="1280"/>
      <c r="SUF22" s="1280"/>
      <c r="SUG22" s="1280"/>
      <c r="SUH22" s="1280"/>
      <c r="SUI22" s="1280"/>
      <c r="SUJ22" s="1280"/>
      <c r="SUK22" s="1280"/>
      <c r="SUL22" s="1280"/>
      <c r="SUM22" s="1280"/>
      <c r="SUN22" s="1280"/>
      <c r="SUO22" s="1280"/>
      <c r="SUP22" s="1280"/>
      <c r="SUQ22" s="1280"/>
      <c r="SUR22" s="1280"/>
      <c r="SUS22" s="1280"/>
      <c r="SUT22" s="1280"/>
      <c r="SUU22" s="1280"/>
      <c r="SUV22" s="1280"/>
      <c r="SUW22" s="1280"/>
      <c r="SUX22" s="1280"/>
      <c r="SUY22" s="1280"/>
      <c r="SUZ22" s="1280"/>
      <c r="SVA22" s="1280"/>
      <c r="SVB22" s="1280"/>
      <c r="SVC22" s="1280"/>
      <c r="SVD22" s="1280"/>
      <c r="SVE22" s="1280"/>
      <c r="SVF22" s="1280"/>
      <c r="SVG22" s="1280"/>
      <c r="SVH22" s="1280"/>
      <c r="SVI22" s="1280"/>
      <c r="SVJ22" s="1280"/>
      <c r="SVK22" s="1280"/>
      <c r="SVL22" s="1280"/>
      <c r="SVM22" s="1280"/>
      <c r="SVN22" s="1280"/>
      <c r="SVO22" s="1280"/>
      <c r="SVP22" s="1280"/>
      <c r="SVQ22" s="1280"/>
      <c r="SVR22" s="1280"/>
      <c r="SVS22" s="1280"/>
      <c r="SVT22" s="1280"/>
      <c r="SVU22" s="1280"/>
      <c r="SVV22" s="1280"/>
      <c r="SVW22" s="1280"/>
      <c r="SVX22" s="1280"/>
      <c r="SVY22" s="1280"/>
      <c r="SVZ22" s="1280"/>
      <c r="SWA22" s="1280"/>
      <c r="SWB22" s="1280"/>
      <c r="SWC22" s="1280"/>
      <c r="SWD22" s="1280"/>
      <c r="SWE22" s="1280"/>
      <c r="SWF22" s="1280"/>
      <c r="SWG22" s="1280"/>
      <c r="SWH22" s="1280"/>
      <c r="SWI22" s="1280"/>
      <c r="SWJ22" s="1280"/>
      <c r="SWK22" s="1280"/>
      <c r="SWL22" s="1280"/>
      <c r="SWM22" s="1280"/>
      <c r="SWN22" s="1280"/>
      <c r="SWO22" s="1280"/>
      <c r="SWP22" s="1280"/>
      <c r="SWQ22" s="1280"/>
      <c r="SWR22" s="1280"/>
      <c r="SWS22" s="1280"/>
      <c r="SWT22" s="1280"/>
      <c r="SWU22" s="1280"/>
      <c r="SWV22" s="1280"/>
      <c r="SWW22" s="1280"/>
      <c r="SWX22" s="1280"/>
      <c r="SWY22" s="1280"/>
      <c r="SWZ22" s="1280"/>
      <c r="SXA22" s="1280"/>
      <c r="SXB22" s="1280"/>
      <c r="SXC22" s="1280"/>
      <c r="SXD22" s="1280"/>
      <c r="SXE22" s="1280"/>
      <c r="SXF22" s="1280"/>
      <c r="SXG22" s="1280"/>
      <c r="SXH22" s="1280"/>
      <c r="SXI22" s="1280"/>
      <c r="SXJ22" s="1280"/>
      <c r="SXK22" s="1280"/>
      <c r="SXL22" s="1280"/>
      <c r="SXM22" s="1280"/>
      <c r="SXN22" s="1280"/>
      <c r="SXO22" s="1280"/>
      <c r="SXP22" s="1280"/>
      <c r="SXQ22" s="1280"/>
      <c r="SXR22" s="1280"/>
      <c r="SXS22" s="1280"/>
      <c r="SXT22" s="1280"/>
      <c r="SXU22" s="1280"/>
      <c r="SXV22" s="1280"/>
      <c r="SXW22" s="1280"/>
      <c r="SXX22" s="1280"/>
      <c r="SXY22" s="1280"/>
      <c r="SXZ22" s="1280"/>
      <c r="SYA22" s="1280"/>
      <c r="SYB22" s="1280"/>
      <c r="SYC22" s="1280"/>
      <c r="SYD22" s="1280"/>
      <c r="SYE22" s="1280"/>
      <c r="SYF22" s="1280"/>
      <c r="SYG22" s="1280"/>
      <c r="SYH22" s="1280"/>
      <c r="SYI22" s="1280"/>
      <c r="SYJ22" s="1280"/>
      <c r="SYK22" s="1280"/>
      <c r="SYL22" s="1280"/>
      <c r="SYM22" s="1280"/>
      <c r="SYN22" s="1280"/>
      <c r="SYO22" s="1280"/>
      <c r="SYP22" s="1280"/>
      <c r="SYQ22" s="1280"/>
      <c r="SYR22" s="1280"/>
      <c r="SYS22" s="1280"/>
      <c r="SYT22" s="1280"/>
      <c r="SYU22" s="1280"/>
      <c r="SYV22" s="1280"/>
      <c r="SYW22" s="1280"/>
      <c r="SYX22" s="1280"/>
      <c r="SYY22" s="1280"/>
      <c r="SYZ22" s="1280"/>
      <c r="SZA22" s="1280"/>
      <c r="SZB22" s="1280"/>
      <c r="SZC22" s="1280"/>
      <c r="SZD22" s="1280"/>
      <c r="SZE22" s="1280"/>
      <c r="SZF22" s="1280"/>
      <c r="SZG22" s="1280"/>
      <c r="SZH22" s="1280"/>
      <c r="SZI22" s="1280"/>
      <c r="SZJ22" s="1280"/>
      <c r="SZK22" s="1280"/>
      <c r="SZL22" s="1280"/>
      <c r="SZM22" s="1280"/>
      <c r="SZN22" s="1280"/>
      <c r="SZO22" s="1280"/>
      <c r="SZP22" s="1280"/>
      <c r="SZQ22" s="1280"/>
      <c r="SZR22" s="1280"/>
      <c r="SZS22" s="1280"/>
      <c r="SZT22" s="1280"/>
      <c r="SZU22" s="1280"/>
      <c r="SZV22" s="1280"/>
      <c r="SZW22" s="1280"/>
      <c r="SZX22" s="1280"/>
      <c r="SZY22" s="1280"/>
      <c r="SZZ22" s="1280"/>
      <c r="TAA22" s="1280"/>
      <c r="TAB22" s="1280"/>
      <c r="TAC22" s="1280"/>
      <c r="TAD22" s="1280"/>
      <c r="TAE22" s="1280"/>
      <c r="TAF22" s="1280"/>
      <c r="TAG22" s="1280"/>
      <c r="TAH22" s="1280"/>
      <c r="TAI22" s="1280"/>
      <c r="TAJ22" s="1280"/>
      <c r="TAK22" s="1280"/>
      <c r="TAL22" s="1280"/>
      <c r="TAM22" s="1280"/>
      <c r="TAN22" s="1280"/>
      <c r="TAO22" s="1280"/>
      <c r="TAP22" s="1280"/>
      <c r="TAQ22" s="1280"/>
      <c r="TAR22" s="1280"/>
      <c r="TAS22" s="1280"/>
      <c r="TAT22" s="1280"/>
      <c r="TAU22" s="1280"/>
      <c r="TAV22" s="1280"/>
      <c r="TAW22" s="1280"/>
      <c r="TAX22" s="1280"/>
      <c r="TAY22" s="1280"/>
      <c r="TAZ22" s="1280"/>
      <c r="TBA22" s="1280"/>
      <c r="TBB22" s="1280"/>
      <c r="TBC22" s="1280"/>
      <c r="TBD22" s="1280"/>
      <c r="TBE22" s="1280"/>
      <c r="TBF22" s="1280"/>
      <c r="TBG22" s="1280"/>
      <c r="TBH22" s="1280"/>
      <c r="TBI22" s="1280"/>
      <c r="TBJ22" s="1280"/>
      <c r="TBK22" s="1280"/>
      <c r="TBL22" s="1280"/>
      <c r="TBM22" s="1280"/>
      <c r="TBN22" s="1280"/>
      <c r="TBO22" s="1280"/>
      <c r="TBP22" s="1280"/>
      <c r="TBQ22" s="1280"/>
      <c r="TBR22" s="1280"/>
      <c r="TBS22" s="1280"/>
      <c r="TBT22" s="1280"/>
      <c r="TBU22" s="1280"/>
      <c r="TBV22" s="1280"/>
      <c r="TBW22" s="1280"/>
      <c r="TBX22" s="1280"/>
      <c r="TBY22" s="1280"/>
      <c r="TBZ22" s="1280"/>
      <c r="TCA22" s="1280"/>
      <c r="TCB22" s="1280"/>
      <c r="TCC22" s="1280"/>
      <c r="TCD22" s="1280"/>
      <c r="TCE22" s="1280"/>
      <c r="TCF22" s="1280"/>
      <c r="TCG22" s="1280"/>
      <c r="TCH22" s="1280"/>
      <c r="TCI22" s="1280"/>
      <c r="TCJ22" s="1280"/>
      <c r="TCK22" s="1280"/>
      <c r="TCL22" s="1280"/>
      <c r="TCM22" s="1280"/>
      <c r="TCN22" s="1280"/>
      <c r="TCO22" s="1280"/>
      <c r="TCP22" s="1280"/>
      <c r="TCQ22" s="1280"/>
      <c r="TCR22" s="1280"/>
      <c r="TCS22" s="1280"/>
      <c r="TCT22" s="1280"/>
      <c r="TCU22" s="1280"/>
      <c r="TCV22" s="1280"/>
      <c r="TCW22" s="1280"/>
      <c r="TCX22" s="1280"/>
      <c r="TCY22" s="1280"/>
      <c r="TCZ22" s="1280"/>
      <c r="TDA22" s="1280"/>
      <c r="TDB22" s="1280"/>
      <c r="TDC22" s="1280"/>
      <c r="TDD22" s="1280"/>
      <c r="TDE22" s="1280"/>
      <c r="TDF22" s="1280"/>
      <c r="TDG22" s="1280"/>
      <c r="TDH22" s="1280"/>
      <c r="TDI22" s="1280"/>
      <c r="TDJ22" s="1280"/>
      <c r="TDK22" s="1280"/>
      <c r="TDL22" s="1280"/>
      <c r="TDM22" s="1280"/>
      <c r="TDN22" s="1280"/>
      <c r="TDO22" s="1280"/>
      <c r="TDP22" s="1280"/>
      <c r="TDQ22" s="1280"/>
      <c r="TDR22" s="1280"/>
      <c r="TDS22" s="1280"/>
      <c r="TDT22" s="1280"/>
      <c r="TDU22" s="1280"/>
      <c r="TDV22" s="1280"/>
      <c r="TDW22" s="1280"/>
      <c r="TDX22" s="1280"/>
      <c r="TDY22" s="1280"/>
      <c r="TDZ22" s="1280"/>
      <c r="TEA22" s="1280"/>
      <c r="TEB22" s="1280"/>
      <c r="TEC22" s="1280"/>
      <c r="TED22" s="1280"/>
      <c r="TEE22" s="1280"/>
      <c r="TEF22" s="1280"/>
      <c r="TEG22" s="1280"/>
      <c r="TEH22" s="1280"/>
      <c r="TEI22" s="1280"/>
      <c r="TEJ22" s="1280"/>
      <c r="TEK22" s="1280"/>
      <c r="TEL22" s="1280"/>
      <c r="TEM22" s="1280"/>
      <c r="TEN22" s="1280"/>
      <c r="TEO22" s="1280"/>
      <c r="TEP22" s="1280"/>
      <c r="TEQ22" s="1280"/>
      <c r="TER22" s="1280"/>
      <c r="TES22" s="1280"/>
      <c r="TET22" s="1280"/>
      <c r="TEU22" s="1280"/>
      <c r="TEV22" s="1280"/>
      <c r="TEW22" s="1280"/>
      <c r="TEX22" s="1280"/>
      <c r="TEY22" s="1280"/>
      <c r="TEZ22" s="1280"/>
      <c r="TFA22" s="1280"/>
      <c r="TFB22" s="1280"/>
      <c r="TFC22" s="1280"/>
      <c r="TFD22" s="1280"/>
      <c r="TFE22" s="1280"/>
      <c r="TFF22" s="1280"/>
      <c r="TFG22" s="1280"/>
      <c r="TFH22" s="1280"/>
      <c r="TFI22" s="1280"/>
      <c r="TFJ22" s="1280"/>
      <c r="TFK22" s="1280"/>
      <c r="TFL22" s="1280"/>
      <c r="TFM22" s="1280"/>
      <c r="TFN22" s="1280"/>
      <c r="TFO22" s="1280"/>
      <c r="TFP22" s="1280"/>
      <c r="TFQ22" s="1280"/>
      <c r="TFR22" s="1280"/>
      <c r="TFS22" s="1280"/>
      <c r="TFT22" s="1280"/>
      <c r="TFU22" s="1280"/>
      <c r="TFV22" s="1280"/>
      <c r="TFW22" s="1280"/>
      <c r="TFX22" s="1280"/>
      <c r="TFY22" s="1280"/>
      <c r="TFZ22" s="1280"/>
      <c r="TGA22" s="1280"/>
      <c r="TGB22" s="1280"/>
      <c r="TGC22" s="1280"/>
      <c r="TGD22" s="1280"/>
      <c r="TGE22" s="1280"/>
      <c r="TGF22" s="1280"/>
      <c r="TGG22" s="1280"/>
      <c r="TGH22" s="1280"/>
      <c r="TGI22" s="1280"/>
      <c r="TGJ22" s="1280"/>
      <c r="TGK22" s="1280"/>
      <c r="TGL22" s="1280"/>
      <c r="TGM22" s="1280"/>
      <c r="TGN22" s="1280"/>
      <c r="TGO22" s="1280"/>
      <c r="TGP22" s="1280"/>
      <c r="TGQ22" s="1280"/>
      <c r="TGR22" s="1280"/>
      <c r="TGS22" s="1280"/>
      <c r="TGT22" s="1280"/>
      <c r="TGU22" s="1280"/>
      <c r="TGV22" s="1280"/>
      <c r="TGW22" s="1280"/>
      <c r="TGX22" s="1280"/>
      <c r="TGY22" s="1280"/>
      <c r="TGZ22" s="1280"/>
      <c r="THA22" s="1280"/>
      <c r="THB22" s="1280"/>
      <c r="THC22" s="1280"/>
      <c r="THD22" s="1280"/>
      <c r="THE22" s="1280"/>
      <c r="THF22" s="1280"/>
      <c r="THG22" s="1280"/>
      <c r="THH22" s="1280"/>
      <c r="THI22" s="1280"/>
      <c r="THJ22" s="1280"/>
      <c r="THK22" s="1280"/>
      <c r="THL22" s="1280"/>
      <c r="THM22" s="1280"/>
      <c r="THN22" s="1280"/>
      <c r="THO22" s="1280"/>
      <c r="THP22" s="1280"/>
      <c r="THQ22" s="1280"/>
      <c r="THR22" s="1280"/>
      <c r="THS22" s="1280"/>
      <c r="THT22" s="1280"/>
      <c r="THU22" s="1280"/>
      <c r="THV22" s="1280"/>
      <c r="THW22" s="1280"/>
      <c r="THX22" s="1280"/>
      <c r="THY22" s="1280"/>
      <c r="THZ22" s="1280"/>
      <c r="TIA22" s="1280"/>
      <c r="TIB22" s="1280"/>
      <c r="TIC22" s="1280"/>
      <c r="TID22" s="1280"/>
      <c r="TIE22" s="1280"/>
      <c r="TIF22" s="1280"/>
      <c r="TIG22" s="1280"/>
      <c r="TIH22" s="1280"/>
      <c r="TII22" s="1280"/>
      <c r="TIJ22" s="1280"/>
      <c r="TIK22" s="1280"/>
      <c r="TIL22" s="1280"/>
      <c r="TIM22" s="1280"/>
      <c r="TIN22" s="1280"/>
      <c r="TIO22" s="1280"/>
      <c r="TIP22" s="1280"/>
      <c r="TIQ22" s="1280"/>
      <c r="TIR22" s="1280"/>
      <c r="TIS22" s="1280"/>
      <c r="TIT22" s="1280"/>
      <c r="TIU22" s="1280"/>
      <c r="TIV22" s="1280"/>
      <c r="TIW22" s="1280"/>
      <c r="TIX22" s="1280"/>
      <c r="TIY22" s="1280"/>
      <c r="TIZ22" s="1280"/>
      <c r="TJA22" s="1280"/>
      <c r="TJB22" s="1280"/>
      <c r="TJC22" s="1280"/>
      <c r="TJD22" s="1280"/>
      <c r="TJE22" s="1280"/>
      <c r="TJF22" s="1280"/>
      <c r="TJG22" s="1280"/>
      <c r="TJH22" s="1280"/>
      <c r="TJI22" s="1280"/>
      <c r="TJJ22" s="1280"/>
      <c r="TJK22" s="1280"/>
      <c r="TJL22" s="1280"/>
      <c r="TJM22" s="1280"/>
      <c r="TJN22" s="1280"/>
      <c r="TJO22" s="1280"/>
      <c r="TJP22" s="1280"/>
      <c r="TJQ22" s="1280"/>
      <c r="TJR22" s="1280"/>
      <c r="TJS22" s="1280"/>
      <c r="TJT22" s="1280"/>
      <c r="TJU22" s="1280"/>
      <c r="TJV22" s="1280"/>
      <c r="TJW22" s="1280"/>
      <c r="TJX22" s="1280"/>
      <c r="TJY22" s="1280"/>
      <c r="TJZ22" s="1280"/>
      <c r="TKA22" s="1280"/>
      <c r="TKB22" s="1280"/>
      <c r="TKC22" s="1280"/>
      <c r="TKD22" s="1280"/>
      <c r="TKE22" s="1280"/>
      <c r="TKF22" s="1280"/>
      <c r="TKG22" s="1280"/>
      <c r="TKH22" s="1280"/>
      <c r="TKI22" s="1280"/>
      <c r="TKJ22" s="1280"/>
      <c r="TKK22" s="1280"/>
      <c r="TKL22" s="1280"/>
      <c r="TKM22" s="1280"/>
      <c r="TKN22" s="1280"/>
      <c r="TKO22" s="1280"/>
      <c r="TKP22" s="1280"/>
      <c r="TKQ22" s="1280"/>
      <c r="TKR22" s="1280"/>
      <c r="TKS22" s="1280"/>
      <c r="TKT22" s="1280"/>
      <c r="TKU22" s="1280"/>
      <c r="TKV22" s="1280"/>
      <c r="TKW22" s="1280"/>
      <c r="TKX22" s="1280"/>
      <c r="TKY22" s="1280"/>
      <c r="TKZ22" s="1280"/>
      <c r="TLA22" s="1280"/>
      <c r="TLB22" s="1280"/>
      <c r="TLC22" s="1280"/>
      <c r="TLD22" s="1280"/>
      <c r="TLE22" s="1280"/>
      <c r="TLF22" s="1280"/>
      <c r="TLG22" s="1280"/>
      <c r="TLH22" s="1280"/>
      <c r="TLI22" s="1280"/>
      <c r="TLJ22" s="1280"/>
      <c r="TLK22" s="1280"/>
      <c r="TLL22" s="1280"/>
      <c r="TLM22" s="1280"/>
      <c r="TLN22" s="1280"/>
      <c r="TLO22" s="1280"/>
      <c r="TLP22" s="1280"/>
      <c r="TLQ22" s="1280"/>
      <c r="TLR22" s="1280"/>
      <c r="TLS22" s="1280"/>
      <c r="TLT22" s="1280"/>
      <c r="TLU22" s="1280"/>
      <c r="TLV22" s="1280"/>
      <c r="TLW22" s="1280"/>
      <c r="TLX22" s="1280"/>
      <c r="TLY22" s="1280"/>
      <c r="TLZ22" s="1280"/>
      <c r="TMA22" s="1280"/>
      <c r="TMB22" s="1280"/>
      <c r="TMC22" s="1280"/>
      <c r="TMD22" s="1280"/>
      <c r="TME22" s="1280"/>
      <c r="TMF22" s="1280"/>
      <c r="TMG22" s="1280"/>
      <c r="TMH22" s="1280"/>
      <c r="TMI22" s="1280"/>
      <c r="TMJ22" s="1280"/>
      <c r="TMK22" s="1280"/>
      <c r="TML22" s="1280"/>
      <c r="TMM22" s="1280"/>
      <c r="TMN22" s="1280"/>
      <c r="TMO22" s="1280"/>
      <c r="TMP22" s="1280"/>
      <c r="TMQ22" s="1280"/>
      <c r="TMR22" s="1280"/>
      <c r="TMS22" s="1280"/>
      <c r="TMT22" s="1280"/>
      <c r="TMU22" s="1280"/>
      <c r="TMV22" s="1280"/>
      <c r="TMW22" s="1280"/>
      <c r="TMX22" s="1280"/>
      <c r="TMY22" s="1280"/>
      <c r="TMZ22" s="1280"/>
      <c r="TNA22" s="1280"/>
      <c r="TNB22" s="1280"/>
      <c r="TNC22" s="1280"/>
      <c r="TND22" s="1280"/>
      <c r="TNE22" s="1280"/>
      <c r="TNF22" s="1280"/>
      <c r="TNG22" s="1280"/>
      <c r="TNH22" s="1280"/>
      <c r="TNI22" s="1280"/>
      <c r="TNJ22" s="1280"/>
      <c r="TNK22" s="1280"/>
      <c r="TNL22" s="1280"/>
      <c r="TNM22" s="1280"/>
      <c r="TNN22" s="1280"/>
      <c r="TNO22" s="1280"/>
      <c r="TNP22" s="1280"/>
      <c r="TNQ22" s="1280"/>
      <c r="TNR22" s="1280"/>
      <c r="TNS22" s="1280"/>
      <c r="TNT22" s="1280"/>
      <c r="TNU22" s="1280"/>
      <c r="TNV22" s="1280"/>
      <c r="TNW22" s="1280"/>
      <c r="TNX22" s="1280"/>
      <c r="TNY22" s="1280"/>
      <c r="TNZ22" s="1280"/>
      <c r="TOA22" s="1280"/>
      <c r="TOB22" s="1280"/>
      <c r="TOC22" s="1280"/>
      <c r="TOD22" s="1280"/>
      <c r="TOE22" s="1280"/>
      <c r="TOF22" s="1280"/>
      <c r="TOG22" s="1280"/>
      <c r="TOH22" s="1280"/>
      <c r="TOI22" s="1280"/>
      <c r="TOJ22" s="1280"/>
      <c r="TOK22" s="1280"/>
      <c r="TOL22" s="1280"/>
      <c r="TOM22" s="1280"/>
      <c r="TON22" s="1280"/>
      <c r="TOO22" s="1280"/>
      <c r="TOP22" s="1280"/>
      <c r="TOQ22" s="1280"/>
      <c r="TOR22" s="1280"/>
      <c r="TOS22" s="1280"/>
      <c r="TOT22" s="1280"/>
      <c r="TOU22" s="1280"/>
      <c r="TOV22" s="1280"/>
      <c r="TOW22" s="1280"/>
      <c r="TOX22" s="1280"/>
      <c r="TOY22" s="1280"/>
      <c r="TOZ22" s="1280"/>
      <c r="TPA22" s="1280"/>
      <c r="TPB22" s="1280"/>
      <c r="TPC22" s="1280"/>
      <c r="TPD22" s="1280"/>
      <c r="TPE22" s="1280"/>
      <c r="TPF22" s="1280"/>
      <c r="TPG22" s="1280"/>
      <c r="TPH22" s="1280"/>
      <c r="TPI22" s="1280"/>
      <c r="TPJ22" s="1280"/>
      <c r="TPK22" s="1280"/>
      <c r="TPL22" s="1280"/>
      <c r="TPM22" s="1280"/>
      <c r="TPN22" s="1280"/>
      <c r="TPO22" s="1280"/>
      <c r="TPP22" s="1280"/>
      <c r="TPQ22" s="1280"/>
      <c r="TPR22" s="1280"/>
      <c r="TPS22" s="1280"/>
      <c r="TPT22" s="1280"/>
      <c r="TPU22" s="1280"/>
      <c r="TPV22" s="1280"/>
      <c r="TPW22" s="1280"/>
      <c r="TPX22" s="1280"/>
      <c r="TPY22" s="1280"/>
      <c r="TPZ22" s="1280"/>
      <c r="TQA22" s="1280"/>
      <c r="TQB22" s="1280"/>
      <c r="TQC22" s="1280"/>
      <c r="TQD22" s="1280"/>
      <c r="TQE22" s="1280"/>
      <c r="TQF22" s="1280"/>
      <c r="TQG22" s="1280"/>
      <c r="TQH22" s="1280"/>
      <c r="TQI22" s="1280"/>
      <c r="TQJ22" s="1280"/>
      <c r="TQK22" s="1280"/>
      <c r="TQL22" s="1280"/>
      <c r="TQM22" s="1280"/>
      <c r="TQN22" s="1280"/>
      <c r="TQO22" s="1280"/>
      <c r="TQP22" s="1280"/>
      <c r="TQQ22" s="1280"/>
      <c r="TQR22" s="1280"/>
      <c r="TQS22" s="1280"/>
      <c r="TQT22" s="1280"/>
      <c r="TQU22" s="1280"/>
      <c r="TQV22" s="1280"/>
      <c r="TQW22" s="1280"/>
      <c r="TQX22" s="1280"/>
      <c r="TQY22" s="1280"/>
      <c r="TQZ22" s="1280"/>
      <c r="TRA22" s="1280"/>
      <c r="TRB22" s="1280"/>
      <c r="TRC22" s="1280"/>
      <c r="TRD22" s="1280"/>
      <c r="TRE22" s="1280"/>
      <c r="TRF22" s="1280"/>
      <c r="TRG22" s="1280"/>
      <c r="TRH22" s="1280"/>
      <c r="TRI22" s="1280"/>
      <c r="TRJ22" s="1280"/>
      <c r="TRK22" s="1280"/>
      <c r="TRL22" s="1280"/>
      <c r="TRM22" s="1280"/>
      <c r="TRN22" s="1280"/>
      <c r="TRO22" s="1280"/>
      <c r="TRP22" s="1280"/>
      <c r="TRQ22" s="1280"/>
      <c r="TRR22" s="1280"/>
      <c r="TRS22" s="1280"/>
      <c r="TRT22" s="1280"/>
      <c r="TRU22" s="1280"/>
      <c r="TRV22" s="1280"/>
      <c r="TRW22" s="1280"/>
      <c r="TRX22" s="1280"/>
      <c r="TRY22" s="1280"/>
      <c r="TRZ22" s="1280"/>
      <c r="TSA22" s="1280"/>
      <c r="TSB22" s="1280"/>
      <c r="TSC22" s="1280"/>
      <c r="TSD22" s="1280"/>
      <c r="TSE22" s="1280"/>
      <c r="TSF22" s="1280"/>
      <c r="TSG22" s="1280"/>
      <c r="TSH22" s="1280"/>
      <c r="TSI22" s="1280"/>
      <c r="TSJ22" s="1280"/>
      <c r="TSK22" s="1280"/>
      <c r="TSL22" s="1280"/>
      <c r="TSM22" s="1280"/>
      <c r="TSN22" s="1280"/>
      <c r="TSO22" s="1280"/>
      <c r="TSP22" s="1280"/>
      <c r="TSQ22" s="1280"/>
      <c r="TSR22" s="1280"/>
      <c r="TSS22" s="1280"/>
      <c r="TST22" s="1280"/>
      <c r="TSU22" s="1280"/>
      <c r="TSV22" s="1280"/>
      <c r="TSW22" s="1280"/>
      <c r="TSX22" s="1280"/>
      <c r="TSY22" s="1280"/>
      <c r="TSZ22" s="1280"/>
      <c r="TTA22" s="1280"/>
      <c r="TTB22" s="1280"/>
      <c r="TTC22" s="1280"/>
      <c r="TTD22" s="1280"/>
      <c r="TTE22" s="1280"/>
      <c r="TTF22" s="1280"/>
      <c r="TTG22" s="1280"/>
      <c r="TTH22" s="1280"/>
      <c r="TTI22" s="1280"/>
      <c r="TTJ22" s="1280"/>
      <c r="TTK22" s="1280"/>
      <c r="TTL22" s="1280"/>
      <c r="TTM22" s="1280"/>
      <c r="TTN22" s="1280"/>
      <c r="TTO22" s="1280"/>
      <c r="TTP22" s="1280"/>
      <c r="TTQ22" s="1280"/>
      <c r="TTR22" s="1280"/>
      <c r="TTS22" s="1280"/>
      <c r="TTT22" s="1280"/>
      <c r="TTU22" s="1280"/>
      <c r="TTV22" s="1280"/>
      <c r="TTW22" s="1280"/>
      <c r="TTX22" s="1280"/>
      <c r="TTY22" s="1280"/>
      <c r="TTZ22" s="1280"/>
      <c r="TUA22" s="1280"/>
      <c r="TUB22" s="1280"/>
      <c r="TUC22" s="1280"/>
      <c r="TUD22" s="1280"/>
      <c r="TUE22" s="1280"/>
      <c r="TUF22" s="1280"/>
      <c r="TUG22" s="1280"/>
      <c r="TUH22" s="1280"/>
      <c r="TUI22" s="1280"/>
      <c r="TUJ22" s="1280"/>
      <c r="TUK22" s="1280"/>
      <c r="TUL22" s="1280"/>
      <c r="TUM22" s="1280"/>
      <c r="TUN22" s="1280"/>
      <c r="TUO22" s="1280"/>
      <c r="TUP22" s="1280"/>
      <c r="TUQ22" s="1280"/>
      <c r="TUR22" s="1280"/>
      <c r="TUS22" s="1280"/>
      <c r="TUT22" s="1280"/>
      <c r="TUU22" s="1280"/>
      <c r="TUV22" s="1280"/>
      <c r="TUW22" s="1280"/>
      <c r="TUX22" s="1280"/>
      <c r="TUY22" s="1280"/>
      <c r="TUZ22" s="1280"/>
      <c r="TVA22" s="1280"/>
      <c r="TVB22" s="1280"/>
      <c r="TVC22" s="1280"/>
      <c r="TVD22" s="1280"/>
      <c r="TVE22" s="1280"/>
      <c r="TVF22" s="1280"/>
      <c r="TVG22" s="1280"/>
      <c r="TVH22" s="1280"/>
      <c r="TVI22" s="1280"/>
      <c r="TVJ22" s="1280"/>
      <c r="TVK22" s="1280"/>
      <c r="TVL22" s="1280"/>
      <c r="TVM22" s="1280"/>
      <c r="TVN22" s="1280"/>
      <c r="TVO22" s="1280"/>
      <c r="TVP22" s="1280"/>
      <c r="TVQ22" s="1280"/>
      <c r="TVR22" s="1280"/>
      <c r="TVS22" s="1280"/>
      <c r="TVT22" s="1280"/>
      <c r="TVU22" s="1280"/>
      <c r="TVV22" s="1280"/>
      <c r="TVW22" s="1280"/>
      <c r="TVX22" s="1280"/>
      <c r="TVY22" s="1280"/>
      <c r="TVZ22" s="1280"/>
      <c r="TWA22" s="1280"/>
      <c r="TWB22" s="1280"/>
      <c r="TWC22" s="1280"/>
      <c r="TWD22" s="1280"/>
      <c r="TWE22" s="1280"/>
      <c r="TWF22" s="1280"/>
      <c r="TWG22" s="1280"/>
      <c r="TWH22" s="1280"/>
      <c r="TWI22" s="1280"/>
      <c r="TWJ22" s="1280"/>
      <c r="TWK22" s="1280"/>
      <c r="TWL22" s="1280"/>
      <c r="TWM22" s="1280"/>
      <c r="TWN22" s="1280"/>
      <c r="TWO22" s="1280"/>
      <c r="TWP22" s="1280"/>
      <c r="TWQ22" s="1280"/>
      <c r="TWR22" s="1280"/>
      <c r="TWS22" s="1280"/>
      <c r="TWT22" s="1280"/>
      <c r="TWU22" s="1280"/>
      <c r="TWV22" s="1280"/>
      <c r="TWW22" s="1280"/>
      <c r="TWX22" s="1280"/>
      <c r="TWY22" s="1280"/>
      <c r="TWZ22" s="1280"/>
      <c r="TXA22" s="1280"/>
      <c r="TXB22" s="1280"/>
      <c r="TXC22" s="1280"/>
      <c r="TXD22" s="1280"/>
      <c r="TXE22" s="1280"/>
      <c r="TXF22" s="1280"/>
      <c r="TXG22" s="1280"/>
      <c r="TXH22" s="1280"/>
      <c r="TXI22" s="1280"/>
      <c r="TXJ22" s="1280"/>
      <c r="TXK22" s="1280"/>
      <c r="TXL22" s="1280"/>
      <c r="TXM22" s="1280"/>
      <c r="TXN22" s="1280"/>
      <c r="TXO22" s="1280"/>
      <c r="TXP22" s="1280"/>
      <c r="TXQ22" s="1280"/>
      <c r="TXR22" s="1280"/>
      <c r="TXS22" s="1280"/>
      <c r="TXT22" s="1280"/>
      <c r="TXU22" s="1280"/>
      <c r="TXV22" s="1280"/>
      <c r="TXW22" s="1280"/>
      <c r="TXX22" s="1280"/>
      <c r="TXY22" s="1280"/>
      <c r="TXZ22" s="1280"/>
      <c r="TYA22" s="1280"/>
      <c r="TYB22" s="1280"/>
      <c r="TYC22" s="1280"/>
      <c r="TYD22" s="1280"/>
      <c r="TYE22" s="1280"/>
      <c r="TYF22" s="1280"/>
      <c r="TYG22" s="1280"/>
      <c r="TYH22" s="1280"/>
      <c r="TYI22" s="1280"/>
      <c r="TYJ22" s="1280"/>
      <c r="TYK22" s="1280"/>
      <c r="TYL22" s="1280"/>
      <c r="TYM22" s="1280"/>
      <c r="TYN22" s="1280"/>
      <c r="TYO22" s="1280"/>
      <c r="TYP22" s="1280"/>
      <c r="TYQ22" s="1280"/>
      <c r="TYR22" s="1280"/>
      <c r="TYS22" s="1280"/>
      <c r="TYT22" s="1280"/>
      <c r="TYU22" s="1280"/>
      <c r="TYV22" s="1280"/>
      <c r="TYW22" s="1280"/>
      <c r="TYX22" s="1280"/>
      <c r="TYY22" s="1280"/>
      <c r="TYZ22" s="1280"/>
      <c r="TZA22" s="1280"/>
      <c r="TZB22" s="1280"/>
      <c r="TZC22" s="1280"/>
      <c r="TZD22" s="1280"/>
      <c r="TZE22" s="1280"/>
      <c r="TZF22" s="1280"/>
      <c r="TZG22" s="1280"/>
      <c r="TZH22" s="1280"/>
      <c r="TZI22" s="1280"/>
      <c r="TZJ22" s="1280"/>
      <c r="TZK22" s="1280"/>
      <c r="TZL22" s="1280"/>
      <c r="TZM22" s="1280"/>
      <c r="TZN22" s="1280"/>
      <c r="TZO22" s="1280"/>
      <c r="TZP22" s="1280"/>
      <c r="TZQ22" s="1280"/>
      <c r="TZR22" s="1280"/>
      <c r="TZS22" s="1280"/>
      <c r="TZT22" s="1280"/>
      <c r="TZU22" s="1280"/>
      <c r="TZV22" s="1280"/>
      <c r="TZW22" s="1280"/>
      <c r="TZX22" s="1280"/>
      <c r="TZY22" s="1280"/>
      <c r="TZZ22" s="1280"/>
      <c r="UAA22" s="1280"/>
      <c r="UAB22" s="1280"/>
      <c r="UAC22" s="1280"/>
      <c r="UAD22" s="1280"/>
      <c r="UAE22" s="1280"/>
      <c r="UAF22" s="1280"/>
      <c r="UAG22" s="1280"/>
      <c r="UAH22" s="1280"/>
      <c r="UAI22" s="1280"/>
      <c r="UAJ22" s="1280"/>
      <c r="UAK22" s="1280"/>
      <c r="UAL22" s="1280"/>
      <c r="UAM22" s="1280"/>
      <c r="UAN22" s="1280"/>
      <c r="UAO22" s="1280"/>
      <c r="UAP22" s="1280"/>
      <c r="UAQ22" s="1280"/>
      <c r="UAR22" s="1280"/>
      <c r="UAS22" s="1280"/>
      <c r="UAT22" s="1280"/>
      <c r="UAU22" s="1280"/>
      <c r="UAV22" s="1280"/>
      <c r="UAW22" s="1280"/>
      <c r="UAX22" s="1280"/>
      <c r="UAY22" s="1280"/>
      <c r="UAZ22" s="1280"/>
      <c r="UBA22" s="1280"/>
      <c r="UBB22" s="1280"/>
      <c r="UBC22" s="1280"/>
      <c r="UBD22" s="1280"/>
      <c r="UBE22" s="1280"/>
      <c r="UBF22" s="1280"/>
      <c r="UBG22" s="1280"/>
      <c r="UBH22" s="1280"/>
      <c r="UBI22" s="1280"/>
      <c r="UBJ22" s="1280"/>
      <c r="UBK22" s="1280"/>
      <c r="UBL22" s="1280"/>
      <c r="UBM22" s="1280"/>
      <c r="UBN22" s="1280"/>
      <c r="UBO22" s="1280"/>
      <c r="UBP22" s="1280"/>
      <c r="UBQ22" s="1280"/>
      <c r="UBR22" s="1280"/>
      <c r="UBS22" s="1280"/>
      <c r="UBT22" s="1280"/>
      <c r="UBU22" s="1280"/>
      <c r="UBV22" s="1280"/>
      <c r="UBW22" s="1280"/>
      <c r="UBX22" s="1280"/>
      <c r="UBY22" s="1280"/>
      <c r="UBZ22" s="1280"/>
      <c r="UCA22" s="1280"/>
      <c r="UCB22" s="1280"/>
      <c r="UCC22" s="1280"/>
      <c r="UCD22" s="1280"/>
      <c r="UCE22" s="1280"/>
      <c r="UCF22" s="1280"/>
      <c r="UCG22" s="1280"/>
      <c r="UCH22" s="1280"/>
      <c r="UCI22" s="1280"/>
      <c r="UCJ22" s="1280"/>
      <c r="UCK22" s="1280"/>
      <c r="UCL22" s="1280"/>
      <c r="UCM22" s="1280"/>
      <c r="UCN22" s="1280"/>
      <c r="UCO22" s="1280"/>
      <c r="UCP22" s="1280"/>
      <c r="UCQ22" s="1280"/>
      <c r="UCR22" s="1280"/>
      <c r="UCS22" s="1280"/>
      <c r="UCT22" s="1280"/>
      <c r="UCU22" s="1280"/>
      <c r="UCV22" s="1280"/>
      <c r="UCW22" s="1280"/>
      <c r="UCX22" s="1280"/>
      <c r="UCY22" s="1280"/>
      <c r="UCZ22" s="1280"/>
      <c r="UDA22" s="1280"/>
      <c r="UDB22" s="1280"/>
      <c r="UDC22" s="1280"/>
      <c r="UDD22" s="1280"/>
      <c r="UDE22" s="1280"/>
      <c r="UDF22" s="1280"/>
      <c r="UDG22" s="1280"/>
      <c r="UDH22" s="1280"/>
      <c r="UDI22" s="1280"/>
      <c r="UDJ22" s="1280"/>
      <c r="UDK22" s="1280"/>
      <c r="UDL22" s="1280"/>
      <c r="UDM22" s="1280"/>
      <c r="UDN22" s="1280"/>
      <c r="UDO22" s="1280"/>
      <c r="UDP22" s="1280"/>
      <c r="UDQ22" s="1280"/>
      <c r="UDR22" s="1280"/>
      <c r="UDS22" s="1280"/>
      <c r="UDT22" s="1280"/>
      <c r="UDU22" s="1280"/>
      <c r="UDV22" s="1280"/>
      <c r="UDW22" s="1280"/>
      <c r="UDX22" s="1280"/>
      <c r="UDY22" s="1280"/>
      <c r="UDZ22" s="1280"/>
      <c r="UEA22" s="1280"/>
      <c r="UEB22" s="1280"/>
      <c r="UEC22" s="1280"/>
      <c r="UED22" s="1280"/>
      <c r="UEE22" s="1280"/>
      <c r="UEF22" s="1280"/>
      <c r="UEG22" s="1280"/>
      <c r="UEH22" s="1280"/>
      <c r="UEI22" s="1280"/>
      <c r="UEJ22" s="1280"/>
      <c r="UEK22" s="1280"/>
      <c r="UEL22" s="1280"/>
      <c r="UEM22" s="1280"/>
      <c r="UEN22" s="1280"/>
      <c r="UEO22" s="1280"/>
      <c r="UEP22" s="1280"/>
      <c r="UEQ22" s="1280"/>
      <c r="UER22" s="1280"/>
      <c r="UES22" s="1280"/>
      <c r="UET22" s="1280"/>
      <c r="UEU22" s="1280"/>
      <c r="UEV22" s="1280"/>
      <c r="UEW22" s="1280"/>
      <c r="UEX22" s="1280"/>
      <c r="UEY22" s="1280"/>
      <c r="UEZ22" s="1280"/>
      <c r="UFA22" s="1280"/>
      <c r="UFB22" s="1280"/>
      <c r="UFC22" s="1280"/>
      <c r="UFD22" s="1280"/>
      <c r="UFE22" s="1280"/>
      <c r="UFF22" s="1280"/>
      <c r="UFG22" s="1280"/>
      <c r="UFH22" s="1280"/>
      <c r="UFI22" s="1280"/>
      <c r="UFJ22" s="1280"/>
      <c r="UFK22" s="1280"/>
      <c r="UFL22" s="1280"/>
      <c r="UFM22" s="1280"/>
      <c r="UFN22" s="1280"/>
      <c r="UFO22" s="1280"/>
      <c r="UFP22" s="1280"/>
      <c r="UFQ22" s="1280"/>
      <c r="UFR22" s="1280"/>
      <c r="UFS22" s="1280"/>
      <c r="UFT22" s="1280"/>
      <c r="UFU22" s="1280"/>
      <c r="UFV22" s="1280"/>
      <c r="UFW22" s="1280"/>
      <c r="UFX22" s="1280"/>
      <c r="UFY22" s="1280"/>
      <c r="UFZ22" s="1280"/>
      <c r="UGA22" s="1280"/>
      <c r="UGB22" s="1280"/>
      <c r="UGC22" s="1280"/>
      <c r="UGD22" s="1280"/>
      <c r="UGE22" s="1280"/>
      <c r="UGF22" s="1280"/>
      <c r="UGG22" s="1280"/>
      <c r="UGH22" s="1280"/>
      <c r="UGI22" s="1280"/>
      <c r="UGJ22" s="1280"/>
      <c r="UGK22" s="1280"/>
      <c r="UGL22" s="1280"/>
      <c r="UGM22" s="1280"/>
      <c r="UGN22" s="1280"/>
      <c r="UGO22" s="1280"/>
      <c r="UGP22" s="1280"/>
      <c r="UGQ22" s="1280"/>
      <c r="UGR22" s="1280"/>
      <c r="UGS22" s="1280"/>
      <c r="UGT22" s="1280"/>
      <c r="UGU22" s="1280"/>
      <c r="UGV22" s="1280"/>
      <c r="UGW22" s="1280"/>
      <c r="UGX22" s="1280"/>
      <c r="UGY22" s="1280"/>
      <c r="UGZ22" s="1280"/>
      <c r="UHA22" s="1280"/>
      <c r="UHB22" s="1280"/>
      <c r="UHC22" s="1280"/>
      <c r="UHD22" s="1280"/>
      <c r="UHE22" s="1280"/>
      <c r="UHF22" s="1280"/>
      <c r="UHG22" s="1280"/>
      <c r="UHH22" s="1280"/>
      <c r="UHI22" s="1280"/>
      <c r="UHJ22" s="1280"/>
      <c r="UHK22" s="1280"/>
      <c r="UHL22" s="1280"/>
      <c r="UHM22" s="1280"/>
      <c r="UHN22" s="1280"/>
      <c r="UHO22" s="1280"/>
      <c r="UHP22" s="1280"/>
      <c r="UHQ22" s="1280"/>
      <c r="UHR22" s="1280"/>
      <c r="UHS22" s="1280"/>
      <c r="UHT22" s="1280"/>
      <c r="UHU22" s="1280"/>
      <c r="UHV22" s="1280"/>
      <c r="UHW22" s="1280"/>
      <c r="UHX22" s="1280"/>
      <c r="UHY22" s="1280"/>
      <c r="UHZ22" s="1280"/>
      <c r="UIA22" s="1280"/>
      <c r="UIB22" s="1280"/>
      <c r="UIC22" s="1280"/>
      <c r="UID22" s="1280"/>
      <c r="UIE22" s="1280"/>
      <c r="UIF22" s="1280"/>
      <c r="UIG22" s="1280"/>
      <c r="UIH22" s="1280"/>
      <c r="UII22" s="1280"/>
      <c r="UIJ22" s="1280"/>
      <c r="UIK22" s="1280"/>
      <c r="UIL22" s="1280"/>
      <c r="UIM22" s="1280"/>
      <c r="UIN22" s="1280"/>
      <c r="UIO22" s="1280"/>
      <c r="UIP22" s="1280"/>
      <c r="UIQ22" s="1280"/>
      <c r="UIR22" s="1280"/>
      <c r="UIS22" s="1280"/>
      <c r="UIT22" s="1280"/>
      <c r="UIU22" s="1280"/>
      <c r="UIV22" s="1280"/>
      <c r="UIW22" s="1280"/>
      <c r="UIX22" s="1280"/>
      <c r="UIY22" s="1280"/>
      <c r="UIZ22" s="1280"/>
      <c r="UJA22" s="1280"/>
      <c r="UJB22" s="1280"/>
      <c r="UJC22" s="1280"/>
      <c r="UJD22" s="1280"/>
      <c r="UJE22" s="1280"/>
      <c r="UJF22" s="1280"/>
      <c r="UJG22" s="1280"/>
      <c r="UJH22" s="1280"/>
      <c r="UJI22" s="1280"/>
      <c r="UJJ22" s="1280"/>
      <c r="UJK22" s="1280"/>
      <c r="UJL22" s="1280"/>
      <c r="UJM22" s="1280"/>
      <c r="UJN22" s="1280"/>
      <c r="UJO22" s="1280"/>
      <c r="UJP22" s="1280"/>
      <c r="UJQ22" s="1280"/>
      <c r="UJR22" s="1280"/>
      <c r="UJS22" s="1280"/>
      <c r="UJT22" s="1280"/>
      <c r="UJU22" s="1280"/>
      <c r="UJV22" s="1280"/>
      <c r="UJW22" s="1280"/>
      <c r="UJX22" s="1280"/>
      <c r="UJY22" s="1280"/>
      <c r="UJZ22" s="1280"/>
      <c r="UKA22" s="1280"/>
      <c r="UKB22" s="1280"/>
      <c r="UKC22" s="1280"/>
      <c r="UKD22" s="1280"/>
      <c r="UKE22" s="1280"/>
      <c r="UKF22" s="1280"/>
      <c r="UKG22" s="1280"/>
      <c r="UKH22" s="1280"/>
      <c r="UKI22" s="1280"/>
      <c r="UKJ22" s="1280"/>
      <c r="UKK22" s="1280"/>
      <c r="UKL22" s="1280"/>
      <c r="UKM22" s="1280"/>
      <c r="UKN22" s="1280"/>
      <c r="UKO22" s="1280"/>
      <c r="UKP22" s="1280"/>
      <c r="UKQ22" s="1280"/>
      <c r="UKR22" s="1280"/>
      <c r="UKS22" s="1280"/>
      <c r="UKT22" s="1280"/>
      <c r="UKU22" s="1280"/>
      <c r="UKV22" s="1280"/>
      <c r="UKW22" s="1280"/>
      <c r="UKX22" s="1280"/>
      <c r="UKY22" s="1280"/>
      <c r="UKZ22" s="1280"/>
      <c r="ULA22" s="1280"/>
      <c r="ULB22" s="1280"/>
      <c r="ULC22" s="1280"/>
      <c r="ULD22" s="1280"/>
      <c r="ULE22" s="1280"/>
      <c r="ULF22" s="1280"/>
      <c r="ULG22" s="1280"/>
      <c r="ULH22" s="1280"/>
      <c r="ULI22" s="1280"/>
      <c r="ULJ22" s="1280"/>
      <c r="ULK22" s="1280"/>
      <c r="ULL22" s="1280"/>
      <c r="ULM22" s="1280"/>
      <c r="ULN22" s="1280"/>
      <c r="ULO22" s="1280"/>
      <c r="ULP22" s="1280"/>
      <c r="ULQ22" s="1280"/>
      <c r="ULR22" s="1280"/>
      <c r="ULS22" s="1280"/>
      <c r="ULT22" s="1280"/>
      <c r="ULU22" s="1280"/>
      <c r="ULV22" s="1280"/>
      <c r="ULW22" s="1280"/>
      <c r="ULX22" s="1280"/>
      <c r="ULY22" s="1280"/>
      <c r="ULZ22" s="1280"/>
      <c r="UMA22" s="1280"/>
      <c r="UMB22" s="1280"/>
      <c r="UMC22" s="1280"/>
      <c r="UMD22" s="1280"/>
      <c r="UME22" s="1280"/>
      <c r="UMF22" s="1280"/>
      <c r="UMG22" s="1280"/>
      <c r="UMH22" s="1280"/>
      <c r="UMI22" s="1280"/>
      <c r="UMJ22" s="1280"/>
      <c r="UMK22" s="1280"/>
      <c r="UML22" s="1280"/>
      <c r="UMM22" s="1280"/>
      <c r="UMN22" s="1280"/>
      <c r="UMO22" s="1280"/>
      <c r="UMP22" s="1280"/>
      <c r="UMQ22" s="1280"/>
      <c r="UMR22" s="1280"/>
      <c r="UMS22" s="1280"/>
      <c r="UMT22" s="1280"/>
      <c r="UMU22" s="1280"/>
      <c r="UMV22" s="1280"/>
      <c r="UMW22" s="1280"/>
      <c r="UMX22" s="1280"/>
      <c r="UMY22" s="1280"/>
      <c r="UMZ22" s="1280"/>
      <c r="UNA22" s="1280"/>
      <c r="UNB22" s="1280"/>
      <c r="UNC22" s="1280"/>
      <c r="UND22" s="1280"/>
      <c r="UNE22" s="1280"/>
      <c r="UNF22" s="1280"/>
      <c r="UNG22" s="1280"/>
      <c r="UNH22" s="1280"/>
      <c r="UNI22" s="1280"/>
      <c r="UNJ22" s="1280"/>
      <c r="UNK22" s="1280"/>
      <c r="UNL22" s="1280"/>
      <c r="UNM22" s="1280"/>
      <c r="UNN22" s="1280"/>
      <c r="UNO22" s="1280"/>
      <c r="UNP22" s="1280"/>
      <c r="UNQ22" s="1280"/>
      <c r="UNR22" s="1280"/>
      <c r="UNS22" s="1280"/>
      <c r="UNT22" s="1280"/>
      <c r="UNU22" s="1280"/>
      <c r="UNV22" s="1280"/>
      <c r="UNW22" s="1280"/>
      <c r="UNX22" s="1280"/>
      <c r="UNY22" s="1280"/>
      <c r="UNZ22" s="1280"/>
      <c r="UOA22" s="1280"/>
      <c r="UOB22" s="1280"/>
      <c r="UOC22" s="1280"/>
      <c r="UOD22" s="1280"/>
      <c r="UOE22" s="1280"/>
      <c r="UOF22" s="1280"/>
      <c r="UOG22" s="1280"/>
      <c r="UOH22" s="1280"/>
      <c r="UOI22" s="1280"/>
      <c r="UOJ22" s="1280"/>
      <c r="UOK22" s="1280"/>
      <c r="UOL22" s="1280"/>
      <c r="UOM22" s="1280"/>
      <c r="UON22" s="1280"/>
      <c r="UOO22" s="1280"/>
      <c r="UOP22" s="1280"/>
      <c r="UOQ22" s="1280"/>
      <c r="UOR22" s="1280"/>
      <c r="UOS22" s="1280"/>
      <c r="UOT22" s="1280"/>
      <c r="UOU22" s="1280"/>
      <c r="UOV22" s="1280"/>
      <c r="UOW22" s="1280"/>
      <c r="UOX22" s="1280"/>
      <c r="UOY22" s="1280"/>
      <c r="UOZ22" s="1280"/>
      <c r="UPA22" s="1280"/>
      <c r="UPB22" s="1280"/>
      <c r="UPC22" s="1280"/>
      <c r="UPD22" s="1280"/>
      <c r="UPE22" s="1280"/>
      <c r="UPF22" s="1280"/>
      <c r="UPG22" s="1280"/>
      <c r="UPH22" s="1280"/>
      <c r="UPI22" s="1280"/>
      <c r="UPJ22" s="1280"/>
      <c r="UPK22" s="1280"/>
      <c r="UPL22" s="1280"/>
      <c r="UPM22" s="1280"/>
      <c r="UPN22" s="1280"/>
      <c r="UPO22" s="1280"/>
      <c r="UPP22" s="1280"/>
      <c r="UPQ22" s="1280"/>
      <c r="UPR22" s="1280"/>
      <c r="UPS22" s="1280"/>
      <c r="UPT22" s="1280"/>
      <c r="UPU22" s="1280"/>
      <c r="UPV22" s="1280"/>
      <c r="UPW22" s="1280"/>
      <c r="UPX22" s="1280"/>
      <c r="UPY22" s="1280"/>
      <c r="UPZ22" s="1280"/>
      <c r="UQA22" s="1280"/>
      <c r="UQB22" s="1280"/>
      <c r="UQC22" s="1280"/>
      <c r="UQD22" s="1280"/>
      <c r="UQE22" s="1280"/>
      <c r="UQF22" s="1280"/>
      <c r="UQG22" s="1280"/>
      <c r="UQH22" s="1280"/>
      <c r="UQI22" s="1280"/>
      <c r="UQJ22" s="1280"/>
      <c r="UQK22" s="1280"/>
      <c r="UQL22" s="1280"/>
      <c r="UQM22" s="1280"/>
      <c r="UQN22" s="1280"/>
      <c r="UQO22" s="1280"/>
      <c r="UQP22" s="1280"/>
      <c r="UQQ22" s="1280"/>
      <c r="UQR22" s="1280"/>
      <c r="UQS22" s="1280"/>
      <c r="UQT22" s="1280"/>
      <c r="UQU22" s="1280"/>
      <c r="UQV22" s="1280"/>
      <c r="UQW22" s="1280"/>
      <c r="UQX22" s="1280"/>
      <c r="UQY22" s="1280"/>
      <c r="UQZ22" s="1280"/>
      <c r="URA22" s="1280"/>
      <c r="URB22" s="1280"/>
      <c r="URC22" s="1280"/>
      <c r="URD22" s="1280"/>
      <c r="URE22" s="1280"/>
      <c r="URF22" s="1280"/>
      <c r="URG22" s="1280"/>
      <c r="URH22" s="1280"/>
      <c r="URI22" s="1280"/>
      <c r="URJ22" s="1280"/>
      <c r="URK22" s="1280"/>
      <c r="URL22" s="1280"/>
      <c r="URM22" s="1280"/>
      <c r="URN22" s="1280"/>
      <c r="URO22" s="1280"/>
      <c r="URP22" s="1280"/>
      <c r="URQ22" s="1280"/>
      <c r="URR22" s="1280"/>
      <c r="URS22" s="1280"/>
      <c r="URT22" s="1280"/>
      <c r="URU22" s="1280"/>
      <c r="URV22" s="1280"/>
      <c r="URW22" s="1280"/>
      <c r="URX22" s="1280"/>
      <c r="URY22" s="1280"/>
      <c r="URZ22" s="1280"/>
      <c r="USA22" s="1280"/>
      <c r="USB22" s="1280"/>
      <c r="USC22" s="1280"/>
      <c r="USD22" s="1280"/>
      <c r="USE22" s="1280"/>
      <c r="USF22" s="1280"/>
      <c r="USG22" s="1280"/>
      <c r="USH22" s="1280"/>
      <c r="USI22" s="1280"/>
      <c r="USJ22" s="1280"/>
      <c r="USK22" s="1280"/>
      <c r="USL22" s="1280"/>
      <c r="USM22" s="1280"/>
      <c r="USN22" s="1280"/>
      <c r="USO22" s="1280"/>
      <c r="USP22" s="1280"/>
      <c r="USQ22" s="1280"/>
      <c r="USR22" s="1280"/>
      <c r="USS22" s="1280"/>
      <c r="UST22" s="1280"/>
      <c r="USU22" s="1280"/>
      <c r="USV22" s="1280"/>
      <c r="USW22" s="1280"/>
      <c r="USX22" s="1280"/>
      <c r="USY22" s="1280"/>
      <c r="USZ22" s="1280"/>
      <c r="UTA22" s="1280"/>
      <c r="UTB22" s="1280"/>
      <c r="UTC22" s="1280"/>
      <c r="UTD22" s="1280"/>
      <c r="UTE22" s="1280"/>
      <c r="UTF22" s="1280"/>
      <c r="UTG22" s="1280"/>
      <c r="UTH22" s="1280"/>
      <c r="UTI22" s="1280"/>
      <c r="UTJ22" s="1280"/>
      <c r="UTK22" s="1280"/>
      <c r="UTL22" s="1280"/>
      <c r="UTM22" s="1280"/>
      <c r="UTN22" s="1280"/>
      <c r="UTO22" s="1280"/>
      <c r="UTP22" s="1280"/>
      <c r="UTQ22" s="1280"/>
      <c r="UTR22" s="1280"/>
      <c r="UTS22" s="1280"/>
      <c r="UTT22" s="1280"/>
      <c r="UTU22" s="1280"/>
      <c r="UTV22" s="1280"/>
      <c r="UTW22" s="1280"/>
      <c r="UTX22" s="1280"/>
      <c r="UTY22" s="1280"/>
      <c r="UTZ22" s="1280"/>
      <c r="UUA22" s="1280"/>
      <c r="UUB22" s="1280"/>
      <c r="UUC22" s="1280"/>
      <c r="UUD22" s="1280"/>
      <c r="UUE22" s="1280"/>
      <c r="UUF22" s="1280"/>
      <c r="UUG22" s="1280"/>
      <c r="UUH22" s="1280"/>
      <c r="UUI22" s="1280"/>
      <c r="UUJ22" s="1280"/>
      <c r="UUK22" s="1280"/>
      <c r="UUL22" s="1280"/>
      <c r="UUM22" s="1280"/>
      <c r="UUN22" s="1280"/>
      <c r="UUO22" s="1280"/>
      <c r="UUP22" s="1280"/>
      <c r="UUQ22" s="1280"/>
      <c r="UUR22" s="1280"/>
      <c r="UUS22" s="1280"/>
      <c r="UUT22" s="1280"/>
      <c r="UUU22" s="1280"/>
      <c r="UUV22" s="1280"/>
      <c r="UUW22" s="1280"/>
      <c r="UUX22" s="1280"/>
      <c r="UUY22" s="1280"/>
      <c r="UUZ22" s="1280"/>
      <c r="UVA22" s="1280"/>
      <c r="UVB22" s="1280"/>
      <c r="UVC22" s="1280"/>
      <c r="UVD22" s="1280"/>
      <c r="UVE22" s="1280"/>
      <c r="UVF22" s="1280"/>
      <c r="UVG22" s="1280"/>
      <c r="UVH22" s="1280"/>
      <c r="UVI22" s="1280"/>
      <c r="UVJ22" s="1280"/>
      <c r="UVK22" s="1280"/>
      <c r="UVL22" s="1280"/>
      <c r="UVM22" s="1280"/>
      <c r="UVN22" s="1280"/>
      <c r="UVO22" s="1280"/>
      <c r="UVP22" s="1280"/>
      <c r="UVQ22" s="1280"/>
      <c r="UVR22" s="1280"/>
      <c r="UVS22" s="1280"/>
      <c r="UVT22" s="1280"/>
      <c r="UVU22" s="1280"/>
      <c r="UVV22" s="1280"/>
      <c r="UVW22" s="1280"/>
      <c r="UVX22" s="1280"/>
      <c r="UVY22" s="1280"/>
      <c r="UVZ22" s="1280"/>
      <c r="UWA22" s="1280"/>
      <c r="UWB22" s="1280"/>
      <c r="UWC22" s="1280"/>
      <c r="UWD22" s="1280"/>
      <c r="UWE22" s="1280"/>
      <c r="UWF22" s="1280"/>
      <c r="UWG22" s="1280"/>
      <c r="UWH22" s="1280"/>
      <c r="UWI22" s="1280"/>
      <c r="UWJ22" s="1280"/>
      <c r="UWK22" s="1280"/>
      <c r="UWL22" s="1280"/>
      <c r="UWM22" s="1280"/>
      <c r="UWN22" s="1280"/>
      <c r="UWO22" s="1280"/>
      <c r="UWP22" s="1280"/>
      <c r="UWQ22" s="1280"/>
      <c r="UWR22" s="1280"/>
      <c r="UWS22" s="1280"/>
      <c r="UWT22" s="1280"/>
      <c r="UWU22" s="1280"/>
      <c r="UWV22" s="1280"/>
      <c r="UWW22" s="1280"/>
      <c r="UWX22" s="1280"/>
      <c r="UWY22" s="1280"/>
      <c r="UWZ22" s="1280"/>
      <c r="UXA22" s="1280"/>
      <c r="UXB22" s="1280"/>
      <c r="UXC22" s="1280"/>
      <c r="UXD22" s="1280"/>
      <c r="UXE22" s="1280"/>
      <c r="UXF22" s="1280"/>
      <c r="UXG22" s="1280"/>
      <c r="UXH22" s="1280"/>
      <c r="UXI22" s="1280"/>
      <c r="UXJ22" s="1280"/>
      <c r="UXK22" s="1280"/>
      <c r="UXL22" s="1280"/>
      <c r="UXM22" s="1280"/>
      <c r="UXN22" s="1280"/>
      <c r="UXO22" s="1280"/>
      <c r="UXP22" s="1280"/>
      <c r="UXQ22" s="1280"/>
      <c r="UXR22" s="1280"/>
      <c r="UXS22" s="1280"/>
      <c r="UXT22" s="1280"/>
      <c r="UXU22" s="1280"/>
      <c r="UXV22" s="1280"/>
      <c r="UXW22" s="1280"/>
      <c r="UXX22" s="1280"/>
      <c r="UXY22" s="1280"/>
      <c r="UXZ22" s="1280"/>
      <c r="UYA22" s="1280"/>
      <c r="UYB22" s="1280"/>
      <c r="UYC22" s="1280"/>
      <c r="UYD22" s="1280"/>
      <c r="UYE22" s="1280"/>
      <c r="UYF22" s="1280"/>
      <c r="UYG22" s="1280"/>
      <c r="UYH22" s="1280"/>
      <c r="UYI22" s="1280"/>
      <c r="UYJ22" s="1280"/>
      <c r="UYK22" s="1280"/>
      <c r="UYL22" s="1280"/>
      <c r="UYM22" s="1280"/>
      <c r="UYN22" s="1280"/>
      <c r="UYO22" s="1280"/>
      <c r="UYP22" s="1280"/>
      <c r="UYQ22" s="1280"/>
      <c r="UYR22" s="1280"/>
      <c r="UYS22" s="1280"/>
      <c r="UYT22" s="1280"/>
      <c r="UYU22" s="1280"/>
      <c r="UYV22" s="1280"/>
      <c r="UYW22" s="1280"/>
      <c r="UYX22" s="1280"/>
      <c r="UYY22" s="1280"/>
      <c r="UYZ22" s="1280"/>
      <c r="UZA22" s="1280"/>
      <c r="UZB22" s="1280"/>
      <c r="UZC22" s="1280"/>
      <c r="UZD22" s="1280"/>
      <c r="UZE22" s="1280"/>
      <c r="UZF22" s="1280"/>
      <c r="UZG22" s="1280"/>
      <c r="UZH22" s="1280"/>
      <c r="UZI22" s="1280"/>
      <c r="UZJ22" s="1280"/>
      <c r="UZK22" s="1280"/>
      <c r="UZL22" s="1280"/>
      <c r="UZM22" s="1280"/>
      <c r="UZN22" s="1280"/>
      <c r="UZO22" s="1280"/>
      <c r="UZP22" s="1280"/>
      <c r="UZQ22" s="1280"/>
      <c r="UZR22" s="1280"/>
      <c r="UZS22" s="1280"/>
      <c r="UZT22" s="1280"/>
      <c r="UZU22" s="1280"/>
      <c r="UZV22" s="1280"/>
      <c r="UZW22" s="1280"/>
      <c r="UZX22" s="1280"/>
      <c r="UZY22" s="1280"/>
      <c r="UZZ22" s="1280"/>
      <c r="VAA22" s="1280"/>
      <c r="VAB22" s="1280"/>
      <c r="VAC22" s="1280"/>
      <c r="VAD22" s="1280"/>
      <c r="VAE22" s="1280"/>
      <c r="VAF22" s="1280"/>
      <c r="VAG22" s="1280"/>
      <c r="VAH22" s="1280"/>
      <c r="VAI22" s="1280"/>
      <c r="VAJ22" s="1280"/>
      <c r="VAK22" s="1280"/>
      <c r="VAL22" s="1280"/>
      <c r="VAM22" s="1280"/>
      <c r="VAN22" s="1280"/>
      <c r="VAO22" s="1280"/>
      <c r="VAP22" s="1280"/>
      <c r="VAQ22" s="1280"/>
      <c r="VAR22" s="1280"/>
      <c r="VAS22" s="1280"/>
      <c r="VAT22" s="1280"/>
      <c r="VAU22" s="1280"/>
      <c r="VAV22" s="1280"/>
      <c r="VAW22" s="1280"/>
      <c r="VAX22" s="1280"/>
      <c r="VAY22" s="1280"/>
      <c r="VAZ22" s="1280"/>
      <c r="VBA22" s="1280"/>
      <c r="VBB22" s="1280"/>
      <c r="VBC22" s="1280"/>
      <c r="VBD22" s="1280"/>
      <c r="VBE22" s="1280"/>
      <c r="VBF22" s="1280"/>
      <c r="VBG22" s="1280"/>
      <c r="VBH22" s="1280"/>
      <c r="VBI22" s="1280"/>
      <c r="VBJ22" s="1280"/>
      <c r="VBK22" s="1280"/>
      <c r="VBL22" s="1280"/>
      <c r="VBM22" s="1280"/>
      <c r="VBN22" s="1280"/>
      <c r="VBO22" s="1280"/>
      <c r="VBP22" s="1280"/>
      <c r="VBQ22" s="1280"/>
      <c r="VBR22" s="1280"/>
      <c r="VBS22" s="1280"/>
      <c r="VBT22" s="1280"/>
      <c r="VBU22" s="1280"/>
      <c r="VBV22" s="1280"/>
      <c r="VBW22" s="1280"/>
      <c r="VBX22" s="1280"/>
      <c r="VBY22" s="1280"/>
      <c r="VBZ22" s="1280"/>
      <c r="VCA22" s="1280"/>
      <c r="VCB22" s="1280"/>
      <c r="VCC22" s="1280"/>
      <c r="VCD22" s="1280"/>
      <c r="VCE22" s="1280"/>
      <c r="VCF22" s="1280"/>
      <c r="VCG22" s="1280"/>
      <c r="VCH22" s="1280"/>
      <c r="VCI22" s="1280"/>
      <c r="VCJ22" s="1280"/>
      <c r="VCK22" s="1280"/>
      <c r="VCL22" s="1280"/>
      <c r="VCM22" s="1280"/>
      <c r="VCN22" s="1280"/>
      <c r="VCO22" s="1280"/>
      <c r="VCP22" s="1280"/>
      <c r="VCQ22" s="1280"/>
      <c r="VCR22" s="1280"/>
      <c r="VCS22" s="1280"/>
      <c r="VCT22" s="1280"/>
      <c r="VCU22" s="1280"/>
      <c r="VCV22" s="1280"/>
      <c r="VCW22" s="1280"/>
      <c r="VCX22" s="1280"/>
      <c r="VCY22" s="1280"/>
      <c r="VCZ22" s="1280"/>
      <c r="VDA22" s="1280"/>
      <c r="VDB22" s="1280"/>
      <c r="VDC22" s="1280"/>
      <c r="VDD22" s="1280"/>
      <c r="VDE22" s="1280"/>
      <c r="VDF22" s="1280"/>
      <c r="VDG22" s="1280"/>
      <c r="VDH22" s="1280"/>
      <c r="VDI22" s="1280"/>
      <c r="VDJ22" s="1280"/>
      <c r="VDK22" s="1280"/>
      <c r="VDL22" s="1280"/>
      <c r="VDM22" s="1280"/>
      <c r="VDN22" s="1280"/>
      <c r="VDO22" s="1280"/>
      <c r="VDP22" s="1280"/>
      <c r="VDQ22" s="1280"/>
      <c r="VDR22" s="1280"/>
      <c r="VDS22" s="1280"/>
      <c r="VDT22" s="1280"/>
      <c r="VDU22" s="1280"/>
      <c r="VDV22" s="1280"/>
      <c r="VDW22" s="1280"/>
      <c r="VDX22" s="1280"/>
      <c r="VDY22" s="1280"/>
      <c r="VDZ22" s="1280"/>
      <c r="VEA22" s="1280"/>
      <c r="VEB22" s="1280"/>
      <c r="VEC22" s="1280"/>
      <c r="VED22" s="1280"/>
      <c r="VEE22" s="1280"/>
      <c r="VEF22" s="1280"/>
      <c r="VEG22" s="1280"/>
      <c r="VEH22" s="1280"/>
      <c r="VEI22" s="1280"/>
      <c r="VEJ22" s="1280"/>
      <c r="VEK22" s="1280"/>
      <c r="VEL22" s="1280"/>
      <c r="VEM22" s="1280"/>
      <c r="VEN22" s="1280"/>
      <c r="VEO22" s="1280"/>
      <c r="VEP22" s="1280"/>
      <c r="VEQ22" s="1280"/>
      <c r="VER22" s="1280"/>
      <c r="VES22" s="1280"/>
      <c r="VET22" s="1280"/>
      <c r="VEU22" s="1280"/>
      <c r="VEV22" s="1280"/>
      <c r="VEW22" s="1280"/>
      <c r="VEX22" s="1280"/>
      <c r="VEY22" s="1280"/>
      <c r="VEZ22" s="1280"/>
      <c r="VFA22" s="1280"/>
      <c r="VFB22" s="1280"/>
      <c r="VFC22" s="1280"/>
      <c r="VFD22" s="1280"/>
      <c r="VFE22" s="1280"/>
      <c r="VFF22" s="1280"/>
      <c r="VFG22" s="1280"/>
      <c r="VFH22" s="1280"/>
      <c r="VFI22" s="1280"/>
      <c r="VFJ22" s="1280"/>
      <c r="VFK22" s="1280"/>
      <c r="VFL22" s="1280"/>
      <c r="VFM22" s="1280"/>
      <c r="VFN22" s="1280"/>
      <c r="VFO22" s="1280"/>
      <c r="VFP22" s="1280"/>
      <c r="VFQ22" s="1280"/>
      <c r="VFR22" s="1280"/>
      <c r="VFS22" s="1280"/>
      <c r="VFT22" s="1280"/>
      <c r="VFU22" s="1280"/>
      <c r="VFV22" s="1280"/>
      <c r="VFW22" s="1280"/>
      <c r="VFX22" s="1280"/>
      <c r="VFY22" s="1280"/>
      <c r="VFZ22" s="1280"/>
      <c r="VGA22" s="1280"/>
      <c r="VGB22" s="1280"/>
      <c r="VGC22" s="1280"/>
      <c r="VGD22" s="1280"/>
      <c r="VGE22" s="1280"/>
      <c r="VGF22" s="1280"/>
      <c r="VGG22" s="1280"/>
      <c r="VGH22" s="1280"/>
      <c r="VGI22" s="1280"/>
      <c r="VGJ22" s="1280"/>
      <c r="VGK22" s="1280"/>
      <c r="VGL22" s="1280"/>
      <c r="VGM22" s="1280"/>
      <c r="VGN22" s="1280"/>
      <c r="VGO22" s="1280"/>
      <c r="VGP22" s="1280"/>
      <c r="VGQ22" s="1280"/>
      <c r="VGR22" s="1280"/>
      <c r="VGS22" s="1280"/>
      <c r="VGT22" s="1280"/>
      <c r="VGU22" s="1280"/>
      <c r="VGV22" s="1280"/>
      <c r="VGW22" s="1280"/>
      <c r="VGX22" s="1280"/>
      <c r="VGY22" s="1280"/>
      <c r="VGZ22" s="1280"/>
      <c r="VHA22" s="1280"/>
      <c r="VHB22" s="1280"/>
      <c r="VHC22" s="1280"/>
      <c r="VHD22" s="1280"/>
      <c r="VHE22" s="1280"/>
      <c r="VHF22" s="1280"/>
      <c r="VHG22" s="1280"/>
      <c r="VHH22" s="1280"/>
      <c r="VHI22" s="1280"/>
      <c r="VHJ22" s="1280"/>
      <c r="VHK22" s="1280"/>
      <c r="VHL22" s="1280"/>
      <c r="VHM22" s="1280"/>
      <c r="VHN22" s="1280"/>
      <c r="VHO22" s="1280"/>
      <c r="VHP22" s="1280"/>
      <c r="VHQ22" s="1280"/>
      <c r="VHR22" s="1280"/>
      <c r="VHS22" s="1280"/>
      <c r="VHT22" s="1280"/>
      <c r="VHU22" s="1280"/>
      <c r="VHV22" s="1280"/>
      <c r="VHW22" s="1280"/>
      <c r="VHX22" s="1280"/>
      <c r="VHY22" s="1280"/>
      <c r="VHZ22" s="1280"/>
      <c r="VIA22" s="1280"/>
      <c r="VIB22" s="1280"/>
      <c r="VIC22" s="1280"/>
      <c r="VID22" s="1280"/>
      <c r="VIE22" s="1280"/>
      <c r="VIF22" s="1280"/>
      <c r="VIG22" s="1280"/>
      <c r="VIH22" s="1280"/>
      <c r="VII22" s="1280"/>
      <c r="VIJ22" s="1280"/>
      <c r="VIK22" s="1280"/>
      <c r="VIL22" s="1280"/>
      <c r="VIM22" s="1280"/>
      <c r="VIN22" s="1280"/>
      <c r="VIO22" s="1280"/>
      <c r="VIP22" s="1280"/>
      <c r="VIQ22" s="1280"/>
      <c r="VIR22" s="1280"/>
      <c r="VIS22" s="1280"/>
      <c r="VIT22" s="1280"/>
      <c r="VIU22" s="1280"/>
      <c r="VIV22" s="1280"/>
      <c r="VIW22" s="1280"/>
      <c r="VIX22" s="1280"/>
      <c r="VIY22" s="1280"/>
      <c r="VIZ22" s="1280"/>
      <c r="VJA22" s="1280"/>
      <c r="VJB22" s="1280"/>
      <c r="VJC22" s="1280"/>
      <c r="VJD22" s="1280"/>
      <c r="VJE22" s="1280"/>
      <c r="VJF22" s="1280"/>
      <c r="VJG22" s="1280"/>
      <c r="VJH22" s="1280"/>
      <c r="VJI22" s="1280"/>
      <c r="VJJ22" s="1280"/>
      <c r="VJK22" s="1280"/>
      <c r="VJL22" s="1280"/>
      <c r="VJM22" s="1280"/>
      <c r="VJN22" s="1280"/>
      <c r="VJO22" s="1280"/>
      <c r="VJP22" s="1280"/>
      <c r="VJQ22" s="1280"/>
      <c r="VJR22" s="1280"/>
      <c r="VJS22" s="1280"/>
      <c r="VJT22" s="1280"/>
      <c r="VJU22" s="1280"/>
      <c r="VJV22" s="1280"/>
      <c r="VJW22" s="1280"/>
      <c r="VJX22" s="1280"/>
      <c r="VJY22" s="1280"/>
      <c r="VJZ22" s="1280"/>
      <c r="VKA22" s="1280"/>
      <c r="VKB22" s="1280"/>
      <c r="VKC22" s="1280"/>
      <c r="VKD22" s="1280"/>
      <c r="VKE22" s="1280"/>
      <c r="VKF22" s="1280"/>
      <c r="VKG22" s="1280"/>
      <c r="VKH22" s="1280"/>
      <c r="VKI22" s="1280"/>
      <c r="VKJ22" s="1280"/>
      <c r="VKK22" s="1280"/>
      <c r="VKL22" s="1280"/>
      <c r="VKM22" s="1280"/>
      <c r="VKN22" s="1280"/>
      <c r="VKO22" s="1280"/>
      <c r="VKP22" s="1280"/>
      <c r="VKQ22" s="1280"/>
      <c r="VKR22" s="1280"/>
      <c r="VKS22" s="1280"/>
      <c r="VKT22" s="1280"/>
      <c r="VKU22" s="1280"/>
      <c r="VKV22" s="1280"/>
      <c r="VKW22" s="1280"/>
      <c r="VKX22" s="1280"/>
      <c r="VKY22" s="1280"/>
      <c r="VKZ22" s="1280"/>
      <c r="VLA22" s="1280"/>
      <c r="VLB22" s="1280"/>
      <c r="VLC22" s="1280"/>
      <c r="VLD22" s="1280"/>
      <c r="VLE22" s="1280"/>
      <c r="VLF22" s="1280"/>
      <c r="VLG22" s="1280"/>
      <c r="VLH22" s="1280"/>
      <c r="VLI22" s="1280"/>
      <c r="VLJ22" s="1280"/>
      <c r="VLK22" s="1280"/>
      <c r="VLL22" s="1280"/>
      <c r="VLM22" s="1280"/>
      <c r="VLN22" s="1280"/>
      <c r="VLO22" s="1280"/>
      <c r="VLP22" s="1280"/>
      <c r="VLQ22" s="1280"/>
      <c r="VLR22" s="1280"/>
      <c r="VLS22" s="1280"/>
      <c r="VLT22" s="1280"/>
      <c r="VLU22" s="1280"/>
      <c r="VLV22" s="1280"/>
      <c r="VLW22" s="1280"/>
      <c r="VLX22" s="1280"/>
      <c r="VLY22" s="1280"/>
      <c r="VLZ22" s="1280"/>
      <c r="VMA22" s="1280"/>
      <c r="VMB22" s="1280"/>
      <c r="VMC22" s="1280"/>
      <c r="VMD22" s="1280"/>
      <c r="VME22" s="1280"/>
      <c r="VMF22" s="1280"/>
      <c r="VMG22" s="1280"/>
      <c r="VMH22" s="1280"/>
      <c r="VMI22" s="1280"/>
      <c r="VMJ22" s="1280"/>
      <c r="VMK22" s="1280"/>
      <c r="VML22" s="1280"/>
      <c r="VMM22" s="1280"/>
      <c r="VMN22" s="1280"/>
      <c r="VMO22" s="1280"/>
      <c r="VMP22" s="1280"/>
      <c r="VMQ22" s="1280"/>
      <c r="VMR22" s="1280"/>
      <c r="VMS22" s="1280"/>
      <c r="VMT22" s="1280"/>
      <c r="VMU22" s="1280"/>
      <c r="VMV22" s="1280"/>
      <c r="VMW22" s="1280"/>
      <c r="VMX22" s="1280"/>
      <c r="VMY22" s="1280"/>
      <c r="VMZ22" s="1280"/>
      <c r="VNA22" s="1280"/>
      <c r="VNB22" s="1280"/>
      <c r="VNC22" s="1280"/>
      <c r="VND22" s="1280"/>
      <c r="VNE22" s="1280"/>
      <c r="VNF22" s="1280"/>
      <c r="VNG22" s="1280"/>
      <c r="VNH22" s="1280"/>
      <c r="VNI22" s="1280"/>
      <c r="VNJ22" s="1280"/>
      <c r="VNK22" s="1280"/>
      <c r="VNL22" s="1280"/>
      <c r="VNM22" s="1280"/>
      <c r="VNN22" s="1280"/>
      <c r="VNO22" s="1280"/>
      <c r="VNP22" s="1280"/>
      <c r="VNQ22" s="1280"/>
      <c r="VNR22" s="1280"/>
      <c r="VNS22" s="1280"/>
      <c r="VNT22" s="1280"/>
      <c r="VNU22" s="1280"/>
      <c r="VNV22" s="1280"/>
      <c r="VNW22" s="1280"/>
      <c r="VNX22" s="1280"/>
      <c r="VNY22" s="1280"/>
      <c r="VNZ22" s="1280"/>
      <c r="VOA22" s="1280"/>
      <c r="VOB22" s="1280"/>
      <c r="VOC22" s="1280"/>
      <c r="VOD22" s="1280"/>
      <c r="VOE22" s="1280"/>
      <c r="VOF22" s="1280"/>
      <c r="VOG22" s="1280"/>
      <c r="VOH22" s="1280"/>
      <c r="VOI22" s="1280"/>
      <c r="VOJ22" s="1280"/>
      <c r="VOK22" s="1280"/>
      <c r="VOL22" s="1280"/>
      <c r="VOM22" s="1280"/>
      <c r="VON22" s="1280"/>
      <c r="VOO22" s="1280"/>
      <c r="VOP22" s="1280"/>
      <c r="VOQ22" s="1280"/>
      <c r="VOR22" s="1280"/>
      <c r="VOS22" s="1280"/>
      <c r="VOT22" s="1280"/>
      <c r="VOU22" s="1280"/>
      <c r="VOV22" s="1280"/>
      <c r="VOW22" s="1280"/>
      <c r="VOX22" s="1280"/>
      <c r="VOY22" s="1280"/>
      <c r="VOZ22" s="1280"/>
      <c r="VPA22" s="1280"/>
      <c r="VPB22" s="1280"/>
      <c r="VPC22" s="1280"/>
      <c r="VPD22" s="1280"/>
      <c r="VPE22" s="1280"/>
      <c r="VPF22" s="1280"/>
      <c r="VPG22" s="1280"/>
      <c r="VPH22" s="1280"/>
      <c r="VPI22" s="1280"/>
      <c r="VPJ22" s="1280"/>
      <c r="VPK22" s="1280"/>
      <c r="VPL22" s="1280"/>
      <c r="VPM22" s="1280"/>
      <c r="VPN22" s="1280"/>
      <c r="VPO22" s="1280"/>
      <c r="VPP22" s="1280"/>
      <c r="VPQ22" s="1280"/>
      <c r="VPR22" s="1280"/>
      <c r="VPS22" s="1280"/>
      <c r="VPT22" s="1280"/>
      <c r="VPU22" s="1280"/>
      <c r="VPV22" s="1280"/>
      <c r="VPW22" s="1280"/>
      <c r="VPX22" s="1280"/>
      <c r="VPY22" s="1280"/>
      <c r="VPZ22" s="1280"/>
      <c r="VQA22" s="1280"/>
      <c r="VQB22" s="1280"/>
      <c r="VQC22" s="1280"/>
      <c r="VQD22" s="1280"/>
      <c r="VQE22" s="1280"/>
      <c r="VQF22" s="1280"/>
      <c r="VQG22" s="1280"/>
      <c r="VQH22" s="1280"/>
      <c r="VQI22" s="1280"/>
      <c r="VQJ22" s="1280"/>
      <c r="VQK22" s="1280"/>
      <c r="VQL22" s="1280"/>
      <c r="VQM22" s="1280"/>
      <c r="VQN22" s="1280"/>
      <c r="VQO22" s="1280"/>
      <c r="VQP22" s="1280"/>
      <c r="VQQ22" s="1280"/>
      <c r="VQR22" s="1280"/>
      <c r="VQS22" s="1280"/>
      <c r="VQT22" s="1280"/>
      <c r="VQU22" s="1280"/>
      <c r="VQV22" s="1280"/>
      <c r="VQW22" s="1280"/>
      <c r="VQX22" s="1280"/>
      <c r="VQY22" s="1280"/>
      <c r="VQZ22" s="1280"/>
      <c r="VRA22" s="1280"/>
      <c r="VRB22" s="1280"/>
      <c r="VRC22" s="1280"/>
      <c r="VRD22" s="1280"/>
      <c r="VRE22" s="1280"/>
      <c r="VRF22" s="1280"/>
      <c r="VRG22" s="1280"/>
      <c r="VRH22" s="1280"/>
      <c r="VRI22" s="1280"/>
      <c r="VRJ22" s="1280"/>
      <c r="VRK22" s="1280"/>
      <c r="VRL22" s="1280"/>
      <c r="VRM22" s="1280"/>
      <c r="VRN22" s="1280"/>
      <c r="VRO22" s="1280"/>
      <c r="VRP22" s="1280"/>
      <c r="VRQ22" s="1280"/>
      <c r="VRR22" s="1280"/>
      <c r="VRS22" s="1280"/>
      <c r="VRT22" s="1280"/>
      <c r="VRU22" s="1280"/>
      <c r="VRV22" s="1280"/>
      <c r="VRW22" s="1280"/>
      <c r="VRX22" s="1280"/>
      <c r="VRY22" s="1280"/>
      <c r="VRZ22" s="1280"/>
      <c r="VSA22" s="1280"/>
      <c r="VSB22" s="1280"/>
      <c r="VSC22" s="1280"/>
      <c r="VSD22" s="1280"/>
      <c r="VSE22" s="1280"/>
      <c r="VSF22" s="1280"/>
      <c r="VSG22" s="1280"/>
      <c r="VSH22" s="1280"/>
      <c r="VSI22" s="1280"/>
      <c r="VSJ22" s="1280"/>
      <c r="VSK22" s="1280"/>
      <c r="VSL22" s="1280"/>
      <c r="VSM22" s="1280"/>
      <c r="VSN22" s="1280"/>
      <c r="VSO22" s="1280"/>
      <c r="VSP22" s="1280"/>
      <c r="VSQ22" s="1280"/>
      <c r="VSR22" s="1280"/>
      <c r="VSS22" s="1280"/>
      <c r="VST22" s="1280"/>
      <c r="VSU22" s="1280"/>
      <c r="VSV22" s="1280"/>
      <c r="VSW22" s="1280"/>
      <c r="VSX22" s="1280"/>
      <c r="VSY22" s="1280"/>
      <c r="VSZ22" s="1280"/>
      <c r="VTA22" s="1280"/>
      <c r="VTB22" s="1280"/>
      <c r="VTC22" s="1280"/>
      <c r="VTD22" s="1280"/>
      <c r="VTE22" s="1280"/>
      <c r="VTF22" s="1280"/>
      <c r="VTG22" s="1280"/>
      <c r="VTH22" s="1280"/>
      <c r="VTI22" s="1280"/>
      <c r="VTJ22" s="1280"/>
      <c r="VTK22" s="1280"/>
      <c r="VTL22" s="1280"/>
      <c r="VTM22" s="1280"/>
      <c r="VTN22" s="1280"/>
      <c r="VTO22" s="1280"/>
      <c r="VTP22" s="1280"/>
      <c r="VTQ22" s="1280"/>
      <c r="VTR22" s="1280"/>
      <c r="VTS22" s="1280"/>
      <c r="VTT22" s="1280"/>
      <c r="VTU22" s="1280"/>
      <c r="VTV22" s="1280"/>
      <c r="VTW22" s="1280"/>
      <c r="VTX22" s="1280"/>
      <c r="VTY22" s="1280"/>
      <c r="VTZ22" s="1280"/>
      <c r="VUA22" s="1280"/>
      <c r="VUB22" s="1280"/>
      <c r="VUC22" s="1280"/>
      <c r="VUD22" s="1280"/>
      <c r="VUE22" s="1280"/>
      <c r="VUF22" s="1280"/>
      <c r="VUG22" s="1280"/>
      <c r="VUH22" s="1280"/>
      <c r="VUI22" s="1280"/>
      <c r="VUJ22" s="1280"/>
      <c r="VUK22" s="1280"/>
      <c r="VUL22" s="1280"/>
      <c r="VUM22" s="1280"/>
      <c r="VUN22" s="1280"/>
      <c r="VUO22" s="1280"/>
      <c r="VUP22" s="1280"/>
      <c r="VUQ22" s="1280"/>
      <c r="VUR22" s="1280"/>
      <c r="VUS22" s="1280"/>
      <c r="VUT22" s="1280"/>
      <c r="VUU22" s="1280"/>
      <c r="VUV22" s="1280"/>
      <c r="VUW22" s="1280"/>
      <c r="VUX22" s="1280"/>
      <c r="VUY22" s="1280"/>
      <c r="VUZ22" s="1280"/>
      <c r="VVA22" s="1280"/>
      <c r="VVB22" s="1280"/>
      <c r="VVC22" s="1280"/>
      <c r="VVD22" s="1280"/>
      <c r="VVE22" s="1280"/>
      <c r="VVF22" s="1280"/>
      <c r="VVG22" s="1280"/>
      <c r="VVH22" s="1280"/>
      <c r="VVI22" s="1280"/>
      <c r="VVJ22" s="1280"/>
      <c r="VVK22" s="1280"/>
      <c r="VVL22" s="1280"/>
      <c r="VVM22" s="1280"/>
      <c r="VVN22" s="1280"/>
      <c r="VVO22" s="1280"/>
      <c r="VVP22" s="1280"/>
      <c r="VVQ22" s="1280"/>
      <c r="VVR22" s="1280"/>
      <c r="VVS22" s="1280"/>
      <c r="VVT22" s="1280"/>
      <c r="VVU22" s="1280"/>
      <c r="VVV22" s="1280"/>
      <c r="VVW22" s="1280"/>
      <c r="VVX22" s="1280"/>
      <c r="VVY22" s="1280"/>
      <c r="VVZ22" s="1280"/>
      <c r="VWA22" s="1280"/>
      <c r="VWB22" s="1280"/>
      <c r="VWC22" s="1280"/>
      <c r="VWD22" s="1280"/>
      <c r="VWE22" s="1280"/>
      <c r="VWF22" s="1280"/>
      <c r="VWG22" s="1280"/>
      <c r="VWH22" s="1280"/>
      <c r="VWI22" s="1280"/>
      <c r="VWJ22" s="1280"/>
      <c r="VWK22" s="1280"/>
      <c r="VWL22" s="1280"/>
      <c r="VWM22" s="1280"/>
      <c r="VWN22" s="1280"/>
      <c r="VWO22" s="1280"/>
      <c r="VWP22" s="1280"/>
      <c r="VWQ22" s="1280"/>
      <c r="VWR22" s="1280"/>
      <c r="VWS22" s="1280"/>
      <c r="VWT22" s="1280"/>
      <c r="VWU22" s="1280"/>
      <c r="VWV22" s="1280"/>
      <c r="VWW22" s="1280"/>
      <c r="VWX22" s="1280"/>
      <c r="VWY22" s="1280"/>
      <c r="VWZ22" s="1280"/>
      <c r="VXA22" s="1280"/>
      <c r="VXB22" s="1280"/>
      <c r="VXC22" s="1280"/>
      <c r="VXD22" s="1280"/>
      <c r="VXE22" s="1280"/>
      <c r="VXF22" s="1280"/>
      <c r="VXG22" s="1280"/>
      <c r="VXH22" s="1280"/>
      <c r="VXI22" s="1280"/>
      <c r="VXJ22" s="1280"/>
      <c r="VXK22" s="1280"/>
      <c r="VXL22" s="1280"/>
      <c r="VXM22" s="1280"/>
      <c r="VXN22" s="1280"/>
      <c r="VXO22" s="1280"/>
      <c r="VXP22" s="1280"/>
      <c r="VXQ22" s="1280"/>
      <c r="VXR22" s="1280"/>
      <c r="VXS22" s="1280"/>
      <c r="VXT22" s="1280"/>
      <c r="VXU22" s="1280"/>
      <c r="VXV22" s="1280"/>
      <c r="VXW22" s="1280"/>
      <c r="VXX22" s="1280"/>
      <c r="VXY22" s="1280"/>
      <c r="VXZ22" s="1280"/>
      <c r="VYA22" s="1280"/>
      <c r="VYB22" s="1280"/>
      <c r="VYC22" s="1280"/>
      <c r="VYD22" s="1280"/>
      <c r="VYE22" s="1280"/>
      <c r="VYF22" s="1280"/>
      <c r="VYG22" s="1280"/>
      <c r="VYH22" s="1280"/>
      <c r="VYI22" s="1280"/>
      <c r="VYJ22" s="1280"/>
      <c r="VYK22" s="1280"/>
      <c r="VYL22" s="1280"/>
      <c r="VYM22" s="1280"/>
      <c r="VYN22" s="1280"/>
      <c r="VYO22" s="1280"/>
      <c r="VYP22" s="1280"/>
      <c r="VYQ22" s="1280"/>
      <c r="VYR22" s="1280"/>
      <c r="VYS22" s="1280"/>
      <c r="VYT22" s="1280"/>
      <c r="VYU22" s="1280"/>
      <c r="VYV22" s="1280"/>
      <c r="VYW22" s="1280"/>
      <c r="VYX22" s="1280"/>
      <c r="VYY22" s="1280"/>
      <c r="VYZ22" s="1280"/>
      <c r="VZA22" s="1280"/>
      <c r="VZB22" s="1280"/>
      <c r="VZC22" s="1280"/>
      <c r="VZD22" s="1280"/>
      <c r="VZE22" s="1280"/>
      <c r="VZF22" s="1280"/>
      <c r="VZG22" s="1280"/>
      <c r="VZH22" s="1280"/>
      <c r="VZI22" s="1280"/>
      <c r="VZJ22" s="1280"/>
      <c r="VZK22" s="1280"/>
      <c r="VZL22" s="1280"/>
      <c r="VZM22" s="1280"/>
      <c r="VZN22" s="1280"/>
      <c r="VZO22" s="1280"/>
      <c r="VZP22" s="1280"/>
      <c r="VZQ22" s="1280"/>
      <c r="VZR22" s="1280"/>
      <c r="VZS22" s="1280"/>
      <c r="VZT22" s="1280"/>
      <c r="VZU22" s="1280"/>
      <c r="VZV22" s="1280"/>
      <c r="VZW22" s="1280"/>
      <c r="VZX22" s="1280"/>
      <c r="VZY22" s="1280"/>
      <c r="VZZ22" s="1280"/>
      <c r="WAA22" s="1280"/>
      <c r="WAB22" s="1280"/>
      <c r="WAC22" s="1280"/>
      <c r="WAD22" s="1280"/>
      <c r="WAE22" s="1280"/>
      <c r="WAF22" s="1280"/>
      <c r="WAG22" s="1280"/>
      <c r="WAH22" s="1280"/>
      <c r="WAI22" s="1280"/>
      <c r="WAJ22" s="1280"/>
      <c r="WAK22" s="1280"/>
      <c r="WAL22" s="1280"/>
      <c r="WAM22" s="1280"/>
      <c r="WAN22" s="1280"/>
      <c r="WAO22" s="1280"/>
      <c r="WAP22" s="1280"/>
      <c r="WAQ22" s="1280"/>
      <c r="WAR22" s="1280"/>
      <c r="WAS22" s="1280"/>
      <c r="WAT22" s="1280"/>
      <c r="WAU22" s="1280"/>
      <c r="WAV22" s="1280"/>
      <c r="WAW22" s="1280"/>
      <c r="WAX22" s="1280"/>
      <c r="WAY22" s="1280"/>
      <c r="WAZ22" s="1280"/>
      <c r="WBA22" s="1280"/>
      <c r="WBB22" s="1280"/>
      <c r="WBC22" s="1280"/>
      <c r="WBD22" s="1280"/>
      <c r="WBE22" s="1280"/>
      <c r="WBF22" s="1280"/>
      <c r="WBG22" s="1280"/>
      <c r="WBH22" s="1280"/>
      <c r="WBI22" s="1280"/>
      <c r="WBJ22" s="1280"/>
      <c r="WBK22" s="1280"/>
      <c r="WBL22" s="1280"/>
      <c r="WBM22" s="1280"/>
      <c r="WBN22" s="1280"/>
      <c r="WBO22" s="1280"/>
      <c r="WBP22" s="1280"/>
      <c r="WBQ22" s="1280"/>
      <c r="WBR22" s="1280"/>
      <c r="WBS22" s="1280"/>
      <c r="WBT22" s="1280"/>
      <c r="WBU22" s="1280"/>
      <c r="WBV22" s="1280"/>
      <c r="WBW22" s="1280"/>
      <c r="WBX22" s="1280"/>
      <c r="WBY22" s="1280"/>
      <c r="WBZ22" s="1280"/>
      <c r="WCA22" s="1280"/>
      <c r="WCB22" s="1280"/>
      <c r="WCC22" s="1280"/>
      <c r="WCD22" s="1280"/>
      <c r="WCE22" s="1280"/>
      <c r="WCF22" s="1280"/>
      <c r="WCG22" s="1280"/>
      <c r="WCH22" s="1280"/>
      <c r="WCI22" s="1280"/>
      <c r="WCJ22" s="1280"/>
      <c r="WCK22" s="1280"/>
      <c r="WCL22" s="1280"/>
      <c r="WCM22" s="1280"/>
      <c r="WCN22" s="1280"/>
      <c r="WCO22" s="1280"/>
      <c r="WCP22" s="1280"/>
      <c r="WCQ22" s="1280"/>
      <c r="WCR22" s="1280"/>
      <c r="WCS22" s="1280"/>
      <c r="WCT22" s="1280"/>
      <c r="WCU22" s="1280"/>
      <c r="WCV22" s="1280"/>
      <c r="WCW22" s="1280"/>
      <c r="WCX22" s="1280"/>
      <c r="WCY22" s="1280"/>
      <c r="WCZ22" s="1280"/>
      <c r="WDA22" s="1280"/>
      <c r="WDB22" s="1280"/>
      <c r="WDC22" s="1280"/>
      <c r="WDD22" s="1280"/>
      <c r="WDE22" s="1280"/>
      <c r="WDF22" s="1280"/>
      <c r="WDG22" s="1280"/>
      <c r="WDH22" s="1280"/>
      <c r="WDI22" s="1280"/>
      <c r="WDJ22" s="1280"/>
      <c r="WDK22" s="1280"/>
      <c r="WDL22" s="1280"/>
      <c r="WDM22" s="1280"/>
      <c r="WDN22" s="1280"/>
      <c r="WDO22" s="1280"/>
      <c r="WDP22" s="1280"/>
      <c r="WDQ22" s="1280"/>
      <c r="WDR22" s="1280"/>
      <c r="WDS22" s="1280"/>
      <c r="WDT22" s="1280"/>
      <c r="WDU22" s="1280"/>
      <c r="WDV22" s="1280"/>
      <c r="WDW22" s="1280"/>
      <c r="WDX22" s="1280"/>
      <c r="WDY22" s="1280"/>
      <c r="WDZ22" s="1280"/>
      <c r="WEA22" s="1280"/>
      <c r="WEB22" s="1280"/>
      <c r="WEC22" s="1280"/>
      <c r="WED22" s="1280"/>
      <c r="WEE22" s="1280"/>
      <c r="WEF22" s="1280"/>
      <c r="WEG22" s="1280"/>
      <c r="WEH22" s="1280"/>
      <c r="WEI22" s="1280"/>
      <c r="WEJ22" s="1280"/>
      <c r="WEK22" s="1280"/>
      <c r="WEL22" s="1280"/>
      <c r="WEM22" s="1280"/>
      <c r="WEN22" s="1280"/>
      <c r="WEO22" s="1280"/>
      <c r="WEP22" s="1280"/>
      <c r="WEQ22" s="1280"/>
      <c r="WER22" s="1280"/>
      <c r="WES22" s="1280"/>
      <c r="WET22" s="1280"/>
      <c r="WEU22" s="1280"/>
      <c r="WEV22" s="1280"/>
      <c r="WEW22" s="1280"/>
      <c r="WEX22" s="1280"/>
      <c r="WEY22" s="1280"/>
      <c r="WEZ22" s="1280"/>
      <c r="WFA22" s="1280"/>
      <c r="WFB22" s="1280"/>
      <c r="WFC22" s="1280"/>
      <c r="WFD22" s="1280"/>
      <c r="WFE22" s="1280"/>
      <c r="WFF22" s="1280"/>
      <c r="WFG22" s="1280"/>
      <c r="WFH22" s="1280"/>
      <c r="WFI22" s="1280"/>
      <c r="WFJ22" s="1280"/>
      <c r="WFK22" s="1280"/>
      <c r="WFL22" s="1280"/>
      <c r="WFM22" s="1280"/>
      <c r="WFN22" s="1280"/>
      <c r="WFO22" s="1280"/>
      <c r="WFP22" s="1280"/>
      <c r="WFQ22" s="1280"/>
      <c r="WFR22" s="1280"/>
      <c r="WFS22" s="1280"/>
      <c r="WFT22" s="1280"/>
      <c r="WFU22" s="1280"/>
      <c r="WFV22" s="1280"/>
      <c r="WFW22" s="1280"/>
      <c r="WFX22" s="1280"/>
      <c r="WFY22" s="1280"/>
      <c r="WFZ22" s="1280"/>
      <c r="WGA22" s="1280"/>
      <c r="WGB22" s="1280"/>
      <c r="WGC22" s="1280"/>
      <c r="WGD22" s="1280"/>
      <c r="WGE22" s="1280"/>
      <c r="WGF22" s="1280"/>
      <c r="WGG22" s="1280"/>
      <c r="WGH22" s="1280"/>
      <c r="WGI22" s="1280"/>
      <c r="WGJ22" s="1280"/>
      <c r="WGK22" s="1280"/>
      <c r="WGL22" s="1280"/>
      <c r="WGM22" s="1280"/>
      <c r="WGN22" s="1280"/>
      <c r="WGO22" s="1280"/>
      <c r="WGP22" s="1280"/>
      <c r="WGQ22" s="1280"/>
      <c r="WGR22" s="1280"/>
      <c r="WGS22" s="1280"/>
      <c r="WGT22" s="1280"/>
      <c r="WGU22" s="1280"/>
      <c r="WGV22" s="1280"/>
      <c r="WGW22" s="1280"/>
      <c r="WGX22" s="1280"/>
      <c r="WGY22" s="1280"/>
      <c r="WGZ22" s="1280"/>
      <c r="WHA22" s="1280"/>
      <c r="WHB22" s="1280"/>
      <c r="WHC22" s="1280"/>
      <c r="WHD22" s="1280"/>
      <c r="WHE22" s="1280"/>
      <c r="WHF22" s="1280"/>
      <c r="WHG22" s="1280"/>
      <c r="WHH22" s="1280"/>
      <c r="WHI22" s="1280"/>
      <c r="WHJ22" s="1280"/>
      <c r="WHK22" s="1280"/>
      <c r="WHL22" s="1280"/>
      <c r="WHM22" s="1280"/>
      <c r="WHN22" s="1280"/>
      <c r="WHO22" s="1280"/>
      <c r="WHP22" s="1280"/>
      <c r="WHQ22" s="1280"/>
      <c r="WHR22" s="1280"/>
      <c r="WHS22" s="1280"/>
      <c r="WHT22" s="1280"/>
      <c r="WHU22" s="1280"/>
      <c r="WHV22" s="1280"/>
      <c r="WHW22" s="1280"/>
      <c r="WHX22" s="1280"/>
      <c r="WHY22" s="1280"/>
      <c r="WHZ22" s="1280"/>
      <c r="WIA22" s="1280"/>
      <c r="WIB22" s="1280"/>
      <c r="WIC22" s="1280"/>
      <c r="WID22" s="1280"/>
      <c r="WIE22" s="1280"/>
      <c r="WIF22" s="1280"/>
      <c r="WIG22" s="1280"/>
      <c r="WIH22" s="1280"/>
      <c r="WII22" s="1280"/>
      <c r="WIJ22" s="1280"/>
      <c r="WIK22" s="1280"/>
      <c r="WIL22" s="1280"/>
      <c r="WIM22" s="1280"/>
      <c r="WIN22" s="1280"/>
      <c r="WIO22" s="1280"/>
      <c r="WIP22" s="1280"/>
      <c r="WIQ22" s="1280"/>
      <c r="WIR22" s="1280"/>
      <c r="WIS22" s="1280"/>
      <c r="WIT22" s="1280"/>
      <c r="WIU22" s="1280"/>
      <c r="WIV22" s="1280"/>
      <c r="WIW22" s="1280"/>
      <c r="WIX22" s="1280"/>
      <c r="WIY22" s="1280"/>
      <c r="WIZ22" s="1280"/>
      <c r="WJA22" s="1280"/>
      <c r="WJB22" s="1280"/>
      <c r="WJC22" s="1280"/>
      <c r="WJD22" s="1280"/>
      <c r="WJE22" s="1280"/>
      <c r="WJF22" s="1280"/>
      <c r="WJG22" s="1280"/>
      <c r="WJH22" s="1280"/>
      <c r="WJI22" s="1280"/>
      <c r="WJJ22" s="1280"/>
      <c r="WJK22" s="1280"/>
      <c r="WJL22" s="1280"/>
      <c r="WJM22" s="1280"/>
      <c r="WJN22" s="1280"/>
      <c r="WJO22" s="1280"/>
      <c r="WJP22" s="1280"/>
      <c r="WJQ22" s="1280"/>
      <c r="WJR22" s="1280"/>
      <c r="WJS22" s="1280"/>
      <c r="WJT22" s="1280"/>
      <c r="WJU22" s="1280"/>
      <c r="WJV22" s="1280"/>
      <c r="WJW22" s="1280"/>
      <c r="WJX22" s="1280"/>
      <c r="WJY22" s="1280"/>
      <c r="WJZ22" s="1280"/>
      <c r="WKA22" s="1280"/>
      <c r="WKB22" s="1280"/>
      <c r="WKC22" s="1280"/>
      <c r="WKD22" s="1280"/>
      <c r="WKE22" s="1280"/>
      <c r="WKF22" s="1280"/>
      <c r="WKG22" s="1280"/>
      <c r="WKH22" s="1280"/>
      <c r="WKI22" s="1280"/>
      <c r="WKJ22" s="1280"/>
      <c r="WKK22" s="1280"/>
      <c r="WKL22" s="1280"/>
      <c r="WKM22" s="1280"/>
      <c r="WKN22" s="1280"/>
      <c r="WKO22" s="1280"/>
      <c r="WKP22" s="1280"/>
      <c r="WKQ22" s="1280"/>
      <c r="WKR22" s="1280"/>
      <c r="WKS22" s="1280"/>
      <c r="WKT22" s="1280"/>
      <c r="WKU22" s="1280"/>
      <c r="WKV22" s="1280"/>
      <c r="WKW22" s="1280"/>
      <c r="WKX22" s="1280"/>
      <c r="WKY22" s="1280"/>
      <c r="WKZ22" s="1280"/>
      <c r="WLA22" s="1280"/>
      <c r="WLB22" s="1280"/>
      <c r="WLC22" s="1280"/>
      <c r="WLD22" s="1280"/>
      <c r="WLE22" s="1280"/>
      <c r="WLF22" s="1280"/>
      <c r="WLG22" s="1280"/>
      <c r="WLH22" s="1280"/>
      <c r="WLI22" s="1280"/>
      <c r="WLJ22" s="1280"/>
      <c r="WLK22" s="1280"/>
      <c r="WLL22" s="1280"/>
      <c r="WLM22" s="1280"/>
      <c r="WLN22" s="1280"/>
      <c r="WLO22" s="1280"/>
      <c r="WLP22" s="1280"/>
      <c r="WLQ22" s="1280"/>
      <c r="WLR22" s="1280"/>
      <c r="WLS22" s="1280"/>
      <c r="WLT22" s="1280"/>
      <c r="WLU22" s="1280"/>
      <c r="WLV22" s="1280"/>
      <c r="WLW22" s="1280"/>
      <c r="WLX22" s="1280"/>
      <c r="WLY22" s="1280"/>
      <c r="WLZ22" s="1280"/>
      <c r="WMA22" s="1280"/>
      <c r="WMB22" s="1280"/>
      <c r="WMC22" s="1280"/>
      <c r="WMD22" s="1280"/>
      <c r="WME22" s="1280"/>
      <c r="WMF22" s="1280"/>
      <c r="WMG22" s="1280"/>
      <c r="WMH22" s="1280"/>
      <c r="WMI22" s="1280"/>
      <c r="WMJ22" s="1280"/>
      <c r="WMK22" s="1280"/>
      <c r="WML22" s="1280"/>
      <c r="WMM22" s="1280"/>
      <c r="WMN22" s="1280"/>
      <c r="WMO22" s="1280"/>
      <c r="WMP22" s="1280"/>
      <c r="WMQ22" s="1280"/>
      <c r="WMR22" s="1280"/>
      <c r="WMS22" s="1280"/>
      <c r="WMT22" s="1280"/>
      <c r="WMU22" s="1280"/>
      <c r="WMV22" s="1280"/>
      <c r="WMW22" s="1280"/>
      <c r="WMX22" s="1280"/>
      <c r="WMY22" s="1280"/>
      <c r="WMZ22" s="1280"/>
      <c r="WNA22" s="1280"/>
      <c r="WNB22" s="1280"/>
      <c r="WNC22" s="1280"/>
      <c r="WND22" s="1280"/>
      <c r="WNE22" s="1280"/>
      <c r="WNF22" s="1280"/>
      <c r="WNG22" s="1280"/>
      <c r="WNH22" s="1280"/>
      <c r="WNI22" s="1280"/>
      <c r="WNJ22" s="1280"/>
      <c r="WNK22" s="1280"/>
      <c r="WNL22" s="1280"/>
      <c r="WNM22" s="1280"/>
      <c r="WNN22" s="1280"/>
      <c r="WNO22" s="1280"/>
      <c r="WNP22" s="1280"/>
      <c r="WNQ22" s="1280"/>
      <c r="WNR22" s="1280"/>
      <c r="WNS22" s="1280"/>
      <c r="WNT22" s="1280"/>
      <c r="WNU22" s="1280"/>
      <c r="WNV22" s="1280"/>
      <c r="WNW22" s="1280"/>
      <c r="WNX22" s="1280"/>
      <c r="WNY22" s="1280"/>
      <c r="WNZ22" s="1280"/>
      <c r="WOA22" s="1280"/>
      <c r="WOB22" s="1280"/>
      <c r="WOC22" s="1280"/>
      <c r="WOD22" s="1280"/>
      <c r="WOE22" s="1280"/>
      <c r="WOF22" s="1280"/>
      <c r="WOG22" s="1280"/>
      <c r="WOH22" s="1280"/>
      <c r="WOI22" s="1280"/>
      <c r="WOJ22" s="1280"/>
      <c r="WOK22" s="1280"/>
      <c r="WOL22" s="1280"/>
      <c r="WOM22" s="1280"/>
      <c r="WON22" s="1280"/>
      <c r="WOO22" s="1280"/>
      <c r="WOP22" s="1280"/>
      <c r="WOQ22" s="1280"/>
      <c r="WOR22" s="1280"/>
      <c r="WOS22" s="1280"/>
      <c r="WOT22" s="1280"/>
      <c r="WOU22" s="1280"/>
      <c r="WOV22" s="1280"/>
      <c r="WOW22" s="1280"/>
      <c r="WOX22" s="1280"/>
      <c r="WOY22" s="1280"/>
      <c r="WOZ22" s="1280"/>
      <c r="WPA22" s="1280"/>
      <c r="WPB22" s="1280"/>
      <c r="WPC22" s="1280"/>
      <c r="WPD22" s="1280"/>
      <c r="WPE22" s="1280"/>
      <c r="WPF22" s="1280"/>
      <c r="WPG22" s="1280"/>
      <c r="WPH22" s="1280"/>
      <c r="WPI22" s="1280"/>
      <c r="WPJ22" s="1280"/>
      <c r="WPK22" s="1280"/>
      <c r="WPL22" s="1280"/>
      <c r="WPM22" s="1280"/>
      <c r="WPN22" s="1280"/>
      <c r="WPO22" s="1280"/>
      <c r="WPP22" s="1280"/>
      <c r="WPQ22" s="1280"/>
      <c r="WPR22" s="1280"/>
      <c r="WPS22" s="1280"/>
      <c r="WPT22" s="1280"/>
      <c r="WPU22" s="1280"/>
      <c r="WPV22" s="1280"/>
      <c r="WPW22" s="1280"/>
      <c r="WPX22" s="1280"/>
      <c r="WPY22" s="1280"/>
      <c r="WPZ22" s="1280"/>
      <c r="WQA22" s="1280"/>
      <c r="WQB22" s="1280"/>
      <c r="WQC22" s="1280"/>
      <c r="WQD22" s="1280"/>
      <c r="WQE22" s="1280"/>
      <c r="WQF22" s="1280"/>
      <c r="WQG22" s="1280"/>
      <c r="WQH22" s="1280"/>
      <c r="WQI22" s="1280"/>
      <c r="WQJ22" s="1280"/>
      <c r="WQK22" s="1280"/>
      <c r="WQL22" s="1280"/>
      <c r="WQM22" s="1280"/>
      <c r="WQN22" s="1280"/>
      <c r="WQO22" s="1280"/>
      <c r="WQP22" s="1280"/>
      <c r="WQQ22" s="1280"/>
      <c r="WQR22" s="1280"/>
      <c r="WQS22" s="1280"/>
      <c r="WQT22" s="1280"/>
      <c r="WQU22" s="1280"/>
      <c r="WQV22" s="1280"/>
      <c r="WQW22" s="1280"/>
      <c r="WQX22" s="1280"/>
      <c r="WQY22" s="1280"/>
      <c r="WQZ22" s="1280"/>
      <c r="WRA22" s="1280"/>
      <c r="WRB22" s="1280"/>
      <c r="WRC22" s="1280"/>
      <c r="WRD22" s="1280"/>
      <c r="WRE22" s="1280"/>
      <c r="WRF22" s="1280"/>
      <c r="WRG22" s="1280"/>
      <c r="WRH22" s="1280"/>
      <c r="WRI22" s="1280"/>
      <c r="WRJ22" s="1280"/>
      <c r="WRK22" s="1280"/>
      <c r="WRL22" s="1280"/>
      <c r="WRM22" s="1280"/>
      <c r="WRN22" s="1280"/>
      <c r="WRO22" s="1280"/>
      <c r="WRP22" s="1280"/>
      <c r="WRQ22" s="1280"/>
      <c r="WRR22" s="1280"/>
      <c r="WRS22" s="1280"/>
      <c r="WRT22" s="1280"/>
      <c r="WRU22" s="1280"/>
      <c r="WRV22" s="1280"/>
      <c r="WRW22" s="1280"/>
      <c r="WRX22" s="1280"/>
      <c r="WRY22" s="1280"/>
      <c r="WRZ22" s="1280"/>
      <c r="WSA22" s="1280"/>
      <c r="WSB22" s="1280"/>
      <c r="WSC22" s="1280"/>
      <c r="WSD22" s="1280"/>
      <c r="WSE22" s="1280"/>
      <c r="WSF22" s="1280"/>
      <c r="WSG22" s="1280"/>
      <c r="WSH22" s="1280"/>
      <c r="WSI22" s="1280"/>
      <c r="WSJ22" s="1280"/>
      <c r="WSK22" s="1280"/>
      <c r="WSL22" s="1280"/>
      <c r="WSM22" s="1280"/>
      <c r="WSN22" s="1280"/>
      <c r="WSO22" s="1280"/>
      <c r="WSP22" s="1280"/>
      <c r="WSQ22" s="1280"/>
      <c r="WSR22" s="1280"/>
      <c r="WSS22" s="1280"/>
      <c r="WST22" s="1280"/>
      <c r="WSU22" s="1280"/>
      <c r="WSV22" s="1280"/>
      <c r="WSW22" s="1280"/>
      <c r="WSX22" s="1280"/>
      <c r="WSY22" s="1280"/>
      <c r="WSZ22" s="1280"/>
      <c r="WTA22" s="1280"/>
      <c r="WTB22" s="1280"/>
      <c r="WTC22" s="1280"/>
      <c r="WTD22" s="1280"/>
      <c r="WTE22" s="1280"/>
      <c r="WTF22" s="1280"/>
      <c r="WTG22" s="1280"/>
      <c r="WTH22" s="1280"/>
      <c r="WTI22" s="1280"/>
      <c r="WTJ22" s="1280"/>
      <c r="WTK22" s="1280"/>
      <c r="WTL22" s="1280"/>
      <c r="WTM22" s="1280"/>
      <c r="WTN22" s="1280"/>
      <c r="WTO22" s="1280"/>
      <c r="WTP22" s="1280"/>
      <c r="WTQ22" s="1280"/>
      <c r="WTR22" s="1280"/>
      <c r="WTS22" s="1280"/>
      <c r="WTT22" s="1280"/>
      <c r="WTU22" s="1280"/>
      <c r="WTV22" s="1280"/>
      <c r="WTW22" s="1280"/>
      <c r="WTX22" s="1280"/>
      <c r="WTY22" s="1280"/>
      <c r="WTZ22" s="1280"/>
      <c r="WUA22" s="1280"/>
      <c r="WUB22" s="1280"/>
      <c r="WUC22" s="1280"/>
      <c r="WUD22" s="1280"/>
      <c r="WUE22" s="1280"/>
      <c r="WUF22" s="1280"/>
      <c r="WUG22" s="1280"/>
      <c r="WUH22" s="1280"/>
      <c r="WUI22" s="1280"/>
      <c r="WUJ22" s="1280"/>
      <c r="WUK22" s="1280"/>
      <c r="WUL22" s="1280"/>
      <c r="WUM22" s="1280"/>
      <c r="WUN22" s="1280"/>
      <c r="WUO22" s="1280"/>
      <c r="WUP22" s="1280"/>
      <c r="WUQ22" s="1280"/>
      <c r="WUR22" s="1280"/>
      <c r="WUS22" s="1280"/>
      <c r="WUT22" s="1280"/>
      <c r="WUU22" s="1280"/>
      <c r="WUV22" s="1280"/>
      <c r="WUW22" s="1280"/>
      <c r="WUX22" s="1280"/>
      <c r="WUY22" s="1280"/>
      <c r="WUZ22" s="1280"/>
      <c r="WVA22" s="1280"/>
      <c r="WVB22" s="1280"/>
      <c r="WVC22" s="1280"/>
      <c r="WVD22" s="1280"/>
      <c r="WVE22" s="1280"/>
      <c r="WVF22" s="1280"/>
      <c r="WVG22" s="1280"/>
      <c r="WVH22" s="1280"/>
      <c r="WVI22" s="1280"/>
      <c r="WVJ22" s="1280"/>
      <c r="WVK22" s="1280"/>
      <c r="WVL22" s="1280"/>
      <c r="WVM22" s="1280"/>
      <c r="WVN22" s="1280"/>
      <c r="WVO22" s="1280"/>
      <c r="WVP22" s="1280"/>
      <c r="WVQ22" s="1280"/>
      <c r="WVR22" s="1280"/>
      <c r="WVS22" s="1280"/>
      <c r="WVT22" s="1280"/>
      <c r="WVU22" s="1280"/>
      <c r="WVV22" s="1280"/>
      <c r="WVW22" s="1280"/>
      <c r="WVX22" s="1280"/>
      <c r="WVY22" s="1280"/>
      <c r="WVZ22" s="1280"/>
      <c r="WWA22" s="1280"/>
      <c r="WWB22" s="1280"/>
      <c r="WWC22" s="1280"/>
      <c r="WWD22" s="1280"/>
      <c r="WWE22" s="1280"/>
      <c r="WWF22" s="1280"/>
      <c r="WWG22" s="1280"/>
      <c r="WWH22" s="1280"/>
      <c r="WWI22" s="1280"/>
      <c r="WWJ22" s="1280"/>
      <c r="WWK22" s="1280"/>
      <c r="WWL22" s="1280"/>
      <c r="WWM22" s="1280"/>
      <c r="WWN22" s="1280"/>
      <c r="WWO22" s="1280"/>
      <c r="WWP22" s="1280"/>
      <c r="WWQ22" s="1280"/>
      <c r="WWR22" s="1280"/>
      <c r="WWS22" s="1280"/>
      <c r="WWT22" s="1280"/>
      <c r="WWU22" s="1280"/>
      <c r="WWV22" s="1280"/>
      <c r="WWW22" s="1280"/>
      <c r="WWX22" s="1280"/>
      <c r="WWY22" s="1280"/>
      <c r="WWZ22" s="1280"/>
      <c r="WXA22" s="1280"/>
      <c r="WXB22" s="1280"/>
      <c r="WXC22" s="1280"/>
      <c r="WXD22" s="1280"/>
      <c r="WXE22" s="1280"/>
      <c r="WXF22" s="1280"/>
      <c r="WXG22" s="1280"/>
      <c r="WXH22" s="1280"/>
      <c r="WXI22" s="1280"/>
      <c r="WXJ22" s="1280"/>
      <c r="WXK22" s="1280"/>
      <c r="WXL22" s="1280"/>
      <c r="WXM22" s="1280"/>
      <c r="WXN22" s="1280"/>
      <c r="WXO22" s="1280"/>
      <c r="WXP22" s="1280"/>
      <c r="WXQ22" s="1280"/>
      <c r="WXR22" s="1280"/>
      <c r="WXS22" s="1280"/>
      <c r="WXT22" s="1280"/>
      <c r="WXU22" s="1280"/>
      <c r="WXV22" s="1280"/>
      <c r="WXW22" s="1280"/>
      <c r="WXX22" s="1280"/>
      <c r="WXY22" s="1280"/>
      <c r="WXZ22" s="1280"/>
      <c r="WYA22" s="1280"/>
      <c r="WYB22" s="1280"/>
      <c r="WYC22" s="1280"/>
      <c r="WYD22" s="1280"/>
      <c r="WYE22" s="1280"/>
      <c r="WYF22" s="1280"/>
      <c r="WYG22" s="1280"/>
      <c r="WYH22" s="1280"/>
      <c r="WYI22" s="1280"/>
      <c r="WYJ22" s="1280"/>
      <c r="WYK22" s="1280"/>
      <c r="WYL22" s="1280"/>
      <c r="WYM22" s="1280"/>
      <c r="WYN22" s="1280"/>
      <c r="WYO22" s="1280"/>
      <c r="WYP22" s="1280"/>
      <c r="WYQ22" s="1280"/>
      <c r="WYR22" s="1280"/>
      <c r="WYS22" s="1280"/>
      <c r="WYT22" s="1280"/>
      <c r="WYU22" s="1280"/>
      <c r="WYV22" s="1280"/>
      <c r="WYW22" s="1280"/>
      <c r="WYX22" s="1280"/>
      <c r="WYY22" s="1280"/>
      <c r="WYZ22" s="1280"/>
      <c r="WZA22" s="1280"/>
      <c r="WZB22" s="1280"/>
      <c r="WZC22" s="1280"/>
      <c r="WZD22" s="1280"/>
      <c r="WZE22" s="1280"/>
      <c r="WZF22" s="1280"/>
      <c r="WZG22" s="1280"/>
      <c r="WZH22" s="1280"/>
      <c r="WZI22" s="1280"/>
      <c r="WZJ22" s="1280"/>
      <c r="WZK22" s="1280"/>
      <c r="WZL22" s="1280"/>
      <c r="WZM22" s="1280"/>
      <c r="WZN22" s="1280"/>
      <c r="WZO22" s="1280"/>
      <c r="WZP22" s="1280"/>
      <c r="WZQ22" s="1280"/>
      <c r="WZR22" s="1280"/>
      <c r="WZS22" s="1280"/>
      <c r="WZT22" s="1280"/>
      <c r="WZU22" s="1280"/>
      <c r="WZV22" s="1280"/>
      <c r="WZW22" s="1280"/>
      <c r="WZX22" s="1280"/>
      <c r="WZY22" s="1280"/>
      <c r="WZZ22" s="1280"/>
      <c r="XAA22" s="1280"/>
      <c r="XAB22" s="1280"/>
      <c r="XAC22" s="1280"/>
      <c r="XAD22" s="1280"/>
      <c r="XAE22" s="1280"/>
      <c r="XAF22" s="1280"/>
      <c r="XAG22" s="1280"/>
      <c r="XAH22" s="1280"/>
      <c r="XAI22" s="1280"/>
      <c r="XAJ22" s="1280"/>
      <c r="XAK22" s="1280"/>
      <c r="XAL22" s="1280"/>
      <c r="XAM22" s="1280"/>
      <c r="XAN22" s="1280"/>
      <c r="XAO22" s="1280"/>
      <c r="XAP22" s="1280"/>
      <c r="XAQ22" s="1280"/>
      <c r="XAR22" s="1280"/>
      <c r="XAS22" s="1280"/>
      <c r="XAT22" s="1280"/>
      <c r="XAU22" s="1280"/>
      <c r="XAV22" s="1280"/>
      <c r="XAW22" s="1280"/>
      <c r="XAX22" s="1280"/>
      <c r="XAY22" s="1280"/>
      <c r="XAZ22" s="1280"/>
      <c r="XBA22" s="1280"/>
      <c r="XBB22" s="1280"/>
      <c r="XBC22" s="1280"/>
      <c r="XBD22" s="1280"/>
      <c r="XBE22" s="1280"/>
      <c r="XBF22" s="1280"/>
      <c r="XBG22" s="1280"/>
      <c r="XBH22" s="1280"/>
      <c r="XBI22" s="1280"/>
      <c r="XBJ22" s="1280"/>
      <c r="XBK22" s="1280"/>
      <c r="XBL22" s="1280"/>
      <c r="XBM22" s="1280"/>
      <c r="XBN22" s="1280"/>
      <c r="XBO22" s="1280"/>
      <c r="XBP22" s="1280"/>
      <c r="XBQ22" s="1280"/>
      <c r="XBR22" s="1280"/>
      <c r="XBS22" s="1280"/>
      <c r="XBT22" s="1280"/>
      <c r="XBU22" s="1280"/>
      <c r="XBV22" s="1280"/>
      <c r="XBW22" s="1280"/>
      <c r="XBX22" s="1280"/>
      <c r="XBY22" s="1280"/>
      <c r="XBZ22" s="1280"/>
      <c r="XCA22" s="1280"/>
      <c r="XCB22" s="1280"/>
      <c r="XCC22" s="1280"/>
      <c r="XCD22" s="1280"/>
      <c r="XCE22" s="1280"/>
      <c r="XCF22" s="1280"/>
      <c r="XCG22" s="1280"/>
      <c r="XCH22" s="1280"/>
      <c r="XCI22" s="1280"/>
      <c r="XCJ22" s="1280"/>
      <c r="XCK22" s="1280"/>
      <c r="XCL22" s="1280"/>
      <c r="XCM22" s="1280"/>
      <c r="XCN22" s="1280"/>
      <c r="XCO22" s="1280"/>
      <c r="XCP22" s="1280"/>
      <c r="XCQ22" s="1280"/>
      <c r="XCR22" s="1280"/>
      <c r="XCS22" s="1280"/>
      <c r="XCT22" s="1280"/>
      <c r="XCU22" s="1280"/>
      <c r="XCV22" s="1280"/>
      <c r="XCW22" s="1280"/>
      <c r="XCX22" s="1280"/>
      <c r="XCY22" s="1280"/>
      <c r="XCZ22" s="1280"/>
      <c r="XDA22" s="1280"/>
      <c r="XDB22" s="1280"/>
      <c r="XDC22" s="1280"/>
      <c r="XDD22" s="1280"/>
      <c r="XDE22" s="1280"/>
      <c r="XDF22" s="1280"/>
      <c r="XDG22" s="1280"/>
      <c r="XDH22" s="1280"/>
      <c r="XDI22" s="1280"/>
      <c r="XDJ22" s="1280"/>
      <c r="XDK22" s="1280"/>
      <c r="XDL22" s="1280"/>
      <c r="XDM22" s="1280"/>
      <c r="XDN22" s="1280"/>
      <c r="XDO22" s="1280"/>
      <c r="XDP22" s="1280"/>
      <c r="XDQ22" s="1280"/>
      <c r="XDR22" s="1280"/>
      <c r="XDS22" s="1280"/>
      <c r="XDT22" s="1280"/>
      <c r="XDU22" s="1280"/>
      <c r="XDV22" s="1280"/>
      <c r="XDW22" s="1280"/>
      <c r="XDX22" s="1280"/>
      <c r="XDY22" s="1280"/>
      <c r="XDZ22" s="1280"/>
      <c r="XEA22" s="1280"/>
      <c r="XEB22" s="1280"/>
      <c r="XEC22" s="1280"/>
      <c r="XED22" s="1280"/>
      <c r="XEE22" s="1280"/>
      <c r="XEF22" s="1280"/>
      <c r="XEG22" s="1280"/>
      <c r="XEH22" s="1280"/>
      <c r="XEI22" s="1280"/>
      <c r="XEJ22" s="1280"/>
      <c r="XEK22" s="1280"/>
      <c r="XEL22" s="1280"/>
      <c r="XEM22" s="1280"/>
      <c r="XEN22" s="1280"/>
      <c r="XEO22" s="1280"/>
      <c r="XEP22" s="1280"/>
      <c r="XEQ22" s="1280"/>
      <c r="XER22" s="1280"/>
      <c r="XES22" s="1280"/>
      <c r="XET22" s="1280"/>
      <c r="XEU22" s="1280"/>
      <c r="XEV22" s="1280"/>
      <c r="XEW22" s="1280"/>
      <c r="XEX22" s="1280"/>
      <c r="XEY22" s="1280"/>
      <c r="XEZ22" s="1280"/>
      <c r="XFA22" s="1280"/>
      <c r="XFB22" s="1280"/>
      <c r="XFC22" s="1280"/>
    </row>
    <row r="23" spans="1:16383" s="857" customFormat="1" ht="42.75" customHeight="1" x14ac:dyDescent="0.2">
      <c r="A23" s="857" t="s">
        <v>4895</v>
      </c>
      <c r="B23" s="1280" t="e">
        <v>#N/A</v>
      </c>
      <c r="C23" s="1280"/>
      <c r="D23" s="1280"/>
      <c r="E23" s="1281"/>
      <c r="F23" s="1287" t="s">
        <v>5194</v>
      </c>
      <c r="G23" s="1282"/>
      <c r="H23" s="1283" t="s">
        <v>2494</v>
      </c>
      <c r="I23" s="1284"/>
      <c r="J23" s="1288" t="s">
        <v>519</v>
      </c>
      <c r="K23" s="1289">
        <v>2000</v>
      </c>
      <c r="L23" s="1289"/>
      <c r="M23" s="1289"/>
      <c r="N23" s="1288" t="s">
        <v>5196</v>
      </c>
      <c r="O23" s="1283">
        <v>2008</v>
      </c>
      <c r="P23" s="1285"/>
      <c r="Q23" s="1288" t="s">
        <v>5084</v>
      </c>
      <c r="R23" s="1285"/>
      <c r="S23" s="1288" t="s">
        <v>5085</v>
      </c>
      <c r="T23" s="1286">
        <v>1796614592.499243</v>
      </c>
      <c r="U23" s="1289" t="s">
        <v>43</v>
      </c>
      <c r="V23" s="1288" t="s">
        <v>5098</v>
      </c>
      <c r="W23" s="968"/>
      <c r="X23" s="884" t="str">
        <f t="shared" si="4"/>
        <v>04.13.01</v>
      </c>
      <c r="Y23" s="884" t="str">
        <f t="shared" si="1"/>
        <v>Jalan</v>
      </c>
      <c r="Z23" s="884">
        <f t="shared" si="2"/>
        <v>10</v>
      </c>
      <c r="AA23" s="868">
        <f t="shared" si="5"/>
        <v>179661459.2499243</v>
      </c>
      <c r="AB23" s="885">
        <f t="shared" si="6"/>
        <v>6</v>
      </c>
      <c r="AC23" s="868">
        <f t="shared" si="7"/>
        <v>1077968755.4995458</v>
      </c>
      <c r="AD23" s="868">
        <f t="shared" si="8"/>
        <v>179661459.2499243</v>
      </c>
      <c r="AE23" s="868">
        <f t="shared" si="9"/>
        <v>179661459.2499243</v>
      </c>
      <c r="AF23" s="868">
        <f t="shared" si="10"/>
        <v>179661459.2499243</v>
      </c>
      <c r="AG23" s="868">
        <f t="shared" si="11"/>
        <v>179661459.2499243</v>
      </c>
      <c r="AH23" s="886">
        <f t="shared" si="12"/>
        <v>0</v>
      </c>
      <c r="AI23" s="886">
        <f t="shared" si="13"/>
        <v>1796614592.4992428</v>
      </c>
      <c r="AJ23" s="868">
        <f t="shared" si="14"/>
        <v>0</v>
      </c>
      <c r="AK23" s="898">
        <f t="shared" si="3"/>
        <v>1796614592.4992428</v>
      </c>
      <c r="AL23" s="1280"/>
      <c r="AM23" s="1280"/>
      <c r="AN23" s="1280"/>
      <c r="AO23" s="1280"/>
      <c r="AP23" s="1280"/>
      <c r="AQ23" s="1280"/>
      <c r="AR23" s="1280"/>
      <c r="AS23" s="1280"/>
      <c r="AT23" s="1280"/>
      <c r="AU23" s="1280"/>
      <c r="AV23" s="1280"/>
      <c r="AW23" s="1280"/>
      <c r="AX23" s="1280"/>
      <c r="AY23" s="1280"/>
      <c r="AZ23" s="1280"/>
      <c r="BA23" s="1280"/>
      <c r="BB23" s="1280"/>
      <c r="BC23" s="1280"/>
      <c r="BD23" s="1280"/>
      <c r="BE23" s="1280"/>
      <c r="BF23" s="1280"/>
      <c r="BG23" s="1280"/>
      <c r="BH23" s="1280"/>
      <c r="BI23" s="1280"/>
      <c r="BJ23" s="1280"/>
      <c r="BK23" s="1280"/>
      <c r="BL23" s="1280"/>
      <c r="BM23" s="1280"/>
      <c r="BN23" s="1280"/>
      <c r="BO23" s="1280"/>
      <c r="BP23" s="1280"/>
      <c r="BQ23" s="1280"/>
      <c r="BR23" s="1280"/>
      <c r="BS23" s="1280"/>
      <c r="BT23" s="1280"/>
      <c r="BU23" s="1280"/>
      <c r="BV23" s="1280"/>
      <c r="BW23" s="1280"/>
      <c r="BX23" s="1280"/>
      <c r="BY23" s="1280"/>
      <c r="BZ23" s="1280"/>
      <c r="CA23" s="1280"/>
      <c r="CB23" s="1280"/>
      <c r="CC23" s="1280"/>
      <c r="CD23" s="1280"/>
      <c r="CE23" s="1280"/>
      <c r="CF23" s="1280"/>
      <c r="CG23" s="1280"/>
      <c r="CH23" s="1280"/>
      <c r="CI23" s="1280"/>
      <c r="CJ23" s="1280"/>
      <c r="CK23" s="1280"/>
      <c r="CL23" s="1280"/>
      <c r="CM23" s="1280"/>
      <c r="CN23" s="1280"/>
      <c r="CO23" s="1280"/>
      <c r="CP23" s="1280"/>
      <c r="CQ23" s="1280"/>
      <c r="CR23" s="1280"/>
      <c r="CS23" s="1280"/>
      <c r="CT23" s="1280"/>
      <c r="CU23" s="1280"/>
      <c r="CV23" s="1280"/>
      <c r="CW23" s="1280"/>
      <c r="CX23" s="1280"/>
      <c r="CY23" s="1280"/>
      <c r="CZ23" s="1280"/>
      <c r="DA23" s="1280"/>
      <c r="DB23" s="1280"/>
      <c r="DC23" s="1280"/>
      <c r="DD23" s="1280"/>
      <c r="DE23" s="1280"/>
      <c r="DF23" s="1280"/>
      <c r="DG23" s="1280"/>
      <c r="DH23" s="1280"/>
      <c r="DI23" s="1280"/>
      <c r="DJ23" s="1280"/>
      <c r="DK23" s="1280"/>
      <c r="DL23" s="1280"/>
      <c r="DM23" s="1280"/>
      <c r="DN23" s="1280"/>
      <c r="DO23" s="1280"/>
      <c r="DP23" s="1280"/>
      <c r="DQ23" s="1280"/>
      <c r="DR23" s="1280"/>
      <c r="DS23" s="1280"/>
      <c r="DT23" s="1280"/>
      <c r="DU23" s="1280"/>
      <c r="DV23" s="1280"/>
      <c r="DW23" s="1280"/>
      <c r="DX23" s="1280"/>
      <c r="DY23" s="1280"/>
      <c r="DZ23" s="1280"/>
      <c r="EA23" s="1280"/>
      <c r="EB23" s="1280"/>
      <c r="EC23" s="1280"/>
      <c r="ED23" s="1280"/>
      <c r="EE23" s="1280"/>
      <c r="EF23" s="1280"/>
      <c r="EG23" s="1280"/>
      <c r="EH23" s="1280"/>
      <c r="EI23" s="1280"/>
      <c r="EJ23" s="1280"/>
      <c r="EK23" s="1280"/>
      <c r="EL23" s="1280"/>
      <c r="EM23" s="1280"/>
      <c r="EN23" s="1280"/>
      <c r="EO23" s="1280"/>
      <c r="EP23" s="1280"/>
      <c r="EQ23" s="1280"/>
      <c r="ER23" s="1280"/>
      <c r="ES23" s="1280"/>
      <c r="ET23" s="1280"/>
      <c r="EU23" s="1280"/>
      <c r="EV23" s="1280"/>
      <c r="EW23" s="1280"/>
      <c r="EX23" s="1280"/>
      <c r="EY23" s="1280"/>
      <c r="EZ23" s="1280"/>
      <c r="FA23" s="1280"/>
      <c r="FB23" s="1280"/>
      <c r="FC23" s="1280"/>
      <c r="FD23" s="1280"/>
      <c r="FE23" s="1280"/>
      <c r="FF23" s="1280"/>
      <c r="FG23" s="1280"/>
      <c r="FH23" s="1280"/>
      <c r="FI23" s="1280"/>
      <c r="FJ23" s="1280"/>
      <c r="FK23" s="1280"/>
      <c r="FL23" s="1280"/>
      <c r="FM23" s="1280"/>
      <c r="FN23" s="1280"/>
      <c r="FO23" s="1280"/>
      <c r="FP23" s="1280"/>
      <c r="FQ23" s="1280"/>
      <c r="FR23" s="1280"/>
      <c r="FS23" s="1280"/>
      <c r="FT23" s="1280"/>
      <c r="FU23" s="1280"/>
      <c r="FV23" s="1280"/>
      <c r="FW23" s="1280"/>
      <c r="FX23" s="1280"/>
      <c r="FY23" s="1280"/>
      <c r="FZ23" s="1280"/>
      <c r="GA23" s="1280"/>
      <c r="GB23" s="1280"/>
      <c r="GC23" s="1280"/>
      <c r="GD23" s="1280"/>
      <c r="GE23" s="1280"/>
      <c r="GF23" s="1280"/>
      <c r="GG23" s="1280"/>
      <c r="GH23" s="1280"/>
      <c r="GI23" s="1280"/>
      <c r="GJ23" s="1280"/>
      <c r="GK23" s="1280"/>
      <c r="GL23" s="1280"/>
      <c r="GM23" s="1280"/>
      <c r="GN23" s="1280"/>
      <c r="GO23" s="1280"/>
      <c r="GP23" s="1280"/>
      <c r="GQ23" s="1280"/>
      <c r="GR23" s="1280"/>
      <c r="GS23" s="1280"/>
      <c r="GT23" s="1280"/>
      <c r="GU23" s="1280"/>
      <c r="GV23" s="1280"/>
      <c r="GW23" s="1280"/>
      <c r="GX23" s="1280"/>
      <c r="GY23" s="1280"/>
      <c r="GZ23" s="1280"/>
      <c r="HA23" s="1280"/>
      <c r="HB23" s="1280"/>
      <c r="HC23" s="1280"/>
      <c r="HD23" s="1280"/>
      <c r="HE23" s="1280"/>
      <c r="HF23" s="1280"/>
      <c r="HG23" s="1280"/>
      <c r="HH23" s="1280"/>
      <c r="HI23" s="1280"/>
      <c r="HJ23" s="1280"/>
      <c r="HK23" s="1280"/>
      <c r="HL23" s="1280"/>
      <c r="HM23" s="1280"/>
      <c r="HN23" s="1280"/>
      <c r="HO23" s="1280"/>
      <c r="HP23" s="1280"/>
      <c r="HQ23" s="1280"/>
      <c r="HR23" s="1280"/>
      <c r="HS23" s="1280"/>
      <c r="HT23" s="1280"/>
      <c r="HU23" s="1280"/>
      <c r="HV23" s="1280"/>
      <c r="HW23" s="1280"/>
      <c r="HX23" s="1280"/>
      <c r="HY23" s="1280"/>
      <c r="HZ23" s="1280"/>
      <c r="IA23" s="1280"/>
      <c r="IB23" s="1280"/>
      <c r="IC23" s="1280"/>
      <c r="ID23" s="1280"/>
      <c r="IE23" s="1280"/>
      <c r="IF23" s="1280"/>
      <c r="IG23" s="1280"/>
      <c r="IH23" s="1280"/>
      <c r="II23" s="1280"/>
      <c r="IJ23" s="1280"/>
      <c r="IK23" s="1280"/>
      <c r="IL23" s="1280"/>
      <c r="IM23" s="1280"/>
      <c r="IN23" s="1280"/>
      <c r="IO23" s="1280"/>
      <c r="IP23" s="1280"/>
      <c r="IQ23" s="1280"/>
      <c r="IR23" s="1280"/>
      <c r="IS23" s="1280"/>
      <c r="IT23" s="1280"/>
      <c r="IU23" s="1280"/>
      <c r="IV23" s="1280"/>
      <c r="IW23" s="1280"/>
      <c r="IX23" s="1280"/>
      <c r="IY23" s="1280"/>
      <c r="IZ23" s="1280"/>
      <c r="JA23" s="1280"/>
      <c r="JB23" s="1280"/>
      <c r="JC23" s="1280"/>
      <c r="JD23" s="1280"/>
      <c r="JE23" s="1280"/>
      <c r="JF23" s="1280"/>
      <c r="JG23" s="1280"/>
      <c r="JH23" s="1280"/>
      <c r="JI23" s="1280"/>
      <c r="JJ23" s="1280"/>
      <c r="JK23" s="1280"/>
      <c r="JL23" s="1280"/>
      <c r="JM23" s="1280"/>
      <c r="JN23" s="1280"/>
      <c r="JO23" s="1280"/>
      <c r="JP23" s="1280"/>
      <c r="JQ23" s="1280"/>
      <c r="JR23" s="1280"/>
      <c r="JS23" s="1280"/>
      <c r="JT23" s="1280"/>
      <c r="JU23" s="1280"/>
      <c r="JV23" s="1280"/>
      <c r="JW23" s="1280"/>
      <c r="JX23" s="1280"/>
      <c r="JY23" s="1280"/>
      <c r="JZ23" s="1280"/>
      <c r="KA23" s="1280"/>
      <c r="KB23" s="1280"/>
      <c r="KC23" s="1280"/>
      <c r="KD23" s="1280"/>
      <c r="KE23" s="1280"/>
      <c r="KF23" s="1280"/>
      <c r="KG23" s="1280"/>
      <c r="KH23" s="1280"/>
      <c r="KI23" s="1280"/>
      <c r="KJ23" s="1280"/>
      <c r="KK23" s="1280"/>
      <c r="KL23" s="1280"/>
      <c r="KM23" s="1280"/>
      <c r="KN23" s="1280"/>
      <c r="KO23" s="1280"/>
      <c r="KP23" s="1280"/>
      <c r="KQ23" s="1280"/>
      <c r="KR23" s="1280"/>
      <c r="KS23" s="1280"/>
      <c r="KT23" s="1280"/>
      <c r="KU23" s="1280"/>
      <c r="KV23" s="1280"/>
      <c r="KW23" s="1280"/>
      <c r="KX23" s="1280"/>
      <c r="KY23" s="1280"/>
      <c r="KZ23" s="1280"/>
      <c r="LA23" s="1280"/>
      <c r="LB23" s="1280"/>
      <c r="LC23" s="1280"/>
      <c r="LD23" s="1280"/>
      <c r="LE23" s="1280"/>
      <c r="LF23" s="1280"/>
      <c r="LG23" s="1280"/>
      <c r="LH23" s="1280"/>
      <c r="LI23" s="1280"/>
      <c r="LJ23" s="1280"/>
      <c r="LK23" s="1280"/>
      <c r="LL23" s="1280"/>
      <c r="LM23" s="1280"/>
      <c r="LN23" s="1280"/>
      <c r="LO23" s="1280"/>
      <c r="LP23" s="1280"/>
      <c r="LQ23" s="1280"/>
      <c r="LR23" s="1280"/>
      <c r="LS23" s="1280"/>
      <c r="LT23" s="1280"/>
      <c r="LU23" s="1280"/>
      <c r="LV23" s="1280"/>
      <c r="LW23" s="1280"/>
      <c r="LX23" s="1280"/>
      <c r="LY23" s="1280"/>
      <c r="LZ23" s="1280"/>
      <c r="MA23" s="1280"/>
      <c r="MB23" s="1280"/>
      <c r="MC23" s="1280"/>
      <c r="MD23" s="1280"/>
      <c r="ME23" s="1280"/>
      <c r="MF23" s="1280"/>
      <c r="MG23" s="1280"/>
      <c r="MH23" s="1280"/>
      <c r="MI23" s="1280"/>
      <c r="MJ23" s="1280"/>
      <c r="MK23" s="1280"/>
      <c r="ML23" s="1280"/>
      <c r="MM23" s="1280"/>
      <c r="MN23" s="1280"/>
      <c r="MO23" s="1280"/>
      <c r="MP23" s="1280"/>
      <c r="MQ23" s="1280"/>
      <c r="MR23" s="1280"/>
      <c r="MS23" s="1280"/>
      <c r="MT23" s="1280"/>
      <c r="MU23" s="1280"/>
      <c r="MV23" s="1280"/>
      <c r="MW23" s="1280"/>
      <c r="MX23" s="1280"/>
      <c r="MY23" s="1280"/>
      <c r="MZ23" s="1280"/>
      <c r="NA23" s="1280"/>
      <c r="NB23" s="1280"/>
      <c r="NC23" s="1280"/>
      <c r="ND23" s="1280"/>
      <c r="NE23" s="1280"/>
      <c r="NF23" s="1280"/>
      <c r="NG23" s="1280"/>
      <c r="NH23" s="1280"/>
      <c r="NI23" s="1280"/>
      <c r="NJ23" s="1280"/>
      <c r="NK23" s="1280"/>
      <c r="NL23" s="1280"/>
      <c r="NM23" s="1280"/>
      <c r="NN23" s="1280"/>
      <c r="NO23" s="1280"/>
      <c r="NP23" s="1280"/>
      <c r="NQ23" s="1280"/>
      <c r="NR23" s="1280"/>
      <c r="NS23" s="1280"/>
      <c r="NT23" s="1280"/>
      <c r="NU23" s="1280"/>
      <c r="NV23" s="1280"/>
      <c r="NW23" s="1280"/>
      <c r="NX23" s="1280"/>
      <c r="NY23" s="1280"/>
      <c r="NZ23" s="1280"/>
      <c r="OA23" s="1280"/>
      <c r="OB23" s="1280"/>
      <c r="OC23" s="1280"/>
      <c r="OD23" s="1280"/>
      <c r="OE23" s="1280"/>
      <c r="OF23" s="1280"/>
      <c r="OG23" s="1280"/>
      <c r="OH23" s="1280"/>
      <c r="OI23" s="1280"/>
      <c r="OJ23" s="1280"/>
      <c r="OK23" s="1280"/>
      <c r="OL23" s="1280"/>
      <c r="OM23" s="1280"/>
      <c r="ON23" s="1280"/>
      <c r="OO23" s="1280"/>
      <c r="OP23" s="1280"/>
      <c r="OQ23" s="1280"/>
      <c r="OR23" s="1280"/>
      <c r="OS23" s="1280"/>
      <c r="OT23" s="1280"/>
      <c r="OU23" s="1280"/>
      <c r="OV23" s="1280"/>
      <c r="OW23" s="1280"/>
      <c r="OX23" s="1280"/>
      <c r="OY23" s="1280"/>
      <c r="OZ23" s="1280"/>
      <c r="PA23" s="1280"/>
      <c r="PB23" s="1280"/>
      <c r="PC23" s="1280"/>
      <c r="PD23" s="1280"/>
      <c r="PE23" s="1280"/>
      <c r="PF23" s="1280"/>
      <c r="PG23" s="1280"/>
      <c r="PH23" s="1280"/>
      <c r="PI23" s="1280"/>
      <c r="PJ23" s="1280"/>
      <c r="PK23" s="1280"/>
      <c r="PL23" s="1280"/>
      <c r="PM23" s="1280"/>
      <c r="PN23" s="1280"/>
      <c r="PO23" s="1280"/>
      <c r="PP23" s="1280"/>
      <c r="PQ23" s="1280"/>
      <c r="PR23" s="1280"/>
      <c r="PS23" s="1280"/>
      <c r="PT23" s="1280"/>
      <c r="PU23" s="1280"/>
      <c r="PV23" s="1280"/>
      <c r="PW23" s="1280"/>
      <c r="PX23" s="1280"/>
      <c r="PY23" s="1280"/>
      <c r="PZ23" s="1280"/>
      <c r="QA23" s="1280"/>
      <c r="QB23" s="1280"/>
      <c r="QC23" s="1280"/>
      <c r="QD23" s="1280"/>
      <c r="QE23" s="1280"/>
      <c r="QF23" s="1280"/>
      <c r="QG23" s="1280"/>
      <c r="QH23" s="1280"/>
      <c r="QI23" s="1280"/>
      <c r="QJ23" s="1280"/>
      <c r="QK23" s="1280"/>
      <c r="QL23" s="1280"/>
      <c r="QM23" s="1280"/>
      <c r="QN23" s="1280"/>
      <c r="QO23" s="1280"/>
      <c r="QP23" s="1280"/>
      <c r="QQ23" s="1280"/>
      <c r="QR23" s="1280"/>
      <c r="QS23" s="1280"/>
      <c r="QT23" s="1280"/>
      <c r="QU23" s="1280"/>
      <c r="QV23" s="1280"/>
      <c r="QW23" s="1280"/>
      <c r="QX23" s="1280"/>
      <c r="QY23" s="1280"/>
      <c r="QZ23" s="1280"/>
      <c r="RA23" s="1280"/>
      <c r="RB23" s="1280"/>
      <c r="RC23" s="1280"/>
      <c r="RD23" s="1280"/>
      <c r="RE23" s="1280"/>
      <c r="RF23" s="1280"/>
      <c r="RG23" s="1280"/>
      <c r="RH23" s="1280"/>
      <c r="RI23" s="1280"/>
      <c r="RJ23" s="1280"/>
      <c r="RK23" s="1280"/>
      <c r="RL23" s="1280"/>
      <c r="RM23" s="1280"/>
      <c r="RN23" s="1280"/>
      <c r="RO23" s="1280"/>
      <c r="RP23" s="1280"/>
      <c r="RQ23" s="1280"/>
      <c r="RR23" s="1280"/>
      <c r="RS23" s="1280"/>
      <c r="RT23" s="1280"/>
      <c r="RU23" s="1280"/>
      <c r="RV23" s="1280"/>
      <c r="RW23" s="1280"/>
      <c r="RX23" s="1280"/>
      <c r="RY23" s="1280"/>
      <c r="RZ23" s="1280"/>
      <c r="SA23" s="1280"/>
      <c r="SB23" s="1280"/>
      <c r="SC23" s="1280"/>
      <c r="SD23" s="1280"/>
      <c r="SE23" s="1280"/>
      <c r="SF23" s="1280"/>
      <c r="SG23" s="1280"/>
      <c r="SH23" s="1280"/>
      <c r="SI23" s="1280"/>
      <c r="SJ23" s="1280"/>
      <c r="SK23" s="1280"/>
      <c r="SL23" s="1280"/>
      <c r="SM23" s="1280"/>
      <c r="SN23" s="1280"/>
      <c r="SO23" s="1280"/>
      <c r="SP23" s="1280"/>
      <c r="SQ23" s="1280"/>
      <c r="SR23" s="1280"/>
      <c r="SS23" s="1280"/>
      <c r="ST23" s="1280"/>
      <c r="SU23" s="1280"/>
      <c r="SV23" s="1280"/>
      <c r="SW23" s="1280"/>
      <c r="SX23" s="1280"/>
      <c r="SY23" s="1280"/>
      <c r="SZ23" s="1280"/>
      <c r="TA23" s="1280"/>
      <c r="TB23" s="1280"/>
      <c r="TC23" s="1280"/>
      <c r="TD23" s="1280"/>
      <c r="TE23" s="1280"/>
      <c r="TF23" s="1280"/>
      <c r="TG23" s="1280"/>
      <c r="TH23" s="1280"/>
      <c r="TI23" s="1280"/>
      <c r="TJ23" s="1280"/>
      <c r="TK23" s="1280"/>
      <c r="TL23" s="1280"/>
      <c r="TM23" s="1280"/>
      <c r="TN23" s="1280"/>
      <c r="TO23" s="1280"/>
      <c r="TP23" s="1280"/>
      <c r="TQ23" s="1280"/>
      <c r="TR23" s="1280"/>
      <c r="TS23" s="1280"/>
      <c r="TT23" s="1280"/>
      <c r="TU23" s="1280"/>
      <c r="TV23" s="1280"/>
      <c r="TW23" s="1280"/>
      <c r="TX23" s="1280"/>
      <c r="TY23" s="1280"/>
      <c r="TZ23" s="1280"/>
      <c r="UA23" s="1280"/>
      <c r="UB23" s="1280"/>
      <c r="UC23" s="1280"/>
      <c r="UD23" s="1280"/>
      <c r="UE23" s="1280"/>
      <c r="UF23" s="1280"/>
      <c r="UG23" s="1280"/>
      <c r="UH23" s="1280"/>
      <c r="UI23" s="1280"/>
      <c r="UJ23" s="1280"/>
      <c r="UK23" s="1280"/>
      <c r="UL23" s="1280"/>
      <c r="UM23" s="1280"/>
      <c r="UN23" s="1280"/>
      <c r="UO23" s="1280"/>
      <c r="UP23" s="1280"/>
      <c r="UQ23" s="1280"/>
      <c r="UR23" s="1280"/>
      <c r="US23" s="1280"/>
      <c r="UT23" s="1280"/>
      <c r="UU23" s="1280"/>
      <c r="UV23" s="1280"/>
      <c r="UW23" s="1280"/>
      <c r="UX23" s="1280"/>
      <c r="UY23" s="1280"/>
      <c r="UZ23" s="1280"/>
      <c r="VA23" s="1280"/>
      <c r="VB23" s="1280"/>
      <c r="VC23" s="1280"/>
      <c r="VD23" s="1280"/>
      <c r="VE23" s="1280"/>
      <c r="VF23" s="1280"/>
      <c r="VG23" s="1280"/>
      <c r="VH23" s="1280"/>
      <c r="VI23" s="1280"/>
      <c r="VJ23" s="1280"/>
      <c r="VK23" s="1280"/>
      <c r="VL23" s="1280"/>
      <c r="VM23" s="1280"/>
      <c r="VN23" s="1280"/>
      <c r="VO23" s="1280"/>
      <c r="VP23" s="1280"/>
      <c r="VQ23" s="1280"/>
      <c r="VR23" s="1280"/>
      <c r="VS23" s="1280"/>
      <c r="VT23" s="1280"/>
      <c r="VU23" s="1280"/>
      <c r="VV23" s="1280"/>
      <c r="VW23" s="1280"/>
      <c r="VX23" s="1280"/>
      <c r="VY23" s="1280"/>
      <c r="VZ23" s="1280"/>
      <c r="WA23" s="1280"/>
      <c r="WB23" s="1280"/>
      <c r="WC23" s="1280"/>
      <c r="WD23" s="1280"/>
      <c r="WE23" s="1280"/>
      <c r="WF23" s="1280"/>
      <c r="WG23" s="1280"/>
      <c r="WH23" s="1280"/>
      <c r="WI23" s="1280"/>
      <c r="WJ23" s="1280"/>
      <c r="WK23" s="1280"/>
      <c r="WL23" s="1280"/>
      <c r="WM23" s="1280"/>
      <c r="WN23" s="1280"/>
      <c r="WO23" s="1280"/>
      <c r="WP23" s="1280"/>
      <c r="WQ23" s="1280"/>
      <c r="WR23" s="1280"/>
      <c r="WS23" s="1280"/>
      <c r="WT23" s="1280"/>
      <c r="WU23" s="1280"/>
      <c r="WV23" s="1280"/>
      <c r="WW23" s="1280"/>
      <c r="WX23" s="1280"/>
      <c r="WY23" s="1280"/>
      <c r="WZ23" s="1280"/>
      <c r="XA23" s="1280"/>
      <c r="XB23" s="1280"/>
      <c r="XC23" s="1280"/>
      <c r="XD23" s="1280"/>
      <c r="XE23" s="1280"/>
      <c r="XF23" s="1280"/>
      <c r="XG23" s="1280"/>
      <c r="XH23" s="1280"/>
      <c r="XI23" s="1280"/>
      <c r="XJ23" s="1280"/>
      <c r="XK23" s="1280"/>
      <c r="XL23" s="1280"/>
      <c r="XM23" s="1280"/>
      <c r="XN23" s="1280"/>
      <c r="XO23" s="1280"/>
      <c r="XP23" s="1280"/>
      <c r="XQ23" s="1280"/>
      <c r="XR23" s="1280"/>
      <c r="XS23" s="1280"/>
      <c r="XT23" s="1280"/>
      <c r="XU23" s="1280"/>
      <c r="XV23" s="1280"/>
      <c r="XW23" s="1280"/>
      <c r="XX23" s="1280"/>
      <c r="XY23" s="1280"/>
      <c r="XZ23" s="1280"/>
      <c r="YA23" s="1280"/>
      <c r="YB23" s="1280"/>
      <c r="YC23" s="1280"/>
      <c r="YD23" s="1280"/>
      <c r="YE23" s="1280"/>
      <c r="YF23" s="1280"/>
      <c r="YG23" s="1280"/>
      <c r="YH23" s="1280"/>
      <c r="YI23" s="1280"/>
      <c r="YJ23" s="1280"/>
      <c r="YK23" s="1280"/>
      <c r="YL23" s="1280"/>
      <c r="YM23" s="1280"/>
      <c r="YN23" s="1280"/>
      <c r="YO23" s="1280"/>
      <c r="YP23" s="1280"/>
      <c r="YQ23" s="1280"/>
      <c r="YR23" s="1280"/>
      <c r="YS23" s="1280"/>
      <c r="YT23" s="1280"/>
      <c r="YU23" s="1280"/>
      <c r="YV23" s="1280"/>
      <c r="YW23" s="1280"/>
      <c r="YX23" s="1280"/>
      <c r="YY23" s="1280"/>
      <c r="YZ23" s="1280"/>
      <c r="ZA23" s="1280"/>
      <c r="ZB23" s="1280"/>
      <c r="ZC23" s="1280"/>
      <c r="ZD23" s="1280"/>
      <c r="ZE23" s="1280"/>
      <c r="ZF23" s="1280"/>
      <c r="ZG23" s="1280"/>
      <c r="ZH23" s="1280"/>
      <c r="ZI23" s="1280"/>
      <c r="ZJ23" s="1280"/>
      <c r="ZK23" s="1280"/>
      <c r="ZL23" s="1280"/>
      <c r="ZM23" s="1280"/>
      <c r="ZN23" s="1280"/>
      <c r="ZO23" s="1280"/>
      <c r="ZP23" s="1280"/>
      <c r="ZQ23" s="1280"/>
      <c r="ZR23" s="1280"/>
      <c r="ZS23" s="1280"/>
      <c r="ZT23" s="1280"/>
      <c r="ZU23" s="1280"/>
      <c r="ZV23" s="1280"/>
      <c r="ZW23" s="1280"/>
      <c r="ZX23" s="1280"/>
      <c r="ZY23" s="1280"/>
      <c r="ZZ23" s="1280"/>
      <c r="AAA23" s="1280"/>
      <c r="AAB23" s="1280"/>
      <c r="AAC23" s="1280"/>
      <c r="AAD23" s="1280"/>
      <c r="AAE23" s="1280"/>
      <c r="AAF23" s="1280"/>
      <c r="AAG23" s="1280"/>
      <c r="AAH23" s="1280"/>
      <c r="AAI23" s="1280"/>
      <c r="AAJ23" s="1280"/>
      <c r="AAK23" s="1280"/>
      <c r="AAL23" s="1280"/>
      <c r="AAM23" s="1280"/>
      <c r="AAN23" s="1280"/>
      <c r="AAO23" s="1280"/>
      <c r="AAP23" s="1280"/>
      <c r="AAQ23" s="1280"/>
      <c r="AAR23" s="1280"/>
      <c r="AAS23" s="1280"/>
      <c r="AAT23" s="1280"/>
      <c r="AAU23" s="1280"/>
      <c r="AAV23" s="1280"/>
      <c r="AAW23" s="1280"/>
      <c r="AAX23" s="1280"/>
      <c r="AAY23" s="1280"/>
      <c r="AAZ23" s="1280"/>
      <c r="ABA23" s="1280"/>
      <c r="ABB23" s="1280"/>
      <c r="ABC23" s="1280"/>
      <c r="ABD23" s="1280"/>
      <c r="ABE23" s="1280"/>
      <c r="ABF23" s="1280"/>
      <c r="ABG23" s="1280"/>
      <c r="ABH23" s="1280"/>
      <c r="ABI23" s="1280"/>
      <c r="ABJ23" s="1280"/>
      <c r="ABK23" s="1280"/>
      <c r="ABL23" s="1280"/>
      <c r="ABM23" s="1280"/>
      <c r="ABN23" s="1280"/>
      <c r="ABO23" s="1280"/>
      <c r="ABP23" s="1280"/>
      <c r="ABQ23" s="1280"/>
      <c r="ABR23" s="1280"/>
      <c r="ABS23" s="1280"/>
      <c r="ABT23" s="1280"/>
      <c r="ABU23" s="1280"/>
      <c r="ABV23" s="1280"/>
      <c r="ABW23" s="1280"/>
      <c r="ABX23" s="1280"/>
      <c r="ABY23" s="1280"/>
      <c r="ABZ23" s="1280"/>
      <c r="ACA23" s="1280"/>
      <c r="ACB23" s="1280"/>
      <c r="ACC23" s="1280"/>
      <c r="ACD23" s="1280"/>
      <c r="ACE23" s="1280"/>
      <c r="ACF23" s="1280"/>
      <c r="ACG23" s="1280"/>
      <c r="ACH23" s="1280"/>
      <c r="ACI23" s="1280"/>
      <c r="ACJ23" s="1280"/>
      <c r="ACK23" s="1280"/>
      <c r="ACL23" s="1280"/>
      <c r="ACM23" s="1280"/>
      <c r="ACN23" s="1280"/>
      <c r="ACO23" s="1280"/>
      <c r="ACP23" s="1280"/>
      <c r="ACQ23" s="1280"/>
      <c r="ACR23" s="1280"/>
      <c r="ACS23" s="1280"/>
      <c r="ACT23" s="1280"/>
      <c r="ACU23" s="1280"/>
      <c r="ACV23" s="1280"/>
      <c r="ACW23" s="1280"/>
      <c r="ACX23" s="1280"/>
      <c r="ACY23" s="1280"/>
      <c r="ACZ23" s="1280"/>
      <c r="ADA23" s="1280"/>
      <c r="ADB23" s="1280"/>
      <c r="ADC23" s="1280"/>
      <c r="ADD23" s="1280"/>
      <c r="ADE23" s="1280"/>
      <c r="ADF23" s="1280"/>
      <c r="ADG23" s="1280"/>
      <c r="ADH23" s="1280"/>
      <c r="ADI23" s="1280"/>
      <c r="ADJ23" s="1280"/>
      <c r="ADK23" s="1280"/>
      <c r="ADL23" s="1280"/>
      <c r="ADM23" s="1280"/>
      <c r="ADN23" s="1280"/>
      <c r="ADO23" s="1280"/>
      <c r="ADP23" s="1280"/>
      <c r="ADQ23" s="1280"/>
      <c r="ADR23" s="1280"/>
      <c r="ADS23" s="1280"/>
      <c r="ADT23" s="1280"/>
      <c r="ADU23" s="1280"/>
      <c r="ADV23" s="1280"/>
      <c r="ADW23" s="1280"/>
      <c r="ADX23" s="1280"/>
      <c r="ADY23" s="1280"/>
      <c r="ADZ23" s="1280"/>
      <c r="AEA23" s="1280"/>
      <c r="AEB23" s="1280"/>
      <c r="AEC23" s="1280"/>
      <c r="AED23" s="1280"/>
      <c r="AEE23" s="1280"/>
      <c r="AEF23" s="1280"/>
      <c r="AEG23" s="1280"/>
      <c r="AEH23" s="1280"/>
      <c r="AEI23" s="1280"/>
      <c r="AEJ23" s="1280"/>
      <c r="AEK23" s="1280"/>
      <c r="AEL23" s="1280"/>
      <c r="AEM23" s="1280"/>
      <c r="AEN23" s="1280"/>
      <c r="AEO23" s="1280"/>
      <c r="AEP23" s="1280"/>
      <c r="AEQ23" s="1280"/>
      <c r="AER23" s="1280"/>
      <c r="AES23" s="1280"/>
      <c r="AET23" s="1280"/>
      <c r="AEU23" s="1280"/>
      <c r="AEV23" s="1280"/>
      <c r="AEW23" s="1280"/>
      <c r="AEX23" s="1280"/>
      <c r="AEY23" s="1280"/>
      <c r="AEZ23" s="1280"/>
      <c r="AFA23" s="1280"/>
      <c r="AFB23" s="1280"/>
      <c r="AFC23" s="1280"/>
      <c r="AFD23" s="1280"/>
      <c r="AFE23" s="1280"/>
      <c r="AFF23" s="1280"/>
      <c r="AFG23" s="1280"/>
      <c r="AFH23" s="1280"/>
      <c r="AFI23" s="1280"/>
      <c r="AFJ23" s="1280"/>
      <c r="AFK23" s="1280"/>
      <c r="AFL23" s="1280"/>
      <c r="AFM23" s="1280"/>
      <c r="AFN23" s="1280"/>
      <c r="AFO23" s="1280"/>
      <c r="AFP23" s="1280"/>
      <c r="AFQ23" s="1280"/>
      <c r="AFR23" s="1280"/>
      <c r="AFS23" s="1280"/>
      <c r="AFT23" s="1280"/>
      <c r="AFU23" s="1280"/>
      <c r="AFV23" s="1280"/>
      <c r="AFW23" s="1280"/>
      <c r="AFX23" s="1280"/>
      <c r="AFY23" s="1280"/>
      <c r="AFZ23" s="1280"/>
      <c r="AGA23" s="1280"/>
      <c r="AGB23" s="1280"/>
      <c r="AGC23" s="1280"/>
      <c r="AGD23" s="1280"/>
      <c r="AGE23" s="1280"/>
      <c r="AGF23" s="1280"/>
      <c r="AGG23" s="1280"/>
      <c r="AGH23" s="1280"/>
      <c r="AGI23" s="1280"/>
      <c r="AGJ23" s="1280"/>
      <c r="AGK23" s="1280"/>
      <c r="AGL23" s="1280"/>
      <c r="AGM23" s="1280"/>
      <c r="AGN23" s="1280"/>
      <c r="AGO23" s="1280"/>
      <c r="AGP23" s="1280"/>
      <c r="AGQ23" s="1280"/>
      <c r="AGR23" s="1280"/>
      <c r="AGS23" s="1280"/>
      <c r="AGT23" s="1280"/>
      <c r="AGU23" s="1280"/>
      <c r="AGV23" s="1280"/>
      <c r="AGW23" s="1280"/>
      <c r="AGX23" s="1280"/>
      <c r="AGY23" s="1280"/>
      <c r="AGZ23" s="1280"/>
      <c r="AHA23" s="1280"/>
      <c r="AHB23" s="1280"/>
      <c r="AHC23" s="1280"/>
      <c r="AHD23" s="1280"/>
      <c r="AHE23" s="1280"/>
      <c r="AHF23" s="1280"/>
      <c r="AHG23" s="1280"/>
      <c r="AHH23" s="1280"/>
      <c r="AHI23" s="1280"/>
      <c r="AHJ23" s="1280"/>
      <c r="AHK23" s="1280"/>
      <c r="AHL23" s="1280"/>
      <c r="AHM23" s="1280"/>
      <c r="AHN23" s="1280"/>
      <c r="AHO23" s="1280"/>
      <c r="AHP23" s="1280"/>
      <c r="AHQ23" s="1280"/>
      <c r="AHR23" s="1280"/>
      <c r="AHS23" s="1280"/>
      <c r="AHT23" s="1280"/>
      <c r="AHU23" s="1280"/>
      <c r="AHV23" s="1280"/>
      <c r="AHW23" s="1280"/>
      <c r="AHX23" s="1280"/>
      <c r="AHY23" s="1280"/>
      <c r="AHZ23" s="1280"/>
      <c r="AIA23" s="1280"/>
      <c r="AIB23" s="1280"/>
      <c r="AIC23" s="1280"/>
      <c r="AID23" s="1280"/>
      <c r="AIE23" s="1280"/>
      <c r="AIF23" s="1280"/>
      <c r="AIG23" s="1280"/>
      <c r="AIH23" s="1280"/>
      <c r="AII23" s="1280"/>
      <c r="AIJ23" s="1280"/>
      <c r="AIK23" s="1280"/>
      <c r="AIL23" s="1280"/>
      <c r="AIM23" s="1280"/>
      <c r="AIN23" s="1280"/>
      <c r="AIO23" s="1280"/>
      <c r="AIP23" s="1280"/>
      <c r="AIQ23" s="1280"/>
      <c r="AIR23" s="1280"/>
      <c r="AIS23" s="1280"/>
      <c r="AIT23" s="1280"/>
      <c r="AIU23" s="1280"/>
      <c r="AIV23" s="1280"/>
      <c r="AIW23" s="1280"/>
      <c r="AIX23" s="1280"/>
      <c r="AIY23" s="1280"/>
      <c r="AIZ23" s="1280"/>
      <c r="AJA23" s="1280"/>
      <c r="AJB23" s="1280"/>
      <c r="AJC23" s="1280"/>
      <c r="AJD23" s="1280"/>
      <c r="AJE23" s="1280"/>
      <c r="AJF23" s="1280"/>
      <c r="AJG23" s="1280"/>
      <c r="AJH23" s="1280"/>
      <c r="AJI23" s="1280"/>
      <c r="AJJ23" s="1280"/>
      <c r="AJK23" s="1280"/>
      <c r="AJL23" s="1280"/>
      <c r="AJM23" s="1280"/>
      <c r="AJN23" s="1280"/>
      <c r="AJO23" s="1280"/>
      <c r="AJP23" s="1280"/>
      <c r="AJQ23" s="1280"/>
      <c r="AJR23" s="1280"/>
      <c r="AJS23" s="1280"/>
      <c r="AJT23" s="1280"/>
      <c r="AJU23" s="1280"/>
      <c r="AJV23" s="1280"/>
      <c r="AJW23" s="1280"/>
      <c r="AJX23" s="1280"/>
      <c r="AJY23" s="1280"/>
      <c r="AJZ23" s="1280"/>
      <c r="AKA23" s="1280"/>
      <c r="AKB23" s="1280"/>
      <c r="AKC23" s="1280"/>
      <c r="AKD23" s="1280"/>
      <c r="AKE23" s="1280"/>
      <c r="AKF23" s="1280"/>
      <c r="AKG23" s="1280"/>
      <c r="AKH23" s="1280"/>
      <c r="AKI23" s="1280"/>
      <c r="AKJ23" s="1280"/>
      <c r="AKK23" s="1280"/>
      <c r="AKL23" s="1280"/>
      <c r="AKM23" s="1280"/>
      <c r="AKN23" s="1280"/>
      <c r="AKO23" s="1280"/>
      <c r="AKP23" s="1280"/>
      <c r="AKQ23" s="1280"/>
      <c r="AKR23" s="1280"/>
      <c r="AKS23" s="1280"/>
      <c r="AKT23" s="1280"/>
      <c r="AKU23" s="1280"/>
      <c r="AKV23" s="1280"/>
      <c r="AKW23" s="1280"/>
      <c r="AKX23" s="1280"/>
      <c r="AKY23" s="1280"/>
      <c r="AKZ23" s="1280"/>
      <c r="ALA23" s="1280"/>
      <c r="ALB23" s="1280"/>
      <c r="ALC23" s="1280"/>
      <c r="ALD23" s="1280"/>
      <c r="ALE23" s="1280"/>
      <c r="ALF23" s="1280"/>
      <c r="ALG23" s="1280"/>
      <c r="ALH23" s="1280"/>
      <c r="ALI23" s="1280"/>
      <c r="ALJ23" s="1280"/>
      <c r="ALK23" s="1280"/>
      <c r="ALL23" s="1280"/>
      <c r="ALM23" s="1280"/>
      <c r="ALN23" s="1280"/>
      <c r="ALO23" s="1280"/>
      <c r="ALP23" s="1280"/>
      <c r="ALQ23" s="1280"/>
      <c r="ALR23" s="1280"/>
      <c r="ALS23" s="1280"/>
      <c r="ALT23" s="1280"/>
      <c r="ALU23" s="1280"/>
      <c r="ALV23" s="1280"/>
      <c r="ALW23" s="1280"/>
      <c r="ALX23" s="1280"/>
      <c r="ALY23" s="1280"/>
      <c r="ALZ23" s="1280"/>
      <c r="AMA23" s="1280"/>
      <c r="AMB23" s="1280"/>
      <c r="AMC23" s="1280"/>
      <c r="AMD23" s="1280"/>
      <c r="AME23" s="1280"/>
      <c r="AMF23" s="1280"/>
      <c r="AMG23" s="1280"/>
      <c r="AMH23" s="1280"/>
      <c r="AMI23" s="1280"/>
      <c r="AMJ23" s="1280"/>
      <c r="AMK23" s="1280"/>
      <c r="AML23" s="1280"/>
      <c r="AMM23" s="1280"/>
      <c r="AMN23" s="1280"/>
      <c r="AMO23" s="1280"/>
      <c r="AMP23" s="1280"/>
      <c r="AMQ23" s="1280"/>
      <c r="AMR23" s="1280"/>
      <c r="AMS23" s="1280"/>
      <c r="AMT23" s="1280"/>
      <c r="AMU23" s="1280"/>
      <c r="AMV23" s="1280"/>
      <c r="AMW23" s="1280"/>
      <c r="AMX23" s="1280"/>
      <c r="AMY23" s="1280"/>
      <c r="AMZ23" s="1280"/>
      <c r="ANA23" s="1280"/>
      <c r="ANB23" s="1280"/>
      <c r="ANC23" s="1280"/>
      <c r="AND23" s="1280"/>
      <c r="ANE23" s="1280"/>
      <c r="ANF23" s="1280"/>
      <c r="ANG23" s="1280"/>
      <c r="ANH23" s="1280"/>
      <c r="ANI23" s="1280"/>
      <c r="ANJ23" s="1280"/>
      <c r="ANK23" s="1280"/>
      <c r="ANL23" s="1280"/>
      <c r="ANM23" s="1280"/>
      <c r="ANN23" s="1280"/>
      <c r="ANO23" s="1280"/>
      <c r="ANP23" s="1280"/>
      <c r="ANQ23" s="1280"/>
      <c r="ANR23" s="1280"/>
      <c r="ANS23" s="1280"/>
      <c r="ANT23" s="1280"/>
      <c r="ANU23" s="1280"/>
      <c r="ANV23" s="1280"/>
      <c r="ANW23" s="1280"/>
      <c r="ANX23" s="1280"/>
      <c r="ANY23" s="1280"/>
      <c r="ANZ23" s="1280"/>
      <c r="AOA23" s="1280"/>
      <c r="AOB23" s="1280"/>
      <c r="AOC23" s="1280"/>
      <c r="AOD23" s="1280"/>
      <c r="AOE23" s="1280"/>
      <c r="AOF23" s="1280"/>
      <c r="AOG23" s="1280"/>
      <c r="AOH23" s="1280"/>
      <c r="AOI23" s="1280"/>
      <c r="AOJ23" s="1280"/>
      <c r="AOK23" s="1280"/>
      <c r="AOL23" s="1280"/>
      <c r="AOM23" s="1280"/>
      <c r="AON23" s="1280"/>
      <c r="AOO23" s="1280"/>
      <c r="AOP23" s="1280"/>
      <c r="AOQ23" s="1280"/>
      <c r="AOR23" s="1280"/>
      <c r="AOS23" s="1280"/>
      <c r="AOT23" s="1280"/>
      <c r="AOU23" s="1280"/>
      <c r="AOV23" s="1280"/>
      <c r="AOW23" s="1280"/>
      <c r="AOX23" s="1280"/>
      <c r="AOY23" s="1280"/>
      <c r="AOZ23" s="1280"/>
      <c r="APA23" s="1280"/>
      <c r="APB23" s="1280"/>
      <c r="APC23" s="1280"/>
      <c r="APD23" s="1280"/>
      <c r="APE23" s="1280"/>
      <c r="APF23" s="1280"/>
      <c r="APG23" s="1280"/>
      <c r="APH23" s="1280"/>
      <c r="API23" s="1280"/>
      <c r="APJ23" s="1280"/>
      <c r="APK23" s="1280"/>
      <c r="APL23" s="1280"/>
      <c r="APM23" s="1280"/>
      <c r="APN23" s="1280"/>
      <c r="APO23" s="1280"/>
      <c r="APP23" s="1280"/>
      <c r="APQ23" s="1280"/>
      <c r="APR23" s="1280"/>
      <c r="APS23" s="1280"/>
      <c r="APT23" s="1280"/>
      <c r="APU23" s="1280"/>
      <c r="APV23" s="1280"/>
      <c r="APW23" s="1280"/>
      <c r="APX23" s="1280"/>
      <c r="APY23" s="1280"/>
      <c r="APZ23" s="1280"/>
      <c r="AQA23" s="1280"/>
      <c r="AQB23" s="1280"/>
      <c r="AQC23" s="1280"/>
      <c r="AQD23" s="1280"/>
      <c r="AQE23" s="1280"/>
      <c r="AQF23" s="1280"/>
      <c r="AQG23" s="1280"/>
      <c r="AQH23" s="1280"/>
      <c r="AQI23" s="1280"/>
      <c r="AQJ23" s="1280"/>
      <c r="AQK23" s="1280"/>
      <c r="AQL23" s="1280"/>
      <c r="AQM23" s="1280"/>
      <c r="AQN23" s="1280"/>
      <c r="AQO23" s="1280"/>
      <c r="AQP23" s="1280"/>
      <c r="AQQ23" s="1280"/>
      <c r="AQR23" s="1280"/>
      <c r="AQS23" s="1280"/>
      <c r="AQT23" s="1280"/>
      <c r="AQU23" s="1280"/>
      <c r="AQV23" s="1280"/>
      <c r="AQW23" s="1280"/>
      <c r="AQX23" s="1280"/>
      <c r="AQY23" s="1280"/>
      <c r="AQZ23" s="1280"/>
      <c r="ARA23" s="1280"/>
      <c r="ARB23" s="1280"/>
      <c r="ARC23" s="1280"/>
      <c r="ARD23" s="1280"/>
      <c r="ARE23" s="1280"/>
      <c r="ARF23" s="1280"/>
      <c r="ARG23" s="1280"/>
      <c r="ARH23" s="1280"/>
      <c r="ARI23" s="1280"/>
      <c r="ARJ23" s="1280"/>
      <c r="ARK23" s="1280"/>
      <c r="ARL23" s="1280"/>
      <c r="ARM23" s="1280"/>
      <c r="ARN23" s="1280"/>
      <c r="ARO23" s="1280"/>
      <c r="ARP23" s="1280"/>
      <c r="ARQ23" s="1280"/>
      <c r="ARR23" s="1280"/>
      <c r="ARS23" s="1280"/>
      <c r="ART23" s="1280"/>
      <c r="ARU23" s="1280"/>
      <c r="ARV23" s="1280"/>
      <c r="ARW23" s="1280"/>
      <c r="ARX23" s="1280"/>
      <c r="ARY23" s="1280"/>
      <c r="ARZ23" s="1280"/>
      <c r="ASA23" s="1280"/>
      <c r="ASB23" s="1280"/>
      <c r="ASC23" s="1280"/>
      <c r="ASD23" s="1280"/>
      <c r="ASE23" s="1280"/>
      <c r="ASF23" s="1280"/>
      <c r="ASG23" s="1280"/>
      <c r="ASH23" s="1280"/>
      <c r="ASI23" s="1280"/>
      <c r="ASJ23" s="1280"/>
      <c r="ASK23" s="1280"/>
      <c r="ASL23" s="1280"/>
      <c r="ASM23" s="1280"/>
      <c r="ASN23" s="1280"/>
      <c r="ASO23" s="1280"/>
      <c r="ASP23" s="1280"/>
      <c r="ASQ23" s="1280"/>
      <c r="ASR23" s="1280"/>
      <c r="ASS23" s="1280"/>
      <c r="AST23" s="1280"/>
      <c r="ASU23" s="1280"/>
      <c r="ASV23" s="1280"/>
      <c r="ASW23" s="1280"/>
      <c r="ASX23" s="1280"/>
      <c r="ASY23" s="1280"/>
      <c r="ASZ23" s="1280"/>
      <c r="ATA23" s="1280"/>
      <c r="ATB23" s="1280"/>
      <c r="ATC23" s="1280"/>
      <c r="ATD23" s="1280"/>
      <c r="ATE23" s="1280"/>
      <c r="ATF23" s="1280"/>
      <c r="ATG23" s="1280"/>
      <c r="ATH23" s="1280"/>
      <c r="ATI23" s="1280"/>
      <c r="ATJ23" s="1280"/>
      <c r="ATK23" s="1280"/>
      <c r="ATL23" s="1280"/>
      <c r="ATM23" s="1280"/>
      <c r="ATN23" s="1280"/>
      <c r="ATO23" s="1280"/>
      <c r="ATP23" s="1280"/>
      <c r="ATQ23" s="1280"/>
      <c r="ATR23" s="1280"/>
      <c r="ATS23" s="1280"/>
      <c r="ATT23" s="1280"/>
      <c r="ATU23" s="1280"/>
      <c r="ATV23" s="1280"/>
      <c r="ATW23" s="1280"/>
      <c r="ATX23" s="1280"/>
      <c r="ATY23" s="1280"/>
      <c r="ATZ23" s="1280"/>
      <c r="AUA23" s="1280"/>
      <c r="AUB23" s="1280"/>
      <c r="AUC23" s="1280"/>
      <c r="AUD23" s="1280"/>
      <c r="AUE23" s="1280"/>
      <c r="AUF23" s="1280"/>
      <c r="AUG23" s="1280"/>
      <c r="AUH23" s="1280"/>
      <c r="AUI23" s="1280"/>
      <c r="AUJ23" s="1280"/>
      <c r="AUK23" s="1280"/>
      <c r="AUL23" s="1280"/>
      <c r="AUM23" s="1280"/>
      <c r="AUN23" s="1280"/>
      <c r="AUO23" s="1280"/>
      <c r="AUP23" s="1280"/>
      <c r="AUQ23" s="1280"/>
      <c r="AUR23" s="1280"/>
      <c r="AUS23" s="1280"/>
      <c r="AUT23" s="1280"/>
      <c r="AUU23" s="1280"/>
      <c r="AUV23" s="1280"/>
      <c r="AUW23" s="1280"/>
      <c r="AUX23" s="1280"/>
      <c r="AUY23" s="1280"/>
      <c r="AUZ23" s="1280"/>
      <c r="AVA23" s="1280"/>
      <c r="AVB23" s="1280"/>
      <c r="AVC23" s="1280"/>
      <c r="AVD23" s="1280"/>
      <c r="AVE23" s="1280"/>
      <c r="AVF23" s="1280"/>
      <c r="AVG23" s="1280"/>
      <c r="AVH23" s="1280"/>
      <c r="AVI23" s="1280"/>
      <c r="AVJ23" s="1280"/>
      <c r="AVK23" s="1280"/>
      <c r="AVL23" s="1280"/>
      <c r="AVM23" s="1280"/>
      <c r="AVN23" s="1280"/>
      <c r="AVO23" s="1280"/>
      <c r="AVP23" s="1280"/>
      <c r="AVQ23" s="1280"/>
      <c r="AVR23" s="1280"/>
      <c r="AVS23" s="1280"/>
      <c r="AVT23" s="1280"/>
      <c r="AVU23" s="1280"/>
      <c r="AVV23" s="1280"/>
      <c r="AVW23" s="1280"/>
      <c r="AVX23" s="1280"/>
      <c r="AVY23" s="1280"/>
      <c r="AVZ23" s="1280"/>
      <c r="AWA23" s="1280"/>
      <c r="AWB23" s="1280"/>
      <c r="AWC23" s="1280"/>
      <c r="AWD23" s="1280"/>
      <c r="AWE23" s="1280"/>
      <c r="AWF23" s="1280"/>
      <c r="AWG23" s="1280"/>
      <c r="AWH23" s="1280"/>
      <c r="AWI23" s="1280"/>
      <c r="AWJ23" s="1280"/>
      <c r="AWK23" s="1280"/>
      <c r="AWL23" s="1280"/>
      <c r="AWM23" s="1280"/>
      <c r="AWN23" s="1280"/>
      <c r="AWO23" s="1280"/>
      <c r="AWP23" s="1280"/>
      <c r="AWQ23" s="1280"/>
      <c r="AWR23" s="1280"/>
      <c r="AWS23" s="1280"/>
      <c r="AWT23" s="1280"/>
      <c r="AWU23" s="1280"/>
      <c r="AWV23" s="1280"/>
      <c r="AWW23" s="1280"/>
      <c r="AWX23" s="1280"/>
      <c r="AWY23" s="1280"/>
      <c r="AWZ23" s="1280"/>
      <c r="AXA23" s="1280"/>
      <c r="AXB23" s="1280"/>
      <c r="AXC23" s="1280"/>
      <c r="AXD23" s="1280"/>
      <c r="AXE23" s="1280"/>
      <c r="AXF23" s="1280"/>
      <c r="AXG23" s="1280"/>
      <c r="AXH23" s="1280"/>
      <c r="AXI23" s="1280"/>
      <c r="AXJ23" s="1280"/>
      <c r="AXK23" s="1280"/>
      <c r="AXL23" s="1280"/>
      <c r="AXM23" s="1280"/>
      <c r="AXN23" s="1280"/>
      <c r="AXO23" s="1280"/>
      <c r="AXP23" s="1280"/>
      <c r="AXQ23" s="1280"/>
      <c r="AXR23" s="1280"/>
      <c r="AXS23" s="1280"/>
      <c r="AXT23" s="1280"/>
      <c r="AXU23" s="1280"/>
      <c r="AXV23" s="1280"/>
      <c r="AXW23" s="1280"/>
      <c r="AXX23" s="1280"/>
      <c r="AXY23" s="1280"/>
      <c r="AXZ23" s="1280"/>
      <c r="AYA23" s="1280"/>
      <c r="AYB23" s="1280"/>
      <c r="AYC23" s="1280"/>
      <c r="AYD23" s="1280"/>
      <c r="AYE23" s="1280"/>
      <c r="AYF23" s="1280"/>
      <c r="AYG23" s="1280"/>
      <c r="AYH23" s="1280"/>
      <c r="AYI23" s="1280"/>
      <c r="AYJ23" s="1280"/>
      <c r="AYK23" s="1280"/>
      <c r="AYL23" s="1280"/>
      <c r="AYM23" s="1280"/>
      <c r="AYN23" s="1280"/>
      <c r="AYO23" s="1280"/>
      <c r="AYP23" s="1280"/>
      <c r="AYQ23" s="1280"/>
      <c r="AYR23" s="1280"/>
      <c r="AYS23" s="1280"/>
      <c r="AYT23" s="1280"/>
      <c r="AYU23" s="1280"/>
      <c r="AYV23" s="1280"/>
      <c r="AYW23" s="1280"/>
      <c r="AYX23" s="1280"/>
      <c r="AYY23" s="1280"/>
      <c r="AYZ23" s="1280"/>
      <c r="AZA23" s="1280"/>
      <c r="AZB23" s="1280"/>
      <c r="AZC23" s="1280"/>
      <c r="AZD23" s="1280"/>
      <c r="AZE23" s="1280"/>
      <c r="AZF23" s="1280"/>
      <c r="AZG23" s="1280"/>
      <c r="AZH23" s="1280"/>
      <c r="AZI23" s="1280"/>
      <c r="AZJ23" s="1280"/>
      <c r="AZK23" s="1280"/>
      <c r="AZL23" s="1280"/>
      <c r="AZM23" s="1280"/>
      <c r="AZN23" s="1280"/>
      <c r="AZO23" s="1280"/>
      <c r="AZP23" s="1280"/>
      <c r="AZQ23" s="1280"/>
      <c r="AZR23" s="1280"/>
      <c r="AZS23" s="1280"/>
      <c r="AZT23" s="1280"/>
      <c r="AZU23" s="1280"/>
      <c r="AZV23" s="1280"/>
      <c r="AZW23" s="1280"/>
      <c r="AZX23" s="1280"/>
      <c r="AZY23" s="1280"/>
      <c r="AZZ23" s="1280"/>
      <c r="BAA23" s="1280"/>
      <c r="BAB23" s="1280"/>
      <c r="BAC23" s="1280"/>
      <c r="BAD23" s="1280"/>
      <c r="BAE23" s="1280"/>
      <c r="BAF23" s="1280"/>
      <c r="BAG23" s="1280"/>
      <c r="BAH23" s="1280"/>
      <c r="BAI23" s="1280"/>
      <c r="BAJ23" s="1280"/>
      <c r="BAK23" s="1280"/>
      <c r="BAL23" s="1280"/>
      <c r="BAM23" s="1280"/>
      <c r="BAN23" s="1280"/>
      <c r="BAO23" s="1280"/>
      <c r="BAP23" s="1280"/>
      <c r="BAQ23" s="1280"/>
      <c r="BAR23" s="1280"/>
      <c r="BAS23" s="1280"/>
      <c r="BAT23" s="1280"/>
      <c r="BAU23" s="1280"/>
      <c r="BAV23" s="1280"/>
      <c r="BAW23" s="1280"/>
      <c r="BAX23" s="1280"/>
      <c r="BAY23" s="1280"/>
      <c r="BAZ23" s="1280"/>
      <c r="BBA23" s="1280"/>
      <c r="BBB23" s="1280"/>
      <c r="BBC23" s="1280"/>
      <c r="BBD23" s="1280"/>
      <c r="BBE23" s="1280"/>
      <c r="BBF23" s="1280"/>
      <c r="BBG23" s="1280"/>
      <c r="BBH23" s="1280"/>
      <c r="BBI23" s="1280"/>
      <c r="BBJ23" s="1280"/>
      <c r="BBK23" s="1280"/>
      <c r="BBL23" s="1280"/>
      <c r="BBM23" s="1280"/>
      <c r="BBN23" s="1280"/>
      <c r="BBO23" s="1280"/>
      <c r="BBP23" s="1280"/>
      <c r="BBQ23" s="1280"/>
      <c r="BBR23" s="1280"/>
      <c r="BBS23" s="1280"/>
      <c r="BBT23" s="1280"/>
      <c r="BBU23" s="1280"/>
      <c r="BBV23" s="1280"/>
      <c r="BBW23" s="1280"/>
      <c r="BBX23" s="1280"/>
      <c r="BBY23" s="1280"/>
      <c r="BBZ23" s="1280"/>
      <c r="BCA23" s="1280"/>
      <c r="BCB23" s="1280"/>
      <c r="BCC23" s="1280"/>
      <c r="BCD23" s="1280"/>
      <c r="BCE23" s="1280"/>
      <c r="BCF23" s="1280"/>
      <c r="BCG23" s="1280"/>
      <c r="BCH23" s="1280"/>
      <c r="BCI23" s="1280"/>
      <c r="BCJ23" s="1280"/>
      <c r="BCK23" s="1280"/>
      <c r="BCL23" s="1280"/>
      <c r="BCM23" s="1280"/>
      <c r="BCN23" s="1280"/>
      <c r="BCO23" s="1280"/>
      <c r="BCP23" s="1280"/>
      <c r="BCQ23" s="1280"/>
      <c r="BCR23" s="1280"/>
      <c r="BCS23" s="1280"/>
      <c r="BCT23" s="1280"/>
      <c r="BCU23" s="1280"/>
      <c r="BCV23" s="1280"/>
      <c r="BCW23" s="1280"/>
      <c r="BCX23" s="1280"/>
      <c r="BCY23" s="1280"/>
      <c r="BCZ23" s="1280"/>
      <c r="BDA23" s="1280"/>
      <c r="BDB23" s="1280"/>
      <c r="BDC23" s="1280"/>
      <c r="BDD23" s="1280"/>
      <c r="BDE23" s="1280"/>
      <c r="BDF23" s="1280"/>
      <c r="BDG23" s="1280"/>
      <c r="BDH23" s="1280"/>
      <c r="BDI23" s="1280"/>
      <c r="BDJ23" s="1280"/>
      <c r="BDK23" s="1280"/>
      <c r="BDL23" s="1280"/>
      <c r="BDM23" s="1280"/>
      <c r="BDN23" s="1280"/>
      <c r="BDO23" s="1280"/>
      <c r="BDP23" s="1280"/>
      <c r="BDQ23" s="1280"/>
      <c r="BDR23" s="1280"/>
      <c r="BDS23" s="1280"/>
      <c r="BDT23" s="1280"/>
      <c r="BDU23" s="1280"/>
      <c r="BDV23" s="1280"/>
      <c r="BDW23" s="1280"/>
      <c r="BDX23" s="1280"/>
      <c r="BDY23" s="1280"/>
      <c r="BDZ23" s="1280"/>
      <c r="BEA23" s="1280"/>
      <c r="BEB23" s="1280"/>
      <c r="BEC23" s="1280"/>
      <c r="BED23" s="1280"/>
      <c r="BEE23" s="1280"/>
      <c r="BEF23" s="1280"/>
      <c r="BEG23" s="1280"/>
      <c r="BEH23" s="1280"/>
      <c r="BEI23" s="1280"/>
      <c r="BEJ23" s="1280"/>
      <c r="BEK23" s="1280"/>
      <c r="BEL23" s="1280"/>
      <c r="BEM23" s="1280"/>
      <c r="BEN23" s="1280"/>
      <c r="BEO23" s="1280"/>
      <c r="BEP23" s="1280"/>
      <c r="BEQ23" s="1280"/>
      <c r="BER23" s="1280"/>
      <c r="BES23" s="1280"/>
      <c r="BET23" s="1280"/>
      <c r="BEU23" s="1280"/>
      <c r="BEV23" s="1280"/>
      <c r="BEW23" s="1280"/>
      <c r="BEX23" s="1280"/>
      <c r="BEY23" s="1280"/>
      <c r="BEZ23" s="1280"/>
      <c r="BFA23" s="1280"/>
      <c r="BFB23" s="1280"/>
      <c r="BFC23" s="1280"/>
      <c r="BFD23" s="1280"/>
      <c r="BFE23" s="1280"/>
      <c r="BFF23" s="1280"/>
      <c r="BFG23" s="1280"/>
      <c r="BFH23" s="1280"/>
      <c r="BFI23" s="1280"/>
      <c r="BFJ23" s="1280"/>
      <c r="BFK23" s="1280"/>
      <c r="BFL23" s="1280"/>
      <c r="BFM23" s="1280"/>
      <c r="BFN23" s="1280"/>
      <c r="BFO23" s="1280"/>
      <c r="BFP23" s="1280"/>
      <c r="BFQ23" s="1280"/>
      <c r="BFR23" s="1280"/>
      <c r="BFS23" s="1280"/>
      <c r="BFT23" s="1280"/>
      <c r="BFU23" s="1280"/>
      <c r="BFV23" s="1280"/>
      <c r="BFW23" s="1280"/>
      <c r="BFX23" s="1280"/>
      <c r="BFY23" s="1280"/>
      <c r="BFZ23" s="1280"/>
      <c r="BGA23" s="1280"/>
      <c r="BGB23" s="1280"/>
      <c r="BGC23" s="1280"/>
      <c r="BGD23" s="1280"/>
      <c r="BGE23" s="1280"/>
      <c r="BGF23" s="1280"/>
      <c r="BGG23" s="1280"/>
      <c r="BGH23" s="1280"/>
      <c r="BGI23" s="1280"/>
      <c r="BGJ23" s="1280"/>
      <c r="BGK23" s="1280"/>
      <c r="BGL23" s="1280"/>
      <c r="BGM23" s="1280"/>
      <c r="BGN23" s="1280"/>
      <c r="BGO23" s="1280"/>
      <c r="BGP23" s="1280"/>
      <c r="BGQ23" s="1280"/>
      <c r="BGR23" s="1280"/>
      <c r="BGS23" s="1280"/>
      <c r="BGT23" s="1280"/>
      <c r="BGU23" s="1280"/>
      <c r="BGV23" s="1280"/>
      <c r="BGW23" s="1280"/>
      <c r="BGX23" s="1280"/>
      <c r="BGY23" s="1280"/>
      <c r="BGZ23" s="1280"/>
      <c r="BHA23" s="1280"/>
      <c r="BHB23" s="1280"/>
      <c r="BHC23" s="1280"/>
      <c r="BHD23" s="1280"/>
      <c r="BHE23" s="1280"/>
      <c r="BHF23" s="1280"/>
      <c r="BHG23" s="1280"/>
      <c r="BHH23" s="1280"/>
      <c r="BHI23" s="1280"/>
      <c r="BHJ23" s="1280"/>
      <c r="BHK23" s="1280"/>
      <c r="BHL23" s="1280"/>
      <c r="BHM23" s="1280"/>
      <c r="BHN23" s="1280"/>
      <c r="BHO23" s="1280"/>
      <c r="BHP23" s="1280"/>
      <c r="BHQ23" s="1280"/>
      <c r="BHR23" s="1280"/>
      <c r="BHS23" s="1280"/>
      <c r="BHT23" s="1280"/>
      <c r="BHU23" s="1280"/>
      <c r="BHV23" s="1280"/>
      <c r="BHW23" s="1280"/>
      <c r="BHX23" s="1280"/>
      <c r="BHY23" s="1280"/>
      <c r="BHZ23" s="1280"/>
      <c r="BIA23" s="1280"/>
      <c r="BIB23" s="1280"/>
      <c r="BIC23" s="1280"/>
      <c r="BID23" s="1280"/>
      <c r="BIE23" s="1280"/>
      <c r="BIF23" s="1280"/>
      <c r="BIG23" s="1280"/>
      <c r="BIH23" s="1280"/>
      <c r="BII23" s="1280"/>
      <c r="BIJ23" s="1280"/>
      <c r="BIK23" s="1280"/>
      <c r="BIL23" s="1280"/>
      <c r="BIM23" s="1280"/>
      <c r="BIN23" s="1280"/>
      <c r="BIO23" s="1280"/>
      <c r="BIP23" s="1280"/>
      <c r="BIQ23" s="1280"/>
      <c r="BIR23" s="1280"/>
      <c r="BIS23" s="1280"/>
      <c r="BIT23" s="1280"/>
      <c r="BIU23" s="1280"/>
      <c r="BIV23" s="1280"/>
      <c r="BIW23" s="1280"/>
      <c r="BIX23" s="1280"/>
      <c r="BIY23" s="1280"/>
      <c r="BIZ23" s="1280"/>
      <c r="BJA23" s="1280"/>
      <c r="BJB23" s="1280"/>
      <c r="BJC23" s="1280"/>
      <c r="BJD23" s="1280"/>
      <c r="BJE23" s="1280"/>
      <c r="BJF23" s="1280"/>
      <c r="BJG23" s="1280"/>
      <c r="BJH23" s="1280"/>
      <c r="BJI23" s="1280"/>
      <c r="BJJ23" s="1280"/>
      <c r="BJK23" s="1280"/>
      <c r="BJL23" s="1280"/>
      <c r="BJM23" s="1280"/>
      <c r="BJN23" s="1280"/>
      <c r="BJO23" s="1280"/>
      <c r="BJP23" s="1280"/>
      <c r="BJQ23" s="1280"/>
      <c r="BJR23" s="1280"/>
      <c r="BJS23" s="1280"/>
      <c r="BJT23" s="1280"/>
      <c r="BJU23" s="1280"/>
      <c r="BJV23" s="1280"/>
      <c r="BJW23" s="1280"/>
      <c r="BJX23" s="1280"/>
      <c r="BJY23" s="1280"/>
      <c r="BJZ23" s="1280"/>
      <c r="BKA23" s="1280"/>
      <c r="BKB23" s="1280"/>
      <c r="BKC23" s="1280"/>
      <c r="BKD23" s="1280"/>
      <c r="BKE23" s="1280"/>
      <c r="BKF23" s="1280"/>
      <c r="BKG23" s="1280"/>
      <c r="BKH23" s="1280"/>
      <c r="BKI23" s="1280"/>
      <c r="BKJ23" s="1280"/>
      <c r="BKK23" s="1280"/>
      <c r="BKL23" s="1280"/>
      <c r="BKM23" s="1280"/>
      <c r="BKN23" s="1280"/>
      <c r="BKO23" s="1280"/>
      <c r="BKP23" s="1280"/>
      <c r="BKQ23" s="1280"/>
      <c r="BKR23" s="1280"/>
      <c r="BKS23" s="1280"/>
      <c r="BKT23" s="1280"/>
      <c r="BKU23" s="1280"/>
      <c r="BKV23" s="1280"/>
      <c r="BKW23" s="1280"/>
      <c r="BKX23" s="1280"/>
      <c r="BKY23" s="1280"/>
      <c r="BKZ23" s="1280"/>
      <c r="BLA23" s="1280"/>
      <c r="BLB23" s="1280"/>
      <c r="BLC23" s="1280"/>
      <c r="BLD23" s="1280"/>
      <c r="BLE23" s="1280"/>
      <c r="BLF23" s="1280"/>
      <c r="BLG23" s="1280"/>
      <c r="BLH23" s="1280"/>
      <c r="BLI23" s="1280"/>
      <c r="BLJ23" s="1280"/>
      <c r="BLK23" s="1280"/>
      <c r="BLL23" s="1280"/>
      <c r="BLM23" s="1280"/>
      <c r="BLN23" s="1280"/>
      <c r="BLO23" s="1280"/>
      <c r="BLP23" s="1280"/>
      <c r="BLQ23" s="1280"/>
      <c r="BLR23" s="1280"/>
      <c r="BLS23" s="1280"/>
      <c r="BLT23" s="1280"/>
      <c r="BLU23" s="1280"/>
      <c r="BLV23" s="1280"/>
      <c r="BLW23" s="1280"/>
      <c r="BLX23" s="1280"/>
      <c r="BLY23" s="1280"/>
      <c r="BLZ23" s="1280"/>
      <c r="BMA23" s="1280"/>
      <c r="BMB23" s="1280"/>
      <c r="BMC23" s="1280"/>
      <c r="BMD23" s="1280"/>
      <c r="BME23" s="1280"/>
      <c r="BMF23" s="1280"/>
      <c r="BMG23" s="1280"/>
      <c r="BMH23" s="1280"/>
      <c r="BMI23" s="1280"/>
      <c r="BMJ23" s="1280"/>
      <c r="BMK23" s="1280"/>
      <c r="BML23" s="1280"/>
      <c r="BMM23" s="1280"/>
      <c r="BMN23" s="1280"/>
      <c r="BMO23" s="1280"/>
      <c r="BMP23" s="1280"/>
      <c r="BMQ23" s="1280"/>
      <c r="BMR23" s="1280"/>
      <c r="BMS23" s="1280"/>
      <c r="BMT23" s="1280"/>
      <c r="BMU23" s="1280"/>
      <c r="BMV23" s="1280"/>
      <c r="BMW23" s="1280"/>
      <c r="BMX23" s="1280"/>
      <c r="BMY23" s="1280"/>
      <c r="BMZ23" s="1280"/>
      <c r="BNA23" s="1280"/>
      <c r="BNB23" s="1280"/>
      <c r="BNC23" s="1280"/>
      <c r="BND23" s="1280"/>
      <c r="BNE23" s="1280"/>
      <c r="BNF23" s="1280"/>
      <c r="BNG23" s="1280"/>
      <c r="BNH23" s="1280"/>
      <c r="BNI23" s="1280"/>
      <c r="BNJ23" s="1280"/>
      <c r="BNK23" s="1280"/>
      <c r="BNL23" s="1280"/>
      <c r="BNM23" s="1280"/>
      <c r="BNN23" s="1280"/>
      <c r="BNO23" s="1280"/>
      <c r="BNP23" s="1280"/>
      <c r="BNQ23" s="1280"/>
      <c r="BNR23" s="1280"/>
      <c r="BNS23" s="1280"/>
      <c r="BNT23" s="1280"/>
      <c r="BNU23" s="1280"/>
      <c r="BNV23" s="1280"/>
      <c r="BNW23" s="1280"/>
      <c r="BNX23" s="1280"/>
      <c r="BNY23" s="1280"/>
      <c r="BNZ23" s="1280"/>
      <c r="BOA23" s="1280"/>
      <c r="BOB23" s="1280"/>
      <c r="BOC23" s="1280"/>
      <c r="BOD23" s="1280"/>
      <c r="BOE23" s="1280"/>
      <c r="BOF23" s="1280"/>
      <c r="BOG23" s="1280"/>
      <c r="BOH23" s="1280"/>
      <c r="BOI23" s="1280"/>
      <c r="BOJ23" s="1280"/>
      <c r="BOK23" s="1280"/>
      <c r="BOL23" s="1280"/>
      <c r="BOM23" s="1280"/>
      <c r="BON23" s="1280"/>
      <c r="BOO23" s="1280"/>
      <c r="BOP23" s="1280"/>
      <c r="BOQ23" s="1280"/>
      <c r="BOR23" s="1280"/>
      <c r="BOS23" s="1280"/>
      <c r="BOT23" s="1280"/>
      <c r="BOU23" s="1280"/>
      <c r="BOV23" s="1280"/>
      <c r="BOW23" s="1280"/>
      <c r="BOX23" s="1280"/>
      <c r="BOY23" s="1280"/>
      <c r="BOZ23" s="1280"/>
      <c r="BPA23" s="1280"/>
      <c r="BPB23" s="1280"/>
      <c r="BPC23" s="1280"/>
      <c r="BPD23" s="1280"/>
      <c r="BPE23" s="1280"/>
      <c r="BPF23" s="1280"/>
      <c r="BPG23" s="1280"/>
      <c r="BPH23" s="1280"/>
      <c r="BPI23" s="1280"/>
      <c r="BPJ23" s="1280"/>
      <c r="BPK23" s="1280"/>
      <c r="BPL23" s="1280"/>
      <c r="BPM23" s="1280"/>
      <c r="BPN23" s="1280"/>
      <c r="BPO23" s="1280"/>
      <c r="BPP23" s="1280"/>
      <c r="BPQ23" s="1280"/>
      <c r="BPR23" s="1280"/>
      <c r="BPS23" s="1280"/>
      <c r="BPT23" s="1280"/>
      <c r="BPU23" s="1280"/>
      <c r="BPV23" s="1280"/>
      <c r="BPW23" s="1280"/>
      <c r="BPX23" s="1280"/>
      <c r="BPY23" s="1280"/>
      <c r="BPZ23" s="1280"/>
      <c r="BQA23" s="1280"/>
      <c r="BQB23" s="1280"/>
      <c r="BQC23" s="1280"/>
      <c r="BQD23" s="1280"/>
      <c r="BQE23" s="1280"/>
      <c r="BQF23" s="1280"/>
      <c r="BQG23" s="1280"/>
      <c r="BQH23" s="1280"/>
      <c r="BQI23" s="1280"/>
      <c r="BQJ23" s="1280"/>
      <c r="BQK23" s="1280"/>
      <c r="BQL23" s="1280"/>
      <c r="BQM23" s="1280"/>
      <c r="BQN23" s="1280"/>
      <c r="BQO23" s="1280"/>
      <c r="BQP23" s="1280"/>
      <c r="BQQ23" s="1280"/>
      <c r="BQR23" s="1280"/>
      <c r="BQS23" s="1280"/>
      <c r="BQT23" s="1280"/>
      <c r="BQU23" s="1280"/>
      <c r="BQV23" s="1280"/>
      <c r="BQW23" s="1280"/>
      <c r="BQX23" s="1280"/>
      <c r="BQY23" s="1280"/>
      <c r="BQZ23" s="1280"/>
      <c r="BRA23" s="1280"/>
      <c r="BRB23" s="1280"/>
      <c r="BRC23" s="1280"/>
      <c r="BRD23" s="1280"/>
      <c r="BRE23" s="1280"/>
      <c r="BRF23" s="1280"/>
      <c r="BRG23" s="1280"/>
      <c r="BRH23" s="1280"/>
      <c r="BRI23" s="1280"/>
      <c r="BRJ23" s="1280"/>
      <c r="BRK23" s="1280"/>
      <c r="BRL23" s="1280"/>
      <c r="BRM23" s="1280"/>
      <c r="BRN23" s="1280"/>
      <c r="BRO23" s="1280"/>
      <c r="BRP23" s="1280"/>
      <c r="BRQ23" s="1280"/>
      <c r="BRR23" s="1280"/>
      <c r="BRS23" s="1280"/>
      <c r="BRT23" s="1280"/>
      <c r="BRU23" s="1280"/>
      <c r="BRV23" s="1280"/>
      <c r="BRW23" s="1280"/>
      <c r="BRX23" s="1280"/>
      <c r="BRY23" s="1280"/>
      <c r="BRZ23" s="1280"/>
      <c r="BSA23" s="1280"/>
      <c r="BSB23" s="1280"/>
      <c r="BSC23" s="1280"/>
      <c r="BSD23" s="1280"/>
      <c r="BSE23" s="1280"/>
      <c r="BSF23" s="1280"/>
      <c r="BSG23" s="1280"/>
      <c r="BSH23" s="1280"/>
      <c r="BSI23" s="1280"/>
      <c r="BSJ23" s="1280"/>
      <c r="BSK23" s="1280"/>
      <c r="BSL23" s="1280"/>
      <c r="BSM23" s="1280"/>
      <c r="BSN23" s="1280"/>
      <c r="BSO23" s="1280"/>
      <c r="BSP23" s="1280"/>
      <c r="BSQ23" s="1280"/>
      <c r="BSR23" s="1280"/>
      <c r="BSS23" s="1280"/>
      <c r="BST23" s="1280"/>
      <c r="BSU23" s="1280"/>
      <c r="BSV23" s="1280"/>
      <c r="BSW23" s="1280"/>
      <c r="BSX23" s="1280"/>
      <c r="BSY23" s="1280"/>
      <c r="BSZ23" s="1280"/>
      <c r="BTA23" s="1280"/>
      <c r="BTB23" s="1280"/>
      <c r="BTC23" s="1280"/>
      <c r="BTD23" s="1280"/>
      <c r="BTE23" s="1280"/>
      <c r="BTF23" s="1280"/>
      <c r="BTG23" s="1280"/>
      <c r="BTH23" s="1280"/>
      <c r="BTI23" s="1280"/>
      <c r="BTJ23" s="1280"/>
      <c r="BTK23" s="1280"/>
      <c r="BTL23" s="1280"/>
      <c r="BTM23" s="1280"/>
      <c r="BTN23" s="1280"/>
      <c r="BTO23" s="1280"/>
      <c r="BTP23" s="1280"/>
      <c r="BTQ23" s="1280"/>
      <c r="BTR23" s="1280"/>
      <c r="BTS23" s="1280"/>
      <c r="BTT23" s="1280"/>
      <c r="BTU23" s="1280"/>
      <c r="BTV23" s="1280"/>
      <c r="BTW23" s="1280"/>
      <c r="BTX23" s="1280"/>
      <c r="BTY23" s="1280"/>
      <c r="BTZ23" s="1280"/>
      <c r="BUA23" s="1280"/>
      <c r="BUB23" s="1280"/>
      <c r="BUC23" s="1280"/>
      <c r="BUD23" s="1280"/>
      <c r="BUE23" s="1280"/>
      <c r="BUF23" s="1280"/>
      <c r="BUG23" s="1280"/>
      <c r="BUH23" s="1280"/>
      <c r="BUI23" s="1280"/>
      <c r="BUJ23" s="1280"/>
      <c r="BUK23" s="1280"/>
      <c r="BUL23" s="1280"/>
      <c r="BUM23" s="1280"/>
      <c r="BUN23" s="1280"/>
      <c r="BUO23" s="1280"/>
      <c r="BUP23" s="1280"/>
      <c r="BUQ23" s="1280"/>
      <c r="BUR23" s="1280"/>
      <c r="BUS23" s="1280"/>
      <c r="BUT23" s="1280"/>
      <c r="BUU23" s="1280"/>
      <c r="BUV23" s="1280"/>
      <c r="BUW23" s="1280"/>
      <c r="BUX23" s="1280"/>
      <c r="BUY23" s="1280"/>
      <c r="BUZ23" s="1280"/>
      <c r="BVA23" s="1280"/>
      <c r="BVB23" s="1280"/>
      <c r="BVC23" s="1280"/>
      <c r="BVD23" s="1280"/>
      <c r="BVE23" s="1280"/>
      <c r="BVF23" s="1280"/>
      <c r="BVG23" s="1280"/>
      <c r="BVH23" s="1280"/>
      <c r="BVI23" s="1280"/>
      <c r="BVJ23" s="1280"/>
      <c r="BVK23" s="1280"/>
      <c r="BVL23" s="1280"/>
      <c r="BVM23" s="1280"/>
      <c r="BVN23" s="1280"/>
      <c r="BVO23" s="1280"/>
      <c r="BVP23" s="1280"/>
      <c r="BVQ23" s="1280"/>
      <c r="BVR23" s="1280"/>
      <c r="BVS23" s="1280"/>
      <c r="BVT23" s="1280"/>
      <c r="BVU23" s="1280"/>
      <c r="BVV23" s="1280"/>
      <c r="BVW23" s="1280"/>
      <c r="BVX23" s="1280"/>
      <c r="BVY23" s="1280"/>
      <c r="BVZ23" s="1280"/>
      <c r="BWA23" s="1280"/>
      <c r="BWB23" s="1280"/>
      <c r="BWC23" s="1280"/>
      <c r="BWD23" s="1280"/>
      <c r="BWE23" s="1280"/>
      <c r="BWF23" s="1280"/>
      <c r="BWG23" s="1280"/>
      <c r="BWH23" s="1280"/>
      <c r="BWI23" s="1280"/>
      <c r="BWJ23" s="1280"/>
      <c r="BWK23" s="1280"/>
      <c r="BWL23" s="1280"/>
      <c r="BWM23" s="1280"/>
      <c r="BWN23" s="1280"/>
      <c r="BWO23" s="1280"/>
      <c r="BWP23" s="1280"/>
      <c r="BWQ23" s="1280"/>
      <c r="BWR23" s="1280"/>
      <c r="BWS23" s="1280"/>
      <c r="BWT23" s="1280"/>
      <c r="BWU23" s="1280"/>
      <c r="BWV23" s="1280"/>
      <c r="BWW23" s="1280"/>
      <c r="BWX23" s="1280"/>
      <c r="BWY23" s="1280"/>
      <c r="BWZ23" s="1280"/>
      <c r="BXA23" s="1280"/>
      <c r="BXB23" s="1280"/>
      <c r="BXC23" s="1280"/>
      <c r="BXD23" s="1280"/>
      <c r="BXE23" s="1280"/>
      <c r="BXF23" s="1280"/>
      <c r="BXG23" s="1280"/>
      <c r="BXH23" s="1280"/>
      <c r="BXI23" s="1280"/>
      <c r="BXJ23" s="1280"/>
      <c r="BXK23" s="1280"/>
      <c r="BXL23" s="1280"/>
      <c r="BXM23" s="1280"/>
      <c r="BXN23" s="1280"/>
      <c r="BXO23" s="1280"/>
      <c r="BXP23" s="1280"/>
      <c r="BXQ23" s="1280"/>
      <c r="BXR23" s="1280"/>
      <c r="BXS23" s="1280"/>
      <c r="BXT23" s="1280"/>
      <c r="BXU23" s="1280"/>
      <c r="BXV23" s="1280"/>
      <c r="BXW23" s="1280"/>
      <c r="BXX23" s="1280"/>
      <c r="BXY23" s="1280"/>
      <c r="BXZ23" s="1280"/>
      <c r="BYA23" s="1280"/>
      <c r="BYB23" s="1280"/>
      <c r="BYC23" s="1280"/>
      <c r="BYD23" s="1280"/>
      <c r="BYE23" s="1280"/>
      <c r="BYF23" s="1280"/>
      <c r="BYG23" s="1280"/>
      <c r="BYH23" s="1280"/>
      <c r="BYI23" s="1280"/>
      <c r="BYJ23" s="1280"/>
      <c r="BYK23" s="1280"/>
      <c r="BYL23" s="1280"/>
      <c r="BYM23" s="1280"/>
      <c r="BYN23" s="1280"/>
      <c r="BYO23" s="1280"/>
      <c r="BYP23" s="1280"/>
      <c r="BYQ23" s="1280"/>
      <c r="BYR23" s="1280"/>
      <c r="BYS23" s="1280"/>
      <c r="BYT23" s="1280"/>
      <c r="BYU23" s="1280"/>
      <c r="BYV23" s="1280"/>
      <c r="BYW23" s="1280"/>
      <c r="BYX23" s="1280"/>
      <c r="BYY23" s="1280"/>
      <c r="BYZ23" s="1280"/>
      <c r="BZA23" s="1280"/>
      <c r="BZB23" s="1280"/>
      <c r="BZC23" s="1280"/>
      <c r="BZD23" s="1280"/>
      <c r="BZE23" s="1280"/>
      <c r="BZF23" s="1280"/>
      <c r="BZG23" s="1280"/>
      <c r="BZH23" s="1280"/>
      <c r="BZI23" s="1280"/>
      <c r="BZJ23" s="1280"/>
      <c r="BZK23" s="1280"/>
      <c r="BZL23" s="1280"/>
      <c r="BZM23" s="1280"/>
      <c r="BZN23" s="1280"/>
      <c r="BZO23" s="1280"/>
      <c r="BZP23" s="1280"/>
      <c r="BZQ23" s="1280"/>
      <c r="BZR23" s="1280"/>
      <c r="BZS23" s="1280"/>
      <c r="BZT23" s="1280"/>
      <c r="BZU23" s="1280"/>
      <c r="BZV23" s="1280"/>
      <c r="BZW23" s="1280"/>
      <c r="BZX23" s="1280"/>
      <c r="BZY23" s="1280"/>
      <c r="BZZ23" s="1280"/>
      <c r="CAA23" s="1280"/>
      <c r="CAB23" s="1280"/>
      <c r="CAC23" s="1280"/>
      <c r="CAD23" s="1280"/>
      <c r="CAE23" s="1280"/>
      <c r="CAF23" s="1280"/>
      <c r="CAG23" s="1280"/>
      <c r="CAH23" s="1280"/>
      <c r="CAI23" s="1280"/>
      <c r="CAJ23" s="1280"/>
      <c r="CAK23" s="1280"/>
      <c r="CAL23" s="1280"/>
      <c r="CAM23" s="1280"/>
      <c r="CAN23" s="1280"/>
      <c r="CAO23" s="1280"/>
      <c r="CAP23" s="1280"/>
      <c r="CAQ23" s="1280"/>
      <c r="CAR23" s="1280"/>
      <c r="CAS23" s="1280"/>
      <c r="CAT23" s="1280"/>
      <c r="CAU23" s="1280"/>
      <c r="CAV23" s="1280"/>
      <c r="CAW23" s="1280"/>
      <c r="CAX23" s="1280"/>
      <c r="CAY23" s="1280"/>
      <c r="CAZ23" s="1280"/>
      <c r="CBA23" s="1280"/>
      <c r="CBB23" s="1280"/>
      <c r="CBC23" s="1280"/>
      <c r="CBD23" s="1280"/>
      <c r="CBE23" s="1280"/>
      <c r="CBF23" s="1280"/>
      <c r="CBG23" s="1280"/>
      <c r="CBH23" s="1280"/>
      <c r="CBI23" s="1280"/>
      <c r="CBJ23" s="1280"/>
      <c r="CBK23" s="1280"/>
      <c r="CBL23" s="1280"/>
      <c r="CBM23" s="1280"/>
      <c r="CBN23" s="1280"/>
      <c r="CBO23" s="1280"/>
      <c r="CBP23" s="1280"/>
      <c r="CBQ23" s="1280"/>
      <c r="CBR23" s="1280"/>
      <c r="CBS23" s="1280"/>
      <c r="CBT23" s="1280"/>
      <c r="CBU23" s="1280"/>
      <c r="CBV23" s="1280"/>
      <c r="CBW23" s="1280"/>
      <c r="CBX23" s="1280"/>
      <c r="CBY23" s="1280"/>
      <c r="CBZ23" s="1280"/>
      <c r="CCA23" s="1280"/>
      <c r="CCB23" s="1280"/>
      <c r="CCC23" s="1280"/>
      <c r="CCD23" s="1280"/>
      <c r="CCE23" s="1280"/>
      <c r="CCF23" s="1280"/>
      <c r="CCG23" s="1280"/>
      <c r="CCH23" s="1280"/>
      <c r="CCI23" s="1280"/>
      <c r="CCJ23" s="1280"/>
      <c r="CCK23" s="1280"/>
      <c r="CCL23" s="1280"/>
      <c r="CCM23" s="1280"/>
      <c r="CCN23" s="1280"/>
      <c r="CCO23" s="1280"/>
      <c r="CCP23" s="1280"/>
      <c r="CCQ23" s="1280"/>
      <c r="CCR23" s="1280"/>
      <c r="CCS23" s="1280"/>
      <c r="CCT23" s="1280"/>
      <c r="CCU23" s="1280"/>
      <c r="CCV23" s="1280"/>
      <c r="CCW23" s="1280"/>
      <c r="CCX23" s="1280"/>
      <c r="CCY23" s="1280"/>
      <c r="CCZ23" s="1280"/>
      <c r="CDA23" s="1280"/>
      <c r="CDB23" s="1280"/>
      <c r="CDC23" s="1280"/>
      <c r="CDD23" s="1280"/>
      <c r="CDE23" s="1280"/>
      <c r="CDF23" s="1280"/>
      <c r="CDG23" s="1280"/>
      <c r="CDH23" s="1280"/>
      <c r="CDI23" s="1280"/>
      <c r="CDJ23" s="1280"/>
      <c r="CDK23" s="1280"/>
      <c r="CDL23" s="1280"/>
      <c r="CDM23" s="1280"/>
      <c r="CDN23" s="1280"/>
      <c r="CDO23" s="1280"/>
      <c r="CDP23" s="1280"/>
      <c r="CDQ23" s="1280"/>
      <c r="CDR23" s="1280"/>
      <c r="CDS23" s="1280"/>
      <c r="CDT23" s="1280"/>
      <c r="CDU23" s="1280"/>
      <c r="CDV23" s="1280"/>
      <c r="CDW23" s="1280"/>
      <c r="CDX23" s="1280"/>
      <c r="CDY23" s="1280"/>
      <c r="CDZ23" s="1280"/>
      <c r="CEA23" s="1280"/>
      <c r="CEB23" s="1280"/>
      <c r="CEC23" s="1280"/>
      <c r="CED23" s="1280"/>
      <c r="CEE23" s="1280"/>
      <c r="CEF23" s="1280"/>
      <c r="CEG23" s="1280"/>
      <c r="CEH23" s="1280"/>
      <c r="CEI23" s="1280"/>
      <c r="CEJ23" s="1280"/>
      <c r="CEK23" s="1280"/>
      <c r="CEL23" s="1280"/>
      <c r="CEM23" s="1280"/>
      <c r="CEN23" s="1280"/>
      <c r="CEO23" s="1280"/>
      <c r="CEP23" s="1280"/>
      <c r="CEQ23" s="1280"/>
      <c r="CER23" s="1280"/>
      <c r="CES23" s="1280"/>
      <c r="CET23" s="1280"/>
      <c r="CEU23" s="1280"/>
      <c r="CEV23" s="1280"/>
      <c r="CEW23" s="1280"/>
      <c r="CEX23" s="1280"/>
      <c r="CEY23" s="1280"/>
      <c r="CEZ23" s="1280"/>
      <c r="CFA23" s="1280"/>
      <c r="CFB23" s="1280"/>
      <c r="CFC23" s="1280"/>
      <c r="CFD23" s="1280"/>
      <c r="CFE23" s="1280"/>
      <c r="CFF23" s="1280"/>
      <c r="CFG23" s="1280"/>
      <c r="CFH23" s="1280"/>
      <c r="CFI23" s="1280"/>
      <c r="CFJ23" s="1280"/>
      <c r="CFK23" s="1280"/>
      <c r="CFL23" s="1280"/>
      <c r="CFM23" s="1280"/>
      <c r="CFN23" s="1280"/>
      <c r="CFO23" s="1280"/>
      <c r="CFP23" s="1280"/>
      <c r="CFQ23" s="1280"/>
      <c r="CFR23" s="1280"/>
      <c r="CFS23" s="1280"/>
      <c r="CFT23" s="1280"/>
      <c r="CFU23" s="1280"/>
      <c r="CFV23" s="1280"/>
      <c r="CFW23" s="1280"/>
      <c r="CFX23" s="1280"/>
      <c r="CFY23" s="1280"/>
      <c r="CFZ23" s="1280"/>
      <c r="CGA23" s="1280"/>
      <c r="CGB23" s="1280"/>
      <c r="CGC23" s="1280"/>
      <c r="CGD23" s="1280"/>
      <c r="CGE23" s="1280"/>
      <c r="CGF23" s="1280"/>
      <c r="CGG23" s="1280"/>
      <c r="CGH23" s="1280"/>
      <c r="CGI23" s="1280"/>
      <c r="CGJ23" s="1280"/>
      <c r="CGK23" s="1280"/>
      <c r="CGL23" s="1280"/>
      <c r="CGM23" s="1280"/>
      <c r="CGN23" s="1280"/>
      <c r="CGO23" s="1280"/>
      <c r="CGP23" s="1280"/>
      <c r="CGQ23" s="1280"/>
      <c r="CGR23" s="1280"/>
      <c r="CGS23" s="1280"/>
      <c r="CGT23" s="1280"/>
      <c r="CGU23" s="1280"/>
      <c r="CGV23" s="1280"/>
      <c r="CGW23" s="1280"/>
      <c r="CGX23" s="1280"/>
      <c r="CGY23" s="1280"/>
      <c r="CGZ23" s="1280"/>
      <c r="CHA23" s="1280"/>
      <c r="CHB23" s="1280"/>
      <c r="CHC23" s="1280"/>
      <c r="CHD23" s="1280"/>
      <c r="CHE23" s="1280"/>
      <c r="CHF23" s="1280"/>
      <c r="CHG23" s="1280"/>
      <c r="CHH23" s="1280"/>
      <c r="CHI23" s="1280"/>
      <c r="CHJ23" s="1280"/>
      <c r="CHK23" s="1280"/>
      <c r="CHL23" s="1280"/>
      <c r="CHM23" s="1280"/>
      <c r="CHN23" s="1280"/>
      <c r="CHO23" s="1280"/>
      <c r="CHP23" s="1280"/>
      <c r="CHQ23" s="1280"/>
      <c r="CHR23" s="1280"/>
      <c r="CHS23" s="1280"/>
      <c r="CHT23" s="1280"/>
      <c r="CHU23" s="1280"/>
      <c r="CHV23" s="1280"/>
      <c r="CHW23" s="1280"/>
      <c r="CHX23" s="1280"/>
      <c r="CHY23" s="1280"/>
      <c r="CHZ23" s="1280"/>
      <c r="CIA23" s="1280"/>
      <c r="CIB23" s="1280"/>
      <c r="CIC23" s="1280"/>
      <c r="CID23" s="1280"/>
      <c r="CIE23" s="1280"/>
      <c r="CIF23" s="1280"/>
      <c r="CIG23" s="1280"/>
      <c r="CIH23" s="1280"/>
      <c r="CII23" s="1280"/>
      <c r="CIJ23" s="1280"/>
      <c r="CIK23" s="1280"/>
      <c r="CIL23" s="1280"/>
      <c r="CIM23" s="1280"/>
      <c r="CIN23" s="1280"/>
      <c r="CIO23" s="1280"/>
      <c r="CIP23" s="1280"/>
      <c r="CIQ23" s="1280"/>
      <c r="CIR23" s="1280"/>
      <c r="CIS23" s="1280"/>
      <c r="CIT23" s="1280"/>
      <c r="CIU23" s="1280"/>
      <c r="CIV23" s="1280"/>
      <c r="CIW23" s="1280"/>
      <c r="CIX23" s="1280"/>
      <c r="CIY23" s="1280"/>
      <c r="CIZ23" s="1280"/>
      <c r="CJA23" s="1280"/>
      <c r="CJB23" s="1280"/>
      <c r="CJC23" s="1280"/>
      <c r="CJD23" s="1280"/>
      <c r="CJE23" s="1280"/>
      <c r="CJF23" s="1280"/>
      <c r="CJG23" s="1280"/>
      <c r="CJH23" s="1280"/>
      <c r="CJI23" s="1280"/>
      <c r="CJJ23" s="1280"/>
      <c r="CJK23" s="1280"/>
      <c r="CJL23" s="1280"/>
      <c r="CJM23" s="1280"/>
      <c r="CJN23" s="1280"/>
      <c r="CJO23" s="1280"/>
      <c r="CJP23" s="1280"/>
      <c r="CJQ23" s="1280"/>
      <c r="CJR23" s="1280"/>
      <c r="CJS23" s="1280"/>
      <c r="CJT23" s="1280"/>
      <c r="CJU23" s="1280"/>
      <c r="CJV23" s="1280"/>
      <c r="CJW23" s="1280"/>
      <c r="CJX23" s="1280"/>
      <c r="CJY23" s="1280"/>
      <c r="CJZ23" s="1280"/>
      <c r="CKA23" s="1280"/>
      <c r="CKB23" s="1280"/>
      <c r="CKC23" s="1280"/>
      <c r="CKD23" s="1280"/>
      <c r="CKE23" s="1280"/>
      <c r="CKF23" s="1280"/>
      <c r="CKG23" s="1280"/>
      <c r="CKH23" s="1280"/>
      <c r="CKI23" s="1280"/>
      <c r="CKJ23" s="1280"/>
      <c r="CKK23" s="1280"/>
      <c r="CKL23" s="1280"/>
      <c r="CKM23" s="1280"/>
      <c r="CKN23" s="1280"/>
      <c r="CKO23" s="1280"/>
      <c r="CKP23" s="1280"/>
      <c r="CKQ23" s="1280"/>
      <c r="CKR23" s="1280"/>
      <c r="CKS23" s="1280"/>
      <c r="CKT23" s="1280"/>
      <c r="CKU23" s="1280"/>
      <c r="CKV23" s="1280"/>
      <c r="CKW23" s="1280"/>
      <c r="CKX23" s="1280"/>
      <c r="CKY23" s="1280"/>
      <c r="CKZ23" s="1280"/>
      <c r="CLA23" s="1280"/>
      <c r="CLB23" s="1280"/>
      <c r="CLC23" s="1280"/>
      <c r="CLD23" s="1280"/>
      <c r="CLE23" s="1280"/>
      <c r="CLF23" s="1280"/>
      <c r="CLG23" s="1280"/>
      <c r="CLH23" s="1280"/>
      <c r="CLI23" s="1280"/>
      <c r="CLJ23" s="1280"/>
      <c r="CLK23" s="1280"/>
      <c r="CLL23" s="1280"/>
      <c r="CLM23" s="1280"/>
      <c r="CLN23" s="1280"/>
      <c r="CLO23" s="1280"/>
      <c r="CLP23" s="1280"/>
      <c r="CLQ23" s="1280"/>
      <c r="CLR23" s="1280"/>
      <c r="CLS23" s="1280"/>
      <c r="CLT23" s="1280"/>
      <c r="CLU23" s="1280"/>
      <c r="CLV23" s="1280"/>
      <c r="CLW23" s="1280"/>
      <c r="CLX23" s="1280"/>
      <c r="CLY23" s="1280"/>
      <c r="CLZ23" s="1280"/>
      <c r="CMA23" s="1280"/>
      <c r="CMB23" s="1280"/>
      <c r="CMC23" s="1280"/>
      <c r="CMD23" s="1280"/>
      <c r="CME23" s="1280"/>
      <c r="CMF23" s="1280"/>
      <c r="CMG23" s="1280"/>
      <c r="CMH23" s="1280"/>
      <c r="CMI23" s="1280"/>
      <c r="CMJ23" s="1280"/>
      <c r="CMK23" s="1280"/>
      <c r="CML23" s="1280"/>
      <c r="CMM23" s="1280"/>
      <c r="CMN23" s="1280"/>
      <c r="CMO23" s="1280"/>
      <c r="CMP23" s="1280"/>
      <c r="CMQ23" s="1280"/>
      <c r="CMR23" s="1280"/>
      <c r="CMS23" s="1280"/>
      <c r="CMT23" s="1280"/>
      <c r="CMU23" s="1280"/>
      <c r="CMV23" s="1280"/>
      <c r="CMW23" s="1280"/>
      <c r="CMX23" s="1280"/>
      <c r="CMY23" s="1280"/>
      <c r="CMZ23" s="1280"/>
      <c r="CNA23" s="1280"/>
      <c r="CNB23" s="1280"/>
      <c r="CNC23" s="1280"/>
      <c r="CND23" s="1280"/>
      <c r="CNE23" s="1280"/>
      <c r="CNF23" s="1280"/>
      <c r="CNG23" s="1280"/>
      <c r="CNH23" s="1280"/>
      <c r="CNI23" s="1280"/>
      <c r="CNJ23" s="1280"/>
      <c r="CNK23" s="1280"/>
      <c r="CNL23" s="1280"/>
      <c r="CNM23" s="1280"/>
      <c r="CNN23" s="1280"/>
      <c r="CNO23" s="1280"/>
      <c r="CNP23" s="1280"/>
      <c r="CNQ23" s="1280"/>
      <c r="CNR23" s="1280"/>
      <c r="CNS23" s="1280"/>
      <c r="CNT23" s="1280"/>
      <c r="CNU23" s="1280"/>
      <c r="CNV23" s="1280"/>
      <c r="CNW23" s="1280"/>
      <c r="CNX23" s="1280"/>
      <c r="CNY23" s="1280"/>
      <c r="CNZ23" s="1280"/>
      <c r="COA23" s="1280"/>
      <c r="COB23" s="1280"/>
      <c r="COC23" s="1280"/>
      <c r="COD23" s="1280"/>
      <c r="COE23" s="1280"/>
      <c r="COF23" s="1280"/>
      <c r="COG23" s="1280"/>
      <c r="COH23" s="1280"/>
      <c r="COI23" s="1280"/>
      <c r="COJ23" s="1280"/>
      <c r="COK23" s="1280"/>
      <c r="COL23" s="1280"/>
      <c r="COM23" s="1280"/>
      <c r="CON23" s="1280"/>
      <c r="COO23" s="1280"/>
      <c r="COP23" s="1280"/>
      <c r="COQ23" s="1280"/>
      <c r="COR23" s="1280"/>
      <c r="COS23" s="1280"/>
      <c r="COT23" s="1280"/>
      <c r="COU23" s="1280"/>
      <c r="COV23" s="1280"/>
      <c r="COW23" s="1280"/>
      <c r="COX23" s="1280"/>
      <c r="COY23" s="1280"/>
      <c r="COZ23" s="1280"/>
      <c r="CPA23" s="1280"/>
      <c r="CPB23" s="1280"/>
      <c r="CPC23" s="1280"/>
      <c r="CPD23" s="1280"/>
      <c r="CPE23" s="1280"/>
      <c r="CPF23" s="1280"/>
      <c r="CPG23" s="1280"/>
      <c r="CPH23" s="1280"/>
      <c r="CPI23" s="1280"/>
      <c r="CPJ23" s="1280"/>
      <c r="CPK23" s="1280"/>
      <c r="CPL23" s="1280"/>
      <c r="CPM23" s="1280"/>
      <c r="CPN23" s="1280"/>
      <c r="CPO23" s="1280"/>
      <c r="CPP23" s="1280"/>
      <c r="CPQ23" s="1280"/>
      <c r="CPR23" s="1280"/>
      <c r="CPS23" s="1280"/>
      <c r="CPT23" s="1280"/>
      <c r="CPU23" s="1280"/>
      <c r="CPV23" s="1280"/>
      <c r="CPW23" s="1280"/>
      <c r="CPX23" s="1280"/>
      <c r="CPY23" s="1280"/>
      <c r="CPZ23" s="1280"/>
      <c r="CQA23" s="1280"/>
      <c r="CQB23" s="1280"/>
      <c r="CQC23" s="1280"/>
      <c r="CQD23" s="1280"/>
      <c r="CQE23" s="1280"/>
      <c r="CQF23" s="1280"/>
      <c r="CQG23" s="1280"/>
      <c r="CQH23" s="1280"/>
      <c r="CQI23" s="1280"/>
      <c r="CQJ23" s="1280"/>
      <c r="CQK23" s="1280"/>
      <c r="CQL23" s="1280"/>
      <c r="CQM23" s="1280"/>
      <c r="CQN23" s="1280"/>
      <c r="CQO23" s="1280"/>
      <c r="CQP23" s="1280"/>
      <c r="CQQ23" s="1280"/>
      <c r="CQR23" s="1280"/>
      <c r="CQS23" s="1280"/>
      <c r="CQT23" s="1280"/>
      <c r="CQU23" s="1280"/>
      <c r="CQV23" s="1280"/>
      <c r="CQW23" s="1280"/>
      <c r="CQX23" s="1280"/>
      <c r="CQY23" s="1280"/>
      <c r="CQZ23" s="1280"/>
      <c r="CRA23" s="1280"/>
      <c r="CRB23" s="1280"/>
      <c r="CRC23" s="1280"/>
      <c r="CRD23" s="1280"/>
      <c r="CRE23" s="1280"/>
      <c r="CRF23" s="1280"/>
      <c r="CRG23" s="1280"/>
      <c r="CRH23" s="1280"/>
      <c r="CRI23" s="1280"/>
      <c r="CRJ23" s="1280"/>
      <c r="CRK23" s="1280"/>
      <c r="CRL23" s="1280"/>
      <c r="CRM23" s="1280"/>
      <c r="CRN23" s="1280"/>
      <c r="CRO23" s="1280"/>
      <c r="CRP23" s="1280"/>
      <c r="CRQ23" s="1280"/>
      <c r="CRR23" s="1280"/>
      <c r="CRS23" s="1280"/>
      <c r="CRT23" s="1280"/>
      <c r="CRU23" s="1280"/>
      <c r="CRV23" s="1280"/>
      <c r="CRW23" s="1280"/>
      <c r="CRX23" s="1280"/>
      <c r="CRY23" s="1280"/>
      <c r="CRZ23" s="1280"/>
      <c r="CSA23" s="1280"/>
      <c r="CSB23" s="1280"/>
      <c r="CSC23" s="1280"/>
      <c r="CSD23" s="1280"/>
      <c r="CSE23" s="1280"/>
      <c r="CSF23" s="1280"/>
      <c r="CSG23" s="1280"/>
      <c r="CSH23" s="1280"/>
      <c r="CSI23" s="1280"/>
      <c r="CSJ23" s="1280"/>
      <c r="CSK23" s="1280"/>
      <c r="CSL23" s="1280"/>
      <c r="CSM23" s="1280"/>
      <c r="CSN23" s="1280"/>
      <c r="CSO23" s="1280"/>
      <c r="CSP23" s="1280"/>
      <c r="CSQ23" s="1280"/>
      <c r="CSR23" s="1280"/>
      <c r="CSS23" s="1280"/>
      <c r="CST23" s="1280"/>
      <c r="CSU23" s="1280"/>
      <c r="CSV23" s="1280"/>
      <c r="CSW23" s="1280"/>
      <c r="CSX23" s="1280"/>
      <c r="CSY23" s="1280"/>
      <c r="CSZ23" s="1280"/>
      <c r="CTA23" s="1280"/>
      <c r="CTB23" s="1280"/>
      <c r="CTC23" s="1280"/>
      <c r="CTD23" s="1280"/>
      <c r="CTE23" s="1280"/>
      <c r="CTF23" s="1280"/>
      <c r="CTG23" s="1280"/>
      <c r="CTH23" s="1280"/>
      <c r="CTI23" s="1280"/>
      <c r="CTJ23" s="1280"/>
      <c r="CTK23" s="1280"/>
      <c r="CTL23" s="1280"/>
      <c r="CTM23" s="1280"/>
      <c r="CTN23" s="1280"/>
      <c r="CTO23" s="1280"/>
      <c r="CTP23" s="1280"/>
      <c r="CTQ23" s="1280"/>
      <c r="CTR23" s="1280"/>
      <c r="CTS23" s="1280"/>
      <c r="CTT23" s="1280"/>
      <c r="CTU23" s="1280"/>
      <c r="CTV23" s="1280"/>
      <c r="CTW23" s="1280"/>
      <c r="CTX23" s="1280"/>
      <c r="CTY23" s="1280"/>
      <c r="CTZ23" s="1280"/>
      <c r="CUA23" s="1280"/>
      <c r="CUB23" s="1280"/>
      <c r="CUC23" s="1280"/>
      <c r="CUD23" s="1280"/>
      <c r="CUE23" s="1280"/>
      <c r="CUF23" s="1280"/>
      <c r="CUG23" s="1280"/>
      <c r="CUH23" s="1280"/>
      <c r="CUI23" s="1280"/>
      <c r="CUJ23" s="1280"/>
      <c r="CUK23" s="1280"/>
      <c r="CUL23" s="1280"/>
      <c r="CUM23" s="1280"/>
      <c r="CUN23" s="1280"/>
      <c r="CUO23" s="1280"/>
      <c r="CUP23" s="1280"/>
      <c r="CUQ23" s="1280"/>
      <c r="CUR23" s="1280"/>
      <c r="CUS23" s="1280"/>
      <c r="CUT23" s="1280"/>
      <c r="CUU23" s="1280"/>
      <c r="CUV23" s="1280"/>
      <c r="CUW23" s="1280"/>
      <c r="CUX23" s="1280"/>
      <c r="CUY23" s="1280"/>
      <c r="CUZ23" s="1280"/>
      <c r="CVA23" s="1280"/>
      <c r="CVB23" s="1280"/>
      <c r="CVC23" s="1280"/>
      <c r="CVD23" s="1280"/>
      <c r="CVE23" s="1280"/>
      <c r="CVF23" s="1280"/>
      <c r="CVG23" s="1280"/>
      <c r="CVH23" s="1280"/>
      <c r="CVI23" s="1280"/>
      <c r="CVJ23" s="1280"/>
      <c r="CVK23" s="1280"/>
      <c r="CVL23" s="1280"/>
      <c r="CVM23" s="1280"/>
      <c r="CVN23" s="1280"/>
      <c r="CVO23" s="1280"/>
      <c r="CVP23" s="1280"/>
      <c r="CVQ23" s="1280"/>
      <c r="CVR23" s="1280"/>
      <c r="CVS23" s="1280"/>
      <c r="CVT23" s="1280"/>
      <c r="CVU23" s="1280"/>
      <c r="CVV23" s="1280"/>
      <c r="CVW23" s="1280"/>
      <c r="CVX23" s="1280"/>
      <c r="CVY23" s="1280"/>
      <c r="CVZ23" s="1280"/>
      <c r="CWA23" s="1280"/>
      <c r="CWB23" s="1280"/>
      <c r="CWC23" s="1280"/>
      <c r="CWD23" s="1280"/>
      <c r="CWE23" s="1280"/>
      <c r="CWF23" s="1280"/>
      <c r="CWG23" s="1280"/>
      <c r="CWH23" s="1280"/>
      <c r="CWI23" s="1280"/>
      <c r="CWJ23" s="1280"/>
      <c r="CWK23" s="1280"/>
      <c r="CWL23" s="1280"/>
      <c r="CWM23" s="1280"/>
      <c r="CWN23" s="1280"/>
      <c r="CWO23" s="1280"/>
      <c r="CWP23" s="1280"/>
      <c r="CWQ23" s="1280"/>
      <c r="CWR23" s="1280"/>
      <c r="CWS23" s="1280"/>
      <c r="CWT23" s="1280"/>
      <c r="CWU23" s="1280"/>
      <c r="CWV23" s="1280"/>
      <c r="CWW23" s="1280"/>
      <c r="CWX23" s="1280"/>
      <c r="CWY23" s="1280"/>
      <c r="CWZ23" s="1280"/>
      <c r="CXA23" s="1280"/>
      <c r="CXB23" s="1280"/>
      <c r="CXC23" s="1280"/>
      <c r="CXD23" s="1280"/>
      <c r="CXE23" s="1280"/>
      <c r="CXF23" s="1280"/>
      <c r="CXG23" s="1280"/>
      <c r="CXH23" s="1280"/>
      <c r="CXI23" s="1280"/>
      <c r="CXJ23" s="1280"/>
      <c r="CXK23" s="1280"/>
      <c r="CXL23" s="1280"/>
      <c r="CXM23" s="1280"/>
      <c r="CXN23" s="1280"/>
      <c r="CXO23" s="1280"/>
      <c r="CXP23" s="1280"/>
      <c r="CXQ23" s="1280"/>
      <c r="CXR23" s="1280"/>
      <c r="CXS23" s="1280"/>
      <c r="CXT23" s="1280"/>
      <c r="CXU23" s="1280"/>
      <c r="CXV23" s="1280"/>
      <c r="CXW23" s="1280"/>
      <c r="CXX23" s="1280"/>
      <c r="CXY23" s="1280"/>
      <c r="CXZ23" s="1280"/>
      <c r="CYA23" s="1280"/>
      <c r="CYB23" s="1280"/>
      <c r="CYC23" s="1280"/>
      <c r="CYD23" s="1280"/>
      <c r="CYE23" s="1280"/>
      <c r="CYF23" s="1280"/>
      <c r="CYG23" s="1280"/>
      <c r="CYH23" s="1280"/>
      <c r="CYI23" s="1280"/>
      <c r="CYJ23" s="1280"/>
      <c r="CYK23" s="1280"/>
      <c r="CYL23" s="1280"/>
      <c r="CYM23" s="1280"/>
      <c r="CYN23" s="1280"/>
      <c r="CYO23" s="1280"/>
      <c r="CYP23" s="1280"/>
      <c r="CYQ23" s="1280"/>
      <c r="CYR23" s="1280"/>
      <c r="CYS23" s="1280"/>
      <c r="CYT23" s="1280"/>
      <c r="CYU23" s="1280"/>
      <c r="CYV23" s="1280"/>
      <c r="CYW23" s="1280"/>
      <c r="CYX23" s="1280"/>
      <c r="CYY23" s="1280"/>
      <c r="CYZ23" s="1280"/>
      <c r="CZA23" s="1280"/>
      <c r="CZB23" s="1280"/>
      <c r="CZC23" s="1280"/>
      <c r="CZD23" s="1280"/>
      <c r="CZE23" s="1280"/>
      <c r="CZF23" s="1280"/>
      <c r="CZG23" s="1280"/>
      <c r="CZH23" s="1280"/>
      <c r="CZI23" s="1280"/>
      <c r="CZJ23" s="1280"/>
      <c r="CZK23" s="1280"/>
      <c r="CZL23" s="1280"/>
      <c r="CZM23" s="1280"/>
      <c r="CZN23" s="1280"/>
      <c r="CZO23" s="1280"/>
      <c r="CZP23" s="1280"/>
      <c r="CZQ23" s="1280"/>
      <c r="CZR23" s="1280"/>
      <c r="CZS23" s="1280"/>
      <c r="CZT23" s="1280"/>
      <c r="CZU23" s="1280"/>
      <c r="CZV23" s="1280"/>
      <c r="CZW23" s="1280"/>
      <c r="CZX23" s="1280"/>
      <c r="CZY23" s="1280"/>
      <c r="CZZ23" s="1280"/>
      <c r="DAA23" s="1280"/>
      <c r="DAB23" s="1280"/>
      <c r="DAC23" s="1280"/>
      <c r="DAD23" s="1280"/>
      <c r="DAE23" s="1280"/>
      <c r="DAF23" s="1280"/>
      <c r="DAG23" s="1280"/>
      <c r="DAH23" s="1280"/>
      <c r="DAI23" s="1280"/>
      <c r="DAJ23" s="1280"/>
      <c r="DAK23" s="1280"/>
      <c r="DAL23" s="1280"/>
      <c r="DAM23" s="1280"/>
      <c r="DAN23" s="1280"/>
      <c r="DAO23" s="1280"/>
      <c r="DAP23" s="1280"/>
      <c r="DAQ23" s="1280"/>
      <c r="DAR23" s="1280"/>
      <c r="DAS23" s="1280"/>
      <c r="DAT23" s="1280"/>
      <c r="DAU23" s="1280"/>
      <c r="DAV23" s="1280"/>
      <c r="DAW23" s="1280"/>
      <c r="DAX23" s="1280"/>
      <c r="DAY23" s="1280"/>
      <c r="DAZ23" s="1280"/>
      <c r="DBA23" s="1280"/>
      <c r="DBB23" s="1280"/>
      <c r="DBC23" s="1280"/>
      <c r="DBD23" s="1280"/>
      <c r="DBE23" s="1280"/>
      <c r="DBF23" s="1280"/>
      <c r="DBG23" s="1280"/>
      <c r="DBH23" s="1280"/>
      <c r="DBI23" s="1280"/>
      <c r="DBJ23" s="1280"/>
      <c r="DBK23" s="1280"/>
      <c r="DBL23" s="1280"/>
      <c r="DBM23" s="1280"/>
      <c r="DBN23" s="1280"/>
      <c r="DBO23" s="1280"/>
      <c r="DBP23" s="1280"/>
      <c r="DBQ23" s="1280"/>
      <c r="DBR23" s="1280"/>
      <c r="DBS23" s="1280"/>
      <c r="DBT23" s="1280"/>
      <c r="DBU23" s="1280"/>
      <c r="DBV23" s="1280"/>
      <c r="DBW23" s="1280"/>
      <c r="DBX23" s="1280"/>
      <c r="DBY23" s="1280"/>
      <c r="DBZ23" s="1280"/>
      <c r="DCA23" s="1280"/>
      <c r="DCB23" s="1280"/>
      <c r="DCC23" s="1280"/>
      <c r="DCD23" s="1280"/>
      <c r="DCE23" s="1280"/>
      <c r="DCF23" s="1280"/>
      <c r="DCG23" s="1280"/>
      <c r="DCH23" s="1280"/>
      <c r="DCI23" s="1280"/>
      <c r="DCJ23" s="1280"/>
      <c r="DCK23" s="1280"/>
      <c r="DCL23" s="1280"/>
      <c r="DCM23" s="1280"/>
      <c r="DCN23" s="1280"/>
      <c r="DCO23" s="1280"/>
      <c r="DCP23" s="1280"/>
      <c r="DCQ23" s="1280"/>
      <c r="DCR23" s="1280"/>
      <c r="DCS23" s="1280"/>
      <c r="DCT23" s="1280"/>
      <c r="DCU23" s="1280"/>
      <c r="DCV23" s="1280"/>
      <c r="DCW23" s="1280"/>
      <c r="DCX23" s="1280"/>
      <c r="DCY23" s="1280"/>
      <c r="DCZ23" s="1280"/>
      <c r="DDA23" s="1280"/>
      <c r="DDB23" s="1280"/>
      <c r="DDC23" s="1280"/>
      <c r="DDD23" s="1280"/>
      <c r="DDE23" s="1280"/>
      <c r="DDF23" s="1280"/>
      <c r="DDG23" s="1280"/>
      <c r="DDH23" s="1280"/>
      <c r="DDI23" s="1280"/>
      <c r="DDJ23" s="1280"/>
      <c r="DDK23" s="1280"/>
      <c r="DDL23" s="1280"/>
      <c r="DDM23" s="1280"/>
      <c r="DDN23" s="1280"/>
      <c r="DDO23" s="1280"/>
      <c r="DDP23" s="1280"/>
      <c r="DDQ23" s="1280"/>
      <c r="DDR23" s="1280"/>
      <c r="DDS23" s="1280"/>
      <c r="DDT23" s="1280"/>
      <c r="DDU23" s="1280"/>
      <c r="DDV23" s="1280"/>
      <c r="DDW23" s="1280"/>
      <c r="DDX23" s="1280"/>
      <c r="DDY23" s="1280"/>
      <c r="DDZ23" s="1280"/>
      <c r="DEA23" s="1280"/>
      <c r="DEB23" s="1280"/>
      <c r="DEC23" s="1280"/>
      <c r="DED23" s="1280"/>
      <c r="DEE23" s="1280"/>
      <c r="DEF23" s="1280"/>
      <c r="DEG23" s="1280"/>
      <c r="DEH23" s="1280"/>
      <c r="DEI23" s="1280"/>
      <c r="DEJ23" s="1280"/>
      <c r="DEK23" s="1280"/>
      <c r="DEL23" s="1280"/>
      <c r="DEM23" s="1280"/>
      <c r="DEN23" s="1280"/>
      <c r="DEO23" s="1280"/>
      <c r="DEP23" s="1280"/>
      <c r="DEQ23" s="1280"/>
      <c r="DER23" s="1280"/>
      <c r="DES23" s="1280"/>
      <c r="DET23" s="1280"/>
      <c r="DEU23" s="1280"/>
      <c r="DEV23" s="1280"/>
      <c r="DEW23" s="1280"/>
      <c r="DEX23" s="1280"/>
      <c r="DEY23" s="1280"/>
      <c r="DEZ23" s="1280"/>
      <c r="DFA23" s="1280"/>
      <c r="DFB23" s="1280"/>
      <c r="DFC23" s="1280"/>
      <c r="DFD23" s="1280"/>
      <c r="DFE23" s="1280"/>
      <c r="DFF23" s="1280"/>
      <c r="DFG23" s="1280"/>
      <c r="DFH23" s="1280"/>
      <c r="DFI23" s="1280"/>
      <c r="DFJ23" s="1280"/>
      <c r="DFK23" s="1280"/>
      <c r="DFL23" s="1280"/>
      <c r="DFM23" s="1280"/>
      <c r="DFN23" s="1280"/>
      <c r="DFO23" s="1280"/>
      <c r="DFP23" s="1280"/>
      <c r="DFQ23" s="1280"/>
      <c r="DFR23" s="1280"/>
      <c r="DFS23" s="1280"/>
      <c r="DFT23" s="1280"/>
      <c r="DFU23" s="1280"/>
      <c r="DFV23" s="1280"/>
      <c r="DFW23" s="1280"/>
      <c r="DFX23" s="1280"/>
      <c r="DFY23" s="1280"/>
      <c r="DFZ23" s="1280"/>
      <c r="DGA23" s="1280"/>
      <c r="DGB23" s="1280"/>
      <c r="DGC23" s="1280"/>
      <c r="DGD23" s="1280"/>
      <c r="DGE23" s="1280"/>
      <c r="DGF23" s="1280"/>
      <c r="DGG23" s="1280"/>
      <c r="DGH23" s="1280"/>
      <c r="DGI23" s="1280"/>
      <c r="DGJ23" s="1280"/>
      <c r="DGK23" s="1280"/>
      <c r="DGL23" s="1280"/>
      <c r="DGM23" s="1280"/>
      <c r="DGN23" s="1280"/>
      <c r="DGO23" s="1280"/>
      <c r="DGP23" s="1280"/>
      <c r="DGQ23" s="1280"/>
      <c r="DGR23" s="1280"/>
      <c r="DGS23" s="1280"/>
      <c r="DGT23" s="1280"/>
      <c r="DGU23" s="1280"/>
      <c r="DGV23" s="1280"/>
      <c r="DGW23" s="1280"/>
      <c r="DGX23" s="1280"/>
      <c r="DGY23" s="1280"/>
      <c r="DGZ23" s="1280"/>
      <c r="DHA23" s="1280"/>
      <c r="DHB23" s="1280"/>
      <c r="DHC23" s="1280"/>
      <c r="DHD23" s="1280"/>
      <c r="DHE23" s="1280"/>
      <c r="DHF23" s="1280"/>
      <c r="DHG23" s="1280"/>
      <c r="DHH23" s="1280"/>
      <c r="DHI23" s="1280"/>
      <c r="DHJ23" s="1280"/>
      <c r="DHK23" s="1280"/>
      <c r="DHL23" s="1280"/>
      <c r="DHM23" s="1280"/>
      <c r="DHN23" s="1280"/>
      <c r="DHO23" s="1280"/>
      <c r="DHP23" s="1280"/>
      <c r="DHQ23" s="1280"/>
      <c r="DHR23" s="1280"/>
      <c r="DHS23" s="1280"/>
      <c r="DHT23" s="1280"/>
      <c r="DHU23" s="1280"/>
      <c r="DHV23" s="1280"/>
      <c r="DHW23" s="1280"/>
      <c r="DHX23" s="1280"/>
      <c r="DHY23" s="1280"/>
      <c r="DHZ23" s="1280"/>
      <c r="DIA23" s="1280"/>
      <c r="DIB23" s="1280"/>
      <c r="DIC23" s="1280"/>
      <c r="DID23" s="1280"/>
      <c r="DIE23" s="1280"/>
      <c r="DIF23" s="1280"/>
      <c r="DIG23" s="1280"/>
      <c r="DIH23" s="1280"/>
      <c r="DII23" s="1280"/>
      <c r="DIJ23" s="1280"/>
      <c r="DIK23" s="1280"/>
      <c r="DIL23" s="1280"/>
      <c r="DIM23" s="1280"/>
      <c r="DIN23" s="1280"/>
      <c r="DIO23" s="1280"/>
      <c r="DIP23" s="1280"/>
      <c r="DIQ23" s="1280"/>
      <c r="DIR23" s="1280"/>
      <c r="DIS23" s="1280"/>
      <c r="DIT23" s="1280"/>
      <c r="DIU23" s="1280"/>
      <c r="DIV23" s="1280"/>
      <c r="DIW23" s="1280"/>
      <c r="DIX23" s="1280"/>
      <c r="DIY23" s="1280"/>
      <c r="DIZ23" s="1280"/>
      <c r="DJA23" s="1280"/>
      <c r="DJB23" s="1280"/>
      <c r="DJC23" s="1280"/>
      <c r="DJD23" s="1280"/>
      <c r="DJE23" s="1280"/>
      <c r="DJF23" s="1280"/>
      <c r="DJG23" s="1280"/>
      <c r="DJH23" s="1280"/>
      <c r="DJI23" s="1280"/>
      <c r="DJJ23" s="1280"/>
      <c r="DJK23" s="1280"/>
      <c r="DJL23" s="1280"/>
      <c r="DJM23" s="1280"/>
      <c r="DJN23" s="1280"/>
      <c r="DJO23" s="1280"/>
      <c r="DJP23" s="1280"/>
      <c r="DJQ23" s="1280"/>
      <c r="DJR23" s="1280"/>
      <c r="DJS23" s="1280"/>
      <c r="DJT23" s="1280"/>
      <c r="DJU23" s="1280"/>
      <c r="DJV23" s="1280"/>
      <c r="DJW23" s="1280"/>
      <c r="DJX23" s="1280"/>
      <c r="DJY23" s="1280"/>
      <c r="DJZ23" s="1280"/>
      <c r="DKA23" s="1280"/>
      <c r="DKB23" s="1280"/>
      <c r="DKC23" s="1280"/>
      <c r="DKD23" s="1280"/>
      <c r="DKE23" s="1280"/>
      <c r="DKF23" s="1280"/>
      <c r="DKG23" s="1280"/>
      <c r="DKH23" s="1280"/>
      <c r="DKI23" s="1280"/>
      <c r="DKJ23" s="1280"/>
      <c r="DKK23" s="1280"/>
      <c r="DKL23" s="1280"/>
      <c r="DKM23" s="1280"/>
      <c r="DKN23" s="1280"/>
      <c r="DKO23" s="1280"/>
      <c r="DKP23" s="1280"/>
      <c r="DKQ23" s="1280"/>
      <c r="DKR23" s="1280"/>
      <c r="DKS23" s="1280"/>
      <c r="DKT23" s="1280"/>
      <c r="DKU23" s="1280"/>
      <c r="DKV23" s="1280"/>
      <c r="DKW23" s="1280"/>
      <c r="DKX23" s="1280"/>
      <c r="DKY23" s="1280"/>
      <c r="DKZ23" s="1280"/>
      <c r="DLA23" s="1280"/>
      <c r="DLB23" s="1280"/>
      <c r="DLC23" s="1280"/>
      <c r="DLD23" s="1280"/>
      <c r="DLE23" s="1280"/>
      <c r="DLF23" s="1280"/>
      <c r="DLG23" s="1280"/>
      <c r="DLH23" s="1280"/>
      <c r="DLI23" s="1280"/>
      <c r="DLJ23" s="1280"/>
      <c r="DLK23" s="1280"/>
      <c r="DLL23" s="1280"/>
      <c r="DLM23" s="1280"/>
      <c r="DLN23" s="1280"/>
      <c r="DLO23" s="1280"/>
      <c r="DLP23" s="1280"/>
      <c r="DLQ23" s="1280"/>
      <c r="DLR23" s="1280"/>
      <c r="DLS23" s="1280"/>
      <c r="DLT23" s="1280"/>
      <c r="DLU23" s="1280"/>
      <c r="DLV23" s="1280"/>
      <c r="DLW23" s="1280"/>
      <c r="DLX23" s="1280"/>
      <c r="DLY23" s="1280"/>
      <c r="DLZ23" s="1280"/>
      <c r="DMA23" s="1280"/>
      <c r="DMB23" s="1280"/>
      <c r="DMC23" s="1280"/>
      <c r="DMD23" s="1280"/>
      <c r="DME23" s="1280"/>
      <c r="DMF23" s="1280"/>
      <c r="DMG23" s="1280"/>
      <c r="DMH23" s="1280"/>
      <c r="DMI23" s="1280"/>
      <c r="DMJ23" s="1280"/>
      <c r="DMK23" s="1280"/>
      <c r="DML23" s="1280"/>
      <c r="DMM23" s="1280"/>
      <c r="DMN23" s="1280"/>
      <c r="DMO23" s="1280"/>
      <c r="DMP23" s="1280"/>
      <c r="DMQ23" s="1280"/>
      <c r="DMR23" s="1280"/>
      <c r="DMS23" s="1280"/>
      <c r="DMT23" s="1280"/>
      <c r="DMU23" s="1280"/>
      <c r="DMV23" s="1280"/>
      <c r="DMW23" s="1280"/>
      <c r="DMX23" s="1280"/>
      <c r="DMY23" s="1280"/>
      <c r="DMZ23" s="1280"/>
      <c r="DNA23" s="1280"/>
      <c r="DNB23" s="1280"/>
      <c r="DNC23" s="1280"/>
      <c r="DND23" s="1280"/>
      <c r="DNE23" s="1280"/>
      <c r="DNF23" s="1280"/>
      <c r="DNG23" s="1280"/>
      <c r="DNH23" s="1280"/>
      <c r="DNI23" s="1280"/>
      <c r="DNJ23" s="1280"/>
      <c r="DNK23" s="1280"/>
      <c r="DNL23" s="1280"/>
      <c r="DNM23" s="1280"/>
      <c r="DNN23" s="1280"/>
      <c r="DNO23" s="1280"/>
      <c r="DNP23" s="1280"/>
      <c r="DNQ23" s="1280"/>
      <c r="DNR23" s="1280"/>
      <c r="DNS23" s="1280"/>
      <c r="DNT23" s="1280"/>
      <c r="DNU23" s="1280"/>
      <c r="DNV23" s="1280"/>
      <c r="DNW23" s="1280"/>
      <c r="DNX23" s="1280"/>
      <c r="DNY23" s="1280"/>
      <c r="DNZ23" s="1280"/>
      <c r="DOA23" s="1280"/>
      <c r="DOB23" s="1280"/>
      <c r="DOC23" s="1280"/>
      <c r="DOD23" s="1280"/>
      <c r="DOE23" s="1280"/>
      <c r="DOF23" s="1280"/>
      <c r="DOG23" s="1280"/>
      <c r="DOH23" s="1280"/>
      <c r="DOI23" s="1280"/>
      <c r="DOJ23" s="1280"/>
      <c r="DOK23" s="1280"/>
      <c r="DOL23" s="1280"/>
      <c r="DOM23" s="1280"/>
      <c r="DON23" s="1280"/>
      <c r="DOO23" s="1280"/>
      <c r="DOP23" s="1280"/>
      <c r="DOQ23" s="1280"/>
      <c r="DOR23" s="1280"/>
      <c r="DOS23" s="1280"/>
      <c r="DOT23" s="1280"/>
      <c r="DOU23" s="1280"/>
      <c r="DOV23" s="1280"/>
      <c r="DOW23" s="1280"/>
      <c r="DOX23" s="1280"/>
      <c r="DOY23" s="1280"/>
      <c r="DOZ23" s="1280"/>
      <c r="DPA23" s="1280"/>
      <c r="DPB23" s="1280"/>
      <c r="DPC23" s="1280"/>
      <c r="DPD23" s="1280"/>
      <c r="DPE23" s="1280"/>
      <c r="DPF23" s="1280"/>
      <c r="DPG23" s="1280"/>
      <c r="DPH23" s="1280"/>
      <c r="DPI23" s="1280"/>
      <c r="DPJ23" s="1280"/>
      <c r="DPK23" s="1280"/>
      <c r="DPL23" s="1280"/>
      <c r="DPM23" s="1280"/>
      <c r="DPN23" s="1280"/>
      <c r="DPO23" s="1280"/>
      <c r="DPP23" s="1280"/>
      <c r="DPQ23" s="1280"/>
      <c r="DPR23" s="1280"/>
      <c r="DPS23" s="1280"/>
      <c r="DPT23" s="1280"/>
      <c r="DPU23" s="1280"/>
      <c r="DPV23" s="1280"/>
      <c r="DPW23" s="1280"/>
      <c r="DPX23" s="1280"/>
      <c r="DPY23" s="1280"/>
      <c r="DPZ23" s="1280"/>
      <c r="DQA23" s="1280"/>
      <c r="DQB23" s="1280"/>
      <c r="DQC23" s="1280"/>
      <c r="DQD23" s="1280"/>
      <c r="DQE23" s="1280"/>
      <c r="DQF23" s="1280"/>
      <c r="DQG23" s="1280"/>
      <c r="DQH23" s="1280"/>
      <c r="DQI23" s="1280"/>
      <c r="DQJ23" s="1280"/>
      <c r="DQK23" s="1280"/>
      <c r="DQL23" s="1280"/>
      <c r="DQM23" s="1280"/>
      <c r="DQN23" s="1280"/>
      <c r="DQO23" s="1280"/>
      <c r="DQP23" s="1280"/>
      <c r="DQQ23" s="1280"/>
      <c r="DQR23" s="1280"/>
      <c r="DQS23" s="1280"/>
      <c r="DQT23" s="1280"/>
      <c r="DQU23" s="1280"/>
      <c r="DQV23" s="1280"/>
      <c r="DQW23" s="1280"/>
      <c r="DQX23" s="1280"/>
      <c r="DQY23" s="1280"/>
      <c r="DQZ23" s="1280"/>
      <c r="DRA23" s="1280"/>
      <c r="DRB23" s="1280"/>
      <c r="DRC23" s="1280"/>
      <c r="DRD23" s="1280"/>
      <c r="DRE23" s="1280"/>
      <c r="DRF23" s="1280"/>
      <c r="DRG23" s="1280"/>
      <c r="DRH23" s="1280"/>
      <c r="DRI23" s="1280"/>
      <c r="DRJ23" s="1280"/>
      <c r="DRK23" s="1280"/>
      <c r="DRL23" s="1280"/>
      <c r="DRM23" s="1280"/>
      <c r="DRN23" s="1280"/>
      <c r="DRO23" s="1280"/>
      <c r="DRP23" s="1280"/>
      <c r="DRQ23" s="1280"/>
      <c r="DRR23" s="1280"/>
      <c r="DRS23" s="1280"/>
      <c r="DRT23" s="1280"/>
      <c r="DRU23" s="1280"/>
      <c r="DRV23" s="1280"/>
      <c r="DRW23" s="1280"/>
      <c r="DRX23" s="1280"/>
      <c r="DRY23" s="1280"/>
      <c r="DRZ23" s="1280"/>
      <c r="DSA23" s="1280"/>
      <c r="DSB23" s="1280"/>
      <c r="DSC23" s="1280"/>
      <c r="DSD23" s="1280"/>
      <c r="DSE23" s="1280"/>
      <c r="DSF23" s="1280"/>
      <c r="DSG23" s="1280"/>
      <c r="DSH23" s="1280"/>
      <c r="DSI23" s="1280"/>
      <c r="DSJ23" s="1280"/>
      <c r="DSK23" s="1280"/>
      <c r="DSL23" s="1280"/>
      <c r="DSM23" s="1280"/>
      <c r="DSN23" s="1280"/>
      <c r="DSO23" s="1280"/>
      <c r="DSP23" s="1280"/>
      <c r="DSQ23" s="1280"/>
      <c r="DSR23" s="1280"/>
      <c r="DSS23" s="1280"/>
      <c r="DST23" s="1280"/>
      <c r="DSU23" s="1280"/>
      <c r="DSV23" s="1280"/>
      <c r="DSW23" s="1280"/>
      <c r="DSX23" s="1280"/>
      <c r="DSY23" s="1280"/>
      <c r="DSZ23" s="1280"/>
      <c r="DTA23" s="1280"/>
      <c r="DTB23" s="1280"/>
      <c r="DTC23" s="1280"/>
      <c r="DTD23" s="1280"/>
      <c r="DTE23" s="1280"/>
      <c r="DTF23" s="1280"/>
      <c r="DTG23" s="1280"/>
      <c r="DTH23" s="1280"/>
      <c r="DTI23" s="1280"/>
      <c r="DTJ23" s="1280"/>
      <c r="DTK23" s="1280"/>
      <c r="DTL23" s="1280"/>
      <c r="DTM23" s="1280"/>
      <c r="DTN23" s="1280"/>
      <c r="DTO23" s="1280"/>
      <c r="DTP23" s="1280"/>
      <c r="DTQ23" s="1280"/>
      <c r="DTR23" s="1280"/>
      <c r="DTS23" s="1280"/>
      <c r="DTT23" s="1280"/>
      <c r="DTU23" s="1280"/>
      <c r="DTV23" s="1280"/>
      <c r="DTW23" s="1280"/>
      <c r="DTX23" s="1280"/>
      <c r="DTY23" s="1280"/>
      <c r="DTZ23" s="1280"/>
      <c r="DUA23" s="1280"/>
      <c r="DUB23" s="1280"/>
      <c r="DUC23" s="1280"/>
      <c r="DUD23" s="1280"/>
      <c r="DUE23" s="1280"/>
      <c r="DUF23" s="1280"/>
      <c r="DUG23" s="1280"/>
      <c r="DUH23" s="1280"/>
      <c r="DUI23" s="1280"/>
      <c r="DUJ23" s="1280"/>
      <c r="DUK23" s="1280"/>
      <c r="DUL23" s="1280"/>
      <c r="DUM23" s="1280"/>
      <c r="DUN23" s="1280"/>
      <c r="DUO23" s="1280"/>
      <c r="DUP23" s="1280"/>
      <c r="DUQ23" s="1280"/>
      <c r="DUR23" s="1280"/>
      <c r="DUS23" s="1280"/>
      <c r="DUT23" s="1280"/>
      <c r="DUU23" s="1280"/>
      <c r="DUV23" s="1280"/>
      <c r="DUW23" s="1280"/>
      <c r="DUX23" s="1280"/>
      <c r="DUY23" s="1280"/>
      <c r="DUZ23" s="1280"/>
      <c r="DVA23" s="1280"/>
      <c r="DVB23" s="1280"/>
      <c r="DVC23" s="1280"/>
      <c r="DVD23" s="1280"/>
      <c r="DVE23" s="1280"/>
      <c r="DVF23" s="1280"/>
      <c r="DVG23" s="1280"/>
      <c r="DVH23" s="1280"/>
      <c r="DVI23" s="1280"/>
      <c r="DVJ23" s="1280"/>
      <c r="DVK23" s="1280"/>
      <c r="DVL23" s="1280"/>
      <c r="DVM23" s="1280"/>
      <c r="DVN23" s="1280"/>
      <c r="DVO23" s="1280"/>
      <c r="DVP23" s="1280"/>
      <c r="DVQ23" s="1280"/>
      <c r="DVR23" s="1280"/>
      <c r="DVS23" s="1280"/>
      <c r="DVT23" s="1280"/>
      <c r="DVU23" s="1280"/>
      <c r="DVV23" s="1280"/>
      <c r="DVW23" s="1280"/>
      <c r="DVX23" s="1280"/>
      <c r="DVY23" s="1280"/>
      <c r="DVZ23" s="1280"/>
      <c r="DWA23" s="1280"/>
      <c r="DWB23" s="1280"/>
      <c r="DWC23" s="1280"/>
      <c r="DWD23" s="1280"/>
      <c r="DWE23" s="1280"/>
      <c r="DWF23" s="1280"/>
      <c r="DWG23" s="1280"/>
      <c r="DWH23" s="1280"/>
      <c r="DWI23" s="1280"/>
      <c r="DWJ23" s="1280"/>
      <c r="DWK23" s="1280"/>
      <c r="DWL23" s="1280"/>
      <c r="DWM23" s="1280"/>
      <c r="DWN23" s="1280"/>
      <c r="DWO23" s="1280"/>
      <c r="DWP23" s="1280"/>
      <c r="DWQ23" s="1280"/>
      <c r="DWR23" s="1280"/>
      <c r="DWS23" s="1280"/>
      <c r="DWT23" s="1280"/>
      <c r="DWU23" s="1280"/>
      <c r="DWV23" s="1280"/>
      <c r="DWW23" s="1280"/>
      <c r="DWX23" s="1280"/>
      <c r="DWY23" s="1280"/>
      <c r="DWZ23" s="1280"/>
      <c r="DXA23" s="1280"/>
      <c r="DXB23" s="1280"/>
      <c r="DXC23" s="1280"/>
      <c r="DXD23" s="1280"/>
      <c r="DXE23" s="1280"/>
      <c r="DXF23" s="1280"/>
      <c r="DXG23" s="1280"/>
      <c r="DXH23" s="1280"/>
      <c r="DXI23" s="1280"/>
      <c r="DXJ23" s="1280"/>
      <c r="DXK23" s="1280"/>
      <c r="DXL23" s="1280"/>
      <c r="DXM23" s="1280"/>
      <c r="DXN23" s="1280"/>
      <c r="DXO23" s="1280"/>
      <c r="DXP23" s="1280"/>
      <c r="DXQ23" s="1280"/>
      <c r="DXR23" s="1280"/>
      <c r="DXS23" s="1280"/>
      <c r="DXT23" s="1280"/>
      <c r="DXU23" s="1280"/>
      <c r="DXV23" s="1280"/>
      <c r="DXW23" s="1280"/>
      <c r="DXX23" s="1280"/>
      <c r="DXY23" s="1280"/>
      <c r="DXZ23" s="1280"/>
      <c r="DYA23" s="1280"/>
      <c r="DYB23" s="1280"/>
      <c r="DYC23" s="1280"/>
      <c r="DYD23" s="1280"/>
      <c r="DYE23" s="1280"/>
      <c r="DYF23" s="1280"/>
      <c r="DYG23" s="1280"/>
      <c r="DYH23" s="1280"/>
      <c r="DYI23" s="1280"/>
      <c r="DYJ23" s="1280"/>
      <c r="DYK23" s="1280"/>
      <c r="DYL23" s="1280"/>
      <c r="DYM23" s="1280"/>
      <c r="DYN23" s="1280"/>
      <c r="DYO23" s="1280"/>
      <c r="DYP23" s="1280"/>
      <c r="DYQ23" s="1280"/>
      <c r="DYR23" s="1280"/>
      <c r="DYS23" s="1280"/>
      <c r="DYT23" s="1280"/>
      <c r="DYU23" s="1280"/>
      <c r="DYV23" s="1280"/>
      <c r="DYW23" s="1280"/>
      <c r="DYX23" s="1280"/>
      <c r="DYY23" s="1280"/>
      <c r="DYZ23" s="1280"/>
      <c r="DZA23" s="1280"/>
      <c r="DZB23" s="1280"/>
      <c r="DZC23" s="1280"/>
      <c r="DZD23" s="1280"/>
      <c r="DZE23" s="1280"/>
      <c r="DZF23" s="1280"/>
      <c r="DZG23" s="1280"/>
      <c r="DZH23" s="1280"/>
      <c r="DZI23" s="1280"/>
      <c r="DZJ23" s="1280"/>
      <c r="DZK23" s="1280"/>
      <c r="DZL23" s="1280"/>
      <c r="DZM23" s="1280"/>
      <c r="DZN23" s="1280"/>
      <c r="DZO23" s="1280"/>
      <c r="DZP23" s="1280"/>
      <c r="DZQ23" s="1280"/>
      <c r="DZR23" s="1280"/>
      <c r="DZS23" s="1280"/>
      <c r="DZT23" s="1280"/>
      <c r="DZU23" s="1280"/>
      <c r="DZV23" s="1280"/>
      <c r="DZW23" s="1280"/>
      <c r="DZX23" s="1280"/>
      <c r="DZY23" s="1280"/>
      <c r="DZZ23" s="1280"/>
      <c r="EAA23" s="1280"/>
      <c r="EAB23" s="1280"/>
      <c r="EAC23" s="1280"/>
      <c r="EAD23" s="1280"/>
      <c r="EAE23" s="1280"/>
      <c r="EAF23" s="1280"/>
      <c r="EAG23" s="1280"/>
      <c r="EAH23" s="1280"/>
      <c r="EAI23" s="1280"/>
      <c r="EAJ23" s="1280"/>
      <c r="EAK23" s="1280"/>
      <c r="EAL23" s="1280"/>
      <c r="EAM23" s="1280"/>
      <c r="EAN23" s="1280"/>
      <c r="EAO23" s="1280"/>
      <c r="EAP23" s="1280"/>
      <c r="EAQ23" s="1280"/>
      <c r="EAR23" s="1280"/>
      <c r="EAS23" s="1280"/>
      <c r="EAT23" s="1280"/>
      <c r="EAU23" s="1280"/>
      <c r="EAV23" s="1280"/>
      <c r="EAW23" s="1280"/>
      <c r="EAX23" s="1280"/>
      <c r="EAY23" s="1280"/>
      <c r="EAZ23" s="1280"/>
      <c r="EBA23" s="1280"/>
      <c r="EBB23" s="1280"/>
      <c r="EBC23" s="1280"/>
      <c r="EBD23" s="1280"/>
      <c r="EBE23" s="1280"/>
      <c r="EBF23" s="1280"/>
      <c r="EBG23" s="1280"/>
      <c r="EBH23" s="1280"/>
      <c r="EBI23" s="1280"/>
      <c r="EBJ23" s="1280"/>
      <c r="EBK23" s="1280"/>
      <c r="EBL23" s="1280"/>
      <c r="EBM23" s="1280"/>
      <c r="EBN23" s="1280"/>
      <c r="EBO23" s="1280"/>
      <c r="EBP23" s="1280"/>
      <c r="EBQ23" s="1280"/>
      <c r="EBR23" s="1280"/>
      <c r="EBS23" s="1280"/>
      <c r="EBT23" s="1280"/>
      <c r="EBU23" s="1280"/>
      <c r="EBV23" s="1280"/>
      <c r="EBW23" s="1280"/>
      <c r="EBX23" s="1280"/>
      <c r="EBY23" s="1280"/>
      <c r="EBZ23" s="1280"/>
      <c r="ECA23" s="1280"/>
      <c r="ECB23" s="1280"/>
      <c r="ECC23" s="1280"/>
      <c r="ECD23" s="1280"/>
      <c r="ECE23" s="1280"/>
      <c r="ECF23" s="1280"/>
      <c r="ECG23" s="1280"/>
      <c r="ECH23" s="1280"/>
      <c r="ECI23" s="1280"/>
      <c r="ECJ23" s="1280"/>
      <c r="ECK23" s="1280"/>
      <c r="ECL23" s="1280"/>
      <c r="ECM23" s="1280"/>
      <c r="ECN23" s="1280"/>
      <c r="ECO23" s="1280"/>
      <c r="ECP23" s="1280"/>
      <c r="ECQ23" s="1280"/>
      <c r="ECR23" s="1280"/>
      <c r="ECS23" s="1280"/>
      <c r="ECT23" s="1280"/>
      <c r="ECU23" s="1280"/>
      <c r="ECV23" s="1280"/>
      <c r="ECW23" s="1280"/>
      <c r="ECX23" s="1280"/>
      <c r="ECY23" s="1280"/>
      <c r="ECZ23" s="1280"/>
      <c r="EDA23" s="1280"/>
      <c r="EDB23" s="1280"/>
      <c r="EDC23" s="1280"/>
      <c r="EDD23" s="1280"/>
      <c r="EDE23" s="1280"/>
      <c r="EDF23" s="1280"/>
      <c r="EDG23" s="1280"/>
      <c r="EDH23" s="1280"/>
      <c r="EDI23" s="1280"/>
      <c r="EDJ23" s="1280"/>
      <c r="EDK23" s="1280"/>
      <c r="EDL23" s="1280"/>
      <c r="EDM23" s="1280"/>
      <c r="EDN23" s="1280"/>
      <c r="EDO23" s="1280"/>
      <c r="EDP23" s="1280"/>
      <c r="EDQ23" s="1280"/>
      <c r="EDR23" s="1280"/>
      <c r="EDS23" s="1280"/>
      <c r="EDT23" s="1280"/>
      <c r="EDU23" s="1280"/>
      <c r="EDV23" s="1280"/>
      <c r="EDW23" s="1280"/>
      <c r="EDX23" s="1280"/>
      <c r="EDY23" s="1280"/>
      <c r="EDZ23" s="1280"/>
      <c r="EEA23" s="1280"/>
      <c r="EEB23" s="1280"/>
      <c r="EEC23" s="1280"/>
      <c r="EED23" s="1280"/>
      <c r="EEE23" s="1280"/>
      <c r="EEF23" s="1280"/>
      <c r="EEG23" s="1280"/>
      <c r="EEH23" s="1280"/>
      <c r="EEI23" s="1280"/>
      <c r="EEJ23" s="1280"/>
      <c r="EEK23" s="1280"/>
      <c r="EEL23" s="1280"/>
      <c r="EEM23" s="1280"/>
      <c r="EEN23" s="1280"/>
      <c r="EEO23" s="1280"/>
      <c r="EEP23" s="1280"/>
      <c r="EEQ23" s="1280"/>
      <c r="EER23" s="1280"/>
      <c r="EES23" s="1280"/>
      <c r="EET23" s="1280"/>
      <c r="EEU23" s="1280"/>
      <c r="EEV23" s="1280"/>
      <c r="EEW23" s="1280"/>
      <c r="EEX23" s="1280"/>
      <c r="EEY23" s="1280"/>
      <c r="EEZ23" s="1280"/>
      <c r="EFA23" s="1280"/>
      <c r="EFB23" s="1280"/>
      <c r="EFC23" s="1280"/>
      <c r="EFD23" s="1280"/>
      <c r="EFE23" s="1280"/>
      <c r="EFF23" s="1280"/>
      <c r="EFG23" s="1280"/>
      <c r="EFH23" s="1280"/>
      <c r="EFI23" s="1280"/>
      <c r="EFJ23" s="1280"/>
      <c r="EFK23" s="1280"/>
      <c r="EFL23" s="1280"/>
      <c r="EFM23" s="1280"/>
      <c r="EFN23" s="1280"/>
      <c r="EFO23" s="1280"/>
      <c r="EFP23" s="1280"/>
      <c r="EFQ23" s="1280"/>
      <c r="EFR23" s="1280"/>
      <c r="EFS23" s="1280"/>
      <c r="EFT23" s="1280"/>
      <c r="EFU23" s="1280"/>
      <c r="EFV23" s="1280"/>
      <c r="EFW23" s="1280"/>
      <c r="EFX23" s="1280"/>
      <c r="EFY23" s="1280"/>
      <c r="EFZ23" s="1280"/>
      <c r="EGA23" s="1280"/>
      <c r="EGB23" s="1280"/>
      <c r="EGC23" s="1280"/>
      <c r="EGD23" s="1280"/>
      <c r="EGE23" s="1280"/>
      <c r="EGF23" s="1280"/>
      <c r="EGG23" s="1280"/>
      <c r="EGH23" s="1280"/>
      <c r="EGI23" s="1280"/>
      <c r="EGJ23" s="1280"/>
      <c r="EGK23" s="1280"/>
      <c r="EGL23" s="1280"/>
      <c r="EGM23" s="1280"/>
      <c r="EGN23" s="1280"/>
      <c r="EGO23" s="1280"/>
      <c r="EGP23" s="1280"/>
      <c r="EGQ23" s="1280"/>
      <c r="EGR23" s="1280"/>
      <c r="EGS23" s="1280"/>
      <c r="EGT23" s="1280"/>
      <c r="EGU23" s="1280"/>
      <c r="EGV23" s="1280"/>
      <c r="EGW23" s="1280"/>
      <c r="EGX23" s="1280"/>
      <c r="EGY23" s="1280"/>
      <c r="EGZ23" s="1280"/>
      <c r="EHA23" s="1280"/>
      <c r="EHB23" s="1280"/>
      <c r="EHC23" s="1280"/>
      <c r="EHD23" s="1280"/>
      <c r="EHE23" s="1280"/>
      <c r="EHF23" s="1280"/>
      <c r="EHG23" s="1280"/>
      <c r="EHH23" s="1280"/>
      <c r="EHI23" s="1280"/>
      <c r="EHJ23" s="1280"/>
      <c r="EHK23" s="1280"/>
      <c r="EHL23" s="1280"/>
      <c r="EHM23" s="1280"/>
      <c r="EHN23" s="1280"/>
      <c r="EHO23" s="1280"/>
      <c r="EHP23" s="1280"/>
      <c r="EHQ23" s="1280"/>
      <c r="EHR23" s="1280"/>
      <c r="EHS23" s="1280"/>
      <c r="EHT23" s="1280"/>
      <c r="EHU23" s="1280"/>
      <c r="EHV23" s="1280"/>
      <c r="EHW23" s="1280"/>
      <c r="EHX23" s="1280"/>
      <c r="EHY23" s="1280"/>
      <c r="EHZ23" s="1280"/>
      <c r="EIA23" s="1280"/>
      <c r="EIB23" s="1280"/>
      <c r="EIC23" s="1280"/>
      <c r="EID23" s="1280"/>
      <c r="EIE23" s="1280"/>
      <c r="EIF23" s="1280"/>
      <c r="EIG23" s="1280"/>
      <c r="EIH23" s="1280"/>
      <c r="EII23" s="1280"/>
      <c r="EIJ23" s="1280"/>
      <c r="EIK23" s="1280"/>
      <c r="EIL23" s="1280"/>
      <c r="EIM23" s="1280"/>
      <c r="EIN23" s="1280"/>
      <c r="EIO23" s="1280"/>
      <c r="EIP23" s="1280"/>
      <c r="EIQ23" s="1280"/>
      <c r="EIR23" s="1280"/>
      <c r="EIS23" s="1280"/>
      <c r="EIT23" s="1280"/>
      <c r="EIU23" s="1280"/>
      <c r="EIV23" s="1280"/>
      <c r="EIW23" s="1280"/>
      <c r="EIX23" s="1280"/>
      <c r="EIY23" s="1280"/>
      <c r="EIZ23" s="1280"/>
      <c r="EJA23" s="1280"/>
      <c r="EJB23" s="1280"/>
      <c r="EJC23" s="1280"/>
      <c r="EJD23" s="1280"/>
      <c r="EJE23" s="1280"/>
      <c r="EJF23" s="1280"/>
      <c r="EJG23" s="1280"/>
      <c r="EJH23" s="1280"/>
      <c r="EJI23" s="1280"/>
      <c r="EJJ23" s="1280"/>
      <c r="EJK23" s="1280"/>
      <c r="EJL23" s="1280"/>
      <c r="EJM23" s="1280"/>
      <c r="EJN23" s="1280"/>
      <c r="EJO23" s="1280"/>
      <c r="EJP23" s="1280"/>
      <c r="EJQ23" s="1280"/>
      <c r="EJR23" s="1280"/>
      <c r="EJS23" s="1280"/>
      <c r="EJT23" s="1280"/>
      <c r="EJU23" s="1280"/>
      <c r="EJV23" s="1280"/>
      <c r="EJW23" s="1280"/>
      <c r="EJX23" s="1280"/>
      <c r="EJY23" s="1280"/>
      <c r="EJZ23" s="1280"/>
      <c r="EKA23" s="1280"/>
      <c r="EKB23" s="1280"/>
      <c r="EKC23" s="1280"/>
      <c r="EKD23" s="1280"/>
      <c r="EKE23" s="1280"/>
      <c r="EKF23" s="1280"/>
      <c r="EKG23" s="1280"/>
      <c r="EKH23" s="1280"/>
      <c r="EKI23" s="1280"/>
      <c r="EKJ23" s="1280"/>
      <c r="EKK23" s="1280"/>
      <c r="EKL23" s="1280"/>
      <c r="EKM23" s="1280"/>
      <c r="EKN23" s="1280"/>
      <c r="EKO23" s="1280"/>
      <c r="EKP23" s="1280"/>
      <c r="EKQ23" s="1280"/>
      <c r="EKR23" s="1280"/>
      <c r="EKS23" s="1280"/>
      <c r="EKT23" s="1280"/>
      <c r="EKU23" s="1280"/>
      <c r="EKV23" s="1280"/>
      <c r="EKW23" s="1280"/>
      <c r="EKX23" s="1280"/>
      <c r="EKY23" s="1280"/>
      <c r="EKZ23" s="1280"/>
      <c r="ELA23" s="1280"/>
      <c r="ELB23" s="1280"/>
      <c r="ELC23" s="1280"/>
      <c r="ELD23" s="1280"/>
      <c r="ELE23" s="1280"/>
      <c r="ELF23" s="1280"/>
      <c r="ELG23" s="1280"/>
      <c r="ELH23" s="1280"/>
      <c r="ELI23" s="1280"/>
      <c r="ELJ23" s="1280"/>
      <c r="ELK23" s="1280"/>
      <c r="ELL23" s="1280"/>
      <c r="ELM23" s="1280"/>
      <c r="ELN23" s="1280"/>
      <c r="ELO23" s="1280"/>
      <c r="ELP23" s="1280"/>
      <c r="ELQ23" s="1280"/>
      <c r="ELR23" s="1280"/>
      <c r="ELS23" s="1280"/>
      <c r="ELT23" s="1280"/>
      <c r="ELU23" s="1280"/>
      <c r="ELV23" s="1280"/>
      <c r="ELW23" s="1280"/>
      <c r="ELX23" s="1280"/>
      <c r="ELY23" s="1280"/>
      <c r="ELZ23" s="1280"/>
      <c r="EMA23" s="1280"/>
      <c r="EMB23" s="1280"/>
      <c r="EMC23" s="1280"/>
      <c r="EMD23" s="1280"/>
      <c r="EME23" s="1280"/>
      <c r="EMF23" s="1280"/>
      <c r="EMG23" s="1280"/>
      <c r="EMH23" s="1280"/>
      <c r="EMI23" s="1280"/>
      <c r="EMJ23" s="1280"/>
      <c r="EMK23" s="1280"/>
      <c r="EML23" s="1280"/>
      <c r="EMM23" s="1280"/>
      <c r="EMN23" s="1280"/>
      <c r="EMO23" s="1280"/>
      <c r="EMP23" s="1280"/>
      <c r="EMQ23" s="1280"/>
      <c r="EMR23" s="1280"/>
      <c r="EMS23" s="1280"/>
      <c r="EMT23" s="1280"/>
      <c r="EMU23" s="1280"/>
      <c r="EMV23" s="1280"/>
      <c r="EMW23" s="1280"/>
      <c r="EMX23" s="1280"/>
      <c r="EMY23" s="1280"/>
      <c r="EMZ23" s="1280"/>
      <c r="ENA23" s="1280"/>
      <c r="ENB23" s="1280"/>
      <c r="ENC23" s="1280"/>
      <c r="END23" s="1280"/>
      <c r="ENE23" s="1280"/>
      <c r="ENF23" s="1280"/>
      <c r="ENG23" s="1280"/>
      <c r="ENH23" s="1280"/>
      <c r="ENI23" s="1280"/>
      <c r="ENJ23" s="1280"/>
      <c r="ENK23" s="1280"/>
      <c r="ENL23" s="1280"/>
      <c r="ENM23" s="1280"/>
      <c r="ENN23" s="1280"/>
      <c r="ENO23" s="1280"/>
      <c r="ENP23" s="1280"/>
      <c r="ENQ23" s="1280"/>
      <c r="ENR23" s="1280"/>
      <c r="ENS23" s="1280"/>
      <c r="ENT23" s="1280"/>
      <c r="ENU23" s="1280"/>
      <c r="ENV23" s="1280"/>
      <c r="ENW23" s="1280"/>
      <c r="ENX23" s="1280"/>
      <c r="ENY23" s="1280"/>
      <c r="ENZ23" s="1280"/>
      <c r="EOA23" s="1280"/>
      <c r="EOB23" s="1280"/>
      <c r="EOC23" s="1280"/>
      <c r="EOD23" s="1280"/>
      <c r="EOE23" s="1280"/>
      <c r="EOF23" s="1280"/>
      <c r="EOG23" s="1280"/>
      <c r="EOH23" s="1280"/>
      <c r="EOI23" s="1280"/>
      <c r="EOJ23" s="1280"/>
      <c r="EOK23" s="1280"/>
      <c r="EOL23" s="1280"/>
      <c r="EOM23" s="1280"/>
      <c r="EON23" s="1280"/>
      <c r="EOO23" s="1280"/>
      <c r="EOP23" s="1280"/>
      <c r="EOQ23" s="1280"/>
      <c r="EOR23" s="1280"/>
      <c r="EOS23" s="1280"/>
      <c r="EOT23" s="1280"/>
      <c r="EOU23" s="1280"/>
      <c r="EOV23" s="1280"/>
      <c r="EOW23" s="1280"/>
      <c r="EOX23" s="1280"/>
      <c r="EOY23" s="1280"/>
      <c r="EOZ23" s="1280"/>
      <c r="EPA23" s="1280"/>
      <c r="EPB23" s="1280"/>
      <c r="EPC23" s="1280"/>
      <c r="EPD23" s="1280"/>
      <c r="EPE23" s="1280"/>
      <c r="EPF23" s="1280"/>
      <c r="EPG23" s="1280"/>
      <c r="EPH23" s="1280"/>
      <c r="EPI23" s="1280"/>
      <c r="EPJ23" s="1280"/>
      <c r="EPK23" s="1280"/>
      <c r="EPL23" s="1280"/>
      <c r="EPM23" s="1280"/>
      <c r="EPN23" s="1280"/>
      <c r="EPO23" s="1280"/>
      <c r="EPP23" s="1280"/>
      <c r="EPQ23" s="1280"/>
      <c r="EPR23" s="1280"/>
      <c r="EPS23" s="1280"/>
      <c r="EPT23" s="1280"/>
      <c r="EPU23" s="1280"/>
      <c r="EPV23" s="1280"/>
      <c r="EPW23" s="1280"/>
      <c r="EPX23" s="1280"/>
      <c r="EPY23" s="1280"/>
      <c r="EPZ23" s="1280"/>
      <c r="EQA23" s="1280"/>
      <c r="EQB23" s="1280"/>
      <c r="EQC23" s="1280"/>
      <c r="EQD23" s="1280"/>
      <c r="EQE23" s="1280"/>
      <c r="EQF23" s="1280"/>
      <c r="EQG23" s="1280"/>
      <c r="EQH23" s="1280"/>
      <c r="EQI23" s="1280"/>
      <c r="EQJ23" s="1280"/>
      <c r="EQK23" s="1280"/>
      <c r="EQL23" s="1280"/>
      <c r="EQM23" s="1280"/>
      <c r="EQN23" s="1280"/>
      <c r="EQO23" s="1280"/>
      <c r="EQP23" s="1280"/>
      <c r="EQQ23" s="1280"/>
      <c r="EQR23" s="1280"/>
      <c r="EQS23" s="1280"/>
      <c r="EQT23" s="1280"/>
      <c r="EQU23" s="1280"/>
      <c r="EQV23" s="1280"/>
      <c r="EQW23" s="1280"/>
      <c r="EQX23" s="1280"/>
      <c r="EQY23" s="1280"/>
      <c r="EQZ23" s="1280"/>
      <c r="ERA23" s="1280"/>
      <c r="ERB23" s="1280"/>
      <c r="ERC23" s="1280"/>
      <c r="ERD23" s="1280"/>
      <c r="ERE23" s="1280"/>
      <c r="ERF23" s="1280"/>
      <c r="ERG23" s="1280"/>
      <c r="ERH23" s="1280"/>
      <c r="ERI23" s="1280"/>
      <c r="ERJ23" s="1280"/>
      <c r="ERK23" s="1280"/>
      <c r="ERL23" s="1280"/>
      <c r="ERM23" s="1280"/>
      <c r="ERN23" s="1280"/>
      <c r="ERO23" s="1280"/>
      <c r="ERP23" s="1280"/>
      <c r="ERQ23" s="1280"/>
      <c r="ERR23" s="1280"/>
      <c r="ERS23" s="1280"/>
      <c r="ERT23" s="1280"/>
      <c r="ERU23" s="1280"/>
      <c r="ERV23" s="1280"/>
      <c r="ERW23" s="1280"/>
      <c r="ERX23" s="1280"/>
      <c r="ERY23" s="1280"/>
      <c r="ERZ23" s="1280"/>
      <c r="ESA23" s="1280"/>
      <c r="ESB23" s="1280"/>
      <c r="ESC23" s="1280"/>
      <c r="ESD23" s="1280"/>
      <c r="ESE23" s="1280"/>
      <c r="ESF23" s="1280"/>
      <c r="ESG23" s="1280"/>
      <c r="ESH23" s="1280"/>
      <c r="ESI23" s="1280"/>
      <c r="ESJ23" s="1280"/>
      <c r="ESK23" s="1280"/>
      <c r="ESL23" s="1280"/>
      <c r="ESM23" s="1280"/>
      <c r="ESN23" s="1280"/>
      <c r="ESO23" s="1280"/>
      <c r="ESP23" s="1280"/>
      <c r="ESQ23" s="1280"/>
      <c r="ESR23" s="1280"/>
      <c r="ESS23" s="1280"/>
      <c r="EST23" s="1280"/>
      <c r="ESU23" s="1280"/>
      <c r="ESV23" s="1280"/>
      <c r="ESW23" s="1280"/>
      <c r="ESX23" s="1280"/>
      <c r="ESY23" s="1280"/>
      <c r="ESZ23" s="1280"/>
      <c r="ETA23" s="1280"/>
      <c r="ETB23" s="1280"/>
      <c r="ETC23" s="1280"/>
      <c r="ETD23" s="1280"/>
      <c r="ETE23" s="1280"/>
      <c r="ETF23" s="1280"/>
      <c r="ETG23" s="1280"/>
      <c r="ETH23" s="1280"/>
      <c r="ETI23" s="1280"/>
      <c r="ETJ23" s="1280"/>
      <c r="ETK23" s="1280"/>
      <c r="ETL23" s="1280"/>
      <c r="ETM23" s="1280"/>
      <c r="ETN23" s="1280"/>
      <c r="ETO23" s="1280"/>
      <c r="ETP23" s="1280"/>
      <c r="ETQ23" s="1280"/>
      <c r="ETR23" s="1280"/>
      <c r="ETS23" s="1280"/>
      <c r="ETT23" s="1280"/>
      <c r="ETU23" s="1280"/>
      <c r="ETV23" s="1280"/>
      <c r="ETW23" s="1280"/>
      <c r="ETX23" s="1280"/>
      <c r="ETY23" s="1280"/>
      <c r="ETZ23" s="1280"/>
      <c r="EUA23" s="1280"/>
      <c r="EUB23" s="1280"/>
      <c r="EUC23" s="1280"/>
      <c r="EUD23" s="1280"/>
      <c r="EUE23" s="1280"/>
      <c r="EUF23" s="1280"/>
      <c r="EUG23" s="1280"/>
      <c r="EUH23" s="1280"/>
      <c r="EUI23" s="1280"/>
      <c r="EUJ23" s="1280"/>
      <c r="EUK23" s="1280"/>
      <c r="EUL23" s="1280"/>
      <c r="EUM23" s="1280"/>
      <c r="EUN23" s="1280"/>
      <c r="EUO23" s="1280"/>
      <c r="EUP23" s="1280"/>
      <c r="EUQ23" s="1280"/>
      <c r="EUR23" s="1280"/>
      <c r="EUS23" s="1280"/>
      <c r="EUT23" s="1280"/>
      <c r="EUU23" s="1280"/>
      <c r="EUV23" s="1280"/>
      <c r="EUW23" s="1280"/>
      <c r="EUX23" s="1280"/>
      <c r="EUY23" s="1280"/>
      <c r="EUZ23" s="1280"/>
      <c r="EVA23" s="1280"/>
      <c r="EVB23" s="1280"/>
      <c r="EVC23" s="1280"/>
      <c r="EVD23" s="1280"/>
      <c r="EVE23" s="1280"/>
      <c r="EVF23" s="1280"/>
      <c r="EVG23" s="1280"/>
      <c r="EVH23" s="1280"/>
      <c r="EVI23" s="1280"/>
      <c r="EVJ23" s="1280"/>
      <c r="EVK23" s="1280"/>
      <c r="EVL23" s="1280"/>
      <c r="EVM23" s="1280"/>
      <c r="EVN23" s="1280"/>
      <c r="EVO23" s="1280"/>
      <c r="EVP23" s="1280"/>
      <c r="EVQ23" s="1280"/>
      <c r="EVR23" s="1280"/>
      <c r="EVS23" s="1280"/>
      <c r="EVT23" s="1280"/>
      <c r="EVU23" s="1280"/>
      <c r="EVV23" s="1280"/>
      <c r="EVW23" s="1280"/>
      <c r="EVX23" s="1280"/>
      <c r="EVY23" s="1280"/>
      <c r="EVZ23" s="1280"/>
      <c r="EWA23" s="1280"/>
      <c r="EWB23" s="1280"/>
      <c r="EWC23" s="1280"/>
      <c r="EWD23" s="1280"/>
      <c r="EWE23" s="1280"/>
      <c r="EWF23" s="1280"/>
      <c r="EWG23" s="1280"/>
      <c r="EWH23" s="1280"/>
      <c r="EWI23" s="1280"/>
      <c r="EWJ23" s="1280"/>
      <c r="EWK23" s="1280"/>
      <c r="EWL23" s="1280"/>
      <c r="EWM23" s="1280"/>
      <c r="EWN23" s="1280"/>
      <c r="EWO23" s="1280"/>
      <c r="EWP23" s="1280"/>
      <c r="EWQ23" s="1280"/>
      <c r="EWR23" s="1280"/>
      <c r="EWS23" s="1280"/>
      <c r="EWT23" s="1280"/>
      <c r="EWU23" s="1280"/>
      <c r="EWV23" s="1280"/>
      <c r="EWW23" s="1280"/>
      <c r="EWX23" s="1280"/>
      <c r="EWY23" s="1280"/>
      <c r="EWZ23" s="1280"/>
      <c r="EXA23" s="1280"/>
      <c r="EXB23" s="1280"/>
      <c r="EXC23" s="1280"/>
      <c r="EXD23" s="1280"/>
      <c r="EXE23" s="1280"/>
      <c r="EXF23" s="1280"/>
      <c r="EXG23" s="1280"/>
      <c r="EXH23" s="1280"/>
      <c r="EXI23" s="1280"/>
      <c r="EXJ23" s="1280"/>
      <c r="EXK23" s="1280"/>
      <c r="EXL23" s="1280"/>
      <c r="EXM23" s="1280"/>
      <c r="EXN23" s="1280"/>
      <c r="EXO23" s="1280"/>
      <c r="EXP23" s="1280"/>
      <c r="EXQ23" s="1280"/>
      <c r="EXR23" s="1280"/>
      <c r="EXS23" s="1280"/>
      <c r="EXT23" s="1280"/>
      <c r="EXU23" s="1280"/>
      <c r="EXV23" s="1280"/>
      <c r="EXW23" s="1280"/>
      <c r="EXX23" s="1280"/>
      <c r="EXY23" s="1280"/>
      <c r="EXZ23" s="1280"/>
      <c r="EYA23" s="1280"/>
      <c r="EYB23" s="1280"/>
      <c r="EYC23" s="1280"/>
      <c r="EYD23" s="1280"/>
      <c r="EYE23" s="1280"/>
      <c r="EYF23" s="1280"/>
      <c r="EYG23" s="1280"/>
      <c r="EYH23" s="1280"/>
      <c r="EYI23" s="1280"/>
      <c r="EYJ23" s="1280"/>
      <c r="EYK23" s="1280"/>
      <c r="EYL23" s="1280"/>
      <c r="EYM23" s="1280"/>
      <c r="EYN23" s="1280"/>
      <c r="EYO23" s="1280"/>
      <c r="EYP23" s="1280"/>
      <c r="EYQ23" s="1280"/>
      <c r="EYR23" s="1280"/>
      <c r="EYS23" s="1280"/>
      <c r="EYT23" s="1280"/>
      <c r="EYU23" s="1280"/>
      <c r="EYV23" s="1280"/>
      <c r="EYW23" s="1280"/>
      <c r="EYX23" s="1280"/>
      <c r="EYY23" s="1280"/>
      <c r="EYZ23" s="1280"/>
      <c r="EZA23" s="1280"/>
      <c r="EZB23" s="1280"/>
      <c r="EZC23" s="1280"/>
      <c r="EZD23" s="1280"/>
      <c r="EZE23" s="1280"/>
      <c r="EZF23" s="1280"/>
      <c r="EZG23" s="1280"/>
      <c r="EZH23" s="1280"/>
      <c r="EZI23" s="1280"/>
      <c r="EZJ23" s="1280"/>
      <c r="EZK23" s="1280"/>
      <c r="EZL23" s="1280"/>
      <c r="EZM23" s="1280"/>
      <c r="EZN23" s="1280"/>
      <c r="EZO23" s="1280"/>
      <c r="EZP23" s="1280"/>
      <c r="EZQ23" s="1280"/>
      <c r="EZR23" s="1280"/>
      <c r="EZS23" s="1280"/>
      <c r="EZT23" s="1280"/>
      <c r="EZU23" s="1280"/>
      <c r="EZV23" s="1280"/>
      <c r="EZW23" s="1280"/>
      <c r="EZX23" s="1280"/>
      <c r="EZY23" s="1280"/>
      <c r="EZZ23" s="1280"/>
      <c r="FAA23" s="1280"/>
      <c r="FAB23" s="1280"/>
      <c r="FAC23" s="1280"/>
      <c r="FAD23" s="1280"/>
      <c r="FAE23" s="1280"/>
      <c r="FAF23" s="1280"/>
      <c r="FAG23" s="1280"/>
      <c r="FAH23" s="1280"/>
      <c r="FAI23" s="1280"/>
      <c r="FAJ23" s="1280"/>
      <c r="FAK23" s="1280"/>
      <c r="FAL23" s="1280"/>
      <c r="FAM23" s="1280"/>
      <c r="FAN23" s="1280"/>
      <c r="FAO23" s="1280"/>
      <c r="FAP23" s="1280"/>
      <c r="FAQ23" s="1280"/>
      <c r="FAR23" s="1280"/>
      <c r="FAS23" s="1280"/>
      <c r="FAT23" s="1280"/>
      <c r="FAU23" s="1280"/>
      <c r="FAV23" s="1280"/>
      <c r="FAW23" s="1280"/>
      <c r="FAX23" s="1280"/>
      <c r="FAY23" s="1280"/>
      <c r="FAZ23" s="1280"/>
      <c r="FBA23" s="1280"/>
      <c r="FBB23" s="1280"/>
      <c r="FBC23" s="1280"/>
      <c r="FBD23" s="1280"/>
      <c r="FBE23" s="1280"/>
      <c r="FBF23" s="1280"/>
      <c r="FBG23" s="1280"/>
      <c r="FBH23" s="1280"/>
      <c r="FBI23" s="1280"/>
      <c r="FBJ23" s="1280"/>
      <c r="FBK23" s="1280"/>
      <c r="FBL23" s="1280"/>
      <c r="FBM23" s="1280"/>
      <c r="FBN23" s="1280"/>
      <c r="FBO23" s="1280"/>
      <c r="FBP23" s="1280"/>
      <c r="FBQ23" s="1280"/>
      <c r="FBR23" s="1280"/>
      <c r="FBS23" s="1280"/>
      <c r="FBT23" s="1280"/>
      <c r="FBU23" s="1280"/>
      <c r="FBV23" s="1280"/>
      <c r="FBW23" s="1280"/>
      <c r="FBX23" s="1280"/>
      <c r="FBY23" s="1280"/>
      <c r="FBZ23" s="1280"/>
      <c r="FCA23" s="1280"/>
      <c r="FCB23" s="1280"/>
      <c r="FCC23" s="1280"/>
      <c r="FCD23" s="1280"/>
      <c r="FCE23" s="1280"/>
      <c r="FCF23" s="1280"/>
      <c r="FCG23" s="1280"/>
      <c r="FCH23" s="1280"/>
      <c r="FCI23" s="1280"/>
      <c r="FCJ23" s="1280"/>
      <c r="FCK23" s="1280"/>
      <c r="FCL23" s="1280"/>
      <c r="FCM23" s="1280"/>
      <c r="FCN23" s="1280"/>
      <c r="FCO23" s="1280"/>
      <c r="FCP23" s="1280"/>
      <c r="FCQ23" s="1280"/>
      <c r="FCR23" s="1280"/>
      <c r="FCS23" s="1280"/>
      <c r="FCT23" s="1280"/>
      <c r="FCU23" s="1280"/>
      <c r="FCV23" s="1280"/>
      <c r="FCW23" s="1280"/>
      <c r="FCX23" s="1280"/>
      <c r="FCY23" s="1280"/>
      <c r="FCZ23" s="1280"/>
      <c r="FDA23" s="1280"/>
      <c r="FDB23" s="1280"/>
      <c r="FDC23" s="1280"/>
      <c r="FDD23" s="1280"/>
      <c r="FDE23" s="1280"/>
      <c r="FDF23" s="1280"/>
      <c r="FDG23" s="1280"/>
      <c r="FDH23" s="1280"/>
      <c r="FDI23" s="1280"/>
      <c r="FDJ23" s="1280"/>
      <c r="FDK23" s="1280"/>
      <c r="FDL23" s="1280"/>
      <c r="FDM23" s="1280"/>
      <c r="FDN23" s="1280"/>
      <c r="FDO23" s="1280"/>
      <c r="FDP23" s="1280"/>
      <c r="FDQ23" s="1280"/>
      <c r="FDR23" s="1280"/>
      <c r="FDS23" s="1280"/>
      <c r="FDT23" s="1280"/>
      <c r="FDU23" s="1280"/>
      <c r="FDV23" s="1280"/>
      <c r="FDW23" s="1280"/>
      <c r="FDX23" s="1280"/>
      <c r="FDY23" s="1280"/>
      <c r="FDZ23" s="1280"/>
      <c r="FEA23" s="1280"/>
      <c r="FEB23" s="1280"/>
      <c r="FEC23" s="1280"/>
      <c r="FED23" s="1280"/>
      <c r="FEE23" s="1280"/>
      <c r="FEF23" s="1280"/>
      <c r="FEG23" s="1280"/>
      <c r="FEH23" s="1280"/>
      <c r="FEI23" s="1280"/>
      <c r="FEJ23" s="1280"/>
      <c r="FEK23" s="1280"/>
      <c r="FEL23" s="1280"/>
      <c r="FEM23" s="1280"/>
      <c r="FEN23" s="1280"/>
      <c r="FEO23" s="1280"/>
      <c r="FEP23" s="1280"/>
      <c r="FEQ23" s="1280"/>
      <c r="FER23" s="1280"/>
      <c r="FES23" s="1280"/>
      <c r="FET23" s="1280"/>
      <c r="FEU23" s="1280"/>
      <c r="FEV23" s="1280"/>
      <c r="FEW23" s="1280"/>
      <c r="FEX23" s="1280"/>
      <c r="FEY23" s="1280"/>
      <c r="FEZ23" s="1280"/>
      <c r="FFA23" s="1280"/>
      <c r="FFB23" s="1280"/>
      <c r="FFC23" s="1280"/>
      <c r="FFD23" s="1280"/>
      <c r="FFE23" s="1280"/>
      <c r="FFF23" s="1280"/>
      <c r="FFG23" s="1280"/>
      <c r="FFH23" s="1280"/>
      <c r="FFI23" s="1280"/>
      <c r="FFJ23" s="1280"/>
      <c r="FFK23" s="1280"/>
      <c r="FFL23" s="1280"/>
      <c r="FFM23" s="1280"/>
      <c r="FFN23" s="1280"/>
      <c r="FFO23" s="1280"/>
      <c r="FFP23" s="1280"/>
      <c r="FFQ23" s="1280"/>
      <c r="FFR23" s="1280"/>
      <c r="FFS23" s="1280"/>
      <c r="FFT23" s="1280"/>
      <c r="FFU23" s="1280"/>
      <c r="FFV23" s="1280"/>
      <c r="FFW23" s="1280"/>
      <c r="FFX23" s="1280"/>
      <c r="FFY23" s="1280"/>
      <c r="FFZ23" s="1280"/>
      <c r="FGA23" s="1280"/>
      <c r="FGB23" s="1280"/>
      <c r="FGC23" s="1280"/>
      <c r="FGD23" s="1280"/>
      <c r="FGE23" s="1280"/>
      <c r="FGF23" s="1280"/>
      <c r="FGG23" s="1280"/>
      <c r="FGH23" s="1280"/>
      <c r="FGI23" s="1280"/>
      <c r="FGJ23" s="1280"/>
      <c r="FGK23" s="1280"/>
      <c r="FGL23" s="1280"/>
      <c r="FGM23" s="1280"/>
      <c r="FGN23" s="1280"/>
      <c r="FGO23" s="1280"/>
      <c r="FGP23" s="1280"/>
      <c r="FGQ23" s="1280"/>
      <c r="FGR23" s="1280"/>
      <c r="FGS23" s="1280"/>
      <c r="FGT23" s="1280"/>
      <c r="FGU23" s="1280"/>
      <c r="FGV23" s="1280"/>
      <c r="FGW23" s="1280"/>
      <c r="FGX23" s="1280"/>
      <c r="FGY23" s="1280"/>
      <c r="FGZ23" s="1280"/>
      <c r="FHA23" s="1280"/>
      <c r="FHB23" s="1280"/>
      <c r="FHC23" s="1280"/>
      <c r="FHD23" s="1280"/>
      <c r="FHE23" s="1280"/>
      <c r="FHF23" s="1280"/>
      <c r="FHG23" s="1280"/>
      <c r="FHH23" s="1280"/>
      <c r="FHI23" s="1280"/>
      <c r="FHJ23" s="1280"/>
      <c r="FHK23" s="1280"/>
      <c r="FHL23" s="1280"/>
      <c r="FHM23" s="1280"/>
      <c r="FHN23" s="1280"/>
      <c r="FHO23" s="1280"/>
      <c r="FHP23" s="1280"/>
      <c r="FHQ23" s="1280"/>
      <c r="FHR23" s="1280"/>
      <c r="FHS23" s="1280"/>
      <c r="FHT23" s="1280"/>
      <c r="FHU23" s="1280"/>
      <c r="FHV23" s="1280"/>
      <c r="FHW23" s="1280"/>
      <c r="FHX23" s="1280"/>
      <c r="FHY23" s="1280"/>
      <c r="FHZ23" s="1280"/>
      <c r="FIA23" s="1280"/>
      <c r="FIB23" s="1280"/>
      <c r="FIC23" s="1280"/>
      <c r="FID23" s="1280"/>
      <c r="FIE23" s="1280"/>
      <c r="FIF23" s="1280"/>
      <c r="FIG23" s="1280"/>
      <c r="FIH23" s="1280"/>
      <c r="FII23" s="1280"/>
      <c r="FIJ23" s="1280"/>
      <c r="FIK23" s="1280"/>
      <c r="FIL23" s="1280"/>
      <c r="FIM23" s="1280"/>
      <c r="FIN23" s="1280"/>
      <c r="FIO23" s="1280"/>
      <c r="FIP23" s="1280"/>
      <c r="FIQ23" s="1280"/>
      <c r="FIR23" s="1280"/>
      <c r="FIS23" s="1280"/>
      <c r="FIT23" s="1280"/>
      <c r="FIU23" s="1280"/>
      <c r="FIV23" s="1280"/>
      <c r="FIW23" s="1280"/>
      <c r="FIX23" s="1280"/>
      <c r="FIY23" s="1280"/>
      <c r="FIZ23" s="1280"/>
      <c r="FJA23" s="1280"/>
      <c r="FJB23" s="1280"/>
      <c r="FJC23" s="1280"/>
      <c r="FJD23" s="1280"/>
      <c r="FJE23" s="1280"/>
      <c r="FJF23" s="1280"/>
      <c r="FJG23" s="1280"/>
      <c r="FJH23" s="1280"/>
      <c r="FJI23" s="1280"/>
      <c r="FJJ23" s="1280"/>
      <c r="FJK23" s="1280"/>
      <c r="FJL23" s="1280"/>
      <c r="FJM23" s="1280"/>
      <c r="FJN23" s="1280"/>
      <c r="FJO23" s="1280"/>
      <c r="FJP23" s="1280"/>
      <c r="FJQ23" s="1280"/>
      <c r="FJR23" s="1280"/>
      <c r="FJS23" s="1280"/>
      <c r="FJT23" s="1280"/>
      <c r="FJU23" s="1280"/>
      <c r="FJV23" s="1280"/>
      <c r="FJW23" s="1280"/>
      <c r="FJX23" s="1280"/>
      <c r="FJY23" s="1280"/>
      <c r="FJZ23" s="1280"/>
      <c r="FKA23" s="1280"/>
      <c r="FKB23" s="1280"/>
      <c r="FKC23" s="1280"/>
      <c r="FKD23" s="1280"/>
      <c r="FKE23" s="1280"/>
      <c r="FKF23" s="1280"/>
      <c r="FKG23" s="1280"/>
      <c r="FKH23" s="1280"/>
      <c r="FKI23" s="1280"/>
      <c r="FKJ23" s="1280"/>
      <c r="FKK23" s="1280"/>
      <c r="FKL23" s="1280"/>
      <c r="FKM23" s="1280"/>
      <c r="FKN23" s="1280"/>
      <c r="FKO23" s="1280"/>
      <c r="FKP23" s="1280"/>
      <c r="FKQ23" s="1280"/>
      <c r="FKR23" s="1280"/>
      <c r="FKS23" s="1280"/>
      <c r="FKT23" s="1280"/>
      <c r="FKU23" s="1280"/>
      <c r="FKV23" s="1280"/>
      <c r="FKW23" s="1280"/>
      <c r="FKX23" s="1280"/>
      <c r="FKY23" s="1280"/>
      <c r="FKZ23" s="1280"/>
      <c r="FLA23" s="1280"/>
      <c r="FLB23" s="1280"/>
      <c r="FLC23" s="1280"/>
      <c r="FLD23" s="1280"/>
      <c r="FLE23" s="1280"/>
      <c r="FLF23" s="1280"/>
      <c r="FLG23" s="1280"/>
      <c r="FLH23" s="1280"/>
      <c r="FLI23" s="1280"/>
      <c r="FLJ23" s="1280"/>
      <c r="FLK23" s="1280"/>
      <c r="FLL23" s="1280"/>
      <c r="FLM23" s="1280"/>
      <c r="FLN23" s="1280"/>
      <c r="FLO23" s="1280"/>
      <c r="FLP23" s="1280"/>
      <c r="FLQ23" s="1280"/>
      <c r="FLR23" s="1280"/>
      <c r="FLS23" s="1280"/>
      <c r="FLT23" s="1280"/>
      <c r="FLU23" s="1280"/>
      <c r="FLV23" s="1280"/>
      <c r="FLW23" s="1280"/>
      <c r="FLX23" s="1280"/>
      <c r="FLY23" s="1280"/>
      <c r="FLZ23" s="1280"/>
      <c r="FMA23" s="1280"/>
      <c r="FMB23" s="1280"/>
      <c r="FMC23" s="1280"/>
      <c r="FMD23" s="1280"/>
      <c r="FME23" s="1280"/>
      <c r="FMF23" s="1280"/>
      <c r="FMG23" s="1280"/>
      <c r="FMH23" s="1280"/>
      <c r="FMI23" s="1280"/>
      <c r="FMJ23" s="1280"/>
      <c r="FMK23" s="1280"/>
      <c r="FML23" s="1280"/>
      <c r="FMM23" s="1280"/>
      <c r="FMN23" s="1280"/>
      <c r="FMO23" s="1280"/>
      <c r="FMP23" s="1280"/>
      <c r="FMQ23" s="1280"/>
      <c r="FMR23" s="1280"/>
      <c r="FMS23" s="1280"/>
      <c r="FMT23" s="1280"/>
      <c r="FMU23" s="1280"/>
      <c r="FMV23" s="1280"/>
      <c r="FMW23" s="1280"/>
      <c r="FMX23" s="1280"/>
      <c r="FMY23" s="1280"/>
      <c r="FMZ23" s="1280"/>
      <c r="FNA23" s="1280"/>
      <c r="FNB23" s="1280"/>
      <c r="FNC23" s="1280"/>
      <c r="FND23" s="1280"/>
      <c r="FNE23" s="1280"/>
      <c r="FNF23" s="1280"/>
      <c r="FNG23" s="1280"/>
      <c r="FNH23" s="1280"/>
      <c r="FNI23" s="1280"/>
      <c r="FNJ23" s="1280"/>
      <c r="FNK23" s="1280"/>
      <c r="FNL23" s="1280"/>
      <c r="FNM23" s="1280"/>
      <c r="FNN23" s="1280"/>
      <c r="FNO23" s="1280"/>
      <c r="FNP23" s="1280"/>
      <c r="FNQ23" s="1280"/>
      <c r="FNR23" s="1280"/>
      <c r="FNS23" s="1280"/>
      <c r="FNT23" s="1280"/>
      <c r="FNU23" s="1280"/>
      <c r="FNV23" s="1280"/>
      <c r="FNW23" s="1280"/>
      <c r="FNX23" s="1280"/>
      <c r="FNY23" s="1280"/>
      <c r="FNZ23" s="1280"/>
      <c r="FOA23" s="1280"/>
      <c r="FOB23" s="1280"/>
      <c r="FOC23" s="1280"/>
      <c r="FOD23" s="1280"/>
      <c r="FOE23" s="1280"/>
      <c r="FOF23" s="1280"/>
      <c r="FOG23" s="1280"/>
      <c r="FOH23" s="1280"/>
      <c r="FOI23" s="1280"/>
      <c r="FOJ23" s="1280"/>
      <c r="FOK23" s="1280"/>
      <c r="FOL23" s="1280"/>
      <c r="FOM23" s="1280"/>
      <c r="FON23" s="1280"/>
      <c r="FOO23" s="1280"/>
      <c r="FOP23" s="1280"/>
      <c r="FOQ23" s="1280"/>
      <c r="FOR23" s="1280"/>
      <c r="FOS23" s="1280"/>
      <c r="FOT23" s="1280"/>
      <c r="FOU23" s="1280"/>
      <c r="FOV23" s="1280"/>
      <c r="FOW23" s="1280"/>
      <c r="FOX23" s="1280"/>
      <c r="FOY23" s="1280"/>
      <c r="FOZ23" s="1280"/>
      <c r="FPA23" s="1280"/>
      <c r="FPB23" s="1280"/>
      <c r="FPC23" s="1280"/>
      <c r="FPD23" s="1280"/>
      <c r="FPE23" s="1280"/>
      <c r="FPF23" s="1280"/>
      <c r="FPG23" s="1280"/>
      <c r="FPH23" s="1280"/>
      <c r="FPI23" s="1280"/>
      <c r="FPJ23" s="1280"/>
      <c r="FPK23" s="1280"/>
      <c r="FPL23" s="1280"/>
      <c r="FPM23" s="1280"/>
      <c r="FPN23" s="1280"/>
      <c r="FPO23" s="1280"/>
      <c r="FPP23" s="1280"/>
      <c r="FPQ23" s="1280"/>
      <c r="FPR23" s="1280"/>
      <c r="FPS23" s="1280"/>
      <c r="FPT23" s="1280"/>
      <c r="FPU23" s="1280"/>
      <c r="FPV23" s="1280"/>
      <c r="FPW23" s="1280"/>
      <c r="FPX23" s="1280"/>
      <c r="FPY23" s="1280"/>
      <c r="FPZ23" s="1280"/>
      <c r="FQA23" s="1280"/>
      <c r="FQB23" s="1280"/>
      <c r="FQC23" s="1280"/>
      <c r="FQD23" s="1280"/>
      <c r="FQE23" s="1280"/>
      <c r="FQF23" s="1280"/>
      <c r="FQG23" s="1280"/>
      <c r="FQH23" s="1280"/>
      <c r="FQI23" s="1280"/>
      <c r="FQJ23" s="1280"/>
      <c r="FQK23" s="1280"/>
      <c r="FQL23" s="1280"/>
      <c r="FQM23" s="1280"/>
      <c r="FQN23" s="1280"/>
      <c r="FQO23" s="1280"/>
      <c r="FQP23" s="1280"/>
      <c r="FQQ23" s="1280"/>
      <c r="FQR23" s="1280"/>
      <c r="FQS23" s="1280"/>
      <c r="FQT23" s="1280"/>
      <c r="FQU23" s="1280"/>
      <c r="FQV23" s="1280"/>
      <c r="FQW23" s="1280"/>
      <c r="FQX23" s="1280"/>
      <c r="FQY23" s="1280"/>
      <c r="FQZ23" s="1280"/>
      <c r="FRA23" s="1280"/>
      <c r="FRB23" s="1280"/>
      <c r="FRC23" s="1280"/>
      <c r="FRD23" s="1280"/>
      <c r="FRE23" s="1280"/>
      <c r="FRF23" s="1280"/>
      <c r="FRG23" s="1280"/>
      <c r="FRH23" s="1280"/>
      <c r="FRI23" s="1280"/>
      <c r="FRJ23" s="1280"/>
      <c r="FRK23" s="1280"/>
      <c r="FRL23" s="1280"/>
      <c r="FRM23" s="1280"/>
      <c r="FRN23" s="1280"/>
      <c r="FRO23" s="1280"/>
      <c r="FRP23" s="1280"/>
      <c r="FRQ23" s="1280"/>
      <c r="FRR23" s="1280"/>
      <c r="FRS23" s="1280"/>
      <c r="FRT23" s="1280"/>
      <c r="FRU23" s="1280"/>
      <c r="FRV23" s="1280"/>
      <c r="FRW23" s="1280"/>
      <c r="FRX23" s="1280"/>
      <c r="FRY23" s="1280"/>
      <c r="FRZ23" s="1280"/>
      <c r="FSA23" s="1280"/>
      <c r="FSB23" s="1280"/>
      <c r="FSC23" s="1280"/>
      <c r="FSD23" s="1280"/>
      <c r="FSE23" s="1280"/>
      <c r="FSF23" s="1280"/>
      <c r="FSG23" s="1280"/>
      <c r="FSH23" s="1280"/>
      <c r="FSI23" s="1280"/>
      <c r="FSJ23" s="1280"/>
      <c r="FSK23" s="1280"/>
      <c r="FSL23" s="1280"/>
      <c r="FSM23" s="1280"/>
      <c r="FSN23" s="1280"/>
      <c r="FSO23" s="1280"/>
      <c r="FSP23" s="1280"/>
      <c r="FSQ23" s="1280"/>
      <c r="FSR23" s="1280"/>
      <c r="FSS23" s="1280"/>
      <c r="FST23" s="1280"/>
      <c r="FSU23" s="1280"/>
      <c r="FSV23" s="1280"/>
      <c r="FSW23" s="1280"/>
      <c r="FSX23" s="1280"/>
      <c r="FSY23" s="1280"/>
      <c r="FSZ23" s="1280"/>
      <c r="FTA23" s="1280"/>
      <c r="FTB23" s="1280"/>
      <c r="FTC23" s="1280"/>
      <c r="FTD23" s="1280"/>
      <c r="FTE23" s="1280"/>
      <c r="FTF23" s="1280"/>
      <c r="FTG23" s="1280"/>
      <c r="FTH23" s="1280"/>
      <c r="FTI23" s="1280"/>
      <c r="FTJ23" s="1280"/>
      <c r="FTK23" s="1280"/>
      <c r="FTL23" s="1280"/>
      <c r="FTM23" s="1280"/>
      <c r="FTN23" s="1280"/>
      <c r="FTO23" s="1280"/>
      <c r="FTP23" s="1280"/>
      <c r="FTQ23" s="1280"/>
      <c r="FTR23" s="1280"/>
      <c r="FTS23" s="1280"/>
      <c r="FTT23" s="1280"/>
      <c r="FTU23" s="1280"/>
      <c r="FTV23" s="1280"/>
      <c r="FTW23" s="1280"/>
      <c r="FTX23" s="1280"/>
      <c r="FTY23" s="1280"/>
      <c r="FTZ23" s="1280"/>
      <c r="FUA23" s="1280"/>
      <c r="FUB23" s="1280"/>
      <c r="FUC23" s="1280"/>
      <c r="FUD23" s="1280"/>
      <c r="FUE23" s="1280"/>
      <c r="FUF23" s="1280"/>
      <c r="FUG23" s="1280"/>
      <c r="FUH23" s="1280"/>
      <c r="FUI23" s="1280"/>
      <c r="FUJ23" s="1280"/>
      <c r="FUK23" s="1280"/>
      <c r="FUL23" s="1280"/>
      <c r="FUM23" s="1280"/>
      <c r="FUN23" s="1280"/>
      <c r="FUO23" s="1280"/>
      <c r="FUP23" s="1280"/>
      <c r="FUQ23" s="1280"/>
      <c r="FUR23" s="1280"/>
      <c r="FUS23" s="1280"/>
      <c r="FUT23" s="1280"/>
      <c r="FUU23" s="1280"/>
      <c r="FUV23" s="1280"/>
      <c r="FUW23" s="1280"/>
      <c r="FUX23" s="1280"/>
      <c r="FUY23" s="1280"/>
      <c r="FUZ23" s="1280"/>
      <c r="FVA23" s="1280"/>
      <c r="FVB23" s="1280"/>
      <c r="FVC23" s="1280"/>
      <c r="FVD23" s="1280"/>
      <c r="FVE23" s="1280"/>
      <c r="FVF23" s="1280"/>
      <c r="FVG23" s="1280"/>
      <c r="FVH23" s="1280"/>
      <c r="FVI23" s="1280"/>
      <c r="FVJ23" s="1280"/>
      <c r="FVK23" s="1280"/>
      <c r="FVL23" s="1280"/>
      <c r="FVM23" s="1280"/>
      <c r="FVN23" s="1280"/>
      <c r="FVO23" s="1280"/>
      <c r="FVP23" s="1280"/>
      <c r="FVQ23" s="1280"/>
      <c r="FVR23" s="1280"/>
      <c r="FVS23" s="1280"/>
      <c r="FVT23" s="1280"/>
      <c r="FVU23" s="1280"/>
      <c r="FVV23" s="1280"/>
      <c r="FVW23" s="1280"/>
      <c r="FVX23" s="1280"/>
      <c r="FVY23" s="1280"/>
      <c r="FVZ23" s="1280"/>
      <c r="FWA23" s="1280"/>
      <c r="FWB23" s="1280"/>
      <c r="FWC23" s="1280"/>
      <c r="FWD23" s="1280"/>
      <c r="FWE23" s="1280"/>
      <c r="FWF23" s="1280"/>
      <c r="FWG23" s="1280"/>
      <c r="FWH23" s="1280"/>
      <c r="FWI23" s="1280"/>
      <c r="FWJ23" s="1280"/>
      <c r="FWK23" s="1280"/>
      <c r="FWL23" s="1280"/>
      <c r="FWM23" s="1280"/>
      <c r="FWN23" s="1280"/>
      <c r="FWO23" s="1280"/>
      <c r="FWP23" s="1280"/>
      <c r="FWQ23" s="1280"/>
      <c r="FWR23" s="1280"/>
      <c r="FWS23" s="1280"/>
      <c r="FWT23" s="1280"/>
      <c r="FWU23" s="1280"/>
      <c r="FWV23" s="1280"/>
      <c r="FWW23" s="1280"/>
      <c r="FWX23" s="1280"/>
      <c r="FWY23" s="1280"/>
      <c r="FWZ23" s="1280"/>
      <c r="FXA23" s="1280"/>
      <c r="FXB23" s="1280"/>
      <c r="FXC23" s="1280"/>
      <c r="FXD23" s="1280"/>
      <c r="FXE23" s="1280"/>
      <c r="FXF23" s="1280"/>
      <c r="FXG23" s="1280"/>
      <c r="FXH23" s="1280"/>
      <c r="FXI23" s="1280"/>
      <c r="FXJ23" s="1280"/>
      <c r="FXK23" s="1280"/>
      <c r="FXL23" s="1280"/>
      <c r="FXM23" s="1280"/>
      <c r="FXN23" s="1280"/>
      <c r="FXO23" s="1280"/>
      <c r="FXP23" s="1280"/>
      <c r="FXQ23" s="1280"/>
      <c r="FXR23" s="1280"/>
      <c r="FXS23" s="1280"/>
      <c r="FXT23" s="1280"/>
      <c r="FXU23" s="1280"/>
      <c r="FXV23" s="1280"/>
      <c r="FXW23" s="1280"/>
      <c r="FXX23" s="1280"/>
      <c r="FXY23" s="1280"/>
      <c r="FXZ23" s="1280"/>
      <c r="FYA23" s="1280"/>
      <c r="FYB23" s="1280"/>
      <c r="FYC23" s="1280"/>
      <c r="FYD23" s="1280"/>
      <c r="FYE23" s="1280"/>
      <c r="FYF23" s="1280"/>
      <c r="FYG23" s="1280"/>
      <c r="FYH23" s="1280"/>
      <c r="FYI23" s="1280"/>
      <c r="FYJ23" s="1280"/>
      <c r="FYK23" s="1280"/>
      <c r="FYL23" s="1280"/>
      <c r="FYM23" s="1280"/>
      <c r="FYN23" s="1280"/>
      <c r="FYO23" s="1280"/>
      <c r="FYP23" s="1280"/>
      <c r="FYQ23" s="1280"/>
      <c r="FYR23" s="1280"/>
      <c r="FYS23" s="1280"/>
      <c r="FYT23" s="1280"/>
      <c r="FYU23" s="1280"/>
      <c r="FYV23" s="1280"/>
      <c r="FYW23" s="1280"/>
      <c r="FYX23" s="1280"/>
      <c r="FYY23" s="1280"/>
      <c r="FYZ23" s="1280"/>
      <c r="FZA23" s="1280"/>
      <c r="FZB23" s="1280"/>
      <c r="FZC23" s="1280"/>
      <c r="FZD23" s="1280"/>
      <c r="FZE23" s="1280"/>
      <c r="FZF23" s="1280"/>
      <c r="FZG23" s="1280"/>
      <c r="FZH23" s="1280"/>
      <c r="FZI23" s="1280"/>
      <c r="FZJ23" s="1280"/>
      <c r="FZK23" s="1280"/>
      <c r="FZL23" s="1280"/>
      <c r="FZM23" s="1280"/>
      <c r="FZN23" s="1280"/>
      <c r="FZO23" s="1280"/>
      <c r="FZP23" s="1280"/>
      <c r="FZQ23" s="1280"/>
      <c r="FZR23" s="1280"/>
      <c r="FZS23" s="1280"/>
      <c r="FZT23" s="1280"/>
      <c r="FZU23" s="1280"/>
      <c r="FZV23" s="1280"/>
      <c r="FZW23" s="1280"/>
      <c r="FZX23" s="1280"/>
      <c r="FZY23" s="1280"/>
      <c r="FZZ23" s="1280"/>
      <c r="GAA23" s="1280"/>
      <c r="GAB23" s="1280"/>
      <c r="GAC23" s="1280"/>
      <c r="GAD23" s="1280"/>
      <c r="GAE23" s="1280"/>
      <c r="GAF23" s="1280"/>
      <c r="GAG23" s="1280"/>
      <c r="GAH23" s="1280"/>
      <c r="GAI23" s="1280"/>
      <c r="GAJ23" s="1280"/>
      <c r="GAK23" s="1280"/>
      <c r="GAL23" s="1280"/>
      <c r="GAM23" s="1280"/>
      <c r="GAN23" s="1280"/>
      <c r="GAO23" s="1280"/>
      <c r="GAP23" s="1280"/>
      <c r="GAQ23" s="1280"/>
      <c r="GAR23" s="1280"/>
      <c r="GAS23" s="1280"/>
      <c r="GAT23" s="1280"/>
      <c r="GAU23" s="1280"/>
      <c r="GAV23" s="1280"/>
      <c r="GAW23" s="1280"/>
      <c r="GAX23" s="1280"/>
      <c r="GAY23" s="1280"/>
      <c r="GAZ23" s="1280"/>
      <c r="GBA23" s="1280"/>
      <c r="GBB23" s="1280"/>
      <c r="GBC23" s="1280"/>
      <c r="GBD23" s="1280"/>
      <c r="GBE23" s="1280"/>
      <c r="GBF23" s="1280"/>
      <c r="GBG23" s="1280"/>
      <c r="GBH23" s="1280"/>
      <c r="GBI23" s="1280"/>
      <c r="GBJ23" s="1280"/>
      <c r="GBK23" s="1280"/>
      <c r="GBL23" s="1280"/>
      <c r="GBM23" s="1280"/>
      <c r="GBN23" s="1280"/>
      <c r="GBO23" s="1280"/>
      <c r="GBP23" s="1280"/>
      <c r="GBQ23" s="1280"/>
      <c r="GBR23" s="1280"/>
      <c r="GBS23" s="1280"/>
      <c r="GBT23" s="1280"/>
      <c r="GBU23" s="1280"/>
      <c r="GBV23" s="1280"/>
      <c r="GBW23" s="1280"/>
      <c r="GBX23" s="1280"/>
      <c r="GBY23" s="1280"/>
      <c r="GBZ23" s="1280"/>
      <c r="GCA23" s="1280"/>
      <c r="GCB23" s="1280"/>
      <c r="GCC23" s="1280"/>
      <c r="GCD23" s="1280"/>
      <c r="GCE23" s="1280"/>
      <c r="GCF23" s="1280"/>
      <c r="GCG23" s="1280"/>
      <c r="GCH23" s="1280"/>
      <c r="GCI23" s="1280"/>
      <c r="GCJ23" s="1280"/>
      <c r="GCK23" s="1280"/>
      <c r="GCL23" s="1280"/>
      <c r="GCM23" s="1280"/>
      <c r="GCN23" s="1280"/>
      <c r="GCO23" s="1280"/>
      <c r="GCP23" s="1280"/>
      <c r="GCQ23" s="1280"/>
      <c r="GCR23" s="1280"/>
      <c r="GCS23" s="1280"/>
      <c r="GCT23" s="1280"/>
      <c r="GCU23" s="1280"/>
      <c r="GCV23" s="1280"/>
      <c r="GCW23" s="1280"/>
      <c r="GCX23" s="1280"/>
      <c r="GCY23" s="1280"/>
      <c r="GCZ23" s="1280"/>
      <c r="GDA23" s="1280"/>
      <c r="GDB23" s="1280"/>
      <c r="GDC23" s="1280"/>
      <c r="GDD23" s="1280"/>
      <c r="GDE23" s="1280"/>
      <c r="GDF23" s="1280"/>
      <c r="GDG23" s="1280"/>
      <c r="GDH23" s="1280"/>
      <c r="GDI23" s="1280"/>
      <c r="GDJ23" s="1280"/>
      <c r="GDK23" s="1280"/>
      <c r="GDL23" s="1280"/>
      <c r="GDM23" s="1280"/>
      <c r="GDN23" s="1280"/>
      <c r="GDO23" s="1280"/>
      <c r="GDP23" s="1280"/>
      <c r="GDQ23" s="1280"/>
      <c r="GDR23" s="1280"/>
      <c r="GDS23" s="1280"/>
      <c r="GDT23" s="1280"/>
      <c r="GDU23" s="1280"/>
      <c r="GDV23" s="1280"/>
      <c r="GDW23" s="1280"/>
      <c r="GDX23" s="1280"/>
      <c r="GDY23" s="1280"/>
      <c r="GDZ23" s="1280"/>
      <c r="GEA23" s="1280"/>
      <c r="GEB23" s="1280"/>
      <c r="GEC23" s="1280"/>
      <c r="GED23" s="1280"/>
      <c r="GEE23" s="1280"/>
      <c r="GEF23" s="1280"/>
      <c r="GEG23" s="1280"/>
      <c r="GEH23" s="1280"/>
      <c r="GEI23" s="1280"/>
      <c r="GEJ23" s="1280"/>
      <c r="GEK23" s="1280"/>
      <c r="GEL23" s="1280"/>
      <c r="GEM23" s="1280"/>
      <c r="GEN23" s="1280"/>
      <c r="GEO23" s="1280"/>
      <c r="GEP23" s="1280"/>
      <c r="GEQ23" s="1280"/>
      <c r="GER23" s="1280"/>
      <c r="GES23" s="1280"/>
      <c r="GET23" s="1280"/>
      <c r="GEU23" s="1280"/>
      <c r="GEV23" s="1280"/>
      <c r="GEW23" s="1280"/>
      <c r="GEX23" s="1280"/>
      <c r="GEY23" s="1280"/>
      <c r="GEZ23" s="1280"/>
      <c r="GFA23" s="1280"/>
      <c r="GFB23" s="1280"/>
      <c r="GFC23" s="1280"/>
      <c r="GFD23" s="1280"/>
      <c r="GFE23" s="1280"/>
      <c r="GFF23" s="1280"/>
      <c r="GFG23" s="1280"/>
      <c r="GFH23" s="1280"/>
      <c r="GFI23" s="1280"/>
      <c r="GFJ23" s="1280"/>
      <c r="GFK23" s="1280"/>
      <c r="GFL23" s="1280"/>
      <c r="GFM23" s="1280"/>
      <c r="GFN23" s="1280"/>
      <c r="GFO23" s="1280"/>
      <c r="GFP23" s="1280"/>
      <c r="GFQ23" s="1280"/>
      <c r="GFR23" s="1280"/>
      <c r="GFS23" s="1280"/>
      <c r="GFT23" s="1280"/>
      <c r="GFU23" s="1280"/>
      <c r="GFV23" s="1280"/>
      <c r="GFW23" s="1280"/>
      <c r="GFX23" s="1280"/>
      <c r="GFY23" s="1280"/>
      <c r="GFZ23" s="1280"/>
      <c r="GGA23" s="1280"/>
      <c r="GGB23" s="1280"/>
      <c r="GGC23" s="1280"/>
      <c r="GGD23" s="1280"/>
      <c r="GGE23" s="1280"/>
      <c r="GGF23" s="1280"/>
      <c r="GGG23" s="1280"/>
      <c r="GGH23" s="1280"/>
      <c r="GGI23" s="1280"/>
      <c r="GGJ23" s="1280"/>
      <c r="GGK23" s="1280"/>
      <c r="GGL23" s="1280"/>
      <c r="GGM23" s="1280"/>
      <c r="GGN23" s="1280"/>
      <c r="GGO23" s="1280"/>
      <c r="GGP23" s="1280"/>
      <c r="GGQ23" s="1280"/>
      <c r="GGR23" s="1280"/>
      <c r="GGS23" s="1280"/>
      <c r="GGT23" s="1280"/>
      <c r="GGU23" s="1280"/>
      <c r="GGV23" s="1280"/>
      <c r="GGW23" s="1280"/>
      <c r="GGX23" s="1280"/>
      <c r="GGY23" s="1280"/>
      <c r="GGZ23" s="1280"/>
      <c r="GHA23" s="1280"/>
      <c r="GHB23" s="1280"/>
      <c r="GHC23" s="1280"/>
      <c r="GHD23" s="1280"/>
      <c r="GHE23" s="1280"/>
      <c r="GHF23" s="1280"/>
      <c r="GHG23" s="1280"/>
      <c r="GHH23" s="1280"/>
      <c r="GHI23" s="1280"/>
      <c r="GHJ23" s="1280"/>
      <c r="GHK23" s="1280"/>
      <c r="GHL23" s="1280"/>
      <c r="GHM23" s="1280"/>
      <c r="GHN23" s="1280"/>
      <c r="GHO23" s="1280"/>
      <c r="GHP23" s="1280"/>
      <c r="GHQ23" s="1280"/>
      <c r="GHR23" s="1280"/>
      <c r="GHS23" s="1280"/>
      <c r="GHT23" s="1280"/>
      <c r="GHU23" s="1280"/>
      <c r="GHV23" s="1280"/>
      <c r="GHW23" s="1280"/>
      <c r="GHX23" s="1280"/>
      <c r="GHY23" s="1280"/>
      <c r="GHZ23" s="1280"/>
      <c r="GIA23" s="1280"/>
      <c r="GIB23" s="1280"/>
      <c r="GIC23" s="1280"/>
      <c r="GID23" s="1280"/>
      <c r="GIE23" s="1280"/>
      <c r="GIF23" s="1280"/>
      <c r="GIG23" s="1280"/>
      <c r="GIH23" s="1280"/>
      <c r="GII23" s="1280"/>
      <c r="GIJ23" s="1280"/>
      <c r="GIK23" s="1280"/>
      <c r="GIL23" s="1280"/>
      <c r="GIM23" s="1280"/>
      <c r="GIN23" s="1280"/>
      <c r="GIO23" s="1280"/>
      <c r="GIP23" s="1280"/>
      <c r="GIQ23" s="1280"/>
      <c r="GIR23" s="1280"/>
      <c r="GIS23" s="1280"/>
      <c r="GIT23" s="1280"/>
      <c r="GIU23" s="1280"/>
      <c r="GIV23" s="1280"/>
      <c r="GIW23" s="1280"/>
      <c r="GIX23" s="1280"/>
      <c r="GIY23" s="1280"/>
      <c r="GIZ23" s="1280"/>
      <c r="GJA23" s="1280"/>
      <c r="GJB23" s="1280"/>
      <c r="GJC23" s="1280"/>
      <c r="GJD23" s="1280"/>
      <c r="GJE23" s="1280"/>
      <c r="GJF23" s="1280"/>
      <c r="GJG23" s="1280"/>
      <c r="GJH23" s="1280"/>
      <c r="GJI23" s="1280"/>
      <c r="GJJ23" s="1280"/>
      <c r="GJK23" s="1280"/>
      <c r="GJL23" s="1280"/>
      <c r="GJM23" s="1280"/>
      <c r="GJN23" s="1280"/>
      <c r="GJO23" s="1280"/>
      <c r="GJP23" s="1280"/>
      <c r="GJQ23" s="1280"/>
      <c r="GJR23" s="1280"/>
      <c r="GJS23" s="1280"/>
      <c r="GJT23" s="1280"/>
      <c r="GJU23" s="1280"/>
      <c r="GJV23" s="1280"/>
      <c r="GJW23" s="1280"/>
      <c r="GJX23" s="1280"/>
      <c r="GJY23" s="1280"/>
      <c r="GJZ23" s="1280"/>
      <c r="GKA23" s="1280"/>
      <c r="GKB23" s="1280"/>
      <c r="GKC23" s="1280"/>
      <c r="GKD23" s="1280"/>
      <c r="GKE23" s="1280"/>
      <c r="GKF23" s="1280"/>
      <c r="GKG23" s="1280"/>
      <c r="GKH23" s="1280"/>
      <c r="GKI23" s="1280"/>
      <c r="GKJ23" s="1280"/>
      <c r="GKK23" s="1280"/>
      <c r="GKL23" s="1280"/>
      <c r="GKM23" s="1280"/>
      <c r="GKN23" s="1280"/>
      <c r="GKO23" s="1280"/>
      <c r="GKP23" s="1280"/>
      <c r="GKQ23" s="1280"/>
      <c r="GKR23" s="1280"/>
      <c r="GKS23" s="1280"/>
      <c r="GKT23" s="1280"/>
      <c r="GKU23" s="1280"/>
      <c r="GKV23" s="1280"/>
      <c r="GKW23" s="1280"/>
      <c r="GKX23" s="1280"/>
      <c r="GKY23" s="1280"/>
      <c r="GKZ23" s="1280"/>
      <c r="GLA23" s="1280"/>
      <c r="GLB23" s="1280"/>
      <c r="GLC23" s="1280"/>
      <c r="GLD23" s="1280"/>
      <c r="GLE23" s="1280"/>
      <c r="GLF23" s="1280"/>
      <c r="GLG23" s="1280"/>
      <c r="GLH23" s="1280"/>
      <c r="GLI23" s="1280"/>
      <c r="GLJ23" s="1280"/>
      <c r="GLK23" s="1280"/>
      <c r="GLL23" s="1280"/>
      <c r="GLM23" s="1280"/>
      <c r="GLN23" s="1280"/>
      <c r="GLO23" s="1280"/>
      <c r="GLP23" s="1280"/>
      <c r="GLQ23" s="1280"/>
      <c r="GLR23" s="1280"/>
      <c r="GLS23" s="1280"/>
      <c r="GLT23" s="1280"/>
      <c r="GLU23" s="1280"/>
      <c r="GLV23" s="1280"/>
      <c r="GLW23" s="1280"/>
      <c r="GLX23" s="1280"/>
      <c r="GLY23" s="1280"/>
      <c r="GLZ23" s="1280"/>
      <c r="GMA23" s="1280"/>
      <c r="GMB23" s="1280"/>
      <c r="GMC23" s="1280"/>
      <c r="GMD23" s="1280"/>
      <c r="GME23" s="1280"/>
      <c r="GMF23" s="1280"/>
      <c r="GMG23" s="1280"/>
      <c r="GMH23" s="1280"/>
      <c r="GMI23" s="1280"/>
      <c r="GMJ23" s="1280"/>
      <c r="GMK23" s="1280"/>
      <c r="GML23" s="1280"/>
      <c r="GMM23" s="1280"/>
      <c r="GMN23" s="1280"/>
      <c r="GMO23" s="1280"/>
      <c r="GMP23" s="1280"/>
      <c r="GMQ23" s="1280"/>
      <c r="GMR23" s="1280"/>
      <c r="GMS23" s="1280"/>
      <c r="GMT23" s="1280"/>
      <c r="GMU23" s="1280"/>
      <c r="GMV23" s="1280"/>
      <c r="GMW23" s="1280"/>
      <c r="GMX23" s="1280"/>
      <c r="GMY23" s="1280"/>
      <c r="GMZ23" s="1280"/>
      <c r="GNA23" s="1280"/>
      <c r="GNB23" s="1280"/>
      <c r="GNC23" s="1280"/>
      <c r="GND23" s="1280"/>
      <c r="GNE23" s="1280"/>
      <c r="GNF23" s="1280"/>
      <c r="GNG23" s="1280"/>
      <c r="GNH23" s="1280"/>
      <c r="GNI23" s="1280"/>
      <c r="GNJ23" s="1280"/>
      <c r="GNK23" s="1280"/>
      <c r="GNL23" s="1280"/>
      <c r="GNM23" s="1280"/>
      <c r="GNN23" s="1280"/>
      <c r="GNO23" s="1280"/>
      <c r="GNP23" s="1280"/>
      <c r="GNQ23" s="1280"/>
      <c r="GNR23" s="1280"/>
      <c r="GNS23" s="1280"/>
      <c r="GNT23" s="1280"/>
      <c r="GNU23" s="1280"/>
      <c r="GNV23" s="1280"/>
      <c r="GNW23" s="1280"/>
      <c r="GNX23" s="1280"/>
      <c r="GNY23" s="1280"/>
      <c r="GNZ23" s="1280"/>
      <c r="GOA23" s="1280"/>
      <c r="GOB23" s="1280"/>
      <c r="GOC23" s="1280"/>
      <c r="GOD23" s="1280"/>
      <c r="GOE23" s="1280"/>
      <c r="GOF23" s="1280"/>
      <c r="GOG23" s="1280"/>
      <c r="GOH23" s="1280"/>
      <c r="GOI23" s="1280"/>
      <c r="GOJ23" s="1280"/>
      <c r="GOK23" s="1280"/>
      <c r="GOL23" s="1280"/>
      <c r="GOM23" s="1280"/>
      <c r="GON23" s="1280"/>
      <c r="GOO23" s="1280"/>
      <c r="GOP23" s="1280"/>
      <c r="GOQ23" s="1280"/>
      <c r="GOR23" s="1280"/>
      <c r="GOS23" s="1280"/>
      <c r="GOT23" s="1280"/>
      <c r="GOU23" s="1280"/>
      <c r="GOV23" s="1280"/>
      <c r="GOW23" s="1280"/>
      <c r="GOX23" s="1280"/>
      <c r="GOY23" s="1280"/>
      <c r="GOZ23" s="1280"/>
      <c r="GPA23" s="1280"/>
      <c r="GPB23" s="1280"/>
      <c r="GPC23" s="1280"/>
      <c r="GPD23" s="1280"/>
      <c r="GPE23" s="1280"/>
      <c r="GPF23" s="1280"/>
      <c r="GPG23" s="1280"/>
      <c r="GPH23" s="1280"/>
      <c r="GPI23" s="1280"/>
      <c r="GPJ23" s="1280"/>
      <c r="GPK23" s="1280"/>
      <c r="GPL23" s="1280"/>
      <c r="GPM23" s="1280"/>
      <c r="GPN23" s="1280"/>
      <c r="GPO23" s="1280"/>
      <c r="GPP23" s="1280"/>
      <c r="GPQ23" s="1280"/>
      <c r="GPR23" s="1280"/>
      <c r="GPS23" s="1280"/>
      <c r="GPT23" s="1280"/>
      <c r="GPU23" s="1280"/>
      <c r="GPV23" s="1280"/>
      <c r="GPW23" s="1280"/>
      <c r="GPX23" s="1280"/>
      <c r="GPY23" s="1280"/>
      <c r="GPZ23" s="1280"/>
      <c r="GQA23" s="1280"/>
      <c r="GQB23" s="1280"/>
      <c r="GQC23" s="1280"/>
      <c r="GQD23" s="1280"/>
      <c r="GQE23" s="1280"/>
      <c r="GQF23" s="1280"/>
      <c r="GQG23" s="1280"/>
      <c r="GQH23" s="1280"/>
      <c r="GQI23" s="1280"/>
      <c r="GQJ23" s="1280"/>
      <c r="GQK23" s="1280"/>
      <c r="GQL23" s="1280"/>
      <c r="GQM23" s="1280"/>
      <c r="GQN23" s="1280"/>
      <c r="GQO23" s="1280"/>
      <c r="GQP23" s="1280"/>
      <c r="GQQ23" s="1280"/>
      <c r="GQR23" s="1280"/>
      <c r="GQS23" s="1280"/>
      <c r="GQT23" s="1280"/>
      <c r="GQU23" s="1280"/>
      <c r="GQV23" s="1280"/>
      <c r="GQW23" s="1280"/>
      <c r="GQX23" s="1280"/>
      <c r="GQY23" s="1280"/>
      <c r="GQZ23" s="1280"/>
      <c r="GRA23" s="1280"/>
      <c r="GRB23" s="1280"/>
      <c r="GRC23" s="1280"/>
      <c r="GRD23" s="1280"/>
      <c r="GRE23" s="1280"/>
      <c r="GRF23" s="1280"/>
      <c r="GRG23" s="1280"/>
      <c r="GRH23" s="1280"/>
      <c r="GRI23" s="1280"/>
      <c r="GRJ23" s="1280"/>
      <c r="GRK23" s="1280"/>
      <c r="GRL23" s="1280"/>
      <c r="GRM23" s="1280"/>
      <c r="GRN23" s="1280"/>
      <c r="GRO23" s="1280"/>
      <c r="GRP23" s="1280"/>
      <c r="GRQ23" s="1280"/>
      <c r="GRR23" s="1280"/>
      <c r="GRS23" s="1280"/>
      <c r="GRT23" s="1280"/>
      <c r="GRU23" s="1280"/>
      <c r="GRV23" s="1280"/>
      <c r="GRW23" s="1280"/>
      <c r="GRX23" s="1280"/>
      <c r="GRY23" s="1280"/>
      <c r="GRZ23" s="1280"/>
      <c r="GSA23" s="1280"/>
      <c r="GSB23" s="1280"/>
      <c r="GSC23" s="1280"/>
      <c r="GSD23" s="1280"/>
      <c r="GSE23" s="1280"/>
      <c r="GSF23" s="1280"/>
      <c r="GSG23" s="1280"/>
      <c r="GSH23" s="1280"/>
      <c r="GSI23" s="1280"/>
      <c r="GSJ23" s="1280"/>
      <c r="GSK23" s="1280"/>
      <c r="GSL23" s="1280"/>
      <c r="GSM23" s="1280"/>
      <c r="GSN23" s="1280"/>
      <c r="GSO23" s="1280"/>
      <c r="GSP23" s="1280"/>
      <c r="GSQ23" s="1280"/>
      <c r="GSR23" s="1280"/>
      <c r="GSS23" s="1280"/>
      <c r="GST23" s="1280"/>
      <c r="GSU23" s="1280"/>
      <c r="GSV23" s="1280"/>
      <c r="GSW23" s="1280"/>
      <c r="GSX23" s="1280"/>
      <c r="GSY23" s="1280"/>
      <c r="GSZ23" s="1280"/>
      <c r="GTA23" s="1280"/>
      <c r="GTB23" s="1280"/>
      <c r="GTC23" s="1280"/>
      <c r="GTD23" s="1280"/>
      <c r="GTE23" s="1280"/>
      <c r="GTF23" s="1280"/>
      <c r="GTG23" s="1280"/>
      <c r="GTH23" s="1280"/>
      <c r="GTI23" s="1280"/>
      <c r="GTJ23" s="1280"/>
      <c r="GTK23" s="1280"/>
      <c r="GTL23" s="1280"/>
      <c r="GTM23" s="1280"/>
      <c r="GTN23" s="1280"/>
      <c r="GTO23" s="1280"/>
      <c r="GTP23" s="1280"/>
      <c r="GTQ23" s="1280"/>
      <c r="GTR23" s="1280"/>
      <c r="GTS23" s="1280"/>
      <c r="GTT23" s="1280"/>
      <c r="GTU23" s="1280"/>
      <c r="GTV23" s="1280"/>
      <c r="GTW23" s="1280"/>
      <c r="GTX23" s="1280"/>
      <c r="GTY23" s="1280"/>
      <c r="GTZ23" s="1280"/>
      <c r="GUA23" s="1280"/>
      <c r="GUB23" s="1280"/>
      <c r="GUC23" s="1280"/>
      <c r="GUD23" s="1280"/>
      <c r="GUE23" s="1280"/>
      <c r="GUF23" s="1280"/>
      <c r="GUG23" s="1280"/>
      <c r="GUH23" s="1280"/>
      <c r="GUI23" s="1280"/>
      <c r="GUJ23" s="1280"/>
      <c r="GUK23" s="1280"/>
      <c r="GUL23" s="1280"/>
      <c r="GUM23" s="1280"/>
      <c r="GUN23" s="1280"/>
      <c r="GUO23" s="1280"/>
      <c r="GUP23" s="1280"/>
      <c r="GUQ23" s="1280"/>
      <c r="GUR23" s="1280"/>
      <c r="GUS23" s="1280"/>
      <c r="GUT23" s="1280"/>
      <c r="GUU23" s="1280"/>
      <c r="GUV23" s="1280"/>
      <c r="GUW23" s="1280"/>
      <c r="GUX23" s="1280"/>
      <c r="GUY23" s="1280"/>
      <c r="GUZ23" s="1280"/>
      <c r="GVA23" s="1280"/>
      <c r="GVB23" s="1280"/>
      <c r="GVC23" s="1280"/>
      <c r="GVD23" s="1280"/>
      <c r="GVE23" s="1280"/>
      <c r="GVF23" s="1280"/>
      <c r="GVG23" s="1280"/>
      <c r="GVH23" s="1280"/>
      <c r="GVI23" s="1280"/>
      <c r="GVJ23" s="1280"/>
      <c r="GVK23" s="1280"/>
      <c r="GVL23" s="1280"/>
      <c r="GVM23" s="1280"/>
      <c r="GVN23" s="1280"/>
      <c r="GVO23" s="1280"/>
      <c r="GVP23" s="1280"/>
      <c r="GVQ23" s="1280"/>
      <c r="GVR23" s="1280"/>
      <c r="GVS23" s="1280"/>
      <c r="GVT23" s="1280"/>
      <c r="GVU23" s="1280"/>
      <c r="GVV23" s="1280"/>
      <c r="GVW23" s="1280"/>
      <c r="GVX23" s="1280"/>
      <c r="GVY23" s="1280"/>
      <c r="GVZ23" s="1280"/>
      <c r="GWA23" s="1280"/>
      <c r="GWB23" s="1280"/>
      <c r="GWC23" s="1280"/>
      <c r="GWD23" s="1280"/>
      <c r="GWE23" s="1280"/>
      <c r="GWF23" s="1280"/>
      <c r="GWG23" s="1280"/>
      <c r="GWH23" s="1280"/>
      <c r="GWI23" s="1280"/>
      <c r="GWJ23" s="1280"/>
      <c r="GWK23" s="1280"/>
      <c r="GWL23" s="1280"/>
      <c r="GWM23" s="1280"/>
      <c r="GWN23" s="1280"/>
      <c r="GWO23" s="1280"/>
      <c r="GWP23" s="1280"/>
      <c r="GWQ23" s="1280"/>
      <c r="GWR23" s="1280"/>
      <c r="GWS23" s="1280"/>
      <c r="GWT23" s="1280"/>
      <c r="GWU23" s="1280"/>
      <c r="GWV23" s="1280"/>
      <c r="GWW23" s="1280"/>
      <c r="GWX23" s="1280"/>
      <c r="GWY23" s="1280"/>
      <c r="GWZ23" s="1280"/>
      <c r="GXA23" s="1280"/>
      <c r="GXB23" s="1280"/>
      <c r="GXC23" s="1280"/>
      <c r="GXD23" s="1280"/>
      <c r="GXE23" s="1280"/>
      <c r="GXF23" s="1280"/>
      <c r="GXG23" s="1280"/>
      <c r="GXH23" s="1280"/>
      <c r="GXI23" s="1280"/>
      <c r="GXJ23" s="1280"/>
      <c r="GXK23" s="1280"/>
      <c r="GXL23" s="1280"/>
      <c r="GXM23" s="1280"/>
      <c r="GXN23" s="1280"/>
      <c r="GXO23" s="1280"/>
      <c r="GXP23" s="1280"/>
      <c r="GXQ23" s="1280"/>
      <c r="GXR23" s="1280"/>
      <c r="GXS23" s="1280"/>
      <c r="GXT23" s="1280"/>
      <c r="GXU23" s="1280"/>
      <c r="GXV23" s="1280"/>
      <c r="GXW23" s="1280"/>
      <c r="GXX23" s="1280"/>
      <c r="GXY23" s="1280"/>
      <c r="GXZ23" s="1280"/>
      <c r="GYA23" s="1280"/>
      <c r="GYB23" s="1280"/>
      <c r="GYC23" s="1280"/>
      <c r="GYD23" s="1280"/>
      <c r="GYE23" s="1280"/>
      <c r="GYF23" s="1280"/>
      <c r="GYG23" s="1280"/>
      <c r="GYH23" s="1280"/>
      <c r="GYI23" s="1280"/>
      <c r="GYJ23" s="1280"/>
      <c r="GYK23" s="1280"/>
      <c r="GYL23" s="1280"/>
      <c r="GYM23" s="1280"/>
      <c r="GYN23" s="1280"/>
      <c r="GYO23" s="1280"/>
      <c r="GYP23" s="1280"/>
      <c r="GYQ23" s="1280"/>
      <c r="GYR23" s="1280"/>
      <c r="GYS23" s="1280"/>
      <c r="GYT23" s="1280"/>
      <c r="GYU23" s="1280"/>
      <c r="GYV23" s="1280"/>
      <c r="GYW23" s="1280"/>
      <c r="GYX23" s="1280"/>
      <c r="GYY23" s="1280"/>
      <c r="GYZ23" s="1280"/>
      <c r="GZA23" s="1280"/>
      <c r="GZB23" s="1280"/>
      <c r="GZC23" s="1280"/>
      <c r="GZD23" s="1280"/>
      <c r="GZE23" s="1280"/>
      <c r="GZF23" s="1280"/>
      <c r="GZG23" s="1280"/>
      <c r="GZH23" s="1280"/>
      <c r="GZI23" s="1280"/>
      <c r="GZJ23" s="1280"/>
      <c r="GZK23" s="1280"/>
      <c r="GZL23" s="1280"/>
      <c r="GZM23" s="1280"/>
      <c r="GZN23" s="1280"/>
      <c r="GZO23" s="1280"/>
      <c r="GZP23" s="1280"/>
      <c r="GZQ23" s="1280"/>
      <c r="GZR23" s="1280"/>
      <c r="GZS23" s="1280"/>
      <c r="GZT23" s="1280"/>
      <c r="GZU23" s="1280"/>
      <c r="GZV23" s="1280"/>
      <c r="GZW23" s="1280"/>
      <c r="GZX23" s="1280"/>
      <c r="GZY23" s="1280"/>
      <c r="GZZ23" s="1280"/>
      <c r="HAA23" s="1280"/>
      <c r="HAB23" s="1280"/>
      <c r="HAC23" s="1280"/>
      <c r="HAD23" s="1280"/>
      <c r="HAE23" s="1280"/>
      <c r="HAF23" s="1280"/>
      <c r="HAG23" s="1280"/>
      <c r="HAH23" s="1280"/>
      <c r="HAI23" s="1280"/>
      <c r="HAJ23" s="1280"/>
      <c r="HAK23" s="1280"/>
      <c r="HAL23" s="1280"/>
      <c r="HAM23" s="1280"/>
      <c r="HAN23" s="1280"/>
      <c r="HAO23" s="1280"/>
      <c r="HAP23" s="1280"/>
      <c r="HAQ23" s="1280"/>
      <c r="HAR23" s="1280"/>
      <c r="HAS23" s="1280"/>
      <c r="HAT23" s="1280"/>
      <c r="HAU23" s="1280"/>
      <c r="HAV23" s="1280"/>
      <c r="HAW23" s="1280"/>
      <c r="HAX23" s="1280"/>
      <c r="HAY23" s="1280"/>
      <c r="HAZ23" s="1280"/>
      <c r="HBA23" s="1280"/>
      <c r="HBB23" s="1280"/>
      <c r="HBC23" s="1280"/>
      <c r="HBD23" s="1280"/>
      <c r="HBE23" s="1280"/>
      <c r="HBF23" s="1280"/>
      <c r="HBG23" s="1280"/>
      <c r="HBH23" s="1280"/>
      <c r="HBI23" s="1280"/>
      <c r="HBJ23" s="1280"/>
      <c r="HBK23" s="1280"/>
      <c r="HBL23" s="1280"/>
      <c r="HBM23" s="1280"/>
      <c r="HBN23" s="1280"/>
      <c r="HBO23" s="1280"/>
      <c r="HBP23" s="1280"/>
      <c r="HBQ23" s="1280"/>
      <c r="HBR23" s="1280"/>
      <c r="HBS23" s="1280"/>
      <c r="HBT23" s="1280"/>
      <c r="HBU23" s="1280"/>
      <c r="HBV23" s="1280"/>
      <c r="HBW23" s="1280"/>
      <c r="HBX23" s="1280"/>
      <c r="HBY23" s="1280"/>
      <c r="HBZ23" s="1280"/>
      <c r="HCA23" s="1280"/>
      <c r="HCB23" s="1280"/>
      <c r="HCC23" s="1280"/>
      <c r="HCD23" s="1280"/>
      <c r="HCE23" s="1280"/>
      <c r="HCF23" s="1280"/>
      <c r="HCG23" s="1280"/>
      <c r="HCH23" s="1280"/>
      <c r="HCI23" s="1280"/>
      <c r="HCJ23" s="1280"/>
      <c r="HCK23" s="1280"/>
      <c r="HCL23" s="1280"/>
      <c r="HCM23" s="1280"/>
      <c r="HCN23" s="1280"/>
      <c r="HCO23" s="1280"/>
      <c r="HCP23" s="1280"/>
      <c r="HCQ23" s="1280"/>
      <c r="HCR23" s="1280"/>
      <c r="HCS23" s="1280"/>
      <c r="HCT23" s="1280"/>
      <c r="HCU23" s="1280"/>
      <c r="HCV23" s="1280"/>
      <c r="HCW23" s="1280"/>
      <c r="HCX23" s="1280"/>
      <c r="HCY23" s="1280"/>
      <c r="HCZ23" s="1280"/>
      <c r="HDA23" s="1280"/>
      <c r="HDB23" s="1280"/>
      <c r="HDC23" s="1280"/>
      <c r="HDD23" s="1280"/>
      <c r="HDE23" s="1280"/>
      <c r="HDF23" s="1280"/>
      <c r="HDG23" s="1280"/>
      <c r="HDH23" s="1280"/>
      <c r="HDI23" s="1280"/>
      <c r="HDJ23" s="1280"/>
      <c r="HDK23" s="1280"/>
      <c r="HDL23" s="1280"/>
      <c r="HDM23" s="1280"/>
      <c r="HDN23" s="1280"/>
      <c r="HDO23" s="1280"/>
      <c r="HDP23" s="1280"/>
      <c r="HDQ23" s="1280"/>
      <c r="HDR23" s="1280"/>
      <c r="HDS23" s="1280"/>
      <c r="HDT23" s="1280"/>
      <c r="HDU23" s="1280"/>
      <c r="HDV23" s="1280"/>
      <c r="HDW23" s="1280"/>
      <c r="HDX23" s="1280"/>
      <c r="HDY23" s="1280"/>
      <c r="HDZ23" s="1280"/>
      <c r="HEA23" s="1280"/>
      <c r="HEB23" s="1280"/>
      <c r="HEC23" s="1280"/>
      <c r="HED23" s="1280"/>
      <c r="HEE23" s="1280"/>
      <c r="HEF23" s="1280"/>
      <c r="HEG23" s="1280"/>
      <c r="HEH23" s="1280"/>
      <c r="HEI23" s="1280"/>
      <c r="HEJ23" s="1280"/>
      <c r="HEK23" s="1280"/>
      <c r="HEL23" s="1280"/>
      <c r="HEM23" s="1280"/>
      <c r="HEN23" s="1280"/>
      <c r="HEO23" s="1280"/>
      <c r="HEP23" s="1280"/>
      <c r="HEQ23" s="1280"/>
      <c r="HER23" s="1280"/>
      <c r="HES23" s="1280"/>
      <c r="HET23" s="1280"/>
      <c r="HEU23" s="1280"/>
      <c r="HEV23" s="1280"/>
      <c r="HEW23" s="1280"/>
      <c r="HEX23" s="1280"/>
      <c r="HEY23" s="1280"/>
      <c r="HEZ23" s="1280"/>
      <c r="HFA23" s="1280"/>
      <c r="HFB23" s="1280"/>
      <c r="HFC23" s="1280"/>
      <c r="HFD23" s="1280"/>
      <c r="HFE23" s="1280"/>
      <c r="HFF23" s="1280"/>
      <c r="HFG23" s="1280"/>
      <c r="HFH23" s="1280"/>
      <c r="HFI23" s="1280"/>
      <c r="HFJ23" s="1280"/>
      <c r="HFK23" s="1280"/>
      <c r="HFL23" s="1280"/>
      <c r="HFM23" s="1280"/>
      <c r="HFN23" s="1280"/>
      <c r="HFO23" s="1280"/>
      <c r="HFP23" s="1280"/>
      <c r="HFQ23" s="1280"/>
      <c r="HFR23" s="1280"/>
      <c r="HFS23" s="1280"/>
      <c r="HFT23" s="1280"/>
      <c r="HFU23" s="1280"/>
      <c r="HFV23" s="1280"/>
      <c r="HFW23" s="1280"/>
      <c r="HFX23" s="1280"/>
      <c r="HFY23" s="1280"/>
      <c r="HFZ23" s="1280"/>
      <c r="HGA23" s="1280"/>
      <c r="HGB23" s="1280"/>
      <c r="HGC23" s="1280"/>
      <c r="HGD23" s="1280"/>
      <c r="HGE23" s="1280"/>
      <c r="HGF23" s="1280"/>
      <c r="HGG23" s="1280"/>
      <c r="HGH23" s="1280"/>
      <c r="HGI23" s="1280"/>
      <c r="HGJ23" s="1280"/>
      <c r="HGK23" s="1280"/>
      <c r="HGL23" s="1280"/>
      <c r="HGM23" s="1280"/>
      <c r="HGN23" s="1280"/>
      <c r="HGO23" s="1280"/>
      <c r="HGP23" s="1280"/>
      <c r="HGQ23" s="1280"/>
      <c r="HGR23" s="1280"/>
      <c r="HGS23" s="1280"/>
      <c r="HGT23" s="1280"/>
      <c r="HGU23" s="1280"/>
      <c r="HGV23" s="1280"/>
      <c r="HGW23" s="1280"/>
      <c r="HGX23" s="1280"/>
      <c r="HGY23" s="1280"/>
      <c r="HGZ23" s="1280"/>
      <c r="HHA23" s="1280"/>
      <c r="HHB23" s="1280"/>
      <c r="HHC23" s="1280"/>
      <c r="HHD23" s="1280"/>
      <c r="HHE23" s="1280"/>
      <c r="HHF23" s="1280"/>
      <c r="HHG23" s="1280"/>
      <c r="HHH23" s="1280"/>
      <c r="HHI23" s="1280"/>
      <c r="HHJ23" s="1280"/>
      <c r="HHK23" s="1280"/>
      <c r="HHL23" s="1280"/>
      <c r="HHM23" s="1280"/>
      <c r="HHN23" s="1280"/>
      <c r="HHO23" s="1280"/>
      <c r="HHP23" s="1280"/>
      <c r="HHQ23" s="1280"/>
      <c r="HHR23" s="1280"/>
      <c r="HHS23" s="1280"/>
      <c r="HHT23" s="1280"/>
      <c r="HHU23" s="1280"/>
      <c r="HHV23" s="1280"/>
      <c r="HHW23" s="1280"/>
      <c r="HHX23" s="1280"/>
      <c r="HHY23" s="1280"/>
      <c r="HHZ23" s="1280"/>
      <c r="HIA23" s="1280"/>
      <c r="HIB23" s="1280"/>
      <c r="HIC23" s="1280"/>
      <c r="HID23" s="1280"/>
      <c r="HIE23" s="1280"/>
      <c r="HIF23" s="1280"/>
      <c r="HIG23" s="1280"/>
      <c r="HIH23" s="1280"/>
      <c r="HII23" s="1280"/>
      <c r="HIJ23" s="1280"/>
      <c r="HIK23" s="1280"/>
      <c r="HIL23" s="1280"/>
      <c r="HIM23" s="1280"/>
      <c r="HIN23" s="1280"/>
      <c r="HIO23" s="1280"/>
      <c r="HIP23" s="1280"/>
      <c r="HIQ23" s="1280"/>
      <c r="HIR23" s="1280"/>
      <c r="HIS23" s="1280"/>
      <c r="HIT23" s="1280"/>
      <c r="HIU23" s="1280"/>
      <c r="HIV23" s="1280"/>
      <c r="HIW23" s="1280"/>
      <c r="HIX23" s="1280"/>
      <c r="HIY23" s="1280"/>
      <c r="HIZ23" s="1280"/>
      <c r="HJA23" s="1280"/>
      <c r="HJB23" s="1280"/>
      <c r="HJC23" s="1280"/>
      <c r="HJD23" s="1280"/>
      <c r="HJE23" s="1280"/>
      <c r="HJF23" s="1280"/>
      <c r="HJG23" s="1280"/>
      <c r="HJH23" s="1280"/>
      <c r="HJI23" s="1280"/>
      <c r="HJJ23" s="1280"/>
      <c r="HJK23" s="1280"/>
      <c r="HJL23" s="1280"/>
      <c r="HJM23" s="1280"/>
      <c r="HJN23" s="1280"/>
      <c r="HJO23" s="1280"/>
      <c r="HJP23" s="1280"/>
      <c r="HJQ23" s="1280"/>
      <c r="HJR23" s="1280"/>
      <c r="HJS23" s="1280"/>
      <c r="HJT23" s="1280"/>
      <c r="HJU23" s="1280"/>
      <c r="HJV23" s="1280"/>
      <c r="HJW23" s="1280"/>
      <c r="HJX23" s="1280"/>
      <c r="HJY23" s="1280"/>
      <c r="HJZ23" s="1280"/>
      <c r="HKA23" s="1280"/>
      <c r="HKB23" s="1280"/>
      <c r="HKC23" s="1280"/>
      <c r="HKD23" s="1280"/>
      <c r="HKE23" s="1280"/>
      <c r="HKF23" s="1280"/>
      <c r="HKG23" s="1280"/>
      <c r="HKH23" s="1280"/>
      <c r="HKI23" s="1280"/>
      <c r="HKJ23" s="1280"/>
      <c r="HKK23" s="1280"/>
      <c r="HKL23" s="1280"/>
      <c r="HKM23" s="1280"/>
      <c r="HKN23" s="1280"/>
      <c r="HKO23" s="1280"/>
      <c r="HKP23" s="1280"/>
      <c r="HKQ23" s="1280"/>
      <c r="HKR23" s="1280"/>
      <c r="HKS23" s="1280"/>
      <c r="HKT23" s="1280"/>
      <c r="HKU23" s="1280"/>
      <c r="HKV23" s="1280"/>
      <c r="HKW23" s="1280"/>
      <c r="HKX23" s="1280"/>
      <c r="HKY23" s="1280"/>
      <c r="HKZ23" s="1280"/>
      <c r="HLA23" s="1280"/>
      <c r="HLB23" s="1280"/>
      <c r="HLC23" s="1280"/>
      <c r="HLD23" s="1280"/>
      <c r="HLE23" s="1280"/>
      <c r="HLF23" s="1280"/>
      <c r="HLG23" s="1280"/>
      <c r="HLH23" s="1280"/>
      <c r="HLI23" s="1280"/>
      <c r="HLJ23" s="1280"/>
      <c r="HLK23" s="1280"/>
      <c r="HLL23" s="1280"/>
      <c r="HLM23" s="1280"/>
      <c r="HLN23" s="1280"/>
      <c r="HLO23" s="1280"/>
      <c r="HLP23" s="1280"/>
      <c r="HLQ23" s="1280"/>
      <c r="HLR23" s="1280"/>
      <c r="HLS23" s="1280"/>
      <c r="HLT23" s="1280"/>
      <c r="HLU23" s="1280"/>
      <c r="HLV23" s="1280"/>
      <c r="HLW23" s="1280"/>
      <c r="HLX23" s="1280"/>
      <c r="HLY23" s="1280"/>
      <c r="HLZ23" s="1280"/>
      <c r="HMA23" s="1280"/>
      <c r="HMB23" s="1280"/>
      <c r="HMC23" s="1280"/>
      <c r="HMD23" s="1280"/>
      <c r="HME23" s="1280"/>
      <c r="HMF23" s="1280"/>
      <c r="HMG23" s="1280"/>
      <c r="HMH23" s="1280"/>
      <c r="HMI23" s="1280"/>
      <c r="HMJ23" s="1280"/>
      <c r="HMK23" s="1280"/>
      <c r="HML23" s="1280"/>
      <c r="HMM23" s="1280"/>
      <c r="HMN23" s="1280"/>
      <c r="HMO23" s="1280"/>
      <c r="HMP23" s="1280"/>
      <c r="HMQ23" s="1280"/>
      <c r="HMR23" s="1280"/>
      <c r="HMS23" s="1280"/>
      <c r="HMT23" s="1280"/>
      <c r="HMU23" s="1280"/>
      <c r="HMV23" s="1280"/>
      <c r="HMW23" s="1280"/>
      <c r="HMX23" s="1280"/>
      <c r="HMY23" s="1280"/>
      <c r="HMZ23" s="1280"/>
      <c r="HNA23" s="1280"/>
      <c r="HNB23" s="1280"/>
      <c r="HNC23" s="1280"/>
      <c r="HND23" s="1280"/>
      <c r="HNE23" s="1280"/>
      <c r="HNF23" s="1280"/>
      <c r="HNG23" s="1280"/>
      <c r="HNH23" s="1280"/>
      <c r="HNI23" s="1280"/>
      <c r="HNJ23" s="1280"/>
      <c r="HNK23" s="1280"/>
      <c r="HNL23" s="1280"/>
      <c r="HNM23" s="1280"/>
      <c r="HNN23" s="1280"/>
      <c r="HNO23" s="1280"/>
      <c r="HNP23" s="1280"/>
      <c r="HNQ23" s="1280"/>
      <c r="HNR23" s="1280"/>
      <c r="HNS23" s="1280"/>
      <c r="HNT23" s="1280"/>
      <c r="HNU23" s="1280"/>
      <c r="HNV23" s="1280"/>
      <c r="HNW23" s="1280"/>
      <c r="HNX23" s="1280"/>
      <c r="HNY23" s="1280"/>
      <c r="HNZ23" s="1280"/>
      <c r="HOA23" s="1280"/>
      <c r="HOB23" s="1280"/>
      <c r="HOC23" s="1280"/>
      <c r="HOD23" s="1280"/>
      <c r="HOE23" s="1280"/>
      <c r="HOF23" s="1280"/>
      <c r="HOG23" s="1280"/>
      <c r="HOH23" s="1280"/>
      <c r="HOI23" s="1280"/>
      <c r="HOJ23" s="1280"/>
      <c r="HOK23" s="1280"/>
      <c r="HOL23" s="1280"/>
      <c r="HOM23" s="1280"/>
      <c r="HON23" s="1280"/>
      <c r="HOO23" s="1280"/>
      <c r="HOP23" s="1280"/>
      <c r="HOQ23" s="1280"/>
      <c r="HOR23" s="1280"/>
      <c r="HOS23" s="1280"/>
      <c r="HOT23" s="1280"/>
      <c r="HOU23" s="1280"/>
      <c r="HOV23" s="1280"/>
      <c r="HOW23" s="1280"/>
      <c r="HOX23" s="1280"/>
      <c r="HOY23" s="1280"/>
      <c r="HOZ23" s="1280"/>
      <c r="HPA23" s="1280"/>
      <c r="HPB23" s="1280"/>
      <c r="HPC23" s="1280"/>
      <c r="HPD23" s="1280"/>
      <c r="HPE23" s="1280"/>
      <c r="HPF23" s="1280"/>
      <c r="HPG23" s="1280"/>
      <c r="HPH23" s="1280"/>
      <c r="HPI23" s="1280"/>
      <c r="HPJ23" s="1280"/>
      <c r="HPK23" s="1280"/>
      <c r="HPL23" s="1280"/>
      <c r="HPM23" s="1280"/>
      <c r="HPN23" s="1280"/>
      <c r="HPO23" s="1280"/>
      <c r="HPP23" s="1280"/>
      <c r="HPQ23" s="1280"/>
      <c r="HPR23" s="1280"/>
      <c r="HPS23" s="1280"/>
      <c r="HPT23" s="1280"/>
      <c r="HPU23" s="1280"/>
      <c r="HPV23" s="1280"/>
      <c r="HPW23" s="1280"/>
      <c r="HPX23" s="1280"/>
      <c r="HPY23" s="1280"/>
      <c r="HPZ23" s="1280"/>
      <c r="HQA23" s="1280"/>
      <c r="HQB23" s="1280"/>
      <c r="HQC23" s="1280"/>
      <c r="HQD23" s="1280"/>
      <c r="HQE23" s="1280"/>
      <c r="HQF23" s="1280"/>
      <c r="HQG23" s="1280"/>
      <c r="HQH23" s="1280"/>
      <c r="HQI23" s="1280"/>
      <c r="HQJ23" s="1280"/>
      <c r="HQK23" s="1280"/>
      <c r="HQL23" s="1280"/>
      <c r="HQM23" s="1280"/>
      <c r="HQN23" s="1280"/>
      <c r="HQO23" s="1280"/>
      <c r="HQP23" s="1280"/>
      <c r="HQQ23" s="1280"/>
      <c r="HQR23" s="1280"/>
      <c r="HQS23" s="1280"/>
      <c r="HQT23" s="1280"/>
      <c r="HQU23" s="1280"/>
      <c r="HQV23" s="1280"/>
      <c r="HQW23" s="1280"/>
      <c r="HQX23" s="1280"/>
      <c r="HQY23" s="1280"/>
      <c r="HQZ23" s="1280"/>
      <c r="HRA23" s="1280"/>
      <c r="HRB23" s="1280"/>
      <c r="HRC23" s="1280"/>
      <c r="HRD23" s="1280"/>
      <c r="HRE23" s="1280"/>
      <c r="HRF23" s="1280"/>
      <c r="HRG23" s="1280"/>
      <c r="HRH23" s="1280"/>
      <c r="HRI23" s="1280"/>
      <c r="HRJ23" s="1280"/>
      <c r="HRK23" s="1280"/>
      <c r="HRL23" s="1280"/>
      <c r="HRM23" s="1280"/>
      <c r="HRN23" s="1280"/>
      <c r="HRO23" s="1280"/>
      <c r="HRP23" s="1280"/>
      <c r="HRQ23" s="1280"/>
      <c r="HRR23" s="1280"/>
      <c r="HRS23" s="1280"/>
      <c r="HRT23" s="1280"/>
      <c r="HRU23" s="1280"/>
      <c r="HRV23" s="1280"/>
      <c r="HRW23" s="1280"/>
      <c r="HRX23" s="1280"/>
      <c r="HRY23" s="1280"/>
      <c r="HRZ23" s="1280"/>
      <c r="HSA23" s="1280"/>
      <c r="HSB23" s="1280"/>
      <c r="HSC23" s="1280"/>
      <c r="HSD23" s="1280"/>
      <c r="HSE23" s="1280"/>
      <c r="HSF23" s="1280"/>
      <c r="HSG23" s="1280"/>
      <c r="HSH23" s="1280"/>
      <c r="HSI23" s="1280"/>
      <c r="HSJ23" s="1280"/>
      <c r="HSK23" s="1280"/>
      <c r="HSL23" s="1280"/>
      <c r="HSM23" s="1280"/>
      <c r="HSN23" s="1280"/>
      <c r="HSO23" s="1280"/>
      <c r="HSP23" s="1280"/>
      <c r="HSQ23" s="1280"/>
      <c r="HSR23" s="1280"/>
      <c r="HSS23" s="1280"/>
      <c r="HST23" s="1280"/>
      <c r="HSU23" s="1280"/>
      <c r="HSV23" s="1280"/>
      <c r="HSW23" s="1280"/>
      <c r="HSX23" s="1280"/>
      <c r="HSY23" s="1280"/>
      <c r="HSZ23" s="1280"/>
      <c r="HTA23" s="1280"/>
      <c r="HTB23" s="1280"/>
      <c r="HTC23" s="1280"/>
      <c r="HTD23" s="1280"/>
      <c r="HTE23" s="1280"/>
      <c r="HTF23" s="1280"/>
      <c r="HTG23" s="1280"/>
      <c r="HTH23" s="1280"/>
      <c r="HTI23" s="1280"/>
      <c r="HTJ23" s="1280"/>
      <c r="HTK23" s="1280"/>
      <c r="HTL23" s="1280"/>
      <c r="HTM23" s="1280"/>
      <c r="HTN23" s="1280"/>
      <c r="HTO23" s="1280"/>
      <c r="HTP23" s="1280"/>
      <c r="HTQ23" s="1280"/>
      <c r="HTR23" s="1280"/>
      <c r="HTS23" s="1280"/>
      <c r="HTT23" s="1280"/>
      <c r="HTU23" s="1280"/>
      <c r="HTV23" s="1280"/>
      <c r="HTW23" s="1280"/>
      <c r="HTX23" s="1280"/>
      <c r="HTY23" s="1280"/>
      <c r="HTZ23" s="1280"/>
      <c r="HUA23" s="1280"/>
      <c r="HUB23" s="1280"/>
      <c r="HUC23" s="1280"/>
      <c r="HUD23" s="1280"/>
      <c r="HUE23" s="1280"/>
      <c r="HUF23" s="1280"/>
      <c r="HUG23" s="1280"/>
      <c r="HUH23" s="1280"/>
      <c r="HUI23" s="1280"/>
      <c r="HUJ23" s="1280"/>
      <c r="HUK23" s="1280"/>
      <c r="HUL23" s="1280"/>
      <c r="HUM23" s="1280"/>
      <c r="HUN23" s="1280"/>
      <c r="HUO23" s="1280"/>
      <c r="HUP23" s="1280"/>
      <c r="HUQ23" s="1280"/>
      <c r="HUR23" s="1280"/>
      <c r="HUS23" s="1280"/>
      <c r="HUT23" s="1280"/>
      <c r="HUU23" s="1280"/>
      <c r="HUV23" s="1280"/>
      <c r="HUW23" s="1280"/>
      <c r="HUX23" s="1280"/>
      <c r="HUY23" s="1280"/>
      <c r="HUZ23" s="1280"/>
      <c r="HVA23" s="1280"/>
      <c r="HVB23" s="1280"/>
      <c r="HVC23" s="1280"/>
      <c r="HVD23" s="1280"/>
      <c r="HVE23" s="1280"/>
      <c r="HVF23" s="1280"/>
      <c r="HVG23" s="1280"/>
      <c r="HVH23" s="1280"/>
      <c r="HVI23" s="1280"/>
      <c r="HVJ23" s="1280"/>
      <c r="HVK23" s="1280"/>
      <c r="HVL23" s="1280"/>
      <c r="HVM23" s="1280"/>
      <c r="HVN23" s="1280"/>
      <c r="HVO23" s="1280"/>
      <c r="HVP23" s="1280"/>
      <c r="HVQ23" s="1280"/>
      <c r="HVR23" s="1280"/>
      <c r="HVS23" s="1280"/>
      <c r="HVT23" s="1280"/>
      <c r="HVU23" s="1280"/>
      <c r="HVV23" s="1280"/>
      <c r="HVW23" s="1280"/>
      <c r="HVX23" s="1280"/>
      <c r="HVY23" s="1280"/>
      <c r="HVZ23" s="1280"/>
      <c r="HWA23" s="1280"/>
      <c r="HWB23" s="1280"/>
      <c r="HWC23" s="1280"/>
      <c r="HWD23" s="1280"/>
      <c r="HWE23" s="1280"/>
      <c r="HWF23" s="1280"/>
      <c r="HWG23" s="1280"/>
      <c r="HWH23" s="1280"/>
      <c r="HWI23" s="1280"/>
      <c r="HWJ23" s="1280"/>
      <c r="HWK23" s="1280"/>
      <c r="HWL23" s="1280"/>
      <c r="HWM23" s="1280"/>
      <c r="HWN23" s="1280"/>
      <c r="HWO23" s="1280"/>
      <c r="HWP23" s="1280"/>
      <c r="HWQ23" s="1280"/>
      <c r="HWR23" s="1280"/>
      <c r="HWS23" s="1280"/>
      <c r="HWT23" s="1280"/>
      <c r="HWU23" s="1280"/>
      <c r="HWV23" s="1280"/>
      <c r="HWW23" s="1280"/>
      <c r="HWX23" s="1280"/>
      <c r="HWY23" s="1280"/>
      <c r="HWZ23" s="1280"/>
      <c r="HXA23" s="1280"/>
      <c r="HXB23" s="1280"/>
      <c r="HXC23" s="1280"/>
      <c r="HXD23" s="1280"/>
      <c r="HXE23" s="1280"/>
      <c r="HXF23" s="1280"/>
      <c r="HXG23" s="1280"/>
      <c r="HXH23" s="1280"/>
      <c r="HXI23" s="1280"/>
      <c r="HXJ23" s="1280"/>
      <c r="HXK23" s="1280"/>
      <c r="HXL23" s="1280"/>
      <c r="HXM23" s="1280"/>
      <c r="HXN23" s="1280"/>
      <c r="HXO23" s="1280"/>
      <c r="HXP23" s="1280"/>
      <c r="HXQ23" s="1280"/>
      <c r="HXR23" s="1280"/>
      <c r="HXS23" s="1280"/>
      <c r="HXT23" s="1280"/>
      <c r="HXU23" s="1280"/>
      <c r="HXV23" s="1280"/>
      <c r="HXW23" s="1280"/>
      <c r="HXX23" s="1280"/>
      <c r="HXY23" s="1280"/>
      <c r="HXZ23" s="1280"/>
      <c r="HYA23" s="1280"/>
      <c r="HYB23" s="1280"/>
      <c r="HYC23" s="1280"/>
      <c r="HYD23" s="1280"/>
      <c r="HYE23" s="1280"/>
      <c r="HYF23" s="1280"/>
      <c r="HYG23" s="1280"/>
      <c r="HYH23" s="1280"/>
      <c r="HYI23" s="1280"/>
      <c r="HYJ23" s="1280"/>
      <c r="HYK23" s="1280"/>
      <c r="HYL23" s="1280"/>
      <c r="HYM23" s="1280"/>
      <c r="HYN23" s="1280"/>
      <c r="HYO23" s="1280"/>
      <c r="HYP23" s="1280"/>
      <c r="HYQ23" s="1280"/>
      <c r="HYR23" s="1280"/>
      <c r="HYS23" s="1280"/>
      <c r="HYT23" s="1280"/>
      <c r="HYU23" s="1280"/>
      <c r="HYV23" s="1280"/>
      <c r="HYW23" s="1280"/>
      <c r="HYX23" s="1280"/>
      <c r="HYY23" s="1280"/>
      <c r="HYZ23" s="1280"/>
      <c r="HZA23" s="1280"/>
      <c r="HZB23" s="1280"/>
      <c r="HZC23" s="1280"/>
      <c r="HZD23" s="1280"/>
      <c r="HZE23" s="1280"/>
      <c r="HZF23" s="1280"/>
      <c r="HZG23" s="1280"/>
      <c r="HZH23" s="1280"/>
      <c r="HZI23" s="1280"/>
      <c r="HZJ23" s="1280"/>
      <c r="HZK23" s="1280"/>
      <c r="HZL23" s="1280"/>
      <c r="HZM23" s="1280"/>
      <c r="HZN23" s="1280"/>
      <c r="HZO23" s="1280"/>
      <c r="HZP23" s="1280"/>
      <c r="HZQ23" s="1280"/>
      <c r="HZR23" s="1280"/>
      <c r="HZS23" s="1280"/>
      <c r="HZT23" s="1280"/>
      <c r="HZU23" s="1280"/>
      <c r="HZV23" s="1280"/>
      <c r="HZW23" s="1280"/>
      <c r="HZX23" s="1280"/>
      <c r="HZY23" s="1280"/>
      <c r="HZZ23" s="1280"/>
      <c r="IAA23" s="1280"/>
      <c r="IAB23" s="1280"/>
      <c r="IAC23" s="1280"/>
      <c r="IAD23" s="1280"/>
      <c r="IAE23" s="1280"/>
      <c r="IAF23" s="1280"/>
      <c r="IAG23" s="1280"/>
      <c r="IAH23" s="1280"/>
      <c r="IAI23" s="1280"/>
      <c r="IAJ23" s="1280"/>
      <c r="IAK23" s="1280"/>
      <c r="IAL23" s="1280"/>
      <c r="IAM23" s="1280"/>
      <c r="IAN23" s="1280"/>
      <c r="IAO23" s="1280"/>
      <c r="IAP23" s="1280"/>
      <c r="IAQ23" s="1280"/>
      <c r="IAR23" s="1280"/>
      <c r="IAS23" s="1280"/>
      <c r="IAT23" s="1280"/>
      <c r="IAU23" s="1280"/>
      <c r="IAV23" s="1280"/>
      <c r="IAW23" s="1280"/>
      <c r="IAX23" s="1280"/>
      <c r="IAY23" s="1280"/>
      <c r="IAZ23" s="1280"/>
      <c r="IBA23" s="1280"/>
      <c r="IBB23" s="1280"/>
      <c r="IBC23" s="1280"/>
      <c r="IBD23" s="1280"/>
      <c r="IBE23" s="1280"/>
      <c r="IBF23" s="1280"/>
      <c r="IBG23" s="1280"/>
      <c r="IBH23" s="1280"/>
      <c r="IBI23" s="1280"/>
      <c r="IBJ23" s="1280"/>
      <c r="IBK23" s="1280"/>
      <c r="IBL23" s="1280"/>
      <c r="IBM23" s="1280"/>
      <c r="IBN23" s="1280"/>
      <c r="IBO23" s="1280"/>
      <c r="IBP23" s="1280"/>
      <c r="IBQ23" s="1280"/>
      <c r="IBR23" s="1280"/>
      <c r="IBS23" s="1280"/>
      <c r="IBT23" s="1280"/>
      <c r="IBU23" s="1280"/>
      <c r="IBV23" s="1280"/>
      <c r="IBW23" s="1280"/>
      <c r="IBX23" s="1280"/>
      <c r="IBY23" s="1280"/>
      <c r="IBZ23" s="1280"/>
      <c r="ICA23" s="1280"/>
      <c r="ICB23" s="1280"/>
      <c r="ICC23" s="1280"/>
      <c r="ICD23" s="1280"/>
      <c r="ICE23" s="1280"/>
      <c r="ICF23" s="1280"/>
      <c r="ICG23" s="1280"/>
      <c r="ICH23" s="1280"/>
      <c r="ICI23" s="1280"/>
      <c r="ICJ23" s="1280"/>
      <c r="ICK23" s="1280"/>
      <c r="ICL23" s="1280"/>
      <c r="ICM23" s="1280"/>
      <c r="ICN23" s="1280"/>
      <c r="ICO23" s="1280"/>
      <c r="ICP23" s="1280"/>
      <c r="ICQ23" s="1280"/>
      <c r="ICR23" s="1280"/>
      <c r="ICS23" s="1280"/>
      <c r="ICT23" s="1280"/>
      <c r="ICU23" s="1280"/>
      <c r="ICV23" s="1280"/>
      <c r="ICW23" s="1280"/>
      <c r="ICX23" s="1280"/>
      <c r="ICY23" s="1280"/>
      <c r="ICZ23" s="1280"/>
      <c r="IDA23" s="1280"/>
      <c r="IDB23" s="1280"/>
      <c r="IDC23" s="1280"/>
      <c r="IDD23" s="1280"/>
      <c r="IDE23" s="1280"/>
      <c r="IDF23" s="1280"/>
      <c r="IDG23" s="1280"/>
      <c r="IDH23" s="1280"/>
      <c r="IDI23" s="1280"/>
      <c r="IDJ23" s="1280"/>
      <c r="IDK23" s="1280"/>
      <c r="IDL23" s="1280"/>
      <c r="IDM23" s="1280"/>
      <c r="IDN23" s="1280"/>
      <c r="IDO23" s="1280"/>
      <c r="IDP23" s="1280"/>
      <c r="IDQ23" s="1280"/>
      <c r="IDR23" s="1280"/>
      <c r="IDS23" s="1280"/>
      <c r="IDT23" s="1280"/>
      <c r="IDU23" s="1280"/>
      <c r="IDV23" s="1280"/>
      <c r="IDW23" s="1280"/>
      <c r="IDX23" s="1280"/>
      <c r="IDY23" s="1280"/>
      <c r="IDZ23" s="1280"/>
      <c r="IEA23" s="1280"/>
      <c r="IEB23" s="1280"/>
      <c r="IEC23" s="1280"/>
      <c r="IED23" s="1280"/>
      <c r="IEE23" s="1280"/>
      <c r="IEF23" s="1280"/>
      <c r="IEG23" s="1280"/>
      <c r="IEH23" s="1280"/>
      <c r="IEI23" s="1280"/>
      <c r="IEJ23" s="1280"/>
      <c r="IEK23" s="1280"/>
      <c r="IEL23" s="1280"/>
      <c r="IEM23" s="1280"/>
      <c r="IEN23" s="1280"/>
      <c r="IEO23" s="1280"/>
      <c r="IEP23" s="1280"/>
      <c r="IEQ23" s="1280"/>
      <c r="IER23" s="1280"/>
      <c r="IES23" s="1280"/>
      <c r="IET23" s="1280"/>
      <c r="IEU23" s="1280"/>
      <c r="IEV23" s="1280"/>
      <c r="IEW23" s="1280"/>
      <c r="IEX23" s="1280"/>
      <c r="IEY23" s="1280"/>
      <c r="IEZ23" s="1280"/>
      <c r="IFA23" s="1280"/>
      <c r="IFB23" s="1280"/>
      <c r="IFC23" s="1280"/>
      <c r="IFD23" s="1280"/>
      <c r="IFE23" s="1280"/>
      <c r="IFF23" s="1280"/>
      <c r="IFG23" s="1280"/>
      <c r="IFH23" s="1280"/>
      <c r="IFI23" s="1280"/>
      <c r="IFJ23" s="1280"/>
      <c r="IFK23" s="1280"/>
      <c r="IFL23" s="1280"/>
      <c r="IFM23" s="1280"/>
      <c r="IFN23" s="1280"/>
      <c r="IFO23" s="1280"/>
      <c r="IFP23" s="1280"/>
      <c r="IFQ23" s="1280"/>
      <c r="IFR23" s="1280"/>
      <c r="IFS23" s="1280"/>
      <c r="IFT23" s="1280"/>
      <c r="IFU23" s="1280"/>
      <c r="IFV23" s="1280"/>
      <c r="IFW23" s="1280"/>
      <c r="IFX23" s="1280"/>
      <c r="IFY23" s="1280"/>
      <c r="IFZ23" s="1280"/>
      <c r="IGA23" s="1280"/>
      <c r="IGB23" s="1280"/>
      <c r="IGC23" s="1280"/>
      <c r="IGD23" s="1280"/>
      <c r="IGE23" s="1280"/>
      <c r="IGF23" s="1280"/>
      <c r="IGG23" s="1280"/>
      <c r="IGH23" s="1280"/>
      <c r="IGI23" s="1280"/>
      <c r="IGJ23" s="1280"/>
      <c r="IGK23" s="1280"/>
      <c r="IGL23" s="1280"/>
      <c r="IGM23" s="1280"/>
      <c r="IGN23" s="1280"/>
      <c r="IGO23" s="1280"/>
      <c r="IGP23" s="1280"/>
      <c r="IGQ23" s="1280"/>
      <c r="IGR23" s="1280"/>
      <c r="IGS23" s="1280"/>
      <c r="IGT23" s="1280"/>
      <c r="IGU23" s="1280"/>
      <c r="IGV23" s="1280"/>
      <c r="IGW23" s="1280"/>
      <c r="IGX23" s="1280"/>
      <c r="IGY23" s="1280"/>
      <c r="IGZ23" s="1280"/>
      <c r="IHA23" s="1280"/>
      <c r="IHB23" s="1280"/>
      <c r="IHC23" s="1280"/>
      <c r="IHD23" s="1280"/>
      <c r="IHE23" s="1280"/>
      <c r="IHF23" s="1280"/>
      <c r="IHG23" s="1280"/>
      <c r="IHH23" s="1280"/>
      <c r="IHI23" s="1280"/>
      <c r="IHJ23" s="1280"/>
      <c r="IHK23" s="1280"/>
      <c r="IHL23" s="1280"/>
      <c r="IHM23" s="1280"/>
      <c r="IHN23" s="1280"/>
      <c r="IHO23" s="1280"/>
      <c r="IHP23" s="1280"/>
      <c r="IHQ23" s="1280"/>
      <c r="IHR23" s="1280"/>
      <c r="IHS23" s="1280"/>
      <c r="IHT23" s="1280"/>
      <c r="IHU23" s="1280"/>
      <c r="IHV23" s="1280"/>
      <c r="IHW23" s="1280"/>
      <c r="IHX23" s="1280"/>
      <c r="IHY23" s="1280"/>
      <c r="IHZ23" s="1280"/>
      <c r="IIA23" s="1280"/>
      <c r="IIB23" s="1280"/>
      <c r="IIC23" s="1280"/>
      <c r="IID23" s="1280"/>
      <c r="IIE23" s="1280"/>
      <c r="IIF23" s="1280"/>
      <c r="IIG23" s="1280"/>
      <c r="IIH23" s="1280"/>
      <c r="III23" s="1280"/>
      <c r="IIJ23" s="1280"/>
      <c r="IIK23" s="1280"/>
      <c r="IIL23" s="1280"/>
      <c r="IIM23" s="1280"/>
      <c r="IIN23" s="1280"/>
      <c r="IIO23" s="1280"/>
      <c r="IIP23" s="1280"/>
      <c r="IIQ23" s="1280"/>
      <c r="IIR23" s="1280"/>
      <c r="IIS23" s="1280"/>
      <c r="IIT23" s="1280"/>
      <c r="IIU23" s="1280"/>
      <c r="IIV23" s="1280"/>
      <c r="IIW23" s="1280"/>
      <c r="IIX23" s="1280"/>
      <c r="IIY23" s="1280"/>
      <c r="IIZ23" s="1280"/>
      <c r="IJA23" s="1280"/>
      <c r="IJB23" s="1280"/>
      <c r="IJC23" s="1280"/>
      <c r="IJD23" s="1280"/>
      <c r="IJE23" s="1280"/>
      <c r="IJF23" s="1280"/>
      <c r="IJG23" s="1280"/>
      <c r="IJH23" s="1280"/>
      <c r="IJI23" s="1280"/>
      <c r="IJJ23" s="1280"/>
      <c r="IJK23" s="1280"/>
      <c r="IJL23" s="1280"/>
      <c r="IJM23" s="1280"/>
      <c r="IJN23" s="1280"/>
      <c r="IJO23" s="1280"/>
      <c r="IJP23" s="1280"/>
      <c r="IJQ23" s="1280"/>
      <c r="IJR23" s="1280"/>
      <c r="IJS23" s="1280"/>
      <c r="IJT23" s="1280"/>
      <c r="IJU23" s="1280"/>
      <c r="IJV23" s="1280"/>
      <c r="IJW23" s="1280"/>
      <c r="IJX23" s="1280"/>
      <c r="IJY23" s="1280"/>
      <c r="IJZ23" s="1280"/>
      <c r="IKA23" s="1280"/>
      <c r="IKB23" s="1280"/>
      <c r="IKC23" s="1280"/>
      <c r="IKD23" s="1280"/>
      <c r="IKE23" s="1280"/>
      <c r="IKF23" s="1280"/>
      <c r="IKG23" s="1280"/>
      <c r="IKH23" s="1280"/>
      <c r="IKI23" s="1280"/>
      <c r="IKJ23" s="1280"/>
      <c r="IKK23" s="1280"/>
      <c r="IKL23" s="1280"/>
      <c r="IKM23" s="1280"/>
      <c r="IKN23" s="1280"/>
      <c r="IKO23" s="1280"/>
      <c r="IKP23" s="1280"/>
      <c r="IKQ23" s="1280"/>
      <c r="IKR23" s="1280"/>
      <c r="IKS23" s="1280"/>
      <c r="IKT23" s="1280"/>
      <c r="IKU23" s="1280"/>
      <c r="IKV23" s="1280"/>
      <c r="IKW23" s="1280"/>
      <c r="IKX23" s="1280"/>
      <c r="IKY23" s="1280"/>
      <c r="IKZ23" s="1280"/>
      <c r="ILA23" s="1280"/>
      <c r="ILB23" s="1280"/>
      <c r="ILC23" s="1280"/>
      <c r="ILD23" s="1280"/>
      <c r="ILE23" s="1280"/>
      <c r="ILF23" s="1280"/>
      <c r="ILG23" s="1280"/>
      <c r="ILH23" s="1280"/>
      <c r="ILI23" s="1280"/>
      <c r="ILJ23" s="1280"/>
      <c r="ILK23" s="1280"/>
      <c r="ILL23" s="1280"/>
      <c r="ILM23" s="1280"/>
      <c r="ILN23" s="1280"/>
      <c r="ILO23" s="1280"/>
      <c r="ILP23" s="1280"/>
      <c r="ILQ23" s="1280"/>
      <c r="ILR23" s="1280"/>
      <c r="ILS23" s="1280"/>
      <c r="ILT23" s="1280"/>
      <c r="ILU23" s="1280"/>
      <c r="ILV23" s="1280"/>
      <c r="ILW23" s="1280"/>
      <c r="ILX23" s="1280"/>
      <c r="ILY23" s="1280"/>
      <c r="ILZ23" s="1280"/>
      <c r="IMA23" s="1280"/>
      <c r="IMB23" s="1280"/>
      <c r="IMC23" s="1280"/>
      <c r="IMD23" s="1280"/>
      <c r="IME23" s="1280"/>
      <c r="IMF23" s="1280"/>
      <c r="IMG23" s="1280"/>
      <c r="IMH23" s="1280"/>
      <c r="IMI23" s="1280"/>
      <c r="IMJ23" s="1280"/>
      <c r="IMK23" s="1280"/>
      <c r="IML23" s="1280"/>
      <c r="IMM23" s="1280"/>
      <c r="IMN23" s="1280"/>
      <c r="IMO23" s="1280"/>
      <c r="IMP23" s="1280"/>
      <c r="IMQ23" s="1280"/>
      <c r="IMR23" s="1280"/>
      <c r="IMS23" s="1280"/>
      <c r="IMT23" s="1280"/>
      <c r="IMU23" s="1280"/>
      <c r="IMV23" s="1280"/>
      <c r="IMW23" s="1280"/>
      <c r="IMX23" s="1280"/>
      <c r="IMY23" s="1280"/>
      <c r="IMZ23" s="1280"/>
      <c r="INA23" s="1280"/>
      <c r="INB23" s="1280"/>
      <c r="INC23" s="1280"/>
      <c r="IND23" s="1280"/>
      <c r="INE23" s="1280"/>
      <c r="INF23" s="1280"/>
      <c r="ING23" s="1280"/>
      <c r="INH23" s="1280"/>
      <c r="INI23" s="1280"/>
      <c r="INJ23" s="1280"/>
      <c r="INK23" s="1280"/>
      <c r="INL23" s="1280"/>
      <c r="INM23" s="1280"/>
      <c r="INN23" s="1280"/>
      <c r="INO23" s="1280"/>
      <c r="INP23" s="1280"/>
      <c r="INQ23" s="1280"/>
      <c r="INR23" s="1280"/>
      <c r="INS23" s="1280"/>
      <c r="INT23" s="1280"/>
      <c r="INU23" s="1280"/>
      <c r="INV23" s="1280"/>
      <c r="INW23" s="1280"/>
      <c r="INX23" s="1280"/>
      <c r="INY23" s="1280"/>
      <c r="INZ23" s="1280"/>
      <c r="IOA23" s="1280"/>
      <c r="IOB23" s="1280"/>
      <c r="IOC23" s="1280"/>
      <c r="IOD23" s="1280"/>
      <c r="IOE23" s="1280"/>
      <c r="IOF23" s="1280"/>
      <c r="IOG23" s="1280"/>
      <c r="IOH23" s="1280"/>
      <c r="IOI23" s="1280"/>
      <c r="IOJ23" s="1280"/>
      <c r="IOK23" s="1280"/>
      <c r="IOL23" s="1280"/>
      <c r="IOM23" s="1280"/>
      <c r="ION23" s="1280"/>
      <c r="IOO23" s="1280"/>
      <c r="IOP23" s="1280"/>
      <c r="IOQ23" s="1280"/>
      <c r="IOR23" s="1280"/>
      <c r="IOS23" s="1280"/>
      <c r="IOT23" s="1280"/>
      <c r="IOU23" s="1280"/>
      <c r="IOV23" s="1280"/>
      <c r="IOW23" s="1280"/>
      <c r="IOX23" s="1280"/>
      <c r="IOY23" s="1280"/>
      <c r="IOZ23" s="1280"/>
      <c r="IPA23" s="1280"/>
      <c r="IPB23" s="1280"/>
      <c r="IPC23" s="1280"/>
      <c r="IPD23" s="1280"/>
      <c r="IPE23" s="1280"/>
      <c r="IPF23" s="1280"/>
      <c r="IPG23" s="1280"/>
      <c r="IPH23" s="1280"/>
      <c r="IPI23" s="1280"/>
      <c r="IPJ23" s="1280"/>
      <c r="IPK23" s="1280"/>
      <c r="IPL23" s="1280"/>
      <c r="IPM23" s="1280"/>
      <c r="IPN23" s="1280"/>
      <c r="IPO23" s="1280"/>
      <c r="IPP23" s="1280"/>
      <c r="IPQ23" s="1280"/>
      <c r="IPR23" s="1280"/>
      <c r="IPS23" s="1280"/>
      <c r="IPT23" s="1280"/>
      <c r="IPU23" s="1280"/>
      <c r="IPV23" s="1280"/>
      <c r="IPW23" s="1280"/>
      <c r="IPX23" s="1280"/>
      <c r="IPY23" s="1280"/>
      <c r="IPZ23" s="1280"/>
      <c r="IQA23" s="1280"/>
      <c r="IQB23" s="1280"/>
      <c r="IQC23" s="1280"/>
      <c r="IQD23" s="1280"/>
      <c r="IQE23" s="1280"/>
      <c r="IQF23" s="1280"/>
      <c r="IQG23" s="1280"/>
      <c r="IQH23" s="1280"/>
      <c r="IQI23" s="1280"/>
      <c r="IQJ23" s="1280"/>
      <c r="IQK23" s="1280"/>
      <c r="IQL23" s="1280"/>
      <c r="IQM23" s="1280"/>
      <c r="IQN23" s="1280"/>
      <c r="IQO23" s="1280"/>
      <c r="IQP23" s="1280"/>
      <c r="IQQ23" s="1280"/>
      <c r="IQR23" s="1280"/>
      <c r="IQS23" s="1280"/>
      <c r="IQT23" s="1280"/>
      <c r="IQU23" s="1280"/>
      <c r="IQV23" s="1280"/>
      <c r="IQW23" s="1280"/>
      <c r="IQX23" s="1280"/>
      <c r="IQY23" s="1280"/>
      <c r="IQZ23" s="1280"/>
      <c r="IRA23" s="1280"/>
      <c r="IRB23" s="1280"/>
      <c r="IRC23" s="1280"/>
      <c r="IRD23" s="1280"/>
      <c r="IRE23" s="1280"/>
      <c r="IRF23" s="1280"/>
      <c r="IRG23" s="1280"/>
      <c r="IRH23" s="1280"/>
      <c r="IRI23" s="1280"/>
      <c r="IRJ23" s="1280"/>
      <c r="IRK23" s="1280"/>
      <c r="IRL23" s="1280"/>
      <c r="IRM23" s="1280"/>
      <c r="IRN23" s="1280"/>
      <c r="IRO23" s="1280"/>
      <c r="IRP23" s="1280"/>
      <c r="IRQ23" s="1280"/>
      <c r="IRR23" s="1280"/>
      <c r="IRS23" s="1280"/>
      <c r="IRT23" s="1280"/>
      <c r="IRU23" s="1280"/>
      <c r="IRV23" s="1280"/>
      <c r="IRW23" s="1280"/>
      <c r="IRX23" s="1280"/>
      <c r="IRY23" s="1280"/>
      <c r="IRZ23" s="1280"/>
      <c r="ISA23" s="1280"/>
      <c r="ISB23" s="1280"/>
      <c r="ISC23" s="1280"/>
      <c r="ISD23" s="1280"/>
      <c r="ISE23" s="1280"/>
      <c r="ISF23" s="1280"/>
      <c r="ISG23" s="1280"/>
      <c r="ISH23" s="1280"/>
      <c r="ISI23" s="1280"/>
      <c r="ISJ23" s="1280"/>
      <c r="ISK23" s="1280"/>
      <c r="ISL23" s="1280"/>
      <c r="ISM23" s="1280"/>
      <c r="ISN23" s="1280"/>
      <c r="ISO23" s="1280"/>
      <c r="ISP23" s="1280"/>
      <c r="ISQ23" s="1280"/>
      <c r="ISR23" s="1280"/>
      <c r="ISS23" s="1280"/>
      <c r="IST23" s="1280"/>
      <c r="ISU23" s="1280"/>
      <c r="ISV23" s="1280"/>
      <c r="ISW23" s="1280"/>
      <c r="ISX23" s="1280"/>
      <c r="ISY23" s="1280"/>
      <c r="ISZ23" s="1280"/>
      <c r="ITA23" s="1280"/>
      <c r="ITB23" s="1280"/>
      <c r="ITC23" s="1280"/>
      <c r="ITD23" s="1280"/>
      <c r="ITE23" s="1280"/>
      <c r="ITF23" s="1280"/>
      <c r="ITG23" s="1280"/>
      <c r="ITH23" s="1280"/>
      <c r="ITI23" s="1280"/>
      <c r="ITJ23" s="1280"/>
      <c r="ITK23" s="1280"/>
      <c r="ITL23" s="1280"/>
      <c r="ITM23" s="1280"/>
      <c r="ITN23" s="1280"/>
      <c r="ITO23" s="1280"/>
      <c r="ITP23" s="1280"/>
      <c r="ITQ23" s="1280"/>
      <c r="ITR23" s="1280"/>
      <c r="ITS23" s="1280"/>
      <c r="ITT23" s="1280"/>
      <c r="ITU23" s="1280"/>
      <c r="ITV23" s="1280"/>
      <c r="ITW23" s="1280"/>
      <c r="ITX23" s="1280"/>
      <c r="ITY23" s="1280"/>
      <c r="ITZ23" s="1280"/>
      <c r="IUA23" s="1280"/>
      <c r="IUB23" s="1280"/>
      <c r="IUC23" s="1280"/>
      <c r="IUD23" s="1280"/>
      <c r="IUE23" s="1280"/>
      <c r="IUF23" s="1280"/>
      <c r="IUG23" s="1280"/>
      <c r="IUH23" s="1280"/>
      <c r="IUI23" s="1280"/>
      <c r="IUJ23" s="1280"/>
      <c r="IUK23" s="1280"/>
      <c r="IUL23" s="1280"/>
      <c r="IUM23" s="1280"/>
      <c r="IUN23" s="1280"/>
      <c r="IUO23" s="1280"/>
      <c r="IUP23" s="1280"/>
      <c r="IUQ23" s="1280"/>
      <c r="IUR23" s="1280"/>
      <c r="IUS23" s="1280"/>
      <c r="IUT23" s="1280"/>
      <c r="IUU23" s="1280"/>
      <c r="IUV23" s="1280"/>
      <c r="IUW23" s="1280"/>
      <c r="IUX23" s="1280"/>
      <c r="IUY23" s="1280"/>
      <c r="IUZ23" s="1280"/>
      <c r="IVA23" s="1280"/>
      <c r="IVB23" s="1280"/>
      <c r="IVC23" s="1280"/>
      <c r="IVD23" s="1280"/>
      <c r="IVE23" s="1280"/>
      <c r="IVF23" s="1280"/>
      <c r="IVG23" s="1280"/>
      <c r="IVH23" s="1280"/>
      <c r="IVI23" s="1280"/>
      <c r="IVJ23" s="1280"/>
      <c r="IVK23" s="1280"/>
      <c r="IVL23" s="1280"/>
      <c r="IVM23" s="1280"/>
      <c r="IVN23" s="1280"/>
      <c r="IVO23" s="1280"/>
      <c r="IVP23" s="1280"/>
      <c r="IVQ23" s="1280"/>
      <c r="IVR23" s="1280"/>
      <c r="IVS23" s="1280"/>
      <c r="IVT23" s="1280"/>
      <c r="IVU23" s="1280"/>
      <c r="IVV23" s="1280"/>
      <c r="IVW23" s="1280"/>
      <c r="IVX23" s="1280"/>
      <c r="IVY23" s="1280"/>
      <c r="IVZ23" s="1280"/>
      <c r="IWA23" s="1280"/>
      <c r="IWB23" s="1280"/>
      <c r="IWC23" s="1280"/>
      <c r="IWD23" s="1280"/>
      <c r="IWE23" s="1280"/>
      <c r="IWF23" s="1280"/>
      <c r="IWG23" s="1280"/>
      <c r="IWH23" s="1280"/>
      <c r="IWI23" s="1280"/>
      <c r="IWJ23" s="1280"/>
      <c r="IWK23" s="1280"/>
      <c r="IWL23" s="1280"/>
      <c r="IWM23" s="1280"/>
      <c r="IWN23" s="1280"/>
      <c r="IWO23" s="1280"/>
      <c r="IWP23" s="1280"/>
      <c r="IWQ23" s="1280"/>
      <c r="IWR23" s="1280"/>
      <c r="IWS23" s="1280"/>
      <c r="IWT23" s="1280"/>
      <c r="IWU23" s="1280"/>
      <c r="IWV23" s="1280"/>
      <c r="IWW23" s="1280"/>
      <c r="IWX23" s="1280"/>
      <c r="IWY23" s="1280"/>
      <c r="IWZ23" s="1280"/>
      <c r="IXA23" s="1280"/>
      <c r="IXB23" s="1280"/>
      <c r="IXC23" s="1280"/>
      <c r="IXD23" s="1280"/>
      <c r="IXE23" s="1280"/>
      <c r="IXF23" s="1280"/>
      <c r="IXG23" s="1280"/>
      <c r="IXH23" s="1280"/>
      <c r="IXI23" s="1280"/>
      <c r="IXJ23" s="1280"/>
      <c r="IXK23" s="1280"/>
      <c r="IXL23" s="1280"/>
      <c r="IXM23" s="1280"/>
      <c r="IXN23" s="1280"/>
      <c r="IXO23" s="1280"/>
      <c r="IXP23" s="1280"/>
      <c r="IXQ23" s="1280"/>
      <c r="IXR23" s="1280"/>
      <c r="IXS23" s="1280"/>
      <c r="IXT23" s="1280"/>
      <c r="IXU23" s="1280"/>
      <c r="IXV23" s="1280"/>
      <c r="IXW23" s="1280"/>
      <c r="IXX23" s="1280"/>
      <c r="IXY23" s="1280"/>
      <c r="IXZ23" s="1280"/>
      <c r="IYA23" s="1280"/>
      <c r="IYB23" s="1280"/>
      <c r="IYC23" s="1280"/>
      <c r="IYD23" s="1280"/>
      <c r="IYE23" s="1280"/>
      <c r="IYF23" s="1280"/>
      <c r="IYG23" s="1280"/>
      <c r="IYH23" s="1280"/>
      <c r="IYI23" s="1280"/>
      <c r="IYJ23" s="1280"/>
      <c r="IYK23" s="1280"/>
      <c r="IYL23" s="1280"/>
      <c r="IYM23" s="1280"/>
      <c r="IYN23" s="1280"/>
      <c r="IYO23" s="1280"/>
      <c r="IYP23" s="1280"/>
      <c r="IYQ23" s="1280"/>
      <c r="IYR23" s="1280"/>
      <c r="IYS23" s="1280"/>
      <c r="IYT23" s="1280"/>
      <c r="IYU23" s="1280"/>
      <c r="IYV23" s="1280"/>
      <c r="IYW23" s="1280"/>
      <c r="IYX23" s="1280"/>
      <c r="IYY23" s="1280"/>
      <c r="IYZ23" s="1280"/>
      <c r="IZA23" s="1280"/>
      <c r="IZB23" s="1280"/>
      <c r="IZC23" s="1280"/>
      <c r="IZD23" s="1280"/>
      <c r="IZE23" s="1280"/>
      <c r="IZF23" s="1280"/>
      <c r="IZG23" s="1280"/>
      <c r="IZH23" s="1280"/>
      <c r="IZI23" s="1280"/>
      <c r="IZJ23" s="1280"/>
      <c r="IZK23" s="1280"/>
      <c r="IZL23" s="1280"/>
      <c r="IZM23" s="1280"/>
      <c r="IZN23" s="1280"/>
      <c r="IZO23" s="1280"/>
      <c r="IZP23" s="1280"/>
      <c r="IZQ23" s="1280"/>
      <c r="IZR23" s="1280"/>
      <c r="IZS23" s="1280"/>
      <c r="IZT23" s="1280"/>
      <c r="IZU23" s="1280"/>
      <c r="IZV23" s="1280"/>
      <c r="IZW23" s="1280"/>
      <c r="IZX23" s="1280"/>
      <c r="IZY23" s="1280"/>
      <c r="IZZ23" s="1280"/>
      <c r="JAA23" s="1280"/>
      <c r="JAB23" s="1280"/>
      <c r="JAC23" s="1280"/>
      <c r="JAD23" s="1280"/>
      <c r="JAE23" s="1280"/>
      <c r="JAF23" s="1280"/>
      <c r="JAG23" s="1280"/>
      <c r="JAH23" s="1280"/>
      <c r="JAI23" s="1280"/>
      <c r="JAJ23" s="1280"/>
      <c r="JAK23" s="1280"/>
      <c r="JAL23" s="1280"/>
      <c r="JAM23" s="1280"/>
      <c r="JAN23" s="1280"/>
      <c r="JAO23" s="1280"/>
      <c r="JAP23" s="1280"/>
      <c r="JAQ23" s="1280"/>
      <c r="JAR23" s="1280"/>
      <c r="JAS23" s="1280"/>
      <c r="JAT23" s="1280"/>
      <c r="JAU23" s="1280"/>
      <c r="JAV23" s="1280"/>
      <c r="JAW23" s="1280"/>
      <c r="JAX23" s="1280"/>
      <c r="JAY23" s="1280"/>
      <c r="JAZ23" s="1280"/>
      <c r="JBA23" s="1280"/>
      <c r="JBB23" s="1280"/>
      <c r="JBC23" s="1280"/>
      <c r="JBD23" s="1280"/>
      <c r="JBE23" s="1280"/>
      <c r="JBF23" s="1280"/>
      <c r="JBG23" s="1280"/>
      <c r="JBH23" s="1280"/>
      <c r="JBI23" s="1280"/>
      <c r="JBJ23" s="1280"/>
      <c r="JBK23" s="1280"/>
      <c r="JBL23" s="1280"/>
      <c r="JBM23" s="1280"/>
      <c r="JBN23" s="1280"/>
      <c r="JBO23" s="1280"/>
      <c r="JBP23" s="1280"/>
      <c r="JBQ23" s="1280"/>
      <c r="JBR23" s="1280"/>
      <c r="JBS23" s="1280"/>
      <c r="JBT23" s="1280"/>
      <c r="JBU23" s="1280"/>
      <c r="JBV23" s="1280"/>
      <c r="JBW23" s="1280"/>
      <c r="JBX23" s="1280"/>
      <c r="JBY23" s="1280"/>
      <c r="JBZ23" s="1280"/>
      <c r="JCA23" s="1280"/>
      <c r="JCB23" s="1280"/>
      <c r="JCC23" s="1280"/>
      <c r="JCD23" s="1280"/>
      <c r="JCE23" s="1280"/>
      <c r="JCF23" s="1280"/>
      <c r="JCG23" s="1280"/>
      <c r="JCH23" s="1280"/>
      <c r="JCI23" s="1280"/>
      <c r="JCJ23" s="1280"/>
      <c r="JCK23" s="1280"/>
      <c r="JCL23" s="1280"/>
      <c r="JCM23" s="1280"/>
      <c r="JCN23" s="1280"/>
      <c r="JCO23" s="1280"/>
      <c r="JCP23" s="1280"/>
      <c r="JCQ23" s="1280"/>
      <c r="JCR23" s="1280"/>
      <c r="JCS23" s="1280"/>
      <c r="JCT23" s="1280"/>
      <c r="JCU23" s="1280"/>
      <c r="JCV23" s="1280"/>
      <c r="JCW23" s="1280"/>
      <c r="JCX23" s="1280"/>
      <c r="JCY23" s="1280"/>
      <c r="JCZ23" s="1280"/>
      <c r="JDA23" s="1280"/>
      <c r="JDB23" s="1280"/>
      <c r="JDC23" s="1280"/>
      <c r="JDD23" s="1280"/>
      <c r="JDE23" s="1280"/>
      <c r="JDF23" s="1280"/>
      <c r="JDG23" s="1280"/>
      <c r="JDH23" s="1280"/>
      <c r="JDI23" s="1280"/>
      <c r="JDJ23" s="1280"/>
      <c r="JDK23" s="1280"/>
      <c r="JDL23" s="1280"/>
      <c r="JDM23" s="1280"/>
      <c r="JDN23" s="1280"/>
      <c r="JDO23" s="1280"/>
      <c r="JDP23" s="1280"/>
      <c r="JDQ23" s="1280"/>
      <c r="JDR23" s="1280"/>
      <c r="JDS23" s="1280"/>
      <c r="JDT23" s="1280"/>
      <c r="JDU23" s="1280"/>
      <c r="JDV23" s="1280"/>
      <c r="JDW23" s="1280"/>
      <c r="JDX23" s="1280"/>
      <c r="JDY23" s="1280"/>
      <c r="JDZ23" s="1280"/>
      <c r="JEA23" s="1280"/>
      <c r="JEB23" s="1280"/>
      <c r="JEC23" s="1280"/>
      <c r="JED23" s="1280"/>
      <c r="JEE23" s="1280"/>
      <c r="JEF23" s="1280"/>
      <c r="JEG23" s="1280"/>
      <c r="JEH23" s="1280"/>
      <c r="JEI23" s="1280"/>
      <c r="JEJ23" s="1280"/>
      <c r="JEK23" s="1280"/>
      <c r="JEL23" s="1280"/>
      <c r="JEM23" s="1280"/>
      <c r="JEN23" s="1280"/>
      <c r="JEO23" s="1280"/>
      <c r="JEP23" s="1280"/>
      <c r="JEQ23" s="1280"/>
      <c r="JER23" s="1280"/>
      <c r="JES23" s="1280"/>
      <c r="JET23" s="1280"/>
      <c r="JEU23" s="1280"/>
      <c r="JEV23" s="1280"/>
      <c r="JEW23" s="1280"/>
      <c r="JEX23" s="1280"/>
      <c r="JEY23" s="1280"/>
      <c r="JEZ23" s="1280"/>
      <c r="JFA23" s="1280"/>
      <c r="JFB23" s="1280"/>
      <c r="JFC23" s="1280"/>
      <c r="JFD23" s="1280"/>
      <c r="JFE23" s="1280"/>
      <c r="JFF23" s="1280"/>
      <c r="JFG23" s="1280"/>
      <c r="JFH23" s="1280"/>
      <c r="JFI23" s="1280"/>
      <c r="JFJ23" s="1280"/>
      <c r="JFK23" s="1280"/>
      <c r="JFL23" s="1280"/>
      <c r="JFM23" s="1280"/>
      <c r="JFN23" s="1280"/>
      <c r="JFO23" s="1280"/>
      <c r="JFP23" s="1280"/>
      <c r="JFQ23" s="1280"/>
      <c r="JFR23" s="1280"/>
      <c r="JFS23" s="1280"/>
      <c r="JFT23" s="1280"/>
      <c r="JFU23" s="1280"/>
      <c r="JFV23" s="1280"/>
      <c r="JFW23" s="1280"/>
      <c r="JFX23" s="1280"/>
      <c r="JFY23" s="1280"/>
      <c r="JFZ23" s="1280"/>
      <c r="JGA23" s="1280"/>
      <c r="JGB23" s="1280"/>
      <c r="JGC23" s="1280"/>
      <c r="JGD23" s="1280"/>
      <c r="JGE23" s="1280"/>
      <c r="JGF23" s="1280"/>
      <c r="JGG23" s="1280"/>
      <c r="JGH23" s="1280"/>
      <c r="JGI23" s="1280"/>
      <c r="JGJ23" s="1280"/>
      <c r="JGK23" s="1280"/>
      <c r="JGL23" s="1280"/>
      <c r="JGM23" s="1280"/>
      <c r="JGN23" s="1280"/>
      <c r="JGO23" s="1280"/>
      <c r="JGP23" s="1280"/>
      <c r="JGQ23" s="1280"/>
      <c r="JGR23" s="1280"/>
      <c r="JGS23" s="1280"/>
      <c r="JGT23" s="1280"/>
      <c r="JGU23" s="1280"/>
      <c r="JGV23" s="1280"/>
      <c r="JGW23" s="1280"/>
      <c r="JGX23" s="1280"/>
      <c r="JGY23" s="1280"/>
      <c r="JGZ23" s="1280"/>
      <c r="JHA23" s="1280"/>
      <c r="JHB23" s="1280"/>
      <c r="JHC23" s="1280"/>
      <c r="JHD23" s="1280"/>
      <c r="JHE23" s="1280"/>
      <c r="JHF23" s="1280"/>
      <c r="JHG23" s="1280"/>
      <c r="JHH23" s="1280"/>
      <c r="JHI23" s="1280"/>
      <c r="JHJ23" s="1280"/>
      <c r="JHK23" s="1280"/>
      <c r="JHL23" s="1280"/>
      <c r="JHM23" s="1280"/>
      <c r="JHN23" s="1280"/>
      <c r="JHO23" s="1280"/>
      <c r="JHP23" s="1280"/>
      <c r="JHQ23" s="1280"/>
      <c r="JHR23" s="1280"/>
      <c r="JHS23" s="1280"/>
      <c r="JHT23" s="1280"/>
      <c r="JHU23" s="1280"/>
      <c r="JHV23" s="1280"/>
      <c r="JHW23" s="1280"/>
      <c r="JHX23" s="1280"/>
      <c r="JHY23" s="1280"/>
      <c r="JHZ23" s="1280"/>
      <c r="JIA23" s="1280"/>
      <c r="JIB23" s="1280"/>
      <c r="JIC23" s="1280"/>
      <c r="JID23" s="1280"/>
      <c r="JIE23" s="1280"/>
      <c r="JIF23" s="1280"/>
      <c r="JIG23" s="1280"/>
      <c r="JIH23" s="1280"/>
      <c r="JII23" s="1280"/>
      <c r="JIJ23" s="1280"/>
      <c r="JIK23" s="1280"/>
      <c r="JIL23" s="1280"/>
      <c r="JIM23" s="1280"/>
      <c r="JIN23" s="1280"/>
      <c r="JIO23" s="1280"/>
      <c r="JIP23" s="1280"/>
      <c r="JIQ23" s="1280"/>
      <c r="JIR23" s="1280"/>
      <c r="JIS23" s="1280"/>
      <c r="JIT23" s="1280"/>
      <c r="JIU23" s="1280"/>
      <c r="JIV23" s="1280"/>
      <c r="JIW23" s="1280"/>
      <c r="JIX23" s="1280"/>
      <c r="JIY23" s="1280"/>
      <c r="JIZ23" s="1280"/>
      <c r="JJA23" s="1280"/>
      <c r="JJB23" s="1280"/>
      <c r="JJC23" s="1280"/>
      <c r="JJD23" s="1280"/>
      <c r="JJE23" s="1280"/>
      <c r="JJF23" s="1280"/>
      <c r="JJG23" s="1280"/>
      <c r="JJH23" s="1280"/>
      <c r="JJI23" s="1280"/>
      <c r="JJJ23" s="1280"/>
      <c r="JJK23" s="1280"/>
      <c r="JJL23" s="1280"/>
      <c r="JJM23" s="1280"/>
      <c r="JJN23" s="1280"/>
      <c r="JJO23" s="1280"/>
      <c r="JJP23" s="1280"/>
      <c r="JJQ23" s="1280"/>
      <c r="JJR23" s="1280"/>
      <c r="JJS23" s="1280"/>
      <c r="JJT23" s="1280"/>
      <c r="JJU23" s="1280"/>
      <c r="JJV23" s="1280"/>
      <c r="JJW23" s="1280"/>
      <c r="JJX23" s="1280"/>
      <c r="JJY23" s="1280"/>
      <c r="JJZ23" s="1280"/>
      <c r="JKA23" s="1280"/>
      <c r="JKB23" s="1280"/>
      <c r="JKC23" s="1280"/>
      <c r="JKD23" s="1280"/>
      <c r="JKE23" s="1280"/>
      <c r="JKF23" s="1280"/>
      <c r="JKG23" s="1280"/>
      <c r="JKH23" s="1280"/>
      <c r="JKI23" s="1280"/>
      <c r="JKJ23" s="1280"/>
      <c r="JKK23" s="1280"/>
      <c r="JKL23" s="1280"/>
      <c r="JKM23" s="1280"/>
      <c r="JKN23" s="1280"/>
      <c r="JKO23" s="1280"/>
      <c r="JKP23" s="1280"/>
      <c r="JKQ23" s="1280"/>
      <c r="JKR23" s="1280"/>
      <c r="JKS23" s="1280"/>
      <c r="JKT23" s="1280"/>
      <c r="JKU23" s="1280"/>
      <c r="JKV23" s="1280"/>
      <c r="JKW23" s="1280"/>
      <c r="JKX23" s="1280"/>
      <c r="JKY23" s="1280"/>
      <c r="JKZ23" s="1280"/>
      <c r="JLA23" s="1280"/>
      <c r="JLB23" s="1280"/>
      <c r="JLC23" s="1280"/>
      <c r="JLD23" s="1280"/>
      <c r="JLE23" s="1280"/>
      <c r="JLF23" s="1280"/>
      <c r="JLG23" s="1280"/>
      <c r="JLH23" s="1280"/>
      <c r="JLI23" s="1280"/>
      <c r="JLJ23" s="1280"/>
      <c r="JLK23" s="1280"/>
      <c r="JLL23" s="1280"/>
      <c r="JLM23" s="1280"/>
      <c r="JLN23" s="1280"/>
      <c r="JLO23" s="1280"/>
      <c r="JLP23" s="1280"/>
      <c r="JLQ23" s="1280"/>
      <c r="JLR23" s="1280"/>
      <c r="JLS23" s="1280"/>
      <c r="JLT23" s="1280"/>
      <c r="JLU23" s="1280"/>
      <c r="JLV23" s="1280"/>
      <c r="JLW23" s="1280"/>
      <c r="JLX23" s="1280"/>
      <c r="JLY23" s="1280"/>
      <c r="JLZ23" s="1280"/>
      <c r="JMA23" s="1280"/>
      <c r="JMB23" s="1280"/>
      <c r="JMC23" s="1280"/>
      <c r="JMD23" s="1280"/>
      <c r="JME23" s="1280"/>
      <c r="JMF23" s="1280"/>
      <c r="JMG23" s="1280"/>
      <c r="JMH23" s="1280"/>
      <c r="JMI23" s="1280"/>
      <c r="JMJ23" s="1280"/>
      <c r="JMK23" s="1280"/>
      <c r="JML23" s="1280"/>
      <c r="JMM23" s="1280"/>
      <c r="JMN23" s="1280"/>
      <c r="JMO23" s="1280"/>
      <c r="JMP23" s="1280"/>
      <c r="JMQ23" s="1280"/>
      <c r="JMR23" s="1280"/>
      <c r="JMS23" s="1280"/>
      <c r="JMT23" s="1280"/>
      <c r="JMU23" s="1280"/>
      <c r="JMV23" s="1280"/>
      <c r="JMW23" s="1280"/>
      <c r="JMX23" s="1280"/>
      <c r="JMY23" s="1280"/>
      <c r="JMZ23" s="1280"/>
      <c r="JNA23" s="1280"/>
      <c r="JNB23" s="1280"/>
      <c r="JNC23" s="1280"/>
      <c r="JND23" s="1280"/>
      <c r="JNE23" s="1280"/>
      <c r="JNF23" s="1280"/>
      <c r="JNG23" s="1280"/>
      <c r="JNH23" s="1280"/>
      <c r="JNI23" s="1280"/>
      <c r="JNJ23" s="1280"/>
      <c r="JNK23" s="1280"/>
      <c r="JNL23" s="1280"/>
      <c r="JNM23" s="1280"/>
      <c r="JNN23" s="1280"/>
      <c r="JNO23" s="1280"/>
      <c r="JNP23" s="1280"/>
      <c r="JNQ23" s="1280"/>
      <c r="JNR23" s="1280"/>
      <c r="JNS23" s="1280"/>
      <c r="JNT23" s="1280"/>
      <c r="JNU23" s="1280"/>
      <c r="JNV23" s="1280"/>
      <c r="JNW23" s="1280"/>
      <c r="JNX23" s="1280"/>
      <c r="JNY23" s="1280"/>
      <c r="JNZ23" s="1280"/>
      <c r="JOA23" s="1280"/>
      <c r="JOB23" s="1280"/>
      <c r="JOC23" s="1280"/>
      <c r="JOD23" s="1280"/>
      <c r="JOE23" s="1280"/>
      <c r="JOF23" s="1280"/>
      <c r="JOG23" s="1280"/>
      <c r="JOH23" s="1280"/>
      <c r="JOI23" s="1280"/>
      <c r="JOJ23" s="1280"/>
      <c r="JOK23" s="1280"/>
      <c r="JOL23" s="1280"/>
      <c r="JOM23" s="1280"/>
      <c r="JON23" s="1280"/>
      <c r="JOO23" s="1280"/>
      <c r="JOP23" s="1280"/>
      <c r="JOQ23" s="1280"/>
      <c r="JOR23" s="1280"/>
      <c r="JOS23" s="1280"/>
      <c r="JOT23" s="1280"/>
      <c r="JOU23" s="1280"/>
      <c r="JOV23" s="1280"/>
      <c r="JOW23" s="1280"/>
      <c r="JOX23" s="1280"/>
      <c r="JOY23" s="1280"/>
      <c r="JOZ23" s="1280"/>
      <c r="JPA23" s="1280"/>
      <c r="JPB23" s="1280"/>
      <c r="JPC23" s="1280"/>
      <c r="JPD23" s="1280"/>
      <c r="JPE23" s="1280"/>
      <c r="JPF23" s="1280"/>
      <c r="JPG23" s="1280"/>
      <c r="JPH23" s="1280"/>
      <c r="JPI23" s="1280"/>
      <c r="JPJ23" s="1280"/>
      <c r="JPK23" s="1280"/>
      <c r="JPL23" s="1280"/>
      <c r="JPM23" s="1280"/>
      <c r="JPN23" s="1280"/>
      <c r="JPO23" s="1280"/>
      <c r="JPP23" s="1280"/>
      <c r="JPQ23" s="1280"/>
      <c r="JPR23" s="1280"/>
      <c r="JPS23" s="1280"/>
      <c r="JPT23" s="1280"/>
      <c r="JPU23" s="1280"/>
      <c r="JPV23" s="1280"/>
      <c r="JPW23" s="1280"/>
      <c r="JPX23" s="1280"/>
      <c r="JPY23" s="1280"/>
      <c r="JPZ23" s="1280"/>
      <c r="JQA23" s="1280"/>
      <c r="JQB23" s="1280"/>
      <c r="JQC23" s="1280"/>
      <c r="JQD23" s="1280"/>
      <c r="JQE23" s="1280"/>
      <c r="JQF23" s="1280"/>
      <c r="JQG23" s="1280"/>
      <c r="JQH23" s="1280"/>
      <c r="JQI23" s="1280"/>
      <c r="JQJ23" s="1280"/>
      <c r="JQK23" s="1280"/>
      <c r="JQL23" s="1280"/>
      <c r="JQM23" s="1280"/>
      <c r="JQN23" s="1280"/>
      <c r="JQO23" s="1280"/>
      <c r="JQP23" s="1280"/>
      <c r="JQQ23" s="1280"/>
      <c r="JQR23" s="1280"/>
      <c r="JQS23" s="1280"/>
      <c r="JQT23" s="1280"/>
      <c r="JQU23" s="1280"/>
      <c r="JQV23" s="1280"/>
      <c r="JQW23" s="1280"/>
      <c r="JQX23" s="1280"/>
      <c r="JQY23" s="1280"/>
      <c r="JQZ23" s="1280"/>
      <c r="JRA23" s="1280"/>
      <c r="JRB23" s="1280"/>
      <c r="JRC23" s="1280"/>
      <c r="JRD23" s="1280"/>
      <c r="JRE23" s="1280"/>
      <c r="JRF23" s="1280"/>
      <c r="JRG23" s="1280"/>
      <c r="JRH23" s="1280"/>
      <c r="JRI23" s="1280"/>
      <c r="JRJ23" s="1280"/>
      <c r="JRK23" s="1280"/>
      <c r="JRL23" s="1280"/>
      <c r="JRM23" s="1280"/>
      <c r="JRN23" s="1280"/>
      <c r="JRO23" s="1280"/>
      <c r="JRP23" s="1280"/>
      <c r="JRQ23" s="1280"/>
      <c r="JRR23" s="1280"/>
      <c r="JRS23" s="1280"/>
      <c r="JRT23" s="1280"/>
      <c r="JRU23" s="1280"/>
      <c r="JRV23" s="1280"/>
      <c r="JRW23" s="1280"/>
      <c r="JRX23" s="1280"/>
      <c r="JRY23" s="1280"/>
      <c r="JRZ23" s="1280"/>
      <c r="JSA23" s="1280"/>
      <c r="JSB23" s="1280"/>
      <c r="JSC23" s="1280"/>
      <c r="JSD23" s="1280"/>
      <c r="JSE23" s="1280"/>
      <c r="JSF23" s="1280"/>
      <c r="JSG23" s="1280"/>
      <c r="JSH23" s="1280"/>
      <c r="JSI23" s="1280"/>
      <c r="JSJ23" s="1280"/>
      <c r="JSK23" s="1280"/>
      <c r="JSL23" s="1280"/>
      <c r="JSM23" s="1280"/>
      <c r="JSN23" s="1280"/>
      <c r="JSO23" s="1280"/>
      <c r="JSP23" s="1280"/>
      <c r="JSQ23" s="1280"/>
      <c r="JSR23" s="1280"/>
      <c r="JSS23" s="1280"/>
      <c r="JST23" s="1280"/>
      <c r="JSU23" s="1280"/>
      <c r="JSV23" s="1280"/>
      <c r="JSW23" s="1280"/>
      <c r="JSX23" s="1280"/>
      <c r="JSY23" s="1280"/>
      <c r="JSZ23" s="1280"/>
      <c r="JTA23" s="1280"/>
      <c r="JTB23" s="1280"/>
      <c r="JTC23" s="1280"/>
      <c r="JTD23" s="1280"/>
      <c r="JTE23" s="1280"/>
      <c r="JTF23" s="1280"/>
      <c r="JTG23" s="1280"/>
      <c r="JTH23" s="1280"/>
      <c r="JTI23" s="1280"/>
      <c r="JTJ23" s="1280"/>
      <c r="JTK23" s="1280"/>
      <c r="JTL23" s="1280"/>
      <c r="JTM23" s="1280"/>
      <c r="JTN23" s="1280"/>
      <c r="JTO23" s="1280"/>
      <c r="JTP23" s="1280"/>
      <c r="JTQ23" s="1280"/>
      <c r="JTR23" s="1280"/>
      <c r="JTS23" s="1280"/>
      <c r="JTT23" s="1280"/>
      <c r="JTU23" s="1280"/>
      <c r="JTV23" s="1280"/>
      <c r="JTW23" s="1280"/>
      <c r="JTX23" s="1280"/>
      <c r="JTY23" s="1280"/>
      <c r="JTZ23" s="1280"/>
      <c r="JUA23" s="1280"/>
      <c r="JUB23" s="1280"/>
      <c r="JUC23" s="1280"/>
      <c r="JUD23" s="1280"/>
      <c r="JUE23" s="1280"/>
      <c r="JUF23" s="1280"/>
      <c r="JUG23" s="1280"/>
      <c r="JUH23" s="1280"/>
      <c r="JUI23" s="1280"/>
      <c r="JUJ23" s="1280"/>
      <c r="JUK23" s="1280"/>
      <c r="JUL23" s="1280"/>
      <c r="JUM23" s="1280"/>
      <c r="JUN23" s="1280"/>
      <c r="JUO23" s="1280"/>
      <c r="JUP23" s="1280"/>
      <c r="JUQ23" s="1280"/>
      <c r="JUR23" s="1280"/>
      <c r="JUS23" s="1280"/>
      <c r="JUT23" s="1280"/>
      <c r="JUU23" s="1280"/>
      <c r="JUV23" s="1280"/>
      <c r="JUW23" s="1280"/>
      <c r="JUX23" s="1280"/>
      <c r="JUY23" s="1280"/>
      <c r="JUZ23" s="1280"/>
      <c r="JVA23" s="1280"/>
      <c r="JVB23" s="1280"/>
      <c r="JVC23" s="1280"/>
      <c r="JVD23" s="1280"/>
      <c r="JVE23" s="1280"/>
      <c r="JVF23" s="1280"/>
      <c r="JVG23" s="1280"/>
      <c r="JVH23" s="1280"/>
      <c r="JVI23" s="1280"/>
      <c r="JVJ23" s="1280"/>
      <c r="JVK23" s="1280"/>
      <c r="JVL23" s="1280"/>
      <c r="JVM23" s="1280"/>
      <c r="JVN23" s="1280"/>
      <c r="JVO23" s="1280"/>
      <c r="JVP23" s="1280"/>
      <c r="JVQ23" s="1280"/>
      <c r="JVR23" s="1280"/>
      <c r="JVS23" s="1280"/>
      <c r="JVT23" s="1280"/>
      <c r="JVU23" s="1280"/>
      <c r="JVV23" s="1280"/>
      <c r="JVW23" s="1280"/>
      <c r="JVX23" s="1280"/>
      <c r="JVY23" s="1280"/>
      <c r="JVZ23" s="1280"/>
      <c r="JWA23" s="1280"/>
      <c r="JWB23" s="1280"/>
      <c r="JWC23" s="1280"/>
      <c r="JWD23" s="1280"/>
      <c r="JWE23" s="1280"/>
      <c r="JWF23" s="1280"/>
      <c r="JWG23" s="1280"/>
      <c r="JWH23" s="1280"/>
      <c r="JWI23" s="1280"/>
      <c r="JWJ23" s="1280"/>
      <c r="JWK23" s="1280"/>
      <c r="JWL23" s="1280"/>
      <c r="JWM23" s="1280"/>
      <c r="JWN23" s="1280"/>
      <c r="JWO23" s="1280"/>
      <c r="JWP23" s="1280"/>
      <c r="JWQ23" s="1280"/>
      <c r="JWR23" s="1280"/>
      <c r="JWS23" s="1280"/>
      <c r="JWT23" s="1280"/>
      <c r="JWU23" s="1280"/>
      <c r="JWV23" s="1280"/>
      <c r="JWW23" s="1280"/>
      <c r="JWX23" s="1280"/>
      <c r="JWY23" s="1280"/>
      <c r="JWZ23" s="1280"/>
      <c r="JXA23" s="1280"/>
      <c r="JXB23" s="1280"/>
      <c r="JXC23" s="1280"/>
      <c r="JXD23" s="1280"/>
      <c r="JXE23" s="1280"/>
      <c r="JXF23" s="1280"/>
      <c r="JXG23" s="1280"/>
      <c r="JXH23" s="1280"/>
      <c r="JXI23" s="1280"/>
      <c r="JXJ23" s="1280"/>
      <c r="JXK23" s="1280"/>
      <c r="JXL23" s="1280"/>
      <c r="JXM23" s="1280"/>
      <c r="JXN23" s="1280"/>
      <c r="JXO23" s="1280"/>
      <c r="JXP23" s="1280"/>
      <c r="JXQ23" s="1280"/>
      <c r="JXR23" s="1280"/>
      <c r="JXS23" s="1280"/>
      <c r="JXT23" s="1280"/>
      <c r="JXU23" s="1280"/>
      <c r="JXV23" s="1280"/>
      <c r="JXW23" s="1280"/>
      <c r="JXX23" s="1280"/>
      <c r="JXY23" s="1280"/>
      <c r="JXZ23" s="1280"/>
      <c r="JYA23" s="1280"/>
      <c r="JYB23" s="1280"/>
      <c r="JYC23" s="1280"/>
      <c r="JYD23" s="1280"/>
      <c r="JYE23" s="1280"/>
      <c r="JYF23" s="1280"/>
      <c r="JYG23" s="1280"/>
      <c r="JYH23" s="1280"/>
      <c r="JYI23" s="1280"/>
      <c r="JYJ23" s="1280"/>
      <c r="JYK23" s="1280"/>
      <c r="JYL23" s="1280"/>
      <c r="JYM23" s="1280"/>
      <c r="JYN23" s="1280"/>
      <c r="JYO23" s="1280"/>
      <c r="JYP23" s="1280"/>
      <c r="JYQ23" s="1280"/>
      <c r="JYR23" s="1280"/>
      <c r="JYS23" s="1280"/>
      <c r="JYT23" s="1280"/>
      <c r="JYU23" s="1280"/>
      <c r="JYV23" s="1280"/>
      <c r="JYW23" s="1280"/>
      <c r="JYX23" s="1280"/>
      <c r="JYY23" s="1280"/>
      <c r="JYZ23" s="1280"/>
      <c r="JZA23" s="1280"/>
      <c r="JZB23" s="1280"/>
      <c r="JZC23" s="1280"/>
      <c r="JZD23" s="1280"/>
      <c r="JZE23" s="1280"/>
      <c r="JZF23" s="1280"/>
      <c r="JZG23" s="1280"/>
      <c r="JZH23" s="1280"/>
      <c r="JZI23" s="1280"/>
      <c r="JZJ23" s="1280"/>
      <c r="JZK23" s="1280"/>
      <c r="JZL23" s="1280"/>
      <c r="JZM23" s="1280"/>
      <c r="JZN23" s="1280"/>
      <c r="JZO23" s="1280"/>
      <c r="JZP23" s="1280"/>
      <c r="JZQ23" s="1280"/>
      <c r="JZR23" s="1280"/>
      <c r="JZS23" s="1280"/>
      <c r="JZT23" s="1280"/>
      <c r="JZU23" s="1280"/>
      <c r="JZV23" s="1280"/>
      <c r="JZW23" s="1280"/>
      <c r="JZX23" s="1280"/>
      <c r="JZY23" s="1280"/>
      <c r="JZZ23" s="1280"/>
      <c r="KAA23" s="1280"/>
      <c r="KAB23" s="1280"/>
      <c r="KAC23" s="1280"/>
      <c r="KAD23" s="1280"/>
      <c r="KAE23" s="1280"/>
      <c r="KAF23" s="1280"/>
      <c r="KAG23" s="1280"/>
      <c r="KAH23" s="1280"/>
      <c r="KAI23" s="1280"/>
      <c r="KAJ23" s="1280"/>
      <c r="KAK23" s="1280"/>
      <c r="KAL23" s="1280"/>
      <c r="KAM23" s="1280"/>
      <c r="KAN23" s="1280"/>
      <c r="KAO23" s="1280"/>
      <c r="KAP23" s="1280"/>
      <c r="KAQ23" s="1280"/>
      <c r="KAR23" s="1280"/>
      <c r="KAS23" s="1280"/>
      <c r="KAT23" s="1280"/>
      <c r="KAU23" s="1280"/>
      <c r="KAV23" s="1280"/>
      <c r="KAW23" s="1280"/>
      <c r="KAX23" s="1280"/>
      <c r="KAY23" s="1280"/>
      <c r="KAZ23" s="1280"/>
      <c r="KBA23" s="1280"/>
      <c r="KBB23" s="1280"/>
      <c r="KBC23" s="1280"/>
      <c r="KBD23" s="1280"/>
      <c r="KBE23" s="1280"/>
      <c r="KBF23" s="1280"/>
      <c r="KBG23" s="1280"/>
      <c r="KBH23" s="1280"/>
      <c r="KBI23" s="1280"/>
      <c r="KBJ23" s="1280"/>
      <c r="KBK23" s="1280"/>
      <c r="KBL23" s="1280"/>
      <c r="KBM23" s="1280"/>
      <c r="KBN23" s="1280"/>
      <c r="KBO23" s="1280"/>
      <c r="KBP23" s="1280"/>
      <c r="KBQ23" s="1280"/>
      <c r="KBR23" s="1280"/>
      <c r="KBS23" s="1280"/>
      <c r="KBT23" s="1280"/>
      <c r="KBU23" s="1280"/>
      <c r="KBV23" s="1280"/>
      <c r="KBW23" s="1280"/>
      <c r="KBX23" s="1280"/>
      <c r="KBY23" s="1280"/>
      <c r="KBZ23" s="1280"/>
      <c r="KCA23" s="1280"/>
      <c r="KCB23" s="1280"/>
      <c r="KCC23" s="1280"/>
      <c r="KCD23" s="1280"/>
      <c r="KCE23" s="1280"/>
      <c r="KCF23" s="1280"/>
      <c r="KCG23" s="1280"/>
      <c r="KCH23" s="1280"/>
      <c r="KCI23" s="1280"/>
      <c r="KCJ23" s="1280"/>
      <c r="KCK23" s="1280"/>
      <c r="KCL23" s="1280"/>
      <c r="KCM23" s="1280"/>
      <c r="KCN23" s="1280"/>
      <c r="KCO23" s="1280"/>
      <c r="KCP23" s="1280"/>
      <c r="KCQ23" s="1280"/>
      <c r="KCR23" s="1280"/>
      <c r="KCS23" s="1280"/>
      <c r="KCT23" s="1280"/>
      <c r="KCU23" s="1280"/>
      <c r="KCV23" s="1280"/>
      <c r="KCW23" s="1280"/>
      <c r="KCX23" s="1280"/>
      <c r="KCY23" s="1280"/>
      <c r="KCZ23" s="1280"/>
      <c r="KDA23" s="1280"/>
      <c r="KDB23" s="1280"/>
      <c r="KDC23" s="1280"/>
      <c r="KDD23" s="1280"/>
      <c r="KDE23" s="1280"/>
      <c r="KDF23" s="1280"/>
      <c r="KDG23" s="1280"/>
      <c r="KDH23" s="1280"/>
      <c r="KDI23" s="1280"/>
      <c r="KDJ23" s="1280"/>
      <c r="KDK23" s="1280"/>
      <c r="KDL23" s="1280"/>
      <c r="KDM23" s="1280"/>
      <c r="KDN23" s="1280"/>
      <c r="KDO23" s="1280"/>
      <c r="KDP23" s="1280"/>
      <c r="KDQ23" s="1280"/>
      <c r="KDR23" s="1280"/>
      <c r="KDS23" s="1280"/>
      <c r="KDT23" s="1280"/>
      <c r="KDU23" s="1280"/>
      <c r="KDV23" s="1280"/>
      <c r="KDW23" s="1280"/>
      <c r="KDX23" s="1280"/>
      <c r="KDY23" s="1280"/>
      <c r="KDZ23" s="1280"/>
      <c r="KEA23" s="1280"/>
      <c r="KEB23" s="1280"/>
      <c r="KEC23" s="1280"/>
      <c r="KED23" s="1280"/>
      <c r="KEE23" s="1280"/>
      <c r="KEF23" s="1280"/>
      <c r="KEG23" s="1280"/>
      <c r="KEH23" s="1280"/>
      <c r="KEI23" s="1280"/>
      <c r="KEJ23" s="1280"/>
      <c r="KEK23" s="1280"/>
      <c r="KEL23" s="1280"/>
      <c r="KEM23" s="1280"/>
      <c r="KEN23" s="1280"/>
      <c r="KEO23" s="1280"/>
      <c r="KEP23" s="1280"/>
      <c r="KEQ23" s="1280"/>
      <c r="KER23" s="1280"/>
      <c r="KES23" s="1280"/>
      <c r="KET23" s="1280"/>
      <c r="KEU23" s="1280"/>
      <c r="KEV23" s="1280"/>
      <c r="KEW23" s="1280"/>
      <c r="KEX23" s="1280"/>
      <c r="KEY23" s="1280"/>
      <c r="KEZ23" s="1280"/>
      <c r="KFA23" s="1280"/>
      <c r="KFB23" s="1280"/>
      <c r="KFC23" s="1280"/>
      <c r="KFD23" s="1280"/>
      <c r="KFE23" s="1280"/>
      <c r="KFF23" s="1280"/>
      <c r="KFG23" s="1280"/>
      <c r="KFH23" s="1280"/>
      <c r="KFI23" s="1280"/>
      <c r="KFJ23" s="1280"/>
      <c r="KFK23" s="1280"/>
      <c r="KFL23" s="1280"/>
      <c r="KFM23" s="1280"/>
      <c r="KFN23" s="1280"/>
      <c r="KFO23" s="1280"/>
      <c r="KFP23" s="1280"/>
      <c r="KFQ23" s="1280"/>
      <c r="KFR23" s="1280"/>
      <c r="KFS23" s="1280"/>
      <c r="KFT23" s="1280"/>
      <c r="KFU23" s="1280"/>
      <c r="KFV23" s="1280"/>
      <c r="KFW23" s="1280"/>
      <c r="KFX23" s="1280"/>
      <c r="KFY23" s="1280"/>
      <c r="KFZ23" s="1280"/>
      <c r="KGA23" s="1280"/>
      <c r="KGB23" s="1280"/>
      <c r="KGC23" s="1280"/>
      <c r="KGD23" s="1280"/>
      <c r="KGE23" s="1280"/>
      <c r="KGF23" s="1280"/>
      <c r="KGG23" s="1280"/>
      <c r="KGH23" s="1280"/>
      <c r="KGI23" s="1280"/>
      <c r="KGJ23" s="1280"/>
      <c r="KGK23" s="1280"/>
      <c r="KGL23" s="1280"/>
      <c r="KGM23" s="1280"/>
      <c r="KGN23" s="1280"/>
      <c r="KGO23" s="1280"/>
      <c r="KGP23" s="1280"/>
      <c r="KGQ23" s="1280"/>
      <c r="KGR23" s="1280"/>
      <c r="KGS23" s="1280"/>
      <c r="KGT23" s="1280"/>
      <c r="KGU23" s="1280"/>
      <c r="KGV23" s="1280"/>
      <c r="KGW23" s="1280"/>
      <c r="KGX23" s="1280"/>
      <c r="KGY23" s="1280"/>
      <c r="KGZ23" s="1280"/>
      <c r="KHA23" s="1280"/>
      <c r="KHB23" s="1280"/>
      <c r="KHC23" s="1280"/>
      <c r="KHD23" s="1280"/>
      <c r="KHE23" s="1280"/>
      <c r="KHF23" s="1280"/>
      <c r="KHG23" s="1280"/>
      <c r="KHH23" s="1280"/>
      <c r="KHI23" s="1280"/>
      <c r="KHJ23" s="1280"/>
      <c r="KHK23" s="1280"/>
      <c r="KHL23" s="1280"/>
      <c r="KHM23" s="1280"/>
      <c r="KHN23" s="1280"/>
      <c r="KHO23" s="1280"/>
      <c r="KHP23" s="1280"/>
      <c r="KHQ23" s="1280"/>
      <c r="KHR23" s="1280"/>
      <c r="KHS23" s="1280"/>
      <c r="KHT23" s="1280"/>
      <c r="KHU23" s="1280"/>
      <c r="KHV23" s="1280"/>
      <c r="KHW23" s="1280"/>
      <c r="KHX23" s="1280"/>
      <c r="KHY23" s="1280"/>
      <c r="KHZ23" s="1280"/>
      <c r="KIA23" s="1280"/>
      <c r="KIB23" s="1280"/>
      <c r="KIC23" s="1280"/>
      <c r="KID23" s="1280"/>
      <c r="KIE23" s="1280"/>
      <c r="KIF23" s="1280"/>
      <c r="KIG23" s="1280"/>
      <c r="KIH23" s="1280"/>
      <c r="KII23" s="1280"/>
      <c r="KIJ23" s="1280"/>
      <c r="KIK23" s="1280"/>
      <c r="KIL23" s="1280"/>
      <c r="KIM23" s="1280"/>
      <c r="KIN23" s="1280"/>
      <c r="KIO23" s="1280"/>
      <c r="KIP23" s="1280"/>
      <c r="KIQ23" s="1280"/>
      <c r="KIR23" s="1280"/>
      <c r="KIS23" s="1280"/>
      <c r="KIT23" s="1280"/>
      <c r="KIU23" s="1280"/>
      <c r="KIV23" s="1280"/>
      <c r="KIW23" s="1280"/>
      <c r="KIX23" s="1280"/>
      <c r="KIY23" s="1280"/>
      <c r="KIZ23" s="1280"/>
      <c r="KJA23" s="1280"/>
      <c r="KJB23" s="1280"/>
      <c r="KJC23" s="1280"/>
      <c r="KJD23" s="1280"/>
      <c r="KJE23" s="1280"/>
      <c r="KJF23" s="1280"/>
      <c r="KJG23" s="1280"/>
      <c r="KJH23" s="1280"/>
      <c r="KJI23" s="1280"/>
      <c r="KJJ23" s="1280"/>
      <c r="KJK23" s="1280"/>
      <c r="KJL23" s="1280"/>
      <c r="KJM23" s="1280"/>
      <c r="KJN23" s="1280"/>
      <c r="KJO23" s="1280"/>
      <c r="KJP23" s="1280"/>
      <c r="KJQ23" s="1280"/>
      <c r="KJR23" s="1280"/>
      <c r="KJS23" s="1280"/>
      <c r="KJT23" s="1280"/>
      <c r="KJU23" s="1280"/>
      <c r="KJV23" s="1280"/>
      <c r="KJW23" s="1280"/>
      <c r="KJX23" s="1280"/>
      <c r="KJY23" s="1280"/>
      <c r="KJZ23" s="1280"/>
      <c r="KKA23" s="1280"/>
      <c r="KKB23" s="1280"/>
      <c r="KKC23" s="1280"/>
      <c r="KKD23" s="1280"/>
      <c r="KKE23" s="1280"/>
      <c r="KKF23" s="1280"/>
      <c r="KKG23" s="1280"/>
      <c r="KKH23" s="1280"/>
      <c r="KKI23" s="1280"/>
      <c r="KKJ23" s="1280"/>
      <c r="KKK23" s="1280"/>
      <c r="KKL23" s="1280"/>
      <c r="KKM23" s="1280"/>
      <c r="KKN23" s="1280"/>
      <c r="KKO23" s="1280"/>
      <c r="KKP23" s="1280"/>
      <c r="KKQ23" s="1280"/>
      <c r="KKR23" s="1280"/>
      <c r="KKS23" s="1280"/>
      <c r="KKT23" s="1280"/>
      <c r="KKU23" s="1280"/>
      <c r="KKV23" s="1280"/>
      <c r="KKW23" s="1280"/>
      <c r="KKX23" s="1280"/>
      <c r="KKY23" s="1280"/>
      <c r="KKZ23" s="1280"/>
      <c r="KLA23" s="1280"/>
      <c r="KLB23" s="1280"/>
      <c r="KLC23" s="1280"/>
      <c r="KLD23" s="1280"/>
      <c r="KLE23" s="1280"/>
      <c r="KLF23" s="1280"/>
      <c r="KLG23" s="1280"/>
      <c r="KLH23" s="1280"/>
      <c r="KLI23" s="1280"/>
      <c r="KLJ23" s="1280"/>
      <c r="KLK23" s="1280"/>
      <c r="KLL23" s="1280"/>
      <c r="KLM23" s="1280"/>
      <c r="KLN23" s="1280"/>
      <c r="KLO23" s="1280"/>
      <c r="KLP23" s="1280"/>
      <c r="KLQ23" s="1280"/>
      <c r="KLR23" s="1280"/>
      <c r="KLS23" s="1280"/>
      <c r="KLT23" s="1280"/>
      <c r="KLU23" s="1280"/>
      <c r="KLV23" s="1280"/>
      <c r="KLW23" s="1280"/>
      <c r="KLX23" s="1280"/>
      <c r="KLY23" s="1280"/>
      <c r="KLZ23" s="1280"/>
      <c r="KMA23" s="1280"/>
      <c r="KMB23" s="1280"/>
      <c r="KMC23" s="1280"/>
      <c r="KMD23" s="1280"/>
      <c r="KME23" s="1280"/>
      <c r="KMF23" s="1280"/>
      <c r="KMG23" s="1280"/>
      <c r="KMH23" s="1280"/>
      <c r="KMI23" s="1280"/>
      <c r="KMJ23" s="1280"/>
      <c r="KMK23" s="1280"/>
      <c r="KML23" s="1280"/>
      <c r="KMM23" s="1280"/>
      <c r="KMN23" s="1280"/>
      <c r="KMO23" s="1280"/>
      <c r="KMP23" s="1280"/>
      <c r="KMQ23" s="1280"/>
      <c r="KMR23" s="1280"/>
      <c r="KMS23" s="1280"/>
      <c r="KMT23" s="1280"/>
      <c r="KMU23" s="1280"/>
      <c r="KMV23" s="1280"/>
      <c r="KMW23" s="1280"/>
      <c r="KMX23" s="1280"/>
      <c r="KMY23" s="1280"/>
      <c r="KMZ23" s="1280"/>
      <c r="KNA23" s="1280"/>
      <c r="KNB23" s="1280"/>
      <c r="KNC23" s="1280"/>
      <c r="KND23" s="1280"/>
      <c r="KNE23" s="1280"/>
      <c r="KNF23" s="1280"/>
      <c r="KNG23" s="1280"/>
      <c r="KNH23" s="1280"/>
      <c r="KNI23" s="1280"/>
      <c r="KNJ23" s="1280"/>
      <c r="KNK23" s="1280"/>
      <c r="KNL23" s="1280"/>
      <c r="KNM23" s="1280"/>
      <c r="KNN23" s="1280"/>
      <c r="KNO23" s="1280"/>
      <c r="KNP23" s="1280"/>
      <c r="KNQ23" s="1280"/>
      <c r="KNR23" s="1280"/>
      <c r="KNS23" s="1280"/>
      <c r="KNT23" s="1280"/>
      <c r="KNU23" s="1280"/>
      <c r="KNV23" s="1280"/>
      <c r="KNW23" s="1280"/>
      <c r="KNX23" s="1280"/>
      <c r="KNY23" s="1280"/>
      <c r="KNZ23" s="1280"/>
      <c r="KOA23" s="1280"/>
      <c r="KOB23" s="1280"/>
      <c r="KOC23" s="1280"/>
      <c r="KOD23" s="1280"/>
      <c r="KOE23" s="1280"/>
      <c r="KOF23" s="1280"/>
      <c r="KOG23" s="1280"/>
      <c r="KOH23" s="1280"/>
      <c r="KOI23" s="1280"/>
      <c r="KOJ23" s="1280"/>
      <c r="KOK23" s="1280"/>
      <c r="KOL23" s="1280"/>
      <c r="KOM23" s="1280"/>
      <c r="KON23" s="1280"/>
      <c r="KOO23" s="1280"/>
      <c r="KOP23" s="1280"/>
      <c r="KOQ23" s="1280"/>
      <c r="KOR23" s="1280"/>
      <c r="KOS23" s="1280"/>
      <c r="KOT23" s="1280"/>
      <c r="KOU23" s="1280"/>
      <c r="KOV23" s="1280"/>
      <c r="KOW23" s="1280"/>
      <c r="KOX23" s="1280"/>
      <c r="KOY23" s="1280"/>
      <c r="KOZ23" s="1280"/>
      <c r="KPA23" s="1280"/>
      <c r="KPB23" s="1280"/>
      <c r="KPC23" s="1280"/>
      <c r="KPD23" s="1280"/>
      <c r="KPE23" s="1280"/>
      <c r="KPF23" s="1280"/>
      <c r="KPG23" s="1280"/>
      <c r="KPH23" s="1280"/>
      <c r="KPI23" s="1280"/>
      <c r="KPJ23" s="1280"/>
      <c r="KPK23" s="1280"/>
      <c r="KPL23" s="1280"/>
      <c r="KPM23" s="1280"/>
      <c r="KPN23" s="1280"/>
      <c r="KPO23" s="1280"/>
      <c r="KPP23" s="1280"/>
      <c r="KPQ23" s="1280"/>
      <c r="KPR23" s="1280"/>
      <c r="KPS23" s="1280"/>
      <c r="KPT23" s="1280"/>
      <c r="KPU23" s="1280"/>
      <c r="KPV23" s="1280"/>
      <c r="KPW23" s="1280"/>
      <c r="KPX23" s="1280"/>
      <c r="KPY23" s="1280"/>
      <c r="KPZ23" s="1280"/>
      <c r="KQA23" s="1280"/>
      <c r="KQB23" s="1280"/>
      <c r="KQC23" s="1280"/>
      <c r="KQD23" s="1280"/>
      <c r="KQE23" s="1280"/>
      <c r="KQF23" s="1280"/>
      <c r="KQG23" s="1280"/>
      <c r="KQH23" s="1280"/>
      <c r="KQI23" s="1280"/>
      <c r="KQJ23" s="1280"/>
      <c r="KQK23" s="1280"/>
      <c r="KQL23" s="1280"/>
      <c r="KQM23" s="1280"/>
      <c r="KQN23" s="1280"/>
      <c r="KQO23" s="1280"/>
      <c r="KQP23" s="1280"/>
      <c r="KQQ23" s="1280"/>
      <c r="KQR23" s="1280"/>
      <c r="KQS23" s="1280"/>
      <c r="KQT23" s="1280"/>
      <c r="KQU23" s="1280"/>
      <c r="KQV23" s="1280"/>
      <c r="KQW23" s="1280"/>
      <c r="KQX23" s="1280"/>
      <c r="KQY23" s="1280"/>
      <c r="KQZ23" s="1280"/>
      <c r="KRA23" s="1280"/>
      <c r="KRB23" s="1280"/>
      <c r="KRC23" s="1280"/>
      <c r="KRD23" s="1280"/>
      <c r="KRE23" s="1280"/>
      <c r="KRF23" s="1280"/>
      <c r="KRG23" s="1280"/>
      <c r="KRH23" s="1280"/>
      <c r="KRI23" s="1280"/>
      <c r="KRJ23" s="1280"/>
      <c r="KRK23" s="1280"/>
      <c r="KRL23" s="1280"/>
      <c r="KRM23" s="1280"/>
      <c r="KRN23" s="1280"/>
      <c r="KRO23" s="1280"/>
      <c r="KRP23" s="1280"/>
      <c r="KRQ23" s="1280"/>
      <c r="KRR23" s="1280"/>
      <c r="KRS23" s="1280"/>
      <c r="KRT23" s="1280"/>
      <c r="KRU23" s="1280"/>
      <c r="KRV23" s="1280"/>
      <c r="KRW23" s="1280"/>
      <c r="KRX23" s="1280"/>
      <c r="KRY23" s="1280"/>
      <c r="KRZ23" s="1280"/>
      <c r="KSA23" s="1280"/>
      <c r="KSB23" s="1280"/>
      <c r="KSC23" s="1280"/>
      <c r="KSD23" s="1280"/>
      <c r="KSE23" s="1280"/>
      <c r="KSF23" s="1280"/>
      <c r="KSG23" s="1280"/>
      <c r="KSH23" s="1280"/>
      <c r="KSI23" s="1280"/>
      <c r="KSJ23" s="1280"/>
      <c r="KSK23" s="1280"/>
      <c r="KSL23" s="1280"/>
      <c r="KSM23" s="1280"/>
      <c r="KSN23" s="1280"/>
      <c r="KSO23" s="1280"/>
      <c r="KSP23" s="1280"/>
      <c r="KSQ23" s="1280"/>
      <c r="KSR23" s="1280"/>
      <c r="KSS23" s="1280"/>
      <c r="KST23" s="1280"/>
      <c r="KSU23" s="1280"/>
      <c r="KSV23" s="1280"/>
      <c r="KSW23" s="1280"/>
      <c r="KSX23" s="1280"/>
      <c r="KSY23" s="1280"/>
      <c r="KSZ23" s="1280"/>
      <c r="KTA23" s="1280"/>
      <c r="KTB23" s="1280"/>
      <c r="KTC23" s="1280"/>
      <c r="KTD23" s="1280"/>
      <c r="KTE23" s="1280"/>
      <c r="KTF23" s="1280"/>
      <c r="KTG23" s="1280"/>
      <c r="KTH23" s="1280"/>
      <c r="KTI23" s="1280"/>
      <c r="KTJ23" s="1280"/>
      <c r="KTK23" s="1280"/>
      <c r="KTL23" s="1280"/>
      <c r="KTM23" s="1280"/>
      <c r="KTN23" s="1280"/>
      <c r="KTO23" s="1280"/>
      <c r="KTP23" s="1280"/>
      <c r="KTQ23" s="1280"/>
      <c r="KTR23" s="1280"/>
      <c r="KTS23" s="1280"/>
      <c r="KTT23" s="1280"/>
      <c r="KTU23" s="1280"/>
      <c r="KTV23" s="1280"/>
      <c r="KTW23" s="1280"/>
      <c r="KTX23" s="1280"/>
      <c r="KTY23" s="1280"/>
      <c r="KTZ23" s="1280"/>
      <c r="KUA23" s="1280"/>
      <c r="KUB23" s="1280"/>
      <c r="KUC23" s="1280"/>
      <c r="KUD23" s="1280"/>
      <c r="KUE23" s="1280"/>
      <c r="KUF23" s="1280"/>
      <c r="KUG23" s="1280"/>
      <c r="KUH23" s="1280"/>
      <c r="KUI23" s="1280"/>
      <c r="KUJ23" s="1280"/>
      <c r="KUK23" s="1280"/>
      <c r="KUL23" s="1280"/>
      <c r="KUM23" s="1280"/>
      <c r="KUN23" s="1280"/>
      <c r="KUO23" s="1280"/>
      <c r="KUP23" s="1280"/>
      <c r="KUQ23" s="1280"/>
      <c r="KUR23" s="1280"/>
      <c r="KUS23" s="1280"/>
      <c r="KUT23" s="1280"/>
      <c r="KUU23" s="1280"/>
      <c r="KUV23" s="1280"/>
      <c r="KUW23" s="1280"/>
      <c r="KUX23" s="1280"/>
      <c r="KUY23" s="1280"/>
      <c r="KUZ23" s="1280"/>
      <c r="KVA23" s="1280"/>
      <c r="KVB23" s="1280"/>
      <c r="KVC23" s="1280"/>
      <c r="KVD23" s="1280"/>
      <c r="KVE23" s="1280"/>
      <c r="KVF23" s="1280"/>
      <c r="KVG23" s="1280"/>
      <c r="KVH23" s="1280"/>
      <c r="KVI23" s="1280"/>
      <c r="KVJ23" s="1280"/>
      <c r="KVK23" s="1280"/>
      <c r="KVL23" s="1280"/>
      <c r="KVM23" s="1280"/>
      <c r="KVN23" s="1280"/>
      <c r="KVO23" s="1280"/>
      <c r="KVP23" s="1280"/>
      <c r="KVQ23" s="1280"/>
      <c r="KVR23" s="1280"/>
      <c r="KVS23" s="1280"/>
      <c r="KVT23" s="1280"/>
      <c r="KVU23" s="1280"/>
      <c r="KVV23" s="1280"/>
      <c r="KVW23" s="1280"/>
      <c r="KVX23" s="1280"/>
      <c r="KVY23" s="1280"/>
      <c r="KVZ23" s="1280"/>
      <c r="KWA23" s="1280"/>
      <c r="KWB23" s="1280"/>
      <c r="KWC23" s="1280"/>
      <c r="KWD23" s="1280"/>
      <c r="KWE23" s="1280"/>
      <c r="KWF23" s="1280"/>
      <c r="KWG23" s="1280"/>
      <c r="KWH23" s="1280"/>
      <c r="KWI23" s="1280"/>
      <c r="KWJ23" s="1280"/>
      <c r="KWK23" s="1280"/>
      <c r="KWL23" s="1280"/>
      <c r="KWM23" s="1280"/>
      <c r="KWN23" s="1280"/>
      <c r="KWO23" s="1280"/>
      <c r="KWP23" s="1280"/>
      <c r="KWQ23" s="1280"/>
      <c r="KWR23" s="1280"/>
      <c r="KWS23" s="1280"/>
      <c r="KWT23" s="1280"/>
      <c r="KWU23" s="1280"/>
      <c r="KWV23" s="1280"/>
      <c r="KWW23" s="1280"/>
      <c r="KWX23" s="1280"/>
      <c r="KWY23" s="1280"/>
      <c r="KWZ23" s="1280"/>
      <c r="KXA23" s="1280"/>
      <c r="KXB23" s="1280"/>
      <c r="KXC23" s="1280"/>
      <c r="KXD23" s="1280"/>
      <c r="KXE23" s="1280"/>
      <c r="KXF23" s="1280"/>
      <c r="KXG23" s="1280"/>
      <c r="KXH23" s="1280"/>
      <c r="KXI23" s="1280"/>
      <c r="KXJ23" s="1280"/>
      <c r="KXK23" s="1280"/>
      <c r="KXL23" s="1280"/>
      <c r="KXM23" s="1280"/>
      <c r="KXN23" s="1280"/>
      <c r="KXO23" s="1280"/>
      <c r="KXP23" s="1280"/>
      <c r="KXQ23" s="1280"/>
      <c r="KXR23" s="1280"/>
      <c r="KXS23" s="1280"/>
      <c r="KXT23" s="1280"/>
      <c r="KXU23" s="1280"/>
      <c r="KXV23" s="1280"/>
      <c r="KXW23" s="1280"/>
      <c r="KXX23" s="1280"/>
      <c r="KXY23" s="1280"/>
      <c r="KXZ23" s="1280"/>
      <c r="KYA23" s="1280"/>
      <c r="KYB23" s="1280"/>
      <c r="KYC23" s="1280"/>
      <c r="KYD23" s="1280"/>
      <c r="KYE23" s="1280"/>
      <c r="KYF23" s="1280"/>
      <c r="KYG23" s="1280"/>
      <c r="KYH23" s="1280"/>
      <c r="KYI23" s="1280"/>
      <c r="KYJ23" s="1280"/>
      <c r="KYK23" s="1280"/>
      <c r="KYL23" s="1280"/>
      <c r="KYM23" s="1280"/>
      <c r="KYN23" s="1280"/>
      <c r="KYO23" s="1280"/>
      <c r="KYP23" s="1280"/>
      <c r="KYQ23" s="1280"/>
      <c r="KYR23" s="1280"/>
      <c r="KYS23" s="1280"/>
      <c r="KYT23" s="1280"/>
      <c r="KYU23" s="1280"/>
      <c r="KYV23" s="1280"/>
      <c r="KYW23" s="1280"/>
      <c r="KYX23" s="1280"/>
      <c r="KYY23" s="1280"/>
      <c r="KYZ23" s="1280"/>
      <c r="KZA23" s="1280"/>
      <c r="KZB23" s="1280"/>
      <c r="KZC23" s="1280"/>
      <c r="KZD23" s="1280"/>
      <c r="KZE23" s="1280"/>
      <c r="KZF23" s="1280"/>
      <c r="KZG23" s="1280"/>
      <c r="KZH23" s="1280"/>
      <c r="KZI23" s="1280"/>
      <c r="KZJ23" s="1280"/>
      <c r="KZK23" s="1280"/>
      <c r="KZL23" s="1280"/>
      <c r="KZM23" s="1280"/>
      <c r="KZN23" s="1280"/>
      <c r="KZO23" s="1280"/>
      <c r="KZP23" s="1280"/>
      <c r="KZQ23" s="1280"/>
      <c r="KZR23" s="1280"/>
      <c r="KZS23" s="1280"/>
      <c r="KZT23" s="1280"/>
      <c r="KZU23" s="1280"/>
      <c r="KZV23" s="1280"/>
      <c r="KZW23" s="1280"/>
      <c r="KZX23" s="1280"/>
      <c r="KZY23" s="1280"/>
      <c r="KZZ23" s="1280"/>
      <c r="LAA23" s="1280"/>
      <c r="LAB23" s="1280"/>
      <c r="LAC23" s="1280"/>
      <c r="LAD23" s="1280"/>
      <c r="LAE23" s="1280"/>
      <c r="LAF23" s="1280"/>
      <c r="LAG23" s="1280"/>
      <c r="LAH23" s="1280"/>
      <c r="LAI23" s="1280"/>
      <c r="LAJ23" s="1280"/>
      <c r="LAK23" s="1280"/>
      <c r="LAL23" s="1280"/>
      <c r="LAM23" s="1280"/>
      <c r="LAN23" s="1280"/>
      <c r="LAO23" s="1280"/>
      <c r="LAP23" s="1280"/>
      <c r="LAQ23" s="1280"/>
      <c r="LAR23" s="1280"/>
      <c r="LAS23" s="1280"/>
      <c r="LAT23" s="1280"/>
      <c r="LAU23" s="1280"/>
      <c r="LAV23" s="1280"/>
      <c r="LAW23" s="1280"/>
      <c r="LAX23" s="1280"/>
      <c r="LAY23" s="1280"/>
      <c r="LAZ23" s="1280"/>
      <c r="LBA23" s="1280"/>
      <c r="LBB23" s="1280"/>
      <c r="LBC23" s="1280"/>
      <c r="LBD23" s="1280"/>
      <c r="LBE23" s="1280"/>
      <c r="LBF23" s="1280"/>
      <c r="LBG23" s="1280"/>
      <c r="LBH23" s="1280"/>
      <c r="LBI23" s="1280"/>
      <c r="LBJ23" s="1280"/>
      <c r="LBK23" s="1280"/>
      <c r="LBL23" s="1280"/>
      <c r="LBM23" s="1280"/>
      <c r="LBN23" s="1280"/>
      <c r="LBO23" s="1280"/>
      <c r="LBP23" s="1280"/>
      <c r="LBQ23" s="1280"/>
      <c r="LBR23" s="1280"/>
      <c r="LBS23" s="1280"/>
      <c r="LBT23" s="1280"/>
      <c r="LBU23" s="1280"/>
      <c r="LBV23" s="1280"/>
      <c r="LBW23" s="1280"/>
      <c r="LBX23" s="1280"/>
      <c r="LBY23" s="1280"/>
      <c r="LBZ23" s="1280"/>
      <c r="LCA23" s="1280"/>
      <c r="LCB23" s="1280"/>
      <c r="LCC23" s="1280"/>
      <c r="LCD23" s="1280"/>
      <c r="LCE23" s="1280"/>
      <c r="LCF23" s="1280"/>
      <c r="LCG23" s="1280"/>
      <c r="LCH23" s="1280"/>
      <c r="LCI23" s="1280"/>
      <c r="LCJ23" s="1280"/>
      <c r="LCK23" s="1280"/>
      <c r="LCL23" s="1280"/>
      <c r="LCM23" s="1280"/>
      <c r="LCN23" s="1280"/>
      <c r="LCO23" s="1280"/>
      <c r="LCP23" s="1280"/>
      <c r="LCQ23" s="1280"/>
      <c r="LCR23" s="1280"/>
      <c r="LCS23" s="1280"/>
      <c r="LCT23" s="1280"/>
      <c r="LCU23" s="1280"/>
      <c r="LCV23" s="1280"/>
      <c r="LCW23" s="1280"/>
      <c r="LCX23" s="1280"/>
      <c r="LCY23" s="1280"/>
      <c r="LCZ23" s="1280"/>
      <c r="LDA23" s="1280"/>
      <c r="LDB23" s="1280"/>
      <c r="LDC23" s="1280"/>
      <c r="LDD23" s="1280"/>
      <c r="LDE23" s="1280"/>
      <c r="LDF23" s="1280"/>
      <c r="LDG23" s="1280"/>
      <c r="LDH23" s="1280"/>
      <c r="LDI23" s="1280"/>
      <c r="LDJ23" s="1280"/>
      <c r="LDK23" s="1280"/>
      <c r="LDL23" s="1280"/>
      <c r="LDM23" s="1280"/>
      <c r="LDN23" s="1280"/>
      <c r="LDO23" s="1280"/>
      <c r="LDP23" s="1280"/>
      <c r="LDQ23" s="1280"/>
      <c r="LDR23" s="1280"/>
      <c r="LDS23" s="1280"/>
      <c r="LDT23" s="1280"/>
      <c r="LDU23" s="1280"/>
      <c r="LDV23" s="1280"/>
      <c r="LDW23" s="1280"/>
      <c r="LDX23" s="1280"/>
      <c r="LDY23" s="1280"/>
      <c r="LDZ23" s="1280"/>
      <c r="LEA23" s="1280"/>
      <c r="LEB23" s="1280"/>
      <c r="LEC23" s="1280"/>
      <c r="LED23" s="1280"/>
      <c r="LEE23" s="1280"/>
      <c r="LEF23" s="1280"/>
      <c r="LEG23" s="1280"/>
      <c r="LEH23" s="1280"/>
      <c r="LEI23" s="1280"/>
      <c r="LEJ23" s="1280"/>
      <c r="LEK23" s="1280"/>
      <c r="LEL23" s="1280"/>
      <c r="LEM23" s="1280"/>
      <c r="LEN23" s="1280"/>
      <c r="LEO23" s="1280"/>
      <c r="LEP23" s="1280"/>
      <c r="LEQ23" s="1280"/>
      <c r="LER23" s="1280"/>
      <c r="LES23" s="1280"/>
      <c r="LET23" s="1280"/>
      <c r="LEU23" s="1280"/>
      <c r="LEV23" s="1280"/>
      <c r="LEW23" s="1280"/>
      <c r="LEX23" s="1280"/>
      <c r="LEY23" s="1280"/>
      <c r="LEZ23" s="1280"/>
      <c r="LFA23" s="1280"/>
      <c r="LFB23" s="1280"/>
      <c r="LFC23" s="1280"/>
      <c r="LFD23" s="1280"/>
      <c r="LFE23" s="1280"/>
      <c r="LFF23" s="1280"/>
      <c r="LFG23" s="1280"/>
      <c r="LFH23" s="1280"/>
      <c r="LFI23" s="1280"/>
      <c r="LFJ23" s="1280"/>
      <c r="LFK23" s="1280"/>
      <c r="LFL23" s="1280"/>
      <c r="LFM23" s="1280"/>
      <c r="LFN23" s="1280"/>
      <c r="LFO23" s="1280"/>
      <c r="LFP23" s="1280"/>
      <c r="LFQ23" s="1280"/>
      <c r="LFR23" s="1280"/>
      <c r="LFS23" s="1280"/>
      <c r="LFT23" s="1280"/>
      <c r="LFU23" s="1280"/>
      <c r="LFV23" s="1280"/>
      <c r="LFW23" s="1280"/>
      <c r="LFX23" s="1280"/>
      <c r="LFY23" s="1280"/>
      <c r="LFZ23" s="1280"/>
      <c r="LGA23" s="1280"/>
      <c r="LGB23" s="1280"/>
      <c r="LGC23" s="1280"/>
      <c r="LGD23" s="1280"/>
      <c r="LGE23" s="1280"/>
      <c r="LGF23" s="1280"/>
      <c r="LGG23" s="1280"/>
      <c r="LGH23" s="1280"/>
      <c r="LGI23" s="1280"/>
      <c r="LGJ23" s="1280"/>
      <c r="LGK23" s="1280"/>
      <c r="LGL23" s="1280"/>
      <c r="LGM23" s="1280"/>
      <c r="LGN23" s="1280"/>
      <c r="LGO23" s="1280"/>
      <c r="LGP23" s="1280"/>
      <c r="LGQ23" s="1280"/>
      <c r="LGR23" s="1280"/>
      <c r="LGS23" s="1280"/>
      <c r="LGT23" s="1280"/>
      <c r="LGU23" s="1280"/>
      <c r="LGV23" s="1280"/>
      <c r="LGW23" s="1280"/>
      <c r="LGX23" s="1280"/>
      <c r="LGY23" s="1280"/>
      <c r="LGZ23" s="1280"/>
      <c r="LHA23" s="1280"/>
      <c r="LHB23" s="1280"/>
      <c r="LHC23" s="1280"/>
      <c r="LHD23" s="1280"/>
      <c r="LHE23" s="1280"/>
      <c r="LHF23" s="1280"/>
      <c r="LHG23" s="1280"/>
      <c r="LHH23" s="1280"/>
      <c r="LHI23" s="1280"/>
      <c r="LHJ23" s="1280"/>
      <c r="LHK23" s="1280"/>
      <c r="LHL23" s="1280"/>
      <c r="LHM23" s="1280"/>
      <c r="LHN23" s="1280"/>
      <c r="LHO23" s="1280"/>
      <c r="LHP23" s="1280"/>
      <c r="LHQ23" s="1280"/>
      <c r="LHR23" s="1280"/>
      <c r="LHS23" s="1280"/>
      <c r="LHT23" s="1280"/>
      <c r="LHU23" s="1280"/>
      <c r="LHV23" s="1280"/>
      <c r="LHW23" s="1280"/>
      <c r="LHX23" s="1280"/>
      <c r="LHY23" s="1280"/>
      <c r="LHZ23" s="1280"/>
      <c r="LIA23" s="1280"/>
      <c r="LIB23" s="1280"/>
      <c r="LIC23" s="1280"/>
      <c r="LID23" s="1280"/>
      <c r="LIE23" s="1280"/>
      <c r="LIF23" s="1280"/>
      <c r="LIG23" s="1280"/>
      <c r="LIH23" s="1280"/>
      <c r="LII23" s="1280"/>
      <c r="LIJ23" s="1280"/>
      <c r="LIK23" s="1280"/>
      <c r="LIL23" s="1280"/>
      <c r="LIM23" s="1280"/>
      <c r="LIN23" s="1280"/>
      <c r="LIO23" s="1280"/>
      <c r="LIP23" s="1280"/>
      <c r="LIQ23" s="1280"/>
      <c r="LIR23" s="1280"/>
      <c r="LIS23" s="1280"/>
      <c r="LIT23" s="1280"/>
      <c r="LIU23" s="1280"/>
      <c r="LIV23" s="1280"/>
      <c r="LIW23" s="1280"/>
      <c r="LIX23" s="1280"/>
      <c r="LIY23" s="1280"/>
      <c r="LIZ23" s="1280"/>
      <c r="LJA23" s="1280"/>
      <c r="LJB23" s="1280"/>
      <c r="LJC23" s="1280"/>
      <c r="LJD23" s="1280"/>
      <c r="LJE23" s="1280"/>
      <c r="LJF23" s="1280"/>
      <c r="LJG23" s="1280"/>
      <c r="LJH23" s="1280"/>
      <c r="LJI23" s="1280"/>
      <c r="LJJ23" s="1280"/>
      <c r="LJK23" s="1280"/>
      <c r="LJL23" s="1280"/>
      <c r="LJM23" s="1280"/>
      <c r="LJN23" s="1280"/>
      <c r="LJO23" s="1280"/>
      <c r="LJP23" s="1280"/>
      <c r="LJQ23" s="1280"/>
      <c r="LJR23" s="1280"/>
      <c r="LJS23" s="1280"/>
      <c r="LJT23" s="1280"/>
      <c r="LJU23" s="1280"/>
      <c r="LJV23" s="1280"/>
      <c r="LJW23" s="1280"/>
      <c r="LJX23" s="1280"/>
      <c r="LJY23" s="1280"/>
      <c r="LJZ23" s="1280"/>
      <c r="LKA23" s="1280"/>
      <c r="LKB23" s="1280"/>
      <c r="LKC23" s="1280"/>
      <c r="LKD23" s="1280"/>
      <c r="LKE23" s="1280"/>
      <c r="LKF23" s="1280"/>
      <c r="LKG23" s="1280"/>
      <c r="LKH23" s="1280"/>
      <c r="LKI23" s="1280"/>
      <c r="LKJ23" s="1280"/>
      <c r="LKK23" s="1280"/>
      <c r="LKL23" s="1280"/>
      <c r="LKM23" s="1280"/>
      <c r="LKN23" s="1280"/>
      <c r="LKO23" s="1280"/>
      <c r="LKP23" s="1280"/>
      <c r="LKQ23" s="1280"/>
      <c r="LKR23" s="1280"/>
      <c r="LKS23" s="1280"/>
      <c r="LKT23" s="1280"/>
      <c r="LKU23" s="1280"/>
      <c r="LKV23" s="1280"/>
      <c r="LKW23" s="1280"/>
      <c r="LKX23" s="1280"/>
      <c r="LKY23" s="1280"/>
      <c r="LKZ23" s="1280"/>
      <c r="LLA23" s="1280"/>
      <c r="LLB23" s="1280"/>
      <c r="LLC23" s="1280"/>
      <c r="LLD23" s="1280"/>
      <c r="LLE23" s="1280"/>
      <c r="LLF23" s="1280"/>
      <c r="LLG23" s="1280"/>
      <c r="LLH23" s="1280"/>
      <c r="LLI23" s="1280"/>
      <c r="LLJ23" s="1280"/>
      <c r="LLK23" s="1280"/>
      <c r="LLL23" s="1280"/>
      <c r="LLM23" s="1280"/>
      <c r="LLN23" s="1280"/>
      <c r="LLO23" s="1280"/>
      <c r="LLP23" s="1280"/>
      <c r="LLQ23" s="1280"/>
      <c r="LLR23" s="1280"/>
      <c r="LLS23" s="1280"/>
      <c r="LLT23" s="1280"/>
      <c r="LLU23" s="1280"/>
      <c r="LLV23" s="1280"/>
      <c r="LLW23" s="1280"/>
      <c r="LLX23" s="1280"/>
      <c r="LLY23" s="1280"/>
      <c r="LLZ23" s="1280"/>
      <c r="LMA23" s="1280"/>
      <c r="LMB23" s="1280"/>
      <c r="LMC23" s="1280"/>
      <c r="LMD23" s="1280"/>
      <c r="LME23" s="1280"/>
      <c r="LMF23" s="1280"/>
      <c r="LMG23" s="1280"/>
      <c r="LMH23" s="1280"/>
      <c r="LMI23" s="1280"/>
      <c r="LMJ23" s="1280"/>
      <c r="LMK23" s="1280"/>
      <c r="LML23" s="1280"/>
      <c r="LMM23" s="1280"/>
      <c r="LMN23" s="1280"/>
      <c r="LMO23" s="1280"/>
      <c r="LMP23" s="1280"/>
      <c r="LMQ23" s="1280"/>
      <c r="LMR23" s="1280"/>
      <c r="LMS23" s="1280"/>
      <c r="LMT23" s="1280"/>
      <c r="LMU23" s="1280"/>
      <c r="LMV23" s="1280"/>
      <c r="LMW23" s="1280"/>
      <c r="LMX23" s="1280"/>
      <c r="LMY23" s="1280"/>
      <c r="LMZ23" s="1280"/>
      <c r="LNA23" s="1280"/>
      <c r="LNB23" s="1280"/>
      <c r="LNC23" s="1280"/>
      <c r="LND23" s="1280"/>
      <c r="LNE23" s="1280"/>
      <c r="LNF23" s="1280"/>
      <c r="LNG23" s="1280"/>
      <c r="LNH23" s="1280"/>
      <c r="LNI23" s="1280"/>
      <c r="LNJ23" s="1280"/>
      <c r="LNK23" s="1280"/>
      <c r="LNL23" s="1280"/>
      <c r="LNM23" s="1280"/>
      <c r="LNN23" s="1280"/>
      <c r="LNO23" s="1280"/>
      <c r="LNP23" s="1280"/>
      <c r="LNQ23" s="1280"/>
      <c r="LNR23" s="1280"/>
      <c r="LNS23" s="1280"/>
      <c r="LNT23" s="1280"/>
      <c r="LNU23" s="1280"/>
      <c r="LNV23" s="1280"/>
      <c r="LNW23" s="1280"/>
      <c r="LNX23" s="1280"/>
      <c r="LNY23" s="1280"/>
      <c r="LNZ23" s="1280"/>
      <c r="LOA23" s="1280"/>
      <c r="LOB23" s="1280"/>
      <c r="LOC23" s="1280"/>
      <c r="LOD23" s="1280"/>
      <c r="LOE23" s="1280"/>
      <c r="LOF23" s="1280"/>
      <c r="LOG23" s="1280"/>
      <c r="LOH23" s="1280"/>
      <c r="LOI23" s="1280"/>
      <c r="LOJ23" s="1280"/>
      <c r="LOK23" s="1280"/>
      <c r="LOL23" s="1280"/>
      <c r="LOM23" s="1280"/>
      <c r="LON23" s="1280"/>
      <c r="LOO23" s="1280"/>
      <c r="LOP23" s="1280"/>
      <c r="LOQ23" s="1280"/>
      <c r="LOR23" s="1280"/>
      <c r="LOS23" s="1280"/>
      <c r="LOT23" s="1280"/>
      <c r="LOU23" s="1280"/>
      <c r="LOV23" s="1280"/>
      <c r="LOW23" s="1280"/>
      <c r="LOX23" s="1280"/>
      <c r="LOY23" s="1280"/>
      <c r="LOZ23" s="1280"/>
      <c r="LPA23" s="1280"/>
      <c r="LPB23" s="1280"/>
      <c r="LPC23" s="1280"/>
      <c r="LPD23" s="1280"/>
      <c r="LPE23" s="1280"/>
      <c r="LPF23" s="1280"/>
      <c r="LPG23" s="1280"/>
      <c r="LPH23" s="1280"/>
      <c r="LPI23" s="1280"/>
      <c r="LPJ23" s="1280"/>
      <c r="LPK23" s="1280"/>
      <c r="LPL23" s="1280"/>
      <c r="LPM23" s="1280"/>
      <c r="LPN23" s="1280"/>
      <c r="LPO23" s="1280"/>
      <c r="LPP23" s="1280"/>
      <c r="LPQ23" s="1280"/>
      <c r="LPR23" s="1280"/>
      <c r="LPS23" s="1280"/>
      <c r="LPT23" s="1280"/>
      <c r="LPU23" s="1280"/>
      <c r="LPV23" s="1280"/>
      <c r="LPW23" s="1280"/>
      <c r="LPX23" s="1280"/>
      <c r="LPY23" s="1280"/>
      <c r="LPZ23" s="1280"/>
      <c r="LQA23" s="1280"/>
      <c r="LQB23" s="1280"/>
      <c r="LQC23" s="1280"/>
      <c r="LQD23" s="1280"/>
      <c r="LQE23" s="1280"/>
      <c r="LQF23" s="1280"/>
      <c r="LQG23" s="1280"/>
      <c r="LQH23" s="1280"/>
      <c r="LQI23" s="1280"/>
      <c r="LQJ23" s="1280"/>
      <c r="LQK23" s="1280"/>
      <c r="LQL23" s="1280"/>
      <c r="LQM23" s="1280"/>
      <c r="LQN23" s="1280"/>
      <c r="LQO23" s="1280"/>
      <c r="LQP23" s="1280"/>
      <c r="LQQ23" s="1280"/>
      <c r="LQR23" s="1280"/>
      <c r="LQS23" s="1280"/>
      <c r="LQT23" s="1280"/>
      <c r="LQU23" s="1280"/>
      <c r="LQV23" s="1280"/>
      <c r="LQW23" s="1280"/>
      <c r="LQX23" s="1280"/>
      <c r="LQY23" s="1280"/>
      <c r="LQZ23" s="1280"/>
      <c r="LRA23" s="1280"/>
      <c r="LRB23" s="1280"/>
      <c r="LRC23" s="1280"/>
      <c r="LRD23" s="1280"/>
      <c r="LRE23" s="1280"/>
      <c r="LRF23" s="1280"/>
      <c r="LRG23" s="1280"/>
      <c r="LRH23" s="1280"/>
      <c r="LRI23" s="1280"/>
      <c r="LRJ23" s="1280"/>
      <c r="LRK23" s="1280"/>
      <c r="LRL23" s="1280"/>
      <c r="LRM23" s="1280"/>
      <c r="LRN23" s="1280"/>
      <c r="LRO23" s="1280"/>
      <c r="LRP23" s="1280"/>
      <c r="LRQ23" s="1280"/>
      <c r="LRR23" s="1280"/>
      <c r="LRS23" s="1280"/>
      <c r="LRT23" s="1280"/>
      <c r="LRU23" s="1280"/>
      <c r="LRV23" s="1280"/>
      <c r="LRW23" s="1280"/>
      <c r="LRX23" s="1280"/>
      <c r="LRY23" s="1280"/>
      <c r="LRZ23" s="1280"/>
      <c r="LSA23" s="1280"/>
      <c r="LSB23" s="1280"/>
      <c r="LSC23" s="1280"/>
      <c r="LSD23" s="1280"/>
      <c r="LSE23" s="1280"/>
      <c r="LSF23" s="1280"/>
      <c r="LSG23" s="1280"/>
      <c r="LSH23" s="1280"/>
      <c r="LSI23" s="1280"/>
      <c r="LSJ23" s="1280"/>
      <c r="LSK23" s="1280"/>
      <c r="LSL23" s="1280"/>
      <c r="LSM23" s="1280"/>
      <c r="LSN23" s="1280"/>
      <c r="LSO23" s="1280"/>
      <c r="LSP23" s="1280"/>
      <c r="LSQ23" s="1280"/>
      <c r="LSR23" s="1280"/>
      <c r="LSS23" s="1280"/>
      <c r="LST23" s="1280"/>
      <c r="LSU23" s="1280"/>
      <c r="LSV23" s="1280"/>
      <c r="LSW23" s="1280"/>
      <c r="LSX23" s="1280"/>
      <c r="LSY23" s="1280"/>
      <c r="LSZ23" s="1280"/>
      <c r="LTA23" s="1280"/>
      <c r="LTB23" s="1280"/>
      <c r="LTC23" s="1280"/>
      <c r="LTD23" s="1280"/>
      <c r="LTE23" s="1280"/>
      <c r="LTF23" s="1280"/>
      <c r="LTG23" s="1280"/>
      <c r="LTH23" s="1280"/>
      <c r="LTI23" s="1280"/>
      <c r="LTJ23" s="1280"/>
      <c r="LTK23" s="1280"/>
      <c r="LTL23" s="1280"/>
      <c r="LTM23" s="1280"/>
      <c r="LTN23" s="1280"/>
      <c r="LTO23" s="1280"/>
      <c r="LTP23" s="1280"/>
      <c r="LTQ23" s="1280"/>
      <c r="LTR23" s="1280"/>
      <c r="LTS23" s="1280"/>
      <c r="LTT23" s="1280"/>
      <c r="LTU23" s="1280"/>
      <c r="LTV23" s="1280"/>
      <c r="LTW23" s="1280"/>
      <c r="LTX23" s="1280"/>
      <c r="LTY23" s="1280"/>
      <c r="LTZ23" s="1280"/>
      <c r="LUA23" s="1280"/>
      <c r="LUB23" s="1280"/>
      <c r="LUC23" s="1280"/>
      <c r="LUD23" s="1280"/>
      <c r="LUE23" s="1280"/>
      <c r="LUF23" s="1280"/>
      <c r="LUG23" s="1280"/>
      <c r="LUH23" s="1280"/>
      <c r="LUI23" s="1280"/>
      <c r="LUJ23" s="1280"/>
      <c r="LUK23" s="1280"/>
      <c r="LUL23" s="1280"/>
      <c r="LUM23" s="1280"/>
      <c r="LUN23" s="1280"/>
      <c r="LUO23" s="1280"/>
      <c r="LUP23" s="1280"/>
      <c r="LUQ23" s="1280"/>
      <c r="LUR23" s="1280"/>
      <c r="LUS23" s="1280"/>
      <c r="LUT23" s="1280"/>
      <c r="LUU23" s="1280"/>
      <c r="LUV23" s="1280"/>
      <c r="LUW23" s="1280"/>
      <c r="LUX23" s="1280"/>
      <c r="LUY23" s="1280"/>
      <c r="LUZ23" s="1280"/>
      <c r="LVA23" s="1280"/>
      <c r="LVB23" s="1280"/>
      <c r="LVC23" s="1280"/>
      <c r="LVD23" s="1280"/>
      <c r="LVE23" s="1280"/>
      <c r="LVF23" s="1280"/>
      <c r="LVG23" s="1280"/>
      <c r="LVH23" s="1280"/>
      <c r="LVI23" s="1280"/>
      <c r="LVJ23" s="1280"/>
      <c r="LVK23" s="1280"/>
      <c r="LVL23" s="1280"/>
      <c r="LVM23" s="1280"/>
      <c r="LVN23" s="1280"/>
      <c r="LVO23" s="1280"/>
      <c r="LVP23" s="1280"/>
      <c r="LVQ23" s="1280"/>
      <c r="LVR23" s="1280"/>
      <c r="LVS23" s="1280"/>
      <c r="LVT23" s="1280"/>
      <c r="LVU23" s="1280"/>
      <c r="LVV23" s="1280"/>
      <c r="LVW23" s="1280"/>
      <c r="LVX23" s="1280"/>
      <c r="LVY23" s="1280"/>
      <c r="LVZ23" s="1280"/>
      <c r="LWA23" s="1280"/>
      <c r="LWB23" s="1280"/>
      <c r="LWC23" s="1280"/>
      <c r="LWD23" s="1280"/>
      <c r="LWE23" s="1280"/>
      <c r="LWF23" s="1280"/>
      <c r="LWG23" s="1280"/>
      <c r="LWH23" s="1280"/>
      <c r="LWI23" s="1280"/>
      <c r="LWJ23" s="1280"/>
      <c r="LWK23" s="1280"/>
      <c r="LWL23" s="1280"/>
      <c r="LWM23" s="1280"/>
      <c r="LWN23" s="1280"/>
      <c r="LWO23" s="1280"/>
      <c r="LWP23" s="1280"/>
      <c r="LWQ23" s="1280"/>
      <c r="LWR23" s="1280"/>
      <c r="LWS23" s="1280"/>
      <c r="LWT23" s="1280"/>
      <c r="LWU23" s="1280"/>
      <c r="LWV23" s="1280"/>
      <c r="LWW23" s="1280"/>
      <c r="LWX23" s="1280"/>
      <c r="LWY23" s="1280"/>
      <c r="LWZ23" s="1280"/>
      <c r="LXA23" s="1280"/>
      <c r="LXB23" s="1280"/>
      <c r="LXC23" s="1280"/>
      <c r="LXD23" s="1280"/>
      <c r="LXE23" s="1280"/>
      <c r="LXF23" s="1280"/>
      <c r="LXG23" s="1280"/>
      <c r="LXH23" s="1280"/>
      <c r="LXI23" s="1280"/>
      <c r="LXJ23" s="1280"/>
      <c r="LXK23" s="1280"/>
      <c r="LXL23" s="1280"/>
      <c r="LXM23" s="1280"/>
      <c r="LXN23" s="1280"/>
      <c r="LXO23" s="1280"/>
      <c r="LXP23" s="1280"/>
      <c r="LXQ23" s="1280"/>
      <c r="LXR23" s="1280"/>
      <c r="LXS23" s="1280"/>
      <c r="LXT23" s="1280"/>
      <c r="LXU23" s="1280"/>
      <c r="LXV23" s="1280"/>
      <c r="LXW23" s="1280"/>
      <c r="LXX23" s="1280"/>
      <c r="LXY23" s="1280"/>
      <c r="LXZ23" s="1280"/>
      <c r="LYA23" s="1280"/>
      <c r="LYB23" s="1280"/>
      <c r="LYC23" s="1280"/>
      <c r="LYD23" s="1280"/>
      <c r="LYE23" s="1280"/>
      <c r="LYF23" s="1280"/>
      <c r="LYG23" s="1280"/>
      <c r="LYH23" s="1280"/>
      <c r="LYI23" s="1280"/>
      <c r="LYJ23" s="1280"/>
      <c r="LYK23" s="1280"/>
      <c r="LYL23" s="1280"/>
      <c r="LYM23" s="1280"/>
      <c r="LYN23" s="1280"/>
      <c r="LYO23" s="1280"/>
      <c r="LYP23" s="1280"/>
      <c r="LYQ23" s="1280"/>
      <c r="LYR23" s="1280"/>
      <c r="LYS23" s="1280"/>
      <c r="LYT23" s="1280"/>
      <c r="LYU23" s="1280"/>
      <c r="LYV23" s="1280"/>
      <c r="LYW23" s="1280"/>
      <c r="LYX23" s="1280"/>
      <c r="LYY23" s="1280"/>
      <c r="LYZ23" s="1280"/>
      <c r="LZA23" s="1280"/>
      <c r="LZB23" s="1280"/>
      <c r="LZC23" s="1280"/>
      <c r="LZD23" s="1280"/>
      <c r="LZE23" s="1280"/>
      <c r="LZF23" s="1280"/>
      <c r="LZG23" s="1280"/>
      <c r="LZH23" s="1280"/>
      <c r="LZI23" s="1280"/>
      <c r="LZJ23" s="1280"/>
      <c r="LZK23" s="1280"/>
      <c r="LZL23" s="1280"/>
      <c r="LZM23" s="1280"/>
      <c r="LZN23" s="1280"/>
      <c r="LZO23" s="1280"/>
      <c r="LZP23" s="1280"/>
      <c r="LZQ23" s="1280"/>
      <c r="LZR23" s="1280"/>
      <c r="LZS23" s="1280"/>
      <c r="LZT23" s="1280"/>
      <c r="LZU23" s="1280"/>
      <c r="LZV23" s="1280"/>
      <c r="LZW23" s="1280"/>
      <c r="LZX23" s="1280"/>
      <c r="LZY23" s="1280"/>
      <c r="LZZ23" s="1280"/>
      <c r="MAA23" s="1280"/>
      <c r="MAB23" s="1280"/>
      <c r="MAC23" s="1280"/>
      <c r="MAD23" s="1280"/>
      <c r="MAE23" s="1280"/>
      <c r="MAF23" s="1280"/>
      <c r="MAG23" s="1280"/>
      <c r="MAH23" s="1280"/>
      <c r="MAI23" s="1280"/>
      <c r="MAJ23" s="1280"/>
      <c r="MAK23" s="1280"/>
      <c r="MAL23" s="1280"/>
      <c r="MAM23" s="1280"/>
      <c r="MAN23" s="1280"/>
      <c r="MAO23" s="1280"/>
      <c r="MAP23" s="1280"/>
      <c r="MAQ23" s="1280"/>
      <c r="MAR23" s="1280"/>
      <c r="MAS23" s="1280"/>
      <c r="MAT23" s="1280"/>
      <c r="MAU23" s="1280"/>
      <c r="MAV23" s="1280"/>
      <c r="MAW23" s="1280"/>
      <c r="MAX23" s="1280"/>
      <c r="MAY23" s="1280"/>
      <c r="MAZ23" s="1280"/>
      <c r="MBA23" s="1280"/>
      <c r="MBB23" s="1280"/>
      <c r="MBC23" s="1280"/>
      <c r="MBD23" s="1280"/>
      <c r="MBE23" s="1280"/>
      <c r="MBF23" s="1280"/>
      <c r="MBG23" s="1280"/>
      <c r="MBH23" s="1280"/>
      <c r="MBI23" s="1280"/>
      <c r="MBJ23" s="1280"/>
      <c r="MBK23" s="1280"/>
      <c r="MBL23" s="1280"/>
      <c r="MBM23" s="1280"/>
      <c r="MBN23" s="1280"/>
      <c r="MBO23" s="1280"/>
      <c r="MBP23" s="1280"/>
      <c r="MBQ23" s="1280"/>
      <c r="MBR23" s="1280"/>
      <c r="MBS23" s="1280"/>
      <c r="MBT23" s="1280"/>
      <c r="MBU23" s="1280"/>
      <c r="MBV23" s="1280"/>
      <c r="MBW23" s="1280"/>
      <c r="MBX23" s="1280"/>
      <c r="MBY23" s="1280"/>
      <c r="MBZ23" s="1280"/>
      <c r="MCA23" s="1280"/>
      <c r="MCB23" s="1280"/>
      <c r="MCC23" s="1280"/>
      <c r="MCD23" s="1280"/>
      <c r="MCE23" s="1280"/>
      <c r="MCF23" s="1280"/>
      <c r="MCG23" s="1280"/>
      <c r="MCH23" s="1280"/>
      <c r="MCI23" s="1280"/>
      <c r="MCJ23" s="1280"/>
      <c r="MCK23" s="1280"/>
      <c r="MCL23" s="1280"/>
      <c r="MCM23" s="1280"/>
      <c r="MCN23" s="1280"/>
      <c r="MCO23" s="1280"/>
      <c r="MCP23" s="1280"/>
      <c r="MCQ23" s="1280"/>
      <c r="MCR23" s="1280"/>
      <c r="MCS23" s="1280"/>
      <c r="MCT23" s="1280"/>
      <c r="MCU23" s="1280"/>
      <c r="MCV23" s="1280"/>
      <c r="MCW23" s="1280"/>
      <c r="MCX23" s="1280"/>
      <c r="MCY23" s="1280"/>
      <c r="MCZ23" s="1280"/>
      <c r="MDA23" s="1280"/>
      <c r="MDB23" s="1280"/>
      <c r="MDC23" s="1280"/>
      <c r="MDD23" s="1280"/>
      <c r="MDE23" s="1280"/>
      <c r="MDF23" s="1280"/>
      <c r="MDG23" s="1280"/>
      <c r="MDH23" s="1280"/>
      <c r="MDI23" s="1280"/>
      <c r="MDJ23" s="1280"/>
      <c r="MDK23" s="1280"/>
      <c r="MDL23" s="1280"/>
      <c r="MDM23" s="1280"/>
      <c r="MDN23" s="1280"/>
      <c r="MDO23" s="1280"/>
      <c r="MDP23" s="1280"/>
      <c r="MDQ23" s="1280"/>
      <c r="MDR23" s="1280"/>
      <c r="MDS23" s="1280"/>
      <c r="MDT23" s="1280"/>
      <c r="MDU23" s="1280"/>
      <c r="MDV23" s="1280"/>
      <c r="MDW23" s="1280"/>
      <c r="MDX23" s="1280"/>
      <c r="MDY23" s="1280"/>
      <c r="MDZ23" s="1280"/>
      <c r="MEA23" s="1280"/>
      <c r="MEB23" s="1280"/>
      <c r="MEC23" s="1280"/>
      <c r="MED23" s="1280"/>
      <c r="MEE23" s="1280"/>
      <c r="MEF23" s="1280"/>
      <c r="MEG23" s="1280"/>
      <c r="MEH23" s="1280"/>
      <c r="MEI23" s="1280"/>
      <c r="MEJ23" s="1280"/>
      <c r="MEK23" s="1280"/>
      <c r="MEL23" s="1280"/>
      <c r="MEM23" s="1280"/>
      <c r="MEN23" s="1280"/>
      <c r="MEO23" s="1280"/>
      <c r="MEP23" s="1280"/>
      <c r="MEQ23" s="1280"/>
      <c r="MER23" s="1280"/>
      <c r="MES23" s="1280"/>
      <c r="MET23" s="1280"/>
      <c r="MEU23" s="1280"/>
      <c r="MEV23" s="1280"/>
      <c r="MEW23" s="1280"/>
      <c r="MEX23" s="1280"/>
      <c r="MEY23" s="1280"/>
      <c r="MEZ23" s="1280"/>
      <c r="MFA23" s="1280"/>
      <c r="MFB23" s="1280"/>
      <c r="MFC23" s="1280"/>
      <c r="MFD23" s="1280"/>
      <c r="MFE23" s="1280"/>
      <c r="MFF23" s="1280"/>
      <c r="MFG23" s="1280"/>
      <c r="MFH23" s="1280"/>
      <c r="MFI23" s="1280"/>
      <c r="MFJ23" s="1280"/>
      <c r="MFK23" s="1280"/>
      <c r="MFL23" s="1280"/>
      <c r="MFM23" s="1280"/>
      <c r="MFN23" s="1280"/>
      <c r="MFO23" s="1280"/>
      <c r="MFP23" s="1280"/>
      <c r="MFQ23" s="1280"/>
      <c r="MFR23" s="1280"/>
      <c r="MFS23" s="1280"/>
      <c r="MFT23" s="1280"/>
      <c r="MFU23" s="1280"/>
      <c r="MFV23" s="1280"/>
      <c r="MFW23" s="1280"/>
      <c r="MFX23" s="1280"/>
      <c r="MFY23" s="1280"/>
      <c r="MFZ23" s="1280"/>
      <c r="MGA23" s="1280"/>
      <c r="MGB23" s="1280"/>
      <c r="MGC23" s="1280"/>
      <c r="MGD23" s="1280"/>
      <c r="MGE23" s="1280"/>
      <c r="MGF23" s="1280"/>
      <c r="MGG23" s="1280"/>
      <c r="MGH23" s="1280"/>
      <c r="MGI23" s="1280"/>
      <c r="MGJ23" s="1280"/>
      <c r="MGK23" s="1280"/>
      <c r="MGL23" s="1280"/>
      <c r="MGM23" s="1280"/>
      <c r="MGN23" s="1280"/>
      <c r="MGO23" s="1280"/>
      <c r="MGP23" s="1280"/>
      <c r="MGQ23" s="1280"/>
      <c r="MGR23" s="1280"/>
      <c r="MGS23" s="1280"/>
      <c r="MGT23" s="1280"/>
      <c r="MGU23" s="1280"/>
      <c r="MGV23" s="1280"/>
      <c r="MGW23" s="1280"/>
      <c r="MGX23" s="1280"/>
      <c r="MGY23" s="1280"/>
      <c r="MGZ23" s="1280"/>
      <c r="MHA23" s="1280"/>
      <c r="MHB23" s="1280"/>
      <c r="MHC23" s="1280"/>
      <c r="MHD23" s="1280"/>
      <c r="MHE23" s="1280"/>
      <c r="MHF23" s="1280"/>
      <c r="MHG23" s="1280"/>
      <c r="MHH23" s="1280"/>
      <c r="MHI23" s="1280"/>
      <c r="MHJ23" s="1280"/>
      <c r="MHK23" s="1280"/>
      <c r="MHL23" s="1280"/>
      <c r="MHM23" s="1280"/>
      <c r="MHN23" s="1280"/>
      <c r="MHO23" s="1280"/>
      <c r="MHP23" s="1280"/>
      <c r="MHQ23" s="1280"/>
      <c r="MHR23" s="1280"/>
      <c r="MHS23" s="1280"/>
      <c r="MHT23" s="1280"/>
      <c r="MHU23" s="1280"/>
      <c r="MHV23" s="1280"/>
      <c r="MHW23" s="1280"/>
      <c r="MHX23" s="1280"/>
      <c r="MHY23" s="1280"/>
      <c r="MHZ23" s="1280"/>
      <c r="MIA23" s="1280"/>
      <c r="MIB23" s="1280"/>
      <c r="MIC23" s="1280"/>
      <c r="MID23" s="1280"/>
      <c r="MIE23" s="1280"/>
      <c r="MIF23" s="1280"/>
      <c r="MIG23" s="1280"/>
      <c r="MIH23" s="1280"/>
      <c r="MII23" s="1280"/>
      <c r="MIJ23" s="1280"/>
      <c r="MIK23" s="1280"/>
      <c r="MIL23" s="1280"/>
      <c r="MIM23" s="1280"/>
      <c r="MIN23" s="1280"/>
      <c r="MIO23" s="1280"/>
      <c r="MIP23" s="1280"/>
      <c r="MIQ23" s="1280"/>
      <c r="MIR23" s="1280"/>
      <c r="MIS23" s="1280"/>
      <c r="MIT23" s="1280"/>
      <c r="MIU23" s="1280"/>
      <c r="MIV23" s="1280"/>
      <c r="MIW23" s="1280"/>
      <c r="MIX23" s="1280"/>
      <c r="MIY23" s="1280"/>
      <c r="MIZ23" s="1280"/>
      <c r="MJA23" s="1280"/>
      <c r="MJB23" s="1280"/>
      <c r="MJC23" s="1280"/>
      <c r="MJD23" s="1280"/>
      <c r="MJE23" s="1280"/>
      <c r="MJF23" s="1280"/>
      <c r="MJG23" s="1280"/>
      <c r="MJH23" s="1280"/>
      <c r="MJI23" s="1280"/>
      <c r="MJJ23" s="1280"/>
      <c r="MJK23" s="1280"/>
      <c r="MJL23" s="1280"/>
      <c r="MJM23" s="1280"/>
      <c r="MJN23" s="1280"/>
      <c r="MJO23" s="1280"/>
      <c r="MJP23" s="1280"/>
      <c r="MJQ23" s="1280"/>
      <c r="MJR23" s="1280"/>
      <c r="MJS23" s="1280"/>
      <c r="MJT23" s="1280"/>
      <c r="MJU23" s="1280"/>
      <c r="MJV23" s="1280"/>
      <c r="MJW23" s="1280"/>
      <c r="MJX23" s="1280"/>
      <c r="MJY23" s="1280"/>
      <c r="MJZ23" s="1280"/>
      <c r="MKA23" s="1280"/>
      <c r="MKB23" s="1280"/>
      <c r="MKC23" s="1280"/>
      <c r="MKD23" s="1280"/>
      <c r="MKE23" s="1280"/>
      <c r="MKF23" s="1280"/>
      <c r="MKG23" s="1280"/>
      <c r="MKH23" s="1280"/>
      <c r="MKI23" s="1280"/>
      <c r="MKJ23" s="1280"/>
      <c r="MKK23" s="1280"/>
      <c r="MKL23" s="1280"/>
      <c r="MKM23" s="1280"/>
      <c r="MKN23" s="1280"/>
      <c r="MKO23" s="1280"/>
      <c r="MKP23" s="1280"/>
      <c r="MKQ23" s="1280"/>
      <c r="MKR23" s="1280"/>
      <c r="MKS23" s="1280"/>
      <c r="MKT23" s="1280"/>
      <c r="MKU23" s="1280"/>
      <c r="MKV23" s="1280"/>
      <c r="MKW23" s="1280"/>
      <c r="MKX23" s="1280"/>
      <c r="MKY23" s="1280"/>
      <c r="MKZ23" s="1280"/>
      <c r="MLA23" s="1280"/>
      <c r="MLB23" s="1280"/>
      <c r="MLC23" s="1280"/>
      <c r="MLD23" s="1280"/>
      <c r="MLE23" s="1280"/>
      <c r="MLF23" s="1280"/>
      <c r="MLG23" s="1280"/>
      <c r="MLH23" s="1280"/>
      <c r="MLI23" s="1280"/>
      <c r="MLJ23" s="1280"/>
      <c r="MLK23" s="1280"/>
      <c r="MLL23" s="1280"/>
      <c r="MLM23" s="1280"/>
      <c r="MLN23" s="1280"/>
      <c r="MLO23" s="1280"/>
      <c r="MLP23" s="1280"/>
      <c r="MLQ23" s="1280"/>
      <c r="MLR23" s="1280"/>
      <c r="MLS23" s="1280"/>
      <c r="MLT23" s="1280"/>
      <c r="MLU23" s="1280"/>
      <c r="MLV23" s="1280"/>
      <c r="MLW23" s="1280"/>
      <c r="MLX23" s="1280"/>
      <c r="MLY23" s="1280"/>
      <c r="MLZ23" s="1280"/>
      <c r="MMA23" s="1280"/>
      <c r="MMB23" s="1280"/>
      <c r="MMC23" s="1280"/>
      <c r="MMD23" s="1280"/>
      <c r="MME23" s="1280"/>
      <c r="MMF23" s="1280"/>
      <c r="MMG23" s="1280"/>
      <c r="MMH23" s="1280"/>
      <c r="MMI23" s="1280"/>
      <c r="MMJ23" s="1280"/>
      <c r="MMK23" s="1280"/>
      <c r="MML23" s="1280"/>
      <c r="MMM23" s="1280"/>
      <c r="MMN23" s="1280"/>
      <c r="MMO23" s="1280"/>
      <c r="MMP23" s="1280"/>
      <c r="MMQ23" s="1280"/>
      <c r="MMR23" s="1280"/>
      <c r="MMS23" s="1280"/>
      <c r="MMT23" s="1280"/>
      <c r="MMU23" s="1280"/>
      <c r="MMV23" s="1280"/>
      <c r="MMW23" s="1280"/>
      <c r="MMX23" s="1280"/>
      <c r="MMY23" s="1280"/>
      <c r="MMZ23" s="1280"/>
      <c r="MNA23" s="1280"/>
      <c r="MNB23" s="1280"/>
      <c r="MNC23" s="1280"/>
      <c r="MND23" s="1280"/>
      <c r="MNE23" s="1280"/>
      <c r="MNF23" s="1280"/>
      <c r="MNG23" s="1280"/>
      <c r="MNH23" s="1280"/>
      <c r="MNI23" s="1280"/>
      <c r="MNJ23" s="1280"/>
      <c r="MNK23" s="1280"/>
      <c r="MNL23" s="1280"/>
      <c r="MNM23" s="1280"/>
      <c r="MNN23" s="1280"/>
      <c r="MNO23" s="1280"/>
      <c r="MNP23" s="1280"/>
      <c r="MNQ23" s="1280"/>
      <c r="MNR23" s="1280"/>
      <c r="MNS23" s="1280"/>
      <c r="MNT23" s="1280"/>
      <c r="MNU23" s="1280"/>
      <c r="MNV23" s="1280"/>
      <c r="MNW23" s="1280"/>
      <c r="MNX23" s="1280"/>
      <c r="MNY23" s="1280"/>
      <c r="MNZ23" s="1280"/>
      <c r="MOA23" s="1280"/>
      <c r="MOB23" s="1280"/>
      <c r="MOC23" s="1280"/>
      <c r="MOD23" s="1280"/>
      <c r="MOE23" s="1280"/>
      <c r="MOF23" s="1280"/>
      <c r="MOG23" s="1280"/>
      <c r="MOH23" s="1280"/>
      <c r="MOI23" s="1280"/>
      <c r="MOJ23" s="1280"/>
      <c r="MOK23" s="1280"/>
      <c r="MOL23" s="1280"/>
      <c r="MOM23" s="1280"/>
      <c r="MON23" s="1280"/>
      <c r="MOO23" s="1280"/>
      <c r="MOP23" s="1280"/>
      <c r="MOQ23" s="1280"/>
      <c r="MOR23" s="1280"/>
      <c r="MOS23" s="1280"/>
      <c r="MOT23" s="1280"/>
      <c r="MOU23" s="1280"/>
      <c r="MOV23" s="1280"/>
      <c r="MOW23" s="1280"/>
      <c r="MOX23" s="1280"/>
      <c r="MOY23" s="1280"/>
      <c r="MOZ23" s="1280"/>
      <c r="MPA23" s="1280"/>
      <c r="MPB23" s="1280"/>
      <c r="MPC23" s="1280"/>
      <c r="MPD23" s="1280"/>
      <c r="MPE23" s="1280"/>
      <c r="MPF23" s="1280"/>
      <c r="MPG23" s="1280"/>
      <c r="MPH23" s="1280"/>
      <c r="MPI23" s="1280"/>
      <c r="MPJ23" s="1280"/>
      <c r="MPK23" s="1280"/>
      <c r="MPL23" s="1280"/>
      <c r="MPM23" s="1280"/>
      <c r="MPN23" s="1280"/>
      <c r="MPO23" s="1280"/>
      <c r="MPP23" s="1280"/>
      <c r="MPQ23" s="1280"/>
      <c r="MPR23" s="1280"/>
      <c r="MPS23" s="1280"/>
      <c r="MPT23" s="1280"/>
      <c r="MPU23" s="1280"/>
      <c r="MPV23" s="1280"/>
      <c r="MPW23" s="1280"/>
      <c r="MPX23" s="1280"/>
      <c r="MPY23" s="1280"/>
      <c r="MPZ23" s="1280"/>
      <c r="MQA23" s="1280"/>
      <c r="MQB23" s="1280"/>
      <c r="MQC23" s="1280"/>
      <c r="MQD23" s="1280"/>
      <c r="MQE23" s="1280"/>
      <c r="MQF23" s="1280"/>
      <c r="MQG23" s="1280"/>
      <c r="MQH23" s="1280"/>
      <c r="MQI23" s="1280"/>
      <c r="MQJ23" s="1280"/>
      <c r="MQK23" s="1280"/>
      <c r="MQL23" s="1280"/>
      <c r="MQM23" s="1280"/>
      <c r="MQN23" s="1280"/>
      <c r="MQO23" s="1280"/>
      <c r="MQP23" s="1280"/>
      <c r="MQQ23" s="1280"/>
      <c r="MQR23" s="1280"/>
      <c r="MQS23" s="1280"/>
      <c r="MQT23" s="1280"/>
      <c r="MQU23" s="1280"/>
      <c r="MQV23" s="1280"/>
      <c r="MQW23" s="1280"/>
      <c r="MQX23" s="1280"/>
      <c r="MQY23" s="1280"/>
      <c r="MQZ23" s="1280"/>
      <c r="MRA23" s="1280"/>
      <c r="MRB23" s="1280"/>
      <c r="MRC23" s="1280"/>
      <c r="MRD23" s="1280"/>
      <c r="MRE23" s="1280"/>
      <c r="MRF23" s="1280"/>
      <c r="MRG23" s="1280"/>
      <c r="MRH23" s="1280"/>
      <c r="MRI23" s="1280"/>
      <c r="MRJ23" s="1280"/>
      <c r="MRK23" s="1280"/>
      <c r="MRL23" s="1280"/>
      <c r="MRM23" s="1280"/>
      <c r="MRN23" s="1280"/>
      <c r="MRO23" s="1280"/>
      <c r="MRP23" s="1280"/>
      <c r="MRQ23" s="1280"/>
      <c r="MRR23" s="1280"/>
      <c r="MRS23" s="1280"/>
      <c r="MRT23" s="1280"/>
      <c r="MRU23" s="1280"/>
      <c r="MRV23" s="1280"/>
      <c r="MRW23" s="1280"/>
      <c r="MRX23" s="1280"/>
      <c r="MRY23" s="1280"/>
      <c r="MRZ23" s="1280"/>
      <c r="MSA23" s="1280"/>
      <c r="MSB23" s="1280"/>
      <c r="MSC23" s="1280"/>
      <c r="MSD23" s="1280"/>
      <c r="MSE23" s="1280"/>
      <c r="MSF23" s="1280"/>
      <c r="MSG23" s="1280"/>
      <c r="MSH23" s="1280"/>
      <c r="MSI23" s="1280"/>
      <c r="MSJ23" s="1280"/>
      <c r="MSK23" s="1280"/>
      <c r="MSL23" s="1280"/>
      <c r="MSM23" s="1280"/>
      <c r="MSN23" s="1280"/>
      <c r="MSO23" s="1280"/>
      <c r="MSP23" s="1280"/>
      <c r="MSQ23" s="1280"/>
      <c r="MSR23" s="1280"/>
      <c r="MSS23" s="1280"/>
      <c r="MST23" s="1280"/>
      <c r="MSU23" s="1280"/>
      <c r="MSV23" s="1280"/>
      <c r="MSW23" s="1280"/>
      <c r="MSX23" s="1280"/>
      <c r="MSY23" s="1280"/>
      <c r="MSZ23" s="1280"/>
      <c r="MTA23" s="1280"/>
      <c r="MTB23" s="1280"/>
      <c r="MTC23" s="1280"/>
      <c r="MTD23" s="1280"/>
      <c r="MTE23" s="1280"/>
      <c r="MTF23" s="1280"/>
      <c r="MTG23" s="1280"/>
      <c r="MTH23" s="1280"/>
      <c r="MTI23" s="1280"/>
      <c r="MTJ23" s="1280"/>
      <c r="MTK23" s="1280"/>
      <c r="MTL23" s="1280"/>
      <c r="MTM23" s="1280"/>
      <c r="MTN23" s="1280"/>
      <c r="MTO23" s="1280"/>
      <c r="MTP23" s="1280"/>
      <c r="MTQ23" s="1280"/>
      <c r="MTR23" s="1280"/>
      <c r="MTS23" s="1280"/>
      <c r="MTT23" s="1280"/>
      <c r="MTU23" s="1280"/>
      <c r="MTV23" s="1280"/>
      <c r="MTW23" s="1280"/>
      <c r="MTX23" s="1280"/>
      <c r="MTY23" s="1280"/>
      <c r="MTZ23" s="1280"/>
      <c r="MUA23" s="1280"/>
      <c r="MUB23" s="1280"/>
      <c r="MUC23" s="1280"/>
      <c r="MUD23" s="1280"/>
      <c r="MUE23" s="1280"/>
      <c r="MUF23" s="1280"/>
      <c r="MUG23" s="1280"/>
      <c r="MUH23" s="1280"/>
      <c r="MUI23" s="1280"/>
      <c r="MUJ23" s="1280"/>
      <c r="MUK23" s="1280"/>
      <c r="MUL23" s="1280"/>
      <c r="MUM23" s="1280"/>
      <c r="MUN23" s="1280"/>
      <c r="MUO23" s="1280"/>
      <c r="MUP23" s="1280"/>
      <c r="MUQ23" s="1280"/>
      <c r="MUR23" s="1280"/>
      <c r="MUS23" s="1280"/>
      <c r="MUT23" s="1280"/>
      <c r="MUU23" s="1280"/>
      <c r="MUV23" s="1280"/>
      <c r="MUW23" s="1280"/>
      <c r="MUX23" s="1280"/>
      <c r="MUY23" s="1280"/>
      <c r="MUZ23" s="1280"/>
      <c r="MVA23" s="1280"/>
      <c r="MVB23" s="1280"/>
      <c r="MVC23" s="1280"/>
      <c r="MVD23" s="1280"/>
      <c r="MVE23" s="1280"/>
      <c r="MVF23" s="1280"/>
      <c r="MVG23" s="1280"/>
      <c r="MVH23" s="1280"/>
      <c r="MVI23" s="1280"/>
      <c r="MVJ23" s="1280"/>
      <c r="MVK23" s="1280"/>
      <c r="MVL23" s="1280"/>
      <c r="MVM23" s="1280"/>
      <c r="MVN23" s="1280"/>
      <c r="MVO23" s="1280"/>
      <c r="MVP23" s="1280"/>
      <c r="MVQ23" s="1280"/>
      <c r="MVR23" s="1280"/>
      <c r="MVS23" s="1280"/>
      <c r="MVT23" s="1280"/>
      <c r="MVU23" s="1280"/>
      <c r="MVV23" s="1280"/>
      <c r="MVW23" s="1280"/>
      <c r="MVX23" s="1280"/>
      <c r="MVY23" s="1280"/>
      <c r="MVZ23" s="1280"/>
      <c r="MWA23" s="1280"/>
      <c r="MWB23" s="1280"/>
      <c r="MWC23" s="1280"/>
      <c r="MWD23" s="1280"/>
      <c r="MWE23" s="1280"/>
      <c r="MWF23" s="1280"/>
      <c r="MWG23" s="1280"/>
      <c r="MWH23" s="1280"/>
      <c r="MWI23" s="1280"/>
      <c r="MWJ23" s="1280"/>
      <c r="MWK23" s="1280"/>
      <c r="MWL23" s="1280"/>
      <c r="MWM23" s="1280"/>
      <c r="MWN23" s="1280"/>
      <c r="MWO23" s="1280"/>
      <c r="MWP23" s="1280"/>
      <c r="MWQ23" s="1280"/>
      <c r="MWR23" s="1280"/>
      <c r="MWS23" s="1280"/>
      <c r="MWT23" s="1280"/>
      <c r="MWU23" s="1280"/>
      <c r="MWV23" s="1280"/>
      <c r="MWW23" s="1280"/>
      <c r="MWX23" s="1280"/>
      <c r="MWY23" s="1280"/>
      <c r="MWZ23" s="1280"/>
      <c r="MXA23" s="1280"/>
      <c r="MXB23" s="1280"/>
      <c r="MXC23" s="1280"/>
      <c r="MXD23" s="1280"/>
      <c r="MXE23" s="1280"/>
      <c r="MXF23" s="1280"/>
      <c r="MXG23" s="1280"/>
      <c r="MXH23" s="1280"/>
      <c r="MXI23" s="1280"/>
      <c r="MXJ23" s="1280"/>
      <c r="MXK23" s="1280"/>
      <c r="MXL23" s="1280"/>
      <c r="MXM23" s="1280"/>
      <c r="MXN23" s="1280"/>
      <c r="MXO23" s="1280"/>
      <c r="MXP23" s="1280"/>
      <c r="MXQ23" s="1280"/>
      <c r="MXR23" s="1280"/>
      <c r="MXS23" s="1280"/>
      <c r="MXT23" s="1280"/>
      <c r="MXU23" s="1280"/>
      <c r="MXV23" s="1280"/>
      <c r="MXW23" s="1280"/>
      <c r="MXX23" s="1280"/>
      <c r="MXY23" s="1280"/>
      <c r="MXZ23" s="1280"/>
      <c r="MYA23" s="1280"/>
      <c r="MYB23" s="1280"/>
      <c r="MYC23" s="1280"/>
      <c r="MYD23" s="1280"/>
      <c r="MYE23" s="1280"/>
      <c r="MYF23" s="1280"/>
      <c r="MYG23" s="1280"/>
      <c r="MYH23" s="1280"/>
      <c r="MYI23" s="1280"/>
      <c r="MYJ23" s="1280"/>
      <c r="MYK23" s="1280"/>
      <c r="MYL23" s="1280"/>
      <c r="MYM23" s="1280"/>
      <c r="MYN23" s="1280"/>
      <c r="MYO23" s="1280"/>
      <c r="MYP23" s="1280"/>
      <c r="MYQ23" s="1280"/>
      <c r="MYR23" s="1280"/>
      <c r="MYS23" s="1280"/>
      <c r="MYT23" s="1280"/>
      <c r="MYU23" s="1280"/>
      <c r="MYV23" s="1280"/>
      <c r="MYW23" s="1280"/>
      <c r="MYX23" s="1280"/>
      <c r="MYY23" s="1280"/>
      <c r="MYZ23" s="1280"/>
      <c r="MZA23" s="1280"/>
      <c r="MZB23" s="1280"/>
      <c r="MZC23" s="1280"/>
      <c r="MZD23" s="1280"/>
      <c r="MZE23" s="1280"/>
      <c r="MZF23" s="1280"/>
      <c r="MZG23" s="1280"/>
      <c r="MZH23" s="1280"/>
      <c r="MZI23" s="1280"/>
      <c r="MZJ23" s="1280"/>
      <c r="MZK23" s="1280"/>
      <c r="MZL23" s="1280"/>
      <c r="MZM23" s="1280"/>
      <c r="MZN23" s="1280"/>
      <c r="MZO23" s="1280"/>
      <c r="MZP23" s="1280"/>
      <c r="MZQ23" s="1280"/>
      <c r="MZR23" s="1280"/>
      <c r="MZS23" s="1280"/>
      <c r="MZT23" s="1280"/>
      <c r="MZU23" s="1280"/>
      <c r="MZV23" s="1280"/>
      <c r="MZW23" s="1280"/>
      <c r="MZX23" s="1280"/>
      <c r="MZY23" s="1280"/>
      <c r="MZZ23" s="1280"/>
      <c r="NAA23" s="1280"/>
      <c r="NAB23" s="1280"/>
      <c r="NAC23" s="1280"/>
      <c r="NAD23" s="1280"/>
      <c r="NAE23" s="1280"/>
      <c r="NAF23" s="1280"/>
      <c r="NAG23" s="1280"/>
      <c r="NAH23" s="1280"/>
      <c r="NAI23" s="1280"/>
      <c r="NAJ23" s="1280"/>
      <c r="NAK23" s="1280"/>
      <c r="NAL23" s="1280"/>
      <c r="NAM23" s="1280"/>
      <c r="NAN23" s="1280"/>
      <c r="NAO23" s="1280"/>
      <c r="NAP23" s="1280"/>
      <c r="NAQ23" s="1280"/>
      <c r="NAR23" s="1280"/>
      <c r="NAS23" s="1280"/>
      <c r="NAT23" s="1280"/>
      <c r="NAU23" s="1280"/>
      <c r="NAV23" s="1280"/>
      <c r="NAW23" s="1280"/>
      <c r="NAX23" s="1280"/>
      <c r="NAY23" s="1280"/>
      <c r="NAZ23" s="1280"/>
      <c r="NBA23" s="1280"/>
      <c r="NBB23" s="1280"/>
      <c r="NBC23" s="1280"/>
      <c r="NBD23" s="1280"/>
      <c r="NBE23" s="1280"/>
      <c r="NBF23" s="1280"/>
      <c r="NBG23" s="1280"/>
      <c r="NBH23" s="1280"/>
      <c r="NBI23" s="1280"/>
      <c r="NBJ23" s="1280"/>
      <c r="NBK23" s="1280"/>
      <c r="NBL23" s="1280"/>
      <c r="NBM23" s="1280"/>
      <c r="NBN23" s="1280"/>
      <c r="NBO23" s="1280"/>
      <c r="NBP23" s="1280"/>
      <c r="NBQ23" s="1280"/>
      <c r="NBR23" s="1280"/>
      <c r="NBS23" s="1280"/>
      <c r="NBT23" s="1280"/>
      <c r="NBU23" s="1280"/>
      <c r="NBV23" s="1280"/>
      <c r="NBW23" s="1280"/>
      <c r="NBX23" s="1280"/>
      <c r="NBY23" s="1280"/>
      <c r="NBZ23" s="1280"/>
      <c r="NCA23" s="1280"/>
      <c r="NCB23" s="1280"/>
      <c r="NCC23" s="1280"/>
      <c r="NCD23" s="1280"/>
      <c r="NCE23" s="1280"/>
      <c r="NCF23" s="1280"/>
      <c r="NCG23" s="1280"/>
      <c r="NCH23" s="1280"/>
      <c r="NCI23" s="1280"/>
      <c r="NCJ23" s="1280"/>
      <c r="NCK23" s="1280"/>
      <c r="NCL23" s="1280"/>
      <c r="NCM23" s="1280"/>
      <c r="NCN23" s="1280"/>
      <c r="NCO23" s="1280"/>
      <c r="NCP23" s="1280"/>
      <c r="NCQ23" s="1280"/>
      <c r="NCR23" s="1280"/>
      <c r="NCS23" s="1280"/>
      <c r="NCT23" s="1280"/>
      <c r="NCU23" s="1280"/>
      <c r="NCV23" s="1280"/>
      <c r="NCW23" s="1280"/>
      <c r="NCX23" s="1280"/>
      <c r="NCY23" s="1280"/>
      <c r="NCZ23" s="1280"/>
      <c r="NDA23" s="1280"/>
      <c r="NDB23" s="1280"/>
      <c r="NDC23" s="1280"/>
      <c r="NDD23" s="1280"/>
      <c r="NDE23" s="1280"/>
      <c r="NDF23" s="1280"/>
      <c r="NDG23" s="1280"/>
      <c r="NDH23" s="1280"/>
      <c r="NDI23" s="1280"/>
      <c r="NDJ23" s="1280"/>
      <c r="NDK23" s="1280"/>
      <c r="NDL23" s="1280"/>
      <c r="NDM23" s="1280"/>
      <c r="NDN23" s="1280"/>
      <c r="NDO23" s="1280"/>
      <c r="NDP23" s="1280"/>
      <c r="NDQ23" s="1280"/>
      <c r="NDR23" s="1280"/>
      <c r="NDS23" s="1280"/>
      <c r="NDT23" s="1280"/>
      <c r="NDU23" s="1280"/>
      <c r="NDV23" s="1280"/>
      <c r="NDW23" s="1280"/>
      <c r="NDX23" s="1280"/>
      <c r="NDY23" s="1280"/>
      <c r="NDZ23" s="1280"/>
      <c r="NEA23" s="1280"/>
      <c r="NEB23" s="1280"/>
      <c r="NEC23" s="1280"/>
      <c r="NED23" s="1280"/>
      <c r="NEE23" s="1280"/>
      <c r="NEF23" s="1280"/>
      <c r="NEG23" s="1280"/>
      <c r="NEH23" s="1280"/>
      <c r="NEI23" s="1280"/>
      <c r="NEJ23" s="1280"/>
      <c r="NEK23" s="1280"/>
      <c r="NEL23" s="1280"/>
      <c r="NEM23" s="1280"/>
      <c r="NEN23" s="1280"/>
      <c r="NEO23" s="1280"/>
      <c r="NEP23" s="1280"/>
      <c r="NEQ23" s="1280"/>
      <c r="NER23" s="1280"/>
      <c r="NES23" s="1280"/>
      <c r="NET23" s="1280"/>
      <c r="NEU23" s="1280"/>
      <c r="NEV23" s="1280"/>
      <c r="NEW23" s="1280"/>
      <c r="NEX23" s="1280"/>
      <c r="NEY23" s="1280"/>
      <c r="NEZ23" s="1280"/>
      <c r="NFA23" s="1280"/>
      <c r="NFB23" s="1280"/>
      <c r="NFC23" s="1280"/>
      <c r="NFD23" s="1280"/>
      <c r="NFE23" s="1280"/>
      <c r="NFF23" s="1280"/>
      <c r="NFG23" s="1280"/>
      <c r="NFH23" s="1280"/>
      <c r="NFI23" s="1280"/>
      <c r="NFJ23" s="1280"/>
      <c r="NFK23" s="1280"/>
      <c r="NFL23" s="1280"/>
      <c r="NFM23" s="1280"/>
      <c r="NFN23" s="1280"/>
      <c r="NFO23" s="1280"/>
      <c r="NFP23" s="1280"/>
      <c r="NFQ23" s="1280"/>
      <c r="NFR23" s="1280"/>
      <c r="NFS23" s="1280"/>
      <c r="NFT23" s="1280"/>
      <c r="NFU23" s="1280"/>
      <c r="NFV23" s="1280"/>
      <c r="NFW23" s="1280"/>
      <c r="NFX23" s="1280"/>
      <c r="NFY23" s="1280"/>
      <c r="NFZ23" s="1280"/>
      <c r="NGA23" s="1280"/>
      <c r="NGB23" s="1280"/>
      <c r="NGC23" s="1280"/>
      <c r="NGD23" s="1280"/>
      <c r="NGE23" s="1280"/>
      <c r="NGF23" s="1280"/>
      <c r="NGG23" s="1280"/>
      <c r="NGH23" s="1280"/>
      <c r="NGI23" s="1280"/>
      <c r="NGJ23" s="1280"/>
      <c r="NGK23" s="1280"/>
      <c r="NGL23" s="1280"/>
      <c r="NGM23" s="1280"/>
      <c r="NGN23" s="1280"/>
      <c r="NGO23" s="1280"/>
      <c r="NGP23" s="1280"/>
      <c r="NGQ23" s="1280"/>
      <c r="NGR23" s="1280"/>
      <c r="NGS23" s="1280"/>
      <c r="NGT23" s="1280"/>
      <c r="NGU23" s="1280"/>
      <c r="NGV23" s="1280"/>
      <c r="NGW23" s="1280"/>
      <c r="NGX23" s="1280"/>
      <c r="NGY23" s="1280"/>
      <c r="NGZ23" s="1280"/>
      <c r="NHA23" s="1280"/>
      <c r="NHB23" s="1280"/>
      <c r="NHC23" s="1280"/>
      <c r="NHD23" s="1280"/>
      <c r="NHE23" s="1280"/>
      <c r="NHF23" s="1280"/>
      <c r="NHG23" s="1280"/>
      <c r="NHH23" s="1280"/>
      <c r="NHI23" s="1280"/>
      <c r="NHJ23" s="1280"/>
      <c r="NHK23" s="1280"/>
      <c r="NHL23" s="1280"/>
      <c r="NHM23" s="1280"/>
      <c r="NHN23" s="1280"/>
      <c r="NHO23" s="1280"/>
      <c r="NHP23" s="1280"/>
      <c r="NHQ23" s="1280"/>
      <c r="NHR23" s="1280"/>
      <c r="NHS23" s="1280"/>
      <c r="NHT23" s="1280"/>
      <c r="NHU23" s="1280"/>
      <c r="NHV23" s="1280"/>
      <c r="NHW23" s="1280"/>
      <c r="NHX23" s="1280"/>
      <c r="NHY23" s="1280"/>
      <c r="NHZ23" s="1280"/>
      <c r="NIA23" s="1280"/>
      <c r="NIB23" s="1280"/>
      <c r="NIC23" s="1280"/>
      <c r="NID23" s="1280"/>
      <c r="NIE23" s="1280"/>
      <c r="NIF23" s="1280"/>
      <c r="NIG23" s="1280"/>
      <c r="NIH23" s="1280"/>
      <c r="NII23" s="1280"/>
      <c r="NIJ23" s="1280"/>
      <c r="NIK23" s="1280"/>
      <c r="NIL23" s="1280"/>
      <c r="NIM23" s="1280"/>
      <c r="NIN23" s="1280"/>
      <c r="NIO23" s="1280"/>
      <c r="NIP23" s="1280"/>
      <c r="NIQ23" s="1280"/>
      <c r="NIR23" s="1280"/>
      <c r="NIS23" s="1280"/>
      <c r="NIT23" s="1280"/>
      <c r="NIU23" s="1280"/>
      <c r="NIV23" s="1280"/>
      <c r="NIW23" s="1280"/>
      <c r="NIX23" s="1280"/>
      <c r="NIY23" s="1280"/>
      <c r="NIZ23" s="1280"/>
      <c r="NJA23" s="1280"/>
      <c r="NJB23" s="1280"/>
      <c r="NJC23" s="1280"/>
      <c r="NJD23" s="1280"/>
      <c r="NJE23" s="1280"/>
      <c r="NJF23" s="1280"/>
      <c r="NJG23" s="1280"/>
      <c r="NJH23" s="1280"/>
      <c r="NJI23" s="1280"/>
      <c r="NJJ23" s="1280"/>
      <c r="NJK23" s="1280"/>
      <c r="NJL23" s="1280"/>
      <c r="NJM23" s="1280"/>
      <c r="NJN23" s="1280"/>
      <c r="NJO23" s="1280"/>
      <c r="NJP23" s="1280"/>
      <c r="NJQ23" s="1280"/>
      <c r="NJR23" s="1280"/>
      <c r="NJS23" s="1280"/>
      <c r="NJT23" s="1280"/>
      <c r="NJU23" s="1280"/>
      <c r="NJV23" s="1280"/>
      <c r="NJW23" s="1280"/>
      <c r="NJX23" s="1280"/>
      <c r="NJY23" s="1280"/>
      <c r="NJZ23" s="1280"/>
      <c r="NKA23" s="1280"/>
      <c r="NKB23" s="1280"/>
      <c r="NKC23" s="1280"/>
      <c r="NKD23" s="1280"/>
      <c r="NKE23" s="1280"/>
      <c r="NKF23" s="1280"/>
      <c r="NKG23" s="1280"/>
      <c r="NKH23" s="1280"/>
      <c r="NKI23" s="1280"/>
      <c r="NKJ23" s="1280"/>
      <c r="NKK23" s="1280"/>
      <c r="NKL23" s="1280"/>
      <c r="NKM23" s="1280"/>
      <c r="NKN23" s="1280"/>
      <c r="NKO23" s="1280"/>
      <c r="NKP23" s="1280"/>
      <c r="NKQ23" s="1280"/>
      <c r="NKR23" s="1280"/>
      <c r="NKS23" s="1280"/>
      <c r="NKT23" s="1280"/>
      <c r="NKU23" s="1280"/>
      <c r="NKV23" s="1280"/>
      <c r="NKW23" s="1280"/>
      <c r="NKX23" s="1280"/>
      <c r="NKY23" s="1280"/>
      <c r="NKZ23" s="1280"/>
      <c r="NLA23" s="1280"/>
      <c r="NLB23" s="1280"/>
      <c r="NLC23" s="1280"/>
      <c r="NLD23" s="1280"/>
      <c r="NLE23" s="1280"/>
      <c r="NLF23" s="1280"/>
      <c r="NLG23" s="1280"/>
      <c r="NLH23" s="1280"/>
      <c r="NLI23" s="1280"/>
      <c r="NLJ23" s="1280"/>
      <c r="NLK23" s="1280"/>
      <c r="NLL23" s="1280"/>
      <c r="NLM23" s="1280"/>
      <c r="NLN23" s="1280"/>
      <c r="NLO23" s="1280"/>
      <c r="NLP23" s="1280"/>
      <c r="NLQ23" s="1280"/>
      <c r="NLR23" s="1280"/>
      <c r="NLS23" s="1280"/>
      <c r="NLT23" s="1280"/>
      <c r="NLU23" s="1280"/>
      <c r="NLV23" s="1280"/>
      <c r="NLW23" s="1280"/>
      <c r="NLX23" s="1280"/>
      <c r="NLY23" s="1280"/>
      <c r="NLZ23" s="1280"/>
      <c r="NMA23" s="1280"/>
      <c r="NMB23" s="1280"/>
      <c r="NMC23" s="1280"/>
      <c r="NMD23" s="1280"/>
      <c r="NME23" s="1280"/>
      <c r="NMF23" s="1280"/>
      <c r="NMG23" s="1280"/>
      <c r="NMH23" s="1280"/>
      <c r="NMI23" s="1280"/>
      <c r="NMJ23" s="1280"/>
      <c r="NMK23" s="1280"/>
      <c r="NML23" s="1280"/>
      <c r="NMM23" s="1280"/>
      <c r="NMN23" s="1280"/>
      <c r="NMO23" s="1280"/>
      <c r="NMP23" s="1280"/>
      <c r="NMQ23" s="1280"/>
      <c r="NMR23" s="1280"/>
      <c r="NMS23" s="1280"/>
      <c r="NMT23" s="1280"/>
      <c r="NMU23" s="1280"/>
      <c r="NMV23" s="1280"/>
      <c r="NMW23" s="1280"/>
      <c r="NMX23" s="1280"/>
      <c r="NMY23" s="1280"/>
      <c r="NMZ23" s="1280"/>
      <c r="NNA23" s="1280"/>
      <c r="NNB23" s="1280"/>
      <c r="NNC23" s="1280"/>
      <c r="NND23" s="1280"/>
      <c r="NNE23" s="1280"/>
      <c r="NNF23" s="1280"/>
      <c r="NNG23" s="1280"/>
      <c r="NNH23" s="1280"/>
      <c r="NNI23" s="1280"/>
      <c r="NNJ23" s="1280"/>
      <c r="NNK23" s="1280"/>
      <c r="NNL23" s="1280"/>
      <c r="NNM23" s="1280"/>
      <c r="NNN23" s="1280"/>
      <c r="NNO23" s="1280"/>
      <c r="NNP23" s="1280"/>
      <c r="NNQ23" s="1280"/>
      <c r="NNR23" s="1280"/>
      <c r="NNS23" s="1280"/>
      <c r="NNT23" s="1280"/>
      <c r="NNU23" s="1280"/>
      <c r="NNV23" s="1280"/>
      <c r="NNW23" s="1280"/>
      <c r="NNX23" s="1280"/>
      <c r="NNY23" s="1280"/>
      <c r="NNZ23" s="1280"/>
      <c r="NOA23" s="1280"/>
      <c r="NOB23" s="1280"/>
      <c r="NOC23" s="1280"/>
      <c r="NOD23" s="1280"/>
      <c r="NOE23" s="1280"/>
      <c r="NOF23" s="1280"/>
      <c r="NOG23" s="1280"/>
      <c r="NOH23" s="1280"/>
      <c r="NOI23" s="1280"/>
      <c r="NOJ23" s="1280"/>
      <c r="NOK23" s="1280"/>
      <c r="NOL23" s="1280"/>
      <c r="NOM23" s="1280"/>
      <c r="NON23" s="1280"/>
      <c r="NOO23" s="1280"/>
      <c r="NOP23" s="1280"/>
      <c r="NOQ23" s="1280"/>
      <c r="NOR23" s="1280"/>
      <c r="NOS23" s="1280"/>
      <c r="NOT23" s="1280"/>
      <c r="NOU23" s="1280"/>
      <c r="NOV23" s="1280"/>
      <c r="NOW23" s="1280"/>
      <c r="NOX23" s="1280"/>
      <c r="NOY23" s="1280"/>
      <c r="NOZ23" s="1280"/>
      <c r="NPA23" s="1280"/>
      <c r="NPB23" s="1280"/>
      <c r="NPC23" s="1280"/>
      <c r="NPD23" s="1280"/>
      <c r="NPE23" s="1280"/>
      <c r="NPF23" s="1280"/>
      <c r="NPG23" s="1280"/>
      <c r="NPH23" s="1280"/>
      <c r="NPI23" s="1280"/>
      <c r="NPJ23" s="1280"/>
      <c r="NPK23" s="1280"/>
      <c r="NPL23" s="1280"/>
      <c r="NPM23" s="1280"/>
      <c r="NPN23" s="1280"/>
      <c r="NPO23" s="1280"/>
      <c r="NPP23" s="1280"/>
      <c r="NPQ23" s="1280"/>
      <c r="NPR23" s="1280"/>
      <c r="NPS23" s="1280"/>
      <c r="NPT23" s="1280"/>
      <c r="NPU23" s="1280"/>
      <c r="NPV23" s="1280"/>
      <c r="NPW23" s="1280"/>
      <c r="NPX23" s="1280"/>
      <c r="NPY23" s="1280"/>
      <c r="NPZ23" s="1280"/>
      <c r="NQA23" s="1280"/>
      <c r="NQB23" s="1280"/>
      <c r="NQC23" s="1280"/>
      <c r="NQD23" s="1280"/>
      <c r="NQE23" s="1280"/>
      <c r="NQF23" s="1280"/>
      <c r="NQG23" s="1280"/>
      <c r="NQH23" s="1280"/>
      <c r="NQI23" s="1280"/>
      <c r="NQJ23" s="1280"/>
      <c r="NQK23" s="1280"/>
      <c r="NQL23" s="1280"/>
      <c r="NQM23" s="1280"/>
      <c r="NQN23" s="1280"/>
      <c r="NQO23" s="1280"/>
      <c r="NQP23" s="1280"/>
      <c r="NQQ23" s="1280"/>
      <c r="NQR23" s="1280"/>
      <c r="NQS23" s="1280"/>
      <c r="NQT23" s="1280"/>
      <c r="NQU23" s="1280"/>
      <c r="NQV23" s="1280"/>
      <c r="NQW23" s="1280"/>
      <c r="NQX23" s="1280"/>
      <c r="NQY23" s="1280"/>
      <c r="NQZ23" s="1280"/>
      <c r="NRA23" s="1280"/>
      <c r="NRB23" s="1280"/>
      <c r="NRC23" s="1280"/>
      <c r="NRD23" s="1280"/>
      <c r="NRE23" s="1280"/>
      <c r="NRF23" s="1280"/>
      <c r="NRG23" s="1280"/>
      <c r="NRH23" s="1280"/>
      <c r="NRI23" s="1280"/>
      <c r="NRJ23" s="1280"/>
      <c r="NRK23" s="1280"/>
      <c r="NRL23" s="1280"/>
      <c r="NRM23" s="1280"/>
      <c r="NRN23" s="1280"/>
      <c r="NRO23" s="1280"/>
      <c r="NRP23" s="1280"/>
      <c r="NRQ23" s="1280"/>
      <c r="NRR23" s="1280"/>
      <c r="NRS23" s="1280"/>
      <c r="NRT23" s="1280"/>
      <c r="NRU23" s="1280"/>
      <c r="NRV23" s="1280"/>
      <c r="NRW23" s="1280"/>
      <c r="NRX23" s="1280"/>
      <c r="NRY23" s="1280"/>
      <c r="NRZ23" s="1280"/>
      <c r="NSA23" s="1280"/>
      <c r="NSB23" s="1280"/>
      <c r="NSC23" s="1280"/>
      <c r="NSD23" s="1280"/>
      <c r="NSE23" s="1280"/>
      <c r="NSF23" s="1280"/>
      <c r="NSG23" s="1280"/>
      <c r="NSH23" s="1280"/>
      <c r="NSI23" s="1280"/>
      <c r="NSJ23" s="1280"/>
      <c r="NSK23" s="1280"/>
      <c r="NSL23" s="1280"/>
      <c r="NSM23" s="1280"/>
      <c r="NSN23" s="1280"/>
      <c r="NSO23" s="1280"/>
      <c r="NSP23" s="1280"/>
      <c r="NSQ23" s="1280"/>
      <c r="NSR23" s="1280"/>
      <c r="NSS23" s="1280"/>
      <c r="NST23" s="1280"/>
      <c r="NSU23" s="1280"/>
      <c r="NSV23" s="1280"/>
      <c r="NSW23" s="1280"/>
      <c r="NSX23" s="1280"/>
      <c r="NSY23" s="1280"/>
      <c r="NSZ23" s="1280"/>
      <c r="NTA23" s="1280"/>
      <c r="NTB23" s="1280"/>
      <c r="NTC23" s="1280"/>
      <c r="NTD23" s="1280"/>
      <c r="NTE23" s="1280"/>
      <c r="NTF23" s="1280"/>
      <c r="NTG23" s="1280"/>
      <c r="NTH23" s="1280"/>
      <c r="NTI23" s="1280"/>
      <c r="NTJ23" s="1280"/>
      <c r="NTK23" s="1280"/>
      <c r="NTL23" s="1280"/>
      <c r="NTM23" s="1280"/>
      <c r="NTN23" s="1280"/>
      <c r="NTO23" s="1280"/>
      <c r="NTP23" s="1280"/>
      <c r="NTQ23" s="1280"/>
      <c r="NTR23" s="1280"/>
      <c r="NTS23" s="1280"/>
      <c r="NTT23" s="1280"/>
      <c r="NTU23" s="1280"/>
      <c r="NTV23" s="1280"/>
      <c r="NTW23" s="1280"/>
      <c r="NTX23" s="1280"/>
      <c r="NTY23" s="1280"/>
      <c r="NTZ23" s="1280"/>
      <c r="NUA23" s="1280"/>
      <c r="NUB23" s="1280"/>
      <c r="NUC23" s="1280"/>
      <c r="NUD23" s="1280"/>
      <c r="NUE23" s="1280"/>
      <c r="NUF23" s="1280"/>
      <c r="NUG23" s="1280"/>
      <c r="NUH23" s="1280"/>
      <c r="NUI23" s="1280"/>
      <c r="NUJ23" s="1280"/>
      <c r="NUK23" s="1280"/>
      <c r="NUL23" s="1280"/>
      <c r="NUM23" s="1280"/>
      <c r="NUN23" s="1280"/>
      <c r="NUO23" s="1280"/>
      <c r="NUP23" s="1280"/>
      <c r="NUQ23" s="1280"/>
      <c r="NUR23" s="1280"/>
      <c r="NUS23" s="1280"/>
      <c r="NUT23" s="1280"/>
      <c r="NUU23" s="1280"/>
      <c r="NUV23" s="1280"/>
      <c r="NUW23" s="1280"/>
      <c r="NUX23" s="1280"/>
      <c r="NUY23" s="1280"/>
      <c r="NUZ23" s="1280"/>
      <c r="NVA23" s="1280"/>
      <c r="NVB23" s="1280"/>
      <c r="NVC23" s="1280"/>
      <c r="NVD23" s="1280"/>
      <c r="NVE23" s="1280"/>
      <c r="NVF23" s="1280"/>
      <c r="NVG23" s="1280"/>
      <c r="NVH23" s="1280"/>
      <c r="NVI23" s="1280"/>
      <c r="NVJ23" s="1280"/>
      <c r="NVK23" s="1280"/>
      <c r="NVL23" s="1280"/>
      <c r="NVM23" s="1280"/>
      <c r="NVN23" s="1280"/>
      <c r="NVO23" s="1280"/>
      <c r="NVP23" s="1280"/>
      <c r="NVQ23" s="1280"/>
      <c r="NVR23" s="1280"/>
      <c r="NVS23" s="1280"/>
      <c r="NVT23" s="1280"/>
      <c r="NVU23" s="1280"/>
      <c r="NVV23" s="1280"/>
      <c r="NVW23" s="1280"/>
      <c r="NVX23" s="1280"/>
      <c r="NVY23" s="1280"/>
      <c r="NVZ23" s="1280"/>
      <c r="NWA23" s="1280"/>
      <c r="NWB23" s="1280"/>
      <c r="NWC23" s="1280"/>
      <c r="NWD23" s="1280"/>
      <c r="NWE23" s="1280"/>
      <c r="NWF23" s="1280"/>
      <c r="NWG23" s="1280"/>
      <c r="NWH23" s="1280"/>
      <c r="NWI23" s="1280"/>
      <c r="NWJ23" s="1280"/>
      <c r="NWK23" s="1280"/>
      <c r="NWL23" s="1280"/>
      <c r="NWM23" s="1280"/>
      <c r="NWN23" s="1280"/>
      <c r="NWO23" s="1280"/>
      <c r="NWP23" s="1280"/>
      <c r="NWQ23" s="1280"/>
      <c r="NWR23" s="1280"/>
      <c r="NWS23" s="1280"/>
      <c r="NWT23" s="1280"/>
      <c r="NWU23" s="1280"/>
      <c r="NWV23" s="1280"/>
      <c r="NWW23" s="1280"/>
      <c r="NWX23" s="1280"/>
      <c r="NWY23" s="1280"/>
      <c r="NWZ23" s="1280"/>
      <c r="NXA23" s="1280"/>
      <c r="NXB23" s="1280"/>
      <c r="NXC23" s="1280"/>
      <c r="NXD23" s="1280"/>
      <c r="NXE23" s="1280"/>
      <c r="NXF23" s="1280"/>
      <c r="NXG23" s="1280"/>
      <c r="NXH23" s="1280"/>
      <c r="NXI23" s="1280"/>
      <c r="NXJ23" s="1280"/>
      <c r="NXK23" s="1280"/>
      <c r="NXL23" s="1280"/>
      <c r="NXM23" s="1280"/>
      <c r="NXN23" s="1280"/>
      <c r="NXO23" s="1280"/>
      <c r="NXP23" s="1280"/>
      <c r="NXQ23" s="1280"/>
      <c r="NXR23" s="1280"/>
      <c r="NXS23" s="1280"/>
      <c r="NXT23" s="1280"/>
      <c r="NXU23" s="1280"/>
      <c r="NXV23" s="1280"/>
      <c r="NXW23" s="1280"/>
      <c r="NXX23" s="1280"/>
      <c r="NXY23" s="1280"/>
      <c r="NXZ23" s="1280"/>
      <c r="NYA23" s="1280"/>
      <c r="NYB23" s="1280"/>
      <c r="NYC23" s="1280"/>
      <c r="NYD23" s="1280"/>
      <c r="NYE23" s="1280"/>
      <c r="NYF23" s="1280"/>
      <c r="NYG23" s="1280"/>
      <c r="NYH23" s="1280"/>
      <c r="NYI23" s="1280"/>
      <c r="NYJ23" s="1280"/>
      <c r="NYK23" s="1280"/>
      <c r="NYL23" s="1280"/>
      <c r="NYM23" s="1280"/>
      <c r="NYN23" s="1280"/>
      <c r="NYO23" s="1280"/>
      <c r="NYP23" s="1280"/>
      <c r="NYQ23" s="1280"/>
      <c r="NYR23" s="1280"/>
      <c r="NYS23" s="1280"/>
      <c r="NYT23" s="1280"/>
      <c r="NYU23" s="1280"/>
      <c r="NYV23" s="1280"/>
      <c r="NYW23" s="1280"/>
      <c r="NYX23" s="1280"/>
      <c r="NYY23" s="1280"/>
      <c r="NYZ23" s="1280"/>
      <c r="NZA23" s="1280"/>
      <c r="NZB23" s="1280"/>
      <c r="NZC23" s="1280"/>
      <c r="NZD23" s="1280"/>
      <c r="NZE23" s="1280"/>
      <c r="NZF23" s="1280"/>
      <c r="NZG23" s="1280"/>
      <c r="NZH23" s="1280"/>
      <c r="NZI23" s="1280"/>
      <c r="NZJ23" s="1280"/>
      <c r="NZK23" s="1280"/>
      <c r="NZL23" s="1280"/>
      <c r="NZM23" s="1280"/>
      <c r="NZN23" s="1280"/>
      <c r="NZO23" s="1280"/>
      <c r="NZP23" s="1280"/>
      <c r="NZQ23" s="1280"/>
      <c r="NZR23" s="1280"/>
      <c r="NZS23" s="1280"/>
      <c r="NZT23" s="1280"/>
      <c r="NZU23" s="1280"/>
      <c r="NZV23" s="1280"/>
      <c r="NZW23" s="1280"/>
      <c r="NZX23" s="1280"/>
      <c r="NZY23" s="1280"/>
      <c r="NZZ23" s="1280"/>
      <c r="OAA23" s="1280"/>
      <c r="OAB23" s="1280"/>
      <c r="OAC23" s="1280"/>
      <c r="OAD23" s="1280"/>
      <c r="OAE23" s="1280"/>
      <c r="OAF23" s="1280"/>
      <c r="OAG23" s="1280"/>
      <c r="OAH23" s="1280"/>
      <c r="OAI23" s="1280"/>
      <c r="OAJ23" s="1280"/>
      <c r="OAK23" s="1280"/>
      <c r="OAL23" s="1280"/>
      <c r="OAM23" s="1280"/>
      <c r="OAN23" s="1280"/>
      <c r="OAO23" s="1280"/>
      <c r="OAP23" s="1280"/>
      <c r="OAQ23" s="1280"/>
      <c r="OAR23" s="1280"/>
      <c r="OAS23" s="1280"/>
      <c r="OAT23" s="1280"/>
      <c r="OAU23" s="1280"/>
      <c r="OAV23" s="1280"/>
      <c r="OAW23" s="1280"/>
      <c r="OAX23" s="1280"/>
      <c r="OAY23" s="1280"/>
      <c r="OAZ23" s="1280"/>
      <c r="OBA23" s="1280"/>
      <c r="OBB23" s="1280"/>
      <c r="OBC23" s="1280"/>
      <c r="OBD23" s="1280"/>
      <c r="OBE23" s="1280"/>
      <c r="OBF23" s="1280"/>
      <c r="OBG23" s="1280"/>
      <c r="OBH23" s="1280"/>
      <c r="OBI23" s="1280"/>
      <c r="OBJ23" s="1280"/>
      <c r="OBK23" s="1280"/>
      <c r="OBL23" s="1280"/>
      <c r="OBM23" s="1280"/>
      <c r="OBN23" s="1280"/>
      <c r="OBO23" s="1280"/>
      <c r="OBP23" s="1280"/>
      <c r="OBQ23" s="1280"/>
      <c r="OBR23" s="1280"/>
      <c r="OBS23" s="1280"/>
      <c r="OBT23" s="1280"/>
      <c r="OBU23" s="1280"/>
      <c r="OBV23" s="1280"/>
      <c r="OBW23" s="1280"/>
      <c r="OBX23" s="1280"/>
      <c r="OBY23" s="1280"/>
      <c r="OBZ23" s="1280"/>
      <c r="OCA23" s="1280"/>
      <c r="OCB23" s="1280"/>
      <c r="OCC23" s="1280"/>
      <c r="OCD23" s="1280"/>
      <c r="OCE23" s="1280"/>
      <c r="OCF23" s="1280"/>
      <c r="OCG23" s="1280"/>
      <c r="OCH23" s="1280"/>
      <c r="OCI23" s="1280"/>
      <c r="OCJ23" s="1280"/>
      <c r="OCK23" s="1280"/>
      <c r="OCL23" s="1280"/>
      <c r="OCM23" s="1280"/>
      <c r="OCN23" s="1280"/>
      <c r="OCO23" s="1280"/>
      <c r="OCP23" s="1280"/>
      <c r="OCQ23" s="1280"/>
      <c r="OCR23" s="1280"/>
      <c r="OCS23" s="1280"/>
      <c r="OCT23" s="1280"/>
      <c r="OCU23" s="1280"/>
      <c r="OCV23" s="1280"/>
      <c r="OCW23" s="1280"/>
      <c r="OCX23" s="1280"/>
      <c r="OCY23" s="1280"/>
      <c r="OCZ23" s="1280"/>
      <c r="ODA23" s="1280"/>
      <c r="ODB23" s="1280"/>
      <c r="ODC23" s="1280"/>
      <c r="ODD23" s="1280"/>
      <c r="ODE23" s="1280"/>
      <c r="ODF23" s="1280"/>
      <c r="ODG23" s="1280"/>
      <c r="ODH23" s="1280"/>
      <c r="ODI23" s="1280"/>
      <c r="ODJ23" s="1280"/>
      <c r="ODK23" s="1280"/>
      <c r="ODL23" s="1280"/>
      <c r="ODM23" s="1280"/>
      <c r="ODN23" s="1280"/>
      <c r="ODO23" s="1280"/>
      <c r="ODP23" s="1280"/>
      <c r="ODQ23" s="1280"/>
      <c r="ODR23" s="1280"/>
      <c r="ODS23" s="1280"/>
      <c r="ODT23" s="1280"/>
      <c r="ODU23" s="1280"/>
      <c r="ODV23" s="1280"/>
      <c r="ODW23" s="1280"/>
      <c r="ODX23" s="1280"/>
      <c r="ODY23" s="1280"/>
      <c r="ODZ23" s="1280"/>
      <c r="OEA23" s="1280"/>
      <c r="OEB23" s="1280"/>
      <c r="OEC23" s="1280"/>
      <c r="OED23" s="1280"/>
      <c r="OEE23" s="1280"/>
      <c r="OEF23" s="1280"/>
      <c r="OEG23" s="1280"/>
      <c r="OEH23" s="1280"/>
      <c r="OEI23" s="1280"/>
      <c r="OEJ23" s="1280"/>
      <c r="OEK23" s="1280"/>
      <c r="OEL23" s="1280"/>
      <c r="OEM23" s="1280"/>
      <c r="OEN23" s="1280"/>
      <c r="OEO23" s="1280"/>
      <c r="OEP23" s="1280"/>
      <c r="OEQ23" s="1280"/>
      <c r="OER23" s="1280"/>
      <c r="OES23" s="1280"/>
      <c r="OET23" s="1280"/>
      <c r="OEU23" s="1280"/>
      <c r="OEV23" s="1280"/>
      <c r="OEW23" s="1280"/>
      <c r="OEX23" s="1280"/>
      <c r="OEY23" s="1280"/>
      <c r="OEZ23" s="1280"/>
      <c r="OFA23" s="1280"/>
      <c r="OFB23" s="1280"/>
      <c r="OFC23" s="1280"/>
      <c r="OFD23" s="1280"/>
      <c r="OFE23" s="1280"/>
      <c r="OFF23" s="1280"/>
      <c r="OFG23" s="1280"/>
      <c r="OFH23" s="1280"/>
      <c r="OFI23" s="1280"/>
      <c r="OFJ23" s="1280"/>
      <c r="OFK23" s="1280"/>
      <c r="OFL23" s="1280"/>
      <c r="OFM23" s="1280"/>
      <c r="OFN23" s="1280"/>
      <c r="OFO23" s="1280"/>
      <c r="OFP23" s="1280"/>
      <c r="OFQ23" s="1280"/>
      <c r="OFR23" s="1280"/>
      <c r="OFS23" s="1280"/>
      <c r="OFT23" s="1280"/>
      <c r="OFU23" s="1280"/>
      <c r="OFV23" s="1280"/>
      <c r="OFW23" s="1280"/>
      <c r="OFX23" s="1280"/>
      <c r="OFY23" s="1280"/>
      <c r="OFZ23" s="1280"/>
      <c r="OGA23" s="1280"/>
      <c r="OGB23" s="1280"/>
      <c r="OGC23" s="1280"/>
      <c r="OGD23" s="1280"/>
      <c r="OGE23" s="1280"/>
      <c r="OGF23" s="1280"/>
      <c r="OGG23" s="1280"/>
      <c r="OGH23" s="1280"/>
      <c r="OGI23" s="1280"/>
      <c r="OGJ23" s="1280"/>
      <c r="OGK23" s="1280"/>
      <c r="OGL23" s="1280"/>
      <c r="OGM23" s="1280"/>
      <c r="OGN23" s="1280"/>
      <c r="OGO23" s="1280"/>
      <c r="OGP23" s="1280"/>
      <c r="OGQ23" s="1280"/>
      <c r="OGR23" s="1280"/>
      <c r="OGS23" s="1280"/>
      <c r="OGT23" s="1280"/>
      <c r="OGU23" s="1280"/>
      <c r="OGV23" s="1280"/>
      <c r="OGW23" s="1280"/>
      <c r="OGX23" s="1280"/>
      <c r="OGY23" s="1280"/>
      <c r="OGZ23" s="1280"/>
      <c r="OHA23" s="1280"/>
      <c r="OHB23" s="1280"/>
      <c r="OHC23" s="1280"/>
      <c r="OHD23" s="1280"/>
      <c r="OHE23" s="1280"/>
      <c r="OHF23" s="1280"/>
      <c r="OHG23" s="1280"/>
      <c r="OHH23" s="1280"/>
      <c r="OHI23" s="1280"/>
      <c r="OHJ23" s="1280"/>
      <c r="OHK23" s="1280"/>
      <c r="OHL23" s="1280"/>
      <c r="OHM23" s="1280"/>
      <c r="OHN23" s="1280"/>
      <c r="OHO23" s="1280"/>
      <c r="OHP23" s="1280"/>
      <c r="OHQ23" s="1280"/>
      <c r="OHR23" s="1280"/>
      <c r="OHS23" s="1280"/>
      <c r="OHT23" s="1280"/>
      <c r="OHU23" s="1280"/>
      <c r="OHV23" s="1280"/>
      <c r="OHW23" s="1280"/>
      <c r="OHX23" s="1280"/>
      <c r="OHY23" s="1280"/>
      <c r="OHZ23" s="1280"/>
      <c r="OIA23" s="1280"/>
      <c r="OIB23" s="1280"/>
      <c r="OIC23" s="1280"/>
      <c r="OID23" s="1280"/>
      <c r="OIE23" s="1280"/>
      <c r="OIF23" s="1280"/>
      <c r="OIG23" s="1280"/>
      <c r="OIH23" s="1280"/>
      <c r="OII23" s="1280"/>
      <c r="OIJ23" s="1280"/>
      <c r="OIK23" s="1280"/>
      <c r="OIL23" s="1280"/>
      <c r="OIM23" s="1280"/>
      <c r="OIN23" s="1280"/>
      <c r="OIO23" s="1280"/>
      <c r="OIP23" s="1280"/>
      <c r="OIQ23" s="1280"/>
      <c r="OIR23" s="1280"/>
      <c r="OIS23" s="1280"/>
      <c r="OIT23" s="1280"/>
      <c r="OIU23" s="1280"/>
      <c r="OIV23" s="1280"/>
      <c r="OIW23" s="1280"/>
      <c r="OIX23" s="1280"/>
      <c r="OIY23" s="1280"/>
      <c r="OIZ23" s="1280"/>
      <c r="OJA23" s="1280"/>
      <c r="OJB23" s="1280"/>
      <c r="OJC23" s="1280"/>
      <c r="OJD23" s="1280"/>
      <c r="OJE23" s="1280"/>
      <c r="OJF23" s="1280"/>
      <c r="OJG23" s="1280"/>
      <c r="OJH23" s="1280"/>
      <c r="OJI23" s="1280"/>
      <c r="OJJ23" s="1280"/>
      <c r="OJK23" s="1280"/>
      <c r="OJL23" s="1280"/>
      <c r="OJM23" s="1280"/>
      <c r="OJN23" s="1280"/>
      <c r="OJO23" s="1280"/>
      <c r="OJP23" s="1280"/>
      <c r="OJQ23" s="1280"/>
      <c r="OJR23" s="1280"/>
      <c r="OJS23" s="1280"/>
      <c r="OJT23" s="1280"/>
      <c r="OJU23" s="1280"/>
      <c r="OJV23" s="1280"/>
      <c r="OJW23" s="1280"/>
      <c r="OJX23" s="1280"/>
      <c r="OJY23" s="1280"/>
      <c r="OJZ23" s="1280"/>
      <c r="OKA23" s="1280"/>
      <c r="OKB23" s="1280"/>
      <c r="OKC23" s="1280"/>
      <c r="OKD23" s="1280"/>
      <c r="OKE23" s="1280"/>
      <c r="OKF23" s="1280"/>
      <c r="OKG23" s="1280"/>
      <c r="OKH23" s="1280"/>
      <c r="OKI23" s="1280"/>
      <c r="OKJ23" s="1280"/>
      <c r="OKK23" s="1280"/>
      <c r="OKL23" s="1280"/>
      <c r="OKM23" s="1280"/>
      <c r="OKN23" s="1280"/>
      <c r="OKO23" s="1280"/>
      <c r="OKP23" s="1280"/>
      <c r="OKQ23" s="1280"/>
      <c r="OKR23" s="1280"/>
      <c r="OKS23" s="1280"/>
      <c r="OKT23" s="1280"/>
      <c r="OKU23" s="1280"/>
      <c r="OKV23" s="1280"/>
      <c r="OKW23" s="1280"/>
      <c r="OKX23" s="1280"/>
      <c r="OKY23" s="1280"/>
      <c r="OKZ23" s="1280"/>
      <c r="OLA23" s="1280"/>
      <c r="OLB23" s="1280"/>
      <c r="OLC23" s="1280"/>
      <c r="OLD23" s="1280"/>
      <c r="OLE23" s="1280"/>
      <c r="OLF23" s="1280"/>
      <c r="OLG23" s="1280"/>
      <c r="OLH23" s="1280"/>
      <c r="OLI23" s="1280"/>
      <c r="OLJ23" s="1280"/>
      <c r="OLK23" s="1280"/>
      <c r="OLL23" s="1280"/>
      <c r="OLM23" s="1280"/>
      <c r="OLN23" s="1280"/>
      <c r="OLO23" s="1280"/>
      <c r="OLP23" s="1280"/>
      <c r="OLQ23" s="1280"/>
      <c r="OLR23" s="1280"/>
      <c r="OLS23" s="1280"/>
      <c r="OLT23" s="1280"/>
      <c r="OLU23" s="1280"/>
      <c r="OLV23" s="1280"/>
      <c r="OLW23" s="1280"/>
      <c r="OLX23" s="1280"/>
      <c r="OLY23" s="1280"/>
      <c r="OLZ23" s="1280"/>
      <c r="OMA23" s="1280"/>
      <c r="OMB23" s="1280"/>
      <c r="OMC23" s="1280"/>
      <c r="OMD23" s="1280"/>
      <c r="OME23" s="1280"/>
      <c r="OMF23" s="1280"/>
      <c r="OMG23" s="1280"/>
      <c r="OMH23" s="1280"/>
      <c r="OMI23" s="1280"/>
      <c r="OMJ23" s="1280"/>
      <c r="OMK23" s="1280"/>
      <c r="OML23" s="1280"/>
      <c r="OMM23" s="1280"/>
      <c r="OMN23" s="1280"/>
      <c r="OMO23" s="1280"/>
      <c r="OMP23" s="1280"/>
      <c r="OMQ23" s="1280"/>
      <c r="OMR23" s="1280"/>
      <c r="OMS23" s="1280"/>
      <c r="OMT23" s="1280"/>
      <c r="OMU23" s="1280"/>
      <c r="OMV23" s="1280"/>
      <c r="OMW23" s="1280"/>
      <c r="OMX23" s="1280"/>
      <c r="OMY23" s="1280"/>
      <c r="OMZ23" s="1280"/>
      <c r="ONA23" s="1280"/>
      <c r="ONB23" s="1280"/>
      <c r="ONC23" s="1280"/>
      <c r="OND23" s="1280"/>
      <c r="ONE23" s="1280"/>
      <c r="ONF23" s="1280"/>
      <c r="ONG23" s="1280"/>
      <c r="ONH23" s="1280"/>
      <c r="ONI23" s="1280"/>
      <c r="ONJ23" s="1280"/>
      <c r="ONK23" s="1280"/>
      <c r="ONL23" s="1280"/>
      <c r="ONM23" s="1280"/>
      <c r="ONN23" s="1280"/>
      <c r="ONO23" s="1280"/>
      <c r="ONP23" s="1280"/>
      <c r="ONQ23" s="1280"/>
      <c r="ONR23" s="1280"/>
      <c r="ONS23" s="1280"/>
      <c r="ONT23" s="1280"/>
      <c r="ONU23" s="1280"/>
      <c r="ONV23" s="1280"/>
      <c r="ONW23" s="1280"/>
      <c r="ONX23" s="1280"/>
      <c r="ONY23" s="1280"/>
      <c r="ONZ23" s="1280"/>
      <c r="OOA23" s="1280"/>
      <c r="OOB23" s="1280"/>
      <c r="OOC23" s="1280"/>
      <c r="OOD23" s="1280"/>
      <c r="OOE23" s="1280"/>
      <c r="OOF23" s="1280"/>
      <c r="OOG23" s="1280"/>
      <c r="OOH23" s="1280"/>
      <c r="OOI23" s="1280"/>
      <c r="OOJ23" s="1280"/>
      <c r="OOK23" s="1280"/>
      <c r="OOL23" s="1280"/>
      <c r="OOM23" s="1280"/>
      <c r="OON23" s="1280"/>
      <c r="OOO23" s="1280"/>
      <c r="OOP23" s="1280"/>
      <c r="OOQ23" s="1280"/>
      <c r="OOR23" s="1280"/>
      <c r="OOS23" s="1280"/>
      <c r="OOT23" s="1280"/>
      <c r="OOU23" s="1280"/>
      <c r="OOV23" s="1280"/>
      <c r="OOW23" s="1280"/>
      <c r="OOX23" s="1280"/>
      <c r="OOY23" s="1280"/>
      <c r="OOZ23" s="1280"/>
      <c r="OPA23" s="1280"/>
      <c r="OPB23" s="1280"/>
      <c r="OPC23" s="1280"/>
      <c r="OPD23" s="1280"/>
      <c r="OPE23" s="1280"/>
      <c r="OPF23" s="1280"/>
      <c r="OPG23" s="1280"/>
      <c r="OPH23" s="1280"/>
      <c r="OPI23" s="1280"/>
      <c r="OPJ23" s="1280"/>
      <c r="OPK23" s="1280"/>
      <c r="OPL23" s="1280"/>
      <c r="OPM23" s="1280"/>
      <c r="OPN23" s="1280"/>
      <c r="OPO23" s="1280"/>
      <c r="OPP23" s="1280"/>
      <c r="OPQ23" s="1280"/>
      <c r="OPR23" s="1280"/>
      <c r="OPS23" s="1280"/>
      <c r="OPT23" s="1280"/>
      <c r="OPU23" s="1280"/>
      <c r="OPV23" s="1280"/>
      <c r="OPW23" s="1280"/>
      <c r="OPX23" s="1280"/>
      <c r="OPY23" s="1280"/>
      <c r="OPZ23" s="1280"/>
      <c r="OQA23" s="1280"/>
      <c r="OQB23" s="1280"/>
      <c r="OQC23" s="1280"/>
      <c r="OQD23" s="1280"/>
      <c r="OQE23" s="1280"/>
      <c r="OQF23" s="1280"/>
      <c r="OQG23" s="1280"/>
      <c r="OQH23" s="1280"/>
      <c r="OQI23" s="1280"/>
      <c r="OQJ23" s="1280"/>
      <c r="OQK23" s="1280"/>
      <c r="OQL23" s="1280"/>
      <c r="OQM23" s="1280"/>
      <c r="OQN23" s="1280"/>
      <c r="OQO23" s="1280"/>
      <c r="OQP23" s="1280"/>
      <c r="OQQ23" s="1280"/>
      <c r="OQR23" s="1280"/>
      <c r="OQS23" s="1280"/>
      <c r="OQT23" s="1280"/>
      <c r="OQU23" s="1280"/>
      <c r="OQV23" s="1280"/>
      <c r="OQW23" s="1280"/>
      <c r="OQX23" s="1280"/>
      <c r="OQY23" s="1280"/>
      <c r="OQZ23" s="1280"/>
      <c r="ORA23" s="1280"/>
      <c r="ORB23" s="1280"/>
      <c r="ORC23" s="1280"/>
      <c r="ORD23" s="1280"/>
      <c r="ORE23" s="1280"/>
      <c r="ORF23" s="1280"/>
      <c r="ORG23" s="1280"/>
      <c r="ORH23" s="1280"/>
      <c r="ORI23" s="1280"/>
      <c r="ORJ23" s="1280"/>
      <c r="ORK23" s="1280"/>
      <c r="ORL23" s="1280"/>
      <c r="ORM23" s="1280"/>
      <c r="ORN23" s="1280"/>
      <c r="ORO23" s="1280"/>
      <c r="ORP23" s="1280"/>
      <c r="ORQ23" s="1280"/>
      <c r="ORR23" s="1280"/>
      <c r="ORS23" s="1280"/>
      <c r="ORT23" s="1280"/>
      <c r="ORU23" s="1280"/>
      <c r="ORV23" s="1280"/>
      <c r="ORW23" s="1280"/>
      <c r="ORX23" s="1280"/>
      <c r="ORY23" s="1280"/>
      <c r="ORZ23" s="1280"/>
      <c r="OSA23" s="1280"/>
      <c r="OSB23" s="1280"/>
      <c r="OSC23" s="1280"/>
      <c r="OSD23" s="1280"/>
      <c r="OSE23" s="1280"/>
      <c r="OSF23" s="1280"/>
      <c r="OSG23" s="1280"/>
      <c r="OSH23" s="1280"/>
      <c r="OSI23" s="1280"/>
      <c r="OSJ23" s="1280"/>
      <c r="OSK23" s="1280"/>
      <c r="OSL23" s="1280"/>
      <c r="OSM23" s="1280"/>
      <c r="OSN23" s="1280"/>
      <c r="OSO23" s="1280"/>
      <c r="OSP23" s="1280"/>
      <c r="OSQ23" s="1280"/>
      <c r="OSR23" s="1280"/>
      <c r="OSS23" s="1280"/>
      <c r="OST23" s="1280"/>
      <c r="OSU23" s="1280"/>
      <c r="OSV23" s="1280"/>
      <c r="OSW23" s="1280"/>
      <c r="OSX23" s="1280"/>
      <c r="OSY23" s="1280"/>
      <c r="OSZ23" s="1280"/>
      <c r="OTA23" s="1280"/>
      <c r="OTB23" s="1280"/>
      <c r="OTC23" s="1280"/>
      <c r="OTD23" s="1280"/>
      <c r="OTE23" s="1280"/>
      <c r="OTF23" s="1280"/>
      <c r="OTG23" s="1280"/>
      <c r="OTH23" s="1280"/>
      <c r="OTI23" s="1280"/>
      <c r="OTJ23" s="1280"/>
      <c r="OTK23" s="1280"/>
      <c r="OTL23" s="1280"/>
      <c r="OTM23" s="1280"/>
      <c r="OTN23" s="1280"/>
      <c r="OTO23" s="1280"/>
      <c r="OTP23" s="1280"/>
      <c r="OTQ23" s="1280"/>
      <c r="OTR23" s="1280"/>
      <c r="OTS23" s="1280"/>
      <c r="OTT23" s="1280"/>
      <c r="OTU23" s="1280"/>
      <c r="OTV23" s="1280"/>
      <c r="OTW23" s="1280"/>
      <c r="OTX23" s="1280"/>
      <c r="OTY23" s="1280"/>
      <c r="OTZ23" s="1280"/>
      <c r="OUA23" s="1280"/>
      <c r="OUB23" s="1280"/>
      <c r="OUC23" s="1280"/>
      <c r="OUD23" s="1280"/>
      <c r="OUE23" s="1280"/>
      <c r="OUF23" s="1280"/>
      <c r="OUG23" s="1280"/>
      <c r="OUH23" s="1280"/>
      <c r="OUI23" s="1280"/>
      <c r="OUJ23" s="1280"/>
      <c r="OUK23" s="1280"/>
      <c r="OUL23" s="1280"/>
      <c r="OUM23" s="1280"/>
      <c r="OUN23" s="1280"/>
      <c r="OUO23" s="1280"/>
      <c r="OUP23" s="1280"/>
      <c r="OUQ23" s="1280"/>
      <c r="OUR23" s="1280"/>
      <c r="OUS23" s="1280"/>
      <c r="OUT23" s="1280"/>
      <c r="OUU23" s="1280"/>
      <c r="OUV23" s="1280"/>
      <c r="OUW23" s="1280"/>
      <c r="OUX23" s="1280"/>
      <c r="OUY23" s="1280"/>
      <c r="OUZ23" s="1280"/>
      <c r="OVA23" s="1280"/>
      <c r="OVB23" s="1280"/>
      <c r="OVC23" s="1280"/>
      <c r="OVD23" s="1280"/>
      <c r="OVE23" s="1280"/>
      <c r="OVF23" s="1280"/>
      <c r="OVG23" s="1280"/>
      <c r="OVH23" s="1280"/>
      <c r="OVI23" s="1280"/>
      <c r="OVJ23" s="1280"/>
      <c r="OVK23" s="1280"/>
      <c r="OVL23" s="1280"/>
      <c r="OVM23" s="1280"/>
      <c r="OVN23" s="1280"/>
      <c r="OVO23" s="1280"/>
      <c r="OVP23" s="1280"/>
      <c r="OVQ23" s="1280"/>
      <c r="OVR23" s="1280"/>
      <c r="OVS23" s="1280"/>
      <c r="OVT23" s="1280"/>
      <c r="OVU23" s="1280"/>
      <c r="OVV23" s="1280"/>
      <c r="OVW23" s="1280"/>
      <c r="OVX23" s="1280"/>
      <c r="OVY23" s="1280"/>
      <c r="OVZ23" s="1280"/>
      <c r="OWA23" s="1280"/>
      <c r="OWB23" s="1280"/>
      <c r="OWC23" s="1280"/>
      <c r="OWD23" s="1280"/>
      <c r="OWE23" s="1280"/>
      <c r="OWF23" s="1280"/>
      <c r="OWG23" s="1280"/>
      <c r="OWH23" s="1280"/>
      <c r="OWI23" s="1280"/>
      <c r="OWJ23" s="1280"/>
      <c r="OWK23" s="1280"/>
      <c r="OWL23" s="1280"/>
      <c r="OWM23" s="1280"/>
      <c r="OWN23" s="1280"/>
      <c r="OWO23" s="1280"/>
      <c r="OWP23" s="1280"/>
      <c r="OWQ23" s="1280"/>
      <c r="OWR23" s="1280"/>
      <c r="OWS23" s="1280"/>
      <c r="OWT23" s="1280"/>
      <c r="OWU23" s="1280"/>
      <c r="OWV23" s="1280"/>
      <c r="OWW23" s="1280"/>
      <c r="OWX23" s="1280"/>
      <c r="OWY23" s="1280"/>
      <c r="OWZ23" s="1280"/>
      <c r="OXA23" s="1280"/>
      <c r="OXB23" s="1280"/>
      <c r="OXC23" s="1280"/>
      <c r="OXD23" s="1280"/>
      <c r="OXE23" s="1280"/>
      <c r="OXF23" s="1280"/>
      <c r="OXG23" s="1280"/>
      <c r="OXH23" s="1280"/>
      <c r="OXI23" s="1280"/>
      <c r="OXJ23" s="1280"/>
      <c r="OXK23" s="1280"/>
      <c r="OXL23" s="1280"/>
      <c r="OXM23" s="1280"/>
      <c r="OXN23" s="1280"/>
      <c r="OXO23" s="1280"/>
      <c r="OXP23" s="1280"/>
      <c r="OXQ23" s="1280"/>
      <c r="OXR23" s="1280"/>
      <c r="OXS23" s="1280"/>
      <c r="OXT23" s="1280"/>
      <c r="OXU23" s="1280"/>
      <c r="OXV23" s="1280"/>
      <c r="OXW23" s="1280"/>
      <c r="OXX23" s="1280"/>
      <c r="OXY23" s="1280"/>
      <c r="OXZ23" s="1280"/>
      <c r="OYA23" s="1280"/>
      <c r="OYB23" s="1280"/>
      <c r="OYC23" s="1280"/>
      <c r="OYD23" s="1280"/>
      <c r="OYE23" s="1280"/>
      <c r="OYF23" s="1280"/>
      <c r="OYG23" s="1280"/>
      <c r="OYH23" s="1280"/>
      <c r="OYI23" s="1280"/>
      <c r="OYJ23" s="1280"/>
      <c r="OYK23" s="1280"/>
      <c r="OYL23" s="1280"/>
      <c r="OYM23" s="1280"/>
      <c r="OYN23" s="1280"/>
      <c r="OYO23" s="1280"/>
      <c r="OYP23" s="1280"/>
      <c r="OYQ23" s="1280"/>
      <c r="OYR23" s="1280"/>
      <c r="OYS23" s="1280"/>
      <c r="OYT23" s="1280"/>
      <c r="OYU23" s="1280"/>
      <c r="OYV23" s="1280"/>
      <c r="OYW23" s="1280"/>
      <c r="OYX23" s="1280"/>
      <c r="OYY23" s="1280"/>
      <c r="OYZ23" s="1280"/>
      <c r="OZA23" s="1280"/>
      <c r="OZB23" s="1280"/>
      <c r="OZC23" s="1280"/>
      <c r="OZD23" s="1280"/>
      <c r="OZE23" s="1280"/>
      <c r="OZF23" s="1280"/>
      <c r="OZG23" s="1280"/>
      <c r="OZH23" s="1280"/>
      <c r="OZI23" s="1280"/>
      <c r="OZJ23" s="1280"/>
      <c r="OZK23" s="1280"/>
      <c r="OZL23" s="1280"/>
      <c r="OZM23" s="1280"/>
      <c r="OZN23" s="1280"/>
      <c r="OZO23" s="1280"/>
      <c r="OZP23" s="1280"/>
      <c r="OZQ23" s="1280"/>
      <c r="OZR23" s="1280"/>
      <c r="OZS23" s="1280"/>
      <c r="OZT23" s="1280"/>
      <c r="OZU23" s="1280"/>
      <c r="OZV23" s="1280"/>
      <c r="OZW23" s="1280"/>
      <c r="OZX23" s="1280"/>
      <c r="OZY23" s="1280"/>
      <c r="OZZ23" s="1280"/>
      <c r="PAA23" s="1280"/>
      <c r="PAB23" s="1280"/>
      <c r="PAC23" s="1280"/>
      <c r="PAD23" s="1280"/>
      <c r="PAE23" s="1280"/>
      <c r="PAF23" s="1280"/>
      <c r="PAG23" s="1280"/>
      <c r="PAH23" s="1280"/>
      <c r="PAI23" s="1280"/>
      <c r="PAJ23" s="1280"/>
      <c r="PAK23" s="1280"/>
      <c r="PAL23" s="1280"/>
      <c r="PAM23" s="1280"/>
      <c r="PAN23" s="1280"/>
      <c r="PAO23" s="1280"/>
      <c r="PAP23" s="1280"/>
      <c r="PAQ23" s="1280"/>
      <c r="PAR23" s="1280"/>
      <c r="PAS23" s="1280"/>
      <c r="PAT23" s="1280"/>
      <c r="PAU23" s="1280"/>
      <c r="PAV23" s="1280"/>
      <c r="PAW23" s="1280"/>
      <c r="PAX23" s="1280"/>
      <c r="PAY23" s="1280"/>
      <c r="PAZ23" s="1280"/>
      <c r="PBA23" s="1280"/>
      <c r="PBB23" s="1280"/>
      <c r="PBC23" s="1280"/>
      <c r="PBD23" s="1280"/>
      <c r="PBE23" s="1280"/>
      <c r="PBF23" s="1280"/>
      <c r="PBG23" s="1280"/>
      <c r="PBH23" s="1280"/>
      <c r="PBI23" s="1280"/>
      <c r="PBJ23" s="1280"/>
      <c r="PBK23" s="1280"/>
      <c r="PBL23" s="1280"/>
      <c r="PBM23" s="1280"/>
      <c r="PBN23" s="1280"/>
      <c r="PBO23" s="1280"/>
      <c r="PBP23" s="1280"/>
      <c r="PBQ23" s="1280"/>
      <c r="PBR23" s="1280"/>
      <c r="PBS23" s="1280"/>
      <c r="PBT23" s="1280"/>
      <c r="PBU23" s="1280"/>
      <c r="PBV23" s="1280"/>
      <c r="PBW23" s="1280"/>
      <c r="PBX23" s="1280"/>
      <c r="PBY23" s="1280"/>
      <c r="PBZ23" s="1280"/>
      <c r="PCA23" s="1280"/>
      <c r="PCB23" s="1280"/>
      <c r="PCC23" s="1280"/>
      <c r="PCD23" s="1280"/>
      <c r="PCE23" s="1280"/>
      <c r="PCF23" s="1280"/>
      <c r="PCG23" s="1280"/>
      <c r="PCH23" s="1280"/>
      <c r="PCI23" s="1280"/>
      <c r="PCJ23" s="1280"/>
      <c r="PCK23" s="1280"/>
      <c r="PCL23" s="1280"/>
      <c r="PCM23" s="1280"/>
      <c r="PCN23" s="1280"/>
      <c r="PCO23" s="1280"/>
      <c r="PCP23" s="1280"/>
      <c r="PCQ23" s="1280"/>
      <c r="PCR23" s="1280"/>
      <c r="PCS23" s="1280"/>
      <c r="PCT23" s="1280"/>
      <c r="PCU23" s="1280"/>
      <c r="PCV23" s="1280"/>
      <c r="PCW23" s="1280"/>
      <c r="PCX23" s="1280"/>
      <c r="PCY23" s="1280"/>
      <c r="PCZ23" s="1280"/>
      <c r="PDA23" s="1280"/>
      <c r="PDB23" s="1280"/>
      <c r="PDC23" s="1280"/>
      <c r="PDD23" s="1280"/>
      <c r="PDE23" s="1280"/>
      <c r="PDF23" s="1280"/>
      <c r="PDG23" s="1280"/>
      <c r="PDH23" s="1280"/>
      <c r="PDI23" s="1280"/>
      <c r="PDJ23" s="1280"/>
      <c r="PDK23" s="1280"/>
      <c r="PDL23" s="1280"/>
      <c r="PDM23" s="1280"/>
      <c r="PDN23" s="1280"/>
      <c r="PDO23" s="1280"/>
      <c r="PDP23" s="1280"/>
      <c r="PDQ23" s="1280"/>
      <c r="PDR23" s="1280"/>
      <c r="PDS23" s="1280"/>
      <c r="PDT23" s="1280"/>
      <c r="PDU23" s="1280"/>
      <c r="PDV23" s="1280"/>
      <c r="PDW23" s="1280"/>
      <c r="PDX23" s="1280"/>
      <c r="PDY23" s="1280"/>
      <c r="PDZ23" s="1280"/>
      <c r="PEA23" s="1280"/>
      <c r="PEB23" s="1280"/>
      <c r="PEC23" s="1280"/>
      <c r="PED23" s="1280"/>
      <c r="PEE23" s="1280"/>
      <c r="PEF23" s="1280"/>
      <c r="PEG23" s="1280"/>
      <c r="PEH23" s="1280"/>
      <c r="PEI23" s="1280"/>
      <c r="PEJ23" s="1280"/>
      <c r="PEK23" s="1280"/>
      <c r="PEL23" s="1280"/>
      <c r="PEM23" s="1280"/>
      <c r="PEN23" s="1280"/>
      <c r="PEO23" s="1280"/>
      <c r="PEP23" s="1280"/>
      <c r="PEQ23" s="1280"/>
      <c r="PER23" s="1280"/>
      <c r="PES23" s="1280"/>
      <c r="PET23" s="1280"/>
      <c r="PEU23" s="1280"/>
      <c r="PEV23" s="1280"/>
      <c r="PEW23" s="1280"/>
      <c r="PEX23" s="1280"/>
      <c r="PEY23" s="1280"/>
      <c r="PEZ23" s="1280"/>
      <c r="PFA23" s="1280"/>
      <c r="PFB23" s="1280"/>
      <c r="PFC23" s="1280"/>
      <c r="PFD23" s="1280"/>
      <c r="PFE23" s="1280"/>
      <c r="PFF23" s="1280"/>
      <c r="PFG23" s="1280"/>
      <c r="PFH23" s="1280"/>
      <c r="PFI23" s="1280"/>
      <c r="PFJ23" s="1280"/>
      <c r="PFK23" s="1280"/>
      <c r="PFL23" s="1280"/>
      <c r="PFM23" s="1280"/>
      <c r="PFN23" s="1280"/>
      <c r="PFO23" s="1280"/>
      <c r="PFP23" s="1280"/>
      <c r="PFQ23" s="1280"/>
      <c r="PFR23" s="1280"/>
      <c r="PFS23" s="1280"/>
      <c r="PFT23" s="1280"/>
      <c r="PFU23" s="1280"/>
      <c r="PFV23" s="1280"/>
      <c r="PFW23" s="1280"/>
      <c r="PFX23" s="1280"/>
      <c r="PFY23" s="1280"/>
      <c r="PFZ23" s="1280"/>
      <c r="PGA23" s="1280"/>
      <c r="PGB23" s="1280"/>
      <c r="PGC23" s="1280"/>
      <c r="PGD23" s="1280"/>
      <c r="PGE23" s="1280"/>
      <c r="PGF23" s="1280"/>
      <c r="PGG23" s="1280"/>
      <c r="PGH23" s="1280"/>
      <c r="PGI23" s="1280"/>
      <c r="PGJ23" s="1280"/>
      <c r="PGK23" s="1280"/>
      <c r="PGL23" s="1280"/>
      <c r="PGM23" s="1280"/>
      <c r="PGN23" s="1280"/>
      <c r="PGO23" s="1280"/>
      <c r="PGP23" s="1280"/>
      <c r="PGQ23" s="1280"/>
      <c r="PGR23" s="1280"/>
      <c r="PGS23" s="1280"/>
      <c r="PGT23" s="1280"/>
      <c r="PGU23" s="1280"/>
      <c r="PGV23" s="1280"/>
      <c r="PGW23" s="1280"/>
      <c r="PGX23" s="1280"/>
      <c r="PGY23" s="1280"/>
      <c r="PGZ23" s="1280"/>
      <c r="PHA23" s="1280"/>
      <c r="PHB23" s="1280"/>
      <c r="PHC23" s="1280"/>
      <c r="PHD23" s="1280"/>
      <c r="PHE23" s="1280"/>
      <c r="PHF23" s="1280"/>
      <c r="PHG23" s="1280"/>
      <c r="PHH23" s="1280"/>
      <c r="PHI23" s="1280"/>
      <c r="PHJ23" s="1280"/>
      <c r="PHK23" s="1280"/>
      <c r="PHL23" s="1280"/>
      <c r="PHM23" s="1280"/>
      <c r="PHN23" s="1280"/>
      <c r="PHO23" s="1280"/>
      <c r="PHP23" s="1280"/>
      <c r="PHQ23" s="1280"/>
      <c r="PHR23" s="1280"/>
      <c r="PHS23" s="1280"/>
      <c r="PHT23" s="1280"/>
      <c r="PHU23" s="1280"/>
      <c r="PHV23" s="1280"/>
      <c r="PHW23" s="1280"/>
      <c r="PHX23" s="1280"/>
      <c r="PHY23" s="1280"/>
      <c r="PHZ23" s="1280"/>
      <c r="PIA23" s="1280"/>
      <c r="PIB23" s="1280"/>
      <c r="PIC23" s="1280"/>
      <c r="PID23" s="1280"/>
      <c r="PIE23" s="1280"/>
      <c r="PIF23" s="1280"/>
      <c r="PIG23" s="1280"/>
      <c r="PIH23" s="1280"/>
      <c r="PII23" s="1280"/>
      <c r="PIJ23" s="1280"/>
      <c r="PIK23" s="1280"/>
      <c r="PIL23" s="1280"/>
      <c r="PIM23" s="1280"/>
      <c r="PIN23" s="1280"/>
      <c r="PIO23" s="1280"/>
      <c r="PIP23" s="1280"/>
      <c r="PIQ23" s="1280"/>
      <c r="PIR23" s="1280"/>
      <c r="PIS23" s="1280"/>
      <c r="PIT23" s="1280"/>
      <c r="PIU23" s="1280"/>
      <c r="PIV23" s="1280"/>
      <c r="PIW23" s="1280"/>
      <c r="PIX23" s="1280"/>
      <c r="PIY23" s="1280"/>
      <c r="PIZ23" s="1280"/>
      <c r="PJA23" s="1280"/>
      <c r="PJB23" s="1280"/>
      <c r="PJC23" s="1280"/>
      <c r="PJD23" s="1280"/>
      <c r="PJE23" s="1280"/>
      <c r="PJF23" s="1280"/>
      <c r="PJG23" s="1280"/>
      <c r="PJH23" s="1280"/>
      <c r="PJI23" s="1280"/>
      <c r="PJJ23" s="1280"/>
      <c r="PJK23" s="1280"/>
      <c r="PJL23" s="1280"/>
      <c r="PJM23" s="1280"/>
      <c r="PJN23" s="1280"/>
      <c r="PJO23" s="1280"/>
      <c r="PJP23" s="1280"/>
      <c r="PJQ23" s="1280"/>
      <c r="PJR23" s="1280"/>
      <c r="PJS23" s="1280"/>
      <c r="PJT23" s="1280"/>
      <c r="PJU23" s="1280"/>
      <c r="PJV23" s="1280"/>
      <c r="PJW23" s="1280"/>
      <c r="PJX23" s="1280"/>
      <c r="PJY23" s="1280"/>
      <c r="PJZ23" s="1280"/>
      <c r="PKA23" s="1280"/>
      <c r="PKB23" s="1280"/>
      <c r="PKC23" s="1280"/>
      <c r="PKD23" s="1280"/>
      <c r="PKE23" s="1280"/>
      <c r="PKF23" s="1280"/>
      <c r="PKG23" s="1280"/>
      <c r="PKH23" s="1280"/>
      <c r="PKI23" s="1280"/>
      <c r="PKJ23" s="1280"/>
      <c r="PKK23" s="1280"/>
      <c r="PKL23" s="1280"/>
      <c r="PKM23" s="1280"/>
      <c r="PKN23" s="1280"/>
      <c r="PKO23" s="1280"/>
      <c r="PKP23" s="1280"/>
      <c r="PKQ23" s="1280"/>
      <c r="PKR23" s="1280"/>
      <c r="PKS23" s="1280"/>
      <c r="PKT23" s="1280"/>
      <c r="PKU23" s="1280"/>
      <c r="PKV23" s="1280"/>
      <c r="PKW23" s="1280"/>
      <c r="PKX23" s="1280"/>
      <c r="PKY23" s="1280"/>
      <c r="PKZ23" s="1280"/>
      <c r="PLA23" s="1280"/>
      <c r="PLB23" s="1280"/>
      <c r="PLC23" s="1280"/>
      <c r="PLD23" s="1280"/>
      <c r="PLE23" s="1280"/>
      <c r="PLF23" s="1280"/>
      <c r="PLG23" s="1280"/>
      <c r="PLH23" s="1280"/>
      <c r="PLI23" s="1280"/>
      <c r="PLJ23" s="1280"/>
      <c r="PLK23" s="1280"/>
      <c r="PLL23" s="1280"/>
      <c r="PLM23" s="1280"/>
      <c r="PLN23" s="1280"/>
      <c r="PLO23" s="1280"/>
      <c r="PLP23" s="1280"/>
      <c r="PLQ23" s="1280"/>
      <c r="PLR23" s="1280"/>
      <c r="PLS23" s="1280"/>
      <c r="PLT23" s="1280"/>
      <c r="PLU23" s="1280"/>
      <c r="PLV23" s="1280"/>
      <c r="PLW23" s="1280"/>
      <c r="PLX23" s="1280"/>
      <c r="PLY23" s="1280"/>
      <c r="PLZ23" s="1280"/>
      <c r="PMA23" s="1280"/>
      <c r="PMB23" s="1280"/>
      <c r="PMC23" s="1280"/>
      <c r="PMD23" s="1280"/>
      <c r="PME23" s="1280"/>
      <c r="PMF23" s="1280"/>
      <c r="PMG23" s="1280"/>
      <c r="PMH23" s="1280"/>
      <c r="PMI23" s="1280"/>
      <c r="PMJ23" s="1280"/>
      <c r="PMK23" s="1280"/>
      <c r="PML23" s="1280"/>
      <c r="PMM23" s="1280"/>
      <c r="PMN23" s="1280"/>
      <c r="PMO23" s="1280"/>
      <c r="PMP23" s="1280"/>
      <c r="PMQ23" s="1280"/>
      <c r="PMR23" s="1280"/>
      <c r="PMS23" s="1280"/>
      <c r="PMT23" s="1280"/>
      <c r="PMU23" s="1280"/>
      <c r="PMV23" s="1280"/>
      <c r="PMW23" s="1280"/>
      <c r="PMX23" s="1280"/>
      <c r="PMY23" s="1280"/>
      <c r="PMZ23" s="1280"/>
      <c r="PNA23" s="1280"/>
      <c r="PNB23" s="1280"/>
      <c r="PNC23" s="1280"/>
      <c r="PND23" s="1280"/>
      <c r="PNE23" s="1280"/>
      <c r="PNF23" s="1280"/>
      <c r="PNG23" s="1280"/>
      <c r="PNH23" s="1280"/>
      <c r="PNI23" s="1280"/>
      <c r="PNJ23" s="1280"/>
      <c r="PNK23" s="1280"/>
      <c r="PNL23" s="1280"/>
      <c r="PNM23" s="1280"/>
      <c r="PNN23" s="1280"/>
      <c r="PNO23" s="1280"/>
      <c r="PNP23" s="1280"/>
      <c r="PNQ23" s="1280"/>
      <c r="PNR23" s="1280"/>
      <c r="PNS23" s="1280"/>
      <c r="PNT23" s="1280"/>
      <c r="PNU23" s="1280"/>
      <c r="PNV23" s="1280"/>
      <c r="PNW23" s="1280"/>
      <c r="PNX23" s="1280"/>
      <c r="PNY23" s="1280"/>
      <c r="PNZ23" s="1280"/>
      <c r="POA23" s="1280"/>
      <c r="POB23" s="1280"/>
      <c r="POC23" s="1280"/>
      <c r="POD23" s="1280"/>
      <c r="POE23" s="1280"/>
      <c r="POF23" s="1280"/>
      <c r="POG23" s="1280"/>
      <c r="POH23" s="1280"/>
      <c r="POI23" s="1280"/>
      <c r="POJ23" s="1280"/>
      <c r="POK23" s="1280"/>
      <c r="POL23" s="1280"/>
      <c r="POM23" s="1280"/>
      <c r="PON23" s="1280"/>
      <c r="POO23" s="1280"/>
      <c r="POP23" s="1280"/>
      <c r="POQ23" s="1280"/>
      <c r="POR23" s="1280"/>
      <c r="POS23" s="1280"/>
      <c r="POT23" s="1280"/>
      <c r="POU23" s="1280"/>
      <c r="POV23" s="1280"/>
      <c r="POW23" s="1280"/>
      <c r="POX23" s="1280"/>
      <c r="POY23" s="1280"/>
      <c r="POZ23" s="1280"/>
      <c r="PPA23" s="1280"/>
      <c r="PPB23" s="1280"/>
      <c r="PPC23" s="1280"/>
      <c r="PPD23" s="1280"/>
      <c r="PPE23" s="1280"/>
      <c r="PPF23" s="1280"/>
      <c r="PPG23" s="1280"/>
      <c r="PPH23" s="1280"/>
      <c r="PPI23" s="1280"/>
      <c r="PPJ23" s="1280"/>
      <c r="PPK23" s="1280"/>
      <c r="PPL23" s="1280"/>
      <c r="PPM23" s="1280"/>
      <c r="PPN23" s="1280"/>
      <c r="PPO23" s="1280"/>
      <c r="PPP23" s="1280"/>
      <c r="PPQ23" s="1280"/>
      <c r="PPR23" s="1280"/>
      <c r="PPS23" s="1280"/>
      <c r="PPT23" s="1280"/>
      <c r="PPU23" s="1280"/>
      <c r="PPV23" s="1280"/>
      <c r="PPW23" s="1280"/>
      <c r="PPX23" s="1280"/>
      <c r="PPY23" s="1280"/>
      <c r="PPZ23" s="1280"/>
      <c r="PQA23" s="1280"/>
      <c r="PQB23" s="1280"/>
      <c r="PQC23" s="1280"/>
      <c r="PQD23" s="1280"/>
      <c r="PQE23" s="1280"/>
      <c r="PQF23" s="1280"/>
      <c r="PQG23" s="1280"/>
      <c r="PQH23" s="1280"/>
      <c r="PQI23" s="1280"/>
      <c r="PQJ23" s="1280"/>
      <c r="PQK23" s="1280"/>
      <c r="PQL23" s="1280"/>
      <c r="PQM23" s="1280"/>
      <c r="PQN23" s="1280"/>
      <c r="PQO23" s="1280"/>
      <c r="PQP23" s="1280"/>
      <c r="PQQ23" s="1280"/>
      <c r="PQR23" s="1280"/>
      <c r="PQS23" s="1280"/>
      <c r="PQT23" s="1280"/>
      <c r="PQU23" s="1280"/>
      <c r="PQV23" s="1280"/>
      <c r="PQW23" s="1280"/>
      <c r="PQX23" s="1280"/>
      <c r="PQY23" s="1280"/>
      <c r="PQZ23" s="1280"/>
      <c r="PRA23" s="1280"/>
      <c r="PRB23" s="1280"/>
      <c r="PRC23" s="1280"/>
      <c r="PRD23" s="1280"/>
      <c r="PRE23" s="1280"/>
      <c r="PRF23" s="1280"/>
      <c r="PRG23" s="1280"/>
      <c r="PRH23" s="1280"/>
      <c r="PRI23" s="1280"/>
      <c r="PRJ23" s="1280"/>
      <c r="PRK23" s="1280"/>
      <c r="PRL23" s="1280"/>
      <c r="PRM23" s="1280"/>
      <c r="PRN23" s="1280"/>
      <c r="PRO23" s="1280"/>
      <c r="PRP23" s="1280"/>
      <c r="PRQ23" s="1280"/>
      <c r="PRR23" s="1280"/>
      <c r="PRS23" s="1280"/>
      <c r="PRT23" s="1280"/>
      <c r="PRU23" s="1280"/>
      <c r="PRV23" s="1280"/>
      <c r="PRW23" s="1280"/>
      <c r="PRX23" s="1280"/>
      <c r="PRY23" s="1280"/>
      <c r="PRZ23" s="1280"/>
      <c r="PSA23" s="1280"/>
      <c r="PSB23" s="1280"/>
      <c r="PSC23" s="1280"/>
      <c r="PSD23" s="1280"/>
      <c r="PSE23" s="1280"/>
      <c r="PSF23" s="1280"/>
      <c r="PSG23" s="1280"/>
      <c r="PSH23" s="1280"/>
      <c r="PSI23" s="1280"/>
      <c r="PSJ23" s="1280"/>
      <c r="PSK23" s="1280"/>
      <c r="PSL23" s="1280"/>
      <c r="PSM23" s="1280"/>
      <c r="PSN23" s="1280"/>
      <c r="PSO23" s="1280"/>
      <c r="PSP23" s="1280"/>
      <c r="PSQ23" s="1280"/>
      <c r="PSR23" s="1280"/>
      <c r="PSS23" s="1280"/>
      <c r="PST23" s="1280"/>
      <c r="PSU23" s="1280"/>
      <c r="PSV23" s="1280"/>
      <c r="PSW23" s="1280"/>
      <c r="PSX23" s="1280"/>
      <c r="PSY23" s="1280"/>
      <c r="PSZ23" s="1280"/>
      <c r="PTA23" s="1280"/>
      <c r="PTB23" s="1280"/>
      <c r="PTC23" s="1280"/>
      <c r="PTD23" s="1280"/>
      <c r="PTE23" s="1280"/>
      <c r="PTF23" s="1280"/>
      <c r="PTG23" s="1280"/>
      <c r="PTH23" s="1280"/>
      <c r="PTI23" s="1280"/>
      <c r="PTJ23" s="1280"/>
      <c r="PTK23" s="1280"/>
      <c r="PTL23" s="1280"/>
      <c r="PTM23" s="1280"/>
      <c r="PTN23" s="1280"/>
      <c r="PTO23" s="1280"/>
      <c r="PTP23" s="1280"/>
      <c r="PTQ23" s="1280"/>
      <c r="PTR23" s="1280"/>
      <c r="PTS23" s="1280"/>
      <c r="PTT23" s="1280"/>
      <c r="PTU23" s="1280"/>
      <c r="PTV23" s="1280"/>
      <c r="PTW23" s="1280"/>
      <c r="PTX23" s="1280"/>
      <c r="PTY23" s="1280"/>
      <c r="PTZ23" s="1280"/>
      <c r="PUA23" s="1280"/>
      <c r="PUB23" s="1280"/>
      <c r="PUC23" s="1280"/>
      <c r="PUD23" s="1280"/>
      <c r="PUE23" s="1280"/>
      <c r="PUF23" s="1280"/>
      <c r="PUG23" s="1280"/>
      <c r="PUH23" s="1280"/>
      <c r="PUI23" s="1280"/>
      <c r="PUJ23" s="1280"/>
      <c r="PUK23" s="1280"/>
      <c r="PUL23" s="1280"/>
      <c r="PUM23" s="1280"/>
      <c r="PUN23" s="1280"/>
      <c r="PUO23" s="1280"/>
      <c r="PUP23" s="1280"/>
      <c r="PUQ23" s="1280"/>
      <c r="PUR23" s="1280"/>
      <c r="PUS23" s="1280"/>
      <c r="PUT23" s="1280"/>
      <c r="PUU23" s="1280"/>
      <c r="PUV23" s="1280"/>
      <c r="PUW23" s="1280"/>
      <c r="PUX23" s="1280"/>
      <c r="PUY23" s="1280"/>
      <c r="PUZ23" s="1280"/>
      <c r="PVA23" s="1280"/>
      <c r="PVB23" s="1280"/>
      <c r="PVC23" s="1280"/>
      <c r="PVD23" s="1280"/>
      <c r="PVE23" s="1280"/>
      <c r="PVF23" s="1280"/>
      <c r="PVG23" s="1280"/>
      <c r="PVH23" s="1280"/>
      <c r="PVI23" s="1280"/>
      <c r="PVJ23" s="1280"/>
      <c r="PVK23" s="1280"/>
      <c r="PVL23" s="1280"/>
      <c r="PVM23" s="1280"/>
      <c r="PVN23" s="1280"/>
      <c r="PVO23" s="1280"/>
      <c r="PVP23" s="1280"/>
      <c r="PVQ23" s="1280"/>
      <c r="PVR23" s="1280"/>
      <c r="PVS23" s="1280"/>
      <c r="PVT23" s="1280"/>
      <c r="PVU23" s="1280"/>
      <c r="PVV23" s="1280"/>
      <c r="PVW23" s="1280"/>
      <c r="PVX23" s="1280"/>
      <c r="PVY23" s="1280"/>
      <c r="PVZ23" s="1280"/>
      <c r="PWA23" s="1280"/>
      <c r="PWB23" s="1280"/>
      <c r="PWC23" s="1280"/>
      <c r="PWD23" s="1280"/>
      <c r="PWE23" s="1280"/>
      <c r="PWF23" s="1280"/>
      <c r="PWG23" s="1280"/>
      <c r="PWH23" s="1280"/>
      <c r="PWI23" s="1280"/>
      <c r="PWJ23" s="1280"/>
      <c r="PWK23" s="1280"/>
      <c r="PWL23" s="1280"/>
      <c r="PWM23" s="1280"/>
      <c r="PWN23" s="1280"/>
      <c r="PWO23" s="1280"/>
      <c r="PWP23" s="1280"/>
      <c r="PWQ23" s="1280"/>
      <c r="PWR23" s="1280"/>
      <c r="PWS23" s="1280"/>
      <c r="PWT23" s="1280"/>
      <c r="PWU23" s="1280"/>
      <c r="PWV23" s="1280"/>
      <c r="PWW23" s="1280"/>
      <c r="PWX23" s="1280"/>
      <c r="PWY23" s="1280"/>
      <c r="PWZ23" s="1280"/>
      <c r="PXA23" s="1280"/>
      <c r="PXB23" s="1280"/>
      <c r="PXC23" s="1280"/>
      <c r="PXD23" s="1280"/>
      <c r="PXE23" s="1280"/>
      <c r="PXF23" s="1280"/>
      <c r="PXG23" s="1280"/>
      <c r="PXH23" s="1280"/>
      <c r="PXI23" s="1280"/>
      <c r="PXJ23" s="1280"/>
      <c r="PXK23" s="1280"/>
      <c r="PXL23" s="1280"/>
      <c r="PXM23" s="1280"/>
      <c r="PXN23" s="1280"/>
      <c r="PXO23" s="1280"/>
      <c r="PXP23" s="1280"/>
      <c r="PXQ23" s="1280"/>
      <c r="PXR23" s="1280"/>
      <c r="PXS23" s="1280"/>
      <c r="PXT23" s="1280"/>
      <c r="PXU23" s="1280"/>
      <c r="PXV23" s="1280"/>
      <c r="PXW23" s="1280"/>
      <c r="PXX23" s="1280"/>
      <c r="PXY23" s="1280"/>
      <c r="PXZ23" s="1280"/>
      <c r="PYA23" s="1280"/>
      <c r="PYB23" s="1280"/>
      <c r="PYC23" s="1280"/>
      <c r="PYD23" s="1280"/>
      <c r="PYE23" s="1280"/>
      <c r="PYF23" s="1280"/>
      <c r="PYG23" s="1280"/>
      <c r="PYH23" s="1280"/>
      <c r="PYI23" s="1280"/>
      <c r="PYJ23" s="1280"/>
      <c r="PYK23" s="1280"/>
      <c r="PYL23" s="1280"/>
      <c r="PYM23" s="1280"/>
      <c r="PYN23" s="1280"/>
      <c r="PYO23" s="1280"/>
      <c r="PYP23" s="1280"/>
      <c r="PYQ23" s="1280"/>
      <c r="PYR23" s="1280"/>
      <c r="PYS23" s="1280"/>
      <c r="PYT23" s="1280"/>
      <c r="PYU23" s="1280"/>
      <c r="PYV23" s="1280"/>
      <c r="PYW23" s="1280"/>
      <c r="PYX23" s="1280"/>
      <c r="PYY23" s="1280"/>
      <c r="PYZ23" s="1280"/>
      <c r="PZA23" s="1280"/>
      <c r="PZB23" s="1280"/>
      <c r="PZC23" s="1280"/>
      <c r="PZD23" s="1280"/>
      <c r="PZE23" s="1280"/>
      <c r="PZF23" s="1280"/>
      <c r="PZG23" s="1280"/>
      <c r="PZH23" s="1280"/>
      <c r="PZI23" s="1280"/>
      <c r="PZJ23" s="1280"/>
      <c r="PZK23" s="1280"/>
      <c r="PZL23" s="1280"/>
      <c r="PZM23" s="1280"/>
      <c r="PZN23" s="1280"/>
      <c r="PZO23" s="1280"/>
      <c r="PZP23" s="1280"/>
      <c r="PZQ23" s="1280"/>
      <c r="PZR23" s="1280"/>
      <c r="PZS23" s="1280"/>
      <c r="PZT23" s="1280"/>
      <c r="PZU23" s="1280"/>
      <c r="PZV23" s="1280"/>
      <c r="PZW23" s="1280"/>
      <c r="PZX23" s="1280"/>
      <c r="PZY23" s="1280"/>
      <c r="PZZ23" s="1280"/>
      <c r="QAA23" s="1280"/>
      <c r="QAB23" s="1280"/>
      <c r="QAC23" s="1280"/>
      <c r="QAD23" s="1280"/>
      <c r="QAE23" s="1280"/>
      <c r="QAF23" s="1280"/>
      <c r="QAG23" s="1280"/>
      <c r="QAH23" s="1280"/>
      <c r="QAI23" s="1280"/>
      <c r="QAJ23" s="1280"/>
      <c r="QAK23" s="1280"/>
      <c r="QAL23" s="1280"/>
      <c r="QAM23" s="1280"/>
      <c r="QAN23" s="1280"/>
      <c r="QAO23" s="1280"/>
      <c r="QAP23" s="1280"/>
      <c r="QAQ23" s="1280"/>
      <c r="QAR23" s="1280"/>
      <c r="QAS23" s="1280"/>
      <c r="QAT23" s="1280"/>
      <c r="QAU23" s="1280"/>
      <c r="QAV23" s="1280"/>
      <c r="QAW23" s="1280"/>
      <c r="QAX23" s="1280"/>
      <c r="QAY23" s="1280"/>
      <c r="QAZ23" s="1280"/>
      <c r="QBA23" s="1280"/>
      <c r="QBB23" s="1280"/>
      <c r="QBC23" s="1280"/>
      <c r="QBD23" s="1280"/>
      <c r="QBE23" s="1280"/>
      <c r="QBF23" s="1280"/>
      <c r="QBG23" s="1280"/>
      <c r="QBH23" s="1280"/>
      <c r="QBI23" s="1280"/>
      <c r="QBJ23" s="1280"/>
      <c r="QBK23" s="1280"/>
      <c r="QBL23" s="1280"/>
      <c r="QBM23" s="1280"/>
      <c r="QBN23" s="1280"/>
      <c r="QBO23" s="1280"/>
      <c r="QBP23" s="1280"/>
      <c r="QBQ23" s="1280"/>
      <c r="QBR23" s="1280"/>
      <c r="QBS23" s="1280"/>
      <c r="QBT23" s="1280"/>
      <c r="QBU23" s="1280"/>
      <c r="QBV23" s="1280"/>
      <c r="QBW23" s="1280"/>
      <c r="QBX23" s="1280"/>
      <c r="QBY23" s="1280"/>
      <c r="QBZ23" s="1280"/>
      <c r="QCA23" s="1280"/>
      <c r="QCB23" s="1280"/>
      <c r="QCC23" s="1280"/>
      <c r="QCD23" s="1280"/>
      <c r="QCE23" s="1280"/>
      <c r="QCF23" s="1280"/>
      <c r="QCG23" s="1280"/>
      <c r="QCH23" s="1280"/>
      <c r="QCI23" s="1280"/>
      <c r="QCJ23" s="1280"/>
      <c r="QCK23" s="1280"/>
      <c r="QCL23" s="1280"/>
      <c r="QCM23" s="1280"/>
      <c r="QCN23" s="1280"/>
      <c r="QCO23" s="1280"/>
      <c r="QCP23" s="1280"/>
      <c r="QCQ23" s="1280"/>
      <c r="QCR23" s="1280"/>
      <c r="QCS23" s="1280"/>
      <c r="QCT23" s="1280"/>
      <c r="QCU23" s="1280"/>
      <c r="QCV23" s="1280"/>
      <c r="QCW23" s="1280"/>
      <c r="QCX23" s="1280"/>
      <c r="QCY23" s="1280"/>
      <c r="QCZ23" s="1280"/>
      <c r="QDA23" s="1280"/>
      <c r="QDB23" s="1280"/>
      <c r="QDC23" s="1280"/>
      <c r="QDD23" s="1280"/>
      <c r="QDE23" s="1280"/>
      <c r="QDF23" s="1280"/>
      <c r="QDG23" s="1280"/>
      <c r="QDH23" s="1280"/>
      <c r="QDI23" s="1280"/>
      <c r="QDJ23" s="1280"/>
      <c r="QDK23" s="1280"/>
      <c r="QDL23" s="1280"/>
      <c r="QDM23" s="1280"/>
      <c r="QDN23" s="1280"/>
      <c r="QDO23" s="1280"/>
      <c r="QDP23" s="1280"/>
      <c r="QDQ23" s="1280"/>
      <c r="QDR23" s="1280"/>
      <c r="QDS23" s="1280"/>
      <c r="QDT23" s="1280"/>
      <c r="QDU23" s="1280"/>
      <c r="QDV23" s="1280"/>
      <c r="QDW23" s="1280"/>
      <c r="QDX23" s="1280"/>
      <c r="QDY23" s="1280"/>
      <c r="QDZ23" s="1280"/>
      <c r="QEA23" s="1280"/>
      <c r="QEB23" s="1280"/>
      <c r="QEC23" s="1280"/>
      <c r="QED23" s="1280"/>
      <c r="QEE23" s="1280"/>
      <c r="QEF23" s="1280"/>
      <c r="QEG23" s="1280"/>
      <c r="QEH23" s="1280"/>
      <c r="QEI23" s="1280"/>
      <c r="QEJ23" s="1280"/>
      <c r="QEK23" s="1280"/>
      <c r="QEL23" s="1280"/>
      <c r="QEM23" s="1280"/>
      <c r="QEN23" s="1280"/>
      <c r="QEO23" s="1280"/>
      <c r="QEP23" s="1280"/>
      <c r="QEQ23" s="1280"/>
      <c r="QER23" s="1280"/>
      <c r="QES23" s="1280"/>
      <c r="QET23" s="1280"/>
      <c r="QEU23" s="1280"/>
      <c r="QEV23" s="1280"/>
      <c r="QEW23" s="1280"/>
      <c r="QEX23" s="1280"/>
      <c r="QEY23" s="1280"/>
      <c r="QEZ23" s="1280"/>
      <c r="QFA23" s="1280"/>
      <c r="QFB23" s="1280"/>
      <c r="QFC23" s="1280"/>
      <c r="QFD23" s="1280"/>
      <c r="QFE23" s="1280"/>
      <c r="QFF23" s="1280"/>
      <c r="QFG23" s="1280"/>
      <c r="QFH23" s="1280"/>
      <c r="QFI23" s="1280"/>
      <c r="QFJ23" s="1280"/>
      <c r="QFK23" s="1280"/>
      <c r="QFL23" s="1280"/>
      <c r="QFM23" s="1280"/>
      <c r="QFN23" s="1280"/>
      <c r="QFO23" s="1280"/>
      <c r="QFP23" s="1280"/>
      <c r="QFQ23" s="1280"/>
      <c r="QFR23" s="1280"/>
      <c r="QFS23" s="1280"/>
      <c r="QFT23" s="1280"/>
      <c r="QFU23" s="1280"/>
      <c r="QFV23" s="1280"/>
      <c r="QFW23" s="1280"/>
      <c r="QFX23" s="1280"/>
      <c r="QFY23" s="1280"/>
      <c r="QFZ23" s="1280"/>
      <c r="QGA23" s="1280"/>
      <c r="QGB23" s="1280"/>
      <c r="QGC23" s="1280"/>
      <c r="QGD23" s="1280"/>
      <c r="QGE23" s="1280"/>
      <c r="QGF23" s="1280"/>
      <c r="QGG23" s="1280"/>
      <c r="QGH23" s="1280"/>
      <c r="QGI23" s="1280"/>
      <c r="QGJ23" s="1280"/>
      <c r="QGK23" s="1280"/>
      <c r="QGL23" s="1280"/>
      <c r="QGM23" s="1280"/>
      <c r="QGN23" s="1280"/>
      <c r="QGO23" s="1280"/>
      <c r="QGP23" s="1280"/>
      <c r="QGQ23" s="1280"/>
      <c r="QGR23" s="1280"/>
      <c r="QGS23" s="1280"/>
      <c r="QGT23" s="1280"/>
      <c r="QGU23" s="1280"/>
      <c r="QGV23" s="1280"/>
      <c r="QGW23" s="1280"/>
      <c r="QGX23" s="1280"/>
      <c r="QGY23" s="1280"/>
      <c r="QGZ23" s="1280"/>
      <c r="QHA23" s="1280"/>
      <c r="QHB23" s="1280"/>
      <c r="QHC23" s="1280"/>
      <c r="QHD23" s="1280"/>
      <c r="QHE23" s="1280"/>
      <c r="QHF23" s="1280"/>
      <c r="QHG23" s="1280"/>
      <c r="QHH23" s="1280"/>
      <c r="QHI23" s="1280"/>
      <c r="QHJ23" s="1280"/>
      <c r="QHK23" s="1280"/>
      <c r="QHL23" s="1280"/>
      <c r="QHM23" s="1280"/>
      <c r="QHN23" s="1280"/>
      <c r="QHO23" s="1280"/>
      <c r="QHP23" s="1280"/>
      <c r="QHQ23" s="1280"/>
      <c r="QHR23" s="1280"/>
      <c r="QHS23" s="1280"/>
      <c r="QHT23" s="1280"/>
      <c r="QHU23" s="1280"/>
      <c r="QHV23" s="1280"/>
      <c r="QHW23" s="1280"/>
      <c r="QHX23" s="1280"/>
      <c r="QHY23" s="1280"/>
      <c r="QHZ23" s="1280"/>
      <c r="QIA23" s="1280"/>
      <c r="QIB23" s="1280"/>
      <c r="QIC23" s="1280"/>
      <c r="QID23" s="1280"/>
      <c r="QIE23" s="1280"/>
      <c r="QIF23" s="1280"/>
      <c r="QIG23" s="1280"/>
      <c r="QIH23" s="1280"/>
      <c r="QII23" s="1280"/>
      <c r="QIJ23" s="1280"/>
      <c r="QIK23" s="1280"/>
      <c r="QIL23" s="1280"/>
      <c r="QIM23" s="1280"/>
      <c r="QIN23" s="1280"/>
      <c r="QIO23" s="1280"/>
      <c r="QIP23" s="1280"/>
      <c r="QIQ23" s="1280"/>
      <c r="QIR23" s="1280"/>
      <c r="QIS23" s="1280"/>
      <c r="QIT23" s="1280"/>
      <c r="QIU23" s="1280"/>
      <c r="QIV23" s="1280"/>
      <c r="QIW23" s="1280"/>
      <c r="QIX23" s="1280"/>
      <c r="QIY23" s="1280"/>
      <c r="QIZ23" s="1280"/>
      <c r="QJA23" s="1280"/>
      <c r="QJB23" s="1280"/>
      <c r="QJC23" s="1280"/>
      <c r="QJD23" s="1280"/>
      <c r="QJE23" s="1280"/>
      <c r="QJF23" s="1280"/>
      <c r="QJG23" s="1280"/>
      <c r="QJH23" s="1280"/>
      <c r="QJI23" s="1280"/>
      <c r="QJJ23" s="1280"/>
      <c r="QJK23" s="1280"/>
      <c r="QJL23" s="1280"/>
      <c r="QJM23" s="1280"/>
      <c r="QJN23" s="1280"/>
      <c r="QJO23" s="1280"/>
      <c r="QJP23" s="1280"/>
      <c r="QJQ23" s="1280"/>
      <c r="QJR23" s="1280"/>
      <c r="QJS23" s="1280"/>
      <c r="QJT23" s="1280"/>
      <c r="QJU23" s="1280"/>
      <c r="QJV23" s="1280"/>
      <c r="QJW23" s="1280"/>
      <c r="QJX23" s="1280"/>
      <c r="QJY23" s="1280"/>
      <c r="QJZ23" s="1280"/>
      <c r="QKA23" s="1280"/>
      <c r="QKB23" s="1280"/>
      <c r="QKC23" s="1280"/>
      <c r="QKD23" s="1280"/>
      <c r="QKE23" s="1280"/>
      <c r="QKF23" s="1280"/>
      <c r="QKG23" s="1280"/>
      <c r="QKH23" s="1280"/>
      <c r="QKI23" s="1280"/>
      <c r="QKJ23" s="1280"/>
      <c r="QKK23" s="1280"/>
      <c r="QKL23" s="1280"/>
      <c r="QKM23" s="1280"/>
      <c r="QKN23" s="1280"/>
      <c r="QKO23" s="1280"/>
      <c r="QKP23" s="1280"/>
      <c r="QKQ23" s="1280"/>
      <c r="QKR23" s="1280"/>
      <c r="QKS23" s="1280"/>
      <c r="QKT23" s="1280"/>
      <c r="QKU23" s="1280"/>
      <c r="QKV23" s="1280"/>
      <c r="QKW23" s="1280"/>
      <c r="QKX23" s="1280"/>
      <c r="QKY23" s="1280"/>
      <c r="QKZ23" s="1280"/>
      <c r="QLA23" s="1280"/>
      <c r="QLB23" s="1280"/>
      <c r="QLC23" s="1280"/>
      <c r="QLD23" s="1280"/>
      <c r="QLE23" s="1280"/>
      <c r="QLF23" s="1280"/>
      <c r="QLG23" s="1280"/>
      <c r="QLH23" s="1280"/>
      <c r="QLI23" s="1280"/>
      <c r="QLJ23" s="1280"/>
      <c r="QLK23" s="1280"/>
      <c r="QLL23" s="1280"/>
      <c r="QLM23" s="1280"/>
      <c r="QLN23" s="1280"/>
      <c r="QLO23" s="1280"/>
      <c r="QLP23" s="1280"/>
      <c r="QLQ23" s="1280"/>
      <c r="QLR23" s="1280"/>
      <c r="QLS23" s="1280"/>
      <c r="QLT23" s="1280"/>
      <c r="QLU23" s="1280"/>
      <c r="QLV23" s="1280"/>
      <c r="QLW23" s="1280"/>
      <c r="QLX23" s="1280"/>
      <c r="QLY23" s="1280"/>
      <c r="QLZ23" s="1280"/>
      <c r="QMA23" s="1280"/>
      <c r="QMB23" s="1280"/>
      <c r="QMC23" s="1280"/>
      <c r="QMD23" s="1280"/>
      <c r="QME23" s="1280"/>
      <c r="QMF23" s="1280"/>
      <c r="QMG23" s="1280"/>
      <c r="QMH23" s="1280"/>
      <c r="QMI23" s="1280"/>
      <c r="QMJ23" s="1280"/>
      <c r="QMK23" s="1280"/>
      <c r="QML23" s="1280"/>
      <c r="QMM23" s="1280"/>
      <c r="QMN23" s="1280"/>
      <c r="QMO23" s="1280"/>
      <c r="QMP23" s="1280"/>
      <c r="QMQ23" s="1280"/>
      <c r="QMR23" s="1280"/>
      <c r="QMS23" s="1280"/>
      <c r="QMT23" s="1280"/>
      <c r="QMU23" s="1280"/>
      <c r="QMV23" s="1280"/>
      <c r="QMW23" s="1280"/>
      <c r="QMX23" s="1280"/>
      <c r="QMY23" s="1280"/>
      <c r="QMZ23" s="1280"/>
      <c r="QNA23" s="1280"/>
      <c r="QNB23" s="1280"/>
      <c r="QNC23" s="1280"/>
      <c r="QND23" s="1280"/>
      <c r="QNE23" s="1280"/>
      <c r="QNF23" s="1280"/>
      <c r="QNG23" s="1280"/>
      <c r="QNH23" s="1280"/>
      <c r="QNI23" s="1280"/>
      <c r="QNJ23" s="1280"/>
      <c r="QNK23" s="1280"/>
      <c r="QNL23" s="1280"/>
      <c r="QNM23" s="1280"/>
      <c r="QNN23" s="1280"/>
      <c r="QNO23" s="1280"/>
      <c r="QNP23" s="1280"/>
      <c r="QNQ23" s="1280"/>
      <c r="QNR23" s="1280"/>
      <c r="QNS23" s="1280"/>
      <c r="QNT23" s="1280"/>
      <c r="QNU23" s="1280"/>
      <c r="QNV23" s="1280"/>
      <c r="QNW23" s="1280"/>
      <c r="QNX23" s="1280"/>
      <c r="QNY23" s="1280"/>
      <c r="QNZ23" s="1280"/>
      <c r="QOA23" s="1280"/>
      <c r="QOB23" s="1280"/>
      <c r="QOC23" s="1280"/>
      <c r="QOD23" s="1280"/>
      <c r="QOE23" s="1280"/>
      <c r="QOF23" s="1280"/>
      <c r="QOG23" s="1280"/>
      <c r="QOH23" s="1280"/>
      <c r="QOI23" s="1280"/>
      <c r="QOJ23" s="1280"/>
      <c r="QOK23" s="1280"/>
      <c r="QOL23" s="1280"/>
      <c r="QOM23" s="1280"/>
      <c r="QON23" s="1280"/>
      <c r="QOO23" s="1280"/>
      <c r="QOP23" s="1280"/>
      <c r="QOQ23" s="1280"/>
      <c r="QOR23" s="1280"/>
      <c r="QOS23" s="1280"/>
      <c r="QOT23" s="1280"/>
      <c r="QOU23" s="1280"/>
      <c r="QOV23" s="1280"/>
      <c r="QOW23" s="1280"/>
      <c r="QOX23" s="1280"/>
      <c r="QOY23" s="1280"/>
      <c r="QOZ23" s="1280"/>
      <c r="QPA23" s="1280"/>
      <c r="QPB23" s="1280"/>
      <c r="QPC23" s="1280"/>
      <c r="QPD23" s="1280"/>
      <c r="QPE23" s="1280"/>
      <c r="QPF23" s="1280"/>
      <c r="QPG23" s="1280"/>
      <c r="QPH23" s="1280"/>
      <c r="QPI23" s="1280"/>
      <c r="QPJ23" s="1280"/>
      <c r="QPK23" s="1280"/>
      <c r="QPL23" s="1280"/>
      <c r="QPM23" s="1280"/>
      <c r="QPN23" s="1280"/>
      <c r="QPO23" s="1280"/>
      <c r="QPP23" s="1280"/>
      <c r="QPQ23" s="1280"/>
      <c r="QPR23" s="1280"/>
      <c r="QPS23" s="1280"/>
      <c r="QPT23" s="1280"/>
      <c r="QPU23" s="1280"/>
      <c r="QPV23" s="1280"/>
      <c r="QPW23" s="1280"/>
      <c r="QPX23" s="1280"/>
      <c r="QPY23" s="1280"/>
      <c r="QPZ23" s="1280"/>
      <c r="QQA23" s="1280"/>
      <c r="QQB23" s="1280"/>
      <c r="QQC23" s="1280"/>
      <c r="QQD23" s="1280"/>
      <c r="QQE23" s="1280"/>
      <c r="QQF23" s="1280"/>
      <c r="QQG23" s="1280"/>
      <c r="QQH23" s="1280"/>
      <c r="QQI23" s="1280"/>
      <c r="QQJ23" s="1280"/>
      <c r="QQK23" s="1280"/>
      <c r="QQL23" s="1280"/>
      <c r="QQM23" s="1280"/>
      <c r="QQN23" s="1280"/>
      <c r="QQO23" s="1280"/>
      <c r="QQP23" s="1280"/>
      <c r="QQQ23" s="1280"/>
      <c r="QQR23" s="1280"/>
      <c r="QQS23" s="1280"/>
      <c r="QQT23" s="1280"/>
      <c r="QQU23" s="1280"/>
      <c r="QQV23" s="1280"/>
      <c r="QQW23" s="1280"/>
      <c r="QQX23" s="1280"/>
      <c r="QQY23" s="1280"/>
      <c r="QQZ23" s="1280"/>
      <c r="QRA23" s="1280"/>
      <c r="QRB23" s="1280"/>
      <c r="QRC23" s="1280"/>
      <c r="QRD23" s="1280"/>
      <c r="QRE23" s="1280"/>
      <c r="QRF23" s="1280"/>
      <c r="QRG23" s="1280"/>
      <c r="QRH23" s="1280"/>
      <c r="QRI23" s="1280"/>
      <c r="QRJ23" s="1280"/>
      <c r="QRK23" s="1280"/>
      <c r="QRL23" s="1280"/>
      <c r="QRM23" s="1280"/>
      <c r="QRN23" s="1280"/>
      <c r="QRO23" s="1280"/>
      <c r="QRP23" s="1280"/>
      <c r="QRQ23" s="1280"/>
      <c r="QRR23" s="1280"/>
      <c r="QRS23" s="1280"/>
      <c r="QRT23" s="1280"/>
      <c r="QRU23" s="1280"/>
      <c r="QRV23" s="1280"/>
      <c r="QRW23" s="1280"/>
      <c r="QRX23" s="1280"/>
      <c r="QRY23" s="1280"/>
      <c r="QRZ23" s="1280"/>
      <c r="QSA23" s="1280"/>
      <c r="QSB23" s="1280"/>
      <c r="QSC23" s="1280"/>
      <c r="QSD23" s="1280"/>
      <c r="QSE23" s="1280"/>
      <c r="QSF23" s="1280"/>
      <c r="QSG23" s="1280"/>
      <c r="QSH23" s="1280"/>
      <c r="QSI23" s="1280"/>
      <c r="QSJ23" s="1280"/>
      <c r="QSK23" s="1280"/>
      <c r="QSL23" s="1280"/>
      <c r="QSM23" s="1280"/>
      <c r="QSN23" s="1280"/>
      <c r="QSO23" s="1280"/>
      <c r="QSP23" s="1280"/>
      <c r="QSQ23" s="1280"/>
      <c r="QSR23" s="1280"/>
      <c r="QSS23" s="1280"/>
      <c r="QST23" s="1280"/>
      <c r="QSU23" s="1280"/>
      <c r="QSV23" s="1280"/>
      <c r="QSW23" s="1280"/>
      <c r="QSX23" s="1280"/>
      <c r="QSY23" s="1280"/>
      <c r="QSZ23" s="1280"/>
      <c r="QTA23" s="1280"/>
      <c r="QTB23" s="1280"/>
      <c r="QTC23" s="1280"/>
      <c r="QTD23" s="1280"/>
      <c r="QTE23" s="1280"/>
      <c r="QTF23" s="1280"/>
      <c r="QTG23" s="1280"/>
      <c r="QTH23" s="1280"/>
      <c r="QTI23" s="1280"/>
      <c r="QTJ23" s="1280"/>
      <c r="QTK23" s="1280"/>
      <c r="QTL23" s="1280"/>
      <c r="QTM23" s="1280"/>
      <c r="QTN23" s="1280"/>
      <c r="QTO23" s="1280"/>
      <c r="QTP23" s="1280"/>
      <c r="QTQ23" s="1280"/>
      <c r="QTR23" s="1280"/>
      <c r="QTS23" s="1280"/>
      <c r="QTT23" s="1280"/>
      <c r="QTU23" s="1280"/>
      <c r="QTV23" s="1280"/>
      <c r="QTW23" s="1280"/>
      <c r="QTX23" s="1280"/>
      <c r="QTY23" s="1280"/>
      <c r="QTZ23" s="1280"/>
      <c r="QUA23" s="1280"/>
      <c r="QUB23" s="1280"/>
      <c r="QUC23" s="1280"/>
      <c r="QUD23" s="1280"/>
      <c r="QUE23" s="1280"/>
      <c r="QUF23" s="1280"/>
      <c r="QUG23" s="1280"/>
      <c r="QUH23" s="1280"/>
      <c r="QUI23" s="1280"/>
      <c r="QUJ23" s="1280"/>
      <c r="QUK23" s="1280"/>
      <c r="QUL23" s="1280"/>
      <c r="QUM23" s="1280"/>
      <c r="QUN23" s="1280"/>
      <c r="QUO23" s="1280"/>
      <c r="QUP23" s="1280"/>
      <c r="QUQ23" s="1280"/>
      <c r="QUR23" s="1280"/>
      <c r="QUS23" s="1280"/>
      <c r="QUT23" s="1280"/>
      <c r="QUU23" s="1280"/>
      <c r="QUV23" s="1280"/>
      <c r="QUW23" s="1280"/>
      <c r="QUX23" s="1280"/>
      <c r="QUY23" s="1280"/>
      <c r="QUZ23" s="1280"/>
      <c r="QVA23" s="1280"/>
      <c r="QVB23" s="1280"/>
      <c r="QVC23" s="1280"/>
      <c r="QVD23" s="1280"/>
      <c r="QVE23" s="1280"/>
      <c r="QVF23" s="1280"/>
      <c r="QVG23" s="1280"/>
      <c r="QVH23" s="1280"/>
      <c r="QVI23" s="1280"/>
      <c r="QVJ23" s="1280"/>
      <c r="QVK23" s="1280"/>
      <c r="QVL23" s="1280"/>
      <c r="QVM23" s="1280"/>
      <c r="QVN23" s="1280"/>
      <c r="QVO23" s="1280"/>
      <c r="QVP23" s="1280"/>
      <c r="QVQ23" s="1280"/>
      <c r="QVR23" s="1280"/>
      <c r="QVS23" s="1280"/>
      <c r="QVT23" s="1280"/>
      <c r="QVU23" s="1280"/>
      <c r="QVV23" s="1280"/>
      <c r="QVW23" s="1280"/>
      <c r="QVX23" s="1280"/>
      <c r="QVY23" s="1280"/>
      <c r="QVZ23" s="1280"/>
      <c r="QWA23" s="1280"/>
      <c r="QWB23" s="1280"/>
      <c r="QWC23" s="1280"/>
      <c r="QWD23" s="1280"/>
      <c r="QWE23" s="1280"/>
      <c r="QWF23" s="1280"/>
      <c r="QWG23" s="1280"/>
      <c r="QWH23" s="1280"/>
      <c r="QWI23" s="1280"/>
      <c r="QWJ23" s="1280"/>
      <c r="QWK23" s="1280"/>
      <c r="QWL23" s="1280"/>
      <c r="QWM23" s="1280"/>
      <c r="QWN23" s="1280"/>
      <c r="QWO23" s="1280"/>
      <c r="QWP23" s="1280"/>
      <c r="QWQ23" s="1280"/>
      <c r="QWR23" s="1280"/>
      <c r="QWS23" s="1280"/>
      <c r="QWT23" s="1280"/>
      <c r="QWU23" s="1280"/>
      <c r="QWV23" s="1280"/>
      <c r="QWW23" s="1280"/>
      <c r="QWX23" s="1280"/>
      <c r="QWY23" s="1280"/>
      <c r="QWZ23" s="1280"/>
      <c r="QXA23" s="1280"/>
      <c r="QXB23" s="1280"/>
      <c r="QXC23" s="1280"/>
      <c r="QXD23" s="1280"/>
      <c r="QXE23" s="1280"/>
      <c r="QXF23" s="1280"/>
      <c r="QXG23" s="1280"/>
      <c r="QXH23" s="1280"/>
      <c r="QXI23" s="1280"/>
      <c r="QXJ23" s="1280"/>
      <c r="QXK23" s="1280"/>
      <c r="QXL23" s="1280"/>
      <c r="QXM23" s="1280"/>
      <c r="QXN23" s="1280"/>
      <c r="QXO23" s="1280"/>
      <c r="QXP23" s="1280"/>
      <c r="QXQ23" s="1280"/>
      <c r="QXR23" s="1280"/>
      <c r="QXS23" s="1280"/>
      <c r="QXT23" s="1280"/>
      <c r="QXU23" s="1280"/>
      <c r="QXV23" s="1280"/>
      <c r="QXW23" s="1280"/>
      <c r="QXX23" s="1280"/>
      <c r="QXY23" s="1280"/>
      <c r="QXZ23" s="1280"/>
      <c r="QYA23" s="1280"/>
      <c r="QYB23" s="1280"/>
      <c r="QYC23" s="1280"/>
      <c r="QYD23" s="1280"/>
      <c r="QYE23" s="1280"/>
      <c r="QYF23" s="1280"/>
      <c r="QYG23" s="1280"/>
      <c r="QYH23" s="1280"/>
      <c r="QYI23" s="1280"/>
      <c r="QYJ23" s="1280"/>
      <c r="QYK23" s="1280"/>
      <c r="QYL23" s="1280"/>
      <c r="QYM23" s="1280"/>
      <c r="QYN23" s="1280"/>
      <c r="QYO23" s="1280"/>
      <c r="QYP23" s="1280"/>
      <c r="QYQ23" s="1280"/>
      <c r="QYR23" s="1280"/>
      <c r="QYS23" s="1280"/>
      <c r="QYT23" s="1280"/>
      <c r="QYU23" s="1280"/>
      <c r="QYV23" s="1280"/>
      <c r="QYW23" s="1280"/>
      <c r="QYX23" s="1280"/>
      <c r="QYY23" s="1280"/>
      <c r="QYZ23" s="1280"/>
      <c r="QZA23" s="1280"/>
      <c r="QZB23" s="1280"/>
      <c r="QZC23" s="1280"/>
      <c r="QZD23" s="1280"/>
      <c r="QZE23" s="1280"/>
      <c r="QZF23" s="1280"/>
      <c r="QZG23" s="1280"/>
      <c r="QZH23" s="1280"/>
      <c r="QZI23" s="1280"/>
      <c r="QZJ23" s="1280"/>
      <c r="QZK23" s="1280"/>
      <c r="QZL23" s="1280"/>
      <c r="QZM23" s="1280"/>
      <c r="QZN23" s="1280"/>
      <c r="QZO23" s="1280"/>
      <c r="QZP23" s="1280"/>
      <c r="QZQ23" s="1280"/>
      <c r="QZR23" s="1280"/>
      <c r="QZS23" s="1280"/>
      <c r="QZT23" s="1280"/>
      <c r="QZU23" s="1280"/>
      <c r="QZV23" s="1280"/>
      <c r="QZW23" s="1280"/>
      <c r="QZX23" s="1280"/>
      <c r="QZY23" s="1280"/>
      <c r="QZZ23" s="1280"/>
      <c r="RAA23" s="1280"/>
      <c r="RAB23" s="1280"/>
      <c r="RAC23" s="1280"/>
      <c r="RAD23" s="1280"/>
      <c r="RAE23" s="1280"/>
      <c r="RAF23" s="1280"/>
      <c r="RAG23" s="1280"/>
      <c r="RAH23" s="1280"/>
      <c r="RAI23" s="1280"/>
      <c r="RAJ23" s="1280"/>
      <c r="RAK23" s="1280"/>
      <c r="RAL23" s="1280"/>
      <c r="RAM23" s="1280"/>
      <c r="RAN23" s="1280"/>
      <c r="RAO23" s="1280"/>
      <c r="RAP23" s="1280"/>
      <c r="RAQ23" s="1280"/>
      <c r="RAR23" s="1280"/>
      <c r="RAS23" s="1280"/>
      <c r="RAT23" s="1280"/>
      <c r="RAU23" s="1280"/>
      <c r="RAV23" s="1280"/>
      <c r="RAW23" s="1280"/>
      <c r="RAX23" s="1280"/>
      <c r="RAY23" s="1280"/>
      <c r="RAZ23" s="1280"/>
      <c r="RBA23" s="1280"/>
      <c r="RBB23" s="1280"/>
      <c r="RBC23" s="1280"/>
      <c r="RBD23" s="1280"/>
      <c r="RBE23" s="1280"/>
      <c r="RBF23" s="1280"/>
      <c r="RBG23" s="1280"/>
      <c r="RBH23" s="1280"/>
      <c r="RBI23" s="1280"/>
      <c r="RBJ23" s="1280"/>
      <c r="RBK23" s="1280"/>
      <c r="RBL23" s="1280"/>
      <c r="RBM23" s="1280"/>
      <c r="RBN23" s="1280"/>
      <c r="RBO23" s="1280"/>
      <c r="RBP23" s="1280"/>
      <c r="RBQ23" s="1280"/>
      <c r="RBR23" s="1280"/>
      <c r="RBS23" s="1280"/>
      <c r="RBT23" s="1280"/>
      <c r="RBU23" s="1280"/>
      <c r="RBV23" s="1280"/>
      <c r="RBW23" s="1280"/>
      <c r="RBX23" s="1280"/>
      <c r="RBY23" s="1280"/>
      <c r="RBZ23" s="1280"/>
      <c r="RCA23" s="1280"/>
      <c r="RCB23" s="1280"/>
      <c r="RCC23" s="1280"/>
      <c r="RCD23" s="1280"/>
      <c r="RCE23" s="1280"/>
      <c r="RCF23" s="1280"/>
      <c r="RCG23" s="1280"/>
      <c r="RCH23" s="1280"/>
      <c r="RCI23" s="1280"/>
      <c r="RCJ23" s="1280"/>
      <c r="RCK23" s="1280"/>
      <c r="RCL23" s="1280"/>
      <c r="RCM23" s="1280"/>
      <c r="RCN23" s="1280"/>
      <c r="RCO23" s="1280"/>
      <c r="RCP23" s="1280"/>
      <c r="RCQ23" s="1280"/>
      <c r="RCR23" s="1280"/>
      <c r="RCS23" s="1280"/>
      <c r="RCT23" s="1280"/>
      <c r="RCU23" s="1280"/>
      <c r="RCV23" s="1280"/>
      <c r="RCW23" s="1280"/>
      <c r="RCX23" s="1280"/>
      <c r="RCY23" s="1280"/>
      <c r="RCZ23" s="1280"/>
      <c r="RDA23" s="1280"/>
      <c r="RDB23" s="1280"/>
      <c r="RDC23" s="1280"/>
      <c r="RDD23" s="1280"/>
      <c r="RDE23" s="1280"/>
      <c r="RDF23" s="1280"/>
      <c r="RDG23" s="1280"/>
      <c r="RDH23" s="1280"/>
      <c r="RDI23" s="1280"/>
      <c r="RDJ23" s="1280"/>
      <c r="RDK23" s="1280"/>
      <c r="RDL23" s="1280"/>
      <c r="RDM23" s="1280"/>
      <c r="RDN23" s="1280"/>
      <c r="RDO23" s="1280"/>
      <c r="RDP23" s="1280"/>
      <c r="RDQ23" s="1280"/>
      <c r="RDR23" s="1280"/>
      <c r="RDS23" s="1280"/>
      <c r="RDT23" s="1280"/>
      <c r="RDU23" s="1280"/>
      <c r="RDV23" s="1280"/>
      <c r="RDW23" s="1280"/>
      <c r="RDX23" s="1280"/>
      <c r="RDY23" s="1280"/>
      <c r="RDZ23" s="1280"/>
      <c r="REA23" s="1280"/>
      <c r="REB23" s="1280"/>
      <c r="REC23" s="1280"/>
      <c r="RED23" s="1280"/>
      <c r="REE23" s="1280"/>
      <c r="REF23" s="1280"/>
      <c r="REG23" s="1280"/>
      <c r="REH23" s="1280"/>
      <c r="REI23" s="1280"/>
      <c r="REJ23" s="1280"/>
      <c r="REK23" s="1280"/>
      <c r="REL23" s="1280"/>
      <c r="REM23" s="1280"/>
      <c r="REN23" s="1280"/>
      <c r="REO23" s="1280"/>
      <c r="REP23" s="1280"/>
      <c r="REQ23" s="1280"/>
      <c r="RER23" s="1280"/>
      <c r="RES23" s="1280"/>
      <c r="RET23" s="1280"/>
      <c r="REU23" s="1280"/>
      <c r="REV23" s="1280"/>
      <c r="REW23" s="1280"/>
      <c r="REX23" s="1280"/>
      <c r="REY23" s="1280"/>
      <c r="REZ23" s="1280"/>
      <c r="RFA23" s="1280"/>
      <c r="RFB23" s="1280"/>
      <c r="RFC23" s="1280"/>
      <c r="RFD23" s="1280"/>
      <c r="RFE23" s="1280"/>
      <c r="RFF23" s="1280"/>
      <c r="RFG23" s="1280"/>
      <c r="RFH23" s="1280"/>
      <c r="RFI23" s="1280"/>
      <c r="RFJ23" s="1280"/>
      <c r="RFK23" s="1280"/>
      <c r="RFL23" s="1280"/>
      <c r="RFM23" s="1280"/>
      <c r="RFN23" s="1280"/>
      <c r="RFO23" s="1280"/>
      <c r="RFP23" s="1280"/>
      <c r="RFQ23" s="1280"/>
      <c r="RFR23" s="1280"/>
      <c r="RFS23" s="1280"/>
      <c r="RFT23" s="1280"/>
      <c r="RFU23" s="1280"/>
      <c r="RFV23" s="1280"/>
      <c r="RFW23" s="1280"/>
      <c r="RFX23" s="1280"/>
      <c r="RFY23" s="1280"/>
      <c r="RFZ23" s="1280"/>
      <c r="RGA23" s="1280"/>
      <c r="RGB23" s="1280"/>
      <c r="RGC23" s="1280"/>
      <c r="RGD23" s="1280"/>
      <c r="RGE23" s="1280"/>
      <c r="RGF23" s="1280"/>
      <c r="RGG23" s="1280"/>
      <c r="RGH23" s="1280"/>
      <c r="RGI23" s="1280"/>
      <c r="RGJ23" s="1280"/>
      <c r="RGK23" s="1280"/>
      <c r="RGL23" s="1280"/>
      <c r="RGM23" s="1280"/>
      <c r="RGN23" s="1280"/>
      <c r="RGO23" s="1280"/>
      <c r="RGP23" s="1280"/>
      <c r="RGQ23" s="1280"/>
      <c r="RGR23" s="1280"/>
      <c r="RGS23" s="1280"/>
      <c r="RGT23" s="1280"/>
      <c r="RGU23" s="1280"/>
      <c r="RGV23" s="1280"/>
      <c r="RGW23" s="1280"/>
      <c r="RGX23" s="1280"/>
      <c r="RGY23" s="1280"/>
      <c r="RGZ23" s="1280"/>
      <c r="RHA23" s="1280"/>
      <c r="RHB23" s="1280"/>
      <c r="RHC23" s="1280"/>
      <c r="RHD23" s="1280"/>
      <c r="RHE23" s="1280"/>
      <c r="RHF23" s="1280"/>
      <c r="RHG23" s="1280"/>
      <c r="RHH23" s="1280"/>
      <c r="RHI23" s="1280"/>
      <c r="RHJ23" s="1280"/>
      <c r="RHK23" s="1280"/>
      <c r="RHL23" s="1280"/>
      <c r="RHM23" s="1280"/>
      <c r="RHN23" s="1280"/>
      <c r="RHO23" s="1280"/>
      <c r="RHP23" s="1280"/>
      <c r="RHQ23" s="1280"/>
      <c r="RHR23" s="1280"/>
      <c r="RHS23" s="1280"/>
      <c r="RHT23" s="1280"/>
      <c r="RHU23" s="1280"/>
      <c r="RHV23" s="1280"/>
      <c r="RHW23" s="1280"/>
      <c r="RHX23" s="1280"/>
      <c r="RHY23" s="1280"/>
      <c r="RHZ23" s="1280"/>
      <c r="RIA23" s="1280"/>
      <c r="RIB23" s="1280"/>
      <c r="RIC23" s="1280"/>
      <c r="RID23" s="1280"/>
      <c r="RIE23" s="1280"/>
      <c r="RIF23" s="1280"/>
      <c r="RIG23" s="1280"/>
      <c r="RIH23" s="1280"/>
      <c r="RII23" s="1280"/>
      <c r="RIJ23" s="1280"/>
      <c r="RIK23" s="1280"/>
      <c r="RIL23" s="1280"/>
      <c r="RIM23" s="1280"/>
      <c r="RIN23" s="1280"/>
      <c r="RIO23" s="1280"/>
      <c r="RIP23" s="1280"/>
      <c r="RIQ23" s="1280"/>
      <c r="RIR23" s="1280"/>
      <c r="RIS23" s="1280"/>
      <c r="RIT23" s="1280"/>
      <c r="RIU23" s="1280"/>
      <c r="RIV23" s="1280"/>
      <c r="RIW23" s="1280"/>
      <c r="RIX23" s="1280"/>
      <c r="RIY23" s="1280"/>
      <c r="RIZ23" s="1280"/>
      <c r="RJA23" s="1280"/>
      <c r="RJB23" s="1280"/>
      <c r="RJC23" s="1280"/>
      <c r="RJD23" s="1280"/>
      <c r="RJE23" s="1280"/>
      <c r="RJF23" s="1280"/>
      <c r="RJG23" s="1280"/>
      <c r="RJH23" s="1280"/>
      <c r="RJI23" s="1280"/>
      <c r="RJJ23" s="1280"/>
      <c r="RJK23" s="1280"/>
      <c r="RJL23" s="1280"/>
      <c r="RJM23" s="1280"/>
      <c r="RJN23" s="1280"/>
      <c r="RJO23" s="1280"/>
      <c r="RJP23" s="1280"/>
      <c r="RJQ23" s="1280"/>
      <c r="RJR23" s="1280"/>
      <c r="RJS23" s="1280"/>
      <c r="RJT23" s="1280"/>
      <c r="RJU23" s="1280"/>
      <c r="RJV23" s="1280"/>
      <c r="RJW23" s="1280"/>
      <c r="RJX23" s="1280"/>
      <c r="RJY23" s="1280"/>
      <c r="RJZ23" s="1280"/>
      <c r="RKA23" s="1280"/>
      <c r="RKB23" s="1280"/>
      <c r="RKC23" s="1280"/>
      <c r="RKD23" s="1280"/>
      <c r="RKE23" s="1280"/>
      <c r="RKF23" s="1280"/>
      <c r="RKG23" s="1280"/>
      <c r="RKH23" s="1280"/>
      <c r="RKI23" s="1280"/>
      <c r="RKJ23" s="1280"/>
      <c r="RKK23" s="1280"/>
      <c r="RKL23" s="1280"/>
      <c r="RKM23" s="1280"/>
      <c r="RKN23" s="1280"/>
      <c r="RKO23" s="1280"/>
      <c r="RKP23" s="1280"/>
      <c r="RKQ23" s="1280"/>
      <c r="RKR23" s="1280"/>
      <c r="RKS23" s="1280"/>
      <c r="RKT23" s="1280"/>
      <c r="RKU23" s="1280"/>
      <c r="RKV23" s="1280"/>
      <c r="RKW23" s="1280"/>
      <c r="RKX23" s="1280"/>
      <c r="RKY23" s="1280"/>
      <c r="RKZ23" s="1280"/>
      <c r="RLA23" s="1280"/>
      <c r="RLB23" s="1280"/>
      <c r="RLC23" s="1280"/>
      <c r="RLD23" s="1280"/>
      <c r="RLE23" s="1280"/>
      <c r="RLF23" s="1280"/>
      <c r="RLG23" s="1280"/>
      <c r="RLH23" s="1280"/>
      <c r="RLI23" s="1280"/>
      <c r="RLJ23" s="1280"/>
      <c r="RLK23" s="1280"/>
      <c r="RLL23" s="1280"/>
      <c r="RLM23" s="1280"/>
      <c r="RLN23" s="1280"/>
      <c r="RLO23" s="1280"/>
      <c r="RLP23" s="1280"/>
      <c r="RLQ23" s="1280"/>
      <c r="RLR23" s="1280"/>
      <c r="RLS23" s="1280"/>
      <c r="RLT23" s="1280"/>
      <c r="RLU23" s="1280"/>
      <c r="RLV23" s="1280"/>
      <c r="RLW23" s="1280"/>
      <c r="RLX23" s="1280"/>
      <c r="RLY23" s="1280"/>
      <c r="RLZ23" s="1280"/>
      <c r="RMA23" s="1280"/>
      <c r="RMB23" s="1280"/>
      <c r="RMC23" s="1280"/>
      <c r="RMD23" s="1280"/>
      <c r="RME23" s="1280"/>
      <c r="RMF23" s="1280"/>
      <c r="RMG23" s="1280"/>
      <c r="RMH23" s="1280"/>
      <c r="RMI23" s="1280"/>
      <c r="RMJ23" s="1280"/>
      <c r="RMK23" s="1280"/>
      <c r="RML23" s="1280"/>
      <c r="RMM23" s="1280"/>
      <c r="RMN23" s="1280"/>
      <c r="RMO23" s="1280"/>
      <c r="RMP23" s="1280"/>
      <c r="RMQ23" s="1280"/>
      <c r="RMR23" s="1280"/>
      <c r="RMS23" s="1280"/>
      <c r="RMT23" s="1280"/>
      <c r="RMU23" s="1280"/>
      <c r="RMV23" s="1280"/>
      <c r="RMW23" s="1280"/>
      <c r="RMX23" s="1280"/>
      <c r="RMY23" s="1280"/>
      <c r="RMZ23" s="1280"/>
      <c r="RNA23" s="1280"/>
      <c r="RNB23" s="1280"/>
      <c r="RNC23" s="1280"/>
      <c r="RND23" s="1280"/>
      <c r="RNE23" s="1280"/>
      <c r="RNF23" s="1280"/>
      <c r="RNG23" s="1280"/>
      <c r="RNH23" s="1280"/>
      <c r="RNI23" s="1280"/>
      <c r="RNJ23" s="1280"/>
      <c r="RNK23" s="1280"/>
      <c r="RNL23" s="1280"/>
      <c r="RNM23" s="1280"/>
      <c r="RNN23" s="1280"/>
      <c r="RNO23" s="1280"/>
      <c r="RNP23" s="1280"/>
      <c r="RNQ23" s="1280"/>
      <c r="RNR23" s="1280"/>
      <c r="RNS23" s="1280"/>
      <c r="RNT23" s="1280"/>
      <c r="RNU23" s="1280"/>
      <c r="RNV23" s="1280"/>
      <c r="RNW23" s="1280"/>
      <c r="RNX23" s="1280"/>
      <c r="RNY23" s="1280"/>
      <c r="RNZ23" s="1280"/>
      <c r="ROA23" s="1280"/>
      <c r="ROB23" s="1280"/>
      <c r="ROC23" s="1280"/>
      <c r="ROD23" s="1280"/>
      <c r="ROE23" s="1280"/>
      <c r="ROF23" s="1280"/>
      <c r="ROG23" s="1280"/>
      <c r="ROH23" s="1280"/>
      <c r="ROI23" s="1280"/>
      <c r="ROJ23" s="1280"/>
      <c r="ROK23" s="1280"/>
      <c r="ROL23" s="1280"/>
      <c r="ROM23" s="1280"/>
      <c r="RON23" s="1280"/>
      <c r="ROO23" s="1280"/>
      <c r="ROP23" s="1280"/>
      <c r="ROQ23" s="1280"/>
      <c r="ROR23" s="1280"/>
      <c r="ROS23" s="1280"/>
      <c r="ROT23" s="1280"/>
      <c r="ROU23" s="1280"/>
      <c r="ROV23" s="1280"/>
      <c r="ROW23" s="1280"/>
      <c r="ROX23" s="1280"/>
      <c r="ROY23" s="1280"/>
      <c r="ROZ23" s="1280"/>
      <c r="RPA23" s="1280"/>
      <c r="RPB23" s="1280"/>
      <c r="RPC23" s="1280"/>
      <c r="RPD23" s="1280"/>
      <c r="RPE23" s="1280"/>
      <c r="RPF23" s="1280"/>
      <c r="RPG23" s="1280"/>
      <c r="RPH23" s="1280"/>
      <c r="RPI23" s="1280"/>
      <c r="RPJ23" s="1280"/>
      <c r="RPK23" s="1280"/>
      <c r="RPL23" s="1280"/>
      <c r="RPM23" s="1280"/>
      <c r="RPN23" s="1280"/>
      <c r="RPO23" s="1280"/>
      <c r="RPP23" s="1280"/>
      <c r="RPQ23" s="1280"/>
      <c r="RPR23" s="1280"/>
      <c r="RPS23" s="1280"/>
      <c r="RPT23" s="1280"/>
      <c r="RPU23" s="1280"/>
      <c r="RPV23" s="1280"/>
      <c r="RPW23" s="1280"/>
      <c r="RPX23" s="1280"/>
      <c r="RPY23" s="1280"/>
      <c r="RPZ23" s="1280"/>
      <c r="RQA23" s="1280"/>
      <c r="RQB23" s="1280"/>
      <c r="RQC23" s="1280"/>
      <c r="RQD23" s="1280"/>
      <c r="RQE23" s="1280"/>
      <c r="RQF23" s="1280"/>
      <c r="RQG23" s="1280"/>
      <c r="RQH23" s="1280"/>
      <c r="RQI23" s="1280"/>
      <c r="RQJ23" s="1280"/>
      <c r="RQK23" s="1280"/>
      <c r="RQL23" s="1280"/>
      <c r="RQM23" s="1280"/>
      <c r="RQN23" s="1280"/>
      <c r="RQO23" s="1280"/>
      <c r="RQP23" s="1280"/>
      <c r="RQQ23" s="1280"/>
      <c r="RQR23" s="1280"/>
      <c r="RQS23" s="1280"/>
      <c r="RQT23" s="1280"/>
      <c r="RQU23" s="1280"/>
      <c r="RQV23" s="1280"/>
      <c r="RQW23" s="1280"/>
      <c r="RQX23" s="1280"/>
      <c r="RQY23" s="1280"/>
      <c r="RQZ23" s="1280"/>
      <c r="RRA23" s="1280"/>
      <c r="RRB23" s="1280"/>
      <c r="RRC23" s="1280"/>
      <c r="RRD23" s="1280"/>
      <c r="RRE23" s="1280"/>
      <c r="RRF23" s="1280"/>
      <c r="RRG23" s="1280"/>
      <c r="RRH23" s="1280"/>
      <c r="RRI23" s="1280"/>
      <c r="RRJ23" s="1280"/>
      <c r="RRK23" s="1280"/>
      <c r="RRL23" s="1280"/>
      <c r="RRM23" s="1280"/>
      <c r="RRN23" s="1280"/>
      <c r="RRO23" s="1280"/>
      <c r="RRP23" s="1280"/>
      <c r="RRQ23" s="1280"/>
      <c r="RRR23" s="1280"/>
      <c r="RRS23" s="1280"/>
      <c r="RRT23" s="1280"/>
      <c r="RRU23" s="1280"/>
      <c r="RRV23" s="1280"/>
      <c r="RRW23" s="1280"/>
      <c r="RRX23" s="1280"/>
      <c r="RRY23" s="1280"/>
      <c r="RRZ23" s="1280"/>
      <c r="RSA23" s="1280"/>
      <c r="RSB23" s="1280"/>
      <c r="RSC23" s="1280"/>
      <c r="RSD23" s="1280"/>
      <c r="RSE23" s="1280"/>
      <c r="RSF23" s="1280"/>
      <c r="RSG23" s="1280"/>
      <c r="RSH23" s="1280"/>
      <c r="RSI23" s="1280"/>
      <c r="RSJ23" s="1280"/>
      <c r="RSK23" s="1280"/>
      <c r="RSL23" s="1280"/>
      <c r="RSM23" s="1280"/>
      <c r="RSN23" s="1280"/>
      <c r="RSO23" s="1280"/>
      <c r="RSP23" s="1280"/>
      <c r="RSQ23" s="1280"/>
      <c r="RSR23" s="1280"/>
      <c r="RSS23" s="1280"/>
      <c r="RST23" s="1280"/>
      <c r="RSU23" s="1280"/>
      <c r="RSV23" s="1280"/>
      <c r="RSW23" s="1280"/>
      <c r="RSX23" s="1280"/>
      <c r="RSY23" s="1280"/>
      <c r="RSZ23" s="1280"/>
      <c r="RTA23" s="1280"/>
      <c r="RTB23" s="1280"/>
      <c r="RTC23" s="1280"/>
      <c r="RTD23" s="1280"/>
      <c r="RTE23" s="1280"/>
      <c r="RTF23" s="1280"/>
      <c r="RTG23" s="1280"/>
      <c r="RTH23" s="1280"/>
      <c r="RTI23" s="1280"/>
      <c r="RTJ23" s="1280"/>
      <c r="RTK23" s="1280"/>
      <c r="RTL23" s="1280"/>
      <c r="RTM23" s="1280"/>
      <c r="RTN23" s="1280"/>
      <c r="RTO23" s="1280"/>
      <c r="RTP23" s="1280"/>
      <c r="RTQ23" s="1280"/>
      <c r="RTR23" s="1280"/>
      <c r="RTS23" s="1280"/>
      <c r="RTT23" s="1280"/>
      <c r="RTU23" s="1280"/>
      <c r="RTV23" s="1280"/>
      <c r="RTW23" s="1280"/>
      <c r="RTX23" s="1280"/>
      <c r="RTY23" s="1280"/>
      <c r="RTZ23" s="1280"/>
      <c r="RUA23" s="1280"/>
      <c r="RUB23" s="1280"/>
      <c r="RUC23" s="1280"/>
      <c r="RUD23" s="1280"/>
      <c r="RUE23" s="1280"/>
      <c r="RUF23" s="1280"/>
      <c r="RUG23" s="1280"/>
      <c r="RUH23" s="1280"/>
      <c r="RUI23" s="1280"/>
      <c r="RUJ23" s="1280"/>
      <c r="RUK23" s="1280"/>
      <c r="RUL23" s="1280"/>
      <c r="RUM23" s="1280"/>
      <c r="RUN23" s="1280"/>
      <c r="RUO23" s="1280"/>
      <c r="RUP23" s="1280"/>
      <c r="RUQ23" s="1280"/>
      <c r="RUR23" s="1280"/>
      <c r="RUS23" s="1280"/>
      <c r="RUT23" s="1280"/>
      <c r="RUU23" s="1280"/>
      <c r="RUV23" s="1280"/>
      <c r="RUW23" s="1280"/>
      <c r="RUX23" s="1280"/>
      <c r="RUY23" s="1280"/>
      <c r="RUZ23" s="1280"/>
      <c r="RVA23" s="1280"/>
      <c r="RVB23" s="1280"/>
      <c r="RVC23" s="1280"/>
      <c r="RVD23" s="1280"/>
      <c r="RVE23" s="1280"/>
      <c r="RVF23" s="1280"/>
      <c r="RVG23" s="1280"/>
      <c r="RVH23" s="1280"/>
      <c r="RVI23" s="1280"/>
      <c r="RVJ23" s="1280"/>
      <c r="RVK23" s="1280"/>
      <c r="RVL23" s="1280"/>
      <c r="RVM23" s="1280"/>
      <c r="RVN23" s="1280"/>
      <c r="RVO23" s="1280"/>
      <c r="RVP23" s="1280"/>
      <c r="RVQ23" s="1280"/>
      <c r="RVR23" s="1280"/>
      <c r="RVS23" s="1280"/>
      <c r="RVT23" s="1280"/>
      <c r="RVU23" s="1280"/>
      <c r="RVV23" s="1280"/>
      <c r="RVW23" s="1280"/>
      <c r="RVX23" s="1280"/>
      <c r="RVY23" s="1280"/>
      <c r="RVZ23" s="1280"/>
      <c r="RWA23" s="1280"/>
      <c r="RWB23" s="1280"/>
      <c r="RWC23" s="1280"/>
      <c r="RWD23" s="1280"/>
      <c r="RWE23" s="1280"/>
      <c r="RWF23" s="1280"/>
      <c r="RWG23" s="1280"/>
      <c r="RWH23" s="1280"/>
      <c r="RWI23" s="1280"/>
      <c r="RWJ23" s="1280"/>
      <c r="RWK23" s="1280"/>
      <c r="RWL23" s="1280"/>
      <c r="RWM23" s="1280"/>
      <c r="RWN23" s="1280"/>
      <c r="RWO23" s="1280"/>
      <c r="RWP23" s="1280"/>
      <c r="RWQ23" s="1280"/>
      <c r="RWR23" s="1280"/>
      <c r="RWS23" s="1280"/>
      <c r="RWT23" s="1280"/>
      <c r="RWU23" s="1280"/>
      <c r="RWV23" s="1280"/>
      <c r="RWW23" s="1280"/>
      <c r="RWX23" s="1280"/>
      <c r="RWY23" s="1280"/>
      <c r="RWZ23" s="1280"/>
      <c r="RXA23" s="1280"/>
      <c r="RXB23" s="1280"/>
      <c r="RXC23" s="1280"/>
      <c r="RXD23" s="1280"/>
      <c r="RXE23" s="1280"/>
      <c r="RXF23" s="1280"/>
      <c r="RXG23" s="1280"/>
      <c r="RXH23" s="1280"/>
      <c r="RXI23" s="1280"/>
      <c r="RXJ23" s="1280"/>
      <c r="RXK23" s="1280"/>
      <c r="RXL23" s="1280"/>
      <c r="RXM23" s="1280"/>
      <c r="RXN23" s="1280"/>
      <c r="RXO23" s="1280"/>
      <c r="RXP23" s="1280"/>
      <c r="RXQ23" s="1280"/>
      <c r="RXR23" s="1280"/>
      <c r="RXS23" s="1280"/>
      <c r="RXT23" s="1280"/>
      <c r="RXU23" s="1280"/>
      <c r="RXV23" s="1280"/>
      <c r="RXW23" s="1280"/>
      <c r="RXX23" s="1280"/>
      <c r="RXY23" s="1280"/>
      <c r="RXZ23" s="1280"/>
      <c r="RYA23" s="1280"/>
      <c r="RYB23" s="1280"/>
      <c r="RYC23" s="1280"/>
      <c r="RYD23" s="1280"/>
      <c r="RYE23" s="1280"/>
      <c r="RYF23" s="1280"/>
      <c r="RYG23" s="1280"/>
      <c r="RYH23" s="1280"/>
      <c r="RYI23" s="1280"/>
      <c r="RYJ23" s="1280"/>
      <c r="RYK23" s="1280"/>
      <c r="RYL23" s="1280"/>
      <c r="RYM23" s="1280"/>
      <c r="RYN23" s="1280"/>
      <c r="RYO23" s="1280"/>
      <c r="RYP23" s="1280"/>
      <c r="RYQ23" s="1280"/>
      <c r="RYR23" s="1280"/>
      <c r="RYS23" s="1280"/>
      <c r="RYT23" s="1280"/>
      <c r="RYU23" s="1280"/>
      <c r="RYV23" s="1280"/>
      <c r="RYW23" s="1280"/>
      <c r="RYX23" s="1280"/>
      <c r="RYY23" s="1280"/>
      <c r="RYZ23" s="1280"/>
      <c r="RZA23" s="1280"/>
      <c r="RZB23" s="1280"/>
      <c r="RZC23" s="1280"/>
      <c r="RZD23" s="1280"/>
      <c r="RZE23" s="1280"/>
      <c r="RZF23" s="1280"/>
      <c r="RZG23" s="1280"/>
      <c r="RZH23" s="1280"/>
      <c r="RZI23" s="1280"/>
      <c r="RZJ23" s="1280"/>
      <c r="RZK23" s="1280"/>
      <c r="RZL23" s="1280"/>
      <c r="RZM23" s="1280"/>
      <c r="RZN23" s="1280"/>
      <c r="RZO23" s="1280"/>
      <c r="RZP23" s="1280"/>
      <c r="RZQ23" s="1280"/>
      <c r="RZR23" s="1280"/>
      <c r="RZS23" s="1280"/>
      <c r="RZT23" s="1280"/>
      <c r="RZU23" s="1280"/>
      <c r="RZV23" s="1280"/>
      <c r="RZW23" s="1280"/>
      <c r="RZX23" s="1280"/>
      <c r="RZY23" s="1280"/>
      <c r="RZZ23" s="1280"/>
      <c r="SAA23" s="1280"/>
      <c r="SAB23" s="1280"/>
      <c r="SAC23" s="1280"/>
      <c r="SAD23" s="1280"/>
      <c r="SAE23" s="1280"/>
      <c r="SAF23" s="1280"/>
      <c r="SAG23" s="1280"/>
      <c r="SAH23" s="1280"/>
      <c r="SAI23" s="1280"/>
      <c r="SAJ23" s="1280"/>
      <c r="SAK23" s="1280"/>
      <c r="SAL23" s="1280"/>
      <c r="SAM23" s="1280"/>
      <c r="SAN23" s="1280"/>
      <c r="SAO23" s="1280"/>
      <c r="SAP23" s="1280"/>
      <c r="SAQ23" s="1280"/>
      <c r="SAR23" s="1280"/>
      <c r="SAS23" s="1280"/>
      <c r="SAT23" s="1280"/>
      <c r="SAU23" s="1280"/>
      <c r="SAV23" s="1280"/>
      <c r="SAW23" s="1280"/>
      <c r="SAX23" s="1280"/>
      <c r="SAY23" s="1280"/>
      <c r="SAZ23" s="1280"/>
      <c r="SBA23" s="1280"/>
      <c r="SBB23" s="1280"/>
      <c r="SBC23" s="1280"/>
      <c r="SBD23" s="1280"/>
      <c r="SBE23" s="1280"/>
      <c r="SBF23" s="1280"/>
      <c r="SBG23" s="1280"/>
      <c r="SBH23" s="1280"/>
      <c r="SBI23" s="1280"/>
      <c r="SBJ23" s="1280"/>
      <c r="SBK23" s="1280"/>
      <c r="SBL23" s="1280"/>
      <c r="SBM23" s="1280"/>
      <c r="SBN23" s="1280"/>
      <c r="SBO23" s="1280"/>
      <c r="SBP23" s="1280"/>
      <c r="SBQ23" s="1280"/>
      <c r="SBR23" s="1280"/>
      <c r="SBS23" s="1280"/>
      <c r="SBT23" s="1280"/>
      <c r="SBU23" s="1280"/>
      <c r="SBV23" s="1280"/>
      <c r="SBW23" s="1280"/>
      <c r="SBX23" s="1280"/>
      <c r="SBY23" s="1280"/>
      <c r="SBZ23" s="1280"/>
      <c r="SCA23" s="1280"/>
      <c r="SCB23" s="1280"/>
      <c r="SCC23" s="1280"/>
      <c r="SCD23" s="1280"/>
      <c r="SCE23" s="1280"/>
      <c r="SCF23" s="1280"/>
      <c r="SCG23" s="1280"/>
      <c r="SCH23" s="1280"/>
      <c r="SCI23" s="1280"/>
      <c r="SCJ23" s="1280"/>
      <c r="SCK23" s="1280"/>
      <c r="SCL23" s="1280"/>
      <c r="SCM23" s="1280"/>
      <c r="SCN23" s="1280"/>
      <c r="SCO23" s="1280"/>
      <c r="SCP23" s="1280"/>
      <c r="SCQ23" s="1280"/>
      <c r="SCR23" s="1280"/>
      <c r="SCS23" s="1280"/>
      <c r="SCT23" s="1280"/>
      <c r="SCU23" s="1280"/>
      <c r="SCV23" s="1280"/>
      <c r="SCW23" s="1280"/>
      <c r="SCX23" s="1280"/>
      <c r="SCY23" s="1280"/>
      <c r="SCZ23" s="1280"/>
      <c r="SDA23" s="1280"/>
      <c r="SDB23" s="1280"/>
      <c r="SDC23" s="1280"/>
      <c r="SDD23" s="1280"/>
      <c r="SDE23" s="1280"/>
      <c r="SDF23" s="1280"/>
      <c r="SDG23" s="1280"/>
      <c r="SDH23" s="1280"/>
      <c r="SDI23" s="1280"/>
      <c r="SDJ23" s="1280"/>
      <c r="SDK23" s="1280"/>
      <c r="SDL23" s="1280"/>
      <c r="SDM23" s="1280"/>
      <c r="SDN23" s="1280"/>
      <c r="SDO23" s="1280"/>
      <c r="SDP23" s="1280"/>
      <c r="SDQ23" s="1280"/>
      <c r="SDR23" s="1280"/>
      <c r="SDS23" s="1280"/>
      <c r="SDT23" s="1280"/>
      <c r="SDU23" s="1280"/>
      <c r="SDV23" s="1280"/>
      <c r="SDW23" s="1280"/>
      <c r="SDX23" s="1280"/>
      <c r="SDY23" s="1280"/>
      <c r="SDZ23" s="1280"/>
      <c r="SEA23" s="1280"/>
      <c r="SEB23" s="1280"/>
      <c r="SEC23" s="1280"/>
      <c r="SED23" s="1280"/>
      <c r="SEE23" s="1280"/>
      <c r="SEF23" s="1280"/>
      <c r="SEG23" s="1280"/>
      <c r="SEH23" s="1280"/>
      <c r="SEI23" s="1280"/>
      <c r="SEJ23" s="1280"/>
      <c r="SEK23" s="1280"/>
      <c r="SEL23" s="1280"/>
      <c r="SEM23" s="1280"/>
      <c r="SEN23" s="1280"/>
      <c r="SEO23" s="1280"/>
      <c r="SEP23" s="1280"/>
      <c r="SEQ23" s="1280"/>
      <c r="SER23" s="1280"/>
      <c r="SES23" s="1280"/>
      <c r="SET23" s="1280"/>
      <c r="SEU23" s="1280"/>
      <c r="SEV23" s="1280"/>
      <c r="SEW23" s="1280"/>
      <c r="SEX23" s="1280"/>
      <c r="SEY23" s="1280"/>
      <c r="SEZ23" s="1280"/>
      <c r="SFA23" s="1280"/>
      <c r="SFB23" s="1280"/>
      <c r="SFC23" s="1280"/>
      <c r="SFD23" s="1280"/>
      <c r="SFE23" s="1280"/>
      <c r="SFF23" s="1280"/>
      <c r="SFG23" s="1280"/>
      <c r="SFH23" s="1280"/>
      <c r="SFI23" s="1280"/>
      <c r="SFJ23" s="1280"/>
      <c r="SFK23" s="1280"/>
      <c r="SFL23" s="1280"/>
      <c r="SFM23" s="1280"/>
      <c r="SFN23" s="1280"/>
      <c r="SFO23" s="1280"/>
      <c r="SFP23" s="1280"/>
      <c r="SFQ23" s="1280"/>
      <c r="SFR23" s="1280"/>
      <c r="SFS23" s="1280"/>
      <c r="SFT23" s="1280"/>
      <c r="SFU23" s="1280"/>
      <c r="SFV23" s="1280"/>
      <c r="SFW23" s="1280"/>
      <c r="SFX23" s="1280"/>
      <c r="SFY23" s="1280"/>
      <c r="SFZ23" s="1280"/>
      <c r="SGA23" s="1280"/>
      <c r="SGB23" s="1280"/>
      <c r="SGC23" s="1280"/>
      <c r="SGD23" s="1280"/>
      <c r="SGE23" s="1280"/>
      <c r="SGF23" s="1280"/>
      <c r="SGG23" s="1280"/>
      <c r="SGH23" s="1280"/>
      <c r="SGI23" s="1280"/>
      <c r="SGJ23" s="1280"/>
      <c r="SGK23" s="1280"/>
      <c r="SGL23" s="1280"/>
      <c r="SGM23" s="1280"/>
      <c r="SGN23" s="1280"/>
      <c r="SGO23" s="1280"/>
      <c r="SGP23" s="1280"/>
      <c r="SGQ23" s="1280"/>
      <c r="SGR23" s="1280"/>
      <c r="SGS23" s="1280"/>
      <c r="SGT23" s="1280"/>
      <c r="SGU23" s="1280"/>
      <c r="SGV23" s="1280"/>
      <c r="SGW23" s="1280"/>
      <c r="SGX23" s="1280"/>
      <c r="SGY23" s="1280"/>
      <c r="SGZ23" s="1280"/>
      <c r="SHA23" s="1280"/>
      <c r="SHB23" s="1280"/>
      <c r="SHC23" s="1280"/>
      <c r="SHD23" s="1280"/>
      <c r="SHE23" s="1280"/>
      <c r="SHF23" s="1280"/>
      <c r="SHG23" s="1280"/>
      <c r="SHH23" s="1280"/>
      <c r="SHI23" s="1280"/>
      <c r="SHJ23" s="1280"/>
      <c r="SHK23" s="1280"/>
      <c r="SHL23" s="1280"/>
      <c r="SHM23" s="1280"/>
      <c r="SHN23" s="1280"/>
      <c r="SHO23" s="1280"/>
      <c r="SHP23" s="1280"/>
      <c r="SHQ23" s="1280"/>
      <c r="SHR23" s="1280"/>
      <c r="SHS23" s="1280"/>
      <c r="SHT23" s="1280"/>
      <c r="SHU23" s="1280"/>
      <c r="SHV23" s="1280"/>
      <c r="SHW23" s="1280"/>
      <c r="SHX23" s="1280"/>
      <c r="SHY23" s="1280"/>
      <c r="SHZ23" s="1280"/>
      <c r="SIA23" s="1280"/>
      <c r="SIB23" s="1280"/>
      <c r="SIC23" s="1280"/>
      <c r="SID23" s="1280"/>
      <c r="SIE23" s="1280"/>
      <c r="SIF23" s="1280"/>
      <c r="SIG23" s="1280"/>
      <c r="SIH23" s="1280"/>
      <c r="SII23" s="1280"/>
      <c r="SIJ23" s="1280"/>
      <c r="SIK23" s="1280"/>
      <c r="SIL23" s="1280"/>
      <c r="SIM23" s="1280"/>
      <c r="SIN23" s="1280"/>
      <c r="SIO23" s="1280"/>
      <c r="SIP23" s="1280"/>
      <c r="SIQ23" s="1280"/>
      <c r="SIR23" s="1280"/>
      <c r="SIS23" s="1280"/>
      <c r="SIT23" s="1280"/>
      <c r="SIU23" s="1280"/>
      <c r="SIV23" s="1280"/>
      <c r="SIW23" s="1280"/>
      <c r="SIX23" s="1280"/>
      <c r="SIY23" s="1280"/>
      <c r="SIZ23" s="1280"/>
      <c r="SJA23" s="1280"/>
      <c r="SJB23" s="1280"/>
      <c r="SJC23" s="1280"/>
      <c r="SJD23" s="1280"/>
      <c r="SJE23" s="1280"/>
      <c r="SJF23" s="1280"/>
      <c r="SJG23" s="1280"/>
      <c r="SJH23" s="1280"/>
      <c r="SJI23" s="1280"/>
      <c r="SJJ23" s="1280"/>
      <c r="SJK23" s="1280"/>
      <c r="SJL23" s="1280"/>
      <c r="SJM23" s="1280"/>
      <c r="SJN23" s="1280"/>
      <c r="SJO23" s="1280"/>
      <c r="SJP23" s="1280"/>
      <c r="SJQ23" s="1280"/>
      <c r="SJR23" s="1280"/>
      <c r="SJS23" s="1280"/>
      <c r="SJT23" s="1280"/>
      <c r="SJU23" s="1280"/>
      <c r="SJV23" s="1280"/>
      <c r="SJW23" s="1280"/>
      <c r="SJX23" s="1280"/>
      <c r="SJY23" s="1280"/>
      <c r="SJZ23" s="1280"/>
      <c r="SKA23" s="1280"/>
      <c r="SKB23" s="1280"/>
      <c r="SKC23" s="1280"/>
      <c r="SKD23" s="1280"/>
      <c r="SKE23" s="1280"/>
      <c r="SKF23" s="1280"/>
      <c r="SKG23" s="1280"/>
      <c r="SKH23" s="1280"/>
      <c r="SKI23" s="1280"/>
      <c r="SKJ23" s="1280"/>
      <c r="SKK23" s="1280"/>
      <c r="SKL23" s="1280"/>
      <c r="SKM23" s="1280"/>
      <c r="SKN23" s="1280"/>
      <c r="SKO23" s="1280"/>
      <c r="SKP23" s="1280"/>
      <c r="SKQ23" s="1280"/>
      <c r="SKR23" s="1280"/>
      <c r="SKS23" s="1280"/>
      <c r="SKT23" s="1280"/>
      <c r="SKU23" s="1280"/>
      <c r="SKV23" s="1280"/>
      <c r="SKW23" s="1280"/>
      <c r="SKX23" s="1280"/>
      <c r="SKY23" s="1280"/>
      <c r="SKZ23" s="1280"/>
      <c r="SLA23" s="1280"/>
      <c r="SLB23" s="1280"/>
      <c r="SLC23" s="1280"/>
      <c r="SLD23" s="1280"/>
      <c r="SLE23" s="1280"/>
      <c r="SLF23" s="1280"/>
      <c r="SLG23" s="1280"/>
      <c r="SLH23" s="1280"/>
      <c r="SLI23" s="1280"/>
      <c r="SLJ23" s="1280"/>
      <c r="SLK23" s="1280"/>
      <c r="SLL23" s="1280"/>
      <c r="SLM23" s="1280"/>
      <c r="SLN23" s="1280"/>
      <c r="SLO23" s="1280"/>
      <c r="SLP23" s="1280"/>
      <c r="SLQ23" s="1280"/>
      <c r="SLR23" s="1280"/>
      <c r="SLS23" s="1280"/>
      <c r="SLT23" s="1280"/>
      <c r="SLU23" s="1280"/>
      <c r="SLV23" s="1280"/>
      <c r="SLW23" s="1280"/>
      <c r="SLX23" s="1280"/>
      <c r="SLY23" s="1280"/>
      <c r="SLZ23" s="1280"/>
      <c r="SMA23" s="1280"/>
      <c r="SMB23" s="1280"/>
      <c r="SMC23" s="1280"/>
      <c r="SMD23" s="1280"/>
      <c r="SME23" s="1280"/>
      <c r="SMF23" s="1280"/>
      <c r="SMG23" s="1280"/>
      <c r="SMH23" s="1280"/>
      <c r="SMI23" s="1280"/>
      <c r="SMJ23" s="1280"/>
      <c r="SMK23" s="1280"/>
      <c r="SML23" s="1280"/>
      <c r="SMM23" s="1280"/>
      <c r="SMN23" s="1280"/>
      <c r="SMO23" s="1280"/>
      <c r="SMP23" s="1280"/>
      <c r="SMQ23" s="1280"/>
      <c r="SMR23" s="1280"/>
      <c r="SMS23" s="1280"/>
      <c r="SMT23" s="1280"/>
      <c r="SMU23" s="1280"/>
      <c r="SMV23" s="1280"/>
      <c r="SMW23" s="1280"/>
      <c r="SMX23" s="1280"/>
      <c r="SMY23" s="1280"/>
      <c r="SMZ23" s="1280"/>
      <c r="SNA23" s="1280"/>
      <c r="SNB23" s="1280"/>
      <c r="SNC23" s="1280"/>
      <c r="SND23" s="1280"/>
      <c r="SNE23" s="1280"/>
      <c r="SNF23" s="1280"/>
      <c r="SNG23" s="1280"/>
      <c r="SNH23" s="1280"/>
      <c r="SNI23" s="1280"/>
      <c r="SNJ23" s="1280"/>
      <c r="SNK23" s="1280"/>
      <c r="SNL23" s="1280"/>
      <c r="SNM23" s="1280"/>
      <c r="SNN23" s="1280"/>
      <c r="SNO23" s="1280"/>
      <c r="SNP23" s="1280"/>
      <c r="SNQ23" s="1280"/>
      <c r="SNR23" s="1280"/>
      <c r="SNS23" s="1280"/>
      <c r="SNT23" s="1280"/>
      <c r="SNU23" s="1280"/>
      <c r="SNV23" s="1280"/>
      <c r="SNW23" s="1280"/>
      <c r="SNX23" s="1280"/>
      <c r="SNY23" s="1280"/>
      <c r="SNZ23" s="1280"/>
      <c r="SOA23" s="1280"/>
      <c r="SOB23" s="1280"/>
      <c r="SOC23" s="1280"/>
      <c r="SOD23" s="1280"/>
      <c r="SOE23" s="1280"/>
      <c r="SOF23" s="1280"/>
      <c r="SOG23" s="1280"/>
      <c r="SOH23" s="1280"/>
      <c r="SOI23" s="1280"/>
      <c r="SOJ23" s="1280"/>
      <c r="SOK23" s="1280"/>
      <c r="SOL23" s="1280"/>
      <c r="SOM23" s="1280"/>
      <c r="SON23" s="1280"/>
      <c r="SOO23" s="1280"/>
      <c r="SOP23" s="1280"/>
      <c r="SOQ23" s="1280"/>
      <c r="SOR23" s="1280"/>
      <c r="SOS23" s="1280"/>
      <c r="SOT23" s="1280"/>
      <c r="SOU23" s="1280"/>
      <c r="SOV23" s="1280"/>
      <c r="SOW23" s="1280"/>
      <c r="SOX23" s="1280"/>
      <c r="SOY23" s="1280"/>
      <c r="SOZ23" s="1280"/>
      <c r="SPA23" s="1280"/>
      <c r="SPB23" s="1280"/>
      <c r="SPC23" s="1280"/>
      <c r="SPD23" s="1280"/>
      <c r="SPE23" s="1280"/>
      <c r="SPF23" s="1280"/>
      <c r="SPG23" s="1280"/>
      <c r="SPH23" s="1280"/>
      <c r="SPI23" s="1280"/>
      <c r="SPJ23" s="1280"/>
      <c r="SPK23" s="1280"/>
      <c r="SPL23" s="1280"/>
      <c r="SPM23" s="1280"/>
      <c r="SPN23" s="1280"/>
      <c r="SPO23" s="1280"/>
      <c r="SPP23" s="1280"/>
      <c r="SPQ23" s="1280"/>
      <c r="SPR23" s="1280"/>
      <c r="SPS23" s="1280"/>
      <c r="SPT23" s="1280"/>
      <c r="SPU23" s="1280"/>
      <c r="SPV23" s="1280"/>
      <c r="SPW23" s="1280"/>
      <c r="SPX23" s="1280"/>
      <c r="SPY23" s="1280"/>
      <c r="SPZ23" s="1280"/>
      <c r="SQA23" s="1280"/>
      <c r="SQB23" s="1280"/>
      <c r="SQC23" s="1280"/>
      <c r="SQD23" s="1280"/>
      <c r="SQE23" s="1280"/>
      <c r="SQF23" s="1280"/>
      <c r="SQG23" s="1280"/>
      <c r="SQH23" s="1280"/>
      <c r="SQI23" s="1280"/>
      <c r="SQJ23" s="1280"/>
      <c r="SQK23" s="1280"/>
      <c r="SQL23" s="1280"/>
      <c r="SQM23" s="1280"/>
      <c r="SQN23" s="1280"/>
      <c r="SQO23" s="1280"/>
      <c r="SQP23" s="1280"/>
      <c r="SQQ23" s="1280"/>
      <c r="SQR23" s="1280"/>
      <c r="SQS23" s="1280"/>
      <c r="SQT23" s="1280"/>
      <c r="SQU23" s="1280"/>
      <c r="SQV23" s="1280"/>
      <c r="SQW23" s="1280"/>
      <c r="SQX23" s="1280"/>
      <c r="SQY23" s="1280"/>
      <c r="SQZ23" s="1280"/>
      <c r="SRA23" s="1280"/>
      <c r="SRB23" s="1280"/>
      <c r="SRC23" s="1280"/>
      <c r="SRD23" s="1280"/>
      <c r="SRE23" s="1280"/>
      <c r="SRF23" s="1280"/>
      <c r="SRG23" s="1280"/>
      <c r="SRH23" s="1280"/>
      <c r="SRI23" s="1280"/>
      <c r="SRJ23" s="1280"/>
      <c r="SRK23" s="1280"/>
      <c r="SRL23" s="1280"/>
      <c r="SRM23" s="1280"/>
      <c r="SRN23" s="1280"/>
      <c r="SRO23" s="1280"/>
      <c r="SRP23" s="1280"/>
      <c r="SRQ23" s="1280"/>
      <c r="SRR23" s="1280"/>
      <c r="SRS23" s="1280"/>
      <c r="SRT23" s="1280"/>
      <c r="SRU23" s="1280"/>
      <c r="SRV23" s="1280"/>
      <c r="SRW23" s="1280"/>
      <c r="SRX23" s="1280"/>
      <c r="SRY23" s="1280"/>
      <c r="SRZ23" s="1280"/>
      <c r="SSA23" s="1280"/>
      <c r="SSB23" s="1280"/>
      <c r="SSC23" s="1280"/>
      <c r="SSD23" s="1280"/>
      <c r="SSE23" s="1280"/>
      <c r="SSF23" s="1280"/>
      <c r="SSG23" s="1280"/>
      <c r="SSH23" s="1280"/>
      <c r="SSI23" s="1280"/>
      <c r="SSJ23" s="1280"/>
      <c r="SSK23" s="1280"/>
      <c r="SSL23" s="1280"/>
      <c r="SSM23" s="1280"/>
      <c r="SSN23" s="1280"/>
      <c r="SSO23" s="1280"/>
      <c r="SSP23" s="1280"/>
      <c r="SSQ23" s="1280"/>
      <c r="SSR23" s="1280"/>
      <c r="SSS23" s="1280"/>
      <c r="SST23" s="1280"/>
      <c r="SSU23" s="1280"/>
      <c r="SSV23" s="1280"/>
      <c r="SSW23" s="1280"/>
      <c r="SSX23" s="1280"/>
      <c r="SSY23" s="1280"/>
      <c r="SSZ23" s="1280"/>
      <c r="STA23" s="1280"/>
      <c r="STB23" s="1280"/>
      <c r="STC23" s="1280"/>
      <c r="STD23" s="1280"/>
      <c r="STE23" s="1280"/>
      <c r="STF23" s="1280"/>
      <c r="STG23" s="1280"/>
      <c r="STH23" s="1280"/>
      <c r="STI23" s="1280"/>
      <c r="STJ23" s="1280"/>
      <c r="STK23" s="1280"/>
      <c r="STL23" s="1280"/>
      <c r="STM23" s="1280"/>
      <c r="STN23" s="1280"/>
      <c r="STO23" s="1280"/>
      <c r="STP23" s="1280"/>
      <c r="STQ23" s="1280"/>
      <c r="STR23" s="1280"/>
      <c r="STS23" s="1280"/>
      <c r="STT23" s="1280"/>
      <c r="STU23" s="1280"/>
      <c r="STV23" s="1280"/>
      <c r="STW23" s="1280"/>
      <c r="STX23" s="1280"/>
      <c r="STY23" s="1280"/>
      <c r="STZ23" s="1280"/>
      <c r="SUA23" s="1280"/>
      <c r="SUB23" s="1280"/>
      <c r="SUC23" s="1280"/>
      <c r="SUD23" s="1280"/>
      <c r="SUE23" s="1280"/>
      <c r="SUF23" s="1280"/>
      <c r="SUG23" s="1280"/>
      <c r="SUH23" s="1280"/>
      <c r="SUI23" s="1280"/>
      <c r="SUJ23" s="1280"/>
      <c r="SUK23" s="1280"/>
      <c r="SUL23" s="1280"/>
      <c r="SUM23" s="1280"/>
      <c r="SUN23" s="1280"/>
      <c r="SUO23" s="1280"/>
      <c r="SUP23" s="1280"/>
      <c r="SUQ23" s="1280"/>
      <c r="SUR23" s="1280"/>
      <c r="SUS23" s="1280"/>
      <c r="SUT23" s="1280"/>
      <c r="SUU23" s="1280"/>
      <c r="SUV23" s="1280"/>
      <c r="SUW23" s="1280"/>
      <c r="SUX23" s="1280"/>
      <c r="SUY23" s="1280"/>
      <c r="SUZ23" s="1280"/>
      <c r="SVA23" s="1280"/>
      <c r="SVB23" s="1280"/>
      <c r="SVC23" s="1280"/>
      <c r="SVD23" s="1280"/>
      <c r="SVE23" s="1280"/>
      <c r="SVF23" s="1280"/>
      <c r="SVG23" s="1280"/>
      <c r="SVH23" s="1280"/>
      <c r="SVI23" s="1280"/>
      <c r="SVJ23" s="1280"/>
      <c r="SVK23" s="1280"/>
      <c r="SVL23" s="1280"/>
      <c r="SVM23" s="1280"/>
      <c r="SVN23" s="1280"/>
      <c r="SVO23" s="1280"/>
      <c r="SVP23" s="1280"/>
      <c r="SVQ23" s="1280"/>
      <c r="SVR23" s="1280"/>
      <c r="SVS23" s="1280"/>
      <c r="SVT23" s="1280"/>
      <c r="SVU23" s="1280"/>
      <c r="SVV23" s="1280"/>
      <c r="SVW23" s="1280"/>
      <c r="SVX23" s="1280"/>
      <c r="SVY23" s="1280"/>
      <c r="SVZ23" s="1280"/>
      <c r="SWA23" s="1280"/>
      <c r="SWB23" s="1280"/>
      <c r="SWC23" s="1280"/>
      <c r="SWD23" s="1280"/>
      <c r="SWE23" s="1280"/>
      <c r="SWF23" s="1280"/>
      <c r="SWG23" s="1280"/>
      <c r="SWH23" s="1280"/>
      <c r="SWI23" s="1280"/>
      <c r="SWJ23" s="1280"/>
      <c r="SWK23" s="1280"/>
      <c r="SWL23" s="1280"/>
      <c r="SWM23" s="1280"/>
      <c r="SWN23" s="1280"/>
      <c r="SWO23" s="1280"/>
      <c r="SWP23" s="1280"/>
      <c r="SWQ23" s="1280"/>
      <c r="SWR23" s="1280"/>
      <c r="SWS23" s="1280"/>
      <c r="SWT23" s="1280"/>
      <c r="SWU23" s="1280"/>
      <c r="SWV23" s="1280"/>
      <c r="SWW23" s="1280"/>
      <c r="SWX23" s="1280"/>
      <c r="SWY23" s="1280"/>
      <c r="SWZ23" s="1280"/>
      <c r="SXA23" s="1280"/>
      <c r="SXB23" s="1280"/>
      <c r="SXC23" s="1280"/>
      <c r="SXD23" s="1280"/>
      <c r="SXE23" s="1280"/>
      <c r="SXF23" s="1280"/>
      <c r="SXG23" s="1280"/>
      <c r="SXH23" s="1280"/>
      <c r="SXI23" s="1280"/>
      <c r="SXJ23" s="1280"/>
      <c r="SXK23" s="1280"/>
      <c r="SXL23" s="1280"/>
      <c r="SXM23" s="1280"/>
      <c r="SXN23" s="1280"/>
      <c r="SXO23" s="1280"/>
      <c r="SXP23" s="1280"/>
      <c r="SXQ23" s="1280"/>
      <c r="SXR23" s="1280"/>
      <c r="SXS23" s="1280"/>
      <c r="SXT23" s="1280"/>
      <c r="SXU23" s="1280"/>
      <c r="SXV23" s="1280"/>
      <c r="SXW23" s="1280"/>
      <c r="SXX23" s="1280"/>
      <c r="SXY23" s="1280"/>
      <c r="SXZ23" s="1280"/>
      <c r="SYA23" s="1280"/>
      <c r="SYB23" s="1280"/>
      <c r="SYC23" s="1280"/>
      <c r="SYD23" s="1280"/>
      <c r="SYE23" s="1280"/>
      <c r="SYF23" s="1280"/>
      <c r="SYG23" s="1280"/>
      <c r="SYH23" s="1280"/>
      <c r="SYI23" s="1280"/>
      <c r="SYJ23" s="1280"/>
      <c r="SYK23" s="1280"/>
      <c r="SYL23" s="1280"/>
      <c r="SYM23" s="1280"/>
      <c r="SYN23" s="1280"/>
      <c r="SYO23" s="1280"/>
      <c r="SYP23" s="1280"/>
      <c r="SYQ23" s="1280"/>
      <c r="SYR23" s="1280"/>
      <c r="SYS23" s="1280"/>
      <c r="SYT23" s="1280"/>
      <c r="SYU23" s="1280"/>
      <c r="SYV23" s="1280"/>
      <c r="SYW23" s="1280"/>
      <c r="SYX23" s="1280"/>
      <c r="SYY23" s="1280"/>
      <c r="SYZ23" s="1280"/>
      <c r="SZA23" s="1280"/>
      <c r="SZB23" s="1280"/>
      <c r="SZC23" s="1280"/>
      <c r="SZD23" s="1280"/>
      <c r="SZE23" s="1280"/>
      <c r="SZF23" s="1280"/>
      <c r="SZG23" s="1280"/>
      <c r="SZH23" s="1280"/>
      <c r="SZI23" s="1280"/>
      <c r="SZJ23" s="1280"/>
      <c r="SZK23" s="1280"/>
      <c r="SZL23" s="1280"/>
      <c r="SZM23" s="1280"/>
      <c r="SZN23" s="1280"/>
      <c r="SZO23" s="1280"/>
      <c r="SZP23" s="1280"/>
      <c r="SZQ23" s="1280"/>
      <c r="SZR23" s="1280"/>
      <c r="SZS23" s="1280"/>
      <c r="SZT23" s="1280"/>
      <c r="SZU23" s="1280"/>
      <c r="SZV23" s="1280"/>
      <c r="SZW23" s="1280"/>
      <c r="SZX23" s="1280"/>
      <c r="SZY23" s="1280"/>
      <c r="SZZ23" s="1280"/>
      <c r="TAA23" s="1280"/>
      <c r="TAB23" s="1280"/>
      <c r="TAC23" s="1280"/>
      <c r="TAD23" s="1280"/>
      <c r="TAE23" s="1280"/>
      <c r="TAF23" s="1280"/>
      <c r="TAG23" s="1280"/>
      <c r="TAH23" s="1280"/>
      <c r="TAI23" s="1280"/>
      <c r="TAJ23" s="1280"/>
      <c r="TAK23" s="1280"/>
      <c r="TAL23" s="1280"/>
      <c r="TAM23" s="1280"/>
      <c r="TAN23" s="1280"/>
      <c r="TAO23" s="1280"/>
      <c r="TAP23" s="1280"/>
      <c r="TAQ23" s="1280"/>
      <c r="TAR23" s="1280"/>
      <c r="TAS23" s="1280"/>
      <c r="TAT23" s="1280"/>
      <c r="TAU23" s="1280"/>
      <c r="TAV23" s="1280"/>
      <c r="TAW23" s="1280"/>
      <c r="TAX23" s="1280"/>
      <c r="TAY23" s="1280"/>
      <c r="TAZ23" s="1280"/>
      <c r="TBA23" s="1280"/>
      <c r="TBB23" s="1280"/>
      <c r="TBC23" s="1280"/>
      <c r="TBD23" s="1280"/>
      <c r="TBE23" s="1280"/>
      <c r="TBF23" s="1280"/>
      <c r="TBG23" s="1280"/>
      <c r="TBH23" s="1280"/>
      <c r="TBI23" s="1280"/>
      <c r="TBJ23" s="1280"/>
      <c r="TBK23" s="1280"/>
      <c r="TBL23" s="1280"/>
      <c r="TBM23" s="1280"/>
      <c r="TBN23" s="1280"/>
      <c r="TBO23" s="1280"/>
      <c r="TBP23" s="1280"/>
      <c r="TBQ23" s="1280"/>
      <c r="TBR23" s="1280"/>
      <c r="TBS23" s="1280"/>
      <c r="TBT23" s="1280"/>
      <c r="TBU23" s="1280"/>
      <c r="TBV23" s="1280"/>
      <c r="TBW23" s="1280"/>
      <c r="TBX23" s="1280"/>
      <c r="TBY23" s="1280"/>
      <c r="TBZ23" s="1280"/>
      <c r="TCA23" s="1280"/>
      <c r="TCB23" s="1280"/>
      <c r="TCC23" s="1280"/>
      <c r="TCD23" s="1280"/>
      <c r="TCE23" s="1280"/>
      <c r="TCF23" s="1280"/>
      <c r="TCG23" s="1280"/>
      <c r="TCH23" s="1280"/>
      <c r="TCI23" s="1280"/>
      <c r="TCJ23" s="1280"/>
      <c r="TCK23" s="1280"/>
      <c r="TCL23" s="1280"/>
      <c r="TCM23" s="1280"/>
      <c r="TCN23" s="1280"/>
      <c r="TCO23" s="1280"/>
      <c r="TCP23" s="1280"/>
      <c r="TCQ23" s="1280"/>
      <c r="TCR23" s="1280"/>
      <c r="TCS23" s="1280"/>
      <c r="TCT23" s="1280"/>
      <c r="TCU23" s="1280"/>
      <c r="TCV23" s="1280"/>
      <c r="TCW23" s="1280"/>
      <c r="TCX23" s="1280"/>
      <c r="TCY23" s="1280"/>
      <c r="TCZ23" s="1280"/>
      <c r="TDA23" s="1280"/>
      <c r="TDB23" s="1280"/>
      <c r="TDC23" s="1280"/>
      <c r="TDD23" s="1280"/>
      <c r="TDE23" s="1280"/>
      <c r="TDF23" s="1280"/>
      <c r="TDG23" s="1280"/>
      <c r="TDH23" s="1280"/>
      <c r="TDI23" s="1280"/>
      <c r="TDJ23" s="1280"/>
      <c r="TDK23" s="1280"/>
      <c r="TDL23" s="1280"/>
      <c r="TDM23" s="1280"/>
      <c r="TDN23" s="1280"/>
      <c r="TDO23" s="1280"/>
      <c r="TDP23" s="1280"/>
      <c r="TDQ23" s="1280"/>
      <c r="TDR23" s="1280"/>
      <c r="TDS23" s="1280"/>
      <c r="TDT23" s="1280"/>
      <c r="TDU23" s="1280"/>
      <c r="TDV23" s="1280"/>
      <c r="TDW23" s="1280"/>
      <c r="TDX23" s="1280"/>
      <c r="TDY23" s="1280"/>
      <c r="TDZ23" s="1280"/>
      <c r="TEA23" s="1280"/>
      <c r="TEB23" s="1280"/>
      <c r="TEC23" s="1280"/>
      <c r="TED23" s="1280"/>
      <c r="TEE23" s="1280"/>
      <c r="TEF23" s="1280"/>
      <c r="TEG23" s="1280"/>
      <c r="TEH23" s="1280"/>
      <c r="TEI23" s="1280"/>
      <c r="TEJ23" s="1280"/>
      <c r="TEK23" s="1280"/>
      <c r="TEL23" s="1280"/>
      <c r="TEM23" s="1280"/>
      <c r="TEN23" s="1280"/>
      <c r="TEO23" s="1280"/>
      <c r="TEP23" s="1280"/>
      <c r="TEQ23" s="1280"/>
      <c r="TER23" s="1280"/>
      <c r="TES23" s="1280"/>
      <c r="TET23" s="1280"/>
      <c r="TEU23" s="1280"/>
      <c r="TEV23" s="1280"/>
      <c r="TEW23" s="1280"/>
      <c r="TEX23" s="1280"/>
      <c r="TEY23" s="1280"/>
      <c r="TEZ23" s="1280"/>
      <c r="TFA23" s="1280"/>
      <c r="TFB23" s="1280"/>
      <c r="TFC23" s="1280"/>
      <c r="TFD23" s="1280"/>
      <c r="TFE23" s="1280"/>
      <c r="TFF23" s="1280"/>
      <c r="TFG23" s="1280"/>
      <c r="TFH23" s="1280"/>
      <c r="TFI23" s="1280"/>
      <c r="TFJ23" s="1280"/>
      <c r="TFK23" s="1280"/>
      <c r="TFL23" s="1280"/>
      <c r="TFM23" s="1280"/>
      <c r="TFN23" s="1280"/>
      <c r="TFO23" s="1280"/>
      <c r="TFP23" s="1280"/>
      <c r="TFQ23" s="1280"/>
      <c r="TFR23" s="1280"/>
      <c r="TFS23" s="1280"/>
      <c r="TFT23" s="1280"/>
      <c r="TFU23" s="1280"/>
      <c r="TFV23" s="1280"/>
      <c r="TFW23" s="1280"/>
      <c r="TFX23" s="1280"/>
      <c r="TFY23" s="1280"/>
      <c r="TFZ23" s="1280"/>
      <c r="TGA23" s="1280"/>
      <c r="TGB23" s="1280"/>
      <c r="TGC23" s="1280"/>
      <c r="TGD23" s="1280"/>
      <c r="TGE23" s="1280"/>
      <c r="TGF23" s="1280"/>
      <c r="TGG23" s="1280"/>
      <c r="TGH23" s="1280"/>
      <c r="TGI23" s="1280"/>
      <c r="TGJ23" s="1280"/>
      <c r="TGK23" s="1280"/>
      <c r="TGL23" s="1280"/>
      <c r="TGM23" s="1280"/>
      <c r="TGN23" s="1280"/>
      <c r="TGO23" s="1280"/>
      <c r="TGP23" s="1280"/>
      <c r="TGQ23" s="1280"/>
      <c r="TGR23" s="1280"/>
      <c r="TGS23" s="1280"/>
      <c r="TGT23" s="1280"/>
      <c r="TGU23" s="1280"/>
      <c r="TGV23" s="1280"/>
      <c r="TGW23" s="1280"/>
      <c r="TGX23" s="1280"/>
      <c r="TGY23" s="1280"/>
      <c r="TGZ23" s="1280"/>
      <c r="THA23" s="1280"/>
      <c r="THB23" s="1280"/>
      <c r="THC23" s="1280"/>
      <c r="THD23" s="1280"/>
      <c r="THE23" s="1280"/>
      <c r="THF23" s="1280"/>
      <c r="THG23" s="1280"/>
      <c r="THH23" s="1280"/>
      <c r="THI23" s="1280"/>
      <c r="THJ23" s="1280"/>
      <c r="THK23" s="1280"/>
      <c r="THL23" s="1280"/>
      <c r="THM23" s="1280"/>
      <c r="THN23" s="1280"/>
      <c r="THO23" s="1280"/>
      <c r="THP23" s="1280"/>
      <c r="THQ23" s="1280"/>
      <c r="THR23" s="1280"/>
      <c r="THS23" s="1280"/>
      <c r="THT23" s="1280"/>
      <c r="THU23" s="1280"/>
      <c r="THV23" s="1280"/>
      <c r="THW23" s="1280"/>
      <c r="THX23" s="1280"/>
      <c r="THY23" s="1280"/>
      <c r="THZ23" s="1280"/>
      <c r="TIA23" s="1280"/>
      <c r="TIB23" s="1280"/>
      <c r="TIC23" s="1280"/>
      <c r="TID23" s="1280"/>
      <c r="TIE23" s="1280"/>
      <c r="TIF23" s="1280"/>
      <c r="TIG23" s="1280"/>
      <c r="TIH23" s="1280"/>
      <c r="TII23" s="1280"/>
      <c r="TIJ23" s="1280"/>
      <c r="TIK23" s="1280"/>
      <c r="TIL23" s="1280"/>
      <c r="TIM23" s="1280"/>
      <c r="TIN23" s="1280"/>
      <c r="TIO23" s="1280"/>
      <c r="TIP23" s="1280"/>
      <c r="TIQ23" s="1280"/>
      <c r="TIR23" s="1280"/>
      <c r="TIS23" s="1280"/>
      <c r="TIT23" s="1280"/>
      <c r="TIU23" s="1280"/>
      <c r="TIV23" s="1280"/>
      <c r="TIW23" s="1280"/>
      <c r="TIX23" s="1280"/>
      <c r="TIY23" s="1280"/>
      <c r="TIZ23" s="1280"/>
      <c r="TJA23" s="1280"/>
      <c r="TJB23" s="1280"/>
      <c r="TJC23" s="1280"/>
      <c r="TJD23" s="1280"/>
      <c r="TJE23" s="1280"/>
      <c r="TJF23" s="1280"/>
      <c r="TJG23" s="1280"/>
      <c r="TJH23" s="1280"/>
      <c r="TJI23" s="1280"/>
      <c r="TJJ23" s="1280"/>
      <c r="TJK23" s="1280"/>
      <c r="TJL23" s="1280"/>
      <c r="TJM23" s="1280"/>
      <c r="TJN23" s="1280"/>
      <c r="TJO23" s="1280"/>
      <c r="TJP23" s="1280"/>
      <c r="TJQ23" s="1280"/>
      <c r="TJR23" s="1280"/>
      <c r="TJS23" s="1280"/>
      <c r="TJT23" s="1280"/>
      <c r="TJU23" s="1280"/>
      <c r="TJV23" s="1280"/>
      <c r="TJW23" s="1280"/>
      <c r="TJX23" s="1280"/>
      <c r="TJY23" s="1280"/>
      <c r="TJZ23" s="1280"/>
      <c r="TKA23" s="1280"/>
      <c r="TKB23" s="1280"/>
      <c r="TKC23" s="1280"/>
      <c r="TKD23" s="1280"/>
      <c r="TKE23" s="1280"/>
      <c r="TKF23" s="1280"/>
      <c r="TKG23" s="1280"/>
      <c r="TKH23" s="1280"/>
      <c r="TKI23" s="1280"/>
      <c r="TKJ23" s="1280"/>
      <c r="TKK23" s="1280"/>
      <c r="TKL23" s="1280"/>
      <c r="TKM23" s="1280"/>
      <c r="TKN23" s="1280"/>
      <c r="TKO23" s="1280"/>
      <c r="TKP23" s="1280"/>
      <c r="TKQ23" s="1280"/>
      <c r="TKR23" s="1280"/>
      <c r="TKS23" s="1280"/>
      <c r="TKT23" s="1280"/>
      <c r="TKU23" s="1280"/>
      <c r="TKV23" s="1280"/>
      <c r="TKW23" s="1280"/>
      <c r="TKX23" s="1280"/>
      <c r="TKY23" s="1280"/>
      <c r="TKZ23" s="1280"/>
      <c r="TLA23" s="1280"/>
      <c r="TLB23" s="1280"/>
      <c r="TLC23" s="1280"/>
      <c r="TLD23" s="1280"/>
      <c r="TLE23" s="1280"/>
      <c r="TLF23" s="1280"/>
      <c r="TLG23" s="1280"/>
      <c r="TLH23" s="1280"/>
      <c r="TLI23" s="1280"/>
      <c r="TLJ23" s="1280"/>
      <c r="TLK23" s="1280"/>
      <c r="TLL23" s="1280"/>
      <c r="TLM23" s="1280"/>
      <c r="TLN23" s="1280"/>
      <c r="TLO23" s="1280"/>
      <c r="TLP23" s="1280"/>
      <c r="TLQ23" s="1280"/>
      <c r="TLR23" s="1280"/>
      <c r="TLS23" s="1280"/>
      <c r="TLT23" s="1280"/>
      <c r="TLU23" s="1280"/>
      <c r="TLV23" s="1280"/>
      <c r="TLW23" s="1280"/>
      <c r="TLX23" s="1280"/>
      <c r="TLY23" s="1280"/>
      <c r="TLZ23" s="1280"/>
      <c r="TMA23" s="1280"/>
      <c r="TMB23" s="1280"/>
      <c r="TMC23" s="1280"/>
      <c r="TMD23" s="1280"/>
      <c r="TME23" s="1280"/>
      <c r="TMF23" s="1280"/>
      <c r="TMG23" s="1280"/>
      <c r="TMH23" s="1280"/>
      <c r="TMI23" s="1280"/>
      <c r="TMJ23" s="1280"/>
      <c r="TMK23" s="1280"/>
      <c r="TML23" s="1280"/>
      <c r="TMM23" s="1280"/>
      <c r="TMN23" s="1280"/>
      <c r="TMO23" s="1280"/>
      <c r="TMP23" s="1280"/>
      <c r="TMQ23" s="1280"/>
      <c r="TMR23" s="1280"/>
      <c r="TMS23" s="1280"/>
      <c r="TMT23" s="1280"/>
      <c r="TMU23" s="1280"/>
      <c r="TMV23" s="1280"/>
      <c r="TMW23" s="1280"/>
      <c r="TMX23" s="1280"/>
      <c r="TMY23" s="1280"/>
      <c r="TMZ23" s="1280"/>
      <c r="TNA23" s="1280"/>
      <c r="TNB23" s="1280"/>
      <c r="TNC23" s="1280"/>
      <c r="TND23" s="1280"/>
      <c r="TNE23" s="1280"/>
      <c r="TNF23" s="1280"/>
      <c r="TNG23" s="1280"/>
      <c r="TNH23" s="1280"/>
      <c r="TNI23" s="1280"/>
      <c r="TNJ23" s="1280"/>
      <c r="TNK23" s="1280"/>
      <c r="TNL23" s="1280"/>
      <c r="TNM23" s="1280"/>
      <c r="TNN23" s="1280"/>
      <c r="TNO23" s="1280"/>
      <c r="TNP23" s="1280"/>
      <c r="TNQ23" s="1280"/>
      <c r="TNR23" s="1280"/>
      <c r="TNS23" s="1280"/>
      <c r="TNT23" s="1280"/>
      <c r="TNU23" s="1280"/>
      <c r="TNV23" s="1280"/>
      <c r="TNW23" s="1280"/>
      <c r="TNX23" s="1280"/>
      <c r="TNY23" s="1280"/>
      <c r="TNZ23" s="1280"/>
      <c r="TOA23" s="1280"/>
      <c r="TOB23" s="1280"/>
      <c r="TOC23" s="1280"/>
      <c r="TOD23" s="1280"/>
      <c r="TOE23" s="1280"/>
      <c r="TOF23" s="1280"/>
      <c r="TOG23" s="1280"/>
      <c r="TOH23" s="1280"/>
      <c r="TOI23" s="1280"/>
      <c r="TOJ23" s="1280"/>
      <c r="TOK23" s="1280"/>
      <c r="TOL23" s="1280"/>
      <c r="TOM23" s="1280"/>
      <c r="TON23" s="1280"/>
      <c r="TOO23" s="1280"/>
      <c r="TOP23" s="1280"/>
      <c r="TOQ23" s="1280"/>
      <c r="TOR23" s="1280"/>
      <c r="TOS23" s="1280"/>
      <c r="TOT23" s="1280"/>
      <c r="TOU23" s="1280"/>
      <c r="TOV23" s="1280"/>
      <c r="TOW23" s="1280"/>
      <c r="TOX23" s="1280"/>
      <c r="TOY23" s="1280"/>
      <c r="TOZ23" s="1280"/>
      <c r="TPA23" s="1280"/>
      <c r="TPB23" s="1280"/>
      <c r="TPC23" s="1280"/>
      <c r="TPD23" s="1280"/>
      <c r="TPE23" s="1280"/>
      <c r="TPF23" s="1280"/>
      <c r="TPG23" s="1280"/>
      <c r="TPH23" s="1280"/>
      <c r="TPI23" s="1280"/>
      <c r="TPJ23" s="1280"/>
      <c r="TPK23" s="1280"/>
      <c r="TPL23" s="1280"/>
      <c r="TPM23" s="1280"/>
      <c r="TPN23" s="1280"/>
      <c r="TPO23" s="1280"/>
      <c r="TPP23" s="1280"/>
      <c r="TPQ23" s="1280"/>
      <c r="TPR23" s="1280"/>
      <c r="TPS23" s="1280"/>
      <c r="TPT23" s="1280"/>
      <c r="TPU23" s="1280"/>
      <c r="TPV23" s="1280"/>
      <c r="TPW23" s="1280"/>
      <c r="TPX23" s="1280"/>
      <c r="TPY23" s="1280"/>
      <c r="TPZ23" s="1280"/>
      <c r="TQA23" s="1280"/>
      <c r="TQB23" s="1280"/>
      <c r="TQC23" s="1280"/>
      <c r="TQD23" s="1280"/>
      <c r="TQE23" s="1280"/>
      <c r="TQF23" s="1280"/>
      <c r="TQG23" s="1280"/>
      <c r="TQH23" s="1280"/>
      <c r="TQI23" s="1280"/>
      <c r="TQJ23" s="1280"/>
      <c r="TQK23" s="1280"/>
      <c r="TQL23" s="1280"/>
      <c r="TQM23" s="1280"/>
      <c r="TQN23" s="1280"/>
      <c r="TQO23" s="1280"/>
      <c r="TQP23" s="1280"/>
      <c r="TQQ23" s="1280"/>
      <c r="TQR23" s="1280"/>
      <c r="TQS23" s="1280"/>
      <c r="TQT23" s="1280"/>
      <c r="TQU23" s="1280"/>
      <c r="TQV23" s="1280"/>
      <c r="TQW23" s="1280"/>
      <c r="TQX23" s="1280"/>
      <c r="TQY23" s="1280"/>
      <c r="TQZ23" s="1280"/>
      <c r="TRA23" s="1280"/>
      <c r="TRB23" s="1280"/>
      <c r="TRC23" s="1280"/>
      <c r="TRD23" s="1280"/>
      <c r="TRE23" s="1280"/>
      <c r="TRF23" s="1280"/>
      <c r="TRG23" s="1280"/>
      <c r="TRH23" s="1280"/>
      <c r="TRI23" s="1280"/>
      <c r="TRJ23" s="1280"/>
      <c r="TRK23" s="1280"/>
      <c r="TRL23" s="1280"/>
      <c r="TRM23" s="1280"/>
      <c r="TRN23" s="1280"/>
      <c r="TRO23" s="1280"/>
      <c r="TRP23" s="1280"/>
      <c r="TRQ23" s="1280"/>
      <c r="TRR23" s="1280"/>
      <c r="TRS23" s="1280"/>
      <c r="TRT23" s="1280"/>
      <c r="TRU23" s="1280"/>
      <c r="TRV23" s="1280"/>
      <c r="TRW23" s="1280"/>
      <c r="TRX23" s="1280"/>
      <c r="TRY23" s="1280"/>
      <c r="TRZ23" s="1280"/>
      <c r="TSA23" s="1280"/>
      <c r="TSB23" s="1280"/>
      <c r="TSC23" s="1280"/>
      <c r="TSD23" s="1280"/>
      <c r="TSE23" s="1280"/>
      <c r="TSF23" s="1280"/>
      <c r="TSG23" s="1280"/>
      <c r="TSH23" s="1280"/>
      <c r="TSI23" s="1280"/>
      <c r="TSJ23" s="1280"/>
      <c r="TSK23" s="1280"/>
      <c r="TSL23" s="1280"/>
      <c r="TSM23" s="1280"/>
      <c r="TSN23" s="1280"/>
      <c r="TSO23" s="1280"/>
      <c r="TSP23" s="1280"/>
      <c r="TSQ23" s="1280"/>
      <c r="TSR23" s="1280"/>
      <c r="TSS23" s="1280"/>
      <c r="TST23" s="1280"/>
      <c r="TSU23" s="1280"/>
      <c r="TSV23" s="1280"/>
      <c r="TSW23" s="1280"/>
      <c r="TSX23" s="1280"/>
      <c r="TSY23" s="1280"/>
      <c r="TSZ23" s="1280"/>
      <c r="TTA23" s="1280"/>
      <c r="TTB23" s="1280"/>
      <c r="TTC23" s="1280"/>
      <c r="TTD23" s="1280"/>
      <c r="TTE23" s="1280"/>
      <c r="TTF23" s="1280"/>
      <c r="TTG23" s="1280"/>
      <c r="TTH23" s="1280"/>
      <c r="TTI23" s="1280"/>
      <c r="TTJ23" s="1280"/>
      <c r="TTK23" s="1280"/>
      <c r="TTL23" s="1280"/>
      <c r="TTM23" s="1280"/>
      <c r="TTN23" s="1280"/>
      <c r="TTO23" s="1280"/>
      <c r="TTP23" s="1280"/>
      <c r="TTQ23" s="1280"/>
      <c r="TTR23" s="1280"/>
      <c r="TTS23" s="1280"/>
      <c r="TTT23" s="1280"/>
      <c r="TTU23" s="1280"/>
      <c r="TTV23" s="1280"/>
      <c r="TTW23" s="1280"/>
      <c r="TTX23" s="1280"/>
      <c r="TTY23" s="1280"/>
      <c r="TTZ23" s="1280"/>
      <c r="TUA23" s="1280"/>
      <c r="TUB23" s="1280"/>
      <c r="TUC23" s="1280"/>
      <c r="TUD23" s="1280"/>
      <c r="TUE23" s="1280"/>
      <c r="TUF23" s="1280"/>
      <c r="TUG23" s="1280"/>
      <c r="TUH23" s="1280"/>
      <c r="TUI23" s="1280"/>
      <c r="TUJ23" s="1280"/>
      <c r="TUK23" s="1280"/>
      <c r="TUL23" s="1280"/>
      <c r="TUM23" s="1280"/>
      <c r="TUN23" s="1280"/>
      <c r="TUO23" s="1280"/>
      <c r="TUP23" s="1280"/>
      <c r="TUQ23" s="1280"/>
      <c r="TUR23" s="1280"/>
      <c r="TUS23" s="1280"/>
      <c r="TUT23" s="1280"/>
      <c r="TUU23" s="1280"/>
      <c r="TUV23" s="1280"/>
      <c r="TUW23" s="1280"/>
      <c r="TUX23" s="1280"/>
      <c r="TUY23" s="1280"/>
      <c r="TUZ23" s="1280"/>
      <c r="TVA23" s="1280"/>
      <c r="TVB23" s="1280"/>
      <c r="TVC23" s="1280"/>
      <c r="TVD23" s="1280"/>
      <c r="TVE23" s="1280"/>
      <c r="TVF23" s="1280"/>
      <c r="TVG23" s="1280"/>
      <c r="TVH23" s="1280"/>
      <c r="TVI23" s="1280"/>
      <c r="TVJ23" s="1280"/>
      <c r="TVK23" s="1280"/>
      <c r="TVL23" s="1280"/>
      <c r="TVM23" s="1280"/>
      <c r="TVN23" s="1280"/>
      <c r="TVO23" s="1280"/>
      <c r="TVP23" s="1280"/>
      <c r="TVQ23" s="1280"/>
      <c r="TVR23" s="1280"/>
      <c r="TVS23" s="1280"/>
      <c r="TVT23" s="1280"/>
      <c r="TVU23" s="1280"/>
      <c r="TVV23" s="1280"/>
      <c r="TVW23" s="1280"/>
      <c r="TVX23" s="1280"/>
      <c r="TVY23" s="1280"/>
      <c r="TVZ23" s="1280"/>
      <c r="TWA23" s="1280"/>
      <c r="TWB23" s="1280"/>
      <c r="TWC23" s="1280"/>
      <c r="TWD23" s="1280"/>
      <c r="TWE23" s="1280"/>
      <c r="TWF23" s="1280"/>
      <c r="TWG23" s="1280"/>
      <c r="TWH23" s="1280"/>
      <c r="TWI23" s="1280"/>
      <c r="TWJ23" s="1280"/>
      <c r="TWK23" s="1280"/>
      <c r="TWL23" s="1280"/>
      <c r="TWM23" s="1280"/>
      <c r="TWN23" s="1280"/>
      <c r="TWO23" s="1280"/>
      <c r="TWP23" s="1280"/>
      <c r="TWQ23" s="1280"/>
      <c r="TWR23" s="1280"/>
      <c r="TWS23" s="1280"/>
      <c r="TWT23" s="1280"/>
      <c r="TWU23" s="1280"/>
      <c r="TWV23" s="1280"/>
      <c r="TWW23" s="1280"/>
      <c r="TWX23" s="1280"/>
      <c r="TWY23" s="1280"/>
      <c r="TWZ23" s="1280"/>
      <c r="TXA23" s="1280"/>
      <c r="TXB23" s="1280"/>
      <c r="TXC23" s="1280"/>
      <c r="TXD23" s="1280"/>
      <c r="TXE23" s="1280"/>
      <c r="TXF23" s="1280"/>
      <c r="TXG23" s="1280"/>
      <c r="TXH23" s="1280"/>
      <c r="TXI23" s="1280"/>
      <c r="TXJ23" s="1280"/>
      <c r="TXK23" s="1280"/>
      <c r="TXL23" s="1280"/>
      <c r="TXM23" s="1280"/>
      <c r="TXN23" s="1280"/>
      <c r="TXO23" s="1280"/>
      <c r="TXP23" s="1280"/>
      <c r="TXQ23" s="1280"/>
      <c r="TXR23" s="1280"/>
      <c r="TXS23" s="1280"/>
      <c r="TXT23" s="1280"/>
      <c r="TXU23" s="1280"/>
      <c r="TXV23" s="1280"/>
      <c r="TXW23" s="1280"/>
      <c r="TXX23" s="1280"/>
      <c r="TXY23" s="1280"/>
      <c r="TXZ23" s="1280"/>
      <c r="TYA23" s="1280"/>
      <c r="TYB23" s="1280"/>
      <c r="TYC23" s="1280"/>
      <c r="TYD23" s="1280"/>
      <c r="TYE23" s="1280"/>
      <c r="TYF23" s="1280"/>
      <c r="TYG23" s="1280"/>
      <c r="TYH23" s="1280"/>
      <c r="TYI23" s="1280"/>
      <c r="TYJ23" s="1280"/>
      <c r="TYK23" s="1280"/>
      <c r="TYL23" s="1280"/>
      <c r="TYM23" s="1280"/>
      <c r="TYN23" s="1280"/>
      <c r="TYO23" s="1280"/>
      <c r="TYP23" s="1280"/>
      <c r="TYQ23" s="1280"/>
      <c r="TYR23" s="1280"/>
      <c r="TYS23" s="1280"/>
      <c r="TYT23" s="1280"/>
      <c r="TYU23" s="1280"/>
      <c r="TYV23" s="1280"/>
      <c r="TYW23" s="1280"/>
      <c r="TYX23" s="1280"/>
      <c r="TYY23" s="1280"/>
      <c r="TYZ23" s="1280"/>
      <c r="TZA23" s="1280"/>
      <c r="TZB23" s="1280"/>
      <c r="TZC23" s="1280"/>
      <c r="TZD23" s="1280"/>
      <c r="TZE23" s="1280"/>
      <c r="TZF23" s="1280"/>
      <c r="TZG23" s="1280"/>
      <c r="TZH23" s="1280"/>
      <c r="TZI23" s="1280"/>
      <c r="TZJ23" s="1280"/>
      <c r="TZK23" s="1280"/>
      <c r="TZL23" s="1280"/>
      <c r="TZM23" s="1280"/>
      <c r="TZN23" s="1280"/>
      <c r="TZO23" s="1280"/>
      <c r="TZP23" s="1280"/>
      <c r="TZQ23" s="1280"/>
      <c r="TZR23" s="1280"/>
      <c r="TZS23" s="1280"/>
      <c r="TZT23" s="1280"/>
      <c r="TZU23" s="1280"/>
      <c r="TZV23" s="1280"/>
      <c r="TZW23" s="1280"/>
      <c r="TZX23" s="1280"/>
      <c r="TZY23" s="1280"/>
      <c r="TZZ23" s="1280"/>
      <c r="UAA23" s="1280"/>
      <c r="UAB23" s="1280"/>
      <c r="UAC23" s="1280"/>
      <c r="UAD23" s="1280"/>
      <c r="UAE23" s="1280"/>
      <c r="UAF23" s="1280"/>
      <c r="UAG23" s="1280"/>
      <c r="UAH23" s="1280"/>
      <c r="UAI23" s="1280"/>
      <c r="UAJ23" s="1280"/>
      <c r="UAK23" s="1280"/>
      <c r="UAL23" s="1280"/>
      <c r="UAM23" s="1280"/>
      <c r="UAN23" s="1280"/>
      <c r="UAO23" s="1280"/>
      <c r="UAP23" s="1280"/>
      <c r="UAQ23" s="1280"/>
      <c r="UAR23" s="1280"/>
      <c r="UAS23" s="1280"/>
      <c r="UAT23" s="1280"/>
      <c r="UAU23" s="1280"/>
      <c r="UAV23" s="1280"/>
      <c r="UAW23" s="1280"/>
      <c r="UAX23" s="1280"/>
      <c r="UAY23" s="1280"/>
      <c r="UAZ23" s="1280"/>
      <c r="UBA23" s="1280"/>
      <c r="UBB23" s="1280"/>
      <c r="UBC23" s="1280"/>
      <c r="UBD23" s="1280"/>
      <c r="UBE23" s="1280"/>
      <c r="UBF23" s="1280"/>
      <c r="UBG23" s="1280"/>
      <c r="UBH23" s="1280"/>
      <c r="UBI23" s="1280"/>
      <c r="UBJ23" s="1280"/>
      <c r="UBK23" s="1280"/>
      <c r="UBL23" s="1280"/>
      <c r="UBM23" s="1280"/>
      <c r="UBN23" s="1280"/>
      <c r="UBO23" s="1280"/>
      <c r="UBP23" s="1280"/>
      <c r="UBQ23" s="1280"/>
      <c r="UBR23" s="1280"/>
      <c r="UBS23" s="1280"/>
      <c r="UBT23" s="1280"/>
      <c r="UBU23" s="1280"/>
      <c r="UBV23" s="1280"/>
      <c r="UBW23" s="1280"/>
      <c r="UBX23" s="1280"/>
      <c r="UBY23" s="1280"/>
      <c r="UBZ23" s="1280"/>
      <c r="UCA23" s="1280"/>
      <c r="UCB23" s="1280"/>
      <c r="UCC23" s="1280"/>
      <c r="UCD23" s="1280"/>
      <c r="UCE23" s="1280"/>
      <c r="UCF23" s="1280"/>
      <c r="UCG23" s="1280"/>
      <c r="UCH23" s="1280"/>
      <c r="UCI23" s="1280"/>
      <c r="UCJ23" s="1280"/>
      <c r="UCK23" s="1280"/>
      <c r="UCL23" s="1280"/>
      <c r="UCM23" s="1280"/>
      <c r="UCN23" s="1280"/>
      <c r="UCO23" s="1280"/>
      <c r="UCP23" s="1280"/>
      <c r="UCQ23" s="1280"/>
      <c r="UCR23" s="1280"/>
      <c r="UCS23" s="1280"/>
      <c r="UCT23" s="1280"/>
      <c r="UCU23" s="1280"/>
      <c r="UCV23" s="1280"/>
      <c r="UCW23" s="1280"/>
      <c r="UCX23" s="1280"/>
      <c r="UCY23" s="1280"/>
      <c r="UCZ23" s="1280"/>
      <c r="UDA23" s="1280"/>
      <c r="UDB23" s="1280"/>
      <c r="UDC23" s="1280"/>
      <c r="UDD23" s="1280"/>
      <c r="UDE23" s="1280"/>
      <c r="UDF23" s="1280"/>
      <c r="UDG23" s="1280"/>
      <c r="UDH23" s="1280"/>
      <c r="UDI23" s="1280"/>
      <c r="UDJ23" s="1280"/>
      <c r="UDK23" s="1280"/>
      <c r="UDL23" s="1280"/>
      <c r="UDM23" s="1280"/>
      <c r="UDN23" s="1280"/>
      <c r="UDO23" s="1280"/>
      <c r="UDP23" s="1280"/>
      <c r="UDQ23" s="1280"/>
      <c r="UDR23" s="1280"/>
      <c r="UDS23" s="1280"/>
      <c r="UDT23" s="1280"/>
      <c r="UDU23" s="1280"/>
      <c r="UDV23" s="1280"/>
      <c r="UDW23" s="1280"/>
      <c r="UDX23" s="1280"/>
      <c r="UDY23" s="1280"/>
      <c r="UDZ23" s="1280"/>
      <c r="UEA23" s="1280"/>
      <c r="UEB23" s="1280"/>
      <c r="UEC23" s="1280"/>
      <c r="UED23" s="1280"/>
      <c r="UEE23" s="1280"/>
      <c r="UEF23" s="1280"/>
      <c r="UEG23" s="1280"/>
      <c r="UEH23" s="1280"/>
      <c r="UEI23" s="1280"/>
      <c r="UEJ23" s="1280"/>
      <c r="UEK23" s="1280"/>
      <c r="UEL23" s="1280"/>
      <c r="UEM23" s="1280"/>
      <c r="UEN23" s="1280"/>
      <c r="UEO23" s="1280"/>
      <c r="UEP23" s="1280"/>
      <c r="UEQ23" s="1280"/>
      <c r="UER23" s="1280"/>
      <c r="UES23" s="1280"/>
      <c r="UET23" s="1280"/>
      <c r="UEU23" s="1280"/>
      <c r="UEV23" s="1280"/>
      <c r="UEW23" s="1280"/>
      <c r="UEX23" s="1280"/>
      <c r="UEY23" s="1280"/>
      <c r="UEZ23" s="1280"/>
      <c r="UFA23" s="1280"/>
      <c r="UFB23" s="1280"/>
      <c r="UFC23" s="1280"/>
      <c r="UFD23" s="1280"/>
      <c r="UFE23" s="1280"/>
      <c r="UFF23" s="1280"/>
      <c r="UFG23" s="1280"/>
      <c r="UFH23" s="1280"/>
      <c r="UFI23" s="1280"/>
      <c r="UFJ23" s="1280"/>
      <c r="UFK23" s="1280"/>
      <c r="UFL23" s="1280"/>
      <c r="UFM23" s="1280"/>
      <c r="UFN23" s="1280"/>
      <c r="UFO23" s="1280"/>
      <c r="UFP23" s="1280"/>
      <c r="UFQ23" s="1280"/>
      <c r="UFR23" s="1280"/>
      <c r="UFS23" s="1280"/>
      <c r="UFT23" s="1280"/>
      <c r="UFU23" s="1280"/>
      <c r="UFV23" s="1280"/>
      <c r="UFW23" s="1280"/>
      <c r="UFX23" s="1280"/>
      <c r="UFY23" s="1280"/>
      <c r="UFZ23" s="1280"/>
      <c r="UGA23" s="1280"/>
      <c r="UGB23" s="1280"/>
      <c r="UGC23" s="1280"/>
      <c r="UGD23" s="1280"/>
      <c r="UGE23" s="1280"/>
      <c r="UGF23" s="1280"/>
      <c r="UGG23" s="1280"/>
      <c r="UGH23" s="1280"/>
      <c r="UGI23" s="1280"/>
      <c r="UGJ23" s="1280"/>
      <c r="UGK23" s="1280"/>
      <c r="UGL23" s="1280"/>
      <c r="UGM23" s="1280"/>
      <c r="UGN23" s="1280"/>
      <c r="UGO23" s="1280"/>
      <c r="UGP23" s="1280"/>
      <c r="UGQ23" s="1280"/>
      <c r="UGR23" s="1280"/>
      <c r="UGS23" s="1280"/>
      <c r="UGT23" s="1280"/>
      <c r="UGU23" s="1280"/>
      <c r="UGV23" s="1280"/>
      <c r="UGW23" s="1280"/>
      <c r="UGX23" s="1280"/>
      <c r="UGY23" s="1280"/>
      <c r="UGZ23" s="1280"/>
      <c r="UHA23" s="1280"/>
      <c r="UHB23" s="1280"/>
      <c r="UHC23" s="1280"/>
      <c r="UHD23" s="1280"/>
      <c r="UHE23" s="1280"/>
      <c r="UHF23" s="1280"/>
      <c r="UHG23" s="1280"/>
      <c r="UHH23" s="1280"/>
      <c r="UHI23" s="1280"/>
      <c r="UHJ23" s="1280"/>
      <c r="UHK23" s="1280"/>
      <c r="UHL23" s="1280"/>
      <c r="UHM23" s="1280"/>
      <c r="UHN23" s="1280"/>
      <c r="UHO23" s="1280"/>
      <c r="UHP23" s="1280"/>
      <c r="UHQ23" s="1280"/>
      <c r="UHR23" s="1280"/>
      <c r="UHS23" s="1280"/>
      <c r="UHT23" s="1280"/>
      <c r="UHU23" s="1280"/>
      <c r="UHV23" s="1280"/>
      <c r="UHW23" s="1280"/>
      <c r="UHX23" s="1280"/>
      <c r="UHY23" s="1280"/>
      <c r="UHZ23" s="1280"/>
      <c r="UIA23" s="1280"/>
      <c r="UIB23" s="1280"/>
      <c r="UIC23" s="1280"/>
      <c r="UID23" s="1280"/>
      <c r="UIE23" s="1280"/>
      <c r="UIF23" s="1280"/>
      <c r="UIG23" s="1280"/>
      <c r="UIH23" s="1280"/>
      <c r="UII23" s="1280"/>
      <c r="UIJ23" s="1280"/>
      <c r="UIK23" s="1280"/>
      <c r="UIL23" s="1280"/>
      <c r="UIM23" s="1280"/>
      <c r="UIN23" s="1280"/>
      <c r="UIO23" s="1280"/>
      <c r="UIP23" s="1280"/>
      <c r="UIQ23" s="1280"/>
      <c r="UIR23" s="1280"/>
      <c r="UIS23" s="1280"/>
      <c r="UIT23" s="1280"/>
      <c r="UIU23" s="1280"/>
      <c r="UIV23" s="1280"/>
      <c r="UIW23" s="1280"/>
      <c r="UIX23" s="1280"/>
      <c r="UIY23" s="1280"/>
      <c r="UIZ23" s="1280"/>
      <c r="UJA23" s="1280"/>
      <c r="UJB23" s="1280"/>
      <c r="UJC23" s="1280"/>
      <c r="UJD23" s="1280"/>
      <c r="UJE23" s="1280"/>
      <c r="UJF23" s="1280"/>
      <c r="UJG23" s="1280"/>
      <c r="UJH23" s="1280"/>
      <c r="UJI23" s="1280"/>
      <c r="UJJ23" s="1280"/>
      <c r="UJK23" s="1280"/>
      <c r="UJL23" s="1280"/>
      <c r="UJM23" s="1280"/>
      <c r="UJN23" s="1280"/>
      <c r="UJO23" s="1280"/>
      <c r="UJP23" s="1280"/>
      <c r="UJQ23" s="1280"/>
      <c r="UJR23" s="1280"/>
      <c r="UJS23" s="1280"/>
      <c r="UJT23" s="1280"/>
      <c r="UJU23" s="1280"/>
      <c r="UJV23" s="1280"/>
      <c r="UJW23" s="1280"/>
      <c r="UJX23" s="1280"/>
      <c r="UJY23" s="1280"/>
      <c r="UJZ23" s="1280"/>
      <c r="UKA23" s="1280"/>
      <c r="UKB23" s="1280"/>
      <c r="UKC23" s="1280"/>
      <c r="UKD23" s="1280"/>
      <c r="UKE23" s="1280"/>
      <c r="UKF23" s="1280"/>
      <c r="UKG23" s="1280"/>
      <c r="UKH23" s="1280"/>
      <c r="UKI23" s="1280"/>
      <c r="UKJ23" s="1280"/>
      <c r="UKK23" s="1280"/>
      <c r="UKL23" s="1280"/>
      <c r="UKM23" s="1280"/>
      <c r="UKN23" s="1280"/>
      <c r="UKO23" s="1280"/>
      <c r="UKP23" s="1280"/>
      <c r="UKQ23" s="1280"/>
      <c r="UKR23" s="1280"/>
      <c r="UKS23" s="1280"/>
      <c r="UKT23" s="1280"/>
      <c r="UKU23" s="1280"/>
      <c r="UKV23" s="1280"/>
      <c r="UKW23" s="1280"/>
      <c r="UKX23" s="1280"/>
      <c r="UKY23" s="1280"/>
      <c r="UKZ23" s="1280"/>
      <c r="ULA23" s="1280"/>
      <c r="ULB23" s="1280"/>
      <c r="ULC23" s="1280"/>
      <c r="ULD23" s="1280"/>
      <c r="ULE23" s="1280"/>
      <c r="ULF23" s="1280"/>
      <c r="ULG23" s="1280"/>
      <c r="ULH23" s="1280"/>
      <c r="ULI23" s="1280"/>
      <c r="ULJ23" s="1280"/>
      <c r="ULK23" s="1280"/>
      <c r="ULL23" s="1280"/>
      <c r="ULM23" s="1280"/>
      <c r="ULN23" s="1280"/>
      <c r="ULO23" s="1280"/>
      <c r="ULP23" s="1280"/>
      <c r="ULQ23" s="1280"/>
      <c r="ULR23" s="1280"/>
      <c r="ULS23" s="1280"/>
      <c r="ULT23" s="1280"/>
      <c r="ULU23" s="1280"/>
      <c r="ULV23" s="1280"/>
      <c r="ULW23" s="1280"/>
      <c r="ULX23" s="1280"/>
      <c r="ULY23" s="1280"/>
      <c r="ULZ23" s="1280"/>
      <c r="UMA23" s="1280"/>
      <c r="UMB23" s="1280"/>
      <c r="UMC23" s="1280"/>
      <c r="UMD23" s="1280"/>
      <c r="UME23" s="1280"/>
      <c r="UMF23" s="1280"/>
      <c r="UMG23" s="1280"/>
      <c r="UMH23" s="1280"/>
      <c r="UMI23" s="1280"/>
      <c r="UMJ23" s="1280"/>
      <c r="UMK23" s="1280"/>
      <c r="UML23" s="1280"/>
      <c r="UMM23" s="1280"/>
      <c r="UMN23" s="1280"/>
      <c r="UMO23" s="1280"/>
      <c r="UMP23" s="1280"/>
      <c r="UMQ23" s="1280"/>
      <c r="UMR23" s="1280"/>
      <c r="UMS23" s="1280"/>
      <c r="UMT23" s="1280"/>
      <c r="UMU23" s="1280"/>
      <c r="UMV23" s="1280"/>
      <c r="UMW23" s="1280"/>
      <c r="UMX23" s="1280"/>
      <c r="UMY23" s="1280"/>
      <c r="UMZ23" s="1280"/>
      <c r="UNA23" s="1280"/>
      <c r="UNB23" s="1280"/>
      <c r="UNC23" s="1280"/>
      <c r="UND23" s="1280"/>
      <c r="UNE23" s="1280"/>
      <c r="UNF23" s="1280"/>
      <c r="UNG23" s="1280"/>
      <c r="UNH23" s="1280"/>
      <c r="UNI23" s="1280"/>
      <c r="UNJ23" s="1280"/>
      <c r="UNK23" s="1280"/>
      <c r="UNL23" s="1280"/>
      <c r="UNM23" s="1280"/>
      <c r="UNN23" s="1280"/>
      <c r="UNO23" s="1280"/>
      <c r="UNP23" s="1280"/>
      <c r="UNQ23" s="1280"/>
      <c r="UNR23" s="1280"/>
      <c r="UNS23" s="1280"/>
      <c r="UNT23" s="1280"/>
      <c r="UNU23" s="1280"/>
      <c r="UNV23" s="1280"/>
      <c r="UNW23" s="1280"/>
      <c r="UNX23" s="1280"/>
      <c r="UNY23" s="1280"/>
      <c r="UNZ23" s="1280"/>
      <c r="UOA23" s="1280"/>
      <c r="UOB23" s="1280"/>
      <c r="UOC23" s="1280"/>
      <c r="UOD23" s="1280"/>
      <c r="UOE23" s="1280"/>
      <c r="UOF23" s="1280"/>
      <c r="UOG23" s="1280"/>
      <c r="UOH23" s="1280"/>
      <c r="UOI23" s="1280"/>
      <c r="UOJ23" s="1280"/>
      <c r="UOK23" s="1280"/>
      <c r="UOL23" s="1280"/>
      <c r="UOM23" s="1280"/>
      <c r="UON23" s="1280"/>
      <c r="UOO23" s="1280"/>
      <c r="UOP23" s="1280"/>
      <c r="UOQ23" s="1280"/>
      <c r="UOR23" s="1280"/>
      <c r="UOS23" s="1280"/>
      <c r="UOT23" s="1280"/>
      <c r="UOU23" s="1280"/>
      <c r="UOV23" s="1280"/>
      <c r="UOW23" s="1280"/>
      <c r="UOX23" s="1280"/>
      <c r="UOY23" s="1280"/>
      <c r="UOZ23" s="1280"/>
      <c r="UPA23" s="1280"/>
      <c r="UPB23" s="1280"/>
      <c r="UPC23" s="1280"/>
      <c r="UPD23" s="1280"/>
      <c r="UPE23" s="1280"/>
      <c r="UPF23" s="1280"/>
      <c r="UPG23" s="1280"/>
      <c r="UPH23" s="1280"/>
      <c r="UPI23" s="1280"/>
      <c r="UPJ23" s="1280"/>
      <c r="UPK23" s="1280"/>
      <c r="UPL23" s="1280"/>
      <c r="UPM23" s="1280"/>
      <c r="UPN23" s="1280"/>
      <c r="UPO23" s="1280"/>
      <c r="UPP23" s="1280"/>
      <c r="UPQ23" s="1280"/>
      <c r="UPR23" s="1280"/>
      <c r="UPS23" s="1280"/>
      <c r="UPT23" s="1280"/>
      <c r="UPU23" s="1280"/>
      <c r="UPV23" s="1280"/>
      <c r="UPW23" s="1280"/>
      <c r="UPX23" s="1280"/>
      <c r="UPY23" s="1280"/>
      <c r="UPZ23" s="1280"/>
      <c r="UQA23" s="1280"/>
      <c r="UQB23" s="1280"/>
      <c r="UQC23" s="1280"/>
      <c r="UQD23" s="1280"/>
      <c r="UQE23" s="1280"/>
      <c r="UQF23" s="1280"/>
      <c r="UQG23" s="1280"/>
      <c r="UQH23" s="1280"/>
      <c r="UQI23" s="1280"/>
      <c r="UQJ23" s="1280"/>
      <c r="UQK23" s="1280"/>
      <c r="UQL23" s="1280"/>
      <c r="UQM23" s="1280"/>
      <c r="UQN23" s="1280"/>
      <c r="UQO23" s="1280"/>
      <c r="UQP23" s="1280"/>
      <c r="UQQ23" s="1280"/>
      <c r="UQR23" s="1280"/>
      <c r="UQS23" s="1280"/>
      <c r="UQT23" s="1280"/>
      <c r="UQU23" s="1280"/>
      <c r="UQV23" s="1280"/>
      <c r="UQW23" s="1280"/>
      <c r="UQX23" s="1280"/>
      <c r="UQY23" s="1280"/>
      <c r="UQZ23" s="1280"/>
      <c r="URA23" s="1280"/>
      <c r="URB23" s="1280"/>
      <c r="URC23" s="1280"/>
      <c r="URD23" s="1280"/>
      <c r="URE23" s="1280"/>
      <c r="URF23" s="1280"/>
      <c r="URG23" s="1280"/>
      <c r="URH23" s="1280"/>
      <c r="URI23" s="1280"/>
      <c r="URJ23" s="1280"/>
      <c r="URK23" s="1280"/>
      <c r="URL23" s="1280"/>
      <c r="URM23" s="1280"/>
      <c r="URN23" s="1280"/>
      <c r="URO23" s="1280"/>
      <c r="URP23" s="1280"/>
      <c r="URQ23" s="1280"/>
      <c r="URR23" s="1280"/>
      <c r="URS23" s="1280"/>
      <c r="URT23" s="1280"/>
      <c r="URU23" s="1280"/>
      <c r="URV23" s="1280"/>
      <c r="URW23" s="1280"/>
      <c r="URX23" s="1280"/>
      <c r="URY23" s="1280"/>
      <c r="URZ23" s="1280"/>
      <c r="USA23" s="1280"/>
      <c r="USB23" s="1280"/>
      <c r="USC23" s="1280"/>
      <c r="USD23" s="1280"/>
      <c r="USE23" s="1280"/>
      <c r="USF23" s="1280"/>
      <c r="USG23" s="1280"/>
      <c r="USH23" s="1280"/>
      <c r="USI23" s="1280"/>
      <c r="USJ23" s="1280"/>
      <c r="USK23" s="1280"/>
      <c r="USL23" s="1280"/>
      <c r="USM23" s="1280"/>
      <c r="USN23" s="1280"/>
      <c r="USO23" s="1280"/>
      <c r="USP23" s="1280"/>
      <c r="USQ23" s="1280"/>
      <c r="USR23" s="1280"/>
      <c r="USS23" s="1280"/>
      <c r="UST23" s="1280"/>
      <c r="USU23" s="1280"/>
      <c r="USV23" s="1280"/>
      <c r="USW23" s="1280"/>
      <c r="USX23" s="1280"/>
      <c r="USY23" s="1280"/>
      <c r="USZ23" s="1280"/>
      <c r="UTA23" s="1280"/>
      <c r="UTB23" s="1280"/>
      <c r="UTC23" s="1280"/>
      <c r="UTD23" s="1280"/>
      <c r="UTE23" s="1280"/>
      <c r="UTF23" s="1280"/>
      <c r="UTG23" s="1280"/>
      <c r="UTH23" s="1280"/>
      <c r="UTI23" s="1280"/>
      <c r="UTJ23" s="1280"/>
      <c r="UTK23" s="1280"/>
      <c r="UTL23" s="1280"/>
      <c r="UTM23" s="1280"/>
      <c r="UTN23" s="1280"/>
      <c r="UTO23" s="1280"/>
      <c r="UTP23" s="1280"/>
      <c r="UTQ23" s="1280"/>
      <c r="UTR23" s="1280"/>
      <c r="UTS23" s="1280"/>
      <c r="UTT23" s="1280"/>
      <c r="UTU23" s="1280"/>
      <c r="UTV23" s="1280"/>
      <c r="UTW23" s="1280"/>
      <c r="UTX23" s="1280"/>
      <c r="UTY23" s="1280"/>
      <c r="UTZ23" s="1280"/>
      <c r="UUA23" s="1280"/>
      <c r="UUB23" s="1280"/>
      <c r="UUC23" s="1280"/>
      <c r="UUD23" s="1280"/>
      <c r="UUE23" s="1280"/>
      <c r="UUF23" s="1280"/>
      <c r="UUG23" s="1280"/>
      <c r="UUH23" s="1280"/>
      <c r="UUI23" s="1280"/>
      <c r="UUJ23" s="1280"/>
      <c r="UUK23" s="1280"/>
      <c r="UUL23" s="1280"/>
      <c r="UUM23" s="1280"/>
      <c r="UUN23" s="1280"/>
      <c r="UUO23" s="1280"/>
      <c r="UUP23" s="1280"/>
      <c r="UUQ23" s="1280"/>
      <c r="UUR23" s="1280"/>
      <c r="UUS23" s="1280"/>
      <c r="UUT23" s="1280"/>
      <c r="UUU23" s="1280"/>
      <c r="UUV23" s="1280"/>
      <c r="UUW23" s="1280"/>
      <c r="UUX23" s="1280"/>
      <c r="UUY23" s="1280"/>
      <c r="UUZ23" s="1280"/>
      <c r="UVA23" s="1280"/>
      <c r="UVB23" s="1280"/>
      <c r="UVC23" s="1280"/>
      <c r="UVD23" s="1280"/>
      <c r="UVE23" s="1280"/>
      <c r="UVF23" s="1280"/>
      <c r="UVG23" s="1280"/>
      <c r="UVH23" s="1280"/>
      <c r="UVI23" s="1280"/>
      <c r="UVJ23" s="1280"/>
      <c r="UVK23" s="1280"/>
      <c r="UVL23" s="1280"/>
      <c r="UVM23" s="1280"/>
      <c r="UVN23" s="1280"/>
      <c r="UVO23" s="1280"/>
      <c r="UVP23" s="1280"/>
      <c r="UVQ23" s="1280"/>
      <c r="UVR23" s="1280"/>
      <c r="UVS23" s="1280"/>
      <c r="UVT23" s="1280"/>
      <c r="UVU23" s="1280"/>
      <c r="UVV23" s="1280"/>
      <c r="UVW23" s="1280"/>
      <c r="UVX23" s="1280"/>
      <c r="UVY23" s="1280"/>
      <c r="UVZ23" s="1280"/>
      <c r="UWA23" s="1280"/>
      <c r="UWB23" s="1280"/>
      <c r="UWC23" s="1280"/>
      <c r="UWD23" s="1280"/>
      <c r="UWE23" s="1280"/>
      <c r="UWF23" s="1280"/>
      <c r="UWG23" s="1280"/>
      <c r="UWH23" s="1280"/>
      <c r="UWI23" s="1280"/>
      <c r="UWJ23" s="1280"/>
      <c r="UWK23" s="1280"/>
      <c r="UWL23" s="1280"/>
      <c r="UWM23" s="1280"/>
      <c r="UWN23" s="1280"/>
      <c r="UWO23" s="1280"/>
      <c r="UWP23" s="1280"/>
      <c r="UWQ23" s="1280"/>
      <c r="UWR23" s="1280"/>
      <c r="UWS23" s="1280"/>
      <c r="UWT23" s="1280"/>
      <c r="UWU23" s="1280"/>
      <c r="UWV23" s="1280"/>
      <c r="UWW23" s="1280"/>
      <c r="UWX23" s="1280"/>
      <c r="UWY23" s="1280"/>
      <c r="UWZ23" s="1280"/>
      <c r="UXA23" s="1280"/>
      <c r="UXB23" s="1280"/>
      <c r="UXC23" s="1280"/>
      <c r="UXD23" s="1280"/>
      <c r="UXE23" s="1280"/>
      <c r="UXF23" s="1280"/>
      <c r="UXG23" s="1280"/>
      <c r="UXH23" s="1280"/>
      <c r="UXI23" s="1280"/>
      <c r="UXJ23" s="1280"/>
      <c r="UXK23" s="1280"/>
      <c r="UXL23" s="1280"/>
      <c r="UXM23" s="1280"/>
      <c r="UXN23" s="1280"/>
      <c r="UXO23" s="1280"/>
      <c r="UXP23" s="1280"/>
      <c r="UXQ23" s="1280"/>
      <c r="UXR23" s="1280"/>
      <c r="UXS23" s="1280"/>
      <c r="UXT23" s="1280"/>
      <c r="UXU23" s="1280"/>
      <c r="UXV23" s="1280"/>
      <c r="UXW23" s="1280"/>
      <c r="UXX23" s="1280"/>
      <c r="UXY23" s="1280"/>
      <c r="UXZ23" s="1280"/>
      <c r="UYA23" s="1280"/>
      <c r="UYB23" s="1280"/>
      <c r="UYC23" s="1280"/>
      <c r="UYD23" s="1280"/>
      <c r="UYE23" s="1280"/>
      <c r="UYF23" s="1280"/>
      <c r="UYG23" s="1280"/>
      <c r="UYH23" s="1280"/>
      <c r="UYI23" s="1280"/>
      <c r="UYJ23" s="1280"/>
      <c r="UYK23" s="1280"/>
      <c r="UYL23" s="1280"/>
      <c r="UYM23" s="1280"/>
      <c r="UYN23" s="1280"/>
      <c r="UYO23" s="1280"/>
      <c r="UYP23" s="1280"/>
      <c r="UYQ23" s="1280"/>
      <c r="UYR23" s="1280"/>
      <c r="UYS23" s="1280"/>
      <c r="UYT23" s="1280"/>
      <c r="UYU23" s="1280"/>
      <c r="UYV23" s="1280"/>
      <c r="UYW23" s="1280"/>
      <c r="UYX23" s="1280"/>
      <c r="UYY23" s="1280"/>
      <c r="UYZ23" s="1280"/>
      <c r="UZA23" s="1280"/>
      <c r="UZB23" s="1280"/>
      <c r="UZC23" s="1280"/>
      <c r="UZD23" s="1280"/>
      <c r="UZE23" s="1280"/>
      <c r="UZF23" s="1280"/>
      <c r="UZG23" s="1280"/>
      <c r="UZH23" s="1280"/>
      <c r="UZI23" s="1280"/>
      <c r="UZJ23" s="1280"/>
      <c r="UZK23" s="1280"/>
      <c r="UZL23" s="1280"/>
      <c r="UZM23" s="1280"/>
      <c r="UZN23" s="1280"/>
      <c r="UZO23" s="1280"/>
      <c r="UZP23" s="1280"/>
      <c r="UZQ23" s="1280"/>
      <c r="UZR23" s="1280"/>
      <c r="UZS23" s="1280"/>
      <c r="UZT23" s="1280"/>
      <c r="UZU23" s="1280"/>
      <c r="UZV23" s="1280"/>
      <c r="UZW23" s="1280"/>
      <c r="UZX23" s="1280"/>
      <c r="UZY23" s="1280"/>
      <c r="UZZ23" s="1280"/>
      <c r="VAA23" s="1280"/>
      <c r="VAB23" s="1280"/>
      <c r="VAC23" s="1280"/>
      <c r="VAD23" s="1280"/>
      <c r="VAE23" s="1280"/>
      <c r="VAF23" s="1280"/>
      <c r="VAG23" s="1280"/>
      <c r="VAH23" s="1280"/>
      <c r="VAI23" s="1280"/>
      <c r="VAJ23" s="1280"/>
      <c r="VAK23" s="1280"/>
      <c r="VAL23" s="1280"/>
      <c r="VAM23" s="1280"/>
      <c r="VAN23" s="1280"/>
      <c r="VAO23" s="1280"/>
      <c r="VAP23" s="1280"/>
      <c r="VAQ23" s="1280"/>
      <c r="VAR23" s="1280"/>
      <c r="VAS23" s="1280"/>
      <c r="VAT23" s="1280"/>
      <c r="VAU23" s="1280"/>
      <c r="VAV23" s="1280"/>
      <c r="VAW23" s="1280"/>
      <c r="VAX23" s="1280"/>
      <c r="VAY23" s="1280"/>
      <c r="VAZ23" s="1280"/>
      <c r="VBA23" s="1280"/>
      <c r="VBB23" s="1280"/>
      <c r="VBC23" s="1280"/>
      <c r="VBD23" s="1280"/>
      <c r="VBE23" s="1280"/>
      <c r="VBF23" s="1280"/>
      <c r="VBG23" s="1280"/>
      <c r="VBH23" s="1280"/>
      <c r="VBI23" s="1280"/>
      <c r="VBJ23" s="1280"/>
      <c r="VBK23" s="1280"/>
      <c r="VBL23" s="1280"/>
      <c r="VBM23" s="1280"/>
      <c r="VBN23" s="1280"/>
      <c r="VBO23" s="1280"/>
      <c r="VBP23" s="1280"/>
      <c r="VBQ23" s="1280"/>
      <c r="VBR23" s="1280"/>
      <c r="VBS23" s="1280"/>
      <c r="VBT23" s="1280"/>
      <c r="VBU23" s="1280"/>
      <c r="VBV23" s="1280"/>
      <c r="VBW23" s="1280"/>
      <c r="VBX23" s="1280"/>
      <c r="VBY23" s="1280"/>
      <c r="VBZ23" s="1280"/>
      <c r="VCA23" s="1280"/>
      <c r="VCB23" s="1280"/>
      <c r="VCC23" s="1280"/>
      <c r="VCD23" s="1280"/>
      <c r="VCE23" s="1280"/>
      <c r="VCF23" s="1280"/>
      <c r="VCG23" s="1280"/>
      <c r="VCH23" s="1280"/>
      <c r="VCI23" s="1280"/>
      <c r="VCJ23" s="1280"/>
      <c r="VCK23" s="1280"/>
      <c r="VCL23" s="1280"/>
      <c r="VCM23" s="1280"/>
      <c r="VCN23" s="1280"/>
      <c r="VCO23" s="1280"/>
      <c r="VCP23" s="1280"/>
      <c r="VCQ23" s="1280"/>
      <c r="VCR23" s="1280"/>
      <c r="VCS23" s="1280"/>
      <c r="VCT23" s="1280"/>
      <c r="VCU23" s="1280"/>
      <c r="VCV23" s="1280"/>
      <c r="VCW23" s="1280"/>
      <c r="VCX23" s="1280"/>
      <c r="VCY23" s="1280"/>
      <c r="VCZ23" s="1280"/>
      <c r="VDA23" s="1280"/>
      <c r="VDB23" s="1280"/>
      <c r="VDC23" s="1280"/>
      <c r="VDD23" s="1280"/>
      <c r="VDE23" s="1280"/>
      <c r="VDF23" s="1280"/>
      <c r="VDG23" s="1280"/>
      <c r="VDH23" s="1280"/>
      <c r="VDI23" s="1280"/>
      <c r="VDJ23" s="1280"/>
      <c r="VDK23" s="1280"/>
      <c r="VDL23" s="1280"/>
      <c r="VDM23" s="1280"/>
      <c r="VDN23" s="1280"/>
      <c r="VDO23" s="1280"/>
      <c r="VDP23" s="1280"/>
      <c r="VDQ23" s="1280"/>
      <c r="VDR23" s="1280"/>
      <c r="VDS23" s="1280"/>
      <c r="VDT23" s="1280"/>
      <c r="VDU23" s="1280"/>
      <c r="VDV23" s="1280"/>
      <c r="VDW23" s="1280"/>
      <c r="VDX23" s="1280"/>
      <c r="VDY23" s="1280"/>
      <c r="VDZ23" s="1280"/>
      <c r="VEA23" s="1280"/>
      <c r="VEB23" s="1280"/>
      <c r="VEC23" s="1280"/>
      <c r="VED23" s="1280"/>
      <c r="VEE23" s="1280"/>
      <c r="VEF23" s="1280"/>
      <c r="VEG23" s="1280"/>
      <c r="VEH23" s="1280"/>
      <c r="VEI23" s="1280"/>
      <c r="VEJ23" s="1280"/>
      <c r="VEK23" s="1280"/>
      <c r="VEL23" s="1280"/>
      <c r="VEM23" s="1280"/>
      <c r="VEN23" s="1280"/>
      <c r="VEO23" s="1280"/>
      <c r="VEP23" s="1280"/>
      <c r="VEQ23" s="1280"/>
      <c r="VER23" s="1280"/>
      <c r="VES23" s="1280"/>
      <c r="VET23" s="1280"/>
      <c r="VEU23" s="1280"/>
      <c r="VEV23" s="1280"/>
      <c r="VEW23" s="1280"/>
      <c r="VEX23" s="1280"/>
      <c r="VEY23" s="1280"/>
      <c r="VEZ23" s="1280"/>
      <c r="VFA23" s="1280"/>
      <c r="VFB23" s="1280"/>
      <c r="VFC23" s="1280"/>
      <c r="VFD23" s="1280"/>
      <c r="VFE23" s="1280"/>
      <c r="VFF23" s="1280"/>
      <c r="VFG23" s="1280"/>
      <c r="VFH23" s="1280"/>
      <c r="VFI23" s="1280"/>
      <c r="VFJ23" s="1280"/>
      <c r="VFK23" s="1280"/>
      <c r="VFL23" s="1280"/>
      <c r="VFM23" s="1280"/>
      <c r="VFN23" s="1280"/>
      <c r="VFO23" s="1280"/>
      <c r="VFP23" s="1280"/>
      <c r="VFQ23" s="1280"/>
      <c r="VFR23" s="1280"/>
      <c r="VFS23" s="1280"/>
      <c r="VFT23" s="1280"/>
      <c r="VFU23" s="1280"/>
      <c r="VFV23" s="1280"/>
      <c r="VFW23" s="1280"/>
      <c r="VFX23" s="1280"/>
      <c r="VFY23" s="1280"/>
      <c r="VFZ23" s="1280"/>
      <c r="VGA23" s="1280"/>
      <c r="VGB23" s="1280"/>
      <c r="VGC23" s="1280"/>
      <c r="VGD23" s="1280"/>
      <c r="VGE23" s="1280"/>
      <c r="VGF23" s="1280"/>
      <c r="VGG23" s="1280"/>
      <c r="VGH23" s="1280"/>
      <c r="VGI23" s="1280"/>
      <c r="VGJ23" s="1280"/>
      <c r="VGK23" s="1280"/>
      <c r="VGL23" s="1280"/>
      <c r="VGM23" s="1280"/>
      <c r="VGN23" s="1280"/>
      <c r="VGO23" s="1280"/>
      <c r="VGP23" s="1280"/>
      <c r="VGQ23" s="1280"/>
      <c r="VGR23" s="1280"/>
      <c r="VGS23" s="1280"/>
      <c r="VGT23" s="1280"/>
      <c r="VGU23" s="1280"/>
      <c r="VGV23" s="1280"/>
      <c r="VGW23" s="1280"/>
      <c r="VGX23" s="1280"/>
      <c r="VGY23" s="1280"/>
      <c r="VGZ23" s="1280"/>
      <c r="VHA23" s="1280"/>
      <c r="VHB23" s="1280"/>
      <c r="VHC23" s="1280"/>
      <c r="VHD23" s="1280"/>
      <c r="VHE23" s="1280"/>
      <c r="VHF23" s="1280"/>
      <c r="VHG23" s="1280"/>
      <c r="VHH23" s="1280"/>
      <c r="VHI23" s="1280"/>
      <c r="VHJ23" s="1280"/>
      <c r="VHK23" s="1280"/>
      <c r="VHL23" s="1280"/>
      <c r="VHM23" s="1280"/>
      <c r="VHN23" s="1280"/>
      <c r="VHO23" s="1280"/>
      <c r="VHP23" s="1280"/>
      <c r="VHQ23" s="1280"/>
      <c r="VHR23" s="1280"/>
      <c r="VHS23" s="1280"/>
      <c r="VHT23" s="1280"/>
      <c r="VHU23" s="1280"/>
      <c r="VHV23" s="1280"/>
      <c r="VHW23" s="1280"/>
      <c r="VHX23" s="1280"/>
      <c r="VHY23" s="1280"/>
      <c r="VHZ23" s="1280"/>
      <c r="VIA23" s="1280"/>
      <c r="VIB23" s="1280"/>
      <c r="VIC23" s="1280"/>
      <c r="VID23" s="1280"/>
      <c r="VIE23" s="1280"/>
      <c r="VIF23" s="1280"/>
      <c r="VIG23" s="1280"/>
      <c r="VIH23" s="1280"/>
      <c r="VII23" s="1280"/>
      <c r="VIJ23" s="1280"/>
      <c r="VIK23" s="1280"/>
      <c r="VIL23" s="1280"/>
      <c r="VIM23" s="1280"/>
      <c r="VIN23" s="1280"/>
      <c r="VIO23" s="1280"/>
      <c r="VIP23" s="1280"/>
      <c r="VIQ23" s="1280"/>
      <c r="VIR23" s="1280"/>
      <c r="VIS23" s="1280"/>
      <c r="VIT23" s="1280"/>
      <c r="VIU23" s="1280"/>
      <c r="VIV23" s="1280"/>
      <c r="VIW23" s="1280"/>
      <c r="VIX23" s="1280"/>
      <c r="VIY23" s="1280"/>
      <c r="VIZ23" s="1280"/>
      <c r="VJA23" s="1280"/>
      <c r="VJB23" s="1280"/>
      <c r="VJC23" s="1280"/>
      <c r="VJD23" s="1280"/>
      <c r="VJE23" s="1280"/>
      <c r="VJF23" s="1280"/>
      <c r="VJG23" s="1280"/>
      <c r="VJH23" s="1280"/>
      <c r="VJI23" s="1280"/>
      <c r="VJJ23" s="1280"/>
      <c r="VJK23" s="1280"/>
      <c r="VJL23" s="1280"/>
      <c r="VJM23" s="1280"/>
      <c r="VJN23" s="1280"/>
      <c r="VJO23" s="1280"/>
      <c r="VJP23" s="1280"/>
      <c r="VJQ23" s="1280"/>
      <c r="VJR23" s="1280"/>
      <c r="VJS23" s="1280"/>
      <c r="VJT23" s="1280"/>
      <c r="VJU23" s="1280"/>
      <c r="VJV23" s="1280"/>
      <c r="VJW23" s="1280"/>
      <c r="VJX23" s="1280"/>
      <c r="VJY23" s="1280"/>
      <c r="VJZ23" s="1280"/>
      <c r="VKA23" s="1280"/>
      <c r="VKB23" s="1280"/>
      <c r="VKC23" s="1280"/>
      <c r="VKD23" s="1280"/>
      <c r="VKE23" s="1280"/>
      <c r="VKF23" s="1280"/>
      <c r="VKG23" s="1280"/>
      <c r="VKH23" s="1280"/>
      <c r="VKI23" s="1280"/>
      <c r="VKJ23" s="1280"/>
      <c r="VKK23" s="1280"/>
      <c r="VKL23" s="1280"/>
      <c r="VKM23" s="1280"/>
      <c r="VKN23" s="1280"/>
      <c r="VKO23" s="1280"/>
      <c r="VKP23" s="1280"/>
      <c r="VKQ23" s="1280"/>
      <c r="VKR23" s="1280"/>
      <c r="VKS23" s="1280"/>
      <c r="VKT23" s="1280"/>
      <c r="VKU23" s="1280"/>
      <c r="VKV23" s="1280"/>
      <c r="VKW23" s="1280"/>
      <c r="VKX23" s="1280"/>
      <c r="VKY23" s="1280"/>
      <c r="VKZ23" s="1280"/>
      <c r="VLA23" s="1280"/>
      <c r="VLB23" s="1280"/>
      <c r="VLC23" s="1280"/>
      <c r="VLD23" s="1280"/>
      <c r="VLE23" s="1280"/>
      <c r="VLF23" s="1280"/>
      <c r="VLG23" s="1280"/>
      <c r="VLH23" s="1280"/>
      <c r="VLI23" s="1280"/>
      <c r="VLJ23" s="1280"/>
      <c r="VLK23" s="1280"/>
      <c r="VLL23" s="1280"/>
      <c r="VLM23" s="1280"/>
      <c r="VLN23" s="1280"/>
      <c r="VLO23" s="1280"/>
      <c r="VLP23" s="1280"/>
      <c r="VLQ23" s="1280"/>
      <c r="VLR23" s="1280"/>
      <c r="VLS23" s="1280"/>
      <c r="VLT23" s="1280"/>
      <c r="VLU23" s="1280"/>
      <c r="VLV23" s="1280"/>
      <c r="VLW23" s="1280"/>
      <c r="VLX23" s="1280"/>
      <c r="VLY23" s="1280"/>
      <c r="VLZ23" s="1280"/>
      <c r="VMA23" s="1280"/>
      <c r="VMB23" s="1280"/>
      <c r="VMC23" s="1280"/>
      <c r="VMD23" s="1280"/>
      <c r="VME23" s="1280"/>
      <c r="VMF23" s="1280"/>
      <c r="VMG23" s="1280"/>
      <c r="VMH23" s="1280"/>
      <c r="VMI23" s="1280"/>
      <c r="VMJ23" s="1280"/>
      <c r="VMK23" s="1280"/>
      <c r="VML23" s="1280"/>
      <c r="VMM23" s="1280"/>
      <c r="VMN23" s="1280"/>
      <c r="VMO23" s="1280"/>
      <c r="VMP23" s="1280"/>
      <c r="VMQ23" s="1280"/>
      <c r="VMR23" s="1280"/>
      <c r="VMS23" s="1280"/>
      <c r="VMT23" s="1280"/>
      <c r="VMU23" s="1280"/>
      <c r="VMV23" s="1280"/>
      <c r="VMW23" s="1280"/>
      <c r="VMX23" s="1280"/>
      <c r="VMY23" s="1280"/>
      <c r="VMZ23" s="1280"/>
      <c r="VNA23" s="1280"/>
      <c r="VNB23" s="1280"/>
      <c r="VNC23" s="1280"/>
      <c r="VND23" s="1280"/>
      <c r="VNE23" s="1280"/>
      <c r="VNF23" s="1280"/>
      <c r="VNG23" s="1280"/>
      <c r="VNH23" s="1280"/>
      <c r="VNI23" s="1280"/>
      <c r="VNJ23" s="1280"/>
      <c r="VNK23" s="1280"/>
      <c r="VNL23" s="1280"/>
      <c r="VNM23" s="1280"/>
      <c r="VNN23" s="1280"/>
      <c r="VNO23" s="1280"/>
      <c r="VNP23" s="1280"/>
      <c r="VNQ23" s="1280"/>
      <c r="VNR23" s="1280"/>
      <c r="VNS23" s="1280"/>
      <c r="VNT23" s="1280"/>
      <c r="VNU23" s="1280"/>
      <c r="VNV23" s="1280"/>
      <c r="VNW23" s="1280"/>
      <c r="VNX23" s="1280"/>
      <c r="VNY23" s="1280"/>
      <c r="VNZ23" s="1280"/>
      <c r="VOA23" s="1280"/>
      <c r="VOB23" s="1280"/>
      <c r="VOC23" s="1280"/>
      <c r="VOD23" s="1280"/>
      <c r="VOE23" s="1280"/>
      <c r="VOF23" s="1280"/>
      <c r="VOG23" s="1280"/>
      <c r="VOH23" s="1280"/>
      <c r="VOI23" s="1280"/>
      <c r="VOJ23" s="1280"/>
      <c r="VOK23" s="1280"/>
      <c r="VOL23" s="1280"/>
      <c r="VOM23" s="1280"/>
      <c r="VON23" s="1280"/>
      <c r="VOO23" s="1280"/>
      <c r="VOP23" s="1280"/>
      <c r="VOQ23" s="1280"/>
      <c r="VOR23" s="1280"/>
      <c r="VOS23" s="1280"/>
      <c r="VOT23" s="1280"/>
      <c r="VOU23" s="1280"/>
      <c r="VOV23" s="1280"/>
      <c r="VOW23" s="1280"/>
      <c r="VOX23" s="1280"/>
      <c r="VOY23" s="1280"/>
      <c r="VOZ23" s="1280"/>
      <c r="VPA23" s="1280"/>
      <c r="VPB23" s="1280"/>
      <c r="VPC23" s="1280"/>
      <c r="VPD23" s="1280"/>
      <c r="VPE23" s="1280"/>
      <c r="VPF23" s="1280"/>
      <c r="VPG23" s="1280"/>
      <c r="VPH23" s="1280"/>
      <c r="VPI23" s="1280"/>
      <c r="VPJ23" s="1280"/>
      <c r="VPK23" s="1280"/>
      <c r="VPL23" s="1280"/>
      <c r="VPM23" s="1280"/>
      <c r="VPN23" s="1280"/>
      <c r="VPO23" s="1280"/>
      <c r="VPP23" s="1280"/>
      <c r="VPQ23" s="1280"/>
      <c r="VPR23" s="1280"/>
      <c r="VPS23" s="1280"/>
      <c r="VPT23" s="1280"/>
      <c r="VPU23" s="1280"/>
      <c r="VPV23" s="1280"/>
      <c r="VPW23" s="1280"/>
      <c r="VPX23" s="1280"/>
      <c r="VPY23" s="1280"/>
      <c r="VPZ23" s="1280"/>
      <c r="VQA23" s="1280"/>
      <c r="VQB23" s="1280"/>
      <c r="VQC23" s="1280"/>
      <c r="VQD23" s="1280"/>
      <c r="VQE23" s="1280"/>
      <c r="VQF23" s="1280"/>
      <c r="VQG23" s="1280"/>
      <c r="VQH23" s="1280"/>
      <c r="VQI23" s="1280"/>
      <c r="VQJ23" s="1280"/>
      <c r="VQK23" s="1280"/>
      <c r="VQL23" s="1280"/>
      <c r="VQM23" s="1280"/>
      <c r="VQN23" s="1280"/>
      <c r="VQO23" s="1280"/>
      <c r="VQP23" s="1280"/>
      <c r="VQQ23" s="1280"/>
      <c r="VQR23" s="1280"/>
      <c r="VQS23" s="1280"/>
      <c r="VQT23" s="1280"/>
      <c r="VQU23" s="1280"/>
      <c r="VQV23" s="1280"/>
      <c r="VQW23" s="1280"/>
      <c r="VQX23" s="1280"/>
      <c r="VQY23" s="1280"/>
      <c r="VQZ23" s="1280"/>
      <c r="VRA23" s="1280"/>
      <c r="VRB23" s="1280"/>
      <c r="VRC23" s="1280"/>
      <c r="VRD23" s="1280"/>
      <c r="VRE23" s="1280"/>
      <c r="VRF23" s="1280"/>
      <c r="VRG23" s="1280"/>
      <c r="VRH23" s="1280"/>
      <c r="VRI23" s="1280"/>
      <c r="VRJ23" s="1280"/>
      <c r="VRK23" s="1280"/>
      <c r="VRL23" s="1280"/>
      <c r="VRM23" s="1280"/>
      <c r="VRN23" s="1280"/>
      <c r="VRO23" s="1280"/>
      <c r="VRP23" s="1280"/>
      <c r="VRQ23" s="1280"/>
      <c r="VRR23" s="1280"/>
      <c r="VRS23" s="1280"/>
      <c r="VRT23" s="1280"/>
      <c r="VRU23" s="1280"/>
      <c r="VRV23" s="1280"/>
      <c r="VRW23" s="1280"/>
      <c r="VRX23" s="1280"/>
      <c r="VRY23" s="1280"/>
      <c r="VRZ23" s="1280"/>
      <c r="VSA23" s="1280"/>
      <c r="VSB23" s="1280"/>
      <c r="VSC23" s="1280"/>
      <c r="VSD23" s="1280"/>
      <c r="VSE23" s="1280"/>
      <c r="VSF23" s="1280"/>
      <c r="VSG23" s="1280"/>
      <c r="VSH23" s="1280"/>
      <c r="VSI23" s="1280"/>
      <c r="VSJ23" s="1280"/>
      <c r="VSK23" s="1280"/>
      <c r="VSL23" s="1280"/>
      <c r="VSM23" s="1280"/>
      <c r="VSN23" s="1280"/>
      <c r="VSO23" s="1280"/>
      <c r="VSP23" s="1280"/>
      <c r="VSQ23" s="1280"/>
      <c r="VSR23" s="1280"/>
      <c r="VSS23" s="1280"/>
      <c r="VST23" s="1280"/>
      <c r="VSU23" s="1280"/>
      <c r="VSV23" s="1280"/>
      <c r="VSW23" s="1280"/>
      <c r="VSX23" s="1280"/>
      <c r="VSY23" s="1280"/>
      <c r="VSZ23" s="1280"/>
      <c r="VTA23" s="1280"/>
      <c r="VTB23" s="1280"/>
      <c r="VTC23" s="1280"/>
      <c r="VTD23" s="1280"/>
      <c r="VTE23" s="1280"/>
      <c r="VTF23" s="1280"/>
      <c r="VTG23" s="1280"/>
      <c r="VTH23" s="1280"/>
      <c r="VTI23" s="1280"/>
      <c r="VTJ23" s="1280"/>
      <c r="VTK23" s="1280"/>
      <c r="VTL23" s="1280"/>
      <c r="VTM23" s="1280"/>
      <c r="VTN23" s="1280"/>
      <c r="VTO23" s="1280"/>
      <c r="VTP23" s="1280"/>
      <c r="VTQ23" s="1280"/>
      <c r="VTR23" s="1280"/>
      <c r="VTS23" s="1280"/>
      <c r="VTT23" s="1280"/>
      <c r="VTU23" s="1280"/>
      <c r="VTV23" s="1280"/>
      <c r="VTW23" s="1280"/>
      <c r="VTX23" s="1280"/>
      <c r="VTY23" s="1280"/>
      <c r="VTZ23" s="1280"/>
      <c r="VUA23" s="1280"/>
      <c r="VUB23" s="1280"/>
      <c r="VUC23" s="1280"/>
      <c r="VUD23" s="1280"/>
      <c r="VUE23" s="1280"/>
      <c r="VUF23" s="1280"/>
      <c r="VUG23" s="1280"/>
      <c r="VUH23" s="1280"/>
      <c r="VUI23" s="1280"/>
      <c r="VUJ23" s="1280"/>
      <c r="VUK23" s="1280"/>
      <c r="VUL23" s="1280"/>
      <c r="VUM23" s="1280"/>
      <c r="VUN23" s="1280"/>
      <c r="VUO23" s="1280"/>
      <c r="VUP23" s="1280"/>
      <c r="VUQ23" s="1280"/>
      <c r="VUR23" s="1280"/>
      <c r="VUS23" s="1280"/>
      <c r="VUT23" s="1280"/>
      <c r="VUU23" s="1280"/>
      <c r="VUV23" s="1280"/>
      <c r="VUW23" s="1280"/>
      <c r="VUX23" s="1280"/>
      <c r="VUY23" s="1280"/>
      <c r="VUZ23" s="1280"/>
      <c r="VVA23" s="1280"/>
      <c r="VVB23" s="1280"/>
      <c r="VVC23" s="1280"/>
      <c r="VVD23" s="1280"/>
      <c r="VVE23" s="1280"/>
      <c r="VVF23" s="1280"/>
      <c r="VVG23" s="1280"/>
      <c r="VVH23" s="1280"/>
      <c r="VVI23" s="1280"/>
      <c r="VVJ23" s="1280"/>
      <c r="VVK23" s="1280"/>
      <c r="VVL23" s="1280"/>
      <c r="VVM23" s="1280"/>
      <c r="VVN23" s="1280"/>
      <c r="VVO23" s="1280"/>
      <c r="VVP23" s="1280"/>
      <c r="VVQ23" s="1280"/>
      <c r="VVR23" s="1280"/>
      <c r="VVS23" s="1280"/>
      <c r="VVT23" s="1280"/>
      <c r="VVU23" s="1280"/>
      <c r="VVV23" s="1280"/>
      <c r="VVW23" s="1280"/>
      <c r="VVX23" s="1280"/>
      <c r="VVY23" s="1280"/>
      <c r="VVZ23" s="1280"/>
      <c r="VWA23" s="1280"/>
      <c r="VWB23" s="1280"/>
      <c r="VWC23" s="1280"/>
      <c r="VWD23" s="1280"/>
      <c r="VWE23" s="1280"/>
      <c r="VWF23" s="1280"/>
      <c r="VWG23" s="1280"/>
      <c r="VWH23" s="1280"/>
      <c r="VWI23" s="1280"/>
      <c r="VWJ23" s="1280"/>
      <c r="VWK23" s="1280"/>
      <c r="VWL23" s="1280"/>
      <c r="VWM23" s="1280"/>
      <c r="VWN23" s="1280"/>
      <c r="VWO23" s="1280"/>
      <c r="VWP23" s="1280"/>
      <c r="VWQ23" s="1280"/>
      <c r="VWR23" s="1280"/>
      <c r="VWS23" s="1280"/>
      <c r="VWT23" s="1280"/>
      <c r="VWU23" s="1280"/>
      <c r="VWV23" s="1280"/>
      <c r="VWW23" s="1280"/>
      <c r="VWX23" s="1280"/>
      <c r="VWY23" s="1280"/>
      <c r="VWZ23" s="1280"/>
      <c r="VXA23" s="1280"/>
      <c r="VXB23" s="1280"/>
      <c r="VXC23" s="1280"/>
      <c r="VXD23" s="1280"/>
      <c r="VXE23" s="1280"/>
      <c r="VXF23" s="1280"/>
      <c r="VXG23" s="1280"/>
      <c r="VXH23" s="1280"/>
      <c r="VXI23" s="1280"/>
      <c r="VXJ23" s="1280"/>
      <c r="VXK23" s="1280"/>
      <c r="VXL23" s="1280"/>
      <c r="VXM23" s="1280"/>
      <c r="VXN23" s="1280"/>
      <c r="VXO23" s="1280"/>
      <c r="VXP23" s="1280"/>
      <c r="VXQ23" s="1280"/>
      <c r="VXR23" s="1280"/>
      <c r="VXS23" s="1280"/>
      <c r="VXT23" s="1280"/>
      <c r="VXU23" s="1280"/>
      <c r="VXV23" s="1280"/>
      <c r="VXW23" s="1280"/>
      <c r="VXX23" s="1280"/>
      <c r="VXY23" s="1280"/>
      <c r="VXZ23" s="1280"/>
      <c r="VYA23" s="1280"/>
      <c r="VYB23" s="1280"/>
      <c r="VYC23" s="1280"/>
      <c r="VYD23" s="1280"/>
      <c r="VYE23" s="1280"/>
      <c r="VYF23" s="1280"/>
      <c r="VYG23" s="1280"/>
      <c r="VYH23" s="1280"/>
      <c r="VYI23" s="1280"/>
      <c r="VYJ23" s="1280"/>
      <c r="VYK23" s="1280"/>
      <c r="VYL23" s="1280"/>
      <c r="VYM23" s="1280"/>
      <c r="VYN23" s="1280"/>
      <c r="VYO23" s="1280"/>
      <c r="VYP23" s="1280"/>
      <c r="VYQ23" s="1280"/>
      <c r="VYR23" s="1280"/>
      <c r="VYS23" s="1280"/>
      <c r="VYT23" s="1280"/>
      <c r="VYU23" s="1280"/>
      <c r="VYV23" s="1280"/>
      <c r="VYW23" s="1280"/>
      <c r="VYX23" s="1280"/>
      <c r="VYY23" s="1280"/>
      <c r="VYZ23" s="1280"/>
      <c r="VZA23" s="1280"/>
      <c r="VZB23" s="1280"/>
      <c r="VZC23" s="1280"/>
      <c r="VZD23" s="1280"/>
      <c r="VZE23" s="1280"/>
      <c r="VZF23" s="1280"/>
      <c r="VZG23" s="1280"/>
      <c r="VZH23" s="1280"/>
      <c r="VZI23" s="1280"/>
      <c r="VZJ23" s="1280"/>
      <c r="VZK23" s="1280"/>
      <c r="VZL23" s="1280"/>
      <c r="VZM23" s="1280"/>
      <c r="VZN23" s="1280"/>
      <c r="VZO23" s="1280"/>
      <c r="VZP23" s="1280"/>
      <c r="VZQ23" s="1280"/>
      <c r="VZR23" s="1280"/>
      <c r="VZS23" s="1280"/>
      <c r="VZT23" s="1280"/>
      <c r="VZU23" s="1280"/>
      <c r="VZV23" s="1280"/>
      <c r="VZW23" s="1280"/>
      <c r="VZX23" s="1280"/>
      <c r="VZY23" s="1280"/>
      <c r="VZZ23" s="1280"/>
      <c r="WAA23" s="1280"/>
      <c r="WAB23" s="1280"/>
      <c r="WAC23" s="1280"/>
      <c r="WAD23" s="1280"/>
      <c r="WAE23" s="1280"/>
      <c r="WAF23" s="1280"/>
      <c r="WAG23" s="1280"/>
      <c r="WAH23" s="1280"/>
      <c r="WAI23" s="1280"/>
      <c r="WAJ23" s="1280"/>
      <c r="WAK23" s="1280"/>
      <c r="WAL23" s="1280"/>
      <c r="WAM23" s="1280"/>
      <c r="WAN23" s="1280"/>
      <c r="WAO23" s="1280"/>
      <c r="WAP23" s="1280"/>
      <c r="WAQ23" s="1280"/>
      <c r="WAR23" s="1280"/>
      <c r="WAS23" s="1280"/>
      <c r="WAT23" s="1280"/>
      <c r="WAU23" s="1280"/>
      <c r="WAV23" s="1280"/>
      <c r="WAW23" s="1280"/>
      <c r="WAX23" s="1280"/>
      <c r="WAY23" s="1280"/>
      <c r="WAZ23" s="1280"/>
      <c r="WBA23" s="1280"/>
      <c r="WBB23" s="1280"/>
      <c r="WBC23" s="1280"/>
      <c r="WBD23" s="1280"/>
      <c r="WBE23" s="1280"/>
      <c r="WBF23" s="1280"/>
      <c r="WBG23" s="1280"/>
      <c r="WBH23" s="1280"/>
      <c r="WBI23" s="1280"/>
      <c r="WBJ23" s="1280"/>
      <c r="WBK23" s="1280"/>
      <c r="WBL23" s="1280"/>
      <c r="WBM23" s="1280"/>
      <c r="WBN23" s="1280"/>
      <c r="WBO23" s="1280"/>
      <c r="WBP23" s="1280"/>
      <c r="WBQ23" s="1280"/>
      <c r="WBR23" s="1280"/>
      <c r="WBS23" s="1280"/>
      <c r="WBT23" s="1280"/>
      <c r="WBU23" s="1280"/>
      <c r="WBV23" s="1280"/>
      <c r="WBW23" s="1280"/>
      <c r="WBX23" s="1280"/>
      <c r="WBY23" s="1280"/>
      <c r="WBZ23" s="1280"/>
      <c r="WCA23" s="1280"/>
      <c r="WCB23" s="1280"/>
      <c r="WCC23" s="1280"/>
      <c r="WCD23" s="1280"/>
      <c r="WCE23" s="1280"/>
      <c r="WCF23" s="1280"/>
      <c r="WCG23" s="1280"/>
      <c r="WCH23" s="1280"/>
      <c r="WCI23" s="1280"/>
      <c r="WCJ23" s="1280"/>
      <c r="WCK23" s="1280"/>
      <c r="WCL23" s="1280"/>
      <c r="WCM23" s="1280"/>
      <c r="WCN23" s="1280"/>
      <c r="WCO23" s="1280"/>
      <c r="WCP23" s="1280"/>
      <c r="WCQ23" s="1280"/>
      <c r="WCR23" s="1280"/>
      <c r="WCS23" s="1280"/>
      <c r="WCT23" s="1280"/>
      <c r="WCU23" s="1280"/>
      <c r="WCV23" s="1280"/>
      <c r="WCW23" s="1280"/>
      <c r="WCX23" s="1280"/>
      <c r="WCY23" s="1280"/>
      <c r="WCZ23" s="1280"/>
      <c r="WDA23" s="1280"/>
      <c r="WDB23" s="1280"/>
      <c r="WDC23" s="1280"/>
      <c r="WDD23" s="1280"/>
      <c r="WDE23" s="1280"/>
      <c r="WDF23" s="1280"/>
      <c r="WDG23" s="1280"/>
      <c r="WDH23" s="1280"/>
      <c r="WDI23" s="1280"/>
      <c r="WDJ23" s="1280"/>
      <c r="WDK23" s="1280"/>
      <c r="WDL23" s="1280"/>
      <c r="WDM23" s="1280"/>
      <c r="WDN23" s="1280"/>
      <c r="WDO23" s="1280"/>
      <c r="WDP23" s="1280"/>
      <c r="WDQ23" s="1280"/>
      <c r="WDR23" s="1280"/>
      <c r="WDS23" s="1280"/>
      <c r="WDT23" s="1280"/>
      <c r="WDU23" s="1280"/>
      <c r="WDV23" s="1280"/>
      <c r="WDW23" s="1280"/>
      <c r="WDX23" s="1280"/>
      <c r="WDY23" s="1280"/>
      <c r="WDZ23" s="1280"/>
      <c r="WEA23" s="1280"/>
      <c r="WEB23" s="1280"/>
      <c r="WEC23" s="1280"/>
      <c r="WED23" s="1280"/>
      <c r="WEE23" s="1280"/>
      <c r="WEF23" s="1280"/>
      <c r="WEG23" s="1280"/>
      <c r="WEH23" s="1280"/>
      <c r="WEI23" s="1280"/>
      <c r="WEJ23" s="1280"/>
      <c r="WEK23" s="1280"/>
      <c r="WEL23" s="1280"/>
      <c r="WEM23" s="1280"/>
      <c r="WEN23" s="1280"/>
      <c r="WEO23" s="1280"/>
      <c r="WEP23" s="1280"/>
      <c r="WEQ23" s="1280"/>
      <c r="WER23" s="1280"/>
      <c r="WES23" s="1280"/>
      <c r="WET23" s="1280"/>
      <c r="WEU23" s="1280"/>
      <c r="WEV23" s="1280"/>
      <c r="WEW23" s="1280"/>
      <c r="WEX23" s="1280"/>
      <c r="WEY23" s="1280"/>
      <c r="WEZ23" s="1280"/>
      <c r="WFA23" s="1280"/>
      <c r="WFB23" s="1280"/>
      <c r="WFC23" s="1280"/>
      <c r="WFD23" s="1280"/>
      <c r="WFE23" s="1280"/>
      <c r="WFF23" s="1280"/>
      <c r="WFG23" s="1280"/>
      <c r="WFH23" s="1280"/>
      <c r="WFI23" s="1280"/>
      <c r="WFJ23" s="1280"/>
      <c r="WFK23" s="1280"/>
      <c r="WFL23" s="1280"/>
      <c r="WFM23" s="1280"/>
      <c r="WFN23" s="1280"/>
      <c r="WFO23" s="1280"/>
      <c r="WFP23" s="1280"/>
      <c r="WFQ23" s="1280"/>
      <c r="WFR23" s="1280"/>
      <c r="WFS23" s="1280"/>
      <c r="WFT23" s="1280"/>
      <c r="WFU23" s="1280"/>
      <c r="WFV23" s="1280"/>
      <c r="WFW23" s="1280"/>
      <c r="WFX23" s="1280"/>
      <c r="WFY23" s="1280"/>
      <c r="WFZ23" s="1280"/>
      <c r="WGA23" s="1280"/>
      <c r="WGB23" s="1280"/>
      <c r="WGC23" s="1280"/>
      <c r="WGD23" s="1280"/>
      <c r="WGE23" s="1280"/>
      <c r="WGF23" s="1280"/>
      <c r="WGG23" s="1280"/>
      <c r="WGH23" s="1280"/>
      <c r="WGI23" s="1280"/>
      <c r="WGJ23" s="1280"/>
      <c r="WGK23" s="1280"/>
      <c r="WGL23" s="1280"/>
      <c r="WGM23" s="1280"/>
      <c r="WGN23" s="1280"/>
      <c r="WGO23" s="1280"/>
      <c r="WGP23" s="1280"/>
      <c r="WGQ23" s="1280"/>
      <c r="WGR23" s="1280"/>
      <c r="WGS23" s="1280"/>
      <c r="WGT23" s="1280"/>
      <c r="WGU23" s="1280"/>
      <c r="WGV23" s="1280"/>
      <c r="WGW23" s="1280"/>
      <c r="WGX23" s="1280"/>
      <c r="WGY23" s="1280"/>
      <c r="WGZ23" s="1280"/>
      <c r="WHA23" s="1280"/>
      <c r="WHB23" s="1280"/>
      <c r="WHC23" s="1280"/>
      <c r="WHD23" s="1280"/>
      <c r="WHE23" s="1280"/>
      <c r="WHF23" s="1280"/>
      <c r="WHG23" s="1280"/>
      <c r="WHH23" s="1280"/>
      <c r="WHI23" s="1280"/>
      <c r="WHJ23" s="1280"/>
      <c r="WHK23" s="1280"/>
      <c r="WHL23" s="1280"/>
      <c r="WHM23" s="1280"/>
      <c r="WHN23" s="1280"/>
      <c r="WHO23" s="1280"/>
      <c r="WHP23" s="1280"/>
      <c r="WHQ23" s="1280"/>
      <c r="WHR23" s="1280"/>
      <c r="WHS23" s="1280"/>
      <c r="WHT23" s="1280"/>
      <c r="WHU23" s="1280"/>
      <c r="WHV23" s="1280"/>
      <c r="WHW23" s="1280"/>
      <c r="WHX23" s="1280"/>
      <c r="WHY23" s="1280"/>
      <c r="WHZ23" s="1280"/>
      <c r="WIA23" s="1280"/>
      <c r="WIB23" s="1280"/>
      <c r="WIC23" s="1280"/>
      <c r="WID23" s="1280"/>
      <c r="WIE23" s="1280"/>
      <c r="WIF23" s="1280"/>
      <c r="WIG23" s="1280"/>
      <c r="WIH23" s="1280"/>
      <c r="WII23" s="1280"/>
      <c r="WIJ23" s="1280"/>
      <c r="WIK23" s="1280"/>
      <c r="WIL23" s="1280"/>
      <c r="WIM23" s="1280"/>
      <c r="WIN23" s="1280"/>
      <c r="WIO23" s="1280"/>
      <c r="WIP23" s="1280"/>
      <c r="WIQ23" s="1280"/>
      <c r="WIR23" s="1280"/>
      <c r="WIS23" s="1280"/>
      <c r="WIT23" s="1280"/>
      <c r="WIU23" s="1280"/>
      <c r="WIV23" s="1280"/>
      <c r="WIW23" s="1280"/>
      <c r="WIX23" s="1280"/>
      <c r="WIY23" s="1280"/>
      <c r="WIZ23" s="1280"/>
      <c r="WJA23" s="1280"/>
      <c r="WJB23" s="1280"/>
      <c r="WJC23" s="1280"/>
      <c r="WJD23" s="1280"/>
      <c r="WJE23" s="1280"/>
      <c r="WJF23" s="1280"/>
      <c r="WJG23" s="1280"/>
      <c r="WJH23" s="1280"/>
      <c r="WJI23" s="1280"/>
      <c r="WJJ23" s="1280"/>
      <c r="WJK23" s="1280"/>
      <c r="WJL23" s="1280"/>
      <c r="WJM23" s="1280"/>
      <c r="WJN23" s="1280"/>
      <c r="WJO23" s="1280"/>
      <c r="WJP23" s="1280"/>
      <c r="WJQ23" s="1280"/>
      <c r="WJR23" s="1280"/>
      <c r="WJS23" s="1280"/>
      <c r="WJT23" s="1280"/>
      <c r="WJU23" s="1280"/>
      <c r="WJV23" s="1280"/>
      <c r="WJW23" s="1280"/>
      <c r="WJX23" s="1280"/>
      <c r="WJY23" s="1280"/>
      <c r="WJZ23" s="1280"/>
      <c r="WKA23" s="1280"/>
      <c r="WKB23" s="1280"/>
      <c r="WKC23" s="1280"/>
      <c r="WKD23" s="1280"/>
      <c r="WKE23" s="1280"/>
      <c r="WKF23" s="1280"/>
      <c r="WKG23" s="1280"/>
      <c r="WKH23" s="1280"/>
      <c r="WKI23" s="1280"/>
      <c r="WKJ23" s="1280"/>
      <c r="WKK23" s="1280"/>
      <c r="WKL23" s="1280"/>
      <c r="WKM23" s="1280"/>
      <c r="WKN23" s="1280"/>
      <c r="WKO23" s="1280"/>
      <c r="WKP23" s="1280"/>
      <c r="WKQ23" s="1280"/>
      <c r="WKR23" s="1280"/>
      <c r="WKS23" s="1280"/>
      <c r="WKT23" s="1280"/>
      <c r="WKU23" s="1280"/>
      <c r="WKV23" s="1280"/>
      <c r="WKW23" s="1280"/>
      <c r="WKX23" s="1280"/>
      <c r="WKY23" s="1280"/>
      <c r="WKZ23" s="1280"/>
      <c r="WLA23" s="1280"/>
      <c r="WLB23" s="1280"/>
      <c r="WLC23" s="1280"/>
      <c r="WLD23" s="1280"/>
      <c r="WLE23" s="1280"/>
      <c r="WLF23" s="1280"/>
      <c r="WLG23" s="1280"/>
      <c r="WLH23" s="1280"/>
      <c r="WLI23" s="1280"/>
      <c r="WLJ23" s="1280"/>
      <c r="WLK23" s="1280"/>
      <c r="WLL23" s="1280"/>
      <c r="WLM23" s="1280"/>
      <c r="WLN23" s="1280"/>
      <c r="WLO23" s="1280"/>
      <c r="WLP23" s="1280"/>
      <c r="WLQ23" s="1280"/>
      <c r="WLR23" s="1280"/>
      <c r="WLS23" s="1280"/>
      <c r="WLT23" s="1280"/>
      <c r="WLU23" s="1280"/>
      <c r="WLV23" s="1280"/>
      <c r="WLW23" s="1280"/>
      <c r="WLX23" s="1280"/>
      <c r="WLY23" s="1280"/>
      <c r="WLZ23" s="1280"/>
      <c r="WMA23" s="1280"/>
      <c r="WMB23" s="1280"/>
      <c r="WMC23" s="1280"/>
      <c r="WMD23" s="1280"/>
      <c r="WME23" s="1280"/>
      <c r="WMF23" s="1280"/>
      <c r="WMG23" s="1280"/>
      <c r="WMH23" s="1280"/>
      <c r="WMI23" s="1280"/>
      <c r="WMJ23" s="1280"/>
      <c r="WMK23" s="1280"/>
      <c r="WML23" s="1280"/>
      <c r="WMM23" s="1280"/>
      <c r="WMN23" s="1280"/>
      <c r="WMO23" s="1280"/>
      <c r="WMP23" s="1280"/>
      <c r="WMQ23" s="1280"/>
      <c r="WMR23" s="1280"/>
      <c r="WMS23" s="1280"/>
      <c r="WMT23" s="1280"/>
      <c r="WMU23" s="1280"/>
      <c r="WMV23" s="1280"/>
      <c r="WMW23" s="1280"/>
      <c r="WMX23" s="1280"/>
      <c r="WMY23" s="1280"/>
      <c r="WMZ23" s="1280"/>
      <c r="WNA23" s="1280"/>
      <c r="WNB23" s="1280"/>
      <c r="WNC23" s="1280"/>
      <c r="WND23" s="1280"/>
      <c r="WNE23" s="1280"/>
      <c r="WNF23" s="1280"/>
      <c r="WNG23" s="1280"/>
      <c r="WNH23" s="1280"/>
      <c r="WNI23" s="1280"/>
      <c r="WNJ23" s="1280"/>
      <c r="WNK23" s="1280"/>
      <c r="WNL23" s="1280"/>
      <c r="WNM23" s="1280"/>
      <c r="WNN23" s="1280"/>
      <c r="WNO23" s="1280"/>
      <c r="WNP23" s="1280"/>
      <c r="WNQ23" s="1280"/>
      <c r="WNR23" s="1280"/>
      <c r="WNS23" s="1280"/>
      <c r="WNT23" s="1280"/>
      <c r="WNU23" s="1280"/>
      <c r="WNV23" s="1280"/>
      <c r="WNW23" s="1280"/>
      <c r="WNX23" s="1280"/>
      <c r="WNY23" s="1280"/>
      <c r="WNZ23" s="1280"/>
      <c r="WOA23" s="1280"/>
      <c r="WOB23" s="1280"/>
      <c r="WOC23" s="1280"/>
      <c r="WOD23" s="1280"/>
      <c r="WOE23" s="1280"/>
      <c r="WOF23" s="1280"/>
      <c r="WOG23" s="1280"/>
      <c r="WOH23" s="1280"/>
      <c r="WOI23" s="1280"/>
      <c r="WOJ23" s="1280"/>
      <c r="WOK23" s="1280"/>
      <c r="WOL23" s="1280"/>
      <c r="WOM23" s="1280"/>
      <c r="WON23" s="1280"/>
      <c r="WOO23" s="1280"/>
      <c r="WOP23" s="1280"/>
      <c r="WOQ23" s="1280"/>
      <c r="WOR23" s="1280"/>
      <c r="WOS23" s="1280"/>
      <c r="WOT23" s="1280"/>
      <c r="WOU23" s="1280"/>
      <c r="WOV23" s="1280"/>
      <c r="WOW23" s="1280"/>
      <c r="WOX23" s="1280"/>
      <c r="WOY23" s="1280"/>
      <c r="WOZ23" s="1280"/>
      <c r="WPA23" s="1280"/>
      <c r="WPB23" s="1280"/>
      <c r="WPC23" s="1280"/>
      <c r="WPD23" s="1280"/>
      <c r="WPE23" s="1280"/>
      <c r="WPF23" s="1280"/>
      <c r="WPG23" s="1280"/>
      <c r="WPH23" s="1280"/>
      <c r="WPI23" s="1280"/>
      <c r="WPJ23" s="1280"/>
      <c r="WPK23" s="1280"/>
      <c r="WPL23" s="1280"/>
      <c r="WPM23" s="1280"/>
      <c r="WPN23" s="1280"/>
      <c r="WPO23" s="1280"/>
      <c r="WPP23" s="1280"/>
      <c r="WPQ23" s="1280"/>
      <c r="WPR23" s="1280"/>
      <c r="WPS23" s="1280"/>
      <c r="WPT23" s="1280"/>
      <c r="WPU23" s="1280"/>
      <c r="WPV23" s="1280"/>
      <c r="WPW23" s="1280"/>
      <c r="WPX23" s="1280"/>
      <c r="WPY23" s="1280"/>
      <c r="WPZ23" s="1280"/>
      <c r="WQA23" s="1280"/>
      <c r="WQB23" s="1280"/>
      <c r="WQC23" s="1280"/>
      <c r="WQD23" s="1280"/>
      <c r="WQE23" s="1280"/>
      <c r="WQF23" s="1280"/>
      <c r="WQG23" s="1280"/>
      <c r="WQH23" s="1280"/>
      <c r="WQI23" s="1280"/>
      <c r="WQJ23" s="1280"/>
      <c r="WQK23" s="1280"/>
      <c r="WQL23" s="1280"/>
      <c r="WQM23" s="1280"/>
      <c r="WQN23" s="1280"/>
      <c r="WQO23" s="1280"/>
      <c r="WQP23" s="1280"/>
      <c r="WQQ23" s="1280"/>
      <c r="WQR23" s="1280"/>
      <c r="WQS23" s="1280"/>
      <c r="WQT23" s="1280"/>
      <c r="WQU23" s="1280"/>
      <c r="WQV23" s="1280"/>
      <c r="WQW23" s="1280"/>
      <c r="WQX23" s="1280"/>
      <c r="WQY23" s="1280"/>
      <c r="WQZ23" s="1280"/>
      <c r="WRA23" s="1280"/>
      <c r="WRB23" s="1280"/>
      <c r="WRC23" s="1280"/>
      <c r="WRD23" s="1280"/>
      <c r="WRE23" s="1280"/>
      <c r="WRF23" s="1280"/>
      <c r="WRG23" s="1280"/>
      <c r="WRH23" s="1280"/>
      <c r="WRI23" s="1280"/>
      <c r="WRJ23" s="1280"/>
      <c r="WRK23" s="1280"/>
      <c r="WRL23" s="1280"/>
      <c r="WRM23" s="1280"/>
      <c r="WRN23" s="1280"/>
      <c r="WRO23" s="1280"/>
      <c r="WRP23" s="1280"/>
      <c r="WRQ23" s="1280"/>
      <c r="WRR23" s="1280"/>
      <c r="WRS23" s="1280"/>
      <c r="WRT23" s="1280"/>
      <c r="WRU23" s="1280"/>
      <c r="WRV23" s="1280"/>
      <c r="WRW23" s="1280"/>
      <c r="WRX23" s="1280"/>
      <c r="WRY23" s="1280"/>
      <c r="WRZ23" s="1280"/>
      <c r="WSA23" s="1280"/>
      <c r="WSB23" s="1280"/>
      <c r="WSC23" s="1280"/>
      <c r="WSD23" s="1280"/>
      <c r="WSE23" s="1280"/>
      <c r="WSF23" s="1280"/>
      <c r="WSG23" s="1280"/>
      <c r="WSH23" s="1280"/>
      <c r="WSI23" s="1280"/>
      <c r="WSJ23" s="1280"/>
      <c r="WSK23" s="1280"/>
      <c r="WSL23" s="1280"/>
      <c r="WSM23" s="1280"/>
      <c r="WSN23" s="1280"/>
      <c r="WSO23" s="1280"/>
      <c r="WSP23" s="1280"/>
      <c r="WSQ23" s="1280"/>
      <c r="WSR23" s="1280"/>
      <c r="WSS23" s="1280"/>
      <c r="WST23" s="1280"/>
      <c r="WSU23" s="1280"/>
      <c r="WSV23" s="1280"/>
      <c r="WSW23" s="1280"/>
      <c r="WSX23" s="1280"/>
      <c r="WSY23" s="1280"/>
      <c r="WSZ23" s="1280"/>
      <c r="WTA23" s="1280"/>
      <c r="WTB23" s="1280"/>
      <c r="WTC23" s="1280"/>
      <c r="WTD23" s="1280"/>
      <c r="WTE23" s="1280"/>
      <c r="WTF23" s="1280"/>
      <c r="WTG23" s="1280"/>
      <c r="WTH23" s="1280"/>
      <c r="WTI23" s="1280"/>
      <c r="WTJ23" s="1280"/>
      <c r="WTK23" s="1280"/>
      <c r="WTL23" s="1280"/>
      <c r="WTM23" s="1280"/>
      <c r="WTN23" s="1280"/>
      <c r="WTO23" s="1280"/>
      <c r="WTP23" s="1280"/>
      <c r="WTQ23" s="1280"/>
      <c r="WTR23" s="1280"/>
      <c r="WTS23" s="1280"/>
      <c r="WTT23" s="1280"/>
      <c r="WTU23" s="1280"/>
      <c r="WTV23" s="1280"/>
      <c r="WTW23" s="1280"/>
      <c r="WTX23" s="1280"/>
      <c r="WTY23" s="1280"/>
      <c r="WTZ23" s="1280"/>
      <c r="WUA23" s="1280"/>
      <c r="WUB23" s="1280"/>
      <c r="WUC23" s="1280"/>
      <c r="WUD23" s="1280"/>
      <c r="WUE23" s="1280"/>
      <c r="WUF23" s="1280"/>
      <c r="WUG23" s="1280"/>
      <c r="WUH23" s="1280"/>
      <c r="WUI23" s="1280"/>
      <c r="WUJ23" s="1280"/>
      <c r="WUK23" s="1280"/>
      <c r="WUL23" s="1280"/>
      <c r="WUM23" s="1280"/>
      <c r="WUN23" s="1280"/>
      <c r="WUO23" s="1280"/>
      <c r="WUP23" s="1280"/>
      <c r="WUQ23" s="1280"/>
      <c r="WUR23" s="1280"/>
      <c r="WUS23" s="1280"/>
      <c r="WUT23" s="1280"/>
      <c r="WUU23" s="1280"/>
      <c r="WUV23" s="1280"/>
      <c r="WUW23" s="1280"/>
      <c r="WUX23" s="1280"/>
      <c r="WUY23" s="1280"/>
      <c r="WUZ23" s="1280"/>
      <c r="WVA23" s="1280"/>
      <c r="WVB23" s="1280"/>
      <c r="WVC23" s="1280"/>
      <c r="WVD23" s="1280"/>
      <c r="WVE23" s="1280"/>
      <c r="WVF23" s="1280"/>
      <c r="WVG23" s="1280"/>
      <c r="WVH23" s="1280"/>
      <c r="WVI23" s="1280"/>
      <c r="WVJ23" s="1280"/>
      <c r="WVK23" s="1280"/>
      <c r="WVL23" s="1280"/>
      <c r="WVM23" s="1280"/>
      <c r="WVN23" s="1280"/>
      <c r="WVO23" s="1280"/>
      <c r="WVP23" s="1280"/>
      <c r="WVQ23" s="1280"/>
      <c r="WVR23" s="1280"/>
      <c r="WVS23" s="1280"/>
      <c r="WVT23" s="1280"/>
      <c r="WVU23" s="1280"/>
      <c r="WVV23" s="1280"/>
      <c r="WVW23" s="1280"/>
      <c r="WVX23" s="1280"/>
      <c r="WVY23" s="1280"/>
      <c r="WVZ23" s="1280"/>
      <c r="WWA23" s="1280"/>
      <c r="WWB23" s="1280"/>
      <c r="WWC23" s="1280"/>
      <c r="WWD23" s="1280"/>
      <c r="WWE23" s="1280"/>
      <c r="WWF23" s="1280"/>
      <c r="WWG23" s="1280"/>
      <c r="WWH23" s="1280"/>
      <c r="WWI23" s="1280"/>
      <c r="WWJ23" s="1280"/>
      <c r="WWK23" s="1280"/>
      <c r="WWL23" s="1280"/>
      <c r="WWM23" s="1280"/>
      <c r="WWN23" s="1280"/>
      <c r="WWO23" s="1280"/>
      <c r="WWP23" s="1280"/>
      <c r="WWQ23" s="1280"/>
      <c r="WWR23" s="1280"/>
      <c r="WWS23" s="1280"/>
      <c r="WWT23" s="1280"/>
      <c r="WWU23" s="1280"/>
      <c r="WWV23" s="1280"/>
      <c r="WWW23" s="1280"/>
      <c r="WWX23" s="1280"/>
      <c r="WWY23" s="1280"/>
      <c r="WWZ23" s="1280"/>
      <c r="WXA23" s="1280"/>
      <c r="WXB23" s="1280"/>
      <c r="WXC23" s="1280"/>
      <c r="WXD23" s="1280"/>
      <c r="WXE23" s="1280"/>
      <c r="WXF23" s="1280"/>
      <c r="WXG23" s="1280"/>
      <c r="WXH23" s="1280"/>
      <c r="WXI23" s="1280"/>
      <c r="WXJ23" s="1280"/>
      <c r="WXK23" s="1280"/>
      <c r="WXL23" s="1280"/>
      <c r="WXM23" s="1280"/>
      <c r="WXN23" s="1280"/>
      <c r="WXO23" s="1280"/>
      <c r="WXP23" s="1280"/>
      <c r="WXQ23" s="1280"/>
      <c r="WXR23" s="1280"/>
      <c r="WXS23" s="1280"/>
      <c r="WXT23" s="1280"/>
      <c r="WXU23" s="1280"/>
      <c r="WXV23" s="1280"/>
      <c r="WXW23" s="1280"/>
      <c r="WXX23" s="1280"/>
      <c r="WXY23" s="1280"/>
      <c r="WXZ23" s="1280"/>
      <c r="WYA23" s="1280"/>
      <c r="WYB23" s="1280"/>
      <c r="WYC23" s="1280"/>
      <c r="WYD23" s="1280"/>
      <c r="WYE23" s="1280"/>
      <c r="WYF23" s="1280"/>
      <c r="WYG23" s="1280"/>
      <c r="WYH23" s="1280"/>
      <c r="WYI23" s="1280"/>
      <c r="WYJ23" s="1280"/>
      <c r="WYK23" s="1280"/>
      <c r="WYL23" s="1280"/>
      <c r="WYM23" s="1280"/>
      <c r="WYN23" s="1280"/>
      <c r="WYO23" s="1280"/>
      <c r="WYP23" s="1280"/>
      <c r="WYQ23" s="1280"/>
      <c r="WYR23" s="1280"/>
      <c r="WYS23" s="1280"/>
      <c r="WYT23" s="1280"/>
      <c r="WYU23" s="1280"/>
      <c r="WYV23" s="1280"/>
      <c r="WYW23" s="1280"/>
      <c r="WYX23" s="1280"/>
      <c r="WYY23" s="1280"/>
      <c r="WYZ23" s="1280"/>
      <c r="WZA23" s="1280"/>
      <c r="WZB23" s="1280"/>
      <c r="WZC23" s="1280"/>
      <c r="WZD23" s="1280"/>
      <c r="WZE23" s="1280"/>
      <c r="WZF23" s="1280"/>
      <c r="WZG23" s="1280"/>
      <c r="WZH23" s="1280"/>
      <c r="WZI23" s="1280"/>
      <c r="WZJ23" s="1280"/>
      <c r="WZK23" s="1280"/>
      <c r="WZL23" s="1280"/>
      <c r="WZM23" s="1280"/>
      <c r="WZN23" s="1280"/>
      <c r="WZO23" s="1280"/>
      <c r="WZP23" s="1280"/>
      <c r="WZQ23" s="1280"/>
      <c r="WZR23" s="1280"/>
      <c r="WZS23" s="1280"/>
      <c r="WZT23" s="1280"/>
      <c r="WZU23" s="1280"/>
      <c r="WZV23" s="1280"/>
      <c r="WZW23" s="1280"/>
      <c r="WZX23" s="1280"/>
      <c r="WZY23" s="1280"/>
      <c r="WZZ23" s="1280"/>
      <c r="XAA23" s="1280"/>
      <c r="XAB23" s="1280"/>
      <c r="XAC23" s="1280"/>
      <c r="XAD23" s="1280"/>
      <c r="XAE23" s="1280"/>
      <c r="XAF23" s="1280"/>
      <c r="XAG23" s="1280"/>
      <c r="XAH23" s="1280"/>
      <c r="XAI23" s="1280"/>
      <c r="XAJ23" s="1280"/>
      <c r="XAK23" s="1280"/>
      <c r="XAL23" s="1280"/>
      <c r="XAM23" s="1280"/>
      <c r="XAN23" s="1280"/>
      <c r="XAO23" s="1280"/>
      <c r="XAP23" s="1280"/>
      <c r="XAQ23" s="1280"/>
      <c r="XAR23" s="1280"/>
      <c r="XAS23" s="1280"/>
      <c r="XAT23" s="1280"/>
      <c r="XAU23" s="1280"/>
      <c r="XAV23" s="1280"/>
      <c r="XAW23" s="1280"/>
      <c r="XAX23" s="1280"/>
      <c r="XAY23" s="1280"/>
      <c r="XAZ23" s="1280"/>
      <c r="XBA23" s="1280"/>
      <c r="XBB23" s="1280"/>
      <c r="XBC23" s="1280"/>
      <c r="XBD23" s="1280"/>
      <c r="XBE23" s="1280"/>
      <c r="XBF23" s="1280"/>
      <c r="XBG23" s="1280"/>
      <c r="XBH23" s="1280"/>
      <c r="XBI23" s="1280"/>
      <c r="XBJ23" s="1280"/>
      <c r="XBK23" s="1280"/>
      <c r="XBL23" s="1280"/>
      <c r="XBM23" s="1280"/>
      <c r="XBN23" s="1280"/>
      <c r="XBO23" s="1280"/>
      <c r="XBP23" s="1280"/>
      <c r="XBQ23" s="1280"/>
      <c r="XBR23" s="1280"/>
      <c r="XBS23" s="1280"/>
      <c r="XBT23" s="1280"/>
      <c r="XBU23" s="1280"/>
      <c r="XBV23" s="1280"/>
      <c r="XBW23" s="1280"/>
      <c r="XBX23" s="1280"/>
      <c r="XBY23" s="1280"/>
      <c r="XBZ23" s="1280"/>
      <c r="XCA23" s="1280"/>
      <c r="XCB23" s="1280"/>
      <c r="XCC23" s="1280"/>
      <c r="XCD23" s="1280"/>
      <c r="XCE23" s="1280"/>
      <c r="XCF23" s="1280"/>
      <c r="XCG23" s="1280"/>
      <c r="XCH23" s="1280"/>
      <c r="XCI23" s="1280"/>
      <c r="XCJ23" s="1280"/>
      <c r="XCK23" s="1280"/>
      <c r="XCL23" s="1280"/>
      <c r="XCM23" s="1280"/>
      <c r="XCN23" s="1280"/>
      <c r="XCO23" s="1280"/>
      <c r="XCP23" s="1280"/>
      <c r="XCQ23" s="1280"/>
      <c r="XCR23" s="1280"/>
      <c r="XCS23" s="1280"/>
      <c r="XCT23" s="1280"/>
      <c r="XCU23" s="1280"/>
      <c r="XCV23" s="1280"/>
      <c r="XCW23" s="1280"/>
      <c r="XCX23" s="1280"/>
      <c r="XCY23" s="1280"/>
      <c r="XCZ23" s="1280"/>
      <c r="XDA23" s="1280"/>
      <c r="XDB23" s="1280"/>
      <c r="XDC23" s="1280"/>
      <c r="XDD23" s="1280"/>
      <c r="XDE23" s="1280"/>
      <c r="XDF23" s="1280"/>
      <c r="XDG23" s="1280"/>
      <c r="XDH23" s="1280"/>
      <c r="XDI23" s="1280"/>
      <c r="XDJ23" s="1280"/>
      <c r="XDK23" s="1280"/>
      <c r="XDL23" s="1280"/>
      <c r="XDM23" s="1280"/>
      <c r="XDN23" s="1280"/>
      <c r="XDO23" s="1280"/>
      <c r="XDP23" s="1280"/>
      <c r="XDQ23" s="1280"/>
      <c r="XDR23" s="1280"/>
      <c r="XDS23" s="1280"/>
      <c r="XDT23" s="1280"/>
      <c r="XDU23" s="1280"/>
      <c r="XDV23" s="1280"/>
      <c r="XDW23" s="1280"/>
      <c r="XDX23" s="1280"/>
      <c r="XDY23" s="1280"/>
      <c r="XDZ23" s="1280"/>
      <c r="XEA23" s="1280"/>
      <c r="XEB23" s="1280"/>
      <c r="XEC23" s="1280"/>
      <c r="XED23" s="1280"/>
      <c r="XEE23" s="1280"/>
      <c r="XEF23" s="1280"/>
      <c r="XEG23" s="1280"/>
      <c r="XEH23" s="1280"/>
      <c r="XEI23" s="1280"/>
      <c r="XEJ23" s="1280"/>
      <c r="XEK23" s="1280"/>
      <c r="XEL23" s="1280"/>
      <c r="XEM23" s="1280"/>
      <c r="XEN23" s="1280"/>
      <c r="XEO23" s="1280"/>
      <c r="XEP23" s="1280"/>
      <c r="XEQ23" s="1280"/>
      <c r="XER23" s="1280"/>
      <c r="XES23" s="1280"/>
      <c r="XET23" s="1280"/>
      <c r="XEU23" s="1280"/>
      <c r="XEV23" s="1280"/>
      <c r="XEW23" s="1280"/>
      <c r="XEX23" s="1280"/>
      <c r="XEY23" s="1280"/>
      <c r="XEZ23" s="1280"/>
      <c r="XFA23" s="1280"/>
      <c r="XFB23" s="1280"/>
      <c r="XFC23" s="1280"/>
    </row>
    <row r="24" spans="1:16383" s="857" customFormat="1" ht="42.75" customHeight="1" x14ac:dyDescent="0.2">
      <c r="A24" s="857" t="s">
        <v>4895</v>
      </c>
      <c r="B24" s="1280" t="e">
        <v>#N/A</v>
      </c>
      <c r="C24" s="1280"/>
      <c r="D24" s="1280"/>
      <c r="E24" s="1281"/>
      <c r="F24" s="1287" t="s">
        <v>5201</v>
      </c>
      <c r="G24" s="1282"/>
      <c r="H24" s="1283" t="s">
        <v>2494</v>
      </c>
      <c r="I24" s="1284"/>
      <c r="J24" s="1288" t="s">
        <v>519</v>
      </c>
      <c r="K24" s="1289">
        <v>1500</v>
      </c>
      <c r="L24" s="1289"/>
      <c r="M24" s="1289">
        <v>1500</v>
      </c>
      <c r="N24" s="1288" t="s">
        <v>5205</v>
      </c>
      <c r="O24" s="1283">
        <v>2008</v>
      </c>
      <c r="P24" s="1285"/>
      <c r="Q24" s="1288" t="s">
        <v>5084</v>
      </c>
      <c r="R24" s="1285"/>
      <c r="S24" s="1288" t="s">
        <v>5085</v>
      </c>
      <c r="T24" s="1286">
        <v>958571374.036551</v>
      </c>
      <c r="U24" s="1289" t="s">
        <v>43</v>
      </c>
      <c r="V24" s="1288" t="s">
        <v>5098</v>
      </c>
      <c r="W24" s="968"/>
      <c r="X24" s="884" t="str">
        <f t="shared" si="4"/>
        <v>04.13.01</v>
      </c>
      <c r="Y24" s="884" t="str">
        <f t="shared" si="1"/>
        <v>Jalan</v>
      </c>
      <c r="Z24" s="884">
        <f t="shared" si="2"/>
        <v>10</v>
      </c>
      <c r="AA24" s="868">
        <f t="shared" si="5"/>
        <v>95857137.403655097</v>
      </c>
      <c r="AB24" s="885">
        <f t="shared" si="6"/>
        <v>6</v>
      </c>
      <c r="AC24" s="868">
        <f t="shared" si="7"/>
        <v>575142824.42193055</v>
      </c>
      <c r="AD24" s="868">
        <f t="shared" si="8"/>
        <v>95857137.403655097</v>
      </c>
      <c r="AE24" s="868">
        <f t="shared" si="9"/>
        <v>95857137.403655097</v>
      </c>
      <c r="AF24" s="868">
        <f t="shared" si="10"/>
        <v>95857137.403655097</v>
      </c>
      <c r="AG24" s="868">
        <f t="shared" si="11"/>
        <v>95857137.403655097</v>
      </c>
      <c r="AH24" s="886">
        <f t="shared" si="12"/>
        <v>0</v>
      </c>
      <c r="AI24" s="886">
        <f t="shared" si="13"/>
        <v>958571374.03655076</v>
      </c>
      <c r="AJ24" s="868">
        <f t="shared" si="14"/>
        <v>0</v>
      </c>
      <c r="AK24" s="898">
        <f t="shared" si="3"/>
        <v>958571374.03655076</v>
      </c>
      <c r="AL24" s="1280"/>
      <c r="AM24" s="1280"/>
      <c r="AN24" s="1280"/>
      <c r="AO24" s="1280"/>
      <c r="AP24" s="1280"/>
      <c r="AQ24" s="1280"/>
      <c r="AR24" s="1280"/>
      <c r="AS24" s="1280"/>
      <c r="AT24" s="1280"/>
      <c r="AU24" s="1280"/>
      <c r="AV24" s="1280"/>
      <c r="AW24" s="1280"/>
      <c r="AX24" s="1280"/>
      <c r="AY24" s="1280"/>
      <c r="AZ24" s="1280"/>
      <c r="BA24" s="1280"/>
      <c r="BB24" s="1280"/>
      <c r="BC24" s="1280"/>
      <c r="BD24" s="1280"/>
      <c r="BE24" s="1280"/>
      <c r="BF24" s="1280"/>
      <c r="BG24" s="1280"/>
      <c r="BH24" s="1280"/>
      <c r="BI24" s="1280"/>
      <c r="BJ24" s="1280"/>
      <c r="BK24" s="1280"/>
      <c r="BL24" s="1280"/>
      <c r="BM24" s="1280"/>
      <c r="BN24" s="1280"/>
      <c r="BO24" s="1280"/>
      <c r="BP24" s="1280"/>
      <c r="BQ24" s="1280"/>
      <c r="BR24" s="1280"/>
      <c r="BS24" s="1280"/>
      <c r="BT24" s="1280"/>
      <c r="BU24" s="1280"/>
      <c r="BV24" s="1280"/>
      <c r="BW24" s="1280"/>
      <c r="BX24" s="1280"/>
      <c r="BY24" s="1280"/>
      <c r="BZ24" s="1280"/>
      <c r="CA24" s="1280"/>
      <c r="CB24" s="1280"/>
      <c r="CC24" s="1280"/>
      <c r="CD24" s="1280"/>
      <c r="CE24" s="1280"/>
      <c r="CF24" s="1280"/>
      <c r="CG24" s="1280"/>
      <c r="CH24" s="1280"/>
      <c r="CI24" s="1280"/>
      <c r="CJ24" s="1280"/>
      <c r="CK24" s="1280"/>
      <c r="CL24" s="1280"/>
      <c r="CM24" s="1280"/>
      <c r="CN24" s="1280"/>
      <c r="CO24" s="1280"/>
      <c r="CP24" s="1280"/>
      <c r="CQ24" s="1280"/>
      <c r="CR24" s="1280"/>
      <c r="CS24" s="1280"/>
      <c r="CT24" s="1280"/>
      <c r="CU24" s="1280"/>
      <c r="CV24" s="1280"/>
      <c r="CW24" s="1280"/>
      <c r="CX24" s="1280"/>
      <c r="CY24" s="1280"/>
      <c r="CZ24" s="1280"/>
      <c r="DA24" s="1280"/>
      <c r="DB24" s="1280"/>
      <c r="DC24" s="1280"/>
      <c r="DD24" s="1280"/>
      <c r="DE24" s="1280"/>
      <c r="DF24" s="1280"/>
      <c r="DG24" s="1280"/>
      <c r="DH24" s="1280"/>
      <c r="DI24" s="1280"/>
      <c r="DJ24" s="1280"/>
      <c r="DK24" s="1280"/>
      <c r="DL24" s="1280"/>
      <c r="DM24" s="1280"/>
      <c r="DN24" s="1280"/>
      <c r="DO24" s="1280"/>
      <c r="DP24" s="1280"/>
      <c r="DQ24" s="1280"/>
      <c r="DR24" s="1280"/>
      <c r="DS24" s="1280"/>
      <c r="DT24" s="1280"/>
      <c r="DU24" s="1280"/>
      <c r="DV24" s="1280"/>
      <c r="DW24" s="1280"/>
      <c r="DX24" s="1280"/>
      <c r="DY24" s="1280"/>
      <c r="DZ24" s="1280"/>
      <c r="EA24" s="1280"/>
      <c r="EB24" s="1280"/>
      <c r="EC24" s="1280"/>
      <c r="ED24" s="1280"/>
      <c r="EE24" s="1280"/>
      <c r="EF24" s="1280"/>
      <c r="EG24" s="1280"/>
      <c r="EH24" s="1280"/>
      <c r="EI24" s="1280"/>
      <c r="EJ24" s="1280"/>
      <c r="EK24" s="1280"/>
      <c r="EL24" s="1280"/>
      <c r="EM24" s="1280"/>
      <c r="EN24" s="1280"/>
      <c r="EO24" s="1280"/>
      <c r="EP24" s="1280"/>
      <c r="EQ24" s="1280"/>
      <c r="ER24" s="1280"/>
      <c r="ES24" s="1280"/>
      <c r="ET24" s="1280"/>
      <c r="EU24" s="1280"/>
      <c r="EV24" s="1280"/>
      <c r="EW24" s="1280"/>
      <c r="EX24" s="1280"/>
      <c r="EY24" s="1280"/>
      <c r="EZ24" s="1280"/>
      <c r="FA24" s="1280"/>
      <c r="FB24" s="1280"/>
      <c r="FC24" s="1280"/>
      <c r="FD24" s="1280"/>
      <c r="FE24" s="1280"/>
      <c r="FF24" s="1280"/>
      <c r="FG24" s="1280"/>
      <c r="FH24" s="1280"/>
      <c r="FI24" s="1280"/>
      <c r="FJ24" s="1280"/>
      <c r="FK24" s="1280"/>
      <c r="FL24" s="1280"/>
      <c r="FM24" s="1280"/>
      <c r="FN24" s="1280"/>
      <c r="FO24" s="1280"/>
      <c r="FP24" s="1280"/>
      <c r="FQ24" s="1280"/>
      <c r="FR24" s="1280"/>
      <c r="FS24" s="1280"/>
      <c r="FT24" s="1280"/>
      <c r="FU24" s="1280"/>
      <c r="FV24" s="1280"/>
      <c r="FW24" s="1280"/>
      <c r="FX24" s="1280"/>
      <c r="FY24" s="1280"/>
      <c r="FZ24" s="1280"/>
      <c r="GA24" s="1280"/>
      <c r="GB24" s="1280"/>
      <c r="GC24" s="1280"/>
      <c r="GD24" s="1280"/>
      <c r="GE24" s="1280"/>
      <c r="GF24" s="1280"/>
      <c r="GG24" s="1280"/>
      <c r="GH24" s="1280"/>
      <c r="GI24" s="1280"/>
      <c r="GJ24" s="1280"/>
      <c r="GK24" s="1280"/>
      <c r="GL24" s="1280"/>
      <c r="GM24" s="1280"/>
      <c r="GN24" s="1280"/>
      <c r="GO24" s="1280"/>
      <c r="GP24" s="1280"/>
      <c r="GQ24" s="1280"/>
      <c r="GR24" s="1280"/>
      <c r="GS24" s="1280"/>
      <c r="GT24" s="1280"/>
      <c r="GU24" s="1280"/>
      <c r="GV24" s="1280"/>
      <c r="GW24" s="1280"/>
      <c r="GX24" s="1280"/>
      <c r="GY24" s="1280"/>
      <c r="GZ24" s="1280"/>
      <c r="HA24" s="1280"/>
      <c r="HB24" s="1280"/>
      <c r="HC24" s="1280"/>
      <c r="HD24" s="1280"/>
      <c r="HE24" s="1280"/>
      <c r="HF24" s="1280"/>
      <c r="HG24" s="1280"/>
      <c r="HH24" s="1280"/>
      <c r="HI24" s="1280"/>
      <c r="HJ24" s="1280"/>
      <c r="HK24" s="1280"/>
      <c r="HL24" s="1280"/>
      <c r="HM24" s="1280"/>
      <c r="HN24" s="1280"/>
      <c r="HO24" s="1280"/>
      <c r="HP24" s="1280"/>
      <c r="HQ24" s="1280"/>
      <c r="HR24" s="1280"/>
      <c r="HS24" s="1280"/>
      <c r="HT24" s="1280"/>
      <c r="HU24" s="1280"/>
      <c r="HV24" s="1280"/>
      <c r="HW24" s="1280"/>
      <c r="HX24" s="1280"/>
      <c r="HY24" s="1280"/>
      <c r="HZ24" s="1280"/>
      <c r="IA24" s="1280"/>
      <c r="IB24" s="1280"/>
      <c r="IC24" s="1280"/>
      <c r="ID24" s="1280"/>
      <c r="IE24" s="1280"/>
      <c r="IF24" s="1280"/>
      <c r="IG24" s="1280"/>
      <c r="IH24" s="1280"/>
      <c r="II24" s="1280"/>
      <c r="IJ24" s="1280"/>
      <c r="IK24" s="1280"/>
      <c r="IL24" s="1280"/>
      <c r="IM24" s="1280"/>
      <c r="IN24" s="1280"/>
      <c r="IO24" s="1280"/>
      <c r="IP24" s="1280"/>
      <c r="IQ24" s="1280"/>
      <c r="IR24" s="1280"/>
      <c r="IS24" s="1280"/>
      <c r="IT24" s="1280"/>
      <c r="IU24" s="1280"/>
      <c r="IV24" s="1280"/>
      <c r="IW24" s="1280"/>
      <c r="IX24" s="1280"/>
      <c r="IY24" s="1280"/>
      <c r="IZ24" s="1280"/>
      <c r="JA24" s="1280"/>
      <c r="JB24" s="1280"/>
      <c r="JC24" s="1280"/>
      <c r="JD24" s="1280"/>
      <c r="JE24" s="1280"/>
      <c r="JF24" s="1280"/>
      <c r="JG24" s="1280"/>
      <c r="JH24" s="1280"/>
      <c r="JI24" s="1280"/>
      <c r="JJ24" s="1280"/>
      <c r="JK24" s="1280"/>
      <c r="JL24" s="1280"/>
      <c r="JM24" s="1280"/>
      <c r="JN24" s="1280"/>
      <c r="JO24" s="1280"/>
      <c r="JP24" s="1280"/>
      <c r="JQ24" s="1280"/>
      <c r="JR24" s="1280"/>
      <c r="JS24" s="1280"/>
      <c r="JT24" s="1280"/>
      <c r="JU24" s="1280"/>
      <c r="JV24" s="1280"/>
      <c r="JW24" s="1280"/>
      <c r="JX24" s="1280"/>
      <c r="JY24" s="1280"/>
      <c r="JZ24" s="1280"/>
      <c r="KA24" s="1280"/>
      <c r="KB24" s="1280"/>
      <c r="KC24" s="1280"/>
      <c r="KD24" s="1280"/>
      <c r="KE24" s="1280"/>
      <c r="KF24" s="1280"/>
      <c r="KG24" s="1280"/>
      <c r="KH24" s="1280"/>
      <c r="KI24" s="1280"/>
      <c r="KJ24" s="1280"/>
      <c r="KK24" s="1280"/>
      <c r="KL24" s="1280"/>
      <c r="KM24" s="1280"/>
      <c r="KN24" s="1280"/>
      <c r="KO24" s="1280"/>
      <c r="KP24" s="1280"/>
      <c r="KQ24" s="1280"/>
      <c r="KR24" s="1280"/>
      <c r="KS24" s="1280"/>
      <c r="KT24" s="1280"/>
      <c r="KU24" s="1280"/>
      <c r="KV24" s="1280"/>
      <c r="KW24" s="1280"/>
      <c r="KX24" s="1280"/>
      <c r="KY24" s="1280"/>
      <c r="KZ24" s="1280"/>
      <c r="LA24" s="1280"/>
      <c r="LB24" s="1280"/>
      <c r="LC24" s="1280"/>
      <c r="LD24" s="1280"/>
      <c r="LE24" s="1280"/>
      <c r="LF24" s="1280"/>
      <c r="LG24" s="1280"/>
      <c r="LH24" s="1280"/>
      <c r="LI24" s="1280"/>
      <c r="LJ24" s="1280"/>
      <c r="LK24" s="1280"/>
      <c r="LL24" s="1280"/>
      <c r="LM24" s="1280"/>
      <c r="LN24" s="1280"/>
      <c r="LO24" s="1280"/>
      <c r="LP24" s="1280"/>
      <c r="LQ24" s="1280"/>
      <c r="LR24" s="1280"/>
      <c r="LS24" s="1280"/>
      <c r="LT24" s="1280"/>
      <c r="LU24" s="1280"/>
      <c r="LV24" s="1280"/>
      <c r="LW24" s="1280"/>
      <c r="LX24" s="1280"/>
      <c r="LY24" s="1280"/>
      <c r="LZ24" s="1280"/>
      <c r="MA24" s="1280"/>
      <c r="MB24" s="1280"/>
      <c r="MC24" s="1280"/>
      <c r="MD24" s="1280"/>
      <c r="ME24" s="1280"/>
      <c r="MF24" s="1280"/>
      <c r="MG24" s="1280"/>
      <c r="MH24" s="1280"/>
      <c r="MI24" s="1280"/>
      <c r="MJ24" s="1280"/>
      <c r="MK24" s="1280"/>
      <c r="ML24" s="1280"/>
      <c r="MM24" s="1280"/>
      <c r="MN24" s="1280"/>
      <c r="MO24" s="1280"/>
      <c r="MP24" s="1280"/>
      <c r="MQ24" s="1280"/>
      <c r="MR24" s="1280"/>
      <c r="MS24" s="1280"/>
      <c r="MT24" s="1280"/>
      <c r="MU24" s="1280"/>
      <c r="MV24" s="1280"/>
      <c r="MW24" s="1280"/>
      <c r="MX24" s="1280"/>
      <c r="MY24" s="1280"/>
      <c r="MZ24" s="1280"/>
      <c r="NA24" s="1280"/>
      <c r="NB24" s="1280"/>
      <c r="NC24" s="1280"/>
      <c r="ND24" s="1280"/>
      <c r="NE24" s="1280"/>
      <c r="NF24" s="1280"/>
      <c r="NG24" s="1280"/>
      <c r="NH24" s="1280"/>
      <c r="NI24" s="1280"/>
      <c r="NJ24" s="1280"/>
      <c r="NK24" s="1280"/>
      <c r="NL24" s="1280"/>
      <c r="NM24" s="1280"/>
      <c r="NN24" s="1280"/>
      <c r="NO24" s="1280"/>
      <c r="NP24" s="1280"/>
      <c r="NQ24" s="1280"/>
      <c r="NR24" s="1280"/>
      <c r="NS24" s="1280"/>
      <c r="NT24" s="1280"/>
      <c r="NU24" s="1280"/>
      <c r="NV24" s="1280"/>
      <c r="NW24" s="1280"/>
      <c r="NX24" s="1280"/>
      <c r="NY24" s="1280"/>
      <c r="NZ24" s="1280"/>
      <c r="OA24" s="1280"/>
      <c r="OB24" s="1280"/>
      <c r="OC24" s="1280"/>
      <c r="OD24" s="1280"/>
      <c r="OE24" s="1280"/>
      <c r="OF24" s="1280"/>
      <c r="OG24" s="1280"/>
      <c r="OH24" s="1280"/>
      <c r="OI24" s="1280"/>
      <c r="OJ24" s="1280"/>
      <c r="OK24" s="1280"/>
      <c r="OL24" s="1280"/>
      <c r="OM24" s="1280"/>
      <c r="ON24" s="1280"/>
      <c r="OO24" s="1280"/>
      <c r="OP24" s="1280"/>
      <c r="OQ24" s="1280"/>
      <c r="OR24" s="1280"/>
      <c r="OS24" s="1280"/>
      <c r="OT24" s="1280"/>
      <c r="OU24" s="1280"/>
      <c r="OV24" s="1280"/>
      <c r="OW24" s="1280"/>
      <c r="OX24" s="1280"/>
      <c r="OY24" s="1280"/>
      <c r="OZ24" s="1280"/>
      <c r="PA24" s="1280"/>
      <c r="PB24" s="1280"/>
      <c r="PC24" s="1280"/>
      <c r="PD24" s="1280"/>
      <c r="PE24" s="1280"/>
      <c r="PF24" s="1280"/>
      <c r="PG24" s="1280"/>
      <c r="PH24" s="1280"/>
      <c r="PI24" s="1280"/>
      <c r="PJ24" s="1280"/>
      <c r="PK24" s="1280"/>
      <c r="PL24" s="1280"/>
      <c r="PM24" s="1280"/>
      <c r="PN24" s="1280"/>
      <c r="PO24" s="1280"/>
      <c r="PP24" s="1280"/>
      <c r="PQ24" s="1280"/>
      <c r="PR24" s="1280"/>
      <c r="PS24" s="1280"/>
      <c r="PT24" s="1280"/>
      <c r="PU24" s="1280"/>
      <c r="PV24" s="1280"/>
      <c r="PW24" s="1280"/>
      <c r="PX24" s="1280"/>
      <c r="PY24" s="1280"/>
      <c r="PZ24" s="1280"/>
      <c r="QA24" s="1280"/>
      <c r="QB24" s="1280"/>
      <c r="QC24" s="1280"/>
      <c r="QD24" s="1280"/>
      <c r="QE24" s="1280"/>
      <c r="QF24" s="1280"/>
      <c r="QG24" s="1280"/>
      <c r="QH24" s="1280"/>
      <c r="QI24" s="1280"/>
      <c r="QJ24" s="1280"/>
      <c r="QK24" s="1280"/>
      <c r="QL24" s="1280"/>
      <c r="QM24" s="1280"/>
      <c r="QN24" s="1280"/>
      <c r="QO24" s="1280"/>
      <c r="QP24" s="1280"/>
      <c r="QQ24" s="1280"/>
      <c r="QR24" s="1280"/>
      <c r="QS24" s="1280"/>
      <c r="QT24" s="1280"/>
      <c r="QU24" s="1280"/>
      <c r="QV24" s="1280"/>
      <c r="QW24" s="1280"/>
      <c r="QX24" s="1280"/>
      <c r="QY24" s="1280"/>
      <c r="QZ24" s="1280"/>
      <c r="RA24" s="1280"/>
      <c r="RB24" s="1280"/>
      <c r="RC24" s="1280"/>
      <c r="RD24" s="1280"/>
      <c r="RE24" s="1280"/>
      <c r="RF24" s="1280"/>
      <c r="RG24" s="1280"/>
      <c r="RH24" s="1280"/>
      <c r="RI24" s="1280"/>
      <c r="RJ24" s="1280"/>
      <c r="RK24" s="1280"/>
      <c r="RL24" s="1280"/>
      <c r="RM24" s="1280"/>
      <c r="RN24" s="1280"/>
      <c r="RO24" s="1280"/>
      <c r="RP24" s="1280"/>
      <c r="RQ24" s="1280"/>
      <c r="RR24" s="1280"/>
      <c r="RS24" s="1280"/>
      <c r="RT24" s="1280"/>
      <c r="RU24" s="1280"/>
      <c r="RV24" s="1280"/>
      <c r="RW24" s="1280"/>
      <c r="RX24" s="1280"/>
      <c r="RY24" s="1280"/>
      <c r="RZ24" s="1280"/>
      <c r="SA24" s="1280"/>
      <c r="SB24" s="1280"/>
      <c r="SC24" s="1280"/>
      <c r="SD24" s="1280"/>
      <c r="SE24" s="1280"/>
      <c r="SF24" s="1280"/>
      <c r="SG24" s="1280"/>
      <c r="SH24" s="1280"/>
      <c r="SI24" s="1280"/>
      <c r="SJ24" s="1280"/>
      <c r="SK24" s="1280"/>
      <c r="SL24" s="1280"/>
      <c r="SM24" s="1280"/>
      <c r="SN24" s="1280"/>
      <c r="SO24" s="1280"/>
      <c r="SP24" s="1280"/>
      <c r="SQ24" s="1280"/>
      <c r="SR24" s="1280"/>
      <c r="SS24" s="1280"/>
      <c r="ST24" s="1280"/>
      <c r="SU24" s="1280"/>
      <c r="SV24" s="1280"/>
      <c r="SW24" s="1280"/>
      <c r="SX24" s="1280"/>
      <c r="SY24" s="1280"/>
      <c r="SZ24" s="1280"/>
      <c r="TA24" s="1280"/>
      <c r="TB24" s="1280"/>
      <c r="TC24" s="1280"/>
      <c r="TD24" s="1280"/>
      <c r="TE24" s="1280"/>
      <c r="TF24" s="1280"/>
      <c r="TG24" s="1280"/>
      <c r="TH24" s="1280"/>
      <c r="TI24" s="1280"/>
      <c r="TJ24" s="1280"/>
      <c r="TK24" s="1280"/>
      <c r="TL24" s="1280"/>
      <c r="TM24" s="1280"/>
      <c r="TN24" s="1280"/>
      <c r="TO24" s="1280"/>
      <c r="TP24" s="1280"/>
      <c r="TQ24" s="1280"/>
      <c r="TR24" s="1280"/>
      <c r="TS24" s="1280"/>
      <c r="TT24" s="1280"/>
      <c r="TU24" s="1280"/>
      <c r="TV24" s="1280"/>
      <c r="TW24" s="1280"/>
      <c r="TX24" s="1280"/>
      <c r="TY24" s="1280"/>
      <c r="TZ24" s="1280"/>
      <c r="UA24" s="1280"/>
      <c r="UB24" s="1280"/>
      <c r="UC24" s="1280"/>
      <c r="UD24" s="1280"/>
      <c r="UE24" s="1280"/>
      <c r="UF24" s="1280"/>
      <c r="UG24" s="1280"/>
      <c r="UH24" s="1280"/>
      <c r="UI24" s="1280"/>
      <c r="UJ24" s="1280"/>
      <c r="UK24" s="1280"/>
      <c r="UL24" s="1280"/>
      <c r="UM24" s="1280"/>
      <c r="UN24" s="1280"/>
      <c r="UO24" s="1280"/>
      <c r="UP24" s="1280"/>
      <c r="UQ24" s="1280"/>
      <c r="UR24" s="1280"/>
      <c r="US24" s="1280"/>
      <c r="UT24" s="1280"/>
      <c r="UU24" s="1280"/>
      <c r="UV24" s="1280"/>
      <c r="UW24" s="1280"/>
      <c r="UX24" s="1280"/>
      <c r="UY24" s="1280"/>
      <c r="UZ24" s="1280"/>
      <c r="VA24" s="1280"/>
      <c r="VB24" s="1280"/>
      <c r="VC24" s="1280"/>
      <c r="VD24" s="1280"/>
      <c r="VE24" s="1280"/>
      <c r="VF24" s="1280"/>
      <c r="VG24" s="1280"/>
      <c r="VH24" s="1280"/>
      <c r="VI24" s="1280"/>
      <c r="VJ24" s="1280"/>
      <c r="VK24" s="1280"/>
      <c r="VL24" s="1280"/>
      <c r="VM24" s="1280"/>
      <c r="VN24" s="1280"/>
      <c r="VO24" s="1280"/>
      <c r="VP24" s="1280"/>
      <c r="VQ24" s="1280"/>
      <c r="VR24" s="1280"/>
      <c r="VS24" s="1280"/>
      <c r="VT24" s="1280"/>
      <c r="VU24" s="1280"/>
      <c r="VV24" s="1280"/>
      <c r="VW24" s="1280"/>
      <c r="VX24" s="1280"/>
      <c r="VY24" s="1280"/>
      <c r="VZ24" s="1280"/>
      <c r="WA24" s="1280"/>
      <c r="WB24" s="1280"/>
      <c r="WC24" s="1280"/>
      <c r="WD24" s="1280"/>
      <c r="WE24" s="1280"/>
      <c r="WF24" s="1280"/>
      <c r="WG24" s="1280"/>
      <c r="WH24" s="1280"/>
      <c r="WI24" s="1280"/>
      <c r="WJ24" s="1280"/>
      <c r="WK24" s="1280"/>
      <c r="WL24" s="1280"/>
      <c r="WM24" s="1280"/>
      <c r="WN24" s="1280"/>
      <c r="WO24" s="1280"/>
      <c r="WP24" s="1280"/>
      <c r="WQ24" s="1280"/>
      <c r="WR24" s="1280"/>
      <c r="WS24" s="1280"/>
      <c r="WT24" s="1280"/>
      <c r="WU24" s="1280"/>
      <c r="WV24" s="1280"/>
      <c r="WW24" s="1280"/>
      <c r="WX24" s="1280"/>
      <c r="WY24" s="1280"/>
      <c r="WZ24" s="1280"/>
      <c r="XA24" s="1280"/>
      <c r="XB24" s="1280"/>
      <c r="XC24" s="1280"/>
      <c r="XD24" s="1280"/>
      <c r="XE24" s="1280"/>
      <c r="XF24" s="1280"/>
      <c r="XG24" s="1280"/>
      <c r="XH24" s="1280"/>
      <c r="XI24" s="1280"/>
      <c r="XJ24" s="1280"/>
      <c r="XK24" s="1280"/>
      <c r="XL24" s="1280"/>
      <c r="XM24" s="1280"/>
      <c r="XN24" s="1280"/>
      <c r="XO24" s="1280"/>
      <c r="XP24" s="1280"/>
      <c r="XQ24" s="1280"/>
      <c r="XR24" s="1280"/>
      <c r="XS24" s="1280"/>
      <c r="XT24" s="1280"/>
      <c r="XU24" s="1280"/>
      <c r="XV24" s="1280"/>
      <c r="XW24" s="1280"/>
      <c r="XX24" s="1280"/>
      <c r="XY24" s="1280"/>
      <c r="XZ24" s="1280"/>
      <c r="YA24" s="1280"/>
      <c r="YB24" s="1280"/>
      <c r="YC24" s="1280"/>
      <c r="YD24" s="1280"/>
      <c r="YE24" s="1280"/>
      <c r="YF24" s="1280"/>
      <c r="YG24" s="1280"/>
      <c r="YH24" s="1280"/>
      <c r="YI24" s="1280"/>
      <c r="YJ24" s="1280"/>
      <c r="YK24" s="1280"/>
      <c r="YL24" s="1280"/>
      <c r="YM24" s="1280"/>
      <c r="YN24" s="1280"/>
      <c r="YO24" s="1280"/>
      <c r="YP24" s="1280"/>
      <c r="YQ24" s="1280"/>
      <c r="YR24" s="1280"/>
      <c r="YS24" s="1280"/>
      <c r="YT24" s="1280"/>
      <c r="YU24" s="1280"/>
      <c r="YV24" s="1280"/>
      <c r="YW24" s="1280"/>
      <c r="YX24" s="1280"/>
      <c r="YY24" s="1280"/>
      <c r="YZ24" s="1280"/>
      <c r="ZA24" s="1280"/>
      <c r="ZB24" s="1280"/>
      <c r="ZC24" s="1280"/>
      <c r="ZD24" s="1280"/>
      <c r="ZE24" s="1280"/>
      <c r="ZF24" s="1280"/>
      <c r="ZG24" s="1280"/>
      <c r="ZH24" s="1280"/>
      <c r="ZI24" s="1280"/>
      <c r="ZJ24" s="1280"/>
      <c r="ZK24" s="1280"/>
      <c r="ZL24" s="1280"/>
      <c r="ZM24" s="1280"/>
      <c r="ZN24" s="1280"/>
      <c r="ZO24" s="1280"/>
      <c r="ZP24" s="1280"/>
      <c r="ZQ24" s="1280"/>
      <c r="ZR24" s="1280"/>
      <c r="ZS24" s="1280"/>
      <c r="ZT24" s="1280"/>
      <c r="ZU24" s="1280"/>
      <c r="ZV24" s="1280"/>
      <c r="ZW24" s="1280"/>
      <c r="ZX24" s="1280"/>
      <c r="ZY24" s="1280"/>
      <c r="ZZ24" s="1280"/>
      <c r="AAA24" s="1280"/>
      <c r="AAB24" s="1280"/>
      <c r="AAC24" s="1280"/>
      <c r="AAD24" s="1280"/>
      <c r="AAE24" s="1280"/>
      <c r="AAF24" s="1280"/>
      <c r="AAG24" s="1280"/>
      <c r="AAH24" s="1280"/>
      <c r="AAI24" s="1280"/>
      <c r="AAJ24" s="1280"/>
      <c r="AAK24" s="1280"/>
      <c r="AAL24" s="1280"/>
      <c r="AAM24" s="1280"/>
      <c r="AAN24" s="1280"/>
      <c r="AAO24" s="1280"/>
      <c r="AAP24" s="1280"/>
      <c r="AAQ24" s="1280"/>
      <c r="AAR24" s="1280"/>
      <c r="AAS24" s="1280"/>
      <c r="AAT24" s="1280"/>
      <c r="AAU24" s="1280"/>
      <c r="AAV24" s="1280"/>
      <c r="AAW24" s="1280"/>
      <c r="AAX24" s="1280"/>
      <c r="AAY24" s="1280"/>
      <c r="AAZ24" s="1280"/>
      <c r="ABA24" s="1280"/>
      <c r="ABB24" s="1280"/>
      <c r="ABC24" s="1280"/>
      <c r="ABD24" s="1280"/>
      <c r="ABE24" s="1280"/>
      <c r="ABF24" s="1280"/>
      <c r="ABG24" s="1280"/>
      <c r="ABH24" s="1280"/>
      <c r="ABI24" s="1280"/>
      <c r="ABJ24" s="1280"/>
      <c r="ABK24" s="1280"/>
      <c r="ABL24" s="1280"/>
      <c r="ABM24" s="1280"/>
      <c r="ABN24" s="1280"/>
      <c r="ABO24" s="1280"/>
      <c r="ABP24" s="1280"/>
      <c r="ABQ24" s="1280"/>
      <c r="ABR24" s="1280"/>
      <c r="ABS24" s="1280"/>
      <c r="ABT24" s="1280"/>
      <c r="ABU24" s="1280"/>
      <c r="ABV24" s="1280"/>
      <c r="ABW24" s="1280"/>
      <c r="ABX24" s="1280"/>
      <c r="ABY24" s="1280"/>
      <c r="ABZ24" s="1280"/>
      <c r="ACA24" s="1280"/>
      <c r="ACB24" s="1280"/>
      <c r="ACC24" s="1280"/>
      <c r="ACD24" s="1280"/>
      <c r="ACE24" s="1280"/>
      <c r="ACF24" s="1280"/>
      <c r="ACG24" s="1280"/>
      <c r="ACH24" s="1280"/>
      <c r="ACI24" s="1280"/>
      <c r="ACJ24" s="1280"/>
      <c r="ACK24" s="1280"/>
      <c r="ACL24" s="1280"/>
      <c r="ACM24" s="1280"/>
      <c r="ACN24" s="1280"/>
      <c r="ACO24" s="1280"/>
      <c r="ACP24" s="1280"/>
      <c r="ACQ24" s="1280"/>
      <c r="ACR24" s="1280"/>
      <c r="ACS24" s="1280"/>
      <c r="ACT24" s="1280"/>
      <c r="ACU24" s="1280"/>
      <c r="ACV24" s="1280"/>
      <c r="ACW24" s="1280"/>
      <c r="ACX24" s="1280"/>
      <c r="ACY24" s="1280"/>
      <c r="ACZ24" s="1280"/>
      <c r="ADA24" s="1280"/>
      <c r="ADB24" s="1280"/>
      <c r="ADC24" s="1280"/>
      <c r="ADD24" s="1280"/>
      <c r="ADE24" s="1280"/>
      <c r="ADF24" s="1280"/>
      <c r="ADG24" s="1280"/>
      <c r="ADH24" s="1280"/>
      <c r="ADI24" s="1280"/>
      <c r="ADJ24" s="1280"/>
      <c r="ADK24" s="1280"/>
      <c r="ADL24" s="1280"/>
      <c r="ADM24" s="1280"/>
      <c r="ADN24" s="1280"/>
      <c r="ADO24" s="1280"/>
      <c r="ADP24" s="1280"/>
      <c r="ADQ24" s="1280"/>
      <c r="ADR24" s="1280"/>
      <c r="ADS24" s="1280"/>
      <c r="ADT24" s="1280"/>
      <c r="ADU24" s="1280"/>
      <c r="ADV24" s="1280"/>
      <c r="ADW24" s="1280"/>
      <c r="ADX24" s="1280"/>
      <c r="ADY24" s="1280"/>
      <c r="ADZ24" s="1280"/>
      <c r="AEA24" s="1280"/>
      <c r="AEB24" s="1280"/>
      <c r="AEC24" s="1280"/>
      <c r="AED24" s="1280"/>
      <c r="AEE24" s="1280"/>
      <c r="AEF24" s="1280"/>
      <c r="AEG24" s="1280"/>
      <c r="AEH24" s="1280"/>
      <c r="AEI24" s="1280"/>
      <c r="AEJ24" s="1280"/>
      <c r="AEK24" s="1280"/>
      <c r="AEL24" s="1280"/>
      <c r="AEM24" s="1280"/>
      <c r="AEN24" s="1280"/>
      <c r="AEO24" s="1280"/>
      <c r="AEP24" s="1280"/>
      <c r="AEQ24" s="1280"/>
      <c r="AER24" s="1280"/>
      <c r="AES24" s="1280"/>
      <c r="AET24" s="1280"/>
      <c r="AEU24" s="1280"/>
      <c r="AEV24" s="1280"/>
      <c r="AEW24" s="1280"/>
      <c r="AEX24" s="1280"/>
      <c r="AEY24" s="1280"/>
      <c r="AEZ24" s="1280"/>
      <c r="AFA24" s="1280"/>
      <c r="AFB24" s="1280"/>
      <c r="AFC24" s="1280"/>
      <c r="AFD24" s="1280"/>
      <c r="AFE24" s="1280"/>
      <c r="AFF24" s="1280"/>
      <c r="AFG24" s="1280"/>
      <c r="AFH24" s="1280"/>
      <c r="AFI24" s="1280"/>
      <c r="AFJ24" s="1280"/>
      <c r="AFK24" s="1280"/>
      <c r="AFL24" s="1280"/>
      <c r="AFM24" s="1280"/>
      <c r="AFN24" s="1280"/>
      <c r="AFO24" s="1280"/>
      <c r="AFP24" s="1280"/>
      <c r="AFQ24" s="1280"/>
      <c r="AFR24" s="1280"/>
      <c r="AFS24" s="1280"/>
      <c r="AFT24" s="1280"/>
      <c r="AFU24" s="1280"/>
      <c r="AFV24" s="1280"/>
      <c r="AFW24" s="1280"/>
      <c r="AFX24" s="1280"/>
      <c r="AFY24" s="1280"/>
      <c r="AFZ24" s="1280"/>
      <c r="AGA24" s="1280"/>
      <c r="AGB24" s="1280"/>
      <c r="AGC24" s="1280"/>
      <c r="AGD24" s="1280"/>
      <c r="AGE24" s="1280"/>
      <c r="AGF24" s="1280"/>
      <c r="AGG24" s="1280"/>
      <c r="AGH24" s="1280"/>
      <c r="AGI24" s="1280"/>
      <c r="AGJ24" s="1280"/>
      <c r="AGK24" s="1280"/>
      <c r="AGL24" s="1280"/>
      <c r="AGM24" s="1280"/>
      <c r="AGN24" s="1280"/>
      <c r="AGO24" s="1280"/>
      <c r="AGP24" s="1280"/>
      <c r="AGQ24" s="1280"/>
      <c r="AGR24" s="1280"/>
      <c r="AGS24" s="1280"/>
      <c r="AGT24" s="1280"/>
      <c r="AGU24" s="1280"/>
      <c r="AGV24" s="1280"/>
      <c r="AGW24" s="1280"/>
      <c r="AGX24" s="1280"/>
      <c r="AGY24" s="1280"/>
      <c r="AGZ24" s="1280"/>
      <c r="AHA24" s="1280"/>
      <c r="AHB24" s="1280"/>
      <c r="AHC24" s="1280"/>
      <c r="AHD24" s="1280"/>
      <c r="AHE24" s="1280"/>
      <c r="AHF24" s="1280"/>
      <c r="AHG24" s="1280"/>
      <c r="AHH24" s="1280"/>
      <c r="AHI24" s="1280"/>
      <c r="AHJ24" s="1280"/>
      <c r="AHK24" s="1280"/>
      <c r="AHL24" s="1280"/>
      <c r="AHM24" s="1280"/>
      <c r="AHN24" s="1280"/>
      <c r="AHO24" s="1280"/>
      <c r="AHP24" s="1280"/>
      <c r="AHQ24" s="1280"/>
      <c r="AHR24" s="1280"/>
      <c r="AHS24" s="1280"/>
      <c r="AHT24" s="1280"/>
      <c r="AHU24" s="1280"/>
      <c r="AHV24" s="1280"/>
      <c r="AHW24" s="1280"/>
      <c r="AHX24" s="1280"/>
      <c r="AHY24" s="1280"/>
      <c r="AHZ24" s="1280"/>
      <c r="AIA24" s="1280"/>
      <c r="AIB24" s="1280"/>
      <c r="AIC24" s="1280"/>
      <c r="AID24" s="1280"/>
      <c r="AIE24" s="1280"/>
      <c r="AIF24" s="1280"/>
      <c r="AIG24" s="1280"/>
      <c r="AIH24" s="1280"/>
      <c r="AII24" s="1280"/>
      <c r="AIJ24" s="1280"/>
      <c r="AIK24" s="1280"/>
      <c r="AIL24" s="1280"/>
      <c r="AIM24" s="1280"/>
      <c r="AIN24" s="1280"/>
      <c r="AIO24" s="1280"/>
      <c r="AIP24" s="1280"/>
      <c r="AIQ24" s="1280"/>
      <c r="AIR24" s="1280"/>
      <c r="AIS24" s="1280"/>
      <c r="AIT24" s="1280"/>
      <c r="AIU24" s="1280"/>
      <c r="AIV24" s="1280"/>
      <c r="AIW24" s="1280"/>
      <c r="AIX24" s="1280"/>
      <c r="AIY24" s="1280"/>
      <c r="AIZ24" s="1280"/>
      <c r="AJA24" s="1280"/>
      <c r="AJB24" s="1280"/>
      <c r="AJC24" s="1280"/>
      <c r="AJD24" s="1280"/>
      <c r="AJE24" s="1280"/>
      <c r="AJF24" s="1280"/>
      <c r="AJG24" s="1280"/>
      <c r="AJH24" s="1280"/>
      <c r="AJI24" s="1280"/>
      <c r="AJJ24" s="1280"/>
      <c r="AJK24" s="1280"/>
      <c r="AJL24" s="1280"/>
      <c r="AJM24" s="1280"/>
      <c r="AJN24" s="1280"/>
      <c r="AJO24" s="1280"/>
      <c r="AJP24" s="1280"/>
      <c r="AJQ24" s="1280"/>
      <c r="AJR24" s="1280"/>
      <c r="AJS24" s="1280"/>
      <c r="AJT24" s="1280"/>
      <c r="AJU24" s="1280"/>
      <c r="AJV24" s="1280"/>
      <c r="AJW24" s="1280"/>
      <c r="AJX24" s="1280"/>
      <c r="AJY24" s="1280"/>
      <c r="AJZ24" s="1280"/>
      <c r="AKA24" s="1280"/>
      <c r="AKB24" s="1280"/>
      <c r="AKC24" s="1280"/>
      <c r="AKD24" s="1280"/>
      <c r="AKE24" s="1280"/>
      <c r="AKF24" s="1280"/>
      <c r="AKG24" s="1280"/>
      <c r="AKH24" s="1280"/>
      <c r="AKI24" s="1280"/>
      <c r="AKJ24" s="1280"/>
      <c r="AKK24" s="1280"/>
      <c r="AKL24" s="1280"/>
      <c r="AKM24" s="1280"/>
      <c r="AKN24" s="1280"/>
      <c r="AKO24" s="1280"/>
      <c r="AKP24" s="1280"/>
      <c r="AKQ24" s="1280"/>
      <c r="AKR24" s="1280"/>
      <c r="AKS24" s="1280"/>
      <c r="AKT24" s="1280"/>
      <c r="AKU24" s="1280"/>
      <c r="AKV24" s="1280"/>
      <c r="AKW24" s="1280"/>
      <c r="AKX24" s="1280"/>
      <c r="AKY24" s="1280"/>
      <c r="AKZ24" s="1280"/>
      <c r="ALA24" s="1280"/>
      <c r="ALB24" s="1280"/>
      <c r="ALC24" s="1280"/>
      <c r="ALD24" s="1280"/>
      <c r="ALE24" s="1280"/>
      <c r="ALF24" s="1280"/>
      <c r="ALG24" s="1280"/>
      <c r="ALH24" s="1280"/>
      <c r="ALI24" s="1280"/>
      <c r="ALJ24" s="1280"/>
      <c r="ALK24" s="1280"/>
      <c r="ALL24" s="1280"/>
      <c r="ALM24" s="1280"/>
      <c r="ALN24" s="1280"/>
      <c r="ALO24" s="1280"/>
      <c r="ALP24" s="1280"/>
      <c r="ALQ24" s="1280"/>
      <c r="ALR24" s="1280"/>
      <c r="ALS24" s="1280"/>
      <c r="ALT24" s="1280"/>
      <c r="ALU24" s="1280"/>
      <c r="ALV24" s="1280"/>
      <c r="ALW24" s="1280"/>
      <c r="ALX24" s="1280"/>
      <c r="ALY24" s="1280"/>
      <c r="ALZ24" s="1280"/>
      <c r="AMA24" s="1280"/>
      <c r="AMB24" s="1280"/>
      <c r="AMC24" s="1280"/>
      <c r="AMD24" s="1280"/>
      <c r="AME24" s="1280"/>
      <c r="AMF24" s="1280"/>
      <c r="AMG24" s="1280"/>
      <c r="AMH24" s="1280"/>
      <c r="AMI24" s="1280"/>
      <c r="AMJ24" s="1280"/>
      <c r="AMK24" s="1280"/>
      <c r="AML24" s="1280"/>
      <c r="AMM24" s="1280"/>
      <c r="AMN24" s="1280"/>
      <c r="AMO24" s="1280"/>
      <c r="AMP24" s="1280"/>
      <c r="AMQ24" s="1280"/>
      <c r="AMR24" s="1280"/>
      <c r="AMS24" s="1280"/>
      <c r="AMT24" s="1280"/>
      <c r="AMU24" s="1280"/>
      <c r="AMV24" s="1280"/>
      <c r="AMW24" s="1280"/>
      <c r="AMX24" s="1280"/>
      <c r="AMY24" s="1280"/>
      <c r="AMZ24" s="1280"/>
      <c r="ANA24" s="1280"/>
      <c r="ANB24" s="1280"/>
      <c r="ANC24" s="1280"/>
      <c r="AND24" s="1280"/>
      <c r="ANE24" s="1280"/>
      <c r="ANF24" s="1280"/>
      <c r="ANG24" s="1280"/>
      <c r="ANH24" s="1280"/>
      <c r="ANI24" s="1280"/>
      <c r="ANJ24" s="1280"/>
      <c r="ANK24" s="1280"/>
      <c r="ANL24" s="1280"/>
      <c r="ANM24" s="1280"/>
      <c r="ANN24" s="1280"/>
      <c r="ANO24" s="1280"/>
      <c r="ANP24" s="1280"/>
      <c r="ANQ24" s="1280"/>
      <c r="ANR24" s="1280"/>
      <c r="ANS24" s="1280"/>
      <c r="ANT24" s="1280"/>
      <c r="ANU24" s="1280"/>
      <c r="ANV24" s="1280"/>
      <c r="ANW24" s="1280"/>
      <c r="ANX24" s="1280"/>
      <c r="ANY24" s="1280"/>
      <c r="ANZ24" s="1280"/>
      <c r="AOA24" s="1280"/>
      <c r="AOB24" s="1280"/>
      <c r="AOC24" s="1280"/>
      <c r="AOD24" s="1280"/>
      <c r="AOE24" s="1280"/>
      <c r="AOF24" s="1280"/>
      <c r="AOG24" s="1280"/>
      <c r="AOH24" s="1280"/>
      <c r="AOI24" s="1280"/>
      <c r="AOJ24" s="1280"/>
      <c r="AOK24" s="1280"/>
      <c r="AOL24" s="1280"/>
      <c r="AOM24" s="1280"/>
      <c r="AON24" s="1280"/>
      <c r="AOO24" s="1280"/>
      <c r="AOP24" s="1280"/>
      <c r="AOQ24" s="1280"/>
      <c r="AOR24" s="1280"/>
      <c r="AOS24" s="1280"/>
      <c r="AOT24" s="1280"/>
      <c r="AOU24" s="1280"/>
      <c r="AOV24" s="1280"/>
      <c r="AOW24" s="1280"/>
      <c r="AOX24" s="1280"/>
      <c r="AOY24" s="1280"/>
      <c r="AOZ24" s="1280"/>
      <c r="APA24" s="1280"/>
      <c r="APB24" s="1280"/>
      <c r="APC24" s="1280"/>
      <c r="APD24" s="1280"/>
      <c r="APE24" s="1280"/>
      <c r="APF24" s="1280"/>
      <c r="APG24" s="1280"/>
      <c r="APH24" s="1280"/>
      <c r="API24" s="1280"/>
      <c r="APJ24" s="1280"/>
      <c r="APK24" s="1280"/>
      <c r="APL24" s="1280"/>
      <c r="APM24" s="1280"/>
      <c r="APN24" s="1280"/>
      <c r="APO24" s="1280"/>
      <c r="APP24" s="1280"/>
      <c r="APQ24" s="1280"/>
      <c r="APR24" s="1280"/>
      <c r="APS24" s="1280"/>
      <c r="APT24" s="1280"/>
      <c r="APU24" s="1280"/>
      <c r="APV24" s="1280"/>
      <c r="APW24" s="1280"/>
      <c r="APX24" s="1280"/>
      <c r="APY24" s="1280"/>
      <c r="APZ24" s="1280"/>
      <c r="AQA24" s="1280"/>
      <c r="AQB24" s="1280"/>
      <c r="AQC24" s="1280"/>
      <c r="AQD24" s="1280"/>
      <c r="AQE24" s="1280"/>
      <c r="AQF24" s="1280"/>
      <c r="AQG24" s="1280"/>
      <c r="AQH24" s="1280"/>
      <c r="AQI24" s="1280"/>
      <c r="AQJ24" s="1280"/>
      <c r="AQK24" s="1280"/>
      <c r="AQL24" s="1280"/>
      <c r="AQM24" s="1280"/>
      <c r="AQN24" s="1280"/>
      <c r="AQO24" s="1280"/>
      <c r="AQP24" s="1280"/>
      <c r="AQQ24" s="1280"/>
      <c r="AQR24" s="1280"/>
      <c r="AQS24" s="1280"/>
      <c r="AQT24" s="1280"/>
      <c r="AQU24" s="1280"/>
      <c r="AQV24" s="1280"/>
      <c r="AQW24" s="1280"/>
      <c r="AQX24" s="1280"/>
      <c r="AQY24" s="1280"/>
      <c r="AQZ24" s="1280"/>
      <c r="ARA24" s="1280"/>
      <c r="ARB24" s="1280"/>
      <c r="ARC24" s="1280"/>
      <c r="ARD24" s="1280"/>
      <c r="ARE24" s="1280"/>
      <c r="ARF24" s="1280"/>
      <c r="ARG24" s="1280"/>
      <c r="ARH24" s="1280"/>
      <c r="ARI24" s="1280"/>
      <c r="ARJ24" s="1280"/>
      <c r="ARK24" s="1280"/>
      <c r="ARL24" s="1280"/>
      <c r="ARM24" s="1280"/>
      <c r="ARN24" s="1280"/>
      <c r="ARO24" s="1280"/>
      <c r="ARP24" s="1280"/>
      <c r="ARQ24" s="1280"/>
      <c r="ARR24" s="1280"/>
      <c r="ARS24" s="1280"/>
      <c r="ART24" s="1280"/>
      <c r="ARU24" s="1280"/>
      <c r="ARV24" s="1280"/>
      <c r="ARW24" s="1280"/>
      <c r="ARX24" s="1280"/>
      <c r="ARY24" s="1280"/>
      <c r="ARZ24" s="1280"/>
      <c r="ASA24" s="1280"/>
      <c r="ASB24" s="1280"/>
      <c r="ASC24" s="1280"/>
      <c r="ASD24" s="1280"/>
      <c r="ASE24" s="1280"/>
      <c r="ASF24" s="1280"/>
      <c r="ASG24" s="1280"/>
      <c r="ASH24" s="1280"/>
      <c r="ASI24" s="1280"/>
      <c r="ASJ24" s="1280"/>
      <c r="ASK24" s="1280"/>
      <c r="ASL24" s="1280"/>
      <c r="ASM24" s="1280"/>
      <c r="ASN24" s="1280"/>
      <c r="ASO24" s="1280"/>
      <c r="ASP24" s="1280"/>
      <c r="ASQ24" s="1280"/>
      <c r="ASR24" s="1280"/>
      <c r="ASS24" s="1280"/>
      <c r="AST24" s="1280"/>
      <c r="ASU24" s="1280"/>
      <c r="ASV24" s="1280"/>
      <c r="ASW24" s="1280"/>
      <c r="ASX24" s="1280"/>
      <c r="ASY24" s="1280"/>
      <c r="ASZ24" s="1280"/>
      <c r="ATA24" s="1280"/>
      <c r="ATB24" s="1280"/>
      <c r="ATC24" s="1280"/>
      <c r="ATD24" s="1280"/>
      <c r="ATE24" s="1280"/>
      <c r="ATF24" s="1280"/>
      <c r="ATG24" s="1280"/>
      <c r="ATH24" s="1280"/>
      <c r="ATI24" s="1280"/>
      <c r="ATJ24" s="1280"/>
      <c r="ATK24" s="1280"/>
      <c r="ATL24" s="1280"/>
      <c r="ATM24" s="1280"/>
      <c r="ATN24" s="1280"/>
      <c r="ATO24" s="1280"/>
      <c r="ATP24" s="1280"/>
      <c r="ATQ24" s="1280"/>
      <c r="ATR24" s="1280"/>
      <c r="ATS24" s="1280"/>
      <c r="ATT24" s="1280"/>
      <c r="ATU24" s="1280"/>
      <c r="ATV24" s="1280"/>
      <c r="ATW24" s="1280"/>
      <c r="ATX24" s="1280"/>
      <c r="ATY24" s="1280"/>
      <c r="ATZ24" s="1280"/>
      <c r="AUA24" s="1280"/>
      <c r="AUB24" s="1280"/>
      <c r="AUC24" s="1280"/>
      <c r="AUD24" s="1280"/>
      <c r="AUE24" s="1280"/>
      <c r="AUF24" s="1280"/>
      <c r="AUG24" s="1280"/>
      <c r="AUH24" s="1280"/>
      <c r="AUI24" s="1280"/>
      <c r="AUJ24" s="1280"/>
      <c r="AUK24" s="1280"/>
      <c r="AUL24" s="1280"/>
      <c r="AUM24" s="1280"/>
      <c r="AUN24" s="1280"/>
      <c r="AUO24" s="1280"/>
      <c r="AUP24" s="1280"/>
      <c r="AUQ24" s="1280"/>
      <c r="AUR24" s="1280"/>
      <c r="AUS24" s="1280"/>
      <c r="AUT24" s="1280"/>
      <c r="AUU24" s="1280"/>
      <c r="AUV24" s="1280"/>
      <c r="AUW24" s="1280"/>
      <c r="AUX24" s="1280"/>
      <c r="AUY24" s="1280"/>
      <c r="AUZ24" s="1280"/>
      <c r="AVA24" s="1280"/>
      <c r="AVB24" s="1280"/>
      <c r="AVC24" s="1280"/>
      <c r="AVD24" s="1280"/>
      <c r="AVE24" s="1280"/>
      <c r="AVF24" s="1280"/>
      <c r="AVG24" s="1280"/>
      <c r="AVH24" s="1280"/>
      <c r="AVI24" s="1280"/>
      <c r="AVJ24" s="1280"/>
      <c r="AVK24" s="1280"/>
      <c r="AVL24" s="1280"/>
      <c r="AVM24" s="1280"/>
      <c r="AVN24" s="1280"/>
      <c r="AVO24" s="1280"/>
      <c r="AVP24" s="1280"/>
      <c r="AVQ24" s="1280"/>
      <c r="AVR24" s="1280"/>
      <c r="AVS24" s="1280"/>
      <c r="AVT24" s="1280"/>
      <c r="AVU24" s="1280"/>
      <c r="AVV24" s="1280"/>
      <c r="AVW24" s="1280"/>
      <c r="AVX24" s="1280"/>
      <c r="AVY24" s="1280"/>
      <c r="AVZ24" s="1280"/>
      <c r="AWA24" s="1280"/>
      <c r="AWB24" s="1280"/>
      <c r="AWC24" s="1280"/>
      <c r="AWD24" s="1280"/>
      <c r="AWE24" s="1280"/>
      <c r="AWF24" s="1280"/>
      <c r="AWG24" s="1280"/>
      <c r="AWH24" s="1280"/>
      <c r="AWI24" s="1280"/>
      <c r="AWJ24" s="1280"/>
      <c r="AWK24" s="1280"/>
      <c r="AWL24" s="1280"/>
      <c r="AWM24" s="1280"/>
      <c r="AWN24" s="1280"/>
      <c r="AWO24" s="1280"/>
      <c r="AWP24" s="1280"/>
      <c r="AWQ24" s="1280"/>
      <c r="AWR24" s="1280"/>
      <c r="AWS24" s="1280"/>
      <c r="AWT24" s="1280"/>
      <c r="AWU24" s="1280"/>
      <c r="AWV24" s="1280"/>
      <c r="AWW24" s="1280"/>
      <c r="AWX24" s="1280"/>
      <c r="AWY24" s="1280"/>
      <c r="AWZ24" s="1280"/>
      <c r="AXA24" s="1280"/>
      <c r="AXB24" s="1280"/>
      <c r="AXC24" s="1280"/>
      <c r="AXD24" s="1280"/>
      <c r="AXE24" s="1280"/>
      <c r="AXF24" s="1280"/>
      <c r="AXG24" s="1280"/>
      <c r="AXH24" s="1280"/>
      <c r="AXI24" s="1280"/>
      <c r="AXJ24" s="1280"/>
      <c r="AXK24" s="1280"/>
      <c r="AXL24" s="1280"/>
      <c r="AXM24" s="1280"/>
      <c r="AXN24" s="1280"/>
      <c r="AXO24" s="1280"/>
      <c r="AXP24" s="1280"/>
      <c r="AXQ24" s="1280"/>
      <c r="AXR24" s="1280"/>
      <c r="AXS24" s="1280"/>
      <c r="AXT24" s="1280"/>
      <c r="AXU24" s="1280"/>
      <c r="AXV24" s="1280"/>
      <c r="AXW24" s="1280"/>
      <c r="AXX24" s="1280"/>
      <c r="AXY24" s="1280"/>
      <c r="AXZ24" s="1280"/>
      <c r="AYA24" s="1280"/>
      <c r="AYB24" s="1280"/>
      <c r="AYC24" s="1280"/>
      <c r="AYD24" s="1280"/>
      <c r="AYE24" s="1280"/>
      <c r="AYF24" s="1280"/>
      <c r="AYG24" s="1280"/>
      <c r="AYH24" s="1280"/>
      <c r="AYI24" s="1280"/>
      <c r="AYJ24" s="1280"/>
      <c r="AYK24" s="1280"/>
      <c r="AYL24" s="1280"/>
      <c r="AYM24" s="1280"/>
      <c r="AYN24" s="1280"/>
      <c r="AYO24" s="1280"/>
      <c r="AYP24" s="1280"/>
      <c r="AYQ24" s="1280"/>
      <c r="AYR24" s="1280"/>
      <c r="AYS24" s="1280"/>
      <c r="AYT24" s="1280"/>
      <c r="AYU24" s="1280"/>
      <c r="AYV24" s="1280"/>
      <c r="AYW24" s="1280"/>
      <c r="AYX24" s="1280"/>
      <c r="AYY24" s="1280"/>
      <c r="AYZ24" s="1280"/>
      <c r="AZA24" s="1280"/>
      <c r="AZB24" s="1280"/>
      <c r="AZC24" s="1280"/>
      <c r="AZD24" s="1280"/>
      <c r="AZE24" s="1280"/>
      <c r="AZF24" s="1280"/>
      <c r="AZG24" s="1280"/>
      <c r="AZH24" s="1280"/>
      <c r="AZI24" s="1280"/>
      <c r="AZJ24" s="1280"/>
      <c r="AZK24" s="1280"/>
      <c r="AZL24" s="1280"/>
      <c r="AZM24" s="1280"/>
      <c r="AZN24" s="1280"/>
      <c r="AZO24" s="1280"/>
      <c r="AZP24" s="1280"/>
      <c r="AZQ24" s="1280"/>
      <c r="AZR24" s="1280"/>
      <c r="AZS24" s="1280"/>
      <c r="AZT24" s="1280"/>
      <c r="AZU24" s="1280"/>
      <c r="AZV24" s="1280"/>
      <c r="AZW24" s="1280"/>
      <c r="AZX24" s="1280"/>
      <c r="AZY24" s="1280"/>
      <c r="AZZ24" s="1280"/>
      <c r="BAA24" s="1280"/>
      <c r="BAB24" s="1280"/>
      <c r="BAC24" s="1280"/>
      <c r="BAD24" s="1280"/>
      <c r="BAE24" s="1280"/>
      <c r="BAF24" s="1280"/>
      <c r="BAG24" s="1280"/>
      <c r="BAH24" s="1280"/>
      <c r="BAI24" s="1280"/>
      <c r="BAJ24" s="1280"/>
      <c r="BAK24" s="1280"/>
      <c r="BAL24" s="1280"/>
      <c r="BAM24" s="1280"/>
      <c r="BAN24" s="1280"/>
      <c r="BAO24" s="1280"/>
      <c r="BAP24" s="1280"/>
      <c r="BAQ24" s="1280"/>
      <c r="BAR24" s="1280"/>
      <c r="BAS24" s="1280"/>
      <c r="BAT24" s="1280"/>
      <c r="BAU24" s="1280"/>
      <c r="BAV24" s="1280"/>
      <c r="BAW24" s="1280"/>
      <c r="BAX24" s="1280"/>
      <c r="BAY24" s="1280"/>
      <c r="BAZ24" s="1280"/>
      <c r="BBA24" s="1280"/>
      <c r="BBB24" s="1280"/>
      <c r="BBC24" s="1280"/>
      <c r="BBD24" s="1280"/>
      <c r="BBE24" s="1280"/>
      <c r="BBF24" s="1280"/>
      <c r="BBG24" s="1280"/>
      <c r="BBH24" s="1280"/>
      <c r="BBI24" s="1280"/>
      <c r="BBJ24" s="1280"/>
      <c r="BBK24" s="1280"/>
      <c r="BBL24" s="1280"/>
      <c r="BBM24" s="1280"/>
      <c r="BBN24" s="1280"/>
      <c r="BBO24" s="1280"/>
      <c r="BBP24" s="1280"/>
      <c r="BBQ24" s="1280"/>
      <c r="BBR24" s="1280"/>
      <c r="BBS24" s="1280"/>
      <c r="BBT24" s="1280"/>
      <c r="BBU24" s="1280"/>
      <c r="BBV24" s="1280"/>
      <c r="BBW24" s="1280"/>
      <c r="BBX24" s="1280"/>
      <c r="BBY24" s="1280"/>
      <c r="BBZ24" s="1280"/>
      <c r="BCA24" s="1280"/>
      <c r="BCB24" s="1280"/>
      <c r="BCC24" s="1280"/>
      <c r="BCD24" s="1280"/>
      <c r="BCE24" s="1280"/>
      <c r="BCF24" s="1280"/>
      <c r="BCG24" s="1280"/>
      <c r="BCH24" s="1280"/>
      <c r="BCI24" s="1280"/>
      <c r="BCJ24" s="1280"/>
      <c r="BCK24" s="1280"/>
      <c r="BCL24" s="1280"/>
      <c r="BCM24" s="1280"/>
      <c r="BCN24" s="1280"/>
      <c r="BCO24" s="1280"/>
      <c r="BCP24" s="1280"/>
      <c r="BCQ24" s="1280"/>
      <c r="BCR24" s="1280"/>
      <c r="BCS24" s="1280"/>
      <c r="BCT24" s="1280"/>
      <c r="BCU24" s="1280"/>
      <c r="BCV24" s="1280"/>
      <c r="BCW24" s="1280"/>
      <c r="BCX24" s="1280"/>
      <c r="BCY24" s="1280"/>
      <c r="BCZ24" s="1280"/>
      <c r="BDA24" s="1280"/>
      <c r="BDB24" s="1280"/>
      <c r="BDC24" s="1280"/>
      <c r="BDD24" s="1280"/>
      <c r="BDE24" s="1280"/>
      <c r="BDF24" s="1280"/>
      <c r="BDG24" s="1280"/>
      <c r="BDH24" s="1280"/>
      <c r="BDI24" s="1280"/>
      <c r="BDJ24" s="1280"/>
      <c r="BDK24" s="1280"/>
      <c r="BDL24" s="1280"/>
      <c r="BDM24" s="1280"/>
      <c r="BDN24" s="1280"/>
      <c r="BDO24" s="1280"/>
      <c r="BDP24" s="1280"/>
      <c r="BDQ24" s="1280"/>
      <c r="BDR24" s="1280"/>
      <c r="BDS24" s="1280"/>
      <c r="BDT24" s="1280"/>
      <c r="BDU24" s="1280"/>
      <c r="BDV24" s="1280"/>
      <c r="BDW24" s="1280"/>
      <c r="BDX24" s="1280"/>
      <c r="BDY24" s="1280"/>
      <c r="BDZ24" s="1280"/>
      <c r="BEA24" s="1280"/>
      <c r="BEB24" s="1280"/>
      <c r="BEC24" s="1280"/>
      <c r="BED24" s="1280"/>
      <c r="BEE24" s="1280"/>
      <c r="BEF24" s="1280"/>
      <c r="BEG24" s="1280"/>
      <c r="BEH24" s="1280"/>
      <c r="BEI24" s="1280"/>
      <c r="BEJ24" s="1280"/>
      <c r="BEK24" s="1280"/>
      <c r="BEL24" s="1280"/>
      <c r="BEM24" s="1280"/>
      <c r="BEN24" s="1280"/>
      <c r="BEO24" s="1280"/>
      <c r="BEP24" s="1280"/>
      <c r="BEQ24" s="1280"/>
      <c r="BER24" s="1280"/>
      <c r="BES24" s="1280"/>
      <c r="BET24" s="1280"/>
      <c r="BEU24" s="1280"/>
      <c r="BEV24" s="1280"/>
      <c r="BEW24" s="1280"/>
      <c r="BEX24" s="1280"/>
      <c r="BEY24" s="1280"/>
      <c r="BEZ24" s="1280"/>
      <c r="BFA24" s="1280"/>
      <c r="BFB24" s="1280"/>
      <c r="BFC24" s="1280"/>
      <c r="BFD24" s="1280"/>
      <c r="BFE24" s="1280"/>
      <c r="BFF24" s="1280"/>
      <c r="BFG24" s="1280"/>
      <c r="BFH24" s="1280"/>
      <c r="BFI24" s="1280"/>
      <c r="BFJ24" s="1280"/>
      <c r="BFK24" s="1280"/>
      <c r="BFL24" s="1280"/>
      <c r="BFM24" s="1280"/>
      <c r="BFN24" s="1280"/>
      <c r="BFO24" s="1280"/>
      <c r="BFP24" s="1280"/>
      <c r="BFQ24" s="1280"/>
      <c r="BFR24" s="1280"/>
      <c r="BFS24" s="1280"/>
      <c r="BFT24" s="1280"/>
      <c r="BFU24" s="1280"/>
      <c r="BFV24" s="1280"/>
      <c r="BFW24" s="1280"/>
      <c r="BFX24" s="1280"/>
      <c r="BFY24" s="1280"/>
      <c r="BFZ24" s="1280"/>
      <c r="BGA24" s="1280"/>
      <c r="BGB24" s="1280"/>
      <c r="BGC24" s="1280"/>
      <c r="BGD24" s="1280"/>
      <c r="BGE24" s="1280"/>
      <c r="BGF24" s="1280"/>
      <c r="BGG24" s="1280"/>
      <c r="BGH24" s="1280"/>
      <c r="BGI24" s="1280"/>
      <c r="BGJ24" s="1280"/>
      <c r="BGK24" s="1280"/>
      <c r="BGL24" s="1280"/>
      <c r="BGM24" s="1280"/>
      <c r="BGN24" s="1280"/>
      <c r="BGO24" s="1280"/>
      <c r="BGP24" s="1280"/>
      <c r="BGQ24" s="1280"/>
      <c r="BGR24" s="1280"/>
      <c r="BGS24" s="1280"/>
      <c r="BGT24" s="1280"/>
      <c r="BGU24" s="1280"/>
      <c r="BGV24" s="1280"/>
      <c r="BGW24" s="1280"/>
      <c r="BGX24" s="1280"/>
      <c r="BGY24" s="1280"/>
      <c r="BGZ24" s="1280"/>
      <c r="BHA24" s="1280"/>
      <c r="BHB24" s="1280"/>
      <c r="BHC24" s="1280"/>
      <c r="BHD24" s="1280"/>
      <c r="BHE24" s="1280"/>
      <c r="BHF24" s="1280"/>
      <c r="BHG24" s="1280"/>
      <c r="BHH24" s="1280"/>
      <c r="BHI24" s="1280"/>
      <c r="BHJ24" s="1280"/>
      <c r="BHK24" s="1280"/>
      <c r="BHL24" s="1280"/>
      <c r="BHM24" s="1280"/>
      <c r="BHN24" s="1280"/>
      <c r="BHO24" s="1280"/>
      <c r="BHP24" s="1280"/>
      <c r="BHQ24" s="1280"/>
      <c r="BHR24" s="1280"/>
      <c r="BHS24" s="1280"/>
      <c r="BHT24" s="1280"/>
      <c r="BHU24" s="1280"/>
      <c r="BHV24" s="1280"/>
      <c r="BHW24" s="1280"/>
      <c r="BHX24" s="1280"/>
      <c r="BHY24" s="1280"/>
      <c r="BHZ24" s="1280"/>
      <c r="BIA24" s="1280"/>
      <c r="BIB24" s="1280"/>
      <c r="BIC24" s="1280"/>
      <c r="BID24" s="1280"/>
      <c r="BIE24" s="1280"/>
      <c r="BIF24" s="1280"/>
      <c r="BIG24" s="1280"/>
      <c r="BIH24" s="1280"/>
      <c r="BII24" s="1280"/>
      <c r="BIJ24" s="1280"/>
      <c r="BIK24" s="1280"/>
      <c r="BIL24" s="1280"/>
      <c r="BIM24" s="1280"/>
      <c r="BIN24" s="1280"/>
      <c r="BIO24" s="1280"/>
      <c r="BIP24" s="1280"/>
      <c r="BIQ24" s="1280"/>
      <c r="BIR24" s="1280"/>
      <c r="BIS24" s="1280"/>
      <c r="BIT24" s="1280"/>
      <c r="BIU24" s="1280"/>
      <c r="BIV24" s="1280"/>
      <c r="BIW24" s="1280"/>
      <c r="BIX24" s="1280"/>
      <c r="BIY24" s="1280"/>
      <c r="BIZ24" s="1280"/>
      <c r="BJA24" s="1280"/>
      <c r="BJB24" s="1280"/>
      <c r="BJC24" s="1280"/>
      <c r="BJD24" s="1280"/>
      <c r="BJE24" s="1280"/>
      <c r="BJF24" s="1280"/>
      <c r="BJG24" s="1280"/>
      <c r="BJH24" s="1280"/>
      <c r="BJI24" s="1280"/>
      <c r="BJJ24" s="1280"/>
      <c r="BJK24" s="1280"/>
      <c r="BJL24" s="1280"/>
      <c r="BJM24" s="1280"/>
      <c r="BJN24" s="1280"/>
      <c r="BJO24" s="1280"/>
      <c r="BJP24" s="1280"/>
      <c r="BJQ24" s="1280"/>
      <c r="BJR24" s="1280"/>
      <c r="BJS24" s="1280"/>
      <c r="BJT24" s="1280"/>
      <c r="BJU24" s="1280"/>
      <c r="BJV24" s="1280"/>
      <c r="BJW24" s="1280"/>
      <c r="BJX24" s="1280"/>
      <c r="BJY24" s="1280"/>
      <c r="BJZ24" s="1280"/>
      <c r="BKA24" s="1280"/>
      <c r="BKB24" s="1280"/>
      <c r="BKC24" s="1280"/>
      <c r="BKD24" s="1280"/>
      <c r="BKE24" s="1280"/>
      <c r="BKF24" s="1280"/>
      <c r="BKG24" s="1280"/>
      <c r="BKH24" s="1280"/>
      <c r="BKI24" s="1280"/>
      <c r="BKJ24" s="1280"/>
      <c r="BKK24" s="1280"/>
      <c r="BKL24" s="1280"/>
      <c r="BKM24" s="1280"/>
      <c r="BKN24" s="1280"/>
      <c r="BKO24" s="1280"/>
      <c r="BKP24" s="1280"/>
      <c r="BKQ24" s="1280"/>
      <c r="BKR24" s="1280"/>
      <c r="BKS24" s="1280"/>
      <c r="BKT24" s="1280"/>
      <c r="BKU24" s="1280"/>
      <c r="BKV24" s="1280"/>
      <c r="BKW24" s="1280"/>
      <c r="BKX24" s="1280"/>
      <c r="BKY24" s="1280"/>
      <c r="BKZ24" s="1280"/>
      <c r="BLA24" s="1280"/>
      <c r="BLB24" s="1280"/>
      <c r="BLC24" s="1280"/>
      <c r="BLD24" s="1280"/>
      <c r="BLE24" s="1280"/>
      <c r="BLF24" s="1280"/>
      <c r="BLG24" s="1280"/>
      <c r="BLH24" s="1280"/>
      <c r="BLI24" s="1280"/>
      <c r="BLJ24" s="1280"/>
      <c r="BLK24" s="1280"/>
      <c r="BLL24" s="1280"/>
      <c r="BLM24" s="1280"/>
      <c r="BLN24" s="1280"/>
      <c r="BLO24" s="1280"/>
      <c r="BLP24" s="1280"/>
      <c r="BLQ24" s="1280"/>
      <c r="BLR24" s="1280"/>
      <c r="BLS24" s="1280"/>
      <c r="BLT24" s="1280"/>
      <c r="BLU24" s="1280"/>
      <c r="BLV24" s="1280"/>
      <c r="BLW24" s="1280"/>
      <c r="BLX24" s="1280"/>
      <c r="BLY24" s="1280"/>
      <c r="BLZ24" s="1280"/>
      <c r="BMA24" s="1280"/>
      <c r="BMB24" s="1280"/>
      <c r="BMC24" s="1280"/>
      <c r="BMD24" s="1280"/>
      <c r="BME24" s="1280"/>
      <c r="BMF24" s="1280"/>
      <c r="BMG24" s="1280"/>
      <c r="BMH24" s="1280"/>
      <c r="BMI24" s="1280"/>
      <c r="BMJ24" s="1280"/>
      <c r="BMK24" s="1280"/>
      <c r="BML24" s="1280"/>
      <c r="BMM24" s="1280"/>
      <c r="BMN24" s="1280"/>
      <c r="BMO24" s="1280"/>
      <c r="BMP24" s="1280"/>
      <c r="BMQ24" s="1280"/>
      <c r="BMR24" s="1280"/>
      <c r="BMS24" s="1280"/>
      <c r="BMT24" s="1280"/>
      <c r="BMU24" s="1280"/>
      <c r="BMV24" s="1280"/>
      <c r="BMW24" s="1280"/>
      <c r="BMX24" s="1280"/>
      <c r="BMY24" s="1280"/>
      <c r="BMZ24" s="1280"/>
      <c r="BNA24" s="1280"/>
      <c r="BNB24" s="1280"/>
      <c r="BNC24" s="1280"/>
      <c r="BND24" s="1280"/>
      <c r="BNE24" s="1280"/>
      <c r="BNF24" s="1280"/>
      <c r="BNG24" s="1280"/>
      <c r="BNH24" s="1280"/>
      <c r="BNI24" s="1280"/>
      <c r="BNJ24" s="1280"/>
      <c r="BNK24" s="1280"/>
      <c r="BNL24" s="1280"/>
      <c r="BNM24" s="1280"/>
      <c r="BNN24" s="1280"/>
      <c r="BNO24" s="1280"/>
      <c r="BNP24" s="1280"/>
      <c r="BNQ24" s="1280"/>
      <c r="BNR24" s="1280"/>
      <c r="BNS24" s="1280"/>
      <c r="BNT24" s="1280"/>
      <c r="BNU24" s="1280"/>
      <c r="BNV24" s="1280"/>
      <c r="BNW24" s="1280"/>
      <c r="BNX24" s="1280"/>
      <c r="BNY24" s="1280"/>
      <c r="BNZ24" s="1280"/>
      <c r="BOA24" s="1280"/>
      <c r="BOB24" s="1280"/>
      <c r="BOC24" s="1280"/>
      <c r="BOD24" s="1280"/>
      <c r="BOE24" s="1280"/>
      <c r="BOF24" s="1280"/>
      <c r="BOG24" s="1280"/>
      <c r="BOH24" s="1280"/>
      <c r="BOI24" s="1280"/>
      <c r="BOJ24" s="1280"/>
      <c r="BOK24" s="1280"/>
      <c r="BOL24" s="1280"/>
      <c r="BOM24" s="1280"/>
      <c r="BON24" s="1280"/>
      <c r="BOO24" s="1280"/>
      <c r="BOP24" s="1280"/>
      <c r="BOQ24" s="1280"/>
      <c r="BOR24" s="1280"/>
      <c r="BOS24" s="1280"/>
      <c r="BOT24" s="1280"/>
      <c r="BOU24" s="1280"/>
      <c r="BOV24" s="1280"/>
      <c r="BOW24" s="1280"/>
      <c r="BOX24" s="1280"/>
      <c r="BOY24" s="1280"/>
      <c r="BOZ24" s="1280"/>
      <c r="BPA24" s="1280"/>
      <c r="BPB24" s="1280"/>
      <c r="BPC24" s="1280"/>
      <c r="BPD24" s="1280"/>
      <c r="BPE24" s="1280"/>
      <c r="BPF24" s="1280"/>
      <c r="BPG24" s="1280"/>
      <c r="BPH24" s="1280"/>
      <c r="BPI24" s="1280"/>
      <c r="BPJ24" s="1280"/>
      <c r="BPK24" s="1280"/>
      <c r="BPL24" s="1280"/>
      <c r="BPM24" s="1280"/>
      <c r="BPN24" s="1280"/>
      <c r="BPO24" s="1280"/>
      <c r="BPP24" s="1280"/>
      <c r="BPQ24" s="1280"/>
      <c r="BPR24" s="1280"/>
      <c r="BPS24" s="1280"/>
      <c r="BPT24" s="1280"/>
      <c r="BPU24" s="1280"/>
      <c r="BPV24" s="1280"/>
      <c r="BPW24" s="1280"/>
      <c r="BPX24" s="1280"/>
      <c r="BPY24" s="1280"/>
      <c r="BPZ24" s="1280"/>
      <c r="BQA24" s="1280"/>
      <c r="BQB24" s="1280"/>
      <c r="BQC24" s="1280"/>
      <c r="BQD24" s="1280"/>
      <c r="BQE24" s="1280"/>
      <c r="BQF24" s="1280"/>
      <c r="BQG24" s="1280"/>
      <c r="BQH24" s="1280"/>
      <c r="BQI24" s="1280"/>
      <c r="BQJ24" s="1280"/>
      <c r="BQK24" s="1280"/>
      <c r="BQL24" s="1280"/>
      <c r="BQM24" s="1280"/>
      <c r="BQN24" s="1280"/>
      <c r="BQO24" s="1280"/>
      <c r="BQP24" s="1280"/>
      <c r="BQQ24" s="1280"/>
      <c r="BQR24" s="1280"/>
      <c r="BQS24" s="1280"/>
      <c r="BQT24" s="1280"/>
      <c r="BQU24" s="1280"/>
      <c r="BQV24" s="1280"/>
      <c r="BQW24" s="1280"/>
      <c r="BQX24" s="1280"/>
      <c r="BQY24" s="1280"/>
      <c r="BQZ24" s="1280"/>
      <c r="BRA24" s="1280"/>
      <c r="BRB24" s="1280"/>
      <c r="BRC24" s="1280"/>
      <c r="BRD24" s="1280"/>
      <c r="BRE24" s="1280"/>
      <c r="BRF24" s="1280"/>
      <c r="BRG24" s="1280"/>
      <c r="BRH24" s="1280"/>
      <c r="BRI24" s="1280"/>
      <c r="BRJ24" s="1280"/>
      <c r="BRK24" s="1280"/>
      <c r="BRL24" s="1280"/>
      <c r="BRM24" s="1280"/>
      <c r="BRN24" s="1280"/>
      <c r="BRO24" s="1280"/>
      <c r="BRP24" s="1280"/>
      <c r="BRQ24" s="1280"/>
      <c r="BRR24" s="1280"/>
      <c r="BRS24" s="1280"/>
      <c r="BRT24" s="1280"/>
      <c r="BRU24" s="1280"/>
      <c r="BRV24" s="1280"/>
      <c r="BRW24" s="1280"/>
      <c r="BRX24" s="1280"/>
      <c r="BRY24" s="1280"/>
      <c r="BRZ24" s="1280"/>
      <c r="BSA24" s="1280"/>
      <c r="BSB24" s="1280"/>
      <c r="BSC24" s="1280"/>
      <c r="BSD24" s="1280"/>
      <c r="BSE24" s="1280"/>
      <c r="BSF24" s="1280"/>
      <c r="BSG24" s="1280"/>
      <c r="BSH24" s="1280"/>
      <c r="BSI24" s="1280"/>
      <c r="BSJ24" s="1280"/>
      <c r="BSK24" s="1280"/>
      <c r="BSL24" s="1280"/>
      <c r="BSM24" s="1280"/>
      <c r="BSN24" s="1280"/>
      <c r="BSO24" s="1280"/>
      <c r="BSP24" s="1280"/>
      <c r="BSQ24" s="1280"/>
      <c r="BSR24" s="1280"/>
      <c r="BSS24" s="1280"/>
      <c r="BST24" s="1280"/>
      <c r="BSU24" s="1280"/>
      <c r="BSV24" s="1280"/>
      <c r="BSW24" s="1280"/>
      <c r="BSX24" s="1280"/>
      <c r="BSY24" s="1280"/>
      <c r="BSZ24" s="1280"/>
      <c r="BTA24" s="1280"/>
      <c r="BTB24" s="1280"/>
      <c r="BTC24" s="1280"/>
      <c r="BTD24" s="1280"/>
      <c r="BTE24" s="1280"/>
      <c r="BTF24" s="1280"/>
      <c r="BTG24" s="1280"/>
      <c r="BTH24" s="1280"/>
      <c r="BTI24" s="1280"/>
      <c r="BTJ24" s="1280"/>
      <c r="BTK24" s="1280"/>
      <c r="BTL24" s="1280"/>
      <c r="BTM24" s="1280"/>
      <c r="BTN24" s="1280"/>
      <c r="BTO24" s="1280"/>
      <c r="BTP24" s="1280"/>
      <c r="BTQ24" s="1280"/>
      <c r="BTR24" s="1280"/>
      <c r="BTS24" s="1280"/>
      <c r="BTT24" s="1280"/>
      <c r="BTU24" s="1280"/>
      <c r="BTV24" s="1280"/>
      <c r="BTW24" s="1280"/>
      <c r="BTX24" s="1280"/>
      <c r="BTY24" s="1280"/>
      <c r="BTZ24" s="1280"/>
      <c r="BUA24" s="1280"/>
      <c r="BUB24" s="1280"/>
      <c r="BUC24" s="1280"/>
      <c r="BUD24" s="1280"/>
      <c r="BUE24" s="1280"/>
      <c r="BUF24" s="1280"/>
      <c r="BUG24" s="1280"/>
      <c r="BUH24" s="1280"/>
      <c r="BUI24" s="1280"/>
      <c r="BUJ24" s="1280"/>
      <c r="BUK24" s="1280"/>
      <c r="BUL24" s="1280"/>
      <c r="BUM24" s="1280"/>
      <c r="BUN24" s="1280"/>
      <c r="BUO24" s="1280"/>
      <c r="BUP24" s="1280"/>
      <c r="BUQ24" s="1280"/>
      <c r="BUR24" s="1280"/>
      <c r="BUS24" s="1280"/>
      <c r="BUT24" s="1280"/>
      <c r="BUU24" s="1280"/>
      <c r="BUV24" s="1280"/>
      <c r="BUW24" s="1280"/>
      <c r="BUX24" s="1280"/>
      <c r="BUY24" s="1280"/>
      <c r="BUZ24" s="1280"/>
      <c r="BVA24" s="1280"/>
      <c r="BVB24" s="1280"/>
      <c r="BVC24" s="1280"/>
      <c r="BVD24" s="1280"/>
      <c r="BVE24" s="1280"/>
      <c r="BVF24" s="1280"/>
      <c r="BVG24" s="1280"/>
      <c r="BVH24" s="1280"/>
      <c r="BVI24" s="1280"/>
      <c r="BVJ24" s="1280"/>
      <c r="BVK24" s="1280"/>
      <c r="BVL24" s="1280"/>
      <c r="BVM24" s="1280"/>
      <c r="BVN24" s="1280"/>
      <c r="BVO24" s="1280"/>
      <c r="BVP24" s="1280"/>
      <c r="BVQ24" s="1280"/>
      <c r="BVR24" s="1280"/>
      <c r="BVS24" s="1280"/>
      <c r="BVT24" s="1280"/>
      <c r="BVU24" s="1280"/>
      <c r="BVV24" s="1280"/>
      <c r="BVW24" s="1280"/>
      <c r="BVX24" s="1280"/>
      <c r="BVY24" s="1280"/>
      <c r="BVZ24" s="1280"/>
      <c r="BWA24" s="1280"/>
      <c r="BWB24" s="1280"/>
      <c r="BWC24" s="1280"/>
      <c r="BWD24" s="1280"/>
      <c r="BWE24" s="1280"/>
      <c r="BWF24" s="1280"/>
      <c r="BWG24" s="1280"/>
      <c r="BWH24" s="1280"/>
      <c r="BWI24" s="1280"/>
      <c r="BWJ24" s="1280"/>
      <c r="BWK24" s="1280"/>
      <c r="BWL24" s="1280"/>
      <c r="BWM24" s="1280"/>
      <c r="BWN24" s="1280"/>
      <c r="BWO24" s="1280"/>
      <c r="BWP24" s="1280"/>
      <c r="BWQ24" s="1280"/>
      <c r="BWR24" s="1280"/>
      <c r="BWS24" s="1280"/>
      <c r="BWT24" s="1280"/>
      <c r="BWU24" s="1280"/>
      <c r="BWV24" s="1280"/>
      <c r="BWW24" s="1280"/>
      <c r="BWX24" s="1280"/>
      <c r="BWY24" s="1280"/>
      <c r="BWZ24" s="1280"/>
      <c r="BXA24" s="1280"/>
      <c r="BXB24" s="1280"/>
      <c r="BXC24" s="1280"/>
      <c r="BXD24" s="1280"/>
      <c r="BXE24" s="1280"/>
      <c r="BXF24" s="1280"/>
      <c r="BXG24" s="1280"/>
      <c r="BXH24" s="1280"/>
      <c r="BXI24" s="1280"/>
      <c r="BXJ24" s="1280"/>
      <c r="BXK24" s="1280"/>
      <c r="BXL24" s="1280"/>
      <c r="BXM24" s="1280"/>
      <c r="BXN24" s="1280"/>
      <c r="BXO24" s="1280"/>
      <c r="BXP24" s="1280"/>
      <c r="BXQ24" s="1280"/>
      <c r="BXR24" s="1280"/>
      <c r="BXS24" s="1280"/>
      <c r="BXT24" s="1280"/>
      <c r="BXU24" s="1280"/>
      <c r="BXV24" s="1280"/>
      <c r="BXW24" s="1280"/>
      <c r="BXX24" s="1280"/>
      <c r="BXY24" s="1280"/>
      <c r="BXZ24" s="1280"/>
      <c r="BYA24" s="1280"/>
      <c r="BYB24" s="1280"/>
      <c r="BYC24" s="1280"/>
      <c r="BYD24" s="1280"/>
      <c r="BYE24" s="1280"/>
      <c r="BYF24" s="1280"/>
      <c r="BYG24" s="1280"/>
      <c r="BYH24" s="1280"/>
      <c r="BYI24" s="1280"/>
      <c r="BYJ24" s="1280"/>
      <c r="BYK24" s="1280"/>
      <c r="BYL24" s="1280"/>
      <c r="BYM24" s="1280"/>
      <c r="BYN24" s="1280"/>
      <c r="BYO24" s="1280"/>
      <c r="BYP24" s="1280"/>
      <c r="BYQ24" s="1280"/>
      <c r="BYR24" s="1280"/>
      <c r="BYS24" s="1280"/>
      <c r="BYT24" s="1280"/>
      <c r="BYU24" s="1280"/>
      <c r="BYV24" s="1280"/>
      <c r="BYW24" s="1280"/>
      <c r="BYX24" s="1280"/>
      <c r="BYY24" s="1280"/>
      <c r="BYZ24" s="1280"/>
      <c r="BZA24" s="1280"/>
      <c r="BZB24" s="1280"/>
      <c r="BZC24" s="1280"/>
      <c r="BZD24" s="1280"/>
      <c r="BZE24" s="1280"/>
      <c r="BZF24" s="1280"/>
      <c r="BZG24" s="1280"/>
      <c r="BZH24" s="1280"/>
      <c r="BZI24" s="1280"/>
      <c r="BZJ24" s="1280"/>
      <c r="BZK24" s="1280"/>
      <c r="BZL24" s="1280"/>
      <c r="BZM24" s="1280"/>
      <c r="BZN24" s="1280"/>
      <c r="BZO24" s="1280"/>
      <c r="BZP24" s="1280"/>
      <c r="BZQ24" s="1280"/>
      <c r="BZR24" s="1280"/>
      <c r="BZS24" s="1280"/>
      <c r="BZT24" s="1280"/>
      <c r="BZU24" s="1280"/>
      <c r="BZV24" s="1280"/>
      <c r="BZW24" s="1280"/>
      <c r="BZX24" s="1280"/>
      <c r="BZY24" s="1280"/>
      <c r="BZZ24" s="1280"/>
      <c r="CAA24" s="1280"/>
      <c r="CAB24" s="1280"/>
      <c r="CAC24" s="1280"/>
      <c r="CAD24" s="1280"/>
      <c r="CAE24" s="1280"/>
      <c r="CAF24" s="1280"/>
      <c r="CAG24" s="1280"/>
      <c r="CAH24" s="1280"/>
      <c r="CAI24" s="1280"/>
      <c r="CAJ24" s="1280"/>
      <c r="CAK24" s="1280"/>
      <c r="CAL24" s="1280"/>
      <c r="CAM24" s="1280"/>
      <c r="CAN24" s="1280"/>
      <c r="CAO24" s="1280"/>
      <c r="CAP24" s="1280"/>
      <c r="CAQ24" s="1280"/>
      <c r="CAR24" s="1280"/>
      <c r="CAS24" s="1280"/>
      <c r="CAT24" s="1280"/>
      <c r="CAU24" s="1280"/>
      <c r="CAV24" s="1280"/>
      <c r="CAW24" s="1280"/>
      <c r="CAX24" s="1280"/>
      <c r="CAY24" s="1280"/>
      <c r="CAZ24" s="1280"/>
      <c r="CBA24" s="1280"/>
      <c r="CBB24" s="1280"/>
      <c r="CBC24" s="1280"/>
      <c r="CBD24" s="1280"/>
      <c r="CBE24" s="1280"/>
      <c r="CBF24" s="1280"/>
      <c r="CBG24" s="1280"/>
      <c r="CBH24" s="1280"/>
      <c r="CBI24" s="1280"/>
      <c r="CBJ24" s="1280"/>
      <c r="CBK24" s="1280"/>
      <c r="CBL24" s="1280"/>
      <c r="CBM24" s="1280"/>
      <c r="CBN24" s="1280"/>
      <c r="CBO24" s="1280"/>
      <c r="CBP24" s="1280"/>
      <c r="CBQ24" s="1280"/>
      <c r="CBR24" s="1280"/>
      <c r="CBS24" s="1280"/>
      <c r="CBT24" s="1280"/>
      <c r="CBU24" s="1280"/>
      <c r="CBV24" s="1280"/>
      <c r="CBW24" s="1280"/>
      <c r="CBX24" s="1280"/>
      <c r="CBY24" s="1280"/>
      <c r="CBZ24" s="1280"/>
      <c r="CCA24" s="1280"/>
      <c r="CCB24" s="1280"/>
      <c r="CCC24" s="1280"/>
      <c r="CCD24" s="1280"/>
      <c r="CCE24" s="1280"/>
      <c r="CCF24" s="1280"/>
      <c r="CCG24" s="1280"/>
      <c r="CCH24" s="1280"/>
      <c r="CCI24" s="1280"/>
      <c r="CCJ24" s="1280"/>
      <c r="CCK24" s="1280"/>
      <c r="CCL24" s="1280"/>
      <c r="CCM24" s="1280"/>
      <c r="CCN24" s="1280"/>
      <c r="CCO24" s="1280"/>
      <c r="CCP24" s="1280"/>
      <c r="CCQ24" s="1280"/>
      <c r="CCR24" s="1280"/>
      <c r="CCS24" s="1280"/>
      <c r="CCT24" s="1280"/>
      <c r="CCU24" s="1280"/>
      <c r="CCV24" s="1280"/>
      <c r="CCW24" s="1280"/>
      <c r="CCX24" s="1280"/>
      <c r="CCY24" s="1280"/>
      <c r="CCZ24" s="1280"/>
      <c r="CDA24" s="1280"/>
      <c r="CDB24" s="1280"/>
      <c r="CDC24" s="1280"/>
      <c r="CDD24" s="1280"/>
      <c r="CDE24" s="1280"/>
      <c r="CDF24" s="1280"/>
      <c r="CDG24" s="1280"/>
      <c r="CDH24" s="1280"/>
      <c r="CDI24" s="1280"/>
      <c r="CDJ24" s="1280"/>
      <c r="CDK24" s="1280"/>
      <c r="CDL24" s="1280"/>
      <c r="CDM24" s="1280"/>
      <c r="CDN24" s="1280"/>
      <c r="CDO24" s="1280"/>
      <c r="CDP24" s="1280"/>
      <c r="CDQ24" s="1280"/>
      <c r="CDR24" s="1280"/>
      <c r="CDS24" s="1280"/>
      <c r="CDT24" s="1280"/>
      <c r="CDU24" s="1280"/>
      <c r="CDV24" s="1280"/>
      <c r="CDW24" s="1280"/>
      <c r="CDX24" s="1280"/>
      <c r="CDY24" s="1280"/>
      <c r="CDZ24" s="1280"/>
      <c r="CEA24" s="1280"/>
      <c r="CEB24" s="1280"/>
      <c r="CEC24" s="1280"/>
      <c r="CED24" s="1280"/>
      <c r="CEE24" s="1280"/>
      <c r="CEF24" s="1280"/>
      <c r="CEG24" s="1280"/>
      <c r="CEH24" s="1280"/>
      <c r="CEI24" s="1280"/>
      <c r="CEJ24" s="1280"/>
      <c r="CEK24" s="1280"/>
      <c r="CEL24" s="1280"/>
      <c r="CEM24" s="1280"/>
      <c r="CEN24" s="1280"/>
      <c r="CEO24" s="1280"/>
      <c r="CEP24" s="1280"/>
      <c r="CEQ24" s="1280"/>
      <c r="CER24" s="1280"/>
      <c r="CES24" s="1280"/>
      <c r="CET24" s="1280"/>
      <c r="CEU24" s="1280"/>
      <c r="CEV24" s="1280"/>
      <c r="CEW24" s="1280"/>
      <c r="CEX24" s="1280"/>
      <c r="CEY24" s="1280"/>
      <c r="CEZ24" s="1280"/>
      <c r="CFA24" s="1280"/>
      <c r="CFB24" s="1280"/>
      <c r="CFC24" s="1280"/>
      <c r="CFD24" s="1280"/>
      <c r="CFE24" s="1280"/>
      <c r="CFF24" s="1280"/>
      <c r="CFG24" s="1280"/>
      <c r="CFH24" s="1280"/>
      <c r="CFI24" s="1280"/>
      <c r="CFJ24" s="1280"/>
      <c r="CFK24" s="1280"/>
      <c r="CFL24" s="1280"/>
      <c r="CFM24" s="1280"/>
      <c r="CFN24" s="1280"/>
      <c r="CFO24" s="1280"/>
      <c r="CFP24" s="1280"/>
      <c r="CFQ24" s="1280"/>
      <c r="CFR24" s="1280"/>
      <c r="CFS24" s="1280"/>
      <c r="CFT24" s="1280"/>
      <c r="CFU24" s="1280"/>
      <c r="CFV24" s="1280"/>
      <c r="CFW24" s="1280"/>
      <c r="CFX24" s="1280"/>
      <c r="CFY24" s="1280"/>
      <c r="CFZ24" s="1280"/>
      <c r="CGA24" s="1280"/>
      <c r="CGB24" s="1280"/>
      <c r="CGC24" s="1280"/>
      <c r="CGD24" s="1280"/>
      <c r="CGE24" s="1280"/>
      <c r="CGF24" s="1280"/>
      <c r="CGG24" s="1280"/>
      <c r="CGH24" s="1280"/>
      <c r="CGI24" s="1280"/>
      <c r="CGJ24" s="1280"/>
      <c r="CGK24" s="1280"/>
      <c r="CGL24" s="1280"/>
      <c r="CGM24" s="1280"/>
      <c r="CGN24" s="1280"/>
      <c r="CGO24" s="1280"/>
      <c r="CGP24" s="1280"/>
      <c r="CGQ24" s="1280"/>
      <c r="CGR24" s="1280"/>
      <c r="CGS24" s="1280"/>
      <c r="CGT24" s="1280"/>
      <c r="CGU24" s="1280"/>
      <c r="CGV24" s="1280"/>
      <c r="CGW24" s="1280"/>
      <c r="CGX24" s="1280"/>
      <c r="CGY24" s="1280"/>
      <c r="CGZ24" s="1280"/>
      <c r="CHA24" s="1280"/>
      <c r="CHB24" s="1280"/>
      <c r="CHC24" s="1280"/>
      <c r="CHD24" s="1280"/>
      <c r="CHE24" s="1280"/>
      <c r="CHF24" s="1280"/>
      <c r="CHG24" s="1280"/>
      <c r="CHH24" s="1280"/>
      <c r="CHI24" s="1280"/>
      <c r="CHJ24" s="1280"/>
      <c r="CHK24" s="1280"/>
      <c r="CHL24" s="1280"/>
      <c r="CHM24" s="1280"/>
      <c r="CHN24" s="1280"/>
      <c r="CHO24" s="1280"/>
      <c r="CHP24" s="1280"/>
      <c r="CHQ24" s="1280"/>
      <c r="CHR24" s="1280"/>
      <c r="CHS24" s="1280"/>
      <c r="CHT24" s="1280"/>
      <c r="CHU24" s="1280"/>
      <c r="CHV24" s="1280"/>
      <c r="CHW24" s="1280"/>
      <c r="CHX24" s="1280"/>
      <c r="CHY24" s="1280"/>
      <c r="CHZ24" s="1280"/>
      <c r="CIA24" s="1280"/>
      <c r="CIB24" s="1280"/>
      <c r="CIC24" s="1280"/>
      <c r="CID24" s="1280"/>
      <c r="CIE24" s="1280"/>
      <c r="CIF24" s="1280"/>
      <c r="CIG24" s="1280"/>
      <c r="CIH24" s="1280"/>
      <c r="CII24" s="1280"/>
      <c r="CIJ24" s="1280"/>
      <c r="CIK24" s="1280"/>
      <c r="CIL24" s="1280"/>
      <c r="CIM24" s="1280"/>
      <c r="CIN24" s="1280"/>
      <c r="CIO24" s="1280"/>
      <c r="CIP24" s="1280"/>
      <c r="CIQ24" s="1280"/>
      <c r="CIR24" s="1280"/>
      <c r="CIS24" s="1280"/>
      <c r="CIT24" s="1280"/>
      <c r="CIU24" s="1280"/>
      <c r="CIV24" s="1280"/>
      <c r="CIW24" s="1280"/>
      <c r="CIX24" s="1280"/>
      <c r="CIY24" s="1280"/>
      <c r="CIZ24" s="1280"/>
      <c r="CJA24" s="1280"/>
      <c r="CJB24" s="1280"/>
      <c r="CJC24" s="1280"/>
      <c r="CJD24" s="1280"/>
      <c r="CJE24" s="1280"/>
      <c r="CJF24" s="1280"/>
      <c r="CJG24" s="1280"/>
      <c r="CJH24" s="1280"/>
      <c r="CJI24" s="1280"/>
      <c r="CJJ24" s="1280"/>
      <c r="CJK24" s="1280"/>
      <c r="CJL24" s="1280"/>
      <c r="CJM24" s="1280"/>
      <c r="CJN24" s="1280"/>
      <c r="CJO24" s="1280"/>
      <c r="CJP24" s="1280"/>
      <c r="CJQ24" s="1280"/>
      <c r="CJR24" s="1280"/>
      <c r="CJS24" s="1280"/>
      <c r="CJT24" s="1280"/>
      <c r="CJU24" s="1280"/>
      <c r="CJV24" s="1280"/>
      <c r="CJW24" s="1280"/>
      <c r="CJX24" s="1280"/>
      <c r="CJY24" s="1280"/>
      <c r="CJZ24" s="1280"/>
      <c r="CKA24" s="1280"/>
      <c r="CKB24" s="1280"/>
      <c r="CKC24" s="1280"/>
      <c r="CKD24" s="1280"/>
      <c r="CKE24" s="1280"/>
      <c r="CKF24" s="1280"/>
      <c r="CKG24" s="1280"/>
      <c r="CKH24" s="1280"/>
      <c r="CKI24" s="1280"/>
      <c r="CKJ24" s="1280"/>
      <c r="CKK24" s="1280"/>
      <c r="CKL24" s="1280"/>
      <c r="CKM24" s="1280"/>
      <c r="CKN24" s="1280"/>
      <c r="CKO24" s="1280"/>
      <c r="CKP24" s="1280"/>
      <c r="CKQ24" s="1280"/>
      <c r="CKR24" s="1280"/>
      <c r="CKS24" s="1280"/>
      <c r="CKT24" s="1280"/>
      <c r="CKU24" s="1280"/>
      <c r="CKV24" s="1280"/>
      <c r="CKW24" s="1280"/>
      <c r="CKX24" s="1280"/>
      <c r="CKY24" s="1280"/>
      <c r="CKZ24" s="1280"/>
      <c r="CLA24" s="1280"/>
      <c r="CLB24" s="1280"/>
      <c r="CLC24" s="1280"/>
      <c r="CLD24" s="1280"/>
      <c r="CLE24" s="1280"/>
      <c r="CLF24" s="1280"/>
      <c r="CLG24" s="1280"/>
      <c r="CLH24" s="1280"/>
      <c r="CLI24" s="1280"/>
      <c r="CLJ24" s="1280"/>
      <c r="CLK24" s="1280"/>
      <c r="CLL24" s="1280"/>
      <c r="CLM24" s="1280"/>
      <c r="CLN24" s="1280"/>
      <c r="CLO24" s="1280"/>
      <c r="CLP24" s="1280"/>
      <c r="CLQ24" s="1280"/>
      <c r="CLR24" s="1280"/>
      <c r="CLS24" s="1280"/>
      <c r="CLT24" s="1280"/>
      <c r="CLU24" s="1280"/>
      <c r="CLV24" s="1280"/>
      <c r="CLW24" s="1280"/>
      <c r="CLX24" s="1280"/>
      <c r="CLY24" s="1280"/>
      <c r="CLZ24" s="1280"/>
      <c r="CMA24" s="1280"/>
      <c r="CMB24" s="1280"/>
      <c r="CMC24" s="1280"/>
      <c r="CMD24" s="1280"/>
      <c r="CME24" s="1280"/>
      <c r="CMF24" s="1280"/>
      <c r="CMG24" s="1280"/>
      <c r="CMH24" s="1280"/>
      <c r="CMI24" s="1280"/>
      <c r="CMJ24" s="1280"/>
      <c r="CMK24" s="1280"/>
      <c r="CML24" s="1280"/>
      <c r="CMM24" s="1280"/>
      <c r="CMN24" s="1280"/>
      <c r="CMO24" s="1280"/>
      <c r="CMP24" s="1280"/>
      <c r="CMQ24" s="1280"/>
      <c r="CMR24" s="1280"/>
      <c r="CMS24" s="1280"/>
      <c r="CMT24" s="1280"/>
      <c r="CMU24" s="1280"/>
      <c r="CMV24" s="1280"/>
      <c r="CMW24" s="1280"/>
      <c r="CMX24" s="1280"/>
      <c r="CMY24" s="1280"/>
      <c r="CMZ24" s="1280"/>
      <c r="CNA24" s="1280"/>
      <c r="CNB24" s="1280"/>
      <c r="CNC24" s="1280"/>
      <c r="CND24" s="1280"/>
      <c r="CNE24" s="1280"/>
      <c r="CNF24" s="1280"/>
      <c r="CNG24" s="1280"/>
      <c r="CNH24" s="1280"/>
      <c r="CNI24" s="1280"/>
      <c r="CNJ24" s="1280"/>
      <c r="CNK24" s="1280"/>
      <c r="CNL24" s="1280"/>
      <c r="CNM24" s="1280"/>
      <c r="CNN24" s="1280"/>
      <c r="CNO24" s="1280"/>
      <c r="CNP24" s="1280"/>
      <c r="CNQ24" s="1280"/>
      <c r="CNR24" s="1280"/>
      <c r="CNS24" s="1280"/>
      <c r="CNT24" s="1280"/>
      <c r="CNU24" s="1280"/>
      <c r="CNV24" s="1280"/>
      <c r="CNW24" s="1280"/>
      <c r="CNX24" s="1280"/>
      <c r="CNY24" s="1280"/>
      <c r="CNZ24" s="1280"/>
      <c r="COA24" s="1280"/>
      <c r="COB24" s="1280"/>
      <c r="COC24" s="1280"/>
      <c r="COD24" s="1280"/>
      <c r="COE24" s="1280"/>
      <c r="COF24" s="1280"/>
      <c r="COG24" s="1280"/>
      <c r="COH24" s="1280"/>
      <c r="COI24" s="1280"/>
      <c r="COJ24" s="1280"/>
      <c r="COK24" s="1280"/>
      <c r="COL24" s="1280"/>
      <c r="COM24" s="1280"/>
      <c r="CON24" s="1280"/>
      <c r="COO24" s="1280"/>
      <c r="COP24" s="1280"/>
      <c r="COQ24" s="1280"/>
      <c r="COR24" s="1280"/>
      <c r="COS24" s="1280"/>
      <c r="COT24" s="1280"/>
      <c r="COU24" s="1280"/>
      <c r="COV24" s="1280"/>
      <c r="COW24" s="1280"/>
      <c r="COX24" s="1280"/>
      <c r="COY24" s="1280"/>
      <c r="COZ24" s="1280"/>
      <c r="CPA24" s="1280"/>
      <c r="CPB24" s="1280"/>
      <c r="CPC24" s="1280"/>
      <c r="CPD24" s="1280"/>
      <c r="CPE24" s="1280"/>
      <c r="CPF24" s="1280"/>
      <c r="CPG24" s="1280"/>
      <c r="CPH24" s="1280"/>
      <c r="CPI24" s="1280"/>
      <c r="CPJ24" s="1280"/>
      <c r="CPK24" s="1280"/>
      <c r="CPL24" s="1280"/>
      <c r="CPM24" s="1280"/>
      <c r="CPN24" s="1280"/>
      <c r="CPO24" s="1280"/>
      <c r="CPP24" s="1280"/>
      <c r="CPQ24" s="1280"/>
      <c r="CPR24" s="1280"/>
      <c r="CPS24" s="1280"/>
      <c r="CPT24" s="1280"/>
      <c r="CPU24" s="1280"/>
      <c r="CPV24" s="1280"/>
      <c r="CPW24" s="1280"/>
      <c r="CPX24" s="1280"/>
      <c r="CPY24" s="1280"/>
      <c r="CPZ24" s="1280"/>
      <c r="CQA24" s="1280"/>
      <c r="CQB24" s="1280"/>
      <c r="CQC24" s="1280"/>
      <c r="CQD24" s="1280"/>
      <c r="CQE24" s="1280"/>
      <c r="CQF24" s="1280"/>
      <c r="CQG24" s="1280"/>
      <c r="CQH24" s="1280"/>
      <c r="CQI24" s="1280"/>
      <c r="CQJ24" s="1280"/>
      <c r="CQK24" s="1280"/>
      <c r="CQL24" s="1280"/>
      <c r="CQM24" s="1280"/>
      <c r="CQN24" s="1280"/>
      <c r="CQO24" s="1280"/>
      <c r="CQP24" s="1280"/>
      <c r="CQQ24" s="1280"/>
      <c r="CQR24" s="1280"/>
      <c r="CQS24" s="1280"/>
      <c r="CQT24" s="1280"/>
      <c r="CQU24" s="1280"/>
      <c r="CQV24" s="1280"/>
      <c r="CQW24" s="1280"/>
      <c r="CQX24" s="1280"/>
      <c r="CQY24" s="1280"/>
      <c r="CQZ24" s="1280"/>
      <c r="CRA24" s="1280"/>
      <c r="CRB24" s="1280"/>
      <c r="CRC24" s="1280"/>
      <c r="CRD24" s="1280"/>
      <c r="CRE24" s="1280"/>
      <c r="CRF24" s="1280"/>
      <c r="CRG24" s="1280"/>
      <c r="CRH24" s="1280"/>
      <c r="CRI24" s="1280"/>
      <c r="CRJ24" s="1280"/>
      <c r="CRK24" s="1280"/>
      <c r="CRL24" s="1280"/>
      <c r="CRM24" s="1280"/>
      <c r="CRN24" s="1280"/>
      <c r="CRO24" s="1280"/>
      <c r="CRP24" s="1280"/>
      <c r="CRQ24" s="1280"/>
      <c r="CRR24" s="1280"/>
      <c r="CRS24" s="1280"/>
      <c r="CRT24" s="1280"/>
      <c r="CRU24" s="1280"/>
      <c r="CRV24" s="1280"/>
      <c r="CRW24" s="1280"/>
      <c r="CRX24" s="1280"/>
      <c r="CRY24" s="1280"/>
      <c r="CRZ24" s="1280"/>
      <c r="CSA24" s="1280"/>
      <c r="CSB24" s="1280"/>
      <c r="CSC24" s="1280"/>
      <c r="CSD24" s="1280"/>
      <c r="CSE24" s="1280"/>
      <c r="CSF24" s="1280"/>
      <c r="CSG24" s="1280"/>
      <c r="CSH24" s="1280"/>
      <c r="CSI24" s="1280"/>
      <c r="CSJ24" s="1280"/>
      <c r="CSK24" s="1280"/>
      <c r="CSL24" s="1280"/>
      <c r="CSM24" s="1280"/>
      <c r="CSN24" s="1280"/>
      <c r="CSO24" s="1280"/>
      <c r="CSP24" s="1280"/>
      <c r="CSQ24" s="1280"/>
      <c r="CSR24" s="1280"/>
      <c r="CSS24" s="1280"/>
      <c r="CST24" s="1280"/>
      <c r="CSU24" s="1280"/>
      <c r="CSV24" s="1280"/>
      <c r="CSW24" s="1280"/>
      <c r="CSX24" s="1280"/>
      <c r="CSY24" s="1280"/>
      <c r="CSZ24" s="1280"/>
      <c r="CTA24" s="1280"/>
      <c r="CTB24" s="1280"/>
      <c r="CTC24" s="1280"/>
      <c r="CTD24" s="1280"/>
      <c r="CTE24" s="1280"/>
      <c r="CTF24" s="1280"/>
      <c r="CTG24" s="1280"/>
      <c r="CTH24" s="1280"/>
      <c r="CTI24" s="1280"/>
      <c r="CTJ24" s="1280"/>
      <c r="CTK24" s="1280"/>
      <c r="CTL24" s="1280"/>
      <c r="CTM24" s="1280"/>
      <c r="CTN24" s="1280"/>
      <c r="CTO24" s="1280"/>
      <c r="CTP24" s="1280"/>
      <c r="CTQ24" s="1280"/>
      <c r="CTR24" s="1280"/>
      <c r="CTS24" s="1280"/>
      <c r="CTT24" s="1280"/>
      <c r="CTU24" s="1280"/>
      <c r="CTV24" s="1280"/>
      <c r="CTW24" s="1280"/>
      <c r="CTX24" s="1280"/>
      <c r="CTY24" s="1280"/>
      <c r="CTZ24" s="1280"/>
      <c r="CUA24" s="1280"/>
      <c r="CUB24" s="1280"/>
      <c r="CUC24" s="1280"/>
      <c r="CUD24" s="1280"/>
      <c r="CUE24" s="1280"/>
      <c r="CUF24" s="1280"/>
      <c r="CUG24" s="1280"/>
      <c r="CUH24" s="1280"/>
      <c r="CUI24" s="1280"/>
      <c r="CUJ24" s="1280"/>
      <c r="CUK24" s="1280"/>
      <c r="CUL24" s="1280"/>
      <c r="CUM24" s="1280"/>
      <c r="CUN24" s="1280"/>
      <c r="CUO24" s="1280"/>
      <c r="CUP24" s="1280"/>
      <c r="CUQ24" s="1280"/>
      <c r="CUR24" s="1280"/>
      <c r="CUS24" s="1280"/>
      <c r="CUT24" s="1280"/>
      <c r="CUU24" s="1280"/>
      <c r="CUV24" s="1280"/>
      <c r="CUW24" s="1280"/>
      <c r="CUX24" s="1280"/>
      <c r="CUY24" s="1280"/>
      <c r="CUZ24" s="1280"/>
      <c r="CVA24" s="1280"/>
      <c r="CVB24" s="1280"/>
      <c r="CVC24" s="1280"/>
      <c r="CVD24" s="1280"/>
      <c r="CVE24" s="1280"/>
      <c r="CVF24" s="1280"/>
      <c r="CVG24" s="1280"/>
      <c r="CVH24" s="1280"/>
      <c r="CVI24" s="1280"/>
      <c r="CVJ24" s="1280"/>
      <c r="CVK24" s="1280"/>
      <c r="CVL24" s="1280"/>
      <c r="CVM24" s="1280"/>
      <c r="CVN24" s="1280"/>
      <c r="CVO24" s="1280"/>
      <c r="CVP24" s="1280"/>
      <c r="CVQ24" s="1280"/>
      <c r="CVR24" s="1280"/>
      <c r="CVS24" s="1280"/>
      <c r="CVT24" s="1280"/>
      <c r="CVU24" s="1280"/>
      <c r="CVV24" s="1280"/>
      <c r="CVW24" s="1280"/>
      <c r="CVX24" s="1280"/>
      <c r="CVY24" s="1280"/>
      <c r="CVZ24" s="1280"/>
      <c r="CWA24" s="1280"/>
      <c r="CWB24" s="1280"/>
      <c r="CWC24" s="1280"/>
      <c r="CWD24" s="1280"/>
      <c r="CWE24" s="1280"/>
      <c r="CWF24" s="1280"/>
      <c r="CWG24" s="1280"/>
      <c r="CWH24" s="1280"/>
      <c r="CWI24" s="1280"/>
      <c r="CWJ24" s="1280"/>
      <c r="CWK24" s="1280"/>
      <c r="CWL24" s="1280"/>
      <c r="CWM24" s="1280"/>
      <c r="CWN24" s="1280"/>
      <c r="CWO24" s="1280"/>
      <c r="CWP24" s="1280"/>
      <c r="CWQ24" s="1280"/>
      <c r="CWR24" s="1280"/>
      <c r="CWS24" s="1280"/>
      <c r="CWT24" s="1280"/>
      <c r="CWU24" s="1280"/>
      <c r="CWV24" s="1280"/>
      <c r="CWW24" s="1280"/>
      <c r="CWX24" s="1280"/>
      <c r="CWY24" s="1280"/>
      <c r="CWZ24" s="1280"/>
      <c r="CXA24" s="1280"/>
      <c r="CXB24" s="1280"/>
      <c r="CXC24" s="1280"/>
      <c r="CXD24" s="1280"/>
      <c r="CXE24" s="1280"/>
      <c r="CXF24" s="1280"/>
      <c r="CXG24" s="1280"/>
      <c r="CXH24" s="1280"/>
      <c r="CXI24" s="1280"/>
      <c r="CXJ24" s="1280"/>
      <c r="CXK24" s="1280"/>
      <c r="CXL24" s="1280"/>
      <c r="CXM24" s="1280"/>
      <c r="CXN24" s="1280"/>
      <c r="CXO24" s="1280"/>
      <c r="CXP24" s="1280"/>
      <c r="CXQ24" s="1280"/>
      <c r="CXR24" s="1280"/>
      <c r="CXS24" s="1280"/>
      <c r="CXT24" s="1280"/>
      <c r="CXU24" s="1280"/>
      <c r="CXV24" s="1280"/>
      <c r="CXW24" s="1280"/>
      <c r="CXX24" s="1280"/>
      <c r="CXY24" s="1280"/>
      <c r="CXZ24" s="1280"/>
      <c r="CYA24" s="1280"/>
      <c r="CYB24" s="1280"/>
      <c r="CYC24" s="1280"/>
      <c r="CYD24" s="1280"/>
      <c r="CYE24" s="1280"/>
      <c r="CYF24" s="1280"/>
      <c r="CYG24" s="1280"/>
      <c r="CYH24" s="1280"/>
      <c r="CYI24" s="1280"/>
      <c r="CYJ24" s="1280"/>
      <c r="CYK24" s="1280"/>
      <c r="CYL24" s="1280"/>
      <c r="CYM24" s="1280"/>
      <c r="CYN24" s="1280"/>
      <c r="CYO24" s="1280"/>
      <c r="CYP24" s="1280"/>
      <c r="CYQ24" s="1280"/>
      <c r="CYR24" s="1280"/>
      <c r="CYS24" s="1280"/>
      <c r="CYT24" s="1280"/>
      <c r="CYU24" s="1280"/>
      <c r="CYV24" s="1280"/>
      <c r="CYW24" s="1280"/>
      <c r="CYX24" s="1280"/>
      <c r="CYY24" s="1280"/>
      <c r="CYZ24" s="1280"/>
      <c r="CZA24" s="1280"/>
      <c r="CZB24" s="1280"/>
      <c r="CZC24" s="1280"/>
      <c r="CZD24" s="1280"/>
      <c r="CZE24" s="1280"/>
      <c r="CZF24" s="1280"/>
      <c r="CZG24" s="1280"/>
      <c r="CZH24" s="1280"/>
      <c r="CZI24" s="1280"/>
      <c r="CZJ24" s="1280"/>
      <c r="CZK24" s="1280"/>
      <c r="CZL24" s="1280"/>
      <c r="CZM24" s="1280"/>
      <c r="CZN24" s="1280"/>
      <c r="CZO24" s="1280"/>
      <c r="CZP24" s="1280"/>
      <c r="CZQ24" s="1280"/>
      <c r="CZR24" s="1280"/>
      <c r="CZS24" s="1280"/>
      <c r="CZT24" s="1280"/>
      <c r="CZU24" s="1280"/>
      <c r="CZV24" s="1280"/>
      <c r="CZW24" s="1280"/>
      <c r="CZX24" s="1280"/>
      <c r="CZY24" s="1280"/>
      <c r="CZZ24" s="1280"/>
      <c r="DAA24" s="1280"/>
      <c r="DAB24" s="1280"/>
      <c r="DAC24" s="1280"/>
      <c r="DAD24" s="1280"/>
      <c r="DAE24" s="1280"/>
      <c r="DAF24" s="1280"/>
      <c r="DAG24" s="1280"/>
      <c r="DAH24" s="1280"/>
      <c r="DAI24" s="1280"/>
      <c r="DAJ24" s="1280"/>
      <c r="DAK24" s="1280"/>
      <c r="DAL24" s="1280"/>
      <c r="DAM24" s="1280"/>
      <c r="DAN24" s="1280"/>
      <c r="DAO24" s="1280"/>
      <c r="DAP24" s="1280"/>
      <c r="DAQ24" s="1280"/>
      <c r="DAR24" s="1280"/>
      <c r="DAS24" s="1280"/>
      <c r="DAT24" s="1280"/>
      <c r="DAU24" s="1280"/>
      <c r="DAV24" s="1280"/>
      <c r="DAW24" s="1280"/>
      <c r="DAX24" s="1280"/>
      <c r="DAY24" s="1280"/>
      <c r="DAZ24" s="1280"/>
      <c r="DBA24" s="1280"/>
      <c r="DBB24" s="1280"/>
      <c r="DBC24" s="1280"/>
      <c r="DBD24" s="1280"/>
      <c r="DBE24" s="1280"/>
      <c r="DBF24" s="1280"/>
      <c r="DBG24" s="1280"/>
      <c r="DBH24" s="1280"/>
      <c r="DBI24" s="1280"/>
      <c r="DBJ24" s="1280"/>
      <c r="DBK24" s="1280"/>
      <c r="DBL24" s="1280"/>
      <c r="DBM24" s="1280"/>
      <c r="DBN24" s="1280"/>
      <c r="DBO24" s="1280"/>
      <c r="DBP24" s="1280"/>
      <c r="DBQ24" s="1280"/>
      <c r="DBR24" s="1280"/>
      <c r="DBS24" s="1280"/>
      <c r="DBT24" s="1280"/>
      <c r="DBU24" s="1280"/>
      <c r="DBV24" s="1280"/>
      <c r="DBW24" s="1280"/>
      <c r="DBX24" s="1280"/>
      <c r="DBY24" s="1280"/>
      <c r="DBZ24" s="1280"/>
      <c r="DCA24" s="1280"/>
      <c r="DCB24" s="1280"/>
      <c r="DCC24" s="1280"/>
      <c r="DCD24" s="1280"/>
      <c r="DCE24" s="1280"/>
      <c r="DCF24" s="1280"/>
      <c r="DCG24" s="1280"/>
      <c r="DCH24" s="1280"/>
      <c r="DCI24" s="1280"/>
      <c r="DCJ24" s="1280"/>
      <c r="DCK24" s="1280"/>
      <c r="DCL24" s="1280"/>
      <c r="DCM24" s="1280"/>
      <c r="DCN24" s="1280"/>
      <c r="DCO24" s="1280"/>
      <c r="DCP24" s="1280"/>
      <c r="DCQ24" s="1280"/>
      <c r="DCR24" s="1280"/>
      <c r="DCS24" s="1280"/>
      <c r="DCT24" s="1280"/>
      <c r="DCU24" s="1280"/>
      <c r="DCV24" s="1280"/>
      <c r="DCW24" s="1280"/>
      <c r="DCX24" s="1280"/>
      <c r="DCY24" s="1280"/>
      <c r="DCZ24" s="1280"/>
      <c r="DDA24" s="1280"/>
      <c r="DDB24" s="1280"/>
      <c r="DDC24" s="1280"/>
      <c r="DDD24" s="1280"/>
      <c r="DDE24" s="1280"/>
      <c r="DDF24" s="1280"/>
      <c r="DDG24" s="1280"/>
      <c r="DDH24" s="1280"/>
      <c r="DDI24" s="1280"/>
      <c r="DDJ24" s="1280"/>
      <c r="DDK24" s="1280"/>
      <c r="DDL24" s="1280"/>
      <c r="DDM24" s="1280"/>
      <c r="DDN24" s="1280"/>
      <c r="DDO24" s="1280"/>
      <c r="DDP24" s="1280"/>
      <c r="DDQ24" s="1280"/>
      <c r="DDR24" s="1280"/>
      <c r="DDS24" s="1280"/>
      <c r="DDT24" s="1280"/>
      <c r="DDU24" s="1280"/>
      <c r="DDV24" s="1280"/>
      <c r="DDW24" s="1280"/>
      <c r="DDX24" s="1280"/>
      <c r="DDY24" s="1280"/>
      <c r="DDZ24" s="1280"/>
      <c r="DEA24" s="1280"/>
      <c r="DEB24" s="1280"/>
      <c r="DEC24" s="1280"/>
      <c r="DED24" s="1280"/>
      <c r="DEE24" s="1280"/>
      <c r="DEF24" s="1280"/>
      <c r="DEG24" s="1280"/>
      <c r="DEH24" s="1280"/>
      <c r="DEI24" s="1280"/>
      <c r="DEJ24" s="1280"/>
      <c r="DEK24" s="1280"/>
      <c r="DEL24" s="1280"/>
      <c r="DEM24" s="1280"/>
      <c r="DEN24" s="1280"/>
      <c r="DEO24" s="1280"/>
      <c r="DEP24" s="1280"/>
      <c r="DEQ24" s="1280"/>
      <c r="DER24" s="1280"/>
      <c r="DES24" s="1280"/>
      <c r="DET24" s="1280"/>
      <c r="DEU24" s="1280"/>
      <c r="DEV24" s="1280"/>
      <c r="DEW24" s="1280"/>
      <c r="DEX24" s="1280"/>
      <c r="DEY24" s="1280"/>
      <c r="DEZ24" s="1280"/>
      <c r="DFA24" s="1280"/>
      <c r="DFB24" s="1280"/>
      <c r="DFC24" s="1280"/>
      <c r="DFD24" s="1280"/>
      <c r="DFE24" s="1280"/>
      <c r="DFF24" s="1280"/>
      <c r="DFG24" s="1280"/>
      <c r="DFH24" s="1280"/>
      <c r="DFI24" s="1280"/>
      <c r="DFJ24" s="1280"/>
      <c r="DFK24" s="1280"/>
      <c r="DFL24" s="1280"/>
      <c r="DFM24" s="1280"/>
      <c r="DFN24" s="1280"/>
      <c r="DFO24" s="1280"/>
      <c r="DFP24" s="1280"/>
      <c r="DFQ24" s="1280"/>
      <c r="DFR24" s="1280"/>
      <c r="DFS24" s="1280"/>
      <c r="DFT24" s="1280"/>
      <c r="DFU24" s="1280"/>
      <c r="DFV24" s="1280"/>
      <c r="DFW24" s="1280"/>
      <c r="DFX24" s="1280"/>
      <c r="DFY24" s="1280"/>
      <c r="DFZ24" s="1280"/>
      <c r="DGA24" s="1280"/>
      <c r="DGB24" s="1280"/>
      <c r="DGC24" s="1280"/>
      <c r="DGD24" s="1280"/>
      <c r="DGE24" s="1280"/>
      <c r="DGF24" s="1280"/>
      <c r="DGG24" s="1280"/>
      <c r="DGH24" s="1280"/>
      <c r="DGI24" s="1280"/>
      <c r="DGJ24" s="1280"/>
      <c r="DGK24" s="1280"/>
      <c r="DGL24" s="1280"/>
      <c r="DGM24" s="1280"/>
      <c r="DGN24" s="1280"/>
      <c r="DGO24" s="1280"/>
      <c r="DGP24" s="1280"/>
      <c r="DGQ24" s="1280"/>
      <c r="DGR24" s="1280"/>
      <c r="DGS24" s="1280"/>
      <c r="DGT24" s="1280"/>
      <c r="DGU24" s="1280"/>
      <c r="DGV24" s="1280"/>
      <c r="DGW24" s="1280"/>
      <c r="DGX24" s="1280"/>
      <c r="DGY24" s="1280"/>
      <c r="DGZ24" s="1280"/>
      <c r="DHA24" s="1280"/>
      <c r="DHB24" s="1280"/>
      <c r="DHC24" s="1280"/>
      <c r="DHD24" s="1280"/>
      <c r="DHE24" s="1280"/>
      <c r="DHF24" s="1280"/>
      <c r="DHG24" s="1280"/>
      <c r="DHH24" s="1280"/>
      <c r="DHI24" s="1280"/>
      <c r="DHJ24" s="1280"/>
      <c r="DHK24" s="1280"/>
      <c r="DHL24" s="1280"/>
      <c r="DHM24" s="1280"/>
      <c r="DHN24" s="1280"/>
      <c r="DHO24" s="1280"/>
      <c r="DHP24" s="1280"/>
      <c r="DHQ24" s="1280"/>
      <c r="DHR24" s="1280"/>
      <c r="DHS24" s="1280"/>
      <c r="DHT24" s="1280"/>
      <c r="DHU24" s="1280"/>
      <c r="DHV24" s="1280"/>
      <c r="DHW24" s="1280"/>
      <c r="DHX24" s="1280"/>
      <c r="DHY24" s="1280"/>
      <c r="DHZ24" s="1280"/>
      <c r="DIA24" s="1280"/>
      <c r="DIB24" s="1280"/>
      <c r="DIC24" s="1280"/>
      <c r="DID24" s="1280"/>
      <c r="DIE24" s="1280"/>
      <c r="DIF24" s="1280"/>
      <c r="DIG24" s="1280"/>
      <c r="DIH24" s="1280"/>
      <c r="DII24" s="1280"/>
      <c r="DIJ24" s="1280"/>
      <c r="DIK24" s="1280"/>
      <c r="DIL24" s="1280"/>
      <c r="DIM24" s="1280"/>
      <c r="DIN24" s="1280"/>
      <c r="DIO24" s="1280"/>
      <c r="DIP24" s="1280"/>
      <c r="DIQ24" s="1280"/>
      <c r="DIR24" s="1280"/>
      <c r="DIS24" s="1280"/>
      <c r="DIT24" s="1280"/>
      <c r="DIU24" s="1280"/>
      <c r="DIV24" s="1280"/>
      <c r="DIW24" s="1280"/>
      <c r="DIX24" s="1280"/>
      <c r="DIY24" s="1280"/>
      <c r="DIZ24" s="1280"/>
      <c r="DJA24" s="1280"/>
      <c r="DJB24" s="1280"/>
      <c r="DJC24" s="1280"/>
      <c r="DJD24" s="1280"/>
      <c r="DJE24" s="1280"/>
      <c r="DJF24" s="1280"/>
      <c r="DJG24" s="1280"/>
      <c r="DJH24" s="1280"/>
      <c r="DJI24" s="1280"/>
      <c r="DJJ24" s="1280"/>
      <c r="DJK24" s="1280"/>
      <c r="DJL24" s="1280"/>
      <c r="DJM24" s="1280"/>
      <c r="DJN24" s="1280"/>
      <c r="DJO24" s="1280"/>
      <c r="DJP24" s="1280"/>
      <c r="DJQ24" s="1280"/>
      <c r="DJR24" s="1280"/>
      <c r="DJS24" s="1280"/>
      <c r="DJT24" s="1280"/>
      <c r="DJU24" s="1280"/>
      <c r="DJV24" s="1280"/>
      <c r="DJW24" s="1280"/>
      <c r="DJX24" s="1280"/>
      <c r="DJY24" s="1280"/>
      <c r="DJZ24" s="1280"/>
      <c r="DKA24" s="1280"/>
      <c r="DKB24" s="1280"/>
      <c r="DKC24" s="1280"/>
      <c r="DKD24" s="1280"/>
      <c r="DKE24" s="1280"/>
      <c r="DKF24" s="1280"/>
      <c r="DKG24" s="1280"/>
      <c r="DKH24" s="1280"/>
      <c r="DKI24" s="1280"/>
      <c r="DKJ24" s="1280"/>
      <c r="DKK24" s="1280"/>
      <c r="DKL24" s="1280"/>
      <c r="DKM24" s="1280"/>
      <c r="DKN24" s="1280"/>
      <c r="DKO24" s="1280"/>
      <c r="DKP24" s="1280"/>
      <c r="DKQ24" s="1280"/>
      <c r="DKR24" s="1280"/>
      <c r="DKS24" s="1280"/>
      <c r="DKT24" s="1280"/>
      <c r="DKU24" s="1280"/>
      <c r="DKV24" s="1280"/>
      <c r="DKW24" s="1280"/>
      <c r="DKX24" s="1280"/>
      <c r="DKY24" s="1280"/>
      <c r="DKZ24" s="1280"/>
      <c r="DLA24" s="1280"/>
      <c r="DLB24" s="1280"/>
      <c r="DLC24" s="1280"/>
      <c r="DLD24" s="1280"/>
      <c r="DLE24" s="1280"/>
      <c r="DLF24" s="1280"/>
      <c r="DLG24" s="1280"/>
      <c r="DLH24" s="1280"/>
      <c r="DLI24" s="1280"/>
      <c r="DLJ24" s="1280"/>
      <c r="DLK24" s="1280"/>
      <c r="DLL24" s="1280"/>
      <c r="DLM24" s="1280"/>
      <c r="DLN24" s="1280"/>
      <c r="DLO24" s="1280"/>
      <c r="DLP24" s="1280"/>
      <c r="DLQ24" s="1280"/>
      <c r="DLR24" s="1280"/>
      <c r="DLS24" s="1280"/>
      <c r="DLT24" s="1280"/>
      <c r="DLU24" s="1280"/>
      <c r="DLV24" s="1280"/>
      <c r="DLW24" s="1280"/>
      <c r="DLX24" s="1280"/>
      <c r="DLY24" s="1280"/>
      <c r="DLZ24" s="1280"/>
      <c r="DMA24" s="1280"/>
      <c r="DMB24" s="1280"/>
      <c r="DMC24" s="1280"/>
      <c r="DMD24" s="1280"/>
      <c r="DME24" s="1280"/>
      <c r="DMF24" s="1280"/>
      <c r="DMG24" s="1280"/>
      <c r="DMH24" s="1280"/>
      <c r="DMI24" s="1280"/>
      <c r="DMJ24" s="1280"/>
      <c r="DMK24" s="1280"/>
      <c r="DML24" s="1280"/>
      <c r="DMM24" s="1280"/>
      <c r="DMN24" s="1280"/>
      <c r="DMO24" s="1280"/>
      <c r="DMP24" s="1280"/>
      <c r="DMQ24" s="1280"/>
      <c r="DMR24" s="1280"/>
      <c r="DMS24" s="1280"/>
      <c r="DMT24" s="1280"/>
      <c r="DMU24" s="1280"/>
      <c r="DMV24" s="1280"/>
      <c r="DMW24" s="1280"/>
      <c r="DMX24" s="1280"/>
      <c r="DMY24" s="1280"/>
      <c r="DMZ24" s="1280"/>
      <c r="DNA24" s="1280"/>
      <c r="DNB24" s="1280"/>
      <c r="DNC24" s="1280"/>
      <c r="DND24" s="1280"/>
      <c r="DNE24" s="1280"/>
      <c r="DNF24" s="1280"/>
      <c r="DNG24" s="1280"/>
      <c r="DNH24" s="1280"/>
      <c r="DNI24" s="1280"/>
      <c r="DNJ24" s="1280"/>
      <c r="DNK24" s="1280"/>
      <c r="DNL24" s="1280"/>
      <c r="DNM24" s="1280"/>
      <c r="DNN24" s="1280"/>
      <c r="DNO24" s="1280"/>
      <c r="DNP24" s="1280"/>
      <c r="DNQ24" s="1280"/>
      <c r="DNR24" s="1280"/>
      <c r="DNS24" s="1280"/>
      <c r="DNT24" s="1280"/>
      <c r="DNU24" s="1280"/>
      <c r="DNV24" s="1280"/>
      <c r="DNW24" s="1280"/>
      <c r="DNX24" s="1280"/>
      <c r="DNY24" s="1280"/>
      <c r="DNZ24" s="1280"/>
      <c r="DOA24" s="1280"/>
      <c r="DOB24" s="1280"/>
      <c r="DOC24" s="1280"/>
      <c r="DOD24" s="1280"/>
      <c r="DOE24" s="1280"/>
      <c r="DOF24" s="1280"/>
      <c r="DOG24" s="1280"/>
      <c r="DOH24" s="1280"/>
      <c r="DOI24" s="1280"/>
      <c r="DOJ24" s="1280"/>
      <c r="DOK24" s="1280"/>
      <c r="DOL24" s="1280"/>
      <c r="DOM24" s="1280"/>
      <c r="DON24" s="1280"/>
      <c r="DOO24" s="1280"/>
      <c r="DOP24" s="1280"/>
      <c r="DOQ24" s="1280"/>
      <c r="DOR24" s="1280"/>
      <c r="DOS24" s="1280"/>
      <c r="DOT24" s="1280"/>
      <c r="DOU24" s="1280"/>
      <c r="DOV24" s="1280"/>
      <c r="DOW24" s="1280"/>
      <c r="DOX24" s="1280"/>
      <c r="DOY24" s="1280"/>
      <c r="DOZ24" s="1280"/>
      <c r="DPA24" s="1280"/>
      <c r="DPB24" s="1280"/>
      <c r="DPC24" s="1280"/>
      <c r="DPD24" s="1280"/>
      <c r="DPE24" s="1280"/>
      <c r="DPF24" s="1280"/>
      <c r="DPG24" s="1280"/>
      <c r="DPH24" s="1280"/>
      <c r="DPI24" s="1280"/>
      <c r="DPJ24" s="1280"/>
      <c r="DPK24" s="1280"/>
      <c r="DPL24" s="1280"/>
      <c r="DPM24" s="1280"/>
      <c r="DPN24" s="1280"/>
      <c r="DPO24" s="1280"/>
      <c r="DPP24" s="1280"/>
      <c r="DPQ24" s="1280"/>
      <c r="DPR24" s="1280"/>
      <c r="DPS24" s="1280"/>
      <c r="DPT24" s="1280"/>
      <c r="DPU24" s="1280"/>
      <c r="DPV24" s="1280"/>
      <c r="DPW24" s="1280"/>
      <c r="DPX24" s="1280"/>
      <c r="DPY24" s="1280"/>
      <c r="DPZ24" s="1280"/>
      <c r="DQA24" s="1280"/>
      <c r="DQB24" s="1280"/>
      <c r="DQC24" s="1280"/>
      <c r="DQD24" s="1280"/>
      <c r="DQE24" s="1280"/>
      <c r="DQF24" s="1280"/>
      <c r="DQG24" s="1280"/>
      <c r="DQH24" s="1280"/>
      <c r="DQI24" s="1280"/>
      <c r="DQJ24" s="1280"/>
      <c r="DQK24" s="1280"/>
      <c r="DQL24" s="1280"/>
      <c r="DQM24" s="1280"/>
      <c r="DQN24" s="1280"/>
      <c r="DQO24" s="1280"/>
      <c r="DQP24" s="1280"/>
      <c r="DQQ24" s="1280"/>
      <c r="DQR24" s="1280"/>
      <c r="DQS24" s="1280"/>
      <c r="DQT24" s="1280"/>
      <c r="DQU24" s="1280"/>
      <c r="DQV24" s="1280"/>
      <c r="DQW24" s="1280"/>
      <c r="DQX24" s="1280"/>
      <c r="DQY24" s="1280"/>
      <c r="DQZ24" s="1280"/>
      <c r="DRA24" s="1280"/>
      <c r="DRB24" s="1280"/>
      <c r="DRC24" s="1280"/>
      <c r="DRD24" s="1280"/>
      <c r="DRE24" s="1280"/>
      <c r="DRF24" s="1280"/>
      <c r="DRG24" s="1280"/>
      <c r="DRH24" s="1280"/>
      <c r="DRI24" s="1280"/>
      <c r="DRJ24" s="1280"/>
      <c r="DRK24" s="1280"/>
      <c r="DRL24" s="1280"/>
      <c r="DRM24" s="1280"/>
      <c r="DRN24" s="1280"/>
      <c r="DRO24" s="1280"/>
      <c r="DRP24" s="1280"/>
      <c r="DRQ24" s="1280"/>
      <c r="DRR24" s="1280"/>
      <c r="DRS24" s="1280"/>
      <c r="DRT24" s="1280"/>
      <c r="DRU24" s="1280"/>
      <c r="DRV24" s="1280"/>
      <c r="DRW24" s="1280"/>
      <c r="DRX24" s="1280"/>
      <c r="DRY24" s="1280"/>
      <c r="DRZ24" s="1280"/>
      <c r="DSA24" s="1280"/>
      <c r="DSB24" s="1280"/>
      <c r="DSC24" s="1280"/>
      <c r="DSD24" s="1280"/>
      <c r="DSE24" s="1280"/>
      <c r="DSF24" s="1280"/>
      <c r="DSG24" s="1280"/>
      <c r="DSH24" s="1280"/>
      <c r="DSI24" s="1280"/>
      <c r="DSJ24" s="1280"/>
      <c r="DSK24" s="1280"/>
      <c r="DSL24" s="1280"/>
      <c r="DSM24" s="1280"/>
      <c r="DSN24" s="1280"/>
      <c r="DSO24" s="1280"/>
      <c r="DSP24" s="1280"/>
      <c r="DSQ24" s="1280"/>
      <c r="DSR24" s="1280"/>
      <c r="DSS24" s="1280"/>
      <c r="DST24" s="1280"/>
      <c r="DSU24" s="1280"/>
      <c r="DSV24" s="1280"/>
      <c r="DSW24" s="1280"/>
      <c r="DSX24" s="1280"/>
      <c r="DSY24" s="1280"/>
      <c r="DSZ24" s="1280"/>
      <c r="DTA24" s="1280"/>
      <c r="DTB24" s="1280"/>
      <c r="DTC24" s="1280"/>
      <c r="DTD24" s="1280"/>
      <c r="DTE24" s="1280"/>
      <c r="DTF24" s="1280"/>
      <c r="DTG24" s="1280"/>
      <c r="DTH24" s="1280"/>
      <c r="DTI24" s="1280"/>
      <c r="DTJ24" s="1280"/>
      <c r="DTK24" s="1280"/>
      <c r="DTL24" s="1280"/>
      <c r="DTM24" s="1280"/>
      <c r="DTN24" s="1280"/>
      <c r="DTO24" s="1280"/>
      <c r="DTP24" s="1280"/>
      <c r="DTQ24" s="1280"/>
      <c r="DTR24" s="1280"/>
      <c r="DTS24" s="1280"/>
      <c r="DTT24" s="1280"/>
      <c r="DTU24" s="1280"/>
      <c r="DTV24" s="1280"/>
      <c r="DTW24" s="1280"/>
      <c r="DTX24" s="1280"/>
      <c r="DTY24" s="1280"/>
      <c r="DTZ24" s="1280"/>
      <c r="DUA24" s="1280"/>
      <c r="DUB24" s="1280"/>
      <c r="DUC24" s="1280"/>
      <c r="DUD24" s="1280"/>
      <c r="DUE24" s="1280"/>
      <c r="DUF24" s="1280"/>
      <c r="DUG24" s="1280"/>
      <c r="DUH24" s="1280"/>
      <c r="DUI24" s="1280"/>
      <c r="DUJ24" s="1280"/>
      <c r="DUK24" s="1280"/>
      <c r="DUL24" s="1280"/>
      <c r="DUM24" s="1280"/>
      <c r="DUN24" s="1280"/>
      <c r="DUO24" s="1280"/>
      <c r="DUP24" s="1280"/>
      <c r="DUQ24" s="1280"/>
      <c r="DUR24" s="1280"/>
      <c r="DUS24" s="1280"/>
      <c r="DUT24" s="1280"/>
      <c r="DUU24" s="1280"/>
      <c r="DUV24" s="1280"/>
      <c r="DUW24" s="1280"/>
      <c r="DUX24" s="1280"/>
      <c r="DUY24" s="1280"/>
      <c r="DUZ24" s="1280"/>
      <c r="DVA24" s="1280"/>
      <c r="DVB24" s="1280"/>
      <c r="DVC24" s="1280"/>
      <c r="DVD24" s="1280"/>
      <c r="DVE24" s="1280"/>
      <c r="DVF24" s="1280"/>
      <c r="DVG24" s="1280"/>
      <c r="DVH24" s="1280"/>
      <c r="DVI24" s="1280"/>
      <c r="DVJ24" s="1280"/>
      <c r="DVK24" s="1280"/>
      <c r="DVL24" s="1280"/>
      <c r="DVM24" s="1280"/>
      <c r="DVN24" s="1280"/>
      <c r="DVO24" s="1280"/>
      <c r="DVP24" s="1280"/>
      <c r="DVQ24" s="1280"/>
      <c r="DVR24" s="1280"/>
      <c r="DVS24" s="1280"/>
      <c r="DVT24" s="1280"/>
      <c r="DVU24" s="1280"/>
      <c r="DVV24" s="1280"/>
      <c r="DVW24" s="1280"/>
      <c r="DVX24" s="1280"/>
      <c r="DVY24" s="1280"/>
      <c r="DVZ24" s="1280"/>
      <c r="DWA24" s="1280"/>
      <c r="DWB24" s="1280"/>
      <c r="DWC24" s="1280"/>
      <c r="DWD24" s="1280"/>
      <c r="DWE24" s="1280"/>
      <c r="DWF24" s="1280"/>
      <c r="DWG24" s="1280"/>
      <c r="DWH24" s="1280"/>
      <c r="DWI24" s="1280"/>
      <c r="DWJ24" s="1280"/>
      <c r="DWK24" s="1280"/>
      <c r="DWL24" s="1280"/>
      <c r="DWM24" s="1280"/>
      <c r="DWN24" s="1280"/>
      <c r="DWO24" s="1280"/>
      <c r="DWP24" s="1280"/>
      <c r="DWQ24" s="1280"/>
      <c r="DWR24" s="1280"/>
      <c r="DWS24" s="1280"/>
      <c r="DWT24" s="1280"/>
      <c r="DWU24" s="1280"/>
      <c r="DWV24" s="1280"/>
      <c r="DWW24" s="1280"/>
      <c r="DWX24" s="1280"/>
      <c r="DWY24" s="1280"/>
      <c r="DWZ24" s="1280"/>
      <c r="DXA24" s="1280"/>
      <c r="DXB24" s="1280"/>
      <c r="DXC24" s="1280"/>
      <c r="DXD24" s="1280"/>
      <c r="DXE24" s="1280"/>
      <c r="DXF24" s="1280"/>
      <c r="DXG24" s="1280"/>
      <c r="DXH24" s="1280"/>
      <c r="DXI24" s="1280"/>
      <c r="DXJ24" s="1280"/>
      <c r="DXK24" s="1280"/>
      <c r="DXL24" s="1280"/>
      <c r="DXM24" s="1280"/>
      <c r="DXN24" s="1280"/>
      <c r="DXO24" s="1280"/>
      <c r="DXP24" s="1280"/>
      <c r="DXQ24" s="1280"/>
      <c r="DXR24" s="1280"/>
      <c r="DXS24" s="1280"/>
      <c r="DXT24" s="1280"/>
      <c r="DXU24" s="1280"/>
      <c r="DXV24" s="1280"/>
      <c r="DXW24" s="1280"/>
      <c r="DXX24" s="1280"/>
      <c r="DXY24" s="1280"/>
      <c r="DXZ24" s="1280"/>
      <c r="DYA24" s="1280"/>
      <c r="DYB24" s="1280"/>
      <c r="DYC24" s="1280"/>
      <c r="DYD24" s="1280"/>
      <c r="DYE24" s="1280"/>
      <c r="DYF24" s="1280"/>
      <c r="DYG24" s="1280"/>
      <c r="DYH24" s="1280"/>
      <c r="DYI24" s="1280"/>
      <c r="DYJ24" s="1280"/>
      <c r="DYK24" s="1280"/>
      <c r="DYL24" s="1280"/>
      <c r="DYM24" s="1280"/>
      <c r="DYN24" s="1280"/>
      <c r="DYO24" s="1280"/>
      <c r="DYP24" s="1280"/>
      <c r="DYQ24" s="1280"/>
      <c r="DYR24" s="1280"/>
      <c r="DYS24" s="1280"/>
      <c r="DYT24" s="1280"/>
      <c r="DYU24" s="1280"/>
      <c r="DYV24" s="1280"/>
      <c r="DYW24" s="1280"/>
      <c r="DYX24" s="1280"/>
      <c r="DYY24" s="1280"/>
      <c r="DYZ24" s="1280"/>
      <c r="DZA24" s="1280"/>
      <c r="DZB24" s="1280"/>
      <c r="DZC24" s="1280"/>
      <c r="DZD24" s="1280"/>
      <c r="DZE24" s="1280"/>
      <c r="DZF24" s="1280"/>
      <c r="DZG24" s="1280"/>
      <c r="DZH24" s="1280"/>
      <c r="DZI24" s="1280"/>
      <c r="DZJ24" s="1280"/>
      <c r="DZK24" s="1280"/>
      <c r="DZL24" s="1280"/>
      <c r="DZM24" s="1280"/>
      <c r="DZN24" s="1280"/>
      <c r="DZO24" s="1280"/>
      <c r="DZP24" s="1280"/>
      <c r="DZQ24" s="1280"/>
      <c r="DZR24" s="1280"/>
      <c r="DZS24" s="1280"/>
      <c r="DZT24" s="1280"/>
      <c r="DZU24" s="1280"/>
      <c r="DZV24" s="1280"/>
      <c r="DZW24" s="1280"/>
      <c r="DZX24" s="1280"/>
      <c r="DZY24" s="1280"/>
      <c r="DZZ24" s="1280"/>
      <c r="EAA24" s="1280"/>
      <c r="EAB24" s="1280"/>
      <c r="EAC24" s="1280"/>
      <c r="EAD24" s="1280"/>
      <c r="EAE24" s="1280"/>
      <c r="EAF24" s="1280"/>
      <c r="EAG24" s="1280"/>
      <c r="EAH24" s="1280"/>
      <c r="EAI24" s="1280"/>
      <c r="EAJ24" s="1280"/>
      <c r="EAK24" s="1280"/>
      <c r="EAL24" s="1280"/>
      <c r="EAM24" s="1280"/>
      <c r="EAN24" s="1280"/>
      <c r="EAO24" s="1280"/>
      <c r="EAP24" s="1280"/>
      <c r="EAQ24" s="1280"/>
      <c r="EAR24" s="1280"/>
      <c r="EAS24" s="1280"/>
      <c r="EAT24" s="1280"/>
      <c r="EAU24" s="1280"/>
      <c r="EAV24" s="1280"/>
      <c r="EAW24" s="1280"/>
      <c r="EAX24" s="1280"/>
      <c r="EAY24" s="1280"/>
      <c r="EAZ24" s="1280"/>
      <c r="EBA24" s="1280"/>
      <c r="EBB24" s="1280"/>
      <c r="EBC24" s="1280"/>
      <c r="EBD24" s="1280"/>
      <c r="EBE24" s="1280"/>
      <c r="EBF24" s="1280"/>
      <c r="EBG24" s="1280"/>
      <c r="EBH24" s="1280"/>
      <c r="EBI24" s="1280"/>
      <c r="EBJ24" s="1280"/>
      <c r="EBK24" s="1280"/>
      <c r="EBL24" s="1280"/>
      <c r="EBM24" s="1280"/>
      <c r="EBN24" s="1280"/>
      <c r="EBO24" s="1280"/>
      <c r="EBP24" s="1280"/>
      <c r="EBQ24" s="1280"/>
      <c r="EBR24" s="1280"/>
      <c r="EBS24" s="1280"/>
      <c r="EBT24" s="1280"/>
      <c r="EBU24" s="1280"/>
      <c r="EBV24" s="1280"/>
      <c r="EBW24" s="1280"/>
      <c r="EBX24" s="1280"/>
      <c r="EBY24" s="1280"/>
      <c r="EBZ24" s="1280"/>
      <c r="ECA24" s="1280"/>
      <c r="ECB24" s="1280"/>
      <c r="ECC24" s="1280"/>
      <c r="ECD24" s="1280"/>
      <c r="ECE24" s="1280"/>
      <c r="ECF24" s="1280"/>
      <c r="ECG24" s="1280"/>
      <c r="ECH24" s="1280"/>
      <c r="ECI24" s="1280"/>
      <c r="ECJ24" s="1280"/>
      <c r="ECK24" s="1280"/>
      <c r="ECL24" s="1280"/>
      <c r="ECM24" s="1280"/>
      <c r="ECN24" s="1280"/>
      <c r="ECO24" s="1280"/>
      <c r="ECP24" s="1280"/>
      <c r="ECQ24" s="1280"/>
      <c r="ECR24" s="1280"/>
      <c r="ECS24" s="1280"/>
      <c r="ECT24" s="1280"/>
      <c r="ECU24" s="1280"/>
      <c r="ECV24" s="1280"/>
      <c r="ECW24" s="1280"/>
      <c r="ECX24" s="1280"/>
      <c r="ECY24" s="1280"/>
      <c r="ECZ24" s="1280"/>
      <c r="EDA24" s="1280"/>
      <c r="EDB24" s="1280"/>
      <c r="EDC24" s="1280"/>
      <c r="EDD24" s="1280"/>
      <c r="EDE24" s="1280"/>
      <c r="EDF24" s="1280"/>
      <c r="EDG24" s="1280"/>
      <c r="EDH24" s="1280"/>
      <c r="EDI24" s="1280"/>
      <c r="EDJ24" s="1280"/>
      <c r="EDK24" s="1280"/>
      <c r="EDL24" s="1280"/>
      <c r="EDM24" s="1280"/>
      <c r="EDN24" s="1280"/>
      <c r="EDO24" s="1280"/>
      <c r="EDP24" s="1280"/>
      <c r="EDQ24" s="1280"/>
      <c r="EDR24" s="1280"/>
      <c r="EDS24" s="1280"/>
      <c r="EDT24" s="1280"/>
      <c r="EDU24" s="1280"/>
      <c r="EDV24" s="1280"/>
      <c r="EDW24" s="1280"/>
      <c r="EDX24" s="1280"/>
      <c r="EDY24" s="1280"/>
      <c r="EDZ24" s="1280"/>
      <c r="EEA24" s="1280"/>
      <c r="EEB24" s="1280"/>
      <c r="EEC24" s="1280"/>
      <c r="EED24" s="1280"/>
      <c r="EEE24" s="1280"/>
      <c r="EEF24" s="1280"/>
      <c r="EEG24" s="1280"/>
      <c r="EEH24" s="1280"/>
      <c r="EEI24" s="1280"/>
      <c r="EEJ24" s="1280"/>
      <c r="EEK24" s="1280"/>
      <c r="EEL24" s="1280"/>
      <c r="EEM24" s="1280"/>
      <c r="EEN24" s="1280"/>
      <c r="EEO24" s="1280"/>
      <c r="EEP24" s="1280"/>
      <c r="EEQ24" s="1280"/>
      <c r="EER24" s="1280"/>
      <c r="EES24" s="1280"/>
      <c r="EET24" s="1280"/>
      <c r="EEU24" s="1280"/>
      <c r="EEV24" s="1280"/>
      <c r="EEW24" s="1280"/>
      <c r="EEX24" s="1280"/>
      <c r="EEY24" s="1280"/>
      <c r="EEZ24" s="1280"/>
      <c r="EFA24" s="1280"/>
      <c r="EFB24" s="1280"/>
      <c r="EFC24" s="1280"/>
      <c r="EFD24" s="1280"/>
      <c r="EFE24" s="1280"/>
      <c r="EFF24" s="1280"/>
      <c r="EFG24" s="1280"/>
      <c r="EFH24" s="1280"/>
      <c r="EFI24" s="1280"/>
      <c r="EFJ24" s="1280"/>
      <c r="EFK24" s="1280"/>
      <c r="EFL24" s="1280"/>
      <c r="EFM24" s="1280"/>
      <c r="EFN24" s="1280"/>
      <c r="EFO24" s="1280"/>
      <c r="EFP24" s="1280"/>
      <c r="EFQ24" s="1280"/>
      <c r="EFR24" s="1280"/>
      <c r="EFS24" s="1280"/>
      <c r="EFT24" s="1280"/>
      <c r="EFU24" s="1280"/>
      <c r="EFV24" s="1280"/>
      <c r="EFW24" s="1280"/>
      <c r="EFX24" s="1280"/>
      <c r="EFY24" s="1280"/>
      <c r="EFZ24" s="1280"/>
      <c r="EGA24" s="1280"/>
      <c r="EGB24" s="1280"/>
      <c r="EGC24" s="1280"/>
      <c r="EGD24" s="1280"/>
      <c r="EGE24" s="1280"/>
      <c r="EGF24" s="1280"/>
      <c r="EGG24" s="1280"/>
      <c r="EGH24" s="1280"/>
      <c r="EGI24" s="1280"/>
      <c r="EGJ24" s="1280"/>
      <c r="EGK24" s="1280"/>
      <c r="EGL24" s="1280"/>
      <c r="EGM24" s="1280"/>
      <c r="EGN24" s="1280"/>
      <c r="EGO24" s="1280"/>
      <c r="EGP24" s="1280"/>
      <c r="EGQ24" s="1280"/>
      <c r="EGR24" s="1280"/>
      <c r="EGS24" s="1280"/>
      <c r="EGT24" s="1280"/>
      <c r="EGU24" s="1280"/>
      <c r="EGV24" s="1280"/>
      <c r="EGW24" s="1280"/>
      <c r="EGX24" s="1280"/>
      <c r="EGY24" s="1280"/>
      <c r="EGZ24" s="1280"/>
      <c r="EHA24" s="1280"/>
      <c r="EHB24" s="1280"/>
      <c r="EHC24" s="1280"/>
      <c r="EHD24" s="1280"/>
      <c r="EHE24" s="1280"/>
      <c r="EHF24" s="1280"/>
      <c r="EHG24" s="1280"/>
      <c r="EHH24" s="1280"/>
      <c r="EHI24" s="1280"/>
      <c r="EHJ24" s="1280"/>
      <c r="EHK24" s="1280"/>
      <c r="EHL24" s="1280"/>
      <c r="EHM24" s="1280"/>
      <c r="EHN24" s="1280"/>
      <c r="EHO24" s="1280"/>
      <c r="EHP24" s="1280"/>
      <c r="EHQ24" s="1280"/>
      <c r="EHR24" s="1280"/>
      <c r="EHS24" s="1280"/>
      <c r="EHT24" s="1280"/>
      <c r="EHU24" s="1280"/>
      <c r="EHV24" s="1280"/>
      <c r="EHW24" s="1280"/>
      <c r="EHX24" s="1280"/>
      <c r="EHY24" s="1280"/>
      <c r="EHZ24" s="1280"/>
      <c r="EIA24" s="1280"/>
      <c r="EIB24" s="1280"/>
      <c r="EIC24" s="1280"/>
      <c r="EID24" s="1280"/>
      <c r="EIE24" s="1280"/>
      <c r="EIF24" s="1280"/>
      <c r="EIG24" s="1280"/>
      <c r="EIH24" s="1280"/>
      <c r="EII24" s="1280"/>
      <c r="EIJ24" s="1280"/>
      <c r="EIK24" s="1280"/>
      <c r="EIL24" s="1280"/>
      <c r="EIM24" s="1280"/>
      <c r="EIN24" s="1280"/>
      <c r="EIO24" s="1280"/>
      <c r="EIP24" s="1280"/>
      <c r="EIQ24" s="1280"/>
      <c r="EIR24" s="1280"/>
      <c r="EIS24" s="1280"/>
      <c r="EIT24" s="1280"/>
      <c r="EIU24" s="1280"/>
      <c r="EIV24" s="1280"/>
      <c r="EIW24" s="1280"/>
      <c r="EIX24" s="1280"/>
      <c r="EIY24" s="1280"/>
      <c r="EIZ24" s="1280"/>
      <c r="EJA24" s="1280"/>
      <c r="EJB24" s="1280"/>
      <c r="EJC24" s="1280"/>
      <c r="EJD24" s="1280"/>
      <c r="EJE24" s="1280"/>
      <c r="EJF24" s="1280"/>
      <c r="EJG24" s="1280"/>
      <c r="EJH24" s="1280"/>
      <c r="EJI24" s="1280"/>
      <c r="EJJ24" s="1280"/>
      <c r="EJK24" s="1280"/>
      <c r="EJL24" s="1280"/>
      <c r="EJM24" s="1280"/>
      <c r="EJN24" s="1280"/>
      <c r="EJO24" s="1280"/>
      <c r="EJP24" s="1280"/>
      <c r="EJQ24" s="1280"/>
      <c r="EJR24" s="1280"/>
      <c r="EJS24" s="1280"/>
      <c r="EJT24" s="1280"/>
      <c r="EJU24" s="1280"/>
      <c r="EJV24" s="1280"/>
      <c r="EJW24" s="1280"/>
      <c r="EJX24" s="1280"/>
      <c r="EJY24" s="1280"/>
      <c r="EJZ24" s="1280"/>
      <c r="EKA24" s="1280"/>
      <c r="EKB24" s="1280"/>
      <c r="EKC24" s="1280"/>
      <c r="EKD24" s="1280"/>
      <c r="EKE24" s="1280"/>
      <c r="EKF24" s="1280"/>
      <c r="EKG24" s="1280"/>
      <c r="EKH24" s="1280"/>
      <c r="EKI24" s="1280"/>
      <c r="EKJ24" s="1280"/>
      <c r="EKK24" s="1280"/>
      <c r="EKL24" s="1280"/>
      <c r="EKM24" s="1280"/>
      <c r="EKN24" s="1280"/>
      <c r="EKO24" s="1280"/>
      <c r="EKP24" s="1280"/>
      <c r="EKQ24" s="1280"/>
      <c r="EKR24" s="1280"/>
      <c r="EKS24" s="1280"/>
      <c r="EKT24" s="1280"/>
      <c r="EKU24" s="1280"/>
      <c r="EKV24" s="1280"/>
      <c r="EKW24" s="1280"/>
      <c r="EKX24" s="1280"/>
      <c r="EKY24" s="1280"/>
      <c r="EKZ24" s="1280"/>
      <c r="ELA24" s="1280"/>
      <c r="ELB24" s="1280"/>
      <c r="ELC24" s="1280"/>
      <c r="ELD24" s="1280"/>
      <c r="ELE24" s="1280"/>
      <c r="ELF24" s="1280"/>
      <c r="ELG24" s="1280"/>
      <c r="ELH24" s="1280"/>
      <c r="ELI24" s="1280"/>
      <c r="ELJ24" s="1280"/>
      <c r="ELK24" s="1280"/>
      <c r="ELL24" s="1280"/>
      <c r="ELM24" s="1280"/>
      <c r="ELN24" s="1280"/>
      <c r="ELO24" s="1280"/>
      <c r="ELP24" s="1280"/>
      <c r="ELQ24" s="1280"/>
      <c r="ELR24" s="1280"/>
      <c r="ELS24" s="1280"/>
      <c r="ELT24" s="1280"/>
      <c r="ELU24" s="1280"/>
      <c r="ELV24" s="1280"/>
      <c r="ELW24" s="1280"/>
      <c r="ELX24" s="1280"/>
      <c r="ELY24" s="1280"/>
      <c r="ELZ24" s="1280"/>
      <c r="EMA24" s="1280"/>
      <c r="EMB24" s="1280"/>
      <c r="EMC24" s="1280"/>
      <c r="EMD24" s="1280"/>
      <c r="EME24" s="1280"/>
      <c r="EMF24" s="1280"/>
      <c r="EMG24" s="1280"/>
      <c r="EMH24" s="1280"/>
      <c r="EMI24" s="1280"/>
      <c r="EMJ24" s="1280"/>
      <c r="EMK24" s="1280"/>
      <c r="EML24" s="1280"/>
      <c r="EMM24" s="1280"/>
      <c r="EMN24" s="1280"/>
      <c r="EMO24" s="1280"/>
      <c r="EMP24" s="1280"/>
      <c r="EMQ24" s="1280"/>
      <c r="EMR24" s="1280"/>
      <c r="EMS24" s="1280"/>
      <c r="EMT24" s="1280"/>
      <c r="EMU24" s="1280"/>
      <c r="EMV24" s="1280"/>
      <c r="EMW24" s="1280"/>
      <c r="EMX24" s="1280"/>
      <c r="EMY24" s="1280"/>
      <c r="EMZ24" s="1280"/>
      <c r="ENA24" s="1280"/>
      <c r="ENB24" s="1280"/>
      <c r="ENC24" s="1280"/>
      <c r="END24" s="1280"/>
      <c r="ENE24" s="1280"/>
      <c r="ENF24" s="1280"/>
      <c r="ENG24" s="1280"/>
      <c r="ENH24" s="1280"/>
      <c r="ENI24" s="1280"/>
      <c r="ENJ24" s="1280"/>
      <c r="ENK24" s="1280"/>
      <c r="ENL24" s="1280"/>
      <c r="ENM24" s="1280"/>
      <c r="ENN24" s="1280"/>
      <c r="ENO24" s="1280"/>
      <c r="ENP24" s="1280"/>
      <c r="ENQ24" s="1280"/>
      <c r="ENR24" s="1280"/>
      <c r="ENS24" s="1280"/>
      <c r="ENT24" s="1280"/>
      <c r="ENU24" s="1280"/>
      <c r="ENV24" s="1280"/>
      <c r="ENW24" s="1280"/>
      <c r="ENX24" s="1280"/>
      <c r="ENY24" s="1280"/>
      <c r="ENZ24" s="1280"/>
      <c r="EOA24" s="1280"/>
      <c r="EOB24" s="1280"/>
      <c r="EOC24" s="1280"/>
      <c r="EOD24" s="1280"/>
      <c r="EOE24" s="1280"/>
      <c r="EOF24" s="1280"/>
      <c r="EOG24" s="1280"/>
      <c r="EOH24" s="1280"/>
      <c r="EOI24" s="1280"/>
      <c r="EOJ24" s="1280"/>
      <c r="EOK24" s="1280"/>
      <c r="EOL24" s="1280"/>
      <c r="EOM24" s="1280"/>
      <c r="EON24" s="1280"/>
      <c r="EOO24" s="1280"/>
      <c r="EOP24" s="1280"/>
      <c r="EOQ24" s="1280"/>
      <c r="EOR24" s="1280"/>
      <c r="EOS24" s="1280"/>
      <c r="EOT24" s="1280"/>
      <c r="EOU24" s="1280"/>
      <c r="EOV24" s="1280"/>
      <c r="EOW24" s="1280"/>
      <c r="EOX24" s="1280"/>
      <c r="EOY24" s="1280"/>
      <c r="EOZ24" s="1280"/>
      <c r="EPA24" s="1280"/>
      <c r="EPB24" s="1280"/>
      <c r="EPC24" s="1280"/>
      <c r="EPD24" s="1280"/>
      <c r="EPE24" s="1280"/>
      <c r="EPF24" s="1280"/>
      <c r="EPG24" s="1280"/>
      <c r="EPH24" s="1280"/>
      <c r="EPI24" s="1280"/>
      <c r="EPJ24" s="1280"/>
      <c r="EPK24" s="1280"/>
      <c r="EPL24" s="1280"/>
      <c r="EPM24" s="1280"/>
      <c r="EPN24" s="1280"/>
      <c r="EPO24" s="1280"/>
      <c r="EPP24" s="1280"/>
      <c r="EPQ24" s="1280"/>
      <c r="EPR24" s="1280"/>
      <c r="EPS24" s="1280"/>
      <c r="EPT24" s="1280"/>
      <c r="EPU24" s="1280"/>
      <c r="EPV24" s="1280"/>
      <c r="EPW24" s="1280"/>
      <c r="EPX24" s="1280"/>
      <c r="EPY24" s="1280"/>
      <c r="EPZ24" s="1280"/>
      <c r="EQA24" s="1280"/>
      <c r="EQB24" s="1280"/>
      <c r="EQC24" s="1280"/>
      <c r="EQD24" s="1280"/>
      <c r="EQE24" s="1280"/>
      <c r="EQF24" s="1280"/>
      <c r="EQG24" s="1280"/>
      <c r="EQH24" s="1280"/>
      <c r="EQI24" s="1280"/>
      <c r="EQJ24" s="1280"/>
      <c r="EQK24" s="1280"/>
      <c r="EQL24" s="1280"/>
      <c r="EQM24" s="1280"/>
      <c r="EQN24" s="1280"/>
      <c r="EQO24" s="1280"/>
      <c r="EQP24" s="1280"/>
      <c r="EQQ24" s="1280"/>
      <c r="EQR24" s="1280"/>
      <c r="EQS24" s="1280"/>
      <c r="EQT24" s="1280"/>
      <c r="EQU24" s="1280"/>
      <c r="EQV24" s="1280"/>
      <c r="EQW24" s="1280"/>
      <c r="EQX24" s="1280"/>
      <c r="EQY24" s="1280"/>
      <c r="EQZ24" s="1280"/>
      <c r="ERA24" s="1280"/>
      <c r="ERB24" s="1280"/>
      <c r="ERC24" s="1280"/>
      <c r="ERD24" s="1280"/>
      <c r="ERE24" s="1280"/>
      <c r="ERF24" s="1280"/>
      <c r="ERG24" s="1280"/>
      <c r="ERH24" s="1280"/>
      <c r="ERI24" s="1280"/>
      <c r="ERJ24" s="1280"/>
      <c r="ERK24" s="1280"/>
      <c r="ERL24" s="1280"/>
      <c r="ERM24" s="1280"/>
      <c r="ERN24" s="1280"/>
      <c r="ERO24" s="1280"/>
      <c r="ERP24" s="1280"/>
      <c r="ERQ24" s="1280"/>
      <c r="ERR24" s="1280"/>
      <c r="ERS24" s="1280"/>
      <c r="ERT24" s="1280"/>
      <c r="ERU24" s="1280"/>
      <c r="ERV24" s="1280"/>
      <c r="ERW24" s="1280"/>
      <c r="ERX24" s="1280"/>
      <c r="ERY24" s="1280"/>
      <c r="ERZ24" s="1280"/>
      <c r="ESA24" s="1280"/>
      <c r="ESB24" s="1280"/>
      <c r="ESC24" s="1280"/>
      <c r="ESD24" s="1280"/>
      <c r="ESE24" s="1280"/>
      <c r="ESF24" s="1280"/>
      <c r="ESG24" s="1280"/>
      <c r="ESH24" s="1280"/>
      <c r="ESI24" s="1280"/>
      <c r="ESJ24" s="1280"/>
      <c r="ESK24" s="1280"/>
      <c r="ESL24" s="1280"/>
      <c r="ESM24" s="1280"/>
      <c r="ESN24" s="1280"/>
      <c r="ESO24" s="1280"/>
      <c r="ESP24" s="1280"/>
      <c r="ESQ24" s="1280"/>
      <c r="ESR24" s="1280"/>
      <c r="ESS24" s="1280"/>
      <c r="EST24" s="1280"/>
      <c r="ESU24" s="1280"/>
      <c r="ESV24" s="1280"/>
      <c r="ESW24" s="1280"/>
      <c r="ESX24" s="1280"/>
      <c r="ESY24" s="1280"/>
      <c r="ESZ24" s="1280"/>
      <c r="ETA24" s="1280"/>
      <c r="ETB24" s="1280"/>
      <c r="ETC24" s="1280"/>
      <c r="ETD24" s="1280"/>
      <c r="ETE24" s="1280"/>
      <c r="ETF24" s="1280"/>
      <c r="ETG24" s="1280"/>
      <c r="ETH24" s="1280"/>
      <c r="ETI24" s="1280"/>
      <c r="ETJ24" s="1280"/>
      <c r="ETK24" s="1280"/>
      <c r="ETL24" s="1280"/>
      <c r="ETM24" s="1280"/>
      <c r="ETN24" s="1280"/>
      <c r="ETO24" s="1280"/>
      <c r="ETP24" s="1280"/>
      <c r="ETQ24" s="1280"/>
      <c r="ETR24" s="1280"/>
      <c r="ETS24" s="1280"/>
      <c r="ETT24" s="1280"/>
      <c r="ETU24" s="1280"/>
      <c r="ETV24" s="1280"/>
      <c r="ETW24" s="1280"/>
      <c r="ETX24" s="1280"/>
      <c r="ETY24" s="1280"/>
      <c r="ETZ24" s="1280"/>
      <c r="EUA24" s="1280"/>
      <c r="EUB24" s="1280"/>
      <c r="EUC24" s="1280"/>
      <c r="EUD24" s="1280"/>
      <c r="EUE24" s="1280"/>
      <c r="EUF24" s="1280"/>
      <c r="EUG24" s="1280"/>
      <c r="EUH24" s="1280"/>
      <c r="EUI24" s="1280"/>
      <c r="EUJ24" s="1280"/>
      <c r="EUK24" s="1280"/>
      <c r="EUL24" s="1280"/>
      <c r="EUM24" s="1280"/>
      <c r="EUN24" s="1280"/>
      <c r="EUO24" s="1280"/>
      <c r="EUP24" s="1280"/>
      <c r="EUQ24" s="1280"/>
      <c r="EUR24" s="1280"/>
      <c r="EUS24" s="1280"/>
      <c r="EUT24" s="1280"/>
      <c r="EUU24" s="1280"/>
      <c r="EUV24" s="1280"/>
      <c r="EUW24" s="1280"/>
      <c r="EUX24" s="1280"/>
      <c r="EUY24" s="1280"/>
      <c r="EUZ24" s="1280"/>
      <c r="EVA24" s="1280"/>
      <c r="EVB24" s="1280"/>
      <c r="EVC24" s="1280"/>
      <c r="EVD24" s="1280"/>
      <c r="EVE24" s="1280"/>
      <c r="EVF24" s="1280"/>
      <c r="EVG24" s="1280"/>
      <c r="EVH24" s="1280"/>
      <c r="EVI24" s="1280"/>
      <c r="EVJ24" s="1280"/>
      <c r="EVK24" s="1280"/>
      <c r="EVL24" s="1280"/>
      <c r="EVM24" s="1280"/>
      <c r="EVN24" s="1280"/>
      <c r="EVO24" s="1280"/>
      <c r="EVP24" s="1280"/>
      <c r="EVQ24" s="1280"/>
      <c r="EVR24" s="1280"/>
      <c r="EVS24" s="1280"/>
      <c r="EVT24" s="1280"/>
      <c r="EVU24" s="1280"/>
      <c r="EVV24" s="1280"/>
      <c r="EVW24" s="1280"/>
      <c r="EVX24" s="1280"/>
      <c r="EVY24" s="1280"/>
      <c r="EVZ24" s="1280"/>
      <c r="EWA24" s="1280"/>
      <c r="EWB24" s="1280"/>
      <c r="EWC24" s="1280"/>
      <c r="EWD24" s="1280"/>
      <c r="EWE24" s="1280"/>
      <c r="EWF24" s="1280"/>
      <c r="EWG24" s="1280"/>
      <c r="EWH24" s="1280"/>
      <c r="EWI24" s="1280"/>
      <c r="EWJ24" s="1280"/>
      <c r="EWK24" s="1280"/>
      <c r="EWL24" s="1280"/>
      <c r="EWM24" s="1280"/>
      <c r="EWN24" s="1280"/>
      <c r="EWO24" s="1280"/>
      <c r="EWP24" s="1280"/>
      <c r="EWQ24" s="1280"/>
      <c r="EWR24" s="1280"/>
      <c r="EWS24" s="1280"/>
      <c r="EWT24" s="1280"/>
      <c r="EWU24" s="1280"/>
      <c r="EWV24" s="1280"/>
      <c r="EWW24" s="1280"/>
      <c r="EWX24" s="1280"/>
      <c r="EWY24" s="1280"/>
      <c r="EWZ24" s="1280"/>
      <c r="EXA24" s="1280"/>
      <c r="EXB24" s="1280"/>
      <c r="EXC24" s="1280"/>
      <c r="EXD24" s="1280"/>
      <c r="EXE24" s="1280"/>
      <c r="EXF24" s="1280"/>
      <c r="EXG24" s="1280"/>
      <c r="EXH24" s="1280"/>
      <c r="EXI24" s="1280"/>
      <c r="EXJ24" s="1280"/>
      <c r="EXK24" s="1280"/>
      <c r="EXL24" s="1280"/>
      <c r="EXM24" s="1280"/>
      <c r="EXN24" s="1280"/>
      <c r="EXO24" s="1280"/>
      <c r="EXP24" s="1280"/>
      <c r="EXQ24" s="1280"/>
      <c r="EXR24" s="1280"/>
      <c r="EXS24" s="1280"/>
      <c r="EXT24" s="1280"/>
      <c r="EXU24" s="1280"/>
      <c r="EXV24" s="1280"/>
      <c r="EXW24" s="1280"/>
      <c r="EXX24" s="1280"/>
      <c r="EXY24" s="1280"/>
      <c r="EXZ24" s="1280"/>
      <c r="EYA24" s="1280"/>
      <c r="EYB24" s="1280"/>
      <c r="EYC24" s="1280"/>
      <c r="EYD24" s="1280"/>
      <c r="EYE24" s="1280"/>
      <c r="EYF24" s="1280"/>
      <c r="EYG24" s="1280"/>
      <c r="EYH24" s="1280"/>
      <c r="EYI24" s="1280"/>
      <c r="EYJ24" s="1280"/>
      <c r="EYK24" s="1280"/>
      <c r="EYL24" s="1280"/>
      <c r="EYM24" s="1280"/>
      <c r="EYN24" s="1280"/>
      <c r="EYO24" s="1280"/>
      <c r="EYP24" s="1280"/>
      <c r="EYQ24" s="1280"/>
      <c r="EYR24" s="1280"/>
      <c r="EYS24" s="1280"/>
      <c r="EYT24" s="1280"/>
      <c r="EYU24" s="1280"/>
      <c r="EYV24" s="1280"/>
      <c r="EYW24" s="1280"/>
      <c r="EYX24" s="1280"/>
      <c r="EYY24" s="1280"/>
      <c r="EYZ24" s="1280"/>
      <c r="EZA24" s="1280"/>
      <c r="EZB24" s="1280"/>
      <c r="EZC24" s="1280"/>
      <c r="EZD24" s="1280"/>
      <c r="EZE24" s="1280"/>
      <c r="EZF24" s="1280"/>
      <c r="EZG24" s="1280"/>
      <c r="EZH24" s="1280"/>
      <c r="EZI24" s="1280"/>
      <c r="EZJ24" s="1280"/>
      <c r="EZK24" s="1280"/>
      <c r="EZL24" s="1280"/>
      <c r="EZM24" s="1280"/>
      <c r="EZN24" s="1280"/>
      <c r="EZO24" s="1280"/>
      <c r="EZP24" s="1280"/>
      <c r="EZQ24" s="1280"/>
      <c r="EZR24" s="1280"/>
      <c r="EZS24" s="1280"/>
      <c r="EZT24" s="1280"/>
      <c r="EZU24" s="1280"/>
      <c r="EZV24" s="1280"/>
      <c r="EZW24" s="1280"/>
      <c r="EZX24" s="1280"/>
      <c r="EZY24" s="1280"/>
      <c r="EZZ24" s="1280"/>
      <c r="FAA24" s="1280"/>
      <c r="FAB24" s="1280"/>
      <c r="FAC24" s="1280"/>
      <c r="FAD24" s="1280"/>
      <c r="FAE24" s="1280"/>
      <c r="FAF24" s="1280"/>
      <c r="FAG24" s="1280"/>
      <c r="FAH24" s="1280"/>
      <c r="FAI24" s="1280"/>
      <c r="FAJ24" s="1280"/>
      <c r="FAK24" s="1280"/>
      <c r="FAL24" s="1280"/>
      <c r="FAM24" s="1280"/>
      <c r="FAN24" s="1280"/>
      <c r="FAO24" s="1280"/>
      <c r="FAP24" s="1280"/>
      <c r="FAQ24" s="1280"/>
      <c r="FAR24" s="1280"/>
      <c r="FAS24" s="1280"/>
      <c r="FAT24" s="1280"/>
      <c r="FAU24" s="1280"/>
      <c r="FAV24" s="1280"/>
      <c r="FAW24" s="1280"/>
      <c r="FAX24" s="1280"/>
      <c r="FAY24" s="1280"/>
      <c r="FAZ24" s="1280"/>
      <c r="FBA24" s="1280"/>
      <c r="FBB24" s="1280"/>
      <c r="FBC24" s="1280"/>
      <c r="FBD24" s="1280"/>
      <c r="FBE24" s="1280"/>
      <c r="FBF24" s="1280"/>
      <c r="FBG24" s="1280"/>
      <c r="FBH24" s="1280"/>
      <c r="FBI24" s="1280"/>
      <c r="FBJ24" s="1280"/>
      <c r="FBK24" s="1280"/>
      <c r="FBL24" s="1280"/>
      <c r="FBM24" s="1280"/>
      <c r="FBN24" s="1280"/>
      <c r="FBO24" s="1280"/>
      <c r="FBP24" s="1280"/>
      <c r="FBQ24" s="1280"/>
      <c r="FBR24" s="1280"/>
      <c r="FBS24" s="1280"/>
      <c r="FBT24" s="1280"/>
      <c r="FBU24" s="1280"/>
      <c r="FBV24" s="1280"/>
      <c r="FBW24" s="1280"/>
      <c r="FBX24" s="1280"/>
      <c r="FBY24" s="1280"/>
      <c r="FBZ24" s="1280"/>
      <c r="FCA24" s="1280"/>
      <c r="FCB24" s="1280"/>
      <c r="FCC24" s="1280"/>
      <c r="FCD24" s="1280"/>
      <c r="FCE24" s="1280"/>
      <c r="FCF24" s="1280"/>
      <c r="FCG24" s="1280"/>
      <c r="FCH24" s="1280"/>
      <c r="FCI24" s="1280"/>
      <c r="FCJ24" s="1280"/>
      <c r="FCK24" s="1280"/>
      <c r="FCL24" s="1280"/>
      <c r="FCM24" s="1280"/>
      <c r="FCN24" s="1280"/>
      <c r="FCO24" s="1280"/>
      <c r="FCP24" s="1280"/>
      <c r="FCQ24" s="1280"/>
      <c r="FCR24" s="1280"/>
      <c r="FCS24" s="1280"/>
      <c r="FCT24" s="1280"/>
      <c r="FCU24" s="1280"/>
      <c r="FCV24" s="1280"/>
      <c r="FCW24" s="1280"/>
      <c r="FCX24" s="1280"/>
      <c r="FCY24" s="1280"/>
      <c r="FCZ24" s="1280"/>
      <c r="FDA24" s="1280"/>
      <c r="FDB24" s="1280"/>
      <c r="FDC24" s="1280"/>
      <c r="FDD24" s="1280"/>
      <c r="FDE24" s="1280"/>
      <c r="FDF24" s="1280"/>
      <c r="FDG24" s="1280"/>
      <c r="FDH24" s="1280"/>
      <c r="FDI24" s="1280"/>
      <c r="FDJ24" s="1280"/>
      <c r="FDK24" s="1280"/>
      <c r="FDL24" s="1280"/>
      <c r="FDM24" s="1280"/>
      <c r="FDN24" s="1280"/>
      <c r="FDO24" s="1280"/>
      <c r="FDP24" s="1280"/>
      <c r="FDQ24" s="1280"/>
      <c r="FDR24" s="1280"/>
      <c r="FDS24" s="1280"/>
      <c r="FDT24" s="1280"/>
      <c r="FDU24" s="1280"/>
      <c r="FDV24" s="1280"/>
      <c r="FDW24" s="1280"/>
      <c r="FDX24" s="1280"/>
      <c r="FDY24" s="1280"/>
      <c r="FDZ24" s="1280"/>
      <c r="FEA24" s="1280"/>
      <c r="FEB24" s="1280"/>
      <c r="FEC24" s="1280"/>
      <c r="FED24" s="1280"/>
      <c r="FEE24" s="1280"/>
      <c r="FEF24" s="1280"/>
      <c r="FEG24" s="1280"/>
      <c r="FEH24" s="1280"/>
      <c r="FEI24" s="1280"/>
      <c r="FEJ24" s="1280"/>
      <c r="FEK24" s="1280"/>
      <c r="FEL24" s="1280"/>
      <c r="FEM24" s="1280"/>
      <c r="FEN24" s="1280"/>
      <c r="FEO24" s="1280"/>
      <c r="FEP24" s="1280"/>
      <c r="FEQ24" s="1280"/>
      <c r="FER24" s="1280"/>
      <c r="FES24" s="1280"/>
      <c r="FET24" s="1280"/>
      <c r="FEU24" s="1280"/>
      <c r="FEV24" s="1280"/>
      <c r="FEW24" s="1280"/>
      <c r="FEX24" s="1280"/>
      <c r="FEY24" s="1280"/>
      <c r="FEZ24" s="1280"/>
      <c r="FFA24" s="1280"/>
      <c r="FFB24" s="1280"/>
      <c r="FFC24" s="1280"/>
      <c r="FFD24" s="1280"/>
      <c r="FFE24" s="1280"/>
      <c r="FFF24" s="1280"/>
      <c r="FFG24" s="1280"/>
      <c r="FFH24" s="1280"/>
      <c r="FFI24" s="1280"/>
      <c r="FFJ24" s="1280"/>
      <c r="FFK24" s="1280"/>
      <c r="FFL24" s="1280"/>
      <c r="FFM24" s="1280"/>
      <c r="FFN24" s="1280"/>
      <c r="FFO24" s="1280"/>
      <c r="FFP24" s="1280"/>
      <c r="FFQ24" s="1280"/>
      <c r="FFR24" s="1280"/>
      <c r="FFS24" s="1280"/>
      <c r="FFT24" s="1280"/>
      <c r="FFU24" s="1280"/>
      <c r="FFV24" s="1280"/>
      <c r="FFW24" s="1280"/>
      <c r="FFX24" s="1280"/>
      <c r="FFY24" s="1280"/>
      <c r="FFZ24" s="1280"/>
      <c r="FGA24" s="1280"/>
      <c r="FGB24" s="1280"/>
      <c r="FGC24" s="1280"/>
      <c r="FGD24" s="1280"/>
      <c r="FGE24" s="1280"/>
      <c r="FGF24" s="1280"/>
      <c r="FGG24" s="1280"/>
      <c r="FGH24" s="1280"/>
      <c r="FGI24" s="1280"/>
      <c r="FGJ24" s="1280"/>
      <c r="FGK24" s="1280"/>
      <c r="FGL24" s="1280"/>
      <c r="FGM24" s="1280"/>
      <c r="FGN24" s="1280"/>
      <c r="FGO24" s="1280"/>
      <c r="FGP24" s="1280"/>
      <c r="FGQ24" s="1280"/>
      <c r="FGR24" s="1280"/>
      <c r="FGS24" s="1280"/>
      <c r="FGT24" s="1280"/>
      <c r="FGU24" s="1280"/>
      <c r="FGV24" s="1280"/>
      <c r="FGW24" s="1280"/>
      <c r="FGX24" s="1280"/>
      <c r="FGY24" s="1280"/>
      <c r="FGZ24" s="1280"/>
      <c r="FHA24" s="1280"/>
      <c r="FHB24" s="1280"/>
      <c r="FHC24" s="1280"/>
      <c r="FHD24" s="1280"/>
      <c r="FHE24" s="1280"/>
      <c r="FHF24" s="1280"/>
      <c r="FHG24" s="1280"/>
      <c r="FHH24" s="1280"/>
      <c r="FHI24" s="1280"/>
      <c r="FHJ24" s="1280"/>
      <c r="FHK24" s="1280"/>
      <c r="FHL24" s="1280"/>
      <c r="FHM24" s="1280"/>
      <c r="FHN24" s="1280"/>
      <c r="FHO24" s="1280"/>
      <c r="FHP24" s="1280"/>
      <c r="FHQ24" s="1280"/>
      <c r="FHR24" s="1280"/>
      <c r="FHS24" s="1280"/>
      <c r="FHT24" s="1280"/>
      <c r="FHU24" s="1280"/>
      <c r="FHV24" s="1280"/>
      <c r="FHW24" s="1280"/>
      <c r="FHX24" s="1280"/>
      <c r="FHY24" s="1280"/>
      <c r="FHZ24" s="1280"/>
      <c r="FIA24" s="1280"/>
      <c r="FIB24" s="1280"/>
      <c r="FIC24" s="1280"/>
      <c r="FID24" s="1280"/>
      <c r="FIE24" s="1280"/>
      <c r="FIF24" s="1280"/>
      <c r="FIG24" s="1280"/>
      <c r="FIH24" s="1280"/>
      <c r="FII24" s="1280"/>
      <c r="FIJ24" s="1280"/>
      <c r="FIK24" s="1280"/>
      <c r="FIL24" s="1280"/>
      <c r="FIM24" s="1280"/>
      <c r="FIN24" s="1280"/>
      <c r="FIO24" s="1280"/>
      <c r="FIP24" s="1280"/>
      <c r="FIQ24" s="1280"/>
      <c r="FIR24" s="1280"/>
      <c r="FIS24" s="1280"/>
      <c r="FIT24" s="1280"/>
      <c r="FIU24" s="1280"/>
      <c r="FIV24" s="1280"/>
      <c r="FIW24" s="1280"/>
      <c r="FIX24" s="1280"/>
      <c r="FIY24" s="1280"/>
      <c r="FIZ24" s="1280"/>
      <c r="FJA24" s="1280"/>
      <c r="FJB24" s="1280"/>
      <c r="FJC24" s="1280"/>
      <c r="FJD24" s="1280"/>
      <c r="FJE24" s="1280"/>
      <c r="FJF24" s="1280"/>
      <c r="FJG24" s="1280"/>
      <c r="FJH24" s="1280"/>
      <c r="FJI24" s="1280"/>
      <c r="FJJ24" s="1280"/>
      <c r="FJK24" s="1280"/>
      <c r="FJL24" s="1280"/>
      <c r="FJM24" s="1280"/>
      <c r="FJN24" s="1280"/>
      <c r="FJO24" s="1280"/>
      <c r="FJP24" s="1280"/>
      <c r="FJQ24" s="1280"/>
      <c r="FJR24" s="1280"/>
      <c r="FJS24" s="1280"/>
      <c r="FJT24" s="1280"/>
      <c r="FJU24" s="1280"/>
      <c r="FJV24" s="1280"/>
      <c r="FJW24" s="1280"/>
      <c r="FJX24" s="1280"/>
      <c r="FJY24" s="1280"/>
      <c r="FJZ24" s="1280"/>
      <c r="FKA24" s="1280"/>
      <c r="FKB24" s="1280"/>
      <c r="FKC24" s="1280"/>
      <c r="FKD24" s="1280"/>
      <c r="FKE24" s="1280"/>
      <c r="FKF24" s="1280"/>
      <c r="FKG24" s="1280"/>
      <c r="FKH24" s="1280"/>
      <c r="FKI24" s="1280"/>
      <c r="FKJ24" s="1280"/>
      <c r="FKK24" s="1280"/>
      <c r="FKL24" s="1280"/>
      <c r="FKM24" s="1280"/>
      <c r="FKN24" s="1280"/>
      <c r="FKO24" s="1280"/>
      <c r="FKP24" s="1280"/>
      <c r="FKQ24" s="1280"/>
      <c r="FKR24" s="1280"/>
      <c r="FKS24" s="1280"/>
      <c r="FKT24" s="1280"/>
      <c r="FKU24" s="1280"/>
      <c r="FKV24" s="1280"/>
      <c r="FKW24" s="1280"/>
      <c r="FKX24" s="1280"/>
      <c r="FKY24" s="1280"/>
      <c r="FKZ24" s="1280"/>
      <c r="FLA24" s="1280"/>
      <c r="FLB24" s="1280"/>
      <c r="FLC24" s="1280"/>
      <c r="FLD24" s="1280"/>
      <c r="FLE24" s="1280"/>
      <c r="FLF24" s="1280"/>
      <c r="FLG24" s="1280"/>
      <c r="FLH24" s="1280"/>
      <c r="FLI24" s="1280"/>
      <c r="FLJ24" s="1280"/>
      <c r="FLK24" s="1280"/>
      <c r="FLL24" s="1280"/>
      <c r="FLM24" s="1280"/>
      <c r="FLN24" s="1280"/>
      <c r="FLO24" s="1280"/>
      <c r="FLP24" s="1280"/>
      <c r="FLQ24" s="1280"/>
      <c r="FLR24" s="1280"/>
      <c r="FLS24" s="1280"/>
      <c r="FLT24" s="1280"/>
      <c r="FLU24" s="1280"/>
      <c r="FLV24" s="1280"/>
      <c r="FLW24" s="1280"/>
      <c r="FLX24" s="1280"/>
      <c r="FLY24" s="1280"/>
      <c r="FLZ24" s="1280"/>
      <c r="FMA24" s="1280"/>
      <c r="FMB24" s="1280"/>
      <c r="FMC24" s="1280"/>
      <c r="FMD24" s="1280"/>
      <c r="FME24" s="1280"/>
      <c r="FMF24" s="1280"/>
      <c r="FMG24" s="1280"/>
      <c r="FMH24" s="1280"/>
      <c r="FMI24" s="1280"/>
      <c r="FMJ24" s="1280"/>
      <c r="FMK24" s="1280"/>
      <c r="FML24" s="1280"/>
      <c r="FMM24" s="1280"/>
      <c r="FMN24" s="1280"/>
      <c r="FMO24" s="1280"/>
      <c r="FMP24" s="1280"/>
      <c r="FMQ24" s="1280"/>
      <c r="FMR24" s="1280"/>
      <c r="FMS24" s="1280"/>
      <c r="FMT24" s="1280"/>
      <c r="FMU24" s="1280"/>
      <c r="FMV24" s="1280"/>
      <c r="FMW24" s="1280"/>
      <c r="FMX24" s="1280"/>
      <c r="FMY24" s="1280"/>
      <c r="FMZ24" s="1280"/>
      <c r="FNA24" s="1280"/>
      <c r="FNB24" s="1280"/>
      <c r="FNC24" s="1280"/>
      <c r="FND24" s="1280"/>
      <c r="FNE24" s="1280"/>
      <c r="FNF24" s="1280"/>
      <c r="FNG24" s="1280"/>
      <c r="FNH24" s="1280"/>
      <c r="FNI24" s="1280"/>
      <c r="FNJ24" s="1280"/>
      <c r="FNK24" s="1280"/>
      <c r="FNL24" s="1280"/>
      <c r="FNM24" s="1280"/>
      <c r="FNN24" s="1280"/>
      <c r="FNO24" s="1280"/>
      <c r="FNP24" s="1280"/>
      <c r="FNQ24" s="1280"/>
      <c r="FNR24" s="1280"/>
      <c r="FNS24" s="1280"/>
      <c r="FNT24" s="1280"/>
      <c r="FNU24" s="1280"/>
      <c r="FNV24" s="1280"/>
      <c r="FNW24" s="1280"/>
      <c r="FNX24" s="1280"/>
      <c r="FNY24" s="1280"/>
      <c r="FNZ24" s="1280"/>
      <c r="FOA24" s="1280"/>
      <c r="FOB24" s="1280"/>
      <c r="FOC24" s="1280"/>
      <c r="FOD24" s="1280"/>
      <c r="FOE24" s="1280"/>
      <c r="FOF24" s="1280"/>
      <c r="FOG24" s="1280"/>
      <c r="FOH24" s="1280"/>
      <c r="FOI24" s="1280"/>
      <c r="FOJ24" s="1280"/>
      <c r="FOK24" s="1280"/>
      <c r="FOL24" s="1280"/>
      <c r="FOM24" s="1280"/>
      <c r="FON24" s="1280"/>
      <c r="FOO24" s="1280"/>
      <c r="FOP24" s="1280"/>
      <c r="FOQ24" s="1280"/>
      <c r="FOR24" s="1280"/>
      <c r="FOS24" s="1280"/>
      <c r="FOT24" s="1280"/>
      <c r="FOU24" s="1280"/>
      <c r="FOV24" s="1280"/>
      <c r="FOW24" s="1280"/>
      <c r="FOX24" s="1280"/>
      <c r="FOY24" s="1280"/>
      <c r="FOZ24" s="1280"/>
      <c r="FPA24" s="1280"/>
      <c r="FPB24" s="1280"/>
      <c r="FPC24" s="1280"/>
      <c r="FPD24" s="1280"/>
      <c r="FPE24" s="1280"/>
      <c r="FPF24" s="1280"/>
      <c r="FPG24" s="1280"/>
      <c r="FPH24" s="1280"/>
      <c r="FPI24" s="1280"/>
      <c r="FPJ24" s="1280"/>
      <c r="FPK24" s="1280"/>
      <c r="FPL24" s="1280"/>
      <c r="FPM24" s="1280"/>
      <c r="FPN24" s="1280"/>
      <c r="FPO24" s="1280"/>
      <c r="FPP24" s="1280"/>
      <c r="FPQ24" s="1280"/>
      <c r="FPR24" s="1280"/>
      <c r="FPS24" s="1280"/>
      <c r="FPT24" s="1280"/>
      <c r="FPU24" s="1280"/>
      <c r="FPV24" s="1280"/>
      <c r="FPW24" s="1280"/>
      <c r="FPX24" s="1280"/>
      <c r="FPY24" s="1280"/>
      <c r="FPZ24" s="1280"/>
      <c r="FQA24" s="1280"/>
      <c r="FQB24" s="1280"/>
      <c r="FQC24" s="1280"/>
      <c r="FQD24" s="1280"/>
      <c r="FQE24" s="1280"/>
      <c r="FQF24" s="1280"/>
      <c r="FQG24" s="1280"/>
      <c r="FQH24" s="1280"/>
      <c r="FQI24" s="1280"/>
      <c r="FQJ24" s="1280"/>
      <c r="FQK24" s="1280"/>
      <c r="FQL24" s="1280"/>
      <c r="FQM24" s="1280"/>
      <c r="FQN24" s="1280"/>
      <c r="FQO24" s="1280"/>
      <c r="FQP24" s="1280"/>
      <c r="FQQ24" s="1280"/>
      <c r="FQR24" s="1280"/>
      <c r="FQS24" s="1280"/>
      <c r="FQT24" s="1280"/>
      <c r="FQU24" s="1280"/>
      <c r="FQV24" s="1280"/>
      <c r="FQW24" s="1280"/>
      <c r="FQX24" s="1280"/>
      <c r="FQY24" s="1280"/>
      <c r="FQZ24" s="1280"/>
      <c r="FRA24" s="1280"/>
      <c r="FRB24" s="1280"/>
      <c r="FRC24" s="1280"/>
      <c r="FRD24" s="1280"/>
      <c r="FRE24" s="1280"/>
      <c r="FRF24" s="1280"/>
      <c r="FRG24" s="1280"/>
      <c r="FRH24" s="1280"/>
      <c r="FRI24" s="1280"/>
      <c r="FRJ24" s="1280"/>
      <c r="FRK24" s="1280"/>
      <c r="FRL24" s="1280"/>
      <c r="FRM24" s="1280"/>
      <c r="FRN24" s="1280"/>
      <c r="FRO24" s="1280"/>
      <c r="FRP24" s="1280"/>
      <c r="FRQ24" s="1280"/>
      <c r="FRR24" s="1280"/>
      <c r="FRS24" s="1280"/>
      <c r="FRT24" s="1280"/>
      <c r="FRU24" s="1280"/>
      <c r="FRV24" s="1280"/>
      <c r="FRW24" s="1280"/>
      <c r="FRX24" s="1280"/>
      <c r="FRY24" s="1280"/>
      <c r="FRZ24" s="1280"/>
      <c r="FSA24" s="1280"/>
      <c r="FSB24" s="1280"/>
      <c r="FSC24" s="1280"/>
      <c r="FSD24" s="1280"/>
      <c r="FSE24" s="1280"/>
      <c r="FSF24" s="1280"/>
      <c r="FSG24" s="1280"/>
      <c r="FSH24" s="1280"/>
      <c r="FSI24" s="1280"/>
      <c r="FSJ24" s="1280"/>
      <c r="FSK24" s="1280"/>
      <c r="FSL24" s="1280"/>
      <c r="FSM24" s="1280"/>
      <c r="FSN24" s="1280"/>
      <c r="FSO24" s="1280"/>
      <c r="FSP24" s="1280"/>
      <c r="FSQ24" s="1280"/>
      <c r="FSR24" s="1280"/>
      <c r="FSS24" s="1280"/>
      <c r="FST24" s="1280"/>
      <c r="FSU24" s="1280"/>
      <c r="FSV24" s="1280"/>
      <c r="FSW24" s="1280"/>
      <c r="FSX24" s="1280"/>
      <c r="FSY24" s="1280"/>
      <c r="FSZ24" s="1280"/>
      <c r="FTA24" s="1280"/>
      <c r="FTB24" s="1280"/>
      <c r="FTC24" s="1280"/>
      <c r="FTD24" s="1280"/>
      <c r="FTE24" s="1280"/>
      <c r="FTF24" s="1280"/>
      <c r="FTG24" s="1280"/>
      <c r="FTH24" s="1280"/>
      <c r="FTI24" s="1280"/>
      <c r="FTJ24" s="1280"/>
      <c r="FTK24" s="1280"/>
      <c r="FTL24" s="1280"/>
      <c r="FTM24" s="1280"/>
      <c r="FTN24" s="1280"/>
      <c r="FTO24" s="1280"/>
      <c r="FTP24" s="1280"/>
      <c r="FTQ24" s="1280"/>
      <c r="FTR24" s="1280"/>
      <c r="FTS24" s="1280"/>
      <c r="FTT24" s="1280"/>
      <c r="FTU24" s="1280"/>
      <c r="FTV24" s="1280"/>
      <c r="FTW24" s="1280"/>
      <c r="FTX24" s="1280"/>
      <c r="FTY24" s="1280"/>
      <c r="FTZ24" s="1280"/>
      <c r="FUA24" s="1280"/>
      <c r="FUB24" s="1280"/>
      <c r="FUC24" s="1280"/>
      <c r="FUD24" s="1280"/>
      <c r="FUE24" s="1280"/>
      <c r="FUF24" s="1280"/>
      <c r="FUG24" s="1280"/>
      <c r="FUH24" s="1280"/>
      <c r="FUI24" s="1280"/>
      <c r="FUJ24" s="1280"/>
      <c r="FUK24" s="1280"/>
      <c r="FUL24" s="1280"/>
      <c r="FUM24" s="1280"/>
      <c r="FUN24" s="1280"/>
      <c r="FUO24" s="1280"/>
      <c r="FUP24" s="1280"/>
      <c r="FUQ24" s="1280"/>
      <c r="FUR24" s="1280"/>
      <c r="FUS24" s="1280"/>
      <c r="FUT24" s="1280"/>
      <c r="FUU24" s="1280"/>
      <c r="FUV24" s="1280"/>
      <c r="FUW24" s="1280"/>
      <c r="FUX24" s="1280"/>
      <c r="FUY24" s="1280"/>
      <c r="FUZ24" s="1280"/>
      <c r="FVA24" s="1280"/>
      <c r="FVB24" s="1280"/>
      <c r="FVC24" s="1280"/>
      <c r="FVD24" s="1280"/>
      <c r="FVE24" s="1280"/>
      <c r="FVF24" s="1280"/>
      <c r="FVG24" s="1280"/>
      <c r="FVH24" s="1280"/>
      <c r="FVI24" s="1280"/>
      <c r="FVJ24" s="1280"/>
      <c r="FVK24" s="1280"/>
      <c r="FVL24" s="1280"/>
      <c r="FVM24" s="1280"/>
      <c r="FVN24" s="1280"/>
      <c r="FVO24" s="1280"/>
      <c r="FVP24" s="1280"/>
      <c r="FVQ24" s="1280"/>
      <c r="FVR24" s="1280"/>
      <c r="FVS24" s="1280"/>
      <c r="FVT24" s="1280"/>
      <c r="FVU24" s="1280"/>
      <c r="FVV24" s="1280"/>
      <c r="FVW24" s="1280"/>
      <c r="FVX24" s="1280"/>
      <c r="FVY24" s="1280"/>
      <c r="FVZ24" s="1280"/>
      <c r="FWA24" s="1280"/>
      <c r="FWB24" s="1280"/>
      <c r="FWC24" s="1280"/>
      <c r="FWD24" s="1280"/>
      <c r="FWE24" s="1280"/>
      <c r="FWF24" s="1280"/>
      <c r="FWG24" s="1280"/>
      <c r="FWH24" s="1280"/>
      <c r="FWI24" s="1280"/>
      <c r="FWJ24" s="1280"/>
      <c r="FWK24" s="1280"/>
      <c r="FWL24" s="1280"/>
      <c r="FWM24" s="1280"/>
      <c r="FWN24" s="1280"/>
      <c r="FWO24" s="1280"/>
      <c r="FWP24" s="1280"/>
      <c r="FWQ24" s="1280"/>
      <c r="FWR24" s="1280"/>
      <c r="FWS24" s="1280"/>
      <c r="FWT24" s="1280"/>
      <c r="FWU24" s="1280"/>
      <c r="FWV24" s="1280"/>
      <c r="FWW24" s="1280"/>
      <c r="FWX24" s="1280"/>
      <c r="FWY24" s="1280"/>
      <c r="FWZ24" s="1280"/>
      <c r="FXA24" s="1280"/>
      <c r="FXB24" s="1280"/>
      <c r="FXC24" s="1280"/>
      <c r="FXD24" s="1280"/>
      <c r="FXE24" s="1280"/>
      <c r="FXF24" s="1280"/>
      <c r="FXG24" s="1280"/>
      <c r="FXH24" s="1280"/>
      <c r="FXI24" s="1280"/>
      <c r="FXJ24" s="1280"/>
      <c r="FXK24" s="1280"/>
      <c r="FXL24" s="1280"/>
      <c r="FXM24" s="1280"/>
      <c r="FXN24" s="1280"/>
      <c r="FXO24" s="1280"/>
      <c r="FXP24" s="1280"/>
      <c r="FXQ24" s="1280"/>
      <c r="FXR24" s="1280"/>
      <c r="FXS24" s="1280"/>
      <c r="FXT24" s="1280"/>
      <c r="FXU24" s="1280"/>
      <c r="FXV24" s="1280"/>
      <c r="FXW24" s="1280"/>
      <c r="FXX24" s="1280"/>
      <c r="FXY24" s="1280"/>
      <c r="FXZ24" s="1280"/>
      <c r="FYA24" s="1280"/>
      <c r="FYB24" s="1280"/>
      <c r="FYC24" s="1280"/>
      <c r="FYD24" s="1280"/>
      <c r="FYE24" s="1280"/>
      <c r="FYF24" s="1280"/>
      <c r="FYG24" s="1280"/>
      <c r="FYH24" s="1280"/>
      <c r="FYI24" s="1280"/>
      <c r="FYJ24" s="1280"/>
      <c r="FYK24" s="1280"/>
      <c r="FYL24" s="1280"/>
      <c r="FYM24" s="1280"/>
      <c r="FYN24" s="1280"/>
      <c r="FYO24" s="1280"/>
      <c r="FYP24" s="1280"/>
      <c r="FYQ24" s="1280"/>
      <c r="FYR24" s="1280"/>
      <c r="FYS24" s="1280"/>
      <c r="FYT24" s="1280"/>
      <c r="FYU24" s="1280"/>
      <c r="FYV24" s="1280"/>
      <c r="FYW24" s="1280"/>
      <c r="FYX24" s="1280"/>
      <c r="FYY24" s="1280"/>
      <c r="FYZ24" s="1280"/>
      <c r="FZA24" s="1280"/>
      <c r="FZB24" s="1280"/>
      <c r="FZC24" s="1280"/>
      <c r="FZD24" s="1280"/>
      <c r="FZE24" s="1280"/>
      <c r="FZF24" s="1280"/>
      <c r="FZG24" s="1280"/>
      <c r="FZH24" s="1280"/>
      <c r="FZI24" s="1280"/>
      <c r="FZJ24" s="1280"/>
      <c r="FZK24" s="1280"/>
      <c r="FZL24" s="1280"/>
      <c r="FZM24" s="1280"/>
      <c r="FZN24" s="1280"/>
      <c r="FZO24" s="1280"/>
      <c r="FZP24" s="1280"/>
      <c r="FZQ24" s="1280"/>
      <c r="FZR24" s="1280"/>
      <c r="FZS24" s="1280"/>
      <c r="FZT24" s="1280"/>
      <c r="FZU24" s="1280"/>
      <c r="FZV24" s="1280"/>
      <c r="FZW24" s="1280"/>
      <c r="FZX24" s="1280"/>
      <c r="FZY24" s="1280"/>
      <c r="FZZ24" s="1280"/>
      <c r="GAA24" s="1280"/>
      <c r="GAB24" s="1280"/>
      <c r="GAC24" s="1280"/>
      <c r="GAD24" s="1280"/>
      <c r="GAE24" s="1280"/>
      <c r="GAF24" s="1280"/>
      <c r="GAG24" s="1280"/>
      <c r="GAH24" s="1280"/>
      <c r="GAI24" s="1280"/>
      <c r="GAJ24" s="1280"/>
      <c r="GAK24" s="1280"/>
      <c r="GAL24" s="1280"/>
      <c r="GAM24" s="1280"/>
      <c r="GAN24" s="1280"/>
      <c r="GAO24" s="1280"/>
      <c r="GAP24" s="1280"/>
      <c r="GAQ24" s="1280"/>
      <c r="GAR24" s="1280"/>
      <c r="GAS24" s="1280"/>
      <c r="GAT24" s="1280"/>
      <c r="GAU24" s="1280"/>
      <c r="GAV24" s="1280"/>
      <c r="GAW24" s="1280"/>
      <c r="GAX24" s="1280"/>
      <c r="GAY24" s="1280"/>
      <c r="GAZ24" s="1280"/>
      <c r="GBA24" s="1280"/>
      <c r="GBB24" s="1280"/>
      <c r="GBC24" s="1280"/>
      <c r="GBD24" s="1280"/>
      <c r="GBE24" s="1280"/>
      <c r="GBF24" s="1280"/>
      <c r="GBG24" s="1280"/>
      <c r="GBH24" s="1280"/>
      <c r="GBI24" s="1280"/>
      <c r="GBJ24" s="1280"/>
      <c r="GBK24" s="1280"/>
      <c r="GBL24" s="1280"/>
      <c r="GBM24" s="1280"/>
      <c r="GBN24" s="1280"/>
      <c r="GBO24" s="1280"/>
      <c r="GBP24" s="1280"/>
      <c r="GBQ24" s="1280"/>
      <c r="GBR24" s="1280"/>
      <c r="GBS24" s="1280"/>
      <c r="GBT24" s="1280"/>
      <c r="GBU24" s="1280"/>
      <c r="GBV24" s="1280"/>
      <c r="GBW24" s="1280"/>
      <c r="GBX24" s="1280"/>
      <c r="GBY24" s="1280"/>
      <c r="GBZ24" s="1280"/>
      <c r="GCA24" s="1280"/>
      <c r="GCB24" s="1280"/>
      <c r="GCC24" s="1280"/>
      <c r="GCD24" s="1280"/>
      <c r="GCE24" s="1280"/>
      <c r="GCF24" s="1280"/>
      <c r="GCG24" s="1280"/>
      <c r="GCH24" s="1280"/>
      <c r="GCI24" s="1280"/>
      <c r="GCJ24" s="1280"/>
      <c r="GCK24" s="1280"/>
      <c r="GCL24" s="1280"/>
      <c r="GCM24" s="1280"/>
      <c r="GCN24" s="1280"/>
      <c r="GCO24" s="1280"/>
      <c r="GCP24" s="1280"/>
      <c r="GCQ24" s="1280"/>
      <c r="GCR24" s="1280"/>
      <c r="GCS24" s="1280"/>
      <c r="GCT24" s="1280"/>
      <c r="GCU24" s="1280"/>
      <c r="GCV24" s="1280"/>
      <c r="GCW24" s="1280"/>
      <c r="GCX24" s="1280"/>
      <c r="GCY24" s="1280"/>
      <c r="GCZ24" s="1280"/>
      <c r="GDA24" s="1280"/>
      <c r="GDB24" s="1280"/>
      <c r="GDC24" s="1280"/>
      <c r="GDD24" s="1280"/>
      <c r="GDE24" s="1280"/>
      <c r="GDF24" s="1280"/>
      <c r="GDG24" s="1280"/>
      <c r="GDH24" s="1280"/>
      <c r="GDI24" s="1280"/>
      <c r="GDJ24" s="1280"/>
      <c r="GDK24" s="1280"/>
      <c r="GDL24" s="1280"/>
      <c r="GDM24" s="1280"/>
      <c r="GDN24" s="1280"/>
      <c r="GDO24" s="1280"/>
      <c r="GDP24" s="1280"/>
      <c r="GDQ24" s="1280"/>
      <c r="GDR24" s="1280"/>
      <c r="GDS24" s="1280"/>
      <c r="GDT24" s="1280"/>
      <c r="GDU24" s="1280"/>
      <c r="GDV24" s="1280"/>
      <c r="GDW24" s="1280"/>
      <c r="GDX24" s="1280"/>
      <c r="GDY24" s="1280"/>
      <c r="GDZ24" s="1280"/>
      <c r="GEA24" s="1280"/>
      <c r="GEB24" s="1280"/>
      <c r="GEC24" s="1280"/>
      <c r="GED24" s="1280"/>
      <c r="GEE24" s="1280"/>
      <c r="GEF24" s="1280"/>
      <c r="GEG24" s="1280"/>
      <c r="GEH24" s="1280"/>
      <c r="GEI24" s="1280"/>
      <c r="GEJ24" s="1280"/>
      <c r="GEK24" s="1280"/>
      <c r="GEL24" s="1280"/>
      <c r="GEM24" s="1280"/>
      <c r="GEN24" s="1280"/>
      <c r="GEO24" s="1280"/>
      <c r="GEP24" s="1280"/>
      <c r="GEQ24" s="1280"/>
      <c r="GER24" s="1280"/>
      <c r="GES24" s="1280"/>
      <c r="GET24" s="1280"/>
      <c r="GEU24" s="1280"/>
      <c r="GEV24" s="1280"/>
      <c r="GEW24" s="1280"/>
      <c r="GEX24" s="1280"/>
      <c r="GEY24" s="1280"/>
      <c r="GEZ24" s="1280"/>
      <c r="GFA24" s="1280"/>
      <c r="GFB24" s="1280"/>
      <c r="GFC24" s="1280"/>
      <c r="GFD24" s="1280"/>
      <c r="GFE24" s="1280"/>
      <c r="GFF24" s="1280"/>
      <c r="GFG24" s="1280"/>
      <c r="GFH24" s="1280"/>
      <c r="GFI24" s="1280"/>
      <c r="GFJ24" s="1280"/>
      <c r="GFK24" s="1280"/>
      <c r="GFL24" s="1280"/>
      <c r="GFM24" s="1280"/>
      <c r="GFN24" s="1280"/>
      <c r="GFO24" s="1280"/>
      <c r="GFP24" s="1280"/>
      <c r="GFQ24" s="1280"/>
      <c r="GFR24" s="1280"/>
      <c r="GFS24" s="1280"/>
      <c r="GFT24" s="1280"/>
      <c r="GFU24" s="1280"/>
      <c r="GFV24" s="1280"/>
      <c r="GFW24" s="1280"/>
      <c r="GFX24" s="1280"/>
      <c r="GFY24" s="1280"/>
      <c r="GFZ24" s="1280"/>
      <c r="GGA24" s="1280"/>
      <c r="GGB24" s="1280"/>
      <c r="GGC24" s="1280"/>
      <c r="GGD24" s="1280"/>
      <c r="GGE24" s="1280"/>
      <c r="GGF24" s="1280"/>
      <c r="GGG24" s="1280"/>
      <c r="GGH24" s="1280"/>
      <c r="GGI24" s="1280"/>
      <c r="GGJ24" s="1280"/>
      <c r="GGK24" s="1280"/>
      <c r="GGL24" s="1280"/>
      <c r="GGM24" s="1280"/>
      <c r="GGN24" s="1280"/>
      <c r="GGO24" s="1280"/>
      <c r="GGP24" s="1280"/>
      <c r="GGQ24" s="1280"/>
      <c r="GGR24" s="1280"/>
      <c r="GGS24" s="1280"/>
      <c r="GGT24" s="1280"/>
      <c r="GGU24" s="1280"/>
      <c r="GGV24" s="1280"/>
      <c r="GGW24" s="1280"/>
      <c r="GGX24" s="1280"/>
      <c r="GGY24" s="1280"/>
      <c r="GGZ24" s="1280"/>
      <c r="GHA24" s="1280"/>
      <c r="GHB24" s="1280"/>
      <c r="GHC24" s="1280"/>
      <c r="GHD24" s="1280"/>
      <c r="GHE24" s="1280"/>
      <c r="GHF24" s="1280"/>
      <c r="GHG24" s="1280"/>
      <c r="GHH24" s="1280"/>
      <c r="GHI24" s="1280"/>
      <c r="GHJ24" s="1280"/>
      <c r="GHK24" s="1280"/>
      <c r="GHL24" s="1280"/>
      <c r="GHM24" s="1280"/>
      <c r="GHN24" s="1280"/>
      <c r="GHO24" s="1280"/>
      <c r="GHP24" s="1280"/>
      <c r="GHQ24" s="1280"/>
      <c r="GHR24" s="1280"/>
      <c r="GHS24" s="1280"/>
      <c r="GHT24" s="1280"/>
      <c r="GHU24" s="1280"/>
      <c r="GHV24" s="1280"/>
      <c r="GHW24" s="1280"/>
      <c r="GHX24" s="1280"/>
      <c r="GHY24" s="1280"/>
      <c r="GHZ24" s="1280"/>
      <c r="GIA24" s="1280"/>
      <c r="GIB24" s="1280"/>
      <c r="GIC24" s="1280"/>
      <c r="GID24" s="1280"/>
      <c r="GIE24" s="1280"/>
      <c r="GIF24" s="1280"/>
      <c r="GIG24" s="1280"/>
      <c r="GIH24" s="1280"/>
      <c r="GII24" s="1280"/>
      <c r="GIJ24" s="1280"/>
      <c r="GIK24" s="1280"/>
      <c r="GIL24" s="1280"/>
      <c r="GIM24" s="1280"/>
      <c r="GIN24" s="1280"/>
      <c r="GIO24" s="1280"/>
      <c r="GIP24" s="1280"/>
      <c r="GIQ24" s="1280"/>
      <c r="GIR24" s="1280"/>
      <c r="GIS24" s="1280"/>
      <c r="GIT24" s="1280"/>
      <c r="GIU24" s="1280"/>
      <c r="GIV24" s="1280"/>
      <c r="GIW24" s="1280"/>
      <c r="GIX24" s="1280"/>
      <c r="GIY24" s="1280"/>
      <c r="GIZ24" s="1280"/>
      <c r="GJA24" s="1280"/>
      <c r="GJB24" s="1280"/>
      <c r="GJC24" s="1280"/>
      <c r="GJD24" s="1280"/>
      <c r="GJE24" s="1280"/>
      <c r="GJF24" s="1280"/>
      <c r="GJG24" s="1280"/>
      <c r="GJH24" s="1280"/>
      <c r="GJI24" s="1280"/>
      <c r="GJJ24" s="1280"/>
      <c r="GJK24" s="1280"/>
      <c r="GJL24" s="1280"/>
      <c r="GJM24" s="1280"/>
      <c r="GJN24" s="1280"/>
      <c r="GJO24" s="1280"/>
      <c r="GJP24" s="1280"/>
      <c r="GJQ24" s="1280"/>
      <c r="GJR24" s="1280"/>
      <c r="GJS24" s="1280"/>
      <c r="GJT24" s="1280"/>
      <c r="GJU24" s="1280"/>
      <c r="GJV24" s="1280"/>
      <c r="GJW24" s="1280"/>
      <c r="GJX24" s="1280"/>
      <c r="GJY24" s="1280"/>
      <c r="GJZ24" s="1280"/>
      <c r="GKA24" s="1280"/>
      <c r="GKB24" s="1280"/>
      <c r="GKC24" s="1280"/>
      <c r="GKD24" s="1280"/>
      <c r="GKE24" s="1280"/>
      <c r="GKF24" s="1280"/>
      <c r="GKG24" s="1280"/>
      <c r="GKH24" s="1280"/>
      <c r="GKI24" s="1280"/>
      <c r="GKJ24" s="1280"/>
      <c r="GKK24" s="1280"/>
      <c r="GKL24" s="1280"/>
      <c r="GKM24" s="1280"/>
      <c r="GKN24" s="1280"/>
      <c r="GKO24" s="1280"/>
      <c r="GKP24" s="1280"/>
      <c r="GKQ24" s="1280"/>
      <c r="GKR24" s="1280"/>
      <c r="GKS24" s="1280"/>
      <c r="GKT24" s="1280"/>
      <c r="GKU24" s="1280"/>
      <c r="GKV24" s="1280"/>
      <c r="GKW24" s="1280"/>
      <c r="GKX24" s="1280"/>
      <c r="GKY24" s="1280"/>
      <c r="GKZ24" s="1280"/>
      <c r="GLA24" s="1280"/>
      <c r="GLB24" s="1280"/>
      <c r="GLC24" s="1280"/>
      <c r="GLD24" s="1280"/>
      <c r="GLE24" s="1280"/>
      <c r="GLF24" s="1280"/>
      <c r="GLG24" s="1280"/>
      <c r="GLH24" s="1280"/>
      <c r="GLI24" s="1280"/>
      <c r="GLJ24" s="1280"/>
      <c r="GLK24" s="1280"/>
      <c r="GLL24" s="1280"/>
      <c r="GLM24" s="1280"/>
      <c r="GLN24" s="1280"/>
      <c r="GLO24" s="1280"/>
      <c r="GLP24" s="1280"/>
      <c r="GLQ24" s="1280"/>
      <c r="GLR24" s="1280"/>
      <c r="GLS24" s="1280"/>
      <c r="GLT24" s="1280"/>
      <c r="GLU24" s="1280"/>
      <c r="GLV24" s="1280"/>
      <c r="GLW24" s="1280"/>
      <c r="GLX24" s="1280"/>
      <c r="GLY24" s="1280"/>
      <c r="GLZ24" s="1280"/>
      <c r="GMA24" s="1280"/>
      <c r="GMB24" s="1280"/>
      <c r="GMC24" s="1280"/>
      <c r="GMD24" s="1280"/>
      <c r="GME24" s="1280"/>
      <c r="GMF24" s="1280"/>
      <c r="GMG24" s="1280"/>
      <c r="GMH24" s="1280"/>
      <c r="GMI24" s="1280"/>
      <c r="GMJ24" s="1280"/>
      <c r="GMK24" s="1280"/>
      <c r="GML24" s="1280"/>
      <c r="GMM24" s="1280"/>
      <c r="GMN24" s="1280"/>
      <c r="GMO24" s="1280"/>
      <c r="GMP24" s="1280"/>
      <c r="GMQ24" s="1280"/>
      <c r="GMR24" s="1280"/>
      <c r="GMS24" s="1280"/>
      <c r="GMT24" s="1280"/>
      <c r="GMU24" s="1280"/>
      <c r="GMV24" s="1280"/>
      <c r="GMW24" s="1280"/>
      <c r="GMX24" s="1280"/>
      <c r="GMY24" s="1280"/>
      <c r="GMZ24" s="1280"/>
      <c r="GNA24" s="1280"/>
      <c r="GNB24" s="1280"/>
      <c r="GNC24" s="1280"/>
      <c r="GND24" s="1280"/>
      <c r="GNE24" s="1280"/>
      <c r="GNF24" s="1280"/>
      <c r="GNG24" s="1280"/>
      <c r="GNH24" s="1280"/>
      <c r="GNI24" s="1280"/>
      <c r="GNJ24" s="1280"/>
      <c r="GNK24" s="1280"/>
      <c r="GNL24" s="1280"/>
      <c r="GNM24" s="1280"/>
      <c r="GNN24" s="1280"/>
      <c r="GNO24" s="1280"/>
      <c r="GNP24" s="1280"/>
      <c r="GNQ24" s="1280"/>
      <c r="GNR24" s="1280"/>
      <c r="GNS24" s="1280"/>
      <c r="GNT24" s="1280"/>
      <c r="GNU24" s="1280"/>
      <c r="GNV24" s="1280"/>
      <c r="GNW24" s="1280"/>
      <c r="GNX24" s="1280"/>
      <c r="GNY24" s="1280"/>
      <c r="GNZ24" s="1280"/>
      <c r="GOA24" s="1280"/>
      <c r="GOB24" s="1280"/>
      <c r="GOC24" s="1280"/>
      <c r="GOD24" s="1280"/>
      <c r="GOE24" s="1280"/>
      <c r="GOF24" s="1280"/>
      <c r="GOG24" s="1280"/>
      <c r="GOH24" s="1280"/>
      <c r="GOI24" s="1280"/>
      <c r="GOJ24" s="1280"/>
      <c r="GOK24" s="1280"/>
      <c r="GOL24" s="1280"/>
      <c r="GOM24" s="1280"/>
      <c r="GON24" s="1280"/>
      <c r="GOO24" s="1280"/>
      <c r="GOP24" s="1280"/>
      <c r="GOQ24" s="1280"/>
      <c r="GOR24" s="1280"/>
      <c r="GOS24" s="1280"/>
      <c r="GOT24" s="1280"/>
      <c r="GOU24" s="1280"/>
      <c r="GOV24" s="1280"/>
      <c r="GOW24" s="1280"/>
      <c r="GOX24" s="1280"/>
      <c r="GOY24" s="1280"/>
      <c r="GOZ24" s="1280"/>
      <c r="GPA24" s="1280"/>
      <c r="GPB24" s="1280"/>
      <c r="GPC24" s="1280"/>
      <c r="GPD24" s="1280"/>
      <c r="GPE24" s="1280"/>
      <c r="GPF24" s="1280"/>
      <c r="GPG24" s="1280"/>
      <c r="GPH24" s="1280"/>
      <c r="GPI24" s="1280"/>
      <c r="GPJ24" s="1280"/>
      <c r="GPK24" s="1280"/>
      <c r="GPL24" s="1280"/>
      <c r="GPM24" s="1280"/>
      <c r="GPN24" s="1280"/>
      <c r="GPO24" s="1280"/>
      <c r="GPP24" s="1280"/>
      <c r="GPQ24" s="1280"/>
      <c r="GPR24" s="1280"/>
      <c r="GPS24" s="1280"/>
      <c r="GPT24" s="1280"/>
      <c r="GPU24" s="1280"/>
      <c r="GPV24" s="1280"/>
      <c r="GPW24" s="1280"/>
      <c r="GPX24" s="1280"/>
      <c r="GPY24" s="1280"/>
      <c r="GPZ24" s="1280"/>
      <c r="GQA24" s="1280"/>
      <c r="GQB24" s="1280"/>
      <c r="GQC24" s="1280"/>
      <c r="GQD24" s="1280"/>
      <c r="GQE24" s="1280"/>
      <c r="GQF24" s="1280"/>
      <c r="GQG24" s="1280"/>
      <c r="GQH24" s="1280"/>
      <c r="GQI24" s="1280"/>
      <c r="GQJ24" s="1280"/>
      <c r="GQK24" s="1280"/>
      <c r="GQL24" s="1280"/>
      <c r="GQM24" s="1280"/>
      <c r="GQN24" s="1280"/>
      <c r="GQO24" s="1280"/>
      <c r="GQP24" s="1280"/>
      <c r="GQQ24" s="1280"/>
      <c r="GQR24" s="1280"/>
      <c r="GQS24" s="1280"/>
      <c r="GQT24" s="1280"/>
      <c r="GQU24" s="1280"/>
      <c r="GQV24" s="1280"/>
      <c r="GQW24" s="1280"/>
      <c r="GQX24" s="1280"/>
      <c r="GQY24" s="1280"/>
      <c r="GQZ24" s="1280"/>
      <c r="GRA24" s="1280"/>
      <c r="GRB24" s="1280"/>
      <c r="GRC24" s="1280"/>
      <c r="GRD24" s="1280"/>
      <c r="GRE24" s="1280"/>
      <c r="GRF24" s="1280"/>
      <c r="GRG24" s="1280"/>
      <c r="GRH24" s="1280"/>
      <c r="GRI24" s="1280"/>
      <c r="GRJ24" s="1280"/>
      <c r="GRK24" s="1280"/>
      <c r="GRL24" s="1280"/>
      <c r="GRM24" s="1280"/>
      <c r="GRN24" s="1280"/>
      <c r="GRO24" s="1280"/>
      <c r="GRP24" s="1280"/>
      <c r="GRQ24" s="1280"/>
      <c r="GRR24" s="1280"/>
      <c r="GRS24" s="1280"/>
      <c r="GRT24" s="1280"/>
      <c r="GRU24" s="1280"/>
      <c r="GRV24" s="1280"/>
      <c r="GRW24" s="1280"/>
      <c r="GRX24" s="1280"/>
      <c r="GRY24" s="1280"/>
      <c r="GRZ24" s="1280"/>
      <c r="GSA24" s="1280"/>
      <c r="GSB24" s="1280"/>
      <c r="GSC24" s="1280"/>
      <c r="GSD24" s="1280"/>
      <c r="GSE24" s="1280"/>
      <c r="GSF24" s="1280"/>
      <c r="GSG24" s="1280"/>
      <c r="GSH24" s="1280"/>
      <c r="GSI24" s="1280"/>
      <c r="GSJ24" s="1280"/>
      <c r="GSK24" s="1280"/>
      <c r="GSL24" s="1280"/>
      <c r="GSM24" s="1280"/>
      <c r="GSN24" s="1280"/>
      <c r="GSO24" s="1280"/>
      <c r="GSP24" s="1280"/>
      <c r="GSQ24" s="1280"/>
      <c r="GSR24" s="1280"/>
      <c r="GSS24" s="1280"/>
      <c r="GST24" s="1280"/>
      <c r="GSU24" s="1280"/>
      <c r="GSV24" s="1280"/>
      <c r="GSW24" s="1280"/>
      <c r="GSX24" s="1280"/>
      <c r="GSY24" s="1280"/>
      <c r="GSZ24" s="1280"/>
      <c r="GTA24" s="1280"/>
      <c r="GTB24" s="1280"/>
      <c r="GTC24" s="1280"/>
      <c r="GTD24" s="1280"/>
      <c r="GTE24" s="1280"/>
      <c r="GTF24" s="1280"/>
      <c r="GTG24" s="1280"/>
      <c r="GTH24" s="1280"/>
      <c r="GTI24" s="1280"/>
      <c r="GTJ24" s="1280"/>
      <c r="GTK24" s="1280"/>
      <c r="GTL24" s="1280"/>
      <c r="GTM24" s="1280"/>
      <c r="GTN24" s="1280"/>
      <c r="GTO24" s="1280"/>
      <c r="GTP24" s="1280"/>
      <c r="GTQ24" s="1280"/>
      <c r="GTR24" s="1280"/>
      <c r="GTS24" s="1280"/>
      <c r="GTT24" s="1280"/>
      <c r="GTU24" s="1280"/>
      <c r="GTV24" s="1280"/>
      <c r="GTW24" s="1280"/>
      <c r="GTX24" s="1280"/>
      <c r="GTY24" s="1280"/>
      <c r="GTZ24" s="1280"/>
      <c r="GUA24" s="1280"/>
      <c r="GUB24" s="1280"/>
      <c r="GUC24" s="1280"/>
      <c r="GUD24" s="1280"/>
      <c r="GUE24" s="1280"/>
      <c r="GUF24" s="1280"/>
      <c r="GUG24" s="1280"/>
      <c r="GUH24" s="1280"/>
      <c r="GUI24" s="1280"/>
      <c r="GUJ24" s="1280"/>
      <c r="GUK24" s="1280"/>
      <c r="GUL24" s="1280"/>
      <c r="GUM24" s="1280"/>
      <c r="GUN24" s="1280"/>
      <c r="GUO24" s="1280"/>
      <c r="GUP24" s="1280"/>
      <c r="GUQ24" s="1280"/>
      <c r="GUR24" s="1280"/>
      <c r="GUS24" s="1280"/>
      <c r="GUT24" s="1280"/>
      <c r="GUU24" s="1280"/>
      <c r="GUV24" s="1280"/>
      <c r="GUW24" s="1280"/>
      <c r="GUX24" s="1280"/>
      <c r="GUY24" s="1280"/>
      <c r="GUZ24" s="1280"/>
      <c r="GVA24" s="1280"/>
      <c r="GVB24" s="1280"/>
      <c r="GVC24" s="1280"/>
      <c r="GVD24" s="1280"/>
      <c r="GVE24" s="1280"/>
      <c r="GVF24" s="1280"/>
      <c r="GVG24" s="1280"/>
      <c r="GVH24" s="1280"/>
      <c r="GVI24" s="1280"/>
      <c r="GVJ24" s="1280"/>
      <c r="GVK24" s="1280"/>
      <c r="GVL24" s="1280"/>
      <c r="GVM24" s="1280"/>
      <c r="GVN24" s="1280"/>
      <c r="GVO24" s="1280"/>
      <c r="GVP24" s="1280"/>
      <c r="GVQ24" s="1280"/>
      <c r="GVR24" s="1280"/>
      <c r="GVS24" s="1280"/>
      <c r="GVT24" s="1280"/>
      <c r="GVU24" s="1280"/>
      <c r="GVV24" s="1280"/>
      <c r="GVW24" s="1280"/>
      <c r="GVX24" s="1280"/>
      <c r="GVY24" s="1280"/>
      <c r="GVZ24" s="1280"/>
      <c r="GWA24" s="1280"/>
      <c r="GWB24" s="1280"/>
      <c r="GWC24" s="1280"/>
      <c r="GWD24" s="1280"/>
      <c r="GWE24" s="1280"/>
      <c r="GWF24" s="1280"/>
      <c r="GWG24" s="1280"/>
      <c r="GWH24" s="1280"/>
      <c r="GWI24" s="1280"/>
      <c r="GWJ24" s="1280"/>
      <c r="GWK24" s="1280"/>
      <c r="GWL24" s="1280"/>
      <c r="GWM24" s="1280"/>
      <c r="GWN24" s="1280"/>
      <c r="GWO24" s="1280"/>
      <c r="GWP24" s="1280"/>
      <c r="GWQ24" s="1280"/>
      <c r="GWR24" s="1280"/>
      <c r="GWS24" s="1280"/>
      <c r="GWT24" s="1280"/>
      <c r="GWU24" s="1280"/>
      <c r="GWV24" s="1280"/>
      <c r="GWW24" s="1280"/>
      <c r="GWX24" s="1280"/>
      <c r="GWY24" s="1280"/>
      <c r="GWZ24" s="1280"/>
      <c r="GXA24" s="1280"/>
      <c r="GXB24" s="1280"/>
      <c r="GXC24" s="1280"/>
      <c r="GXD24" s="1280"/>
      <c r="GXE24" s="1280"/>
      <c r="GXF24" s="1280"/>
      <c r="GXG24" s="1280"/>
      <c r="GXH24" s="1280"/>
      <c r="GXI24" s="1280"/>
      <c r="GXJ24" s="1280"/>
      <c r="GXK24" s="1280"/>
      <c r="GXL24" s="1280"/>
      <c r="GXM24" s="1280"/>
      <c r="GXN24" s="1280"/>
      <c r="GXO24" s="1280"/>
      <c r="GXP24" s="1280"/>
      <c r="GXQ24" s="1280"/>
      <c r="GXR24" s="1280"/>
      <c r="GXS24" s="1280"/>
      <c r="GXT24" s="1280"/>
      <c r="GXU24" s="1280"/>
      <c r="GXV24" s="1280"/>
      <c r="GXW24" s="1280"/>
      <c r="GXX24" s="1280"/>
      <c r="GXY24" s="1280"/>
      <c r="GXZ24" s="1280"/>
      <c r="GYA24" s="1280"/>
      <c r="GYB24" s="1280"/>
      <c r="GYC24" s="1280"/>
      <c r="GYD24" s="1280"/>
      <c r="GYE24" s="1280"/>
      <c r="GYF24" s="1280"/>
      <c r="GYG24" s="1280"/>
      <c r="GYH24" s="1280"/>
      <c r="GYI24" s="1280"/>
      <c r="GYJ24" s="1280"/>
      <c r="GYK24" s="1280"/>
      <c r="GYL24" s="1280"/>
      <c r="GYM24" s="1280"/>
      <c r="GYN24" s="1280"/>
      <c r="GYO24" s="1280"/>
      <c r="GYP24" s="1280"/>
      <c r="GYQ24" s="1280"/>
      <c r="GYR24" s="1280"/>
      <c r="GYS24" s="1280"/>
      <c r="GYT24" s="1280"/>
      <c r="GYU24" s="1280"/>
      <c r="GYV24" s="1280"/>
      <c r="GYW24" s="1280"/>
      <c r="GYX24" s="1280"/>
      <c r="GYY24" s="1280"/>
      <c r="GYZ24" s="1280"/>
      <c r="GZA24" s="1280"/>
      <c r="GZB24" s="1280"/>
      <c r="GZC24" s="1280"/>
      <c r="GZD24" s="1280"/>
      <c r="GZE24" s="1280"/>
      <c r="GZF24" s="1280"/>
      <c r="GZG24" s="1280"/>
      <c r="GZH24" s="1280"/>
      <c r="GZI24" s="1280"/>
      <c r="GZJ24" s="1280"/>
      <c r="GZK24" s="1280"/>
      <c r="GZL24" s="1280"/>
      <c r="GZM24" s="1280"/>
      <c r="GZN24" s="1280"/>
      <c r="GZO24" s="1280"/>
      <c r="GZP24" s="1280"/>
      <c r="GZQ24" s="1280"/>
      <c r="GZR24" s="1280"/>
      <c r="GZS24" s="1280"/>
      <c r="GZT24" s="1280"/>
      <c r="GZU24" s="1280"/>
      <c r="GZV24" s="1280"/>
      <c r="GZW24" s="1280"/>
      <c r="GZX24" s="1280"/>
      <c r="GZY24" s="1280"/>
      <c r="GZZ24" s="1280"/>
      <c r="HAA24" s="1280"/>
      <c r="HAB24" s="1280"/>
      <c r="HAC24" s="1280"/>
      <c r="HAD24" s="1280"/>
      <c r="HAE24" s="1280"/>
      <c r="HAF24" s="1280"/>
      <c r="HAG24" s="1280"/>
      <c r="HAH24" s="1280"/>
      <c r="HAI24" s="1280"/>
      <c r="HAJ24" s="1280"/>
      <c r="HAK24" s="1280"/>
      <c r="HAL24" s="1280"/>
      <c r="HAM24" s="1280"/>
      <c r="HAN24" s="1280"/>
      <c r="HAO24" s="1280"/>
      <c r="HAP24" s="1280"/>
      <c r="HAQ24" s="1280"/>
      <c r="HAR24" s="1280"/>
      <c r="HAS24" s="1280"/>
      <c r="HAT24" s="1280"/>
      <c r="HAU24" s="1280"/>
      <c r="HAV24" s="1280"/>
      <c r="HAW24" s="1280"/>
      <c r="HAX24" s="1280"/>
      <c r="HAY24" s="1280"/>
      <c r="HAZ24" s="1280"/>
      <c r="HBA24" s="1280"/>
      <c r="HBB24" s="1280"/>
      <c r="HBC24" s="1280"/>
      <c r="HBD24" s="1280"/>
      <c r="HBE24" s="1280"/>
      <c r="HBF24" s="1280"/>
      <c r="HBG24" s="1280"/>
      <c r="HBH24" s="1280"/>
      <c r="HBI24" s="1280"/>
      <c r="HBJ24" s="1280"/>
      <c r="HBK24" s="1280"/>
      <c r="HBL24" s="1280"/>
      <c r="HBM24" s="1280"/>
      <c r="HBN24" s="1280"/>
      <c r="HBO24" s="1280"/>
      <c r="HBP24" s="1280"/>
      <c r="HBQ24" s="1280"/>
      <c r="HBR24" s="1280"/>
      <c r="HBS24" s="1280"/>
      <c r="HBT24" s="1280"/>
      <c r="HBU24" s="1280"/>
      <c r="HBV24" s="1280"/>
      <c r="HBW24" s="1280"/>
      <c r="HBX24" s="1280"/>
      <c r="HBY24" s="1280"/>
      <c r="HBZ24" s="1280"/>
      <c r="HCA24" s="1280"/>
      <c r="HCB24" s="1280"/>
      <c r="HCC24" s="1280"/>
      <c r="HCD24" s="1280"/>
      <c r="HCE24" s="1280"/>
      <c r="HCF24" s="1280"/>
      <c r="HCG24" s="1280"/>
      <c r="HCH24" s="1280"/>
      <c r="HCI24" s="1280"/>
      <c r="HCJ24" s="1280"/>
      <c r="HCK24" s="1280"/>
      <c r="HCL24" s="1280"/>
      <c r="HCM24" s="1280"/>
      <c r="HCN24" s="1280"/>
      <c r="HCO24" s="1280"/>
      <c r="HCP24" s="1280"/>
      <c r="HCQ24" s="1280"/>
      <c r="HCR24" s="1280"/>
      <c r="HCS24" s="1280"/>
      <c r="HCT24" s="1280"/>
      <c r="HCU24" s="1280"/>
      <c r="HCV24" s="1280"/>
      <c r="HCW24" s="1280"/>
      <c r="HCX24" s="1280"/>
      <c r="HCY24" s="1280"/>
      <c r="HCZ24" s="1280"/>
      <c r="HDA24" s="1280"/>
      <c r="HDB24" s="1280"/>
      <c r="HDC24" s="1280"/>
      <c r="HDD24" s="1280"/>
      <c r="HDE24" s="1280"/>
      <c r="HDF24" s="1280"/>
      <c r="HDG24" s="1280"/>
      <c r="HDH24" s="1280"/>
      <c r="HDI24" s="1280"/>
      <c r="HDJ24" s="1280"/>
      <c r="HDK24" s="1280"/>
      <c r="HDL24" s="1280"/>
      <c r="HDM24" s="1280"/>
      <c r="HDN24" s="1280"/>
      <c r="HDO24" s="1280"/>
      <c r="HDP24" s="1280"/>
      <c r="HDQ24" s="1280"/>
      <c r="HDR24" s="1280"/>
      <c r="HDS24" s="1280"/>
      <c r="HDT24" s="1280"/>
      <c r="HDU24" s="1280"/>
      <c r="HDV24" s="1280"/>
      <c r="HDW24" s="1280"/>
      <c r="HDX24" s="1280"/>
      <c r="HDY24" s="1280"/>
      <c r="HDZ24" s="1280"/>
      <c r="HEA24" s="1280"/>
      <c r="HEB24" s="1280"/>
      <c r="HEC24" s="1280"/>
      <c r="HED24" s="1280"/>
      <c r="HEE24" s="1280"/>
      <c r="HEF24" s="1280"/>
      <c r="HEG24" s="1280"/>
      <c r="HEH24" s="1280"/>
      <c r="HEI24" s="1280"/>
      <c r="HEJ24" s="1280"/>
      <c r="HEK24" s="1280"/>
      <c r="HEL24" s="1280"/>
      <c r="HEM24" s="1280"/>
      <c r="HEN24" s="1280"/>
      <c r="HEO24" s="1280"/>
      <c r="HEP24" s="1280"/>
      <c r="HEQ24" s="1280"/>
      <c r="HER24" s="1280"/>
      <c r="HES24" s="1280"/>
      <c r="HET24" s="1280"/>
      <c r="HEU24" s="1280"/>
      <c r="HEV24" s="1280"/>
      <c r="HEW24" s="1280"/>
      <c r="HEX24" s="1280"/>
      <c r="HEY24" s="1280"/>
      <c r="HEZ24" s="1280"/>
      <c r="HFA24" s="1280"/>
      <c r="HFB24" s="1280"/>
      <c r="HFC24" s="1280"/>
      <c r="HFD24" s="1280"/>
      <c r="HFE24" s="1280"/>
      <c r="HFF24" s="1280"/>
      <c r="HFG24" s="1280"/>
      <c r="HFH24" s="1280"/>
      <c r="HFI24" s="1280"/>
      <c r="HFJ24" s="1280"/>
      <c r="HFK24" s="1280"/>
      <c r="HFL24" s="1280"/>
      <c r="HFM24" s="1280"/>
      <c r="HFN24" s="1280"/>
      <c r="HFO24" s="1280"/>
      <c r="HFP24" s="1280"/>
      <c r="HFQ24" s="1280"/>
      <c r="HFR24" s="1280"/>
      <c r="HFS24" s="1280"/>
      <c r="HFT24" s="1280"/>
      <c r="HFU24" s="1280"/>
      <c r="HFV24" s="1280"/>
      <c r="HFW24" s="1280"/>
      <c r="HFX24" s="1280"/>
      <c r="HFY24" s="1280"/>
      <c r="HFZ24" s="1280"/>
      <c r="HGA24" s="1280"/>
      <c r="HGB24" s="1280"/>
      <c r="HGC24" s="1280"/>
      <c r="HGD24" s="1280"/>
      <c r="HGE24" s="1280"/>
      <c r="HGF24" s="1280"/>
      <c r="HGG24" s="1280"/>
      <c r="HGH24" s="1280"/>
      <c r="HGI24" s="1280"/>
      <c r="HGJ24" s="1280"/>
      <c r="HGK24" s="1280"/>
      <c r="HGL24" s="1280"/>
      <c r="HGM24" s="1280"/>
      <c r="HGN24" s="1280"/>
      <c r="HGO24" s="1280"/>
      <c r="HGP24" s="1280"/>
      <c r="HGQ24" s="1280"/>
      <c r="HGR24" s="1280"/>
      <c r="HGS24" s="1280"/>
      <c r="HGT24" s="1280"/>
      <c r="HGU24" s="1280"/>
      <c r="HGV24" s="1280"/>
      <c r="HGW24" s="1280"/>
      <c r="HGX24" s="1280"/>
      <c r="HGY24" s="1280"/>
      <c r="HGZ24" s="1280"/>
      <c r="HHA24" s="1280"/>
      <c r="HHB24" s="1280"/>
      <c r="HHC24" s="1280"/>
      <c r="HHD24" s="1280"/>
      <c r="HHE24" s="1280"/>
      <c r="HHF24" s="1280"/>
      <c r="HHG24" s="1280"/>
      <c r="HHH24" s="1280"/>
      <c r="HHI24" s="1280"/>
      <c r="HHJ24" s="1280"/>
      <c r="HHK24" s="1280"/>
      <c r="HHL24" s="1280"/>
      <c r="HHM24" s="1280"/>
      <c r="HHN24" s="1280"/>
      <c r="HHO24" s="1280"/>
      <c r="HHP24" s="1280"/>
      <c r="HHQ24" s="1280"/>
      <c r="HHR24" s="1280"/>
      <c r="HHS24" s="1280"/>
      <c r="HHT24" s="1280"/>
      <c r="HHU24" s="1280"/>
      <c r="HHV24" s="1280"/>
      <c r="HHW24" s="1280"/>
      <c r="HHX24" s="1280"/>
      <c r="HHY24" s="1280"/>
      <c r="HHZ24" s="1280"/>
      <c r="HIA24" s="1280"/>
      <c r="HIB24" s="1280"/>
      <c r="HIC24" s="1280"/>
      <c r="HID24" s="1280"/>
      <c r="HIE24" s="1280"/>
      <c r="HIF24" s="1280"/>
      <c r="HIG24" s="1280"/>
      <c r="HIH24" s="1280"/>
      <c r="HII24" s="1280"/>
      <c r="HIJ24" s="1280"/>
      <c r="HIK24" s="1280"/>
      <c r="HIL24" s="1280"/>
      <c r="HIM24" s="1280"/>
      <c r="HIN24" s="1280"/>
      <c r="HIO24" s="1280"/>
      <c r="HIP24" s="1280"/>
      <c r="HIQ24" s="1280"/>
      <c r="HIR24" s="1280"/>
      <c r="HIS24" s="1280"/>
      <c r="HIT24" s="1280"/>
      <c r="HIU24" s="1280"/>
      <c r="HIV24" s="1280"/>
      <c r="HIW24" s="1280"/>
      <c r="HIX24" s="1280"/>
      <c r="HIY24" s="1280"/>
      <c r="HIZ24" s="1280"/>
      <c r="HJA24" s="1280"/>
      <c r="HJB24" s="1280"/>
      <c r="HJC24" s="1280"/>
      <c r="HJD24" s="1280"/>
      <c r="HJE24" s="1280"/>
      <c r="HJF24" s="1280"/>
      <c r="HJG24" s="1280"/>
      <c r="HJH24" s="1280"/>
      <c r="HJI24" s="1280"/>
      <c r="HJJ24" s="1280"/>
      <c r="HJK24" s="1280"/>
      <c r="HJL24" s="1280"/>
      <c r="HJM24" s="1280"/>
      <c r="HJN24" s="1280"/>
      <c r="HJO24" s="1280"/>
      <c r="HJP24" s="1280"/>
      <c r="HJQ24" s="1280"/>
      <c r="HJR24" s="1280"/>
      <c r="HJS24" s="1280"/>
      <c r="HJT24" s="1280"/>
      <c r="HJU24" s="1280"/>
      <c r="HJV24" s="1280"/>
      <c r="HJW24" s="1280"/>
      <c r="HJX24" s="1280"/>
      <c r="HJY24" s="1280"/>
      <c r="HJZ24" s="1280"/>
      <c r="HKA24" s="1280"/>
      <c r="HKB24" s="1280"/>
      <c r="HKC24" s="1280"/>
      <c r="HKD24" s="1280"/>
      <c r="HKE24" s="1280"/>
      <c r="HKF24" s="1280"/>
      <c r="HKG24" s="1280"/>
      <c r="HKH24" s="1280"/>
      <c r="HKI24" s="1280"/>
      <c r="HKJ24" s="1280"/>
      <c r="HKK24" s="1280"/>
      <c r="HKL24" s="1280"/>
      <c r="HKM24" s="1280"/>
      <c r="HKN24" s="1280"/>
      <c r="HKO24" s="1280"/>
      <c r="HKP24" s="1280"/>
      <c r="HKQ24" s="1280"/>
      <c r="HKR24" s="1280"/>
      <c r="HKS24" s="1280"/>
      <c r="HKT24" s="1280"/>
      <c r="HKU24" s="1280"/>
      <c r="HKV24" s="1280"/>
      <c r="HKW24" s="1280"/>
      <c r="HKX24" s="1280"/>
      <c r="HKY24" s="1280"/>
      <c r="HKZ24" s="1280"/>
      <c r="HLA24" s="1280"/>
      <c r="HLB24" s="1280"/>
      <c r="HLC24" s="1280"/>
      <c r="HLD24" s="1280"/>
      <c r="HLE24" s="1280"/>
      <c r="HLF24" s="1280"/>
      <c r="HLG24" s="1280"/>
      <c r="HLH24" s="1280"/>
      <c r="HLI24" s="1280"/>
      <c r="HLJ24" s="1280"/>
      <c r="HLK24" s="1280"/>
      <c r="HLL24" s="1280"/>
      <c r="HLM24" s="1280"/>
      <c r="HLN24" s="1280"/>
      <c r="HLO24" s="1280"/>
      <c r="HLP24" s="1280"/>
      <c r="HLQ24" s="1280"/>
      <c r="HLR24" s="1280"/>
      <c r="HLS24" s="1280"/>
      <c r="HLT24" s="1280"/>
      <c r="HLU24" s="1280"/>
      <c r="HLV24" s="1280"/>
      <c r="HLW24" s="1280"/>
      <c r="HLX24" s="1280"/>
      <c r="HLY24" s="1280"/>
      <c r="HLZ24" s="1280"/>
      <c r="HMA24" s="1280"/>
      <c r="HMB24" s="1280"/>
      <c r="HMC24" s="1280"/>
      <c r="HMD24" s="1280"/>
      <c r="HME24" s="1280"/>
      <c r="HMF24" s="1280"/>
      <c r="HMG24" s="1280"/>
      <c r="HMH24" s="1280"/>
      <c r="HMI24" s="1280"/>
      <c r="HMJ24" s="1280"/>
      <c r="HMK24" s="1280"/>
      <c r="HML24" s="1280"/>
      <c r="HMM24" s="1280"/>
      <c r="HMN24" s="1280"/>
      <c r="HMO24" s="1280"/>
      <c r="HMP24" s="1280"/>
      <c r="HMQ24" s="1280"/>
      <c r="HMR24" s="1280"/>
      <c r="HMS24" s="1280"/>
      <c r="HMT24" s="1280"/>
      <c r="HMU24" s="1280"/>
      <c r="HMV24" s="1280"/>
      <c r="HMW24" s="1280"/>
      <c r="HMX24" s="1280"/>
      <c r="HMY24" s="1280"/>
      <c r="HMZ24" s="1280"/>
      <c r="HNA24" s="1280"/>
      <c r="HNB24" s="1280"/>
      <c r="HNC24" s="1280"/>
      <c r="HND24" s="1280"/>
      <c r="HNE24" s="1280"/>
      <c r="HNF24" s="1280"/>
      <c r="HNG24" s="1280"/>
      <c r="HNH24" s="1280"/>
      <c r="HNI24" s="1280"/>
      <c r="HNJ24" s="1280"/>
      <c r="HNK24" s="1280"/>
      <c r="HNL24" s="1280"/>
      <c r="HNM24" s="1280"/>
      <c r="HNN24" s="1280"/>
      <c r="HNO24" s="1280"/>
      <c r="HNP24" s="1280"/>
      <c r="HNQ24" s="1280"/>
      <c r="HNR24" s="1280"/>
      <c r="HNS24" s="1280"/>
      <c r="HNT24" s="1280"/>
      <c r="HNU24" s="1280"/>
      <c r="HNV24" s="1280"/>
      <c r="HNW24" s="1280"/>
      <c r="HNX24" s="1280"/>
      <c r="HNY24" s="1280"/>
      <c r="HNZ24" s="1280"/>
      <c r="HOA24" s="1280"/>
      <c r="HOB24" s="1280"/>
      <c r="HOC24" s="1280"/>
      <c r="HOD24" s="1280"/>
      <c r="HOE24" s="1280"/>
      <c r="HOF24" s="1280"/>
      <c r="HOG24" s="1280"/>
      <c r="HOH24" s="1280"/>
      <c r="HOI24" s="1280"/>
      <c r="HOJ24" s="1280"/>
      <c r="HOK24" s="1280"/>
      <c r="HOL24" s="1280"/>
      <c r="HOM24" s="1280"/>
      <c r="HON24" s="1280"/>
      <c r="HOO24" s="1280"/>
      <c r="HOP24" s="1280"/>
      <c r="HOQ24" s="1280"/>
      <c r="HOR24" s="1280"/>
      <c r="HOS24" s="1280"/>
      <c r="HOT24" s="1280"/>
      <c r="HOU24" s="1280"/>
      <c r="HOV24" s="1280"/>
      <c r="HOW24" s="1280"/>
      <c r="HOX24" s="1280"/>
      <c r="HOY24" s="1280"/>
      <c r="HOZ24" s="1280"/>
      <c r="HPA24" s="1280"/>
      <c r="HPB24" s="1280"/>
      <c r="HPC24" s="1280"/>
      <c r="HPD24" s="1280"/>
      <c r="HPE24" s="1280"/>
      <c r="HPF24" s="1280"/>
      <c r="HPG24" s="1280"/>
      <c r="HPH24" s="1280"/>
      <c r="HPI24" s="1280"/>
      <c r="HPJ24" s="1280"/>
      <c r="HPK24" s="1280"/>
      <c r="HPL24" s="1280"/>
      <c r="HPM24" s="1280"/>
      <c r="HPN24" s="1280"/>
      <c r="HPO24" s="1280"/>
      <c r="HPP24" s="1280"/>
      <c r="HPQ24" s="1280"/>
      <c r="HPR24" s="1280"/>
      <c r="HPS24" s="1280"/>
      <c r="HPT24" s="1280"/>
      <c r="HPU24" s="1280"/>
      <c r="HPV24" s="1280"/>
      <c r="HPW24" s="1280"/>
      <c r="HPX24" s="1280"/>
      <c r="HPY24" s="1280"/>
      <c r="HPZ24" s="1280"/>
      <c r="HQA24" s="1280"/>
      <c r="HQB24" s="1280"/>
      <c r="HQC24" s="1280"/>
      <c r="HQD24" s="1280"/>
      <c r="HQE24" s="1280"/>
      <c r="HQF24" s="1280"/>
      <c r="HQG24" s="1280"/>
      <c r="HQH24" s="1280"/>
      <c r="HQI24" s="1280"/>
      <c r="HQJ24" s="1280"/>
      <c r="HQK24" s="1280"/>
      <c r="HQL24" s="1280"/>
      <c r="HQM24" s="1280"/>
      <c r="HQN24" s="1280"/>
      <c r="HQO24" s="1280"/>
      <c r="HQP24" s="1280"/>
      <c r="HQQ24" s="1280"/>
      <c r="HQR24" s="1280"/>
      <c r="HQS24" s="1280"/>
      <c r="HQT24" s="1280"/>
      <c r="HQU24" s="1280"/>
      <c r="HQV24" s="1280"/>
      <c r="HQW24" s="1280"/>
      <c r="HQX24" s="1280"/>
      <c r="HQY24" s="1280"/>
      <c r="HQZ24" s="1280"/>
      <c r="HRA24" s="1280"/>
      <c r="HRB24" s="1280"/>
      <c r="HRC24" s="1280"/>
      <c r="HRD24" s="1280"/>
      <c r="HRE24" s="1280"/>
      <c r="HRF24" s="1280"/>
      <c r="HRG24" s="1280"/>
      <c r="HRH24" s="1280"/>
      <c r="HRI24" s="1280"/>
      <c r="HRJ24" s="1280"/>
      <c r="HRK24" s="1280"/>
      <c r="HRL24" s="1280"/>
      <c r="HRM24" s="1280"/>
      <c r="HRN24" s="1280"/>
      <c r="HRO24" s="1280"/>
      <c r="HRP24" s="1280"/>
      <c r="HRQ24" s="1280"/>
      <c r="HRR24" s="1280"/>
      <c r="HRS24" s="1280"/>
      <c r="HRT24" s="1280"/>
      <c r="HRU24" s="1280"/>
      <c r="HRV24" s="1280"/>
      <c r="HRW24" s="1280"/>
      <c r="HRX24" s="1280"/>
      <c r="HRY24" s="1280"/>
      <c r="HRZ24" s="1280"/>
      <c r="HSA24" s="1280"/>
      <c r="HSB24" s="1280"/>
      <c r="HSC24" s="1280"/>
      <c r="HSD24" s="1280"/>
      <c r="HSE24" s="1280"/>
      <c r="HSF24" s="1280"/>
      <c r="HSG24" s="1280"/>
      <c r="HSH24" s="1280"/>
      <c r="HSI24" s="1280"/>
      <c r="HSJ24" s="1280"/>
      <c r="HSK24" s="1280"/>
      <c r="HSL24" s="1280"/>
      <c r="HSM24" s="1280"/>
      <c r="HSN24" s="1280"/>
      <c r="HSO24" s="1280"/>
      <c r="HSP24" s="1280"/>
      <c r="HSQ24" s="1280"/>
      <c r="HSR24" s="1280"/>
      <c r="HSS24" s="1280"/>
      <c r="HST24" s="1280"/>
      <c r="HSU24" s="1280"/>
      <c r="HSV24" s="1280"/>
      <c r="HSW24" s="1280"/>
      <c r="HSX24" s="1280"/>
      <c r="HSY24" s="1280"/>
      <c r="HSZ24" s="1280"/>
      <c r="HTA24" s="1280"/>
      <c r="HTB24" s="1280"/>
      <c r="HTC24" s="1280"/>
      <c r="HTD24" s="1280"/>
      <c r="HTE24" s="1280"/>
      <c r="HTF24" s="1280"/>
      <c r="HTG24" s="1280"/>
      <c r="HTH24" s="1280"/>
      <c r="HTI24" s="1280"/>
      <c r="HTJ24" s="1280"/>
      <c r="HTK24" s="1280"/>
      <c r="HTL24" s="1280"/>
      <c r="HTM24" s="1280"/>
      <c r="HTN24" s="1280"/>
      <c r="HTO24" s="1280"/>
      <c r="HTP24" s="1280"/>
      <c r="HTQ24" s="1280"/>
      <c r="HTR24" s="1280"/>
      <c r="HTS24" s="1280"/>
      <c r="HTT24" s="1280"/>
      <c r="HTU24" s="1280"/>
      <c r="HTV24" s="1280"/>
      <c r="HTW24" s="1280"/>
      <c r="HTX24" s="1280"/>
      <c r="HTY24" s="1280"/>
      <c r="HTZ24" s="1280"/>
      <c r="HUA24" s="1280"/>
      <c r="HUB24" s="1280"/>
      <c r="HUC24" s="1280"/>
      <c r="HUD24" s="1280"/>
      <c r="HUE24" s="1280"/>
      <c r="HUF24" s="1280"/>
      <c r="HUG24" s="1280"/>
      <c r="HUH24" s="1280"/>
      <c r="HUI24" s="1280"/>
      <c r="HUJ24" s="1280"/>
      <c r="HUK24" s="1280"/>
      <c r="HUL24" s="1280"/>
      <c r="HUM24" s="1280"/>
      <c r="HUN24" s="1280"/>
      <c r="HUO24" s="1280"/>
      <c r="HUP24" s="1280"/>
      <c r="HUQ24" s="1280"/>
      <c r="HUR24" s="1280"/>
      <c r="HUS24" s="1280"/>
      <c r="HUT24" s="1280"/>
      <c r="HUU24" s="1280"/>
      <c r="HUV24" s="1280"/>
      <c r="HUW24" s="1280"/>
      <c r="HUX24" s="1280"/>
      <c r="HUY24" s="1280"/>
      <c r="HUZ24" s="1280"/>
      <c r="HVA24" s="1280"/>
      <c r="HVB24" s="1280"/>
      <c r="HVC24" s="1280"/>
      <c r="HVD24" s="1280"/>
      <c r="HVE24" s="1280"/>
      <c r="HVF24" s="1280"/>
      <c r="HVG24" s="1280"/>
      <c r="HVH24" s="1280"/>
      <c r="HVI24" s="1280"/>
      <c r="HVJ24" s="1280"/>
      <c r="HVK24" s="1280"/>
      <c r="HVL24" s="1280"/>
      <c r="HVM24" s="1280"/>
      <c r="HVN24" s="1280"/>
      <c r="HVO24" s="1280"/>
      <c r="HVP24" s="1280"/>
      <c r="HVQ24" s="1280"/>
      <c r="HVR24" s="1280"/>
      <c r="HVS24" s="1280"/>
      <c r="HVT24" s="1280"/>
      <c r="HVU24" s="1280"/>
      <c r="HVV24" s="1280"/>
      <c r="HVW24" s="1280"/>
      <c r="HVX24" s="1280"/>
      <c r="HVY24" s="1280"/>
      <c r="HVZ24" s="1280"/>
      <c r="HWA24" s="1280"/>
      <c r="HWB24" s="1280"/>
      <c r="HWC24" s="1280"/>
      <c r="HWD24" s="1280"/>
      <c r="HWE24" s="1280"/>
      <c r="HWF24" s="1280"/>
      <c r="HWG24" s="1280"/>
      <c r="HWH24" s="1280"/>
      <c r="HWI24" s="1280"/>
      <c r="HWJ24" s="1280"/>
      <c r="HWK24" s="1280"/>
      <c r="HWL24" s="1280"/>
      <c r="HWM24" s="1280"/>
      <c r="HWN24" s="1280"/>
      <c r="HWO24" s="1280"/>
      <c r="HWP24" s="1280"/>
      <c r="HWQ24" s="1280"/>
      <c r="HWR24" s="1280"/>
      <c r="HWS24" s="1280"/>
      <c r="HWT24" s="1280"/>
      <c r="HWU24" s="1280"/>
      <c r="HWV24" s="1280"/>
      <c r="HWW24" s="1280"/>
      <c r="HWX24" s="1280"/>
      <c r="HWY24" s="1280"/>
      <c r="HWZ24" s="1280"/>
      <c r="HXA24" s="1280"/>
      <c r="HXB24" s="1280"/>
      <c r="HXC24" s="1280"/>
      <c r="HXD24" s="1280"/>
      <c r="HXE24" s="1280"/>
      <c r="HXF24" s="1280"/>
      <c r="HXG24" s="1280"/>
      <c r="HXH24" s="1280"/>
      <c r="HXI24" s="1280"/>
      <c r="HXJ24" s="1280"/>
      <c r="HXK24" s="1280"/>
      <c r="HXL24" s="1280"/>
      <c r="HXM24" s="1280"/>
      <c r="HXN24" s="1280"/>
      <c r="HXO24" s="1280"/>
      <c r="HXP24" s="1280"/>
      <c r="HXQ24" s="1280"/>
      <c r="HXR24" s="1280"/>
      <c r="HXS24" s="1280"/>
      <c r="HXT24" s="1280"/>
      <c r="HXU24" s="1280"/>
      <c r="HXV24" s="1280"/>
      <c r="HXW24" s="1280"/>
      <c r="HXX24" s="1280"/>
      <c r="HXY24" s="1280"/>
      <c r="HXZ24" s="1280"/>
      <c r="HYA24" s="1280"/>
      <c r="HYB24" s="1280"/>
      <c r="HYC24" s="1280"/>
      <c r="HYD24" s="1280"/>
      <c r="HYE24" s="1280"/>
      <c r="HYF24" s="1280"/>
      <c r="HYG24" s="1280"/>
      <c r="HYH24" s="1280"/>
      <c r="HYI24" s="1280"/>
      <c r="HYJ24" s="1280"/>
      <c r="HYK24" s="1280"/>
      <c r="HYL24" s="1280"/>
      <c r="HYM24" s="1280"/>
      <c r="HYN24" s="1280"/>
      <c r="HYO24" s="1280"/>
      <c r="HYP24" s="1280"/>
      <c r="HYQ24" s="1280"/>
      <c r="HYR24" s="1280"/>
      <c r="HYS24" s="1280"/>
      <c r="HYT24" s="1280"/>
      <c r="HYU24" s="1280"/>
      <c r="HYV24" s="1280"/>
      <c r="HYW24" s="1280"/>
      <c r="HYX24" s="1280"/>
      <c r="HYY24" s="1280"/>
      <c r="HYZ24" s="1280"/>
      <c r="HZA24" s="1280"/>
      <c r="HZB24" s="1280"/>
      <c r="HZC24" s="1280"/>
      <c r="HZD24" s="1280"/>
      <c r="HZE24" s="1280"/>
      <c r="HZF24" s="1280"/>
      <c r="HZG24" s="1280"/>
      <c r="HZH24" s="1280"/>
      <c r="HZI24" s="1280"/>
      <c r="HZJ24" s="1280"/>
      <c r="HZK24" s="1280"/>
      <c r="HZL24" s="1280"/>
      <c r="HZM24" s="1280"/>
      <c r="HZN24" s="1280"/>
      <c r="HZO24" s="1280"/>
      <c r="HZP24" s="1280"/>
      <c r="HZQ24" s="1280"/>
      <c r="HZR24" s="1280"/>
      <c r="HZS24" s="1280"/>
      <c r="HZT24" s="1280"/>
      <c r="HZU24" s="1280"/>
      <c r="HZV24" s="1280"/>
      <c r="HZW24" s="1280"/>
      <c r="HZX24" s="1280"/>
      <c r="HZY24" s="1280"/>
      <c r="HZZ24" s="1280"/>
      <c r="IAA24" s="1280"/>
      <c r="IAB24" s="1280"/>
      <c r="IAC24" s="1280"/>
      <c r="IAD24" s="1280"/>
      <c r="IAE24" s="1280"/>
      <c r="IAF24" s="1280"/>
      <c r="IAG24" s="1280"/>
      <c r="IAH24" s="1280"/>
      <c r="IAI24" s="1280"/>
      <c r="IAJ24" s="1280"/>
      <c r="IAK24" s="1280"/>
      <c r="IAL24" s="1280"/>
      <c r="IAM24" s="1280"/>
      <c r="IAN24" s="1280"/>
      <c r="IAO24" s="1280"/>
      <c r="IAP24" s="1280"/>
      <c r="IAQ24" s="1280"/>
      <c r="IAR24" s="1280"/>
      <c r="IAS24" s="1280"/>
      <c r="IAT24" s="1280"/>
      <c r="IAU24" s="1280"/>
      <c r="IAV24" s="1280"/>
      <c r="IAW24" s="1280"/>
      <c r="IAX24" s="1280"/>
      <c r="IAY24" s="1280"/>
      <c r="IAZ24" s="1280"/>
      <c r="IBA24" s="1280"/>
      <c r="IBB24" s="1280"/>
      <c r="IBC24" s="1280"/>
      <c r="IBD24" s="1280"/>
      <c r="IBE24" s="1280"/>
      <c r="IBF24" s="1280"/>
      <c r="IBG24" s="1280"/>
      <c r="IBH24" s="1280"/>
      <c r="IBI24" s="1280"/>
      <c r="IBJ24" s="1280"/>
      <c r="IBK24" s="1280"/>
      <c r="IBL24" s="1280"/>
      <c r="IBM24" s="1280"/>
      <c r="IBN24" s="1280"/>
      <c r="IBO24" s="1280"/>
      <c r="IBP24" s="1280"/>
      <c r="IBQ24" s="1280"/>
      <c r="IBR24" s="1280"/>
      <c r="IBS24" s="1280"/>
      <c r="IBT24" s="1280"/>
      <c r="IBU24" s="1280"/>
      <c r="IBV24" s="1280"/>
      <c r="IBW24" s="1280"/>
      <c r="IBX24" s="1280"/>
      <c r="IBY24" s="1280"/>
      <c r="IBZ24" s="1280"/>
      <c r="ICA24" s="1280"/>
      <c r="ICB24" s="1280"/>
      <c r="ICC24" s="1280"/>
      <c r="ICD24" s="1280"/>
      <c r="ICE24" s="1280"/>
      <c r="ICF24" s="1280"/>
      <c r="ICG24" s="1280"/>
      <c r="ICH24" s="1280"/>
      <c r="ICI24" s="1280"/>
      <c r="ICJ24" s="1280"/>
      <c r="ICK24" s="1280"/>
      <c r="ICL24" s="1280"/>
      <c r="ICM24" s="1280"/>
      <c r="ICN24" s="1280"/>
      <c r="ICO24" s="1280"/>
      <c r="ICP24" s="1280"/>
      <c r="ICQ24" s="1280"/>
      <c r="ICR24" s="1280"/>
      <c r="ICS24" s="1280"/>
      <c r="ICT24" s="1280"/>
      <c r="ICU24" s="1280"/>
      <c r="ICV24" s="1280"/>
      <c r="ICW24" s="1280"/>
      <c r="ICX24" s="1280"/>
      <c r="ICY24" s="1280"/>
      <c r="ICZ24" s="1280"/>
      <c r="IDA24" s="1280"/>
      <c r="IDB24" s="1280"/>
      <c r="IDC24" s="1280"/>
      <c r="IDD24" s="1280"/>
      <c r="IDE24" s="1280"/>
      <c r="IDF24" s="1280"/>
      <c r="IDG24" s="1280"/>
      <c r="IDH24" s="1280"/>
      <c r="IDI24" s="1280"/>
      <c r="IDJ24" s="1280"/>
      <c r="IDK24" s="1280"/>
      <c r="IDL24" s="1280"/>
      <c r="IDM24" s="1280"/>
      <c r="IDN24" s="1280"/>
      <c r="IDO24" s="1280"/>
      <c r="IDP24" s="1280"/>
      <c r="IDQ24" s="1280"/>
      <c r="IDR24" s="1280"/>
      <c r="IDS24" s="1280"/>
      <c r="IDT24" s="1280"/>
      <c r="IDU24" s="1280"/>
      <c r="IDV24" s="1280"/>
      <c r="IDW24" s="1280"/>
      <c r="IDX24" s="1280"/>
      <c r="IDY24" s="1280"/>
      <c r="IDZ24" s="1280"/>
      <c r="IEA24" s="1280"/>
      <c r="IEB24" s="1280"/>
      <c r="IEC24" s="1280"/>
      <c r="IED24" s="1280"/>
      <c r="IEE24" s="1280"/>
      <c r="IEF24" s="1280"/>
      <c r="IEG24" s="1280"/>
      <c r="IEH24" s="1280"/>
      <c r="IEI24" s="1280"/>
      <c r="IEJ24" s="1280"/>
      <c r="IEK24" s="1280"/>
      <c r="IEL24" s="1280"/>
      <c r="IEM24" s="1280"/>
      <c r="IEN24" s="1280"/>
      <c r="IEO24" s="1280"/>
      <c r="IEP24" s="1280"/>
      <c r="IEQ24" s="1280"/>
      <c r="IER24" s="1280"/>
      <c r="IES24" s="1280"/>
      <c r="IET24" s="1280"/>
      <c r="IEU24" s="1280"/>
      <c r="IEV24" s="1280"/>
      <c r="IEW24" s="1280"/>
      <c r="IEX24" s="1280"/>
      <c r="IEY24" s="1280"/>
      <c r="IEZ24" s="1280"/>
      <c r="IFA24" s="1280"/>
      <c r="IFB24" s="1280"/>
      <c r="IFC24" s="1280"/>
      <c r="IFD24" s="1280"/>
      <c r="IFE24" s="1280"/>
      <c r="IFF24" s="1280"/>
      <c r="IFG24" s="1280"/>
      <c r="IFH24" s="1280"/>
      <c r="IFI24" s="1280"/>
      <c r="IFJ24" s="1280"/>
      <c r="IFK24" s="1280"/>
      <c r="IFL24" s="1280"/>
      <c r="IFM24" s="1280"/>
      <c r="IFN24" s="1280"/>
      <c r="IFO24" s="1280"/>
      <c r="IFP24" s="1280"/>
      <c r="IFQ24" s="1280"/>
      <c r="IFR24" s="1280"/>
      <c r="IFS24" s="1280"/>
      <c r="IFT24" s="1280"/>
      <c r="IFU24" s="1280"/>
      <c r="IFV24" s="1280"/>
      <c r="IFW24" s="1280"/>
      <c r="IFX24" s="1280"/>
      <c r="IFY24" s="1280"/>
      <c r="IFZ24" s="1280"/>
      <c r="IGA24" s="1280"/>
      <c r="IGB24" s="1280"/>
      <c r="IGC24" s="1280"/>
      <c r="IGD24" s="1280"/>
      <c r="IGE24" s="1280"/>
      <c r="IGF24" s="1280"/>
      <c r="IGG24" s="1280"/>
      <c r="IGH24" s="1280"/>
      <c r="IGI24" s="1280"/>
      <c r="IGJ24" s="1280"/>
      <c r="IGK24" s="1280"/>
      <c r="IGL24" s="1280"/>
      <c r="IGM24" s="1280"/>
      <c r="IGN24" s="1280"/>
      <c r="IGO24" s="1280"/>
      <c r="IGP24" s="1280"/>
      <c r="IGQ24" s="1280"/>
      <c r="IGR24" s="1280"/>
      <c r="IGS24" s="1280"/>
      <c r="IGT24" s="1280"/>
      <c r="IGU24" s="1280"/>
      <c r="IGV24" s="1280"/>
      <c r="IGW24" s="1280"/>
      <c r="IGX24" s="1280"/>
      <c r="IGY24" s="1280"/>
      <c r="IGZ24" s="1280"/>
      <c r="IHA24" s="1280"/>
      <c r="IHB24" s="1280"/>
      <c r="IHC24" s="1280"/>
      <c r="IHD24" s="1280"/>
      <c r="IHE24" s="1280"/>
      <c r="IHF24" s="1280"/>
      <c r="IHG24" s="1280"/>
      <c r="IHH24" s="1280"/>
      <c r="IHI24" s="1280"/>
      <c r="IHJ24" s="1280"/>
      <c r="IHK24" s="1280"/>
      <c r="IHL24" s="1280"/>
      <c r="IHM24" s="1280"/>
      <c r="IHN24" s="1280"/>
      <c r="IHO24" s="1280"/>
      <c r="IHP24" s="1280"/>
      <c r="IHQ24" s="1280"/>
      <c r="IHR24" s="1280"/>
      <c r="IHS24" s="1280"/>
      <c r="IHT24" s="1280"/>
      <c r="IHU24" s="1280"/>
      <c r="IHV24" s="1280"/>
      <c r="IHW24" s="1280"/>
      <c r="IHX24" s="1280"/>
      <c r="IHY24" s="1280"/>
      <c r="IHZ24" s="1280"/>
      <c r="IIA24" s="1280"/>
      <c r="IIB24" s="1280"/>
      <c r="IIC24" s="1280"/>
      <c r="IID24" s="1280"/>
      <c r="IIE24" s="1280"/>
      <c r="IIF24" s="1280"/>
      <c r="IIG24" s="1280"/>
      <c r="IIH24" s="1280"/>
      <c r="III24" s="1280"/>
      <c r="IIJ24" s="1280"/>
      <c r="IIK24" s="1280"/>
      <c r="IIL24" s="1280"/>
      <c r="IIM24" s="1280"/>
      <c r="IIN24" s="1280"/>
      <c r="IIO24" s="1280"/>
      <c r="IIP24" s="1280"/>
      <c r="IIQ24" s="1280"/>
      <c r="IIR24" s="1280"/>
      <c r="IIS24" s="1280"/>
      <c r="IIT24" s="1280"/>
      <c r="IIU24" s="1280"/>
      <c r="IIV24" s="1280"/>
      <c r="IIW24" s="1280"/>
      <c r="IIX24" s="1280"/>
      <c r="IIY24" s="1280"/>
      <c r="IIZ24" s="1280"/>
      <c r="IJA24" s="1280"/>
      <c r="IJB24" s="1280"/>
      <c r="IJC24" s="1280"/>
      <c r="IJD24" s="1280"/>
      <c r="IJE24" s="1280"/>
      <c r="IJF24" s="1280"/>
      <c r="IJG24" s="1280"/>
      <c r="IJH24" s="1280"/>
      <c r="IJI24" s="1280"/>
      <c r="IJJ24" s="1280"/>
      <c r="IJK24" s="1280"/>
      <c r="IJL24" s="1280"/>
      <c r="IJM24" s="1280"/>
      <c r="IJN24" s="1280"/>
      <c r="IJO24" s="1280"/>
      <c r="IJP24" s="1280"/>
      <c r="IJQ24" s="1280"/>
      <c r="IJR24" s="1280"/>
      <c r="IJS24" s="1280"/>
      <c r="IJT24" s="1280"/>
      <c r="IJU24" s="1280"/>
      <c r="IJV24" s="1280"/>
      <c r="IJW24" s="1280"/>
      <c r="IJX24" s="1280"/>
      <c r="IJY24" s="1280"/>
      <c r="IJZ24" s="1280"/>
      <c r="IKA24" s="1280"/>
      <c r="IKB24" s="1280"/>
      <c r="IKC24" s="1280"/>
      <c r="IKD24" s="1280"/>
      <c r="IKE24" s="1280"/>
      <c r="IKF24" s="1280"/>
      <c r="IKG24" s="1280"/>
      <c r="IKH24" s="1280"/>
      <c r="IKI24" s="1280"/>
      <c r="IKJ24" s="1280"/>
      <c r="IKK24" s="1280"/>
      <c r="IKL24" s="1280"/>
      <c r="IKM24" s="1280"/>
      <c r="IKN24" s="1280"/>
      <c r="IKO24" s="1280"/>
      <c r="IKP24" s="1280"/>
      <c r="IKQ24" s="1280"/>
      <c r="IKR24" s="1280"/>
      <c r="IKS24" s="1280"/>
      <c r="IKT24" s="1280"/>
      <c r="IKU24" s="1280"/>
      <c r="IKV24" s="1280"/>
      <c r="IKW24" s="1280"/>
      <c r="IKX24" s="1280"/>
      <c r="IKY24" s="1280"/>
      <c r="IKZ24" s="1280"/>
      <c r="ILA24" s="1280"/>
      <c r="ILB24" s="1280"/>
      <c r="ILC24" s="1280"/>
      <c r="ILD24" s="1280"/>
      <c r="ILE24" s="1280"/>
      <c r="ILF24" s="1280"/>
      <c r="ILG24" s="1280"/>
      <c r="ILH24" s="1280"/>
      <c r="ILI24" s="1280"/>
      <c r="ILJ24" s="1280"/>
      <c r="ILK24" s="1280"/>
      <c r="ILL24" s="1280"/>
      <c r="ILM24" s="1280"/>
      <c r="ILN24" s="1280"/>
      <c r="ILO24" s="1280"/>
      <c r="ILP24" s="1280"/>
      <c r="ILQ24" s="1280"/>
      <c r="ILR24" s="1280"/>
      <c r="ILS24" s="1280"/>
      <c r="ILT24" s="1280"/>
      <c r="ILU24" s="1280"/>
      <c r="ILV24" s="1280"/>
      <c r="ILW24" s="1280"/>
      <c r="ILX24" s="1280"/>
      <c r="ILY24" s="1280"/>
      <c r="ILZ24" s="1280"/>
      <c r="IMA24" s="1280"/>
      <c r="IMB24" s="1280"/>
      <c r="IMC24" s="1280"/>
      <c r="IMD24" s="1280"/>
      <c r="IME24" s="1280"/>
      <c r="IMF24" s="1280"/>
      <c r="IMG24" s="1280"/>
      <c r="IMH24" s="1280"/>
      <c r="IMI24" s="1280"/>
      <c r="IMJ24" s="1280"/>
      <c r="IMK24" s="1280"/>
      <c r="IML24" s="1280"/>
      <c r="IMM24" s="1280"/>
      <c r="IMN24" s="1280"/>
      <c r="IMO24" s="1280"/>
      <c r="IMP24" s="1280"/>
      <c r="IMQ24" s="1280"/>
      <c r="IMR24" s="1280"/>
      <c r="IMS24" s="1280"/>
      <c r="IMT24" s="1280"/>
      <c r="IMU24" s="1280"/>
      <c r="IMV24" s="1280"/>
      <c r="IMW24" s="1280"/>
      <c r="IMX24" s="1280"/>
      <c r="IMY24" s="1280"/>
      <c r="IMZ24" s="1280"/>
      <c r="INA24" s="1280"/>
      <c r="INB24" s="1280"/>
      <c r="INC24" s="1280"/>
      <c r="IND24" s="1280"/>
      <c r="INE24" s="1280"/>
      <c r="INF24" s="1280"/>
      <c r="ING24" s="1280"/>
      <c r="INH24" s="1280"/>
      <c r="INI24" s="1280"/>
      <c r="INJ24" s="1280"/>
      <c r="INK24" s="1280"/>
      <c r="INL24" s="1280"/>
      <c r="INM24" s="1280"/>
      <c r="INN24" s="1280"/>
      <c r="INO24" s="1280"/>
      <c r="INP24" s="1280"/>
      <c r="INQ24" s="1280"/>
      <c r="INR24" s="1280"/>
      <c r="INS24" s="1280"/>
      <c r="INT24" s="1280"/>
      <c r="INU24" s="1280"/>
      <c r="INV24" s="1280"/>
      <c r="INW24" s="1280"/>
      <c r="INX24" s="1280"/>
      <c r="INY24" s="1280"/>
      <c r="INZ24" s="1280"/>
      <c r="IOA24" s="1280"/>
      <c r="IOB24" s="1280"/>
      <c r="IOC24" s="1280"/>
      <c r="IOD24" s="1280"/>
      <c r="IOE24" s="1280"/>
      <c r="IOF24" s="1280"/>
      <c r="IOG24" s="1280"/>
      <c r="IOH24" s="1280"/>
      <c r="IOI24" s="1280"/>
      <c r="IOJ24" s="1280"/>
      <c r="IOK24" s="1280"/>
      <c r="IOL24" s="1280"/>
      <c r="IOM24" s="1280"/>
      <c r="ION24" s="1280"/>
      <c r="IOO24" s="1280"/>
      <c r="IOP24" s="1280"/>
      <c r="IOQ24" s="1280"/>
      <c r="IOR24" s="1280"/>
      <c r="IOS24" s="1280"/>
      <c r="IOT24" s="1280"/>
      <c r="IOU24" s="1280"/>
      <c r="IOV24" s="1280"/>
      <c r="IOW24" s="1280"/>
      <c r="IOX24" s="1280"/>
      <c r="IOY24" s="1280"/>
      <c r="IOZ24" s="1280"/>
      <c r="IPA24" s="1280"/>
      <c r="IPB24" s="1280"/>
      <c r="IPC24" s="1280"/>
      <c r="IPD24" s="1280"/>
      <c r="IPE24" s="1280"/>
      <c r="IPF24" s="1280"/>
      <c r="IPG24" s="1280"/>
      <c r="IPH24" s="1280"/>
      <c r="IPI24" s="1280"/>
      <c r="IPJ24" s="1280"/>
      <c r="IPK24" s="1280"/>
      <c r="IPL24" s="1280"/>
      <c r="IPM24" s="1280"/>
      <c r="IPN24" s="1280"/>
      <c r="IPO24" s="1280"/>
      <c r="IPP24" s="1280"/>
      <c r="IPQ24" s="1280"/>
      <c r="IPR24" s="1280"/>
      <c r="IPS24" s="1280"/>
      <c r="IPT24" s="1280"/>
      <c r="IPU24" s="1280"/>
      <c r="IPV24" s="1280"/>
      <c r="IPW24" s="1280"/>
      <c r="IPX24" s="1280"/>
      <c r="IPY24" s="1280"/>
      <c r="IPZ24" s="1280"/>
      <c r="IQA24" s="1280"/>
      <c r="IQB24" s="1280"/>
      <c r="IQC24" s="1280"/>
      <c r="IQD24" s="1280"/>
      <c r="IQE24" s="1280"/>
      <c r="IQF24" s="1280"/>
      <c r="IQG24" s="1280"/>
      <c r="IQH24" s="1280"/>
      <c r="IQI24" s="1280"/>
      <c r="IQJ24" s="1280"/>
      <c r="IQK24" s="1280"/>
      <c r="IQL24" s="1280"/>
      <c r="IQM24" s="1280"/>
      <c r="IQN24" s="1280"/>
      <c r="IQO24" s="1280"/>
      <c r="IQP24" s="1280"/>
      <c r="IQQ24" s="1280"/>
      <c r="IQR24" s="1280"/>
      <c r="IQS24" s="1280"/>
      <c r="IQT24" s="1280"/>
      <c r="IQU24" s="1280"/>
      <c r="IQV24" s="1280"/>
      <c r="IQW24" s="1280"/>
      <c r="IQX24" s="1280"/>
      <c r="IQY24" s="1280"/>
      <c r="IQZ24" s="1280"/>
      <c r="IRA24" s="1280"/>
      <c r="IRB24" s="1280"/>
      <c r="IRC24" s="1280"/>
      <c r="IRD24" s="1280"/>
      <c r="IRE24" s="1280"/>
      <c r="IRF24" s="1280"/>
      <c r="IRG24" s="1280"/>
      <c r="IRH24" s="1280"/>
      <c r="IRI24" s="1280"/>
      <c r="IRJ24" s="1280"/>
      <c r="IRK24" s="1280"/>
      <c r="IRL24" s="1280"/>
      <c r="IRM24" s="1280"/>
      <c r="IRN24" s="1280"/>
      <c r="IRO24" s="1280"/>
      <c r="IRP24" s="1280"/>
      <c r="IRQ24" s="1280"/>
      <c r="IRR24" s="1280"/>
      <c r="IRS24" s="1280"/>
      <c r="IRT24" s="1280"/>
      <c r="IRU24" s="1280"/>
      <c r="IRV24" s="1280"/>
      <c r="IRW24" s="1280"/>
      <c r="IRX24" s="1280"/>
      <c r="IRY24" s="1280"/>
      <c r="IRZ24" s="1280"/>
      <c r="ISA24" s="1280"/>
      <c r="ISB24" s="1280"/>
      <c r="ISC24" s="1280"/>
      <c r="ISD24" s="1280"/>
      <c r="ISE24" s="1280"/>
      <c r="ISF24" s="1280"/>
      <c r="ISG24" s="1280"/>
      <c r="ISH24" s="1280"/>
      <c r="ISI24" s="1280"/>
      <c r="ISJ24" s="1280"/>
      <c r="ISK24" s="1280"/>
      <c r="ISL24" s="1280"/>
      <c r="ISM24" s="1280"/>
      <c r="ISN24" s="1280"/>
      <c r="ISO24" s="1280"/>
      <c r="ISP24" s="1280"/>
      <c r="ISQ24" s="1280"/>
      <c r="ISR24" s="1280"/>
      <c r="ISS24" s="1280"/>
      <c r="IST24" s="1280"/>
      <c r="ISU24" s="1280"/>
      <c r="ISV24" s="1280"/>
      <c r="ISW24" s="1280"/>
      <c r="ISX24" s="1280"/>
      <c r="ISY24" s="1280"/>
      <c r="ISZ24" s="1280"/>
      <c r="ITA24" s="1280"/>
      <c r="ITB24" s="1280"/>
      <c r="ITC24" s="1280"/>
      <c r="ITD24" s="1280"/>
      <c r="ITE24" s="1280"/>
      <c r="ITF24" s="1280"/>
      <c r="ITG24" s="1280"/>
      <c r="ITH24" s="1280"/>
      <c r="ITI24" s="1280"/>
      <c r="ITJ24" s="1280"/>
      <c r="ITK24" s="1280"/>
      <c r="ITL24" s="1280"/>
      <c r="ITM24" s="1280"/>
      <c r="ITN24" s="1280"/>
      <c r="ITO24" s="1280"/>
      <c r="ITP24" s="1280"/>
      <c r="ITQ24" s="1280"/>
      <c r="ITR24" s="1280"/>
      <c r="ITS24" s="1280"/>
      <c r="ITT24" s="1280"/>
      <c r="ITU24" s="1280"/>
      <c r="ITV24" s="1280"/>
      <c r="ITW24" s="1280"/>
      <c r="ITX24" s="1280"/>
      <c r="ITY24" s="1280"/>
      <c r="ITZ24" s="1280"/>
      <c r="IUA24" s="1280"/>
      <c r="IUB24" s="1280"/>
      <c r="IUC24" s="1280"/>
      <c r="IUD24" s="1280"/>
      <c r="IUE24" s="1280"/>
      <c r="IUF24" s="1280"/>
      <c r="IUG24" s="1280"/>
      <c r="IUH24" s="1280"/>
      <c r="IUI24" s="1280"/>
      <c r="IUJ24" s="1280"/>
      <c r="IUK24" s="1280"/>
      <c r="IUL24" s="1280"/>
      <c r="IUM24" s="1280"/>
      <c r="IUN24" s="1280"/>
      <c r="IUO24" s="1280"/>
      <c r="IUP24" s="1280"/>
      <c r="IUQ24" s="1280"/>
      <c r="IUR24" s="1280"/>
      <c r="IUS24" s="1280"/>
      <c r="IUT24" s="1280"/>
      <c r="IUU24" s="1280"/>
      <c r="IUV24" s="1280"/>
      <c r="IUW24" s="1280"/>
      <c r="IUX24" s="1280"/>
      <c r="IUY24" s="1280"/>
      <c r="IUZ24" s="1280"/>
      <c r="IVA24" s="1280"/>
      <c r="IVB24" s="1280"/>
      <c r="IVC24" s="1280"/>
      <c r="IVD24" s="1280"/>
      <c r="IVE24" s="1280"/>
      <c r="IVF24" s="1280"/>
      <c r="IVG24" s="1280"/>
      <c r="IVH24" s="1280"/>
      <c r="IVI24" s="1280"/>
      <c r="IVJ24" s="1280"/>
      <c r="IVK24" s="1280"/>
      <c r="IVL24" s="1280"/>
      <c r="IVM24" s="1280"/>
      <c r="IVN24" s="1280"/>
      <c r="IVO24" s="1280"/>
      <c r="IVP24" s="1280"/>
      <c r="IVQ24" s="1280"/>
      <c r="IVR24" s="1280"/>
      <c r="IVS24" s="1280"/>
      <c r="IVT24" s="1280"/>
      <c r="IVU24" s="1280"/>
      <c r="IVV24" s="1280"/>
      <c r="IVW24" s="1280"/>
      <c r="IVX24" s="1280"/>
      <c r="IVY24" s="1280"/>
      <c r="IVZ24" s="1280"/>
      <c r="IWA24" s="1280"/>
      <c r="IWB24" s="1280"/>
      <c r="IWC24" s="1280"/>
      <c r="IWD24" s="1280"/>
      <c r="IWE24" s="1280"/>
      <c r="IWF24" s="1280"/>
      <c r="IWG24" s="1280"/>
      <c r="IWH24" s="1280"/>
      <c r="IWI24" s="1280"/>
      <c r="IWJ24" s="1280"/>
      <c r="IWK24" s="1280"/>
      <c r="IWL24" s="1280"/>
      <c r="IWM24" s="1280"/>
      <c r="IWN24" s="1280"/>
      <c r="IWO24" s="1280"/>
      <c r="IWP24" s="1280"/>
      <c r="IWQ24" s="1280"/>
      <c r="IWR24" s="1280"/>
      <c r="IWS24" s="1280"/>
      <c r="IWT24" s="1280"/>
      <c r="IWU24" s="1280"/>
      <c r="IWV24" s="1280"/>
      <c r="IWW24" s="1280"/>
      <c r="IWX24" s="1280"/>
      <c r="IWY24" s="1280"/>
      <c r="IWZ24" s="1280"/>
      <c r="IXA24" s="1280"/>
      <c r="IXB24" s="1280"/>
      <c r="IXC24" s="1280"/>
      <c r="IXD24" s="1280"/>
      <c r="IXE24" s="1280"/>
      <c r="IXF24" s="1280"/>
      <c r="IXG24" s="1280"/>
      <c r="IXH24" s="1280"/>
      <c r="IXI24" s="1280"/>
      <c r="IXJ24" s="1280"/>
      <c r="IXK24" s="1280"/>
      <c r="IXL24" s="1280"/>
      <c r="IXM24" s="1280"/>
      <c r="IXN24" s="1280"/>
      <c r="IXO24" s="1280"/>
      <c r="IXP24" s="1280"/>
      <c r="IXQ24" s="1280"/>
      <c r="IXR24" s="1280"/>
      <c r="IXS24" s="1280"/>
      <c r="IXT24" s="1280"/>
      <c r="IXU24" s="1280"/>
      <c r="IXV24" s="1280"/>
      <c r="IXW24" s="1280"/>
      <c r="IXX24" s="1280"/>
      <c r="IXY24" s="1280"/>
      <c r="IXZ24" s="1280"/>
      <c r="IYA24" s="1280"/>
      <c r="IYB24" s="1280"/>
      <c r="IYC24" s="1280"/>
      <c r="IYD24" s="1280"/>
      <c r="IYE24" s="1280"/>
      <c r="IYF24" s="1280"/>
      <c r="IYG24" s="1280"/>
      <c r="IYH24" s="1280"/>
      <c r="IYI24" s="1280"/>
      <c r="IYJ24" s="1280"/>
      <c r="IYK24" s="1280"/>
      <c r="IYL24" s="1280"/>
      <c r="IYM24" s="1280"/>
      <c r="IYN24" s="1280"/>
      <c r="IYO24" s="1280"/>
      <c r="IYP24" s="1280"/>
      <c r="IYQ24" s="1280"/>
      <c r="IYR24" s="1280"/>
      <c r="IYS24" s="1280"/>
      <c r="IYT24" s="1280"/>
      <c r="IYU24" s="1280"/>
      <c r="IYV24" s="1280"/>
      <c r="IYW24" s="1280"/>
      <c r="IYX24" s="1280"/>
      <c r="IYY24" s="1280"/>
      <c r="IYZ24" s="1280"/>
      <c r="IZA24" s="1280"/>
      <c r="IZB24" s="1280"/>
      <c r="IZC24" s="1280"/>
      <c r="IZD24" s="1280"/>
      <c r="IZE24" s="1280"/>
      <c r="IZF24" s="1280"/>
      <c r="IZG24" s="1280"/>
      <c r="IZH24" s="1280"/>
      <c r="IZI24" s="1280"/>
      <c r="IZJ24" s="1280"/>
      <c r="IZK24" s="1280"/>
      <c r="IZL24" s="1280"/>
      <c r="IZM24" s="1280"/>
      <c r="IZN24" s="1280"/>
      <c r="IZO24" s="1280"/>
      <c r="IZP24" s="1280"/>
      <c r="IZQ24" s="1280"/>
      <c r="IZR24" s="1280"/>
      <c r="IZS24" s="1280"/>
      <c r="IZT24" s="1280"/>
      <c r="IZU24" s="1280"/>
      <c r="IZV24" s="1280"/>
      <c r="IZW24" s="1280"/>
      <c r="IZX24" s="1280"/>
      <c r="IZY24" s="1280"/>
      <c r="IZZ24" s="1280"/>
      <c r="JAA24" s="1280"/>
      <c r="JAB24" s="1280"/>
      <c r="JAC24" s="1280"/>
      <c r="JAD24" s="1280"/>
      <c r="JAE24" s="1280"/>
      <c r="JAF24" s="1280"/>
      <c r="JAG24" s="1280"/>
      <c r="JAH24" s="1280"/>
      <c r="JAI24" s="1280"/>
      <c r="JAJ24" s="1280"/>
      <c r="JAK24" s="1280"/>
      <c r="JAL24" s="1280"/>
      <c r="JAM24" s="1280"/>
      <c r="JAN24" s="1280"/>
      <c r="JAO24" s="1280"/>
      <c r="JAP24" s="1280"/>
      <c r="JAQ24" s="1280"/>
      <c r="JAR24" s="1280"/>
      <c r="JAS24" s="1280"/>
      <c r="JAT24" s="1280"/>
      <c r="JAU24" s="1280"/>
      <c r="JAV24" s="1280"/>
      <c r="JAW24" s="1280"/>
      <c r="JAX24" s="1280"/>
      <c r="JAY24" s="1280"/>
      <c r="JAZ24" s="1280"/>
      <c r="JBA24" s="1280"/>
      <c r="JBB24" s="1280"/>
      <c r="JBC24" s="1280"/>
      <c r="JBD24" s="1280"/>
      <c r="JBE24" s="1280"/>
      <c r="JBF24" s="1280"/>
      <c r="JBG24" s="1280"/>
      <c r="JBH24" s="1280"/>
      <c r="JBI24" s="1280"/>
      <c r="JBJ24" s="1280"/>
      <c r="JBK24" s="1280"/>
      <c r="JBL24" s="1280"/>
      <c r="JBM24" s="1280"/>
      <c r="JBN24" s="1280"/>
      <c r="JBO24" s="1280"/>
      <c r="JBP24" s="1280"/>
      <c r="JBQ24" s="1280"/>
      <c r="JBR24" s="1280"/>
      <c r="JBS24" s="1280"/>
      <c r="JBT24" s="1280"/>
      <c r="JBU24" s="1280"/>
      <c r="JBV24" s="1280"/>
      <c r="JBW24" s="1280"/>
      <c r="JBX24" s="1280"/>
      <c r="JBY24" s="1280"/>
      <c r="JBZ24" s="1280"/>
      <c r="JCA24" s="1280"/>
      <c r="JCB24" s="1280"/>
      <c r="JCC24" s="1280"/>
      <c r="JCD24" s="1280"/>
      <c r="JCE24" s="1280"/>
      <c r="JCF24" s="1280"/>
      <c r="JCG24" s="1280"/>
      <c r="JCH24" s="1280"/>
      <c r="JCI24" s="1280"/>
      <c r="JCJ24" s="1280"/>
      <c r="JCK24" s="1280"/>
      <c r="JCL24" s="1280"/>
      <c r="JCM24" s="1280"/>
      <c r="JCN24" s="1280"/>
      <c r="JCO24" s="1280"/>
      <c r="JCP24" s="1280"/>
      <c r="JCQ24" s="1280"/>
      <c r="JCR24" s="1280"/>
      <c r="JCS24" s="1280"/>
      <c r="JCT24" s="1280"/>
      <c r="JCU24" s="1280"/>
      <c r="JCV24" s="1280"/>
      <c r="JCW24" s="1280"/>
      <c r="JCX24" s="1280"/>
      <c r="JCY24" s="1280"/>
      <c r="JCZ24" s="1280"/>
      <c r="JDA24" s="1280"/>
      <c r="JDB24" s="1280"/>
      <c r="JDC24" s="1280"/>
      <c r="JDD24" s="1280"/>
      <c r="JDE24" s="1280"/>
      <c r="JDF24" s="1280"/>
      <c r="JDG24" s="1280"/>
      <c r="JDH24" s="1280"/>
      <c r="JDI24" s="1280"/>
      <c r="JDJ24" s="1280"/>
      <c r="JDK24" s="1280"/>
      <c r="JDL24" s="1280"/>
      <c r="JDM24" s="1280"/>
      <c r="JDN24" s="1280"/>
      <c r="JDO24" s="1280"/>
      <c r="JDP24" s="1280"/>
      <c r="JDQ24" s="1280"/>
      <c r="JDR24" s="1280"/>
      <c r="JDS24" s="1280"/>
      <c r="JDT24" s="1280"/>
      <c r="JDU24" s="1280"/>
      <c r="JDV24" s="1280"/>
      <c r="JDW24" s="1280"/>
      <c r="JDX24" s="1280"/>
      <c r="JDY24" s="1280"/>
      <c r="JDZ24" s="1280"/>
      <c r="JEA24" s="1280"/>
      <c r="JEB24" s="1280"/>
      <c r="JEC24" s="1280"/>
      <c r="JED24" s="1280"/>
      <c r="JEE24" s="1280"/>
      <c r="JEF24" s="1280"/>
      <c r="JEG24" s="1280"/>
      <c r="JEH24" s="1280"/>
      <c r="JEI24" s="1280"/>
      <c r="JEJ24" s="1280"/>
      <c r="JEK24" s="1280"/>
      <c r="JEL24" s="1280"/>
      <c r="JEM24" s="1280"/>
      <c r="JEN24" s="1280"/>
      <c r="JEO24" s="1280"/>
      <c r="JEP24" s="1280"/>
      <c r="JEQ24" s="1280"/>
      <c r="JER24" s="1280"/>
      <c r="JES24" s="1280"/>
      <c r="JET24" s="1280"/>
      <c r="JEU24" s="1280"/>
      <c r="JEV24" s="1280"/>
      <c r="JEW24" s="1280"/>
      <c r="JEX24" s="1280"/>
      <c r="JEY24" s="1280"/>
      <c r="JEZ24" s="1280"/>
      <c r="JFA24" s="1280"/>
      <c r="JFB24" s="1280"/>
      <c r="JFC24" s="1280"/>
      <c r="JFD24" s="1280"/>
      <c r="JFE24" s="1280"/>
      <c r="JFF24" s="1280"/>
      <c r="JFG24" s="1280"/>
      <c r="JFH24" s="1280"/>
      <c r="JFI24" s="1280"/>
      <c r="JFJ24" s="1280"/>
      <c r="JFK24" s="1280"/>
      <c r="JFL24" s="1280"/>
      <c r="JFM24" s="1280"/>
      <c r="JFN24" s="1280"/>
      <c r="JFO24" s="1280"/>
      <c r="JFP24" s="1280"/>
      <c r="JFQ24" s="1280"/>
      <c r="JFR24" s="1280"/>
      <c r="JFS24" s="1280"/>
      <c r="JFT24" s="1280"/>
      <c r="JFU24" s="1280"/>
      <c r="JFV24" s="1280"/>
      <c r="JFW24" s="1280"/>
      <c r="JFX24" s="1280"/>
      <c r="JFY24" s="1280"/>
      <c r="JFZ24" s="1280"/>
      <c r="JGA24" s="1280"/>
      <c r="JGB24" s="1280"/>
      <c r="JGC24" s="1280"/>
      <c r="JGD24" s="1280"/>
      <c r="JGE24" s="1280"/>
      <c r="JGF24" s="1280"/>
      <c r="JGG24" s="1280"/>
      <c r="JGH24" s="1280"/>
      <c r="JGI24" s="1280"/>
      <c r="JGJ24" s="1280"/>
      <c r="JGK24" s="1280"/>
      <c r="JGL24" s="1280"/>
      <c r="JGM24" s="1280"/>
      <c r="JGN24" s="1280"/>
      <c r="JGO24" s="1280"/>
      <c r="JGP24" s="1280"/>
      <c r="JGQ24" s="1280"/>
      <c r="JGR24" s="1280"/>
      <c r="JGS24" s="1280"/>
      <c r="JGT24" s="1280"/>
      <c r="JGU24" s="1280"/>
      <c r="JGV24" s="1280"/>
      <c r="JGW24" s="1280"/>
      <c r="JGX24" s="1280"/>
      <c r="JGY24" s="1280"/>
      <c r="JGZ24" s="1280"/>
      <c r="JHA24" s="1280"/>
      <c r="JHB24" s="1280"/>
      <c r="JHC24" s="1280"/>
      <c r="JHD24" s="1280"/>
      <c r="JHE24" s="1280"/>
      <c r="JHF24" s="1280"/>
      <c r="JHG24" s="1280"/>
      <c r="JHH24" s="1280"/>
      <c r="JHI24" s="1280"/>
      <c r="JHJ24" s="1280"/>
      <c r="JHK24" s="1280"/>
      <c r="JHL24" s="1280"/>
      <c r="JHM24" s="1280"/>
      <c r="JHN24" s="1280"/>
      <c r="JHO24" s="1280"/>
      <c r="JHP24" s="1280"/>
      <c r="JHQ24" s="1280"/>
      <c r="JHR24" s="1280"/>
      <c r="JHS24" s="1280"/>
      <c r="JHT24" s="1280"/>
      <c r="JHU24" s="1280"/>
      <c r="JHV24" s="1280"/>
      <c r="JHW24" s="1280"/>
      <c r="JHX24" s="1280"/>
      <c r="JHY24" s="1280"/>
      <c r="JHZ24" s="1280"/>
      <c r="JIA24" s="1280"/>
      <c r="JIB24" s="1280"/>
      <c r="JIC24" s="1280"/>
      <c r="JID24" s="1280"/>
      <c r="JIE24" s="1280"/>
      <c r="JIF24" s="1280"/>
      <c r="JIG24" s="1280"/>
      <c r="JIH24" s="1280"/>
      <c r="JII24" s="1280"/>
      <c r="JIJ24" s="1280"/>
      <c r="JIK24" s="1280"/>
      <c r="JIL24" s="1280"/>
      <c r="JIM24" s="1280"/>
      <c r="JIN24" s="1280"/>
      <c r="JIO24" s="1280"/>
      <c r="JIP24" s="1280"/>
      <c r="JIQ24" s="1280"/>
      <c r="JIR24" s="1280"/>
      <c r="JIS24" s="1280"/>
      <c r="JIT24" s="1280"/>
      <c r="JIU24" s="1280"/>
      <c r="JIV24" s="1280"/>
      <c r="JIW24" s="1280"/>
      <c r="JIX24" s="1280"/>
      <c r="JIY24" s="1280"/>
      <c r="JIZ24" s="1280"/>
      <c r="JJA24" s="1280"/>
      <c r="JJB24" s="1280"/>
      <c r="JJC24" s="1280"/>
      <c r="JJD24" s="1280"/>
      <c r="JJE24" s="1280"/>
      <c r="JJF24" s="1280"/>
      <c r="JJG24" s="1280"/>
      <c r="JJH24" s="1280"/>
      <c r="JJI24" s="1280"/>
      <c r="JJJ24" s="1280"/>
      <c r="JJK24" s="1280"/>
      <c r="JJL24" s="1280"/>
      <c r="JJM24" s="1280"/>
      <c r="JJN24" s="1280"/>
      <c r="JJO24" s="1280"/>
      <c r="JJP24" s="1280"/>
      <c r="JJQ24" s="1280"/>
      <c r="JJR24" s="1280"/>
      <c r="JJS24" s="1280"/>
      <c r="JJT24" s="1280"/>
      <c r="JJU24" s="1280"/>
      <c r="JJV24" s="1280"/>
      <c r="JJW24" s="1280"/>
      <c r="JJX24" s="1280"/>
      <c r="JJY24" s="1280"/>
      <c r="JJZ24" s="1280"/>
      <c r="JKA24" s="1280"/>
      <c r="JKB24" s="1280"/>
      <c r="JKC24" s="1280"/>
      <c r="JKD24" s="1280"/>
      <c r="JKE24" s="1280"/>
      <c r="JKF24" s="1280"/>
      <c r="JKG24" s="1280"/>
      <c r="JKH24" s="1280"/>
      <c r="JKI24" s="1280"/>
      <c r="JKJ24" s="1280"/>
      <c r="JKK24" s="1280"/>
      <c r="JKL24" s="1280"/>
      <c r="JKM24" s="1280"/>
      <c r="JKN24" s="1280"/>
      <c r="JKO24" s="1280"/>
      <c r="JKP24" s="1280"/>
      <c r="JKQ24" s="1280"/>
      <c r="JKR24" s="1280"/>
      <c r="JKS24" s="1280"/>
      <c r="JKT24" s="1280"/>
      <c r="JKU24" s="1280"/>
      <c r="JKV24" s="1280"/>
      <c r="JKW24" s="1280"/>
      <c r="JKX24" s="1280"/>
      <c r="JKY24" s="1280"/>
      <c r="JKZ24" s="1280"/>
      <c r="JLA24" s="1280"/>
      <c r="JLB24" s="1280"/>
      <c r="JLC24" s="1280"/>
      <c r="JLD24" s="1280"/>
      <c r="JLE24" s="1280"/>
      <c r="JLF24" s="1280"/>
      <c r="JLG24" s="1280"/>
      <c r="JLH24" s="1280"/>
      <c r="JLI24" s="1280"/>
      <c r="JLJ24" s="1280"/>
      <c r="JLK24" s="1280"/>
      <c r="JLL24" s="1280"/>
      <c r="JLM24" s="1280"/>
      <c r="JLN24" s="1280"/>
      <c r="JLO24" s="1280"/>
      <c r="JLP24" s="1280"/>
      <c r="JLQ24" s="1280"/>
      <c r="JLR24" s="1280"/>
      <c r="JLS24" s="1280"/>
      <c r="JLT24" s="1280"/>
      <c r="JLU24" s="1280"/>
      <c r="JLV24" s="1280"/>
      <c r="JLW24" s="1280"/>
      <c r="JLX24" s="1280"/>
      <c r="JLY24" s="1280"/>
      <c r="JLZ24" s="1280"/>
      <c r="JMA24" s="1280"/>
      <c r="JMB24" s="1280"/>
      <c r="JMC24" s="1280"/>
      <c r="JMD24" s="1280"/>
      <c r="JME24" s="1280"/>
      <c r="JMF24" s="1280"/>
      <c r="JMG24" s="1280"/>
      <c r="JMH24" s="1280"/>
      <c r="JMI24" s="1280"/>
      <c r="JMJ24" s="1280"/>
      <c r="JMK24" s="1280"/>
      <c r="JML24" s="1280"/>
      <c r="JMM24" s="1280"/>
      <c r="JMN24" s="1280"/>
      <c r="JMO24" s="1280"/>
      <c r="JMP24" s="1280"/>
      <c r="JMQ24" s="1280"/>
      <c r="JMR24" s="1280"/>
      <c r="JMS24" s="1280"/>
      <c r="JMT24" s="1280"/>
      <c r="JMU24" s="1280"/>
      <c r="JMV24" s="1280"/>
      <c r="JMW24" s="1280"/>
      <c r="JMX24" s="1280"/>
      <c r="JMY24" s="1280"/>
      <c r="JMZ24" s="1280"/>
      <c r="JNA24" s="1280"/>
      <c r="JNB24" s="1280"/>
      <c r="JNC24" s="1280"/>
      <c r="JND24" s="1280"/>
      <c r="JNE24" s="1280"/>
      <c r="JNF24" s="1280"/>
      <c r="JNG24" s="1280"/>
      <c r="JNH24" s="1280"/>
      <c r="JNI24" s="1280"/>
      <c r="JNJ24" s="1280"/>
      <c r="JNK24" s="1280"/>
      <c r="JNL24" s="1280"/>
      <c r="JNM24" s="1280"/>
      <c r="JNN24" s="1280"/>
      <c r="JNO24" s="1280"/>
      <c r="JNP24" s="1280"/>
      <c r="JNQ24" s="1280"/>
      <c r="JNR24" s="1280"/>
      <c r="JNS24" s="1280"/>
      <c r="JNT24" s="1280"/>
      <c r="JNU24" s="1280"/>
      <c r="JNV24" s="1280"/>
      <c r="JNW24" s="1280"/>
      <c r="JNX24" s="1280"/>
      <c r="JNY24" s="1280"/>
      <c r="JNZ24" s="1280"/>
      <c r="JOA24" s="1280"/>
      <c r="JOB24" s="1280"/>
      <c r="JOC24" s="1280"/>
      <c r="JOD24" s="1280"/>
      <c r="JOE24" s="1280"/>
      <c r="JOF24" s="1280"/>
      <c r="JOG24" s="1280"/>
      <c r="JOH24" s="1280"/>
      <c r="JOI24" s="1280"/>
      <c r="JOJ24" s="1280"/>
      <c r="JOK24" s="1280"/>
      <c r="JOL24" s="1280"/>
      <c r="JOM24" s="1280"/>
      <c r="JON24" s="1280"/>
      <c r="JOO24" s="1280"/>
      <c r="JOP24" s="1280"/>
      <c r="JOQ24" s="1280"/>
      <c r="JOR24" s="1280"/>
      <c r="JOS24" s="1280"/>
      <c r="JOT24" s="1280"/>
      <c r="JOU24" s="1280"/>
      <c r="JOV24" s="1280"/>
      <c r="JOW24" s="1280"/>
      <c r="JOX24" s="1280"/>
      <c r="JOY24" s="1280"/>
      <c r="JOZ24" s="1280"/>
      <c r="JPA24" s="1280"/>
      <c r="JPB24" s="1280"/>
      <c r="JPC24" s="1280"/>
      <c r="JPD24" s="1280"/>
      <c r="JPE24" s="1280"/>
      <c r="JPF24" s="1280"/>
      <c r="JPG24" s="1280"/>
      <c r="JPH24" s="1280"/>
      <c r="JPI24" s="1280"/>
      <c r="JPJ24" s="1280"/>
      <c r="JPK24" s="1280"/>
      <c r="JPL24" s="1280"/>
      <c r="JPM24" s="1280"/>
      <c r="JPN24" s="1280"/>
      <c r="JPO24" s="1280"/>
      <c r="JPP24" s="1280"/>
      <c r="JPQ24" s="1280"/>
      <c r="JPR24" s="1280"/>
      <c r="JPS24" s="1280"/>
      <c r="JPT24" s="1280"/>
      <c r="JPU24" s="1280"/>
      <c r="JPV24" s="1280"/>
      <c r="JPW24" s="1280"/>
      <c r="JPX24" s="1280"/>
      <c r="JPY24" s="1280"/>
      <c r="JPZ24" s="1280"/>
      <c r="JQA24" s="1280"/>
      <c r="JQB24" s="1280"/>
      <c r="JQC24" s="1280"/>
      <c r="JQD24" s="1280"/>
      <c r="JQE24" s="1280"/>
      <c r="JQF24" s="1280"/>
      <c r="JQG24" s="1280"/>
      <c r="JQH24" s="1280"/>
      <c r="JQI24" s="1280"/>
      <c r="JQJ24" s="1280"/>
      <c r="JQK24" s="1280"/>
      <c r="JQL24" s="1280"/>
      <c r="JQM24" s="1280"/>
      <c r="JQN24" s="1280"/>
      <c r="JQO24" s="1280"/>
      <c r="JQP24" s="1280"/>
      <c r="JQQ24" s="1280"/>
      <c r="JQR24" s="1280"/>
      <c r="JQS24" s="1280"/>
      <c r="JQT24" s="1280"/>
      <c r="JQU24" s="1280"/>
      <c r="JQV24" s="1280"/>
      <c r="JQW24" s="1280"/>
      <c r="JQX24" s="1280"/>
      <c r="JQY24" s="1280"/>
      <c r="JQZ24" s="1280"/>
      <c r="JRA24" s="1280"/>
      <c r="JRB24" s="1280"/>
      <c r="JRC24" s="1280"/>
      <c r="JRD24" s="1280"/>
      <c r="JRE24" s="1280"/>
      <c r="JRF24" s="1280"/>
      <c r="JRG24" s="1280"/>
      <c r="JRH24" s="1280"/>
      <c r="JRI24" s="1280"/>
      <c r="JRJ24" s="1280"/>
      <c r="JRK24" s="1280"/>
      <c r="JRL24" s="1280"/>
      <c r="JRM24" s="1280"/>
      <c r="JRN24" s="1280"/>
      <c r="JRO24" s="1280"/>
      <c r="JRP24" s="1280"/>
      <c r="JRQ24" s="1280"/>
      <c r="JRR24" s="1280"/>
      <c r="JRS24" s="1280"/>
      <c r="JRT24" s="1280"/>
      <c r="JRU24" s="1280"/>
      <c r="JRV24" s="1280"/>
      <c r="JRW24" s="1280"/>
      <c r="JRX24" s="1280"/>
      <c r="JRY24" s="1280"/>
      <c r="JRZ24" s="1280"/>
      <c r="JSA24" s="1280"/>
      <c r="JSB24" s="1280"/>
      <c r="JSC24" s="1280"/>
      <c r="JSD24" s="1280"/>
      <c r="JSE24" s="1280"/>
      <c r="JSF24" s="1280"/>
      <c r="JSG24" s="1280"/>
      <c r="JSH24" s="1280"/>
      <c r="JSI24" s="1280"/>
      <c r="JSJ24" s="1280"/>
      <c r="JSK24" s="1280"/>
      <c r="JSL24" s="1280"/>
      <c r="JSM24" s="1280"/>
      <c r="JSN24" s="1280"/>
      <c r="JSO24" s="1280"/>
      <c r="JSP24" s="1280"/>
      <c r="JSQ24" s="1280"/>
      <c r="JSR24" s="1280"/>
      <c r="JSS24" s="1280"/>
      <c r="JST24" s="1280"/>
      <c r="JSU24" s="1280"/>
      <c r="JSV24" s="1280"/>
      <c r="JSW24" s="1280"/>
      <c r="JSX24" s="1280"/>
      <c r="JSY24" s="1280"/>
      <c r="JSZ24" s="1280"/>
      <c r="JTA24" s="1280"/>
      <c r="JTB24" s="1280"/>
      <c r="JTC24" s="1280"/>
      <c r="JTD24" s="1280"/>
      <c r="JTE24" s="1280"/>
      <c r="JTF24" s="1280"/>
      <c r="JTG24" s="1280"/>
      <c r="JTH24" s="1280"/>
      <c r="JTI24" s="1280"/>
      <c r="JTJ24" s="1280"/>
      <c r="JTK24" s="1280"/>
      <c r="JTL24" s="1280"/>
      <c r="JTM24" s="1280"/>
      <c r="JTN24" s="1280"/>
      <c r="JTO24" s="1280"/>
      <c r="JTP24" s="1280"/>
      <c r="JTQ24" s="1280"/>
      <c r="JTR24" s="1280"/>
      <c r="JTS24" s="1280"/>
      <c r="JTT24" s="1280"/>
      <c r="JTU24" s="1280"/>
      <c r="JTV24" s="1280"/>
      <c r="JTW24" s="1280"/>
      <c r="JTX24" s="1280"/>
      <c r="JTY24" s="1280"/>
      <c r="JTZ24" s="1280"/>
      <c r="JUA24" s="1280"/>
      <c r="JUB24" s="1280"/>
      <c r="JUC24" s="1280"/>
      <c r="JUD24" s="1280"/>
      <c r="JUE24" s="1280"/>
      <c r="JUF24" s="1280"/>
      <c r="JUG24" s="1280"/>
      <c r="JUH24" s="1280"/>
      <c r="JUI24" s="1280"/>
      <c r="JUJ24" s="1280"/>
      <c r="JUK24" s="1280"/>
      <c r="JUL24" s="1280"/>
      <c r="JUM24" s="1280"/>
      <c r="JUN24" s="1280"/>
      <c r="JUO24" s="1280"/>
      <c r="JUP24" s="1280"/>
      <c r="JUQ24" s="1280"/>
      <c r="JUR24" s="1280"/>
      <c r="JUS24" s="1280"/>
      <c r="JUT24" s="1280"/>
      <c r="JUU24" s="1280"/>
      <c r="JUV24" s="1280"/>
      <c r="JUW24" s="1280"/>
      <c r="JUX24" s="1280"/>
      <c r="JUY24" s="1280"/>
      <c r="JUZ24" s="1280"/>
      <c r="JVA24" s="1280"/>
      <c r="JVB24" s="1280"/>
      <c r="JVC24" s="1280"/>
      <c r="JVD24" s="1280"/>
      <c r="JVE24" s="1280"/>
      <c r="JVF24" s="1280"/>
      <c r="JVG24" s="1280"/>
      <c r="JVH24" s="1280"/>
      <c r="JVI24" s="1280"/>
      <c r="JVJ24" s="1280"/>
      <c r="JVK24" s="1280"/>
      <c r="JVL24" s="1280"/>
      <c r="JVM24" s="1280"/>
      <c r="JVN24" s="1280"/>
      <c r="JVO24" s="1280"/>
      <c r="JVP24" s="1280"/>
      <c r="JVQ24" s="1280"/>
      <c r="JVR24" s="1280"/>
      <c r="JVS24" s="1280"/>
      <c r="JVT24" s="1280"/>
      <c r="JVU24" s="1280"/>
      <c r="JVV24" s="1280"/>
      <c r="JVW24" s="1280"/>
      <c r="JVX24" s="1280"/>
      <c r="JVY24" s="1280"/>
      <c r="JVZ24" s="1280"/>
      <c r="JWA24" s="1280"/>
      <c r="JWB24" s="1280"/>
      <c r="JWC24" s="1280"/>
      <c r="JWD24" s="1280"/>
      <c r="JWE24" s="1280"/>
      <c r="JWF24" s="1280"/>
      <c r="JWG24" s="1280"/>
      <c r="JWH24" s="1280"/>
      <c r="JWI24" s="1280"/>
      <c r="JWJ24" s="1280"/>
      <c r="JWK24" s="1280"/>
      <c r="JWL24" s="1280"/>
      <c r="JWM24" s="1280"/>
      <c r="JWN24" s="1280"/>
      <c r="JWO24" s="1280"/>
      <c r="JWP24" s="1280"/>
      <c r="JWQ24" s="1280"/>
      <c r="JWR24" s="1280"/>
      <c r="JWS24" s="1280"/>
      <c r="JWT24" s="1280"/>
      <c r="JWU24" s="1280"/>
      <c r="JWV24" s="1280"/>
      <c r="JWW24" s="1280"/>
      <c r="JWX24" s="1280"/>
      <c r="JWY24" s="1280"/>
      <c r="JWZ24" s="1280"/>
      <c r="JXA24" s="1280"/>
      <c r="JXB24" s="1280"/>
      <c r="JXC24" s="1280"/>
      <c r="JXD24" s="1280"/>
      <c r="JXE24" s="1280"/>
      <c r="JXF24" s="1280"/>
      <c r="JXG24" s="1280"/>
      <c r="JXH24" s="1280"/>
      <c r="JXI24" s="1280"/>
      <c r="JXJ24" s="1280"/>
      <c r="JXK24" s="1280"/>
      <c r="JXL24" s="1280"/>
      <c r="JXM24" s="1280"/>
      <c r="JXN24" s="1280"/>
      <c r="JXO24" s="1280"/>
      <c r="JXP24" s="1280"/>
      <c r="JXQ24" s="1280"/>
      <c r="JXR24" s="1280"/>
      <c r="JXS24" s="1280"/>
      <c r="JXT24" s="1280"/>
      <c r="JXU24" s="1280"/>
      <c r="JXV24" s="1280"/>
      <c r="JXW24" s="1280"/>
      <c r="JXX24" s="1280"/>
      <c r="JXY24" s="1280"/>
      <c r="JXZ24" s="1280"/>
      <c r="JYA24" s="1280"/>
      <c r="JYB24" s="1280"/>
      <c r="JYC24" s="1280"/>
      <c r="JYD24" s="1280"/>
      <c r="JYE24" s="1280"/>
      <c r="JYF24" s="1280"/>
      <c r="JYG24" s="1280"/>
      <c r="JYH24" s="1280"/>
      <c r="JYI24" s="1280"/>
      <c r="JYJ24" s="1280"/>
      <c r="JYK24" s="1280"/>
      <c r="JYL24" s="1280"/>
      <c r="JYM24" s="1280"/>
      <c r="JYN24" s="1280"/>
      <c r="JYO24" s="1280"/>
      <c r="JYP24" s="1280"/>
      <c r="JYQ24" s="1280"/>
      <c r="JYR24" s="1280"/>
      <c r="JYS24" s="1280"/>
      <c r="JYT24" s="1280"/>
      <c r="JYU24" s="1280"/>
      <c r="JYV24" s="1280"/>
      <c r="JYW24" s="1280"/>
      <c r="JYX24" s="1280"/>
      <c r="JYY24" s="1280"/>
      <c r="JYZ24" s="1280"/>
      <c r="JZA24" s="1280"/>
      <c r="JZB24" s="1280"/>
      <c r="JZC24" s="1280"/>
      <c r="JZD24" s="1280"/>
      <c r="JZE24" s="1280"/>
      <c r="JZF24" s="1280"/>
      <c r="JZG24" s="1280"/>
      <c r="JZH24" s="1280"/>
      <c r="JZI24" s="1280"/>
      <c r="JZJ24" s="1280"/>
      <c r="JZK24" s="1280"/>
      <c r="JZL24" s="1280"/>
      <c r="JZM24" s="1280"/>
      <c r="JZN24" s="1280"/>
      <c r="JZO24" s="1280"/>
      <c r="JZP24" s="1280"/>
      <c r="JZQ24" s="1280"/>
      <c r="JZR24" s="1280"/>
      <c r="JZS24" s="1280"/>
      <c r="JZT24" s="1280"/>
      <c r="JZU24" s="1280"/>
      <c r="JZV24" s="1280"/>
      <c r="JZW24" s="1280"/>
      <c r="JZX24" s="1280"/>
      <c r="JZY24" s="1280"/>
      <c r="JZZ24" s="1280"/>
      <c r="KAA24" s="1280"/>
      <c r="KAB24" s="1280"/>
      <c r="KAC24" s="1280"/>
      <c r="KAD24" s="1280"/>
      <c r="KAE24" s="1280"/>
      <c r="KAF24" s="1280"/>
      <c r="KAG24" s="1280"/>
      <c r="KAH24" s="1280"/>
      <c r="KAI24" s="1280"/>
      <c r="KAJ24" s="1280"/>
      <c r="KAK24" s="1280"/>
      <c r="KAL24" s="1280"/>
      <c r="KAM24" s="1280"/>
      <c r="KAN24" s="1280"/>
      <c r="KAO24" s="1280"/>
      <c r="KAP24" s="1280"/>
      <c r="KAQ24" s="1280"/>
      <c r="KAR24" s="1280"/>
      <c r="KAS24" s="1280"/>
      <c r="KAT24" s="1280"/>
      <c r="KAU24" s="1280"/>
      <c r="KAV24" s="1280"/>
      <c r="KAW24" s="1280"/>
      <c r="KAX24" s="1280"/>
      <c r="KAY24" s="1280"/>
      <c r="KAZ24" s="1280"/>
      <c r="KBA24" s="1280"/>
      <c r="KBB24" s="1280"/>
      <c r="KBC24" s="1280"/>
      <c r="KBD24" s="1280"/>
      <c r="KBE24" s="1280"/>
      <c r="KBF24" s="1280"/>
      <c r="KBG24" s="1280"/>
      <c r="KBH24" s="1280"/>
      <c r="KBI24" s="1280"/>
      <c r="KBJ24" s="1280"/>
      <c r="KBK24" s="1280"/>
      <c r="KBL24" s="1280"/>
      <c r="KBM24" s="1280"/>
      <c r="KBN24" s="1280"/>
      <c r="KBO24" s="1280"/>
      <c r="KBP24" s="1280"/>
      <c r="KBQ24" s="1280"/>
      <c r="KBR24" s="1280"/>
      <c r="KBS24" s="1280"/>
      <c r="KBT24" s="1280"/>
      <c r="KBU24" s="1280"/>
      <c r="KBV24" s="1280"/>
      <c r="KBW24" s="1280"/>
      <c r="KBX24" s="1280"/>
      <c r="KBY24" s="1280"/>
      <c r="KBZ24" s="1280"/>
      <c r="KCA24" s="1280"/>
      <c r="KCB24" s="1280"/>
      <c r="KCC24" s="1280"/>
      <c r="KCD24" s="1280"/>
      <c r="KCE24" s="1280"/>
      <c r="KCF24" s="1280"/>
      <c r="KCG24" s="1280"/>
      <c r="KCH24" s="1280"/>
      <c r="KCI24" s="1280"/>
      <c r="KCJ24" s="1280"/>
      <c r="KCK24" s="1280"/>
      <c r="KCL24" s="1280"/>
      <c r="KCM24" s="1280"/>
      <c r="KCN24" s="1280"/>
      <c r="KCO24" s="1280"/>
      <c r="KCP24" s="1280"/>
      <c r="KCQ24" s="1280"/>
      <c r="KCR24" s="1280"/>
      <c r="KCS24" s="1280"/>
      <c r="KCT24" s="1280"/>
      <c r="KCU24" s="1280"/>
      <c r="KCV24" s="1280"/>
      <c r="KCW24" s="1280"/>
      <c r="KCX24" s="1280"/>
      <c r="KCY24" s="1280"/>
      <c r="KCZ24" s="1280"/>
      <c r="KDA24" s="1280"/>
      <c r="KDB24" s="1280"/>
      <c r="KDC24" s="1280"/>
      <c r="KDD24" s="1280"/>
      <c r="KDE24" s="1280"/>
      <c r="KDF24" s="1280"/>
      <c r="KDG24" s="1280"/>
      <c r="KDH24" s="1280"/>
      <c r="KDI24" s="1280"/>
      <c r="KDJ24" s="1280"/>
      <c r="KDK24" s="1280"/>
      <c r="KDL24" s="1280"/>
      <c r="KDM24" s="1280"/>
      <c r="KDN24" s="1280"/>
      <c r="KDO24" s="1280"/>
      <c r="KDP24" s="1280"/>
      <c r="KDQ24" s="1280"/>
      <c r="KDR24" s="1280"/>
      <c r="KDS24" s="1280"/>
      <c r="KDT24" s="1280"/>
      <c r="KDU24" s="1280"/>
      <c r="KDV24" s="1280"/>
      <c r="KDW24" s="1280"/>
      <c r="KDX24" s="1280"/>
      <c r="KDY24" s="1280"/>
      <c r="KDZ24" s="1280"/>
      <c r="KEA24" s="1280"/>
      <c r="KEB24" s="1280"/>
      <c r="KEC24" s="1280"/>
      <c r="KED24" s="1280"/>
      <c r="KEE24" s="1280"/>
      <c r="KEF24" s="1280"/>
      <c r="KEG24" s="1280"/>
      <c r="KEH24" s="1280"/>
      <c r="KEI24" s="1280"/>
      <c r="KEJ24" s="1280"/>
      <c r="KEK24" s="1280"/>
      <c r="KEL24" s="1280"/>
      <c r="KEM24" s="1280"/>
      <c r="KEN24" s="1280"/>
      <c r="KEO24" s="1280"/>
      <c r="KEP24" s="1280"/>
      <c r="KEQ24" s="1280"/>
      <c r="KER24" s="1280"/>
      <c r="KES24" s="1280"/>
      <c r="KET24" s="1280"/>
      <c r="KEU24" s="1280"/>
      <c r="KEV24" s="1280"/>
      <c r="KEW24" s="1280"/>
      <c r="KEX24" s="1280"/>
      <c r="KEY24" s="1280"/>
      <c r="KEZ24" s="1280"/>
      <c r="KFA24" s="1280"/>
      <c r="KFB24" s="1280"/>
      <c r="KFC24" s="1280"/>
      <c r="KFD24" s="1280"/>
      <c r="KFE24" s="1280"/>
      <c r="KFF24" s="1280"/>
      <c r="KFG24" s="1280"/>
      <c r="KFH24" s="1280"/>
      <c r="KFI24" s="1280"/>
      <c r="KFJ24" s="1280"/>
      <c r="KFK24" s="1280"/>
      <c r="KFL24" s="1280"/>
      <c r="KFM24" s="1280"/>
      <c r="KFN24" s="1280"/>
      <c r="KFO24" s="1280"/>
      <c r="KFP24" s="1280"/>
      <c r="KFQ24" s="1280"/>
      <c r="KFR24" s="1280"/>
      <c r="KFS24" s="1280"/>
      <c r="KFT24" s="1280"/>
      <c r="KFU24" s="1280"/>
      <c r="KFV24" s="1280"/>
      <c r="KFW24" s="1280"/>
      <c r="KFX24" s="1280"/>
      <c r="KFY24" s="1280"/>
      <c r="KFZ24" s="1280"/>
      <c r="KGA24" s="1280"/>
      <c r="KGB24" s="1280"/>
      <c r="KGC24" s="1280"/>
      <c r="KGD24" s="1280"/>
      <c r="KGE24" s="1280"/>
      <c r="KGF24" s="1280"/>
      <c r="KGG24" s="1280"/>
      <c r="KGH24" s="1280"/>
      <c r="KGI24" s="1280"/>
      <c r="KGJ24" s="1280"/>
      <c r="KGK24" s="1280"/>
      <c r="KGL24" s="1280"/>
      <c r="KGM24" s="1280"/>
      <c r="KGN24" s="1280"/>
      <c r="KGO24" s="1280"/>
      <c r="KGP24" s="1280"/>
      <c r="KGQ24" s="1280"/>
      <c r="KGR24" s="1280"/>
      <c r="KGS24" s="1280"/>
      <c r="KGT24" s="1280"/>
      <c r="KGU24" s="1280"/>
      <c r="KGV24" s="1280"/>
      <c r="KGW24" s="1280"/>
      <c r="KGX24" s="1280"/>
      <c r="KGY24" s="1280"/>
      <c r="KGZ24" s="1280"/>
      <c r="KHA24" s="1280"/>
      <c r="KHB24" s="1280"/>
      <c r="KHC24" s="1280"/>
      <c r="KHD24" s="1280"/>
      <c r="KHE24" s="1280"/>
      <c r="KHF24" s="1280"/>
      <c r="KHG24" s="1280"/>
      <c r="KHH24" s="1280"/>
      <c r="KHI24" s="1280"/>
      <c r="KHJ24" s="1280"/>
      <c r="KHK24" s="1280"/>
      <c r="KHL24" s="1280"/>
      <c r="KHM24" s="1280"/>
      <c r="KHN24" s="1280"/>
      <c r="KHO24" s="1280"/>
      <c r="KHP24" s="1280"/>
      <c r="KHQ24" s="1280"/>
      <c r="KHR24" s="1280"/>
      <c r="KHS24" s="1280"/>
      <c r="KHT24" s="1280"/>
      <c r="KHU24" s="1280"/>
      <c r="KHV24" s="1280"/>
      <c r="KHW24" s="1280"/>
      <c r="KHX24" s="1280"/>
      <c r="KHY24" s="1280"/>
      <c r="KHZ24" s="1280"/>
      <c r="KIA24" s="1280"/>
      <c r="KIB24" s="1280"/>
      <c r="KIC24" s="1280"/>
      <c r="KID24" s="1280"/>
      <c r="KIE24" s="1280"/>
      <c r="KIF24" s="1280"/>
      <c r="KIG24" s="1280"/>
      <c r="KIH24" s="1280"/>
      <c r="KII24" s="1280"/>
      <c r="KIJ24" s="1280"/>
      <c r="KIK24" s="1280"/>
      <c r="KIL24" s="1280"/>
      <c r="KIM24" s="1280"/>
      <c r="KIN24" s="1280"/>
      <c r="KIO24" s="1280"/>
      <c r="KIP24" s="1280"/>
      <c r="KIQ24" s="1280"/>
      <c r="KIR24" s="1280"/>
      <c r="KIS24" s="1280"/>
      <c r="KIT24" s="1280"/>
      <c r="KIU24" s="1280"/>
      <c r="KIV24" s="1280"/>
      <c r="KIW24" s="1280"/>
      <c r="KIX24" s="1280"/>
      <c r="KIY24" s="1280"/>
      <c r="KIZ24" s="1280"/>
      <c r="KJA24" s="1280"/>
      <c r="KJB24" s="1280"/>
      <c r="KJC24" s="1280"/>
      <c r="KJD24" s="1280"/>
      <c r="KJE24" s="1280"/>
      <c r="KJF24" s="1280"/>
      <c r="KJG24" s="1280"/>
      <c r="KJH24" s="1280"/>
      <c r="KJI24" s="1280"/>
      <c r="KJJ24" s="1280"/>
      <c r="KJK24" s="1280"/>
      <c r="KJL24" s="1280"/>
      <c r="KJM24" s="1280"/>
      <c r="KJN24" s="1280"/>
      <c r="KJO24" s="1280"/>
      <c r="KJP24" s="1280"/>
      <c r="KJQ24" s="1280"/>
      <c r="KJR24" s="1280"/>
      <c r="KJS24" s="1280"/>
      <c r="KJT24" s="1280"/>
      <c r="KJU24" s="1280"/>
      <c r="KJV24" s="1280"/>
      <c r="KJW24" s="1280"/>
      <c r="KJX24" s="1280"/>
      <c r="KJY24" s="1280"/>
      <c r="KJZ24" s="1280"/>
      <c r="KKA24" s="1280"/>
      <c r="KKB24" s="1280"/>
      <c r="KKC24" s="1280"/>
      <c r="KKD24" s="1280"/>
      <c r="KKE24" s="1280"/>
      <c r="KKF24" s="1280"/>
      <c r="KKG24" s="1280"/>
      <c r="KKH24" s="1280"/>
      <c r="KKI24" s="1280"/>
      <c r="KKJ24" s="1280"/>
      <c r="KKK24" s="1280"/>
      <c r="KKL24" s="1280"/>
      <c r="KKM24" s="1280"/>
      <c r="KKN24" s="1280"/>
      <c r="KKO24" s="1280"/>
      <c r="KKP24" s="1280"/>
      <c r="KKQ24" s="1280"/>
      <c r="KKR24" s="1280"/>
      <c r="KKS24" s="1280"/>
      <c r="KKT24" s="1280"/>
      <c r="KKU24" s="1280"/>
      <c r="KKV24" s="1280"/>
      <c r="KKW24" s="1280"/>
      <c r="KKX24" s="1280"/>
      <c r="KKY24" s="1280"/>
      <c r="KKZ24" s="1280"/>
      <c r="KLA24" s="1280"/>
      <c r="KLB24" s="1280"/>
      <c r="KLC24" s="1280"/>
      <c r="KLD24" s="1280"/>
      <c r="KLE24" s="1280"/>
      <c r="KLF24" s="1280"/>
      <c r="KLG24" s="1280"/>
      <c r="KLH24" s="1280"/>
      <c r="KLI24" s="1280"/>
      <c r="KLJ24" s="1280"/>
      <c r="KLK24" s="1280"/>
      <c r="KLL24" s="1280"/>
      <c r="KLM24" s="1280"/>
      <c r="KLN24" s="1280"/>
      <c r="KLO24" s="1280"/>
      <c r="KLP24" s="1280"/>
      <c r="KLQ24" s="1280"/>
      <c r="KLR24" s="1280"/>
      <c r="KLS24" s="1280"/>
      <c r="KLT24" s="1280"/>
      <c r="KLU24" s="1280"/>
      <c r="KLV24" s="1280"/>
      <c r="KLW24" s="1280"/>
      <c r="KLX24" s="1280"/>
      <c r="KLY24" s="1280"/>
      <c r="KLZ24" s="1280"/>
      <c r="KMA24" s="1280"/>
      <c r="KMB24" s="1280"/>
      <c r="KMC24" s="1280"/>
      <c r="KMD24" s="1280"/>
      <c r="KME24" s="1280"/>
      <c r="KMF24" s="1280"/>
      <c r="KMG24" s="1280"/>
      <c r="KMH24" s="1280"/>
      <c r="KMI24" s="1280"/>
      <c r="KMJ24" s="1280"/>
      <c r="KMK24" s="1280"/>
      <c r="KML24" s="1280"/>
      <c r="KMM24" s="1280"/>
      <c r="KMN24" s="1280"/>
      <c r="KMO24" s="1280"/>
      <c r="KMP24" s="1280"/>
      <c r="KMQ24" s="1280"/>
      <c r="KMR24" s="1280"/>
      <c r="KMS24" s="1280"/>
      <c r="KMT24" s="1280"/>
      <c r="KMU24" s="1280"/>
      <c r="KMV24" s="1280"/>
      <c r="KMW24" s="1280"/>
      <c r="KMX24" s="1280"/>
      <c r="KMY24" s="1280"/>
      <c r="KMZ24" s="1280"/>
      <c r="KNA24" s="1280"/>
      <c r="KNB24" s="1280"/>
      <c r="KNC24" s="1280"/>
      <c r="KND24" s="1280"/>
      <c r="KNE24" s="1280"/>
      <c r="KNF24" s="1280"/>
      <c r="KNG24" s="1280"/>
      <c r="KNH24" s="1280"/>
      <c r="KNI24" s="1280"/>
      <c r="KNJ24" s="1280"/>
      <c r="KNK24" s="1280"/>
      <c r="KNL24" s="1280"/>
      <c r="KNM24" s="1280"/>
      <c r="KNN24" s="1280"/>
      <c r="KNO24" s="1280"/>
      <c r="KNP24" s="1280"/>
      <c r="KNQ24" s="1280"/>
      <c r="KNR24" s="1280"/>
      <c r="KNS24" s="1280"/>
      <c r="KNT24" s="1280"/>
      <c r="KNU24" s="1280"/>
      <c r="KNV24" s="1280"/>
      <c r="KNW24" s="1280"/>
      <c r="KNX24" s="1280"/>
      <c r="KNY24" s="1280"/>
      <c r="KNZ24" s="1280"/>
      <c r="KOA24" s="1280"/>
      <c r="KOB24" s="1280"/>
      <c r="KOC24" s="1280"/>
      <c r="KOD24" s="1280"/>
      <c r="KOE24" s="1280"/>
      <c r="KOF24" s="1280"/>
      <c r="KOG24" s="1280"/>
      <c r="KOH24" s="1280"/>
      <c r="KOI24" s="1280"/>
      <c r="KOJ24" s="1280"/>
      <c r="KOK24" s="1280"/>
      <c r="KOL24" s="1280"/>
      <c r="KOM24" s="1280"/>
      <c r="KON24" s="1280"/>
      <c r="KOO24" s="1280"/>
      <c r="KOP24" s="1280"/>
      <c r="KOQ24" s="1280"/>
      <c r="KOR24" s="1280"/>
      <c r="KOS24" s="1280"/>
      <c r="KOT24" s="1280"/>
      <c r="KOU24" s="1280"/>
      <c r="KOV24" s="1280"/>
      <c r="KOW24" s="1280"/>
      <c r="KOX24" s="1280"/>
      <c r="KOY24" s="1280"/>
      <c r="KOZ24" s="1280"/>
      <c r="KPA24" s="1280"/>
      <c r="KPB24" s="1280"/>
      <c r="KPC24" s="1280"/>
      <c r="KPD24" s="1280"/>
      <c r="KPE24" s="1280"/>
      <c r="KPF24" s="1280"/>
      <c r="KPG24" s="1280"/>
      <c r="KPH24" s="1280"/>
      <c r="KPI24" s="1280"/>
      <c r="KPJ24" s="1280"/>
      <c r="KPK24" s="1280"/>
      <c r="KPL24" s="1280"/>
      <c r="KPM24" s="1280"/>
      <c r="KPN24" s="1280"/>
      <c r="KPO24" s="1280"/>
      <c r="KPP24" s="1280"/>
      <c r="KPQ24" s="1280"/>
      <c r="KPR24" s="1280"/>
      <c r="KPS24" s="1280"/>
      <c r="KPT24" s="1280"/>
      <c r="KPU24" s="1280"/>
      <c r="KPV24" s="1280"/>
      <c r="KPW24" s="1280"/>
      <c r="KPX24" s="1280"/>
      <c r="KPY24" s="1280"/>
      <c r="KPZ24" s="1280"/>
      <c r="KQA24" s="1280"/>
      <c r="KQB24" s="1280"/>
      <c r="KQC24" s="1280"/>
      <c r="KQD24" s="1280"/>
      <c r="KQE24" s="1280"/>
      <c r="KQF24" s="1280"/>
      <c r="KQG24" s="1280"/>
      <c r="KQH24" s="1280"/>
      <c r="KQI24" s="1280"/>
      <c r="KQJ24" s="1280"/>
      <c r="KQK24" s="1280"/>
      <c r="KQL24" s="1280"/>
      <c r="KQM24" s="1280"/>
      <c r="KQN24" s="1280"/>
      <c r="KQO24" s="1280"/>
      <c r="KQP24" s="1280"/>
      <c r="KQQ24" s="1280"/>
      <c r="KQR24" s="1280"/>
      <c r="KQS24" s="1280"/>
      <c r="KQT24" s="1280"/>
      <c r="KQU24" s="1280"/>
      <c r="KQV24" s="1280"/>
      <c r="KQW24" s="1280"/>
      <c r="KQX24" s="1280"/>
      <c r="KQY24" s="1280"/>
      <c r="KQZ24" s="1280"/>
      <c r="KRA24" s="1280"/>
      <c r="KRB24" s="1280"/>
      <c r="KRC24" s="1280"/>
      <c r="KRD24" s="1280"/>
      <c r="KRE24" s="1280"/>
      <c r="KRF24" s="1280"/>
      <c r="KRG24" s="1280"/>
      <c r="KRH24" s="1280"/>
      <c r="KRI24" s="1280"/>
      <c r="KRJ24" s="1280"/>
      <c r="KRK24" s="1280"/>
      <c r="KRL24" s="1280"/>
      <c r="KRM24" s="1280"/>
      <c r="KRN24" s="1280"/>
      <c r="KRO24" s="1280"/>
      <c r="KRP24" s="1280"/>
      <c r="KRQ24" s="1280"/>
      <c r="KRR24" s="1280"/>
      <c r="KRS24" s="1280"/>
      <c r="KRT24" s="1280"/>
      <c r="KRU24" s="1280"/>
      <c r="KRV24" s="1280"/>
      <c r="KRW24" s="1280"/>
      <c r="KRX24" s="1280"/>
      <c r="KRY24" s="1280"/>
      <c r="KRZ24" s="1280"/>
      <c r="KSA24" s="1280"/>
      <c r="KSB24" s="1280"/>
      <c r="KSC24" s="1280"/>
      <c r="KSD24" s="1280"/>
      <c r="KSE24" s="1280"/>
      <c r="KSF24" s="1280"/>
      <c r="KSG24" s="1280"/>
      <c r="KSH24" s="1280"/>
      <c r="KSI24" s="1280"/>
      <c r="KSJ24" s="1280"/>
      <c r="KSK24" s="1280"/>
      <c r="KSL24" s="1280"/>
      <c r="KSM24" s="1280"/>
      <c r="KSN24" s="1280"/>
      <c r="KSO24" s="1280"/>
      <c r="KSP24" s="1280"/>
      <c r="KSQ24" s="1280"/>
      <c r="KSR24" s="1280"/>
      <c r="KSS24" s="1280"/>
      <c r="KST24" s="1280"/>
      <c r="KSU24" s="1280"/>
      <c r="KSV24" s="1280"/>
      <c r="KSW24" s="1280"/>
      <c r="KSX24" s="1280"/>
      <c r="KSY24" s="1280"/>
      <c r="KSZ24" s="1280"/>
      <c r="KTA24" s="1280"/>
      <c r="KTB24" s="1280"/>
      <c r="KTC24" s="1280"/>
      <c r="KTD24" s="1280"/>
      <c r="KTE24" s="1280"/>
      <c r="KTF24" s="1280"/>
      <c r="KTG24" s="1280"/>
      <c r="KTH24" s="1280"/>
      <c r="KTI24" s="1280"/>
      <c r="KTJ24" s="1280"/>
      <c r="KTK24" s="1280"/>
      <c r="KTL24" s="1280"/>
      <c r="KTM24" s="1280"/>
      <c r="KTN24" s="1280"/>
      <c r="KTO24" s="1280"/>
      <c r="KTP24" s="1280"/>
      <c r="KTQ24" s="1280"/>
      <c r="KTR24" s="1280"/>
      <c r="KTS24" s="1280"/>
      <c r="KTT24" s="1280"/>
      <c r="KTU24" s="1280"/>
      <c r="KTV24" s="1280"/>
      <c r="KTW24" s="1280"/>
      <c r="KTX24" s="1280"/>
      <c r="KTY24" s="1280"/>
      <c r="KTZ24" s="1280"/>
      <c r="KUA24" s="1280"/>
      <c r="KUB24" s="1280"/>
      <c r="KUC24" s="1280"/>
      <c r="KUD24" s="1280"/>
      <c r="KUE24" s="1280"/>
      <c r="KUF24" s="1280"/>
      <c r="KUG24" s="1280"/>
      <c r="KUH24" s="1280"/>
      <c r="KUI24" s="1280"/>
      <c r="KUJ24" s="1280"/>
      <c r="KUK24" s="1280"/>
      <c r="KUL24" s="1280"/>
      <c r="KUM24" s="1280"/>
      <c r="KUN24" s="1280"/>
      <c r="KUO24" s="1280"/>
      <c r="KUP24" s="1280"/>
      <c r="KUQ24" s="1280"/>
      <c r="KUR24" s="1280"/>
      <c r="KUS24" s="1280"/>
      <c r="KUT24" s="1280"/>
      <c r="KUU24" s="1280"/>
      <c r="KUV24" s="1280"/>
      <c r="KUW24" s="1280"/>
      <c r="KUX24" s="1280"/>
      <c r="KUY24" s="1280"/>
      <c r="KUZ24" s="1280"/>
      <c r="KVA24" s="1280"/>
      <c r="KVB24" s="1280"/>
      <c r="KVC24" s="1280"/>
      <c r="KVD24" s="1280"/>
      <c r="KVE24" s="1280"/>
      <c r="KVF24" s="1280"/>
      <c r="KVG24" s="1280"/>
      <c r="KVH24" s="1280"/>
      <c r="KVI24" s="1280"/>
      <c r="KVJ24" s="1280"/>
      <c r="KVK24" s="1280"/>
      <c r="KVL24" s="1280"/>
      <c r="KVM24" s="1280"/>
      <c r="KVN24" s="1280"/>
      <c r="KVO24" s="1280"/>
      <c r="KVP24" s="1280"/>
      <c r="KVQ24" s="1280"/>
      <c r="KVR24" s="1280"/>
      <c r="KVS24" s="1280"/>
      <c r="KVT24" s="1280"/>
      <c r="KVU24" s="1280"/>
      <c r="KVV24" s="1280"/>
      <c r="KVW24" s="1280"/>
      <c r="KVX24" s="1280"/>
      <c r="KVY24" s="1280"/>
      <c r="KVZ24" s="1280"/>
      <c r="KWA24" s="1280"/>
      <c r="KWB24" s="1280"/>
      <c r="KWC24" s="1280"/>
      <c r="KWD24" s="1280"/>
      <c r="KWE24" s="1280"/>
      <c r="KWF24" s="1280"/>
      <c r="KWG24" s="1280"/>
      <c r="KWH24" s="1280"/>
      <c r="KWI24" s="1280"/>
      <c r="KWJ24" s="1280"/>
      <c r="KWK24" s="1280"/>
      <c r="KWL24" s="1280"/>
      <c r="KWM24" s="1280"/>
      <c r="KWN24" s="1280"/>
      <c r="KWO24" s="1280"/>
      <c r="KWP24" s="1280"/>
      <c r="KWQ24" s="1280"/>
      <c r="KWR24" s="1280"/>
      <c r="KWS24" s="1280"/>
      <c r="KWT24" s="1280"/>
      <c r="KWU24" s="1280"/>
      <c r="KWV24" s="1280"/>
      <c r="KWW24" s="1280"/>
      <c r="KWX24" s="1280"/>
      <c r="KWY24" s="1280"/>
      <c r="KWZ24" s="1280"/>
      <c r="KXA24" s="1280"/>
      <c r="KXB24" s="1280"/>
      <c r="KXC24" s="1280"/>
      <c r="KXD24" s="1280"/>
      <c r="KXE24" s="1280"/>
      <c r="KXF24" s="1280"/>
      <c r="KXG24" s="1280"/>
      <c r="KXH24" s="1280"/>
      <c r="KXI24" s="1280"/>
      <c r="KXJ24" s="1280"/>
      <c r="KXK24" s="1280"/>
      <c r="KXL24" s="1280"/>
      <c r="KXM24" s="1280"/>
      <c r="KXN24" s="1280"/>
      <c r="KXO24" s="1280"/>
      <c r="KXP24" s="1280"/>
      <c r="KXQ24" s="1280"/>
      <c r="KXR24" s="1280"/>
      <c r="KXS24" s="1280"/>
      <c r="KXT24" s="1280"/>
      <c r="KXU24" s="1280"/>
      <c r="KXV24" s="1280"/>
      <c r="KXW24" s="1280"/>
      <c r="KXX24" s="1280"/>
      <c r="KXY24" s="1280"/>
      <c r="KXZ24" s="1280"/>
      <c r="KYA24" s="1280"/>
      <c r="KYB24" s="1280"/>
      <c r="KYC24" s="1280"/>
      <c r="KYD24" s="1280"/>
      <c r="KYE24" s="1280"/>
      <c r="KYF24" s="1280"/>
      <c r="KYG24" s="1280"/>
      <c r="KYH24" s="1280"/>
      <c r="KYI24" s="1280"/>
      <c r="KYJ24" s="1280"/>
      <c r="KYK24" s="1280"/>
      <c r="KYL24" s="1280"/>
      <c r="KYM24" s="1280"/>
      <c r="KYN24" s="1280"/>
      <c r="KYO24" s="1280"/>
      <c r="KYP24" s="1280"/>
      <c r="KYQ24" s="1280"/>
      <c r="KYR24" s="1280"/>
      <c r="KYS24" s="1280"/>
      <c r="KYT24" s="1280"/>
      <c r="KYU24" s="1280"/>
      <c r="KYV24" s="1280"/>
      <c r="KYW24" s="1280"/>
      <c r="KYX24" s="1280"/>
      <c r="KYY24" s="1280"/>
      <c r="KYZ24" s="1280"/>
      <c r="KZA24" s="1280"/>
      <c r="KZB24" s="1280"/>
      <c r="KZC24" s="1280"/>
      <c r="KZD24" s="1280"/>
      <c r="KZE24" s="1280"/>
      <c r="KZF24" s="1280"/>
      <c r="KZG24" s="1280"/>
      <c r="KZH24" s="1280"/>
      <c r="KZI24" s="1280"/>
      <c r="KZJ24" s="1280"/>
      <c r="KZK24" s="1280"/>
      <c r="KZL24" s="1280"/>
      <c r="KZM24" s="1280"/>
      <c r="KZN24" s="1280"/>
      <c r="KZO24" s="1280"/>
      <c r="KZP24" s="1280"/>
      <c r="KZQ24" s="1280"/>
      <c r="KZR24" s="1280"/>
      <c r="KZS24" s="1280"/>
      <c r="KZT24" s="1280"/>
      <c r="KZU24" s="1280"/>
      <c r="KZV24" s="1280"/>
      <c r="KZW24" s="1280"/>
      <c r="KZX24" s="1280"/>
      <c r="KZY24" s="1280"/>
      <c r="KZZ24" s="1280"/>
      <c r="LAA24" s="1280"/>
      <c r="LAB24" s="1280"/>
      <c r="LAC24" s="1280"/>
      <c r="LAD24" s="1280"/>
      <c r="LAE24" s="1280"/>
      <c r="LAF24" s="1280"/>
      <c r="LAG24" s="1280"/>
      <c r="LAH24" s="1280"/>
      <c r="LAI24" s="1280"/>
      <c r="LAJ24" s="1280"/>
      <c r="LAK24" s="1280"/>
      <c r="LAL24" s="1280"/>
      <c r="LAM24" s="1280"/>
      <c r="LAN24" s="1280"/>
      <c r="LAO24" s="1280"/>
      <c r="LAP24" s="1280"/>
      <c r="LAQ24" s="1280"/>
      <c r="LAR24" s="1280"/>
      <c r="LAS24" s="1280"/>
      <c r="LAT24" s="1280"/>
      <c r="LAU24" s="1280"/>
      <c r="LAV24" s="1280"/>
      <c r="LAW24" s="1280"/>
      <c r="LAX24" s="1280"/>
      <c r="LAY24" s="1280"/>
      <c r="LAZ24" s="1280"/>
      <c r="LBA24" s="1280"/>
      <c r="LBB24" s="1280"/>
      <c r="LBC24" s="1280"/>
      <c r="LBD24" s="1280"/>
      <c r="LBE24" s="1280"/>
      <c r="LBF24" s="1280"/>
      <c r="LBG24" s="1280"/>
      <c r="LBH24" s="1280"/>
      <c r="LBI24" s="1280"/>
      <c r="LBJ24" s="1280"/>
      <c r="LBK24" s="1280"/>
      <c r="LBL24" s="1280"/>
      <c r="LBM24" s="1280"/>
      <c r="LBN24" s="1280"/>
      <c r="LBO24" s="1280"/>
      <c r="LBP24" s="1280"/>
      <c r="LBQ24" s="1280"/>
      <c r="LBR24" s="1280"/>
      <c r="LBS24" s="1280"/>
      <c r="LBT24" s="1280"/>
      <c r="LBU24" s="1280"/>
      <c r="LBV24" s="1280"/>
      <c r="LBW24" s="1280"/>
      <c r="LBX24" s="1280"/>
      <c r="LBY24" s="1280"/>
      <c r="LBZ24" s="1280"/>
      <c r="LCA24" s="1280"/>
      <c r="LCB24" s="1280"/>
      <c r="LCC24" s="1280"/>
      <c r="LCD24" s="1280"/>
      <c r="LCE24" s="1280"/>
      <c r="LCF24" s="1280"/>
      <c r="LCG24" s="1280"/>
      <c r="LCH24" s="1280"/>
      <c r="LCI24" s="1280"/>
      <c r="LCJ24" s="1280"/>
      <c r="LCK24" s="1280"/>
      <c r="LCL24" s="1280"/>
      <c r="LCM24" s="1280"/>
      <c r="LCN24" s="1280"/>
      <c r="LCO24" s="1280"/>
      <c r="LCP24" s="1280"/>
      <c r="LCQ24" s="1280"/>
      <c r="LCR24" s="1280"/>
      <c r="LCS24" s="1280"/>
      <c r="LCT24" s="1280"/>
      <c r="LCU24" s="1280"/>
      <c r="LCV24" s="1280"/>
      <c r="LCW24" s="1280"/>
      <c r="LCX24" s="1280"/>
      <c r="LCY24" s="1280"/>
      <c r="LCZ24" s="1280"/>
      <c r="LDA24" s="1280"/>
      <c r="LDB24" s="1280"/>
      <c r="LDC24" s="1280"/>
      <c r="LDD24" s="1280"/>
      <c r="LDE24" s="1280"/>
      <c r="LDF24" s="1280"/>
      <c r="LDG24" s="1280"/>
      <c r="LDH24" s="1280"/>
      <c r="LDI24" s="1280"/>
      <c r="LDJ24" s="1280"/>
      <c r="LDK24" s="1280"/>
      <c r="LDL24" s="1280"/>
      <c r="LDM24" s="1280"/>
      <c r="LDN24" s="1280"/>
      <c r="LDO24" s="1280"/>
      <c r="LDP24" s="1280"/>
      <c r="LDQ24" s="1280"/>
      <c r="LDR24" s="1280"/>
      <c r="LDS24" s="1280"/>
      <c r="LDT24" s="1280"/>
      <c r="LDU24" s="1280"/>
      <c r="LDV24" s="1280"/>
      <c r="LDW24" s="1280"/>
      <c r="LDX24" s="1280"/>
      <c r="LDY24" s="1280"/>
      <c r="LDZ24" s="1280"/>
      <c r="LEA24" s="1280"/>
      <c r="LEB24" s="1280"/>
      <c r="LEC24" s="1280"/>
      <c r="LED24" s="1280"/>
      <c r="LEE24" s="1280"/>
      <c r="LEF24" s="1280"/>
      <c r="LEG24" s="1280"/>
      <c r="LEH24" s="1280"/>
      <c r="LEI24" s="1280"/>
      <c r="LEJ24" s="1280"/>
      <c r="LEK24" s="1280"/>
      <c r="LEL24" s="1280"/>
      <c r="LEM24" s="1280"/>
      <c r="LEN24" s="1280"/>
      <c r="LEO24" s="1280"/>
      <c r="LEP24" s="1280"/>
      <c r="LEQ24" s="1280"/>
      <c r="LER24" s="1280"/>
      <c r="LES24" s="1280"/>
      <c r="LET24" s="1280"/>
      <c r="LEU24" s="1280"/>
      <c r="LEV24" s="1280"/>
      <c r="LEW24" s="1280"/>
      <c r="LEX24" s="1280"/>
      <c r="LEY24" s="1280"/>
      <c r="LEZ24" s="1280"/>
      <c r="LFA24" s="1280"/>
      <c r="LFB24" s="1280"/>
      <c r="LFC24" s="1280"/>
      <c r="LFD24" s="1280"/>
      <c r="LFE24" s="1280"/>
      <c r="LFF24" s="1280"/>
      <c r="LFG24" s="1280"/>
      <c r="LFH24" s="1280"/>
      <c r="LFI24" s="1280"/>
      <c r="LFJ24" s="1280"/>
      <c r="LFK24" s="1280"/>
      <c r="LFL24" s="1280"/>
      <c r="LFM24" s="1280"/>
      <c r="LFN24" s="1280"/>
      <c r="LFO24" s="1280"/>
      <c r="LFP24" s="1280"/>
      <c r="LFQ24" s="1280"/>
      <c r="LFR24" s="1280"/>
      <c r="LFS24" s="1280"/>
      <c r="LFT24" s="1280"/>
      <c r="LFU24" s="1280"/>
      <c r="LFV24" s="1280"/>
      <c r="LFW24" s="1280"/>
      <c r="LFX24" s="1280"/>
      <c r="LFY24" s="1280"/>
      <c r="LFZ24" s="1280"/>
      <c r="LGA24" s="1280"/>
      <c r="LGB24" s="1280"/>
      <c r="LGC24" s="1280"/>
      <c r="LGD24" s="1280"/>
      <c r="LGE24" s="1280"/>
      <c r="LGF24" s="1280"/>
      <c r="LGG24" s="1280"/>
      <c r="LGH24" s="1280"/>
      <c r="LGI24" s="1280"/>
      <c r="LGJ24" s="1280"/>
      <c r="LGK24" s="1280"/>
      <c r="LGL24" s="1280"/>
      <c r="LGM24" s="1280"/>
      <c r="LGN24" s="1280"/>
      <c r="LGO24" s="1280"/>
      <c r="LGP24" s="1280"/>
      <c r="LGQ24" s="1280"/>
      <c r="LGR24" s="1280"/>
      <c r="LGS24" s="1280"/>
      <c r="LGT24" s="1280"/>
      <c r="LGU24" s="1280"/>
      <c r="LGV24" s="1280"/>
      <c r="LGW24" s="1280"/>
      <c r="LGX24" s="1280"/>
      <c r="LGY24" s="1280"/>
      <c r="LGZ24" s="1280"/>
      <c r="LHA24" s="1280"/>
      <c r="LHB24" s="1280"/>
      <c r="LHC24" s="1280"/>
      <c r="LHD24" s="1280"/>
      <c r="LHE24" s="1280"/>
      <c r="LHF24" s="1280"/>
      <c r="LHG24" s="1280"/>
      <c r="LHH24" s="1280"/>
      <c r="LHI24" s="1280"/>
      <c r="LHJ24" s="1280"/>
      <c r="LHK24" s="1280"/>
      <c r="LHL24" s="1280"/>
      <c r="LHM24" s="1280"/>
      <c r="LHN24" s="1280"/>
      <c r="LHO24" s="1280"/>
      <c r="LHP24" s="1280"/>
      <c r="LHQ24" s="1280"/>
      <c r="LHR24" s="1280"/>
      <c r="LHS24" s="1280"/>
      <c r="LHT24" s="1280"/>
      <c r="LHU24" s="1280"/>
      <c r="LHV24" s="1280"/>
      <c r="LHW24" s="1280"/>
      <c r="LHX24" s="1280"/>
      <c r="LHY24" s="1280"/>
      <c r="LHZ24" s="1280"/>
      <c r="LIA24" s="1280"/>
      <c r="LIB24" s="1280"/>
      <c r="LIC24" s="1280"/>
      <c r="LID24" s="1280"/>
      <c r="LIE24" s="1280"/>
      <c r="LIF24" s="1280"/>
      <c r="LIG24" s="1280"/>
      <c r="LIH24" s="1280"/>
      <c r="LII24" s="1280"/>
      <c r="LIJ24" s="1280"/>
      <c r="LIK24" s="1280"/>
      <c r="LIL24" s="1280"/>
      <c r="LIM24" s="1280"/>
      <c r="LIN24" s="1280"/>
      <c r="LIO24" s="1280"/>
      <c r="LIP24" s="1280"/>
      <c r="LIQ24" s="1280"/>
      <c r="LIR24" s="1280"/>
      <c r="LIS24" s="1280"/>
      <c r="LIT24" s="1280"/>
      <c r="LIU24" s="1280"/>
      <c r="LIV24" s="1280"/>
      <c r="LIW24" s="1280"/>
      <c r="LIX24" s="1280"/>
      <c r="LIY24" s="1280"/>
      <c r="LIZ24" s="1280"/>
      <c r="LJA24" s="1280"/>
      <c r="LJB24" s="1280"/>
      <c r="LJC24" s="1280"/>
      <c r="LJD24" s="1280"/>
      <c r="LJE24" s="1280"/>
      <c r="LJF24" s="1280"/>
      <c r="LJG24" s="1280"/>
      <c r="LJH24" s="1280"/>
      <c r="LJI24" s="1280"/>
      <c r="LJJ24" s="1280"/>
      <c r="LJK24" s="1280"/>
      <c r="LJL24" s="1280"/>
      <c r="LJM24" s="1280"/>
      <c r="LJN24" s="1280"/>
      <c r="LJO24" s="1280"/>
      <c r="LJP24" s="1280"/>
      <c r="LJQ24" s="1280"/>
      <c r="LJR24" s="1280"/>
      <c r="LJS24" s="1280"/>
      <c r="LJT24" s="1280"/>
      <c r="LJU24" s="1280"/>
      <c r="LJV24" s="1280"/>
      <c r="LJW24" s="1280"/>
      <c r="LJX24" s="1280"/>
      <c r="LJY24" s="1280"/>
      <c r="LJZ24" s="1280"/>
      <c r="LKA24" s="1280"/>
      <c r="LKB24" s="1280"/>
      <c r="LKC24" s="1280"/>
      <c r="LKD24" s="1280"/>
      <c r="LKE24" s="1280"/>
      <c r="LKF24" s="1280"/>
      <c r="LKG24" s="1280"/>
      <c r="LKH24" s="1280"/>
      <c r="LKI24" s="1280"/>
      <c r="LKJ24" s="1280"/>
      <c r="LKK24" s="1280"/>
      <c r="LKL24" s="1280"/>
      <c r="LKM24" s="1280"/>
      <c r="LKN24" s="1280"/>
      <c r="LKO24" s="1280"/>
      <c r="LKP24" s="1280"/>
      <c r="LKQ24" s="1280"/>
      <c r="LKR24" s="1280"/>
      <c r="LKS24" s="1280"/>
      <c r="LKT24" s="1280"/>
      <c r="LKU24" s="1280"/>
      <c r="LKV24" s="1280"/>
      <c r="LKW24" s="1280"/>
      <c r="LKX24" s="1280"/>
      <c r="LKY24" s="1280"/>
      <c r="LKZ24" s="1280"/>
      <c r="LLA24" s="1280"/>
      <c r="LLB24" s="1280"/>
      <c r="LLC24" s="1280"/>
      <c r="LLD24" s="1280"/>
      <c r="LLE24" s="1280"/>
      <c r="LLF24" s="1280"/>
      <c r="LLG24" s="1280"/>
      <c r="LLH24" s="1280"/>
      <c r="LLI24" s="1280"/>
      <c r="LLJ24" s="1280"/>
      <c r="LLK24" s="1280"/>
      <c r="LLL24" s="1280"/>
      <c r="LLM24" s="1280"/>
      <c r="LLN24" s="1280"/>
      <c r="LLO24" s="1280"/>
      <c r="LLP24" s="1280"/>
      <c r="LLQ24" s="1280"/>
      <c r="LLR24" s="1280"/>
      <c r="LLS24" s="1280"/>
      <c r="LLT24" s="1280"/>
      <c r="LLU24" s="1280"/>
      <c r="LLV24" s="1280"/>
      <c r="LLW24" s="1280"/>
      <c r="LLX24" s="1280"/>
      <c r="LLY24" s="1280"/>
      <c r="LLZ24" s="1280"/>
      <c r="LMA24" s="1280"/>
      <c r="LMB24" s="1280"/>
      <c r="LMC24" s="1280"/>
      <c r="LMD24" s="1280"/>
      <c r="LME24" s="1280"/>
      <c r="LMF24" s="1280"/>
      <c r="LMG24" s="1280"/>
      <c r="LMH24" s="1280"/>
      <c r="LMI24" s="1280"/>
      <c r="LMJ24" s="1280"/>
      <c r="LMK24" s="1280"/>
      <c r="LML24" s="1280"/>
      <c r="LMM24" s="1280"/>
      <c r="LMN24" s="1280"/>
      <c r="LMO24" s="1280"/>
      <c r="LMP24" s="1280"/>
      <c r="LMQ24" s="1280"/>
      <c r="LMR24" s="1280"/>
      <c r="LMS24" s="1280"/>
      <c r="LMT24" s="1280"/>
      <c r="LMU24" s="1280"/>
      <c r="LMV24" s="1280"/>
      <c r="LMW24" s="1280"/>
      <c r="LMX24" s="1280"/>
      <c r="LMY24" s="1280"/>
      <c r="LMZ24" s="1280"/>
      <c r="LNA24" s="1280"/>
      <c r="LNB24" s="1280"/>
      <c r="LNC24" s="1280"/>
      <c r="LND24" s="1280"/>
      <c r="LNE24" s="1280"/>
      <c r="LNF24" s="1280"/>
      <c r="LNG24" s="1280"/>
      <c r="LNH24" s="1280"/>
      <c r="LNI24" s="1280"/>
      <c r="LNJ24" s="1280"/>
      <c r="LNK24" s="1280"/>
      <c r="LNL24" s="1280"/>
      <c r="LNM24" s="1280"/>
      <c r="LNN24" s="1280"/>
      <c r="LNO24" s="1280"/>
      <c r="LNP24" s="1280"/>
      <c r="LNQ24" s="1280"/>
      <c r="LNR24" s="1280"/>
      <c r="LNS24" s="1280"/>
      <c r="LNT24" s="1280"/>
      <c r="LNU24" s="1280"/>
      <c r="LNV24" s="1280"/>
      <c r="LNW24" s="1280"/>
      <c r="LNX24" s="1280"/>
      <c r="LNY24" s="1280"/>
      <c r="LNZ24" s="1280"/>
      <c r="LOA24" s="1280"/>
      <c r="LOB24" s="1280"/>
      <c r="LOC24" s="1280"/>
      <c r="LOD24" s="1280"/>
      <c r="LOE24" s="1280"/>
      <c r="LOF24" s="1280"/>
      <c r="LOG24" s="1280"/>
      <c r="LOH24" s="1280"/>
      <c r="LOI24" s="1280"/>
      <c r="LOJ24" s="1280"/>
      <c r="LOK24" s="1280"/>
      <c r="LOL24" s="1280"/>
      <c r="LOM24" s="1280"/>
      <c r="LON24" s="1280"/>
      <c r="LOO24" s="1280"/>
      <c r="LOP24" s="1280"/>
      <c r="LOQ24" s="1280"/>
      <c r="LOR24" s="1280"/>
      <c r="LOS24" s="1280"/>
      <c r="LOT24" s="1280"/>
      <c r="LOU24" s="1280"/>
      <c r="LOV24" s="1280"/>
      <c r="LOW24" s="1280"/>
      <c r="LOX24" s="1280"/>
      <c r="LOY24" s="1280"/>
      <c r="LOZ24" s="1280"/>
      <c r="LPA24" s="1280"/>
      <c r="LPB24" s="1280"/>
      <c r="LPC24" s="1280"/>
      <c r="LPD24" s="1280"/>
      <c r="LPE24" s="1280"/>
      <c r="LPF24" s="1280"/>
      <c r="LPG24" s="1280"/>
      <c r="LPH24" s="1280"/>
      <c r="LPI24" s="1280"/>
      <c r="LPJ24" s="1280"/>
      <c r="LPK24" s="1280"/>
      <c r="LPL24" s="1280"/>
      <c r="LPM24" s="1280"/>
      <c r="LPN24" s="1280"/>
      <c r="LPO24" s="1280"/>
      <c r="LPP24" s="1280"/>
      <c r="LPQ24" s="1280"/>
      <c r="LPR24" s="1280"/>
      <c r="LPS24" s="1280"/>
      <c r="LPT24" s="1280"/>
      <c r="LPU24" s="1280"/>
      <c r="LPV24" s="1280"/>
      <c r="LPW24" s="1280"/>
      <c r="LPX24" s="1280"/>
      <c r="LPY24" s="1280"/>
      <c r="LPZ24" s="1280"/>
      <c r="LQA24" s="1280"/>
      <c r="LQB24" s="1280"/>
      <c r="LQC24" s="1280"/>
      <c r="LQD24" s="1280"/>
      <c r="LQE24" s="1280"/>
      <c r="LQF24" s="1280"/>
      <c r="LQG24" s="1280"/>
      <c r="LQH24" s="1280"/>
      <c r="LQI24" s="1280"/>
      <c r="LQJ24" s="1280"/>
      <c r="LQK24" s="1280"/>
      <c r="LQL24" s="1280"/>
      <c r="LQM24" s="1280"/>
      <c r="LQN24" s="1280"/>
      <c r="LQO24" s="1280"/>
      <c r="LQP24" s="1280"/>
      <c r="LQQ24" s="1280"/>
      <c r="LQR24" s="1280"/>
      <c r="LQS24" s="1280"/>
      <c r="LQT24" s="1280"/>
      <c r="LQU24" s="1280"/>
      <c r="LQV24" s="1280"/>
      <c r="LQW24" s="1280"/>
      <c r="LQX24" s="1280"/>
      <c r="LQY24" s="1280"/>
      <c r="LQZ24" s="1280"/>
      <c r="LRA24" s="1280"/>
      <c r="LRB24" s="1280"/>
      <c r="LRC24" s="1280"/>
      <c r="LRD24" s="1280"/>
      <c r="LRE24" s="1280"/>
      <c r="LRF24" s="1280"/>
      <c r="LRG24" s="1280"/>
      <c r="LRH24" s="1280"/>
      <c r="LRI24" s="1280"/>
      <c r="LRJ24" s="1280"/>
      <c r="LRK24" s="1280"/>
      <c r="LRL24" s="1280"/>
      <c r="LRM24" s="1280"/>
      <c r="LRN24" s="1280"/>
      <c r="LRO24" s="1280"/>
      <c r="LRP24" s="1280"/>
      <c r="LRQ24" s="1280"/>
      <c r="LRR24" s="1280"/>
      <c r="LRS24" s="1280"/>
      <c r="LRT24" s="1280"/>
      <c r="LRU24" s="1280"/>
      <c r="LRV24" s="1280"/>
      <c r="LRW24" s="1280"/>
      <c r="LRX24" s="1280"/>
      <c r="LRY24" s="1280"/>
      <c r="LRZ24" s="1280"/>
      <c r="LSA24" s="1280"/>
      <c r="LSB24" s="1280"/>
      <c r="LSC24" s="1280"/>
      <c r="LSD24" s="1280"/>
      <c r="LSE24" s="1280"/>
      <c r="LSF24" s="1280"/>
      <c r="LSG24" s="1280"/>
      <c r="LSH24" s="1280"/>
      <c r="LSI24" s="1280"/>
      <c r="LSJ24" s="1280"/>
      <c r="LSK24" s="1280"/>
      <c r="LSL24" s="1280"/>
      <c r="LSM24" s="1280"/>
      <c r="LSN24" s="1280"/>
      <c r="LSO24" s="1280"/>
      <c r="LSP24" s="1280"/>
      <c r="LSQ24" s="1280"/>
      <c r="LSR24" s="1280"/>
      <c r="LSS24" s="1280"/>
      <c r="LST24" s="1280"/>
      <c r="LSU24" s="1280"/>
      <c r="LSV24" s="1280"/>
      <c r="LSW24" s="1280"/>
      <c r="LSX24" s="1280"/>
      <c r="LSY24" s="1280"/>
      <c r="LSZ24" s="1280"/>
      <c r="LTA24" s="1280"/>
      <c r="LTB24" s="1280"/>
      <c r="LTC24" s="1280"/>
      <c r="LTD24" s="1280"/>
      <c r="LTE24" s="1280"/>
      <c r="LTF24" s="1280"/>
      <c r="LTG24" s="1280"/>
      <c r="LTH24" s="1280"/>
      <c r="LTI24" s="1280"/>
      <c r="LTJ24" s="1280"/>
      <c r="LTK24" s="1280"/>
      <c r="LTL24" s="1280"/>
      <c r="LTM24" s="1280"/>
      <c r="LTN24" s="1280"/>
      <c r="LTO24" s="1280"/>
      <c r="LTP24" s="1280"/>
      <c r="LTQ24" s="1280"/>
      <c r="LTR24" s="1280"/>
      <c r="LTS24" s="1280"/>
      <c r="LTT24" s="1280"/>
      <c r="LTU24" s="1280"/>
      <c r="LTV24" s="1280"/>
      <c r="LTW24" s="1280"/>
      <c r="LTX24" s="1280"/>
      <c r="LTY24" s="1280"/>
      <c r="LTZ24" s="1280"/>
      <c r="LUA24" s="1280"/>
      <c r="LUB24" s="1280"/>
      <c r="LUC24" s="1280"/>
      <c r="LUD24" s="1280"/>
      <c r="LUE24" s="1280"/>
      <c r="LUF24" s="1280"/>
      <c r="LUG24" s="1280"/>
      <c r="LUH24" s="1280"/>
      <c r="LUI24" s="1280"/>
      <c r="LUJ24" s="1280"/>
      <c r="LUK24" s="1280"/>
      <c r="LUL24" s="1280"/>
      <c r="LUM24" s="1280"/>
      <c r="LUN24" s="1280"/>
      <c r="LUO24" s="1280"/>
      <c r="LUP24" s="1280"/>
      <c r="LUQ24" s="1280"/>
      <c r="LUR24" s="1280"/>
      <c r="LUS24" s="1280"/>
      <c r="LUT24" s="1280"/>
      <c r="LUU24" s="1280"/>
      <c r="LUV24" s="1280"/>
      <c r="LUW24" s="1280"/>
      <c r="LUX24" s="1280"/>
      <c r="LUY24" s="1280"/>
      <c r="LUZ24" s="1280"/>
      <c r="LVA24" s="1280"/>
      <c r="LVB24" s="1280"/>
      <c r="LVC24" s="1280"/>
      <c r="LVD24" s="1280"/>
      <c r="LVE24" s="1280"/>
      <c r="LVF24" s="1280"/>
      <c r="LVG24" s="1280"/>
      <c r="LVH24" s="1280"/>
      <c r="LVI24" s="1280"/>
      <c r="LVJ24" s="1280"/>
      <c r="LVK24" s="1280"/>
      <c r="LVL24" s="1280"/>
      <c r="LVM24" s="1280"/>
      <c r="LVN24" s="1280"/>
      <c r="LVO24" s="1280"/>
      <c r="LVP24" s="1280"/>
      <c r="LVQ24" s="1280"/>
      <c r="LVR24" s="1280"/>
      <c r="LVS24" s="1280"/>
      <c r="LVT24" s="1280"/>
      <c r="LVU24" s="1280"/>
      <c r="LVV24" s="1280"/>
      <c r="LVW24" s="1280"/>
      <c r="LVX24" s="1280"/>
      <c r="LVY24" s="1280"/>
      <c r="LVZ24" s="1280"/>
      <c r="LWA24" s="1280"/>
      <c r="LWB24" s="1280"/>
      <c r="LWC24" s="1280"/>
      <c r="LWD24" s="1280"/>
      <c r="LWE24" s="1280"/>
      <c r="LWF24" s="1280"/>
      <c r="LWG24" s="1280"/>
      <c r="LWH24" s="1280"/>
      <c r="LWI24" s="1280"/>
      <c r="LWJ24" s="1280"/>
      <c r="LWK24" s="1280"/>
      <c r="LWL24" s="1280"/>
      <c r="LWM24" s="1280"/>
      <c r="LWN24" s="1280"/>
      <c r="LWO24" s="1280"/>
      <c r="LWP24" s="1280"/>
      <c r="LWQ24" s="1280"/>
      <c r="LWR24" s="1280"/>
      <c r="LWS24" s="1280"/>
      <c r="LWT24" s="1280"/>
      <c r="LWU24" s="1280"/>
      <c r="LWV24" s="1280"/>
      <c r="LWW24" s="1280"/>
      <c r="LWX24" s="1280"/>
      <c r="LWY24" s="1280"/>
      <c r="LWZ24" s="1280"/>
      <c r="LXA24" s="1280"/>
      <c r="LXB24" s="1280"/>
      <c r="LXC24" s="1280"/>
      <c r="LXD24" s="1280"/>
      <c r="LXE24" s="1280"/>
      <c r="LXF24" s="1280"/>
      <c r="LXG24" s="1280"/>
      <c r="LXH24" s="1280"/>
      <c r="LXI24" s="1280"/>
      <c r="LXJ24" s="1280"/>
      <c r="LXK24" s="1280"/>
      <c r="LXL24" s="1280"/>
      <c r="LXM24" s="1280"/>
      <c r="LXN24" s="1280"/>
      <c r="LXO24" s="1280"/>
      <c r="LXP24" s="1280"/>
      <c r="LXQ24" s="1280"/>
      <c r="LXR24" s="1280"/>
      <c r="LXS24" s="1280"/>
      <c r="LXT24" s="1280"/>
      <c r="LXU24" s="1280"/>
      <c r="LXV24" s="1280"/>
      <c r="LXW24" s="1280"/>
      <c r="LXX24" s="1280"/>
      <c r="LXY24" s="1280"/>
      <c r="LXZ24" s="1280"/>
      <c r="LYA24" s="1280"/>
      <c r="LYB24" s="1280"/>
      <c r="LYC24" s="1280"/>
      <c r="LYD24" s="1280"/>
      <c r="LYE24" s="1280"/>
      <c r="LYF24" s="1280"/>
      <c r="LYG24" s="1280"/>
      <c r="LYH24" s="1280"/>
      <c r="LYI24" s="1280"/>
      <c r="LYJ24" s="1280"/>
      <c r="LYK24" s="1280"/>
      <c r="LYL24" s="1280"/>
      <c r="LYM24" s="1280"/>
      <c r="LYN24" s="1280"/>
      <c r="LYO24" s="1280"/>
      <c r="LYP24" s="1280"/>
      <c r="LYQ24" s="1280"/>
      <c r="LYR24" s="1280"/>
      <c r="LYS24" s="1280"/>
      <c r="LYT24" s="1280"/>
      <c r="LYU24" s="1280"/>
      <c r="LYV24" s="1280"/>
      <c r="LYW24" s="1280"/>
      <c r="LYX24" s="1280"/>
      <c r="LYY24" s="1280"/>
      <c r="LYZ24" s="1280"/>
      <c r="LZA24" s="1280"/>
      <c r="LZB24" s="1280"/>
      <c r="LZC24" s="1280"/>
      <c r="LZD24" s="1280"/>
      <c r="LZE24" s="1280"/>
      <c r="LZF24" s="1280"/>
      <c r="LZG24" s="1280"/>
      <c r="LZH24" s="1280"/>
      <c r="LZI24" s="1280"/>
      <c r="LZJ24" s="1280"/>
      <c r="LZK24" s="1280"/>
      <c r="LZL24" s="1280"/>
      <c r="LZM24" s="1280"/>
      <c r="LZN24" s="1280"/>
      <c r="LZO24" s="1280"/>
      <c r="LZP24" s="1280"/>
      <c r="LZQ24" s="1280"/>
      <c r="LZR24" s="1280"/>
      <c r="LZS24" s="1280"/>
      <c r="LZT24" s="1280"/>
      <c r="LZU24" s="1280"/>
      <c r="LZV24" s="1280"/>
      <c r="LZW24" s="1280"/>
      <c r="LZX24" s="1280"/>
      <c r="LZY24" s="1280"/>
      <c r="LZZ24" s="1280"/>
      <c r="MAA24" s="1280"/>
      <c r="MAB24" s="1280"/>
      <c r="MAC24" s="1280"/>
      <c r="MAD24" s="1280"/>
      <c r="MAE24" s="1280"/>
      <c r="MAF24" s="1280"/>
      <c r="MAG24" s="1280"/>
      <c r="MAH24" s="1280"/>
      <c r="MAI24" s="1280"/>
      <c r="MAJ24" s="1280"/>
      <c r="MAK24" s="1280"/>
      <c r="MAL24" s="1280"/>
      <c r="MAM24" s="1280"/>
      <c r="MAN24" s="1280"/>
      <c r="MAO24" s="1280"/>
      <c r="MAP24" s="1280"/>
      <c r="MAQ24" s="1280"/>
      <c r="MAR24" s="1280"/>
      <c r="MAS24" s="1280"/>
      <c r="MAT24" s="1280"/>
      <c r="MAU24" s="1280"/>
      <c r="MAV24" s="1280"/>
      <c r="MAW24" s="1280"/>
      <c r="MAX24" s="1280"/>
      <c r="MAY24" s="1280"/>
      <c r="MAZ24" s="1280"/>
      <c r="MBA24" s="1280"/>
      <c r="MBB24" s="1280"/>
      <c r="MBC24" s="1280"/>
      <c r="MBD24" s="1280"/>
      <c r="MBE24" s="1280"/>
      <c r="MBF24" s="1280"/>
      <c r="MBG24" s="1280"/>
      <c r="MBH24" s="1280"/>
      <c r="MBI24" s="1280"/>
      <c r="MBJ24" s="1280"/>
      <c r="MBK24" s="1280"/>
      <c r="MBL24" s="1280"/>
      <c r="MBM24" s="1280"/>
      <c r="MBN24" s="1280"/>
      <c r="MBO24" s="1280"/>
      <c r="MBP24" s="1280"/>
      <c r="MBQ24" s="1280"/>
      <c r="MBR24" s="1280"/>
      <c r="MBS24" s="1280"/>
      <c r="MBT24" s="1280"/>
      <c r="MBU24" s="1280"/>
      <c r="MBV24" s="1280"/>
      <c r="MBW24" s="1280"/>
      <c r="MBX24" s="1280"/>
      <c r="MBY24" s="1280"/>
      <c r="MBZ24" s="1280"/>
      <c r="MCA24" s="1280"/>
      <c r="MCB24" s="1280"/>
      <c r="MCC24" s="1280"/>
      <c r="MCD24" s="1280"/>
      <c r="MCE24" s="1280"/>
      <c r="MCF24" s="1280"/>
      <c r="MCG24" s="1280"/>
      <c r="MCH24" s="1280"/>
      <c r="MCI24" s="1280"/>
      <c r="MCJ24" s="1280"/>
      <c r="MCK24" s="1280"/>
      <c r="MCL24" s="1280"/>
      <c r="MCM24" s="1280"/>
      <c r="MCN24" s="1280"/>
      <c r="MCO24" s="1280"/>
      <c r="MCP24" s="1280"/>
      <c r="MCQ24" s="1280"/>
      <c r="MCR24" s="1280"/>
      <c r="MCS24" s="1280"/>
      <c r="MCT24" s="1280"/>
      <c r="MCU24" s="1280"/>
      <c r="MCV24" s="1280"/>
      <c r="MCW24" s="1280"/>
      <c r="MCX24" s="1280"/>
      <c r="MCY24" s="1280"/>
      <c r="MCZ24" s="1280"/>
      <c r="MDA24" s="1280"/>
      <c r="MDB24" s="1280"/>
      <c r="MDC24" s="1280"/>
      <c r="MDD24" s="1280"/>
      <c r="MDE24" s="1280"/>
      <c r="MDF24" s="1280"/>
      <c r="MDG24" s="1280"/>
      <c r="MDH24" s="1280"/>
      <c r="MDI24" s="1280"/>
      <c r="MDJ24" s="1280"/>
      <c r="MDK24" s="1280"/>
      <c r="MDL24" s="1280"/>
      <c r="MDM24" s="1280"/>
      <c r="MDN24" s="1280"/>
      <c r="MDO24" s="1280"/>
      <c r="MDP24" s="1280"/>
      <c r="MDQ24" s="1280"/>
      <c r="MDR24" s="1280"/>
      <c r="MDS24" s="1280"/>
      <c r="MDT24" s="1280"/>
      <c r="MDU24" s="1280"/>
      <c r="MDV24" s="1280"/>
      <c r="MDW24" s="1280"/>
      <c r="MDX24" s="1280"/>
      <c r="MDY24" s="1280"/>
      <c r="MDZ24" s="1280"/>
      <c r="MEA24" s="1280"/>
      <c r="MEB24" s="1280"/>
      <c r="MEC24" s="1280"/>
      <c r="MED24" s="1280"/>
      <c r="MEE24" s="1280"/>
      <c r="MEF24" s="1280"/>
      <c r="MEG24" s="1280"/>
      <c r="MEH24" s="1280"/>
      <c r="MEI24" s="1280"/>
      <c r="MEJ24" s="1280"/>
      <c r="MEK24" s="1280"/>
      <c r="MEL24" s="1280"/>
      <c r="MEM24" s="1280"/>
      <c r="MEN24" s="1280"/>
      <c r="MEO24" s="1280"/>
      <c r="MEP24" s="1280"/>
      <c r="MEQ24" s="1280"/>
      <c r="MER24" s="1280"/>
      <c r="MES24" s="1280"/>
      <c r="MET24" s="1280"/>
      <c r="MEU24" s="1280"/>
      <c r="MEV24" s="1280"/>
      <c r="MEW24" s="1280"/>
      <c r="MEX24" s="1280"/>
      <c r="MEY24" s="1280"/>
      <c r="MEZ24" s="1280"/>
      <c r="MFA24" s="1280"/>
      <c r="MFB24" s="1280"/>
      <c r="MFC24" s="1280"/>
      <c r="MFD24" s="1280"/>
      <c r="MFE24" s="1280"/>
      <c r="MFF24" s="1280"/>
      <c r="MFG24" s="1280"/>
      <c r="MFH24" s="1280"/>
      <c r="MFI24" s="1280"/>
      <c r="MFJ24" s="1280"/>
      <c r="MFK24" s="1280"/>
      <c r="MFL24" s="1280"/>
      <c r="MFM24" s="1280"/>
      <c r="MFN24" s="1280"/>
      <c r="MFO24" s="1280"/>
      <c r="MFP24" s="1280"/>
      <c r="MFQ24" s="1280"/>
      <c r="MFR24" s="1280"/>
      <c r="MFS24" s="1280"/>
      <c r="MFT24" s="1280"/>
      <c r="MFU24" s="1280"/>
      <c r="MFV24" s="1280"/>
      <c r="MFW24" s="1280"/>
      <c r="MFX24" s="1280"/>
      <c r="MFY24" s="1280"/>
      <c r="MFZ24" s="1280"/>
      <c r="MGA24" s="1280"/>
      <c r="MGB24" s="1280"/>
      <c r="MGC24" s="1280"/>
      <c r="MGD24" s="1280"/>
      <c r="MGE24" s="1280"/>
      <c r="MGF24" s="1280"/>
      <c r="MGG24" s="1280"/>
      <c r="MGH24" s="1280"/>
      <c r="MGI24" s="1280"/>
      <c r="MGJ24" s="1280"/>
      <c r="MGK24" s="1280"/>
      <c r="MGL24" s="1280"/>
      <c r="MGM24" s="1280"/>
      <c r="MGN24" s="1280"/>
      <c r="MGO24" s="1280"/>
      <c r="MGP24" s="1280"/>
      <c r="MGQ24" s="1280"/>
      <c r="MGR24" s="1280"/>
      <c r="MGS24" s="1280"/>
      <c r="MGT24" s="1280"/>
      <c r="MGU24" s="1280"/>
      <c r="MGV24" s="1280"/>
      <c r="MGW24" s="1280"/>
      <c r="MGX24" s="1280"/>
      <c r="MGY24" s="1280"/>
      <c r="MGZ24" s="1280"/>
      <c r="MHA24" s="1280"/>
      <c r="MHB24" s="1280"/>
      <c r="MHC24" s="1280"/>
      <c r="MHD24" s="1280"/>
      <c r="MHE24" s="1280"/>
      <c r="MHF24" s="1280"/>
      <c r="MHG24" s="1280"/>
      <c r="MHH24" s="1280"/>
      <c r="MHI24" s="1280"/>
      <c r="MHJ24" s="1280"/>
      <c r="MHK24" s="1280"/>
      <c r="MHL24" s="1280"/>
      <c r="MHM24" s="1280"/>
      <c r="MHN24" s="1280"/>
      <c r="MHO24" s="1280"/>
      <c r="MHP24" s="1280"/>
      <c r="MHQ24" s="1280"/>
      <c r="MHR24" s="1280"/>
      <c r="MHS24" s="1280"/>
      <c r="MHT24" s="1280"/>
      <c r="MHU24" s="1280"/>
      <c r="MHV24" s="1280"/>
      <c r="MHW24" s="1280"/>
      <c r="MHX24" s="1280"/>
      <c r="MHY24" s="1280"/>
      <c r="MHZ24" s="1280"/>
      <c r="MIA24" s="1280"/>
      <c r="MIB24" s="1280"/>
      <c r="MIC24" s="1280"/>
      <c r="MID24" s="1280"/>
      <c r="MIE24" s="1280"/>
      <c r="MIF24" s="1280"/>
      <c r="MIG24" s="1280"/>
      <c r="MIH24" s="1280"/>
      <c r="MII24" s="1280"/>
      <c r="MIJ24" s="1280"/>
      <c r="MIK24" s="1280"/>
      <c r="MIL24" s="1280"/>
      <c r="MIM24" s="1280"/>
      <c r="MIN24" s="1280"/>
      <c r="MIO24" s="1280"/>
      <c r="MIP24" s="1280"/>
      <c r="MIQ24" s="1280"/>
      <c r="MIR24" s="1280"/>
      <c r="MIS24" s="1280"/>
      <c r="MIT24" s="1280"/>
      <c r="MIU24" s="1280"/>
      <c r="MIV24" s="1280"/>
      <c r="MIW24" s="1280"/>
      <c r="MIX24" s="1280"/>
      <c r="MIY24" s="1280"/>
      <c r="MIZ24" s="1280"/>
      <c r="MJA24" s="1280"/>
      <c r="MJB24" s="1280"/>
      <c r="MJC24" s="1280"/>
      <c r="MJD24" s="1280"/>
      <c r="MJE24" s="1280"/>
      <c r="MJF24" s="1280"/>
      <c r="MJG24" s="1280"/>
      <c r="MJH24" s="1280"/>
      <c r="MJI24" s="1280"/>
      <c r="MJJ24" s="1280"/>
      <c r="MJK24" s="1280"/>
      <c r="MJL24" s="1280"/>
      <c r="MJM24" s="1280"/>
      <c r="MJN24" s="1280"/>
      <c r="MJO24" s="1280"/>
      <c r="MJP24" s="1280"/>
      <c r="MJQ24" s="1280"/>
      <c r="MJR24" s="1280"/>
      <c r="MJS24" s="1280"/>
      <c r="MJT24" s="1280"/>
      <c r="MJU24" s="1280"/>
      <c r="MJV24" s="1280"/>
      <c r="MJW24" s="1280"/>
      <c r="MJX24" s="1280"/>
      <c r="MJY24" s="1280"/>
      <c r="MJZ24" s="1280"/>
      <c r="MKA24" s="1280"/>
      <c r="MKB24" s="1280"/>
      <c r="MKC24" s="1280"/>
      <c r="MKD24" s="1280"/>
      <c r="MKE24" s="1280"/>
      <c r="MKF24" s="1280"/>
      <c r="MKG24" s="1280"/>
      <c r="MKH24" s="1280"/>
      <c r="MKI24" s="1280"/>
      <c r="MKJ24" s="1280"/>
      <c r="MKK24" s="1280"/>
      <c r="MKL24" s="1280"/>
      <c r="MKM24" s="1280"/>
      <c r="MKN24" s="1280"/>
      <c r="MKO24" s="1280"/>
      <c r="MKP24" s="1280"/>
      <c r="MKQ24" s="1280"/>
      <c r="MKR24" s="1280"/>
      <c r="MKS24" s="1280"/>
      <c r="MKT24" s="1280"/>
      <c r="MKU24" s="1280"/>
      <c r="MKV24" s="1280"/>
      <c r="MKW24" s="1280"/>
      <c r="MKX24" s="1280"/>
      <c r="MKY24" s="1280"/>
      <c r="MKZ24" s="1280"/>
      <c r="MLA24" s="1280"/>
      <c r="MLB24" s="1280"/>
      <c r="MLC24" s="1280"/>
      <c r="MLD24" s="1280"/>
      <c r="MLE24" s="1280"/>
      <c r="MLF24" s="1280"/>
      <c r="MLG24" s="1280"/>
      <c r="MLH24" s="1280"/>
      <c r="MLI24" s="1280"/>
      <c r="MLJ24" s="1280"/>
      <c r="MLK24" s="1280"/>
      <c r="MLL24" s="1280"/>
      <c r="MLM24" s="1280"/>
      <c r="MLN24" s="1280"/>
      <c r="MLO24" s="1280"/>
      <c r="MLP24" s="1280"/>
      <c r="MLQ24" s="1280"/>
      <c r="MLR24" s="1280"/>
      <c r="MLS24" s="1280"/>
      <c r="MLT24" s="1280"/>
      <c r="MLU24" s="1280"/>
      <c r="MLV24" s="1280"/>
      <c r="MLW24" s="1280"/>
      <c r="MLX24" s="1280"/>
      <c r="MLY24" s="1280"/>
      <c r="MLZ24" s="1280"/>
      <c r="MMA24" s="1280"/>
      <c r="MMB24" s="1280"/>
      <c r="MMC24" s="1280"/>
      <c r="MMD24" s="1280"/>
      <c r="MME24" s="1280"/>
      <c r="MMF24" s="1280"/>
      <c r="MMG24" s="1280"/>
      <c r="MMH24" s="1280"/>
      <c r="MMI24" s="1280"/>
      <c r="MMJ24" s="1280"/>
      <c r="MMK24" s="1280"/>
      <c r="MML24" s="1280"/>
      <c r="MMM24" s="1280"/>
      <c r="MMN24" s="1280"/>
      <c r="MMO24" s="1280"/>
      <c r="MMP24" s="1280"/>
      <c r="MMQ24" s="1280"/>
      <c r="MMR24" s="1280"/>
      <c r="MMS24" s="1280"/>
      <c r="MMT24" s="1280"/>
      <c r="MMU24" s="1280"/>
      <c r="MMV24" s="1280"/>
      <c r="MMW24" s="1280"/>
      <c r="MMX24" s="1280"/>
      <c r="MMY24" s="1280"/>
      <c r="MMZ24" s="1280"/>
      <c r="MNA24" s="1280"/>
      <c r="MNB24" s="1280"/>
      <c r="MNC24" s="1280"/>
      <c r="MND24" s="1280"/>
      <c r="MNE24" s="1280"/>
      <c r="MNF24" s="1280"/>
      <c r="MNG24" s="1280"/>
      <c r="MNH24" s="1280"/>
      <c r="MNI24" s="1280"/>
      <c r="MNJ24" s="1280"/>
      <c r="MNK24" s="1280"/>
      <c r="MNL24" s="1280"/>
      <c r="MNM24" s="1280"/>
      <c r="MNN24" s="1280"/>
      <c r="MNO24" s="1280"/>
      <c r="MNP24" s="1280"/>
      <c r="MNQ24" s="1280"/>
      <c r="MNR24" s="1280"/>
      <c r="MNS24" s="1280"/>
      <c r="MNT24" s="1280"/>
      <c r="MNU24" s="1280"/>
      <c r="MNV24" s="1280"/>
      <c r="MNW24" s="1280"/>
      <c r="MNX24" s="1280"/>
      <c r="MNY24" s="1280"/>
      <c r="MNZ24" s="1280"/>
      <c r="MOA24" s="1280"/>
      <c r="MOB24" s="1280"/>
      <c r="MOC24" s="1280"/>
      <c r="MOD24" s="1280"/>
      <c r="MOE24" s="1280"/>
      <c r="MOF24" s="1280"/>
      <c r="MOG24" s="1280"/>
      <c r="MOH24" s="1280"/>
      <c r="MOI24" s="1280"/>
      <c r="MOJ24" s="1280"/>
      <c r="MOK24" s="1280"/>
      <c r="MOL24" s="1280"/>
      <c r="MOM24" s="1280"/>
      <c r="MON24" s="1280"/>
      <c r="MOO24" s="1280"/>
      <c r="MOP24" s="1280"/>
      <c r="MOQ24" s="1280"/>
      <c r="MOR24" s="1280"/>
      <c r="MOS24" s="1280"/>
      <c r="MOT24" s="1280"/>
      <c r="MOU24" s="1280"/>
      <c r="MOV24" s="1280"/>
      <c r="MOW24" s="1280"/>
      <c r="MOX24" s="1280"/>
      <c r="MOY24" s="1280"/>
      <c r="MOZ24" s="1280"/>
      <c r="MPA24" s="1280"/>
      <c r="MPB24" s="1280"/>
      <c r="MPC24" s="1280"/>
      <c r="MPD24" s="1280"/>
      <c r="MPE24" s="1280"/>
      <c r="MPF24" s="1280"/>
      <c r="MPG24" s="1280"/>
      <c r="MPH24" s="1280"/>
      <c r="MPI24" s="1280"/>
      <c r="MPJ24" s="1280"/>
      <c r="MPK24" s="1280"/>
      <c r="MPL24" s="1280"/>
      <c r="MPM24" s="1280"/>
      <c r="MPN24" s="1280"/>
      <c r="MPO24" s="1280"/>
      <c r="MPP24" s="1280"/>
      <c r="MPQ24" s="1280"/>
      <c r="MPR24" s="1280"/>
      <c r="MPS24" s="1280"/>
      <c r="MPT24" s="1280"/>
      <c r="MPU24" s="1280"/>
      <c r="MPV24" s="1280"/>
      <c r="MPW24" s="1280"/>
      <c r="MPX24" s="1280"/>
      <c r="MPY24" s="1280"/>
      <c r="MPZ24" s="1280"/>
      <c r="MQA24" s="1280"/>
      <c r="MQB24" s="1280"/>
      <c r="MQC24" s="1280"/>
      <c r="MQD24" s="1280"/>
      <c r="MQE24" s="1280"/>
      <c r="MQF24" s="1280"/>
      <c r="MQG24" s="1280"/>
      <c r="MQH24" s="1280"/>
      <c r="MQI24" s="1280"/>
      <c r="MQJ24" s="1280"/>
      <c r="MQK24" s="1280"/>
      <c r="MQL24" s="1280"/>
      <c r="MQM24" s="1280"/>
      <c r="MQN24" s="1280"/>
      <c r="MQO24" s="1280"/>
      <c r="MQP24" s="1280"/>
      <c r="MQQ24" s="1280"/>
      <c r="MQR24" s="1280"/>
      <c r="MQS24" s="1280"/>
      <c r="MQT24" s="1280"/>
      <c r="MQU24" s="1280"/>
      <c r="MQV24" s="1280"/>
      <c r="MQW24" s="1280"/>
      <c r="MQX24" s="1280"/>
      <c r="MQY24" s="1280"/>
      <c r="MQZ24" s="1280"/>
      <c r="MRA24" s="1280"/>
      <c r="MRB24" s="1280"/>
      <c r="MRC24" s="1280"/>
      <c r="MRD24" s="1280"/>
      <c r="MRE24" s="1280"/>
      <c r="MRF24" s="1280"/>
      <c r="MRG24" s="1280"/>
      <c r="MRH24" s="1280"/>
      <c r="MRI24" s="1280"/>
      <c r="MRJ24" s="1280"/>
      <c r="MRK24" s="1280"/>
      <c r="MRL24" s="1280"/>
      <c r="MRM24" s="1280"/>
      <c r="MRN24" s="1280"/>
      <c r="MRO24" s="1280"/>
      <c r="MRP24" s="1280"/>
      <c r="MRQ24" s="1280"/>
      <c r="MRR24" s="1280"/>
      <c r="MRS24" s="1280"/>
      <c r="MRT24" s="1280"/>
      <c r="MRU24" s="1280"/>
      <c r="MRV24" s="1280"/>
      <c r="MRW24" s="1280"/>
      <c r="MRX24" s="1280"/>
      <c r="MRY24" s="1280"/>
      <c r="MRZ24" s="1280"/>
      <c r="MSA24" s="1280"/>
      <c r="MSB24" s="1280"/>
      <c r="MSC24" s="1280"/>
      <c r="MSD24" s="1280"/>
      <c r="MSE24" s="1280"/>
      <c r="MSF24" s="1280"/>
      <c r="MSG24" s="1280"/>
      <c r="MSH24" s="1280"/>
      <c r="MSI24" s="1280"/>
      <c r="MSJ24" s="1280"/>
      <c r="MSK24" s="1280"/>
      <c r="MSL24" s="1280"/>
      <c r="MSM24" s="1280"/>
      <c r="MSN24" s="1280"/>
      <c r="MSO24" s="1280"/>
      <c r="MSP24" s="1280"/>
      <c r="MSQ24" s="1280"/>
      <c r="MSR24" s="1280"/>
      <c r="MSS24" s="1280"/>
      <c r="MST24" s="1280"/>
      <c r="MSU24" s="1280"/>
      <c r="MSV24" s="1280"/>
      <c r="MSW24" s="1280"/>
      <c r="MSX24" s="1280"/>
      <c r="MSY24" s="1280"/>
      <c r="MSZ24" s="1280"/>
      <c r="MTA24" s="1280"/>
      <c r="MTB24" s="1280"/>
      <c r="MTC24" s="1280"/>
      <c r="MTD24" s="1280"/>
      <c r="MTE24" s="1280"/>
      <c r="MTF24" s="1280"/>
      <c r="MTG24" s="1280"/>
      <c r="MTH24" s="1280"/>
      <c r="MTI24" s="1280"/>
      <c r="MTJ24" s="1280"/>
      <c r="MTK24" s="1280"/>
      <c r="MTL24" s="1280"/>
      <c r="MTM24" s="1280"/>
      <c r="MTN24" s="1280"/>
      <c r="MTO24" s="1280"/>
      <c r="MTP24" s="1280"/>
      <c r="MTQ24" s="1280"/>
      <c r="MTR24" s="1280"/>
      <c r="MTS24" s="1280"/>
      <c r="MTT24" s="1280"/>
      <c r="MTU24" s="1280"/>
      <c r="MTV24" s="1280"/>
      <c r="MTW24" s="1280"/>
      <c r="MTX24" s="1280"/>
      <c r="MTY24" s="1280"/>
      <c r="MTZ24" s="1280"/>
      <c r="MUA24" s="1280"/>
      <c r="MUB24" s="1280"/>
      <c r="MUC24" s="1280"/>
      <c r="MUD24" s="1280"/>
      <c r="MUE24" s="1280"/>
      <c r="MUF24" s="1280"/>
      <c r="MUG24" s="1280"/>
      <c r="MUH24" s="1280"/>
      <c r="MUI24" s="1280"/>
      <c r="MUJ24" s="1280"/>
      <c r="MUK24" s="1280"/>
      <c r="MUL24" s="1280"/>
      <c r="MUM24" s="1280"/>
      <c r="MUN24" s="1280"/>
      <c r="MUO24" s="1280"/>
      <c r="MUP24" s="1280"/>
      <c r="MUQ24" s="1280"/>
      <c r="MUR24" s="1280"/>
      <c r="MUS24" s="1280"/>
      <c r="MUT24" s="1280"/>
      <c r="MUU24" s="1280"/>
      <c r="MUV24" s="1280"/>
      <c r="MUW24" s="1280"/>
      <c r="MUX24" s="1280"/>
      <c r="MUY24" s="1280"/>
      <c r="MUZ24" s="1280"/>
      <c r="MVA24" s="1280"/>
      <c r="MVB24" s="1280"/>
      <c r="MVC24" s="1280"/>
      <c r="MVD24" s="1280"/>
      <c r="MVE24" s="1280"/>
      <c r="MVF24" s="1280"/>
      <c r="MVG24" s="1280"/>
      <c r="MVH24" s="1280"/>
      <c r="MVI24" s="1280"/>
      <c r="MVJ24" s="1280"/>
      <c r="MVK24" s="1280"/>
      <c r="MVL24" s="1280"/>
      <c r="MVM24" s="1280"/>
      <c r="MVN24" s="1280"/>
      <c r="MVO24" s="1280"/>
      <c r="MVP24" s="1280"/>
      <c r="MVQ24" s="1280"/>
      <c r="MVR24" s="1280"/>
      <c r="MVS24" s="1280"/>
      <c r="MVT24" s="1280"/>
      <c r="MVU24" s="1280"/>
      <c r="MVV24" s="1280"/>
      <c r="MVW24" s="1280"/>
      <c r="MVX24" s="1280"/>
      <c r="MVY24" s="1280"/>
      <c r="MVZ24" s="1280"/>
      <c r="MWA24" s="1280"/>
      <c r="MWB24" s="1280"/>
      <c r="MWC24" s="1280"/>
      <c r="MWD24" s="1280"/>
      <c r="MWE24" s="1280"/>
      <c r="MWF24" s="1280"/>
      <c r="MWG24" s="1280"/>
      <c r="MWH24" s="1280"/>
      <c r="MWI24" s="1280"/>
      <c r="MWJ24" s="1280"/>
      <c r="MWK24" s="1280"/>
      <c r="MWL24" s="1280"/>
      <c r="MWM24" s="1280"/>
      <c r="MWN24" s="1280"/>
      <c r="MWO24" s="1280"/>
      <c r="MWP24" s="1280"/>
      <c r="MWQ24" s="1280"/>
      <c r="MWR24" s="1280"/>
      <c r="MWS24" s="1280"/>
      <c r="MWT24" s="1280"/>
      <c r="MWU24" s="1280"/>
      <c r="MWV24" s="1280"/>
      <c r="MWW24" s="1280"/>
      <c r="MWX24" s="1280"/>
      <c r="MWY24" s="1280"/>
      <c r="MWZ24" s="1280"/>
      <c r="MXA24" s="1280"/>
      <c r="MXB24" s="1280"/>
      <c r="MXC24" s="1280"/>
      <c r="MXD24" s="1280"/>
      <c r="MXE24" s="1280"/>
      <c r="MXF24" s="1280"/>
      <c r="MXG24" s="1280"/>
      <c r="MXH24" s="1280"/>
      <c r="MXI24" s="1280"/>
      <c r="MXJ24" s="1280"/>
      <c r="MXK24" s="1280"/>
      <c r="MXL24" s="1280"/>
      <c r="MXM24" s="1280"/>
      <c r="MXN24" s="1280"/>
      <c r="MXO24" s="1280"/>
      <c r="MXP24" s="1280"/>
      <c r="MXQ24" s="1280"/>
      <c r="MXR24" s="1280"/>
      <c r="MXS24" s="1280"/>
      <c r="MXT24" s="1280"/>
      <c r="MXU24" s="1280"/>
      <c r="MXV24" s="1280"/>
      <c r="MXW24" s="1280"/>
      <c r="MXX24" s="1280"/>
      <c r="MXY24" s="1280"/>
      <c r="MXZ24" s="1280"/>
      <c r="MYA24" s="1280"/>
      <c r="MYB24" s="1280"/>
      <c r="MYC24" s="1280"/>
      <c r="MYD24" s="1280"/>
      <c r="MYE24" s="1280"/>
      <c r="MYF24" s="1280"/>
      <c r="MYG24" s="1280"/>
      <c r="MYH24" s="1280"/>
      <c r="MYI24" s="1280"/>
      <c r="MYJ24" s="1280"/>
      <c r="MYK24" s="1280"/>
      <c r="MYL24" s="1280"/>
      <c r="MYM24" s="1280"/>
      <c r="MYN24" s="1280"/>
      <c r="MYO24" s="1280"/>
      <c r="MYP24" s="1280"/>
      <c r="MYQ24" s="1280"/>
      <c r="MYR24" s="1280"/>
      <c r="MYS24" s="1280"/>
      <c r="MYT24" s="1280"/>
      <c r="MYU24" s="1280"/>
      <c r="MYV24" s="1280"/>
      <c r="MYW24" s="1280"/>
      <c r="MYX24" s="1280"/>
      <c r="MYY24" s="1280"/>
      <c r="MYZ24" s="1280"/>
      <c r="MZA24" s="1280"/>
      <c r="MZB24" s="1280"/>
      <c r="MZC24" s="1280"/>
      <c r="MZD24" s="1280"/>
      <c r="MZE24" s="1280"/>
      <c r="MZF24" s="1280"/>
      <c r="MZG24" s="1280"/>
      <c r="MZH24" s="1280"/>
      <c r="MZI24" s="1280"/>
      <c r="MZJ24" s="1280"/>
      <c r="MZK24" s="1280"/>
      <c r="MZL24" s="1280"/>
      <c r="MZM24" s="1280"/>
      <c r="MZN24" s="1280"/>
      <c r="MZO24" s="1280"/>
      <c r="MZP24" s="1280"/>
      <c r="MZQ24" s="1280"/>
      <c r="MZR24" s="1280"/>
      <c r="MZS24" s="1280"/>
      <c r="MZT24" s="1280"/>
      <c r="MZU24" s="1280"/>
      <c r="MZV24" s="1280"/>
      <c r="MZW24" s="1280"/>
      <c r="MZX24" s="1280"/>
      <c r="MZY24" s="1280"/>
      <c r="MZZ24" s="1280"/>
      <c r="NAA24" s="1280"/>
      <c r="NAB24" s="1280"/>
      <c r="NAC24" s="1280"/>
      <c r="NAD24" s="1280"/>
      <c r="NAE24" s="1280"/>
      <c r="NAF24" s="1280"/>
      <c r="NAG24" s="1280"/>
      <c r="NAH24" s="1280"/>
      <c r="NAI24" s="1280"/>
      <c r="NAJ24" s="1280"/>
      <c r="NAK24" s="1280"/>
      <c r="NAL24" s="1280"/>
      <c r="NAM24" s="1280"/>
      <c r="NAN24" s="1280"/>
      <c r="NAO24" s="1280"/>
      <c r="NAP24" s="1280"/>
      <c r="NAQ24" s="1280"/>
      <c r="NAR24" s="1280"/>
      <c r="NAS24" s="1280"/>
      <c r="NAT24" s="1280"/>
      <c r="NAU24" s="1280"/>
      <c r="NAV24" s="1280"/>
      <c r="NAW24" s="1280"/>
      <c r="NAX24" s="1280"/>
      <c r="NAY24" s="1280"/>
      <c r="NAZ24" s="1280"/>
      <c r="NBA24" s="1280"/>
      <c r="NBB24" s="1280"/>
      <c r="NBC24" s="1280"/>
      <c r="NBD24" s="1280"/>
      <c r="NBE24" s="1280"/>
      <c r="NBF24" s="1280"/>
      <c r="NBG24" s="1280"/>
      <c r="NBH24" s="1280"/>
      <c r="NBI24" s="1280"/>
      <c r="NBJ24" s="1280"/>
      <c r="NBK24" s="1280"/>
      <c r="NBL24" s="1280"/>
      <c r="NBM24" s="1280"/>
      <c r="NBN24" s="1280"/>
      <c r="NBO24" s="1280"/>
      <c r="NBP24" s="1280"/>
      <c r="NBQ24" s="1280"/>
      <c r="NBR24" s="1280"/>
      <c r="NBS24" s="1280"/>
      <c r="NBT24" s="1280"/>
      <c r="NBU24" s="1280"/>
      <c r="NBV24" s="1280"/>
      <c r="NBW24" s="1280"/>
      <c r="NBX24" s="1280"/>
      <c r="NBY24" s="1280"/>
      <c r="NBZ24" s="1280"/>
      <c r="NCA24" s="1280"/>
      <c r="NCB24" s="1280"/>
      <c r="NCC24" s="1280"/>
      <c r="NCD24" s="1280"/>
      <c r="NCE24" s="1280"/>
      <c r="NCF24" s="1280"/>
      <c r="NCG24" s="1280"/>
      <c r="NCH24" s="1280"/>
      <c r="NCI24" s="1280"/>
      <c r="NCJ24" s="1280"/>
      <c r="NCK24" s="1280"/>
      <c r="NCL24" s="1280"/>
      <c r="NCM24" s="1280"/>
      <c r="NCN24" s="1280"/>
      <c r="NCO24" s="1280"/>
      <c r="NCP24" s="1280"/>
      <c r="NCQ24" s="1280"/>
      <c r="NCR24" s="1280"/>
      <c r="NCS24" s="1280"/>
      <c r="NCT24" s="1280"/>
      <c r="NCU24" s="1280"/>
      <c r="NCV24" s="1280"/>
      <c r="NCW24" s="1280"/>
      <c r="NCX24" s="1280"/>
      <c r="NCY24" s="1280"/>
      <c r="NCZ24" s="1280"/>
      <c r="NDA24" s="1280"/>
      <c r="NDB24" s="1280"/>
      <c r="NDC24" s="1280"/>
      <c r="NDD24" s="1280"/>
      <c r="NDE24" s="1280"/>
      <c r="NDF24" s="1280"/>
      <c r="NDG24" s="1280"/>
      <c r="NDH24" s="1280"/>
      <c r="NDI24" s="1280"/>
      <c r="NDJ24" s="1280"/>
      <c r="NDK24" s="1280"/>
      <c r="NDL24" s="1280"/>
      <c r="NDM24" s="1280"/>
      <c r="NDN24" s="1280"/>
      <c r="NDO24" s="1280"/>
      <c r="NDP24" s="1280"/>
      <c r="NDQ24" s="1280"/>
      <c r="NDR24" s="1280"/>
      <c r="NDS24" s="1280"/>
      <c r="NDT24" s="1280"/>
      <c r="NDU24" s="1280"/>
      <c r="NDV24" s="1280"/>
      <c r="NDW24" s="1280"/>
      <c r="NDX24" s="1280"/>
      <c r="NDY24" s="1280"/>
      <c r="NDZ24" s="1280"/>
      <c r="NEA24" s="1280"/>
      <c r="NEB24" s="1280"/>
      <c r="NEC24" s="1280"/>
      <c r="NED24" s="1280"/>
      <c r="NEE24" s="1280"/>
      <c r="NEF24" s="1280"/>
      <c r="NEG24" s="1280"/>
      <c r="NEH24" s="1280"/>
      <c r="NEI24" s="1280"/>
      <c r="NEJ24" s="1280"/>
      <c r="NEK24" s="1280"/>
      <c r="NEL24" s="1280"/>
      <c r="NEM24" s="1280"/>
      <c r="NEN24" s="1280"/>
      <c r="NEO24" s="1280"/>
      <c r="NEP24" s="1280"/>
      <c r="NEQ24" s="1280"/>
      <c r="NER24" s="1280"/>
      <c r="NES24" s="1280"/>
      <c r="NET24" s="1280"/>
      <c r="NEU24" s="1280"/>
      <c r="NEV24" s="1280"/>
      <c r="NEW24" s="1280"/>
      <c r="NEX24" s="1280"/>
      <c r="NEY24" s="1280"/>
      <c r="NEZ24" s="1280"/>
      <c r="NFA24" s="1280"/>
      <c r="NFB24" s="1280"/>
      <c r="NFC24" s="1280"/>
      <c r="NFD24" s="1280"/>
      <c r="NFE24" s="1280"/>
      <c r="NFF24" s="1280"/>
      <c r="NFG24" s="1280"/>
      <c r="NFH24" s="1280"/>
      <c r="NFI24" s="1280"/>
      <c r="NFJ24" s="1280"/>
      <c r="NFK24" s="1280"/>
      <c r="NFL24" s="1280"/>
      <c r="NFM24" s="1280"/>
      <c r="NFN24" s="1280"/>
      <c r="NFO24" s="1280"/>
      <c r="NFP24" s="1280"/>
      <c r="NFQ24" s="1280"/>
      <c r="NFR24" s="1280"/>
      <c r="NFS24" s="1280"/>
      <c r="NFT24" s="1280"/>
      <c r="NFU24" s="1280"/>
      <c r="NFV24" s="1280"/>
      <c r="NFW24" s="1280"/>
      <c r="NFX24" s="1280"/>
      <c r="NFY24" s="1280"/>
      <c r="NFZ24" s="1280"/>
      <c r="NGA24" s="1280"/>
      <c r="NGB24" s="1280"/>
      <c r="NGC24" s="1280"/>
      <c r="NGD24" s="1280"/>
      <c r="NGE24" s="1280"/>
      <c r="NGF24" s="1280"/>
      <c r="NGG24" s="1280"/>
      <c r="NGH24" s="1280"/>
      <c r="NGI24" s="1280"/>
      <c r="NGJ24" s="1280"/>
      <c r="NGK24" s="1280"/>
      <c r="NGL24" s="1280"/>
      <c r="NGM24" s="1280"/>
      <c r="NGN24" s="1280"/>
      <c r="NGO24" s="1280"/>
      <c r="NGP24" s="1280"/>
      <c r="NGQ24" s="1280"/>
      <c r="NGR24" s="1280"/>
      <c r="NGS24" s="1280"/>
      <c r="NGT24" s="1280"/>
      <c r="NGU24" s="1280"/>
      <c r="NGV24" s="1280"/>
      <c r="NGW24" s="1280"/>
      <c r="NGX24" s="1280"/>
      <c r="NGY24" s="1280"/>
      <c r="NGZ24" s="1280"/>
      <c r="NHA24" s="1280"/>
      <c r="NHB24" s="1280"/>
      <c r="NHC24" s="1280"/>
      <c r="NHD24" s="1280"/>
      <c r="NHE24" s="1280"/>
      <c r="NHF24" s="1280"/>
      <c r="NHG24" s="1280"/>
      <c r="NHH24" s="1280"/>
      <c r="NHI24" s="1280"/>
      <c r="NHJ24" s="1280"/>
      <c r="NHK24" s="1280"/>
      <c r="NHL24" s="1280"/>
      <c r="NHM24" s="1280"/>
      <c r="NHN24" s="1280"/>
      <c r="NHO24" s="1280"/>
      <c r="NHP24" s="1280"/>
      <c r="NHQ24" s="1280"/>
      <c r="NHR24" s="1280"/>
      <c r="NHS24" s="1280"/>
      <c r="NHT24" s="1280"/>
      <c r="NHU24" s="1280"/>
      <c r="NHV24" s="1280"/>
      <c r="NHW24" s="1280"/>
      <c r="NHX24" s="1280"/>
      <c r="NHY24" s="1280"/>
      <c r="NHZ24" s="1280"/>
      <c r="NIA24" s="1280"/>
      <c r="NIB24" s="1280"/>
      <c r="NIC24" s="1280"/>
      <c r="NID24" s="1280"/>
      <c r="NIE24" s="1280"/>
      <c r="NIF24" s="1280"/>
      <c r="NIG24" s="1280"/>
      <c r="NIH24" s="1280"/>
      <c r="NII24" s="1280"/>
      <c r="NIJ24" s="1280"/>
      <c r="NIK24" s="1280"/>
      <c r="NIL24" s="1280"/>
      <c r="NIM24" s="1280"/>
      <c r="NIN24" s="1280"/>
      <c r="NIO24" s="1280"/>
      <c r="NIP24" s="1280"/>
      <c r="NIQ24" s="1280"/>
      <c r="NIR24" s="1280"/>
      <c r="NIS24" s="1280"/>
      <c r="NIT24" s="1280"/>
      <c r="NIU24" s="1280"/>
      <c r="NIV24" s="1280"/>
      <c r="NIW24" s="1280"/>
      <c r="NIX24" s="1280"/>
      <c r="NIY24" s="1280"/>
      <c r="NIZ24" s="1280"/>
      <c r="NJA24" s="1280"/>
      <c r="NJB24" s="1280"/>
      <c r="NJC24" s="1280"/>
      <c r="NJD24" s="1280"/>
      <c r="NJE24" s="1280"/>
      <c r="NJF24" s="1280"/>
      <c r="NJG24" s="1280"/>
      <c r="NJH24" s="1280"/>
      <c r="NJI24" s="1280"/>
      <c r="NJJ24" s="1280"/>
      <c r="NJK24" s="1280"/>
      <c r="NJL24" s="1280"/>
      <c r="NJM24" s="1280"/>
      <c r="NJN24" s="1280"/>
      <c r="NJO24" s="1280"/>
      <c r="NJP24" s="1280"/>
      <c r="NJQ24" s="1280"/>
      <c r="NJR24" s="1280"/>
      <c r="NJS24" s="1280"/>
      <c r="NJT24" s="1280"/>
      <c r="NJU24" s="1280"/>
      <c r="NJV24" s="1280"/>
      <c r="NJW24" s="1280"/>
      <c r="NJX24" s="1280"/>
      <c r="NJY24" s="1280"/>
      <c r="NJZ24" s="1280"/>
      <c r="NKA24" s="1280"/>
      <c r="NKB24" s="1280"/>
      <c r="NKC24" s="1280"/>
      <c r="NKD24" s="1280"/>
      <c r="NKE24" s="1280"/>
      <c r="NKF24" s="1280"/>
      <c r="NKG24" s="1280"/>
      <c r="NKH24" s="1280"/>
      <c r="NKI24" s="1280"/>
      <c r="NKJ24" s="1280"/>
      <c r="NKK24" s="1280"/>
      <c r="NKL24" s="1280"/>
      <c r="NKM24" s="1280"/>
      <c r="NKN24" s="1280"/>
      <c r="NKO24" s="1280"/>
      <c r="NKP24" s="1280"/>
      <c r="NKQ24" s="1280"/>
      <c r="NKR24" s="1280"/>
      <c r="NKS24" s="1280"/>
      <c r="NKT24" s="1280"/>
      <c r="NKU24" s="1280"/>
      <c r="NKV24" s="1280"/>
      <c r="NKW24" s="1280"/>
      <c r="NKX24" s="1280"/>
      <c r="NKY24" s="1280"/>
      <c r="NKZ24" s="1280"/>
      <c r="NLA24" s="1280"/>
      <c r="NLB24" s="1280"/>
      <c r="NLC24" s="1280"/>
      <c r="NLD24" s="1280"/>
      <c r="NLE24" s="1280"/>
      <c r="NLF24" s="1280"/>
      <c r="NLG24" s="1280"/>
      <c r="NLH24" s="1280"/>
      <c r="NLI24" s="1280"/>
      <c r="NLJ24" s="1280"/>
      <c r="NLK24" s="1280"/>
      <c r="NLL24" s="1280"/>
      <c r="NLM24" s="1280"/>
      <c r="NLN24" s="1280"/>
      <c r="NLO24" s="1280"/>
      <c r="NLP24" s="1280"/>
      <c r="NLQ24" s="1280"/>
      <c r="NLR24" s="1280"/>
      <c r="NLS24" s="1280"/>
      <c r="NLT24" s="1280"/>
      <c r="NLU24" s="1280"/>
      <c r="NLV24" s="1280"/>
      <c r="NLW24" s="1280"/>
      <c r="NLX24" s="1280"/>
      <c r="NLY24" s="1280"/>
      <c r="NLZ24" s="1280"/>
      <c r="NMA24" s="1280"/>
      <c r="NMB24" s="1280"/>
      <c r="NMC24" s="1280"/>
      <c r="NMD24" s="1280"/>
      <c r="NME24" s="1280"/>
      <c r="NMF24" s="1280"/>
      <c r="NMG24" s="1280"/>
      <c r="NMH24" s="1280"/>
      <c r="NMI24" s="1280"/>
      <c r="NMJ24" s="1280"/>
      <c r="NMK24" s="1280"/>
      <c r="NML24" s="1280"/>
      <c r="NMM24" s="1280"/>
      <c r="NMN24" s="1280"/>
      <c r="NMO24" s="1280"/>
      <c r="NMP24" s="1280"/>
      <c r="NMQ24" s="1280"/>
      <c r="NMR24" s="1280"/>
      <c r="NMS24" s="1280"/>
      <c r="NMT24" s="1280"/>
      <c r="NMU24" s="1280"/>
      <c r="NMV24" s="1280"/>
      <c r="NMW24" s="1280"/>
      <c r="NMX24" s="1280"/>
      <c r="NMY24" s="1280"/>
      <c r="NMZ24" s="1280"/>
      <c r="NNA24" s="1280"/>
      <c r="NNB24" s="1280"/>
      <c r="NNC24" s="1280"/>
      <c r="NND24" s="1280"/>
      <c r="NNE24" s="1280"/>
      <c r="NNF24" s="1280"/>
      <c r="NNG24" s="1280"/>
      <c r="NNH24" s="1280"/>
      <c r="NNI24" s="1280"/>
      <c r="NNJ24" s="1280"/>
      <c r="NNK24" s="1280"/>
      <c r="NNL24" s="1280"/>
      <c r="NNM24" s="1280"/>
      <c r="NNN24" s="1280"/>
      <c r="NNO24" s="1280"/>
      <c r="NNP24" s="1280"/>
      <c r="NNQ24" s="1280"/>
      <c r="NNR24" s="1280"/>
      <c r="NNS24" s="1280"/>
      <c r="NNT24" s="1280"/>
      <c r="NNU24" s="1280"/>
      <c r="NNV24" s="1280"/>
      <c r="NNW24" s="1280"/>
      <c r="NNX24" s="1280"/>
      <c r="NNY24" s="1280"/>
      <c r="NNZ24" s="1280"/>
      <c r="NOA24" s="1280"/>
      <c r="NOB24" s="1280"/>
      <c r="NOC24" s="1280"/>
      <c r="NOD24" s="1280"/>
      <c r="NOE24" s="1280"/>
      <c r="NOF24" s="1280"/>
      <c r="NOG24" s="1280"/>
      <c r="NOH24" s="1280"/>
      <c r="NOI24" s="1280"/>
      <c r="NOJ24" s="1280"/>
      <c r="NOK24" s="1280"/>
      <c r="NOL24" s="1280"/>
      <c r="NOM24" s="1280"/>
      <c r="NON24" s="1280"/>
      <c r="NOO24" s="1280"/>
      <c r="NOP24" s="1280"/>
      <c r="NOQ24" s="1280"/>
      <c r="NOR24" s="1280"/>
      <c r="NOS24" s="1280"/>
      <c r="NOT24" s="1280"/>
      <c r="NOU24" s="1280"/>
      <c r="NOV24" s="1280"/>
      <c r="NOW24" s="1280"/>
      <c r="NOX24" s="1280"/>
      <c r="NOY24" s="1280"/>
      <c r="NOZ24" s="1280"/>
      <c r="NPA24" s="1280"/>
      <c r="NPB24" s="1280"/>
      <c r="NPC24" s="1280"/>
      <c r="NPD24" s="1280"/>
      <c r="NPE24" s="1280"/>
      <c r="NPF24" s="1280"/>
      <c r="NPG24" s="1280"/>
      <c r="NPH24" s="1280"/>
      <c r="NPI24" s="1280"/>
      <c r="NPJ24" s="1280"/>
      <c r="NPK24" s="1280"/>
      <c r="NPL24" s="1280"/>
      <c r="NPM24" s="1280"/>
      <c r="NPN24" s="1280"/>
      <c r="NPO24" s="1280"/>
      <c r="NPP24" s="1280"/>
      <c r="NPQ24" s="1280"/>
      <c r="NPR24" s="1280"/>
      <c r="NPS24" s="1280"/>
      <c r="NPT24" s="1280"/>
      <c r="NPU24" s="1280"/>
      <c r="NPV24" s="1280"/>
      <c r="NPW24" s="1280"/>
      <c r="NPX24" s="1280"/>
      <c r="NPY24" s="1280"/>
      <c r="NPZ24" s="1280"/>
      <c r="NQA24" s="1280"/>
      <c r="NQB24" s="1280"/>
      <c r="NQC24" s="1280"/>
      <c r="NQD24" s="1280"/>
      <c r="NQE24" s="1280"/>
      <c r="NQF24" s="1280"/>
      <c r="NQG24" s="1280"/>
      <c r="NQH24" s="1280"/>
      <c r="NQI24" s="1280"/>
      <c r="NQJ24" s="1280"/>
      <c r="NQK24" s="1280"/>
      <c r="NQL24" s="1280"/>
      <c r="NQM24" s="1280"/>
      <c r="NQN24" s="1280"/>
      <c r="NQO24" s="1280"/>
      <c r="NQP24" s="1280"/>
      <c r="NQQ24" s="1280"/>
      <c r="NQR24" s="1280"/>
      <c r="NQS24" s="1280"/>
      <c r="NQT24" s="1280"/>
      <c r="NQU24" s="1280"/>
      <c r="NQV24" s="1280"/>
      <c r="NQW24" s="1280"/>
      <c r="NQX24" s="1280"/>
      <c r="NQY24" s="1280"/>
      <c r="NQZ24" s="1280"/>
      <c r="NRA24" s="1280"/>
      <c r="NRB24" s="1280"/>
      <c r="NRC24" s="1280"/>
      <c r="NRD24" s="1280"/>
      <c r="NRE24" s="1280"/>
      <c r="NRF24" s="1280"/>
      <c r="NRG24" s="1280"/>
      <c r="NRH24" s="1280"/>
      <c r="NRI24" s="1280"/>
      <c r="NRJ24" s="1280"/>
      <c r="NRK24" s="1280"/>
      <c r="NRL24" s="1280"/>
      <c r="NRM24" s="1280"/>
      <c r="NRN24" s="1280"/>
      <c r="NRO24" s="1280"/>
      <c r="NRP24" s="1280"/>
      <c r="NRQ24" s="1280"/>
      <c r="NRR24" s="1280"/>
      <c r="NRS24" s="1280"/>
      <c r="NRT24" s="1280"/>
      <c r="NRU24" s="1280"/>
      <c r="NRV24" s="1280"/>
      <c r="NRW24" s="1280"/>
      <c r="NRX24" s="1280"/>
      <c r="NRY24" s="1280"/>
      <c r="NRZ24" s="1280"/>
      <c r="NSA24" s="1280"/>
      <c r="NSB24" s="1280"/>
      <c r="NSC24" s="1280"/>
      <c r="NSD24" s="1280"/>
      <c r="NSE24" s="1280"/>
      <c r="NSF24" s="1280"/>
      <c r="NSG24" s="1280"/>
      <c r="NSH24" s="1280"/>
      <c r="NSI24" s="1280"/>
      <c r="NSJ24" s="1280"/>
      <c r="NSK24" s="1280"/>
      <c r="NSL24" s="1280"/>
      <c r="NSM24" s="1280"/>
      <c r="NSN24" s="1280"/>
      <c r="NSO24" s="1280"/>
      <c r="NSP24" s="1280"/>
      <c r="NSQ24" s="1280"/>
      <c r="NSR24" s="1280"/>
      <c r="NSS24" s="1280"/>
      <c r="NST24" s="1280"/>
      <c r="NSU24" s="1280"/>
      <c r="NSV24" s="1280"/>
      <c r="NSW24" s="1280"/>
      <c r="NSX24" s="1280"/>
      <c r="NSY24" s="1280"/>
      <c r="NSZ24" s="1280"/>
      <c r="NTA24" s="1280"/>
      <c r="NTB24" s="1280"/>
      <c r="NTC24" s="1280"/>
      <c r="NTD24" s="1280"/>
      <c r="NTE24" s="1280"/>
      <c r="NTF24" s="1280"/>
      <c r="NTG24" s="1280"/>
      <c r="NTH24" s="1280"/>
      <c r="NTI24" s="1280"/>
      <c r="NTJ24" s="1280"/>
      <c r="NTK24" s="1280"/>
      <c r="NTL24" s="1280"/>
      <c r="NTM24" s="1280"/>
      <c r="NTN24" s="1280"/>
      <c r="NTO24" s="1280"/>
      <c r="NTP24" s="1280"/>
      <c r="NTQ24" s="1280"/>
      <c r="NTR24" s="1280"/>
      <c r="NTS24" s="1280"/>
      <c r="NTT24" s="1280"/>
      <c r="NTU24" s="1280"/>
      <c r="NTV24" s="1280"/>
      <c r="NTW24" s="1280"/>
      <c r="NTX24" s="1280"/>
      <c r="NTY24" s="1280"/>
      <c r="NTZ24" s="1280"/>
      <c r="NUA24" s="1280"/>
      <c r="NUB24" s="1280"/>
      <c r="NUC24" s="1280"/>
      <c r="NUD24" s="1280"/>
      <c r="NUE24" s="1280"/>
      <c r="NUF24" s="1280"/>
      <c r="NUG24" s="1280"/>
      <c r="NUH24" s="1280"/>
      <c r="NUI24" s="1280"/>
      <c r="NUJ24" s="1280"/>
      <c r="NUK24" s="1280"/>
      <c r="NUL24" s="1280"/>
      <c r="NUM24" s="1280"/>
      <c r="NUN24" s="1280"/>
      <c r="NUO24" s="1280"/>
      <c r="NUP24" s="1280"/>
      <c r="NUQ24" s="1280"/>
      <c r="NUR24" s="1280"/>
      <c r="NUS24" s="1280"/>
      <c r="NUT24" s="1280"/>
      <c r="NUU24" s="1280"/>
      <c r="NUV24" s="1280"/>
      <c r="NUW24" s="1280"/>
      <c r="NUX24" s="1280"/>
      <c r="NUY24" s="1280"/>
      <c r="NUZ24" s="1280"/>
      <c r="NVA24" s="1280"/>
      <c r="NVB24" s="1280"/>
      <c r="NVC24" s="1280"/>
      <c r="NVD24" s="1280"/>
      <c r="NVE24" s="1280"/>
      <c r="NVF24" s="1280"/>
      <c r="NVG24" s="1280"/>
      <c r="NVH24" s="1280"/>
      <c r="NVI24" s="1280"/>
      <c r="NVJ24" s="1280"/>
      <c r="NVK24" s="1280"/>
      <c r="NVL24" s="1280"/>
      <c r="NVM24" s="1280"/>
      <c r="NVN24" s="1280"/>
      <c r="NVO24" s="1280"/>
      <c r="NVP24" s="1280"/>
      <c r="NVQ24" s="1280"/>
      <c r="NVR24" s="1280"/>
      <c r="NVS24" s="1280"/>
      <c r="NVT24" s="1280"/>
      <c r="NVU24" s="1280"/>
      <c r="NVV24" s="1280"/>
      <c r="NVW24" s="1280"/>
      <c r="NVX24" s="1280"/>
      <c r="NVY24" s="1280"/>
      <c r="NVZ24" s="1280"/>
      <c r="NWA24" s="1280"/>
      <c r="NWB24" s="1280"/>
      <c r="NWC24" s="1280"/>
      <c r="NWD24" s="1280"/>
      <c r="NWE24" s="1280"/>
      <c r="NWF24" s="1280"/>
      <c r="NWG24" s="1280"/>
      <c r="NWH24" s="1280"/>
      <c r="NWI24" s="1280"/>
      <c r="NWJ24" s="1280"/>
      <c r="NWK24" s="1280"/>
      <c r="NWL24" s="1280"/>
      <c r="NWM24" s="1280"/>
      <c r="NWN24" s="1280"/>
      <c r="NWO24" s="1280"/>
      <c r="NWP24" s="1280"/>
      <c r="NWQ24" s="1280"/>
      <c r="NWR24" s="1280"/>
      <c r="NWS24" s="1280"/>
      <c r="NWT24" s="1280"/>
      <c r="NWU24" s="1280"/>
      <c r="NWV24" s="1280"/>
      <c r="NWW24" s="1280"/>
      <c r="NWX24" s="1280"/>
      <c r="NWY24" s="1280"/>
      <c r="NWZ24" s="1280"/>
      <c r="NXA24" s="1280"/>
      <c r="NXB24" s="1280"/>
      <c r="NXC24" s="1280"/>
      <c r="NXD24" s="1280"/>
      <c r="NXE24" s="1280"/>
      <c r="NXF24" s="1280"/>
      <c r="NXG24" s="1280"/>
      <c r="NXH24" s="1280"/>
      <c r="NXI24" s="1280"/>
      <c r="NXJ24" s="1280"/>
      <c r="NXK24" s="1280"/>
      <c r="NXL24" s="1280"/>
      <c r="NXM24" s="1280"/>
      <c r="NXN24" s="1280"/>
      <c r="NXO24" s="1280"/>
      <c r="NXP24" s="1280"/>
      <c r="NXQ24" s="1280"/>
      <c r="NXR24" s="1280"/>
      <c r="NXS24" s="1280"/>
      <c r="NXT24" s="1280"/>
      <c r="NXU24" s="1280"/>
      <c r="NXV24" s="1280"/>
      <c r="NXW24" s="1280"/>
      <c r="NXX24" s="1280"/>
      <c r="NXY24" s="1280"/>
      <c r="NXZ24" s="1280"/>
      <c r="NYA24" s="1280"/>
      <c r="NYB24" s="1280"/>
      <c r="NYC24" s="1280"/>
      <c r="NYD24" s="1280"/>
      <c r="NYE24" s="1280"/>
      <c r="NYF24" s="1280"/>
      <c r="NYG24" s="1280"/>
      <c r="NYH24" s="1280"/>
      <c r="NYI24" s="1280"/>
      <c r="NYJ24" s="1280"/>
      <c r="NYK24" s="1280"/>
      <c r="NYL24" s="1280"/>
      <c r="NYM24" s="1280"/>
      <c r="NYN24" s="1280"/>
      <c r="NYO24" s="1280"/>
      <c r="NYP24" s="1280"/>
      <c r="NYQ24" s="1280"/>
      <c r="NYR24" s="1280"/>
      <c r="NYS24" s="1280"/>
      <c r="NYT24" s="1280"/>
      <c r="NYU24" s="1280"/>
      <c r="NYV24" s="1280"/>
      <c r="NYW24" s="1280"/>
      <c r="NYX24" s="1280"/>
      <c r="NYY24" s="1280"/>
      <c r="NYZ24" s="1280"/>
      <c r="NZA24" s="1280"/>
      <c r="NZB24" s="1280"/>
      <c r="NZC24" s="1280"/>
      <c r="NZD24" s="1280"/>
      <c r="NZE24" s="1280"/>
      <c r="NZF24" s="1280"/>
      <c r="NZG24" s="1280"/>
      <c r="NZH24" s="1280"/>
      <c r="NZI24" s="1280"/>
      <c r="NZJ24" s="1280"/>
      <c r="NZK24" s="1280"/>
      <c r="NZL24" s="1280"/>
      <c r="NZM24" s="1280"/>
      <c r="NZN24" s="1280"/>
      <c r="NZO24" s="1280"/>
      <c r="NZP24" s="1280"/>
      <c r="NZQ24" s="1280"/>
      <c r="NZR24" s="1280"/>
      <c r="NZS24" s="1280"/>
      <c r="NZT24" s="1280"/>
      <c r="NZU24" s="1280"/>
      <c r="NZV24" s="1280"/>
      <c r="NZW24" s="1280"/>
      <c r="NZX24" s="1280"/>
      <c r="NZY24" s="1280"/>
      <c r="NZZ24" s="1280"/>
      <c r="OAA24" s="1280"/>
      <c r="OAB24" s="1280"/>
      <c r="OAC24" s="1280"/>
      <c r="OAD24" s="1280"/>
      <c r="OAE24" s="1280"/>
      <c r="OAF24" s="1280"/>
      <c r="OAG24" s="1280"/>
      <c r="OAH24" s="1280"/>
      <c r="OAI24" s="1280"/>
      <c r="OAJ24" s="1280"/>
      <c r="OAK24" s="1280"/>
      <c r="OAL24" s="1280"/>
      <c r="OAM24" s="1280"/>
      <c r="OAN24" s="1280"/>
      <c r="OAO24" s="1280"/>
      <c r="OAP24" s="1280"/>
      <c r="OAQ24" s="1280"/>
      <c r="OAR24" s="1280"/>
      <c r="OAS24" s="1280"/>
      <c r="OAT24" s="1280"/>
      <c r="OAU24" s="1280"/>
      <c r="OAV24" s="1280"/>
      <c r="OAW24" s="1280"/>
      <c r="OAX24" s="1280"/>
      <c r="OAY24" s="1280"/>
      <c r="OAZ24" s="1280"/>
      <c r="OBA24" s="1280"/>
      <c r="OBB24" s="1280"/>
      <c r="OBC24" s="1280"/>
      <c r="OBD24" s="1280"/>
      <c r="OBE24" s="1280"/>
      <c r="OBF24" s="1280"/>
      <c r="OBG24" s="1280"/>
      <c r="OBH24" s="1280"/>
      <c r="OBI24" s="1280"/>
      <c r="OBJ24" s="1280"/>
      <c r="OBK24" s="1280"/>
      <c r="OBL24" s="1280"/>
      <c r="OBM24" s="1280"/>
      <c r="OBN24" s="1280"/>
      <c r="OBO24" s="1280"/>
      <c r="OBP24" s="1280"/>
      <c r="OBQ24" s="1280"/>
      <c r="OBR24" s="1280"/>
      <c r="OBS24" s="1280"/>
      <c r="OBT24" s="1280"/>
      <c r="OBU24" s="1280"/>
      <c r="OBV24" s="1280"/>
      <c r="OBW24" s="1280"/>
      <c r="OBX24" s="1280"/>
      <c r="OBY24" s="1280"/>
      <c r="OBZ24" s="1280"/>
      <c r="OCA24" s="1280"/>
      <c r="OCB24" s="1280"/>
      <c r="OCC24" s="1280"/>
      <c r="OCD24" s="1280"/>
      <c r="OCE24" s="1280"/>
      <c r="OCF24" s="1280"/>
      <c r="OCG24" s="1280"/>
      <c r="OCH24" s="1280"/>
      <c r="OCI24" s="1280"/>
      <c r="OCJ24" s="1280"/>
      <c r="OCK24" s="1280"/>
      <c r="OCL24" s="1280"/>
      <c r="OCM24" s="1280"/>
      <c r="OCN24" s="1280"/>
      <c r="OCO24" s="1280"/>
      <c r="OCP24" s="1280"/>
      <c r="OCQ24" s="1280"/>
      <c r="OCR24" s="1280"/>
      <c r="OCS24" s="1280"/>
      <c r="OCT24" s="1280"/>
      <c r="OCU24" s="1280"/>
      <c r="OCV24" s="1280"/>
      <c r="OCW24" s="1280"/>
      <c r="OCX24" s="1280"/>
      <c r="OCY24" s="1280"/>
      <c r="OCZ24" s="1280"/>
      <c r="ODA24" s="1280"/>
      <c r="ODB24" s="1280"/>
      <c r="ODC24" s="1280"/>
      <c r="ODD24" s="1280"/>
      <c r="ODE24" s="1280"/>
      <c r="ODF24" s="1280"/>
      <c r="ODG24" s="1280"/>
      <c r="ODH24" s="1280"/>
      <c r="ODI24" s="1280"/>
      <c r="ODJ24" s="1280"/>
      <c r="ODK24" s="1280"/>
      <c r="ODL24" s="1280"/>
      <c r="ODM24" s="1280"/>
      <c r="ODN24" s="1280"/>
      <c r="ODO24" s="1280"/>
      <c r="ODP24" s="1280"/>
      <c r="ODQ24" s="1280"/>
      <c r="ODR24" s="1280"/>
      <c r="ODS24" s="1280"/>
      <c r="ODT24" s="1280"/>
      <c r="ODU24" s="1280"/>
      <c r="ODV24" s="1280"/>
      <c r="ODW24" s="1280"/>
      <c r="ODX24" s="1280"/>
      <c r="ODY24" s="1280"/>
      <c r="ODZ24" s="1280"/>
      <c r="OEA24" s="1280"/>
      <c r="OEB24" s="1280"/>
      <c r="OEC24" s="1280"/>
      <c r="OED24" s="1280"/>
      <c r="OEE24" s="1280"/>
      <c r="OEF24" s="1280"/>
      <c r="OEG24" s="1280"/>
      <c r="OEH24" s="1280"/>
      <c r="OEI24" s="1280"/>
      <c r="OEJ24" s="1280"/>
      <c r="OEK24" s="1280"/>
      <c r="OEL24" s="1280"/>
      <c r="OEM24" s="1280"/>
      <c r="OEN24" s="1280"/>
      <c r="OEO24" s="1280"/>
      <c r="OEP24" s="1280"/>
      <c r="OEQ24" s="1280"/>
      <c r="OER24" s="1280"/>
      <c r="OES24" s="1280"/>
      <c r="OET24" s="1280"/>
      <c r="OEU24" s="1280"/>
      <c r="OEV24" s="1280"/>
      <c r="OEW24" s="1280"/>
      <c r="OEX24" s="1280"/>
      <c r="OEY24" s="1280"/>
      <c r="OEZ24" s="1280"/>
      <c r="OFA24" s="1280"/>
      <c r="OFB24" s="1280"/>
      <c r="OFC24" s="1280"/>
      <c r="OFD24" s="1280"/>
      <c r="OFE24" s="1280"/>
      <c r="OFF24" s="1280"/>
      <c r="OFG24" s="1280"/>
      <c r="OFH24" s="1280"/>
      <c r="OFI24" s="1280"/>
      <c r="OFJ24" s="1280"/>
      <c r="OFK24" s="1280"/>
      <c r="OFL24" s="1280"/>
      <c r="OFM24" s="1280"/>
      <c r="OFN24" s="1280"/>
      <c r="OFO24" s="1280"/>
      <c r="OFP24" s="1280"/>
      <c r="OFQ24" s="1280"/>
      <c r="OFR24" s="1280"/>
      <c r="OFS24" s="1280"/>
      <c r="OFT24" s="1280"/>
      <c r="OFU24" s="1280"/>
      <c r="OFV24" s="1280"/>
      <c r="OFW24" s="1280"/>
      <c r="OFX24" s="1280"/>
      <c r="OFY24" s="1280"/>
      <c r="OFZ24" s="1280"/>
      <c r="OGA24" s="1280"/>
      <c r="OGB24" s="1280"/>
      <c r="OGC24" s="1280"/>
      <c r="OGD24" s="1280"/>
      <c r="OGE24" s="1280"/>
      <c r="OGF24" s="1280"/>
      <c r="OGG24" s="1280"/>
      <c r="OGH24" s="1280"/>
      <c r="OGI24" s="1280"/>
      <c r="OGJ24" s="1280"/>
      <c r="OGK24" s="1280"/>
      <c r="OGL24" s="1280"/>
      <c r="OGM24" s="1280"/>
      <c r="OGN24" s="1280"/>
      <c r="OGO24" s="1280"/>
      <c r="OGP24" s="1280"/>
      <c r="OGQ24" s="1280"/>
      <c r="OGR24" s="1280"/>
      <c r="OGS24" s="1280"/>
      <c r="OGT24" s="1280"/>
      <c r="OGU24" s="1280"/>
      <c r="OGV24" s="1280"/>
      <c r="OGW24" s="1280"/>
      <c r="OGX24" s="1280"/>
      <c r="OGY24" s="1280"/>
      <c r="OGZ24" s="1280"/>
      <c r="OHA24" s="1280"/>
      <c r="OHB24" s="1280"/>
      <c r="OHC24" s="1280"/>
      <c r="OHD24" s="1280"/>
      <c r="OHE24" s="1280"/>
      <c r="OHF24" s="1280"/>
      <c r="OHG24" s="1280"/>
      <c r="OHH24" s="1280"/>
      <c r="OHI24" s="1280"/>
      <c r="OHJ24" s="1280"/>
      <c r="OHK24" s="1280"/>
      <c r="OHL24" s="1280"/>
      <c r="OHM24" s="1280"/>
      <c r="OHN24" s="1280"/>
      <c r="OHO24" s="1280"/>
      <c r="OHP24" s="1280"/>
      <c r="OHQ24" s="1280"/>
      <c r="OHR24" s="1280"/>
      <c r="OHS24" s="1280"/>
      <c r="OHT24" s="1280"/>
      <c r="OHU24" s="1280"/>
      <c r="OHV24" s="1280"/>
      <c r="OHW24" s="1280"/>
      <c r="OHX24" s="1280"/>
      <c r="OHY24" s="1280"/>
      <c r="OHZ24" s="1280"/>
      <c r="OIA24" s="1280"/>
      <c r="OIB24" s="1280"/>
      <c r="OIC24" s="1280"/>
      <c r="OID24" s="1280"/>
      <c r="OIE24" s="1280"/>
      <c r="OIF24" s="1280"/>
      <c r="OIG24" s="1280"/>
      <c r="OIH24" s="1280"/>
      <c r="OII24" s="1280"/>
      <c r="OIJ24" s="1280"/>
      <c r="OIK24" s="1280"/>
      <c r="OIL24" s="1280"/>
      <c r="OIM24" s="1280"/>
      <c r="OIN24" s="1280"/>
      <c r="OIO24" s="1280"/>
      <c r="OIP24" s="1280"/>
      <c r="OIQ24" s="1280"/>
      <c r="OIR24" s="1280"/>
      <c r="OIS24" s="1280"/>
      <c r="OIT24" s="1280"/>
      <c r="OIU24" s="1280"/>
      <c r="OIV24" s="1280"/>
      <c r="OIW24" s="1280"/>
      <c r="OIX24" s="1280"/>
      <c r="OIY24" s="1280"/>
      <c r="OIZ24" s="1280"/>
      <c r="OJA24" s="1280"/>
      <c r="OJB24" s="1280"/>
      <c r="OJC24" s="1280"/>
      <c r="OJD24" s="1280"/>
      <c r="OJE24" s="1280"/>
      <c r="OJF24" s="1280"/>
      <c r="OJG24" s="1280"/>
      <c r="OJH24" s="1280"/>
      <c r="OJI24" s="1280"/>
      <c r="OJJ24" s="1280"/>
      <c r="OJK24" s="1280"/>
      <c r="OJL24" s="1280"/>
      <c r="OJM24" s="1280"/>
      <c r="OJN24" s="1280"/>
      <c r="OJO24" s="1280"/>
      <c r="OJP24" s="1280"/>
      <c r="OJQ24" s="1280"/>
      <c r="OJR24" s="1280"/>
      <c r="OJS24" s="1280"/>
      <c r="OJT24" s="1280"/>
      <c r="OJU24" s="1280"/>
      <c r="OJV24" s="1280"/>
      <c r="OJW24" s="1280"/>
      <c r="OJX24" s="1280"/>
      <c r="OJY24" s="1280"/>
      <c r="OJZ24" s="1280"/>
      <c r="OKA24" s="1280"/>
      <c r="OKB24" s="1280"/>
      <c r="OKC24" s="1280"/>
      <c r="OKD24" s="1280"/>
      <c r="OKE24" s="1280"/>
      <c r="OKF24" s="1280"/>
      <c r="OKG24" s="1280"/>
      <c r="OKH24" s="1280"/>
      <c r="OKI24" s="1280"/>
      <c r="OKJ24" s="1280"/>
      <c r="OKK24" s="1280"/>
      <c r="OKL24" s="1280"/>
      <c r="OKM24" s="1280"/>
      <c r="OKN24" s="1280"/>
      <c r="OKO24" s="1280"/>
      <c r="OKP24" s="1280"/>
      <c r="OKQ24" s="1280"/>
      <c r="OKR24" s="1280"/>
      <c r="OKS24" s="1280"/>
      <c r="OKT24" s="1280"/>
      <c r="OKU24" s="1280"/>
      <c r="OKV24" s="1280"/>
      <c r="OKW24" s="1280"/>
      <c r="OKX24" s="1280"/>
      <c r="OKY24" s="1280"/>
      <c r="OKZ24" s="1280"/>
      <c r="OLA24" s="1280"/>
      <c r="OLB24" s="1280"/>
      <c r="OLC24" s="1280"/>
      <c r="OLD24" s="1280"/>
      <c r="OLE24" s="1280"/>
      <c r="OLF24" s="1280"/>
      <c r="OLG24" s="1280"/>
      <c r="OLH24" s="1280"/>
      <c r="OLI24" s="1280"/>
      <c r="OLJ24" s="1280"/>
      <c r="OLK24" s="1280"/>
      <c r="OLL24" s="1280"/>
      <c r="OLM24" s="1280"/>
      <c r="OLN24" s="1280"/>
      <c r="OLO24" s="1280"/>
      <c r="OLP24" s="1280"/>
      <c r="OLQ24" s="1280"/>
      <c r="OLR24" s="1280"/>
      <c r="OLS24" s="1280"/>
      <c r="OLT24" s="1280"/>
      <c r="OLU24" s="1280"/>
      <c r="OLV24" s="1280"/>
      <c r="OLW24" s="1280"/>
      <c r="OLX24" s="1280"/>
      <c r="OLY24" s="1280"/>
      <c r="OLZ24" s="1280"/>
      <c r="OMA24" s="1280"/>
      <c r="OMB24" s="1280"/>
      <c r="OMC24" s="1280"/>
      <c r="OMD24" s="1280"/>
      <c r="OME24" s="1280"/>
      <c r="OMF24" s="1280"/>
      <c r="OMG24" s="1280"/>
      <c r="OMH24" s="1280"/>
      <c r="OMI24" s="1280"/>
      <c r="OMJ24" s="1280"/>
      <c r="OMK24" s="1280"/>
      <c r="OML24" s="1280"/>
      <c r="OMM24" s="1280"/>
      <c r="OMN24" s="1280"/>
      <c r="OMO24" s="1280"/>
      <c r="OMP24" s="1280"/>
      <c r="OMQ24" s="1280"/>
      <c r="OMR24" s="1280"/>
      <c r="OMS24" s="1280"/>
      <c r="OMT24" s="1280"/>
      <c r="OMU24" s="1280"/>
      <c r="OMV24" s="1280"/>
      <c r="OMW24" s="1280"/>
      <c r="OMX24" s="1280"/>
      <c r="OMY24" s="1280"/>
      <c r="OMZ24" s="1280"/>
      <c r="ONA24" s="1280"/>
      <c r="ONB24" s="1280"/>
      <c r="ONC24" s="1280"/>
      <c r="OND24" s="1280"/>
      <c r="ONE24" s="1280"/>
      <c r="ONF24" s="1280"/>
      <c r="ONG24" s="1280"/>
      <c r="ONH24" s="1280"/>
      <c r="ONI24" s="1280"/>
      <c r="ONJ24" s="1280"/>
      <c r="ONK24" s="1280"/>
      <c r="ONL24" s="1280"/>
      <c r="ONM24" s="1280"/>
      <c r="ONN24" s="1280"/>
      <c r="ONO24" s="1280"/>
      <c r="ONP24" s="1280"/>
      <c r="ONQ24" s="1280"/>
      <c r="ONR24" s="1280"/>
      <c r="ONS24" s="1280"/>
      <c r="ONT24" s="1280"/>
      <c r="ONU24" s="1280"/>
      <c r="ONV24" s="1280"/>
      <c r="ONW24" s="1280"/>
      <c r="ONX24" s="1280"/>
      <c r="ONY24" s="1280"/>
      <c r="ONZ24" s="1280"/>
      <c r="OOA24" s="1280"/>
      <c r="OOB24" s="1280"/>
      <c r="OOC24" s="1280"/>
      <c r="OOD24" s="1280"/>
      <c r="OOE24" s="1280"/>
      <c r="OOF24" s="1280"/>
      <c r="OOG24" s="1280"/>
      <c r="OOH24" s="1280"/>
      <c r="OOI24" s="1280"/>
      <c r="OOJ24" s="1280"/>
      <c r="OOK24" s="1280"/>
      <c r="OOL24" s="1280"/>
      <c r="OOM24" s="1280"/>
      <c r="OON24" s="1280"/>
      <c r="OOO24" s="1280"/>
      <c r="OOP24" s="1280"/>
      <c r="OOQ24" s="1280"/>
      <c r="OOR24" s="1280"/>
      <c r="OOS24" s="1280"/>
      <c r="OOT24" s="1280"/>
      <c r="OOU24" s="1280"/>
      <c r="OOV24" s="1280"/>
      <c r="OOW24" s="1280"/>
      <c r="OOX24" s="1280"/>
      <c r="OOY24" s="1280"/>
      <c r="OOZ24" s="1280"/>
      <c r="OPA24" s="1280"/>
      <c r="OPB24" s="1280"/>
      <c r="OPC24" s="1280"/>
      <c r="OPD24" s="1280"/>
      <c r="OPE24" s="1280"/>
      <c r="OPF24" s="1280"/>
      <c r="OPG24" s="1280"/>
      <c r="OPH24" s="1280"/>
      <c r="OPI24" s="1280"/>
      <c r="OPJ24" s="1280"/>
      <c r="OPK24" s="1280"/>
      <c r="OPL24" s="1280"/>
      <c r="OPM24" s="1280"/>
      <c r="OPN24" s="1280"/>
      <c r="OPO24" s="1280"/>
      <c r="OPP24" s="1280"/>
      <c r="OPQ24" s="1280"/>
      <c r="OPR24" s="1280"/>
      <c r="OPS24" s="1280"/>
      <c r="OPT24" s="1280"/>
      <c r="OPU24" s="1280"/>
      <c r="OPV24" s="1280"/>
      <c r="OPW24" s="1280"/>
      <c r="OPX24" s="1280"/>
      <c r="OPY24" s="1280"/>
      <c r="OPZ24" s="1280"/>
      <c r="OQA24" s="1280"/>
      <c r="OQB24" s="1280"/>
      <c r="OQC24" s="1280"/>
      <c r="OQD24" s="1280"/>
      <c r="OQE24" s="1280"/>
      <c r="OQF24" s="1280"/>
      <c r="OQG24" s="1280"/>
      <c r="OQH24" s="1280"/>
      <c r="OQI24" s="1280"/>
      <c r="OQJ24" s="1280"/>
      <c r="OQK24" s="1280"/>
      <c r="OQL24" s="1280"/>
      <c r="OQM24" s="1280"/>
      <c r="OQN24" s="1280"/>
      <c r="OQO24" s="1280"/>
      <c r="OQP24" s="1280"/>
      <c r="OQQ24" s="1280"/>
      <c r="OQR24" s="1280"/>
      <c r="OQS24" s="1280"/>
      <c r="OQT24" s="1280"/>
      <c r="OQU24" s="1280"/>
      <c r="OQV24" s="1280"/>
      <c r="OQW24" s="1280"/>
      <c r="OQX24" s="1280"/>
      <c r="OQY24" s="1280"/>
      <c r="OQZ24" s="1280"/>
      <c r="ORA24" s="1280"/>
      <c r="ORB24" s="1280"/>
      <c r="ORC24" s="1280"/>
      <c r="ORD24" s="1280"/>
      <c r="ORE24" s="1280"/>
      <c r="ORF24" s="1280"/>
      <c r="ORG24" s="1280"/>
      <c r="ORH24" s="1280"/>
      <c r="ORI24" s="1280"/>
      <c r="ORJ24" s="1280"/>
      <c r="ORK24" s="1280"/>
      <c r="ORL24" s="1280"/>
      <c r="ORM24" s="1280"/>
      <c r="ORN24" s="1280"/>
      <c r="ORO24" s="1280"/>
      <c r="ORP24" s="1280"/>
      <c r="ORQ24" s="1280"/>
      <c r="ORR24" s="1280"/>
      <c r="ORS24" s="1280"/>
      <c r="ORT24" s="1280"/>
      <c r="ORU24" s="1280"/>
      <c r="ORV24" s="1280"/>
      <c r="ORW24" s="1280"/>
      <c r="ORX24" s="1280"/>
      <c r="ORY24" s="1280"/>
      <c r="ORZ24" s="1280"/>
      <c r="OSA24" s="1280"/>
      <c r="OSB24" s="1280"/>
      <c r="OSC24" s="1280"/>
      <c r="OSD24" s="1280"/>
      <c r="OSE24" s="1280"/>
      <c r="OSF24" s="1280"/>
      <c r="OSG24" s="1280"/>
      <c r="OSH24" s="1280"/>
      <c r="OSI24" s="1280"/>
      <c r="OSJ24" s="1280"/>
      <c r="OSK24" s="1280"/>
      <c r="OSL24" s="1280"/>
      <c r="OSM24" s="1280"/>
      <c r="OSN24" s="1280"/>
      <c r="OSO24" s="1280"/>
      <c r="OSP24" s="1280"/>
      <c r="OSQ24" s="1280"/>
      <c r="OSR24" s="1280"/>
      <c r="OSS24" s="1280"/>
      <c r="OST24" s="1280"/>
      <c r="OSU24" s="1280"/>
      <c r="OSV24" s="1280"/>
      <c r="OSW24" s="1280"/>
      <c r="OSX24" s="1280"/>
      <c r="OSY24" s="1280"/>
      <c r="OSZ24" s="1280"/>
      <c r="OTA24" s="1280"/>
      <c r="OTB24" s="1280"/>
      <c r="OTC24" s="1280"/>
      <c r="OTD24" s="1280"/>
      <c r="OTE24" s="1280"/>
      <c r="OTF24" s="1280"/>
      <c r="OTG24" s="1280"/>
      <c r="OTH24" s="1280"/>
      <c r="OTI24" s="1280"/>
      <c r="OTJ24" s="1280"/>
      <c r="OTK24" s="1280"/>
      <c r="OTL24" s="1280"/>
      <c r="OTM24" s="1280"/>
      <c r="OTN24" s="1280"/>
      <c r="OTO24" s="1280"/>
      <c r="OTP24" s="1280"/>
      <c r="OTQ24" s="1280"/>
      <c r="OTR24" s="1280"/>
      <c r="OTS24" s="1280"/>
      <c r="OTT24" s="1280"/>
      <c r="OTU24" s="1280"/>
      <c r="OTV24" s="1280"/>
      <c r="OTW24" s="1280"/>
      <c r="OTX24" s="1280"/>
      <c r="OTY24" s="1280"/>
      <c r="OTZ24" s="1280"/>
      <c r="OUA24" s="1280"/>
      <c r="OUB24" s="1280"/>
      <c r="OUC24" s="1280"/>
      <c r="OUD24" s="1280"/>
      <c r="OUE24" s="1280"/>
      <c r="OUF24" s="1280"/>
      <c r="OUG24" s="1280"/>
      <c r="OUH24" s="1280"/>
      <c r="OUI24" s="1280"/>
      <c r="OUJ24" s="1280"/>
      <c r="OUK24" s="1280"/>
      <c r="OUL24" s="1280"/>
      <c r="OUM24" s="1280"/>
      <c r="OUN24" s="1280"/>
      <c r="OUO24" s="1280"/>
      <c r="OUP24" s="1280"/>
      <c r="OUQ24" s="1280"/>
      <c r="OUR24" s="1280"/>
      <c r="OUS24" s="1280"/>
      <c r="OUT24" s="1280"/>
      <c r="OUU24" s="1280"/>
      <c r="OUV24" s="1280"/>
      <c r="OUW24" s="1280"/>
      <c r="OUX24" s="1280"/>
      <c r="OUY24" s="1280"/>
      <c r="OUZ24" s="1280"/>
      <c r="OVA24" s="1280"/>
      <c r="OVB24" s="1280"/>
      <c r="OVC24" s="1280"/>
      <c r="OVD24" s="1280"/>
      <c r="OVE24" s="1280"/>
      <c r="OVF24" s="1280"/>
      <c r="OVG24" s="1280"/>
      <c r="OVH24" s="1280"/>
      <c r="OVI24" s="1280"/>
      <c r="OVJ24" s="1280"/>
      <c r="OVK24" s="1280"/>
      <c r="OVL24" s="1280"/>
      <c r="OVM24" s="1280"/>
      <c r="OVN24" s="1280"/>
      <c r="OVO24" s="1280"/>
      <c r="OVP24" s="1280"/>
      <c r="OVQ24" s="1280"/>
      <c r="OVR24" s="1280"/>
      <c r="OVS24" s="1280"/>
      <c r="OVT24" s="1280"/>
      <c r="OVU24" s="1280"/>
      <c r="OVV24" s="1280"/>
      <c r="OVW24" s="1280"/>
      <c r="OVX24" s="1280"/>
      <c r="OVY24" s="1280"/>
      <c r="OVZ24" s="1280"/>
      <c r="OWA24" s="1280"/>
      <c r="OWB24" s="1280"/>
      <c r="OWC24" s="1280"/>
      <c r="OWD24" s="1280"/>
      <c r="OWE24" s="1280"/>
      <c r="OWF24" s="1280"/>
      <c r="OWG24" s="1280"/>
      <c r="OWH24" s="1280"/>
      <c r="OWI24" s="1280"/>
      <c r="OWJ24" s="1280"/>
      <c r="OWK24" s="1280"/>
      <c r="OWL24" s="1280"/>
      <c r="OWM24" s="1280"/>
      <c r="OWN24" s="1280"/>
      <c r="OWO24" s="1280"/>
      <c r="OWP24" s="1280"/>
      <c r="OWQ24" s="1280"/>
      <c r="OWR24" s="1280"/>
      <c r="OWS24" s="1280"/>
      <c r="OWT24" s="1280"/>
      <c r="OWU24" s="1280"/>
      <c r="OWV24" s="1280"/>
      <c r="OWW24" s="1280"/>
      <c r="OWX24" s="1280"/>
      <c r="OWY24" s="1280"/>
      <c r="OWZ24" s="1280"/>
      <c r="OXA24" s="1280"/>
      <c r="OXB24" s="1280"/>
      <c r="OXC24" s="1280"/>
      <c r="OXD24" s="1280"/>
      <c r="OXE24" s="1280"/>
      <c r="OXF24" s="1280"/>
      <c r="OXG24" s="1280"/>
      <c r="OXH24" s="1280"/>
      <c r="OXI24" s="1280"/>
      <c r="OXJ24" s="1280"/>
      <c r="OXK24" s="1280"/>
      <c r="OXL24" s="1280"/>
      <c r="OXM24" s="1280"/>
      <c r="OXN24" s="1280"/>
      <c r="OXO24" s="1280"/>
      <c r="OXP24" s="1280"/>
      <c r="OXQ24" s="1280"/>
      <c r="OXR24" s="1280"/>
      <c r="OXS24" s="1280"/>
      <c r="OXT24" s="1280"/>
      <c r="OXU24" s="1280"/>
      <c r="OXV24" s="1280"/>
      <c r="OXW24" s="1280"/>
      <c r="OXX24" s="1280"/>
      <c r="OXY24" s="1280"/>
      <c r="OXZ24" s="1280"/>
      <c r="OYA24" s="1280"/>
      <c r="OYB24" s="1280"/>
      <c r="OYC24" s="1280"/>
      <c r="OYD24" s="1280"/>
      <c r="OYE24" s="1280"/>
      <c r="OYF24" s="1280"/>
      <c r="OYG24" s="1280"/>
      <c r="OYH24" s="1280"/>
      <c r="OYI24" s="1280"/>
      <c r="OYJ24" s="1280"/>
      <c r="OYK24" s="1280"/>
      <c r="OYL24" s="1280"/>
      <c r="OYM24" s="1280"/>
      <c r="OYN24" s="1280"/>
      <c r="OYO24" s="1280"/>
      <c r="OYP24" s="1280"/>
      <c r="OYQ24" s="1280"/>
      <c r="OYR24" s="1280"/>
      <c r="OYS24" s="1280"/>
      <c r="OYT24" s="1280"/>
      <c r="OYU24" s="1280"/>
      <c r="OYV24" s="1280"/>
      <c r="OYW24" s="1280"/>
      <c r="OYX24" s="1280"/>
      <c r="OYY24" s="1280"/>
      <c r="OYZ24" s="1280"/>
      <c r="OZA24" s="1280"/>
      <c r="OZB24" s="1280"/>
      <c r="OZC24" s="1280"/>
      <c r="OZD24" s="1280"/>
      <c r="OZE24" s="1280"/>
      <c r="OZF24" s="1280"/>
      <c r="OZG24" s="1280"/>
      <c r="OZH24" s="1280"/>
      <c r="OZI24" s="1280"/>
      <c r="OZJ24" s="1280"/>
      <c r="OZK24" s="1280"/>
      <c r="OZL24" s="1280"/>
      <c r="OZM24" s="1280"/>
      <c r="OZN24" s="1280"/>
      <c r="OZO24" s="1280"/>
      <c r="OZP24" s="1280"/>
      <c r="OZQ24" s="1280"/>
      <c r="OZR24" s="1280"/>
      <c r="OZS24" s="1280"/>
      <c r="OZT24" s="1280"/>
      <c r="OZU24" s="1280"/>
      <c r="OZV24" s="1280"/>
      <c r="OZW24" s="1280"/>
      <c r="OZX24" s="1280"/>
      <c r="OZY24" s="1280"/>
      <c r="OZZ24" s="1280"/>
      <c r="PAA24" s="1280"/>
      <c r="PAB24" s="1280"/>
      <c r="PAC24" s="1280"/>
      <c r="PAD24" s="1280"/>
      <c r="PAE24" s="1280"/>
      <c r="PAF24" s="1280"/>
      <c r="PAG24" s="1280"/>
      <c r="PAH24" s="1280"/>
      <c r="PAI24" s="1280"/>
      <c r="PAJ24" s="1280"/>
      <c r="PAK24" s="1280"/>
      <c r="PAL24" s="1280"/>
      <c r="PAM24" s="1280"/>
      <c r="PAN24" s="1280"/>
      <c r="PAO24" s="1280"/>
      <c r="PAP24" s="1280"/>
      <c r="PAQ24" s="1280"/>
      <c r="PAR24" s="1280"/>
      <c r="PAS24" s="1280"/>
      <c r="PAT24" s="1280"/>
      <c r="PAU24" s="1280"/>
      <c r="PAV24" s="1280"/>
      <c r="PAW24" s="1280"/>
      <c r="PAX24" s="1280"/>
      <c r="PAY24" s="1280"/>
      <c r="PAZ24" s="1280"/>
      <c r="PBA24" s="1280"/>
      <c r="PBB24" s="1280"/>
      <c r="PBC24" s="1280"/>
      <c r="PBD24" s="1280"/>
      <c r="PBE24" s="1280"/>
      <c r="PBF24" s="1280"/>
      <c r="PBG24" s="1280"/>
      <c r="PBH24" s="1280"/>
      <c r="PBI24" s="1280"/>
      <c r="PBJ24" s="1280"/>
      <c r="PBK24" s="1280"/>
      <c r="PBL24" s="1280"/>
      <c r="PBM24" s="1280"/>
      <c r="PBN24" s="1280"/>
      <c r="PBO24" s="1280"/>
      <c r="PBP24" s="1280"/>
      <c r="PBQ24" s="1280"/>
      <c r="PBR24" s="1280"/>
      <c r="PBS24" s="1280"/>
      <c r="PBT24" s="1280"/>
      <c r="PBU24" s="1280"/>
      <c r="PBV24" s="1280"/>
      <c r="PBW24" s="1280"/>
      <c r="PBX24" s="1280"/>
      <c r="PBY24" s="1280"/>
      <c r="PBZ24" s="1280"/>
      <c r="PCA24" s="1280"/>
      <c r="PCB24" s="1280"/>
      <c r="PCC24" s="1280"/>
      <c r="PCD24" s="1280"/>
      <c r="PCE24" s="1280"/>
      <c r="PCF24" s="1280"/>
      <c r="PCG24" s="1280"/>
      <c r="PCH24" s="1280"/>
      <c r="PCI24" s="1280"/>
      <c r="PCJ24" s="1280"/>
      <c r="PCK24" s="1280"/>
      <c r="PCL24" s="1280"/>
      <c r="PCM24" s="1280"/>
      <c r="PCN24" s="1280"/>
      <c r="PCO24" s="1280"/>
      <c r="PCP24" s="1280"/>
      <c r="PCQ24" s="1280"/>
      <c r="PCR24" s="1280"/>
      <c r="PCS24" s="1280"/>
      <c r="PCT24" s="1280"/>
      <c r="PCU24" s="1280"/>
      <c r="PCV24" s="1280"/>
      <c r="PCW24" s="1280"/>
      <c r="PCX24" s="1280"/>
      <c r="PCY24" s="1280"/>
      <c r="PCZ24" s="1280"/>
      <c r="PDA24" s="1280"/>
      <c r="PDB24" s="1280"/>
      <c r="PDC24" s="1280"/>
      <c r="PDD24" s="1280"/>
      <c r="PDE24" s="1280"/>
      <c r="PDF24" s="1280"/>
      <c r="PDG24" s="1280"/>
      <c r="PDH24" s="1280"/>
      <c r="PDI24" s="1280"/>
      <c r="PDJ24" s="1280"/>
      <c r="PDK24" s="1280"/>
      <c r="PDL24" s="1280"/>
      <c r="PDM24" s="1280"/>
      <c r="PDN24" s="1280"/>
      <c r="PDO24" s="1280"/>
      <c r="PDP24" s="1280"/>
      <c r="PDQ24" s="1280"/>
      <c r="PDR24" s="1280"/>
      <c r="PDS24" s="1280"/>
      <c r="PDT24" s="1280"/>
      <c r="PDU24" s="1280"/>
      <c r="PDV24" s="1280"/>
      <c r="PDW24" s="1280"/>
      <c r="PDX24" s="1280"/>
      <c r="PDY24" s="1280"/>
      <c r="PDZ24" s="1280"/>
      <c r="PEA24" s="1280"/>
      <c r="PEB24" s="1280"/>
      <c r="PEC24" s="1280"/>
      <c r="PED24" s="1280"/>
      <c r="PEE24" s="1280"/>
      <c r="PEF24" s="1280"/>
      <c r="PEG24" s="1280"/>
      <c r="PEH24" s="1280"/>
      <c r="PEI24" s="1280"/>
      <c r="PEJ24" s="1280"/>
      <c r="PEK24" s="1280"/>
      <c r="PEL24" s="1280"/>
      <c r="PEM24" s="1280"/>
      <c r="PEN24" s="1280"/>
      <c r="PEO24" s="1280"/>
      <c r="PEP24" s="1280"/>
      <c r="PEQ24" s="1280"/>
      <c r="PER24" s="1280"/>
      <c r="PES24" s="1280"/>
      <c r="PET24" s="1280"/>
      <c r="PEU24" s="1280"/>
      <c r="PEV24" s="1280"/>
      <c r="PEW24" s="1280"/>
      <c r="PEX24" s="1280"/>
      <c r="PEY24" s="1280"/>
      <c r="PEZ24" s="1280"/>
      <c r="PFA24" s="1280"/>
      <c r="PFB24" s="1280"/>
      <c r="PFC24" s="1280"/>
      <c r="PFD24" s="1280"/>
      <c r="PFE24" s="1280"/>
      <c r="PFF24" s="1280"/>
      <c r="PFG24" s="1280"/>
      <c r="PFH24" s="1280"/>
      <c r="PFI24" s="1280"/>
      <c r="PFJ24" s="1280"/>
      <c r="PFK24" s="1280"/>
      <c r="PFL24" s="1280"/>
      <c r="PFM24" s="1280"/>
      <c r="PFN24" s="1280"/>
      <c r="PFO24" s="1280"/>
      <c r="PFP24" s="1280"/>
      <c r="PFQ24" s="1280"/>
      <c r="PFR24" s="1280"/>
      <c r="PFS24" s="1280"/>
      <c r="PFT24" s="1280"/>
      <c r="PFU24" s="1280"/>
      <c r="PFV24" s="1280"/>
      <c r="PFW24" s="1280"/>
      <c r="PFX24" s="1280"/>
      <c r="PFY24" s="1280"/>
      <c r="PFZ24" s="1280"/>
      <c r="PGA24" s="1280"/>
      <c r="PGB24" s="1280"/>
      <c r="PGC24" s="1280"/>
      <c r="PGD24" s="1280"/>
      <c r="PGE24" s="1280"/>
      <c r="PGF24" s="1280"/>
      <c r="PGG24" s="1280"/>
      <c r="PGH24" s="1280"/>
      <c r="PGI24" s="1280"/>
      <c r="PGJ24" s="1280"/>
      <c r="PGK24" s="1280"/>
      <c r="PGL24" s="1280"/>
      <c r="PGM24" s="1280"/>
      <c r="PGN24" s="1280"/>
      <c r="PGO24" s="1280"/>
      <c r="PGP24" s="1280"/>
      <c r="PGQ24" s="1280"/>
      <c r="PGR24" s="1280"/>
      <c r="PGS24" s="1280"/>
      <c r="PGT24" s="1280"/>
      <c r="PGU24" s="1280"/>
      <c r="PGV24" s="1280"/>
      <c r="PGW24" s="1280"/>
      <c r="PGX24" s="1280"/>
      <c r="PGY24" s="1280"/>
      <c r="PGZ24" s="1280"/>
      <c r="PHA24" s="1280"/>
      <c r="PHB24" s="1280"/>
      <c r="PHC24" s="1280"/>
      <c r="PHD24" s="1280"/>
      <c r="PHE24" s="1280"/>
      <c r="PHF24" s="1280"/>
      <c r="PHG24" s="1280"/>
      <c r="PHH24" s="1280"/>
      <c r="PHI24" s="1280"/>
      <c r="PHJ24" s="1280"/>
      <c r="PHK24" s="1280"/>
      <c r="PHL24" s="1280"/>
      <c r="PHM24" s="1280"/>
      <c r="PHN24" s="1280"/>
      <c r="PHO24" s="1280"/>
      <c r="PHP24" s="1280"/>
      <c r="PHQ24" s="1280"/>
      <c r="PHR24" s="1280"/>
      <c r="PHS24" s="1280"/>
      <c r="PHT24" s="1280"/>
      <c r="PHU24" s="1280"/>
      <c r="PHV24" s="1280"/>
      <c r="PHW24" s="1280"/>
      <c r="PHX24" s="1280"/>
      <c r="PHY24" s="1280"/>
      <c r="PHZ24" s="1280"/>
      <c r="PIA24" s="1280"/>
      <c r="PIB24" s="1280"/>
      <c r="PIC24" s="1280"/>
      <c r="PID24" s="1280"/>
      <c r="PIE24" s="1280"/>
      <c r="PIF24" s="1280"/>
      <c r="PIG24" s="1280"/>
      <c r="PIH24" s="1280"/>
      <c r="PII24" s="1280"/>
      <c r="PIJ24" s="1280"/>
      <c r="PIK24" s="1280"/>
      <c r="PIL24" s="1280"/>
      <c r="PIM24" s="1280"/>
      <c r="PIN24" s="1280"/>
      <c r="PIO24" s="1280"/>
      <c r="PIP24" s="1280"/>
      <c r="PIQ24" s="1280"/>
      <c r="PIR24" s="1280"/>
      <c r="PIS24" s="1280"/>
      <c r="PIT24" s="1280"/>
      <c r="PIU24" s="1280"/>
      <c r="PIV24" s="1280"/>
      <c r="PIW24" s="1280"/>
      <c r="PIX24" s="1280"/>
      <c r="PIY24" s="1280"/>
      <c r="PIZ24" s="1280"/>
      <c r="PJA24" s="1280"/>
      <c r="PJB24" s="1280"/>
      <c r="PJC24" s="1280"/>
      <c r="PJD24" s="1280"/>
      <c r="PJE24" s="1280"/>
      <c r="PJF24" s="1280"/>
      <c r="PJG24" s="1280"/>
      <c r="PJH24" s="1280"/>
      <c r="PJI24" s="1280"/>
      <c r="PJJ24" s="1280"/>
      <c r="PJK24" s="1280"/>
      <c r="PJL24" s="1280"/>
      <c r="PJM24" s="1280"/>
      <c r="PJN24" s="1280"/>
      <c r="PJO24" s="1280"/>
      <c r="PJP24" s="1280"/>
      <c r="PJQ24" s="1280"/>
      <c r="PJR24" s="1280"/>
      <c r="PJS24" s="1280"/>
      <c r="PJT24" s="1280"/>
      <c r="PJU24" s="1280"/>
      <c r="PJV24" s="1280"/>
      <c r="PJW24" s="1280"/>
      <c r="PJX24" s="1280"/>
      <c r="PJY24" s="1280"/>
      <c r="PJZ24" s="1280"/>
      <c r="PKA24" s="1280"/>
      <c r="PKB24" s="1280"/>
      <c r="PKC24" s="1280"/>
      <c r="PKD24" s="1280"/>
      <c r="PKE24" s="1280"/>
      <c r="PKF24" s="1280"/>
      <c r="PKG24" s="1280"/>
      <c r="PKH24" s="1280"/>
      <c r="PKI24" s="1280"/>
      <c r="PKJ24" s="1280"/>
      <c r="PKK24" s="1280"/>
      <c r="PKL24" s="1280"/>
      <c r="PKM24" s="1280"/>
      <c r="PKN24" s="1280"/>
      <c r="PKO24" s="1280"/>
      <c r="PKP24" s="1280"/>
      <c r="PKQ24" s="1280"/>
      <c r="PKR24" s="1280"/>
      <c r="PKS24" s="1280"/>
      <c r="PKT24" s="1280"/>
      <c r="PKU24" s="1280"/>
      <c r="PKV24" s="1280"/>
      <c r="PKW24" s="1280"/>
      <c r="PKX24" s="1280"/>
      <c r="PKY24" s="1280"/>
      <c r="PKZ24" s="1280"/>
      <c r="PLA24" s="1280"/>
      <c r="PLB24" s="1280"/>
      <c r="PLC24" s="1280"/>
      <c r="PLD24" s="1280"/>
      <c r="PLE24" s="1280"/>
      <c r="PLF24" s="1280"/>
      <c r="PLG24" s="1280"/>
      <c r="PLH24" s="1280"/>
      <c r="PLI24" s="1280"/>
      <c r="PLJ24" s="1280"/>
      <c r="PLK24" s="1280"/>
      <c r="PLL24" s="1280"/>
      <c r="PLM24" s="1280"/>
      <c r="PLN24" s="1280"/>
      <c r="PLO24" s="1280"/>
      <c r="PLP24" s="1280"/>
      <c r="PLQ24" s="1280"/>
      <c r="PLR24" s="1280"/>
      <c r="PLS24" s="1280"/>
      <c r="PLT24" s="1280"/>
      <c r="PLU24" s="1280"/>
      <c r="PLV24" s="1280"/>
      <c r="PLW24" s="1280"/>
      <c r="PLX24" s="1280"/>
      <c r="PLY24" s="1280"/>
      <c r="PLZ24" s="1280"/>
      <c r="PMA24" s="1280"/>
      <c r="PMB24" s="1280"/>
      <c r="PMC24" s="1280"/>
      <c r="PMD24" s="1280"/>
      <c r="PME24" s="1280"/>
      <c r="PMF24" s="1280"/>
      <c r="PMG24" s="1280"/>
      <c r="PMH24" s="1280"/>
      <c r="PMI24" s="1280"/>
      <c r="PMJ24" s="1280"/>
      <c r="PMK24" s="1280"/>
      <c r="PML24" s="1280"/>
      <c r="PMM24" s="1280"/>
      <c r="PMN24" s="1280"/>
      <c r="PMO24" s="1280"/>
      <c r="PMP24" s="1280"/>
      <c r="PMQ24" s="1280"/>
      <c r="PMR24" s="1280"/>
      <c r="PMS24" s="1280"/>
      <c r="PMT24" s="1280"/>
      <c r="PMU24" s="1280"/>
      <c r="PMV24" s="1280"/>
      <c r="PMW24" s="1280"/>
      <c r="PMX24" s="1280"/>
      <c r="PMY24" s="1280"/>
      <c r="PMZ24" s="1280"/>
      <c r="PNA24" s="1280"/>
      <c r="PNB24" s="1280"/>
      <c r="PNC24" s="1280"/>
      <c r="PND24" s="1280"/>
      <c r="PNE24" s="1280"/>
      <c r="PNF24" s="1280"/>
      <c r="PNG24" s="1280"/>
      <c r="PNH24" s="1280"/>
      <c r="PNI24" s="1280"/>
      <c r="PNJ24" s="1280"/>
      <c r="PNK24" s="1280"/>
      <c r="PNL24" s="1280"/>
      <c r="PNM24" s="1280"/>
      <c r="PNN24" s="1280"/>
      <c r="PNO24" s="1280"/>
      <c r="PNP24" s="1280"/>
      <c r="PNQ24" s="1280"/>
      <c r="PNR24" s="1280"/>
      <c r="PNS24" s="1280"/>
      <c r="PNT24" s="1280"/>
      <c r="PNU24" s="1280"/>
      <c r="PNV24" s="1280"/>
      <c r="PNW24" s="1280"/>
      <c r="PNX24" s="1280"/>
      <c r="PNY24" s="1280"/>
      <c r="PNZ24" s="1280"/>
      <c r="POA24" s="1280"/>
      <c r="POB24" s="1280"/>
      <c r="POC24" s="1280"/>
      <c r="POD24" s="1280"/>
      <c r="POE24" s="1280"/>
      <c r="POF24" s="1280"/>
      <c r="POG24" s="1280"/>
      <c r="POH24" s="1280"/>
      <c r="POI24" s="1280"/>
      <c r="POJ24" s="1280"/>
      <c r="POK24" s="1280"/>
      <c r="POL24" s="1280"/>
      <c r="POM24" s="1280"/>
      <c r="PON24" s="1280"/>
      <c r="POO24" s="1280"/>
      <c r="POP24" s="1280"/>
      <c r="POQ24" s="1280"/>
      <c r="POR24" s="1280"/>
      <c r="POS24" s="1280"/>
      <c r="POT24" s="1280"/>
      <c r="POU24" s="1280"/>
      <c r="POV24" s="1280"/>
      <c r="POW24" s="1280"/>
      <c r="POX24" s="1280"/>
      <c r="POY24" s="1280"/>
      <c r="POZ24" s="1280"/>
      <c r="PPA24" s="1280"/>
      <c r="PPB24" s="1280"/>
      <c r="PPC24" s="1280"/>
      <c r="PPD24" s="1280"/>
      <c r="PPE24" s="1280"/>
      <c r="PPF24" s="1280"/>
      <c r="PPG24" s="1280"/>
      <c r="PPH24" s="1280"/>
      <c r="PPI24" s="1280"/>
      <c r="PPJ24" s="1280"/>
      <c r="PPK24" s="1280"/>
      <c r="PPL24" s="1280"/>
      <c r="PPM24" s="1280"/>
      <c r="PPN24" s="1280"/>
      <c r="PPO24" s="1280"/>
      <c r="PPP24" s="1280"/>
      <c r="PPQ24" s="1280"/>
      <c r="PPR24" s="1280"/>
      <c r="PPS24" s="1280"/>
      <c r="PPT24" s="1280"/>
      <c r="PPU24" s="1280"/>
      <c r="PPV24" s="1280"/>
      <c r="PPW24" s="1280"/>
      <c r="PPX24" s="1280"/>
      <c r="PPY24" s="1280"/>
      <c r="PPZ24" s="1280"/>
      <c r="PQA24" s="1280"/>
      <c r="PQB24" s="1280"/>
      <c r="PQC24" s="1280"/>
      <c r="PQD24" s="1280"/>
      <c r="PQE24" s="1280"/>
      <c r="PQF24" s="1280"/>
      <c r="PQG24" s="1280"/>
      <c r="PQH24" s="1280"/>
      <c r="PQI24" s="1280"/>
      <c r="PQJ24" s="1280"/>
      <c r="PQK24" s="1280"/>
      <c r="PQL24" s="1280"/>
      <c r="PQM24" s="1280"/>
      <c r="PQN24" s="1280"/>
      <c r="PQO24" s="1280"/>
      <c r="PQP24" s="1280"/>
      <c r="PQQ24" s="1280"/>
      <c r="PQR24" s="1280"/>
      <c r="PQS24" s="1280"/>
      <c r="PQT24" s="1280"/>
      <c r="PQU24" s="1280"/>
      <c r="PQV24" s="1280"/>
      <c r="PQW24" s="1280"/>
      <c r="PQX24" s="1280"/>
      <c r="PQY24" s="1280"/>
      <c r="PQZ24" s="1280"/>
      <c r="PRA24" s="1280"/>
      <c r="PRB24" s="1280"/>
      <c r="PRC24" s="1280"/>
      <c r="PRD24" s="1280"/>
      <c r="PRE24" s="1280"/>
      <c r="PRF24" s="1280"/>
      <c r="PRG24" s="1280"/>
      <c r="PRH24" s="1280"/>
      <c r="PRI24" s="1280"/>
      <c r="PRJ24" s="1280"/>
      <c r="PRK24" s="1280"/>
      <c r="PRL24" s="1280"/>
      <c r="PRM24" s="1280"/>
      <c r="PRN24" s="1280"/>
      <c r="PRO24" s="1280"/>
      <c r="PRP24" s="1280"/>
      <c r="PRQ24" s="1280"/>
      <c r="PRR24" s="1280"/>
      <c r="PRS24" s="1280"/>
      <c r="PRT24" s="1280"/>
      <c r="PRU24" s="1280"/>
      <c r="PRV24" s="1280"/>
      <c r="PRW24" s="1280"/>
      <c r="PRX24" s="1280"/>
      <c r="PRY24" s="1280"/>
      <c r="PRZ24" s="1280"/>
      <c r="PSA24" s="1280"/>
      <c r="PSB24" s="1280"/>
      <c r="PSC24" s="1280"/>
      <c r="PSD24" s="1280"/>
      <c r="PSE24" s="1280"/>
      <c r="PSF24" s="1280"/>
      <c r="PSG24" s="1280"/>
      <c r="PSH24" s="1280"/>
      <c r="PSI24" s="1280"/>
      <c r="PSJ24" s="1280"/>
      <c r="PSK24" s="1280"/>
      <c r="PSL24" s="1280"/>
      <c r="PSM24" s="1280"/>
      <c r="PSN24" s="1280"/>
      <c r="PSO24" s="1280"/>
      <c r="PSP24" s="1280"/>
      <c r="PSQ24" s="1280"/>
      <c r="PSR24" s="1280"/>
      <c r="PSS24" s="1280"/>
      <c r="PST24" s="1280"/>
      <c r="PSU24" s="1280"/>
      <c r="PSV24" s="1280"/>
      <c r="PSW24" s="1280"/>
      <c r="PSX24" s="1280"/>
      <c r="PSY24" s="1280"/>
      <c r="PSZ24" s="1280"/>
      <c r="PTA24" s="1280"/>
      <c r="PTB24" s="1280"/>
      <c r="PTC24" s="1280"/>
      <c r="PTD24" s="1280"/>
      <c r="PTE24" s="1280"/>
      <c r="PTF24" s="1280"/>
      <c r="PTG24" s="1280"/>
      <c r="PTH24" s="1280"/>
      <c r="PTI24" s="1280"/>
      <c r="PTJ24" s="1280"/>
      <c r="PTK24" s="1280"/>
      <c r="PTL24" s="1280"/>
      <c r="PTM24" s="1280"/>
      <c r="PTN24" s="1280"/>
      <c r="PTO24" s="1280"/>
      <c r="PTP24" s="1280"/>
      <c r="PTQ24" s="1280"/>
      <c r="PTR24" s="1280"/>
      <c r="PTS24" s="1280"/>
      <c r="PTT24" s="1280"/>
      <c r="PTU24" s="1280"/>
      <c r="PTV24" s="1280"/>
      <c r="PTW24" s="1280"/>
      <c r="PTX24" s="1280"/>
      <c r="PTY24" s="1280"/>
      <c r="PTZ24" s="1280"/>
      <c r="PUA24" s="1280"/>
      <c r="PUB24" s="1280"/>
      <c r="PUC24" s="1280"/>
      <c r="PUD24" s="1280"/>
      <c r="PUE24" s="1280"/>
      <c r="PUF24" s="1280"/>
      <c r="PUG24" s="1280"/>
      <c r="PUH24" s="1280"/>
      <c r="PUI24" s="1280"/>
      <c r="PUJ24" s="1280"/>
      <c r="PUK24" s="1280"/>
      <c r="PUL24" s="1280"/>
      <c r="PUM24" s="1280"/>
      <c r="PUN24" s="1280"/>
      <c r="PUO24" s="1280"/>
      <c r="PUP24" s="1280"/>
      <c r="PUQ24" s="1280"/>
      <c r="PUR24" s="1280"/>
      <c r="PUS24" s="1280"/>
      <c r="PUT24" s="1280"/>
      <c r="PUU24" s="1280"/>
      <c r="PUV24" s="1280"/>
      <c r="PUW24" s="1280"/>
      <c r="PUX24" s="1280"/>
      <c r="PUY24" s="1280"/>
      <c r="PUZ24" s="1280"/>
      <c r="PVA24" s="1280"/>
      <c r="PVB24" s="1280"/>
      <c r="PVC24" s="1280"/>
      <c r="PVD24" s="1280"/>
      <c r="PVE24" s="1280"/>
      <c r="PVF24" s="1280"/>
      <c r="PVG24" s="1280"/>
      <c r="PVH24" s="1280"/>
      <c r="PVI24" s="1280"/>
      <c r="PVJ24" s="1280"/>
      <c r="PVK24" s="1280"/>
      <c r="PVL24" s="1280"/>
      <c r="PVM24" s="1280"/>
      <c r="PVN24" s="1280"/>
      <c r="PVO24" s="1280"/>
      <c r="PVP24" s="1280"/>
      <c r="PVQ24" s="1280"/>
      <c r="PVR24" s="1280"/>
      <c r="PVS24" s="1280"/>
      <c r="PVT24" s="1280"/>
      <c r="PVU24" s="1280"/>
      <c r="PVV24" s="1280"/>
      <c r="PVW24" s="1280"/>
      <c r="PVX24" s="1280"/>
      <c r="PVY24" s="1280"/>
      <c r="PVZ24" s="1280"/>
      <c r="PWA24" s="1280"/>
      <c r="PWB24" s="1280"/>
      <c r="PWC24" s="1280"/>
      <c r="PWD24" s="1280"/>
      <c r="PWE24" s="1280"/>
      <c r="PWF24" s="1280"/>
      <c r="PWG24" s="1280"/>
      <c r="PWH24" s="1280"/>
      <c r="PWI24" s="1280"/>
      <c r="PWJ24" s="1280"/>
      <c r="PWK24" s="1280"/>
      <c r="PWL24" s="1280"/>
      <c r="PWM24" s="1280"/>
      <c r="PWN24" s="1280"/>
      <c r="PWO24" s="1280"/>
      <c r="PWP24" s="1280"/>
      <c r="PWQ24" s="1280"/>
      <c r="PWR24" s="1280"/>
      <c r="PWS24" s="1280"/>
      <c r="PWT24" s="1280"/>
      <c r="PWU24" s="1280"/>
      <c r="PWV24" s="1280"/>
      <c r="PWW24" s="1280"/>
      <c r="PWX24" s="1280"/>
      <c r="PWY24" s="1280"/>
      <c r="PWZ24" s="1280"/>
      <c r="PXA24" s="1280"/>
      <c r="PXB24" s="1280"/>
      <c r="PXC24" s="1280"/>
      <c r="PXD24" s="1280"/>
      <c r="PXE24" s="1280"/>
      <c r="PXF24" s="1280"/>
      <c r="PXG24" s="1280"/>
      <c r="PXH24" s="1280"/>
      <c r="PXI24" s="1280"/>
      <c r="PXJ24" s="1280"/>
      <c r="PXK24" s="1280"/>
      <c r="PXL24" s="1280"/>
      <c r="PXM24" s="1280"/>
      <c r="PXN24" s="1280"/>
      <c r="PXO24" s="1280"/>
      <c r="PXP24" s="1280"/>
      <c r="PXQ24" s="1280"/>
      <c r="PXR24" s="1280"/>
      <c r="PXS24" s="1280"/>
      <c r="PXT24" s="1280"/>
      <c r="PXU24" s="1280"/>
      <c r="PXV24" s="1280"/>
      <c r="PXW24" s="1280"/>
      <c r="PXX24" s="1280"/>
      <c r="PXY24" s="1280"/>
      <c r="PXZ24" s="1280"/>
      <c r="PYA24" s="1280"/>
      <c r="PYB24" s="1280"/>
      <c r="PYC24" s="1280"/>
      <c r="PYD24" s="1280"/>
      <c r="PYE24" s="1280"/>
      <c r="PYF24" s="1280"/>
      <c r="PYG24" s="1280"/>
      <c r="PYH24" s="1280"/>
      <c r="PYI24" s="1280"/>
      <c r="PYJ24" s="1280"/>
      <c r="PYK24" s="1280"/>
      <c r="PYL24" s="1280"/>
      <c r="PYM24" s="1280"/>
      <c r="PYN24" s="1280"/>
      <c r="PYO24" s="1280"/>
      <c r="PYP24" s="1280"/>
      <c r="PYQ24" s="1280"/>
      <c r="PYR24" s="1280"/>
      <c r="PYS24" s="1280"/>
      <c r="PYT24" s="1280"/>
      <c r="PYU24" s="1280"/>
      <c r="PYV24" s="1280"/>
      <c r="PYW24" s="1280"/>
      <c r="PYX24" s="1280"/>
      <c r="PYY24" s="1280"/>
      <c r="PYZ24" s="1280"/>
      <c r="PZA24" s="1280"/>
      <c r="PZB24" s="1280"/>
      <c r="PZC24" s="1280"/>
      <c r="PZD24" s="1280"/>
      <c r="PZE24" s="1280"/>
      <c r="PZF24" s="1280"/>
      <c r="PZG24" s="1280"/>
      <c r="PZH24" s="1280"/>
      <c r="PZI24" s="1280"/>
      <c r="PZJ24" s="1280"/>
      <c r="PZK24" s="1280"/>
      <c r="PZL24" s="1280"/>
      <c r="PZM24" s="1280"/>
      <c r="PZN24" s="1280"/>
      <c r="PZO24" s="1280"/>
      <c r="PZP24" s="1280"/>
      <c r="PZQ24" s="1280"/>
      <c r="PZR24" s="1280"/>
      <c r="PZS24" s="1280"/>
      <c r="PZT24" s="1280"/>
      <c r="PZU24" s="1280"/>
      <c r="PZV24" s="1280"/>
      <c r="PZW24" s="1280"/>
      <c r="PZX24" s="1280"/>
      <c r="PZY24" s="1280"/>
      <c r="PZZ24" s="1280"/>
      <c r="QAA24" s="1280"/>
      <c r="QAB24" s="1280"/>
      <c r="QAC24" s="1280"/>
      <c r="QAD24" s="1280"/>
      <c r="QAE24" s="1280"/>
      <c r="QAF24" s="1280"/>
      <c r="QAG24" s="1280"/>
      <c r="QAH24" s="1280"/>
      <c r="QAI24" s="1280"/>
      <c r="QAJ24" s="1280"/>
      <c r="QAK24" s="1280"/>
      <c r="QAL24" s="1280"/>
      <c r="QAM24" s="1280"/>
      <c r="QAN24" s="1280"/>
      <c r="QAO24" s="1280"/>
      <c r="QAP24" s="1280"/>
      <c r="QAQ24" s="1280"/>
      <c r="QAR24" s="1280"/>
      <c r="QAS24" s="1280"/>
      <c r="QAT24" s="1280"/>
      <c r="QAU24" s="1280"/>
      <c r="QAV24" s="1280"/>
      <c r="QAW24" s="1280"/>
      <c r="QAX24" s="1280"/>
      <c r="QAY24" s="1280"/>
      <c r="QAZ24" s="1280"/>
      <c r="QBA24" s="1280"/>
      <c r="QBB24" s="1280"/>
      <c r="QBC24" s="1280"/>
      <c r="QBD24" s="1280"/>
      <c r="QBE24" s="1280"/>
      <c r="QBF24" s="1280"/>
      <c r="QBG24" s="1280"/>
      <c r="QBH24" s="1280"/>
      <c r="QBI24" s="1280"/>
      <c r="QBJ24" s="1280"/>
      <c r="QBK24" s="1280"/>
      <c r="QBL24" s="1280"/>
      <c r="QBM24" s="1280"/>
      <c r="QBN24" s="1280"/>
      <c r="QBO24" s="1280"/>
      <c r="QBP24" s="1280"/>
      <c r="QBQ24" s="1280"/>
      <c r="QBR24" s="1280"/>
      <c r="QBS24" s="1280"/>
      <c r="QBT24" s="1280"/>
      <c r="QBU24" s="1280"/>
      <c r="QBV24" s="1280"/>
      <c r="QBW24" s="1280"/>
      <c r="QBX24" s="1280"/>
      <c r="QBY24" s="1280"/>
      <c r="QBZ24" s="1280"/>
      <c r="QCA24" s="1280"/>
      <c r="QCB24" s="1280"/>
      <c r="QCC24" s="1280"/>
      <c r="QCD24" s="1280"/>
      <c r="QCE24" s="1280"/>
      <c r="QCF24" s="1280"/>
      <c r="QCG24" s="1280"/>
      <c r="QCH24" s="1280"/>
      <c r="QCI24" s="1280"/>
      <c r="QCJ24" s="1280"/>
      <c r="QCK24" s="1280"/>
      <c r="QCL24" s="1280"/>
      <c r="QCM24" s="1280"/>
      <c r="QCN24" s="1280"/>
      <c r="QCO24" s="1280"/>
      <c r="QCP24" s="1280"/>
      <c r="QCQ24" s="1280"/>
      <c r="QCR24" s="1280"/>
      <c r="QCS24" s="1280"/>
      <c r="QCT24" s="1280"/>
      <c r="QCU24" s="1280"/>
      <c r="QCV24" s="1280"/>
      <c r="QCW24" s="1280"/>
      <c r="QCX24" s="1280"/>
      <c r="QCY24" s="1280"/>
      <c r="QCZ24" s="1280"/>
      <c r="QDA24" s="1280"/>
      <c r="QDB24" s="1280"/>
      <c r="QDC24" s="1280"/>
      <c r="QDD24" s="1280"/>
      <c r="QDE24" s="1280"/>
      <c r="QDF24" s="1280"/>
      <c r="QDG24" s="1280"/>
      <c r="QDH24" s="1280"/>
      <c r="QDI24" s="1280"/>
      <c r="QDJ24" s="1280"/>
      <c r="QDK24" s="1280"/>
      <c r="QDL24" s="1280"/>
      <c r="QDM24" s="1280"/>
      <c r="QDN24" s="1280"/>
      <c r="QDO24" s="1280"/>
      <c r="QDP24" s="1280"/>
      <c r="QDQ24" s="1280"/>
      <c r="QDR24" s="1280"/>
      <c r="QDS24" s="1280"/>
      <c r="QDT24" s="1280"/>
      <c r="QDU24" s="1280"/>
      <c r="QDV24" s="1280"/>
      <c r="QDW24" s="1280"/>
      <c r="QDX24" s="1280"/>
      <c r="QDY24" s="1280"/>
      <c r="QDZ24" s="1280"/>
      <c r="QEA24" s="1280"/>
      <c r="QEB24" s="1280"/>
      <c r="QEC24" s="1280"/>
      <c r="QED24" s="1280"/>
      <c r="QEE24" s="1280"/>
      <c r="QEF24" s="1280"/>
      <c r="QEG24" s="1280"/>
      <c r="QEH24" s="1280"/>
      <c r="QEI24" s="1280"/>
      <c r="QEJ24" s="1280"/>
      <c r="QEK24" s="1280"/>
      <c r="QEL24" s="1280"/>
      <c r="QEM24" s="1280"/>
      <c r="QEN24" s="1280"/>
      <c r="QEO24" s="1280"/>
      <c r="QEP24" s="1280"/>
      <c r="QEQ24" s="1280"/>
      <c r="QER24" s="1280"/>
      <c r="QES24" s="1280"/>
      <c r="QET24" s="1280"/>
      <c r="QEU24" s="1280"/>
      <c r="QEV24" s="1280"/>
      <c r="QEW24" s="1280"/>
      <c r="QEX24" s="1280"/>
      <c r="QEY24" s="1280"/>
      <c r="QEZ24" s="1280"/>
      <c r="QFA24" s="1280"/>
      <c r="QFB24" s="1280"/>
      <c r="QFC24" s="1280"/>
      <c r="QFD24" s="1280"/>
      <c r="QFE24" s="1280"/>
      <c r="QFF24" s="1280"/>
      <c r="QFG24" s="1280"/>
      <c r="QFH24" s="1280"/>
      <c r="QFI24" s="1280"/>
      <c r="QFJ24" s="1280"/>
      <c r="QFK24" s="1280"/>
      <c r="QFL24" s="1280"/>
      <c r="QFM24" s="1280"/>
      <c r="QFN24" s="1280"/>
      <c r="QFO24" s="1280"/>
      <c r="QFP24" s="1280"/>
      <c r="QFQ24" s="1280"/>
      <c r="QFR24" s="1280"/>
      <c r="QFS24" s="1280"/>
      <c r="QFT24" s="1280"/>
      <c r="QFU24" s="1280"/>
      <c r="QFV24" s="1280"/>
      <c r="QFW24" s="1280"/>
      <c r="QFX24" s="1280"/>
      <c r="QFY24" s="1280"/>
      <c r="QFZ24" s="1280"/>
      <c r="QGA24" s="1280"/>
      <c r="QGB24" s="1280"/>
      <c r="QGC24" s="1280"/>
      <c r="QGD24" s="1280"/>
      <c r="QGE24" s="1280"/>
      <c r="QGF24" s="1280"/>
      <c r="QGG24" s="1280"/>
      <c r="QGH24" s="1280"/>
      <c r="QGI24" s="1280"/>
      <c r="QGJ24" s="1280"/>
      <c r="QGK24" s="1280"/>
      <c r="QGL24" s="1280"/>
      <c r="QGM24" s="1280"/>
      <c r="QGN24" s="1280"/>
      <c r="QGO24" s="1280"/>
      <c r="QGP24" s="1280"/>
      <c r="QGQ24" s="1280"/>
      <c r="QGR24" s="1280"/>
      <c r="QGS24" s="1280"/>
      <c r="QGT24" s="1280"/>
      <c r="QGU24" s="1280"/>
      <c r="QGV24" s="1280"/>
      <c r="QGW24" s="1280"/>
      <c r="QGX24" s="1280"/>
      <c r="QGY24" s="1280"/>
      <c r="QGZ24" s="1280"/>
      <c r="QHA24" s="1280"/>
      <c r="QHB24" s="1280"/>
      <c r="QHC24" s="1280"/>
      <c r="QHD24" s="1280"/>
      <c r="QHE24" s="1280"/>
      <c r="QHF24" s="1280"/>
      <c r="QHG24" s="1280"/>
      <c r="QHH24" s="1280"/>
      <c r="QHI24" s="1280"/>
      <c r="QHJ24" s="1280"/>
      <c r="QHK24" s="1280"/>
      <c r="QHL24" s="1280"/>
      <c r="QHM24" s="1280"/>
      <c r="QHN24" s="1280"/>
      <c r="QHO24" s="1280"/>
      <c r="QHP24" s="1280"/>
      <c r="QHQ24" s="1280"/>
      <c r="QHR24" s="1280"/>
      <c r="QHS24" s="1280"/>
      <c r="QHT24" s="1280"/>
      <c r="QHU24" s="1280"/>
      <c r="QHV24" s="1280"/>
      <c r="QHW24" s="1280"/>
      <c r="QHX24" s="1280"/>
      <c r="QHY24" s="1280"/>
      <c r="QHZ24" s="1280"/>
      <c r="QIA24" s="1280"/>
      <c r="QIB24" s="1280"/>
      <c r="QIC24" s="1280"/>
      <c r="QID24" s="1280"/>
      <c r="QIE24" s="1280"/>
      <c r="QIF24" s="1280"/>
      <c r="QIG24" s="1280"/>
      <c r="QIH24" s="1280"/>
      <c r="QII24" s="1280"/>
      <c r="QIJ24" s="1280"/>
      <c r="QIK24" s="1280"/>
      <c r="QIL24" s="1280"/>
      <c r="QIM24" s="1280"/>
      <c r="QIN24" s="1280"/>
      <c r="QIO24" s="1280"/>
      <c r="QIP24" s="1280"/>
      <c r="QIQ24" s="1280"/>
      <c r="QIR24" s="1280"/>
      <c r="QIS24" s="1280"/>
      <c r="QIT24" s="1280"/>
      <c r="QIU24" s="1280"/>
      <c r="QIV24" s="1280"/>
      <c r="QIW24" s="1280"/>
      <c r="QIX24" s="1280"/>
      <c r="QIY24" s="1280"/>
      <c r="QIZ24" s="1280"/>
      <c r="QJA24" s="1280"/>
      <c r="QJB24" s="1280"/>
      <c r="QJC24" s="1280"/>
      <c r="QJD24" s="1280"/>
      <c r="QJE24" s="1280"/>
      <c r="QJF24" s="1280"/>
      <c r="QJG24" s="1280"/>
      <c r="QJH24" s="1280"/>
      <c r="QJI24" s="1280"/>
      <c r="QJJ24" s="1280"/>
      <c r="QJK24" s="1280"/>
      <c r="QJL24" s="1280"/>
      <c r="QJM24" s="1280"/>
      <c r="QJN24" s="1280"/>
      <c r="QJO24" s="1280"/>
      <c r="QJP24" s="1280"/>
      <c r="QJQ24" s="1280"/>
      <c r="QJR24" s="1280"/>
      <c r="QJS24" s="1280"/>
      <c r="QJT24" s="1280"/>
      <c r="QJU24" s="1280"/>
      <c r="QJV24" s="1280"/>
      <c r="QJW24" s="1280"/>
      <c r="QJX24" s="1280"/>
      <c r="QJY24" s="1280"/>
      <c r="QJZ24" s="1280"/>
      <c r="QKA24" s="1280"/>
      <c r="QKB24" s="1280"/>
      <c r="QKC24" s="1280"/>
      <c r="QKD24" s="1280"/>
      <c r="QKE24" s="1280"/>
      <c r="QKF24" s="1280"/>
      <c r="QKG24" s="1280"/>
      <c r="QKH24" s="1280"/>
      <c r="QKI24" s="1280"/>
      <c r="QKJ24" s="1280"/>
      <c r="QKK24" s="1280"/>
      <c r="QKL24" s="1280"/>
      <c r="QKM24" s="1280"/>
      <c r="QKN24" s="1280"/>
      <c r="QKO24" s="1280"/>
      <c r="QKP24" s="1280"/>
      <c r="QKQ24" s="1280"/>
      <c r="QKR24" s="1280"/>
      <c r="QKS24" s="1280"/>
      <c r="QKT24" s="1280"/>
      <c r="QKU24" s="1280"/>
      <c r="QKV24" s="1280"/>
      <c r="QKW24" s="1280"/>
      <c r="QKX24" s="1280"/>
      <c r="QKY24" s="1280"/>
      <c r="QKZ24" s="1280"/>
      <c r="QLA24" s="1280"/>
      <c r="QLB24" s="1280"/>
      <c r="QLC24" s="1280"/>
      <c r="QLD24" s="1280"/>
      <c r="QLE24" s="1280"/>
      <c r="QLF24" s="1280"/>
      <c r="QLG24" s="1280"/>
      <c r="QLH24" s="1280"/>
      <c r="QLI24" s="1280"/>
      <c r="QLJ24" s="1280"/>
      <c r="QLK24" s="1280"/>
      <c r="QLL24" s="1280"/>
      <c r="QLM24" s="1280"/>
      <c r="QLN24" s="1280"/>
      <c r="QLO24" s="1280"/>
      <c r="QLP24" s="1280"/>
      <c r="QLQ24" s="1280"/>
      <c r="QLR24" s="1280"/>
      <c r="QLS24" s="1280"/>
      <c r="QLT24" s="1280"/>
      <c r="QLU24" s="1280"/>
      <c r="QLV24" s="1280"/>
      <c r="QLW24" s="1280"/>
      <c r="QLX24" s="1280"/>
      <c r="QLY24" s="1280"/>
      <c r="QLZ24" s="1280"/>
      <c r="QMA24" s="1280"/>
      <c r="QMB24" s="1280"/>
      <c r="QMC24" s="1280"/>
      <c r="QMD24" s="1280"/>
      <c r="QME24" s="1280"/>
      <c r="QMF24" s="1280"/>
      <c r="QMG24" s="1280"/>
      <c r="QMH24" s="1280"/>
      <c r="QMI24" s="1280"/>
      <c r="QMJ24" s="1280"/>
      <c r="QMK24" s="1280"/>
      <c r="QML24" s="1280"/>
      <c r="QMM24" s="1280"/>
      <c r="QMN24" s="1280"/>
      <c r="QMO24" s="1280"/>
      <c r="QMP24" s="1280"/>
      <c r="QMQ24" s="1280"/>
      <c r="QMR24" s="1280"/>
      <c r="QMS24" s="1280"/>
      <c r="QMT24" s="1280"/>
      <c r="QMU24" s="1280"/>
      <c r="QMV24" s="1280"/>
      <c r="QMW24" s="1280"/>
      <c r="QMX24" s="1280"/>
      <c r="QMY24" s="1280"/>
      <c r="QMZ24" s="1280"/>
      <c r="QNA24" s="1280"/>
      <c r="QNB24" s="1280"/>
      <c r="QNC24" s="1280"/>
      <c r="QND24" s="1280"/>
      <c r="QNE24" s="1280"/>
      <c r="QNF24" s="1280"/>
      <c r="QNG24" s="1280"/>
      <c r="QNH24" s="1280"/>
      <c r="QNI24" s="1280"/>
      <c r="QNJ24" s="1280"/>
      <c r="QNK24" s="1280"/>
      <c r="QNL24" s="1280"/>
      <c r="QNM24" s="1280"/>
      <c r="QNN24" s="1280"/>
      <c r="QNO24" s="1280"/>
      <c r="QNP24" s="1280"/>
      <c r="QNQ24" s="1280"/>
      <c r="QNR24" s="1280"/>
      <c r="QNS24" s="1280"/>
      <c r="QNT24" s="1280"/>
      <c r="QNU24" s="1280"/>
      <c r="QNV24" s="1280"/>
      <c r="QNW24" s="1280"/>
      <c r="QNX24" s="1280"/>
      <c r="QNY24" s="1280"/>
      <c r="QNZ24" s="1280"/>
      <c r="QOA24" s="1280"/>
      <c r="QOB24" s="1280"/>
      <c r="QOC24" s="1280"/>
      <c r="QOD24" s="1280"/>
      <c r="QOE24" s="1280"/>
      <c r="QOF24" s="1280"/>
      <c r="QOG24" s="1280"/>
      <c r="QOH24" s="1280"/>
      <c r="QOI24" s="1280"/>
      <c r="QOJ24" s="1280"/>
      <c r="QOK24" s="1280"/>
      <c r="QOL24" s="1280"/>
      <c r="QOM24" s="1280"/>
      <c r="QON24" s="1280"/>
      <c r="QOO24" s="1280"/>
      <c r="QOP24" s="1280"/>
      <c r="QOQ24" s="1280"/>
      <c r="QOR24" s="1280"/>
      <c r="QOS24" s="1280"/>
      <c r="QOT24" s="1280"/>
      <c r="QOU24" s="1280"/>
      <c r="QOV24" s="1280"/>
      <c r="QOW24" s="1280"/>
      <c r="QOX24" s="1280"/>
      <c r="QOY24" s="1280"/>
      <c r="QOZ24" s="1280"/>
      <c r="QPA24" s="1280"/>
      <c r="QPB24" s="1280"/>
      <c r="QPC24" s="1280"/>
      <c r="QPD24" s="1280"/>
      <c r="QPE24" s="1280"/>
      <c r="QPF24" s="1280"/>
      <c r="QPG24" s="1280"/>
      <c r="QPH24" s="1280"/>
      <c r="QPI24" s="1280"/>
      <c r="QPJ24" s="1280"/>
      <c r="QPK24" s="1280"/>
      <c r="QPL24" s="1280"/>
      <c r="QPM24" s="1280"/>
      <c r="QPN24" s="1280"/>
      <c r="QPO24" s="1280"/>
      <c r="QPP24" s="1280"/>
      <c r="QPQ24" s="1280"/>
      <c r="QPR24" s="1280"/>
      <c r="QPS24" s="1280"/>
      <c r="QPT24" s="1280"/>
      <c r="QPU24" s="1280"/>
      <c r="QPV24" s="1280"/>
      <c r="QPW24" s="1280"/>
      <c r="QPX24" s="1280"/>
      <c r="QPY24" s="1280"/>
      <c r="QPZ24" s="1280"/>
      <c r="QQA24" s="1280"/>
      <c r="QQB24" s="1280"/>
      <c r="QQC24" s="1280"/>
      <c r="QQD24" s="1280"/>
      <c r="QQE24" s="1280"/>
      <c r="QQF24" s="1280"/>
      <c r="QQG24" s="1280"/>
      <c r="QQH24" s="1280"/>
      <c r="QQI24" s="1280"/>
      <c r="QQJ24" s="1280"/>
      <c r="QQK24" s="1280"/>
      <c r="QQL24" s="1280"/>
      <c r="QQM24" s="1280"/>
      <c r="QQN24" s="1280"/>
      <c r="QQO24" s="1280"/>
      <c r="QQP24" s="1280"/>
      <c r="QQQ24" s="1280"/>
      <c r="QQR24" s="1280"/>
      <c r="QQS24" s="1280"/>
      <c r="QQT24" s="1280"/>
      <c r="QQU24" s="1280"/>
      <c r="QQV24" s="1280"/>
      <c r="QQW24" s="1280"/>
      <c r="QQX24" s="1280"/>
      <c r="QQY24" s="1280"/>
      <c r="QQZ24" s="1280"/>
      <c r="QRA24" s="1280"/>
      <c r="QRB24" s="1280"/>
      <c r="QRC24" s="1280"/>
      <c r="QRD24" s="1280"/>
      <c r="QRE24" s="1280"/>
      <c r="QRF24" s="1280"/>
      <c r="QRG24" s="1280"/>
      <c r="QRH24" s="1280"/>
      <c r="QRI24" s="1280"/>
      <c r="QRJ24" s="1280"/>
      <c r="QRK24" s="1280"/>
      <c r="QRL24" s="1280"/>
      <c r="QRM24" s="1280"/>
      <c r="QRN24" s="1280"/>
      <c r="QRO24" s="1280"/>
      <c r="QRP24" s="1280"/>
      <c r="QRQ24" s="1280"/>
      <c r="QRR24" s="1280"/>
      <c r="QRS24" s="1280"/>
      <c r="QRT24" s="1280"/>
      <c r="QRU24" s="1280"/>
      <c r="QRV24" s="1280"/>
      <c r="QRW24" s="1280"/>
      <c r="QRX24" s="1280"/>
      <c r="QRY24" s="1280"/>
      <c r="QRZ24" s="1280"/>
      <c r="QSA24" s="1280"/>
      <c r="QSB24" s="1280"/>
      <c r="QSC24" s="1280"/>
      <c r="QSD24" s="1280"/>
      <c r="QSE24" s="1280"/>
      <c r="QSF24" s="1280"/>
      <c r="QSG24" s="1280"/>
      <c r="QSH24" s="1280"/>
      <c r="QSI24" s="1280"/>
      <c r="QSJ24" s="1280"/>
      <c r="QSK24" s="1280"/>
      <c r="QSL24" s="1280"/>
      <c r="QSM24" s="1280"/>
      <c r="QSN24" s="1280"/>
      <c r="QSO24" s="1280"/>
      <c r="QSP24" s="1280"/>
      <c r="QSQ24" s="1280"/>
      <c r="QSR24" s="1280"/>
      <c r="QSS24" s="1280"/>
      <c r="QST24" s="1280"/>
      <c r="QSU24" s="1280"/>
      <c r="QSV24" s="1280"/>
      <c r="QSW24" s="1280"/>
      <c r="QSX24" s="1280"/>
      <c r="QSY24" s="1280"/>
      <c r="QSZ24" s="1280"/>
      <c r="QTA24" s="1280"/>
      <c r="QTB24" s="1280"/>
      <c r="QTC24" s="1280"/>
      <c r="QTD24" s="1280"/>
      <c r="QTE24" s="1280"/>
      <c r="QTF24" s="1280"/>
      <c r="QTG24" s="1280"/>
      <c r="QTH24" s="1280"/>
      <c r="QTI24" s="1280"/>
      <c r="QTJ24" s="1280"/>
      <c r="QTK24" s="1280"/>
      <c r="QTL24" s="1280"/>
      <c r="QTM24" s="1280"/>
      <c r="QTN24" s="1280"/>
      <c r="QTO24" s="1280"/>
      <c r="QTP24" s="1280"/>
      <c r="QTQ24" s="1280"/>
      <c r="QTR24" s="1280"/>
      <c r="QTS24" s="1280"/>
      <c r="QTT24" s="1280"/>
      <c r="QTU24" s="1280"/>
      <c r="QTV24" s="1280"/>
      <c r="QTW24" s="1280"/>
      <c r="QTX24" s="1280"/>
      <c r="QTY24" s="1280"/>
      <c r="QTZ24" s="1280"/>
      <c r="QUA24" s="1280"/>
      <c r="QUB24" s="1280"/>
      <c r="QUC24" s="1280"/>
      <c r="QUD24" s="1280"/>
      <c r="QUE24" s="1280"/>
      <c r="QUF24" s="1280"/>
      <c r="QUG24" s="1280"/>
      <c r="QUH24" s="1280"/>
      <c r="QUI24" s="1280"/>
      <c r="QUJ24" s="1280"/>
      <c r="QUK24" s="1280"/>
      <c r="QUL24" s="1280"/>
      <c r="QUM24" s="1280"/>
      <c r="QUN24" s="1280"/>
      <c r="QUO24" s="1280"/>
      <c r="QUP24" s="1280"/>
      <c r="QUQ24" s="1280"/>
      <c r="QUR24" s="1280"/>
      <c r="QUS24" s="1280"/>
      <c r="QUT24" s="1280"/>
      <c r="QUU24" s="1280"/>
      <c r="QUV24" s="1280"/>
      <c r="QUW24" s="1280"/>
      <c r="QUX24" s="1280"/>
      <c r="QUY24" s="1280"/>
      <c r="QUZ24" s="1280"/>
      <c r="QVA24" s="1280"/>
      <c r="QVB24" s="1280"/>
      <c r="QVC24" s="1280"/>
      <c r="QVD24" s="1280"/>
      <c r="QVE24" s="1280"/>
      <c r="QVF24" s="1280"/>
      <c r="QVG24" s="1280"/>
      <c r="QVH24" s="1280"/>
      <c r="QVI24" s="1280"/>
      <c r="QVJ24" s="1280"/>
      <c r="QVK24" s="1280"/>
      <c r="QVL24" s="1280"/>
      <c r="QVM24" s="1280"/>
      <c r="QVN24" s="1280"/>
      <c r="QVO24" s="1280"/>
      <c r="QVP24" s="1280"/>
      <c r="QVQ24" s="1280"/>
      <c r="QVR24" s="1280"/>
      <c r="QVS24" s="1280"/>
      <c r="QVT24" s="1280"/>
      <c r="QVU24" s="1280"/>
      <c r="QVV24" s="1280"/>
      <c r="QVW24" s="1280"/>
      <c r="QVX24" s="1280"/>
      <c r="QVY24" s="1280"/>
      <c r="QVZ24" s="1280"/>
      <c r="QWA24" s="1280"/>
      <c r="QWB24" s="1280"/>
      <c r="QWC24" s="1280"/>
      <c r="QWD24" s="1280"/>
      <c r="QWE24" s="1280"/>
      <c r="QWF24" s="1280"/>
      <c r="QWG24" s="1280"/>
      <c r="QWH24" s="1280"/>
      <c r="QWI24" s="1280"/>
      <c r="QWJ24" s="1280"/>
      <c r="QWK24" s="1280"/>
      <c r="QWL24" s="1280"/>
      <c r="QWM24" s="1280"/>
      <c r="QWN24" s="1280"/>
      <c r="QWO24" s="1280"/>
      <c r="QWP24" s="1280"/>
      <c r="QWQ24" s="1280"/>
      <c r="QWR24" s="1280"/>
      <c r="QWS24" s="1280"/>
      <c r="QWT24" s="1280"/>
      <c r="QWU24" s="1280"/>
      <c r="QWV24" s="1280"/>
      <c r="QWW24" s="1280"/>
      <c r="QWX24" s="1280"/>
      <c r="QWY24" s="1280"/>
      <c r="QWZ24" s="1280"/>
      <c r="QXA24" s="1280"/>
      <c r="QXB24" s="1280"/>
      <c r="QXC24" s="1280"/>
      <c r="QXD24" s="1280"/>
      <c r="QXE24" s="1280"/>
      <c r="QXF24" s="1280"/>
      <c r="QXG24" s="1280"/>
      <c r="QXH24" s="1280"/>
      <c r="QXI24" s="1280"/>
      <c r="QXJ24" s="1280"/>
      <c r="QXK24" s="1280"/>
      <c r="QXL24" s="1280"/>
      <c r="QXM24" s="1280"/>
      <c r="QXN24" s="1280"/>
      <c r="QXO24" s="1280"/>
      <c r="QXP24" s="1280"/>
      <c r="QXQ24" s="1280"/>
      <c r="QXR24" s="1280"/>
      <c r="QXS24" s="1280"/>
      <c r="QXT24" s="1280"/>
      <c r="QXU24" s="1280"/>
      <c r="QXV24" s="1280"/>
      <c r="QXW24" s="1280"/>
      <c r="QXX24" s="1280"/>
      <c r="QXY24" s="1280"/>
      <c r="QXZ24" s="1280"/>
      <c r="QYA24" s="1280"/>
      <c r="QYB24" s="1280"/>
      <c r="QYC24" s="1280"/>
      <c r="QYD24" s="1280"/>
      <c r="QYE24" s="1280"/>
      <c r="QYF24" s="1280"/>
      <c r="QYG24" s="1280"/>
      <c r="QYH24" s="1280"/>
      <c r="QYI24" s="1280"/>
      <c r="QYJ24" s="1280"/>
      <c r="QYK24" s="1280"/>
      <c r="QYL24" s="1280"/>
      <c r="QYM24" s="1280"/>
      <c r="QYN24" s="1280"/>
      <c r="QYO24" s="1280"/>
      <c r="QYP24" s="1280"/>
      <c r="QYQ24" s="1280"/>
      <c r="QYR24" s="1280"/>
      <c r="QYS24" s="1280"/>
      <c r="QYT24" s="1280"/>
      <c r="QYU24" s="1280"/>
      <c r="QYV24" s="1280"/>
      <c r="QYW24" s="1280"/>
      <c r="QYX24" s="1280"/>
      <c r="QYY24" s="1280"/>
      <c r="QYZ24" s="1280"/>
      <c r="QZA24" s="1280"/>
      <c r="QZB24" s="1280"/>
      <c r="QZC24" s="1280"/>
      <c r="QZD24" s="1280"/>
      <c r="QZE24" s="1280"/>
      <c r="QZF24" s="1280"/>
      <c r="QZG24" s="1280"/>
      <c r="QZH24" s="1280"/>
      <c r="QZI24" s="1280"/>
      <c r="QZJ24" s="1280"/>
      <c r="QZK24" s="1280"/>
      <c r="QZL24" s="1280"/>
      <c r="QZM24" s="1280"/>
      <c r="QZN24" s="1280"/>
      <c r="QZO24" s="1280"/>
      <c r="QZP24" s="1280"/>
      <c r="QZQ24" s="1280"/>
      <c r="QZR24" s="1280"/>
      <c r="QZS24" s="1280"/>
      <c r="QZT24" s="1280"/>
      <c r="QZU24" s="1280"/>
      <c r="QZV24" s="1280"/>
      <c r="QZW24" s="1280"/>
      <c r="QZX24" s="1280"/>
      <c r="QZY24" s="1280"/>
      <c r="QZZ24" s="1280"/>
      <c r="RAA24" s="1280"/>
      <c r="RAB24" s="1280"/>
      <c r="RAC24" s="1280"/>
      <c r="RAD24" s="1280"/>
      <c r="RAE24" s="1280"/>
      <c r="RAF24" s="1280"/>
      <c r="RAG24" s="1280"/>
      <c r="RAH24" s="1280"/>
      <c r="RAI24" s="1280"/>
      <c r="RAJ24" s="1280"/>
      <c r="RAK24" s="1280"/>
      <c r="RAL24" s="1280"/>
      <c r="RAM24" s="1280"/>
      <c r="RAN24" s="1280"/>
      <c r="RAO24" s="1280"/>
      <c r="RAP24" s="1280"/>
      <c r="RAQ24" s="1280"/>
      <c r="RAR24" s="1280"/>
      <c r="RAS24" s="1280"/>
      <c r="RAT24" s="1280"/>
      <c r="RAU24" s="1280"/>
      <c r="RAV24" s="1280"/>
      <c r="RAW24" s="1280"/>
      <c r="RAX24" s="1280"/>
      <c r="RAY24" s="1280"/>
      <c r="RAZ24" s="1280"/>
      <c r="RBA24" s="1280"/>
      <c r="RBB24" s="1280"/>
      <c r="RBC24" s="1280"/>
      <c r="RBD24" s="1280"/>
      <c r="RBE24" s="1280"/>
      <c r="RBF24" s="1280"/>
      <c r="RBG24" s="1280"/>
      <c r="RBH24" s="1280"/>
      <c r="RBI24" s="1280"/>
      <c r="RBJ24" s="1280"/>
      <c r="RBK24" s="1280"/>
      <c r="RBL24" s="1280"/>
      <c r="RBM24" s="1280"/>
      <c r="RBN24" s="1280"/>
      <c r="RBO24" s="1280"/>
      <c r="RBP24" s="1280"/>
      <c r="RBQ24" s="1280"/>
      <c r="RBR24" s="1280"/>
      <c r="RBS24" s="1280"/>
      <c r="RBT24" s="1280"/>
      <c r="RBU24" s="1280"/>
      <c r="RBV24" s="1280"/>
      <c r="RBW24" s="1280"/>
      <c r="RBX24" s="1280"/>
      <c r="RBY24" s="1280"/>
      <c r="RBZ24" s="1280"/>
      <c r="RCA24" s="1280"/>
      <c r="RCB24" s="1280"/>
      <c r="RCC24" s="1280"/>
      <c r="RCD24" s="1280"/>
      <c r="RCE24" s="1280"/>
      <c r="RCF24" s="1280"/>
      <c r="RCG24" s="1280"/>
      <c r="RCH24" s="1280"/>
      <c r="RCI24" s="1280"/>
      <c r="RCJ24" s="1280"/>
      <c r="RCK24" s="1280"/>
      <c r="RCL24" s="1280"/>
      <c r="RCM24" s="1280"/>
      <c r="RCN24" s="1280"/>
      <c r="RCO24" s="1280"/>
      <c r="RCP24" s="1280"/>
      <c r="RCQ24" s="1280"/>
      <c r="RCR24" s="1280"/>
      <c r="RCS24" s="1280"/>
      <c r="RCT24" s="1280"/>
      <c r="RCU24" s="1280"/>
      <c r="RCV24" s="1280"/>
      <c r="RCW24" s="1280"/>
      <c r="RCX24" s="1280"/>
      <c r="RCY24" s="1280"/>
      <c r="RCZ24" s="1280"/>
      <c r="RDA24" s="1280"/>
      <c r="RDB24" s="1280"/>
      <c r="RDC24" s="1280"/>
      <c r="RDD24" s="1280"/>
      <c r="RDE24" s="1280"/>
      <c r="RDF24" s="1280"/>
      <c r="RDG24" s="1280"/>
      <c r="RDH24" s="1280"/>
      <c r="RDI24" s="1280"/>
      <c r="RDJ24" s="1280"/>
      <c r="RDK24" s="1280"/>
      <c r="RDL24" s="1280"/>
      <c r="RDM24" s="1280"/>
      <c r="RDN24" s="1280"/>
      <c r="RDO24" s="1280"/>
      <c r="RDP24" s="1280"/>
      <c r="RDQ24" s="1280"/>
      <c r="RDR24" s="1280"/>
      <c r="RDS24" s="1280"/>
      <c r="RDT24" s="1280"/>
      <c r="RDU24" s="1280"/>
      <c r="RDV24" s="1280"/>
      <c r="RDW24" s="1280"/>
      <c r="RDX24" s="1280"/>
      <c r="RDY24" s="1280"/>
      <c r="RDZ24" s="1280"/>
      <c r="REA24" s="1280"/>
      <c r="REB24" s="1280"/>
      <c r="REC24" s="1280"/>
      <c r="RED24" s="1280"/>
      <c r="REE24" s="1280"/>
      <c r="REF24" s="1280"/>
      <c r="REG24" s="1280"/>
      <c r="REH24" s="1280"/>
      <c r="REI24" s="1280"/>
      <c r="REJ24" s="1280"/>
      <c r="REK24" s="1280"/>
      <c r="REL24" s="1280"/>
      <c r="REM24" s="1280"/>
      <c r="REN24" s="1280"/>
      <c r="REO24" s="1280"/>
      <c r="REP24" s="1280"/>
      <c r="REQ24" s="1280"/>
      <c r="RER24" s="1280"/>
      <c r="RES24" s="1280"/>
      <c r="RET24" s="1280"/>
      <c r="REU24" s="1280"/>
      <c r="REV24" s="1280"/>
      <c r="REW24" s="1280"/>
      <c r="REX24" s="1280"/>
      <c r="REY24" s="1280"/>
      <c r="REZ24" s="1280"/>
      <c r="RFA24" s="1280"/>
      <c r="RFB24" s="1280"/>
      <c r="RFC24" s="1280"/>
      <c r="RFD24" s="1280"/>
      <c r="RFE24" s="1280"/>
      <c r="RFF24" s="1280"/>
      <c r="RFG24" s="1280"/>
      <c r="RFH24" s="1280"/>
      <c r="RFI24" s="1280"/>
      <c r="RFJ24" s="1280"/>
      <c r="RFK24" s="1280"/>
      <c r="RFL24" s="1280"/>
      <c r="RFM24" s="1280"/>
      <c r="RFN24" s="1280"/>
      <c r="RFO24" s="1280"/>
      <c r="RFP24" s="1280"/>
      <c r="RFQ24" s="1280"/>
      <c r="RFR24" s="1280"/>
      <c r="RFS24" s="1280"/>
      <c r="RFT24" s="1280"/>
      <c r="RFU24" s="1280"/>
      <c r="RFV24" s="1280"/>
      <c r="RFW24" s="1280"/>
      <c r="RFX24" s="1280"/>
      <c r="RFY24" s="1280"/>
      <c r="RFZ24" s="1280"/>
      <c r="RGA24" s="1280"/>
      <c r="RGB24" s="1280"/>
      <c r="RGC24" s="1280"/>
      <c r="RGD24" s="1280"/>
      <c r="RGE24" s="1280"/>
      <c r="RGF24" s="1280"/>
      <c r="RGG24" s="1280"/>
      <c r="RGH24" s="1280"/>
      <c r="RGI24" s="1280"/>
      <c r="RGJ24" s="1280"/>
      <c r="RGK24" s="1280"/>
      <c r="RGL24" s="1280"/>
      <c r="RGM24" s="1280"/>
      <c r="RGN24" s="1280"/>
      <c r="RGO24" s="1280"/>
      <c r="RGP24" s="1280"/>
      <c r="RGQ24" s="1280"/>
      <c r="RGR24" s="1280"/>
      <c r="RGS24" s="1280"/>
      <c r="RGT24" s="1280"/>
      <c r="RGU24" s="1280"/>
      <c r="RGV24" s="1280"/>
      <c r="RGW24" s="1280"/>
      <c r="RGX24" s="1280"/>
      <c r="RGY24" s="1280"/>
      <c r="RGZ24" s="1280"/>
      <c r="RHA24" s="1280"/>
      <c r="RHB24" s="1280"/>
      <c r="RHC24" s="1280"/>
      <c r="RHD24" s="1280"/>
      <c r="RHE24" s="1280"/>
      <c r="RHF24" s="1280"/>
      <c r="RHG24" s="1280"/>
      <c r="RHH24" s="1280"/>
      <c r="RHI24" s="1280"/>
      <c r="RHJ24" s="1280"/>
      <c r="RHK24" s="1280"/>
      <c r="RHL24" s="1280"/>
      <c r="RHM24" s="1280"/>
      <c r="RHN24" s="1280"/>
      <c r="RHO24" s="1280"/>
      <c r="RHP24" s="1280"/>
      <c r="RHQ24" s="1280"/>
      <c r="RHR24" s="1280"/>
      <c r="RHS24" s="1280"/>
      <c r="RHT24" s="1280"/>
      <c r="RHU24" s="1280"/>
      <c r="RHV24" s="1280"/>
      <c r="RHW24" s="1280"/>
      <c r="RHX24" s="1280"/>
      <c r="RHY24" s="1280"/>
      <c r="RHZ24" s="1280"/>
      <c r="RIA24" s="1280"/>
      <c r="RIB24" s="1280"/>
      <c r="RIC24" s="1280"/>
      <c r="RID24" s="1280"/>
      <c r="RIE24" s="1280"/>
      <c r="RIF24" s="1280"/>
      <c r="RIG24" s="1280"/>
      <c r="RIH24" s="1280"/>
      <c r="RII24" s="1280"/>
      <c r="RIJ24" s="1280"/>
      <c r="RIK24" s="1280"/>
      <c r="RIL24" s="1280"/>
      <c r="RIM24" s="1280"/>
      <c r="RIN24" s="1280"/>
      <c r="RIO24" s="1280"/>
      <c r="RIP24" s="1280"/>
      <c r="RIQ24" s="1280"/>
      <c r="RIR24" s="1280"/>
      <c r="RIS24" s="1280"/>
      <c r="RIT24" s="1280"/>
      <c r="RIU24" s="1280"/>
      <c r="RIV24" s="1280"/>
      <c r="RIW24" s="1280"/>
      <c r="RIX24" s="1280"/>
      <c r="RIY24" s="1280"/>
      <c r="RIZ24" s="1280"/>
      <c r="RJA24" s="1280"/>
      <c r="RJB24" s="1280"/>
      <c r="RJC24" s="1280"/>
      <c r="RJD24" s="1280"/>
      <c r="RJE24" s="1280"/>
      <c r="RJF24" s="1280"/>
      <c r="RJG24" s="1280"/>
      <c r="RJH24" s="1280"/>
      <c r="RJI24" s="1280"/>
      <c r="RJJ24" s="1280"/>
      <c r="RJK24" s="1280"/>
      <c r="RJL24" s="1280"/>
      <c r="RJM24" s="1280"/>
      <c r="RJN24" s="1280"/>
      <c r="RJO24" s="1280"/>
      <c r="RJP24" s="1280"/>
      <c r="RJQ24" s="1280"/>
      <c r="RJR24" s="1280"/>
      <c r="RJS24" s="1280"/>
      <c r="RJT24" s="1280"/>
      <c r="RJU24" s="1280"/>
      <c r="RJV24" s="1280"/>
      <c r="RJW24" s="1280"/>
      <c r="RJX24" s="1280"/>
      <c r="RJY24" s="1280"/>
      <c r="RJZ24" s="1280"/>
      <c r="RKA24" s="1280"/>
      <c r="RKB24" s="1280"/>
      <c r="RKC24" s="1280"/>
      <c r="RKD24" s="1280"/>
      <c r="RKE24" s="1280"/>
      <c r="RKF24" s="1280"/>
      <c r="RKG24" s="1280"/>
      <c r="RKH24" s="1280"/>
      <c r="RKI24" s="1280"/>
      <c r="RKJ24" s="1280"/>
      <c r="RKK24" s="1280"/>
      <c r="RKL24" s="1280"/>
      <c r="RKM24" s="1280"/>
      <c r="RKN24" s="1280"/>
      <c r="RKO24" s="1280"/>
      <c r="RKP24" s="1280"/>
      <c r="RKQ24" s="1280"/>
      <c r="RKR24" s="1280"/>
      <c r="RKS24" s="1280"/>
      <c r="RKT24" s="1280"/>
      <c r="RKU24" s="1280"/>
      <c r="RKV24" s="1280"/>
      <c r="RKW24" s="1280"/>
      <c r="RKX24" s="1280"/>
      <c r="RKY24" s="1280"/>
      <c r="RKZ24" s="1280"/>
      <c r="RLA24" s="1280"/>
      <c r="RLB24" s="1280"/>
      <c r="RLC24" s="1280"/>
      <c r="RLD24" s="1280"/>
      <c r="RLE24" s="1280"/>
      <c r="RLF24" s="1280"/>
      <c r="RLG24" s="1280"/>
      <c r="RLH24" s="1280"/>
      <c r="RLI24" s="1280"/>
      <c r="RLJ24" s="1280"/>
      <c r="RLK24" s="1280"/>
      <c r="RLL24" s="1280"/>
      <c r="RLM24" s="1280"/>
      <c r="RLN24" s="1280"/>
      <c r="RLO24" s="1280"/>
      <c r="RLP24" s="1280"/>
      <c r="RLQ24" s="1280"/>
      <c r="RLR24" s="1280"/>
      <c r="RLS24" s="1280"/>
      <c r="RLT24" s="1280"/>
      <c r="RLU24" s="1280"/>
      <c r="RLV24" s="1280"/>
      <c r="RLW24" s="1280"/>
      <c r="RLX24" s="1280"/>
      <c r="RLY24" s="1280"/>
      <c r="RLZ24" s="1280"/>
      <c r="RMA24" s="1280"/>
      <c r="RMB24" s="1280"/>
      <c r="RMC24" s="1280"/>
      <c r="RMD24" s="1280"/>
      <c r="RME24" s="1280"/>
      <c r="RMF24" s="1280"/>
      <c r="RMG24" s="1280"/>
      <c r="RMH24" s="1280"/>
      <c r="RMI24" s="1280"/>
      <c r="RMJ24" s="1280"/>
      <c r="RMK24" s="1280"/>
      <c r="RML24" s="1280"/>
      <c r="RMM24" s="1280"/>
      <c r="RMN24" s="1280"/>
      <c r="RMO24" s="1280"/>
      <c r="RMP24" s="1280"/>
      <c r="RMQ24" s="1280"/>
      <c r="RMR24" s="1280"/>
      <c r="RMS24" s="1280"/>
      <c r="RMT24" s="1280"/>
      <c r="RMU24" s="1280"/>
      <c r="RMV24" s="1280"/>
      <c r="RMW24" s="1280"/>
      <c r="RMX24" s="1280"/>
      <c r="RMY24" s="1280"/>
      <c r="RMZ24" s="1280"/>
      <c r="RNA24" s="1280"/>
      <c r="RNB24" s="1280"/>
      <c r="RNC24" s="1280"/>
      <c r="RND24" s="1280"/>
      <c r="RNE24" s="1280"/>
      <c r="RNF24" s="1280"/>
      <c r="RNG24" s="1280"/>
      <c r="RNH24" s="1280"/>
      <c r="RNI24" s="1280"/>
      <c r="RNJ24" s="1280"/>
      <c r="RNK24" s="1280"/>
      <c r="RNL24" s="1280"/>
      <c r="RNM24" s="1280"/>
      <c r="RNN24" s="1280"/>
      <c r="RNO24" s="1280"/>
      <c r="RNP24" s="1280"/>
      <c r="RNQ24" s="1280"/>
      <c r="RNR24" s="1280"/>
      <c r="RNS24" s="1280"/>
      <c r="RNT24" s="1280"/>
      <c r="RNU24" s="1280"/>
      <c r="RNV24" s="1280"/>
      <c r="RNW24" s="1280"/>
      <c r="RNX24" s="1280"/>
      <c r="RNY24" s="1280"/>
      <c r="RNZ24" s="1280"/>
      <c r="ROA24" s="1280"/>
      <c r="ROB24" s="1280"/>
      <c r="ROC24" s="1280"/>
      <c r="ROD24" s="1280"/>
      <c r="ROE24" s="1280"/>
      <c r="ROF24" s="1280"/>
      <c r="ROG24" s="1280"/>
      <c r="ROH24" s="1280"/>
      <c r="ROI24" s="1280"/>
      <c r="ROJ24" s="1280"/>
      <c r="ROK24" s="1280"/>
      <c r="ROL24" s="1280"/>
      <c r="ROM24" s="1280"/>
      <c r="RON24" s="1280"/>
      <c r="ROO24" s="1280"/>
      <c r="ROP24" s="1280"/>
      <c r="ROQ24" s="1280"/>
      <c r="ROR24" s="1280"/>
      <c r="ROS24" s="1280"/>
      <c r="ROT24" s="1280"/>
      <c r="ROU24" s="1280"/>
      <c r="ROV24" s="1280"/>
      <c r="ROW24" s="1280"/>
      <c r="ROX24" s="1280"/>
      <c r="ROY24" s="1280"/>
      <c r="ROZ24" s="1280"/>
      <c r="RPA24" s="1280"/>
      <c r="RPB24" s="1280"/>
      <c r="RPC24" s="1280"/>
      <c r="RPD24" s="1280"/>
      <c r="RPE24" s="1280"/>
      <c r="RPF24" s="1280"/>
      <c r="RPG24" s="1280"/>
      <c r="RPH24" s="1280"/>
      <c r="RPI24" s="1280"/>
      <c r="RPJ24" s="1280"/>
      <c r="RPK24" s="1280"/>
      <c r="RPL24" s="1280"/>
      <c r="RPM24" s="1280"/>
      <c r="RPN24" s="1280"/>
      <c r="RPO24" s="1280"/>
      <c r="RPP24" s="1280"/>
      <c r="RPQ24" s="1280"/>
      <c r="RPR24" s="1280"/>
      <c r="RPS24" s="1280"/>
      <c r="RPT24" s="1280"/>
      <c r="RPU24" s="1280"/>
      <c r="RPV24" s="1280"/>
      <c r="RPW24" s="1280"/>
      <c r="RPX24" s="1280"/>
      <c r="RPY24" s="1280"/>
      <c r="RPZ24" s="1280"/>
      <c r="RQA24" s="1280"/>
      <c r="RQB24" s="1280"/>
      <c r="RQC24" s="1280"/>
      <c r="RQD24" s="1280"/>
      <c r="RQE24" s="1280"/>
      <c r="RQF24" s="1280"/>
      <c r="RQG24" s="1280"/>
      <c r="RQH24" s="1280"/>
      <c r="RQI24" s="1280"/>
      <c r="RQJ24" s="1280"/>
      <c r="RQK24" s="1280"/>
      <c r="RQL24" s="1280"/>
      <c r="RQM24" s="1280"/>
      <c r="RQN24" s="1280"/>
      <c r="RQO24" s="1280"/>
      <c r="RQP24" s="1280"/>
      <c r="RQQ24" s="1280"/>
      <c r="RQR24" s="1280"/>
      <c r="RQS24" s="1280"/>
      <c r="RQT24" s="1280"/>
      <c r="RQU24" s="1280"/>
      <c r="RQV24" s="1280"/>
      <c r="RQW24" s="1280"/>
      <c r="RQX24" s="1280"/>
      <c r="RQY24" s="1280"/>
      <c r="RQZ24" s="1280"/>
      <c r="RRA24" s="1280"/>
      <c r="RRB24" s="1280"/>
      <c r="RRC24" s="1280"/>
      <c r="RRD24" s="1280"/>
      <c r="RRE24" s="1280"/>
      <c r="RRF24" s="1280"/>
      <c r="RRG24" s="1280"/>
      <c r="RRH24" s="1280"/>
      <c r="RRI24" s="1280"/>
      <c r="RRJ24" s="1280"/>
      <c r="RRK24" s="1280"/>
      <c r="RRL24" s="1280"/>
      <c r="RRM24" s="1280"/>
      <c r="RRN24" s="1280"/>
      <c r="RRO24" s="1280"/>
      <c r="RRP24" s="1280"/>
      <c r="RRQ24" s="1280"/>
      <c r="RRR24" s="1280"/>
      <c r="RRS24" s="1280"/>
      <c r="RRT24" s="1280"/>
      <c r="RRU24" s="1280"/>
      <c r="RRV24" s="1280"/>
      <c r="RRW24" s="1280"/>
      <c r="RRX24" s="1280"/>
      <c r="RRY24" s="1280"/>
      <c r="RRZ24" s="1280"/>
      <c r="RSA24" s="1280"/>
      <c r="RSB24" s="1280"/>
      <c r="RSC24" s="1280"/>
      <c r="RSD24" s="1280"/>
      <c r="RSE24" s="1280"/>
      <c r="RSF24" s="1280"/>
      <c r="RSG24" s="1280"/>
      <c r="RSH24" s="1280"/>
      <c r="RSI24" s="1280"/>
      <c r="RSJ24" s="1280"/>
      <c r="RSK24" s="1280"/>
      <c r="RSL24" s="1280"/>
      <c r="RSM24" s="1280"/>
      <c r="RSN24" s="1280"/>
      <c r="RSO24" s="1280"/>
      <c r="RSP24" s="1280"/>
      <c r="RSQ24" s="1280"/>
      <c r="RSR24" s="1280"/>
      <c r="RSS24" s="1280"/>
      <c r="RST24" s="1280"/>
      <c r="RSU24" s="1280"/>
      <c r="RSV24" s="1280"/>
      <c r="RSW24" s="1280"/>
      <c r="RSX24" s="1280"/>
      <c r="RSY24" s="1280"/>
      <c r="RSZ24" s="1280"/>
      <c r="RTA24" s="1280"/>
      <c r="RTB24" s="1280"/>
      <c r="RTC24" s="1280"/>
      <c r="RTD24" s="1280"/>
      <c r="RTE24" s="1280"/>
      <c r="RTF24" s="1280"/>
      <c r="RTG24" s="1280"/>
      <c r="RTH24" s="1280"/>
      <c r="RTI24" s="1280"/>
      <c r="RTJ24" s="1280"/>
      <c r="RTK24" s="1280"/>
      <c r="RTL24" s="1280"/>
      <c r="RTM24" s="1280"/>
      <c r="RTN24" s="1280"/>
      <c r="RTO24" s="1280"/>
      <c r="RTP24" s="1280"/>
      <c r="RTQ24" s="1280"/>
      <c r="RTR24" s="1280"/>
      <c r="RTS24" s="1280"/>
      <c r="RTT24" s="1280"/>
      <c r="RTU24" s="1280"/>
      <c r="RTV24" s="1280"/>
      <c r="RTW24" s="1280"/>
      <c r="RTX24" s="1280"/>
      <c r="RTY24" s="1280"/>
      <c r="RTZ24" s="1280"/>
      <c r="RUA24" s="1280"/>
      <c r="RUB24" s="1280"/>
      <c r="RUC24" s="1280"/>
      <c r="RUD24" s="1280"/>
      <c r="RUE24" s="1280"/>
      <c r="RUF24" s="1280"/>
      <c r="RUG24" s="1280"/>
      <c r="RUH24" s="1280"/>
      <c r="RUI24" s="1280"/>
      <c r="RUJ24" s="1280"/>
      <c r="RUK24" s="1280"/>
      <c r="RUL24" s="1280"/>
      <c r="RUM24" s="1280"/>
      <c r="RUN24" s="1280"/>
      <c r="RUO24" s="1280"/>
      <c r="RUP24" s="1280"/>
      <c r="RUQ24" s="1280"/>
      <c r="RUR24" s="1280"/>
      <c r="RUS24" s="1280"/>
      <c r="RUT24" s="1280"/>
      <c r="RUU24" s="1280"/>
      <c r="RUV24" s="1280"/>
      <c r="RUW24" s="1280"/>
      <c r="RUX24" s="1280"/>
      <c r="RUY24" s="1280"/>
      <c r="RUZ24" s="1280"/>
      <c r="RVA24" s="1280"/>
      <c r="RVB24" s="1280"/>
      <c r="RVC24" s="1280"/>
      <c r="RVD24" s="1280"/>
      <c r="RVE24" s="1280"/>
      <c r="RVF24" s="1280"/>
      <c r="RVG24" s="1280"/>
      <c r="RVH24" s="1280"/>
      <c r="RVI24" s="1280"/>
      <c r="RVJ24" s="1280"/>
      <c r="RVK24" s="1280"/>
      <c r="RVL24" s="1280"/>
      <c r="RVM24" s="1280"/>
      <c r="RVN24" s="1280"/>
      <c r="RVO24" s="1280"/>
      <c r="RVP24" s="1280"/>
      <c r="RVQ24" s="1280"/>
      <c r="RVR24" s="1280"/>
      <c r="RVS24" s="1280"/>
      <c r="RVT24" s="1280"/>
      <c r="RVU24" s="1280"/>
      <c r="RVV24" s="1280"/>
      <c r="RVW24" s="1280"/>
      <c r="RVX24" s="1280"/>
      <c r="RVY24" s="1280"/>
      <c r="RVZ24" s="1280"/>
      <c r="RWA24" s="1280"/>
      <c r="RWB24" s="1280"/>
      <c r="RWC24" s="1280"/>
      <c r="RWD24" s="1280"/>
      <c r="RWE24" s="1280"/>
      <c r="RWF24" s="1280"/>
      <c r="RWG24" s="1280"/>
      <c r="RWH24" s="1280"/>
      <c r="RWI24" s="1280"/>
      <c r="RWJ24" s="1280"/>
      <c r="RWK24" s="1280"/>
      <c r="RWL24" s="1280"/>
      <c r="RWM24" s="1280"/>
      <c r="RWN24" s="1280"/>
      <c r="RWO24" s="1280"/>
      <c r="RWP24" s="1280"/>
      <c r="RWQ24" s="1280"/>
      <c r="RWR24" s="1280"/>
      <c r="RWS24" s="1280"/>
      <c r="RWT24" s="1280"/>
      <c r="RWU24" s="1280"/>
      <c r="RWV24" s="1280"/>
      <c r="RWW24" s="1280"/>
      <c r="RWX24" s="1280"/>
      <c r="RWY24" s="1280"/>
      <c r="RWZ24" s="1280"/>
      <c r="RXA24" s="1280"/>
      <c r="RXB24" s="1280"/>
      <c r="RXC24" s="1280"/>
      <c r="RXD24" s="1280"/>
      <c r="RXE24" s="1280"/>
      <c r="RXF24" s="1280"/>
      <c r="RXG24" s="1280"/>
      <c r="RXH24" s="1280"/>
      <c r="RXI24" s="1280"/>
      <c r="RXJ24" s="1280"/>
      <c r="RXK24" s="1280"/>
      <c r="RXL24" s="1280"/>
      <c r="RXM24" s="1280"/>
      <c r="RXN24" s="1280"/>
      <c r="RXO24" s="1280"/>
      <c r="RXP24" s="1280"/>
      <c r="RXQ24" s="1280"/>
      <c r="RXR24" s="1280"/>
      <c r="RXS24" s="1280"/>
      <c r="RXT24" s="1280"/>
      <c r="RXU24" s="1280"/>
      <c r="RXV24" s="1280"/>
      <c r="RXW24" s="1280"/>
      <c r="RXX24" s="1280"/>
      <c r="RXY24" s="1280"/>
      <c r="RXZ24" s="1280"/>
      <c r="RYA24" s="1280"/>
      <c r="RYB24" s="1280"/>
      <c r="RYC24" s="1280"/>
      <c r="RYD24" s="1280"/>
      <c r="RYE24" s="1280"/>
      <c r="RYF24" s="1280"/>
      <c r="RYG24" s="1280"/>
      <c r="RYH24" s="1280"/>
      <c r="RYI24" s="1280"/>
      <c r="RYJ24" s="1280"/>
      <c r="RYK24" s="1280"/>
      <c r="RYL24" s="1280"/>
      <c r="RYM24" s="1280"/>
      <c r="RYN24" s="1280"/>
      <c r="RYO24" s="1280"/>
      <c r="RYP24" s="1280"/>
      <c r="RYQ24" s="1280"/>
      <c r="RYR24" s="1280"/>
      <c r="RYS24" s="1280"/>
      <c r="RYT24" s="1280"/>
      <c r="RYU24" s="1280"/>
      <c r="RYV24" s="1280"/>
      <c r="RYW24" s="1280"/>
      <c r="RYX24" s="1280"/>
      <c r="RYY24" s="1280"/>
      <c r="RYZ24" s="1280"/>
      <c r="RZA24" s="1280"/>
      <c r="RZB24" s="1280"/>
      <c r="RZC24" s="1280"/>
      <c r="RZD24" s="1280"/>
      <c r="RZE24" s="1280"/>
      <c r="RZF24" s="1280"/>
      <c r="RZG24" s="1280"/>
      <c r="RZH24" s="1280"/>
      <c r="RZI24" s="1280"/>
      <c r="RZJ24" s="1280"/>
      <c r="RZK24" s="1280"/>
      <c r="RZL24" s="1280"/>
      <c r="RZM24" s="1280"/>
      <c r="RZN24" s="1280"/>
      <c r="RZO24" s="1280"/>
      <c r="RZP24" s="1280"/>
      <c r="RZQ24" s="1280"/>
      <c r="RZR24" s="1280"/>
      <c r="RZS24" s="1280"/>
      <c r="RZT24" s="1280"/>
      <c r="RZU24" s="1280"/>
      <c r="RZV24" s="1280"/>
      <c r="RZW24" s="1280"/>
      <c r="RZX24" s="1280"/>
      <c r="RZY24" s="1280"/>
      <c r="RZZ24" s="1280"/>
      <c r="SAA24" s="1280"/>
      <c r="SAB24" s="1280"/>
      <c r="SAC24" s="1280"/>
      <c r="SAD24" s="1280"/>
      <c r="SAE24" s="1280"/>
      <c r="SAF24" s="1280"/>
      <c r="SAG24" s="1280"/>
      <c r="SAH24" s="1280"/>
      <c r="SAI24" s="1280"/>
      <c r="SAJ24" s="1280"/>
      <c r="SAK24" s="1280"/>
      <c r="SAL24" s="1280"/>
      <c r="SAM24" s="1280"/>
      <c r="SAN24" s="1280"/>
      <c r="SAO24" s="1280"/>
      <c r="SAP24" s="1280"/>
      <c r="SAQ24" s="1280"/>
      <c r="SAR24" s="1280"/>
      <c r="SAS24" s="1280"/>
      <c r="SAT24" s="1280"/>
      <c r="SAU24" s="1280"/>
      <c r="SAV24" s="1280"/>
      <c r="SAW24" s="1280"/>
      <c r="SAX24" s="1280"/>
      <c r="SAY24" s="1280"/>
      <c r="SAZ24" s="1280"/>
      <c r="SBA24" s="1280"/>
      <c r="SBB24" s="1280"/>
      <c r="SBC24" s="1280"/>
      <c r="SBD24" s="1280"/>
      <c r="SBE24" s="1280"/>
      <c r="SBF24" s="1280"/>
      <c r="SBG24" s="1280"/>
      <c r="SBH24" s="1280"/>
      <c r="SBI24" s="1280"/>
      <c r="SBJ24" s="1280"/>
      <c r="SBK24" s="1280"/>
      <c r="SBL24" s="1280"/>
      <c r="SBM24" s="1280"/>
      <c r="SBN24" s="1280"/>
      <c r="SBO24" s="1280"/>
      <c r="SBP24" s="1280"/>
      <c r="SBQ24" s="1280"/>
      <c r="SBR24" s="1280"/>
      <c r="SBS24" s="1280"/>
      <c r="SBT24" s="1280"/>
      <c r="SBU24" s="1280"/>
      <c r="SBV24" s="1280"/>
      <c r="SBW24" s="1280"/>
      <c r="SBX24" s="1280"/>
      <c r="SBY24" s="1280"/>
      <c r="SBZ24" s="1280"/>
      <c r="SCA24" s="1280"/>
      <c r="SCB24" s="1280"/>
      <c r="SCC24" s="1280"/>
      <c r="SCD24" s="1280"/>
      <c r="SCE24" s="1280"/>
      <c r="SCF24" s="1280"/>
      <c r="SCG24" s="1280"/>
      <c r="SCH24" s="1280"/>
      <c r="SCI24" s="1280"/>
      <c r="SCJ24" s="1280"/>
      <c r="SCK24" s="1280"/>
      <c r="SCL24" s="1280"/>
      <c r="SCM24" s="1280"/>
      <c r="SCN24" s="1280"/>
      <c r="SCO24" s="1280"/>
      <c r="SCP24" s="1280"/>
      <c r="SCQ24" s="1280"/>
      <c r="SCR24" s="1280"/>
      <c r="SCS24" s="1280"/>
      <c r="SCT24" s="1280"/>
      <c r="SCU24" s="1280"/>
      <c r="SCV24" s="1280"/>
      <c r="SCW24" s="1280"/>
      <c r="SCX24" s="1280"/>
      <c r="SCY24" s="1280"/>
      <c r="SCZ24" s="1280"/>
      <c r="SDA24" s="1280"/>
      <c r="SDB24" s="1280"/>
      <c r="SDC24" s="1280"/>
      <c r="SDD24" s="1280"/>
      <c r="SDE24" s="1280"/>
      <c r="SDF24" s="1280"/>
      <c r="SDG24" s="1280"/>
      <c r="SDH24" s="1280"/>
      <c r="SDI24" s="1280"/>
      <c r="SDJ24" s="1280"/>
      <c r="SDK24" s="1280"/>
      <c r="SDL24" s="1280"/>
      <c r="SDM24" s="1280"/>
      <c r="SDN24" s="1280"/>
      <c r="SDO24" s="1280"/>
      <c r="SDP24" s="1280"/>
      <c r="SDQ24" s="1280"/>
      <c r="SDR24" s="1280"/>
      <c r="SDS24" s="1280"/>
      <c r="SDT24" s="1280"/>
      <c r="SDU24" s="1280"/>
      <c r="SDV24" s="1280"/>
      <c r="SDW24" s="1280"/>
      <c r="SDX24" s="1280"/>
      <c r="SDY24" s="1280"/>
      <c r="SDZ24" s="1280"/>
      <c r="SEA24" s="1280"/>
      <c r="SEB24" s="1280"/>
      <c r="SEC24" s="1280"/>
      <c r="SED24" s="1280"/>
      <c r="SEE24" s="1280"/>
      <c r="SEF24" s="1280"/>
      <c r="SEG24" s="1280"/>
      <c r="SEH24" s="1280"/>
      <c r="SEI24" s="1280"/>
      <c r="SEJ24" s="1280"/>
      <c r="SEK24" s="1280"/>
      <c r="SEL24" s="1280"/>
      <c r="SEM24" s="1280"/>
      <c r="SEN24" s="1280"/>
      <c r="SEO24" s="1280"/>
      <c r="SEP24" s="1280"/>
      <c r="SEQ24" s="1280"/>
      <c r="SER24" s="1280"/>
      <c r="SES24" s="1280"/>
      <c r="SET24" s="1280"/>
      <c r="SEU24" s="1280"/>
      <c r="SEV24" s="1280"/>
      <c r="SEW24" s="1280"/>
      <c r="SEX24" s="1280"/>
      <c r="SEY24" s="1280"/>
      <c r="SEZ24" s="1280"/>
      <c r="SFA24" s="1280"/>
      <c r="SFB24" s="1280"/>
      <c r="SFC24" s="1280"/>
      <c r="SFD24" s="1280"/>
      <c r="SFE24" s="1280"/>
      <c r="SFF24" s="1280"/>
      <c r="SFG24" s="1280"/>
      <c r="SFH24" s="1280"/>
      <c r="SFI24" s="1280"/>
      <c r="SFJ24" s="1280"/>
      <c r="SFK24" s="1280"/>
      <c r="SFL24" s="1280"/>
      <c r="SFM24" s="1280"/>
      <c r="SFN24" s="1280"/>
      <c r="SFO24" s="1280"/>
      <c r="SFP24" s="1280"/>
      <c r="SFQ24" s="1280"/>
      <c r="SFR24" s="1280"/>
      <c r="SFS24" s="1280"/>
      <c r="SFT24" s="1280"/>
      <c r="SFU24" s="1280"/>
      <c r="SFV24" s="1280"/>
      <c r="SFW24" s="1280"/>
      <c r="SFX24" s="1280"/>
      <c r="SFY24" s="1280"/>
      <c r="SFZ24" s="1280"/>
      <c r="SGA24" s="1280"/>
      <c r="SGB24" s="1280"/>
      <c r="SGC24" s="1280"/>
      <c r="SGD24" s="1280"/>
      <c r="SGE24" s="1280"/>
      <c r="SGF24" s="1280"/>
      <c r="SGG24" s="1280"/>
      <c r="SGH24" s="1280"/>
      <c r="SGI24" s="1280"/>
      <c r="SGJ24" s="1280"/>
      <c r="SGK24" s="1280"/>
      <c r="SGL24" s="1280"/>
      <c r="SGM24" s="1280"/>
      <c r="SGN24" s="1280"/>
      <c r="SGO24" s="1280"/>
      <c r="SGP24" s="1280"/>
      <c r="SGQ24" s="1280"/>
      <c r="SGR24" s="1280"/>
      <c r="SGS24" s="1280"/>
      <c r="SGT24" s="1280"/>
      <c r="SGU24" s="1280"/>
      <c r="SGV24" s="1280"/>
      <c r="SGW24" s="1280"/>
      <c r="SGX24" s="1280"/>
      <c r="SGY24" s="1280"/>
      <c r="SGZ24" s="1280"/>
      <c r="SHA24" s="1280"/>
      <c r="SHB24" s="1280"/>
      <c r="SHC24" s="1280"/>
      <c r="SHD24" s="1280"/>
      <c r="SHE24" s="1280"/>
      <c r="SHF24" s="1280"/>
      <c r="SHG24" s="1280"/>
      <c r="SHH24" s="1280"/>
      <c r="SHI24" s="1280"/>
      <c r="SHJ24" s="1280"/>
      <c r="SHK24" s="1280"/>
      <c r="SHL24" s="1280"/>
      <c r="SHM24" s="1280"/>
      <c r="SHN24" s="1280"/>
      <c r="SHO24" s="1280"/>
      <c r="SHP24" s="1280"/>
      <c r="SHQ24" s="1280"/>
      <c r="SHR24" s="1280"/>
      <c r="SHS24" s="1280"/>
      <c r="SHT24" s="1280"/>
      <c r="SHU24" s="1280"/>
      <c r="SHV24" s="1280"/>
      <c r="SHW24" s="1280"/>
      <c r="SHX24" s="1280"/>
      <c r="SHY24" s="1280"/>
      <c r="SHZ24" s="1280"/>
      <c r="SIA24" s="1280"/>
      <c r="SIB24" s="1280"/>
      <c r="SIC24" s="1280"/>
      <c r="SID24" s="1280"/>
      <c r="SIE24" s="1280"/>
      <c r="SIF24" s="1280"/>
      <c r="SIG24" s="1280"/>
      <c r="SIH24" s="1280"/>
      <c r="SII24" s="1280"/>
      <c r="SIJ24" s="1280"/>
      <c r="SIK24" s="1280"/>
      <c r="SIL24" s="1280"/>
      <c r="SIM24" s="1280"/>
      <c r="SIN24" s="1280"/>
      <c r="SIO24" s="1280"/>
      <c r="SIP24" s="1280"/>
      <c r="SIQ24" s="1280"/>
      <c r="SIR24" s="1280"/>
      <c r="SIS24" s="1280"/>
      <c r="SIT24" s="1280"/>
      <c r="SIU24" s="1280"/>
      <c r="SIV24" s="1280"/>
      <c r="SIW24" s="1280"/>
      <c r="SIX24" s="1280"/>
      <c r="SIY24" s="1280"/>
      <c r="SIZ24" s="1280"/>
      <c r="SJA24" s="1280"/>
      <c r="SJB24" s="1280"/>
      <c r="SJC24" s="1280"/>
      <c r="SJD24" s="1280"/>
      <c r="SJE24" s="1280"/>
      <c r="SJF24" s="1280"/>
      <c r="SJG24" s="1280"/>
      <c r="SJH24" s="1280"/>
      <c r="SJI24" s="1280"/>
      <c r="SJJ24" s="1280"/>
      <c r="SJK24" s="1280"/>
      <c r="SJL24" s="1280"/>
      <c r="SJM24" s="1280"/>
      <c r="SJN24" s="1280"/>
      <c r="SJO24" s="1280"/>
      <c r="SJP24" s="1280"/>
      <c r="SJQ24" s="1280"/>
      <c r="SJR24" s="1280"/>
      <c r="SJS24" s="1280"/>
      <c r="SJT24" s="1280"/>
      <c r="SJU24" s="1280"/>
      <c r="SJV24" s="1280"/>
      <c r="SJW24" s="1280"/>
      <c r="SJX24" s="1280"/>
      <c r="SJY24" s="1280"/>
      <c r="SJZ24" s="1280"/>
      <c r="SKA24" s="1280"/>
      <c r="SKB24" s="1280"/>
      <c r="SKC24" s="1280"/>
      <c r="SKD24" s="1280"/>
      <c r="SKE24" s="1280"/>
      <c r="SKF24" s="1280"/>
      <c r="SKG24" s="1280"/>
      <c r="SKH24" s="1280"/>
      <c r="SKI24" s="1280"/>
      <c r="SKJ24" s="1280"/>
      <c r="SKK24" s="1280"/>
      <c r="SKL24" s="1280"/>
      <c r="SKM24" s="1280"/>
      <c r="SKN24" s="1280"/>
      <c r="SKO24" s="1280"/>
      <c r="SKP24" s="1280"/>
      <c r="SKQ24" s="1280"/>
      <c r="SKR24" s="1280"/>
      <c r="SKS24" s="1280"/>
      <c r="SKT24" s="1280"/>
      <c r="SKU24" s="1280"/>
      <c r="SKV24" s="1280"/>
      <c r="SKW24" s="1280"/>
      <c r="SKX24" s="1280"/>
      <c r="SKY24" s="1280"/>
      <c r="SKZ24" s="1280"/>
      <c r="SLA24" s="1280"/>
      <c r="SLB24" s="1280"/>
      <c r="SLC24" s="1280"/>
      <c r="SLD24" s="1280"/>
      <c r="SLE24" s="1280"/>
      <c r="SLF24" s="1280"/>
      <c r="SLG24" s="1280"/>
      <c r="SLH24" s="1280"/>
      <c r="SLI24" s="1280"/>
      <c r="SLJ24" s="1280"/>
      <c r="SLK24" s="1280"/>
      <c r="SLL24" s="1280"/>
      <c r="SLM24" s="1280"/>
      <c r="SLN24" s="1280"/>
      <c r="SLO24" s="1280"/>
      <c r="SLP24" s="1280"/>
      <c r="SLQ24" s="1280"/>
      <c r="SLR24" s="1280"/>
      <c r="SLS24" s="1280"/>
      <c r="SLT24" s="1280"/>
      <c r="SLU24" s="1280"/>
      <c r="SLV24" s="1280"/>
      <c r="SLW24" s="1280"/>
      <c r="SLX24" s="1280"/>
      <c r="SLY24" s="1280"/>
      <c r="SLZ24" s="1280"/>
      <c r="SMA24" s="1280"/>
      <c r="SMB24" s="1280"/>
      <c r="SMC24" s="1280"/>
      <c r="SMD24" s="1280"/>
      <c r="SME24" s="1280"/>
      <c r="SMF24" s="1280"/>
      <c r="SMG24" s="1280"/>
      <c r="SMH24" s="1280"/>
      <c r="SMI24" s="1280"/>
      <c r="SMJ24" s="1280"/>
      <c r="SMK24" s="1280"/>
      <c r="SML24" s="1280"/>
      <c r="SMM24" s="1280"/>
      <c r="SMN24" s="1280"/>
      <c r="SMO24" s="1280"/>
      <c r="SMP24" s="1280"/>
      <c r="SMQ24" s="1280"/>
      <c r="SMR24" s="1280"/>
      <c r="SMS24" s="1280"/>
      <c r="SMT24" s="1280"/>
      <c r="SMU24" s="1280"/>
      <c r="SMV24" s="1280"/>
      <c r="SMW24" s="1280"/>
      <c r="SMX24" s="1280"/>
      <c r="SMY24" s="1280"/>
      <c r="SMZ24" s="1280"/>
      <c r="SNA24" s="1280"/>
      <c r="SNB24" s="1280"/>
      <c r="SNC24" s="1280"/>
      <c r="SND24" s="1280"/>
      <c r="SNE24" s="1280"/>
      <c r="SNF24" s="1280"/>
      <c r="SNG24" s="1280"/>
      <c r="SNH24" s="1280"/>
      <c r="SNI24" s="1280"/>
      <c r="SNJ24" s="1280"/>
      <c r="SNK24" s="1280"/>
      <c r="SNL24" s="1280"/>
      <c r="SNM24" s="1280"/>
      <c r="SNN24" s="1280"/>
      <c r="SNO24" s="1280"/>
      <c r="SNP24" s="1280"/>
      <c r="SNQ24" s="1280"/>
      <c r="SNR24" s="1280"/>
      <c r="SNS24" s="1280"/>
      <c r="SNT24" s="1280"/>
      <c r="SNU24" s="1280"/>
      <c r="SNV24" s="1280"/>
      <c r="SNW24" s="1280"/>
      <c r="SNX24" s="1280"/>
      <c r="SNY24" s="1280"/>
      <c r="SNZ24" s="1280"/>
      <c r="SOA24" s="1280"/>
      <c r="SOB24" s="1280"/>
      <c r="SOC24" s="1280"/>
      <c r="SOD24" s="1280"/>
      <c r="SOE24" s="1280"/>
      <c r="SOF24" s="1280"/>
      <c r="SOG24" s="1280"/>
      <c r="SOH24" s="1280"/>
      <c r="SOI24" s="1280"/>
      <c r="SOJ24" s="1280"/>
      <c r="SOK24" s="1280"/>
      <c r="SOL24" s="1280"/>
      <c r="SOM24" s="1280"/>
      <c r="SON24" s="1280"/>
      <c r="SOO24" s="1280"/>
      <c r="SOP24" s="1280"/>
      <c r="SOQ24" s="1280"/>
      <c r="SOR24" s="1280"/>
      <c r="SOS24" s="1280"/>
      <c r="SOT24" s="1280"/>
      <c r="SOU24" s="1280"/>
      <c r="SOV24" s="1280"/>
      <c r="SOW24" s="1280"/>
      <c r="SOX24" s="1280"/>
      <c r="SOY24" s="1280"/>
      <c r="SOZ24" s="1280"/>
      <c r="SPA24" s="1280"/>
      <c r="SPB24" s="1280"/>
      <c r="SPC24" s="1280"/>
      <c r="SPD24" s="1280"/>
      <c r="SPE24" s="1280"/>
      <c r="SPF24" s="1280"/>
      <c r="SPG24" s="1280"/>
      <c r="SPH24" s="1280"/>
      <c r="SPI24" s="1280"/>
      <c r="SPJ24" s="1280"/>
      <c r="SPK24" s="1280"/>
      <c r="SPL24" s="1280"/>
      <c r="SPM24" s="1280"/>
      <c r="SPN24" s="1280"/>
      <c r="SPO24" s="1280"/>
      <c r="SPP24" s="1280"/>
      <c r="SPQ24" s="1280"/>
      <c r="SPR24" s="1280"/>
      <c r="SPS24" s="1280"/>
      <c r="SPT24" s="1280"/>
      <c r="SPU24" s="1280"/>
      <c r="SPV24" s="1280"/>
      <c r="SPW24" s="1280"/>
      <c r="SPX24" s="1280"/>
      <c r="SPY24" s="1280"/>
      <c r="SPZ24" s="1280"/>
      <c r="SQA24" s="1280"/>
      <c r="SQB24" s="1280"/>
      <c r="SQC24" s="1280"/>
      <c r="SQD24" s="1280"/>
      <c r="SQE24" s="1280"/>
      <c r="SQF24" s="1280"/>
      <c r="SQG24" s="1280"/>
      <c r="SQH24" s="1280"/>
      <c r="SQI24" s="1280"/>
      <c r="SQJ24" s="1280"/>
      <c r="SQK24" s="1280"/>
      <c r="SQL24" s="1280"/>
      <c r="SQM24" s="1280"/>
      <c r="SQN24" s="1280"/>
      <c r="SQO24" s="1280"/>
      <c r="SQP24" s="1280"/>
      <c r="SQQ24" s="1280"/>
      <c r="SQR24" s="1280"/>
      <c r="SQS24" s="1280"/>
      <c r="SQT24" s="1280"/>
      <c r="SQU24" s="1280"/>
      <c r="SQV24" s="1280"/>
      <c r="SQW24" s="1280"/>
      <c r="SQX24" s="1280"/>
      <c r="SQY24" s="1280"/>
      <c r="SQZ24" s="1280"/>
      <c r="SRA24" s="1280"/>
      <c r="SRB24" s="1280"/>
      <c r="SRC24" s="1280"/>
      <c r="SRD24" s="1280"/>
      <c r="SRE24" s="1280"/>
      <c r="SRF24" s="1280"/>
      <c r="SRG24" s="1280"/>
      <c r="SRH24" s="1280"/>
      <c r="SRI24" s="1280"/>
      <c r="SRJ24" s="1280"/>
      <c r="SRK24" s="1280"/>
      <c r="SRL24" s="1280"/>
      <c r="SRM24" s="1280"/>
      <c r="SRN24" s="1280"/>
      <c r="SRO24" s="1280"/>
      <c r="SRP24" s="1280"/>
      <c r="SRQ24" s="1280"/>
      <c r="SRR24" s="1280"/>
      <c r="SRS24" s="1280"/>
      <c r="SRT24" s="1280"/>
      <c r="SRU24" s="1280"/>
      <c r="SRV24" s="1280"/>
      <c r="SRW24" s="1280"/>
      <c r="SRX24" s="1280"/>
      <c r="SRY24" s="1280"/>
      <c r="SRZ24" s="1280"/>
      <c r="SSA24" s="1280"/>
      <c r="SSB24" s="1280"/>
      <c r="SSC24" s="1280"/>
      <c r="SSD24" s="1280"/>
      <c r="SSE24" s="1280"/>
      <c r="SSF24" s="1280"/>
      <c r="SSG24" s="1280"/>
      <c r="SSH24" s="1280"/>
      <c r="SSI24" s="1280"/>
      <c r="SSJ24" s="1280"/>
      <c r="SSK24" s="1280"/>
      <c r="SSL24" s="1280"/>
      <c r="SSM24" s="1280"/>
      <c r="SSN24" s="1280"/>
      <c r="SSO24" s="1280"/>
      <c r="SSP24" s="1280"/>
      <c r="SSQ24" s="1280"/>
      <c r="SSR24" s="1280"/>
      <c r="SSS24" s="1280"/>
      <c r="SST24" s="1280"/>
      <c r="SSU24" s="1280"/>
      <c r="SSV24" s="1280"/>
      <c r="SSW24" s="1280"/>
      <c r="SSX24" s="1280"/>
      <c r="SSY24" s="1280"/>
      <c r="SSZ24" s="1280"/>
      <c r="STA24" s="1280"/>
      <c r="STB24" s="1280"/>
      <c r="STC24" s="1280"/>
      <c r="STD24" s="1280"/>
      <c r="STE24" s="1280"/>
      <c r="STF24" s="1280"/>
      <c r="STG24" s="1280"/>
      <c r="STH24" s="1280"/>
      <c r="STI24" s="1280"/>
      <c r="STJ24" s="1280"/>
      <c r="STK24" s="1280"/>
      <c r="STL24" s="1280"/>
      <c r="STM24" s="1280"/>
      <c r="STN24" s="1280"/>
      <c r="STO24" s="1280"/>
      <c r="STP24" s="1280"/>
      <c r="STQ24" s="1280"/>
      <c r="STR24" s="1280"/>
      <c r="STS24" s="1280"/>
      <c r="STT24" s="1280"/>
      <c r="STU24" s="1280"/>
      <c r="STV24" s="1280"/>
      <c r="STW24" s="1280"/>
      <c r="STX24" s="1280"/>
      <c r="STY24" s="1280"/>
      <c r="STZ24" s="1280"/>
      <c r="SUA24" s="1280"/>
      <c r="SUB24" s="1280"/>
      <c r="SUC24" s="1280"/>
      <c r="SUD24" s="1280"/>
      <c r="SUE24" s="1280"/>
      <c r="SUF24" s="1280"/>
      <c r="SUG24" s="1280"/>
      <c r="SUH24" s="1280"/>
      <c r="SUI24" s="1280"/>
      <c r="SUJ24" s="1280"/>
      <c r="SUK24" s="1280"/>
      <c r="SUL24" s="1280"/>
      <c r="SUM24" s="1280"/>
      <c r="SUN24" s="1280"/>
      <c r="SUO24" s="1280"/>
      <c r="SUP24" s="1280"/>
      <c r="SUQ24" s="1280"/>
      <c r="SUR24" s="1280"/>
      <c r="SUS24" s="1280"/>
      <c r="SUT24" s="1280"/>
      <c r="SUU24" s="1280"/>
      <c r="SUV24" s="1280"/>
      <c r="SUW24" s="1280"/>
      <c r="SUX24" s="1280"/>
      <c r="SUY24" s="1280"/>
      <c r="SUZ24" s="1280"/>
      <c r="SVA24" s="1280"/>
      <c r="SVB24" s="1280"/>
      <c r="SVC24" s="1280"/>
      <c r="SVD24" s="1280"/>
      <c r="SVE24" s="1280"/>
      <c r="SVF24" s="1280"/>
      <c r="SVG24" s="1280"/>
      <c r="SVH24" s="1280"/>
      <c r="SVI24" s="1280"/>
      <c r="SVJ24" s="1280"/>
      <c r="SVK24" s="1280"/>
      <c r="SVL24" s="1280"/>
      <c r="SVM24" s="1280"/>
      <c r="SVN24" s="1280"/>
      <c r="SVO24" s="1280"/>
      <c r="SVP24" s="1280"/>
      <c r="SVQ24" s="1280"/>
      <c r="SVR24" s="1280"/>
      <c r="SVS24" s="1280"/>
      <c r="SVT24" s="1280"/>
      <c r="SVU24" s="1280"/>
      <c r="SVV24" s="1280"/>
      <c r="SVW24" s="1280"/>
      <c r="SVX24" s="1280"/>
      <c r="SVY24" s="1280"/>
      <c r="SVZ24" s="1280"/>
      <c r="SWA24" s="1280"/>
      <c r="SWB24" s="1280"/>
      <c r="SWC24" s="1280"/>
      <c r="SWD24" s="1280"/>
      <c r="SWE24" s="1280"/>
      <c r="SWF24" s="1280"/>
      <c r="SWG24" s="1280"/>
      <c r="SWH24" s="1280"/>
      <c r="SWI24" s="1280"/>
      <c r="SWJ24" s="1280"/>
      <c r="SWK24" s="1280"/>
      <c r="SWL24" s="1280"/>
      <c r="SWM24" s="1280"/>
      <c r="SWN24" s="1280"/>
      <c r="SWO24" s="1280"/>
      <c r="SWP24" s="1280"/>
      <c r="SWQ24" s="1280"/>
      <c r="SWR24" s="1280"/>
      <c r="SWS24" s="1280"/>
      <c r="SWT24" s="1280"/>
      <c r="SWU24" s="1280"/>
      <c r="SWV24" s="1280"/>
      <c r="SWW24" s="1280"/>
      <c r="SWX24" s="1280"/>
      <c r="SWY24" s="1280"/>
      <c r="SWZ24" s="1280"/>
      <c r="SXA24" s="1280"/>
      <c r="SXB24" s="1280"/>
      <c r="SXC24" s="1280"/>
      <c r="SXD24" s="1280"/>
      <c r="SXE24" s="1280"/>
      <c r="SXF24" s="1280"/>
      <c r="SXG24" s="1280"/>
      <c r="SXH24" s="1280"/>
      <c r="SXI24" s="1280"/>
      <c r="SXJ24" s="1280"/>
      <c r="SXK24" s="1280"/>
      <c r="SXL24" s="1280"/>
      <c r="SXM24" s="1280"/>
      <c r="SXN24" s="1280"/>
      <c r="SXO24" s="1280"/>
      <c r="SXP24" s="1280"/>
      <c r="SXQ24" s="1280"/>
      <c r="SXR24" s="1280"/>
      <c r="SXS24" s="1280"/>
      <c r="SXT24" s="1280"/>
      <c r="SXU24" s="1280"/>
      <c r="SXV24" s="1280"/>
      <c r="SXW24" s="1280"/>
      <c r="SXX24" s="1280"/>
      <c r="SXY24" s="1280"/>
      <c r="SXZ24" s="1280"/>
      <c r="SYA24" s="1280"/>
      <c r="SYB24" s="1280"/>
      <c r="SYC24" s="1280"/>
      <c r="SYD24" s="1280"/>
      <c r="SYE24" s="1280"/>
      <c r="SYF24" s="1280"/>
      <c r="SYG24" s="1280"/>
      <c r="SYH24" s="1280"/>
      <c r="SYI24" s="1280"/>
      <c r="SYJ24" s="1280"/>
      <c r="SYK24" s="1280"/>
      <c r="SYL24" s="1280"/>
      <c r="SYM24" s="1280"/>
      <c r="SYN24" s="1280"/>
      <c r="SYO24" s="1280"/>
      <c r="SYP24" s="1280"/>
      <c r="SYQ24" s="1280"/>
      <c r="SYR24" s="1280"/>
      <c r="SYS24" s="1280"/>
      <c r="SYT24" s="1280"/>
      <c r="SYU24" s="1280"/>
      <c r="SYV24" s="1280"/>
      <c r="SYW24" s="1280"/>
      <c r="SYX24" s="1280"/>
      <c r="SYY24" s="1280"/>
      <c r="SYZ24" s="1280"/>
      <c r="SZA24" s="1280"/>
      <c r="SZB24" s="1280"/>
      <c r="SZC24" s="1280"/>
      <c r="SZD24" s="1280"/>
      <c r="SZE24" s="1280"/>
      <c r="SZF24" s="1280"/>
      <c r="SZG24" s="1280"/>
      <c r="SZH24" s="1280"/>
      <c r="SZI24" s="1280"/>
      <c r="SZJ24" s="1280"/>
      <c r="SZK24" s="1280"/>
      <c r="SZL24" s="1280"/>
      <c r="SZM24" s="1280"/>
      <c r="SZN24" s="1280"/>
      <c r="SZO24" s="1280"/>
      <c r="SZP24" s="1280"/>
      <c r="SZQ24" s="1280"/>
      <c r="SZR24" s="1280"/>
      <c r="SZS24" s="1280"/>
      <c r="SZT24" s="1280"/>
      <c r="SZU24" s="1280"/>
      <c r="SZV24" s="1280"/>
      <c r="SZW24" s="1280"/>
      <c r="SZX24" s="1280"/>
      <c r="SZY24" s="1280"/>
      <c r="SZZ24" s="1280"/>
      <c r="TAA24" s="1280"/>
      <c r="TAB24" s="1280"/>
      <c r="TAC24" s="1280"/>
      <c r="TAD24" s="1280"/>
      <c r="TAE24" s="1280"/>
      <c r="TAF24" s="1280"/>
      <c r="TAG24" s="1280"/>
      <c r="TAH24" s="1280"/>
      <c r="TAI24" s="1280"/>
      <c r="TAJ24" s="1280"/>
      <c r="TAK24" s="1280"/>
      <c r="TAL24" s="1280"/>
      <c r="TAM24" s="1280"/>
      <c r="TAN24" s="1280"/>
      <c r="TAO24" s="1280"/>
      <c r="TAP24" s="1280"/>
      <c r="TAQ24" s="1280"/>
      <c r="TAR24" s="1280"/>
      <c r="TAS24" s="1280"/>
      <c r="TAT24" s="1280"/>
      <c r="TAU24" s="1280"/>
      <c r="TAV24" s="1280"/>
      <c r="TAW24" s="1280"/>
      <c r="TAX24" s="1280"/>
      <c r="TAY24" s="1280"/>
      <c r="TAZ24" s="1280"/>
      <c r="TBA24" s="1280"/>
      <c r="TBB24" s="1280"/>
      <c r="TBC24" s="1280"/>
      <c r="TBD24" s="1280"/>
      <c r="TBE24" s="1280"/>
      <c r="TBF24" s="1280"/>
      <c r="TBG24" s="1280"/>
      <c r="TBH24" s="1280"/>
      <c r="TBI24" s="1280"/>
      <c r="TBJ24" s="1280"/>
      <c r="TBK24" s="1280"/>
      <c r="TBL24" s="1280"/>
      <c r="TBM24" s="1280"/>
      <c r="TBN24" s="1280"/>
      <c r="TBO24" s="1280"/>
      <c r="TBP24" s="1280"/>
      <c r="TBQ24" s="1280"/>
      <c r="TBR24" s="1280"/>
      <c r="TBS24" s="1280"/>
      <c r="TBT24" s="1280"/>
      <c r="TBU24" s="1280"/>
      <c r="TBV24" s="1280"/>
      <c r="TBW24" s="1280"/>
      <c r="TBX24" s="1280"/>
      <c r="TBY24" s="1280"/>
      <c r="TBZ24" s="1280"/>
      <c r="TCA24" s="1280"/>
      <c r="TCB24" s="1280"/>
      <c r="TCC24" s="1280"/>
      <c r="TCD24" s="1280"/>
      <c r="TCE24" s="1280"/>
      <c r="TCF24" s="1280"/>
      <c r="TCG24" s="1280"/>
      <c r="TCH24" s="1280"/>
      <c r="TCI24" s="1280"/>
      <c r="TCJ24" s="1280"/>
      <c r="TCK24" s="1280"/>
      <c r="TCL24" s="1280"/>
      <c r="TCM24" s="1280"/>
      <c r="TCN24" s="1280"/>
      <c r="TCO24" s="1280"/>
      <c r="TCP24" s="1280"/>
      <c r="TCQ24" s="1280"/>
      <c r="TCR24" s="1280"/>
      <c r="TCS24" s="1280"/>
      <c r="TCT24" s="1280"/>
      <c r="TCU24" s="1280"/>
      <c r="TCV24" s="1280"/>
      <c r="TCW24" s="1280"/>
      <c r="TCX24" s="1280"/>
      <c r="TCY24" s="1280"/>
      <c r="TCZ24" s="1280"/>
      <c r="TDA24" s="1280"/>
      <c r="TDB24" s="1280"/>
      <c r="TDC24" s="1280"/>
      <c r="TDD24" s="1280"/>
      <c r="TDE24" s="1280"/>
      <c r="TDF24" s="1280"/>
      <c r="TDG24" s="1280"/>
      <c r="TDH24" s="1280"/>
      <c r="TDI24" s="1280"/>
      <c r="TDJ24" s="1280"/>
      <c r="TDK24" s="1280"/>
      <c r="TDL24" s="1280"/>
      <c r="TDM24" s="1280"/>
      <c r="TDN24" s="1280"/>
      <c r="TDO24" s="1280"/>
      <c r="TDP24" s="1280"/>
      <c r="TDQ24" s="1280"/>
      <c r="TDR24" s="1280"/>
      <c r="TDS24" s="1280"/>
      <c r="TDT24" s="1280"/>
      <c r="TDU24" s="1280"/>
      <c r="TDV24" s="1280"/>
      <c r="TDW24" s="1280"/>
      <c r="TDX24" s="1280"/>
      <c r="TDY24" s="1280"/>
      <c r="TDZ24" s="1280"/>
      <c r="TEA24" s="1280"/>
      <c r="TEB24" s="1280"/>
      <c r="TEC24" s="1280"/>
      <c r="TED24" s="1280"/>
      <c r="TEE24" s="1280"/>
      <c r="TEF24" s="1280"/>
      <c r="TEG24" s="1280"/>
      <c r="TEH24" s="1280"/>
      <c r="TEI24" s="1280"/>
      <c r="TEJ24" s="1280"/>
      <c r="TEK24" s="1280"/>
      <c r="TEL24" s="1280"/>
      <c r="TEM24" s="1280"/>
      <c r="TEN24" s="1280"/>
      <c r="TEO24" s="1280"/>
      <c r="TEP24" s="1280"/>
      <c r="TEQ24" s="1280"/>
      <c r="TER24" s="1280"/>
      <c r="TES24" s="1280"/>
      <c r="TET24" s="1280"/>
      <c r="TEU24" s="1280"/>
      <c r="TEV24" s="1280"/>
      <c r="TEW24" s="1280"/>
      <c r="TEX24" s="1280"/>
      <c r="TEY24" s="1280"/>
      <c r="TEZ24" s="1280"/>
      <c r="TFA24" s="1280"/>
      <c r="TFB24" s="1280"/>
      <c r="TFC24" s="1280"/>
      <c r="TFD24" s="1280"/>
      <c r="TFE24" s="1280"/>
      <c r="TFF24" s="1280"/>
      <c r="TFG24" s="1280"/>
      <c r="TFH24" s="1280"/>
      <c r="TFI24" s="1280"/>
      <c r="TFJ24" s="1280"/>
      <c r="TFK24" s="1280"/>
      <c r="TFL24" s="1280"/>
      <c r="TFM24" s="1280"/>
      <c r="TFN24" s="1280"/>
      <c r="TFO24" s="1280"/>
      <c r="TFP24" s="1280"/>
      <c r="TFQ24" s="1280"/>
      <c r="TFR24" s="1280"/>
      <c r="TFS24" s="1280"/>
      <c r="TFT24" s="1280"/>
      <c r="TFU24" s="1280"/>
      <c r="TFV24" s="1280"/>
      <c r="TFW24" s="1280"/>
      <c r="TFX24" s="1280"/>
      <c r="TFY24" s="1280"/>
      <c r="TFZ24" s="1280"/>
      <c r="TGA24" s="1280"/>
      <c r="TGB24" s="1280"/>
      <c r="TGC24" s="1280"/>
      <c r="TGD24" s="1280"/>
      <c r="TGE24" s="1280"/>
      <c r="TGF24" s="1280"/>
      <c r="TGG24" s="1280"/>
      <c r="TGH24" s="1280"/>
      <c r="TGI24" s="1280"/>
      <c r="TGJ24" s="1280"/>
      <c r="TGK24" s="1280"/>
      <c r="TGL24" s="1280"/>
      <c r="TGM24" s="1280"/>
      <c r="TGN24" s="1280"/>
      <c r="TGO24" s="1280"/>
      <c r="TGP24" s="1280"/>
      <c r="TGQ24" s="1280"/>
      <c r="TGR24" s="1280"/>
      <c r="TGS24" s="1280"/>
      <c r="TGT24" s="1280"/>
      <c r="TGU24" s="1280"/>
      <c r="TGV24" s="1280"/>
      <c r="TGW24" s="1280"/>
      <c r="TGX24" s="1280"/>
      <c r="TGY24" s="1280"/>
      <c r="TGZ24" s="1280"/>
      <c r="THA24" s="1280"/>
      <c r="THB24" s="1280"/>
      <c r="THC24" s="1280"/>
      <c r="THD24" s="1280"/>
      <c r="THE24" s="1280"/>
      <c r="THF24" s="1280"/>
      <c r="THG24" s="1280"/>
      <c r="THH24" s="1280"/>
      <c r="THI24" s="1280"/>
      <c r="THJ24" s="1280"/>
      <c r="THK24" s="1280"/>
      <c r="THL24" s="1280"/>
      <c r="THM24" s="1280"/>
      <c r="THN24" s="1280"/>
      <c r="THO24" s="1280"/>
      <c r="THP24" s="1280"/>
      <c r="THQ24" s="1280"/>
      <c r="THR24" s="1280"/>
      <c r="THS24" s="1280"/>
      <c r="THT24" s="1280"/>
      <c r="THU24" s="1280"/>
      <c r="THV24" s="1280"/>
      <c r="THW24" s="1280"/>
      <c r="THX24" s="1280"/>
      <c r="THY24" s="1280"/>
      <c r="THZ24" s="1280"/>
      <c r="TIA24" s="1280"/>
      <c r="TIB24" s="1280"/>
      <c r="TIC24" s="1280"/>
      <c r="TID24" s="1280"/>
      <c r="TIE24" s="1280"/>
      <c r="TIF24" s="1280"/>
      <c r="TIG24" s="1280"/>
      <c r="TIH24" s="1280"/>
      <c r="TII24" s="1280"/>
      <c r="TIJ24" s="1280"/>
      <c r="TIK24" s="1280"/>
      <c r="TIL24" s="1280"/>
      <c r="TIM24" s="1280"/>
      <c r="TIN24" s="1280"/>
      <c r="TIO24" s="1280"/>
      <c r="TIP24" s="1280"/>
      <c r="TIQ24" s="1280"/>
      <c r="TIR24" s="1280"/>
      <c r="TIS24" s="1280"/>
      <c r="TIT24" s="1280"/>
      <c r="TIU24" s="1280"/>
      <c r="TIV24" s="1280"/>
      <c r="TIW24" s="1280"/>
      <c r="TIX24" s="1280"/>
      <c r="TIY24" s="1280"/>
      <c r="TIZ24" s="1280"/>
      <c r="TJA24" s="1280"/>
      <c r="TJB24" s="1280"/>
      <c r="TJC24" s="1280"/>
      <c r="TJD24" s="1280"/>
      <c r="TJE24" s="1280"/>
      <c r="TJF24" s="1280"/>
      <c r="TJG24" s="1280"/>
      <c r="TJH24" s="1280"/>
      <c r="TJI24" s="1280"/>
      <c r="TJJ24" s="1280"/>
      <c r="TJK24" s="1280"/>
      <c r="TJL24" s="1280"/>
      <c r="TJM24" s="1280"/>
      <c r="TJN24" s="1280"/>
      <c r="TJO24" s="1280"/>
      <c r="TJP24" s="1280"/>
      <c r="TJQ24" s="1280"/>
      <c r="TJR24" s="1280"/>
      <c r="TJS24" s="1280"/>
      <c r="TJT24" s="1280"/>
      <c r="TJU24" s="1280"/>
      <c r="TJV24" s="1280"/>
      <c r="TJW24" s="1280"/>
      <c r="TJX24" s="1280"/>
      <c r="TJY24" s="1280"/>
      <c r="TJZ24" s="1280"/>
      <c r="TKA24" s="1280"/>
      <c r="TKB24" s="1280"/>
      <c r="TKC24" s="1280"/>
      <c r="TKD24" s="1280"/>
      <c r="TKE24" s="1280"/>
      <c r="TKF24" s="1280"/>
      <c r="TKG24" s="1280"/>
      <c r="TKH24" s="1280"/>
      <c r="TKI24" s="1280"/>
      <c r="TKJ24" s="1280"/>
      <c r="TKK24" s="1280"/>
      <c r="TKL24" s="1280"/>
      <c r="TKM24" s="1280"/>
      <c r="TKN24" s="1280"/>
      <c r="TKO24" s="1280"/>
      <c r="TKP24" s="1280"/>
      <c r="TKQ24" s="1280"/>
      <c r="TKR24" s="1280"/>
      <c r="TKS24" s="1280"/>
      <c r="TKT24" s="1280"/>
      <c r="TKU24" s="1280"/>
      <c r="TKV24" s="1280"/>
      <c r="TKW24" s="1280"/>
      <c r="TKX24" s="1280"/>
      <c r="TKY24" s="1280"/>
      <c r="TKZ24" s="1280"/>
      <c r="TLA24" s="1280"/>
      <c r="TLB24" s="1280"/>
      <c r="TLC24" s="1280"/>
      <c r="TLD24" s="1280"/>
      <c r="TLE24" s="1280"/>
      <c r="TLF24" s="1280"/>
      <c r="TLG24" s="1280"/>
      <c r="TLH24" s="1280"/>
      <c r="TLI24" s="1280"/>
      <c r="TLJ24" s="1280"/>
      <c r="TLK24" s="1280"/>
      <c r="TLL24" s="1280"/>
      <c r="TLM24" s="1280"/>
      <c r="TLN24" s="1280"/>
      <c r="TLO24" s="1280"/>
      <c r="TLP24" s="1280"/>
      <c r="TLQ24" s="1280"/>
      <c r="TLR24" s="1280"/>
      <c r="TLS24" s="1280"/>
      <c r="TLT24" s="1280"/>
      <c r="TLU24" s="1280"/>
      <c r="TLV24" s="1280"/>
      <c r="TLW24" s="1280"/>
      <c r="TLX24" s="1280"/>
      <c r="TLY24" s="1280"/>
      <c r="TLZ24" s="1280"/>
      <c r="TMA24" s="1280"/>
      <c r="TMB24" s="1280"/>
      <c r="TMC24" s="1280"/>
      <c r="TMD24" s="1280"/>
      <c r="TME24" s="1280"/>
      <c r="TMF24" s="1280"/>
      <c r="TMG24" s="1280"/>
      <c r="TMH24" s="1280"/>
      <c r="TMI24" s="1280"/>
      <c r="TMJ24" s="1280"/>
      <c r="TMK24" s="1280"/>
      <c r="TML24" s="1280"/>
      <c r="TMM24" s="1280"/>
      <c r="TMN24" s="1280"/>
      <c r="TMO24" s="1280"/>
      <c r="TMP24" s="1280"/>
      <c r="TMQ24" s="1280"/>
      <c r="TMR24" s="1280"/>
      <c r="TMS24" s="1280"/>
      <c r="TMT24" s="1280"/>
      <c r="TMU24" s="1280"/>
      <c r="TMV24" s="1280"/>
      <c r="TMW24" s="1280"/>
      <c r="TMX24" s="1280"/>
      <c r="TMY24" s="1280"/>
      <c r="TMZ24" s="1280"/>
      <c r="TNA24" s="1280"/>
      <c r="TNB24" s="1280"/>
      <c r="TNC24" s="1280"/>
      <c r="TND24" s="1280"/>
      <c r="TNE24" s="1280"/>
      <c r="TNF24" s="1280"/>
      <c r="TNG24" s="1280"/>
      <c r="TNH24" s="1280"/>
      <c r="TNI24" s="1280"/>
      <c r="TNJ24" s="1280"/>
      <c r="TNK24" s="1280"/>
      <c r="TNL24" s="1280"/>
      <c r="TNM24" s="1280"/>
      <c r="TNN24" s="1280"/>
      <c r="TNO24" s="1280"/>
      <c r="TNP24" s="1280"/>
      <c r="TNQ24" s="1280"/>
      <c r="TNR24" s="1280"/>
      <c r="TNS24" s="1280"/>
      <c r="TNT24" s="1280"/>
      <c r="TNU24" s="1280"/>
      <c r="TNV24" s="1280"/>
      <c r="TNW24" s="1280"/>
      <c r="TNX24" s="1280"/>
      <c r="TNY24" s="1280"/>
      <c r="TNZ24" s="1280"/>
      <c r="TOA24" s="1280"/>
      <c r="TOB24" s="1280"/>
      <c r="TOC24" s="1280"/>
      <c r="TOD24" s="1280"/>
      <c r="TOE24" s="1280"/>
      <c r="TOF24" s="1280"/>
      <c r="TOG24" s="1280"/>
      <c r="TOH24" s="1280"/>
      <c r="TOI24" s="1280"/>
      <c r="TOJ24" s="1280"/>
      <c r="TOK24" s="1280"/>
      <c r="TOL24" s="1280"/>
      <c r="TOM24" s="1280"/>
      <c r="TON24" s="1280"/>
      <c r="TOO24" s="1280"/>
      <c r="TOP24" s="1280"/>
      <c r="TOQ24" s="1280"/>
      <c r="TOR24" s="1280"/>
      <c r="TOS24" s="1280"/>
      <c r="TOT24" s="1280"/>
      <c r="TOU24" s="1280"/>
      <c r="TOV24" s="1280"/>
      <c r="TOW24" s="1280"/>
      <c r="TOX24" s="1280"/>
      <c r="TOY24" s="1280"/>
      <c r="TOZ24" s="1280"/>
      <c r="TPA24" s="1280"/>
      <c r="TPB24" s="1280"/>
      <c r="TPC24" s="1280"/>
      <c r="TPD24" s="1280"/>
      <c r="TPE24" s="1280"/>
      <c r="TPF24" s="1280"/>
      <c r="TPG24" s="1280"/>
      <c r="TPH24" s="1280"/>
      <c r="TPI24" s="1280"/>
      <c r="TPJ24" s="1280"/>
      <c r="TPK24" s="1280"/>
      <c r="TPL24" s="1280"/>
      <c r="TPM24" s="1280"/>
      <c r="TPN24" s="1280"/>
      <c r="TPO24" s="1280"/>
      <c r="TPP24" s="1280"/>
      <c r="TPQ24" s="1280"/>
      <c r="TPR24" s="1280"/>
      <c r="TPS24" s="1280"/>
      <c r="TPT24" s="1280"/>
      <c r="TPU24" s="1280"/>
      <c r="TPV24" s="1280"/>
      <c r="TPW24" s="1280"/>
      <c r="TPX24" s="1280"/>
      <c r="TPY24" s="1280"/>
      <c r="TPZ24" s="1280"/>
      <c r="TQA24" s="1280"/>
      <c r="TQB24" s="1280"/>
      <c r="TQC24" s="1280"/>
      <c r="TQD24" s="1280"/>
      <c r="TQE24" s="1280"/>
      <c r="TQF24" s="1280"/>
      <c r="TQG24" s="1280"/>
      <c r="TQH24" s="1280"/>
      <c r="TQI24" s="1280"/>
      <c r="TQJ24" s="1280"/>
      <c r="TQK24" s="1280"/>
      <c r="TQL24" s="1280"/>
      <c r="TQM24" s="1280"/>
      <c r="TQN24" s="1280"/>
      <c r="TQO24" s="1280"/>
      <c r="TQP24" s="1280"/>
      <c r="TQQ24" s="1280"/>
      <c r="TQR24" s="1280"/>
      <c r="TQS24" s="1280"/>
      <c r="TQT24" s="1280"/>
      <c r="TQU24" s="1280"/>
      <c r="TQV24" s="1280"/>
      <c r="TQW24" s="1280"/>
      <c r="TQX24" s="1280"/>
      <c r="TQY24" s="1280"/>
      <c r="TQZ24" s="1280"/>
      <c r="TRA24" s="1280"/>
      <c r="TRB24" s="1280"/>
      <c r="TRC24" s="1280"/>
      <c r="TRD24" s="1280"/>
      <c r="TRE24" s="1280"/>
      <c r="TRF24" s="1280"/>
      <c r="TRG24" s="1280"/>
      <c r="TRH24" s="1280"/>
      <c r="TRI24" s="1280"/>
      <c r="TRJ24" s="1280"/>
      <c r="TRK24" s="1280"/>
      <c r="TRL24" s="1280"/>
      <c r="TRM24" s="1280"/>
      <c r="TRN24" s="1280"/>
      <c r="TRO24" s="1280"/>
      <c r="TRP24" s="1280"/>
      <c r="TRQ24" s="1280"/>
      <c r="TRR24" s="1280"/>
      <c r="TRS24" s="1280"/>
      <c r="TRT24" s="1280"/>
      <c r="TRU24" s="1280"/>
      <c r="TRV24" s="1280"/>
      <c r="TRW24" s="1280"/>
      <c r="TRX24" s="1280"/>
      <c r="TRY24" s="1280"/>
      <c r="TRZ24" s="1280"/>
      <c r="TSA24" s="1280"/>
      <c r="TSB24" s="1280"/>
      <c r="TSC24" s="1280"/>
      <c r="TSD24" s="1280"/>
      <c r="TSE24" s="1280"/>
      <c r="TSF24" s="1280"/>
      <c r="TSG24" s="1280"/>
      <c r="TSH24" s="1280"/>
      <c r="TSI24" s="1280"/>
      <c r="TSJ24" s="1280"/>
      <c r="TSK24" s="1280"/>
      <c r="TSL24" s="1280"/>
      <c r="TSM24" s="1280"/>
      <c r="TSN24" s="1280"/>
      <c r="TSO24" s="1280"/>
      <c r="TSP24" s="1280"/>
      <c r="TSQ24" s="1280"/>
      <c r="TSR24" s="1280"/>
      <c r="TSS24" s="1280"/>
      <c r="TST24" s="1280"/>
      <c r="TSU24" s="1280"/>
      <c r="TSV24" s="1280"/>
      <c r="TSW24" s="1280"/>
      <c r="TSX24" s="1280"/>
      <c r="TSY24" s="1280"/>
      <c r="TSZ24" s="1280"/>
      <c r="TTA24" s="1280"/>
      <c r="TTB24" s="1280"/>
      <c r="TTC24" s="1280"/>
      <c r="TTD24" s="1280"/>
      <c r="TTE24" s="1280"/>
      <c r="TTF24" s="1280"/>
      <c r="TTG24" s="1280"/>
      <c r="TTH24" s="1280"/>
      <c r="TTI24" s="1280"/>
      <c r="TTJ24" s="1280"/>
      <c r="TTK24" s="1280"/>
      <c r="TTL24" s="1280"/>
      <c r="TTM24" s="1280"/>
      <c r="TTN24" s="1280"/>
      <c r="TTO24" s="1280"/>
      <c r="TTP24" s="1280"/>
      <c r="TTQ24" s="1280"/>
      <c r="TTR24" s="1280"/>
      <c r="TTS24" s="1280"/>
      <c r="TTT24" s="1280"/>
      <c r="TTU24" s="1280"/>
      <c r="TTV24" s="1280"/>
      <c r="TTW24" s="1280"/>
      <c r="TTX24" s="1280"/>
      <c r="TTY24" s="1280"/>
      <c r="TTZ24" s="1280"/>
      <c r="TUA24" s="1280"/>
      <c r="TUB24" s="1280"/>
      <c r="TUC24" s="1280"/>
      <c r="TUD24" s="1280"/>
      <c r="TUE24" s="1280"/>
      <c r="TUF24" s="1280"/>
      <c r="TUG24" s="1280"/>
      <c r="TUH24" s="1280"/>
      <c r="TUI24" s="1280"/>
      <c r="TUJ24" s="1280"/>
      <c r="TUK24" s="1280"/>
      <c r="TUL24" s="1280"/>
      <c r="TUM24" s="1280"/>
      <c r="TUN24" s="1280"/>
      <c r="TUO24" s="1280"/>
      <c r="TUP24" s="1280"/>
      <c r="TUQ24" s="1280"/>
      <c r="TUR24" s="1280"/>
      <c r="TUS24" s="1280"/>
      <c r="TUT24" s="1280"/>
      <c r="TUU24" s="1280"/>
      <c r="TUV24" s="1280"/>
      <c r="TUW24" s="1280"/>
      <c r="TUX24" s="1280"/>
      <c r="TUY24" s="1280"/>
      <c r="TUZ24" s="1280"/>
      <c r="TVA24" s="1280"/>
      <c r="TVB24" s="1280"/>
      <c r="TVC24" s="1280"/>
      <c r="TVD24" s="1280"/>
      <c r="TVE24" s="1280"/>
      <c r="TVF24" s="1280"/>
      <c r="TVG24" s="1280"/>
      <c r="TVH24" s="1280"/>
      <c r="TVI24" s="1280"/>
      <c r="TVJ24" s="1280"/>
      <c r="TVK24" s="1280"/>
      <c r="TVL24" s="1280"/>
      <c r="TVM24" s="1280"/>
      <c r="TVN24" s="1280"/>
      <c r="TVO24" s="1280"/>
      <c r="TVP24" s="1280"/>
      <c r="TVQ24" s="1280"/>
      <c r="TVR24" s="1280"/>
      <c r="TVS24" s="1280"/>
      <c r="TVT24" s="1280"/>
      <c r="TVU24" s="1280"/>
      <c r="TVV24" s="1280"/>
      <c r="TVW24" s="1280"/>
      <c r="TVX24" s="1280"/>
      <c r="TVY24" s="1280"/>
      <c r="TVZ24" s="1280"/>
      <c r="TWA24" s="1280"/>
      <c r="TWB24" s="1280"/>
      <c r="TWC24" s="1280"/>
      <c r="TWD24" s="1280"/>
      <c r="TWE24" s="1280"/>
      <c r="TWF24" s="1280"/>
      <c r="TWG24" s="1280"/>
      <c r="TWH24" s="1280"/>
      <c r="TWI24" s="1280"/>
      <c r="TWJ24" s="1280"/>
      <c r="TWK24" s="1280"/>
      <c r="TWL24" s="1280"/>
      <c r="TWM24" s="1280"/>
      <c r="TWN24" s="1280"/>
      <c r="TWO24" s="1280"/>
      <c r="TWP24" s="1280"/>
      <c r="TWQ24" s="1280"/>
      <c r="TWR24" s="1280"/>
      <c r="TWS24" s="1280"/>
      <c r="TWT24" s="1280"/>
      <c r="TWU24" s="1280"/>
      <c r="TWV24" s="1280"/>
      <c r="TWW24" s="1280"/>
      <c r="TWX24" s="1280"/>
      <c r="TWY24" s="1280"/>
      <c r="TWZ24" s="1280"/>
      <c r="TXA24" s="1280"/>
      <c r="TXB24" s="1280"/>
      <c r="TXC24" s="1280"/>
      <c r="TXD24" s="1280"/>
      <c r="TXE24" s="1280"/>
      <c r="TXF24" s="1280"/>
      <c r="TXG24" s="1280"/>
      <c r="TXH24" s="1280"/>
      <c r="TXI24" s="1280"/>
      <c r="TXJ24" s="1280"/>
      <c r="TXK24" s="1280"/>
      <c r="TXL24" s="1280"/>
      <c r="TXM24" s="1280"/>
      <c r="TXN24" s="1280"/>
      <c r="TXO24" s="1280"/>
      <c r="TXP24" s="1280"/>
      <c r="TXQ24" s="1280"/>
      <c r="TXR24" s="1280"/>
      <c r="TXS24" s="1280"/>
      <c r="TXT24" s="1280"/>
      <c r="TXU24" s="1280"/>
      <c r="TXV24" s="1280"/>
      <c r="TXW24" s="1280"/>
      <c r="TXX24" s="1280"/>
      <c r="TXY24" s="1280"/>
      <c r="TXZ24" s="1280"/>
      <c r="TYA24" s="1280"/>
      <c r="TYB24" s="1280"/>
      <c r="TYC24" s="1280"/>
      <c r="TYD24" s="1280"/>
      <c r="TYE24" s="1280"/>
      <c r="TYF24" s="1280"/>
      <c r="TYG24" s="1280"/>
      <c r="TYH24" s="1280"/>
      <c r="TYI24" s="1280"/>
      <c r="TYJ24" s="1280"/>
      <c r="TYK24" s="1280"/>
      <c r="TYL24" s="1280"/>
      <c r="TYM24" s="1280"/>
      <c r="TYN24" s="1280"/>
      <c r="TYO24" s="1280"/>
      <c r="TYP24" s="1280"/>
      <c r="TYQ24" s="1280"/>
      <c r="TYR24" s="1280"/>
      <c r="TYS24" s="1280"/>
      <c r="TYT24" s="1280"/>
      <c r="TYU24" s="1280"/>
      <c r="TYV24" s="1280"/>
      <c r="TYW24" s="1280"/>
      <c r="TYX24" s="1280"/>
      <c r="TYY24" s="1280"/>
      <c r="TYZ24" s="1280"/>
      <c r="TZA24" s="1280"/>
      <c r="TZB24" s="1280"/>
      <c r="TZC24" s="1280"/>
      <c r="TZD24" s="1280"/>
      <c r="TZE24" s="1280"/>
      <c r="TZF24" s="1280"/>
      <c r="TZG24" s="1280"/>
      <c r="TZH24" s="1280"/>
      <c r="TZI24" s="1280"/>
      <c r="TZJ24" s="1280"/>
      <c r="TZK24" s="1280"/>
      <c r="TZL24" s="1280"/>
      <c r="TZM24" s="1280"/>
      <c r="TZN24" s="1280"/>
      <c r="TZO24" s="1280"/>
      <c r="TZP24" s="1280"/>
      <c r="TZQ24" s="1280"/>
      <c r="TZR24" s="1280"/>
      <c r="TZS24" s="1280"/>
      <c r="TZT24" s="1280"/>
      <c r="TZU24" s="1280"/>
      <c r="TZV24" s="1280"/>
      <c r="TZW24" s="1280"/>
      <c r="TZX24" s="1280"/>
      <c r="TZY24" s="1280"/>
      <c r="TZZ24" s="1280"/>
      <c r="UAA24" s="1280"/>
      <c r="UAB24" s="1280"/>
      <c r="UAC24" s="1280"/>
      <c r="UAD24" s="1280"/>
      <c r="UAE24" s="1280"/>
      <c r="UAF24" s="1280"/>
      <c r="UAG24" s="1280"/>
      <c r="UAH24" s="1280"/>
      <c r="UAI24" s="1280"/>
      <c r="UAJ24" s="1280"/>
      <c r="UAK24" s="1280"/>
      <c r="UAL24" s="1280"/>
      <c r="UAM24" s="1280"/>
      <c r="UAN24" s="1280"/>
      <c r="UAO24" s="1280"/>
      <c r="UAP24" s="1280"/>
      <c r="UAQ24" s="1280"/>
      <c r="UAR24" s="1280"/>
      <c r="UAS24" s="1280"/>
      <c r="UAT24" s="1280"/>
      <c r="UAU24" s="1280"/>
      <c r="UAV24" s="1280"/>
      <c r="UAW24" s="1280"/>
      <c r="UAX24" s="1280"/>
      <c r="UAY24" s="1280"/>
      <c r="UAZ24" s="1280"/>
      <c r="UBA24" s="1280"/>
      <c r="UBB24" s="1280"/>
      <c r="UBC24" s="1280"/>
      <c r="UBD24" s="1280"/>
      <c r="UBE24" s="1280"/>
      <c r="UBF24" s="1280"/>
      <c r="UBG24" s="1280"/>
      <c r="UBH24" s="1280"/>
      <c r="UBI24" s="1280"/>
      <c r="UBJ24" s="1280"/>
      <c r="UBK24" s="1280"/>
      <c r="UBL24" s="1280"/>
      <c r="UBM24" s="1280"/>
      <c r="UBN24" s="1280"/>
      <c r="UBO24" s="1280"/>
      <c r="UBP24" s="1280"/>
      <c r="UBQ24" s="1280"/>
      <c r="UBR24" s="1280"/>
      <c r="UBS24" s="1280"/>
      <c r="UBT24" s="1280"/>
      <c r="UBU24" s="1280"/>
      <c r="UBV24" s="1280"/>
      <c r="UBW24" s="1280"/>
      <c r="UBX24" s="1280"/>
      <c r="UBY24" s="1280"/>
      <c r="UBZ24" s="1280"/>
      <c r="UCA24" s="1280"/>
      <c r="UCB24" s="1280"/>
      <c r="UCC24" s="1280"/>
      <c r="UCD24" s="1280"/>
      <c r="UCE24" s="1280"/>
      <c r="UCF24" s="1280"/>
      <c r="UCG24" s="1280"/>
      <c r="UCH24" s="1280"/>
      <c r="UCI24" s="1280"/>
      <c r="UCJ24" s="1280"/>
      <c r="UCK24" s="1280"/>
      <c r="UCL24" s="1280"/>
      <c r="UCM24" s="1280"/>
      <c r="UCN24" s="1280"/>
      <c r="UCO24" s="1280"/>
      <c r="UCP24" s="1280"/>
      <c r="UCQ24" s="1280"/>
      <c r="UCR24" s="1280"/>
      <c r="UCS24" s="1280"/>
      <c r="UCT24" s="1280"/>
      <c r="UCU24" s="1280"/>
      <c r="UCV24" s="1280"/>
      <c r="UCW24" s="1280"/>
      <c r="UCX24" s="1280"/>
      <c r="UCY24" s="1280"/>
      <c r="UCZ24" s="1280"/>
      <c r="UDA24" s="1280"/>
      <c r="UDB24" s="1280"/>
      <c r="UDC24" s="1280"/>
      <c r="UDD24" s="1280"/>
      <c r="UDE24" s="1280"/>
      <c r="UDF24" s="1280"/>
      <c r="UDG24" s="1280"/>
      <c r="UDH24" s="1280"/>
      <c r="UDI24" s="1280"/>
      <c r="UDJ24" s="1280"/>
      <c r="UDK24" s="1280"/>
      <c r="UDL24" s="1280"/>
      <c r="UDM24" s="1280"/>
      <c r="UDN24" s="1280"/>
      <c r="UDO24" s="1280"/>
      <c r="UDP24" s="1280"/>
      <c r="UDQ24" s="1280"/>
      <c r="UDR24" s="1280"/>
      <c r="UDS24" s="1280"/>
      <c r="UDT24" s="1280"/>
      <c r="UDU24" s="1280"/>
      <c r="UDV24" s="1280"/>
      <c r="UDW24" s="1280"/>
      <c r="UDX24" s="1280"/>
      <c r="UDY24" s="1280"/>
      <c r="UDZ24" s="1280"/>
      <c r="UEA24" s="1280"/>
      <c r="UEB24" s="1280"/>
      <c r="UEC24" s="1280"/>
      <c r="UED24" s="1280"/>
      <c r="UEE24" s="1280"/>
      <c r="UEF24" s="1280"/>
      <c r="UEG24" s="1280"/>
      <c r="UEH24" s="1280"/>
      <c r="UEI24" s="1280"/>
      <c r="UEJ24" s="1280"/>
      <c r="UEK24" s="1280"/>
      <c r="UEL24" s="1280"/>
      <c r="UEM24" s="1280"/>
      <c r="UEN24" s="1280"/>
      <c r="UEO24" s="1280"/>
      <c r="UEP24" s="1280"/>
      <c r="UEQ24" s="1280"/>
      <c r="UER24" s="1280"/>
      <c r="UES24" s="1280"/>
      <c r="UET24" s="1280"/>
      <c r="UEU24" s="1280"/>
      <c r="UEV24" s="1280"/>
      <c r="UEW24" s="1280"/>
      <c r="UEX24" s="1280"/>
      <c r="UEY24" s="1280"/>
      <c r="UEZ24" s="1280"/>
      <c r="UFA24" s="1280"/>
      <c r="UFB24" s="1280"/>
      <c r="UFC24" s="1280"/>
      <c r="UFD24" s="1280"/>
      <c r="UFE24" s="1280"/>
      <c r="UFF24" s="1280"/>
      <c r="UFG24" s="1280"/>
      <c r="UFH24" s="1280"/>
      <c r="UFI24" s="1280"/>
      <c r="UFJ24" s="1280"/>
      <c r="UFK24" s="1280"/>
      <c r="UFL24" s="1280"/>
      <c r="UFM24" s="1280"/>
      <c r="UFN24" s="1280"/>
      <c r="UFO24" s="1280"/>
      <c r="UFP24" s="1280"/>
      <c r="UFQ24" s="1280"/>
      <c r="UFR24" s="1280"/>
      <c r="UFS24" s="1280"/>
      <c r="UFT24" s="1280"/>
      <c r="UFU24" s="1280"/>
      <c r="UFV24" s="1280"/>
      <c r="UFW24" s="1280"/>
      <c r="UFX24" s="1280"/>
      <c r="UFY24" s="1280"/>
      <c r="UFZ24" s="1280"/>
      <c r="UGA24" s="1280"/>
      <c r="UGB24" s="1280"/>
      <c r="UGC24" s="1280"/>
      <c r="UGD24" s="1280"/>
      <c r="UGE24" s="1280"/>
      <c r="UGF24" s="1280"/>
      <c r="UGG24" s="1280"/>
      <c r="UGH24" s="1280"/>
      <c r="UGI24" s="1280"/>
      <c r="UGJ24" s="1280"/>
      <c r="UGK24" s="1280"/>
      <c r="UGL24" s="1280"/>
      <c r="UGM24" s="1280"/>
      <c r="UGN24" s="1280"/>
      <c r="UGO24" s="1280"/>
      <c r="UGP24" s="1280"/>
      <c r="UGQ24" s="1280"/>
      <c r="UGR24" s="1280"/>
      <c r="UGS24" s="1280"/>
      <c r="UGT24" s="1280"/>
      <c r="UGU24" s="1280"/>
      <c r="UGV24" s="1280"/>
      <c r="UGW24" s="1280"/>
      <c r="UGX24" s="1280"/>
      <c r="UGY24" s="1280"/>
      <c r="UGZ24" s="1280"/>
      <c r="UHA24" s="1280"/>
      <c r="UHB24" s="1280"/>
      <c r="UHC24" s="1280"/>
      <c r="UHD24" s="1280"/>
      <c r="UHE24" s="1280"/>
      <c r="UHF24" s="1280"/>
      <c r="UHG24" s="1280"/>
      <c r="UHH24" s="1280"/>
      <c r="UHI24" s="1280"/>
      <c r="UHJ24" s="1280"/>
      <c r="UHK24" s="1280"/>
      <c r="UHL24" s="1280"/>
      <c r="UHM24" s="1280"/>
      <c r="UHN24" s="1280"/>
      <c r="UHO24" s="1280"/>
      <c r="UHP24" s="1280"/>
      <c r="UHQ24" s="1280"/>
      <c r="UHR24" s="1280"/>
      <c r="UHS24" s="1280"/>
      <c r="UHT24" s="1280"/>
      <c r="UHU24" s="1280"/>
      <c r="UHV24" s="1280"/>
      <c r="UHW24" s="1280"/>
      <c r="UHX24" s="1280"/>
      <c r="UHY24" s="1280"/>
      <c r="UHZ24" s="1280"/>
      <c r="UIA24" s="1280"/>
      <c r="UIB24" s="1280"/>
      <c r="UIC24" s="1280"/>
      <c r="UID24" s="1280"/>
      <c r="UIE24" s="1280"/>
      <c r="UIF24" s="1280"/>
      <c r="UIG24" s="1280"/>
      <c r="UIH24" s="1280"/>
      <c r="UII24" s="1280"/>
      <c r="UIJ24" s="1280"/>
      <c r="UIK24" s="1280"/>
      <c r="UIL24" s="1280"/>
      <c r="UIM24" s="1280"/>
      <c r="UIN24" s="1280"/>
      <c r="UIO24" s="1280"/>
      <c r="UIP24" s="1280"/>
      <c r="UIQ24" s="1280"/>
      <c r="UIR24" s="1280"/>
      <c r="UIS24" s="1280"/>
      <c r="UIT24" s="1280"/>
      <c r="UIU24" s="1280"/>
      <c r="UIV24" s="1280"/>
      <c r="UIW24" s="1280"/>
      <c r="UIX24" s="1280"/>
      <c r="UIY24" s="1280"/>
      <c r="UIZ24" s="1280"/>
      <c r="UJA24" s="1280"/>
      <c r="UJB24" s="1280"/>
      <c r="UJC24" s="1280"/>
      <c r="UJD24" s="1280"/>
      <c r="UJE24" s="1280"/>
      <c r="UJF24" s="1280"/>
      <c r="UJG24" s="1280"/>
      <c r="UJH24" s="1280"/>
      <c r="UJI24" s="1280"/>
      <c r="UJJ24" s="1280"/>
      <c r="UJK24" s="1280"/>
      <c r="UJL24" s="1280"/>
      <c r="UJM24" s="1280"/>
      <c r="UJN24" s="1280"/>
      <c r="UJO24" s="1280"/>
      <c r="UJP24" s="1280"/>
      <c r="UJQ24" s="1280"/>
      <c r="UJR24" s="1280"/>
      <c r="UJS24" s="1280"/>
      <c r="UJT24" s="1280"/>
      <c r="UJU24" s="1280"/>
      <c r="UJV24" s="1280"/>
      <c r="UJW24" s="1280"/>
      <c r="UJX24" s="1280"/>
      <c r="UJY24" s="1280"/>
      <c r="UJZ24" s="1280"/>
      <c r="UKA24" s="1280"/>
      <c r="UKB24" s="1280"/>
      <c r="UKC24" s="1280"/>
      <c r="UKD24" s="1280"/>
      <c r="UKE24" s="1280"/>
      <c r="UKF24" s="1280"/>
      <c r="UKG24" s="1280"/>
      <c r="UKH24" s="1280"/>
      <c r="UKI24" s="1280"/>
      <c r="UKJ24" s="1280"/>
      <c r="UKK24" s="1280"/>
      <c r="UKL24" s="1280"/>
      <c r="UKM24" s="1280"/>
      <c r="UKN24" s="1280"/>
      <c r="UKO24" s="1280"/>
      <c r="UKP24" s="1280"/>
      <c r="UKQ24" s="1280"/>
      <c r="UKR24" s="1280"/>
      <c r="UKS24" s="1280"/>
      <c r="UKT24" s="1280"/>
      <c r="UKU24" s="1280"/>
      <c r="UKV24" s="1280"/>
      <c r="UKW24" s="1280"/>
      <c r="UKX24" s="1280"/>
      <c r="UKY24" s="1280"/>
      <c r="UKZ24" s="1280"/>
      <c r="ULA24" s="1280"/>
      <c r="ULB24" s="1280"/>
      <c r="ULC24" s="1280"/>
      <c r="ULD24" s="1280"/>
      <c r="ULE24" s="1280"/>
      <c r="ULF24" s="1280"/>
      <c r="ULG24" s="1280"/>
      <c r="ULH24" s="1280"/>
      <c r="ULI24" s="1280"/>
      <c r="ULJ24" s="1280"/>
      <c r="ULK24" s="1280"/>
      <c r="ULL24" s="1280"/>
      <c r="ULM24" s="1280"/>
      <c r="ULN24" s="1280"/>
      <c r="ULO24" s="1280"/>
      <c r="ULP24" s="1280"/>
      <c r="ULQ24" s="1280"/>
      <c r="ULR24" s="1280"/>
      <c r="ULS24" s="1280"/>
      <c r="ULT24" s="1280"/>
      <c r="ULU24" s="1280"/>
      <c r="ULV24" s="1280"/>
      <c r="ULW24" s="1280"/>
      <c r="ULX24" s="1280"/>
      <c r="ULY24" s="1280"/>
      <c r="ULZ24" s="1280"/>
      <c r="UMA24" s="1280"/>
      <c r="UMB24" s="1280"/>
      <c r="UMC24" s="1280"/>
      <c r="UMD24" s="1280"/>
      <c r="UME24" s="1280"/>
      <c r="UMF24" s="1280"/>
      <c r="UMG24" s="1280"/>
      <c r="UMH24" s="1280"/>
      <c r="UMI24" s="1280"/>
      <c r="UMJ24" s="1280"/>
      <c r="UMK24" s="1280"/>
      <c r="UML24" s="1280"/>
      <c r="UMM24" s="1280"/>
      <c r="UMN24" s="1280"/>
      <c r="UMO24" s="1280"/>
      <c r="UMP24" s="1280"/>
      <c r="UMQ24" s="1280"/>
      <c r="UMR24" s="1280"/>
      <c r="UMS24" s="1280"/>
      <c r="UMT24" s="1280"/>
      <c r="UMU24" s="1280"/>
      <c r="UMV24" s="1280"/>
      <c r="UMW24" s="1280"/>
      <c r="UMX24" s="1280"/>
      <c r="UMY24" s="1280"/>
      <c r="UMZ24" s="1280"/>
      <c r="UNA24" s="1280"/>
      <c r="UNB24" s="1280"/>
      <c r="UNC24" s="1280"/>
      <c r="UND24" s="1280"/>
      <c r="UNE24" s="1280"/>
      <c r="UNF24" s="1280"/>
      <c r="UNG24" s="1280"/>
      <c r="UNH24" s="1280"/>
      <c r="UNI24" s="1280"/>
      <c r="UNJ24" s="1280"/>
      <c r="UNK24" s="1280"/>
      <c r="UNL24" s="1280"/>
      <c r="UNM24" s="1280"/>
      <c r="UNN24" s="1280"/>
      <c r="UNO24" s="1280"/>
      <c r="UNP24" s="1280"/>
      <c r="UNQ24" s="1280"/>
      <c r="UNR24" s="1280"/>
      <c r="UNS24" s="1280"/>
      <c r="UNT24" s="1280"/>
      <c r="UNU24" s="1280"/>
      <c r="UNV24" s="1280"/>
      <c r="UNW24" s="1280"/>
      <c r="UNX24" s="1280"/>
      <c r="UNY24" s="1280"/>
      <c r="UNZ24" s="1280"/>
      <c r="UOA24" s="1280"/>
      <c r="UOB24" s="1280"/>
      <c r="UOC24" s="1280"/>
      <c r="UOD24" s="1280"/>
      <c r="UOE24" s="1280"/>
      <c r="UOF24" s="1280"/>
      <c r="UOG24" s="1280"/>
      <c r="UOH24" s="1280"/>
      <c r="UOI24" s="1280"/>
      <c r="UOJ24" s="1280"/>
      <c r="UOK24" s="1280"/>
      <c r="UOL24" s="1280"/>
      <c r="UOM24" s="1280"/>
      <c r="UON24" s="1280"/>
      <c r="UOO24" s="1280"/>
      <c r="UOP24" s="1280"/>
      <c r="UOQ24" s="1280"/>
      <c r="UOR24" s="1280"/>
      <c r="UOS24" s="1280"/>
      <c r="UOT24" s="1280"/>
      <c r="UOU24" s="1280"/>
      <c r="UOV24" s="1280"/>
      <c r="UOW24" s="1280"/>
      <c r="UOX24" s="1280"/>
      <c r="UOY24" s="1280"/>
      <c r="UOZ24" s="1280"/>
      <c r="UPA24" s="1280"/>
      <c r="UPB24" s="1280"/>
      <c r="UPC24" s="1280"/>
      <c r="UPD24" s="1280"/>
      <c r="UPE24" s="1280"/>
      <c r="UPF24" s="1280"/>
      <c r="UPG24" s="1280"/>
      <c r="UPH24" s="1280"/>
      <c r="UPI24" s="1280"/>
      <c r="UPJ24" s="1280"/>
      <c r="UPK24" s="1280"/>
      <c r="UPL24" s="1280"/>
      <c r="UPM24" s="1280"/>
      <c r="UPN24" s="1280"/>
      <c r="UPO24" s="1280"/>
      <c r="UPP24" s="1280"/>
      <c r="UPQ24" s="1280"/>
      <c r="UPR24" s="1280"/>
      <c r="UPS24" s="1280"/>
      <c r="UPT24" s="1280"/>
      <c r="UPU24" s="1280"/>
      <c r="UPV24" s="1280"/>
      <c r="UPW24" s="1280"/>
      <c r="UPX24" s="1280"/>
      <c r="UPY24" s="1280"/>
      <c r="UPZ24" s="1280"/>
      <c r="UQA24" s="1280"/>
      <c r="UQB24" s="1280"/>
      <c r="UQC24" s="1280"/>
      <c r="UQD24" s="1280"/>
      <c r="UQE24" s="1280"/>
      <c r="UQF24" s="1280"/>
      <c r="UQG24" s="1280"/>
      <c r="UQH24" s="1280"/>
      <c r="UQI24" s="1280"/>
      <c r="UQJ24" s="1280"/>
      <c r="UQK24" s="1280"/>
      <c r="UQL24" s="1280"/>
      <c r="UQM24" s="1280"/>
      <c r="UQN24" s="1280"/>
      <c r="UQO24" s="1280"/>
      <c r="UQP24" s="1280"/>
      <c r="UQQ24" s="1280"/>
      <c r="UQR24" s="1280"/>
      <c r="UQS24" s="1280"/>
      <c r="UQT24" s="1280"/>
      <c r="UQU24" s="1280"/>
      <c r="UQV24" s="1280"/>
      <c r="UQW24" s="1280"/>
      <c r="UQX24" s="1280"/>
      <c r="UQY24" s="1280"/>
      <c r="UQZ24" s="1280"/>
      <c r="URA24" s="1280"/>
      <c r="URB24" s="1280"/>
      <c r="URC24" s="1280"/>
      <c r="URD24" s="1280"/>
      <c r="URE24" s="1280"/>
      <c r="URF24" s="1280"/>
      <c r="URG24" s="1280"/>
      <c r="URH24" s="1280"/>
      <c r="URI24" s="1280"/>
      <c r="URJ24" s="1280"/>
      <c r="URK24" s="1280"/>
      <c r="URL24" s="1280"/>
      <c r="URM24" s="1280"/>
      <c r="URN24" s="1280"/>
      <c r="URO24" s="1280"/>
      <c r="URP24" s="1280"/>
      <c r="URQ24" s="1280"/>
      <c r="URR24" s="1280"/>
      <c r="URS24" s="1280"/>
      <c r="URT24" s="1280"/>
      <c r="URU24" s="1280"/>
      <c r="URV24" s="1280"/>
      <c r="URW24" s="1280"/>
      <c r="URX24" s="1280"/>
      <c r="URY24" s="1280"/>
      <c r="URZ24" s="1280"/>
      <c r="USA24" s="1280"/>
      <c r="USB24" s="1280"/>
      <c r="USC24" s="1280"/>
      <c r="USD24" s="1280"/>
      <c r="USE24" s="1280"/>
      <c r="USF24" s="1280"/>
      <c r="USG24" s="1280"/>
      <c r="USH24" s="1280"/>
      <c r="USI24" s="1280"/>
      <c r="USJ24" s="1280"/>
      <c r="USK24" s="1280"/>
      <c r="USL24" s="1280"/>
      <c r="USM24" s="1280"/>
      <c r="USN24" s="1280"/>
      <c r="USO24" s="1280"/>
      <c r="USP24" s="1280"/>
      <c r="USQ24" s="1280"/>
      <c r="USR24" s="1280"/>
      <c r="USS24" s="1280"/>
      <c r="UST24" s="1280"/>
      <c r="USU24" s="1280"/>
      <c r="USV24" s="1280"/>
      <c r="USW24" s="1280"/>
      <c r="USX24" s="1280"/>
      <c r="USY24" s="1280"/>
      <c r="USZ24" s="1280"/>
      <c r="UTA24" s="1280"/>
      <c r="UTB24" s="1280"/>
      <c r="UTC24" s="1280"/>
      <c r="UTD24" s="1280"/>
      <c r="UTE24" s="1280"/>
      <c r="UTF24" s="1280"/>
      <c r="UTG24" s="1280"/>
      <c r="UTH24" s="1280"/>
      <c r="UTI24" s="1280"/>
      <c r="UTJ24" s="1280"/>
      <c r="UTK24" s="1280"/>
      <c r="UTL24" s="1280"/>
      <c r="UTM24" s="1280"/>
      <c r="UTN24" s="1280"/>
      <c r="UTO24" s="1280"/>
      <c r="UTP24" s="1280"/>
      <c r="UTQ24" s="1280"/>
      <c r="UTR24" s="1280"/>
      <c r="UTS24" s="1280"/>
      <c r="UTT24" s="1280"/>
      <c r="UTU24" s="1280"/>
      <c r="UTV24" s="1280"/>
      <c r="UTW24" s="1280"/>
      <c r="UTX24" s="1280"/>
      <c r="UTY24" s="1280"/>
      <c r="UTZ24" s="1280"/>
      <c r="UUA24" s="1280"/>
      <c r="UUB24" s="1280"/>
      <c r="UUC24" s="1280"/>
      <c r="UUD24" s="1280"/>
      <c r="UUE24" s="1280"/>
      <c r="UUF24" s="1280"/>
      <c r="UUG24" s="1280"/>
      <c r="UUH24" s="1280"/>
      <c r="UUI24" s="1280"/>
      <c r="UUJ24" s="1280"/>
      <c r="UUK24" s="1280"/>
      <c r="UUL24" s="1280"/>
      <c r="UUM24" s="1280"/>
      <c r="UUN24" s="1280"/>
      <c r="UUO24" s="1280"/>
      <c r="UUP24" s="1280"/>
      <c r="UUQ24" s="1280"/>
      <c r="UUR24" s="1280"/>
      <c r="UUS24" s="1280"/>
      <c r="UUT24" s="1280"/>
      <c r="UUU24" s="1280"/>
      <c r="UUV24" s="1280"/>
      <c r="UUW24" s="1280"/>
      <c r="UUX24" s="1280"/>
      <c r="UUY24" s="1280"/>
      <c r="UUZ24" s="1280"/>
      <c r="UVA24" s="1280"/>
      <c r="UVB24" s="1280"/>
      <c r="UVC24" s="1280"/>
      <c r="UVD24" s="1280"/>
      <c r="UVE24" s="1280"/>
      <c r="UVF24" s="1280"/>
      <c r="UVG24" s="1280"/>
      <c r="UVH24" s="1280"/>
      <c r="UVI24" s="1280"/>
      <c r="UVJ24" s="1280"/>
      <c r="UVK24" s="1280"/>
      <c r="UVL24" s="1280"/>
      <c r="UVM24" s="1280"/>
      <c r="UVN24" s="1280"/>
      <c r="UVO24" s="1280"/>
      <c r="UVP24" s="1280"/>
      <c r="UVQ24" s="1280"/>
      <c r="UVR24" s="1280"/>
      <c r="UVS24" s="1280"/>
      <c r="UVT24" s="1280"/>
      <c r="UVU24" s="1280"/>
      <c r="UVV24" s="1280"/>
      <c r="UVW24" s="1280"/>
      <c r="UVX24" s="1280"/>
      <c r="UVY24" s="1280"/>
      <c r="UVZ24" s="1280"/>
      <c r="UWA24" s="1280"/>
      <c r="UWB24" s="1280"/>
      <c r="UWC24" s="1280"/>
      <c r="UWD24" s="1280"/>
      <c r="UWE24" s="1280"/>
      <c r="UWF24" s="1280"/>
      <c r="UWG24" s="1280"/>
      <c r="UWH24" s="1280"/>
      <c r="UWI24" s="1280"/>
      <c r="UWJ24" s="1280"/>
      <c r="UWK24" s="1280"/>
      <c r="UWL24" s="1280"/>
      <c r="UWM24" s="1280"/>
      <c r="UWN24" s="1280"/>
      <c r="UWO24" s="1280"/>
      <c r="UWP24" s="1280"/>
      <c r="UWQ24" s="1280"/>
      <c r="UWR24" s="1280"/>
      <c r="UWS24" s="1280"/>
      <c r="UWT24" s="1280"/>
      <c r="UWU24" s="1280"/>
      <c r="UWV24" s="1280"/>
      <c r="UWW24" s="1280"/>
      <c r="UWX24" s="1280"/>
      <c r="UWY24" s="1280"/>
      <c r="UWZ24" s="1280"/>
      <c r="UXA24" s="1280"/>
      <c r="UXB24" s="1280"/>
      <c r="UXC24" s="1280"/>
      <c r="UXD24" s="1280"/>
      <c r="UXE24" s="1280"/>
      <c r="UXF24" s="1280"/>
      <c r="UXG24" s="1280"/>
      <c r="UXH24" s="1280"/>
      <c r="UXI24" s="1280"/>
      <c r="UXJ24" s="1280"/>
      <c r="UXK24" s="1280"/>
      <c r="UXL24" s="1280"/>
      <c r="UXM24" s="1280"/>
      <c r="UXN24" s="1280"/>
      <c r="UXO24" s="1280"/>
      <c r="UXP24" s="1280"/>
      <c r="UXQ24" s="1280"/>
      <c r="UXR24" s="1280"/>
      <c r="UXS24" s="1280"/>
      <c r="UXT24" s="1280"/>
      <c r="UXU24" s="1280"/>
      <c r="UXV24" s="1280"/>
      <c r="UXW24" s="1280"/>
      <c r="UXX24" s="1280"/>
      <c r="UXY24" s="1280"/>
      <c r="UXZ24" s="1280"/>
      <c r="UYA24" s="1280"/>
      <c r="UYB24" s="1280"/>
      <c r="UYC24" s="1280"/>
      <c r="UYD24" s="1280"/>
      <c r="UYE24" s="1280"/>
      <c r="UYF24" s="1280"/>
      <c r="UYG24" s="1280"/>
      <c r="UYH24" s="1280"/>
      <c r="UYI24" s="1280"/>
      <c r="UYJ24" s="1280"/>
      <c r="UYK24" s="1280"/>
      <c r="UYL24" s="1280"/>
      <c r="UYM24" s="1280"/>
      <c r="UYN24" s="1280"/>
      <c r="UYO24" s="1280"/>
      <c r="UYP24" s="1280"/>
      <c r="UYQ24" s="1280"/>
      <c r="UYR24" s="1280"/>
      <c r="UYS24" s="1280"/>
      <c r="UYT24" s="1280"/>
      <c r="UYU24" s="1280"/>
      <c r="UYV24" s="1280"/>
      <c r="UYW24" s="1280"/>
      <c r="UYX24" s="1280"/>
      <c r="UYY24" s="1280"/>
      <c r="UYZ24" s="1280"/>
      <c r="UZA24" s="1280"/>
      <c r="UZB24" s="1280"/>
      <c r="UZC24" s="1280"/>
      <c r="UZD24" s="1280"/>
      <c r="UZE24" s="1280"/>
      <c r="UZF24" s="1280"/>
      <c r="UZG24" s="1280"/>
      <c r="UZH24" s="1280"/>
      <c r="UZI24" s="1280"/>
      <c r="UZJ24" s="1280"/>
      <c r="UZK24" s="1280"/>
      <c r="UZL24" s="1280"/>
      <c r="UZM24" s="1280"/>
      <c r="UZN24" s="1280"/>
      <c r="UZO24" s="1280"/>
      <c r="UZP24" s="1280"/>
      <c r="UZQ24" s="1280"/>
      <c r="UZR24" s="1280"/>
      <c r="UZS24" s="1280"/>
      <c r="UZT24" s="1280"/>
      <c r="UZU24" s="1280"/>
      <c r="UZV24" s="1280"/>
      <c r="UZW24" s="1280"/>
      <c r="UZX24" s="1280"/>
      <c r="UZY24" s="1280"/>
      <c r="UZZ24" s="1280"/>
      <c r="VAA24" s="1280"/>
      <c r="VAB24" s="1280"/>
      <c r="VAC24" s="1280"/>
      <c r="VAD24" s="1280"/>
      <c r="VAE24" s="1280"/>
      <c r="VAF24" s="1280"/>
      <c r="VAG24" s="1280"/>
      <c r="VAH24" s="1280"/>
      <c r="VAI24" s="1280"/>
      <c r="VAJ24" s="1280"/>
      <c r="VAK24" s="1280"/>
      <c r="VAL24" s="1280"/>
      <c r="VAM24" s="1280"/>
      <c r="VAN24" s="1280"/>
      <c r="VAO24" s="1280"/>
      <c r="VAP24" s="1280"/>
      <c r="VAQ24" s="1280"/>
      <c r="VAR24" s="1280"/>
      <c r="VAS24" s="1280"/>
      <c r="VAT24" s="1280"/>
      <c r="VAU24" s="1280"/>
      <c r="VAV24" s="1280"/>
      <c r="VAW24" s="1280"/>
      <c r="VAX24" s="1280"/>
      <c r="VAY24" s="1280"/>
      <c r="VAZ24" s="1280"/>
      <c r="VBA24" s="1280"/>
      <c r="VBB24" s="1280"/>
      <c r="VBC24" s="1280"/>
      <c r="VBD24" s="1280"/>
      <c r="VBE24" s="1280"/>
      <c r="VBF24" s="1280"/>
      <c r="VBG24" s="1280"/>
      <c r="VBH24" s="1280"/>
      <c r="VBI24" s="1280"/>
      <c r="VBJ24" s="1280"/>
      <c r="VBK24" s="1280"/>
      <c r="VBL24" s="1280"/>
      <c r="VBM24" s="1280"/>
      <c r="VBN24" s="1280"/>
      <c r="VBO24" s="1280"/>
      <c r="VBP24" s="1280"/>
      <c r="VBQ24" s="1280"/>
      <c r="VBR24" s="1280"/>
      <c r="VBS24" s="1280"/>
      <c r="VBT24" s="1280"/>
      <c r="VBU24" s="1280"/>
      <c r="VBV24" s="1280"/>
      <c r="VBW24" s="1280"/>
      <c r="VBX24" s="1280"/>
      <c r="VBY24" s="1280"/>
      <c r="VBZ24" s="1280"/>
      <c r="VCA24" s="1280"/>
      <c r="VCB24" s="1280"/>
      <c r="VCC24" s="1280"/>
      <c r="VCD24" s="1280"/>
      <c r="VCE24" s="1280"/>
      <c r="VCF24" s="1280"/>
      <c r="VCG24" s="1280"/>
      <c r="VCH24" s="1280"/>
      <c r="VCI24" s="1280"/>
      <c r="VCJ24" s="1280"/>
      <c r="VCK24" s="1280"/>
      <c r="VCL24" s="1280"/>
      <c r="VCM24" s="1280"/>
      <c r="VCN24" s="1280"/>
      <c r="VCO24" s="1280"/>
      <c r="VCP24" s="1280"/>
      <c r="VCQ24" s="1280"/>
      <c r="VCR24" s="1280"/>
      <c r="VCS24" s="1280"/>
      <c r="VCT24" s="1280"/>
      <c r="VCU24" s="1280"/>
      <c r="VCV24" s="1280"/>
      <c r="VCW24" s="1280"/>
      <c r="VCX24" s="1280"/>
      <c r="VCY24" s="1280"/>
      <c r="VCZ24" s="1280"/>
      <c r="VDA24" s="1280"/>
      <c r="VDB24" s="1280"/>
      <c r="VDC24" s="1280"/>
      <c r="VDD24" s="1280"/>
      <c r="VDE24" s="1280"/>
      <c r="VDF24" s="1280"/>
      <c r="VDG24" s="1280"/>
      <c r="VDH24" s="1280"/>
      <c r="VDI24" s="1280"/>
      <c r="VDJ24" s="1280"/>
      <c r="VDK24" s="1280"/>
      <c r="VDL24" s="1280"/>
      <c r="VDM24" s="1280"/>
      <c r="VDN24" s="1280"/>
      <c r="VDO24" s="1280"/>
      <c r="VDP24" s="1280"/>
      <c r="VDQ24" s="1280"/>
      <c r="VDR24" s="1280"/>
      <c r="VDS24" s="1280"/>
      <c r="VDT24" s="1280"/>
      <c r="VDU24" s="1280"/>
      <c r="VDV24" s="1280"/>
      <c r="VDW24" s="1280"/>
      <c r="VDX24" s="1280"/>
      <c r="VDY24" s="1280"/>
      <c r="VDZ24" s="1280"/>
      <c r="VEA24" s="1280"/>
      <c r="VEB24" s="1280"/>
      <c r="VEC24" s="1280"/>
      <c r="VED24" s="1280"/>
      <c r="VEE24" s="1280"/>
      <c r="VEF24" s="1280"/>
      <c r="VEG24" s="1280"/>
      <c r="VEH24" s="1280"/>
      <c r="VEI24" s="1280"/>
      <c r="VEJ24" s="1280"/>
      <c r="VEK24" s="1280"/>
      <c r="VEL24" s="1280"/>
      <c r="VEM24" s="1280"/>
      <c r="VEN24" s="1280"/>
      <c r="VEO24" s="1280"/>
      <c r="VEP24" s="1280"/>
      <c r="VEQ24" s="1280"/>
      <c r="VER24" s="1280"/>
      <c r="VES24" s="1280"/>
      <c r="VET24" s="1280"/>
      <c r="VEU24" s="1280"/>
      <c r="VEV24" s="1280"/>
      <c r="VEW24" s="1280"/>
      <c r="VEX24" s="1280"/>
      <c r="VEY24" s="1280"/>
      <c r="VEZ24" s="1280"/>
      <c r="VFA24" s="1280"/>
      <c r="VFB24" s="1280"/>
      <c r="VFC24" s="1280"/>
      <c r="VFD24" s="1280"/>
      <c r="VFE24" s="1280"/>
      <c r="VFF24" s="1280"/>
      <c r="VFG24" s="1280"/>
      <c r="VFH24" s="1280"/>
      <c r="VFI24" s="1280"/>
      <c r="VFJ24" s="1280"/>
      <c r="VFK24" s="1280"/>
      <c r="VFL24" s="1280"/>
      <c r="VFM24" s="1280"/>
      <c r="VFN24" s="1280"/>
      <c r="VFO24" s="1280"/>
      <c r="VFP24" s="1280"/>
      <c r="VFQ24" s="1280"/>
      <c r="VFR24" s="1280"/>
      <c r="VFS24" s="1280"/>
      <c r="VFT24" s="1280"/>
      <c r="VFU24" s="1280"/>
      <c r="VFV24" s="1280"/>
      <c r="VFW24" s="1280"/>
      <c r="VFX24" s="1280"/>
      <c r="VFY24" s="1280"/>
      <c r="VFZ24" s="1280"/>
      <c r="VGA24" s="1280"/>
      <c r="VGB24" s="1280"/>
      <c r="VGC24" s="1280"/>
      <c r="VGD24" s="1280"/>
      <c r="VGE24" s="1280"/>
      <c r="VGF24" s="1280"/>
      <c r="VGG24" s="1280"/>
      <c r="VGH24" s="1280"/>
      <c r="VGI24" s="1280"/>
      <c r="VGJ24" s="1280"/>
      <c r="VGK24" s="1280"/>
      <c r="VGL24" s="1280"/>
      <c r="VGM24" s="1280"/>
      <c r="VGN24" s="1280"/>
      <c r="VGO24" s="1280"/>
      <c r="VGP24" s="1280"/>
      <c r="VGQ24" s="1280"/>
      <c r="VGR24" s="1280"/>
      <c r="VGS24" s="1280"/>
      <c r="VGT24" s="1280"/>
      <c r="VGU24" s="1280"/>
      <c r="VGV24" s="1280"/>
      <c r="VGW24" s="1280"/>
      <c r="VGX24" s="1280"/>
      <c r="VGY24" s="1280"/>
      <c r="VGZ24" s="1280"/>
      <c r="VHA24" s="1280"/>
      <c r="VHB24" s="1280"/>
      <c r="VHC24" s="1280"/>
      <c r="VHD24" s="1280"/>
      <c r="VHE24" s="1280"/>
      <c r="VHF24" s="1280"/>
      <c r="VHG24" s="1280"/>
      <c r="VHH24" s="1280"/>
      <c r="VHI24" s="1280"/>
      <c r="VHJ24" s="1280"/>
      <c r="VHK24" s="1280"/>
      <c r="VHL24" s="1280"/>
      <c r="VHM24" s="1280"/>
      <c r="VHN24" s="1280"/>
      <c r="VHO24" s="1280"/>
      <c r="VHP24" s="1280"/>
      <c r="VHQ24" s="1280"/>
      <c r="VHR24" s="1280"/>
      <c r="VHS24" s="1280"/>
      <c r="VHT24" s="1280"/>
      <c r="VHU24" s="1280"/>
      <c r="VHV24" s="1280"/>
      <c r="VHW24" s="1280"/>
      <c r="VHX24" s="1280"/>
      <c r="VHY24" s="1280"/>
      <c r="VHZ24" s="1280"/>
      <c r="VIA24" s="1280"/>
      <c r="VIB24" s="1280"/>
      <c r="VIC24" s="1280"/>
      <c r="VID24" s="1280"/>
      <c r="VIE24" s="1280"/>
      <c r="VIF24" s="1280"/>
      <c r="VIG24" s="1280"/>
      <c r="VIH24" s="1280"/>
      <c r="VII24" s="1280"/>
      <c r="VIJ24" s="1280"/>
      <c r="VIK24" s="1280"/>
      <c r="VIL24" s="1280"/>
      <c r="VIM24" s="1280"/>
      <c r="VIN24" s="1280"/>
      <c r="VIO24" s="1280"/>
      <c r="VIP24" s="1280"/>
      <c r="VIQ24" s="1280"/>
      <c r="VIR24" s="1280"/>
      <c r="VIS24" s="1280"/>
      <c r="VIT24" s="1280"/>
      <c r="VIU24" s="1280"/>
      <c r="VIV24" s="1280"/>
      <c r="VIW24" s="1280"/>
      <c r="VIX24" s="1280"/>
      <c r="VIY24" s="1280"/>
      <c r="VIZ24" s="1280"/>
      <c r="VJA24" s="1280"/>
      <c r="VJB24" s="1280"/>
      <c r="VJC24" s="1280"/>
      <c r="VJD24" s="1280"/>
      <c r="VJE24" s="1280"/>
      <c r="VJF24" s="1280"/>
      <c r="VJG24" s="1280"/>
      <c r="VJH24" s="1280"/>
      <c r="VJI24" s="1280"/>
      <c r="VJJ24" s="1280"/>
      <c r="VJK24" s="1280"/>
      <c r="VJL24" s="1280"/>
      <c r="VJM24" s="1280"/>
      <c r="VJN24" s="1280"/>
      <c r="VJO24" s="1280"/>
      <c r="VJP24" s="1280"/>
      <c r="VJQ24" s="1280"/>
      <c r="VJR24" s="1280"/>
      <c r="VJS24" s="1280"/>
      <c r="VJT24" s="1280"/>
      <c r="VJU24" s="1280"/>
      <c r="VJV24" s="1280"/>
      <c r="VJW24" s="1280"/>
      <c r="VJX24" s="1280"/>
      <c r="VJY24" s="1280"/>
      <c r="VJZ24" s="1280"/>
      <c r="VKA24" s="1280"/>
      <c r="VKB24" s="1280"/>
      <c r="VKC24" s="1280"/>
      <c r="VKD24" s="1280"/>
      <c r="VKE24" s="1280"/>
      <c r="VKF24" s="1280"/>
      <c r="VKG24" s="1280"/>
      <c r="VKH24" s="1280"/>
      <c r="VKI24" s="1280"/>
      <c r="VKJ24" s="1280"/>
      <c r="VKK24" s="1280"/>
      <c r="VKL24" s="1280"/>
      <c r="VKM24" s="1280"/>
      <c r="VKN24" s="1280"/>
      <c r="VKO24" s="1280"/>
      <c r="VKP24" s="1280"/>
      <c r="VKQ24" s="1280"/>
      <c r="VKR24" s="1280"/>
      <c r="VKS24" s="1280"/>
      <c r="VKT24" s="1280"/>
      <c r="VKU24" s="1280"/>
      <c r="VKV24" s="1280"/>
      <c r="VKW24" s="1280"/>
      <c r="VKX24" s="1280"/>
      <c r="VKY24" s="1280"/>
      <c r="VKZ24" s="1280"/>
      <c r="VLA24" s="1280"/>
      <c r="VLB24" s="1280"/>
      <c r="VLC24" s="1280"/>
      <c r="VLD24" s="1280"/>
      <c r="VLE24" s="1280"/>
      <c r="VLF24" s="1280"/>
      <c r="VLG24" s="1280"/>
      <c r="VLH24" s="1280"/>
      <c r="VLI24" s="1280"/>
      <c r="VLJ24" s="1280"/>
      <c r="VLK24" s="1280"/>
      <c r="VLL24" s="1280"/>
      <c r="VLM24" s="1280"/>
      <c r="VLN24" s="1280"/>
      <c r="VLO24" s="1280"/>
      <c r="VLP24" s="1280"/>
      <c r="VLQ24" s="1280"/>
      <c r="VLR24" s="1280"/>
      <c r="VLS24" s="1280"/>
      <c r="VLT24" s="1280"/>
      <c r="VLU24" s="1280"/>
      <c r="VLV24" s="1280"/>
      <c r="VLW24" s="1280"/>
      <c r="VLX24" s="1280"/>
      <c r="VLY24" s="1280"/>
      <c r="VLZ24" s="1280"/>
      <c r="VMA24" s="1280"/>
      <c r="VMB24" s="1280"/>
      <c r="VMC24" s="1280"/>
      <c r="VMD24" s="1280"/>
      <c r="VME24" s="1280"/>
      <c r="VMF24" s="1280"/>
      <c r="VMG24" s="1280"/>
      <c r="VMH24" s="1280"/>
      <c r="VMI24" s="1280"/>
      <c r="VMJ24" s="1280"/>
      <c r="VMK24" s="1280"/>
      <c r="VML24" s="1280"/>
      <c r="VMM24" s="1280"/>
      <c r="VMN24" s="1280"/>
      <c r="VMO24" s="1280"/>
      <c r="VMP24" s="1280"/>
      <c r="VMQ24" s="1280"/>
      <c r="VMR24" s="1280"/>
      <c r="VMS24" s="1280"/>
      <c r="VMT24" s="1280"/>
      <c r="VMU24" s="1280"/>
      <c r="VMV24" s="1280"/>
      <c r="VMW24" s="1280"/>
      <c r="VMX24" s="1280"/>
      <c r="VMY24" s="1280"/>
      <c r="VMZ24" s="1280"/>
      <c r="VNA24" s="1280"/>
      <c r="VNB24" s="1280"/>
      <c r="VNC24" s="1280"/>
      <c r="VND24" s="1280"/>
      <c r="VNE24" s="1280"/>
      <c r="VNF24" s="1280"/>
      <c r="VNG24" s="1280"/>
      <c r="VNH24" s="1280"/>
      <c r="VNI24" s="1280"/>
      <c r="VNJ24" s="1280"/>
      <c r="VNK24" s="1280"/>
      <c r="VNL24" s="1280"/>
      <c r="VNM24" s="1280"/>
      <c r="VNN24" s="1280"/>
      <c r="VNO24" s="1280"/>
      <c r="VNP24" s="1280"/>
      <c r="VNQ24" s="1280"/>
      <c r="VNR24" s="1280"/>
      <c r="VNS24" s="1280"/>
      <c r="VNT24" s="1280"/>
      <c r="VNU24" s="1280"/>
      <c r="VNV24" s="1280"/>
      <c r="VNW24" s="1280"/>
      <c r="VNX24" s="1280"/>
      <c r="VNY24" s="1280"/>
      <c r="VNZ24" s="1280"/>
      <c r="VOA24" s="1280"/>
      <c r="VOB24" s="1280"/>
      <c r="VOC24" s="1280"/>
      <c r="VOD24" s="1280"/>
      <c r="VOE24" s="1280"/>
      <c r="VOF24" s="1280"/>
      <c r="VOG24" s="1280"/>
      <c r="VOH24" s="1280"/>
      <c r="VOI24" s="1280"/>
      <c r="VOJ24" s="1280"/>
      <c r="VOK24" s="1280"/>
      <c r="VOL24" s="1280"/>
      <c r="VOM24" s="1280"/>
      <c r="VON24" s="1280"/>
      <c r="VOO24" s="1280"/>
      <c r="VOP24" s="1280"/>
      <c r="VOQ24" s="1280"/>
      <c r="VOR24" s="1280"/>
      <c r="VOS24" s="1280"/>
      <c r="VOT24" s="1280"/>
      <c r="VOU24" s="1280"/>
      <c r="VOV24" s="1280"/>
      <c r="VOW24" s="1280"/>
      <c r="VOX24" s="1280"/>
      <c r="VOY24" s="1280"/>
      <c r="VOZ24" s="1280"/>
      <c r="VPA24" s="1280"/>
      <c r="VPB24" s="1280"/>
      <c r="VPC24" s="1280"/>
      <c r="VPD24" s="1280"/>
      <c r="VPE24" s="1280"/>
      <c r="VPF24" s="1280"/>
      <c r="VPG24" s="1280"/>
      <c r="VPH24" s="1280"/>
      <c r="VPI24" s="1280"/>
      <c r="VPJ24" s="1280"/>
      <c r="VPK24" s="1280"/>
      <c r="VPL24" s="1280"/>
      <c r="VPM24" s="1280"/>
      <c r="VPN24" s="1280"/>
      <c r="VPO24" s="1280"/>
      <c r="VPP24" s="1280"/>
      <c r="VPQ24" s="1280"/>
      <c r="VPR24" s="1280"/>
      <c r="VPS24" s="1280"/>
      <c r="VPT24" s="1280"/>
      <c r="VPU24" s="1280"/>
      <c r="VPV24" s="1280"/>
      <c r="VPW24" s="1280"/>
      <c r="VPX24" s="1280"/>
      <c r="VPY24" s="1280"/>
      <c r="VPZ24" s="1280"/>
      <c r="VQA24" s="1280"/>
      <c r="VQB24" s="1280"/>
      <c r="VQC24" s="1280"/>
      <c r="VQD24" s="1280"/>
      <c r="VQE24" s="1280"/>
      <c r="VQF24" s="1280"/>
      <c r="VQG24" s="1280"/>
      <c r="VQH24" s="1280"/>
      <c r="VQI24" s="1280"/>
      <c r="VQJ24" s="1280"/>
      <c r="VQK24" s="1280"/>
      <c r="VQL24" s="1280"/>
      <c r="VQM24" s="1280"/>
      <c r="VQN24" s="1280"/>
      <c r="VQO24" s="1280"/>
      <c r="VQP24" s="1280"/>
      <c r="VQQ24" s="1280"/>
      <c r="VQR24" s="1280"/>
      <c r="VQS24" s="1280"/>
      <c r="VQT24" s="1280"/>
      <c r="VQU24" s="1280"/>
      <c r="VQV24" s="1280"/>
      <c r="VQW24" s="1280"/>
      <c r="VQX24" s="1280"/>
      <c r="VQY24" s="1280"/>
      <c r="VQZ24" s="1280"/>
      <c r="VRA24" s="1280"/>
      <c r="VRB24" s="1280"/>
      <c r="VRC24" s="1280"/>
      <c r="VRD24" s="1280"/>
      <c r="VRE24" s="1280"/>
      <c r="VRF24" s="1280"/>
      <c r="VRG24" s="1280"/>
      <c r="VRH24" s="1280"/>
      <c r="VRI24" s="1280"/>
      <c r="VRJ24" s="1280"/>
      <c r="VRK24" s="1280"/>
      <c r="VRL24" s="1280"/>
      <c r="VRM24" s="1280"/>
      <c r="VRN24" s="1280"/>
      <c r="VRO24" s="1280"/>
      <c r="VRP24" s="1280"/>
      <c r="VRQ24" s="1280"/>
      <c r="VRR24" s="1280"/>
      <c r="VRS24" s="1280"/>
      <c r="VRT24" s="1280"/>
      <c r="VRU24" s="1280"/>
      <c r="VRV24" s="1280"/>
      <c r="VRW24" s="1280"/>
      <c r="VRX24" s="1280"/>
      <c r="VRY24" s="1280"/>
      <c r="VRZ24" s="1280"/>
      <c r="VSA24" s="1280"/>
      <c r="VSB24" s="1280"/>
      <c r="VSC24" s="1280"/>
      <c r="VSD24" s="1280"/>
      <c r="VSE24" s="1280"/>
      <c r="VSF24" s="1280"/>
      <c r="VSG24" s="1280"/>
      <c r="VSH24" s="1280"/>
      <c r="VSI24" s="1280"/>
      <c r="VSJ24" s="1280"/>
      <c r="VSK24" s="1280"/>
      <c r="VSL24" s="1280"/>
      <c r="VSM24" s="1280"/>
      <c r="VSN24" s="1280"/>
      <c r="VSO24" s="1280"/>
      <c r="VSP24" s="1280"/>
      <c r="VSQ24" s="1280"/>
      <c r="VSR24" s="1280"/>
      <c r="VSS24" s="1280"/>
      <c r="VST24" s="1280"/>
      <c r="VSU24" s="1280"/>
      <c r="VSV24" s="1280"/>
      <c r="VSW24" s="1280"/>
      <c r="VSX24" s="1280"/>
      <c r="VSY24" s="1280"/>
      <c r="VSZ24" s="1280"/>
      <c r="VTA24" s="1280"/>
      <c r="VTB24" s="1280"/>
      <c r="VTC24" s="1280"/>
      <c r="VTD24" s="1280"/>
      <c r="VTE24" s="1280"/>
      <c r="VTF24" s="1280"/>
      <c r="VTG24" s="1280"/>
      <c r="VTH24" s="1280"/>
      <c r="VTI24" s="1280"/>
      <c r="VTJ24" s="1280"/>
      <c r="VTK24" s="1280"/>
      <c r="VTL24" s="1280"/>
      <c r="VTM24" s="1280"/>
      <c r="VTN24" s="1280"/>
      <c r="VTO24" s="1280"/>
      <c r="VTP24" s="1280"/>
      <c r="VTQ24" s="1280"/>
      <c r="VTR24" s="1280"/>
      <c r="VTS24" s="1280"/>
      <c r="VTT24" s="1280"/>
      <c r="VTU24" s="1280"/>
      <c r="VTV24" s="1280"/>
      <c r="VTW24" s="1280"/>
      <c r="VTX24" s="1280"/>
      <c r="VTY24" s="1280"/>
      <c r="VTZ24" s="1280"/>
      <c r="VUA24" s="1280"/>
      <c r="VUB24" s="1280"/>
      <c r="VUC24" s="1280"/>
      <c r="VUD24" s="1280"/>
      <c r="VUE24" s="1280"/>
      <c r="VUF24" s="1280"/>
      <c r="VUG24" s="1280"/>
      <c r="VUH24" s="1280"/>
      <c r="VUI24" s="1280"/>
      <c r="VUJ24" s="1280"/>
      <c r="VUK24" s="1280"/>
      <c r="VUL24" s="1280"/>
      <c r="VUM24" s="1280"/>
      <c r="VUN24" s="1280"/>
      <c r="VUO24" s="1280"/>
      <c r="VUP24" s="1280"/>
      <c r="VUQ24" s="1280"/>
      <c r="VUR24" s="1280"/>
      <c r="VUS24" s="1280"/>
      <c r="VUT24" s="1280"/>
      <c r="VUU24" s="1280"/>
      <c r="VUV24" s="1280"/>
      <c r="VUW24" s="1280"/>
      <c r="VUX24" s="1280"/>
      <c r="VUY24" s="1280"/>
      <c r="VUZ24" s="1280"/>
      <c r="VVA24" s="1280"/>
      <c r="VVB24" s="1280"/>
      <c r="VVC24" s="1280"/>
      <c r="VVD24" s="1280"/>
      <c r="VVE24" s="1280"/>
      <c r="VVF24" s="1280"/>
      <c r="VVG24" s="1280"/>
      <c r="VVH24" s="1280"/>
      <c r="VVI24" s="1280"/>
      <c r="VVJ24" s="1280"/>
      <c r="VVK24" s="1280"/>
      <c r="VVL24" s="1280"/>
      <c r="VVM24" s="1280"/>
      <c r="VVN24" s="1280"/>
      <c r="VVO24" s="1280"/>
      <c r="VVP24" s="1280"/>
      <c r="VVQ24" s="1280"/>
      <c r="VVR24" s="1280"/>
      <c r="VVS24" s="1280"/>
      <c r="VVT24" s="1280"/>
      <c r="VVU24" s="1280"/>
      <c r="VVV24" s="1280"/>
      <c r="VVW24" s="1280"/>
      <c r="VVX24" s="1280"/>
      <c r="VVY24" s="1280"/>
      <c r="VVZ24" s="1280"/>
      <c r="VWA24" s="1280"/>
      <c r="VWB24" s="1280"/>
      <c r="VWC24" s="1280"/>
      <c r="VWD24" s="1280"/>
      <c r="VWE24" s="1280"/>
      <c r="VWF24" s="1280"/>
      <c r="VWG24" s="1280"/>
      <c r="VWH24" s="1280"/>
      <c r="VWI24" s="1280"/>
      <c r="VWJ24" s="1280"/>
      <c r="VWK24" s="1280"/>
      <c r="VWL24" s="1280"/>
      <c r="VWM24" s="1280"/>
      <c r="VWN24" s="1280"/>
      <c r="VWO24" s="1280"/>
      <c r="VWP24" s="1280"/>
      <c r="VWQ24" s="1280"/>
      <c r="VWR24" s="1280"/>
      <c r="VWS24" s="1280"/>
      <c r="VWT24" s="1280"/>
      <c r="VWU24" s="1280"/>
      <c r="VWV24" s="1280"/>
      <c r="VWW24" s="1280"/>
      <c r="VWX24" s="1280"/>
      <c r="VWY24" s="1280"/>
      <c r="VWZ24" s="1280"/>
      <c r="VXA24" s="1280"/>
      <c r="VXB24" s="1280"/>
      <c r="VXC24" s="1280"/>
      <c r="VXD24" s="1280"/>
      <c r="VXE24" s="1280"/>
      <c r="VXF24" s="1280"/>
      <c r="VXG24" s="1280"/>
      <c r="VXH24" s="1280"/>
      <c r="VXI24" s="1280"/>
      <c r="VXJ24" s="1280"/>
      <c r="VXK24" s="1280"/>
      <c r="VXL24" s="1280"/>
      <c r="VXM24" s="1280"/>
      <c r="VXN24" s="1280"/>
      <c r="VXO24" s="1280"/>
      <c r="VXP24" s="1280"/>
      <c r="VXQ24" s="1280"/>
      <c r="VXR24" s="1280"/>
      <c r="VXS24" s="1280"/>
      <c r="VXT24" s="1280"/>
      <c r="VXU24" s="1280"/>
      <c r="VXV24" s="1280"/>
      <c r="VXW24" s="1280"/>
      <c r="VXX24" s="1280"/>
      <c r="VXY24" s="1280"/>
      <c r="VXZ24" s="1280"/>
      <c r="VYA24" s="1280"/>
      <c r="VYB24" s="1280"/>
      <c r="VYC24" s="1280"/>
      <c r="VYD24" s="1280"/>
      <c r="VYE24" s="1280"/>
      <c r="VYF24" s="1280"/>
      <c r="VYG24" s="1280"/>
      <c r="VYH24" s="1280"/>
      <c r="VYI24" s="1280"/>
      <c r="VYJ24" s="1280"/>
      <c r="VYK24" s="1280"/>
      <c r="VYL24" s="1280"/>
      <c r="VYM24" s="1280"/>
      <c r="VYN24" s="1280"/>
      <c r="VYO24" s="1280"/>
      <c r="VYP24" s="1280"/>
      <c r="VYQ24" s="1280"/>
      <c r="VYR24" s="1280"/>
      <c r="VYS24" s="1280"/>
      <c r="VYT24" s="1280"/>
      <c r="VYU24" s="1280"/>
      <c r="VYV24" s="1280"/>
      <c r="VYW24" s="1280"/>
      <c r="VYX24" s="1280"/>
      <c r="VYY24" s="1280"/>
      <c r="VYZ24" s="1280"/>
      <c r="VZA24" s="1280"/>
      <c r="VZB24" s="1280"/>
      <c r="VZC24" s="1280"/>
      <c r="VZD24" s="1280"/>
      <c r="VZE24" s="1280"/>
      <c r="VZF24" s="1280"/>
      <c r="VZG24" s="1280"/>
      <c r="VZH24" s="1280"/>
      <c r="VZI24" s="1280"/>
      <c r="VZJ24" s="1280"/>
      <c r="VZK24" s="1280"/>
      <c r="VZL24" s="1280"/>
      <c r="VZM24" s="1280"/>
      <c r="VZN24" s="1280"/>
      <c r="VZO24" s="1280"/>
      <c r="VZP24" s="1280"/>
      <c r="VZQ24" s="1280"/>
      <c r="VZR24" s="1280"/>
      <c r="VZS24" s="1280"/>
      <c r="VZT24" s="1280"/>
      <c r="VZU24" s="1280"/>
      <c r="VZV24" s="1280"/>
      <c r="VZW24" s="1280"/>
      <c r="VZX24" s="1280"/>
      <c r="VZY24" s="1280"/>
      <c r="VZZ24" s="1280"/>
      <c r="WAA24" s="1280"/>
      <c r="WAB24" s="1280"/>
      <c r="WAC24" s="1280"/>
      <c r="WAD24" s="1280"/>
      <c r="WAE24" s="1280"/>
      <c r="WAF24" s="1280"/>
      <c r="WAG24" s="1280"/>
      <c r="WAH24" s="1280"/>
      <c r="WAI24" s="1280"/>
      <c r="WAJ24" s="1280"/>
      <c r="WAK24" s="1280"/>
      <c r="WAL24" s="1280"/>
      <c r="WAM24" s="1280"/>
      <c r="WAN24" s="1280"/>
      <c r="WAO24" s="1280"/>
      <c r="WAP24" s="1280"/>
      <c r="WAQ24" s="1280"/>
      <c r="WAR24" s="1280"/>
      <c r="WAS24" s="1280"/>
      <c r="WAT24" s="1280"/>
      <c r="WAU24" s="1280"/>
      <c r="WAV24" s="1280"/>
      <c r="WAW24" s="1280"/>
      <c r="WAX24" s="1280"/>
      <c r="WAY24" s="1280"/>
      <c r="WAZ24" s="1280"/>
      <c r="WBA24" s="1280"/>
      <c r="WBB24" s="1280"/>
      <c r="WBC24" s="1280"/>
      <c r="WBD24" s="1280"/>
      <c r="WBE24" s="1280"/>
      <c r="WBF24" s="1280"/>
      <c r="WBG24" s="1280"/>
      <c r="WBH24" s="1280"/>
      <c r="WBI24" s="1280"/>
      <c r="WBJ24" s="1280"/>
      <c r="WBK24" s="1280"/>
      <c r="WBL24" s="1280"/>
      <c r="WBM24" s="1280"/>
      <c r="WBN24" s="1280"/>
      <c r="WBO24" s="1280"/>
      <c r="WBP24" s="1280"/>
      <c r="WBQ24" s="1280"/>
      <c r="WBR24" s="1280"/>
      <c r="WBS24" s="1280"/>
      <c r="WBT24" s="1280"/>
      <c r="WBU24" s="1280"/>
      <c r="WBV24" s="1280"/>
      <c r="WBW24" s="1280"/>
      <c r="WBX24" s="1280"/>
      <c r="WBY24" s="1280"/>
      <c r="WBZ24" s="1280"/>
      <c r="WCA24" s="1280"/>
      <c r="WCB24" s="1280"/>
      <c r="WCC24" s="1280"/>
      <c r="WCD24" s="1280"/>
      <c r="WCE24" s="1280"/>
      <c r="WCF24" s="1280"/>
      <c r="WCG24" s="1280"/>
      <c r="WCH24" s="1280"/>
      <c r="WCI24" s="1280"/>
      <c r="WCJ24" s="1280"/>
      <c r="WCK24" s="1280"/>
      <c r="WCL24" s="1280"/>
      <c r="WCM24" s="1280"/>
      <c r="WCN24" s="1280"/>
      <c r="WCO24" s="1280"/>
      <c r="WCP24" s="1280"/>
      <c r="WCQ24" s="1280"/>
      <c r="WCR24" s="1280"/>
      <c r="WCS24" s="1280"/>
      <c r="WCT24" s="1280"/>
      <c r="WCU24" s="1280"/>
      <c r="WCV24" s="1280"/>
      <c r="WCW24" s="1280"/>
      <c r="WCX24" s="1280"/>
      <c r="WCY24" s="1280"/>
      <c r="WCZ24" s="1280"/>
      <c r="WDA24" s="1280"/>
      <c r="WDB24" s="1280"/>
      <c r="WDC24" s="1280"/>
      <c r="WDD24" s="1280"/>
      <c r="WDE24" s="1280"/>
      <c r="WDF24" s="1280"/>
      <c r="WDG24" s="1280"/>
      <c r="WDH24" s="1280"/>
      <c r="WDI24" s="1280"/>
      <c r="WDJ24" s="1280"/>
      <c r="WDK24" s="1280"/>
      <c r="WDL24" s="1280"/>
      <c r="WDM24" s="1280"/>
      <c r="WDN24" s="1280"/>
      <c r="WDO24" s="1280"/>
      <c r="WDP24" s="1280"/>
      <c r="WDQ24" s="1280"/>
      <c r="WDR24" s="1280"/>
      <c r="WDS24" s="1280"/>
      <c r="WDT24" s="1280"/>
      <c r="WDU24" s="1280"/>
      <c r="WDV24" s="1280"/>
      <c r="WDW24" s="1280"/>
      <c r="WDX24" s="1280"/>
      <c r="WDY24" s="1280"/>
      <c r="WDZ24" s="1280"/>
      <c r="WEA24" s="1280"/>
      <c r="WEB24" s="1280"/>
      <c r="WEC24" s="1280"/>
      <c r="WED24" s="1280"/>
      <c r="WEE24" s="1280"/>
      <c r="WEF24" s="1280"/>
      <c r="WEG24" s="1280"/>
      <c r="WEH24" s="1280"/>
      <c r="WEI24" s="1280"/>
      <c r="WEJ24" s="1280"/>
      <c r="WEK24" s="1280"/>
      <c r="WEL24" s="1280"/>
      <c r="WEM24" s="1280"/>
      <c r="WEN24" s="1280"/>
      <c r="WEO24" s="1280"/>
      <c r="WEP24" s="1280"/>
      <c r="WEQ24" s="1280"/>
      <c r="WER24" s="1280"/>
      <c r="WES24" s="1280"/>
      <c r="WET24" s="1280"/>
      <c r="WEU24" s="1280"/>
      <c r="WEV24" s="1280"/>
      <c r="WEW24" s="1280"/>
      <c r="WEX24" s="1280"/>
      <c r="WEY24" s="1280"/>
      <c r="WEZ24" s="1280"/>
      <c r="WFA24" s="1280"/>
      <c r="WFB24" s="1280"/>
      <c r="WFC24" s="1280"/>
      <c r="WFD24" s="1280"/>
      <c r="WFE24" s="1280"/>
      <c r="WFF24" s="1280"/>
      <c r="WFG24" s="1280"/>
      <c r="WFH24" s="1280"/>
      <c r="WFI24" s="1280"/>
      <c r="WFJ24" s="1280"/>
      <c r="WFK24" s="1280"/>
      <c r="WFL24" s="1280"/>
      <c r="WFM24" s="1280"/>
      <c r="WFN24" s="1280"/>
      <c r="WFO24" s="1280"/>
      <c r="WFP24" s="1280"/>
      <c r="WFQ24" s="1280"/>
      <c r="WFR24" s="1280"/>
      <c r="WFS24" s="1280"/>
      <c r="WFT24" s="1280"/>
      <c r="WFU24" s="1280"/>
      <c r="WFV24" s="1280"/>
      <c r="WFW24" s="1280"/>
      <c r="WFX24" s="1280"/>
      <c r="WFY24" s="1280"/>
      <c r="WFZ24" s="1280"/>
      <c r="WGA24" s="1280"/>
      <c r="WGB24" s="1280"/>
      <c r="WGC24" s="1280"/>
      <c r="WGD24" s="1280"/>
      <c r="WGE24" s="1280"/>
      <c r="WGF24" s="1280"/>
      <c r="WGG24" s="1280"/>
      <c r="WGH24" s="1280"/>
      <c r="WGI24" s="1280"/>
      <c r="WGJ24" s="1280"/>
      <c r="WGK24" s="1280"/>
      <c r="WGL24" s="1280"/>
      <c r="WGM24" s="1280"/>
      <c r="WGN24" s="1280"/>
      <c r="WGO24" s="1280"/>
      <c r="WGP24" s="1280"/>
      <c r="WGQ24" s="1280"/>
      <c r="WGR24" s="1280"/>
      <c r="WGS24" s="1280"/>
      <c r="WGT24" s="1280"/>
      <c r="WGU24" s="1280"/>
      <c r="WGV24" s="1280"/>
      <c r="WGW24" s="1280"/>
      <c r="WGX24" s="1280"/>
      <c r="WGY24" s="1280"/>
      <c r="WGZ24" s="1280"/>
      <c r="WHA24" s="1280"/>
      <c r="WHB24" s="1280"/>
      <c r="WHC24" s="1280"/>
      <c r="WHD24" s="1280"/>
      <c r="WHE24" s="1280"/>
      <c r="WHF24" s="1280"/>
      <c r="WHG24" s="1280"/>
      <c r="WHH24" s="1280"/>
      <c r="WHI24" s="1280"/>
      <c r="WHJ24" s="1280"/>
      <c r="WHK24" s="1280"/>
      <c r="WHL24" s="1280"/>
      <c r="WHM24" s="1280"/>
      <c r="WHN24" s="1280"/>
      <c r="WHO24" s="1280"/>
      <c r="WHP24" s="1280"/>
      <c r="WHQ24" s="1280"/>
      <c r="WHR24" s="1280"/>
      <c r="WHS24" s="1280"/>
      <c r="WHT24" s="1280"/>
      <c r="WHU24" s="1280"/>
      <c r="WHV24" s="1280"/>
      <c r="WHW24" s="1280"/>
      <c r="WHX24" s="1280"/>
      <c r="WHY24" s="1280"/>
      <c r="WHZ24" s="1280"/>
      <c r="WIA24" s="1280"/>
      <c r="WIB24" s="1280"/>
      <c r="WIC24" s="1280"/>
      <c r="WID24" s="1280"/>
      <c r="WIE24" s="1280"/>
      <c r="WIF24" s="1280"/>
      <c r="WIG24" s="1280"/>
      <c r="WIH24" s="1280"/>
      <c r="WII24" s="1280"/>
      <c r="WIJ24" s="1280"/>
      <c r="WIK24" s="1280"/>
      <c r="WIL24" s="1280"/>
      <c r="WIM24" s="1280"/>
      <c r="WIN24" s="1280"/>
      <c r="WIO24" s="1280"/>
      <c r="WIP24" s="1280"/>
      <c r="WIQ24" s="1280"/>
      <c r="WIR24" s="1280"/>
      <c r="WIS24" s="1280"/>
      <c r="WIT24" s="1280"/>
      <c r="WIU24" s="1280"/>
      <c r="WIV24" s="1280"/>
      <c r="WIW24" s="1280"/>
      <c r="WIX24" s="1280"/>
      <c r="WIY24" s="1280"/>
      <c r="WIZ24" s="1280"/>
      <c r="WJA24" s="1280"/>
      <c r="WJB24" s="1280"/>
      <c r="WJC24" s="1280"/>
      <c r="WJD24" s="1280"/>
      <c r="WJE24" s="1280"/>
      <c r="WJF24" s="1280"/>
      <c r="WJG24" s="1280"/>
      <c r="WJH24" s="1280"/>
      <c r="WJI24" s="1280"/>
      <c r="WJJ24" s="1280"/>
      <c r="WJK24" s="1280"/>
      <c r="WJL24" s="1280"/>
      <c r="WJM24" s="1280"/>
      <c r="WJN24" s="1280"/>
      <c r="WJO24" s="1280"/>
      <c r="WJP24" s="1280"/>
      <c r="WJQ24" s="1280"/>
      <c r="WJR24" s="1280"/>
      <c r="WJS24" s="1280"/>
      <c r="WJT24" s="1280"/>
      <c r="WJU24" s="1280"/>
      <c r="WJV24" s="1280"/>
      <c r="WJW24" s="1280"/>
      <c r="WJX24" s="1280"/>
      <c r="WJY24" s="1280"/>
      <c r="WJZ24" s="1280"/>
      <c r="WKA24" s="1280"/>
      <c r="WKB24" s="1280"/>
      <c r="WKC24" s="1280"/>
      <c r="WKD24" s="1280"/>
      <c r="WKE24" s="1280"/>
      <c r="WKF24" s="1280"/>
      <c r="WKG24" s="1280"/>
      <c r="WKH24" s="1280"/>
      <c r="WKI24" s="1280"/>
      <c r="WKJ24" s="1280"/>
      <c r="WKK24" s="1280"/>
      <c r="WKL24" s="1280"/>
      <c r="WKM24" s="1280"/>
      <c r="WKN24" s="1280"/>
      <c r="WKO24" s="1280"/>
      <c r="WKP24" s="1280"/>
      <c r="WKQ24" s="1280"/>
      <c r="WKR24" s="1280"/>
      <c r="WKS24" s="1280"/>
      <c r="WKT24" s="1280"/>
      <c r="WKU24" s="1280"/>
      <c r="WKV24" s="1280"/>
      <c r="WKW24" s="1280"/>
      <c r="WKX24" s="1280"/>
      <c r="WKY24" s="1280"/>
      <c r="WKZ24" s="1280"/>
      <c r="WLA24" s="1280"/>
      <c r="WLB24" s="1280"/>
      <c r="WLC24" s="1280"/>
      <c r="WLD24" s="1280"/>
      <c r="WLE24" s="1280"/>
      <c r="WLF24" s="1280"/>
      <c r="WLG24" s="1280"/>
      <c r="WLH24" s="1280"/>
      <c r="WLI24" s="1280"/>
      <c r="WLJ24" s="1280"/>
      <c r="WLK24" s="1280"/>
      <c r="WLL24" s="1280"/>
      <c r="WLM24" s="1280"/>
      <c r="WLN24" s="1280"/>
      <c r="WLO24" s="1280"/>
      <c r="WLP24" s="1280"/>
      <c r="WLQ24" s="1280"/>
      <c r="WLR24" s="1280"/>
      <c r="WLS24" s="1280"/>
      <c r="WLT24" s="1280"/>
      <c r="WLU24" s="1280"/>
      <c r="WLV24" s="1280"/>
      <c r="WLW24" s="1280"/>
      <c r="WLX24" s="1280"/>
      <c r="WLY24" s="1280"/>
      <c r="WLZ24" s="1280"/>
      <c r="WMA24" s="1280"/>
      <c r="WMB24" s="1280"/>
      <c r="WMC24" s="1280"/>
      <c r="WMD24" s="1280"/>
      <c r="WME24" s="1280"/>
      <c r="WMF24" s="1280"/>
      <c r="WMG24" s="1280"/>
      <c r="WMH24" s="1280"/>
      <c r="WMI24" s="1280"/>
      <c r="WMJ24" s="1280"/>
      <c r="WMK24" s="1280"/>
      <c r="WML24" s="1280"/>
      <c r="WMM24" s="1280"/>
      <c r="WMN24" s="1280"/>
      <c r="WMO24" s="1280"/>
      <c r="WMP24" s="1280"/>
      <c r="WMQ24" s="1280"/>
      <c r="WMR24" s="1280"/>
      <c r="WMS24" s="1280"/>
      <c r="WMT24" s="1280"/>
      <c r="WMU24" s="1280"/>
      <c r="WMV24" s="1280"/>
      <c r="WMW24" s="1280"/>
      <c r="WMX24" s="1280"/>
      <c r="WMY24" s="1280"/>
      <c r="WMZ24" s="1280"/>
      <c r="WNA24" s="1280"/>
      <c r="WNB24" s="1280"/>
      <c r="WNC24" s="1280"/>
      <c r="WND24" s="1280"/>
      <c r="WNE24" s="1280"/>
      <c r="WNF24" s="1280"/>
      <c r="WNG24" s="1280"/>
      <c r="WNH24" s="1280"/>
      <c r="WNI24" s="1280"/>
      <c r="WNJ24" s="1280"/>
      <c r="WNK24" s="1280"/>
      <c r="WNL24" s="1280"/>
      <c r="WNM24" s="1280"/>
      <c r="WNN24" s="1280"/>
      <c r="WNO24" s="1280"/>
      <c r="WNP24" s="1280"/>
      <c r="WNQ24" s="1280"/>
      <c r="WNR24" s="1280"/>
      <c r="WNS24" s="1280"/>
      <c r="WNT24" s="1280"/>
      <c r="WNU24" s="1280"/>
      <c r="WNV24" s="1280"/>
      <c r="WNW24" s="1280"/>
      <c r="WNX24" s="1280"/>
      <c r="WNY24" s="1280"/>
      <c r="WNZ24" s="1280"/>
      <c r="WOA24" s="1280"/>
      <c r="WOB24" s="1280"/>
      <c r="WOC24" s="1280"/>
      <c r="WOD24" s="1280"/>
      <c r="WOE24" s="1280"/>
      <c r="WOF24" s="1280"/>
      <c r="WOG24" s="1280"/>
      <c r="WOH24" s="1280"/>
      <c r="WOI24" s="1280"/>
      <c r="WOJ24" s="1280"/>
      <c r="WOK24" s="1280"/>
      <c r="WOL24" s="1280"/>
      <c r="WOM24" s="1280"/>
      <c r="WON24" s="1280"/>
      <c r="WOO24" s="1280"/>
      <c r="WOP24" s="1280"/>
      <c r="WOQ24" s="1280"/>
      <c r="WOR24" s="1280"/>
      <c r="WOS24" s="1280"/>
      <c r="WOT24" s="1280"/>
      <c r="WOU24" s="1280"/>
      <c r="WOV24" s="1280"/>
      <c r="WOW24" s="1280"/>
      <c r="WOX24" s="1280"/>
      <c r="WOY24" s="1280"/>
      <c r="WOZ24" s="1280"/>
      <c r="WPA24" s="1280"/>
      <c r="WPB24" s="1280"/>
      <c r="WPC24" s="1280"/>
      <c r="WPD24" s="1280"/>
      <c r="WPE24" s="1280"/>
      <c r="WPF24" s="1280"/>
      <c r="WPG24" s="1280"/>
      <c r="WPH24" s="1280"/>
      <c r="WPI24" s="1280"/>
      <c r="WPJ24" s="1280"/>
      <c r="WPK24" s="1280"/>
      <c r="WPL24" s="1280"/>
      <c r="WPM24" s="1280"/>
      <c r="WPN24" s="1280"/>
      <c r="WPO24" s="1280"/>
      <c r="WPP24" s="1280"/>
      <c r="WPQ24" s="1280"/>
      <c r="WPR24" s="1280"/>
      <c r="WPS24" s="1280"/>
      <c r="WPT24" s="1280"/>
      <c r="WPU24" s="1280"/>
      <c r="WPV24" s="1280"/>
      <c r="WPW24" s="1280"/>
      <c r="WPX24" s="1280"/>
      <c r="WPY24" s="1280"/>
      <c r="WPZ24" s="1280"/>
      <c r="WQA24" s="1280"/>
      <c r="WQB24" s="1280"/>
      <c r="WQC24" s="1280"/>
      <c r="WQD24" s="1280"/>
      <c r="WQE24" s="1280"/>
      <c r="WQF24" s="1280"/>
      <c r="WQG24" s="1280"/>
      <c r="WQH24" s="1280"/>
      <c r="WQI24" s="1280"/>
      <c r="WQJ24" s="1280"/>
      <c r="WQK24" s="1280"/>
      <c r="WQL24" s="1280"/>
      <c r="WQM24" s="1280"/>
      <c r="WQN24" s="1280"/>
      <c r="WQO24" s="1280"/>
      <c r="WQP24" s="1280"/>
      <c r="WQQ24" s="1280"/>
      <c r="WQR24" s="1280"/>
      <c r="WQS24" s="1280"/>
      <c r="WQT24" s="1280"/>
      <c r="WQU24" s="1280"/>
      <c r="WQV24" s="1280"/>
      <c r="WQW24" s="1280"/>
      <c r="WQX24" s="1280"/>
      <c r="WQY24" s="1280"/>
      <c r="WQZ24" s="1280"/>
      <c r="WRA24" s="1280"/>
      <c r="WRB24" s="1280"/>
      <c r="WRC24" s="1280"/>
      <c r="WRD24" s="1280"/>
      <c r="WRE24" s="1280"/>
      <c r="WRF24" s="1280"/>
      <c r="WRG24" s="1280"/>
      <c r="WRH24" s="1280"/>
      <c r="WRI24" s="1280"/>
      <c r="WRJ24" s="1280"/>
      <c r="WRK24" s="1280"/>
      <c r="WRL24" s="1280"/>
      <c r="WRM24" s="1280"/>
      <c r="WRN24" s="1280"/>
      <c r="WRO24" s="1280"/>
      <c r="WRP24" s="1280"/>
      <c r="WRQ24" s="1280"/>
      <c r="WRR24" s="1280"/>
      <c r="WRS24" s="1280"/>
      <c r="WRT24" s="1280"/>
      <c r="WRU24" s="1280"/>
      <c r="WRV24" s="1280"/>
      <c r="WRW24" s="1280"/>
      <c r="WRX24" s="1280"/>
      <c r="WRY24" s="1280"/>
      <c r="WRZ24" s="1280"/>
      <c r="WSA24" s="1280"/>
      <c r="WSB24" s="1280"/>
      <c r="WSC24" s="1280"/>
      <c r="WSD24" s="1280"/>
      <c r="WSE24" s="1280"/>
      <c r="WSF24" s="1280"/>
      <c r="WSG24" s="1280"/>
      <c r="WSH24" s="1280"/>
      <c r="WSI24" s="1280"/>
      <c r="WSJ24" s="1280"/>
      <c r="WSK24" s="1280"/>
      <c r="WSL24" s="1280"/>
      <c r="WSM24" s="1280"/>
      <c r="WSN24" s="1280"/>
      <c r="WSO24" s="1280"/>
      <c r="WSP24" s="1280"/>
      <c r="WSQ24" s="1280"/>
      <c r="WSR24" s="1280"/>
      <c r="WSS24" s="1280"/>
      <c r="WST24" s="1280"/>
      <c r="WSU24" s="1280"/>
      <c r="WSV24" s="1280"/>
      <c r="WSW24" s="1280"/>
      <c r="WSX24" s="1280"/>
      <c r="WSY24" s="1280"/>
      <c r="WSZ24" s="1280"/>
      <c r="WTA24" s="1280"/>
      <c r="WTB24" s="1280"/>
      <c r="WTC24" s="1280"/>
      <c r="WTD24" s="1280"/>
      <c r="WTE24" s="1280"/>
      <c r="WTF24" s="1280"/>
      <c r="WTG24" s="1280"/>
      <c r="WTH24" s="1280"/>
      <c r="WTI24" s="1280"/>
      <c r="WTJ24" s="1280"/>
      <c r="WTK24" s="1280"/>
      <c r="WTL24" s="1280"/>
      <c r="WTM24" s="1280"/>
      <c r="WTN24" s="1280"/>
      <c r="WTO24" s="1280"/>
      <c r="WTP24" s="1280"/>
      <c r="WTQ24" s="1280"/>
      <c r="WTR24" s="1280"/>
      <c r="WTS24" s="1280"/>
      <c r="WTT24" s="1280"/>
      <c r="WTU24" s="1280"/>
      <c r="WTV24" s="1280"/>
      <c r="WTW24" s="1280"/>
      <c r="WTX24" s="1280"/>
      <c r="WTY24" s="1280"/>
      <c r="WTZ24" s="1280"/>
      <c r="WUA24" s="1280"/>
      <c r="WUB24" s="1280"/>
      <c r="WUC24" s="1280"/>
      <c r="WUD24" s="1280"/>
      <c r="WUE24" s="1280"/>
      <c r="WUF24" s="1280"/>
      <c r="WUG24" s="1280"/>
      <c r="WUH24" s="1280"/>
      <c r="WUI24" s="1280"/>
      <c r="WUJ24" s="1280"/>
      <c r="WUK24" s="1280"/>
      <c r="WUL24" s="1280"/>
      <c r="WUM24" s="1280"/>
      <c r="WUN24" s="1280"/>
      <c r="WUO24" s="1280"/>
      <c r="WUP24" s="1280"/>
      <c r="WUQ24" s="1280"/>
      <c r="WUR24" s="1280"/>
      <c r="WUS24" s="1280"/>
      <c r="WUT24" s="1280"/>
      <c r="WUU24" s="1280"/>
      <c r="WUV24" s="1280"/>
      <c r="WUW24" s="1280"/>
      <c r="WUX24" s="1280"/>
      <c r="WUY24" s="1280"/>
      <c r="WUZ24" s="1280"/>
      <c r="WVA24" s="1280"/>
      <c r="WVB24" s="1280"/>
      <c r="WVC24" s="1280"/>
      <c r="WVD24" s="1280"/>
      <c r="WVE24" s="1280"/>
      <c r="WVF24" s="1280"/>
      <c r="WVG24" s="1280"/>
      <c r="WVH24" s="1280"/>
      <c r="WVI24" s="1280"/>
      <c r="WVJ24" s="1280"/>
      <c r="WVK24" s="1280"/>
      <c r="WVL24" s="1280"/>
      <c r="WVM24" s="1280"/>
      <c r="WVN24" s="1280"/>
      <c r="WVO24" s="1280"/>
      <c r="WVP24" s="1280"/>
      <c r="WVQ24" s="1280"/>
      <c r="WVR24" s="1280"/>
      <c r="WVS24" s="1280"/>
      <c r="WVT24" s="1280"/>
      <c r="WVU24" s="1280"/>
      <c r="WVV24" s="1280"/>
      <c r="WVW24" s="1280"/>
      <c r="WVX24" s="1280"/>
      <c r="WVY24" s="1280"/>
      <c r="WVZ24" s="1280"/>
      <c r="WWA24" s="1280"/>
      <c r="WWB24" s="1280"/>
      <c r="WWC24" s="1280"/>
      <c r="WWD24" s="1280"/>
      <c r="WWE24" s="1280"/>
      <c r="WWF24" s="1280"/>
      <c r="WWG24" s="1280"/>
      <c r="WWH24" s="1280"/>
      <c r="WWI24" s="1280"/>
      <c r="WWJ24" s="1280"/>
      <c r="WWK24" s="1280"/>
      <c r="WWL24" s="1280"/>
      <c r="WWM24" s="1280"/>
      <c r="WWN24" s="1280"/>
      <c r="WWO24" s="1280"/>
      <c r="WWP24" s="1280"/>
      <c r="WWQ24" s="1280"/>
      <c r="WWR24" s="1280"/>
      <c r="WWS24" s="1280"/>
      <c r="WWT24" s="1280"/>
      <c r="WWU24" s="1280"/>
      <c r="WWV24" s="1280"/>
      <c r="WWW24" s="1280"/>
      <c r="WWX24" s="1280"/>
      <c r="WWY24" s="1280"/>
      <c r="WWZ24" s="1280"/>
      <c r="WXA24" s="1280"/>
      <c r="WXB24" s="1280"/>
      <c r="WXC24" s="1280"/>
      <c r="WXD24" s="1280"/>
      <c r="WXE24" s="1280"/>
      <c r="WXF24" s="1280"/>
      <c r="WXG24" s="1280"/>
      <c r="WXH24" s="1280"/>
      <c r="WXI24" s="1280"/>
      <c r="WXJ24" s="1280"/>
      <c r="WXK24" s="1280"/>
      <c r="WXL24" s="1280"/>
      <c r="WXM24" s="1280"/>
      <c r="WXN24" s="1280"/>
      <c r="WXO24" s="1280"/>
      <c r="WXP24" s="1280"/>
      <c r="WXQ24" s="1280"/>
      <c r="WXR24" s="1280"/>
      <c r="WXS24" s="1280"/>
      <c r="WXT24" s="1280"/>
      <c r="WXU24" s="1280"/>
      <c r="WXV24" s="1280"/>
      <c r="WXW24" s="1280"/>
      <c r="WXX24" s="1280"/>
      <c r="WXY24" s="1280"/>
      <c r="WXZ24" s="1280"/>
      <c r="WYA24" s="1280"/>
      <c r="WYB24" s="1280"/>
      <c r="WYC24" s="1280"/>
      <c r="WYD24" s="1280"/>
      <c r="WYE24" s="1280"/>
      <c r="WYF24" s="1280"/>
      <c r="WYG24" s="1280"/>
      <c r="WYH24" s="1280"/>
      <c r="WYI24" s="1280"/>
      <c r="WYJ24" s="1280"/>
      <c r="WYK24" s="1280"/>
      <c r="WYL24" s="1280"/>
      <c r="WYM24" s="1280"/>
      <c r="WYN24" s="1280"/>
      <c r="WYO24" s="1280"/>
      <c r="WYP24" s="1280"/>
      <c r="WYQ24" s="1280"/>
      <c r="WYR24" s="1280"/>
      <c r="WYS24" s="1280"/>
      <c r="WYT24" s="1280"/>
      <c r="WYU24" s="1280"/>
      <c r="WYV24" s="1280"/>
      <c r="WYW24" s="1280"/>
      <c r="WYX24" s="1280"/>
      <c r="WYY24" s="1280"/>
      <c r="WYZ24" s="1280"/>
      <c r="WZA24" s="1280"/>
      <c r="WZB24" s="1280"/>
      <c r="WZC24" s="1280"/>
      <c r="WZD24" s="1280"/>
      <c r="WZE24" s="1280"/>
      <c r="WZF24" s="1280"/>
      <c r="WZG24" s="1280"/>
      <c r="WZH24" s="1280"/>
      <c r="WZI24" s="1280"/>
      <c r="WZJ24" s="1280"/>
      <c r="WZK24" s="1280"/>
      <c r="WZL24" s="1280"/>
      <c r="WZM24" s="1280"/>
      <c r="WZN24" s="1280"/>
      <c r="WZO24" s="1280"/>
      <c r="WZP24" s="1280"/>
      <c r="WZQ24" s="1280"/>
      <c r="WZR24" s="1280"/>
      <c r="WZS24" s="1280"/>
      <c r="WZT24" s="1280"/>
      <c r="WZU24" s="1280"/>
      <c r="WZV24" s="1280"/>
      <c r="WZW24" s="1280"/>
      <c r="WZX24" s="1280"/>
      <c r="WZY24" s="1280"/>
      <c r="WZZ24" s="1280"/>
      <c r="XAA24" s="1280"/>
      <c r="XAB24" s="1280"/>
      <c r="XAC24" s="1280"/>
      <c r="XAD24" s="1280"/>
      <c r="XAE24" s="1280"/>
      <c r="XAF24" s="1280"/>
      <c r="XAG24" s="1280"/>
      <c r="XAH24" s="1280"/>
      <c r="XAI24" s="1280"/>
      <c r="XAJ24" s="1280"/>
      <c r="XAK24" s="1280"/>
      <c r="XAL24" s="1280"/>
      <c r="XAM24" s="1280"/>
      <c r="XAN24" s="1280"/>
      <c r="XAO24" s="1280"/>
      <c r="XAP24" s="1280"/>
      <c r="XAQ24" s="1280"/>
      <c r="XAR24" s="1280"/>
      <c r="XAS24" s="1280"/>
      <c r="XAT24" s="1280"/>
      <c r="XAU24" s="1280"/>
      <c r="XAV24" s="1280"/>
      <c r="XAW24" s="1280"/>
      <c r="XAX24" s="1280"/>
      <c r="XAY24" s="1280"/>
      <c r="XAZ24" s="1280"/>
      <c r="XBA24" s="1280"/>
      <c r="XBB24" s="1280"/>
      <c r="XBC24" s="1280"/>
      <c r="XBD24" s="1280"/>
      <c r="XBE24" s="1280"/>
      <c r="XBF24" s="1280"/>
      <c r="XBG24" s="1280"/>
      <c r="XBH24" s="1280"/>
      <c r="XBI24" s="1280"/>
      <c r="XBJ24" s="1280"/>
      <c r="XBK24" s="1280"/>
      <c r="XBL24" s="1280"/>
      <c r="XBM24" s="1280"/>
      <c r="XBN24" s="1280"/>
      <c r="XBO24" s="1280"/>
      <c r="XBP24" s="1280"/>
      <c r="XBQ24" s="1280"/>
      <c r="XBR24" s="1280"/>
      <c r="XBS24" s="1280"/>
      <c r="XBT24" s="1280"/>
      <c r="XBU24" s="1280"/>
      <c r="XBV24" s="1280"/>
      <c r="XBW24" s="1280"/>
      <c r="XBX24" s="1280"/>
      <c r="XBY24" s="1280"/>
      <c r="XBZ24" s="1280"/>
      <c r="XCA24" s="1280"/>
      <c r="XCB24" s="1280"/>
      <c r="XCC24" s="1280"/>
      <c r="XCD24" s="1280"/>
      <c r="XCE24" s="1280"/>
      <c r="XCF24" s="1280"/>
      <c r="XCG24" s="1280"/>
      <c r="XCH24" s="1280"/>
      <c r="XCI24" s="1280"/>
      <c r="XCJ24" s="1280"/>
      <c r="XCK24" s="1280"/>
      <c r="XCL24" s="1280"/>
      <c r="XCM24" s="1280"/>
      <c r="XCN24" s="1280"/>
      <c r="XCO24" s="1280"/>
      <c r="XCP24" s="1280"/>
      <c r="XCQ24" s="1280"/>
      <c r="XCR24" s="1280"/>
      <c r="XCS24" s="1280"/>
      <c r="XCT24" s="1280"/>
      <c r="XCU24" s="1280"/>
      <c r="XCV24" s="1280"/>
      <c r="XCW24" s="1280"/>
      <c r="XCX24" s="1280"/>
      <c r="XCY24" s="1280"/>
      <c r="XCZ24" s="1280"/>
      <c r="XDA24" s="1280"/>
      <c r="XDB24" s="1280"/>
      <c r="XDC24" s="1280"/>
      <c r="XDD24" s="1280"/>
      <c r="XDE24" s="1280"/>
      <c r="XDF24" s="1280"/>
      <c r="XDG24" s="1280"/>
      <c r="XDH24" s="1280"/>
      <c r="XDI24" s="1280"/>
      <c r="XDJ24" s="1280"/>
      <c r="XDK24" s="1280"/>
      <c r="XDL24" s="1280"/>
      <c r="XDM24" s="1280"/>
      <c r="XDN24" s="1280"/>
      <c r="XDO24" s="1280"/>
      <c r="XDP24" s="1280"/>
      <c r="XDQ24" s="1280"/>
      <c r="XDR24" s="1280"/>
      <c r="XDS24" s="1280"/>
      <c r="XDT24" s="1280"/>
      <c r="XDU24" s="1280"/>
      <c r="XDV24" s="1280"/>
      <c r="XDW24" s="1280"/>
      <c r="XDX24" s="1280"/>
      <c r="XDY24" s="1280"/>
      <c r="XDZ24" s="1280"/>
      <c r="XEA24" s="1280"/>
      <c r="XEB24" s="1280"/>
      <c r="XEC24" s="1280"/>
      <c r="XED24" s="1280"/>
      <c r="XEE24" s="1280"/>
      <c r="XEF24" s="1280"/>
      <c r="XEG24" s="1280"/>
      <c r="XEH24" s="1280"/>
      <c r="XEI24" s="1280"/>
      <c r="XEJ24" s="1280"/>
      <c r="XEK24" s="1280"/>
      <c r="XEL24" s="1280"/>
      <c r="XEM24" s="1280"/>
      <c r="XEN24" s="1280"/>
      <c r="XEO24" s="1280"/>
      <c r="XEP24" s="1280"/>
      <c r="XEQ24" s="1280"/>
      <c r="XER24" s="1280"/>
      <c r="XES24" s="1280"/>
      <c r="XET24" s="1280"/>
      <c r="XEU24" s="1280"/>
      <c r="XEV24" s="1280"/>
      <c r="XEW24" s="1280"/>
      <c r="XEX24" s="1280"/>
      <c r="XEY24" s="1280"/>
      <c r="XEZ24" s="1280"/>
      <c r="XFA24" s="1280"/>
      <c r="XFB24" s="1280"/>
      <c r="XFC24" s="1280"/>
    </row>
    <row r="25" spans="1:16383" s="857" customFormat="1" ht="42.75" hidden="1" customHeight="1" x14ac:dyDescent="0.2">
      <c r="A25" s="857" t="s">
        <v>4896</v>
      </c>
      <c r="B25" s="1271" t="e">
        <v>#N/A</v>
      </c>
      <c r="C25" s="1271"/>
      <c r="D25" s="1271"/>
      <c r="E25" s="1272"/>
      <c r="F25" s="1292" t="s">
        <v>5214</v>
      </c>
      <c r="G25" s="1273"/>
      <c r="H25" s="1274" t="s">
        <v>2494</v>
      </c>
      <c r="I25" s="1275"/>
      <c r="J25" s="1279" t="s">
        <v>519</v>
      </c>
      <c r="K25" s="1279">
        <v>1200</v>
      </c>
      <c r="L25" s="1279"/>
      <c r="M25" s="1279">
        <v>1200</v>
      </c>
      <c r="N25" s="1279" t="s">
        <v>5216</v>
      </c>
      <c r="O25" s="1274">
        <v>2009</v>
      </c>
      <c r="P25" s="1276"/>
      <c r="Q25" s="1276" t="s">
        <v>5084</v>
      </c>
      <c r="R25" s="1276"/>
      <c r="S25" s="1274" t="s">
        <v>5085</v>
      </c>
      <c r="T25" s="1277">
        <v>1829183513.7862399</v>
      </c>
      <c r="U25" s="1274" t="s">
        <v>43</v>
      </c>
      <c r="V25" s="1278" t="s">
        <v>5086</v>
      </c>
      <c r="W25" s="968"/>
      <c r="X25" s="884" t="str">
        <f t="shared" si="4"/>
        <v>04.13.01</v>
      </c>
      <c r="Y25" s="884" t="str">
        <f t="shared" si="1"/>
        <v>Jalan</v>
      </c>
      <c r="Z25" s="884">
        <f t="shared" si="2"/>
        <v>10</v>
      </c>
      <c r="AA25" s="868">
        <f t="shared" si="5"/>
        <v>182918351.37862399</v>
      </c>
      <c r="AB25" s="885">
        <f t="shared" si="6"/>
        <v>5</v>
      </c>
      <c r="AC25" s="868">
        <f t="shared" si="7"/>
        <v>914591756.89311993</v>
      </c>
      <c r="AD25" s="868">
        <f t="shared" si="8"/>
        <v>182918351.37862399</v>
      </c>
      <c r="AE25" s="868">
        <f t="shared" si="9"/>
        <v>182918351.37862399</v>
      </c>
      <c r="AF25" s="868">
        <f t="shared" si="10"/>
        <v>182918351.37862399</v>
      </c>
      <c r="AG25" s="868">
        <f t="shared" si="11"/>
        <v>182918351.37862399</v>
      </c>
      <c r="AH25" s="886">
        <f t="shared" si="12"/>
        <v>182918351.37862399</v>
      </c>
      <c r="AI25" s="886">
        <f t="shared" si="13"/>
        <v>1829183513.7862399</v>
      </c>
      <c r="AJ25" s="868">
        <f t="shared" si="14"/>
        <v>0</v>
      </c>
      <c r="AK25" s="898">
        <f t="shared" si="3"/>
        <v>1646265162.4076159</v>
      </c>
      <c r="AL25" s="1271"/>
      <c r="AM25" s="1271"/>
      <c r="AN25" s="1271"/>
      <c r="AO25" s="1271"/>
      <c r="AP25" s="1271"/>
      <c r="AQ25" s="1271"/>
      <c r="AR25" s="1271"/>
      <c r="AS25" s="1271"/>
      <c r="AT25" s="1271"/>
      <c r="AU25" s="1271"/>
      <c r="AV25" s="1271"/>
      <c r="AW25" s="1271"/>
      <c r="AX25" s="1271"/>
      <c r="AY25" s="1271"/>
      <c r="AZ25" s="1271"/>
      <c r="BA25" s="1271"/>
      <c r="BB25" s="1271"/>
      <c r="BC25" s="1271"/>
      <c r="BD25" s="1271"/>
      <c r="BE25" s="1271"/>
      <c r="BF25" s="1271"/>
      <c r="BG25" s="1271"/>
      <c r="BH25" s="1271"/>
      <c r="BI25" s="1271"/>
      <c r="BJ25" s="1271"/>
      <c r="BK25" s="1271"/>
      <c r="BL25" s="1271"/>
      <c r="BM25" s="1271"/>
      <c r="BN25" s="1271"/>
      <c r="BO25" s="1271"/>
      <c r="BP25" s="1271"/>
      <c r="BQ25" s="1271"/>
      <c r="BR25" s="1271"/>
      <c r="BS25" s="1271"/>
      <c r="BT25" s="1271"/>
      <c r="BU25" s="1271"/>
      <c r="BV25" s="1271"/>
      <c r="BW25" s="1271"/>
      <c r="BX25" s="1271"/>
      <c r="BY25" s="1271"/>
      <c r="BZ25" s="1271"/>
      <c r="CA25" s="1271"/>
      <c r="CB25" s="1271"/>
      <c r="CC25" s="1271"/>
      <c r="CD25" s="1271"/>
      <c r="CE25" s="1271"/>
      <c r="CF25" s="1271"/>
      <c r="CG25" s="1271"/>
      <c r="CH25" s="1271"/>
      <c r="CI25" s="1271"/>
      <c r="CJ25" s="1271"/>
      <c r="CK25" s="1271"/>
      <c r="CL25" s="1271"/>
      <c r="CM25" s="1271"/>
      <c r="CN25" s="1271"/>
      <c r="CO25" s="1271"/>
      <c r="CP25" s="1271"/>
      <c r="CQ25" s="1271"/>
      <c r="CR25" s="1271"/>
      <c r="CS25" s="1271"/>
      <c r="CT25" s="1271"/>
      <c r="CU25" s="1271"/>
      <c r="CV25" s="1271"/>
      <c r="CW25" s="1271"/>
      <c r="CX25" s="1271"/>
      <c r="CY25" s="1271"/>
      <c r="CZ25" s="1271"/>
      <c r="DA25" s="1271"/>
      <c r="DB25" s="1271"/>
      <c r="DC25" s="1271"/>
      <c r="DD25" s="1271"/>
      <c r="DE25" s="1271"/>
      <c r="DF25" s="1271"/>
      <c r="DG25" s="1271"/>
      <c r="DH25" s="1271"/>
      <c r="DI25" s="1271"/>
      <c r="DJ25" s="1271"/>
      <c r="DK25" s="1271"/>
      <c r="DL25" s="1271"/>
      <c r="DM25" s="1271"/>
      <c r="DN25" s="1271"/>
      <c r="DO25" s="1271"/>
      <c r="DP25" s="1271"/>
      <c r="DQ25" s="1271"/>
      <c r="DR25" s="1271"/>
      <c r="DS25" s="1271"/>
      <c r="DT25" s="1271"/>
      <c r="DU25" s="1271"/>
      <c r="DV25" s="1271"/>
      <c r="DW25" s="1271"/>
      <c r="DX25" s="1271"/>
      <c r="DY25" s="1271"/>
      <c r="DZ25" s="1271"/>
      <c r="EA25" s="1271"/>
      <c r="EB25" s="1271"/>
      <c r="EC25" s="1271"/>
      <c r="ED25" s="1271"/>
      <c r="EE25" s="1271"/>
      <c r="EF25" s="1271"/>
      <c r="EG25" s="1271"/>
      <c r="EH25" s="1271"/>
      <c r="EI25" s="1271"/>
      <c r="EJ25" s="1271"/>
      <c r="EK25" s="1271"/>
      <c r="EL25" s="1271"/>
      <c r="EM25" s="1271"/>
      <c r="EN25" s="1271"/>
      <c r="EO25" s="1271"/>
      <c r="EP25" s="1271"/>
      <c r="EQ25" s="1271"/>
      <c r="ER25" s="1271"/>
      <c r="ES25" s="1271"/>
      <c r="ET25" s="1271"/>
      <c r="EU25" s="1271"/>
      <c r="EV25" s="1271"/>
      <c r="EW25" s="1271"/>
      <c r="EX25" s="1271"/>
      <c r="EY25" s="1271"/>
      <c r="EZ25" s="1271"/>
      <c r="FA25" s="1271"/>
      <c r="FB25" s="1271"/>
      <c r="FC25" s="1271"/>
      <c r="FD25" s="1271"/>
      <c r="FE25" s="1271"/>
      <c r="FF25" s="1271"/>
      <c r="FG25" s="1271"/>
      <c r="FH25" s="1271"/>
      <c r="FI25" s="1271"/>
      <c r="FJ25" s="1271"/>
      <c r="FK25" s="1271"/>
      <c r="FL25" s="1271"/>
      <c r="FM25" s="1271"/>
      <c r="FN25" s="1271"/>
      <c r="FO25" s="1271"/>
      <c r="FP25" s="1271"/>
      <c r="FQ25" s="1271"/>
      <c r="FR25" s="1271"/>
      <c r="FS25" s="1271"/>
      <c r="FT25" s="1271"/>
      <c r="FU25" s="1271"/>
      <c r="FV25" s="1271"/>
      <c r="FW25" s="1271"/>
      <c r="FX25" s="1271"/>
      <c r="FY25" s="1271"/>
      <c r="FZ25" s="1271"/>
      <c r="GA25" s="1271"/>
      <c r="GB25" s="1271"/>
      <c r="GC25" s="1271"/>
      <c r="GD25" s="1271"/>
      <c r="GE25" s="1271"/>
      <c r="GF25" s="1271"/>
      <c r="GG25" s="1271"/>
      <c r="GH25" s="1271"/>
      <c r="GI25" s="1271"/>
      <c r="GJ25" s="1271"/>
      <c r="GK25" s="1271"/>
      <c r="GL25" s="1271"/>
      <c r="GM25" s="1271"/>
      <c r="GN25" s="1271"/>
      <c r="GO25" s="1271"/>
      <c r="GP25" s="1271"/>
      <c r="GQ25" s="1271"/>
      <c r="GR25" s="1271"/>
      <c r="GS25" s="1271"/>
      <c r="GT25" s="1271"/>
      <c r="GU25" s="1271"/>
      <c r="GV25" s="1271"/>
      <c r="GW25" s="1271"/>
      <c r="GX25" s="1271"/>
      <c r="GY25" s="1271"/>
      <c r="GZ25" s="1271"/>
      <c r="HA25" s="1271"/>
      <c r="HB25" s="1271"/>
      <c r="HC25" s="1271"/>
      <c r="HD25" s="1271"/>
      <c r="HE25" s="1271"/>
      <c r="HF25" s="1271"/>
      <c r="HG25" s="1271"/>
      <c r="HH25" s="1271"/>
      <c r="HI25" s="1271"/>
      <c r="HJ25" s="1271"/>
      <c r="HK25" s="1271"/>
      <c r="HL25" s="1271"/>
      <c r="HM25" s="1271"/>
      <c r="HN25" s="1271"/>
      <c r="HO25" s="1271"/>
      <c r="HP25" s="1271"/>
      <c r="HQ25" s="1271"/>
      <c r="HR25" s="1271"/>
      <c r="HS25" s="1271"/>
      <c r="HT25" s="1271"/>
      <c r="HU25" s="1271"/>
      <c r="HV25" s="1271"/>
      <c r="HW25" s="1271"/>
      <c r="HX25" s="1271"/>
      <c r="HY25" s="1271"/>
      <c r="HZ25" s="1271"/>
      <c r="IA25" s="1271"/>
      <c r="IB25" s="1271"/>
      <c r="IC25" s="1271"/>
      <c r="ID25" s="1271"/>
      <c r="IE25" s="1271"/>
      <c r="IF25" s="1271"/>
      <c r="IG25" s="1271"/>
      <c r="IH25" s="1271"/>
      <c r="II25" s="1271"/>
      <c r="IJ25" s="1271"/>
      <c r="IK25" s="1271"/>
      <c r="IL25" s="1271"/>
      <c r="IM25" s="1271"/>
      <c r="IN25" s="1271"/>
      <c r="IO25" s="1271"/>
      <c r="IP25" s="1271"/>
      <c r="IQ25" s="1271"/>
      <c r="IR25" s="1271"/>
      <c r="IS25" s="1271"/>
      <c r="IT25" s="1271"/>
      <c r="IU25" s="1271"/>
      <c r="IV25" s="1271"/>
      <c r="IW25" s="1271"/>
      <c r="IX25" s="1271"/>
      <c r="IY25" s="1271"/>
      <c r="IZ25" s="1271"/>
      <c r="JA25" s="1271"/>
      <c r="JB25" s="1271"/>
      <c r="JC25" s="1271"/>
      <c r="JD25" s="1271"/>
      <c r="JE25" s="1271"/>
      <c r="JF25" s="1271"/>
      <c r="JG25" s="1271"/>
      <c r="JH25" s="1271"/>
      <c r="JI25" s="1271"/>
      <c r="JJ25" s="1271"/>
      <c r="JK25" s="1271"/>
      <c r="JL25" s="1271"/>
      <c r="JM25" s="1271"/>
      <c r="JN25" s="1271"/>
      <c r="JO25" s="1271"/>
      <c r="JP25" s="1271"/>
      <c r="JQ25" s="1271"/>
      <c r="JR25" s="1271"/>
      <c r="JS25" s="1271"/>
      <c r="JT25" s="1271"/>
      <c r="JU25" s="1271"/>
      <c r="JV25" s="1271"/>
      <c r="JW25" s="1271"/>
      <c r="JX25" s="1271"/>
      <c r="JY25" s="1271"/>
      <c r="JZ25" s="1271"/>
      <c r="KA25" s="1271"/>
      <c r="KB25" s="1271"/>
      <c r="KC25" s="1271"/>
      <c r="KD25" s="1271"/>
      <c r="KE25" s="1271"/>
      <c r="KF25" s="1271"/>
      <c r="KG25" s="1271"/>
      <c r="KH25" s="1271"/>
      <c r="KI25" s="1271"/>
      <c r="KJ25" s="1271"/>
      <c r="KK25" s="1271"/>
      <c r="KL25" s="1271"/>
      <c r="KM25" s="1271"/>
      <c r="KN25" s="1271"/>
      <c r="KO25" s="1271"/>
      <c r="KP25" s="1271"/>
      <c r="KQ25" s="1271"/>
      <c r="KR25" s="1271"/>
      <c r="KS25" s="1271"/>
      <c r="KT25" s="1271"/>
      <c r="KU25" s="1271"/>
      <c r="KV25" s="1271"/>
      <c r="KW25" s="1271"/>
      <c r="KX25" s="1271"/>
      <c r="KY25" s="1271"/>
      <c r="KZ25" s="1271"/>
      <c r="LA25" s="1271"/>
      <c r="LB25" s="1271"/>
      <c r="LC25" s="1271"/>
      <c r="LD25" s="1271"/>
      <c r="LE25" s="1271"/>
      <c r="LF25" s="1271"/>
      <c r="LG25" s="1271"/>
      <c r="LH25" s="1271"/>
      <c r="LI25" s="1271"/>
      <c r="LJ25" s="1271"/>
      <c r="LK25" s="1271"/>
      <c r="LL25" s="1271"/>
      <c r="LM25" s="1271"/>
      <c r="LN25" s="1271"/>
      <c r="LO25" s="1271"/>
      <c r="LP25" s="1271"/>
      <c r="LQ25" s="1271"/>
      <c r="LR25" s="1271"/>
      <c r="LS25" s="1271"/>
      <c r="LT25" s="1271"/>
      <c r="LU25" s="1271"/>
      <c r="LV25" s="1271"/>
      <c r="LW25" s="1271"/>
      <c r="LX25" s="1271"/>
      <c r="LY25" s="1271"/>
      <c r="LZ25" s="1271"/>
      <c r="MA25" s="1271"/>
      <c r="MB25" s="1271"/>
      <c r="MC25" s="1271"/>
      <c r="MD25" s="1271"/>
      <c r="ME25" s="1271"/>
      <c r="MF25" s="1271"/>
      <c r="MG25" s="1271"/>
      <c r="MH25" s="1271"/>
      <c r="MI25" s="1271"/>
      <c r="MJ25" s="1271"/>
      <c r="MK25" s="1271"/>
      <c r="ML25" s="1271"/>
      <c r="MM25" s="1271"/>
      <c r="MN25" s="1271"/>
      <c r="MO25" s="1271"/>
      <c r="MP25" s="1271"/>
      <c r="MQ25" s="1271"/>
      <c r="MR25" s="1271"/>
      <c r="MS25" s="1271"/>
      <c r="MT25" s="1271"/>
      <c r="MU25" s="1271"/>
      <c r="MV25" s="1271"/>
      <c r="MW25" s="1271"/>
      <c r="MX25" s="1271"/>
      <c r="MY25" s="1271"/>
      <c r="MZ25" s="1271"/>
      <c r="NA25" s="1271"/>
      <c r="NB25" s="1271"/>
      <c r="NC25" s="1271"/>
      <c r="ND25" s="1271"/>
      <c r="NE25" s="1271"/>
      <c r="NF25" s="1271"/>
      <c r="NG25" s="1271"/>
      <c r="NH25" s="1271"/>
      <c r="NI25" s="1271"/>
      <c r="NJ25" s="1271"/>
      <c r="NK25" s="1271"/>
      <c r="NL25" s="1271"/>
      <c r="NM25" s="1271"/>
      <c r="NN25" s="1271"/>
      <c r="NO25" s="1271"/>
      <c r="NP25" s="1271"/>
      <c r="NQ25" s="1271"/>
      <c r="NR25" s="1271"/>
      <c r="NS25" s="1271"/>
      <c r="NT25" s="1271"/>
      <c r="NU25" s="1271"/>
      <c r="NV25" s="1271"/>
      <c r="NW25" s="1271"/>
      <c r="NX25" s="1271"/>
      <c r="NY25" s="1271"/>
      <c r="NZ25" s="1271"/>
      <c r="OA25" s="1271"/>
      <c r="OB25" s="1271"/>
      <c r="OC25" s="1271"/>
      <c r="OD25" s="1271"/>
      <c r="OE25" s="1271"/>
      <c r="OF25" s="1271"/>
      <c r="OG25" s="1271"/>
      <c r="OH25" s="1271"/>
      <c r="OI25" s="1271"/>
      <c r="OJ25" s="1271"/>
      <c r="OK25" s="1271"/>
      <c r="OL25" s="1271"/>
      <c r="OM25" s="1271"/>
      <c r="ON25" s="1271"/>
      <c r="OO25" s="1271"/>
      <c r="OP25" s="1271"/>
      <c r="OQ25" s="1271"/>
      <c r="OR25" s="1271"/>
      <c r="OS25" s="1271"/>
      <c r="OT25" s="1271"/>
      <c r="OU25" s="1271"/>
      <c r="OV25" s="1271"/>
      <c r="OW25" s="1271"/>
      <c r="OX25" s="1271"/>
      <c r="OY25" s="1271"/>
      <c r="OZ25" s="1271"/>
      <c r="PA25" s="1271"/>
      <c r="PB25" s="1271"/>
      <c r="PC25" s="1271"/>
      <c r="PD25" s="1271"/>
      <c r="PE25" s="1271"/>
      <c r="PF25" s="1271"/>
      <c r="PG25" s="1271"/>
      <c r="PH25" s="1271"/>
      <c r="PI25" s="1271"/>
      <c r="PJ25" s="1271"/>
      <c r="PK25" s="1271"/>
      <c r="PL25" s="1271"/>
      <c r="PM25" s="1271"/>
      <c r="PN25" s="1271"/>
      <c r="PO25" s="1271"/>
      <c r="PP25" s="1271"/>
      <c r="PQ25" s="1271"/>
      <c r="PR25" s="1271"/>
      <c r="PS25" s="1271"/>
      <c r="PT25" s="1271"/>
      <c r="PU25" s="1271"/>
      <c r="PV25" s="1271"/>
      <c r="PW25" s="1271"/>
      <c r="PX25" s="1271"/>
      <c r="PY25" s="1271"/>
      <c r="PZ25" s="1271"/>
      <c r="QA25" s="1271"/>
      <c r="QB25" s="1271"/>
      <c r="QC25" s="1271"/>
      <c r="QD25" s="1271"/>
      <c r="QE25" s="1271"/>
      <c r="QF25" s="1271"/>
      <c r="QG25" s="1271"/>
      <c r="QH25" s="1271"/>
      <c r="QI25" s="1271"/>
      <c r="QJ25" s="1271"/>
      <c r="QK25" s="1271"/>
      <c r="QL25" s="1271"/>
      <c r="QM25" s="1271"/>
      <c r="QN25" s="1271"/>
      <c r="QO25" s="1271"/>
      <c r="QP25" s="1271"/>
      <c r="QQ25" s="1271"/>
      <c r="QR25" s="1271"/>
      <c r="QS25" s="1271"/>
      <c r="QT25" s="1271"/>
      <c r="QU25" s="1271"/>
      <c r="QV25" s="1271"/>
      <c r="QW25" s="1271"/>
      <c r="QX25" s="1271"/>
      <c r="QY25" s="1271"/>
      <c r="QZ25" s="1271"/>
      <c r="RA25" s="1271"/>
      <c r="RB25" s="1271"/>
      <c r="RC25" s="1271"/>
      <c r="RD25" s="1271"/>
      <c r="RE25" s="1271"/>
      <c r="RF25" s="1271"/>
      <c r="RG25" s="1271"/>
      <c r="RH25" s="1271"/>
      <c r="RI25" s="1271"/>
      <c r="RJ25" s="1271"/>
      <c r="RK25" s="1271"/>
      <c r="RL25" s="1271"/>
      <c r="RM25" s="1271"/>
      <c r="RN25" s="1271"/>
      <c r="RO25" s="1271"/>
      <c r="RP25" s="1271"/>
      <c r="RQ25" s="1271"/>
      <c r="RR25" s="1271"/>
      <c r="RS25" s="1271"/>
      <c r="RT25" s="1271"/>
      <c r="RU25" s="1271"/>
      <c r="RV25" s="1271"/>
      <c r="RW25" s="1271"/>
      <c r="RX25" s="1271"/>
      <c r="RY25" s="1271"/>
      <c r="RZ25" s="1271"/>
      <c r="SA25" s="1271"/>
      <c r="SB25" s="1271"/>
      <c r="SC25" s="1271"/>
      <c r="SD25" s="1271"/>
      <c r="SE25" s="1271"/>
      <c r="SF25" s="1271"/>
      <c r="SG25" s="1271"/>
      <c r="SH25" s="1271"/>
      <c r="SI25" s="1271"/>
      <c r="SJ25" s="1271"/>
      <c r="SK25" s="1271"/>
      <c r="SL25" s="1271"/>
      <c r="SM25" s="1271"/>
      <c r="SN25" s="1271"/>
      <c r="SO25" s="1271"/>
      <c r="SP25" s="1271"/>
      <c r="SQ25" s="1271"/>
      <c r="SR25" s="1271"/>
      <c r="SS25" s="1271"/>
      <c r="ST25" s="1271"/>
      <c r="SU25" s="1271"/>
      <c r="SV25" s="1271"/>
      <c r="SW25" s="1271"/>
      <c r="SX25" s="1271"/>
      <c r="SY25" s="1271"/>
      <c r="SZ25" s="1271"/>
      <c r="TA25" s="1271"/>
      <c r="TB25" s="1271"/>
      <c r="TC25" s="1271"/>
      <c r="TD25" s="1271"/>
      <c r="TE25" s="1271"/>
      <c r="TF25" s="1271"/>
      <c r="TG25" s="1271"/>
      <c r="TH25" s="1271"/>
      <c r="TI25" s="1271"/>
      <c r="TJ25" s="1271"/>
      <c r="TK25" s="1271"/>
      <c r="TL25" s="1271"/>
      <c r="TM25" s="1271"/>
      <c r="TN25" s="1271"/>
      <c r="TO25" s="1271"/>
      <c r="TP25" s="1271"/>
      <c r="TQ25" s="1271"/>
      <c r="TR25" s="1271"/>
      <c r="TS25" s="1271"/>
      <c r="TT25" s="1271"/>
      <c r="TU25" s="1271"/>
      <c r="TV25" s="1271"/>
      <c r="TW25" s="1271"/>
      <c r="TX25" s="1271"/>
      <c r="TY25" s="1271"/>
      <c r="TZ25" s="1271"/>
      <c r="UA25" s="1271"/>
      <c r="UB25" s="1271"/>
      <c r="UC25" s="1271"/>
      <c r="UD25" s="1271"/>
      <c r="UE25" s="1271"/>
      <c r="UF25" s="1271"/>
      <c r="UG25" s="1271"/>
      <c r="UH25" s="1271"/>
      <c r="UI25" s="1271"/>
      <c r="UJ25" s="1271"/>
      <c r="UK25" s="1271"/>
      <c r="UL25" s="1271"/>
      <c r="UM25" s="1271"/>
      <c r="UN25" s="1271"/>
      <c r="UO25" s="1271"/>
      <c r="UP25" s="1271"/>
      <c r="UQ25" s="1271"/>
      <c r="UR25" s="1271"/>
      <c r="US25" s="1271"/>
      <c r="UT25" s="1271"/>
      <c r="UU25" s="1271"/>
      <c r="UV25" s="1271"/>
      <c r="UW25" s="1271"/>
      <c r="UX25" s="1271"/>
      <c r="UY25" s="1271"/>
      <c r="UZ25" s="1271"/>
      <c r="VA25" s="1271"/>
      <c r="VB25" s="1271"/>
      <c r="VC25" s="1271"/>
      <c r="VD25" s="1271"/>
      <c r="VE25" s="1271"/>
      <c r="VF25" s="1271"/>
      <c r="VG25" s="1271"/>
      <c r="VH25" s="1271"/>
      <c r="VI25" s="1271"/>
      <c r="VJ25" s="1271"/>
      <c r="VK25" s="1271"/>
      <c r="VL25" s="1271"/>
      <c r="VM25" s="1271"/>
      <c r="VN25" s="1271"/>
      <c r="VO25" s="1271"/>
      <c r="VP25" s="1271"/>
      <c r="VQ25" s="1271"/>
      <c r="VR25" s="1271"/>
      <c r="VS25" s="1271"/>
      <c r="VT25" s="1271"/>
      <c r="VU25" s="1271"/>
      <c r="VV25" s="1271"/>
      <c r="VW25" s="1271"/>
      <c r="VX25" s="1271"/>
      <c r="VY25" s="1271"/>
      <c r="VZ25" s="1271"/>
      <c r="WA25" s="1271"/>
      <c r="WB25" s="1271"/>
      <c r="WC25" s="1271"/>
      <c r="WD25" s="1271"/>
      <c r="WE25" s="1271"/>
      <c r="WF25" s="1271"/>
      <c r="WG25" s="1271"/>
      <c r="WH25" s="1271"/>
      <c r="WI25" s="1271"/>
      <c r="WJ25" s="1271"/>
      <c r="WK25" s="1271"/>
      <c r="WL25" s="1271"/>
      <c r="WM25" s="1271"/>
      <c r="WN25" s="1271"/>
      <c r="WO25" s="1271"/>
      <c r="WP25" s="1271"/>
      <c r="WQ25" s="1271"/>
      <c r="WR25" s="1271"/>
      <c r="WS25" s="1271"/>
      <c r="WT25" s="1271"/>
      <c r="WU25" s="1271"/>
      <c r="WV25" s="1271"/>
      <c r="WW25" s="1271"/>
      <c r="WX25" s="1271"/>
      <c r="WY25" s="1271"/>
      <c r="WZ25" s="1271"/>
      <c r="XA25" s="1271"/>
      <c r="XB25" s="1271"/>
      <c r="XC25" s="1271"/>
      <c r="XD25" s="1271"/>
      <c r="XE25" s="1271"/>
      <c r="XF25" s="1271"/>
      <c r="XG25" s="1271"/>
      <c r="XH25" s="1271"/>
      <c r="XI25" s="1271"/>
      <c r="XJ25" s="1271"/>
      <c r="XK25" s="1271"/>
      <c r="XL25" s="1271"/>
      <c r="XM25" s="1271"/>
      <c r="XN25" s="1271"/>
      <c r="XO25" s="1271"/>
      <c r="XP25" s="1271"/>
      <c r="XQ25" s="1271"/>
      <c r="XR25" s="1271"/>
      <c r="XS25" s="1271"/>
      <c r="XT25" s="1271"/>
      <c r="XU25" s="1271"/>
      <c r="XV25" s="1271"/>
      <c r="XW25" s="1271"/>
      <c r="XX25" s="1271"/>
      <c r="XY25" s="1271"/>
      <c r="XZ25" s="1271"/>
      <c r="YA25" s="1271"/>
      <c r="YB25" s="1271"/>
      <c r="YC25" s="1271"/>
      <c r="YD25" s="1271"/>
      <c r="YE25" s="1271"/>
      <c r="YF25" s="1271"/>
      <c r="YG25" s="1271"/>
      <c r="YH25" s="1271"/>
      <c r="YI25" s="1271"/>
      <c r="YJ25" s="1271"/>
      <c r="YK25" s="1271"/>
      <c r="YL25" s="1271"/>
      <c r="YM25" s="1271"/>
      <c r="YN25" s="1271"/>
      <c r="YO25" s="1271"/>
      <c r="YP25" s="1271"/>
      <c r="YQ25" s="1271"/>
      <c r="YR25" s="1271"/>
      <c r="YS25" s="1271"/>
      <c r="YT25" s="1271"/>
      <c r="YU25" s="1271"/>
      <c r="YV25" s="1271"/>
      <c r="YW25" s="1271"/>
      <c r="YX25" s="1271"/>
      <c r="YY25" s="1271"/>
      <c r="YZ25" s="1271"/>
      <c r="ZA25" s="1271"/>
      <c r="ZB25" s="1271"/>
      <c r="ZC25" s="1271"/>
      <c r="ZD25" s="1271"/>
      <c r="ZE25" s="1271"/>
      <c r="ZF25" s="1271"/>
      <c r="ZG25" s="1271"/>
      <c r="ZH25" s="1271"/>
      <c r="ZI25" s="1271"/>
      <c r="ZJ25" s="1271"/>
      <c r="ZK25" s="1271"/>
      <c r="ZL25" s="1271"/>
      <c r="ZM25" s="1271"/>
      <c r="ZN25" s="1271"/>
      <c r="ZO25" s="1271"/>
      <c r="ZP25" s="1271"/>
      <c r="ZQ25" s="1271"/>
      <c r="ZR25" s="1271"/>
      <c r="ZS25" s="1271"/>
      <c r="ZT25" s="1271"/>
      <c r="ZU25" s="1271"/>
      <c r="ZV25" s="1271"/>
      <c r="ZW25" s="1271"/>
      <c r="ZX25" s="1271"/>
      <c r="ZY25" s="1271"/>
      <c r="ZZ25" s="1271"/>
      <c r="AAA25" s="1271"/>
      <c r="AAB25" s="1271"/>
      <c r="AAC25" s="1271"/>
      <c r="AAD25" s="1271"/>
      <c r="AAE25" s="1271"/>
      <c r="AAF25" s="1271"/>
      <c r="AAG25" s="1271"/>
      <c r="AAH25" s="1271"/>
      <c r="AAI25" s="1271"/>
      <c r="AAJ25" s="1271"/>
      <c r="AAK25" s="1271"/>
      <c r="AAL25" s="1271"/>
      <c r="AAM25" s="1271"/>
      <c r="AAN25" s="1271"/>
      <c r="AAO25" s="1271"/>
      <c r="AAP25" s="1271"/>
      <c r="AAQ25" s="1271"/>
      <c r="AAR25" s="1271"/>
      <c r="AAS25" s="1271"/>
      <c r="AAT25" s="1271"/>
      <c r="AAU25" s="1271"/>
      <c r="AAV25" s="1271"/>
      <c r="AAW25" s="1271"/>
      <c r="AAX25" s="1271"/>
      <c r="AAY25" s="1271"/>
      <c r="AAZ25" s="1271"/>
      <c r="ABA25" s="1271"/>
      <c r="ABB25" s="1271"/>
      <c r="ABC25" s="1271"/>
      <c r="ABD25" s="1271"/>
      <c r="ABE25" s="1271"/>
      <c r="ABF25" s="1271"/>
      <c r="ABG25" s="1271"/>
      <c r="ABH25" s="1271"/>
      <c r="ABI25" s="1271"/>
      <c r="ABJ25" s="1271"/>
      <c r="ABK25" s="1271"/>
      <c r="ABL25" s="1271"/>
      <c r="ABM25" s="1271"/>
      <c r="ABN25" s="1271"/>
      <c r="ABO25" s="1271"/>
      <c r="ABP25" s="1271"/>
      <c r="ABQ25" s="1271"/>
      <c r="ABR25" s="1271"/>
      <c r="ABS25" s="1271"/>
      <c r="ABT25" s="1271"/>
      <c r="ABU25" s="1271"/>
      <c r="ABV25" s="1271"/>
      <c r="ABW25" s="1271"/>
      <c r="ABX25" s="1271"/>
      <c r="ABY25" s="1271"/>
      <c r="ABZ25" s="1271"/>
      <c r="ACA25" s="1271"/>
      <c r="ACB25" s="1271"/>
      <c r="ACC25" s="1271"/>
      <c r="ACD25" s="1271"/>
      <c r="ACE25" s="1271"/>
      <c r="ACF25" s="1271"/>
      <c r="ACG25" s="1271"/>
      <c r="ACH25" s="1271"/>
      <c r="ACI25" s="1271"/>
      <c r="ACJ25" s="1271"/>
      <c r="ACK25" s="1271"/>
      <c r="ACL25" s="1271"/>
      <c r="ACM25" s="1271"/>
      <c r="ACN25" s="1271"/>
      <c r="ACO25" s="1271"/>
      <c r="ACP25" s="1271"/>
      <c r="ACQ25" s="1271"/>
      <c r="ACR25" s="1271"/>
      <c r="ACS25" s="1271"/>
      <c r="ACT25" s="1271"/>
      <c r="ACU25" s="1271"/>
      <c r="ACV25" s="1271"/>
      <c r="ACW25" s="1271"/>
      <c r="ACX25" s="1271"/>
      <c r="ACY25" s="1271"/>
      <c r="ACZ25" s="1271"/>
      <c r="ADA25" s="1271"/>
      <c r="ADB25" s="1271"/>
      <c r="ADC25" s="1271"/>
      <c r="ADD25" s="1271"/>
      <c r="ADE25" s="1271"/>
      <c r="ADF25" s="1271"/>
      <c r="ADG25" s="1271"/>
      <c r="ADH25" s="1271"/>
      <c r="ADI25" s="1271"/>
      <c r="ADJ25" s="1271"/>
      <c r="ADK25" s="1271"/>
      <c r="ADL25" s="1271"/>
      <c r="ADM25" s="1271"/>
      <c r="ADN25" s="1271"/>
      <c r="ADO25" s="1271"/>
      <c r="ADP25" s="1271"/>
      <c r="ADQ25" s="1271"/>
      <c r="ADR25" s="1271"/>
      <c r="ADS25" s="1271"/>
      <c r="ADT25" s="1271"/>
      <c r="ADU25" s="1271"/>
      <c r="ADV25" s="1271"/>
      <c r="ADW25" s="1271"/>
      <c r="ADX25" s="1271"/>
      <c r="ADY25" s="1271"/>
      <c r="ADZ25" s="1271"/>
      <c r="AEA25" s="1271"/>
      <c r="AEB25" s="1271"/>
      <c r="AEC25" s="1271"/>
      <c r="AED25" s="1271"/>
      <c r="AEE25" s="1271"/>
      <c r="AEF25" s="1271"/>
      <c r="AEG25" s="1271"/>
      <c r="AEH25" s="1271"/>
      <c r="AEI25" s="1271"/>
      <c r="AEJ25" s="1271"/>
      <c r="AEK25" s="1271"/>
      <c r="AEL25" s="1271"/>
      <c r="AEM25" s="1271"/>
      <c r="AEN25" s="1271"/>
      <c r="AEO25" s="1271"/>
      <c r="AEP25" s="1271"/>
      <c r="AEQ25" s="1271"/>
      <c r="AER25" s="1271"/>
      <c r="AES25" s="1271"/>
      <c r="AET25" s="1271"/>
      <c r="AEU25" s="1271"/>
      <c r="AEV25" s="1271"/>
      <c r="AEW25" s="1271"/>
      <c r="AEX25" s="1271"/>
      <c r="AEY25" s="1271"/>
      <c r="AEZ25" s="1271"/>
      <c r="AFA25" s="1271"/>
      <c r="AFB25" s="1271"/>
      <c r="AFC25" s="1271"/>
      <c r="AFD25" s="1271"/>
      <c r="AFE25" s="1271"/>
      <c r="AFF25" s="1271"/>
      <c r="AFG25" s="1271"/>
      <c r="AFH25" s="1271"/>
      <c r="AFI25" s="1271"/>
      <c r="AFJ25" s="1271"/>
      <c r="AFK25" s="1271"/>
      <c r="AFL25" s="1271"/>
      <c r="AFM25" s="1271"/>
      <c r="AFN25" s="1271"/>
      <c r="AFO25" s="1271"/>
      <c r="AFP25" s="1271"/>
      <c r="AFQ25" s="1271"/>
      <c r="AFR25" s="1271"/>
      <c r="AFS25" s="1271"/>
      <c r="AFT25" s="1271"/>
      <c r="AFU25" s="1271"/>
      <c r="AFV25" s="1271"/>
      <c r="AFW25" s="1271"/>
      <c r="AFX25" s="1271"/>
      <c r="AFY25" s="1271"/>
      <c r="AFZ25" s="1271"/>
      <c r="AGA25" s="1271"/>
      <c r="AGB25" s="1271"/>
      <c r="AGC25" s="1271"/>
      <c r="AGD25" s="1271"/>
      <c r="AGE25" s="1271"/>
      <c r="AGF25" s="1271"/>
      <c r="AGG25" s="1271"/>
      <c r="AGH25" s="1271"/>
      <c r="AGI25" s="1271"/>
      <c r="AGJ25" s="1271"/>
      <c r="AGK25" s="1271"/>
      <c r="AGL25" s="1271"/>
      <c r="AGM25" s="1271"/>
      <c r="AGN25" s="1271"/>
      <c r="AGO25" s="1271"/>
      <c r="AGP25" s="1271"/>
      <c r="AGQ25" s="1271"/>
      <c r="AGR25" s="1271"/>
      <c r="AGS25" s="1271"/>
      <c r="AGT25" s="1271"/>
      <c r="AGU25" s="1271"/>
      <c r="AGV25" s="1271"/>
      <c r="AGW25" s="1271"/>
      <c r="AGX25" s="1271"/>
      <c r="AGY25" s="1271"/>
      <c r="AGZ25" s="1271"/>
      <c r="AHA25" s="1271"/>
      <c r="AHB25" s="1271"/>
      <c r="AHC25" s="1271"/>
      <c r="AHD25" s="1271"/>
      <c r="AHE25" s="1271"/>
      <c r="AHF25" s="1271"/>
      <c r="AHG25" s="1271"/>
      <c r="AHH25" s="1271"/>
      <c r="AHI25" s="1271"/>
      <c r="AHJ25" s="1271"/>
      <c r="AHK25" s="1271"/>
      <c r="AHL25" s="1271"/>
      <c r="AHM25" s="1271"/>
      <c r="AHN25" s="1271"/>
      <c r="AHO25" s="1271"/>
      <c r="AHP25" s="1271"/>
      <c r="AHQ25" s="1271"/>
      <c r="AHR25" s="1271"/>
      <c r="AHS25" s="1271"/>
      <c r="AHT25" s="1271"/>
      <c r="AHU25" s="1271"/>
      <c r="AHV25" s="1271"/>
      <c r="AHW25" s="1271"/>
      <c r="AHX25" s="1271"/>
      <c r="AHY25" s="1271"/>
      <c r="AHZ25" s="1271"/>
      <c r="AIA25" s="1271"/>
      <c r="AIB25" s="1271"/>
      <c r="AIC25" s="1271"/>
      <c r="AID25" s="1271"/>
      <c r="AIE25" s="1271"/>
      <c r="AIF25" s="1271"/>
      <c r="AIG25" s="1271"/>
      <c r="AIH25" s="1271"/>
      <c r="AII25" s="1271"/>
      <c r="AIJ25" s="1271"/>
      <c r="AIK25" s="1271"/>
      <c r="AIL25" s="1271"/>
      <c r="AIM25" s="1271"/>
      <c r="AIN25" s="1271"/>
      <c r="AIO25" s="1271"/>
      <c r="AIP25" s="1271"/>
      <c r="AIQ25" s="1271"/>
      <c r="AIR25" s="1271"/>
      <c r="AIS25" s="1271"/>
      <c r="AIT25" s="1271"/>
      <c r="AIU25" s="1271"/>
      <c r="AIV25" s="1271"/>
      <c r="AIW25" s="1271"/>
      <c r="AIX25" s="1271"/>
      <c r="AIY25" s="1271"/>
      <c r="AIZ25" s="1271"/>
      <c r="AJA25" s="1271"/>
      <c r="AJB25" s="1271"/>
      <c r="AJC25" s="1271"/>
      <c r="AJD25" s="1271"/>
      <c r="AJE25" s="1271"/>
      <c r="AJF25" s="1271"/>
      <c r="AJG25" s="1271"/>
      <c r="AJH25" s="1271"/>
      <c r="AJI25" s="1271"/>
      <c r="AJJ25" s="1271"/>
      <c r="AJK25" s="1271"/>
      <c r="AJL25" s="1271"/>
      <c r="AJM25" s="1271"/>
      <c r="AJN25" s="1271"/>
      <c r="AJO25" s="1271"/>
      <c r="AJP25" s="1271"/>
      <c r="AJQ25" s="1271"/>
      <c r="AJR25" s="1271"/>
      <c r="AJS25" s="1271"/>
      <c r="AJT25" s="1271"/>
      <c r="AJU25" s="1271"/>
      <c r="AJV25" s="1271"/>
      <c r="AJW25" s="1271"/>
      <c r="AJX25" s="1271"/>
      <c r="AJY25" s="1271"/>
      <c r="AJZ25" s="1271"/>
      <c r="AKA25" s="1271"/>
      <c r="AKB25" s="1271"/>
      <c r="AKC25" s="1271"/>
      <c r="AKD25" s="1271"/>
      <c r="AKE25" s="1271"/>
      <c r="AKF25" s="1271"/>
      <c r="AKG25" s="1271"/>
      <c r="AKH25" s="1271"/>
      <c r="AKI25" s="1271"/>
      <c r="AKJ25" s="1271"/>
      <c r="AKK25" s="1271"/>
      <c r="AKL25" s="1271"/>
      <c r="AKM25" s="1271"/>
      <c r="AKN25" s="1271"/>
      <c r="AKO25" s="1271"/>
      <c r="AKP25" s="1271"/>
      <c r="AKQ25" s="1271"/>
      <c r="AKR25" s="1271"/>
      <c r="AKS25" s="1271"/>
      <c r="AKT25" s="1271"/>
      <c r="AKU25" s="1271"/>
      <c r="AKV25" s="1271"/>
      <c r="AKW25" s="1271"/>
      <c r="AKX25" s="1271"/>
      <c r="AKY25" s="1271"/>
      <c r="AKZ25" s="1271"/>
      <c r="ALA25" s="1271"/>
      <c r="ALB25" s="1271"/>
      <c r="ALC25" s="1271"/>
      <c r="ALD25" s="1271"/>
      <c r="ALE25" s="1271"/>
      <c r="ALF25" s="1271"/>
      <c r="ALG25" s="1271"/>
      <c r="ALH25" s="1271"/>
      <c r="ALI25" s="1271"/>
      <c r="ALJ25" s="1271"/>
      <c r="ALK25" s="1271"/>
      <c r="ALL25" s="1271"/>
      <c r="ALM25" s="1271"/>
      <c r="ALN25" s="1271"/>
      <c r="ALO25" s="1271"/>
      <c r="ALP25" s="1271"/>
      <c r="ALQ25" s="1271"/>
      <c r="ALR25" s="1271"/>
      <c r="ALS25" s="1271"/>
      <c r="ALT25" s="1271"/>
      <c r="ALU25" s="1271"/>
      <c r="ALV25" s="1271"/>
      <c r="ALW25" s="1271"/>
      <c r="ALX25" s="1271"/>
      <c r="ALY25" s="1271"/>
      <c r="ALZ25" s="1271"/>
      <c r="AMA25" s="1271"/>
      <c r="AMB25" s="1271"/>
      <c r="AMC25" s="1271"/>
      <c r="AMD25" s="1271"/>
      <c r="AME25" s="1271"/>
      <c r="AMF25" s="1271"/>
      <c r="AMG25" s="1271"/>
      <c r="AMH25" s="1271"/>
      <c r="AMI25" s="1271"/>
      <c r="AMJ25" s="1271"/>
      <c r="AMK25" s="1271"/>
      <c r="AML25" s="1271"/>
      <c r="AMM25" s="1271"/>
      <c r="AMN25" s="1271"/>
      <c r="AMO25" s="1271"/>
      <c r="AMP25" s="1271"/>
      <c r="AMQ25" s="1271"/>
      <c r="AMR25" s="1271"/>
      <c r="AMS25" s="1271"/>
      <c r="AMT25" s="1271"/>
      <c r="AMU25" s="1271"/>
      <c r="AMV25" s="1271"/>
      <c r="AMW25" s="1271"/>
      <c r="AMX25" s="1271"/>
      <c r="AMY25" s="1271"/>
      <c r="AMZ25" s="1271"/>
      <c r="ANA25" s="1271"/>
      <c r="ANB25" s="1271"/>
      <c r="ANC25" s="1271"/>
      <c r="AND25" s="1271"/>
      <c r="ANE25" s="1271"/>
      <c r="ANF25" s="1271"/>
      <c r="ANG25" s="1271"/>
      <c r="ANH25" s="1271"/>
      <c r="ANI25" s="1271"/>
      <c r="ANJ25" s="1271"/>
      <c r="ANK25" s="1271"/>
      <c r="ANL25" s="1271"/>
      <c r="ANM25" s="1271"/>
      <c r="ANN25" s="1271"/>
      <c r="ANO25" s="1271"/>
      <c r="ANP25" s="1271"/>
      <c r="ANQ25" s="1271"/>
      <c r="ANR25" s="1271"/>
      <c r="ANS25" s="1271"/>
      <c r="ANT25" s="1271"/>
      <c r="ANU25" s="1271"/>
      <c r="ANV25" s="1271"/>
      <c r="ANW25" s="1271"/>
      <c r="ANX25" s="1271"/>
      <c r="ANY25" s="1271"/>
      <c r="ANZ25" s="1271"/>
      <c r="AOA25" s="1271"/>
      <c r="AOB25" s="1271"/>
      <c r="AOC25" s="1271"/>
      <c r="AOD25" s="1271"/>
      <c r="AOE25" s="1271"/>
      <c r="AOF25" s="1271"/>
      <c r="AOG25" s="1271"/>
      <c r="AOH25" s="1271"/>
      <c r="AOI25" s="1271"/>
      <c r="AOJ25" s="1271"/>
      <c r="AOK25" s="1271"/>
      <c r="AOL25" s="1271"/>
      <c r="AOM25" s="1271"/>
      <c r="AON25" s="1271"/>
      <c r="AOO25" s="1271"/>
      <c r="AOP25" s="1271"/>
      <c r="AOQ25" s="1271"/>
      <c r="AOR25" s="1271"/>
      <c r="AOS25" s="1271"/>
      <c r="AOT25" s="1271"/>
      <c r="AOU25" s="1271"/>
      <c r="AOV25" s="1271"/>
      <c r="AOW25" s="1271"/>
      <c r="AOX25" s="1271"/>
      <c r="AOY25" s="1271"/>
      <c r="AOZ25" s="1271"/>
      <c r="APA25" s="1271"/>
      <c r="APB25" s="1271"/>
      <c r="APC25" s="1271"/>
      <c r="APD25" s="1271"/>
      <c r="APE25" s="1271"/>
      <c r="APF25" s="1271"/>
      <c r="APG25" s="1271"/>
      <c r="APH25" s="1271"/>
      <c r="API25" s="1271"/>
      <c r="APJ25" s="1271"/>
      <c r="APK25" s="1271"/>
      <c r="APL25" s="1271"/>
      <c r="APM25" s="1271"/>
      <c r="APN25" s="1271"/>
      <c r="APO25" s="1271"/>
      <c r="APP25" s="1271"/>
      <c r="APQ25" s="1271"/>
      <c r="APR25" s="1271"/>
      <c r="APS25" s="1271"/>
      <c r="APT25" s="1271"/>
      <c r="APU25" s="1271"/>
      <c r="APV25" s="1271"/>
      <c r="APW25" s="1271"/>
      <c r="APX25" s="1271"/>
      <c r="APY25" s="1271"/>
      <c r="APZ25" s="1271"/>
      <c r="AQA25" s="1271"/>
      <c r="AQB25" s="1271"/>
      <c r="AQC25" s="1271"/>
      <c r="AQD25" s="1271"/>
      <c r="AQE25" s="1271"/>
      <c r="AQF25" s="1271"/>
      <c r="AQG25" s="1271"/>
      <c r="AQH25" s="1271"/>
      <c r="AQI25" s="1271"/>
      <c r="AQJ25" s="1271"/>
      <c r="AQK25" s="1271"/>
      <c r="AQL25" s="1271"/>
      <c r="AQM25" s="1271"/>
      <c r="AQN25" s="1271"/>
      <c r="AQO25" s="1271"/>
      <c r="AQP25" s="1271"/>
      <c r="AQQ25" s="1271"/>
      <c r="AQR25" s="1271"/>
      <c r="AQS25" s="1271"/>
      <c r="AQT25" s="1271"/>
      <c r="AQU25" s="1271"/>
      <c r="AQV25" s="1271"/>
      <c r="AQW25" s="1271"/>
      <c r="AQX25" s="1271"/>
      <c r="AQY25" s="1271"/>
      <c r="AQZ25" s="1271"/>
      <c r="ARA25" s="1271"/>
      <c r="ARB25" s="1271"/>
      <c r="ARC25" s="1271"/>
      <c r="ARD25" s="1271"/>
      <c r="ARE25" s="1271"/>
      <c r="ARF25" s="1271"/>
      <c r="ARG25" s="1271"/>
      <c r="ARH25" s="1271"/>
      <c r="ARI25" s="1271"/>
      <c r="ARJ25" s="1271"/>
      <c r="ARK25" s="1271"/>
      <c r="ARL25" s="1271"/>
      <c r="ARM25" s="1271"/>
      <c r="ARN25" s="1271"/>
      <c r="ARO25" s="1271"/>
      <c r="ARP25" s="1271"/>
      <c r="ARQ25" s="1271"/>
      <c r="ARR25" s="1271"/>
      <c r="ARS25" s="1271"/>
      <c r="ART25" s="1271"/>
      <c r="ARU25" s="1271"/>
      <c r="ARV25" s="1271"/>
      <c r="ARW25" s="1271"/>
      <c r="ARX25" s="1271"/>
      <c r="ARY25" s="1271"/>
      <c r="ARZ25" s="1271"/>
      <c r="ASA25" s="1271"/>
      <c r="ASB25" s="1271"/>
      <c r="ASC25" s="1271"/>
      <c r="ASD25" s="1271"/>
      <c r="ASE25" s="1271"/>
      <c r="ASF25" s="1271"/>
      <c r="ASG25" s="1271"/>
      <c r="ASH25" s="1271"/>
      <c r="ASI25" s="1271"/>
      <c r="ASJ25" s="1271"/>
      <c r="ASK25" s="1271"/>
      <c r="ASL25" s="1271"/>
      <c r="ASM25" s="1271"/>
      <c r="ASN25" s="1271"/>
      <c r="ASO25" s="1271"/>
      <c r="ASP25" s="1271"/>
      <c r="ASQ25" s="1271"/>
      <c r="ASR25" s="1271"/>
      <c r="ASS25" s="1271"/>
      <c r="AST25" s="1271"/>
      <c r="ASU25" s="1271"/>
      <c r="ASV25" s="1271"/>
      <c r="ASW25" s="1271"/>
      <c r="ASX25" s="1271"/>
      <c r="ASY25" s="1271"/>
      <c r="ASZ25" s="1271"/>
      <c r="ATA25" s="1271"/>
      <c r="ATB25" s="1271"/>
      <c r="ATC25" s="1271"/>
      <c r="ATD25" s="1271"/>
      <c r="ATE25" s="1271"/>
      <c r="ATF25" s="1271"/>
      <c r="ATG25" s="1271"/>
      <c r="ATH25" s="1271"/>
      <c r="ATI25" s="1271"/>
      <c r="ATJ25" s="1271"/>
      <c r="ATK25" s="1271"/>
      <c r="ATL25" s="1271"/>
      <c r="ATM25" s="1271"/>
      <c r="ATN25" s="1271"/>
      <c r="ATO25" s="1271"/>
      <c r="ATP25" s="1271"/>
      <c r="ATQ25" s="1271"/>
      <c r="ATR25" s="1271"/>
      <c r="ATS25" s="1271"/>
      <c r="ATT25" s="1271"/>
      <c r="ATU25" s="1271"/>
      <c r="ATV25" s="1271"/>
      <c r="ATW25" s="1271"/>
      <c r="ATX25" s="1271"/>
      <c r="ATY25" s="1271"/>
      <c r="ATZ25" s="1271"/>
      <c r="AUA25" s="1271"/>
      <c r="AUB25" s="1271"/>
      <c r="AUC25" s="1271"/>
      <c r="AUD25" s="1271"/>
      <c r="AUE25" s="1271"/>
      <c r="AUF25" s="1271"/>
      <c r="AUG25" s="1271"/>
      <c r="AUH25" s="1271"/>
      <c r="AUI25" s="1271"/>
      <c r="AUJ25" s="1271"/>
      <c r="AUK25" s="1271"/>
      <c r="AUL25" s="1271"/>
      <c r="AUM25" s="1271"/>
      <c r="AUN25" s="1271"/>
      <c r="AUO25" s="1271"/>
      <c r="AUP25" s="1271"/>
      <c r="AUQ25" s="1271"/>
      <c r="AUR25" s="1271"/>
      <c r="AUS25" s="1271"/>
      <c r="AUT25" s="1271"/>
      <c r="AUU25" s="1271"/>
      <c r="AUV25" s="1271"/>
      <c r="AUW25" s="1271"/>
      <c r="AUX25" s="1271"/>
      <c r="AUY25" s="1271"/>
      <c r="AUZ25" s="1271"/>
      <c r="AVA25" s="1271"/>
      <c r="AVB25" s="1271"/>
      <c r="AVC25" s="1271"/>
      <c r="AVD25" s="1271"/>
      <c r="AVE25" s="1271"/>
      <c r="AVF25" s="1271"/>
      <c r="AVG25" s="1271"/>
      <c r="AVH25" s="1271"/>
      <c r="AVI25" s="1271"/>
      <c r="AVJ25" s="1271"/>
      <c r="AVK25" s="1271"/>
      <c r="AVL25" s="1271"/>
      <c r="AVM25" s="1271"/>
      <c r="AVN25" s="1271"/>
      <c r="AVO25" s="1271"/>
      <c r="AVP25" s="1271"/>
      <c r="AVQ25" s="1271"/>
      <c r="AVR25" s="1271"/>
      <c r="AVS25" s="1271"/>
      <c r="AVT25" s="1271"/>
      <c r="AVU25" s="1271"/>
      <c r="AVV25" s="1271"/>
      <c r="AVW25" s="1271"/>
      <c r="AVX25" s="1271"/>
      <c r="AVY25" s="1271"/>
      <c r="AVZ25" s="1271"/>
      <c r="AWA25" s="1271"/>
      <c r="AWB25" s="1271"/>
      <c r="AWC25" s="1271"/>
      <c r="AWD25" s="1271"/>
      <c r="AWE25" s="1271"/>
      <c r="AWF25" s="1271"/>
      <c r="AWG25" s="1271"/>
      <c r="AWH25" s="1271"/>
      <c r="AWI25" s="1271"/>
      <c r="AWJ25" s="1271"/>
      <c r="AWK25" s="1271"/>
      <c r="AWL25" s="1271"/>
      <c r="AWM25" s="1271"/>
      <c r="AWN25" s="1271"/>
      <c r="AWO25" s="1271"/>
      <c r="AWP25" s="1271"/>
      <c r="AWQ25" s="1271"/>
      <c r="AWR25" s="1271"/>
      <c r="AWS25" s="1271"/>
      <c r="AWT25" s="1271"/>
      <c r="AWU25" s="1271"/>
      <c r="AWV25" s="1271"/>
      <c r="AWW25" s="1271"/>
      <c r="AWX25" s="1271"/>
      <c r="AWY25" s="1271"/>
      <c r="AWZ25" s="1271"/>
      <c r="AXA25" s="1271"/>
      <c r="AXB25" s="1271"/>
      <c r="AXC25" s="1271"/>
      <c r="AXD25" s="1271"/>
      <c r="AXE25" s="1271"/>
      <c r="AXF25" s="1271"/>
      <c r="AXG25" s="1271"/>
      <c r="AXH25" s="1271"/>
      <c r="AXI25" s="1271"/>
      <c r="AXJ25" s="1271"/>
      <c r="AXK25" s="1271"/>
      <c r="AXL25" s="1271"/>
      <c r="AXM25" s="1271"/>
      <c r="AXN25" s="1271"/>
      <c r="AXO25" s="1271"/>
      <c r="AXP25" s="1271"/>
      <c r="AXQ25" s="1271"/>
      <c r="AXR25" s="1271"/>
      <c r="AXS25" s="1271"/>
      <c r="AXT25" s="1271"/>
      <c r="AXU25" s="1271"/>
      <c r="AXV25" s="1271"/>
      <c r="AXW25" s="1271"/>
      <c r="AXX25" s="1271"/>
      <c r="AXY25" s="1271"/>
      <c r="AXZ25" s="1271"/>
      <c r="AYA25" s="1271"/>
      <c r="AYB25" s="1271"/>
      <c r="AYC25" s="1271"/>
      <c r="AYD25" s="1271"/>
      <c r="AYE25" s="1271"/>
      <c r="AYF25" s="1271"/>
      <c r="AYG25" s="1271"/>
      <c r="AYH25" s="1271"/>
      <c r="AYI25" s="1271"/>
      <c r="AYJ25" s="1271"/>
      <c r="AYK25" s="1271"/>
      <c r="AYL25" s="1271"/>
      <c r="AYM25" s="1271"/>
      <c r="AYN25" s="1271"/>
      <c r="AYO25" s="1271"/>
      <c r="AYP25" s="1271"/>
      <c r="AYQ25" s="1271"/>
      <c r="AYR25" s="1271"/>
      <c r="AYS25" s="1271"/>
      <c r="AYT25" s="1271"/>
      <c r="AYU25" s="1271"/>
      <c r="AYV25" s="1271"/>
      <c r="AYW25" s="1271"/>
      <c r="AYX25" s="1271"/>
      <c r="AYY25" s="1271"/>
      <c r="AYZ25" s="1271"/>
      <c r="AZA25" s="1271"/>
      <c r="AZB25" s="1271"/>
      <c r="AZC25" s="1271"/>
      <c r="AZD25" s="1271"/>
      <c r="AZE25" s="1271"/>
      <c r="AZF25" s="1271"/>
      <c r="AZG25" s="1271"/>
      <c r="AZH25" s="1271"/>
      <c r="AZI25" s="1271"/>
      <c r="AZJ25" s="1271"/>
      <c r="AZK25" s="1271"/>
      <c r="AZL25" s="1271"/>
      <c r="AZM25" s="1271"/>
      <c r="AZN25" s="1271"/>
      <c r="AZO25" s="1271"/>
      <c r="AZP25" s="1271"/>
      <c r="AZQ25" s="1271"/>
      <c r="AZR25" s="1271"/>
      <c r="AZS25" s="1271"/>
      <c r="AZT25" s="1271"/>
      <c r="AZU25" s="1271"/>
      <c r="AZV25" s="1271"/>
      <c r="AZW25" s="1271"/>
      <c r="AZX25" s="1271"/>
      <c r="AZY25" s="1271"/>
      <c r="AZZ25" s="1271"/>
      <c r="BAA25" s="1271"/>
      <c r="BAB25" s="1271"/>
      <c r="BAC25" s="1271"/>
      <c r="BAD25" s="1271"/>
      <c r="BAE25" s="1271"/>
      <c r="BAF25" s="1271"/>
      <c r="BAG25" s="1271"/>
      <c r="BAH25" s="1271"/>
      <c r="BAI25" s="1271"/>
      <c r="BAJ25" s="1271"/>
      <c r="BAK25" s="1271"/>
      <c r="BAL25" s="1271"/>
      <c r="BAM25" s="1271"/>
      <c r="BAN25" s="1271"/>
      <c r="BAO25" s="1271"/>
      <c r="BAP25" s="1271"/>
      <c r="BAQ25" s="1271"/>
      <c r="BAR25" s="1271"/>
      <c r="BAS25" s="1271"/>
      <c r="BAT25" s="1271"/>
      <c r="BAU25" s="1271"/>
      <c r="BAV25" s="1271"/>
      <c r="BAW25" s="1271"/>
      <c r="BAX25" s="1271"/>
      <c r="BAY25" s="1271"/>
      <c r="BAZ25" s="1271"/>
      <c r="BBA25" s="1271"/>
      <c r="BBB25" s="1271"/>
      <c r="BBC25" s="1271"/>
      <c r="BBD25" s="1271"/>
      <c r="BBE25" s="1271"/>
      <c r="BBF25" s="1271"/>
      <c r="BBG25" s="1271"/>
      <c r="BBH25" s="1271"/>
      <c r="BBI25" s="1271"/>
      <c r="BBJ25" s="1271"/>
      <c r="BBK25" s="1271"/>
      <c r="BBL25" s="1271"/>
      <c r="BBM25" s="1271"/>
      <c r="BBN25" s="1271"/>
      <c r="BBO25" s="1271"/>
      <c r="BBP25" s="1271"/>
      <c r="BBQ25" s="1271"/>
      <c r="BBR25" s="1271"/>
      <c r="BBS25" s="1271"/>
      <c r="BBT25" s="1271"/>
      <c r="BBU25" s="1271"/>
      <c r="BBV25" s="1271"/>
      <c r="BBW25" s="1271"/>
      <c r="BBX25" s="1271"/>
      <c r="BBY25" s="1271"/>
      <c r="BBZ25" s="1271"/>
      <c r="BCA25" s="1271"/>
      <c r="BCB25" s="1271"/>
      <c r="BCC25" s="1271"/>
      <c r="BCD25" s="1271"/>
      <c r="BCE25" s="1271"/>
      <c r="BCF25" s="1271"/>
      <c r="BCG25" s="1271"/>
      <c r="BCH25" s="1271"/>
      <c r="BCI25" s="1271"/>
      <c r="BCJ25" s="1271"/>
      <c r="BCK25" s="1271"/>
      <c r="BCL25" s="1271"/>
      <c r="BCM25" s="1271"/>
      <c r="BCN25" s="1271"/>
      <c r="BCO25" s="1271"/>
      <c r="BCP25" s="1271"/>
      <c r="BCQ25" s="1271"/>
      <c r="BCR25" s="1271"/>
      <c r="BCS25" s="1271"/>
      <c r="BCT25" s="1271"/>
      <c r="BCU25" s="1271"/>
      <c r="BCV25" s="1271"/>
      <c r="BCW25" s="1271"/>
      <c r="BCX25" s="1271"/>
      <c r="BCY25" s="1271"/>
      <c r="BCZ25" s="1271"/>
      <c r="BDA25" s="1271"/>
      <c r="BDB25" s="1271"/>
      <c r="BDC25" s="1271"/>
      <c r="BDD25" s="1271"/>
      <c r="BDE25" s="1271"/>
      <c r="BDF25" s="1271"/>
      <c r="BDG25" s="1271"/>
      <c r="BDH25" s="1271"/>
      <c r="BDI25" s="1271"/>
      <c r="BDJ25" s="1271"/>
      <c r="BDK25" s="1271"/>
      <c r="BDL25" s="1271"/>
      <c r="BDM25" s="1271"/>
      <c r="BDN25" s="1271"/>
      <c r="BDO25" s="1271"/>
      <c r="BDP25" s="1271"/>
      <c r="BDQ25" s="1271"/>
      <c r="BDR25" s="1271"/>
      <c r="BDS25" s="1271"/>
      <c r="BDT25" s="1271"/>
      <c r="BDU25" s="1271"/>
      <c r="BDV25" s="1271"/>
      <c r="BDW25" s="1271"/>
      <c r="BDX25" s="1271"/>
      <c r="BDY25" s="1271"/>
      <c r="BDZ25" s="1271"/>
      <c r="BEA25" s="1271"/>
      <c r="BEB25" s="1271"/>
      <c r="BEC25" s="1271"/>
      <c r="BED25" s="1271"/>
      <c r="BEE25" s="1271"/>
      <c r="BEF25" s="1271"/>
      <c r="BEG25" s="1271"/>
      <c r="BEH25" s="1271"/>
      <c r="BEI25" s="1271"/>
      <c r="BEJ25" s="1271"/>
      <c r="BEK25" s="1271"/>
      <c r="BEL25" s="1271"/>
      <c r="BEM25" s="1271"/>
      <c r="BEN25" s="1271"/>
      <c r="BEO25" s="1271"/>
      <c r="BEP25" s="1271"/>
      <c r="BEQ25" s="1271"/>
      <c r="BER25" s="1271"/>
      <c r="BES25" s="1271"/>
      <c r="BET25" s="1271"/>
      <c r="BEU25" s="1271"/>
      <c r="BEV25" s="1271"/>
      <c r="BEW25" s="1271"/>
      <c r="BEX25" s="1271"/>
      <c r="BEY25" s="1271"/>
      <c r="BEZ25" s="1271"/>
      <c r="BFA25" s="1271"/>
      <c r="BFB25" s="1271"/>
      <c r="BFC25" s="1271"/>
      <c r="BFD25" s="1271"/>
      <c r="BFE25" s="1271"/>
      <c r="BFF25" s="1271"/>
      <c r="BFG25" s="1271"/>
      <c r="BFH25" s="1271"/>
      <c r="BFI25" s="1271"/>
      <c r="BFJ25" s="1271"/>
      <c r="BFK25" s="1271"/>
      <c r="BFL25" s="1271"/>
      <c r="BFM25" s="1271"/>
      <c r="BFN25" s="1271"/>
      <c r="BFO25" s="1271"/>
      <c r="BFP25" s="1271"/>
      <c r="BFQ25" s="1271"/>
      <c r="BFR25" s="1271"/>
      <c r="BFS25" s="1271"/>
      <c r="BFT25" s="1271"/>
      <c r="BFU25" s="1271"/>
      <c r="BFV25" s="1271"/>
      <c r="BFW25" s="1271"/>
      <c r="BFX25" s="1271"/>
      <c r="BFY25" s="1271"/>
      <c r="BFZ25" s="1271"/>
      <c r="BGA25" s="1271"/>
      <c r="BGB25" s="1271"/>
      <c r="BGC25" s="1271"/>
      <c r="BGD25" s="1271"/>
      <c r="BGE25" s="1271"/>
      <c r="BGF25" s="1271"/>
      <c r="BGG25" s="1271"/>
      <c r="BGH25" s="1271"/>
      <c r="BGI25" s="1271"/>
      <c r="BGJ25" s="1271"/>
      <c r="BGK25" s="1271"/>
      <c r="BGL25" s="1271"/>
      <c r="BGM25" s="1271"/>
      <c r="BGN25" s="1271"/>
      <c r="BGO25" s="1271"/>
      <c r="BGP25" s="1271"/>
      <c r="BGQ25" s="1271"/>
      <c r="BGR25" s="1271"/>
      <c r="BGS25" s="1271"/>
      <c r="BGT25" s="1271"/>
      <c r="BGU25" s="1271"/>
      <c r="BGV25" s="1271"/>
      <c r="BGW25" s="1271"/>
      <c r="BGX25" s="1271"/>
      <c r="BGY25" s="1271"/>
      <c r="BGZ25" s="1271"/>
      <c r="BHA25" s="1271"/>
      <c r="BHB25" s="1271"/>
      <c r="BHC25" s="1271"/>
      <c r="BHD25" s="1271"/>
      <c r="BHE25" s="1271"/>
      <c r="BHF25" s="1271"/>
      <c r="BHG25" s="1271"/>
      <c r="BHH25" s="1271"/>
      <c r="BHI25" s="1271"/>
      <c r="BHJ25" s="1271"/>
      <c r="BHK25" s="1271"/>
      <c r="BHL25" s="1271"/>
      <c r="BHM25" s="1271"/>
      <c r="BHN25" s="1271"/>
      <c r="BHO25" s="1271"/>
      <c r="BHP25" s="1271"/>
      <c r="BHQ25" s="1271"/>
      <c r="BHR25" s="1271"/>
      <c r="BHS25" s="1271"/>
      <c r="BHT25" s="1271"/>
      <c r="BHU25" s="1271"/>
      <c r="BHV25" s="1271"/>
      <c r="BHW25" s="1271"/>
      <c r="BHX25" s="1271"/>
      <c r="BHY25" s="1271"/>
      <c r="BHZ25" s="1271"/>
      <c r="BIA25" s="1271"/>
      <c r="BIB25" s="1271"/>
      <c r="BIC25" s="1271"/>
      <c r="BID25" s="1271"/>
      <c r="BIE25" s="1271"/>
      <c r="BIF25" s="1271"/>
      <c r="BIG25" s="1271"/>
      <c r="BIH25" s="1271"/>
      <c r="BII25" s="1271"/>
      <c r="BIJ25" s="1271"/>
      <c r="BIK25" s="1271"/>
      <c r="BIL25" s="1271"/>
      <c r="BIM25" s="1271"/>
      <c r="BIN25" s="1271"/>
      <c r="BIO25" s="1271"/>
      <c r="BIP25" s="1271"/>
      <c r="BIQ25" s="1271"/>
      <c r="BIR25" s="1271"/>
      <c r="BIS25" s="1271"/>
      <c r="BIT25" s="1271"/>
      <c r="BIU25" s="1271"/>
      <c r="BIV25" s="1271"/>
      <c r="BIW25" s="1271"/>
      <c r="BIX25" s="1271"/>
      <c r="BIY25" s="1271"/>
      <c r="BIZ25" s="1271"/>
      <c r="BJA25" s="1271"/>
      <c r="BJB25" s="1271"/>
      <c r="BJC25" s="1271"/>
      <c r="BJD25" s="1271"/>
      <c r="BJE25" s="1271"/>
      <c r="BJF25" s="1271"/>
      <c r="BJG25" s="1271"/>
      <c r="BJH25" s="1271"/>
      <c r="BJI25" s="1271"/>
      <c r="BJJ25" s="1271"/>
      <c r="BJK25" s="1271"/>
      <c r="BJL25" s="1271"/>
      <c r="BJM25" s="1271"/>
      <c r="BJN25" s="1271"/>
      <c r="BJO25" s="1271"/>
      <c r="BJP25" s="1271"/>
      <c r="BJQ25" s="1271"/>
      <c r="BJR25" s="1271"/>
      <c r="BJS25" s="1271"/>
      <c r="BJT25" s="1271"/>
      <c r="BJU25" s="1271"/>
      <c r="BJV25" s="1271"/>
      <c r="BJW25" s="1271"/>
      <c r="BJX25" s="1271"/>
      <c r="BJY25" s="1271"/>
      <c r="BJZ25" s="1271"/>
      <c r="BKA25" s="1271"/>
      <c r="BKB25" s="1271"/>
      <c r="BKC25" s="1271"/>
      <c r="BKD25" s="1271"/>
      <c r="BKE25" s="1271"/>
      <c r="BKF25" s="1271"/>
      <c r="BKG25" s="1271"/>
      <c r="BKH25" s="1271"/>
      <c r="BKI25" s="1271"/>
      <c r="BKJ25" s="1271"/>
      <c r="BKK25" s="1271"/>
      <c r="BKL25" s="1271"/>
      <c r="BKM25" s="1271"/>
      <c r="BKN25" s="1271"/>
      <c r="BKO25" s="1271"/>
      <c r="BKP25" s="1271"/>
      <c r="BKQ25" s="1271"/>
      <c r="BKR25" s="1271"/>
      <c r="BKS25" s="1271"/>
      <c r="BKT25" s="1271"/>
      <c r="BKU25" s="1271"/>
      <c r="BKV25" s="1271"/>
      <c r="BKW25" s="1271"/>
      <c r="BKX25" s="1271"/>
      <c r="BKY25" s="1271"/>
      <c r="BKZ25" s="1271"/>
      <c r="BLA25" s="1271"/>
      <c r="BLB25" s="1271"/>
      <c r="BLC25" s="1271"/>
      <c r="BLD25" s="1271"/>
      <c r="BLE25" s="1271"/>
      <c r="BLF25" s="1271"/>
      <c r="BLG25" s="1271"/>
      <c r="BLH25" s="1271"/>
      <c r="BLI25" s="1271"/>
      <c r="BLJ25" s="1271"/>
      <c r="BLK25" s="1271"/>
      <c r="BLL25" s="1271"/>
      <c r="BLM25" s="1271"/>
      <c r="BLN25" s="1271"/>
      <c r="BLO25" s="1271"/>
      <c r="BLP25" s="1271"/>
      <c r="BLQ25" s="1271"/>
      <c r="BLR25" s="1271"/>
      <c r="BLS25" s="1271"/>
      <c r="BLT25" s="1271"/>
      <c r="BLU25" s="1271"/>
      <c r="BLV25" s="1271"/>
      <c r="BLW25" s="1271"/>
      <c r="BLX25" s="1271"/>
      <c r="BLY25" s="1271"/>
      <c r="BLZ25" s="1271"/>
      <c r="BMA25" s="1271"/>
      <c r="BMB25" s="1271"/>
      <c r="BMC25" s="1271"/>
      <c r="BMD25" s="1271"/>
      <c r="BME25" s="1271"/>
      <c r="BMF25" s="1271"/>
      <c r="BMG25" s="1271"/>
      <c r="BMH25" s="1271"/>
      <c r="BMI25" s="1271"/>
      <c r="BMJ25" s="1271"/>
      <c r="BMK25" s="1271"/>
      <c r="BML25" s="1271"/>
      <c r="BMM25" s="1271"/>
      <c r="BMN25" s="1271"/>
      <c r="BMO25" s="1271"/>
      <c r="BMP25" s="1271"/>
      <c r="BMQ25" s="1271"/>
      <c r="BMR25" s="1271"/>
      <c r="BMS25" s="1271"/>
      <c r="BMT25" s="1271"/>
      <c r="BMU25" s="1271"/>
      <c r="BMV25" s="1271"/>
      <c r="BMW25" s="1271"/>
      <c r="BMX25" s="1271"/>
      <c r="BMY25" s="1271"/>
      <c r="BMZ25" s="1271"/>
      <c r="BNA25" s="1271"/>
      <c r="BNB25" s="1271"/>
      <c r="BNC25" s="1271"/>
      <c r="BND25" s="1271"/>
      <c r="BNE25" s="1271"/>
      <c r="BNF25" s="1271"/>
      <c r="BNG25" s="1271"/>
      <c r="BNH25" s="1271"/>
      <c r="BNI25" s="1271"/>
      <c r="BNJ25" s="1271"/>
      <c r="BNK25" s="1271"/>
      <c r="BNL25" s="1271"/>
      <c r="BNM25" s="1271"/>
      <c r="BNN25" s="1271"/>
      <c r="BNO25" s="1271"/>
      <c r="BNP25" s="1271"/>
      <c r="BNQ25" s="1271"/>
      <c r="BNR25" s="1271"/>
      <c r="BNS25" s="1271"/>
      <c r="BNT25" s="1271"/>
      <c r="BNU25" s="1271"/>
      <c r="BNV25" s="1271"/>
      <c r="BNW25" s="1271"/>
      <c r="BNX25" s="1271"/>
      <c r="BNY25" s="1271"/>
      <c r="BNZ25" s="1271"/>
      <c r="BOA25" s="1271"/>
      <c r="BOB25" s="1271"/>
      <c r="BOC25" s="1271"/>
      <c r="BOD25" s="1271"/>
      <c r="BOE25" s="1271"/>
      <c r="BOF25" s="1271"/>
      <c r="BOG25" s="1271"/>
      <c r="BOH25" s="1271"/>
      <c r="BOI25" s="1271"/>
      <c r="BOJ25" s="1271"/>
      <c r="BOK25" s="1271"/>
      <c r="BOL25" s="1271"/>
      <c r="BOM25" s="1271"/>
      <c r="BON25" s="1271"/>
      <c r="BOO25" s="1271"/>
      <c r="BOP25" s="1271"/>
      <c r="BOQ25" s="1271"/>
      <c r="BOR25" s="1271"/>
      <c r="BOS25" s="1271"/>
      <c r="BOT25" s="1271"/>
      <c r="BOU25" s="1271"/>
      <c r="BOV25" s="1271"/>
      <c r="BOW25" s="1271"/>
      <c r="BOX25" s="1271"/>
      <c r="BOY25" s="1271"/>
      <c r="BOZ25" s="1271"/>
      <c r="BPA25" s="1271"/>
      <c r="BPB25" s="1271"/>
      <c r="BPC25" s="1271"/>
      <c r="BPD25" s="1271"/>
      <c r="BPE25" s="1271"/>
      <c r="BPF25" s="1271"/>
      <c r="BPG25" s="1271"/>
      <c r="BPH25" s="1271"/>
      <c r="BPI25" s="1271"/>
      <c r="BPJ25" s="1271"/>
      <c r="BPK25" s="1271"/>
      <c r="BPL25" s="1271"/>
      <c r="BPM25" s="1271"/>
      <c r="BPN25" s="1271"/>
      <c r="BPO25" s="1271"/>
      <c r="BPP25" s="1271"/>
      <c r="BPQ25" s="1271"/>
      <c r="BPR25" s="1271"/>
      <c r="BPS25" s="1271"/>
      <c r="BPT25" s="1271"/>
      <c r="BPU25" s="1271"/>
      <c r="BPV25" s="1271"/>
      <c r="BPW25" s="1271"/>
      <c r="BPX25" s="1271"/>
      <c r="BPY25" s="1271"/>
      <c r="BPZ25" s="1271"/>
      <c r="BQA25" s="1271"/>
      <c r="BQB25" s="1271"/>
      <c r="BQC25" s="1271"/>
      <c r="BQD25" s="1271"/>
      <c r="BQE25" s="1271"/>
      <c r="BQF25" s="1271"/>
      <c r="BQG25" s="1271"/>
      <c r="BQH25" s="1271"/>
      <c r="BQI25" s="1271"/>
      <c r="BQJ25" s="1271"/>
      <c r="BQK25" s="1271"/>
      <c r="BQL25" s="1271"/>
      <c r="BQM25" s="1271"/>
      <c r="BQN25" s="1271"/>
      <c r="BQO25" s="1271"/>
      <c r="BQP25" s="1271"/>
      <c r="BQQ25" s="1271"/>
      <c r="BQR25" s="1271"/>
      <c r="BQS25" s="1271"/>
      <c r="BQT25" s="1271"/>
      <c r="BQU25" s="1271"/>
      <c r="BQV25" s="1271"/>
      <c r="BQW25" s="1271"/>
      <c r="BQX25" s="1271"/>
      <c r="BQY25" s="1271"/>
      <c r="BQZ25" s="1271"/>
      <c r="BRA25" s="1271"/>
      <c r="BRB25" s="1271"/>
      <c r="BRC25" s="1271"/>
      <c r="BRD25" s="1271"/>
      <c r="BRE25" s="1271"/>
      <c r="BRF25" s="1271"/>
      <c r="BRG25" s="1271"/>
      <c r="BRH25" s="1271"/>
      <c r="BRI25" s="1271"/>
      <c r="BRJ25" s="1271"/>
      <c r="BRK25" s="1271"/>
      <c r="BRL25" s="1271"/>
      <c r="BRM25" s="1271"/>
      <c r="BRN25" s="1271"/>
      <c r="BRO25" s="1271"/>
      <c r="BRP25" s="1271"/>
      <c r="BRQ25" s="1271"/>
      <c r="BRR25" s="1271"/>
      <c r="BRS25" s="1271"/>
      <c r="BRT25" s="1271"/>
      <c r="BRU25" s="1271"/>
      <c r="BRV25" s="1271"/>
      <c r="BRW25" s="1271"/>
      <c r="BRX25" s="1271"/>
      <c r="BRY25" s="1271"/>
      <c r="BRZ25" s="1271"/>
      <c r="BSA25" s="1271"/>
      <c r="BSB25" s="1271"/>
      <c r="BSC25" s="1271"/>
      <c r="BSD25" s="1271"/>
      <c r="BSE25" s="1271"/>
      <c r="BSF25" s="1271"/>
      <c r="BSG25" s="1271"/>
      <c r="BSH25" s="1271"/>
      <c r="BSI25" s="1271"/>
      <c r="BSJ25" s="1271"/>
      <c r="BSK25" s="1271"/>
      <c r="BSL25" s="1271"/>
      <c r="BSM25" s="1271"/>
      <c r="BSN25" s="1271"/>
      <c r="BSO25" s="1271"/>
      <c r="BSP25" s="1271"/>
      <c r="BSQ25" s="1271"/>
      <c r="BSR25" s="1271"/>
      <c r="BSS25" s="1271"/>
      <c r="BST25" s="1271"/>
      <c r="BSU25" s="1271"/>
      <c r="BSV25" s="1271"/>
      <c r="BSW25" s="1271"/>
      <c r="BSX25" s="1271"/>
      <c r="BSY25" s="1271"/>
      <c r="BSZ25" s="1271"/>
      <c r="BTA25" s="1271"/>
      <c r="BTB25" s="1271"/>
      <c r="BTC25" s="1271"/>
      <c r="BTD25" s="1271"/>
      <c r="BTE25" s="1271"/>
      <c r="BTF25" s="1271"/>
      <c r="BTG25" s="1271"/>
      <c r="BTH25" s="1271"/>
      <c r="BTI25" s="1271"/>
      <c r="BTJ25" s="1271"/>
      <c r="BTK25" s="1271"/>
      <c r="BTL25" s="1271"/>
      <c r="BTM25" s="1271"/>
      <c r="BTN25" s="1271"/>
      <c r="BTO25" s="1271"/>
      <c r="BTP25" s="1271"/>
      <c r="BTQ25" s="1271"/>
      <c r="BTR25" s="1271"/>
      <c r="BTS25" s="1271"/>
      <c r="BTT25" s="1271"/>
      <c r="BTU25" s="1271"/>
      <c r="BTV25" s="1271"/>
      <c r="BTW25" s="1271"/>
      <c r="BTX25" s="1271"/>
      <c r="BTY25" s="1271"/>
      <c r="BTZ25" s="1271"/>
      <c r="BUA25" s="1271"/>
      <c r="BUB25" s="1271"/>
      <c r="BUC25" s="1271"/>
      <c r="BUD25" s="1271"/>
      <c r="BUE25" s="1271"/>
      <c r="BUF25" s="1271"/>
      <c r="BUG25" s="1271"/>
      <c r="BUH25" s="1271"/>
      <c r="BUI25" s="1271"/>
      <c r="BUJ25" s="1271"/>
      <c r="BUK25" s="1271"/>
      <c r="BUL25" s="1271"/>
      <c r="BUM25" s="1271"/>
      <c r="BUN25" s="1271"/>
      <c r="BUO25" s="1271"/>
      <c r="BUP25" s="1271"/>
      <c r="BUQ25" s="1271"/>
      <c r="BUR25" s="1271"/>
      <c r="BUS25" s="1271"/>
      <c r="BUT25" s="1271"/>
      <c r="BUU25" s="1271"/>
      <c r="BUV25" s="1271"/>
      <c r="BUW25" s="1271"/>
      <c r="BUX25" s="1271"/>
      <c r="BUY25" s="1271"/>
      <c r="BUZ25" s="1271"/>
      <c r="BVA25" s="1271"/>
      <c r="BVB25" s="1271"/>
      <c r="BVC25" s="1271"/>
      <c r="BVD25" s="1271"/>
      <c r="BVE25" s="1271"/>
      <c r="BVF25" s="1271"/>
      <c r="BVG25" s="1271"/>
      <c r="BVH25" s="1271"/>
      <c r="BVI25" s="1271"/>
      <c r="BVJ25" s="1271"/>
      <c r="BVK25" s="1271"/>
      <c r="BVL25" s="1271"/>
      <c r="BVM25" s="1271"/>
      <c r="BVN25" s="1271"/>
      <c r="BVO25" s="1271"/>
      <c r="BVP25" s="1271"/>
      <c r="BVQ25" s="1271"/>
      <c r="BVR25" s="1271"/>
      <c r="BVS25" s="1271"/>
      <c r="BVT25" s="1271"/>
      <c r="BVU25" s="1271"/>
      <c r="BVV25" s="1271"/>
      <c r="BVW25" s="1271"/>
      <c r="BVX25" s="1271"/>
      <c r="BVY25" s="1271"/>
      <c r="BVZ25" s="1271"/>
      <c r="BWA25" s="1271"/>
      <c r="BWB25" s="1271"/>
      <c r="BWC25" s="1271"/>
      <c r="BWD25" s="1271"/>
      <c r="BWE25" s="1271"/>
      <c r="BWF25" s="1271"/>
      <c r="BWG25" s="1271"/>
      <c r="BWH25" s="1271"/>
      <c r="BWI25" s="1271"/>
      <c r="BWJ25" s="1271"/>
      <c r="BWK25" s="1271"/>
      <c r="BWL25" s="1271"/>
      <c r="BWM25" s="1271"/>
      <c r="BWN25" s="1271"/>
      <c r="BWO25" s="1271"/>
      <c r="BWP25" s="1271"/>
      <c r="BWQ25" s="1271"/>
      <c r="BWR25" s="1271"/>
      <c r="BWS25" s="1271"/>
      <c r="BWT25" s="1271"/>
      <c r="BWU25" s="1271"/>
      <c r="BWV25" s="1271"/>
      <c r="BWW25" s="1271"/>
      <c r="BWX25" s="1271"/>
      <c r="BWY25" s="1271"/>
      <c r="BWZ25" s="1271"/>
      <c r="BXA25" s="1271"/>
      <c r="BXB25" s="1271"/>
      <c r="BXC25" s="1271"/>
      <c r="BXD25" s="1271"/>
      <c r="BXE25" s="1271"/>
      <c r="BXF25" s="1271"/>
      <c r="BXG25" s="1271"/>
      <c r="BXH25" s="1271"/>
      <c r="BXI25" s="1271"/>
      <c r="BXJ25" s="1271"/>
      <c r="BXK25" s="1271"/>
      <c r="BXL25" s="1271"/>
      <c r="BXM25" s="1271"/>
      <c r="BXN25" s="1271"/>
      <c r="BXO25" s="1271"/>
      <c r="BXP25" s="1271"/>
      <c r="BXQ25" s="1271"/>
      <c r="BXR25" s="1271"/>
      <c r="BXS25" s="1271"/>
      <c r="BXT25" s="1271"/>
      <c r="BXU25" s="1271"/>
      <c r="BXV25" s="1271"/>
      <c r="BXW25" s="1271"/>
      <c r="BXX25" s="1271"/>
      <c r="BXY25" s="1271"/>
      <c r="BXZ25" s="1271"/>
      <c r="BYA25" s="1271"/>
      <c r="BYB25" s="1271"/>
      <c r="BYC25" s="1271"/>
      <c r="BYD25" s="1271"/>
      <c r="BYE25" s="1271"/>
      <c r="BYF25" s="1271"/>
      <c r="BYG25" s="1271"/>
      <c r="BYH25" s="1271"/>
      <c r="BYI25" s="1271"/>
      <c r="BYJ25" s="1271"/>
      <c r="BYK25" s="1271"/>
      <c r="BYL25" s="1271"/>
      <c r="BYM25" s="1271"/>
      <c r="BYN25" s="1271"/>
      <c r="BYO25" s="1271"/>
      <c r="BYP25" s="1271"/>
      <c r="BYQ25" s="1271"/>
      <c r="BYR25" s="1271"/>
      <c r="BYS25" s="1271"/>
      <c r="BYT25" s="1271"/>
      <c r="BYU25" s="1271"/>
      <c r="BYV25" s="1271"/>
      <c r="BYW25" s="1271"/>
      <c r="BYX25" s="1271"/>
      <c r="BYY25" s="1271"/>
      <c r="BYZ25" s="1271"/>
      <c r="BZA25" s="1271"/>
      <c r="BZB25" s="1271"/>
      <c r="BZC25" s="1271"/>
      <c r="BZD25" s="1271"/>
      <c r="BZE25" s="1271"/>
      <c r="BZF25" s="1271"/>
      <c r="BZG25" s="1271"/>
      <c r="BZH25" s="1271"/>
      <c r="BZI25" s="1271"/>
      <c r="BZJ25" s="1271"/>
      <c r="BZK25" s="1271"/>
      <c r="BZL25" s="1271"/>
      <c r="BZM25" s="1271"/>
      <c r="BZN25" s="1271"/>
      <c r="BZO25" s="1271"/>
      <c r="BZP25" s="1271"/>
      <c r="BZQ25" s="1271"/>
      <c r="BZR25" s="1271"/>
      <c r="BZS25" s="1271"/>
      <c r="BZT25" s="1271"/>
      <c r="BZU25" s="1271"/>
      <c r="BZV25" s="1271"/>
      <c r="BZW25" s="1271"/>
      <c r="BZX25" s="1271"/>
      <c r="BZY25" s="1271"/>
      <c r="BZZ25" s="1271"/>
      <c r="CAA25" s="1271"/>
      <c r="CAB25" s="1271"/>
      <c r="CAC25" s="1271"/>
      <c r="CAD25" s="1271"/>
      <c r="CAE25" s="1271"/>
      <c r="CAF25" s="1271"/>
      <c r="CAG25" s="1271"/>
      <c r="CAH25" s="1271"/>
      <c r="CAI25" s="1271"/>
      <c r="CAJ25" s="1271"/>
      <c r="CAK25" s="1271"/>
      <c r="CAL25" s="1271"/>
      <c r="CAM25" s="1271"/>
      <c r="CAN25" s="1271"/>
      <c r="CAO25" s="1271"/>
      <c r="CAP25" s="1271"/>
      <c r="CAQ25" s="1271"/>
      <c r="CAR25" s="1271"/>
      <c r="CAS25" s="1271"/>
      <c r="CAT25" s="1271"/>
      <c r="CAU25" s="1271"/>
      <c r="CAV25" s="1271"/>
      <c r="CAW25" s="1271"/>
      <c r="CAX25" s="1271"/>
      <c r="CAY25" s="1271"/>
      <c r="CAZ25" s="1271"/>
      <c r="CBA25" s="1271"/>
      <c r="CBB25" s="1271"/>
      <c r="CBC25" s="1271"/>
      <c r="CBD25" s="1271"/>
      <c r="CBE25" s="1271"/>
      <c r="CBF25" s="1271"/>
      <c r="CBG25" s="1271"/>
      <c r="CBH25" s="1271"/>
      <c r="CBI25" s="1271"/>
      <c r="CBJ25" s="1271"/>
      <c r="CBK25" s="1271"/>
      <c r="CBL25" s="1271"/>
      <c r="CBM25" s="1271"/>
      <c r="CBN25" s="1271"/>
      <c r="CBO25" s="1271"/>
      <c r="CBP25" s="1271"/>
      <c r="CBQ25" s="1271"/>
      <c r="CBR25" s="1271"/>
      <c r="CBS25" s="1271"/>
      <c r="CBT25" s="1271"/>
      <c r="CBU25" s="1271"/>
      <c r="CBV25" s="1271"/>
      <c r="CBW25" s="1271"/>
      <c r="CBX25" s="1271"/>
      <c r="CBY25" s="1271"/>
      <c r="CBZ25" s="1271"/>
      <c r="CCA25" s="1271"/>
      <c r="CCB25" s="1271"/>
      <c r="CCC25" s="1271"/>
      <c r="CCD25" s="1271"/>
      <c r="CCE25" s="1271"/>
      <c r="CCF25" s="1271"/>
      <c r="CCG25" s="1271"/>
      <c r="CCH25" s="1271"/>
      <c r="CCI25" s="1271"/>
      <c r="CCJ25" s="1271"/>
      <c r="CCK25" s="1271"/>
      <c r="CCL25" s="1271"/>
      <c r="CCM25" s="1271"/>
      <c r="CCN25" s="1271"/>
      <c r="CCO25" s="1271"/>
      <c r="CCP25" s="1271"/>
      <c r="CCQ25" s="1271"/>
      <c r="CCR25" s="1271"/>
      <c r="CCS25" s="1271"/>
      <c r="CCT25" s="1271"/>
      <c r="CCU25" s="1271"/>
      <c r="CCV25" s="1271"/>
      <c r="CCW25" s="1271"/>
      <c r="CCX25" s="1271"/>
      <c r="CCY25" s="1271"/>
      <c r="CCZ25" s="1271"/>
      <c r="CDA25" s="1271"/>
      <c r="CDB25" s="1271"/>
      <c r="CDC25" s="1271"/>
      <c r="CDD25" s="1271"/>
      <c r="CDE25" s="1271"/>
      <c r="CDF25" s="1271"/>
      <c r="CDG25" s="1271"/>
      <c r="CDH25" s="1271"/>
      <c r="CDI25" s="1271"/>
      <c r="CDJ25" s="1271"/>
      <c r="CDK25" s="1271"/>
      <c r="CDL25" s="1271"/>
      <c r="CDM25" s="1271"/>
      <c r="CDN25" s="1271"/>
      <c r="CDO25" s="1271"/>
      <c r="CDP25" s="1271"/>
      <c r="CDQ25" s="1271"/>
      <c r="CDR25" s="1271"/>
      <c r="CDS25" s="1271"/>
      <c r="CDT25" s="1271"/>
      <c r="CDU25" s="1271"/>
      <c r="CDV25" s="1271"/>
      <c r="CDW25" s="1271"/>
      <c r="CDX25" s="1271"/>
      <c r="CDY25" s="1271"/>
      <c r="CDZ25" s="1271"/>
      <c r="CEA25" s="1271"/>
      <c r="CEB25" s="1271"/>
      <c r="CEC25" s="1271"/>
      <c r="CED25" s="1271"/>
      <c r="CEE25" s="1271"/>
      <c r="CEF25" s="1271"/>
      <c r="CEG25" s="1271"/>
      <c r="CEH25" s="1271"/>
      <c r="CEI25" s="1271"/>
      <c r="CEJ25" s="1271"/>
      <c r="CEK25" s="1271"/>
      <c r="CEL25" s="1271"/>
      <c r="CEM25" s="1271"/>
      <c r="CEN25" s="1271"/>
      <c r="CEO25" s="1271"/>
      <c r="CEP25" s="1271"/>
      <c r="CEQ25" s="1271"/>
      <c r="CER25" s="1271"/>
      <c r="CES25" s="1271"/>
      <c r="CET25" s="1271"/>
      <c r="CEU25" s="1271"/>
      <c r="CEV25" s="1271"/>
      <c r="CEW25" s="1271"/>
      <c r="CEX25" s="1271"/>
      <c r="CEY25" s="1271"/>
      <c r="CEZ25" s="1271"/>
      <c r="CFA25" s="1271"/>
      <c r="CFB25" s="1271"/>
      <c r="CFC25" s="1271"/>
      <c r="CFD25" s="1271"/>
      <c r="CFE25" s="1271"/>
      <c r="CFF25" s="1271"/>
      <c r="CFG25" s="1271"/>
      <c r="CFH25" s="1271"/>
      <c r="CFI25" s="1271"/>
      <c r="CFJ25" s="1271"/>
      <c r="CFK25" s="1271"/>
      <c r="CFL25" s="1271"/>
      <c r="CFM25" s="1271"/>
      <c r="CFN25" s="1271"/>
      <c r="CFO25" s="1271"/>
      <c r="CFP25" s="1271"/>
      <c r="CFQ25" s="1271"/>
      <c r="CFR25" s="1271"/>
      <c r="CFS25" s="1271"/>
      <c r="CFT25" s="1271"/>
      <c r="CFU25" s="1271"/>
      <c r="CFV25" s="1271"/>
      <c r="CFW25" s="1271"/>
      <c r="CFX25" s="1271"/>
      <c r="CFY25" s="1271"/>
      <c r="CFZ25" s="1271"/>
      <c r="CGA25" s="1271"/>
      <c r="CGB25" s="1271"/>
      <c r="CGC25" s="1271"/>
      <c r="CGD25" s="1271"/>
      <c r="CGE25" s="1271"/>
      <c r="CGF25" s="1271"/>
      <c r="CGG25" s="1271"/>
      <c r="CGH25" s="1271"/>
      <c r="CGI25" s="1271"/>
      <c r="CGJ25" s="1271"/>
      <c r="CGK25" s="1271"/>
      <c r="CGL25" s="1271"/>
      <c r="CGM25" s="1271"/>
      <c r="CGN25" s="1271"/>
      <c r="CGO25" s="1271"/>
      <c r="CGP25" s="1271"/>
      <c r="CGQ25" s="1271"/>
      <c r="CGR25" s="1271"/>
      <c r="CGS25" s="1271"/>
      <c r="CGT25" s="1271"/>
      <c r="CGU25" s="1271"/>
      <c r="CGV25" s="1271"/>
      <c r="CGW25" s="1271"/>
      <c r="CGX25" s="1271"/>
      <c r="CGY25" s="1271"/>
      <c r="CGZ25" s="1271"/>
      <c r="CHA25" s="1271"/>
      <c r="CHB25" s="1271"/>
      <c r="CHC25" s="1271"/>
      <c r="CHD25" s="1271"/>
      <c r="CHE25" s="1271"/>
      <c r="CHF25" s="1271"/>
      <c r="CHG25" s="1271"/>
      <c r="CHH25" s="1271"/>
      <c r="CHI25" s="1271"/>
      <c r="CHJ25" s="1271"/>
      <c r="CHK25" s="1271"/>
      <c r="CHL25" s="1271"/>
      <c r="CHM25" s="1271"/>
      <c r="CHN25" s="1271"/>
      <c r="CHO25" s="1271"/>
      <c r="CHP25" s="1271"/>
      <c r="CHQ25" s="1271"/>
      <c r="CHR25" s="1271"/>
      <c r="CHS25" s="1271"/>
      <c r="CHT25" s="1271"/>
      <c r="CHU25" s="1271"/>
      <c r="CHV25" s="1271"/>
      <c r="CHW25" s="1271"/>
      <c r="CHX25" s="1271"/>
      <c r="CHY25" s="1271"/>
      <c r="CHZ25" s="1271"/>
      <c r="CIA25" s="1271"/>
      <c r="CIB25" s="1271"/>
      <c r="CIC25" s="1271"/>
      <c r="CID25" s="1271"/>
      <c r="CIE25" s="1271"/>
      <c r="CIF25" s="1271"/>
      <c r="CIG25" s="1271"/>
      <c r="CIH25" s="1271"/>
      <c r="CII25" s="1271"/>
      <c r="CIJ25" s="1271"/>
      <c r="CIK25" s="1271"/>
      <c r="CIL25" s="1271"/>
      <c r="CIM25" s="1271"/>
      <c r="CIN25" s="1271"/>
      <c r="CIO25" s="1271"/>
      <c r="CIP25" s="1271"/>
      <c r="CIQ25" s="1271"/>
      <c r="CIR25" s="1271"/>
      <c r="CIS25" s="1271"/>
      <c r="CIT25" s="1271"/>
      <c r="CIU25" s="1271"/>
      <c r="CIV25" s="1271"/>
      <c r="CIW25" s="1271"/>
      <c r="CIX25" s="1271"/>
      <c r="CIY25" s="1271"/>
      <c r="CIZ25" s="1271"/>
      <c r="CJA25" s="1271"/>
      <c r="CJB25" s="1271"/>
      <c r="CJC25" s="1271"/>
      <c r="CJD25" s="1271"/>
      <c r="CJE25" s="1271"/>
      <c r="CJF25" s="1271"/>
      <c r="CJG25" s="1271"/>
      <c r="CJH25" s="1271"/>
      <c r="CJI25" s="1271"/>
      <c r="CJJ25" s="1271"/>
      <c r="CJK25" s="1271"/>
      <c r="CJL25" s="1271"/>
      <c r="CJM25" s="1271"/>
      <c r="CJN25" s="1271"/>
      <c r="CJO25" s="1271"/>
      <c r="CJP25" s="1271"/>
      <c r="CJQ25" s="1271"/>
      <c r="CJR25" s="1271"/>
      <c r="CJS25" s="1271"/>
      <c r="CJT25" s="1271"/>
      <c r="CJU25" s="1271"/>
      <c r="CJV25" s="1271"/>
      <c r="CJW25" s="1271"/>
      <c r="CJX25" s="1271"/>
      <c r="CJY25" s="1271"/>
      <c r="CJZ25" s="1271"/>
      <c r="CKA25" s="1271"/>
      <c r="CKB25" s="1271"/>
      <c r="CKC25" s="1271"/>
      <c r="CKD25" s="1271"/>
      <c r="CKE25" s="1271"/>
      <c r="CKF25" s="1271"/>
      <c r="CKG25" s="1271"/>
      <c r="CKH25" s="1271"/>
      <c r="CKI25" s="1271"/>
      <c r="CKJ25" s="1271"/>
      <c r="CKK25" s="1271"/>
      <c r="CKL25" s="1271"/>
      <c r="CKM25" s="1271"/>
      <c r="CKN25" s="1271"/>
      <c r="CKO25" s="1271"/>
      <c r="CKP25" s="1271"/>
      <c r="CKQ25" s="1271"/>
      <c r="CKR25" s="1271"/>
      <c r="CKS25" s="1271"/>
      <c r="CKT25" s="1271"/>
      <c r="CKU25" s="1271"/>
      <c r="CKV25" s="1271"/>
      <c r="CKW25" s="1271"/>
      <c r="CKX25" s="1271"/>
      <c r="CKY25" s="1271"/>
      <c r="CKZ25" s="1271"/>
      <c r="CLA25" s="1271"/>
      <c r="CLB25" s="1271"/>
      <c r="CLC25" s="1271"/>
      <c r="CLD25" s="1271"/>
      <c r="CLE25" s="1271"/>
      <c r="CLF25" s="1271"/>
      <c r="CLG25" s="1271"/>
      <c r="CLH25" s="1271"/>
      <c r="CLI25" s="1271"/>
      <c r="CLJ25" s="1271"/>
      <c r="CLK25" s="1271"/>
      <c r="CLL25" s="1271"/>
      <c r="CLM25" s="1271"/>
      <c r="CLN25" s="1271"/>
      <c r="CLO25" s="1271"/>
      <c r="CLP25" s="1271"/>
      <c r="CLQ25" s="1271"/>
      <c r="CLR25" s="1271"/>
      <c r="CLS25" s="1271"/>
      <c r="CLT25" s="1271"/>
      <c r="CLU25" s="1271"/>
      <c r="CLV25" s="1271"/>
      <c r="CLW25" s="1271"/>
      <c r="CLX25" s="1271"/>
      <c r="CLY25" s="1271"/>
      <c r="CLZ25" s="1271"/>
      <c r="CMA25" s="1271"/>
      <c r="CMB25" s="1271"/>
      <c r="CMC25" s="1271"/>
      <c r="CMD25" s="1271"/>
      <c r="CME25" s="1271"/>
      <c r="CMF25" s="1271"/>
      <c r="CMG25" s="1271"/>
      <c r="CMH25" s="1271"/>
      <c r="CMI25" s="1271"/>
      <c r="CMJ25" s="1271"/>
      <c r="CMK25" s="1271"/>
      <c r="CML25" s="1271"/>
      <c r="CMM25" s="1271"/>
      <c r="CMN25" s="1271"/>
      <c r="CMO25" s="1271"/>
      <c r="CMP25" s="1271"/>
      <c r="CMQ25" s="1271"/>
      <c r="CMR25" s="1271"/>
      <c r="CMS25" s="1271"/>
      <c r="CMT25" s="1271"/>
      <c r="CMU25" s="1271"/>
      <c r="CMV25" s="1271"/>
      <c r="CMW25" s="1271"/>
      <c r="CMX25" s="1271"/>
      <c r="CMY25" s="1271"/>
      <c r="CMZ25" s="1271"/>
      <c r="CNA25" s="1271"/>
      <c r="CNB25" s="1271"/>
      <c r="CNC25" s="1271"/>
      <c r="CND25" s="1271"/>
      <c r="CNE25" s="1271"/>
      <c r="CNF25" s="1271"/>
      <c r="CNG25" s="1271"/>
      <c r="CNH25" s="1271"/>
      <c r="CNI25" s="1271"/>
      <c r="CNJ25" s="1271"/>
      <c r="CNK25" s="1271"/>
      <c r="CNL25" s="1271"/>
      <c r="CNM25" s="1271"/>
      <c r="CNN25" s="1271"/>
      <c r="CNO25" s="1271"/>
      <c r="CNP25" s="1271"/>
      <c r="CNQ25" s="1271"/>
      <c r="CNR25" s="1271"/>
      <c r="CNS25" s="1271"/>
      <c r="CNT25" s="1271"/>
      <c r="CNU25" s="1271"/>
      <c r="CNV25" s="1271"/>
      <c r="CNW25" s="1271"/>
      <c r="CNX25" s="1271"/>
      <c r="CNY25" s="1271"/>
      <c r="CNZ25" s="1271"/>
      <c r="COA25" s="1271"/>
      <c r="COB25" s="1271"/>
      <c r="COC25" s="1271"/>
      <c r="COD25" s="1271"/>
      <c r="COE25" s="1271"/>
      <c r="COF25" s="1271"/>
      <c r="COG25" s="1271"/>
      <c r="COH25" s="1271"/>
      <c r="COI25" s="1271"/>
      <c r="COJ25" s="1271"/>
      <c r="COK25" s="1271"/>
      <c r="COL25" s="1271"/>
      <c r="COM25" s="1271"/>
      <c r="CON25" s="1271"/>
      <c r="COO25" s="1271"/>
      <c r="COP25" s="1271"/>
      <c r="COQ25" s="1271"/>
      <c r="COR25" s="1271"/>
      <c r="COS25" s="1271"/>
      <c r="COT25" s="1271"/>
      <c r="COU25" s="1271"/>
      <c r="COV25" s="1271"/>
      <c r="COW25" s="1271"/>
      <c r="COX25" s="1271"/>
      <c r="COY25" s="1271"/>
      <c r="COZ25" s="1271"/>
      <c r="CPA25" s="1271"/>
      <c r="CPB25" s="1271"/>
      <c r="CPC25" s="1271"/>
      <c r="CPD25" s="1271"/>
      <c r="CPE25" s="1271"/>
      <c r="CPF25" s="1271"/>
      <c r="CPG25" s="1271"/>
      <c r="CPH25" s="1271"/>
      <c r="CPI25" s="1271"/>
      <c r="CPJ25" s="1271"/>
      <c r="CPK25" s="1271"/>
      <c r="CPL25" s="1271"/>
      <c r="CPM25" s="1271"/>
      <c r="CPN25" s="1271"/>
      <c r="CPO25" s="1271"/>
      <c r="CPP25" s="1271"/>
      <c r="CPQ25" s="1271"/>
      <c r="CPR25" s="1271"/>
      <c r="CPS25" s="1271"/>
      <c r="CPT25" s="1271"/>
      <c r="CPU25" s="1271"/>
      <c r="CPV25" s="1271"/>
      <c r="CPW25" s="1271"/>
      <c r="CPX25" s="1271"/>
      <c r="CPY25" s="1271"/>
      <c r="CPZ25" s="1271"/>
      <c r="CQA25" s="1271"/>
      <c r="CQB25" s="1271"/>
      <c r="CQC25" s="1271"/>
      <c r="CQD25" s="1271"/>
      <c r="CQE25" s="1271"/>
      <c r="CQF25" s="1271"/>
      <c r="CQG25" s="1271"/>
      <c r="CQH25" s="1271"/>
      <c r="CQI25" s="1271"/>
      <c r="CQJ25" s="1271"/>
      <c r="CQK25" s="1271"/>
      <c r="CQL25" s="1271"/>
      <c r="CQM25" s="1271"/>
      <c r="CQN25" s="1271"/>
      <c r="CQO25" s="1271"/>
      <c r="CQP25" s="1271"/>
      <c r="CQQ25" s="1271"/>
      <c r="CQR25" s="1271"/>
      <c r="CQS25" s="1271"/>
      <c r="CQT25" s="1271"/>
      <c r="CQU25" s="1271"/>
      <c r="CQV25" s="1271"/>
      <c r="CQW25" s="1271"/>
      <c r="CQX25" s="1271"/>
      <c r="CQY25" s="1271"/>
      <c r="CQZ25" s="1271"/>
      <c r="CRA25" s="1271"/>
      <c r="CRB25" s="1271"/>
      <c r="CRC25" s="1271"/>
      <c r="CRD25" s="1271"/>
      <c r="CRE25" s="1271"/>
      <c r="CRF25" s="1271"/>
      <c r="CRG25" s="1271"/>
      <c r="CRH25" s="1271"/>
      <c r="CRI25" s="1271"/>
      <c r="CRJ25" s="1271"/>
      <c r="CRK25" s="1271"/>
      <c r="CRL25" s="1271"/>
      <c r="CRM25" s="1271"/>
      <c r="CRN25" s="1271"/>
      <c r="CRO25" s="1271"/>
      <c r="CRP25" s="1271"/>
      <c r="CRQ25" s="1271"/>
      <c r="CRR25" s="1271"/>
      <c r="CRS25" s="1271"/>
      <c r="CRT25" s="1271"/>
      <c r="CRU25" s="1271"/>
      <c r="CRV25" s="1271"/>
      <c r="CRW25" s="1271"/>
      <c r="CRX25" s="1271"/>
      <c r="CRY25" s="1271"/>
      <c r="CRZ25" s="1271"/>
      <c r="CSA25" s="1271"/>
      <c r="CSB25" s="1271"/>
      <c r="CSC25" s="1271"/>
      <c r="CSD25" s="1271"/>
      <c r="CSE25" s="1271"/>
      <c r="CSF25" s="1271"/>
      <c r="CSG25" s="1271"/>
      <c r="CSH25" s="1271"/>
      <c r="CSI25" s="1271"/>
      <c r="CSJ25" s="1271"/>
      <c r="CSK25" s="1271"/>
      <c r="CSL25" s="1271"/>
      <c r="CSM25" s="1271"/>
      <c r="CSN25" s="1271"/>
      <c r="CSO25" s="1271"/>
      <c r="CSP25" s="1271"/>
      <c r="CSQ25" s="1271"/>
      <c r="CSR25" s="1271"/>
      <c r="CSS25" s="1271"/>
      <c r="CST25" s="1271"/>
      <c r="CSU25" s="1271"/>
      <c r="CSV25" s="1271"/>
      <c r="CSW25" s="1271"/>
      <c r="CSX25" s="1271"/>
      <c r="CSY25" s="1271"/>
      <c r="CSZ25" s="1271"/>
      <c r="CTA25" s="1271"/>
      <c r="CTB25" s="1271"/>
      <c r="CTC25" s="1271"/>
      <c r="CTD25" s="1271"/>
      <c r="CTE25" s="1271"/>
      <c r="CTF25" s="1271"/>
      <c r="CTG25" s="1271"/>
      <c r="CTH25" s="1271"/>
      <c r="CTI25" s="1271"/>
      <c r="CTJ25" s="1271"/>
      <c r="CTK25" s="1271"/>
      <c r="CTL25" s="1271"/>
      <c r="CTM25" s="1271"/>
      <c r="CTN25" s="1271"/>
      <c r="CTO25" s="1271"/>
      <c r="CTP25" s="1271"/>
      <c r="CTQ25" s="1271"/>
      <c r="CTR25" s="1271"/>
      <c r="CTS25" s="1271"/>
      <c r="CTT25" s="1271"/>
      <c r="CTU25" s="1271"/>
      <c r="CTV25" s="1271"/>
      <c r="CTW25" s="1271"/>
      <c r="CTX25" s="1271"/>
      <c r="CTY25" s="1271"/>
      <c r="CTZ25" s="1271"/>
      <c r="CUA25" s="1271"/>
      <c r="CUB25" s="1271"/>
      <c r="CUC25" s="1271"/>
      <c r="CUD25" s="1271"/>
      <c r="CUE25" s="1271"/>
      <c r="CUF25" s="1271"/>
      <c r="CUG25" s="1271"/>
      <c r="CUH25" s="1271"/>
      <c r="CUI25" s="1271"/>
      <c r="CUJ25" s="1271"/>
      <c r="CUK25" s="1271"/>
      <c r="CUL25" s="1271"/>
      <c r="CUM25" s="1271"/>
      <c r="CUN25" s="1271"/>
      <c r="CUO25" s="1271"/>
      <c r="CUP25" s="1271"/>
      <c r="CUQ25" s="1271"/>
      <c r="CUR25" s="1271"/>
      <c r="CUS25" s="1271"/>
      <c r="CUT25" s="1271"/>
      <c r="CUU25" s="1271"/>
      <c r="CUV25" s="1271"/>
      <c r="CUW25" s="1271"/>
      <c r="CUX25" s="1271"/>
      <c r="CUY25" s="1271"/>
      <c r="CUZ25" s="1271"/>
      <c r="CVA25" s="1271"/>
      <c r="CVB25" s="1271"/>
      <c r="CVC25" s="1271"/>
      <c r="CVD25" s="1271"/>
      <c r="CVE25" s="1271"/>
      <c r="CVF25" s="1271"/>
      <c r="CVG25" s="1271"/>
      <c r="CVH25" s="1271"/>
      <c r="CVI25" s="1271"/>
      <c r="CVJ25" s="1271"/>
      <c r="CVK25" s="1271"/>
      <c r="CVL25" s="1271"/>
      <c r="CVM25" s="1271"/>
      <c r="CVN25" s="1271"/>
      <c r="CVO25" s="1271"/>
      <c r="CVP25" s="1271"/>
      <c r="CVQ25" s="1271"/>
      <c r="CVR25" s="1271"/>
      <c r="CVS25" s="1271"/>
      <c r="CVT25" s="1271"/>
      <c r="CVU25" s="1271"/>
      <c r="CVV25" s="1271"/>
      <c r="CVW25" s="1271"/>
      <c r="CVX25" s="1271"/>
      <c r="CVY25" s="1271"/>
      <c r="CVZ25" s="1271"/>
      <c r="CWA25" s="1271"/>
      <c r="CWB25" s="1271"/>
      <c r="CWC25" s="1271"/>
      <c r="CWD25" s="1271"/>
      <c r="CWE25" s="1271"/>
      <c r="CWF25" s="1271"/>
      <c r="CWG25" s="1271"/>
      <c r="CWH25" s="1271"/>
      <c r="CWI25" s="1271"/>
      <c r="CWJ25" s="1271"/>
      <c r="CWK25" s="1271"/>
      <c r="CWL25" s="1271"/>
      <c r="CWM25" s="1271"/>
      <c r="CWN25" s="1271"/>
      <c r="CWO25" s="1271"/>
      <c r="CWP25" s="1271"/>
      <c r="CWQ25" s="1271"/>
      <c r="CWR25" s="1271"/>
      <c r="CWS25" s="1271"/>
      <c r="CWT25" s="1271"/>
      <c r="CWU25" s="1271"/>
      <c r="CWV25" s="1271"/>
      <c r="CWW25" s="1271"/>
      <c r="CWX25" s="1271"/>
      <c r="CWY25" s="1271"/>
      <c r="CWZ25" s="1271"/>
      <c r="CXA25" s="1271"/>
      <c r="CXB25" s="1271"/>
      <c r="CXC25" s="1271"/>
      <c r="CXD25" s="1271"/>
      <c r="CXE25" s="1271"/>
      <c r="CXF25" s="1271"/>
      <c r="CXG25" s="1271"/>
      <c r="CXH25" s="1271"/>
      <c r="CXI25" s="1271"/>
      <c r="CXJ25" s="1271"/>
      <c r="CXK25" s="1271"/>
      <c r="CXL25" s="1271"/>
      <c r="CXM25" s="1271"/>
      <c r="CXN25" s="1271"/>
      <c r="CXO25" s="1271"/>
      <c r="CXP25" s="1271"/>
      <c r="CXQ25" s="1271"/>
      <c r="CXR25" s="1271"/>
      <c r="CXS25" s="1271"/>
      <c r="CXT25" s="1271"/>
      <c r="CXU25" s="1271"/>
      <c r="CXV25" s="1271"/>
      <c r="CXW25" s="1271"/>
      <c r="CXX25" s="1271"/>
      <c r="CXY25" s="1271"/>
      <c r="CXZ25" s="1271"/>
      <c r="CYA25" s="1271"/>
      <c r="CYB25" s="1271"/>
      <c r="CYC25" s="1271"/>
      <c r="CYD25" s="1271"/>
      <c r="CYE25" s="1271"/>
      <c r="CYF25" s="1271"/>
      <c r="CYG25" s="1271"/>
      <c r="CYH25" s="1271"/>
      <c r="CYI25" s="1271"/>
      <c r="CYJ25" s="1271"/>
      <c r="CYK25" s="1271"/>
      <c r="CYL25" s="1271"/>
      <c r="CYM25" s="1271"/>
      <c r="CYN25" s="1271"/>
      <c r="CYO25" s="1271"/>
      <c r="CYP25" s="1271"/>
      <c r="CYQ25" s="1271"/>
      <c r="CYR25" s="1271"/>
      <c r="CYS25" s="1271"/>
      <c r="CYT25" s="1271"/>
      <c r="CYU25" s="1271"/>
      <c r="CYV25" s="1271"/>
      <c r="CYW25" s="1271"/>
      <c r="CYX25" s="1271"/>
      <c r="CYY25" s="1271"/>
      <c r="CYZ25" s="1271"/>
      <c r="CZA25" s="1271"/>
      <c r="CZB25" s="1271"/>
      <c r="CZC25" s="1271"/>
      <c r="CZD25" s="1271"/>
      <c r="CZE25" s="1271"/>
      <c r="CZF25" s="1271"/>
      <c r="CZG25" s="1271"/>
      <c r="CZH25" s="1271"/>
      <c r="CZI25" s="1271"/>
      <c r="CZJ25" s="1271"/>
      <c r="CZK25" s="1271"/>
      <c r="CZL25" s="1271"/>
      <c r="CZM25" s="1271"/>
      <c r="CZN25" s="1271"/>
      <c r="CZO25" s="1271"/>
      <c r="CZP25" s="1271"/>
      <c r="CZQ25" s="1271"/>
      <c r="CZR25" s="1271"/>
      <c r="CZS25" s="1271"/>
      <c r="CZT25" s="1271"/>
      <c r="CZU25" s="1271"/>
      <c r="CZV25" s="1271"/>
      <c r="CZW25" s="1271"/>
      <c r="CZX25" s="1271"/>
      <c r="CZY25" s="1271"/>
      <c r="CZZ25" s="1271"/>
      <c r="DAA25" s="1271"/>
      <c r="DAB25" s="1271"/>
      <c r="DAC25" s="1271"/>
      <c r="DAD25" s="1271"/>
      <c r="DAE25" s="1271"/>
      <c r="DAF25" s="1271"/>
      <c r="DAG25" s="1271"/>
      <c r="DAH25" s="1271"/>
      <c r="DAI25" s="1271"/>
      <c r="DAJ25" s="1271"/>
      <c r="DAK25" s="1271"/>
      <c r="DAL25" s="1271"/>
      <c r="DAM25" s="1271"/>
      <c r="DAN25" s="1271"/>
      <c r="DAO25" s="1271"/>
      <c r="DAP25" s="1271"/>
      <c r="DAQ25" s="1271"/>
      <c r="DAR25" s="1271"/>
      <c r="DAS25" s="1271"/>
      <c r="DAT25" s="1271"/>
      <c r="DAU25" s="1271"/>
      <c r="DAV25" s="1271"/>
      <c r="DAW25" s="1271"/>
      <c r="DAX25" s="1271"/>
      <c r="DAY25" s="1271"/>
      <c r="DAZ25" s="1271"/>
      <c r="DBA25" s="1271"/>
      <c r="DBB25" s="1271"/>
      <c r="DBC25" s="1271"/>
      <c r="DBD25" s="1271"/>
      <c r="DBE25" s="1271"/>
      <c r="DBF25" s="1271"/>
      <c r="DBG25" s="1271"/>
      <c r="DBH25" s="1271"/>
      <c r="DBI25" s="1271"/>
      <c r="DBJ25" s="1271"/>
      <c r="DBK25" s="1271"/>
      <c r="DBL25" s="1271"/>
      <c r="DBM25" s="1271"/>
      <c r="DBN25" s="1271"/>
      <c r="DBO25" s="1271"/>
      <c r="DBP25" s="1271"/>
      <c r="DBQ25" s="1271"/>
      <c r="DBR25" s="1271"/>
      <c r="DBS25" s="1271"/>
      <c r="DBT25" s="1271"/>
      <c r="DBU25" s="1271"/>
      <c r="DBV25" s="1271"/>
      <c r="DBW25" s="1271"/>
      <c r="DBX25" s="1271"/>
      <c r="DBY25" s="1271"/>
      <c r="DBZ25" s="1271"/>
      <c r="DCA25" s="1271"/>
      <c r="DCB25" s="1271"/>
      <c r="DCC25" s="1271"/>
      <c r="DCD25" s="1271"/>
      <c r="DCE25" s="1271"/>
      <c r="DCF25" s="1271"/>
      <c r="DCG25" s="1271"/>
      <c r="DCH25" s="1271"/>
      <c r="DCI25" s="1271"/>
      <c r="DCJ25" s="1271"/>
      <c r="DCK25" s="1271"/>
      <c r="DCL25" s="1271"/>
      <c r="DCM25" s="1271"/>
      <c r="DCN25" s="1271"/>
      <c r="DCO25" s="1271"/>
      <c r="DCP25" s="1271"/>
      <c r="DCQ25" s="1271"/>
      <c r="DCR25" s="1271"/>
      <c r="DCS25" s="1271"/>
      <c r="DCT25" s="1271"/>
      <c r="DCU25" s="1271"/>
      <c r="DCV25" s="1271"/>
      <c r="DCW25" s="1271"/>
      <c r="DCX25" s="1271"/>
      <c r="DCY25" s="1271"/>
      <c r="DCZ25" s="1271"/>
      <c r="DDA25" s="1271"/>
      <c r="DDB25" s="1271"/>
      <c r="DDC25" s="1271"/>
      <c r="DDD25" s="1271"/>
      <c r="DDE25" s="1271"/>
      <c r="DDF25" s="1271"/>
      <c r="DDG25" s="1271"/>
      <c r="DDH25" s="1271"/>
      <c r="DDI25" s="1271"/>
      <c r="DDJ25" s="1271"/>
      <c r="DDK25" s="1271"/>
      <c r="DDL25" s="1271"/>
      <c r="DDM25" s="1271"/>
      <c r="DDN25" s="1271"/>
      <c r="DDO25" s="1271"/>
      <c r="DDP25" s="1271"/>
      <c r="DDQ25" s="1271"/>
      <c r="DDR25" s="1271"/>
      <c r="DDS25" s="1271"/>
      <c r="DDT25" s="1271"/>
      <c r="DDU25" s="1271"/>
      <c r="DDV25" s="1271"/>
      <c r="DDW25" s="1271"/>
      <c r="DDX25" s="1271"/>
      <c r="DDY25" s="1271"/>
      <c r="DDZ25" s="1271"/>
      <c r="DEA25" s="1271"/>
      <c r="DEB25" s="1271"/>
      <c r="DEC25" s="1271"/>
      <c r="DED25" s="1271"/>
      <c r="DEE25" s="1271"/>
      <c r="DEF25" s="1271"/>
      <c r="DEG25" s="1271"/>
      <c r="DEH25" s="1271"/>
      <c r="DEI25" s="1271"/>
      <c r="DEJ25" s="1271"/>
      <c r="DEK25" s="1271"/>
      <c r="DEL25" s="1271"/>
      <c r="DEM25" s="1271"/>
      <c r="DEN25" s="1271"/>
      <c r="DEO25" s="1271"/>
      <c r="DEP25" s="1271"/>
      <c r="DEQ25" s="1271"/>
      <c r="DER25" s="1271"/>
      <c r="DES25" s="1271"/>
      <c r="DET25" s="1271"/>
      <c r="DEU25" s="1271"/>
      <c r="DEV25" s="1271"/>
      <c r="DEW25" s="1271"/>
      <c r="DEX25" s="1271"/>
      <c r="DEY25" s="1271"/>
      <c r="DEZ25" s="1271"/>
      <c r="DFA25" s="1271"/>
      <c r="DFB25" s="1271"/>
      <c r="DFC25" s="1271"/>
      <c r="DFD25" s="1271"/>
      <c r="DFE25" s="1271"/>
      <c r="DFF25" s="1271"/>
      <c r="DFG25" s="1271"/>
      <c r="DFH25" s="1271"/>
      <c r="DFI25" s="1271"/>
      <c r="DFJ25" s="1271"/>
      <c r="DFK25" s="1271"/>
      <c r="DFL25" s="1271"/>
      <c r="DFM25" s="1271"/>
      <c r="DFN25" s="1271"/>
      <c r="DFO25" s="1271"/>
      <c r="DFP25" s="1271"/>
      <c r="DFQ25" s="1271"/>
      <c r="DFR25" s="1271"/>
      <c r="DFS25" s="1271"/>
      <c r="DFT25" s="1271"/>
      <c r="DFU25" s="1271"/>
      <c r="DFV25" s="1271"/>
      <c r="DFW25" s="1271"/>
      <c r="DFX25" s="1271"/>
      <c r="DFY25" s="1271"/>
      <c r="DFZ25" s="1271"/>
      <c r="DGA25" s="1271"/>
      <c r="DGB25" s="1271"/>
      <c r="DGC25" s="1271"/>
      <c r="DGD25" s="1271"/>
      <c r="DGE25" s="1271"/>
      <c r="DGF25" s="1271"/>
      <c r="DGG25" s="1271"/>
      <c r="DGH25" s="1271"/>
      <c r="DGI25" s="1271"/>
      <c r="DGJ25" s="1271"/>
      <c r="DGK25" s="1271"/>
      <c r="DGL25" s="1271"/>
      <c r="DGM25" s="1271"/>
      <c r="DGN25" s="1271"/>
      <c r="DGO25" s="1271"/>
      <c r="DGP25" s="1271"/>
      <c r="DGQ25" s="1271"/>
      <c r="DGR25" s="1271"/>
      <c r="DGS25" s="1271"/>
      <c r="DGT25" s="1271"/>
      <c r="DGU25" s="1271"/>
      <c r="DGV25" s="1271"/>
      <c r="DGW25" s="1271"/>
      <c r="DGX25" s="1271"/>
      <c r="DGY25" s="1271"/>
      <c r="DGZ25" s="1271"/>
      <c r="DHA25" s="1271"/>
      <c r="DHB25" s="1271"/>
      <c r="DHC25" s="1271"/>
      <c r="DHD25" s="1271"/>
      <c r="DHE25" s="1271"/>
      <c r="DHF25" s="1271"/>
      <c r="DHG25" s="1271"/>
      <c r="DHH25" s="1271"/>
      <c r="DHI25" s="1271"/>
      <c r="DHJ25" s="1271"/>
      <c r="DHK25" s="1271"/>
      <c r="DHL25" s="1271"/>
      <c r="DHM25" s="1271"/>
      <c r="DHN25" s="1271"/>
      <c r="DHO25" s="1271"/>
      <c r="DHP25" s="1271"/>
      <c r="DHQ25" s="1271"/>
      <c r="DHR25" s="1271"/>
      <c r="DHS25" s="1271"/>
      <c r="DHT25" s="1271"/>
      <c r="DHU25" s="1271"/>
      <c r="DHV25" s="1271"/>
      <c r="DHW25" s="1271"/>
      <c r="DHX25" s="1271"/>
      <c r="DHY25" s="1271"/>
      <c r="DHZ25" s="1271"/>
      <c r="DIA25" s="1271"/>
      <c r="DIB25" s="1271"/>
      <c r="DIC25" s="1271"/>
      <c r="DID25" s="1271"/>
      <c r="DIE25" s="1271"/>
      <c r="DIF25" s="1271"/>
      <c r="DIG25" s="1271"/>
      <c r="DIH25" s="1271"/>
      <c r="DII25" s="1271"/>
      <c r="DIJ25" s="1271"/>
      <c r="DIK25" s="1271"/>
      <c r="DIL25" s="1271"/>
      <c r="DIM25" s="1271"/>
      <c r="DIN25" s="1271"/>
      <c r="DIO25" s="1271"/>
      <c r="DIP25" s="1271"/>
      <c r="DIQ25" s="1271"/>
      <c r="DIR25" s="1271"/>
      <c r="DIS25" s="1271"/>
      <c r="DIT25" s="1271"/>
      <c r="DIU25" s="1271"/>
      <c r="DIV25" s="1271"/>
      <c r="DIW25" s="1271"/>
      <c r="DIX25" s="1271"/>
      <c r="DIY25" s="1271"/>
      <c r="DIZ25" s="1271"/>
      <c r="DJA25" s="1271"/>
      <c r="DJB25" s="1271"/>
      <c r="DJC25" s="1271"/>
      <c r="DJD25" s="1271"/>
      <c r="DJE25" s="1271"/>
      <c r="DJF25" s="1271"/>
      <c r="DJG25" s="1271"/>
      <c r="DJH25" s="1271"/>
      <c r="DJI25" s="1271"/>
      <c r="DJJ25" s="1271"/>
      <c r="DJK25" s="1271"/>
      <c r="DJL25" s="1271"/>
      <c r="DJM25" s="1271"/>
      <c r="DJN25" s="1271"/>
      <c r="DJO25" s="1271"/>
      <c r="DJP25" s="1271"/>
      <c r="DJQ25" s="1271"/>
      <c r="DJR25" s="1271"/>
      <c r="DJS25" s="1271"/>
      <c r="DJT25" s="1271"/>
      <c r="DJU25" s="1271"/>
      <c r="DJV25" s="1271"/>
      <c r="DJW25" s="1271"/>
      <c r="DJX25" s="1271"/>
      <c r="DJY25" s="1271"/>
      <c r="DJZ25" s="1271"/>
      <c r="DKA25" s="1271"/>
      <c r="DKB25" s="1271"/>
      <c r="DKC25" s="1271"/>
      <c r="DKD25" s="1271"/>
      <c r="DKE25" s="1271"/>
      <c r="DKF25" s="1271"/>
      <c r="DKG25" s="1271"/>
      <c r="DKH25" s="1271"/>
      <c r="DKI25" s="1271"/>
      <c r="DKJ25" s="1271"/>
      <c r="DKK25" s="1271"/>
      <c r="DKL25" s="1271"/>
      <c r="DKM25" s="1271"/>
      <c r="DKN25" s="1271"/>
      <c r="DKO25" s="1271"/>
      <c r="DKP25" s="1271"/>
      <c r="DKQ25" s="1271"/>
      <c r="DKR25" s="1271"/>
      <c r="DKS25" s="1271"/>
      <c r="DKT25" s="1271"/>
      <c r="DKU25" s="1271"/>
      <c r="DKV25" s="1271"/>
      <c r="DKW25" s="1271"/>
      <c r="DKX25" s="1271"/>
      <c r="DKY25" s="1271"/>
      <c r="DKZ25" s="1271"/>
      <c r="DLA25" s="1271"/>
      <c r="DLB25" s="1271"/>
      <c r="DLC25" s="1271"/>
      <c r="DLD25" s="1271"/>
      <c r="DLE25" s="1271"/>
      <c r="DLF25" s="1271"/>
      <c r="DLG25" s="1271"/>
      <c r="DLH25" s="1271"/>
      <c r="DLI25" s="1271"/>
      <c r="DLJ25" s="1271"/>
      <c r="DLK25" s="1271"/>
      <c r="DLL25" s="1271"/>
      <c r="DLM25" s="1271"/>
      <c r="DLN25" s="1271"/>
      <c r="DLO25" s="1271"/>
      <c r="DLP25" s="1271"/>
      <c r="DLQ25" s="1271"/>
      <c r="DLR25" s="1271"/>
      <c r="DLS25" s="1271"/>
      <c r="DLT25" s="1271"/>
      <c r="DLU25" s="1271"/>
      <c r="DLV25" s="1271"/>
      <c r="DLW25" s="1271"/>
      <c r="DLX25" s="1271"/>
      <c r="DLY25" s="1271"/>
      <c r="DLZ25" s="1271"/>
      <c r="DMA25" s="1271"/>
      <c r="DMB25" s="1271"/>
      <c r="DMC25" s="1271"/>
      <c r="DMD25" s="1271"/>
      <c r="DME25" s="1271"/>
      <c r="DMF25" s="1271"/>
      <c r="DMG25" s="1271"/>
      <c r="DMH25" s="1271"/>
      <c r="DMI25" s="1271"/>
      <c r="DMJ25" s="1271"/>
      <c r="DMK25" s="1271"/>
      <c r="DML25" s="1271"/>
      <c r="DMM25" s="1271"/>
      <c r="DMN25" s="1271"/>
      <c r="DMO25" s="1271"/>
      <c r="DMP25" s="1271"/>
      <c r="DMQ25" s="1271"/>
      <c r="DMR25" s="1271"/>
      <c r="DMS25" s="1271"/>
      <c r="DMT25" s="1271"/>
      <c r="DMU25" s="1271"/>
      <c r="DMV25" s="1271"/>
      <c r="DMW25" s="1271"/>
      <c r="DMX25" s="1271"/>
      <c r="DMY25" s="1271"/>
      <c r="DMZ25" s="1271"/>
      <c r="DNA25" s="1271"/>
      <c r="DNB25" s="1271"/>
      <c r="DNC25" s="1271"/>
      <c r="DND25" s="1271"/>
      <c r="DNE25" s="1271"/>
      <c r="DNF25" s="1271"/>
      <c r="DNG25" s="1271"/>
      <c r="DNH25" s="1271"/>
      <c r="DNI25" s="1271"/>
      <c r="DNJ25" s="1271"/>
      <c r="DNK25" s="1271"/>
      <c r="DNL25" s="1271"/>
      <c r="DNM25" s="1271"/>
      <c r="DNN25" s="1271"/>
      <c r="DNO25" s="1271"/>
      <c r="DNP25" s="1271"/>
      <c r="DNQ25" s="1271"/>
      <c r="DNR25" s="1271"/>
      <c r="DNS25" s="1271"/>
      <c r="DNT25" s="1271"/>
      <c r="DNU25" s="1271"/>
      <c r="DNV25" s="1271"/>
      <c r="DNW25" s="1271"/>
      <c r="DNX25" s="1271"/>
      <c r="DNY25" s="1271"/>
      <c r="DNZ25" s="1271"/>
      <c r="DOA25" s="1271"/>
      <c r="DOB25" s="1271"/>
      <c r="DOC25" s="1271"/>
      <c r="DOD25" s="1271"/>
      <c r="DOE25" s="1271"/>
      <c r="DOF25" s="1271"/>
      <c r="DOG25" s="1271"/>
      <c r="DOH25" s="1271"/>
      <c r="DOI25" s="1271"/>
      <c r="DOJ25" s="1271"/>
      <c r="DOK25" s="1271"/>
      <c r="DOL25" s="1271"/>
      <c r="DOM25" s="1271"/>
      <c r="DON25" s="1271"/>
      <c r="DOO25" s="1271"/>
      <c r="DOP25" s="1271"/>
      <c r="DOQ25" s="1271"/>
      <c r="DOR25" s="1271"/>
      <c r="DOS25" s="1271"/>
      <c r="DOT25" s="1271"/>
      <c r="DOU25" s="1271"/>
      <c r="DOV25" s="1271"/>
      <c r="DOW25" s="1271"/>
      <c r="DOX25" s="1271"/>
      <c r="DOY25" s="1271"/>
      <c r="DOZ25" s="1271"/>
      <c r="DPA25" s="1271"/>
      <c r="DPB25" s="1271"/>
      <c r="DPC25" s="1271"/>
      <c r="DPD25" s="1271"/>
      <c r="DPE25" s="1271"/>
      <c r="DPF25" s="1271"/>
      <c r="DPG25" s="1271"/>
      <c r="DPH25" s="1271"/>
      <c r="DPI25" s="1271"/>
      <c r="DPJ25" s="1271"/>
      <c r="DPK25" s="1271"/>
      <c r="DPL25" s="1271"/>
      <c r="DPM25" s="1271"/>
      <c r="DPN25" s="1271"/>
      <c r="DPO25" s="1271"/>
      <c r="DPP25" s="1271"/>
      <c r="DPQ25" s="1271"/>
      <c r="DPR25" s="1271"/>
      <c r="DPS25" s="1271"/>
      <c r="DPT25" s="1271"/>
      <c r="DPU25" s="1271"/>
      <c r="DPV25" s="1271"/>
      <c r="DPW25" s="1271"/>
      <c r="DPX25" s="1271"/>
      <c r="DPY25" s="1271"/>
      <c r="DPZ25" s="1271"/>
      <c r="DQA25" s="1271"/>
      <c r="DQB25" s="1271"/>
      <c r="DQC25" s="1271"/>
      <c r="DQD25" s="1271"/>
      <c r="DQE25" s="1271"/>
      <c r="DQF25" s="1271"/>
      <c r="DQG25" s="1271"/>
      <c r="DQH25" s="1271"/>
      <c r="DQI25" s="1271"/>
      <c r="DQJ25" s="1271"/>
      <c r="DQK25" s="1271"/>
      <c r="DQL25" s="1271"/>
      <c r="DQM25" s="1271"/>
      <c r="DQN25" s="1271"/>
      <c r="DQO25" s="1271"/>
      <c r="DQP25" s="1271"/>
      <c r="DQQ25" s="1271"/>
      <c r="DQR25" s="1271"/>
      <c r="DQS25" s="1271"/>
      <c r="DQT25" s="1271"/>
      <c r="DQU25" s="1271"/>
      <c r="DQV25" s="1271"/>
      <c r="DQW25" s="1271"/>
      <c r="DQX25" s="1271"/>
      <c r="DQY25" s="1271"/>
      <c r="DQZ25" s="1271"/>
      <c r="DRA25" s="1271"/>
      <c r="DRB25" s="1271"/>
      <c r="DRC25" s="1271"/>
      <c r="DRD25" s="1271"/>
      <c r="DRE25" s="1271"/>
      <c r="DRF25" s="1271"/>
      <c r="DRG25" s="1271"/>
      <c r="DRH25" s="1271"/>
      <c r="DRI25" s="1271"/>
      <c r="DRJ25" s="1271"/>
      <c r="DRK25" s="1271"/>
      <c r="DRL25" s="1271"/>
      <c r="DRM25" s="1271"/>
      <c r="DRN25" s="1271"/>
      <c r="DRO25" s="1271"/>
      <c r="DRP25" s="1271"/>
      <c r="DRQ25" s="1271"/>
      <c r="DRR25" s="1271"/>
      <c r="DRS25" s="1271"/>
      <c r="DRT25" s="1271"/>
      <c r="DRU25" s="1271"/>
      <c r="DRV25" s="1271"/>
      <c r="DRW25" s="1271"/>
      <c r="DRX25" s="1271"/>
      <c r="DRY25" s="1271"/>
      <c r="DRZ25" s="1271"/>
      <c r="DSA25" s="1271"/>
      <c r="DSB25" s="1271"/>
      <c r="DSC25" s="1271"/>
      <c r="DSD25" s="1271"/>
      <c r="DSE25" s="1271"/>
      <c r="DSF25" s="1271"/>
      <c r="DSG25" s="1271"/>
      <c r="DSH25" s="1271"/>
      <c r="DSI25" s="1271"/>
      <c r="DSJ25" s="1271"/>
      <c r="DSK25" s="1271"/>
      <c r="DSL25" s="1271"/>
      <c r="DSM25" s="1271"/>
      <c r="DSN25" s="1271"/>
      <c r="DSO25" s="1271"/>
      <c r="DSP25" s="1271"/>
      <c r="DSQ25" s="1271"/>
      <c r="DSR25" s="1271"/>
      <c r="DSS25" s="1271"/>
      <c r="DST25" s="1271"/>
      <c r="DSU25" s="1271"/>
      <c r="DSV25" s="1271"/>
      <c r="DSW25" s="1271"/>
      <c r="DSX25" s="1271"/>
      <c r="DSY25" s="1271"/>
      <c r="DSZ25" s="1271"/>
      <c r="DTA25" s="1271"/>
      <c r="DTB25" s="1271"/>
      <c r="DTC25" s="1271"/>
      <c r="DTD25" s="1271"/>
      <c r="DTE25" s="1271"/>
      <c r="DTF25" s="1271"/>
      <c r="DTG25" s="1271"/>
      <c r="DTH25" s="1271"/>
      <c r="DTI25" s="1271"/>
      <c r="DTJ25" s="1271"/>
      <c r="DTK25" s="1271"/>
      <c r="DTL25" s="1271"/>
      <c r="DTM25" s="1271"/>
      <c r="DTN25" s="1271"/>
      <c r="DTO25" s="1271"/>
      <c r="DTP25" s="1271"/>
      <c r="DTQ25" s="1271"/>
      <c r="DTR25" s="1271"/>
      <c r="DTS25" s="1271"/>
      <c r="DTT25" s="1271"/>
      <c r="DTU25" s="1271"/>
      <c r="DTV25" s="1271"/>
      <c r="DTW25" s="1271"/>
      <c r="DTX25" s="1271"/>
      <c r="DTY25" s="1271"/>
      <c r="DTZ25" s="1271"/>
      <c r="DUA25" s="1271"/>
      <c r="DUB25" s="1271"/>
      <c r="DUC25" s="1271"/>
      <c r="DUD25" s="1271"/>
      <c r="DUE25" s="1271"/>
      <c r="DUF25" s="1271"/>
      <c r="DUG25" s="1271"/>
      <c r="DUH25" s="1271"/>
      <c r="DUI25" s="1271"/>
      <c r="DUJ25" s="1271"/>
      <c r="DUK25" s="1271"/>
      <c r="DUL25" s="1271"/>
      <c r="DUM25" s="1271"/>
      <c r="DUN25" s="1271"/>
      <c r="DUO25" s="1271"/>
      <c r="DUP25" s="1271"/>
      <c r="DUQ25" s="1271"/>
      <c r="DUR25" s="1271"/>
      <c r="DUS25" s="1271"/>
      <c r="DUT25" s="1271"/>
      <c r="DUU25" s="1271"/>
      <c r="DUV25" s="1271"/>
      <c r="DUW25" s="1271"/>
      <c r="DUX25" s="1271"/>
      <c r="DUY25" s="1271"/>
      <c r="DUZ25" s="1271"/>
      <c r="DVA25" s="1271"/>
      <c r="DVB25" s="1271"/>
      <c r="DVC25" s="1271"/>
      <c r="DVD25" s="1271"/>
      <c r="DVE25" s="1271"/>
      <c r="DVF25" s="1271"/>
      <c r="DVG25" s="1271"/>
      <c r="DVH25" s="1271"/>
      <c r="DVI25" s="1271"/>
      <c r="DVJ25" s="1271"/>
      <c r="DVK25" s="1271"/>
      <c r="DVL25" s="1271"/>
      <c r="DVM25" s="1271"/>
      <c r="DVN25" s="1271"/>
      <c r="DVO25" s="1271"/>
      <c r="DVP25" s="1271"/>
      <c r="DVQ25" s="1271"/>
      <c r="DVR25" s="1271"/>
      <c r="DVS25" s="1271"/>
      <c r="DVT25" s="1271"/>
      <c r="DVU25" s="1271"/>
      <c r="DVV25" s="1271"/>
      <c r="DVW25" s="1271"/>
      <c r="DVX25" s="1271"/>
      <c r="DVY25" s="1271"/>
      <c r="DVZ25" s="1271"/>
      <c r="DWA25" s="1271"/>
      <c r="DWB25" s="1271"/>
      <c r="DWC25" s="1271"/>
      <c r="DWD25" s="1271"/>
      <c r="DWE25" s="1271"/>
      <c r="DWF25" s="1271"/>
      <c r="DWG25" s="1271"/>
      <c r="DWH25" s="1271"/>
      <c r="DWI25" s="1271"/>
      <c r="DWJ25" s="1271"/>
      <c r="DWK25" s="1271"/>
      <c r="DWL25" s="1271"/>
      <c r="DWM25" s="1271"/>
      <c r="DWN25" s="1271"/>
      <c r="DWO25" s="1271"/>
      <c r="DWP25" s="1271"/>
      <c r="DWQ25" s="1271"/>
      <c r="DWR25" s="1271"/>
      <c r="DWS25" s="1271"/>
      <c r="DWT25" s="1271"/>
      <c r="DWU25" s="1271"/>
      <c r="DWV25" s="1271"/>
      <c r="DWW25" s="1271"/>
      <c r="DWX25" s="1271"/>
      <c r="DWY25" s="1271"/>
      <c r="DWZ25" s="1271"/>
      <c r="DXA25" s="1271"/>
      <c r="DXB25" s="1271"/>
      <c r="DXC25" s="1271"/>
      <c r="DXD25" s="1271"/>
      <c r="DXE25" s="1271"/>
      <c r="DXF25" s="1271"/>
      <c r="DXG25" s="1271"/>
      <c r="DXH25" s="1271"/>
      <c r="DXI25" s="1271"/>
      <c r="DXJ25" s="1271"/>
      <c r="DXK25" s="1271"/>
      <c r="DXL25" s="1271"/>
      <c r="DXM25" s="1271"/>
      <c r="DXN25" s="1271"/>
      <c r="DXO25" s="1271"/>
      <c r="DXP25" s="1271"/>
      <c r="DXQ25" s="1271"/>
      <c r="DXR25" s="1271"/>
      <c r="DXS25" s="1271"/>
      <c r="DXT25" s="1271"/>
      <c r="DXU25" s="1271"/>
      <c r="DXV25" s="1271"/>
      <c r="DXW25" s="1271"/>
      <c r="DXX25" s="1271"/>
      <c r="DXY25" s="1271"/>
      <c r="DXZ25" s="1271"/>
      <c r="DYA25" s="1271"/>
      <c r="DYB25" s="1271"/>
      <c r="DYC25" s="1271"/>
      <c r="DYD25" s="1271"/>
      <c r="DYE25" s="1271"/>
      <c r="DYF25" s="1271"/>
      <c r="DYG25" s="1271"/>
      <c r="DYH25" s="1271"/>
      <c r="DYI25" s="1271"/>
      <c r="DYJ25" s="1271"/>
      <c r="DYK25" s="1271"/>
      <c r="DYL25" s="1271"/>
      <c r="DYM25" s="1271"/>
      <c r="DYN25" s="1271"/>
      <c r="DYO25" s="1271"/>
      <c r="DYP25" s="1271"/>
      <c r="DYQ25" s="1271"/>
      <c r="DYR25" s="1271"/>
      <c r="DYS25" s="1271"/>
      <c r="DYT25" s="1271"/>
      <c r="DYU25" s="1271"/>
      <c r="DYV25" s="1271"/>
      <c r="DYW25" s="1271"/>
      <c r="DYX25" s="1271"/>
      <c r="DYY25" s="1271"/>
      <c r="DYZ25" s="1271"/>
      <c r="DZA25" s="1271"/>
      <c r="DZB25" s="1271"/>
      <c r="DZC25" s="1271"/>
      <c r="DZD25" s="1271"/>
      <c r="DZE25" s="1271"/>
      <c r="DZF25" s="1271"/>
      <c r="DZG25" s="1271"/>
      <c r="DZH25" s="1271"/>
      <c r="DZI25" s="1271"/>
      <c r="DZJ25" s="1271"/>
      <c r="DZK25" s="1271"/>
      <c r="DZL25" s="1271"/>
      <c r="DZM25" s="1271"/>
      <c r="DZN25" s="1271"/>
      <c r="DZO25" s="1271"/>
      <c r="DZP25" s="1271"/>
      <c r="DZQ25" s="1271"/>
      <c r="DZR25" s="1271"/>
      <c r="DZS25" s="1271"/>
      <c r="DZT25" s="1271"/>
      <c r="DZU25" s="1271"/>
      <c r="DZV25" s="1271"/>
      <c r="DZW25" s="1271"/>
      <c r="DZX25" s="1271"/>
      <c r="DZY25" s="1271"/>
      <c r="DZZ25" s="1271"/>
      <c r="EAA25" s="1271"/>
      <c r="EAB25" s="1271"/>
      <c r="EAC25" s="1271"/>
      <c r="EAD25" s="1271"/>
      <c r="EAE25" s="1271"/>
      <c r="EAF25" s="1271"/>
      <c r="EAG25" s="1271"/>
      <c r="EAH25" s="1271"/>
      <c r="EAI25" s="1271"/>
      <c r="EAJ25" s="1271"/>
      <c r="EAK25" s="1271"/>
      <c r="EAL25" s="1271"/>
      <c r="EAM25" s="1271"/>
      <c r="EAN25" s="1271"/>
      <c r="EAO25" s="1271"/>
      <c r="EAP25" s="1271"/>
      <c r="EAQ25" s="1271"/>
      <c r="EAR25" s="1271"/>
      <c r="EAS25" s="1271"/>
      <c r="EAT25" s="1271"/>
      <c r="EAU25" s="1271"/>
      <c r="EAV25" s="1271"/>
      <c r="EAW25" s="1271"/>
      <c r="EAX25" s="1271"/>
      <c r="EAY25" s="1271"/>
      <c r="EAZ25" s="1271"/>
      <c r="EBA25" s="1271"/>
      <c r="EBB25" s="1271"/>
      <c r="EBC25" s="1271"/>
      <c r="EBD25" s="1271"/>
      <c r="EBE25" s="1271"/>
      <c r="EBF25" s="1271"/>
      <c r="EBG25" s="1271"/>
      <c r="EBH25" s="1271"/>
      <c r="EBI25" s="1271"/>
      <c r="EBJ25" s="1271"/>
      <c r="EBK25" s="1271"/>
      <c r="EBL25" s="1271"/>
      <c r="EBM25" s="1271"/>
      <c r="EBN25" s="1271"/>
      <c r="EBO25" s="1271"/>
      <c r="EBP25" s="1271"/>
      <c r="EBQ25" s="1271"/>
      <c r="EBR25" s="1271"/>
      <c r="EBS25" s="1271"/>
      <c r="EBT25" s="1271"/>
      <c r="EBU25" s="1271"/>
      <c r="EBV25" s="1271"/>
      <c r="EBW25" s="1271"/>
      <c r="EBX25" s="1271"/>
      <c r="EBY25" s="1271"/>
      <c r="EBZ25" s="1271"/>
      <c r="ECA25" s="1271"/>
      <c r="ECB25" s="1271"/>
      <c r="ECC25" s="1271"/>
      <c r="ECD25" s="1271"/>
      <c r="ECE25" s="1271"/>
      <c r="ECF25" s="1271"/>
      <c r="ECG25" s="1271"/>
      <c r="ECH25" s="1271"/>
      <c r="ECI25" s="1271"/>
      <c r="ECJ25" s="1271"/>
      <c r="ECK25" s="1271"/>
      <c r="ECL25" s="1271"/>
      <c r="ECM25" s="1271"/>
      <c r="ECN25" s="1271"/>
      <c r="ECO25" s="1271"/>
      <c r="ECP25" s="1271"/>
      <c r="ECQ25" s="1271"/>
      <c r="ECR25" s="1271"/>
      <c r="ECS25" s="1271"/>
      <c r="ECT25" s="1271"/>
      <c r="ECU25" s="1271"/>
      <c r="ECV25" s="1271"/>
      <c r="ECW25" s="1271"/>
      <c r="ECX25" s="1271"/>
      <c r="ECY25" s="1271"/>
      <c r="ECZ25" s="1271"/>
      <c r="EDA25" s="1271"/>
      <c r="EDB25" s="1271"/>
      <c r="EDC25" s="1271"/>
      <c r="EDD25" s="1271"/>
      <c r="EDE25" s="1271"/>
      <c r="EDF25" s="1271"/>
      <c r="EDG25" s="1271"/>
      <c r="EDH25" s="1271"/>
      <c r="EDI25" s="1271"/>
      <c r="EDJ25" s="1271"/>
      <c r="EDK25" s="1271"/>
      <c r="EDL25" s="1271"/>
      <c r="EDM25" s="1271"/>
      <c r="EDN25" s="1271"/>
      <c r="EDO25" s="1271"/>
      <c r="EDP25" s="1271"/>
      <c r="EDQ25" s="1271"/>
      <c r="EDR25" s="1271"/>
      <c r="EDS25" s="1271"/>
      <c r="EDT25" s="1271"/>
      <c r="EDU25" s="1271"/>
      <c r="EDV25" s="1271"/>
      <c r="EDW25" s="1271"/>
      <c r="EDX25" s="1271"/>
      <c r="EDY25" s="1271"/>
      <c r="EDZ25" s="1271"/>
      <c r="EEA25" s="1271"/>
      <c r="EEB25" s="1271"/>
      <c r="EEC25" s="1271"/>
      <c r="EED25" s="1271"/>
      <c r="EEE25" s="1271"/>
      <c r="EEF25" s="1271"/>
      <c r="EEG25" s="1271"/>
      <c r="EEH25" s="1271"/>
      <c r="EEI25" s="1271"/>
      <c r="EEJ25" s="1271"/>
      <c r="EEK25" s="1271"/>
      <c r="EEL25" s="1271"/>
      <c r="EEM25" s="1271"/>
      <c r="EEN25" s="1271"/>
      <c r="EEO25" s="1271"/>
      <c r="EEP25" s="1271"/>
      <c r="EEQ25" s="1271"/>
      <c r="EER25" s="1271"/>
      <c r="EES25" s="1271"/>
      <c r="EET25" s="1271"/>
      <c r="EEU25" s="1271"/>
      <c r="EEV25" s="1271"/>
      <c r="EEW25" s="1271"/>
      <c r="EEX25" s="1271"/>
      <c r="EEY25" s="1271"/>
      <c r="EEZ25" s="1271"/>
      <c r="EFA25" s="1271"/>
      <c r="EFB25" s="1271"/>
      <c r="EFC25" s="1271"/>
      <c r="EFD25" s="1271"/>
      <c r="EFE25" s="1271"/>
      <c r="EFF25" s="1271"/>
      <c r="EFG25" s="1271"/>
      <c r="EFH25" s="1271"/>
      <c r="EFI25" s="1271"/>
      <c r="EFJ25" s="1271"/>
      <c r="EFK25" s="1271"/>
      <c r="EFL25" s="1271"/>
      <c r="EFM25" s="1271"/>
      <c r="EFN25" s="1271"/>
      <c r="EFO25" s="1271"/>
      <c r="EFP25" s="1271"/>
      <c r="EFQ25" s="1271"/>
      <c r="EFR25" s="1271"/>
      <c r="EFS25" s="1271"/>
      <c r="EFT25" s="1271"/>
      <c r="EFU25" s="1271"/>
      <c r="EFV25" s="1271"/>
      <c r="EFW25" s="1271"/>
      <c r="EFX25" s="1271"/>
      <c r="EFY25" s="1271"/>
      <c r="EFZ25" s="1271"/>
      <c r="EGA25" s="1271"/>
      <c r="EGB25" s="1271"/>
      <c r="EGC25" s="1271"/>
      <c r="EGD25" s="1271"/>
      <c r="EGE25" s="1271"/>
      <c r="EGF25" s="1271"/>
      <c r="EGG25" s="1271"/>
      <c r="EGH25" s="1271"/>
      <c r="EGI25" s="1271"/>
      <c r="EGJ25" s="1271"/>
      <c r="EGK25" s="1271"/>
      <c r="EGL25" s="1271"/>
      <c r="EGM25" s="1271"/>
      <c r="EGN25" s="1271"/>
      <c r="EGO25" s="1271"/>
      <c r="EGP25" s="1271"/>
      <c r="EGQ25" s="1271"/>
      <c r="EGR25" s="1271"/>
      <c r="EGS25" s="1271"/>
      <c r="EGT25" s="1271"/>
      <c r="EGU25" s="1271"/>
      <c r="EGV25" s="1271"/>
      <c r="EGW25" s="1271"/>
      <c r="EGX25" s="1271"/>
      <c r="EGY25" s="1271"/>
      <c r="EGZ25" s="1271"/>
      <c r="EHA25" s="1271"/>
      <c r="EHB25" s="1271"/>
      <c r="EHC25" s="1271"/>
      <c r="EHD25" s="1271"/>
      <c r="EHE25" s="1271"/>
      <c r="EHF25" s="1271"/>
      <c r="EHG25" s="1271"/>
      <c r="EHH25" s="1271"/>
      <c r="EHI25" s="1271"/>
      <c r="EHJ25" s="1271"/>
      <c r="EHK25" s="1271"/>
      <c r="EHL25" s="1271"/>
      <c r="EHM25" s="1271"/>
      <c r="EHN25" s="1271"/>
      <c r="EHO25" s="1271"/>
      <c r="EHP25" s="1271"/>
      <c r="EHQ25" s="1271"/>
      <c r="EHR25" s="1271"/>
      <c r="EHS25" s="1271"/>
      <c r="EHT25" s="1271"/>
      <c r="EHU25" s="1271"/>
      <c r="EHV25" s="1271"/>
      <c r="EHW25" s="1271"/>
      <c r="EHX25" s="1271"/>
      <c r="EHY25" s="1271"/>
      <c r="EHZ25" s="1271"/>
      <c r="EIA25" s="1271"/>
      <c r="EIB25" s="1271"/>
      <c r="EIC25" s="1271"/>
      <c r="EID25" s="1271"/>
      <c r="EIE25" s="1271"/>
      <c r="EIF25" s="1271"/>
      <c r="EIG25" s="1271"/>
      <c r="EIH25" s="1271"/>
      <c r="EII25" s="1271"/>
      <c r="EIJ25" s="1271"/>
      <c r="EIK25" s="1271"/>
      <c r="EIL25" s="1271"/>
      <c r="EIM25" s="1271"/>
      <c r="EIN25" s="1271"/>
      <c r="EIO25" s="1271"/>
      <c r="EIP25" s="1271"/>
      <c r="EIQ25" s="1271"/>
      <c r="EIR25" s="1271"/>
      <c r="EIS25" s="1271"/>
      <c r="EIT25" s="1271"/>
      <c r="EIU25" s="1271"/>
      <c r="EIV25" s="1271"/>
      <c r="EIW25" s="1271"/>
      <c r="EIX25" s="1271"/>
      <c r="EIY25" s="1271"/>
      <c r="EIZ25" s="1271"/>
      <c r="EJA25" s="1271"/>
      <c r="EJB25" s="1271"/>
      <c r="EJC25" s="1271"/>
      <c r="EJD25" s="1271"/>
      <c r="EJE25" s="1271"/>
      <c r="EJF25" s="1271"/>
      <c r="EJG25" s="1271"/>
      <c r="EJH25" s="1271"/>
      <c r="EJI25" s="1271"/>
      <c r="EJJ25" s="1271"/>
      <c r="EJK25" s="1271"/>
      <c r="EJL25" s="1271"/>
      <c r="EJM25" s="1271"/>
      <c r="EJN25" s="1271"/>
      <c r="EJO25" s="1271"/>
      <c r="EJP25" s="1271"/>
      <c r="EJQ25" s="1271"/>
      <c r="EJR25" s="1271"/>
      <c r="EJS25" s="1271"/>
      <c r="EJT25" s="1271"/>
      <c r="EJU25" s="1271"/>
      <c r="EJV25" s="1271"/>
      <c r="EJW25" s="1271"/>
      <c r="EJX25" s="1271"/>
      <c r="EJY25" s="1271"/>
      <c r="EJZ25" s="1271"/>
      <c r="EKA25" s="1271"/>
      <c r="EKB25" s="1271"/>
      <c r="EKC25" s="1271"/>
      <c r="EKD25" s="1271"/>
      <c r="EKE25" s="1271"/>
      <c r="EKF25" s="1271"/>
      <c r="EKG25" s="1271"/>
      <c r="EKH25" s="1271"/>
      <c r="EKI25" s="1271"/>
      <c r="EKJ25" s="1271"/>
      <c r="EKK25" s="1271"/>
      <c r="EKL25" s="1271"/>
      <c r="EKM25" s="1271"/>
      <c r="EKN25" s="1271"/>
      <c r="EKO25" s="1271"/>
      <c r="EKP25" s="1271"/>
      <c r="EKQ25" s="1271"/>
      <c r="EKR25" s="1271"/>
      <c r="EKS25" s="1271"/>
      <c r="EKT25" s="1271"/>
      <c r="EKU25" s="1271"/>
      <c r="EKV25" s="1271"/>
      <c r="EKW25" s="1271"/>
      <c r="EKX25" s="1271"/>
      <c r="EKY25" s="1271"/>
      <c r="EKZ25" s="1271"/>
      <c r="ELA25" s="1271"/>
      <c r="ELB25" s="1271"/>
      <c r="ELC25" s="1271"/>
      <c r="ELD25" s="1271"/>
      <c r="ELE25" s="1271"/>
      <c r="ELF25" s="1271"/>
      <c r="ELG25" s="1271"/>
      <c r="ELH25" s="1271"/>
      <c r="ELI25" s="1271"/>
      <c r="ELJ25" s="1271"/>
      <c r="ELK25" s="1271"/>
      <c r="ELL25" s="1271"/>
      <c r="ELM25" s="1271"/>
      <c r="ELN25" s="1271"/>
      <c r="ELO25" s="1271"/>
      <c r="ELP25" s="1271"/>
      <c r="ELQ25" s="1271"/>
      <c r="ELR25" s="1271"/>
      <c r="ELS25" s="1271"/>
      <c r="ELT25" s="1271"/>
      <c r="ELU25" s="1271"/>
      <c r="ELV25" s="1271"/>
      <c r="ELW25" s="1271"/>
      <c r="ELX25" s="1271"/>
      <c r="ELY25" s="1271"/>
      <c r="ELZ25" s="1271"/>
      <c r="EMA25" s="1271"/>
      <c r="EMB25" s="1271"/>
      <c r="EMC25" s="1271"/>
      <c r="EMD25" s="1271"/>
      <c r="EME25" s="1271"/>
      <c r="EMF25" s="1271"/>
      <c r="EMG25" s="1271"/>
      <c r="EMH25" s="1271"/>
      <c r="EMI25" s="1271"/>
      <c r="EMJ25" s="1271"/>
      <c r="EMK25" s="1271"/>
      <c r="EML25" s="1271"/>
      <c r="EMM25" s="1271"/>
      <c r="EMN25" s="1271"/>
      <c r="EMO25" s="1271"/>
      <c r="EMP25" s="1271"/>
      <c r="EMQ25" s="1271"/>
      <c r="EMR25" s="1271"/>
      <c r="EMS25" s="1271"/>
      <c r="EMT25" s="1271"/>
      <c r="EMU25" s="1271"/>
      <c r="EMV25" s="1271"/>
      <c r="EMW25" s="1271"/>
      <c r="EMX25" s="1271"/>
      <c r="EMY25" s="1271"/>
      <c r="EMZ25" s="1271"/>
      <c r="ENA25" s="1271"/>
      <c r="ENB25" s="1271"/>
      <c r="ENC25" s="1271"/>
      <c r="END25" s="1271"/>
      <c r="ENE25" s="1271"/>
      <c r="ENF25" s="1271"/>
      <c r="ENG25" s="1271"/>
      <c r="ENH25" s="1271"/>
      <c r="ENI25" s="1271"/>
      <c r="ENJ25" s="1271"/>
      <c r="ENK25" s="1271"/>
      <c r="ENL25" s="1271"/>
      <c r="ENM25" s="1271"/>
      <c r="ENN25" s="1271"/>
      <c r="ENO25" s="1271"/>
      <c r="ENP25" s="1271"/>
      <c r="ENQ25" s="1271"/>
      <c r="ENR25" s="1271"/>
      <c r="ENS25" s="1271"/>
      <c r="ENT25" s="1271"/>
      <c r="ENU25" s="1271"/>
      <c r="ENV25" s="1271"/>
      <c r="ENW25" s="1271"/>
      <c r="ENX25" s="1271"/>
      <c r="ENY25" s="1271"/>
      <c r="ENZ25" s="1271"/>
      <c r="EOA25" s="1271"/>
      <c r="EOB25" s="1271"/>
      <c r="EOC25" s="1271"/>
      <c r="EOD25" s="1271"/>
      <c r="EOE25" s="1271"/>
      <c r="EOF25" s="1271"/>
      <c r="EOG25" s="1271"/>
      <c r="EOH25" s="1271"/>
      <c r="EOI25" s="1271"/>
      <c r="EOJ25" s="1271"/>
      <c r="EOK25" s="1271"/>
      <c r="EOL25" s="1271"/>
      <c r="EOM25" s="1271"/>
      <c r="EON25" s="1271"/>
      <c r="EOO25" s="1271"/>
      <c r="EOP25" s="1271"/>
      <c r="EOQ25" s="1271"/>
      <c r="EOR25" s="1271"/>
      <c r="EOS25" s="1271"/>
      <c r="EOT25" s="1271"/>
      <c r="EOU25" s="1271"/>
      <c r="EOV25" s="1271"/>
      <c r="EOW25" s="1271"/>
      <c r="EOX25" s="1271"/>
      <c r="EOY25" s="1271"/>
      <c r="EOZ25" s="1271"/>
      <c r="EPA25" s="1271"/>
      <c r="EPB25" s="1271"/>
      <c r="EPC25" s="1271"/>
      <c r="EPD25" s="1271"/>
      <c r="EPE25" s="1271"/>
      <c r="EPF25" s="1271"/>
      <c r="EPG25" s="1271"/>
      <c r="EPH25" s="1271"/>
      <c r="EPI25" s="1271"/>
      <c r="EPJ25" s="1271"/>
      <c r="EPK25" s="1271"/>
      <c r="EPL25" s="1271"/>
      <c r="EPM25" s="1271"/>
      <c r="EPN25" s="1271"/>
      <c r="EPO25" s="1271"/>
      <c r="EPP25" s="1271"/>
      <c r="EPQ25" s="1271"/>
      <c r="EPR25" s="1271"/>
      <c r="EPS25" s="1271"/>
      <c r="EPT25" s="1271"/>
      <c r="EPU25" s="1271"/>
      <c r="EPV25" s="1271"/>
      <c r="EPW25" s="1271"/>
      <c r="EPX25" s="1271"/>
      <c r="EPY25" s="1271"/>
      <c r="EPZ25" s="1271"/>
      <c r="EQA25" s="1271"/>
      <c r="EQB25" s="1271"/>
      <c r="EQC25" s="1271"/>
      <c r="EQD25" s="1271"/>
      <c r="EQE25" s="1271"/>
      <c r="EQF25" s="1271"/>
      <c r="EQG25" s="1271"/>
      <c r="EQH25" s="1271"/>
      <c r="EQI25" s="1271"/>
      <c r="EQJ25" s="1271"/>
      <c r="EQK25" s="1271"/>
      <c r="EQL25" s="1271"/>
      <c r="EQM25" s="1271"/>
      <c r="EQN25" s="1271"/>
      <c r="EQO25" s="1271"/>
      <c r="EQP25" s="1271"/>
      <c r="EQQ25" s="1271"/>
      <c r="EQR25" s="1271"/>
      <c r="EQS25" s="1271"/>
      <c r="EQT25" s="1271"/>
      <c r="EQU25" s="1271"/>
      <c r="EQV25" s="1271"/>
      <c r="EQW25" s="1271"/>
      <c r="EQX25" s="1271"/>
      <c r="EQY25" s="1271"/>
      <c r="EQZ25" s="1271"/>
      <c r="ERA25" s="1271"/>
      <c r="ERB25" s="1271"/>
      <c r="ERC25" s="1271"/>
      <c r="ERD25" s="1271"/>
      <c r="ERE25" s="1271"/>
      <c r="ERF25" s="1271"/>
      <c r="ERG25" s="1271"/>
      <c r="ERH25" s="1271"/>
      <c r="ERI25" s="1271"/>
      <c r="ERJ25" s="1271"/>
      <c r="ERK25" s="1271"/>
      <c r="ERL25" s="1271"/>
      <c r="ERM25" s="1271"/>
      <c r="ERN25" s="1271"/>
      <c r="ERO25" s="1271"/>
      <c r="ERP25" s="1271"/>
      <c r="ERQ25" s="1271"/>
      <c r="ERR25" s="1271"/>
      <c r="ERS25" s="1271"/>
      <c r="ERT25" s="1271"/>
      <c r="ERU25" s="1271"/>
      <c r="ERV25" s="1271"/>
      <c r="ERW25" s="1271"/>
      <c r="ERX25" s="1271"/>
      <c r="ERY25" s="1271"/>
      <c r="ERZ25" s="1271"/>
      <c r="ESA25" s="1271"/>
      <c r="ESB25" s="1271"/>
      <c r="ESC25" s="1271"/>
      <c r="ESD25" s="1271"/>
      <c r="ESE25" s="1271"/>
      <c r="ESF25" s="1271"/>
      <c r="ESG25" s="1271"/>
      <c r="ESH25" s="1271"/>
      <c r="ESI25" s="1271"/>
      <c r="ESJ25" s="1271"/>
      <c r="ESK25" s="1271"/>
      <c r="ESL25" s="1271"/>
      <c r="ESM25" s="1271"/>
      <c r="ESN25" s="1271"/>
      <c r="ESO25" s="1271"/>
      <c r="ESP25" s="1271"/>
      <c r="ESQ25" s="1271"/>
      <c r="ESR25" s="1271"/>
      <c r="ESS25" s="1271"/>
      <c r="EST25" s="1271"/>
      <c r="ESU25" s="1271"/>
      <c r="ESV25" s="1271"/>
      <c r="ESW25" s="1271"/>
      <c r="ESX25" s="1271"/>
      <c r="ESY25" s="1271"/>
      <c r="ESZ25" s="1271"/>
      <c r="ETA25" s="1271"/>
      <c r="ETB25" s="1271"/>
      <c r="ETC25" s="1271"/>
      <c r="ETD25" s="1271"/>
      <c r="ETE25" s="1271"/>
      <c r="ETF25" s="1271"/>
      <c r="ETG25" s="1271"/>
      <c r="ETH25" s="1271"/>
      <c r="ETI25" s="1271"/>
      <c r="ETJ25" s="1271"/>
      <c r="ETK25" s="1271"/>
      <c r="ETL25" s="1271"/>
      <c r="ETM25" s="1271"/>
      <c r="ETN25" s="1271"/>
      <c r="ETO25" s="1271"/>
      <c r="ETP25" s="1271"/>
      <c r="ETQ25" s="1271"/>
      <c r="ETR25" s="1271"/>
      <c r="ETS25" s="1271"/>
      <c r="ETT25" s="1271"/>
      <c r="ETU25" s="1271"/>
      <c r="ETV25" s="1271"/>
      <c r="ETW25" s="1271"/>
      <c r="ETX25" s="1271"/>
      <c r="ETY25" s="1271"/>
      <c r="ETZ25" s="1271"/>
      <c r="EUA25" s="1271"/>
      <c r="EUB25" s="1271"/>
      <c r="EUC25" s="1271"/>
      <c r="EUD25" s="1271"/>
      <c r="EUE25" s="1271"/>
      <c r="EUF25" s="1271"/>
      <c r="EUG25" s="1271"/>
      <c r="EUH25" s="1271"/>
      <c r="EUI25" s="1271"/>
      <c r="EUJ25" s="1271"/>
      <c r="EUK25" s="1271"/>
      <c r="EUL25" s="1271"/>
      <c r="EUM25" s="1271"/>
      <c r="EUN25" s="1271"/>
      <c r="EUO25" s="1271"/>
      <c r="EUP25" s="1271"/>
      <c r="EUQ25" s="1271"/>
      <c r="EUR25" s="1271"/>
      <c r="EUS25" s="1271"/>
      <c r="EUT25" s="1271"/>
      <c r="EUU25" s="1271"/>
      <c r="EUV25" s="1271"/>
      <c r="EUW25" s="1271"/>
      <c r="EUX25" s="1271"/>
      <c r="EUY25" s="1271"/>
      <c r="EUZ25" s="1271"/>
      <c r="EVA25" s="1271"/>
      <c r="EVB25" s="1271"/>
      <c r="EVC25" s="1271"/>
      <c r="EVD25" s="1271"/>
      <c r="EVE25" s="1271"/>
      <c r="EVF25" s="1271"/>
      <c r="EVG25" s="1271"/>
      <c r="EVH25" s="1271"/>
      <c r="EVI25" s="1271"/>
      <c r="EVJ25" s="1271"/>
      <c r="EVK25" s="1271"/>
      <c r="EVL25" s="1271"/>
      <c r="EVM25" s="1271"/>
      <c r="EVN25" s="1271"/>
      <c r="EVO25" s="1271"/>
      <c r="EVP25" s="1271"/>
      <c r="EVQ25" s="1271"/>
      <c r="EVR25" s="1271"/>
      <c r="EVS25" s="1271"/>
      <c r="EVT25" s="1271"/>
      <c r="EVU25" s="1271"/>
      <c r="EVV25" s="1271"/>
      <c r="EVW25" s="1271"/>
      <c r="EVX25" s="1271"/>
      <c r="EVY25" s="1271"/>
      <c r="EVZ25" s="1271"/>
      <c r="EWA25" s="1271"/>
      <c r="EWB25" s="1271"/>
      <c r="EWC25" s="1271"/>
      <c r="EWD25" s="1271"/>
      <c r="EWE25" s="1271"/>
      <c r="EWF25" s="1271"/>
      <c r="EWG25" s="1271"/>
      <c r="EWH25" s="1271"/>
      <c r="EWI25" s="1271"/>
      <c r="EWJ25" s="1271"/>
      <c r="EWK25" s="1271"/>
      <c r="EWL25" s="1271"/>
      <c r="EWM25" s="1271"/>
      <c r="EWN25" s="1271"/>
      <c r="EWO25" s="1271"/>
      <c r="EWP25" s="1271"/>
      <c r="EWQ25" s="1271"/>
      <c r="EWR25" s="1271"/>
      <c r="EWS25" s="1271"/>
      <c r="EWT25" s="1271"/>
      <c r="EWU25" s="1271"/>
      <c r="EWV25" s="1271"/>
      <c r="EWW25" s="1271"/>
      <c r="EWX25" s="1271"/>
      <c r="EWY25" s="1271"/>
      <c r="EWZ25" s="1271"/>
      <c r="EXA25" s="1271"/>
      <c r="EXB25" s="1271"/>
      <c r="EXC25" s="1271"/>
      <c r="EXD25" s="1271"/>
      <c r="EXE25" s="1271"/>
      <c r="EXF25" s="1271"/>
      <c r="EXG25" s="1271"/>
      <c r="EXH25" s="1271"/>
      <c r="EXI25" s="1271"/>
      <c r="EXJ25" s="1271"/>
      <c r="EXK25" s="1271"/>
      <c r="EXL25" s="1271"/>
      <c r="EXM25" s="1271"/>
      <c r="EXN25" s="1271"/>
      <c r="EXO25" s="1271"/>
      <c r="EXP25" s="1271"/>
      <c r="EXQ25" s="1271"/>
      <c r="EXR25" s="1271"/>
      <c r="EXS25" s="1271"/>
      <c r="EXT25" s="1271"/>
      <c r="EXU25" s="1271"/>
      <c r="EXV25" s="1271"/>
      <c r="EXW25" s="1271"/>
      <c r="EXX25" s="1271"/>
      <c r="EXY25" s="1271"/>
      <c r="EXZ25" s="1271"/>
      <c r="EYA25" s="1271"/>
      <c r="EYB25" s="1271"/>
      <c r="EYC25" s="1271"/>
      <c r="EYD25" s="1271"/>
      <c r="EYE25" s="1271"/>
      <c r="EYF25" s="1271"/>
      <c r="EYG25" s="1271"/>
      <c r="EYH25" s="1271"/>
      <c r="EYI25" s="1271"/>
      <c r="EYJ25" s="1271"/>
      <c r="EYK25" s="1271"/>
      <c r="EYL25" s="1271"/>
      <c r="EYM25" s="1271"/>
      <c r="EYN25" s="1271"/>
      <c r="EYO25" s="1271"/>
      <c r="EYP25" s="1271"/>
      <c r="EYQ25" s="1271"/>
      <c r="EYR25" s="1271"/>
      <c r="EYS25" s="1271"/>
      <c r="EYT25" s="1271"/>
      <c r="EYU25" s="1271"/>
      <c r="EYV25" s="1271"/>
      <c r="EYW25" s="1271"/>
      <c r="EYX25" s="1271"/>
      <c r="EYY25" s="1271"/>
      <c r="EYZ25" s="1271"/>
      <c r="EZA25" s="1271"/>
      <c r="EZB25" s="1271"/>
      <c r="EZC25" s="1271"/>
      <c r="EZD25" s="1271"/>
      <c r="EZE25" s="1271"/>
      <c r="EZF25" s="1271"/>
      <c r="EZG25" s="1271"/>
      <c r="EZH25" s="1271"/>
      <c r="EZI25" s="1271"/>
      <c r="EZJ25" s="1271"/>
      <c r="EZK25" s="1271"/>
      <c r="EZL25" s="1271"/>
      <c r="EZM25" s="1271"/>
      <c r="EZN25" s="1271"/>
      <c r="EZO25" s="1271"/>
      <c r="EZP25" s="1271"/>
      <c r="EZQ25" s="1271"/>
      <c r="EZR25" s="1271"/>
      <c r="EZS25" s="1271"/>
      <c r="EZT25" s="1271"/>
      <c r="EZU25" s="1271"/>
      <c r="EZV25" s="1271"/>
      <c r="EZW25" s="1271"/>
      <c r="EZX25" s="1271"/>
      <c r="EZY25" s="1271"/>
      <c r="EZZ25" s="1271"/>
      <c r="FAA25" s="1271"/>
      <c r="FAB25" s="1271"/>
      <c r="FAC25" s="1271"/>
      <c r="FAD25" s="1271"/>
      <c r="FAE25" s="1271"/>
      <c r="FAF25" s="1271"/>
      <c r="FAG25" s="1271"/>
      <c r="FAH25" s="1271"/>
      <c r="FAI25" s="1271"/>
      <c r="FAJ25" s="1271"/>
      <c r="FAK25" s="1271"/>
      <c r="FAL25" s="1271"/>
      <c r="FAM25" s="1271"/>
      <c r="FAN25" s="1271"/>
      <c r="FAO25" s="1271"/>
      <c r="FAP25" s="1271"/>
      <c r="FAQ25" s="1271"/>
      <c r="FAR25" s="1271"/>
      <c r="FAS25" s="1271"/>
      <c r="FAT25" s="1271"/>
      <c r="FAU25" s="1271"/>
      <c r="FAV25" s="1271"/>
      <c r="FAW25" s="1271"/>
      <c r="FAX25" s="1271"/>
      <c r="FAY25" s="1271"/>
      <c r="FAZ25" s="1271"/>
      <c r="FBA25" s="1271"/>
      <c r="FBB25" s="1271"/>
      <c r="FBC25" s="1271"/>
      <c r="FBD25" s="1271"/>
      <c r="FBE25" s="1271"/>
      <c r="FBF25" s="1271"/>
      <c r="FBG25" s="1271"/>
      <c r="FBH25" s="1271"/>
      <c r="FBI25" s="1271"/>
      <c r="FBJ25" s="1271"/>
      <c r="FBK25" s="1271"/>
      <c r="FBL25" s="1271"/>
      <c r="FBM25" s="1271"/>
      <c r="FBN25" s="1271"/>
      <c r="FBO25" s="1271"/>
      <c r="FBP25" s="1271"/>
      <c r="FBQ25" s="1271"/>
      <c r="FBR25" s="1271"/>
      <c r="FBS25" s="1271"/>
      <c r="FBT25" s="1271"/>
      <c r="FBU25" s="1271"/>
      <c r="FBV25" s="1271"/>
      <c r="FBW25" s="1271"/>
      <c r="FBX25" s="1271"/>
      <c r="FBY25" s="1271"/>
      <c r="FBZ25" s="1271"/>
      <c r="FCA25" s="1271"/>
      <c r="FCB25" s="1271"/>
      <c r="FCC25" s="1271"/>
      <c r="FCD25" s="1271"/>
      <c r="FCE25" s="1271"/>
      <c r="FCF25" s="1271"/>
      <c r="FCG25" s="1271"/>
      <c r="FCH25" s="1271"/>
      <c r="FCI25" s="1271"/>
      <c r="FCJ25" s="1271"/>
      <c r="FCK25" s="1271"/>
      <c r="FCL25" s="1271"/>
      <c r="FCM25" s="1271"/>
      <c r="FCN25" s="1271"/>
      <c r="FCO25" s="1271"/>
      <c r="FCP25" s="1271"/>
      <c r="FCQ25" s="1271"/>
      <c r="FCR25" s="1271"/>
      <c r="FCS25" s="1271"/>
      <c r="FCT25" s="1271"/>
      <c r="FCU25" s="1271"/>
      <c r="FCV25" s="1271"/>
      <c r="FCW25" s="1271"/>
      <c r="FCX25" s="1271"/>
      <c r="FCY25" s="1271"/>
      <c r="FCZ25" s="1271"/>
      <c r="FDA25" s="1271"/>
      <c r="FDB25" s="1271"/>
      <c r="FDC25" s="1271"/>
      <c r="FDD25" s="1271"/>
      <c r="FDE25" s="1271"/>
      <c r="FDF25" s="1271"/>
      <c r="FDG25" s="1271"/>
      <c r="FDH25" s="1271"/>
      <c r="FDI25" s="1271"/>
      <c r="FDJ25" s="1271"/>
      <c r="FDK25" s="1271"/>
      <c r="FDL25" s="1271"/>
      <c r="FDM25" s="1271"/>
      <c r="FDN25" s="1271"/>
      <c r="FDO25" s="1271"/>
      <c r="FDP25" s="1271"/>
      <c r="FDQ25" s="1271"/>
      <c r="FDR25" s="1271"/>
      <c r="FDS25" s="1271"/>
      <c r="FDT25" s="1271"/>
      <c r="FDU25" s="1271"/>
      <c r="FDV25" s="1271"/>
      <c r="FDW25" s="1271"/>
      <c r="FDX25" s="1271"/>
      <c r="FDY25" s="1271"/>
      <c r="FDZ25" s="1271"/>
      <c r="FEA25" s="1271"/>
      <c r="FEB25" s="1271"/>
      <c r="FEC25" s="1271"/>
      <c r="FED25" s="1271"/>
      <c r="FEE25" s="1271"/>
      <c r="FEF25" s="1271"/>
      <c r="FEG25" s="1271"/>
      <c r="FEH25" s="1271"/>
      <c r="FEI25" s="1271"/>
      <c r="FEJ25" s="1271"/>
      <c r="FEK25" s="1271"/>
      <c r="FEL25" s="1271"/>
      <c r="FEM25" s="1271"/>
      <c r="FEN25" s="1271"/>
      <c r="FEO25" s="1271"/>
      <c r="FEP25" s="1271"/>
      <c r="FEQ25" s="1271"/>
      <c r="FER25" s="1271"/>
      <c r="FES25" s="1271"/>
      <c r="FET25" s="1271"/>
      <c r="FEU25" s="1271"/>
      <c r="FEV25" s="1271"/>
      <c r="FEW25" s="1271"/>
      <c r="FEX25" s="1271"/>
      <c r="FEY25" s="1271"/>
      <c r="FEZ25" s="1271"/>
      <c r="FFA25" s="1271"/>
      <c r="FFB25" s="1271"/>
      <c r="FFC25" s="1271"/>
      <c r="FFD25" s="1271"/>
      <c r="FFE25" s="1271"/>
      <c r="FFF25" s="1271"/>
      <c r="FFG25" s="1271"/>
      <c r="FFH25" s="1271"/>
      <c r="FFI25" s="1271"/>
      <c r="FFJ25" s="1271"/>
      <c r="FFK25" s="1271"/>
      <c r="FFL25" s="1271"/>
      <c r="FFM25" s="1271"/>
      <c r="FFN25" s="1271"/>
      <c r="FFO25" s="1271"/>
      <c r="FFP25" s="1271"/>
      <c r="FFQ25" s="1271"/>
      <c r="FFR25" s="1271"/>
      <c r="FFS25" s="1271"/>
      <c r="FFT25" s="1271"/>
      <c r="FFU25" s="1271"/>
      <c r="FFV25" s="1271"/>
      <c r="FFW25" s="1271"/>
      <c r="FFX25" s="1271"/>
      <c r="FFY25" s="1271"/>
      <c r="FFZ25" s="1271"/>
      <c r="FGA25" s="1271"/>
      <c r="FGB25" s="1271"/>
      <c r="FGC25" s="1271"/>
      <c r="FGD25" s="1271"/>
      <c r="FGE25" s="1271"/>
      <c r="FGF25" s="1271"/>
      <c r="FGG25" s="1271"/>
      <c r="FGH25" s="1271"/>
      <c r="FGI25" s="1271"/>
      <c r="FGJ25" s="1271"/>
      <c r="FGK25" s="1271"/>
      <c r="FGL25" s="1271"/>
      <c r="FGM25" s="1271"/>
      <c r="FGN25" s="1271"/>
      <c r="FGO25" s="1271"/>
      <c r="FGP25" s="1271"/>
      <c r="FGQ25" s="1271"/>
      <c r="FGR25" s="1271"/>
      <c r="FGS25" s="1271"/>
      <c r="FGT25" s="1271"/>
      <c r="FGU25" s="1271"/>
      <c r="FGV25" s="1271"/>
      <c r="FGW25" s="1271"/>
      <c r="FGX25" s="1271"/>
      <c r="FGY25" s="1271"/>
      <c r="FGZ25" s="1271"/>
      <c r="FHA25" s="1271"/>
      <c r="FHB25" s="1271"/>
      <c r="FHC25" s="1271"/>
      <c r="FHD25" s="1271"/>
      <c r="FHE25" s="1271"/>
      <c r="FHF25" s="1271"/>
      <c r="FHG25" s="1271"/>
      <c r="FHH25" s="1271"/>
      <c r="FHI25" s="1271"/>
      <c r="FHJ25" s="1271"/>
      <c r="FHK25" s="1271"/>
      <c r="FHL25" s="1271"/>
      <c r="FHM25" s="1271"/>
      <c r="FHN25" s="1271"/>
      <c r="FHO25" s="1271"/>
      <c r="FHP25" s="1271"/>
      <c r="FHQ25" s="1271"/>
      <c r="FHR25" s="1271"/>
      <c r="FHS25" s="1271"/>
      <c r="FHT25" s="1271"/>
      <c r="FHU25" s="1271"/>
      <c r="FHV25" s="1271"/>
      <c r="FHW25" s="1271"/>
      <c r="FHX25" s="1271"/>
      <c r="FHY25" s="1271"/>
      <c r="FHZ25" s="1271"/>
      <c r="FIA25" s="1271"/>
      <c r="FIB25" s="1271"/>
      <c r="FIC25" s="1271"/>
      <c r="FID25" s="1271"/>
      <c r="FIE25" s="1271"/>
      <c r="FIF25" s="1271"/>
      <c r="FIG25" s="1271"/>
      <c r="FIH25" s="1271"/>
      <c r="FII25" s="1271"/>
      <c r="FIJ25" s="1271"/>
      <c r="FIK25" s="1271"/>
      <c r="FIL25" s="1271"/>
      <c r="FIM25" s="1271"/>
      <c r="FIN25" s="1271"/>
      <c r="FIO25" s="1271"/>
      <c r="FIP25" s="1271"/>
      <c r="FIQ25" s="1271"/>
      <c r="FIR25" s="1271"/>
      <c r="FIS25" s="1271"/>
      <c r="FIT25" s="1271"/>
      <c r="FIU25" s="1271"/>
      <c r="FIV25" s="1271"/>
      <c r="FIW25" s="1271"/>
      <c r="FIX25" s="1271"/>
      <c r="FIY25" s="1271"/>
      <c r="FIZ25" s="1271"/>
      <c r="FJA25" s="1271"/>
      <c r="FJB25" s="1271"/>
      <c r="FJC25" s="1271"/>
      <c r="FJD25" s="1271"/>
      <c r="FJE25" s="1271"/>
      <c r="FJF25" s="1271"/>
      <c r="FJG25" s="1271"/>
      <c r="FJH25" s="1271"/>
      <c r="FJI25" s="1271"/>
      <c r="FJJ25" s="1271"/>
      <c r="FJK25" s="1271"/>
      <c r="FJL25" s="1271"/>
      <c r="FJM25" s="1271"/>
      <c r="FJN25" s="1271"/>
      <c r="FJO25" s="1271"/>
      <c r="FJP25" s="1271"/>
      <c r="FJQ25" s="1271"/>
      <c r="FJR25" s="1271"/>
      <c r="FJS25" s="1271"/>
      <c r="FJT25" s="1271"/>
      <c r="FJU25" s="1271"/>
      <c r="FJV25" s="1271"/>
      <c r="FJW25" s="1271"/>
      <c r="FJX25" s="1271"/>
      <c r="FJY25" s="1271"/>
      <c r="FJZ25" s="1271"/>
      <c r="FKA25" s="1271"/>
      <c r="FKB25" s="1271"/>
      <c r="FKC25" s="1271"/>
      <c r="FKD25" s="1271"/>
      <c r="FKE25" s="1271"/>
      <c r="FKF25" s="1271"/>
      <c r="FKG25" s="1271"/>
      <c r="FKH25" s="1271"/>
      <c r="FKI25" s="1271"/>
      <c r="FKJ25" s="1271"/>
      <c r="FKK25" s="1271"/>
      <c r="FKL25" s="1271"/>
      <c r="FKM25" s="1271"/>
      <c r="FKN25" s="1271"/>
      <c r="FKO25" s="1271"/>
      <c r="FKP25" s="1271"/>
      <c r="FKQ25" s="1271"/>
      <c r="FKR25" s="1271"/>
      <c r="FKS25" s="1271"/>
      <c r="FKT25" s="1271"/>
      <c r="FKU25" s="1271"/>
      <c r="FKV25" s="1271"/>
      <c r="FKW25" s="1271"/>
      <c r="FKX25" s="1271"/>
      <c r="FKY25" s="1271"/>
      <c r="FKZ25" s="1271"/>
      <c r="FLA25" s="1271"/>
      <c r="FLB25" s="1271"/>
      <c r="FLC25" s="1271"/>
      <c r="FLD25" s="1271"/>
      <c r="FLE25" s="1271"/>
      <c r="FLF25" s="1271"/>
      <c r="FLG25" s="1271"/>
      <c r="FLH25" s="1271"/>
      <c r="FLI25" s="1271"/>
      <c r="FLJ25" s="1271"/>
      <c r="FLK25" s="1271"/>
      <c r="FLL25" s="1271"/>
      <c r="FLM25" s="1271"/>
      <c r="FLN25" s="1271"/>
      <c r="FLO25" s="1271"/>
      <c r="FLP25" s="1271"/>
      <c r="FLQ25" s="1271"/>
      <c r="FLR25" s="1271"/>
      <c r="FLS25" s="1271"/>
      <c r="FLT25" s="1271"/>
      <c r="FLU25" s="1271"/>
      <c r="FLV25" s="1271"/>
      <c r="FLW25" s="1271"/>
      <c r="FLX25" s="1271"/>
      <c r="FLY25" s="1271"/>
      <c r="FLZ25" s="1271"/>
      <c r="FMA25" s="1271"/>
      <c r="FMB25" s="1271"/>
      <c r="FMC25" s="1271"/>
      <c r="FMD25" s="1271"/>
      <c r="FME25" s="1271"/>
      <c r="FMF25" s="1271"/>
      <c r="FMG25" s="1271"/>
      <c r="FMH25" s="1271"/>
      <c r="FMI25" s="1271"/>
      <c r="FMJ25" s="1271"/>
      <c r="FMK25" s="1271"/>
      <c r="FML25" s="1271"/>
      <c r="FMM25" s="1271"/>
      <c r="FMN25" s="1271"/>
      <c r="FMO25" s="1271"/>
      <c r="FMP25" s="1271"/>
      <c r="FMQ25" s="1271"/>
      <c r="FMR25" s="1271"/>
      <c r="FMS25" s="1271"/>
      <c r="FMT25" s="1271"/>
      <c r="FMU25" s="1271"/>
      <c r="FMV25" s="1271"/>
      <c r="FMW25" s="1271"/>
      <c r="FMX25" s="1271"/>
      <c r="FMY25" s="1271"/>
      <c r="FMZ25" s="1271"/>
      <c r="FNA25" s="1271"/>
      <c r="FNB25" s="1271"/>
      <c r="FNC25" s="1271"/>
      <c r="FND25" s="1271"/>
      <c r="FNE25" s="1271"/>
      <c r="FNF25" s="1271"/>
      <c r="FNG25" s="1271"/>
      <c r="FNH25" s="1271"/>
      <c r="FNI25" s="1271"/>
      <c r="FNJ25" s="1271"/>
      <c r="FNK25" s="1271"/>
      <c r="FNL25" s="1271"/>
      <c r="FNM25" s="1271"/>
      <c r="FNN25" s="1271"/>
      <c r="FNO25" s="1271"/>
      <c r="FNP25" s="1271"/>
      <c r="FNQ25" s="1271"/>
      <c r="FNR25" s="1271"/>
      <c r="FNS25" s="1271"/>
      <c r="FNT25" s="1271"/>
      <c r="FNU25" s="1271"/>
      <c r="FNV25" s="1271"/>
      <c r="FNW25" s="1271"/>
      <c r="FNX25" s="1271"/>
      <c r="FNY25" s="1271"/>
      <c r="FNZ25" s="1271"/>
      <c r="FOA25" s="1271"/>
      <c r="FOB25" s="1271"/>
      <c r="FOC25" s="1271"/>
      <c r="FOD25" s="1271"/>
      <c r="FOE25" s="1271"/>
      <c r="FOF25" s="1271"/>
      <c r="FOG25" s="1271"/>
      <c r="FOH25" s="1271"/>
      <c r="FOI25" s="1271"/>
      <c r="FOJ25" s="1271"/>
      <c r="FOK25" s="1271"/>
      <c r="FOL25" s="1271"/>
      <c r="FOM25" s="1271"/>
      <c r="FON25" s="1271"/>
      <c r="FOO25" s="1271"/>
      <c r="FOP25" s="1271"/>
      <c r="FOQ25" s="1271"/>
      <c r="FOR25" s="1271"/>
      <c r="FOS25" s="1271"/>
      <c r="FOT25" s="1271"/>
      <c r="FOU25" s="1271"/>
      <c r="FOV25" s="1271"/>
      <c r="FOW25" s="1271"/>
      <c r="FOX25" s="1271"/>
      <c r="FOY25" s="1271"/>
      <c r="FOZ25" s="1271"/>
      <c r="FPA25" s="1271"/>
      <c r="FPB25" s="1271"/>
      <c r="FPC25" s="1271"/>
      <c r="FPD25" s="1271"/>
      <c r="FPE25" s="1271"/>
      <c r="FPF25" s="1271"/>
      <c r="FPG25" s="1271"/>
      <c r="FPH25" s="1271"/>
      <c r="FPI25" s="1271"/>
      <c r="FPJ25" s="1271"/>
      <c r="FPK25" s="1271"/>
      <c r="FPL25" s="1271"/>
      <c r="FPM25" s="1271"/>
      <c r="FPN25" s="1271"/>
      <c r="FPO25" s="1271"/>
      <c r="FPP25" s="1271"/>
      <c r="FPQ25" s="1271"/>
      <c r="FPR25" s="1271"/>
      <c r="FPS25" s="1271"/>
      <c r="FPT25" s="1271"/>
      <c r="FPU25" s="1271"/>
      <c r="FPV25" s="1271"/>
      <c r="FPW25" s="1271"/>
      <c r="FPX25" s="1271"/>
      <c r="FPY25" s="1271"/>
      <c r="FPZ25" s="1271"/>
      <c r="FQA25" s="1271"/>
      <c r="FQB25" s="1271"/>
      <c r="FQC25" s="1271"/>
      <c r="FQD25" s="1271"/>
      <c r="FQE25" s="1271"/>
      <c r="FQF25" s="1271"/>
      <c r="FQG25" s="1271"/>
      <c r="FQH25" s="1271"/>
      <c r="FQI25" s="1271"/>
      <c r="FQJ25" s="1271"/>
      <c r="FQK25" s="1271"/>
      <c r="FQL25" s="1271"/>
      <c r="FQM25" s="1271"/>
      <c r="FQN25" s="1271"/>
      <c r="FQO25" s="1271"/>
      <c r="FQP25" s="1271"/>
      <c r="FQQ25" s="1271"/>
      <c r="FQR25" s="1271"/>
      <c r="FQS25" s="1271"/>
      <c r="FQT25" s="1271"/>
      <c r="FQU25" s="1271"/>
      <c r="FQV25" s="1271"/>
      <c r="FQW25" s="1271"/>
      <c r="FQX25" s="1271"/>
      <c r="FQY25" s="1271"/>
      <c r="FQZ25" s="1271"/>
      <c r="FRA25" s="1271"/>
      <c r="FRB25" s="1271"/>
      <c r="FRC25" s="1271"/>
      <c r="FRD25" s="1271"/>
      <c r="FRE25" s="1271"/>
      <c r="FRF25" s="1271"/>
      <c r="FRG25" s="1271"/>
      <c r="FRH25" s="1271"/>
      <c r="FRI25" s="1271"/>
      <c r="FRJ25" s="1271"/>
      <c r="FRK25" s="1271"/>
      <c r="FRL25" s="1271"/>
      <c r="FRM25" s="1271"/>
      <c r="FRN25" s="1271"/>
      <c r="FRO25" s="1271"/>
      <c r="FRP25" s="1271"/>
      <c r="FRQ25" s="1271"/>
      <c r="FRR25" s="1271"/>
      <c r="FRS25" s="1271"/>
      <c r="FRT25" s="1271"/>
      <c r="FRU25" s="1271"/>
      <c r="FRV25" s="1271"/>
      <c r="FRW25" s="1271"/>
      <c r="FRX25" s="1271"/>
      <c r="FRY25" s="1271"/>
      <c r="FRZ25" s="1271"/>
      <c r="FSA25" s="1271"/>
      <c r="FSB25" s="1271"/>
      <c r="FSC25" s="1271"/>
      <c r="FSD25" s="1271"/>
      <c r="FSE25" s="1271"/>
      <c r="FSF25" s="1271"/>
      <c r="FSG25" s="1271"/>
      <c r="FSH25" s="1271"/>
      <c r="FSI25" s="1271"/>
      <c r="FSJ25" s="1271"/>
      <c r="FSK25" s="1271"/>
      <c r="FSL25" s="1271"/>
      <c r="FSM25" s="1271"/>
      <c r="FSN25" s="1271"/>
      <c r="FSO25" s="1271"/>
      <c r="FSP25" s="1271"/>
      <c r="FSQ25" s="1271"/>
      <c r="FSR25" s="1271"/>
      <c r="FSS25" s="1271"/>
      <c r="FST25" s="1271"/>
      <c r="FSU25" s="1271"/>
      <c r="FSV25" s="1271"/>
      <c r="FSW25" s="1271"/>
      <c r="FSX25" s="1271"/>
      <c r="FSY25" s="1271"/>
      <c r="FSZ25" s="1271"/>
      <c r="FTA25" s="1271"/>
      <c r="FTB25" s="1271"/>
      <c r="FTC25" s="1271"/>
      <c r="FTD25" s="1271"/>
      <c r="FTE25" s="1271"/>
      <c r="FTF25" s="1271"/>
      <c r="FTG25" s="1271"/>
      <c r="FTH25" s="1271"/>
      <c r="FTI25" s="1271"/>
      <c r="FTJ25" s="1271"/>
      <c r="FTK25" s="1271"/>
      <c r="FTL25" s="1271"/>
      <c r="FTM25" s="1271"/>
      <c r="FTN25" s="1271"/>
      <c r="FTO25" s="1271"/>
      <c r="FTP25" s="1271"/>
      <c r="FTQ25" s="1271"/>
      <c r="FTR25" s="1271"/>
      <c r="FTS25" s="1271"/>
      <c r="FTT25" s="1271"/>
      <c r="FTU25" s="1271"/>
      <c r="FTV25" s="1271"/>
      <c r="FTW25" s="1271"/>
      <c r="FTX25" s="1271"/>
      <c r="FTY25" s="1271"/>
      <c r="FTZ25" s="1271"/>
      <c r="FUA25" s="1271"/>
      <c r="FUB25" s="1271"/>
      <c r="FUC25" s="1271"/>
      <c r="FUD25" s="1271"/>
      <c r="FUE25" s="1271"/>
      <c r="FUF25" s="1271"/>
      <c r="FUG25" s="1271"/>
      <c r="FUH25" s="1271"/>
      <c r="FUI25" s="1271"/>
      <c r="FUJ25" s="1271"/>
      <c r="FUK25" s="1271"/>
      <c r="FUL25" s="1271"/>
      <c r="FUM25" s="1271"/>
      <c r="FUN25" s="1271"/>
      <c r="FUO25" s="1271"/>
      <c r="FUP25" s="1271"/>
      <c r="FUQ25" s="1271"/>
      <c r="FUR25" s="1271"/>
      <c r="FUS25" s="1271"/>
      <c r="FUT25" s="1271"/>
      <c r="FUU25" s="1271"/>
      <c r="FUV25" s="1271"/>
      <c r="FUW25" s="1271"/>
      <c r="FUX25" s="1271"/>
      <c r="FUY25" s="1271"/>
      <c r="FUZ25" s="1271"/>
      <c r="FVA25" s="1271"/>
      <c r="FVB25" s="1271"/>
      <c r="FVC25" s="1271"/>
      <c r="FVD25" s="1271"/>
      <c r="FVE25" s="1271"/>
      <c r="FVF25" s="1271"/>
      <c r="FVG25" s="1271"/>
      <c r="FVH25" s="1271"/>
      <c r="FVI25" s="1271"/>
      <c r="FVJ25" s="1271"/>
      <c r="FVK25" s="1271"/>
      <c r="FVL25" s="1271"/>
      <c r="FVM25" s="1271"/>
      <c r="FVN25" s="1271"/>
      <c r="FVO25" s="1271"/>
      <c r="FVP25" s="1271"/>
      <c r="FVQ25" s="1271"/>
      <c r="FVR25" s="1271"/>
      <c r="FVS25" s="1271"/>
      <c r="FVT25" s="1271"/>
      <c r="FVU25" s="1271"/>
      <c r="FVV25" s="1271"/>
      <c r="FVW25" s="1271"/>
      <c r="FVX25" s="1271"/>
      <c r="FVY25" s="1271"/>
      <c r="FVZ25" s="1271"/>
      <c r="FWA25" s="1271"/>
      <c r="FWB25" s="1271"/>
      <c r="FWC25" s="1271"/>
      <c r="FWD25" s="1271"/>
      <c r="FWE25" s="1271"/>
      <c r="FWF25" s="1271"/>
      <c r="FWG25" s="1271"/>
      <c r="FWH25" s="1271"/>
      <c r="FWI25" s="1271"/>
      <c r="FWJ25" s="1271"/>
      <c r="FWK25" s="1271"/>
      <c r="FWL25" s="1271"/>
      <c r="FWM25" s="1271"/>
      <c r="FWN25" s="1271"/>
      <c r="FWO25" s="1271"/>
      <c r="FWP25" s="1271"/>
      <c r="FWQ25" s="1271"/>
      <c r="FWR25" s="1271"/>
      <c r="FWS25" s="1271"/>
      <c r="FWT25" s="1271"/>
      <c r="FWU25" s="1271"/>
      <c r="FWV25" s="1271"/>
      <c r="FWW25" s="1271"/>
      <c r="FWX25" s="1271"/>
      <c r="FWY25" s="1271"/>
      <c r="FWZ25" s="1271"/>
      <c r="FXA25" s="1271"/>
      <c r="FXB25" s="1271"/>
      <c r="FXC25" s="1271"/>
      <c r="FXD25" s="1271"/>
      <c r="FXE25" s="1271"/>
      <c r="FXF25" s="1271"/>
      <c r="FXG25" s="1271"/>
      <c r="FXH25" s="1271"/>
      <c r="FXI25" s="1271"/>
      <c r="FXJ25" s="1271"/>
      <c r="FXK25" s="1271"/>
      <c r="FXL25" s="1271"/>
      <c r="FXM25" s="1271"/>
      <c r="FXN25" s="1271"/>
      <c r="FXO25" s="1271"/>
      <c r="FXP25" s="1271"/>
      <c r="FXQ25" s="1271"/>
      <c r="FXR25" s="1271"/>
      <c r="FXS25" s="1271"/>
      <c r="FXT25" s="1271"/>
      <c r="FXU25" s="1271"/>
      <c r="FXV25" s="1271"/>
      <c r="FXW25" s="1271"/>
      <c r="FXX25" s="1271"/>
      <c r="FXY25" s="1271"/>
      <c r="FXZ25" s="1271"/>
      <c r="FYA25" s="1271"/>
      <c r="FYB25" s="1271"/>
      <c r="FYC25" s="1271"/>
      <c r="FYD25" s="1271"/>
      <c r="FYE25" s="1271"/>
      <c r="FYF25" s="1271"/>
      <c r="FYG25" s="1271"/>
      <c r="FYH25" s="1271"/>
      <c r="FYI25" s="1271"/>
      <c r="FYJ25" s="1271"/>
      <c r="FYK25" s="1271"/>
      <c r="FYL25" s="1271"/>
      <c r="FYM25" s="1271"/>
      <c r="FYN25" s="1271"/>
      <c r="FYO25" s="1271"/>
      <c r="FYP25" s="1271"/>
      <c r="FYQ25" s="1271"/>
      <c r="FYR25" s="1271"/>
      <c r="FYS25" s="1271"/>
      <c r="FYT25" s="1271"/>
      <c r="FYU25" s="1271"/>
      <c r="FYV25" s="1271"/>
      <c r="FYW25" s="1271"/>
      <c r="FYX25" s="1271"/>
      <c r="FYY25" s="1271"/>
      <c r="FYZ25" s="1271"/>
      <c r="FZA25" s="1271"/>
      <c r="FZB25" s="1271"/>
      <c r="FZC25" s="1271"/>
      <c r="FZD25" s="1271"/>
      <c r="FZE25" s="1271"/>
      <c r="FZF25" s="1271"/>
      <c r="FZG25" s="1271"/>
      <c r="FZH25" s="1271"/>
      <c r="FZI25" s="1271"/>
      <c r="FZJ25" s="1271"/>
      <c r="FZK25" s="1271"/>
      <c r="FZL25" s="1271"/>
      <c r="FZM25" s="1271"/>
      <c r="FZN25" s="1271"/>
      <c r="FZO25" s="1271"/>
      <c r="FZP25" s="1271"/>
      <c r="FZQ25" s="1271"/>
      <c r="FZR25" s="1271"/>
      <c r="FZS25" s="1271"/>
      <c r="FZT25" s="1271"/>
      <c r="FZU25" s="1271"/>
      <c r="FZV25" s="1271"/>
      <c r="FZW25" s="1271"/>
      <c r="FZX25" s="1271"/>
      <c r="FZY25" s="1271"/>
      <c r="FZZ25" s="1271"/>
      <c r="GAA25" s="1271"/>
      <c r="GAB25" s="1271"/>
      <c r="GAC25" s="1271"/>
      <c r="GAD25" s="1271"/>
      <c r="GAE25" s="1271"/>
      <c r="GAF25" s="1271"/>
      <c r="GAG25" s="1271"/>
      <c r="GAH25" s="1271"/>
      <c r="GAI25" s="1271"/>
      <c r="GAJ25" s="1271"/>
      <c r="GAK25" s="1271"/>
      <c r="GAL25" s="1271"/>
      <c r="GAM25" s="1271"/>
      <c r="GAN25" s="1271"/>
      <c r="GAO25" s="1271"/>
      <c r="GAP25" s="1271"/>
      <c r="GAQ25" s="1271"/>
      <c r="GAR25" s="1271"/>
      <c r="GAS25" s="1271"/>
      <c r="GAT25" s="1271"/>
      <c r="GAU25" s="1271"/>
      <c r="GAV25" s="1271"/>
      <c r="GAW25" s="1271"/>
      <c r="GAX25" s="1271"/>
      <c r="GAY25" s="1271"/>
      <c r="GAZ25" s="1271"/>
      <c r="GBA25" s="1271"/>
      <c r="GBB25" s="1271"/>
      <c r="GBC25" s="1271"/>
      <c r="GBD25" s="1271"/>
      <c r="GBE25" s="1271"/>
      <c r="GBF25" s="1271"/>
      <c r="GBG25" s="1271"/>
      <c r="GBH25" s="1271"/>
      <c r="GBI25" s="1271"/>
      <c r="GBJ25" s="1271"/>
      <c r="GBK25" s="1271"/>
      <c r="GBL25" s="1271"/>
      <c r="GBM25" s="1271"/>
      <c r="GBN25" s="1271"/>
      <c r="GBO25" s="1271"/>
      <c r="GBP25" s="1271"/>
      <c r="GBQ25" s="1271"/>
      <c r="GBR25" s="1271"/>
      <c r="GBS25" s="1271"/>
      <c r="GBT25" s="1271"/>
      <c r="GBU25" s="1271"/>
      <c r="GBV25" s="1271"/>
      <c r="GBW25" s="1271"/>
      <c r="GBX25" s="1271"/>
      <c r="GBY25" s="1271"/>
      <c r="GBZ25" s="1271"/>
      <c r="GCA25" s="1271"/>
      <c r="GCB25" s="1271"/>
      <c r="GCC25" s="1271"/>
      <c r="GCD25" s="1271"/>
      <c r="GCE25" s="1271"/>
      <c r="GCF25" s="1271"/>
      <c r="GCG25" s="1271"/>
      <c r="GCH25" s="1271"/>
      <c r="GCI25" s="1271"/>
      <c r="GCJ25" s="1271"/>
      <c r="GCK25" s="1271"/>
      <c r="GCL25" s="1271"/>
      <c r="GCM25" s="1271"/>
      <c r="GCN25" s="1271"/>
      <c r="GCO25" s="1271"/>
      <c r="GCP25" s="1271"/>
      <c r="GCQ25" s="1271"/>
      <c r="GCR25" s="1271"/>
      <c r="GCS25" s="1271"/>
      <c r="GCT25" s="1271"/>
      <c r="GCU25" s="1271"/>
      <c r="GCV25" s="1271"/>
      <c r="GCW25" s="1271"/>
      <c r="GCX25" s="1271"/>
      <c r="GCY25" s="1271"/>
      <c r="GCZ25" s="1271"/>
      <c r="GDA25" s="1271"/>
      <c r="GDB25" s="1271"/>
      <c r="GDC25" s="1271"/>
      <c r="GDD25" s="1271"/>
      <c r="GDE25" s="1271"/>
      <c r="GDF25" s="1271"/>
      <c r="GDG25" s="1271"/>
      <c r="GDH25" s="1271"/>
      <c r="GDI25" s="1271"/>
      <c r="GDJ25" s="1271"/>
      <c r="GDK25" s="1271"/>
      <c r="GDL25" s="1271"/>
      <c r="GDM25" s="1271"/>
      <c r="GDN25" s="1271"/>
      <c r="GDO25" s="1271"/>
      <c r="GDP25" s="1271"/>
      <c r="GDQ25" s="1271"/>
      <c r="GDR25" s="1271"/>
      <c r="GDS25" s="1271"/>
      <c r="GDT25" s="1271"/>
      <c r="GDU25" s="1271"/>
      <c r="GDV25" s="1271"/>
      <c r="GDW25" s="1271"/>
      <c r="GDX25" s="1271"/>
      <c r="GDY25" s="1271"/>
      <c r="GDZ25" s="1271"/>
      <c r="GEA25" s="1271"/>
      <c r="GEB25" s="1271"/>
      <c r="GEC25" s="1271"/>
      <c r="GED25" s="1271"/>
      <c r="GEE25" s="1271"/>
      <c r="GEF25" s="1271"/>
      <c r="GEG25" s="1271"/>
      <c r="GEH25" s="1271"/>
      <c r="GEI25" s="1271"/>
      <c r="GEJ25" s="1271"/>
      <c r="GEK25" s="1271"/>
      <c r="GEL25" s="1271"/>
      <c r="GEM25" s="1271"/>
      <c r="GEN25" s="1271"/>
      <c r="GEO25" s="1271"/>
      <c r="GEP25" s="1271"/>
      <c r="GEQ25" s="1271"/>
      <c r="GER25" s="1271"/>
      <c r="GES25" s="1271"/>
      <c r="GET25" s="1271"/>
      <c r="GEU25" s="1271"/>
      <c r="GEV25" s="1271"/>
      <c r="GEW25" s="1271"/>
      <c r="GEX25" s="1271"/>
      <c r="GEY25" s="1271"/>
      <c r="GEZ25" s="1271"/>
      <c r="GFA25" s="1271"/>
      <c r="GFB25" s="1271"/>
      <c r="GFC25" s="1271"/>
      <c r="GFD25" s="1271"/>
      <c r="GFE25" s="1271"/>
      <c r="GFF25" s="1271"/>
      <c r="GFG25" s="1271"/>
      <c r="GFH25" s="1271"/>
      <c r="GFI25" s="1271"/>
      <c r="GFJ25" s="1271"/>
      <c r="GFK25" s="1271"/>
      <c r="GFL25" s="1271"/>
      <c r="GFM25" s="1271"/>
      <c r="GFN25" s="1271"/>
      <c r="GFO25" s="1271"/>
      <c r="GFP25" s="1271"/>
      <c r="GFQ25" s="1271"/>
      <c r="GFR25" s="1271"/>
      <c r="GFS25" s="1271"/>
      <c r="GFT25" s="1271"/>
      <c r="GFU25" s="1271"/>
      <c r="GFV25" s="1271"/>
      <c r="GFW25" s="1271"/>
      <c r="GFX25" s="1271"/>
      <c r="GFY25" s="1271"/>
      <c r="GFZ25" s="1271"/>
      <c r="GGA25" s="1271"/>
      <c r="GGB25" s="1271"/>
      <c r="GGC25" s="1271"/>
      <c r="GGD25" s="1271"/>
      <c r="GGE25" s="1271"/>
      <c r="GGF25" s="1271"/>
      <c r="GGG25" s="1271"/>
      <c r="GGH25" s="1271"/>
      <c r="GGI25" s="1271"/>
      <c r="GGJ25" s="1271"/>
      <c r="GGK25" s="1271"/>
      <c r="GGL25" s="1271"/>
      <c r="GGM25" s="1271"/>
      <c r="GGN25" s="1271"/>
      <c r="GGO25" s="1271"/>
      <c r="GGP25" s="1271"/>
      <c r="GGQ25" s="1271"/>
      <c r="GGR25" s="1271"/>
      <c r="GGS25" s="1271"/>
      <c r="GGT25" s="1271"/>
      <c r="GGU25" s="1271"/>
      <c r="GGV25" s="1271"/>
      <c r="GGW25" s="1271"/>
      <c r="GGX25" s="1271"/>
      <c r="GGY25" s="1271"/>
      <c r="GGZ25" s="1271"/>
      <c r="GHA25" s="1271"/>
      <c r="GHB25" s="1271"/>
      <c r="GHC25" s="1271"/>
      <c r="GHD25" s="1271"/>
      <c r="GHE25" s="1271"/>
      <c r="GHF25" s="1271"/>
      <c r="GHG25" s="1271"/>
      <c r="GHH25" s="1271"/>
      <c r="GHI25" s="1271"/>
      <c r="GHJ25" s="1271"/>
      <c r="GHK25" s="1271"/>
      <c r="GHL25" s="1271"/>
      <c r="GHM25" s="1271"/>
      <c r="GHN25" s="1271"/>
      <c r="GHO25" s="1271"/>
      <c r="GHP25" s="1271"/>
      <c r="GHQ25" s="1271"/>
      <c r="GHR25" s="1271"/>
      <c r="GHS25" s="1271"/>
      <c r="GHT25" s="1271"/>
      <c r="GHU25" s="1271"/>
      <c r="GHV25" s="1271"/>
      <c r="GHW25" s="1271"/>
      <c r="GHX25" s="1271"/>
      <c r="GHY25" s="1271"/>
      <c r="GHZ25" s="1271"/>
      <c r="GIA25" s="1271"/>
      <c r="GIB25" s="1271"/>
      <c r="GIC25" s="1271"/>
      <c r="GID25" s="1271"/>
      <c r="GIE25" s="1271"/>
      <c r="GIF25" s="1271"/>
      <c r="GIG25" s="1271"/>
      <c r="GIH25" s="1271"/>
      <c r="GII25" s="1271"/>
      <c r="GIJ25" s="1271"/>
      <c r="GIK25" s="1271"/>
      <c r="GIL25" s="1271"/>
      <c r="GIM25" s="1271"/>
      <c r="GIN25" s="1271"/>
      <c r="GIO25" s="1271"/>
      <c r="GIP25" s="1271"/>
      <c r="GIQ25" s="1271"/>
      <c r="GIR25" s="1271"/>
      <c r="GIS25" s="1271"/>
      <c r="GIT25" s="1271"/>
      <c r="GIU25" s="1271"/>
      <c r="GIV25" s="1271"/>
      <c r="GIW25" s="1271"/>
      <c r="GIX25" s="1271"/>
      <c r="GIY25" s="1271"/>
      <c r="GIZ25" s="1271"/>
      <c r="GJA25" s="1271"/>
      <c r="GJB25" s="1271"/>
      <c r="GJC25" s="1271"/>
      <c r="GJD25" s="1271"/>
      <c r="GJE25" s="1271"/>
      <c r="GJF25" s="1271"/>
      <c r="GJG25" s="1271"/>
      <c r="GJH25" s="1271"/>
      <c r="GJI25" s="1271"/>
      <c r="GJJ25" s="1271"/>
      <c r="GJK25" s="1271"/>
      <c r="GJL25" s="1271"/>
      <c r="GJM25" s="1271"/>
      <c r="GJN25" s="1271"/>
      <c r="GJO25" s="1271"/>
      <c r="GJP25" s="1271"/>
      <c r="GJQ25" s="1271"/>
      <c r="GJR25" s="1271"/>
      <c r="GJS25" s="1271"/>
      <c r="GJT25" s="1271"/>
      <c r="GJU25" s="1271"/>
      <c r="GJV25" s="1271"/>
      <c r="GJW25" s="1271"/>
      <c r="GJX25" s="1271"/>
      <c r="GJY25" s="1271"/>
      <c r="GJZ25" s="1271"/>
      <c r="GKA25" s="1271"/>
      <c r="GKB25" s="1271"/>
      <c r="GKC25" s="1271"/>
      <c r="GKD25" s="1271"/>
      <c r="GKE25" s="1271"/>
      <c r="GKF25" s="1271"/>
      <c r="GKG25" s="1271"/>
      <c r="GKH25" s="1271"/>
      <c r="GKI25" s="1271"/>
      <c r="GKJ25" s="1271"/>
      <c r="GKK25" s="1271"/>
      <c r="GKL25" s="1271"/>
      <c r="GKM25" s="1271"/>
      <c r="GKN25" s="1271"/>
      <c r="GKO25" s="1271"/>
      <c r="GKP25" s="1271"/>
      <c r="GKQ25" s="1271"/>
      <c r="GKR25" s="1271"/>
      <c r="GKS25" s="1271"/>
      <c r="GKT25" s="1271"/>
      <c r="GKU25" s="1271"/>
      <c r="GKV25" s="1271"/>
      <c r="GKW25" s="1271"/>
      <c r="GKX25" s="1271"/>
      <c r="GKY25" s="1271"/>
      <c r="GKZ25" s="1271"/>
      <c r="GLA25" s="1271"/>
      <c r="GLB25" s="1271"/>
      <c r="GLC25" s="1271"/>
      <c r="GLD25" s="1271"/>
      <c r="GLE25" s="1271"/>
      <c r="GLF25" s="1271"/>
      <c r="GLG25" s="1271"/>
      <c r="GLH25" s="1271"/>
      <c r="GLI25" s="1271"/>
      <c r="GLJ25" s="1271"/>
      <c r="GLK25" s="1271"/>
      <c r="GLL25" s="1271"/>
      <c r="GLM25" s="1271"/>
      <c r="GLN25" s="1271"/>
      <c r="GLO25" s="1271"/>
      <c r="GLP25" s="1271"/>
      <c r="GLQ25" s="1271"/>
      <c r="GLR25" s="1271"/>
      <c r="GLS25" s="1271"/>
      <c r="GLT25" s="1271"/>
      <c r="GLU25" s="1271"/>
      <c r="GLV25" s="1271"/>
      <c r="GLW25" s="1271"/>
      <c r="GLX25" s="1271"/>
      <c r="GLY25" s="1271"/>
      <c r="GLZ25" s="1271"/>
      <c r="GMA25" s="1271"/>
      <c r="GMB25" s="1271"/>
      <c r="GMC25" s="1271"/>
      <c r="GMD25" s="1271"/>
      <c r="GME25" s="1271"/>
      <c r="GMF25" s="1271"/>
      <c r="GMG25" s="1271"/>
      <c r="GMH25" s="1271"/>
      <c r="GMI25" s="1271"/>
      <c r="GMJ25" s="1271"/>
      <c r="GMK25" s="1271"/>
      <c r="GML25" s="1271"/>
      <c r="GMM25" s="1271"/>
      <c r="GMN25" s="1271"/>
      <c r="GMO25" s="1271"/>
      <c r="GMP25" s="1271"/>
      <c r="GMQ25" s="1271"/>
      <c r="GMR25" s="1271"/>
      <c r="GMS25" s="1271"/>
      <c r="GMT25" s="1271"/>
      <c r="GMU25" s="1271"/>
      <c r="GMV25" s="1271"/>
      <c r="GMW25" s="1271"/>
      <c r="GMX25" s="1271"/>
      <c r="GMY25" s="1271"/>
      <c r="GMZ25" s="1271"/>
      <c r="GNA25" s="1271"/>
      <c r="GNB25" s="1271"/>
      <c r="GNC25" s="1271"/>
      <c r="GND25" s="1271"/>
      <c r="GNE25" s="1271"/>
      <c r="GNF25" s="1271"/>
      <c r="GNG25" s="1271"/>
      <c r="GNH25" s="1271"/>
      <c r="GNI25" s="1271"/>
      <c r="GNJ25" s="1271"/>
      <c r="GNK25" s="1271"/>
      <c r="GNL25" s="1271"/>
      <c r="GNM25" s="1271"/>
      <c r="GNN25" s="1271"/>
      <c r="GNO25" s="1271"/>
      <c r="GNP25" s="1271"/>
      <c r="GNQ25" s="1271"/>
      <c r="GNR25" s="1271"/>
      <c r="GNS25" s="1271"/>
      <c r="GNT25" s="1271"/>
      <c r="GNU25" s="1271"/>
      <c r="GNV25" s="1271"/>
      <c r="GNW25" s="1271"/>
      <c r="GNX25" s="1271"/>
      <c r="GNY25" s="1271"/>
      <c r="GNZ25" s="1271"/>
      <c r="GOA25" s="1271"/>
      <c r="GOB25" s="1271"/>
      <c r="GOC25" s="1271"/>
      <c r="GOD25" s="1271"/>
      <c r="GOE25" s="1271"/>
      <c r="GOF25" s="1271"/>
      <c r="GOG25" s="1271"/>
      <c r="GOH25" s="1271"/>
      <c r="GOI25" s="1271"/>
      <c r="GOJ25" s="1271"/>
      <c r="GOK25" s="1271"/>
      <c r="GOL25" s="1271"/>
      <c r="GOM25" s="1271"/>
      <c r="GON25" s="1271"/>
      <c r="GOO25" s="1271"/>
      <c r="GOP25" s="1271"/>
      <c r="GOQ25" s="1271"/>
      <c r="GOR25" s="1271"/>
      <c r="GOS25" s="1271"/>
      <c r="GOT25" s="1271"/>
      <c r="GOU25" s="1271"/>
      <c r="GOV25" s="1271"/>
      <c r="GOW25" s="1271"/>
      <c r="GOX25" s="1271"/>
      <c r="GOY25" s="1271"/>
      <c r="GOZ25" s="1271"/>
      <c r="GPA25" s="1271"/>
      <c r="GPB25" s="1271"/>
      <c r="GPC25" s="1271"/>
      <c r="GPD25" s="1271"/>
      <c r="GPE25" s="1271"/>
      <c r="GPF25" s="1271"/>
      <c r="GPG25" s="1271"/>
      <c r="GPH25" s="1271"/>
      <c r="GPI25" s="1271"/>
      <c r="GPJ25" s="1271"/>
      <c r="GPK25" s="1271"/>
      <c r="GPL25" s="1271"/>
      <c r="GPM25" s="1271"/>
      <c r="GPN25" s="1271"/>
      <c r="GPO25" s="1271"/>
      <c r="GPP25" s="1271"/>
      <c r="GPQ25" s="1271"/>
      <c r="GPR25" s="1271"/>
      <c r="GPS25" s="1271"/>
      <c r="GPT25" s="1271"/>
      <c r="GPU25" s="1271"/>
      <c r="GPV25" s="1271"/>
      <c r="GPW25" s="1271"/>
      <c r="GPX25" s="1271"/>
      <c r="GPY25" s="1271"/>
      <c r="GPZ25" s="1271"/>
      <c r="GQA25" s="1271"/>
      <c r="GQB25" s="1271"/>
      <c r="GQC25" s="1271"/>
      <c r="GQD25" s="1271"/>
      <c r="GQE25" s="1271"/>
      <c r="GQF25" s="1271"/>
      <c r="GQG25" s="1271"/>
      <c r="GQH25" s="1271"/>
      <c r="GQI25" s="1271"/>
      <c r="GQJ25" s="1271"/>
      <c r="GQK25" s="1271"/>
      <c r="GQL25" s="1271"/>
      <c r="GQM25" s="1271"/>
      <c r="GQN25" s="1271"/>
      <c r="GQO25" s="1271"/>
      <c r="GQP25" s="1271"/>
      <c r="GQQ25" s="1271"/>
      <c r="GQR25" s="1271"/>
      <c r="GQS25" s="1271"/>
      <c r="GQT25" s="1271"/>
      <c r="GQU25" s="1271"/>
      <c r="GQV25" s="1271"/>
      <c r="GQW25" s="1271"/>
      <c r="GQX25" s="1271"/>
      <c r="GQY25" s="1271"/>
      <c r="GQZ25" s="1271"/>
      <c r="GRA25" s="1271"/>
      <c r="GRB25" s="1271"/>
      <c r="GRC25" s="1271"/>
      <c r="GRD25" s="1271"/>
      <c r="GRE25" s="1271"/>
      <c r="GRF25" s="1271"/>
      <c r="GRG25" s="1271"/>
      <c r="GRH25" s="1271"/>
      <c r="GRI25" s="1271"/>
      <c r="GRJ25" s="1271"/>
      <c r="GRK25" s="1271"/>
      <c r="GRL25" s="1271"/>
      <c r="GRM25" s="1271"/>
      <c r="GRN25" s="1271"/>
      <c r="GRO25" s="1271"/>
      <c r="GRP25" s="1271"/>
      <c r="GRQ25" s="1271"/>
      <c r="GRR25" s="1271"/>
      <c r="GRS25" s="1271"/>
      <c r="GRT25" s="1271"/>
      <c r="GRU25" s="1271"/>
      <c r="GRV25" s="1271"/>
      <c r="GRW25" s="1271"/>
      <c r="GRX25" s="1271"/>
      <c r="GRY25" s="1271"/>
      <c r="GRZ25" s="1271"/>
      <c r="GSA25" s="1271"/>
      <c r="GSB25" s="1271"/>
      <c r="GSC25" s="1271"/>
      <c r="GSD25" s="1271"/>
      <c r="GSE25" s="1271"/>
      <c r="GSF25" s="1271"/>
      <c r="GSG25" s="1271"/>
      <c r="GSH25" s="1271"/>
      <c r="GSI25" s="1271"/>
      <c r="GSJ25" s="1271"/>
      <c r="GSK25" s="1271"/>
      <c r="GSL25" s="1271"/>
      <c r="GSM25" s="1271"/>
      <c r="GSN25" s="1271"/>
      <c r="GSO25" s="1271"/>
      <c r="GSP25" s="1271"/>
      <c r="GSQ25" s="1271"/>
      <c r="GSR25" s="1271"/>
      <c r="GSS25" s="1271"/>
      <c r="GST25" s="1271"/>
      <c r="GSU25" s="1271"/>
      <c r="GSV25" s="1271"/>
      <c r="GSW25" s="1271"/>
      <c r="GSX25" s="1271"/>
      <c r="GSY25" s="1271"/>
      <c r="GSZ25" s="1271"/>
      <c r="GTA25" s="1271"/>
      <c r="GTB25" s="1271"/>
      <c r="GTC25" s="1271"/>
      <c r="GTD25" s="1271"/>
      <c r="GTE25" s="1271"/>
      <c r="GTF25" s="1271"/>
      <c r="GTG25" s="1271"/>
      <c r="GTH25" s="1271"/>
      <c r="GTI25" s="1271"/>
      <c r="GTJ25" s="1271"/>
      <c r="GTK25" s="1271"/>
      <c r="GTL25" s="1271"/>
      <c r="GTM25" s="1271"/>
      <c r="GTN25" s="1271"/>
      <c r="GTO25" s="1271"/>
      <c r="GTP25" s="1271"/>
      <c r="GTQ25" s="1271"/>
      <c r="GTR25" s="1271"/>
      <c r="GTS25" s="1271"/>
      <c r="GTT25" s="1271"/>
      <c r="GTU25" s="1271"/>
      <c r="GTV25" s="1271"/>
      <c r="GTW25" s="1271"/>
      <c r="GTX25" s="1271"/>
      <c r="GTY25" s="1271"/>
      <c r="GTZ25" s="1271"/>
      <c r="GUA25" s="1271"/>
      <c r="GUB25" s="1271"/>
      <c r="GUC25" s="1271"/>
      <c r="GUD25" s="1271"/>
      <c r="GUE25" s="1271"/>
      <c r="GUF25" s="1271"/>
      <c r="GUG25" s="1271"/>
      <c r="GUH25" s="1271"/>
      <c r="GUI25" s="1271"/>
      <c r="GUJ25" s="1271"/>
      <c r="GUK25" s="1271"/>
      <c r="GUL25" s="1271"/>
      <c r="GUM25" s="1271"/>
      <c r="GUN25" s="1271"/>
      <c r="GUO25" s="1271"/>
      <c r="GUP25" s="1271"/>
      <c r="GUQ25" s="1271"/>
      <c r="GUR25" s="1271"/>
      <c r="GUS25" s="1271"/>
      <c r="GUT25" s="1271"/>
      <c r="GUU25" s="1271"/>
      <c r="GUV25" s="1271"/>
      <c r="GUW25" s="1271"/>
      <c r="GUX25" s="1271"/>
      <c r="GUY25" s="1271"/>
      <c r="GUZ25" s="1271"/>
      <c r="GVA25" s="1271"/>
      <c r="GVB25" s="1271"/>
      <c r="GVC25" s="1271"/>
      <c r="GVD25" s="1271"/>
      <c r="GVE25" s="1271"/>
      <c r="GVF25" s="1271"/>
      <c r="GVG25" s="1271"/>
      <c r="GVH25" s="1271"/>
      <c r="GVI25" s="1271"/>
      <c r="GVJ25" s="1271"/>
      <c r="GVK25" s="1271"/>
      <c r="GVL25" s="1271"/>
      <c r="GVM25" s="1271"/>
      <c r="GVN25" s="1271"/>
      <c r="GVO25" s="1271"/>
      <c r="GVP25" s="1271"/>
      <c r="GVQ25" s="1271"/>
      <c r="GVR25" s="1271"/>
      <c r="GVS25" s="1271"/>
      <c r="GVT25" s="1271"/>
      <c r="GVU25" s="1271"/>
      <c r="GVV25" s="1271"/>
      <c r="GVW25" s="1271"/>
      <c r="GVX25" s="1271"/>
      <c r="GVY25" s="1271"/>
      <c r="GVZ25" s="1271"/>
      <c r="GWA25" s="1271"/>
      <c r="GWB25" s="1271"/>
      <c r="GWC25" s="1271"/>
      <c r="GWD25" s="1271"/>
      <c r="GWE25" s="1271"/>
      <c r="GWF25" s="1271"/>
      <c r="GWG25" s="1271"/>
      <c r="GWH25" s="1271"/>
      <c r="GWI25" s="1271"/>
      <c r="GWJ25" s="1271"/>
      <c r="GWK25" s="1271"/>
      <c r="GWL25" s="1271"/>
      <c r="GWM25" s="1271"/>
      <c r="GWN25" s="1271"/>
      <c r="GWO25" s="1271"/>
      <c r="GWP25" s="1271"/>
      <c r="GWQ25" s="1271"/>
      <c r="GWR25" s="1271"/>
      <c r="GWS25" s="1271"/>
      <c r="GWT25" s="1271"/>
      <c r="GWU25" s="1271"/>
      <c r="GWV25" s="1271"/>
      <c r="GWW25" s="1271"/>
      <c r="GWX25" s="1271"/>
      <c r="GWY25" s="1271"/>
      <c r="GWZ25" s="1271"/>
      <c r="GXA25" s="1271"/>
      <c r="GXB25" s="1271"/>
      <c r="GXC25" s="1271"/>
      <c r="GXD25" s="1271"/>
      <c r="GXE25" s="1271"/>
      <c r="GXF25" s="1271"/>
      <c r="GXG25" s="1271"/>
      <c r="GXH25" s="1271"/>
      <c r="GXI25" s="1271"/>
      <c r="GXJ25" s="1271"/>
      <c r="GXK25" s="1271"/>
      <c r="GXL25" s="1271"/>
      <c r="GXM25" s="1271"/>
      <c r="GXN25" s="1271"/>
      <c r="GXO25" s="1271"/>
      <c r="GXP25" s="1271"/>
      <c r="GXQ25" s="1271"/>
      <c r="GXR25" s="1271"/>
      <c r="GXS25" s="1271"/>
      <c r="GXT25" s="1271"/>
      <c r="GXU25" s="1271"/>
      <c r="GXV25" s="1271"/>
      <c r="GXW25" s="1271"/>
      <c r="GXX25" s="1271"/>
      <c r="GXY25" s="1271"/>
      <c r="GXZ25" s="1271"/>
      <c r="GYA25" s="1271"/>
      <c r="GYB25" s="1271"/>
      <c r="GYC25" s="1271"/>
      <c r="GYD25" s="1271"/>
      <c r="GYE25" s="1271"/>
      <c r="GYF25" s="1271"/>
      <c r="GYG25" s="1271"/>
      <c r="GYH25" s="1271"/>
      <c r="GYI25" s="1271"/>
      <c r="GYJ25" s="1271"/>
      <c r="GYK25" s="1271"/>
      <c r="GYL25" s="1271"/>
      <c r="GYM25" s="1271"/>
      <c r="GYN25" s="1271"/>
      <c r="GYO25" s="1271"/>
      <c r="GYP25" s="1271"/>
      <c r="GYQ25" s="1271"/>
      <c r="GYR25" s="1271"/>
      <c r="GYS25" s="1271"/>
      <c r="GYT25" s="1271"/>
      <c r="GYU25" s="1271"/>
      <c r="GYV25" s="1271"/>
      <c r="GYW25" s="1271"/>
      <c r="GYX25" s="1271"/>
      <c r="GYY25" s="1271"/>
      <c r="GYZ25" s="1271"/>
      <c r="GZA25" s="1271"/>
      <c r="GZB25" s="1271"/>
      <c r="GZC25" s="1271"/>
      <c r="GZD25" s="1271"/>
      <c r="GZE25" s="1271"/>
      <c r="GZF25" s="1271"/>
      <c r="GZG25" s="1271"/>
      <c r="GZH25" s="1271"/>
      <c r="GZI25" s="1271"/>
      <c r="GZJ25" s="1271"/>
      <c r="GZK25" s="1271"/>
      <c r="GZL25" s="1271"/>
      <c r="GZM25" s="1271"/>
      <c r="GZN25" s="1271"/>
      <c r="GZO25" s="1271"/>
      <c r="GZP25" s="1271"/>
      <c r="GZQ25" s="1271"/>
      <c r="GZR25" s="1271"/>
      <c r="GZS25" s="1271"/>
      <c r="GZT25" s="1271"/>
      <c r="GZU25" s="1271"/>
      <c r="GZV25" s="1271"/>
      <c r="GZW25" s="1271"/>
      <c r="GZX25" s="1271"/>
      <c r="GZY25" s="1271"/>
      <c r="GZZ25" s="1271"/>
      <c r="HAA25" s="1271"/>
      <c r="HAB25" s="1271"/>
      <c r="HAC25" s="1271"/>
      <c r="HAD25" s="1271"/>
      <c r="HAE25" s="1271"/>
      <c r="HAF25" s="1271"/>
      <c r="HAG25" s="1271"/>
      <c r="HAH25" s="1271"/>
      <c r="HAI25" s="1271"/>
      <c r="HAJ25" s="1271"/>
      <c r="HAK25" s="1271"/>
      <c r="HAL25" s="1271"/>
      <c r="HAM25" s="1271"/>
      <c r="HAN25" s="1271"/>
      <c r="HAO25" s="1271"/>
      <c r="HAP25" s="1271"/>
      <c r="HAQ25" s="1271"/>
      <c r="HAR25" s="1271"/>
      <c r="HAS25" s="1271"/>
      <c r="HAT25" s="1271"/>
      <c r="HAU25" s="1271"/>
      <c r="HAV25" s="1271"/>
      <c r="HAW25" s="1271"/>
      <c r="HAX25" s="1271"/>
      <c r="HAY25" s="1271"/>
      <c r="HAZ25" s="1271"/>
      <c r="HBA25" s="1271"/>
      <c r="HBB25" s="1271"/>
      <c r="HBC25" s="1271"/>
      <c r="HBD25" s="1271"/>
      <c r="HBE25" s="1271"/>
      <c r="HBF25" s="1271"/>
      <c r="HBG25" s="1271"/>
      <c r="HBH25" s="1271"/>
      <c r="HBI25" s="1271"/>
      <c r="HBJ25" s="1271"/>
      <c r="HBK25" s="1271"/>
      <c r="HBL25" s="1271"/>
      <c r="HBM25" s="1271"/>
      <c r="HBN25" s="1271"/>
      <c r="HBO25" s="1271"/>
      <c r="HBP25" s="1271"/>
      <c r="HBQ25" s="1271"/>
      <c r="HBR25" s="1271"/>
      <c r="HBS25" s="1271"/>
      <c r="HBT25" s="1271"/>
      <c r="HBU25" s="1271"/>
      <c r="HBV25" s="1271"/>
      <c r="HBW25" s="1271"/>
      <c r="HBX25" s="1271"/>
      <c r="HBY25" s="1271"/>
      <c r="HBZ25" s="1271"/>
      <c r="HCA25" s="1271"/>
      <c r="HCB25" s="1271"/>
      <c r="HCC25" s="1271"/>
      <c r="HCD25" s="1271"/>
      <c r="HCE25" s="1271"/>
      <c r="HCF25" s="1271"/>
      <c r="HCG25" s="1271"/>
      <c r="HCH25" s="1271"/>
      <c r="HCI25" s="1271"/>
      <c r="HCJ25" s="1271"/>
      <c r="HCK25" s="1271"/>
      <c r="HCL25" s="1271"/>
      <c r="HCM25" s="1271"/>
      <c r="HCN25" s="1271"/>
      <c r="HCO25" s="1271"/>
      <c r="HCP25" s="1271"/>
      <c r="HCQ25" s="1271"/>
      <c r="HCR25" s="1271"/>
      <c r="HCS25" s="1271"/>
      <c r="HCT25" s="1271"/>
      <c r="HCU25" s="1271"/>
      <c r="HCV25" s="1271"/>
      <c r="HCW25" s="1271"/>
      <c r="HCX25" s="1271"/>
      <c r="HCY25" s="1271"/>
      <c r="HCZ25" s="1271"/>
      <c r="HDA25" s="1271"/>
      <c r="HDB25" s="1271"/>
      <c r="HDC25" s="1271"/>
      <c r="HDD25" s="1271"/>
      <c r="HDE25" s="1271"/>
      <c r="HDF25" s="1271"/>
      <c r="HDG25" s="1271"/>
      <c r="HDH25" s="1271"/>
      <c r="HDI25" s="1271"/>
      <c r="HDJ25" s="1271"/>
      <c r="HDK25" s="1271"/>
      <c r="HDL25" s="1271"/>
      <c r="HDM25" s="1271"/>
      <c r="HDN25" s="1271"/>
      <c r="HDO25" s="1271"/>
      <c r="HDP25" s="1271"/>
      <c r="HDQ25" s="1271"/>
      <c r="HDR25" s="1271"/>
      <c r="HDS25" s="1271"/>
      <c r="HDT25" s="1271"/>
      <c r="HDU25" s="1271"/>
      <c r="HDV25" s="1271"/>
      <c r="HDW25" s="1271"/>
      <c r="HDX25" s="1271"/>
      <c r="HDY25" s="1271"/>
      <c r="HDZ25" s="1271"/>
      <c r="HEA25" s="1271"/>
      <c r="HEB25" s="1271"/>
      <c r="HEC25" s="1271"/>
      <c r="HED25" s="1271"/>
      <c r="HEE25" s="1271"/>
      <c r="HEF25" s="1271"/>
      <c r="HEG25" s="1271"/>
      <c r="HEH25" s="1271"/>
      <c r="HEI25" s="1271"/>
      <c r="HEJ25" s="1271"/>
      <c r="HEK25" s="1271"/>
      <c r="HEL25" s="1271"/>
      <c r="HEM25" s="1271"/>
      <c r="HEN25" s="1271"/>
      <c r="HEO25" s="1271"/>
      <c r="HEP25" s="1271"/>
      <c r="HEQ25" s="1271"/>
      <c r="HER25" s="1271"/>
      <c r="HES25" s="1271"/>
      <c r="HET25" s="1271"/>
      <c r="HEU25" s="1271"/>
      <c r="HEV25" s="1271"/>
      <c r="HEW25" s="1271"/>
      <c r="HEX25" s="1271"/>
      <c r="HEY25" s="1271"/>
      <c r="HEZ25" s="1271"/>
      <c r="HFA25" s="1271"/>
      <c r="HFB25" s="1271"/>
      <c r="HFC25" s="1271"/>
      <c r="HFD25" s="1271"/>
      <c r="HFE25" s="1271"/>
      <c r="HFF25" s="1271"/>
      <c r="HFG25" s="1271"/>
      <c r="HFH25" s="1271"/>
      <c r="HFI25" s="1271"/>
      <c r="HFJ25" s="1271"/>
      <c r="HFK25" s="1271"/>
      <c r="HFL25" s="1271"/>
      <c r="HFM25" s="1271"/>
      <c r="HFN25" s="1271"/>
      <c r="HFO25" s="1271"/>
      <c r="HFP25" s="1271"/>
      <c r="HFQ25" s="1271"/>
      <c r="HFR25" s="1271"/>
      <c r="HFS25" s="1271"/>
      <c r="HFT25" s="1271"/>
      <c r="HFU25" s="1271"/>
      <c r="HFV25" s="1271"/>
      <c r="HFW25" s="1271"/>
      <c r="HFX25" s="1271"/>
      <c r="HFY25" s="1271"/>
      <c r="HFZ25" s="1271"/>
      <c r="HGA25" s="1271"/>
      <c r="HGB25" s="1271"/>
      <c r="HGC25" s="1271"/>
      <c r="HGD25" s="1271"/>
      <c r="HGE25" s="1271"/>
      <c r="HGF25" s="1271"/>
      <c r="HGG25" s="1271"/>
      <c r="HGH25" s="1271"/>
      <c r="HGI25" s="1271"/>
      <c r="HGJ25" s="1271"/>
      <c r="HGK25" s="1271"/>
      <c r="HGL25" s="1271"/>
      <c r="HGM25" s="1271"/>
      <c r="HGN25" s="1271"/>
      <c r="HGO25" s="1271"/>
      <c r="HGP25" s="1271"/>
      <c r="HGQ25" s="1271"/>
      <c r="HGR25" s="1271"/>
      <c r="HGS25" s="1271"/>
      <c r="HGT25" s="1271"/>
      <c r="HGU25" s="1271"/>
      <c r="HGV25" s="1271"/>
      <c r="HGW25" s="1271"/>
      <c r="HGX25" s="1271"/>
      <c r="HGY25" s="1271"/>
      <c r="HGZ25" s="1271"/>
      <c r="HHA25" s="1271"/>
      <c r="HHB25" s="1271"/>
      <c r="HHC25" s="1271"/>
      <c r="HHD25" s="1271"/>
      <c r="HHE25" s="1271"/>
      <c r="HHF25" s="1271"/>
      <c r="HHG25" s="1271"/>
      <c r="HHH25" s="1271"/>
      <c r="HHI25" s="1271"/>
      <c r="HHJ25" s="1271"/>
      <c r="HHK25" s="1271"/>
      <c r="HHL25" s="1271"/>
      <c r="HHM25" s="1271"/>
      <c r="HHN25" s="1271"/>
      <c r="HHO25" s="1271"/>
      <c r="HHP25" s="1271"/>
      <c r="HHQ25" s="1271"/>
      <c r="HHR25" s="1271"/>
      <c r="HHS25" s="1271"/>
      <c r="HHT25" s="1271"/>
      <c r="HHU25" s="1271"/>
      <c r="HHV25" s="1271"/>
      <c r="HHW25" s="1271"/>
      <c r="HHX25" s="1271"/>
      <c r="HHY25" s="1271"/>
      <c r="HHZ25" s="1271"/>
      <c r="HIA25" s="1271"/>
      <c r="HIB25" s="1271"/>
      <c r="HIC25" s="1271"/>
      <c r="HID25" s="1271"/>
      <c r="HIE25" s="1271"/>
      <c r="HIF25" s="1271"/>
      <c r="HIG25" s="1271"/>
      <c r="HIH25" s="1271"/>
      <c r="HII25" s="1271"/>
      <c r="HIJ25" s="1271"/>
      <c r="HIK25" s="1271"/>
      <c r="HIL25" s="1271"/>
      <c r="HIM25" s="1271"/>
      <c r="HIN25" s="1271"/>
      <c r="HIO25" s="1271"/>
      <c r="HIP25" s="1271"/>
      <c r="HIQ25" s="1271"/>
      <c r="HIR25" s="1271"/>
      <c r="HIS25" s="1271"/>
      <c r="HIT25" s="1271"/>
      <c r="HIU25" s="1271"/>
      <c r="HIV25" s="1271"/>
      <c r="HIW25" s="1271"/>
      <c r="HIX25" s="1271"/>
      <c r="HIY25" s="1271"/>
      <c r="HIZ25" s="1271"/>
      <c r="HJA25" s="1271"/>
      <c r="HJB25" s="1271"/>
      <c r="HJC25" s="1271"/>
      <c r="HJD25" s="1271"/>
      <c r="HJE25" s="1271"/>
      <c r="HJF25" s="1271"/>
      <c r="HJG25" s="1271"/>
      <c r="HJH25" s="1271"/>
      <c r="HJI25" s="1271"/>
      <c r="HJJ25" s="1271"/>
      <c r="HJK25" s="1271"/>
      <c r="HJL25" s="1271"/>
      <c r="HJM25" s="1271"/>
      <c r="HJN25" s="1271"/>
      <c r="HJO25" s="1271"/>
      <c r="HJP25" s="1271"/>
      <c r="HJQ25" s="1271"/>
      <c r="HJR25" s="1271"/>
      <c r="HJS25" s="1271"/>
      <c r="HJT25" s="1271"/>
      <c r="HJU25" s="1271"/>
      <c r="HJV25" s="1271"/>
      <c r="HJW25" s="1271"/>
      <c r="HJX25" s="1271"/>
      <c r="HJY25" s="1271"/>
      <c r="HJZ25" s="1271"/>
      <c r="HKA25" s="1271"/>
      <c r="HKB25" s="1271"/>
      <c r="HKC25" s="1271"/>
      <c r="HKD25" s="1271"/>
      <c r="HKE25" s="1271"/>
      <c r="HKF25" s="1271"/>
      <c r="HKG25" s="1271"/>
      <c r="HKH25" s="1271"/>
      <c r="HKI25" s="1271"/>
      <c r="HKJ25" s="1271"/>
      <c r="HKK25" s="1271"/>
      <c r="HKL25" s="1271"/>
      <c r="HKM25" s="1271"/>
      <c r="HKN25" s="1271"/>
      <c r="HKO25" s="1271"/>
      <c r="HKP25" s="1271"/>
      <c r="HKQ25" s="1271"/>
      <c r="HKR25" s="1271"/>
      <c r="HKS25" s="1271"/>
      <c r="HKT25" s="1271"/>
      <c r="HKU25" s="1271"/>
      <c r="HKV25" s="1271"/>
      <c r="HKW25" s="1271"/>
      <c r="HKX25" s="1271"/>
      <c r="HKY25" s="1271"/>
      <c r="HKZ25" s="1271"/>
      <c r="HLA25" s="1271"/>
      <c r="HLB25" s="1271"/>
      <c r="HLC25" s="1271"/>
      <c r="HLD25" s="1271"/>
      <c r="HLE25" s="1271"/>
      <c r="HLF25" s="1271"/>
      <c r="HLG25" s="1271"/>
      <c r="HLH25" s="1271"/>
      <c r="HLI25" s="1271"/>
      <c r="HLJ25" s="1271"/>
      <c r="HLK25" s="1271"/>
      <c r="HLL25" s="1271"/>
      <c r="HLM25" s="1271"/>
      <c r="HLN25" s="1271"/>
      <c r="HLO25" s="1271"/>
      <c r="HLP25" s="1271"/>
      <c r="HLQ25" s="1271"/>
      <c r="HLR25" s="1271"/>
      <c r="HLS25" s="1271"/>
      <c r="HLT25" s="1271"/>
      <c r="HLU25" s="1271"/>
      <c r="HLV25" s="1271"/>
      <c r="HLW25" s="1271"/>
      <c r="HLX25" s="1271"/>
      <c r="HLY25" s="1271"/>
      <c r="HLZ25" s="1271"/>
      <c r="HMA25" s="1271"/>
      <c r="HMB25" s="1271"/>
      <c r="HMC25" s="1271"/>
      <c r="HMD25" s="1271"/>
      <c r="HME25" s="1271"/>
      <c r="HMF25" s="1271"/>
      <c r="HMG25" s="1271"/>
      <c r="HMH25" s="1271"/>
      <c r="HMI25" s="1271"/>
      <c r="HMJ25" s="1271"/>
      <c r="HMK25" s="1271"/>
      <c r="HML25" s="1271"/>
      <c r="HMM25" s="1271"/>
      <c r="HMN25" s="1271"/>
      <c r="HMO25" s="1271"/>
      <c r="HMP25" s="1271"/>
      <c r="HMQ25" s="1271"/>
      <c r="HMR25" s="1271"/>
      <c r="HMS25" s="1271"/>
      <c r="HMT25" s="1271"/>
      <c r="HMU25" s="1271"/>
      <c r="HMV25" s="1271"/>
      <c r="HMW25" s="1271"/>
      <c r="HMX25" s="1271"/>
      <c r="HMY25" s="1271"/>
      <c r="HMZ25" s="1271"/>
      <c r="HNA25" s="1271"/>
      <c r="HNB25" s="1271"/>
      <c r="HNC25" s="1271"/>
      <c r="HND25" s="1271"/>
      <c r="HNE25" s="1271"/>
      <c r="HNF25" s="1271"/>
      <c r="HNG25" s="1271"/>
      <c r="HNH25" s="1271"/>
      <c r="HNI25" s="1271"/>
      <c r="HNJ25" s="1271"/>
      <c r="HNK25" s="1271"/>
      <c r="HNL25" s="1271"/>
      <c r="HNM25" s="1271"/>
      <c r="HNN25" s="1271"/>
      <c r="HNO25" s="1271"/>
      <c r="HNP25" s="1271"/>
      <c r="HNQ25" s="1271"/>
      <c r="HNR25" s="1271"/>
      <c r="HNS25" s="1271"/>
      <c r="HNT25" s="1271"/>
      <c r="HNU25" s="1271"/>
      <c r="HNV25" s="1271"/>
      <c r="HNW25" s="1271"/>
      <c r="HNX25" s="1271"/>
      <c r="HNY25" s="1271"/>
      <c r="HNZ25" s="1271"/>
      <c r="HOA25" s="1271"/>
      <c r="HOB25" s="1271"/>
      <c r="HOC25" s="1271"/>
      <c r="HOD25" s="1271"/>
      <c r="HOE25" s="1271"/>
      <c r="HOF25" s="1271"/>
      <c r="HOG25" s="1271"/>
      <c r="HOH25" s="1271"/>
      <c r="HOI25" s="1271"/>
      <c r="HOJ25" s="1271"/>
      <c r="HOK25" s="1271"/>
      <c r="HOL25" s="1271"/>
      <c r="HOM25" s="1271"/>
      <c r="HON25" s="1271"/>
      <c r="HOO25" s="1271"/>
      <c r="HOP25" s="1271"/>
      <c r="HOQ25" s="1271"/>
      <c r="HOR25" s="1271"/>
      <c r="HOS25" s="1271"/>
      <c r="HOT25" s="1271"/>
      <c r="HOU25" s="1271"/>
      <c r="HOV25" s="1271"/>
      <c r="HOW25" s="1271"/>
      <c r="HOX25" s="1271"/>
      <c r="HOY25" s="1271"/>
      <c r="HOZ25" s="1271"/>
      <c r="HPA25" s="1271"/>
      <c r="HPB25" s="1271"/>
      <c r="HPC25" s="1271"/>
      <c r="HPD25" s="1271"/>
      <c r="HPE25" s="1271"/>
      <c r="HPF25" s="1271"/>
      <c r="HPG25" s="1271"/>
      <c r="HPH25" s="1271"/>
      <c r="HPI25" s="1271"/>
      <c r="HPJ25" s="1271"/>
      <c r="HPK25" s="1271"/>
      <c r="HPL25" s="1271"/>
      <c r="HPM25" s="1271"/>
      <c r="HPN25" s="1271"/>
      <c r="HPO25" s="1271"/>
      <c r="HPP25" s="1271"/>
      <c r="HPQ25" s="1271"/>
      <c r="HPR25" s="1271"/>
      <c r="HPS25" s="1271"/>
      <c r="HPT25" s="1271"/>
      <c r="HPU25" s="1271"/>
      <c r="HPV25" s="1271"/>
      <c r="HPW25" s="1271"/>
      <c r="HPX25" s="1271"/>
      <c r="HPY25" s="1271"/>
      <c r="HPZ25" s="1271"/>
      <c r="HQA25" s="1271"/>
      <c r="HQB25" s="1271"/>
      <c r="HQC25" s="1271"/>
      <c r="HQD25" s="1271"/>
      <c r="HQE25" s="1271"/>
      <c r="HQF25" s="1271"/>
      <c r="HQG25" s="1271"/>
      <c r="HQH25" s="1271"/>
      <c r="HQI25" s="1271"/>
      <c r="HQJ25" s="1271"/>
      <c r="HQK25" s="1271"/>
      <c r="HQL25" s="1271"/>
      <c r="HQM25" s="1271"/>
      <c r="HQN25" s="1271"/>
      <c r="HQO25" s="1271"/>
      <c r="HQP25" s="1271"/>
      <c r="HQQ25" s="1271"/>
      <c r="HQR25" s="1271"/>
      <c r="HQS25" s="1271"/>
      <c r="HQT25" s="1271"/>
      <c r="HQU25" s="1271"/>
      <c r="HQV25" s="1271"/>
      <c r="HQW25" s="1271"/>
      <c r="HQX25" s="1271"/>
      <c r="HQY25" s="1271"/>
      <c r="HQZ25" s="1271"/>
      <c r="HRA25" s="1271"/>
      <c r="HRB25" s="1271"/>
      <c r="HRC25" s="1271"/>
      <c r="HRD25" s="1271"/>
      <c r="HRE25" s="1271"/>
      <c r="HRF25" s="1271"/>
      <c r="HRG25" s="1271"/>
      <c r="HRH25" s="1271"/>
      <c r="HRI25" s="1271"/>
      <c r="HRJ25" s="1271"/>
      <c r="HRK25" s="1271"/>
      <c r="HRL25" s="1271"/>
      <c r="HRM25" s="1271"/>
      <c r="HRN25" s="1271"/>
      <c r="HRO25" s="1271"/>
      <c r="HRP25" s="1271"/>
      <c r="HRQ25" s="1271"/>
      <c r="HRR25" s="1271"/>
      <c r="HRS25" s="1271"/>
      <c r="HRT25" s="1271"/>
      <c r="HRU25" s="1271"/>
      <c r="HRV25" s="1271"/>
      <c r="HRW25" s="1271"/>
      <c r="HRX25" s="1271"/>
      <c r="HRY25" s="1271"/>
      <c r="HRZ25" s="1271"/>
      <c r="HSA25" s="1271"/>
      <c r="HSB25" s="1271"/>
      <c r="HSC25" s="1271"/>
      <c r="HSD25" s="1271"/>
      <c r="HSE25" s="1271"/>
      <c r="HSF25" s="1271"/>
      <c r="HSG25" s="1271"/>
      <c r="HSH25" s="1271"/>
      <c r="HSI25" s="1271"/>
      <c r="HSJ25" s="1271"/>
      <c r="HSK25" s="1271"/>
      <c r="HSL25" s="1271"/>
      <c r="HSM25" s="1271"/>
      <c r="HSN25" s="1271"/>
      <c r="HSO25" s="1271"/>
      <c r="HSP25" s="1271"/>
      <c r="HSQ25" s="1271"/>
      <c r="HSR25" s="1271"/>
      <c r="HSS25" s="1271"/>
      <c r="HST25" s="1271"/>
      <c r="HSU25" s="1271"/>
      <c r="HSV25" s="1271"/>
      <c r="HSW25" s="1271"/>
      <c r="HSX25" s="1271"/>
      <c r="HSY25" s="1271"/>
      <c r="HSZ25" s="1271"/>
      <c r="HTA25" s="1271"/>
      <c r="HTB25" s="1271"/>
      <c r="HTC25" s="1271"/>
      <c r="HTD25" s="1271"/>
      <c r="HTE25" s="1271"/>
      <c r="HTF25" s="1271"/>
      <c r="HTG25" s="1271"/>
      <c r="HTH25" s="1271"/>
      <c r="HTI25" s="1271"/>
      <c r="HTJ25" s="1271"/>
      <c r="HTK25" s="1271"/>
      <c r="HTL25" s="1271"/>
      <c r="HTM25" s="1271"/>
      <c r="HTN25" s="1271"/>
      <c r="HTO25" s="1271"/>
      <c r="HTP25" s="1271"/>
      <c r="HTQ25" s="1271"/>
      <c r="HTR25" s="1271"/>
      <c r="HTS25" s="1271"/>
      <c r="HTT25" s="1271"/>
      <c r="HTU25" s="1271"/>
      <c r="HTV25" s="1271"/>
      <c r="HTW25" s="1271"/>
      <c r="HTX25" s="1271"/>
      <c r="HTY25" s="1271"/>
      <c r="HTZ25" s="1271"/>
      <c r="HUA25" s="1271"/>
      <c r="HUB25" s="1271"/>
      <c r="HUC25" s="1271"/>
      <c r="HUD25" s="1271"/>
      <c r="HUE25" s="1271"/>
      <c r="HUF25" s="1271"/>
      <c r="HUG25" s="1271"/>
      <c r="HUH25" s="1271"/>
      <c r="HUI25" s="1271"/>
      <c r="HUJ25" s="1271"/>
      <c r="HUK25" s="1271"/>
      <c r="HUL25" s="1271"/>
      <c r="HUM25" s="1271"/>
      <c r="HUN25" s="1271"/>
      <c r="HUO25" s="1271"/>
      <c r="HUP25" s="1271"/>
      <c r="HUQ25" s="1271"/>
      <c r="HUR25" s="1271"/>
      <c r="HUS25" s="1271"/>
      <c r="HUT25" s="1271"/>
      <c r="HUU25" s="1271"/>
      <c r="HUV25" s="1271"/>
      <c r="HUW25" s="1271"/>
      <c r="HUX25" s="1271"/>
      <c r="HUY25" s="1271"/>
      <c r="HUZ25" s="1271"/>
      <c r="HVA25" s="1271"/>
      <c r="HVB25" s="1271"/>
      <c r="HVC25" s="1271"/>
      <c r="HVD25" s="1271"/>
      <c r="HVE25" s="1271"/>
      <c r="HVF25" s="1271"/>
      <c r="HVG25" s="1271"/>
      <c r="HVH25" s="1271"/>
      <c r="HVI25" s="1271"/>
      <c r="HVJ25" s="1271"/>
      <c r="HVK25" s="1271"/>
      <c r="HVL25" s="1271"/>
      <c r="HVM25" s="1271"/>
      <c r="HVN25" s="1271"/>
      <c r="HVO25" s="1271"/>
      <c r="HVP25" s="1271"/>
      <c r="HVQ25" s="1271"/>
      <c r="HVR25" s="1271"/>
      <c r="HVS25" s="1271"/>
      <c r="HVT25" s="1271"/>
      <c r="HVU25" s="1271"/>
      <c r="HVV25" s="1271"/>
      <c r="HVW25" s="1271"/>
      <c r="HVX25" s="1271"/>
      <c r="HVY25" s="1271"/>
      <c r="HVZ25" s="1271"/>
      <c r="HWA25" s="1271"/>
      <c r="HWB25" s="1271"/>
      <c r="HWC25" s="1271"/>
      <c r="HWD25" s="1271"/>
      <c r="HWE25" s="1271"/>
      <c r="HWF25" s="1271"/>
      <c r="HWG25" s="1271"/>
      <c r="HWH25" s="1271"/>
      <c r="HWI25" s="1271"/>
      <c r="HWJ25" s="1271"/>
      <c r="HWK25" s="1271"/>
      <c r="HWL25" s="1271"/>
      <c r="HWM25" s="1271"/>
      <c r="HWN25" s="1271"/>
      <c r="HWO25" s="1271"/>
      <c r="HWP25" s="1271"/>
      <c r="HWQ25" s="1271"/>
      <c r="HWR25" s="1271"/>
      <c r="HWS25" s="1271"/>
      <c r="HWT25" s="1271"/>
      <c r="HWU25" s="1271"/>
      <c r="HWV25" s="1271"/>
      <c r="HWW25" s="1271"/>
      <c r="HWX25" s="1271"/>
      <c r="HWY25" s="1271"/>
      <c r="HWZ25" s="1271"/>
      <c r="HXA25" s="1271"/>
      <c r="HXB25" s="1271"/>
      <c r="HXC25" s="1271"/>
      <c r="HXD25" s="1271"/>
      <c r="HXE25" s="1271"/>
      <c r="HXF25" s="1271"/>
      <c r="HXG25" s="1271"/>
      <c r="HXH25" s="1271"/>
      <c r="HXI25" s="1271"/>
      <c r="HXJ25" s="1271"/>
      <c r="HXK25" s="1271"/>
      <c r="HXL25" s="1271"/>
      <c r="HXM25" s="1271"/>
      <c r="HXN25" s="1271"/>
      <c r="HXO25" s="1271"/>
      <c r="HXP25" s="1271"/>
      <c r="HXQ25" s="1271"/>
      <c r="HXR25" s="1271"/>
      <c r="HXS25" s="1271"/>
      <c r="HXT25" s="1271"/>
      <c r="HXU25" s="1271"/>
      <c r="HXV25" s="1271"/>
      <c r="HXW25" s="1271"/>
      <c r="HXX25" s="1271"/>
      <c r="HXY25" s="1271"/>
      <c r="HXZ25" s="1271"/>
      <c r="HYA25" s="1271"/>
      <c r="HYB25" s="1271"/>
      <c r="HYC25" s="1271"/>
      <c r="HYD25" s="1271"/>
      <c r="HYE25" s="1271"/>
      <c r="HYF25" s="1271"/>
      <c r="HYG25" s="1271"/>
      <c r="HYH25" s="1271"/>
      <c r="HYI25" s="1271"/>
      <c r="HYJ25" s="1271"/>
      <c r="HYK25" s="1271"/>
      <c r="HYL25" s="1271"/>
      <c r="HYM25" s="1271"/>
      <c r="HYN25" s="1271"/>
      <c r="HYO25" s="1271"/>
      <c r="HYP25" s="1271"/>
      <c r="HYQ25" s="1271"/>
      <c r="HYR25" s="1271"/>
      <c r="HYS25" s="1271"/>
      <c r="HYT25" s="1271"/>
      <c r="HYU25" s="1271"/>
      <c r="HYV25" s="1271"/>
      <c r="HYW25" s="1271"/>
      <c r="HYX25" s="1271"/>
      <c r="HYY25" s="1271"/>
      <c r="HYZ25" s="1271"/>
      <c r="HZA25" s="1271"/>
      <c r="HZB25" s="1271"/>
      <c r="HZC25" s="1271"/>
      <c r="HZD25" s="1271"/>
      <c r="HZE25" s="1271"/>
      <c r="HZF25" s="1271"/>
      <c r="HZG25" s="1271"/>
      <c r="HZH25" s="1271"/>
      <c r="HZI25" s="1271"/>
      <c r="HZJ25" s="1271"/>
      <c r="HZK25" s="1271"/>
      <c r="HZL25" s="1271"/>
      <c r="HZM25" s="1271"/>
      <c r="HZN25" s="1271"/>
      <c r="HZO25" s="1271"/>
      <c r="HZP25" s="1271"/>
      <c r="HZQ25" s="1271"/>
      <c r="HZR25" s="1271"/>
      <c r="HZS25" s="1271"/>
      <c r="HZT25" s="1271"/>
      <c r="HZU25" s="1271"/>
      <c r="HZV25" s="1271"/>
      <c r="HZW25" s="1271"/>
      <c r="HZX25" s="1271"/>
      <c r="HZY25" s="1271"/>
      <c r="HZZ25" s="1271"/>
      <c r="IAA25" s="1271"/>
      <c r="IAB25" s="1271"/>
      <c r="IAC25" s="1271"/>
      <c r="IAD25" s="1271"/>
      <c r="IAE25" s="1271"/>
      <c r="IAF25" s="1271"/>
      <c r="IAG25" s="1271"/>
      <c r="IAH25" s="1271"/>
      <c r="IAI25" s="1271"/>
      <c r="IAJ25" s="1271"/>
      <c r="IAK25" s="1271"/>
      <c r="IAL25" s="1271"/>
      <c r="IAM25" s="1271"/>
      <c r="IAN25" s="1271"/>
      <c r="IAO25" s="1271"/>
      <c r="IAP25" s="1271"/>
      <c r="IAQ25" s="1271"/>
      <c r="IAR25" s="1271"/>
      <c r="IAS25" s="1271"/>
      <c r="IAT25" s="1271"/>
      <c r="IAU25" s="1271"/>
      <c r="IAV25" s="1271"/>
      <c r="IAW25" s="1271"/>
      <c r="IAX25" s="1271"/>
      <c r="IAY25" s="1271"/>
      <c r="IAZ25" s="1271"/>
      <c r="IBA25" s="1271"/>
      <c r="IBB25" s="1271"/>
      <c r="IBC25" s="1271"/>
      <c r="IBD25" s="1271"/>
      <c r="IBE25" s="1271"/>
      <c r="IBF25" s="1271"/>
      <c r="IBG25" s="1271"/>
      <c r="IBH25" s="1271"/>
      <c r="IBI25" s="1271"/>
      <c r="IBJ25" s="1271"/>
      <c r="IBK25" s="1271"/>
      <c r="IBL25" s="1271"/>
      <c r="IBM25" s="1271"/>
      <c r="IBN25" s="1271"/>
      <c r="IBO25" s="1271"/>
      <c r="IBP25" s="1271"/>
      <c r="IBQ25" s="1271"/>
      <c r="IBR25" s="1271"/>
      <c r="IBS25" s="1271"/>
      <c r="IBT25" s="1271"/>
      <c r="IBU25" s="1271"/>
      <c r="IBV25" s="1271"/>
      <c r="IBW25" s="1271"/>
      <c r="IBX25" s="1271"/>
      <c r="IBY25" s="1271"/>
      <c r="IBZ25" s="1271"/>
      <c r="ICA25" s="1271"/>
      <c r="ICB25" s="1271"/>
      <c r="ICC25" s="1271"/>
      <c r="ICD25" s="1271"/>
      <c r="ICE25" s="1271"/>
      <c r="ICF25" s="1271"/>
      <c r="ICG25" s="1271"/>
      <c r="ICH25" s="1271"/>
      <c r="ICI25" s="1271"/>
      <c r="ICJ25" s="1271"/>
      <c r="ICK25" s="1271"/>
      <c r="ICL25" s="1271"/>
      <c r="ICM25" s="1271"/>
      <c r="ICN25" s="1271"/>
      <c r="ICO25" s="1271"/>
      <c r="ICP25" s="1271"/>
      <c r="ICQ25" s="1271"/>
      <c r="ICR25" s="1271"/>
      <c r="ICS25" s="1271"/>
      <c r="ICT25" s="1271"/>
      <c r="ICU25" s="1271"/>
      <c r="ICV25" s="1271"/>
      <c r="ICW25" s="1271"/>
      <c r="ICX25" s="1271"/>
      <c r="ICY25" s="1271"/>
      <c r="ICZ25" s="1271"/>
      <c r="IDA25" s="1271"/>
      <c r="IDB25" s="1271"/>
      <c r="IDC25" s="1271"/>
      <c r="IDD25" s="1271"/>
      <c r="IDE25" s="1271"/>
      <c r="IDF25" s="1271"/>
      <c r="IDG25" s="1271"/>
      <c r="IDH25" s="1271"/>
      <c r="IDI25" s="1271"/>
      <c r="IDJ25" s="1271"/>
      <c r="IDK25" s="1271"/>
      <c r="IDL25" s="1271"/>
      <c r="IDM25" s="1271"/>
      <c r="IDN25" s="1271"/>
      <c r="IDO25" s="1271"/>
      <c r="IDP25" s="1271"/>
      <c r="IDQ25" s="1271"/>
      <c r="IDR25" s="1271"/>
      <c r="IDS25" s="1271"/>
      <c r="IDT25" s="1271"/>
      <c r="IDU25" s="1271"/>
      <c r="IDV25" s="1271"/>
      <c r="IDW25" s="1271"/>
      <c r="IDX25" s="1271"/>
      <c r="IDY25" s="1271"/>
      <c r="IDZ25" s="1271"/>
      <c r="IEA25" s="1271"/>
      <c r="IEB25" s="1271"/>
      <c r="IEC25" s="1271"/>
      <c r="IED25" s="1271"/>
      <c r="IEE25" s="1271"/>
      <c r="IEF25" s="1271"/>
      <c r="IEG25" s="1271"/>
      <c r="IEH25" s="1271"/>
      <c r="IEI25" s="1271"/>
      <c r="IEJ25" s="1271"/>
      <c r="IEK25" s="1271"/>
      <c r="IEL25" s="1271"/>
      <c r="IEM25" s="1271"/>
      <c r="IEN25" s="1271"/>
      <c r="IEO25" s="1271"/>
      <c r="IEP25" s="1271"/>
      <c r="IEQ25" s="1271"/>
      <c r="IER25" s="1271"/>
      <c r="IES25" s="1271"/>
      <c r="IET25" s="1271"/>
      <c r="IEU25" s="1271"/>
      <c r="IEV25" s="1271"/>
      <c r="IEW25" s="1271"/>
      <c r="IEX25" s="1271"/>
      <c r="IEY25" s="1271"/>
      <c r="IEZ25" s="1271"/>
      <c r="IFA25" s="1271"/>
      <c r="IFB25" s="1271"/>
      <c r="IFC25" s="1271"/>
      <c r="IFD25" s="1271"/>
      <c r="IFE25" s="1271"/>
      <c r="IFF25" s="1271"/>
      <c r="IFG25" s="1271"/>
      <c r="IFH25" s="1271"/>
      <c r="IFI25" s="1271"/>
      <c r="IFJ25" s="1271"/>
      <c r="IFK25" s="1271"/>
      <c r="IFL25" s="1271"/>
      <c r="IFM25" s="1271"/>
      <c r="IFN25" s="1271"/>
      <c r="IFO25" s="1271"/>
      <c r="IFP25" s="1271"/>
      <c r="IFQ25" s="1271"/>
      <c r="IFR25" s="1271"/>
      <c r="IFS25" s="1271"/>
      <c r="IFT25" s="1271"/>
      <c r="IFU25" s="1271"/>
      <c r="IFV25" s="1271"/>
      <c r="IFW25" s="1271"/>
      <c r="IFX25" s="1271"/>
      <c r="IFY25" s="1271"/>
      <c r="IFZ25" s="1271"/>
      <c r="IGA25" s="1271"/>
      <c r="IGB25" s="1271"/>
      <c r="IGC25" s="1271"/>
      <c r="IGD25" s="1271"/>
      <c r="IGE25" s="1271"/>
      <c r="IGF25" s="1271"/>
      <c r="IGG25" s="1271"/>
      <c r="IGH25" s="1271"/>
      <c r="IGI25" s="1271"/>
      <c r="IGJ25" s="1271"/>
      <c r="IGK25" s="1271"/>
      <c r="IGL25" s="1271"/>
      <c r="IGM25" s="1271"/>
      <c r="IGN25" s="1271"/>
      <c r="IGO25" s="1271"/>
      <c r="IGP25" s="1271"/>
      <c r="IGQ25" s="1271"/>
      <c r="IGR25" s="1271"/>
      <c r="IGS25" s="1271"/>
      <c r="IGT25" s="1271"/>
      <c r="IGU25" s="1271"/>
      <c r="IGV25" s="1271"/>
      <c r="IGW25" s="1271"/>
      <c r="IGX25" s="1271"/>
      <c r="IGY25" s="1271"/>
      <c r="IGZ25" s="1271"/>
      <c r="IHA25" s="1271"/>
      <c r="IHB25" s="1271"/>
      <c r="IHC25" s="1271"/>
      <c r="IHD25" s="1271"/>
      <c r="IHE25" s="1271"/>
      <c r="IHF25" s="1271"/>
      <c r="IHG25" s="1271"/>
      <c r="IHH25" s="1271"/>
      <c r="IHI25" s="1271"/>
      <c r="IHJ25" s="1271"/>
      <c r="IHK25" s="1271"/>
      <c r="IHL25" s="1271"/>
      <c r="IHM25" s="1271"/>
      <c r="IHN25" s="1271"/>
      <c r="IHO25" s="1271"/>
      <c r="IHP25" s="1271"/>
      <c r="IHQ25" s="1271"/>
      <c r="IHR25" s="1271"/>
      <c r="IHS25" s="1271"/>
      <c r="IHT25" s="1271"/>
      <c r="IHU25" s="1271"/>
      <c r="IHV25" s="1271"/>
      <c r="IHW25" s="1271"/>
      <c r="IHX25" s="1271"/>
      <c r="IHY25" s="1271"/>
      <c r="IHZ25" s="1271"/>
      <c r="IIA25" s="1271"/>
      <c r="IIB25" s="1271"/>
      <c r="IIC25" s="1271"/>
      <c r="IID25" s="1271"/>
      <c r="IIE25" s="1271"/>
      <c r="IIF25" s="1271"/>
      <c r="IIG25" s="1271"/>
      <c r="IIH25" s="1271"/>
      <c r="III25" s="1271"/>
      <c r="IIJ25" s="1271"/>
      <c r="IIK25" s="1271"/>
      <c r="IIL25" s="1271"/>
      <c r="IIM25" s="1271"/>
      <c r="IIN25" s="1271"/>
      <c r="IIO25" s="1271"/>
      <c r="IIP25" s="1271"/>
      <c r="IIQ25" s="1271"/>
      <c r="IIR25" s="1271"/>
      <c r="IIS25" s="1271"/>
      <c r="IIT25" s="1271"/>
      <c r="IIU25" s="1271"/>
      <c r="IIV25" s="1271"/>
      <c r="IIW25" s="1271"/>
      <c r="IIX25" s="1271"/>
      <c r="IIY25" s="1271"/>
      <c r="IIZ25" s="1271"/>
      <c r="IJA25" s="1271"/>
      <c r="IJB25" s="1271"/>
      <c r="IJC25" s="1271"/>
      <c r="IJD25" s="1271"/>
      <c r="IJE25" s="1271"/>
      <c r="IJF25" s="1271"/>
      <c r="IJG25" s="1271"/>
      <c r="IJH25" s="1271"/>
      <c r="IJI25" s="1271"/>
      <c r="IJJ25" s="1271"/>
      <c r="IJK25" s="1271"/>
      <c r="IJL25" s="1271"/>
      <c r="IJM25" s="1271"/>
      <c r="IJN25" s="1271"/>
      <c r="IJO25" s="1271"/>
      <c r="IJP25" s="1271"/>
      <c r="IJQ25" s="1271"/>
      <c r="IJR25" s="1271"/>
      <c r="IJS25" s="1271"/>
      <c r="IJT25" s="1271"/>
      <c r="IJU25" s="1271"/>
      <c r="IJV25" s="1271"/>
      <c r="IJW25" s="1271"/>
      <c r="IJX25" s="1271"/>
      <c r="IJY25" s="1271"/>
      <c r="IJZ25" s="1271"/>
      <c r="IKA25" s="1271"/>
      <c r="IKB25" s="1271"/>
      <c r="IKC25" s="1271"/>
      <c r="IKD25" s="1271"/>
      <c r="IKE25" s="1271"/>
      <c r="IKF25" s="1271"/>
      <c r="IKG25" s="1271"/>
      <c r="IKH25" s="1271"/>
      <c r="IKI25" s="1271"/>
      <c r="IKJ25" s="1271"/>
      <c r="IKK25" s="1271"/>
      <c r="IKL25" s="1271"/>
      <c r="IKM25" s="1271"/>
      <c r="IKN25" s="1271"/>
      <c r="IKO25" s="1271"/>
      <c r="IKP25" s="1271"/>
      <c r="IKQ25" s="1271"/>
      <c r="IKR25" s="1271"/>
      <c r="IKS25" s="1271"/>
      <c r="IKT25" s="1271"/>
      <c r="IKU25" s="1271"/>
      <c r="IKV25" s="1271"/>
      <c r="IKW25" s="1271"/>
      <c r="IKX25" s="1271"/>
      <c r="IKY25" s="1271"/>
      <c r="IKZ25" s="1271"/>
      <c r="ILA25" s="1271"/>
      <c r="ILB25" s="1271"/>
      <c r="ILC25" s="1271"/>
      <c r="ILD25" s="1271"/>
      <c r="ILE25" s="1271"/>
      <c r="ILF25" s="1271"/>
      <c r="ILG25" s="1271"/>
      <c r="ILH25" s="1271"/>
      <c r="ILI25" s="1271"/>
      <c r="ILJ25" s="1271"/>
      <c r="ILK25" s="1271"/>
      <c r="ILL25" s="1271"/>
      <c r="ILM25" s="1271"/>
      <c r="ILN25" s="1271"/>
      <c r="ILO25" s="1271"/>
      <c r="ILP25" s="1271"/>
      <c r="ILQ25" s="1271"/>
      <c r="ILR25" s="1271"/>
      <c r="ILS25" s="1271"/>
      <c r="ILT25" s="1271"/>
      <c r="ILU25" s="1271"/>
      <c r="ILV25" s="1271"/>
      <c r="ILW25" s="1271"/>
      <c r="ILX25" s="1271"/>
      <c r="ILY25" s="1271"/>
      <c r="ILZ25" s="1271"/>
      <c r="IMA25" s="1271"/>
      <c r="IMB25" s="1271"/>
      <c r="IMC25" s="1271"/>
      <c r="IMD25" s="1271"/>
      <c r="IME25" s="1271"/>
      <c r="IMF25" s="1271"/>
      <c r="IMG25" s="1271"/>
      <c r="IMH25" s="1271"/>
      <c r="IMI25" s="1271"/>
      <c r="IMJ25" s="1271"/>
      <c r="IMK25" s="1271"/>
      <c r="IML25" s="1271"/>
      <c r="IMM25" s="1271"/>
      <c r="IMN25" s="1271"/>
      <c r="IMO25" s="1271"/>
      <c r="IMP25" s="1271"/>
      <c r="IMQ25" s="1271"/>
      <c r="IMR25" s="1271"/>
      <c r="IMS25" s="1271"/>
      <c r="IMT25" s="1271"/>
      <c r="IMU25" s="1271"/>
      <c r="IMV25" s="1271"/>
      <c r="IMW25" s="1271"/>
      <c r="IMX25" s="1271"/>
      <c r="IMY25" s="1271"/>
      <c r="IMZ25" s="1271"/>
      <c r="INA25" s="1271"/>
      <c r="INB25" s="1271"/>
      <c r="INC25" s="1271"/>
      <c r="IND25" s="1271"/>
      <c r="INE25" s="1271"/>
      <c r="INF25" s="1271"/>
      <c r="ING25" s="1271"/>
      <c r="INH25" s="1271"/>
      <c r="INI25" s="1271"/>
      <c r="INJ25" s="1271"/>
      <c r="INK25" s="1271"/>
      <c r="INL25" s="1271"/>
      <c r="INM25" s="1271"/>
      <c r="INN25" s="1271"/>
      <c r="INO25" s="1271"/>
      <c r="INP25" s="1271"/>
      <c r="INQ25" s="1271"/>
      <c r="INR25" s="1271"/>
      <c r="INS25" s="1271"/>
      <c r="INT25" s="1271"/>
      <c r="INU25" s="1271"/>
      <c r="INV25" s="1271"/>
      <c r="INW25" s="1271"/>
      <c r="INX25" s="1271"/>
      <c r="INY25" s="1271"/>
      <c r="INZ25" s="1271"/>
      <c r="IOA25" s="1271"/>
      <c r="IOB25" s="1271"/>
      <c r="IOC25" s="1271"/>
      <c r="IOD25" s="1271"/>
      <c r="IOE25" s="1271"/>
      <c r="IOF25" s="1271"/>
      <c r="IOG25" s="1271"/>
      <c r="IOH25" s="1271"/>
      <c r="IOI25" s="1271"/>
      <c r="IOJ25" s="1271"/>
      <c r="IOK25" s="1271"/>
      <c r="IOL25" s="1271"/>
      <c r="IOM25" s="1271"/>
      <c r="ION25" s="1271"/>
      <c r="IOO25" s="1271"/>
      <c r="IOP25" s="1271"/>
      <c r="IOQ25" s="1271"/>
      <c r="IOR25" s="1271"/>
      <c r="IOS25" s="1271"/>
      <c r="IOT25" s="1271"/>
      <c r="IOU25" s="1271"/>
      <c r="IOV25" s="1271"/>
      <c r="IOW25" s="1271"/>
      <c r="IOX25" s="1271"/>
      <c r="IOY25" s="1271"/>
      <c r="IOZ25" s="1271"/>
      <c r="IPA25" s="1271"/>
      <c r="IPB25" s="1271"/>
      <c r="IPC25" s="1271"/>
      <c r="IPD25" s="1271"/>
      <c r="IPE25" s="1271"/>
      <c r="IPF25" s="1271"/>
      <c r="IPG25" s="1271"/>
      <c r="IPH25" s="1271"/>
      <c r="IPI25" s="1271"/>
      <c r="IPJ25" s="1271"/>
      <c r="IPK25" s="1271"/>
      <c r="IPL25" s="1271"/>
      <c r="IPM25" s="1271"/>
      <c r="IPN25" s="1271"/>
      <c r="IPO25" s="1271"/>
      <c r="IPP25" s="1271"/>
      <c r="IPQ25" s="1271"/>
      <c r="IPR25" s="1271"/>
      <c r="IPS25" s="1271"/>
      <c r="IPT25" s="1271"/>
      <c r="IPU25" s="1271"/>
      <c r="IPV25" s="1271"/>
      <c r="IPW25" s="1271"/>
      <c r="IPX25" s="1271"/>
      <c r="IPY25" s="1271"/>
      <c r="IPZ25" s="1271"/>
      <c r="IQA25" s="1271"/>
      <c r="IQB25" s="1271"/>
      <c r="IQC25" s="1271"/>
      <c r="IQD25" s="1271"/>
      <c r="IQE25" s="1271"/>
      <c r="IQF25" s="1271"/>
      <c r="IQG25" s="1271"/>
      <c r="IQH25" s="1271"/>
      <c r="IQI25" s="1271"/>
      <c r="IQJ25" s="1271"/>
      <c r="IQK25" s="1271"/>
      <c r="IQL25" s="1271"/>
      <c r="IQM25" s="1271"/>
      <c r="IQN25" s="1271"/>
      <c r="IQO25" s="1271"/>
      <c r="IQP25" s="1271"/>
      <c r="IQQ25" s="1271"/>
      <c r="IQR25" s="1271"/>
      <c r="IQS25" s="1271"/>
      <c r="IQT25" s="1271"/>
      <c r="IQU25" s="1271"/>
      <c r="IQV25" s="1271"/>
      <c r="IQW25" s="1271"/>
      <c r="IQX25" s="1271"/>
      <c r="IQY25" s="1271"/>
      <c r="IQZ25" s="1271"/>
      <c r="IRA25" s="1271"/>
      <c r="IRB25" s="1271"/>
      <c r="IRC25" s="1271"/>
      <c r="IRD25" s="1271"/>
      <c r="IRE25" s="1271"/>
      <c r="IRF25" s="1271"/>
      <c r="IRG25" s="1271"/>
      <c r="IRH25" s="1271"/>
      <c r="IRI25" s="1271"/>
      <c r="IRJ25" s="1271"/>
      <c r="IRK25" s="1271"/>
      <c r="IRL25" s="1271"/>
      <c r="IRM25" s="1271"/>
      <c r="IRN25" s="1271"/>
      <c r="IRO25" s="1271"/>
      <c r="IRP25" s="1271"/>
      <c r="IRQ25" s="1271"/>
      <c r="IRR25" s="1271"/>
      <c r="IRS25" s="1271"/>
      <c r="IRT25" s="1271"/>
      <c r="IRU25" s="1271"/>
      <c r="IRV25" s="1271"/>
      <c r="IRW25" s="1271"/>
      <c r="IRX25" s="1271"/>
      <c r="IRY25" s="1271"/>
      <c r="IRZ25" s="1271"/>
      <c r="ISA25" s="1271"/>
      <c r="ISB25" s="1271"/>
      <c r="ISC25" s="1271"/>
      <c r="ISD25" s="1271"/>
      <c r="ISE25" s="1271"/>
      <c r="ISF25" s="1271"/>
      <c r="ISG25" s="1271"/>
      <c r="ISH25" s="1271"/>
      <c r="ISI25" s="1271"/>
      <c r="ISJ25" s="1271"/>
      <c r="ISK25" s="1271"/>
      <c r="ISL25" s="1271"/>
      <c r="ISM25" s="1271"/>
      <c r="ISN25" s="1271"/>
      <c r="ISO25" s="1271"/>
      <c r="ISP25" s="1271"/>
      <c r="ISQ25" s="1271"/>
      <c r="ISR25" s="1271"/>
      <c r="ISS25" s="1271"/>
      <c r="IST25" s="1271"/>
      <c r="ISU25" s="1271"/>
      <c r="ISV25" s="1271"/>
      <c r="ISW25" s="1271"/>
      <c r="ISX25" s="1271"/>
      <c r="ISY25" s="1271"/>
      <c r="ISZ25" s="1271"/>
      <c r="ITA25" s="1271"/>
      <c r="ITB25" s="1271"/>
      <c r="ITC25" s="1271"/>
      <c r="ITD25" s="1271"/>
      <c r="ITE25" s="1271"/>
      <c r="ITF25" s="1271"/>
      <c r="ITG25" s="1271"/>
      <c r="ITH25" s="1271"/>
      <c r="ITI25" s="1271"/>
      <c r="ITJ25" s="1271"/>
      <c r="ITK25" s="1271"/>
      <c r="ITL25" s="1271"/>
      <c r="ITM25" s="1271"/>
      <c r="ITN25" s="1271"/>
      <c r="ITO25" s="1271"/>
      <c r="ITP25" s="1271"/>
      <c r="ITQ25" s="1271"/>
      <c r="ITR25" s="1271"/>
      <c r="ITS25" s="1271"/>
      <c r="ITT25" s="1271"/>
      <c r="ITU25" s="1271"/>
      <c r="ITV25" s="1271"/>
      <c r="ITW25" s="1271"/>
      <c r="ITX25" s="1271"/>
      <c r="ITY25" s="1271"/>
      <c r="ITZ25" s="1271"/>
      <c r="IUA25" s="1271"/>
      <c r="IUB25" s="1271"/>
      <c r="IUC25" s="1271"/>
      <c r="IUD25" s="1271"/>
      <c r="IUE25" s="1271"/>
      <c r="IUF25" s="1271"/>
      <c r="IUG25" s="1271"/>
      <c r="IUH25" s="1271"/>
      <c r="IUI25" s="1271"/>
      <c r="IUJ25" s="1271"/>
      <c r="IUK25" s="1271"/>
      <c r="IUL25" s="1271"/>
      <c r="IUM25" s="1271"/>
      <c r="IUN25" s="1271"/>
      <c r="IUO25" s="1271"/>
      <c r="IUP25" s="1271"/>
      <c r="IUQ25" s="1271"/>
      <c r="IUR25" s="1271"/>
      <c r="IUS25" s="1271"/>
      <c r="IUT25" s="1271"/>
      <c r="IUU25" s="1271"/>
      <c r="IUV25" s="1271"/>
      <c r="IUW25" s="1271"/>
      <c r="IUX25" s="1271"/>
      <c r="IUY25" s="1271"/>
      <c r="IUZ25" s="1271"/>
      <c r="IVA25" s="1271"/>
      <c r="IVB25" s="1271"/>
      <c r="IVC25" s="1271"/>
      <c r="IVD25" s="1271"/>
      <c r="IVE25" s="1271"/>
      <c r="IVF25" s="1271"/>
      <c r="IVG25" s="1271"/>
      <c r="IVH25" s="1271"/>
      <c r="IVI25" s="1271"/>
      <c r="IVJ25" s="1271"/>
      <c r="IVK25" s="1271"/>
      <c r="IVL25" s="1271"/>
      <c r="IVM25" s="1271"/>
      <c r="IVN25" s="1271"/>
      <c r="IVO25" s="1271"/>
      <c r="IVP25" s="1271"/>
      <c r="IVQ25" s="1271"/>
      <c r="IVR25" s="1271"/>
      <c r="IVS25" s="1271"/>
      <c r="IVT25" s="1271"/>
      <c r="IVU25" s="1271"/>
      <c r="IVV25" s="1271"/>
      <c r="IVW25" s="1271"/>
      <c r="IVX25" s="1271"/>
      <c r="IVY25" s="1271"/>
      <c r="IVZ25" s="1271"/>
      <c r="IWA25" s="1271"/>
      <c r="IWB25" s="1271"/>
      <c r="IWC25" s="1271"/>
      <c r="IWD25" s="1271"/>
      <c r="IWE25" s="1271"/>
      <c r="IWF25" s="1271"/>
      <c r="IWG25" s="1271"/>
      <c r="IWH25" s="1271"/>
      <c r="IWI25" s="1271"/>
      <c r="IWJ25" s="1271"/>
      <c r="IWK25" s="1271"/>
      <c r="IWL25" s="1271"/>
      <c r="IWM25" s="1271"/>
      <c r="IWN25" s="1271"/>
      <c r="IWO25" s="1271"/>
      <c r="IWP25" s="1271"/>
      <c r="IWQ25" s="1271"/>
      <c r="IWR25" s="1271"/>
      <c r="IWS25" s="1271"/>
      <c r="IWT25" s="1271"/>
      <c r="IWU25" s="1271"/>
      <c r="IWV25" s="1271"/>
      <c r="IWW25" s="1271"/>
      <c r="IWX25" s="1271"/>
      <c r="IWY25" s="1271"/>
      <c r="IWZ25" s="1271"/>
      <c r="IXA25" s="1271"/>
      <c r="IXB25" s="1271"/>
      <c r="IXC25" s="1271"/>
      <c r="IXD25" s="1271"/>
      <c r="IXE25" s="1271"/>
      <c r="IXF25" s="1271"/>
      <c r="IXG25" s="1271"/>
      <c r="IXH25" s="1271"/>
      <c r="IXI25" s="1271"/>
      <c r="IXJ25" s="1271"/>
      <c r="IXK25" s="1271"/>
      <c r="IXL25" s="1271"/>
      <c r="IXM25" s="1271"/>
      <c r="IXN25" s="1271"/>
      <c r="IXO25" s="1271"/>
      <c r="IXP25" s="1271"/>
      <c r="IXQ25" s="1271"/>
      <c r="IXR25" s="1271"/>
      <c r="IXS25" s="1271"/>
      <c r="IXT25" s="1271"/>
      <c r="IXU25" s="1271"/>
      <c r="IXV25" s="1271"/>
      <c r="IXW25" s="1271"/>
      <c r="IXX25" s="1271"/>
      <c r="IXY25" s="1271"/>
      <c r="IXZ25" s="1271"/>
      <c r="IYA25" s="1271"/>
      <c r="IYB25" s="1271"/>
      <c r="IYC25" s="1271"/>
      <c r="IYD25" s="1271"/>
      <c r="IYE25" s="1271"/>
      <c r="IYF25" s="1271"/>
      <c r="IYG25" s="1271"/>
      <c r="IYH25" s="1271"/>
      <c r="IYI25" s="1271"/>
      <c r="IYJ25" s="1271"/>
      <c r="IYK25" s="1271"/>
      <c r="IYL25" s="1271"/>
      <c r="IYM25" s="1271"/>
      <c r="IYN25" s="1271"/>
      <c r="IYO25" s="1271"/>
      <c r="IYP25" s="1271"/>
      <c r="IYQ25" s="1271"/>
      <c r="IYR25" s="1271"/>
      <c r="IYS25" s="1271"/>
      <c r="IYT25" s="1271"/>
      <c r="IYU25" s="1271"/>
      <c r="IYV25" s="1271"/>
      <c r="IYW25" s="1271"/>
      <c r="IYX25" s="1271"/>
      <c r="IYY25" s="1271"/>
      <c r="IYZ25" s="1271"/>
      <c r="IZA25" s="1271"/>
      <c r="IZB25" s="1271"/>
      <c r="IZC25" s="1271"/>
      <c r="IZD25" s="1271"/>
      <c r="IZE25" s="1271"/>
      <c r="IZF25" s="1271"/>
      <c r="IZG25" s="1271"/>
      <c r="IZH25" s="1271"/>
      <c r="IZI25" s="1271"/>
      <c r="IZJ25" s="1271"/>
      <c r="IZK25" s="1271"/>
      <c r="IZL25" s="1271"/>
      <c r="IZM25" s="1271"/>
      <c r="IZN25" s="1271"/>
      <c r="IZO25" s="1271"/>
      <c r="IZP25" s="1271"/>
      <c r="IZQ25" s="1271"/>
      <c r="IZR25" s="1271"/>
      <c r="IZS25" s="1271"/>
      <c r="IZT25" s="1271"/>
      <c r="IZU25" s="1271"/>
      <c r="IZV25" s="1271"/>
      <c r="IZW25" s="1271"/>
      <c r="IZX25" s="1271"/>
      <c r="IZY25" s="1271"/>
      <c r="IZZ25" s="1271"/>
      <c r="JAA25" s="1271"/>
      <c r="JAB25" s="1271"/>
      <c r="JAC25" s="1271"/>
      <c r="JAD25" s="1271"/>
      <c r="JAE25" s="1271"/>
      <c r="JAF25" s="1271"/>
      <c r="JAG25" s="1271"/>
      <c r="JAH25" s="1271"/>
      <c r="JAI25" s="1271"/>
      <c r="JAJ25" s="1271"/>
      <c r="JAK25" s="1271"/>
      <c r="JAL25" s="1271"/>
      <c r="JAM25" s="1271"/>
      <c r="JAN25" s="1271"/>
      <c r="JAO25" s="1271"/>
      <c r="JAP25" s="1271"/>
      <c r="JAQ25" s="1271"/>
      <c r="JAR25" s="1271"/>
      <c r="JAS25" s="1271"/>
      <c r="JAT25" s="1271"/>
      <c r="JAU25" s="1271"/>
      <c r="JAV25" s="1271"/>
      <c r="JAW25" s="1271"/>
      <c r="JAX25" s="1271"/>
      <c r="JAY25" s="1271"/>
      <c r="JAZ25" s="1271"/>
      <c r="JBA25" s="1271"/>
      <c r="JBB25" s="1271"/>
      <c r="JBC25" s="1271"/>
      <c r="JBD25" s="1271"/>
      <c r="JBE25" s="1271"/>
      <c r="JBF25" s="1271"/>
      <c r="JBG25" s="1271"/>
      <c r="JBH25" s="1271"/>
      <c r="JBI25" s="1271"/>
      <c r="JBJ25" s="1271"/>
      <c r="JBK25" s="1271"/>
      <c r="JBL25" s="1271"/>
      <c r="JBM25" s="1271"/>
      <c r="JBN25" s="1271"/>
      <c r="JBO25" s="1271"/>
      <c r="JBP25" s="1271"/>
      <c r="JBQ25" s="1271"/>
      <c r="JBR25" s="1271"/>
      <c r="JBS25" s="1271"/>
      <c r="JBT25" s="1271"/>
      <c r="JBU25" s="1271"/>
      <c r="JBV25" s="1271"/>
      <c r="JBW25" s="1271"/>
      <c r="JBX25" s="1271"/>
      <c r="JBY25" s="1271"/>
      <c r="JBZ25" s="1271"/>
      <c r="JCA25" s="1271"/>
      <c r="JCB25" s="1271"/>
      <c r="JCC25" s="1271"/>
      <c r="JCD25" s="1271"/>
      <c r="JCE25" s="1271"/>
      <c r="JCF25" s="1271"/>
      <c r="JCG25" s="1271"/>
      <c r="JCH25" s="1271"/>
      <c r="JCI25" s="1271"/>
      <c r="JCJ25" s="1271"/>
      <c r="JCK25" s="1271"/>
      <c r="JCL25" s="1271"/>
      <c r="JCM25" s="1271"/>
      <c r="JCN25" s="1271"/>
      <c r="JCO25" s="1271"/>
      <c r="JCP25" s="1271"/>
      <c r="JCQ25" s="1271"/>
      <c r="JCR25" s="1271"/>
      <c r="JCS25" s="1271"/>
      <c r="JCT25" s="1271"/>
      <c r="JCU25" s="1271"/>
      <c r="JCV25" s="1271"/>
      <c r="JCW25" s="1271"/>
      <c r="JCX25" s="1271"/>
      <c r="JCY25" s="1271"/>
      <c r="JCZ25" s="1271"/>
      <c r="JDA25" s="1271"/>
      <c r="JDB25" s="1271"/>
      <c r="JDC25" s="1271"/>
      <c r="JDD25" s="1271"/>
      <c r="JDE25" s="1271"/>
      <c r="JDF25" s="1271"/>
      <c r="JDG25" s="1271"/>
      <c r="JDH25" s="1271"/>
      <c r="JDI25" s="1271"/>
      <c r="JDJ25" s="1271"/>
      <c r="JDK25" s="1271"/>
      <c r="JDL25" s="1271"/>
      <c r="JDM25" s="1271"/>
      <c r="JDN25" s="1271"/>
      <c r="JDO25" s="1271"/>
      <c r="JDP25" s="1271"/>
      <c r="JDQ25" s="1271"/>
      <c r="JDR25" s="1271"/>
      <c r="JDS25" s="1271"/>
      <c r="JDT25" s="1271"/>
      <c r="JDU25" s="1271"/>
      <c r="JDV25" s="1271"/>
      <c r="JDW25" s="1271"/>
      <c r="JDX25" s="1271"/>
      <c r="JDY25" s="1271"/>
      <c r="JDZ25" s="1271"/>
      <c r="JEA25" s="1271"/>
      <c r="JEB25" s="1271"/>
      <c r="JEC25" s="1271"/>
      <c r="JED25" s="1271"/>
      <c r="JEE25" s="1271"/>
      <c r="JEF25" s="1271"/>
      <c r="JEG25" s="1271"/>
      <c r="JEH25" s="1271"/>
      <c r="JEI25" s="1271"/>
      <c r="JEJ25" s="1271"/>
      <c r="JEK25" s="1271"/>
      <c r="JEL25" s="1271"/>
      <c r="JEM25" s="1271"/>
      <c r="JEN25" s="1271"/>
      <c r="JEO25" s="1271"/>
      <c r="JEP25" s="1271"/>
      <c r="JEQ25" s="1271"/>
      <c r="JER25" s="1271"/>
      <c r="JES25" s="1271"/>
      <c r="JET25" s="1271"/>
      <c r="JEU25" s="1271"/>
      <c r="JEV25" s="1271"/>
      <c r="JEW25" s="1271"/>
      <c r="JEX25" s="1271"/>
      <c r="JEY25" s="1271"/>
      <c r="JEZ25" s="1271"/>
      <c r="JFA25" s="1271"/>
      <c r="JFB25" s="1271"/>
      <c r="JFC25" s="1271"/>
      <c r="JFD25" s="1271"/>
      <c r="JFE25" s="1271"/>
      <c r="JFF25" s="1271"/>
      <c r="JFG25" s="1271"/>
      <c r="JFH25" s="1271"/>
      <c r="JFI25" s="1271"/>
      <c r="JFJ25" s="1271"/>
      <c r="JFK25" s="1271"/>
      <c r="JFL25" s="1271"/>
      <c r="JFM25" s="1271"/>
      <c r="JFN25" s="1271"/>
      <c r="JFO25" s="1271"/>
      <c r="JFP25" s="1271"/>
      <c r="JFQ25" s="1271"/>
      <c r="JFR25" s="1271"/>
      <c r="JFS25" s="1271"/>
      <c r="JFT25" s="1271"/>
      <c r="JFU25" s="1271"/>
      <c r="JFV25" s="1271"/>
      <c r="JFW25" s="1271"/>
      <c r="JFX25" s="1271"/>
      <c r="JFY25" s="1271"/>
      <c r="JFZ25" s="1271"/>
      <c r="JGA25" s="1271"/>
      <c r="JGB25" s="1271"/>
      <c r="JGC25" s="1271"/>
      <c r="JGD25" s="1271"/>
      <c r="JGE25" s="1271"/>
      <c r="JGF25" s="1271"/>
      <c r="JGG25" s="1271"/>
      <c r="JGH25" s="1271"/>
      <c r="JGI25" s="1271"/>
      <c r="JGJ25" s="1271"/>
      <c r="JGK25" s="1271"/>
      <c r="JGL25" s="1271"/>
      <c r="JGM25" s="1271"/>
      <c r="JGN25" s="1271"/>
      <c r="JGO25" s="1271"/>
      <c r="JGP25" s="1271"/>
      <c r="JGQ25" s="1271"/>
      <c r="JGR25" s="1271"/>
      <c r="JGS25" s="1271"/>
      <c r="JGT25" s="1271"/>
      <c r="JGU25" s="1271"/>
      <c r="JGV25" s="1271"/>
      <c r="JGW25" s="1271"/>
      <c r="JGX25" s="1271"/>
      <c r="JGY25" s="1271"/>
      <c r="JGZ25" s="1271"/>
      <c r="JHA25" s="1271"/>
      <c r="JHB25" s="1271"/>
      <c r="JHC25" s="1271"/>
      <c r="JHD25" s="1271"/>
      <c r="JHE25" s="1271"/>
      <c r="JHF25" s="1271"/>
      <c r="JHG25" s="1271"/>
      <c r="JHH25" s="1271"/>
      <c r="JHI25" s="1271"/>
      <c r="JHJ25" s="1271"/>
      <c r="JHK25" s="1271"/>
      <c r="JHL25" s="1271"/>
      <c r="JHM25" s="1271"/>
      <c r="JHN25" s="1271"/>
      <c r="JHO25" s="1271"/>
      <c r="JHP25" s="1271"/>
      <c r="JHQ25" s="1271"/>
      <c r="JHR25" s="1271"/>
      <c r="JHS25" s="1271"/>
      <c r="JHT25" s="1271"/>
      <c r="JHU25" s="1271"/>
      <c r="JHV25" s="1271"/>
      <c r="JHW25" s="1271"/>
      <c r="JHX25" s="1271"/>
      <c r="JHY25" s="1271"/>
      <c r="JHZ25" s="1271"/>
      <c r="JIA25" s="1271"/>
      <c r="JIB25" s="1271"/>
      <c r="JIC25" s="1271"/>
      <c r="JID25" s="1271"/>
      <c r="JIE25" s="1271"/>
      <c r="JIF25" s="1271"/>
      <c r="JIG25" s="1271"/>
      <c r="JIH25" s="1271"/>
      <c r="JII25" s="1271"/>
      <c r="JIJ25" s="1271"/>
      <c r="JIK25" s="1271"/>
      <c r="JIL25" s="1271"/>
      <c r="JIM25" s="1271"/>
      <c r="JIN25" s="1271"/>
      <c r="JIO25" s="1271"/>
      <c r="JIP25" s="1271"/>
      <c r="JIQ25" s="1271"/>
      <c r="JIR25" s="1271"/>
      <c r="JIS25" s="1271"/>
      <c r="JIT25" s="1271"/>
      <c r="JIU25" s="1271"/>
      <c r="JIV25" s="1271"/>
      <c r="JIW25" s="1271"/>
      <c r="JIX25" s="1271"/>
      <c r="JIY25" s="1271"/>
      <c r="JIZ25" s="1271"/>
      <c r="JJA25" s="1271"/>
      <c r="JJB25" s="1271"/>
      <c r="JJC25" s="1271"/>
      <c r="JJD25" s="1271"/>
      <c r="JJE25" s="1271"/>
      <c r="JJF25" s="1271"/>
      <c r="JJG25" s="1271"/>
      <c r="JJH25" s="1271"/>
      <c r="JJI25" s="1271"/>
      <c r="JJJ25" s="1271"/>
      <c r="JJK25" s="1271"/>
      <c r="JJL25" s="1271"/>
      <c r="JJM25" s="1271"/>
      <c r="JJN25" s="1271"/>
      <c r="JJO25" s="1271"/>
      <c r="JJP25" s="1271"/>
      <c r="JJQ25" s="1271"/>
      <c r="JJR25" s="1271"/>
      <c r="JJS25" s="1271"/>
      <c r="JJT25" s="1271"/>
      <c r="JJU25" s="1271"/>
      <c r="JJV25" s="1271"/>
      <c r="JJW25" s="1271"/>
      <c r="JJX25" s="1271"/>
      <c r="JJY25" s="1271"/>
      <c r="JJZ25" s="1271"/>
      <c r="JKA25" s="1271"/>
      <c r="JKB25" s="1271"/>
      <c r="JKC25" s="1271"/>
      <c r="JKD25" s="1271"/>
      <c r="JKE25" s="1271"/>
      <c r="JKF25" s="1271"/>
      <c r="JKG25" s="1271"/>
      <c r="JKH25" s="1271"/>
      <c r="JKI25" s="1271"/>
      <c r="JKJ25" s="1271"/>
      <c r="JKK25" s="1271"/>
      <c r="JKL25" s="1271"/>
      <c r="JKM25" s="1271"/>
      <c r="JKN25" s="1271"/>
      <c r="JKO25" s="1271"/>
      <c r="JKP25" s="1271"/>
      <c r="JKQ25" s="1271"/>
      <c r="JKR25" s="1271"/>
      <c r="JKS25" s="1271"/>
      <c r="JKT25" s="1271"/>
      <c r="JKU25" s="1271"/>
      <c r="JKV25" s="1271"/>
      <c r="JKW25" s="1271"/>
      <c r="JKX25" s="1271"/>
      <c r="JKY25" s="1271"/>
      <c r="JKZ25" s="1271"/>
      <c r="JLA25" s="1271"/>
      <c r="JLB25" s="1271"/>
      <c r="JLC25" s="1271"/>
      <c r="JLD25" s="1271"/>
      <c r="JLE25" s="1271"/>
      <c r="JLF25" s="1271"/>
      <c r="JLG25" s="1271"/>
      <c r="JLH25" s="1271"/>
      <c r="JLI25" s="1271"/>
      <c r="JLJ25" s="1271"/>
      <c r="JLK25" s="1271"/>
      <c r="JLL25" s="1271"/>
      <c r="JLM25" s="1271"/>
      <c r="JLN25" s="1271"/>
      <c r="JLO25" s="1271"/>
      <c r="JLP25" s="1271"/>
      <c r="JLQ25" s="1271"/>
      <c r="JLR25" s="1271"/>
      <c r="JLS25" s="1271"/>
      <c r="JLT25" s="1271"/>
      <c r="JLU25" s="1271"/>
      <c r="JLV25" s="1271"/>
      <c r="JLW25" s="1271"/>
      <c r="JLX25" s="1271"/>
      <c r="JLY25" s="1271"/>
      <c r="JLZ25" s="1271"/>
      <c r="JMA25" s="1271"/>
      <c r="JMB25" s="1271"/>
      <c r="JMC25" s="1271"/>
      <c r="JMD25" s="1271"/>
      <c r="JME25" s="1271"/>
      <c r="JMF25" s="1271"/>
      <c r="JMG25" s="1271"/>
      <c r="JMH25" s="1271"/>
      <c r="JMI25" s="1271"/>
      <c r="JMJ25" s="1271"/>
      <c r="JMK25" s="1271"/>
      <c r="JML25" s="1271"/>
      <c r="JMM25" s="1271"/>
      <c r="JMN25" s="1271"/>
      <c r="JMO25" s="1271"/>
      <c r="JMP25" s="1271"/>
      <c r="JMQ25" s="1271"/>
      <c r="JMR25" s="1271"/>
      <c r="JMS25" s="1271"/>
      <c r="JMT25" s="1271"/>
      <c r="JMU25" s="1271"/>
      <c r="JMV25" s="1271"/>
      <c r="JMW25" s="1271"/>
      <c r="JMX25" s="1271"/>
      <c r="JMY25" s="1271"/>
      <c r="JMZ25" s="1271"/>
      <c r="JNA25" s="1271"/>
      <c r="JNB25" s="1271"/>
      <c r="JNC25" s="1271"/>
      <c r="JND25" s="1271"/>
      <c r="JNE25" s="1271"/>
      <c r="JNF25" s="1271"/>
      <c r="JNG25" s="1271"/>
      <c r="JNH25" s="1271"/>
      <c r="JNI25" s="1271"/>
      <c r="JNJ25" s="1271"/>
      <c r="JNK25" s="1271"/>
      <c r="JNL25" s="1271"/>
      <c r="JNM25" s="1271"/>
      <c r="JNN25" s="1271"/>
      <c r="JNO25" s="1271"/>
      <c r="JNP25" s="1271"/>
      <c r="JNQ25" s="1271"/>
      <c r="JNR25" s="1271"/>
      <c r="JNS25" s="1271"/>
      <c r="JNT25" s="1271"/>
      <c r="JNU25" s="1271"/>
      <c r="JNV25" s="1271"/>
      <c r="JNW25" s="1271"/>
      <c r="JNX25" s="1271"/>
      <c r="JNY25" s="1271"/>
      <c r="JNZ25" s="1271"/>
      <c r="JOA25" s="1271"/>
      <c r="JOB25" s="1271"/>
      <c r="JOC25" s="1271"/>
      <c r="JOD25" s="1271"/>
      <c r="JOE25" s="1271"/>
      <c r="JOF25" s="1271"/>
      <c r="JOG25" s="1271"/>
      <c r="JOH25" s="1271"/>
      <c r="JOI25" s="1271"/>
      <c r="JOJ25" s="1271"/>
      <c r="JOK25" s="1271"/>
      <c r="JOL25" s="1271"/>
      <c r="JOM25" s="1271"/>
      <c r="JON25" s="1271"/>
      <c r="JOO25" s="1271"/>
      <c r="JOP25" s="1271"/>
      <c r="JOQ25" s="1271"/>
      <c r="JOR25" s="1271"/>
      <c r="JOS25" s="1271"/>
      <c r="JOT25" s="1271"/>
      <c r="JOU25" s="1271"/>
      <c r="JOV25" s="1271"/>
      <c r="JOW25" s="1271"/>
      <c r="JOX25" s="1271"/>
      <c r="JOY25" s="1271"/>
      <c r="JOZ25" s="1271"/>
      <c r="JPA25" s="1271"/>
      <c r="JPB25" s="1271"/>
      <c r="JPC25" s="1271"/>
      <c r="JPD25" s="1271"/>
      <c r="JPE25" s="1271"/>
      <c r="JPF25" s="1271"/>
      <c r="JPG25" s="1271"/>
      <c r="JPH25" s="1271"/>
      <c r="JPI25" s="1271"/>
      <c r="JPJ25" s="1271"/>
      <c r="JPK25" s="1271"/>
      <c r="JPL25" s="1271"/>
      <c r="JPM25" s="1271"/>
      <c r="JPN25" s="1271"/>
      <c r="JPO25" s="1271"/>
      <c r="JPP25" s="1271"/>
      <c r="JPQ25" s="1271"/>
      <c r="JPR25" s="1271"/>
      <c r="JPS25" s="1271"/>
      <c r="JPT25" s="1271"/>
      <c r="JPU25" s="1271"/>
      <c r="JPV25" s="1271"/>
      <c r="JPW25" s="1271"/>
      <c r="JPX25" s="1271"/>
      <c r="JPY25" s="1271"/>
      <c r="JPZ25" s="1271"/>
      <c r="JQA25" s="1271"/>
      <c r="JQB25" s="1271"/>
      <c r="JQC25" s="1271"/>
      <c r="JQD25" s="1271"/>
      <c r="JQE25" s="1271"/>
      <c r="JQF25" s="1271"/>
      <c r="JQG25" s="1271"/>
      <c r="JQH25" s="1271"/>
      <c r="JQI25" s="1271"/>
      <c r="JQJ25" s="1271"/>
      <c r="JQK25" s="1271"/>
      <c r="JQL25" s="1271"/>
      <c r="JQM25" s="1271"/>
      <c r="JQN25" s="1271"/>
      <c r="JQO25" s="1271"/>
      <c r="JQP25" s="1271"/>
      <c r="JQQ25" s="1271"/>
      <c r="JQR25" s="1271"/>
      <c r="JQS25" s="1271"/>
      <c r="JQT25" s="1271"/>
      <c r="JQU25" s="1271"/>
      <c r="JQV25" s="1271"/>
      <c r="JQW25" s="1271"/>
      <c r="JQX25" s="1271"/>
      <c r="JQY25" s="1271"/>
      <c r="JQZ25" s="1271"/>
      <c r="JRA25" s="1271"/>
      <c r="JRB25" s="1271"/>
      <c r="JRC25" s="1271"/>
      <c r="JRD25" s="1271"/>
      <c r="JRE25" s="1271"/>
      <c r="JRF25" s="1271"/>
      <c r="JRG25" s="1271"/>
      <c r="JRH25" s="1271"/>
      <c r="JRI25" s="1271"/>
      <c r="JRJ25" s="1271"/>
      <c r="JRK25" s="1271"/>
      <c r="JRL25" s="1271"/>
      <c r="JRM25" s="1271"/>
      <c r="JRN25" s="1271"/>
      <c r="JRO25" s="1271"/>
      <c r="JRP25" s="1271"/>
      <c r="JRQ25" s="1271"/>
      <c r="JRR25" s="1271"/>
      <c r="JRS25" s="1271"/>
      <c r="JRT25" s="1271"/>
      <c r="JRU25" s="1271"/>
      <c r="JRV25" s="1271"/>
      <c r="JRW25" s="1271"/>
      <c r="JRX25" s="1271"/>
      <c r="JRY25" s="1271"/>
      <c r="JRZ25" s="1271"/>
      <c r="JSA25" s="1271"/>
      <c r="JSB25" s="1271"/>
      <c r="JSC25" s="1271"/>
      <c r="JSD25" s="1271"/>
      <c r="JSE25" s="1271"/>
      <c r="JSF25" s="1271"/>
      <c r="JSG25" s="1271"/>
      <c r="JSH25" s="1271"/>
      <c r="JSI25" s="1271"/>
      <c r="JSJ25" s="1271"/>
      <c r="JSK25" s="1271"/>
      <c r="JSL25" s="1271"/>
      <c r="JSM25" s="1271"/>
      <c r="JSN25" s="1271"/>
      <c r="JSO25" s="1271"/>
      <c r="JSP25" s="1271"/>
      <c r="JSQ25" s="1271"/>
      <c r="JSR25" s="1271"/>
      <c r="JSS25" s="1271"/>
      <c r="JST25" s="1271"/>
      <c r="JSU25" s="1271"/>
      <c r="JSV25" s="1271"/>
      <c r="JSW25" s="1271"/>
      <c r="JSX25" s="1271"/>
      <c r="JSY25" s="1271"/>
      <c r="JSZ25" s="1271"/>
      <c r="JTA25" s="1271"/>
      <c r="JTB25" s="1271"/>
      <c r="JTC25" s="1271"/>
      <c r="JTD25" s="1271"/>
      <c r="JTE25" s="1271"/>
      <c r="JTF25" s="1271"/>
      <c r="JTG25" s="1271"/>
      <c r="JTH25" s="1271"/>
      <c r="JTI25" s="1271"/>
      <c r="JTJ25" s="1271"/>
      <c r="JTK25" s="1271"/>
      <c r="JTL25" s="1271"/>
      <c r="JTM25" s="1271"/>
      <c r="JTN25" s="1271"/>
      <c r="JTO25" s="1271"/>
      <c r="JTP25" s="1271"/>
      <c r="JTQ25" s="1271"/>
      <c r="JTR25" s="1271"/>
      <c r="JTS25" s="1271"/>
      <c r="JTT25" s="1271"/>
      <c r="JTU25" s="1271"/>
      <c r="JTV25" s="1271"/>
      <c r="JTW25" s="1271"/>
      <c r="JTX25" s="1271"/>
      <c r="JTY25" s="1271"/>
      <c r="JTZ25" s="1271"/>
      <c r="JUA25" s="1271"/>
      <c r="JUB25" s="1271"/>
      <c r="JUC25" s="1271"/>
      <c r="JUD25" s="1271"/>
      <c r="JUE25" s="1271"/>
      <c r="JUF25" s="1271"/>
      <c r="JUG25" s="1271"/>
      <c r="JUH25" s="1271"/>
      <c r="JUI25" s="1271"/>
      <c r="JUJ25" s="1271"/>
      <c r="JUK25" s="1271"/>
      <c r="JUL25" s="1271"/>
      <c r="JUM25" s="1271"/>
      <c r="JUN25" s="1271"/>
      <c r="JUO25" s="1271"/>
      <c r="JUP25" s="1271"/>
      <c r="JUQ25" s="1271"/>
      <c r="JUR25" s="1271"/>
      <c r="JUS25" s="1271"/>
      <c r="JUT25" s="1271"/>
      <c r="JUU25" s="1271"/>
      <c r="JUV25" s="1271"/>
      <c r="JUW25" s="1271"/>
      <c r="JUX25" s="1271"/>
      <c r="JUY25" s="1271"/>
      <c r="JUZ25" s="1271"/>
      <c r="JVA25" s="1271"/>
      <c r="JVB25" s="1271"/>
      <c r="JVC25" s="1271"/>
      <c r="JVD25" s="1271"/>
      <c r="JVE25" s="1271"/>
      <c r="JVF25" s="1271"/>
      <c r="JVG25" s="1271"/>
      <c r="JVH25" s="1271"/>
      <c r="JVI25" s="1271"/>
      <c r="JVJ25" s="1271"/>
      <c r="JVK25" s="1271"/>
      <c r="JVL25" s="1271"/>
      <c r="JVM25" s="1271"/>
      <c r="JVN25" s="1271"/>
      <c r="JVO25" s="1271"/>
      <c r="JVP25" s="1271"/>
      <c r="JVQ25" s="1271"/>
      <c r="JVR25" s="1271"/>
      <c r="JVS25" s="1271"/>
      <c r="JVT25" s="1271"/>
      <c r="JVU25" s="1271"/>
      <c r="JVV25" s="1271"/>
      <c r="JVW25" s="1271"/>
      <c r="JVX25" s="1271"/>
      <c r="JVY25" s="1271"/>
      <c r="JVZ25" s="1271"/>
      <c r="JWA25" s="1271"/>
      <c r="JWB25" s="1271"/>
      <c r="JWC25" s="1271"/>
      <c r="JWD25" s="1271"/>
      <c r="JWE25" s="1271"/>
      <c r="JWF25" s="1271"/>
      <c r="JWG25" s="1271"/>
      <c r="JWH25" s="1271"/>
      <c r="JWI25" s="1271"/>
      <c r="JWJ25" s="1271"/>
      <c r="JWK25" s="1271"/>
      <c r="JWL25" s="1271"/>
      <c r="JWM25" s="1271"/>
      <c r="JWN25" s="1271"/>
      <c r="JWO25" s="1271"/>
      <c r="JWP25" s="1271"/>
      <c r="JWQ25" s="1271"/>
      <c r="JWR25" s="1271"/>
      <c r="JWS25" s="1271"/>
      <c r="JWT25" s="1271"/>
      <c r="JWU25" s="1271"/>
      <c r="JWV25" s="1271"/>
      <c r="JWW25" s="1271"/>
      <c r="JWX25" s="1271"/>
      <c r="JWY25" s="1271"/>
      <c r="JWZ25" s="1271"/>
      <c r="JXA25" s="1271"/>
      <c r="JXB25" s="1271"/>
      <c r="JXC25" s="1271"/>
      <c r="JXD25" s="1271"/>
      <c r="JXE25" s="1271"/>
      <c r="JXF25" s="1271"/>
      <c r="JXG25" s="1271"/>
      <c r="JXH25" s="1271"/>
      <c r="JXI25" s="1271"/>
      <c r="JXJ25" s="1271"/>
      <c r="JXK25" s="1271"/>
      <c r="JXL25" s="1271"/>
      <c r="JXM25" s="1271"/>
      <c r="JXN25" s="1271"/>
      <c r="JXO25" s="1271"/>
      <c r="JXP25" s="1271"/>
      <c r="JXQ25" s="1271"/>
      <c r="JXR25" s="1271"/>
      <c r="JXS25" s="1271"/>
      <c r="JXT25" s="1271"/>
      <c r="JXU25" s="1271"/>
      <c r="JXV25" s="1271"/>
      <c r="JXW25" s="1271"/>
      <c r="JXX25" s="1271"/>
      <c r="JXY25" s="1271"/>
      <c r="JXZ25" s="1271"/>
      <c r="JYA25" s="1271"/>
      <c r="JYB25" s="1271"/>
      <c r="JYC25" s="1271"/>
      <c r="JYD25" s="1271"/>
      <c r="JYE25" s="1271"/>
      <c r="JYF25" s="1271"/>
      <c r="JYG25" s="1271"/>
      <c r="JYH25" s="1271"/>
      <c r="JYI25" s="1271"/>
      <c r="JYJ25" s="1271"/>
      <c r="JYK25" s="1271"/>
      <c r="JYL25" s="1271"/>
      <c r="JYM25" s="1271"/>
      <c r="JYN25" s="1271"/>
      <c r="JYO25" s="1271"/>
      <c r="JYP25" s="1271"/>
      <c r="JYQ25" s="1271"/>
      <c r="JYR25" s="1271"/>
      <c r="JYS25" s="1271"/>
      <c r="JYT25" s="1271"/>
      <c r="JYU25" s="1271"/>
      <c r="JYV25" s="1271"/>
      <c r="JYW25" s="1271"/>
      <c r="JYX25" s="1271"/>
      <c r="JYY25" s="1271"/>
      <c r="JYZ25" s="1271"/>
      <c r="JZA25" s="1271"/>
      <c r="JZB25" s="1271"/>
      <c r="JZC25" s="1271"/>
      <c r="JZD25" s="1271"/>
      <c r="JZE25" s="1271"/>
      <c r="JZF25" s="1271"/>
      <c r="JZG25" s="1271"/>
      <c r="JZH25" s="1271"/>
      <c r="JZI25" s="1271"/>
      <c r="JZJ25" s="1271"/>
      <c r="JZK25" s="1271"/>
      <c r="JZL25" s="1271"/>
      <c r="JZM25" s="1271"/>
      <c r="JZN25" s="1271"/>
      <c r="JZO25" s="1271"/>
      <c r="JZP25" s="1271"/>
      <c r="JZQ25" s="1271"/>
      <c r="JZR25" s="1271"/>
      <c r="JZS25" s="1271"/>
      <c r="JZT25" s="1271"/>
      <c r="JZU25" s="1271"/>
      <c r="JZV25" s="1271"/>
      <c r="JZW25" s="1271"/>
      <c r="JZX25" s="1271"/>
      <c r="JZY25" s="1271"/>
      <c r="JZZ25" s="1271"/>
      <c r="KAA25" s="1271"/>
      <c r="KAB25" s="1271"/>
      <c r="KAC25" s="1271"/>
      <c r="KAD25" s="1271"/>
      <c r="KAE25" s="1271"/>
      <c r="KAF25" s="1271"/>
      <c r="KAG25" s="1271"/>
      <c r="KAH25" s="1271"/>
      <c r="KAI25" s="1271"/>
      <c r="KAJ25" s="1271"/>
      <c r="KAK25" s="1271"/>
      <c r="KAL25" s="1271"/>
      <c r="KAM25" s="1271"/>
      <c r="KAN25" s="1271"/>
      <c r="KAO25" s="1271"/>
      <c r="KAP25" s="1271"/>
      <c r="KAQ25" s="1271"/>
      <c r="KAR25" s="1271"/>
      <c r="KAS25" s="1271"/>
      <c r="KAT25" s="1271"/>
      <c r="KAU25" s="1271"/>
      <c r="KAV25" s="1271"/>
      <c r="KAW25" s="1271"/>
      <c r="KAX25" s="1271"/>
      <c r="KAY25" s="1271"/>
      <c r="KAZ25" s="1271"/>
      <c r="KBA25" s="1271"/>
      <c r="KBB25" s="1271"/>
      <c r="KBC25" s="1271"/>
      <c r="KBD25" s="1271"/>
      <c r="KBE25" s="1271"/>
      <c r="KBF25" s="1271"/>
      <c r="KBG25" s="1271"/>
      <c r="KBH25" s="1271"/>
      <c r="KBI25" s="1271"/>
      <c r="KBJ25" s="1271"/>
      <c r="KBK25" s="1271"/>
      <c r="KBL25" s="1271"/>
      <c r="KBM25" s="1271"/>
      <c r="KBN25" s="1271"/>
      <c r="KBO25" s="1271"/>
      <c r="KBP25" s="1271"/>
      <c r="KBQ25" s="1271"/>
      <c r="KBR25" s="1271"/>
      <c r="KBS25" s="1271"/>
      <c r="KBT25" s="1271"/>
      <c r="KBU25" s="1271"/>
      <c r="KBV25" s="1271"/>
      <c r="KBW25" s="1271"/>
      <c r="KBX25" s="1271"/>
      <c r="KBY25" s="1271"/>
      <c r="KBZ25" s="1271"/>
      <c r="KCA25" s="1271"/>
      <c r="KCB25" s="1271"/>
      <c r="KCC25" s="1271"/>
      <c r="KCD25" s="1271"/>
      <c r="KCE25" s="1271"/>
      <c r="KCF25" s="1271"/>
      <c r="KCG25" s="1271"/>
      <c r="KCH25" s="1271"/>
      <c r="KCI25" s="1271"/>
      <c r="KCJ25" s="1271"/>
      <c r="KCK25" s="1271"/>
      <c r="KCL25" s="1271"/>
      <c r="KCM25" s="1271"/>
      <c r="KCN25" s="1271"/>
      <c r="KCO25" s="1271"/>
      <c r="KCP25" s="1271"/>
      <c r="KCQ25" s="1271"/>
      <c r="KCR25" s="1271"/>
      <c r="KCS25" s="1271"/>
      <c r="KCT25" s="1271"/>
      <c r="KCU25" s="1271"/>
      <c r="KCV25" s="1271"/>
      <c r="KCW25" s="1271"/>
      <c r="KCX25" s="1271"/>
      <c r="KCY25" s="1271"/>
      <c r="KCZ25" s="1271"/>
      <c r="KDA25" s="1271"/>
      <c r="KDB25" s="1271"/>
      <c r="KDC25" s="1271"/>
      <c r="KDD25" s="1271"/>
      <c r="KDE25" s="1271"/>
      <c r="KDF25" s="1271"/>
      <c r="KDG25" s="1271"/>
      <c r="KDH25" s="1271"/>
      <c r="KDI25" s="1271"/>
      <c r="KDJ25" s="1271"/>
      <c r="KDK25" s="1271"/>
      <c r="KDL25" s="1271"/>
      <c r="KDM25" s="1271"/>
      <c r="KDN25" s="1271"/>
      <c r="KDO25" s="1271"/>
      <c r="KDP25" s="1271"/>
      <c r="KDQ25" s="1271"/>
      <c r="KDR25" s="1271"/>
      <c r="KDS25" s="1271"/>
      <c r="KDT25" s="1271"/>
      <c r="KDU25" s="1271"/>
      <c r="KDV25" s="1271"/>
      <c r="KDW25" s="1271"/>
      <c r="KDX25" s="1271"/>
      <c r="KDY25" s="1271"/>
      <c r="KDZ25" s="1271"/>
      <c r="KEA25" s="1271"/>
      <c r="KEB25" s="1271"/>
      <c r="KEC25" s="1271"/>
      <c r="KED25" s="1271"/>
      <c r="KEE25" s="1271"/>
      <c r="KEF25" s="1271"/>
      <c r="KEG25" s="1271"/>
      <c r="KEH25" s="1271"/>
      <c r="KEI25" s="1271"/>
      <c r="KEJ25" s="1271"/>
      <c r="KEK25" s="1271"/>
      <c r="KEL25" s="1271"/>
      <c r="KEM25" s="1271"/>
      <c r="KEN25" s="1271"/>
      <c r="KEO25" s="1271"/>
      <c r="KEP25" s="1271"/>
      <c r="KEQ25" s="1271"/>
      <c r="KER25" s="1271"/>
      <c r="KES25" s="1271"/>
      <c r="KET25" s="1271"/>
      <c r="KEU25" s="1271"/>
      <c r="KEV25" s="1271"/>
      <c r="KEW25" s="1271"/>
      <c r="KEX25" s="1271"/>
      <c r="KEY25" s="1271"/>
      <c r="KEZ25" s="1271"/>
      <c r="KFA25" s="1271"/>
      <c r="KFB25" s="1271"/>
      <c r="KFC25" s="1271"/>
      <c r="KFD25" s="1271"/>
      <c r="KFE25" s="1271"/>
      <c r="KFF25" s="1271"/>
      <c r="KFG25" s="1271"/>
      <c r="KFH25" s="1271"/>
      <c r="KFI25" s="1271"/>
      <c r="KFJ25" s="1271"/>
      <c r="KFK25" s="1271"/>
      <c r="KFL25" s="1271"/>
      <c r="KFM25" s="1271"/>
      <c r="KFN25" s="1271"/>
      <c r="KFO25" s="1271"/>
      <c r="KFP25" s="1271"/>
      <c r="KFQ25" s="1271"/>
      <c r="KFR25" s="1271"/>
      <c r="KFS25" s="1271"/>
      <c r="KFT25" s="1271"/>
      <c r="KFU25" s="1271"/>
      <c r="KFV25" s="1271"/>
      <c r="KFW25" s="1271"/>
      <c r="KFX25" s="1271"/>
      <c r="KFY25" s="1271"/>
      <c r="KFZ25" s="1271"/>
      <c r="KGA25" s="1271"/>
      <c r="KGB25" s="1271"/>
      <c r="KGC25" s="1271"/>
      <c r="KGD25" s="1271"/>
      <c r="KGE25" s="1271"/>
      <c r="KGF25" s="1271"/>
      <c r="KGG25" s="1271"/>
      <c r="KGH25" s="1271"/>
      <c r="KGI25" s="1271"/>
      <c r="KGJ25" s="1271"/>
      <c r="KGK25" s="1271"/>
      <c r="KGL25" s="1271"/>
      <c r="KGM25" s="1271"/>
      <c r="KGN25" s="1271"/>
      <c r="KGO25" s="1271"/>
      <c r="KGP25" s="1271"/>
      <c r="KGQ25" s="1271"/>
      <c r="KGR25" s="1271"/>
      <c r="KGS25" s="1271"/>
      <c r="KGT25" s="1271"/>
      <c r="KGU25" s="1271"/>
      <c r="KGV25" s="1271"/>
      <c r="KGW25" s="1271"/>
      <c r="KGX25" s="1271"/>
      <c r="KGY25" s="1271"/>
      <c r="KGZ25" s="1271"/>
      <c r="KHA25" s="1271"/>
      <c r="KHB25" s="1271"/>
      <c r="KHC25" s="1271"/>
      <c r="KHD25" s="1271"/>
      <c r="KHE25" s="1271"/>
      <c r="KHF25" s="1271"/>
      <c r="KHG25" s="1271"/>
      <c r="KHH25" s="1271"/>
      <c r="KHI25" s="1271"/>
      <c r="KHJ25" s="1271"/>
      <c r="KHK25" s="1271"/>
      <c r="KHL25" s="1271"/>
      <c r="KHM25" s="1271"/>
      <c r="KHN25" s="1271"/>
      <c r="KHO25" s="1271"/>
      <c r="KHP25" s="1271"/>
      <c r="KHQ25" s="1271"/>
      <c r="KHR25" s="1271"/>
      <c r="KHS25" s="1271"/>
      <c r="KHT25" s="1271"/>
      <c r="KHU25" s="1271"/>
      <c r="KHV25" s="1271"/>
      <c r="KHW25" s="1271"/>
      <c r="KHX25" s="1271"/>
      <c r="KHY25" s="1271"/>
      <c r="KHZ25" s="1271"/>
      <c r="KIA25" s="1271"/>
      <c r="KIB25" s="1271"/>
      <c r="KIC25" s="1271"/>
      <c r="KID25" s="1271"/>
      <c r="KIE25" s="1271"/>
      <c r="KIF25" s="1271"/>
      <c r="KIG25" s="1271"/>
      <c r="KIH25" s="1271"/>
      <c r="KII25" s="1271"/>
      <c r="KIJ25" s="1271"/>
      <c r="KIK25" s="1271"/>
      <c r="KIL25" s="1271"/>
      <c r="KIM25" s="1271"/>
      <c r="KIN25" s="1271"/>
      <c r="KIO25" s="1271"/>
      <c r="KIP25" s="1271"/>
      <c r="KIQ25" s="1271"/>
      <c r="KIR25" s="1271"/>
      <c r="KIS25" s="1271"/>
      <c r="KIT25" s="1271"/>
      <c r="KIU25" s="1271"/>
      <c r="KIV25" s="1271"/>
      <c r="KIW25" s="1271"/>
      <c r="KIX25" s="1271"/>
      <c r="KIY25" s="1271"/>
      <c r="KIZ25" s="1271"/>
      <c r="KJA25" s="1271"/>
      <c r="KJB25" s="1271"/>
      <c r="KJC25" s="1271"/>
      <c r="KJD25" s="1271"/>
      <c r="KJE25" s="1271"/>
      <c r="KJF25" s="1271"/>
      <c r="KJG25" s="1271"/>
      <c r="KJH25" s="1271"/>
      <c r="KJI25" s="1271"/>
      <c r="KJJ25" s="1271"/>
      <c r="KJK25" s="1271"/>
      <c r="KJL25" s="1271"/>
      <c r="KJM25" s="1271"/>
      <c r="KJN25" s="1271"/>
      <c r="KJO25" s="1271"/>
      <c r="KJP25" s="1271"/>
      <c r="KJQ25" s="1271"/>
      <c r="KJR25" s="1271"/>
      <c r="KJS25" s="1271"/>
      <c r="KJT25" s="1271"/>
      <c r="KJU25" s="1271"/>
      <c r="KJV25" s="1271"/>
      <c r="KJW25" s="1271"/>
      <c r="KJX25" s="1271"/>
      <c r="KJY25" s="1271"/>
      <c r="KJZ25" s="1271"/>
      <c r="KKA25" s="1271"/>
      <c r="KKB25" s="1271"/>
      <c r="KKC25" s="1271"/>
      <c r="KKD25" s="1271"/>
      <c r="KKE25" s="1271"/>
      <c r="KKF25" s="1271"/>
      <c r="KKG25" s="1271"/>
      <c r="KKH25" s="1271"/>
      <c r="KKI25" s="1271"/>
      <c r="KKJ25" s="1271"/>
      <c r="KKK25" s="1271"/>
      <c r="KKL25" s="1271"/>
      <c r="KKM25" s="1271"/>
      <c r="KKN25" s="1271"/>
      <c r="KKO25" s="1271"/>
      <c r="KKP25" s="1271"/>
      <c r="KKQ25" s="1271"/>
      <c r="KKR25" s="1271"/>
      <c r="KKS25" s="1271"/>
      <c r="KKT25" s="1271"/>
      <c r="KKU25" s="1271"/>
      <c r="KKV25" s="1271"/>
      <c r="KKW25" s="1271"/>
      <c r="KKX25" s="1271"/>
      <c r="KKY25" s="1271"/>
      <c r="KKZ25" s="1271"/>
      <c r="KLA25" s="1271"/>
      <c r="KLB25" s="1271"/>
      <c r="KLC25" s="1271"/>
      <c r="KLD25" s="1271"/>
      <c r="KLE25" s="1271"/>
      <c r="KLF25" s="1271"/>
      <c r="KLG25" s="1271"/>
      <c r="KLH25" s="1271"/>
      <c r="KLI25" s="1271"/>
      <c r="KLJ25" s="1271"/>
      <c r="KLK25" s="1271"/>
      <c r="KLL25" s="1271"/>
      <c r="KLM25" s="1271"/>
      <c r="KLN25" s="1271"/>
      <c r="KLO25" s="1271"/>
      <c r="KLP25" s="1271"/>
      <c r="KLQ25" s="1271"/>
      <c r="KLR25" s="1271"/>
      <c r="KLS25" s="1271"/>
      <c r="KLT25" s="1271"/>
      <c r="KLU25" s="1271"/>
      <c r="KLV25" s="1271"/>
      <c r="KLW25" s="1271"/>
      <c r="KLX25" s="1271"/>
      <c r="KLY25" s="1271"/>
      <c r="KLZ25" s="1271"/>
      <c r="KMA25" s="1271"/>
      <c r="KMB25" s="1271"/>
      <c r="KMC25" s="1271"/>
      <c r="KMD25" s="1271"/>
      <c r="KME25" s="1271"/>
      <c r="KMF25" s="1271"/>
      <c r="KMG25" s="1271"/>
      <c r="KMH25" s="1271"/>
      <c r="KMI25" s="1271"/>
      <c r="KMJ25" s="1271"/>
      <c r="KMK25" s="1271"/>
      <c r="KML25" s="1271"/>
      <c r="KMM25" s="1271"/>
      <c r="KMN25" s="1271"/>
      <c r="KMO25" s="1271"/>
      <c r="KMP25" s="1271"/>
      <c r="KMQ25" s="1271"/>
      <c r="KMR25" s="1271"/>
      <c r="KMS25" s="1271"/>
      <c r="KMT25" s="1271"/>
      <c r="KMU25" s="1271"/>
      <c r="KMV25" s="1271"/>
      <c r="KMW25" s="1271"/>
      <c r="KMX25" s="1271"/>
      <c r="KMY25" s="1271"/>
      <c r="KMZ25" s="1271"/>
      <c r="KNA25" s="1271"/>
      <c r="KNB25" s="1271"/>
      <c r="KNC25" s="1271"/>
      <c r="KND25" s="1271"/>
      <c r="KNE25" s="1271"/>
      <c r="KNF25" s="1271"/>
      <c r="KNG25" s="1271"/>
      <c r="KNH25" s="1271"/>
      <c r="KNI25" s="1271"/>
      <c r="KNJ25" s="1271"/>
      <c r="KNK25" s="1271"/>
      <c r="KNL25" s="1271"/>
      <c r="KNM25" s="1271"/>
      <c r="KNN25" s="1271"/>
      <c r="KNO25" s="1271"/>
      <c r="KNP25" s="1271"/>
      <c r="KNQ25" s="1271"/>
      <c r="KNR25" s="1271"/>
      <c r="KNS25" s="1271"/>
      <c r="KNT25" s="1271"/>
      <c r="KNU25" s="1271"/>
      <c r="KNV25" s="1271"/>
      <c r="KNW25" s="1271"/>
      <c r="KNX25" s="1271"/>
      <c r="KNY25" s="1271"/>
      <c r="KNZ25" s="1271"/>
      <c r="KOA25" s="1271"/>
      <c r="KOB25" s="1271"/>
      <c r="KOC25" s="1271"/>
      <c r="KOD25" s="1271"/>
      <c r="KOE25" s="1271"/>
      <c r="KOF25" s="1271"/>
      <c r="KOG25" s="1271"/>
      <c r="KOH25" s="1271"/>
      <c r="KOI25" s="1271"/>
      <c r="KOJ25" s="1271"/>
      <c r="KOK25" s="1271"/>
      <c r="KOL25" s="1271"/>
      <c r="KOM25" s="1271"/>
      <c r="KON25" s="1271"/>
      <c r="KOO25" s="1271"/>
      <c r="KOP25" s="1271"/>
      <c r="KOQ25" s="1271"/>
      <c r="KOR25" s="1271"/>
      <c r="KOS25" s="1271"/>
      <c r="KOT25" s="1271"/>
      <c r="KOU25" s="1271"/>
      <c r="KOV25" s="1271"/>
      <c r="KOW25" s="1271"/>
      <c r="KOX25" s="1271"/>
      <c r="KOY25" s="1271"/>
      <c r="KOZ25" s="1271"/>
      <c r="KPA25" s="1271"/>
      <c r="KPB25" s="1271"/>
      <c r="KPC25" s="1271"/>
      <c r="KPD25" s="1271"/>
      <c r="KPE25" s="1271"/>
      <c r="KPF25" s="1271"/>
      <c r="KPG25" s="1271"/>
      <c r="KPH25" s="1271"/>
      <c r="KPI25" s="1271"/>
      <c r="KPJ25" s="1271"/>
      <c r="KPK25" s="1271"/>
      <c r="KPL25" s="1271"/>
      <c r="KPM25" s="1271"/>
      <c r="KPN25" s="1271"/>
      <c r="KPO25" s="1271"/>
      <c r="KPP25" s="1271"/>
      <c r="KPQ25" s="1271"/>
      <c r="KPR25" s="1271"/>
      <c r="KPS25" s="1271"/>
      <c r="KPT25" s="1271"/>
      <c r="KPU25" s="1271"/>
      <c r="KPV25" s="1271"/>
      <c r="KPW25" s="1271"/>
      <c r="KPX25" s="1271"/>
      <c r="KPY25" s="1271"/>
      <c r="KPZ25" s="1271"/>
      <c r="KQA25" s="1271"/>
      <c r="KQB25" s="1271"/>
      <c r="KQC25" s="1271"/>
      <c r="KQD25" s="1271"/>
      <c r="KQE25" s="1271"/>
      <c r="KQF25" s="1271"/>
      <c r="KQG25" s="1271"/>
      <c r="KQH25" s="1271"/>
      <c r="KQI25" s="1271"/>
      <c r="KQJ25" s="1271"/>
      <c r="KQK25" s="1271"/>
      <c r="KQL25" s="1271"/>
      <c r="KQM25" s="1271"/>
      <c r="KQN25" s="1271"/>
      <c r="KQO25" s="1271"/>
      <c r="KQP25" s="1271"/>
      <c r="KQQ25" s="1271"/>
      <c r="KQR25" s="1271"/>
      <c r="KQS25" s="1271"/>
      <c r="KQT25" s="1271"/>
      <c r="KQU25" s="1271"/>
      <c r="KQV25" s="1271"/>
      <c r="KQW25" s="1271"/>
      <c r="KQX25" s="1271"/>
      <c r="KQY25" s="1271"/>
      <c r="KQZ25" s="1271"/>
      <c r="KRA25" s="1271"/>
      <c r="KRB25" s="1271"/>
      <c r="KRC25" s="1271"/>
      <c r="KRD25" s="1271"/>
      <c r="KRE25" s="1271"/>
      <c r="KRF25" s="1271"/>
      <c r="KRG25" s="1271"/>
      <c r="KRH25" s="1271"/>
      <c r="KRI25" s="1271"/>
      <c r="KRJ25" s="1271"/>
      <c r="KRK25" s="1271"/>
      <c r="KRL25" s="1271"/>
      <c r="KRM25" s="1271"/>
      <c r="KRN25" s="1271"/>
      <c r="KRO25" s="1271"/>
      <c r="KRP25" s="1271"/>
      <c r="KRQ25" s="1271"/>
      <c r="KRR25" s="1271"/>
      <c r="KRS25" s="1271"/>
      <c r="KRT25" s="1271"/>
      <c r="KRU25" s="1271"/>
      <c r="KRV25" s="1271"/>
      <c r="KRW25" s="1271"/>
      <c r="KRX25" s="1271"/>
      <c r="KRY25" s="1271"/>
      <c r="KRZ25" s="1271"/>
      <c r="KSA25" s="1271"/>
      <c r="KSB25" s="1271"/>
      <c r="KSC25" s="1271"/>
      <c r="KSD25" s="1271"/>
      <c r="KSE25" s="1271"/>
      <c r="KSF25" s="1271"/>
      <c r="KSG25" s="1271"/>
      <c r="KSH25" s="1271"/>
      <c r="KSI25" s="1271"/>
      <c r="KSJ25" s="1271"/>
      <c r="KSK25" s="1271"/>
      <c r="KSL25" s="1271"/>
      <c r="KSM25" s="1271"/>
      <c r="KSN25" s="1271"/>
      <c r="KSO25" s="1271"/>
      <c r="KSP25" s="1271"/>
      <c r="KSQ25" s="1271"/>
      <c r="KSR25" s="1271"/>
      <c r="KSS25" s="1271"/>
      <c r="KST25" s="1271"/>
      <c r="KSU25" s="1271"/>
      <c r="KSV25" s="1271"/>
      <c r="KSW25" s="1271"/>
      <c r="KSX25" s="1271"/>
      <c r="KSY25" s="1271"/>
      <c r="KSZ25" s="1271"/>
      <c r="KTA25" s="1271"/>
      <c r="KTB25" s="1271"/>
      <c r="KTC25" s="1271"/>
      <c r="KTD25" s="1271"/>
      <c r="KTE25" s="1271"/>
      <c r="KTF25" s="1271"/>
      <c r="KTG25" s="1271"/>
      <c r="KTH25" s="1271"/>
      <c r="KTI25" s="1271"/>
      <c r="KTJ25" s="1271"/>
      <c r="KTK25" s="1271"/>
      <c r="KTL25" s="1271"/>
      <c r="KTM25" s="1271"/>
      <c r="KTN25" s="1271"/>
      <c r="KTO25" s="1271"/>
      <c r="KTP25" s="1271"/>
      <c r="KTQ25" s="1271"/>
      <c r="KTR25" s="1271"/>
      <c r="KTS25" s="1271"/>
      <c r="KTT25" s="1271"/>
      <c r="KTU25" s="1271"/>
      <c r="KTV25" s="1271"/>
      <c r="KTW25" s="1271"/>
      <c r="KTX25" s="1271"/>
      <c r="KTY25" s="1271"/>
      <c r="KTZ25" s="1271"/>
      <c r="KUA25" s="1271"/>
      <c r="KUB25" s="1271"/>
      <c r="KUC25" s="1271"/>
      <c r="KUD25" s="1271"/>
      <c r="KUE25" s="1271"/>
      <c r="KUF25" s="1271"/>
      <c r="KUG25" s="1271"/>
      <c r="KUH25" s="1271"/>
      <c r="KUI25" s="1271"/>
      <c r="KUJ25" s="1271"/>
      <c r="KUK25" s="1271"/>
      <c r="KUL25" s="1271"/>
      <c r="KUM25" s="1271"/>
      <c r="KUN25" s="1271"/>
      <c r="KUO25" s="1271"/>
      <c r="KUP25" s="1271"/>
      <c r="KUQ25" s="1271"/>
      <c r="KUR25" s="1271"/>
      <c r="KUS25" s="1271"/>
      <c r="KUT25" s="1271"/>
      <c r="KUU25" s="1271"/>
      <c r="KUV25" s="1271"/>
      <c r="KUW25" s="1271"/>
      <c r="KUX25" s="1271"/>
      <c r="KUY25" s="1271"/>
      <c r="KUZ25" s="1271"/>
      <c r="KVA25" s="1271"/>
      <c r="KVB25" s="1271"/>
      <c r="KVC25" s="1271"/>
      <c r="KVD25" s="1271"/>
      <c r="KVE25" s="1271"/>
      <c r="KVF25" s="1271"/>
      <c r="KVG25" s="1271"/>
      <c r="KVH25" s="1271"/>
      <c r="KVI25" s="1271"/>
      <c r="KVJ25" s="1271"/>
      <c r="KVK25" s="1271"/>
      <c r="KVL25" s="1271"/>
      <c r="KVM25" s="1271"/>
      <c r="KVN25" s="1271"/>
      <c r="KVO25" s="1271"/>
      <c r="KVP25" s="1271"/>
      <c r="KVQ25" s="1271"/>
      <c r="KVR25" s="1271"/>
      <c r="KVS25" s="1271"/>
      <c r="KVT25" s="1271"/>
      <c r="KVU25" s="1271"/>
      <c r="KVV25" s="1271"/>
      <c r="KVW25" s="1271"/>
      <c r="KVX25" s="1271"/>
      <c r="KVY25" s="1271"/>
      <c r="KVZ25" s="1271"/>
      <c r="KWA25" s="1271"/>
      <c r="KWB25" s="1271"/>
      <c r="KWC25" s="1271"/>
      <c r="KWD25" s="1271"/>
      <c r="KWE25" s="1271"/>
      <c r="KWF25" s="1271"/>
      <c r="KWG25" s="1271"/>
      <c r="KWH25" s="1271"/>
      <c r="KWI25" s="1271"/>
      <c r="KWJ25" s="1271"/>
      <c r="KWK25" s="1271"/>
      <c r="KWL25" s="1271"/>
      <c r="KWM25" s="1271"/>
      <c r="KWN25" s="1271"/>
      <c r="KWO25" s="1271"/>
      <c r="KWP25" s="1271"/>
      <c r="KWQ25" s="1271"/>
      <c r="KWR25" s="1271"/>
      <c r="KWS25" s="1271"/>
      <c r="KWT25" s="1271"/>
      <c r="KWU25" s="1271"/>
      <c r="KWV25" s="1271"/>
      <c r="KWW25" s="1271"/>
      <c r="KWX25" s="1271"/>
      <c r="KWY25" s="1271"/>
      <c r="KWZ25" s="1271"/>
      <c r="KXA25" s="1271"/>
      <c r="KXB25" s="1271"/>
      <c r="KXC25" s="1271"/>
      <c r="KXD25" s="1271"/>
      <c r="KXE25" s="1271"/>
      <c r="KXF25" s="1271"/>
      <c r="KXG25" s="1271"/>
      <c r="KXH25" s="1271"/>
      <c r="KXI25" s="1271"/>
      <c r="KXJ25" s="1271"/>
      <c r="KXK25" s="1271"/>
      <c r="KXL25" s="1271"/>
      <c r="KXM25" s="1271"/>
      <c r="KXN25" s="1271"/>
      <c r="KXO25" s="1271"/>
      <c r="KXP25" s="1271"/>
      <c r="KXQ25" s="1271"/>
      <c r="KXR25" s="1271"/>
      <c r="KXS25" s="1271"/>
      <c r="KXT25" s="1271"/>
      <c r="KXU25" s="1271"/>
      <c r="KXV25" s="1271"/>
      <c r="KXW25" s="1271"/>
      <c r="KXX25" s="1271"/>
      <c r="KXY25" s="1271"/>
      <c r="KXZ25" s="1271"/>
      <c r="KYA25" s="1271"/>
      <c r="KYB25" s="1271"/>
      <c r="KYC25" s="1271"/>
      <c r="KYD25" s="1271"/>
      <c r="KYE25" s="1271"/>
      <c r="KYF25" s="1271"/>
      <c r="KYG25" s="1271"/>
      <c r="KYH25" s="1271"/>
      <c r="KYI25" s="1271"/>
      <c r="KYJ25" s="1271"/>
      <c r="KYK25" s="1271"/>
      <c r="KYL25" s="1271"/>
      <c r="KYM25" s="1271"/>
      <c r="KYN25" s="1271"/>
      <c r="KYO25" s="1271"/>
      <c r="KYP25" s="1271"/>
      <c r="KYQ25" s="1271"/>
      <c r="KYR25" s="1271"/>
      <c r="KYS25" s="1271"/>
      <c r="KYT25" s="1271"/>
      <c r="KYU25" s="1271"/>
      <c r="KYV25" s="1271"/>
      <c r="KYW25" s="1271"/>
      <c r="KYX25" s="1271"/>
      <c r="KYY25" s="1271"/>
      <c r="KYZ25" s="1271"/>
      <c r="KZA25" s="1271"/>
      <c r="KZB25" s="1271"/>
      <c r="KZC25" s="1271"/>
      <c r="KZD25" s="1271"/>
      <c r="KZE25" s="1271"/>
      <c r="KZF25" s="1271"/>
      <c r="KZG25" s="1271"/>
      <c r="KZH25" s="1271"/>
      <c r="KZI25" s="1271"/>
      <c r="KZJ25" s="1271"/>
      <c r="KZK25" s="1271"/>
      <c r="KZL25" s="1271"/>
      <c r="KZM25" s="1271"/>
      <c r="KZN25" s="1271"/>
      <c r="KZO25" s="1271"/>
      <c r="KZP25" s="1271"/>
      <c r="KZQ25" s="1271"/>
      <c r="KZR25" s="1271"/>
      <c r="KZS25" s="1271"/>
      <c r="KZT25" s="1271"/>
      <c r="KZU25" s="1271"/>
      <c r="KZV25" s="1271"/>
      <c r="KZW25" s="1271"/>
      <c r="KZX25" s="1271"/>
      <c r="KZY25" s="1271"/>
      <c r="KZZ25" s="1271"/>
      <c r="LAA25" s="1271"/>
      <c r="LAB25" s="1271"/>
      <c r="LAC25" s="1271"/>
      <c r="LAD25" s="1271"/>
      <c r="LAE25" s="1271"/>
      <c r="LAF25" s="1271"/>
      <c r="LAG25" s="1271"/>
      <c r="LAH25" s="1271"/>
      <c r="LAI25" s="1271"/>
      <c r="LAJ25" s="1271"/>
      <c r="LAK25" s="1271"/>
      <c r="LAL25" s="1271"/>
      <c r="LAM25" s="1271"/>
      <c r="LAN25" s="1271"/>
      <c r="LAO25" s="1271"/>
      <c r="LAP25" s="1271"/>
      <c r="LAQ25" s="1271"/>
      <c r="LAR25" s="1271"/>
      <c r="LAS25" s="1271"/>
      <c r="LAT25" s="1271"/>
      <c r="LAU25" s="1271"/>
      <c r="LAV25" s="1271"/>
      <c r="LAW25" s="1271"/>
      <c r="LAX25" s="1271"/>
      <c r="LAY25" s="1271"/>
      <c r="LAZ25" s="1271"/>
      <c r="LBA25" s="1271"/>
      <c r="LBB25" s="1271"/>
      <c r="LBC25" s="1271"/>
      <c r="LBD25" s="1271"/>
      <c r="LBE25" s="1271"/>
      <c r="LBF25" s="1271"/>
      <c r="LBG25" s="1271"/>
      <c r="LBH25" s="1271"/>
      <c r="LBI25" s="1271"/>
      <c r="LBJ25" s="1271"/>
      <c r="LBK25" s="1271"/>
      <c r="LBL25" s="1271"/>
      <c r="LBM25" s="1271"/>
      <c r="LBN25" s="1271"/>
      <c r="LBO25" s="1271"/>
      <c r="LBP25" s="1271"/>
      <c r="LBQ25" s="1271"/>
      <c r="LBR25" s="1271"/>
      <c r="LBS25" s="1271"/>
      <c r="LBT25" s="1271"/>
      <c r="LBU25" s="1271"/>
      <c r="LBV25" s="1271"/>
      <c r="LBW25" s="1271"/>
      <c r="LBX25" s="1271"/>
      <c r="LBY25" s="1271"/>
      <c r="LBZ25" s="1271"/>
      <c r="LCA25" s="1271"/>
      <c r="LCB25" s="1271"/>
      <c r="LCC25" s="1271"/>
      <c r="LCD25" s="1271"/>
      <c r="LCE25" s="1271"/>
      <c r="LCF25" s="1271"/>
      <c r="LCG25" s="1271"/>
      <c r="LCH25" s="1271"/>
      <c r="LCI25" s="1271"/>
      <c r="LCJ25" s="1271"/>
      <c r="LCK25" s="1271"/>
      <c r="LCL25" s="1271"/>
      <c r="LCM25" s="1271"/>
      <c r="LCN25" s="1271"/>
      <c r="LCO25" s="1271"/>
      <c r="LCP25" s="1271"/>
      <c r="LCQ25" s="1271"/>
      <c r="LCR25" s="1271"/>
      <c r="LCS25" s="1271"/>
      <c r="LCT25" s="1271"/>
      <c r="LCU25" s="1271"/>
      <c r="LCV25" s="1271"/>
      <c r="LCW25" s="1271"/>
      <c r="LCX25" s="1271"/>
      <c r="LCY25" s="1271"/>
      <c r="LCZ25" s="1271"/>
      <c r="LDA25" s="1271"/>
      <c r="LDB25" s="1271"/>
      <c r="LDC25" s="1271"/>
      <c r="LDD25" s="1271"/>
      <c r="LDE25" s="1271"/>
      <c r="LDF25" s="1271"/>
      <c r="LDG25" s="1271"/>
      <c r="LDH25" s="1271"/>
      <c r="LDI25" s="1271"/>
      <c r="LDJ25" s="1271"/>
      <c r="LDK25" s="1271"/>
      <c r="LDL25" s="1271"/>
      <c r="LDM25" s="1271"/>
      <c r="LDN25" s="1271"/>
      <c r="LDO25" s="1271"/>
      <c r="LDP25" s="1271"/>
      <c r="LDQ25" s="1271"/>
      <c r="LDR25" s="1271"/>
      <c r="LDS25" s="1271"/>
      <c r="LDT25" s="1271"/>
      <c r="LDU25" s="1271"/>
      <c r="LDV25" s="1271"/>
      <c r="LDW25" s="1271"/>
      <c r="LDX25" s="1271"/>
      <c r="LDY25" s="1271"/>
      <c r="LDZ25" s="1271"/>
      <c r="LEA25" s="1271"/>
      <c r="LEB25" s="1271"/>
      <c r="LEC25" s="1271"/>
      <c r="LED25" s="1271"/>
      <c r="LEE25" s="1271"/>
      <c r="LEF25" s="1271"/>
      <c r="LEG25" s="1271"/>
      <c r="LEH25" s="1271"/>
      <c r="LEI25" s="1271"/>
      <c r="LEJ25" s="1271"/>
      <c r="LEK25" s="1271"/>
      <c r="LEL25" s="1271"/>
      <c r="LEM25" s="1271"/>
      <c r="LEN25" s="1271"/>
      <c r="LEO25" s="1271"/>
      <c r="LEP25" s="1271"/>
      <c r="LEQ25" s="1271"/>
      <c r="LER25" s="1271"/>
      <c r="LES25" s="1271"/>
      <c r="LET25" s="1271"/>
      <c r="LEU25" s="1271"/>
      <c r="LEV25" s="1271"/>
      <c r="LEW25" s="1271"/>
      <c r="LEX25" s="1271"/>
      <c r="LEY25" s="1271"/>
      <c r="LEZ25" s="1271"/>
      <c r="LFA25" s="1271"/>
      <c r="LFB25" s="1271"/>
      <c r="LFC25" s="1271"/>
      <c r="LFD25" s="1271"/>
      <c r="LFE25" s="1271"/>
      <c r="LFF25" s="1271"/>
      <c r="LFG25" s="1271"/>
      <c r="LFH25" s="1271"/>
      <c r="LFI25" s="1271"/>
      <c r="LFJ25" s="1271"/>
      <c r="LFK25" s="1271"/>
      <c r="LFL25" s="1271"/>
      <c r="LFM25" s="1271"/>
      <c r="LFN25" s="1271"/>
      <c r="LFO25" s="1271"/>
      <c r="LFP25" s="1271"/>
      <c r="LFQ25" s="1271"/>
      <c r="LFR25" s="1271"/>
      <c r="LFS25" s="1271"/>
      <c r="LFT25" s="1271"/>
      <c r="LFU25" s="1271"/>
      <c r="LFV25" s="1271"/>
      <c r="LFW25" s="1271"/>
      <c r="LFX25" s="1271"/>
      <c r="LFY25" s="1271"/>
      <c r="LFZ25" s="1271"/>
      <c r="LGA25" s="1271"/>
      <c r="LGB25" s="1271"/>
      <c r="LGC25" s="1271"/>
      <c r="LGD25" s="1271"/>
      <c r="LGE25" s="1271"/>
      <c r="LGF25" s="1271"/>
      <c r="LGG25" s="1271"/>
      <c r="LGH25" s="1271"/>
      <c r="LGI25" s="1271"/>
      <c r="LGJ25" s="1271"/>
      <c r="LGK25" s="1271"/>
      <c r="LGL25" s="1271"/>
      <c r="LGM25" s="1271"/>
      <c r="LGN25" s="1271"/>
      <c r="LGO25" s="1271"/>
      <c r="LGP25" s="1271"/>
      <c r="LGQ25" s="1271"/>
      <c r="LGR25" s="1271"/>
      <c r="LGS25" s="1271"/>
      <c r="LGT25" s="1271"/>
      <c r="LGU25" s="1271"/>
      <c r="LGV25" s="1271"/>
      <c r="LGW25" s="1271"/>
      <c r="LGX25" s="1271"/>
      <c r="LGY25" s="1271"/>
      <c r="LGZ25" s="1271"/>
      <c r="LHA25" s="1271"/>
      <c r="LHB25" s="1271"/>
      <c r="LHC25" s="1271"/>
      <c r="LHD25" s="1271"/>
      <c r="LHE25" s="1271"/>
      <c r="LHF25" s="1271"/>
      <c r="LHG25" s="1271"/>
      <c r="LHH25" s="1271"/>
      <c r="LHI25" s="1271"/>
      <c r="LHJ25" s="1271"/>
      <c r="LHK25" s="1271"/>
      <c r="LHL25" s="1271"/>
      <c r="LHM25" s="1271"/>
      <c r="LHN25" s="1271"/>
      <c r="LHO25" s="1271"/>
      <c r="LHP25" s="1271"/>
      <c r="LHQ25" s="1271"/>
      <c r="LHR25" s="1271"/>
      <c r="LHS25" s="1271"/>
      <c r="LHT25" s="1271"/>
      <c r="LHU25" s="1271"/>
      <c r="LHV25" s="1271"/>
      <c r="LHW25" s="1271"/>
      <c r="LHX25" s="1271"/>
      <c r="LHY25" s="1271"/>
      <c r="LHZ25" s="1271"/>
      <c r="LIA25" s="1271"/>
      <c r="LIB25" s="1271"/>
      <c r="LIC25" s="1271"/>
      <c r="LID25" s="1271"/>
      <c r="LIE25" s="1271"/>
      <c r="LIF25" s="1271"/>
      <c r="LIG25" s="1271"/>
      <c r="LIH25" s="1271"/>
      <c r="LII25" s="1271"/>
      <c r="LIJ25" s="1271"/>
      <c r="LIK25" s="1271"/>
      <c r="LIL25" s="1271"/>
      <c r="LIM25" s="1271"/>
      <c r="LIN25" s="1271"/>
      <c r="LIO25" s="1271"/>
      <c r="LIP25" s="1271"/>
      <c r="LIQ25" s="1271"/>
      <c r="LIR25" s="1271"/>
      <c r="LIS25" s="1271"/>
      <c r="LIT25" s="1271"/>
      <c r="LIU25" s="1271"/>
      <c r="LIV25" s="1271"/>
      <c r="LIW25" s="1271"/>
      <c r="LIX25" s="1271"/>
      <c r="LIY25" s="1271"/>
      <c r="LIZ25" s="1271"/>
      <c r="LJA25" s="1271"/>
      <c r="LJB25" s="1271"/>
      <c r="LJC25" s="1271"/>
      <c r="LJD25" s="1271"/>
      <c r="LJE25" s="1271"/>
      <c r="LJF25" s="1271"/>
      <c r="LJG25" s="1271"/>
      <c r="LJH25" s="1271"/>
      <c r="LJI25" s="1271"/>
      <c r="LJJ25" s="1271"/>
      <c r="LJK25" s="1271"/>
      <c r="LJL25" s="1271"/>
      <c r="LJM25" s="1271"/>
      <c r="LJN25" s="1271"/>
      <c r="LJO25" s="1271"/>
      <c r="LJP25" s="1271"/>
      <c r="LJQ25" s="1271"/>
      <c r="LJR25" s="1271"/>
      <c r="LJS25" s="1271"/>
      <c r="LJT25" s="1271"/>
      <c r="LJU25" s="1271"/>
      <c r="LJV25" s="1271"/>
      <c r="LJW25" s="1271"/>
      <c r="LJX25" s="1271"/>
      <c r="LJY25" s="1271"/>
      <c r="LJZ25" s="1271"/>
      <c r="LKA25" s="1271"/>
      <c r="LKB25" s="1271"/>
      <c r="LKC25" s="1271"/>
      <c r="LKD25" s="1271"/>
      <c r="LKE25" s="1271"/>
      <c r="LKF25" s="1271"/>
      <c r="LKG25" s="1271"/>
      <c r="LKH25" s="1271"/>
      <c r="LKI25" s="1271"/>
      <c r="LKJ25" s="1271"/>
      <c r="LKK25" s="1271"/>
      <c r="LKL25" s="1271"/>
      <c r="LKM25" s="1271"/>
      <c r="LKN25" s="1271"/>
      <c r="LKO25" s="1271"/>
      <c r="LKP25" s="1271"/>
      <c r="LKQ25" s="1271"/>
      <c r="LKR25" s="1271"/>
      <c r="LKS25" s="1271"/>
      <c r="LKT25" s="1271"/>
      <c r="LKU25" s="1271"/>
      <c r="LKV25" s="1271"/>
      <c r="LKW25" s="1271"/>
      <c r="LKX25" s="1271"/>
      <c r="LKY25" s="1271"/>
      <c r="LKZ25" s="1271"/>
      <c r="LLA25" s="1271"/>
      <c r="LLB25" s="1271"/>
      <c r="LLC25" s="1271"/>
      <c r="LLD25" s="1271"/>
      <c r="LLE25" s="1271"/>
      <c r="LLF25" s="1271"/>
      <c r="LLG25" s="1271"/>
      <c r="LLH25" s="1271"/>
      <c r="LLI25" s="1271"/>
      <c r="LLJ25" s="1271"/>
      <c r="LLK25" s="1271"/>
      <c r="LLL25" s="1271"/>
      <c r="LLM25" s="1271"/>
      <c r="LLN25" s="1271"/>
      <c r="LLO25" s="1271"/>
      <c r="LLP25" s="1271"/>
      <c r="LLQ25" s="1271"/>
      <c r="LLR25" s="1271"/>
      <c r="LLS25" s="1271"/>
      <c r="LLT25" s="1271"/>
      <c r="LLU25" s="1271"/>
      <c r="LLV25" s="1271"/>
      <c r="LLW25" s="1271"/>
      <c r="LLX25" s="1271"/>
      <c r="LLY25" s="1271"/>
      <c r="LLZ25" s="1271"/>
      <c r="LMA25" s="1271"/>
      <c r="LMB25" s="1271"/>
      <c r="LMC25" s="1271"/>
      <c r="LMD25" s="1271"/>
      <c r="LME25" s="1271"/>
      <c r="LMF25" s="1271"/>
      <c r="LMG25" s="1271"/>
      <c r="LMH25" s="1271"/>
      <c r="LMI25" s="1271"/>
      <c r="LMJ25" s="1271"/>
      <c r="LMK25" s="1271"/>
      <c r="LML25" s="1271"/>
      <c r="LMM25" s="1271"/>
      <c r="LMN25" s="1271"/>
      <c r="LMO25" s="1271"/>
      <c r="LMP25" s="1271"/>
      <c r="LMQ25" s="1271"/>
      <c r="LMR25" s="1271"/>
      <c r="LMS25" s="1271"/>
      <c r="LMT25" s="1271"/>
      <c r="LMU25" s="1271"/>
      <c r="LMV25" s="1271"/>
      <c r="LMW25" s="1271"/>
      <c r="LMX25" s="1271"/>
      <c r="LMY25" s="1271"/>
      <c r="LMZ25" s="1271"/>
      <c r="LNA25" s="1271"/>
      <c r="LNB25" s="1271"/>
      <c r="LNC25" s="1271"/>
      <c r="LND25" s="1271"/>
      <c r="LNE25" s="1271"/>
      <c r="LNF25" s="1271"/>
      <c r="LNG25" s="1271"/>
      <c r="LNH25" s="1271"/>
      <c r="LNI25" s="1271"/>
      <c r="LNJ25" s="1271"/>
      <c r="LNK25" s="1271"/>
      <c r="LNL25" s="1271"/>
      <c r="LNM25" s="1271"/>
      <c r="LNN25" s="1271"/>
      <c r="LNO25" s="1271"/>
      <c r="LNP25" s="1271"/>
      <c r="LNQ25" s="1271"/>
      <c r="LNR25" s="1271"/>
      <c r="LNS25" s="1271"/>
      <c r="LNT25" s="1271"/>
      <c r="LNU25" s="1271"/>
      <c r="LNV25" s="1271"/>
      <c r="LNW25" s="1271"/>
      <c r="LNX25" s="1271"/>
      <c r="LNY25" s="1271"/>
      <c r="LNZ25" s="1271"/>
      <c r="LOA25" s="1271"/>
      <c r="LOB25" s="1271"/>
      <c r="LOC25" s="1271"/>
      <c r="LOD25" s="1271"/>
      <c r="LOE25" s="1271"/>
      <c r="LOF25" s="1271"/>
      <c r="LOG25" s="1271"/>
      <c r="LOH25" s="1271"/>
      <c r="LOI25" s="1271"/>
      <c r="LOJ25" s="1271"/>
      <c r="LOK25" s="1271"/>
      <c r="LOL25" s="1271"/>
      <c r="LOM25" s="1271"/>
      <c r="LON25" s="1271"/>
      <c r="LOO25" s="1271"/>
      <c r="LOP25" s="1271"/>
      <c r="LOQ25" s="1271"/>
      <c r="LOR25" s="1271"/>
      <c r="LOS25" s="1271"/>
      <c r="LOT25" s="1271"/>
      <c r="LOU25" s="1271"/>
      <c r="LOV25" s="1271"/>
      <c r="LOW25" s="1271"/>
      <c r="LOX25" s="1271"/>
      <c r="LOY25" s="1271"/>
      <c r="LOZ25" s="1271"/>
      <c r="LPA25" s="1271"/>
      <c r="LPB25" s="1271"/>
      <c r="LPC25" s="1271"/>
      <c r="LPD25" s="1271"/>
      <c r="LPE25" s="1271"/>
      <c r="LPF25" s="1271"/>
      <c r="LPG25" s="1271"/>
      <c r="LPH25" s="1271"/>
      <c r="LPI25" s="1271"/>
      <c r="LPJ25" s="1271"/>
      <c r="LPK25" s="1271"/>
      <c r="LPL25" s="1271"/>
      <c r="LPM25" s="1271"/>
      <c r="LPN25" s="1271"/>
      <c r="LPO25" s="1271"/>
      <c r="LPP25" s="1271"/>
      <c r="LPQ25" s="1271"/>
      <c r="LPR25" s="1271"/>
      <c r="LPS25" s="1271"/>
      <c r="LPT25" s="1271"/>
      <c r="LPU25" s="1271"/>
      <c r="LPV25" s="1271"/>
      <c r="LPW25" s="1271"/>
      <c r="LPX25" s="1271"/>
      <c r="LPY25" s="1271"/>
      <c r="LPZ25" s="1271"/>
      <c r="LQA25" s="1271"/>
      <c r="LQB25" s="1271"/>
      <c r="LQC25" s="1271"/>
      <c r="LQD25" s="1271"/>
      <c r="LQE25" s="1271"/>
      <c r="LQF25" s="1271"/>
      <c r="LQG25" s="1271"/>
      <c r="LQH25" s="1271"/>
      <c r="LQI25" s="1271"/>
      <c r="LQJ25" s="1271"/>
      <c r="LQK25" s="1271"/>
      <c r="LQL25" s="1271"/>
      <c r="LQM25" s="1271"/>
      <c r="LQN25" s="1271"/>
      <c r="LQO25" s="1271"/>
      <c r="LQP25" s="1271"/>
      <c r="LQQ25" s="1271"/>
      <c r="LQR25" s="1271"/>
      <c r="LQS25" s="1271"/>
      <c r="LQT25" s="1271"/>
      <c r="LQU25" s="1271"/>
      <c r="LQV25" s="1271"/>
      <c r="LQW25" s="1271"/>
      <c r="LQX25" s="1271"/>
      <c r="LQY25" s="1271"/>
      <c r="LQZ25" s="1271"/>
      <c r="LRA25" s="1271"/>
      <c r="LRB25" s="1271"/>
      <c r="LRC25" s="1271"/>
      <c r="LRD25" s="1271"/>
      <c r="LRE25" s="1271"/>
      <c r="LRF25" s="1271"/>
      <c r="LRG25" s="1271"/>
      <c r="LRH25" s="1271"/>
      <c r="LRI25" s="1271"/>
      <c r="LRJ25" s="1271"/>
      <c r="LRK25" s="1271"/>
      <c r="LRL25" s="1271"/>
      <c r="LRM25" s="1271"/>
      <c r="LRN25" s="1271"/>
      <c r="LRO25" s="1271"/>
      <c r="LRP25" s="1271"/>
      <c r="LRQ25" s="1271"/>
      <c r="LRR25" s="1271"/>
      <c r="LRS25" s="1271"/>
      <c r="LRT25" s="1271"/>
      <c r="LRU25" s="1271"/>
      <c r="LRV25" s="1271"/>
      <c r="LRW25" s="1271"/>
      <c r="LRX25" s="1271"/>
      <c r="LRY25" s="1271"/>
      <c r="LRZ25" s="1271"/>
      <c r="LSA25" s="1271"/>
      <c r="LSB25" s="1271"/>
      <c r="LSC25" s="1271"/>
      <c r="LSD25" s="1271"/>
      <c r="LSE25" s="1271"/>
      <c r="LSF25" s="1271"/>
      <c r="LSG25" s="1271"/>
      <c r="LSH25" s="1271"/>
      <c r="LSI25" s="1271"/>
      <c r="LSJ25" s="1271"/>
      <c r="LSK25" s="1271"/>
      <c r="LSL25" s="1271"/>
      <c r="LSM25" s="1271"/>
      <c r="LSN25" s="1271"/>
      <c r="LSO25" s="1271"/>
      <c r="LSP25" s="1271"/>
      <c r="LSQ25" s="1271"/>
      <c r="LSR25" s="1271"/>
      <c r="LSS25" s="1271"/>
      <c r="LST25" s="1271"/>
      <c r="LSU25" s="1271"/>
      <c r="LSV25" s="1271"/>
      <c r="LSW25" s="1271"/>
      <c r="LSX25" s="1271"/>
      <c r="LSY25" s="1271"/>
      <c r="LSZ25" s="1271"/>
      <c r="LTA25" s="1271"/>
      <c r="LTB25" s="1271"/>
      <c r="LTC25" s="1271"/>
      <c r="LTD25" s="1271"/>
      <c r="LTE25" s="1271"/>
      <c r="LTF25" s="1271"/>
      <c r="LTG25" s="1271"/>
      <c r="LTH25" s="1271"/>
      <c r="LTI25" s="1271"/>
      <c r="LTJ25" s="1271"/>
      <c r="LTK25" s="1271"/>
      <c r="LTL25" s="1271"/>
      <c r="LTM25" s="1271"/>
      <c r="LTN25" s="1271"/>
      <c r="LTO25" s="1271"/>
      <c r="LTP25" s="1271"/>
      <c r="LTQ25" s="1271"/>
      <c r="LTR25" s="1271"/>
      <c r="LTS25" s="1271"/>
      <c r="LTT25" s="1271"/>
      <c r="LTU25" s="1271"/>
      <c r="LTV25" s="1271"/>
      <c r="LTW25" s="1271"/>
      <c r="LTX25" s="1271"/>
      <c r="LTY25" s="1271"/>
      <c r="LTZ25" s="1271"/>
      <c r="LUA25" s="1271"/>
      <c r="LUB25" s="1271"/>
      <c r="LUC25" s="1271"/>
      <c r="LUD25" s="1271"/>
      <c r="LUE25" s="1271"/>
      <c r="LUF25" s="1271"/>
      <c r="LUG25" s="1271"/>
      <c r="LUH25" s="1271"/>
      <c r="LUI25" s="1271"/>
      <c r="LUJ25" s="1271"/>
      <c r="LUK25" s="1271"/>
      <c r="LUL25" s="1271"/>
      <c r="LUM25" s="1271"/>
      <c r="LUN25" s="1271"/>
      <c r="LUO25" s="1271"/>
      <c r="LUP25" s="1271"/>
      <c r="LUQ25" s="1271"/>
      <c r="LUR25" s="1271"/>
      <c r="LUS25" s="1271"/>
      <c r="LUT25" s="1271"/>
      <c r="LUU25" s="1271"/>
      <c r="LUV25" s="1271"/>
      <c r="LUW25" s="1271"/>
      <c r="LUX25" s="1271"/>
      <c r="LUY25" s="1271"/>
      <c r="LUZ25" s="1271"/>
      <c r="LVA25" s="1271"/>
      <c r="LVB25" s="1271"/>
      <c r="LVC25" s="1271"/>
      <c r="LVD25" s="1271"/>
      <c r="LVE25" s="1271"/>
      <c r="LVF25" s="1271"/>
      <c r="LVG25" s="1271"/>
      <c r="LVH25" s="1271"/>
      <c r="LVI25" s="1271"/>
      <c r="LVJ25" s="1271"/>
      <c r="LVK25" s="1271"/>
      <c r="LVL25" s="1271"/>
      <c r="LVM25" s="1271"/>
      <c r="LVN25" s="1271"/>
      <c r="LVO25" s="1271"/>
      <c r="LVP25" s="1271"/>
      <c r="LVQ25" s="1271"/>
      <c r="LVR25" s="1271"/>
      <c r="LVS25" s="1271"/>
      <c r="LVT25" s="1271"/>
      <c r="LVU25" s="1271"/>
      <c r="LVV25" s="1271"/>
      <c r="LVW25" s="1271"/>
      <c r="LVX25" s="1271"/>
      <c r="LVY25" s="1271"/>
      <c r="LVZ25" s="1271"/>
      <c r="LWA25" s="1271"/>
      <c r="LWB25" s="1271"/>
      <c r="LWC25" s="1271"/>
      <c r="LWD25" s="1271"/>
      <c r="LWE25" s="1271"/>
      <c r="LWF25" s="1271"/>
      <c r="LWG25" s="1271"/>
      <c r="LWH25" s="1271"/>
      <c r="LWI25" s="1271"/>
      <c r="LWJ25" s="1271"/>
      <c r="LWK25" s="1271"/>
      <c r="LWL25" s="1271"/>
      <c r="LWM25" s="1271"/>
      <c r="LWN25" s="1271"/>
      <c r="LWO25" s="1271"/>
      <c r="LWP25" s="1271"/>
      <c r="LWQ25" s="1271"/>
      <c r="LWR25" s="1271"/>
      <c r="LWS25" s="1271"/>
      <c r="LWT25" s="1271"/>
      <c r="LWU25" s="1271"/>
      <c r="LWV25" s="1271"/>
      <c r="LWW25" s="1271"/>
      <c r="LWX25" s="1271"/>
      <c r="LWY25" s="1271"/>
      <c r="LWZ25" s="1271"/>
      <c r="LXA25" s="1271"/>
      <c r="LXB25" s="1271"/>
      <c r="LXC25" s="1271"/>
      <c r="LXD25" s="1271"/>
      <c r="LXE25" s="1271"/>
      <c r="LXF25" s="1271"/>
      <c r="LXG25" s="1271"/>
      <c r="LXH25" s="1271"/>
      <c r="LXI25" s="1271"/>
      <c r="LXJ25" s="1271"/>
      <c r="LXK25" s="1271"/>
      <c r="LXL25" s="1271"/>
      <c r="LXM25" s="1271"/>
      <c r="LXN25" s="1271"/>
      <c r="LXO25" s="1271"/>
      <c r="LXP25" s="1271"/>
      <c r="LXQ25" s="1271"/>
      <c r="LXR25" s="1271"/>
      <c r="LXS25" s="1271"/>
      <c r="LXT25" s="1271"/>
      <c r="LXU25" s="1271"/>
      <c r="LXV25" s="1271"/>
      <c r="LXW25" s="1271"/>
      <c r="LXX25" s="1271"/>
      <c r="LXY25" s="1271"/>
      <c r="LXZ25" s="1271"/>
      <c r="LYA25" s="1271"/>
      <c r="LYB25" s="1271"/>
      <c r="LYC25" s="1271"/>
      <c r="LYD25" s="1271"/>
      <c r="LYE25" s="1271"/>
      <c r="LYF25" s="1271"/>
      <c r="LYG25" s="1271"/>
      <c r="LYH25" s="1271"/>
      <c r="LYI25" s="1271"/>
      <c r="LYJ25" s="1271"/>
      <c r="LYK25" s="1271"/>
      <c r="LYL25" s="1271"/>
      <c r="LYM25" s="1271"/>
      <c r="LYN25" s="1271"/>
      <c r="LYO25" s="1271"/>
      <c r="LYP25" s="1271"/>
      <c r="LYQ25" s="1271"/>
      <c r="LYR25" s="1271"/>
      <c r="LYS25" s="1271"/>
      <c r="LYT25" s="1271"/>
      <c r="LYU25" s="1271"/>
      <c r="LYV25" s="1271"/>
      <c r="LYW25" s="1271"/>
      <c r="LYX25" s="1271"/>
      <c r="LYY25" s="1271"/>
      <c r="LYZ25" s="1271"/>
      <c r="LZA25" s="1271"/>
      <c r="LZB25" s="1271"/>
      <c r="LZC25" s="1271"/>
      <c r="LZD25" s="1271"/>
      <c r="LZE25" s="1271"/>
      <c r="LZF25" s="1271"/>
      <c r="LZG25" s="1271"/>
      <c r="LZH25" s="1271"/>
      <c r="LZI25" s="1271"/>
      <c r="LZJ25" s="1271"/>
      <c r="LZK25" s="1271"/>
      <c r="LZL25" s="1271"/>
      <c r="LZM25" s="1271"/>
      <c r="LZN25" s="1271"/>
      <c r="LZO25" s="1271"/>
      <c r="LZP25" s="1271"/>
      <c r="LZQ25" s="1271"/>
      <c r="LZR25" s="1271"/>
      <c r="LZS25" s="1271"/>
      <c r="LZT25" s="1271"/>
      <c r="LZU25" s="1271"/>
      <c r="LZV25" s="1271"/>
      <c r="LZW25" s="1271"/>
      <c r="LZX25" s="1271"/>
      <c r="LZY25" s="1271"/>
      <c r="LZZ25" s="1271"/>
      <c r="MAA25" s="1271"/>
      <c r="MAB25" s="1271"/>
      <c r="MAC25" s="1271"/>
      <c r="MAD25" s="1271"/>
      <c r="MAE25" s="1271"/>
      <c r="MAF25" s="1271"/>
      <c r="MAG25" s="1271"/>
      <c r="MAH25" s="1271"/>
      <c r="MAI25" s="1271"/>
      <c r="MAJ25" s="1271"/>
      <c r="MAK25" s="1271"/>
      <c r="MAL25" s="1271"/>
      <c r="MAM25" s="1271"/>
      <c r="MAN25" s="1271"/>
      <c r="MAO25" s="1271"/>
      <c r="MAP25" s="1271"/>
      <c r="MAQ25" s="1271"/>
      <c r="MAR25" s="1271"/>
      <c r="MAS25" s="1271"/>
      <c r="MAT25" s="1271"/>
      <c r="MAU25" s="1271"/>
      <c r="MAV25" s="1271"/>
      <c r="MAW25" s="1271"/>
      <c r="MAX25" s="1271"/>
      <c r="MAY25" s="1271"/>
      <c r="MAZ25" s="1271"/>
      <c r="MBA25" s="1271"/>
      <c r="MBB25" s="1271"/>
      <c r="MBC25" s="1271"/>
      <c r="MBD25" s="1271"/>
      <c r="MBE25" s="1271"/>
      <c r="MBF25" s="1271"/>
      <c r="MBG25" s="1271"/>
      <c r="MBH25" s="1271"/>
      <c r="MBI25" s="1271"/>
      <c r="MBJ25" s="1271"/>
      <c r="MBK25" s="1271"/>
      <c r="MBL25" s="1271"/>
      <c r="MBM25" s="1271"/>
      <c r="MBN25" s="1271"/>
      <c r="MBO25" s="1271"/>
      <c r="MBP25" s="1271"/>
      <c r="MBQ25" s="1271"/>
      <c r="MBR25" s="1271"/>
      <c r="MBS25" s="1271"/>
      <c r="MBT25" s="1271"/>
      <c r="MBU25" s="1271"/>
      <c r="MBV25" s="1271"/>
      <c r="MBW25" s="1271"/>
      <c r="MBX25" s="1271"/>
      <c r="MBY25" s="1271"/>
      <c r="MBZ25" s="1271"/>
      <c r="MCA25" s="1271"/>
      <c r="MCB25" s="1271"/>
      <c r="MCC25" s="1271"/>
      <c r="MCD25" s="1271"/>
      <c r="MCE25" s="1271"/>
      <c r="MCF25" s="1271"/>
      <c r="MCG25" s="1271"/>
      <c r="MCH25" s="1271"/>
      <c r="MCI25" s="1271"/>
      <c r="MCJ25" s="1271"/>
      <c r="MCK25" s="1271"/>
      <c r="MCL25" s="1271"/>
      <c r="MCM25" s="1271"/>
      <c r="MCN25" s="1271"/>
      <c r="MCO25" s="1271"/>
      <c r="MCP25" s="1271"/>
      <c r="MCQ25" s="1271"/>
      <c r="MCR25" s="1271"/>
      <c r="MCS25" s="1271"/>
      <c r="MCT25" s="1271"/>
      <c r="MCU25" s="1271"/>
      <c r="MCV25" s="1271"/>
      <c r="MCW25" s="1271"/>
      <c r="MCX25" s="1271"/>
      <c r="MCY25" s="1271"/>
      <c r="MCZ25" s="1271"/>
      <c r="MDA25" s="1271"/>
      <c r="MDB25" s="1271"/>
      <c r="MDC25" s="1271"/>
      <c r="MDD25" s="1271"/>
      <c r="MDE25" s="1271"/>
      <c r="MDF25" s="1271"/>
      <c r="MDG25" s="1271"/>
      <c r="MDH25" s="1271"/>
      <c r="MDI25" s="1271"/>
      <c r="MDJ25" s="1271"/>
      <c r="MDK25" s="1271"/>
      <c r="MDL25" s="1271"/>
      <c r="MDM25" s="1271"/>
      <c r="MDN25" s="1271"/>
      <c r="MDO25" s="1271"/>
      <c r="MDP25" s="1271"/>
      <c r="MDQ25" s="1271"/>
      <c r="MDR25" s="1271"/>
      <c r="MDS25" s="1271"/>
      <c r="MDT25" s="1271"/>
      <c r="MDU25" s="1271"/>
      <c r="MDV25" s="1271"/>
      <c r="MDW25" s="1271"/>
      <c r="MDX25" s="1271"/>
      <c r="MDY25" s="1271"/>
      <c r="MDZ25" s="1271"/>
      <c r="MEA25" s="1271"/>
      <c r="MEB25" s="1271"/>
      <c r="MEC25" s="1271"/>
      <c r="MED25" s="1271"/>
      <c r="MEE25" s="1271"/>
      <c r="MEF25" s="1271"/>
      <c r="MEG25" s="1271"/>
      <c r="MEH25" s="1271"/>
      <c r="MEI25" s="1271"/>
      <c r="MEJ25" s="1271"/>
      <c r="MEK25" s="1271"/>
      <c r="MEL25" s="1271"/>
      <c r="MEM25" s="1271"/>
      <c r="MEN25" s="1271"/>
      <c r="MEO25" s="1271"/>
      <c r="MEP25" s="1271"/>
      <c r="MEQ25" s="1271"/>
      <c r="MER25" s="1271"/>
      <c r="MES25" s="1271"/>
      <c r="MET25" s="1271"/>
      <c r="MEU25" s="1271"/>
      <c r="MEV25" s="1271"/>
      <c r="MEW25" s="1271"/>
      <c r="MEX25" s="1271"/>
      <c r="MEY25" s="1271"/>
      <c r="MEZ25" s="1271"/>
      <c r="MFA25" s="1271"/>
      <c r="MFB25" s="1271"/>
      <c r="MFC25" s="1271"/>
      <c r="MFD25" s="1271"/>
      <c r="MFE25" s="1271"/>
      <c r="MFF25" s="1271"/>
      <c r="MFG25" s="1271"/>
      <c r="MFH25" s="1271"/>
      <c r="MFI25" s="1271"/>
      <c r="MFJ25" s="1271"/>
      <c r="MFK25" s="1271"/>
      <c r="MFL25" s="1271"/>
      <c r="MFM25" s="1271"/>
      <c r="MFN25" s="1271"/>
      <c r="MFO25" s="1271"/>
      <c r="MFP25" s="1271"/>
      <c r="MFQ25" s="1271"/>
      <c r="MFR25" s="1271"/>
      <c r="MFS25" s="1271"/>
      <c r="MFT25" s="1271"/>
      <c r="MFU25" s="1271"/>
      <c r="MFV25" s="1271"/>
      <c r="MFW25" s="1271"/>
      <c r="MFX25" s="1271"/>
      <c r="MFY25" s="1271"/>
      <c r="MFZ25" s="1271"/>
      <c r="MGA25" s="1271"/>
      <c r="MGB25" s="1271"/>
      <c r="MGC25" s="1271"/>
      <c r="MGD25" s="1271"/>
      <c r="MGE25" s="1271"/>
      <c r="MGF25" s="1271"/>
      <c r="MGG25" s="1271"/>
      <c r="MGH25" s="1271"/>
      <c r="MGI25" s="1271"/>
      <c r="MGJ25" s="1271"/>
      <c r="MGK25" s="1271"/>
      <c r="MGL25" s="1271"/>
      <c r="MGM25" s="1271"/>
      <c r="MGN25" s="1271"/>
      <c r="MGO25" s="1271"/>
      <c r="MGP25" s="1271"/>
      <c r="MGQ25" s="1271"/>
      <c r="MGR25" s="1271"/>
      <c r="MGS25" s="1271"/>
      <c r="MGT25" s="1271"/>
      <c r="MGU25" s="1271"/>
      <c r="MGV25" s="1271"/>
      <c r="MGW25" s="1271"/>
      <c r="MGX25" s="1271"/>
      <c r="MGY25" s="1271"/>
      <c r="MGZ25" s="1271"/>
      <c r="MHA25" s="1271"/>
      <c r="MHB25" s="1271"/>
      <c r="MHC25" s="1271"/>
      <c r="MHD25" s="1271"/>
      <c r="MHE25" s="1271"/>
      <c r="MHF25" s="1271"/>
      <c r="MHG25" s="1271"/>
      <c r="MHH25" s="1271"/>
      <c r="MHI25" s="1271"/>
      <c r="MHJ25" s="1271"/>
      <c r="MHK25" s="1271"/>
      <c r="MHL25" s="1271"/>
      <c r="MHM25" s="1271"/>
      <c r="MHN25" s="1271"/>
      <c r="MHO25" s="1271"/>
      <c r="MHP25" s="1271"/>
      <c r="MHQ25" s="1271"/>
      <c r="MHR25" s="1271"/>
      <c r="MHS25" s="1271"/>
      <c r="MHT25" s="1271"/>
      <c r="MHU25" s="1271"/>
      <c r="MHV25" s="1271"/>
      <c r="MHW25" s="1271"/>
      <c r="MHX25" s="1271"/>
      <c r="MHY25" s="1271"/>
      <c r="MHZ25" s="1271"/>
      <c r="MIA25" s="1271"/>
      <c r="MIB25" s="1271"/>
      <c r="MIC25" s="1271"/>
      <c r="MID25" s="1271"/>
      <c r="MIE25" s="1271"/>
      <c r="MIF25" s="1271"/>
      <c r="MIG25" s="1271"/>
      <c r="MIH25" s="1271"/>
      <c r="MII25" s="1271"/>
      <c r="MIJ25" s="1271"/>
      <c r="MIK25" s="1271"/>
      <c r="MIL25" s="1271"/>
      <c r="MIM25" s="1271"/>
      <c r="MIN25" s="1271"/>
      <c r="MIO25" s="1271"/>
      <c r="MIP25" s="1271"/>
      <c r="MIQ25" s="1271"/>
      <c r="MIR25" s="1271"/>
      <c r="MIS25" s="1271"/>
      <c r="MIT25" s="1271"/>
      <c r="MIU25" s="1271"/>
      <c r="MIV25" s="1271"/>
      <c r="MIW25" s="1271"/>
      <c r="MIX25" s="1271"/>
      <c r="MIY25" s="1271"/>
      <c r="MIZ25" s="1271"/>
      <c r="MJA25" s="1271"/>
      <c r="MJB25" s="1271"/>
      <c r="MJC25" s="1271"/>
      <c r="MJD25" s="1271"/>
      <c r="MJE25" s="1271"/>
      <c r="MJF25" s="1271"/>
      <c r="MJG25" s="1271"/>
      <c r="MJH25" s="1271"/>
      <c r="MJI25" s="1271"/>
      <c r="MJJ25" s="1271"/>
      <c r="MJK25" s="1271"/>
      <c r="MJL25" s="1271"/>
      <c r="MJM25" s="1271"/>
      <c r="MJN25" s="1271"/>
      <c r="MJO25" s="1271"/>
      <c r="MJP25" s="1271"/>
      <c r="MJQ25" s="1271"/>
      <c r="MJR25" s="1271"/>
      <c r="MJS25" s="1271"/>
      <c r="MJT25" s="1271"/>
      <c r="MJU25" s="1271"/>
      <c r="MJV25" s="1271"/>
      <c r="MJW25" s="1271"/>
      <c r="MJX25" s="1271"/>
      <c r="MJY25" s="1271"/>
      <c r="MJZ25" s="1271"/>
      <c r="MKA25" s="1271"/>
      <c r="MKB25" s="1271"/>
      <c r="MKC25" s="1271"/>
      <c r="MKD25" s="1271"/>
      <c r="MKE25" s="1271"/>
      <c r="MKF25" s="1271"/>
      <c r="MKG25" s="1271"/>
      <c r="MKH25" s="1271"/>
      <c r="MKI25" s="1271"/>
      <c r="MKJ25" s="1271"/>
      <c r="MKK25" s="1271"/>
      <c r="MKL25" s="1271"/>
      <c r="MKM25" s="1271"/>
      <c r="MKN25" s="1271"/>
      <c r="MKO25" s="1271"/>
      <c r="MKP25" s="1271"/>
      <c r="MKQ25" s="1271"/>
      <c r="MKR25" s="1271"/>
      <c r="MKS25" s="1271"/>
      <c r="MKT25" s="1271"/>
      <c r="MKU25" s="1271"/>
      <c r="MKV25" s="1271"/>
      <c r="MKW25" s="1271"/>
      <c r="MKX25" s="1271"/>
      <c r="MKY25" s="1271"/>
      <c r="MKZ25" s="1271"/>
      <c r="MLA25" s="1271"/>
      <c r="MLB25" s="1271"/>
      <c r="MLC25" s="1271"/>
      <c r="MLD25" s="1271"/>
      <c r="MLE25" s="1271"/>
      <c r="MLF25" s="1271"/>
      <c r="MLG25" s="1271"/>
      <c r="MLH25" s="1271"/>
      <c r="MLI25" s="1271"/>
      <c r="MLJ25" s="1271"/>
      <c r="MLK25" s="1271"/>
      <c r="MLL25" s="1271"/>
      <c r="MLM25" s="1271"/>
      <c r="MLN25" s="1271"/>
      <c r="MLO25" s="1271"/>
      <c r="MLP25" s="1271"/>
      <c r="MLQ25" s="1271"/>
      <c r="MLR25" s="1271"/>
      <c r="MLS25" s="1271"/>
      <c r="MLT25" s="1271"/>
      <c r="MLU25" s="1271"/>
      <c r="MLV25" s="1271"/>
      <c r="MLW25" s="1271"/>
      <c r="MLX25" s="1271"/>
      <c r="MLY25" s="1271"/>
      <c r="MLZ25" s="1271"/>
      <c r="MMA25" s="1271"/>
      <c r="MMB25" s="1271"/>
      <c r="MMC25" s="1271"/>
      <c r="MMD25" s="1271"/>
      <c r="MME25" s="1271"/>
      <c r="MMF25" s="1271"/>
      <c r="MMG25" s="1271"/>
      <c r="MMH25" s="1271"/>
      <c r="MMI25" s="1271"/>
      <c r="MMJ25" s="1271"/>
      <c r="MMK25" s="1271"/>
      <c r="MML25" s="1271"/>
      <c r="MMM25" s="1271"/>
      <c r="MMN25" s="1271"/>
      <c r="MMO25" s="1271"/>
      <c r="MMP25" s="1271"/>
      <c r="MMQ25" s="1271"/>
      <c r="MMR25" s="1271"/>
      <c r="MMS25" s="1271"/>
      <c r="MMT25" s="1271"/>
      <c r="MMU25" s="1271"/>
      <c r="MMV25" s="1271"/>
      <c r="MMW25" s="1271"/>
      <c r="MMX25" s="1271"/>
      <c r="MMY25" s="1271"/>
      <c r="MMZ25" s="1271"/>
      <c r="MNA25" s="1271"/>
      <c r="MNB25" s="1271"/>
      <c r="MNC25" s="1271"/>
      <c r="MND25" s="1271"/>
      <c r="MNE25" s="1271"/>
      <c r="MNF25" s="1271"/>
      <c r="MNG25" s="1271"/>
      <c r="MNH25" s="1271"/>
      <c r="MNI25" s="1271"/>
      <c r="MNJ25" s="1271"/>
      <c r="MNK25" s="1271"/>
      <c r="MNL25" s="1271"/>
      <c r="MNM25" s="1271"/>
      <c r="MNN25" s="1271"/>
      <c r="MNO25" s="1271"/>
      <c r="MNP25" s="1271"/>
      <c r="MNQ25" s="1271"/>
      <c r="MNR25" s="1271"/>
      <c r="MNS25" s="1271"/>
      <c r="MNT25" s="1271"/>
      <c r="MNU25" s="1271"/>
      <c r="MNV25" s="1271"/>
      <c r="MNW25" s="1271"/>
      <c r="MNX25" s="1271"/>
      <c r="MNY25" s="1271"/>
      <c r="MNZ25" s="1271"/>
      <c r="MOA25" s="1271"/>
      <c r="MOB25" s="1271"/>
      <c r="MOC25" s="1271"/>
      <c r="MOD25" s="1271"/>
      <c r="MOE25" s="1271"/>
      <c r="MOF25" s="1271"/>
      <c r="MOG25" s="1271"/>
      <c r="MOH25" s="1271"/>
      <c r="MOI25" s="1271"/>
      <c r="MOJ25" s="1271"/>
      <c r="MOK25" s="1271"/>
      <c r="MOL25" s="1271"/>
      <c r="MOM25" s="1271"/>
      <c r="MON25" s="1271"/>
      <c r="MOO25" s="1271"/>
      <c r="MOP25" s="1271"/>
      <c r="MOQ25" s="1271"/>
      <c r="MOR25" s="1271"/>
      <c r="MOS25" s="1271"/>
      <c r="MOT25" s="1271"/>
      <c r="MOU25" s="1271"/>
      <c r="MOV25" s="1271"/>
      <c r="MOW25" s="1271"/>
      <c r="MOX25" s="1271"/>
      <c r="MOY25" s="1271"/>
      <c r="MOZ25" s="1271"/>
      <c r="MPA25" s="1271"/>
      <c r="MPB25" s="1271"/>
      <c r="MPC25" s="1271"/>
      <c r="MPD25" s="1271"/>
      <c r="MPE25" s="1271"/>
      <c r="MPF25" s="1271"/>
      <c r="MPG25" s="1271"/>
      <c r="MPH25" s="1271"/>
      <c r="MPI25" s="1271"/>
      <c r="MPJ25" s="1271"/>
      <c r="MPK25" s="1271"/>
      <c r="MPL25" s="1271"/>
      <c r="MPM25" s="1271"/>
      <c r="MPN25" s="1271"/>
      <c r="MPO25" s="1271"/>
      <c r="MPP25" s="1271"/>
      <c r="MPQ25" s="1271"/>
      <c r="MPR25" s="1271"/>
      <c r="MPS25" s="1271"/>
      <c r="MPT25" s="1271"/>
      <c r="MPU25" s="1271"/>
      <c r="MPV25" s="1271"/>
      <c r="MPW25" s="1271"/>
      <c r="MPX25" s="1271"/>
      <c r="MPY25" s="1271"/>
      <c r="MPZ25" s="1271"/>
      <c r="MQA25" s="1271"/>
      <c r="MQB25" s="1271"/>
      <c r="MQC25" s="1271"/>
      <c r="MQD25" s="1271"/>
      <c r="MQE25" s="1271"/>
      <c r="MQF25" s="1271"/>
      <c r="MQG25" s="1271"/>
      <c r="MQH25" s="1271"/>
      <c r="MQI25" s="1271"/>
      <c r="MQJ25" s="1271"/>
      <c r="MQK25" s="1271"/>
      <c r="MQL25" s="1271"/>
      <c r="MQM25" s="1271"/>
      <c r="MQN25" s="1271"/>
      <c r="MQO25" s="1271"/>
      <c r="MQP25" s="1271"/>
      <c r="MQQ25" s="1271"/>
      <c r="MQR25" s="1271"/>
      <c r="MQS25" s="1271"/>
      <c r="MQT25" s="1271"/>
      <c r="MQU25" s="1271"/>
      <c r="MQV25" s="1271"/>
      <c r="MQW25" s="1271"/>
      <c r="MQX25" s="1271"/>
      <c r="MQY25" s="1271"/>
      <c r="MQZ25" s="1271"/>
      <c r="MRA25" s="1271"/>
      <c r="MRB25" s="1271"/>
      <c r="MRC25" s="1271"/>
      <c r="MRD25" s="1271"/>
      <c r="MRE25" s="1271"/>
      <c r="MRF25" s="1271"/>
      <c r="MRG25" s="1271"/>
      <c r="MRH25" s="1271"/>
      <c r="MRI25" s="1271"/>
      <c r="MRJ25" s="1271"/>
      <c r="MRK25" s="1271"/>
      <c r="MRL25" s="1271"/>
      <c r="MRM25" s="1271"/>
      <c r="MRN25" s="1271"/>
      <c r="MRO25" s="1271"/>
      <c r="MRP25" s="1271"/>
      <c r="MRQ25" s="1271"/>
      <c r="MRR25" s="1271"/>
      <c r="MRS25" s="1271"/>
      <c r="MRT25" s="1271"/>
      <c r="MRU25" s="1271"/>
      <c r="MRV25" s="1271"/>
      <c r="MRW25" s="1271"/>
      <c r="MRX25" s="1271"/>
      <c r="MRY25" s="1271"/>
      <c r="MRZ25" s="1271"/>
      <c r="MSA25" s="1271"/>
      <c r="MSB25" s="1271"/>
      <c r="MSC25" s="1271"/>
      <c r="MSD25" s="1271"/>
      <c r="MSE25" s="1271"/>
      <c r="MSF25" s="1271"/>
      <c r="MSG25" s="1271"/>
      <c r="MSH25" s="1271"/>
      <c r="MSI25" s="1271"/>
      <c r="MSJ25" s="1271"/>
      <c r="MSK25" s="1271"/>
      <c r="MSL25" s="1271"/>
      <c r="MSM25" s="1271"/>
      <c r="MSN25" s="1271"/>
      <c r="MSO25" s="1271"/>
      <c r="MSP25" s="1271"/>
      <c r="MSQ25" s="1271"/>
      <c r="MSR25" s="1271"/>
      <c r="MSS25" s="1271"/>
      <c r="MST25" s="1271"/>
      <c r="MSU25" s="1271"/>
      <c r="MSV25" s="1271"/>
      <c r="MSW25" s="1271"/>
      <c r="MSX25" s="1271"/>
      <c r="MSY25" s="1271"/>
      <c r="MSZ25" s="1271"/>
      <c r="MTA25" s="1271"/>
      <c r="MTB25" s="1271"/>
      <c r="MTC25" s="1271"/>
      <c r="MTD25" s="1271"/>
      <c r="MTE25" s="1271"/>
      <c r="MTF25" s="1271"/>
      <c r="MTG25" s="1271"/>
      <c r="MTH25" s="1271"/>
      <c r="MTI25" s="1271"/>
      <c r="MTJ25" s="1271"/>
      <c r="MTK25" s="1271"/>
      <c r="MTL25" s="1271"/>
      <c r="MTM25" s="1271"/>
      <c r="MTN25" s="1271"/>
      <c r="MTO25" s="1271"/>
      <c r="MTP25" s="1271"/>
      <c r="MTQ25" s="1271"/>
      <c r="MTR25" s="1271"/>
      <c r="MTS25" s="1271"/>
      <c r="MTT25" s="1271"/>
      <c r="MTU25" s="1271"/>
      <c r="MTV25" s="1271"/>
      <c r="MTW25" s="1271"/>
      <c r="MTX25" s="1271"/>
      <c r="MTY25" s="1271"/>
      <c r="MTZ25" s="1271"/>
      <c r="MUA25" s="1271"/>
      <c r="MUB25" s="1271"/>
      <c r="MUC25" s="1271"/>
      <c r="MUD25" s="1271"/>
      <c r="MUE25" s="1271"/>
      <c r="MUF25" s="1271"/>
      <c r="MUG25" s="1271"/>
      <c r="MUH25" s="1271"/>
      <c r="MUI25" s="1271"/>
      <c r="MUJ25" s="1271"/>
      <c r="MUK25" s="1271"/>
      <c r="MUL25" s="1271"/>
      <c r="MUM25" s="1271"/>
      <c r="MUN25" s="1271"/>
      <c r="MUO25" s="1271"/>
      <c r="MUP25" s="1271"/>
      <c r="MUQ25" s="1271"/>
      <c r="MUR25" s="1271"/>
      <c r="MUS25" s="1271"/>
      <c r="MUT25" s="1271"/>
      <c r="MUU25" s="1271"/>
      <c r="MUV25" s="1271"/>
      <c r="MUW25" s="1271"/>
      <c r="MUX25" s="1271"/>
      <c r="MUY25" s="1271"/>
      <c r="MUZ25" s="1271"/>
      <c r="MVA25" s="1271"/>
      <c r="MVB25" s="1271"/>
      <c r="MVC25" s="1271"/>
      <c r="MVD25" s="1271"/>
      <c r="MVE25" s="1271"/>
      <c r="MVF25" s="1271"/>
      <c r="MVG25" s="1271"/>
      <c r="MVH25" s="1271"/>
      <c r="MVI25" s="1271"/>
      <c r="MVJ25" s="1271"/>
      <c r="MVK25" s="1271"/>
      <c r="MVL25" s="1271"/>
      <c r="MVM25" s="1271"/>
      <c r="MVN25" s="1271"/>
      <c r="MVO25" s="1271"/>
      <c r="MVP25" s="1271"/>
      <c r="MVQ25" s="1271"/>
      <c r="MVR25" s="1271"/>
      <c r="MVS25" s="1271"/>
      <c r="MVT25" s="1271"/>
      <c r="MVU25" s="1271"/>
      <c r="MVV25" s="1271"/>
      <c r="MVW25" s="1271"/>
      <c r="MVX25" s="1271"/>
      <c r="MVY25" s="1271"/>
      <c r="MVZ25" s="1271"/>
      <c r="MWA25" s="1271"/>
      <c r="MWB25" s="1271"/>
      <c r="MWC25" s="1271"/>
      <c r="MWD25" s="1271"/>
      <c r="MWE25" s="1271"/>
      <c r="MWF25" s="1271"/>
      <c r="MWG25" s="1271"/>
      <c r="MWH25" s="1271"/>
      <c r="MWI25" s="1271"/>
      <c r="MWJ25" s="1271"/>
      <c r="MWK25" s="1271"/>
      <c r="MWL25" s="1271"/>
      <c r="MWM25" s="1271"/>
      <c r="MWN25" s="1271"/>
      <c r="MWO25" s="1271"/>
      <c r="MWP25" s="1271"/>
      <c r="MWQ25" s="1271"/>
      <c r="MWR25" s="1271"/>
      <c r="MWS25" s="1271"/>
      <c r="MWT25" s="1271"/>
      <c r="MWU25" s="1271"/>
      <c r="MWV25" s="1271"/>
      <c r="MWW25" s="1271"/>
      <c r="MWX25" s="1271"/>
      <c r="MWY25" s="1271"/>
      <c r="MWZ25" s="1271"/>
      <c r="MXA25" s="1271"/>
      <c r="MXB25" s="1271"/>
      <c r="MXC25" s="1271"/>
      <c r="MXD25" s="1271"/>
      <c r="MXE25" s="1271"/>
      <c r="MXF25" s="1271"/>
      <c r="MXG25" s="1271"/>
      <c r="MXH25" s="1271"/>
      <c r="MXI25" s="1271"/>
      <c r="MXJ25" s="1271"/>
      <c r="MXK25" s="1271"/>
      <c r="MXL25" s="1271"/>
      <c r="MXM25" s="1271"/>
      <c r="MXN25" s="1271"/>
      <c r="MXO25" s="1271"/>
      <c r="MXP25" s="1271"/>
      <c r="MXQ25" s="1271"/>
      <c r="MXR25" s="1271"/>
      <c r="MXS25" s="1271"/>
      <c r="MXT25" s="1271"/>
      <c r="MXU25" s="1271"/>
      <c r="MXV25" s="1271"/>
      <c r="MXW25" s="1271"/>
      <c r="MXX25" s="1271"/>
      <c r="MXY25" s="1271"/>
      <c r="MXZ25" s="1271"/>
      <c r="MYA25" s="1271"/>
      <c r="MYB25" s="1271"/>
      <c r="MYC25" s="1271"/>
      <c r="MYD25" s="1271"/>
      <c r="MYE25" s="1271"/>
      <c r="MYF25" s="1271"/>
      <c r="MYG25" s="1271"/>
      <c r="MYH25" s="1271"/>
      <c r="MYI25" s="1271"/>
      <c r="MYJ25" s="1271"/>
      <c r="MYK25" s="1271"/>
      <c r="MYL25" s="1271"/>
      <c r="MYM25" s="1271"/>
      <c r="MYN25" s="1271"/>
      <c r="MYO25" s="1271"/>
      <c r="MYP25" s="1271"/>
      <c r="MYQ25" s="1271"/>
      <c r="MYR25" s="1271"/>
      <c r="MYS25" s="1271"/>
      <c r="MYT25" s="1271"/>
      <c r="MYU25" s="1271"/>
      <c r="MYV25" s="1271"/>
      <c r="MYW25" s="1271"/>
      <c r="MYX25" s="1271"/>
      <c r="MYY25" s="1271"/>
      <c r="MYZ25" s="1271"/>
      <c r="MZA25" s="1271"/>
      <c r="MZB25" s="1271"/>
      <c r="MZC25" s="1271"/>
      <c r="MZD25" s="1271"/>
      <c r="MZE25" s="1271"/>
      <c r="MZF25" s="1271"/>
      <c r="MZG25" s="1271"/>
      <c r="MZH25" s="1271"/>
      <c r="MZI25" s="1271"/>
      <c r="MZJ25" s="1271"/>
      <c r="MZK25" s="1271"/>
      <c r="MZL25" s="1271"/>
      <c r="MZM25" s="1271"/>
      <c r="MZN25" s="1271"/>
      <c r="MZO25" s="1271"/>
      <c r="MZP25" s="1271"/>
      <c r="MZQ25" s="1271"/>
      <c r="MZR25" s="1271"/>
      <c r="MZS25" s="1271"/>
      <c r="MZT25" s="1271"/>
      <c r="MZU25" s="1271"/>
      <c r="MZV25" s="1271"/>
      <c r="MZW25" s="1271"/>
      <c r="MZX25" s="1271"/>
      <c r="MZY25" s="1271"/>
      <c r="MZZ25" s="1271"/>
      <c r="NAA25" s="1271"/>
      <c r="NAB25" s="1271"/>
      <c r="NAC25" s="1271"/>
      <c r="NAD25" s="1271"/>
      <c r="NAE25" s="1271"/>
      <c r="NAF25" s="1271"/>
      <c r="NAG25" s="1271"/>
      <c r="NAH25" s="1271"/>
      <c r="NAI25" s="1271"/>
      <c r="NAJ25" s="1271"/>
      <c r="NAK25" s="1271"/>
      <c r="NAL25" s="1271"/>
      <c r="NAM25" s="1271"/>
      <c r="NAN25" s="1271"/>
      <c r="NAO25" s="1271"/>
      <c r="NAP25" s="1271"/>
      <c r="NAQ25" s="1271"/>
      <c r="NAR25" s="1271"/>
      <c r="NAS25" s="1271"/>
      <c r="NAT25" s="1271"/>
      <c r="NAU25" s="1271"/>
      <c r="NAV25" s="1271"/>
      <c r="NAW25" s="1271"/>
      <c r="NAX25" s="1271"/>
      <c r="NAY25" s="1271"/>
      <c r="NAZ25" s="1271"/>
      <c r="NBA25" s="1271"/>
      <c r="NBB25" s="1271"/>
      <c r="NBC25" s="1271"/>
      <c r="NBD25" s="1271"/>
      <c r="NBE25" s="1271"/>
      <c r="NBF25" s="1271"/>
      <c r="NBG25" s="1271"/>
      <c r="NBH25" s="1271"/>
      <c r="NBI25" s="1271"/>
      <c r="NBJ25" s="1271"/>
      <c r="NBK25" s="1271"/>
      <c r="NBL25" s="1271"/>
      <c r="NBM25" s="1271"/>
      <c r="NBN25" s="1271"/>
      <c r="NBO25" s="1271"/>
      <c r="NBP25" s="1271"/>
      <c r="NBQ25" s="1271"/>
      <c r="NBR25" s="1271"/>
      <c r="NBS25" s="1271"/>
      <c r="NBT25" s="1271"/>
      <c r="NBU25" s="1271"/>
      <c r="NBV25" s="1271"/>
      <c r="NBW25" s="1271"/>
      <c r="NBX25" s="1271"/>
      <c r="NBY25" s="1271"/>
      <c r="NBZ25" s="1271"/>
      <c r="NCA25" s="1271"/>
      <c r="NCB25" s="1271"/>
      <c r="NCC25" s="1271"/>
      <c r="NCD25" s="1271"/>
      <c r="NCE25" s="1271"/>
      <c r="NCF25" s="1271"/>
      <c r="NCG25" s="1271"/>
      <c r="NCH25" s="1271"/>
      <c r="NCI25" s="1271"/>
      <c r="NCJ25" s="1271"/>
      <c r="NCK25" s="1271"/>
      <c r="NCL25" s="1271"/>
      <c r="NCM25" s="1271"/>
      <c r="NCN25" s="1271"/>
      <c r="NCO25" s="1271"/>
      <c r="NCP25" s="1271"/>
      <c r="NCQ25" s="1271"/>
      <c r="NCR25" s="1271"/>
      <c r="NCS25" s="1271"/>
      <c r="NCT25" s="1271"/>
      <c r="NCU25" s="1271"/>
      <c r="NCV25" s="1271"/>
      <c r="NCW25" s="1271"/>
      <c r="NCX25" s="1271"/>
      <c r="NCY25" s="1271"/>
      <c r="NCZ25" s="1271"/>
      <c r="NDA25" s="1271"/>
      <c r="NDB25" s="1271"/>
      <c r="NDC25" s="1271"/>
      <c r="NDD25" s="1271"/>
      <c r="NDE25" s="1271"/>
      <c r="NDF25" s="1271"/>
      <c r="NDG25" s="1271"/>
      <c r="NDH25" s="1271"/>
      <c r="NDI25" s="1271"/>
      <c r="NDJ25" s="1271"/>
      <c r="NDK25" s="1271"/>
      <c r="NDL25" s="1271"/>
      <c r="NDM25" s="1271"/>
      <c r="NDN25" s="1271"/>
      <c r="NDO25" s="1271"/>
      <c r="NDP25" s="1271"/>
      <c r="NDQ25" s="1271"/>
      <c r="NDR25" s="1271"/>
      <c r="NDS25" s="1271"/>
      <c r="NDT25" s="1271"/>
      <c r="NDU25" s="1271"/>
      <c r="NDV25" s="1271"/>
      <c r="NDW25" s="1271"/>
      <c r="NDX25" s="1271"/>
      <c r="NDY25" s="1271"/>
      <c r="NDZ25" s="1271"/>
      <c r="NEA25" s="1271"/>
      <c r="NEB25" s="1271"/>
      <c r="NEC25" s="1271"/>
      <c r="NED25" s="1271"/>
      <c r="NEE25" s="1271"/>
      <c r="NEF25" s="1271"/>
      <c r="NEG25" s="1271"/>
      <c r="NEH25" s="1271"/>
      <c r="NEI25" s="1271"/>
      <c r="NEJ25" s="1271"/>
      <c r="NEK25" s="1271"/>
      <c r="NEL25" s="1271"/>
      <c r="NEM25" s="1271"/>
      <c r="NEN25" s="1271"/>
      <c r="NEO25" s="1271"/>
      <c r="NEP25" s="1271"/>
      <c r="NEQ25" s="1271"/>
      <c r="NER25" s="1271"/>
      <c r="NES25" s="1271"/>
      <c r="NET25" s="1271"/>
      <c r="NEU25" s="1271"/>
      <c r="NEV25" s="1271"/>
      <c r="NEW25" s="1271"/>
      <c r="NEX25" s="1271"/>
      <c r="NEY25" s="1271"/>
      <c r="NEZ25" s="1271"/>
      <c r="NFA25" s="1271"/>
      <c r="NFB25" s="1271"/>
      <c r="NFC25" s="1271"/>
      <c r="NFD25" s="1271"/>
      <c r="NFE25" s="1271"/>
      <c r="NFF25" s="1271"/>
      <c r="NFG25" s="1271"/>
      <c r="NFH25" s="1271"/>
      <c r="NFI25" s="1271"/>
      <c r="NFJ25" s="1271"/>
      <c r="NFK25" s="1271"/>
      <c r="NFL25" s="1271"/>
      <c r="NFM25" s="1271"/>
      <c r="NFN25" s="1271"/>
      <c r="NFO25" s="1271"/>
      <c r="NFP25" s="1271"/>
      <c r="NFQ25" s="1271"/>
      <c r="NFR25" s="1271"/>
      <c r="NFS25" s="1271"/>
      <c r="NFT25" s="1271"/>
      <c r="NFU25" s="1271"/>
      <c r="NFV25" s="1271"/>
      <c r="NFW25" s="1271"/>
      <c r="NFX25" s="1271"/>
      <c r="NFY25" s="1271"/>
      <c r="NFZ25" s="1271"/>
      <c r="NGA25" s="1271"/>
      <c r="NGB25" s="1271"/>
      <c r="NGC25" s="1271"/>
      <c r="NGD25" s="1271"/>
      <c r="NGE25" s="1271"/>
      <c r="NGF25" s="1271"/>
      <c r="NGG25" s="1271"/>
      <c r="NGH25" s="1271"/>
      <c r="NGI25" s="1271"/>
      <c r="NGJ25" s="1271"/>
      <c r="NGK25" s="1271"/>
      <c r="NGL25" s="1271"/>
      <c r="NGM25" s="1271"/>
      <c r="NGN25" s="1271"/>
      <c r="NGO25" s="1271"/>
      <c r="NGP25" s="1271"/>
      <c r="NGQ25" s="1271"/>
      <c r="NGR25" s="1271"/>
      <c r="NGS25" s="1271"/>
      <c r="NGT25" s="1271"/>
      <c r="NGU25" s="1271"/>
      <c r="NGV25" s="1271"/>
      <c r="NGW25" s="1271"/>
      <c r="NGX25" s="1271"/>
      <c r="NGY25" s="1271"/>
      <c r="NGZ25" s="1271"/>
      <c r="NHA25" s="1271"/>
      <c r="NHB25" s="1271"/>
      <c r="NHC25" s="1271"/>
      <c r="NHD25" s="1271"/>
      <c r="NHE25" s="1271"/>
      <c r="NHF25" s="1271"/>
      <c r="NHG25" s="1271"/>
      <c r="NHH25" s="1271"/>
      <c r="NHI25" s="1271"/>
      <c r="NHJ25" s="1271"/>
      <c r="NHK25" s="1271"/>
      <c r="NHL25" s="1271"/>
      <c r="NHM25" s="1271"/>
      <c r="NHN25" s="1271"/>
      <c r="NHO25" s="1271"/>
      <c r="NHP25" s="1271"/>
      <c r="NHQ25" s="1271"/>
      <c r="NHR25" s="1271"/>
      <c r="NHS25" s="1271"/>
      <c r="NHT25" s="1271"/>
      <c r="NHU25" s="1271"/>
      <c r="NHV25" s="1271"/>
      <c r="NHW25" s="1271"/>
      <c r="NHX25" s="1271"/>
      <c r="NHY25" s="1271"/>
      <c r="NHZ25" s="1271"/>
      <c r="NIA25" s="1271"/>
      <c r="NIB25" s="1271"/>
      <c r="NIC25" s="1271"/>
      <c r="NID25" s="1271"/>
      <c r="NIE25" s="1271"/>
      <c r="NIF25" s="1271"/>
      <c r="NIG25" s="1271"/>
      <c r="NIH25" s="1271"/>
      <c r="NII25" s="1271"/>
      <c r="NIJ25" s="1271"/>
      <c r="NIK25" s="1271"/>
      <c r="NIL25" s="1271"/>
      <c r="NIM25" s="1271"/>
      <c r="NIN25" s="1271"/>
      <c r="NIO25" s="1271"/>
      <c r="NIP25" s="1271"/>
      <c r="NIQ25" s="1271"/>
      <c r="NIR25" s="1271"/>
      <c r="NIS25" s="1271"/>
      <c r="NIT25" s="1271"/>
      <c r="NIU25" s="1271"/>
      <c r="NIV25" s="1271"/>
      <c r="NIW25" s="1271"/>
      <c r="NIX25" s="1271"/>
      <c r="NIY25" s="1271"/>
      <c r="NIZ25" s="1271"/>
      <c r="NJA25" s="1271"/>
      <c r="NJB25" s="1271"/>
      <c r="NJC25" s="1271"/>
      <c r="NJD25" s="1271"/>
      <c r="NJE25" s="1271"/>
      <c r="NJF25" s="1271"/>
      <c r="NJG25" s="1271"/>
      <c r="NJH25" s="1271"/>
      <c r="NJI25" s="1271"/>
      <c r="NJJ25" s="1271"/>
      <c r="NJK25" s="1271"/>
      <c r="NJL25" s="1271"/>
      <c r="NJM25" s="1271"/>
      <c r="NJN25" s="1271"/>
      <c r="NJO25" s="1271"/>
      <c r="NJP25" s="1271"/>
      <c r="NJQ25" s="1271"/>
      <c r="NJR25" s="1271"/>
      <c r="NJS25" s="1271"/>
      <c r="NJT25" s="1271"/>
      <c r="NJU25" s="1271"/>
      <c r="NJV25" s="1271"/>
      <c r="NJW25" s="1271"/>
      <c r="NJX25" s="1271"/>
      <c r="NJY25" s="1271"/>
      <c r="NJZ25" s="1271"/>
      <c r="NKA25" s="1271"/>
      <c r="NKB25" s="1271"/>
      <c r="NKC25" s="1271"/>
      <c r="NKD25" s="1271"/>
      <c r="NKE25" s="1271"/>
      <c r="NKF25" s="1271"/>
      <c r="NKG25" s="1271"/>
      <c r="NKH25" s="1271"/>
      <c r="NKI25" s="1271"/>
      <c r="NKJ25" s="1271"/>
      <c r="NKK25" s="1271"/>
      <c r="NKL25" s="1271"/>
      <c r="NKM25" s="1271"/>
      <c r="NKN25" s="1271"/>
      <c r="NKO25" s="1271"/>
      <c r="NKP25" s="1271"/>
      <c r="NKQ25" s="1271"/>
      <c r="NKR25" s="1271"/>
      <c r="NKS25" s="1271"/>
      <c r="NKT25" s="1271"/>
      <c r="NKU25" s="1271"/>
      <c r="NKV25" s="1271"/>
      <c r="NKW25" s="1271"/>
      <c r="NKX25" s="1271"/>
      <c r="NKY25" s="1271"/>
      <c r="NKZ25" s="1271"/>
      <c r="NLA25" s="1271"/>
      <c r="NLB25" s="1271"/>
      <c r="NLC25" s="1271"/>
      <c r="NLD25" s="1271"/>
      <c r="NLE25" s="1271"/>
      <c r="NLF25" s="1271"/>
      <c r="NLG25" s="1271"/>
      <c r="NLH25" s="1271"/>
      <c r="NLI25" s="1271"/>
      <c r="NLJ25" s="1271"/>
      <c r="NLK25" s="1271"/>
      <c r="NLL25" s="1271"/>
      <c r="NLM25" s="1271"/>
      <c r="NLN25" s="1271"/>
      <c r="NLO25" s="1271"/>
      <c r="NLP25" s="1271"/>
      <c r="NLQ25" s="1271"/>
      <c r="NLR25" s="1271"/>
      <c r="NLS25" s="1271"/>
      <c r="NLT25" s="1271"/>
      <c r="NLU25" s="1271"/>
      <c r="NLV25" s="1271"/>
      <c r="NLW25" s="1271"/>
      <c r="NLX25" s="1271"/>
      <c r="NLY25" s="1271"/>
      <c r="NLZ25" s="1271"/>
      <c r="NMA25" s="1271"/>
      <c r="NMB25" s="1271"/>
      <c r="NMC25" s="1271"/>
      <c r="NMD25" s="1271"/>
      <c r="NME25" s="1271"/>
      <c r="NMF25" s="1271"/>
      <c r="NMG25" s="1271"/>
      <c r="NMH25" s="1271"/>
      <c r="NMI25" s="1271"/>
      <c r="NMJ25" s="1271"/>
      <c r="NMK25" s="1271"/>
      <c r="NML25" s="1271"/>
      <c r="NMM25" s="1271"/>
      <c r="NMN25" s="1271"/>
      <c r="NMO25" s="1271"/>
      <c r="NMP25" s="1271"/>
      <c r="NMQ25" s="1271"/>
      <c r="NMR25" s="1271"/>
      <c r="NMS25" s="1271"/>
      <c r="NMT25" s="1271"/>
      <c r="NMU25" s="1271"/>
      <c r="NMV25" s="1271"/>
      <c r="NMW25" s="1271"/>
      <c r="NMX25" s="1271"/>
      <c r="NMY25" s="1271"/>
      <c r="NMZ25" s="1271"/>
      <c r="NNA25" s="1271"/>
      <c r="NNB25" s="1271"/>
      <c r="NNC25" s="1271"/>
      <c r="NND25" s="1271"/>
      <c r="NNE25" s="1271"/>
      <c r="NNF25" s="1271"/>
      <c r="NNG25" s="1271"/>
      <c r="NNH25" s="1271"/>
      <c r="NNI25" s="1271"/>
      <c r="NNJ25" s="1271"/>
      <c r="NNK25" s="1271"/>
      <c r="NNL25" s="1271"/>
      <c r="NNM25" s="1271"/>
      <c r="NNN25" s="1271"/>
      <c r="NNO25" s="1271"/>
      <c r="NNP25" s="1271"/>
      <c r="NNQ25" s="1271"/>
      <c r="NNR25" s="1271"/>
      <c r="NNS25" s="1271"/>
      <c r="NNT25" s="1271"/>
      <c r="NNU25" s="1271"/>
      <c r="NNV25" s="1271"/>
      <c r="NNW25" s="1271"/>
      <c r="NNX25" s="1271"/>
      <c r="NNY25" s="1271"/>
      <c r="NNZ25" s="1271"/>
      <c r="NOA25" s="1271"/>
      <c r="NOB25" s="1271"/>
      <c r="NOC25" s="1271"/>
      <c r="NOD25" s="1271"/>
      <c r="NOE25" s="1271"/>
      <c r="NOF25" s="1271"/>
      <c r="NOG25" s="1271"/>
      <c r="NOH25" s="1271"/>
      <c r="NOI25" s="1271"/>
      <c r="NOJ25" s="1271"/>
      <c r="NOK25" s="1271"/>
      <c r="NOL25" s="1271"/>
      <c r="NOM25" s="1271"/>
      <c r="NON25" s="1271"/>
      <c r="NOO25" s="1271"/>
      <c r="NOP25" s="1271"/>
      <c r="NOQ25" s="1271"/>
      <c r="NOR25" s="1271"/>
      <c r="NOS25" s="1271"/>
      <c r="NOT25" s="1271"/>
      <c r="NOU25" s="1271"/>
      <c r="NOV25" s="1271"/>
      <c r="NOW25" s="1271"/>
      <c r="NOX25" s="1271"/>
      <c r="NOY25" s="1271"/>
      <c r="NOZ25" s="1271"/>
      <c r="NPA25" s="1271"/>
      <c r="NPB25" s="1271"/>
      <c r="NPC25" s="1271"/>
      <c r="NPD25" s="1271"/>
      <c r="NPE25" s="1271"/>
      <c r="NPF25" s="1271"/>
      <c r="NPG25" s="1271"/>
      <c r="NPH25" s="1271"/>
      <c r="NPI25" s="1271"/>
      <c r="NPJ25" s="1271"/>
      <c r="NPK25" s="1271"/>
      <c r="NPL25" s="1271"/>
      <c r="NPM25" s="1271"/>
      <c r="NPN25" s="1271"/>
      <c r="NPO25" s="1271"/>
      <c r="NPP25" s="1271"/>
      <c r="NPQ25" s="1271"/>
      <c r="NPR25" s="1271"/>
      <c r="NPS25" s="1271"/>
      <c r="NPT25" s="1271"/>
      <c r="NPU25" s="1271"/>
      <c r="NPV25" s="1271"/>
      <c r="NPW25" s="1271"/>
      <c r="NPX25" s="1271"/>
      <c r="NPY25" s="1271"/>
      <c r="NPZ25" s="1271"/>
      <c r="NQA25" s="1271"/>
      <c r="NQB25" s="1271"/>
      <c r="NQC25" s="1271"/>
      <c r="NQD25" s="1271"/>
      <c r="NQE25" s="1271"/>
      <c r="NQF25" s="1271"/>
      <c r="NQG25" s="1271"/>
      <c r="NQH25" s="1271"/>
      <c r="NQI25" s="1271"/>
      <c r="NQJ25" s="1271"/>
      <c r="NQK25" s="1271"/>
      <c r="NQL25" s="1271"/>
      <c r="NQM25" s="1271"/>
      <c r="NQN25" s="1271"/>
      <c r="NQO25" s="1271"/>
      <c r="NQP25" s="1271"/>
      <c r="NQQ25" s="1271"/>
      <c r="NQR25" s="1271"/>
      <c r="NQS25" s="1271"/>
      <c r="NQT25" s="1271"/>
      <c r="NQU25" s="1271"/>
      <c r="NQV25" s="1271"/>
      <c r="NQW25" s="1271"/>
      <c r="NQX25" s="1271"/>
      <c r="NQY25" s="1271"/>
      <c r="NQZ25" s="1271"/>
      <c r="NRA25" s="1271"/>
      <c r="NRB25" s="1271"/>
      <c r="NRC25" s="1271"/>
      <c r="NRD25" s="1271"/>
      <c r="NRE25" s="1271"/>
      <c r="NRF25" s="1271"/>
      <c r="NRG25" s="1271"/>
      <c r="NRH25" s="1271"/>
      <c r="NRI25" s="1271"/>
      <c r="NRJ25" s="1271"/>
      <c r="NRK25" s="1271"/>
      <c r="NRL25" s="1271"/>
      <c r="NRM25" s="1271"/>
      <c r="NRN25" s="1271"/>
      <c r="NRO25" s="1271"/>
      <c r="NRP25" s="1271"/>
      <c r="NRQ25" s="1271"/>
      <c r="NRR25" s="1271"/>
      <c r="NRS25" s="1271"/>
      <c r="NRT25" s="1271"/>
      <c r="NRU25" s="1271"/>
      <c r="NRV25" s="1271"/>
      <c r="NRW25" s="1271"/>
      <c r="NRX25" s="1271"/>
      <c r="NRY25" s="1271"/>
      <c r="NRZ25" s="1271"/>
      <c r="NSA25" s="1271"/>
      <c r="NSB25" s="1271"/>
      <c r="NSC25" s="1271"/>
      <c r="NSD25" s="1271"/>
      <c r="NSE25" s="1271"/>
      <c r="NSF25" s="1271"/>
      <c r="NSG25" s="1271"/>
      <c r="NSH25" s="1271"/>
      <c r="NSI25" s="1271"/>
      <c r="NSJ25" s="1271"/>
      <c r="NSK25" s="1271"/>
      <c r="NSL25" s="1271"/>
      <c r="NSM25" s="1271"/>
      <c r="NSN25" s="1271"/>
      <c r="NSO25" s="1271"/>
      <c r="NSP25" s="1271"/>
      <c r="NSQ25" s="1271"/>
      <c r="NSR25" s="1271"/>
      <c r="NSS25" s="1271"/>
      <c r="NST25" s="1271"/>
      <c r="NSU25" s="1271"/>
      <c r="NSV25" s="1271"/>
      <c r="NSW25" s="1271"/>
      <c r="NSX25" s="1271"/>
      <c r="NSY25" s="1271"/>
      <c r="NSZ25" s="1271"/>
      <c r="NTA25" s="1271"/>
      <c r="NTB25" s="1271"/>
      <c r="NTC25" s="1271"/>
      <c r="NTD25" s="1271"/>
      <c r="NTE25" s="1271"/>
      <c r="NTF25" s="1271"/>
      <c r="NTG25" s="1271"/>
      <c r="NTH25" s="1271"/>
      <c r="NTI25" s="1271"/>
      <c r="NTJ25" s="1271"/>
      <c r="NTK25" s="1271"/>
      <c r="NTL25" s="1271"/>
      <c r="NTM25" s="1271"/>
      <c r="NTN25" s="1271"/>
      <c r="NTO25" s="1271"/>
      <c r="NTP25" s="1271"/>
      <c r="NTQ25" s="1271"/>
      <c r="NTR25" s="1271"/>
      <c r="NTS25" s="1271"/>
      <c r="NTT25" s="1271"/>
      <c r="NTU25" s="1271"/>
      <c r="NTV25" s="1271"/>
      <c r="NTW25" s="1271"/>
      <c r="NTX25" s="1271"/>
      <c r="NTY25" s="1271"/>
      <c r="NTZ25" s="1271"/>
      <c r="NUA25" s="1271"/>
      <c r="NUB25" s="1271"/>
      <c r="NUC25" s="1271"/>
      <c r="NUD25" s="1271"/>
      <c r="NUE25" s="1271"/>
      <c r="NUF25" s="1271"/>
      <c r="NUG25" s="1271"/>
      <c r="NUH25" s="1271"/>
      <c r="NUI25" s="1271"/>
      <c r="NUJ25" s="1271"/>
      <c r="NUK25" s="1271"/>
      <c r="NUL25" s="1271"/>
      <c r="NUM25" s="1271"/>
      <c r="NUN25" s="1271"/>
      <c r="NUO25" s="1271"/>
      <c r="NUP25" s="1271"/>
      <c r="NUQ25" s="1271"/>
      <c r="NUR25" s="1271"/>
      <c r="NUS25" s="1271"/>
      <c r="NUT25" s="1271"/>
      <c r="NUU25" s="1271"/>
      <c r="NUV25" s="1271"/>
      <c r="NUW25" s="1271"/>
      <c r="NUX25" s="1271"/>
      <c r="NUY25" s="1271"/>
      <c r="NUZ25" s="1271"/>
      <c r="NVA25" s="1271"/>
      <c r="NVB25" s="1271"/>
      <c r="NVC25" s="1271"/>
      <c r="NVD25" s="1271"/>
      <c r="NVE25" s="1271"/>
      <c r="NVF25" s="1271"/>
      <c r="NVG25" s="1271"/>
      <c r="NVH25" s="1271"/>
      <c r="NVI25" s="1271"/>
      <c r="NVJ25" s="1271"/>
      <c r="NVK25" s="1271"/>
      <c r="NVL25" s="1271"/>
      <c r="NVM25" s="1271"/>
      <c r="NVN25" s="1271"/>
      <c r="NVO25" s="1271"/>
      <c r="NVP25" s="1271"/>
      <c r="NVQ25" s="1271"/>
      <c r="NVR25" s="1271"/>
      <c r="NVS25" s="1271"/>
      <c r="NVT25" s="1271"/>
      <c r="NVU25" s="1271"/>
      <c r="NVV25" s="1271"/>
      <c r="NVW25" s="1271"/>
      <c r="NVX25" s="1271"/>
      <c r="NVY25" s="1271"/>
      <c r="NVZ25" s="1271"/>
      <c r="NWA25" s="1271"/>
      <c r="NWB25" s="1271"/>
      <c r="NWC25" s="1271"/>
      <c r="NWD25" s="1271"/>
      <c r="NWE25" s="1271"/>
      <c r="NWF25" s="1271"/>
      <c r="NWG25" s="1271"/>
      <c r="NWH25" s="1271"/>
      <c r="NWI25" s="1271"/>
      <c r="NWJ25" s="1271"/>
      <c r="NWK25" s="1271"/>
      <c r="NWL25" s="1271"/>
      <c r="NWM25" s="1271"/>
      <c r="NWN25" s="1271"/>
      <c r="NWO25" s="1271"/>
      <c r="NWP25" s="1271"/>
      <c r="NWQ25" s="1271"/>
      <c r="NWR25" s="1271"/>
      <c r="NWS25" s="1271"/>
      <c r="NWT25" s="1271"/>
      <c r="NWU25" s="1271"/>
      <c r="NWV25" s="1271"/>
      <c r="NWW25" s="1271"/>
      <c r="NWX25" s="1271"/>
      <c r="NWY25" s="1271"/>
      <c r="NWZ25" s="1271"/>
      <c r="NXA25" s="1271"/>
      <c r="NXB25" s="1271"/>
      <c r="NXC25" s="1271"/>
      <c r="NXD25" s="1271"/>
      <c r="NXE25" s="1271"/>
      <c r="NXF25" s="1271"/>
      <c r="NXG25" s="1271"/>
      <c r="NXH25" s="1271"/>
      <c r="NXI25" s="1271"/>
      <c r="NXJ25" s="1271"/>
      <c r="NXK25" s="1271"/>
      <c r="NXL25" s="1271"/>
      <c r="NXM25" s="1271"/>
      <c r="NXN25" s="1271"/>
      <c r="NXO25" s="1271"/>
      <c r="NXP25" s="1271"/>
      <c r="NXQ25" s="1271"/>
      <c r="NXR25" s="1271"/>
      <c r="NXS25" s="1271"/>
      <c r="NXT25" s="1271"/>
      <c r="NXU25" s="1271"/>
      <c r="NXV25" s="1271"/>
      <c r="NXW25" s="1271"/>
      <c r="NXX25" s="1271"/>
      <c r="NXY25" s="1271"/>
      <c r="NXZ25" s="1271"/>
      <c r="NYA25" s="1271"/>
      <c r="NYB25" s="1271"/>
      <c r="NYC25" s="1271"/>
      <c r="NYD25" s="1271"/>
      <c r="NYE25" s="1271"/>
      <c r="NYF25" s="1271"/>
      <c r="NYG25" s="1271"/>
      <c r="NYH25" s="1271"/>
      <c r="NYI25" s="1271"/>
      <c r="NYJ25" s="1271"/>
      <c r="NYK25" s="1271"/>
      <c r="NYL25" s="1271"/>
      <c r="NYM25" s="1271"/>
      <c r="NYN25" s="1271"/>
      <c r="NYO25" s="1271"/>
      <c r="NYP25" s="1271"/>
      <c r="NYQ25" s="1271"/>
      <c r="NYR25" s="1271"/>
      <c r="NYS25" s="1271"/>
      <c r="NYT25" s="1271"/>
      <c r="NYU25" s="1271"/>
      <c r="NYV25" s="1271"/>
      <c r="NYW25" s="1271"/>
      <c r="NYX25" s="1271"/>
      <c r="NYY25" s="1271"/>
      <c r="NYZ25" s="1271"/>
      <c r="NZA25" s="1271"/>
      <c r="NZB25" s="1271"/>
      <c r="NZC25" s="1271"/>
      <c r="NZD25" s="1271"/>
      <c r="NZE25" s="1271"/>
      <c r="NZF25" s="1271"/>
      <c r="NZG25" s="1271"/>
      <c r="NZH25" s="1271"/>
      <c r="NZI25" s="1271"/>
      <c r="NZJ25" s="1271"/>
      <c r="NZK25" s="1271"/>
      <c r="NZL25" s="1271"/>
      <c r="NZM25" s="1271"/>
      <c r="NZN25" s="1271"/>
      <c r="NZO25" s="1271"/>
      <c r="NZP25" s="1271"/>
      <c r="NZQ25" s="1271"/>
      <c r="NZR25" s="1271"/>
      <c r="NZS25" s="1271"/>
      <c r="NZT25" s="1271"/>
      <c r="NZU25" s="1271"/>
      <c r="NZV25" s="1271"/>
      <c r="NZW25" s="1271"/>
      <c r="NZX25" s="1271"/>
      <c r="NZY25" s="1271"/>
      <c r="NZZ25" s="1271"/>
      <c r="OAA25" s="1271"/>
      <c r="OAB25" s="1271"/>
      <c r="OAC25" s="1271"/>
      <c r="OAD25" s="1271"/>
      <c r="OAE25" s="1271"/>
      <c r="OAF25" s="1271"/>
      <c r="OAG25" s="1271"/>
      <c r="OAH25" s="1271"/>
      <c r="OAI25" s="1271"/>
      <c r="OAJ25" s="1271"/>
      <c r="OAK25" s="1271"/>
      <c r="OAL25" s="1271"/>
      <c r="OAM25" s="1271"/>
      <c r="OAN25" s="1271"/>
      <c r="OAO25" s="1271"/>
      <c r="OAP25" s="1271"/>
      <c r="OAQ25" s="1271"/>
      <c r="OAR25" s="1271"/>
      <c r="OAS25" s="1271"/>
      <c r="OAT25" s="1271"/>
      <c r="OAU25" s="1271"/>
      <c r="OAV25" s="1271"/>
      <c r="OAW25" s="1271"/>
      <c r="OAX25" s="1271"/>
      <c r="OAY25" s="1271"/>
      <c r="OAZ25" s="1271"/>
      <c r="OBA25" s="1271"/>
      <c r="OBB25" s="1271"/>
      <c r="OBC25" s="1271"/>
      <c r="OBD25" s="1271"/>
      <c r="OBE25" s="1271"/>
      <c r="OBF25" s="1271"/>
      <c r="OBG25" s="1271"/>
      <c r="OBH25" s="1271"/>
      <c r="OBI25" s="1271"/>
      <c r="OBJ25" s="1271"/>
      <c r="OBK25" s="1271"/>
      <c r="OBL25" s="1271"/>
      <c r="OBM25" s="1271"/>
      <c r="OBN25" s="1271"/>
      <c r="OBO25" s="1271"/>
      <c r="OBP25" s="1271"/>
      <c r="OBQ25" s="1271"/>
      <c r="OBR25" s="1271"/>
      <c r="OBS25" s="1271"/>
      <c r="OBT25" s="1271"/>
      <c r="OBU25" s="1271"/>
      <c r="OBV25" s="1271"/>
      <c r="OBW25" s="1271"/>
      <c r="OBX25" s="1271"/>
      <c r="OBY25" s="1271"/>
      <c r="OBZ25" s="1271"/>
      <c r="OCA25" s="1271"/>
      <c r="OCB25" s="1271"/>
      <c r="OCC25" s="1271"/>
      <c r="OCD25" s="1271"/>
      <c r="OCE25" s="1271"/>
      <c r="OCF25" s="1271"/>
      <c r="OCG25" s="1271"/>
      <c r="OCH25" s="1271"/>
      <c r="OCI25" s="1271"/>
      <c r="OCJ25" s="1271"/>
      <c r="OCK25" s="1271"/>
      <c r="OCL25" s="1271"/>
      <c r="OCM25" s="1271"/>
      <c r="OCN25" s="1271"/>
      <c r="OCO25" s="1271"/>
      <c r="OCP25" s="1271"/>
      <c r="OCQ25" s="1271"/>
      <c r="OCR25" s="1271"/>
      <c r="OCS25" s="1271"/>
      <c r="OCT25" s="1271"/>
      <c r="OCU25" s="1271"/>
      <c r="OCV25" s="1271"/>
      <c r="OCW25" s="1271"/>
      <c r="OCX25" s="1271"/>
      <c r="OCY25" s="1271"/>
      <c r="OCZ25" s="1271"/>
      <c r="ODA25" s="1271"/>
      <c r="ODB25" s="1271"/>
      <c r="ODC25" s="1271"/>
      <c r="ODD25" s="1271"/>
      <c r="ODE25" s="1271"/>
      <c r="ODF25" s="1271"/>
      <c r="ODG25" s="1271"/>
      <c r="ODH25" s="1271"/>
      <c r="ODI25" s="1271"/>
      <c r="ODJ25" s="1271"/>
      <c r="ODK25" s="1271"/>
      <c r="ODL25" s="1271"/>
      <c r="ODM25" s="1271"/>
      <c r="ODN25" s="1271"/>
      <c r="ODO25" s="1271"/>
      <c r="ODP25" s="1271"/>
      <c r="ODQ25" s="1271"/>
      <c r="ODR25" s="1271"/>
      <c r="ODS25" s="1271"/>
      <c r="ODT25" s="1271"/>
      <c r="ODU25" s="1271"/>
      <c r="ODV25" s="1271"/>
      <c r="ODW25" s="1271"/>
      <c r="ODX25" s="1271"/>
      <c r="ODY25" s="1271"/>
      <c r="ODZ25" s="1271"/>
      <c r="OEA25" s="1271"/>
      <c r="OEB25" s="1271"/>
      <c r="OEC25" s="1271"/>
      <c r="OED25" s="1271"/>
      <c r="OEE25" s="1271"/>
      <c r="OEF25" s="1271"/>
      <c r="OEG25" s="1271"/>
      <c r="OEH25" s="1271"/>
      <c r="OEI25" s="1271"/>
      <c r="OEJ25" s="1271"/>
      <c r="OEK25" s="1271"/>
      <c r="OEL25" s="1271"/>
      <c r="OEM25" s="1271"/>
      <c r="OEN25" s="1271"/>
      <c r="OEO25" s="1271"/>
      <c r="OEP25" s="1271"/>
      <c r="OEQ25" s="1271"/>
      <c r="OER25" s="1271"/>
      <c r="OES25" s="1271"/>
      <c r="OET25" s="1271"/>
      <c r="OEU25" s="1271"/>
      <c r="OEV25" s="1271"/>
      <c r="OEW25" s="1271"/>
      <c r="OEX25" s="1271"/>
      <c r="OEY25" s="1271"/>
      <c r="OEZ25" s="1271"/>
      <c r="OFA25" s="1271"/>
      <c r="OFB25" s="1271"/>
      <c r="OFC25" s="1271"/>
      <c r="OFD25" s="1271"/>
      <c r="OFE25" s="1271"/>
      <c r="OFF25" s="1271"/>
      <c r="OFG25" s="1271"/>
      <c r="OFH25" s="1271"/>
      <c r="OFI25" s="1271"/>
      <c r="OFJ25" s="1271"/>
      <c r="OFK25" s="1271"/>
      <c r="OFL25" s="1271"/>
      <c r="OFM25" s="1271"/>
      <c r="OFN25" s="1271"/>
      <c r="OFO25" s="1271"/>
      <c r="OFP25" s="1271"/>
      <c r="OFQ25" s="1271"/>
      <c r="OFR25" s="1271"/>
      <c r="OFS25" s="1271"/>
      <c r="OFT25" s="1271"/>
      <c r="OFU25" s="1271"/>
      <c r="OFV25" s="1271"/>
      <c r="OFW25" s="1271"/>
      <c r="OFX25" s="1271"/>
      <c r="OFY25" s="1271"/>
      <c r="OFZ25" s="1271"/>
      <c r="OGA25" s="1271"/>
      <c r="OGB25" s="1271"/>
      <c r="OGC25" s="1271"/>
      <c r="OGD25" s="1271"/>
      <c r="OGE25" s="1271"/>
      <c r="OGF25" s="1271"/>
      <c r="OGG25" s="1271"/>
      <c r="OGH25" s="1271"/>
      <c r="OGI25" s="1271"/>
      <c r="OGJ25" s="1271"/>
      <c r="OGK25" s="1271"/>
      <c r="OGL25" s="1271"/>
      <c r="OGM25" s="1271"/>
      <c r="OGN25" s="1271"/>
      <c r="OGO25" s="1271"/>
      <c r="OGP25" s="1271"/>
      <c r="OGQ25" s="1271"/>
      <c r="OGR25" s="1271"/>
      <c r="OGS25" s="1271"/>
      <c r="OGT25" s="1271"/>
      <c r="OGU25" s="1271"/>
      <c r="OGV25" s="1271"/>
      <c r="OGW25" s="1271"/>
      <c r="OGX25" s="1271"/>
      <c r="OGY25" s="1271"/>
      <c r="OGZ25" s="1271"/>
      <c r="OHA25" s="1271"/>
      <c r="OHB25" s="1271"/>
      <c r="OHC25" s="1271"/>
      <c r="OHD25" s="1271"/>
      <c r="OHE25" s="1271"/>
      <c r="OHF25" s="1271"/>
      <c r="OHG25" s="1271"/>
      <c r="OHH25" s="1271"/>
      <c r="OHI25" s="1271"/>
      <c r="OHJ25" s="1271"/>
      <c r="OHK25" s="1271"/>
      <c r="OHL25" s="1271"/>
      <c r="OHM25" s="1271"/>
      <c r="OHN25" s="1271"/>
      <c r="OHO25" s="1271"/>
      <c r="OHP25" s="1271"/>
      <c r="OHQ25" s="1271"/>
      <c r="OHR25" s="1271"/>
      <c r="OHS25" s="1271"/>
      <c r="OHT25" s="1271"/>
      <c r="OHU25" s="1271"/>
      <c r="OHV25" s="1271"/>
      <c r="OHW25" s="1271"/>
      <c r="OHX25" s="1271"/>
      <c r="OHY25" s="1271"/>
      <c r="OHZ25" s="1271"/>
      <c r="OIA25" s="1271"/>
      <c r="OIB25" s="1271"/>
      <c r="OIC25" s="1271"/>
      <c r="OID25" s="1271"/>
      <c r="OIE25" s="1271"/>
      <c r="OIF25" s="1271"/>
      <c r="OIG25" s="1271"/>
      <c r="OIH25" s="1271"/>
      <c r="OII25" s="1271"/>
      <c r="OIJ25" s="1271"/>
      <c r="OIK25" s="1271"/>
      <c r="OIL25" s="1271"/>
      <c r="OIM25" s="1271"/>
      <c r="OIN25" s="1271"/>
      <c r="OIO25" s="1271"/>
      <c r="OIP25" s="1271"/>
      <c r="OIQ25" s="1271"/>
      <c r="OIR25" s="1271"/>
      <c r="OIS25" s="1271"/>
      <c r="OIT25" s="1271"/>
      <c r="OIU25" s="1271"/>
      <c r="OIV25" s="1271"/>
      <c r="OIW25" s="1271"/>
      <c r="OIX25" s="1271"/>
      <c r="OIY25" s="1271"/>
      <c r="OIZ25" s="1271"/>
      <c r="OJA25" s="1271"/>
      <c r="OJB25" s="1271"/>
      <c r="OJC25" s="1271"/>
      <c r="OJD25" s="1271"/>
      <c r="OJE25" s="1271"/>
      <c r="OJF25" s="1271"/>
      <c r="OJG25" s="1271"/>
      <c r="OJH25" s="1271"/>
      <c r="OJI25" s="1271"/>
      <c r="OJJ25" s="1271"/>
      <c r="OJK25" s="1271"/>
      <c r="OJL25" s="1271"/>
      <c r="OJM25" s="1271"/>
      <c r="OJN25" s="1271"/>
      <c r="OJO25" s="1271"/>
      <c r="OJP25" s="1271"/>
      <c r="OJQ25" s="1271"/>
      <c r="OJR25" s="1271"/>
      <c r="OJS25" s="1271"/>
      <c r="OJT25" s="1271"/>
      <c r="OJU25" s="1271"/>
      <c r="OJV25" s="1271"/>
      <c r="OJW25" s="1271"/>
      <c r="OJX25" s="1271"/>
      <c r="OJY25" s="1271"/>
      <c r="OJZ25" s="1271"/>
      <c r="OKA25" s="1271"/>
      <c r="OKB25" s="1271"/>
      <c r="OKC25" s="1271"/>
      <c r="OKD25" s="1271"/>
      <c r="OKE25" s="1271"/>
      <c r="OKF25" s="1271"/>
      <c r="OKG25" s="1271"/>
      <c r="OKH25" s="1271"/>
      <c r="OKI25" s="1271"/>
      <c r="OKJ25" s="1271"/>
      <c r="OKK25" s="1271"/>
      <c r="OKL25" s="1271"/>
      <c r="OKM25" s="1271"/>
      <c r="OKN25" s="1271"/>
      <c r="OKO25" s="1271"/>
      <c r="OKP25" s="1271"/>
      <c r="OKQ25" s="1271"/>
      <c r="OKR25" s="1271"/>
      <c r="OKS25" s="1271"/>
      <c r="OKT25" s="1271"/>
      <c r="OKU25" s="1271"/>
      <c r="OKV25" s="1271"/>
      <c r="OKW25" s="1271"/>
      <c r="OKX25" s="1271"/>
      <c r="OKY25" s="1271"/>
      <c r="OKZ25" s="1271"/>
      <c r="OLA25" s="1271"/>
      <c r="OLB25" s="1271"/>
      <c r="OLC25" s="1271"/>
      <c r="OLD25" s="1271"/>
      <c r="OLE25" s="1271"/>
      <c r="OLF25" s="1271"/>
      <c r="OLG25" s="1271"/>
      <c r="OLH25" s="1271"/>
      <c r="OLI25" s="1271"/>
      <c r="OLJ25" s="1271"/>
      <c r="OLK25" s="1271"/>
      <c r="OLL25" s="1271"/>
      <c r="OLM25" s="1271"/>
      <c r="OLN25" s="1271"/>
      <c r="OLO25" s="1271"/>
      <c r="OLP25" s="1271"/>
      <c r="OLQ25" s="1271"/>
      <c r="OLR25" s="1271"/>
      <c r="OLS25" s="1271"/>
      <c r="OLT25" s="1271"/>
      <c r="OLU25" s="1271"/>
      <c r="OLV25" s="1271"/>
      <c r="OLW25" s="1271"/>
      <c r="OLX25" s="1271"/>
      <c r="OLY25" s="1271"/>
      <c r="OLZ25" s="1271"/>
      <c r="OMA25" s="1271"/>
      <c r="OMB25" s="1271"/>
      <c r="OMC25" s="1271"/>
      <c r="OMD25" s="1271"/>
      <c r="OME25" s="1271"/>
      <c r="OMF25" s="1271"/>
      <c r="OMG25" s="1271"/>
      <c r="OMH25" s="1271"/>
      <c r="OMI25" s="1271"/>
      <c r="OMJ25" s="1271"/>
      <c r="OMK25" s="1271"/>
      <c r="OML25" s="1271"/>
      <c r="OMM25" s="1271"/>
      <c r="OMN25" s="1271"/>
      <c r="OMO25" s="1271"/>
      <c r="OMP25" s="1271"/>
      <c r="OMQ25" s="1271"/>
      <c r="OMR25" s="1271"/>
      <c r="OMS25" s="1271"/>
      <c r="OMT25" s="1271"/>
      <c r="OMU25" s="1271"/>
      <c r="OMV25" s="1271"/>
      <c r="OMW25" s="1271"/>
      <c r="OMX25" s="1271"/>
      <c r="OMY25" s="1271"/>
      <c r="OMZ25" s="1271"/>
      <c r="ONA25" s="1271"/>
      <c r="ONB25" s="1271"/>
      <c r="ONC25" s="1271"/>
      <c r="OND25" s="1271"/>
      <c r="ONE25" s="1271"/>
      <c r="ONF25" s="1271"/>
      <c r="ONG25" s="1271"/>
      <c r="ONH25" s="1271"/>
      <c r="ONI25" s="1271"/>
      <c r="ONJ25" s="1271"/>
      <c r="ONK25" s="1271"/>
      <c r="ONL25" s="1271"/>
      <c r="ONM25" s="1271"/>
      <c r="ONN25" s="1271"/>
      <c r="ONO25" s="1271"/>
      <c r="ONP25" s="1271"/>
      <c r="ONQ25" s="1271"/>
      <c r="ONR25" s="1271"/>
      <c r="ONS25" s="1271"/>
      <c r="ONT25" s="1271"/>
      <c r="ONU25" s="1271"/>
      <c r="ONV25" s="1271"/>
      <c r="ONW25" s="1271"/>
      <c r="ONX25" s="1271"/>
      <c r="ONY25" s="1271"/>
      <c r="ONZ25" s="1271"/>
      <c r="OOA25" s="1271"/>
      <c r="OOB25" s="1271"/>
      <c r="OOC25" s="1271"/>
      <c r="OOD25" s="1271"/>
      <c r="OOE25" s="1271"/>
      <c r="OOF25" s="1271"/>
      <c r="OOG25" s="1271"/>
      <c r="OOH25" s="1271"/>
      <c r="OOI25" s="1271"/>
      <c r="OOJ25" s="1271"/>
      <c r="OOK25" s="1271"/>
      <c r="OOL25" s="1271"/>
      <c r="OOM25" s="1271"/>
      <c r="OON25" s="1271"/>
      <c r="OOO25" s="1271"/>
      <c r="OOP25" s="1271"/>
      <c r="OOQ25" s="1271"/>
      <c r="OOR25" s="1271"/>
      <c r="OOS25" s="1271"/>
      <c r="OOT25" s="1271"/>
      <c r="OOU25" s="1271"/>
      <c r="OOV25" s="1271"/>
      <c r="OOW25" s="1271"/>
      <c r="OOX25" s="1271"/>
      <c r="OOY25" s="1271"/>
      <c r="OOZ25" s="1271"/>
      <c r="OPA25" s="1271"/>
      <c r="OPB25" s="1271"/>
      <c r="OPC25" s="1271"/>
      <c r="OPD25" s="1271"/>
      <c r="OPE25" s="1271"/>
      <c r="OPF25" s="1271"/>
      <c r="OPG25" s="1271"/>
      <c r="OPH25" s="1271"/>
      <c r="OPI25" s="1271"/>
      <c r="OPJ25" s="1271"/>
      <c r="OPK25" s="1271"/>
      <c r="OPL25" s="1271"/>
      <c r="OPM25" s="1271"/>
      <c r="OPN25" s="1271"/>
      <c r="OPO25" s="1271"/>
      <c r="OPP25" s="1271"/>
      <c r="OPQ25" s="1271"/>
      <c r="OPR25" s="1271"/>
      <c r="OPS25" s="1271"/>
      <c r="OPT25" s="1271"/>
      <c r="OPU25" s="1271"/>
      <c r="OPV25" s="1271"/>
      <c r="OPW25" s="1271"/>
      <c r="OPX25" s="1271"/>
      <c r="OPY25" s="1271"/>
      <c r="OPZ25" s="1271"/>
      <c r="OQA25" s="1271"/>
      <c r="OQB25" s="1271"/>
      <c r="OQC25" s="1271"/>
      <c r="OQD25" s="1271"/>
      <c r="OQE25" s="1271"/>
      <c r="OQF25" s="1271"/>
      <c r="OQG25" s="1271"/>
      <c r="OQH25" s="1271"/>
      <c r="OQI25" s="1271"/>
      <c r="OQJ25" s="1271"/>
      <c r="OQK25" s="1271"/>
      <c r="OQL25" s="1271"/>
      <c r="OQM25" s="1271"/>
      <c r="OQN25" s="1271"/>
      <c r="OQO25" s="1271"/>
      <c r="OQP25" s="1271"/>
      <c r="OQQ25" s="1271"/>
      <c r="OQR25" s="1271"/>
      <c r="OQS25" s="1271"/>
      <c r="OQT25" s="1271"/>
      <c r="OQU25" s="1271"/>
      <c r="OQV25" s="1271"/>
      <c r="OQW25" s="1271"/>
      <c r="OQX25" s="1271"/>
      <c r="OQY25" s="1271"/>
      <c r="OQZ25" s="1271"/>
      <c r="ORA25" s="1271"/>
      <c r="ORB25" s="1271"/>
      <c r="ORC25" s="1271"/>
      <c r="ORD25" s="1271"/>
      <c r="ORE25" s="1271"/>
      <c r="ORF25" s="1271"/>
      <c r="ORG25" s="1271"/>
      <c r="ORH25" s="1271"/>
      <c r="ORI25" s="1271"/>
      <c r="ORJ25" s="1271"/>
      <c r="ORK25" s="1271"/>
      <c r="ORL25" s="1271"/>
      <c r="ORM25" s="1271"/>
      <c r="ORN25" s="1271"/>
      <c r="ORO25" s="1271"/>
      <c r="ORP25" s="1271"/>
      <c r="ORQ25" s="1271"/>
      <c r="ORR25" s="1271"/>
      <c r="ORS25" s="1271"/>
      <c r="ORT25" s="1271"/>
      <c r="ORU25" s="1271"/>
      <c r="ORV25" s="1271"/>
      <c r="ORW25" s="1271"/>
      <c r="ORX25" s="1271"/>
      <c r="ORY25" s="1271"/>
      <c r="ORZ25" s="1271"/>
      <c r="OSA25" s="1271"/>
      <c r="OSB25" s="1271"/>
      <c r="OSC25" s="1271"/>
      <c r="OSD25" s="1271"/>
      <c r="OSE25" s="1271"/>
      <c r="OSF25" s="1271"/>
      <c r="OSG25" s="1271"/>
      <c r="OSH25" s="1271"/>
      <c r="OSI25" s="1271"/>
      <c r="OSJ25" s="1271"/>
      <c r="OSK25" s="1271"/>
      <c r="OSL25" s="1271"/>
      <c r="OSM25" s="1271"/>
      <c r="OSN25" s="1271"/>
      <c r="OSO25" s="1271"/>
      <c r="OSP25" s="1271"/>
      <c r="OSQ25" s="1271"/>
      <c r="OSR25" s="1271"/>
      <c r="OSS25" s="1271"/>
      <c r="OST25" s="1271"/>
      <c r="OSU25" s="1271"/>
      <c r="OSV25" s="1271"/>
      <c r="OSW25" s="1271"/>
      <c r="OSX25" s="1271"/>
      <c r="OSY25" s="1271"/>
      <c r="OSZ25" s="1271"/>
      <c r="OTA25" s="1271"/>
      <c r="OTB25" s="1271"/>
      <c r="OTC25" s="1271"/>
      <c r="OTD25" s="1271"/>
      <c r="OTE25" s="1271"/>
      <c r="OTF25" s="1271"/>
      <c r="OTG25" s="1271"/>
      <c r="OTH25" s="1271"/>
      <c r="OTI25" s="1271"/>
      <c r="OTJ25" s="1271"/>
      <c r="OTK25" s="1271"/>
      <c r="OTL25" s="1271"/>
      <c r="OTM25" s="1271"/>
      <c r="OTN25" s="1271"/>
      <c r="OTO25" s="1271"/>
      <c r="OTP25" s="1271"/>
      <c r="OTQ25" s="1271"/>
      <c r="OTR25" s="1271"/>
      <c r="OTS25" s="1271"/>
      <c r="OTT25" s="1271"/>
      <c r="OTU25" s="1271"/>
      <c r="OTV25" s="1271"/>
      <c r="OTW25" s="1271"/>
      <c r="OTX25" s="1271"/>
      <c r="OTY25" s="1271"/>
      <c r="OTZ25" s="1271"/>
      <c r="OUA25" s="1271"/>
      <c r="OUB25" s="1271"/>
      <c r="OUC25" s="1271"/>
      <c r="OUD25" s="1271"/>
      <c r="OUE25" s="1271"/>
      <c r="OUF25" s="1271"/>
      <c r="OUG25" s="1271"/>
      <c r="OUH25" s="1271"/>
      <c r="OUI25" s="1271"/>
      <c r="OUJ25" s="1271"/>
      <c r="OUK25" s="1271"/>
      <c r="OUL25" s="1271"/>
      <c r="OUM25" s="1271"/>
      <c r="OUN25" s="1271"/>
      <c r="OUO25" s="1271"/>
      <c r="OUP25" s="1271"/>
      <c r="OUQ25" s="1271"/>
      <c r="OUR25" s="1271"/>
      <c r="OUS25" s="1271"/>
      <c r="OUT25" s="1271"/>
      <c r="OUU25" s="1271"/>
      <c r="OUV25" s="1271"/>
      <c r="OUW25" s="1271"/>
      <c r="OUX25" s="1271"/>
      <c r="OUY25" s="1271"/>
      <c r="OUZ25" s="1271"/>
      <c r="OVA25" s="1271"/>
      <c r="OVB25" s="1271"/>
      <c r="OVC25" s="1271"/>
      <c r="OVD25" s="1271"/>
      <c r="OVE25" s="1271"/>
      <c r="OVF25" s="1271"/>
      <c r="OVG25" s="1271"/>
      <c r="OVH25" s="1271"/>
      <c r="OVI25" s="1271"/>
      <c r="OVJ25" s="1271"/>
      <c r="OVK25" s="1271"/>
      <c r="OVL25" s="1271"/>
      <c r="OVM25" s="1271"/>
      <c r="OVN25" s="1271"/>
      <c r="OVO25" s="1271"/>
      <c r="OVP25" s="1271"/>
      <c r="OVQ25" s="1271"/>
      <c r="OVR25" s="1271"/>
      <c r="OVS25" s="1271"/>
      <c r="OVT25" s="1271"/>
      <c r="OVU25" s="1271"/>
      <c r="OVV25" s="1271"/>
      <c r="OVW25" s="1271"/>
      <c r="OVX25" s="1271"/>
      <c r="OVY25" s="1271"/>
      <c r="OVZ25" s="1271"/>
      <c r="OWA25" s="1271"/>
      <c r="OWB25" s="1271"/>
      <c r="OWC25" s="1271"/>
      <c r="OWD25" s="1271"/>
      <c r="OWE25" s="1271"/>
      <c r="OWF25" s="1271"/>
      <c r="OWG25" s="1271"/>
      <c r="OWH25" s="1271"/>
      <c r="OWI25" s="1271"/>
      <c r="OWJ25" s="1271"/>
      <c r="OWK25" s="1271"/>
      <c r="OWL25" s="1271"/>
      <c r="OWM25" s="1271"/>
      <c r="OWN25" s="1271"/>
      <c r="OWO25" s="1271"/>
      <c r="OWP25" s="1271"/>
      <c r="OWQ25" s="1271"/>
      <c r="OWR25" s="1271"/>
      <c r="OWS25" s="1271"/>
      <c r="OWT25" s="1271"/>
      <c r="OWU25" s="1271"/>
      <c r="OWV25" s="1271"/>
      <c r="OWW25" s="1271"/>
      <c r="OWX25" s="1271"/>
      <c r="OWY25" s="1271"/>
      <c r="OWZ25" s="1271"/>
      <c r="OXA25" s="1271"/>
      <c r="OXB25" s="1271"/>
      <c r="OXC25" s="1271"/>
      <c r="OXD25" s="1271"/>
      <c r="OXE25" s="1271"/>
      <c r="OXF25" s="1271"/>
      <c r="OXG25" s="1271"/>
      <c r="OXH25" s="1271"/>
      <c r="OXI25" s="1271"/>
      <c r="OXJ25" s="1271"/>
      <c r="OXK25" s="1271"/>
      <c r="OXL25" s="1271"/>
      <c r="OXM25" s="1271"/>
      <c r="OXN25" s="1271"/>
      <c r="OXO25" s="1271"/>
      <c r="OXP25" s="1271"/>
      <c r="OXQ25" s="1271"/>
      <c r="OXR25" s="1271"/>
      <c r="OXS25" s="1271"/>
      <c r="OXT25" s="1271"/>
      <c r="OXU25" s="1271"/>
      <c r="OXV25" s="1271"/>
      <c r="OXW25" s="1271"/>
      <c r="OXX25" s="1271"/>
      <c r="OXY25" s="1271"/>
      <c r="OXZ25" s="1271"/>
      <c r="OYA25" s="1271"/>
      <c r="OYB25" s="1271"/>
      <c r="OYC25" s="1271"/>
      <c r="OYD25" s="1271"/>
      <c r="OYE25" s="1271"/>
      <c r="OYF25" s="1271"/>
      <c r="OYG25" s="1271"/>
      <c r="OYH25" s="1271"/>
      <c r="OYI25" s="1271"/>
      <c r="OYJ25" s="1271"/>
      <c r="OYK25" s="1271"/>
      <c r="OYL25" s="1271"/>
      <c r="OYM25" s="1271"/>
      <c r="OYN25" s="1271"/>
      <c r="OYO25" s="1271"/>
      <c r="OYP25" s="1271"/>
      <c r="OYQ25" s="1271"/>
      <c r="OYR25" s="1271"/>
      <c r="OYS25" s="1271"/>
      <c r="OYT25" s="1271"/>
      <c r="OYU25" s="1271"/>
      <c r="OYV25" s="1271"/>
      <c r="OYW25" s="1271"/>
      <c r="OYX25" s="1271"/>
      <c r="OYY25" s="1271"/>
      <c r="OYZ25" s="1271"/>
      <c r="OZA25" s="1271"/>
      <c r="OZB25" s="1271"/>
      <c r="OZC25" s="1271"/>
      <c r="OZD25" s="1271"/>
      <c r="OZE25" s="1271"/>
      <c r="OZF25" s="1271"/>
      <c r="OZG25" s="1271"/>
      <c r="OZH25" s="1271"/>
      <c r="OZI25" s="1271"/>
      <c r="OZJ25" s="1271"/>
      <c r="OZK25" s="1271"/>
      <c r="OZL25" s="1271"/>
      <c r="OZM25" s="1271"/>
      <c r="OZN25" s="1271"/>
      <c r="OZO25" s="1271"/>
      <c r="OZP25" s="1271"/>
      <c r="OZQ25" s="1271"/>
      <c r="OZR25" s="1271"/>
      <c r="OZS25" s="1271"/>
      <c r="OZT25" s="1271"/>
      <c r="OZU25" s="1271"/>
      <c r="OZV25" s="1271"/>
      <c r="OZW25" s="1271"/>
      <c r="OZX25" s="1271"/>
      <c r="OZY25" s="1271"/>
      <c r="OZZ25" s="1271"/>
      <c r="PAA25" s="1271"/>
      <c r="PAB25" s="1271"/>
      <c r="PAC25" s="1271"/>
      <c r="PAD25" s="1271"/>
      <c r="PAE25" s="1271"/>
      <c r="PAF25" s="1271"/>
      <c r="PAG25" s="1271"/>
      <c r="PAH25" s="1271"/>
      <c r="PAI25" s="1271"/>
      <c r="PAJ25" s="1271"/>
      <c r="PAK25" s="1271"/>
      <c r="PAL25" s="1271"/>
      <c r="PAM25" s="1271"/>
      <c r="PAN25" s="1271"/>
      <c r="PAO25" s="1271"/>
      <c r="PAP25" s="1271"/>
      <c r="PAQ25" s="1271"/>
      <c r="PAR25" s="1271"/>
      <c r="PAS25" s="1271"/>
      <c r="PAT25" s="1271"/>
      <c r="PAU25" s="1271"/>
      <c r="PAV25" s="1271"/>
      <c r="PAW25" s="1271"/>
      <c r="PAX25" s="1271"/>
      <c r="PAY25" s="1271"/>
      <c r="PAZ25" s="1271"/>
      <c r="PBA25" s="1271"/>
      <c r="PBB25" s="1271"/>
      <c r="PBC25" s="1271"/>
      <c r="PBD25" s="1271"/>
      <c r="PBE25" s="1271"/>
      <c r="PBF25" s="1271"/>
      <c r="PBG25" s="1271"/>
      <c r="PBH25" s="1271"/>
      <c r="PBI25" s="1271"/>
      <c r="PBJ25" s="1271"/>
      <c r="PBK25" s="1271"/>
      <c r="PBL25" s="1271"/>
      <c r="PBM25" s="1271"/>
      <c r="PBN25" s="1271"/>
      <c r="PBO25" s="1271"/>
      <c r="PBP25" s="1271"/>
      <c r="PBQ25" s="1271"/>
      <c r="PBR25" s="1271"/>
      <c r="PBS25" s="1271"/>
      <c r="PBT25" s="1271"/>
      <c r="PBU25" s="1271"/>
      <c r="PBV25" s="1271"/>
      <c r="PBW25" s="1271"/>
      <c r="PBX25" s="1271"/>
      <c r="PBY25" s="1271"/>
      <c r="PBZ25" s="1271"/>
      <c r="PCA25" s="1271"/>
      <c r="PCB25" s="1271"/>
      <c r="PCC25" s="1271"/>
      <c r="PCD25" s="1271"/>
      <c r="PCE25" s="1271"/>
      <c r="PCF25" s="1271"/>
      <c r="PCG25" s="1271"/>
      <c r="PCH25" s="1271"/>
      <c r="PCI25" s="1271"/>
      <c r="PCJ25" s="1271"/>
      <c r="PCK25" s="1271"/>
      <c r="PCL25" s="1271"/>
      <c r="PCM25" s="1271"/>
      <c r="PCN25" s="1271"/>
      <c r="PCO25" s="1271"/>
      <c r="PCP25" s="1271"/>
      <c r="PCQ25" s="1271"/>
      <c r="PCR25" s="1271"/>
      <c r="PCS25" s="1271"/>
      <c r="PCT25" s="1271"/>
      <c r="PCU25" s="1271"/>
      <c r="PCV25" s="1271"/>
      <c r="PCW25" s="1271"/>
      <c r="PCX25" s="1271"/>
      <c r="PCY25" s="1271"/>
      <c r="PCZ25" s="1271"/>
      <c r="PDA25" s="1271"/>
      <c r="PDB25" s="1271"/>
      <c r="PDC25" s="1271"/>
      <c r="PDD25" s="1271"/>
      <c r="PDE25" s="1271"/>
      <c r="PDF25" s="1271"/>
      <c r="PDG25" s="1271"/>
      <c r="PDH25" s="1271"/>
      <c r="PDI25" s="1271"/>
      <c r="PDJ25" s="1271"/>
      <c r="PDK25" s="1271"/>
      <c r="PDL25" s="1271"/>
      <c r="PDM25" s="1271"/>
      <c r="PDN25" s="1271"/>
      <c r="PDO25" s="1271"/>
      <c r="PDP25" s="1271"/>
      <c r="PDQ25" s="1271"/>
      <c r="PDR25" s="1271"/>
      <c r="PDS25" s="1271"/>
      <c r="PDT25" s="1271"/>
      <c r="PDU25" s="1271"/>
      <c r="PDV25" s="1271"/>
      <c r="PDW25" s="1271"/>
      <c r="PDX25" s="1271"/>
      <c r="PDY25" s="1271"/>
      <c r="PDZ25" s="1271"/>
      <c r="PEA25" s="1271"/>
      <c r="PEB25" s="1271"/>
      <c r="PEC25" s="1271"/>
      <c r="PED25" s="1271"/>
      <c r="PEE25" s="1271"/>
      <c r="PEF25" s="1271"/>
      <c r="PEG25" s="1271"/>
      <c r="PEH25" s="1271"/>
      <c r="PEI25" s="1271"/>
      <c r="PEJ25" s="1271"/>
      <c r="PEK25" s="1271"/>
      <c r="PEL25" s="1271"/>
      <c r="PEM25" s="1271"/>
      <c r="PEN25" s="1271"/>
      <c r="PEO25" s="1271"/>
      <c r="PEP25" s="1271"/>
      <c r="PEQ25" s="1271"/>
      <c r="PER25" s="1271"/>
      <c r="PES25" s="1271"/>
      <c r="PET25" s="1271"/>
      <c r="PEU25" s="1271"/>
      <c r="PEV25" s="1271"/>
      <c r="PEW25" s="1271"/>
      <c r="PEX25" s="1271"/>
      <c r="PEY25" s="1271"/>
      <c r="PEZ25" s="1271"/>
      <c r="PFA25" s="1271"/>
      <c r="PFB25" s="1271"/>
      <c r="PFC25" s="1271"/>
      <c r="PFD25" s="1271"/>
      <c r="PFE25" s="1271"/>
      <c r="PFF25" s="1271"/>
      <c r="PFG25" s="1271"/>
      <c r="PFH25" s="1271"/>
      <c r="PFI25" s="1271"/>
      <c r="PFJ25" s="1271"/>
      <c r="PFK25" s="1271"/>
      <c r="PFL25" s="1271"/>
      <c r="PFM25" s="1271"/>
      <c r="PFN25" s="1271"/>
      <c r="PFO25" s="1271"/>
      <c r="PFP25" s="1271"/>
      <c r="PFQ25" s="1271"/>
      <c r="PFR25" s="1271"/>
      <c r="PFS25" s="1271"/>
      <c r="PFT25" s="1271"/>
      <c r="PFU25" s="1271"/>
      <c r="PFV25" s="1271"/>
      <c r="PFW25" s="1271"/>
      <c r="PFX25" s="1271"/>
      <c r="PFY25" s="1271"/>
      <c r="PFZ25" s="1271"/>
      <c r="PGA25" s="1271"/>
      <c r="PGB25" s="1271"/>
      <c r="PGC25" s="1271"/>
      <c r="PGD25" s="1271"/>
      <c r="PGE25" s="1271"/>
      <c r="PGF25" s="1271"/>
      <c r="PGG25" s="1271"/>
      <c r="PGH25" s="1271"/>
      <c r="PGI25" s="1271"/>
      <c r="PGJ25" s="1271"/>
      <c r="PGK25" s="1271"/>
      <c r="PGL25" s="1271"/>
      <c r="PGM25" s="1271"/>
      <c r="PGN25" s="1271"/>
      <c r="PGO25" s="1271"/>
      <c r="PGP25" s="1271"/>
      <c r="PGQ25" s="1271"/>
      <c r="PGR25" s="1271"/>
      <c r="PGS25" s="1271"/>
      <c r="PGT25" s="1271"/>
      <c r="PGU25" s="1271"/>
      <c r="PGV25" s="1271"/>
      <c r="PGW25" s="1271"/>
      <c r="PGX25" s="1271"/>
      <c r="PGY25" s="1271"/>
      <c r="PGZ25" s="1271"/>
      <c r="PHA25" s="1271"/>
      <c r="PHB25" s="1271"/>
      <c r="PHC25" s="1271"/>
      <c r="PHD25" s="1271"/>
      <c r="PHE25" s="1271"/>
      <c r="PHF25" s="1271"/>
      <c r="PHG25" s="1271"/>
      <c r="PHH25" s="1271"/>
      <c r="PHI25" s="1271"/>
      <c r="PHJ25" s="1271"/>
      <c r="PHK25" s="1271"/>
      <c r="PHL25" s="1271"/>
      <c r="PHM25" s="1271"/>
      <c r="PHN25" s="1271"/>
      <c r="PHO25" s="1271"/>
      <c r="PHP25" s="1271"/>
      <c r="PHQ25" s="1271"/>
      <c r="PHR25" s="1271"/>
      <c r="PHS25" s="1271"/>
      <c r="PHT25" s="1271"/>
      <c r="PHU25" s="1271"/>
      <c r="PHV25" s="1271"/>
      <c r="PHW25" s="1271"/>
      <c r="PHX25" s="1271"/>
      <c r="PHY25" s="1271"/>
      <c r="PHZ25" s="1271"/>
      <c r="PIA25" s="1271"/>
      <c r="PIB25" s="1271"/>
      <c r="PIC25" s="1271"/>
      <c r="PID25" s="1271"/>
      <c r="PIE25" s="1271"/>
      <c r="PIF25" s="1271"/>
      <c r="PIG25" s="1271"/>
      <c r="PIH25" s="1271"/>
      <c r="PII25" s="1271"/>
      <c r="PIJ25" s="1271"/>
      <c r="PIK25" s="1271"/>
      <c r="PIL25" s="1271"/>
      <c r="PIM25" s="1271"/>
      <c r="PIN25" s="1271"/>
      <c r="PIO25" s="1271"/>
      <c r="PIP25" s="1271"/>
      <c r="PIQ25" s="1271"/>
      <c r="PIR25" s="1271"/>
      <c r="PIS25" s="1271"/>
      <c r="PIT25" s="1271"/>
      <c r="PIU25" s="1271"/>
      <c r="PIV25" s="1271"/>
      <c r="PIW25" s="1271"/>
      <c r="PIX25" s="1271"/>
      <c r="PIY25" s="1271"/>
      <c r="PIZ25" s="1271"/>
      <c r="PJA25" s="1271"/>
      <c r="PJB25" s="1271"/>
      <c r="PJC25" s="1271"/>
      <c r="PJD25" s="1271"/>
      <c r="PJE25" s="1271"/>
      <c r="PJF25" s="1271"/>
      <c r="PJG25" s="1271"/>
      <c r="PJH25" s="1271"/>
      <c r="PJI25" s="1271"/>
      <c r="PJJ25" s="1271"/>
      <c r="PJK25" s="1271"/>
      <c r="PJL25" s="1271"/>
      <c r="PJM25" s="1271"/>
      <c r="PJN25" s="1271"/>
      <c r="PJO25" s="1271"/>
      <c r="PJP25" s="1271"/>
      <c r="PJQ25" s="1271"/>
      <c r="PJR25" s="1271"/>
      <c r="PJS25" s="1271"/>
      <c r="PJT25" s="1271"/>
      <c r="PJU25" s="1271"/>
      <c r="PJV25" s="1271"/>
      <c r="PJW25" s="1271"/>
      <c r="PJX25" s="1271"/>
      <c r="PJY25" s="1271"/>
      <c r="PJZ25" s="1271"/>
      <c r="PKA25" s="1271"/>
      <c r="PKB25" s="1271"/>
      <c r="PKC25" s="1271"/>
      <c r="PKD25" s="1271"/>
      <c r="PKE25" s="1271"/>
      <c r="PKF25" s="1271"/>
      <c r="PKG25" s="1271"/>
      <c r="PKH25" s="1271"/>
      <c r="PKI25" s="1271"/>
      <c r="PKJ25" s="1271"/>
      <c r="PKK25" s="1271"/>
      <c r="PKL25" s="1271"/>
      <c r="PKM25" s="1271"/>
      <c r="PKN25" s="1271"/>
      <c r="PKO25" s="1271"/>
      <c r="PKP25" s="1271"/>
      <c r="PKQ25" s="1271"/>
      <c r="PKR25" s="1271"/>
      <c r="PKS25" s="1271"/>
      <c r="PKT25" s="1271"/>
      <c r="PKU25" s="1271"/>
      <c r="PKV25" s="1271"/>
      <c r="PKW25" s="1271"/>
      <c r="PKX25" s="1271"/>
      <c r="PKY25" s="1271"/>
      <c r="PKZ25" s="1271"/>
      <c r="PLA25" s="1271"/>
      <c r="PLB25" s="1271"/>
      <c r="PLC25" s="1271"/>
      <c r="PLD25" s="1271"/>
      <c r="PLE25" s="1271"/>
      <c r="PLF25" s="1271"/>
      <c r="PLG25" s="1271"/>
      <c r="PLH25" s="1271"/>
      <c r="PLI25" s="1271"/>
      <c r="PLJ25" s="1271"/>
      <c r="PLK25" s="1271"/>
      <c r="PLL25" s="1271"/>
      <c r="PLM25" s="1271"/>
      <c r="PLN25" s="1271"/>
      <c r="PLO25" s="1271"/>
      <c r="PLP25" s="1271"/>
      <c r="PLQ25" s="1271"/>
      <c r="PLR25" s="1271"/>
      <c r="PLS25" s="1271"/>
      <c r="PLT25" s="1271"/>
      <c r="PLU25" s="1271"/>
      <c r="PLV25" s="1271"/>
      <c r="PLW25" s="1271"/>
      <c r="PLX25" s="1271"/>
      <c r="PLY25" s="1271"/>
      <c r="PLZ25" s="1271"/>
      <c r="PMA25" s="1271"/>
      <c r="PMB25" s="1271"/>
      <c r="PMC25" s="1271"/>
      <c r="PMD25" s="1271"/>
      <c r="PME25" s="1271"/>
      <c r="PMF25" s="1271"/>
      <c r="PMG25" s="1271"/>
      <c r="PMH25" s="1271"/>
      <c r="PMI25" s="1271"/>
      <c r="PMJ25" s="1271"/>
      <c r="PMK25" s="1271"/>
      <c r="PML25" s="1271"/>
      <c r="PMM25" s="1271"/>
      <c r="PMN25" s="1271"/>
      <c r="PMO25" s="1271"/>
      <c r="PMP25" s="1271"/>
      <c r="PMQ25" s="1271"/>
      <c r="PMR25" s="1271"/>
      <c r="PMS25" s="1271"/>
      <c r="PMT25" s="1271"/>
      <c r="PMU25" s="1271"/>
      <c r="PMV25" s="1271"/>
      <c r="PMW25" s="1271"/>
      <c r="PMX25" s="1271"/>
      <c r="PMY25" s="1271"/>
      <c r="PMZ25" s="1271"/>
      <c r="PNA25" s="1271"/>
      <c r="PNB25" s="1271"/>
      <c r="PNC25" s="1271"/>
      <c r="PND25" s="1271"/>
      <c r="PNE25" s="1271"/>
      <c r="PNF25" s="1271"/>
      <c r="PNG25" s="1271"/>
      <c r="PNH25" s="1271"/>
      <c r="PNI25" s="1271"/>
      <c r="PNJ25" s="1271"/>
      <c r="PNK25" s="1271"/>
      <c r="PNL25" s="1271"/>
      <c r="PNM25" s="1271"/>
      <c r="PNN25" s="1271"/>
      <c r="PNO25" s="1271"/>
      <c r="PNP25" s="1271"/>
      <c r="PNQ25" s="1271"/>
      <c r="PNR25" s="1271"/>
      <c r="PNS25" s="1271"/>
      <c r="PNT25" s="1271"/>
      <c r="PNU25" s="1271"/>
      <c r="PNV25" s="1271"/>
      <c r="PNW25" s="1271"/>
      <c r="PNX25" s="1271"/>
      <c r="PNY25" s="1271"/>
      <c r="PNZ25" s="1271"/>
      <c r="POA25" s="1271"/>
      <c r="POB25" s="1271"/>
      <c r="POC25" s="1271"/>
      <c r="POD25" s="1271"/>
      <c r="POE25" s="1271"/>
      <c r="POF25" s="1271"/>
      <c r="POG25" s="1271"/>
      <c r="POH25" s="1271"/>
      <c r="POI25" s="1271"/>
      <c r="POJ25" s="1271"/>
      <c r="POK25" s="1271"/>
      <c r="POL25" s="1271"/>
      <c r="POM25" s="1271"/>
      <c r="PON25" s="1271"/>
      <c r="POO25" s="1271"/>
      <c r="POP25" s="1271"/>
      <c r="POQ25" s="1271"/>
      <c r="POR25" s="1271"/>
      <c r="POS25" s="1271"/>
      <c r="POT25" s="1271"/>
      <c r="POU25" s="1271"/>
      <c r="POV25" s="1271"/>
      <c r="POW25" s="1271"/>
      <c r="POX25" s="1271"/>
      <c r="POY25" s="1271"/>
      <c r="POZ25" s="1271"/>
      <c r="PPA25" s="1271"/>
      <c r="PPB25" s="1271"/>
      <c r="PPC25" s="1271"/>
      <c r="PPD25" s="1271"/>
      <c r="PPE25" s="1271"/>
      <c r="PPF25" s="1271"/>
      <c r="PPG25" s="1271"/>
      <c r="PPH25" s="1271"/>
      <c r="PPI25" s="1271"/>
      <c r="PPJ25" s="1271"/>
      <c r="PPK25" s="1271"/>
      <c r="PPL25" s="1271"/>
      <c r="PPM25" s="1271"/>
      <c r="PPN25" s="1271"/>
      <c r="PPO25" s="1271"/>
      <c r="PPP25" s="1271"/>
      <c r="PPQ25" s="1271"/>
      <c r="PPR25" s="1271"/>
      <c r="PPS25" s="1271"/>
      <c r="PPT25" s="1271"/>
      <c r="PPU25" s="1271"/>
      <c r="PPV25" s="1271"/>
      <c r="PPW25" s="1271"/>
      <c r="PPX25" s="1271"/>
      <c r="PPY25" s="1271"/>
      <c r="PPZ25" s="1271"/>
      <c r="PQA25" s="1271"/>
      <c r="PQB25" s="1271"/>
      <c r="PQC25" s="1271"/>
      <c r="PQD25" s="1271"/>
      <c r="PQE25" s="1271"/>
      <c r="PQF25" s="1271"/>
      <c r="PQG25" s="1271"/>
      <c r="PQH25" s="1271"/>
      <c r="PQI25" s="1271"/>
      <c r="PQJ25" s="1271"/>
      <c r="PQK25" s="1271"/>
      <c r="PQL25" s="1271"/>
      <c r="PQM25" s="1271"/>
      <c r="PQN25" s="1271"/>
      <c r="PQO25" s="1271"/>
      <c r="PQP25" s="1271"/>
      <c r="PQQ25" s="1271"/>
      <c r="PQR25" s="1271"/>
      <c r="PQS25" s="1271"/>
      <c r="PQT25" s="1271"/>
      <c r="PQU25" s="1271"/>
      <c r="PQV25" s="1271"/>
      <c r="PQW25" s="1271"/>
      <c r="PQX25" s="1271"/>
      <c r="PQY25" s="1271"/>
      <c r="PQZ25" s="1271"/>
      <c r="PRA25" s="1271"/>
      <c r="PRB25" s="1271"/>
      <c r="PRC25" s="1271"/>
      <c r="PRD25" s="1271"/>
      <c r="PRE25" s="1271"/>
      <c r="PRF25" s="1271"/>
      <c r="PRG25" s="1271"/>
      <c r="PRH25" s="1271"/>
      <c r="PRI25" s="1271"/>
      <c r="PRJ25" s="1271"/>
      <c r="PRK25" s="1271"/>
      <c r="PRL25" s="1271"/>
      <c r="PRM25" s="1271"/>
      <c r="PRN25" s="1271"/>
      <c r="PRO25" s="1271"/>
      <c r="PRP25" s="1271"/>
      <c r="PRQ25" s="1271"/>
      <c r="PRR25" s="1271"/>
      <c r="PRS25" s="1271"/>
      <c r="PRT25" s="1271"/>
      <c r="PRU25" s="1271"/>
      <c r="PRV25" s="1271"/>
      <c r="PRW25" s="1271"/>
      <c r="PRX25" s="1271"/>
      <c r="PRY25" s="1271"/>
      <c r="PRZ25" s="1271"/>
      <c r="PSA25" s="1271"/>
      <c r="PSB25" s="1271"/>
      <c r="PSC25" s="1271"/>
      <c r="PSD25" s="1271"/>
      <c r="PSE25" s="1271"/>
      <c r="PSF25" s="1271"/>
      <c r="PSG25" s="1271"/>
      <c r="PSH25" s="1271"/>
      <c r="PSI25" s="1271"/>
      <c r="PSJ25" s="1271"/>
      <c r="PSK25" s="1271"/>
      <c r="PSL25" s="1271"/>
      <c r="PSM25" s="1271"/>
      <c r="PSN25" s="1271"/>
      <c r="PSO25" s="1271"/>
      <c r="PSP25" s="1271"/>
      <c r="PSQ25" s="1271"/>
      <c r="PSR25" s="1271"/>
      <c r="PSS25" s="1271"/>
      <c r="PST25" s="1271"/>
      <c r="PSU25" s="1271"/>
      <c r="PSV25" s="1271"/>
      <c r="PSW25" s="1271"/>
      <c r="PSX25" s="1271"/>
      <c r="PSY25" s="1271"/>
      <c r="PSZ25" s="1271"/>
      <c r="PTA25" s="1271"/>
      <c r="PTB25" s="1271"/>
      <c r="PTC25" s="1271"/>
      <c r="PTD25" s="1271"/>
      <c r="PTE25" s="1271"/>
      <c r="PTF25" s="1271"/>
      <c r="PTG25" s="1271"/>
      <c r="PTH25" s="1271"/>
      <c r="PTI25" s="1271"/>
      <c r="PTJ25" s="1271"/>
      <c r="PTK25" s="1271"/>
      <c r="PTL25" s="1271"/>
      <c r="PTM25" s="1271"/>
      <c r="PTN25" s="1271"/>
      <c r="PTO25" s="1271"/>
      <c r="PTP25" s="1271"/>
      <c r="PTQ25" s="1271"/>
      <c r="PTR25" s="1271"/>
      <c r="PTS25" s="1271"/>
      <c r="PTT25" s="1271"/>
      <c r="PTU25" s="1271"/>
      <c r="PTV25" s="1271"/>
      <c r="PTW25" s="1271"/>
      <c r="PTX25" s="1271"/>
      <c r="PTY25" s="1271"/>
      <c r="PTZ25" s="1271"/>
      <c r="PUA25" s="1271"/>
      <c r="PUB25" s="1271"/>
      <c r="PUC25" s="1271"/>
      <c r="PUD25" s="1271"/>
      <c r="PUE25" s="1271"/>
      <c r="PUF25" s="1271"/>
      <c r="PUG25" s="1271"/>
      <c r="PUH25" s="1271"/>
      <c r="PUI25" s="1271"/>
      <c r="PUJ25" s="1271"/>
      <c r="PUK25" s="1271"/>
      <c r="PUL25" s="1271"/>
      <c r="PUM25" s="1271"/>
      <c r="PUN25" s="1271"/>
      <c r="PUO25" s="1271"/>
      <c r="PUP25" s="1271"/>
      <c r="PUQ25" s="1271"/>
      <c r="PUR25" s="1271"/>
      <c r="PUS25" s="1271"/>
      <c r="PUT25" s="1271"/>
      <c r="PUU25" s="1271"/>
      <c r="PUV25" s="1271"/>
      <c r="PUW25" s="1271"/>
      <c r="PUX25" s="1271"/>
      <c r="PUY25" s="1271"/>
      <c r="PUZ25" s="1271"/>
      <c r="PVA25" s="1271"/>
      <c r="PVB25" s="1271"/>
      <c r="PVC25" s="1271"/>
      <c r="PVD25" s="1271"/>
      <c r="PVE25" s="1271"/>
      <c r="PVF25" s="1271"/>
      <c r="PVG25" s="1271"/>
      <c r="PVH25" s="1271"/>
      <c r="PVI25" s="1271"/>
      <c r="PVJ25" s="1271"/>
      <c r="PVK25" s="1271"/>
      <c r="PVL25" s="1271"/>
      <c r="PVM25" s="1271"/>
      <c r="PVN25" s="1271"/>
      <c r="PVO25" s="1271"/>
      <c r="PVP25" s="1271"/>
      <c r="PVQ25" s="1271"/>
      <c r="PVR25" s="1271"/>
      <c r="PVS25" s="1271"/>
      <c r="PVT25" s="1271"/>
      <c r="PVU25" s="1271"/>
      <c r="PVV25" s="1271"/>
      <c r="PVW25" s="1271"/>
      <c r="PVX25" s="1271"/>
      <c r="PVY25" s="1271"/>
      <c r="PVZ25" s="1271"/>
      <c r="PWA25" s="1271"/>
      <c r="PWB25" s="1271"/>
      <c r="PWC25" s="1271"/>
      <c r="PWD25" s="1271"/>
      <c r="PWE25" s="1271"/>
      <c r="PWF25" s="1271"/>
      <c r="PWG25" s="1271"/>
      <c r="PWH25" s="1271"/>
      <c r="PWI25" s="1271"/>
      <c r="PWJ25" s="1271"/>
      <c r="PWK25" s="1271"/>
      <c r="PWL25" s="1271"/>
      <c r="PWM25" s="1271"/>
      <c r="PWN25" s="1271"/>
      <c r="PWO25" s="1271"/>
      <c r="PWP25" s="1271"/>
      <c r="PWQ25" s="1271"/>
      <c r="PWR25" s="1271"/>
      <c r="PWS25" s="1271"/>
      <c r="PWT25" s="1271"/>
      <c r="PWU25" s="1271"/>
      <c r="PWV25" s="1271"/>
      <c r="PWW25" s="1271"/>
      <c r="PWX25" s="1271"/>
      <c r="PWY25" s="1271"/>
      <c r="PWZ25" s="1271"/>
      <c r="PXA25" s="1271"/>
      <c r="PXB25" s="1271"/>
      <c r="PXC25" s="1271"/>
      <c r="PXD25" s="1271"/>
      <c r="PXE25" s="1271"/>
      <c r="PXF25" s="1271"/>
      <c r="PXG25" s="1271"/>
      <c r="PXH25" s="1271"/>
      <c r="PXI25" s="1271"/>
      <c r="PXJ25" s="1271"/>
      <c r="PXK25" s="1271"/>
      <c r="PXL25" s="1271"/>
      <c r="PXM25" s="1271"/>
      <c r="PXN25" s="1271"/>
      <c r="PXO25" s="1271"/>
      <c r="PXP25" s="1271"/>
      <c r="PXQ25" s="1271"/>
      <c r="PXR25" s="1271"/>
      <c r="PXS25" s="1271"/>
      <c r="PXT25" s="1271"/>
      <c r="PXU25" s="1271"/>
      <c r="PXV25" s="1271"/>
      <c r="PXW25" s="1271"/>
      <c r="PXX25" s="1271"/>
      <c r="PXY25" s="1271"/>
      <c r="PXZ25" s="1271"/>
      <c r="PYA25" s="1271"/>
      <c r="PYB25" s="1271"/>
      <c r="PYC25" s="1271"/>
      <c r="PYD25" s="1271"/>
      <c r="PYE25" s="1271"/>
      <c r="PYF25" s="1271"/>
      <c r="PYG25" s="1271"/>
      <c r="PYH25" s="1271"/>
      <c r="PYI25" s="1271"/>
      <c r="PYJ25" s="1271"/>
      <c r="PYK25" s="1271"/>
      <c r="PYL25" s="1271"/>
      <c r="PYM25" s="1271"/>
      <c r="PYN25" s="1271"/>
      <c r="PYO25" s="1271"/>
      <c r="PYP25" s="1271"/>
      <c r="PYQ25" s="1271"/>
      <c r="PYR25" s="1271"/>
      <c r="PYS25" s="1271"/>
      <c r="PYT25" s="1271"/>
      <c r="PYU25" s="1271"/>
      <c r="PYV25" s="1271"/>
      <c r="PYW25" s="1271"/>
      <c r="PYX25" s="1271"/>
      <c r="PYY25" s="1271"/>
      <c r="PYZ25" s="1271"/>
      <c r="PZA25" s="1271"/>
      <c r="PZB25" s="1271"/>
      <c r="PZC25" s="1271"/>
      <c r="PZD25" s="1271"/>
      <c r="PZE25" s="1271"/>
      <c r="PZF25" s="1271"/>
      <c r="PZG25" s="1271"/>
      <c r="PZH25" s="1271"/>
      <c r="PZI25" s="1271"/>
      <c r="PZJ25" s="1271"/>
      <c r="PZK25" s="1271"/>
      <c r="PZL25" s="1271"/>
      <c r="PZM25" s="1271"/>
      <c r="PZN25" s="1271"/>
      <c r="PZO25" s="1271"/>
      <c r="PZP25" s="1271"/>
      <c r="PZQ25" s="1271"/>
      <c r="PZR25" s="1271"/>
      <c r="PZS25" s="1271"/>
      <c r="PZT25" s="1271"/>
      <c r="PZU25" s="1271"/>
      <c r="PZV25" s="1271"/>
      <c r="PZW25" s="1271"/>
      <c r="PZX25" s="1271"/>
      <c r="PZY25" s="1271"/>
      <c r="PZZ25" s="1271"/>
      <c r="QAA25" s="1271"/>
      <c r="QAB25" s="1271"/>
      <c r="QAC25" s="1271"/>
      <c r="QAD25" s="1271"/>
      <c r="QAE25" s="1271"/>
      <c r="QAF25" s="1271"/>
      <c r="QAG25" s="1271"/>
      <c r="QAH25" s="1271"/>
      <c r="QAI25" s="1271"/>
      <c r="QAJ25" s="1271"/>
      <c r="QAK25" s="1271"/>
      <c r="QAL25" s="1271"/>
      <c r="QAM25" s="1271"/>
      <c r="QAN25" s="1271"/>
      <c r="QAO25" s="1271"/>
      <c r="QAP25" s="1271"/>
      <c r="QAQ25" s="1271"/>
      <c r="QAR25" s="1271"/>
      <c r="QAS25" s="1271"/>
      <c r="QAT25" s="1271"/>
      <c r="QAU25" s="1271"/>
      <c r="QAV25" s="1271"/>
      <c r="QAW25" s="1271"/>
      <c r="QAX25" s="1271"/>
      <c r="QAY25" s="1271"/>
      <c r="QAZ25" s="1271"/>
      <c r="QBA25" s="1271"/>
      <c r="QBB25" s="1271"/>
      <c r="QBC25" s="1271"/>
      <c r="QBD25" s="1271"/>
      <c r="QBE25" s="1271"/>
      <c r="QBF25" s="1271"/>
      <c r="QBG25" s="1271"/>
      <c r="QBH25" s="1271"/>
      <c r="QBI25" s="1271"/>
      <c r="QBJ25" s="1271"/>
      <c r="QBK25" s="1271"/>
      <c r="QBL25" s="1271"/>
      <c r="QBM25" s="1271"/>
      <c r="QBN25" s="1271"/>
      <c r="QBO25" s="1271"/>
      <c r="QBP25" s="1271"/>
      <c r="QBQ25" s="1271"/>
      <c r="QBR25" s="1271"/>
      <c r="QBS25" s="1271"/>
      <c r="QBT25" s="1271"/>
      <c r="QBU25" s="1271"/>
      <c r="QBV25" s="1271"/>
      <c r="QBW25" s="1271"/>
      <c r="QBX25" s="1271"/>
      <c r="QBY25" s="1271"/>
      <c r="QBZ25" s="1271"/>
      <c r="QCA25" s="1271"/>
      <c r="QCB25" s="1271"/>
      <c r="QCC25" s="1271"/>
      <c r="QCD25" s="1271"/>
      <c r="QCE25" s="1271"/>
      <c r="QCF25" s="1271"/>
      <c r="QCG25" s="1271"/>
      <c r="QCH25" s="1271"/>
      <c r="QCI25" s="1271"/>
      <c r="QCJ25" s="1271"/>
      <c r="QCK25" s="1271"/>
      <c r="QCL25" s="1271"/>
      <c r="QCM25" s="1271"/>
      <c r="QCN25" s="1271"/>
      <c r="QCO25" s="1271"/>
      <c r="QCP25" s="1271"/>
      <c r="QCQ25" s="1271"/>
      <c r="QCR25" s="1271"/>
      <c r="QCS25" s="1271"/>
      <c r="QCT25" s="1271"/>
      <c r="QCU25" s="1271"/>
      <c r="QCV25" s="1271"/>
      <c r="QCW25" s="1271"/>
      <c r="QCX25" s="1271"/>
      <c r="QCY25" s="1271"/>
      <c r="QCZ25" s="1271"/>
      <c r="QDA25" s="1271"/>
      <c r="QDB25" s="1271"/>
      <c r="QDC25" s="1271"/>
      <c r="QDD25" s="1271"/>
      <c r="QDE25" s="1271"/>
      <c r="QDF25" s="1271"/>
      <c r="QDG25" s="1271"/>
      <c r="QDH25" s="1271"/>
      <c r="QDI25" s="1271"/>
      <c r="QDJ25" s="1271"/>
      <c r="QDK25" s="1271"/>
      <c r="QDL25" s="1271"/>
      <c r="QDM25" s="1271"/>
      <c r="QDN25" s="1271"/>
      <c r="QDO25" s="1271"/>
      <c r="QDP25" s="1271"/>
      <c r="QDQ25" s="1271"/>
      <c r="QDR25" s="1271"/>
      <c r="QDS25" s="1271"/>
      <c r="QDT25" s="1271"/>
      <c r="QDU25" s="1271"/>
      <c r="QDV25" s="1271"/>
      <c r="QDW25" s="1271"/>
      <c r="QDX25" s="1271"/>
      <c r="QDY25" s="1271"/>
      <c r="QDZ25" s="1271"/>
      <c r="QEA25" s="1271"/>
      <c r="QEB25" s="1271"/>
      <c r="QEC25" s="1271"/>
      <c r="QED25" s="1271"/>
      <c r="QEE25" s="1271"/>
      <c r="QEF25" s="1271"/>
      <c r="QEG25" s="1271"/>
      <c r="QEH25" s="1271"/>
      <c r="QEI25" s="1271"/>
      <c r="QEJ25" s="1271"/>
      <c r="QEK25" s="1271"/>
      <c r="QEL25" s="1271"/>
      <c r="QEM25" s="1271"/>
      <c r="QEN25" s="1271"/>
      <c r="QEO25" s="1271"/>
      <c r="QEP25" s="1271"/>
      <c r="QEQ25" s="1271"/>
      <c r="QER25" s="1271"/>
      <c r="QES25" s="1271"/>
      <c r="QET25" s="1271"/>
      <c r="QEU25" s="1271"/>
      <c r="QEV25" s="1271"/>
      <c r="QEW25" s="1271"/>
      <c r="QEX25" s="1271"/>
      <c r="QEY25" s="1271"/>
      <c r="QEZ25" s="1271"/>
      <c r="QFA25" s="1271"/>
      <c r="QFB25" s="1271"/>
      <c r="QFC25" s="1271"/>
      <c r="QFD25" s="1271"/>
      <c r="QFE25" s="1271"/>
      <c r="QFF25" s="1271"/>
      <c r="QFG25" s="1271"/>
      <c r="QFH25" s="1271"/>
      <c r="QFI25" s="1271"/>
      <c r="QFJ25" s="1271"/>
      <c r="QFK25" s="1271"/>
      <c r="QFL25" s="1271"/>
      <c r="QFM25" s="1271"/>
      <c r="QFN25" s="1271"/>
      <c r="QFO25" s="1271"/>
      <c r="QFP25" s="1271"/>
      <c r="QFQ25" s="1271"/>
      <c r="QFR25" s="1271"/>
      <c r="QFS25" s="1271"/>
      <c r="QFT25" s="1271"/>
      <c r="QFU25" s="1271"/>
      <c r="QFV25" s="1271"/>
      <c r="QFW25" s="1271"/>
      <c r="QFX25" s="1271"/>
      <c r="QFY25" s="1271"/>
      <c r="QFZ25" s="1271"/>
      <c r="QGA25" s="1271"/>
      <c r="QGB25" s="1271"/>
      <c r="QGC25" s="1271"/>
      <c r="QGD25" s="1271"/>
      <c r="QGE25" s="1271"/>
      <c r="QGF25" s="1271"/>
      <c r="QGG25" s="1271"/>
      <c r="QGH25" s="1271"/>
      <c r="QGI25" s="1271"/>
      <c r="QGJ25" s="1271"/>
      <c r="QGK25" s="1271"/>
      <c r="QGL25" s="1271"/>
      <c r="QGM25" s="1271"/>
      <c r="QGN25" s="1271"/>
      <c r="QGO25" s="1271"/>
      <c r="QGP25" s="1271"/>
      <c r="QGQ25" s="1271"/>
      <c r="QGR25" s="1271"/>
      <c r="QGS25" s="1271"/>
      <c r="QGT25" s="1271"/>
      <c r="QGU25" s="1271"/>
      <c r="QGV25" s="1271"/>
      <c r="QGW25" s="1271"/>
      <c r="QGX25" s="1271"/>
      <c r="QGY25" s="1271"/>
      <c r="QGZ25" s="1271"/>
      <c r="QHA25" s="1271"/>
      <c r="QHB25" s="1271"/>
      <c r="QHC25" s="1271"/>
      <c r="QHD25" s="1271"/>
      <c r="QHE25" s="1271"/>
      <c r="QHF25" s="1271"/>
      <c r="QHG25" s="1271"/>
      <c r="QHH25" s="1271"/>
      <c r="QHI25" s="1271"/>
      <c r="QHJ25" s="1271"/>
      <c r="QHK25" s="1271"/>
      <c r="QHL25" s="1271"/>
      <c r="QHM25" s="1271"/>
      <c r="QHN25" s="1271"/>
      <c r="QHO25" s="1271"/>
      <c r="QHP25" s="1271"/>
      <c r="QHQ25" s="1271"/>
      <c r="QHR25" s="1271"/>
      <c r="QHS25" s="1271"/>
      <c r="QHT25" s="1271"/>
      <c r="QHU25" s="1271"/>
      <c r="QHV25" s="1271"/>
      <c r="QHW25" s="1271"/>
      <c r="QHX25" s="1271"/>
      <c r="QHY25" s="1271"/>
      <c r="QHZ25" s="1271"/>
      <c r="QIA25" s="1271"/>
      <c r="QIB25" s="1271"/>
      <c r="QIC25" s="1271"/>
      <c r="QID25" s="1271"/>
      <c r="QIE25" s="1271"/>
      <c r="QIF25" s="1271"/>
      <c r="QIG25" s="1271"/>
      <c r="QIH25" s="1271"/>
      <c r="QII25" s="1271"/>
      <c r="QIJ25" s="1271"/>
      <c r="QIK25" s="1271"/>
      <c r="QIL25" s="1271"/>
      <c r="QIM25" s="1271"/>
      <c r="QIN25" s="1271"/>
      <c r="QIO25" s="1271"/>
      <c r="QIP25" s="1271"/>
      <c r="QIQ25" s="1271"/>
      <c r="QIR25" s="1271"/>
      <c r="QIS25" s="1271"/>
      <c r="QIT25" s="1271"/>
      <c r="QIU25" s="1271"/>
      <c r="QIV25" s="1271"/>
      <c r="QIW25" s="1271"/>
      <c r="QIX25" s="1271"/>
      <c r="QIY25" s="1271"/>
      <c r="QIZ25" s="1271"/>
      <c r="QJA25" s="1271"/>
      <c r="QJB25" s="1271"/>
      <c r="QJC25" s="1271"/>
      <c r="QJD25" s="1271"/>
      <c r="QJE25" s="1271"/>
      <c r="QJF25" s="1271"/>
      <c r="QJG25" s="1271"/>
      <c r="QJH25" s="1271"/>
      <c r="QJI25" s="1271"/>
      <c r="QJJ25" s="1271"/>
      <c r="QJK25" s="1271"/>
      <c r="QJL25" s="1271"/>
      <c r="QJM25" s="1271"/>
      <c r="QJN25" s="1271"/>
      <c r="QJO25" s="1271"/>
      <c r="QJP25" s="1271"/>
      <c r="QJQ25" s="1271"/>
      <c r="QJR25" s="1271"/>
      <c r="QJS25" s="1271"/>
      <c r="QJT25" s="1271"/>
      <c r="QJU25" s="1271"/>
      <c r="QJV25" s="1271"/>
      <c r="QJW25" s="1271"/>
      <c r="QJX25" s="1271"/>
      <c r="QJY25" s="1271"/>
      <c r="QJZ25" s="1271"/>
      <c r="QKA25" s="1271"/>
      <c r="QKB25" s="1271"/>
      <c r="QKC25" s="1271"/>
      <c r="QKD25" s="1271"/>
      <c r="QKE25" s="1271"/>
      <c r="QKF25" s="1271"/>
      <c r="QKG25" s="1271"/>
      <c r="QKH25" s="1271"/>
      <c r="QKI25" s="1271"/>
      <c r="QKJ25" s="1271"/>
      <c r="QKK25" s="1271"/>
      <c r="QKL25" s="1271"/>
      <c r="QKM25" s="1271"/>
      <c r="QKN25" s="1271"/>
      <c r="QKO25" s="1271"/>
      <c r="QKP25" s="1271"/>
      <c r="QKQ25" s="1271"/>
      <c r="QKR25" s="1271"/>
      <c r="QKS25" s="1271"/>
      <c r="QKT25" s="1271"/>
      <c r="QKU25" s="1271"/>
      <c r="QKV25" s="1271"/>
      <c r="QKW25" s="1271"/>
      <c r="QKX25" s="1271"/>
      <c r="QKY25" s="1271"/>
      <c r="QKZ25" s="1271"/>
      <c r="QLA25" s="1271"/>
      <c r="QLB25" s="1271"/>
      <c r="QLC25" s="1271"/>
      <c r="QLD25" s="1271"/>
      <c r="QLE25" s="1271"/>
      <c r="QLF25" s="1271"/>
      <c r="QLG25" s="1271"/>
      <c r="QLH25" s="1271"/>
      <c r="QLI25" s="1271"/>
      <c r="QLJ25" s="1271"/>
      <c r="QLK25" s="1271"/>
      <c r="QLL25" s="1271"/>
      <c r="QLM25" s="1271"/>
      <c r="QLN25" s="1271"/>
      <c r="QLO25" s="1271"/>
      <c r="QLP25" s="1271"/>
      <c r="QLQ25" s="1271"/>
      <c r="QLR25" s="1271"/>
      <c r="QLS25" s="1271"/>
      <c r="QLT25" s="1271"/>
      <c r="QLU25" s="1271"/>
      <c r="QLV25" s="1271"/>
      <c r="QLW25" s="1271"/>
      <c r="QLX25" s="1271"/>
      <c r="QLY25" s="1271"/>
      <c r="QLZ25" s="1271"/>
      <c r="QMA25" s="1271"/>
      <c r="QMB25" s="1271"/>
      <c r="QMC25" s="1271"/>
      <c r="QMD25" s="1271"/>
      <c r="QME25" s="1271"/>
      <c r="QMF25" s="1271"/>
      <c r="QMG25" s="1271"/>
      <c r="QMH25" s="1271"/>
      <c r="QMI25" s="1271"/>
      <c r="QMJ25" s="1271"/>
      <c r="QMK25" s="1271"/>
      <c r="QML25" s="1271"/>
      <c r="QMM25" s="1271"/>
      <c r="QMN25" s="1271"/>
      <c r="QMO25" s="1271"/>
      <c r="QMP25" s="1271"/>
      <c r="QMQ25" s="1271"/>
      <c r="QMR25" s="1271"/>
      <c r="QMS25" s="1271"/>
      <c r="QMT25" s="1271"/>
      <c r="QMU25" s="1271"/>
      <c r="QMV25" s="1271"/>
      <c r="QMW25" s="1271"/>
      <c r="QMX25" s="1271"/>
      <c r="QMY25" s="1271"/>
      <c r="QMZ25" s="1271"/>
      <c r="QNA25" s="1271"/>
      <c r="QNB25" s="1271"/>
      <c r="QNC25" s="1271"/>
      <c r="QND25" s="1271"/>
      <c r="QNE25" s="1271"/>
      <c r="QNF25" s="1271"/>
      <c r="QNG25" s="1271"/>
      <c r="QNH25" s="1271"/>
      <c r="QNI25" s="1271"/>
      <c r="QNJ25" s="1271"/>
      <c r="QNK25" s="1271"/>
      <c r="QNL25" s="1271"/>
      <c r="QNM25" s="1271"/>
      <c r="QNN25" s="1271"/>
      <c r="QNO25" s="1271"/>
      <c r="QNP25" s="1271"/>
      <c r="QNQ25" s="1271"/>
      <c r="QNR25" s="1271"/>
      <c r="QNS25" s="1271"/>
      <c r="QNT25" s="1271"/>
      <c r="QNU25" s="1271"/>
      <c r="QNV25" s="1271"/>
      <c r="QNW25" s="1271"/>
      <c r="QNX25" s="1271"/>
      <c r="QNY25" s="1271"/>
      <c r="QNZ25" s="1271"/>
      <c r="QOA25" s="1271"/>
      <c r="QOB25" s="1271"/>
      <c r="QOC25" s="1271"/>
      <c r="QOD25" s="1271"/>
      <c r="QOE25" s="1271"/>
      <c r="QOF25" s="1271"/>
      <c r="QOG25" s="1271"/>
      <c r="QOH25" s="1271"/>
      <c r="QOI25" s="1271"/>
      <c r="QOJ25" s="1271"/>
      <c r="QOK25" s="1271"/>
      <c r="QOL25" s="1271"/>
      <c r="QOM25" s="1271"/>
      <c r="QON25" s="1271"/>
      <c r="QOO25" s="1271"/>
      <c r="QOP25" s="1271"/>
      <c r="QOQ25" s="1271"/>
      <c r="QOR25" s="1271"/>
      <c r="QOS25" s="1271"/>
      <c r="QOT25" s="1271"/>
      <c r="QOU25" s="1271"/>
      <c r="QOV25" s="1271"/>
      <c r="QOW25" s="1271"/>
      <c r="QOX25" s="1271"/>
      <c r="QOY25" s="1271"/>
      <c r="QOZ25" s="1271"/>
      <c r="QPA25" s="1271"/>
      <c r="QPB25" s="1271"/>
      <c r="QPC25" s="1271"/>
      <c r="QPD25" s="1271"/>
      <c r="QPE25" s="1271"/>
      <c r="QPF25" s="1271"/>
      <c r="QPG25" s="1271"/>
      <c r="QPH25" s="1271"/>
      <c r="QPI25" s="1271"/>
      <c r="QPJ25" s="1271"/>
      <c r="QPK25" s="1271"/>
      <c r="QPL25" s="1271"/>
      <c r="QPM25" s="1271"/>
      <c r="QPN25" s="1271"/>
      <c r="QPO25" s="1271"/>
      <c r="QPP25" s="1271"/>
      <c r="QPQ25" s="1271"/>
      <c r="QPR25" s="1271"/>
      <c r="QPS25" s="1271"/>
      <c r="QPT25" s="1271"/>
      <c r="QPU25" s="1271"/>
      <c r="QPV25" s="1271"/>
      <c r="QPW25" s="1271"/>
      <c r="QPX25" s="1271"/>
      <c r="QPY25" s="1271"/>
      <c r="QPZ25" s="1271"/>
      <c r="QQA25" s="1271"/>
      <c r="QQB25" s="1271"/>
      <c r="QQC25" s="1271"/>
      <c r="QQD25" s="1271"/>
      <c r="QQE25" s="1271"/>
      <c r="QQF25" s="1271"/>
      <c r="QQG25" s="1271"/>
      <c r="QQH25" s="1271"/>
      <c r="QQI25" s="1271"/>
      <c r="QQJ25" s="1271"/>
      <c r="QQK25" s="1271"/>
      <c r="QQL25" s="1271"/>
      <c r="QQM25" s="1271"/>
      <c r="QQN25" s="1271"/>
      <c r="QQO25" s="1271"/>
      <c r="QQP25" s="1271"/>
      <c r="QQQ25" s="1271"/>
      <c r="QQR25" s="1271"/>
      <c r="QQS25" s="1271"/>
      <c r="QQT25" s="1271"/>
      <c r="QQU25" s="1271"/>
      <c r="QQV25" s="1271"/>
      <c r="QQW25" s="1271"/>
      <c r="QQX25" s="1271"/>
      <c r="QQY25" s="1271"/>
      <c r="QQZ25" s="1271"/>
      <c r="QRA25" s="1271"/>
      <c r="QRB25" s="1271"/>
      <c r="QRC25" s="1271"/>
      <c r="QRD25" s="1271"/>
      <c r="QRE25" s="1271"/>
      <c r="QRF25" s="1271"/>
      <c r="QRG25" s="1271"/>
      <c r="QRH25" s="1271"/>
      <c r="QRI25" s="1271"/>
      <c r="QRJ25" s="1271"/>
      <c r="QRK25" s="1271"/>
      <c r="QRL25" s="1271"/>
      <c r="QRM25" s="1271"/>
      <c r="QRN25" s="1271"/>
      <c r="QRO25" s="1271"/>
      <c r="QRP25" s="1271"/>
      <c r="QRQ25" s="1271"/>
      <c r="QRR25" s="1271"/>
      <c r="QRS25" s="1271"/>
      <c r="QRT25" s="1271"/>
      <c r="QRU25" s="1271"/>
      <c r="QRV25" s="1271"/>
      <c r="QRW25" s="1271"/>
      <c r="QRX25" s="1271"/>
      <c r="QRY25" s="1271"/>
      <c r="QRZ25" s="1271"/>
      <c r="QSA25" s="1271"/>
      <c r="QSB25" s="1271"/>
      <c r="QSC25" s="1271"/>
      <c r="QSD25" s="1271"/>
      <c r="QSE25" s="1271"/>
      <c r="QSF25" s="1271"/>
      <c r="QSG25" s="1271"/>
      <c r="QSH25" s="1271"/>
      <c r="QSI25" s="1271"/>
      <c r="QSJ25" s="1271"/>
      <c r="QSK25" s="1271"/>
      <c r="QSL25" s="1271"/>
      <c r="QSM25" s="1271"/>
      <c r="QSN25" s="1271"/>
      <c r="QSO25" s="1271"/>
      <c r="QSP25" s="1271"/>
      <c r="QSQ25" s="1271"/>
      <c r="QSR25" s="1271"/>
      <c r="QSS25" s="1271"/>
      <c r="QST25" s="1271"/>
      <c r="QSU25" s="1271"/>
      <c r="QSV25" s="1271"/>
      <c r="QSW25" s="1271"/>
      <c r="QSX25" s="1271"/>
      <c r="QSY25" s="1271"/>
      <c r="QSZ25" s="1271"/>
      <c r="QTA25" s="1271"/>
      <c r="QTB25" s="1271"/>
      <c r="QTC25" s="1271"/>
      <c r="QTD25" s="1271"/>
      <c r="QTE25" s="1271"/>
      <c r="QTF25" s="1271"/>
      <c r="QTG25" s="1271"/>
      <c r="QTH25" s="1271"/>
      <c r="QTI25" s="1271"/>
      <c r="QTJ25" s="1271"/>
      <c r="QTK25" s="1271"/>
      <c r="QTL25" s="1271"/>
      <c r="QTM25" s="1271"/>
      <c r="QTN25" s="1271"/>
      <c r="QTO25" s="1271"/>
      <c r="QTP25" s="1271"/>
      <c r="QTQ25" s="1271"/>
      <c r="QTR25" s="1271"/>
      <c r="QTS25" s="1271"/>
      <c r="QTT25" s="1271"/>
      <c r="QTU25" s="1271"/>
      <c r="QTV25" s="1271"/>
      <c r="QTW25" s="1271"/>
      <c r="QTX25" s="1271"/>
      <c r="QTY25" s="1271"/>
      <c r="QTZ25" s="1271"/>
      <c r="QUA25" s="1271"/>
      <c r="QUB25" s="1271"/>
      <c r="QUC25" s="1271"/>
      <c r="QUD25" s="1271"/>
      <c r="QUE25" s="1271"/>
      <c r="QUF25" s="1271"/>
      <c r="QUG25" s="1271"/>
      <c r="QUH25" s="1271"/>
      <c r="QUI25" s="1271"/>
      <c r="QUJ25" s="1271"/>
      <c r="QUK25" s="1271"/>
      <c r="QUL25" s="1271"/>
      <c r="QUM25" s="1271"/>
      <c r="QUN25" s="1271"/>
      <c r="QUO25" s="1271"/>
      <c r="QUP25" s="1271"/>
      <c r="QUQ25" s="1271"/>
      <c r="QUR25" s="1271"/>
      <c r="QUS25" s="1271"/>
      <c r="QUT25" s="1271"/>
      <c r="QUU25" s="1271"/>
      <c r="QUV25" s="1271"/>
      <c r="QUW25" s="1271"/>
      <c r="QUX25" s="1271"/>
      <c r="QUY25" s="1271"/>
      <c r="QUZ25" s="1271"/>
      <c r="QVA25" s="1271"/>
      <c r="QVB25" s="1271"/>
      <c r="QVC25" s="1271"/>
      <c r="QVD25" s="1271"/>
      <c r="QVE25" s="1271"/>
      <c r="QVF25" s="1271"/>
      <c r="QVG25" s="1271"/>
      <c r="QVH25" s="1271"/>
      <c r="QVI25" s="1271"/>
      <c r="QVJ25" s="1271"/>
      <c r="QVK25" s="1271"/>
      <c r="QVL25" s="1271"/>
      <c r="QVM25" s="1271"/>
      <c r="QVN25" s="1271"/>
      <c r="QVO25" s="1271"/>
      <c r="QVP25" s="1271"/>
      <c r="QVQ25" s="1271"/>
      <c r="QVR25" s="1271"/>
      <c r="QVS25" s="1271"/>
      <c r="QVT25" s="1271"/>
      <c r="QVU25" s="1271"/>
      <c r="QVV25" s="1271"/>
      <c r="QVW25" s="1271"/>
      <c r="QVX25" s="1271"/>
      <c r="QVY25" s="1271"/>
      <c r="QVZ25" s="1271"/>
      <c r="QWA25" s="1271"/>
      <c r="QWB25" s="1271"/>
      <c r="QWC25" s="1271"/>
      <c r="QWD25" s="1271"/>
      <c r="QWE25" s="1271"/>
      <c r="QWF25" s="1271"/>
      <c r="QWG25" s="1271"/>
      <c r="QWH25" s="1271"/>
      <c r="QWI25" s="1271"/>
      <c r="QWJ25" s="1271"/>
      <c r="QWK25" s="1271"/>
      <c r="QWL25" s="1271"/>
      <c r="QWM25" s="1271"/>
      <c r="QWN25" s="1271"/>
      <c r="QWO25" s="1271"/>
      <c r="QWP25" s="1271"/>
      <c r="QWQ25" s="1271"/>
      <c r="QWR25" s="1271"/>
      <c r="QWS25" s="1271"/>
      <c r="QWT25" s="1271"/>
      <c r="QWU25" s="1271"/>
      <c r="QWV25" s="1271"/>
      <c r="QWW25" s="1271"/>
      <c r="QWX25" s="1271"/>
      <c r="QWY25" s="1271"/>
      <c r="QWZ25" s="1271"/>
      <c r="QXA25" s="1271"/>
      <c r="QXB25" s="1271"/>
      <c r="QXC25" s="1271"/>
      <c r="QXD25" s="1271"/>
      <c r="QXE25" s="1271"/>
      <c r="QXF25" s="1271"/>
      <c r="QXG25" s="1271"/>
      <c r="QXH25" s="1271"/>
      <c r="QXI25" s="1271"/>
      <c r="QXJ25" s="1271"/>
      <c r="QXK25" s="1271"/>
      <c r="QXL25" s="1271"/>
      <c r="QXM25" s="1271"/>
      <c r="QXN25" s="1271"/>
      <c r="QXO25" s="1271"/>
      <c r="QXP25" s="1271"/>
      <c r="QXQ25" s="1271"/>
      <c r="QXR25" s="1271"/>
      <c r="QXS25" s="1271"/>
      <c r="QXT25" s="1271"/>
      <c r="QXU25" s="1271"/>
      <c r="QXV25" s="1271"/>
      <c r="QXW25" s="1271"/>
      <c r="QXX25" s="1271"/>
      <c r="QXY25" s="1271"/>
      <c r="QXZ25" s="1271"/>
      <c r="QYA25" s="1271"/>
      <c r="QYB25" s="1271"/>
      <c r="QYC25" s="1271"/>
      <c r="QYD25" s="1271"/>
      <c r="QYE25" s="1271"/>
      <c r="QYF25" s="1271"/>
      <c r="QYG25" s="1271"/>
      <c r="QYH25" s="1271"/>
      <c r="QYI25" s="1271"/>
      <c r="QYJ25" s="1271"/>
      <c r="QYK25" s="1271"/>
      <c r="QYL25" s="1271"/>
      <c r="QYM25" s="1271"/>
      <c r="QYN25" s="1271"/>
      <c r="QYO25" s="1271"/>
      <c r="QYP25" s="1271"/>
      <c r="QYQ25" s="1271"/>
      <c r="QYR25" s="1271"/>
      <c r="QYS25" s="1271"/>
      <c r="QYT25" s="1271"/>
      <c r="QYU25" s="1271"/>
      <c r="QYV25" s="1271"/>
      <c r="QYW25" s="1271"/>
      <c r="QYX25" s="1271"/>
      <c r="QYY25" s="1271"/>
      <c r="QYZ25" s="1271"/>
      <c r="QZA25" s="1271"/>
      <c r="QZB25" s="1271"/>
      <c r="QZC25" s="1271"/>
      <c r="QZD25" s="1271"/>
      <c r="QZE25" s="1271"/>
      <c r="QZF25" s="1271"/>
      <c r="QZG25" s="1271"/>
      <c r="QZH25" s="1271"/>
      <c r="QZI25" s="1271"/>
      <c r="QZJ25" s="1271"/>
      <c r="QZK25" s="1271"/>
      <c r="QZL25" s="1271"/>
      <c r="QZM25" s="1271"/>
      <c r="QZN25" s="1271"/>
      <c r="QZO25" s="1271"/>
      <c r="QZP25" s="1271"/>
      <c r="QZQ25" s="1271"/>
      <c r="QZR25" s="1271"/>
      <c r="QZS25" s="1271"/>
      <c r="QZT25" s="1271"/>
      <c r="QZU25" s="1271"/>
      <c r="QZV25" s="1271"/>
      <c r="QZW25" s="1271"/>
      <c r="QZX25" s="1271"/>
      <c r="QZY25" s="1271"/>
      <c r="QZZ25" s="1271"/>
      <c r="RAA25" s="1271"/>
      <c r="RAB25" s="1271"/>
      <c r="RAC25" s="1271"/>
      <c r="RAD25" s="1271"/>
      <c r="RAE25" s="1271"/>
      <c r="RAF25" s="1271"/>
      <c r="RAG25" s="1271"/>
      <c r="RAH25" s="1271"/>
      <c r="RAI25" s="1271"/>
      <c r="RAJ25" s="1271"/>
      <c r="RAK25" s="1271"/>
      <c r="RAL25" s="1271"/>
      <c r="RAM25" s="1271"/>
      <c r="RAN25" s="1271"/>
      <c r="RAO25" s="1271"/>
      <c r="RAP25" s="1271"/>
      <c r="RAQ25" s="1271"/>
      <c r="RAR25" s="1271"/>
      <c r="RAS25" s="1271"/>
      <c r="RAT25" s="1271"/>
      <c r="RAU25" s="1271"/>
      <c r="RAV25" s="1271"/>
      <c r="RAW25" s="1271"/>
      <c r="RAX25" s="1271"/>
      <c r="RAY25" s="1271"/>
      <c r="RAZ25" s="1271"/>
      <c r="RBA25" s="1271"/>
      <c r="RBB25" s="1271"/>
      <c r="RBC25" s="1271"/>
      <c r="RBD25" s="1271"/>
      <c r="RBE25" s="1271"/>
      <c r="RBF25" s="1271"/>
      <c r="RBG25" s="1271"/>
      <c r="RBH25" s="1271"/>
      <c r="RBI25" s="1271"/>
      <c r="RBJ25" s="1271"/>
      <c r="RBK25" s="1271"/>
      <c r="RBL25" s="1271"/>
      <c r="RBM25" s="1271"/>
      <c r="RBN25" s="1271"/>
      <c r="RBO25" s="1271"/>
      <c r="RBP25" s="1271"/>
      <c r="RBQ25" s="1271"/>
      <c r="RBR25" s="1271"/>
      <c r="RBS25" s="1271"/>
      <c r="RBT25" s="1271"/>
      <c r="RBU25" s="1271"/>
      <c r="RBV25" s="1271"/>
      <c r="RBW25" s="1271"/>
      <c r="RBX25" s="1271"/>
      <c r="RBY25" s="1271"/>
      <c r="RBZ25" s="1271"/>
      <c r="RCA25" s="1271"/>
      <c r="RCB25" s="1271"/>
      <c r="RCC25" s="1271"/>
      <c r="RCD25" s="1271"/>
      <c r="RCE25" s="1271"/>
      <c r="RCF25" s="1271"/>
      <c r="RCG25" s="1271"/>
      <c r="RCH25" s="1271"/>
      <c r="RCI25" s="1271"/>
      <c r="RCJ25" s="1271"/>
      <c r="RCK25" s="1271"/>
      <c r="RCL25" s="1271"/>
      <c r="RCM25" s="1271"/>
      <c r="RCN25" s="1271"/>
      <c r="RCO25" s="1271"/>
      <c r="RCP25" s="1271"/>
      <c r="RCQ25" s="1271"/>
      <c r="RCR25" s="1271"/>
      <c r="RCS25" s="1271"/>
      <c r="RCT25" s="1271"/>
      <c r="RCU25" s="1271"/>
      <c r="RCV25" s="1271"/>
      <c r="RCW25" s="1271"/>
      <c r="RCX25" s="1271"/>
      <c r="RCY25" s="1271"/>
      <c r="RCZ25" s="1271"/>
      <c r="RDA25" s="1271"/>
      <c r="RDB25" s="1271"/>
      <c r="RDC25" s="1271"/>
      <c r="RDD25" s="1271"/>
      <c r="RDE25" s="1271"/>
      <c r="RDF25" s="1271"/>
      <c r="RDG25" s="1271"/>
      <c r="RDH25" s="1271"/>
      <c r="RDI25" s="1271"/>
      <c r="RDJ25" s="1271"/>
      <c r="RDK25" s="1271"/>
      <c r="RDL25" s="1271"/>
      <c r="RDM25" s="1271"/>
      <c r="RDN25" s="1271"/>
      <c r="RDO25" s="1271"/>
      <c r="RDP25" s="1271"/>
      <c r="RDQ25" s="1271"/>
      <c r="RDR25" s="1271"/>
      <c r="RDS25" s="1271"/>
      <c r="RDT25" s="1271"/>
      <c r="RDU25" s="1271"/>
      <c r="RDV25" s="1271"/>
      <c r="RDW25" s="1271"/>
      <c r="RDX25" s="1271"/>
      <c r="RDY25" s="1271"/>
      <c r="RDZ25" s="1271"/>
      <c r="REA25" s="1271"/>
      <c r="REB25" s="1271"/>
      <c r="REC25" s="1271"/>
      <c r="RED25" s="1271"/>
      <c r="REE25" s="1271"/>
      <c r="REF25" s="1271"/>
      <c r="REG25" s="1271"/>
      <c r="REH25" s="1271"/>
      <c r="REI25" s="1271"/>
      <c r="REJ25" s="1271"/>
      <c r="REK25" s="1271"/>
      <c r="REL25" s="1271"/>
      <c r="REM25" s="1271"/>
      <c r="REN25" s="1271"/>
      <c r="REO25" s="1271"/>
      <c r="REP25" s="1271"/>
      <c r="REQ25" s="1271"/>
      <c r="RER25" s="1271"/>
      <c r="RES25" s="1271"/>
      <c r="RET25" s="1271"/>
      <c r="REU25" s="1271"/>
      <c r="REV25" s="1271"/>
      <c r="REW25" s="1271"/>
      <c r="REX25" s="1271"/>
      <c r="REY25" s="1271"/>
      <c r="REZ25" s="1271"/>
      <c r="RFA25" s="1271"/>
      <c r="RFB25" s="1271"/>
      <c r="RFC25" s="1271"/>
      <c r="RFD25" s="1271"/>
      <c r="RFE25" s="1271"/>
      <c r="RFF25" s="1271"/>
      <c r="RFG25" s="1271"/>
      <c r="RFH25" s="1271"/>
      <c r="RFI25" s="1271"/>
      <c r="RFJ25" s="1271"/>
      <c r="RFK25" s="1271"/>
      <c r="RFL25" s="1271"/>
      <c r="RFM25" s="1271"/>
      <c r="RFN25" s="1271"/>
      <c r="RFO25" s="1271"/>
      <c r="RFP25" s="1271"/>
      <c r="RFQ25" s="1271"/>
      <c r="RFR25" s="1271"/>
      <c r="RFS25" s="1271"/>
      <c r="RFT25" s="1271"/>
      <c r="RFU25" s="1271"/>
      <c r="RFV25" s="1271"/>
      <c r="RFW25" s="1271"/>
      <c r="RFX25" s="1271"/>
      <c r="RFY25" s="1271"/>
      <c r="RFZ25" s="1271"/>
      <c r="RGA25" s="1271"/>
      <c r="RGB25" s="1271"/>
      <c r="RGC25" s="1271"/>
      <c r="RGD25" s="1271"/>
      <c r="RGE25" s="1271"/>
      <c r="RGF25" s="1271"/>
      <c r="RGG25" s="1271"/>
      <c r="RGH25" s="1271"/>
      <c r="RGI25" s="1271"/>
      <c r="RGJ25" s="1271"/>
      <c r="RGK25" s="1271"/>
      <c r="RGL25" s="1271"/>
      <c r="RGM25" s="1271"/>
      <c r="RGN25" s="1271"/>
      <c r="RGO25" s="1271"/>
      <c r="RGP25" s="1271"/>
      <c r="RGQ25" s="1271"/>
      <c r="RGR25" s="1271"/>
      <c r="RGS25" s="1271"/>
      <c r="RGT25" s="1271"/>
      <c r="RGU25" s="1271"/>
      <c r="RGV25" s="1271"/>
      <c r="RGW25" s="1271"/>
      <c r="RGX25" s="1271"/>
      <c r="RGY25" s="1271"/>
      <c r="RGZ25" s="1271"/>
      <c r="RHA25" s="1271"/>
      <c r="RHB25" s="1271"/>
      <c r="RHC25" s="1271"/>
      <c r="RHD25" s="1271"/>
      <c r="RHE25" s="1271"/>
      <c r="RHF25" s="1271"/>
      <c r="RHG25" s="1271"/>
      <c r="RHH25" s="1271"/>
      <c r="RHI25" s="1271"/>
      <c r="RHJ25" s="1271"/>
      <c r="RHK25" s="1271"/>
      <c r="RHL25" s="1271"/>
      <c r="RHM25" s="1271"/>
      <c r="RHN25" s="1271"/>
      <c r="RHO25" s="1271"/>
      <c r="RHP25" s="1271"/>
      <c r="RHQ25" s="1271"/>
      <c r="RHR25" s="1271"/>
      <c r="RHS25" s="1271"/>
      <c r="RHT25" s="1271"/>
      <c r="RHU25" s="1271"/>
      <c r="RHV25" s="1271"/>
      <c r="RHW25" s="1271"/>
      <c r="RHX25" s="1271"/>
      <c r="RHY25" s="1271"/>
      <c r="RHZ25" s="1271"/>
      <c r="RIA25" s="1271"/>
      <c r="RIB25" s="1271"/>
      <c r="RIC25" s="1271"/>
      <c r="RID25" s="1271"/>
      <c r="RIE25" s="1271"/>
      <c r="RIF25" s="1271"/>
      <c r="RIG25" s="1271"/>
      <c r="RIH25" s="1271"/>
      <c r="RII25" s="1271"/>
      <c r="RIJ25" s="1271"/>
      <c r="RIK25" s="1271"/>
      <c r="RIL25" s="1271"/>
      <c r="RIM25" s="1271"/>
      <c r="RIN25" s="1271"/>
      <c r="RIO25" s="1271"/>
      <c r="RIP25" s="1271"/>
      <c r="RIQ25" s="1271"/>
      <c r="RIR25" s="1271"/>
      <c r="RIS25" s="1271"/>
      <c r="RIT25" s="1271"/>
      <c r="RIU25" s="1271"/>
      <c r="RIV25" s="1271"/>
      <c r="RIW25" s="1271"/>
      <c r="RIX25" s="1271"/>
      <c r="RIY25" s="1271"/>
      <c r="RIZ25" s="1271"/>
      <c r="RJA25" s="1271"/>
      <c r="RJB25" s="1271"/>
      <c r="RJC25" s="1271"/>
      <c r="RJD25" s="1271"/>
      <c r="RJE25" s="1271"/>
      <c r="RJF25" s="1271"/>
      <c r="RJG25" s="1271"/>
      <c r="RJH25" s="1271"/>
      <c r="RJI25" s="1271"/>
      <c r="RJJ25" s="1271"/>
      <c r="RJK25" s="1271"/>
      <c r="RJL25" s="1271"/>
      <c r="RJM25" s="1271"/>
      <c r="RJN25" s="1271"/>
      <c r="RJO25" s="1271"/>
      <c r="RJP25" s="1271"/>
      <c r="RJQ25" s="1271"/>
      <c r="RJR25" s="1271"/>
      <c r="RJS25" s="1271"/>
      <c r="RJT25" s="1271"/>
      <c r="RJU25" s="1271"/>
      <c r="RJV25" s="1271"/>
      <c r="RJW25" s="1271"/>
      <c r="RJX25" s="1271"/>
      <c r="RJY25" s="1271"/>
      <c r="RJZ25" s="1271"/>
      <c r="RKA25" s="1271"/>
      <c r="RKB25" s="1271"/>
      <c r="RKC25" s="1271"/>
      <c r="RKD25" s="1271"/>
      <c r="RKE25" s="1271"/>
      <c r="RKF25" s="1271"/>
      <c r="RKG25" s="1271"/>
      <c r="RKH25" s="1271"/>
      <c r="RKI25" s="1271"/>
      <c r="RKJ25" s="1271"/>
      <c r="RKK25" s="1271"/>
      <c r="RKL25" s="1271"/>
      <c r="RKM25" s="1271"/>
      <c r="RKN25" s="1271"/>
      <c r="RKO25" s="1271"/>
      <c r="RKP25" s="1271"/>
      <c r="RKQ25" s="1271"/>
      <c r="RKR25" s="1271"/>
      <c r="RKS25" s="1271"/>
      <c r="RKT25" s="1271"/>
      <c r="RKU25" s="1271"/>
      <c r="RKV25" s="1271"/>
      <c r="RKW25" s="1271"/>
      <c r="RKX25" s="1271"/>
      <c r="RKY25" s="1271"/>
      <c r="RKZ25" s="1271"/>
      <c r="RLA25" s="1271"/>
      <c r="RLB25" s="1271"/>
      <c r="RLC25" s="1271"/>
      <c r="RLD25" s="1271"/>
      <c r="RLE25" s="1271"/>
      <c r="RLF25" s="1271"/>
      <c r="RLG25" s="1271"/>
      <c r="RLH25" s="1271"/>
      <c r="RLI25" s="1271"/>
      <c r="RLJ25" s="1271"/>
      <c r="RLK25" s="1271"/>
      <c r="RLL25" s="1271"/>
      <c r="RLM25" s="1271"/>
      <c r="RLN25" s="1271"/>
      <c r="RLO25" s="1271"/>
      <c r="RLP25" s="1271"/>
      <c r="RLQ25" s="1271"/>
      <c r="RLR25" s="1271"/>
      <c r="RLS25" s="1271"/>
      <c r="RLT25" s="1271"/>
      <c r="RLU25" s="1271"/>
      <c r="RLV25" s="1271"/>
      <c r="RLW25" s="1271"/>
      <c r="RLX25" s="1271"/>
      <c r="RLY25" s="1271"/>
      <c r="RLZ25" s="1271"/>
      <c r="RMA25" s="1271"/>
      <c r="RMB25" s="1271"/>
      <c r="RMC25" s="1271"/>
      <c r="RMD25" s="1271"/>
      <c r="RME25" s="1271"/>
      <c r="RMF25" s="1271"/>
      <c r="RMG25" s="1271"/>
      <c r="RMH25" s="1271"/>
      <c r="RMI25" s="1271"/>
      <c r="RMJ25" s="1271"/>
      <c r="RMK25" s="1271"/>
      <c r="RML25" s="1271"/>
      <c r="RMM25" s="1271"/>
      <c r="RMN25" s="1271"/>
      <c r="RMO25" s="1271"/>
      <c r="RMP25" s="1271"/>
      <c r="RMQ25" s="1271"/>
      <c r="RMR25" s="1271"/>
      <c r="RMS25" s="1271"/>
      <c r="RMT25" s="1271"/>
      <c r="RMU25" s="1271"/>
      <c r="RMV25" s="1271"/>
      <c r="RMW25" s="1271"/>
      <c r="RMX25" s="1271"/>
      <c r="RMY25" s="1271"/>
      <c r="RMZ25" s="1271"/>
      <c r="RNA25" s="1271"/>
      <c r="RNB25" s="1271"/>
      <c r="RNC25" s="1271"/>
      <c r="RND25" s="1271"/>
      <c r="RNE25" s="1271"/>
      <c r="RNF25" s="1271"/>
      <c r="RNG25" s="1271"/>
      <c r="RNH25" s="1271"/>
      <c r="RNI25" s="1271"/>
      <c r="RNJ25" s="1271"/>
      <c r="RNK25" s="1271"/>
      <c r="RNL25" s="1271"/>
      <c r="RNM25" s="1271"/>
      <c r="RNN25" s="1271"/>
      <c r="RNO25" s="1271"/>
      <c r="RNP25" s="1271"/>
      <c r="RNQ25" s="1271"/>
      <c r="RNR25" s="1271"/>
      <c r="RNS25" s="1271"/>
      <c r="RNT25" s="1271"/>
      <c r="RNU25" s="1271"/>
      <c r="RNV25" s="1271"/>
      <c r="RNW25" s="1271"/>
      <c r="RNX25" s="1271"/>
      <c r="RNY25" s="1271"/>
      <c r="RNZ25" s="1271"/>
      <c r="ROA25" s="1271"/>
      <c r="ROB25" s="1271"/>
      <c r="ROC25" s="1271"/>
      <c r="ROD25" s="1271"/>
      <c r="ROE25" s="1271"/>
      <c r="ROF25" s="1271"/>
      <c r="ROG25" s="1271"/>
      <c r="ROH25" s="1271"/>
      <c r="ROI25" s="1271"/>
      <c r="ROJ25" s="1271"/>
      <c r="ROK25" s="1271"/>
      <c r="ROL25" s="1271"/>
      <c r="ROM25" s="1271"/>
      <c r="RON25" s="1271"/>
      <c r="ROO25" s="1271"/>
      <c r="ROP25" s="1271"/>
      <c r="ROQ25" s="1271"/>
      <c r="ROR25" s="1271"/>
      <c r="ROS25" s="1271"/>
      <c r="ROT25" s="1271"/>
      <c r="ROU25" s="1271"/>
      <c r="ROV25" s="1271"/>
      <c r="ROW25" s="1271"/>
      <c r="ROX25" s="1271"/>
      <c r="ROY25" s="1271"/>
      <c r="ROZ25" s="1271"/>
      <c r="RPA25" s="1271"/>
      <c r="RPB25" s="1271"/>
      <c r="RPC25" s="1271"/>
      <c r="RPD25" s="1271"/>
      <c r="RPE25" s="1271"/>
      <c r="RPF25" s="1271"/>
      <c r="RPG25" s="1271"/>
      <c r="RPH25" s="1271"/>
      <c r="RPI25" s="1271"/>
      <c r="RPJ25" s="1271"/>
      <c r="RPK25" s="1271"/>
      <c r="RPL25" s="1271"/>
      <c r="RPM25" s="1271"/>
      <c r="RPN25" s="1271"/>
      <c r="RPO25" s="1271"/>
      <c r="RPP25" s="1271"/>
      <c r="RPQ25" s="1271"/>
      <c r="RPR25" s="1271"/>
      <c r="RPS25" s="1271"/>
      <c r="RPT25" s="1271"/>
      <c r="RPU25" s="1271"/>
      <c r="RPV25" s="1271"/>
      <c r="RPW25" s="1271"/>
      <c r="RPX25" s="1271"/>
      <c r="RPY25" s="1271"/>
      <c r="RPZ25" s="1271"/>
      <c r="RQA25" s="1271"/>
      <c r="RQB25" s="1271"/>
      <c r="RQC25" s="1271"/>
      <c r="RQD25" s="1271"/>
      <c r="RQE25" s="1271"/>
      <c r="RQF25" s="1271"/>
      <c r="RQG25" s="1271"/>
      <c r="RQH25" s="1271"/>
      <c r="RQI25" s="1271"/>
      <c r="RQJ25" s="1271"/>
      <c r="RQK25" s="1271"/>
      <c r="RQL25" s="1271"/>
      <c r="RQM25" s="1271"/>
      <c r="RQN25" s="1271"/>
      <c r="RQO25" s="1271"/>
      <c r="RQP25" s="1271"/>
      <c r="RQQ25" s="1271"/>
      <c r="RQR25" s="1271"/>
      <c r="RQS25" s="1271"/>
      <c r="RQT25" s="1271"/>
      <c r="RQU25" s="1271"/>
      <c r="RQV25" s="1271"/>
      <c r="RQW25" s="1271"/>
      <c r="RQX25" s="1271"/>
      <c r="RQY25" s="1271"/>
      <c r="RQZ25" s="1271"/>
      <c r="RRA25" s="1271"/>
      <c r="RRB25" s="1271"/>
      <c r="RRC25" s="1271"/>
      <c r="RRD25" s="1271"/>
      <c r="RRE25" s="1271"/>
      <c r="RRF25" s="1271"/>
      <c r="RRG25" s="1271"/>
      <c r="RRH25" s="1271"/>
      <c r="RRI25" s="1271"/>
      <c r="RRJ25" s="1271"/>
      <c r="RRK25" s="1271"/>
      <c r="RRL25" s="1271"/>
      <c r="RRM25" s="1271"/>
      <c r="RRN25" s="1271"/>
      <c r="RRO25" s="1271"/>
      <c r="RRP25" s="1271"/>
      <c r="RRQ25" s="1271"/>
      <c r="RRR25" s="1271"/>
      <c r="RRS25" s="1271"/>
      <c r="RRT25" s="1271"/>
      <c r="RRU25" s="1271"/>
      <c r="RRV25" s="1271"/>
      <c r="RRW25" s="1271"/>
      <c r="RRX25" s="1271"/>
      <c r="RRY25" s="1271"/>
      <c r="RRZ25" s="1271"/>
      <c r="RSA25" s="1271"/>
      <c r="RSB25" s="1271"/>
      <c r="RSC25" s="1271"/>
      <c r="RSD25" s="1271"/>
      <c r="RSE25" s="1271"/>
      <c r="RSF25" s="1271"/>
      <c r="RSG25" s="1271"/>
      <c r="RSH25" s="1271"/>
      <c r="RSI25" s="1271"/>
      <c r="RSJ25" s="1271"/>
      <c r="RSK25" s="1271"/>
      <c r="RSL25" s="1271"/>
      <c r="RSM25" s="1271"/>
      <c r="RSN25" s="1271"/>
      <c r="RSO25" s="1271"/>
      <c r="RSP25" s="1271"/>
      <c r="RSQ25" s="1271"/>
      <c r="RSR25" s="1271"/>
      <c r="RSS25" s="1271"/>
      <c r="RST25" s="1271"/>
      <c r="RSU25" s="1271"/>
      <c r="RSV25" s="1271"/>
      <c r="RSW25" s="1271"/>
      <c r="RSX25" s="1271"/>
      <c r="RSY25" s="1271"/>
      <c r="RSZ25" s="1271"/>
      <c r="RTA25" s="1271"/>
      <c r="RTB25" s="1271"/>
      <c r="RTC25" s="1271"/>
      <c r="RTD25" s="1271"/>
      <c r="RTE25" s="1271"/>
      <c r="RTF25" s="1271"/>
      <c r="RTG25" s="1271"/>
      <c r="RTH25" s="1271"/>
      <c r="RTI25" s="1271"/>
      <c r="RTJ25" s="1271"/>
      <c r="RTK25" s="1271"/>
      <c r="RTL25" s="1271"/>
      <c r="RTM25" s="1271"/>
      <c r="RTN25" s="1271"/>
      <c r="RTO25" s="1271"/>
      <c r="RTP25" s="1271"/>
      <c r="RTQ25" s="1271"/>
      <c r="RTR25" s="1271"/>
      <c r="RTS25" s="1271"/>
      <c r="RTT25" s="1271"/>
      <c r="RTU25" s="1271"/>
      <c r="RTV25" s="1271"/>
      <c r="RTW25" s="1271"/>
      <c r="RTX25" s="1271"/>
      <c r="RTY25" s="1271"/>
      <c r="RTZ25" s="1271"/>
      <c r="RUA25" s="1271"/>
      <c r="RUB25" s="1271"/>
      <c r="RUC25" s="1271"/>
      <c r="RUD25" s="1271"/>
      <c r="RUE25" s="1271"/>
      <c r="RUF25" s="1271"/>
      <c r="RUG25" s="1271"/>
      <c r="RUH25" s="1271"/>
      <c r="RUI25" s="1271"/>
      <c r="RUJ25" s="1271"/>
      <c r="RUK25" s="1271"/>
      <c r="RUL25" s="1271"/>
      <c r="RUM25" s="1271"/>
      <c r="RUN25" s="1271"/>
      <c r="RUO25" s="1271"/>
      <c r="RUP25" s="1271"/>
      <c r="RUQ25" s="1271"/>
      <c r="RUR25" s="1271"/>
      <c r="RUS25" s="1271"/>
      <c r="RUT25" s="1271"/>
      <c r="RUU25" s="1271"/>
      <c r="RUV25" s="1271"/>
      <c r="RUW25" s="1271"/>
      <c r="RUX25" s="1271"/>
      <c r="RUY25" s="1271"/>
      <c r="RUZ25" s="1271"/>
      <c r="RVA25" s="1271"/>
      <c r="RVB25" s="1271"/>
      <c r="RVC25" s="1271"/>
      <c r="RVD25" s="1271"/>
      <c r="RVE25" s="1271"/>
      <c r="RVF25" s="1271"/>
      <c r="RVG25" s="1271"/>
      <c r="RVH25" s="1271"/>
      <c r="RVI25" s="1271"/>
      <c r="RVJ25" s="1271"/>
      <c r="RVK25" s="1271"/>
      <c r="RVL25" s="1271"/>
      <c r="RVM25" s="1271"/>
      <c r="RVN25" s="1271"/>
      <c r="RVO25" s="1271"/>
      <c r="RVP25" s="1271"/>
      <c r="RVQ25" s="1271"/>
      <c r="RVR25" s="1271"/>
      <c r="RVS25" s="1271"/>
      <c r="RVT25" s="1271"/>
      <c r="RVU25" s="1271"/>
      <c r="RVV25" s="1271"/>
      <c r="RVW25" s="1271"/>
      <c r="RVX25" s="1271"/>
      <c r="RVY25" s="1271"/>
      <c r="RVZ25" s="1271"/>
      <c r="RWA25" s="1271"/>
      <c r="RWB25" s="1271"/>
      <c r="RWC25" s="1271"/>
      <c r="RWD25" s="1271"/>
      <c r="RWE25" s="1271"/>
      <c r="RWF25" s="1271"/>
      <c r="RWG25" s="1271"/>
      <c r="RWH25" s="1271"/>
      <c r="RWI25" s="1271"/>
      <c r="RWJ25" s="1271"/>
      <c r="RWK25" s="1271"/>
      <c r="RWL25" s="1271"/>
      <c r="RWM25" s="1271"/>
      <c r="RWN25" s="1271"/>
      <c r="RWO25" s="1271"/>
      <c r="RWP25" s="1271"/>
      <c r="RWQ25" s="1271"/>
      <c r="RWR25" s="1271"/>
      <c r="RWS25" s="1271"/>
      <c r="RWT25" s="1271"/>
      <c r="RWU25" s="1271"/>
      <c r="RWV25" s="1271"/>
      <c r="RWW25" s="1271"/>
      <c r="RWX25" s="1271"/>
      <c r="RWY25" s="1271"/>
      <c r="RWZ25" s="1271"/>
      <c r="RXA25" s="1271"/>
      <c r="RXB25" s="1271"/>
      <c r="RXC25" s="1271"/>
      <c r="RXD25" s="1271"/>
      <c r="RXE25" s="1271"/>
      <c r="RXF25" s="1271"/>
      <c r="RXG25" s="1271"/>
      <c r="RXH25" s="1271"/>
      <c r="RXI25" s="1271"/>
      <c r="RXJ25" s="1271"/>
      <c r="RXK25" s="1271"/>
      <c r="RXL25" s="1271"/>
      <c r="RXM25" s="1271"/>
      <c r="RXN25" s="1271"/>
      <c r="RXO25" s="1271"/>
      <c r="RXP25" s="1271"/>
      <c r="RXQ25" s="1271"/>
      <c r="RXR25" s="1271"/>
      <c r="RXS25" s="1271"/>
      <c r="RXT25" s="1271"/>
      <c r="RXU25" s="1271"/>
      <c r="RXV25" s="1271"/>
      <c r="RXW25" s="1271"/>
      <c r="RXX25" s="1271"/>
      <c r="RXY25" s="1271"/>
      <c r="RXZ25" s="1271"/>
      <c r="RYA25" s="1271"/>
      <c r="RYB25" s="1271"/>
      <c r="RYC25" s="1271"/>
      <c r="RYD25" s="1271"/>
      <c r="RYE25" s="1271"/>
      <c r="RYF25" s="1271"/>
      <c r="RYG25" s="1271"/>
      <c r="RYH25" s="1271"/>
      <c r="RYI25" s="1271"/>
      <c r="RYJ25" s="1271"/>
      <c r="RYK25" s="1271"/>
      <c r="RYL25" s="1271"/>
      <c r="RYM25" s="1271"/>
      <c r="RYN25" s="1271"/>
      <c r="RYO25" s="1271"/>
      <c r="RYP25" s="1271"/>
      <c r="RYQ25" s="1271"/>
      <c r="RYR25" s="1271"/>
      <c r="RYS25" s="1271"/>
      <c r="RYT25" s="1271"/>
      <c r="RYU25" s="1271"/>
      <c r="RYV25" s="1271"/>
      <c r="RYW25" s="1271"/>
      <c r="RYX25" s="1271"/>
      <c r="RYY25" s="1271"/>
      <c r="RYZ25" s="1271"/>
      <c r="RZA25" s="1271"/>
      <c r="RZB25" s="1271"/>
      <c r="RZC25" s="1271"/>
      <c r="RZD25" s="1271"/>
      <c r="RZE25" s="1271"/>
      <c r="RZF25" s="1271"/>
      <c r="RZG25" s="1271"/>
      <c r="RZH25" s="1271"/>
      <c r="RZI25" s="1271"/>
      <c r="RZJ25" s="1271"/>
      <c r="RZK25" s="1271"/>
      <c r="RZL25" s="1271"/>
      <c r="RZM25" s="1271"/>
      <c r="RZN25" s="1271"/>
      <c r="RZO25" s="1271"/>
      <c r="RZP25" s="1271"/>
      <c r="RZQ25" s="1271"/>
      <c r="RZR25" s="1271"/>
      <c r="RZS25" s="1271"/>
      <c r="RZT25" s="1271"/>
      <c r="RZU25" s="1271"/>
      <c r="RZV25" s="1271"/>
      <c r="RZW25" s="1271"/>
      <c r="RZX25" s="1271"/>
      <c r="RZY25" s="1271"/>
      <c r="RZZ25" s="1271"/>
      <c r="SAA25" s="1271"/>
      <c r="SAB25" s="1271"/>
      <c r="SAC25" s="1271"/>
      <c r="SAD25" s="1271"/>
      <c r="SAE25" s="1271"/>
      <c r="SAF25" s="1271"/>
      <c r="SAG25" s="1271"/>
      <c r="SAH25" s="1271"/>
      <c r="SAI25" s="1271"/>
      <c r="SAJ25" s="1271"/>
      <c r="SAK25" s="1271"/>
      <c r="SAL25" s="1271"/>
      <c r="SAM25" s="1271"/>
      <c r="SAN25" s="1271"/>
      <c r="SAO25" s="1271"/>
      <c r="SAP25" s="1271"/>
      <c r="SAQ25" s="1271"/>
      <c r="SAR25" s="1271"/>
      <c r="SAS25" s="1271"/>
      <c r="SAT25" s="1271"/>
      <c r="SAU25" s="1271"/>
      <c r="SAV25" s="1271"/>
      <c r="SAW25" s="1271"/>
      <c r="SAX25" s="1271"/>
      <c r="SAY25" s="1271"/>
      <c r="SAZ25" s="1271"/>
      <c r="SBA25" s="1271"/>
      <c r="SBB25" s="1271"/>
      <c r="SBC25" s="1271"/>
      <c r="SBD25" s="1271"/>
      <c r="SBE25" s="1271"/>
      <c r="SBF25" s="1271"/>
      <c r="SBG25" s="1271"/>
      <c r="SBH25" s="1271"/>
      <c r="SBI25" s="1271"/>
      <c r="SBJ25" s="1271"/>
      <c r="SBK25" s="1271"/>
      <c r="SBL25" s="1271"/>
      <c r="SBM25" s="1271"/>
      <c r="SBN25" s="1271"/>
      <c r="SBO25" s="1271"/>
      <c r="SBP25" s="1271"/>
      <c r="SBQ25" s="1271"/>
      <c r="SBR25" s="1271"/>
      <c r="SBS25" s="1271"/>
      <c r="SBT25" s="1271"/>
      <c r="SBU25" s="1271"/>
      <c r="SBV25" s="1271"/>
      <c r="SBW25" s="1271"/>
      <c r="SBX25" s="1271"/>
      <c r="SBY25" s="1271"/>
      <c r="SBZ25" s="1271"/>
      <c r="SCA25" s="1271"/>
      <c r="SCB25" s="1271"/>
      <c r="SCC25" s="1271"/>
      <c r="SCD25" s="1271"/>
      <c r="SCE25" s="1271"/>
      <c r="SCF25" s="1271"/>
      <c r="SCG25" s="1271"/>
      <c r="SCH25" s="1271"/>
      <c r="SCI25" s="1271"/>
      <c r="SCJ25" s="1271"/>
      <c r="SCK25" s="1271"/>
      <c r="SCL25" s="1271"/>
      <c r="SCM25" s="1271"/>
      <c r="SCN25" s="1271"/>
      <c r="SCO25" s="1271"/>
      <c r="SCP25" s="1271"/>
      <c r="SCQ25" s="1271"/>
      <c r="SCR25" s="1271"/>
      <c r="SCS25" s="1271"/>
      <c r="SCT25" s="1271"/>
      <c r="SCU25" s="1271"/>
      <c r="SCV25" s="1271"/>
      <c r="SCW25" s="1271"/>
      <c r="SCX25" s="1271"/>
      <c r="SCY25" s="1271"/>
      <c r="SCZ25" s="1271"/>
      <c r="SDA25" s="1271"/>
      <c r="SDB25" s="1271"/>
      <c r="SDC25" s="1271"/>
      <c r="SDD25" s="1271"/>
      <c r="SDE25" s="1271"/>
      <c r="SDF25" s="1271"/>
      <c r="SDG25" s="1271"/>
      <c r="SDH25" s="1271"/>
      <c r="SDI25" s="1271"/>
      <c r="SDJ25" s="1271"/>
      <c r="SDK25" s="1271"/>
      <c r="SDL25" s="1271"/>
      <c r="SDM25" s="1271"/>
      <c r="SDN25" s="1271"/>
      <c r="SDO25" s="1271"/>
      <c r="SDP25" s="1271"/>
      <c r="SDQ25" s="1271"/>
      <c r="SDR25" s="1271"/>
      <c r="SDS25" s="1271"/>
      <c r="SDT25" s="1271"/>
      <c r="SDU25" s="1271"/>
      <c r="SDV25" s="1271"/>
      <c r="SDW25" s="1271"/>
      <c r="SDX25" s="1271"/>
      <c r="SDY25" s="1271"/>
      <c r="SDZ25" s="1271"/>
      <c r="SEA25" s="1271"/>
      <c r="SEB25" s="1271"/>
      <c r="SEC25" s="1271"/>
      <c r="SED25" s="1271"/>
      <c r="SEE25" s="1271"/>
      <c r="SEF25" s="1271"/>
      <c r="SEG25" s="1271"/>
      <c r="SEH25" s="1271"/>
      <c r="SEI25" s="1271"/>
      <c r="SEJ25" s="1271"/>
      <c r="SEK25" s="1271"/>
      <c r="SEL25" s="1271"/>
      <c r="SEM25" s="1271"/>
      <c r="SEN25" s="1271"/>
      <c r="SEO25" s="1271"/>
      <c r="SEP25" s="1271"/>
      <c r="SEQ25" s="1271"/>
      <c r="SER25" s="1271"/>
      <c r="SES25" s="1271"/>
      <c r="SET25" s="1271"/>
      <c r="SEU25" s="1271"/>
      <c r="SEV25" s="1271"/>
      <c r="SEW25" s="1271"/>
      <c r="SEX25" s="1271"/>
      <c r="SEY25" s="1271"/>
      <c r="SEZ25" s="1271"/>
      <c r="SFA25" s="1271"/>
      <c r="SFB25" s="1271"/>
      <c r="SFC25" s="1271"/>
      <c r="SFD25" s="1271"/>
      <c r="SFE25" s="1271"/>
      <c r="SFF25" s="1271"/>
      <c r="SFG25" s="1271"/>
      <c r="SFH25" s="1271"/>
      <c r="SFI25" s="1271"/>
      <c r="SFJ25" s="1271"/>
      <c r="SFK25" s="1271"/>
      <c r="SFL25" s="1271"/>
      <c r="SFM25" s="1271"/>
      <c r="SFN25" s="1271"/>
      <c r="SFO25" s="1271"/>
      <c r="SFP25" s="1271"/>
      <c r="SFQ25" s="1271"/>
      <c r="SFR25" s="1271"/>
      <c r="SFS25" s="1271"/>
      <c r="SFT25" s="1271"/>
      <c r="SFU25" s="1271"/>
      <c r="SFV25" s="1271"/>
      <c r="SFW25" s="1271"/>
      <c r="SFX25" s="1271"/>
      <c r="SFY25" s="1271"/>
      <c r="SFZ25" s="1271"/>
      <c r="SGA25" s="1271"/>
      <c r="SGB25" s="1271"/>
      <c r="SGC25" s="1271"/>
      <c r="SGD25" s="1271"/>
      <c r="SGE25" s="1271"/>
      <c r="SGF25" s="1271"/>
      <c r="SGG25" s="1271"/>
      <c r="SGH25" s="1271"/>
      <c r="SGI25" s="1271"/>
      <c r="SGJ25" s="1271"/>
      <c r="SGK25" s="1271"/>
      <c r="SGL25" s="1271"/>
      <c r="SGM25" s="1271"/>
      <c r="SGN25" s="1271"/>
      <c r="SGO25" s="1271"/>
      <c r="SGP25" s="1271"/>
      <c r="SGQ25" s="1271"/>
      <c r="SGR25" s="1271"/>
      <c r="SGS25" s="1271"/>
      <c r="SGT25" s="1271"/>
      <c r="SGU25" s="1271"/>
      <c r="SGV25" s="1271"/>
      <c r="SGW25" s="1271"/>
      <c r="SGX25" s="1271"/>
      <c r="SGY25" s="1271"/>
      <c r="SGZ25" s="1271"/>
      <c r="SHA25" s="1271"/>
      <c r="SHB25" s="1271"/>
      <c r="SHC25" s="1271"/>
      <c r="SHD25" s="1271"/>
      <c r="SHE25" s="1271"/>
      <c r="SHF25" s="1271"/>
      <c r="SHG25" s="1271"/>
      <c r="SHH25" s="1271"/>
      <c r="SHI25" s="1271"/>
      <c r="SHJ25" s="1271"/>
      <c r="SHK25" s="1271"/>
      <c r="SHL25" s="1271"/>
      <c r="SHM25" s="1271"/>
      <c r="SHN25" s="1271"/>
      <c r="SHO25" s="1271"/>
      <c r="SHP25" s="1271"/>
      <c r="SHQ25" s="1271"/>
      <c r="SHR25" s="1271"/>
      <c r="SHS25" s="1271"/>
      <c r="SHT25" s="1271"/>
      <c r="SHU25" s="1271"/>
      <c r="SHV25" s="1271"/>
      <c r="SHW25" s="1271"/>
      <c r="SHX25" s="1271"/>
      <c r="SHY25" s="1271"/>
      <c r="SHZ25" s="1271"/>
      <c r="SIA25" s="1271"/>
      <c r="SIB25" s="1271"/>
      <c r="SIC25" s="1271"/>
      <c r="SID25" s="1271"/>
      <c r="SIE25" s="1271"/>
      <c r="SIF25" s="1271"/>
      <c r="SIG25" s="1271"/>
      <c r="SIH25" s="1271"/>
      <c r="SII25" s="1271"/>
      <c r="SIJ25" s="1271"/>
      <c r="SIK25" s="1271"/>
      <c r="SIL25" s="1271"/>
      <c r="SIM25" s="1271"/>
      <c r="SIN25" s="1271"/>
      <c r="SIO25" s="1271"/>
      <c r="SIP25" s="1271"/>
      <c r="SIQ25" s="1271"/>
      <c r="SIR25" s="1271"/>
      <c r="SIS25" s="1271"/>
      <c r="SIT25" s="1271"/>
      <c r="SIU25" s="1271"/>
      <c r="SIV25" s="1271"/>
      <c r="SIW25" s="1271"/>
      <c r="SIX25" s="1271"/>
      <c r="SIY25" s="1271"/>
      <c r="SIZ25" s="1271"/>
      <c r="SJA25" s="1271"/>
      <c r="SJB25" s="1271"/>
      <c r="SJC25" s="1271"/>
      <c r="SJD25" s="1271"/>
      <c r="SJE25" s="1271"/>
      <c r="SJF25" s="1271"/>
      <c r="SJG25" s="1271"/>
      <c r="SJH25" s="1271"/>
      <c r="SJI25" s="1271"/>
      <c r="SJJ25" s="1271"/>
      <c r="SJK25" s="1271"/>
      <c r="SJL25" s="1271"/>
      <c r="SJM25" s="1271"/>
      <c r="SJN25" s="1271"/>
      <c r="SJO25" s="1271"/>
      <c r="SJP25" s="1271"/>
      <c r="SJQ25" s="1271"/>
      <c r="SJR25" s="1271"/>
      <c r="SJS25" s="1271"/>
      <c r="SJT25" s="1271"/>
      <c r="SJU25" s="1271"/>
      <c r="SJV25" s="1271"/>
      <c r="SJW25" s="1271"/>
      <c r="SJX25" s="1271"/>
      <c r="SJY25" s="1271"/>
      <c r="SJZ25" s="1271"/>
      <c r="SKA25" s="1271"/>
      <c r="SKB25" s="1271"/>
      <c r="SKC25" s="1271"/>
      <c r="SKD25" s="1271"/>
      <c r="SKE25" s="1271"/>
      <c r="SKF25" s="1271"/>
      <c r="SKG25" s="1271"/>
      <c r="SKH25" s="1271"/>
      <c r="SKI25" s="1271"/>
      <c r="SKJ25" s="1271"/>
      <c r="SKK25" s="1271"/>
      <c r="SKL25" s="1271"/>
      <c r="SKM25" s="1271"/>
      <c r="SKN25" s="1271"/>
      <c r="SKO25" s="1271"/>
      <c r="SKP25" s="1271"/>
      <c r="SKQ25" s="1271"/>
      <c r="SKR25" s="1271"/>
      <c r="SKS25" s="1271"/>
      <c r="SKT25" s="1271"/>
      <c r="SKU25" s="1271"/>
      <c r="SKV25" s="1271"/>
      <c r="SKW25" s="1271"/>
      <c r="SKX25" s="1271"/>
      <c r="SKY25" s="1271"/>
      <c r="SKZ25" s="1271"/>
      <c r="SLA25" s="1271"/>
      <c r="SLB25" s="1271"/>
      <c r="SLC25" s="1271"/>
      <c r="SLD25" s="1271"/>
      <c r="SLE25" s="1271"/>
      <c r="SLF25" s="1271"/>
      <c r="SLG25" s="1271"/>
      <c r="SLH25" s="1271"/>
      <c r="SLI25" s="1271"/>
      <c r="SLJ25" s="1271"/>
      <c r="SLK25" s="1271"/>
      <c r="SLL25" s="1271"/>
      <c r="SLM25" s="1271"/>
      <c r="SLN25" s="1271"/>
      <c r="SLO25" s="1271"/>
      <c r="SLP25" s="1271"/>
      <c r="SLQ25" s="1271"/>
      <c r="SLR25" s="1271"/>
      <c r="SLS25" s="1271"/>
      <c r="SLT25" s="1271"/>
      <c r="SLU25" s="1271"/>
      <c r="SLV25" s="1271"/>
      <c r="SLW25" s="1271"/>
      <c r="SLX25" s="1271"/>
      <c r="SLY25" s="1271"/>
      <c r="SLZ25" s="1271"/>
      <c r="SMA25" s="1271"/>
      <c r="SMB25" s="1271"/>
      <c r="SMC25" s="1271"/>
      <c r="SMD25" s="1271"/>
      <c r="SME25" s="1271"/>
      <c r="SMF25" s="1271"/>
      <c r="SMG25" s="1271"/>
      <c r="SMH25" s="1271"/>
      <c r="SMI25" s="1271"/>
      <c r="SMJ25" s="1271"/>
      <c r="SMK25" s="1271"/>
      <c r="SML25" s="1271"/>
      <c r="SMM25" s="1271"/>
      <c r="SMN25" s="1271"/>
      <c r="SMO25" s="1271"/>
      <c r="SMP25" s="1271"/>
      <c r="SMQ25" s="1271"/>
      <c r="SMR25" s="1271"/>
      <c r="SMS25" s="1271"/>
      <c r="SMT25" s="1271"/>
      <c r="SMU25" s="1271"/>
      <c r="SMV25" s="1271"/>
      <c r="SMW25" s="1271"/>
      <c r="SMX25" s="1271"/>
      <c r="SMY25" s="1271"/>
      <c r="SMZ25" s="1271"/>
      <c r="SNA25" s="1271"/>
      <c r="SNB25" s="1271"/>
      <c r="SNC25" s="1271"/>
      <c r="SND25" s="1271"/>
      <c r="SNE25" s="1271"/>
      <c r="SNF25" s="1271"/>
      <c r="SNG25" s="1271"/>
      <c r="SNH25" s="1271"/>
      <c r="SNI25" s="1271"/>
      <c r="SNJ25" s="1271"/>
      <c r="SNK25" s="1271"/>
      <c r="SNL25" s="1271"/>
      <c r="SNM25" s="1271"/>
      <c r="SNN25" s="1271"/>
      <c r="SNO25" s="1271"/>
      <c r="SNP25" s="1271"/>
      <c r="SNQ25" s="1271"/>
      <c r="SNR25" s="1271"/>
      <c r="SNS25" s="1271"/>
      <c r="SNT25" s="1271"/>
      <c r="SNU25" s="1271"/>
      <c r="SNV25" s="1271"/>
      <c r="SNW25" s="1271"/>
      <c r="SNX25" s="1271"/>
      <c r="SNY25" s="1271"/>
      <c r="SNZ25" s="1271"/>
      <c r="SOA25" s="1271"/>
      <c r="SOB25" s="1271"/>
      <c r="SOC25" s="1271"/>
      <c r="SOD25" s="1271"/>
      <c r="SOE25" s="1271"/>
      <c r="SOF25" s="1271"/>
      <c r="SOG25" s="1271"/>
      <c r="SOH25" s="1271"/>
      <c r="SOI25" s="1271"/>
      <c r="SOJ25" s="1271"/>
      <c r="SOK25" s="1271"/>
      <c r="SOL25" s="1271"/>
      <c r="SOM25" s="1271"/>
      <c r="SON25" s="1271"/>
      <c r="SOO25" s="1271"/>
      <c r="SOP25" s="1271"/>
      <c r="SOQ25" s="1271"/>
      <c r="SOR25" s="1271"/>
      <c r="SOS25" s="1271"/>
      <c r="SOT25" s="1271"/>
      <c r="SOU25" s="1271"/>
      <c r="SOV25" s="1271"/>
      <c r="SOW25" s="1271"/>
      <c r="SOX25" s="1271"/>
      <c r="SOY25" s="1271"/>
      <c r="SOZ25" s="1271"/>
      <c r="SPA25" s="1271"/>
      <c r="SPB25" s="1271"/>
      <c r="SPC25" s="1271"/>
      <c r="SPD25" s="1271"/>
      <c r="SPE25" s="1271"/>
      <c r="SPF25" s="1271"/>
      <c r="SPG25" s="1271"/>
      <c r="SPH25" s="1271"/>
      <c r="SPI25" s="1271"/>
      <c r="SPJ25" s="1271"/>
      <c r="SPK25" s="1271"/>
      <c r="SPL25" s="1271"/>
      <c r="SPM25" s="1271"/>
      <c r="SPN25" s="1271"/>
      <c r="SPO25" s="1271"/>
      <c r="SPP25" s="1271"/>
      <c r="SPQ25" s="1271"/>
      <c r="SPR25" s="1271"/>
      <c r="SPS25" s="1271"/>
      <c r="SPT25" s="1271"/>
      <c r="SPU25" s="1271"/>
      <c r="SPV25" s="1271"/>
      <c r="SPW25" s="1271"/>
      <c r="SPX25" s="1271"/>
      <c r="SPY25" s="1271"/>
      <c r="SPZ25" s="1271"/>
      <c r="SQA25" s="1271"/>
      <c r="SQB25" s="1271"/>
      <c r="SQC25" s="1271"/>
      <c r="SQD25" s="1271"/>
      <c r="SQE25" s="1271"/>
      <c r="SQF25" s="1271"/>
      <c r="SQG25" s="1271"/>
      <c r="SQH25" s="1271"/>
      <c r="SQI25" s="1271"/>
      <c r="SQJ25" s="1271"/>
      <c r="SQK25" s="1271"/>
      <c r="SQL25" s="1271"/>
      <c r="SQM25" s="1271"/>
      <c r="SQN25" s="1271"/>
      <c r="SQO25" s="1271"/>
      <c r="SQP25" s="1271"/>
      <c r="SQQ25" s="1271"/>
      <c r="SQR25" s="1271"/>
      <c r="SQS25" s="1271"/>
      <c r="SQT25" s="1271"/>
      <c r="SQU25" s="1271"/>
      <c r="SQV25" s="1271"/>
      <c r="SQW25" s="1271"/>
      <c r="SQX25" s="1271"/>
      <c r="SQY25" s="1271"/>
      <c r="SQZ25" s="1271"/>
      <c r="SRA25" s="1271"/>
      <c r="SRB25" s="1271"/>
      <c r="SRC25" s="1271"/>
      <c r="SRD25" s="1271"/>
      <c r="SRE25" s="1271"/>
      <c r="SRF25" s="1271"/>
      <c r="SRG25" s="1271"/>
      <c r="SRH25" s="1271"/>
      <c r="SRI25" s="1271"/>
      <c r="SRJ25" s="1271"/>
      <c r="SRK25" s="1271"/>
      <c r="SRL25" s="1271"/>
      <c r="SRM25" s="1271"/>
      <c r="SRN25" s="1271"/>
      <c r="SRO25" s="1271"/>
      <c r="SRP25" s="1271"/>
      <c r="SRQ25" s="1271"/>
      <c r="SRR25" s="1271"/>
      <c r="SRS25" s="1271"/>
      <c r="SRT25" s="1271"/>
      <c r="SRU25" s="1271"/>
      <c r="SRV25" s="1271"/>
      <c r="SRW25" s="1271"/>
      <c r="SRX25" s="1271"/>
      <c r="SRY25" s="1271"/>
      <c r="SRZ25" s="1271"/>
      <c r="SSA25" s="1271"/>
      <c r="SSB25" s="1271"/>
      <c r="SSC25" s="1271"/>
      <c r="SSD25" s="1271"/>
      <c r="SSE25" s="1271"/>
      <c r="SSF25" s="1271"/>
      <c r="SSG25" s="1271"/>
      <c r="SSH25" s="1271"/>
      <c r="SSI25" s="1271"/>
      <c r="SSJ25" s="1271"/>
      <c r="SSK25" s="1271"/>
      <c r="SSL25" s="1271"/>
      <c r="SSM25" s="1271"/>
      <c r="SSN25" s="1271"/>
      <c r="SSO25" s="1271"/>
      <c r="SSP25" s="1271"/>
      <c r="SSQ25" s="1271"/>
      <c r="SSR25" s="1271"/>
      <c r="SSS25" s="1271"/>
      <c r="SST25" s="1271"/>
      <c r="SSU25" s="1271"/>
      <c r="SSV25" s="1271"/>
      <c r="SSW25" s="1271"/>
      <c r="SSX25" s="1271"/>
      <c r="SSY25" s="1271"/>
      <c r="SSZ25" s="1271"/>
      <c r="STA25" s="1271"/>
      <c r="STB25" s="1271"/>
      <c r="STC25" s="1271"/>
      <c r="STD25" s="1271"/>
      <c r="STE25" s="1271"/>
      <c r="STF25" s="1271"/>
      <c r="STG25" s="1271"/>
      <c r="STH25" s="1271"/>
      <c r="STI25" s="1271"/>
      <c r="STJ25" s="1271"/>
      <c r="STK25" s="1271"/>
      <c r="STL25" s="1271"/>
      <c r="STM25" s="1271"/>
      <c r="STN25" s="1271"/>
      <c r="STO25" s="1271"/>
      <c r="STP25" s="1271"/>
      <c r="STQ25" s="1271"/>
      <c r="STR25" s="1271"/>
      <c r="STS25" s="1271"/>
      <c r="STT25" s="1271"/>
      <c r="STU25" s="1271"/>
      <c r="STV25" s="1271"/>
      <c r="STW25" s="1271"/>
      <c r="STX25" s="1271"/>
      <c r="STY25" s="1271"/>
      <c r="STZ25" s="1271"/>
      <c r="SUA25" s="1271"/>
      <c r="SUB25" s="1271"/>
      <c r="SUC25" s="1271"/>
      <c r="SUD25" s="1271"/>
      <c r="SUE25" s="1271"/>
      <c r="SUF25" s="1271"/>
      <c r="SUG25" s="1271"/>
      <c r="SUH25" s="1271"/>
      <c r="SUI25" s="1271"/>
      <c r="SUJ25" s="1271"/>
      <c r="SUK25" s="1271"/>
      <c r="SUL25" s="1271"/>
      <c r="SUM25" s="1271"/>
      <c r="SUN25" s="1271"/>
      <c r="SUO25" s="1271"/>
      <c r="SUP25" s="1271"/>
      <c r="SUQ25" s="1271"/>
      <c r="SUR25" s="1271"/>
      <c r="SUS25" s="1271"/>
      <c r="SUT25" s="1271"/>
      <c r="SUU25" s="1271"/>
      <c r="SUV25" s="1271"/>
      <c r="SUW25" s="1271"/>
      <c r="SUX25" s="1271"/>
      <c r="SUY25" s="1271"/>
      <c r="SUZ25" s="1271"/>
      <c r="SVA25" s="1271"/>
      <c r="SVB25" s="1271"/>
      <c r="SVC25" s="1271"/>
      <c r="SVD25" s="1271"/>
      <c r="SVE25" s="1271"/>
      <c r="SVF25" s="1271"/>
      <c r="SVG25" s="1271"/>
      <c r="SVH25" s="1271"/>
      <c r="SVI25" s="1271"/>
      <c r="SVJ25" s="1271"/>
      <c r="SVK25" s="1271"/>
      <c r="SVL25" s="1271"/>
      <c r="SVM25" s="1271"/>
      <c r="SVN25" s="1271"/>
      <c r="SVO25" s="1271"/>
      <c r="SVP25" s="1271"/>
      <c r="SVQ25" s="1271"/>
      <c r="SVR25" s="1271"/>
      <c r="SVS25" s="1271"/>
      <c r="SVT25" s="1271"/>
      <c r="SVU25" s="1271"/>
      <c r="SVV25" s="1271"/>
      <c r="SVW25" s="1271"/>
      <c r="SVX25" s="1271"/>
      <c r="SVY25" s="1271"/>
      <c r="SVZ25" s="1271"/>
      <c r="SWA25" s="1271"/>
      <c r="SWB25" s="1271"/>
      <c r="SWC25" s="1271"/>
      <c r="SWD25" s="1271"/>
      <c r="SWE25" s="1271"/>
      <c r="SWF25" s="1271"/>
      <c r="SWG25" s="1271"/>
      <c r="SWH25" s="1271"/>
      <c r="SWI25" s="1271"/>
      <c r="SWJ25" s="1271"/>
      <c r="SWK25" s="1271"/>
      <c r="SWL25" s="1271"/>
      <c r="SWM25" s="1271"/>
      <c r="SWN25" s="1271"/>
      <c r="SWO25" s="1271"/>
      <c r="SWP25" s="1271"/>
      <c r="SWQ25" s="1271"/>
      <c r="SWR25" s="1271"/>
      <c r="SWS25" s="1271"/>
      <c r="SWT25" s="1271"/>
      <c r="SWU25" s="1271"/>
      <c r="SWV25" s="1271"/>
      <c r="SWW25" s="1271"/>
      <c r="SWX25" s="1271"/>
      <c r="SWY25" s="1271"/>
      <c r="SWZ25" s="1271"/>
      <c r="SXA25" s="1271"/>
      <c r="SXB25" s="1271"/>
      <c r="SXC25" s="1271"/>
      <c r="SXD25" s="1271"/>
      <c r="SXE25" s="1271"/>
      <c r="SXF25" s="1271"/>
      <c r="SXG25" s="1271"/>
      <c r="SXH25" s="1271"/>
      <c r="SXI25" s="1271"/>
      <c r="SXJ25" s="1271"/>
      <c r="SXK25" s="1271"/>
      <c r="SXL25" s="1271"/>
      <c r="SXM25" s="1271"/>
      <c r="SXN25" s="1271"/>
      <c r="SXO25" s="1271"/>
      <c r="SXP25" s="1271"/>
      <c r="SXQ25" s="1271"/>
      <c r="SXR25" s="1271"/>
      <c r="SXS25" s="1271"/>
      <c r="SXT25" s="1271"/>
      <c r="SXU25" s="1271"/>
      <c r="SXV25" s="1271"/>
      <c r="SXW25" s="1271"/>
      <c r="SXX25" s="1271"/>
      <c r="SXY25" s="1271"/>
      <c r="SXZ25" s="1271"/>
      <c r="SYA25" s="1271"/>
      <c r="SYB25" s="1271"/>
      <c r="SYC25" s="1271"/>
      <c r="SYD25" s="1271"/>
      <c r="SYE25" s="1271"/>
      <c r="SYF25" s="1271"/>
      <c r="SYG25" s="1271"/>
      <c r="SYH25" s="1271"/>
      <c r="SYI25" s="1271"/>
      <c r="SYJ25" s="1271"/>
      <c r="SYK25" s="1271"/>
      <c r="SYL25" s="1271"/>
      <c r="SYM25" s="1271"/>
      <c r="SYN25" s="1271"/>
      <c r="SYO25" s="1271"/>
      <c r="SYP25" s="1271"/>
      <c r="SYQ25" s="1271"/>
      <c r="SYR25" s="1271"/>
      <c r="SYS25" s="1271"/>
      <c r="SYT25" s="1271"/>
      <c r="SYU25" s="1271"/>
      <c r="SYV25" s="1271"/>
      <c r="SYW25" s="1271"/>
      <c r="SYX25" s="1271"/>
      <c r="SYY25" s="1271"/>
      <c r="SYZ25" s="1271"/>
      <c r="SZA25" s="1271"/>
      <c r="SZB25" s="1271"/>
      <c r="SZC25" s="1271"/>
      <c r="SZD25" s="1271"/>
      <c r="SZE25" s="1271"/>
      <c r="SZF25" s="1271"/>
      <c r="SZG25" s="1271"/>
      <c r="SZH25" s="1271"/>
      <c r="SZI25" s="1271"/>
      <c r="SZJ25" s="1271"/>
      <c r="SZK25" s="1271"/>
      <c r="SZL25" s="1271"/>
      <c r="SZM25" s="1271"/>
      <c r="SZN25" s="1271"/>
      <c r="SZO25" s="1271"/>
      <c r="SZP25" s="1271"/>
      <c r="SZQ25" s="1271"/>
      <c r="SZR25" s="1271"/>
      <c r="SZS25" s="1271"/>
      <c r="SZT25" s="1271"/>
      <c r="SZU25" s="1271"/>
      <c r="SZV25" s="1271"/>
      <c r="SZW25" s="1271"/>
      <c r="SZX25" s="1271"/>
      <c r="SZY25" s="1271"/>
      <c r="SZZ25" s="1271"/>
      <c r="TAA25" s="1271"/>
      <c r="TAB25" s="1271"/>
      <c r="TAC25" s="1271"/>
      <c r="TAD25" s="1271"/>
      <c r="TAE25" s="1271"/>
      <c r="TAF25" s="1271"/>
      <c r="TAG25" s="1271"/>
      <c r="TAH25" s="1271"/>
      <c r="TAI25" s="1271"/>
      <c r="TAJ25" s="1271"/>
      <c r="TAK25" s="1271"/>
      <c r="TAL25" s="1271"/>
      <c r="TAM25" s="1271"/>
      <c r="TAN25" s="1271"/>
      <c r="TAO25" s="1271"/>
      <c r="TAP25" s="1271"/>
      <c r="TAQ25" s="1271"/>
      <c r="TAR25" s="1271"/>
      <c r="TAS25" s="1271"/>
      <c r="TAT25" s="1271"/>
      <c r="TAU25" s="1271"/>
      <c r="TAV25" s="1271"/>
      <c r="TAW25" s="1271"/>
      <c r="TAX25" s="1271"/>
      <c r="TAY25" s="1271"/>
      <c r="TAZ25" s="1271"/>
      <c r="TBA25" s="1271"/>
      <c r="TBB25" s="1271"/>
      <c r="TBC25" s="1271"/>
      <c r="TBD25" s="1271"/>
      <c r="TBE25" s="1271"/>
      <c r="TBF25" s="1271"/>
      <c r="TBG25" s="1271"/>
      <c r="TBH25" s="1271"/>
      <c r="TBI25" s="1271"/>
      <c r="TBJ25" s="1271"/>
      <c r="TBK25" s="1271"/>
      <c r="TBL25" s="1271"/>
      <c r="TBM25" s="1271"/>
      <c r="TBN25" s="1271"/>
      <c r="TBO25" s="1271"/>
      <c r="TBP25" s="1271"/>
      <c r="TBQ25" s="1271"/>
      <c r="TBR25" s="1271"/>
      <c r="TBS25" s="1271"/>
      <c r="TBT25" s="1271"/>
      <c r="TBU25" s="1271"/>
      <c r="TBV25" s="1271"/>
      <c r="TBW25" s="1271"/>
      <c r="TBX25" s="1271"/>
      <c r="TBY25" s="1271"/>
      <c r="TBZ25" s="1271"/>
      <c r="TCA25" s="1271"/>
      <c r="TCB25" s="1271"/>
      <c r="TCC25" s="1271"/>
      <c r="TCD25" s="1271"/>
      <c r="TCE25" s="1271"/>
      <c r="TCF25" s="1271"/>
      <c r="TCG25" s="1271"/>
      <c r="TCH25" s="1271"/>
      <c r="TCI25" s="1271"/>
      <c r="TCJ25" s="1271"/>
      <c r="TCK25" s="1271"/>
      <c r="TCL25" s="1271"/>
      <c r="TCM25" s="1271"/>
      <c r="TCN25" s="1271"/>
      <c r="TCO25" s="1271"/>
      <c r="TCP25" s="1271"/>
      <c r="TCQ25" s="1271"/>
      <c r="TCR25" s="1271"/>
      <c r="TCS25" s="1271"/>
      <c r="TCT25" s="1271"/>
      <c r="TCU25" s="1271"/>
      <c r="TCV25" s="1271"/>
      <c r="TCW25" s="1271"/>
      <c r="TCX25" s="1271"/>
      <c r="TCY25" s="1271"/>
      <c r="TCZ25" s="1271"/>
      <c r="TDA25" s="1271"/>
      <c r="TDB25" s="1271"/>
      <c r="TDC25" s="1271"/>
      <c r="TDD25" s="1271"/>
      <c r="TDE25" s="1271"/>
      <c r="TDF25" s="1271"/>
      <c r="TDG25" s="1271"/>
      <c r="TDH25" s="1271"/>
      <c r="TDI25" s="1271"/>
      <c r="TDJ25" s="1271"/>
      <c r="TDK25" s="1271"/>
      <c r="TDL25" s="1271"/>
      <c r="TDM25" s="1271"/>
      <c r="TDN25" s="1271"/>
      <c r="TDO25" s="1271"/>
      <c r="TDP25" s="1271"/>
      <c r="TDQ25" s="1271"/>
      <c r="TDR25" s="1271"/>
      <c r="TDS25" s="1271"/>
      <c r="TDT25" s="1271"/>
      <c r="TDU25" s="1271"/>
      <c r="TDV25" s="1271"/>
      <c r="TDW25" s="1271"/>
      <c r="TDX25" s="1271"/>
      <c r="TDY25" s="1271"/>
      <c r="TDZ25" s="1271"/>
      <c r="TEA25" s="1271"/>
      <c r="TEB25" s="1271"/>
      <c r="TEC25" s="1271"/>
      <c r="TED25" s="1271"/>
      <c r="TEE25" s="1271"/>
      <c r="TEF25" s="1271"/>
      <c r="TEG25" s="1271"/>
      <c r="TEH25" s="1271"/>
      <c r="TEI25" s="1271"/>
      <c r="TEJ25" s="1271"/>
      <c r="TEK25" s="1271"/>
      <c r="TEL25" s="1271"/>
      <c r="TEM25" s="1271"/>
      <c r="TEN25" s="1271"/>
      <c r="TEO25" s="1271"/>
      <c r="TEP25" s="1271"/>
      <c r="TEQ25" s="1271"/>
      <c r="TER25" s="1271"/>
      <c r="TES25" s="1271"/>
      <c r="TET25" s="1271"/>
      <c r="TEU25" s="1271"/>
      <c r="TEV25" s="1271"/>
      <c r="TEW25" s="1271"/>
      <c r="TEX25" s="1271"/>
      <c r="TEY25" s="1271"/>
      <c r="TEZ25" s="1271"/>
      <c r="TFA25" s="1271"/>
      <c r="TFB25" s="1271"/>
      <c r="TFC25" s="1271"/>
      <c r="TFD25" s="1271"/>
      <c r="TFE25" s="1271"/>
      <c r="TFF25" s="1271"/>
      <c r="TFG25" s="1271"/>
      <c r="TFH25" s="1271"/>
      <c r="TFI25" s="1271"/>
      <c r="TFJ25" s="1271"/>
      <c r="TFK25" s="1271"/>
      <c r="TFL25" s="1271"/>
      <c r="TFM25" s="1271"/>
      <c r="TFN25" s="1271"/>
      <c r="TFO25" s="1271"/>
      <c r="TFP25" s="1271"/>
      <c r="TFQ25" s="1271"/>
      <c r="TFR25" s="1271"/>
      <c r="TFS25" s="1271"/>
      <c r="TFT25" s="1271"/>
      <c r="TFU25" s="1271"/>
      <c r="TFV25" s="1271"/>
      <c r="TFW25" s="1271"/>
      <c r="TFX25" s="1271"/>
      <c r="TFY25" s="1271"/>
      <c r="TFZ25" s="1271"/>
      <c r="TGA25" s="1271"/>
      <c r="TGB25" s="1271"/>
      <c r="TGC25" s="1271"/>
      <c r="TGD25" s="1271"/>
      <c r="TGE25" s="1271"/>
      <c r="TGF25" s="1271"/>
      <c r="TGG25" s="1271"/>
      <c r="TGH25" s="1271"/>
      <c r="TGI25" s="1271"/>
      <c r="TGJ25" s="1271"/>
      <c r="TGK25" s="1271"/>
      <c r="TGL25" s="1271"/>
      <c r="TGM25" s="1271"/>
      <c r="TGN25" s="1271"/>
      <c r="TGO25" s="1271"/>
      <c r="TGP25" s="1271"/>
      <c r="TGQ25" s="1271"/>
      <c r="TGR25" s="1271"/>
      <c r="TGS25" s="1271"/>
      <c r="TGT25" s="1271"/>
      <c r="TGU25" s="1271"/>
      <c r="TGV25" s="1271"/>
      <c r="TGW25" s="1271"/>
      <c r="TGX25" s="1271"/>
      <c r="TGY25" s="1271"/>
      <c r="TGZ25" s="1271"/>
      <c r="THA25" s="1271"/>
      <c r="THB25" s="1271"/>
      <c r="THC25" s="1271"/>
      <c r="THD25" s="1271"/>
      <c r="THE25" s="1271"/>
      <c r="THF25" s="1271"/>
      <c r="THG25" s="1271"/>
      <c r="THH25" s="1271"/>
      <c r="THI25" s="1271"/>
      <c r="THJ25" s="1271"/>
      <c r="THK25" s="1271"/>
      <c r="THL25" s="1271"/>
      <c r="THM25" s="1271"/>
      <c r="THN25" s="1271"/>
      <c r="THO25" s="1271"/>
      <c r="THP25" s="1271"/>
      <c r="THQ25" s="1271"/>
      <c r="THR25" s="1271"/>
      <c r="THS25" s="1271"/>
      <c r="THT25" s="1271"/>
      <c r="THU25" s="1271"/>
      <c r="THV25" s="1271"/>
      <c r="THW25" s="1271"/>
      <c r="THX25" s="1271"/>
      <c r="THY25" s="1271"/>
      <c r="THZ25" s="1271"/>
      <c r="TIA25" s="1271"/>
      <c r="TIB25" s="1271"/>
      <c r="TIC25" s="1271"/>
      <c r="TID25" s="1271"/>
      <c r="TIE25" s="1271"/>
      <c r="TIF25" s="1271"/>
      <c r="TIG25" s="1271"/>
      <c r="TIH25" s="1271"/>
      <c r="TII25" s="1271"/>
      <c r="TIJ25" s="1271"/>
      <c r="TIK25" s="1271"/>
      <c r="TIL25" s="1271"/>
      <c r="TIM25" s="1271"/>
      <c r="TIN25" s="1271"/>
      <c r="TIO25" s="1271"/>
      <c r="TIP25" s="1271"/>
      <c r="TIQ25" s="1271"/>
      <c r="TIR25" s="1271"/>
      <c r="TIS25" s="1271"/>
      <c r="TIT25" s="1271"/>
      <c r="TIU25" s="1271"/>
      <c r="TIV25" s="1271"/>
      <c r="TIW25" s="1271"/>
      <c r="TIX25" s="1271"/>
      <c r="TIY25" s="1271"/>
      <c r="TIZ25" s="1271"/>
      <c r="TJA25" s="1271"/>
      <c r="TJB25" s="1271"/>
      <c r="TJC25" s="1271"/>
      <c r="TJD25" s="1271"/>
      <c r="TJE25" s="1271"/>
      <c r="TJF25" s="1271"/>
      <c r="TJG25" s="1271"/>
      <c r="TJH25" s="1271"/>
      <c r="TJI25" s="1271"/>
      <c r="TJJ25" s="1271"/>
      <c r="TJK25" s="1271"/>
      <c r="TJL25" s="1271"/>
      <c r="TJM25" s="1271"/>
      <c r="TJN25" s="1271"/>
      <c r="TJO25" s="1271"/>
      <c r="TJP25" s="1271"/>
      <c r="TJQ25" s="1271"/>
      <c r="TJR25" s="1271"/>
      <c r="TJS25" s="1271"/>
      <c r="TJT25" s="1271"/>
      <c r="TJU25" s="1271"/>
      <c r="TJV25" s="1271"/>
      <c r="TJW25" s="1271"/>
      <c r="TJX25" s="1271"/>
      <c r="TJY25" s="1271"/>
      <c r="TJZ25" s="1271"/>
      <c r="TKA25" s="1271"/>
      <c r="TKB25" s="1271"/>
      <c r="TKC25" s="1271"/>
      <c r="TKD25" s="1271"/>
      <c r="TKE25" s="1271"/>
      <c r="TKF25" s="1271"/>
      <c r="TKG25" s="1271"/>
      <c r="TKH25" s="1271"/>
      <c r="TKI25" s="1271"/>
      <c r="TKJ25" s="1271"/>
      <c r="TKK25" s="1271"/>
      <c r="TKL25" s="1271"/>
      <c r="TKM25" s="1271"/>
      <c r="TKN25" s="1271"/>
      <c r="TKO25" s="1271"/>
      <c r="TKP25" s="1271"/>
      <c r="TKQ25" s="1271"/>
      <c r="TKR25" s="1271"/>
      <c r="TKS25" s="1271"/>
      <c r="TKT25" s="1271"/>
      <c r="TKU25" s="1271"/>
      <c r="TKV25" s="1271"/>
      <c r="TKW25" s="1271"/>
      <c r="TKX25" s="1271"/>
      <c r="TKY25" s="1271"/>
      <c r="TKZ25" s="1271"/>
      <c r="TLA25" s="1271"/>
      <c r="TLB25" s="1271"/>
      <c r="TLC25" s="1271"/>
      <c r="TLD25" s="1271"/>
      <c r="TLE25" s="1271"/>
      <c r="TLF25" s="1271"/>
      <c r="TLG25" s="1271"/>
      <c r="TLH25" s="1271"/>
      <c r="TLI25" s="1271"/>
      <c r="TLJ25" s="1271"/>
      <c r="TLK25" s="1271"/>
      <c r="TLL25" s="1271"/>
      <c r="TLM25" s="1271"/>
      <c r="TLN25" s="1271"/>
      <c r="TLO25" s="1271"/>
      <c r="TLP25" s="1271"/>
      <c r="TLQ25" s="1271"/>
      <c r="TLR25" s="1271"/>
      <c r="TLS25" s="1271"/>
      <c r="TLT25" s="1271"/>
      <c r="TLU25" s="1271"/>
      <c r="TLV25" s="1271"/>
      <c r="TLW25" s="1271"/>
      <c r="TLX25" s="1271"/>
      <c r="TLY25" s="1271"/>
      <c r="TLZ25" s="1271"/>
      <c r="TMA25" s="1271"/>
      <c r="TMB25" s="1271"/>
      <c r="TMC25" s="1271"/>
      <c r="TMD25" s="1271"/>
      <c r="TME25" s="1271"/>
      <c r="TMF25" s="1271"/>
      <c r="TMG25" s="1271"/>
      <c r="TMH25" s="1271"/>
      <c r="TMI25" s="1271"/>
      <c r="TMJ25" s="1271"/>
      <c r="TMK25" s="1271"/>
      <c r="TML25" s="1271"/>
      <c r="TMM25" s="1271"/>
      <c r="TMN25" s="1271"/>
      <c r="TMO25" s="1271"/>
      <c r="TMP25" s="1271"/>
      <c r="TMQ25" s="1271"/>
      <c r="TMR25" s="1271"/>
      <c r="TMS25" s="1271"/>
      <c r="TMT25" s="1271"/>
      <c r="TMU25" s="1271"/>
      <c r="TMV25" s="1271"/>
      <c r="TMW25" s="1271"/>
      <c r="TMX25" s="1271"/>
      <c r="TMY25" s="1271"/>
      <c r="TMZ25" s="1271"/>
      <c r="TNA25" s="1271"/>
      <c r="TNB25" s="1271"/>
      <c r="TNC25" s="1271"/>
      <c r="TND25" s="1271"/>
      <c r="TNE25" s="1271"/>
      <c r="TNF25" s="1271"/>
      <c r="TNG25" s="1271"/>
      <c r="TNH25" s="1271"/>
      <c r="TNI25" s="1271"/>
      <c r="TNJ25" s="1271"/>
      <c r="TNK25" s="1271"/>
      <c r="TNL25" s="1271"/>
      <c r="TNM25" s="1271"/>
      <c r="TNN25" s="1271"/>
      <c r="TNO25" s="1271"/>
      <c r="TNP25" s="1271"/>
      <c r="TNQ25" s="1271"/>
      <c r="TNR25" s="1271"/>
      <c r="TNS25" s="1271"/>
      <c r="TNT25" s="1271"/>
      <c r="TNU25" s="1271"/>
      <c r="TNV25" s="1271"/>
      <c r="TNW25" s="1271"/>
      <c r="TNX25" s="1271"/>
      <c r="TNY25" s="1271"/>
      <c r="TNZ25" s="1271"/>
      <c r="TOA25" s="1271"/>
      <c r="TOB25" s="1271"/>
      <c r="TOC25" s="1271"/>
      <c r="TOD25" s="1271"/>
      <c r="TOE25" s="1271"/>
      <c r="TOF25" s="1271"/>
      <c r="TOG25" s="1271"/>
      <c r="TOH25" s="1271"/>
      <c r="TOI25" s="1271"/>
      <c r="TOJ25" s="1271"/>
      <c r="TOK25" s="1271"/>
      <c r="TOL25" s="1271"/>
      <c r="TOM25" s="1271"/>
      <c r="TON25" s="1271"/>
      <c r="TOO25" s="1271"/>
      <c r="TOP25" s="1271"/>
      <c r="TOQ25" s="1271"/>
      <c r="TOR25" s="1271"/>
      <c r="TOS25" s="1271"/>
      <c r="TOT25" s="1271"/>
      <c r="TOU25" s="1271"/>
      <c r="TOV25" s="1271"/>
      <c r="TOW25" s="1271"/>
      <c r="TOX25" s="1271"/>
      <c r="TOY25" s="1271"/>
      <c r="TOZ25" s="1271"/>
      <c r="TPA25" s="1271"/>
      <c r="TPB25" s="1271"/>
      <c r="TPC25" s="1271"/>
      <c r="TPD25" s="1271"/>
      <c r="TPE25" s="1271"/>
      <c r="TPF25" s="1271"/>
      <c r="TPG25" s="1271"/>
      <c r="TPH25" s="1271"/>
      <c r="TPI25" s="1271"/>
      <c r="TPJ25" s="1271"/>
      <c r="TPK25" s="1271"/>
      <c r="TPL25" s="1271"/>
      <c r="TPM25" s="1271"/>
      <c r="TPN25" s="1271"/>
      <c r="TPO25" s="1271"/>
      <c r="TPP25" s="1271"/>
      <c r="TPQ25" s="1271"/>
      <c r="TPR25" s="1271"/>
      <c r="TPS25" s="1271"/>
      <c r="TPT25" s="1271"/>
      <c r="TPU25" s="1271"/>
      <c r="TPV25" s="1271"/>
      <c r="TPW25" s="1271"/>
      <c r="TPX25" s="1271"/>
      <c r="TPY25" s="1271"/>
      <c r="TPZ25" s="1271"/>
      <c r="TQA25" s="1271"/>
      <c r="TQB25" s="1271"/>
      <c r="TQC25" s="1271"/>
      <c r="TQD25" s="1271"/>
      <c r="TQE25" s="1271"/>
      <c r="TQF25" s="1271"/>
      <c r="TQG25" s="1271"/>
      <c r="TQH25" s="1271"/>
      <c r="TQI25" s="1271"/>
      <c r="TQJ25" s="1271"/>
      <c r="TQK25" s="1271"/>
      <c r="TQL25" s="1271"/>
      <c r="TQM25" s="1271"/>
      <c r="TQN25" s="1271"/>
      <c r="TQO25" s="1271"/>
      <c r="TQP25" s="1271"/>
      <c r="TQQ25" s="1271"/>
      <c r="TQR25" s="1271"/>
      <c r="TQS25" s="1271"/>
      <c r="TQT25" s="1271"/>
      <c r="TQU25" s="1271"/>
      <c r="TQV25" s="1271"/>
      <c r="TQW25" s="1271"/>
      <c r="TQX25" s="1271"/>
      <c r="TQY25" s="1271"/>
      <c r="TQZ25" s="1271"/>
      <c r="TRA25" s="1271"/>
      <c r="TRB25" s="1271"/>
      <c r="TRC25" s="1271"/>
      <c r="TRD25" s="1271"/>
      <c r="TRE25" s="1271"/>
      <c r="TRF25" s="1271"/>
      <c r="TRG25" s="1271"/>
      <c r="TRH25" s="1271"/>
      <c r="TRI25" s="1271"/>
      <c r="TRJ25" s="1271"/>
      <c r="TRK25" s="1271"/>
      <c r="TRL25" s="1271"/>
      <c r="TRM25" s="1271"/>
      <c r="TRN25" s="1271"/>
      <c r="TRO25" s="1271"/>
      <c r="TRP25" s="1271"/>
      <c r="TRQ25" s="1271"/>
      <c r="TRR25" s="1271"/>
      <c r="TRS25" s="1271"/>
      <c r="TRT25" s="1271"/>
      <c r="TRU25" s="1271"/>
      <c r="TRV25" s="1271"/>
      <c r="TRW25" s="1271"/>
      <c r="TRX25" s="1271"/>
      <c r="TRY25" s="1271"/>
      <c r="TRZ25" s="1271"/>
      <c r="TSA25" s="1271"/>
      <c r="TSB25" s="1271"/>
      <c r="TSC25" s="1271"/>
      <c r="TSD25" s="1271"/>
      <c r="TSE25" s="1271"/>
      <c r="TSF25" s="1271"/>
      <c r="TSG25" s="1271"/>
      <c r="TSH25" s="1271"/>
      <c r="TSI25" s="1271"/>
      <c r="TSJ25" s="1271"/>
      <c r="TSK25" s="1271"/>
      <c r="TSL25" s="1271"/>
      <c r="TSM25" s="1271"/>
      <c r="TSN25" s="1271"/>
      <c r="TSO25" s="1271"/>
      <c r="TSP25" s="1271"/>
      <c r="TSQ25" s="1271"/>
      <c r="TSR25" s="1271"/>
      <c r="TSS25" s="1271"/>
      <c r="TST25" s="1271"/>
      <c r="TSU25" s="1271"/>
      <c r="TSV25" s="1271"/>
      <c r="TSW25" s="1271"/>
      <c r="TSX25" s="1271"/>
      <c r="TSY25" s="1271"/>
      <c r="TSZ25" s="1271"/>
      <c r="TTA25" s="1271"/>
      <c r="TTB25" s="1271"/>
      <c r="TTC25" s="1271"/>
      <c r="TTD25" s="1271"/>
      <c r="TTE25" s="1271"/>
      <c r="TTF25" s="1271"/>
      <c r="TTG25" s="1271"/>
      <c r="TTH25" s="1271"/>
      <c r="TTI25" s="1271"/>
      <c r="TTJ25" s="1271"/>
      <c r="TTK25" s="1271"/>
      <c r="TTL25" s="1271"/>
      <c r="TTM25" s="1271"/>
      <c r="TTN25" s="1271"/>
      <c r="TTO25" s="1271"/>
      <c r="TTP25" s="1271"/>
      <c r="TTQ25" s="1271"/>
      <c r="TTR25" s="1271"/>
      <c r="TTS25" s="1271"/>
      <c r="TTT25" s="1271"/>
      <c r="TTU25" s="1271"/>
      <c r="TTV25" s="1271"/>
      <c r="TTW25" s="1271"/>
      <c r="TTX25" s="1271"/>
      <c r="TTY25" s="1271"/>
      <c r="TTZ25" s="1271"/>
      <c r="TUA25" s="1271"/>
      <c r="TUB25" s="1271"/>
      <c r="TUC25" s="1271"/>
      <c r="TUD25" s="1271"/>
      <c r="TUE25" s="1271"/>
      <c r="TUF25" s="1271"/>
      <c r="TUG25" s="1271"/>
      <c r="TUH25" s="1271"/>
      <c r="TUI25" s="1271"/>
      <c r="TUJ25" s="1271"/>
      <c r="TUK25" s="1271"/>
      <c r="TUL25" s="1271"/>
      <c r="TUM25" s="1271"/>
      <c r="TUN25" s="1271"/>
      <c r="TUO25" s="1271"/>
      <c r="TUP25" s="1271"/>
      <c r="TUQ25" s="1271"/>
      <c r="TUR25" s="1271"/>
      <c r="TUS25" s="1271"/>
      <c r="TUT25" s="1271"/>
      <c r="TUU25" s="1271"/>
      <c r="TUV25" s="1271"/>
      <c r="TUW25" s="1271"/>
      <c r="TUX25" s="1271"/>
      <c r="TUY25" s="1271"/>
      <c r="TUZ25" s="1271"/>
      <c r="TVA25" s="1271"/>
      <c r="TVB25" s="1271"/>
      <c r="TVC25" s="1271"/>
      <c r="TVD25" s="1271"/>
      <c r="TVE25" s="1271"/>
      <c r="TVF25" s="1271"/>
      <c r="TVG25" s="1271"/>
      <c r="TVH25" s="1271"/>
      <c r="TVI25" s="1271"/>
      <c r="TVJ25" s="1271"/>
      <c r="TVK25" s="1271"/>
      <c r="TVL25" s="1271"/>
      <c r="TVM25" s="1271"/>
      <c r="TVN25" s="1271"/>
      <c r="TVO25" s="1271"/>
      <c r="TVP25" s="1271"/>
      <c r="TVQ25" s="1271"/>
      <c r="TVR25" s="1271"/>
      <c r="TVS25" s="1271"/>
      <c r="TVT25" s="1271"/>
      <c r="TVU25" s="1271"/>
      <c r="TVV25" s="1271"/>
      <c r="TVW25" s="1271"/>
      <c r="TVX25" s="1271"/>
      <c r="TVY25" s="1271"/>
      <c r="TVZ25" s="1271"/>
      <c r="TWA25" s="1271"/>
      <c r="TWB25" s="1271"/>
      <c r="TWC25" s="1271"/>
      <c r="TWD25" s="1271"/>
      <c r="TWE25" s="1271"/>
      <c r="TWF25" s="1271"/>
      <c r="TWG25" s="1271"/>
      <c r="TWH25" s="1271"/>
      <c r="TWI25" s="1271"/>
      <c r="TWJ25" s="1271"/>
      <c r="TWK25" s="1271"/>
      <c r="TWL25" s="1271"/>
      <c r="TWM25" s="1271"/>
      <c r="TWN25" s="1271"/>
      <c r="TWO25" s="1271"/>
      <c r="TWP25" s="1271"/>
      <c r="TWQ25" s="1271"/>
      <c r="TWR25" s="1271"/>
      <c r="TWS25" s="1271"/>
      <c r="TWT25" s="1271"/>
      <c r="TWU25" s="1271"/>
      <c r="TWV25" s="1271"/>
      <c r="TWW25" s="1271"/>
      <c r="TWX25" s="1271"/>
      <c r="TWY25" s="1271"/>
      <c r="TWZ25" s="1271"/>
      <c r="TXA25" s="1271"/>
      <c r="TXB25" s="1271"/>
      <c r="TXC25" s="1271"/>
      <c r="TXD25" s="1271"/>
      <c r="TXE25" s="1271"/>
      <c r="TXF25" s="1271"/>
      <c r="TXG25" s="1271"/>
      <c r="TXH25" s="1271"/>
      <c r="TXI25" s="1271"/>
      <c r="TXJ25" s="1271"/>
      <c r="TXK25" s="1271"/>
      <c r="TXL25" s="1271"/>
      <c r="TXM25" s="1271"/>
      <c r="TXN25" s="1271"/>
      <c r="TXO25" s="1271"/>
      <c r="TXP25" s="1271"/>
      <c r="TXQ25" s="1271"/>
      <c r="TXR25" s="1271"/>
      <c r="TXS25" s="1271"/>
      <c r="TXT25" s="1271"/>
      <c r="TXU25" s="1271"/>
      <c r="TXV25" s="1271"/>
      <c r="TXW25" s="1271"/>
      <c r="TXX25" s="1271"/>
      <c r="TXY25" s="1271"/>
      <c r="TXZ25" s="1271"/>
      <c r="TYA25" s="1271"/>
      <c r="TYB25" s="1271"/>
      <c r="TYC25" s="1271"/>
      <c r="TYD25" s="1271"/>
      <c r="TYE25" s="1271"/>
      <c r="TYF25" s="1271"/>
      <c r="TYG25" s="1271"/>
      <c r="TYH25" s="1271"/>
      <c r="TYI25" s="1271"/>
      <c r="TYJ25" s="1271"/>
      <c r="TYK25" s="1271"/>
      <c r="TYL25" s="1271"/>
      <c r="TYM25" s="1271"/>
      <c r="TYN25" s="1271"/>
      <c r="TYO25" s="1271"/>
      <c r="TYP25" s="1271"/>
      <c r="TYQ25" s="1271"/>
      <c r="TYR25" s="1271"/>
      <c r="TYS25" s="1271"/>
      <c r="TYT25" s="1271"/>
      <c r="TYU25" s="1271"/>
      <c r="TYV25" s="1271"/>
      <c r="TYW25" s="1271"/>
      <c r="TYX25" s="1271"/>
      <c r="TYY25" s="1271"/>
      <c r="TYZ25" s="1271"/>
      <c r="TZA25" s="1271"/>
      <c r="TZB25" s="1271"/>
      <c r="TZC25" s="1271"/>
      <c r="TZD25" s="1271"/>
      <c r="TZE25" s="1271"/>
      <c r="TZF25" s="1271"/>
      <c r="TZG25" s="1271"/>
      <c r="TZH25" s="1271"/>
      <c r="TZI25" s="1271"/>
      <c r="TZJ25" s="1271"/>
      <c r="TZK25" s="1271"/>
      <c r="TZL25" s="1271"/>
      <c r="TZM25" s="1271"/>
      <c r="TZN25" s="1271"/>
      <c r="TZO25" s="1271"/>
      <c r="TZP25" s="1271"/>
      <c r="TZQ25" s="1271"/>
      <c r="TZR25" s="1271"/>
      <c r="TZS25" s="1271"/>
      <c r="TZT25" s="1271"/>
      <c r="TZU25" s="1271"/>
      <c r="TZV25" s="1271"/>
      <c r="TZW25" s="1271"/>
      <c r="TZX25" s="1271"/>
      <c r="TZY25" s="1271"/>
      <c r="TZZ25" s="1271"/>
      <c r="UAA25" s="1271"/>
      <c r="UAB25" s="1271"/>
      <c r="UAC25" s="1271"/>
      <c r="UAD25" s="1271"/>
      <c r="UAE25" s="1271"/>
      <c r="UAF25" s="1271"/>
      <c r="UAG25" s="1271"/>
      <c r="UAH25" s="1271"/>
      <c r="UAI25" s="1271"/>
      <c r="UAJ25" s="1271"/>
      <c r="UAK25" s="1271"/>
      <c r="UAL25" s="1271"/>
      <c r="UAM25" s="1271"/>
      <c r="UAN25" s="1271"/>
      <c r="UAO25" s="1271"/>
      <c r="UAP25" s="1271"/>
      <c r="UAQ25" s="1271"/>
      <c r="UAR25" s="1271"/>
      <c r="UAS25" s="1271"/>
      <c r="UAT25" s="1271"/>
      <c r="UAU25" s="1271"/>
      <c r="UAV25" s="1271"/>
      <c r="UAW25" s="1271"/>
      <c r="UAX25" s="1271"/>
      <c r="UAY25" s="1271"/>
      <c r="UAZ25" s="1271"/>
      <c r="UBA25" s="1271"/>
      <c r="UBB25" s="1271"/>
      <c r="UBC25" s="1271"/>
      <c r="UBD25" s="1271"/>
      <c r="UBE25" s="1271"/>
      <c r="UBF25" s="1271"/>
      <c r="UBG25" s="1271"/>
      <c r="UBH25" s="1271"/>
      <c r="UBI25" s="1271"/>
      <c r="UBJ25" s="1271"/>
      <c r="UBK25" s="1271"/>
      <c r="UBL25" s="1271"/>
      <c r="UBM25" s="1271"/>
      <c r="UBN25" s="1271"/>
      <c r="UBO25" s="1271"/>
      <c r="UBP25" s="1271"/>
      <c r="UBQ25" s="1271"/>
      <c r="UBR25" s="1271"/>
      <c r="UBS25" s="1271"/>
      <c r="UBT25" s="1271"/>
      <c r="UBU25" s="1271"/>
      <c r="UBV25" s="1271"/>
      <c r="UBW25" s="1271"/>
      <c r="UBX25" s="1271"/>
      <c r="UBY25" s="1271"/>
      <c r="UBZ25" s="1271"/>
      <c r="UCA25" s="1271"/>
      <c r="UCB25" s="1271"/>
      <c r="UCC25" s="1271"/>
      <c r="UCD25" s="1271"/>
      <c r="UCE25" s="1271"/>
      <c r="UCF25" s="1271"/>
      <c r="UCG25" s="1271"/>
      <c r="UCH25" s="1271"/>
      <c r="UCI25" s="1271"/>
      <c r="UCJ25" s="1271"/>
      <c r="UCK25" s="1271"/>
      <c r="UCL25" s="1271"/>
      <c r="UCM25" s="1271"/>
      <c r="UCN25" s="1271"/>
      <c r="UCO25" s="1271"/>
      <c r="UCP25" s="1271"/>
      <c r="UCQ25" s="1271"/>
      <c r="UCR25" s="1271"/>
      <c r="UCS25" s="1271"/>
      <c r="UCT25" s="1271"/>
      <c r="UCU25" s="1271"/>
      <c r="UCV25" s="1271"/>
      <c r="UCW25" s="1271"/>
      <c r="UCX25" s="1271"/>
      <c r="UCY25" s="1271"/>
      <c r="UCZ25" s="1271"/>
      <c r="UDA25" s="1271"/>
      <c r="UDB25" s="1271"/>
      <c r="UDC25" s="1271"/>
      <c r="UDD25" s="1271"/>
      <c r="UDE25" s="1271"/>
      <c r="UDF25" s="1271"/>
      <c r="UDG25" s="1271"/>
      <c r="UDH25" s="1271"/>
      <c r="UDI25" s="1271"/>
      <c r="UDJ25" s="1271"/>
      <c r="UDK25" s="1271"/>
      <c r="UDL25" s="1271"/>
      <c r="UDM25" s="1271"/>
      <c r="UDN25" s="1271"/>
      <c r="UDO25" s="1271"/>
      <c r="UDP25" s="1271"/>
      <c r="UDQ25" s="1271"/>
      <c r="UDR25" s="1271"/>
      <c r="UDS25" s="1271"/>
      <c r="UDT25" s="1271"/>
      <c r="UDU25" s="1271"/>
      <c r="UDV25" s="1271"/>
      <c r="UDW25" s="1271"/>
      <c r="UDX25" s="1271"/>
      <c r="UDY25" s="1271"/>
      <c r="UDZ25" s="1271"/>
      <c r="UEA25" s="1271"/>
      <c r="UEB25" s="1271"/>
      <c r="UEC25" s="1271"/>
      <c r="UED25" s="1271"/>
      <c r="UEE25" s="1271"/>
      <c r="UEF25" s="1271"/>
      <c r="UEG25" s="1271"/>
      <c r="UEH25" s="1271"/>
      <c r="UEI25" s="1271"/>
      <c r="UEJ25" s="1271"/>
      <c r="UEK25" s="1271"/>
      <c r="UEL25" s="1271"/>
      <c r="UEM25" s="1271"/>
      <c r="UEN25" s="1271"/>
      <c r="UEO25" s="1271"/>
      <c r="UEP25" s="1271"/>
      <c r="UEQ25" s="1271"/>
      <c r="UER25" s="1271"/>
      <c r="UES25" s="1271"/>
      <c r="UET25" s="1271"/>
      <c r="UEU25" s="1271"/>
      <c r="UEV25" s="1271"/>
      <c r="UEW25" s="1271"/>
      <c r="UEX25" s="1271"/>
      <c r="UEY25" s="1271"/>
      <c r="UEZ25" s="1271"/>
      <c r="UFA25" s="1271"/>
      <c r="UFB25" s="1271"/>
      <c r="UFC25" s="1271"/>
      <c r="UFD25" s="1271"/>
      <c r="UFE25" s="1271"/>
      <c r="UFF25" s="1271"/>
      <c r="UFG25" s="1271"/>
      <c r="UFH25" s="1271"/>
      <c r="UFI25" s="1271"/>
      <c r="UFJ25" s="1271"/>
      <c r="UFK25" s="1271"/>
      <c r="UFL25" s="1271"/>
      <c r="UFM25" s="1271"/>
      <c r="UFN25" s="1271"/>
      <c r="UFO25" s="1271"/>
      <c r="UFP25" s="1271"/>
      <c r="UFQ25" s="1271"/>
      <c r="UFR25" s="1271"/>
      <c r="UFS25" s="1271"/>
      <c r="UFT25" s="1271"/>
      <c r="UFU25" s="1271"/>
      <c r="UFV25" s="1271"/>
      <c r="UFW25" s="1271"/>
      <c r="UFX25" s="1271"/>
      <c r="UFY25" s="1271"/>
      <c r="UFZ25" s="1271"/>
      <c r="UGA25" s="1271"/>
      <c r="UGB25" s="1271"/>
      <c r="UGC25" s="1271"/>
      <c r="UGD25" s="1271"/>
      <c r="UGE25" s="1271"/>
      <c r="UGF25" s="1271"/>
      <c r="UGG25" s="1271"/>
      <c r="UGH25" s="1271"/>
      <c r="UGI25" s="1271"/>
      <c r="UGJ25" s="1271"/>
      <c r="UGK25" s="1271"/>
      <c r="UGL25" s="1271"/>
      <c r="UGM25" s="1271"/>
      <c r="UGN25" s="1271"/>
      <c r="UGO25" s="1271"/>
      <c r="UGP25" s="1271"/>
      <c r="UGQ25" s="1271"/>
      <c r="UGR25" s="1271"/>
      <c r="UGS25" s="1271"/>
      <c r="UGT25" s="1271"/>
      <c r="UGU25" s="1271"/>
      <c r="UGV25" s="1271"/>
      <c r="UGW25" s="1271"/>
      <c r="UGX25" s="1271"/>
      <c r="UGY25" s="1271"/>
      <c r="UGZ25" s="1271"/>
      <c r="UHA25" s="1271"/>
      <c r="UHB25" s="1271"/>
      <c r="UHC25" s="1271"/>
      <c r="UHD25" s="1271"/>
      <c r="UHE25" s="1271"/>
      <c r="UHF25" s="1271"/>
      <c r="UHG25" s="1271"/>
      <c r="UHH25" s="1271"/>
      <c r="UHI25" s="1271"/>
      <c r="UHJ25" s="1271"/>
      <c r="UHK25" s="1271"/>
      <c r="UHL25" s="1271"/>
      <c r="UHM25" s="1271"/>
      <c r="UHN25" s="1271"/>
      <c r="UHO25" s="1271"/>
      <c r="UHP25" s="1271"/>
      <c r="UHQ25" s="1271"/>
      <c r="UHR25" s="1271"/>
      <c r="UHS25" s="1271"/>
      <c r="UHT25" s="1271"/>
      <c r="UHU25" s="1271"/>
      <c r="UHV25" s="1271"/>
      <c r="UHW25" s="1271"/>
      <c r="UHX25" s="1271"/>
      <c r="UHY25" s="1271"/>
      <c r="UHZ25" s="1271"/>
      <c r="UIA25" s="1271"/>
      <c r="UIB25" s="1271"/>
      <c r="UIC25" s="1271"/>
      <c r="UID25" s="1271"/>
      <c r="UIE25" s="1271"/>
      <c r="UIF25" s="1271"/>
      <c r="UIG25" s="1271"/>
      <c r="UIH25" s="1271"/>
      <c r="UII25" s="1271"/>
      <c r="UIJ25" s="1271"/>
      <c r="UIK25" s="1271"/>
      <c r="UIL25" s="1271"/>
      <c r="UIM25" s="1271"/>
      <c r="UIN25" s="1271"/>
      <c r="UIO25" s="1271"/>
      <c r="UIP25" s="1271"/>
      <c r="UIQ25" s="1271"/>
      <c r="UIR25" s="1271"/>
      <c r="UIS25" s="1271"/>
      <c r="UIT25" s="1271"/>
      <c r="UIU25" s="1271"/>
      <c r="UIV25" s="1271"/>
      <c r="UIW25" s="1271"/>
      <c r="UIX25" s="1271"/>
      <c r="UIY25" s="1271"/>
      <c r="UIZ25" s="1271"/>
      <c r="UJA25" s="1271"/>
      <c r="UJB25" s="1271"/>
      <c r="UJC25" s="1271"/>
      <c r="UJD25" s="1271"/>
      <c r="UJE25" s="1271"/>
      <c r="UJF25" s="1271"/>
      <c r="UJG25" s="1271"/>
      <c r="UJH25" s="1271"/>
      <c r="UJI25" s="1271"/>
      <c r="UJJ25" s="1271"/>
      <c r="UJK25" s="1271"/>
      <c r="UJL25" s="1271"/>
      <c r="UJM25" s="1271"/>
      <c r="UJN25" s="1271"/>
      <c r="UJO25" s="1271"/>
      <c r="UJP25" s="1271"/>
      <c r="UJQ25" s="1271"/>
      <c r="UJR25" s="1271"/>
      <c r="UJS25" s="1271"/>
      <c r="UJT25" s="1271"/>
      <c r="UJU25" s="1271"/>
      <c r="UJV25" s="1271"/>
      <c r="UJW25" s="1271"/>
      <c r="UJX25" s="1271"/>
      <c r="UJY25" s="1271"/>
      <c r="UJZ25" s="1271"/>
      <c r="UKA25" s="1271"/>
      <c r="UKB25" s="1271"/>
      <c r="UKC25" s="1271"/>
      <c r="UKD25" s="1271"/>
      <c r="UKE25" s="1271"/>
      <c r="UKF25" s="1271"/>
      <c r="UKG25" s="1271"/>
      <c r="UKH25" s="1271"/>
      <c r="UKI25" s="1271"/>
      <c r="UKJ25" s="1271"/>
      <c r="UKK25" s="1271"/>
      <c r="UKL25" s="1271"/>
      <c r="UKM25" s="1271"/>
      <c r="UKN25" s="1271"/>
      <c r="UKO25" s="1271"/>
      <c r="UKP25" s="1271"/>
      <c r="UKQ25" s="1271"/>
      <c r="UKR25" s="1271"/>
      <c r="UKS25" s="1271"/>
      <c r="UKT25" s="1271"/>
      <c r="UKU25" s="1271"/>
      <c r="UKV25" s="1271"/>
      <c r="UKW25" s="1271"/>
      <c r="UKX25" s="1271"/>
      <c r="UKY25" s="1271"/>
      <c r="UKZ25" s="1271"/>
      <c r="ULA25" s="1271"/>
      <c r="ULB25" s="1271"/>
      <c r="ULC25" s="1271"/>
      <c r="ULD25" s="1271"/>
      <c r="ULE25" s="1271"/>
      <c r="ULF25" s="1271"/>
      <c r="ULG25" s="1271"/>
      <c r="ULH25" s="1271"/>
      <c r="ULI25" s="1271"/>
      <c r="ULJ25" s="1271"/>
      <c r="ULK25" s="1271"/>
      <c r="ULL25" s="1271"/>
      <c r="ULM25" s="1271"/>
      <c r="ULN25" s="1271"/>
      <c r="ULO25" s="1271"/>
      <c r="ULP25" s="1271"/>
      <c r="ULQ25" s="1271"/>
      <c r="ULR25" s="1271"/>
      <c r="ULS25" s="1271"/>
      <c r="ULT25" s="1271"/>
      <c r="ULU25" s="1271"/>
      <c r="ULV25" s="1271"/>
      <c r="ULW25" s="1271"/>
      <c r="ULX25" s="1271"/>
      <c r="ULY25" s="1271"/>
      <c r="ULZ25" s="1271"/>
      <c r="UMA25" s="1271"/>
      <c r="UMB25" s="1271"/>
      <c r="UMC25" s="1271"/>
      <c r="UMD25" s="1271"/>
      <c r="UME25" s="1271"/>
      <c r="UMF25" s="1271"/>
      <c r="UMG25" s="1271"/>
      <c r="UMH25" s="1271"/>
      <c r="UMI25" s="1271"/>
      <c r="UMJ25" s="1271"/>
      <c r="UMK25" s="1271"/>
      <c r="UML25" s="1271"/>
      <c r="UMM25" s="1271"/>
      <c r="UMN25" s="1271"/>
      <c r="UMO25" s="1271"/>
      <c r="UMP25" s="1271"/>
      <c r="UMQ25" s="1271"/>
      <c r="UMR25" s="1271"/>
      <c r="UMS25" s="1271"/>
      <c r="UMT25" s="1271"/>
      <c r="UMU25" s="1271"/>
      <c r="UMV25" s="1271"/>
      <c r="UMW25" s="1271"/>
      <c r="UMX25" s="1271"/>
      <c r="UMY25" s="1271"/>
      <c r="UMZ25" s="1271"/>
      <c r="UNA25" s="1271"/>
      <c r="UNB25" s="1271"/>
      <c r="UNC25" s="1271"/>
      <c r="UND25" s="1271"/>
      <c r="UNE25" s="1271"/>
      <c r="UNF25" s="1271"/>
      <c r="UNG25" s="1271"/>
      <c r="UNH25" s="1271"/>
      <c r="UNI25" s="1271"/>
      <c r="UNJ25" s="1271"/>
      <c r="UNK25" s="1271"/>
      <c r="UNL25" s="1271"/>
      <c r="UNM25" s="1271"/>
      <c r="UNN25" s="1271"/>
      <c r="UNO25" s="1271"/>
      <c r="UNP25" s="1271"/>
      <c r="UNQ25" s="1271"/>
      <c r="UNR25" s="1271"/>
      <c r="UNS25" s="1271"/>
      <c r="UNT25" s="1271"/>
      <c r="UNU25" s="1271"/>
      <c r="UNV25" s="1271"/>
      <c r="UNW25" s="1271"/>
      <c r="UNX25" s="1271"/>
      <c r="UNY25" s="1271"/>
      <c r="UNZ25" s="1271"/>
      <c r="UOA25" s="1271"/>
      <c r="UOB25" s="1271"/>
      <c r="UOC25" s="1271"/>
      <c r="UOD25" s="1271"/>
      <c r="UOE25" s="1271"/>
      <c r="UOF25" s="1271"/>
      <c r="UOG25" s="1271"/>
      <c r="UOH25" s="1271"/>
      <c r="UOI25" s="1271"/>
      <c r="UOJ25" s="1271"/>
      <c r="UOK25" s="1271"/>
      <c r="UOL25" s="1271"/>
      <c r="UOM25" s="1271"/>
      <c r="UON25" s="1271"/>
      <c r="UOO25" s="1271"/>
      <c r="UOP25" s="1271"/>
      <c r="UOQ25" s="1271"/>
      <c r="UOR25" s="1271"/>
      <c r="UOS25" s="1271"/>
      <c r="UOT25" s="1271"/>
      <c r="UOU25" s="1271"/>
      <c r="UOV25" s="1271"/>
      <c r="UOW25" s="1271"/>
      <c r="UOX25" s="1271"/>
      <c r="UOY25" s="1271"/>
      <c r="UOZ25" s="1271"/>
      <c r="UPA25" s="1271"/>
      <c r="UPB25" s="1271"/>
      <c r="UPC25" s="1271"/>
      <c r="UPD25" s="1271"/>
      <c r="UPE25" s="1271"/>
      <c r="UPF25" s="1271"/>
      <c r="UPG25" s="1271"/>
      <c r="UPH25" s="1271"/>
      <c r="UPI25" s="1271"/>
      <c r="UPJ25" s="1271"/>
      <c r="UPK25" s="1271"/>
      <c r="UPL25" s="1271"/>
      <c r="UPM25" s="1271"/>
      <c r="UPN25" s="1271"/>
      <c r="UPO25" s="1271"/>
      <c r="UPP25" s="1271"/>
      <c r="UPQ25" s="1271"/>
      <c r="UPR25" s="1271"/>
      <c r="UPS25" s="1271"/>
      <c r="UPT25" s="1271"/>
      <c r="UPU25" s="1271"/>
      <c r="UPV25" s="1271"/>
      <c r="UPW25" s="1271"/>
      <c r="UPX25" s="1271"/>
      <c r="UPY25" s="1271"/>
      <c r="UPZ25" s="1271"/>
      <c r="UQA25" s="1271"/>
      <c r="UQB25" s="1271"/>
      <c r="UQC25" s="1271"/>
      <c r="UQD25" s="1271"/>
      <c r="UQE25" s="1271"/>
      <c r="UQF25" s="1271"/>
      <c r="UQG25" s="1271"/>
      <c r="UQH25" s="1271"/>
      <c r="UQI25" s="1271"/>
      <c r="UQJ25" s="1271"/>
      <c r="UQK25" s="1271"/>
      <c r="UQL25" s="1271"/>
      <c r="UQM25" s="1271"/>
      <c r="UQN25" s="1271"/>
      <c r="UQO25" s="1271"/>
      <c r="UQP25" s="1271"/>
      <c r="UQQ25" s="1271"/>
      <c r="UQR25" s="1271"/>
      <c r="UQS25" s="1271"/>
      <c r="UQT25" s="1271"/>
      <c r="UQU25" s="1271"/>
      <c r="UQV25" s="1271"/>
      <c r="UQW25" s="1271"/>
      <c r="UQX25" s="1271"/>
      <c r="UQY25" s="1271"/>
      <c r="UQZ25" s="1271"/>
      <c r="URA25" s="1271"/>
      <c r="URB25" s="1271"/>
      <c r="URC25" s="1271"/>
      <c r="URD25" s="1271"/>
      <c r="URE25" s="1271"/>
      <c r="URF25" s="1271"/>
      <c r="URG25" s="1271"/>
      <c r="URH25" s="1271"/>
      <c r="URI25" s="1271"/>
      <c r="URJ25" s="1271"/>
      <c r="URK25" s="1271"/>
      <c r="URL25" s="1271"/>
      <c r="URM25" s="1271"/>
      <c r="URN25" s="1271"/>
      <c r="URO25" s="1271"/>
      <c r="URP25" s="1271"/>
      <c r="URQ25" s="1271"/>
      <c r="URR25" s="1271"/>
      <c r="URS25" s="1271"/>
      <c r="URT25" s="1271"/>
      <c r="URU25" s="1271"/>
      <c r="URV25" s="1271"/>
      <c r="URW25" s="1271"/>
      <c r="URX25" s="1271"/>
      <c r="URY25" s="1271"/>
      <c r="URZ25" s="1271"/>
      <c r="USA25" s="1271"/>
      <c r="USB25" s="1271"/>
      <c r="USC25" s="1271"/>
      <c r="USD25" s="1271"/>
      <c r="USE25" s="1271"/>
      <c r="USF25" s="1271"/>
      <c r="USG25" s="1271"/>
      <c r="USH25" s="1271"/>
      <c r="USI25" s="1271"/>
      <c r="USJ25" s="1271"/>
      <c r="USK25" s="1271"/>
      <c r="USL25" s="1271"/>
      <c r="USM25" s="1271"/>
      <c r="USN25" s="1271"/>
      <c r="USO25" s="1271"/>
      <c r="USP25" s="1271"/>
      <c r="USQ25" s="1271"/>
      <c r="USR25" s="1271"/>
      <c r="USS25" s="1271"/>
      <c r="UST25" s="1271"/>
      <c r="USU25" s="1271"/>
      <c r="USV25" s="1271"/>
      <c r="USW25" s="1271"/>
      <c r="USX25" s="1271"/>
      <c r="USY25" s="1271"/>
      <c r="USZ25" s="1271"/>
      <c r="UTA25" s="1271"/>
      <c r="UTB25" s="1271"/>
      <c r="UTC25" s="1271"/>
      <c r="UTD25" s="1271"/>
      <c r="UTE25" s="1271"/>
      <c r="UTF25" s="1271"/>
      <c r="UTG25" s="1271"/>
      <c r="UTH25" s="1271"/>
      <c r="UTI25" s="1271"/>
      <c r="UTJ25" s="1271"/>
      <c r="UTK25" s="1271"/>
      <c r="UTL25" s="1271"/>
      <c r="UTM25" s="1271"/>
      <c r="UTN25" s="1271"/>
      <c r="UTO25" s="1271"/>
      <c r="UTP25" s="1271"/>
      <c r="UTQ25" s="1271"/>
      <c r="UTR25" s="1271"/>
      <c r="UTS25" s="1271"/>
      <c r="UTT25" s="1271"/>
      <c r="UTU25" s="1271"/>
      <c r="UTV25" s="1271"/>
      <c r="UTW25" s="1271"/>
      <c r="UTX25" s="1271"/>
      <c r="UTY25" s="1271"/>
      <c r="UTZ25" s="1271"/>
      <c r="UUA25" s="1271"/>
      <c r="UUB25" s="1271"/>
      <c r="UUC25" s="1271"/>
      <c r="UUD25" s="1271"/>
      <c r="UUE25" s="1271"/>
      <c r="UUF25" s="1271"/>
      <c r="UUG25" s="1271"/>
      <c r="UUH25" s="1271"/>
      <c r="UUI25" s="1271"/>
      <c r="UUJ25" s="1271"/>
      <c r="UUK25" s="1271"/>
      <c r="UUL25" s="1271"/>
      <c r="UUM25" s="1271"/>
      <c r="UUN25" s="1271"/>
      <c r="UUO25" s="1271"/>
      <c r="UUP25" s="1271"/>
      <c r="UUQ25" s="1271"/>
      <c r="UUR25" s="1271"/>
      <c r="UUS25" s="1271"/>
      <c r="UUT25" s="1271"/>
      <c r="UUU25" s="1271"/>
      <c r="UUV25" s="1271"/>
      <c r="UUW25" s="1271"/>
      <c r="UUX25" s="1271"/>
      <c r="UUY25" s="1271"/>
      <c r="UUZ25" s="1271"/>
      <c r="UVA25" s="1271"/>
      <c r="UVB25" s="1271"/>
      <c r="UVC25" s="1271"/>
      <c r="UVD25" s="1271"/>
      <c r="UVE25" s="1271"/>
      <c r="UVF25" s="1271"/>
      <c r="UVG25" s="1271"/>
      <c r="UVH25" s="1271"/>
      <c r="UVI25" s="1271"/>
      <c r="UVJ25" s="1271"/>
      <c r="UVK25" s="1271"/>
      <c r="UVL25" s="1271"/>
      <c r="UVM25" s="1271"/>
      <c r="UVN25" s="1271"/>
      <c r="UVO25" s="1271"/>
      <c r="UVP25" s="1271"/>
      <c r="UVQ25" s="1271"/>
      <c r="UVR25" s="1271"/>
      <c r="UVS25" s="1271"/>
      <c r="UVT25" s="1271"/>
      <c r="UVU25" s="1271"/>
      <c r="UVV25" s="1271"/>
      <c r="UVW25" s="1271"/>
      <c r="UVX25" s="1271"/>
      <c r="UVY25" s="1271"/>
      <c r="UVZ25" s="1271"/>
      <c r="UWA25" s="1271"/>
      <c r="UWB25" s="1271"/>
      <c r="UWC25" s="1271"/>
      <c r="UWD25" s="1271"/>
      <c r="UWE25" s="1271"/>
      <c r="UWF25" s="1271"/>
      <c r="UWG25" s="1271"/>
      <c r="UWH25" s="1271"/>
      <c r="UWI25" s="1271"/>
      <c r="UWJ25" s="1271"/>
      <c r="UWK25" s="1271"/>
      <c r="UWL25" s="1271"/>
      <c r="UWM25" s="1271"/>
      <c r="UWN25" s="1271"/>
      <c r="UWO25" s="1271"/>
      <c r="UWP25" s="1271"/>
      <c r="UWQ25" s="1271"/>
      <c r="UWR25" s="1271"/>
      <c r="UWS25" s="1271"/>
      <c r="UWT25" s="1271"/>
      <c r="UWU25" s="1271"/>
      <c r="UWV25" s="1271"/>
      <c r="UWW25" s="1271"/>
      <c r="UWX25" s="1271"/>
      <c r="UWY25" s="1271"/>
      <c r="UWZ25" s="1271"/>
      <c r="UXA25" s="1271"/>
      <c r="UXB25" s="1271"/>
      <c r="UXC25" s="1271"/>
      <c r="UXD25" s="1271"/>
      <c r="UXE25" s="1271"/>
      <c r="UXF25" s="1271"/>
      <c r="UXG25" s="1271"/>
      <c r="UXH25" s="1271"/>
      <c r="UXI25" s="1271"/>
      <c r="UXJ25" s="1271"/>
      <c r="UXK25" s="1271"/>
      <c r="UXL25" s="1271"/>
      <c r="UXM25" s="1271"/>
      <c r="UXN25" s="1271"/>
      <c r="UXO25" s="1271"/>
      <c r="UXP25" s="1271"/>
      <c r="UXQ25" s="1271"/>
      <c r="UXR25" s="1271"/>
      <c r="UXS25" s="1271"/>
      <c r="UXT25" s="1271"/>
      <c r="UXU25" s="1271"/>
      <c r="UXV25" s="1271"/>
      <c r="UXW25" s="1271"/>
      <c r="UXX25" s="1271"/>
      <c r="UXY25" s="1271"/>
      <c r="UXZ25" s="1271"/>
      <c r="UYA25" s="1271"/>
      <c r="UYB25" s="1271"/>
      <c r="UYC25" s="1271"/>
      <c r="UYD25" s="1271"/>
      <c r="UYE25" s="1271"/>
      <c r="UYF25" s="1271"/>
      <c r="UYG25" s="1271"/>
      <c r="UYH25" s="1271"/>
      <c r="UYI25" s="1271"/>
      <c r="UYJ25" s="1271"/>
      <c r="UYK25" s="1271"/>
      <c r="UYL25" s="1271"/>
      <c r="UYM25" s="1271"/>
      <c r="UYN25" s="1271"/>
      <c r="UYO25" s="1271"/>
      <c r="UYP25" s="1271"/>
      <c r="UYQ25" s="1271"/>
      <c r="UYR25" s="1271"/>
      <c r="UYS25" s="1271"/>
      <c r="UYT25" s="1271"/>
      <c r="UYU25" s="1271"/>
      <c r="UYV25" s="1271"/>
      <c r="UYW25" s="1271"/>
      <c r="UYX25" s="1271"/>
      <c r="UYY25" s="1271"/>
      <c r="UYZ25" s="1271"/>
      <c r="UZA25" s="1271"/>
      <c r="UZB25" s="1271"/>
      <c r="UZC25" s="1271"/>
      <c r="UZD25" s="1271"/>
      <c r="UZE25" s="1271"/>
      <c r="UZF25" s="1271"/>
      <c r="UZG25" s="1271"/>
      <c r="UZH25" s="1271"/>
      <c r="UZI25" s="1271"/>
      <c r="UZJ25" s="1271"/>
      <c r="UZK25" s="1271"/>
      <c r="UZL25" s="1271"/>
      <c r="UZM25" s="1271"/>
      <c r="UZN25" s="1271"/>
      <c r="UZO25" s="1271"/>
      <c r="UZP25" s="1271"/>
      <c r="UZQ25" s="1271"/>
      <c r="UZR25" s="1271"/>
      <c r="UZS25" s="1271"/>
      <c r="UZT25" s="1271"/>
      <c r="UZU25" s="1271"/>
      <c r="UZV25" s="1271"/>
      <c r="UZW25" s="1271"/>
      <c r="UZX25" s="1271"/>
      <c r="UZY25" s="1271"/>
      <c r="UZZ25" s="1271"/>
      <c r="VAA25" s="1271"/>
      <c r="VAB25" s="1271"/>
      <c r="VAC25" s="1271"/>
      <c r="VAD25" s="1271"/>
      <c r="VAE25" s="1271"/>
      <c r="VAF25" s="1271"/>
      <c r="VAG25" s="1271"/>
      <c r="VAH25" s="1271"/>
      <c r="VAI25" s="1271"/>
      <c r="VAJ25" s="1271"/>
      <c r="VAK25" s="1271"/>
      <c r="VAL25" s="1271"/>
      <c r="VAM25" s="1271"/>
      <c r="VAN25" s="1271"/>
      <c r="VAO25" s="1271"/>
      <c r="VAP25" s="1271"/>
      <c r="VAQ25" s="1271"/>
      <c r="VAR25" s="1271"/>
      <c r="VAS25" s="1271"/>
      <c r="VAT25" s="1271"/>
      <c r="VAU25" s="1271"/>
      <c r="VAV25" s="1271"/>
      <c r="VAW25" s="1271"/>
      <c r="VAX25" s="1271"/>
      <c r="VAY25" s="1271"/>
      <c r="VAZ25" s="1271"/>
      <c r="VBA25" s="1271"/>
      <c r="VBB25" s="1271"/>
      <c r="VBC25" s="1271"/>
      <c r="VBD25" s="1271"/>
      <c r="VBE25" s="1271"/>
      <c r="VBF25" s="1271"/>
      <c r="VBG25" s="1271"/>
      <c r="VBH25" s="1271"/>
      <c r="VBI25" s="1271"/>
      <c r="VBJ25" s="1271"/>
      <c r="VBK25" s="1271"/>
      <c r="VBL25" s="1271"/>
      <c r="VBM25" s="1271"/>
      <c r="VBN25" s="1271"/>
      <c r="VBO25" s="1271"/>
      <c r="VBP25" s="1271"/>
      <c r="VBQ25" s="1271"/>
      <c r="VBR25" s="1271"/>
      <c r="VBS25" s="1271"/>
      <c r="VBT25" s="1271"/>
      <c r="VBU25" s="1271"/>
      <c r="VBV25" s="1271"/>
      <c r="VBW25" s="1271"/>
      <c r="VBX25" s="1271"/>
      <c r="VBY25" s="1271"/>
      <c r="VBZ25" s="1271"/>
      <c r="VCA25" s="1271"/>
      <c r="VCB25" s="1271"/>
      <c r="VCC25" s="1271"/>
      <c r="VCD25" s="1271"/>
      <c r="VCE25" s="1271"/>
      <c r="VCF25" s="1271"/>
      <c r="VCG25" s="1271"/>
      <c r="VCH25" s="1271"/>
      <c r="VCI25" s="1271"/>
      <c r="VCJ25" s="1271"/>
      <c r="VCK25" s="1271"/>
      <c r="VCL25" s="1271"/>
      <c r="VCM25" s="1271"/>
      <c r="VCN25" s="1271"/>
      <c r="VCO25" s="1271"/>
      <c r="VCP25" s="1271"/>
      <c r="VCQ25" s="1271"/>
      <c r="VCR25" s="1271"/>
      <c r="VCS25" s="1271"/>
      <c r="VCT25" s="1271"/>
      <c r="VCU25" s="1271"/>
      <c r="VCV25" s="1271"/>
      <c r="VCW25" s="1271"/>
      <c r="VCX25" s="1271"/>
      <c r="VCY25" s="1271"/>
      <c r="VCZ25" s="1271"/>
      <c r="VDA25" s="1271"/>
      <c r="VDB25" s="1271"/>
      <c r="VDC25" s="1271"/>
      <c r="VDD25" s="1271"/>
      <c r="VDE25" s="1271"/>
      <c r="VDF25" s="1271"/>
      <c r="VDG25" s="1271"/>
      <c r="VDH25" s="1271"/>
      <c r="VDI25" s="1271"/>
      <c r="VDJ25" s="1271"/>
      <c r="VDK25" s="1271"/>
      <c r="VDL25" s="1271"/>
      <c r="VDM25" s="1271"/>
      <c r="VDN25" s="1271"/>
      <c r="VDO25" s="1271"/>
      <c r="VDP25" s="1271"/>
      <c r="VDQ25" s="1271"/>
      <c r="VDR25" s="1271"/>
      <c r="VDS25" s="1271"/>
      <c r="VDT25" s="1271"/>
      <c r="VDU25" s="1271"/>
      <c r="VDV25" s="1271"/>
      <c r="VDW25" s="1271"/>
      <c r="VDX25" s="1271"/>
      <c r="VDY25" s="1271"/>
      <c r="VDZ25" s="1271"/>
      <c r="VEA25" s="1271"/>
      <c r="VEB25" s="1271"/>
      <c r="VEC25" s="1271"/>
      <c r="VED25" s="1271"/>
      <c r="VEE25" s="1271"/>
      <c r="VEF25" s="1271"/>
      <c r="VEG25" s="1271"/>
      <c r="VEH25" s="1271"/>
      <c r="VEI25" s="1271"/>
      <c r="VEJ25" s="1271"/>
      <c r="VEK25" s="1271"/>
      <c r="VEL25" s="1271"/>
      <c r="VEM25" s="1271"/>
      <c r="VEN25" s="1271"/>
      <c r="VEO25" s="1271"/>
      <c r="VEP25" s="1271"/>
      <c r="VEQ25" s="1271"/>
      <c r="VER25" s="1271"/>
      <c r="VES25" s="1271"/>
      <c r="VET25" s="1271"/>
      <c r="VEU25" s="1271"/>
      <c r="VEV25" s="1271"/>
      <c r="VEW25" s="1271"/>
      <c r="VEX25" s="1271"/>
      <c r="VEY25" s="1271"/>
      <c r="VEZ25" s="1271"/>
      <c r="VFA25" s="1271"/>
      <c r="VFB25" s="1271"/>
      <c r="VFC25" s="1271"/>
      <c r="VFD25" s="1271"/>
      <c r="VFE25" s="1271"/>
      <c r="VFF25" s="1271"/>
      <c r="VFG25" s="1271"/>
      <c r="VFH25" s="1271"/>
      <c r="VFI25" s="1271"/>
      <c r="VFJ25" s="1271"/>
      <c r="VFK25" s="1271"/>
      <c r="VFL25" s="1271"/>
      <c r="VFM25" s="1271"/>
      <c r="VFN25" s="1271"/>
      <c r="VFO25" s="1271"/>
      <c r="VFP25" s="1271"/>
      <c r="VFQ25" s="1271"/>
      <c r="VFR25" s="1271"/>
      <c r="VFS25" s="1271"/>
      <c r="VFT25" s="1271"/>
      <c r="VFU25" s="1271"/>
      <c r="VFV25" s="1271"/>
      <c r="VFW25" s="1271"/>
      <c r="VFX25" s="1271"/>
      <c r="VFY25" s="1271"/>
      <c r="VFZ25" s="1271"/>
      <c r="VGA25" s="1271"/>
      <c r="VGB25" s="1271"/>
      <c r="VGC25" s="1271"/>
      <c r="VGD25" s="1271"/>
      <c r="VGE25" s="1271"/>
      <c r="VGF25" s="1271"/>
      <c r="VGG25" s="1271"/>
      <c r="VGH25" s="1271"/>
      <c r="VGI25" s="1271"/>
      <c r="VGJ25" s="1271"/>
      <c r="VGK25" s="1271"/>
      <c r="VGL25" s="1271"/>
      <c r="VGM25" s="1271"/>
      <c r="VGN25" s="1271"/>
      <c r="VGO25" s="1271"/>
      <c r="VGP25" s="1271"/>
      <c r="VGQ25" s="1271"/>
      <c r="VGR25" s="1271"/>
      <c r="VGS25" s="1271"/>
      <c r="VGT25" s="1271"/>
      <c r="VGU25" s="1271"/>
      <c r="VGV25" s="1271"/>
      <c r="VGW25" s="1271"/>
      <c r="VGX25" s="1271"/>
      <c r="VGY25" s="1271"/>
      <c r="VGZ25" s="1271"/>
      <c r="VHA25" s="1271"/>
      <c r="VHB25" s="1271"/>
      <c r="VHC25" s="1271"/>
      <c r="VHD25" s="1271"/>
      <c r="VHE25" s="1271"/>
      <c r="VHF25" s="1271"/>
      <c r="VHG25" s="1271"/>
      <c r="VHH25" s="1271"/>
      <c r="VHI25" s="1271"/>
      <c r="VHJ25" s="1271"/>
      <c r="VHK25" s="1271"/>
      <c r="VHL25" s="1271"/>
      <c r="VHM25" s="1271"/>
      <c r="VHN25" s="1271"/>
      <c r="VHO25" s="1271"/>
      <c r="VHP25" s="1271"/>
      <c r="VHQ25" s="1271"/>
      <c r="VHR25" s="1271"/>
      <c r="VHS25" s="1271"/>
      <c r="VHT25" s="1271"/>
      <c r="VHU25" s="1271"/>
      <c r="VHV25" s="1271"/>
      <c r="VHW25" s="1271"/>
      <c r="VHX25" s="1271"/>
      <c r="VHY25" s="1271"/>
      <c r="VHZ25" s="1271"/>
      <c r="VIA25" s="1271"/>
      <c r="VIB25" s="1271"/>
      <c r="VIC25" s="1271"/>
      <c r="VID25" s="1271"/>
      <c r="VIE25" s="1271"/>
      <c r="VIF25" s="1271"/>
      <c r="VIG25" s="1271"/>
      <c r="VIH25" s="1271"/>
      <c r="VII25" s="1271"/>
      <c r="VIJ25" s="1271"/>
      <c r="VIK25" s="1271"/>
      <c r="VIL25" s="1271"/>
      <c r="VIM25" s="1271"/>
      <c r="VIN25" s="1271"/>
      <c r="VIO25" s="1271"/>
      <c r="VIP25" s="1271"/>
      <c r="VIQ25" s="1271"/>
      <c r="VIR25" s="1271"/>
      <c r="VIS25" s="1271"/>
      <c r="VIT25" s="1271"/>
      <c r="VIU25" s="1271"/>
      <c r="VIV25" s="1271"/>
      <c r="VIW25" s="1271"/>
      <c r="VIX25" s="1271"/>
      <c r="VIY25" s="1271"/>
      <c r="VIZ25" s="1271"/>
      <c r="VJA25" s="1271"/>
      <c r="VJB25" s="1271"/>
      <c r="VJC25" s="1271"/>
      <c r="VJD25" s="1271"/>
      <c r="VJE25" s="1271"/>
      <c r="VJF25" s="1271"/>
      <c r="VJG25" s="1271"/>
      <c r="VJH25" s="1271"/>
      <c r="VJI25" s="1271"/>
      <c r="VJJ25" s="1271"/>
      <c r="VJK25" s="1271"/>
      <c r="VJL25" s="1271"/>
      <c r="VJM25" s="1271"/>
      <c r="VJN25" s="1271"/>
      <c r="VJO25" s="1271"/>
      <c r="VJP25" s="1271"/>
      <c r="VJQ25" s="1271"/>
      <c r="VJR25" s="1271"/>
      <c r="VJS25" s="1271"/>
      <c r="VJT25" s="1271"/>
      <c r="VJU25" s="1271"/>
      <c r="VJV25" s="1271"/>
      <c r="VJW25" s="1271"/>
      <c r="VJX25" s="1271"/>
      <c r="VJY25" s="1271"/>
      <c r="VJZ25" s="1271"/>
      <c r="VKA25" s="1271"/>
      <c r="VKB25" s="1271"/>
      <c r="VKC25" s="1271"/>
      <c r="VKD25" s="1271"/>
      <c r="VKE25" s="1271"/>
      <c r="VKF25" s="1271"/>
      <c r="VKG25" s="1271"/>
      <c r="VKH25" s="1271"/>
      <c r="VKI25" s="1271"/>
      <c r="VKJ25" s="1271"/>
      <c r="VKK25" s="1271"/>
      <c r="VKL25" s="1271"/>
      <c r="VKM25" s="1271"/>
      <c r="VKN25" s="1271"/>
      <c r="VKO25" s="1271"/>
      <c r="VKP25" s="1271"/>
      <c r="VKQ25" s="1271"/>
      <c r="VKR25" s="1271"/>
      <c r="VKS25" s="1271"/>
      <c r="VKT25" s="1271"/>
      <c r="VKU25" s="1271"/>
      <c r="VKV25" s="1271"/>
      <c r="VKW25" s="1271"/>
      <c r="VKX25" s="1271"/>
      <c r="VKY25" s="1271"/>
      <c r="VKZ25" s="1271"/>
      <c r="VLA25" s="1271"/>
      <c r="VLB25" s="1271"/>
      <c r="VLC25" s="1271"/>
      <c r="VLD25" s="1271"/>
      <c r="VLE25" s="1271"/>
      <c r="VLF25" s="1271"/>
      <c r="VLG25" s="1271"/>
      <c r="VLH25" s="1271"/>
      <c r="VLI25" s="1271"/>
      <c r="VLJ25" s="1271"/>
      <c r="VLK25" s="1271"/>
      <c r="VLL25" s="1271"/>
      <c r="VLM25" s="1271"/>
      <c r="VLN25" s="1271"/>
      <c r="VLO25" s="1271"/>
      <c r="VLP25" s="1271"/>
      <c r="VLQ25" s="1271"/>
      <c r="VLR25" s="1271"/>
      <c r="VLS25" s="1271"/>
      <c r="VLT25" s="1271"/>
      <c r="VLU25" s="1271"/>
      <c r="VLV25" s="1271"/>
      <c r="VLW25" s="1271"/>
      <c r="VLX25" s="1271"/>
      <c r="VLY25" s="1271"/>
      <c r="VLZ25" s="1271"/>
      <c r="VMA25" s="1271"/>
      <c r="VMB25" s="1271"/>
      <c r="VMC25" s="1271"/>
      <c r="VMD25" s="1271"/>
      <c r="VME25" s="1271"/>
      <c r="VMF25" s="1271"/>
      <c r="VMG25" s="1271"/>
      <c r="VMH25" s="1271"/>
      <c r="VMI25" s="1271"/>
      <c r="VMJ25" s="1271"/>
      <c r="VMK25" s="1271"/>
      <c r="VML25" s="1271"/>
      <c r="VMM25" s="1271"/>
      <c r="VMN25" s="1271"/>
      <c r="VMO25" s="1271"/>
      <c r="VMP25" s="1271"/>
      <c r="VMQ25" s="1271"/>
      <c r="VMR25" s="1271"/>
      <c r="VMS25" s="1271"/>
      <c r="VMT25" s="1271"/>
      <c r="VMU25" s="1271"/>
      <c r="VMV25" s="1271"/>
      <c r="VMW25" s="1271"/>
      <c r="VMX25" s="1271"/>
      <c r="VMY25" s="1271"/>
      <c r="VMZ25" s="1271"/>
      <c r="VNA25" s="1271"/>
      <c r="VNB25" s="1271"/>
      <c r="VNC25" s="1271"/>
      <c r="VND25" s="1271"/>
      <c r="VNE25" s="1271"/>
      <c r="VNF25" s="1271"/>
      <c r="VNG25" s="1271"/>
      <c r="VNH25" s="1271"/>
      <c r="VNI25" s="1271"/>
      <c r="VNJ25" s="1271"/>
      <c r="VNK25" s="1271"/>
      <c r="VNL25" s="1271"/>
      <c r="VNM25" s="1271"/>
      <c r="VNN25" s="1271"/>
      <c r="VNO25" s="1271"/>
      <c r="VNP25" s="1271"/>
      <c r="VNQ25" s="1271"/>
      <c r="VNR25" s="1271"/>
      <c r="VNS25" s="1271"/>
      <c r="VNT25" s="1271"/>
      <c r="VNU25" s="1271"/>
      <c r="VNV25" s="1271"/>
      <c r="VNW25" s="1271"/>
      <c r="VNX25" s="1271"/>
      <c r="VNY25" s="1271"/>
      <c r="VNZ25" s="1271"/>
      <c r="VOA25" s="1271"/>
      <c r="VOB25" s="1271"/>
      <c r="VOC25" s="1271"/>
      <c r="VOD25" s="1271"/>
      <c r="VOE25" s="1271"/>
      <c r="VOF25" s="1271"/>
      <c r="VOG25" s="1271"/>
      <c r="VOH25" s="1271"/>
      <c r="VOI25" s="1271"/>
      <c r="VOJ25" s="1271"/>
      <c r="VOK25" s="1271"/>
      <c r="VOL25" s="1271"/>
      <c r="VOM25" s="1271"/>
      <c r="VON25" s="1271"/>
      <c r="VOO25" s="1271"/>
      <c r="VOP25" s="1271"/>
      <c r="VOQ25" s="1271"/>
      <c r="VOR25" s="1271"/>
      <c r="VOS25" s="1271"/>
      <c r="VOT25" s="1271"/>
      <c r="VOU25" s="1271"/>
      <c r="VOV25" s="1271"/>
      <c r="VOW25" s="1271"/>
      <c r="VOX25" s="1271"/>
      <c r="VOY25" s="1271"/>
      <c r="VOZ25" s="1271"/>
      <c r="VPA25" s="1271"/>
      <c r="VPB25" s="1271"/>
      <c r="VPC25" s="1271"/>
      <c r="VPD25" s="1271"/>
      <c r="VPE25" s="1271"/>
      <c r="VPF25" s="1271"/>
      <c r="VPG25" s="1271"/>
      <c r="VPH25" s="1271"/>
      <c r="VPI25" s="1271"/>
      <c r="VPJ25" s="1271"/>
      <c r="VPK25" s="1271"/>
      <c r="VPL25" s="1271"/>
      <c r="VPM25" s="1271"/>
      <c r="VPN25" s="1271"/>
      <c r="VPO25" s="1271"/>
      <c r="VPP25" s="1271"/>
      <c r="VPQ25" s="1271"/>
      <c r="VPR25" s="1271"/>
      <c r="VPS25" s="1271"/>
      <c r="VPT25" s="1271"/>
      <c r="VPU25" s="1271"/>
      <c r="VPV25" s="1271"/>
      <c r="VPW25" s="1271"/>
      <c r="VPX25" s="1271"/>
      <c r="VPY25" s="1271"/>
      <c r="VPZ25" s="1271"/>
      <c r="VQA25" s="1271"/>
      <c r="VQB25" s="1271"/>
      <c r="VQC25" s="1271"/>
      <c r="VQD25" s="1271"/>
      <c r="VQE25" s="1271"/>
      <c r="VQF25" s="1271"/>
      <c r="VQG25" s="1271"/>
      <c r="VQH25" s="1271"/>
      <c r="VQI25" s="1271"/>
      <c r="VQJ25" s="1271"/>
      <c r="VQK25" s="1271"/>
      <c r="VQL25" s="1271"/>
      <c r="VQM25" s="1271"/>
      <c r="VQN25" s="1271"/>
      <c r="VQO25" s="1271"/>
      <c r="VQP25" s="1271"/>
      <c r="VQQ25" s="1271"/>
      <c r="VQR25" s="1271"/>
      <c r="VQS25" s="1271"/>
      <c r="VQT25" s="1271"/>
      <c r="VQU25" s="1271"/>
      <c r="VQV25" s="1271"/>
      <c r="VQW25" s="1271"/>
      <c r="VQX25" s="1271"/>
      <c r="VQY25" s="1271"/>
      <c r="VQZ25" s="1271"/>
      <c r="VRA25" s="1271"/>
      <c r="VRB25" s="1271"/>
      <c r="VRC25" s="1271"/>
      <c r="VRD25" s="1271"/>
      <c r="VRE25" s="1271"/>
      <c r="VRF25" s="1271"/>
      <c r="VRG25" s="1271"/>
      <c r="VRH25" s="1271"/>
      <c r="VRI25" s="1271"/>
      <c r="VRJ25" s="1271"/>
      <c r="VRK25" s="1271"/>
      <c r="VRL25" s="1271"/>
      <c r="VRM25" s="1271"/>
      <c r="VRN25" s="1271"/>
      <c r="VRO25" s="1271"/>
      <c r="VRP25" s="1271"/>
      <c r="VRQ25" s="1271"/>
      <c r="VRR25" s="1271"/>
      <c r="VRS25" s="1271"/>
      <c r="VRT25" s="1271"/>
      <c r="VRU25" s="1271"/>
      <c r="VRV25" s="1271"/>
      <c r="VRW25" s="1271"/>
      <c r="VRX25" s="1271"/>
      <c r="VRY25" s="1271"/>
      <c r="VRZ25" s="1271"/>
      <c r="VSA25" s="1271"/>
      <c r="VSB25" s="1271"/>
      <c r="VSC25" s="1271"/>
      <c r="VSD25" s="1271"/>
      <c r="VSE25" s="1271"/>
      <c r="VSF25" s="1271"/>
      <c r="VSG25" s="1271"/>
      <c r="VSH25" s="1271"/>
      <c r="VSI25" s="1271"/>
      <c r="VSJ25" s="1271"/>
      <c r="VSK25" s="1271"/>
      <c r="VSL25" s="1271"/>
      <c r="VSM25" s="1271"/>
      <c r="VSN25" s="1271"/>
      <c r="VSO25" s="1271"/>
      <c r="VSP25" s="1271"/>
      <c r="VSQ25" s="1271"/>
      <c r="VSR25" s="1271"/>
      <c r="VSS25" s="1271"/>
      <c r="VST25" s="1271"/>
      <c r="VSU25" s="1271"/>
      <c r="VSV25" s="1271"/>
      <c r="VSW25" s="1271"/>
      <c r="VSX25" s="1271"/>
      <c r="VSY25" s="1271"/>
      <c r="VSZ25" s="1271"/>
      <c r="VTA25" s="1271"/>
      <c r="VTB25" s="1271"/>
      <c r="VTC25" s="1271"/>
      <c r="VTD25" s="1271"/>
      <c r="VTE25" s="1271"/>
      <c r="VTF25" s="1271"/>
      <c r="VTG25" s="1271"/>
      <c r="VTH25" s="1271"/>
      <c r="VTI25" s="1271"/>
      <c r="VTJ25" s="1271"/>
      <c r="VTK25" s="1271"/>
      <c r="VTL25" s="1271"/>
      <c r="VTM25" s="1271"/>
      <c r="VTN25" s="1271"/>
      <c r="VTO25" s="1271"/>
      <c r="VTP25" s="1271"/>
      <c r="VTQ25" s="1271"/>
      <c r="VTR25" s="1271"/>
      <c r="VTS25" s="1271"/>
      <c r="VTT25" s="1271"/>
      <c r="VTU25" s="1271"/>
      <c r="VTV25" s="1271"/>
      <c r="VTW25" s="1271"/>
      <c r="VTX25" s="1271"/>
      <c r="VTY25" s="1271"/>
      <c r="VTZ25" s="1271"/>
      <c r="VUA25" s="1271"/>
      <c r="VUB25" s="1271"/>
      <c r="VUC25" s="1271"/>
      <c r="VUD25" s="1271"/>
      <c r="VUE25" s="1271"/>
      <c r="VUF25" s="1271"/>
      <c r="VUG25" s="1271"/>
      <c r="VUH25" s="1271"/>
      <c r="VUI25" s="1271"/>
      <c r="VUJ25" s="1271"/>
      <c r="VUK25" s="1271"/>
      <c r="VUL25" s="1271"/>
      <c r="VUM25" s="1271"/>
      <c r="VUN25" s="1271"/>
      <c r="VUO25" s="1271"/>
      <c r="VUP25" s="1271"/>
      <c r="VUQ25" s="1271"/>
      <c r="VUR25" s="1271"/>
      <c r="VUS25" s="1271"/>
      <c r="VUT25" s="1271"/>
      <c r="VUU25" s="1271"/>
      <c r="VUV25" s="1271"/>
      <c r="VUW25" s="1271"/>
      <c r="VUX25" s="1271"/>
      <c r="VUY25" s="1271"/>
      <c r="VUZ25" s="1271"/>
      <c r="VVA25" s="1271"/>
      <c r="VVB25" s="1271"/>
      <c r="VVC25" s="1271"/>
      <c r="VVD25" s="1271"/>
      <c r="VVE25" s="1271"/>
      <c r="VVF25" s="1271"/>
      <c r="VVG25" s="1271"/>
      <c r="VVH25" s="1271"/>
      <c r="VVI25" s="1271"/>
      <c r="VVJ25" s="1271"/>
      <c r="VVK25" s="1271"/>
      <c r="VVL25" s="1271"/>
      <c r="VVM25" s="1271"/>
      <c r="VVN25" s="1271"/>
      <c r="VVO25" s="1271"/>
      <c r="VVP25" s="1271"/>
      <c r="VVQ25" s="1271"/>
      <c r="VVR25" s="1271"/>
      <c r="VVS25" s="1271"/>
      <c r="VVT25" s="1271"/>
      <c r="VVU25" s="1271"/>
      <c r="VVV25" s="1271"/>
      <c r="VVW25" s="1271"/>
      <c r="VVX25" s="1271"/>
      <c r="VVY25" s="1271"/>
      <c r="VVZ25" s="1271"/>
      <c r="VWA25" s="1271"/>
      <c r="VWB25" s="1271"/>
      <c r="VWC25" s="1271"/>
      <c r="VWD25" s="1271"/>
      <c r="VWE25" s="1271"/>
      <c r="VWF25" s="1271"/>
      <c r="VWG25" s="1271"/>
      <c r="VWH25" s="1271"/>
      <c r="VWI25" s="1271"/>
      <c r="VWJ25" s="1271"/>
      <c r="VWK25" s="1271"/>
      <c r="VWL25" s="1271"/>
      <c r="VWM25" s="1271"/>
      <c r="VWN25" s="1271"/>
      <c r="VWO25" s="1271"/>
      <c r="VWP25" s="1271"/>
      <c r="VWQ25" s="1271"/>
      <c r="VWR25" s="1271"/>
      <c r="VWS25" s="1271"/>
      <c r="VWT25" s="1271"/>
      <c r="VWU25" s="1271"/>
      <c r="VWV25" s="1271"/>
      <c r="VWW25" s="1271"/>
      <c r="VWX25" s="1271"/>
      <c r="VWY25" s="1271"/>
      <c r="VWZ25" s="1271"/>
      <c r="VXA25" s="1271"/>
      <c r="VXB25" s="1271"/>
      <c r="VXC25" s="1271"/>
      <c r="VXD25" s="1271"/>
      <c r="VXE25" s="1271"/>
      <c r="VXF25" s="1271"/>
      <c r="VXG25" s="1271"/>
      <c r="VXH25" s="1271"/>
      <c r="VXI25" s="1271"/>
      <c r="VXJ25" s="1271"/>
      <c r="VXK25" s="1271"/>
      <c r="VXL25" s="1271"/>
      <c r="VXM25" s="1271"/>
      <c r="VXN25" s="1271"/>
      <c r="VXO25" s="1271"/>
      <c r="VXP25" s="1271"/>
      <c r="VXQ25" s="1271"/>
      <c r="VXR25" s="1271"/>
      <c r="VXS25" s="1271"/>
      <c r="VXT25" s="1271"/>
      <c r="VXU25" s="1271"/>
      <c r="VXV25" s="1271"/>
      <c r="VXW25" s="1271"/>
      <c r="VXX25" s="1271"/>
      <c r="VXY25" s="1271"/>
      <c r="VXZ25" s="1271"/>
      <c r="VYA25" s="1271"/>
      <c r="VYB25" s="1271"/>
      <c r="VYC25" s="1271"/>
      <c r="VYD25" s="1271"/>
      <c r="VYE25" s="1271"/>
      <c r="VYF25" s="1271"/>
      <c r="VYG25" s="1271"/>
      <c r="VYH25" s="1271"/>
      <c r="VYI25" s="1271"/>
      <c r="VYJ25" s="1271"/>
      <c r="VYK25" s="1271"/>
      <c r="VYL25" s="1271"/>
      <c r="VYM25" s="1271"/>
      <c r="VYN25" s="1271"/>
      <c r="VYO25" s="1271"/>
      <c r="VYP25" s="1271"/>
      <c r="VYQ25" s="1271"/>
      <c r="VYR25" s="1271"/>
      <c r="VYS25" s="1271"/>
      <c r="VYT25" s="1271"/>
      <c r="VYU25" s="1271"/>
      <c r="VYV25" s="1271"/>
      <c r="VYW25" s="1271"/>
      <c r="VYX25" s="1271"/>
      <c r="VYY25" s="1271"/>
      <c r="VYZ25" s="1271"/>
      <c r="VZA25" s="1271"/>
      <c r="VZB25" s="1271"/>
      <c r="VZC25" s="1271"/>
      <c r="VZD25" s="1271"/>
      <c r="VZE25" s="1271"/>
      <c r="VZF25" s="1271"/>
      <c r="VZG25" s="1271"/>
      <c r="VZH25" s="1271"/>
      <c r="VZI25" s="1271"/>
      <c r="VZJ25" s="1271"/>
      <c r="VZK25" s="1271"/>
      <c r="VZL25" s="1271"/>
      <c r="VZM25" s="1271"/>
      <c r="VZN25" s="1271"/>
      <c r="VZO25" s="1271"/>
      <c r="VZP25" s="1271"/>
      <c r="VZQ25" s="1271"/>
      <c r="VZR25" s="1271"/>
      <c r="VZS25" s="1271"/>
      <c r="VZT25" s="1271"/>
      <c r="VZU25" s="1271"/>
      <c r="VZV25" s="1271"/>
      <c r="VZW25" s="1271"/>
      <c r="VZX25" s="1271"/>
      <c r="VZY25" s="1271"/>
      <c r="VZZ25" s="1271"/>
      <c r="WAA25" s="1271"/>
      <c r="WAB25" s="1271"/>
      <c r="WAC25" s="1271"/>
      <c r="WAD25" s="1271"/>
      <c r="WAE25" s="1271"/>
      <c r="WAF25" s="1271"/>
      <c r="WAG25" s="1271"/>
      <c r="WAH25" s="1271"/>
      <c r="WAI25" s="1271"/>
      <c r="WAJ25" s="1271"/>
      <c r="WAK25" s="1271"/>
      <c r="WAL25" s="1271"/>
      <c r="WAM25" s="1271"/>
      <c r="WAN25" s="1271"/>
      <c r="WAO25" s="1271"/>
      <c r="WAP25" s="1271"/>
      <c r="WAQ25" s="1271"/>
      <c r="WAR25" s="1271"/>
      <c r="WAS25" s="1271"/>
      <c r="WAT25" s="1271"/>
      <c r="WAU25" s="1271"/>
      <c r="WAV25" s="1271"/>
      <c r="WAW25" s="1271"/>
      <c r="WAX25" s="1271"/>
      <c r="WAY25" s="1271"/>
      <c r="WAZ25" s="1271"/>
      <c r="WBA25" s="1271"/>
      <c r="WBB25" s="1271"/>
      <c r="WBC25" s="1271"/>
      <c r="WBD25" s="1271"/>
      <c r="WBE25" s="1271"/>
      <c r="WBF25" s="1271"/>
      <c r="WBG25" s="1271"/>
      <c r="WBH25" s="1271"/>
      <c r="WBI25" s="1271"/>
      <c r="WBJ25" s="1271"/>
      <c r="WBK25" s="1271"/>
      <c r="WBL25" s="1271"/>
      <c r="WBM25" s="1271"/>
      <c r="WBN25" s="1271"/>
      <c r="WBO25" s="1271"/>
      <c r="WBP25" s="1271"/>
      <c r="WBQ25" s="1271"/>
      <c r="WBR25" s="1271"/>
      <c r="WBS25" s="1271"/>
      <c r="WBT25" s="1271"/>
      <c r="WBU25" s="1271"/>
      <c r="WBV25" s="1271"/>
      <c r="WBW25" s="1271"/>
      <c r="WBX25" s="1271"/>
      <c r="WBY25" s="1271"/>
      <c r="WBZ25" s="1271"/>
      <c r="WCA25" s="1271"/>
      <c r="WCB25" s="1271"/>
      <c r="WCC25" s="1271"/>
      <c r="WCD25" s="1271"/>
      <c r="WCE25" s="1271"/>
      <c r="WCF25" s="1271"/>
      <c r="WCG25" s="1271"/>
      <c r="WCH25" s="1271"/>
      <c r="WCI25" s="1271"/>
      <c r="WCJ25" s="1271"/>
      <c r="WCK25" s="1271"/>
      <c r="WCL25" s="1271"/>
      <c r="WCM25" s="1271"/>
      <c r="WCN25" s="1271"/>
      <c r="WCO25" s="1271"/>
      <c r="WCP25" s="1271"/>
      <c r="WCQ25" s="1271"/>
      <c r="WCR25" s="1271"/>
      <c r="WCS25" s="1271"/>
      <c r="WCT25" s="1271"/>
      <c r="WCU25" s="1271"/>
      <c r="WCV25" s="1271"/>
      <c r="WCW25" s="1271"/>
      <c r="WCX25" s="1271"/>
      <c r="WCY25" s="1271"/>
      <c r="WCZ25" s="1271"/>
      <c r="WDA25" s="1271"/>
      <c r="WDB25" s="1271"/>
      <c r="WDC25" s="1271"/>
      <c r="WDD25" s="1271"/>
      <c r="WDE25" s="1271"/>
      <c r="WDF25" s="1271"/>
      <c r="WDG25" s="1271"/>
      <c r="WDH25" s="1271"/>
      <c r="WDI25" s="1271"/>
      <c r="WDJ25" s="1271"/>
      <c r="WDK25" s="1271"/>
      <c r="WDL25" s="1271"/>
      <c r="WDM25" s="1271"/>
      <c r="WDN25" s="1271"/>
      <c r="WDO25" s="1271"/>
      <c r="WDP25" s="1271"/>
      <c r="WDQ25" s="1271"/>
      <c r="WDR25" s="1271"/>
      <c r="WDS25" s="1271"/>
      <c r="WDT25" s="1271"/>
      <c r="WDU25" s="1271"/>
      <c r="WDV25" s="1271"/>
      <c r="WDW25" s="1271"/>
      <c r="WDX25" s="1271"/>
      <c r="WDY25" s="1271"/>
      <c r="WDZ25" s="1271"/>
      <c r="WEA25" s="1271"/>
      <c r="WEB25" s="1271"/>
      <c r="WEC25" s="1271"/>
      <c r="WED25" s="1271"/>
      <c r="WEE25" s="1271"/>
      <c r="WEF25" s="1271"/>
      <c r="WEG25" s="1271"/>
      <c r="WEH25" s="1271"/>
      <c r="WEI25" s="1271"/>
      <c r="WEJ25" s="1271"/>
      <c r="WEK25" s="1271"/>
      <c r="WEL25" s="1271"/>
      <c r="WEM25" s="1271"/>
      <c r="WEN25" s="1271"/>
      <c r="WEO25" s="1271"/>
      <c r="WEP25" s="1271"/>
      <c r="WEQ25" s="1271"/>
      <c r="WER25" s="1271"/>
      <c r="WES25" s="1271"/>
      <c r="WET25" s="1271"/>
      <c r="WEU25" s="1271"/>
      <c r="WEV25" s="1271"/>
      <c r="WEW25" s="1271"/>
      <c r="WEX25" s="1271"/>
      <c r="WEY25" s="1271"/>
      <c r="WEZ25" s="1271"/>
      <c r="WFA25" s="1271"/>
      <c r="WFB25" s="1271"/>
      <c r="WFC25" s="1271"/>
      <c r="WFD25" s="1271"/>
      <c r="WFE25" s="1271"/>
      <c r="WFF25" s="1271"/>
      <c r="WFG25" s="1271"/>
      <c r="WFH25" s="1271"/>
      <c r="WFI25" s="1271"/>
      <c r="WFJ25" s="1271"/>
      <c r="WFK25" s="1271"/>
      <c r="WFL25" s="1271"/>
      <c r="WFM25" s="1271"/>
      <c r="WFN25" s="1271"/>
      <c r="WFO25" s="1271"/>
      <c r="WFP25" s="1271"/>
      <c r="WFQ25" s="1271"/>
      <c r="WFR25" s="1271"/>
      <c r="WFS25" s="1271"/>
      <c r="WFT25" s="1271"/>
      <c r="WFU25" s="1271"/>
      <c r="WFV25" s="1271"/>
      <c r="WFW25" s="1271"/>
      <c r="WFX25" s="1271"/>
      <c r="WFY25" s="1271"/>
      <c r="WFZ25" s="1271"/>
      <c r="WGA25" s="1271"/>
      <c r="WGB25" s="1271"/>
      <c r="WGC25" s="1271"/>
      <c r="WGD25" s="1271"/>
      <c r="WGE25" s="1271"/>
      <c r="WGF25" s="1271"/>
      <c r="WGG25" s="1271"/>
      <c r="WGH25" s="1271"/>
      <c r="WGI25" s="1271"/>
      <c r="WGJ25" s="1271"/>
      <c r="WGK25" s="1271"/>
      <c r="WGL25" s="1271"/>
      <c r="WGM25" s="1271"/>
      <c r="WGN25" s="1271"/>
      <c r="WGO25" s="1271"/>
      <c r="WGP25" s="1271"/>
      <c r="WGQ25" s="1271"/>
      <c r="WGR25" s="1271"/>
      <c r="WGS25" s="1271"/>
      <c r="WGT25" s="1271"/>
      <c r="WGU25" s="1271"/>
      <c r="WGV25" s="1271"/>
      <c r="WGW25" s="1271"/>
      <c r="WGX25" s="1271"/>
      <c r="WGY25" s="1271"/>
      <c r="WGZ25" s="1271"/>
      <c r="WHA25" s="1271"/>
      <c r="WHB25" s="1271"/>
      <c r="WHC25" s="1271"/>
      <c r="WHD25" s="1271"/>
      <c r="WHE25" s="1271"/>
      <c r="WHF25" s="1271"/>
      <c r="WHG25" s="1271"/>
      <c r="WHH25" s="1271"/>
      <c r="WHI25" s="1271"/>
      <c r="WHJ25" s="1271"/>
      <c r="WHK25" s="1271"/>
      <c r="WHL25" s="1271"/>
      <c r="WHM25" s="1271"/>
      <c r="WHN25" s="1271"/>
      <c r="WHO25" s="1271"/>
      <c r="WHP25" s="1271"/>
      <c r="WHQ25" s="1271"/>
      <c r="WHR25" s="1271"/>
      <c r="WHS25" s="1271"/>
      <c r="WHT25" s="1271"/>
      <c r="WHU25" s="1271"/>
      <c r="WHV25" s="1271"/>
      <c r="WHW25" s="1271"/>
      <c r="WHX25" s="1271"/>
      <c r="WHY25" s="1271"/>
      <c r="WHZ25" s="1271"/>
      <c r="WIA25" s="1271"/>
      <c r="WIB25" s="1271"/>
      <c r="WIC25" s="1271"/>
      <c r="WID25" s="1271"/>
      <c r="WIE25" s="1271"/>
      <c r="WIF25" s="1271"/>
      <c r="WIG25" s="1271"/>
      <c r="WIH25" s="1271"/>
      <c r="WII25" s="1271"/>
      <c r="WIJ25" s="1271"/>
      <c r="WIK25" s="1271"/>
      <c r="WIL25" s="1271"/>
      <c r="WIM25" s="1271"/>
      <c r="WIN25" s="1271"/>
      <c r="WIO25" s="1271"/>
      <c r="WIP25" s="1271"/>
      <c r="WIQ25" s="1271"/>
      <c r="WIR25" s="1271"/>
      <c r="WIS25" s="1271"/>
      <c r="WIT25" s="1271"/>
      <c r="WIU25" s="1271"/>
      <c r="WIV25" s="1271"/>
      <c r="WIW25" s="1271"/>
      <c r="WIX25" s="1271"/>
      <c r="WIY25" s="1271"/>
      <c r="WIZ25" s="1271"/>
      <c r="WJA25" s="1271"/>
      <c r="WJB25" s="1271"/>
      <c r="WJC25" s="1271"/>
      <c r="WJD25" s="1271"/>
      <c r="WJE25" s="1271"/>
      <c r="WJF25" s="1271"/>
      <c r="WJG25" s="1271"/>
      <c r="WJH25" s="1271"/>
      <c r="WJI25" s="1271"/>
      <c r="WJJ25" s="1271"/>
      <c r="WJK25" s="1271"/>
      <c r="WJL25" s="1271"/>
      <c r="WJM25" s="1271"/>
      <c r="WJN25" s="1271"/>
      <c r="WJO25" s="1271"/>
      <c r="WJP25" s="1271"/>
      <c r="WJQ25" s="1271"/>
      <c r="WJR25" s="1271"/>
      <c r="WJS25" s="1271"/>
      <c r="WJT25" s="1271"/>
      <c r="WJU25" s="1271"/>
      <c r="WJV25" s="1271"/>
      <c r="WJW25" s="1271"/>
      <c r="WJX25" s="1271"/>
      <c r="WJY25" s="1271"/>
      <c r="WJZ25" s="1271"/>
      <c r="WKA25" s="1271"/>
      <c r="WKB25" s="1271"/>
      <c r="WKC25" s="1271"/>
      <c r="WKD25" s="1271"/>
      <c r="WKE25" s="1271"/>
      <c r="WKF25" s="1271"/>
      <c r="WKG25" s="1271"/>
      <c r="WKH25" s="1271"/>
      <c r="WKI25" s="1271"/>
      <c r="WKJ25" s="1271"/>
      <c r="WKK25" s="1271"/>
      <c r="WKL25" s="1271"/>
      <c r="WKM25" s="1271"/>
      <c r="WKN25" s="1271"/>
      <c r="WKO25" s="1271"/>
      <c r="WKP25" s="1271"/>
      <c r="WKQ25" s="1271"/>
      <c r="WKR25" s="1271"/>
      <c r="WKS25" s="1271"/>
      <c r="WKT25" s="1271"/>
      <c r="WKU25" s="1271"/>
      <c r="WKV25" s="1271"/>
      <c r="WKW25" s="1271"/>
      <c r="WKX25" s="1271"/>
      <c r="WKY25" s="1271"/>
      <c r="WKZ25" s="1271"/>
      <c r="WLA25" s="1271"/>
      <c r="WLB25" s="1271"/>
      <c r="WLC25" s="1271"/>
      <c r="WLD25" s="1271"/>
      <c r="WLE25" s="1271"/>
      <c r="WLF25" s="1271"/>
      <c r="WLG25" s="1271"/>
      <c r="WLH25" s="1271"/>
      <c r="WLI25" s="1271"/>
      <c r="WLJ25" s="1271"/>
      <c r="WLK25" s="1271"/>
      <c r="WLL25" s="1271"/>
      <c r="WLM25" s="1271"/>
      <c r="WLN25" s="1271"/>
      <c r="WLO25" s="1271"/>
      <c r="WLP25" s="1271"/>
      <c r="WLQ25" s="1271"/>
      <c r="WLR25" s="1271"/>
      <c r="WLS25" s="1271"/>
      <c r="WLT25" s="1271"/>
      <c r="WLU25" s="1271"/>
      <c r="WLV25" s="1271"/>
      <c r="WLW25" s="1271"/>
      <c r="WLX25" s="1271"/>
      <c r="WLY25" s="1271"/>
      <c r="WLZ25" s="1271"/>
      <c r="WMA25" s="1271"/>
      <c r="WMB25" s="1271"/>
      <c r="WMC25" s="1271"/>
      <c r="WMD25" s="1271"/>
      <c r="WME25" s="1271"/>
      <c r="WMF25" s="1271"/>
      <c r="WMG25" s="1271"/>
      <c r="WMH25" s="1271"/>
      <c r="WMI25" s="1271"/>
      <c r="WMJ25" s="1271"/>
      <c r="WMK25" s="1271"/>
      <c r="WML25" s="1271"/>
      <c r="WMM25" s="1271"/>
      <c r="WMN25" s="1271"/>
      <c r="WMO25" s="1271"/>
      <c r="WMP25" s="1271"/>
      <c r="WMQ25" s="1271"/>
      <c r="WMR25" s="1271"/>
      <c r="WMS25" s="1271"/>
      <c r="WMT25" s="1271"/>
      <c r="WMU25" s="1271"/>
      <c r="WMV25" s="1271"/>
      <c r="WMW25" s="1271"/>
      <c r="WMX25" s="1271"/>
      <c r="WMY25" s="1271"/>
      <c r="WMZ25" s="1271"/>
      <c r="WNA25" s="1271"/>
      <c r="WNB25" s="1271"/>
      <c r="WNC25" s="1271"/>
      <c r="WND25" s="1271"/>
      <c r="WNE25" s="1271"/>
      <c r="WNF25" s="1271"/>
      <c r="WNG25" s="1271"/>
      <c r="WNH25" s="1271"/>
      <c r="WNI25" s="1271"/>
      <c r="WNJ25" s="1271"/>
      <c r="WNK25" s="1271"/>
      <c r="WNL25" s="1271"/>
      <c r="WNM25" s="1271"/>
      <c r="WNN25" s="1271"/>
      <c r="WNO25" s="1271"/>
      <c r="WNP25" s="1271"/>
      <c r="WNQ25" s="1271"/>
      <c r="WNR25" s="1271"/>
      <c r="WNS25" s="1271"/>
      <c r="WNT25" s="1271"/>
      <c r="WNU25" s="1271"/>
      <c r="WNV25" s="1271"/>
      <c r="WNW25" s="1271"/>
      <c r="WNX25" s="1271"/>
      <c r="WNY25" s="1271"/>
      <c r="WNZ25" s="1271"/>
      <c r="WOA25" s="1271"/>
      <c r="WOB25" s="1271"/>
      <c r="WOC25" s="1271"/>
      <c r="WOD25" s="1271"/>
      <c r="WOE25" s="1271"/>
      <c r="WOF25" s="1271"/>
      <c r="WOG25" s="1271"/>
      <c r="WOH25" s="1271"/>
      <c r="WOI25" s="1271"/>
      <c r="WOJ25" s="1271"/>
      <c r="WOK25" s="1271"/>
      <c r="WOL25" s="1271"/>
      <c r="WOM25" s="1271"/>
      <c r="WON25" s="1271"/>
      <c r="WOO25" s="1271"/>
      <c r="WOP25" s="1271"/>
      <c r="WOQ25" s="1271"/>
      <c r="WOR25" s="1271"/>
      <c r="WOS25" s="1271"/>
      <c r="WOT25" s="1271"/>
      <c r="WOU25" s="1271"/>
      <c r="WOV25" s="1271"/>
      <c r="WOW25" s="1271"/>
      <c r="WOX25" s="1271"/>
      <c r="WOY25" s="1271"/>
      <c r="WOZ25" s="1271"/>
      <c r="WPA25" s="1271"/>
      <c r="WPB25" s="1271"/>
      <c r="WPC25" s="1271"/>
      <c r="WPD25" s="1271"/>
      <c r="WPE25" s="1271"/>
      <c r="WPF25" s="1271"/>
      <c r="WPG25" s="1271"/>
      <c r="WPH25" s="1271"/>
      <c r="WPI25" s="1271"/>
      <c r="WPJ25" s="1271"/>
      <c r="WPK25" s="1271"/>
      <c r="WPL25" s="1271"/>
      <c r="WPM25" s="1271"/>
      <c r="WPN25" s="1271"/>
      <c r="WPO25" s="1271"/>
      <c r="WPP25" s="1271"/>
      <c r="WPQ25" s="1271"/>
      <c r="WPR25" s="1271"/>
      <c r="WPS25" s="1271"/>
      <c r="WPT25" s="1271"/>
      <c r="WPU25" s="1271"/>
      <c r="WPV25" s="1271"/>
      <c r="WPW25" s="1271"/>
      <c r="WPX25" s="1271"/>
      <c r="WPY25" s="1271"/>
      <c r="WPZ25" s="1271"/>
      <c r="WQA25" s="1271"/>
      <c r="WQB25" s="1271"/>
      <c r="WQC25" s="1271"/>
      <c r="WQD25" s="1271"/>
      <c r="WQE25" s="1271"/>
      <c r="WQF25" s="1271"/>
      <c r="WQG25" s="1271"/>
      <c r="WQH25" s="1271"/>
      <c r="WQI25" s="1271"/>
      <c r="WQJ25" s="1271"/>
      <c r="WQK25" s="1271"/>
      <c r="WQL25" s="1271"/>
      <c r="WQM25" s="1271"/>
      <c r="WQN25" s="1271"/>
      <c r="WQO25" s="1271"/>
      <c r="WQP25" s="1271"/>
      <c r="WQQ25" s="1271"/>
      <c r="WQR25" s="1271"/>
      <c r="WQS25" s="1271"/>
      <c r="WQT25" s="1271"/>
      <c r="WQU25" s="1271"/>
      <c r="WQV25" s="1271"/>
      <c r="WQW25" s="1271"/>
      <c r="WQX25" s="1271"/>
      <c r="WQY25" s="1271"/>
      <c r="WQZ25" s="1271"/>
      <c r="WRA25" s="1271"/>
      <c r="WRB25" s="1271"/>
      <c r="WRC25" s="1271"/>
      <c r="WRD25" s="1271"/>
      <c r="WRE25" s="1271"/>
      <c r="WRF25" s="1271"/>
      <c r="WRG25" s="1271"/>
      <c r="WRH25" s="1271"/>
      <c r="WRI25" s="1271"/>
      <c r="WRJ25" s="1271"/>
      <c r="WRK25" s="1271"/>
      <c r="WRL25" s="1271"/>
      <c r="WRM25" s="1271"/>
      <c r="WRN25" s="1271"/>
      <c r="WRO25" s="1271"/>
      <c r="WRP25" s="1271"/>
      <c r="WRQ25" s="1271"/>
      <c r="WRR25" s="1271"/>
      <c r="WRS25" s="1271"/>
      <c r="WRT25" s="1271"/>
      <c r="WRU25" s="1271"/>
      <c r="WRV25" s="1271"/>
      <c r="WRW25" s="1271"/>
      <c r="WRX25" s="1271"/>
      <c r="WRY25" s="1271"/>
      <c r="WRZ25" s="1271"/>
      <c r="WSA25" s="1271"/>
      <c r="WSB25" s="1271"/>
      <c r="WSC25" s="1271"/>
      <c r="WSD25" s="1271"/>
      <c r="WSE25" s="1271"/>
      <c r="WSF25" s="1271"/>
      <c r="WSG25" s="1271"/>
      <c r="WSH25" s="1271"/>
      <c r="WSI25" s="1271"/>
      <c r="WSJ25" s="1271"/>
      <c r="WSK25" s="1271"/>
      <c r="WSL25" s="1271"/>
      <c r="WSM25" s="1271"/>
      <c r="WSN25" s="1271"/>
      <c r="WSO25" s="1271"/>
      <c r="WSP25" s="1271"/>
      <c r="WSQ25" s="1271"/>
      <c r="WSR25" s="1271"/>
      <c r="WSS25" s="1271"/>
      <c r="WST25" s="1271"/>
      <c r="WSU25" s="1271"/>
      <c r="WSV25" s="1271"/>
      <c r="WSW25" s="1271"/>
      <c r="WSX25" s="1271"/>
      <c r="WSY25" s="1271"/>
      <c r="WSZ25" s="1271"/>
      <c r="WTA25" s="1271"/>
      <c r="WTB25" s="1271"/>
      <c r="WTC25" s="1271"/>
      <c r="WTD25" s="1271"/>
      <c r="WTE25" s="1271"/>
      <c r="WTF25" s="1271"/>
      <c r="WTG25" s="1271"/>
      <c r="WTH25" s="1271"/>
      <c r="WTI25" s="1271"/>
      <c r="WTJ25" s="1271"/>
      <c r="WTK25" s="1271"/>
      <c r="WTL25" s="1271"/>
      <c r="WTM25" s="1271"/>
      <c r="WTN25" s="1271"/>
      <c r="WTO25" s="1271"/>
      <c r="WTP25" s="1271"/>
      <c r="WTQ25" s="1271"/>
      <c r="WTR25" s="1271"/>
      <c r="WTS25" s="1271"/>
      <c r="WTT25" s="1271"/>
      <c r="WTU25" s="1271"/>
      <c r="WTV25" s="1271"/>
      <c r="WTW25" s="1271"/>
      <c r="WTX25" s="1271"/>
      <c r="WTY25" s="1271"/>
      <c r="WTZ25" s="1271"/>
      <c r="WUA25" s="1271"/>
      <c r="WUB25" s="1271"/>
      <c r="WUC25" s="1271"/>
      <c r="WUD25" s="1271"/>
      <c r="WUE25" s="1271"/>
      <c r="WUF25" s="1271"/>
      <c r="WUG25" s="1271"/>
      <c r="WUH25" s="1271"/>
      <c r="WUI25" s="1271"/>
      <c r="WUJ25" s="1271"/>
      <c r="WUK25" s="1271"/>
      <c r="WUL25" s="1271"/>
      <c r="WUM25" s="1271"/>
      <c r="WUN25" s="1271"/>
      <c r="WUO25" s="1271"/>
      <c r="WUP25" s="1271"/>
      <c r="WUQ25" s="1271"/>
      <c r="WUR25" s="1271"/>
      <c r="WUS25" s="1271"/>
      <c r="WUT25" s="1271"/>
      <c r="WUU25" s="1271"/>
      <c r="WUV25" s="1271"/>
      <c r="WUW25" s="1271"/>
      <c r="WUX25" s="1271"/>
      <c r="WUY25" s="1271"/>
      <c r="WUZ25" s="1271"/>
      <c r="WVA25" s="1271"/>
      <c r="WVB25" s="1271"/>
      <c r="WVC25" s="1271"/>
      <c r="WVD25" s="1271"/>
      <c r="WVE25" s="1271"/>
      <c r="WVF25" s="1271"/>
      <c r="WVG25" s="1271"/>
      <c r="WVH25" s="1271"/>
      <c r="WVI25" s="1271"/>
      <c r="WVJ25" s="1271"/>
      <c r="WVK25" s="1271"/>
      <c r="WVL25" s="1271"/>
      <c r="WVM25" s="1271"/>
      <c r="WVN25" s="1271"/>
      <c r="WVO25" s="1271"/>
      <c r="WVP25" s="1271"/>
      <c r="WVQ25" s="1271"/>
      <c r="WVR25" s="1271"/>
      <c r="WVS25" s="1271"/>
      <c r="WVT25" s="1271"/>
      <c r="WVU25" s="1271"/>
      <c r="WVV25" s="1271"/>
      <c r="WVW25" s="1271"/>
      <c r="WVX25" s="1271"/>
      <c r="WVY25" s="1271"/>
      <c r="WVZ25" s="1271"/>
      <c r="WWA25" s="1271"/>
      <c r="WWB25" s="1271"/>
      <c r="WWC25" s="1271"/>
      <c r="WWD25" s="1271"/>
      <c r="WWE25" s="1271"/>
      <c r="WWF25" s="1271"/>
      <c r="WWG25" s="1271"/>
      <c r="WWH25" s="1271"/>
      <c r="WWI25" s="1271"/>
      <c r="WWJ25" s="1271"/>
      <c r="WWK25" s="1271"/>
      <c r="WWL25" s="1271"/>
      <c r="WWM25" s="1271"/>
      <c r="WWN25" s="1271"/>
      <c r="WWO25" s="1271"/>
      <c r="WWP25" s="1271"/>
      <c r="WWQ25" s="1271"/>
      <c r="WWR25" s="1271"/>
      <c r="WWS25" s="1271"/>
      <c r="WWT25" s="1271"/>
      <c r="WWU25" s="1271"/>
      <c r="WWV25" s="1271"/>
      <c r="WWW25" s="1271"/>
      <c r="WWX25" s="1271"/>
      <c r="WWY25" s="1271"/>
      <c r="WWZ25" s="1271"/>
      <c r="WXA25" s="1271"/>
      <c r="WXB25" s="1271"/>
      <c r="WXC25" s="1271"/>
      <c r="WXD25" s="1271"/>
      <c r="WXE25" s="1271"/>
      <c r="WXF25" s="1271"/>
      <c r="WXG25" s="1271"/>
      <c r="WXH25" s="1271"/>
      <c r="WXI25" s="1271"/>
      <c r="WXJ25" s="1271"/>
      <c r="WXK25" s="1271"/>
      <c r="WXL25" s="1271"/>
      <c r="WXM25" s="1271"/>
      <c r="WXN25" s="1271"/>
      <c r="WXO25" s="1271"/>
      <c r="WXP25" s="1271"/>
      <c r="WXQ25" s="1271"/>
      <c r="WXR25" s="1271"/>
      <c r="WXS25" s="1271"/>
      <c r="WXT25" s="1271"/>
      <c r="WXU25" s="1271"/>
      <c r="WXV25" s="1271"/>
      <c r="WXW25" s="1271"/>
      <c r="WXX25" s="1271"/>
      <c r="WXY25" s="1271"/>
      <c r="WXZ25" s="1271"/>
      <c r="WYA25" s="1271"/>
      <c r="WYB25" s="1271"/>
      <c r="WYC25" s="1271"/>
      <c r="WYD25" s="1271"/>
      <c r="WYE25" s="1271"/>
      <c r="WYF25" s="1271"/>
      <c r="WYG25" s="1271"/>
      <c r="WYH25" s="1271"/>
      <c r="WYI25" s="1271"/>
      <c r="WYJ25" s="1271"/>
      <c r="WYK25" s="1271"/>
      <c r="WYL25" s="1271"/>
      <c r="WYM25" s="1271"/>
      <c r="WYN25" s="1271"/>
      <c r="WYO25" s="1271"/>
      <c r="WYP25" s="1271"/>
      <c r="WYQ25" s="1271"/>
      <c r="WYR25" s="1271"/>
      <c r="WYS25" s="1271"/>
      <c r="WYT25" s="1271"/>
      <c r="WYU25" s="1271"/>
      <c r="WYV25" s="1271"/>
      <c r="WYW25" s="1271"/>
      <c r="WYX25" s="1271"/>
      <c r="WYY25" s="1271"/>
      <c r="WYZ25" s="1271"/>
      <c r="WZA25" s="1271"/>
      <c r="WZB25" s="1271"/>
      <c r="WZC25" s="1271"/>
      <c r="WZD25" s="1271"/>
      <c r="WZE25" s="1271"/>
      <c r="WZF25" s="1271"/>
      <c r="WZG25" s="1271"/>
      <c r="WZH25" s="1271"/>
      <c r="WZI25" s="1271"/>
      <c r="WZJ25" s="1271"/>
      <c r="WZK25" s="1271"/>
      <c r="WZL25" s="1271"/>
      <c r="WZM25" s="1271"/>
      <c r="WZN25" s="1271"/>
      <c r="WZO25" s="1271"/>
      <c r="WZP25" s="1271"/>
      <c r="WZQ25" s="1271"/>
      <c r="WZR25" s="1271"/>
      <c r="WZS25" s="1271"/>
      <c r="WZT25" s="1271"/>
      <c r="WZU25" s="1271"/>
      <c r="WZV25" s="1271"/>
      <c r="WZW25" s="1271"/>
      <c r="WZX25" s="1271"/>
      <c r="WZY25" s="1271"/>
      <c r="WZZ25" s="1271"/>
      <c r="XAA25" s="1271"/>
      <c r="XAB25" s="1271"/>
      <c r="XAC25" s="1271"/>
      <c r="XAD25" s="1271"/>
      <c r="XAE25" s="1271"/>
      <c r="XAF25" s="1271"/>
      <c r="XAG25" s="1271"/>
      <c r="XAH25" s="1271"/>
      <c r="XAI25" s="1271"/>
      <c r="XAJ25" s="1271"/>
      <c r="XAK25" s="1271"/>
      <c r="XAL25" s="1271"/>
      <c r="XAM25" s="1271"/>
      <c r="XAN25" s="1271"/>
      <c r="XAO25" s="1271"/>
      <c r="XAP25" s="1271"/>
      <c r="XAQ25" s="1271"/>
      <c r="XAR25" s="1271"/>
      <c r="XAS25" s="1271"/>
      <c r="XAT25" s="1271"/>
      <c r="XAU25" s="1271"/>
      <c r="XAV25" s="1271"/>
      <c r="XAW25" s="1271"/>
      <c r="XAX25" s="1271"/>
      <c r="XAY25" s="1271"/>
      <c r="XAZ25" s="1271"/>
      <c r="XBA25" s="1271"/>
      <c r="XBB25" s="1271"/>
      <c r="XBC25" s="1271"/>
      <c r="XBD25" s="1271"/>
      <c r="XBE25" s="1271"/>
      <c r="XBF25" s="1271"/>
      <c r="XBG25" s="1271"/>
      <c r="XBH25" s="1271"/>
      <c r="XBI25" s="1271"/>
      <c r="XBJ25" s="1271"/>
      <c r="XBK25" s="1271"/>
      <c r="XBL25" s="1271"/>
      <c r="XBM25" s="1271"/>
      <c r="XBN25" s="1271"/>
      <c r="XBO25" s="1271"/>
      <c r="XBP25" s="1271"/>
      <c r="XBQ25" s="1271"/>
      <c r="XBR25" s="1271"/>
      <c r="XBS25" s="1271"/>
      <c r="XBT25" s="1271"/>
      <c r="XBU25" s="1271"/>
      <c r="XBV25" s="1271"/>
      <c r="XBW25" s="1271"/>
      <c r="XBX25" s="1271"/>
      <c r="XBY25" s="1271"/>
      <c r="XBZ25" s="1271"/>
      <c r="XCA25" s="1271"/>
      <c r="XCB25" s="1271"/>
      <c r="XCC25" s="1271"/>
      <c r="XCD25" s="1271"/>
      <c r="XCE25" s="1271"/>
      <c r="XCF25" s="1271"/>
      <c r="XCG25" s="1271"/>
      <c r="XCH25" s="1271"/>
      <c r="XCI25" s="1271"/>
      <c r="XCJ25" s="1271"/>
      <c r="XCK25" s="1271"/>
      <c r="XCL25" s="1271"/>
      <c r="XCM25" s="1271"/>
      <c r="XCN25" s="1271"/>
      <c r="XCO25" s="1271"/>
      <c r="XCP25" s="1271"/>
      <c r="XCQ25" s="1271"/>
      <c r="XCR25" s="1271"/>
      <c r="XCS25" s="1271"/>
      <c r="XCT25" s="1271"/>
      <c r="XCU25" s="1271"/>
      <c r="XCV25" s="1271"/>
      <c r="XCW25" s="1271"/>
      <c r="XCX25" s="1271"/>
      <c r="XCY25" s="1271"/>
      <c r="XCZ25" s="1271"/>
      <c r="XDA25" s="1271"/>
      <c r="XDB25" s="1271"/>
      <c r="XDC25" s="1271"/>
      <c r="XDD25" s="1271"/>
      <c r="XDE25" s="1271"/>
      <c r="XDF25" s="1271"/>
      <c r="XDG25" s="1271"/>
      <c r="XDH25" s="1271"/>
      <c r="XDI25" s="1271"/>
      <c r="XDJ25" s="1271"/>
      <c r="XDK25" s="1271"/>
      <c r="XDL25" s="1271"/>
      <c r="XDM25" s="1271"/>
      <c r="XDN25" s="1271"/>
      <c r="XDO25" s="1271"/>
      <c r="XDP25" s="1271"/>
      <c r="XDQ25" s="1271"/>
      <c r="XDR25" s="1271"/>
      <c r="XDS25" s="1271"/>
      <c r="XDT25" s="1271"/>
      <c r="XDU25" s="1271"/>
      <c r="XDV25" s="1271"/>
      <c r="XDW25" s="1271"/>
      <c r="XDX25" s="1271"/>
      <c r="XDY25" s="1271"/>
      <c r="XDZ25" s="1271"/>
      <c r="XEA25" s="1271"/>
      <c r="XEB25" s="1271"/>
      <c r="XEC25" s="1271"/>
      <c r="XED25" s="1271"/>
      <c r="XEE25" s="1271"/>
      <c r="XEF25" s="1271"/>
      <c r="XEG25" s="1271"/>
      <c r="XEH25" s="1271"/>
      <c r="XEI25" s="1271"/>
      <c r="XEJ25" s="1271"/>
      <c r="XEK25" s="1271"/>
      <c r="XEL25" s="1271"/>
      <c r="XEM25" s="1271"/>
      <c r="XEN25" s="1271"/>
      <c r="XEO25" s="1271"/>
      <c r="XEP25" s="1271"/>
      <c r="XEQ25" s="1271"/>
      <c r="XER25" s="1271"/>
      <c r="XES25" s="1271"/>
      <c r="XET25" s="1271"/>
      <c r="XEU25" s="1271"/>
      <c r="XEV25" s="1271"/>
      <c r="XEW25" s="1271"/>
      <c r="XEX25" s="1271"/>
      <c r="XEY25" s="1271"/>
      <c r="XEZ25" s="1271"/>
      <c r="XFA25" s="1271"/>
      <c r="XFB25" s="1271"/>
      <c r="XFC25" s="1271"/>
    </row>
    <row r="26" spans="1:16383" s="857" customFormat="1" ht="35.25" customHeight="1" x14ac:dyDescent="0.2">
      <c r="A26" s="857" t="s">
        <v>4895</v>
      </c>
      <c r="B26" s="857" t="e">
        <f t="shared" si="15"/>
        <v>#N/A</v>
      </c>
      <c r="D26" s="884" t="e">
        <f>RIGHT(#REF!,1)</f>
        <v>#REF!</v>
      </c>
      <c r="E26" s="855"/>
      <c r="F26" s="878" t="s">
        <v>1246</v>
      </c>
      <c r="G26" s="878"/>
      <c r="H26" s="861" t="s">
        <v>2494</v>
      </c>
      <c r="I26" s="871"/>
      <c r="J26" s="861" t="s">
        <v>519</v>
      </c>
      <c r="K26" s="856"/>
      <c r="L26" s="862"/>
      <c r="M26" s="856"/>
      <c r="N26" s="863" t="s">
        <v>3147</v>
      </c>
      <c r="O26" s="861">
        <v>2012</v>
      </c>
      <c r="P26" s="862"/>
      <c r="Q26" s="862"/>
      <c r="R26" s="862"/>
      <c r="S26" s="862" t="s">
        <v>12</v>
      </c>
      <c r="T26" s="899">
        <v>3138518318.2668023</v>
      </c>
      <c r="U26" s="861" t="s">
        <v>43</v>
      </c>
      <c r="V26" s="865"/>
      <c r="W26" s="968"/>
      <c r="X26" s="884" t="str">
        <f t="shared" si="4"/>
        <v>04.13.01</v>
      </c>
      <c r="Y26" s="884" t="str">
        <f t="shared" si="1"/>
        <v>Jalan</v>
      </c>
      <c r="Z26" s="884">
        <f t="shared" si="2"/>
        <v>10</v>
      </c>
      <c r="AA26" s="868">
        <f t="shared" si="5"/>
        <v>313851831.82668024</v>
      </c>
      <c r="AB26" s="885">
        <f t="shared" si="6"/>
        <v>2</v>
      </c>
      <c r="AC26" s="868">
        <f t="shared" si="7"/>
        <v>627703663.65336049</v>
      </c>
      <c r="AD26" s="868">
        <f t="shared" si="8"/>
        <v>313851831.82668024</v>
      </c>
      <c r="AE26" s="868">
        <f t="shared" si="9"/>
        <v>313851831.82668024</v>
      </c>
      <c r="AF26" s="868">
        <f t="shared" si="10"/>
        <v>313851831.82668024</v>
      </c>
      <c r="AG26" s="868">
        <f t="shared" si="11"/>
        <v>313851831.82668024</v>
      </c>
      <c r="AH26" s="886">
        <f t="shared" si="12"/>
        <v>313851831.82668024</v>
      </c>
      <c r="AI26" s="886">
        <f t="shared" si="13"/>
        <v>2196962822.7867618</v>
      </c>
      <c r="AJ26" s="868">
        <f t="shared" si="14"/>
        <v>941555495.48004055</v>
      </c>
      <c r="AK26" s="898">
        <f t="shared" si="3"/>
        <v>1883110990.9600813</v>
      </c>
    </row>
    <row r="27" spans="1:16383" s="857" customFormat="1" ht="35.25" hidden="1" customHeight="1" x14ac:dyDescent="0.2">
      <c r="A27" s="857" t="s">
        <v>4896</v>
      </c>
      <c r="B27" s="857" t="e">
        <f t="shared" si="15"/>
        <v>#N/A</v>
      </c>
      <c r="D27" s="884" t="e">
        <f>RIGHT(#REF!,1)</f>
        <v>#REF!</v>
      </c>
      <c r="E27" s="855"/>
      <c r="F27" s="878" t="s">
        <v>1249</v>
      </c>
      <c r="G27" s="878"/>
      <c r="H27" s="861" t="s">
        <v>2494</v>
      </c>
      <c r="I27" s="871"/>
      <c r="J27" s="861" t="s">
        <v>519</v>
      </c>
      <c r="K27" s="856"/>
      <c r="L27" s="862"/>
      <c r="M27" s="856"/>
      <c r="N27" s="863" t="s">
        <v>3087</v>
      </c>
      <c r="O27" s="861">
        <v>2012</v>
      </c>
      <c r="P27" s="862"/>
      <c r="Q27" s="862"/>
      <c r="R27" s="862"/>
      <c r="S27" s="862" t="s">
        <v>12</v>
      </c>
      <c r="T27" s="899">
        <v>3429496091.4810162</v>
      </c>
      <c r="U27" s="861" t="s">
        <v>43</v>
      </c>
      <c r="V27" s="865"/>
      <c r="W27" s="968"/>
      <c r="X27" s="884" t="str">
        <f t="shared" si="4"/>
        <v>04.13.01</v>
      </c>
      <c r="Y27" s="884" t="str">
        <f t="shared" si="1"/>
        <v>Jalan</v>
      </c>
      <c r="Z27" s="884">
        <f t="shared" si="2"/>
        <v>10</v>
      </c>
      <c r="AA27" s="868">
        <f t="shared" si="5"/>
        <v>342949609.14810163</v>
      </c>
      <c r="AB27" s="885">
        <f t="shared" si="6"/>
        <v>2</v>
      </c>
      <c r="AC27" s="868">
        <f t="shared" si="7"/>
        <v>685899218.29620326</v>
      </c>
      <c r="AD27" s="868">
        <f t="shared" si="8"/>
        <v>342949609.14810163</v>
      </c>
      <c r="AE27" s="868">
        <f t="shared" si="9"/>
        <v>342949609.14810163</v>
      </c>
      <c r="AF27" s="868">
        <f t="shared" si="10"/>
        <v>342949609.14810163</v>
      </c>
      <c r="AG27" s="868">
        <f t="shared" si="11"/>
        <v>342949609.14810163</v>
      </c>
      <c r="AH27" s="886">
        <f t="shared" si="12"/>
        <v>342949609.14810163</v>
      </c>
      <c r="AI27" s="886">
        <f t="shared" si="13"/>
        <v>2400647264.0367112</v>
      </c>
      <c r="AJ27" s="868">
        <f t="shared" si="14"/>
        <v>1028848827.4443049</v>
      </c>
      <c r="AK27" s="898">
        <f t="shared" si="3"/>
        <v>2057697654.8886096</v>
      </c>
    </row>
    <row r="28" spans="1:16383" s="857" customFormat="1" ht="35.25" hidden="1" customHeight="1" x14ac:dyDescent="0.2">
      <c r="A28" s="857" t="s">
        <v>4896</v>
      </c>
      <c r="B28" s="857" t="e">
        <f t="shared" si="15"/>
        <v>#N/A</v>
      </c>
      <c r="D28" s="884" t="e">
        <f>RIGHT(#REF!,1)</f>
        <v>#REF!</v>
      </c>
      <c r="E28" s="855"/>
      <c r="F28" s="878" t="s">
        <v>1250</v>
      </c>
      <c r="G28" s="878"/>
      <c r="H28" s="861" t="s">
        <v>2494</v>
      </c>
      <c r="I28" s="871"/>
      <c r="J28" s="861" t="s">
        <v>519</v>
      </c>
      <c r="K28" s="856"/>
      <c r="L28" s="862"/>
      <c r="M28" s="856"/>
      <c r="N28" s="863" t="s">
        <v>3150</v>
      </c>
      <c r="O28" s="861">
        <v>2012</v>
      </c>
      <c r="P28" s="862"/>
      <c r="Q28" s="862"/>
      <c r="R28" s="862"/>
      <c r="S28" s="862" t="s">
        <v>12</v>
      </c>
      <c r="T28" s="899">
        <v>2671864502.9721117</v>
      </c>
      <c r="U28" s="861" t="s">
        <v>43</v>
      </c>
      <c r="V28" s="865"/>
      <c r="W28" s="968"/>
      <c r="X28" s="884" t="str">
        <f t="shared" si="4"/>
        <v>04.13.01</v>
      </c>
      <c r="Y28" s="884" t="str">
        <f t="shared" si="1"/>
        <v>Jalan</v>
      </c>
      <c r="Z28" s="884">
        <f t="shared" si="2"/>
        <v>10</v>
      </c>
      <c r="AA28" s="868">
        <f t="shared" si="5"/>
        <v>267186450.29721117</v>
      </c>
      <c r="AB28" s="885">
        <f t="shared" si="6"/>
        <v>2</v>
      </c>
      <c r="AC28" s="868">
        <f t="shared" si="7"/>
        <v>534372900.59442234</v>
      </c>
      <c r="AD28" s="868">
        <f t="shared" si="8"/>
        <v>267186450.29721117</v>
      </c>
      <c r="AE28" s="868">
        <f t="shared" si="9"/>
        <v>267186450.29721117</v>
      </c>
      <c r="AF28" s="868">
        <f t="shared" si="10"/>
        <v>267186450.29721117</v>
      </c>
      <c r="AG28" s="868">
        <f t="shared" si="11"/>
        <v>267186450.29721117</v>
      </c>
      <c r="AH28" s="886">
        <f t="shared" si="12"/>
        <v>267186450.29721117</v>
      </c>
      <c r="AI28" s="886">
        <f t="shared" si="13"/>
        <v>1870305152.0804782</v>
      </c>
      <c r="AJ28" s="868">
        <f t="shared" si="14"/>
        <v>801559350.89163351</v>
      </c>
      <c r="AK28" s="898">
        <f t="shared" si="3"/>
        <v>1603118701.783267</v>
      </c>
    </row>
    <row r="29" spans="1:16383" s="857" customFormat="1" ht="35.25" customHeight="1" x14ac:dyDescent="0.2">
      <c r="A29" s="857" t="s">
        <v>4895</v>
      </c>
      <c r="B29" s="857" t="e">
        <f t="shared" si="15"/>
        <v>#N/A</v>
      </c>
      <c r="D29" s="884" t="e">
        <f>RIGHT(#REF!,1)</f>
        <v>#REF!</v>
      </c>
      <c r="E29" s="855"/>
      <c r="F29" s="878" t="s">
        <v>1261</v>
      </c>
      <c r="G29" s="878"/>
      <c r="H29" s="861" t="s">
        <v>2494</v>
      </c>
      <c r="I29" s="871"/>
      <c r="J29" s="861" t="s">
        <v>519</v>
      </c>
      <c r="K29" s="856"/>
      <c r="L29" s="862"/>
      <c r="M29" s="856"/>
      <c r="N29" s="863" t="s">
        <v>836</v>
      </c>
      <c r="O29" s="861">
        <v>2012</v>
      </c>
      <c r="P29" s="862"/>
      <c r="Q29" s="862"/>
      <c r="R29" s="862"/>
      <c r="S29" s="862" t="s">
        <v>12</v>
      </c>
      <c r="T29" s="899">
        <v>3289380516.7796202</v>
      </c>
      <c r="U29" s="861" t="s">
        <v>43</v>
      </c>
      <c r="V29" s="865"/>
      <c r="W29" s="968"/>
      <c r="X29" s="884" t="str">
        <f t="shared" si="4"/>
        <v>04.13.01</v>
      </c>
      <c r="Y29" s="884" t="str">
        <f t="shared" si="1"/>
        <v>Jalan</v>
      </c>
      <c r="Z29" s="884">
        <f t="shared" si="2"/>
        <v>10</v>
      </c>
      <c r="AA29" s="868">
        <f t="shared" si="5"/>
        <v>328938051.67796201</v>
      </c>
      <c r="AB29" s="885">
        <f t="shared" si="6"/>
        <v>2</v>
      </c>
      <c r="AC29" s="868">
        <f t="shared" si="7"/>
        <v>657876103.35592401</v>
      </c>
      <c r="AD29" s="868">
        <f t="shared" si="8"/>
        <v>328938051.67796201</v>
      </c>
      <c r="AE29" s="868">
        <f t="shared" si="9"/>
        <v>328938051.67796201</v>
      </c>
      <c r="AF29" s="868">
        <f t="shared" si="10"/>
        <v>328938051.67796201</v>
      </c>
      <c r="AG29" s="868">
        <f t="shared" si="11"/>
        <v>328938051.67796201</v>
      </c>
      <c r="AH29" s="886">
        <f t="shared" si="12"/>
        <v>328938051.67796201</v>
      </c>
      <c r="AI29" s="886">
        <f t="shared" si="13"/>
        <v>2302566361.7457342</v>
      </c>
      <c r="AJ29" s="868">
        <f t="shared" si="14"/>
        <v>986814155.03388596</v>
      </c>
      <c r="AK29" s="898">
        <f t="shared" si="3"/>
        <v>1973628310.0677722</v>
      </c>
    </row>
    <row r="30" spans="1:16383" s="857" customFormat="1" ht="35.25" customHeight="1" x14ac:dyDescent="0.2">
      <c r="A30" s="857" t="s">
        <v>4895</v>
      </c>
      <c r="B30" s="857" t="e">
        <f t="shared" si="15"/>
        <v>#N/A</v>
      </c>
      <c r="D30" s="884" t="e">
        <f>RIGHT(#REF!,1)</f>
        <v>#REF!</v>
      </c>
      <c r="E30" s="855"/>
      <c r="F30" s="878" t="s">
        <v>1284</v>
      </c>
      <c r="G30" s="878"/>
      <c r="H30" s="861" t="s">
        <v>2494</v>
      </c>
      <c r="I30" s="871"/>
      <c r="J30" s="861"/>
      <c r="K30" s="856"/>
      <c r="L30" s="862"/>
      <c r="M30" s="856"/>
      <c r="N30" s="863" t="s">
        <v>3174</v>
      </c>
      <c r="O30" s="861">
        <v>2013</v>
      </c>
      <c r="P30" s="862"/>
      <c r="Q30" s="862"/>
      <c r="R30" s="862"/>
      <c r="S30" s="862" t="s">
        <v>12</v>
      </c>
      <c r="T30" s="899">
        <v>5749727762</v>
      </c>
      <c r="U30" s="861"/>
      <c r="V30" s="865"/>
      <c r="W30" s="968"/>
      <c r="X30" s="884" t="str">
        <f t="shared" si="4"/>
        <v>04.13.01</v>
      </c>
      <c r="Y30" s="884" t="str">
        <f t="shared" si="1"/>
        <v>Jalan</v>
      </c>
      <c r="Z30" s="884">
        <f t="shared" si="2"/>
        <v>10</v>
      </c>
      <c r="AA30" s="868">
        <f t="shared" si="5"/>
        <v>574972776.20000005</v>
      </c>
      <c r="AB30" s="885">
        <f t="shared" si="6"/>
        <v>1</v>
      </c>
      <c r="AC30" s="868">
        <f t="shared" si="7"/>
        <v>574972776.20000005</v>
      </c>
      <c r="AD30" s="868">
        <f t="shared" si="8"/>
        <v>574972776.20000005</v>
      </c>
      <c r="AE30" s="868">
        <f t="shared" si="9"/>
        <v>574972776.20000005</v>
      </c>
      <c r="AF30" s="868">
        <f t="shared" si="10"/>
        <v>574972776.20000005</v>
      </c>
      <c r="AG30" s="868">
        <f t="shared" si="11"/>
        <v>574972776.20000005</v>
      </c>
      <c r="AH30" s="886">
        <f t="shared" si="12"/>
        <v>574972776.20000005</v>
      </c>
      <c r="AI30" s="886">
        <f t="shared" si="13"/>
        <v>3449836657.1999998</v>
      </c>
      <c r="AJ30" s="868">
        <f t="shared" si="14"/>
        <v>2299891104.8000002</v>
      </c>
      <c r="AK30" s="898">
        <f t="shared" si="3"/>
        <v>2874863881</v>
      </c>
    </row>
    <row r="31" spans="1:16383" s="857" customFormat="1" ht="35.25" customHeight="1" x14ac:dyDescent="0.2">
      <c r="A31" s="857" t="s">
        <v>4895</v>
      </c>
      <c r="B31" s="857" t="e">
        <f t="shared" si="15"/>
        <v>#N/A</v>
      </c>
      <c r="D31" s="884" t="e">
        <f>RIGHT(#REF!,1)</f>
        <v>#REF!</v>
      </c>
      <c r="E31" s="890"/>
      <c r="F31" s="862" t="s">
        <v>1392</v>
      </c>
      <c r="G31" s="862"/>
      <c r="H31" s="907" t="s">
        <v>2494</v>
      </c>
      <c r="I31" s="903"/>
      <c r="J31" s="862"/>
      <c r="K31" s="908"/>
      <c r="L31" s="862"/>
      <c r="M31" s="909"/>
      <c r="N31" s="861" t="s">
        <v>3113</v>
      </c>
      <c r="O31" s="903">
        <v>2015</v>
      </c>
      <c r="P31" s="862"/>
      <c r="Q31" s="862"/>
      <c r="R31" s="862"/>
      <c r="S31" s="903" t="s">
        <v>12</v>
      </c>
      <c r="T31" s="910">
        <v>1976709313</v>
      </c>
      <c r="U31" s="905"/>
      <c r="V31" s="906"/>
      <c r="W31" s="970"/>
      <c r="X31" s="884" t="str">
        <f>LEFT(H31,8)</f>
        <v>04.13.01</v>
      </c>
      <c r="Y31" s="884" t="str">
        <f t="shared" si="1"/>
        <v>Jalan</v>
      </c>
      <c r="Z31" s="884">
        <f t="shared" si="2"/>
        <v>10</v>
      </c>
      <c r="AA31" s="868">
        <f>T31/Z31</f>
        <v>197670931.30000001</v>
      </c>
      <c r="AB31" s="885">
        <f>IF(2013-O31+1&gt;Z31,Z31,IF(2013-O31+1&lt;0,0,2013-O31+1))</f>
        <v>0</v>
      </c>
      <c r="AC31" s="868">
        <f>IF(AB31&gt;Z31,T31,AA31*AB31)</f>
        <v>0</v>
      </c>
      <c r="AD31" s="868">
        <v>0</v>
      </c>
      <c r="AE31" s="868">
        <f>IF(T31=AC31+AD31,0,AA31)</f>
        <v>197670931.30000001</v>
      </c>
      <c r="AF31" s="868">
        <f>IF(T31=AC31+AD31+AE31,0,AA31)</f>
        <v>197670931.30000001</v>
      </c>
      <c r="AG31" s="868">
        <f>IF(T31=AD31+AE31+AF31+AC31,0,AA31)</f>
        <v>197670931.30000001</v>
      </c>
      <c r="AH31" s="886">
        <f>IF(T31=AD31+AE31+AF31+AC31+AG31,0,AA31)</f>
        <v>197670931.30000001</v>
      </c>
      <c r="AI31" s="886">
        <f>SUM(AC31:AH31)</f>
        <v>790683725.20000005</v>
      </c>
      <c r="AJ31" s="868">
        <f>T31-AI31</f>
        <v>1186025587.8</v>
      </c>
      <c r="AK31" s="898">
        <f t="shared" si="3"/>
        <v>593012793.9000001</v>
      </c>
    </row>
    <row r="32" spans="1:16383" s="857" customFormat="1" ht="35.25" hidden="1" customHeight="1" x14ac:dyDescent="0.2">
      <c r="A32" s="857" t="s">
        <v>4896</v>
      </c>
      <c r="B32" s="857" t="e">
        <f t="shared" si="15"/>
        <v>#N/A</v>
      </c>
      <c r="D32" s="884" t="e">
        <f>RIGHT(#REF!,1)</f>
        <v>#REF!</v>
      </c>
      <c r="E32" s="890"/>
      <c r="F32" s="862" t="s">
        <v>1422</v>
      </c>
      <c r="G32" s="862"/>
      <c r="H32" s="907" t="s">
        <v>2494</v>
      </c>
      <c r="I32" s="903"/>
      <c r="J32" s="862"/>
      <c r="K32" s="908"/>
      <c r="L32" s="862"/>
      <c r="M32" s="909"/>
      <c r="N32" s="861" t="s">
        <v>3087</v>
      </c>
      <c r="O32" s="903">
        <v>2015</v>
      </c>
      <c r="P32" s="862"/>
      <c r="Q32" s="862"/>
      <c r="R32" s="862"/>
      <c r="S32" s="903" t="s">
        <v>12</v>
      </c>
      <c r="T32" s="910">
        <v>28270054450.200001</v>
      </c>
      <c r="U32" s="905"/>
      <c r="V32" s="906"/>
      <c r="W32" s="970"/>
      <c r="X32" s="884" t="str">
        <f>LEFT(H32,8)</f>
        <v>04.13.01</v>
      </c>
      <c r="Y32" s="884" t="str">
        <f t="shared" si="1"/>
        <v>Jalan</v>
      </c>
      <c r="Z32" s="884">
        <f t="shared" si="2"/>
        <v>10</v>
      </c>
      <c r="AA32" s="868">
        <f>T32/Z32</f>
        <v>2827005445.02</v>
      </c>
      <c r="AB32" s="885">
        <f>IF(2013-O32+1&gt;Z32,Z32,IF(2013-O32+1&lt;0,0,2013-O32+1))</f>
        <v>0</v>
      </c>
      <c r="AC32" s="868">
        <f>IF(AB32&gt;Z32,T32,AA32*AB32)</f>
        <v>0</v>
      </c>
      <c r="AD32" s="868">
        <v>0</v>
      </c>
      <c r="AE32" s="868">
        <f>IF(T32=AC32+AD32,0,AA32)</f>
        <v>2827005445.02</v>
      </c>
      <c r="AF32" s="868">
        <f>IF(T32=AC32+AD32+AE32,0,AA32)</f>
        <v>2827005445.02</v>
      </c>
      <c r="AG32" s="868">
        <f>IF(T32=AD32+AE32+AF32+AC32,0,AA32)</f>
        <v>2827005445.02</v>
      </c>
      <c r="AH32" s="886">
        <f>IF(T32=AD32+AE32+AF32+AC32+AG32,0,AA32)</f>
        <v>2827005445.02</v>
      </c>
      <c r="AI32" s="886">
        <f>SUM(AC32:AH32)</f>
        <v>11308021780.08</v>
      </c>
      <c r="AJ32" s="868">
        <f>T32-AI32</f>
        <v>16962032670.120001</v>
      </c>
      <c r="AK32" s="898">
        <f t="shared" si="3"/>
        <v>8481016335.0599995</v>
      </c>
    </row>
    <row r="33" spans="1:16383" s="857" customFormat="1" ht="35.25" hidden="1" customHeight="1" x14ac:dyDescent="0.2">
      <c r="D33" s="884"/>
      <c r="E33" s="890"/>
      <c r="F33" s="862"/>
      <c r="G33" s="862"/>
      <c r="H33" s="907"/>
      <c r="I33" s="903"/>
      <c r="J33" s="862"/>
      <c r="K33" s="908"/>
      <c r="L33" s="862"/>
      <c r="M33" s="909"/>
      <c r="N33" s="861"/>
      <c r="O33" s="903"/>
      <c r="P33" s="862"/>
      <c r="Q33" s="862"/>
      <c r="R33" s="862"/>
      <c r="S33" s="903"/>
      <c r="T33" s="910"/>
      <c r="U33" s="905"/>
      <c r="V33" s="1202"/>
      <c r="W33" s="970"/>
      <c r="X33" s="884"/>
      <c r="Y33" s="884"/>
      <c r="Z33" s="884"/>
      <c r="AA33" s="868"/>
      <c r="AB33" s="885"/>
      <c r="AC33" s="868"/>
      <c r="AD33" s="868"/>
      <c r="AE33" s="868"/>
      <c r="AF33" s="868"/>
      <c r="AG33" s="868"/>
      <c r="AH33" s="886"/>
      <c r="AI33" s="886"/>
      <c r="AJ33" s="868"/>
      <c r="AK33" s="898"/>
    </row>
    <row r="34" spans="1:16383" s="869" customFormat="1" ht="35.25" hidden="1" customHeight="1" x14ac:dyDescent="0.2">
      <c r="D34" s="883"/>
      <c r="E34" s="1127"/>
      <c r="F34" s="871" t="s">
        <v>4146</v>
      </c>
      <c r="G34" s="871"/>
      <c r="H34" s="937"/>
      <c r="I34" s="939"/>
      <c r="J34" s="871"/>
      <c r="K34" s="1222"/>
      <c r="L34" s="871"/>
      <c r="M34" s="1223"/>
      <c r="N34" s="870"/>
      <c r="O34" s="939"/>
      <c r="P34" s="871"/>
      <c r="Q34" s="871"/>
      <c r="R34" s="871"/>
      <c r="S34" s="939"/>
      <c r="T34" s="941">
        <f>SUM(T35:T49)</f>
        <v>9590850000</v>
      </c>
      <c r="U34" s="1224"/>
      <c r="V34" s="1225"/>
      <c r="W34" s="1226"/>
      <c r="X34" s="883"/>
      <c r="Y34" s="883"/>
      <c r="Z34" s="883"/>
      <c r="AA34" s="961"/>
      <c r="AB34" s="1227"/>
      <c r="AC34" s="941">
        <f t="shared" ref="AC34:AK34" si="16">SUM(AC35:AC49)</f>
        <v>5174346000</v>
      </c>
      <c r="AD34" s="941">
        <f t="shared" si="16"/>
        <v>186084000</v>
      </c>
      <c r="AE34" s="941">
        <f t="shared" si="16"/>
        <v>186084000</v>
      </c>
      <c r="AF34" s="941">
        <f t="shared" si="16"/>
        <v>186084000</v>
      </c>
      <c r="AG34" s="941">
        <f t="shared" si="16"/>
        <v>186084000</v>
      </c>
      <c r="AH34" s="941">
        <f t="shared" si="16"/>
        <v>186084000</v>
      </c>
      <c r="AI34" s="941">
        <f t="shared" si="16"/>
        <v>6104766000</v>
      </c>
      <c r="AJ34" s="941">
        <f t="shared" si="16"/>
        <v>3486084000</v>
      </c>
      <c r="AK34" s="941">
        <f t="shared" si="16"/>
        <v>5918682000</v>
      </c>
    </row>
    <row r="35" spans="1:16383" s="857" customFormat="1" ht="35.25" hidden="1" customHeight="1" x14ac:dyDescent="0.2">
      <c r="A35" s="857" t="s">
        <v>4904</v>
      </c>
      <c r="B35" s="857" t="e">
        <f>VLOOKUP(A35,RUAS,2,FALSE)</f>
        <v>#N/A</v>
      </c>
      <c r="D35" s="884" t="e">
        <f>RIGHT(#REF!,1)</f>
        <v>#REF!</v>
      </c>
      <c r="E35" s="855"/>
      <c r="F35" s="878" t="s">
        <v>742</v>
      </c>
      <c r="G35" s="878"/>
      <c r="H35" s="880" t="s">
        <v>3823</v>
      </c>
      <c r="I35" s="880"/>
      <c r="J35" s="880" t="s">
        <v>736</v>
      </c>
      <c r="K35" s="881" t="s">
        <v>748</v>
      </c>
      <c r="L35" s="880">
        <v>7</v>
      </c>
      <c r="M35" s="881">
        <v>49</v>
      </c>
      <c r="N35" s="880" t="s">
        <v>749</v>
      </c>
      <c r="O35" s="1126">
        <v>1942</v>
      </c>
      <c r="P35" s="880"/>
      <c r="Q35" s="880"/>
      <c r="R35" s="880" t="s">
        <v>750</v>
      </c>
      <c r="S35" s="880" t="s">
        <v>12</v>
      </c>
      <c r="T35" s="882">
        <v>286650000</v>
      </c>
      <c r="U35" s="880" t="s">
        <v>43</v>
      </c>
      <c r="V35" s="880"/>
      <c r="W35" s="969"/>
      <c r="X35" s="884" t="str">
        <f t="shared" ref="X35:X49" si="17">LEFT(H35,8)</f>
        <v>04.13.02</v>
      </c>
      <c r="Y35" s="884" t="str">
        <f t="shared" ref="Y35:Y49" si="18">VLOOKUP(X35,UE,3,FALSE)</f>
        <v>Jembatan</v>
      </c>
      <c r="Z35" s="884">
        <f t="shared" ref="Z35:Z49" si="19">VLOOKUP(X35,UE,4,FALSE)</f>
        <v>50</v>
      </c>
      <c r="AA35" s="868">
        <f t="shared" ref="AA35:AA49" si="20">T35/Z35</f>
        <v>5733000</v>
      </c>
      <c r="AB35" s="885">
        <f t="shared" ref="AB35:AB49" si="21">IF(2013-O35+1&gt;Z35,Z35,IF(2013-O35+1&lt;0,0,2013-O35+1))</f>
        <v>50</v>
      </c>
      <c r="AC35" s="868">
        <f t="shared" ref="AC35:AC49" si="22">IF(AB35&gt;Z35,T35,AA35*AB35)</f>
        <v>286650000</v>
      </c>
      <c r="AD35" s="868">
        <f t="shared" ref="AD35:AD49" si="23">IF(T35=AC35,0,AA35)</f>
        <v>0</v>
      </c>
      <c r="AE35" s="868">
        <f t="shared" ref="AE35:AE49" si="24">IF(T35=AC35+AD35,0,AA35)</f>
        <v>0</v>
      </c>
      <c r="AF35" s="868">
        <f t="shared" ref="AF35:AF49" si="25">IF(T35=AC35+AD35+AE35,0,AA35)</f>
        <v>0</v>
      </c>
      <c r="AG35" s="868">
        <f t="shared" ref="AG35:AG49" si="26">IF(T35=AD35+AE35+AF35+AC35,0,AA35)</f>
        <v>0</v>
      </c>
      <c r="AH35" s="886">
        <f t="shared" ref="AH35:AH49" si="27">IF(T35=AD35+AE35+AF35+AC35+AG35,0,AA35)</f>
        <v>0</v>
      </c>
      <c r="AI35" s="886">
        <f t="shared" ref="AI35:AI49" si="28">SUM(AC35:AH35)</f>
        <v>286650000</v>
      </c>
      <c r="AJ35" s="868">
        <f t="shared" ref="AJ35:AJ49" si="29">T35-AI35</f>
        <v>0</v>
      </c>
      <c r="AK35" s="898">
        <f t="shared" ref="AK35:AK49" si="30">SUM(AC35:AG35)</f>
        <v>286650000</v>
      </c>
    </row>
    <row r="36" spans="1:16383" s="857" customFormat="1" ht="35.25" customHeight="1" x14ac:dyDescent="0.2">
      <c r="A36" s="857" t="s">
        <v>4897</v>
      </c>
      <c r="B36" s="857" t="e">
        <f>VLOOKUP(A36,RUAS,2,FALSE)</f>
        <v>#N/A</v>
      </c>
      <c r="D36" s="884" t="e">
        <f>RIGHT(#REF!,1)</f>
        <v>#REF!</v>
      </c>
      <c r="E36" s="855"/>
      <c r="F36" s="878" t="s">
        <v>764</v>
      </c>
      <c r="G36" s="878"/>
      <c r="H36" s="861" t="s">
        <v>3824</v>
      </c>
      <c r="I36" s="871"/>
      <c r="J36" s="861" t="s">
        <v>736</v>
      </c>
      <c r="K36" s="856" t="s">
        <v>775</v>
      </c>
      <c r="L36" s="862">
        <v>6</v>
      </c>
      <c r="M36" s="856">
        <v>48</v>
      </c>
      <c r="N36" s="863" t="s">
        <v>807</v>
      </c>
      <c r="O36" s="861">
        <v>1978</v>
      </c>
      <c r="P36" s="862"/>
      <c r="Q36" s="862"/>
      <c r="R36" s="862" t="s">
        <v>808</v>
      </c>
      <c r="S36" s="862" t="s">
        <v>655</v>
      </c>
      <c r="T36" s="899">
        <v>336000000</v>
      </c>
      <c r="U36" s="861" t="s">
        <v>43</v>
      </c>
      <c r="V36" s="865"/>
      <c r="W36" s="968"/>
      <c r="X36" s="884" t="str">
        <f t="shared" si="17"/>
        <v>04.13.02</v>
      </c>
      <c r="Y36" s="884" t="str">
        <f t="shared" si="18"/>
        <v>Jembatan</v>
      </c>
      <c r="Z36" s="884">
        <f t="shared" si="19"/>
        <v>50</v>
      </c>
      <c r="AA36" s="868">
        <f t="shared" si="20"/>
        <v>6720000</v>
      </c>
      <c r="AB36" s="885">
        <f t="shared" si="21"/>
        <v>36</v>
      </c>
      <c r="AC36" s="868">
        <f t="shared" si="22"/>
        <v>241920000</v>
      </c>
      <c r="AD36" s="868">
        <f t="shared" si="23"/>
        <v>6720000</v>
      </c>
      <c r="AE36" s="868">
        <f t="shared" si="24"/>
        <v>6720000</v>
      </c>
      <c r="AF36" s="868">
        <f t="shared" si="25"/>
        <v>6720000</v>
      </c>
      <c r="AG36" s="868">
        <f t="shared" si="26"/>
        <v>6720000</v>
      </c>
      <c r="AH36" s="886">
        <f t="shared" si="27"/>
        <v>6720000</v>
      </c>
      <c r="AI36" s="886">
        <f t="shared" si="28"/>
        <v>275520000</v>
      </c>
      <c r="AJ36" s="868">
        <f t="shared" si="29"/>
        <v>60480000</v>
      </c>
      <c r="AK36" s="898">
        <f t="shared" si="30"/>
        <v>268800000</v>
      </c>
    </row>
    <row r="37" spans="1:16383" s="857" customFormat="1" ht="35.25" hidden="1" customHeight="1" x14ac:dyDescent="0.2">
      <c r="A37" s="857" t="s">
        <v>4904</v>
      </c>
      <c r="B37" s="857" t="e">
        <v>#N/A</v>
      </c>
      <c r="E37" s="855"/>
      <c r="F37" s="878" t="s">
        <v>764</v>
      </c>
      <c r="G37" s="878"/>
      <c r="H37" s="861" t="s">
        <v>3824</v>
      </c>
      <c r="I37" s="871"/>
      <c r="J37" s="861" t="s">
        <v>119</v>
      </c>
      <c r="K37" s="856" t="s">
        <v>775</v>
      </c>
      <c r="L37" s="862">
        <v>8</v>
      </c>
      <c r="M37" s="856">
        <v>64</v>
      </c>
      <c r="N37" s="862" t="s">
        <v>817</v>
      </c>
      <c r="O37" s="861">
        <v>1981</v>
      </c>
      <c r="P37" s="862"/>
      <c r="Q37" s="862"/>
      <c r="R37" s="862" t="s">
        <v>779</v>
      </c>
      <c r="S37" s="861" t="s">
        <v>12</v>
      </c>
      <c r="T37" s="899">
        <v>422400000</v>
      </c>
      <c r="U37" s="861" t="s">
        <v>43</v>
      </c>
      <c r="V37" s="865"/>
      <c r="W37" s="968"/>
      <c r="X37" s="884" t="str">
        <f t="shared" si="17"/>
        <v>04.13.02</v>
      </c>
      <c r="Y37" s="884" t="str">
        <f t="shared" si="18"/>
        <v>Jembatan</v>
      </c>
      <c r="Z37" s="884">
        <f t="shared" si="19"/>
        <v>50</v>
      </c>
      <c r="AA37" s="868">
        <f t="shared" si="20"/>
        <v>8448000</v>
      </c>
      <c r="AB37" s="885">
        <f t="shared" si="21"/>
        <v>33</v>
      </c>
      <c r="AC37" s="868">
        <f t="shared" si="22"/>
        <v>278784000</v>
      </c>
      <c r="AD37" s="868">
        <f t="shared" si="23"/>
        <v>8448000</v>
      </c>
      <c r="AE37" s="868">
        <f t="shared" si="24"/>
        <v>8448000</v>
      </c>
      <c r="AF37" s="868">
        <f t="shared" si="25"/>
        <v>8448000</v>
      </c>
      <c r="AG37" s="868">
        <f t="shared" si="26"/>
        <v>8448000</v>
      </c>
      <c r="AH37" s="886">
        <f t="shared" si="27"/>
        <v>8448000</v>
      </c>
      <c r="AI37" s="886">
        <f t="shared" si="28"/>
        <v>321024000</v>
      </c>
      <c r="AJ37" s="868">
        <f t="shared" si="29"/>
        <v>101376000</v>
      </c>
      <c r="AK37" s="898">
        <f t="shared" si="30"/>
        <v>312576000</v>
      </c>
    </row>
    <row r="38" spans="1:16383" s="857" customFormat="1" ht="35.25" hidden="1" customHeight="1" x14ac:dyDescent="0.2">
      <c r="A38" s="857" t="s">
        <v>4904</v>
      </c>
      <c r="B38" s="857" t="e">
        <v>#N/A</v>
      </c>
      <c r="E38" s="855"/>
      <c r="F38" s="878" t="s">
        <v>764</v>
      </c>
      <c r="G38" s="878"/>
      <c r="H38" s="861" t="s">
        <v>3824</v>
      </c>
      <c r="I38" s="871"/>
      <c r="J38" s="861" t="s">
        <v>736</v>
      </c>
      <c r="K38" s="856" t="s">
        <v>759</v>
      </c>
      <c r="L38" s="862">
        <v>6</v>
      </c>
      <c r="M38" s="856">
        <v>36</v>
      </c>
      <c r="N38" s="862" t="s">
        <v>804</v>
      </c>
      <c r="O38" s="861">
        <v>1984</v>
      </c>
      <c r="P38" s="862"/>
      <c r="Q38" s="862"/>
      <c r="R38" s="862" t="s">
        <v>811</v>
      </c>
      <c r="S38" s="861" t="s">
        <v>655</v>
      </c>
      <c r="T38" s="899">
        <v>252000000</v>
      </c>
      <c r="U38" s="861" t="s">
        <v>43</v>
      </c>
      <c r="V38" s="865"/>
      <c r="W38" s="968"/>
      <c r="X38" s="884" t="str">
        <f t="shared" si="17"/>
        <v>04.13.02</v>
      </c>
      <c r="Y38" s="884" t="str">
        <f t="shared" si="18"/>
        <v>Jembatan</v>
      </c>
      <c r="Z38" s="884">
        <f t="shared" si="19"/>
        <v>50</v>
      </c>
      <c r="AA38" s="868">
        <f t="shared" si="20"/>
        <v>5040000</v>
      </c>
      <c r="AB38" s="885">
        <f t="shared" si="21"/>
        <v>30</v>
      </c>
      <c r="AC38" s="868">
        <f t="shared" si="22"/>
        <v>151200000</v>
      </c>
      <c r="AD38" s="868">
        <f t="shared" si="23"/>
        <v>5040000</v>
      </c>
      <c r="AE38" s="868">
        <f t="shared" si="24"/>
        <v>5040000</v>
      </c>
      <c r="AF38" s="868">
        <f t="shared" si="25"/>
        <v>5040000</v>
      </c>
      <c r="AG38" s="868">
        <f t="shared" si="26"/>
        <v>5040000</v>
      </c>
      <c r="AH38" s="886">
        <f t="shared" si="27"/>
        <v>5040000</v>
      </c>
      <c r="AI38" s="886">
        <f t="shared" si="28"/>
        <v>176400000</v>
      </c>
      <c r="AJ38" s="868">
        <f t="shared" si="29"/>
        <v>75600000</v>
      </c>
      <c r="AK38" s="898">
        <f t="shared" si="30"/>
        <v>171360000</v>
      </c>
    </row>
    <row r="39" spans="1:16383" s="857" customFormat="1" ht="35.25" hidden="1" customHeight="1" x14ac:dyDescent="0.2">
      <c r="A39" s="857" t="s">
        <v>4904</v>
      </c>
      <c r="B39" s="857" t="e">
        <v>#N/A</v>
      </c>
      <c r="E39" s="855"/>
      <c r="F39" s="878" t="s">
        <v>764</v>
      </c>
      <c r="G39" s="878"/>
      <c r="H39" s="861" t="s">
        <v>3824</v>
      </c>
      <c r="I39" s="871"/>
      <c r="J39" s="861" t="s">
        <v>119</v>
      </c>
      <c r="K39" s="856" t="s">
        <v>766</v>
      </c>
      <c r="L39" s="862">
        <v>6</v>
      </c>
      <c r="M39" s="856">
        <v>90</v>
      </c>
      <c r="N39" s="862" t="s">
        <v>812</v>
      </c>
      <c r="O39" s="861">
        <v>1986</v>
      </c>
      <c r="P39" s="862"/>
      <c r="Q39" s="862"/>
      <c r="R39" s="862" t="s">
        <v>813</v>
      </c>
      <c r="S39" s="861" t="s">
        <v>12</v>
      </c>
      <c r="T39" s="899">
        <v>486000000</v>
      </c>
      <c r="U39" s="861" t="s">
        <v>43</v>
      </c>
      <c r="V39" s="865"/>
      <c r="W39" s="968"/>
      <c r="X39" s="884" t="str">
        <f t="shared" si="17"/>
        <v>04.13.02</v>
      </c>
      <c r="Y39" s="884" t="str">
        <f t="shared" si="18"/>
        <v>Jembatan</v>
      </c>
      <c r="Z39" s="884">
        <f t="shared" si="19"/>
        <v>50</v>
      </c>
      <c r="AA39" s="868">
        <f t="shared" si="20"/>
        <v>9720000</v>
      </c>
      <c r="AB39" s="885">
        <f t="shared" si="21"/>
        <v>28</v>
      </c>
      <c r="AC39" s="868">
        <f t="shared" si="22"/>
        <v>272160000</v>
      </c>
      <c r="AD39" s="868">
        <f t="shared" si="23"/>
        <v>9720000</v>
      </c>
      <c r="AE39" s="868">
        <f t="shared" si="24"/>
        <v>9720000</v>
      </c>
      <c r="AF39" s="868">
        <f t="shared" si="25"/>
        <v>9720000</v>
      </c>
      <c r="AG39" s="868">
        <f t="shared" si="26"/>
        <v>9720000</v>
      </c>
      <c r="AH39" s="886">
        <f t="shared" si="27"/>
        <v>9720000</v>
      </c>
      <c r="AI39" s="886">
        <f t="shared" si="28"/>
        <v>320760000</v>
      </c>
      <c r="AJ39" s="868">
        <f t="shared" si="29"/>
        <v>165240000</v>
      </c>
      <c r="AK39" s="898">
        <f t="shared" si="30"/>
        <v>311040000</v>
      </c>
    </row>
    <row r="40" spans="1:16383" s="857" customFormat="1" ht="35.25" hidden="1" customHeight="1" x14ac:dyDescent="0.2">
      <c r="A40" s="857" t="s">
        <v>4904</v>
      </c>
      <c r="B40" s="857" t="e">
        <v>#N/A</v>
      </c>
      <c r="E40" s="855"/>
      <c r="F40" s="878" t="s">
        <v>764</v>
      </c>
      <c r="G40" s="878"/>
      <c r="H40" s="861" t="s">
        <v>3824</v>
      </c>
      <c r="I40" s="871"/>
      <c r="J40" s="861" t="s">
        <v>736</v>
      </c>
      <c r="K40" s="856" t="s">
        <v>775</v>
      </c>
      <c r="L40" s="862">
        <v>8</v>
      </c>
      <c r="M40" s="856">
        <v>64</v>
      </c>
      <c r="N40" s="862" t="s">
        <v>786</v>
      </c>
      <c r="O40" s="861">
        <v>1987</v>
      </c>
      <c r="P40" s="862"/>
      <c r="Q40" s="862"/>
      <c r="R40" s="862" t="s">
        <v>770</v>
      </c>
      <c r="S40" s="861" t="s">
        <v>12</v>
      </c>
      <c r="T40" s="899">
        <v>345600000</v>
      </c>
      <c r="U40" s="861" t="s">
        <v>43</v>
      </c>
      <c r="V40" s="865"/>
      <c r="W40" s="968"/>
      <c r="X40" s="884" t="str">
        <f t="shared" si="17"/>
        <v>04.13.02</v>
      </c>
      <c r="Y40" s="884" t="str">
        <f t="shared" si="18"/>
        <v>Jembatan</v>
      </c>
      <c r="Z40" s="884">
        <f t="shared" si="19"/>
        <v>50</v>
      </c>
      <c r="AA40" s="868">
        <f t="shared" si="20"/>
        <v>6912000</v>
      </c>
      <c r="AB40" s="885">
        <f t="shared" si="21"/>
        <v>27</v>
      </c>
      <c r="AC40" s="868">
        <f t="shared" si="22"/>
        <v>186624000</v>
      </c>
      <c r="AD40" s="868">
        <f t="shared" si="23"/>
        <v>6912000</v>
      </c>
      <c r="AE40" s="868">
        <f t="shared" si="24"/>
        <v>6912000</v>
      </c>
      <c r="AF40" s="868">
        <f t="shared" si="25"/>
        <v>6912000</v>
      </c>
      <c r="AG40" s="868">
        <f t="shared" si="26"/>
        <v>6912000</v>
      </c>
      <c r="AH40" s="886">
        <f t="shared" si="27"/>
        <v>6912000</v>
      </c>
      <c r="AI40" s="886">
        <f t="shared" si="28"/>
        <v>221184000</v>
      </c>
      <c r="AJ40" s="868">
        <f t="shared" si="29"/>
        <v>124416000</v>
      </c>
      <c r="AK40" s="898">
        <f t="shared" si="30"/>
        <v>214272000</v>
      </c>
    </row>
    <row r="41" spans="1:16383" s="857" customFormat="1" ht="35.25" hidden="1" customHeight="1" x14ac:dyDescent="0.2">
      <c r="A41" s="857" t="s">
        <v>4904</v>
      </c>
      <c r="B41" s="857" t="e">
        <v>#N/A</v>
      </c>
      <c r="E41" s="855"/>
      <c r="F41" s="878" t="s">
        <v>764</v>
      </c>
      <c r="G41" s="878"/>
      <c r="H41" s="861" t="s">
        <v>3824</v>
      </c>
      <c r="I41" s="871"/>
      <c r="J41" s="861" t="s">
        <v>736</v>
      </c>
      <c r="K41" s="856" t="s">
        <v>751</v>
      </c>
      <c r="L41" s="862">
        <v>8</v>
      </c>
      <c r="M41" s="856">
        <v>80</v>
      </c>
      <c r="N41" s="862" t="s">
        <v>791</v>
      </c>
      <c r="O41" s="861">
        <v>1987</v>
      </c>
      <c r="P41" s="862"/>
      <c r="Q41" s="862"/>
      <c r="R41" s="862" t="s">
        <v>770</v>
      </c>
      <c r="S41" s="861" t="s">
        <v>12</v>
      </c>
      <c r="T41" s="899">
        <v>576000000</v>
      </c>
      <c r="U41" s="861" t="s">
        <v>43</v>
      </c>
      <c r="V41" s="865"/>
      <c r="W41" s="968"/>
      <c r="X41" s="884" t="str">
        <f t="shared" si="17"/>
        <v>04.13.02</v>
      </c>
      <c r="Y41" s="884" t="str">
        <f t="shared" si="18"/>
        <v>Jembatan</v>
      </c>
      <c r="Z41" s="884">
        <f t="shared" si="19"/>
        <v>50</v>
      </c>
      <c r="AA41" s="868">
        <f t="shared" si="20"/>
        <v>11520000</v>
      </c>
      <c r="AB41" s="885">
        <f t="shared" si="21"/>
        <v>27</v>
      </c>
      <c r="AC41" s="868">
        <f t="shared" si="22"/>
        <v>311040000</v>
      </c>
      <c r="AD41" s="868">
        <f t="shared" si="23"/>
        <v>11520000</v>
      </c>
      <c r="AE41" s="868">
        <f t="shared" si="24"/>
        <v>11520000</v>
      </c>
      <c r="AF41" s="868">
        <f t="shared" si="25"/>
        <v>11520000</v>
      </c>
      <c r="AG41" s="868">
        <f t="shared" si="26"/>
        <v>11520000</v>
      </c>
      <c r="AH41" s="886">
        <f t="shared" si="27"/>
        <v>11520000</v>
      </c>
      <c r="AI41" s="886">
        <f t="shared" si="28"/>
        <v>368640000</v>
      </c>
      <c r="AJ41" s="868">
        <f t="shared" si="29"/>
        <v>207360000</v>
      </c>
      <c r="AK41" s="898">
        <f t="shared" si="30"/>
        <v>357120000</v>
      </c>
    </row>
    <row r="42" spans="1:16383" s="857" customFormat="1" ht="35.25" customHeight="1" x14ac:dyDescent="0.2">
      <c r="A42" s="857" t="s">
        <v>4897</v>
      </c>
      <c r="D42" s="884" t="e">
        <f>RIGHT(#REF!,1)</f>
        <v>#REF!</v>
      </c>
      <c r="E42" s="855"/>
      <c r="F42" s="878" t="s">
        <v>764</v>
      </c>
      <c r="G42" s="878"/>
      <c r="H42" s="861" t="s">
        <v>3824</v>
      </c>
      <c r="I42" s="871"/>
      <c r="J42" s="861" t="s">
        <v>736</v>
      </c>
      <c r="K42" s="856" t="s">
        <v>745</v>
      </c>
      <c r="L42" s="862">
        <v>6</v>
      </c>
      <c r="M42" s="856">
        <v>360</v>
      </c>
      <c r="N42" s="863" t="s">
        <v>769</v>
      </c>
      <c r="O42" s="861">
        <v>1987</v>
      </c>
      <c r="P42" s="862"/>
      <c r="Q42" s="862"/>
      <c r="R42" s="862" t="s">
        <v>770</v>
      </c>
      <c r="S42" s="862" t="s">
        <v>12</v>
      </c>
      <c r="T42" s="899">
        <v>2772000000</v>
      </c>
      <c r="U42" s="861" t="s">
        <v>135</v>
      </c>
      <c r="V42" s="865"/>
      <c r="W42" s="968"/>
      <c r="X42" s="884" t="str">
        <f t="shared" si="17"/>
        <v>04.13.02</v>
      </c>
      <c r="Y42" s="884" t="str">
        <f t="shared" si="18"/>
        <v>Jembatan</v>
      </c>
      <c r="Z42" s="884">
        <f t="shared" si="19"/>
        <v>50</v>
      </c>
      <c r="AA42" s="868">
        <f t="shared" si="20"/>
        <v>55440000</v>
      </c>
      <c r="AB42" s="885">
        <f t="shared" si="21"/>
        <v>27</v>
      </c>
      <c r="AC42" s="868">
        <f t="shared" si="22"/>
        <v>1496880000</v>
      </c>
      <c r="AD42" s="868">
        <f t="shared" si="23"/>
        <v>55440000</v>
      </c>
      <c r="AE42" s="868">
        <f t="shared" si="24"/>
        <v>55440000</v>
      </c>
      <c r="AF42" s="868">
        <f t="shared" si="25"/>
        <v>55440000</v>
      </c>
      <c r="AG42" s="868">
        <f t="shared" si="26"/>
        <v>55440000</v>
      </c>
      <c r="AH42" s="886">
        <f t="shared" si="27"/>
        <v>55440000</v>
      </c>
      <c r="AI42" s="886">
        <f t="shared" si="28"/>
        <v>1774080000</v>
      </c>
      <c r="AJ42" s="868">
        <f t="shared" si="29"/>
        <v>997920000</v>
      </c>
      <c r="AK42" s="898">
        <f t="shared" si="30"/>
        <v>1718640000</v>
      </c>
    </row>
    <row r="43" spans="1:16383" s="857" customFormat="1" ht="35.25" customHeight="1" x14ac:dyDescent="0.2">
      <c r="A43" s="857" t="s">
        <v>4897</v>
      </c>
      <c r="B43" s="857" t="e">
        <f>VLOOKUP(A43,RUAS,2,FALSE)</f>
        <v>#N/A</v>
      </c>
      <c r="D43" s="884" t="e">
        <f>RIGHT(#REF!,1)</f>
        <v>#REF!</v>
      </c>
      <c r="E43" s="855"/>
      <c r="F43" s="878" t="s">
        <v>764</v>
      </c>
      <c r="G43" s="878"/>
      <c r="H43" s="861" t="s">
        <v>3824</v>
      </c>
      <c r="I43" s="871"/>
      <c r="J43" s="861" t="s">
        <v>736</v>
      </c>
      <c r="K43" s="856" t="s">
        <v>814</v>
      </c>
      <c r="L43" s="862">
        <v>6</v>
      </c>
      <c r="M43" s="856">
        <v>240</v>
      </c>
      <c r="N43" s="863" t="s">
        <v>815</v>
      </c>
      <c r="O43" s="861">
        <v>1988</v>
      </c>
      <c r="P43" s="862"/>
      <c r="Q43" s="862"/>
      <c r="R43" s="862" t="s">
        <v>816</v>
      </c>
      <c r="S43" s="862" t="s">
        <v>655</v>
      </c>
      <c r="T43" s="899">
        <v>1848000000</v>
      </c>
      <c r="U43" s="861" t="s">
        <v>43</v>
      </c>
      <c r="V43" s="865"/>
      <c r="W43" s="968"/>
      <c r="X43" s="884" t="str">
        <f t="shared" si="17"/>
        <v>04.13.02</v>
      </c>
      <c r="Y43" s="884" t="str">
        <f t="shared" si="18"/>
        <v>Jembatan</v>
      </c>
      <c r="Z43" s="884">
        <f t="shared" si="19"/>
        <v>50</v>
      </c>
      <c r="AA43" s="868">
        <f t="shared" si="20"/>
        <v>36960000</v>
      </c>
      <c r="AB43" s="885">
        <f t="shared" si="21"/>
        <v>26</v>
      </c>
      <c r="AC43" s="868">
        <f t="shared" si="22"/>
        <v>960960000</v>
      </c>
      <c r="AD43" s="868">
        <f t="shared" si="23"/>
        <v>36960000</v>
      </c>
      <c r="AE43" s="868">
        <f t="shared" si="24"/>
        <v>36960000</v>
      </c>
      <c r="AF43" s="868">
        <f t="shared" si="25"/>
        <v>36960000</v>
      </c>
      <c r="AG43" s="868">
        <f t="shared" si="26"/>
        <v>36960000</v>
      </c>
      <c r="AH43" s="886">
        <f t="shared" si="27"/>
        <v>36960000</v>
      </c>
      <c r="AI43" s="886">
        <f t="shared" si="28"/>
        <v>1145760000</v>
      </c>
      <c r="AJ43" s="868">
        <f t="shared" si="29"/>
        <v>702240000</v>
      </c>
      <c r="AK43" s="898">
        <f t="shared" si="30"/>
        <v>1108800000</v>
      </c>
    </row>
    <row r="44" spans="1:16383" s="857" customFormat="1" ht="35.25" hidden="1" customHeight="1" x14ac:dyDescent="0.2">
      <c r="A44" s="857" t="s">
        <v>4904</v>
      </c>
      <c r="B44" s="857" t="e">
        <v>#N/A</v>
      </c>
      <c r="E44" s="855"/>
      <c r="F44" s="878" t="s">
        <v>764</v>
      </c>
      <c r="G44" s="878"/>
      <c r="H44" s="861" t="s">
        <v>3824</v>
      </c>
      <c r="I44" s="871"/>
      <c r="J44" s="861" t="s">
        <v>736</v>
      </c>
      <c r="K44" s="856" t="s">
        <v>766</v>
      </c>
      <c r="L44" s="862">
        <v>8</v>
      </c>
      <c r="M44" s="856">
        <v>120</v>
      </c>
      <c r="N44" s="862" t="s">
        <v>783</v>
      </c>
      <c r="O44" s="861">
        <v>1990</v>
      </c>
      <c r="P44" s="862"/>
      <c r="Q44" s="862"/>
      <c r="R44" s="862" t="s">
        <v>782</v>
      </c>
      <c r="S44" s="861" t="s">
        <v>12</v>
      </c>
      <c r="T44" s="899">
        <v>648000000</v>
      </c>
      <c r="U44" s="861" t="s">
        <v>43</v>
      </c>
      <c r="V44" s="865"/>
      <c r="W44" s="968"/>
      <c r="X44" s="884" t="str">
        <f t="shared" si="17"/>
        <v>04.13.02</v>
      </c>
      <c r="Y44" s="884" t="str">
        <f t="shared" si="18"/>
        <v>Jembatan</v>
      </c>
      <c r="Z44" s="884">
        <f t="shared" si="19"/>
        <v>50</v>
      </c>
      <c r="AA44" s="868">
        <f t="shared" si="20"/>
        <v>12960000</v>
      </c>
      <c r="AB44" s="885">
        <f t="shared" si="21"/>
        <v>24</v>
      </c>
      <c r="AC44" s="868">
        <f t="shared" si="22"/>
        <v>311040000</v>
      </c>
      <c r="AD44" s="868">
        <f t="shared" si="23"/>
        <v>12960000</v>
      </c>
      <c r="AE44" s="868">
        <f t="shared" si="24"/>
        <v>12960000</v>
      </c>
      <c r="AF44" s="868">
        <f t="shared" si="25"/>
        <v>12960000</v>
      </c>
      <c r="AG44" s="868">
        <f t="shared" si="26"/>
        <v>12960000</v>
      </c>
      <c r="AH44" s="886">
        <f t="shared" si="27"/>
        <v>12960000</v>
      </c>
      <c r="AI44" s="886">
        <f t="shared" si="28"/>
        <v>375840000</v>
      </c>
      <c r="AJ44" s="868">
        <f t="shared" si="29"/>
        <v>272160000</v>
      </c>
      <c r="AK44" s="898">
        <f t="shared" si="30"/>
        <v>362880000</v>
      </c>
    </row>
    <row r="45" spans="1:16383" s="857" customFormat="1" ht="35.25" hidden="1" customHeight="1" x14ac:dyDescent="0.2">
      <c r="A45" s="857" t="s">
        <v>4904</v>
      </c>
      <c r="B45" s="857" t="e">
        <v>#N/A</v>
      </c>
      <c r="E45" s="855"/>
      <c r="F45" s="878" t="s">
        <v>764</v>
      </c>
      <c r="G45" s="878"/>
      <c r="H45" s="861" t="s">
        <v>3824</v>
      </c>
      <c r="I45" s="871"/>
      <c r="J45" s="861" t="s">
        <v>736</v>
      </c>
      <c r="K45" s="856" t="s">
        <v>751</v>
      </c>
      <c r="L45" s="862">
        <v>6</v>
      </c>
      <c r="M45" s="856">
        <v>60</v>
      </c>
      <c r="N45" s="862" t="s">
        <v>790</v>
      </c>
      <c r="O45" s="861">
        <v>1990</v>
      </c>
      <c r="P45" s="862"/>
      <c r="Q45" s="862"/>
      <c r="R45" s="862" t="s">
        <v>782</v>
      </c>
      <c r="S45" s="861" t="s">
        <v>12</v>
      </c>
      <c r="T45" s="899">
        <v>378000000</v>
      </c>
      <c r="U45" s="861" t="s">
        <v>43</v>
      </c>
      <c r="V45" s="865"/>
      <c r="W45" s="968"/>
      <c r="X45" s="884" t="str">
        <f t="shared" si="17"/>
        <v>04.13.02</v>
      </c>
      <c r="Y45" s="884" t="str">
        <f t="shared" si="18"/>
        <v>Jembatan</v>
      </c>
      <c r="Z45" s="884">
        <f t="shared" si="19"/>
        <v>50</v>
      </c>
      <c r="AA45" s="868">
        <f t="shared" si="20"/>
        <v>7560000</v>
      </c>
      <c r="AB45" s="885">
        <f t="shared" si="21"/>
        <v>24</v>
      </c>
      <c r="AC45" s="868">
        <f t="shared" si="22"/>
        <v>181440000</v>
      </c>
      <c r="AD45" s="868">
        <f t="shared" si="23"/>
        <v>7560000</v>
      </c>
      <c r="AE45" s="868">
        <f t="shared" si="24"/>
        <v>7560000</v>
      </c>
      <c r="AF45" s="868">
        <f t="shared" si="25"/>
        <v>7560000</v>
      </c>
      <c r="AG45" s="868">
        <f t="shared" si="26"/>
        <v>7560000</v>
      </c>
      <c r="AH45" s="886">
        <f t="shared" si="27"/>
        <v>7560000</v>
      </c>
      <c r="AI45" s="886">
        <f t="shared" si="28"/>
        <v>219240000</v>
      </c>
      <c r="AJ45" s="868">
        <f t="shared" si="29"/>
        <v>158760000</v>
      </c>
      <c r="AK45" s="898">
        <f t="shared" si="30"/>
        <v>211680000</v>
      </c>
    </row>
    <row r="46" spans="1:16383" s="857" customFormat="1" ht="35.25" customHeight="1" x14ac:dyDescent="0.2">
      <c r="A46" s="857" t="s">
        <v>4897</v>
      </c>
      <c r="B46" s="857" t="e">
        <f>VLOOKUP(A46,RUAS,2,FALSE)</f>
        <v>#N/A</v>
      </c>
      <c r="D46" s="884" t="e">
        <f>RIGHT(#REF!,1)</f>
        <v>#REF!</v>
      </c>
      <c r="E46" s="855"/>
      <c r="F46" s="878" t="s">
        <v>764</v>
      </c>
      <c r="G46" s="878"/>
      <c r="H46" s="861" t="s">
        <v>3824</v>
      </c>
      <c r="I46" s="871"/>
      <c r="J46" s="861" t="s">
        <v>736</v>
      </c>
      <c r="K46" s="856" t="s">
        <v>762</v>
      </c>
      <c r="L46" s="862">
        <v>6</v>
      </c>
      <c r="M46" s="856">
        <v>72</v>
      </c>
      <c r="N46" s="863" t="s">
        <v>785</v>
      </c>
      <c r="O46" s="861">
        <v>1990</v>
      </c>
      <c r="P46" s="862"/>
      <c r="Q46" s="862"/>
      <c r="R46" s="862" t="s">
        <v>782</v>
      </c>
      <c r="S46" s="862" t="s">
        <v>12</v>
      </c>
      <c r="T46" s="899">
        <v>388800000</v>
      </c>
      <c r="U46" s="861" t="s">
        <v>43</v>
      </c>
      <c r="V46" s="865"/>
      <c r="W46" s="968"/>
      <c r="X46" s="884" t="str">
        <f t="shared" si="17"/>
        <v>04.13.02</v>
      </c>
      <c r="Y46" s="884" t="str">
        <f t="shared" si="18"/>
        <v>Jembatan</v>
      </c>
      <c r="Z46" s="884">
        <f t="shared" si="19"/>
        <v>50</v>
      </c>
      <c r="AA46" s="868">
        <f t="shared" si="20"/>
        <v>7776000</v>
      </c>
      <c r="AB46" s="885">
        <f t="shared" si="21"/>
        <v>24</v>
      </c>
      <c r="AC46" s="868">
        <f t="shared" si="22"/>
        <v>186624000</v>
      </c>
      <c r="AD46" s="868">
        <f t="shared" si="23"/>
        <v>7776000</v>
      </c>
      <c r="AE46" s="868">
        <f t="shared" si="24"/>
        <v>7776000</v>
      </c>
      <c r="AF46" s="868">
        <f t="shared" si="25"/>
        <v>7776000</v>
      </c>
      <c r="AG46" s="868">
        <f t="shared" si="26"/>
        <v>7776000</v>
      </c>
      <c r="AH46" s="886">
        <f t="shared" si="27"/>
        <v>7776000</v>
      </c>
      <c r="AI46" s="886">
        <f t="shared" si="28"/>
        <v>225504000</v>
      </c>
      <c r="AJ46" s="868">
        <f t="shared" si="29"/>
        <v>163296000</v>
      </c>
      <c r="AK46" s="898">
        <f t="shared" si="30"/>
        <v>217728000</v>
      </c>
    </row>
    <row r="47" spans="1:16383" s="857" customFormat="1" ht="35.25" hidden="1" customHeight="1" x14ac:dyDescent="0.2">
      <c r="A47" s="857" t="s">
        <v>4904</v>
      </c>
      <c r="B47" s="857" t="e">
        <v>#N/A</v>
      </c>
      <c r="E47" s="855"/>
      <c r="F47" s="878" t="s">
        <v>764</v>
      </c>
      <c r="G47" s="878"/>
      <c r="H47" s="861" t="s">
        <v>3824</v>
      </c>
      <c r="I47" s="871"/>
      <c r="J47" s="861" t="s">
        <v>736</v>
      </c>
      <c r="K47" s="856" t="s">
        <v>766</v>
      </c>
      <c r="L47" s="862">
        <v>6</v>
      </c>
      <c r="M47" s="856">
        <v>90</v>
      </c>
      <c r="N47" s="862" t="s">
        <v>787</v>
      </c>
      <c r="O47" s="861">
        <v>1991</v>
      </c>
      <c r="P47" s="862"/>
      <c r="Q47" s="862"/>
      <c r="R47" s="862" t="s">
        <v>788</v>
      </c>
      <c r="S47" s="861" t="s">
        <v>12</v>
      </c>
      <c r="T47" s="899">
        <v>486000000</v>
      </c>
      <c r="U47" s="861" t="s">
        <v>43</v>
      </c>
      <c r="V47" s="865"/>
      <c r="W47" s="968"/>
      <c r="X47" s="884" t="str">
        <f t="shared" si="17"/>
        <v>04.13.02</v>
      </c>
      <c r="Y47" s="884" t="str">
        <f t="shared" si="18"/>
        <v>Jembatan</v>
      </c>
      <c r="Z47" s="884">
        <f t="shared" si="19"/>
        <v>50</v>
      </c>
      <c r="AA47" s="868">
        <f t="shared" si="20"/>
        <v>9720000</v>
      </c>
      <c r="AB47" s="885">
        <f t="shared" si="21"/>
        <v>23</v>
      </c>
      <c r="AC47" s="868">
        <f t="shared" si="22"/>
        <v>223560000</v>
      </c>
      <c r="AD47" s="868">
        <f t="shared" si="23"/>
        <v>9720000</v>
      </c>
      <c r="AE47" s="868">
        <f t="shared" si="24"/>
        <v>9720000</v>
      </c>
      <c r="AF47" s="868">
        <f t="shared" si="25"/>
        <v>9720000</v>
      </c>
      <c r="AG47" s="868">
        <f t="shared" si="26"/>
        <v>9720000</v>
      </c>
      <c r="AH47" s="886">
        <f t="shared" si="27"/>
        <v>9720000</v>
      </c>
      <c r="AI47" s="886">
        <f t="shared" si="28"/>
        <v>272160000</v>
      </c>
      <c r="AJ47" s="868">
        <f t="shared" si="29"/>
        <v>213840000</v>
      </c>
      <c r="AK47" s="898">
        <f t="shared" si="30"/>
        <v>262440000</v>
      </c>
    </row>
    <row r="48" spans="1:16383" s="857" customFormat="1" ht="35.25" hidden="1" customHeight="1" x14ac:dyDescent="0.2">
      <c r="A48" s="857" t="s">
        <v>4904</v>
      </c>
      <c r="B48" s="857" t="e">
        <v>#N/A</v>
      </c>
      <c r="C48" s="887"/>
      <c r="D48" s="887"/>
      <c r="E48" s="888"/>
      <c r="F48" s="915" t="s">
        <v>764</v>
      </c>
      <c r="G48" s="915"/>
      <c r="H48" s="907" t="s">
        <v>3824</v>
      </c>
      <c r="I48" s="903"/>
      <c r="J48" s="862" t="s">
        <v>736</v>
      </c>
      <c r="K48" s="908" t="s">
        <v>759</v>
      </c>
      <c r="L48" s="862">
        <v>6</v>
      </c>
      <c r="M48" s="909">
        <v>36</v>
      </c>
      <c r="N48" s="862" t="s">
        <v>804</v>
      </c>
      <c r="O48" s="903">
        <v>1996</v>
      </c>
      <c r="P48" s="862"/>
      <c r="Q48" s="862"/>
      <c r="R48" s="862" t="s">
        <v>747</v>
      </c>
      <c r="S48" s="903" t="s">
        <v>655</v>
      </c>
      <c r="T48" s="910">
        <v>135000000</v>
      </c>
      <c r="U48" s="905" t="s">
        <v>43</v>
      </c>
      <c r="V48" s="906"/>
      <c r="W48" s="970"/>
      <c r="X48" s="884" t="str">
        <f t="shared" si="17"/>
        <v>04.13.02</v>
      </c>
      <c r="Y48" s="884" t="str">
        <f t="shared" si="18"/>
        <v>Jembatan</v>
      </c>
      <c r="Z48" s="884">
        <f t="shared" si="19"/>
        <v>50</v>
      </c>
      <c r="AA48" s="868">
        <f t="shared" si="20"/>
        <v>2700000</v>
      </c>
      <c r="AB48" s="885">
        <f t="shared" si="21"/>
        <v>18</v>
      </c>
      <c r="AC48" s="868">
        <f t="shared" si="22"/>
        <v>48600000</v>
      </c>
      <c r="AD48" s="868">
        <f t="shared" si="23"/>
        <v>2700000</v>
      </c>
      <c r="AE48" s="868">
        <f t="shared" si="24"/>
        <v>2700000</v>
      </c>
      <c r="AF48" s="868">
        <f t="shared" si="25"/>
        <v>2700000</v>
      </c>
      <c r="AG48" s="868">
        <f t="shared" si="26"/>
        <v>2700000</v>
      </c>
      <c r="AH48" s="886">
        <f t="shared" si="27"/>
        <v>2700000</v>
      </c>
      <c r="AI48" s="886">
        <f t="shared" si="28"/>
        <v>62100000</v>
      </c>
      <c r="AJ48" s="868">
        <f t="shared" si="29"/>
        <v>72900000</v>
      </c>
      <c r="AK48" s="898">
        <f t="shared" si="30"/>
        <v>59400000</v>
      </c>
      <c r="AL48" s="887">
        <v>22</v>
      </c>
      <c r="AM48" s="887"/>
      <c r="AN48" s="887"/>
      <c r="AO48" s="887"/>
      <c r="AP48" s="887"/>
      <c r="AQ48" s="887"/>
      <c r="AR48" s="887"/>
      <c r="AS48" s="887"/>
      <c r="AT48" s="887"/>
      <c r="AU48" s="887"/>
      <c r="AV48" s="887"/>
      <c r="AW48" s="887"/>
      <c r="AX48" s="887"/>
      <c r="AY48" s="887"/>
      <c r="AZ48" s="887"/>
      <c r="BA48" s="887"/>
      <c r="BB48" s="887"/>
      <c r="BC48" s="887"/>
      <c r="BD48" s="887"/>
      <c r="BE48" s="887"/>
      <c r="BF48" s="887"/>
      <c r="BG48" s="887"/>
      <c r="BH48" s="887"/>
      <c r="BI48" s="887"/>
      <c r="BJ48" s="887"/>
      <c r="BK48" s="887"/>
      <c r="BL48" s="887"/>
      <c r="BM48" s="887"/>
      <c r="BN48" s="887"/>
      <c r="BO48" s="887"/>
      <c r="BP48" s="887"/>
      <c r="BQ48" s="887"/>
      <c r="BR48" s="887"/>
      <c r="BS48" s="887"/>
      <c r="BT48" s="887"/>
      <c r="BU48" s="887"/>
      <c r="BV48" s="887"/>
      <c r="BW48" s="887"/>
      <c r="BX48" s="887"/>
      <c r="BY48" s="887"/>
      <c r="BZ48" s="887"/>
      <c r="CA48" s="887"/>
      <c r="CB48" s="887"/>
      <c r="CC48" s="887"/>
      <c r="CD48" s="887"/>
      <c r="CE48" s="887"/>
      <c r="CF48" s="887"/>
      <c r="CG48" s="887"/>
      <c r="CH48" s="887"/>
      <c r="CI48" s="887"/>
      <c r="CJ48" s="887"/>
      <c r="CK48" s="887"/>
      <c r="CL48" s="887"/>
      <c r="CM48" s="887"/>
      <c r="CN48" s="887"/>
      <c r="CO48" s="887"/>
      <c r="CP48" s="887"/>
      <c r="CQ48" s="887"/>
      <c r="CR48" s="887"/>
      <c r="CS48" s="887"/>
      <c r="CT48" s="887"/>
      <c r="CU48" s="887"/>
      <c r="CV48" s="887"/>
      <c r="CW48" s="887"/>
      <c r="CX48" s="887"/>
      <c r="CY48" s="887"/>
      <c r="CZ48" s="887"/>
      <c r="DA48" s="887"/>
      <c r="DB48" s="887"/>
      <c r="DC48" s="887"/>
      <c r="DD48" s="887"/>
      <c r="DE48" s="887"/>
      <c r="DF48" s="887"/>
      <c r="DG48" s="887"/>
      <c r="DH48" s="887"/>
      <c r="DI48" s="887"/>
      <c r="DJ48" s="887"/>
      <c r="DK48" s="887"/>
      <c r="DL48" s="887"/>
      <c r="DM48" s="887"/>
      <c r="DN48" s="887"/>
      <c r="DO48" s="887"/>
      <c r="DP48" s="887"/>
      <c r="DQ48" s="887"/>
      <c r="DR48" s="887"/>
      <c r="DS48" s="887"/>
      <c r="DT48" s="887"/>
      <c r="DU48" s="887"/>
      <c r="DV48" s="887"/>
      <c r="DW48" s="887"/>
      <c r="DX48" s="887"/>
      <c r="DY48" s="887"/>
      <c r="DZ48" s="887"/>
      <c r="EA48" s="887"/>
      <c r="EB48" s="887"/>
      <c r="EC48" s="887"/>
      <c r="ED48" s="887"/>
      <c r="EE48" s="887"/>
      <c r="EF48" s="887"/>
      <c r="EG48" s="887"/>
      <c r="EH48" s="887"/>
      <c r="EI48" s="887"/>
      <c r="EJ48" s="887"/>
      <c r="EK48" s="887"/>
      <c r="EL48" s="887"/>
      <c r="EM48" s="887"/>
      <c r="EN48" s="887"/>
      <c r="EO48" s="887"/>
      <c r="EP48" s="887"/>
      <c r="EQ48" s="887"/>
      <c r="ER48" s="887"/>
      <c r="ES48" s="887"/>
      <c r="ET48" s="887"/>
      <c r="EU48" s="887"/>
      <c r="EV48" s="887"/>
      <c r="EW48" s="887"/>
      <c r="EX48" s="887"/>
      <c r="EY48" s="887"/>
      <c r="EZ48" s="887"/>
      <c r="FA48" s="887"/>
      <c r="FB48" s="887"/>
      <c r="FC48" s="887"/>
      <c r="FD48" s="887"/>
      <c r="FE48" s="887"/>
      <c r="FF48" s="887"/>
      <c r="FG48" s="887"/>
      <c r="FH48" s="887"/>
      <c r="FI48" s="887"/>
      <c r="FJ48" s="887"/>
      <c r="FK48" s="887"/>
      <c r="FL48" s="887"/>
      <c r="FM48" s="887"/>
      <c r="FN48" s="887"/>
      <c r="FO48" s="887"/>
      <c r="FP48" s="887"/>
      <c r="FQ48" s="887"/>
      <c r="FR48" s="887"/>
      <c r="FS48" s="887"/>
      <c r="FT48" s="887"/>
      <c r="FU48" s="887"/>
      <c r="FV48" s="887"/>
      <c r="FW48" s="887"/>
      <c r="FX48" s="887"/>
      <c r="FY48" s="887"/>
      <c r="FZ48" s="887"/>
      <c r="GA48" s="887"/>
      <c r="GB48" s="887"/>
      <c r="GC48" s="887"/>
      <c r="GD48" s="887"/>
      <c r="GE48" s="887"/>
      <c r="GF48" s="887"/>
      <c r="GG48" s="887"/>
      <c r="GH48" s="887"/>
      <c r="GI48" s="887"/>
      <c r="GJ48" s="887"/>
      <c r="GK48" s="887"/>
      <c r="GL48" s="887"/>
      <c r="GM48" s="887"/>
      <c r="GN48" s="887"/>
      <c r="GO48" s="887"/>
      <c r="GP48" s="887"/>
      <c r="GQ48" s="887"/>
      <c r="GR48" s="887"/>
      <c r="GS48" s="887"/>
      <c r="GT48" s="887"/>
      <c r="GU48" s="887"/>
      <c r="GV48" s="887"/>
      <c r="GW48" s="887"/>
      <c r="GX48" s="887"/>
      <c r="GY48" s="887"/>
      <c r="GZ48" s="887"/>
      <c r="HA48" s="887"/>
      <c r="HB48" s="887"/>
      <c r="HC48" s="887"/>
      <c r="HD48" s="887"/>
      <c r="HE48" s="887"/>
      <c r="HF48" s="887"/>
      <c r="HG48" s="887"/>
      <c r="HH48" s="887"/>
      <c r="HI48" s="887"/>
      <c r="HJ48" s="887"/>
      <c r="HK48" s="887"/>
      <c r="HL48" s="887"/>
      <c r="HM48" s="887"/>
      <c r="HN48" s="887"/>
      <c r="HO48" s="887"/>
      <c r="HP48" s="887"/>
      <c r="HQ48" s="887"/>
      <c r="HR48" s="887"/>
      <c r="HS48" s="887"/>
      <c r="HT48" s="887"/>
      <c r="HU48" s="887"/>
      <c r="HV48" s="887"/>
      <c r="HW48" s="887"/>
      <c r="HX48" s="887"/>
      <c r="HY48" s="887"/>
      <c r="HZ48" s="887"/>
      <c r="IA48" s="887"/>
      <c r="IB48" s="887"/>
      <c r="IC48" s="887"/>
      <c r="ID48" s="887"/>
      <c r="IE48" s="887"/>
      <c r="IF48" s="887"/>
      <c r="IG48" s="887"/>
      <c r="IH48" s="887"/>
      <c r="II48" s="887"/>
      <c r="IJ48" s="887"/>
      <c r="IK48" s="887"/>
      <c r="IL48" s="887"/>
      <c r="IM48" s="887"/>
      <c r="IN48" s="887"/>
      <c r="IO48" s="887"/>
      <c r="IP48" s="887"/>
      <c r="IQ48" s="887"/>
      <c r="IR48" s="887"/>
      <c r="IS48" s="887"/>
      <c r="IT48" s="887"/>
      <c r="IU48" s="887"/>
      <c r="IV48" s="887"/>
      <c r="IW48" s="887"/>
      <c r="IX48" s="887"/>
      <c r="IY48" s="887"/>
      <c r="IZ48" s="887"/>
      <c r="JA48" s="887"/>
      <c r="JB48" s="887"/>
      <c r="JC48" s="887"/>
      <c r="JD48" s="887"/>
      <c r="JE48" s="887"/>
      <c r="JF48" s="887"/>
      <c r="JG48" s="887"/>
      <c r="JH48" s="887"/>
      <c r="JI48" s="887"/>
      <c r="JJ48" s="887"/>
      <c r="JK48" s="887"/>
      <c r="JL48" s="887"/>
      <c r="JM48" s="887"/>
      <c r="JN48" s="887"/>
      <c r="JO48" s="887"/>
      <c r="JP48" s="887"/>
      <c r="JQ48" s="887"/>
      <c r="JR48" s="887"/>
      <c r="JS48" s="887"/>
      <c r="JT48" s="887"/>
      <c r="JU48" s="887"/>
      <c r="JV48" s="887"/>
      <c r="JW48" s="887"/>
      <c r="JX48" s="887"/>
      <c r="JY48" s="887"/>
      <c r="JZ48" s="887"/>
      <c r="KA48" s="887"/>
      <c r="KB48" s="887"/>
      <c r="KC48" s="887"/>
      <c r="KD48" s="887"/>
      <c r="KE48" s="887"/>
      <c r="KF48" s="887"/>
      <c r="KG48" s="887"/>
      <c r="KH48" s="887"/>
      <c r="KI48" s="887"/>
      <c r="KJ48" s="887"/>
      <c r="KK48" s="887"/>
      <c r="KL48" s="887"/>
      <c r="KM48" s="887"/>
      <c r="KN48" s="887"/>
      <c r="KO48" s="887"/>
      <c r="KP48" s="887"/>
      <c r="KQ48" s="887"/>
      <c r="KR48" s="887"/>
      <c r="KS48" s="887"/>
      <c r="KT48" s="887"/>
      <c r="KU48" s="887"/>
      <c r="KV48" s="887"/>
      <c r="KW48" s="887"/>
      <c r="KX48" s="887"/>
      <c r="KY48" s="887"/>
      <c r="KZ48" s="887"/>
      <c r="LA48" s="887"/>
      <c r="LB48" s="887"/>
      <c r="LC48" s="887"/>
      <c r="LD48" s="887"/>
      <c r="LE48" s="887"/>
      <c r="LF48" s="887"/>
      <c r="LG48" s="887"/>
      <c r="LH48" s="887"/>
      <c r="LI48" s="887"/>
      <c r="LJ48" s="887"/>
      <c r="LK48" s="887"/>
      <c r="LL48" s="887"/>
      <c r="LM48" s="887"/>
      <c r="LN48" s="887"/>
      <c r="LO48" s="887"/>
      <c r="LP48" s="887"/>
      <c r="LQ48" s="887"/>
      <c r="LR48" s="887"/>
      <c r="LS48" s="887"/>
      <c r="LT48" s="887"/>
      <c r="LU48" s="887"/>
      <c r="LV48" s="887"/>
      <c r="LW48" s="887"/>
      <c r="LX48" s="887"/>
      <c r="LY48" s="887"/>
      <c r="LZ48" s="887"/>
      <c r="MA48" s="887"/>
      <c r="MB48" s="887"/>
      <c r="MC48" s="887"/>
      <c r="MD48" s="887"/>
      <c r="ME48" s="887"/>
      <c r="MF48" s="887"/>
      <c r="MG48" s="887"/>
      <c r="MH48" s="887"/>
      <c r="MI48" s="887"/>
      <c r="MJ48" s="887"/>
      <c r="MK48" s="887"/>
      <c r="ML48" s="887"/>
      <c r="MM48" s="887"/>
      <c r="MN48" s="887"/>
      <c r="MO48" s="887"/>
      <c r="MP48" s="887"/>
      <c r="MQ48" s="887"/>
      <c r="MR48" s="887"/>
      <c r="MS48" s="887"/>
      <c r="MT48" s="887"/>
      <c r="MU48" s="887"/>
      <c r="MV48" s="887"/>
      <c r="MW48" s="887"/>
      <c r="MX48" s="887"/>
      <c r="MY48" s="887"/>
      <c r="MZ48" s="887"/>
      <c r="NA48" s="887"/>
      <c r="NB48" s="887"/>
      <c r="NC48" s="887"/>
      <c r="ND48" s="887"/>
      <c r="NE48" s="887"/>
      <c r="NF48" s="887"/>
      <c r="NG48" s="887"/>
      <c r="NH48" s="887"/>
      <c r="NI48" s="887"/>
      <c r="NJ48" s="887"/>
      <c r="NK48" s="887"/>
      <c r="NL48" s="887"/>
      <c r="NM48" s="887"/>
      <c r="NN48" s="887"/>
      <c r="NO48" s="887"/>
      <c r="NP48" s="887"/>
      <c r="NQ48" s="887"/>
      <c r="NR48" s="887"/>
      <c r="NS48" s="887"/>
      <c r="NT48" s="887"/>
      <c r="NU48" s="887"/>
      <c r="NV48" s="887"/>
      <c r="NW48" s="887"/>
      <c r="NX48" s="887"/>
      <c r="NY48" s="887"/>
      <c r="NZ48" s="887"/>
      <c r="OA48" s="887"/>
      <c r="OB48" s="887"/>
      <c r="OC48" s="887"/>
      <c r="OD48" s="887"/>
      <c r="OE48" s="887"/>
      <c r="OF48" s="887"/>
      <c r="OG48" s="887"/>
      <c r="OH48" s="887"/>
      <c r="OI48" s="887"/>
      <c r="OJ48" s="887"/>
      <c r="OK48" s="887"/>
      <c r="OL48" s="887"/>
      <c r="OM48" s="887"/>
      <c r="ON48" s="887"/>
      <c r="OO48" s="887"/>
      <c r="OP48" s="887"/>
      <c r="OQ48" s="887"/>
      <c r="OR48" s="887"/>
      <c r="OS48" s="887"/>
      <c r="OT48" s="887"/>
      <c r="OU48" s="887"/>
      <c r="OV48" s="887"/>
      <c r="OW48" s="887"/>
      <c r="OX48" s="887"/>
      <c r="OY48" s="887"/>
      <c r="OZ48" s="887"/>
      <c r="PA48" s="887"/>
      <c r="PB48" s="887"/>
      <c r="PC48" s="887"/>
      <c r="PD48" s="887"/>
      <c r="PE48" s="887"/>
      <c r="PF48" s="887"/>
      <c r="PG48" s="887"/>
      <c r="PH48" s="887"/>
      <c r="PI48" s="887"/>
      <c r="PJ48" s="887"/>
      <c r="PK48" s="887"/>
      <c r="PL48" s="887"/>
      <c r="PM48" s="887"/>
      <c r="PN48" s="887"/>
      <c r="PO48" s="887"/>
      <c r="PP48" s="887"/>
      <c r="PQ48" s="887"/>
      <c r="PR48" s="887"/>
      <c r="PS48" s="887"/>
      <c r="PT48" s="887"/>
      <c r="PU48" s="887"/>
      <c r="PV48" s="887"/>
      <c r="PW48" s="887"/>
      <c r="PX48" s="887"/>
      <c r="PY48" s="887"/>
      <c r="PZ48" s="887"/>
      <c r="QA48" s="887"/>
      <c r="QB48" s="887"/>
      <c r="QC48" s="887"/>
      <c r="QD48" s="887"/>
      <c r="QE48" s="887"/>
      <c r="QF48" s="887"/>
      <c r="QG48" s="887"/>
      <c r="QH48" s="887"/>
      <c r="QI48" s="887"/>
      <c r="QJ48" s="887"/>
      <c r="QK48" s="887"/>
      <c r="QL48" s="887"/>
      <c r="QM48" s="887"/>
      <c r="QN48" s="887"/>
      <c r="QO48" s="887"/>
      <c r="QP48" s="887"/>
      <c r="QQ48" s="887"/>
      <c r="QR48" s="887"/>
      <c r="QS48" s="887"/>
      <c r="QT48" s="887"/>
      <c r="QU48" s="887"/>
      <c r="QV48" s="887"/>
      <c r="QW48" s="887"/>
      <c r="QX48" s="887"/>
      <c r="QY48" s="887"/>
      <c r="QZ48" s="887"/>
      <c r="RA48" s="887"/>
      <c r="RB48" s="887"/>
      <c r="RC48" s="887"/>
      <c r="RD48" s="887"/>
      <c r="RE48" s="887"/>
      <c r="RF48" s="887"/>
      <c r="RG48" s="887"/>
      <c r="RH48" s="887"/>
      <c r="RI48" s="887"/>
      <c r="RJ48" s="887"/>
      <c r="RK48" s="887"/>
      <c r="RL48" s="887"/>
      <c r="RM48" s="887"/>
      <c r="RN48" s="887"/>
      <c r="RO48" s="887"/>
      <c r="RP48" s="887"/>
      <c r="RQ48" s="887"/>
      <c r="RR48" s="887"/>
      <c r="RS48" s="887"/>
      <c r="RT48" s="887"/>
      <c r="RU48" s="887"/>
      <c r="RV48" s="887"/>
      <c r="RW48" s="887"/>
      <c r="RX48" s="887"/>
      <c r="RY48" s="887"/>
      <c r="RZ48" s="887"/>
      <c r="SA48" s="887"/>
      <c r="SB48" s="887"/>
      <c r="SC48" s="887"/>
      <c r="SD48" s="887"/>
      <c r="SE48" s="887"/>
      <c r="SF48" s="887"/>
      <c r="SG48" s="887"/>
      <c r="SH48" s="887"/>
      <c r="SI48" s="887"/>
      <c r="SJ48" s="887"/>
      <c r="SK48" s="887"/>
      <c r="SL48" s="887"/>
      <c r="SM48" s="887"/>
      <c r="SN48" s="887"/>
      <c r="SO48" s="887"/>
      <c r="SP48" s="887"/>
      <c r="SQ48" s="887"/>
      <c r="SR48" s="887"/>
      <c r="SS48" s="887"/>
      <c r="ST48" s="887"/>
      <c r="SU48" s="887"/>
      <c r="SV48" s="887"/>
      <c r="SW48" s="887"/>
      <c r="SX48" s="887"/>
      <c r="SY48" s="887"/>
      <c r="SZ48" s="887"/>
      <c r="TA48" s="887"/>
      <c r="TB48" s="887"/>
      <c r="TC48" s="887"/>
      <c r="TD48" s="887"/>
      <c r="TE48" s="887"/>
      <c r="TF48" s="887"/>
      <c r="TG48" s="887"/>
      <c r="TH48" s="887"/>
      <c r="TI48" s="887"/>
      <c r="TJ48" s="887"/>
      <c r="TK48" s="887"/>
      <c r="TL48" s="887"/>
      <c r="TM48" s="887"/>
      <c r="TN48" s="887"/>
      <c r="TO48" s="887"/>
      <c r="TP48" s="887"/>
      <c r="TQ48" s="887"/>
      <c r="TR48" s="887"/>
      <c r="TS48" s="887"/>
      <c r="TT48" s="887"/>
      <c r="TU48" s="887"/>
      <c r="TV48" s="887"/>
      <c r="TW48" s="887"/>
      <c r="TX48" s="887"/>
      <c r="TY48" s="887"/>
      <c r="TZ48" s="887"/>
      <c r="UA48" s="887"/>
      <c r="UB48" s="887"/>
      <c r="UC48" s="887"/>
      <c r="UD48" s="887"/>
      <c r="UE48" s="887"/>
      <c r="UF48" s="887"/>
      <c r="UG48" s="887"/>
      <c r="UH48" s="887"/>
      <c r="UI48" s="887"/>
      <c r="UJ48" s="887"/>
      <c r="UK48" s="887"/>
      <c r="UL48" s="887"/>
      <c r="UM48" s="887"/>
      <c r="UN48" s="887"/>
      <c r="UO48" s="887"/>
      <c r="UP48" s="887"/>
      <c r="UQ48" s="887"/>
      <c r="UR48" s="887"/>
      <c r="US48" s="887"/>
      <c r="UT48" s="887"/>
      <c r="UU48" s="887"/>
      <c r="UV48" s="887"/>
      <c r="UW48" s="887"/>
      <c r="UX48" s="887"/>
      <c r="UY48" s="887"/>
      <c r="UZ48" s="887"/>
      <c r="VA48" s="887"/>
      <c r="VB48" s="887"/>
      <c r="VC48" s="887"/>
      <c r="VD48" s="887"/>
      <c r="VE48" s="887"/>
      <c r="VF48" s="887"/>
      <c r="VG48" s="887"/>
      <c r="VH48" s="887"/>
      <c r="VI48" s="887"/>
      <c r="VJ48" s="887"/>
      <c r="VK48" s="887"/>
      <c r="VL48" s="887"/>
      <c r="VM48" s="887"/>
      <c r="VN48" s="887"/>
      <c r="VO48" s="887"/>
      <c r="VP48" s="887"/>
      <c r="VQ48" s="887"/>
      <c r="VR48" s="887"/>
      <c r="VS48" s="887"/>
      <c r="VT48" s="887"/>
      <c r="VU48" s="887"/>
      <c r="VV48" s="887"/>
      <c r="VW48" s="887"/>
      <c r="VX48" s="887"/>
      <c r="VY48" s="887"/>
      <c r="VZ48" s="887"/>
      <c r="WA48" s="887"/>
      <c r="WB48" s="887"/>
      <c r="WC48" s="887"/>
      <c r="WD48" s="887"/>
      <c r="WE48" s="887"/>
      <c r="WF48" s="887"/>
      <c r="WG48" s="887"/>
      <c r="WH48" s="887"/>
      <c r="WI48" s="887"/>
      <c r="WJ48" s="887"/>
      <c r="WK48" s="887"/>
      <c r="WL48" s="887"/>
      <c r="WM48" s="887"/>
      <c r="WN48" s="887"/>
      <c r="WO48" s="887"/>
      <c r="WP48" s="887"/>
      <c r="WQ48" s="887"/>
      <c r="WR48" s="887"/>
      <c r="WS48" s="887"/>
      <c r="WT48" s="887"/>
      <c r="WU48" s="887"/>
      <c r="WV48" s="887"/>
      <c r="WW48" s="887"/>
      <c r="WX48" s="887"/>
      <c r="WY48" s="887"/>
      <c r="WZ48" s="887"/>
      <c r="XA48" s="887"/>
      <c r="XB48" s="887"/>
      <c r="XC48" s="887"/>
      <c r="XD48" s="887"/>
      <c r="XE48" s="887"/>
      <c r="XF48" s="887"/>
      <c r="XG48" s="887"/>
      <c r="XH48" s="887"/>
      <c r="XI48" s="887"/>
      <c r="XJ48" s="887"/>
      <c r="XK48" s="887"/>
      <c r="XL48" s="887"/>
      <c r="XM48" s="887"/>
      <c r="XN48" s="887"/>
      <c r="XO48" s="887"/>
      <c r="XP48" s="887"/>
      <c r="XQ48" s="887"/>
      <c r="XR48" s="887"/>
      <c r="XS48" s="887"/>
      <c r="XT48" s="887"/>
      <c r="XU48" s="887"/>
      <c r="XV48" s="887"/>
      <c r="XW48" s="887"/>
      <c r="XX48" s="887"/>
      <c r="XY48" s="887"/>
      <c r="XZ48" s="887"/>
      <c r="YA48" s="887"/>
      <c r="YB48" s="887"/>
      <c r="YC48" s="887"/>
      <c r="YD48" s="887"/>
      <c r="YE48" s="887"/>
      <c r="YF48" s="887"/>
      <c r="YG48" s="887"/>
      <c r="YH48" s="887"/>
      <c r="YI48" s="887"/>
      <c r="YJ48" s="887"/>
      <c r="YK48" s="887"/>
      <c r="YL48" s="887"/>
      <c r="YM48" s="887"/>
      <c r="YN48" s="887"/>
      <c r="YO48" s="887"/>
      <c r="YP48" s="887"/>
      <c r="YQ48" s="887"/>
      <c r="YR48" s="887"/>
      <c r="YS48" s="887"/>
      <c r="YT48" s="887"/>
      <c r="YU48" s="887"/>
      <c r="YV48" s="887"/>
      <c r="YW48" s="887"/>
      <c r="YX48" s="887"/>
      <c r="YY48" s="887"/>
      <c r="YZ48" s="887"/>
      <c r="ZA48" s="887"/>
      <c r="ZB48" s="887"/>
      <c r="ZC48" s="887"/>
      <c r="ZD48" s="887"/>
      <c r="ZE48" s="887"/>
      <c r="ZF48" s="887"/>
      <c r="ZG48" s="887"/>
      <c r="ZH48" s="887"/>
      <c r="ZI48" s="887"/>
      <c r="ZJ48" s="887"/>
      <c r="ZK48" s="887"/>
      <c r="ZL48" s="887"/>
      <c r="ZM48" s="887"/>
      <c r="ZN48" s="887"/>
      <c r="ZO48" s="887"/>
      <c r="ZP48" s="887"/>
      <c r="ZQ48" s="887"/>
      <c r="ZR48" s="887"/>
      <c r="ZS48" s="887"/>
      <c r="ZT48" s="887"/>
      <c r="ZU48" s="887"/>
      <c r="ZV48" s="887"/>
      <c r="ZW48" s="887"/>
      <c r="ZX48" s="887"/>
      <c r="ZY48" s="887"/>
      <c r="ZZ48" s="887"/>
      <c r="AAA48" s="887"/>
      <c r="AAB48" s="887"/>
      <c r="AAC48" s="887"/>
      <c r="AAD48" s="887"/>
      <c r="AAE48" s="887"/>
      <c r="AAF48" s="887"/>
      <c r="AAG48" s="887"/>
      <c r="AAH48" s="887"/>
      <c r="AAI48" s="887"/>
      <c r="AAJ48" s="887"/>
      <c r="AAK48" s="887"/>
      <c r="AAL48" s="887"/>
      <c r="AAM48" s="887"/>
      <c r="AAN48" s="887"/>
      <c r="AAO48" s="887"/>
      <c r="AAP48" s="887"/>
      <c r="AAQ48" s="887"/>
      <c r="AAR48" s="887"/>
      <c r="AAS48" s="887"/>
      <c r="AAT48" s="887"/>
      <c r="AAU48" s="887"/>
      <c r="AAV48" s="887"/>
      <c r="AAW48" s="887"/>
      <c r="AAX48" s="887"/>
      <c r="AAY48" s="887"/>
      <c r="AAZ48" s="887"/>
      <c r="ABA48" s="887"/>
      <c r="ABB48" s="887"/>
      <c r="ABC48" s="887"/>
      <c r="ABD48" s="887"/>
      <c r="ABE48" s="887"/>
      <c r="ABF48" s="887"/>
      <c r="ABG48" s="887"/>
      <c r="ABH48" s="887"/>
      <c r="ABI48" s="887"/>
      <c r="ABJ48" s="887"/>
      <c r="ABK48" s="887"/>
      <c r="ABL48" s="887"/>
      <c r="ABM48" s="887"/>
      <c r="ABN48" s="887"/>
      <c r="ABO48" s="887"/>
      <c r="ABP48" s="887"/>
      <c r="ABQ48" s="887"/>
      <c r="ABR48" s="887"/>
      <c r="ABS48" s="887"/>
      <c r="ABT48" s="887"/>
      <c r="ABU48" s="887"/>
      <c r="ABV48" s="887"/>
      <c r="ABW48" s="887"/>
      <c r="ABX48" s="887"/>
      <c r="ABY48" s="887"/>
      <c r="ABZ48" s="887"/>
      <c r="ACA48" s="887"/>
      <c r="ACB48" s="887"/>
      <c r="ACC48" s="887"/>
      <c r="ACD48" s="887"/>
      <c r="ACE48" s="887"/>
      <c r="ACF48" s="887"/>
      <c r="ACG48" s="887"/>
      <c r="ACH48" s="887"/>
      <c r="ACI48" s="887"/>
      <c r="ACJ48" s="887"/>
      <c r="ACK48" s="887"/>
      <c r="ACL48" s="887"/>
      <c r="ACM48" s="887"/>
      <c r="ACN48" s="887"/>
      <c r="ACO48" s="887"/>
      <c r="ACP48" s="887"/>
      <c r="ACQ48" s="887"/>
      <c r="ACR48" s="887"/>
      <c r="ACS48" s="887"/>
      <c r="ACT48" s="887"/>
      <c r="ACU48" s="887"/>
      <c r="ACV48" s="887"/>
      <c r="ACW48" s="887"/>
      <c r="ACX48" s="887"/>
      <c r="ACY48" s="887"/>
      <c r="ACZ48" s="887"/>
      <c r="ADA48" s="887"/>
      <c r="ADB48" s="887"/>
      <c r="ADC48" s="887"/>
      <c r="ADD48" s="887"/>
      <c r="ADE48" s="887"/>
      <c r="ADF48" s="887"/>
      <c r="ADG48" s="887"/>
      <c r="ADH48" s="887"/>
      <c r="ADI48" s="887"/>
      <c r="ADJ48" s="887"/>
      <c r="ADK48" s="887"/>
      <c r="ADL48" s="887"/>
      <c r="ADM48" s="887"/>
      <c r="ADN48" s="887"/>
      <c r="ADO48" s="887"/>
      <c r="ADP48" s="887"/>
      <c r="ADQ48" s="887"/>
      <c r="ADR48" s="887"/>
      <c r="ADS48" s="887"/>
      <c r="ADT48" s="887"/>
      <c r="ADU48" s="887"/>
      <c r="ADV48" s="887"/>
      <c r="ADW48" s="887"/>
      <c r="ADX48" s="887"/>
      <c r="ADY48" s="887"/>
      <c r="ADZ48" s="887"/>
      <c r="AEA48" s="887"/>
      <c r="AEB48" s="887"/>
      <c r="AEC48" s="887"/>
      <c r="AED48" s="887"/>
      <c r="AEE48" s="887"/>
      <c r="AEF48" s="887"/>
      <c r="AEG48" s="887"/>
      <c r="AEH48" s="887"/>
      <c r="AEI48" s="887"/>
      <c r="AEJ48" s="887"/>
      <c r="AEK48" s="887"/>
      <c r="AEL48" s="887"/>
      <c r="AEM48" s="887"/>
      <c r="AEN48" s="887"/>
      <c r="AEO48" s="887"/>
      <c r="AEP48" s="887"/>
      <c r="AEQ48" s="887"/>
      <c r="AER48" s="887"/>
      <c r="AES48" s="887"/>
      <c r="AET48" s="887"/>
      <c r="AEU48" s="887"/>
      <c r="AEV48" s="887"/>
      <c r="AEW48" s="887"/>
      <c r="AEX48" s="887"/>
      <c r="AEY48" s="887"/>
      <c r="AEZ48" s="887"/>
      <c r="AFA48" s="887"/>
      <c r="AFB48" s="887"/>
      <c r="AFC48" s="887"/>
      <c r="AFD48" s="887"/>
      <c r="AFE48" s="887"/>
      <c r="AFF48" s="887"/>
      <c r="AFG48" s="887"/>
      <c r="AFH48" s="887"/>
      <c r="AFI48" s="887"/>
      <c r="AFJ48" s="887"/>
      <c r="AFK48" s="887"/>
      <c r="AFL48" s="887"/>
      <c r="AFM48" s="887"/>
      <c r="AFN48" s="887"/>
      <c r="AFO48" s="887"/>
      <c r="AFP48" s="887"/>
      <c r="AFQ48" s="887"/>
      <c r="AFR48" s="887"/>
      <c r="AFS48" s="887"/>
      <c r="AFT48" s="887"/>
      <c r="AFU48" s="887"/>
      <c r="AFV48" s="887"/>
      <c r="AFW48" s="887"/>
      <c r="AFX48" s="887"/>
      <c r="AFY48" s="887"/>
      <c r="AFZ48" s="887"/>
      <c r="AGA48" s="887"/>
      <c r="AGB48" s="887"/>
      <c r="AGC48" s="887"/>
      <c r="AGD48" s="887"/>
      <c r="AGE48" s="887"/>
      <c r="AGF48" s="887"/>
      <c r="AGG48" s="887"/>
      <c r="AGH48" s="887"/>
      <c r="AGI48" s="887"/>
      <c r="AGJ48" s="887"/>
      <c r="AGK48" s="887"/>
      <c r="AGL48" s="887"/>
      <c r="AGM48" s="887"/>
      <c r="AGN48" s="887"/>
      <c r="AGO48" s="887"/>
      <c r="AGP48" s="887"/>
      <c r="AGQ48" s="887"/>
      <c r="AGR48" s="887"/>
      <c r="AGS48" s="887"/>
      <c r="AGT48" s="887"/>
      <c r="AGU48" s="887"/>
      <c r="AGV48" s="887"/>
      <c r="AGW48" s="887"/>
      <c r="AGX48" s="887"/>
      <c r="AGY48" s="887"/>
      <c r="AGZ48" s="887"/>
      <c r="AHA48" s="887"/>
      <c r="AHB48" s="887"/>
      <c r="AHC48" s="887"/>
      <c r="AHD48" s="887"/>
      <c r="AHE48" s="887"/>
      <c r="AHF48" s="887"/>
      <c r="AHG48" s="887"/>
      <c r="AHH48" s="887"/>
      <c r="AHI48" s="887"/>
      <c r="AHJ48" s="887"/>
      <c r="AHK48" s="887"/>
      <c r="AHL48" s="887"/>
      <c r="AHM48" s="887"/>
      <c r="AHN48" s="887"/>
      <c r="AHO48" s="887"/>
      <c r="AHP48" s="887"/>
      <c r="AHQ48" s="887"/>
      <c r="AHR48" s="887"/>
      <c r="AHS48" s="887"/>
      <c r="AHT48" s="887"/>
      <c r="AHU48" s="887"/>
      <c r="AHV48" s="887"/>
      <c r="AHW48" s="887"/>
      <c r="AHX48" s="887"/>
      <c r="AHY48" s="887"/>
      <c r="AHZ48" s="887"/>
      <c r="AIA48" s="887"/>
      <c r="AIB48" s="887"/>
      <c r="AIC48" s="887"/>
      <c r="AID48" s="887"/>
      <c r="AIE48" s="887"/>
      <c r="AIF48" s="887"/>
      <c r="AIG48" s="887"/>
      <c r="AIH48" s="887"/>
      <c r="AII48" s="887"/>
      <c r="AIJ48" s="887"/>
      <c r="AIK48" s="887"/>
      <c r="AIL48" s="887"/>
      <c r="AIM48" s="887"/>
      <c r="AIN48" s="887"/>
      <c r="AIO48" s="887"/>
      <c r="AIP48" s="887"/>
      <c r="AIQ48" s="887"/>
      <c r="AIR48" s="887"/>
      <c r="AIS48" s="887"/>
      <c r="AIT48" s="887"/>
      <c r="AIU48" s="887"/>
      <c r="AIV48" s="887"/>
      <c r="AIW48" s="887"/>
      <c r="AIX48" s="887"/>
      <c r="AIY48" s="887"/>
      <c r="AIZ48" s="887"/>
      <c r="AJA48" s="887"/>
      <c r="AJB48" s="887"/>
      <c r="AJC48" s="887"/>
      <c r="AJD48" s="887"/>
      <c r="AJE48" s="887"/>
      <c r="AJF48" s="887"/>
      <c r="AJG48" s="887"/>
      <c r="AJH48" s="887"/>
      <c r="AJI48" s="887"/>
      <c r="AJJ48" s="887"/>
      <c r="AJK48" s="887"/>
      <c r="AJL48" s="887"/>
      <c r="AJM48" s="887"/>
      <c r="AJN48" s="887"/>
      <c r="AJO48" s="887"/>
      <c r="AJP48" s="887"/>
      <c r="AJQ48" s="887"/>
      <c r="AJR48" s="887"/>
      <c r="AJS48" s="887"/>
      <c r="AJT48" s="887"/>
      <c r="AJU48" s="887"/>
      <c r="AJV48" s="887"/>
      <c r="AJW48" s="887"/>
      <c r="AJX48" s="887"/>
      <c r="AJY48" s="887"/>
      <c r="AJZ48" s="887"/>
      <c r="AKA48" s="887"/>
      <c r="AKB48" s="887"/>
      <c r="AKC48" s="887"/>
      <c r="AKD48" s="887"/>
      <c r="AKE48" s="887"/>
      <c r="AKF48" s="887"/>
      <c r="AKG48" s="887"/>
      <c r="AKH48" s="887"/>
      <c r="AKI48" s="887"/>
      <c r="AKJ48" s="887"/>
      <c r="AKK48" s="887"/>
      <c r="AKL48" s="887"/>
      <c r="AKM48" s="887"/>
      <c r="AKN48" s="887"/>
      <c r="AKO48" s="887"/>
      <c r="AKP48" s="887"/>
      <c r="AKQ48" s="887"/>
      <c r="AKR48" s="887"/>
      <c r="AKS48" s="887"/>
      <c r="AKT48" s="887"/>
      <c r="AKU48" s="887"/>
      <c r="AKV48" s="887"/>
      <c r="AKW48" s="887"/>
      <c r="AKX48" s="887"/>
      <c r="AKY48" s="887"/>
      <c r="AKZ48" s="887"/>
      <c r="ALA48" s="887"/>
      <c r="ALB48" s="887"/>
      <c r="ALC48" s="887"/>
      <c r="ALD48" s="887"/>
      <c r="ALE48" s="887"/>
      <c r="ALF48" s="887"/>
      <c r="ALG48" s="887"/>
      <c r="ALH48" s="887"/>
      <c r="ALI48" s="887"/>
      <c r="ALJ48" s="887"/>
      <c r="ALK48" s="887"/>
      <c r="ALL48" s="887"/>
      <c r="ALM48" s="887"/>
      <c r="ALN48" s="887"/>
      <c r="ALO48" s="887"/>
      <c r="ALP48" s="887"/>
      <c r="ALQ48" s="887"/>
      <c r="ALR48" s="887"/>
      <c r="ALS48" s="887"/>
      <c r="ALT48" s="887"/>
      <c r="ALU48" s="887"/>
      <c r="ALV48" s="887"/>
      <c r="ALW48" s="887"/>
      <c r="ALX48" s="887"/>
      <c r="ALY48" s="887"/>
      <c r="ALZ48" s="887"/>
      <c r="AMA48" s="887"/>
      <c r="AMB48" s="887"/>
      <c r="AMC48" s="887"/>
      <c r="AMD48" s="887"/>
      <c r="AME48" s="887"/>
      <c r="AMF48" s="887"/>
      <c r="AMG48" s="887"/>
      <c r="AMH48" s="887"/>
      <c r="AMI48" s="887"/>
      <c r="AMJ48" s="887"/>
      <c r="AMK48" s="887"/>
      <c r="AML48" s="887"/>
      <c r="AMM48" s="887"/>
      <c r="AMN48" s="887"/>
      <c r="AMO48" s="887"/>
      <c r="AMP48" s="887"/>
      <c r="AMQ48" s="887"/>
      <c r="AMR48" s="887"/>
      <c r="AMS48" s="887"/>
      <c r="AMT48" s="887"/>
      <c r="AMU48" s="887"/>
      <c r="AMV48" s="887"/>
      <c r="AMW48" s="887"/>
      <c r="AMX48" s="887"/>
      <c r="AMY48" s="887"/>
      <c r="AMZ48" s="887"/>
      <c r="ANA48" s="887"/>
      <c r="ANB48" s="887"/>
      <c r="ANC48" s="887"/>
      <c r="AND48" s="887"/>
      <c r="ANE48" s="887"/>
      <c r="ANF48" s="887"/>
      <c r="ANG48" s="887"/>
      <c r="ANH48" s="887"/>
      <c r="ANI48" s="887"/>
      <c r="ANJ48" s="887"/>
      <c r="ANK48" s="887"/>
      <c r="ANL48" s="887"/>
      <c r="ANM48" s="887"/>
      <c r="ANN48" s="887"/>
      <c r="ANO48" s="887"/>
      <c r="ANP48" s="887"/>
      <c r="ANQ48" s="887"/>
      <c r="ANR48" s="887"/>
      <c r="ANS48" s="887"/>
      <c r="ANT48" s="887"/>
      <c r="ANU48" s="887"/>
      <c r="ANV48" s="887"/>
      <c r="ANW48" s="887"/>
      <c r="ANX48" s="887"/>
      <c r="ANY48" s="887"/>
      <c r="ANZ48" s="887"/>
      <c r="AOA48" s="887"/>
      <c r="AOB48" s="887"/>
      <c r="AOC48" s="887"/>
      <c r="AOD48" s="887"/>
      <c r="AOE48" s="887"/>
      <c r="AOF48" s="887"/>
      <c r="AOG48" s="887"/>
      <c r="AOH48" s="887"/>
      <c r="AOI48" s="887"/>
      <c r="AOJ48" s="887"/>
      <c r="AOK48" s="887"/>
      <c r="AOL48" s="887"/>
      <c r="AOM48" s="887"/>
      <c r="AON48" s="887"/>
      <c r="AOO48" s="887"/>
      <c r="AOP48" s="887"/>
      <c r="AOQ48" s="887"/>
      <c r="AOR48" s="887"/>
      <c r="AOS48" s="887"/>
      <c r="AOT48" s="887"/>
      <c r="AOU48" s="887"/>
      <c r="AOV48" s="887"/>
      <c r="AOW48" s="887"/>
      <c r="AOX48" s="887"/>
      <c r="AOY48" s="887"/>
      <c r="AOZ48" s="887"/>
      <c r="APA48" s="887"/>
      <c r="APB48" s="887"/>
      <c r="APC48" s="887"/>
      <c r="APD48" s="887"/>
      <c r="APE48" s="887"/>
      <c r="APF48" s="887"/>
      <c r="APG48" s="887"/>
      <c r="APH48" s="887"/>
      <c r="API48" s="887"/>
      <c r="APJ48" s="887"/>
      <c r="APK48" s="887"/>
      <c r="APL48" s="887"/>
      <c r="APM48" s="887"/>
      <c r="APN48" s="887"/>
      <c r="APO48" s="887"/>
      <c r="APP48" s="887"/>
      <c r="APQ48" s="887"/>
      <c r="APR48" s="887"/>
      <c r="APS48" s="887"/>
      <c r="APT48" s="887"/>
      <c r="APU48" s="887"/>
      <c r="APV48" s="887"/>
      <c r="APW48" s="887"/>
      <c r="APX48" s="887"/>
      <c r="APY48" s="887"/>
      <c r="APZ48" s="887"/>
      <c r="AQA48" s="887"/>
      <c r="AQB48" s="887"/>
      <c r="AQC48" s="887"/>
      <c r="AQD48" s="887"/>
      <c r="AQE48" s="887"/>
      <c r="AQF48" s="887"/>
      <c r="AQG48" s="887"/>
      <c r="AQH48" s="887"/>
      <c r="AQI48" s="887"/>
      <c r="AQJ48" s="887"/>
      <c r="AQK48" s="887"/>
      <c r="AQL48" s="887"/>
      <c r="AQM48" s="887"/>
      <c r="AQN48" s="887"/>
      <c r="AQO48" s="887"/>
      <c r="AQP48" s="887"/>
      <c r="AQQ48" s="887"/>
      <c r="AQR48" s="887"/>
      <c r="AQS48" s="887"/>
      <c r="AQT48" s="887"/>
      <c r="AQU48" s="887"/>
      <c r="AQV48" s="887"/>
      <c r="AQW48" s="887"/>
      <c r="AQX48" s="887"/>
      <c r="AQY48" s="887"/>
      <c r="AQZ48" s="887"/>
      <c r="ARA48" s="887"/>
      <c r="ARB48" s="887"/>
      <c r="ARC48" s="887"/>
      <c r="ARD48" s="887"/>
      <c r="ARE48" s="887"/>
      <c r="ARF48" s="887"/>
      <c r="ARG48" s="887"/>
      <c r="ARH48" s="887"/>
      <c r="ARI48" s="887"/>
      <c r="ARJ48" s="887"/>
      <c r="ARK48" s="887"/>
      <c r="ARL48" s="887"/>
      <c r="ARM48" s="887"/>
      <c r="ARN48" s="887"/>
      <c r="ARO48" s="887"/>
      <c r="ARP48" s="887"/>
      <c r="ARQ48" s="887"/>
      <c r="ARR48" s="887"/>
      <c r="ARS48" s="887"/>
      <c r="ART48" s="887"/>
      <c r="ARU48" s="887"/>
      <c r="ARV48" s="887"/>
      <c r="ARW48" s="887"/>
      <c r="ARX48" s="887"/>
      <c r="ARY48" s="887"/>
      <c r="ARZ48" s="887"/>
      <c r="ASA48" s="887"/>
      <c r="ASB48" s="887"/>
      <c r="ASC48" s="887"/>
      <c r="ASD48" s="887"/>
      <c r="ASE48" s="887"/>
      <c r="ASF48" s="887"/>
      <c r="ASG48" s="887"/>
      <c r="ASH48" s="887"/>
      <c r="ASI48" s="887"/>
      <c r="ASJ48" s="887"/>
      <c r="ASK48" s="887"/>
      <c r="ASL48" s="887"/>
      <c r="ASM48" s="887"/>
      <c r="ASN48" s="887"/>
      <c r="ASO48" s="887"/>
      <c r="ASP48" s="887"/>
      <c r="ASQ48" s="887"/>
      <c r="ASR48" s="887"/>
      <c r="ASS48" s="887"/>
      <c r="AST48" s="887"/>
      <c r="ASU48" s="887"/>
      <c r="ASV48" s="887"/>
      <c r="ASW48" s="887"/>
      <c r="ASX48" s="887"/>
      <c r="ASY48" s="887"/>
      <c r="ASZ48" s="887"/>
      <c r="ATA48" s="887"/>
      <c r="ATB48" s="887"/>
      <c r="ATC48" s="887"/>
      <c r="ATD48" s="887"/>
      <c r="ATE48" s="887"/>
      <c r="ATF48" s="887"/>
      <c r="ATG48" s="887"/>
      <c r="ATH48" s="887"/>
      <c r="ATI48" s="887"/>
      <c r="ATJ48" s="887"/>
      <c r="ATK48" s="887"/>
      <c r="ATL48" s="887"/>
      <c r="ATM48" s="887"/>
      <c r="ATN48" s="887"/>
      <c r="ATO48" s="887"/>
      <c r="ATP48" s="887"/>
      <c r="ATQ48" s="887"/>
      <c r="ATR48" s="887"/>
      <c r="ATS48" s="887"/>
      <c r="ATT48" s="887"/>
      <c r="ATU48" s="887"/>
      <c r="ATV48" s="887"/>
      <c r="ATW48" s="887"/>
      <c r="ATX48" s="887"/>
      <c r="ATY48" s="887"/>
      <c r="ATZ48" s="887"/>
      <c r="AUA48" s="887"/>
      <c r="AUB48" s="887"/>
      <c r="AUC48" s="887"/>
      <c r="AUD48" s="887"/>
      <c r="AUE48" s="887"/>
      <c r="AUF48" s="887"/>
      <c r="AUG48" s="887"/>
      <c r="AUH48" s="887"/>
      <c r="AUI48" s="887"/>
      <c r="AUJ48" s="887"/>
      <c r="AUK48" s="887"/>
      <c r="AUL48" s="887"/>
      <c r="AUM48" s="887"/>
      <c r="AUN48" s="887"/>
      <c r="AUO48" s="887"/>
      <c r="AUP48" s="887"/>
      <c r="AUQ48" s="887"/>
      <c r="AUR48" s="887"/>
      <c r="AUS48" s="887"/>
      <c r="AUT48" s="887"/>
      <c r="AUU48" s="887"/>
      <c r="AUV48" s="887"/>
      <c r="AUW48" s="887"/>
      <c r="AUX48" s="887"/>
      <c r="AUY48" s="887"/>
      <c r="AUZ48" s="887"/>
      <c r="AVA48" s="887"/>
      <c r="AVB48" s="887"/>
      <c r="AVC48" s="887"/>
      <c r="AVD48" s="887"/>
      <c r="AVE48" s="887"/>
      <c r="AVF48" s="887"/>
      <c r="AVG48" s="887"/>
      <c r="AVH48" s="887"/>
      <c r="AVI48" s="887"/>
      <c r="AVJ48" s="887"/>
      <c r="AVK48" s="887"/>
      <c r="AVL48" s="887"/>
      <c r="AVM48" s="887"/>
      <c r="AVN48" s="887"/>
      <c r="AVO48" s="887"/>
      <c r="AVP48" s="887"/>
      <c r="AVQ48" s="887"/>
      <c r="AVR48" s="887"/>
      <c r="AVS48" s="887"/>
      <c r="AVT48" s="887"/>
      <c r="AVU48" s="887"/>
      <c r="AVV48" s="887"/>
      <c r="AVW48" s="887"/>
      <c r="AVX48" s="887"/>
      <c r="AVY48" s="887"/>
      <c r="AVZ48" s="887"/>
      <c r="AWA48" s="887"/>
      <c r="AWB48" s="887"/>
      <c r="AWC48" s="887"/>
      <c r="AWD48" s="887"/>
      <c r="AWE48" s="887"/>
      <c r="AWF48" s="887"/>
      <c r="AWG48" s="887"/>
      <c r="AWH48" s="887"/>
      <c r="AWI48" s="887"/>
      <c r="AWJ48" s="887"/>
      <c r="AWK48" s="887"/>
      <c r="AWL48" s="887"/>
      <c r="AWM48" s="887"/>
      <c r="AWN48" s="887"/>
      <c r="AWO48" s="887"/>
      <c r="AWP48" s="887"/>
      <c r="AWQ48" s="887"/>
      <c r="AWR48" s="887"/>
      <c r="AWS48" s="887"/>
      <c r="AWT48" s="887"/>
      <c r="AWU48" s="887"/>
      <c r="AWV48" s="887"/>
      <c r="AWW48" s="887"/>
      <c r="AWX48" s="887"/>
      <c r="AWY48" s="887"/>
      <c r="AWZ48" s="887"/>
      <c r="AXA48" s="887"/>
      <c r="AXB48" s="887"/>
      <c r="AXC48" s="887"/>
      <c r="AXD48" s="887"/>
      <c r="AXE48" s="887"/>
      <c r="AXF48" s="887"/>
      <c r="AXG48" s="887"/>
      <c r="AXH48" s="887"/>
      <c r="AXI48" s="887"/>
      <c r="AXJ48" s="887"/>
      <c r="AXK48" s="887"/>
      <c r="AXL48" s="887"/>
      <c r="AXM48" s="887"/>
      <c r="AXN48" s="887"/>
      <c r="AXO48" s="887"/>
      <c r="AXP48" s="887"/>
      <c r="AXQ48" s="887"/>
      <c r="AXR48" s="887"/>
      <c r="AXS48" s="887"/>
      <c r="AXT48" s="887"/>
      <c r="AXU48" s="887"/>
      <c r="AXV48" s="887"/>
      <c r="AXW48" s="887"/>
      <c r="AXX48" s="887"/>
      <c r="AXY48" s="887"/>
      <c r="AXZ48" s="887"/>
      <c r="AYA48" s="887"/>
      <c r="AYB48" s="887"/>
      <c r="AYC48" s="887"/>
      <c r="AYD48" s="887"/>
      <c r="AYE48" s="887"/>
      <c r="AYF48" s="887"/>
      <c r="AYG48" s="887"/>
      <c r="AYH48" s="887"/>
      <c r="AYI48" s="887"/>
      <c r="AYJ48" s="887"/>
      <c r="AYK48" s="887"/>
      <c r="AYL48" s="887"/>
      <c r="AYM48" s="887"/>
      <c r="AYN48" s="887"/>
      <c r="AYO48" s="887"/>
      <c r="AYP48" s="887"/>
      <c r="AYQ48" s="887"/>
      <c r="AYR48" s="887"/>
      <c r="AYS48" s="887"/>
      <c r="AYT48" s="887"/>
      <c r="AYU48" s="887"/>
      <c r="AYV48" s="887"/>
      <c r="AYW48" s="887"/>
      <c r="AYX48" s="887"/>
      <c r="AYY48" s="887"/>
      <c r="AYZ48" s="887"/>
      <c r="AZA48" s="887"/>
      <c r="AZB48" s="887"/>
      <c r="AZC48" s="887"/>
      <c r="AZD48" s="887"/>
      <c r="AZE48" s="887"/>
      <c r="AZF48" s="887"/>
      <c r="AZG48" s="887"/>
      <c r="AZH48" s="887"/>
      <c r="AZI48" s="887"/>
      <c r="AZJ48" s="887"/>
      <c r="AZK48" s="887"/>
      <c r="AZL48" s="887"/>
      <c r="AZM48" s="887"/>
      <c r="AZN48" s="887"/>
      <c r="AZO48" s="887"/>
      <c r="AZP48" s="887"/>
      <c r="AZQ48" s="887"/>
      <c r="AZR48" s="887"/>
      <c r="AZS48" s="887"/>
      <c r="AZT48" s="887"/>
      <c r="AZU48" s="887"/>
      <c r="AZV48" s="887"/>
      <c r="AZW48" s="887"/>
      <c r="AZX48" s="887"/>
      <c r="AZY48" s="887"/>
      <c r="AZZ48" s="887"/>
      <c r="BAA48" s="887"/>
      <c r="BAB48" s="887"/>
      <c r="BAC48" s="887"/>
      <c r="BAD48" s="887"/>
      <c r="BAE48" s="887"/>
      <c r="BAF48" s="887"/>
      <c r="BAG48" s="887"/>
      <c r="BAH48" s="887"/>
      <c r="BAI48" s="887"/>
      <c r="BAJ48" s="887"/>
      <c r="BAK48" s="887"/>
      <c r="BAL48" s="887"/>
      <c r="BAM48" s="887"/>
      <c r="BAN48" s="887"/>
      <c r="BAO48" s="887"/>
      <c r="BAP48" s="887"/>
      <c r="BAQ48" s="887"/>
      <c r="BAR48" s="887"/>
      <c r="BAS48" s="887"/>
      <c r="BAT48" s="887"/>
      <c r="BAU48" s="887"/>
      <c r="BAV48" s="887"/>
      <c r="BAW48" s="887"/>
      <c r="BAX48" s="887"/>
      <c r="BAY48" s="887"/>
      <c r="BAZ48" s="887"/>
      <c r="BBA48" s="887"/>
      <c r="BBB48" s="887"/>
      <c r="BBC48" s="887"/>
      <c r="BBD48" s="887"/>
      <c r="BBE48" s="887"/>
      <c r="BBF48" s="887"/>
      <c r="BBG48" s="887"/>
      <c r="BBH48" s="887"/>
      <c r="BBI48" s="887"/>
      <c r="BBJ48" s="887"/>
      <c r="BBK48" s="887"/>
      <c r="BBL48" s="887"/>
      <c r="BBM48" s="887"/>
      <c r="BBN48" s="887"/>
      <c r="BBO48" s="887"/>
      <c r="BBP48" s="887"/>
      <c r="BBQ48" s="887"/>
      <c r="BBR48" s="887"/>
      <c r="BBS48" s="887"/>
      <c r="BBT48" s="887"/>
      <c r="BBU48" s="887"/>
      <c r="BBV48" s="887"/>
      <c r="BBW48" s="887"/>
      <c r="BBX48" s="887"/>
      <c r="BBY48" s="887"/>
      <c r="BBZ48" s="887"/>
      <c r="BCA48" s="887"/>
      <c r="BCB48" s="887"/>
      <c r="BCC48" s="887"/>
      <c r="BCD48" s="887"/>
      <c r="BCE48" s="887"/>
      <c r="BCF48" s="887"/>
      <c r="BCG48" s="887"/>
      <c r="BCH48" s="887"/>
      <c r="BCI48" s="887"/>
      <c r="BCJ48" s="887"/>
      <c r="BCK48" s="887"/>
      <c r="BCL48" s="887"/>
      <c r="BCM48" s="887"/>
      <c r="BCN48" s="887"/>
      <c r="BCO48" s="887"/>
      <c r="BCP48" s="887"/>
      <c r="BCQ48" s="887"/>
      <c r="BCR48" s="887"/>
      <c r="BCS48" s="887"/>
      <c r="BCT48" s="887"/>
      <c r="BCU48" s="887"/>
      <c r="BCV48" s="887"/>
      <c r="BCW48" s="887"/>
      <c r="BCX48" s="887"/>
      <c r="BCY48" s="887"/>
      <c r="BCZ48" s="887"/>
      <c r="BDA48" s="887"/>
      <c r="BDB48" s="887"/>
      <c r="BDC48" s="887"/>
      <c r="BDD48" s="887"/>
      <c r="BDE48" s="887"/>
      <c r="BDF48" s="887"/>
      <c r="BDG48" s="887"/>
      <c r="BDH48" s="887"/>
      <c r="BDI48" s="887"/>
      <c r="BDJ48" s="887"/>
      <c r="BDK48" s="887"/>
      <c r="BDL48" s="887"/>
      <c r="BDM48" s="887"/>
      <c r="BDN48" s="887"/>
      <c r="BDO48" s="887"/>
      <c r="BDP48" s="887"/>
      <c r="BDQ48" s="887"/>
      <c r="BDR48" s="887"/>
      <c r="BDS48" s="887"/>
      <c r="BDT48" s="887"/>
      <c r="BDU48" s="887"/>
      <c r="BDV48" s="887"/>
      <c r="BDW48" s="887"/>
      <c r="BDX48" s="887"/>
      <c r="BDY48" s="887"/>
      <c r="BDZ48" s="887"/>
      <c r="BEA48" s="887"/>
      <c r="BEB48" s="887"/>
      <c r="BEC48" s="887"/>
      <c r="BED48" s="887"/>
      <c r="BEE48" s="887"/>
      <c r="BEF48" s="887"/>
      <c r="BEG48" s="887"/>
      <c r="BEH48" s="887"/>
      <c r="BEI48" s="887"/>
      <c r="BEJ48" s="887"/>
      <c r="BEK48" s="887"/>
      <c r="BEL48" s="887"/>
      <c r="BEM48" s="887"/>
      <c r="BEN48" s="887"/>
      <c r="BEO48" s="887"/>
      <c r="BEP48" s="887"/>
      <c r="BEQ48" s="887"/>
      <c r="BER48" s="887"/>
      <c r="BES48" s="887"/>
      <c r="BET48" s="887"/>
      <c r="BEU48" s="887"/>
      <c r="BEV48" s="887"/>
      <c r="BEW48" s="887"/>
      <c r="BEX48" s="887"/>
      <c r="BEY48" s="887"/>
      <c r="BEZ48" s="887"/>
      <c r="BFA48" s="887"/>
      <c r="BFB48" s="887"/>
      <c r="BFC48" s="887"/>
      <c r="BFD48" s="887"/>
      <c r="BFE48" s="887"/>
      <c r="BFF48" s="887"/>
      <c r="BFG48" s="887"/>
      <c r="BFH48" s="887"/>
      <c r="BFI48" s="887"/>
      <c r="BFJ48" s="887"/>
      <c r="BFK48" s="887"/>
      <c r="BFL48" s="887"/>
      <c r="BFM48" s="887"/>
      <c r="BFN48" s="887"/>
      <c r="BFO48" s="887"/>
      <c r="BFP48" s="887"/>
      <c r="BFQ48" s="887"/>
      <c r="BFR48" s="887"/>
      <c r="BFS48" s="887"/>
      <c r="BFT48" s="887"/>
      <c r="BFU48" s="887"/>
      <c r="BFV48" s="887"/>
      <c r="BFW48" s="887"/>
      <c r="BFX48" s="887"/>
      <c r="BFY48" s="887"/>
      <c r="BFZ48" s="887"/>
      <c r="BGA48" s="887"/>
      <c r="BGB48" s="887"/>
      <c r="BGC48" s="887"/>
      <c r="BGD48" s="887"/>
      <c r="BGE48" s="887"/>
      <c r="BGF48" s="887"/>
      <c r="BGG48" s="887"/>
      <c r="BGH48" s="887"/>
      <c r="BGI48" s="887"/>
      <c r="BGJ48" s="887"/>
      <c r="BGK48" s="887"/>
      <c r="BGL48" s="887"/>
      <c r="BGM48" s="887"/>
      <c r="BGN48" s="887"/>
      <c r="BGO48" s="887"/>
      <c r="BGP48" s="887"/>
      <c r="BGQ48" s="887"/>
      <c r="BGR48" s="887"/>
      <c r="BGS48" s="887"/>
      <c r="BGT48" s="887"/>
      <c r="BGU48" s="887"/>
      <c r="BGV48" s="887"/>
      <c r="BGW48" s="887"/>
      <c r="BGX48" s="887"/>
      <c r="BGY48" s="887"/>
      <c r="BGZ48" s="887"/>
      <c r="BHA48" s="887"/>
      <c r="BHB48" s="887"/>
      <c r="BHC48" s="887"/>
      <c r="BHD48" s="887"/>
      <c r="BHE48" s="887"/>
      <c r="BHF48" s="887"/>
      <c r="BHG48" s="887"/>
      <c r="BHH48" s="887"/>
      <c r="BHI48" s="887"/>
      <c r="BHJ48" s="887"/>
      <c r="BHK48" s="887"/>
      <c r="BHL48" s="887"/>
      <c r="BHM48" s="887"/>
      <c r="BHN48" s="887"/>
      <c r="BHO48" s="887"/>
      <c r="BHP48" s="887"/>
      <c r="BHQ48" s="887"/>
      <c r="BHR48" s="887"/>
      <c r="BHS48" s="887"/>
      <c r="BHT48" s="887"/>
      <c r="BHU48" s="887"/>
      <c r="BHV48" s="887"/>
      <c r="BHW48" s="887"/>
      <c r="BHX48" s="887"/>
      <c r="BHY48" s="887"/>
      <c r="BHZ48" s="887"/>
      <c r="BIA48" s="887"/>
      <c r="BIB48" s="887"/>
      <c r="BIC48" s="887"/>
      <c r="BID48" s="887"/>
      <c r="BIE48" s="887"/>
      <c r="BIF48" s="887"/>
      <c r="BIG48" s="887"/>
      <c r="BIH48" s="887"/>
      <c r="BII48" s="887"/>
      <c r="BIJ48" s="887"/>
      <c r="BIK48" s="887"/>
      <c r="BIL48" s="887"/>
      <c r="BIM48" s="887"/>
      <c r="BIN48" s="887"/>
      <c r="BIO48" s="887"/>
      <c r="BIP48" s="887"/>
      <c r="BIQ48" s="887"/>
      <c r="BIR48" s="887"/>
      <c r="BIS48" s="887"/>
      <c r="BIT48" s="887"/>
      <c r="BIU48" s="887"/>
      <c r="BIV48" s="887"/>
      <c r="BIW48" s="887"/>
      <c r="BIX48" s="887"/>
      <c r="BIY48" s="887"/>
      <c r="BIZ48" s="887"/>
      <c r="BJA48" s="887"/>
      <c r="BJB48" s="887"/>
      <c r="BJC48" s="887"/>
      <c r="BJD48" s="887"/>
      <c r="BJE48" s="887"/>
      <c r="BJF48" s="887"/>
      <c r="BJG48" s="887"/>
      <c r="BJH48" s="887"/>
      <c r="BJI48" s="887"/>
      <c r="BJJ48" s="887"/>
      <c r="BJK48" s="887"/>
      <c r="BJL48" s="887"/>
      <c r="BJM48" s="887"/>
      <c r="BJN48" s="887"/>
      <c r="BJO48" s="887"/>
      <c r="BJP48" s="887"/>
      <c r="BJQ48" s="887"/>
      <c r="BJR48" s="887"/>
      <c r="BJS48" s="887"/>
      <c r="BJT48" s="887"/>
      <c r="BJU48" s="887"/>
      <c r="BJV48" s="887"/>
      <c r="BJW48" s="887"/>
      <c r="BJX48" s="887"/>
      <c r="BJY48" s="887"/>
      <c r="BJZ48" s="887"/>
      <c r="BKA48" s="887"/>
      <c r="BKB48" s="887"/>
      <c r="BKC48" s="887"/>
      <c r="BKD48" s="887"/>
      <c r="BKE48" s="887"/>
      <c r="BKF48" s="887"/>
      <c r="BKG48" s="887"/>
      <c r="BKH48" s="887"/>
      <c r="BKI48" s="887"/>
      <c r="BKJ48" s="887"/>
      <c r="BKK48" s="887"/>
      <c r="BKL48" s="887"/>
      <c r="BKM48" s="887"/>
      <c r="BKN48" s="887"/>
      <c r="BKO48" s="887"/>
      <c r="BKP48" s="887"/>
      <c r="BKQ48" s="887"/>
      <c r="BKR48" s="887"/>
      <c r="BKS48" s="887"/>
      <c r="BKT48" s="887"/>
      <c r="BKU48" s="887"/>
      <c r="BKV48" s="887"/>
      <c r="BKW48" s="887"/>
      <c r="BKX48" s="887"/>
      <c r="BKY48" s="887"/>
      <c r="BKZ48" s="887"/>
      <c r="BLA48" s="887"/>
      <c r="BLB48" s="887"/>
      <c r="BLC48" s="887"/>
      <c r="BLD48" s="887"/>
      <c r="BLE48" s="887"/>
      <c r="BLF48" s="887"/>
      <c r="BLG48" s="887"/>
      <c r="BLH48" s="887"/>
      <c r="BLI48" s="887"/>
      <c r="BLJ48" s="887"/>
      <c r="BLK48" s="887"/>
      <c r="BLL48" s="887"/>
      <c r="BLM48" s="887"/>
      <c r="BLN48" s="887"/>
      <c r="BLO48" s="887"/>
      <c r="BLP48" s="887"/>
      <c r="BLQ48" s="887"/>
      <c r="BLR48" s="887"/>
      <c r="BLS48" s="887"/>
      <c r="BLT48" s="887"/>
      <c r="BLU48" s="887"/>
      <c r="BLV48" s="887"/>
      <c r="BLW48" s="887"/>
      <c r="BLX48" s="887"/>
      <c r="BLY48" s="887"/>
      <c r="BLZ48" s="887"/>
      <c r="BMA48" s="887"/>
      <c r="BMB48" s="887"/>
      <c r="BMC48" s="887"/>
      <c r="BMD48" s="887"/>
      <c r="BME48" s="887"/>
      <c r="BMF48" s="887"/>
      <c r="BMG48" s="887"/>
      <c r="BMH48" s="887"/>
      <c r="BMI48" s="887"/>
      <c r="BMJ48" s="887"/>
      <c r="BMK48" s="887"/>
      <c r="BML48" s="887"/>
      <c r="BMM48" s="887"/>
      <c r="BMN48" s="887"/>
      <c r="BMO48" s="887"/>
      <c r="BMP48" s="887"/>
      <c r="BMQ48" s="887"/>
      <c r="BMR48" s="887"/>
      <c r="BMS48" s="887"/>
      <c r="BMT48" s="887"/>
      <c r="BMU48" s="887"/>
      <c r="BMV48" s="887"/>
      <c r="BMW48" s="887"/>
      <c r="BMX48" s="887"/>
      <c r="BMY48" s="887"/>
      <c r="BMZ48" s="887"/>
      <c r="BNA48" s="887"/>
      <c r="BNB48" s="887"/>
      <c r="BNC48" s="887"/>
      <c r="BND48" s="887"/>
      <c r="BNE48" s="887"/>
      <c r="BNF48" s="887"/>
      <c r="BNG48" s="887"/>
      <c r="BNH48" s="887"/>
      <c r="BNI48" s="887"/>
      <c r="BNJ48" s="887"/>
      <c r="BNK48" s="887"/>
      <c r="BNL48" s="887"/>
      <c r="BNM48" s="887"/>
      <c r="BNN48" s="887"/>
      <c r="BNO48" s="887"/>
      <c r="BNP48" s="887"/>
      <c r="BNQ48" s="887"/>
      <c r="BNR48" s="887"/>
      <c r="BNS48" s="887"/>
      <c r="BNT48" s="887"/>
      <c r="BNU48" s="887"/>
      <c r="BNV48" s="887"/>
      <c r="BNW48" s="887"/>
      <c r="BNX48" s="887"/>
      <c r="BNY48" s="887"/>
      <c r="BNZ48" s="887"/>
      <c r="BOA48" s="887"/>
      <c r="BOB48" s="887"/>
      <c r="BOC48" s="887"/>
      <c r="BOD48" s="887"/>
      <c r="BOE48" s="887"/>
      <c r="BOF48" s="887"/>
      <c r="BOG48" s="887"/>
      <c r="BOH48" s="887"/>
      <c r="BOI48" s="887"/>
      <c r="BOJ48" s="887"/>
      <c r="BOK48" s="887"/>
      <c r="BOL48" s="887"/>
      <c r="BOM48" s="887"/>
      <c r="BON48" s="887"/>
      <c r="BOO48" s="887"/>
      <c r="BOP48" s="887"/>
      <c r="BOQ48" s="887"/>
      <c r="BOR48" s="887"/>
      <c r="BOS48" s="887"/>
      <c r="BOT48" s="887"/>
      <c r="BOU48" s="887"/>
      <c r="BOV48" s="887"/>
      <c r="BOW48" s="887"/>
      <c r="BOX48" s="887"/>
      <c r="BOY48" s="887"/>
      <c r="BOZ48" s="887"/>
      <c r="BPA48" s="887"/>
      <c r="BPB48" s="887"/>
      <c r="BPC48" s="887"/>
      <c r="BPD48" s="887"/>
      <c r="BPE48" s="887"/>
      <c r="BPF48" s="887"/>
      <c r="BPG48" s="887"/>
      <c r="BPH48" s="887"/>
      <c r="BPI48" s="887"/>
      <c r="BPJ48" s="887"/>
      <c r="BPK48" s="887"/>
      <c r="BPL48" s="887"/>
      <c r="BPM48" s="887"/>
      <c r="BPN48" s="887"/>
      <c r="BPO48" s="887"/>
      <c r="BPP48" s="887"/>
      <c r="BPQ48" s="887"/>
      <c r="BPR48" s="887"/>
      <c r="BPS48" s="887"/>
      <c r="BPT48" s="887"/>
      <c r="BPU48" s="887"/>
      <c r="BPV48" s="887"/>
      <c r="BPW48" s="887"/>
      <c r="BPX48" s="887"/>
      <c r="BPY48" s="887"/>
      <c r="BPZ48" s="887"/>
      <c r="BQA48" s="887"/>
      <c r="BQB48" s="887"/>
      <c r="BQC48" s="887"/>
      <c r="BQD48" s="887"/>
      <c r="BQE48" s="887"/>
      <c r="BQF48" s="887"/>
      <c r="BQG48" s="887"/>
      <c r="BQH48" s="887"/>
      <c r="BQI48" s="887"/>
      <c r="BQJ48" s="887"/>
      <c r="BQK48" s="887"/>
      <c r="BQL48" s="887"/>
      <c r="BQM48" s="887"/>
      <c r="BQN48" s="887"/>
      <c r="BQO48" s="887"/>
      <c r="BQP48" s="887"/>
      <c r="BQQ48" s="887"/>
      <c r="BQR48" s="887"/>
      <c r="BQS48" s="887"/>
      <c r="BQT48" s="887"/>
      <c r="BQU48" s="887"/>
      <c r="BQV48" s="887"/>
      <c r="BQW48" s="887"/>
      <c r="BQX48" s="887"/>
      <c r="BQY48" s="887"/>
      <c r="BQZ48" s="887"/>
      <c r="BRA48" s="887"/>
      <c r="BRB48" s="887"/>
      <c r="BRC48" s="887"/>
      <c r="BRD48" s="887"/>
      <c r="BRE48" s="887"/>
      <c r="BRF48" s="887"/>
      <c r="BRG48" s="887"/>
      <c r="BRH48" s="887"/>
      <c r="BRI48" s="887"/>
      <c r="BRJ48" s="887"/>
      <c r="BRK48" s="887"/>
      <c r="BRL48" s="887"/>
      <c r="BRM48" s="887"/>
      <c r="BRN48" s="887"/>
      <c r="BRO48" s="887"/>
      <c r="BRP48" s="887"/>
      <c r="BRQ48" s="887"/>
      <c r="BRR48" s="887"/>
      <c r="BRS48" s="887"/>
      <c r="BRT48" s="887"/>
      <c r="BRU48" s="887"/>
      <c r="BRV48" s="887"/>
      <c r="BRW48" s="887"/>
      <c r="BRX48" s="887"/>
      <c r="BRY48" s="887"/>
      <c r="BRZ48" s="887"/>
      <c r="BSA48" s="887"/>
      <c r="BSB48" s="887"/>
      <c r="BSC48" s="887"/>
      <c r="BSD48" s="887"/>
      <c r="BSE48" s="887"/>
      <c r="BSF48" s="887"/>
      <c r="BSG48" s="887"/>
      <c r="BSH48" s="887"/>
      <c r="BSI48" s="887"/>
      <c r="BSJ48" s="887"/>
      <c r="BSK48" s="887"/>
      <c r="BSL48" s="887"/>
      <c r="BSM48" s="887"/>
      <c r="BSN48" s="887"/>
      <c r="BSO48" s="887"/>
      <c r="BSP48" s="887"/>
      <c r="BSQ48" s="887"/>
      <c r="BSR48" s="887"/>
      <c r="BSS48" s="887"/>
      <c r="BST48" s="887"/>
      <c r="BSU48" s="887"/>
      <c r="BSV48" s="887"/>
      <c r="BSW48" s="887"/>
      <c r="BSX48" s="887"/>
      <c r="BSY48" s="887"/>
      <c r="BSZ48" s="887"/>
      <c r="BTA48" s="887"/>
      <c r="BTB48" s="887"/>
      <c r="BTC48" s="887"/>
      <c r="BTD48" s="887"/>
      <c r="BTE48" s="887"/>
      <c r="BTF48" s="887"/>
      <c r="BTG48" s="887"/>
      <c r="BTH48" s="887"/>
      <c r="BTI48" s="887"/>
      <c r="BTJ48" s="887"/>
      <c r="BTK48" s="887"/>
      <c r="BTL48" s="887"/>
      <c r="BTM48" s="887"/>
      <c r="BTN48" s="887"/>
      <c r="BTO48" s="887"/>
      <c r="BTP48" s="887"/>
      <c r="BTQ48" s="887"/>
      <c r="BTR48" s="887"/>
      <c r="BTS48" s="887"/>
      <c r="BTT48" s="887"/>
      <c r="BTU48" s="887"/>
      <c r="BTV48" s="887"/>
      <c r="BTW48" s="887"/>
      <c r="BTX48" s="887"/>
      <c r="BTY48" s="887"/>
      <c r="BTZ48" s="887"/>
      <c r="BUA48" s="887"/>
      <c r="BUB48" s="887"/>
      <c r="BUC48" s="887"/>
      <c r="BUD48" s="887"/>
      <c r="BUE48" s="887"/>
      <c r="BUF48" s="887"/>
      <c r="BUG48" s="887"/>
      <c r="BUH48" s="887"/>
      <c r="BUI48" s="887"/>
      <c r="BUJ48" s="887"/>
      <c r="BUK48" s="887"/>
      <c r="BUL48" s="887"/>
      <c r="BUM48" s="887"/>
      <c r="BUN48" s="887"/>
      <c r="BUO48" s="887"/>
      <c r="BUP48" s="887"/>
      <c r="BUQ48" s="887"/>
      <c r="BUR48" s="887"/>
      <c r="BUS48" s="887"/>
      <c r="BUT48" s="887"/>
      <c r="BUU48" s="887"/>
      <c r="BUV48" s="887"/>
      <c r="BUW48" s="887"/>
      <c r="BUX48" s="887"/>
      <c r="BUY48" s="887"/>
      <c r="BUZ48" s="887"/>
      <c r="BVA48" s="887"/>
      <c r="BVB48" s="887"/>
      <c r="BVC48" s="887"/>
      <c r="BVD48" s="887"/>
      <c r="BVE48" s="887"/>
      <c r="BVF48" s="887"/>
      <c r="BVG48" s="887"/>
      <c r="BVH48" s="887"/>
      <c r="BVI48" s="887"/>
      <c r="BVJ48" s="887"/>
      <c r="BVK48" s="887"/>
      <c r="BVL48" s="887"/>
      <c r="BVM48" s="887"/>
      <c r="BVN48" s="887"/>
      <c r="BVO48" s="887"/>
      <c r="BVP48" s="887"/>
      <c r="BVQ48" s="887"/>
      <c r="BVR48" s="887"/>
      <c r="BVS48" s="887"/>
      <c r="BVT48" s="887"/>
      <c r="BVU48" s="887"/>
      <c r="BVV48" s="887"/>
      <c r="BVW48" s="887"/>
      <c r="BVX48" s="887"/>
      <c r="BVY48" s="887"/>
      <c r="BVZ48" s="887"/>
      <c r="BWA48" s="887"/>
      <c r="BWB48" s="887"/>
      <c r="BWC48" s="887"/>
      <c r="BWD48" s="887"/>
      <c r="BWE48" s="887"/>
      <c r="BWF48" s="887"/>
      <c r="BWG48" s="887"/>
      <c r="BWH48" s="887"/>
      <c r="BWI48" s="887"/>
      <c r="BWJ48" s="887"/>
      <c r="BWK48" s="887"/>
      <c r="BWL48" s="887"/>
      <c r="BWM48" s="887"/>
      <c r="BWN48" s="887"/>
      <c r="BWO48" s="887"/>
      <c r="BWP48" s="887"/>
      <c r="BWQ48" s="887"/>
      <c r="BWR48" s="887"/>
      <c r="BWS48" s="887"/>
      <c r="BWT48" s="887"/>
      <c r="BWU48" s="887"/>
      <c r="BWV48" s="887"/>
      <c r="BWW48" s="887"/>
      <c r="BWX48" s="887"/>
      <c r="BWY48" s="887"/>
      <c r="BWZ48" s="887"/>
      <c r="BXA48" s="887"/>
      <c r="BXB48" s="887"/>
      <c r="BXC48" s="887"/>
      <c r="BXD48" s="887"/>
      <c r="BXE48" s="887"/>
      <c r="BXF48" s="887"/>
      <c r="BXG48" s="887"/>
      <c r="BXH48" s="887"/>
      <c r="BXI48" s="887"/>
      <c r="BXJ48" s="887"/>
      <c r="BXK48" s="887"/>
      <c r="BXL48" s="887"/>
      <c r="BXM48" s="887"/>
      <c r="BXN48" s="887"/>
      <c r="BXO48" s="887"/>
      <c r="BXP48" s="887"/>
      <c r="BXQ48" s="887"/>
      <c r="BXR48" s="887"/>
      <c r="BXS48" s="887"/>
      <c r="BXT48" s="887"/>
      <c r="BXU48" s="887"/>
      <c r="BXV48" s="887"/>
      <c r="BXW48" s="887"/>
      <c r="BXX48" s="887"/>
      <c r="BXY48" s="887"/>
      <c r="BXZ48" s="887"/>
      <c r="BYA48" s="887"/>
      <c r="BYB48" s="887"/>
      <c r="BYC48" s="887"/>
      <c r="BYD48" s="887"/>
      <c r="BYE48" s="887"/>
      <c r="BYF48" s="887"/>
      <c r="BYG48" s="887"/>
      <c r="BYH48" s="887"/>
      <c r="BYI48" s="887"/>
      <c r="BYJ48" s="887"/>
      <c r="BYK48" s="887"/>
      <c r="BYL48" s="887"/>
      <c r="BYM48" s="887"/>
      <c r="BYN48" s="887"/>
      <c r="BYO48" s="887"/>
      <c r="BYP48" s="887"/>
      <c r="BYQ48" s="887"/>
      <c r="BYR48" s="887"/>
      <c r="BYS48" s="887"/>
      <c r="BYT48" s="887"/>
      <c r="BYU48" s="887"/>
      <c r="BYV48" s="887"/>
      <c r="BYW48" s="887"/>
      <c r="BYX48" s="887"/>
      <c r="BYY48" s="887"/>
      <c r="BYZ48" s="887"/>
      <c r="BZA48" s="887"/>
      <c r="BZB48" s="887"/>
      <c r="BZC48" s="887"/>
      <c r="BZD48" s="887"/>
      <c r="BZE48" s="887"/>
      <c r="BZF48" s="887"/>
      <c r="BZG48" s="887"/>
      <c r="BZH48" s="887"/>
      <c r="BZI48" s="887"/>
      <c r="BZJ48" s="887"/>
      <c r="BZK48" s="887"/>
      <c r="BZL48" s="887"/>
      <c r="BZM48" s="887"/>
      <c r="BZN48" s="887"/>
      <c r="BZO48" s="887"/>
      <c r="BZP48" s="887"/>
      <c r="BZQ48" s="887"/>
      <c r="BZR48" s="887"/>
      <c r="BZS48" s="887"/>
      <c r="BZT48" s="887"/>
      <c r="BZU48" s="887"/>
      <c r="BZV48" s="887"/>
      <c r="BZW48" s="887"/>
      <c r="BZX48" s="887"/>
      <c r="BZY48" s="887"/>
      <c r="BZZ48" s="887"/>
      <c r="CAA48" s="887"/>
      <c r="CAB48" s="887"/>
      <c r="CAC48" s="887"/>
      <c r="CAD48" s="887"/>
      <c r="CAE48" s="887"/>
      <c r="CAF48" s="887"/>
      <c r="CAG48" s="887"/>
      <c r="CAH48" s="887"/>
      <c r="CAI48" s="887"/>
      <c r="CAJ48" s="887"/>
      <c r="CAK48" s="887"/>
      <c r="CAL48" s="887"/>
      <c r="CAM48" s="887"/>
      <c r="CAN48" s="887"/>
      <c r="CAO48" s="887"/>
      <c r="CAP48" s="887"/>
      <c r="CAQ48" s="887"/>
      <c r="CAR48" s="887"/>
      <c r="CAS48" s="887"/>
      <c r="CAT48" s="887"/>
      <c r="CAU48" s="887"/>
      <c r="CAV48" s="887"/>
      <c r="CAW48" s="887"/>
      <c r="CAX48" s="887"/>
      <c r="CAY48" s="887"/>
      <c r="CAZ48" s="887"/>
      <c r="CBA48" s="887"/>
      <c r="CBB48" s="887"/>
      <c r="CBC48" s="887"/>
      <c r="CBD48" s="887"/>
      <c r="CBE48" s="887"/>
      <c r="CBF48" s="887"/>
      <c r="CBG48" s="887"/>
      <c r="CBH48" s="887"/>
      <c r="CBI48" s="887"/>
      <c r="CBJ48" s="887"/>
      <c r="CBK48" s="887"/>
      <c r="CBL48" s="887"/>
      <c r="CBM48" s="887"/>
      <c r="CBN48" s="887"/>
      <c r="CBO48" s="887"/>
      <c r="CBP48" s="887"/>
      <c r="CBQ48" s="887"/>
      <c r="CBR48" s="887"/>
      <c r="CBS48" s="887"/>
      <c r="CBT48" s="887"/>
      <c r="CBU48" s="887"/>
      <c r="CBV48" s="887"/>
      <c r="CBW48" s="887"/>
      <c r="CBX48" s="887"/>
      <c r="CBY48" s="887"/>
      <c r="CBZ48" s="887"/>
      <c r="CCA48" s="887"/>
      <c r="CCB48" s="887"/>
      <c r="CCC48" s="887"/>
      <c r="CCD48" s="887"/>
      <c r="CCE48" s="887"/>
      <c r="CCF48" s="887"/>
      <c r="CCG48" s="887"/>
      <c r="CCH48" s="887"/>
      <c r="CCI48" s="887"/>
      <c r="CCJ48" s="887"/>
      <c r="CCK48" s="887"/>
      <c r="CCL48" s="887"/>
      <c r="CCM48" s="887"/>
      <c r="CCN48" s="887"/>
      <c r="CCO48" s="887"/>
      <c r="CCP48" s="887"/>
      <c r="CCQ48" s="887"/>
      <c r="CCR48" s="887"/>
      <c r="CCS48" s="887"/>
      <c r="CCT48" s="887"/>
      <c r="CCU48" s="887"/>
      <c r="CCV48" s="887"/>
      <c r="CCW48" s="887"/>
      <c r="CCX48" s="887"/>
      <c r="CCY48" s="887"/>
      <c r="CCZ48" s="887"/>
      <c r="CDA48" s="887"/>
      <c r="CDB48" s="887"/>
      <c r="CDC48" s="887"/>
      <c r="CDD48" s="887"/>
      <c r="CDE48" s="887"/>
      <c r="CDF48" s="887"/>
      <c r="CDG48" s="887"/>
      <c r="CDH48" s="887"/>
      <c r="CDI48" s="887"/>
      <c r="CDJ48" s="887"/>
      <c r="CDK48" s="887"/>
      <c r="CDL48" s="887"/>
      <c r="CDM48" s="887"/>
      <c r="CDN48" s="887"/>
      <c r="CDO48" s="887"/>
      <c r="CDP48" s="887"/>
      <c r="CDQ48" s="887"/>
      <c r="CDR48" s="887"/>
      <c r="CDS48" s="887"/>
      <c r="CDT48" s="887"/>
      <c r="CDU48" s="887"/>
      <c r="CDV48" s="887"/>
      <c r="CDW48" s="887"/>
      <c r="CDX48" s="887"/>
      <c r="CDY48" s="887"/>
      <c r="CDZ48" s="887"/>
      <c r="CEA48" s="887"/>
      <c r="CEB48" s="887"/>
      <c r="CEC48" s="887"/>
      <c r="CED48" s="887"/>
      <c r="CEE48" s="887"/>
      <c r="CEF48" s="887"/>
      <c r="CEG48" s="887"/>
      <c r="CEH48" s="887"/>
      <c r="CEI48" s="887"/>
      <c r="CEJ48" s="887"/>
      <c r="CEK48" s="887"/>
      <c r="CEL48" s="887"/>
      <c r="CEM48" s="887"/>
      <c r="CEN48" s="887"/>
      <c r="CEO48" s="887"/>
      <c r="CEP48" s="887"/>
      <c r="CEQ48" s="887"/>
      <c r="CER48" s="887"/>
      <c r="CES48" s="887"/>
      <c r="CET48" s="887"/>
      <c r="CEU48" s="887"/>
      <c r="CEV48" s="887"/>
      <c r="CEW48" s="887"/>
      <c r="CEX48" s="887"/>
      <c r="CEY48" s="887"/>
      <c r="CEZ48" s="887"/>
      <c r="CFA48" s="887"/>
      <c r="CFB48" s="887"/>
      <c r="CFC48" s="887"/>
      <c r="CFD48" s="887"/>
      <c r="CFE48" s="887"/>
      <c r="CFF48" s="887"/>
      <c r="CFG48" s="887"/>
      <c r="CFH48" s="887"/>
      <c r="CFI48" s="887"/>
      <c r="CFJ48" s="887"/>
      <c r="CFK48" s="887"/>
      <c r="CFL48" s="887"/>
      <c r="CFM48" s="887"/>
      <c r="CFN48" s="887"/>
      <c r="CFO48" s="887"/>
      <c r="CFP48" s="887"/>
      <c r="CFQ48" s="887"/>
      <c r="CFR48" s="887"/>
      <c r="CFS48" s="887"/>
      <c r="CFT48" s="887"/>
      <c r="CFU48" s="887"/>
      <c r="CFV48" s="887"/>
      <c r="CFW48" s="887"/>
      <c r="CFX48" s="887"/>
      <c r="CFY48" s="887"/>
      <c r="CFZ48" s="887"/>
      <c r="CGA48" s="887"/>
      <c r="CGB48" s="887"/>
      <c r="CGC48" s="887"/>
      <c r="CGD48" s="887"/>
      <c r="CGE48" s="887"/>
      <c r="CGF48" s="887"/>
      <c r="CGG48" s="887"/>
      <c r="CGH48" s="887"/>
      <c r="CGI48" s="887"/>
      <c r="CGJ48" s="887"/>
      <c r="CGK48" s="887"/>
      <c r="CGL48" s="887"/>
      <c r="CGM48" s="887"/>
      <c r="CGN48" s="887"/>
      <c r="CGO48" s="887"/>
      <c r="CGP48" s="887"/>
      <c r="CGQ48" s="887"/>
      <c r="CGR48" s="887"/>
      <c r="CGS48" s="887"/>
      <c r="CGT48" s="887"/>
      <c r="CGU48" s="887"/>
      <c r="CGV48" s="887"/>
      <c r="CGW48" s="887"/>
      <c r="CGX48" s="887"/>
      <c r="CGY48" s="887"/>
      <c r="CGZ48" s="887"/>
      <c r="CHA48" s="887"/>
      <c r="CHB48" s="887"/>
      <c r="CHC48" s="887"/>
      <c r="CHD48" s="887"/>
      <c r="CHE48" s="887"/>
      <c r="CHF48" s="887"/>
      <c r="CHG48" s="887"/>
      <c r="CHH48" s="887"/>
      <c r="CHI48" s="887"/>
      <c r="CHJ48" s="887"/>
      <c r="CHK48" s="887"/>
      <c r="CHL48" s="887"/>
      <c r="CHM48" s="887"/>
      <c r="CHN48" s="887"/>
      <c r="CHO48" s="887"/>
      <c r="CHP48" s="887"/>
      <c r="CHQ48" s="887"/>
      <c r="CHR48" s="887"/>
      <c r="CHS48" s="887"/>
      <c r="CHT48" s="887"/>
      <c r="CHU48" s="887"/>
      <c r="CHV48" s="887"/>
      <c r="CHW48" s="887"/>
      <c r="CHX48" s="887"/>
      <c r="CHY48" s="887"/>
      <c r="CHZ48" s="887"/>
      <c r="CIA48" s="887"/>
      <c r="CIB48" s="887"/>
      <c r="CIC48" s="887"/>
      <c r="CID48" s="887"/>
      <c r="CIE48" s="887"/>
      <c r="CIF48" s="887"/>
      <c r="CIG48" s="887"/>
      <c r="CIH48" s="887"/>
      <c r="CII48" s="887"/>
      <c r="CIJ48" s="887"/>
      <c r="CIK48" s="887"/>
      <c r="CIL48" s="887"/>
      <c r="CIM48" s="887"/>
      <c r="CIN48" s="887"/>
      <c r="CIO48" s="887"/>
      <c r="CIP48" s="887"/>
      <c r="CIQ48" s="887"/>
      <c r="CIR48" s="887"/>
      <c r="CIS48" s="887"/>
      <c r="CIT48" s="887"/>
      <c r="CIU48" s="887"/>
      <c r="CIV48" s="887"/>
      <c r="CIW48" s="887"/>
      <c r="CIX48" s="887"/>
      <c r="CIY48" s="887"/>
      <c r="CIZ48" s="887"/>
      <c r="CJA48" s="887"/>
      <c r="CJB48" s="887"/>
      <c r="CJC48" s="887"/>
      <c r="CJD48" s="887"/>
      <c r="CJE48" s="887"/>
      <c r="CJF48" s="887"/>
      <c r="CJG48" s="887"/>
      <c r="CJH48" s="887"/>
      <c r="CJI48" s="887"/>
      <c r="CJJ48" s="887"/>
      <c r="CJK48" s="887"/>
      <c r="CJL48" s="887"/>
      <c r="CJM48" s="887"/>
      <c r="CJN48" s="887"/>
      <c r="CJO48" s="887"/>
      <c r="CJP48" s="887"/>
      <c r="CJQ48" s="887"/>
      <c r="CJR48" s="887"/>
      <c r="CJS48" s="887"/>
      <c r="CJT48" s="887"/>
      <c r="CJU48" s="887"/>
      <c r="CJV48" s="887"/>
      <c r="CJW48" s="887"/>
      <c r="CJX48" s="887"/>
      <c r="CJY48" s="887"/>
      <c r="CJZ48" s="887"/>
      <c r="CKA48" s="887"/>
      <c r="CKB48" s="887"/>
      <c r="CKC48" s="887"/>
      <c r="CKD48" s="887"/>
      <c r="CKE48" s="887"/>
      <c r="CKF48" s="887"/>
      <c r="CKG48" s="887"/>
      <c r="CKH48" s="887"/>
      <c r="CKI48" s="887"/>
      <c r="CKJ48" s="887"/>
      <c r="CKK48" s="887"/>
      <c r="CKL48" s="887"/>
      <c r="CKM48" s="887"/>
      <c r="CKN48" s="887"/>
      <c r="CKO48" s="887"/>
      <c r="CKP48" s="887"/>
      <c r="CKQ48" s="887"/>
      <c r="CKR48" s="887"/>
      <c r="CKS48" s="887"/>
      <c r="CKT48" s="887"/>
      <c r="CKU48" s="887"/>
      <c r="CKV48" s="887"/>
      <c r="CKW48" s="887"/>
      <c r="CKX48" s="887"/>
      <c r="CKY48" s="887"/>
      <c r="CKZ48" s="887"/>
      <c r="CLA48" s="887"/>
      <c r="CLB48" s="887"/>
      <c r="CLC48" s="887"/>
      <c r="CLD48" s="887"/>
      <c r="CLE48" s="887"/>
      <c r="CLF48" s="887"/>
      <c r="CLG48" s="887"/>
      <c r="CLH48" s="887"/>
      <c r="CLI48" s="887"/>
      <c r="CLJ48" s="887"/>
      <c r="CLK48" s="887"/>
      <c r="CLL48" s="887"/>
      <c r="CLM48" s="887"/>
      <c r="CLN48" s="887"/>
      <c r="CLO48" s="887"/>
      <c r="CLP48" s="887"/>
      <c r="CLQ48" s="887"/>
      <c r="CLR48" s="887"/>
      <c r="CLS48" s="887"/>
      <c r="CLT48" s="887"/>
      <c r="CLU48" s="887"/>
      <c r="CLV48" s="887"/>
      <c r="CLW48" s="887"/>
      <c r="CLX48" s="887"/>
      <c r="CLY48" s="887"/>
      <c r="CLZ48" s="887"/>
      <c r="CMA48" s="887"/>
      <c r="CMB48" s="887"/>
      <c r="CMC48" s="887"/>
      <c r="CMD48" s="887"/>
      <c r="CME48" s="887"/>
      <c r="CMF48" s="887"/>
      <c r="CMG48" s="887"/>
      <c r="CMH48" s="887"/>
      <c r="CMI48" s="887"/>
      <c r="CMJ48" s="887"/>
      <c r="CMK48" s="887"/>
      <c r="CML48" s="887"/>
      <c r="CMM48" s="887"/>
      <c r="CMN48" s="887"/>
      <c r="CMO48" s="887"/>
      <c r="CMP48" s="887"/>
      <c r="CMQ48" s="887"/>
      <c r="CMR48" s="887"/>
      <c r="CMS48" s="887"/>
      <c r="CMT48" s="887"/>
      <c r="CMU48" s="887"/>
      <c r="CMV48" s="887"/>
      <c r="CMW48" s="887"/>
      <c r="CMX48" s="887"/>
      <c r="CMY48" s="887"/>
      <c r="CMZ48" s="887"/>
      <c r="CNA48" s="887"/>
      <c r="CNB48" s="887"/>
      <c r="CNC48" s="887"/>
      <c r="CND48" s="887"/>
      <c r="CNE48" s="887"/>
      <c r="CNF48" s="887"/>
      <c r="CNG48" s="887"/>
      <c r="CNH48" s="887"/>
      <c r="CNI48" s="887"/>
      <c r="CNJ48" s="887"/>
      <c r="CNK48" s="887"/>
      <c r="CNL48" s="887"/>
      <c r="CNM48" s="887"/>
      <c r="CNN48" s="887"/>
      <c r="CNO48" s="887"/>
      <c r="CNP48" s="887"/>
      <c r="CNQ48" s="887"/>
      <c r="CNR48" s="887"/>
      <c r="CNS48" s="887"/>
      <c r="CNT48" s="887"/>
      <c r="CNU48" s="887"/>
      <c r="CNV48" s="887"/>
      <c r="CNW48" s="887"/>
      <c r="CNX48" s="887"/>
      <c r="CNY48" s="887"/>
      <c r="CNZ48" s="887"/>
      <c r="COA48" s="887"/>
      <c r="COB48" s="887"/>
      <c r="COC48" s="887"/>
      <c r="COD48" s="887"/>
      <c r="COE48" s="887"/>
      <c r="COF48" s="887"/>
      <c r="COG48" s="887"/>
      <c r="COH48" s="887"/>
      <c r="COI48" s="887"/>
      <c r="COJ48" s="887"/>
      <c r="COK48" s="887"/>
      <c r="COL48" s="887"/>
      <c r="COM48" s="887"/>
      <c r="CON48" s="887"/>
      <c r="COO48" s="887"/>
      <c r="COP48" s="887"/>
      <c r="COQ48" s="887"/>
      <c r="COR48" s="887"/>
      <c r="COS48" s="887"/>
      <c r="COT48" s="887"/>
      <c r="COU48" s="887"/>
      <c r="COV48" s="887"/>
      <c r="COW48" s="887"/>
      <c r="COX48" s="887"/>
      <c r="COY48" s="887"/>
      <c r="COZ48" s="887"/>
      <c r="CPA48" s="887"/>
      <c r="CPB48" s="887"/>
      <c r="CPC48" s="887"/>
      <c r="CPD48" s="887"/>
      <c r="CPE48" s="887"/>
      <c r="CPF48" s="887"/>
      <c r="CPG48" s="887"/>
      <c r="CPH48" s="887"/>
      <c r="CPI48" s="887"/>
      <c r="CPJ48" s="887"/>
      <c r="CPK48" s="887"/>
      <c r="CPL48" s="887"/>
      <c r="CPM48" s="887"/>
      <c r="CPN48" s="887"/>
      <c r="CPO48" s="887"/>
      <c r="CPP48" s="887"/>
      <c r="CPQ48" s="887"/>
      <c r="CPR48" s="887"/>
      <c r="CPS48" s="887"/>
      <c r="CPT48" s="887"/>
      <c r="CPU48" s="887"/>
      <c r="CPV48" s="887"/>
      <c r="CPW48" s="887"/>
      <c r="CPX48" s="887"/>
      <c r="CPY48" s="887"/>
      <c r="CPZ48" s="887"/>
      <c r="CQA48" s="887"/>
      <c r="CQB48" s="887"/>
      <c r="CQC48" s="887"/>
      <c r="CQD48" s="887"/>
      <c r="CQE48" s="887"/>
      <c r="CQF48" s="887"/>
      <c r="CQG48" s="887"/>
      <c r="CQH48" s="887"/>
      <c r="CQI48" s="887"/>
      <c r="CQJ48" s="887"/>
      <c r="CQK48" s="887"/>
      <c r="CQL48" s="887"/>
      <c r="CQM48" s="887"/>
      <c r="CQN48" s="887"/>
      <c r="CQO48" s="887"/>
      <c r="CQP48" s="887"/>
      <c r="CQQ48" s="887"/>
      <c r="CQR48" s="887"/>
      <c r="CQS48" s="887"/>
      <c r="CQT48" s="887"/>
      <c r="CQU48" s="887"/>
      <c r="CQV48" s="887"/>
      <c r="CQW48" s="887"/>
      <c r="CQX48" s="887"/>
      <c r="CQY48" s="887"/>
      <c r="CQZ48" s="887"/>
      <c r="CRA48" s="887"/>
      <c r="CRB48" s="887"/>
      <c r="CRC48" s="887"/>
      <c r="CRD48" s="887"/>
      <c r="CRE48" s="887"/>
      <c r="CRF48" s="887"/>
      <c r="CRG48" s="887"/>
      <c r="CRH48" s="887"/>
      <c r="CRI48" s="887"/>
      <c r="CRJ48" s="887"/>
      <c r="CRK48" s="887"/>
      <c r="CRL48" s="887"/>
      <c r="CRM48" s="887"/>
      <c r="CRN48" s="887"/>
      <c r="CRO48" s="887"/>
      <c r="CRP48" s="887"/>
      <c r="CRQ48" s="887"/>
      <c r="CRR48" s="887"/>
      <c r="CRS48" s="887"/>
      <c r="CRT48" s="887"/>
      <c r="CRU48" s="887"/>
      <c r="CRV48" s="887"/>
      <c r="CRW48" s="887"/>
      <c r="CRX48" s="887"/>
      <c r="CRY48" s="887"/>
      <c r="CRZ48" s="887"/>
      <c r="CSA48" s="887"/>
      <c r="CSB48" s="887"/>
      <c r="CSC48" s="887"/>
      <c r="CSD48" s="887"/>
      <c r="CSE48" s="887"/>
      <c r="CSF48" s="887"/>
      <c r="CSG48" s="887"/>
      <c r="CSH48" s="887"/>
      <c r="CSI48" s="887"/>
      <c r="CSJ48" s="887"/>
      <c r="CSK48" s="887"/>
      <c r="CSL48" s="887"/>
      <c r="CSM48" s="887"/>
      <c r="CSN48" s="887"/>
      <c r="CSO48" s="887"/>
      <c r="CSP48" s="887"/>
      <c r="CSQ48" s="887"/>
      <c r="CSR48" s="887"/>
      <c r="CSS48" s="887"/>
      <c r="CST48" s="887"/>
      <c r="CSU48" s="887"/>
      <c r="CSV48" s="887"/>
      <c r="CSW48" s="887"/>
      <c r="CSX48" s="887"/>
      <c r="CSY48" s="887"/>
      <c r="CSZ48" s="887"/>
      <c r="CTA48" s="887"/>
      <c r="CTB48" s="887"/>
      <c r="CTC48" s="887"/>
      <c r="CTD48" s="887"/>
      <c r="CTE48" s="887"/>
      <c r="CTF48" s="887"/>
      <c r="CTG48" s="887"/>
      <c r="CTH48" s="887"/>
      <c r="CTI48" s="887"/>
      <c r="CTJ48" s="887"/>
      <c r="CTK48" s="887"/>
      <c r="CTL48" s="887"/>
      <c r="CTM48" s="887"/>
      <c r="CTN48" s="887"/>
      <c r="CTO48" s="887"/>
      <c r="CTP48" s="887"/>
      <c r="CTQ48" s="887"/>
      <c r="CTR48" s="887"/>
      <c r="CTS48" s="887"/>
      <c r="CTT48" s="887"/>
      <c r="CTU48" s="887"/>
      <c r="CTV48" s="887"/>
      <c r="CTW48" s="887"/>
      <c r="CTX48" s="887"/>
      <c r="CTY48" s="887"/>
      <c r="CTZ48" s="887"/>
      <c r="CUA48" s="887"/>
      <c r="CUB48" s="887"/>
      <c r="CUC48" s="887"/>
      <c r="CUD48" s="887"/>
      <c r="CUE48" s="887"/>
      <c r="CUF48" s="887"/>
      <c r="CUG48" s="887"/>
      <c r="CUH48" s="887"/>
      <c r="CUI48" s="887"/>
      <c r="CUJ48" s="887"/>
      <c r="CUK48" s="887"/>
      <c r="CUL48" s="887"/>
      <c r="CUM48" s="887"/>
      <c r="CUN48" s="887"/>
      <c r="CUO48" s="887"/>
      <c r="CUP48" s="887"/>
      <c r="CUQ48" s="887"/>
      <c r="CUR48" s="887"/>
      <c r="CUS48" s="887"/>
      <c r="CUT48" s="887"/>
      <c r="CUU48" s="887"/>
      <c r="CUV48" s="887"/>
      <c r="CUW48" s="887"/>
      <c r="CUX48" s="887"/>
      <c r="CUY48" s="887"/>
      <c r="CUZ48" s="887"/>
      <c r="CVA48" s="887"/>
      <c r="CVB48" s="887"/>
      <c r="CVC48" s="887"/>
      <c r="CVD48" s="887"/>
      <c r="CVE48" s="887"/>
      <c r="CVF48" s="887"/>
      <c r="CVG48" s="887"/>
      <c r="CVH48" s="887"/>
      <c r="CVI48" s="887"/>
      <c r="CVJ48" s="887"/>
      <c r="CVK48" s="887"/>
      <c r="CVL48" s="887"/>
      <c r="CVM48" s="887"/>
      <c r="CVN48" s="887"/>
      <c r="CVO48" s="887"/>
      <c r="CVP48" s="887"/>
      <c r="CVQ48" s="887"/>
      <c r="CVR48" s="887"/>
      <c r="CVS48" s="887"/>
      <c r="CVT48" s="887"/>
      <c r="CVU48" s="887"/>
      <c r="CVV48" s="887"/>
      <c r="CVW48" s="887"/>
      <c r="CVX48" s="887"/>
      <c r="CVY48" s="887"/>
      <c r="CVZ48" s="887"/>
      <c r="CWA48" s="887"/>
      <c r="CWB48" s="887"/>
      <c r="CWC48" s="887"/>
      <c r="CWD48" s="887"/>
      <c r="CWE48" s="887"/>
      <c r="CWF48" s="887"/>
      <c r="CWG48" s="887"/>
      <c r="CWH48" s="887"/>
      <c r="CWI48" s="887"/>
      <c r="CWJ48" s="887"/>
      <c r="CWK48" s="887"/>
      <c r="CWL48" s="887"/>
      <c r="CWM48" s="887"/>
      <c r="CWN48" s="887"/>
      <c r="CWO48" s="887"/>
      <c r="CWP48" s="887"/>
      <c r="CWQ48" s="887"/>
      <c r="CWR48" s="887"/>
      <c r="CWS48" s="887"/>
      <c r="CWT48" s="887"/>
      <c r="CWU48" s="887"/>
      <c r="CWV48" s="887"/>
      <c r="CWW48" s="887"/>
      <c r="CWX48" s="887"/>
      <c r="CWY48" s="887"/>
      <c r="CWZ48" s="887"/>
      <c r="CXA48" s="887"/>
      <c r="CXB48" s="887"/>
      <c r="CXC48" s="887"/>
      <c r="CXD48" s="887"/>
      <c r="CXE48" s="887"/>
      <c r="CXF48" s="887"/>
      <c r="CXG48" s="887"/>
      <c r="CXH48" s="887"/>
      <c r="CXI48" s="887"/>
      <c r="CXJ48" s="887"/>
      <c r="CXK48" s="887"/>
      <c r="CXL48" s="887"/>
      <c r="CXM48" s="887"/>
      <c r="CXN48" s="887"/>
      <c r="CXO48" s="887"/>
      <c r="CXP48" s="887"/>
      <c r="CXQ48" s="887"/>
      <c r="CXR48" s="887"/>
      <c r="CXS48" s="887"/>
      <c r="CXT48" s="887"/>
      <c r="CXU48" s="887"/>
      <c r="CXV48" s="887"/>
      <c r="CXW48" s="887"/>
      <c r="CXX48" s="887"/>
      <c r="CXY48" s="887"/>
      <c r="CXZ48" s="887"/>
      <c r="CYA48" s="887"/>
      <c r="CYB48" s="887"/>
      <c r="CYC48" s="887"/>
      <c r="CYD48" s="887"/>
      <c r="CYE48" s="887"/>
      <c r="CYF48" s="887"/>
      <c r="CYG48" s="887"/>
      <c r="CYH48" s="887"/>
      <c r="CYI48" s="887"/>
      <c r="CYJ48" s="887"/>
      <c r="CYK48" s="887"/>
      <c r="CYL48" s="887"/>
      <c r="CYM48" s="887"/>
      <c r="CYN48" s="887"/>
      <c r="CYO48" s="887"/>
      <c r="CYP48" s="887"/>
      <c r="CYQ48" s="887"/>
      <c r="CYR48" s="887"/>
      <c r="CYS48" s="887"/>
      <c r="CYT48" s="887"/>
      <c r="CYU48" s="887"/>
      <c r="CYV48" s="887"/>
      <c r="CYW48" s="887"/>
      <c r="CYX48" s="887"/>
      <c r="CYY48" s="887"/>
      <c r="CYZ48" s="887"/>
      <c r="CZA48" s="887"/>
      <c r="CZB48" s="887"/>
      <c r="CZC48" s="887"/>
      <c r="CZD48" s="887"/>
      <c r="CZE48" s="887"/>
      <c r="CZF48" s="887"/>
      <c r="CZG48" s="887"/>
      <c r="CZH48" s="887"/>
      <c r="CZI48" s="887"/>
      <c r="CZJ48" s="887"/>
      <c r="CZK48" s="887"/>
      <c r="CZL48" s="887"/>
      <c r="CZM48" s="887"/>
      <c r="CZN48" s="887"/>
      <c r="CZO48" s="887"/>
      <c r="CZP48" s="887"/>
      <c r="CZQ48" s="887"/>
      <c r="CZR48" s="887"/>
      <c r="CZS48" s="887"/>
      <c r="CZT48" s="887"/>
      <c r="CZU48" s="887"/>
      <c r="CZV48" s="887"/>
      <c r="CZW48" s="887"/>
      <c r="CZX48" s="887"/>
      <c r="CZY48" s="887"/>
      <c r="CZZ48" s="887"/>
      <c r="DAA48" s="887"/>
      <c r="DAB48" s="887"/>
      <c r="DAC48" s="887"/>
      <c r="DAD48" s="887"/>
      <c r="DAE48" s="887"/>
      <c r="DAF48" s="887"/>
      <c r="DAG48" s="887"/>
      <c r="DAH48" s="887"/>
      <c r="DAI48" s="887"/>
      <c r="DAJ48" s="887"/>
      <c r="DAK48" s="887"/>
      <c r="DAL48" s="887"/>
      <c r="DAM48" s="887"/>
      <c r="DAN48" s="887"/>
      <c r="DAO48" s="887"/>
      <c r="DAP48" s="887"/>
      <c r="DAQ48" s="887"/>
      <c r="DAR48" s="887"/>
      <c r="DAS48" s="887"/>
      <c r="DAT48" s="887"/>
      <c r="DAU48" s="887"/>
      <c r="DAV48" s="887"/>
      <c r="DAW48" s="887"/>
      <c r="DAX48" s="887"/>
      <c r="DAY48" s="887"/>
      <c r="DAZ48" s="887"/>
      <c r="DBA48" s="887"/>
      <c r="DBB48" s="887"/>
      <c r="DBC48" s="887"/>
      <c r="DBD48" s="887"/>
      <c r="DBE48" s="887"/>
      <c r="DBF48" s="887"/>
      <c r="DBG48" s="887"/>
      <c r="DBH48" s="887"/>
      <c r="DBI48" s="887"/>
      <c r="DBJ48" s="887"/>
      <c r="DBK48" s="887"/>
      <c r="DBL48" s="887"/>
      <c r="DBM48" s="887"/>
      <c r="DBN48" s="887"/>
      <c r="DBO48" s="887"/>
      <c r="DBP48" s="887"/>
      <c r="DBQ48" s="887"/>
      <c r="DBR48" s="887"/>
      <c r="DBS48" s="887"/>
      <c r="DBT48" s="887"/>
      <c r="DBU48" s="887"/>
      <c r="DBV48" s="887"/>
      <c r="DBW48" s="887"/>
      <c r="DBX48" s="887"/>
      <c r="DBY48" s="887"/>
      <c r="DBZ48" s="887"/>
      <c r="DCA48" s="887"/>
      <c r="DCB48" s="887"/>
      <c r="DCC48" s="887"/>
      <c r="DCD48" s="887"/>
      <c r="DCE48" s="887"/>
      <c r="DCF48" s="887"/>
      <c r="DCG48" s="887"/>
      <c r="DCH48" s="887"/>
      <c r="DCI48" s="887"/>
      <c r="DCJ48" s="887"/>
      <c r="DCK48" s="887"/>
      <c r="DCL48" s="887"/>
      <c r="DCM48" s="887"/>
      <c r="DCN48" s="887"/>
      <c r="DCO48" s="887"/>
      <c r="DCP48" s="887"/>
      <c r="DCQ48" s="887"/>
      <c r="DCR48" s="887"/>
      <c r="DCS48" s="887"/>
      <c r="DCT48" s="887"/>
      <c r="DCU48" s="887"/>
      <c r="DCV48" s="887"/>
      <c r="DCW48" s="887"/>
      <c r="DCX48" s="887"/>
      <c r="DCY48" s="887"/>
      <c r="DCZ48" s="887"/>
      <c r="DDA48" s="887"/>
      <c r="DDB48" s="887"/>
      <c r="DDC48" s="887"/>
      <c r="DDD48" s="887"/>
      <c r="DDE48" s="887"/>
      <c r="DDF48" s="887"/>
      <c r="DDG48" s="887"/>
      <c r="DDH48" s="887"/>
      <c r="DDI48" s="887"/>
      <c r="DDJ48" s="887"/>
      <c r="DDK48" s="887"/>
      <c r="DDL48" s="887"/>
      <c r="DDM48" s="887"/>
      <c r="DDN48" s="887"/>
      <c r="DDO48" s="887"/>
      <c r="DDP48" s="887"/>
      <c r="DDQ48" s="887"/>
      <c r="DDR48" s="887"/>
      <c r="DDS48" s="887"/>
      <c r="DDT48" s="887"/>
      <c r="DDU48" s="887"/>
      <c r="DDV48" s="887"/>
      <c r="DDW48" s="887"/>
      <c r="DDX48" s="887"/>
      <c r="DDY48" s="887"/>
      <c r="DDZ48" s="887"/>
      <c r="DEA48" s="887"/>
      <c r="DEB48" s="887"/>
      <c r="DEC48" s="887"/>
      <c r="DED48" s="887"/>
      <c r="DEE48" s="887"/>
      <c r="DEF48" s="887"/>
      <c r="DEG48" s="887"/>
      <c r="DEH48" s="887"/>
      <c r="DEI48" s="887"/>
      <c r="DEJ48" s="887"/>
      <c r="DEK48" s="887"/>
      <c r="DEL48" s="887"/>
      <c r="DEM48" s="887"/>
      <c r="DEN48" s="887"/>
      <c r="DEO48" s="887"/>
      <c r="DEP48" s="887"/>
      <c r="DEQ48" s="887"/>
      <c r="DER48" s="887"/>
      <c r="DES48" s="887"/>
      <c r="DET48" s="887"/>
      <c r="DEU48" s="887"/>
      <c r="DEV48" s="887"/>
      <c r="DEW48" s="887"/>
      <c r="DEX48" s="887"/>
      <c r="DEY48" s="887"/>
      <c r="DEZ48" s="887"/>
      <c r="DFA48" s="887"/>
      <c r="DFB48" s="887"/>
      <c r="DFC48" s="887"/>
      <c r="DFD48" s="887"/>
      <c r="DFE48" s="887"/>
      <c r="DFF48" s="887"/>
      <c r="DFG48" s="887"/>
      <c r="DFH48" s="887"/>
      <c r="DFI48" s="887"/>
      <c r="DFJ48" s="887"/>
      <c r="DFK48" s="887"/>
      <c r="DFL48" s="887"/>
      <c r="DFM48" s="887"/>
      <c r="DFN48" s="887"/>
      <c r="DFO48" s="887"/>
      <c r="DFP48" s="887"/>
      <c r="DFQ48" s="887"/>
      <c r="DFR48" s="887"/>
      <c r="DFS48" s="887"/>
      <c r="DFT48" s="887"/>
      <c r="DFU48" s="887"/>
      <c r="DFV48" s="887"/>
      <c r="DFW48" s="887"/>
      <c r="DFX48" s="887"/>
      <c r="DFY48" s="887"/>
      <c r="DFZ48" s="887"/>
      <c r="DGA48" s="887"/>
      <c r="DGB48" s="887"/>
      <c r="DGC48" s="887"/>
      <c r="DGD48" s="887"/>
      <c r="DGE48" s="887"/>
      <c r="DGF48" s="887"/>
      <c r="DGG48" s="887"/>
      <c r="DGH48" s="887"/>
      <c r="DGI48" s="887"/>
      <c r="DGJ48" s="887"/>
      <c r="DGK48" s="887"/>
      <c r="DGL48" s="887"/>
      <c r="DGM48" s="887"/>
      <c r="DGN48" s="887"/>
      <c r="DGO48" s="887"/>
      <c r="DGP48" s="887"/>
      <c r="DGQ48" s="887"/>
      <c r="DGR48" s="887"/>
      <c r="DGS48" s="887"/>
      <c r="DGT48" s="887"/>
      <c r="DGU48" s="887"/>
      <c r="DGV48" s="887"/>
      <c r="DGW48" s="887"/>
      <c r="DGX48" s="887"/>
      <c r="DGY48" s="887"/>
      <c r="DGZ48" s="887"/>
      <c r="DHA48" s="887"/>
      <c r="DHB48" s="887"/>
      <c r="DHC48" s="887"/>
      <c r="DHD48" s="887"/>
      <c r="DHE48" s="887"/>
      <c r="DHF48" s="887"/>
      <c r="DHG48" s="887"/>
      <c r="DHH48" s="887"/>
      <c r="DHI48" s="887"/>
      <c r="DHJ48" s="887"/>
      <c r="DHK48" s="887"/>
      <c r="DHL48" s="887"/>
      <c r="DHM48" s="887"/>
      <c r="DHN48" s="887"/>
      <c r="DHO48" s="887"/>
      <c r="DHP48" s="887"/>
      <c r="DHQ48" s="887"/>
      <c r="DHR48" s="887"/>
      <c r="DHS48" s="887"/>
      <c r="DHT48" s="887"/>
      <c r="DHU48" s="887"/>
      <c r="DHV48" s="887"/>
      <c r="DHW48" s="887"/>
      <c r="DHX48" s="887"/>
      <c r="DHY48" s="887"/>
      <c r="DHZ48" s="887"/>
      <c r="DIA48" s="887"/>
      <c r="DIB48" s="887"/>
      <c r="DIC48" s="887"/>
      <c r="DID48" s="887"/>
      <c r="DIE48" s="887"/>
      <c r="DIF48" s="887"/>
      <c r="DIG48" s="887"/>
      <c r="DIH48" s="887"/>
      <c r="DII48" s="887"/>
      <c r="DIJ48" s="887"/>
      <c r="DIK48" s="887"/>
      <c r="DIL48" s="887"/>
      <c r="DIM48" s="887"/>
      <c r="DIN48" s="887"/>
      <c r="DIO48" s="887"/>
      <c r="DIP48" s="887"/>
      <c r="DIQ48" s="887"/>
      <c r="DIR48" s="887"/>
      <c r="DIS48" s="887"/>
      <c r="DIT48" s="887"/>
      <c r="DIU48" s="887"/>
      <c r="DIV48" s="887"/>
      <c r="DIW48" s="887"/>
      <c r="DIX48" s="887"/>
      <c r="DIY48" s="887"/>
      <c r="DIZ48" s="887"/>
      <c r="DJA48" s="887"/>
      <c r="DJB48" s="887"/>
      <c r="DJC48" s="887"/>
      <c r="DJD48" s="887"/>
      <c r="DJE48" s="887"/>
      <c r="DJF48" s="887"/>
      <c r="DJG48" s="887"/>
      <c r="DJH48" s="887"/>
      <c r="DJI48" s="887"/>
      <c r="DJJ48" s="887"/>
      <c r="DJK48" s="887"/>
      <c r="DJL48" s="887"/>
      <c r="DJM48" s="887"/>
      <c r="DJN48" s="887"/>
      <c r="DJO48" s="887"/>
      <c r="DJP48" s="887"/>
      <c r="DJQ48" s="887"/>
      <c r="DJR48" s="887"/>
      <c r="DJS48" s="887"/>
      <c r="DJT48" s="887"/>
      <c r="DJU48" s="887"/>
      <c r="DJV48" s="887"/>
      <c r="DJW48" s="887"/>
      <c r="DJX48" s="887"/>
      <c r="DJY48" s="887"/>
      <c r="DJZ48" s="887"/>
      <c r="DKA48" s="887"/>
      <c r="DKB48" s="887"/>
      <c r="DKC48" s="887"/>
      <c r="DKD48" s="887"/>
      <c r="DKE48" s="887"/>
      <c r="DKF48" s="887"/>
      <c r="DKG48" s="887"/>
      <c r="DKH48" s="887"/>
      <c r="DKI48" s="887"/>
      <c r="DKJ48" s="887"/>
      <c r="DKK48" s="887"/>
      <c r="DKL48" s="887"/>
      <c r="DKM48" s="887"/>
      <c r="DKN48" s="887"/>
      <c r="DKO48" s="887"/>
      <c r="DKP48" s="887"/>
      <c r="DKQ48" s="887"/>
      <c r="DKR48" s="887"/>
      <c r="DKS48" s="887"/>
      <c r="DKT48" s="887"/>
      <c r="DKU48" s="887"/>
      <c r="DKV48" s="887"/>
      <c r="DKW48" s="887"/>
      <c r="DKX48" s="887"/>
      <c r="DKY48" s="887"/>
      <c r="DKZ48" s="887"/>
      <c r="DLA48" s="887"/>
      <c r="DLB48" s="887"/>
      <c r="DLC48" s="887"/>
      <c r="DLD48" s="887"/>
      <c r="DLE48" s="887"/>
      <c r="DLF48" s="887"/>
      <c r="DLG48" s="887"/>
      <c r="DLH48" s="887"/>
      <c r="DLI48" s="887"/>
      <c r="DLJ48" s="887"/>
      <c r="DLK48" s="887"/>
      <c r="DLL48" s="887"/>
      <c r="DLM48" s="887"/>
      <c r="DLN48" s="887"/>
      <c r="DLO48" s="887"/>
      <c r="DLP48" s="887"/>
      <c r="DLQ48" s="887"/>
      <c r="DLR48" s="887"/>
      <c r="DLS48" s="887"/>
      <c r="DLT48" s="887"/>
      <c r="DLU48" s="887"/>
      <c r="DLV48" s="887"/>
      <c r="DLW48" s="887"/>
      <c r="DLX48" s="887"/>
      <c r="DLY48" s="887"/>
      <c r="DLZ48" s="887"/>
      <c r="DMA48" s="887"/>
      <c r="DMB48" s="887"/>
      <c r="DMC48" s="887"/>
      <c r="DMD48" s="887"/>
      <c r="DME48" s="887"/>
      <c r="DMF48" s="887"/>
      <c r="DMG48" s="887"/>
      <c r="DMH48" s="887"/>
      <c r="DMI48" s="887"/>
      <c r="DMJ48" s="887"/>
      <c r="DMK48" s="887"/>
      <c r="DML48" s="887"/>
      <c r="DMM48" s="887"/>
      <c r="DMN48" s="887"/>
      <c r="DMO48" s="887"/>
      <c r="DMP48" s="887"/>
      <c r="DMQ48" s="887"/>
      <c r="DMR48" s="887"/>
      <c r="DMS48" s="887"/>
      <c r="DMT48" s="887"/>
      <c r="DMU48" s="887"/>
      <c r="DMV48" s="887"/>
      <c r="DMW48" s="887"/>
      <c r="DMX48" s="887"/>
      <c r="DMY48" s="887"/>
      <c r="DMZ48" s="887"/>
      <c r="DNA48" s="887"/>
      <c r="DNB48" s="887"/>
      <c r="DNC48" s="887"/>
      <c r="DND48" s="887"/>
      <c r="DNE48" s="887"/>
      <c r="DNF48" s="887"/>
      <c r="DNG48" s="887"/>
      <c r="DNH48" s="887"/>
      <c r="DNI48" s="887"/>
      <c r="DNJ48" s="887"/>
      <c r="DNK48" s="887"/>
      <c r="DNL48" s="887"/>
      <c r="DNM48" s="887"/>
      <c r="DNN48" s="887"/>
      <c r="DNO48" s="887"/>
      <c r="DNP48" s="887"/>
      <c r="DNQ48" s="887"/>
      <c r="DNR48" s="887"/>
      <c r="DNS48" s="887"/>
      <c r="DNT48" s="887"/>
      <c r="DNU48" s="887"/>
      <c r="DNV48" s="887"/>
      <c r="DNW48" s="887"/>
      <c r="DNX48" s="887"/>
      <c r="DNY48" s="887"/>
      <c r="DNZ48" s="887"/>
      <c r="DOA48" s="887"/>
      <c r="DOB48" s="887"/>
      <c r="DOC48" s="887"/>
      <c r="DOD48" s="887"/>
      <c r="DOE48" s="887"/>
      <c r="DOF48" s="887"/>
      <c r="DOG48" s="887"/>
      <c r="DOH48" s="887"/>
      <c r="DOI48" s="887"/>
      <c r="DOJ48" s="887"/>
      <c r="DOK48" s="887"/>
      <c r="DOL48" s="887"/>
      <c r="DOM48" s="887"/>
      <c r="DON48" s="887"/>
      <c r="DOO48" s="887"/>
      <c r="DOP48" s="887"/>
      <c r="DOQ48" s="887"/>
      <c r="DOR48" s="887"/>
      <c r="DOS48" s="887"/>
      <c r="DOT48" s="887"/>
      <c r="DOU48" s="887"/>
      <c r="DOV48" s="887"/>
      <c r="DOW48" s="887"/>
      <c r="DOX48" s="887"/>
      <c r="DOY48" s="887"/>
      <c r="DOZ48" s="887"/>
      <c r="DPA48" s="887"/>
      <c r="DPB48" s="887"/>
      <c r="DPC48" s="887"/>
      <c r="DPD48" s="887"/>
      <c r="DPE48" s="887"/>
      <c r="DPF48" s="887"/>
      <c r="DPG48" s="887"/>
      <c r="DPH48" s="887"/>
      <c r="DPI48" s="887"/>
      <c r="DPJ48" s="887"/>
      <c r="DPK48" s="887"/>
      <c r="DPL48" s="887"/>
      <c r="DPM48" s="887"/>
      <c r="DPN48" s="887"/>
      <c r="DPO48" s="887"/>
      <c r="DPP48" s="887"/>
      <c r="DPQ48" s="887"/>
      <c r="DPR48" s="887"/>
      <c r="DPS48" s="887"/>
      <c r="DPT48" s="887"/>
      <c r="DPU48" s="887"/>
      <c r="DPV48" s="887"/>
      <c r="DPW48" s="887"/>
      <c r="DPX48" s="887"/>
      <c r="DPY48" s="887"/>
      <c r="DPZ48" s="887"/>
      <c r="DQA48" s="887"/>
      <c r="DQB48" s="887"/>
      <c r="DQC48" s="887"/>
      <c r="DQD48" s="887"/>
      <c r="DQE48" s="887"/>
      <c r="DQF48" s="887"/>
      <c r="DQG48" s="887"/>
      <c r="DQH48" s="887"/>
      <c r="DQI48" s="887"/>
      <c r="DQJ48" s="887"/>
      <c r="DQK48" s="887"/>
      <c r="DQL48" s="887"/>
      <c r="DQM48" s="887"/>
      <c r="DQN48" s="887"/>
      <c r="DQO48" s="887"/>
      <c r="DQP48" s="887"/>
      <c r="DQQ48" s="887"/>
      <c r="DQR48" s="887"/>
      <c r="DQS48" s="887"/>
      <c r="DQT48" s="887"/>
      <c r="DQU48" s="887"/>
      <c r="DQV48" s="887"/>
      <c r="DQW48" s="887"/>
      <c r="DQX48" s="887"/>
      <c r="DQY48" s="887"/>
      <c r="DQZ48" s="887"/>
      <c r="DRA48" s="887"/>
      <c r="DRB48" s="887"/>
      <c r="DRC48" s="887"/>
      <c r="DRD48" s="887"/>
      <c r="DRE48" s="887"/>
      <c r="DRF48" s="887"/>
      <c r="DRG48" s="887"/>
      <c r="DRH48" s="887"/>
      <c r="DRI48" s="887"/>
      <c r="DRJ48" s="887"/>
      <c r="DRK48" s="887"/>
      <c r="DRL48" s="887"/>
      <c r="DRM48" s="887"/>
      <c r="DRN48" s="887"/>
      <c r="DRO48" s="887"/>
      <c r="DRP48" s="887"/>
      <c r="DRQ48" s="887"/>
      <c r="DRR48" s="887"/>
      <c r="DRS48" s="887"/>
      <c r="DRT48" s="887"/>
      <c r="DRU48" s="887"/>
      <c r="DRV48" s="887"/>
      <c r="DRW48" s="887"/>
      <c r="DRX48" s="887"/>
      <c r="DRY48" s="887"/>
      <c r="DRZ48" s="887"/>
      <c r="DSA48" s="887"/>
      <c r="DSB48" s="887"/>
      <c r="DSC48" s="887"/>
      <c r="DSD48" s="887"/>
      <c r="DSE48" s="887"/>
      <c r="DSF48" s="887"/>
      <c r="DSG48" s="887"/>
      <c r="DSH48" s="887"/>
      <c r="DSI48" s="887"/>
      <c r="DSJ48" s="887"/>
      <c r="DSK48" s="887"/>
      <c r="DSL48" s="887"/>
      <c r="DSM48" s="887"/>
      <c r="DSN48" s="887"/>
      <c r="DSO48" s="887"/>
      <c r="DSP48" s="887"/>
      <c r="DSQ48" s="887"/>
      <c r="DSR48" s="887"/>
      <c r="DSS48" s="887"/>
      <c r="DST48" s="887"/>
      <c r="DSU48" s="887"/>
      <c r="DSV48" s="887"/>
      <c r="DSW48" s="887"/>
      <c r="DSX48" s="887"/>
      <c r="DSY48" s="887"/>
      <c r="DSZ48" s="887"/>
      <c r="DTA48" s="887"/>
      <c r="DTB48" s="887"/>
      <c r="DTC48" s="887"/>
      <c r="DTD48" s="887"/>
      <c r="DTE48" s="887"/>
      <c r="DTF48" s="887"/>
      <c r="DTG48" s="887"/>
      <c r="DTH48" s="887"/>
      <c r="DTI48" s="887"/>
      <c r="DTJ48" s="887"/>
      <c r="DTK48" s="887"/>
      <c r="DTL48" s="887"/>
      <c r="DTM48" s="887"/>
      <c r="DTN48" s="887"/>
      <c r="DTO48" s="887"/>
      <c r="DTP48" s="887"/>
      <c r="DTQ48" s="887"/>
      <c r="DTR48" s="887"/>
      <c r="DTS48" s="887"/>
      <c r="DTT48" s="887"/>
      <c r="DTU48" s="887"/>
      <c r="DTV48" s="887"/>
      <c r="DTW48" s="887"/>
      <c r="DTX48" s="887"/>
      <c r="DTY48" s="887"/>
      <c r="DTZ48" s="887"/>
      <c r="DUA48" s="887"/>
      <c r="DUB48" s="887"/>
      <c r="DUC48" s="887"/>
      <c r="DUD48" s="887"/>
      <c r="DUE48" s="887"/>
      <c r="DUF48" s="887"/>
      <c r="DUG48" s="887"/>
      <c r="DUH48" s="887"/>
      <c r="DUI48" s="887"/>
      <c r="DUJ48" s="887"/>
      <c r="DUK48" s="887"/>
      <c r="DUL48" s="887"/>
      <c r="DUM48" s="887"/>
      <c r="DUN48" s="887"/>
      <c r="DUO48" s="887"/>
      <c r="DUP48" s="887"/>
      <c r="DUQ48" s="887"/>
      <c r="DUR48" s="887"/>
      <c r="DUS48" s="887"/>
      <c r="DUT48" s="887"/>
      <c r="DUU48" s="887"/>
      <c r="DUV48" s="887"/>
      <c r="DUW48" s="887"/>
      <c r="DUX48" s="887"/>
      <c r="DUY48" s="887"/>
      <c r="DUZ48" s="887"/>
      <c r="DVA48" s="887"/>
      <c r="DVB48" s="887"/>
      <c r="DVC48" s="887"/>
      <c r="DVD48" s="887"/>
      <c r="DVE48" s="887"/>
      <c r="DVF48" s="887"/>
      <c r="DVG48" s="887"/>
      <c r="DVH48" s="887"/>
      <c r="DVI48" s="887"/>
      <c r="DVJ48" s="887"/>
      <c r="DVK48" s="887"/>
      <c r="DVL48" s="887"/>
      <c r="DVM48" s="887"/>
      <c r="DVN48" s="887"/>
      <c r="DVO48" s="887"/>
      <c r="DVP48" s="887"/>
      <c r="DVQ48" s="887"/>
      <c r="DVR48" s="887"/>
      <c r="DVS48" s="887"/>
      <c r="DVT48" s="887"/>
      <c r="DVU48" s="887"/>
      <c r="DVV48" s="887"/>
      <c r="DVW48" s="887"/>
      <c r="DVX48" s="887"/>
      <c r="DVY48" s="887"/>
      <c r="DVZ48" s="887"/>
      <c r="DWA48" s="887"/>
      <c r="DWB48" s="887"/>
      <c r="DWC48" s="887"/>
      <c r="DWD48" s="887"/>
      <c r="DWE48" s="887"/>
      <c r="DWF48" s="887"/>
      <c r="DWG48" s="887"/>
      <c r="DWH48" s="887"/>
      <c r="DWI48" s="887"/>
      <c r="DWJ48" s="887"/>
      <c r="DWK48" s="887"/>
      <c r="DWL48" s="887"/>
      <c r="DWM48" s="887"/>
      <c r="DWN48" s="887"/>
      <c r="DWO48" s="887"/>
      <c r="DWP48" s="887"/>
      <c r="DWQ48" s="887"/>
      <c r="DWR48" s="887"/>
      <c r="DWS48" s="887"/>
      <c r="DWT48" s="887"/>
      <c r="DWU48" s="887"/>
      <c r="DWV48" s="887"/>
      <c r="DWW48" s="887"/>
      <c r="DWX48" s="887"/>
      <c r="DWY48" s="887"/>
      <c r="DWZ48" s="887"/>
      <c r="DXA48" s="887"/>
      <c r="DXB48" s="887"/>
      <c r="DXC48" s="887"/>
      <c r="DXD48" s="887"/>
      <c r="DXE48" s="887"/>
      <c r="DXF48" s="887"/>
      <c r="DXG48" s="887"/>
      <c r="DXH48" s="887"/>
      <c r="DXI48" s="887"/>
      <c r="DXJ48" s="887"/>
      <c r="DXK48" s="887"/>
      <c r="DXL48" s="887"/>
      <c r="DXM48" s="887"/>
      <c r="DXN48" s="887"/>
      <c r="DXO48" s="887"/>
      <c r="DXP48" s="887"/>
      <c r="DXQ48" s="887"/>
      <c r="DXR48" s="887"/>
      <c r="DXS48" s="887"/>
      <c r="DXT48" s="887"/>
      <c r="DXU48" s="887"/>
      <c r="DXV48" s="887"/>
      <c r="DXW48" s="887"/>
      <c r="DXX48" s="887"/>
      <c r="DXY48" s="887"/>
      <c r="DXZ48" s="887"/>
      <c r="DYA48" s="887"/>
      <c r="DYB48" s="887"/>
      <c r="DYC48" s="887"/>
      <c r="DYD48" s="887"/>
      <c r="DYE48" s="887"/>
      <c r="DYF48" s="887"/>
      <c r="DYG48" s="887"/>
      <c r="DYH48" s="887"/>
      <c r="DYI48" s="887"/>
      <c r="DYJ48" s="887"/>
      <c r="DYK48" s="887"/>
      <c r="DYL48" s="887"/>
      <c r="DYM48" s="887"/>
      <c r="DYN48" s="887"/>
      <c r="DYO48" s="887"/>
      <c r="DYP48" s="887"/>
      <c r="DYQ48" s="887"/>
      <c r="DYR48" s="887"/>
      <c r="DYS48" s="887"/>
      <c r="DYT48" s="887"/>
      <c r="DYU48" s="887"/>
      <c r="DYV48" s="887"/>
      <c r="DYW48" s="887"/>
      <c r="DYX48" s="887"/>
      <c r="DYY48" s="887"/>
      <c r="DYZ48" s="887"/>
      <c r="DZA48" s="887"/>
      <c r="DZB48" s="887"/>
      <c r="DZC48" s="887"/>
      <c r="DZD48" s="887"/>
      <c r="DZE48" s="887"/>
      <c r="DZF48" s="887"/>
      <c r="DZG48" s="887"/>
      <c r="DZH48" s="887"/>
      <c r="DZI48" s="887"/>
      <c r="DZJ48" s="887"/>
      <c r="DZK48" s="887"/>
      <c r="DZL48" s="887"/>
      <c r="DZM48" s="887"/>
      <c r="DZN48" s="887"/>
      <c r="DZO48" s="887"/>
      <c r="DZP48" s="887"/>
      <c r="DZQ48" s="887"/>
      <c r="DZR48" s="887"/>
      <c r="DZS48" s="887"/>
      <c r="DZT48" s="887"/>
      <c r="DZU48" s="887"/>
      <c r="DZV48" s="887"/>
      <c r="DZW48" s="887"/>
      <c r="DZX48" s="887"/>
      <c r="DZY48" s="887"/>
      <c r="DZZ48" s="887"/>
      <c r="EAA48" s="887"/>
      <c r="EAB48" s="887"/>
      <c r="EAC48" s="887"/>
      <c r="EAD48" s="887"/>
      <c r="EAE48" s="887"/>
      <c r="EAF48" s="887"/>
      <c r="EAG48" s="887"/>
      <c r="EAH48" s="887"/>
      <c r="EAI48" s="887"/>
      <c r="EAJ48" s="887"/>
      <c r="EAK48" s="887"/>
      <c r="EAL48" s="887"/>
      <c r="EAM48" s="887"/>
      <c r="EAN48" s="887"/>
      <c r="EAO48" s="887"/>
      <c r="EAP48" s="887"/>
      <c r="EAQ48" s="887"/>
      <c r="EAR48" s="887"/>
      <c r="EAS48" s="887"/>
      <c r="EAT48" s="887"/>
      <c r="EAU48" s="887"/>
      <c r="EAV48" s="887"/>
      <c r="EAW48" s="887"/>
      <c r="EAX48" s="887"/>
      <c r="EAY48" s="887"/>
      <c r="EAZ48" s="887"/>
      <c r="EBA48" s="887"/>
      <c r="EBB48" s="887"/>
      <c r="EBC48" s="887"/>
      <c r="EBD48" s="887"/>
      <c r="EBE48" s="887"/>
      <c r="EBF48" s="887"/>
      <c r="EBG48" s="887"/>
      <c r="EBH48" s="887"/>
      <c r="EBI48" s="887"/>
      <c r="EBJ48" s="887"/>
      <c r="EBK48" s="887"/>
      <c r="EBL48" s="887"/>
      <c r="EBM48" s="887"/>
      <c r="EBN48" s="887"/>
      <c r="EBO48" s="887"/>
      <c r="EBP48" s="887"/>
      <c r="EBQ48" s="887"/>
      <c r="EBR48" s="887"/>
      <c r="EBS48" s="887"/>
      <c r="EBT48" s="887"/>
      <c r="EBU48" s="887"/>
      <c r="EBV48" s="887"/>
      <c r="EBW48" s="887"/>
      <c r="EBX48" s="887"/>
      <c r="EBY48" s="887"/>
      <c r="EBZ48" s="887"/>
      <c r="ECA48" s="887"/>
      <c r="ECB48" s="887"/>
      <c r="ECC48" s="887"/>
      <c r="ECD48" s="887"/>
      <c r="ECE48" s="887"/>
      <c r="ECF48" s="887"/>
      <c r="ECG48" s="887"/>
      <c r="ECH48" s="887"/>
      <c r="ECI48" s="887"/>
      <c r="ECJ48" s="887"/>
      <c r="ECK48" s="887"/>
      <c r="ECL48" s="887"/>
      <c r="ECM48" s="887"/>
      <c r="ECN48" s="887"/>
      <c r="ECO48" s="887"/>
      <c r="ECP48" s="887"/>
      <c r="ECQ48" s="887"/>
      <c r="ECR48" s="887"/>
      <c r="ECS48" s="887"/>
      <c r="ECT48" s="887"/>
      <c r="ECU48" s="887"/>
      <c r="ECV48" s="887"/>
      <c r="ECW48" s="887"/>
      <c r="ECX48" s="887"/>
      <c r="ECY48" s="887"/>
      <c r="ECZ48" s="887"/>
      <c r="EDA48" s="887"/>
      <c r="EDB48" s="887"/>
      <c r="EDC48" s="887"/>
      <c r="EDD48" s="887"/>
      <c r="EDE48" s="887"/>
      <c r="EDF48" s="887"/>
      <c r="EDG48" s="887"/>
      <c r="EDH48" s="887"/>
      <c r="EDI48" s="887"/>
      <c r="EDJ48" s="887"/>
      <c r="EDK48" s="887"/>
      <c r="EDL48" s="887"/>
      <c r="EDM48" s="887"/>
      <c r="EDN48" s="887"/>
      <c r="EDO48" s="887"/>
      <c r="EDP48" s="887"/>
      <c r="EDQ48" s="887"/>
      <c r="EDR48" s="887"/>
      <c r="EDS48" s="887"/>
      <c r="EDT48" s="887"/>
      <c r="EDU48" s="887"/>
      <c r="EDV48" s="887"/>
      <c r="EDW48" s="887"/>
      <c r="EDX48" s="887"/>
      <c r="EDY48" s="887"/>
      <c r="EDZ48" s="887"/>
      <c r="EEA48" s="887"/>
      <c r="EEB48" s="887"/>
      <c r="EEC48" s="887"/>
      <c r="EED48" s="887"/>
      <c r="EEE48" s="887"/>
      <c r="EEF48" s="887"/>
      <c r="EEG48" s="887"/>
      <c r="EEH48" s="887"/>
      <c r="EEI48" s="887"/>
      <c r="EEJ48" s="887"/>
      <c r="EEK48" s="887"/>
      <c r="EEL48" s="887"/>
      <c r="EEM48" s="887"/>
      <c r="EEN48" s="887"/>
      <c r="EEO48" s="887"/>
      <c r="EEP48" s="887"/>
      <c r="EEQ48" s="887"/>
      <c r="EER48" s="887"/>
      <c r="EES48" s="887"/>
      <c r="EET48" s="887"/>
      <c r="EEU48" s="887"/>
      <c r="EEV48" s="887"/>
      <c r="EEW48" s="887"/>
      <c r="EEX48" s="887"/>
      <c r="EEY48" s="887"/>
      <c r="EEZ48" s="887"/>
      <c r="EFA48" s="887"/>
      <c r="EFB48" s="887"/>
      <c r="EFC48" s="887"/>
      <c r="EFD48" s="887"/>
      <c r="EFE48" s="887"/>
      <c r="EFF48" s="887"/>
      <c r="EFG48" s="887"/>
      <c r="EFH48" s="887"/>
      <c r="EFI48" s="887"/>
      <c r="EFJ48" s="887"/>
      <c r="EFK48" s="887"/>
      <c r="EFL48" s="887"/>
      <c r="EFM48" s="887"/>
      <c r="EFN48" s="887"/>
      <c r="EFO48" s="887"/>
      <c r="EFP48" s="887"/>
      <c r="EFQ48" s="887"/>
      <c r="EFR48" s="887"/>
      <c r="EFS48" s="887"/>
      <c r="EFT48" s="887"/>
      <c r="EFU48" s="887"/>
      <c r="EFV48" s="887"/>
      <c r="EFW48" s="887"/>
      <c r="EFX48" s="887"/>
      <c r="EFY48" s="887"/>
      <c r="EFZ48" s="887"/>
      <c r="EGA48" s="887"/>
      <c r="EGB48" s="887"/>
      <c r="EGC48" s="887"/>
      <c r="EGD48" s="887"/>
      <c r="EGE48" s="887"/>
      <c r="EGF48" s="887"/>
      <c r="EGG48" s="887"/>
      <c r="EGH48" s="887"/>
      <c r="EGI48" s="887"/>
      <c r="EGJ48" s="887"/>
      <c r="EGK48" s="887"/>
      <c r="EGL48" s="887"/>
      <c r="EGM48" s="887"/>
      <c r="EGN48" s="887"/>
      <c r="EGO48" s="887"/>
      <c r="EGP48" s="887"/>
      <c r="EGQ48" s="887"/>
      <c r="EGR48" s="887"/>
      <c r="EGS48" s="887"/>
      <c r="EGT48" s="887"/>
      <c r="EGU48" s="887"/>
      <c r="EGV48" s="887"/>
      <c r="EGW48" s="887"/>
      <c r="EGX48" s="887"/>
      <c r="EGY48" s="887"/>
      <c r="EGZ48" s="887"/>
      <c r="EHA48" s="887"/>
      <c r="EHB48" s="887"/>
      <c r="EHC48" s="887"/>
      <c r="EHD48" s="887"/>
      <c r="EHE48" s="887"/>
      <c r="EHF48" s="887"/>
      <c r="EHG48" s="887"/>
      <c r="EHH48" s="887"/>
      <c r="EHI48" s="887"/>
      <c r="EHJ48" s="887"/>
      <c r="EHK48" s="887"/>
      <c r="EHL48" s="887"/>
      <c r="EHM48" s="887"/>
      <c r="EHN48" s="887"/>
      <c r="EHO48" s="887"/>
      <c r="EHP48" s="887"/>
      <c r="EHQ48" s="887"/>
      <c r="EHR48" s="887"/>
      <c r="EHS48" s="887"/>
      <c r="EHT48" s="887"/>
      <c r="EHU48" s="887"/>
      <c r="EHV48" s="887"/>
      <c r="EHW48" s="887"/>
      <c r="EHX48" s="887"/>
      <c r="EHY48" s="887"/>
      <c r="EHZ48" s="887"/>
      <c r="EIA48" s="887"/>
      <c r="EIB48" s="887"/>
      <c r="EIC48" s="887"/>
      <c r="EID48" s="887"/>
      <c r="EIE48" s="887"/>
      <c r="EIF48" s="887"/>
      <c r="EIG48" s="887"/>
      <c r="EIH48" s="887"/>
      <c r="EII48" s="887"/>
      <c r="EIJ48" s="887"/>
      <c r="EIK48" s="887"/>
      <c r="EIL48" s="887"/>
      <c r="EIM48" s="887"/>
      <c r="EIN48" s="887"/>
      <c r="EIO48" s="887"/>
      <c r="EIP48" s="887"/>
      <c r="EIQ48" s="887"/>
      <c r="EIR48" s="887"/>
      <c r="EIS48" s="887"/>
      <c r="EIT48" s="887"/>
      <c r="EIU48" s="887"/>
      <c r="EIV48" s="887"/>
      <c r="EIW48" s="887"/>
      <c r="EIX48" s="887"/>
      <c r="EIY48" s="887"/>
      <c r="EIZ48" s="887"/>
      <c r="EJA48" s="887"/>
      <c r="EJB48" s="887"/>
      <c r="EJC48" s="887"/>
      <c r="EJD48" s="887"/>
      <c r="EJE48" s="887"/>
      <c r="EJF48" s="887"/>
      <c r="EJG48" s="887"/>
      <c r="EJH48" s="887"/>
      <c r="EJI48" s="887"/>
      <c r="EJJ48" s="887"/>
      <c r="EJK48" s="887"/>
      <c r="EJL48" s="887"/>
      <c r="EJM48" s="887"/>
      <c r="EJN48" s="887"/>
      <c r="EJO48" s="887"/>
      <c r="EJP48" s="887"/>
      <c r="EJQ48" s="887"/>
      <c r="EJR48" s="887"/>
      <c r="EJS48" s="887"/>
      <c r="EJT48" s="887"/>
      <c r="EJU48" s="887"/>
      <c r="EJV48" s="887"/>
      <c r="EJW48" s="887"/>
      <c r="EJX48" s="887"/>
      <c r="EJY48" s="887"/>
      <c r="EJZ48" s="887"/>
      <c r="EKA48" s="887"/>
      <c r="EKB48" s="887"/>
      <c r="EKC48" s="887"/>
      <c r="EKD48" s="887"/>
      <c r="EKE48" s="887"/>
      <c r="EKF48" s="887"/>
      <c r="EKG48" s="887"/>
      <c r="EKH48" s="887"/>
      <c r="EKI48" s="887"/>
      <c r="EKJ48" s="887"/>
      <c r="EKK48" s="887"/>
      <c r="EKL48" s="887"/>
      <c r="EKM48" s="887"/>
      <c r="EKN48" s="887"/>
      <c r="EKO48" s="887"/>
      <c r="EKP48" s="887"/>
      <c r="EKQ48" s="887"/>
      <c r="EKR48" s="887"/>
      <c r="EKS48" s="887"/>
      <c r="EKT48" s="887"/>
      <c r="EKU48" s="887"/>
      <c r="EKV48" s="887"/>
      <c r="EKW48" s="887"/>
      <c r="EKX48" s="887"/>
      <c r="EKY48" s="887"/>
      <c r="EKZ48" s="887"/>
      <c r="ELA48" s="887"/>
      <c r="ELB48" s="887"/>
      <c r="ELC48" s="887"/>
      <c r="ELD48" s="887"/>
      <c r="ELE48" s="887"/>
      <c r="ELF48" s="887"/>
      <c r="ELG48" s="887"/>
      <c r="ELH48" s="887"/>
      <c r="ELI48" s="887"/>
      <c r="ELJ48" s="887"/>
      <c r="ELK48" s="887"/>
      <c r="ELL48" s="887"/>
      <c r="ELM48" s="887"/>
      <c r="ELN48" s="887"/>
      <c r="ELO48" s="887"/>
      <c r="ELP48" s="887"/>
      <c r="ELQ48" s="887"/>
      <c r="ELR48" s="887"/>
      <c r="ELS48" s="887"/>
      <c r="ELT48" s="887"/>
      <c r="ELU48" s="887"/>
      <c r="ELV48" s="887"/>
      <c r="ELW48" s="887"/>
      <c r="ELX48" s="887"/>
      <c r="ELY48" s="887"/>
      <c r="ELZ48" s="887"/>
      <c r="EMA48" s="887"/>
      <c r="EMB48" s="887"/>
      <c r="EMC48" s="887"/>
      <c r="EMD48" s="887"/>
      <c r="EME48" s="887"/>
      <c r="EMF48" s="887"/>
      <c r="EMG48" s="887"/>
      <c r="EMH48" s="887"/>
      <c r="EMI48" s="887"/>
      <c r="EMJ48" s="887"/>
      <c r="EMK48" s="887"/>
      <c r="EML48" s="887"/>
      <c r="EMM48" s="887"/>
      <c r="EMN48" s="887"/>
      <c r="EMO48" s="887"/>
      <c r="EMP48" s="887"/>
      <c r="EMQ48" s="887"/>
      <c r="EMR48" s="887"/>
      <c r="EMS48" s="887"/>
      <c r="EMT48" s="887"/>
      <c r="EMU48" s="887"/>
      <c r="EMV48" s="887"/>
      <c r="EMW48" s="887"/>
      <c r="EMX48" s="887"/>
      <c r="EMY48" s="887"/>
      <c r="EMZ48" s="887"/>
      <c r="ENA48" s="887"/>
      <c r="ENB48" s="887"/>
      <c r="ENC48" s="887"/>
      <c r="END48" s="887"/>
      <c r="ENE48" s="887"/>
      <c r="ENF48" s="887"/>
      <c r="ENG48" s="887"/>
      <c r="ENH48" s="887"/>
      <c r="ENI48" s="887"/>
      <c r="ENJ48" s="887"/>
      <c r="ENK48" s="887"/>
      <c r="ENL48" s="887"/>
      <c r="ENM48" s="887"/>
      <c r="ENN48" s="887"/>
      <c r="ENO48" s="887"/>
      <c r="ENP48" s="887"/>
      <c r="ENQ48" s="887"/>
      <c r="ENR48" s="887"/>
      <c r="ENS48" s="887"/>
      <c r="ENT48" s="887"/>
      <c r="ENU48" s="887"/>
      <c r="ENV48" s="887"/>
      <c r="ENW48" s="887"/>
      <c r="ENX48" s="887"/>
      <c r="ENY48" s="887"/>
      <c r="ENZ48" s="887"/>
      <c r="EOA48" s="887"/>
      <c r="EOB48" s="887"/>
      <c r="EOC48" s="887"/>
      <c r="EOD48" s="887"/>
      <c r="EOE48" s="887"/>
      <c r="EOF48" s="887"/>
      <c r="EOG48" s="887"/>
      <c r="EOH48" s="887"/>
      <c r="EOI48" s="887"/>
      <c r="EOJ48" s="887"/>
      <c r="EOK48" s="887"/>
      <c r="EOL48" s="887"/>
      <c r="EOM48" s="887"/>
      <c r="EON48" s="887"/>
      <c r="EOO48" s="887"/>
      <c r="EOP48" s="887"/>
      <c r="EOQ48" s="887"/>
      <c r="EOR48" s="887"/>
      <c r="EOS48" s="887"/>
      <c r="EOT48" s="887"/>
      <c r="EOU48" s="887"/>
      <c r="EOV48" s="887"/>
      <c r="EOW48" s="887"/>
      <c r="EOX48" s="887"/>
      <c r="EOY48" s="887"/>
      <c r="EOZ48" s="887"/>
      <c r="EPA48" s="887"/>
      <c r="EPB48" s="887"/>
      <c r="EPC48" s="887"/>
      <c r="EPD48" s="887"/>
      <c r="EPE48" s="887"/>
      <c r="EPF48" s="887"/>
      <c r="EPG48" s="887"/>
      <c r="EPH48" s="887"/>
      <c r="EPI48" s="887"/>
      <c r="EPJ48" s="887"/>
      <c r="EPK48" s="887"/>
      <c r="EPL48" s="887"/>
      <c r="EPM48" s="887"/>
      <c r="EPN48" s="887"/>
      <c r="EPO48" s="887"/>
      <c r="EPP48" s="887"/>
      <c r="EPQ48" s="887"/>
      <c r="EPR48" s="887"/>
      <c r="EPS48" s="887"/>
      <c r="EPT48" s="887"/>
      <c r="EPU48" s="887"/>
      <c r="EPV48" s="887"/>
      <c r="EPW48" s="887"/>
      <c r="EPX48" s="887"/>
      <c r="EPY48" s="887"/>
      <c r="EPZ48" s="887"/>
      <c r="EQA48" s="887"/>
      <c r="EQB48" s="887"/>
      <c r="EQC48" s="887"/>
      <c r="EQD48" s="887"/>
      <c r="EQE48" s="887"/>
      <c r="EQF48" s="887"/>
      <c r="EQG48" s="887"/>
      <c r="EQH48" s="887"/>
      <c r="EQI48" s="887"/>
      <c r="EQJ48" s="887"/>
      <c r="EQK48" s="887"/>
      <c r="EQL48" s="887"/>
      <c r="EQM48" s="887"/>
      <c r="EQN48" s="887"/>
      <c r="EQO48" s="887"/>
      <c r="EQP48" s="887"/>
      <c r="EQQ48" s="887"/>
      <c r="EQR48" s="887"/>
      <c r="EQS48" s="887"/>
      <c r="EQT48" s="887"/>
      <c r="EQU48" s="887"/>
      <c r="EQV48" s="887"/>
      <c r="EQW48" s="887"/>
      <c r="EQX48" s="887"/>
      <c r="EQY48" s="887"/>
      <c r="EQZ48" s="887"/>
      <c r="ERA48" s="887"/>
      <c r="ERB48" s="887"/>
      <c r="ERC48" s="887"/>
      <c r="ERD48" s="887"/>
      <c r="ERE48" s="887"/>
      <c r="ERF48" s="887"/>
      <c r="ERG48" s="887"/>
      <c r="ERH48" s="887"/>
      <c r="ERI48" s="887"/>
      <c r="ERJ48" s="887"/>
      <c r="ERK48" s="887"/>
      <c r="ERL48" s="887"/>
      <c r="ERM48" s="887"/>
      <c r="ERN48" s="887"/>
      <c r="ERO48" s="887"/>
      <c r="ERP48" s="887"/>
      <c r="ERQ48" s="887"/>
      <c r="ERR48" s="887"/>
      <c r="ERS48" s="887"/>
      <c r="ERT48" s="887"/>
      <c r="ERU48" s="887"/>
      <c r="ERV48" s="887"/>
      <c r="ERW48" s="887"/>
      <c r="ERX48" s="887"/>
      <c r="ERY48" s="887"/>
      <c r="ERZ48" s="887"/>
      <c r="ESA48" s="887"/>
      <c r="ESB48" s="887"/>
      <c r="ESC48" s="887"/>
      <c r="ESD48" s="887"/>
      <c r="ESE48" s="887"/>
      <c r="ESF48" s="887"/>
      <c r="ESG48" s="887"/>
      <c r="ESH48" s="887"/>
      <c r="ESI48" s="887"/>
      <c r="ESJ48" s="887"/>
      <c r="ESK48" s="887"/>
      <c r="ESL48" s="887"/>
      <c r="ESM48" s="887"/>
      <c r="ESN48" s="887"/>
      <c r="ESO48" s="887"/>
      <c r="ESP48" s="887"/>
      <c r="ESQ48" s="887"/>
      <c r="ESR48" s="887"/>
      <c r="ESS48" s="887"/>
      <c r="EST48" s="887"/>
      <c r="ESU48" s="887"/>
      <c r="ESV48" s="887"/>
      <c r="ESW48" s="887"/>
      <c r="ESX48" s="887"/>
      <c r="ESY48" s="887"/>
      <c r="ESZ48" s="887"/>
      <c r="ETA48" s="887"/>
      <c r="ETB48" s="887"/>
      <c r="ETC48" s="887"/>
      <c r="ETD48" s="887"/>
      <c r="ETE48" s="887"/>
      <c r="ETF48" s="887"/>
      <c r="ETG48" s="887"/>
      <c r="ETH48" s="887"/>
      <c r="ETI48" s="887"/>
      <c r="ETJ48" s="887"/>
      <c r="ETK48" s="887"/>
      <c r="ETL48" s="887"/>
      <c r="ETM48" s="887"/>
      <c r="ETN48" s="887"/>
      <c r="ETO48" s="887"/>
      <c r="ETP48" s="887"/>
      <c r="ETQ48" s="887"/>
      <c r="ETR48" s="887"/>
      <c r="ETS48" s="887"/>
      <c r="ETT48" s="887"/>
      <c r="ETU48" s="887"/>
      <c r="ETV48" s="887"/>
      <c r="ETW48" s="887"/>
      <c r="ETX48" s="887"/>
      <c r="ETY48" s="887"/>
      <c r="ETZ48" s="887"/>
      <c r="EUA48" s="887"/>
      <c r="EUB48" s="887"/>
      <c r="EUC48" s="887"/>
      <c r="EUD48" s="887"/>
      <c r="EUE48" s="887"/>
      <c r="EUF48" s="887"/>
      <c r="EUG48" s="887"/>
      <c r="EUH48" s="887"/>
      <c r="EUI48" s="887"/>
      <c r="EUJ48" s="887"/>
      <c r="EUK48" s="887"/>
      <c r="EUL48" s="887"/>
      <c r="EUM48" s="887"/>
      <c r="EUN48" s="887"/>
      <c r="EUO48" s="887"/>
      <c r="EUP48" s="887"/>
      <c r="EUQ48" s="887"/>
      <c r="EUR48" s="887"/>
      <c r="EUS48" s="887"/>
      <c r="EUT48" s="887"/>
      <c r="EUU48" s="887"/>
      <c r="EUV48" s="887"/>
      <c r="EUW48" s="887"/>
      <c r="EUX48" s="887"/>
      <c r="EUY48" s="887"/>
      <c r="EUZ48" s="887"/>
      <c r="EVA48" s="887"/>
      <c r="EVB48" s="887"/>
      <c r="EVC48" s="887"/>
      <c r="EVD48" s="887"/>
      <c r="EVE48" s="887"/>
      <c r="EVF48" s="887"/>
      <c r="EVG48" s="887"/>
      <c r="EVH48" s="887"/>
      <c r="EVI48" s="887"/>
      <c r="EVJ48" s="887"/>
      <c r="EVK48" s="887"/>
      <c r="EVL48" s="887"/>
      <c r="EVM48" s="887"/>
      <c r="EVN48" s="887"/>
      <c r="EVO48" s="887"/>
      <c r="EVP48" s="887"/>
      <c r="EVQ48" s="887"/>
      <c r="EVR48" s="887"/>
      <c r="EVS48" s="887"/>
      <c r="EVT48" s="887"/>
      <c r="EVU48" s="887"/>
      <c r="EVV48" s="887"/>
      <c r="EVW48" s="887"/>
      <c r="EVX48" s="887"/>
      <c r="EVY48" s="887"/>
      <c r="EVZ48" s="887"/>
      <c r="EWA48" s="887"/>
      <c r="EWB48" s="887"/>
      <c r="EWC48" s="887"/>
      <c r="EWD48" s="887"/>
      <c r="EWE48" s="887"/>
      <c r="EWF48" s="887"/>
      <c r="EWG48" s="887"/>
      <c r="EWH48" s="887"/>
      <c r="EWI48" s="887"/>
      <c r="EWJ48" s="887"/>
      <c r="EWK48" s="887"/>
      <c r="EWL48" s="887"/>
      <c r="EWM48" s="887"/>
      <c r="EWN48" s="887"/>
      <c r="EWO48" s="887"/>
      <c r="EWP48" s="887"/>
      <c r="EWQ48" s="887"/>
      <c r="EWR48" s="887"/>
      <c r="EWS48" s="887"/>
      <c r="EWT48" s="887"/>
      <c r="EWU48" s="887"/>
      <c r="EWV48" s="887"/>
      <c r="EWW48" s="887"/>
      <c r="EWX48" s="887"/>
      <c r="EWY48" s="887"/>
      <c r="EWZ48" s="887"/>
      <c r="EXA48" s="887"/>
      <c r="EXB48" s="887"/>
      <c r="EXC48" s="887"/>
      <c r="EXD48" s="887"/>
      <c r="EXE48" s="887"/>
      <c r="EXF48" s="887"/>
      <c r="EXG48" s="887"/>
      <c r="EXH48" s="887"/>
      <c r="EXI48" s="887"/>
      <c r="EXJ48" s="887"/>
      <c r="EXK48" s="887"/>
      <c r="EXL48" s="887"/>
      <c r="EXM48" s="887"/>
      <c r="EXN48" s="887"/>
      <c r="EXO48" s="887"/>
      <c r="EXP48" s="887"/>
      <c r="EXQ48" s="887"/>
      <c r="EXR48" s="887"/>
      <c r="EXS48" s="887"/>
      <c r="EXT48" s="887"/>
      <c r="EXU48" s="887"/>
      <c r="EXV48" s="887"/>
      <c r="EXW48" s="887"/>
      <c r="EXX48" s="887"/>
      <c r="EXY48" s="887"/>
      <c r="EXZ48" s="887"/>
      <c r="EYA48" s="887"/>
      <c r="EYB48" s="887"/>
      <c r="EYC48" s="887"/>
      <c r="EYD48" s="887"/>
      <c r="EYE48" s="887"/>
      <c r="EYF48" s="887"/>
      <c r="EYG48" s="887"/>
      <c r="EYH48" s="887"/>
      <c r="EYI48" s="887"/>
      <c r="EYJ48" s="887"/>
      <c r="EYK48" s="887"/>
      <c r="EYL48" s="887"/>
      <c r="EYM48" s="887"/>
      <c r="EYN48" s="887"/>
      <c r="EYO48" s="887"/>
      <c r="EYP48" s="887"/>
      <c r="EYQ48" s="887"/>
      <c r="EYR48" s="887"/>
      <c r="EYS48" s="887"/>
      <c r="EYT48" s="887"/>
      <c r="EYU48" s="887"/>
      <c r="EYV48" s="887"/>
      <c r="EYW48" s="887"/>
      <c r="EYX48" s="887"/>
      <c r="EYY48" s="887"/>
      <c r="EYZ48" s="887"/>
      <c r="EZA48" s="887"/>
      <c r="EZB48" s="887"/>
      <c r="EZC48" s="887"/>
      <c r="EZD48" s="887"/>
      <c r="EZE48" s="887"/>
      <c r="EZF48" s="887"/>
      <c r="EZG48" s="887"/>
      <c r="EZH48" s="887"/>
      <c r="EZI48" s="887"/>
      <c r="EZJ48" s="887"/>
      <c r="EZK48" s="887"/>
      <c r="EZL48" s="887"/>
      <c r="EZM48" s="887"/>
      <c r="EZN48" s="887"/>
      <c r="EZO48" s="887"/>
      <c r="EZP48" s="887"/>
      <c r="EZQ48" s="887"/>
      <c r="EZR48" s="887"/>
      <c r="EZS48" s="887"/>
      <c r="EZT48" s="887"/>
      <c r="EZU48" s="887"/>
      <c r="EZV48" s="887"/>
      <c r="EZW48" s="887"/>
      <c r="EZX48" s="887"/>
      <c r="EZY48" s="887"/>
      <c r="EZZ48" s="887"/>
      <c r="FAA48" s="887"/>
      <c r="FAB48" s="887"/>
      <c r="FAC48" s="887"/>
      <c r="FAD48" s="887"/>
      <c r="FAE48" s="887"/>
      <c r="FAF48" s="887"/>
      <c r="FAG48" s="887"/>
      <c r="FAH48" s="887"/>
      <c r="FAI48" s="887"/>
      <c r="FAJ48" s="887"/>
      <c r="FAK48" s="887"/>
      <c r="FAL48" s="887"/>
      <c r="FAM48" s="887"/>
      <c r="FAN48" s="887"/>
      <c r="FAO48" s="887"/>
      <c r="FAP48" s="887"/>
      <c r="FAQ48" s="887"/>
      <c r="FAR48" s="887"/>
      <c r="FAS48" s="887"/>
      <c r="FAT48" s="887"/>
      <c r="FAU48" s="887"/>
      <c r="FAV48" s="887"/>
      <c r="FAW48" s="887"/>
      <c r="FAX48" s="887"/>
      <c r="FAY48" s="887"/>
      <c r="FAZ48" s="887"/>
      <c r="FBA48" s="887"/>
      <c r="FBB48" s="887"/>
      <c r="FBC48" s="887"/>
      <c r="FBD48" s="887"/>
      <c r="FBE48" s="887"/>
      <c r="FBF48" s="887"/>
      <c r="FBG48" s="887"/>
      <c r="FBH48" s="887"/>
      <c r="FBI48" s="887"/>
      <c r="FBJ48" s="887"/>
      <c r="FBK48" s="887"/>
      <c r="FBL48" s="887"/>
      <c r="FBM48" s="887"/>
      <c r="FBN48" s="887"/>
      <c r="FBO48" s="887"/>
      <c r="FBP48" s="887"/>
      <c r="FBQ48" s="887"/>
      <c r="FBR48" s="887"/>
      <c r="FBS48" s="887"/>
      <c r="FBT48" s="887"/>
      <c r="FBU48" s="887"/>
      <c r="FBV48" s="887"/>
      <c r="FBW48" s="887"/>
      <c r="FBX48" s="887"/>
      <c r="FBY48" s="887"/>
      <c r="FBZ48" s="887"/>
      <c r="FCA48" s="887"/>
      <c r="FCB48" s="887"/>
      <c r="FCC48" s="887"/>
      <c r="FCD48" s="887"/>
      <c r="FCE48" s="887"/>
      <c r="FCF48" s="887"/>
      <c r="FCG48" s="887"/>
      <c r="FCH48" s="887"/>
      <c r="FCI48" s="887"/>
      <c r="FCJ48" s="887"/>
      <c r="FCK48" s="887"/>
      <c r="FCL48" s="887"/>
      <c r="FCM48" s="887"/>
      <c r="FCN48" s="887"/>
      <c r="FCO48" s="887"/>
      <c r="FCP48" s="887"/>
      <c r="FCQ48" s="887"/>
      <c r="FCR48" s="887"/>
      <c r="FCS48" s="887"/>
      <c r="FCT48" s="887"/>
      <c r="FCU48" s="887"/>
      <c r="FCV48" s="887"/>
      <c r="FCW48" s="887"/>
      <c r="FCX48" s="887"/>
      <c r="FCY48" s="887"/>
      <c r="FCZ48" s="887"/>
      <c r="FDA48" s="887"/>
      <c r="FDB48" s="887"/>
      <c r="FDC48" s="887"/>
      <c r="FDD48" s="887"/>
      <c r="FDE48" s="887"/>
      <c r="FDF48" s="887"/>
      <c r="FDG48" s="887"/>
      <c r="FDH48" s="887"/>
      <c r="FDI48" s="887"/>
      <c r="FDJ48" s="887"/>
      <c r="FDK48" s="887"/>
      <c r="FDL48" s="887"/>
      <c r="FDM48" s="887"/>
      <c r="FDN48" s="887"/>
      <c r="FDO48" s="887"/>
      <c r="FDP48" s="887"/>
      <c r="FDQ48" s="887"/>
      <c r="FDR48" s="887"/>
      <c r="FDS48" s="887"/>
      <c r="FDT48" s="887"/>
      <c r="FDU48" s="887"/>
      <c r="FDV48" s="887"/>
      <c r="FDW48" s="887"/>
      <c r="FDX48" s="887"/>
      <c r="FDY48" s="887"/>
      <c r="FDZ48" s="887"/>
      <c r="FEA48" s="887"/>
      <c r="FEB48" s="887"/>
      <c r="FEC48" s="887"/>
      <c r="FED48" s="887"/>
      <c r="FEE48" s="887"/>
      <c r="FEF48" s="887"/>
      <c r="FEG48" s="887"/>
      <c r="FEH48" s="887"/>
      <c r="FEI48" s="887"/>
      <c r="FEJ48" s="887"/>
      <c r="FEK48" s="887"/>
      <c r="FEL48" s="887"/>
      <c r="FEM48" s="887"/>
      <c r="FEN48" s="887"/>
      <c r="FEO48" s="887"/>
      <c r="FEP48" s="887"/>
      <c r="FEQ48" s="887"/>
      <c r="FER48" s="887"/>
      <c r="FES48" s="887"/>
      <c r="FET48" s="887"/>
      <c r="FEU48" s="887"/>
      <c r="FEV48" s="887"/>
      <c r="FEW48" s="887"/>
      <c r="FEX48" s="887"/>
      <c r="FEY48" s="887"/>
      <c r="FEZ48" s="887"/>
      <c r="FFA48" s="887"/>
      <c r="FFB48" s="887"/>
      <c r="FFC48" s="887"/>
      <c r="FFD48" s="887"/>
      <c r="FFE48" s="887"/>
      <c r="FFF48" s="887"/>
      <c r="FFG48" s="887"/>
      <c r="FFH48" s="887"/>
      <c r="FFI48" s="887"/>
      <c r="FFJ48" s="887"/>
      <c r="FFK48" s="887"/>
      <c r="FFL48" s="887"/>
      <c r="FFM48" s="887"/>
      <c r="FFN48" s="887"/>
      <c r="FFO48" s="887"/>
      <c r="FFP48" s="887"/>
      <c r="FFQ48" s="887"/>
      <c r="FFR48" s="887"/>
      <c r="FFS48" s="887"/>
      <c r="FFT48" s="887"/>
      <c r="FFU48" s="887"/>
      <c r="FFV48" s="887"/>
      <c r="FFW48" s="887"/>
      <c r="FFX48" s="887"/>
      <c r="FFY48" s="887"/>
      <c r="FFZ48" s="887"/>
      <c r="FGA48" s="887"/>
      <c r="FGB48" s="887"/>
      <c r="FGC48" s="887"/>
      <c r="FGD48" s="887"/>
      <c r="FGE48" s="887"/>
      <c r="FGF48" s="887"/>
      <c r="FGG48" s="887"/>
      <c r="FGH48" s="887"/>
      <c r="FGI48" s="887"/>
      <c r="FGJ48" s="887"/>
      <c r="FGK48" s="887"/>
      <c r="FGL48" s="887"/>
      <c r="FGM48" s="887"/>
      <c r="FGN48" s="887"/>
      <c r="FGO48" s="887"/>
      <c r="FGP48" s="887"/>
      <c r="FGQ48" s="887"/>
      <c r="FGR48" s="887"/>
      <c r="FGS48" s="887"/>
      <c r="FGT48" s="887"/>
      <c r="FGU48" s="887"/>
      <c r="FGV48" s="887"/>
      <c r="FGW48" s="887"/>
      <c r="FGX48" s="887"/>
      <c r="FGY48" s="887"/>
      <c r="FGZ48" s="887"/>
      <c r="FHA48" s="887"/>
      <c r="FHB48" s="887"/>
      <c r="FHC48" s="887"/>
      <c r="FHD48" s="887"/>
      <c r="FHE48" s="887"/>
      <c r="FHF48" s="887"/>
      <c r="FHG48" s="887"/>
      <c r="FHH48" s="887"/>
      <c r="FHI48" s="887"/>
      <c r="FHJ48" s="887"/>
      <c r="FHK48" s="887"/>
      <c r="FHL48" s="887"/>
      <c r="FHM48" s="887"/>
      <c r="FHN48" s="887"/>
      <c r="FHO48" s="887"/>
      <c r="FHP48" s="887"/>
      <c r="FHQ48" s="887"/>
      <c r="FHR48" s="887"/>
      <c r="FHS48" s="887"/>
      <c r="FHT48" s="887"/>
      <c r="FHU48" s="887"/>
      <c r="FHV48" s="887"/>
      <c r="FHW48" s="887"/>
      <c r="FHX48" s="887"/>
      <c r="FHY48" s="887"/>
      <c r="FHZ48" s="887"/>
      <c r="FIA48" s="887"/>
      <c r="FIB48" s="887"/>
      <c r="FIC48" s="887"/>
      <c r="FID48" s="887"/>
      <c r="FIE48" s="887"/>
      <c r="FIF48" s="887"/>
      <c r="FIG48" s="887"/>
      <c r="FIH48" s="887"/>
      <c r="FII48" s="887"/>
      <c r="FIJ48" s="887"/>
      <c r="FIK48" s="887"/>
      <c r="FIL48" s="887"/>
      <c r="FIM48" s="887"/>
      <c r="FIN48" s="887"/>
      <c r="FIO48" s="887"/>
      <c r="FIP48" s="887"/>
      <c r="FIQ48" s="887"/>
      <c r="FIR48" s="887"/>
      <c r="FIS48" s="887"/>
      <c r="FIT48" s="887"/>
      <c r="FIU48" s="887"/>
      <c r="FIV48" s="887"/>
      <c r="FIW48" s="887"/>
      <c r="FIX48" s="887"/>
      <c r="FIY48" s="887"/>
      <c r="FIZ48" s="887"/>
      <c r="FJA48" s="887"/>
      <c r="FJB48" s="887"/>
      <c r="FJC48" s="887"/>
      <c r="FJD48" s="887"/>
      <c r="FJE48" s="887"/>
      <c r="FJF48" s="887"/>
      <c r="FJG48" s="887"/>
      <c r="FJH48" s="887"/>
      <c r="FJI48" s="887"/>
      <c r="FJJ48" s="887"/>
      <c r="FJK48" s="887"/>
      <c r="FJL48" s="887"/>
      <c r="FJM48" s="887"/>
      <c r="FJN48" s="887"/>
      <c r="FJO48" s="887"/>
      <c r="FJP48" s="887"/>
      <c r="FJQ48" s="887"/>
      <c r="FJR48" s="887"/>
      <c r="FJS48" s="887"/>
      <c r="FJT48" s="887"/>
      <c r="FJU48" s="887"/>
      <c r="FJV48" s="887"/>
      <c r="FJW48" s="887"/>
      <c r="FJX48" s="887"/>
      <c r="FJY48" s="887"/>
      <c r="FJZ48" s="887"/>
      <c r="FKA48" s="887"/>
      <c r="FKB48" s="887"/>
      <c r="FKC48" s="887"/>
      <c r="FKD48" s="887"/>
      <c r="FKE48" s="887"/>
      <c r="FKF48" s="887"/>
      <c r="FKG48" s="887"/>
      <c r="FKH48" s="887"/>
      <c r="FKI48" s="887"/>
      <c r="FKJ48" s="887"/>
      <c r="FKK48" s="887"/>
      <c r="FKL48" s="887"/>
      <c r="FKM48" s="887"/>
      <c r="FKN48" s="887"/>
      <c r="FKO48" s="887"/>
      <c r="FKP48" s="887"/>
      <c r="FKQ48" s="887"/>
      <c r="FKR48" s="887"/>
      <c r="FKS48" s="887"/>
      <c r="FKT48" s="887"/>
      <c r="FKU48" s="887"/>
      <c r="FKV48" s="887"/>
      <c r="FKW48" s="887"/>
      <c r="FKX48" s="887"/>
      <c r="FKY48" s="887"/>
      <c r="FKZ48" s="887"/>
      <c r="FLA48" s="887"/>
      <c r="FLB48" s="887"/>
      <c r="FLC48" s="887"/>
      <c r="FLD48" s="887"/>
      <c r="FLE48" s="887"/>
      <c r="FLF48" s="887"/>
      <c r="FLG48" s="887"/>
      <c r="FLH48" s="887"/>
      <c r="FLI48" s="887"/>
      <c r="FLJ48" s="887"/>
      <c r="FLK48" s="887"/>
      <c r="FLL48" s="887"/>
      <c r="FLM48" s="887"/>
      <c r="FLN48" s="887"/>
      <c r="FLO48" s="887"/>
      <c r="FLP48" s="887"/>
      <c r="FLQ48" s="887"/>
      <c r="FLR48" s="887"/>
      <c r="FLS48" s="887"/>
      <c r="FLT48" s="887"/>
      <c r="FLU48" s="887"/>
      <c r="FLV48" s="887"/>
      <c r="FLW48" s="887"/>
      <c r="FLX48" s="887"/>
      <c r="FLY48" s="887"/>
      <c r="FLZ48" s="887"/>
      <c r="FMA48" s="887"/>
      <c r="FMB48" s="887"/>
      <c r="FMC48" s="887"/>
      <c r="FMD48" s="887"/>
      <c r="FME48" s="887"/>
      <c r="FMF48" s="887"/>
      <c r="FMG48" s="887"/>
      <c r="FMH48" s="887"/>
      <c r="FMI48" s="887"/>
      <c r="FMJ48" s="887"/>
      <c r="FMK48" s="887"/>
      <c r="FML48" s="887"/>
      <c r="FMM48" s="887"/>
      <c r="FMN48" s="887"/>
      <c r="FMO48" s="887"/>
      <c r="FMP48" s="887"/>
      <c r="FMQ48" s="887"/>
      <c r="FMR48" s="887"/>
      <c r="FMS48" s="887"/>
      <c r="FMT48" s="887"/>
      <c r="FMU48" s="887"/>
      <c r="FMV48" s="887"/>
      <c r="FMW48" s="887"/>
      <c r="FMX48" s="887"/>
      <c r="FMY48" s="887"/>
      <c r="FMZ48" s="887"/>
      <c r="FNA48" s="887"/>
      <c r="FNB48" s="887"/>
      <c r="FNC48" s="887"/>
      <c r="FND48" s="887"/>
      <c r="FNE48" s="887"/>
      <c r="FNF48" s="887"/>
      <c r="FNG48" s="887"/>
      <c r="FNH48" s="887"/>
      <c r="FNI48" s="887"/>
      <c r="FNJ48" s="887"/>
      <c r="FNK48" s="887"/>
      <c r="FNL48" s="887"/>
      <c r="FNM48" s="887"/>
      <c r="FNN48" s="887"/>
      <c r="FNO48" s="887"/>
      <c r="FNP48" s="887"/>
      <c r="FNQ48" s="887"/>
      <c r="FNR48" s="887"/>
      <c r="FNS48" s="887"/>
      <c r="FNT48" s="887"/>
      <c r="FNU48" s="887"/>
      <c r="FNV48" s="887"/>
      <c r="FNW48" s="887"/>
      <c r="FNX48" s="887"/>
      <c r="FNY48" s="887"/>
      <c r="FNZ48" s="887"/>
      <c r="FOA48" s="887"/>
      <c r="FOB48" s="887"/>
      <c r="FOC48" s="887"/>
      <c r="FOD48" s="887"/>
      <c r="FOE48" s="887"/>
      <c r="FOF48" s="887"/>
      <c r="FOG48" s="887"/>
      <c r="FOH48" s="887"/>
      <c r="FOI48" s="887"/>
      <c r="FOJ48" s="887"/>
      <c r="FOK48" s="887"/>
      <c r="FOL48" s="887"/>
      <c r="FOM48" s="887"/>
      <c r="FON48" s="887"/>
      <c r="FOO48" s="887"/>
      <c r="FOP48" s="887"/>
      <c r="FOQ48" s="887"/>
      <c r="FOR48" s="887"/>
      <c r="FOS48" s="887"/>
      <c r="FOT48" s="887"/>
      <c r="FOU48" s="887"/>
      <c r="FOV48" s="887"/>
      <c r="FOW48" s="887"/>
      <c r="FOX48" s="887"/>
      <c r="FOY48" s="887"/>
      <c r="FOZ48" s="887"/>
      <c r="FPA48" s="887"/>
      <c r="FPB48" s="887"/>
      <c r="FPC48" s="887"/>
      <c r="FPD48" s="887"/>
      <c r="FPE48" s="887"/>
      <c r="FPF48" s="887"/>
      <c r="FPG48" s="887"/>
      <c r="FPH48" s="887"/>
      <c r="FPI48" s="887"/>
      <c r="FPJ48" s="887"/>
      <c r="FPK48" s="887"/>
      <c r="FPL48" s="887"/>
      <c r="FPM48" s="887"/>
      <c r="FPN48" s="887"/>
      <c r="FPO48" s="887"/>
      <c r="FPP48" s="887"/>
      <c r="FPQ48" s="887"/>
      <c r="FPR48" s="887"/>
      <c r="FPS48" s="887"/>
      <c r="FPT48" s="887"/>
      <c r="FPU48" s="887"/>
      <c r="FPV48" s="887"/>
      <c r="FPW48" s="887"/>
      <c r="FPX48" s="887"/>
      <c r="FPY48" s="887"/>
      <c r="FPZ48" s="887"/>
      <c r="FQA48" s="887"/>
      <c r="FQB48" s="887"/>
      <c r="FQC48" s="887"/>
      <c r="FQD48" s="887"/>
      <c r="FQE48" s="887"/>
      <c r="FQF48" s="887"/>
      <c r="FQG48" s="887"/>
      <c r="FQH48" s="887"/>
      <c r="FQI48" s="887"/>
      <c r="FQJ48" s="887"/>
      <c r="FQK48" s="887"/>
      <c r="FQL48" s="887"/>
      <c r="FQM48" s="887"/>
      <c r="FQN48" s="887"/>
      <c r="FQO48" s="887"/>
      <c r="FQP48" s="887"/>
      <c r="FQQ48" s="887"/>
      <c r="FQR48" s="887"/>
      <c r="FQS48" s="887"/>
      <c r="FQT48" s="887"/>
      <c r="FQU48" s="887"/>
      <c r="FQV48" s="887"/>
      <c r="FQW48" s="887"/>
      <c r="FQX48" s="887"/>
      <c r="FQY48" s="887"/>
      <c r="FQZ48" s="887"/>
      <c r="FRA48" s="887"/>
      <c r="FRB48" s="887"/>
      <c r="FRC48" s="887"/>
      <c r="FRD48" s="887"/>
      <c r="FRE48" s="887"/>
      <c r="FRF48" s="887"/>
      <c r="FRG48" s="887"/>
      <c r="FRH48" s="887"/>
      <c r="FRI48" s="887"/>
      <c r="FRJ48" s="887"/>
      <c r="FRK48" s="887"/>
      <c r="FRL48" s="887"/>
      <c r="FRM48" s="887"/>
      <c r="FRN48" s="887"/>
      <c r="FRO48" s="887"/>
      <c r="FRP48" s="887"/>
      <c r="FRQ48" s="887"/>
      <c r="FRR48" s="887"/>
      <c r="FRS48" s="887"/>
      <c r="FRT48" s="887"/>
      <c r="FRU48" s="887"/>
      <c r="FRV48" s="887"/>
      <c r="FRW48" s="887"/>
      <c r="FRX48" s="887"/>
      <c r="FRY48" s="887"/>
      <c r="FRZ48" s="887"/>
      <c r="FSA48" s="887"/>
      <c r="FSB48" s="887"/>
      <c r="FSC48" s="887"/>
      <c r="FSD48" s="887"/>
      <c r="FSE48" s="887"/>
      <c r="FSF48" s="887"/>
      <c r="FSG48" s="887"/>
      <c r="FSH48" s="887"/>
      <c r="FSI48" s="887"/>
      <c r="FSJ48" s="887"/>
      <c r="FSK48" s="887"/>
      <c r="FSL48" s="887"/>
      <c r="FSM48" s="887"/>
      <c r="FSN48" s="887"/>
      <c r="FSO48" s="887"/>
      <c r="FSP48" s="887"/>
      <c r="FSQ48" s="887"/>
      <c r="FSR48" s="887"/>
      <c r="FSS48" s="887"/>
      <c r="FST48" s="887"/>
      <c r="FSU48" s="887"/>
      <c r="FSV48" s="887"/>
      <c r="FSW48" s="887"/>
      <c r="FSX48" s="887"/>
      <c r="FSY48" s="887"/>
      <c r="FSZ48" s="887"/>
      <c r="FTA48" s="887"/>
      <c r="FTB48" s="887"/>
      <c r="FTC48" s="887"/>
      <c r="FTD48" s="887"/>
      <c r="FTE48" s="887"/>
      <c r="FTF48" s="887"/>
      <c r="FTG48" s="887"/>
      <c r="FTH48" s="887"/>
      <c r="FTI48" s="887"/>
      <c r="FTJ48" s="887"/>
      <c r="FTK48" s="887"/>
      <c r="FTL48" s="887"/>
      <c r="FTM48" s="887"/>
      <c r="FTN48" s="887"/>
      <c r="FTO48" s="887"/>
      <c r="FTP48" s="887"/>
      <c r="FTQ48" s="887"/>
      <c r="FTR48" s="887"/>
      <c r="FTS48" s="887"/>
      <c r="FTT48" s="887"/>
      <c r="FTU48" s="887"/>
      <c r="FTV48" s="887"/>
      <c r="FTW48" s="887"/>
      <c r="FTX48" s="887"/>
      <c r="FTY48" s="887"/>
      <c r="FTZ48" s="887"/>
      <c r="FUA48" s="887"/>
      <c r="FUB48" s="887"/>
      <c r="FUC48" s="887"/>
      <c r="FUD48" s="887"/>
      <c r="FUE48" s="887"/>
      <c r="FUF48" s="887"/>
      <c r="FUG48" s="887"/>
      <c r="FUH48" s="887"/>
      <c r="FUI48" s="887"/>
      <c r="FUJ48" s="887"/>
      <c r="FUK48" s="887"/>
      <c r="FUL48" s="887"/>
      <c r="FUM48" s="887"/>
      <c r="FUN48" s="887"/>
      <c r="FUO48" s="887"/>
      <c r="FUP48" s="887"/>
      <c r="FUQ48" s="887"/>
      <c r="FUR48" s="887"/>
      <c r="FUS48" s="887"/>
      <c r="FUT48" s="887"/>
      <c r="FUU48" s="887"/>
      <c r="FUV48" s="887"/>
      <c r="FUW48" s="887"/>
      <c r="FUX48" s="887"/>
      <c r="FUY48" s="887"/>
      <c r="FUZ48" s="887"/>
      <c r="FVA48" s="887"/>
      <c r="FVB48" s="887"/>
      <c r="FVC48" s="887"/>
      <c r="FVD48" s="887"/>
      <c r="FVE48" s="887"/>
      <c r="FVF48" s="887"/>
      <c r="FVG48" s="887"/>
      <c r="FVH48" s="887"/>
      <c r="FVI48" s="887"/>
      <c r="FVJ48" s="887"/>
      <c r="FVK48" s="887"/>
      <c r="FVL48" s="887"/>
      <c r="FVM48" s="887"/>
      <c r="FVN48" s="887"/>
      <c r="FVO48" s="887"/>
      <c r="FVP48" s="887"/>
      <c r="FVQ48" s="887"/>
      <c r="FVR48" s="887"/>
      <c r="FVS48" s="887"/>
      <c r="FVT48" s="887"/>
      <c r="FVU48" s="887"/>
      <c r="FVV48" s="887"/>
      <c r="FVW48" s="887"/>
      <c r="FVX48" s="887"/>
      <c r="FVY48" s="887"/>
      <c r="FVZ48" s="887"/>
      <c r="FWA48" s="887"/>
      <c r="FWB48" s="887"/>
      <c r="FWC48" s="887"/>
      <c r="FWD48" s="887"/>
      <c r="FWE48" s="887"/>
      <c r="FWF48" s="887"/>
      <c r="FWG48" s="887"/>
      <c r="FWH48" s="887"/>
      <c r="FWI48" s="887"/>
      <c r="FWJ48" s="887"/>
      <c r="FWK48" s="887"/>
      <c r="FWL48" s="887"/>
      <c r="FWM48" s="887"/>
      <c r="FWN48" s="887"/>
      <c r="FWO48" s="887"/>
      <c r="FWP48" s="887"/>
      <c r="FWQ48" s="887"/>
      <c r="FWR48" s="887"/>
      <c r="FWS48" s="887"/>
      <c r="FWT48" s="887"/>
      <c r="FWU48" s="887"/>
      <c r="FWV48" s="887"/>
      <c r="FWW48" s="887"/>
      <c r="FWX48" s="887"/>
      <c r="FWY48" s="887"/>
      <c r="FWZ48" s="887"/>
      <c r="FXA48" s="887"/>
      <c r="FXB48" s="887"/>
      <c r="FXC48" s="887"/>
      <c r="FXD48" s="887"/>
      <c r="FXE48" s="887"/>
      <c r="FXF48" s="887"/>
      <c r="FXG48" s="887"/>
      <c r="FXH48" s="887"/>
      <c r="FXI48" s="887"/>
      <c r="FXJ48" s="887"/>
      <c r="FXK48" s="887"/>
      <c r="FXL48" s="887"/>
      <c r="FXM48" s="887"/>
      <c r="FXN48" s="887"/>
      <c r="FXO48" s="887"/>
      <c r="FXP48" s="887"/>
      <c r="FXQ48" s="887"/>
      <c r="FXR48" s="887"/>
      <c r="FXS48" s="887"/>
      <c r="FXT48" s="887"/>
      <c r="FXU48" s="887"/>
      <c r="FXV48" s="887"/>
      <c r="FXW48" s="887"/>
      <c r="FXX48" s="887"/>
      <c r="FXY48" s="887"/>
      <c r="FXZ48" s="887"/>
      <c r="FYA48" s="887"/>
      <c r="FYB48" s="887"/>
      <c r="FYC48" s="887"/>
      <c r="FYD48" s="887"/>
      <c r="FYE48" s="887"/>
      <c r="FYF48" s="887"/>
      <c r="FYG48" s="887"/>
      <c r="FYH48" s="887"/>
      <c r="FYI48" s="887"/>
      <c r="FYJ48" s="887"/>
      <c r="FYK48" s="887"/>
      <c r="FYL48" s="887"/>
      <c r="FYM48" s="887"/>
      <c r="FYN48" s="887"/>
      <c r="FYO48" s="887"/>
      <c r="FYP48" s="887"/>
      <c r="FYQ48" s="887"/>
      <c r="FYR48" s="887"/>
      <c r="FYS48" s="887"/>
      <c r="FYT48" s="887"/>
      <c r="FYU48" s="887"/>
      <c r="FYV48" s="887"/>
      <c r="FYW48" s="887"/>
      <c r="FYX48" s="887"/>
      <c r="FYY48" s="887"/>
      <c r="FYZ48" s="887"/>
      <c r="FZA48" s="887"/>
      <c r="FZB48" s="887"/>
      <c r="FZC48" s="887"/>
      <c r="FZD48" s="887"/>
      <c r="FZE48" s="887"/>
      <c r="FZF48" s="887"/>
      <c r="FZG48" s="887"/>
      <c r="FZH48" s="887"/>
      <c r="FZI48" s="887"/>
      <c r="FZJ48" s="887"/>
      <c r="FZK48" s="887"/>
      <c r="FZL48" s="887"/>
      <c r="FZM48" s="887"/>
      <c r="FZN48" s="887"/>
      <c r="FZO48" s="887"/>
      <c r="FZP48" s="887"/>
      <c r="FZQ48" s="887"/>
      <c r="FZR48" s="887"/>
      <c r="FZS48" s="887"/>
      <c r="FZT48" s="887"/>
      <c r="FZU48" s="887"/>
      <c r="FZV48" s="887"/>
      <c r="FZW48" s="887"/>
      <c r="FZX48" s="887"/>
      <c r="FZY48" s="887"/>
      <c r="FZZ48" s="887"/>
      <c r="GAA48" s="887"/>
      <c r="GAB48" s="887"/>
      <c r="GAC48" s="887"/>
      <c r="GAD48" s="887"/>
      <c r="GAE48" s="887"/>
      <c r="GAF48" s="887"/>
      <c r="GAG48" s="887"/>
      <c r="GAH48" s="887"/>
      <c r="GAI48" s="887"/>
      <c r="GAJ48" s="887"/>
      <c r="GAK48" s="887"/>
      <c r="GAL48" s="887"/>
      <c r="GAM48" s="887"/>
      <c r="GAN48" s="887"/>
      <c r="GAO48" s="887"/>
      <c r="GAP48" s="887"/>
      <c r="GAQ48" s="887"/>
      <c r="GAR48" s="887"/>
      <c r="GAS48" s="887"/>
      <c r="GAT48" s="887"/>
      <c r="GAU48" s="887"/>
      <c r="GAV48" s="887"/>
      <c r="GAW48" s="887"/>
      <c r="GAX48" s="887"/>
      <c r="GAY48" s="887"/>
      <c r="GAZ48" s="887"/>
      <c r="GBA48" s="887"/>
      <c r="GBB48" s="887"/>
      <c r="GBC48" s="887"/>
      <c r="GBD48" s="887"/>
      <c r="GBE48" s="887"/>
      <c r="GBF48" s="887"/>
      <c r="GBG48" s="887"/>
      <c r="GBH48" s="887"/>
      <c r="GBI48" s="887"/>
      <c r="GBJ48" s="887"/>
      <c r="GBK48" s="887"/>
      <c r="GBL48" s="887"/>
      <c r="GBM48" s="887"/>
      <c r="GBN48" s="887"/>
      <c r="GBO48" s="887"/>
      <c r="GBP48" s="887"/>
      <c r="GBQ48" s="887"/>
      <c r="GBR48" s="887"/>
      <c r="GBS48" s="887"/>
      <c r="GBT48" s="887"/>
      <c r="GBU48" s="887"/>
      <c r="GBV48" s="887"/>
      <c r="GBW48" s="887"/>
      <c r="GBX48" s="887"/>
      <c r="GBY48" s="887"/>
      <c r="GBZ48" s="887"/>
      <c r="GCA48" s="887"/>
      <c r="GCB48" s="887"/>
      <c r="GCC48" s="887"/>
      <c r="GCD48" s="887"/>
      <c r="GCE48" s="887"/>
      <c r="GCF48" s="887"/>
      <c r="GCG48" s="887"/>
      <c r="GCH48" s="887"/>
      <c r="GCI48" s="887"/>
      <c r="GCJ48" s="887"/>
      <c r="GCK48" s="887"/>
      <c r="GCL48" s="887"/>
      <c r="GCM48" s="887"/>
      <c r="GCN48" s="887"/>
      <c r="GCO48" s="887"/>
      <c r="GCP48" s="887"/>
      <c r="GCQ48" s="887"/>
      <c r="GCR48" s="887"/>
      <c r="GCS48" s="887"/>
      <c r="GCT48" s="887"/>
      <c r="GCU48" s="887"/>
      <c r="GCV48" s="887"/>
      <c r="GCW48" s="887"/>
      <c r="GCX48" s="887"/>
      <c r="GCY48" s="887"/>
      <c r="GCZ48" s="887"/>
      <c r="GDA48" s="887"/>
      <c r="GDB48" s="887"/>
      <c r="GDC48" s="887"/>
      <c r="GDD48" s="887"/>
      <c r="GDE48" s="887"/>
      <c r="GDF48" s="887"/>
      <c r="GDG48" s="887"/>
      <c r="GDH48" s="887"/>
      <c r="GDI48" s="887"/>
      <c r="GDJ48" s="887"/>
      <c r="GDK48" s="887"/>
      <c r="GDL48" s="887"/>
      <c r="GDM48" s="887"/>
      <c r="GDN48" s="887"/>
      <c r="GDO48" s="887"/>
      <c r="GDP48" s="887"/>
      <c r="GDQ48" s="887"/>
      <c r="GDR48" s="887"/>
      <c r="GDS48" s="887"/>
      <c r="GDT48" s="887"/>
      <c r="GDU48" s="887"/>
      <c r="GDV48" s="887"/>
      <c r="GDW48" s="887"/>
      <c r="GDX48" s="887"/>
      <c r="GDY48" s="887"/>
      <c r="GDZ48" s="887"/>
      <c r="GEA48" s="887"/>
      <c r="GEB48" s="887"/>
      <c r="GEC48" s="887"/>
      <c r="GED48" s="887"/>
      <c r="GEE48" s="887"/>
      <c r="GEF48" s="887"/>
      <c r="GEG48" s="887"/>
      <c r="GEH48" s="887"/>
      <c r="GEI48" s="887"/>
      <c r="GEJ48" s="887"/>
      <c r="GEK48" s="887"/>
      <c r="GEL48" s="887"/>
      <c r="GEM48" s="887"/>
      <c r="GEN48" s="887"/>
      <c r="GEO48" s="887"/>
      <c r="GEP48" s="887"/>
      <c r="GEQ48" s="887"/>
      <c r="GER48" s="887"/>
      <c r="GES48" s="887"/>
      <c r="GET48" s="887"/>
      <c r="GEU48" s="887"/>
      <c r="GEV48" s="887"/>
      <c r="GEW48" s="887"/>
      <c r="GEX48" s="887"/>
      <c r="GEY48" s="887"/>
      <c r="GEZ48" s="887"/>
      <c r="GFA48" s="887"/>
      <c r="GFB48" s="887"/>
      <c r="GFC48" s="887"/>
      <c r="GFD48" s="887"/>
      <c r="GFE48" s="887"/>
      <c r="GFF48" s="887"/>
      <c r="GFG48" s="887"/>
      <c r="GFH48" s="887"/>
      <c r="GFI48" s="887"/>
      <c r="GFJ48" s="887"/>
      <c r="GFK48" s="887"/>
      <c r="GFL48" s="887"/>
      <c r="GFM48" s="887"/>
      <c r="GFN48" s="887"/>
      <c r="GFO48" s="887"/>
      <c r="GFP48" s="887"/>
      <c r="GFQ48" s="887"/>
      <c r="GFR48" s="887"/>
      <c r="GFS48" s="887"/>
      <c r="GFT48" s="887"/>
      <c r="GFU48" s="887"/>
      <c r="GFV48" s="887"/>
      <c r="GFW48" s="887"/>
      <c r="GFX48" s="887"/>
      <c r="GFY48" s="887"/>
      <c r="GFZ48" s="887"/>
      <c r="GGA48" s="887"/>
      <c r="GGB48" s="887"/>
      <c r="GGC48" s="887"/>
      <c r="GGD48" s="887"/>
      <c r="GGE48" s="887"/>
      <c r="GGF48" s="887"/>
      <c r="GGG48" s="887"/>
      <c r="GGH48" s="887"/>
      <c r="GGI48" s="887"/>
      <c r="GGJ48" s="887"/>
      <c r="GGK48" s="887"/>
      <c r="GGL48" s="887"/>
      <c r="GGM48" s="887"/>
      <c r="GGN48" s="887"/>
      <c r="GGO48" s="887"/>
      <c r="GGP48" s="887"/>
      <c r="GGQ48" s="887"/>
      <c r="GGR48" s="887"/>
      <c r="GGS48" s="887"/>
      <c r="GGT48" s="887"/>
      <c r="GGU48" s="887"/>
      <c r="GGV48" s="887"/>
      <c r="GGW48" s="887"/>
      <c r="GGX48" s="887"/>
      <c r="GGY48" s="887"/>
      <c r="GGZ48" s="887"/>
      <c r="GHA48" s="887"/>
      <c r="GHB48" s="887"/>
      <c r="GHC48" s="887"/>
      <c r="GHD48" s="887"/>
      <c r="GHE48" s="887"/>
      <c r="GHF48" s="887"/>
      <c r="GHG48" s="887"/>
      <c r="GHH48" s="887"/>
      <c r="GHI48" s="887"/>
      <c r="GHJ48" s="887"/>
      <c r="GHK48" s="887"/>
      <c r="GHL48" s="887"/>
      <c r="GHM48" s="887"/>
      <c r="GHN48" s="887"/>
      <c r="GHO48" s="887"/>
      <c r="GHP48" s="887"/>
      <c r="GHQ48" s="887"/>
      <c r="GHR48" s="887"/>
      <c r="GHS48" s="887"/>
      <c r="GHT48" s="887"/>
      <c r="GHU48" s="887"/>
      <c r="GHV48" s="887"/>
      <c r="GHW48" s="887"/>
      <c r="GHX48" s="887"/>
      <c r="GHY48" s="887"/>
      <c r="GHZ48" s="887"/>
      <c r="GIA48" s="887"/>
      <c r="GIB48" s="887"/>
      <c r="GIC48" s="887"/>
      <c r="GID48" s="887"/>
      <c r="GIE48" s="887"/>
      <c r="GIF48" s="887"/>
      <c r="GIG48" s="887"/>
      <c r="GIH48" s="887"/>
      <c r="GII48" s="887"/>
      <c r="GIJ48" s="887"/>
      <c r="GIK48" s="887"/>
      <c r="GIL48" s="887"/>
      <c r="GIM48" s="887"/>
      <c r="GIN48" s="887"/>
      <c r="GIO48" s="887"/>
      <c r="GIP48" s="887"/>
      <c r="GIQ48" s="887"/>
      <c r="GIR48" s="887"/>
      <c r="GIS48" s="887"/>
      <c r="GIT48" s="887"/>
      <c r="GIU48" s="887"/>
      <c r="GIV48" s="887"/>
      <c r="GIW48" s="887"/>
      <c r="GIX48" s="887"/>
      <c r="GIY48" s="887"/>
      <c r="GIZ48" s="887"/>
      <c r="GJA48" s="887"/>
      <c r="GJB48" s="887"/>
      <c r="GJC48" s="887"/>
      <c r="GJD48" s="887"/>
      <c r="GJE48" s="887"/>
      <c r="GJF48" s="887"/>
      <c r="GJG48" s="887"/>
      <c r="GJH48" s="887"/>
      <c r="GJI48" s="887"/>
      <c r="GJJ48" s="887"/>
      <c r="GJK48" s="887"/>
      <c r="GJL48" s="887"/>
      <c r="GJM48" s="887"/>
      <c r="GJN48" s="887"/>
      <c r="GJO48" s="887"/>
      <c r="GJP48" s="887"/>
      <c r="GJQ48" s="887"/>
      <c r="GJR48" s="887"/>
      <c r="GJS48" s="887"/>
      <c r="GJT48" s="887"/>
      <c r="GJU48" s="887"/>
      <c r="GJV48" s="887"/>
      <c r="GJW48" s="887"/>
      <c r="GJX48" s="887"/>
      <c r="GJY48" s="887"/>
      <c r="GJZ48" s="887"/>
      <c r="GKA48" s="887"/>
      <c r="GKB48" s="887"/>
      <c r="GKC48" s="887"/>
      <c r="GKD48" s="887"/>
      <c r="GKE48" s="887"/>
      <c r="GKF48" s="887"/>
      <c r="GKG48" s="887"/>
      <c r="GKH48" s="887"/>
      <c r="GKI48" s="887"/>
      <c r="GKJ48" s="887"/>
      <c r="GKK48" s="887"/>
      <c r="GKL48" s="887"/>
      <c r="GKM48" s="887"/>
      <c r="GKN48" s="887"/>
      <c r="GKO48" s="887"/>
      <c r="GKP48" s="887"/>
      <c r="GKQ48" s="887"/>
      <c r="GKR48" s="887"/>
      <c r="GKS48" s="887"/>
      <c r="GKT48" s="887"/>
      <c r="GKU48" s="887"/>
      <c r="GKV48" s="887"/>
      <c r="GKW48" s="887"/>
      <c r="GKX48" s="887"/>
      <c r="GKY48" s="887"/>
      <c r="GKZ48" s="887"/>
      <c r="GLA48" s="887"/>
      <c r="GLB48" s="887"/>
      <c r="GLC48" s="887"/>
      <c r="GLD48" s="887"/>
      <c r="GLE48" s="887"/>
      <c r="GLF48" s="887"/>
      <c r="GLG48" s="887"/>
      <c r="GLH48" s="887"/>
      <c r="GLI48" s="887"/>
      <c r="GLJ48" s="887"/>
      <c r="GLK48" s="887"/>
      <c r="GLL48" s="887"/>
      <c r="GLM48" s="887"/>
      <c r="GLN48" s="887"/>
      <c r="GLO48" s="887"/>
      <c r="GLP48" s="887"/>
      <c r="GLQ48" s="887"/>
      <c r="GLR48" s="887"/>
      <c r="GLS48" s="887"/>
      <c r="GLT48" s="887"/>
      <c r="GLU48" s="887"/>
      <c r="GLV48" s="887"/>
      <c r="GLW48" s="887"/>
      <c r="GLX48" s="887"/>
      <c r="GLY48" s="887"/>
      <c r="GLZ48" s="887"/>
      <c r="GMA48" s="887"/>
      <c r="GMB48" s="887"/>
      <c r="GMC48" s="887"/>
      <c r="GMD48" s="887"/>
      <c r="GME48" s="887"/>
      <c r="GMF48" s="887"/>
      <c r="GMG48" s="887"/>
      <c r="GMH48" s="887"/>
      <c r="GMI48" s="887"/>
      <c r="GMJ48" s="887"/>
      <c r="GMK48" s="887"/>
      <c r="GML48" s="887"/>
      <c r="GMM48" s="887"/>
      <c r="GMN48" s="887"/>
      <c r="GMO48" s="887"/>
      <c r="GMP48" s="887"/>
      <c r="GMQ48" s="887"/>
      <c r="GMR48" s="887"/>
      <c r="GMS48" s="887"/>
      <c r="GMT48" s="887"/>
      <c r="GMU48" s="887"/>
      <c r="GMV48" s="887"/>
      <c r="GMW48" s="887"/>
      <c r="GMX48" s="887"/>
      <c r="GMY48" s="887"/>
      <c r="GMZ48" s="887"/>
      <c r="GNA48" s="887"/>
      <c r="GNB48" s="887"/>
      <c r="GNC48" s="887"/>
      <c r="GND48" s="887"/>
      <c r="GNE48" s="887"/>
      <c r="GNF48" s="887"/>
      <c r="GNG48" s="887"/>
      <c r="GNH48" s="887"/>
      <c r="GNI48" s="887"/>
      <c r="GNJ48" s="887"/>
      <c r="GNK48" s="887"/>
      <c r="GNL48" s="887"/>
      <c r="GNM48" s="887"/>
      <c r="GNN48" s="887"/>
      <c r="GNO48" s="887"/>
      <c r="GNP48" s="887"/>
      <c r="GNQ48" s="887"/>
      <c r="GNR48" s="887"/>
      <c r="GNS48" s="887"/>
      <c r="GNT48" s="887"/>
      <c r="GNU48" s="887"/>
      <c r="GNV48" s="887"/>
      <c r="GNW48" s="887"/>
      <c r="GNX48" s="887"/>
      <c r="GNY48" s="887"/>
      <c r="GNZ48" s="887"/>
      <c r="GOA48" s="887"/>
      <c r="GOB48" s="887"/>
      <c r="GOC48" s="887"/>
      <c r="GOD48" s="887"/>
      <c r="GOE48" s="887"/>
      <c r="GOF48" s="887"/>
      <c r="GOG48" s="887"/>
      <c r="GOH48" s="887"/>
      <c r="GOI48" s="887"/>
      <c r="GOJ48" s="887"/>
      <c r="GOK48" s="887"/>
      <c r="GOL48" s="887"/>
      <c r="GOM48" s="887"/>
      <c r="GON48" s="887"/>
      <c r="GOO48" s="887"/>
      <c r="GOP48" s="887"/>
      <c r="GOQ48" s="887"/>
      <c r="GOR48" s="887"/>
      <c r="GOS48" s="887"/>
      <c r="GOT48" s="887"/>
      <c r="GOU48" s="887"/>
      <c r="GOV48" s="887"/>
      <c r="GOW48" s="887"/>
      <c r="GOX48" s="887"/>
      <c r="GOY48" s="887"/>
      <c r="GOZ48" s="887"/>
      <c r="GPA48" s="887"/>
      <c r="GPB48" s="887"/>
      <c r="GPC48" s="887"/>
      <c r="GPD48" s="887"/>
      <c r="GPE48" s="887"/>
      <c r="GPF48" s="887"/>
      <c r="GPG48" s="887"/>
      <c r="GPH48" s="887"/>
      <c r="GPI48" s="887"/>
      <c r="GPJ48" s="887"/>
      <c r="GPK48" s="887"/>
      <c r="GPL48" s="887"/>
      <c r="GPM48" s="887"/>
      <c r="GPN48" s="887"/>
      <c r="GPO48" s="887"/>
      <c r="GPP48" s="887"/>
      <c r="GPQ48" s="887"/>
      <c r="GPR48" s="887"/>
      <c r="GPS48" s="887"/>
      <c r="GPT48" s="887"/>
      <c r="GPU48" s="887"/>
      <c r="GPV48" s="887"/>
      <c r="GPW48" s="887"/>
      <c r="GPX48" s="887"/>
      <c r="GPY48" s="887"/>
      <c r="GPZ48" s="887"/>
      <c r="GQA48" s="887"/>
      <c r="GQB48" s="887"/>
      <c r="GQC48" s="887"/>
      <c r="GQD48" s="887"/>
      <c r="GQE48" s="887"/>
      <c r="GQF48" s="887"/>
      <c r="GQG48" s="887"/>
      <c r="GQH48" s="887"/>
      <c r="GQI48" s="887"/>
      <c r="GQJ48" s="887"/>
      <c r="GQK48" s="887"/>
      <c r="GQL48" s="887"/>
      <c r="GQM48" s="887"/>
      <c r="GQN48" s="887"/>
      <c r="GQO48" s="887"/>
      <c r="GQP48" s="887"/>
      <c r="GQQ48" s="887"/>
      <c r="GQR48" s="887"/>
      <c r="GQS48" s="887"/>
      <c r="GQT48" s="887"/>
      <c r="GQU48" s="887"/>
      <c r="GQV48" s="887"/>
      <c r="GQW48" s="887"/>
      <c r="GQX48" s="887"/>
      <c r="GQY48" s="887"/>
      <c r="GQZ48" s="887"/>
      <c r="GRA48" s="887"/>
      <c r="GRB48" s="887"/>
      <c r="GRC48" s="887"/>
      <c r="GRD48" s="887"/>
      <c r="GRE48" s="887"/>
      <c r="GRF48" s="887"/>
      <c r="GRG48" s="887"/>
      <c r="GRH48" s="887"/>
      <c r="GRI48" s="887"/>
      <c r="GRJ48" s="887"/>
      <c r="GRK48" s="887"/>
      <c r="GRL48" s="887"/>
      <c r="GRM48" s="887"/>
      <c r="GRN48" s="887"/>
      <c r="GRO48" s="887"/>
      <c r="GRP48" s="887"/>
      <c r="GRQ48" s="887"/>
      <c r="GRR48" s="887"/>
      <c r="GRS48" s="887"/>
      <c r="GRT48" s="887"/>
      <c r="GRU48" s="887"/>
      <c r="GRV48" s="887"/>
      <c r="GRW48" s="887"/>
      <c r="GRX48" s="887"/>
      <c r="GRY48" s="887"/>
      <c r="GRZ48" s="887"/>
      <c r="GSA48" s="887"/>
      <c r="GSB48" s="887"/>
      <c r="GSC48" s="887"/>
      <c r="GSD48" s="887"/>
      <c r="GSE48" s="887"/>
      <c r="GSF48" s="887"/>
      <c r="GSG48" s="887"/>
      <c r="GSH48" s="887"/>
      <c r="GSI48" s="887"/>
      <c r="GSJ48" s="887"/>
      <c r="GSK48" s="887"/>
      <c r="GSL48" s="887"/>
      <c r="GSM48" s="887"/>
      <c r="GSN48" s="887"/>
      <c r="GSO48" s="887"/>
      <c r="GSP48" s="887"/>
      <c r="GSQ48" s="887"/>
      <c r="GSR48" s="887"/>
      <c r="GSS48" s="887"/>
      <c r="GST48" s="887"/>
      <c r="GSU48" s="887"/>
      <c r="GSV48" s="887"/>
      <c r="GSW48" s="887"/>
      <c r="GSX48" s="887"/>
      <c r="GSY48" s="887"/>
      <c r="GSZ48" s="887"/>
      <c r="GTA48" s="887"/>
      <c r="GTB48" s="887"/>
      <c r="GTC48" s="887"/>
      <c r="GTD48" s="887"/>
      <c r="GTE48" s="887"/>
      <c r="GTF48" s="887"/>
      <c r="GTG48" s="887"/>
      <c r="GTH48" s="887"/>
      <c r="GTI48" s="887"/>
      <c r="GTJ48" s="887"/>
      <c r="GTK48" s="887"/>
      <c r="GTL48" s="887"/>
      <c r="GTM48" s="887"/>
      <c r="GTN48" s="887"/>
      <c r="GTO48" s="887"/>
      <c r="GTP48" s="887"/>
      <c r="GTQ48" s="887"/>
      <c r="GTR48" s="887"/>
      <c r="GTS48" s="887"/>
      <c r="GTT48" s="887"/>
      <c r="GTU48" s="887"/>
      <c r="GTV48" s="887"/>
      <c r="GTW48" s="887"/>
      <c r="GTX48" s="887"/>
      <c r="GTY48" s="887"/>
      <c r="GTZ48" s="887"/>
      <c r="GUA48" s="887"/>
      <c r="GUB48" s="887"/>
      <c r="GUC48" s="887"/>
      <c r="GUD48" s="887"/>
      <c r="GUE48" s="887"/>
      <c r="GUF48" s="887"/>
      <c r="GUG48" s="887"/>
      <c r="GUH48" s="887"/>
      <c r="GUI48" s="887"/>
      <c r="GUJ48" s="887"/>
      <c r="GUK48" s="887"/>
      <c r="GUL48" s="887"/>
      <c r="GUM48" s="887"/>
      <c r="GUN48" s="887"/>
      <c r="GUO48" s="887"/>
      <c r="GUP48" s="887"/>
      <c r="GUQ48" s="887"/>
      <c r="GUR48" s="887"/>
      <c r="GUS48" s="887"/>
      <c r="GUT48" s="887"/>
      <c r="GUU48" s="887"/>
      <c r="GUV48" s="887"/>
      <c r="GUW48" s="887"/>
      <c r="GUX48" s="887"/>
      <c r="GUY48" s="887"/>
      <c r="GUZ48" s="887"/>
      <c r="GVA48" s="887"/>
      <c r="GVB48" s="887"/>
      <c r="GVC48" s="887"/>
      <c r="GVD48" s="887"/>
      <c r="GVE48" s="887"/>
      <c r="GVF48" s="887"/>
      <c r="GVG48" s="887"/>
      <c r="GVH48" s="887"/>
      <c r="GVI48" s="887"/>
      <c r="GVJ48" s="887"/>
      <c r="GVK48" s="887"/>
      <c r="GVL48" s="887"/>
      <c r="GVM48" s="887"/>
      <c r="GVN48" s="887"/>
      <c r="GVO48" s="887"/>
      <c r="GVP48" s="887"/>
      <c r="GVQ48" s="887"/>
      <c r="GVR48" s="887"/>
      <c r="GVS48" s="887"/>
      <c r="GVT48" s="887"/>
      <c r="GVU48" s="887"/>
      <c r="GVV48" s="887"/>
      <c r="GVW48" s="887"/>
      <c r="GVX48" s="887"/>
      <c r="GVY48" s="887"/>
      <c r="GVZ48" s="887"/>
      <c r="GWA48" s="887"/>
      <c r="GWB48" s="887"/>
      <c r="GWC48" s="887"/>
      <c r="GWD48" s="887"/>
      <c r="GWE48" s="887"/>
      <c r="GWF48" s="887"/>
      <c r="GWG48" s="887"/>
      <c r="GWH48" s="887"/>
      <c r="GWI48" s="887"/>
      <c r="GWJ48" s="887"/>
      <c r="GWK48" s="887"/>
      <c r="GWL48" s="887"/>
      <c r="GWM48" s="887"/>
      <c r="GWN48" s="887"/>
      <c r="GWO48" s="887"/>
      <c r="GWP48" s="887"/>
      <c r="GWQ48" s="887"/>
      <c r="GWR48" s="887"/>
      <c r="GWS48" s="887"/>
      <c r="GWT48" s="887"/>
      <c r="GWU48" s="887"/>
      <c r="GWV48" s="887"/>
      <c r="GWW48" s="887"/>
      <c r="GWX48" s="887"/>
      <c r="GWY48" s="887"/>
      <c r="GWZ48" s="887"/>
      <c r="GXA48" s="887"/>
      <c r="GXB48" s="887"/>
      <c r="GXC48" s="887"/>
      <c r="GXD48" s="887"/>
      <c r="GXE48" s="887"/>
      <c r="GXF48" s="887"/>
      <c r="GXG48" s="887"/>
      <c r="GXH48" s="887"/>
      <c r="GXI48" s="887"/>
      <c r="GXJ48" s="887"/>
      <c r="GXK48" s="887"/>
      <c r="GXL48" s="887"/>
      <c r="GXM48" s="887"/>
      <c r="GXN48" s="887"/>
      <c r="GXO48" s="887"/>
      <c r="GXP48" s="887"/>
      <c r="GXQ48" s="887"/>
      <c r="GXR48" s="887"/>
      <c r="GXS48" s="887"/>
      <c r="GXT48" s="887"/>
      <c r="GXU48" s="887"/>
      <c r="GXV48" s="887"/>
      <c r="GXW48" s="887"/>
      <c r="GXX48" s="887"/>
      <c r="GXY48" s="887"/>
      <c r="GXZ48" s="887"/>
      <c r="GYA48" s="887"/>
      <c r="GYB48" s="887"/>
      <c r="GYC48" s="887"/>
      <c r="GYD48" s="887"/>
      <c r="GYE48" s="887"/>
      <c r="GYF48" s="887"/>
      <c r="GYG48" s="887"/>
      <c r="GYH48" s="887"/>
      <c r="GYI48" s="887"/>
      <c r="GYJ48" s="887"/>
      <c r="GYK48" s="887"/>
      <c r="GYL48" s="887"/>
      <c r="GYM48" s="887"/>
      <c r="GYN48" s="887"/>
      <c r="GYO48" s="887"/>
      <c r="GYP48" s="887"/>
      <c r="GYQ48" s="887"/>
      <c r="GYR48" s="887"/>
      <c r="GYS48" s="887"/>
      <c r="GYT48" s="887"/>
      <c r="GYU48" s="887"/>
      <c r="GYV48" s="887"/>
      <c r="GYW48" s="887"/>
      <c r="GYX48" s="887"/>
      <c r="GYY48" s="887"/>
      <c r="GYZ48" s="887"/>
      <c r="GZA48" s="887"/>
      <c r="GZB48" s="887"/>
      <c r="GZC48" s="887"/>
      <c r="GZD48" s="887"/>
      <c r="GZE48" s="887"/>
      <c r="GZF48" s="887"/>
      <c r="GZG48" s="887"/>
      <c r="GZH48" s="887"/>
      <c r="GZI48" s="887"/>
      <c r="GZJ48" s="887"/>
      <c r="GZK48" s="887"/>
      <c r="GZL48" s="887"/>
      <c r="GZM48" s="887"/>
      <c r="GZN48" s="887"/>
      <c r="GZO48" s="887"/>
      <c r="GZP48" s="887"/>
      <c r="GZQ48" s="887"/>
      <c r="GZR48" s="887"/>
      <c r="GZS48" s="887"/>
      <c r="GZT48" s="887"/>
      <c r="GZU48" s="887"/>
      <c r="GZV48" s="887"/>
      <c r="GZW48" s="887"/>
      <c r="GZX48" s="887"/>
      <c r="GZY48" s="887"/>
      <c r="GZZ48" s="887"/>
      <c r="HAA48" s="887"/>
      <c r="HAB48" s="887"/>
      <c r="HAC48" s="887"/>
      <c r="HAD48" s="887"/>
      <c r="HAE48" s="887"/>
      <c r="HAF48" s="887"/>
      <c r="HAG48" s="887"/>
      <c r="HAH48" s="887"/>
      <c r="HAI48" s="887"/>
      <c r="HAJ48" s="887"/>
      <c r="HAK48" s="887"/>
      <c r="HAL48" s="887"/>
      <c r="HAM48" s="887"/>
      <c r="HAN48" s="887"/>
      <c r="HAO48" s="887"/>
      <c r="HAP48" s="887"/>
      <c r="HAQ48" s="887"/>
      <c r="HAR48" s="887"/>
      <c r="HAS48" s="887"/>
      <c r="HAT48" s="887"/>
      <c r="HAU48" s="887"/>
      <c r="HAV48" s="887"/>
      <c r="HAW48" s="887"/>
      <c r="HAX48" s="887"/>
      <c r="HAY48" s="887"/>
      <c r="HAZ48" s="887"/>
      <c r="HBA48" s="887"/>
      <c r="HBB48" s="887"/>
      <c r="HBC48" s="887"/>
      <c r="HBD48" s="887"/>
      <c r="HBE48" s="887"/>
      <c r="HBF48" s="887"/>
      <c r="HBG48" s="887"/>
      <c r="HBH48" s="887"/>
      <c r="HBI48" s="887"/>
      <c r="HBJ48" s="887"/>
      <c r="HBK48" s="887"/>
      <c r="HBL48" s="887"/>
      <c r="HBM48" s="887"/>
      <c r="HBN48" s="887"/>
      <c r="HBO48" s="887"/>
      <c r="HBP48" s="887"/>
      <c r="HBQ48" s="887"/>
      <c r="HBR48" s="887"/>
      <c r="HBS48" s="887"/>
      <c r="HBT48" s="887"/>
      <c r="HBU48" s="887"/>
      <c r="HBV48" s="887"/>
      <c r="HBW48" s="887"/>
      <c r="HBX48" s="887"/>
      <c r="HBY48" s="887"/>
      <c r="HBZ48" s="887"/>
      <c r="HCA48" s="887"/>
      <c r="HCB48" s="887"/>
      <c r="HCC48" s="887"/>
      <c r="HCD48" s="887"/>
      <c r="HCE48" s="887"/>
      <c r="HCF48" s="887"/>
      <c r="HCG48" s="887"/>
      <c r="HCH48" s="887"/>
      <c r="HCI48" s="887"/>
      <c r="HCJ48" s="887"/>
      <c r="HCK48" s="887"/>
      <c r="HCL48" s="887"/>
      <c r="HCM48" s="887"/>
      <c r="HCN48" s="887"/>
      <c r="HCO48" s="887"/>
      <c r="HCP48" s="887"/>
      <c r="HCQ48" s="887"/>
      <c r="HCR48" s="887"/>
      <c r="HCS48" s="887"/>
      <c r="HCT48" s="887"/>
      <c r="HCU48" s="887"/>
      <c r="HCV48" s="887"/>
      <c r="HCW48" s="887"/>
      <c r="HCX48" s="887"/>
      <c r="HCY48" s="887"/>
      <c r="HCZ48" s="887"/>
      <c r="HDA48" s="887"/>
      <c r="HDB48" s="887"/>
      <c r="HDC48" s="887"/>
      <c r="HDD48" s="887"/>
      <c r="HDE48" s="887"/>
      <c r="HDF48" s="887"/>
      <c r="HDG48" s="887"/>
      <c r="HDH48" s="887"/>
      <c r="HDI48" s="887"/>
      <c r="HDJ48" s="887"/>
      <c r="HDK48" s="887"/>
      <c r="HDL48" s="887"/>
      <c r="HDM48" s="887"/>
      <c r="HDN48" s="887"/>
      <c r="HDO48" s="887"/>
      <c r="HDP48" s="887"/>
      <c r="HDQ48" s="887"/>
      <c r="HDR48" s="887"/>
      <c r="HDS48" s="887"/>
      <c r="HDT48" s="887"/>
      <c r="HDU48" s="887"/>
      <c r="HDV48" s="887"/>
      <c r="HDW48" s="887"/>
      <c r="HDX48" s="887"/>
      <c r="HDY48" s="887"/>
      <c r="HDZ48" s="887"/>
      <c r="HEA48" s="887"/>
      <c r="HEB48" s="887"/>
      <c r="HEC48" s="887"/>
      <c r="HED48" s="887"/>
      <c r="HEE48" s="887"/>
      <c r="HEF48" s="887"/>
      <c r="HEG48" s="887"/>
      <c r="HEH48" s="887"/>
      <c r="HEI48" s="887"/>
      <c r="HEJ48" s="887"/>
      <c r="HEK48" s="887"/>
      <c r="HEL48" s="887"/>
      <c r="HEM48" s="887"/>
      <c r="HEN48" s="887"/>
      <c r="HEO48" s="887"/>
      <c r="HEP48" s="887"/>
      <c r="HEQ48" s="887"/>
      <c r="HER48" s="887"/>
      <c r="HES48" s="887"/>
      <c r="HET48" s="887"/>
      <c r="HEU48" s="887"/>
      <c r="HEV48" s="887"/>
      <c r="HEW48" s="887"/>
      <c r="HEX48" s="887"/>
      <c r="HEY48" s="887"/>
      <c r="HEZ48" s="887"/>
      <c r="HFA48" s="887"/>
      <c r="HFB48" s="887"/>
      <c r="HFC48" s="887"/>
      <c r="HFD48" s="887"/>
      <c r="HFE48" s="887"/>
      <c r="HFF48" s="887"/>
      <c r="HFG48" s="887"/>
      <c r="HFH48" s="887"/>
      <c r="HFI48" s="887"/>
      <c r="HFJ48" s="887"/>
      <c r="HFK48" s="887"/>
      <c r="HFL48" s="887"/>
      <c r="HFM48" s="887"/>
      <c r="HFN48" s="887"/>
      <c r="HFO48" s="887"/>
      <c r="HFP48" s="887"/>
      <c r="HFQ48" s="887"/>
      <c r="HFR48" s="887"/>
      <c r="HFS48" s="887"/>
      <c r="HFT48" s="887"/>
      <c r="HFU48" s="887"/>
      <c r="HFV48" s="887"/>
      <c r="HFW48" s="887"/>
      <c r="HFX48" s="887"/>
      <c r="HFY48" s="887"/>
      <c r="HFZ48" s="887"/>
      <c r="HGA48" s="887"/>
      <c r="HGB48" s="887"/>
      <c r="HGC48" s="887"/>
      <c r="HGD48" s="887"/>
      <c r="HGE48" s="887"/>
      <c r="HGF48" s="887"/>
      <c r="HGG48" s="887"/>
      <c r="HGH48" s="887"/>
      <c r="HGI48" s="887"/>
      <c r="HGJ48" s="887"/>
      <c r="HGK48" s="887"/>
      <c r="HGL48" s="887"/>
      <c r="HGM48" s="887"/>
      <c r="HGN48" s="887"/>
      <c r="HGO48" s="887"/>
      <c r="HGP48" s="887"/>
      <c r="HGQ48" s="887"/>
      <c r="HGR48" s="887"/>
      <c r="HGS48" s="887"/>
      <c r="HGT48" s="887"/>
      <c r="HGU48" s="887"/>
      <c r="HGV48" s="887"/>
      <c r="HGW48" s="887"/>
      <c r="HGX48" s="887"/>
      <c r="HGY48" s="887"/>
      <c r="HGZ48" s="887"/>
      <c r="HHA48" s="887"/>
      <c r="HHB48" s="887"/>
      <c r="HHC48" s="887"/>
      <c r="HHD48" s="887"/>
      <c r="HHE48" s="887"/>
      <c r="HHF48" s="887"/>
      <c r="HHG48" s="887"/>
      <c r="HHH48" s="887"/>
      <c r="HHI48" s="887"/>
      <c r="HHJ48" s="887"/>
      <c r="HHK48" s="887"/>
      <c r="HHL48" s="887"/>
      <c r="HHM48" s="887"/>
      <c r="HHN48" s="887"/>
      <c r="HHO48" s="887"/>
      <c r="HHP48" s="887"/>
      <c r="HHQ48" s="887"/>
      <c r="HHR48" s="887"/>
      <c r="HHS48" s="887"/>
      <c r="HHT48" s="887"/>
      <c r="HHU48" s="887"/>
      <c r="HHV48" s="887"/>
      <c r="HHW48" s="887"/>
      <c r="HHX48" s="887"/>
      <c r="HHY48" s="887"/>
      <c r="HHZ48" s="887"/>
      <c r="HIA48" s="887"/>
      <c r="HIB48" s="887"/>
      <c r="HIC48" s="887"/>
      <c r="HID48" s="887"/>
      <c r="HIE48" s="887"/>
      <c r="HIF48" s="887"/>
      <c r="HIG48" s="887"/>
      <c r="HIH48" s="887"/>
      <c r="HII48" s="887"/>
      <c r="HIJ48" s="887"/>
      <c r="HIK48" s="887"/>
      <c r="HIL48" s="887"/>
      <c r="HIM48" s="887"/>
      <c r="HIN48" s="887"/>
      <c r="HIO48" s="887"/>
      <c r="HIP48" s="887"/>
      <c r="HIQ48" s="887"/>
      <c r="HIR48" s="887"/>
      <c r="HIS48" s="887"/>
      <c r="HIT48" s="887"/>
      <c r="HIU48" s="887"/>
      <c r="HIV48" s="887"/>
      <c r="HIW48" s="887"/>
      <c r="HIX48" s="887"/>
      <c r="HIY48" s="887"/>
      <c r="HIZ48" s="887"/>
      <c r="HJA48" s="887"/>
      <c r="HJB48" s="887"/>
      <c r="HJC48" s="887"/>
      <c r="HJD48" s="887"/>
      <c r="HJE48" s="887"/>
      <c r="HJF48" s="887"/>
      <c r="HJG48" s="887"/>
      <c r="HJH48" s="887"/>
      <c r="HJI48" s="887"/>
      <c r="HJJ48" s="887"/>
      <c r="HJK48" s="887"/>
      <c r="HJL48" s="887"/>
      <c r="HJM48" s="887"/>
      <c r="HJN48" s="887"/>
      <c r="HJO48" s="887"/>
      <c r="HJP48" s="887"/>
      <c r="HJQ48" s="887"/>
      <c r="HJR48" s="887"/>
      <c r="HJS48" s="887"/>
      <c r="HJT48" s="887"/>
      <c r="HJU48" s="887"/>
      <c r="HJV48" s="887"/>
      <c r="HJW48" s="887"/>
      <c r="HJX48" s="887"/>
      <c r="HJY48" s="887"/>
      <c r="HJZ48" s="887"/>
      <c r="HKA48" s="887"/>
      <c r="HKB48" s="887"/>
      <c r="HKC48" s="887"/>
      <c r="HKD48" s="887"/>
      <c r="HKE48" s="887"/>
      <c r="HKF48" s="887"/>
      <c r="HKG48" s="887"/>
      <c r="HKH48" s="887"/>
      <c r="HKI48" s="887"/>
      <c r="HKJ48" s="887"/>
      <c r="HKK48" s="887"/>
      <c r="HKL48" s="887"/>
      <c r="HKM48" s="887"/>
      <c r="HKN48" s="887"/>
      <c r="HKO48" s="887"/>
      <c r="HKP48" s="887"/>
      <c r="HKQ48" s="887"/>
      <c r="HKR48" s="887"/>
      <c r="HKS48" s="887"/>
      <c r="HKT48" s="887"/>
      <c r="HKU48" s="887"/>
      <c r="HKV48" s="887"/>
      <c r="HKW48" s="887"/>
      <c r="HKX48" s="887"/>
      <c r="HKY48" s="887"/>
      <c r="HKZ48" s="887"/>
      <c r="HLA48" s="887"/>
      <c r="HLB48" s="887"/>
      <c r="HLC48" s="887"/>
      <c r="HLD48" s="887"/>
      <c r="HLE48" s="887"/>
      <c r="HLF48" s="887"/>
      <c r="HLG48" s="887"/>
      <c r="HLH48" s="887"/>
      <c r="HLI48" s="887"/>
      <c r="HLJ48" s="887"/>
      <c r="HLK48" s="887"/>
      <c r="HLL48" s="887"/>
      <c r="HLM48" s="887"/>
      <c r="HLN48" s="887"/>
      <c r="HLO48" s="887"/>
      <c r="HLP48" s="887"/>
      <c r="HLQ48" s="887"/>
      <c r="HLR48" s="887"/>
      <c r="HLS48" s="887"/>
      <c r="HLT48" s="887"/>
      <c r="HLU48" s="887"/>
      <c r="HLV48" s="887"/>
      <c r="HLW48" s="887"/>
      <c r="HLX48" s="887"/>
      <c r="HLY48" s="887"/>
      <c r="HLZ48" s="887"/>
      <c r="HMA48" s="887"/>
      <c r="HMB48" s="887"/>
      <c r="HMC48" s="887"/>
      <c r="HMD48" s="887"/>
      <c r="HME48" s="887"/>
      <c r="HMF48" s="887"/>
      <c r="HMG48" s="887"/>
      <c r="HMH48" s="887"/>
      <c r="HMI48" s="887"/>
      <c r="HMJ48" s="887"/>
      <c r="HMK48" s="887"/>
      <c r="HML48" s="887"/>
      <c r="HMM48" s="887"/>
      <c r="HMN48" s="887"/>
      <c r="HMO48" s="887"/>
      <c r="HMP48" s="887"/>
      <c r="HMQ48" s="887"/>
      <c r="HMR48" s="887"/>
      <c r="HMS48" s="887"/>
      <c r="HMT48" s="887"/>
      <c r="HMU48" s="887"/>
      <c r="HMV48" s="887"/>
      <c r="HMW48" s="887"/>
      <c r="HMX48" s="887"/>
      <c r="HMY48" s="887"/>
      <c r="HMZ48" s="887"/>
      <c r="HNA48" s="887"/>
      <c r="HNB48" s="887"/>
      <c r="HNC48" s="887"/>
      <c r="HND48" s="887"/>
      <c r="HNE48" s="887"/>
      <c r="HNF48" s="887"/>
      <c r="HNG48" s="887"/>
      <c r="HNH48" s="887"/>
      <c r="HNI48" s="887"/>
      <c r="HNJ48" s="887"/>
      <c r="HNK48" s="887"/>
      <c r="HNL48" s="887"/>
      <c r="HNM48" s="887"/>
      <c r="HNN48" s="887"/>
      <c r="HNO48" s="887"/>
      <c r="HNP48" s="887"/>
      <c r="HNQ48" s="887"/>
      <c r="HNR48" s="887"/>
      <c r="HNS48" s="887"/>
      <c r="HNT48" s="887"/>
      <c r="HNU48" s="887"/>
      <c r="HNV48" s="887"/>
      <c r="HNW48" s="887"/>
      <c r="HNX48" s="887"/>
      <c r="HNY48" s="887"/>
      <c r="HNZ48" s="887"/>
      <c r="HOA48" s="887"/>
      <c r="HOB48" s="887"/>
      <c r="HOC48" s="887"/>
      <c r="HOD48" s="887"/>
      <c r="HOE48" s="887"/>
      <c r="HOF48" s="887"/>
      <c r="HOG48" s="887"/>
      <c r="HOH48" s="887"/>
      <c r="HOI48" s="887"/>
      <c r="HOJ48" s="887"/>
      <c r="HOK48" s="887"/>
      <c r="HOL48" s="887"/>
      <c r="HOM48" s="887"/>
      <c r="HON48" s="887"/>
      <c r="HOO48" s="887"/>
      <c r="HOP48" s="887"/>
      <c r="HOQ48" s="887"/>
      <c r="HOR48" s="887"/>
      <c r="HOS48" s="887"/>
      <c r="HOT48" s="887"/>
      <c r="HOU48" s="887"/>
      <c r="HOV48" s="887"/>
      <c r="HOW48" s="887"/>
      <c r="HOX48" s="887"/>
      <c r="HOY48" s="887"/>
      <c r="HOZ48" s="887"/>
      <c r="HPA48" s="887"/>
      <c r="HPB48" s="887"/>
      <c r="HPC48" s="887"/>
      <c r="HPD48" s="887"/>
      <c r="HPE48" s="887"/>
      <c r="HPF48" s="887"/>
      <c r="HPG48" s="887"/>
      <c r="HPH48" s="887"/>
      <c r="HPI48" s="887"/>
      <c r="HPJ48" s="887"/>
      <c r="HPK48" s="887"/>
      <c r="HPL48" s="887"/>
      <c r="HPM48" s="887"/>
      <c r="HPN48" s="887"/>
      <c r="HPO48" s="887"/>
      <c r="HPP48" s="887"/>
      <c r="HPQ48" s="887"/>
      <c r="HPR48" s="887"/>
      <c r="HPS48" s="887"/>
      <c r="HPT48" s="887"/>
      <c r="HPU48" s="887"/>
      <c r="HPV48" s="887"/>
      <c r="HPW48" s="887"/>
      <c r="HPX48" s="887"/>
      <c r="HPY48" s="887"/>
      <c r="HPZ48" s="887"/>
      <c r="HQA48" s="887"/>
      <c r="HQB48" s="887"/>
      <c r="HQC48" s="887"/>
      <c r="HQD48" s="887"/>
      <c r="HQE48" s="887"/>
      <c r="HQF48" s="887"/>
      <c r="HQG48" s="887"/>
      <c r="HQH48" s="887"/>
      <c r="HQI48" s="887"/>
      <c r="HQJ48" s="887"/>
      <c r="HQK48" s="887"/>
      <c r="HQL48" s="887"/>
      <c r="HQM48" s="887"/>
      <c r="HQN48" s="887"/>
      <c r="HQO48" s="887"/>
      <c r="HQP48" s="887"/>
      <c r="HQQ48" s="887"/>
      <c r="HQR48" s="887"/>
      <c r="HQS48" s="887"/>
      <c r="HQT48" s="887"/>
      <c r="HQU48" s="887"/>
      <c r="HQV48" s="887"/>
      <c r="HQW48" s="887"/>
      <c r="HQX48" s="887"/>
      <c r="HQY48" s="887"/>
      <c r="HQZ48" s="887"/>
      <c r="HRA48" s="887"/>
      <c r="HRB48" s="887"/>
      <c r="HRC48" s="887"/>
      <c r="HRD48" s="887"/>
      <c r="HRE48" s="887"/>
      <c r="HRF48" s="887"/>
      <c r="HRG48" s="887"/>
      <c r="HRH48" s="887"/>
      <c r="HRI48" s="887"/>
      <c r="HRJ48" s="887"/>
      <c r="HRK48" s="887"/>
      <c r="HRL48" s="887"/>
      <c r="HRM48" s="887"/>
      <c r="HRN48" s="887"/>
      <c r="HRO48" s="887"/>
      <c r="HRP48" s="887"/>
      <c r="HRQ48" s="887"/>
      <c r="HRR48" s="887"/>
      <c r="HRS48" s="887"/>
      <c r="HRT48" s="887"/>
      <c r="HRU48" s="887"/>
      <c r="HRV48" s="887"/>
      <c r="HRW48" s="887"/>
      <c r="HRX48" s="887"/>
      <c r="HRY48" s="887"/>
      <c r="HRZ48" s="887"/>
      <c r="HSA48" s="887"/>
      <c r="HSB48" s="887"/>
      <c r="HSC48" s="887"/>
      <c r="HSD48" s="887"/>
      <c r="HSE48" s="887"/>
      <c r="HSF48" s="887"/>
      <c r="HSG48" s="887"/>
      <c r="HSH48" s="887"/>
      <c r="HSI48" s="887"/>
      <c r="HSJ48" s="887"/>
      <c r="HSK48" s="887"/>
      <c r="HSL48" s="887"/>
      <c r="HSM48" s="887"/>
      <c r="HSN48" s="887"/>
      <c r="HSO48" s="887"/>
      <c r="HSP48" s="887"/>
      <c r="HSQ48" s="887"/>
      <c r="HSR48" s="887"/>
      <c r="HSS48" s="887"/>
      <c r="HST48" s="887"/>
      <c r="HSU48" s="887"/>
      <c r="HSV48" s="887"/>
      <c r="HSW48" s="887"/>
      <c r="HSX48" s="887"/>
      <c r="HSY48" s="887"/>
      <c r="HSZ48" s="887"/>
      <c r="HTA48" s="887"/>
      <c r="HTB48" s="887"/>
      <c r="HTC48" s="887"/>
      <c r="HTD48" s="887"/>
      <c r="HTE48" s="887"/>
      <c r="HTF48" s="887"/>
      <c r="HTG48" s="887"/>
      <c r="HTH48" s="887"/>
      <c r="HTI48" s="887"/>
      <c r="HTJ48" s="887"/>
      <c r="HTK48" s="887"/>
      <c r="HTL48" s="887"/>
      <c r="HTM48" s="887"/>
      <c r="HTN48" s="887"/>
      <c r="HTO48" s="887"/>
      <c r="HTP48" s="887"/>
      <c r="HTQ48" s="887"/>
      <c r="HTR48" s="887"/>
      <c r="HTS48" s="887"/>
      <c r="HTT48" s="887"/>
      <c r="HTU48" s="887"/>
      <c r="HTV48" s="887"/>
      <c r="HTW48" s="887"/>
      <c r="HTX48" s="887"/>
      <c r="HTY48" s="887"/>
      <c r="HTZ48" s="887"/>
      <c r="HUA48" s="887"/>
      <c r="HUB48" s="887"/>
      <c r="HUC48" s="887"/>
      <c r="HUD48" s="887"/>
      <c r="HUE48" s="887"/>
      <c r="HUF48" s="887"/>
      <c r="HUG48" s="887"/>
      <c r="HUH48" s="887"/>
      <c r="HUI48" s="887"/>
      <c r="HUJ48" s="887"/>
      <c r="HUK48" s="887"/>
      <c r="HUL48" s="887"/>
      <c r="HUM48" s="887"/>
      <c r="HUN48" s="887"/>
      <c r="HUO48" s="887"/>
      <c r="HUP48" s="887"/>
      <c r="HUQ48" s="887"/>
      <c r="HUR48" s="887"/>
      <c r="HUS48" s="887"/>
      <c r="HUT48" s="887"/>
      <c r="HUU48" s="887"/>
      <c r="HUV48" s="887"/>
      <c r="HUW48" s="887"/>
      <c r="HUX48" s="887"/>
      <c r="HUY48" s="887"/>
      <c r="HUZ48" s="887"/>
      <c r="HVA48" s="887"/>
      <c r="HVB48" s="887"/>
      <c r="HVC48" s="887"/>
      <c r="HVD48" s="887"/>
      <c r="HVE48" s="887"/>
      <c r="HVF48" s="887"/>
      <c r="HVG48" s="887"/>
      <c r="HVH48" s="887"/>
      <c r="HVI48" s="887"/>
      <c r="HVJ48" s="887"/>
      <c r="HVK48" s="887"/>
      <c r="HVL48" s="887"/>
      <c r="HVM48" s="887"/>
      <c r="HVN48" s="887"/>
      <c r="HVO48" s="887"/>
      <c r="HVP48" s="887"/>
      <c r="HVQ48" s="887"/>
      <c r="HVR48" s="887"/>
      <c r="HVS48" s="887"/>
      <c r="HVT48" s="887"/>
      <c r="HVU48" s="887"/>
      <c r="HVV48" s="887"/>
      <c r="HVW48" s="887"/>
      <c r="HVX48" s="887"/>
      <c r="HVY48" s="887"/>
      <c r="HVZ48" s="887"/>
      <c r="HWA48" s="887"/>
      <c r="HWB48" s="887"/>
      <c r="HWC48" s="887"/>
      <c r="HWD48" s="887"/>
      <c r="HWE48" s="887"/>
      <c r="HWF48" s="887"/>
      <c r="HWG48" s="887"/>
      <c r="HWH48" s="887"/>
      <c r="HWI48" s="887"/>
      <c r="HWJ48" s="887"/>
      <c r="HWK48" s="887"/>
      <c r="HWL48" s="887"/>
      <c r="HWM48" s="887"/>
      <c r="HWN48" s="887"/>
      <c r="HWO48" s="887"/>
      <c r="HWP48" s="887"/>
      <c r="HWQ48" s="887"/>
      <c r="HWR48" s="887"/>
      <c r="HWS48" s="887"/>
      <c r="HWT48" s="887"/>
      <c r="HWU48" s="887"/>
      <c r="HWV48" s="887"/>
      <c r="HWW48" s="887"/>
      <c r="HWX48" s="887"/>
      <c r="HWY48" s="887"/>
      <c r="HWZ48" s="887"/>
      <c r="HXA48" s="887"/>
      <c r="HXB48" s="887"/>
      <c r="HXC48" s="887"/>
      <c r="HXD48" s="887"/>
      <c r="HXE48" s="887"/>
      <c r="HXF48" s="887"/>
      <c r="HXG48" s="887"/>
      <c r="HXH48" s="887"/>
      <c r="HXI48" s="887"/>
      <c r="HXJ48" s="887"/>
      <c r="HXK48" s="887"/>
      <c r="HXL48" s="887"/>
      <c r="HXM48" s="887"/>
      <c r="HXN48" s="887"/>
      <c r="HXO48" s="887"/>
      <c r="HXP48" s="887"/>
      <c r="HXQ48" s="887"/>
      <c r="HXR48" s="887"/>
      <c r="HXS48" s="887"/>
      <c r="HXT48" s="887"/>
      <c r="HXU48" s="887"/>
      <c r="HXV48" s="887"/>
      <c r="HXW48" s="887"/>
      <c r="HXX48" s="887"/>
      <c r="HXY48" s="887"/>
      <c r="HXZ48" s="887"/>
      <c r="HYA48" s="887"/>
      <c r="HYB48" s="887"/>
      <c r="HYC48" s="887"/>
      <c r="HYD48" s="887"/>
      <c r="HYE48" s="887"/>
      <c r="HYF48" s="887"/>
      <c r="HYG48" s="887"/>
      <c r="HYH48" s="887"/>
      <c r="HYI48" s="887"/>
      <c r="HYJ48" s="887"/>
      <c r="HYK48" s="887"/>
      <c r="HYL48" s="887"/>
      <c r="HYM48" s="887"/>
      <c r="HYN48" s="887"/>
      <c r="HYO48" s="887"/>
      <c r="HYP48" s="887"/>
      <c r="HYQ48" s="887"/>
      <c r="HYR48" s="887"/>
      <c r="HYS48" s="887"/>
      <c r="HYT48" s="887"/>
      <c r="HYU48" s="887"/>
      <c r="HYV48" s="887"/>
      <c r="HYW48" s="887"/>
      <c r="HYX48" s="887"/>
      <c r="HYY48" s="887"/>
      <c r="HYZ48" s="887"/>
      <c r="HZA48" s="887"/>
      <c r="HZB48" s="887"/>
      <c r="HZC48" s="887"/>
      <c r="HZD48" s="887"/>
      <c r="HZE48" s="887"/>
      <c r="HZF48" s="887"/>
      <c r="HZG48" s="887"/>
      <c r="HZH48" s="887"/>
      <c r="HZI48" s="887"/>
      <c r="HZJ48" s="887"/>
      <c r="HZK48" s="887"/>
      <c r="HZL48" s="887"/>
      <c r="HZM48" s="887"/>
      <c r="HZN48" s="887"/>
      <c r="HZO48" s="887"/>
      <c r="HZP48" s="887"/>
      <c r="HZQ48" s="887"/>
      <c r="HZR48" s="887"/>
      <c r="HZS48" s="887"/>
      <c r="HZT48" s="887"/>
      <c r="HZU48" s="887"/>
      <c r="HZV48" s="887"/>
      <c r="HZW48" s="887"/>
      <c r="HZX48" s="887"/>
      <c r="HZY48" s="887"/>
      <c r="HZZ48" s="887"/>
      <c r="IAA48" s="887"/>
      <c r="IAB48" s="887"/>
      <c r="IAC48" s="887"/>
      <c r="IAD48" s="887"/>
      <c r="IAE48" s="887"/>
      <c r="IAF48" s="887"/>
      <c r="IAG48" s="887"/>
      <c r="IAH48" s="887"/>
      <c r="IAI48" s="887"/>
      <c r="IAJ48" s="887"/>
      <c r="IAK48" s="887"/>
      <c r="IAL48" s="887"/>
      <c r="IAM48" s="887"/>
      <c r="IAN48" s="887"/>
      <c r="IAO48" s="887"/>
      <c r="IAP48" s="887"/>
      <c r="IAQ48" s="887"/>
      <c r="IAR48" s="887"/>
      <c r="IAS48" s="887"/>
      <c r="IAT48" s="887"/>
      <c r="IAU48" s="887"/>
      <c r="IAV48" s="887"/>
      <c r="IAW48" s="887"/>
      <c r="IAX48" s="887"/>
      <c r="IAY48" s="887"/>
      <c r="IAZ48" s="887"/>
      <c r="IBA48" s="887"/>
      <c r="IBB48" s="887"/>
      <c r="IBC48" s="887"/>
      <c r="IBD48" s="887"/>
      <c r="IBE48" s="887"/>
      <c r="IBF48" s="887"/>
      <c r="IBG48" s="887"/>
      <c r="IBH48" s="887"/>
      <c r="IBI48" s="887"/>
      <c r="IBJ48" s="887"/>
      <c r="IBK48" s="887"/>
      <c r="IBL48" s="887"/>
      <c r="IBM48" s="887"/>
      <c r="IBN48" s="887"/>
      <c r="IBO48" s="887"/>
      <c r="IBP48" s="887"/>
      <c r="IBQ48" s="887"/>
      <c r="IBR48" s="887"/>
      <c r="IBS48" s="887"/>
      <c r="IBT48" s="887"/>
      <c r="IBU48" s="887"/>
      <c r="IBV48" s="887"/>
      <c r="IBW48" s="887"/>
      <c r="IBX48" s="887"/>
      <c r="IBY48" s="887"/>
      <c r="IBZ48" s="887"/>
      <c r="ICA48" s="887"/>
      <c r="ICB48" s="887"/>
      <c r="ICC48" s="887"/>
      <c r="ICD48" s="887"/>
      <c r="ICE48" s="887"/>
      <c r="ICF48" s="887"/>
      <c r="ICG48" s="887"/>
      <c r="ICH48" s="887"/>
      <c r="ICI48" s="887"/>
      <c r="ICJ48" s="887"/>
      <c r="ICK48" s="887"/>
      <c r="ICL48" s="887"/>
      <c r="ICM48" s="887"/>
      <c r="ICN48" s="887"/>
      <c r="ICO48" s="887"/>
      <c r="ICP48" s="887"/>
      <c r="ICQ48" s="887"/>
      <c r="ICR48" s="887"/>
      <c r="ICS48" s="887"/>
      <c r="ICT48" s="887"/>
      <c r="ICU48" s="887"/>
      <c r="ICV48" s="887"/>
      <c r="ICW48" s="887"/>
      <c r="ICX48" s="887"/>
      <c r="ICY48" s="887"/>
      <c r="ICZ48" s="887"/>
      <c r="IDA48" s="887"/>
      <c r="IDB48" s="887"/>
      <c r="IDC48" s="887"/>
      <c r="IDD48" s="887"/>
      <c r="IDE48" s="887"/>
      <c r="IDF48" s="887"/>
      <c r="IDG48" s="887"/>
      <c r="IDH48" s="887"/>
      <c r="IDI48" s="887"/>
      <c r="IDJ48" s="887"/>
      <c r="IDK48" s="887"/>
      <c r="IDL48" s="887"/>
      <c r="IDM48" s="887"/>
      <c r="IDN48" s="887"/>
      <c r="IDO48" s="887"/>
      <c r="IDP48" s="887"/>
      <c r="IDQ48" s="887"/>
      <c r="IDR48" s="887"/>
      <c r="IDS48" s="887"/>
      <c r="IDT48" s="887"/>
      <c r="IDU48" s="887"/>
      <c r="IDV48" s="887"/>
      <c r="IDW48" s="887"/>
      <c r="IDX48" s="887"/>
      <c r="IDY48" s="887"/>
      <c r="IDZ48" s="887"/>
      <c r="IEA48" s="887"/>
      <c r="IEB48" s="887"/>
      <c r="IEC48" s="887"/>
      <c r="IED48" s="887"/>
      <c r="IEE48" s="887"/>
      <c r="IEF48" s="887"/>
      <c r="IEG48" s="887"/>
      <c r="IEH48" s="887"/>
      <c r="IEI48" s="887"/>
      <c r="IEJ48" s="887"/>
      <c r="IEK48" s="887"/>
      <c r="IEL48" s="887"/>
      <c r="IEM48" s="887"/>
      <c r="IEN48" s="887"/>
      <c r="IEO48" s="887"/>
      <c r="IEP48" s="887"/>
      <c r="IEQ48" s="887"/>
      <c r="IER48" s="887"/>
      <c r="IES48" s="887"/>
      <c r="IET48" s="887"/>
      <c r="IEU48" s="887"/>
      <c r="IEV48" s="887"/>
      <c r="IEW48" s="887"/>
      <c r="IEX48" s="887"/>
      <c r="IEY48" s="887"/>
      <c r="IEZ48" s="887"/>
      <c r="IFA48" s="887"/>
      <c r="IFB48" s="887"/>
      <c r="IFC48" s="887"/>
      <c r="IFD48" s="887"/>
      <c r="IFE48" s="887"/>
      <c r="IFF48" s="887"/>
      <c r="IFG48" s="887"/>
      <c r="IFH48" s="887"/>
      <c r="IFI48" s="887"/>
      <c r="IFJ48" s="887"/>
      <c r="IFK48" s="887"/>
      <c r="IFL48" s="887"/>
      <c r="IFM48" s="887"/>
      <c r="IFN48" s="887"/>
      <c r="IFO48" s="887"/>
      <c r="IFP48" s="887"/>
      <c r="IFQ48" s="887"/>
      <c r="IFR48" s="887"/>
      <c r="IFS48" s="887"/>
      <c r="IFT48" s="887"/>
      <c r="IFU48" s="887"/>
      <c r="IFV48" s="887"/>
      <c r="IFW48" s="887"/>
      <c r="IFX48" s="887"/>
      <c r="IFY48" s="887"/>
      <c r="IFZ48" s="887"/>
      <c r="IGA48" s="887"/>
      <c r="IGB48" s="887"/>
      <c r="IGC48" s="887"/>
      <c r="IGD48" s="887"/>
      <c r="IGE48" s="887"/>
      <c r="IGF48" s="887"/>
      <c r="IGG48" s="887"/>
      <c r="IGH48" s="887"/>
      <c r="IGI48" s="887"/>
      <c r="IGJ48" s="887"/>
      <c r="IGK48" s="887"/>
      <c r="IGL48" s="887"/>
      <c r="IGM48" s="887"/>
      <c r="IGN48" s="887"/>
      <c r="IGO48" s="887"/>
      <c r="IGP48" s="887"/>
      <c r="IGQ48" s="887"/>
      <c r="IGR48" s="887"/>
      <c r="IGS48" s="887"/>
      <c r="IGT48" s="887"/>
      <c r="IGU48" s="887"/>
      <c r="IGV48" s="887"/>
      <c r="IGW48" s="887"/>
      <c r="IGX48" s="887"/>
      <c r="IGY48" s="887"/>
      <c r="IGZ48" s="887"/>
      <c r="IHA48" s="887"/>
      <c r="IHB48" s="887"/>
      <c r="IHC48" s="887"/>
      <c r="IHD48" s="887"/>
      <c r="IHE48" s="887"/>
      <c r="IHF48" s="887"/>
      <c r="IHG48" s="887"/>
      <c r="IHH48" s="887"/>
      <c r="IHI48" s="887"/>
      <c r="IHJ48" s="887"/>
      <c r="IHK48" s="887"/>
      <c r="IHL48" s="887"/>
      <c r="IHM48" s="887"/>
      <c r="IHN48" s="887"/>
      <c r="IHO48" s="887"/>
      <c r="IHP48" s="887"/>
      <c r="IHQ48" s="887"/>
      <c r="IHR48" s="887"/>
      <c r="IHS48" s="887"/>
      <c r="IHT48" s="887"/>
      <c r="IHU48" s="887"/>
      <c r="IHV48" s="887"/>
      <c r="IHW48" s="887"/>
      <c r="IHX48" s="887"/>
      <c r="IHY48" s="887"/>
      <c r="IHZ48" s="887"/>
      <c r="IIA48" s="887"/>
      <c r="IIB48" s="887"/>
      <c r="IIC48" s="887"/>
      <c r="IID48" s="887"/>
      <c r="IIE48" s="887"/>
      <c r="IIF48" s="887"/>
      <c r="IIG48" s="887"/>
      <c r="IIH48" s="887"/>
      <c r="III48" s="887"/>
      <c r="IIJ48" s="887"/>
      <c r="IIK48" s="887"/>
      <c r="IIL48" s="887"/>
      <c r="IIM48" s="887"/>
      <c r="IIN48" s="887"/>
      <c r="IIO48" s="887"/>
      <c r="IIP48" s="887"/>
      <c r="IIQ48" s="887"/>
      <c r="IIR48" s="887"/>
      <c r="IIS48" s="887"/>
      <c r="IIT48" s="887"/>
      <c r="IIU48" s="887"/>
      <c r="IIV48" s="887"/>
      <c r="IIW48" s="887"/>
      <c r="IIX48" s="887"/>
      <c r="IIY48" s="887"/>
      <c r="IIZ48" s="887"/>
      <c r="IJA48" s="887"/>
      <c r="IJB48" s="887"/>
      <c r="IJC48" s="887"/>
      <c r="IJD48" s="887"/>
      <c r="IJE48" s="887"/>
      <c r="IJF48" s="887"/>
      <c r="IJG48" s="887"/>
      <c r="IJH48" s="887"/>
      <c r="IJI48" s="887"/>
      <c r="IJJ48" s="887"/>
      <c r="IJK48" s="887"/>
      <c r="IJL48" s="887"/>
      <c r="IJM48" s="887"/>
      <c r="IJN48" s="887"/>
      <c r="IJO48" s="887"/>
      <c r="IJP48" s="887"/>
      <c r="IJQ48" s="887"/>
      <c r="IJR48" s="887"/>
      <c r="IJS48" s="887"/>
      <c r="IJT48" s="887"/>
      <c r="IJU48" s="887"/>
      <c r="IJV48" s="887"/>
      <c r="IJW48" s="887"/>
      <c r="IJX48" s="887"/>
      <c r="IJY48" s="887"/>
      <c r="IJZ48" s="887"/>
      <c r="IKA48" s="887"/>
      <c r="IKB48" s="887"/>
      <c r="IKC48" s="887"/>
      <c r="IKD48" s="887"/>
      <c r="IKE48" s="887"/>
      <c r="IKF48" s="887"/>
      <c r="IKG48" s="887"/>
      <c r="IKH48" s="887"/>
      <c r="IKI48" s="887"/>
      <c r="IKJ48" s="887"/>
      <c r="IKK48" s="887"/>
      <c r="IKL48" s="887"/>
      <c r="IKM48" s="887"/>
      <c r="IKN48" s="887"/>
      <c r="IKO48" s="887"/>
      <c r="IKP48" s="887"/>
      <c r="IKQ48" s="887"/>
      <c r="IKR48" s="887"/>
      <c r="IKS48" s="887"/>
      <c r="IKT48" s="887"/>
      <c r="IKU48" s="887"/>
      <c r="IKV48" s="887"/>
      <c r="IKW48" s="887"/>
      <c r="IKX48" s="887"/>
      <c r="IKY48" s="887"/>
      <c r="IKZ48" s="887"/>
      <c r="ILA48" s="887"/>
      <c r="ILB48" s="887"/>
      <c r="ILC48" s="887"/>
      <c r="ILD48" s="887"/>
      <c r="ILE48" s="887"/>
      <c r="ILF48" s="887"/>
      <c r="ILG48" s="887"/>
      <c r="ILH48" s="887"/>
      <c r="ILI48" s="887"/>
      <c r="ILJ48" s="887"/>
      <c r="ILK48" s="887"/>
      <c r="ILL48" s="887"/>
      <c r="ILM48" s="887"/>
      <c r="ILN48" s="887"/>
      <c r="ILO48" s="887"/>
      <c r="ILP48" s="887"/>
      <c r="ILQ48" s="887"/>
      <c r="ILR48" s="887"/>
      <c r="ILS48" s="887"/>
      <c r="ILT48" s="887"/>
      <c r="ILU48" s="887"/>
      <c r="ILV48" s="887"/>
      <c r="ILW48" s="887"/>
      <c r="ILX48" s="887"/>
      <c r="ILY48" s="887"/>
      <c r="ILZ48" s="887"/>
      <c r="IMA48" s="887"/>
      <c r="IMB48" s="887"/>
      <c r="IMC48" s="887"/>
      <c r="IMD48" s="887"/>
      <c r="IME48" s="887"/>
      <c r="IMF48" s="887"/>
      <c r="IMG48" s="887"/>
      <c r="IMH48" s="887"/>
      <c r="IMI48" s="887"/>
      <c r="IMJ48" s="887"/>
      <c r="IMK48" s="887"/>
      <c r="IML48" s="887"/>
      <c r="IMM48" s="887"/>
      <c r="IMN48" s="887"/>
      <c r="IMO48" s="887"/>
      <c r="IMP48" s="887"/>
      <c r="IMQ48" s="887"/>
      <c r="IMR48" s="887"/>
      <c r="IMS48" s="887"/>
      <c r="IMT48" s="887"/>
      <c r="IMU48" s="887"/>
      <c r="IMV48" s="887"/>
      <c r="IMW48" s="887"/>
      <c r="IMX48" s="887"/>
      <c r="IMY48" s="887"/>
      <c r="IMZ48" s="887"/>
      <c r="INA48" s="887"/>
      <c r="INB48" s="887"/>
      <c r="INC48" s="887"/>
      <c r="IND48" s="887"/>
      <c r="INE48" s="887"/>
      <c r="INF48" s="887"/>
      <c r="ING48" s="887"/>
      <c r="INH48" s="887"/>
      <c r="INI48" s="887"/>
      <c r="INJ48" s="887"/>
      <c r="INK48" s="887"/>
      <c r="INL48" s="887"/>
      <c r="INM48" s="887"/>
      <c r="INN48" s="887"/>
      <c r="INO48" s="887"/>
      <c r="INP48" s="887"/>
      <c r="INQ48" s="887"/>
      <c r="INR48" s="887"/>
      <c r="INS48" s="887"/>
      <c r="INT48" s="887"/>
      <c r="INU48" s="887"/>
      <c r="INV48" s="887"/>
      <c r="INW48" s="887"/>
      <c r="INX48" s="887"/>
      <c r="INY48" s="887"/>
      <c r="INZ48" s="887"/>
      <c r="IOA48" s="887"/>
      <c r="IOB48" s="887"/>
      <c r="IOC48" s="887"/>
      <c r="IOD48" s="887"/>
      <c r="IOE48" s="887"/>
      <c r="IOF48" s="887"/>
      <c r="IOG48" s="887"/>
      <c r="IOH48" s="887"/>
      <c r="IOI48" s="887"/>
      <c r="IOJ48" s="887"/>
      <c r="IOK48" s="887"/>
      <c r="IOL48" s="887"/>
      <c r="IOM48" s="887"/>
      <c r="ION48" s="887"/>
      <c r="IOO48" s="887"/>
      <c r="IOP48" s="887"/>
      <c r="IOQ48" s="887"/>
      <c r="IOR48" s="887"/>
      <c r="IOS48" s="887"/>
      <c r="IOT48" s="887"/>
      <c r="IOU48" s="887"/>
      <c r="IOV48" s="887"/>
      <c r="IOW48" s="887"/>
      <c r="IOX48" s="887"/>
      <c r="IOY48" s="887"/>
      <c r="IOZ48" s="887"/>
      <c r="IPA48" s="887"/>
      <c r="IPB48" s="887"/>
      <c r="IPC48" s="887"/>
      <c r="IPD48" s="887"/>
      <c r="IPE48" s="887"/>
      <c r="IPF48" s="887"/>
      <c r="IPG48" s="887"/>
      <c r="IPH48" s="887"/>
      <c r="IPI48" s="887"/>
      <c r="IPJ48" s="887"/>
      <c r="IPK48" s="887"/>
      <c r="IPL48" s="887"/>
      <c r="IPM48" s="887"/>
      <c r="IPN48" s="887"/>
      <c r="IPO48" s="887"/>
      <c r="IPP48" s="887"/>
      <c r="IPQ48" s="887"/>
      <c r="IPR48" s="887"/>
      <c r="IPS48" s="887"/>
      <c r="IPT48" s="887"/>
      <c r="IPU48" s="887"/>
      <c r="IPV48" s="887"/>
      <c r="IPW48" s="887"/>
      <c r="IPX48" s="887"/>
      <c r="IPY48" s="887"/>
      <c r="IPZ48" s="887"/>
      <c r="IQA48" s="887"/>
      <c r="IQB48" s="887"/>
      <c r="IQC48" s="887"/>
      <c r="IQD48" s="887"/>
      <c r="IQE48" s="887"/>
      <c r="IQF48" s="887"/>
      <c r="IQG48" s="887"/>
      <c r="IQH48" s="887"/>
      <c r="IQI48" s="887"/>
      <c r="IQJ48" s="887"/>
      <c r="IQK48" s="887"/>
      <c r="IQL48" s="887"/>
      <c r="IQM48" s="887"/>
      <c r="IQN48" s="887"/>
      <c r="IQO48" s="887"/>
      <c r="IQP48" s="887"/>
      <c r="IQQ48" s="887"/>
      <c r="IQR48" s="887"/>
      <c r="IQS48" s="887"/>
      <c r="IQT48" s="887"/>
      <c r="IQU48" s="887"/>
      <c r="IQV48" s="887"/>
      <c r="IQW48" s="887"/>
      <c r="IQX48" s="887"/>
      <c r="IQY48" s="887"/>
      <c r="IQZ48" s="887"/>
      <c r="IRA48" s="887"/>
      <c r="IRB48" s="887"/>
      <c r="IRC48" s="887"/>
      <c r="IRD48" s="887"/>
      <c r="IRE48" s="887"/>
      <c r="IRF48" s="887"/>
      <c r="IRG48" s="887"/>
      <c r="IRH48" s="887"/>
      <c r="IRI48" s="887"/>
      <c r="IRJ48" s="887"/>
      <c r="IRK48" s="887"/>
      <c r="IRL48" s="887"/>
      <c r="IRM48" s="887"/>
      <c r="IRN48" s="887"/>
      <c r="IRO48" s="887"/>
      <c r="IRP48" s="887"/>
      <c r="IRQ48" s="887"/>
      <c r="IRR48" s="887"/>
      <c r="IRS48" s="887"/>
      <c r="IRT48" s="887"/>
      <c r="IRU48" s="887"/>
      <c r="IRV48" s="887"/>
      <c r="IRW48" s="887"/>
      <c r="IRX48" s="887"/>
      <c r="IRY48" s="887"/>
      <c r="IRZ48" s="887"/>
      <c r="ISA48" s="887"/>
      <c r="ISB48" s="887"/>
      <c r="ISC48" s="887"/>
      <c r="ISD48" s="887"/>
      <c r="ISE48" s="887"/>
      <c r="ISF48" s="887"/>
      <c r="ISG48" s="887"/>
      <c r="ISH48" s="887"/>
      <c r="ISI48" s="887"/>
      <c r="ISJ48" s="887"/>
      <c r="ISK48" s="887"/>
      <c r="ISL48" s="887"/>
      <c r="ISM48" s="887"/>
      <c r="ISN48" s="887"/>
      <c r="ISO48" s="887"/>
      <c r="ISP48" s="887"/>
      <c r="ISQ48" s="887"/>
      <c r="ISR48" s="887"/>
      <c r="ISS48" s="887"/>
      <c r="IST48" s="887"/>
      <c r="ISU48" s="887"/>
      <c r="ISV48" s="887"/>
      <c r="ISW48" s="887"/>
      <c r="ISX48" s="887"/>
      <c r="ISY48" s="887"/>
      <c r="ISZ48" s="887"/>
      <c r="ITA48" s="887"/>
      <c r="ITB48" s="887"/>
      <c r="ITC48" s="887"/>
      <c r="ITD48" s="887"/>
      <c r="ITE48" s="887"/>
      <c r="ITF48" s="887"/>
      <c r="ITG48" s="887"/>
      <c r="ITH48" s="887"/>
      <c r="ITI48" s="887"/>
      <c r="ITJ48" s="887"/>
      <c r="ITK48" s="887"/>
      <c r="ITL48" s="887"/>
      <c r="ITM48" s="887"/>
      <c r="ITN48" s="887"/>
      <c r="ITO48" s="887"/>
      <c r="ITP48" s="887"/>
      <c r="ITQ48" s="887"/>
      <c r="ITR48" s="887"/>
      <c r="ITS48" s="887"/>
      <c r="ITT48" s="887"/>
      <c r="ITU48" s="887"/>
      <c r="ITV48" s="887"/>
      <c r="ITW48" s="887"/>
      <c r="ITX48" s="887"/>
      <c r="ITY48" s="887"/>
      <c r="ITZ48" s="887"/>
      <c r="IUA48" s="887"/>
      <c r="IUB48" s="887"/>
      <c r="IUC48" s="887"/>
      <c r="IUD48" s="887"/>
      <c r="IUE48" s="887"/>
      <c r="IUF48" s="887"/>
      <c r="IUG48" s="887"/>
      <c r="IUH48" s="887"/>
      <c r="IUI48" s="887"/>
      <c r="IUJ48" s="887"/>
      <c r="IUK48" s="887"/>
      <c r="IUL48" s="887"/>
      <c r="IUM48" s="887"/>
      <c r="IUN48" s="887"/>
      <c r="IUO48" s="887"/>
      <c r="IUP48" s="887"/>
      <c r="IUQ48" s="887"/>
      <c r="IUR48" s="887"/>
      <c r="IUS48" s="887"/>
      <c r="IUT48" s="887"/>
      <c r="IUU48" s="887"/>
      <c r="IUV48" s="887"/>
      <c r="IUW48" s="887"/>
      <c r="IUX48" s="887"/>
      <c r="IUY48" s="887"/>
      <c r="IUZ48" s="887"/>
      <c r="IVA48" s="887"/>
      <c r="IVB48" s="887"/>
      <c r="IVC48" s="887"/>
      <c r="IVD48" s="887"/>
      <c r="IVE48" s="887"/>
      <c r="IVF48" s="887"/>
      <c r="IVG48" s="887"/>
      <c r="IVH48" s="887"/>
      <c r="IVI48" s="887"/>
      <c r="IVJ48" s="887"/>
      <c r="IVK48" s="887"/>
      <c r="IVL48" s="887"/>
      <c r="IVM48" s="887"/>
      <c r="IVN48" s="887"/>
      <c r="IVO48" s="887"/>
      <c r="IVP48" s="887"/>
      <c r="IVQ48" s="887"/>
      <c r="IVR48" s="887"/>
      <c r="IVS48" s="887"/>
      <c r="IVT48" s="887"/>
      <c r="IVU48" s="887"/>
      <c r="IVV48" s="887"/>
      <c r="IVW48" s="887"/>
      <c r="IVX48" s="887"/>
      <c r="IVY48" s="887"/>
      <c r="IVZ48" s="887"/>
      <c r="IWA48" s="887"/>
      <c r="IWB48" s="887"/>
      <c r="IWC48" s="887"/>
      <c r="IWD48" s="887"/>
      <c r="IWE48" s="887"/>
      <c r="IWF48" s="887"/>
      <c r="IWG48" s="887"/>
      <c r="IWH48" s="887"/>
      <c r="IWI48" s="887"/>
      <c r="IWJ48" s="887"/>
      <c r="IWK48" s="887"/>
      <c r="IWL48" s="887"/>
      <c r="IWM48" s="887"/>
      <c r="IWN48" s="887"/>
      <c r="IWO48" s="887"/>
      <c r="IWP48" s="887"/>
      <c r="IWQ48" s="887"/>
      <c r="IWR48" s="887"/>
      <c r="IWS48" s="887"/>
      <c r="IWT48" s="887"/>
      <c r="IWU48" s="887"/>
      <c r="IWV48" s="887"/>
      <c r="IWW48" s="887"/>
      <c r="IWX48" s="887"/>
      <c r="IWY48" s="887"/>
      <c r="IWZ48" s="887"/>
      <c r="IXA48" s="887"/>
      <c r="IXB48" s="887"/>
      <c r="IXC48" s="887"/>
      <c r="IXD48" s="887"/>
      <c r="IXE48" s="887"/>
      <c r="IXF48" s="887"/>
      <c r="IXG48" s="887"/>
      <c r="IXH48" s="887"/>
      <c r="IXI48" s="887"/>
      <c r="IXJ48" s="887"/>
      <c r="IXK48" s="887"/>
      <c r="IXL48" s="887"/>
      <c r="IXM48" s="887"/>
      <c r="IXN48" s="887"/>
      <c r="IXO48" s="887"/>
      <c r="IXP48" s="887"/>
      <c r="IXQ48" s="887"/>
      <c r="IXR48" s="887"/>
      <c r="IXS48" s="887"/>
      <c r="IXT48" s="887"/>
      <c r="IXU48" s="887"/>
      <c r="IXV48" s="887"/>
      <c r="IXW48" s="887"/>
      <c r="IXX48" s="887"/>
      <c r="IXY48" s="887"/>
      <c r="IXZ48" s="887"/>
      <c r="IYA48" s="887"/>
      <c r="IYB48" s="887"/>
      <c r="IYC48" s="887"/>
      <c r="IYD48" s="887"/>
      <c r="IYE48" s="887"/>
      <c r="IYF48" s="887"/>
      <c r="IYG48" s="887"/>
      <c r="IYH48" s="887"/>
      <c r="IYI48" s="887"/>
      <c r="IYJ48" s="887"/>
      <c r="IYK48" s="887"/>
      <c r="IYL48" s="887"/>
      <c r="IYM48" s="887"/>
      <c r="IYN48" s="887"/>
      <c r="IYO48" s="887"/>
      <c r="IYP48" s="887"/>
      <c r="IYQ48" s="887"/>
      <c r="IYR48" s="887"/>
      <c r="IYS48" s="887"/>
      <c r="IYT48" s="887"/>
      <c r="IYU48" s="887"/>
      <c r="IYV48" s="887"/>
      <c r="IYW48" s="887"/>
      <c r="IYX48" s="887"/>
      <c r="IYY48" s="887"/>
      <c r="IYZ48" s="887"/>
      <c r="IZA48" s="887"/>
      <c r="IZB48" s="887"/>
      <c r="IZC48" s="887"/>
      <c r="IZD48" s="887"/>
      <c r="IZE48" s="887"/>
      <c r="IZF48" s="887"/>
      <c r="IZG48" s="887"/>
      <c r="IZH48" s="887"/>
      <c r="IZI48" s="887"/>
      <c r="IZJ48" s="887"/>
      <c r="IZK48" s="887"/>
      <c r="IZL48" s="887"/>
      <c r="IZM48" s="887"/>
      <c r="IZN48" s="887"/>
      <c r="IZO48" s="887"/>
      <c r="IZP48" s="887"/>
      <c r="IZQ48" s="887"/>
      <c r="IZR48" s="887"/>
      <c r="IZS48" s="887"/>
      <c r="IZT48" s="887"/>
      <c r="IZU48" s="887"/>
      <c r="IZV48" s="887"/>
      <c r="IZW48" s="887"/>
      <c r="IZX48" s="887"/>
      <c r="IZY48" s="887"/>
      <c r="IZZ48" s="887"/>
      <c r="JAA48" s="887"/>
      <c r="JAB48" s="887"/>
      <c r="JAC48" s="887"/>
      <c r="JAD48" s="887"/>
      <c r="JAE48" s="887"/>
      <c r="JAF48" s="887"/>
      <c r="JAG48" s="887"/>
      <c r="JAH48" s="887"/>
      <c r="JAI48" s="887"/>
      <c r="JAJ48" s="887"/>
      <c r="JAK48" s="887"/>
      <c r="JAL48" s="887"/>
      <c r="JAM48" s="887"/>
      <c r="JAN48" s="887"/>
      <c r="JAO48" s="887"/>
      <c r="JAP48" s="887"/>
      <c r="JAQ48" s="887"/>
      <c r="JAR48" s="887"/>
      <c r="JAS48" s="887"/>
      <c r="JAT48" s="887"/>
      <c r="JAU48" s="887"/>
      <c r="JAV48" s="887"/>
      <c r="JAW48" s="887"/>
      <c r="JAX48" s="887"/>
      <c r="JAY48" s="887"/>
      <c r="JAZ48" s="887"/>
      <c r="JBA48" s="887"/>
      <c r="JBB48" s="887"/>
      <c r="JBC48" s="887"/>
      <c r="JBD48" s="887"/>
      <c r="JBE48" s="887"/>
      <c r="JBF48" s="887"/>
      <c r="JBG48" s="887"/>
      <c r="JBH48" s="887"/>
      <c r="JBI48" s="887"/>
      <c r="JBJ48" s="887"/>
      <c r="JBK48" s="887"/>
      <c r="JBL48" s="887"/>
      <c r="JBM48" s="887"/>
      <c r="JBN48" s="887"/>
      <c r="JBO48" s="887"/>
      <c r="JBP48" s="887"/>
      <c r="JBQ48" s="887"/>
      <c r="JBR48" s="887"/>
      <c r="JBS48" s="887"/>
      <c r="JBT48" s="887"/>
      <c r="JBU48" s="887"/>
      <c r="JBV48" s="887"/>
      <c r="JBW48" s="887"/>
      <c r="JBX48" s="887"/>
      <c r="JBY48" s="887"/>
      <c r="JBZ48" s="887"/>
      <c r="JCA48" s="887"/>
      <c r="JCB48" s="887"/>
      <c r="JCC48" s="887"/>
      <c r="JCD48" s="887"/>
      <c r="JCE48" s="887"/>
      <c r="JCF48" s="887"/>
      <c r="JCG48" s="887"/>
      <c r="JCH48" s="887"/>
      <c r="JCI48" s="887"/>
      <c r="JCJ48" s="887"/>
      <c r="JCK48" s="887"/>
      <c r="JCL48" s="887"/>
      <c r="JCM48" s="887"/>
      <c r="JCN48" s="887"/>
      <c r="JCO48" s="887"/>
      <c r="JCP48" s="887"/>
      <c r="JCQ48" s="887"/>
      <c r="JCR48" s="887"/>
      <c r="JCS48" s="887"/>
      <c r="JCT48" s="887"/>
      <c r="JCU48" s="887"/>
      <c r="JCV48" s="887"/>
      <c r="JCW48" s="887"/>
      <c r="JCX48" s="887"/>
      <c r="JCY48" s="887"/>
      <c r="JCZ48" s="887"/>
      <c r="JDA48" s="887"/>
      <c r="JDB48" s="887"/>
      <c r="JDC48" s="887"/>
      <c r="JDD48" s="887"/>
      <c r="JDE48" s="887"/>
      <c r="JDF48" s="887"/>
      <c r="JDG48" s="887"/>
      <c r="JDH48" s="887"/>
      <c r="JDI48" s="887"/>
      <c r="JDJ48" s="887"/>
      <c r="JDK48" s="887"/>
      <c r="JDL48" s="887"/>
      <c r="JDM48" s="887"/>
      <c r="JDN48" s="887"/>
      <c r="JDO48" s="887"/>
      <c r="JDP48" s="887"/>
      <c r="JDQ48" s="887"/>
      <c r="JDR48" s="887"/>
      <c r="JDS48" s="887"/>
      <c r="JDT48" s="887"/>
      <c r="JDU48" s="887"/>
      <c r="JDV48" s="887"/>
      <c r="JDW48" s="887"/>
      <c r="JDX48" s="887"/>
      <c r="JDY48" s="887"/>
      <c r="JDZ48" s="887"/>
      <c r="JEA48" s="887"/>
      <c r="JEB48" s="887"/>
      <c r="JEC48" s="887"/>
      <c r="JED48" s="887"/>
      <c r="JEE48" s="887"/>
      <c r="JEF48" s="887"/>
      <c r="JEG48" s="887"/>
      <c r="JEH48" s="887"/>
      <c r="JEI48" s="887"/>
      <c r="JEJ48" s="887"/>
      <c r="JEK48" s="887"/>
      <c r="JEL48" s="887"/>
      <c r="JEM48" s="887"/>
      <c r="JEN48" s="887"/>
      <c r="JEO48" s="887"/>
      <c r="JEP48" s="887"/>
      <c r="JEQ48" s="887"/>
      <c r="JER48" s="887"/>
      <c r="JES48" s="887"/>
      <c r="JET48" s="887"/>
      <c r="JEU48" s="887"/>
      <c r="JEV48" s="887"/>
      <c r="JEW48" s="887"/>
      <c r="JEX48" s="887"/>
      <c r="JEY48" s="887"/>
      <c r="JEZ48" s="887"/>
      <c r="JFA48" s="887"/>
      <c r="JFB48" s="887"/>
      <c r="JFC48" s="887"/>
      <c r="JFD48" s="887"/>
      <c r="JFE48" s="887"/>
      <c r="JFF48" s="887"/>
      <c r="JFG48" s="887"/>
      <c r="JFH48" s="887"/>
      <c r="JFI48" s="887"/>
      <c r="JFJ48" s="887"/>
      <c r="JFK48" s="887"/>
      <c r="JFL48" s="887"/>
      <c r="JFM48" s="887"/>
      <c r="JFN48" s="887"/>
      <c r="JFO48" s="887"/>
      <c r="JFP48" s="887"/>
      <c r="JFQ48" s="887"/>
      <c r="JFR48" s="887"/>
      <c r="JFS48" s="887"/>
      <c r="JFT48" s="887"/>
      <c r="JFU48" s="887"/>
      <c r="JFV48" s="887"/>
      <c r="JFW48" s="887"/>
      <c r="JFX48" s="887"/>
      <c r="JFY48" s="887"/>
      <c r="JFZ48" s="887"/>
      <c r="JGA48" s="887"/>
      <c r="JGB48" s="887"/>
      <c r="JGC48" s="887"/>
      <c r="JGD48" s="887"/>
      <c r="JGE48" s="887"/>
      <c r="JGF48" s="887"/>
      <c r="JGG48" s="887"/>
      <c r="JGH48" s="887"/>
      <c r="JGI48" s="887"/>
      <c r="JGJ48" s="887"/>
      <c r="JGK48" s="887"/>
      <c r="JGL48" s="887"/>
      <c r="JGM48" s="887"/>
      <c r="JGN48" s="887"/>
      <c r="JGO48" s="887"/>
      <c r="JGP48" s="887"/>
      <c r="JGQ48" s="887"/>
      <c r="JGR48" s="887"/>
      <c r="JGS48" s="887"/>
      <c r="JGT48" s="887"/>
      <c r="JGU48" s="887"/>
      <c r="JGV48" s="887"/>
      <c r="JGW48" s="887"/>
      <c r="JGX48" s="887"/>
      <c r="JGY48" s="887"/>
      <c r="JGZ48" s="887"/>
      <c r="JHA48" s="887"/>
      <c r="JHB48" s="887"/>
      <c r="JHC48" s="887"/>
      <c r="JHD48" s="887"/>
      <c r="JHE48" s="887"/>
      <c r="JHF48" s="887"/>
      <c r="JHG48" s="887"/>
      <c r="JHH48" s="887"/>
      <c r="JHI48" s="887"/>
      <c r="JHJ48" s="887"/>
      <c r="JHK48" s="887"/>
      <c r="JHL48" s="887"/>
      <c r="JHM48" s="887"/>
      <c r="JHN48" s="887"/>
      <c r="JHO48" s="887"/>
      <c r="JHP48" s="887"/>
      <c r="JHQ48" s="887"/>
      <c r="JHR48" s="887"/>
      <c r="JHS48" s="887"/>
      <c r="JHT48" s="887"/>
      <c r="JHU48" s="887"/>
      <c r="JHV48" s="887"/>
      <c r="JHW48" s="887"/>
      <c r="JHX48" s="887"/>
      <c r="JHY48" s="887"/>
      <c r="JHZ48" s="887"/>
      <c r="JIA48" s="887"/>
      <c r="JIB48" s="887"/>
      <c r="JIC48" s="887"/>
      <c r="JID48" s="887"/>
      <c r="JIE48" s="887"/>
      <c r="JIF48" s="887"/>
      <c r="JIG48" s="887"/>
      <c r="JIH48" s="887"/>
      <c r="JII48" s="887"/>
      <c r="JIJ48" s="887"/>
      <c r="JIK48" s="887"/>
      <c r="JIL48" s="887"/>
      <c r="JIM48" s="887"/>
      <c r="JIN48" s="887"/>
      <c r="JIO48" s="887"/>
      <c r="JIP48" s="887"/>
      <c r="JIQ48" s="887"/>
      <c r="JIR48" s="887"/>
      <c r="JIS48" s="887"/>
      <c r="JIT48" s="887"/>
      <c r="JIU48" s="887"/>
      <c r="JIV48" s="887"/>
      <c r="JIW48" s="887"/>
      <c r="JIX48" s="887"/>
      <c r="JIY48" s="887"/>
      <c r="JIZ48" s="887"/>
      <c r="JJA48" s="887"/>
      <c r="JJB48" s="887"/>
      <c r="JJC48" s="887"/>
      <c r="JJD48" s="887"/>
      <c r="JJE48" s="887"/>
      <c r="JJF48" s="887"/>
      <c r="JJG48" s="887"/>
      <c r="JJH48" s="887"/>
      <c r="JJI48" s="887"/>
      <c r="JJJ48" s="887"/>
      <c r="JJK48" s="887"/>
      <c r="JJL48" s="887"/>
      <c r="JJM48" s="887"/>
      <c r="JJN48" s="887"/>
      <c r="JJO48" s="887"/>
      <c r="JJP48" s="887"/>
      <c r="JJQ48" s="887"/>
      <c r="JJR48" s="887"/>
      <c r="JJS48" s="887"/>
      <c r="JJT48" s="887"/>
      <c r="JJU48" s="887"/>
      <c r="JJV48" s="887"/>
      <c r="JJW48" s="887"/>
      <c r="JJX48" s="887"/>
      <c r="JJY48" s="887"/>
      <c r="JJZ48" s="887"/>
      <c r="JKA48" s="887"/>
      <c r="JKB48" s="887"/>
      <c r="JKC48" s="887"/>
      <c r="JKD48" s="887"/>
      <c r="JKE48" s="887"/>
      <c r="JKF48" s="887"/>
      <c r="JKG48" s="887"/>
      <c r="JKH48" s="887"/>
      <c r="JKI48" s="887"/>
      <c r="JKJ48" s="887"/>
      <c r="JKK48" s="887"/>
      <c r="JKL48" s="887"/>
      <c r="JKM48" s="887"/>
      <c r="JKN48" s="887"/>
      <c r="JKO48" s="887"/>
      <c r="JKP48" s="887"/>
      <c r="JKQ48" s="887"/>
      <c r="JKR48" s="887"/>
      <c r="JKS48" s="887"/>
      <c r="JKT48" s="887"/>
      <c r="JKU48" s="887"/>
      <c r="JKV48" s="887"/>
      <c r="JKW48" s="887"/>
      <c r="JKX48" s="887"/>
      <c r="JKY48" s="887"/>
      <c r="JKZ48" s="887"/>
      <c r="JLA48" s="887"/>
      <c r="JLB48" s="887"/>
      <c r="JLC48" s="887"/>
      <c r="JLD48" s="887"/>
      <c r="JLE48" s="887"/>
      <c r="JLF48" s="887"/>
      <c r="JLG48" s="887"/>
      <c r="JLH48" s="887"/>
      <c r="JLI48" s="887"/>
      <c r="JLJ48" s="887"/>
      <c r="JLK48" s="887"/>
      <c r="JLL48" s="887"/>
      <c r="JLM48" s="887"/>
      <c r="JLN48" s="887"/>
      <c r="JLO48" s="887"/>
      <c r="JLP48" s="887"/>
      <c r="JLQ48" s="887"/>
      <c r="JLR48" s="887"/>
      <c r="JLS48" s="887"/>
      <c r="JLT48" s="887"/>
      <c r="JLU48" s="887"/>
      <c r="JLV48" s="887"/>
      <c r="JLW48" s="887"/>
      <c r="JLX48" s="887"/>
      <c r="JLY48" s="887"/>
      <c r="JLZ48" s="887"/>
      <c r="JMA48" s="887"/>
      <c r="JMB48" s="887"/>
      <c r="JMC48" s="887"/>
      <c r="JMD48" s="887"/>
      <c r="JME48" s="887"/>
      <c r="JMF48" s="887"/>
      <c r="JMG48" s="887"/>
      <c r="JMH48" s="887"/>
      <c r="JMI48" s="887"/>
      <c r="JMJ48" s="887"/>
      <c r="JMK48" s="887"/>
      <c r="JML48" s="887"/>
      <c r="JMM48" s="887"/>
      <c r="JMN48" s="887"/>
      <c r="JMO48" s="887"/>
      <c r="JMP48" s="887"/>
      <c r="JMQ48" s="887"/>
      <c r="JMR48" s="887"/>
      <c r="JMS48" s="887"/>
      <c r="JMT48" s="887"/>
      <c r="JMU48" s="887"/>
      <c r="JMV48" s="887"/>
      <c r="JMW48" s="887"/>
      <c r="JMX48" s="887"/>
      <c r="JMY48" s="887"/>
      <c r="JMZ48" s="887"/>
      <c r="JNA48" s="887"/>
      <c r="JNB48" s="887"/>
      <c r="JNC48" s="887"/>
      <c r="JND48" s="887"/>
      <c r="JNE48" s="887"/>
      <c r="JNF48" s="887"/>
      <c r="JNG48" s="887"/>
      <c r="JNH48" s="887"/>
      <c r="JNI48" s="887"/>
      <c r="JNJ48" s="887"/>
      <c r="JNK48" s="887"/>
      <c r="JNL48" s="887"/>
      <c r="JNM48" s="887"/>
      <c r="JNN48" s="887"/>
      <c r="JNO48" s="887"/>
      <c r="JNP48" s="887"/>
      <c r="JNQ48" s="887"/>
      <c r="JNR48" s="887"/>
      <c r="JNS48" s="887"/>
      <c r="JNT48" s="887"/>
      <c r="JNU48" s="887"/>
      <c r="JNV48" s="887"/>
      <c r="JNW48" s="887"/>
      <c r="JNX48" s="887"/>
      <c r="JNY48" s="887"/>
      <c r="JNZ48" s="887"/>
      <c r="JOA48" s="887"/>
      <c r="JOB48" s="887"/>
      <c r="JOC48" s="887"/>
      <c r="JOD48" s="887"/>
      <c r="JOE48" s="887"/>
      <c r="JOF48" s="887"/>
      <c r="JOG48" s="887"/>
      <c r="JOH48" s="887"/>
      <c r="JOI48" s="887"/>
      <c r="JOJ48" s="887"/>
      <c r="JOK48" s="887"/>
      <c r="JOL48" s="887"/>
      <c r="JOM48" s="887"/>
      <c r="JON48" s="887"/>
      <c r="JOO48" s="887"/>
      <c r="JOP48" s="887"/>
      <c r="JOQ48" s="887"/>
      <c r="JOR48" s="887"/>
      <c r="JOS48" s="887"/>
      <c r="JOT48" s="887"/>
      <c r="JOU48" s="887"/>
      <c r="JOV48" s="887"/>
      <c r="JOW48" s="887"/>
      <c r="JOX48" s="887"/>
      <c r="JOY48" s="887"/>
      <c r="JOZ48" s="887"/>
      <c r="JPA48" s="887"/>
      <c r="JPB48" s="887"/>
      <c r="JPC48" s="887"/>
      <c r="JPD48" s="887"/>
      <c r="JPE48" s="887"/>
      <c r="JPF48" s="887"/>
      <c r="JPG48" s="887"/>
      <c r="JPH48" s="887"/>
      <c r="JPI48" s="887"/>
      <c r="JPJ48" s="887"/>
      <c r="JPK48" s="887"/>
      <c r="JPL48" s="887"/>
      <c r="JPM48" s="887"/>
      <c r="JPN48" s="887"/>
      <c r="JPO48" s="887"/>
      <c r="JPP48" s="887"/>
      <c r="JPQ48" s="887"/>
      <c r="JPR48" s="887"/>
      <c r="JPS48" s="887"/>
      <c r="JPT48" s="887"/>
      <c r="JPU48" s="887"/>
      <c r="JPV48" s="887"/>
      <c r="JPW48" s="887"/>
      <c r="JPX48" s="887"/>
      <c r="JPY48" s="887"/>
      <c r="JPZ48" s="887"/>
      <c r="JQA48" s="887"/>
      <c r="JQB48" s="887"/>
      <c r="JQC48" s="887"/>
      <c r="JQD48" s="887"/>
      <c r="JQE48" s="887"/>
      <c r="JQF48" s="887"/>
      <c r="JQG48" s="887"/>
      <c r="JQH48" s="887"/>
      <c r="JQI48" s="887"/>
      <c r="JQJ48" s="887"/>
      <c r="JQK48" s="887"/>
      <c r="JQL48" s="887"/>
      <c r="JQM48" s="887"/>
      <c r="JQN48" s="887"/>
      <c r="JQO48" s="887"/>
      <c r="JQP48" s="887"/>
      <c r="JQQ48" s="887"/>
      <c r="JQR48" s="887"/>
      <c r="JQS48" s="887"/>
      <c r="JQT48" s="887"/>
      <c r="JQU48" s="887"/>
      <c r="JQV48" s="887"/>
      <c r="JQW48" s="887"/>
      <c r="JQX48" s="887"/>
      <c r="JQY48" s="887"/>
      <c r="JQZ48" s="887"/>
      <c r="JRA48" s="887"/>
      <c r="JRB48" s="887"/>
      <c r="JRC48" s="887"/>
      <c r="JRD48" s="887"/>
      <c r="JRE48" s="887"/>
      <c r="JRF48" s="887"/>
      <c r="JRG48" s="887"/>
      <c r="JRH48" s="887"/>
      <c r="JRI48" s="887"/>
      <c r="JRJ48" s="887"/>
      <c r="JRK48" s="887"/>
      <c r="JRL48" s="887"/>
      <c r="JRM48" s="887"/>
      <c r="JRN48" s="887"/>
      <c r="JRO48" s="887"/>
      <c r="JRP48" s="887"/>
      <c r="JRQ48" s="887"/>
      <c r="JRR48" s="887"/>
      <c r="JRS48" s="887"/>
      <c r="JRT48" s="887"/>
      <c r="JRU48" s="887"/>
      <c r="JRV48" s="887"/>
      <c r="JRW48" s="887"/>
      <c r="JRX48" s="887"/>
      <c r="JRY48" s="887"/>
      <c r="JRZ48" s="887"/>
      <c r="JSA48" s="887"/>
      <c r="JSB48" s="887"/>
      <c r="JSC48" s="887"/>
      <c r="JSD48" s="887"/>
      <c r="JSE48" s="887"/>
      <c r="JSF48" s="887"/>
      <c r="JSG48" s="887"/>
      <c r="JSH48" s="887"/>
      <c r="JSI48" s="887"/>
      <c r="JSJ48" s="887"/>
      <c r="JSK48" s="887"/>
      <c r="JSL48" s="887"/>
      <c r="JSM48" s="887"/>
      <c r="JSN48" s="887"/>
      <c r="JSO48" s="887"/>
      <c r="JSP48" s="887"/>
      <c r="JSQ48" s="887"/>
      <c r="JSR48" s="887"/>
      <c r="JSS48" s="887"/>
      <c r="JST48" s="887"/>
      <c r="JSU48" s="887"/>
      <c r="JSV48" s="887"/>
      <c r="JSW48" s="887"/>
      <c r="JSX48" s="887"/>
      <c r="JSY48" s="887"/>
      <c r="JSZ48" s="887"/>
      <c r="JTA48" s="887"/>
      <c r="JTB48" s="887"/>
      <c r="JTC48" s="887"/>
      <c r="JTD48" s="887"/>
      <c r="JTE48" s="887"/>
      <c r="JTF48" s="887"/>
      <c r="JTG48" s="887"/>
      <c r="JTH48" s="887"/>
      <c r="JTI48" s="887"/>
      <c r="JTJ48" s="887"/>
      <c r="JTK48" s="887"/>
      <c r="JTL48" s="887"/>
      <c r="JTM48" s="887"/>
      <c r="JTN48" s="887"/>
      <c r="JTO48" s="887"/>
      <c r="JTP48" s="887"/>
      <c r="JTQ48" s="887"/>
      <c r="JTR48" s="887"/>
      <c r="JTS48" s="887"/>
      <c r="JTT48" s="887"/>
      <c r="JTU48" s="887"/>
      <c r="JTV48" s="887"/>
      <c r="JTW48" s="887"/>
      <c r="JTX48" s="887"/>
      <c r="JTY48" s="887"/>
      <c r="JTZ48" s="887"/>
      <c r="JUA48" s="887"/>
      <c r="JUB48" s="887"/>
      <c r="JUC48" s="887"/>
      <c r="JUD48" s="887"/>
      <c r="JUE48" s="887"/>
      <c r="JUF48" s="887"/>
      <c r="JUG48" s="887"/>
      <c r="JUH48" s="887"/>
      <c r="JUI48" s="887"/>
      <c r="JUJ48" s="887"/>
      <c r="JUK48" s="887"/>
      <c r="JUL48" s="887"/>
      <c r="JUM48" s="887"/>
      <c r="JUN48" s="887"/>
      <c r="JUO48" s="887"/>
      <c r="JUP48" s="887"/>
      <c r="JUQ48" s="887"/>
      <c r="JUR48" s="887"/>
      <c r="JUS48" s="887"/>
      <c r="JUT48" s="887"/>
      <c r="JUU48" s="887"/>
      <c r="JUV48" s="887"/>
      <c r="JUW48" s="887"/>
      <c r="JUX48" s="887"/>
      <c r="JUY48" s="887"/>
      <c r="JUZ48" s="887"/>
      <c r="JVA48" s="887"/>
      <c r="JVB48" s="887"/>
      <c r="JVC48" s="887"/>
      <c r="JVD48" s="887"/>
      <c r="JVE48" s="887"/>
      <c r="JVF48" s="887"/>
      <c r="JVG48" s="887"/>
      <c r="JVH48" s="887"/>
      <c r="JVI48" s="887"/>
      <c r="JVJ48" s="887"/>
      <c r="JVK48" s="887"/>
      <c r="JVL48" s="887"/>
      <c r="JVM48" s="887"/>
      <c r="JVN48" s="887"/>
      <c r="JVO48" s="887"/>
      <c r="JVP48" s="887"/>
      <c r="JVQ48" s="887"/>
      <c r="JVR48" s="887"/>
      <c r="JVS48" s="887"/>
      <c r="JVT48" s="887"/>
      <c r="JVU48" s="887"/>
      <c r="JVV48" s="887"/>
      <c r="JVW48" s="887"/>
      <c r="JVX48" s="887"/>
      <c r="JVY48" s="887"/>
      <c r="JVZ48" s="887"/>
      <c r="JWA48" s="887"/>
      <c r="JWB48" s="887"/>
      <c r="JWC48" s="887"/>
      <c r="JWD48" s="887"/>
      <c r="JWE48" s="887"/>
      <c r="JWF48" s="887"/>
      <c r="JWG48" s="887"/>
      <c r="JWH48" s="887"/>
      <c r="JWI48" s="887"/>
      <c r="JWJ48" s="887"/>
      <c r="JWK48" s="887"/>
      <c r="JWL48" s="887"/>
      <c r="JWM48" s="887"/>
      <c r="JWN48" s="887"/>
      <c r="JWO48" s="887"/>
      <c r="JWP48" s="887"/>
      <c r="JWQ48" s="887"/>
      <c r="JWR48" s="887"/>
      <c r="JWS48" s="887"/>
      <c r="JWT48" s="887"/>
      <c r="JWU48" s="887"/>
      <c r="JWV48" s="887"/>
      <c r="JWW48" s="887"/>
      <c r="JWX48" s="887"/>
      <c r="JWY48" s="887"/>
      <c r="JWZ48" s="887"/>
      <c r="JXA48" s="887"/>
      <c r="JXB48" s="887"/>
      <c r="JXC48" s="887"/>
      <c r="JXD48" s="887"/>
      <c r="JXE48" s="887"/>
      <c r="JXF48" s="887"/>
      <c r="JXG48" s="887"/>
      <c r="JXH48" s="887"/>
      <c r="JXI48" s="887"/>
      <c r="JXJ48" s="887"/>
      <c r="JXK48" s="887"/>
      <c r="JXL48" s="887"/>
      <c r="JXM48" s="887"/>
      <c r="JXN48" s="887"/>
      <c r="JXO48" s="887"/>
      <c r="JXP48" s="887"/>
      <c r="JXQ48" s="887"/>
      <c r="JXR48" s="887"/>
      <c r="JXS48" s="887"/>
      <c r="JXT48" s="887"/>
      <c r="JXU48" s="887"/>
      <c r="JXV48" s="887"/>
      <c r="JXW48" s="887"/>
      <c r="JXX48" s="887"/>
      <c r="JXY48" s="887"/>
      <c r="JXZ48" s="887"/>
      <c r="JYA48" s="887"/>
      <c r="JYB48" s="887"/>
      <c r="JYC48" s="887"/>
      <c r="JYD48" s="887"/>
      <c r="JYE48" s="887"/>
      <c r="JYF48" s="887"/>
      <c r="JYG48" s="887"/>
      <c r="JYH48" s="887"/>
      <c r="JYI48" s="887"/>
      <c r="JYJ48" s="887"/>
      <c r="JYK48" s="887"/>
      <c r="JYL48" s="887"/>
      <c r="JYM48" s="887"/>
      <c r="JYN48" s="887"/>
      <c r="JYO48" s="887"/>
      <c r="JYP48" s="887"/>
      <c r="JYQ48" s="887"/>
      <c r="JYR48" s="887"/>
      <c r="JYS48" s="887"/>
      <c r="JYT48" s="887"/>
      <c r="JYU48" s="887"/>
      <c r="JYV48" s="887"/>
      <c r="JYW48" s="887"/>
      <c r="JYX48" s="887"/>
      <c r="JYY48" s="887"/>
      <c r="JYZ48" s="887"/>
      <c r="JZA48" s="887"/>
      <c r="JZB48" s="887"/>
      <c r="JZC48" s="887"/>
      <c r="JZD48" s="887"/>
      <c r="JZE48" s="887"/>
      <c r="JZF48" s="887"/>
      <c r="JZG48" s="887"/>
      <c r="JZH48" s="887"/>
      <c r="JZI48" s="887"/>
      <c r="JZJ48" s="887"/>
      <c r="JZK48" s="887"/>
      <c r="JZL48" s="887"/>
      <c r="JZM48" s="887"/>
      <c r="JZN48" s="887"/>
      <c r="JZO48" s="887"/>
      <c r="JZP48" s="887"/>
      <c r="JZQ48" s="887"/>
      <c r="JZR48" s="887"/>
      <c r="JZS48" s="887"/>
      <c r="JZT48" s="887"/>
      <c r="JZU48" s="887"/>
      <c r="JZV48" s="887"/>
      <c r="JZW48" s="887"/>
      <c r="JZX48" s="887"/>
      <c r="JZY48" s="887"/>
      <c r="JZZ48" s="887"/>
      <c r="KAA48" s="887"/>
      <c r="KAB48" s="887"/>
      <c r="KAC48" s="887"/>
      <c r="KAD48" s="887"/>
      <c r="KAE48" s="887"/>
      <c r="KAF48" s="887"/>
      <c r="KAG48" s="887"/>
      <c r="KAH48" s="887"/>
      <c r="KAI48" s="887"/>
      <c r="KAJ48" s="887"/>
      <c r="KAK48" s="887"/>
      <c r="KAL48" s="887"/>
      <c r="KAM48" s="887"/>
      <c r="KAN48" s="887"/>
      <c r="KAO48" s="887"/>
      <c r="KAP48" s="887"/>
      <c r="KAQ48" s="887"/>
      <c r="KAR48" s="887"/>
      <c r="KAS48" s="887"/>
      <c r="KAT48" s="887"/>
      <c r="KAU48" s="887"/>
      <c r="KAV48" s="887"/>
      <c r="KAW48" s="887"/>
      <c r="KAX48" s="887"/>
      <c r="KAY48" s="887"/>
      <c r="KAZ48" s="887"/>
      <c r="KBA48" s="887"/>
      <c r="KBB48" s="887"/>
      <c r="KBC48" s="887"/>
      <c r="KBD48" s="887"/>
      <c r="KBE48" s="887"/>
      <c r="KBF48" s="887"/>
      <c r="KBG48" s="887"/>
      <c r="KBH48" s="887"/>
      <c r="KBI48" s="887"/>
      <c r="KBJ48" s="887"/>
      <c r="KBK48" s="887"/>
      <c r="KBL48" s="887"/>
      <c r="KBM48" s="887"/>
      <c r="KBN48" s="887"/>
      <c r="KBO48" s="887"/>
      <c r="KBP48" s="887"/>
      <c r="KBQ48" s="887"/>
      <c r="KBR48" s="887"/>
      <c r="KBS48" s="887"/>
      <c r="KBT48" s="887"/>
      <c r="KBU48" s="887"/>
      <c r="KBV48" s="887"/>
      <c r="KBW48" s="887"/>
      <c r="KBX48" s="887"/>
      <c r="KBY48" s="887"/>
      <c r="KBZ48" s="887"/>
      <c r="KCA48" s="887"/>
      <c r="KCB48" s="887"/>
      <c r="KCC48" s="887"/>
      <c r="KCD48" s="887"/>
      <c r="KCE48" s="887"/>
      <c r="KCF48" s="887"/>
      <c r="KCG48" s="887"/>
      <c r="KCH48" s="887"/>
      <c r="KCI48" s="887"/>
      <c r="KCJ48" s="887"/>
      <c r="KCK48" s="887"/>
      <c r="KCL48" s="887"/>
      <c r="KCM48" s="887"/>
      <c r="KCN48" s="887"/>
      <c r="KCO48" s="887"/>
      <c r="KCP48" s="887"/>
      <c r="KCQ48" s="887"/>
      <c r="KCR48" s="887"/>
      <c r="KCS48" s="887"/>
      <c r="KCT48" s="887"/>
      <c r="KCU48" s="887"/>
      <c r="KCV48" s="887"/>
      <c r="KCW48" s="887"/>
      <c r="KCX48" s="887"/>
      <c r="KCY48" s="887"/>
      <c r="KCZ48" s="887"/>
      <c r="KDA48" s="887"/>
      <c r="KDB48" s="887"/>
      <c r="KDC48" s="887"/>
      <c r="KDD48" s="887"/>
      <c r="KDE48" s="887"/>
      <c r="KDF48" s="887"/>
      <c r="KDG48" s="887"/>
      <c r="KDH48" s="887"/>
      <c r="KDI48" s="887"/>
      <c r="KDJ48" s="887"/>
      <c r="KDK48" s="887"/>
      <c r="KDL48" s="887"/>
      <c r="KDM48" s="887"/>
      <c r="KDN48" s="887"/>
      <c r="KDO48" s="887"/>
      <c r="KDP48" s="887"/>
      <c r="KDQ48" s="887"/>
      <c r="KDR48" s="887"/>
      <c r="KDS48" s="887"/>
      <c r="KDT48" s="887"/>
      <c r="KDU48" s="887"/>
      <c r="KDV48" s="887"/>
      <c r="KDW48" s="887"/>
      <c r="KDX48" s="887"/>
      <c r="KDY48" s="887"/>
      <c r="KDZ48" s="887"/>
      <c r="KEA48" s="887"/>
      <c r="KEB48" s="887"/>
      <c r="KEC48" s="887"/>
      <c r="KED48" s="887"/>
      <c r="KEE48" s="887"/>
      <c r="KEF48" s="887"/>
      <c r="KEG48" s="887"/>
      <c r="KEH48" s="887"/>
      <c r="KEI48" s="887"/>
      <c r="KEJ48" s="887"/>
      <c r="KEK48" s="887"/>
      <c r="KEL48" s="887"/>
      <c r="KEM48" s="887"/>
      <c r="KEN48" s="887"/>
      <c r="KEO48" s="887"/>
      <c r="KEP48" s="887"/>
      <c r="KEQ48" s="887"/>
      <c r="KER48" s="887"/>
      <c r="KES48" s="887"/>
      <c r="KET48" s="887"/>
      <c r="KEU48" s="887"/>
      <c r="KEV48" s="887"/>
      <c r="KEW48" s="887"/>
      <c r="KEX48" s="887"/>
      <c r="KEY48" s="887"/>
      <c r="KEZ48" s="887"/>
      <c r="KFA48" s="887"/>
      <c r="KFB48" s="887"/>
      <c r="KFC48" s="887"/>
      <c r="KFD48" s="887"/>
      <c r="KFE48" s="887"/>
      <c r="KFF48" s="887"/>
      <c r="KFG48" s="887"/>
      <c r="KFH48" s="887"/>
      <c r="KFI48" s="887"/>
      <c r="KFJ48" s="887"/>
      <c r="KFK48" s="887"/>
      <c r="KFL48" s="887"/>
      <c r="KFM48" s="887"/>
      <c r="KFN48" s="887"/>
      <c r="KFO48" s="887"/>
      <c r="KFP48" s="887"/>
      <c r="KFQ48" s="887"/>
      <c r="KFR48" s="887"/>
      <c r="KFS48" s="887"/>
      <c r="KFT48" s="887"/>
      <c r="KFU48" s="887"/>
      <c r="KFV48" s="887"/>
      <c r="KFW48" s="887"/>
      <c r="KFX48" s="887"/>
      <c r="KFY48" s="887"/>
      <c r="KFZ48" s="887"/>
      <c r="KGA48" s="887"/>
      <c r="KGB48" s="887"/>
      <c r="KGC48" s="887"/>
      <c r="KGD48" s="887"/>
      <c r="KGE48" s="887"/>
      <c r="KGF48" s="887"/>
      <c r="KGG48" s="887"/>
      <c r="KGH48" s="887"/>
      <c r="KGI48" s="887"/>
      <c r="KGJ48" s="887"/>
      <c r="KGK48" s="887"/>
      <c r="KGL48" s="887"/>
      <c r="KGM48" s="887"/>
      <c r="KGN48" s="887"/>
      <c r="KGO48" s="887"/>
      <c r="KGP48" s="887"/>
      <c r="KGQ48" s="887"/>
      <c r="KGR48" s="887"/>
      <c r="KGS48" s="887"/>
      <c r="KGT48" s="887"/>
      <c r="KGU48" s="887"/>
      <c r="KGV48" s="887"/>
      <c r="KGW48" s="887"/>
      <c r="KGX48" s="887"/>
      <c r="KGY48" s="887"/>
      <c r="KGZ48" s="887"/>
      <c r="KHA48" s="887"/>
      <c r="KHB48" s="887"/>
      <c r="KHC48" s="887"/>
      <c r="KHD48" s="887"/>
      <c r="KHE48" s="887"/>
      <c r="KHF48" s="887"/>
      <c r="KHG48" s="887"/>
      <c r="KHH48" s="887"/>
      <c r="KHI48" s="887"/>
      <c r="KHJ48" s="887"/>
      <c r="KHK48" s="887"/>
      <c r="KHL48" s="887"/>
      <c r="KHM48" s="887"/>
      <c r="KHN48" s="887"/>
      <c r="KHO48" s="887"/>
      <c r="KHP48" s="887"/>
      <c r="KHQ48" s="887"/>
      <c r="KHR48" s="887"/>
      <c r="KHS48" s="887"/>
      <c r="KHT48" s="887"/>
      <c r="KHU48" s="887"/>
      <c r="KHV48" s="887"/>
      <c r="KHW48" s="887"/>
      <c r="KHX48" s="887"/>
      <c r="KHY48" s="887"/>
      <c r="KHZ48" s="887"/>
      <c r="KIA48" s="887"/>
      <c r="KIB48" s="887"/>
      <c r="KIC48" s="887"/>
      <c r="KID48" s="887"/>
      <c r="KIE48" s="887"/>
      <c r="KIF48" s="887"/>
      <c r="KIG48" s="887"/>
      <c r="KIH48" s="887"/>
      <c r="KII48" s="887"/>
      <c r="KIJ48" s="887"/>
      <c r="KIK48" s="887"/>
      <c r="KIL48" s="887"/>
      <c r="KIM48" s="887"/>
      <c r="KIN48" s="887"/>
      <c r="KIO48" s="887"/>
      <c r="KIP48" s="887"/>
      <c r="KIQ48" s="887"/>
      <c r="KIR48" s="887"/>
      <c r="KIS48" s="887"/>
      <c r="KIT48" s="887"/>
      <c r="KIU48" s="887"/>
      <c r="KIV48" s="887"/>
      <c r="KIW48" s="887"/>
      <c r="KIX48" s="887"/>
      <c r="KIY48" s="887"/>
      <c r="KIZ48" s="887"/>
      <c r="KJA48" s="887"/>
      <c r="KJB48" s="887"/>
      <c r="KJC48" s="887"/>
      <c r="KJD48" s="887"/>
      <c r="KJE48" s="887"/>
      <c r="KJF48" s="887"/>
      <c r="KJG48" s="887"/>
      <c r="KJH48" s="887"/>
      <c r="KJI48" s="887"/>
      <c r="KJJ48" s="887"/>
      <c r="KJK48" s="887"/>
      <c r="KJL48" s="887"/>
      <c r="KJM48" s="887"/>
      <c r="KJN48" s="887"/>
      <c r="KJO48" s="887"/>
      <c r="KJP48" s="887"/>
      <c r="KJQ48" s="887"/>
      <c r="KJR48" s="887"/>
      <c r="KJS48" s="887"/>
      <c r="KJT48" s="887"/>
      <c r="KJU48" s="887"/>
      <c r="KJV48" s="887"/>
      <c r="KJW48" s="887"/>
      <c r="KJX48" s="887"/>
      <c r="KJY48" s="887"/>
      <c r="KJZ48" s="887"/>
      <c r="KKA48" s="887"/>
      <c r="KKB48" s="887"/>
      <c r="KKC48" s="887"/>
      <c r="KKD48" s="887"/>
      <c r="KKE48" s="887"/>
      <c r="KKF48" s="887"/>
      <c r="KKG48" s="887"/>
      <c r="KKH48" s="887"/>
      <c r="KKI48" s="887"/>
      <c r="KKJ48" s="887"/>
      <c r="KKK48" s="887"/>
      <c r="KKL48" s="887"/>
      <c r="KKM48" s="887"/>
      <c r="KKN48" s="887"/>
      <c r="KKO48" s="887"/>
      <c r="KKP48" s="887"/>
      <c r="KKQ48" s="887"/>
      <c r="KKR48" s="887"/>
      <c r="KKS48" s="887"/>
      <c r="KKT48" s="887"/>
      <c r="KKU48" s="887"/>
      <c r="KKV48" s="887"/>
      <c r="KKW48" s="887"/>
      <c r="KKX48" s="887"/>
      <c r="KKY48" s="887"/>
      <c r="KKZ48" s="887"/>
      <c r="KLA48" s="887"/>
      <c r="KLB48" s="887"/>
      <c r="KLC48" s="887"/>
      <c r="KLD48" s="887"/>
      <c r="KLE48" s="887"/>
      <c r="KLF48" s="887"/>
      <c r="KLG48" s="887"/>
      <c r="KLH48" s="887"/>
      <c r="KLI48" s="887"/>
      <c r="KLJ48" s="887"/>
      <c r="KLK48" s="887"/>
      <c r="KLL48" s="887"/>
      <c r="KLM48" s="887"/>
      <c r="KLN48" s="887"/>
      <c r="KLO48" s="887"/>
      <c r="KLP48" s="887"/>
      <c r="KLQ48" s="887"/>
      <c r="KLR48" s="887"/>
      <c r="KLS48" s="887"/>
      <c r="KLT48" s="887"/>
      <c r="KLU48" s="887"/>
      <c r="KLV48" s="887"/>
      <c r="KLW48" s="887"/>
      <c r="KLX48" s="887"/>
      <c r="KLY48" s="887"/>
      <c r="KLZ48" s="887"/>
      <c r="KMA48" s="887"/>
      <c r="KMB48" s="887"/>
      <c r="KMC48" s="887"/>
      <c r="KMD48" s="887"/>
      <c r="KME48" s="887"/>
      <c r="KMF48" s="887"/>
      <c r="KMG48" s="887"/>
      <c r="KMH48" s="887"/>
      <c r="KMI48" s="887"/>
      <c r="KMJ48" s="887"/>
      <c r="KMK48" s="887"/>
      <c r="KML48" s="887"/>
      <c r="KMM48" s="887"/>
      <c r="KMN48" s="887"/>
      <c r="KMO48" s="887"/>
      <c r="KMP48" s="887"/>
      <c r="KMQ48" s="887"/>
      <c r="KMR48" s="887"/>
      <c r="KMS48" s="887"/>
      <c r="KMT48" s="887"/>
      <c r="KMU48" s="887"/>
      <c r="KMV48" s="887"/>
      <c r="KMW48" s="887"/>
      <c r="KMX48" s="887"/>
      <c r="KMY48" s="887"/>
      <c r="KMZ48" s="887"/>
      <c r="KNA48" s="887"/>
      <c r="KNB48" s="887"/>
      <c r="KNC48" s="887"/>
      <c r="KND48" s="887"/>
      <c r="KNE48" s="887"/>
      <c r="KNF48" s="887"/>
      <c r="KNG48" s="887"/>
      <c r="KNH48" s="887"/>
      <c r="KNI48" s="887"/>
      <c r="KNJ48" s="887"/>
      <c r="KNK48" s="887"/>
      <c r="KNL48" s="887"/>
      <c r="KNM48" s="887"/>
      <c r="KNN48" s="887"/>
      <c r="KNO48" s="887"/>
      <c r="KNP48" s="887"/>
      <c r="KNQ48" s="887"/>
      <c r="KNR48" s="887"/>
      <c r="KNS48" s="887"/>
      <c r="KNT48" s="887"/>
      <c r="KNU48" s="887"/>
      <c r="KNV48" s="887"/>
      <c r="KNW48" s="887"/>
      <c r="KNX48" s="887"/>
      <c r="KNY48" s="887"/>
      <c r="KNZ48" s="887"/>
      <c r="KOA48" s="887"/>
      <c r="KOB48" s="887"/>
      <c r="KOC48" s="887"/>
      <c r="KOD48" s="887"/>
      <c r="KOE48" s="887"/>
      <c r="KOF48" s="887"/>
      <c r="KOG48" s="887"/>
      <c r="KOH48" s="887"/>
      <c r="KOI48" s="887"/>
      <c r="KOJ48" s="887"/>
      <c r="KOK48" s="887"/>
      <c r="KOL48" s="887"/>
      <c r="KOM48" s="887"/>
      <c r="KON48" s="887"/>
      <c r="KOO48" s="887"/>
      <c r="KOP48" s="887"/>
      <c r="KOQ48" s="887"/>
      <c r="KOR48" s="887"/>
      <c r="KOS48" s="887"/>
      <c r="KOT48" s="887"/>
      <c r="KOU48" s="887"/>
      <c r="KOV48" s="887"/>
      <c r="KOW48" s="887"/>
      <c r="KOX48" s="887"/>
      <c r="KOY48" s="887"/>
      <c r="KOZ48" s="887"/>
      <c r="KPA48" s="887"/>
      <c r="KPB48" s="887"/>
      <c r="KPC48" s="887"/>
      <c r="KPD48" s="887"/>
      <c r="KPE48" s="887"/>
      <c r="KPF48" s="887"/>
      <c r="KPG48" s="887"/>
      <c r="KPH48" s="887"/>
      <c r="KPI48" s="887"/>
      <c r="KPJ48" s="887"/>
      <c r="KPK48" s="887"/>
      <c r="KPL48" s="887"/>
      <c r="KPM48" s="887"/>
      <c r="KPN48" s="887"/>
      <c r="KPO48" s="887"/>
      <c r="KPP48" s="887"/>
      <c r="KPQ48" s="887"/>
      <c r="KPR48" s="887"/>
      <c r="KPS48" s="887"/>
      <c r="KPT48" s="887"/>
      <c r="KPU48" s="887"/>
      <c r="KPV48" s="887"/>
      <c r="KPW48" s="887"/>
      <c r="KPX48" s="887"/>
      <c r="KPY48" s="887"/>
      <c r="KPZ48" s="887"/>
      <c r="KQA48" s="887"/>
      <c r="KQB48" s="887"/>
      <c r="KQC48" s="887"/>
      <c r="KQD48" s="887"/>
      <c r="KQE48" s="887"/>
      <c r="KQF48" s="887"/>
      <c r="KQG48" s="887"/>
      <c r="KQH48" s="887"/>
      <c r="KQI48" s="887"/>
      <c r="KQJ48" s="887"/>
      <c r="KQK48" s="887"/>
      <c r="KQL48" s="887"/>
      <c r="KQM48" s="887"/>
      <c r="KQN48" s="887"/>
      <c r="KQO48" s="887"/>
      <c r="KQP48" s="887"/>
      <c r="KQQ48" s="887"/>
      <c r="KQR48" s="887"/>
      <c r="KQS48" s="887"/>
      <c r="KQT48" s="887"/>
      <c r="KQU48" s="887"/>
      <c r="KQV48" s="887"/>
      <c r="KQW48" s="887"/>
      <c r="KQX48" s="887"/>
      <c r="KQY48" s="887"/>
      <c r="KQZ48" s="887"/>
      <c r="KRA48" s="887"/>
      <c r="KRB48" s="887"/>
      <c r="KRC48" s="887"/>
      <c r="KRD48" s="887"/>
      <c r="KRE48" s="887"/>
      <c r="KRF48" s="887"/>
      <c r="KRG48" s="887"/>
      <c r="KRH48" s="887"/>
      <c r="KRI48" s="887"/>
      <c r="KRJ48" s="887"/>
      <c r="KRK48" s="887"/>
      <c r="KRL48" s="887"/>
      <c r="KRM48" s="887"/>
      <c r="KRN48" s="887"/>
      <c r="KRO48" s="887"/>
      <c r="KRP48" s="887"/>
      <c r="KRQ48" s="887"/>
      <c r="KRR48" s="887"/>
      <c r="KRS48" s="887"/>
      <c r="KRT48" s="887"/>
      <c r="KRU48" s="887"/>
      <c r="KRV48" s="887"/>
      <c r="KRW48" s="887"/>
      <c r="KRX48" s="887"/>
      <c r="KRY48" s="887"/>
      <c r="KRZ48" s="887"/>
      <c r="KSA48" s="887"/>
      <c r="KSB48" s="887"/>
      <c r="KSC48" s="887"/>
      <c r="KSD48" s="887"/>
      <c r="KSE48" s="887"/>
      <c r="KSF48" s="887"/>
      <c r="KSG48" s="887"/>
      <c r="KSH48" s="887"/>
      <c r="KSI48" s="887"/>
      <c r="KSJ48" s="887"/>
      <c r="KSK48" s="887"/>
      <c r="KSL48" s="887"/>
      <c r="KSM48" s="887"/>
      <c r="KSN48" s="887"/>
      <c r="KSO48" s="887"/>
      <c r="KSP48" s="887"/>
      <c r="KSQ48" s="887"/>
      <c r="KSR48" s="887"/>
      <c r="KSS48" s="887"/>
      <c r="KST48" s="887"/>
      <c r="KSU48" s="887"/>
      <c r="KSV48" s="887"/>
      <c r="KSW48" s="887"/>
      <c r="KSX48" s="887"/>
      <c r="KSY48" s="887"/>
      <c r="KSZ48" s="887"/>
      <c r="KTA48" s="887"/>
      <c r="KTB48" s="887"/>
      <c r="KTC48" s="887"/>
      <c r="KTD48" s="887"/>
      <c r="KTE48" s="887"/>
      <c r="KTF48" s="887"/>
      <c r="KTG48" s="887"/>
      <c r="KTH48" s="887"/>
      <c r="KTI48" s="887"/>
      <c r="KTJ48" s="887"/>
      <c r="KTK48" s="887"/>
      <c r="KTL48" s="887"/>
      <c r="KTM48" s="887"/>
      <c r="KTN48" s="887"/>
      <c r="KTO48" s="887"/>
      <c r="KTP48" s="887"/>
      <c r="KTQ48" s="887"/>
      <c r="KTR48" s="887"/>
      <c r="KTS48" s="887"/>
      <c r="KTT48" s="887"/>
      <c r="KTU48" s="887"/>
      <c r="KTV48" s="887"/>
      <c r="KTW48" s="887"/>
      <c r="KTX48" s="887"/>
      <c r="KTY48" s="887"/>
      <c r="KTZ48" s="887"/>
      <c r="KUA48" s="887"/>
      <c r="KUB48" s="887"/>
      <c r="KUC48" s="887"/>
      <c r="KUD48" s="887"/>
      <c r="KUE48" s="887"/>
      <c r="KUF48" s="887"/>
      <c r="KUG48" s="887"/>
      <c r="KUH48" s="887"/>
      <c r="KUI48" s="887"/>
      <c r="KUJ48" s="887"/>
      <c r="KUK48" s="887"/>
      <c r="KUL48" s="887"/>
      <c r="KUM48" s="887"/>
      <c r="KUN48" s="887"/>
      <c r="KUO48" s="887"/>
      <c r="KUP48" s="887"/>
      <c r="KUQ48" s="887"/>
      <c r="KUR48" s="887"/>
      <c r="KUS48" s="887"/>
      <c r="KUT48" s="887"/>
      <c r="KUU48" s="887"/>
      <c r="KUV48" s="887"/>
      <c r="KUW48" s="887"/>
      <c r="KUX48" s="887"/>
      <c r="KUY48" s="887"/>
      <c r="KUZ48" s="887"/>
      <c r="KVA48" s="887"/>
      <c r="KVB48" s="887"/>
      <c r="KVC48" s="887"/>
      <c r="KVD48" s="887"/>
      <c r="KVE48" s="887"/>
      <c r="KVF48" s="887"/>
      <c r="KVG48" s="887"/>
      <c r="KVH48" s="887"/>
      <c r="KVI48" s="887"/>
      <c r="KVJ48" s="887"/>
      <c r="KVK48" s="887"/>
      <c r="KVL48" s="887"/>
      <c r="KVM48" s="887"/>
      <c r="KVN48" s="887"/>
      <c r="KVO48" s="887"/>
      <c r="KVP48" s="887"/>
      <c r="KVQ48" s="887"/>
      <c r="KVR48" s="887"/>
      <c r="KVS48" s="887"/>
      <c r="KVT48" s="887"/>
      <c r="KVU48" s="887"/>
      <c r="KVV48" s="887"/>
      <c r="KVW48" s="887"/>
      <c r="KVX48" s="887"/>
      <c r="KVY48" s="887"/>
      <c r="KVZ48" s="887"/>
      <c r="KWA48" s="887"/>
      <c r="KWB48" s="887"/>
      <c r="KWC48" s="887"/>
      <c r="KWD48" s="887"/>
      <c r="KWE48" s="887"/>
      <c r="KWF48" s="887"/>
      <c r="KWG48" s="887"/>
      <c r="KWH48" s="887"/>
      <c r="KWI48" s="887"/>
      <c r="KWJ48" s="887"/>
      <c r="KWK48" s="887"/>
      <c r="KWL48" s="887"/>
      <c r="KWM48" s="887"/>
      <c r="KWN48" s="887"/>
      <c r="KWO48" s="887"/>
      <c r="KWP48" s="887"/>
      <c r="KWQ48" s="887"/>
      <c r="KWR48" s="887"/>
      <c r="KWS48" s="887"/>
      <c r="KWT48" s="887"/>
      <c r="KWU48" s="887"/>
      <c r="KWV48" s="887"/>
      <c r="KWW48" s="887"/>
      <c r="KWX48" s="887"/>
      <c r="KWY48" s="887"/>
      <c r="KWZ48" s="887"/>
      <c r="KXA48" s="887"/>
      <c r="KXB48" s="887"/>
      <c r="KXC48" s="887"/>
      <c r="KXD48" s="887"/>
      <c r="KXE48" s="887"/>
      <c r="KXF48" s="887"/>
      <c r="KXG48" s="887"/>
      <c r="KXH48" s="887"/>
      <c r="KXI48" s="887"/>
      <c r="KXJ48" s="887"/>
      <c r="KXK48" s="887"/>
      <c r="KXL48" s="887"/>
      <c r="KXM48" s="887"/>
      <c r="KXN48" s="887"/>
      <c r="KXO48" s="887"/>
      <c r="KXP48" s="887"/>
      <c r="KXQ48" s="887"/>
      <c r="KXR48" s="887"/>
      <c r="KXS48" s="887"/>
      <c r="KXT48" s="887"/>
      <c r="KXU48" s="887"/>
      <c r="KXV48" s="887"/>
      <c r="KXW48" s="887"/>
      <c r="KXX48" s="887"/>
      <c r="KXY48" s="887"/>
      <c r="KXZ48" s="887"/>
      <c r="KYA48" s="887"/>
      <c r="KYB48" s="887"/>
      <c r="KYC48" s="887"/>
      <c r="KYD48" s="887"/>
      <c r="KYE48" s="887"/>
      <c r="KYF48" s="887"/>
      <c r="KYG48" s="887"/>
      <c r="KYH48" s="887"/>
      <c r="KYI48" s="887"/>
      <c r="KYJ48" s="887"/>
      <c r="KYK48" s="887"/>
      <c r="KYL48" s="887"/>
      <c r="KYM48" s="887"/>
      <c r="KYN48" s="887"/>
      <c r="KYO48" s="887"/>
      <c r="KYP48" s="887"/>
      <c r="KYQ48" s="887"/>
      <c r="KYR48" s="887"/>
      <c r="KYS48" s="887"/>
      <c r="KYT48" s="887"/>
      <c r="KYU48" s="887"/>
      <c r="KYV48" s="887"/>
      <c r="KYW48" s="887"/>
      <c r="KYX48" s="887"/>
      <c r="KYY48" s="887"/>
      <c r="KYZ48" s="887"/>
      <c r="KZA48" s="887"/>
      <c r="KZB48" s="887"/>
      <c r="KZC48" s="887"/>
      <c r="KZD48" s="887"/>
      <c r="KZE48" s="887"/>
      <c r="KZF48" s="887"/>
      <c r="KZG48" s="887"/>
      <c r="KZH48" s="887"/>
      <c r="KZI48" s="887"/>
      <c r="KZJ48" s="887"/>
      <c r="KZK48" s="887"/>
      <c r="KZL48" s="887"/>
      <c r="KZM48" s="887"/>
      <c r="KZN48" s="887"/>
      <c r="KZO48" s="887"/>
      <c r="KZP48" s="887"/>
      <c r="KZQ48" s="887"/>
      <c r="KZR48" s="887"/>
      <c r="KZS48" s="887"/>
      <c r="KZT48" s="887"/>
      <c r="KZU48" s="887"/>
      <c r="KZV48" s="887"/>
      <c r="KZW48" s="887"/>
      <c r="KZX48" s="887"/>
      <c r="KZY48" s="887"/>
      <c r="KZZ48" s="887"/>
      <c r="LAA48" s="887"/>
      <c r="LAB48" s="887"/>
      <c r="LAC48" s="887"/>
      <c r="LAD48" s="887"/>
      <c r="LAE48" s="887"/>
      <c r="LAF48" s="887"/>
      <c r="LAG48" s="887"/>
      <c r="LAH48" s="887"/>
      <c r="LAI48" s="887"/>
      <c r="LAJ48" s="887"/>
      <c r="LAK48" s="887"/>
      <c r="LAL48" s="887"/>
      <c r="LAM48" s="887"/>
      <c r="LAN48" s="887"/>
      <c r="LAO48" s="887"/>
      <c r="LAP48" s="887"/>
      <c r="LAQ48" s="887"/>
      <c r="LAR48" s="887"/>
      <c r="LAS48" s="887"/>
      <c r="LAT48" s="887"/>
      <c r="LAU48" s="887"/>
      <c r="LAV48" s="887"/>
      <c r="LAW48" s="887"/>
      <c r="LAX48" s="887"/>
      <c r="LAY48" s="887"/>
      <c r="LAZ48" s="887"/>
      <c r="LBA48" s="887"/>
      <c r="LBB48" s="887"/>
      <c r="LBC48" s="887"/>
      <c r="LBD48" s="887"/>
      <c r="LBE48" s="887"/>
      <c r="LBF48" s="887"/>
      <c r="LBG48" s="887"/>
      <c r="LBH48" s="887"/>
      <c r="LBI48" s="887"/>
      <c r="LBJ48" s="887"/>
      <c r="LBK48" s="887"/>
      <c r="LBL48" s="887"/>
      <c r="LBM48" s="887"/>
      <c r="LBN48" s="887"/>
      <c r="LBO48" s="887"/>
      <c r="LBP48" s="887"/>
      <c r="LBQ48" s="887"/>
      <c r="LBR48" s="887"/>
      <c r="LBS48" s="887"/>
      <c r="LBT48" s="887"/>
      <c r="LBU48" s="887"/>
      <c r="LBV48" s="887"/>
      <c r="LBW48" s="887"/>
      <c r="LBX48" s="887"/>
      <c r="LBY48" s="887"/>
      <c r="LBZ48" s="887"/>
      <c r="LCA48" s="887"/>
      <c r="LCB48" s="887"/>
      <c r="LCC48" s="887"/>
      <c r="LCD48" s="887"/>
      <c r="LCE48" s="887"/>
      <c r="LCF48" s="887"/>
      <c r="LCG48" s="887"/>
      <c r="LCH48" s="887"/>
      <c r="LCI48" s="887"/>
      <c r="LCJ48" s="887"/>
      <c r="LCK48" s="887"/>
      <c r="LCL48" s="887"/>
      <c r="LCM48" s="887"/>
      <c r="LCN48" s="887"/>
      <c r="LCO48" s="887"/>
      <c r="LCP48" s="887"/>
      <c r="LCQ48" s="887"/>
      <c r="LCR48" s="887"/>
      <c r="LCS48" s="887"/>
      <c r="LCT48" s="887"/>
      <c r="LCU48" s="887"/>
      <c r="LCV48" s="887"/>
      <c r="LCW48" s="887"/>
      <c r="LCX48" s="887"/>
      <c r="LCY48" s="887"/>
      <c r="LCZ48" s="887"/>
      <c r="LDA48" s="887"/>
      <c r="LDB48" s="887"/>
      <c r="LDC48" s="887"/>
      <c r="LDD48" s="887"/>
      <c r="LDE48" s="887"/>
      <c r="LDF48" s="887"/>
      <c r="LDG48" s="887"/>
      <c r="LDH48" s="887"/>
      <c r="LDI48" s="887"/>
      <c r="LDJ48" s="887"/>
      <c r="LDK48" s="887"/>
      <c r="LDL48" s="887"/>
      <c r="LDM48" s="887"/>
      <c r="LDN48" s="887"/>
      <c r="LDO48" s="887"/>
      <c r="LDP48" s="887"/>
      <c r="LDQ48" s="887"/>
      <c r="LDR48" s="887"/>
      <c r="LDS48" s="887"/>
      <c r="LDT48" s="887"/>
      <c r="LDU48" s="887"/>
      <c r="LDV48" s="887"/>
      <c r="LDW48" s="887"/>
      <c r="LDX48" s="887"/>
      <c r="LDY48" s="887"/>
      <c r="LDZ48" s="887"/>
      <c r="LEA48" s="887"/>
      <c r="LEB48" s="887"/>
      <c r="LEC48" s="887"/>
      <c r="LED48" s="887"/>
      <c r="LEE48" s="887"/>
      <c r="LEF48" s="887"/>
      <c r="LEG48" s="887"/>
      <c r="LEH48" s="887"/>
      <c r="LEI48" s="887"/>
      <c r="LEJ48" s="887"/>
      <c r="LEK48" s="887"/>
      <c r="LEL48" s="887"/>
      <c r="LEM48" s="887"/>
      <c r="LEN48" s="887"/>
      <c r="LEO48" s="887"/>
      <c r="LEP48" s="887"/>
      <c r="LEQ48" s="887"/>
      <c r="LER48" s="887"/>
      <c r="LES48" s="887"/>
      <c r="LET48" s="887"/>
      <c r="LEU48" s="887"/>
      <c r="LEV48" s="887"/>
      <c r="LEW48" s="887"/>
      <c r="LEX48" s="887"/>
      <c r="LEY48" s="887"/>
      <c r="LEZ48" s="887"/>
      <c r="LFA48" s="887"/>
      <c r="LFB48" s="887"/>
      <c r="LFC48" s="887"/>
      <c r="LFD48" s="887"/>
      <c r="LFE48" s="887"/>
      <c r="LFF48" s="887"/>
      <c r="LFG48" s="887"/>
      <c r="LFH48" s="887"/>
      <c r="LFI48" s="887"/>
      <c r="LFJ48" s="887"/>
      <c r="LFK48" s="887"/>
      <c r="LFL48" s="887"/>
      <c r="LFM48" s="887"/>
      <c r="LFN48" s="887"/>
      <c r="LFO48" s="887"/>
      <c r="LFP48" s="887"/>
      <c r="LFQ48" s="887"/>
      <c r="LFR48" s="887"/>
      <c r="LFS48" s="887"/>
      <c r="LFT48" s="887"/>
      <c r="LFU48" s="887"/>
      <c r="LFV48" s="887"/>
      <c r="LFW48" s="887"/>
      <c r="LFX48" s="887"/>
      <c r="LFY48" s="887"/>
      <c r="LFZ48" s="887"/>
      <c r="LGA48" s="887"/>
      <c r="LGB48" s="887"/>
      <c r="LGC48" s="887"/>
      <c r="LGD48" s="887"/>
      <c r="LGE48" s="887"/>
      <c r="LGF48" s="887"/>
      <c r="LGG48" s="887"/>
      <c r="LGH48" s="887"/>
      <c r="LGI48" s="887"/>
      <c r="LGJ48" s="887"/>
      <c r="LGK48" s="887"/>
      <c r="LGL48" s="887"/>
      <c r="LGM48" s="887"/>
      <c r="LGN48" s="887"/>
      <c r="LGO48" s="887"/>
      <c r="LGP48" s="887"/>
      <c r="LGQ48" s="887"/>
      <c r="LGR48" s="887"/>
      <c r="LGS48" s="887"/>
      <c r="LGT48" s="887"/>
      <c r="LGU48" s="887"/>
      <c r="LGV48" s="887"/>
      <c r="LGW48" s="887"/>
      <c r="LGX48" s="887"/>
      <c r="LGY48" s="887"/>
      <c r="LGZ48" s="887"/>
      <c r="LHA48" s="887"/>
      <c r="LHB48" s="887"/>
      <c r="LHC48" s="887"/>
      <c r="LHD48" s="887"/>
      <c r="LHE48" s="887"/>
      <c r="LHF48" s="887"/>
      <c r="LHG48" s="887"/>
      <c r="LHH48" s="887"/>
      <c r="LHI48" s="887"/>
      <c r="LHJ48" s="887"/>
      <c r="LHK48" s="887"/>
      <c r="LHL48" s="887"/>
      <c r="LHM48" s="887"/>
      <c r="LHN48" s="887"/>
      <c r="LHO48" s="887"/>
      <c r="LHP48" s="887"/>
      <c r="LHQ48" s="887"/>
      <c r="LHR48" s="887"/>
      <c r="LHS48" s="887"/>
      <c r="LHT48" s="887"/>
      <c r="LHU48" s="887"/>
      <c r="LHV48" s="887"/>
      <c r="LHW48" s="887"/>
      <c r="LHX48" s="887"/>
      <c r="LHY48" s="887"/>
      <c r="LHZ48" s="887"/>
      <c r="LIA48" s="887"/>
      <c r="LIB48" s="887"/>
      <c r="LIC48" s="887"/>
      <c r="LID48" s="887"/>
      <c r="LIE48" s="887"/>
      <c r="LIF48" s="887"/>
      <c r="LIG48" s="887"/>
      <c r="LIH48" s="887"/>
      <c r="LII48" s="887"/>
      <c r="LIJ48" s="887"/>
      <c r="LIK48" s="887"/>
      <c r="LIL48" s="887"/>
      <c r="LIM48" s="887"/>
      <c r="LIN48" s="887"/>
      <c r="LIO48" s="887"/>
      <c r="LIP48" s="887"/>
      <c r="LIQ48" s="887"/>
      <c r="LIR48" s="887"/>
      <c r="LIS48" s="887"/>
      <c r="LIT48" s="887"/>
      <c r="LIU48" s="887"/>
      <c r="LIV48" s="887"/>
      <c r="LIW48" s="887"/>
      <c r="LIX48" s="887"/>
      <c r="LIY48" s="887"/>
      <c r="LIZ48" s="887"/>
      <c r="LJA48" s="887"/>
      <c r="LJB48" s="887"/>
      <c r="LJC48" s="887"/>
      <c r="LJD48" s="887"/>
      <c r="LJE48" s="887"/>
      <c r="LJF48" s="887"/>
      <c r="LJG48" s="887"/>
      <c r="LJH48" s="887"/>
      <c r="LJI48" s="887"/>
      <c r="LJJ48" s="887"/>
      <c r="LJK48" s="887"/>
      <c r="LJL48" s="887"/>
      <c r="LJM48" s="887"/>
      <c r="LJN48" s="887"/>
      <c r="LJO48" s="887"/>
      <c r="LJP48" s="887"/>
      <c r="LJQ48" s="887"/>
      <c r="LJR48" s="887"/>
      <c r="LJS48" s="887"/>
      <c r="LJT48" s="887"/>
      <c r="LJU48" s="887"/>
      <c r="LJV48" s="887"/>
      <c r="LJW48" s="887"/>
      <c r="LJX48" s="887"/>
      <c r="LJY48" s="887"/>
      <c r="LJZ48" s="887"/>
      <c r="LKA48" s="887"/>
      <c r="LKB48" s="887"/>
      <c r="LKC48" s="887"/>
      <c r="LKD48" s="887"/>
      <c r="LKE48" s="887"/>
      <c r="LKF48" s="887"/>
      <c r="LKG48" s="887"/>
      <c r="LKH48" s="887"/>
      <c r="LKI48" s="887"/>
      <c r="LKJ48" s="887"/>
      <c r="LKK48" s="887"/>
      <c r="LKL48" s="887"/>
      <c r="LKM48" s="887"/>
      <c r="LKN48" s="887"/>
      <c r="LKO48" s="887"/>
      <c r="LKP48" s="887"/>
      <c r="LKQ48" s="887"/>
      <c r="LKR48" s="887"/>
      <c r="LKS48" s="887"/>
      <c r="LKT48" s="887"/>
      <c r="LKU48" s="887"/>
      <c r="LKV48" s="887"/>
      <c r="LKW48" s="887"/>
      <c r="LKX48" s="887"/>
      <c r="LKY48" s="887"/>
      <c r="LKZ48" s="887"/>
      <c r="LLA48" s="887"/>
      <c r="LLB48" s="887"/>
      <c r="LLC48" s="887"/>
      <c r="LLD48" s="887"/>
      <c r="LLE48" s="887"/>
      <c r="LLF48" s="887"/>
      <c r="LLG48" s="887"/>
      <c r="LLH48" s="887"/>
      <c r="LLI48" s="887"/>
      <c r="LLJ48" s="887"/>
      <c r="LLK48" s="887"/>
      <c r="LLL48" s="887"/>
      <c r="LLM48" s="887"/>
      <c r="LLN48" s="887"/>
      <c r="LLO48" s="887"/>
      <c r="LLP48" s="887"/>
      <c r="LLQ48" s="887"/>
      <c r="LLR48" s="887"/>
      <c r="LLS48" s="887"/>
      <c r="LLT48" s="887"/>
      <c r="LLU48" s="887"/>
      <c r="LLV48" s="887"/>
      <c r="LLW48" s="887"/>
      <c r="LLX48" s="887"/>
      <c r="LLY48" s="887"/>
      <c r="LLZ48" s="887"/>
      <c r="LMA48" s="887"/>
      <c r="LMB48" s="887"/>
      <c r="LMC48" s="887"/>
      <c r="LMD48" s="887"/>
      <c r="LME48" s="887"/>
      <c r="LMF48" s="887"/>
      <c r="LMG48" s="887"/>
      <c r="LMH48" s="887"/>
      <c r="LMI48" s="887"/>
      <c r="LMJ48" s="887"/>
      <c r="LMK48" s="887"/>
      <c r="LML48" s="887"/>
      <c r="LMM48" s="887"/>
      <c r="LMN48" s="887"/>
      <c r="LMO48" s="887"/>
      <c r="LMP48" s="887"/>
      <c r="LMQ48" s="887"/>
      <c r="LMR48" s="887"/>
      <c r="LMS48" s="887"/>
      <c r="LMT48" s="887"/>
      <c r="LMU48" s="887"/>
      <c r="LMV48" s="887"/>
      <c r="LMW48" s="887"/>
      <c r="LMX48" s="887"/>
      <c r="LMY48" s="887"/>
      <c r="LMZ48" s="887"/>
      <c r="LNA48" s="887"/>
      <c r="LNB48" s="887"/>
      <c r="LNC48" s="887"/>
      <c r="LND48" s="887"/>
      <c r="LNE48" s="887"/>
      <c r="LNF48" s="887"/>
      <c r="LNG48" s="887"/>
      <c r="LNH48" s="887"/>
      <c r="LNI48" s="887"/>
      <c r="LNJ48" s="887"/>
      <c r="LNK48" s="887"/>
      <c r="LNL48" s="887"/>
      <c r="LNM48" s="887"/>
      <c r="LNN48" s="887"/>
      <c r="LNO48" s="887"/>
      <c r="LNP48" s="887"/>
      <c r="LNQ48" s="887"/>
      <c r="LNR48" s="887"/>
      <c r="LNS48" s="887"/>
      <c r="LNT48" s="887"/>
      <c r="LNU48" s="887"/>
      <c r="LNV48" s="887"/>
      <c r="LNW48" s="887"/>
      <c r="LNX48" s="887"/>
      <c r="LNY48" s="887"/>
      <c r="LNZ48" s="887"/>
      <c r="LOA48" s="887"/>
      <c r="LOB48" s="887"/>
      <c r="LOC48" s="887"/>
      <c r="LOD48" s="887"/>
      <c r="LOE48" s="887"/>
      <c r="LOF48" s="887"/>
      <c r="LOG48" s="887"/>
      <c r="LOH48" s="887"/>
      <c r="LOI48" s="887"/>
      <c r="LOJ48" s="887"/>
      <c r="LOK48" s="887"/>
      <c r="LOL48" s="887"/>
      <c r="LOM48" s="887"/>
      <c r="LON48" s="887"/>
      <c r="LOO48" s="887"/>
      <c r="LOP48" s="887"/>
      <c r="LOQ48" s="887"/>
      <c r="LOR48" s="887"/>
      <c r="LOS48" s="887"/>
      <c r="LOT48" s="887"/>
      <c r="LOU48" s="887"/>
      <c r="LOV48" s="887"/>
      <c r="LOW48" s="887"/>
      <c r="LOX48" s="887"/>
      <c r="LOY48" s="887"/>
      <c r="LOZ48" s="887"/>
      <c r="LPA48" s="887"/>
      <c r="LPB48" s="887"/>
      <c r="LPC48" s="887"/>
      <c r="LPD48" s="887"/>
      <c r="LPE48" s="887"/>
      <c r="LPF48" s="887"/>
      <c r="LPG48" s="887"/>
      <c r="LPH48" s="887"/>
      <c r="LPI48" s="887"/>
      <c r="LPJ48" s="887"/>
      <c r="LPK48" s="887"/>
      <c r="LPL48" s="887"/>
      <c r="LPM48" s="887"/>
      <c r="LPN48" s="887"/>
      <c r="LPO48" s="887"/>
      <c r="LPP48" s="887"/>
      <c r="LPQ48" s="887"/>
      <c r="LPR48" s="887"/>
      <c r="LPS48" s="887"/>
      <c r="LPT48" s="887"/>
      <c r="LPU48" s="887"/>
      <c r="LPV48" s="887"/>
      <c r="LPW48" s="887"/>
      <c r="LPX48" s="887"/>
      <c r="LPY48" s="887"/>
      <c r="LPZ48" s="887"/>
      <c r="LQA48" s="887"/>
      <c r="LQB48" s="887"/>
      <c r="LQC48" s="887"/>
      <c r="LQD48" s="887"/>
      <c r="LQE48" s="887"/>
      <c r="LQF48" s="887"/>
      <c r="LQG48" s="887"/>
      <c r="LQH48" s="887"/>
      <c r="LQI48" s="887"/>
      <c r="LQJ48" s="887"/>
      <c r="LQK48" s="887"/>
      <c r="LQL48" s="887"/>
      <c r="LQM48" s="887"/>
      <c r="LQN48" s="887"/>
      <c r="LQO48" s="887"/>
      <c r="LQP48" s="887"/>
      <c r="LQQ48" s="887"/>
      <c r="LQR48" s="887"/>
      <c r="LQS48" s="887"/>
      <c r="LQT48" s="887"/>
      <c r="LQU48" s="887"/>
      <c r="LQV48" s="887"/>
      <c r="LQW48" s="887"/>
      <c r="LQX48" s="887"/>
      <c r="LQY48" s="887"/>
      <c r="LQZ48" s="887"/>
      <c r="LRA48" s="887"/>
      <c r="LRB48" s="887"/>
      <c r="LRC48" s="887"/>
      <c r="LRD48" s="887"/>
      <c r="LRE48" s="887"/>
      <c r="LRF48" s="887"/>
      <c r="LRG48" s="887"/>
      <c r="LRH48" s="887"/>
      <c r="LRI48" s="887"/>
      <c r="LRJ48" s="887"/>
      <c r="LRK48" s="887"/>
      <c r="LRL48" s="887"/>
      <c r="LRM48" s="887"/>
      <c r="LRN48" s="887"/>
      <c r="LRO48" s="887"/>
      <c r="LRP48" s="887"/>
      <c r="LRQ48" s="887"/>
      <c r="LRR48" s="887"/>
      <c r="LRS48" s="887"/>
      <c r="LRT48" s="887"/>
      <c r="LRU48" s="887"/>
      <c r="LRV48" s="887"/>
      <c r="LRW48" s="887"/>
      <c r="LRX48" s="887"/>
      <c r="LRY48" s="887"/>
      <c r="LRZ48" s="887"/>
      <c r="LSA48" s="887"/>
      <c r="LSB48" s="887"/>
      <c r="LSC48" s="887"/>
      <c r="LSD48" s="887"/>
      <c r="LSE48" s="887"/>
      <c r="LSF48" s="887"/>
      <c r="LSG48" s="887"/>
      <c r="LSH48" s="887"/>
      <c r="LSI48" s="887"/>
      <c r="LSJ48" s="887"/>
      <c r="LSK48" s="887"/>
      <c r="LSL48" s="887"/>
      <c r="LSM48" s="887"/>
      <c r="LSN48" s="887"/>
      <c r="LSO48" s="887"/>
      <c r="LSP48" s="887"/>
      <c r="LSQ48" s="887"/>
      <c r="LSR48" s="887"/>
      <c r="LSS48" s="887"/>
      <c r="LST48" s="887"/>
      <c r="LSU48" s="887"/>
      <c r="LSV48" s="887"/>
      <c r="LSW48" s="887"/>
      <c r="LSX48" s="887"/>
      <c r="LSY48" s="887"/>
      <c r="LSZ48" s="887"/>
      <c r="LTA48" s="887"/>
      <c r="LTB48" s="887"/>
      <c r="LTC48" s="887"/>
      <c r="LTD48" s="887"/>
      <c r="LTE48" s="887"/>
      <c r="LTF48" s="887"/>
      <c r="LTG48" s="887"/>
      <c r="LTH48" s="887"/>
      <c r="LTI48" s="887"/>
      <c r="LTJ48" s="887"/>
      <c r="LTK48" s="887"/>
      <c r="LTL48" s="887"/>
      <c r="LTM48" s="887"/>
      <c r="LTN48" s="887"/>
      <c r="LTO48" s="887"/>
      <c r="LTP48" s="887"/>
      <c r="LTQ48" s="887"/>
      <c r="LTR48" s="887"/>
      <c r="LTS48" s="887"/>
      <c r="LTT48" s="887"/>
      <c r="LTU48" s="887"/>
      <c r="LTV48" s="887"/>
      <c r="LTW48" s="887"/>
      <c r="LTX48" s="887"/>
      <c r="LTY48" s="887"/>
      <c r="LTZ48" s="887"/>
      <c r="LUA48" s="887"/>
      <c r="LUB48" s="887"/>
      <c r="LUC48" s="887"/>
      <c r="LUD48" s="887"/>
      <c r="LUE48" s="887"/>
      <c r="LUF48" s="887"/>
      <c r="LUG48" s="887"/>
      <c r="LUH48" s="887"/>
      <c r="LUI48" s="887"/>
      <c r="LUJ48" s="887"/>
      <c r="LUK48" s="887"/>
      <c r="LUL48" s="887"/>
      <c r="LUM48" s="887"/>
      <c r="LUN48" s="887"/>
      <c r="LUO48" s="887"/>
      <c r="LUP48" s="887"/>
      <c r="LUQ48" s="887"/>
      <c r="LUR48" s="887"/>
      <c r="LUS48" s="887"/>
      <c r="LUT48" s="887"/>
      <c r="LUU48" s="887"/>
      <c r="LUV48" s="887"/>
      <c r="LUW48" s="887"/>
      <c r="LUX48" s="887"/>
      <c r="LUY48" s="887"/>
      <c r="LUZ48" s="887"/>
      <c r="LVA48" s="887"/>
      <c r="LVB48" s="887"/>
      <c r="LVC48" s="887"/>
      <c r="LVD48" s="887"/>
      <c r="LVE48" s="887"/>
      <c r="LVF48" s="887"/>
      <c r="LVG48" s="887"/>
      <c r="LVH48" s="887"/>
      <c r="LVI48" s="887"/>
      <c r="LVJ48" s="887"/>
      <c r="LVK48" s="887"/>
      <c r="LVL48" s="887"/>
      <c r="LVM48" s="887"/>
      <c r="LVN48" s="887"/>
      <c r="LVO48" s="887"/>
      <c r="LVP48" s="887"/>
      <c r="LVQ48" s="887"/>
      <c r="LVR48" s="887"/>
      <c r="LVS48" s="887"/>
      <c r="LVT48" s="887"/>
      <c r="LVU48" s="887"/>
      <c r="LVV48" s="887"/>
      <c r="LVW48" s="887"/>
      <c r="LVX48" s="887"/>
      <c r="LVY48" s="887"/>
      <c r="LVZ48" s="887"/>
      <c r="LWA48" s="887"/>
      <c r="LWB48" s="887"/>
      <c r="LWC48" s="887"/>
      <c r="LWD48" s="887"/>
      <c r="LWE48" s="887"/>
      <c r="LWF48" s="887"/>
      <c r="LWG48" s="887"/>
      <c r="LWH48" s="887"/>
      <c r="LWI48" s="887"/>
      <c r="LWJ48" s="887"/>
      <c r="LWK48" s="887"/>
      <c r="LWL48" s="887"/>
      <c r="LWM48" s="887"/>
      <c r="LWN48" s="887"/>
      <c r="LWO48" s="887"/>
      <c r="LWP48" s="887"/>
      <c r="LWQ48" s="887"/>
      <c r="LWR48" s="887"/>
      <c r="LWS48" s="887"/>
      <c r="LWT48" s="887"/>
      <c r="LWU48" s="887"/>
      <c r="LWV48" s="887"/>
      <c r="LWW48" s="887"/>
      <c r="LWX48" s="887"/>
      <c r="LWY48" s="887"/>
      <c r="LWZ48" s="887"/>
      <c r="LXA48" s="887"/>
      <c r="LXB48" s="887"/>
      <c r="LXC48" s="887"/>
      <c r="LXD48" s="887"/>
      <c r="LXE48" s="887"/>
      <c r="LXF48" s="887"/>
      <c r="LXG48" s="887"/>
      <c r="LXH48" s="887"/>
      <c r="LXI48" s="887"/>
      <c r="LXJ48" s="887"/>
      <c r="LXK48" s="887"/>
      <c r="LXL48" s="887"/>
      <c r="LXM48" s="887"/>
      <c r="LXN48" s="887"/>
      <c r="LXO48" s="887"/>
      <c r="LXP48" s="887"/>
      <c r="LXQ48" s="887"/>
      <c r="LXR48" s="887"/>
      <c r="LXS48" s="887"/>
      <c r="LXT48" s="887"/>
      <c r="LXU48" s="887"/>
      <c r="LXV48" s="887"/>
      <c r="LXW48" s="887"/>
      <c r="LXX48" s="887"/>
      <c r="LXY48" s="887"/>
      <c r="LXZ48" s="887"/>
      <c r="LYA48" s="887"/>
      <c r="LYB48" s="887"/>
      <c r="LYC48" s="887"/>
      <c r="LYD48" s="887"/>
      <c r="LYE48" s="887"/>
      <c r="LYF48" s="887"/>
      <c r="LYG48" s="887"/>
      <c r="LYH48" s="887"/>
      <c r="LYI48" s="887"/>
      <c r="LYJ48" s="887"/>
      <c r="LYK48" s="887"/>
      <c r="LYL48" s="887"/>
      <c r="LYM48" s="887"/>
      <c r="LYN48" s="887"/>
      <c r="LYO48" s="887"/>
      <c r="LYP48" s="887"/>
      <c r="LYQ48" s="887"/>
      <c r="LYR48" s="887"/>
      <c r="LYS48" s="887"/>
      <c r="LYT48" s="887"/>
      <c r="LYU48" s="887"/>
      <c r="LYV48" s="887"/>
      <c r="LYW48" s="887"/>
      <c r="LYX48" s="887"/>
      <c r="LYY48" s="887"/>
      <c r="LYZ48" s="887"/>
      <c r="LZA48" s="887"/>
      <c r="LZB48" s="887"/>
      <c r="LZC48" s="887"/>
      <c r="LZD48" s="887"/>
      <c r="LZE48" s="887"/>
      <c r="LZF48" s="887"/>
      <c r="LZG48" s="887"/>
      <c r="LZH48" s="887"/>
      <c r="LZI48" s="887"/>
      <c r="LZJ48" s="887"/>
      <c r="LZK48" s="887"/>
      <c r="LZL48" s="887"/>
      <c r="LZM48" s="887"/>
      <c r="LZN48" s="887"/>
      <c r="LZO48" s="887"/>
      <c r="LZP48" s="887"/>
      <c r="LZQ48" s="887"/>
      <c r="LZR48" s="887"/>
      <c r="LZS48" s="887"/>
      <c r="LZT48" s="887"/>
      <c r="LZU48" s="887"/>
      <c r="LZV48" s="887"/>
      <c r="LZW48" s="887"/>
      <c r="LZX48" s="887"/>
      <c r="LZY48" s="887"/>
      <c r="LZZ48" s="887"/>
      <c r="MAA48" s="887"/>
      <c r="MAB48" s="887"/>
      <c r="MAC48" s="887"/>
      <c r="MAD48" s="887"/>
      <c r="MAE48" s="887"/>
      <c r="MAF48" s="887"/>
      <c r="MAG48" s="887"/>
      <c r="MAH48" s="887"/>
      <c r="MAI48" s="887"/>
      <c r="MAJ48" s="887"/>
      <c r="MAK48" s="887"/>
      <c r="MAL48" s="887"/>
      <c r="MAM48" s="887"/>
      <c r="MAN48" s="887"/>
      <c r="MAO48" s="887"/>
      <c r="MAP48" s="887"/>
      <c r="MAQ48" s="887"/>
      <c r="MAR48" s="887"/>
      <c r="MAS48" s="887"/>
      <c r="MAT48" s="887"/>
      <c r="MAU48" s="887"/>
      <c r="MAV48" s="887"/>
      <c r="MAW48" s="887"/>
      <c r="MAX48" s="887"/>
      <c r="MAY48" s="887"/>
      <c r="MAZ48" s="887"/>
      <c r="MBA48" s="887"/>
      <c r="MBB48" s="887"/>
      <c r="MBC48" s="887"/>
      <c r="MBD48" s="887"/>
      <c r="MBE48" s="887"/>
      <c r="MBF48" s="887"/>
      <c r="MBG48" s="887"/>
      <c r="MBH48" s="887"/>
      <c r="MBI48" s="887"/>
      <c r="MBJ48" s="887"/>
      <c r="MBK48" s="887"/>
      <c r="MBL48" s="887"/>
      <c r="MBM48" s="887"/>
      <c r="MBN48" s="887"/>
      <c r="MBO48" s="887"/>
      <c r="MBP48" s="887"/>
      <c r="MBQ48" s="887"/>
      <c r="MBR48" s="887"/>
      <c r="MBS48" s="887"/>
      <c r="MBT48" s="887"/>
      <c r="MBU48" s="887"/>
      <c r="MBV48" s="887"/>
      <c r="MBW48" s="887"/>
      <c r="MBX48" s="887"/>
      <c r="MBY48" s="887"/>
      <c r="MBZ48" s="887"/>
      <c r="MCA48" s="887"/>
      <c r="MCB48" s="887"/>
      <c r="MCC48" s="887"/>
      <c r="MCD48" s="887"/>
      <c r="MCE48" s="887"/>
      <c r="MCF48" s="887"/>
      <c r="MCG48" s="887"/>
      <c r="MCH48" s="887"/>
      <c r="MCI48" s="887"/>
      <c r="MCJ48" s="887"/>
      <c r="MCK48" s="887"/>
      <c r="MCL48" s="887"/>
      <c r="MCM48" s="887"/>
      <c r="MCN48" s="887"/>
      <c r="MCO48" s="887"/>
      <c r="MCP48" s="887"/>
      <c r="MCQ48" s="887"/>
      <c r="MCR48" s="887"/>
      <c r="MCS48" s="887"/>
      <c r="MCT48" s="887"/>
      <c r="MCU48" s="887"/>
      <c r="MCV48" s="887"/>
      <c r="MCW48" s="887"/>
      <c r="MCX48" s="887"/>
      <c r="MCY48" s="887"/>
      <c r="MCZ48" s="887"/>
      <c r="MDA48" s="887"/>
      <c r="MDB48" s="887"/>
      <c r="MDC48" s="887"/>
      <c r="MDD48" s="887"/>
      <c r="MDE48" s="887"/>
      <c r="MDF48" s="887"/>
      <c r="MDG48" s="887"/>
      <c r="MDH48" s="887"/>
      <c r="MDI48" s="887"/>
      <c r="MDJ48" s="887"/>
      <c r="MDK48" s="887"/>
      <c r="MDL48" s="887"/>
      <c r="MDM48" s="887"/>
      <c r="MDN48" s="887"/>
      <c r="MDO48" s="887"/>
      <c r="MDP48" s="887"/>
      <c r="MDQ48" s="887"/>
      <c r="MDR48" s="887"/>
      <c r="MDS48" s="887"/>
      <c r="MDT48" s="887"/>
      <c r="MDU48" s="887"/>
      <c r="MDV48" s="887"/>
      <c r="MDW48" s="887"/>
      <c r="MDX48" s="887"/>
      <c r="MDY48" s="887"/>
      <c r="MDZ48" s="887"/>
      <c r="MEA48" s="887"/>
      <c r="MEB48" s="887"/>
      <c r="MEC48" s="887"/>
      <c r="MED48" s="887"/>
      <c r="MEE48" s="887"/>
      <c r="MEF48" s="887"/>
      <c r="MEG48" s="887"/>
      <c r="MEH48" s="887"/>
      <c r="MEI48" s="887"/>
      <c r="MEJ48" s="887"/>
      <c r="MEK48" s="887"/>
      <c r="MEL48" s="887"/>
      <c r="MEM48" s="887"/>
      <c r="MEN48" s="887"/>
      <c r="MEO48" s="887"/>
      <c r="MEP48" s="887"/>
      <c r="MEQ48" s="887"/>
      <c r="MER48" s="887"/>
      <c r="MES48" s="887"/>
      <c r="MET48" s="887"/>
      <c r="MEU48" s="887"/>
      <c r="MEV48" s="887"/>
      <c r="MEW48" s="887"/>
      <c r="MEX48" s="887"/>
      <c r="MEY48" s="887"/>
      <c r="MEZ48" s="887"/>
      <c r="MFA48" s="887"/>
      <c r="MFB48" s="887"/>
      <c r="MFC48" s="887"/>
      <c r="MFD48" s="887"/>
      <c r="MFE48" s="887"/>
      <c r="MFF48" s="887"/>
      <c r="MFG48" s="887"/>
      <c r="MFH48" s="887"/>
      <c r="MFI48" s="887"/>
      <c r="MFJ48" s="887"/>
      <c r="MFK48" s="887"/>
      <c r="MFL48" s="887"/>
      <c r="MFM48" s="887"/>
      <c r="MFN48" s="887"/>
      <c r="MFO48" s="887"/>
      <c r="MFP48" s="887"/>
      <c r="MFQ48" s="887"/>
      <c r="MFR48" s="887"/>
      <c r="MFS48" s="887"/>
      <c r="MFT48" s="887"/>
      <c r="MFU48" s="887"/>
      <c r="MFV48" s="887"/>
      <c r="MFW48" s="887"/>
      <c r="MFX48" s="887"/>
      <c r="MFY48" s="887"/>
      <c r="MFZ48" s="887"/>
      <c r="MGA48" s="887"/>
      <c r="MGB48" s="887"/>
      <c r="MGC48" s="887"/>
      <c r="MGD48" s="887"/>
      <c r="MGE48" s="887"/>
      <c r="MGF48" s="887"/>
      <c r="MGG48" s="887"/>
      <c r="MGH48" s="887"/>
      <c r="MGI48" s="887"/>
      <c r="MGJ48" s="887"/>
      <c r="MGK48" s="887"/>
      <c r="MGL48" s="887"/>
      <c r="MGM48" s="887"/>
      <c r="MGN48" s="887"/>
      <c r="MGO48" s="887"/>
      <c r="MGP48" s="887"/>
      <c r="MGQ48" s="887"/>
      <c r="MGR48" s="887"/>
      <c r="MGS48" s="887"/>
      <c r="MGT48" s="887"/>
      <c r="MGU48" s="887"/>
      <c r="MGV48" s="887"/>
      <c r="MGW48" s="887"/>
      <c r="MGX48" s="887"/>
      <c r="MGY48" s="887"/>
      <c r="MGZ48" s="887"/>
      <c r="MHA48" s="887"/>
      <c r="MHB48" s="887"/>
      <c r="MHC48" s="887"/>
      <c r="MHD48" s="887"/>
      <c r="MHE48" s="887"/>
      <c r="MHF48" s="887"/>
      <c r="MHG48" s="887"/>
      <c r="MHH48" s="887"/>
      <c r="MHI48" s="887"/>
      <c r="MHJ48" s="887"/>
      <c r="MHK48" s="887"/>
      <c r="MHL48" s="887"/>
      <c r="MHM48" s="887"/>
      <c r="MHN48" s="887"/>
      <c r="MHO48" s="887"/>
      <c r="MHP48" s="887"/>
      <c r="MHQ48" s="887"/>
      <c r="MHR48" s="887"/>
      <c r="MHS48" s="887"/>
      <c r="MHT48" s="887"/>
      <c r="MHU48" s="887"/>
      <c r="MHV48" s="887"/>
      <c r="MHW48" s="887"/>
      <c r="MHX48" s="887"/>
      <c r="MHY48" s="887"/>
      <c r="MHZ48" s="887"/>
      <c r="MIA48" s="887"/>
      <c r="MIB48" s="887"/>
      <c r="MIC48" s="887"/>
      <c r="MID48" s="887"/>
      <c r="MIE48" s="887"/>
      <c r="MIF48" s="887"/>
      <c r="MIG48" s="887"/>
      <c r="MIH48" s="887"/>
      <c r="MII48" s="887"/>
      <c r="MIJ48" s="887"/>
      <c r="MIK48" s="887"/>
      <c r="MIL48" s="887"/>
      <c r="MIM48" s="887"/>
      <c r="MIN48" s="887"/>
      <c r="MIO48" s="887"/>
      <c r="MIP48" s="887"/>
      <c r="MIQ48" s="887"/>
      <c r="MIR48" s="887"/>
      <c r="MIS48" s="887"/>
      <c r="MIT48" s="887"/>
      <c r="MIU48" s="887"/>
      <c r="MIV48" s="887"/>
      <c r="MIW48" s="887"/>
      <c r="MIX48" s="887"/>
      <c r="MIY48" s="887"/>
      <c r="MIZ48" s="887"/>
      <c r="MJA48" s="887"/>
      <c r="MJB48" s="887"/>
      <c r="MJC48" s="887"/>
      <c r="MJD48" s="887"/>
      <c r="MJE48" s="887"/>
      <c r="MJF48" s="887"/>
      <c r="MJG48" s="887"/>
      <c r="MJH48" s="887"/>
      <c r="MJI48" s="887"/>
      <c r="MJJ48" s="887"/>
      <c r="MJK48" s="887"/>
      <c r="MJL48" s="887"/>
      <c r="MJM48" s="887"/>
      <c r="MJN48" s="887"/>
      <c r="MJO48" s="887"/>
      <c r="MJP48" s="887"/>
      <c r="MJQ48" s="887"/>
      <c r="MJR48" s="887"/>
      <c r="MJS48" s="887"/>
      <c r="MJT48" s="887"/>
      <c r="MJU48" s="887"/>
      <c r="MJV48" s="887"/>
      <c r="MJW48" s="887"/>
      <c r="MJX48" s="887"/>
      <c r="MJY48" s="887"/>
      <c r="MJZ48" s="887"/>
      <c r="MKA48" s="887"/>
      <c r="MKB48" s="887"/>
      <c r="MKC48" s="887"/>
      <c r="MKD48" s="887"/>
      <c r="MKE48" s="887"/>
      <c r="MKF48" s="887"/>
      <c r="MKG48" s="887"/>
      <c r="MKH48" s="887"/>
      <c r="MKI48" s="887"/>
      <c r="MKJ48" s="887"/>
      <c r="MKK48" s="887"/>
      <c r="MKL48" s="887"/>
      <c r="MKM48" s="887"/>
      <c r="MKN48" s="887"/>
      <c r="MKO48" s="887"/>
      <c r="MKP48" s="887"/>
      <c r="MKQ48" s="887"/>
      <c r="MKR48" s="887"/>
      <c r="MKS48" s="887"/>
      <c r="MKT48" s="887"/>
      <c r="MKU48" s="887"/>
      <c r="MKV48" s="887"/>
      <c r="MKW48" s="887"/>
      <c r="MKX48" s="887"/>
      <c r="MKY48" s="887"/>
      <c r="MKZ48" s="887"/>
      <c r="MLA48" s="887"/>
      <c r="MLB48" s="887"/>
      <c r="MLC48" s="887"/>
      <c r="MLD48" s="887"/>
      <c r="MLE48" s="887"/>
      <c r="MLF48" s="887"/>
      <c r="MLG48" s="887"/>
      <c r="MLH48" s="887"/>
      <c r="MLI48" s="887"/>
      <c r="MLJ48" s="887"/>
      <c r="MLK48" s="887"/>
      <c r="MLL48" s="887"/>
      <c r="MLM48" s="887"/>
      <c r="MLN48" s="887"/>
      <c r="MLO48" s="887"/>
      <c r="MLP48" s="887"/>
      <c r="MLQ48" s="887"/>
      <c r="MLR48" s="887"/>
      <c r="MLS48" s="887"/>
      <c r="MLT48" s="887"/>
      <c r="MLU48" s="887"/>
      <c r="MLV48" s="887"/>
      <c r="MLW48" s="887"/>
      <c r="MLX48" s="887"/>
      <c r="MLY48" s="887"/>
      <c r="MLZ48" s="887"/>
      <c r="MMA48" s="887"/>
      <c r="MMB48" s="887"/>
      <c r="MMC48" s="887"/>
      <c r="MMD48" s="887"/>
      <c r="MME48" s="887"/>
      <c r="MMF48" s="887"/>
      <c r="MMG48" s="887"/>
      <c r="MMH48" s="887"/>
      <c r="MMI48" s="887"/>
      <c r="MMJ48" s="887"/>
      <c r="MMK48" s="887"/>
      <c r="MML48" s="887"/>
      <c r="MMM48" s="887"/>
      <c r="MMN48" s="887"/>
      <c r="MMO48" s="887"/>
      <c r="MMP48" s="887"/>
      <c r="MMQ48" s="887"/>
      <c r="MMR48" s="887"/>
      <c r="MMS48" s="887"/>
      <c r="MMT48" s="887"/>
      <c r="MMU48" s="887"/>
      <c r="MMV48" s="887"/>
      <c r="MMW48" s="887"/>
      <c r="MMX48" s="887"/>
      <c r="MMY48" s="887"/>
      <c r="MMZ48" s="887"/>
      <c r="MNA48" s="887"/>
      <c r="MNB48" s="887"/>
      <c r="MNC48" s="887"/>
      <c r="MND48" s="887"/>
      <c r="MNE48" s="887"/>
      <c r="MNF48" s="887"/>
      <c r="MNG48" s="887"/>
      <c r="MNH48" s="887"/>
      <c r="MNI48" s="887"/>
      <c r="MNJ48" s="887"/>
      <c r="MNK48" s="887"/>
      <c r="MNL48" s="887"/>
      <c r="MNM48" s="887"/>
      <c r="MNN48" s="887"/>
      <c r="MNO48" s="887"/>
      <c r="MNP48" s="887"/>
      <c r="MNQ48" s="887"/>
      <c r="MNR48" s="887"/>
      <c r="MNS48" s="887"/>
      <c r="MNT48" s="887"/>
      <c r="MNU48" s="887"/>
      <c r="MNV48" s="887"/>
      <c r="MNW48" s="887"/>
      <c r="MNX48" s="887"/>
      <c r="MNY48" s="887"/>
      <c r="MNZ48" s="887"/>
      <c r="MOA48" s="887"/>
      <c r="MOB48" s="887"/>
      <c r="MOC48" s="887"/>
      <c r="MOD48" s="887"/>
      <c r="MOE48" s="887"/>
      <c r="MOF48" s="887"/>
      <c r="MOG48" s="887"/>
      <c r="MOH48" s="887"/>
      <c r="MOI48" s="887"/>
      <c r="MOJ48" s="887"/>
      <c r="MOK48" s="887"/>
      <c r="MOL48" s="887"/>
      <c r="MOM48" s="887"/>
      <c r="MON48" s="887"/>
      <c r="MOO48" s="887"/>
      <c r="MOP48" s="887"/>
      <c r="MOQ48" s="887"/>
      <c r="MOR48" s="887"/>
      <c r="MOS48" s="887"/>
      <c r="MOT48" s="887"/>
      <c r="MOU48" s="887"/>
      <c r="MOV48" s="887"/>
      <c r="MOW48" s="887"/>
      <c r="MOX48" s="887"/>
      <c r="MOY48" s="887"/>
      <c r="MOZ48" s="887"/>
      <c r="MPA48" s="887"/>
      <c r="MPB48" s="887"/>
      <c r="MPC48" s="887"/>
      <c r="MPD48" s="887"/>
      <c r="MPE48" s="887"/>
      <c r="MPF48" s="887"/>
      <c r="MPG48" s="887"/>
      <c r="MPH48" s="887"/>
      <c r="MPI48" s="887"/>
      <c r="MPJ48" s="887"/>
      <c r="MPK48" s="887"/>
      <c r="MPL48" s="887"/>
      <c r="MPM48" s="887"/>
      <c r="MPN48" s="887"/>
      <c r="MPO48" s="887"/>
      <c r="MPP48" s="887"/>
      <c r="MPQ48" s="887"/>
      <c r="MPR48" s="887"/>
      <c r="MPS48" s="887"/>
      <c r="MPT48" s="887"/>
      <c r="MPU48" s="887"/>
      <c r="MPV48" s="887"/>
      <c r="MPW48" s="887"/>
      <c r="MPX48" s="887"/>
      <c r="MPY48" s="887"/>
      <c r="MPZ48" s="887"/>
      <c r="MQA48" s="887"/>
      <c r="MQB48" s="887"/>
      <c r="MQC48" s="887"/>
      <c r="MQD48" s="887"/>
      <c r="MQE48" s="887"/>
      <c r="MQF48" s="887"/>
      <c r="MQG48" s="887"/>
      <c r="MQH48" s="887"/>
      <c r="MQI48" s="887"/>
      <c r="MQJ48" s="887"/>
      <c r="MQK48" s="887"/>
      <c r="MQL48" s="887"/>
      <c r="MQM48" s="887"/>
      <c r="MQN48" s="887"/>
      <c r="MQO48" s="887"/>
      <c r="MQP48" s="887"/>
      <c r="MQQ48" s="887"/>
      <c r="MQR48" s="887"/>
      <c r="MQS48" s="887"/>
      <c r="MQT48" s="887"/>
      <c r="MQU48" s="887"/>
      <c r="MQV48" s="887"/>
      <c r="MQW48" s="887"/>
      <c r="MQX48" s="887"/>
      <c r="MQY48" s="887"/>
      <c r="MQZ48" s="887"/>
      <c r="MRA48" s="887"/>
      <c r="MRB48" s="887"/>
      <c r="MRC48" s="887"/>
      <c r="MRD48" s="887"/>
      <c r="MRE48" s="887"/>
      <c r="MRF48" s="887"/>
      <c r="MRG48" s="887"/>
      <c r="MRH48" s="887"/>
      <c r="MRI48" s="887"/>
      <c r="MRJ48" s="887"/>
      <c r="MRK48" s="887"/>
      <c r="MRL48" s="887"/>
      <c r="MRM48" s="887"/>
      <c r="MRN48" s="887"/>
      <c r="MRO48" s="887"/>
      <c r="MRP48" s="887"/>
      <c r="MRQ48" s="887"/>
      <c r="MRR48" s="887"/>
      <c r="MRS48" s="887"/>
      <c r="MRT48" s="887"/>
      <c r="MRU48" s="887"/>
      <c r="MRV48" s="887"/>
      <c r="MRW48" s="887"/>
      <c r="MRX48" s="887"/>
      <c r="MRY48" s="887"/>
      <c r="MRZ48" s="887"/>
      <c r="MSA48" s="887"/>
      <c r="MSB48" s="887"/>
      <c r="MSC48" s="887"/>
      <c r="MSD48" s="887"/>
      <c r="MSE48" s="887"/>
      <c r="MSF48" s="887"/>
      <c r="MSG48" s="887"/>
      <c r="MSH48" s="887"/>
      <c r="MSI48" s="887"/>
      <c r="MSJ48" s="887"/>
      <c r="MSK48" s="887"/>
      <c r="MSL48" s="887"/>
      <c r="MSM48" s="887"/>
      <c r="MSN48" s="887"/>
      <c r="MSO48" s="887"/>
      <c r="MSP48" s="887"/>
      <c r="MSQ48" s="887"/>
      <c r="MSR48" s="887"/>
      <c r="MSS48" s="887"/>
      <c r="MST48" s="887"/>
      <c r="MSU48" s="887"/>
      <c r="MSV48" s="887"/>
      <c r="MSW48" s="887"/>
      <c r="MSX48" s="887"/>
      <c r="MSY48" s="887"/>
      <c r="MSZ48" s="887"/>
      <c r="MTA48" s="887"/>
      <c r="MTB48" s="887"/>
      <c r="MTC48" s="887"/>
      <c r="MTD48" s="887"/>
      <c r="MTE48" s="887"/>
      <c r="MTF48" s="887"/>
      <c r="MTG48" s="887"/>
      <c r="MTH48" s="887"/>
      <c r="MTI48" s="887"/>
      <c r="MTJ48" s="887"/>
      <c r="MTK48" s="887"/>
      <c r="MTL48" s="887"/>
      <c r="MTM48" s="887"/>
      <c r="MTN48" s="887"/>
      <c r="MTO48" s="887"/>
      <c r="MTP48" s="887"/>
      <c r="MTQ48" s="887"/>
      <c r="MTR48" s="887"/>
      <c r="MTS48" s="887"/>
      <c r="MTT48" s="887"/>
      <c r="MTU48" s="887"/>
      <c r="MTV48" s="887"/>
      <c r="MTW48" s="887"/>
      <c r="MTX48" s="887"/>
      <c r="MTY48" s="887"/>
      <c r="MTZ48" s="887"/>
      <c r="MUA48" s="887"/>
      <c r="MUB48" s="887"/>
      <c r="MUC48" s="887"/>
      <c r="MUD48" s="887"/>
      <c r="MUE48" s="887"/>
      <c r="MUF48" s="887"/>
      <c r="MUG48" s="887"/>
      <c r="MUH48" s="887"/>
      <c r="MUI48" s="887"/>
      <c r="MUJ48" s="887"/>
      <c r="MUK48" s="887"/>
      <c r="MUL48" s="887"/>
      <c r="MUM48" s="887"/>
      <c r="MUN48" s="887"/>
      <c r="MUO48" s="887"/>
      <c r="MUP48" s="887"/>
      <c r="MUQ48" s="887"/>
      <c r="MUR48" s="887"/>
      <c r="MUS48" s="887"/>
      <c r="MUT48" s="887"/>
      <c r="MUU48" s="887"/>
      <c r="MUV48" s="887"/>
      <c r="MUW48" s="887"/>
      <c r="MUX48" s="887"/>
      <c r="MUY48" s="887"/>
      <c r="MUZ48" s="887"/>
      <c r="MVA48" s="887"/>
      <c r="MVB48" s="887"/>
      <c r="MVC48" s="887"/>
      <c r="MVD48" s="887"/>
      <c r="MVE48" s="887"/>
      <c r="MVF48" s="887"/>
      <c r="MVG48" s="887"/>
      <c r="MVH48" s="887"/>
      <c r="MVI48" s="887"/>
      <c r="MVJ48" s="887"/>
      <c r="MVK48" s="887"/>
      <c r="MVL48" s="887"/>
      <c r="MVM48" s="887"/>
      <c r="MVN48" s="887"/>
      <c r="MVO48" s="887"/>
      <c r="MVP48" s="887"/>
      <c r="MVQ48" s="887"/>
      <c r="MVR48" s="887"/>
      <c r="MVS48" s="887"/>
      <c r="MVT48" s="887"/>
      <c r="MVU48" s="887"/>
      <c r="MVV48" s="887"/>
      <c r="MVW48" s="887"/>
      <c r="MVX48" s="887"/>
      <c r="MVY48" s="887"/>
      <c r="MVZ48" s="887"/>
      <c r="MWA48" s="887"/>
      <c r="MWB48" s="887"/>
      <c r="MWC48" s="887"/>
      <c r="MWD48" s="887"/>
      <c r="MWE48" s="887"/>
      <c r="MWF48" s="887"/>
      <c r="MWG48" s="887"/>
      <c r="MWH48" s="887"/>
      <c r="MWI48" s="887"/>
      <c r="MWJ48" s="887"/>
      <c r="MWK48" s="887"/>
      <c r="MWL48" s="887"/>
      <c r="MWM48" s="887"/>
      <c r="MWN48" s="887"/>
      <c r="MWO48" s="887"/>
      <c r="MWP48" s="887"/>
      <c r="MWQ48" s="887"/>
      <c r="MWR48" s="887"/>
      <c r="MWS48" s="887"/>
      <c r="MWT48" s="887"/>
      <c r="MWU48" s="887"/>
      <c r="MWV48" s="887"/>
      <c r="MWW48" s="887"/>
      <c r="MWX48" s="887"/>
      <c r="MWY48" s="887"/>
      <c r="MWZ48" s="887"/>
      <c r="MXA48" s="887"/>
      <c r="MXB48" s="887"/>
      <c r="MXC48" s="887"/>
      <c r="MXD48" s="887"/>
      <c r="MXE48" s="887"/>
      <c r="MXF48" s="887"/>
      <c r="MXG48" s="887"/>
      <c r="MXH48" s="887"/>
      <c r="MXI48" s="887"/>
      <c r="MXJ48" s="887"/>
      <c r="MXK48" s="887"/>
      <c r="MXL48" s="887"/>
      <c r="MXM48" s="887"/>
      <c r="MXN48" s="887"/>
      <c r="MXO48" s="887"/>
      <c r="MXP48" s="887"/>
      <c r="MXQ48" s="887"/>
      <c r="MXR48" s="887"/>
      <c r="MXS48" s="887"/>
      <c r="MXT48" s="887"/>
      <c r="MXU48" s="887"/>
      <c r="MXV48" s="887"/>
      <c r="MXW48" s="887"/>
      <c r="MXX48" s="887"/>
      <c r="MXY48" s="887"/>
      <c r="MXZ48" s="887"/>
      <c r="MYA48" s="887"/>
      <c r="MYB48" s="887"/>
      <c r="MYC48" s="887"/>
      <c r="MYD48" s="887"/>
      <c r="MYE48" s="887"/>
      <c r="MYF48" s="887"/>
      <c r="MYG48" s="887"/>
      <c r="MYH48" s="887"/>
      <c r="MYI48" s="887"/>
      <c r="MYJ48" s="887"/>
      <c r="MYK48" s="887"/>
      <c r="MYL48" s="887"/>
      <c r="MYM48" s="887"/>
      <c r="MYN48" s="887"/>
      <c r="MYO48" s="887"/>
      <c r="MYP48" s="887"/>
      <c r="MYQ48" s="887"/>
      <c r="MYR48" s="887"/>
      <c r="MYS48" s="887"/>
      <c r="MYT48" s="887"/>
      <c r="MYU48" s="887"/>
      <c r="MYV48" s="887"/>
      <c r="MYW48" s="887"/>
      <c r="MYX48" s="887"/>
      <c r="MYY48" s="887"/>
      <c r="MYZ48" s="887"/>
      <c r="MZA48" s="887"/>
      <c r="MZB48" s="887"/>
      <c r="MZC48" s="887"/>
      <c r="MZD48" s="887"/>
      <c r="MZE48" s="887"/>
      <c r="MZF48" s="887"/>
      <c r="MZG48" s="887"/>
      <c r="MZH48" s="887"/>
      <c r="MZI48" s="887"/>
      <c r="MZJ48" s="887"/>
      <c r="MZK48" s="887"/>
      <c r="MZL48" s="887"/>
      <c r="MZM48" s="887"/>
      <c r="MZN48" s="887"/>
      <c r="MZO48" s="887"/>
      <c r="MZP48" s="887"/>
      <c r="MZQ48" s="887"/>
      <c r="MZR48" s="887"/>
      <c r="MZS48" s="887"/>
      <c r="MZT48" s="887"/>
      <c r="MZU48" s="887"/>
      <c r="MZV48" s="887"/>
      <c r="MZW48" s="887"/>
      <c r="MZX48" s="887"/>
      <c r="MZY48" s="887"/>
      <c r="MZZ48" s="887"/>
      <c r="NAA48" s="887"/>
      <c r="NAB48" s="887"/>
      <c r="NAC48" s="887"/>
      <c r="NAD48" s="887"/>
      <c r="NAE48" s="887"/>
      <c r="NAF48" s="887"/>
      <c r="NAG48" s="887"/>
      <c r="NAH48" s="887"/>
      <c r="NAI48" s="887"/>
      <c r="NAJ48" s="887"/>
      <c r="NAK48" s="887"/>
      <c r="NAL48" s="887"/>
      <c r="NAM48" s="887"/>
      <c r="NAN48" s="887"/>
      <c r="NAO48" s="887"/>
      <c r="NAP48" s="887"/>
      <c r="NAQ48" s="887"/>
      <c r="NAR48" s="887"/>
      <c r="NAS48" s="887"/>
      <c r="NAT48" s="887"/>
      <c r="NAU48" s="887"/>
      <c r="NAV48" s="887"/>
      <c r="NAW48" s="887"/>
      <c r="NAX48" s="887"/>
      <c r="NAY48" s="887"/>
      <c r="NAZ48" s="887"/>
      <c r="NBA48" s="887"/>
      <c r="NBB48" s="887"/>
      <c r="NBC48" s="887"/>
      <c r="NBD48" s="887"/>
      <c r="NBE48" s="887"/>
      <c r="NBF48" s="887"/>
      <c r="NBG48" s="887"/>
      <c r="NBH48" s="887"/>
      <c r="NBI48" s="887"/>
      <c r="NBJ48" s="887"/>
      <c r="NBK48" s="887"/>
      <c r="NBL48" s="887"/>
      <c r="NBM48" s="887"/>
      <c r="NBN48" s="887"/>
      <c r="NBO48" s="887"/>
      <c r="NBP48" s="887"/>
      <c r="NBQ48" s="887"/>
      <c r="NBR48" s="887"/>
      <c r="NBS48" s="887"/>
      <c r="NBT48" s="887"/>
      <c r="NBU48" s="887"/>
      <c r="NBV48" s="887"/>
      <c r="NBW48" s="887"/>
      <c r="NBX48" s="887"/>
      <c r="NBY48" s="887"/>
      <c r="NBZ48" s="887"/>
      <c r="NCA48" s="887"/>
      <c r="NCB48" s="887"/>
      <c r="NCC48" s="887"/>
      <c r="NCD48" s="887"/>
      <c r="NCE48" s="887"/>
      <c r="NCF48" s="887"/>
      <c r="NCG48" s="887"/>
      <c r="NCH48" s="887"/>
      <c r="NCI48" s="887"/>
      <c r="NCJ48" s="887"/>
      <c r="NCK48" s="887"/>
      <c r="NCL48" s="887"/>
      <c r="NCM48" s="887"/>
      <c r="NCN48" s="887"/>
      <c r="NCO48" s="887"/>
      <c r="NCP48" s="887"/>
      <c r="NCQ48" s="887"/>
      <c r="NCR48" s="887"/>
      <c r="NCS48" s="887"/>
      <c r="NCT48" s="887"/>
      <c r="NCU48" s="887"/>
      <c r="NCV48" s="887"/>
      <c r="NCW48" s="887"/>
      <c r="NCX48" s="887"/>
      <c r="NCY48" s="887"/>
      <c r="NCZ48" s="887"/>
      <c r="NDA48" s="887"/>
      <c r="NDB48" s="887"/>
      <c r="NDC48" s="887"/>
      <c r="NDD48" s="887"/>
      <c r="NDE48" s="887"/>
      <c r="NDF48" s="887"/>
      <c r="NDG48" s="887"/>
      <c r="NDH48" s="887"/>
      <c r="NDI48" s="887"/>
      <c r="NDJ48" s="887"/>
      <c r="NDK48" s="887"/>
      <c r="NDL48" s="887"/>
      <c r="NDM48" s="887"/>
      <c r="NDN48" s="887"/>
      <c r="NDO48" s="887"/>
      <c r="NDP48" s="887"/>
      <c r="NDQ48" s="887"/>
      <c r="NDR48" s="887"/>
      <c r="NDS48" s="887"/>
      <c r="NDT48" s="887"/>
      <c r="NDU48" s="887"/>
      <c r="NDV48" s="887"/>
      <c r="NDW48" s="887"/>
      <c r="NDX48" s="887"/>
      <c r="NDY48" s="887"/>
      <c r="NDZ48" s="887"/>
      <c r="NEA48" s="887"/>
      <c r="NEB48" s="887"/>
      <c r="NEC48" s="887"/>
      <c r="NED48" s="887"/>
      <c r="NEE48" s="887"/>
      <c r="NEF48" s="887"/>
      <c r="NEG48" s="887"/>
      <c r="NEH48" s="887"/>
      <c r="NEI48" s="887"/>
      <c r="NEJ48" s="887"/>
      <c r="NEK48" s="887"/>
      <c r="NEL48" s="887"/>
      <c r="NEM48" s="887"/>
      <c r="NEN48" s="887"/>
      <c r="NEO48" s="887"/>
      <c r="NEP48" s="887"/>
      <c r="NEQ48" s="887"/>
      <c r="NER48" s="887"/>
      <c r="NES48" s="887"/>
      <c r="NET48" s="887"/>
      <c r="NEU48" s="887"/>
      <c r="NEV48" s="887"/>
      <c r="NEW48" s="887"/>
      <c r="NEX48" s="887"/>
      <c r="NEY48" s="887"/>
      <c r="NEZ48" s="887"/>
      <c r="NFA48" s="887"/>
      <c r="NFB48" s="887"/>
      <c r="NFC48" s="887"/>
      <c r="NFD48" s="887"/>
      <c r="NFE48" s="887"/>
      <c r="NFF48" s="887"/>
      <c r="NFG48" s="887"/>
      <c r="NFH48" s="887"/>
      <c r="NFI48" s="887"/>
      <c r="NFJ48" s="887"/>
      <c r="NFK48" s="887"/>
      <c r="NFL48" s="887"/>
      <c r="NFM48" s="887"/>
      <c r="NFN48" s="887"/>
      <c r="NFO48" s="887"/>
      <c r="NFP48" s="887"/>
      <c r="NFQ48" s="887"/>
      <c r="NFR48" s="887"/>
      <c r="NFS48" s="887"/>
      <c r="NFT48" s="887"/>
      <c r="NFU48" s="887"/>
      <c r="NFV48" s="887"/>
      <c r="NFW48" s="887"/>
      <c r="NFX48" s="887"/>
      <c r="NFY48" s="887"/>
      <c r="NFZ48" s="887"/>
      <c r="NGA48" s="887"/>
      <c r="NGB48" s="887"/>
      <c r="NGC48" s="887"/>
      <c r="NGD48" s="887"/>
      <c r="NGE48" s="887"/>
      <c r="NGF48" s="887"/>
      <c r="NGG48" s="887"/>
      <c r="NGH48" s="887"/>
      <c r="NGI48" s="887"/>
      <c r="NGJ48" s="887"/>
      <c r="NGK48" s="887"/>
      <c r="NGL48" s="887"/>
      <c r="NGM48" s="887"/>
      <c r="NGN48" s="887"/>
      <c r="NGO48" s="887"/>
      <c r="NGP48" s="887"/>
      <c r="NGQ48" s="887"/>
      <c r="NGR48" s="887"/>
      <c r="NGS48" s="887"/>
      <c r="NGT48" s="887"/>
      <c r="NGU48" s="887"/>
      <c r="NGV48" s="887"/>
      <c r="NGW48" s="887"/>
      <c r="NGX48" s="887"/>
      <c r="NGY48" s="887"/>
      <c r="NGZ48" s="887"/>
      <c r="NHA48" s="887"/>
      <c r="NHB48" s="887"/>
      <c r="NHC48" s="887"/>
      <c r="NHD48" s="887"/>
      <c r="NHE48" s="887"/>
      <c r="NHF48" s="887"/>
      <c r="NHG48" s="887"/>
      <c r="NHH48" s="887"/>
      <c r="NHI48" s="887"/>
      <c r="NHJ48" s="887"/>
      <c r="NHK48" s="887"/>
      <c r="NHL48" s="887"/>
      <c r="NHM48" s="887"/>
      <c r="NHN48" s="887"/>
      <c r="NHO48" s="887"/>
      <c r="NHP48" s="887"/>
      <c r="NHQ48" s="887"/>
      <c r="NHR48" s="887"/>
      <c r="NHS48" s="887"/>
      <c r="NHT48" s="887"/>
      <c r="NHU48" s="887"/>
      <c r="NHV48" s="887"/>
      <c r="NHW48" s="887"/>
      <c r="NHX48" s="887"/>
      <c r="NHY48" s="887"/>
      <c r="NHZ48" s="887"/>
      <c r="NIA48" s="887"/>
      <c r="NIB48" s="887"/>
      <c r="NIC48" s="887"/>
      <c r="NID48" s="887"/>
      <c r="NIE48" s="887"/>
      <c r="NIF48" s="887"/>
      <c r="NIG48" s="887"/>
      <c r="NIH48" s="887"/>
      <c r="NII48" s="887"/>
      <c r="NIJ48" s="887"/>
      <c r="NIK48" s="887"/>
      <c r="NIL48" s="887"/>
      <c r="NIM48" s="887"/>
      <c r="NIN48" s="887"/>
      <c r="NIO48" s="887"/>
      <c r="NIP48" s="887"/>
      <c r="NIQ48" s="887"/>
      <c r="NIR48" s="887"/>
      <c r="NIS48" s="887"/>
      <c r="NIT48" s="887"/>
      <c r="NIU48" s="887"/>
      <c r="NIV48" s="887"/>
      <c r="NIW48" s="887"/>
      <c r="NIX48" s="887"/>
      <c r="NIY48" s="887"/>
      <c r="NIZ48" s="887"/>
      <c r="NJA48" s="887"/>
      <c r="NJB48" s="887"/>
      <c r="NJC48" s="887"/>
      <c r="NJD48" s="887"/>
      <c r="NJE48" s="887"/>
      <c r="NJF48" s="887"/>
      <c r="NJG48" s="887"/>
      <c r="NJH48" s="887"/>
      <c r="NJI48" s="887"/>
      <c r="NJJ48" s="887"/>
      <c r="NJK48" s="887"/>
      <c r="NJL48" s="887"/>
      <c r="NJM48" s="887"/>
      <c r="NJN48" s="887"/>
      <c r="NJO48" s="887"/>
      <c r="NJP48" s="887"/>
      <c r="NJQ48" s="887"/>
      <c r="NJR48" s="887"/>
      <c r="NJS48" s="887"/>
      <c r="NJT48" s="887"/>
      <c r="NJU48" s="887"/>
      <c r="NJV48" s="887"/>
      <c r="NJW48" s="887"/>
      <c r="NJX48" s="887"/>
      <c r="NJY48" s="887"/>
      <c r="NJZ48" s="887"/>
      <c r="NKA48" s="887"/>
      <c r="NKB48" s="887"/>
      <c r="NKC48" s="887"/>
      <c r="NKD48" s="887"/>
      <c r="NKE48" s="887"/>
      <c r="NKF48" s="887"/>
      <c r="NKG48" s="887"/>
      <c r="NKH48" s="887"/>
      <c r="NKI48" s="887"/>
      <c r="NKJ48" s="887"/>
      <c r="NKK48" s="887"/>
      <c r="NKL48" s="887"/>
      <c r="NKM48" s="887"/>
      <c r="NKN48" s="887"/>
      <c r="NKO48" s="887"/>
      <c r="NKP48" s="887"/>
      <c r="NKQ48" s="887"/>
      <c r="NKR48" s="887"/>
      <c r="NKS48" s="887"/>
      <c r="NKT48" s="887"/>
      <c r="NKU48" s="887"/>
      <c r="NKV48" s="887"/>
      <c r="NKW48" s="887"/>
      <c r="NKX48" s="887"/>
      <c r="NKY48" s="887"/>
      <c r="NKZ48" s="887"/>
      <c r="NLA48" s="887"/>
      <c r="NLB48" s="887"/>
      <c r="NLC48" s="887"/>
      <c r="NLD48" s="887"/>
      <c r="NLE48" s="887"/>
      <c r="NLF48" s="887"/>
      <c r="NLG48" s="887"/>
      <c r="NLH48" s="887"/>
      <c r="NLI48" s="887"/>
      <c r="NLJ48" s="887"/>
      <c r="NLK48" s="887"/>
      <c r="NLL48" s="887"/>
      <c r="NLM48" s="887"/>
      <c r="NLN48" s="887"/>
      <c r="NLO48" s="887"/>
      <c r="NLP48" s="887"/>
      <c r="NLQ48" s="887"/>
      <c r="NLR48" s="887"/>
      <c r="NLS48" s="887"/>
      <c r="NLT48" s="887"/>
      <c r="NLU48" s="887"/>
      <c r="NLV48" s="887"/>
      <c r="NLW48" s="887"/>
      <c r="NLX48" s="887"/>
      <c r="NLY48" s="887"/>
      <c r="NLZ48" s="887"/>
      <c r="NMA48" s="887"/>
      <c r="NMB48" s="887"/>
      <c r="NMC48" s="887"/>
      <c r="NMD48" s="887"/>
      <c r="NME48" s="887"/>
      <c r="NMF48" s="887"/>
      <c r="NMG48" s="887"/>
      <c r="NMH48" s="887"/>
      <c r="NMI48" s="887"/>
      <c r="NMJ48" s="887"/>
      <c r="NMK48" s="887"/>
      <c r="NML48" s="887"/>
      <c r="NMM48" s="887"/>
      <c r="NMN48" s="887"/>
      <c r="NMO48" s="887"/>
      <c r="NMP48" s="887"/>
      <c r="NMQ48" s="887"/>
      <c r="NMR48" s="887"/>
      <c r="NMS48" s="887"/>
      <c r="NMT48" s="887"/>
      <c r="NMU48" s="887"/>
      <c r="NMV48" s="887"/>
      <c r="NMW48" s="887"/>
      <c r="NMX48" s="887"/>
      <c r="NMY48" s="887"/>
      <c r="NMZ48" s="887"/>
      <c r="NNA48" s="887"/>
      <c r="NNB48" s="887"/>
      <c r="NNC48" s="887"/>
      <c r="NND48" s="887"/>
      <c r="NNE48" s="887"/>
      <c r="NNF48" s="887"/>
      <c r="NNG48" s="887"/>
      <c r="NNH48" s="887"/>
      <c r="NNI48" s="887"/>
      <c r="NNJ48" s="887"/>
      <c r="NNK48" s="887"/>
      <c r="NNL48" s="887"/>
      <c r="NNM48" s="887"/>
      <c r="NNN48" s="887"/>
      <c r="NNO48" s="887"/>
      <c r="NNP48" s="887"/>
      <c r="NNQ48" s="887"/>
      <c r="NNR48" s="887"/>
      <c r="NNS48" s="887"/>
      <c r="NNT48" s="887"/>
      <c r="NNU48" s="887"/>
      <c r="NNV48" s="887"/>
      <c r="NNW48" s="887"/>
      <c r="NNX48" s="887"/>
      <c r="NNY48" s="887"/>
      <c r="NNZ48" s="887"/>
      <c r="NOA48" s="887"/>
      <c r="NOB48" s="887"/>
      <c r="NOC48" s="887"/>
      <c r="NOD48" s="887"/>
      <c r="NOE48" s="887"/>
      <c r="NOF48" s="887"/>
      <c r="NOG48" s="887"/>
      <c r="NOH48" s="887"/>
      <c r="NOI48" s="887"/>
      <c r="NOJ48" s="887"/>
      <c r="NOK48" s="887"/>
      <c r="NOL48" s="887"/>
      <c r="NOM48" s="887"/>
      <c r="NON48" s="887"/>
      <c r="NOO48" s="887"/>
      <c r="NOP48" s="887"/>
      <c r="NOQ48" s="887"/>
      <c r="NOR48" s="887"/>
      <c r="NOS48" s="887"/>
      <c r="NOT48" s="887"/>
      <c r="NOU48" s="887"/>
      <c r="NOV48" s="887"/>
      <c r="NOW48" s="887"/>
      <c r="NOX48" s="887"/>
      <c r="NOY48" s="887"/>
      <c r="NOZ48" s="887"/>
      <c r="NPA48" s="887"/>
      <c r="NPB48" s="887"/>
      <c r="NPC48" s="887"/>
      <c r="NPD48" s="887"/>
      <c r="NPE48" s="887"/>
      <c r="NPF48" s="887"/>
      <c r="NPG48" s="887"/>
      <c r="NPH48" s="887"/>
      <c r="NPI48" s="887"/>
      <c r="NPJ48" s="887"/>
      <c r="NPK48" s="887"/>
      <c r="NPL48" s="887"/>
      <c r="NPM48" s="887"/>
      <c r="NPN48" s="887"/>
      <c r="NPO48" s="887"/>
      <c r="NPP48" s="887"/>
      <c r="NPQ48" s="887"/>
      <c r="NPR48" s="887"/>
      <c r="NPS48" s="887"/>
      <c r="NPT48" s="887"/>
      <c r="NPU48" s="887"/>
      <c r="NPV48" s="887"/>
      <c r="NPW48" s="887"/>
      <c r="NPX48" s="887"/>
      <c r="NPY48" s="887"/>
      <c r="NPZ48" s="887"/>
      <c r="NQA48" s="887"/>
      <c r="NQB48" s="887"/>
      <c r="NQC48" s="887"/>
      <c r="NQD48" s="887"/>
      <c r="NQE48" s="887"/>
      <c r="NQF48" s="887"/>
      <c r="NQG48" s="887"/>
      <c r="NQH48" s="887"/>
      <c r="NQI48" s="887"/>
      <c r="NQJ48" s="887"/>
      <c r="NQK48" s="887"/>
      <c r="NQL48" s="887"/>
      <c r="NQM48" s="887"/>
      <c r="NQN48" s="887"/>
      <c r="NQO48" s="887"/>
      <c r="NQP48" s="887"/>
      <c r="NQQ48" s="887"/>
      <c r="NQR48" s="887"/>
      <c r="NQS48" s="887"/>
      <c r="NQT48" s="887"/>
      <c r="NQU48" s="887"/>
      <c r="NQV48" s="887"/>
      <c r="NQW48" s="887"/>
      <c r="NQX48" s="887"/>
      <c r="NQY48" s="887"/>
      <c r="NQZ48" s="887"/>
      <c r="NRA48" s="887"/>
      <c r="NRB48" s="887"/>
      <c r="NRC48" s="887"/>
      <c r="NRD48" s="887"/>
      <c r="NRE48" s="887"/>
      <c r="NRF48" s="887"/>
      <c r="NRG48" s="887"/>
      <c r="NRH48" s="887"/>
      <c r="NRI48" s="887"/>
      <c r="NRJ48" s="887"/>
      <c r="NRK48" s="887"/>
      <c r="NRL48" s="887"/>
      <c r="NRM48" s="887"/>
      <c r="NRN48" s="887"/>
      <c r="NRO48" s="887"/>
      <c r="NRP48" s="887"/>
      <c r="NRQ48" s="887"/>
      <c r="NRR48" s="887"/>
      <c r="NRS48" s="887"/>
      <c r="NRT48" s="887"/>
      <c r="NRU48" s="887"/>
      <c r="NRV48" s="887"/>
      <c r="NRW48" s="887"/>
      <c r="NRX48" s="887"/>
      <c r="NRY48" s="887"/>
      <c r="NRZ48" s="887"/>
      <c r="NSA48" s="887"/>
      <c r="NSB48" s="887"/>
      <c r="NSC48" s="887"/>
      <c r="NSD48" s="887"/>
      <c r="NSE48" s="887"/>
      <c r="NSF48" s="887"/>
      <c r="NSG48" s="887"/>
      <c r="NSH48" s="887"/>
      <c r="NSI48" s="887"/>
      <c r="NSJ48" s="887"/>
      <c r="NSK48" s="887"/>
      <c r="NSL48" s="887"/>
      <c r="NSM48" s="887"/>
      <c r="NSN48" s="887"/>
      <c r="NSO48" s="887"/>
      <c r="NSP48" s="887"/>
      <c r="NSQ48" s="887"/>
      <c r="NSR48" s="887"/>
      <c r="NSS48" s="887"/>
      <c r="NST48" s="887"/>
      <c r="NSU48" s="887"/>
      <c r="NSV48" s="887"/>
      <c r="NSW48" s="887"/>
      <c r="NSX48" s="887"/>
      <c r="NSY48" s="887"/>
      <c r="NSZ48" s="887"/>
      <c r="NTA48" s="887"/>
      <c r="NTB48" s="887"/>
      <c r="NTC48" s="887"/>
      <c r="NTD48" s="887"/>
      <c r="NTE48" s="887"/>
      <c r="NTF48" s="887"/>
      <c r="NTG48" s="887"/>
      <c r="NTH48" s="887"/>
      <c r="NTI48" s="887"/>
      <c r="NTJ48" s="887"/>
      <c r="NTK48" s="887"/>
      <c r="NTL48" s="887"/>
      <c r="NTM48" s="887"/>
      <c r="NTN48" s="887"/>
      <c r="NTO48" s="887"/>
      <c r="NTP48" s="887"/>
      <c r="NTQ48" s="887"/>
      <c r="NTR48" s="887"/>
      <c r="NTS48" s="887"/>
      <c r="NTT48" s="887"/>
      <c r="NTU48" s="887"/>
      <c r="NTV48" s="887"/>
      <c r="NTW48" s="887"/>
      <c r="NTX48" s="887"/>
      <c r="NTY48" s="887"/>
      <c r="NTZ48" s="887"/>
      <c r="NUA48" s="887"/>
      <c r="NUB48" s="887"/>
      <c r="NUC48" s="887"/>
      <c r="NUD48" s="887"/>
      <c r="NUE48" s="887"/>
      <c r="NUF48" s="887"/>
      <c r="NUG48" s="887"/>
      <c r="NUH48" s="887"/>
      <c r="NUI48" s="887"/>
      <c r="NUJ48" s="887"/>
      <c r="NUK48" s="887"/>
      <c r="NUL48" s="887"/>
      <c r="NUM48" s="887"/>
      <c r="NUN48" s="887"/>
      <c r="NUO48" s="887"/>
      <c r="NUP48" s="887"/>
      <c r="NUQ48" s="887"/>
      <c r="NUR48" s="887"/>
      <c r="NUS48" s="887"/>
      <c r="NUT48" s="887"/>
      <c r="NUU48" s="887"/>
      <c r="NUV48" s="887"/>
      <c r="NUW48" s="887"/>
      <c r="NUX48" s="887"/>
      <c r="NUY48" s="887"/>
      <c r="NUZ48" s="887"/>
      <c r="NVA48" s="887"/>
      <c r="NVB48" s="887"/>
      <c r="NVC48" s="887"/>
      <c r="NVD48" s="887"/>
      <c r="NVE48" s="887"/>
      <c r="NVF48" s="887"/>
      <c r="NVG48" s="887"/>
      <c r="NVH48" s="887"/>
      <c r="NVI48" s="887"/>
      <c r="NVJ48" s="887"/>
      <c r="NVK48" s="887"/>
      <c r="NVL48" s="887"/>
      <c r="NVM48" s="887"/>
      <c r="NVN48" s="887"/>
      <c r="NVO48" s="887"/>
      <c r="NVP48" s="887"/>
      <c r="NVQ48" s="887"/>
      <c r="NVR48" s="887"/>
      <c r="NVS48" s="887"/>
      <c r="NVT48" s="887"/>
      <c r="NVU48" s="887"/>
      <c r="NVV48" s="887"/>
      <c r="NVW48" s="887"/>
      <c r="NVX48" s="887"/>
      <c r="NVY48" s="887"/>
      <c r="NVZ48" s="887"/>
      <c r="NWA48" s="887"/>
      <c r="NWB48" s="887"/>
      <c r="NWC48" s="887"/>
      <c r="NWD48" s="887"/>
      <c r="NWE48" s="887"/>
      <c r="NWF48" s="887"/>
      <c r="NWG48" s="887"/>
      <c r="NWH48" s="887"/>
      <c r="NWI48" s="887"/>
      <c r="NWJ48" s="887"/>
      <c r="NWK48" s="887"/>
      <c r="NWL48" s="887"/>
      <c r="NWM48" s="887"/>
      <c r="NWN48" s="887"/>
      <c r="NWO48" s="887"/>
      <c r="NWP48" s="887"/>
      <c r="NWQ48" s="887"/>
      <c r="NWR48" s="887"/>
      <c r="NWS48" s="887"/>
      <c r="NWT48" s="887"/>
      <c r="NWU48" s="887"/>
      <c r="NWV48" s="887"/>
      <c r="NWW48" s="887"/>
      <c r="NWX48" s="887"/>
      <c r="NWY48" s="887"/>
      <c r="NWZ48" s="887"/>
      <c r="NXA48" s="887"/>
      <c r="NXB48" s="887"/>
      <c r="NXC48" s="887"/>
      <c r="NXD48" s="887"/>
      <c r="NXE48" s="887"/>
      <c r="NXF48" s="887"/>
      <c r="NXG48" s="887"/>
      <c r="NXH48" s="887"/>
      <c r="NXI48" s="887"/>
      <c r="NXJ48" s="887"/>
      <c r="NXK48" s="887"/>
      <c r="NXL48" s="887"/>
      <c r="NXM48" s="887"/>
      <c r="NXN48" s="887"/>
      <c r="NXO48" s="887"/>
      <c r="NXP48" s="887"/>
      <c r="NXQ48" s="887"/>
      <c r="NXR48" s="887"/>
      <c r="NXS48" s="887"/>
      <c r="NXT48" s="887"/>
      <c r="NXU48" s="887"/>
      <c r="NXV48" s="887"/>
      <c r="NXW48" s="887"/>
      <c r="NXX48" s="887"/>
      <c r="NXY48" s="887"/>
      <c r="NXZ48" s="887"/>
      <c r="NYA48" s="887"/>
      <c r="NYB48" s="887"/>
      <c r="NYC48" s="887"/>
      <c r="NYD48" s="887"/>
      <c r="NYE48" s="887"/>
      <c r="NYF48" s="887"/>
      <c r="NYG48" s="887"/>
      <c r="NYH48" s="887"/>
      <c r="NYI48" s="887"/>
      <c r="NYJ48" s="887"/>
      <c r="NYK48" s="887"/>
      <c r="NYL48" s="887"/>
      <c r="NYM48" s="887"/>
      <c r="NYN48" s="887"/>
      <c r="NYO48" s="887"/>
      <c r="NYP48" s="887"/>
      <c r="NYQ48" s="887"/>
      <c r="NYR48" s="887"/>
      <c r="NYS48" s="887"/>
      <c r="NYT48" s="887"/>
      <c r="NYU48" s="887"/>
      <c r="NYV48" s="887"/>
      <c r="NYW48" s="887"/>
      <c r="NYX48" s="887"/>
      <c r="NYY48" s="887"/>
      <c r="NYZ48" s="887"/>
      <c r="NZA48" s="887"/>
      <c r="NZB48" s="887"/>
      <c r="NZC48" s="887"/>
      <c r="NZD48" s="887"/>
      <c r="NZE48" s="887"/>
      <c r="NZF48" s="887"/>
      <c r="NZG48" s="887"/>
      <c r="NZH48" s="887"/>
      <c r="NZI48" s="887"/>
      <c r="NZJ48" s="887"/>
      <c r="NZK48" s="887"/>
      <c r="NZL48" s="887"/>
      <c r="NZM48" s="887"/>
      <c r="NZN48" s="887"/>
      <c r="NZO48" s="887"/>
      <c r="NZP48" s="887"/>
      <c r="NZQ48" s="887"/>
      <c r="NZR48" s="887"/>
      <c r="NZS48" s="887"/>
      <c r="NZT48" s="887"/>
      <c r="NZU48" s="887"/>
      <c r="NZV48" s="887"/>
      <c r="NZW48" s="887"/>
      <c r="NZX48" s="887"/>
      <c r="NZY48" s="887"/>
      <c r="NZZ48" s="887"/>
      <c r="OAA48" s="887"/>
      <c r="OAB48" s="887"/>
      <c r="OAC48" s="887"/>
      <c r="OAD48" s="887"/>
      <c r="OAE48" s="887"/>
      <c r="OAF48" s="887"/>
      <c r="OAG48" s="887"/>
      <c r="OAH48" s="887"/>
      <c r="OAI48" s="887"/>
      <c r="OAJ48" s="887"/>
      <c r="OAK48" s="887"/>
      <c r="OAL48" s="887"/>
      <c r="OAM48" s="887"/>
      <c r="OAN48" s="887"/>
      <c r="OAO48" s="887"/>
      <c r="OAP48" s="887"/>
      <c r="OAQ48" s="887"/>
      <c r="OAR48" s="887"/>
      <c r="OAS48" s="887"/>
      <c r="OAT48" s="887"/>
      <c r="OAU48" s="887"/>
      <c r="OAV48" s="887"/>
      <c r="OAW48" s="887"/>
      <c r="OAX48" s="887"/>
      <c r="OAY48" s="887"/>
      <c r="OAZ48" s="887"/>
      <c r="OBA48" s="887"/>
      <c r="OBB48" s="887"/>
      <c r="OBC48" s="887"/>
      <c r="OBD48" s="887"/>
      <c r="OBE48" s="887"/>
      <c r="OBF48" s="887"/>
      <c r="OBG48" s="887"/>
      <c r="OBH48" s="887"/>
      <c r="OBI48" s="887"/>
      <c r="OBJ48" s="887"/>
      <c r="OBK48" s="887"/>
      <c r="OBL48" s="887"/>
      <c r="OBM48" s="887"/>
      <c r="OBN48" s="887"/>
      <c r="OBO48" s="887"/>
      <c r="OBP48" s="887"/>
      <c r="OBQ48" s="887"/>
      <c r="OBR48" s="887"/>
      <c r="OBS48" s="887"/>
      <c r="OBT48" s="887"/>
      <c r="OBU48" s="887"/>
      <c r="OBV48" s="887"/>
      <c r="OBW48" s="887"/>
      <c r="OBX48" s="887"/>
      <c r="OBY48" s="887"/>
      <c r="OBZ48" s="887"/>
      <c r="OCA48" s="887"/>
      <c r="OCB48" s="887"/>
      <c r="OCC48" s="887"/>
      <c r="OCD48" s="887"/>
      <c r="OCE48" s="887"/>
      <c r="OCF48" s="887"/>
      <c r="OCG48" s="887"/>
      <c r="OCH48" s="887"/>
      <c r="OCI48" s="887"/>
      <c r="OCJ48" s="887"/>
      <c r="OCK48" s="887"/>
      <c r="OCL48" s="887"/>
      <c r="OCM48" s="887"/>
      <c r="OCN48" s="887"/>
      <c r="OCO48" s="887"/>
      <c r="OCP48" s="887"/>
      <c r="OCQ48" s="887"/>
      <c r="OCR48" s="887"/>
      <c r="OCS48" s="887"/>
      <c r="OCT48" s="887"/>
      <c r="OCU48" s="887"/>
      <c r="OCV48" s="887"/>
      <c r="OCW48" s="887"/>
      <c r="OCX48" s="887"/>
      <c r="OCY48" s="887"/>
      <c r="OCZ48" s="887"/>
      <c r="ODA48" s="887"/>
      <c r="ODB48" s="887"/>
      <c r="ODC48" s="887"/>
      <c r="ODD48" s="887"/>
      <c r="ODE48" s="887"/>
      <c r="ODF48" s="887"/>
      <c r="ODG48" s="887"/>
      <c r="ODH48" s="887"/>
      <c r="ODI48" s="887"/>
      <c r="ODJ48" s="887"/>
      <c r="ODK48" s="887"/>
      <c r="ODL48" s="887"/>
      <c r="ODM48" s="887"/>
      <c r="ODN48" s="887"/>
      <c r="ODO48" s="887"/>
      <c r="ODP48" s="887"/>
      <c r="ODQ48" s="887"/>
      <c r="ODR48" s="887"/>
      <c r="ODS48" s="887"/>
      <c r="ODT48" s="887"/>
      <c r="ODU48" s="887"/>
      <c r="ODV48" s="887"/>
      <c r="ODW48" s="887"/>
      <c r="ODX48" s="887"/>
      <c r="ODY48" s="887"/>
      <c r="ODZ48" s="887"/>
      <c r="OEA48" s="887"/>
      <c r="OEB48" s="887"/>
      <c r="OEC48" s="887"/>
      <c r="OED48" s="887"/>
      <c r="OEE48" s="887"/>
      <c r="OEF48" s="887"/>
      <c r="OEG48" s="887"/>
      <c r="OEH48" s="887"/>
      <c r="OEI48" s="887"/>
      <c r="OEJ48" s="887"/>
      <c r="OEK48" s="887"/>
      <c r="OEL48" s="887"/>
      <c r="OEM48" s="887"/>
      <c r="OEN48" s="887"/>
      <c r="OEO48" s="887"/>
      <c r="OEP48" s="887"/>
      <c r="OEQ48" s="887"/>
      <c r="OER48" s="887"/>
      <c r="OES48" s="887"/>
      <c r="OET48" s="887"/>
      <c r="OEU48" s="887"/>
      <c r="OEV48" s="887"/>
      <c r="OEW48" s="887"/>
      <c r="OEX48" s="887"/>
      <c r="OEY48" s="887"/>
      <c r="OEZ48" s="887"/>
      <c r="OFA48" s="887"/>
      <c r="OFB48" s="887"/>
      <c r="OFC48" s="887"/>
      <c r="OFD48" s="887"/>
      <c r="OFE48" s="887"/>
      <c r="OFF48" s="887"/>
      <c r="OFG48" s="887"/>
      <c r="OFH48" s="887"/>
      <c r="OFI48" s="887"/>
      <c r="OFJ48" s="887"/>
      <c r="OFK48" s="887"/>
      <c r="OFL48" s="887"/>
      <c r="OFM48" s="887"/>
      <c r="OFN48" s="887"/>
      <c r="OFO48" s="887"/>
      <c r="OFP48" s="887"/>
      <c r="OFQ48" s="887"/>
      <c r="OFR48" s="887"/>
      <c r="OFS48" s="887"/>
      <c r="OFT48" s="887"/>
      <c r="OFU48" s="887"/>
      <c r="OFV48" s="887"/>
      <c r="OFW48" s="887"/>
      <c r="OFX48" s="887"/>
      <c r="OFY48" s="887"/>
      <c r="OFZ48" s="887"/>
      <c r="OGA48" s="887"/>
      <c r="OGB48" s="887"/>
      <c r="OGC48" s="887"/>
      <c r="OGD48" s="887"/>
      <c r="OGE48" s="887"/>
      <c r="OGF48" s="887"/>
      <c r="OGG48" s="887"/>
      <c r="OGH48" s="887"/>
      <c r="OGI48" s="887"/>
      <c r="OGJ48" s="887"/>
      <c r="OGK48" s="887"/>
      <c r="OGL48" s="887"/>
      <c r="OGM48" s="887"/>
      <c r="OGN48" s="887"/>
      <c r="OGO48" s="887"/>
      <c r="OGP48" s="887"/>
      <c r="OGQ48" s="887"/>
      <c r="OGR48" s="887"/>
      <c r="OGS48" s="887"/>
      <c r="OGT48" s="887"/>
      <c r="OGU48" s="887"/>
      <c r="OGV48" s="887"/>
      <c r="OGW48" s="887"/>
      <c r="OGX48" s="887"/>
      <c r="OGY48" s="887"/>
      <c r="OGZ48" s="887"/>
      <c r="OHA48" s="887"/>
      <c r="OHB48" s="887"/>
      <c r="OHC48" s="887"/>
      <c r="OHD48" s="887"/>
      <c r="OHE48" s="887"/>
      <c r="OHF48" s="887"/>
      <c r="OHG48" s="887"/>
      <c r="OHH48" s="887"/>
      <c r="OHI48" s="887"/>
      <c r="OHJ48" s="887"/>
      <c r="OHK48" s="887"/>
      <c r="OHL48" s="887"/>
      <c r="OHM48" s="887"/>
      <c r="OHN48" s="887"/>
      <c r="OHO48" s="887"/>
      <c r="OHP48" s="887"/>
      <c r="OHQ48" s="887"/>
      <c r="OHR48" s="887"/>
      <c r="OHS48" s="887"/>
      <c r="OHT48" s="887"/>
      <c r="OHU48" s="887"/>
      <c r="OHV48" s="887"/>
      <c r="OHW48" s="887"/>
      <c r="OHX48" s="887"/>
      <c r="OHY48" s="887"/>
      <c r="OHZ48" s="887"/>
      <c r="OIA48" s="887"/>
      <c r="OIB48" s="887"/>
      <c r="OIC48" s="887"/>
      <c r="OID48" s="887"/>
      <c r="OIE48" s="887"/>
      <c r="OIF48" s="887"/>
      <c r="OIG48" s="887"/>
      <c r="OIH48" s="887"/>
      <c r="OII48" s="887"/>
      <c r="OIJ48" s="887"/>
      <c r="OIK48" s="887"/>
      <c r="OIL48" s="887"/>
      <c r="OIM48" s="887"/>
      <c r="OIN48" s="887"/>
      <c r="OIO48" s="887"/>
      <c r="OIP48" s="887"/>
      <c r="OIQ48" s="887"/>
      <c r="OIR48" s="887"/>
      <c r="OIS48" s="887"/>
      <c r="OIT48" s="887"/>
      <c r="OIU48" s="887"/>
      <c r="OIV48" s="887"/>
      <c r="OIW48" s="887"/>
      <c r="OIX48" s="887"/>
      <c r="OIY48" s="887"/>
      <c r="OIZ48" s="887"/>
      <c r="OJA48" s="887"/>
      <c r="OJB48" s="887"/>
      <c r="OJC48" s="887"/>
      <c r="OJD48" s="887"/>
      <c r="OJE48" s="887"/>
      <c r="OJF48" s="887"/>
      <c r="OJG48" s="887"/>
      <c r="OJH48" s="887"/>
      <c r="OJI48" s="887"/>
      <c r="OJJ48" s="887"/>
      <c r="OJK48" s="887"/>
      <c r="OJL48" s="887"/>
      <c r="OJM48" s="887"/>
      <c r="OJN48" s="887"/>
      <c r="OJO48" s="887"/>
      <c r="OJP48" s="887"/>
      <c r="OJQ48" s="887"/>
      <c r="OJR48" s="887"/>
      <c r="OJS48" s="887"/>
      <c r="OJT48" s="887"/>
      <c r="OJU48" s="887"/>
      <c r="OJV48" s="887"/>
      <c r="OJW48" s="887"/>
      <c r="OJX48" s="887"/>
      <c r="OJY48" s="887"/>
      <c r="OJZ48" s="887"/>
      <c r="OKA48" s="887"/>
      <c r="OKB48" s="887"/>
      <c r="OKC48" s="887"/>
      <c r="OKD48" s="887"/>
      <c r="OKE48" s="887"/>
      <c r="OKF48" s="887"/>
      <c r="OKG48" s="887"/>
      <c r="OKH48" s="887"/>
      <c r="OKI48" s="887"/>
      <c r="OKJ48" s="887"/>
      <c r="OKK48" s="887"/>
      <c r="OKL48" s="887"/>
      <c r="OKM48" s="887"/>
      <c r="OKN48" s="887"/>
      <c r="OKO48" s="887"/>
      <c r="OKP48" s="887"/>
      <c r="OKQ48" s="887"/>
      <c r="OKR48" s="887"/>
      <c r="OKS48" s="887"/>
      <c r="OKT48" s="887"/>
      <c r="OKU48" s="887"/>
      <c r="OKV48" s="887"/>
      <c r="OKW48" s="887"/>
      <c r="OKX48" s="887"/>
      <c r="OKY48" s="887"/>
      <c r="OKZ48" s="887"/>
      <c r="OLA48" s="887"/>
      <c r="OLB48" s="887"/>
      <c r="OLC48" s="887"/>
      <c r="OLD48" s="887"/>
      <c r="OLE48" s="887"/>
      <c r="OLF48" s="887"/>
      <c r="OLG48" s="887"/>
      <c r="OLH48" s="887"/>
      <c r="OLI48" s="887"/>
      <c r="OLJ48" s="887"/>
      <c r="OLK48" s="887"/>
      <c r="OLL48" s="887"/>
      <c r="OLM48" s="887"/>
      <c r="OLN48" s="887"/>
      <c r="OLO48" s="887"/>
      <c r="OLP48" s="887"/>
      <c r="OLQ48" s="887"/>
      <c r="OLR48" s="887"/>
      <c r="OLS48" s="887"/>
      <c r="OLT48" s="887"/>
      <c r="OLU48" s="887"/>
      <c r="OLV48" s="887"/>
      <c r="OLW48" s="887"/>
      <c r="OLX48" s="887"/>
      <c r="OLY48" s="887"/>
      <c r="OLZ48" s="887"/>
      <c r="OMA48" s="887"/>
      <c r="OMB48" s="887"/>
      <c r="OMC48" s="887"/>
      <c r="OMD48" s="887"/>
      <c r="OME48" s="887"/>
      <c r="OMF48" s="887"/>
      <c r="OMG48" s="887"/>
      <c r="OMH48" s="887"/>
      <c r="OMI48" s="887"/>
      <c r="OMJ48" s="887"/>
      <c r="OMK48" s="887"/>
      <c r="OML48" s="887"/>
      <c r="OMM48" s="887"/>
      <c r="OMN48" s="887"/>
      <c r="OMO48" s="887"/>
      <c r="OMP48" s="887"/>
      <c r="OMQ48" s="887"/>
      <c r="OMR48" s="887"/>
      <c r="OMS48" s="887"/>
      <c r="OMT48" s="887"/>
      <c r="OMU48" s="887"/>
      <c r="OMV48" s="887"/>
      <c r="OMW48" s="887"/>
      <c r="OMX48" s="887"/>
      <c r="OMY48" s="887"/>
      <c r="OMZ48" s="887"/>
      <c r="ONA48" s="887"/>
      <c r="ONB48" s="887"/>
      <c r="ONC48" s="887"/>
      <c r="OND48" s="887"/>
      <c r="ONE48" s="887"/>
      <c r="ONF48" s="887"/>
      <c r="ONG48" s="887"/>
      <c r="ONH48" s="887"/>
      <c r="ONI48" s="887"/>
      <c r="ONJ48" s="887"/>
      <c r="ONK48" s="887"/>
      <c r="ONL48" s="887"/>
      <c r="ONM48" s="887"/>
      <c r="ONN48" s="887"/>
      <c r="ONO48" s="887"/>
      <c r="ONP48" s="887"/>
      <c r="ONQ48" s="887"/>
      <c r="ONR48" s="887"/>
      <c r="ONS48" s="887"/>
      <c r="ONT48" s="887"/>
      <c r="ONU48" s="887"/>
      <c r="ONV48" s="887"/>
      <c r="ONW48" s="887"/>
      <c r="ONX48" s="887"/>
      <c r="ONY48" s="887"/>
      <c r="ONZ48" s="887"/>
      <c r="OOA48" s="887"/>
      <c r="OOB48" s="887"/>
      <c r="OOC48" s="887"/>
      <c r="OOD48" s="887"/>
      <c r="OOE48" s="887"/>
      <c r="OOF48" s="887"/>
      <c r="OOG48" s="887"/>
      <c r="OOH48" s="887"/>
      <c r="OOI48" s="887"/>
      <c r="OOJ48" s="887"/>
      <c r="OOK48" s="887"/>
      <c r="OOL48" s="887"/>
      <c r="OOM48" s="887"/>
      <c r="OON48" s="887"/>
      <c r="OOO48" s="887"/>
      <c r="OOP48" s="887"/>
      <c r="OOQ48" s="887"/>
      <c r="OOR48" s="887"/>
      <c r="OOS48" s="887"/>
      <c r="OOT48" s="887"/>
      <c r="OOU48" s="887"/>
      <c r="OOV48" s="887"/>
      <c r="OOW48" s="887"/>
      <c r="OOX48" s="887"/>
      <c r="OOY48" s="887"/>
      <c r="OOZ48" s="887"/>
      <c r="OPA48" s="887"/>
      <c r="OPB48" s="887"/>
      <c r="OPC48" s="887"/>
      <c r="OPD48" s="887"/>
      <c r="OPE48" s="887"/>
      <c r="OPF48" s="887"/>
      <c r="OPG48" s="887"/>
      <c r="OPH48" s="887"/>
      <c r="OPI48" s="887"/>
      <c r="OPJ48" s="887"/>
      <c r="OPK48" s="887"/>
      <c r="OPL48" s="887"/>
      <c r="OPM48" s="887"/>
      <c r="OPN48" s="887"/>
      <c r="OPO48" s="887"/>
      <c r="OPP48" s="887"/>
      <c r="OPQ48" s="887"/>
      <c r="OPR48" s="887"/>
      <c r="OPS48" s="887"/>
      <c r="OPT48" s="887"/>
      <c r="OPU48" s="887"/>
      <c r="OPV48" s="887"/>
      <c r="OPW48" s="887"/>
      <c r="OPX48" s="887"/>
      <c r="OPY48" s="887"/>
      <c r="OPZ48" s="887"/>
      <c r="OQA48" s="887"/>
      <c r="OQB48" s="887"/>
      <c r="OQC48" s="887"/>
      <c r="OQD48" s="887"/>
      <c r="OQE48" s="887"/>
      <c r="OQF48" s="887"/>
      <c r="OQG48" s="887"/>
      <c r="OQH48" s="887"/>
      <c r="OQI48" s="887"/>
      <c r="OQJ48" s="887"/>
      <c r="OQK48" s="887"/>
      <c r="OQL48" s="887"/>
      <c r="OQM48" s="887"/>
      <c r="OQN48" s="887"/>
      <c r="OQO48" s="887"/>
      <c r="OQP48" s="887"/>
      <c r="OQQ48" s="887"/>
      <c r="OQR48" s="887"/>
      <c r="OQS48" s="887"/>
      <c r="OQT48" s="887"/>
      <c r="OQU48" s="887"/>
      <c r="OQV48" s="887"/>
      <c r="OQW48" s="887"/>
      <c r="OQX48" s="887"/>
      <c r="OQY48" s="887"/>
      <c r="OQZ48" s="887"/>
      <c r="ORA48" s="887"/>
      <c r="ORB48" s="887"/>
      <c r="ORC48" s="887"/>
      <c r="ORD48" s="887"/>
      <c r="ORE48" s="887"/>
      <c r="ORF48" s="887"/>
      <c r="ORG48" s="887"/>
      <c r="ORH48" s="887"/>
      <c r="ORI48" s="887"/>
      <c r="ORJ48" s="887"/>
      <c r="ORK48" s="887"/>
      <c r="ORL48" s="887"/>
      <c r="ORM48" s="887"/>
      <c r="ORN48" s="887"/>
      <c r="ORO48" s="887"/>
      <c r="ORP48" s="887"/>
      <c r="ORQ48" s="887"/>
      <c r="ORR48" s="887"/>
      <c r="ORS48" s="887"/>
      <c r="ORT48" s="887"/>
      <c r="ORU48" s="887"/>
      <c r="ORV48" s="887"/>
      <c r="ORW48" s="887"/>
      <c r="ORX48" s="887"/>
      <c r="ORY48" s="887"/>
      <c r="ORZ48" s="887"/>
      <c r="OSA48" s="887"/>
      <c r="OSB48" s="887"/>
      <c r="OSC48" s="887"/>
      <c r="OSD48" s="887"/>
      <c r="OSE48" s="887"/>
      <c r="OSF48" s="887"/>
      <c r="OSG48" s="887"/>
      <c r="OSH48" s="887"/>
      <c r="OSI48" s="887"/>
      <c r="OSJ48" s="887"/>
      <c r="OSK48" s="887"/>
      <c r="OSL48" s="887"/>
      <c r="OSM48" s="887"/>
      <c r="OSN48" s="887"/>
      <c r="OSO48" s="887"/>
      <c r="OSP48" s="887"/>
      <c r="OSQ48" s="887"/>
      <c r="OSR48" s="887"/>
      <c r="OSS48" s="887"/>
      <c r="OST48" s="887"/>
      <c r="OSU48" s="887"/>
      <c r="OSV48" s="887"/>
      <c r="OSW48" s="887"/>
      <c r="OSX48" s="887"/>
      <c r="OSY48" s="887"/>
      <c r="OSZ48" s="887"/>
      <c r="OTA48" s="887"/>
      <c r="OTB48" s="887"/>
      <c r="OTC48" s="887"/>
      <c r="OTD48" s="887"/>
      <c r="OTE48" s="887"/>
      <c r="OTF48" s="887"/>
      <c r="OTG48" s="887"/>
      <c r="OTH48" s="887"/>
      <c r="OTI48" s="887"/>
      <c r="OTJ48" s="887"/>
      <c r="OTK48" s="887"/>
      <c r="OTL48" s="887"/>
      <c r="OTM48" s="887"/>
      <c r="OTN48" s="887"/>
      <c r="OTO48" s="887"/>
      <c r="OTP48" s="887"/>
      <c r="OTQ48" s="887"/>
      <c r="OTR48" s="887"/>
      <c r="OTS48" s="887"/>
      <c r="OTT48" s="887"/>
      <c r="OTU48" s="887"/>
      <c r="OTV48" s="887"/>
      <c r="OTW48" s="887"/>
      <c r="OTX48" s="887"/>
      <c r="OTY48" s="887"/>
      <c r="OTZ48" s="887"/>
      <c r="OUA48" s="887"/>
      <c r="OUB48" s="887"/>
      <c r="OUC48" s="887"/>
      <c r="OUD48" s="887"/>
      <c r="OUE48" s="887"/>
      <c r="OUF48" s="887"/>
      <c r="OUG48" s="887"/>
      <c r="OUH48" s="887"/>
      <c r="OUI48" s="887"/>
      <c r="OUJ48" s="887"/>
      <c r="OUK48" s="887"/>
      <c r="OUL48" s="887"/>
      <c r="OUM48" s="887"/>
      <c r="OUN48" s="887"/>
      <c r="OUO48" s="887"/>
      <c r="OUP48" s="887"/>
      <c r="OUQ48" s="887"/>
      <c r="OUR48" s="887"/>
      <c r="OUS48" s="887"/>
      <c r="OUT48" s="887"/>
      <c r="OUU48" s="887"/>
      <c r="OUV48" s="887"/>
      <c r="OUW48" s="887"/>
      <c r="OUX48" s="887"/>
      <c r="OUY48" s="887"/>
      <c r="OUZ48" s="887"/>
      <c r="OVA48" s="887"/>
      <c r="OVB48" s="887"/>
      <c r="OVC48" s="887"/>
      <c r="OVD48" s="887"/>
      <c r="OVE48" s="887"/>
      <c r="OVF48" s="887"/>
      <c r="OVG48" s="887"/>
      <c r="OVH48" s="887"/>
      <c r="OVI48" s="887"/>
      <c r="OVJ48" s="887"/>
      <c r="OVK48" s="887"/>
      <c r="OVL48" s="887"/>
      <c r="OVM48" s="887"/>
      <c r="OVN48" s="887"/>
      <c r="OVO48" s="887"/>
      <c r="OVP48" s="887"/>
      <c r="OVQ48" s="887"/>
      <c r="OVR48" s="887"/>
      <c r="OVS48" s="887"/>
      <c r="OVT48" s="887"/>
      <c r="OVU48" s="887"/>
      <c r="OVV48" s="887"/>
      <c r="OVW48" s="887"/>
      <c r="OVX48" s="887"/>
      <c r="OVY48" s="887"/>
      <c r="OVZ48" s="887"/>
      <c r="OWA48" s="887"/>
      <c r="OWB48" s="887"/>
      <c r="OWC48" s="887"/>
      <c r="OWD48" s="887"/>
      <c r="OWE48" s="887"/>
      <c r="OWF48" s="887"/>
      <c r="OWG48" s="887"/>
      <c r="OWH48" s="887"/>
      <c r="OWI48" s="887"/>
      <c r="OWJ48" s="887"/>
      <c r="OWK48" s="887"/>
      <c r="OWL48" s="887"/>
      <c r="OWM48" s="887"/>
      <c r="OWN48" s="887"/>
      <c r="OWO48" s="887"/>
      <c r="OWP48" s="887"/>
      <c r="OWQ48" s="887"/>
      <c r="OWR48" s="887"/>
      <c r="OWS48" s="887"/>
      <c r="OWT48" s="887"/>
      <c r="OWU48" s="887"/>
      <c r="OWV48" s="887"/>
      <c r="OWW48" s="887"/>
      <c r="OWX48" s="887"/>
      <c r="OWY48" s="887"/>
      <c r="OWZ48" s="887"/>
      <c r="OXA48" s="887"/>
      <c r="OXB48" s="887"/>
      <c r="OXC48" s="887"/>
      <c r="OXD48" s="887"/>
      <c r="OXE48" s="887"/>
      <c r="OXF48" s="887"/>
      <c r="OXG48" s="887"/>
      <c r="OXH48" s="887"/>
      <c r="OXI48" s="887"/>
      <c r="OXJ48" s="887"/>
      <c r="OXK48" s="887"/>
      <c r="OXL48" s="887"/>
      <c r="OXM48" s="887"/>
      <c r="OXN48" s="887"/>
      <c r="OXO48" s="887"/>
      <c r="OXP48" s="887"/>
      <c r="OXQ48" s="887"/>
      <c r="OXR48" s="887"/>
      <c r="OXS48" s="887"/>
      <c r="OXT48" s="887"/>
      <c r="OXU48" s="887"/>
      <c r="OXV48" s="887"/>
      <c r="OXW48" s="887"/>
      <c r="OXX48" s="887"/>
      <c r="OXY48" s="887"/>
      <c r="OXZ48" s="887"/>
      <c r="OYA48" s="887"/>
      <c r="OYB48" s="887"/>
      <c r="OYC48" s="887"/>
      <c r="OYD48" s="887"/>
      <c r="OYE48" s="887"/>
      <c r="OYF48" s="887"/>
      <c r="OYG48" s="887"/>
      <c r="OYH48" s="887"/>
      <c r="OYI48" s="887"/>
      <c r="OYJ48" s="887"/>
      <c r="OYK48" s="887"/>
      <c r="OYL48" s="887"/>
      <c r="OYM48" s="887"/>
      <c r="OYN48" s="887"/>
      <c r="OYO48" s="887"/>
      <c r="OYP48" s="887"/>
      <c r="OYQ48" s="887"/>
      <c r="OYR48" s="887"/>
      <c r="OYS48" s="887"/>
      <c r="OYT48" s="887"/>
      <c r="OYU48" s="887"/>
      <c r="OYV48" s="887"/>
      <c r="OYW48" s="887"/>
      <c r="OYX48" s="887"/>
      <c r="OYY48" s="887"/>
      <c r="OYZ48" s="887"/>
      <c r="OZA48" s="887"/>
      <c r="OZB48" s="887"/>
      <c r="OZC48" s="887"/>
      <c r="OZD48" s="887"/>
      <c r="OZE48" s="887"/>
      <c r="OZF48" s="887"/>
      <c r="OZG48" s="887"/>
      <c r="OZH48" s="887"/>
      <c r="OZI48" s="887"/>
      <c r="OZJ48" s="887"/>
      <c r="OZK48" s="887"/>
      <c r="OZL48" s="887"/>
      <c r="OZM48" s="887"/>
      <c r="OZN48" s="887"/>
      <c r="OZO48" s="887"/>
      <c r="OZP48" s="887"/>
      <c r="OZQ48" s="887"/>
      <c r="OZR48" s="887"/>
      <c r="OZS48" s="887"/>
      <c r="OZT48" s="887"/>
      <c r="OZU48" s="887"/>
      <c r="OZV48" s="887"/>
      <c r="OZW48" s="887"/>
      <c r="OZX48" s="887"/>
      <c r="OZY48" s="887"/>
      <c r="OZZ48" s="887"/>
      <c r="PAA48" s="887"/>
      <c r="PAB48" s="887"/>
      <c r="PAC48" s="887"/>
      <c r="PAD48" s="887"/>
      <c r="PAE48" s="887"/>
      <c r="PAF48" s="887"/>
      <c r="PAG48" s="887"/>
      <c r="PAH48" s="887"/>
      <c r="PAI48" s="887"/>
      <c r="PAJ48" s="887"/>
      <c r="PAK48" s="887"/>
      <c r="PAL48" s="887"/>
      <c r="PAM48" s="887"/>
      <c r="PAN48" s="887"/>
      <c r="PAO48" s="887"/>
      <c r="PAP48" s="887"/>
      <c r="PAQ48" s="887"/>
      <c r="PAR48" s="887"/>
      <c r="PAS48" s="887"/>
      <c r="PAT48" s="887"/>
      <c r="PAU48" s="887"/>
      <c r="PAV48" s="887"/>
      <c r="PAW48" s="887"/>
      <c r="PAX48" s="887"/>
      <c r="PAY48" s="887"/>
      <c r="PAZ48" s="887"/>
      <c r="PBA48" s="887"/>
      <c r="PBB48" s="887"/>
      <c r="PBC48" s="887"/>
      <c r="PBD48" s="887"/>
      <c r="PBE48" s="887"/>
      <c r="PBF48" s="887"/>
      <c r="PBG48" s="887"/>
      <c r="PBH48" s="887"/>
      <c r="PBI48" s="887"/>
      <c r="PBJ48" s="887"/>
      <c r="PBK48" s="887"/>
      <c r="PBL48" s="887"/>
      <c r="PBM48" s="887"/>
      <c r="PBN48" s="887"/>
      <c r="PBO48" s="887"/>
      <c r="PBP48" s="887"/>
      <c r="PBQ48" s="887"/>
      <c r="PBR48" s="887"/>
      <c r="PBS48" s="887"/>
      <c r="PBT48" s="887"/>
      <c r="PBU48" s="887"/>
      <c r="PBV48" s="887"/>
      <c r="PBW48" s="887"/>
      <c r="PBX48" s="887"/>
      <c r="PBY48" s="887"/>
      <c r="PBZ48" s="887"/>
      <c r="PCA48" s="887"/>
      <c r="PCB48" s="887"/>
      <c r="PCC48" s="887"/>
      <c r="PCD48" s="887"/>
      <c r="PCE48" s="887"/>
      <c r="PCF48" s="887"/>
      <c r="PCG48" s="887"/>
      <c r="PCH48" s="887"/>
      <c r="PCI48" s="887"/>
      <c r="PCJ48" s="887"/>
      <c r="PCK48" s="887"/>
      <c r="PCL48" s="887"/>
      <c r="PCM48" s="887"/>
      <c r="PCN48" s="887"/>
      <c r="PCO48" s="887"/>
      <c r="PCP48" s="887"/>
      <c r="PCQ48" s="887"/>
      <c r="PCR48" s="887"/>
      <c r="PCS48" s="887"/>
      <c r="PCT48" s="887"/>
      <c r="PCU48" s="887"/>
      <c r="PCV48" s="887"/>
      <c r="PCW48" s="887"/>
      <c r="PCX48" s="887"/>
      <c r="PCY48" s="887"/>
      <c r="PCZ48" s="887"/>
      <c r="PDA48" s="887"/>
      <c r="PDB48" s="887"/>
      <c r="PDC48" s="887"/>
      <c r="PDD48" s="887"/>
      <c r="PDE48" s="887"/>
      <c r="PDF48" s="887"/>
      <c r="PDG48" s="887"/>
      <c r="PDH48" s="887"/>
      <c r="PDI48" s="887"/>
      <c r="PDJ48" s="887"/>
      <c r="PDK48" s="887"/>
      <c r="PDL48" s="887"/>
      <c r="PDM48" s="887"/>
      <c r="PDN48" s="887"/>
      <c r="PDO48" s="887"/>
      <c r="PDP48" s="887"/>
      <c r="PDQ48" s="887"/>
      <c r="PDR48" s="887"/>
      <c r="PDS48" s="887"/>
      <c r="PDT48" s="887"/>
      <c r="PDU48" s="887"/>
      <c r="PDV48" s="887"/>
      <c r="PDW48" s="887"/>
      <c r="PDX48" s="887"/>
      <c r="PDY48" s="887"/>
      <c r="PDZ48" s="887"/>
      <c r="PEA48" s="887"/>
      <c r="PEB48" s="887"/>
      <c r="PEC48" s="887"/>
      <c r="PED48" s="887"/>
      <c r="PEE48" s="887"/>
      <c r="PEF48" s="887"/>
      <c r="PEG48" s="887"/>
      <c r="PEH48" s="887"/>
      <c r="PEI48" s="887"/>
      <c r="PEJ48" s="887"/>
      <c r="PEK48" s="887"/>
      <c r="PEL48" s="887"/>
      <c r="PEM48" s="887"/>
      <c r="PEN48" s="887"/>
      <c r="PEO48" s="887"/>
      <c r="PEP48" s="887"/>
      <c r="PEQ48" s="887"/>
      <c r="PER48" s="887"/>
      <c r="PES48" s="887"/>
      <c r="PET48" s="887"/>
      <c r="PEU48" s="887"/>
      <c r="PEV48" s="887"/>
      <c r="PEW48" s="887"/>
      <c r="PEX48" s="887"/>
      <c r="PEY48" s="887"/>
      <c r="PEZ48" s="887"/>
      <c r="PFA48" s="887"/>
      <c r="PFB48" s="887"/>
      <c r="PFC48" s="887"/>
      <c r="PFD48" s="887"/>
      <c r="PFE48" s="887"/>
      <c r="PFF48" s="887"/>
      <c r="PFG48" s="887"/>
      <c r="PFH48" s="887"/>
      <c r="PFI48" s="887"/>
      <c r="PFJ48" s="887"/>
      <c r="PFK48" s="887"/>
      <c r="PFL48" s="887"/>
      <c r="PFM48" s="887"/>
      <c r="PFN48" s="887"/>
      <c r="PFO48" s="887"/>
      <c r="PFP48" s="887"/>
      <c r="PFQ48" s="887"/>
      <c r="PFR48" s="887"/>
      <c r="PFS48" s="887"/>
      <c r="PFT48" s="887"/>
      <c r="PFU48" s="887"/>
      <c r="PFV48" s="887"/>
      <c r="PFW48" s="887"/>
      <c r="PFX48" s="887"/>
      <c r="PFY48" s="887"/>
      <c r="PFZ48" s="887"/>
      <c r="PGA48" s="887"/>
      <c r="PGB48" s="887"/>
      <c r="PGC48" s="887"/>
      <c r="PGD48" s="887"/>
      <c r="PGE48" s="887"/>
      <c r="PGF48" s="887"/>
      <c r="PGG48" s="887"/>
      <c r="PGH48" s="887"/>
      <c r="PGI48" s="887"/>
      <c r="PGJ48" s="887"/>
      <c r="PGK48" s="887"/>
      <c r="PGL48" s="887"/>
      <c r="PGM48" s="887"/>
      <c r="PGN48" s="887"/>
      <c r="PGO48" s="887"/>
      <c r="PGP48" s="887"/>
      <c r="PGQ48" s="887"/>
      <c r="PGR48" s="887"/>
      <c r="PGS48" s="887"/>
      <c r="PGT48" s="887"/>
      <c r="PGU48" s="887"/>
      <c r="PGV48" s="887"/>
      <c r="PGW48" s="887"/>
      <c r="PGX48" s="887"/>
      <c r="PGY48" s="887"/>
      <c r="PGZ48" s="887"/>
      <c r="PHA48" s="887"/>
      <c r="PHB48" s="887"/>
      <c r="PHC48" s="887"/>
      <c r="PHD48" s="887"/>
      <c r="PHE48" s="887"/>
      <c r="PHF48" s="887"/>
      <c r="PHG48" s="887"/>
      <c r="PHH48" s="887"/>
      <c r="PHI48" s="887"/>
      <c r="PHJ48" s="887"/>
      <c r="PHK48" s="887"/>
      <c r="PHL48" s="887"/>
      <c r="PHM48" s="887"/>
      <c r="PHN48" s="887"/>
      <c r="PHO48" s="887"/>
      <c r="PHP48" s="887"/>
      <c r="PHQ48" s="887"/>
      <c r="PHR48" s="887"/>
      <c r="PHS48" s="887"/>
      <c r="PHT48" s="887"/>
      <c r="PHU48" s="887"/>
      <c r="PHV48" s="887"/>
      <c r="PHW48" s="887"/>
      <c r="PHX48" s="887"/>
      <c r="PHY48" s="887"/>
      <c r="PHZ48" s="887"/>
      <c r="PIA48" s="887"/>
      <c r="PIB48" s="887"/>
      <c r="PIC48" s="887"/>
      <c r="PID48" s="887"/>
      <c r="PIE48" s="887"/>
      <c r="PIF48" s="887"/>
      <c r="PIG48" s="887"/>
      <c r="PIH48" s="887"/>
      <c r="PII48" s="887"/>
      <c r="PIJ48" s="887"/>
      <c r="PIK48" s="887"/>
      <c r="PIL48" s="887"/>
      <c r="PIM48" s="887"/>
      <c r="PIN48" s="887"/>
      <c r="PIO48" s="887"/>
      <c r="PIP48" s="887"/>
      <c r="PIQ48" s="887"/>
      <c r="PIR48" s="887"/>
      <c r="PIS48" s="887"/>
      <c r="PIT48" s="887"/>
      <c r="PIU48" s="887"/>
      <c r="PIV48" s="887"/>
      <c r="PIW48" s="887"/>
      <c r="PIX48" s="887"/>
      <c r="PIY48" s="887"/>
      <c r="PIZ48" s="887"/>
      <c r="PJA48" s="887"/>
      <c r="PJB48" s="887"/>
      <c r="PJC48" s="887"/>
      <c r="PJD48" s="887"/>
      <c r="PJE48" s="887"/>
      <c r="PJF48" s="887"/>
      <c r="PJG48" s="887"/>
      <c r="PJH48" s="887"/>
      <c r="PJI48" s="887"/>
      <c r="PJJ48" s="887"/>
      <c r="PJK48" s="887"/>
      <c r="PJL48" s="887"/>
      <c r="PJM48" s="887"/>
      <c r="PJN48" s="887"/>
      <c r="PJO48" s="887"/>
      <c r="PJP48" s="887"/>
      <c r="PJQ48" s="887"/>
      <c r="PJR48" s="887"/>
      <c r="PJS48" s="887"/>
      <c r="PJT48" s="887"/>
      <c r="PJU48" s="887"/>
      <c r="PJV48" s="887"/>
      <c r="PJW48" s="887"/>
      <c r="PJX48" s="887"/>
      <c r="PJY48" s="887"/>
      <c r="PJZ48" s="887"/>
      <c r="PKA48" s="887"/>
      <c r="PKB48" s="887"/>
      <c r="PKC48" s="887"/>
      <c r="PKD48" s="887"/>
      <c r="PKE48" s="887"/>
      <c r="PKF48" s="887"/>
      <c r="PKG48" s="887"/>
      <c r="PKH48" s="887"/>
      <c r="PKI48" s="887"/>
      <c r="PKJ48" s="887"/>
      <c r="PKK48" s="887"/>
      <c r="PKL48" s="887"/>
      <c r="PKM48" s="887"/>
      <c r="PKN48" s="887"/>
      <c r="PKO48" s="887"/>
      <c r="PKP48" s="887"/>
      <c r="PKQ48" s="887"/>
      <c r="PKR48" s="887"/>
      <c r="PKS48" s="887"/>
      <c r="PKT48" s="887"/>
      <c r="PKU48" s="887"/>
      <c r="PKV48" s="887"/>
      <c r="PKW48" s="887"/>
      <c r="PKX48" s="887"/>
      <c r="PKY48" s="887"/>
      <c r="PKZ48" s="887"/>
      <c r="PLA48" s="887"/>
      <c r="PLB48" s="887"/>
      <c r="PLC48" s="887"/>
      <c r="PLD48" s="887"/>
      <c r="PLE48" s="887"/>
      <c r="PLF48" s="887"/>
      <c r="PLG48" s="887"/>
      <c r="PLH48" s="887"/>
      <c r="PLI48" s="887"/>
      <c r="PLJ48" s="887"/>
      <c r="PLK48" s="887"/>
      <c r="PLL48" s="887"/>
      <c r="PLM48" s="887"/>
      <c r="PLN48" s="887"/>
      <c r="PLO48" s="887"/>
      <c r="PLP48" s="887"/>
      <c r="PLQ48" s="887"/>
      <c r="PLR48" s="887"/>
      <c r="PLS48" s="887"/>
      <c r="PLT48" s="887"/>
      <c r="PLU48" s="887"/>
      <c r="PLV48" s="887"/>
      <c r="PLW48" s="887"/>
      <c r="PLX48" s="887"/>
      <c r="PLY48" s="887"/>
      <c r="PLZ48" s="887"/>
      <c r="PMA48" s="887"/>
      <c r="PMB48" s="887"/>
      <c r="PMC48" s="887"/>
      <c r="PMD48" s="887"/>
      <c r="PME48" s="887"/>
      <c r="PMF48" s="887"/>
      <c r="PMG48" s="887"/>
      <c r="PMH48" s="887"/>
      <c r="PMI48" s="887"/>
      <c r="PMJ48" s="887"/>
      <c r="PMK48" s="887"/>
      <c r="PML48" s="887"/>
      <c r="PMM48" s="887"/>
      <c r="PMN48" s="887"/>
      <c r="PMO48" s="887"/>
      <c r="PMP48" s="887"/>
      <c r="PMQ48" s="887"/>
      <c r="PMR48" s="887"/>
      <c r="PMS48" s="887"/>
      <c r="PMT48" s="887"/>
      <c r="PMU48" s="887"/>
      <c r="PMV48" s="887"/>
      <c r="PMW48" s="887"/>
      <c r="PMX48" s="887"/>
      <c r="PMY48" s="887"/>
      <c r="PMZ48" s="887"/>
      <c r="PNA48" s="887"/>
      <c r="PNB48" s="887"/>
      <c r="PNC48" s="887"/>
      <c r="PND48" s="887"/>
      <c r="PNE48" s="887"/>
      <c r="PNF48" s="887"/>
      <c r="PNG48" s="887"/>
      <c r="PNH48" s="887"/>
      <c r="PNI48" s="887"/>
      <c r="PNJ48" s="887"/>
      <c r="PNK48" s="887"/>
      <c r="PNL48" s="887"/>
      <c r="PNM48" s="887"/>
      <c r="PNN48" s="887"/>
      <c r="PNO48" s="887"/>
      <c r="PNP48" s="887"/>
      <c r="PNQ48" s="887"/>
      <c r="PNR48" s="887"/>
      <c r="PNS48" s="887"/>
      <c r="PNT48" s="887"/>
      <c r="PNU48" s="887"/>
      <c r="PNV48" s="887"/>
      <c r="PNW48" s="887"/>
      <c r="PNX48" s="887"/>
      <c r="PNY48" s="887"/>
      <c r="PNZ48" s="887"/>
      <c r="POA48" s="887"/>
      <c r="POB48" s="887"/>
      <c r="POC48" s="887"/>
      <c r="POD48" s="887"/>
      <c r="POE48" s="887"/>
      <c r="POF48" s="887"/>
      <c r="POG48" s="887"/>
      <c r="POH48" s="887"/>
      <c r="POI48" s="887"/>
      <c r="POJ48" s="887"/>
      <c r="POK48" s="887"/>
      <c r="POL48" s="887"/>
      <c r="POM48" s="887"/>
      <c r="PON48" s="887"/>
      <c r="POO48" s="887"/>
      <c r="POP48" s="887"/>
      <c r="POQ48" s="887"/>
      <c r="POR48" s="887"/>
      <c r="POS48" s="887"/>
      <c r="POT48" s="887"/>
      <c r="POU48" s="887"/>
      <c r="POV48" s="887"/>
      <c r="POW48" s="887"/>
      <c r="POX48" s="887"/>
      <c r="POY48" s="887"/>
      <c r="POZ48" s="887"/>
      <c r="PPA48" s="887"/>
      <c r="PPB48" s="887"/>
      <c r="PPC48" s="887"/>
      <c r="PPD48" s="887"/>
      <c r="PPE48" s="887"/>
      <c r="PPF48" s="887"/>
      <c r="PPG48" s="887"/>
      <c r="PPH48" s="887"/>
      <c r="PPI48" s="887"/>
      <c r="PPJ48" s="887"/>
      <c r="PPK48" s="887"/>
      <c r="PPL48" s="887"/>
      <c r="PPM48" s="887"/>
      <c r="PPN48" s="887"/>
      <c r="PPO48" s="887"/>
      <c r="PPP48" s="887"/>
      <c r="PPQ48" s="887"/>
      <c r="PPR48" s="887"/>
      <c r="PPS48" s="887"/>
      <c r="PPT48" s="887"/>
      <c r="PPU48" s="887"/>
      <c r="PPV48" s="887"/>
      <c r="PPW48" s="887"/>
      <c r="PPX48" s="887"/>
      <c r="PPY48" s="887"/>
      <c r="PPZ48" s="887"/>
      <c r="PQA48" s="887"/>
      <c r="PQB48" s="887"/>
      <c r="PQC48" s="887"/>
      <c r="PQD48" s="887"/>
      <c r="PQE48" s="887"/>
      <c r="PQF48" s="887"/>
      <c r="PQG48" s="887"/>
      <c r="PQH48" s="887"/>
      <c r="PQI48" s="887"/>
      <c r="PQJ48" s="887"/>
      <c r="PQK48" s="887"/>
      <c r="PQL48" s="887"/>
      <c r="PQM48" s="887"/>
      <c r="PQN48" s="887"/>
      <c r="PQO48" s="887"/>
      <c r="PQP48" s="887"/>
      <c r="PQQ48" s="887"/>
      <c r="PQR48" s="887"/>
      <c r="PQS48" s="887"/>
      <c r="PQT48" s="887"/>
      <c r="PQU48" s="887"/>
      <c r="PQV48" s="887"/>
      <c r="PQW48" s="887"/>
      <c r="PQX48" s="887"/>
      <c r="PQY48" s="887"/>
      <c r="PQZ48" s="887"/>
      <c r="PRA48" s="887"/>
      <c r="PRB48" s="887"/>
      <c r="PRC48" s="887"/>
      <c r="PRD48" s="887"/>
      <c r="PRE48" s="887"/>
      <c r="PRF48" s="887"/>
      <c r="PRG48" s="887"/>
      <c r="PRH48" s="887"/>
      <c r="PRI48" s="887"/>
      <c r="PRJ48" s="887"/>
      <c r="PRK48" s="887"/>
      <c r="PRL48" s="887"/>
      <c r="PRM48" s="887"/>
      <c r="PRN48" s="887"/>
      <c r="PRO48" s="887"/>
      <c r="PRP48" s="887"/>
      <c r="PRQ48" s="887"/>
      <c r="PRR48" s="887"/>
      <c r="PRS48" s="887"/>
      <c r="PRT48" s="887"/>
      <c r="PRU48" s="887"/>
      <c r="PRV48" s="887"/>
      <c r="PRW48" s="887"/>
      <c r="PRX48" s="887"/>
      <c r="PRY48" s="887"/>
      <c r="PRZ48" s="887"/>
      <c r="PSA48" s="887"/>
      <c r="PSB48" s="887"/>
      <c r="PSC48" s="887"/>
      <c r="PSD48" s="887"/>
      <c r="PSE48" s="887"/>
      <c r="PSF48" s="887"/>
      <c r="PSG48" s="887"/>
      <c r="PSH48" s="887"/>
      <c r="PSI48" s="887"/>
      <c r="PSJ48" s="887"/>
      <c r="PSK48" s="887"/>
      <c r="PSL48" s="887"/>
      <c r="PSM48" s="887"/>
      <c r="PSN48" s="887"/>
      <c r="PSO48" s="887"/>
      <c r="PSP48" s="887"/>
      <c r="PSQ48" s="887"/>
      <c r="PSR48" s="887"/>
      <c r="PSS48" s="887"/>
      <c r="PST48" s="887"/>
      <c r="PSU48" s="887"/>
      <c r="PSV48" s="887"/>
      <c r="PSW48" s="887"/>
      <c r="PSX48" s="887"/>
      <c r="PSY48" s="887"/>
      <c r="PSZ48" s="887"/>
      <c r="PTA48" s="887"/>
      <c r="PTB48" s="887"/>
      <c r="PTC48" s="887"/>
      <c r="PTD48" s="887"/>
      <c r="PTE48" s="887"/>
      <c r="PTF48" s="887"/>
      <c r="PTG48" s="887"/>
      <c r="PTH48" s="887"/>
      <c r="PTI48" s="887"/>
      <c r="PTJ48" s="887"/>
      <c r="PTK48" s="887"/>
      <c r="PTL48" s="887"/>
      <c r="PTM48" s="887"/>
      <c r="PTN48" s="887"/>
      <c r="PTO48" s="887"/>
      <c r="PTP48" s="887"/>
      <c r="PTQ48" s="887"/>
      <c r="PTR48" s="887"/>
      <c r="PTS48" s="887"/>
      <c r="PTT48" s="887"/>
      <c r="PTU48" s="887"/>
      <c r="PTV48" s="887"/>
      <c r="PTW48" s="887"/>
      <c r="PTX48" s="887"/>
      <c r="PTY48" s="887"/>
      <c r="PTZ48" s="887"/>
      <c r="PUA48" s="887"/>
      <c r="PUB48" s="887"/>
      <c r="PUC48" s="887"/>
      <c r="PUD48" s="887"/>
      <c r="PUE48" s="887"/>
      <c r="PUF48" s="887"/>
      <c r="PUG48" s="887"/>
      <c r="PUH48" s="887"/>
      <c r="PUI48" s="887"/>
      <c r="PUJ48" s="887"/>
      <c r="PUK48" s="887"/>
      <c r="PUL48" s="887"/>
      <c r="PUM48" s="887"/>
      <c r="PUN48" s="887"/>
      <c r="PUO48" s="887"/>
      <c r="PUP48" s="887"/>
      <c r="PUQ48" s="887"/>
      <c r="PUR48" s="887"/>
      <c r="PUS48" s="887"/>
      <c r="PUT48" s="887"/>
      <c r="PUU48" s="887"/>
      <c r="PUV48" s="887"/>
      <c r="PUW48" s="887"/>
      <c r="PUX48" s="887"/>
      <c r="PUY48" s="887"/>
      <c r="PUZ48" s="887"/>
      <c r="PVA48" s="887"/>
      <c r="PVB48" s="887"/>
      <c r="PVC48" s="887"/>
      <c r="PVD48" s="887"/>
      <c r="PVE48" s="887"/>
      <c r="PVF48" s="887"/>
      <c r="PVG48" s="887"/>
      <c r="PVH48" s="887"/>
      <c r="PVI48" s="887"/>
      <c r="PVJ48" s="887"/>
      <c r="PVK48" s="887"/>
      <c r="PVL48" s="887"/>
      <c r="PVM48" s="887"/>
      <c r="PVN48" s="887"/>
      <c r="PVO48" s="887"/>
      <c r="PVP48" s="887"/>
      <c r="PVQ48" s="887"/>
      <c r="PVR48" s="887"/>
      <c r="PVS48" s="887"/>
      <c r="PVT48" s="887"/>
      <c r="PVU48" s="887"/>
      <c r="PVV48" s="887"/>
      <c r="PVW48" s="887"/>
      <c r="PVX48" s="887"/>
      <c r="PVY48" s="887"/>
      <c r="PVZ48" s="887"/>
      <c r="PWA48" s="887"/>
      <c r="PWB48" s="887"/>
      <c r="PWC48" s="887"/>
      <c r="PWD48" s="887"/>
      <c r="PWE48" s="887"/>
      <c r="PWF48" s="887"/>
      <c r="PWG48" s="887"/>
      <c r="PWH48" s="887"/>
      <c r="PWI48" s="887"/>
      <c r="PWJ48" s="887"/>
      <c r="PWK48" s="887"/>
      <c r="PWL48" s="887"/>
      <c r="PWM48" s="887"/>
      <c r="PWN48" s="887"/>
      <c r="PWO48" s="887"/>
      <c r="PWP48" s="887"/>
      <c r="PWQ48" s="887"/>
      <c r="PWR48" s="887"/>
      <c r="PWS48" s="887"/>
      <c r="PWT48" s="887"/>
      <c r="PWU48" s="887"/>
      <c r="PWV48" s="887"/>
      <c r="PWW48" s="887"/>
      <c r="PWX48" s="887"/>
      <c r="PWY48" s="887"/>
      <c r="PWZ48" s="887"/>
      <c r="PXA48" s="887"/>
      <c r="PXB48" s="887"/>
      <c r="PXC48" s="887"/>
      <c r="PXD48" s="887"/>
      <c r="PXE48" s="887"/>
      <c r="PXF48" s="887"/>
      <c r="PXG48" s="887"/>
      <c r="PXH48" s="887"/>
      <c r="PXI48" s="887"/>
      <c r="PXJ48" s="887"/>
      <c r="PXK48" s="887"/>
      <c r="PXL48" s="887"/>
      <c r="PXM48" s="887"/>
      <c r="PXN48" s="887"/>
      <c r="PXO48" s="887"/>
      <c r="PXP48" s="887"/>
      <c r="PXQ48" s="887"/>
      <c r="PXR48" s="887"/>
      <c r="PXS48" s="887"/>
      <c r="PXT48" s="887"/>
      <c r="PXU48" s="887"/>
      <c r="PXV48" s="887"/>
      <c r="PXW48" s="887"/>
      <c r="PXX48" s="887"/>
      <c r="PXY48" s="887"/>
      <c r="PXZ48" s="887"/>
      <c r="PYA48" s="887"/>
      <c r="PYB48" s="887"/>
      <c r="PYC48" s="887"/>
      <c r="PYD48" s="887"/>
      <c r="PYE48" s="887"/>
      <c r="PYF48" s="887"/>
      <c r="PYG48" s="887"/>
      <c r="PYH48" s="887"/>
      <c r="PYI48" s="887"/>
      <c r="PYJ48" s="887"/>
      <c r="PYK48" s="887"/>
      <c r="PYL48" s="887"/>
      <c r="PYM48" s="887"/>
      <c r="PYN48" s="887"/>
      <c r="PYO48" s="887"/>
      <c r="PYP48" s="887"/>
      <c r="PYQ48" s="887"/>
      <c r="PYR48" s="887"/>
      <c r="PYS48" s="887"/>
      <c r="PYT48" s="887"/>
      <c r="PYU48" s="887"/>
      <c r="PYV48" s="887"/>
      <c r="PYW48" s="887"/>
      <c r="PYX48" s="887"/>
      <c r="PYY48" s="887"/>
      <c r="PYZ48" s="887"/>
      <c r="PZA48" s="887"/>
      <c r="PZB48" s="887"/>
      <c r="PZC48" s="887"/>
      <c r="PZD48" s="887"/>
      <c r="PZE48" s="887"/>
      <c r="PZF48" s="887"/>
      <c r="PZG48" s="887"/>
      <c r="PZH48" s="887"/>
      <c r="PZI48" s="887"/>
      <c r="PZJ48" s="887"/>
      <c r="PZK48" s="887"/>
      <c r="PZL48" s="887"/>
      <c r="PZM48" s="887"/>
      <c r="PZN48" s="887"/>
      <c r="PZO48" s="887"/>
      <c r="PZP48" s="887"/>
      <c r="PZQ48" s="887"/>
      <c r="PZR48" s="887"/>
      <c r="PZS48" s="887"/>
      <c r="PZT48" s="887"/>
      <c r="PZU48" s="887"/>
      <c r="PZV48" s="887"/>
      <c r="PZW48" s="887"/>
      <c r="PZX48" s="887"/>
      <c r="PZY48" s="887"/>
      <c r="PZZ48" s="887"/>
      <c r="QAA48" s="887"/>
      <c r="QAB48" s="887"/>
      <c r="QAC48" s="887"/>
      <c r="QAD48" s="887"/>
      <c r="QAE48" s="887"/>
      <c r="QAF48" s="887"/>
      <c r="QAG48" s="887"/>
      <c r="QAH48" s="887"/>
      <c r="QAI48" s="887"/>
      <c r="QAJ48" s="887"/>
      <c r="QAK48" s="887"/>
      <c r="QAL48" s="887"/>
      <c r="QAM48" s="887"/>
      <c r="QAN48" s="887"/>
      <c r="QAO48" s="887"/>
      <c r="QAP48" s="887"/>
      <c r="QAQ48" s="887"/>
      <c r="QAR48" s="887"/>
      <c r="QAS48" s="887"/>
      <c r="QAT48" s="887"/>
      <c r="QAU48" s="887"/>
      <c r="QAV48" s="887"/>
      <c r="QAW48" s="887"/>
      <c r="QAX48" s="887"/>
      <c r="QAY48" s="887"/>
      <c r="QAZ48" s="887"/>
      <c r="QBA48" s="887"/>
      <c r="QBB48" s="887"/>
      <c r="QBC48" s="887"/>
      <c r="QBD48" s="887"/>
      <c r="QBE48" s="887"/>
      <c r="QBF48" s="887"/>
      <c r="QBG48" s="887"/>
      <c r="QBH48" s="887"/>
      <c r="QBI48" s="887"/>
      <c r="QBJ48" s="887"/>
      <c r="QBK48" s="887"/>
      <c r="QBL48" s="887"/>
      <c r="QBM48" s="887"/>
      <c r="QBN48" s="887"/>
      <c r="QBO48" s="887"/>
      <c r="QBP48" s="887"/>
      <c r="QBQ48" s="887"/>
      <c r="QBR48" s="887"/>
      <c r="QBS48" s="887"/>
      <c r="QBT48" s="887"/>
      <c r="QBU48" s="887"/>
      <c r="QBV48" s="887"/>
      <c r="QBW48" s="887"/>
      <c r="QBX48" s="887"/>
      <c r="QBY48" s="887"/>
      <c r="QBZ48" s="887"/>
      <c r="QCA48" s="887"/>
      <c r="QCB48" s="887"/>
      <c r="QCC48" s="887"/>
      <c r="QCD48" s="887"/>
      <c r="QCE48" s="887"/>
      <c r="QCF48" s="887"/>
      <c r="QCG48" s="887"/>
      <c r="QCH48" s="887"/>
      <c r="QCI48" s="887"/>
      <c r="QCJ48" s="887"/>
      <c r="QCK48" s="887"/>
      <c r="QCL48" s="887"/>
      <c r="QCM48" s="887"/>
      <c r="QCN48" s="887"/>
      <c r="QCO48" s="887"/>
      <c r="QCP48" s="887"/>
      <c r="QCQ48" s="887"/>
      <c r="QCR48" s="887"/>
      <c r="QCS48" s="887"/>
      <c r="QCT48" s="887"/>
      <c r="QCU48" s="887"/>
      <c r="QCV48" s="887"/>
      <c r="QCW48" s="887"/>
      <c r="QCX48" s="887"/>
      <c r="QCY48" s="887"/>
      <c r="QCZ48" s="887"/>
      <c r="QDA48" s="887"/>
      <c r="QDB48" s="887"/>
      <c r="QDC48" s="887"/>
      <c r="QDD48" s="887"/>
      <c r="QDE48" s="887"/>
      <c r="QDF48" s="887"/>
      <c r="QDG48" s="887"/>
      <c r="QDH48" s="887"/>
      <c r="QDI48" s="887"/>
      <c r="QDJ48" s="887"/>
      <c r="QDK48" s="887"/>
      <c r="QDL48" s="887"/>
      <c r="QDM48" s="887"/>
      <c r="QDN48" s="887"/>
      <c r="QDO48" s="887"/>
      <c r="QDP48" s="887"/>
      <c r="QDQ48" s="887"/>
      <c r="QDR48" s="887"/>
      <c r="QDS48" s="887"/>
      <c r="QDT48" s="887"/>
      <c r="QDU48" s="887"/>
      <c r="QDV48" s="887"/>
      <c r="QDW48" s="887"/>
      <c r="QDX48" s="887"/>
      <c r="QDY48" s="887"/>
      <c r="QDZ48" s="887"/>
      <c r="QEA48" s="887"/>
      <c r="QEB48" s="887"/>
      <c r="QEC48" s="887"/>
      <c r="QED48" s="887"/>
      <c r="QEE48" s="887"/>
      <c r="QEF48" s="887"/>
      <c r="QEG48" s="887"/>
      <c r="QEH48" s="887"/>
      <c r="QEI48" s="887"/>
      <c r="QEJ48" s="887"/>
      <c r="QEK48" s="887"/>
      <c r="QEL48" s="887"/>
      <c r="QEM48" s="887"/>
      <c r="QEN48" s="887"/>
      <c r="QEO48" s="887"/>
      <c r="QEP48" s="887"/>
      <c r="QEQ48" s="887"/>
      <c r="QER48" s="887"/>
      <c r="QES48" s="887"/>
      <c r="QET48" s="887"/>
      <c r="QEU48" s="887"/>
      <c r="QEV48" s="887"/>
      <c r="QEW48" s="887"/>
      <c r="QEX48" s="887"/>
      <c r="QEY48" s="887"/>
      <c r="QEZ48" s="887"/>
      <c r="QFA48" s="887"/>
      <c r="QFB48" s="887"/>
      <c r="QFC48" s="887"/>
      <c r="QFD48" s="887"/>
      <c r="QFE48" s="887"/>
      <c r="QFF48" s="887"/>
      <c r="QFG48" s="887"/>
      <c r="QFH48" s="887"/>
      <c r="QFI48" s="887"/>
      <c r="QFJ48" s="887"/>
      <c r="QFK48" s="887"/>
      <c r="QFL48" s="887"/>
      <c r="QFM48" s="887"/>
      <c r="QFN48" s="887"/>
      <c r="QFO48" s="887"/>
      <c r="QFP48" s="887"/>
      <c r="QFQ48" s="887"/>
      <c r="QFR48" s="887"/>
      <c r="QFS48" s="887"/>
      <c r="QFT48" s="887"/>
      <c r="QFU48" s="887"/>
      <c r="QFV48" s="887"/>
      <c r="QFW48" s="887"/>
      <c r="QFX48" s="887"/>
      <c r="QFY48" s="887"/>
      <c r="QFZ48" s="887"/>
      <c r="QGA48" s="887"/>
      <c r="QGB48" s="887"/>
      <c r="QGC48" s="887"/>
      <c r="QGD48" s="887"/>
      <c r="QGE48" s="887"/>
      <c r="QGF48" s="887"/>
      <c r="QGG48" s="887"/>
      <c r="QGH48" s="887"/>
      <c r="QGI48" s="887"/>
      <c r="QGJ48" s="887"/>
      <c r="QGK48" s="887"/>
      <c r="QGL48" s="887"/>
      <c r="QGM48" s="887"/>
      <c r="QGN48" s="887"/>
      <c r="QGO48" s="887"/>
      <c r="QGP48" s="887"/>
      <c r="QGQ48" s="887"/>
      <c r="QGR48" s="887"/>
      <c r="QGS48" s="887"/>
      <c r="QGT48" s="887"/>
      <c r="QGU48" s="887"/>
      <c r="QGV48" s="887"/>
      <c r="QGW48" s="887"/>
      <c r="QGX48" s="887"/>
      <c r="QGY48" s="887"/>
      <c r="QGZ48" s="887"/>
      <c r="QHA48" s="887"/>
      <c r="QHB48" s="887"/>
      <c r="QHC48" s="887"/>
      <c r="QHD48" s="887"/>
      <c r="QHE48" s="887"/>
      <c r="QHF48" s="887"/>
      <c r="QHG48" s="887"/>
      <c r="QHH48" s="887"/>
      <c r="QHI48" s="887"/>
      <c r="QHJ48" s="887"/>
      <c r="QHK48" s="887"/>
      <c r="QHL48" s="887"/>
      <c r="QHM48" s="887"/>
      <c r="QHN48" s="887"/>
      <c r="QHO48" s="887"/>
      <c r="QHP48" s="887"/>
      <c r="QHQ48" s="887"/>
      <c r="QHR48" s="887"/>
      <c r="QHS48" s="887"/>
      <c r="QHT48" s="887"/>
      <c r="QHU48" s="887"/>
      <c r="QHV48" s="887"/>
      <c r="QHW48" s="887"/>
      <c r="QHX48" s="887"/>
      <c r="QHY48" s="887"/>
      <c r="QHZ48" s="887"/>
      <c r="QIA48" s="887"/>
      <c r="QIB48" s="887"/>
      <c r="QIC48" s="887"/>
      <c r="QID48" s="887"/>
      <c r="QIE48" s="887"/>
      <c r="QIF48" s="887"/>
      <c r="QIG48" s="887"/>
      <c r="QIH48" s="887"/>
      <c r="QII48" s="887"/>
      <c r="QIJ48" s="887"/>
      <c r="QIK48" s="887"/>
      <c r="QIL48" s="887"/>
      <c r="QIM48" s="887"/>
      <c r="QIN48" s="887"/>
      <c r="QIO48" s="887"/>
      <c r="QIP48" s="887"/>
      <c r="QIQ48" s="887"/>
      <c r="QIR48" s="887"/>
      <c r="QIS48" s="887"/>
      <c r="QIT48" s="887"/>
      <c r="QIU48" s="887"/>
      <c r="QIV48" s="887"/>
      <c r="QIW48" s="887"/>
      <c r="QIX48" s="887"/>
      <c r="QIY48" s="887"/>
      <c r="QIZ48" s="887"/>
      <c r="QJA48" s="887"/>
      <c r="QJB48" s="887"/>
      <c r="QJC48" s="887"/>
      <c r="QJD48" s="887"/>
      <c r="QJE48" s="887"/>
      <c r="QJF48" s="887"/>
      <c r="QJG48" s="887"/>
      <c r="QJH48" s="887"/>
      <c r="QJI48" s="887"/>
      <c r="QJJ48" s="887"/>
      <c r="QJK48" s="887"/>
      <c r="QJL48" s="887"/>
      <c r="QJM48" s="887"/>
      <c r="QJN48" s="887"/>
      <c r="QJO48" s="887"/>
      <c r="QJP48" s="887"/>
      <c r="QJQ48" s="887"/>
      <c r="QJR48" s="887"/>
      <c r="QJS48" s="887"/>
      <c r="QJT48" s="887"/>
      <c r="QJU48" s="887"/>
      <c r="QJV48" s="887"/>
      <c r="QJW48" s="887"/>
      <c r="QJX48" s="887"/>
      <c r="QJY48" s="887"/>
      <c r="QJZ48" s="887"/>
      <c r="QKA48" s="887"/>
      <c r="QKB48" s="887"/>
      <c r="QKC48" s="887"/>
      <c r="QKD48" s="887"/>
      <c r="QKE48" s="887"/>
      <c r="QKF48" s="887"/>
      <c r="QKG48" s="887"/>
      <c r="QKH48" s="887"/>
      <c r="QKI48" s="887"/>
      <c r="QKJ48" s="887"/>
      <c r="QKK48" s="887"/>
      <c r="QKL48" s="887"/>
      <c r="QKM48" s="887"/>
      <c r="QKN48" s="887"/>
      <c r="QKO48" s="887"/>
      <c r="QKP48" s="887"/>
      <c r="QKQ48" s="887"/>
      <c r="QKR48" s="887"/>
      <c r="QKS48" s="887"/>
      <c r="QKT48" s="887"/>
      <c r="QKU48" s="887"/>
      <c r="QKV48" s="887"/>
      <c r="QKW48" s="887"/>
      <c r="QKX48" s="887"/>
      <c r="QKY48" s="887"/>
      <c r="QKZ48" s="887"/>
      <c r="QLA48" s="887"/>
      <c r="QLB48" s="887"/>
      <c r="QLC48" s="887"/>
      <c r="QLD48" s="887"/>
      <c r="QLE48" s="887"/>
      <c r="QLF48" s="887"/>
      <c r="QLG48" s="887"/>
      <c r="QLH48" s="887"/>
      <c r="QLI48" s="887"/>
      <c r="QLJ48" s="887"/>
      <c r="QLK48" s="887"/>
      <c r="QLL48" s="887"/>
      <c r="QLM48" s="887"/>
      <c r="QLN48" s="887"/>
      <c r="QLO48" s="887"/>
      <c r="QLP48" s="887"/>
      <c r="QLQ48" s="887"/>
      <c r="QLR48" s="887"/>
      <c r="QLS48" s="887"/>
      <c r="QLT48" s="887"/>
      <c r="QLU48" s="887"/>
      <c r="QLV48" s="887"/>
      <c r="QLW48" s="887"/>
      <c r="QLX48" s="887"/>
      <c r="QLY48" s="887"/>
      <c r="QLZ48" s="887"/>
      <c r="QMA48" s="887"/>
      <c r="QMB48" s="887"/>
      <c r="QMC48" s="887"/>
      <c r="QMD48" s="887"/>
      <c r="QME48" s="887"/>
      <c r="QMF48" s="887"/>
      <c r="QMG48" s="887"/>
      <c r="QMH48" s="887"/>
      <c r="QMI48" s="887"/>
      <c r="QMJ48" s="887"/>
      <c r="QMK48" s="887"/>
      <c r="QML48" s="887"/>
      <c r="QMM48" s="887"/>
      <c r="QMN48" s="887"/>
      <c r="QMO48" s="887"/>
      <c r="QMP48" s="887"/>
      <c r="QMQ48" s="887"/>
      <c r="QMR48" s="887"/>
      <c r="QMS48" s="887"/>
      <c r="QMT48" s="887"/>
      <c r="QMU48" s="887"/>
      <c r="QMV48" s="887"/>
      <c r="QMW48" s="887"/>
      <c r="QMX48" s="887"/>
      <c r="QMY48" s="887"/>
      <c r="QMZ48" s="887"/>
      <c r="QNA48" s="887"/>
      <c r="QNB48" s="887"/>
      <c r="QNC48" s="887"/>
      <c r="QND48" s="887"/>
      <c r="QNE48" s="887"/>
      <c r="QNF48" s="887"/>
      <c r="QNG48" s="887"/>
      <c r="QNH48" s="887"/>
      <c r="QNI48" s="887"/>
      <c r="QNJ48" s="887"/>
      <c r="QNK48" s="887"/>
      <c r="QNL48" s="887"/>
      <c r="QNM48" s="887"/>
      <c r="QNN48" s="887"/>
      <c r="QNO48" s="887"/>
      <c r="QNP48" s="887"/>
      <c r="QNQ48" s="887"/>
      <c r="QNR48" s="887"/>
      <c r="QNS48" s="887"/>
      <c r="QNT48" s="887"/>
      <c r="QNU48" s="887"/>
      <c r="QNV48" s="887"/>
      <c r="QNW48" s="887"/>
      <c r="QNX48" s="887"/>
      <c r="QNY48" s="887"/>
      <c r="QNZ48" s="887"/>
      <c r="QOA48" s="887"/>
      <c r="QOB48" s="887"/>
      <c r="QOC48" s="887"/>
      <c r="QOD48" s="887"/>
      <c r="QOE48" s="887"/>
      <c r="QOF48" s="887"/>
      <c r="QOG48" s="887"/>
      <c r="QOH48" s="887"/>
      <c r="QOI48" s="887"/>
      <c r="QOJ48" s="887"/>
      <c r="QOK48" s="887"/>
      <c r="QOL48" s="887"/>
      <c r="QOM48" s="887"/>
      <c r="QON48" s="887"/>
      <c r="QOO48" s="887"/>
      <c r="QOP48" s="887"/>
      <c r="QOQ48" s="887"/>
      <c r="QOR48" s="887"/>
      <c r="QOS48" s="887"/>
      <c r="QOT48" s="887"/>
      <c r="QOU48" s="887"/>
      <c r="QOV48" s="887"/>
      <c r="QOW48" s="887"/>
      <c r="QOX48" s="887"/>
      <c r="QOY48" s="887"/>
      <c r="QOZ48" s="887"/>
      <c r="QPA48" s="887"/>
      <c r="QPB48" s="887"/>
      <c r="QPC48" s="887"/>
      <c r="QPD48" s="887"/>
      <c r="QPE48" s="887"/>
      <c r="QPF48" s="887"/>
      <c r="QPG48" s="887"/>
      <c r="QPH48" s="887"/>
      <c r="QPI48" s="887"/>
      <c r="QPJ48" s="887"/>
      <c r="QPK48" s="887"/>
      <c r="QPL48" s="887"/>
      <c r="QPM48" s="887"/>
      <c r="QPN48" s="887"/>
      <c r="QPO48" s="887"/>
      <c r="QPP48" s="887"/>
      <c r="QPQ48" s="887"/>
      <c r="QPR48" s="887"/>
      <c r="QPS48" s="887"/>
      <c r="QPT48" s="887"/>
      <c r="QPU48" s="887"/>
      <c r="QPV48" s="887"/>
      <c r="QPW48" s="887"/>
      <c r="QPX48" s="887"/>
      <c r="QPY48" s="887"/>
      <c r="QPZ48" s="887"/>
      <c r="QQA48" s="887"/>
      <c r="QQB48" s="887"/>
      <c r="QQC48" s="887"/>
      <c r="QQD48" s="887"/>
      <c r="QQE48" s="887"/>
      <c r="QQF48" s="887"/>
      <c r="QQG48" s="887"/>
      <c r="QQH48" s="887"/>
      <c r="QQI48" s="887"/>
      <c r="QQJ48" s="887"/>
      <c r="QQK48" s="887"/>
      <c r="QQL48" s="887"/>
      <c r="QQM48" s="887"/>
      <c r="QQN48" s="887"/>
      <c r="QQO48" s="887"/>
      <c r="QQP48" s="887"/>
      <c r="QQQ48" s="887"/>
      <c r="QQR48" s="887"/>
      <c r="QQS48" s="887"/>
      <c r="QQT48" s="887"/>
      <c r="QQU48" s="887"/>
      <c r="QQV48" s="887"/>
      <c r="QQW48" s="887"/>
      <c r="QQX48" s="887"/>
      <c r="QQY48" s="887"/>
      <c r="QQZ48" s="887"/>
      <c r="QRA48" s="887"/>
      <c r="QRB48" s="887"/>
      <c r="QRC48" s="887"/>
      <c r="QRD48" s="887"/>
      <c r="QRE48" s="887"/>
      <c r="QRF48" s="887"/>
      <c r="QRG48" s="887"/>
      <c r="QRH48" s="887"/>
      <c r="QRI48" s="887"/>
      <c r="QRJ48" s="887"/>
      <c r="QRK48" s="887"/>
      <c r="QRL48" s="887"/>
      <c r="QRM48" s="887"/>
      <c r="QRN48" s="887"/>
      <c r="QRO48" s="887"/>
      <c r="QRP48" s="887"/>
      <c r="QRQ48" s="887"/>
      <c r="QRR48" s="887"/>
      <c r="QRS48" s="887"/>
      <c r="QRT48" s="887"/>
      <c r="QRU48" s="887"/>
      <c r="QRV48" s="887"/>
      <c r="QRW48" s="887"/>
      <c r="QRX48" s="887"/>
      <c r="QRY48" s="887"/>
      <c r="QRZ48" s="887"/>
      <c r="QSA48" s="887"/>
      <c r="QSB48" s="887"/>
      <c r="QSC48" s="887"/>
      <c r="QSD48" s="887"/>
      <c r="QSE48" s="887"/>
      <c r="QSF48" s="887"/>
      <c r="QSG48" s="887"/>
      <c r="QSH48" s="887"/>
      <c r="QSI48" s="887"/>
      <c r="QSJ48" s="887"/>
      <c r="QSK48" s="887"/>
      <c r="QSL48" s="887"/>
      <c r="QSM48" s="887"/>
      <c r="QSN48" s="887"/>
      <c r="QSO48" s="887"/>
      <c r="QSP48" s="887"/>
      <c r="QSQ48" s="887"/>
      <c r="QSR48" s="887"/>
      <c r="QSS48" s="887"/>
      <c r="QST48" s="887"/>
      <c r="QSU48" s="887"/>
      <c r="QSV48" s="887"/>
      <c r="QSW48" s="887"/>
      <c r="QSX48" s="887"/>
      <c r="QSY48" s="887"/>
      <c r="QSZ48" s="887"/>
      <c r="QTA48" s="887"/>
      <c r="QTB48" s="887"/>
      <c r="QTC48" s="887"/>
      <c r="QTD48" s="887"/>
      <c r="QTE48" s="887"/>
      <c r="QTF48" s="887"/>
      <c r="QTG48" s="887"/>
      <c r="QTH48" s="887"/>
      <c r="QTI48" s="887"/>
      <c r="QTJ48" s="887"/>
      <c r="QTK48" s="887"/>
      <c r="QTL48" s="887"/>
      <c r="QTM48" s="887"/>
      <c r="QTN48" s="887"/>
      <c r="QTO48" s="887"/>
      <c r="QTP48" s="887"/>
      <c r="QTQ48" s="887"/>
      <c r="QTR48" s="887"/>
      <c r="QTS48" s="887"/>
      <c r="QTT48" s="887"/>
      <c r="QTU48" s="887"/>
      <c r="QTV48" s="887"/>
      <c r="QTW48" s="887"/>
      <c r="QTX48" s="887"/>
      <c r="QTY48" s="887"/>
      <c r="QTZ48" s="887"/>
      <c r="QUA48" s="887"/>
      <c r="QUB48" s="887"/>
      <c r="QUC48" s="887"/>
      <c r="QUD48" s="887"/>
      <c r="QUE48" s="887"/>
      <c r="QUF48" s="887"/>
      <c r="QUG48" s="887"/>
      <c r="QUH48" s="887"/>
      <c r="QUI48" s="887"/>
      <c r="QUJ48" s="887"/>
      <c r="QUK48" s="887"/>
      <c r="QUL48" s="887"/>
      <c r="QUM48" s="887"/>
      <c r="QUN48" s="887"/>
      <c r="QUO48" s="887"/>
      <c r="QUP48" s="887"/>
      <c r="QUQ48" s="887"/>
      <c r="QUR48" s="887"/>
      <c r="QUS48" s="887"/>
      <c r="QUT48" s="887"/>
      <c r="QUU48" s="887"/>
      <c r="QUV48" s="887"/>
      <c r="QUW48" s="887"/>
      <c r="QUX48" s="887"/>
      <c r="QUY48" s="887"/>
      <c r="QUZ48" s="887"/>
      <c r="QVA48" s="887"/>
      <c r="QVB48" s="887"/>
      <c r="QVC48" s="887"/>
      <c r="QVD48" s="887"/>
      <c r="QVE48" s="887"/>
      <c r="QVF48" s="887"/>
      <c r="QVG48" s="887"/>
      <c r="QVH48" s="887"/>
      <c r="QVI48" s="887"/>
      <c r="QVJ48" s="887"/>
      <c r="QVK48" s="887"/>
      <c r="QVL48" s="887"/>
      <c r="QVM48" s="887"/>
      <c r="QVN48" s="887"/>
      <c r="QVO48" s="887"/>
      <c r="QVP48" s="887"/>
      <c r="QVQ48" s="887"/>
      <c r="QVR48" s="887"/>
      <c r="QVS48" s="887"/>
      <c r="QVT48" s="887"/>
      <c r="QVU48" s="887"/>
      <c r="QVV48" s="887"/>
      <c r="QVW48" s="887"/>
      <c r="QVX48" s="887"/>
      <c r="QVY48" s="887"/>
      <c r="QVZ48" s="887"/>
      <c r="QWA48" s="887"/>
      <c r="QWB48" s="887"/>
      <c r="QWC48" s="887"/>
      <c r="QWD48" s="887"/>
      <c r="QWE48" s="887"/>
      <c r="QWF48" s="887"/>
      <c r="QWG48" s="887"/>
      <c r="QWH48" s="887"/>
      <c r="QWI48" s="887"/>
      <c r="QWJ48" s="887"/>
      <c r="QWK48" s="887"/>
      <c r="QWL48" s="887"/>
      <c r="QWM48" s="887"/>
      <c r="QWN48" s="887"/>
      <c r="QWO48" s="887"/>
      <c r="QWP48" s="887"/>
      <c r="QWQ48" s="887"/>
      <c r="QWR48" s="887"/>
      <c r="QWS48" s="887"/>
      <c r="QWT48" s="887"/>
      <c r="QWU48" s="887"/>
      <c r="QWV48" s="887"/>
      <c r="QWW48" s="887"/>
      <c r="QWX48" s="887"/>
      <c r="QWY48" s="887"/>
      <c r="QWZ48" s="887"/>
      <c r="QXA48" s="887"/>
      <c r="QXB48" s="887"/>
      <c r="QXC48" s="887"/>
      <c r="QXD48" s="887"/>
      <c r="QXE48" s="887"/>
      <c r="QXF48" s="887"/>
      <c r="QXG48" s="887"/>
      <c r="QXH48" s="887"/>
      <c r="QXI48" s="887"/>
      <c r="QXJ48" s="887"/>
      <c r="QXK48" s="887"/>
      <c r="QXL48" s="887"/>
      <c r="QXM48" s="887"/>
      <c r="QXN48" s="887"/>
      <c r="QXO48" s="887"/>
      <c r="QXP48" s="887"/>
      <c r="QXQ48" s="887"/>
      <c r="QXR48" s="887"/>
      <c r="QXS48" s="887"/>
      <c r="QXT48" s="887"/>
      <c r="QXU48" s="887"/>
      <c r="QXV48" s="887"/>
      <c r="QXW48" s="887"/>
      <c r="QXX48" s="887"/>
      <c r="QXY48" s="887"/>
      <c r="QXZ48" s="887"/>
      <c r="QYA48" s="887"/>
      <c r="QYB48" s="887"/>
      <c r="QYC48" s="887"/>
      <c r="QYD48" s="887"/>
      <c r="QYE48" s="887"/>
      <c r="QYF48" s="887"/>
      <c r="QYG48" s="887"/>
      <c r="QYH48" s="887"/>
      <c r="QYI48" s="887"/>
      <c r="QYJ48" s="887"/>
      <c r="QYK48" s="887"/>
      <c r="QYL48" s="887"/>
      <c r="QYM48" s="887"/>
      <c r="QYN48" s="887"/>
      <c r="QYO48" s="887"/>
      <c r="QYP48" s="887"/>
      <c r="QYQ48" s="887"/>
      <c r="QYR48" s="887"/>
      <c r="QYS48" s="887"/>
      <c r="QYT48" s="887"/>
      <c r="QYU48" s="887"/>
      <c r="QYV48" s="887"/>
      <c r="QYW48" s="887"/>
      <c r="QYX48" s="887"/>
      <c r="QYY48" s="887"/>
      <c r="QYZ48" s="887"/>
      <c r="QZA48" s="887"/>
      <c r="QZB48" s="887"/>
      <c r="QZC48" s="887"/>
      <c r="QZD48" s="887"/>
      <c r="QZE48" s="887"/>
      <c r="QZF48" s="887"/>
      <c r="QZG48" s="887"/>
      <c r="QZH48" s="887"/>
      <c r="QZI48" s="887"/>
      <c r="QZJ48" s="887"/>
      <c r="QZK48" s="887"/>
      <c r="QZL48" s="887"/>
      <c r="QZM48" s="887"/>
      <c r="QZN48" s="887"/>
      <c r="QZO48" s="887"/>
      <c r="QZP48" s="887"/>
      <c r="QZQ48" s="887"/>
      <c r="QZR48" s="887"/>
      <c r="QZS48" s="887"/>
      <c r="QZT48" s="887"/>
      <c r="QZU48" s="887"/>
      <c r="QZV48" s="887"/>
      <c r="QZW48" s="887"/>
      <c r="QZX48" s="887"/>
      <c r="QZY48" s="887"/>
      <c r="QZZ48" s="887"/>
      <c r="RAA48" s="887"/>
      <c r="RAB48" s="887"/>
      <c r="RAC48" s="887"/>
      <c r="RAD48" s="887"/>
      <c r="RAE48" s="887"/>
      <c r="RAF48" s="887"/>
      <c r="RAG48" s="887"/>
      <c r="RAH48" s="887"/>
      <c r="RAI48" s="887"/>
      <c r="RAJ48" s="887"/>
      <c r="RAK48" s="887"/>
      <c r="RAL48" s="887"/>
      <c r="RAM48" s="887"/>
      <c r="RAN48" s="887"/>
      <c r="RAO48" s="887"/>
      <c r="RAP48" s="887"/>
      <c r="RAQ48" s="887"/>
      <c r="RAR48" s="887"/>
      <c r="RAS48" s="887"/>
      <c r="RAT48" s="887"/>
      <c r="RAU48" s="887"/>
      <c r="RAV48" s="887"/>
      <c r="RAW48" s="887"/>
      <c r="RAX48" s="887"/>
      <c r="RAY48" s="887"/>
      <c r="RAZ48" s="887"/>
      <c r="RBA48" s="887"/>
      <c r="RBB48" s="887"/>
      <c r="RBC48" s="887"/>
      <c r="RBD48" s="887"/>
      <c r="RBE48" s="887"/>
      <c r="RBF48" s="887"/>
      <c r="RBG48" s="887"/>
      <c r="RBH48" s="887"/>
      <c r="RBI48" s="887"/>
      <c r="RBJ48" s="887"/>
      <c r="RBK48" s="887"/>
      <c r="RBL48" s="887"/>
      <c r="RBM48" s="887"/>
      <c r="RBN48" s="887"/>
      <c r="RBO48" s="887"/>
      <c r="RBP48" s="887"/>
      <c r="RBQ48" s="887"/>
      <c r="RBR48" s="887"/>
      <c r="RBS48" s="887"/>
      <c r="RBT48" s="887"/>
      <c r="RBU48" s="887"/>
      <c r="RBV48" s="887"/>
      <c r="RBW48" s="887"/>
      <c r="RBX48" s="887"/>
      <c r="RBY48" s="887"/>
      <c r="RBZ48" s="887"/>
      <c r="RCA48" s="887"/>
      <c r="RCB48" s="887"/>
      <c r="RCC48" s="887"/>
      <c r="RCD48" s="887"/>
      <c r="RCE48" s="887"/>
      <c r="RCF48" s="887"/>
      <c r="RCG48" s="887"/>
      <c r="RCH48" s="887"/>
      <c r="RCI48" s="887"/>
      <c r="RCJ48" s="887"/>
      <c r="RCK48" s="887"/>
      <c r="RCL48" s="887"/>
      <c r="RCM48" s="887"/>
      <c r="RCN48" s="887"/>
      <c r="RCO48" s="887"/>
      <c r="RCP48" s="887"/>
      <c r="RCQ48" s="887"/>
      <c r="RCR48" s="887"/>
      <c r="RCS48" s="887"/>
      <c r="RCT48" s="887"/>
      <c r="RCU48" s="887"/>
      <c r="RCV48" s="887"/>
      <c r="RCW48" s="887"/>
      <c r="RCX48" s="887"/>
      <c r="RCY48" s="887"/>
      <c r="RCZ48" s="887"/>
      <c r="RDA48" s="887"/>
      <c r="RDB48" s="887"/>
      <c r="RDC48" s="887"/>
      <c r="RDD48" s="887"/>
      <c r="RDE48" s="887"/>
      <c r="RDF48" s="887"/>
      <c r="RDG48" s="887"/>
      <c r="RDH48" s="887"/>
      <c r="RDI48" s="887"/>
      <c r="RDJ48" s="887"/>
      <c r="RDK48" s="887"/>
      <c r="RDL48" s="887"/>
      <c r="RDM48" s="887"/>
      <c r="RDN48" s="887"/>
      <c r="RDO48" s="887"/>
      <c r="RDP48" s="887"/>
      <c r="RDQ48" s="887"/>
      <c r="RDR48" s="887"/>
      <c r="RDS48" s="887"/>
      <c r="RDT48" s="887"/>
      <c r="RDU48" s="887"/>
      <c r="RDV48" s="887"/>
      <c r="RDW48" s="887"/>
      <c r="RDX48" s="887"/>
      <c r="RDY48" s="887"/>
      <c r="RDZ48" s="887"/>
      <c r="REA48" s="887"/>
      <c r="REB48" s="887"/>
      <c r="REC48" s="887"/>
      <c r="RED48" s="887"/>
      <c r="REE48" s="887"/>
      <c r="REF48" s="887"/>
      <c r="REG48" s="887"/>
      <c r="REH48" s="887"/>
      <c r="REI48" s="887"/>
      <c r="REJ48" s="887"/>
      <c r="REK48" s="887"/>
      <c r="REL48" s="887"/>
      <c r="REM48" s="887"/>
      <c r="REN48" s="887"/>
      <c r="REO48" s="887"/>
      <c r="REP48" s="887"/>
      <c r="REQ48" s="887"/>
      <c r="RER48" s="887"/>
      <c r="RES48" s="887"/>
      <c r="RET48" s="887"/>
      <c r="REU48" s="887"/>
      <c r="REV48" s="887"/>
      <c r="REW48" s="887"/>
      <c r="REX48" s="887"/>
      <c r="REY48" s="887"/>
      <c r="REZ48" s="887"/>
      <c r="RFA48" s="887"/>
      <c r="RFB48" s="887"/>
      <c r="RFC48" s="887"/>
      <c r="RFD48" s="887"/>
      <c r="RFE48" s="887"/>
      <c r="RFF48" s="887"/>
      <c r="RFG48" s="887"/>
      <c r="RFH48" s="887"/>
      <c r="RFI48" s="887"/>
      <c r="RFJ48" s="887"/>
      <c r="RFK48" s="887"/>
      <c r="RFL48" s="887"/>
      <c r="RFM48" s="887"/>
      <c r="RFN48" s="887"/>
      <c r="RFO48" s="887"/>
      <c r="RFP48" s="887"/>
      <c r="RFQ48" s="887"/>
      <c r="RFR48" s="887"/>
      <c r="RFS48" s="887"/>
      <c r="RFT48" s="887"/>
      <c r="RFU48" s="887"/>
      <c r="RFV48" s="887"/>
      <c r="RFW48" s="887"/>
      <c r="RFX48" s="887"/>
      <c r="RFY48" s="887"/>
      <c r="RFZ48" s="887"/>
      <c r="RGA48" s="887"/>
      <c r="RGB48" s="887"/>
      <c r="RGC48" s="887"/>
      <c r="RGD48" s="887"/>
      <c r="RGE48" s="887"/>
      <c r="RGF48" s="887"/>
      <c r="RGG48" s="887"/>
      <c r="RGH48" s="887"/>
      <c r="RGI48" s="887"/>
      <c r="RGJ48" s="887"/>
      <c r="RGK48" s="887"/>
      <c r="RGL48" s="887"/>
      <c r="RGM48" s="887"/>
      <c r="RGN48" s="887"/>
      <c r="RGO48" s="887"/>
      <c r="RGP48" s="887"/>
      <c r="RGQ48" s="887"/>
      <c r="RGR48" s="887"/>
      <c r="RGS48" s="887"/>
      <c r="RGT48" s="887"/>
      <c r="RGU48" s="887"/>
      <c r="RGV48" s="887"/>
      <c r="RGW48" s="887"/>
      <c r="RGX48" s="887"/>
      <c r="RGY48" s="887"/>
      <c r="RGZ48" s="887"/>
      <c r="RHA48" s="887"/>
      <c r="RHB48" s="887"/>
      <c r="RHC48" s="887"/>
      <c r="RHD48" s="887"/>
      <c r="RHE48" s="887"/>
      <c r="RHF48" s="887"/>
      <c r="RHG48" s="887"/>
      <c r="RHH48" s="887"/>
      <c r="RHI48" s="887"/>
      <c r="RHJ48" s="887"/>
      <c r="RHK48" s="887"/>
      <c r="RHL48" s="887"/>
      <c r="RHM48" s="887"/>
      <c r="RHN48" s="887"/>
      <c r="RHO48" s="887"/>
      <c r="RHP48" s="887"/>
      <c r="RHQ48" s="887"/>
      <c r="RHR48" s="887"/>
      <c r="RHS48" s="887"/>
      <c r="RHT48" s="887"/>
      <c r="RHU48" s="887"/>
      <c r="RHV48" s="887"/>
      <c r="RHW48" s="887"/>
      <c r="RHX48" s="887"/>
      <c r="RHY48" s="887"/>
      <c r="RHZ48" s="887"/>
      <c r="RIA48" s="887"/>
      <c r="RIB48" s="887"/>
      <c r="RIC48" s="887"/>
      <c r="RID48" s="887"/>
      <c r="RIE48" s="887"/>
      <c r="RIF48" s="887"/>
      <c r="RIG48" s="887"/>
      <c r="RIH48" s="887"/>
      <c r="RII48" s="887"/>
      <c r="RIJ48" s="887"/>
      <c r="RIK48" s="887"/>
      <c r="RIL48" s="887"/>
      <c r="RIM48" s="887"/>
      <c r="RIN48" s="887"/>
      <c r="RIO48" s="887"/>
      <c r="RIP48" s="887"/>
      <c r="RIQ48" s="887"/>
      <c r="RIR48" s="887"/>
      <c r="RIS48" s="887"/>
      <c r="RIT48" s="887"/>
      <c r="RIU48" s="887"/>
      <c r="RIV48" s="887"/>
      <c r="RIW48" s="887"/>
      <c r="RIX48" s="887"/>
      <c r="RIY48" s="887"/>
      <c r="RIZ48" s="887"/>
      <c r="RJA48" s="887"/>
      <c r="RJB48" s="887"/>
      <c r="RJC48" s="887"/>
      <c r="RJD48" s="887"/>
      <c r="RJE48" s="887"/>
      <c r="RJF48" s="887"/>
      <c r="RJG48" s="887"/>
      <c r="RJH48" s="887"/>
      <c r="RJI48" s="887"/>
      <c r="RJJ48" s="887"/>
      <c r="RJK48" s="887"/>
      <c r="RJL48" s="887"/>
      <c r="RJM48" s="887"/>
      <c r="RJN48" s="887"/>
      <c r="RJO48" s="887"/>
      <c r="RJP48" s="887"/>
      <c r="RJQ48" s="887"/>
      <c r="RJR48" s="887"/>
      <c r="RJS48" s="887"/>
      <c r="RJT48" s="887"/>
      <c r="RJU48" s="887"/>
      <c r="RJV48" s="887"/>
      <c r="RJW48" s="887"/>
      <c r="RJX48" s="887"/>
      <c r="RJY48" s="887"/>
      <c r="RJZ48" s="887"/>
      <c r="RKA48" s="887"/>
      <c r="RKB48" s="887"/>
      <c r="RKC48" s="887"/>
      <c r="RKD48" s="887"/>
      <c r="RKE48" s="887"/>
      <c r="RKF48" s="887"/>
      <c r="RKG48" s="887"/>
      <c r="RKH48" s="887"/>
      <c r="RKI48" s="887"/>
      <c r="RKJ48" s="887"/>
      <c r="RKK48" s="887"/>
      <c r="RKL48" s="887"/>
      <c r="RKM48" s="887"/>
      <c r="RKN48" s="887"/>
      <c r="RKO48" s="887"/>
      <c r="RKP48" s="887"/>
      <c r="RKQ48" s="887"/>
      <c r="RKR48" s="887"/>
      <c r="RKS48" s="887"/>
      <c r="RKT48" s="887"/>
      <c r="RKU48" s="887"/>
      <c r="RKV48" s="887"/>
      <c r="RKW48" s="887"/>
      <c r="RKX48" s="887"/>
      <c r="RKY48" s="887"/>
      <c r="RKZ48" s="887"/>
      <c r="RLA48" s="887"/>
      <c r="RLB48" s="887"/>
      <c r="RLC48" s="887"/>
      <c r="RLD48" s="887"/>
      <c r="RLE48" s="887"/>
      <c r="RLF48" s="887"/>
      <c r="RLG48" s="887"/>
      <c r="RLH48" s="887"/>
      <c r="RLI48" s="887"/>
      <c r="RLJ48" s="887"/>
      <c r="RLK48" s="887"/>
      <c r="RLL48" s="887"/>
      <c r="RLM48" s="887"/>
      <c r="RLN48" s="887"/>
      <c r="RLO48" s="887"/>
      <c r="RLP48" s="887"/>
      <c r="RLQ48" s="887"/>
      <c r="RLR48" s="887"/>
      <c r="RLS48" s="887"/>
      <c r="RLT48" s="887"/>
      <c r="RLU48" s="887"/>
      <c r="RLV48" s="887"/>
      <c r="RLW48" s="887"/>
      <c r="RLX48" s="887"/>
      <c r="RLY48" s="887"/>
      <c r="RLZ48" s="887"/>
      <c r="RMA48" s="887"/>
      <c r="RMB48" s="887"/>
      <c r="RMC48" s="887"/>
      <c r="RMD48" s="887"/>
      <c r="RME48" s="887"/>
      <c r="RMF48" s="887"/>
      <c r="RMG48" s="887"/>
      <c r="RMH48" s="887"/>
      <c r="RMI48" s="887"/>
      <c r="RMJ48" s="887"/>
      <c r="RMK48" s="887"/>
      <c r="RML48" s="887"/>
      <c r="RMM48" s="887"/>
      <c r="RMN48" s="887"/>
      <c r="RMO48" s="887"/>
      <c r="RMP48" s="887"/>
      <c r="RMQ48" s="887"/>
      <c r="RMR48" s="887"/>
      <c r="RMS48" s="887"/>
      <c r="RMT48" s="887"/>
      <c r="RMU48" s="887"/>
      <c r="RMV48" s="887"/>
      <c r="RMW48" s="887"/>
      <c r="RMX48" s="887"/>
      <c r="RMY48" s="887"/>
      <c r="RMZ48" s="887"/>
      <c r="RNA48" s="887"/>
      <c r="RNB48" s="887"/>
      <c r="RNC48" s="887"/>
      <c r="RND48" s="887"/>
      <c r="RNE48" s="887"/>
      <c r="RNF48" s="887"/>
      <c r="RNG48" s="887"/>
      <c r="RNH48" s="887"/>
      <c r="RNI48" s="887"/>
      <c r="RNJ48" s="887"/>
      <c r="RNK48" s="887"/>
      <c r="RNL48" s="887"/>
      <c r="RNM48" s="887"/>
      <c r="RNN48" s="887"/>
      <c r="RNO48" s="887"/>
      <c r="RNP48" s="887"/>
      <c r="RNQ48" s="887"/>
      <c r="RNR48" s="887"/>
      <c r="RNS48" s="887"/>
      <c r="RNT48" s="887"/>
      <c r="RNU48" s="887"/>
      <c r="RNV48" s="887"/>
      <c r="RNW48" s="887"/>
      <c r="RNX48" s="887"/>
      <c r="RNY48" s="887"/>
      <c r="RNZ48" s="887"/>
      <c r="ROA48" s="887"/>
      <c r="ROB48" s="887"/>
      <c r="ROC48" s="887"/>
      <c r="ROD48" s="887"/>
      <c r="ROE48" s="887"/>
      <c r="ROF48" s="887"/>
      <c r="ROG48" s="887"/>
      <c r="ROH48" s="887"/>
      <c r="ROI48" s="887"/>
      <c r="ROJ48" s="887"/>
      <c r="ROK48" s="887"/>
      <c r="ROL48" s="887"/>
      <c r="ROM48" s="887"/>
      <c r="RON48" s="887"/>
      <c r="ROO48" s="887"/>
      <c r="ROP48" s="887"/>
      <c r="ROQ48" s="887"/>
      <c r="ROR48" s="887"/>
      <c r="ROS48" s="887"/>
      <c r="ROT48" s="887"/>
      <c r="ROU48" s="887"/>
      <c r="ROV48" s="887"/>
      <c r="ROW48" s="887"/>
      <c r="ROX48" s="887"/>
      <c r="ROY48" s="887"/>
      <c r="ROZ48" s="887"/>
      <c r="RPA48" s="887"/>
      <c r="RPB48" s="887"/>
      <c r="RPC48" s="887"/>
      <c r="RPD48" s="887"/>
      <c r="RPE48" s="887"/>
      <c r="RPF48" s="887"/>
      <c r="RPG48" s="887"/>
      <c r="RPH48" s="887"/>
      <c r="RPI48" s="887"/>
      <c r="RPJ48" s="887"/>
      <c r="RPK48" s="887"/>
      <c r="RPL48" s="887"/>
      <c r="RPM48" s="887"/>
      <c r="RPN48" s="887"/>
      <c r="RPO48" s="887"/>
      <c r="RPP48" s="887"/>
      <c r="RPQ48" s="887"/>
      <c r="RPR48" s="887"/>
      <c r="RPS48" s="887"/>
      <c r="RPT48" s="887"/>
      <c r="RPU48" s="887"/>
      <c r="RPV48" s="887"/>
      <c r="RPW48" s="887"/>
      <c r="RPX48" s="887"/>
      <c r="RPY48" s="887"/>
      <c r="RPZ48" s="887"/>
      <c r="RQA48" s="887"/>
      <c r="RQB48" s="887"/>
      <c r="RQC48" s="887"/>
      <c r="RQD48" s="887"/>
      <c r="RQE48" s="887"/>
      <c r="RQF48" s="887"/>
      <c r="RQG48" s="887"/>
      <c r="RQH48" s="887"/>
      <c r="RQI48" s="887"/>
      <c r="RQJ48" s="887"/>
      <c r="RQK48" s="887"/>
      <c r="RQL48" s="887"/>
      <c r="RQM48" s="887"/>
      <c r="RQN48" s="887"/>
      <c r="RQO48" s="887"/>
      <c r="RQP48" s="887"/>
      <c r="RQQ48" s="887"/>
      <c r="RQR48" s="887"/>
      <c r="RQS48" s="887"/>
      <c r="RQT48" s="887"/>
      <c r="RQU48" s="887"/>
      <c r="RQV48" s="887"/>
      <c r="RQW48" s="887"/>
      <c r="RQX48" s="887"/>
      <c r="RQY48" s="887"/>
      <c r="RQZ48" s="887"/>
      <c r="RRA48" s="887"/>
      <c r="RRB48" s="887"/>
      <c r="RRC48" s="887"/>
      <c r="RRD48" s="887"/>
      <c r="RRE48" s="887"/>
      <c r="RRF48" s="887"/>
      <c r="RRG48" s="887"/>
      <c r="RRH48" s="887"/>
      <c r="RRI48" s="887"/>
      <c r="RRJ48" s="887"/>
      <c r="RRK48" s="887"/>
      <c r="RRL48" s="887"/>
      <c r="RRM48" s="887"/>
      <c r="RRN48" s="887"/>
      <c r="RRO48" s="887"/>
      <c r="RRP48" s="887"/>
      <c r="RRQ48" s="887"/>
      <c r="RRR48" s="887"/>
      <c r="RRS48" s="887"/>
      <c r="RRT48" s="887"/>
      <c r="RRU48" s="887"/>
      <c r="RRV48" s="887"/>
      <c r="RRW48" s="887"/>
      <c r="RRX48" s="887"/>
      <c r="RRY48" s="887"/>
      <c r="RRZ48" s="887"/>
      <c r="RSA48" s="887"/>
      <c r="RSB48" s="887"/>
      <c r="RSC48" s="887"/>
      <c r="RSD48" s="887"/>
      <c r="RSE48" s="887"/>
      <c r="RSF48" s="887"/>
      <c r="RSG48" s="887"/>
      <c r="RSH48" s="887"/>
      <c r="RSI48" s="887"/>
      <c r="RSJ48" s="887"/>
      <c r="RSK48" s="887"/>
      <c r="RSL48" s="887"/>
      <c r="RSM48" s="887"/>
      <c r="RSN48" s="887"/>
      <c r="RSO48" s="887"/>
      <c r="RSP48" s="887"/>
      <c r="RSQ48" s="887"/>
      <c r="RSR48" s="887"/>
      <c r="RSS48" s="887"/>
      <c r="RST48" s="887"/>
      <c r="RSU48" s="887"/>
      <c r="RSV48" s="887"/>
      <c r="RSW48" s="887"/>
      <c r="RSX48" s="887"/>
      <c r="RSY48" s="887"/>
      <c r="RSZ48" s="887"/>
      <c r="RTA48" s="887"/>
      <c r="RTB48" s="887"/>
      <c r="RTC48" s="887"/>
      <c r="RTD48" s="887"/>
      <c r="RTE48" s="887"/>
      <c r="RTF48" s="887"/>
      <c r="RTG48" s="887"/>
      <c r="RTH48" s="887"/>
      <c r="RTI48" s="887"/>
      <c r="RTJ48" s="887"/>
      <c r="RTK48" s="887"/>
      <c r="RTL48" s="887"/>
      <c r="RTM48" s="887"/>
      <c r="RTN48" s="887"/>
      <c r="RTO48" s="887"/>
      <c r="RTP48" s="887"/>
      <c r="RTQ48" s="887"/>
      <c r="RTR48" s="887"/>
      <c r="RTS48" s="887"/>
      <c r="RTT48" s="887"/>
      <c r="RTU48" s="887"/>
      <c r="RTV48" s="887"/>
      <c r="RTW48" s="887"/>
      <c r="RTX48" s="887"/>
      <c r="RTY48" s="887"/>
      <c r="RTZ48" s="887"/>
      <c r="RUA48" s="887"/>
      <c r="RUB48" s="887"/>
      <c r="RUC48" s="887"/>
      <c r="RUD48" s="887"/>
      <c r="RUE48" s="887"/>
      <c r="RUF48" s="887"/>
      <c r="RUG48" s="887"/>
      <c r="RUH48" s="887"/>
      <c r="RUI48" s="887"/>
      <c r="RUJ48" s="887"/>
      <c r="RUK48" s="887"/>
      <c r="RUL48" s="887"/>
      <c r="RUM48" s="887"/>
      <c r="RUN48" s="887"/>
      <c r="RUO48" s="887"/>
      <c r="RUP48" s="887"/>
      <c r="RUQ48" s="887"/>
      <c r="RUR48" s="887"/>
      <c r="RUS48" s="887"/>
      <c r="RUT48" s="887"/>
      <c r="RUU48" s="887"/>
      <c r="RUV48" s="887"/>
      <c r="RUW48" s="887"/>
      <c r="RUX48" s="887"/>
      <c r="RUY48" s="887"/>
      <c r="RUZ48" s="887"/>
      <c r="RVA48" s="887"/>
      <c r="RVB48" s="887"/>
      <c r="RVC48" s="887"/>
      <c r="RVD48" s="887"/>
      <c r="RVE48" s="887"/>
      <c r="RVF48" s="887"/>
      <c r="RVG48" s="887"/>
      <c r="RVH48" s="887"/>
      <c r="RVI48" s="887"/>
      <c r="RVJ48" s="887"/>
      <c r="RVK48" s="887"/>
      <c r="RVL48" s="887"/>
      <c r="RVM48" s="887"/>
      <c r="RVN48" s="887"/>
      <c r="RVO48" s="887"/>
      <c r="RVP48" s="887"/>
      <c r="RVQ48" s="887"/>
      <c r="RVR48" s="887"/>
      <c r="RVS48" s="887"/>
      <c r="RVT48" s="887"/>
      <c r="RVU48" s="887"/>
      <c r="RVV48" s="887"/>
      <c r="RVW48" s="887"/>
      <c r="RVX48" s="887"/>
      <c r="RVY48" s="887"/>
      <c r="RVZ48" s="887"/>
      <c r="RWA48" s="887"/>
      <c r="RWB48" s="887"/>
      <c r="RWC48" s="887"/>
      <c r="RWD48" s="887"/>
      <c r="RWE48" s="887"/>
      <c r="RWF48" s="887"/>
      <c r="RWG48" s="887"/>
      <c r="RWH48" s="887"/>
      <c r="RWI48" s="887"/>
      <c r="RWJ48" s="887"/>
      <c r="RWK48" s="887"/>
      <c r="RWL48" s="887"/>
      <c r="RWM48" s="887"/>
      <c r="RWN48" s="887"/>
      <c r="RWO48" s="887"/>
      <c r="RWP48" s="887"/>
      <c r="RWQ48" s="887"/>
      <c r="RWR48" s="887"/>
      <c r="RWS48" s="887"/>
      <c r="RWT48" s="887"/>
      <c r="RWU48" s="887"/>
      <c r="RWV48" s="887"/>
      <c r="RWW48" s="887"/>
      <c r="RWX48" s="887"/>
      <c r="RWY48" s="887"/>
      <c r="RWZ48" s="887"/>
      <c r="RXA48" s="887"/>
      <c r="RXB48" s="887"/>
      <c r="RXC48" s="887"/>
      <c r="RXD48" s="887"/>
      <c r="RXE48" s="887"/>
      <c r="RXF48" s="887"/>
      <c r="RXG48" s="887"/>
      <c r="RXH48" s="887"/>
      <c r="RXI48" s="887"/>
      <c r="RXJ48" s="887"/>
      <c r="RXK48" s="887"/>
      <c r="RXL48" s="887"/>
      <c r="RXM48" s="887"/>
      <c r="RXN48" s="887"/>
      <c r="RXO48" s="887"/>
      <c r="RXP48" s="887"/>
      <c r="RXQ48" s="887"/>
      <c r="RXR48" s="887"/>
      <c r="RXS48" s="887"/>
      <c r="RXT48" s="887"/>
      <c r="RXU48" s="887"/>
      <c r="RXV48" s="887"/>
      <c r="RXW48" s="887"/>
      <c r="RXX48" s="887"/>
      <c r="RXY48" s="887"/>
      <c r="RXZ48" s="887"/>
      <c r="RYA48" s="887"/>
      <c r="RYB48" s="887"/>
      <c r="RYC48" s="887"/>
      <c r="RYD48" s="887"/>
      <c r="RYE48" s="887"/>
      <c r="RYF48" s="887"/>
      <c r="RYG48" s="887"/>
      <c r="RYH48" s="887"/>
      <c r="RYI48" s="887"/>
      <c r="RYJ48" s="887"/>
      <c r="RYK48" s="887"/>
      <c r="RYL48" s="887"/>
      <c r="RYM48" s="887"/>
      <c r="RYN48" s="887"/>
      <c r="RYO48" s="887"/>
      <c r="RYP48" s="887"/>
      <c r="RYQ48" s="887"/>
      <c r="RYR48" s="887"/>
      <c r="RYS48" s="887"/>
      <c r="RYT48" s="887"/>
      <c r="RYU48" s="887"/>
      <c r="RYV48" s="887"/>
      <c r="RYW48" s="887"/>
      <c r="RYX48" s="887"/>
      <c r="RYY48" s="887"/>
      <c r="RYZ48" s="887"/>
      <c r="RZA48" s="887"/>
      <c r="RZB48" s="887"/>
      <c r="RZC48" s="887"/>
      <c r="RZD48" s="887"/>
      <c r="RZE48" s="887"/>
      <c r="RZF48" s="887"/>
      <c r="RZG48" s="887"/>
      <c r="RZH48" s="887"/>
      <c r="RZI48" s="887"/>
      <c r="RZJ48" s="887"/>
      <c r="RZK48" s="887"/>
      <c r="RZL48" s="887"/>
      <c r="RZM48" s="887"/>
      <c r="RZN48" s="887"/>
      <c r="RZO48" s="887"/>
      <c r="RZP48" s="887"/>
      <c r="RZQ48" s="887"/>
      <c r="RZR48" s="887"/>
      <c r="RZS48" s="887"/>
      <c r="RZT48" s="887"/>
      <c r="RZU48" s="887"/>
      <c r="RZV48" s="887"/>
      <c r="RZW48" s="887"/>
      <c r="RZX48" s="887"/>
      <c r="RZY48" s="887"/>
      <c r="RZZ48" s="887"/>
      <c r="SAA48" s="887"/>
      <c r="SAB48" s="887"/>
      <c r="SAC48" s="887"/>
      <c r="SAD48" s="887"/>
      <c r="SAE48" s="887"/>
      <c r="SAF48" s="887"/>
      <c r="SAG48" s="887"/>
      <c r="SAH48" s="887"/>
      <c r="SAI48" s="887"/>
      <c r="SAJ48" s="887"/>
      <c r="SAK48" s="887"/>
      <c r="SAL48" s="887"/>
      <c r="SAM48" s="887"/>
      <c r="SAN48" s="887"/>
      <c r="SAO48" s="887"/>
      <c r="SAP48" s="887"/>
      <c r="SAQ48" s="887"/>
      <c r="SAR48" s="887"/>
      <c r="SAS48" s="887"/>
      <c r="SAT48" s="887"/>
      <c r="SAU48" s="887"/>
      <c r="SAV48" s="887"/>
      <c r="SAW48" s="887"/>
      <c r="SAX48" s="887"/>
      <c r="SAY48" s="887"/>
      <c r="SAZ48" s="887"/>
      <c r="SBA48" s="887"/>
      <c r="SBB48" s="887"/>
      <c r="SBC48" s="887"/>
      <c r="SBD48" s="887"/>
      <c r="SBE48" s="887"/>
      <c r="SBF48" s="887"/>
      <c r="SBG48" s="887"/>
      <c r="SBH48" s="887"/>
      <c r="SBI48" s="887"/>
      <c r="SBJ48" s="887"/>
      <c r="SBK48" s="887"/>
      <c r="SBL48" s="887"/>
      <c r="SBM48" s="887"/>
      <c r="SBN48" s="887"/>
      <c r="SBO48" s="887"/>
      <c r="SBP48" s="887"/>
      <c r="SBQ48" s="887"/>
      <c r="SBR48" s="887"/>
      <c r="SBS48" s="887"/>
      <c r="SBT48" s="887"/>
      <c r="SBU48" s="887"/>
      <c r="SBV48" s="887"/>
      <c r="SBW48" s="887"/>
      <c r="SBX48" s="887"/>
      <c r="SBY48" s="887"/>
      <c r="SBZ48" s="887"/>
      <c r="SCA48" s="887"/>
      <c r="SCB48" s="887"/>
      <c r="SCC48" s="887"/>
      <c r="SCD48" s="887"/>
      <c r="SCE48" s="887"/>
      <c r="SCF48" s="887"/>
      <c r="SCG48" s="887"/>
      <c r="SCH48" s="887"/>
      <c r="SCI48" s="887"/>
      <c r="SCJ48" s="887"/>
      <c r="SCK48" s="887"/>
      <c r="SCL48" s="887"/>
      <c r="SCM48" s="887"/>
      <c r="SCN48" s="887"/>
      <c r="SCO48" s="887"/>
      <c r="SCP48" s="887"/>
      <c r="SCQ48" s="887"/>
      <c r="SCR48" s="887"/>
      <c r="SCS48" s="887"/>
      <c r="SCT48" s="887"/>
      <c r="SCU48" s="887"/>
      <c r="SCV48" s="887"/>
      <c r="SCW48" s="887"/>
      <c r="SCX48" s="887"/>
      <c r="SCY48" s="887"/>
      <c r="SCZ48" s="887"/>
      <c r="SDA48" s="887"/>
      <c r="SDB48" s="887"/>
      <c r="SDC48" s="887"/>
      <c r="SDD48" s="887"/>
      <c r="SDE48" s="887"/>
      <c r="SDF48" s="887"/>
      <c r="SDG48" s="887"/>
      <c r="SDH48" s="887"/>
      <c r="SDI48" s="887"/>
      <c r="SDJ48" s="887"/>
      <c r="SDK48" s="887"/>
      <c r="SDL48" s="887"/>
      <c r="SDM48" s="887"/>
      <c r="SDN48" s="887"/>
      <c r="SDO48" s="887"/>
      <c r="SDP48" s="887"/>
      <c r="SDQ48" s="887"/>
      <c r="SDR48" s="887"/>
      <c r="SDS48" s="887"/>
      <c r="SDT48" s="887"/>
      <c r="SDU48" s="887"/>
      <c r="SDV48" s="887"/>
      <c r="SDW48" s="887"/>
      <c r="SDX48" s="887"/>
      <c r="SDY48" s="887"/>
      <c r="SDZ48" s="887"/>
      <c r="SEA48" s="887"/>
      <c r="SEB48" s="887"/>
      <c r="SEC48" s="887"/>
      <c r="SED48" s="887"/>
      <c r="SEE48" s="887"/>
      <c r="SEF48" s="887"/>
      <c r="SEG48" s="887"/>
      <c r="SEH48" s="887"/>
      <c r="SEI48" s="887"/>
      <c r="SEJ48" s="887"/>
      <c r="SEK48" s="887"/>
      <c r="SEL48" s="887"/>
      <c r="SEM48" s="887"/>
      <c r="SEN48" s="887"/>
      <c r="SEO48" s="887"/>
      <c r="SEP48" s="887"/>
      <c r="SEQ48" s="887"/>
      <c r="SER48" s="887"/>
      <c r="SES48" s="887"/>
      <c r="SET48" s="887"/>
      <c r="SEU48" s="887"/>
      <c r="SEV48" s="887"/>
      <c r="SEW48" s="887"/>
      <c r="SEX48" s="887"/>
      <c r="SEY48" s="887"/>
      <c r="SEZ48" s="887"/>
      <c r="SFA48" s="887"/>
      <c r="SFB48" s="887"/>
      <c r="SFC48" s="887"/>
      <c r="SFD48" s="887"/>
      <c r="SFE48" s="887"/>
      <c r="SFF48" s="887"/>
      <c r="SFG48" s="887"/>
      <c r="SFH48" s="887"/>
      <c r="SFI48" s="887"/>
      <c r="SFJ48" s="887"/>
      <c r="SFK48" s="887"/>
      <c r="SFL48" s="887"/>
      <c r="SFM48" s="887"/>
      <c r="SFN48" s="887"/>
      <c r="SFO48" s="887"/>
      <c r="SFP48" s="887"/>
      <c r="SFQ48" s="887"/>
      <c r="SFR48" s="887"/>
      <c r="SFS48" s="887"/>
      <c r="SFT48" s="887"/>
      <c r="SFU48" s="887"/>
      <c r="SFV48" s="887"/>
      <c r="SFW48" s="887"/>
      <c r="SFX48" s="887"/>
      <c r="SFY48" s="887"/>
      <c r="SFZ48" s="887"/>
      <c r="SGA48" s="887"/>
      <c r="SGB48" s="887"/>
      <c r="SGC48" s="887"/>
      <c r="SGD48" s="887"/>
      <c r="SGE48" s="887"/>
      <c r="SGF48" s="887"/>
      <c r="SGG48" s="887"/>
      <c r="SGH48" s="887"/>
      <c r="SGI48" s="887"/>
      <c r="SGJ48" s="887"/>
      <c r="SGK48" s="887"/>
      <c r="SGL48" s="887"/>
      <c r="SGM48" s="887"/>
      <c r="SGN48" s="887"/>
      <c r="SGO48" s="887"/>
      <c r="SGP48" s="887"/>
      <c r="SGQ48" s="887"/>
      <c r="SGR48" s="887"/>
      <c r="SGS48" s="887"/>
      <c r="SGT48" s="887"/>
      <c r="SGU48" s="887"/>
      <c r="SGV48" s="887"/>
      <c r="SGW48" s="887"/>
      <c r="SGX48" s="887"/>
      <c r="SGY48" s="887"/>
      <c r="SGZ48" s="887"/>
      <c r="SHA48" s="887"/>
      <c r="SHB48" s="887"/>
      <c r="SHC48" s="887"/>
      <c r="SHD48" s="887"/>
      <c r="SHE48" s="887"/>
      <c r="SHF48" s="887"/>
      <c r="SHG48" s="887"/>
      <c r="SHH48" s="887"/>
      <c r="SHI48" s="887"/>
      <c r="SHJ48" s="887"/>
      <c r="SHK48" s="887"/>
      <c r="SHL48" s="887"/>
      <c r="SHM48" s="887"/>
      <c r="SHN48" s="887"/>
      <c r="SHO48" s="887"/>
      <c r="SHP48" s="887"/>
      <c r="SHQ48" s="887"/>
      <c r="SHR48" s="887"/>
      <c r="SHS48" s="887"/>
      <c r="SHT48" s="887"/>
      <c r="SHU48" s="887"/>
      <c r="SHV48" s="887"/>
      <c r="SHW48" s="887"/>
      <c r="SHX48" s="887"/>
      <c r="SHY48" s="887"/>
      <c r="SHZ48" s="887"/>
      <c r="SIA48" s="887"/>
      <c r="SIB48" s="887"/>
      <c r="SIC48" s="887"/>
      <c r="SID48" s="887"/>
      <c r="SIE48" s="887"/>
      <c r="SIF48" s="887"/>
      <c r="SIG48" s="887"/>
      <c r="SIH48" s="887"/>
      <c r="SII48" s="887"/>
      <c r="SIJ48" s="887"/>
      <c r="SIK48" s="887"/>
      <c r="SIL48" s="887"/>
      <c r="SIM48" s="887"/>
      <c r="SIN48" s="887"/>
      <c r="SIO48" s="887"/>
      <c r="SIP48" s="887"/>
      <c r="SIQ48" s="887"/>
      <c r="SIR48" s="887"/>
      <c r="SIS48" s="887"/>
      <c r="SIT48" s="887"/>
      <c r="SIU48" s="887"/>
      <c r="SIV48" s="887"/>
      <c r="SIW48" s="887"/>
      <c r="SIX48" s="887"/>
      <c r="SIY48" s="887"/>
      <c r="SIZ48" s="887"/>
      <c r="SJA48" s="887"/>
      <c r="SJB48" s="887"/>
      <c r="SJC48" s="887"/>
      <c r="SJD48" s="887"/>
      <c r="SJE48" s="887"/>
      <c r="SJF48" s="887"/>
      <c r="SJG48" s="887"/>
      <c r="SJH48" s="887"/>
      <c r="SJI48" s="887"/>
      <c r="SJJ48" s="887"/>
      <c r="SJK48" s="887"/>
      <c r="SJL48" s="887"/>
      <c r="SJM48" s="887"/>
      <c r="SJN48" s="887"/>
      <c r="SJO48" s="887"/>
      <c r="SJP48" s="887"/>
      <c r="SJQ48" s="887"/>
      <c r="SJR48" s="887"/>
      <c r="SJS48" s="887"/>
      <c r="SJT48" s="887"/>
      <c r="SJU48" s="887"/>
      <c r="SJV48" s="887"/>
      <c r="SJW48" s="887"/>
      <c r="SJX48" s="887"/>
      <c r="SJY48" s="887"/>
      <c r="SJZ48" s="887"/>
      <c r="SKA48" s="887"/>
      <c r="SKB48" s="887"/>
      <c r="SKC48" s="887"/>
      <c r="SKD48" s="887"/>
      <c r="SKE48" s="887"/>
      <c r="SKF48" s="887"/>
      <c r="SKG48" s="887"/>
      <c r="SKH48" s="887"/>
      <c r="SKI48" s="887"/>
      <c r="SKJ48" s="887"/>
      <c r="SKK48" s="887"/>
      <c r="SKL48" s="887"/>
      <c r="SKM48" s="887"/>
      <c r="SKN48" s="887"/>
      <c r="SKO48" s="887"/>
      <c r="SKP48" s="887"/>
      <c r="SKQ48" s="887"/>
      <c r="SKR48" s="887"/>
      <c r="SKS48" s="887"/>
      <c r="SKT48" s="887"/>
      <c r="SKU48" s="887"/>
      <c r="SKV48" s="887"/>
      <c r="SKW48" s="887"/>
      <c r="SKX48" s="887"/>
      <c r="SKY48" s="887"/>
      <c r="SKZ48" s="887"/>
      <c r="SLA48" s="887"/>
      <c r="SLB48" s="887"/>
      <c r="SLC48" s="887"/>
      <c r="SLD48" s="887"/>
      <c r="SLE48" s="887"/>
      <c r="SLF48" s="887"/>
      <c r="SLG48" s="887"/>
      <c r="SLH48" s="887"/>
      <c r="SLI48" s="887"/>
      <c r="SLJ48" s="887"/>
      <c r="SLK48" s="887"/>
      <c r="SLL48" s="887"/>
      <c r="SLM48" s="887"/>
      <c r="SLN48" s="887"/>
      <c r="SLO48" s="887"/>
      <c r="SLP48" s="887"/>
      <c r="SLQ48" s="887"/>
      <c r="SLR48" s="887"/>
      <c r="SLS48" s="887"/>
      <c r="SLT48" s="887"/>
      <c r="SLU48" s="887"/>
      <c r="SLV48" s="887"/>
      <c r="SLW48" s="887"/>
      <c r="SLX48" s="887"/>
      <c r="SLY48" s="887"/>
      <c r="SLZ48" s="887"/>
      <c r="SMA48" s="887"/>
      <c r="SMB48" s="887"/>
      <c r="SMC48" s="887"/>
      <c r="SMD48" s="887"/>
      <c r="SME48" s="887"/>
      <c r="SMF48" s="887"/>
      <c r="SMG48" s="887"/>
      <c r="SMH48" s="887"/>
      <c r="SMI48" s="887"/>
      <c r="SMJ48" s="887"/>
      <c r="SMK48" s="887"/>
      <c r="SML48" s="887"/>
      <c r="SMM48" s="887"/>
      <c r="SMN48" s="887"/>
      <c r="SMO48" s="887"/>
      <c r="SMP48" s="887"/>
      <c r="SMQ48" s="887"/>
      <c r="SMR48" s="887"/>
      <c r="SMS48" s="887"/>
      <c r="SMT48" s="887"/>
      <c r="SMU48" s="887"/>
      <c r="SMV48" s="887"/>
      <c r="SMW48" s="887"/>
      <c r="SMX48" s="887"/>
      <c r="SMY48" s="887"/>
      <c r="SMZ48" s="887"/>
      <c r="SNA48" s="887"/>
      <c r="SNB48" s="887"/>
      <c r="SNC48" s="887"/>
      <c r="SND48" s="887"/>
      <c r="SNE48" s="887"/>
      <c r="SNF48" s="887"/>
      <c r="SNG48" s="887"/>
      <c r="SNH48" s="887"/>
      <c r="SNI48" s="887"/>
      <c r="SNJ48" s="887"/>
      <c r="SNK48" s="887"/>
      <c r="SNL48" s="887"/>
      <c r="SNM48" s="887"/>
      <c r="SNN48" s="887"/>
      <c r="SNO48" s="887"/>
      <c r="SNP48" s="887"/>
      <c r="SNQ48" s="887"/>
      <c r="SNR48" s="887"/>
      <c r="SNS48" s="887"/>
      <c r="SNT48" s="887"/>
      <c r="SNU48" s="887"/>
      <c r="SNV48" s="887"/>
      <c r="SNW48" s="887"/>
      <c r="SNX48" s="887"/>
      <c r="SNY48" s="887"/>
      <c r="SNZ48" s="887"/>
      <c r="SOA48" s="887"/>
      <c r="SOB48" s="887"/>
      <c r="SOC48" s="887"/>
      <c r="SOD48" s="887"/>
      <c r="SOE48" s="887"/>
      <c r="SOF48" s="887"/>
      <c r="SOG48" s="887"/>
      <c r="SOH48" s="887"/>
      <c r="SOI48" s="887"/>
      <c r="SOJ48" s="887"/>
      <c r="SOK48" s="887"/>
      <c r="SOL48" s="887"/>
      <c r="SOM48" s="887"/>
      <c r="SON48" s="887"/>
      <c r="SOO48" s="887"/>
      <c r="SOP48" s="887"/>
      <c r="SOQ48" s="887"/>
      <c r="SOR48" s="887"/>
      <c r="SOS48" s="887"/>
      <c r="SOT48" s="887"/>
      <c r="SOU48" s="887"/>
      <c r="SOV48" s="887"/>
      <c r="SOW48" s="887"/>
      <c r="SOX48" s="887"/>
      <c r="SOY48" s="887"/>
      <c r="SOZ48" s="887"/>
      <c r="SPA48" s="887"/>
      <c r="SPB48" s="887"/>
      <c r="SPC48" s="887"/>
      <c r="SPD48" s="887"/>
      <c r="SPE48" s="887"/>
      <c r="SPF48" s="887"/>
      <c r="SPG48" s="887"/>
      <c r="SPH48" s="887"/>
      <c r="SPI48" s="887"/>
      <c r="SPJ48" s="887"/>
      <c r="SPK48" s="887"/>
      <c r="SPL48" s="887"/>
      <c r="SPM48" s="887"/>
      <c r="SPN48" s="887"/>
      <c r="SPO48" s="887"/>
      <c r="SPP48" s="887"/>
      <c r="SPQ48" s="887"/>
      <c r="SPR48" s="887"/>
      <c r="SPS48" s="887"/>
      <c r="SPT48" s="887"/>
      <c r="SPU48" s="887"/>
      <c r="SPV48" s="887"/>
      <c r="SPW48" s="887"/>
      <c r="SPX48" s="887"/>
      <c r="SPY48" s="887"/>
      <c r="SPZ48" s="887"/>
      <c r="SQA48" s="887"/>
      <c r="SQB48" s="887"/>
      <c r="SQC48" s="887"/>
      <c r="SQD48" s="887"/>
      <c r="SQE48" s="887"/>
      <c r="SQF48" s="887"/>
      <c r="SQG48" s="887"/>
      <c r="SQH48" s="887"/>
      <c r="SQI48" s="887"/>
      <c r="SQJ48" s="887"/>
      <c r="SQK48" s="887"/>
      <c r="SQL48" s="887"/>
      <c r="SQM48" s="887"/>
      <c r="SQN48" s="887"/>
      <c r="SQO48" s="887"/>
      <c r="SQP48" s="887"/>
      <c r="SQQ48" s="887"/>
      <c r="SQR48" s="887"/>
      <c r="SQS48" s="887"/>
      <c r="SQT48" s="887"/>
      <c r="SQU48" s="887"/>
      <c r="SQV48" s="887"/>
      <c r="SQW48" s="887"/>
      <c r="SQX48" s="887"/>
      <c r="SQY48" s="887"/>
      <c r="SQZ48" s="887"/>
      <c r="SRA48" s="887"/>
      <c r="SRB48" s="887"/>
      <c r="SRC48" s="887"/>
      <c r="SRD48" s="887"/>
      <c r="SRE48" s="887"/>
      <c r="SRF48" s="887"/>
      <c r="SRG48" s="887"/>
      <c r="SRH48" s="887"/>
      <c r="SRI48" s="887"/>
      <c r="SRJ48" s="887"/>
      <c r="SRK48" s="887"/>
      <c r="SRL48" s="887"/>
      <c r="SRM48" s="887"/>
      <c r="SRN48" s="887"/>
      <c r="SRO48" s="887"/>
      <c r="SRP48" s="887"/>
      <c r="SRQ48" s="887"/>
      <c r="SRR48" s="887"/>
      <c r="SRS48" s="887"/>
      <c r="SRT48" s="887"/>
      <c r="SRU48" s="887"/>
      <c r="SRV48" s="887"/>
      <c r="SRW48" s="887"/>
      <c r="SRX48" s="887"/>
      <c r="SRY48" s="887"/>
      <c r="SRZ48" s="887"/>
      <c r="SSA48" s="887"/>
      <c r="SSB48" s="887"/>
      <c r="SSC48" s="887"/>
      <c r="SSD48" s="887"/>
      <c r="SSE48" s="887"/>
      <c r="SSF48" s="887"/>
      <c r="SSG48" s="887"/>
      <c r="SSH48" s="887"/>
      <c r="SSI48" s="887"/>
      <c r="SSJ48" s="887"/>
      <c r="SSK48" s="887"/>
      <c r="SSL48" s="887"/>
      <c r="SSM48" s="887"/>
      <c r="SSN48" s="887"/>
      <c r="SSO48" s="887"/>
      <c r="SSP48" s="887"/>
      <c r="SSQ48" s="887"/>
      <c r="SSR48" s="887"/>
      <c r="SSS48" s="887"/>
      <c r="SST48" s="887"/>
      <c r="SSU48" s="887"/>
      <c r="SSV48" s="887"/>
      <c r="SSW48" s="887"/>
      <c r="SSX48" s="887"/>
      <c r="SSY48" s="887"/>
      <c r="SSZ48" s="887"/>
      <c r="STA48" s="887"/>
      <c r="STB48" s="887"/>
      <c r="STC48" s="887"/>
      <c r="STD48" s="887"/>
      <c r="STE48" s="887"/>
      <c r="STF48" s="887"/>
      <c r="STG48" s="887"/>
      <c r="STH48" s="887"/>
      <c r="STI48" s="887"/>
      <c r="STJ48" s="887"/>
      <c r="STK48" s="887"/>
      <c r="STL48" s="887"/>
      <c r="STM48" s="887"/>
      <c r="STN48" s="887"/>
      <c r="STO48" s="887"/>
      <c r="STP48" s="887"/>
      <c r="STQ48" s="887"/>
      <c r="STR48" s="887"/>
      <c r="STS48" s="887"/>
      <c r="STT48" s="887"/>
      <c r="STU48" s="887"/>
      <c r="STV48" s="887"/>
      <c r="STW48" s="887"/>
      <c r="STX48" s="887"/>
      <c r="STY48" s="887"/>
      <c r="STZ48" s="887"/>
      <c r="SUA48" s="887"/>
      <c r="SUB48" s="887"/>
      <c r="SUC48" s="887"/>
      <c r="SUD48" s="887"/>
      <c r="SUE48" s="887"/>
      <c r="SUF48" s="887"/>
      <c r="SUG48" s="887"/>
      <c r="SUH48" s="887"/>
      <c r="SUI48" s="887"/>
      <c r="SUJ48" s="887"/>
      <c r="SUK48" s="887"/>
      <c r="SUL48" s="887"/>
      <c r="SUM48" s="887"/>
      <c r="SUN48" s="887"/>
      <c r="SUO48" s="887"/>
      <c r="SUP48" s="887"/>
      <c r="SUQ48" s="887"/>
      <c r="SUR48" s="887"/>
      <c r="SUS48" s="887"/>
      <c r="SUT48" s="887"/>
      <c r="SUU48" s="887"/>
      <c r="SUV48" s="887"/>
      <c r="SUW48" s="887"/>
      <c r="SUX48" s="887"/>
      <c r="SUY48" s="887"/>
      <c r="SUZ48" s="887"/>
      <c r="SVA48" s="887"/>
      <c r="SVB48" s="887"/>
      <c r="SVC48" s="887"/>
      <c r="SVD48" s="887"/>
      <c r="SVE48" s="887"/>
      <c r="SVF48" s="887"/>
      <c r="SVG48" s="887"/>
      <c r="SVH48" s="887"/>
      <c r="SVI48" s="887"/>
      <c r="SVJ48" s="887"/>
      <c r="SVK48" s="887"/>
      <c r="SVL48" s="887"/>
      <c r="SVM48" s="887"/>
      <c r="SVN48" s="887"/>
      <c r="SVO48" s="887"/>
      <c r="SVP48" s="887"/>
      <c r="SVQ48" s="887"/>
      <c r="SVR48" s="887"/>
      <c r="SVS48" s="887"/>
      <c r="SVT48" s="887"/>
      <c r="SVU48" s="887"/>
      <c r="SVV48" s="887"/>
      <c r="SVW48" s="887"/>
      <c r="SVX48" s="887"/>
      <c r="SVY48" s="887"/>
      <c r="SVZ48" s="887"/>
      <c r="SWA48" s="887"/>
      <c r="SWB48" s="887"/>
      <c r="SWC48" s="887"/>
      <c r="SWD48" s="887"/>
      <c r="SWE48" s="887"/>
      <c r="SWF48" s="887"/>
      <c r="SWG48" s="887"/>
      <c r="SWH48" s="887"/>
      <c r="SWI48" s="887"/>
      <c r="SWJ48" s="887"/>
      <c r="SWK48" s="887"/>
      <c r="SWL48" s="887"/>
      <c r="SWM48" s="887"/>
      <c r="SWN48" s="887"/>
      <c r="SWO48" s="887"/>
      <c r="SWP48" s="887"/>
      <c r="SWQ48" s="887"/>
      <c r="SWR48" s="887"/>
      <c r="SWS48" s="887"/>
      <c r="SWT48" s="887"/>
      <c r="SWU48" s="887"/>
      <c r="SWV48" s="887"/>
      <c r="SWW48" s="887"/>
      <c r="SWX48" s="887"/>
      <c r="SWY48" s="887"/>
      <c r="SWZ48" s="887"/>
      <c r="SXA48" s="887"/>
      <c r="SXB48" s="887"/>
      <c r="SXC48" s="887"/>
      <c r="SXD48" s="887"/>
      <c r="SXE48" s="887"/>
      <c r="SXF48" s="887"/>
      <c r="SXG48" s="887"/>
      <c r="SXH48" s="887"/>
      <c r="SXI48" s="887"/>
      <c r="SXJ48" s="887"/>
      <c r="SXK48" s="887"/>
      <c r="SXL48" s="887"/>
      <c r="SXM48" s="887"/>
      <c r="SXN48" s="887"/>
      <c r="SXO48" s="887"/>
      <c r="SXP48" s="887"/>
      <c r="SXQ48" s="887"/>
      <c r="SXR48" s="887"/>
      <c r="SXS48" s="887"/>
      <c r="SXT48" s="887"/>
      <c r="SXU48" s="887"/>
      <c r="SXV48" s="887"/>
      <c r="SXW48" s="887"/>
      <c r="SXX48" s="887"/>
      <c r="SXY48" s="887"/>
      <c r="SXZ48" s="887"/>
      <c r="SYA48" s="887"/>
      <c r="SYB48" s="887"/>
      <c r="SYC48" s="887"/>
      <c r="SYD48" s="887"/>
      <c r="SYE48" s="887"/>
      <c r="SYF48" s="887"/>
      <c r="SYG48" s="887"/>
      <c r="SYH48" s="887"/>
      <c r="SYI48" s="887"/>
      <c r="SYJ48" s="887"/>
      <c r="SYK48" s="887"/>
      <c r="SYL48" s="887"/>
      <c r="SYM48" s="887"/>
      <c r="SYN48" s="887"/>
      <c r="SYO48" s="887"/>
      <c r="SYP48" s="887"/>
      <c r="SYQ48" s="887"/>
      <c r="SYR48" s="887"/>
      <c r="SYS48" s="887"/>
      <c r="SYT48" s="887"/>
      <c r="SYU48" s="887"/>
      <c r="SYV48" s="887"/>
      <c r="SYW48" s="887"/>
      <c r="SYX48" s="887"/>
      <c r="SYY48" s="887"/>
      <c r="SYZ48" s="887"/>
      <c r="SZA48" s="887"/>
      <c r="SZB48" s="887"/>
      <c r="SZC48" s="887"/>
      <c r="SZD48" s="887"/>
      <c r="SZE48" s="887"/>
      <c r="SZF48" s="887"/>
      <c r="SZG48" s="887"/>
      <c r="SZH48" s="887"/>
      <c r="SZI48" s="887"/>
      <c r="SZJ48" s="887"/>
      <c r="SZK48" s="887"/>
      <c r="SZL48" s="887"/>
      <c r="SZM48" s="887"/>
      <c r="SZN48" s="887"/>
      <c r="SZO48" s="887"/>
      <c r="SZP48" s="887"/>
      <c r="SZQ48" s="887"/>
      <c r="SZR48" s="887"/>
      <c r="SZS48" s="887"/>
      <c r="SZT48" s="887"/>
      <c r="SZU48" s="887"/>
      <c r="SZV48" s="887"/>
      <c r="SZW48" s="887"/>
      <c r="SZX48" s="887"/>
      <c r="SZY48" s="887"/>
      <c r="SZZ48" s="887"/>
      <c r="TAA48" s="887"/>
      <c r="TAB48" s="887"/>
      <c r="TAC48" s="887"/>
      <c r="TAD48" s="887"/>
      <c r="TAE48" s="887"/>
      <c r="TAF48" s="887"/>
      <c r="TAG48" s="887"/>
      <c r="TAH48" s="887"/>
      <c r="TAI48" s="887"/>
      <c r="TAJ48" s="887"/>
      <c r="TAK48" s="887"/>
      <c r="TAL48" s="887"/>
      <c r="TAM48" s="887"/>
      <c r="TAN48" s="887"/>
      <c r="TAO48" s="887"/>
      <c r="TAP48" s="887"/>
      <c r="TAQ48" s="887"/>
      <c r="TAR48" s="887"/>
      <c r="TAS48" s="887"/>
      <c r="TAT48" s="887"/>
      <c r="TAU48" s="887"/>
      <c r="TAV48" s="887"/>
      <c r="TAW48" s="887"/>
      <c r="TAX48" s="887"/>
      <c r="TAY48" s="887"/>
      <c r="TAZ48" s="887"/>
      <c r="TBA48" s="887"/>
      <c r="TBB48" s="887"/>
      <c r="TBC48" s="887"/>
      <c r="TBD48" s="887"/>
      <c r="TBE48" s="887"/>
      <c r="TBF48" s="887"/>
      <c r="TBG48" s="887"/>
      <c r="TBH48" s="887"/>
      <c r="TBI48" s="887"/>
      <c r="TBJ48" s="887"/>
      <c r="TBK48" s="887"/>
      <c r="TBL48" s="887"/>
      <c r="TBM48" s="887"/>
      <c r="TBN48" s="887"/>
      <c r="TBO48" s="887"/>
      <c r="TBP48" s="887"/>
      <c r="TBQ48" s="887"/>
      <c r="TBR48" s="887"/>
      <c r="TBS48" s="887"/>
      <c r="TBT48" s="887"/>
      <c r="TBU48" s="887"/>
      <c r="TBV48" s="887"/>
      <c r="TBW48" s="887"/>
      <c r="TBX48" s="887"/>
      <c r="TBY48" s="887"/>
      <c r="TBZ48" s="887"/>
      <c r="TCA48" s="887"/>
      <c r="TCB48" s="887"/>
      <c r="TCC48" s="887"/>
      <c r="TCD48" s="887"/>
      <c r="TCE48" s="887"/>
      <c r="TCF48" s="887"/>
      <c r="TCG48" s="887"/>
      <c r="TCH48" s="887"/>
      <c r="TCI48" s="887"/>
      <c r="TCJ48" s="887"/>
      <c r="TCK48" s="887"/>
      <c r="TCL48" s="887"/>
      <c r="TCM48" s="887"/>
      <c r="TCN48" s="887"/>
      <c r="TCO48" s="887"/>
      <c r="TCP48" s="887"/>
      <c r="TCQ48" s="887"/>
      <c r="TCR48" s="887"/>
      <c r="TCS48" s="887"/>
      <c r="TCT48" s="887"/>
      <c r="TCU48" s="887"/>
      <c r="TCV48" s="887"/>
      <c r="TCW48" s="887"/>
      <c r="TCX48" s="887"/>
      <c r="TCY48" s="887"/>
      <c r="TCZ48" s="887"/>
      <c r="TDA48" s="887"/>
      <c r="TDB48" s="887"/>
      <c r="TDC48" s="887"/>
      <c r="TDD48" s="887"/>
      <c r="TDE48" s="887"/>
      <c r="TDF48" s="887"/>
      <c r="TDG48" s="887"/>
      <c r="TDH48" s="887"/>
      <c r="TDI48" s="887"/>
      <c r="TDJ48" s="887"/>
      <c r="TDK48" s="887"/>
      <c r="TDL48" s="887"/>
      <c r="TDM48" s="887"/>
      <c r="TDN48" s="887"/>
      <c r="TDO48" s="887"/>
      <c r="TDP48" s="887"/>
      <c r="TDQ48" s="887"/>
      <c r="TDR48" s="887"/>
      <c r="TDS48" s="887"/>
      <c r="TDT48" s="887"/>
      <c r="TDU48" s="887"/>
      <c r="TDV48" s="887"/>
      <c r="TDW48" s="887"/>
      <c r="TDX48" s="887"/>
      <c r="TDY48" s="887"/>
      <c r="TDZ48" s="887"/>
      <c r="TEA48" s="887"/>
      <c r="TEB48" s="887"/>
      <c r="TEC48" s="887"/>
      <c r="TED48" s="887"/>
      <c r="TEE48" s="887"/>
      <c r="TEF48" s="887"/>
      <c r="TEG48" s="887"/>
      <c r="TEH48" s="887"/>
      <c r="TEI48" s="887"/>
      <c r="TEJ48" s="887"/>
      <c r="TEK48" s="887"/>
      <c r="TEL48" s="887"/>
      <c r="TEM48" s="887"/>
      <c r="TEN48" s="887"/>
      <c r="TEO48" s="887"/>
      <c r="TEP48" s="887"/>
      <c r="TEQ48" s="887"/>
      <c r="TER48" s="887"/>
      <c r="TES48" s="887"/>
      <c r="TET48" s="887"/>
      <c r="TEU48" s="887"/>
      <c r="TEV48" s="887"/>
      <c r="TEW48" s="887"/>
      <c r="TEX48" s="887"/>
      <c r="TEY48" s="887"/>
      <c r="TEZ48" s="887"/>
      <c r="TFA48" s="887"/>
      <c r="TFB48" s="887"/>
      <c r="TFC48" s="887"/>
      <c r="TFD48" s="887"/>
      <c r="TFE48" s="887"/>
      <c r="TFF48" s="887"/>
      <c r="TFG48" s="887"/>
      <c r="TFH48" s="887"/>
      <c r="TFI48" s="887"/>
      <c r="TFJ48" s="887"/>
      <c r="TFK48" s="887"/>
      <c r="TFL48" s="887"/>
      <c r="TFM48" s="887"/>
      <c r="TFN48" s="887"/>
      <c r="TFO48" s="887"/>
      <c r="TFP48" s="887"/>
      <c r="TFQ48" s="887"/>
      <c r="TFR48" s="887"/>
      <c r="TFS48" s="887"/>
      <c r="TFT48" s="887"/>
      <c r="TFU48" s="887"/>
      <c r="TFV48" s="887"/>
      <c r="TFW48" s="887"/>
      <c r="TFX48" s="887"/>
      <c r="TFY48" s="887"/>
      <c r="TFZ48" s="887"/>
      <c r="TGA48" s="887"/>
      <c r="TGB48" s="887"/>
      <c r="TGC48" s="887"/>
      <c r="TGD48" s="887"/>
      <c r="TGE48" s="887"/>
      <c r="TGF48" s="887"/>
      <c r="TGG48" s="887"/>
      <c r="TGH48" s="887"/>
      <c r="TGI48" s="887"/>
      <c r="TGJ48" s="887"/>
      <c r="TGK48" s="887"/>
      <c r="TGL48" s="887"/>
      <c r="TGM48" s="887"/>
      <c r="TGN48" s="887"/>
      <c r="TGO48" s="887"/>
      <c r="TGP48" s="887"/>
      <c r="TGQ48" s="887"/>
      <c r="TGR48" s="887"/>
      <c r="TGS48" s="887"/>
      <c r="TGT48" s="887"/>
      <c r="TGU48" s="887"/>
      <c r="TGV48" s="887"/>
      <c r="TGW48" s="887"/>
      <c r="TGX48" s="887"/>
      <c r="TGY48" s="887"/>
      <c r="TGZ48" s="887"/>
      <c r="THA48" s="887"/>
      <c r="THB48" s="887"/>
      <c r="THC48" s="887"/>
      <c r="THD48" s="887"/>
      <c r="THE48" s="887"/>
      <c r="THF48" s="887"/>
      <c r="THG48" s="887"/>
      <c r="THH48" s="887"/>
      <c r="THI48" s="887"/>
      <c r="THJ48" s="887"/>
      <c r="THK48" s="887"/>
      <c r="THL48" s="887"/>
      <c r="THM48" s="887"/>
      <c r="THN48" s="887"/>
      <c r="THO48" s="887"/>
      <c r="THP48" s="887"/>
      <c r="THQ48" s="887"/>
      <c r="THR48" s="887"/>
      <c r="THS48" s="887"/>
      <c r="THT48" s="887"/>
      <c r="THU48" s="887"/>
      <c r="THV48" s="887"/>
      <c r="THW48" s="887"/>
      <c r="THX48" s="887"/>
      <c r="THY48" s="887"/>
      <c r="THZ48" s="887"/>
      <c r="TIA48" s="887"/>
      <c r="TIB48" s="887"/>
      <c r="TIC48" s="887"/>
      <c r="TID48" s="887"/>
      <c r="TIE48" s="887"/>
      <c r="TIF48" s="887"/>
      <c r="TIG48" s="887"/>
      <c r="TIH48" s="887"/>
      <c r="TII48" s="887"/>
      <c r="TIJ48" s="887"/>
      <c r="TIK48" s="887"/>
      <c r="TIL48" s="887"/>
      <c r="TIM48" s="887"/>
      <c r="TIN48" s="887"/>
      <c r="TIO48" s="887"/>
      <c r="TIP48" s="887"/>
      <c r="TIQ48" s="887"/>
      <c r="TIR48" s="887"/>
      <c r="TIS48" s="887"/>
      <c r="TIT48" s="887"/>
      <c r="TIU48" s="887"/>
      <c r="TIV48" s="887"/>
      <c r="TIW48" s="887"/>
      <c r="TIX48" s="887"/>
      <c r="TIY48" s="887"/>
      <c r="TIZ48" s="887"/>
      <c r="TJA48" s="887"/>
      <c r="TJB48" s="887"/>
      <c r="TJC48" s="887"/>
      <c r="TJD48" s="887"/>
      <c r="TJE48" s="887"/>
      <c r="TJF48" s="887"/>
      <c r="TJG48" s="887"/>
      <c r="TJH48" s="887"/>
      <c r="TJI48" s="887"/>
      <c r="TJJ48" s="887"/>
      <c r="TJK48" s="887"/>
      <c r="TJL48" s="887"/>
      <c r="TJM48" s="887"/>
      <c r="TJN48" s="887"/>
      <c r="TJO48" s="887"/>
      <c r="TJP48" s="887"/>
      <c r="TJQ48" s="887"/>
      <c r="TJR48" s="887"/>
      <c r="TJS48" s="887"/>
      <c r="TJT48" s="887"/>
      <c r="TJU48" s="887"/>
      <c r="TJV48" s="887"/>
      <c r="TJW48" s="887"/>
      <c r="TJX48" s="887"/>
      <c r="TJY48" s="887"/>
      <c r="TJZ48" s="887"/>
      <c r="TKA48" s="887"/>
      <c r="TKB48" s="887"/>
      <c r="TKC48" s="887"/>
      <c r="TKD48" s="887"/>
      <c r="TKE48" s="887"/>
      <c r="TKF48" s="887"/>
      <c r="TKG48" s="887"/>
      <c r="TKH48" s="887"/>
      <c r="TKI48" s="887"/>
      <c r="TKJ48" s="887"/>
      <c r="TKK48" s="887"/>
      <c r="TKL48" s="887"/>
      <c r="TKM48" s="887"/>
      <c r="TKN48" s="887"/>
      <c r="TKO48" s="887"/>
      <c r="TKP48" s="887"/>
      <c r="TKQ48" s="887"/>
      <c r="TKR48" s="887"/>
      <c r="TKS48" s="887"/>
      <c r="TKT48" s="887"/>
      <c r="TKU48" s="887"/>
      <c r="TKV48" s="887"/>
      <c r="TKW48" s="887"/>
      <c r="TKX48" s="887"/>
      <c r="TKY48" s="887"/>
      <c r="TKZ48" s="887"/>
      <c r="TLA48" s="887"/>
      <c r="TLB48" s="887"/>
      <c r="TLC48" s="887"/>
      <c r="TLD48" s="887"/>
      <c r="TLE48" s="887"/>
      <c r="TLF48" s="887"/>
      <c r="TLG48" s="887"/>
      <c r="TLH48" s="887"/>
      <c r="TLI48" s="887"/>
      <c r="TLJ48" s="887"/>
      <c r="TLK48" s="887"/>
      <c r="TLL48" s="887"/>
      <c r="TLM48" s="887"/>
      <c r="TLN48" s="887"/>
      <c r="TLO48" s="887"/>
      <c r="TLP48" s="887"/>
      <c r="TLQ48" s="887"/>
      <c r="TLR48" s="887"/>
      <c r="TLS48" s="887"/>
      <c r="TLT48" s="887"/>
      <c r="TLU48" s="887"/>
      <c r="TLV48" s="887"/>
      <c r="TLW48" s="887"/>
      <c r="TLX48" s="887"/>
      <c r="TLY48" s="887"/>
      <c r="TLZ48" s="887"/>
      <c r="TMA48" s="887"/>
      <c r="TMB48" s="887"/>
      <c r="TMC48" s="887"/>
      <c r="TMD48" s="887"/>
      <c r="TME48" s="887"/>
      <c r="TMF48" s="887"/>
      <c r="TMG48" s="887"/>
      <c r="TMH48" s="887"/>
      <c r="TMI48" s="887"/>
      <c r="TMJ48" s="887"/>
      <c r="TMK48" s="887"/>
      <c r="TML48" s="887"/>
      <c r="TMM48" s="887"/>
      <c r="TMN48" s="887"/>
      <c r="TMO48" s="887"/>
      <c r="TMP48" s="887"/>
      <c r="TMQ48" s="887"/>
      <c r="TMR48" s="887"/>
      <c r="TMS48" s="887"/>
      <c r="TMT48" s="887"/>
      <c r="TMU48" s="887"/>
      <c r="TMV48" s="887"/>
      <c r="TMW48" s="887"/>
      <c r="TMX48" s="887"/>
      <c r="TMY48" s="887"/>
      <c r="TMZ48" s="887"/>
      <c r="TNA48" s="887"/>
      <c r="TNB48" s="887"/>
      <c r="TNC48" s="887"/>
      <c r="TND48" s="887"/>
      <c r="TNE48" s="887"/>
      <c r="TNF48" s="887"/>
      <c r="TNG48" s="887"/>
      <c r="TNH48" s="887"/>
      <c r="TNI48" s="887"/>
      <c r="TNJ48" s="887"/>
      <c r="TNK48" s="887"/>
      <c r="TNL48" s="887"/>
      <c r="TNM48" s="887"/>
      <c r="TNN48" s="887"/>
      <c r="TNO48" s="887"/>
      <c r="TNP48" s="887"/>
      <c r="TNQ48" s="887"/>
      <c r="TNR48" s="887"/>
      <c r="TNS48" s="887"/>
      <c r="TNT48" s="887"/>
      <c r="TNU48" s="887"/>
      <c r="TNV48" s="887"/>
      <c r="TNW48" s="887"/>
      <c r="TNX48" s="887"/>
      <c r="TNY48" s="887"/>
      <c r="TNZ48" s="887"/>
      <c r="TOA48" s="887"/>
      <c r="TOB48" s="887"/>
      <c r="TOC48" s="887"/>
      <c r="TOD48" s="887"/>
      <c r="TOE48" s="887"/>
      <c r="TOF48" s="887"/>
      <c r="TOG48" s="887"/>
      <c r="TOH48" s="887"/>
      <c r="TOI48" s="887"/>
      <c r="TOJ48" s="887"/>
      <c r="TOK48" s="887"/>
      <c r="TOL48" s="887"/>
      <c r="TOM48" s="887"/>
      <c r="TON48" s="887"/>
      <c r="TOO48" s="887"/>
      <c r="TOP48" s="887"/>
      <c r="TOQ48" s="887"/>
      <c r="TOR48" s="887"/>
      <c r="TOS48" s="887"/>
      <c r="TOT48" s="887"/>
      <c r="TOU48" s="887"/>
      <c r="TOV48" s="887"/>
      <c r="TOW48" s="887"/>
      <c r="TOX48" s="887"/>
      <c r="TOY48" s="887"/>
      <c r="TOZ48" s="887"/>
      <c r="TPA48" s="887"/>
      <c r="TPB48" s="887"/>
      <c r="TPC48" s="887"/>
      <c r="TPD48" s="887"/>
      <c r="TPE48" s="887"/>
      <c r="TPF48" s="887"/>
      <c r="TPG48" s="887"/>
      <c r="TPH48" s="887"/>
      <c r="TPI48" s="887"/>
      <c r="TPJ48" s="887"/>
      <c r="TPK48" s="887"/>
      <c r="TPL48" s="887"/>
      <c r="TPM48" s="887"/>
      <c r="TPN48" s="887"/>
      <c r="TPO48" s="887"/>
      <c r="TPP48" s="887"/>
      <c r="TPQ48" s="887"/>
      <c r="TPR48" s="887"/>
      <c r="TPS48" s="887"/>
      <c r="TPT48" s="887"/>
      <c r="TPU48" s="887"/>
      <c r="TPV48" s="887"/>
      <c r="TPW48" s="887"/>
      <c r="TPX48" s="887"/>
      <c r="TPY48" s="887"/>
      <c r="TPZ48" s="887"/>
      <c r="TQA48" s="887"/>
      <c r="TQB48" s="887"/>
      <c r="TQC48" s="887"/>
      <c r="TQD48" s="887"/>
      <c r="TQE48" s="887"/>
      <c r="TQF48" s="887"/>
      <c r="TQG48" s="887"/>
      <c r="TQH48" s="887"/>
      <c r="TQI48" s="887"/>
      <c r="TQJ48" s="887"/>
      <c r="TQK48" s="887"/>
      <c r="TQL48" s="887"/>
      <c r="TQM48" s="887"/>
      <c r="TQN48" s="887"/>
      <c r="TQO48" s="887"/>
      <c r="TQP48" s="887"/>
      <c r="TQQ48" s="887"/>
      <c r="TQR48" s="887"/>
      <c r="TQS48" s="887"/>
      <c r="TQT48" s="887"/>
      <c r="TQU48" s="887"/>
      <c r="TQV48" s="887"/>
      <c r="TQW48" s="887"/>
      <c r="TQX48" s="887"/>
      <c r="TQY48" s="887"/>
      <c r="TQZ48" s="887"/>
      <c r="TRA48" s="887"/>
      <c r="TRB48" s="887"/>
      <c r="TRC48" s="887"/>
      <c r="TRD48" s="887"/>
      <c r="TRE48" s="887"/>
      <c r="TRF48" s="887"/>
      <c r="TRG48" s="887"/>
      <c r="TRH48" s="887"/>
      <c r="TRI48" s="887"/>
      <c r="TRJ48" s="887"/>
      <c r="TRK48" s="887"/>
      <c r="TRL48" s="887"/>
      <c r="TRM48" s="887"/>
      <c r="TRN48" s="887"/>
      <c r="TRO48" s="887"/>
      <c r="TRP48" s="887"/>
      <c r="TRQ48" s="887"/>
      <c r="TRR48" s="887"/>
      <c r="TRS48" s="887"/>
      <c r="TRT48" s="887"/>
      <c r="TRU48" s="887"/>
      <c r="TRV48" s="887"/>
      <c r="TRW48" s="887"/>
      <c r="TRX48" s="887"/>
      <c r="TRY48" s="887"/>
      <c r="TRZ48" s="887"/>
      <c r="TSA48" s="887"/>
      <c r="TSB48" s="887"/>
      <c r="TSC48" s="887"/>
      <c r="TSD48" s="887"/>
      <c r="TSE48" s="887"/>
      <c r="TSF48" s="887"/>
      <c r="TSG48" s="887"/>
      <c r="TSH48" s="887"/>
      <c r="TSI48" s="887"/>
      <c r="TSJ48" s="887"/>
      <c r="TSK48" s="887"/>
      <c r="TSL48" s="887"/>
      <c r="TSM48" s="887"/>
      <c r="TSN48" s="887"/>
      <c r="TSO48" s="887"/>
      <c r="TSP48" s="887"/>
      <c r="TSQ48" s="887"/>
      <c r="TSR48" s="887"/>
      <c r="TSS48" s="887"/>
      <c r="TST48" s="887"/>
      <c r="TSU48" s="887"/>
      <c r="TSV48" s="887"/>
      <c r="TSW48" s="887"/>
      <c r="TSX48" s="887"/>
      <c r="TSY48" s="887"/>
      <c r="TSZ48" s="887"/>
      <c r="TTA48" s="887"/>
      <c r="TTB48" s="887"/>
      <c r="TTC48" s="887"/>
      <c r="TTD48" s="887"/>
      <c r="TTE48" s="887"/>
      <c r="TTF48" s="887"/>
      <c r="TTG48" s="887"/>
      <c r="TTH48" s="887"/>
      <c r="TTI48" s="887"/>
      <c r="TTJ48" s="887"/>
      <c r="TTK48" s="887"/>
      <c r="TTL48" s="887"/>
      <c r="TTM48" s="887"/>
      <c r="TTN48" s="887"/>
      <c r="TTO48" s="887"/>
      <c r="TTP48" s="887"/>
      <c r="TTQ48" s="887"/>
      <c r="TTR48" s="887"/>
      <c r="TTS48" s="887"/>
      <c r="TTT48" s="887"/>
      <c r="TTU48" s="887"/>
      <c r="TTV48" s="887"/>
      <c r="TTW48" s="887"/>
      <c r="TTX48" s="887"/>
      <c r="TTY48" s="887"/>
      <c r="TTZ48" s="887"/>
      <c r="TUA48" s="887"/>
      <c r="TUB48" s="887"/>
      <c r="TUC48" s="887"/>
      <c r="TUD48" s="887"/>
      <c r="TUE48" s="887"/>
      <c r="TUF48" s="887"/>
      <c r="TUG48" s="887"/>
      <c r="TUH48" s="887"/>
      <c r="TUI48" s="887"/>
      <c r="TUJ48" s="887"/>
      <c r="TUK48" s="887"/>
      <c r="TUL48" s="887"/>
      <c r="TUM48" s="887"/>
      <c r="TUN48" s="887"/>
      <c r="TUO48" s="887"/>
      <c r="TUP48" s="887"/>
      <c r="TUQ48" s="887"/>
      <c r="TUR48" s="887"/>
      <c r="TUS48" s="887"/>
      <c r="TUT48" s="887"/>
      <c r="TUU48" s="887"/>
      <c r="TUV48" s="887"/>
      <c r="TUW48" s="887"/>
      <c r="TUX48" s="887"/>
      <c r="TUY48" s="887"/>
      <c r="TUZ48" s="887"/>
      <c r="TVA48" s="887"/>
      <c r="TVB48" s="887"/>
      <c r="TVC48" s="887"/>
      <c r="TVD48" s="887"/>
      <c r="TVE48" s="887"/>
      <c r="TVF48" s="887"/>
      <c r="TVG48" s="887"/>
      <c r="TVH48" s="887"/>
      <c r="TVI48" s="887"/>
      <c r="TVJ48" s="887"/>
      <c r="TVK48" s="887"/>
      <c r="TVL48" s="887"/>
      <c r="TVM48" s="887"/>
      <c r="TVN48" s="887"/>
      <c r="TVO48" s="887"/>
      <c r="TVP48" s="887"/>
      <c r="TVQ48" s="887"/>
      <c r="TVR48" s="887"/>
      <c r="TVS48" s="887"/>
      <c r="TVT48" s="887"/>
      <c r="TVU48" s="887"/>
      <c r="TVV48" s="887"/>
      <c r="TVW48" s="887"/>
      <c r="TVX48" s="887"/>
      <c r="TVY48" s="887"/>
      <c r="TVZ48" s="887"/>
      <c r="TWA48" s="887"/>
      <c r="TWB48" s="887"/>
      <c r="TWC48" s="887"/>
      <c r="TWD48" s="887"/>
      <c r="TWE48" s="887"/>
      <c r="TWF48" s="887"/>
      <c r="TWG48" s="887"/>
      <c r="TWH48" s="887"/>
      <c r="TWI48" s="887"/>
      <c r="TWJ48" s="887"/>
      <c r="TWK48" s="887"/>
      <c r="TWL48" s="887"/>
      <c r="TWM48" s="887"/>
      <c r="TWN48" s="887"/>
      <c r="TWO48" s="887"/>
      <c r="TWP48" s="887"/>
      <c r="TWQ48" s="887"/>
      <c r="TWR48" s="887"/>
      <c r="TWS48" s="887"/>
      <c r="TWT48" s="887"/>
      <c r="TWU48" s="887"/>
      <c r="TWV48" s="887"/>
      <c r="TWW48" s="887"/>
      <c r="TWX48" s="887"/>
      <c r="TWY48" s="887"/>
      <c r="TWZ48" s="887"/>
      <c r="TXA48" s="887"/>
      <c r="TXB48" s="887"/>
      <c r="TXC48" s="887"/>
      <c r="TXD48" s="887"/>
      <c r="TXE48" s="887"/>
      <c r="TXF48" s="887"/>
      <c r="TXG48" s="887"/>
      <c r="TXH48" s="887"/>
      <c r="TXI48" s="887"/>
      <c r="TXJ48" s="887"/>
      <c r="TXK48" s="887"/>
      <c r="TXL48" s="887"/>
      <c r="TXM48" s="887"/>
      <c r="TXN48" s="887"/>
      <c r="TXO48" s="887"/>
      <c r="TXP48" s="887"/>
      <c r="TXQ48" s="887"/>
      <c r="TXR48" s="887"/>
      <c r="TXS48" s="887"/>
      <c r="TXT48" s="887"/>
      <c r="TXU48" s="887"/>
      <c r="TXV48" s="887"/>
      <c r="TXW48" s="887"/>
      <c r="TXX48" s="887"/>
      <c r="TXY48" s="887"/>
      <c r="TXZ48" s="887"/>
      <c r="TYA48" s="887"/>
      <c r="TYB48" s="887"/>
      <c r="TYC48" s="887"/>
      <c r="TYD48" s="887"/>
      <c r="TYE48" s="887"/>
      <c r="TYF48" s="887"/>
      <c r="TYG48" s="887"/>
      <c r="TYH48" s="887"/>
      <c r="TYI48" s="887"/>
      <c r="TYJ48" s="887"/>
      <c r="TYK48" s="887"/>
      <c r="TYL48" s="887"/>
      <c r="TYM48" s="887"/>
      <c r="TYN48" s="887"/>
      <c r="TYO48" s="887"/>
      <c r="TYP48" s="887"/>
      <c r="TYQ48" s="887"/>
      <c r="TYR48" s="887"/>
      <c r="TYS48" s="887"/>
      <c r="TYT48" s="887"/>
      <c r="TYU48" s="887"/>
      <c r="TYV48" s="887"/>
      <c r="TYW48" s="887"/>
      <c r="TYX48" s="887"/>
      <c r="TYY48" s="887"/>
      <c r="TYZ48" s="887"/>
      <c r="TZA48" s="887"/>
      <c r="TZB48" s="887"/>
      <c r="TZC48" s="887"/>
      <c r="TZD48" s="887"/>
      <c r="TZE48" s="887"/>
      <c r="TZF48" s="887"/>
      <c r="TZG48" s="887"/>
      <c r="TZH48" s="887"/>
      <c r="TZI48" s="887"/>
      <c r="TZJ48" s="887"/>
      <c r="TZK48" s="887"/>
      <c r="TZL48" s="887"/>
      <c r="TZM48" s="887"/>
      <c r="TZN48" s="887"/>
      <c r="TZO48" s="887"/>
      <c r="TZP48" s="887"/>
      <c r="TZQ48" s="887"/>
      <c r="TZR48" s="887"/>
      <c r="TZS48" s="887"/>
      <c r="TZT48" s="887"/>
      <c r="TZU48" s="887"/>
      <c r="TZV48" s="887"/>
      <c r="TZW48" s="887"/>
      <c r="TZX48" s="887"/>
      <c r="TZY48" s="887"/>
      <c r="TZZ48" s="887"/>
      <c r="UAA48" s="887"/>
      <c r="UAB48" s="887"/>
      <c r="UAC48" s="887"/>
      <c r="UAD48" s="887"/>
      <c r="UAE48" s="887"/>
      <c r="UAF48" s="887"/>
      <c r="UAG48" s="887"/>
      <c r="UAH48" s="887"/>
      <c r="UAI48" s="887"/>
      <c r="UAJ48" s="887"/>
      <c r="UAK48" s="887"/>
      <c r="UAL48" s="887"/>
      <c r="UAM48" s="887"/>
      <c r="UAN48" s="887"/>
      <c r="UAO48" s="887"/>
      <c r="UAP48" s="887"/>
      <c r="UAQ48" s="887"/>
      <c r="UAR48" s="887"/>
      <c r="UAS48" s="887"/>
      <c r="UAT48" s="887"/>
      <c r="UAU48" s="887"/>
      <c r="UAV48" s="887"/>
      <c r="UAW48" s="887"/>
      <c r="UAX48" s="887"/>
      <c r="UAY48" s="887"/>
      <c r="UAZ48" s="887"/>
      <c r="UBA48" s="887"/>
      <c r="UBB48" s="887"/>
      <c r="UBC48" s="887"/>
      <c r="UBD48" s="887"/>
      <c r="UBE48" s="887"/>
      <c r="UBF48" s="887"/>
      <c r="UBG48" s="887"/>
      <c r="UBH48" s="887"/>
      <c r="UBI48" s="887"/>
      <c r="UBJ48" s="887"/>
      <c r="UBK48" s="887"/>
      <c r="UBL48" s="887"/>
      <c r="UBM48" s="887"/>
      <c r="UBN48" s="887"/>
      <c r="UBO48" s="887"/>
      <c r="UBP48" s="887"/>
      <c r="UBQ48" s="887"/>
      <c r="UBR48" s="887"/>
      <c r="UBS48" s="887"/>
      <c r="UBT48" s="887"/>
      <c r="UBU48" s="887"/>
      <c r="UBV48" s="887"/>
      <c r="UBW48" s="887"/>
      <c r="UBX48" s="887"/>
      <c r="UBY48" s="887"/>
      <c r="UBZ48" s="887"/>
      <c r="UCA48" s="887"/>
      <c r="UCB48" s="887"/>
      <c r="UCC48" s="887"/>
      <c r="UCD48" s="887"/>
      <c r="UCE48" s="887"/>
      <c r="UCF48" s="887"/>
      <c r="UCG48" s="887"/>
      <c r="UCH48" s="887"/>
      <c r="UCI48" s="887"/>
      <c r="UCJ48" s="887"/>
      <c r="UCK48" s="887"/>
      <c r="UCL48" s="887"/>
      <c r="UCM48" s="887"/>
      <c r="UCN48" s="887"/>
      <c r="UCO48" s="887"/>
      <c r="UCP48" s="887"/>
      <c r="UCQ48" s="887"/>
      <c r="UCR48" s="887"/>
      <c r="UCS48" s="887"/>
      <c r="UCT48" s="887"/>
      <c r="UCU48" s="887"/>
      <c r="UCV48" s="887"/>
      <c r="UCW48" s="887"/>
      <c r="UCX48" s="887"/>
      <c r="UCY48" s="887"/>
      <c r="UCZ48" s="887"/>
      <c r="UDA48" s="887"/>
      <c r="UDB48" s="887"/>
      <c r="UDC48" s="887"/>
      <c r="UDD48" s="887"/>
      <c r="UDE48" s="887"/>
      <c r="UDF48" s="887"/>
      <c r="UDG48" s="887"/>
      <c r="UDH48" s="887"/>
      <c r="UDI48" s="887"/>
      <c r="UDJ48" s="887"/>
      <c r="UDK48" s="887"/>
      <c r="UDL48" s="887"/>
      <c r="UDM48" s="887"/>
      <c r="UDN48" s="887"/>
      <c r="UDO48" s="887"/>
      <c r="UDP48" s="887"/>
      <c r="UDQ48" s="887"/>
      <c r="UDR48" s="887"/>
      <c r="UDS48" s="887"/>
      <c r="UDT48" s="887"/>
      <c r="UDU48" s="887"/>
      <c r="UDV48" s="887"/>
      <c r="UDW48" s="887"/>
      <c r="UDX48" s="887"/>
      <c r="UDY48" s="887"/>
      <c r="UDZ48" s="887"/>
      <c r="UEA48" s="887"/>
      <c r="UEB48" s="887"/>
      <c r="UEC48" s="887"/>
      <c r="UED48" s="887"/>
      <c r="UEE48" s="887"/>
      <c r="UEF48" s="887"/>
      <c r="UEG48" s="887"/>
      <c r="UEH48" s="887"/>
      <c r="UEI48" s="887"/>
      <c r="UEJ48" s="887"/>
      <c r="UEK48" s="887"/>
      <c r="UEL48" s="887"/>
      <c r="UEM48" s="887"/>
      <c r="UEN48" s="887"/>
      <c r="UEO48" s="887"/>
      <c r="UEP48" s="887"/>
      <c r="UEQ48" s="887"/>
      <c r="UER48" s="887"/>
      <c r="UES48" s="887"/>
      <c r="UET48" s="887"/>
      <c r="UEU48" s="887"/>
      <c r="UEV48" s="887"/>
      <c r="UEW48" s="887"/>
      <c r="UEX48" s="887"/>
      <c r="UEY48" s="887"/>
      <c r="UEZ48" s="887"/>
      <c r="UFA48" s="887"/>
      <c r="UFB48" s="887"/>
      <c r="UFC48" s="887"/>
      <c r="UFD48" s="887"/>
      <c r="UFE48" s="887"/>
      <c r="UFF48" s="887"/>
      <c r="UFG48" s="887"/>
      <c r="UFH48" s="887"/>
      <c r="UFI48" s="887"/>
      <c r="UFJ48" s="887"/>
      <c r="UFK48" s="887"/>
      <c r="UFL48" s="887"/>
      <c r="UFM48" s="887"/>
      <c r="UFN48" s="887"/>
      <c r="UFO48" s="887"/>
      <c r="UFP48" s="887"/>
      <c r="UFQ48" s="887"/>
      <c r="UFR48" s="887"/>
      <c r="UFS48" s="887"/>
      <c r="UFT48" s="887"/>
      <c r="UFU48" s="887"/>
      <c r="UFV48" s="887"/>
      <c r="UFW48" s="887"/>
      <c r="UFX48" s="887"/>
      <c r="UFY48" s="887"/>
      <c r="UFZ48" s="887"/>
      <c r="UGA48" s="887"/>
      <c r="UGB48" s="887"/>
      <c r="UGC48" s="887"/>
      <c r="UGD48" s="887"/>
      <c r="UGE48" s="887"/>
      <c r="UGF48" s="887"/>
      <c r="UGG48" s="887"/>
      <c r="UGH48" s="887"/>
      <c r="UGI48" s="887"/>
      <c r="UGJ48" s="887"/>
      <c r="UGK48" s="887"/>
      <c r="UGL48" s="887"/>
      <c r="UGM48" s="887"/>
      <c r="UGN48" s="887"/>
      <c r="UGO48" s="887"/>
      <c r="UGP48" s="887"/>
      <c r="UGQ48" s="887"/>
      <c r="UGR48" s="887"/>
      <c r="UGS48" s="887"/>
      <c r="UGT48" s="887"/>
      <c r="UGU48" s="887"/>
      <c r="UGV48" s="887"/>
      <c r="UGW48" s="887"/>
      <c r="UGX48" s="887"/>
      <c r="UGY48" s="887"/>
      <c r="UGZ48" s="887"/>
      <c r="UHA48" s="887"/>
      <c r="UHB48" s="887"/>
      <c r="UHC48" s="887"/>
      <c r="UHD48" s="887"/>
      <c r="UHE48" s="887"/>
      <c r="UHF48" s="887"/>
      <c r="UHG48" s="887"/>
      <c r="UHH48" s="887"/>
      <c r="UHI48" s="887"/>
      <c r="UHJ48" s="887"/>
      <c r="UHK48" s="887"/>
      <c r="UHL48" s="887"/>
      <c r="UHM48" s="887"/>
      <c r="UHN48" s="887"/>
      <c r="UHO48" s="887"/>
      <c r="UHP48" s="887"/>
      <c r="UHQ48" s="887"/>
      <c r="UHR48" s="887"/>
      <c r="UHS48" s="887"/>
      <c r="UHT48" s="887"/>
      <c r="UHU48" s="887"/>
      <c r="UHV48" s="887"/>
      <c r="UHW48" s="887"/>
      <c r="UHX48" s="887"/>
      <c r="UHY48" s="887"/>
      <c r="UHZ48" s="887"/>
      <c r="UIA48" s="887"/>
      <c r="UIB48" s="887"/>
      <c r="UIC48" s="887"/>
      <c r="UID48" s="887"/>
      <c r="UIE48" s="887"/>
      <c r="UIF48" s="887"/>
      <c r="UIG48" s="887"/>
      <c r="UIH48" s="887"/>
      <c r="UII48" s="887"/>
      <c r="UIJ48" s="887"/>
      <c r="UIK48" s="887"/>
      <c r="UIL48" s="887"/>
      <c r="UIM48" s="887"/>
      <c r="UIN48" s="887"/>
      <c r="UIO48" s="887"/>
      <c r="UIP48" s="887"/>
      <c r="UIQ48" s="887"/>
      <c r="UIR48" s="887"/>
      <c r="UIS48" s="887"/>
      <c r="UIT48" s="887"/>
      <c r="UIU48" s="887"/>
      <c r="UIV48" s="887"/>
      <c r="UIW48" s="887"/>
      <c r="UIX48" s="887"/>
      <c r="UIY48" s="887"/>
      <c r="UIZ48" s="887"/>
      <c r="UJA48" s="887"/>
      <c r="UJB48" s="887"/>
      <c r="UJC48" s="887"/>
      <c r="UJD48" s="887"/>
      <c r="UJE48" s="887"/>
      <c r="UJF48" s="887"/>
      <c r="UJG48" s="887"/>
      <c r="UJH48" s="887"/>
      <c r="UJI48" s="887"/>
      <c r="UJJ48" s="887"/>
      <c r="UJK48" s="887"/>
      <c r="UJL48" s="887"/>
      <c r="UJM48" s="887"/>
      <c r="UJN48" s="887"/>
      <c r="UJO48" s="887"/>
      <c r="UJP48" s="887"/>
      <c r="UJQ48" s="887"/>
      <c r="UJR48" s="887"/>
      <c r="UJS48" s="887"/>
      <c r="UJT48" s="887"/>
      <c r="UJU48" s="887"/>
      <c r="UJV48" s="887"/>
      <c r="UJW48" s="887"/>
      <c r="UJX48" s="887"/>
      <c r="UJY48" s="887"/>
      <c r="UJZ48" s="887"/>
      <c r="UKA48" s="887"/>
      <c r="UKB48" s="887"/>
      <c r="UKC48" s="887"/>
      <c r="UKD48" s="887"/>
      <c r="UKE48" s="887"/>
      <c r="UKF48" s="887"/>
      <c r="UKG48" s="887"/>
      <c r="UKH48" s="887"/>
      <c r="UKI48" s="887"/>
      <c r="UKJ48" s="887"/>
      <c r="UKK48" s="887"/>
      <c r="UKL48" s="887"/>
      <c r="UKM48" s="887"/>
      <c r="UKN48" s="887"/>
      <c r="UKO48" s="887"/>
      <c r="UKP48" s="887"/>
      <c r="UKQ48" s="887"/>
      <c r="UKR48" s="887"/>
      <c r="UKS48" s="887"/>
      <c r="UKT48" s="887"/>
      <c r="UKU48" s="887"/>
      <c r="UKV48" s="887"/>
      <c r="UKW48" s="887"/>
      <c r="UKX48" s="887"/>
      <c r="UKY48" s="887"/>
      <c r="UKZ48" s="887"/>
      <c r="ULA48" s="887"/>
      <c r="ULB48" s="887"/>
      <c r="ULC48" s="887"/>
      <c r="ULD48" s="887"/>
      <c r="ULE48" s="887"/>
      <c r="ULF48" s="887"/>
      <c r="ULG48" s="887"/>
      <c r="ULH48" s="887"/>
      <c r="ULI48" s="887"/>
      <c r="ULJ48" s="887"/>
      <c r="ULK48" s="887"/>
      <c r="ULL48" s="887"/>
      <c r="ULM48" s="887"/>
      <c r="ULN48" s="887"/>
      <c r="ULO48" s="887"/>
      <c r="ULP48" s="887"/>
      <c r="ULQ48" s="887"/>
      <c r="ULR48" s="887"/>
      <c r="ULS48" s="887"/>
      <c r="ULT48" s="887"/>
      <c r="ULU48" s="887"/>
      <c r="ULV48" s="887"/>
      <c r="ULW48" s="887"/>
      <c r="ULX48" s="887"/>
      <c r="ULY48" s="887"/>
      <c r="ULZ48" s="887"/>
      <c r="UMA48" s="887"/>
      <c r="UMB48" s="887"/>
      <c r="UMC48" s="887"/>
      <c r="UMD48" s="887"/>
      <c r="UME48" s="887"/>
      <c r="UMF48" s="887"/>
      <c r="UMG48" s="887"/>
      <c r="UMH48" s="887"/>
      <c r="UMI48" s="887"/>
      <c r="UMJ48" s="887"/>
      <c r="UMK48" s="887"/>
      <c r="UML48" s="887"/>
      <c r="UMM48" s="887"/>
      <c r="UMN48" s="887"/>
      <c r="UMO48" s="887"/>
      <c r="UMP48" s="887"/>
      <c r="UMQ48" s="887"/>
      <c r="UMR48" s="887"/>
      <c r="UMS48" s="887"/>
      <c r="UMT48" s="887"/>
      <c r="UMU48" s="887"/>
      <c r="UMV48" s="887"/>
      <c r="UMW48" s="887"/>
      <c r="UMX48" s="887"/>
      <c r="UMY48" s="887"/>
      <c r="UMZ48" s="887"/>
      <c r="UNA48" s="887"/>
      <c r="UNB48" s="887"/>
      <c r="UNC48" s="887"/>
      <c r="UND48" s="887"/>
      <c r="UNE48" s="887"/>
      <c r="UNF48" s="887"/>
      <c r="UNG48" s="887"/>
      <c r="UNH48" s="887"/>
      <c r="UNI48" s="887"/>
      <c r="UNJ48" s="887"/>
      <c r="UNK48" s="887"/>
      <c r="UNL48" s="887"/>
      <c r="UNM48" s="887"/>
      <c r="UNN48" s="887"/>
      <c r="UNO48" s="887"/>
      <c r="UNP48" s="887"/>
      <c r="UNQ48" s="887"/>
      <c r="UNR48" s="887"/>
      <c r="UNS48" s="887"/>
      <c r="UNT48" s="887"/>
      <c r="UNU48" s="887"/>
      <c r="UNV48" s="887"/>
      <c r="UNW48" s="887"/>
      <c r="UNX48" s="887"/>
      <c r="UNY48" s="887"/>
      <c r="UNZ48" s="887"/>
      <c r="UOA48" s="887"/>
      <c r="UOB48" s="887"/>
      <c r="UOC48" s="887"/>
      <c r="UOD48" s="887"/>
      <c r="UOE48" s="887"/>
      <c r="UOF48" s="887"/>
      <c r="UOG48" s="887"/>
      <c r="UOH48" s="887"/>
      <c r="UOI48" s="887"/>
      <c r="UOJ48" s="887"/>
      <c r="UOK48" s="887"/>
      <c r="UOL48" s="887"/>
      <c r="UOM48" s="887"/>
      <c r="UON48" s="887"/>
      <c r="UOO48" s="887"/>
      <c r="UOP48" s="887"/>
      <c r="UOQ48" s="887"/>
      <c r="UOR48" s="887"/>
      <c r="UOS48" s="887"/>
      <c r="UOT48" s="887"/>
      <c r="UOU48" s="887"/>
      <c r="UOV48" s="887"/>
      <c r="UOW48" s="887"/>
      <c r="UOX48" s="887"/>
      <c r="UOY48" s="887"/>
      <c r="UOZ48" s="887"/>
      <c r="UPA48" s="887"/>
      <c r="UPB48" s="887"/>
      <c r="UPC48" s="887"/>
      <c r="UPD48" s="887"/>
      <c r="UPE48" s="887"/>
      <c r="UPF48" s="887"/>
      <c r="UPG48" s="887"/>
      <c r="UPH48" s="887"/>
      <c r="UPI48" s="887"/>
      <c r="UPJ48" s="887"/>
      <c r="UPK48" s="887"/>
      <c r="UPL48" s="887"/>
      <c r="UPM48" s="887"/>
      <c r="UPN48" s="887"/>
      <c r="UPO48" s="887"/>
      <c r="UPP48" s="887"/>
      <c r="UPQ48" s="887"/>
      <c r="UPR48" s="887"/>
      <c r="UPS48" s="887"/>
      <c r="UPT48" s="887"/>
      <c r="UPU48" s="887"/>
      <c r="UPV48" s="887"/>
      <c r="UPW48" s="887"/>
      <c r="UPX48" s="887"/>
      <c r="UPY48" s="887"/>
      <c r="UPZ48" s="887"/>
      <c r="UQA48" s="887"/>
      <c r="UQB48" s="887"/>
      <c r="UQC48" s="887"/>
      <c r="UQD48" s="887"/>
      <c r="UQE48" s="887"/>
      <c r="UQF48" s="887"/>
      <c r="UQG48" s="887"/>
      <c r="UQH48" s="887"/>
      <c r="UQI48" s="887"/>
      <c r="UQJ48" s="887"/>
      <c r="UQK48" s="887"/>
      <c r="UQL48" s="887"/>
      <c r="UQM48" s="887"/>
      <c r="UQN48" s="887"/>
      <c r="UQO48" s="887"/>
      <c r="UQP48" s="887"/>
      <c r="UQQ48" s="887"/>
      <c r="UQR48" s="887"/>
      <c r="UQS48" s="887"/>
      <c r="UQT48" s="887"/>
      <c r="UQU48" s="887"/>
      <c r="UQV48" s="887"/>
      <c r="UQW48" s="887"/>
      <c r="UQX48" s="887"/>
      <c r="UQY48" s="887"/>
      <c r="UQZ48" s="887"/>
      <c r="URA48" s="887"/>
      <c r="URB48" s="887"/>
      <c r="URC48" s="887"/>
      <c r="URD48" s="887"/>
      <c r="URE48" s="887"/>
      <c r="URF48" s="887"/>
      <c r="URG48" s="887"/>
      <c r="URH48" s="887"/>
      <c r="URI48" s="887"/>
      <c r="URJ48" s="887"/>
      <c r="URK48" s="887"/>
      <c r="URL48" s="887"/>
      <c r="URM48" s="887"/>
      <c r="URN48" s="887"/>
      <c r="URO48" s="887"/>
      <c r="URP48" s="887"/>
      <c r="URQ48" s="887"/>
      <c r="URR48" s="887"/>
      <c r="URS48" s="887"/>
      <c r="URT48" s="887"/>
      <c r="URU48" s="887"/>
      <c r="URV48" s="887"/>
      <c r="URW48" s="887"/>
      <c r="URX48" s="887"/>
      <c r="URY48" s="887"/>
      <c r="URZ48" s="887"/>
      <c r="USA48" s="887"/>
      <c r="USB48" s="887"/>
      <c r="USC48" s="887"/>
      <c r="USD48" s="887"/>
      <c r="USE48" s="887"/>
      <c r="USF48" s="887"/>
      <c r="USG48" s="887"/>
      <c r="USH48" s="887"/>
      <c r="USI48" s="887"/>
      <c r="USJ48" s="887"/>
      <c r="USK48" s="887"/>
      <c r="USL48" s="887"/>
      <c r="USM48" s="887"/>
      <c r="USN48" s="887"/>
      <c r="USO48" s="887"/>
      <c r="USP48" s="887"/>
      <c r="USQ48" s="887"/>
      <c r="USR48" s="887"/>
      <c r="USS48" s="887"/>
      <c r="UST48" s="887"/>
      <c r="USU48" s="887"/>
      <c r="USV48" s="887"/>
      <c r="USW48" s="887"/>
      <c r="USX48" s="887"/>
      <c r="USY48" s="887"/>
      <c r="USZ48" s="887"/>
      <c r="UTA48" s="887"/>
      <c r="UTB48" s="887"/>
      <c r="UTC48" s="887"/>
      <c r="UTD48" s="887"/>
      <c r="UTE48" s="887"/>
      <c r="UTF48" s="887"/>
      <c r="UTG48" s="887"/>
      <c r="UTH48" s="887"/>
      <c r="UTI48" s="887"/>
      <c r="UTJ48" s="887"/>
      <c r="UTK48" s="887"/>
      <c r="UTL48" s="887"/>
      <c r="UTM48" s="887"/>
      <c r="UTN48" s="887"/>
      <c r="UTO48" s="887"/>
      <c r="UTP48" s="887"/>
      <c r="UTQ48" s="887"/>
      <c r="UTR48" s="887"/>
      <c r="UTS48" s="887"/>
      <c r="UTT48" s="887"/>
      <c r="UTU48" s="887"/>
      <c r="UTV48" s="887"/>
      <c r="UTW48" s="887"/>
      <c r="UTX48" s="887"/>
      <c r="UTY48" s="887"/>
      <c r="UTZ48" s="887"/>
      <c r="UUA48" s="887"/>
      <c r="UUB48" s="887"/>
      <c r="UUC48" s="887"/>
      <c r="UUD48" s="887"/>
      <c r="UUE48" s="887"/>
      <c r="UUF48" s="887"/>
      <c r="UUG48" s="887"/>
      <c r="UUH48" s="887"/>
      <c r="UUI48" s="887"/>
      <c r="UUJ48" s="887"/>
      <c r="UUK48" s="887"/>
      <c r="UUL48" s="887"/>
      <c r="UUM48" s="887"/>
      <c r="UUN48" s="887"/>
      <c r="UUO48" s="887"/>
      <c r="UUP48" s="887"/>
      <c r="UUQ48" s="887"/>
      <c r="UUR48" s="887"/>
      <c r="UUS48" s="887"/>
      <c r="UUT48" s="887"/>
      <c r="UUU48" s="887"/>
      <c r="UUV48" s="887"/>
      <c r="UUW48" s="887"/>
      <c r="UUX48" s="887"/>
      <c r="UUY48" s="887"/>
      <c r="UUZ48" s="887"/>
      <c r="UVA48" s="887"/>
      <c r="UVB48" s="887"/>
      <c r="UVC48" s="887"/>
      <c r="UVD48" s="887"/>
      <c r="UVE48" s="887"/>
      <c r="UVF48" s="887"/>
      <c r="UVG48" s="887"/>
      <c r="UVH48" s="887"/>
      <c r="UVI48" s="887"/>
      <c r="UVJ48" s="887"/>
      <c r="UVK48" s="887"/>
      <c r="UVL48" s="887"/>
      <c r="UVM48" s="887"/>
      <c r="UVN48" s="887"/>
      <c r="UVO48" s="887"/>
      <c r="UVP48" s="887"/>
      <c r="UVQ48" s="887"/>
      <c r="UVR48" s="887"/>
      <c r="UVS48" s="887"/>
      <c r="UVT48" s="887"/>
      <c r="UVU48" s="887"/>
      <c r="UVV48" s="887"/>
      <c r="UVW48" s="887"/>
      <c r="UVX48" s="887"/>
      <c r="UVY48" s="887"/>
      <c r="UVZ48" s="887"/>
      <c r="UWA48" s="887"/>
      <c r="UWB48" s="887"/>
      <c r="UWC48" s="887"/>
      <c r="UWD48" s="887"/>
      <c r="UWE48" s="887"/>
      <c r="UWF48" s="887"/>
      <c r="UWG48" s="887"/>
      <c r="UWH48" s="887"/>
      <c r="UWI48" s="887"/>
      <c r="UWJ48" s="887"/>
      <c r="UWK48" s="887"/>
      <c r="UWL48" s="887"/>
      <c r="UWM48" s="887"/>
      <c r="UWN48" s="887"/>
      <c r="UWO48" s="887"/>
      <c r="UWP48" s="887"/>
      <c r="UWQ48" s="887"/>
      <c r="UWR48" s="887"/>
      <c r="UWS48" s="887"/>
      <c r="UWT48" s="887"/>
      <c r="UWU48" s="887"/>
      <c r="UWV48" s="887"/>
      <c r="UWW48" s="887"/>
      <c r="UWX48" s="887"/>
      <c r="UWY48" s="887"/>
      <c r="UWZ48" s="887"/>
      <c r="UXA48" s="887"/>
      <c r="UXB48" s="887"/>
      <c r="UXC48" s="887"/>
      <c r="UXD48" s="887"/>
      <c r="UXE48" s="887"/>
      <c r="UXF48" s="887"/>
      <c r="UXG48" s="887"/>
      <c r="UXH48" s="887"/>
      <c r="UXI48" s="887"/>
      <c r="UXJ48" s="887"/>
      <c r="UXK48" s="887"/>
      <c r="UXL48" s="887"/>
      <c r="UXM48" s="887"/>
      <c r="UXN48" s="887"/>
      <c r="UXO48" s="887"/>
      <c r="UXP48" s="887"/>
      <c r="UXQ48" s="887"/>
      <c r="UXR48" s="887"/>
      <c r="UXS48" s="887"/>
      <c r="UXT48" s="887"/>
      <c r="UXU48" s="887"/>
      <c r="UXV48" s="887"/>
      <c r="UXW48" s="887"/>
      <c r="UXX48" s="887"/>
      <c r="UXY48" s="887"/>
      <c r="UXZ48" s="887"/>
      <c r="UYA48" s="887"/>
      <c r="UYB48" s="887"/>
      <c r="UYC48" s="887"/>
      <c r="UYD48" s="887"/>
      <c r="UYE48" s="887"/>
      <c r="UYF48" s="887"/>
      <c r="UYG48" s="887"/>
      <c r="UYH48" s="887"/>
      <c r="UYI48" s="887"/>
      <c r="UYJ48" s="887"/>
      <c r="UYK48" s="887"/>
      <c r="UYL48" s="887"/>
      <c r="UYM48" s="887"/>
      <c r="UYN48" s="887"/>
      <c r="UYO48" s="887"/>
      <c r="UYP48" s="887"/>
      <c r="UYQ48" s="887"/>
      <c r="UYR48" s="887"/>
      <c r="UYS48" s="887"/>
      <c r="UYT48" s="887"/>
      <c r="UYU48" s="887"/>
      <c r="UYV48" s="887"/>
      <c r="UYW48" s="887"/>
      <c r="UYX48" s="887"/>
      <c r="UYY48" s="887"/>
      <c r="UYZ48" s="887"/>
      <c r="UZA48" s="887"/>
      <c r="UZB48" s="887"/>
      <c r="UZC48" s="887"/>
      <c r="UZD48" s="887"/>
      <c r="UZE48" s="887"/>
      <c r="UZF48" s="887"/>
      <c r="UZG48" s="887"/>
      <c r="UZH48" s="887"/>
      <c r="UZI48" s="887"/>
      <c r="UZJ48" s="887"/>
      <c r="UZK48" s="887"/>
      <c r="UZL48" s="887"/>
      <c r="UZM48" s="887"/>
      <c r="UZN48" s="887"/>
      <c r="UZO48" s="887"/>
      <c r="UZP48" s="887"/>
      <c r="UZQ48" s="887"/>
      <c r="UZR48" s="887"/>
      <c r="UZS48" s="887"/>
      <c r="UZT48" s="887"/>
      <c r="UZU48" s="887"/>
      <c r="UZV48" s="887"/>
      <c r="UZW48" s="887"/>
      <c r="UZX48" s="887"/>
      <c r="UZY48" s="887"/>
      <c r="UZZ48" s="887"/>
      <c r="VAA48" s="887"/>
      <c r="VAB48" s="887"/>
      <c r="VAC48" s="887"/>
      <c r="VAD48" s="887"/>
      <c r="VAE48" s="887"/>
      <c r="VAF48" s="887"/>
      <c r="VAG48" s="887"/>
      <c r="VAH48" s="887"/>
      <c r="VAI48" s="887"/>
      <c r="VAJ48" s="887"/>
      <c r="VAK48" s="887"/>
      <c r="VAL48" s="887"/>
      <c r="VAM48" s="887"/>
      <c r="VAN48" s="887"/>
      <c r="VAO48" s="887"/>
      <c r="VAP48" s="887"/>
      <c r="VAQ48" s="887"/>
      <c r="VAR48" s="887"/>
      <c r="VAS48" s="887"/>
      <c r="VAT48" s="887"/>
      <c r="VAU48" s="887"/>
      <c r="VAV48" s="887"/>
      <c r="VAW48" s="887"/>
      <c r="VAX48" s="887"/>
      <c r="VAY48" s="887"/>
      <c r="VAZ48" s="887"/>
      <c r="VBA48" s="887"/>
      <c r="VBB48" s="887"/>
      <c r="VBC48" s="887"/>
      <c r="VBD48" s="887"/>
      <c r="VBE48" s="887"/>
      <c r="VBF48" s="887"/>
      <c r="VBG48" s="887"/>
      <c r="VBH48" s="887"/>
      <c r="VBI48" s="887"/>
      <c r="VBJ48" s="887"/>
      <c r="VBK48" s="887"/>
      <c r="VBL48" s="887"/>
      <c r="VBM48" s="887"/>
      <c r="VBN48" s="887"/>
      <c r="VBO48" s="887"/>
      <c r="VBP48" s="887"/>
      <c r="VBQ48" s="887"/>
      <c r="VBR48" s="887"/>
      <c r="VBS48" s="887"/>
      <c r="VBT48" s="887"/>
      <c r="VBU48" s="887"/>
      <c r="VBV48" s="887"/>
      <c r="VBW48" s="887"/>
      <c r="VBX48" s="887"/>
      <c r="VBY48" s="887"/>
      <c r="VBZ48" s="887"/>
      <c r="VCA48" s="887"/>
      <c r="VCB48" s="887"/>
      <c r="VCC48" s="887"/>
      <c r="VCD48" s="887"/>
      <c r="VCE48" s="887"/>
      <c r="VCF48" s="887"/>
      <c r="VCG48" s="887"/>
      <c r="VCH48" s="887"/>
      <c r="VCI48" s="887"/>
      <c r="VCJ48" s="887"/>
      <c r="VCK48" s="887"/>
      <c r="VCL48" s="887"/>
      <c r="VCM48" s="887"/>
      <c r="VCN48" s="887"/>
      <c r="VCO48" s="887"/>
      <c r="VCP48" s="887"/>
      <c r="VCQ48" s="887"/>
      <c r="VCR48" s="887"/>
      <c r="VCS48" s="887"/>
      <c r="VCT48" s="887"/>
      <c r="VCU48" s="887"/>
      <c r="VCV48" s="887"/>
      <c r="VCW48" s="887"/>
      <c r="VCX48" s="887"/>
      <c r="VCY48" s="887"/>
      <c r="VCZ48" s="887"/>
      <c r="VDA48" s="887"/>
      <c r="VDB48" s="887"/>
      <c r="VDC48" s="887"/>
      <c r="VDD48" s="887"/>
      <c r="VDE48" s="887"/>
      <c r="VDF48" s="887"/>
      <c r="VDG48" s="887"/>
      <c r="VDH48" s="887"/>
      <c r="VDI48" s="887"/>
      <c r="VDJ48" s="887"/>
      <c r="VDK48" s="887"/>
      <c r="VDL48" s="887"/>
      <c r="VDM48" s="887"/>
      <c r="VDN48" s="887"/>
      <c r="VDO48" s="887"/>
      <c r="VDP48" s="887"/>
      <c r="VDQ48" s="887"/>
      <c r="VDR48" s="887"/>
      <c r="VDS48" s="887"/>
      <c r="VDT48" s="887"/>
      <c r="VDU48" s="887"/>
      <c r="VDV48" s="887"/>
      <c r="VDW48" s="887"/>
      <c r="VDX48" s="887"/>
      <c r="VDY48" s="887"/>
      <c r="VDZ48" s="887"/>
      <c r="VEA48" s="887"/>
      <c r="VEB48" s="887"/>
      <c r="VEC48" s="887"/>
      <c r="VED48" s="887"/>
      <c r="VEE48" s="887"/>
      <c r="VEF48" s="887"/>
      <c r="VEG48" s="887"/>
      <c r="VEH48" s="887"/>
      <c r="VEI48" s="887"/>
      <c r="VEJ48" s="887"/>
      <c r="VEK48" s="887"/>
      <c r="VEL48" s="887"/>
      <c r="VEM48" s="887"/>
      <c r="VEN48" s="887"/>
      <c r="VEO48" s="887"/>
      <c r="VEP48" s="887"/>
      <c r="VEQ48" s="887"/>
      <c r="VER48" s="887"/>
      <c r="VES48" s="887"/>
      <c r="VET48" s="887"/>
      <c r="VEU48" s="887"/>
      <c r="VEV48" s="887"/>
      <c r="VEW48" s="887"/>
      <c r="VEX48" s="887"/>
      <c r="VEY48" s="887"/>
      <c r="VEZ48" s="887"/>
      <c r="VFA48" s="887"/>
      <c r="VFB48" s="887"/>
      <c r="VFC48" s="887"/>
      <c r="VFD48" s="887"/>
      <c r="VFE48" s="887"/>
      <c r="VFF48" s="887"/>
      <c r="VFG48" s="887"/>
      <c r="VFH48" s="887"/>
      <c r="VFI48" s="887"/>
      <c r="VFJ48" s="887"/>
      <c r="VFK48" s="887"/>
      <c r="VFL48" s="887"/>
      <c r="VFM48" s="887"/>
      <c r="VFN48" s="887"/>
      <c r="VFO48" s="887"/>
      <c r="VFP48" s="887"/>
      <c r="VFQ48" s="887"/>
      <c r="VFR48" s="887"/>
      <c r="VFS48" s="887"/>
      <c r="VFT48" s="887"/>
      <c r="VFU48" s="887"/>
      <c r="VFV48" s="887"/>
      <c r="VFW48" s="887"/>
      <c r="VFX48" s="887"/>
      <c r="VFY48" s="887"/>
      <c r="VFZ48" s="887"/>
      <c r="VGA48" s="887"/>
      <c r="VGB48" s="887"/>
      <c r="VGC48" s="887"/>
      <c r="VGD48" s="887"/>
      <c r="VGE48" s="887"/>
      <c r="VGF48" s="887"/>
      <c r="VGG48" s="887"/>
      <c r="VGH48" s="887"/>
      <c r="VGI48" s="887"/>
      <c r="VGJ48" s="887"/>
      <c r="VGK48" s="887"/>
      <c r="VGL48" s="887"/>
      <c r="VGM48" s="887"/>
      <c r="VGN48" s="887"/>
      <c r="VGO48" s="887"/>
      <c r="VGP48" s="887"/>
      <c r="VGQ48" s="887"/>
      <c r="VGR48" s="887"/>
      <c r="VGS48" s="887"/>
      <c r="VGT48" s="887"/>
      <c r="VGU48" s="887"/>
      <c r="VGV48" s="887"/>
      <c r="VGW48" s="887"/>
      <c r="VGX48" s="887"/>
      <c r="VGY48" s="887"/>
      <c r="VGZ48" s="887"/>
      <c r="VHA48" s="887"/>
      <c r="VHB48" s="887"/>
      <c r="VHC48" s="887"/>
      <c r="VHD48" s="887"/>
      <c r="VHE48" s="887"/>
      <c r="VHF48" s="887"/>
      <c r="VHG48" s="887"/>
      <c r="VHH48" s="887"/>
      <c r="VHI48" s="887"/>
      <c r="VHJ48" s="887"/>
      <c r="VHK48" s="887"/>
      <c r="VHL48" s="887"/>
      <c r="VHM48" s="887"/>
      <c r="VHN48" s="887"/>
      <c r="VHO48" s="887"/>
      <c r="VHP48" s="887"/>
      <c r="VHQ48" s="887"/>
      <c r="VHR48" s="887"/>
      <c r="VHS48" s="887"/>
      <c r="VHT48" s="887"/>
      <c r="VHU48" s="887"/>
      <c r="VHV48" s="887"/>
      <c r="VHW48" s="887"/>
      <c r="VHX48" s="887"/>
      <c r="VHY48" s="887"/>
      <c r="VHZ48" s="887"/>
      <c r="VIA48" s="887"/>
      <c r="VIB48" s="887"/>
      <c r="VIC48" s="887"/>
      <c r="VID48" s="887"/>
      <c r="VIE48" s="887"/>
      <c r="VIF48" s="887"/>
      <c r="VIG48" s="887"/>
      <c r="VIH48" s="887"/>
      <c r="VII48" s="887"/>
      <c r="VIJ48" s="887"/>
      <c r="VIK48" s="887"/>
      <c r="VIL48" s="887"/>
      <c r="VIM48" s="887"/>
      <c r="VIN48" s="887"/>
      <c r="VIO48" s="887"/>
      <c r="VIP48" s="887"/>
      <c r="VIQ48" s="887"/>
      <c r="VIR48" s="887"/>
      <c r="VIS48" s="887"/>
      <c r="VIT48" s="887"/>
      <c r="VIU48" s="887"/>
      <c r="VIV48" s="887"/>
      <c r="VIW48" s="887"/>
      <c r="VIX48" s="887"/>
      <c r="VIY48" s="887"/>
      <c r="VIZ48" s="887"/>
      <c r="VJA48" s="887"/>
      <c r="VJB48" s="887"/>
      <c r="VJC48" s="887"/>
      <c r="VJD48" s="887"/>
      <c r="VJE48" s="887"/>
      <c r="VJF48" s="887"/>
      <c r="VJG48" s="887"/>
      <c r="VJH48" s="887"/>
      <c r="VJI48" s="887"/>
      <c r="VJJ48" s="887"/>
      <c r="VJK48" s="887"/>
      <c r="VJL48" s="887"/>
      <c r="VJM48" s="887"/>
      <c r="VJN48" s="887"/>
      <c r="VJO48" s="887"/>
      <c r="VJP48" s="887"/>
      <c r="VJQ48" s="887"/>
      <c r="VJR48" s="887"/>
      <c r="VJS48" s="887"/>
      <c r="VJT48" s="887"/>
      <c r="VJU48" s="887"/>
      <c r="VJV48" s="887"/>
      <c r="VJW48" s="887"/>
      <c r="VJX48" s="887"/>
      <c r="VJY48" s="887"/>
      <c r="VJZ48" s="887"/>
      <c r="VKA48" s="887"/>
      <c r="VKB48" s="887"/>
      <c r="VKC48" s="887"/>
      <c r="VKD48" s="887"/>
      <c r="VKE48" s="887"/>
      <c r="VKF48" s="887"/>
      <c r="VKG48" s="887"/>
      <c r="VKH48" s="887"/>
      <c r="VKI48" s="887"/>
      <c r="VKJ48" s="887"/>
      <c r="VKK48" s="887"/>
      <c r="VKL48" s="887"/>
      <c r="VKM48" s="887"/>
      <c r="VKN48" s="887"/>
      <c r="VKO48" s="887"/>
      <c r="VKP48" s="887"/>
      <c r="VKQ48" s="887"/>
      <c r="VKR48" s="887"/>
      <c r="VKS48" s="887"/>
      <c r="VKT48" s="887"/>
      <c r="VKU48" s="887"/>
      <c r="VKV48" s="887"/>
      <c r="VKW48" s="887"/>
      <c r="VKX48" s="887"/>
      <c r="VKY48" s="887"/>
      <c r="VKZ48" s="887"/>
      <c r="VLA48" s="887"/>
      <c r="VLB48" s="887"/>
      <c r="VLC48" s="887"/>
      <c r="VLD48" s="887"/>
      <c r="VLE48" s="887"/>
      <c r="VLF48" s="887"/>
      <c r="VLG48" s="887"/>
      <c r="VLH48" s="887"/>
      <c r="VLI48" s="887"/>
      <c r="VLJ48" s="887"/>
      <c r="VLK48" s="887"/>
      <c r="VLL48" s="887"/>
      <c r="VLM48" s="887"/>
      <c r="VLN48" s="887"/>
      <c r="VLO48" s="887"/>
      <c r="VLP48" s="887"/>
      <c r="VLQ48" s="887"/>
      <c r="VLR48" s="887"/>
      <c r="VLS48" s="887"/>
      <c r="VLT48" s="887"/>
      <c r="VLU48" s="887"/>
      <c r="VLV48" s="887"/>
      <c r="VLW48" s="887"/>
      <c r="VLX48" s="887"/>
      <c r="VLY48" s="887"/>
      <c r="VLZ48" s="887"/>
      <c r="VMA48" s="887"/>
      <c r="VMB48" s="887"/>
      <c r="VMC48" s="887"/>
      <c r="VMD48" s="887"/>
      <c r="VME48" s="887"/>
      <c r="VMF48" s="887"/>
      <c r="VMG48" s="887"/>
      <c r="VMH48" s="887"/>
      <c r="VMI48" s="887"/>
      <c r="VMJ48" s="887"/>
      <c r="VMK48" s="887"/>
      <c r="VML48" s="887"/>
      <c r="VMM48" s="887"/>
      <c r="VMN48" s="887"/>
      <c r="VMO48" s="887"/>
      <c r="VMP48" s="887"/>
      <c r="VMQ48" s="887"/>
      <c r="VMR48" s="887"/>
      <c r="VMS48" s="887"/>
      <c r="VMT48" s="887"/>
      <c r="VMU48" s="887"/>
      <c r="VMV48" s="887"/>
      <c r="VMW48" s="887"/>
      <c r="VMX48" s="887"/>
      <c r="VMY48" s="887"/>
      <c r="VMZ48" s="887"/>
      <c r="VNA48" s="887"/>
      <c r="VNB48" s="887"/>
      <c r="VNC48" s="887"/>
      <c r="VND48" s="887"/>
      <c r="VNE48" s="887"/>
      <c r="VNF48" s="887"/>
      <c r="VNG48" s="887"/>
      <c r="VNH48" s="887"/>
      <c r="VNI48" s="887"/>
      <c r="VNJ48" s="887"/>
      <c r="VNK48" s="887"/>
      <c r="VNL48" s="887"/>
      <c r="VNM48" s="887"/>
      <c r="VNN48" s="887"/>
      <c r="VNO48" s="887"/>
      <c r="VNP48" s="887"/>
      <c r="VNQ48" s="887"/>
      <c r="VNR48" s="887"/>
      <c r="VNS48" s="887"/>
      <c r="VNT48" s="887"/>
      <c r="VNU48" s="887"/>
      <c r="VNV48" s="887"/>
      <c r="VNW48" s="887"/>
      <c r="VNX48" s="887"/>
      <c r="VNY48" s="887"/>
      <c r="VNZ48" s="887"/>
      <c r="VOA48" s="887"/>
      <c r="VOB48" s="887"/>
      <c r="VOC48" s="887"/>
      <c r="VOD48" s="887"/>
      <c r="VOE48" s="887"/>
      <c r="VOF48" s="887"/>
      <c r="VOG48" s="887"/>
      <c r="VOH48" s="887"/>
      <c r="VOI48" s="887"/>
      <c r="VOJ48" s="887"/>
      <c r="VOK48" s="887"/>
      <c r="VOL48" s="887"/>
      <c r="VOM48" s="887"/>
      <c r="VON48" s="887"/>
      <c r="VOO48" s="887"/>
      <c r="VOP48" s="887"/>
      <c r="VOQ48" s="887"/>
      <c r="VOR48" s="887"/>
      <c r="VOS48" s="887"/>
      <c r="VOT48" s="887"/>
      <c r="VOU48" s="887"/>
      <c r="VOV48" s="887"/>
      <c r="VOW48" s="887"/>
      <c r="VOX48" s="887"/>
      <c r="VOY48" s="887"/>
      <c r="VOZ48" s="887"/>
      <c r="VPA48" s="887"/>
      <c r="VPB48" s="887"/>
      <c r="VPC48" s="887"/>
      <c r="VPD48" s="887"/>
      <c r="VPE48" s="887"/>
      <c r="VPF48" s="887"/>
      <c r="VPG48" s="887"/>
      <c r="VPH48" s="887"/>
      <c r="VPI48" s="887"/>
      <c r="VPJ48" s="887"/>
      <c r="VPK48" s="887"/>
      <c r="VPL48" s="887"/>
      <c r="VPM48" s="887"/>
      <c r="VPN48" s="887"/>
      <c r="VPO48" s="887"/>
      <c r="VPP48" s="887"/>
      <c r="VPQ48" s="887"/>
      <c r="VPR48" s="887"/>
      <c r="VPS48" s="887"/>
      <c r="VPT48" s="887"/>
      <c r="VPU48" s="887"/>
      <c r="VPV48" s="887"/>
      <c r="VPW48" s="887"/>
      <c r="VPX48" s="887"/>
      <c r="VPY48" s="887"/>
      <c r="VPZ48" s="887"/>
      <c r="VQA48" s="887"/>
      <c r="VQB48" s="887"/>
      <c r="VQC48" s="887"/>
      <c r="VQD48" s="887"/>
      <c r="VQE48" s="887"/>
      <c r="VQF48" s="887"/>
      <c r="VQG48" s="887"/>
      <c r="VQH48" s="887"/>
      <c r="VQI48" s="887"/>
      <c r="VQJ48" s="887"/>
      <c r="VQK48" s="887"/>
      <c r="VQL48" s="887"/>
      <c r="VQM48" s="887"/>
      <c r="VQN48" s="887"/>
      <c r="VQO48" s="887"/>
      <c r="VQP48" s="887"/>
      <c r="VQQ48" s="887"/>
      <c r="VQR48" s="887"/>
      <c r="VQS48" s="887"/>
      <c r="VQT48" s="887"/>
      <c r="VQU48" s="887"/>
      <c r="VQV48" s="887"/>
      <c r="VQW48" s="887"/>
      <c r="VQX48" s="887"/>
      <c r="VQY48" s="887"/>
      <c r="VQZ48" s="887"/>
      <c r="VRA48" s="887"/>
      <c r="VRB48" s="887"/>
      <c r="VRC48" s="887"/>
      <c r="VRD48" s="887"/>
      <c r="VRE48" s="887"/>
      <c r="VRF48" s="887"/>
      <c r="VRG48" s="887"/>
      <c r="VRH48" s="887"/>
      <c r="VRI48" s="887"/>
      <c r="VRJ48" s="887"/>
      <c r="VRK48" s="887"/>
      <c r="VRL48" s="887"/>
      <c r="VRM48" s="887"/>
      <c r="VRN48" s="887"/>
      <c r="VRO48" s="887"/>
      <c r="VRP48" s="887"/>
      <c r="VRQ48" s="887"/>
      <c r="VRR48" s="887"/>
      <c r="VRS48" s="887"/>
      <c r="VRT48" s="887"/>
      <c r="VRU48" s="887"/>
      <c r="VRV48" s="887"/>
      <c r="VRW48" s="887"/>
      <c r="VRX48" s="887"/>
      <c r="VRY48" s="887"/>
      <c r="VRZ48" s="887"/>
      <c r="VSA48" s="887"/>
      <c r="VSB48" s="887"/>
      <c r="VSC48" s="887"/>
      <c r="VSD48" s="887"/>
      <c r="VSE48" s="887"/>
      <c r="VSF48" s="887"/>
      <c r="VSG48" s="887"/>
      <c r="VSH48" s="887"/>
      <c r="VSI48" s="887"/>
      <c r="VSJ48" s="887"/>
      <c r="VSK48" s="887"/>
      <c r="VSL48" s="887"/>
      <c r="VSM48" s="887"/>
      <c r="VSN48" s="887"/>
      <c r="VSO48" s="887"/>
      <c r="VSP48" s="887"/>
      <c r="VSQ48" s="887"/>
      <c r="VSR48" s="887"/>
      <c r="VSS48" s="887"/>
      <c r="VST48" s="887"/>
      <c r="VSU48" s="887"/>
      <c r="VSV48" s="887"/>
      <c r="VSW48" s="887"/>
      <c r="VSX48" s="887"/>
      <c r="VSY48" s="887"/>
      <c r="VSZ48" s="887"/>
      <c r="VTA48" s="887"/>
      <c r="VTB48" s="887"/>
      <c r="VTC48" s="887"/>
      <c r="VTD48" s="887"/>
      <c r="VTE48" s="887"/>
      <c r="VTF48" s="887"/>
      <c r="VTG48" s="887"/>
      <c r="VTH48" s="887"/>
      <c r="VTI48" s="887"/>
      <c r="VTJ48" s="887"/>
      <c r="VTK48" s="887"/>
      <c r="VTL48" s="887"/>
      <c r="VTM48" s="887"/>
      <c r="VTN48" s="887"/>
      <c r="VTO48" s="887"/>
      <c r="VTP48" s="887"/>
      <c r="VTQ48" s="887"/>
      <c r="VTR48" s="887"/>
      <c r="VTS48" s="887"/>
      <c r="VTT48" s="887"/>
      <c r="VTU48" s="887"/>
      <c r="VTV48" s="887"/>
      <c r="VTW48" s="887"/>
      <c r="VTX48" s="887"/>
      <c r="VTY48" s="887"/>
      <c r="VTZ48" s="887"/>
      <c r="VUA48" s="887"/>
      <c r="VUB48" s="887"/>
      <c r="VUC48" s="887"/>
      <c r="VUD48" s="887"/>
      <c r="VUE48" s="887"/>
      <c r="VUF48" s="887"/>
      <c r="VUG48" s="887"/>
      <c r="VUH48" s="887"/>
      <c r="VUI48" s="887"/>
      <c r="VUJ48" s="887"/>
      <c r="VUK48" s="887"/>
      <c r="VUL48" s="887"/>
      <c r="VUM48" s="887"/>
      <c r="VUN48" s="887"/>
      <c r="VUO48" s="887"/>
      <c r="VUP48" s="887"/>
      <c r="VUQ48" s="887"/>
      <c r="VUR48" s="887"/>
      <c r="VUS48" s="887"/>
      <c r="VUT48" s="887"/>
      <c r="VUU48" s="887"/>
      <c r="VUV48" s="887"/>
      <c r="VUW48" s="887"/>
      <c r="VUX48" s="887"/>
      <c r="VUY48" s="887"/>
      <c r="VUZ48" s="887"/>
      <c r="VVA48" s="887"/>
      <c r="VVB48" s="887"/>
      <c r="VVC48" s="887"/>
      <c r="VVD48" s="887"/>
      <c r="VVE48" s="887"/>
      <c r="VVF48" s="887"/>
      <c r="VVG48" s="887"/>
      <c r="VVH48" s="887"/>
      <c r="VVI48" s="887"/>
      <c r="VVJ48" s="887"/>
      <c r="VVK48" s="887"/>
      <c r="VVL48" s="887"/>
      <c r="VVM48" s="887"/>
      <c r="VVN48" s="887"/>
      <c r="VVO48" s="887"/>
      <c r="VVP48" s="887"/>
      <c r="VVQ48" s="887"/>
      <c r="VVR48" s="887"/>
      <c r="VVS48" s="887"/>
      <c r="VVT48" s="887"/>
      <c r="VVU48" s="887"/>
      <c r="VVV48" s="887"/>
      <c r="VVW48" s="887"/>
      <c r="VVX48" s="887"/>
      <c r="VVY48" s="887"/>
      <c r="VVZ48" s="887"/>
      <c r="VWA48" s="887"/>
      <c r="VWB48" s="887"/>
      <c r="VWC48" s="887"/>
      <c r="VWD48" s="887"/>
      <c r="VWE48" s="887"/>
      <c r="VWF48" s="887"/>
      <c r="VWG48" s="887"/>
      <c r="VWH48" s="887"/>
      <c r="VWI48" s="887"/>
      <c r="VWJ48" s="887"/>
      <c r="VWK48" s="887"/>
      <c r="VWL48" s="887"/>
      <c r="VWM48" s="887"/>
      <c r="VWN48" s="887"/>
      <c r="VWO48" s="887"/>
      <c r="VWP48" s="887"/>
      <c r="VWQ48" s="887"/>
      <c r="VWR48" s="887"/>
      <c r="VWS48" s="887"/>
      <c r="VWT48" s="887"/>
      <c r="VWU48" s="887"/>
      <c r="VWV48" s="887"/>
      <c r="VWW48" s="887"/>
      <c r="VWX48" s="887"/>
      <c r="VWY48" s="887"/>
      <c r="VWZ48" s="887"/>
      <c r="VXA48" s="887"/>
      <c r="VXB48" s="887"/>
      <c r="VXC48" s="887"/>
      <c r="VXD48" s="887"/>
      <c r="VXE48" s="887"/>
      <c r="VXF48" s="887"/>
      <c r="VXG48" s="887"/>
      <c r="VXH48" s="887"/>
      <c r="VXI48" s="887"/>
      <c r="VXJ48" s="887"/>
      <c r="VXK48" s="887"/>
      <c r="VXL48" s="887"/>
      <c r="VXM48" s="887"/>
      <c r="VXN48" s="887"/>
      <c r="VXO48" s="887"/>
      <c r="VXP48" s="887"/>
      <c r="VXQ48" s="887"/>
      <c r="VXR48" s="887"/>
      <c r="VXS48" s="887"/>
      <c r="VXT48" s="887"/>
      <c r="VXU48" s="887"/>
      <c r="VXV48" s="887"/>
      <c r="VXW48" s="887"/>
      <c r="VXX48" s="887"/>
      <c r="VXY48" s="887"/>
      <c r="VXZ48" s="887"/>
      <c r="VYA48" s="887"/>
      <c r="VYB48" s="887"/>
      <c r="VYC48" s="887"/>
      <c r="VYD48" s="887"/>
      <c r="VYE48" s="887"/>
      <c r="VYF48" s="887"/>
      <c r="VYG48" s="887"/>
      <c r="VYH48" s="887"/>
      <c r="VYI48" s="887"/>
      <c r="VYJ48" s="887"/>
      <c r="VYK48" s="887"/>
      <c r="VYL48" s="887"/>
      <c r="VYM48" s="887"/>
      <c r="VYN48" s="887"/>
      <c r="VYO48" s="887"/>
      <c r="VYP48" s="887"/>
      <c r="VYQ48" s="887"/>
      <c r="VYR48" s="887"/>
      <c r="VYS48" s="887"/>
      <c r="VYT48" s="887"/>
      <c r="VYU48" s="887"/>
      <c r="VYV48" s="887"/>
      <c r="VYW48" s="887"/>
      <c r="VYX48" s="887"/>
      <c r="VYY48" s="887"/>
      <c r="VYZ48" s="887"/>
      <c r="VZA48" s="887"/>
      <c r="VZB48" s="887"/>
      <c r="VZC48" s="887"/>
      <c r="VZD48" s="887"/>
      <c r="VZE48" s="887"/>
      <c r="VZF48" s="887"/>
      <c r="VZG48" s="887"/>
      <c r="VZH48" s="887"/>
      <c r="VZI48" s="887"/>
      <c r="VZJ48" s="887"/>
      <c r="VZK48" s="887"/>
      <c r="VZL48" s="887"/>
      <c r="VZM48" s="887"/>
      <c r="VZN48" s="887"/>
      <c r="VZO48" s="887"/>
      <c r="VZP48" s="887"/>
      <c r="VZQ48" s="887"/>
      <c r="VZR48" s="887"/>
      <c r="VZS48" s="887"/>
      <c r="VZT48" s="887"/>
      <c r="VZU48" s="887"/>
      <c r="VZV48" s="887"/>
      <c r="VZW48" s="887"/>
      <c r="VZX48" s="887"/>
      <c r="VZY48" s="887"/>
      <c r="VZZ48" s="887"/>
      <c r="WAA48" s="887"/>
      <c r="WAB48" s="887"/>
      <c r="WAC48" s="887"/>
      <c r="WAD48" s="887"/>
      <c r="WAE48" s="887"/>
      <c r="WAF48" s="887"/>
      <c r="WAG48" s="887"/>
      <c r="WAH48" s="887"/>
      <c r="WAI48" s="887"/>
      <c r="WAJ48" s="887"/>
      <c r="WAK48" s="887"/>
      <c r="WAL48" s="887"/>
      <c r="WAM48" s="887"/>
      <c r="WAN48" s="887"/>
      <c r="WAO48" s="887"/>
      <c r="WAP48" s="887"/>
      <c r="WAQ48" s="887"/>
      <c r="WAR48" s="887"/>
      <c r="WAS48" s="887"/>
      <c r="WAT48" s="887"/>
      <c r="WAU48" s="887"/>
      <c r="WAV48" s="887"/>
      <c r="WAW48" s="887"/>
      <c r="WAX48" s="887"/>
      <c r="WAY48" s="887"/>
      <c r="WAZ48" s="887"/>
      <c r="WBA48" s="887"/>
      <c r="WBB48" s="887"/>
      <c r="WBC48" s="887"/>
      <c r="WBD48" s="887"/>
      <c r="WBE48" s="887"/>
      <c r="WBF48" s="887"/>
      <c r="WBG48" s="887"/>
      <c r="WBH48" s="887"/>
      <c r="WBI48" s="887"/>
      <c r="WBJ48" s="887"/>
      <c r="WBK48" s="887"/>
      <c r="WBL48" s="887"/>
      <c r="WBM48" s="887"/>
      <c r="WBN48" s="887"/>
      <c r="WBO48" s="887"/>
      <c r="WBP48" s="887"/>
      <c r="WBQ48" s="887"/>
      <c r="WBR48" s="887"/>
      <c r="WBS48" s="887"/>
      <c r="WBT48" s="887"/>
      <c r="WBU48" s="887"/>
      <c r="WBV48" s="887"/>
      <c r="WBW48" s="887"/>
      <c r="WBX48" s="887"/>
      <c r="WBY48" s="887"/>
      <c r="WBZ48" s="887"/>
      <c r="WCA48" s="887"/>
      <c r="WCB48" s="887"/>
      <c r="WCC48" s="887"/>
      <c r="WCD48" s="887"/>
      <c r="WCE48" s="887"/>
      <c r="WCF48" s="887"/>
      <c r="WCG48" s="887"/>
      <c r="WCH48" s="887"/>
      <c r="WCI48" s="887"/>
      <c r="WCJ48" s="887"/>
      <c r="WCK48" s="887"/>
      <c r="WCL48" s="887"/>
      <c r="WCM48" s="887"/>
      <c r="WCN48" s="887"/>
      <c r="WCO48" s="887"/>
      <c r="WCP48" s="887"/>
      <c r="WCQ48" s="887"/>
      <c r="WCR48" s="887"/>
      <c r="WCS48" s="887"/>
      <c r="WCT48" s="887"/>
      <c r="WCU48" s="887"/>
      <c r="WCV48" s="887"/>
      <c r="WCW48" s="887"/>
      <c r="WCX48" s="887"/>
      <c r="WCY48" s="887"/>
      <c r="WCZ48" s="887"/>
      <c r="WDA48" s="887"/>
      <c r="WDB48" s="887"/>
      <c r="WDC48" s="887"/>
      <c r="WDD48" s="887"/>
      <c r="WDE48" s="887"/>
      <c r="WDF48" s="887"/>
      <c r="WDG48" s="887"/>
      <c r="WDH48" s="887"/>
      <c r="WDI48" s="887"/>
      <c r="WDJ48" s="887"/>
      <c r="WDK48" s="887"/>
      <c r="WDL48" s="887"/>
      <c r="WDM48" s="887"/>
      <c r="WDN48" s="887"/>
      <c r="WDO48" s="887"/>
      <c r="WDP48" s="887"/>
      <c r="WDQ48" s="887"/>
      <c r="WDR48" s="887"/>
      <c r="WDS48" s="887"/>
      <c r="WDT48" s="887"/>
      <c r="WDU48" s="887"/>
      <c r="WDV48" s="887"/>
      <c r="WDW48" s="887"/>
      <c r="WDX48" s="887"/>
      <c r="WDY48" s="887"/>
      <c r="WDZ48" s="887"/>
      <c r="WEA48" s="887"/>
      <c r="WEB48" s="887"/>
      <c r="WEC48" s="887"/>
      <c r="WED48" s="887"/>
      <c r="WEE48" s="887"/>
      <c r="WEF48" s="887"/>
      <c r="WEG48" s="887"/>
      <c r="WEH48" s="887"/>
      <c r="WEI48" s="887"/>
      <c r="WEJ48" s="887"/>
      <c r="WEK48" s="887"/>
      <c r="WEL48" s="887"/>
      <c r="WEM48" s="887"/>
      <c r="WEN48" s="887"/>
      <c r="WEO48" s="887"/>
      <c r="WEP48" s="887"/>
      <c r="WEQ48" s="887"/>
      <c r="WER48" s="887"/>
      <c r="WES48" s="887"/>
      <c r="WET48" s="887"/>
      <c r="WEU48" s="887"/>
      <c r="WEV48" s="887"/>
      <c r="WEW48" s="887"/>
      <c r="WEX48" s="887"/>
      <c r="WEY48" s="887"/>
      <c r="WEZ48" s="887"/>
      <c r="WFA48" s="887"/>
      <c r="WFB48" s="887"/>
      <c r="WFC48" s="887"/>
      <c r="WFD48" s="887"/>
      <c r="WFE48" s="887"/>
      <c r="WFF48" s="887"/>
      <c r="WFG48" s="887"/>
      <c r="WFH48" s="887"/>
      <c r="WFI48" s="887"/>
      <c r="WFJ48" s="887"/>
      <c r="WFK48" s="887"/>
      <c r="WFL48" s="887"/>
      <c r="WFM48" s="887"/>
      <c r="WFN48" s="887"/>
      <c r="WFO48" s="887"/>
      <c r="WFP48" s="887"/>
      <c r="WFQ48" s="887"/>
      <c r="WFR48" s="887"/>
      <c r="WFS48" s="887"/>
      <c r="WFT48" s="887"/>
      <c r="WFU48" s="887"/>
      <c r="WFV48" s="887"/>
      <c r="WFW48" s="887"/>
      <c r="WFX48" s="887"/>
      <c r="WFY48" s="887"/>
      <c r="WFZ48" s="887"/>
      <c r="WGA48" s="887"/>
      <c r="WGB48" s="887"/>
      <c r="WGC48" s="887"/>
      <c r="WGD48" s="887"/>
      <c r="WGE48" s="887"/>
      <c r="WGF48" s="887"/>
      <c r="WGG48" s="887"/>
      <c r="WGH48" s="887"/>
      <c r="WGI48" s="887"/>
      <c r="WGJ48" s="887"/>
      <c r="WGK48" s="887"/>
      <c r="WGL48" s="887"/>
      <c r="WGM48" s="887"/>
      <c r="WGN48" s="887"/>
      <c r="WGO48" s="887"/>
      <c r="WGP48" s="887"/>
      <c r="WGQ48" s="887"/>
      <c r="WGR48" s="887"/>
      <c r="WGS48" s="887"/>
      <c r="WGT48" s="887"/>
      <c r="WGU48" s="887"/>
      <c r="WGV48" s="887"/>
      <c r="WGW48" s="887"/>
      <c r="WGX48" s="887"/>
      <c r="WGY48" s="887"/>
      <c r="WGZ48" s="887"/>
      <c r="WHA48" s="887"/>
      <c r="WHB48" s="887"/>
      <c r="WHC48" s="887"/>
      <c r="WHD48" s="887"/>
      <c r="WHE48" s="887"/>
      <c r="WHF48" s="887"/>
      <c r="WHG48" s="887"/>
      <c r="WHH48" s="887"/>
      <c r="WHI48" s="887"/>
      <c r="WHJ48" s="887"/>
      <c r="WHK48" s="887"/>
      <c r="WHL48" s="887"/>
      <c r="WHM48" s="887"/>
      <c r="WHN48" s="887"/>
      <c r="WHO48" s="887"/>
      <c r="WHP48" s="887"/>
      <c r="WHQ48" s="887"/>
      <c r="WHR48" s="887"/>
      <c r="WHS48" s="887"/>
      <c r="WHT48" s="887"/>
      <c r="WHU48" s="887"/>
      <c r="WHV48" s="887"/>
      <c r="WHW48" s="887"/>
      <c r="WHX48" s="887"/>
      <c r="WHY48" s="887"/>
      <c r="WHZ48" s="887"/>
      <c r="WIA48" s="887"/>
      <c r="WIB48" s="887"/>
      <c r="WIC48" s="887"/>
      <c r="WID48" s="887"/>
      <c r="WIE48" s="887"/>
      <c r="WIF48" s="887"/>
      <c r="WIG48" s="887"/>
      <c r="WIH48" s="887"/>
      <c r="WII48" s="887"/>
      <c r="WIJ48" s="887"/>
      <c r="WIK48" s="887"/>
      <c r="WIL48" s="887"/>
      <c r="WIM48" s="887"/>
      <c r="WIN48" s="887"/>
      <c r="WIO48" s="887"/>
      <c r="WIP48" s="887"/>
      <c r="WIQ48" s="887"/>
      <c r="WIR48" s="887"/>
      <c r="WIS48" s="887"/>
      <c r="WIT48" s="887"/>
      <c r="WIU48" s="887"/>
      <c r="WIV48" s="887"/>
      <c r="WIW48" s="887"/>
      <c r="WIX48" s="887"/>
      <c r="WIY48" s="887"/>
      <c r="WIZ48" s="887"/>
      <c r="WJA48" s="887"/>
      <c r="WJB48" s="887"/>
      <c r="WJC48" s="887"/>
      <c r="WJD48" s="887"/>
      <c r="WJE48" s="887"/>
      <c r="WJF48" s="887"/>
      <c r="WJG48" s="887"/>
      <c r="WJH48" s="887"/>
      <c r="WJI48" s="887"/>
      <c r="WJJ48" s="887"/>
      <c r="WJK48" s="887"/>
      <c r="WJL48" s="887"/>
      <c r="WJM48" s="887"/>
      <c r="WJN48" s="887"/>
      <c r="WJO48" s="887"/>
      <c r="WJP48" s="887"/>
      <c r="WJQ48" s="887"/>
      <c r="WJR48" s="887"/>
      <c r="WJS48" s="887"/>
      <c r="WJT48" s="887"/>
      <c r="WJU48" s="887"/>
      <c r="WJV48" s="887"/>
      <c r="WJW48" s="887"/>
      <c r="WJX48" s="887"/>
      <c r="WJY48" s="887"/>
      <c r="WJZ48" s="887"/>
      <c r="WKA48" s="887"/>
      <c r="WKB48" s="887"/>
      <c r="WKC48" s="887"/>
      <c r="WKD48" s="887"/>
      <c r="WKE48" s="887"/>
      <c r="WKF48" s="887"/>
      <c r="WKG48" s="887"/>
      <c r="WKH48" s="887"/>
      <c r="WKI48" s="887"/>
      <c r="WKJ48" s="887"/>
      <c r="WKK48" s="887"/>
      <c r="WKL48" s="887"/>
      <c r="WKM48" s="887"/>
      <c r="WKN48" s="887"/>
      <c r="WKO48" s="887"/>
      <c r="WKP48" s="887"/>
      <c r="WKQ48" s="887"/>
      <c r="WKR48" s="887"/>
      <c r="WKS48" s="887"/>
      <c r="WKT48" s="887"/>
      <c r="WKU48" s="887"/>
      <c r="WKV48" s="887"/>
      <c r="WKW48" s="887"/>
      <c r="WKX48" s="887"/>
      <c r="WKY48" s="887"/>
      <c r="WKZ48" s="887"/>
      <c r="WLA48" s="887"/>
      <c r="WLB48" s="887"/>
      <c r="WLC48" s="887"/>
      <c r="WLD48" s="887"/>
      <c r="WLE48" s="887"/>
      <c r="WLF48" s="887"/>
      <c r="WLG48" s="887"/>
      <c r="WLH48" s="887"/>
      <c r="WLI48" s="887"/>
      <c r="WLJ48" s="887"/>
      <c r="WLK48" s="887"/>
      <c r="WLL48" s="887"/>
      <c r="WLM48" s="887"/>
      <c r="WLN48" s="887"/>
      <c r="WLO48" s="887"/>
      <c r="WLP48" s="887"/>
      <c r="WLQ48" s="887"/>
      <c r="WLR48" s="887"/>
      <c r="WLS48" s="887"/>
      <c r="WLT48" s="887"/>
      <c r="WLU48" s="887"/>
      <c r="WLV48" s="887"/>
      <c r="WLW48" s="887"/>
      <c r="WLX48" s="887"/>
      <c r="WLY48" s="887"/>
      <c r="WLZ48" s="887"/>
      <c r="WMA48" s="887"/>
      <c r="WMB48" s="887"/>
      <c r="WMC48" s="887"/>
      <c r="WMD48" s="887"/>
      <c r="WME48" s="887"/>
      <c r="WMF48" s="887"/>
      <c r="WMG48" s="887"/>
      <c r="WMH48" s="887"/>
      <c r="WMI48" s="887"/>
      <c r="WMJ48" s="887"/>
      <c r="WMK48" s="887"/>
      <c r="WML48" s="887"/>
      <c r="WMM48" s="887"/>
      <c r="WMN48" s="887"/>
      <c r="WMO48" s="887"/>
      <c r="WMP48" s="887"/>
      <c r="WMQ48" s="887"/>
      <c r="WMR48" s="887"/>
      <c r="WMS48" s="887"/>
      <c r="WMT48" s="887"/>
      <c r="WMU48" s="887"/>
      <c r="WMV48" s="887"/>
      <c r="WMW48" s="887"/>
      <c r="WMX48" s="887"/>
      <c r="WMY48" s="887"/>
      <c r="WMZ48" s="887"/>
      <c r="WNA48" s="887"/>
      <c r="WNB48" s="887"/>
      <c r="WNC48" s="887"/>
      <c r="WND48" s="887"/>
      <c r="WNE48" s="887"/>
      <c r="WNF48" s="887"/>
      <c r="WNG48" s="887"/>
      <c r="WNH48" s="887"/>
      <c r="WNI48" s="887"/>
      <c r="WNJ48" s="887"/>
      <c r="WNK48" s="887"/>
      <c r="WNL48" s="887"/>
      <c r="WNM48" s="887"/>
      <c r="WNN48" s="887"/>
      <c r="WNO48" s="887"/>
      <c r="WNP48" s="887"/>
      <c r="WNQ48" s="887"/>
      <c r="WNR48" s="887"/>
      <c r="WNS48" s="887"/>
      <c r="WNT48" s="887"/>
      <c r="WNU48" s="887"/>
      <c r="WNV48" s="887"/>
      <c r="WNW48" s="887"/>
      <c r="WNX48" s="887"/>
      <c r="WNY48" s="887"/>
      <c r="WNZ48" s="887"/>
      <c r="WOA48" s="887"/>
      <c r="WOB48" s="887"/>
      <c r="WOC48" s="887"/>
      <c r="WOD48" s="887"/>
      <c r="WOE48" s="887"/>
      <c r="WOF48" s="887"/>
      <c r="WOG48" s="887"/>
      <c r="WOH48" s="887"/>
      <c r="WOI48" s="887"/>
      <c r="WOJ48" s="887"/>
      <c r="WOK48" s="887"/>
      <c r="WOL48" s="887"/>
      <c r="WOM48" s="887"/>
      <c r="WON48" s="887"/>
      <c r="WOO48" s="887"/>
      <c r="WOP48" s="887"/>
      <c r="WOQ48" s="887"/>
      <c r="WOR48" s="887"/>
      <c r="WOS48" s="887"/>
      <c r="WOT48" s="887"/>
      <c r="WOU48" s="887"/>
      <c r="WOV48" s="887"/>
      <c r="WOW48" s="887"/>
      <c r="WOX48" s="887"/>
      <c r="WOY48" s="887"/>
      <c r="WOZ48" s="887"/>
      <c r="WPA48" s="887"/>
      <c r="WPB48" s="887"/>
      <c r="WPC48" s="887"/>
      <c r="WPD48" s="887"/>
      <c r="WPE48" s="887"/>
      <c r="WPF48" s="887"/>
      <c r="WPG48" s="887"/>
      <c r="WPH48" s="887"/>
      <c r="WPI48" s="887"/>
      <c r="WPJ48" s="887"/>
      <c r="WPK48" s="887"/>
      <c r="WPL48" s="887"/>
      <c r="WPM48" s="887"/>
      <c r="WPN48" s="887"/>
      <c r="WPO48" s="887"/>
      <c r="WPP48" s="887"/>
      <c r="WPQ48" s="887"/>
      <c r="WPR48" s="887"/>
      <c r="WPS48" s="887"/>
      <c r="WPT48" s="887"/>
      <c r="WPU48" s="887"/>
      <c r="WPV48" s="887"/>
      <c r="WPW48" s="887"/>
      <c r="WPX48" s="887"/>
      <c r="WPY48" s="887"/>
      <c r="WPZ48" s="887"/>
      <c r="WQA48" s="887"/>
      <c r="WQB48" s="887"/>
      <c r="WQC48" s="887"/>
      <c r="WQD48" s="887"/>
      <c r="WQE48" s="887"/>
      <c r="WQF48" s="887"/>
      <c r="WQG48" s="887"/>
      <c r="WQH48" s="887"/>
      <c r="WQI48" s="887"/>
      <c r="WQJ48" s="887"/>
      <c r="WQK48" s="887"/>
      <c r="WQL48" s="887"/>
      <c r="WQM48" s="887"/>
      <c r="WQN48" s="887"/>
      <c r="WQO48" s="887"/>
      <c r="WQP48" s="887"/>
      <c r="WQQ48" s="887"/>
      <c r="WQR48" s="887"/>
      <c r="WQS48" s="887"/>
      <c r="WQT48" s="887"/>
      <c r="WQU48" s="887"/>
      <c r="WQV48" s="887"/>
      <c r="WQW48" s="887"/>
      <c r="WQX48" s="887"/>
      <c r="WQY48" s="887"/>
      <c r="WQZ48" s="887"/>
      <c r="WRA48" s="887"/>
      <c r="WRB48" s="887"/>
      <c r="WRC48" s="887"/>
      <c r="WRD48" s="887"/>
      <c r="WRE48" s="887"/>
      <c r="WRF48" s="887"/>
      <c r="WRG48" s="887"/>
      <c r="WRH48" s="887"/>
      <c r="WRI48" s="887"/>
      <c r="WRJ48" s="887"/>
      <c r="WRK48" s="887"/>
      <c r="WRL48" s="887"/>
      <c r="WRM48" s="887"/>
      <c r="WRN48" s="887"/>
      <c r="WRO48" s="887"/>
      <c r="WRP48" s="887"/>
      <c r="WRQ48" s="887"/>
      <c r="WRR48" s="887"/>
      <c r="WRS48" s="887"/>
      <c r="WRT48" s="887"/>
      <c r="WRU48" s="887"/>
      <c r="WRV48" s="887"/>
      <c r="WRW48" s="887"/>
      <c r="WRX48" s="887"/>
      <c r="WRY48" s="887"/>
      <c r="WRZ48" s="887"/>
      <c r="WSA48" s="887"/>
      <c r="WSB48" s="887"/>
      <c r="WSC48" s="887"/>
      <c r="WSD48" s="887"/>
      <c r="WSE48" s="887"/>
      <c r="WSF48" s="887"/>
      <c r="WSG48" s="887"/>
      <c r="WSH48" s="887"/>
      <c r="WSI48" s="887"/>
      <c r="WSJ48" s="887"/>
      <c r="WSK48" s="887"/>
      <c r="WSL48" s="887"/>
      <c r="WSM48" s="887"/>
      <c r="WSN48" s="887"/>
      <c r="WSO48" s="887"/>
      <c r="WSP48" s="887"/>
      <c r="WSQ48" s="887"/>
      <c r="WSR48" s="887"/>
      <c r="WSS48" s="887"/>
      <c r="WST48" s="887"/>
      <c r="WSU48" s="887"/>
      <c r="WSV48" s="887"/>
      <c r="WSW48" s="887"/>
      <c r="WSX48" s="887"/>
      <c r="WSY48" s="887"/>
      <c r="WSZ48" s="887"/>
      <c r="WTA48" s="887"/>
      <c r="WTB48" s="887"/>
      <c r="WTC48" s="887"/>
      <c r="WTD48" s="887"/>
      <c r="WTE48" s="887"/>
      <c r="WTF48" s="887"/>
      <c r="WTG48" s="887"/>
      <c r="WTH48" s="887"/>
      <c r="WTI48" s="887"/>
      <c r="WTJ48" s="887"/>
      <c r="WTK48" s="887"/>
      <c r="WTL48" s="887"/>
      <c r="WTM48" s="887"/>
      <c r="WTN48" s="887"/>
      <c r="WTO48" s="887"/>
      <c r="WTP48" s="887"/>
      <c r="WTQ48" s="887"/>
      <c r="WTR48" s="887"/>
      <c r="WTS48" s="887"/>
      <c r="WTT48" s="887"/>
      <c r="WTU48" s="887"/>
      <c r="WTV48" s="887"/>
      <c r="WTW48" s="887"/>
      <c r="WTX48" s="887"/>
      <c r="WTY48" s="887"/>
      <c r="WTZ48" s="887"/>
      <c r="WUA48" s="887"/>
      <c r="WUB48" s="887"/>
      <c r="WUC48" s="887"/>
      <c r="WUD48" s="887"/>
      <c r="WUE48" s="887"/>
      <c r="WUF48" s="887"/>
      <c r="WUG48" s="887"/>
      <c r="WUH48" s="887"/>
      <c r="WUI48" s="887"/>
      <c r="WUJ48" s="887"/>
      <c r="WUK48" s="887"/>
      <c r="WUL48" s="887"/>
      <c r="WUM48" s="887"/>
      <c r="WUN48" s="887"/>
      <c r="WUO48" s="887"/>
      <c r="WUP48" s="887"/>
      <c r="WUQ48" s="887"/>
      <c r="WUR48" s="887"/>
      <c r="WUS48" s="887"/>
      <c r="WUT48" s="887"/>
      <c r="WUU48" s="887"/>
      <c r="WUV48" s="887"/>
      <c r="WUW48" s="887"/>
      <c r="WUX48" s="887"/>
      <c r="WUY48" s="887"/>
      <c r="WUZ48" s="887"/>
      <c r="WVA48" s="887"/>
      <c r="WVB48" s="887"/>
      <c r="WVC48" s="887"/>
      <c r="WVD48" s="887"/>
      <c r="WVE48" s="887"/>
      <c r="WVF48" s="887"/>
      <c r="WVG48" s="887"/>
      <c r="WVH48" s="887"/>
      <c r="WVI48" s="887"/>
      <c r="WVJ48" s="887"/>
      <c r="WVK48" s="887"/>
      <c r="WVL48" s="887"/>
      <c r="WVM48" s="887"/>
      <c r="WVN48" s="887"/>
      <c r="WVO48" s="887"/>
      <c r="WVP48" s="887"/>
      <c r="WVQ48" s="887"/>
      <c r="WVR48" s="887"/>
      <c r="WVS48" s="887"/>
      <c r="WVT48" s="887"/>
      <c r="WVU48" s="887"/>
      <c r="WVV48" s="887"/>
      <c r="WVW48" s="887"/>
      <c r="WVX48" s="887"/>
      <c r="WVY48" s="887"/>
      <c r="WVZ48" s="887"/>
      <c r="WWA48" s="887"/>
      <c r="WWB48" s="887"/>
      <c r="WWC48" s="887"/>
      <c r="WWD48" s="887"/>
      <c r="WWE48" s="887"/>
      <c r="WWF48" s="887"/>
      <c r="WWG48" s="887"/>
      <c r="WWH48" s="887"/>
      <c r="WWI48" s="887"/>
      <c r="WWJ48" s="887"/>
      <c r="WWK48" s="887"/>
      <c r="WWL48" s="887"/>
      <c r="WWM48" s="887"/>
      <c r="WWN48" s="887"/>
      <c r="WWO48" s="887"/>
      <c r="WWP48" s="887"/>
      <c r="WWQ48" s="887"/>
      <c r="WWR48" s="887"/>
      <c r="WWS48" s="887"/>
      <c r="WWT48" s="887"/>
      <c r="WWU48" s="887"/>
      <c r="WWV48" s="887"/>
      <c r="WWW48" s="887"/>
      <c r="WWX48" s="887"/>
      <c r="WWY48" s="887"/>
      <c r="WWZ48" s="887"/>
      <c r="WXA48" s="887"/>
      <c r="WXB48" s="887"/>
      <c r="WXC48" s="887"/>
      <c r="WXD48" s="887"/>
      <c r="WXE48" s="887"/>
      <c r="WXF48" s="887"/>
      <c r="WXG48" s="887"/>
      <c r="WXH48" s="887"/>
      <c r="WXI48" s="887"/>
      <c r="WXJ48" s="887"/>
      <c r="WXK48" s="887"/>
      <c r="WXL48" s="887"/>
      <c r="WXM48" s="887"/>
      <c r="WXN48" s="887"/>
      <c r="WXO48" s="887"/>
      <c r="WXP48" s="887"/>
      <c r="WXQ48" s="887"/>
      <c r="WXR48" s="887"/>
      <c r="WXS48" s="887"/>
      <c r="WXT48" s="887"/>
      <c r="WXU48" s="887"/>
      <c r="WXV48" s="887"/>
      <c r="WXW48" s="887"/>
      <c r="WXX48" s="887"/>
      <c r="WXY48" s="887"/>
      <c r="WXZ48" s="887"/>
      <c r="WYA48" s="887"/>
      <c r="WYB48" s="887"/>
      <c r="WYC48" s="887"/>
      <c r="WYD48" s="887"/>
      <c r="WYE48" s="887"/>
      <c r="WYF48" s="887"/>
      <c r="WYG48" s="887"/>
      <c r="WYH48" s="887"/>
      <c r="WYI48" s="887"/>
      <c r="WYJ48" s="887"/>
      <c r="WYK48" s="887"/>
      <c r="WYL48" s="887"/>
      <c r="WYM48" s="887"/>
      <c r="WYN48" s="887"/>
      <c r="WYO48" s="887"/>
      <c r="WYP48" s="887"/>
      <c r="WYQ48" s="887"/>
      <c r="WYR48" s="887"/>
      <c r="WYS48" s="887"/>
      <c r="WYT48" s="887"/>
      <c r="WYU48" s="887"/>
      <c r="WYV48" s="887"/>
      <c r="WYW48" s="887"/>
      <c r="WYX48" s="887"/>
      <c r="WYY48" s="887"/>
      <c r="WYZ48" s="887"/>
      <c r="WZA48" s="887"/>
      <c r="WZB48" s="887"/>
      <c r="WZC48" s="887"/>
      <c r="WZD48" s="887"/>
      <c r="WZE48" s="887"/>
      <c r="WZF48" s="887"/>
      <c r="WZG48" s="887"/>
      <c r="WZH48" s="887"/>
      <c r="WZI48" s="887"/>
      <c r="WZJ48" s="887"/>
      <c r="WZK48" s="887"/>
      <c r="WZL48" s="887"/>
      <c r="WZM48" s="887"/>
      <c r="WZN48" s="887"/>
      <c r="WZO48" s="887"/>
      <c r="WZP48" s="887"/>
      <c r="WZQ48" s="887"/>
      <c r="WZR48" s="887"/>
      <c r="WZS48" s="887"/>
      <c r="WZT48" s="887"/>
      <c r="WZU48" s="887"/>
      <c r="WZV48" s="887"/>
      <c r="WZW48" s="887"/>
      <c r="WZX48" s="887"/>
      <c r="WZY48" s="887"/>
      <c r="WZZ48" s="887"/>
      <c r="XAA48" s="887"/>
      <c r="XAB48" s="887"/>
      <c r="XAC48" s="887"/>
      <c r="XAD48" s="887"/>
      <c r="XAE48" s="887"/>
      <c r="XAF48" s="887"/>
      <c r="XAG48" s="887"/>
      <c r="XAH48" s="887"/>
      <c r="XAI48" s="887"/>
      <c r="XAJ48" s="887"/>
      <c r="XAK48" s="887"/>
      <c r="XAL48" s="887"/>
      <c r="XAM48" s="887"/>
      <c r="XAN48" s="887"/>
      <c r="XAO48" s="887"/>
      <c r="XAP48" s="887"/>
      <c r="XAQ48" s="887"/>
      <c r="XAR48" s="887"/>
      <c r="XAS48" s="887"/>
      <c r="XAT48" s="887"/>
      <c r="XAU48" s="887"/>
      <c r="XAV48" s="887"/>
      <c r="XAW48" s="887"/>
      <c r="XAX48" s="887"/>
      <c r="XAY48" s="887"/>
      <c r="XAZ48" s="887"/>
      <c r="XBA48" s="887"/>
      <c r="XBB48" s="887"/>
      <c r="XBC48" s="887"/>
      <c r="XBD48" s="887"/>
      <c r="XBE48" s="887"/>
      <c r="XBF48" s="887"/>
      <c r="XBG48" s="887"/>
      <c r="XBH48" s="887"/>
      <c r="XBI48" s="887"/>
      <c r="XBJ48" s="887"/>
      <c r="XBK48" s="887"/>
      <c r="XBL48" s="887"/>
      <c r="XBM48" s="887"/>
      <c r="XBN48" s="887"/>
      <c r="XBO48" s="887"/>
      <c r="XBP48" s="887"/>
      <c r="XBQ48" s="887"/>
      <c r="XBR48" s="887"/>
      <c r="XBS48" s="887"/>
      <c r="XBT48" s="887"/>
      <c r="XBU48" s="887"/>
      <c r="XBV48" s="887"/>
      <c r="XBW48" s="887"/>
      <c r="XBX48" s="887"/>
      <c r="XBY48" s="887"/>
      <c r="XBZ48" s="887"/>
      <c r="XCA48" s="887"/>
      <c r="XCB48" s="887"/>
      <c r="XCC48" s="887"/>
      <c r="XCD48" s="887"/>
      <c r="XCE48" s="887"/>
      <c r="XCF48" s="887"/>
      <c r="XCG48" s="887"/>
      <c r="XCH48" s="887"/>
      <c r="XCI48" s="887"/>
      <c r="XCJ48" s="887"/>
      <c r="XCK48" s="887"/>
      <c r="XCL48" s="887"/>
      <c r="XCM48" s="887"/>
      <c r="XCN48" s="887"/>
      <c r="XCO48" s="887"/>
      <c r="XCP48" s="887"/>
      <c r="XCQ48" s="887"/>
      <c r="XCR48" s="887"/>
      <c r="XCS48" s="887"/>
      <c r="XCT48" s="887"/>
      <c r="XCU48" s="887"/>
      <c r="XCV48" s="887"/>
      <c r="XCW48" s="887"/>
      <c r="XCX48" s="887"/>
      <c r="XCY48" s="887"/>
      <c r="XCZ48" s="887"/>
      <c r="XDA48" s="887"/>
      <c r="XDB48" s="887"/>
      <c r="XDC48" s="887"/>
      <c r="XDD48" s="887"/>
      <c r="XDE48" s="887"/>
      <c r="XDF48" s="887"/>
      <c r="XDG48" s="887"/>
      <c r="XDH48" s="887"/>
      <c r="XDI48" s="887"/>
      <c r="XDJ48" s="887"/>
      <c r="XDK48" s="887"/>
      <c r="XDL48" s="887"/>
      <c r="XDM48" s="887"/>
      <c r="XDN48" s="887"/>
      <c r="XDO48" s="887"/>
      <c r="XDP48" s="887"/>
      <c r="XDQ48" s="887"/>
      <c r="XDR48" s="887"/>
      <c r="XDS48" s="887"/>
      <c r="XDT48" s="887"/>
      <c r="XDU48" s="887"/>
      <c r="XDV48" s="887"/>
      <c r="XDW48" s="887"/>
      <c r="XDX48" s="887"/>
      <c r="XDY48" s="887"/>
      <c r="XDZ48" s="887"/>
      <c r="XEA48" s="887"/>
      <c r="XEB48" s="887"/>
      <c r="XEC48" s="887"/>
      <c r="XED48" s="887"/>
      <c r="XEE48" s="887"/>
      <c r="XEF48" s="887"/>
      <c r="XEG48" s="887"/>
      <c r="XEH48" s="887"/>
      <c r="XEI48" s="887"/>
      <c r="XEJ48" s="887"/>
      <c r="XEK48" s="887"/>
      <c r="XEL48" s="887"/>
      <c r="XEM48" s="887"/>
      <c r="XEN48" s="887"/>
      <c r="XEO48" s="887"/>
      <c r="XEP48" s="887"/>
      <c r="XEQ48" s="887"/>
      <c r="XER48" s="887"/>
      <c r="XES48" s="887"/>
      <c r="XET48" s="887"/>
      <c r="XEU48" s="887"/>
      <c r="XEV48" s="887"/>
      <c r="XEW48" s="887"/>
      <c r="XEX48" s="887"/>
      <c r="XEY48" s="887"/>
      <c r="XEZ48" s="887"/>
      <c r="XFA48" s="887"/>
      <c r="XFB48" s="887"/>
      <c r="XFC48" s="887"/>
    </row>
    <row r="49" spans="1:38" s="857" customFormat="1" ht="35.25" hidden="1" customHeight="1" x14ac:dyDescent="0.2">
      <c r="A49" s="857" t="s">
        <v>4904</v>
      </c>
      <c r="B49" s="857" t="e">
        <v>#N/A</v>
      </c>
      <c r="E49" s="855"/>
      <c r="F49" s="878" t="s">
        <v>764</v>
      </c>
      <c r="G49" s="878"/>
      <c r="H49" s="861" t="s">
        <v>3824</v>
      </c>
      <c r="I49" s="871"/>
      <c r="J49" s="861" t="s">
        <v>736</v>
      </c>
      <c r="K49" s="856" t="s">
        <v>775</v>
      </c>
      <c r="L49" s="862">
        <v>4</v>
      </c>
      <c r="M49" s="856">
        <v>32</v>
      </c>
      <c r="N49" s="862" t="s">
        <v>789</v>
      </c>
      <c r="O49" s="861">
        <v>2006</v>
      </c>
      <c r="P49" s="862"/>
      <c r="Q49" s="862"/>
      <c r="R49" s="862" t="s">
        <v>741</v>
      </c>
      <c r="S49" s="861" t="s">
        <v>12</v>
      </c>
      <c r="T49" s="899">
        <v>230400000</v>
      </c>
      <c r="U49" s="861" t="s">
        <v>43</v>
      </c>
      <c r="V49" s="865"/>
      <c r="W49" s="968"/>
      <c r="X49" s="884" t="str">
        <f t="shared" si="17"/>
        <v>04.13.02</v>
      </c>
      <c r="Y49" s="884" t="str">
        <f t="shared" si="18"/>
        <v>Jembatan</v>
      </c>
      <c r="Z49" s="884">
        <f t="shared" si="19"/>
        <v>50</v>
      </c>
      <c r="AA49" s="868">
        <f t="shared" si="20"/>
        <v>4608000</v>
      </c>
      <c r="AB49" s="885">
        <f t="shared" si="21"/>
        <v>8</v>
      </c>
      <c r="AC49" s="868">
        <f t="shared" si="22"/>
        <v>36864000</v>
      </c>
      <c r="AD49" s="868">
        <f t="shared" si="23"/>
        <v>4608000</v>
      </c>
      <c r="AE49" s="868">
        <f t="shared" si="24"/>
        <v>4608000</v>
      </c>
      <c r="AF49" s="868">
        <f t="shared" si="25"/>
        <v>4608000</v>
      </c>
      <c r="AG49" s="868">
        <f t="shared" si="26"/>
        <v>4608000</v>
      </c>
      <c r="AH49" s="886">
        <f t="shared" si="27"/>
        <v>4608000</v>
      </c>
      <c r="AI49" s="886">
        <f t="shared" si="28"/>
        <v>59904000</v>
      </c>
      <c r="AJ49" s="868">
        <f t="shared" si="29"/>
        <v>170496000</v>
      </c>
      <c r="AK49" s="898">
        <f t="shared" si="30"/>
        <v>55296000</v>
      </c>
    </row>
    <row r="50" spans="1:38" ht="35.25" hidden="1" customHeight="1" thickBot="1" x14ac:dyDescent="0.25">
      <c r="E50" s="954"/>
      <c r="F50" s="993"/>
      <c r="G50" s="919"/>
      <c r="H50" s="955"/>
      <c r="I50" s="912"/>
      <c r="J50" s="911"/>
      <c r="K50" s="913"/>
      <c r="L50" s="912"/>
      <c r="M50" s="913"/>
      <c r="N50" s="956"/>
      <c r="O50" s="911"/>
      <c r="P50" s="912"/>
      <c r="Q50" s="912"/>
      <c r="R50" s="912"/>
      <c r="S50" s="903"/>
      <c r="T50" s="914"/>
      <c r="U50" s="911"/>
      <c r="V50" s="957"/>
      <c r="W50" s="974"/>
    </row>
    <row r="51" spans="1:38" s="958" customFormat="1" x14ac:dyDescent="0.2">
      <c r="A51" s="946"/>
      <c r="B51" s="946"/>
      <c r="C51" s="946"/>
      <c r="D51" s="946"/>
      <c r="E51" s="946"/>
      <c r="F51" s="946"/>
      <c r="G51" s="946"/>
      <c r="H51" s="1177"/>
      <c r="I51" s="946"/>
      <c r="J51" s="1177"/>
      <c r="K51" s="843"/>
      <c r="L51" s="946"/>
      <c r="M51" s="843"/>
      <c r="N51" s="975"/>
      <c r="O51" s="1177"/>
      <c r="P51" s="946"/>
      <c r="Q51" s="946"/>
      <c r="R51" s="946"/>
      <c r="S51" s="946"/>
      <c r="T51" s="958">
        <v>6234400000</v>
      </c>
      <c r="U51" s="1177"/>
      <c r="V51" s="946"/>
      <c r="W51" s="946"/>
      <c r="X51" s="946"/>
      <c r="Y51" s="946"/>
      <c r="Z51" s="946"/>
      <c r="AB51" s="946"/>
      <c r="AK51" s="946"/>
      <c r="AL51" s="946"/>
    </row>
    <row r="52" spans="1:38" s="958" customFormat="1" x14ac:dyDescent="0.2">
      <c r="A52" s="946"/>
      <c r="B52" s="946"/>
      <c r="C52" s="946"/>
      <c r="D52" s="946"/>
      <c r="E52" s="946"/>
      <c r="F52" s="946"/>
      <c r="G52" s="946"/>
      <c r="H52" s="946"/>
      <c r="I52" s="946"/>
      <c r="J52" s="946"/>
      <c r="K52" s="843"/>
      <c r="L52" s="946"/>
      <c r="M52" s="994"/>
      <c r="N52" s="946"/>
      <c r="O52" s="1177"/>
      <c r="P52" s="946"/>
      <c r="Q52" s="946"/>
      <c r="R52" s="946"/>
      <c r="S52" s="946"/>
      <c r="T52" s="958">
        <f>T51+T12</f>
        <v>95355688981.476654</v>
      </c>
      <c r="U52" s="946"/>
      <c r="V52" s="946"/>
      <c r="W52" s="946"/>
      <c r="X52" s="946"/>
      <c r="Y52" s="946"/>
      <c r="Z52" s="946"/>
      <c r="AB52" s="946"/>
      <c r="AK52" s="946"/>
      <c r="AL52" s="946"/>
    </row>
    <row r="53" spans="1:38" s="958" customFormat="1" x14ac:dyDescent="0.2">
      <c r="A53" s="946"/>
      <c r="B53" s="946"/>
      <c r="C53" s="946"/>
      <c r="D53" s="946"/>
      <c r="E53" s="2008" t="s">
        <v>1109</v>
      </c>
      <c r="F53" s="2008"/>
      <c r="G53" s="2008"/>
      <c r="H53" s="2008"/>
      <c r="I53" s="946"/>
      <c r="J53" s="946"/>
      <c r="K53" s="843"/>
      <c r="L53" s="946"/>
      <c r="M53" s="996"/>
      <c r="N53" s="946"/>
      <c r="O53" s="1177"/>
      <c r="P53" s="1177"/>
      <c r="Q53" s="1177"/>
      <c r="R53" s="946"/>
      <c r="S53" s="1177"/>
      <c r="U53" s="946"/>
      <c r="V53" s="946"/>
      <c r="W53" s="946"/>
      <c r="X53" s="946"/>
      <c r="Y53" s="946"/>
      <c r="Z53" s="946"/>
      <c r="AB53" s="946"/>
      <c r="AK53" s="946"/>
      <c r="AL53" s="946"/>
    </row>
    <row r="54" spans="1:38" s="958" customFormat="1" x14ac:dyDescent="0.2">
      <c r="A54" s="946"/>
      <c r="B54" s="946"/>
      <c r="C54" s="946"/>
      <c r="D54" s="946"/>
      <c r="E54" s="2007" t="s">
        <v>23</v>
      </c>
      <c r="F54" s="2007"/>
      <c r="G54" s="2007"/>
      <c r="H54" s="2007"/>
      <c r="I54" s="946"/>
      <c r="J54" s="946"/>
      <c r="K54" s="843"/>
      <c r="L54" s="946"/>
      <c r="M54" s="996"/>
      <c r="N54" s="946"/>
      <c r="O54" s="1177"/>
      <c r="P54" s="1177"/>
      <c r="Q54" s="1177"/>
      <c r="R54" s="2007" t="s">
        <v>884</v>
      </c>
      <c r="S54" s="2007"/>
      <c r="T54" s="2007"/>
      <c r="U54" s="2007"/>
      <c r="V54" s="946"/>
      <c r="W54" s="946"/>
      <c r="X54" s="946"/>
      <c r="Y54" s="946"/>
      <c r="Z54" s="946"/>
      <c r="AB54" s="946"/>
      <c r="AK54" s="946"/>
      <c r="AL54" s="946"/>
    </row>
    <row r="55" spans="1:38" s="958" customFormat="1" x14ac:dyDescent="0.2">
      <c r="A55" s="946"/>
      <c r="B55" s="946"/>
      <c r="C55" s="946"/>
      <c r="D55" s="946"/>
      <c r="E55" s="2007" t="s">
        <v>25</v>
      </c>
      <c r="F55" s="2007"/>
      <c r="G55" s="2007"/>
      <c r="H55" s="2007"/>
      <c r="I55" s="946"/>
      <c r="J55" s="946"/>
      <c r="K55" s="843"/>
      <c r="L55" s="946"/>
      <c r="M55" s="996"/>
      <c r="N55" s="946"/>
      <c r="O55" s="1177"/>
      <c r="P55" s="1177"/>
      <c r="Q55" s="1177"/>
      <c r="R55" s="2007" t="s">
        <v>24</v>
      </c>
      <c r="S55" s="2007"/>
      <c r="T55" s="2007"/>
      <c r="U55" s="2007"/>
      <c r="V55" s="946"/>
      <c r="W55" s="946"/>
      <c r="X55" s="946"/>
      <c r="Y55" s="946"/>
      <c r="Z55" s="946"/>
      <c r="AB55" s="946"/>
      <c r="AK55" s="946"/>
      <c r="AL55" s="946"/>
    </row>
    <row r="56" spans="1:38" s="958" customFormat="1" x14ac:dyDescent="0.2">
      <c r="A56" s="946"/>
      <c r="B56" s="946"/>
      <c r="C56" s="946"/>
      <c r="D56" s="946"/>
      <c r="E56" s="857"/>
      <c r="F56" s="857"/>
      <c r="G56" s="857"/>
      <c r="H56" s="857"/>
      <c r="I56" s="946"/>
      <c r="J56" s="946"/>
      <c r="K56" s="843"/>
      <c r="L56" s="946"/>
      <c r="M56" s="996"/>
      <c r="N56" s="946"/>
      <c r="O56" s="1177"/>
      <c r="P56" s="1177"/>
      <c r="Q56" s="1177"/>
      <c r="R56" s="857"/>
      <c r="S56" s="857"/>
      <c r="T56" s="868"/>
      <c r="U56" s="857"/>
      <c r="V56" s="946"/>
      <c r="W56" s="946"/>
      <c r="X56" s="946"/>
      <c r="Y56" s="946"/>
      <c r="Z56" s="946"/>
      <c r="AB56" s="946"/>
      <c r="AK56" s="946"/>
      <c r="AL56" s="946"/>
    </row>
    <row r="57" spans="1:38" s="958" customFormat="1" x14ac:dyDescent="0.2">
      <c r="A57" s="946"/>
      <c r="B57" s="946"/>
      <c r="C57" s="946"/>
      <c r="D57" s="946"/>
      <c r="E57" s="857"/>
      <c r="F57" s="857"/>
      <c r="G57" s="857"/>
      <c r="H57" s="857"/>
      <c r="I57" s="946"/>
      <c r="J57" s="946"/>
      <c r="K57" s="843"/>
      <c r="L57" s="946"/>
      <c r="M57" s="996"/>
      <c r="N57" s="946"/>
      <c r="O57" s="1177"/>
      <c r="P57" s="1177"/>
      <c r="Q57" s="1177"/>
      <c r="R57" s="857"/>
      <c r="S57" s="857"/>
      <c r="T57" s="868"/>
      <c r="U57" s="857"/>
      <c r="V57" s="946"/>
      <c r="W57" s="946"/>
      <c r="X57" s="946"/>
      <c r="Y57" s="946"/>
      <c r="Z57" s="946"/>
      <c r="AB57" s="946"/>
      <c r="AK57" s="946"/>
      <c r="AL57" s="946"/>
    </row>
    <row r="58" spans="1:38" s="958" customFormat="1" x14ac:dyDescent="0.2">
      <c r="A58" s="946"/>
      <c r="B58" s="946"/>
      <c r="C58" s="946"/>
      <c r="D58" s="946"/>
      <c r="E58" s="857"/>
      <c r="F58" s="857"/>
      <c r="G58" s="857"/>
      <c r="H58" s="857"/>
      <c r="I58" s="946"/>
      <c r="J58" s="946"/>
      <c r="K58" s="843"/>
      <c r="L58" s="946"/>
      <c r="M58" s="996"/>
      <c r="N58" s="946"/>
      <c r="O58" s="1177"/>
      <c r="P58" s="1177"/>
      <c r="Q58" s="1177"/>
      <c r="R58" s="857"/>
      <c r="S58" s="857"/>
      <c r="T58" s="868"/>
      <c r="U58" s="857"/>
      <c r="V58" s="946"/>
      <c r="W58" s="946"/>
      <c r="X58" s="946"/>
      <c r="Y58" s="946"/>
      <c r="Z58" s="946"/>
      <c r="AB58" s="946"/>
      <c r="AK58" s="946"/>
      <c r="AL58" s="946"/>
    </row>
    <row r="59" spans="1:38" s="958" customFormat="1" x14ac:dyDescent="0.2">
      <c r="A59" s="946"/>
      <c r="B59" s="946"/>
      <c r="C59" s="946"/>
      <c r="D59" s="946"/>
      <c r="E59" s="857"/>
      <c r="F59" s="857"/>
      <c r="G59" s="857"/>
      <c r="H59" s="857"/>
      <c r="I59" s="946"/>
      <c r="J59" s="946"/>
      <c r="K59" s="843"/>
      <c r="L59" s="946"/>
      <c r="M59" s="996"/>
      <c r="N59" s="946"/>
      <c r="O59" s="1177"/>
      <c r="P59" s="1177"/>
      <c r="Q59" s="1177"/>
      <c r="R59" s="857"/>
      <c r="S59" s="857"/>
      <c r="T59" s="868"/>
      <c r="U59" s="857"/>
      <c r="V59" s="946"/>
      <c r="W59" s="946"/>
      <c r="X59" s="946"/>
      <c r="Y59" s="946"/>
      <c r="Z59" s="946"/>
      <c r="AB59" s="946"/>
      <c r="AK59" s="946"/>
      <c r="AL59" s="946"/>
    </row>
    <row r="60" spans="1:38" s="958" customFormat="1" x14ac:dyDescent="0.2">
      <c r="A60" s="946"/>
      <c r="B60" s="946"/>
      <c r="C60" s="946"/>
      <c r="D60" s="946"/>
      <c r="E60" s="857"/>
      <c r="F60" s="857"/>
      <c r="G60" s="857"/>
      <c r="H60" s="857"/>
      <c r="I60" s="946"/>
      <c r="J60" s="946"/>
      <c r="K60" s="843"/>
      <c r="L60" s="946"/>
      <c r="M60" s="996"/>
      <c r="N60" s="946"/>
      <c r="O60" s="1177"/>
      <c r="P60" s="1177"/>
      <c r="Q60" s="1177"/>
      <c r="R60" s="857"/>
      <c r="S60" s="857"/>
      <c r="T60" s="868"/>
      <c r="U60" s="857"/>
      <c r="V60" s="946"/>
      <c r="W60" s="946"/>
      <c r="X60" s="946"/>
      <c r="Y60" s="946"/>
      <c r="Z60" s="946"/>
      <c r="AB60" s="946"/>
      <c r="AK60" s="946"/>
      <c r="AL60" s="946"/>
    </row>
    <row r="61" spans="1:38" s="958" customFormat="1" x14ac:dyDescent="0.2">
      <c r="A61" s="946"/>
      <c r="B61" s="946"/>
      <c r="C61" s="946"/>
      <c r="D61" s="946"/>
      <c r="E61" s="2009" t="s">
        <v>26</v>
      </c>
      <c r="F61" s="2009"/>
      <c r="G61" s="2009"/>
      <c r="H61" s="2009"/>
      <c r="I61" s="946"/>
      <c r="J61" s="946"/>
      <c r="K61" s="843"/>
      <c r="L61" s="946"/>
      <c r="M61" s="996"/>
      <c r="N61" s="946"/>
      <c r="O61" s="1177"/>
      <c r="P61" s="1177"/>
      <c r="Q61" s="1177"/>
      <c r="R61" s="2009" t="s">
        <v>27</v>
      </c>
      <c r="S61" s="2009"/>
      <c r="T61" s="2009"/>
      <c r="U61" s="2009"/>
      <c r="V61" s="946"/>
      <c r="W61" s="946"/>
      <c r="X61" s="946"/>
      <c r="Y61" s="946"/>
      <c r="Z61" s="946"/>
      <c r="AB61" s="946"/>
      <c r="AK61" s="946"/>
      <c r="AL61" s="946"/>
    </row>
    <row r="62" spans="1:38" s="958" customFormat="1" x14ac:dyDescent="0.2">
      <c r="A62" s="946"/>
      <c r="B62" s="946"/>
      <c r="C62" s="946"/>
      <c r="D62" s="946"/>
      <c r="E62" s="2007" t="s">
        <v>28</v>
      </c>
      <c r="F62" s="2007"/>
      <c r="G62" s="2007"/>
      <c r="H62" s="2007"/>
      <c r="I62" s="946"/>
      <c r="J62" s="946"/>
      <c r="K62" s="843"/>
      <c r="L62" s="946"/>
      <c r="M62" s="996"/>
      <c r="N62" s="946"/>
      <c r="O62" s="1177"/>
      <c r="P62" s="1177"/>
      <c r="Q62" s="1177"/>
      <c r="R62" s="2007" t="s">
        <v>29</v>
      </c>
      <c r="S62" s="2007"/>
      <c r="T62" s="2007"/>
      <c r="U62" s="2007"/>
      <c r="V62" s="946"/>
      <c r="W62" s="946"/>
      <c r="X62" s="946"/>
      <c r="Y62" s="946"/>
      <c r="Z62" s="946"/>
      <c r="AB62" s="946"/>
      <c r="AK62" s="946"/>
      <c r="AL62" s="946"/>
    </row>
    <row r="82" spans="1:38" s="1177" customFormat="1" x14ac:dyDescent="0.2">
      <c r="A82" s="946"/>
      <c r="B82" s="946"/>
      <c r="C82" s="946"/>
      <c r="D82" s="946"/>
      <c r="E82" s="946"/>
      <c r="F82" s="946"/>
      <c r="G82" s="946"/>
      <c r="I82" s="946"/>
      <c r="K82" s="843"/>
      <c r="L82" s="946"/>
      <c r="M82" s="843"/>
      <c r="N82" s="975"/>
      <c r="P82" s="946"/>
      <c r="Q82" s="946"/>
      <c r="R82" s="946"/>
      <c r="S82" s="946"/>
      <c r="T82" s="959"/>
      <c r="V82" s="946"/>
      <c r="W82" s="946"/>
      <c r="X82" s="946"/>
      <c r="Y82" s="946"/>
      <c r="Z82" s="946"/>
      <c r="AA82" s="958"/>
      <c r="AB82" s="946"/>
      <c r="AC82" s="958"/>
      <c r="AD82" s="958"/>
      <c r="AE82" s="958"/>
      <c r="AF82" s="958"/>
      <c r="AG82" s="958"/>
      <c r="AH82" s="958"/>
      <c r="AI82" s="958"/>
      <c r="AJ82" s="958"/>
      <c r="AK82" s="946"/>
      <c r="AL82" s="946"/>
    </row>
  </sheetData>
  <autoFilter ref="A9:AL50" xr:uid="{00000000-0009-0000-0000-000010000000}">
    <filterColumn colId="0">
      <filters>
        <filter val="Jalan Provinsi"/>
        <filter val="Jembatan Provinsi"/>
      </filters>
    </filterColumn>
  </autoFilter>
  <mergeCells count="48">
    <mergeCell ref="Q6:Q8"/>
    <mergeCell ref="E2:V2"/>
    <mergeCell ref="E3:V3"/>
    <mergeCell ref="E5:F5"/>
    <mergeCell ref="A6:A8"/>
    <mergeCell ref="B6:B8"/>
    <mergeCell ref="C6:C8"/>
    <mergeCell ref="E6:E8"/>
    <mergeCell ref="F6:F8"/>
    <mergeCell ref="H6:I6"/>
    <mergeCell ref="J6:J8"/>
    <mergeCell ref="K6:K8"/>
    <mergeCell ref="L6:L8"/>
    <mergeCell ref="M6:M8"/>
    <mergeCell ref="N6:N8"/>
    <mergeCell ref="O6:P6"/>
    <mergeCell ref="AH7:AH8"/>
    <mergeCell ref="R6:R8"/>
    <mergeCell ref="S6:S8"/>
    <mergeCell ref="T6:T8"/>
    <mergeCell ref="U6:U8"/>
    <mergeCell ref="V6:V8"/>
    <mergeCell ref="X6:X8"/>
    <mergeCell ref="AJ6:AJ8"/>
    <mergeCell ref="H7:H8"/>
    <mergeCell ref="I7:I8"/>
    <mergeCell ref="O7:O8"/>
    <mergeCell ref="P7:P8"/>
    <mergeCell ref="AC7:AC8"/>
    <mergeCell ref="AD7:AD8"/>
    <mergeCell ref="AE7:AE8"/>
    <mergeCell ref="AF7:AF8"/>
    <mergeCell ref="AG7:AG8"/>
    <mergeCell ref="Y6:Y8"/>
    <mergeCell ref="Z6:Z8"/>
    <mergeCell ref="AA6:AA8"/>
    <mergeCell ref="AB6:AB8"/>
    <mergeCell ref="AC6:AH6"/>
    <mergeCell ref="AI6:AI8"/>
    <mergeCell ref="E62:H62"/>
    <mergeCell ref="R62:U62"/>
    <mergeCell ref="E53:H53"/>
    <mergeCell ref="E54:H54"/>
    <mergeCell ref="R54:U54"/>
    <mergeCell ref="E55:H55"/>
    <mergeCell ref="R55:U55"/>
    <mergeCell ref="E61:H61"/>
    <mergeCell ref="R61:U61"/>
  </mergeCells>
  <conditionalFormatting sqref="X11">
    <cfRule type="cellIs" dxfId="1" priority="1" operator="equal">
      <formula>$T$11</formula>
    </cfRule>
  </conditionalFormatting>
  <pageMargins left="1.54" right="0.27559055118110237" top="0.65" bottom="0.63" header="0.31496062992125984" footer="0.31496062992125984"/>
  <pageSetup paperSize="5" scale="60" orientation="landscape" horizontalDpi="4294967293" verticalDpi="429496729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view="pageBreakPreview" zoomScale="90" zoomScaleNormal="100" zoomScaleSheetLayoutView="90" workbookViewId="0">
      <selection activeCell="J11" sqref="J11"/>
    </sheetView>
  </sheetViews>
  <sheetFormatPr baseColWidth="10" defaultColWidth="9.1640625" defaultRowHeight="15" x14ac:dyDescent="0.2"/>
  <cols>
    <col min="1" max="1" width="6.5" style="2" bestFit="1" customWidth="1"/>
    <col min="2" max="2" width="27.33203125" style="2" customWidth="1"/>
    <col min="3" max="3" width="14.5" style="2" customWidth="1"/>
    <col min="4" max="4" width="13.5" style="2" customWidth="1"/>
    <col min="5" max="5" width="11.83203125" style="2" customWidth="1"/>
    <col min="6" max="6" width="11.5" style="2" customWidth="1"/>
    <col min="7" max="7" width="9.1640625" style="2" customWidth="1"/>
    <col min="8" max="8" width="10.83203125" style="2" customWidth="1"/>
    <col min="9" max="10" width="9.1640625" style="2" customWidth="1"/>
    <col min="11" max="11" width="9" style="2" customWidth="1"/>
    <col min="12" max="12" width="12" style="2" customWidth="1"/>
    <col min="13" max="13" width="11.33203125" style="2" customWidth="1"/>
    <col min="14" max="14" width="13.1640625" style="2" customWidth="1"/>
    <col min="15" max="15" width="18.83203125" style="2" bestFit="1" customWidth="1"/>
    <col min="16" max="16" width="14.83203125" style="2" customWidth="1"/>
    <col min="17" max="16384" width="9.1640625" style="2"/>
  </cols>
  <sheetData>
    <row r="1" spans="1:16" s="1388" customFormat="1" ht="25" x14ac:dyDescent="0.25">
      <c r="A1" s="2045" t="s">
        <v>0</v>
      </c>
      <c r="B1" s="2045"/>
      <c r="C1" s="2045"/>
      <c r="D1" s="2045"/>
      <c r="E1" s="2045"/>
      <c r="F1" s="2045"/>
      <c r="G1" s="2045"/>
      <c r="H1" s="2045"/>
      <c r="I1" s="2045"/>
      <c r="J1" s="2045"/>
      <c r="K1" s="2045"/>
      <c r="L1" s="2045"/>
      <c r="M1" s="2045"/>
      <c r="N1" s="2045"/>
      <c r="O1" s="2045"/>
      <c r="P1" s="2045"/>
    </row>
    <row r="2" spans="1:16" s="1388" customFormat="1" ht="25" x14ac:dyDescent="0.25">
      <c r="A2" s="2045" t="s">
        <v>6039</v>
      </c>
      <c r="B2" s="2045"/>
      <c r="C2" s="2045"/>
      <c r="D2" s="2045"/>
      <c r="E2" s="2045"/>
      <c r="F2" s="2045"/>
      <c r="G2" s="2045"/>
      <c r="H2" s="2045"/>
      <c r="I2" s="2045"/>
      <c r="J2" s="2045"/>
      <c r="K2" s="2045"/>
      <c r="L2" s="2045"/>
      <c r="M2" s="2045"/>
      <c r="N2" s="2045"/>
      <c r="O2" s="2045"/>
      <c r="P2" s="2045"/>
    </row>
    <row r="3" spans="1:16" s="1388" customFormat="1" ht="14" x14ac:dyDescent="0.15">
      <c r="A3" s="2046"/>
      <c r="B3" s="2046"/>
      <c r="C3" s="2046"/>
      <c r="D3" s="2046"/>
      <c r="E3" s="2046"/>
      <c r="F3" s="2046"/>
      <c r="G3" s="2046"/>
      <c r="H3" s="2046"/>
      <c r="I3" s="2046"/>
      <c r="J3" s="2046"/>
      <c r="K3" s="2046"/>
      <c r="L3" s="2046"/>
      <c r="M3" s="2046"/>
      <c r="N3" s="2046"/>
      <c r="O3" s="2046"/>
      <c r="P3" s="2046"/>
    </row>
    <row r="4" spans="1:16" s="1388" customFormat="1" thickBot="1" x14ac:dyDescent="0.2">
      <c r="A4" s="1403"/>
      <c r="B4" s="1460" t="s">
        <v>32</v>
      </c>
      <c r="C4" s="1451" t="s">
        <v>33</v>
      </c>
      <c r="D4" s="1403"/>
      <c r="E4" s="1403"/>
      <c r="F4" s="1403"/>
      <c r="G4" s="1403"/>
      <c r="H4" s="1403"/>
      <c r="I4" s="1403"/>
      <c r="J4" s="1403"/>
      <c r="K4" s="1403"/>
      <c r="L4" s="1403"/>
      <c r="M4" s="1403"/>
      <c r="N4" s="1403"/>
      <c r="O4" s="1403"/>
      <c r="P4" s="1403"/>
    </row>
    <row r="5" spans="1:16" s="1388" customFormat="1" ht="38" customHeight="1" x14ac:dyDescent="0.15">
      <c r="A5" s="2047" t="s">
        <v>869</v>
      </c>
      <c r="B5" s="2050" t="s">
        <v>870</v>
      </c>
      <c r="C5" s="2050" t="s">
        <v>883</v>
      </c>
      <c r="D5" s="2050"/>
      <c r="E5" s="2050" t="s">
        <v>1114</v>
      </c>
      <c r="F5" s="2050"/>
      <c r="G5" s="2050" t="s">
        <v>1115</v>
      </c>
      <c r="H5" s="2050"/>
      <c r="I5" s="2050"/>
      <c r="J5" s="2050" t="s">
        <v>1116</v>
      </c>
      <c r="K5" s="2050"/>
      <c r="L5" s="2053" t="s">
        <v>1117</v>
      </c>
      <c r="M5" s="2050" t="s">
        <v>1118</v>
      </c>
      <c r="N5" s="2050" t="s">
        <v>909</v>
      </c>
      <c r="O5" s="2050" t="s">
        <v>1105</v>
      </c>
      <c r="P5" s="2056" t="s">
        <v>911</v>
      </c>
    </row>
    <row r="6" spans="1:16" s="1388" customFormat="1" ht="12.75" customHeight="1" x14ac:dyDescent="0.15">
      <c r="A6" s="2048"/>
      <c r="B6" s="2051"/>
      <c r="C6" s="2051" t="s">
        <v>877</v>
      </c>
      <c r="D6" s="2051" t="s">
        <v>878</v>
      </c>
      <c r="E6" s="2051" t="s">
        <v>1119</v>
      </c>
      <c r="F6" s="2051" t="s">
        <v>1120</v>
      </c>
      <c r="G6" s="2051" t="s">
        <v>1121</v>
      </c>
      <c r="H6" s="2051" t="s">
        <v>1122</v>
      </c>
      <c r="I6" s="2051" t="s">
        <v>907</v>
      </c>
      <c r="J6" s="2059" t="s">
        <v>1123</v>
      </c>
      <c r="K6" s="2059" t="s">
        <v>1124</v>
      </c>
      <c r="L6" s="2054"/>
      <c r="M6" s="2051"/>
      <c r="N6" s="2051"/>
      <c r="O6" s="2051"/>
      <c r="P6" s="2057"/>
    </row>
    <row r="7" spans="1:16" s="1388" customFormat="1" ht="24" customHeight="1" thickBot="1" x14ac:dyDescent="0.2">
      <c r="A7" s="2049"/>
      <c r="B7" s="2052"/>
      <c r="C7" s="2052"/>
      <c r="D7" s="2052"/>
      <c r="E7" s="2052"/>
      <c r="F7" s="2052"/>
      <c r="G7" s="2052"/>
      <c r="H7" s="2052"/>
      <c r="I7" s="2052"/>
      <c r="J7" s="2060"/>
      <c r="K7" s="2060"/>
      <c r="L7" s="2055"/>
      <c r="M7" s="2052"/>
      <c r="N7" s="2052"/>
      <c r="O7" s="2052"/>
      <c r="P7" s="2058"/>
    </row>
    <row r="8" spans="1:16" s="1388" customFormat="1" ht="17" customHeight="1" thickBot="1" x14ac:dyDescent="0.2">
      <c r="A8" s="1438">
        <v>1</v>
      </c>
      <c r="B8" s="1439">
        <v>2</v>
      </c>
      <c r="C8" s="1439">
        <v>3</v>
      </c>
      <c r="D8" s="1468">
        <v>4</v>
      </c>
      <c r="E8" s="1439">
        <v>5</v>
      </c>
      <c r="F8" s="1439">
        <v>6</v>
      </c>
      <c r="G8" s="1468">
        <v>7</v>
      </c>
      <c r="H8" s="1439">
        <v>8</v>
      </c>
      <c r="I8" s="1439">
        <v>9</v>
      </c>
      <c r="J8" s="1468">
        <v>10</v>
      </c>
      <c r="K8" s="1439">
        <v>11</v>
      </c>
      <c r="L8" s="1439">
        <v>12</v>
      </c>
      <c r="M8" s="1468">
        <v>13</v>
      </c>
      <c r="N8" s="1468">
        <v>14</v>
      </c>
      <c r="O8" s="1439">
        <v>15</v>
      </c>
      <c r="P8" s="1440">
        <v>16</v>
      </c>
    </row>
    <row r="9" spans="1:16" s="1388" customFormat="1" ht="21" customHeight="1" thickTop="1" x14ac:dyDescent="0.15">
      <c r="A9" s="1433"/>
      <c r="B9" s="1434"/>
      <c r="C9" s="1434"/>
      <c r="D9" s="1434"/>
      <c r="E9" s="1434"/>
      <c r="F9" s="1434"/>
      <c r="G9" s="1434"/>
      <c r="H9" s="1434"/>
      <c r="I9" s="1434"/>
      <c r="J9" s="1434"/>
      <c r="K9" s="1434"/>
      <c r="L9" s="1434"/>
      <c r="M9" s="1434"/>
      <c r="N9" s="1434"/>
      <c r="O9" s="1436"/>
      <c r="P9" s="1437"/>
    </row>
    <row r="10" spans="1:16" s="1389" customFormat="1" ht="33" customHeight="1" x14ac:dyDescent="0.2">
      <c r="A10" s="1441" t="s">
        <v>862</v>
      </c>
      <c r="B10" s="1410" t="s">
        <v>1125</v>
      </c>
      <c r="C10" s="1414"/>
      <c r="D10" s="1414"/>
      <c r="E10" s="1414"/>
      <c r="F10" s="1414"/>
      <c r="G10" s="1414"/>
      <c r="H10" s="1414"/>
      <c r="I10" s="1414"/>
      <c r="J10" s="1414"/>
      <c r="K10" s="1414"/>
      <c r="L10" s="1414"/>
      <c r="M10" s="1414"/>
      <c r="N10" s="1414"/>
      <c r="O10" s="1453">
        <f>O12</f>
        <v>642000</v>
      </c>
      <c r="P10" s="1427"/>
    </row>
    <row r="11" spans="1:16" s="1388" customFormat="1" ht="33" customHeight="1" x14ac:dyDescent="0.15">
      <c r="A11" s="1441" t="s">
        <v>863</v>
      </c>
      <c r="B11" s="1410" t="s">
        <v>1126</v>
      </c>
      <c r="C11" s="1454"/>
      <c r="D11" s="1454"/>
      <c r="E11" s="1454"/>
      <c r="F11" s="1454"/>
      <c r="G11" s="1454"/>
      <c r="H11" s="1454"/>
      <c r="I11" s="1454"/>
      <c r="J11" s="1454"/>
      <c r="K11" s="1454"/>
      <c r="L11" s="1454"/>
      <c r="M11" s="1454"/>
      <c r="N11" s="1454"/>
      <c r="O11" s="1454"/>
      <c r="P11" s="1461"/>
    </row>
    <row r="12" spans="1:16" s="1389" customFormat="1" ht="33" customHeight="1" x14ac:dyDescent="0.2">
      <c r="A12" s="1462"/>
      <c r="B12" s="1455" t="s">
        <v>1127</v>
      </c>
      <c r="C12" s="1416" t="s">
        <v>4889</v>
      </c>
      <c r="D12" s="1456"/>
      <c r="E12" s="1456"/>
      <c r="F12" s="1456"/>
      <c r="G12" s="1456"/>
      <c r="H12" s="1456"/>
      <c r="I12" s="1456"/>
      <c r="J12" s="1456"/>
      <c r="K12" s="1456"/>
      <c r="L12" s="1456"/>
      <c r="M12" s="1416">
        <v>2007</v>
      </c>
      <c r="N12" s="1416" t="s">
        <v>12</v>
      </c>
      <c r="O12" s="1457">
        <v>642000</v>
      </c>
      <c r="P12" s="1463"/>
    </row>
    <row r="13" spans="1:16" s="1388" customFormat="1" ht="33" customHeight="1" x14ac:dyDescent="0.15">
      <c r="A13" s="1464"/>
      <c r="B13" s="1454" t="s">
        <v>52</v>
      </c>
      <c r="C13" s="1454"/>
      <c r="D13" s="1454"/>
      <c r="E13" s="1454"/>
      <c r="F13" s="1454"/>
      <c r="G13" s="1454"/>
      <c r="H13" s="1454"/>
      <c r="I13" s="1454"/>
      <c r="J13" s="1454"/>
      <c r="K13" s="1454"/>
      <c r="L13" s="1454"/>
      <c r="M13" s="1454"/>
      <c r="N13" s="1454"/>
      <c r="O13" s="1454"/>
      <c r="P13" s="1461"/>
    </row>
    <row r="14" spans="1:16" s="1388" customFormat="1" ht="33" customHeight="1" x14ac:dyDescent="0.15">
      <c r="A14" s="1464"/>
      <c r="B14" s="1454" t="s">
        <v>52</v>
      </c>
      <c r="C14" s="1454"/>
      <c r="D14" s="1454"/>
      <c r="E14" s="1454"/>
      <c r="F14" s="1454"/>
      <c r="G14" s="1454"/>
      <c r="H14" s="1454"/>
      <c r="I14" s="1454"/>
      <c r="J14" s="1454"/>
      <c r="K14" s="1454"/>
      <c r="L14" s="1454"/>
      <c r="M14" s="1454"/>
      <c r="N14" s="1454"/>
      <c r="O14" s="1454"/>
      <c r="P14" s="1461"/>
    </row>
    <row r="15" spans="1:16" s="1388" customFormat="1" ht="33" customHeight="1" x14ac:dyDescent="0.15">
      <c r="A15" s="1465" t="s">
        <v>864</v>
      </c>
      <c r="B15" s="1410" t="s">
        <v>1128</v>
      </c>
      <c r="C15" s="1469" t="s">
        <v>860</v>
      </c>
      <c r="D15" s="1454"/>
      <c r="E15" s="1454"/>
      <c r="F15" s="1454"/>
      <c r="G15" s="1454"/>
      <c r="H15" s="1454"/>
      <c r="I15" s="1454"/>
      <c r="J15" s="1454"/>
      <c r="K15" s="1454"/>
      <c r="L15" s="1454"/>
      <c r="M15" s="1454"/>
      <c r="N15" s="1454"/>
      <c r="O15" s="1454"/>
      <c r="P15" s="1461"/>
    </row>
    <row r="16" spans="1:16" s="1388" customFormat="1" ht="33" customHeight="1" x14ac:dyDescent="0.15">
      <c r="A16" s="1464"/>
      <c r="B16" s="1454" t="s">
        <v>52</v>
      </c>
      <c r="C16" s="1470"/>
      <c r="D16" s="1454"/>
      <c r="E16" s="1454"/>
      <c r="F16" s="1454"/>
      <c r="G16" s="1454"/>
      <c r="H16" s="1454"/>
      <c r="I16" s="1454"/>
      <c r="J16" s="1454"/>
      <c r="K16" s="1454"/>
      <c r="L16" s="1454"/>
      <c r="M16" s="1454"/>
      <c r="N16" s="1454"/>
      <c r="O16" s="1454"/>
      <c r="P16" s="1461"/>
    </row>
    <row r="17" spans="1:16" s="1388" customFormat="1" ht="33" customHeight="1" x14ac:dyDescent="0.15">
      <c r="A17" s="1441" t="s">
        <v>865</v>
      </c>
      <c r="B17" s="1410" t="s">
        <v>1129</v>
      </c>
      <c r="C17" s="1469" t="s">
        <v>860</v>
      </c>
      <c r="D17" s="1454"/>
      <c r="E17" s="1454"/>
      <c r="F17" s="1454"/>
      <c r="G17" s="1454"/>
      <c r="H17" s="1454"/>
      <c r="I17" s="1454"/>
      <c r="J17" s="1454"/>
      <c r="K17" s="1454"/>
      <c r="L17" s="1454"/>
      <c r="M17" s="1454"/>
      <c r="N17" s="1454"/>
      <c r="O17" s="1454"/>
      <c r="P17" s="1461"/>
    </row>
    <row r="18" spans="1:16" s="1388" customFormat="1" ht="33" customHeight="1" thickBot="1" x14ac:dyDescent="0.2">
      <c r="A18" s="1466"/>
      <c r="B18" s="1458"/>
      <c r="C18" s="1459"/>
      <c r="D18" s="1459"/>
      <c r="E18" s="1459"/>
      <c r="F18" s="1459"/>
      <c r="G18" s="1459"/>
      <c r="H18" s="1459"/>
      <c r="I18" s="1459"/>
      <c r="J18" s="1459"/>
      <c r="K18" s="1459"/>
      <c r="L18" s="1459"/>
      <c r="M18" s="1459"/>
      <c r="N18" s="1459"/>
      <c r="O18" s="1459"/>
      <c r="P18" s="1467"/>
    </row>
    <row r="19" spans="1:16" s="1388" customFormat="1" ht="14" x14ac:dyDescent="0.15"/>
    <row r="20" spans="1:16" s="1388" customFormat="1" ht="14" x14ac:dyDescent="0.15"/>
    <row r="21" spans="1:16" s="1471" customFormat="1" ht="17" customHeight="1" x14ac:dyDescent="0.2">
      <c r="A21" s="1857" t="s">
        <v>4374</v>
      </c>
      <c r="B21" s="1857"/>
      <c r="C21" s="1857"/>
      <c r="D21" s="1857"/>
      <c r="E21" s="1857"/>
      <c r="F21" s="1857"/>
      <c r="J21" s="2043" t="s">
        <v>5491</v>
      </c>
      <c r="K21" s="2043"/>
      <c r="L21" s="2043"/>
      <c r="M21" s="2043"/>
      <c r="N21" s="2043"/>
      <c r="O21" s="2043"/>
      <c r="P21" s="2043"/>
    </row>
    <row r="22" spans="1:16" s="1471" customFormat="1" ht="17" customHeight="1" x14ac:dyDescent="0.2">
      <c r="A22" s="1857" t="s">
        <v>25</v>
      </c>
      <c r="B22" s="1857"/>
      <c r="C22" s="1857"/>
      <c r="D22" s="1857"/>
      <c r="E22" s="1857"/>
      <c r="F22" s="1857"/>
      <c r="J22" s="1857" t="s">
        <v>24</v>
      </c>
      <c r="K22" s="1857"/>
      <c r="L22" s="1857"/>
      <c r="M22" s="1857"/>
      <c r="N22" s="1857"/>
      <c r="O22" s="1857"/>
      <c r="P22" s="1857"/>
    </row>
    <row r="23" spans="1:16" s="1471" customFormat="1" ht="17" customHeight="1" x14ac:dyDescent="0.2">
      <c r="A23" s="1407"/>
      <c r="B23" s="1407"/>
      <c r="C23" s="1407"/>
      <c r="M23" s="1407"/>
      <c r="N23" s="1407"/>
      <c r="O23" s="1407"/>
      <c r="P23" s="1407"/>
    </row>
    <row r="24" spans="1:16" s="1471" customFormat="1" ht="17" customHeight="1" x14ac:dyDescent="0.2">
      <c r="A24" s="1407"/>
      <c r="B24" s="1407"/>
      <c r="C24" s="1407"/>
      <c r="M24" s="1407"/>
      <c r="N24" s="1407"/>
      <c r="O24" s="1407"/>
      <c r="P24" s="1407"/>
    </row>
    <row r="25" spans="1:16" s="1471" customFormat="1" ht="17" customHeight="1" x14ac:dyDescent="0.2">
      <c r="A25" s="1407"/>
      <c r="B25" s="1407"/>
      <c r="C25" s="1407"/>
      <c r="M25" s="1407"/>
      <c r="N25" s="1407"/>
      <c r="O25" s="1407"/>
      <c r="P25" s="1407"/>
    </row>
    <row r="26" spans="1:16" s="1471" customFormat="1" ht="17" customHeight="1" x14ac:dyDescent="0.2">
      <c r="A26" s="1407"/>
      <c r="B26" s="1407"/>
      <c r="C26" s="1407"/>
      <c r="M26" s="1407"/>
      <c r="N26" s="1407"/>
      <c r="O26" s="1407"/>
      <c r="P26" s="1407"/>
    </row>
    <row r="27" spans="1:16" s="1471" customFormat="1" ht="17" customHeight="1" x14ac:dyDescent="0.2">
      <c r="A27" s="1407"/>
      <c r="B27" s="1407"/>
      <c r="C27" s="1407"/>
      <c r="M27" s="1407"/>
      <c r="N27" s="1407"/>
      <c r="O27" s="1407"/>
      <c r="P27" s="1407"/>
    </row>
    <row r="28" spans="1:16" s="1471" customFormat="1" ht="17" customHeight="1" x14ac:dyDescent="0.2">
      <c r="A28" s="1858" t="s">
        <v>4375</v>
      </c>
      <c r="B28" s="1858"/>
      <c r="C28" s="1858"/>
      <c r="D28" s="1858"/>
      <c r="E28" s="1858"/>
      <c r="F28" s="1858"/>
      <c r="J28" s="2044" t="s">
        <v>27</v>
      </c>
      <c r="K28" s="2044"/>
      <c r="L28" s="2044"/>
      <c r="M28" s="2044"/>
      <c r="N28" s="2044"/>
      <c r="O28" s="2044"/>
      <c r="P28" s="2044"/>
    </row>
    <row r="29" spans="1:16" s="1471" customFormat="1" ht="17" customHeight="1" x14ac:dyDescent="0.2">
      <c r="A29" s="1857" t="s">
        <v>4376</v>
      </c>
      <c r="B29" s="1857"/>
      <c r="C29" s="1857"/>
      <c r="D29" s="1857"/>
      <c r="E29" s="1857"/>
      <c r="F29" s="1857"/>
      <c r="J29" s="2043" t="s">
        <v>29</v>
      </c>
      <c r="K29" s="2043"/>
      <c r="L29" s="2043"/>
      <c r="M29" s="2043"/>
      <c r="N29" s="2043"/>
      <c r="O29" s="2043"/>
      <c r="P29" s="2043"/>
    </row>
    <row r="30" spans="1:16" x14ac:dyDescent="0.2">
      <c r="M30" s="2061"/>
      <c r="N30" s="2061"/>
      <c r="O30" s="2061"/>
      <c r="P30" s="2061"/>
    </row>
  </sheetData>
  <mergeCells count="32">
    <mergeCell ref="J6:J7"/>
    <mergeCell ref="K6:K7"/>
    <mergeCell ref="M30:P30"/>
    <mergeCell ref="E6:E7"/>
    <mergeCell ref="F6:F7"/>
    <mergeCell ref="G6:G7"/>
    <mergeCell ref="H6:H7"/>
    <mergeCell ref="I6:I7"/>
    <mergeCell ref="A1:P1"/>
    <mergeCell ref="A2:P2"/>
    <mergeCell ref="A3:P3"/>
    <mergeCell ref="A5:A7"/>
    <mergeCell ref="B5:B7"/>
    <mergeCell ref="C5:D5"/>
    <mergeCell ref="E5:F5"/>
    <mergeCell ref="G5:I5"/>
    <mergeCell ref="J5:K5"/>
    <mergeCell ref="L5:L7"/>
    <mergeCell ref="M5:M7"/>
    <mergeCell ref="N5:N7"/>
    <mergeCell ref="O5:O7"/>
    <mergeCell ref="P5:P7"/>
    <mergeCell ref="C6:C7"/>
    <mergeCell ref="D6:D7"/>
    <mergeCell ref="A21:F21"/>
    <mergeCell ref="A22:F22"/>
    <mergeCell ref="A28:F28"/>
    <mergeCell ref="A29:F29"/>
    <mergeCell ref="J21:P21"/>
    <mergeCell ref="J22:P22"/>
    <mergeCell ref="J28:P28"/>
    <mergeCell ref="J29:P29"/>
  </mergeCells>
  <printOptions horizontalCentered="1"/>
  <pageMargins left="0.34055118099999998" right="0.893700787" top="1.0374015750000001" bottom="0.66929133858267698" header="0.31496062992126" footer="0.31496062992126"/>
  <pageSetup paperSize="5" scale="70" orientation="landscape" horizontalDpi="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119"/>
  <sheetViews>
    <sheetView view="pageBreakPreview" zoomScale="73" zoomScaleNormal="70" zoomScaleSheetLayoutView="73" workbookViewId="0">
      <pane xSplit="3" ySplit="10" topLeftCell="D17" activePane="bottomRight" state="frozen"/>
      <selection pane="topRight" activeCell="D1" sqref="D1"/>
      <selection pane="bottomLeft" activeCell="A11" sqref="A11"/>
      <selection pane="bottomRight" activeCell="F15" sqref="F15"/>
    </sheetView>
  </sheetViews>
  <sheetFormatPr baseColWidth="10" defaultColWidth="9.1640625" defaultRowHeight="15" x14ac:dyDescent="0.2"/>
  <cols>
    <col min="1" max="1" width="6.5" style="2" bestFit="1" customWidth="1"/>
    <col min="2" max="2" width="40.1640625" style="1" customWidth="1"/>
    <col min="3" max="3" width="16.33203125" style="2" customWidth="1"/>
    <col min="4" max="4" width="17.33203125" style="2" customWidth="1"/>
    <col min="5" max="5" width="19.6640625" style="2" customWidth="1"/>
    <col min="6" max="6" width="11.83203125" style="2" customWidth="1"/>
    <col min="7" max="7" width="16.1640625" style="2" customWidth="1"/>
    <col min="8" max="8" width="18.33203125" style="1309" customWidth="1"/>
    <col min="9" max="9" width="16.5" style="2" customWidth="1"/>
    <col min="10" max="10" width="12.5" style="1309" bestFit="1" customWidth="1"/>
    <col min="11" max="11" width="12.5" style="2" customWidth="1"/>
    <col min="12" max="12" width="18.5" style="2" customWidth="1"/>
    <col min="13" max="13" width="23.1640625" style="2" customWidth="1"/>
    <col min="14" max="14" width="21.6640625" style="2" bestFit="1" customWidth="1"/>
    <col min="15" max="15" width="18.5" style="2" customWidth="1"/>
    <col min="16" max="16" width="19.33203125" style="1148" customWidth="1"/>
    <col min="17" max="17" width="17.6640625" style="231" bestFit="1" customWidth="1"/>
    <col min="18" max="18" width="16.1640625" style="231" bestFit="1" customWidth="1"/>
    <col min="19" max="16384" width="9.1640625" style="2"/>
  </cols>
  <sheetData>
    <row r="1" spans="1:18" x14ac:dyDescent="0.2">
      <c r="A1" s="1"/>
      <c r="C1" s="1"/>
      <c r="D1" s="1"/>
      <c r="E1" s="1"/>
      <c r="F1" s="1"/>
      <c r="G1" s="1"/>
      <c r="H1" s="1308"/>
      <c r="I1" s="1"/>
      <c r="J1" s="1308"/>
      <c r="K1" s="1"/>
      <c r="L1" s="1"/>
      <c r="M1" s="1"/>
      <c r="N1" s="1"/>
      <c r="O1" s="1"/>
    </row>
    <row r="2" spans="1:18" ht="26" x14ac:dyDescent="0.3">
      <c r="A2" s="1828" t="s">
        <v>4800</v>
      </c>
      <c r="B2" s="1828"/>
      <c r="C2" s="1828"/>
      <c r="D2" s="1828"/>
      <c r="E2" s="1828"/>
      <c r="F2" s="1828"/>
      <c r="G2" s="1828"/>
      <c r="H2" s="1828"/>
      <c r="I2" s="1828"/>
      <c r="J2" s="1828"/>
      <c r="K2" s="1828"/>
      <c r="L2" s="1828"/>
      <c r="M2" s="1828"/>
      <c r="N2" s="1828"/>
      <c r="O2" s="1828"/>
    </row>
    <row r="3" spans="1:18" ht="26" x14ac:dyDescent="0.3">
      <c r="A3" s="1828" t="s">
        <v>1655</v>
      </c>
      <c r="B3" s="1828"/>
      <c r="C3" s="1828"/>
      <c r="D3" s="1828"/>
      <c r="E3" s="1828"/>
      <c r="F3" s="1828"/>
      <c r="G3" s="1828"/>
      <c r="H3" s="1828"/>
      <c r="I3" s="1828"/>
      <c r="J3" s="1828"/>
      <c r="K3" s="1828"/>
      <c r="L3" s="1828"/>
      <c r="M3" s="1828"/>
      <c r="N3" s="1828"/>
      <c r="O3" s="1828"/>
    </row>
    <row r="4" spans="1:18" ht="26" x14ac:dyDescent="0.3">
      <c r="A4" s="1828"/>
      <c r="B4" s="1828"/>
      <c r="C4" s="1828"/>
      <c r="D4" s="1828"/>
      <c r="E4" s="1828"/>
      <c r="F4" s="1828"/>
      <c r="G4" s="1828"/>
      <c r="H4" s="1828"/>
      <c r="I4" s="1828"/>
      <c r="J4" s="1828"/>
      <c r="K4" s="1828"/>
      <c r="L4" s="1828"/>
      <c r="M4" s="1828"/>
      <c r="N4" s="1828"/>
      <c r="O4" s="1828"/>
    </row>
    <row r="5" spans="1:18" ht="16" thickBot="1" x14ac:dyDescent="0.25">
      <c r="A5" s="1"/>
      <c r="B5" s="21" t="s">
        <v>32</v>
      </c>
      <c r="C5" s="12" t="s">
        <v>33</v>
      </c>
      <c r="D5" s="1"/>
      <c r="E5" s="1"/>
      <c r="F5" s="1"/>
      <c r="G5" s="1"/>
      <c r="H5" s="1308"/>
      <c r="I5" s="1"/>
      <c r="J5" s="1308"/>
      <c r="K5" s="1"/>
      <c r="L5" s="1"/>
      <c r="M5" s="1"/>
      <c r="N5" s="1"/>
      <c r="O5" s="1"/>
    </row>
    <row r="6" spans="1:18" ht="26.25" customHeight="1" thickTop="1" x14ac:dyDescent="0.2">
      <c r="A6" s="1829" t="s">
        <v>869</v>
      </c>
      <c r="B6" s="1817" t="s">
        <v>870</v>
      </c>
      <c r="C6" s="1817" t="s">
        <v>1651</v>
      </c>
      <c r="D6" s="1817" t="s">
        <v>1102</v>
      </c>
      <c r="E6" s="1817"/>
      <c r="F6" s="2067" t="s">
        <v>872</v>
      </c>
      <c r="G6" s="1817" t="s">
        <v>1652</v>
      </c>
      <c r="H6" s="2069" t="s">
        <v>1103</v>
      </c>
      <c r="I6" s="2069"/>
      <c r="J6" s="2064" t="s">
        <v>1653</v>
      </c>
      <c r="K6" s="2064" t="s">
        <v>875</v>
      </c>
      <c r="L6" s="2064" t="s">
        <v>1104</v>
      </c>
      <c r="M6" s="1817" t="s">
        <v>876</v>
      </c>
      <c r="N6" s="1817" t="s">
        <v>1654</v>
      </c>
      <c r="O6" s="1823" t="s">
        <v>911</v>
      </c>
    </row>
    <row r="7" spans="1:18" ht="24" customHeight="1" x14ac:dyDescent="0.2">
      <c r="A7" s="1830"/>
      <c r="B7" s="1818"/>
      <c r="C7" s="1818"/>
      <c r="D7" s="1818" t="s">
        <v>1106</v>
      </c>
      <c r="E7" s="1818" t="s">
        <v>1107</v>
      </c>
      <c r="F7" s="2068"/>
      <c r="G7" s="1818"/>
      <c r="H7" s="2066" t="s">
        <v>882</v>
      </c>
      <c r="I7" s="2066" t="s">
        <v>883</v>
      </c>
      <c r="J7" s="2065"/>
      <c r="K7" s="2065"/>
      <c r="L7" s="2065"/>
      <c r="M7" s="1818"/>
      <c r="N7" s="1818"/>
      <c r="O7" s="1824"/>
      <c r="P7" s="1148" t="s">
        <v>4801</v>
      </c>
      <c r="Q7" s="231" t="s">
        <v>4802</v>
      </c>
      <c r="R7" s="231" t="s">
        <v>4803</v>
      </c>
    </row>
    <row r="8" spans="1:18" ht="22.5" customHeight="1" x14ac:dyDescent="0.2">
      <c r="A8" s="1830"/>
      <c r="B8" s="1818"/>
      <c r="C8" s="1818"/>
      <c r="D8" s="1818"/>
      <c r="E8" s="1818"/>
      <c r="F8" s="2068"/>
      <c r="G8" s="1818"/>
      <c r="H8" s="2066"/>
      <c r="I8" s="2066"/>
      <c r="J8" s="2065"/>
      <c r="K8" s="2065"/>
      <c r="L8" s="2065"/>
      <c r="M8" s="1818"/>
      <c r="N8" s="1818"/>
      <c r="O8" s="1824"/>
    </row>
    <row r="9" spans="1:18" x14ac:dyDescent="0.2">
      <c r="A9" s="50">
        <v>1</v>
      </c>
      <c r="B9" s="51">
        <v>2</v>
      </c>
      <c r="C9" s="51">
        <v>3</v>
      </c>
      <c r="D9" s="51">
        <v>4</v>
      </c>
      <c r="E9" s="51">
        <v>5</v>
      </c>
      <c r="F9" s="51">
        <v>6</v>
      </c>
      <c r="G9" s="51">
        <v>7</v>
      </c>
      <c r="H9" s="51">
        <v>8</v>
      </c>
      <c r="I9" s="51">
        <v>9</v>
      </c>
      <c r="J9" s="51">
        <v>10</v>
      </c>
      <c r="K9" s="51">
        <v>11</v>
      </c>
      <c r="L9" s="51">
        <v>12</v>
      </c>
      <c r="M9" s="51">
        <v>13</v>
      </c>
      <c r="N9" s="51">
        <v>14</v>
      </c>
      <c r="O9" s="52">
        <v>15</v>
      </c>
    </row>
    <row r="10" spans="1:18" x14ac:dyDescent="0.2">
      <c r="A10" s="53"/>
      <c r="B10" s="16"/>
      <c r="C10" s="16"/>
      <c r="D10" s="16"/>
      <c r="E10" s="16"/>
      <c r="F10" s="16"/>
      <c r="G10" s="16"/>
      <c r="H10" s="55"/>
      <c r="I10" s="16"/>
      <c r="J10" s="55"/>
      <c r="K10" s="16"/>
      <c r="L10" s="16"/>
      <c r="M10" s="16"/>
      <c r="N10" s="56"/>
      <c r="O10" s="126"/>
      <c r="P10" s="197"/>
      <c r="Q10" s="2"/>
      <c r="R10" s="2"/>
    </row>
    <row r="11" spans="1:18" ht="47.25" customHeight="1" x14ac:dyDescent="0.2">
      <c r="A11" s="53" t="s">
        <v>866</v>
      </c>
      <c r="B11" s="96" t="s">
        <v>1655</v>
      </c>
      <c r="C11" s="16"/>
      <c r="D11" s="16"/>
      <c r="E11" s="16"/>
      <c r="F11" s="16"/>
      <c r="G11" s="125"/>
      <c r="H11" s="55"/>
      <c r="I11" s="16"/>
      <c r="J11" s="55"/>
      <c r="K11" s="16"/>
      <c r="L11" s="16"/>
      <c r="M11" s="16"/>
      <c r="N11" s="1149">
        <f>SUM(N12:N106)</f>
        <v>11587260300</v>
      </c>
      <c r="O11" s="126"/>
      <c r="P11" s="197"/>
      <c r="Q11" s="2"/>
      <c r="R11" s="2"/>
    </row>
    <row r="12" spans="1:18" s="48" customFormat="1" ht="45.75" customHeight="1" x14ac:dyDescent="0.2">
      <c r="A12" s="53"/>
      <c r="B12" s="160" t="s">
        <v>1656</v>
      </c>
      <c r="C12" s="40"/>
      <c r="D12" s="40"/>
      <c r="E12" s="40"/>
      <c r="F12" s="40"/>
      <c r="G12" s="161"/>
      <c r="H12" s="33">
        <v>2013</v>
      </c>
      <c r="I12" s="40"/>
      <c r="J12" s="33"/>
      <c r="K12" s="40"/>
      <c r="L12" s="40"/>
      <c r="M12" s="162" t="s">
        <v>12</v>
      </c>
      <c r="N12" s="163">
        <v>49102500</v>
      </c>
      <c r="O12" s="127"/>
      <c r="P12" s="198" t="s">
        <v>867</v>
      </c>
    </row>
    <row r="13" spans="1:18" s="48" customFormat="1" ht="45.75" customHeight="1" x14ac:dyDescent="0.2">
      <c r="A13" s="53"/>
      <c r="B13" s="160" t="s">
        <v>1657</v>
      </c>
      <c r="C13" s="40"/>
      <c r="D13" s="40"/>
      <c r="E13" s="40"/>
      <c r="F13" s="40"/>
      <c r="G13" s="161"/>
      <c r="H13" s="33">
        <v>2013</v>
      </c>
      <c r="I13" s="40"/>
      <c r="J13" s="33"/>
      <c r="K13" s="40"/>
      <c r="L13" s="40"/>
      <c r="M13" s="162" t="s">
        <v>12</v>
      </c>
      <c r="N13" s="163">
        <v>49080500</v>
      </c>
      <c r="O13" s="127"/>
      <c r="P13" s="198"/>
      <c r="Q13" s="1150" t="e">
        <f>#REF!-Q21-Q26</f>
        <v>#REF!</v>
      </c>
    </row>
    <row r="14" spans="1:18" s="48" customFormat="1" ht="45.75" customHeight="1" x14ac:dyDescent="0.2">
      <c r="A14" s="53"/>
      <c r="B14" s="160" t="s">
        <v>1658</v>
      </c>
      <c r="C14" s="40"/>
      <c r="D14" s="40"/>
      <c r="E14" s="40"/>
      <c r="F14" s="40"/>
      <c r="G14" s="161"/>
      <c r="H14" s="33">
        <v>2013</v>
      </c>
      <c r="I14" s="40"/>
      <c r="J14" s="33"/>
      <c r="K14" s="40"/>
      <c r="L14" s="40"/>
      <c r="M14" s="162" t="s">
        <v>12</v>
      </c>
      <c r="N14" s="163">
        <v>49082700</v>
      </c>
      <c r="O14" s="127"/>
      <c r="P14" s="198"/>
    </row>
    <row r="15" spans="1:18" s="48" customFormat="1" ht="45.75" customHeight="1" x14ac:dyDescent="0.2">
      <c r="A15" s="53"/>
      <c r="B15" s="160" t="s">
        <v>1659</v>
      </c>
      <c r="C15" s="40"/>
      <c r="D15" s="40"/>
      <c r="E15" s="40"/>
      <c r="F15" s="40"/>
      <c r="G15" s="161"/>
      <c r="H15" s="33">
        <v>2013</v>
      </c>
      <c r="I15" s="40"/>
      <c r="J15" s="33"/>
      <c r="K15" s="40"/>
      <c r="L15" s="40"/>
      <c r="M15" s="162" t="s">
        <v>12</v>
      </c>
      <c r="N15" s="163">
        <v>49256500</v>
      </c>
      <c r="O15" s="127"/>
      <c r="P15" s="198"/>
    </row>
    <row r="16" spans="1:18" s="48" customFormat="1" ht="45.75" customHeight="1" x14ac:dyDescent="0.2">
      <c r="A16" s="53"/>
      <c r="B16" s="160" t="s">
        <v>1660</v>
      </c>
      <c r="C16" s="40"/>
      <c r="D16" s="40"/>
      <c r="E16" s="40"/>
      <c r="F16" s="40"/>
      <c r="G16" s="161"/>
      <c r="H16" s="33">
        <v>2013</v>
      </c>
      <c r="I16" s="40"/>
      <c r="J16" s="33"/>
      <c r="K16" s="40"/>
      <c r="L16" s="40"/>
      <c r="M16" s="162" t="s">
        <v>12</v>
      </c>
      <c r="N16" s="163">
        <v>49245500</v>
      </c>
      <c r="O16" s="127"/>
      <c r="P16" s="198"/>
    </row>
    <row r="17" spans="1:17" s="48" customFormat="1" ht="45.75" customHeight="1" x14ac:dyDescent="0.2">
      <c r="A17" s="53"/>
      <c r="B17" s="160" t="s">
        <v>1661</v>
      </c>
      <c r="C17" s="40"/>
      <c r="D17" s="40"/>
      <c r="E17" s="40"/>
      <c r="F17" s="40"/>
      <c r="G17" s="161"/>
      <c r="H17" s="33">
        <v>2013</v>
      </c>
      <c r="I17" s="40"/>
      <c r="J17" s="33"/>
      <c r="K17" s="40"/>
      <c r="L17" s="40"/>
      <c r="M17" s="162" t="s">
        <v>12</v>
      </c>
      <c r="N17" s="163">
        <v>49190500</v>
      </c>
      <c r="O17" s="127"/>
      <c r="P17" s="198"/>
    </row>
    <row r="18" spans="1:17" s="48" customFormat="1" ht="45.75" customHeight="1" x14ac:dyDescent="0.2">
      <c r="A18" s="53"/>
      <c r="B18" s="160" t="s">
        <v>1662</v>
      </c>
      <c r="C18" s="40"/>
      <c r="D18" s="40"/>
      <c r="E18" s="40"/>
      <c r="F18" s="40"/>
      <c r="G18" s="161"/>
      <c r="H18" s="33">
        <v>2013</v>
      </c>
      <c r="I18" s="40"/>
      <c r="J18" s="33"/>
      <c r="K18" s="40"/>
      <c r="L18" s="40"/>
      <c r="M18" s="162" t="s">
        <v>12</v>
      </c>
      <c r="N18" s="163">
        <v>49091500</v>
      </c>
      <c r="O18" s="127"/>
      <c r="P18" s="198"/>
    </row>
    <row r="19" spans="1:17" s="48" customFormat="1" ht="45.75" customHeight="1" x14ac:dyDescent="0.2">
      <c r="A19" s="53"/>
      <c r="B19" s="160" t="s">
        <v>1663</v>
      </c>
      <c r="C19" s="40"/>
      <c r="D19" s="40"/>
      <c r="E19" s="40"/>
      <c r="F19" s="40"/>
      <c r="G19" s="161"/>
      <c r="H19" s="33">
        <v>2013</v>
      </c>
      <c r="I19" s="40"/>
      <c r="J19" s="33"/>
      <c r="K19" s="40"/>
      <c r="L19" s="40"/>
      <c r="M19" s="162" t="s">
        <v>12</v>
      </c>
      <c r="N19" s="163">
        <v>49193250</v>
      </c>
      <c r="O19" s="127"/>
      <c r="P19" s="198"/>
    </row>
    <row r="20" spans="1:17" s="48" customFormat="1" ht="45.75" customHeight="1" x14ac:dyDescent="0.2">
      <c r="A20" s="53"/>
      <c r="B20" s="160" t="s">
        <v>1664</v>
      </c>
      <c r="C20" s="40"/>
      <c r="D20" s="40"/>
      <c r="E20" s="40"/>
      <c r="F20" s="40"/>
      <c r="G20" s="161"/>
      <c r="H20" s="33">
        <v>2013</v>
      </c>
      <c r="I20" s="40"/>
      <c r="J20" s="33"/>
      <c r="K20" s="40"/>
      <c r="L20" s="40"/>
      <c r="M20" s="162" t="s">
        <v>12</v>
      </c>
      <c r="N20" s="163">
        <v>49773500</v>
      </c>
      <c r="O20" s="127"/>
      <c r="P20" s="198"/>
    </row>
    <row r="21" spans="1:17" s="48" customFormat="1" ht="45.75" customHeight="1" x14ac:dyDescent="0.2">
      <c r="A21" s="53"/>
      <c r="B21" s="160" t="s">
        <v>1665</v>
      </c>
      <c r="C21" s="40"/>
      <c r="D21" s="40"/>
      <c r="E21" s="40"/>
      <c r="F21" s="40"/>
      <c r="G21" s="161"/>
      <c r="H21" s="33">
        <v>2013</v>
      </c>
      <c r="I21" s="40"/>
      <c r="J21" s="33"/>
      <c r="K21" s="40"/>
      <c r="L21" s="40"/>
      <c r="M21" s="162" t="s">
        <v>12</v>
      </c>
      <c r="N21" s="163">
        <v>49700000</v>
      </c>
      <c r="O21" s="127"/>
      <c r="P21" s="198"/>
      <c r="Q21" s="48">
        <v>41725997101</v>
      </c>
    </row>
    <row r="22" spans="1:17" s="48" customFormat="1" ht="45.75" customHeight="1" x14ac:dyDescent="0.2">
      <c r="A22" s="53"/>
      <c r="B22" s="160" t="s">
        <v>1666</v>
      </c>
      <c r="C22" s="40"/>
      <c r="D22" s="40"/>
      <c r="E22" s="40"/>
      <c r="F22" s="40"/>
      <c r="G22" s="161"/>
      <c r="H22" s="33">
        <v>2013</v>
      </c>
      <c r="I22" s="40"/>
      <c r="J22" s="33"/>
      <c r="K22" s="40"/>
      <c r="L22" s="40"/>
      <c r="M22" s="162" t="s">
        <v>12</v>
      </c>
      <c r="N22" s="163">
        <v>49700000</v>
      </c>
      <c r="O22" s="127"/>
      <c r="P22" s="198"/>
    </row>
    <row r="23" spans="1:17" s="48" customFormat="1" ht="45.75" customHeight="1" x14ac:dyDescent="0.2">
      <c r="A23" s="53"/>
      <c r="B23" s="160" t="s">
        <v>1667</v>
      </c>
      <c r="C23" s="40"/>
      <c r="D23" s="40"/>
      <c r="E23" s="40"/>
      <c r="F23" s="40"/>
      <c r="G23" s="161"/>
      <c r="H23" s="33">
        <v>2013</v>
      </c>
      <c r="I23" s="40"/>
      <c r="J23" s="33"/>
      <c r="K23" s="40"/>
      <c r="L23" s="40"/>
      <c r="M23" s="162" t="s">
        <v>12</v>
      </c>
      <c r="N23" s="163">
        <v>49700000</v>
      </c>
      <c r="O23" s="127"/>
      <c r="P23" s="198"/>
    </row>
    <row r="24" spans="1:17" s="48" customFormat="1" ht="45.75" customHeight="1" x14ac:dyDescent="0.2">
      <c r="A24" s="53"/>
      <c r="B24" s="160" t="s">
        <v>1668</v>
      </c>
      <c r="C24" s="40"/>
      <c r="D24" s="40"/>
      <c r="E24" s="40"/>
      <c r="F24" s="40"/>
      <c r="G24" s="161"/>
      <c r="H24" s="33">
        <v>2013</v>
      </c>
      <c r="I24" s="40"/>
      <c r="J24" s="33"/>
      <c r="K24" s="40"/>
      <c r="L24" s="40"/>
      <c r="M24" s="162" t="s">
        <v>12</v>
      </c>
      <c r="N24" s="163">
        <v>49700000</v>
      </c>
      <c r="O24" s="127"/>
      <c r="P24" s="198"/>
    </row>
    <row r="25" spans="1:17" s="48" customFormat="1" ht="45.75" customHeight="1" x14ac:dyDescent="0.2">
      <c r="A25" s="53"/>
      <c r="B25" s="160" t="s">
        <v>1669</v>
      </c>
      <c r="C25" s="40"/>
      <c r="D25" s="40"/>
      <c r="E25" s="40"/>
      <c r="F25" s="40"/>
      <c r="G25" s="161"/>
      <c r="H25" s="33">
        <v>2013</v>
      </c>
      <c r="I25" s="40"/>
      <c r="J25" s="33"/>
      <c r="K25" s="40"/>
      <c r="L25" s="40"/>
      <c r="M25" s="162" t="s">
        <v>12</v>
      </c>
      <c r="N25" s="163">
        <v>49700000</v>
      </c>
      <c r="O25" s="127"/>
      <c r="P25" s="198"/>
    </row>
    <row r="26" spans="1:17" s="48" customFormat="1" ht="45.75" customHeight="1" x14ac:dyDescent="0.2">
      <c r="A26" s="53"/>
      <c r="B26" s="160" t="s">
        <v>1670</v>
      </c>
      <c r="C26" s="40"/>
      <c r="D26" s="40"/>
      <c r="E26" s="40"/>
      <c r="F26" s="40"/>
      <c r="G26" s="161"/>
      <c r="H26" s="33">
        <v>2014</v>
      </c>
      <c r="I26" s="40"/>
      <c r="J26" s="33"/>
      <c r="K26" s="40"/>
      <c r="L26" s="40"/>
      <c r="M26" s="162" t="s">
        <v>12</v>
      </c>
      <c r="N26" s="163">
        <v>415692500</v>
      </c>
      <c r="O26" s="127"/>
      <c r="P26" s="198"/>
      <c r="Q26" s="1150" t="e">
        <f>#REF!-Q21</f>
        <v>#REF!</v>
      </c>
    </row>
    <row r="27" spans="1:17" s="48" customFormat="1" ht="45.75" customHeight="1" x14ac:dyDescent="0.2">
      <c r="A27" s="53"/>
      <c r="B27" s="160" t="s">
        <v>1671</v>
      </c>
      <c r="C27" s="40"/>
      <c r="D27" s="40"/>
      <c r="E27" s="40"/>
      <c r="F27" s="40"/>
      <c r="G27" s="161"/>
      <c r="H27" s="33">
        <v>2014</v>
      </c>
      <c r="I27" s="40"/>
      <c r="J27" s="33"/>
      <c r="K27" s="40"/>
      <c r="L27" s="40"/>
      <c r="M27" s="162" t="s">
        <v>12</v>
      </c>
      <c r="N27" s="163">
        <v>135148500</v>
      </c>
      <c r="O27" s="127"/>
      <c r="P27" s="198"/>
    </row>
    <row r="28" spans="1:17" s="48" customFormat="1" ht="45.75" customHeight="1" x14ac:dyDescent="0.2">
      <c r="A28" s="53"/>
      <c r="B28" s="160" t="s">
        <v>1672</v>
      </c>
      <c r="C28" s="40"/>
      <c r="D28" s="40"/>
      <c r="E28" s="40"/>
      <c r="F28" s="40"/>
      <c r="G28" s="161"/>
      <c r="H28" s="33">
        <v>2014</v>
      </c>
      <c r="I28" s="40"/>
      <c r="J28" s="33"/>
      <c r="K28" s="40"/>
      <c r="L28" s="40"/>
      <c r="M28" s="162" t="s">
        <v>12</v>
      </c>
      <c r="N28" s="163">
        <v>136155000</v>
      </c>
      <c r="O28" s="127"/>
      <c r="P28" s="198"/>
    </row>
    <row r="29" spans="1:17" s="48" customFormat="1" ht="45.75" customHeight="1" x14ac:dyDescent="0.2">
      <c r="A29" s="53"/>
      <c r="B29" s="160" t="s">
        <v>1673</v>
      </c>
      <c r="C29" s="40"/>
      <c r="D29" s="40"/>
      <c r="E29" s="40"/>
      <c r="F29" s="40"/>
      <c r="G29" s="161"/>
      <c r="H29" s="33">
        <v>2014</v>
      </c>
      <c r="I29" s="40"/>
      <c r="J29" s="33"/>
      <c r="K29" s="40"/>
      <c r="L29" s="40"/>
      <c r="M29" s="162" t="s">
        <v>12</v>
      </c>
      <c r="N29" s="163">
        <v>87308750</v>
      </c>
      <c r="O29" s="127"/>
      <c r="P29" s="198"/>
    </row>
    <row r="30" spans="1:17" s="48" customFormat="1" ht="45.75" customHeight="1" x14ac:dyDescent="0.2">
      <c r="A30" s="53"/>
      <c r="B30" s="160" t="s">
        <v>1674</v>
      </c>
      <c r="C30" s="40"/>
      <c r="D30" s="40"/>
      <c r="E30" s="40"/>
      <c r="F30" s="40"/>
      <c r="G30" s="161"/>
      <c r="H30" s="33">
        <v>2014</v>
      </c>
      <c r="I30" s="40"/>
      <c r="J30" s="33"/>
      <c r="K30" s="40"/>
      <c r="L30" s="40"/>
      <c r="M30" s="162" t="s">
        <v>12</v>
      </c>
      <c r="N30" s="163">
        <v>72835500</v>
      </c>
      <c r="O30" s="127"/>
      <c r="P30" s="198"/>
    </row>
    <row r="31" spans="1:17" s="48" customFormat="1" ht="45.75" customHeight="1" x14ac:dyDescent="0.2">
      <c r="A31" s="53"/>
      <c r="B31" s="160" t="s">
        <v>1675</v>
      </c>
      <c r="C31" s="40"/>
      <c r="D31" s="40"/>
      <c r="E31" s="40"/>
      <c r="F31" s="40"/>
      <c r="G31" s="161"/>
      <c r="H31" s="33">
        <v>2014</v>
      </c>
      <c r="I31" s="40"/>
      <c r="J31" s="33"/>
      <c r="K31" s="40"/>
      <c r="L31" s="40"/>
      <c r="M31" s="162" t="s">
        <v>12</v>
      </c>
      <c r="N31" s="163">
        <v>102365000</v>
      </c>
      <c r="O31" s="127"/>
      <c r="P31" s="198"/>
    </row>
    <row r="32" spans="1:17" s="48" customFormat="1" ht="45.75" customHeight="1" x14ac:dyDescent="0.2">
      <c r="A32" s="53"/>
      <c r="B32" s="160" t="s">
        <v>1676</v>
      </c>
      <c r="C32" s="40"/>
      <c r="D32" s="40"/>
      <c r="E32" s="40"/>
      <c r="F32" s="40"/>
      <c r="G32" s="161"/>
      <c r="H32" s="33">
        <v>2014</v>
      </c>
      <c r="I32" s="40"/>
      <c r="J32" s="33"/>
      <c r="K32" s="40"/>
      <c r="L32" s="40"/>
      <c r="M32" s="162" t="s">
        <v>12</v>
      </c>
      <c r="N32" s="163">
        <v>47810750</v>
      </c>
      <c r="O32" s="127"/>
      <c r="P32" s="198"/>
    </row>
    <row r="33" spans="1:16" s="48" customFormat="1" ht="45.75" customHeight="1" x14ac:dyDescent="0.2">
      <c r="A33" s="53"/>
      <c r="B33" s="160" t="s">
        <v>1677</v>
      </c>
      <c r="C33" s="40"/>
      <c r="D33" s="40"/>
      <c r="E33" s="40"/>
      <c r="F33" s="40"/>
      <c r="G33" s="161"/>
      <c r="H33" s="33">
        <v>2015</v>
      </c>
      <c r="I33" s="40"/>
      <c r="J33" s="33"/>
      <c r="K33" s="40"/>
      <c r="L33" s="40"/>
      <c r="M33" s="162"/>
      <c r="N33" s="163">
        <v>48950000</v>
      </c>
      <c r="O33" s="127"/>
      <c r="P33" s="199"/>
    </row>
    <row r="34" spans="1:16" s="48" customFormat="1" ht="45.75" customHeight="1" x14ac:dyDescent="0.2">
      <c r="A34" s="53"/>
      <c r="B34" s="160" t="s">
        <v>1678</v>
      </c>
      <c r="C34" s="40"/>
      <c r="D34" s="40"/>
      <c r="E34" s="40"/>
      <c r="F34" s="40"/>
      <c r="G34" s="161"/>
      <c r="H34" s="33">
        <v>2015</v>
      </c>
      <c r="I34" s="40"/>
      <c r="J34" s="33"/>
      <c r="K34" s="40"/>
      <c r="L34" s="40"/>
      <c r="M34" s="162"/>
      <c r="N34" s="163">
        <v>49256000</v>
      </c>
      <c r="O34" s="127"/>
      <c r="P34" s="199"/>
    </row>
    <row r="35" spans="1:16" s="48" customFormat="1" ht="45.75" customHeight="1" x14ac:dyDescent="0.2">
      <c r="A35" s="190"/>
      <c r="B35" s="191" t="s">
        <v>4804</v>
      </c>
      <c r="C35" s="152"/>
      <c r="D35" s="152"/>
      <c r="E35" s="152"/>
      <c r="F35" s="152"/>
      <c r="G35" s="192"/>
      <c r="H35" s="30">
        <v>2012</v>
      </c>
      <c r="I35" s="152"/>
      <c r="J35" s="30">
        <v>2012</v>
      </c>
      <c r="K35" s="152"/>
      <c r="L35" s="152"/>
      <c r="M35" s="193"/>
      <c r="N35" s="194">
        <v>5798850</v>
      </c>
      <c r="O35" s="188"/>
      <c r="P35" s="200" t="s">
        <v>2276</v>
      </c>
    </row>
    <row r="36" spans="1:16" s="48" customFormat="1" ht="45.75" customHeight="1" x14ac:dyDescent="0.2">
      <c r="A36" s="190"/>
      <c r="B36" s="191" t="s">
        <v>4805</v>
      </c>
      <c r="C36" s="152"/>
      <c r="D36" s="152"/>
      <c r="E36" s="152"/>
      <c r="F36" s="152"/>
      <c r="G36" s="192"/>
      <c r="H36" s="30">
        <v>2012</v>
      </c>
      <c r="I36" s="152"/>
      <c r="J36" s="30">
        <v>2012</v>
      </c>
      <c r="K36" s="152"/>
      <c r="L36" s="152"/>
      <c r="M36" s="193"/>
      <c r="N36" s="194">
        <v>7408500</v>
      </c>
      <c r="O36" s="188"/>
      <c r="P36" s="200" t="s">
        <v>2276</v>
      </c>
    </row>
    <row r="37" spans="1:16" s="48" customFormat="1" ht="45.75" customHeight="1" x14ac:dyDescent="0.2">
      <c r="A37" s="190"/>
      <c r="B37" s="191" t="s">
        <v>4806</v>
      </c>
      <c r="C37" s="152"/>
      <c r="D37" s="152"/>
      <c r="E37" s="152"/>
      <c r="F37" s="152"/>
      <c r="G37" s="192"/>
      <c r="H37" s="1151" t="s">
        <v>4807</v>
      </c>
      <c r="I37" s="152" t="s">
        <v>2268</v>
      </c>
      <c r="J37" s="30">
        <v>2012</v>
      </c>
      <c r="K37" s="152"/>
      <c r="L37" s="152"/>
      <c r="M37" s="193"/>
      <c r="N37" s="194">
        <v>17974000</v>
      </c>
      <c r="O37" s="188"/>
      <c r="P37" s="200" t="s">
        <v>2276</v>
      </c>
    </row>
    <row r="38" spans="1:16" s="48" customFormat="1" ht="45.75" customHeight="1" x14ac:dyDescent="0.2">
      <c r="A38" s="190"/>
      <c r="B38" s="191" t="s">
        <v>4808</v>
      </c>
      <c r="C38" s="152"/>
      <c r="D38" s="152"/>
      <c r="E38" s="152"/>
      <c r="F38" s="152"/>
      <c r="G38" s="192"/>
      <c r="H38" s="1151" t="s">
        <v>4807</v>
      </c>
      <c r="I38" s="152" t="s">
        <v>2269</v>
      </c>
      <c r="J38" s="30">
        <v>2012</v>
      </c>
      <c r="K38" s="152"/>
      <c r="L38" s="152"/>
      <c r="M38" s="193"/>
      <c r="N38" s="194">
        <v>48147000</v>
      </c>
      <c r="O38" s="188"/>
      <c r="P38" s="200" t="s">
        <v>2276</v>
      </c>
    </row>
    <row r="39" spans="1:16" s="48" customFormat="1" ht="45.75" customHeight="1" x14ac:dyDescent="0.2">
      <c r="A39" s="190"/>
      <c r="B39" s="191" t="s">
        <v>4809</v>
      </c>
      <c r="C39" s="152"/>
      <c r="D39" s="152"/>
      <c r="E39" s="152"/>
      <c r="F39" s="152"/>
      <c r="G39" s="192"/>
      <c r="H39" s="1151" t="s">
        <v>4810</v>
      </c>
      <c r="I39" s="152" t="s">
        <v>2270</v>
      </c>
      <c r="J39" s="30">
        <v>2012</v>
      </c>
      <c r="K39" s="152"/>
      <c r="L39" s="152"/>
      <c r="M39" s="193"/>
      <c r="N39" s="194">
        <v>34100000</v>
      </c>
      <c r="O39" s="188"/>
      <c r="P39" s="200" t="s">
        <v>2276</v>
      </c>
    </row>
    <row r="40" spans="1:16" s="48" customFormat="1" ht="45.75" customHeight="1" x14ac:dyDescent="0.2">
      <c r="A40" s="190"/>
      <c r="B40" s="191" t="s">
        <v>4811</v>
      </c>
      <c r="C40" s="152"/>
      <c r="D40" s="152"/>
      <c r="E40" s="152"/>
      <c r="F40" s="152"/>
      <c r="G40" s="192"/>
      <c r="H40" s="1151" t="s">
        <v>4812</v>
      </c>
      <c r="I40" s="152" t="s">
        <v>2271</v>
      </c>
      <c r="J40" s="30">
        <v>2012</v>
      </c>
      <c r="K40" s="152"/>
      <c r="L40" s="152"/>
      <c r="M40" s="193"/>
      <c r="N40" s="194">
        <v>32967000</v>
      </c>
      <c r="O40" s="188"/>
      <c r="P40" s="200" t="s">
        <v>2276</v>
      </c>
    </row>
    <row r="41" spans="1:16" s="48" customFormat="1" ht="45.75" customHeight="1" x14ac:dyDescent="0.2">
      <c r="A41" s="190"/>
      <c r="B41" s="191" t="s">
        <v>4813</v>
      </c>
      <c r="C41" s="152"/>
      <c r="D41" s="152"/>
      <c r="E41" s="152"/>
      <c r="F41" s="152"/>
      <c r="G41" s="192"/>
      <c r="H41" s="1151" t="s">
        <v>4810</v>
      </c>
      <c r="I41" s="152" t="s">
        <v>2272</v>
      </c>
      <c r="J41" s="30">
        <v>2012</v>
      </c>
      <c r="K41" s="152"/>
      <c r="L41" s="152"/>
      <c r="M41" s="193"/>
      <c r="N41" s="194">
        <v>42559000</v>
      </c>
      <c r="O41" s="188"/>
      <c r="P41" s="200" t="s">
        <v>2276</v>
      </c>
    </row>
    <row r="42" spans="1:16" s="48" customFormat="1" ht="45.75" customHeight="1" x14ac:dyDescent="0.2">
      <c r="A42" s="190"/>
      <c r="B42" s="191" t="s">
        <v>4814</v>
      </c>
      <c r="C42" s="152"/>
      <c r="D42" s="152"/>
      <c r="E42" s="152"/>
      <c r="F42" s="152"/>
      <c r="G42" s="192"/>
      <c r="H42" s="1151" t="s">
        <v>4812</v>
      </c>
      <c r="I42" s="152" t="s">
        <v>2273</v>
      </c>
      <c r="J42" s="30">
        <v>2012</v>
      </c>
      <c r="K42" s="152"/>
      <c r="L42" s="152"/>
      <c r="M42" s="193"/>
      <c r="N42" s="194">
        <v>21835000</v>
      </c>
      <c r="O42" s="188"/>
      <c r="P42" s="200" t="s">
        <v>2276</v>
      </c>
    </row>
    <row r="43" spans="1:16" s="48" customFormat="1" ht="45.75" customHeight="1" x14ac:dyDescent="0.2">
      <c r="A43" s="190"/>
      <c r="B43" s="191" t="s">
        <v>4815</v>
      </c>
      <c r="C43" s="152"/>
      <c r="D43" s="152"/>
      <c r="E43" s="152"/>
      <c r="F43" s="152"/>
      <c r="G43" s="192"/>
      <c r="H43" s="1151" t="s">
        <v>4812</v>
      </c>
      <c r="I43" s="152" t="s">
        <v>2274</v>
      </c>
      <c r="J43" s="30">
        <v>2012</v>
      </c>
      <c r="K43" s="152"/>
      <c r="L43" s="152"/>
      <c r="M43" s="193"/>
      <c r="N43" s="194">
        <v>21802000</v>
      </c>
      <c r="O43" s="188"/>
      <c r="P43" s="200" t="s">
        <v>2276</v>
      </c>
    </row>
    <row r="44" spans="1:16" s="48" customFormat="1" ht="45.75" customHeight="1" x14ac:dyDescent="0.2">
      <c r="A44" s="190"/>
      <c r="B44" s="191" t="s">
        <v>4816</v>
      </c>
      <c r="C44" s="152"/>
      <c r="D44" s="152"/>
      <c r="E44" s="152"/>
      <c r="F44" s="152"/>
      <c r="G44" s="192"/>
      <c r="H44" s="1151" t="s">
        <v>4807</v>
      </c>
      <c r="I44" s="152" t="s">
        <v>2275</v>
      </c>
      <c r="J44" s="30">
        <v>2012</v>
      </c>
      <c r="K44" s="152"/>
      <c r="L44" s="152"/>
      <c r="M44" s="193"/>
      <c r="N44" s="194">
        <v>44022000</v>
      </c>
      <c r="O44" s="188"/>
      <c r="P44" s="200" t="s">
        <v>2276</v>
      </c>
    </row>
    <row r="45" spans="1:16" s="48" customFormat="1" ht="45.75" customHeight="1" x14ac:dyDescent="0.2">
      <c r="A45" s="190"/>
      <c r="B45" s="191" t="s">
        <v>4817</v>
      </c>
      <c r="C45" s="152"/>
      <c r="D45" s="152"/>
      <c r="E45" s="152"/>
      <c r="F45" s="152"/>
      <c r="G45" s="192"/>
      <c r="H45" s="30"/>
      <c r="I45" s="152"/>
      <c r="J45" s="30">
        <v>2013</v>
      </c>
      <c r="K45" s="152"/>
      <c r="L45" s="152"/>
      <c r="M45" s="193"/>
      <c r="N45" s="194">
        <v>230904000</v>
      </c>
      <c r="O45" s="188"/>
      <c r="P45" s="200" t="s">
        <v>2276</v>
      </c>
    </row>
    <row r="46" spans="1:16" s="48" customFormat="1" ht="45.75" customHeight="1" x14ac:dyDescent="0.2">
      <c r="A46" s="190"/>
      <c r="B46" s="191" t="s">
        <v>4818</v>
      </c>
      <c r="C46" s="152"/>
      <c r="D46" s="152"/>
      <c r="E46" s="152"/>
      <c r="F46" s="152"/>
      <c r="G46" s="192"/>
      <c r="H46" s="30"/>
      <c r="I46" s="152"/>
      <c r="J46" s="30">
        <v>2013</v>
      </c>
      <c r="K46" s="152"/>
      <c r="L46" s="152"/>
      <c r="M46" s="193"/>
      <c r="N46" s="194">
        <v>149289000</v>
      </c>
      <c r="O46" s="188"/>
      <c r="P46" s="200" t="s">
        <v>2276</v>
      </c>
    </row>
    <row r="47" spans="1:16" s="48" customFormat="1" ht="45.75" customHeight="1" x14ac:dyDescent="0.2">
      <c r="A47" s="190"/>
      <c r="B47" s="191" t="s">
        <v>4819</v>
      </c>
      <c r="C47" s="152"/>
      <c r="D47" s="152"/>
      <c r="E47" s="152"/>
      <c r="F47" s="152"/>
      <c r="G47" s="192"/>
      <c r="H47" s="30"/>
      <c r="I47" s="152"/>
      <c r="J47" s="30">
        <v>2013</v>
      </c>
      <c r="K47" s="152"/>
      <c r="L47" s="152"/>
      <c r="M47" s="193"/>
      <c r="N47" s="194">
        <v>13110000</v>
      </c>
      <c r="O47" s="188"/>
      <c r="P47" s="200" t="s">
        <v>2276</v>
      </c>
    </row>
    <row r="48" spans="1:16" s="48" customFormat="1" ht="45.75" customHeight="1" x14ac:dyDescent="0.2">
      <c r="A48" s="190"/>
      <c r="B48" s="191" t="s">
        <v>4820</v>
      </c>
      <c r="C48" s="152"/>
      <c r="D48" s="152"/>
      <c r="E48" s="152"/>
      <c r="F48" s="152"/>
      <c r="G48" s="192"/>
      <c r="H48" s="30"/>
      <c r="I48" s="152"/>
      <c r="J48" s="30">
        <v>2013</v>
      </c>
      <c r="K48" s="152"/>
      <c r="L48" s="152"/>
      <c r="M48" s="193"/>
      <c r="N48" s="194">
        <v>14760000</v>
      </c>
      <c r="O48" s="188"/>
      <c r="P48" s="200" t="s">
        <v>2276</v>
      </c>
    </row>
    <row r="49" spans="1:16" s="48" customFormat="1" ht="45.75" customHeight="1" x14ac:dyDescent="0.2">
      <c r="A49" s="190"/>
      <c r="B49" s="191" t="s">
        <v>4821</v>
      </c>
      <c r="C49" s="152"/>
      <c r="D49" s="152"/>
      <c r="E49" s="152"/>
      <c r="F49" s="152"/>
      <c r="G49" s="192"/>
      <c r="H49" s="30"/>
      <c r="I49" s="152"/>
      <c r="J49" s="30">
        <v>2013</v>
      </c>
      <c r="K49" s="152"/>
      <c r="L49" s="152"/>
      <c r="M49" s="193"/>
      <c r="N49" s="194">
        <v>26860000</v>
      </c>
      <c r="O49" s="188"/>
      <c r="P49" s="200" t="s">
        <v>2276</v>
      </c>
    </row>
    <row r="50" spans="1:16" s="48" customFormat="1" ht="45.75" customHeight="1" x14ac:dyDescent="0.2">
      <c r="A50" s="190"/>
      <c r="B50" s="191" t="s">
        <v>4822</v>
      </c>
      <c r="C50" s="152"/>
      <c r="D50" s="152"/>
      <c r="E50" s="152"/>
      <c r="F50" s="152"/>
      <c r="G50" s="192"/>
      <c r="H50" s="30"/>
      <c r="I50" s="152"/>
      <c r="J50" s="30">
        <v>2013</v>
      </c>
      <c r="K50" s="152"/>
      <c r="L50" s="152"/>
      <c r="M50" s="193"/>
      <c r="N50" s="194">
        <v>28510000</v>
      </c>
      <c r="O50" s="188"/>
      <c r="P50" s="200" t="s">
        <v>2276</v>
      </c>
    </row>
    <row r="51" spans="1:16" s="48" customFormat="1" ht="45.75" customHeight="1" x14ac:dyDescent="0.2">
      <c r="A51" s="190"/>
      <c r="B51" s="191" t="s">
        <v>4823</v>
      </c>
      <c r="C51" s="152"/>
      <c r="D51" s="152"/>
      <c r="E51" s="152"/>
      <c r="F51" s="152"/>
      <c r="G51" s="192"/>
      <c r="H51" s="30"/>
      <c r="I51" s="152"/>
      <c r="J51" s="30">
        <v>2013</v>
      </c>
      <c r="K51" s="152"/>
      <c r="L51" s="152"/>
      <c r="M51" s="193"/>
      <c r="N51" s="194">
        <v>18912000</v>
      </c>
      <c r="O51" s="188"/>
      <c r="P51" s="200" t="s">
        <v>2276</v>
      </c>
    </row>
    <row r="52" spans="1:16" s="48" customFormat="1" ht="45.75" customHeight="1" x14ac:dyDescent="0.2">
      <c r="A52" s="190"/>
      <c r="B52" s="191" t="s">
        <v>4824</v>
      </c>
      <c r="C52" s="152"/>
      <c r="D52" s="152"/>
      <c r="E52" s="152"/>
      <c r="F52" s="152"/>
      <c r="G52" s="192"/>
      <c r="H52" s="30"/>
      <c r="I52" s="152"/>
      <c r="J52" s="30">
        <v>2013</v>
      </c>
      <c r="K52" s="152"/>
      <c r="L52" s="152"/>
      <c r="M52" s="193"/>
      <c r="N52" s="194">
        <v>47485000</v>
      </c>
      <c r="O52" s="188"/>
      <c r="P52" s="200" t="s">
        <v>2276</v>
      </c>
    </row>
    <row r="53" spans="1:16" s="48" customFormat="1" ht="45.75" customHeight="1" x14ac:dyDescent="0.2">
      <c r="A53" s="190"/>
      <c r="B53" s="191" t="s">
        <v>4825</v>
      </c>
      <c r="C53" s="152"/>
      <c r="D53" s="152"/>
      <c r="E53" s="152"/>
      <c r="F53" s="152"/>
      <c r="G53" s="192"/>
      <c r="H53" s="30"/>
      <c r="I53" s="152"/>
      <c r="J53" s="30">
        <v>2013</v>
      </c>
      <c r="K53" s="152"/>
      <c r="L53" s="152"/>
      <c r="M53" s="193"/>
      <c r="N53" s="194">
        <v>28180000</v>
      </c>
      <c r="O53" s="188"/>
      <c r="P53" s="200" t="s">
        <v>2276</v>
      </c>
    </row>
    <row r="54" spans="1:16" s="48" customFormat="1" ht="45.75" customHeight="1" x14ac:dyDescent="0.2">
      <c r="A54" s="190"/>
      <c r="B54" s="191" t="s">
        <v>4826</v>
      </c>
      <c r="C54" s="152"/>
      <c r="D54" s="152"/>
      <c r="E54" s="152"/>
      <c r="F54" s="152"/>
      <c r="G54" s="192"/>
      <c r="H54" s="30"/>
      <c r="I54" s="152"/>
      <c r="J54" s="30">
        <v>2013</v>
      </c>
      <c r="K54" s="152"/>
      <c r="L54" s="152"/>
      <c r="M54" s="193"/>
      <c r="N54" s="194">
        <v>47870000</v>
      </c>
      <c r="O54" s="188"/>
      <c r="P54" s="200" t="s">
        <v>2276</v>
      </c>
    </row>
    <row r="55" spans="1:16" s="48" customFormat="1" ht="45.75" customHeight="1" x14ac:dyDescent="0.2">
      <c r="A55" s="190"/>
      <c r="B55" s="191" t="s">
        <v>4827</v>
      </c>
      <c r="C55" s="152"/>
      <c r="D55" s="152"/>
      <c r="E55" s="152"/>
      <c r="F55" s="152"/>
      <c r="G55" s="192"/>
      <c r="H55" s="30"/>
      <c r="I55" s="152"/>
      <c r="J55" s="30">
        <v>2013</v>
      </c>
      <c r="K55" s="152"/>
      <c r="L55" s="152"/>
      <c r="M55" s="193"/>
      <c r="N55" s="194">
        <v>47705000</v>
      </c>
      <c r="O55" s="188"/>
      <c r="P55" s="200" t="s">
        <v>2276</v>
      </c>
    </row>
    <row r="56" spans="1:16" s="48" customFormat="1" ht="45.75" customHeight="1" x14ac:dyDescent="0.2">
      <c r="A56" s="190"/>
      <c r="B56" s="191" t="s">
        <v>4828</v>
      </c>
      <c r="C56" s="152"/>
      <c r="D56" s="152"/>
      <c r="E56" s="152"/>
      <c r="F56" s="152"/>
      <c r="G56" s="192"/>
      <c r="H56" s="30"/>
      <c r="I56" s="152"/>
      <c r="J56" s="30">
        <v>2013</v>
      </c>
      <c r="K56" s="152"/>
      <c r="L56" s="152"/>
      <c r="M56" s="193"/>
      <c r="N56" s="194">
        <v>47375000</v>
      </c>
      <c r="O56" s="188"/>
      <c r="P56" s="200" t="s">
        <v>2276</v>
      </c>
    </row>
    <row r="57" spans="1:16" s="48" customFormat="1" ht="45.75" customHeight="1" x14ac:dyDescent="0.2">
      <c r="A57" s="190"/>
      <c r="B57" s="191" t="s">
        <v>4829</v>
      </c>
      <c r="C57" s="152"/>
      <c r="D57" s="152"/>
      <c r="E57" s="152"/>
      <c r="F57" s="152"/>
      <c r="G57" s="192"/>
      <c r="H57" s="30"/>
      <c r="I57" s="152"/>
      <c r="J57" s="30">
        <v>2013</v>
      </c>
      <c r="K57" s="152"/>
      <c r="L57" s="152"/>
      <c r="M57" s="193"/>
      <c r="N57" s="194">
        <v>47430000</v>
      </c>
      <c r="O57" s="188"/>
      <c r="P57" s="200" t="s">
        <v>2276</v>
      </c>
    </row>
    <row r="58" spans="1:16" s="48" customFormat="1" ht="45.75" customHeight="1" x14ac:dyDescent="0.2">
      <c r="A58" s="190"/>
      <c r="B58" s="191" t="s">
        <v>4830</v>
      </c>
      <c r="C58" s="152"/>
      <c r="D58" s="152"/>
      <c r="E58" s="152"/>
      <c r="F58" s="152"/>
      <c r="G58" s="192"/>
      <c r="H58" s="30"/>
      <c r="I58" s="152"/>
      <c r="J58" s="30">
        <v>2013</v>
      </c>
      <c r="K58" s="152"/>
      <c r="L58" s="152"/>
      <c r="M58" s="193"/>
      <c r="N58" s="194">
        <v>29060000</v>
      </c>
      <c r="O58" s="188"/>
      <c r="P58" s="200" t="s">
        <v>2276</v>
      </c>
    </row>
    <row r="59" spans="1:16" s="48" customFormat="1" ht="45.75" customHeight="1" x14ac:dyDescent="0.2">
      <c r="A59" s="190"/>
      <c r="B59" s="191" t="s">
        <v>4831</v>
      </c>
      <c r="C59" s="152"/>
      <c r="D59" s="152"/>
      <c r="E59" s="152"/>
      <c r="F59" s="152"/>
      <c r="G59" s="192"/>
      <c r="H59" s="30"/>
      <c r="I59" s="152"/>
      <c r="J59" s="30">
        <v>2013</v>
      </c>
      <c r="K59" s="152"/>
      <c r="L59" s="152"/>
      <c r="M59" s="193"/>
      <c r="N59" s="194">
        <v>14540000</v>
      </c>
      <c r="O59" s="188"/>
      <c r="P59" s="200" t="s">
        <v>2276</v>
      </c>
    </row>
    <row r="60" spans="1:16" s="48" customFormat="1" ht="45.75" customHeight="1" x14ac:dyDescent="0.2">
      <c r="A60" s="190"/>
      <c r="B60" s="191" t="s">
        <v>4831</v>
      </c>
      <c r="C60" s="152"/>
      <c r="D60" s="152"/>
      <c r="E60" s="152"/>
      <c r="F60" s="152"/>
      <c r="G60" s="192"/>
      <c r="H60" s="30"/>
      <c r="I60" s="152"/>
      <c r="J60" s="30">
        <v>2013</v>
      </c>
      <c r="K60" s="152"/>
      <c r="L60" s="152"/>
      <c r="M60" s="193"/>
      <c r="N60" s="194">
        <v>14540000</v>
      </c>
      <c r="O60" s="188"/>
      <c r="P60" s="200" t="s">
        <v>2276</v>
      </c>
    </row>
    <row r="61" spans="1:16" s="48" customFormat="1" ht="45.75" customHeight="1" x14ac:dyDescent="0.2">
      <c r="A61" s="190"/>
      <c r="B61" s="191" t="s">
        <v>4832</v>
      </c>
      <c r="C61" s="152"/>
      <c r="D61" s="152"/>
      <c r="E61" s="152"/>
      <c r="F61" s="152"/>
      <c r="G61" s="192"/>
      <c r="H61" s="30"/>
      <c r="I61" s="152"/>
      <c r="J61" s="30">
        <v>2013</v>
      </c>
      <c r="K61" s="152"/>
      <c r="L61" s="152"/>
      <c r="M61" s="193"/>
      <c r="N61" s="194">
        <v>14320000</v>
      </c>
      <c r="O61" s="188"/>
      <c r="P61" s="200" t="s">
        <v>2276</v>
      </c>
    </row>
    <row r="62" spans="1:16" s="48" customFormat="1" ht="45.75" customHeight="1" x14ac:dyDescent="0.2">
      <c r="A62" s="190"/>
      <c r="B62" s="191" t="s">
        <v>4833</v>
      </c>
      <c r="C62" s="152"/>
      <c r="D62" s="152"/>
      <c r="E62" s="152"/>
      <c r="F62" s="152"/>
      <c r="G62" s="192"/>
      <c r="H62" s="30"/>
      <c r="I62" s="152"/>
      <c r="J62" s="30">
        <v>2013</v>
      </c>
      <c r="K62" s="152"/>
      <c r="L62" s="152"/>
      <c r="M62" s="193"/>
      <c r="N62" s="194">
        <v>28180000</v>
      </c>
      <c r="O62" s="188"/>
      <c r="P62" s="200" t="s">
        <v>2276</v>
      </c>
    </row>
    <row r="63" spans="1:16" s="48" customFormat="1" ht="45.75" customHeight="1" x14ac:dyDescent="0.2">
      <c r="A63" s="190"/>
      <c r="B63" s="191" t="s">
        <v>4834</v>
      </c>
      <c r="C63" s="152"/>
      <c r="D63" s="152"/>
      <c r="E63" s="152"/>
      <c r="F63" s="152"/>
      <c r="G63" s="192"/>
      <c r="H63" s="30"/>
      <c r="I63" s="152"/>
      <c r="J63" s="30">
        <v>2013</v>
      </c>
      <c r="K63" s="152"/>
      <c r="L63" s="152"/>
      <c r="M63" s="193"/>
      <c r="N63" s="194">
        <v>28400000</v>
      </c>
      <c r="O63" s="188"/>
      <c r="P63" s="200" t="s">
        <v>2276</v>
      </c>
    </row>
    <row r="64" spans="1:16" s="48" customFormat="1" ht="45.75" customHeight="1" x14ac:dyDescent="0.2">
      <c r="A64" s="190"/>
      <c r="B64" s="191" t="s">
        <v>4835</v>
      </c>
      <c r="C64" s="152"/>
      <c r="D64" s="152"/>
      <c r="E64" s="152"/>
      <c r="F64" s="152"/>
      <c r="G64" s="192"/>
      <c r="H64" s="30"/>
      <c r="I64" s="152"/>
      <c r="J64" s="30">
        <v>2013</v>
      </c>
      <c r="K64" s="152"/>
      <c r="L64" s="152"/>
      <c r="M64" s="193"/>
      <c r="N64" s="194">
        <v>38300000</v>
      </c>
      <c r="O64" s="188"/>
      <c r="P64" s="200" t="s">
        <v>2276</v>
      </c>
    </row>
    <row r="65" spans="1:18" s="48" customFormat="1" ht="45.75" customHeight="1" x14ac:dyDescent="0.2">
      <c r="A65" s="190"/>
      <c r="B65" s="191" t="s">
        <v>4836</v>
      </c>
      <c r="C65" s="152"/>
      <c r="D65" s="152"/>
      <c r="E65" s="152"/>
      <c r="F65" s="152"/>
      <c r="G65" s="192"/>
      <c r="H65" s="30"/>
      <c r="I65" s="152"/>
      <c r="J65" s="30">
        <v>2014</v>
      </c>
      <c r="K65" s="152"/>
      <c r="L65" s="152"/>
      <c r="M65" s="193"/>
      <c r="N65" s="194">
        <v>37470000</v>
      </c>
      <c r="O65" s="188"/>
      <c r="P65" s="200" t="s">
        <v>2276</v>
      </c>
    </row>
    <row r="66" spans="1:18" s="48" customFormat="1" ht="45.75" customHeight="1" x14ac:dyDescent="0.2">
      <c r="A66" s="190"/>
      <c r="B66" s="191" t="s">
        <v>4837</v>
      </c>
      <c r="C66" s="152"/>
      <c r="D66" s="152"/>
      <c r="E66" s="152"/>
      <c r="F66" s="152"/>
      <c r="G66" s="192"/>
      <c r="H66" s="30"/>
      <c r="I66" s="152"/>
      <c r="J66" s="30">
        <v>2014</v>
      </c>
      <c r="K66" s="152"/>
      <c r="L66" s="152"/>
      <c r="M66" s="193"/>
      <c r="N66" s="194">
        <v>47370000</v>
      </c>
      <c r="O66" s="188"/>
      <c r="P66" s="200" t="s">
        <v>2276</v>
      </c>
    </row>
    <row r="67" spans="1:18" s="48" customFormat="1" ht="45.75" customHeight="1" x14ac:dyDescent="0.2">
      <c r="A67" s="190"/>
      <c r="B67" s="191" t="s">
        <v>4838</v>
      </c>
      <c r="C67" s="152"/>
      <c r="D67" s="152"/>
      <c r="E67" s="152"/>
      <c r="F67" s="152"/>
      <c r="G67" s="192"/>
      <c r="H67" s="30"/>
      <c r="I67" s="152"/>
      <c r="J67" s="30">
        <v>2015</v>
      </c>
      <c r="K67" s="152"/>
      <c r="L67" s="152"/>
      <c r="M67" s="193"/>
      <c r="N67" s="194">
        <v>34041000</v>
      </c>
      <c r="O67" s="188"/>
      <c r="P67" s="200" t="s">
        <v>2276</v>
      </c>
    </row>
    <row r="68" spans="1:18" s="48" customFormat="1" ht="45.75" customHeight="1" x14ac:dyDescent="0.2">
      <c r="A68" s="190"/>
      <c r="B68" s="191" t="s">
        <v>4839</v>
      </c>
      <c r="C68" s="152"/>
      <c r="D68" s="152"/>
      <c r="E68" s="152"/>
      <c r="F68" s="152"/>
      <c r="G68" s="192"/>
      <c r="H68" s="30"/>
      <c r="I68" s="152"/>
      <c r="J68" s="30">
        <v>2015</v>
      </c>
      <c r="K68" s="152"/>
      <c r="L68" s="152"/>
      <c r="M68" s="193"/>
      <c r="N68" s="194">
        <v>34261000</v>
      </c>
      <c r="O68" s="188"/>
      <c r="P68" s="200" t="s">
        <v>2276</v>
      </c>
    </row>
    <row r="69" spans="1:18" s="48" customFormat="1" ht="45.75" customHeight="1" x14ac:dyDescent="0.2">
      <c r="A69" s="190"/>
      <c r="B69" s="191" t="s">
        <v>4840</v>
      </c>
      <c r="C69" s="152"/>
      <c r="D69" s="152"/>
      <c r="E69" s="152"/>
      <c r="F69" s="152"/>
      <c r="G69" s="192"/>
      <c r="H69" s="30"/>
      <c r="I69" s="152"/>
      <c r="J69" s="30">
        <v>2015</v>
      </c>
      <c r="K69" s="152"/>
      <c r="L69" s="152"/>
      <c r="M69" s="193"/>
      <c r="N69" s="194">
        <v>33821000</v>
      </c>
      <c r="O69" s="188"/>
      <c r="P69" s="200" t="s">
        <v>2276</v>
      </c>
    </row>
    <row r="70" spans="1:18" s="48" customFormat="1" ht="45.75" customHeight="1" x14ac:dyDescent="0.2">
      <c r="A70" s="190"/>
      <c r="B70" s="191" t="s">
        <v>4840</v>
      </c>
      <c r="C70" s="152"/>
      <c r="D70" s="152"/>
      <c r="E70" s="152"/>
      <c r="F70" s="152"/>
      <c r="G70" s="192"/>
      <c r="H70" s="30"/>
      <c r="I70" s="152"/>
      <c r="J70" s="30">
        <v>2015</v>
      </c>
      <c r="K70" s="152"/>
      <c r="L70" s="152"/>
      <c r="M70" s="193"/>
      <c r="N70" s="194">
        <v>33491000</v>
      </c>
      <c r="O70" s="188"/>
      <c r="P70" s="200" t="s">
        <v>2276</v>
      </c>
    </row>
    <row r="71" spans="1:18" s="48" customFormat="1" ht="45.75" customHeight="1" x14ac:dyDescent="0.2">
      <c r="A71" s="190"/>
      <c r="B71" s="191" t="s">
        <v>4841</v>
      </c>
      <c r="C71" s="152"/>
      <c r="D71" s="152"/>
      <c r="E71" s="152"/>
      <c r="F71" s="152"/>
      <c r="G71" s="192"/>
      <c r="H71" s="30"/>
      <c r="I71" s="152"/>
      <c r="J71" s="30">
        <v>2015</v>
      </c>
      <c r="K71" s="152"/>
      <c r="L71" s="152"/>
      <c r="M71" s="193"/>
      <c r="N71" s="194">
        <v>33381000</v>
      </c>
      <c r="O71" s="188"/>
      <c r="P71" s="200" t="s">
        <v>2276</v>
      </c>
    </row>
    <row r="72" spans="1:18" s="48" customFormat="1" ht="45.75" customHeight="1" x14ac:dyDescent="0.2">
      <c r="A72" s="190"/>
      <c r="B72" s="191" t="s">
        <v>4842</v>
      </c>
      <c r="C72" s="152"/>
      <c r="D72" s="152"/>
      <c r="E72" s="152"/>
      <c r="F72" s="152"/>
      <c r="G72" s="192"/>
      <c r="H72" s="30"/>
      <c r="I72" s="152"/>
      <c r="J72" s="30">
        <v>2015</v>
      </c>
      <c r="K72" s="152"/>
      <c r="L72" s="152"/>
      <c r="M72" s="193"/>
      <c r="N72" s="194">
        <v>5368231700</v>
      </c>
      <c r="O72" s="188"/>
      <c r="P72" s="200" t="s">
        <v>2276</v>
      </c>
    </row>
    <row r="73" spans="1:18" s="48" customFormat="1" ht="45.75" customHeight="1" x14ac:dyDescent="0.2">
      <c r="A73" s="190"/>
      <c r="B73" s="191" t="s">
        <v>4843</v>
      </c>
      <c r="C73" s="152"/>
      <c r="D73" s="152"/>
      <c r="E73" s="152"/>
      <c r="F73" s="152"/>
      <c r="G73" s="192"/>
      <c r="H73" s="30"/>
      <c r="I73" s="152"/>
      <c r="J73" s="30">
        <v>2016</v>
      </c>
      <c r="K73" s="152"/>
      <c r="L73" s="152"/>
      <c r="M73" s="193"/>
      <c r="N73" s="194">
        <v>45372000</v>
      </c>
      <c r="O73" s="188"/>
      <c r="P73" s="200" t="s">
        <v>2276</v>
      </c>
    </row>
    <row r="74" spans="1:18" s="48" customFormat="1" ht="45.75" customHeight="1" x14ac:dyDescent="0.2">
      <c r="A74" s="190"/>
      <c r="B74" s="191" t="s">
        <v>4844</v>
      </c>
      <c r="C74" s="152"/>
      <c r="D74" s="152"/>
      <c r="E74" s="152"/>
      <c r="F74" s="152"/>
      <c r="G74" s="192"/>
      <c r="H74" s="30"/>
      <c r="I74" s="152"/>
      <c r="J74" s="30">
        <v>2016</v>
      </c>
      <c r="K74" s="152"/>
      <c r="L74" s="152"/>
      <c r="M74" s="193"/>
      <c r="N74" s="194">
        <v>47644000</v>
      </c>
      <c r="O74" s="188"/>
      <c r="P74" s="200" t="s">
        <v>2276</v>
      </c>
    </row>
    <row r="75" spans="1:18" s="48" customFormat="1" ht="45.75" customHeight="1" x14ac:dyDescent="0.2">
      <c r="A75" s="190"/>
      <c r="B75" s="191" t="s">
        <v>4887</v>
      </c>
      <c r="C75" s="152"/>
      <c r="D75" s="152"/>
      <c r="E75" s="152"/>
      <c r="F75" s="152"/>
      <c r="G75" s="192"/>
      <c r="H75" s="30"/>
      <c r="I75" s="152"/>
      <c r="J75" s="30">
        <v>2016</v>
      </c>
      <c r="K75" s="152"/>
      <c r="L75" s="152"/>
      <c r="M75" s="193"/>
      <c r="N75" s="194">
        <v>50733000</v>
      </c>
      <c r="O75" s="188"/>
      <c r="P75" s="200"/>
    </row>
    <row r="76" spans="1:18" s="48" customFormat="1" ht="45.75" customHeight="1" x14ac:dyDescent="0.2">
      <c r="A76" s="190"/>
      <c r="B76" s="191" t="s">
        <v>4888</v>
      </c>
      <c r="C76" s="152"/>
      <c r="D76" s="152"/>
      <c r="E76" s="152"/>
      <c r="F76" s="152"/>
      <c r="G76" s="192"/>
      <c r="H76" s="30"/>
      <c r="I76" s="152"/>
      <c r="J76" s="30">
        <v>2016</v>
      </c>
      <c r="K76" s="152"/>
      <c r="L76" s="152"/>
      <c r="M76" s="193"/>
      <c r="N76" s="194">
        <v>47490000</v>
      </c>
      <c r="O76" s="188"/>
      <c r="P76" s="200"/>
    </row>
    <row r="77" spans="1:18" s="48" customFormat="1" ht="45.75" customHeight="1" x14ac:dyDescent="0.2">
      <c r="A77" s="190"/>
      <c r="B77" s="191" t="s">
        <v>4845</v>
      </c>
      <c r="C77" s="152"/>
      <c r="D77" s="152"/>
      <c r="E77" s="152"/>
      <c r="F77" s="152"/>
      <c r="G77" s="192"/>
      <c r="H77" s="30"/>
      <c r="I77" s="152"/>
      <c r="J77" s="30">
        <v>2017</v>
      </c>
      <c r="K77" s="152"/>
      <c r="L77" s="152"/>
      <c r="M77" s="193"/>
      <c r="N77" s="194">
        <v>148843000</v>
      </c>
      <c r="O77" s="188"/>
      <c r="P77" s="1152"/>
      <c r="Q77" s="245"/>
      <c r="R77" s="245"/>
    </row>
    <row r="78" spans="1:18" s="48" customFormat="1" ht="45.75" customHeight="1" x14ac:dyDescent="0.2">
      <c r="A78" s="190"/>
      <c r="B78" s="191" t="s">
        <v>4846</v>
      </c>
      <c r="C78" s="152"/>
      <c r="D78" s="152"/>
      <c r="E78" s="152"/>
      <c r="F78" s="152"/>
      <c r="G78" s="192"/>
      <c r="H78" s="30"/>
      <c r="I78" s="152"/>
      <c r="J78" s="30">
        <v>2017</v>
      </c>
      <c r="K78" s="152"/>
      <c r="L78" s="152"/>
      <c r="M78" s="193"/>
      <c r="N78" s="194">
        <v>177746800</v>
      </c>
      <c r="O78" s="188"/>
      <c r="P78" s="1152"/>
      <c r="Q78" s="245"/>
      <c r="R78" s="245"/>
    </row>
    <row r="79" spans="1:18" s="48" customFormat="1" ht="45.75" customHeight="1" x14ac:dyDescent="0.2">
      <c r="A79" s="190"/>
      <c r="B79" s="191" t="s">
        <v>4847</v>
      </c>
      <c r="C79" s="152"/>
      <c r="D79" s="152"/>
      <c r="E79" s="152"/>
      <c r="F79" s="152"/>
      <c r="G79" s="192"/>
      <c r="H79" s="30"/>
      <c r="I79" s="152"/>
      <c r="J79" s="30">
        <v>2017</v>
      </c>
      <c r="K79" s="152"/>
      <c r="L79" s="152"/>
      <c r="M79" s="193"/>
      <c r="N79" s="194">
        <v>55013000</v>
      </c>
      <c r="O79" s="188"/>
      <c r="P79" s="1152"/>
      <c r="Q79" s="245"/>
      <c r="R79" s="245"/>
    </row>
    <row r="80" spans="1:18" s="48" customFormat="1" ht="45.75" customHeight="1" x14ac:dyDescent="0.2">
      <c r="A80" s="190"/>
      <c r="B80" s="191" t="s">
        <v>4848</v>
      </c>
      <c r="C80" s="152"/>
      <c r="D80" s="152"/>
      <c r="E80" s="152"/>
      <c r="F80" s="152"/>
      <c r="G80" s="192"/>
      <c r="H80" s="30"/>
      <c r="I80" s="152"/>
      <c r="J80" s="30">
        <v>2017</v>
      </c>
      <c r="K80" s="152"/>
      <c r="L80" s="152"/>
      <c r="M80" s="193"/>
      <c r="N80" s="194">
        <v>55137000</v>
      </c>
      <c r="O80" s="188"/>
      <c r="P80" s="1152"/>
      <c r="Q80" s="245"/>
      <c r="R80" s="245"/>
    </row>
    <row r="81" spans="1:18" s="48" customFormat="1" ht="45.75" customHeight="1" x14ac:dyDescent="0.2">
      <c r="A81" s="190"/>
      <c r="B81" s="191" t="s">
        <v>4849</v>
      </c>
      <c r="C81" s="152"/>
      <c r="D81" s="152"/>
      <c r="E81" s="152"/>
      <c r="F81" s="152"/>
      <c r="G81" s="192"/>
      <c r="H81" s="30"/>
      <c r="I81" s="152"/>
      <c r="J81" s="30">
        <v>2017</v>
      </c>
      <c r="K81" s="152"/>
      <c r="L81" s="152"/>
      <c r="M81" s="193"/>
      <c r="N81" s="194">
        <v>48925000</v>
      </c>
      <c r="O81" s="188"/>
      <c r="P81" s="1152">
        <v>46475000</v>
      </c>
      <c r="Q81" s="245">
        <v>2450000</v>
      </c>
      <c r="R81" s="245" t="e">
        <f>+N81-P81-#REF!-Q81</f>
        <v>#REF!</v>
      </c>
    </row>
    <row r="82" spans="1:18" s="48" customFormat="1" ht="45.75" customHeight="1" x14ac:dyDescent="0.2">
      <c r="A82" s="190"/>
      <c r="B82" s="191" t="s">
        <v>4850</v>
      </c>
      <c r="C82" s="152"/>
      <c r="D82" s="152"/>
      <c r="E82" s="152"/>
      <c r="F82" s="152"/>
      <c r="G82" s="192"/>
      <c r="H82" s="30"/>
      <c r="I82" s="152"/>
      <c r="J82" s="30">
        <v>2017</v>
      </c>
      <c r="K82" s="152"/>
      <c r="L82" s="152"/>
      <c r="M82" s="193"/>
      <c r="N82" s="194">
        <v>48705000</v>
      </c>
      <c r="O82" s="188"/>
      <c r="P82" s="1152">
        <v>46255000</v>
      </c>
      <c r="Q82" s="245">
        <v>2450000</v>
      </c>
      <c r="R82" s="245" t="e">
        <f>+N82-P82-#REF!-Q82</f>
        <v>#REF!</v>
      </c>
    </row>
    <row r="83" spans="1:18" s="48" customFormat="1" ht="45.75" customHeight="1" x14ac:dyDescent="0.2">
      <c r="A83" s="190"/>
      <c r="B83" s="191" t="s">
        <v>4850</v>
      </c>
      <c r="C83" s="152"/>
      <c r="D83" s="152"/>
      <c r="E83" s="152"/>
      <c r="F83" s="152"/>
      <c r="G83" s="192"/>
      <c r="H83" s="30"/>
      <c r="I83" s="152"/>
      <c r="J83" s="30">
        <v>2017</v>
      </c>
      <c r="K83" s="152"/>
      <c r="L83" s="152"/>
      <c r="M83" s="193"/>
      <c r="N83" s="194">
        <v>50470000</v>
      </c>
      <c r="O83" s="188"/>
      <c r="P83" s="1152"/>
      <c r="Q83" s="245"/>
      <c r="R83" s="245"/>
    </row>
    <row r="84" spans="1:18" s="48" customFormat="1" ht="45.75" customHeight="1" x14ac:dyDescent="0.2">
      <c r="A84" s="190"/>
      <c r="B84" s="191" t="s">
        <v>4851</v>
      </c>
      <c r="C84" s="152"/>
      <c r="D84" s="152"/>
      <c r="E84" s="152"/>
      <c r="F84" s="152"/>
      <c r="G84" s="192"/>
      <c r="H84" s="30"/>
      <c r="I84" s="152"/>
      <c r="J84" s="30">
        <v>2017</v>
      </c>
      <c r="K84" s="152"/>
      <c r="L84" s="152"/>
      <c r="M84" s="193"/>
      <c r="N84" s="194">
        <v>50525000</v>
      </c>
      <c r="O84" s="188"/>
      <c r="P84" s="1152"/>
      <c r="Q84" s="245"/>
      <c r="R84" s="245"/>
    </row>
    <row r="85" spans="1:18" s="48" customFormat="1" ht="45.75" customHeight="1" x14ac:dyDescent="0.2">
      <c r="A85" s="190"/>
      <c r="B85" s="191" t="s">
        <v>4852</v>
      </c>
      <c r="C85" s="152"/>
      <c r="D85" s="152"/>
      <c r="E85" s="152"/>
      <c r="F85" s="152"/>
      <c r="G85" s="192"/>
      <c r="H85" s="30"/>
      <c r="I85" s="152"/>
      <c r="J85" s="30">
        <v>2017</v>
      </c>
      <c r="K85" s="152"/>
      <c r="L85" s="152"/>
      <c r="M85" s="193"/>
      <c r="N85" s="194">
        <v>324390000</v>
      </c>
      <c r="O85" s="188"/>
      <c r="P85" s="1152">
        <v>217448000</v>
      </c>
      <c r="Q85" s="245">
        <f>9250000+4500000</f>
        <v>13750000</v>
      </c>
      <c r="R85" s="245" t="e">
        <f>+N85-P85-#REF!-Q85</f>
        <v>#REF!</v>
      </c>
    </row>
    <row r="86" spans="1:18" s="48" customFormat="1" ht="45.75" customHeight="1" x14ac:dyDescent="0.2">
      <c r="A86" s="190"/>
      <c r="B86" s="191" t="s">
        <v>4853</v>
      </c>
      <c r="C86" s="152"/>
      <c r="D86" s="152"/>
      <c r="E86" s="152"/>
      <c r="F86" s="152"/>
      <c r="G86" s="192"/>
      <c r="H86" s="30"/>
      <c r="I86" s="152"/>
      <c r="J86" s="30">
        <v>2017</v>
      </c>
      <c r="K86" s="152"/>
      <c r="L86" s="152"/>
      <c r="M86" s="193"/>
      <c r="N86" s="194">
        <v>48895000</v>
      </c>
      <c r="O86" s="188"/>
      <c r="P86" s="1152"/>
      <c r="Q86" s="245"/>
      <c r="R86" s="245"/>
    </row>
    <row r="87" spans="1:18" s="48" customFormat="1" ht="45.75" customHeight="1" x14ac:dyDescent="0.2">
      <c r="A87" s="190"/>
      <c r="B87" s="191" t="s">
        <v>4854</v>
      </c>
      <c r="C87" s="152"/>
      <c r="D87" s="152"/>
      <c r="E87" s="152"/>
      <c r="F87" s="152"/>
      <c r="G87" s="192" t="s">
        <v>4855</v>
      </c>
      <c r="H87" s="30"/>
      <c r="I87" s="152"/>
      <c r="J87" s="30">
        <v>2018</v>
      </c>
      <c r="K87" s="152"/>
      <c r="L87" s="152"/>
      <c r="M87" s="193" t="s">
        <v>12</v>
      </c>
      <c r="N87" s="194">
        <v>92578000</v>
      </c>
      <c r="O87" s="188"/>
      <c r="P87" s="1152"/>
      <c r="Q87" s="245"/>
      <c r="R87" s="245"/>
    </row>
    <row r="88" spans="1:18" s="48" customFormat="1" ht="45.75" customHeight="1" x14ac:dyDescent="0.2">
      <c r="A88" s="190"/>
      <c r="B88" s="191" t="s">
        <v>4856</v>
      </c>
      <c r="C88" s="152"/>
      <c r="D88" s="152"/>
      <c r="E88" s="152"/>
      <c r="F88" s="152"/>
      <c r="G88" s="192" t="s">
        <v>4857</v>
      </c>
      <c r="H88" s="30"/>
      <c r="I88" s="152"/>
      <c r="J88" s="30">
        <v>2018</v>
      </c>
      <c r="K88" s="152"/>
      <c r="L88" s="152"/>
      <c r="M88" s="193" t="s">
        <v>12</v>
      </c>
      <c r="N88" s="194">
        <v>93431500</v>
      </c>
      <c r="O88" s="188"/>
      <c r="P88" s="1152"/>
      <c r="Q88" s="245"/>
      <c r="R88" s="245"/>
    </row>
    <row r="89" spans="1:18" s="48" customFormat="1" ht="45.75" customHeight="1" x14ac:dyDescent="0.2">
      <c r="A89" s="190"/>
      <c r="B89" s="191" t="s">
        <v>4858</v>
      </c>
      <c r="C89" s="152"/>
      <c r="D89" s="152"/>
      <c r="E89" s="152"/>
      <c r="F89" s="152"/>
      <c r="G89" s="192" t="s">
        <v>2858</v>
      </c>
      <c r="H89" s="30"/>
      <c r="I89" s="152"/>
      <c r="J89" s="30">
        <v>2018</v>
      </c>
      <c r="K89" s="152"/>
      <c r="L89" s="152"/>
      <c r="M89" s="193" t="s">
        <v>12</v>
      </c>
      <c r="N89" s="194">
        <v>93052500</v>
      </c>
      <c r="O89" s="188"/>
      <c r="P89" s="1152"/>
      <c r="Q89" s="245"/>
      <c r="R89" s="245"/>
    </row>
    <row r="90" spans="1:18" s="48" customFormat="1" ht="45.75" customHeight="1" x14ac:dyDescent="0.2">
      <c r="A90" s="190"/>
      <c r="B90" s="191" t="s">
        <v>4859</v>
      </c>
      <c r="C90" s="152"/>
      <c r="D90" s="152"/>
      <c r="E90" s="152"/>
      <c r="F90" s="152"/>
      <c r="G90" s="192" t="s">
        <v>4860</v>
      </c>
      <c r="H90" s="30"/>
      <c r="I90" s="152"/>
      <c r="J90" s="30">
        <v>2018</v>
      </c>
      <c r="K90" s="152"/>
      <c r="L90" s="152"/>
      <c r="M90" s="193" t="s">
        <v>12</v>
      </c>
      <c r="N90" s="194">
        <v>95755000</v>
      </c>
      <c r="O90" s="188"/>
      <c r="P90" s="1152"/>
      <c r="Q90" s="245"/>
      <c r="R90" s="245"/>
    </row>
    <row r="91" spans="1:18" s="48" customFormat="1" ht="45.75" customHeight="1" x14ac:dyDescent="0.2">
      <c r="A91" s="190"/>
      <c r="B91" s="191" t="s">
        <v>4861</v>
      </c>
      <c r="C91" s="152"/>
      <c r="D91" s="152"/>
      <c r="E91" s="152"/>
      <c r="F91" s="152"/>
      <c r="G91" s="192" t="s">
        <v>4862</v>
      </c>
      <c r="H91" s="30"/>
      <c r="I91" s="152"/>
      <c r="J91" s="30">
        <v>2018</v>
      </c>
      <c r="K91" s="152"/>
      <c r="L91" s="152"/>
      <c r="M91" s="193" t="s">
        <v>12</v>
      </c>
      <c r="N91" s="194">
        <v>95796500</v>
      </c>
      <c r="O91" s="188"/>
      <c r="P91" s="1152"/>
      <c r="Q91" s="245"/>
      <c r="R91" s="245"/>
    </row>
    <row r="92" spans="1:18" s="48" customFormat="1" ht="45.75" customHeight="1" x14ac:dyDescent="0.2">
      <c r="A92" s="190"/>
      <c r="B92" s="191" t="s">
        <v>4863</v>
      </c>
      <c r="C92" s="152"/>
      <c r="D92" s="152"/>
      <c r="E92" s="152"/>
      <c r="F92" s="152"/>
      <c r="G92" s="192" t="s">
        <v>4864</v>
      </c>
      <c r="H92" s="30"/>
      <c r="I92" s="152"/>
      <c r="J92" s="30">
        <v>2018</v>
      </c>
      <c r="K92" s="152"/>
      <c r="L92" s="152"/>
      <c r="M92" s="193" t="s">
        <v>12</v>
      </c>
      <c r="N92" s="194">
        <v>95807500</v>
      </c>
      <c r="O92" s="188"/>
      <c r="P92" s="1152"/>
      <c r="Q92" s="245"/>
      <c r="R92" s="245"/>
    </row>
    <row r="93" spans="1:18" s="48" customFormat="1" ht="45.75" customHeight="1" x14ac:dyDescent="0.2">
      <c r="A93" s="190"/>
      <c r="B93" s="191" t="s">
        <v>4865</v>
      </c>
      <c r="C93" s="152"/>
      <c r="D93" s="152"/>
      <c r="E93" s="152"/>
      <c r="F93" s="152"/>
      <c r="G93" s="192" t="s">
        <v>746</v>
      </c>
      <c r="H93" s="30"/>
      <c r="I93" s="152"/>
      <c r="J93" s="30">
        <v>2018</v>
      </c>
      <c r="K93" s="152"/>
      <c r="L93" s="152"/>
      <c r="M93" s="193" t="s">
        <v>12</v>
      </c>
      <c r="N93" s="194">
        <v>95685000</v>
      </c>
      <c r="O93" s="188"/>
      <c r="P93" s="1152"/>
      <c r="Q93" s="245"/>
      <c r="R93" s="245"/>
    </row>
    <row r="94" spans="1:18" s="48" customFormat="1" ht="45.75" customHeight="1" x14ac:dyDescent="0.2">
      <c r="A94" s="190"/>
      <c r="B94" s="191" t="s">
        <v>4866</v>
      </c>
      <c r="C94" s="152"/>
      <c r="D94" s="152"/>
      <c r="E94" s="152"/>
      <c r="F94" s="152"/>
      <c r="G94" s="192" t="s">
        <v>4867</v>
      </c>
      <c r="H94" s="30"/>
      <c r="I94" s="152"/>
      <c r="J94" s="30">
        <v>2018</v>
      </c>
      <c r="K94" s="152"/>
      <c r="L94" s="152"/>
      <c r="M94" s="193" t="s">
        <v>12</v>
      </c>
      <c r="N94" s="194">
        <v>95630000</v>
      </c>
      <c r="O94" s="188"/>
      <c r="P94" s="1152"/>
      <c r="Q94" s="245"/>
      <c r="R94" s="245"/>
    </row>
    <row r="95" spans="1:18" s="48" customFormat="1" ht="45.75" customHeight="1" x14ac:dyDescent="0.2">
      <c r="A95" s="190"/>
      <c r="B95" s="191" t="s">
        <v>4868</v>
      </c>
      <c r="C95" s="152"/>
      <c r="D95" s="152"/>
      <c r="E95" s="152"/>
      <c r="F95" s="152"/>
      <c r="G95" s="192" t="s">
        <v>4869</v>
      </c>
      <c r="H95" s="30"/>
      <c r="I95" s="152"/>
      <c r="J95" s="30">
        <v>2018</v>
      </c>
      <c r="K95" s="152"/>
      <c r="L95" s="152"/>
      <c r="M95" s="193" t="s">
        <v>12</v>
      </c>
      <c r="N95" s="194">
        <v>95806000</v>
      </c>
      <c r="O95" s="188"/>
      <c r="P95" s="1152"/>
      <c r="Q95" s="245"/>
      <c r="R95" s="245"/>
    </row>
    <row r="96" spans="1:18" s="48" customFormat="1" ht="45.75" customHeight="1" x14ac:dyDescent="0.2">
      <c r="A96" s="190"/>
      <c r="B96" s="191" t="s">
        <v>4870</v>
      </c>
      <c r="C96" s="152"/>
      <c r="D96" s="152"/>
      <c r="E96" s="152"/>
      <c r="F96" s="152"/>
      <c r="G96" s="192" t="s">
        <v>3212</v>
      </c>
      <c r="H96" s="30"/>
      <c r="I96" s="152"/>
      <c r="J96" s="30">
        <v>2018</v>
      </c>
      <c r="K96" s="152"/>
      <c r="L96" s="152"/>
      <c r="M96" s="193" t="s">
        <v>12</v>
      </c>
      <c r="N96" s="194">
        <v>84684000</v>
      </c>
      <c r="O96" s="188"/>
      <c r="P96" s="1152"/>
      <c r="Q96" s="245"/>
      <c r="R96" s="245"/>
    </row>
    <row r="97" spans="1:18" s="48" customFormat="1" ht="45.75" customHeight="1" x14ac:dyDescent="0.2">
      <c r="A97" s="190"/>
      <c r="B97" s="191" t="s">
        <v>4871</v>
      </c>
      <c r="C97" s="152"/>
      <c r="D97" s="152"/>
      <c r="E97" s="152"/>
      <c r="F97" s="152"/>
      <c r="G97" s="192" t="s">
        <v>4872</v>
      </c>
      <c r="H97" s="30"/>
      <c r="I97" s="152"/>
      <c r="J97" s="30">
        <v>2018</v>
      </c>
      <c r="K97" s="152"/>
      <c r="L97" s="152"/>
      <c r="M97" s="193" t="s">
        <v>12</v>
      </c>
      <c r="N97" s="194">
        <v>99770000</v>
      </c>
      <c r="O97" s="188"/>
      <c r="P97" s="1152"/>
      <c r="Q97" s="245"/>
      <c r="R97" s="245"/>
    </row>
    <row r="98" spans="1:18" s="48" customFormat="1" ht="45.75" customHeight="1" x14ac:dyDescent="0.2">
      <c r="A98" s="190"/>
      <c r="B98" s="191" t="s">
        <v>4873</v>
      </c>
      <c r="C98" s="152"/>
      <c r="D98" s="152"/>
      <c r="E98" s="152"/>
      <c r="F98" s="152"/>
      <c r="G98" s="192" t="s">
        <v>4874</v>
      </c>
      <c r="H98" s="30"/>
      <c r="I98" s="152"/>
      <c r="J98" s="30">
        <v>2018</v>
      </c>
      <c r="K98" s="152"/>
      <c r="L98" s="152"/>
      <c r="M98" s="193" t="s">
        <v>12</v>
      </c>
      <c r="N98" s="194">
        <v>99800000</v>
      </c>
      <c r="O98" s="188"/>
      <c r="P98" s="1152"/>
      <c r="Q98" s="245"/>
      <c r="R98" s="245"/>
    </row>
    <row r="99" spans="1:18" s="48" customFormat="1" ht="45.75" customHeight="1" x14ac:dyDescent="0.2">
      <c r="A99" s="190"/>
      <c r="B99" s="191" t="s">
        <v>4875</v>
      </c>
      <c r="C99" s="152"/>
      <c r="D99" s="152"/>
      <c r="E99" s="152"/>
      <c r="F99" s="152"/>
      <c r="G99" s="192" t="s">
        <v>4876</v>
      </c>
      <c r="H99" s="30"/>
      <c r="I99" s="152"/>
      <c r="J99" s="30">
        <v>2018</v>
      </c>
      <c r="K99" s="152"/>
      <c r="L99" s="152"/>
      <c r="M99" s="193" t="s">
        <v>12</v>
      </c>
      <c r="N99" s="194">
        <v>99712000</v>
      </c>
      <c r="O99" s="188"/>
      <c r="P99" s="1152"/>
      <c r="Q99" s="245"/>
      <c r="R99" s="245"/>
    </row>
    <row r="100" spans="1:18" s="48" customFormat="1" ht="45.75" customHeight="1" x14ac:dyDescent="0.2">
      <c r="A100" s="190"/>
      <c r="B100" s="191" t="s">
        <v>4877</v>
      </c>
      <c r="C100" s="152"/>
      <c r="D100" s="152"/>
      <c r="E100" s="152"/>
      <c r="F100" s="152"/>
      <c r="G100" s="192" t="s">
        <v>4878</v>
      </c>
      <c r="H100" s="30"/>
      <c r="I100" s="152"/>
      <c r="J100" s="30">
        <v>2018</v>
      </c>
      <c r="K100" s="152"/>
      <c r="L100" s="152"/>
      <c r="M100" s="193" t="s">
        <v>12</v>
      </c>
      <c r="N100" s="194">
        <v>99600000</v>
      </c>
      <c r="O100" s="188"/>
      <c r="P100" s="1152"/>
      <c r="Q100" s="245"/>
      <c r="R100" s="245"/>
    </row>
    <row r="101" spans="1:18" s="48" customFormat="1" ht="45.75" customHeight="1" x14ac:dyDescent="0.2">
      <c r="A101" s="190"/>
      <c r="B101" s="191" t="s">
        <v>4879</v>
      </c>
      <c r="C101" s="152"/>
      <c r="D101" s="152"/>
      <c r="E101" s="152"/>
      <c r="F101" s="152"/>
      <c r="G101" s="192" t="s">
        <v>2578</v>
      </c>
      <c r="H101" s="30"/>
      <c r="I101" s="152"/>
      <c r="J101" s="30">
        <v>2018</v>
      </c>
      <c r="K101" s="152"/>
      <c r="L101" s="152"/>
      <c r="M101" s="193" t="s">
        <v>12</v>
      </c>
      <c r="N101" s="194">
        <v>99845000</v>
      </c>
      <c r="O101" s="188"/>
      <c r="P101" s="1152"/>
      <c r="Q101" s="245"/>
      <c r="R101" s="245"/>
    </row>
    <row r="102" spans="1:18" s="48" customFormat="1" ht="45.75" customHeight="1" x14ac:dyDescent="0.2">
      <c r="A102" s="190"/>
      <c r="B102" s="191" t="s">
        <v>4880</v>
      </c>
      <c r="C102" s="152"/>
      <c r="D102" s="152"/>
      <c r="E102" s="152"/>
      <c r="F102" s="152"/>
      <c r="G102" s="192" t="s">
        <v>3455</v>
      </c>
      <c r="H102" s="30"/>
      <c r="I102" s="152"/>
      <c r="J102" s="30">
        <v>2018</v>
      </c>
      <c r="K102" s="152"/>
      <c r="L102" s="152"/>
      <c r="M102" s="193" t="s">
        <v>12</v>
      </c>
      <c r="N102" s="194">
        <v>74800000</v>
      </c>
      <c r="O102" s="188"/>
      <c r="P102" s="1152"/>
      <c r="Q102" s="245"/>
      <c r="R102" s="245"/>
    </row>
    <row r="103" spans="1:18" s="48" customFormat="1" ht="45.75" customHeight="1" x14ac:dyDescent="0.2">
      <c r="A103" s="190"/>
      <c r="B103" s="191" t="s">
        <v>4881</v>
      </c>
      <c r="C103" s="152"/>
      <c r="D103" s="152"/>
      <c r="E103" s="152"/>
      <c r="F103" s="152"/>
      <c r="G103" s="192" t="s">
        <v>4882</v>
      </c>
      <c r="H103" s="30"/>
      <c r="I103" s="152"/>
      <c r="J103" s="30">
        <v>2018</v>
      </c>
      <c r="K103" s="152"/>
      <c r="L103" s="152"/>
      <c r="M103" s="193" t="s">
        <v>12</v>
      </c>
      <c r="N103" s="194">
        <v>74690000</v>
      </c>
      <c r="O103" s="188"/>
      <c r="P103" s="1152"/>
      <c r="Q103" s="245"/>
      <c r="R103" s="245"/>
    </row>
    <row r="104" spans="1:18" s="48" customFormat="1" ht="45.75" customHeight="1" x14ac:dyDescent="0.2">
      <c r="A104" s="190"/>
      <c r="B104" s="191" t="s">
        <v>4883</v>
      </c>
      <c r="C104" s="152"/>
      <c r="D104" s="152"/>
      <c r="E104" s="152"/>
      <c r="F104" s="152"/>
      <c r="G104" s="192" t="s">
        <v>4884</v>
      </c>
      <c r="H104" s="30"/>
      <c r="I104" s="152"/>
      <c r="J104" s="30">
        <v>2018</v>
      </c>
      <c r="K104" s="152"/>
      <c r="L104" s="152"/>
      <c r="M104" s="193" t="s">
        <v>12</v>
      </c>
      <c r="N104" s="194">
        <v>99730000</v>
      </c>
      <c r="O104" s="188"/>
      <c r="P104" s="1152"/>
      <c r="Q104" s="245"/>
      <c r="R104" s="245"/>
    </row>
    <row r="105" spans="1:18" s="48" customFormat="1" ht="45.75" customHeight="1" x14ac:dyDescent="0.2">
      <c r="A105" s="190"/>
      <c r="B105" s="191" t="s">
        <v>4885</v>
      </c>
      <c r="C105" s="152"/>
      <c r="D105" s="152"/>
      <c r="E105" s="152"/>
      <c r="F105" s="152"/>
      <c r="G105" s="192" t="s">
        <v>4886</v>
      </c>
      <c r="H105" s="30"/>
      <c r="I105" s="152"/>
      <c r="J105" s="30">
        <v>2018</v>
      </c>
      <c r="K105" s="152"/>
      <c r="L105" s="152"/>
      <c r="M105" s="193" t="s">
        <v>12</v>
      </c>
      <c r="N105" s="194">
        <v>99750000</v>
      </c>
      <c r="O105" s="188"/>
      <c r="P105" s="1152"/>
      <c r="Q105" s="245"/>
      <c r="R105" s="245"/>
    </row>
    <row r="106" spans="1:18" s="1" customFormat="1" ht="44.25" customHeight="1" thickBot="1" x14ac:dyDescent="0.25">
      <c r="A106" s="154"/>
      <c r="B106" s="155"/>
      <c r="C106" s="156"/>
      <c r="D106" s="156"/>
      <c r="E106" s="156"/>
      <c r="F106" s="156"/>
      <c r="G106" s="155"/>
      <c r="H106" s="1153"/>
      <c r="I106" s="156"/>
      <c r="J106" s="1153"/>
      <c r="K106" s="156"/>
      <c r="L106" s="156"/>
      <c r="M106" s="157"/>
      <c r="N106" s="158"/>
      <c r="O106" s="159"/>
      <c r="P106" s="201"/>
    </row>
    <row r="107" spans="1:18" s="1" customFormat="1" x14ac:dyDescent="0.2">
      <c r="H107" s="1308"/>
      <c r="J107" s="1308"/>
      <c r="P107" s="1154"/>
      <c r="Q107" s="258"/>
      <c r="R107" s="258"/>
    </row>
    <row r="108" spans="1:18" s="1" customFormat="1" x14ac:dyDescent="0.2">
      <c r="H108" s="1308"/>
      <c r="J108" s="1308"/>
      <c r="P108" s="1154"/>
      <c r="Q108" s="258"/>
      <c r="R108" s="258"/>
    </row>
    <row r="109" spans="1:18" s="1" customFormat="1" x14ac:dyDescent="0.2">
      <c r="A109" s="1898" t="s">
        <v>1109</v>
      </c>
      <c r="B109" s="1898"/>
      <c r="C109" s="1898"/>
      <c r="H109" s="1308"/>
      <c r="J109" s="1308"/>
      <c r="P109" s="1154">
        <f>3683147900+72470500</f>
        <v>3755618400</v>
      </c>
      <c r="Q109" s="258"/>
      <c r="R109" s="258"/>
    </row>
    <row r="110" spans="1:18" s="1" customFormat="1" x14ac:dyDescent="0.2">
      <c r="A110" s="1797" t="s">
        <v>4374</v>
      </c>
      <c r="B110" s="1797"/>
      <c r="C110" s="1797"/>
      <c r="H110" s="1308"/>
      <c r="I110" s="2063" t="s">
        <v>4373</v>
      </c>
      <c r="J110" s="1898"/>
      <c r="K110" s="1898"/>
      <c r="L110" s="1898"/>
      <c r="M110" s="1898"/>
      <c r="N110" s="1898"/>
      <c r="O110" s="1898"/>
      <c r="P110" s="1154"/>
      <c r="Q110" s="258"/>
      <c r="R110" s="258"/>
    </row>
    <row r="111" spans="1:18" s="1" customFormat="1" x14ac:dyDescent="0.2">
      <c r="A111" s="1797" t="s">
        <v>25</v>
      </c>
      <c r="B111" s="1797"/>
      <c r="C111" s="1797"/>
      <c r="H111" s="1308"/>
      <c r="I111" s="1898" t="s">
        <v>24</v>
      </c>
      <c r="J111" s="1898"/>
      <c r="K111" s="1898"/>
      <c r="L111" s="1898"/>
      <c r="M111" s="1898"/>
      <c r="N111" s="1898"/>
      <c r="O111" s="1898"/>
      <c r="P111" s="1154">
        <v>3023660100</v>
      </c>
      <c r="Q111" s="258"/>
      <c r="R111" s="258"/>
    </row>
    <row r="112" spans="1:18" s="1" customFormat="1" x14ac:dyDescent="0.2">
      <c r="A112" s="19"/>
      <c r="B112" s="19"/>
      <c r="C112" s="19"/>
      <c r="H112" s="1308"/>
      <c r="J112" s="1308"/>
      <c r="N112" s="28"/>
      <c r="P112" s="1154" t="e">
        <f>#REF!+#REF!+P111</f>
        <v>#REF!</v>
      </c>
      <c r="Q112" s="258"/>
      <c r="R112" s="258"/>
    </row>
    <row r="113" spans="1:18" s="1" customFormat="1" x14ac:dyDescent="0.2">
      <c r="A113" s="19"/>
      <c r="B113" s="19"/>
      <c r="C113" s="19"/>
      <c r="H113" s="1308"/>
      <c r="J113" s="1308"/>
      <c r="N113" s="29"/>
      <c r="P113" s="1154"/>
      <c r="Q113" s="258"/>
      <c r="R113" s="258"/>
    </row>
    <row r="114" spans="1:18" s="1" customFormat="1" x14ac:dyDescent="0.2">
      <c r="A114" s="18"/>
      <c r="B114" s="18"/>
      <c r="C114" s="18"/>
      <c r="H114" s="1308"/>
      <c r="J114" s="1308"/>
      <c r="N114" s="29"/>
      <c r="P114" s="1154"/>
      <c r="Q114" s="258"/>
      <c r="R114" s="258"/>
    </row>
    <row r="115" spans="1:18" s="1" customFormat="1" x14ac:dyDescent="0.2">
      <c r="A115" s="18"/>
      <c r="B115" s="18"/>
      <c r="C115" s="18"/>
      <c r="H115" s="1308"/>
      <c r="J115" s="1308"/>
      <c r="N115" s="28"/>
      <c r="P115" s="1154"/>
      <c r="Q115" s="258"/>
      <c r="R115" s="258"/>
    </row>
    <row r="116" spans="1:18" s="1" customFormat="1" x14ac:dyDescent="0.2">
      <c r="A116" s="18"/>
      <c r="B116" s="18"/>
      <c r="C116" s="18"/>
      <c r="H116" s="1308"/>
      <c r="J116" s="1308"/>
      <c r="N116" s="29"/>
      <c r="P116" s="1154"/>
      <c r="Q116" s="258"/>
      <c r="R116" s="258"/>
    </row>
    <row r="117" spans="1:18" s="1" customFormat="1" x14ac:dyDescent="0.2">
      <c r="A117" s="1795" t="s">
        <v>4375</v>
      </c>
      <c r="B117" s="1795"/>
      <c r="C117" s="1795"/>
      <c r="H117" s="1308"/>
      <c r="I117" s="2062" t="s">
        <v>27</v>
      </c>
      <c r="J117" s="2062"/>
      <c r="K117" s="2062"/>
      <c r="L117" s="2062"/>
      <c r="M117" s="2062"/>
      <c r="N117" s="2062"/>
      <c r="O117" s="2062"/>
      <c r="P117" s="1154"/>
      <c r="Q117" s="258"/>
      <c r="R117" s="258"/>
    </row>
    <row r="118" spans="1:18" s="1" customFormat="1" x14ac:dyDescent="0.2">
      <c r="A118" s="1797" t="s">
        <v>4376</v>
      </c>
      <c r="B118" s="1797"/>
      <c r="C118" s="1797"/>
      <c r="H118" s="1308"/>
      <c r="I118" s="2061" t="s">
        <v>29</v>
      </c>
      <c r="J118" s="2061"/>
      <c r="K118" s="2061"/>
      <c r="L118" s="2061"/>
      <c r="M118" s="2061"/>
      <c r="N118" s="2061"/>
      <c r="O118" s="2061"/>
      <c r="P118" s="1154"/>
      <c r="Q118" s="258"/>
      <c r="R118" s="258"/>
    </row>
    <row r="119" spans="1:18" x14ac:dyDescent="0.2">
      <c r="I119" s="2061"/>
      <c r="J119" s="2061"/>
      <c r="K119" s="2061"/>
      <c r="L119" s="2061"/>
      <c r="M119" s="2061"/>
      <c r="N119" s="2061"/>
      <c r="O119" s="2061"/>
    </row>
  </sheetData>
  <autoFilter ref="A9:O106" xr:uid="{00000000-0009-0000-0000-000012000000}"/>
  <mergeCells count="30">
    <mergeCell ref="A2:O2"/>
    <mergeCell ref="A3:O3"/>
    <mergeCell ref="A4:O4"/>
    <mergeCell ref="A6:A8"/>
    <mergeCell ref="B6:B8"/>
    <mergeCell ref="C6:C8"/>
    <mergeCell ref="D6:E6"/>
    <mergeCell ref="F6:F8"/>
    <mergeCell ref="G6:G8"/>
    <mergeCell ref="H6:I6"/>
    <mergeCell ref="A110:C110"/>
    <mergeCell ref="I110:O110"/>
    <mergeCell ref="J6:J8"/>
    <mergeCell ref="K6:K8"/>
    <mergeCell ref="L6:L8"/>
    <mergeCell ref="M6:M8"/>
    <mergeCell ref="N6:N8"/>
    <mergeCell ref="O6:O8"/>
    <mergeCell ref="D7:D8"/>
    <mergeCell ref="E7:E8"/>
    <mergeCell ref="H7:H8"/>
    <mergeCell ref="I7:I8"/>
    <mergeCell ref="A109:C109"/>
    <mergeCell ref="I119:O119"/>
    <mergeCell ref="A111:C111"/>
    <mergeCell ref="I111:O111"/>
    <mergeCell ref="A117:C117"/>
    <mergeCell ref="I117:O117"/>
    <mergeCell ref="A118:C118"/>
    <mergeCell ref="I118:O118"/>
  </mergeCells>
  <pageMargins left="1.83" right="0.23622047244094491" top="0.55118110236220474" bottom="0.55118110236220474" header="0.31496062992125984" footer="0.31496062992125984"/>
  <pageSetup paperSize="5" scale="65" orientation="landscape" horizontalDpi="180" verticalDpi="18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R79"/>
  <sheetViews>
    <sheetView view="pageBreakPreview" zoomScale="70" zoomScaleNormal="70" zoomScaleSheetLayoutView="70" workbookViewId="0">
      <selection activeCell="M13" sqref="M13"/>
    </sheetView>
  </sheetViews>
  <sheetFormatPr baseColWidth="10" defaultColWidth="9.1640625" defaultRowHeight="14" x14ac:dyDescent="0.15"/>
  <cols>
    <col min="1" max="1" width="7.5" style="1351" customWidth="1"/>
    <col min="2" max="2" width="40.1640625" style="1035" customWidth="1"/>
    <col min="3" max="3" width="13" style="1351" customWidth="1"/>
    <col min="4" max="4" width="17.33203125" style="1351" customWidth="1"/>
    <col min="5" max="5" width="15" style="1351" customWidth="1"/>
    <col min="6" max="6" width="11.83203125" style="1351" customWidth="1"/>
    <col min="7" max="7" width="17.83203125" style="1351" customWidth="1"/>
    <col min="8" max="8" width="17.1640625" style="1354" customWidth="1"/>
    <col min="9" max="9" width="16.5" style="1351" customWidth="1"/>
    <col min="10" max="10" width="12.5" style="1354" bestFit="1" customWidth="1"/>
    <col min="11" max="11" width="13.83203125" style="1351" customWidth="1"/>
    <col min="12" max="12" width="15.83203125" style="1351" customWidth="1"/>
    <col min="13" max="13" width="14.5" style="1351" customWidth="1"/>
    <col min="14" max="14" width="25.6640625" style="1351" customWidth="1"/>
    <col min="15" max="15" width="16" style="1351" customWidth="1"/>
    <col min="16" max="16" width="19.33203125" style="1352" customWidth="1"/>
    <col min="17" max="17" width="17.6640625" style="1353" bestFit="1" customWidth="1"/>
    <col min="18" max="18" width="16.1640625" style="1353" bestFit="1" customWidth="1"/>
    <col min="19" max="16384" width="9.1640625" style="1351"/>
  </cols>
  <sheetData>
    <row r="1" spans="1:18" x14ac:dyDescent="0.15">
      <c r="A1" s="1035"/>
      <c r="C1" s="1035"/>
      <c r="D1" s="1035"/>
      <c r="E1" s="1035"/>
      <c r="F1" s="1035"/>
      <c r="G1" s="1035"/>
      <c r="H1" s="1345"/>
      <c r="I1" s="1035"/>
      <c r="J1" s="1345"/>
      <c r="K1" s="1035"/>
      <c r="L1" s="1035"/>
      <c r="M1" s="1035"/>
      <c r="N1" s="1035"/>
      <c r="O1" s="1035"/>
    </row>
    <row r="2" spans="1:18" s="1389" customFormat="1" ht="34" customHeight="1" x14ac:dyDescent="0.2">
      <c r="A2" s="1859" t="s">
        <v>473</v>
      </c>
      <c r="B2" s="1859"/>
      <c r="C2" s="1859"/>
      <c r="D2" s="1859"/>
      <c r="E2" s="1859"/>
      <c r="F2" s="1859"/>
      <c r="G2" s="1859"/>
      <c r="H2" s="1859"/>
      <c r="I2" s="1859"/>
      <c r="J2" s="1859"/>
      <c r="K2" s="1859"/>
      <c r="L2" s="1859"/>
      <c r="M2" s="1859"/>
      <c r="N2" s="1859"/>
      <c r="O2" s="1859"/>
      <c r="P2" s="1392"/>
      <c r="Q2" s="1393"/>
      <c r="R2" s="1393"/>
    </row>
    <row r="3" spans="1:18" s="1389" customFormat="1" ht="34" customHeight="1" x14ac:dyDescent="0.2">
      <c r="A3" s="1859" t="s">
        <v>6037</v>
      </c>
      <c r="B3" s="1859"/>
      <c r="C3" s="1859"/>
      <c r="D3" s="1859"/>
      <c r="E3" s="1859"/>
      <c r="F3" s="1859"/>
      <c r="G3" s="1859"/>
      <c r="H3" s="1859"/>
      <c r="I3" s="1859"/>
      <c r="J3" s="1859"/>
      <c r="K3" s="1859"/>
      <c r="L3" s="1859"/>
      <c r="M3" s="1859"/>
      <c r="N3" s="1859"/>
      <c r="O3" s="1859"/>
      <c r="P3" s="1392"/>
      <c r="Q3" s="1393"/>
      <c r="R3" s="1393"/>
    </row>
    <row r="4" spans="1:18" s="1388" customFormat="1" x14ac:dyDescent="0.15">
      <c r="A4" s="2046"/>
      <c r="B4" s="2046"/>
      <c r="C4" s="2046"/>
      <c r="D4" s="2046"/>
      <c r="E4" s="2046"/>
      <c r="F4" s="2046"/>
      <c r="G4" s="2046"/>
      <c r="H4" s="2046"/>
      <c r="I4" s="2046"/>
      <c r="J4" s="2046"/>
      <c r="K4" s="2046"/>
      <c r="L4" s="2046"/>
      <c r="M4" s="2046"/>
      <c r="N4" s="2046"/>
      <c r="O4" s="2046"/>
      <c r="P4" s="1386"/>
      <c r="Q4" s="1387"/>
      <c r="R4" s="1387"/>
    </row>
    <row r="5" spans="1:18" s="1389" customFormat="1" ht="21" customHeight="1" thickBot="1" x14ac:dyDescent="0.25">
      <c r="A5" s="1856" t="s">
        <v>6038</v>
      </c>
      <c r="B5" s="1856"/>
      <c r="C5" s="1856"/>
      <c r="D5" s="1390"/>
      <c r="E5" s="1390"/>
      <c r="F5" s="1390"/>
      <c r="G5" s="1390"/>
      <c r="H5" s="1391"/>
      <c r="I5" s="1390"/>
      <c r="J5" s="1391"/>
      <c r="K5" s="1390"/>
      <c r="L5" s="1390"/>
      <c r="M5" s="1390"/>
      <c r="N5" s="1390"/>
      <c r="O5" s="1390"/>
      <c r="P5" s="1392"/>
      <c r="Q5" s="1393"/>
      <c r="R5" s="1393"/>
    </row>
    <row r="6" spans="1:18" s="1388" customFormat="1" ht="26.25" customHeight="1" x14ac:dyDescent="0.15">
      <c r="A6" s="2047" t="s">
        <v>869</v>
      </c>
      <c r="B6" s="2050" t="s">
        <v>870</v>
      </c>
      <c r="C6" s="2050" t="s">
        <v>1651</v>
      </c>
      <c r="D6" s="2050" t="s">
        <v>1102</v>
      </c>
      <c r="E6" s="2050"/>
      <c r="F6" s="2053" t="s">
        <v>872</v>
      </c>
      <c r="G6" s="2050" t="s">
        <v>1652</v>
      </c>
      <c r="H6" s="2070" t="s">
        <v>1103</v>
      </c>
      <c r="I6" s="2070"/>
      <c r="J6" s="1847" t="s">
        <v>1653</v>
      </c>
      <c r="K6" s="1847" t="s">
        <v>875</v>
      </c>
      <c r="L6" s="1847" t="s">
        <v>1104</v>
      </c>
      <c r="M6" s="2050" t="s">
        <v>876</v>
      </c>
      <c r="N6" s="2050" t="s">
        <v>1654</v>
      </c>
      <c r="O6" s="2056" t="s">
        <v>911</v>
      </c>
      <c r="P6" s="1386"/>
      <c r="Q6" s="1387"/>
      <c r="R6" s="1387"/>
    </row>
    <row r="7" spans="1:18" s="1388" customFormat="1" ht="24" customHeight="1" x14ac:dyDescent="0.15">
      <c r="A7" s="2048"/>
      <c r="B7" s="2051"/>
      <c r="C7" s="2051"/>
      <c r="D7" s="2051" t="s">
        <v>1106</v>
      </c>
      <c r="E7" s="2051" t="s">
        <v>1107</v>
      </c>
      <c r="F7" s="2054"/>
      <c r="G7" s="2051"/>
      <c r="H7" s="1840" t="s">
        <v>882</v>
      </c>
      <c r="I7" s="1840" t="s">
        <v>883</v>
      </c>
      <c r="J7" s="1838"/>
      <c r="K7" s="1838"/>
      <c r="L7" s="1838"/>
      <c r="M7" s="2051"/>
      <c r="N7" s="2051"/>
      <c r="O7" s="2057"/>
      <c r="P7" s="1386" t="s">
        <v>4801</v>
      </c>
      <c r="Q7" s="1387" t="s">
        <v>4802</v>
      </c>
      <c r="R7" s="1387" t="s">
        <v>4803</v>
      </c>
    </row>
    <row r="8" spans="1:18" s="1388" customFormat="1" ht="22.5" customHeight="1" thickBot="1" x14ac:dyDescent="0.2">
      <c r="A8" s="2049"/>
      <c r="B8" s="2052"/>
      <c r="C8" s="2052"/>
      <c r="D8" s="2052"/>
      <c r="E8" s="2052"/>
      <c r="F8" s="2055"/>
      <c r="G8" s="2052"/>
      <c r="H8" s="1852"/>
      <c r="I8" s="1852"/>
      <c r="J8" s="1839"/>
      <c r="K8" s="1839"/>
      <c r="L8" s="1839"/>
      <c r="M8" s="2052"/>
      <c r="N8" s="2052"/>
      <c r="O8" s="2058"/>
      <c r="P8" s="1386"/>
      <c r="Q8" s="1387"/>
      <c r="R8" s="1387"/>
    </row>
    <row r="9" spans="1:18" s="1388" customFormat="1" ht="25" customHeight="1" thickBot="1" x14ac:dyDescent="0.2">
      <c r="A9" s="1438">
        <v>1</v>
      </c>
      <c r="B9" s="1439">
        <v>2</v>
      </c>
      <c r="C9" s="1439">
        <v>3</v>
      </c>
      <c r="D9" s="1439">
        <v>4</v>
      </c>
      <c r="E9" s="1439">
        <v>5</v>
      </c>
      <c r="F9" s="1439">
        <v>6</v>
      </c>
      <c r="G9" s="1439">
        <v>7</v>
      </c>
      <c r="H9" s="1439">
        <v>8</v>
      </c>
      <c r="I9" s="1439">
        <v>9</v>
      </c>
      <c r="J9" s="1439">
        <v>10</v>
      </c>
      <c r="K9" s="1439">
        <v>11</v>
      </c>
      <c r="L9" s="1439">
        <v>12</v>
      </c>
      <c r="M9" s="1439">
        <v>13</v>
      </c>
      <c r="N9" s="1439">
        <v>14</v>
      </c>
      <c r="O9" s="1440">
        <v>15</v>
      </c>
      <c r="P9" s="1386"/>
      <c r="Q9" s="1387"/>
      <c r="R9" s="1387"/>
    </row>
    <row r="10" spans="1:18" s="1388" customFormat="1" ht="15" thickTop="1" x14ac:dyDescent="0.15">
      <c r="A10" s="1433"/>
      <c r="B10" s="1434"/>
      <c r="C10" s="1434"/>
      <c r="D10" s="1434"/>
      <c r="E10" s="1434"/>
      <c r="F10" s="1434"/>
      <c r="G10" s="1434"/>
      <c r="H10" s="1435"/>
      <c r="I10" s="1434"/>
      <c r="J10" s="1435"/>
      <c r="K10" s="1434"/>
      <c r="L10" s="1434"/>
      <c r="M10" s="1434"/>
      <c r="N10" s="1436"/>
      <c r="O10" s="1437"/>
      <c r="P10" s="1394"/>
    </row>
    <row r="11" spans="1:18" s="1388" customFormat="1" ht="47.25" customHeight="1" x14ac:dyDescent="0.15">
      <c r="A11" s="1441" t="s">
        <v>866</v>
      </c>
      <c r="B11" s="1410" t="s">
        <v>1655</v>
      </c>
      <c r="C11" s="1408"/>
      <c r="D11" s="1408"/>
      <c r="E11" s="1408"/>
      <c r="F11" s="1408"/>
      <c r="G11" s="1411"/>
      <c r="H11" s="1409"/>
      <c r="I11" s="1408"/>
      <c r="J11" s="1409"/>
      <c r="K11" s="1408"/>
      <c r="L11" s="1408"/>
      <c r="M11" s="1408"/>
      <c r="N11" s="1412">
        <f>SUM(N12:N65)</f>
        <v>64499325668.269997</v>
      </c>
      <c r="O11" s="1425"/>
      <c r="P11" s="1394">
        <v>9934304500</v>
      </c>
      <c r="Q11" s="1395">
        <f>N11-P11</f>
        <v>54565021168.269997</v>
      </c>
    </row>
    <row r="12" spans="1:18" s="1390" customFormat="1" ht="45.75" customHeight="1" x14ac:dyDescent="0.2">
      <c r="A12" s="1426">
        <v>1</v>
      </c>
      <c r="B12" s="1413" t="s">
        <v>1670</v>
      </c>
      <c r="C12" s="1414"/>
      <c r="D12" s="1414"/>
      <c r="E12" s="1414"/>
      <c r="F12" s="1414"/>
      <c r="G12" s="1415"/>
      <c r="H12" s="1416"/>
      <c r="I12" s="1414"/>
      <c r="J12" s="1416">
        <v>2014</v>
      </c>
      <c r="K12" s="1414"/>
      <c r="L12" s="1414"/>
      <c r="M12" s="1417" t="s">
        <v>12</v>
      </c>
      <c r="N12" s="1418">
        <v>415692500</v>
      </c>
      <c r="O12" s="1427"/>
      <c r="P12" s="1396"/>
      <c r="Q12" s="1397" t="e">
        <f>#REF!-#REF!</f>
        <v>#REF!</v>
      </c>
    </row>
    <row r="13" spans="1:18" s="1390" customFormat="1" ht="45.75" customHeight="1" x14ac:dyDescent="0.2">
      <c r="A13" s="1426">
        <v>2</v>
      </c>
      <c r="B13" s="1413" t="s">
        <v>1671</v>
      </c>
      <c r="C13" s="1414"/>
      <c r="D13" s="1414"/>
      <c r="E13" s="1414"/>
      <c r="F13" s="1414"/>
      <c r="G13" s="1415"/>
      <c r="H13" s="1416"/>
      <c r="I13" s="1414"/>
      <c r="J13" s="1416">
        <v>2014</v>
      </c>
      <c r="K13" s="1414"/>
      <c r="L13" s="1414"/>
      <c r="M13" s="1417" t="s">
        <v>12</v>
      </c>
      <c r="N13" s="1418">
        <v>135148500</v>
      </c>
      <c r="O13" s="1427"/>
      <c r="P13" s="1396"/>
    </row>
    <row r="14" spans="1:18" s="1390" customFormat="1" ht="45.75" customHeight="1" x14ac:dyDescent="0.2">
      <c r="A14" s="1426">
        <v>3</v>
      </c>
      <c r="B14" s="1413" t="s">
        <v>1672</v>
      </c>
      <c r="C14" s="1414"/>
      <c r="D14" s="1414"/>
      <c r="E14" s="1414"/>
      <c r="F14" s="1414"/>
      <c r="G14" s="1415"/>
      <c r="H14" s="1416"/>
      <c r="I14" s="1414"/>
      <c r="J14" s="1416">
        <v>2014</v>
      </c>
      <c r="K14" s="1414"/>
      <c r="L14" s="1414"/>
      <c r="M14" s="1417" t="s">
        <v>12</v>
      </c>
      <c r="N14" s="1418">
        <v>136155000</v>
      </c>
      <c r="O14" s="1427"/>
      <c r="P14" s="1396"/>
    </row>
    <row r="15" spans="1:18" s="1390" customFormat="1" ht="54" customHeight="1" x14ac:dyDescent="0.2">
      <c r="A15" s="1426">
        <v>4</v>
      </c>
      <c r="B15" s="1413" t="s">
        <v>1673</v>
      </c>
      <c r="C15" s="1414"/>
      <c r="D15" s="1414"/>
      <c r="E15" s="1414"/>
      <c r="F15" s="1414"/>
      <c r="G15" s="1415"/>
      <c r="H15" s="1416"/>
      <c r="I15" s="1414"/>
      <c r="J15" s="1416">
        <v>2014</v>
      </c>
      <c r="K15" s="1414"/>
      <c r="L15" s="1414"/>
      <c r="M15" s="1417" t="s">
        <v>12</v>
      </c>
      <c r="N15" s="1418">
        <v>87308750</v>
      </c>
      <c r="O15" s="1427"/>
      <c r="P15" s="1396"/>
    </row>
    <row r="16" spans="1:18" s="1390" customFormat="1" ht="54" customHeight="1" x14ac:dyDescent="0.2">
      <c r="A16" s="1426">
        <v>5</v>
      </c>
      <c r="B16" s="1413" t="s">
        <v>1674</v>
      </c>
      <c r="C16" s="1414"/>
      <c r="D16" s="1414"/>
      <c r="E16" s="1414"/>
      <c r="F16" s="1414"/>
      <c r="G16" s="1415"/>
      <c r="H16" s="1416"/>
      <c r="I16" s="1414"/>
      <c r="J16" s="1416">
        <v>2014</v>
      </c>
      <c r="K16" s="1414"/>
      <c r="L16" s="1414"/>
      <c r="M16" s="1417" t="s">
        <v>12</v>
      </c>
      <c r="N16" s="1418">
        <v>72835500</v>
      </c>
      <c r="O16" s="1427"/>
      <c r="P16" s="1396"/>
    </row>
    <row r="17" spans="1:18" s="1390" customFormat="1" ht="54" customHeight="1" x14ac:dyDescent="0.2">
      <c r="A17" s="1426">
        <v>6</v>
      </c>
      <c r="B17" s="1413" t="s">
        <v>1675</v>
      </c>
      <c r="C17" s="1414"/>
      <c r="D17" s="1414"/>
      <c r="E17" s="1414"/>
      <c r="F17" s="1414"/>
      <c r="G17" s="1415"/>
      <c r="H17" s="1416"/>
      <c r="I17" s="1414"/>
      <c r="J17" s="1416">
        <v>2014</v>
      </c>
      <c r="K17" s="1414"/>
      <c r="L17" s="1414"/>
      <c r="M17" s="1417" t="s">
        <v>12</v>
      </c>
      <c r="N17" s="1418">
        <v>102365000</v>
      </c>
      <c r="O17" s="1427"/>
      <c r="P17" s="1396"/>
    </row>
    <row r="18" spans="1:18" s="1390" customFormat="1" ht="45.75" customHeight="1" x14ac:dyDescent="0.2">
      <c r="A18" s="1426">
        <v>7</v>
      </c>
      <c r="B18" s="1413" t="s">
        <v>1676</v>
      </c>
      <c r="C18" s="1414"/>
      <c r="D18" s="1414"/>
      <c r="E18" s="1414"/>
      <c r="F18" s="1414"/>
      <c r="G18" s="1415"/>
      <c r="H18" s="1416"/>
      <c r="I18" s="1414"/>
      <c r="J18" s="1416">
        <v>2014</v>
      </c>
      <c r="K18" s="1414"/>
      <c r="L18" s="1414"/>
      <c r="M18" s="1417" t="s">
        <v>12</v>
      </c>
      <c r="N18" s="1418">
        <v>47810750</v>
      </c>
      <c r="O18" s="1427"/>
      <c r="P18" s="1396"/>
    </row>
    <row r="19" spans="1:18" s="1390" customFormat="1" ht="45.75" customHeight="1" x14ac:dyDescent="0.2">
      <c r="A19" s="1426">
        <v>8</v>
      </c>
      <c r="B19" s="1413" t="s">
        <v>1677</v>
      </c>
      <c r="C19" s="1414"/>
      <c r="D19" s="1414"/>
      <c r="E19" s="1414"/>
      <c r="F19" s="1414"/>
      <c r="G19" s="1415"/>
      <c r="H19" s="1416"/>
      <c r="I19" s="1414"/>
      <c r="J19" s="1416">
        <v>2015</v>
      </c>
      <c r="K19" s="1414"/>
      <c r="L19" s="1414"/>
      <c r="M19" s="1417"/>
      <c r="N19" s="1418">
        <v>48950000</v>
      </c>
      <c r="O19" s="1427"/>
      <c r="P19" s="1398"/>
    </row>
    <row r="20" spans="1:18" s="1390" customFormat="1" ht="45.75" customHeight="1" x14ac:dyDescent="0.2">
      <c r="A20" s="1426">
        <v>9</v>
      </c>
      <c r="B20" s="1413" t="s">
        <v>1678</v>
      </c>
      <c r="C20" s="1414"/>
      <c r="D20" s="1414"/>
      <c r="E20" s="1414"/>
      <c r="F20" s="1414"/>
      <c r="G20" s="1415"/>
      <c r="H20" s="1416"/>
      <c r="I20" s="1414"/>
      <c r="J20" s="1416">
        <v>2015</v>
      </c>
      <c r="K20" s="1414"/>
      <c r="L20" s="1414"/>
      <c r="M20" s="1417"/>
      <c r="N20" s="1418">
        <v>49256000</v>
      </c>
      <c r="O20" s="1427"/>
      <c r="P20" s="1398"/>
    </row>
    <row r="21" spans="1:18" s="1390" customFormat="1" ht="45.75" customHeight="1" x14ac:dyDescent="0.2">
      <c r="A21" s="1426">
        <v>10</v>
      </c>
      <c r="B21" s="1413" t="s">
        <v>4836</v>
      </c>
      <c r="C21" s="1414"/>
      <c r="D21" s="1414"/>
      <c r="E21" s="1414"/>
      <c r="F21" s="1414"/>
      <c r="G21" s="1415"/>
      <c r="H21" s="1416"/>
      <c r="I21" s="1414"/>
      <c r="J21" s="1416">
        <v>2014</v>
      </c>
      <c r="K21" s="1414"/>
      <c r="L21" s="1414"/>
      <c r="M21" s="1417"/>
      <c r="N21" s="1418">
        <v>37470000</v>
      </c>
      <c r="O21" s="1427"/>
      <c r="P21" s="1399" t="s">
        <v>2276</v>
      </c>
    </row>
    <row r="22" spans="1:18" s="1390" customFormat="1" ht="45.75" customHeight="1" x14ac:dyDescent="0.2">
      <c r="A22" s="1426">
        <v>11</v>
      </c>
      <c r="B22" s="1413" t="s">
        <v>4837</v>
      </c>
      <c r="C22" s="1414"/>
      <c r="D22" s="1414"/>
      <c r="E22" s="1414"/>
      <c r="F22" s="1414"/>
      <c r="G22" s="1415"/>
      <c r="H22" s="1416"/>
      <c r="I22" s="1414"/>
      <c r="J22" s="1416">
        <v>2014</v>
      </c>
      <c r="K22" s="1414"/>
      <c r="L22" s="1414"/>
      <c r="M22" s="1417"/>
      <c r="N22" s="1418">
        <v>47370000</v>
      </c>
      <c r="O22" s="1427"/>
      <c r="P22" s="1399" t="s">
        <v>2276</v>
      </c>
    </row>
    <row r="23" spans="1:18" s="1390" customFormat="1" ht="45.75" customHeight="1" x14ac:dyDescent="0.2">
      <c r="A23" s="1426">
        <v>12</v>
      </c>
      <c r="B23" s="1413" t="s">
        <v>4838</v>
      </c>
      <c r="C23" s="1414"/>
      <c r="D23" s="1414"/>
      <c r="E23" s="1414"/>
      <c r="F23" s="1414"/>
      <c r="G23" s="1415"/>
      <c r="H23" s="1416"/>
      <c r="I23" s="1414"/>
      <c r="J23" s="1416">
        <v>2015</v>
      </c>
      <c r="K23" s="1414"/>
      <c r="L23" s="1414"/>
      <c r="M23" s="1417"/>
      <c r="N23" s="1418">
        <v>34041000</v>
      </c>
      <c r="O23" s="1427"/>
      <c r="P23" s="1399" t="s">
        <v>2276</v>
      </c>
    </row>
    <row r="24" spans="1:18" s="1390" customFormat="1" ht="45.75" customHeight="1" x14ac:dyDescent="0.2">
      <c r="A24" s="1426">
        <v>13</v>
      </c>
      <c r="B24" s="1413" t="s">
        <v>4839</v>
      </c>
      <c r="C24" s="1414"/>
      <c r="D24" s="1414"/>
      <c r="E24" s="1414"/>
      <c r="F24" s="1414"/>
      <c r="G24" s="1415"/>
      <c r="H24" s="1416"/>
      <c r="I24" s="1414"/>
      <c r="J24" s="1416">
        <v>2015</v>
      </c>
      <c r="K24" s="1414"/>
      <c r="L24" s="1414"/>
      <c r="M24" s="1417"/>
      <c r="N24" s="1418">
        <v>34261000</v>
      </c>
      <c r="O24" s="1427"/>
      <c r="P24" s="1399" t="s">
        <v>2276</v>
      </c>
    </row>
    <row r="25" spans="1:18" s="1390" customFormat="1" ht="45.75" customHeight="1" x14ac:dyDescent="0.2">
      <c r="A25" s="1426">
        <v>14</v>
      </c>
      <c r="B25" s="1413" t="s">
        <v>4840</v>
      </c>
      <c r="C25" s="1414"/>
      <c r="D25" s="1414"/>
      <c r="E25" s="1414"/>
      <c r="F25" s="1414"/>
      <c r="G25" s="1415"/>
      <c r="H25" s="1416"/>
      <c r="I25" s="1414"/>
      <c r="J25" s="1416">
        <v>2015</v>
      </c>
      <c r="K25" s="1414"/>
      <c r="L25" s="1414"/>
      <c r="M25" s="1417"/>
      <c r="N25" s="1418">
        <v>33821000</v>
      </c>
      <c r="O25" s="1427"/>
      <c r="P25" s="1399" t="s">
        <v>2276</v>
      </c>
    </row>
    <row r="26" spans="1:18" s="1390" customFormat="1" ht="45.75" customHeight="1" x14ac:dyDescent="0.2">
      <c r="A26" s="1426">
        <v>15</v>
      </c>
      <c r="B26" s="1413" t="s">
        <v>4840</v>
      </c>
      <c r="C26" s="1414"/>
      <c r="D26" s="1414"/>
      <c r="E26" s="1414"/>
      <c r="F26" s="1414"/>
      <c r="G26" s="1415"/>
      <c r="H26" s="1416"/>
      <c r="I26" s="1414"/>
      <c r="J26" s="1416">
        <v>2015</v>
      </c>
      <c r="K26" s="1414"/>
      <c r="L26" s="1414"/>
      <c r="M26" s="1417"/>
      <c r="N26" s="1418">
        <v>33491000</v>
      </c>
      <c r="O26" s="1427"/>
      <c r="P26" s="1399" t="s">
        <v>2276</v>
      </c>
    </row>
    <row r="27" spans="1:18" s="1390" customFormat="1" ht="45.75" customHeight="1" x14ac:dyDescent="0.2">
      <c r="A27" s="1426">
        <v>16</v>
      </c>
      <c r="B27" s="1413" t="s">
        <v>4841</v>
      </c>
      <c r="C27" s="1414"/>
      <c r="D27" s="1414"/>
      <c r="E27" s="1414"/>
      <c r="F27" s="1414"/>
      <c r="G27" s="1415"/>
      <c r="H27" s="1416"/>
      <c r="I27" s="1414"/>
      <c r="J27" s="1416">
        <v>2015</v>
      </c>
      <c r="K27" s="1414"/>
      <c r="L27" s="1414"/>
      <c r="M27" s="1417"/>
      <c r="N27" s="1418">
        <v>33381000</v>
      </c>
      <c r="O27" s="1427"/>
      <c r="P27" s="1399" t="s">
        <v>2276</v>
      </c>
    </row>
    <row r="28" spans="1:18" s="1390" customFormat="1" ht="45.75" customHeight="1" x14ac:dyDescent="0.2">
      <c r="A28" s="1426">
        <v>17</v>
      </c>
      <c r="B28" s="1413" t="s">
        <v>4842</v>
      </c>
      <c r="C28" s="1414"/>
      <c r="D28" s="1414"/>
      <c r="E28" s="1414"/>
      <c r="F28" s="1414"/>
      <c r="G28" s="1415"/>
      <c r="H28" s="1416"/>
      <c r="I28" s="1414"/>
      <c r="J28" s="1416">
        <v>2015</v>
      </c>
      <c r="K28" s="1414"/>
      <c r="L28" s="1414"/>
      <c r="M28" s="1417"/>
      <c r="N28" s="1418">
        <v>5368231700</v>
      </c>
      <c r="O28" s="1427"/>
      <c r="P28" s="1399"/>
    </row>
    <row r="29" spans="1:18" s="1390" customFormat="1" ht="45.75" customHeight="1" x14ac:dyDescent="0.2">
      <c r="A29" s="1426">
        <v>18</v>
      </c>
      <c r="B29" s="1413" t="s">
        <v>4843</v>
      </c>
      <c r="C29" s="1414"/>
      <c r="D29" s="1414"/>
      <c r="E29" s="1414"/>
      <c r="F29" s="1414"/>
      <c r="G29" s="1415"/>
      <c r="H29" s="1416"/>
      <c r="I29" s="1414"/>
      <c r="J29" s="1416">
        <v>2016</v>
      </c>
      <c r="K29" s="1414"/>
      <c r="L29" s="1414"/>
      <c r="M29" s="1417"/>
      <c r="N29" s="1418">
        <v>45372000</v>
      </c>
      <c r="O29" s="1427"/>
      <c r="P29" s="1399" t="s">
        <v>2276</v>
      </c>
    </row>
    <row r="30" spans="1:18" s="1390" customFormat="1" ht="45.75" customHeight="1" x14ac:dyDescent="0.2">
      <c r="A30" s="1426">
        <v>19</v>
      </c>
      <c r="B30" s="1413" t="s">
        <v>4844</v>
      </c>
      <c r="C30" s="1414"/>
      <c r="D30" s="1414"/>
      <c r="E30" s="1414"/>
      <c r="F30" s="1414"/>
      <c r="G30" s="1415"/>
      <c r="H30" s="1416"/>
      <c r="I30" s="1414"/>
      <c r="J30" s="1416">
        <v>2016</v>
      </c>
      <c r="K30" s="1414"/>
      <c r="L30" s="1414"/>
      <c r="M30" s="1417"/>
      <c r="N30" s="1418">
        <v>47644000</v>
      </c>
      <c r="O30" s="1427"/>
      <c r="P30" s="1399" t="s">
        <v>2276</v>
      </c>
    </row>
    <row r="31" spans="1:18" s="1390" customFormat="1" ht="45.75" customHeight="1" x14ac:dyDescent="0.2">
      <c r="A31" s="1426">
        <v>20</v>
      </c>
      <c r="B31" s="1413" t="s">
        <v>4887</v>
      </c>
      <c r="C31" s="1414"/>
      <c r="D31" s="1414"/>
      <c r="E31" s="1414"/>
      <c r="F31" s="1414"/>
      <c r="G31" s="1415"/>
      <c r="H31" s="1416"/>
      <c r="I31" s="1414"/>
      <c r="J31" s="1416">
        <v>2016</v>
      </c>
      <c r="K31" s="1414"/>
      <c r="L31" s="1414"/>
      <c r="M31" s="1417"/>
      <c r="N31" s="1418">
        <v>50733000</v>
      </c>
      <c r="O31" s="1427"/>
      <c r="P31" s="1399"/>
    </row>
    <row r="32" spans="1:18" s="1390" customFormat="1" ht="45.75" customHeight="1" x14ac:dyDescent="0.2">
      <c r="A32" s="1426">
        <v>21</v>
      </c>
      <c r="B32" s="1413" t="s">
        <v>4845</v>
      </c>
      <c r="C32" s="1414"/>
      <c r="D32" s="1414"/>
      <c r="E32" s="1414"/>
      <c r="F32" s="1414"/>
      <c r="G32" s="1415"/>
      <c r="H32" s="1416"/>
      <c r="I32" s="1414"/>
      <c r="J32" s="1416">
        <v>2017</v>
      </c>
      <c r="K32" s="1414"/>
      <c r="L32" s="1414"/>
      <c r="M32" s="1417"/>
      <c r="N32" s="1418">
        <v>148843000</v>
      </c>
      <c r="O32" s="1427"/>
      <c r="P32" s="1400"/>
      <c r="Q32" s="1401"/>
      <c r="R32" s="1401"/>
    </row>
    <row r="33" spans="1:18" s="1390" customFormat="1" ht="71" customHeight="1" x14ac:dyDescent="0.2">
      <c r="A33" s="1426">
        <v>22</v>
      </c>
      <c r="B33" s="1413" t="s">
        <v>4847</v>
      </c>
      <c r="C33" s="1414"/>
      <c r="D33" s="1414"/>
      <c r="E33" s="1414"/>
      <c r="F33" s="1414"/>
      <c r="G33" s="1415"/>
      <c r="H33" s="1416"/>
      <c r="I33" s="1414"/>
      <c r="J33" s="1416">
        <v>2017</v>
      </c>
      <c r="K33" s="1414"/>
      <c r="L33" s="1414"/>
      <c r="M33" s="1417"/>
      <c r="N33" s="1418">
        <v>55013000</v>
      </c>
      <c r="O33" s="1427"/>
      <c r="P33" s="1400"/>
      <c r="Q33" s="1401"/>
      <c r="R33" s="1401"/>
    </row>
    <row r="34" spans="1:18" s="1390" customFormat="1" ht="45.75" customHeight="1" x14ac:dyDescent="0.2">
      <c r="A34" s="1426">
        <v>23</v>
      </c>
      <c r="B34" s="1413" t="s">
        <v>4848</v>
      </c>
      <c r="C34" s="1414"/>
      <c r="D34" s="1414"/>
      <c r="E34" s="1414"/>
      <c r="F34" s="1414"/>
      <c r="G34" s="1415"/>
      <c r="H34" s="1416"/>
      <c r="I34" s="1414"/>
      <c r="J34" s="1416">
        <v>2017</v>
      </c>
      <c r="K34" s="1414"/>
      <c r="L34" s="1414"/>
      <c r="M34" s="1417"/>
      <c r="N34" s="1418">
        <v>55137000</v>
      </c>
      <c r="O34" s="1427"/>
      <c r="P34" s="1400"/>
      <c r="Q34" s="1401"/>
      <c r="R34" s="1401"/>
    </row>
    <row r="35" spans="1:18" s="1390" customFormat="1" ht="45.75" customHeight="1" x14ac:dyDescent="0.2">
      <c r="A35" s="1426">
        <v>24</v>
      </c>
      <c r="B35" s="1413" t="s">
        <v>4849</v>
      </c>
      <c r="C35" s="1414"/>
      <c r="D35" s="1414"/>
      <c r="E35" s="1414"/>
      <c r="F35" s="1414"/>
      <c r="G35" s="1415"/>
      <c r="H35" s="1416"/>
      <c r="I35" s="1414"/>
      <c r="J35" s="1416">
        <v>2017</v>
      </c>
      <c r="K35" s="1414"/>
      <c r="L35" s="1414"/>
      <c r="M35" s="1417"/>
      <c r="N35" s="1418">
        <v>48925000</v>
      </c>
      <c r="O35" s="1427"/>
      <c r="P35" s="1400">
        <v>46475000</v>
      </c>
      <c r="Q35" s="1401">
        <v>2450000</v>
      </c>
      <c r="R35" s="1401" t="e">
        <f>+N35-P35-#REF!-Q35</f>
        <v>#REF!</v>
      </c>
    </row>
    <row r="36" spans="1:18" s="1390" customFormat="1" ht="45.75" customHeight="1" x14ac:dyDescent="0.2">
      <c r="A36" s="1426">
        <v>25</v>
      </c>
      <c r="B36" s="1413" t="s">
        <v>4850</v>
      </c>
      <c r="C36" s="1414"/>
      <c r="D36" s="1414"/>
      <c r="E36" s="1414"/>
      <c r="F36" s="1414"/>
      <c r="G36" s="1415"/>
      <c r="H36" s="1416"/>
      <c r="I36" s="1414"/>
      <c r="J36" s="1416">
        <v>2017</v>
      </c>
      <c r="K36" s="1414"/>
      <c r="L36" s="1414"/>
      <c r="M36" s="1417"/>
      <c r="N36" s="1418">
        <v>48705000</v>
      </c>
      <c r="O36" s="1427"/>
      <c r="P36" s="1400">
        <v>46255000</v>
      </c>
      <c r="Q36" s="1401">
        <v>2450000</v>
      </c>
      <c r="R36" s="1401" t="e">
        <f>+N36-P36-#REF!-Q36</f>
        <v>#REF!</v>
      </c>
    </row>
    <row r="37" spans="1:18" s="1390" customFormat="1" ht="45.75" customHeight="1" x14ac:dyDescent="0.2">
      <c r="A37" s="1426">
        <v>26</v>
      </c>
      <c r="B37" s="1413" t="s">
        <v>4850</v>
      </c>
      <c r="C37" s="1414"/>
      <c r="D37" s="1414"/>
      <c r="E37" s="1414"/>
      <c r="F37" s="1414"/>
      <c r="G37" s="1415"/>
      <c r="H37" s="1416"/>
      <c r="I37" s="1414"/>
      <c r="J37" s="1416">
        <v>2017</v>
      </c>
      <c r="K37" s="1414"/>
      <c r="L37" s="1414"/>
      <c r="M37" s="1417"/>
      <c r="N37" s="1418">
        <v>50470000</v>
      </c>
      <c r="O37" s="1427"/>
      <c r="P37" s="1400"/>
      <c r="Q37" s="1401"/>
      <c r="R37" s="1401"/>
    </row>
    <row r="38" spans="1:18" s="1390" customFormat="1" ht="45.75" customHeight="1" x14ac:dyDescent="0.2">
      <c r="A38" s="1426">
        <v>27</v>
      </c>
      <c r="B38" s="1413" t="s">
        <v>4851</v>
      </c>
      <c r="C38" s="1414"/>
      <c r="D38" s="1414"/>
      <c r="E38" s="1414"/>
      <c r="F38" s="1414"/>
      <c r="G38" s="1415"/>
      <c r="H38" s="1416"/>
      <c r="I38" s="1414"/>
      <c r="J38" s="1416">
        <v>2017</v>
      </c>
      <c r="K38" s="1414"/>
      <c r="L38" s="1414"/>
      <c r="M38" s="1417"/>
      <c r="N38" s="1418">
        <v>50525000</v>
      </c>
      <c r="O38" s="1427"/>
      <c r="P38" s="1400"/>
      <c r="Q38" s="1401"/>
      <c r="R38" s="1401"/>
    </row>
    <row r="39" spans="1:18" s="1390" customFormat="1" ht="45.75" customHeight="1" x14ac:dyDescent="0.2">
      <c r="A39" s="1426">
        <v>28</v>
      </c>
      <c r="B39" s="1413" t="s">
        <v>4852</v>
      </c>
      <c r="C39" s="1414"/>
      <c r="D39" s="1414"/>
      <c r="E39" s="1414"/>
      <c r="F39" s="1414"/>
      <c r="G39" s="1415"/>
      <c r="H39" s="1416"/>
      <c r="I39" s="1414"/>
      <c r="J39" s="1416">
        <v>2017</v>
      </c>
      <c r="K39" s="1414"/>
      <c r="L39" s="1414"/>
      <c r="M39" s="1417"/>
      <c r="N39" s="1418">
        <v>324390000</v>
      </c>
      <c r="O39" s="1427"/>
      <c r="P39" s="1400">
        <v>217448000</v>
      </c>
      <c r="Q39" s="1401">
        <f>9250000+4500000</f>
        <v>13750000</v>
      </c>
      <c r="R39" s="1401" t="e">
        <f>+N39-P39-#REF!-Q39</f>
        <v>#REF!</v>
      </c>
    </row>
    <row r="40" spans="1:18" s="1390" customFormat="1" ht="45.75" customHeight="1" x14ac:dyDescent="0.2">
      <c r="A40" s="1426">
        <v>29</v>
      </c>
      <c r="B40" s="1413" t="s">
        <v>4853</v>
      </c>
      <c r="C40" s="1414"/>
      <c r="D40" s="1414"/>
      <c r="E40" s="1414"/>
      <c r="F40" s="1414"/>
      <c r="G40" s="1415"/>
      <c r="H40" s="1416"/>
      <c r="I40" s="1414"/>
      <c r="J40" s="1416">
        <v>2017</v>
      </c>
      <c r="K40" s="1414"/>
      <c r="L40" s="1414"/>
      <c r="M40" s="1417"/>
      <c r="N40" s="1418">
        <v>48895000</v>
      </c>
      <c r="O40" s="1427"/>
      <c r="P40" s="1400"/>
      <c r="Q40" s="1401"/>
      <c r="R40" s="1401"/>
    </row>
    <row r="41" spans="1:18" s="1390" customFormat="1" ht="45.75" customHeight="1" x14ac:dyDescent="0.2">
      <c r="A41" s="1426">
        <v>30</v>
      </c>
      <c r="B41" s="1413" t="s">
        <v>4854</v>
      </c>
      <c r="C41" s="1414"/>
      <c r="D41" s="1414"/>
      <c r="E41" s="1414"/>
      <c r="F41" s="1414"/>
      <c r="G41" s="1415" t="s">
        <v>4855</v>
      </c>
      <c r="H41" s="1416"/>
      <c r="I41" s="1414"/>
      <c r="J41" s="1416">
        <v>2018</v>
      </c>
      <c r="K41" s="1414"/>
      <c r="L41" s="1414"/>
      <c r="M41" s="1417" t="s">
        <v>12</v>
      </c>
      <c r="N41" s="1418">
        <v>92578000</v>
      </c>
      <c r="O41" s="1427"/>
      <c r="P41" s="1400"/>
      <c r="Q41" s="1401"/>
      <c r="R41" s="1401"/>
    </row>
    <row r="42" spans="1:18" s="1390" customFormat="1" ht="45.75" customHeight="1" x14ac:dyDescent="0.2">
      <c r="A42" s="1426">
        <v>31</v>
      </c>
      <c r="B42" s="1413" t="s">
        <v>4856</v>
      </c>
      <c r="C42" s="1414"/>
      <c r="D42" s="1414"/>
      <c r="E42" s="1414"/>
      <c r="F42" s="1414"/>
      <c r="G42" s="1415" t="s">
        <v>4857</v>
      </c>
      <c r="H42" s="1416"/>
      <c r="I42" s="1414"/>
      <c r="J42" s="1416">
        <v>2018</v>
      </c>
      <c r="K42" s="1414"/>
      <c r="L42" s="1414"/>
      <c r="M42" s="1417" t="s">
        <v>12</v>
      </c>
      <c r="N42" s="1418">
        <v>93431500</v>
      </c>
      <c r="O42" s="1427"/>
      <c r="P42" s="1400"/>
      <c r="Q42" s="1401"/>
      <c r="R42" s="1401"/>
    </row>
    <row r="43" spans="1:18" s="1390" customFormat="1" ht="45.75" customHeight="1" x14ac:dyDescent="0.2">
      <c r="A43" s="1426">
        <v>32</v>
      </c>
      <c r="B43" s="1413" t="s">
        <v>4858</v>
      </c>
      <c r="C43" s="1414"/>
      <c r="D43" s="1414"/>
      <c r="E43" s="1414"/>
      <c r="F43" s="1414"/>
      <c r="G43" s="1415" t="s">
        <v>2858</v>
      </c>
      <c r="H43" s="1416"/>
      <c r="I43" s="1414"/>
      <c r="J43" s="1416">
        <v>2018</v>
      </c>
      <c r="K43" s="1414"/>
      <c r="L43" s="1414"/>
      <c r="M43" s="1417" t="s">
        <v>12</v>
      </c>
      <c r="N43" s="1418">
        <v>93052500</v>
      </c>
      <c r="O43" s="1427"/>
      <c r="P43" s="1400"/>
      <c r="Q43" s="1401"/>
      <c r="R43" s="1401"/>
    </row>
    <row r="44" spans="1:18" s="1390" customFormat="1" ht="45.75" customHeight="1" x14ac:dyDescent="0.2">
      <c r="A44" s="1426">
        <v>33</v>
      </c>
      <c r="B44" s="1413" t="s">
        <v>4859</v>
      </c>
      <c r="C44" s="1414"/>
      <c r="D44" s="1414"/>
      <c r="E44" s="1414"/>
      <c r="F44" s="1414"/>
      <c r="G44" s="1415" t="s">
        <v>4860</v>
      </c>
      <c r="H44" s="1416"/>
      <c r="I44" s="1414"/>
      <c r="J44" s="1416">
        <v>2018</v>
      </c>
      <c r="K44" s="1414"/>
      <c r="L44" s="1414"/>
      <c r="M44" s="1417" t="s">
        <v>12</v>
      </c>
      <c r="N44" s="1418">
        <v>95755000</v>
      </c>
      <c r="O44" s="1427"/>
      <c r="P44" s="1400"/>
      <c r="Q44" s="1401"/>
      <c r="R44" s="1401"/>
    </row>
    <row r="45" spans="1:18" s="1390" customFormat="1" ht="45.75" customHeight="1" x14ac:dyDescent="0.2">
      <c r="A45" s="1426">
        <v>34</v>
      </c>
      <c r="B45" s="1413" t="s">
        <v>4861</v>
      </c>
      <c r="C45" s="1414"/>
      <c r="D45" s="1414"/>
      <c r="E45" s="1414"/>
      <c r="F45" s="1414"/>
      <c r="G45" s="1415" t="s">
        <v>4862</v>
      </c>
      <c r="H45" s="1416"/>
      <c r="I45" s="1414"/>
      <c r="J45" s="1416">
        <v>2018</v>
      </c>
      <c r="K45" s="1414"/>
      <c r="L45" s="1414"/>
      <c r="M45" s="1417" t="s">
        <v>12</v>
      </c>
      <c r="N45" s="1418">
        <v>95796500</v>
      </c>
      <c r="O45" s="1427"/>
      <c r="P45" s="1400"/>
      <c r="Q45" s="1401"/>
      <c r="R45" s="1401"/>
    </row>
    <row r="46" spans="1:18" s="1390" customFormat="1" ht="45.75" customHeight="1" x14ac:dyDescent="0.2">
      <c r="A46" s="1426">
        <v>35</v>
      </c>
      <c r="B46" s="1413" t="s">
        <v>4863</v>
      </c>
      <c r="C46" s="1414"/>
      <c r="D46" s="1414"/>
      <c r="E46" s="1414"/>
      <c r="F46" s="1414"/>
      <c r="G46" s="1415" t="s">
        <v>4864</v>
      </c>
      <c r="H46" s="1416"/>
      <c r="I46" s="1414"/>
      <c r="J46" s="1416">
        <v>2018</v>
      </c>
      <c r="K46" s="1414"/>
      <c r="L46" s="1414"/>
      <c r="M46" s="1417" t="s">
        <v>12</v>
      </c>
      <c r="N46" s="1418">
        <v>95807500</v>
      </c>
      <c r="O46" s="1427"/>
      <c r="P46" s="1400"/>
      <c r="Q46" s="1401"/>
      <c r="R46" s="1401"/>
    </row>
    <row r="47" spans="1:18" s="1390" customFormat="1" ht="45.75" customHeight="1" x14ac:dyDescent="0.2">
      <c r="A47" s="1426">
        <v>36</v>
      </c>
      <c r="B47" s="1413" t="s">
        <v>4865</v>
      </c>
      <c r="C47" s="1414"/>
      <c r="D47" s="1414"/>
      <c r="E47" s="1414"/>
      <c r="F47" s="1414"/>
      <c r="G47" s="1415" t="s">
        <v>746</v>
      </c>
      <c r="H47" s="1416"/>
      <c r="I47" s="1414"/>
      <c r="J47" s="1416">
        <v>2018</v>
      </c>
      <c r="K47" s="1414"/>
      <c r="L47" s="1414"/>
      <c r="M47" s="1417" t="s">
        <v>12</v>
      </c>
      <c r="N47" s="1418">
        <v>95685000</v>
      </c>
      <c r="O47" s="1427"/>
      <c r="P47" s="1400"/>
      <c r="Q47" s="1401"/>
      <c r="R47" s="1401"/>
    </row>
    <row r="48" spans="1:18" s="1390" customFormat="1" ht="45.75" customHeight="1" x14ac:dyDescent="0.2">
      <c r="A48" s="1426">
        <v>37</v>
      </c>
      <c r="B48" s="1413" t="s">
        <v>4866</v>
      </c>
      <c r="C48" s="1414"/>
      <c r="D48" s="1414"/>
      <c r="E48" s="1414"/>
      <c r="F48" s="1414"/>
      <c r="G48" s="1415" t="s">
        <v>4867</v>
      </c>
      <c r="H48" s="1416"/>
      <c r="I48" s="1414"/>
      <c r="J48" s="1416">
        <v>2018</v>
      </c>
      <c r="K48" s="1414"/>
      <c r="L48" s="1414"/>
      <c r="M48" s="1417" t="s">
        <v>12</v>
      </c>
      <c r="N48" s="1418">
        <v>95630000</v>
      </c>
      <c r="O48" s="1427"/>
      <c r="P48" s="1400"/>
      <c r="Q48" s="1401"/>
      <c r="R48" s="1401"/>
    </row>
    <row r="49" spans="1:18" s="1390" customFormat="1" ht="45.75" customHeight="1" x14ac:dyDescent="0.2">
      <c r="A49" s="1426">
        <v>38</v>
      </c>
      <c r="B49" s="1413" t="s">
        <v>4868</v>
      </c>
      <c r="C49" s="1414"/>
      <c r="D49" s="1414"/>
      <c r="E49" s="1414"/>
      <c r="F49" s="1414"/>
      <c r="G49" s="1415" t="s">
        <v>4869</v>
      </c>
      <c r="H49" s="1416"/>
      <c r="I49" s="1414"/>
      <c r="J49" s="1416">
        <v>2018</v>
      </c>
      <c r="K49" s="1414"/>
      <c r="L49" s="1414"/>
      <c r="M49" s="1417" t="s">
        <v>12</v>
      </c>
      <c r="N49" s="1418">
        <v>95806000</v>
      </c>
      <c r="O49" s="1427"/>
      <c r="P49" s="1400"/>
      <c r="Q49" s="1401"/>
      <c r="R49" s="1401"/>
    </row>
    <row r="50" spans="1:18" s="1390" customFormat="1" ht="45.75" customHeight="1" x14ac:dyDescent="0.2">
      <c r="A50" s="1426">
        <v>39</v>
      </c>
      <c r="B50" s="1413" t="s">
        <v>4870</v>
      </c>
      <c r="C50" s="1414"/>
      <c r="D50" s="1414"/>
      <c r="E50" s="1414"/>
      <c r="F50" s="1414"/>
      <c r="G50" s="1415" t="s">
        <v>3212</v>
      </c>
      <c r="H50" s="1416"/>
      <c r="I50" s="1414"/>
      <c r="J50" s="1416">
        <v>2018</v>
      </c>
      <c r="K50" s="1414"/>
      <c r="L50" s="1414"/>
      <c r="M50" s="1417" t="s">
        <v>12</v>
      </c>
      <c r="N50" s="1418">
        <v>84684000</v>
      </c>
      <c r="O50" s="1427"/>
      <c r="P50" s="1400"/>
      <c r="Q50" s="1401"/>
      <c r="R50" s="1401"/>
    </row>
    <row r="51" spans="1:18" s="1390" customFormat="1" ht="54" customHeight="1" x14ac:dyDescent="0.2">
      <c r="A51" s="1426">
        <v>40</v>
      </c>
      <c r="B51" s="1413" t="s">
        <v>4871</v>
      </c>
      <c r="C51" s="1414"/>
      <c r="D51" s="1414"/>
      <c r="E51" s="1414"/>
      <c r="F51" s="1414"/>
      <c r="G51" s="1415" t="s">
        <v>4872</v>
      </c>
      <c r="H51" s="1416"/>
      <c r="I51" s="1414"/>
      <c r="J51" s="1416">
        <v>2018</v>
      </c>
      <c r="K51" s="1414"/>
      <c r="L51" s="1414"/>
      <c r="M51" s="1417" t="s">
        <v>12</v>
      </c>
      <c r="N51" s="1418">
        <v>99770000</v>
      </c>
      <c r="O51" s="1427"/>
      <c r="P51" s="1400"/>
      <c r="Q51" s="1401"/>
      <c r="R51" s="1401"/>
    </row>
    <row r="52" spans="1:18" s="1390" customFormat="1" ht="54" customHeight="1" x14ac:dyDescent="0.2">
      <c r="A52" s="1426">
        <v>41</v>
      </c>
      <c r="B52" s="1413" t="s">
        <v>4879</v>
      </c>
      <c r="C52" s="1414"/>
      <c r="D52" s="1414"/>
      <c r="E52" s="1414"/>
      <c r="F52" s="1414"/>
      <c r="G52" s="1415" t="s">
        <v>2578</v>
      </c>
      <c r="H52" s="1416"/>
      <c r="I52" s="1414"/>
      <c r="J52" s="1416">
        <v>2018</v>
      </c>
      <c r="K52" s="1414"/>
      <c r="L52" s="1414"/>
      <c r="M52" s="1417" t="s">
        <v>12</v>
      </c>
      <c r="N52" s="1418">
        <v>99845000</v>
      </c>
      <c r="O52" s="1427"/>
      <c r="P52" s="1400"/>
      <c r="Q52" s="1401"/>
      <c r="R52" s="1401"/>
    </row>
    <row r="53" spans="1:18" s="1390" customFormat="1" ht="54" customHeight="1" x14ac:dyDescent="0.2">
      <c r="A53" s="1426">
        <v>42</v>
      </c>
      <c r="B53" s="1413" t="s">
        <v>4880</v>
      </c>
      <c r="C53" s="1414"/>
      <c r="D53" s="1414"/>
      <c r="E53" s="1414"/>
      <c r="F53" s="1414"/>
      <c r="G53" s="1415" t="s">
        <v>3455</v>
      </c>
      <c r="H53" s="1416"/>
      <c r="I53" s="1414"/>
      <c r="J53" s="1416">
        <v>2018</v>
      </c>
      <c r="K53" s="1414"/>
      <c r="L53" s="1414"/>
      <c r="M53" s="1417" t="s">
        <v>12</v>
      </c>
      <c r="N53" s="1418">
        <v>74800000</v>
      </c>
      <c r="O53" s="1427"/>
      <c r="P53" s="1400"/>
      <c r="Q53" s="1401"/>
      <c r="R53" s="1401"/>
    </row>
    <row r="54" spans="1:18" s="1390" customFormat="1" ht="54" customHeight="1" x14ac:dyDescent="0.2">
      <c r="A54" s="1426">
        <v>43</v>
      </c>
      <c r="B54" s="1413" t="s">
        <v>4881</v>
      </c>
      <c r="C54" s="1414"/>
      <c r="D54" s="1414"/>
      <c r="E54" s="1414"/>
      <c r="F54" s="1414"/>
      <c r="G54" s="1415" t="s">
        <v>4882</v>
      </c>
      <c r="H54" s="1416"/>
      <c r="I54" s="1414"/>
      <c r="J54" s="1416">
        <v>2018</v>
      </c>
      <c r="K54" s="1414"/>
      <c r="L54" s="1414"/>
      <c r="M54" s="1417" t="s">
        <v>12</v>
      </c>
      <c r="N54" s="1418">
        <v>74690000</v>
      </c>
      <c r="O54" s="1427"/>
      <c r="P54" s="1400"/>
      <c r="Q54" s="1401"/>
      <c r="R54" s="1401"/>
    </row>
    <row r="55" spans="1:18" s="1390" customFormat="1" ht="54" customHeight="1" x14ac:dyDescent="0.2">
      <c r="A55" s="1426">
        <v>44</v>
      </c>
      <c r="B55" s="1413" t="s">
        <v>4883</v>
      </c>
      <c r="C55" s="1414"/>
      <c r="D55" s="1414"/>
      <c r="E55" s="1414"/>
      <c r="F55" s="1414"/>
      <c r="G55" s="1415" t="s">
        <v>4884</v>
      </c>
      <c r="H55" s="1416"/>
      <c r="I55" s="1414"/>
      <c r="J55" s="1416">
        <v>2018</v>
      </c>
      <c r="K55" s="1414"/>
      <c r="L55" s="1414"/>
      <c r="M55" s="1417" t="s">
        <v>12</v>
      </c>
      <c r="N55" s="1418">
        <v>99730000</v>
      </c>
      <c r="O55" s="1427"/>
      <c r="P55" s="1400"/>
      <c r="Q55" s="1401"/>
      <c r="R55" s="1401"/>
    </row>
    <row r="56" spans="1:18" s="1390" customFormat="1" ht="57" customHeight="1" x14ac:dyDescent="0.2">
      <c r="A56" s="1426">
        <v>45</v>
      </c>
      <c r="B56" s="1413" t="s">
        <v>4885</v>
      </c>
      <c r="C56" s="1414"/>
      <c r="D56" s="1414"/>
      <c r="E56" s="1414"/>
      <c r="F56" s="1414"/>
      <c r="G56" s="1415" t="s">
        <v>4886</v>
      </c>
      <c r="H56" s="1416"/>
      <c r="I56" s="1414"/>
      <c r="J56" s="1416">
        <v>2018</v>
      </c>
      <c r="K56" s="1414"/>
      <c r="L56" s="1414"/>
      <c r="M56" s="1417" t="s">
        <v>12</v>
      </c>
      <c r="N56" s="1418">
        <v>99750000</v>
      </c>
      <c r="O56" s="1427"/>
      <c r="P56" s="1400"/>
      <c r="Q56" s="1401"/>
      <c r="R56" s="1401"/>
    </row>
    <row r="57" spans="1:18" s="1390" customFormat="1" ht="59" customHeight="1" x14ac:dyDescent="0.2">
      <c r="A57" s="1426">
        <v>46</v>
      </c>
      <c r="B57" s="1413" t="s">
        <v>5730</v>
      </c>
      <c r="C57" s="1414"/>
      <c r="D57" s="1414" t="s">
        <v>5412</v>
      </c>
      <c r="E57" s="1414" t="s">
        <v>736</v>
      </c>
      <c r="F57" s="1414">
        <v>518</v>
      </c>
      <c r="G57" s="1415" t="s">
        <v>417</v>
      </c>
      <c r="H57" s="1428">
        <v>43669</v>
      </c>
      <c r="I57" s="1429" t="s">
        <v>5729</v>
      </c>
      <c r="J57" s="1416">
        <v>2019</v>
      </c>
      <c r="K57" s="1414" t="s">
        <v>430</v>
      </c>
      <c r="L57" s="1414"/>
      <c r="M57" s="1417" t="s">
        <v>12</v>
      </c>
      <c r="N57" s="1418">
        <v>6790483000</v>
      </c>
      <c r="O57" s="1427"/>
      <c r="P57" s="1400"/>
      <c r="Q57" s="1401"/>
      <c r="R57" s="1401"/>
    </row>
    <row r="58" spans="1:18" s="1390" customFormat="1" ht="59" customHeight="1" x14ac:dyDescent="0.2">
      <c r="A58" s="1426">
        <v>47</v>
      </c>
      <c r="B58" s="1413" t="s">
        <v>5481</v>
      </c>
      <c r="C58" s="1414"/>
      <c r="D58" s="1414" t="s">
        <v>2492</v>
      </c>
      <c r="E58" s="1414" t="s">
        <v>5532</v>
      </c>
      <c r="F58" s="1430">
        <v>4000</v>
      </c>
      <c r="G58" s="1415" t="s">
        <v>3158</v>
      </c>
      <c r="H58" s="1416" t="s">
        <v>5483</v>
      </c>
      <c r="I58" s="1429" t="s">
        <v>5482</v>
      </c>
      <c r="J58" s="1416">
        <v>2019</v>
      </c>
      <c r="K58" s="1414" t="s">
        <v>433</v>
      </c>
      <c r="L58" s="1414"/>
      <c r="M58" s="1417" t="s">
        <v>12</v>
      </c>
      <c r="N58" s="1418">
        <v>2223493440.2200003</v>
      </c>
      <c r="O58" s="1427"/>
      <c r="P58" s="1400"/>
      <c r="Q58" s="1401"/>
      <c r="R58" s="1401"/>
    </row>
    <row r="59" spans="1:18" s="1390" customFormat="1" ht="59" customHeight="1" x14ac:dyDescent="0.2">
      <c r="A59" s="1426">
        <v>48</v>
      </c>
      <c r="B59" s="1413" t="s">
        <v>5508</v>
      </c>
      <c r="C59" s="1414"/>
      <c r="D59" s="1414" t="s">
        <v>2492</v>
      </c>
      <c r="E59" s="1414" t="s">
        <v>5532</v>
      </c>
      <c r="F59" s="1430">
        <v>2400</v>
      </c>
      <c r="G59" s="1415" t="s">
        <v>3660</v>
      </c>
      <c r="H59" s="1428" t="s">
        <v>5479</v>
      </c>
      <c r="I59" s="1429" t="s">
        <v>5509</v>
      </c>
      <c r="J59" s="1416">
        <v>2019</v>
      </c>
      <c r="K59" s="1414" t="s">
        <v>433</v>
      </c>
      <c r="L59" s="1414"/>
      <c r="M59" s="1417" t="s">
        <v>12</v>
      </c>
      <c r="N59" s="1418">
        <v>1669175904.53</v>
      </c>
      <c r="O59" s="1427"/>
      <c r="P59" s="1400"/>
      <c r="Q59" s="1401"/>
      <c r="R59" s="1401"/>
    </row>
    <row r="60" spans="1:18" s="1390" customFormat="1" ht="59" customHeight="1" x14ac:dyDescent="0.2">
      <c r="A60" s="1426">
        <v>49</v>
      </c>
      <c r="B60" s="1413" t="s">
        <v>5510</v>
      </c>
      <c r="C60" s="1414"/>
      <c r="D60" s="1414" t="s">
        <v>2492</v>
      </c>
      <c r="E60" s="1414" t="s">
        <v>5532</v>
      </c>
      <c r="F60" s="1430">
        <v>6000</v>
      </c>
      <c r="G60" s="1415" t="s">
        <v>3588</v>
      </c>
      <c r="H60" s="1428" t="s">
        <v>5512</v>
      </c>
      <c r="I60" s="1429" t="s">
        <v>5511</v>
      </c>
      <c r="J60" s="1416">
        <v>2019</v>
      </c>
      <c r="K60" s="1414" t="s">
        <v>433</v>
      </c>
      <c r="L60" s="1414"/>
      <c r="M60" s="1417" t="s">
        <v>12</v>
      </c>
      <c r="N60" s="1418">
        <v>3450203610.0900002</v>
      </c>
      <c r="O60" s="1427"/>
      <c r="P60" s="1400"/>
      <c r="Q60" s="1401"/>
      <c r="R60" s="1401"/>
    </row>
    <row r="61" spans="1:18" s="1390" customFormat="1" ht="59" customHeight="1" x14ac:dyDescent="0.2">
      <c r="A61" s="1426">
        <v>50</v>
      </c>
      <c r="B61" s="1413" t="s">
        <v>5529</v>
      </c>
      <c r="C61" s="1414"/>
      <c r="D61" s="1414" t="s">
        <v>2492</v>
      </c>
      <c r="E61" s="1414" t="s">
        <v>5532</v>
      </c>
      <c r="F61" s="1430">
        <v>4000</v>
      </c>
      <c r="G61" s="1415" t="s">
        <v>5530</v>
      </c>
      <c r="H61" s="1428" t="s">
        <v>5479</v>
      </c>
      <c r="I61" s="1429" t="s">
        <v>5531</v>
      </c>
      <c r="J61" s="1416">
        <v>2019</v>
      </c>
      <c r="K61" s="1414" t="s">
        <v>433</v>
      </c>
      <c r="L61" s="1414"/>
      <c r="M61" s="1417" t="s">
        <v>12</v>
      </c>
      <c r="N61" s="1418">
        <v>2208276200</v>
      </c>
      <c r="O61" s="1427"/>
      <c r="P61" s="1400" t="str">
        <f>UPPER(B61)</f>
        <v>PENINGKATAN JALAN PEMBATANG - TELUK PAUH (ASPAL)</v>
      </c>
      <c r="Q61" s="1401"/>
      <c r="R61" s="1401"/>
    </row>
    <row r="62" spans="1:18" s="1390" customFormat="1" ht="59" customHeight="1" x14ac:dyDescent="0.2">
      <c r="A62" s="1426">
        <v>51</v>
      </c>
      <c r="B62" s="1413" t="s">
        <v>5731</v>
      </c>
      <c r="C62" s="1414"/>
      <c r="D62" s="1414" t="s">
        <v>2492</v>
      </c>
      <c r="E62" s="1414" t="s">
        <v>736</v>
      </c>
      <c r="F62" s="1430">
        <v>1320</v>
      </c>
      <c r="G62" s="1415" t="s">
        <v>1095</v>
      </c>
      <c r="H62" s="1428">
        <v>43598</v>
      </c>
      <c r="I62" s="1429" t="s">
        <v>5540</v>
      </c>
      <c r="J62" s="1416">
        <v>2019</v>
      </c>
      <c r="K62" s="1414" t="s">
        <v>5539</v>
      </c>
      <c r="L62" s="1414"/>
      <c r="M62" s="1417" t="s">
        <v>12</v>
      </c>
      <c r="N62" s="1418">
        <v>15630179939</v>
      </c>
      <c r="O62" s="1427"/>
      <c r="P62" s="1400" t="str">
        <f>UPPER(B62)</f>
        <v>PEMBANGUNAN JEMBATAN GUNUNG TOAR (BANGUNAN BAWAH)</v>
      </c>
      <c r="Q62" s="1401"/>
      <c r="R62" s="1401"/>
    </row>
    <row r="63" spans="1:18" s="1390" customFormat="1" ht="59" customHeight="1" x14ac:dyDescent="0.2">
      <c r="A63" s="1426">
        <v>52</v>
      </c>
      <c r="B63" s="1413" t="s">
        <v>5542</v>
      </c>
      <c r="C63" s="1414"/>
      <c r="D63" s="1414" t="s">
        <v>2492</v>
      </c>
      <c r="E63" s="1414" t="s">
        <v>5532</v>
      </c>
      <c r="F63" s="1430">
        <v>16500</v>
      </c>
      <c r="G63" s="1415" t="s">
        <v>5543</v>
      </c>
      <c r="H63" s="1428">
        <v>43665</v>
      </c>
      <c r="I63" s="1429" t="s">
        <v>5544</v>
      </c>
      <c r="J63" s="1416">
        <v>2019</v>
      </c>
      <c r="K63" s="1414" t="s">
        <v>433</v>
      </c>
      <c r="L63" s="1414"/>
      <c r="M63" s="1417" t="s">
        <v>12</v>
      </c>
      <c r="N63" s="1418">
        <v>11096111608.219999</v>
      </c>
      <c r="O63" s="1427"/>
      <c r="P63" s="1400" t="str">
        <f>UPPER(B63)</f>
        <v>PENINGKATAN JALAN SANGAU-SIBEROBAH (ASPAL) (DAK)</v>
      </c>
      <c r="Q63" s="1401"/>
      <c r="R63" s="1401"/>
    </row>
    <row r="64" spans="1:18" s="1390" customFormat="1" ht="59" customHeight="1" x14ac:dyDescent="0.2">
      <c r="A64" s="1426">
        <v>53</v>
      </c>
      <c r="B64" s="1413" t="s">
        <v>5732</v>
      </c>
      <c r="C64" s="1414"/>
      <c r="D64" s="1414" t="s">
        <v>2492</v>
      </c>
      <c r="E64" s="1414" t="s">
        <v>736</v>
      </c>
      <c r="F64" s="1430">
        <v>10000</v>
      </c>
      <c r="G64" s="1415" t="s">
        <v>5734</v>
      </c>
      <c r="H64" s="1428">
        <v>43637</v>
      </c>
      <c r="I64" s="1429" t="s">
        <v>5733</v>
      </c>
      <c r="J64" s="1416">
        <v>2019</v>
      </c>
      <c r="K64" s="1414" t="s">
        <v>433</v>
      </c>
      <c r="L64" s="1414"/>
      <c r="M64" s="1417" t="s">
        <v>12</v>
      </c>
      <c r="N64" s="1418">
        <v>12174505266.209999</v>
      </c>
      <c r="O64" s="1427"/>
      <c r="P64" s="1400"/>
      <c r="Q64" s="1401"/>
      <c r="R64" s="1401"/>
    </row>
    <row r="65" spans="1:18" s="1390" customFormat="1" ht="59" customHeight="1" x14ac:dyDescent="0.2">
      <c r="A65" s="1426">
        <v>54</v>
      </c>
      <c r="B65" s="1413" t="s">
        <v>5735</v>
      </c>
      <c r="C65" s="1414"/>
      <c r="D65" s="1414"/>
      <c r="E65" s="1414"/>
      <c r="F65" s="1430"/>
      <c r="G65" s="1415" t="s">
        <v>417</v>
      </c>
      <c r="H65" s="1428">
        <v>43564</v>
      </c>
      <c r="I65" s="1429" t="s">
        <v>5736</v>
      </c>
      <c r="J65" s="1416">
        <v>2019</v>
      </c>
      <c r="K65" s="1414" t="s">
        <v>5435</v>
      </c>
      <c r="L65" s="1414"/>
      <c r="M65" s="1417" t="s">
        <v>12</v>
      </c>
      <c r="N65" s="1418">
        <v>77845000</v>
      </c>
      <c r="O65" s="1427"/>
      <c r="P65" s="1400"/>
      <c r="Q65" s="1401"/>
      <c r="R65" s="1401"/>
    </row>
    <row r="66" spans="1:18" s="1403" customFormat="1" ht="44" customHeight="1" thickBot="1" x14ac:dyDescent="0.2">
      <c r="A66" s="1431"/>
      <c r="B66" s="1419"/>
      <c r="C66" s="1420"/>
      <c r="D66" s="1420"/>
      <c r="E66" s="1420"/>
      <c r="F66" s="1420"/>
      <c r="G66" s="1419"/>
      <c r="H66" s="1421"/>
      <c r="I66" s="1420"/>
      <c r="J66" s="1421"/>
      <c r="K66" s="1420"/>
      <c r="L66" s="1420"/>
      <c r="M66" s="1422"/>
      <c r="N66" s="1423"/>
      <c r="O66" s="1432"/>
      <c r="P66" s="1402"/>
    </row>
    <row r="67" spans="1:18" s="1403" customFormat="1" x14ac:dyDescent="0.15">
      <c r="H67" s="1404"/>
      <c r="J67" s="1404"/>
      <c r="P67" s="1405"/>
      <c r="Q67" s="1406"/>
      <c r="R67" s="1406"/>
    </row>
    <row r="68" spans="1:18" s="1403" customFormat="1" x14ac:dyDescent="0.15">
      <c r="H68" s="1404"/>
      <c r="J68" s="1404"/>
      <c r="P68" s="1405"/>
      <c r="Q68" s="1406"/>
      <c r="R68" s="1406"/>
    </row>
    <row r="69" spans="1:18" s="1407" customFormat="1" ht="18" customHeight="1" x14ac:dyDescent="0.2">
      <c r="A69" s="1857" t="s">
        <v>1109</v>
      </c>
      <c r="B69" s="1857"/>
      <c r="C69" s="1857"/>
      <c r="D69" s="1857"/>
      <c r="E69" s="1857"/>
      <c r="H69" s="1424"/>
      <c r="I69" s="1857" t="s">
        <v>5491</v>
      </c>
      <c r="J69" s="1857"/>
      <c r="K69" s="1857"/>
      <c r="L69" s="1857"/>
      <c r="M69" s="1857"/>
      <c r="N69" s="1857"/>
      <c r="O69" s="1857"/>
      <c r="P69" s="1445">
        <f>3683147900+72470500</f>
        <v>3755618400</v>
      </c>
      <c r="Q69" s="1446"/>
      <c r="R69" s="1446"/>
    </row>
    <row r="70" spans="1:18" s="1407" customFormat="1" ht="18" customHeight="1" x14ac:dyDescent="0.2">
      <c r="A70" s="1857" t="s">
        <v>4374</v>
      </c>
      <c r="B70" s="1857"/>
      <c r="C70" s="1857"/>
      <c r="D70" s="1857"/>
      <c r="E70" s="1857"/>
      <c r="H70" s="1424"/>
      <c r="I70" s="1857"/>
      <c r="J70" s="1857"/>
      <c r="K70" s="1857"/>
      <c r="L70" s="1857"/>
      <c r="M70" s="1857"/>
      <c r="N70" s="1857"/>
      <c r="O70" s="1857"/>
      <c r="P70" s="1445"/>
      <c r="Q70" s="1446"/>
      <c r="R70" s="1446"/>
    </row>
    <row r="71" spans="1:18" s="1407" customFormat="1" ht="18" customHeight="1" x14ac:dyDescent="0.2">
      <c r="A71" s="1857" t="s">
        <v>25</v>
      </c>
      <c r="B71" s="1857"/>
      <c r="C71" s="1857"/>
      <c r="D71" s="1857"/>
      <c r="E71" s="1857"/>
      <c r="H71" s="1424"/>
      <c r="I71" s="1857" t="s">
        <v>24</v>
      </c>
      <c r="J71" s="1857"/>
      <c r="K71" s="1857"/>
      <c r="L71" s="1857"/>
      <c r="M71" s="1857"/>
      <c r="N71" s="1857"/>
      <c r="O71" s="1857"/>
      <c r="P71" s="1445">
        <v>3023660100</v>
      </c>
      <c r="Q71" s="1446"/>
      <c r="R71" s="1446"/>
    </row>
    <row r="72" spans="1:18" s="1407" customFormat="1" ht="18" customHeight="1" x14ac:dyDescent="0.2">
      <c r="H72" s="1424"/>
      <c r="J72" s="1424"/>
      <c r="N72" s="1447"/>
      <c r="P72" s="1445" t="e">
        <f>#REF!+#REF!+P71</f>
        <v>#REF!</v>
      </c>
      <c r="Q72" s="1446"/>
      <c r="R72" s="1446"/>
    </row>
    <row r="73" spans="1:18" s="1407" customFormat="1" ht="18" customHeight="1" x14ac:dyDescent="0.2">
      <c r="H73" s="1424"/>
      <c r="J73" s="1424"/>
      <c r="N73" s="1448"/>
      <c r="P73" s="1445"/>
      <c r="Q73" s="1446"/>
      <c r="R73" s="1446"/>
    </row>
    <row r="74" spans="1:18" s="1407" customFormat="1" ht="18" customHeight="1" x14ac:dyDescent="0.2">
      <c r="H74" s="1424"/>
      <c r="J74" s="1424"/>
      <c r="N74" s="1448"/>
      <c r="P74" s="1445"/>
      <c r="Q74" s="1446"/>
      <c r="R74" s="1446"/>
    </row>
    <row r="75" spans="1:18" s="1407" customFormat="1" ht="18" customHeight="1" x14ac:dyDescent="0.2">
      <c r="H75" s="1424"/>
      <c r="J75" s="1424"/>
      <c r="N75" s="1447"/>
      <c r="P75" s="1445"/>
      <c r="Q75" s="1446"/>
      <c r="R75" s="1446"/>
    </row>
    <row r="76" spans="1:18" s="1407" customFormat="1" ht="18" customHeight="1" x14ac:dyDescent="0.2">
      <c r="H76" s="1424"/>
      <c r="J76" s="1424"/>
      <c r="N76" s="1448"/>
      <c r="P76" s="1445"/>
      <c r="Q76" s="1446"/>
      <c r="R76" s="1446"/>
    </row>
    <row r="77" spans="1:18" s="1407" customFormat="1" ht="18" customHeight="1" x14ac:dyDescent="0.2">
      <c r="A77" s="1858" t="s">
        <v>4375</v>
      </c>
      <c r="B77" s="1858"/>
      <c r="C77" s="1858"/>
      <c r="D77" s="1858"/>
      <c r="E77" s="1858"/>
      <c r="H77" s="1424"/>
      <c r="I77" s="1858" t="s">
        <v>27</v>
      </c>
      <c r="J77" s="1858"/>
      <c r="K77" s="1858"/>
      <c r="L77" s="1858"/>
      <c r="M77" s="1858"/>
      <c r="N77" s="1858"/>
      <c r="O77" s="1858"/>
      <c r="P77" s="1445"/>
      <c r="Q77" s="1446"/>
      <c r="R77" s="1446"/>
    </row>
    <row r="78" spans="1:18" s="1407" customFormat="1" ht="18" customHeight="1" x14ac:dyDescent="0.2">
      <c r="A78" s="1857" t="s">
        <v>4376</v>
      </c>
      <c r="B78" s="1857"/>
      <c r="C78" s="1857"/>
      <c r="D78" s="1857"/>
      <c r="E78" s="1857"/>
      <c r="H78" s="1424"/>
      <c r="I78" s="2043" t="s">
        <v>29</v>
      </c>
      <c r="J78" s="2043"/>
      <c r="K78" s="2043"/>
      <c r="L78" s="2043"/>
      <c r="M78" s="2043"/>
      <c r="N78" s="2043"/>
      <c r="O78" s="2043"/>
      <c r="P78" s="1445"/>
      <c r="Q78" s="1446"/>
      <c r="R78" s="1446"/>
    </row>
    <row r="79" spans="1:18" x14ac:dyDescent="0.15">
      <c r="I79" s="2071"/>
      <c r="J79" s="2071"/>
      <c r="K79" s="2071"/>
      <c r="L79" s="2071"/>
      <c r="M79" s="2071"/>
      <c r="N79" s="2071"/>
      <c r="O79" s="2071"/>
    </row>
  </sheetData>
  <autoFilter ref="A9:O66" xr:uid="{00000000-0009-0000-0000-000013000000}"/>
  <mergeCells count="32">
    <mergeCell ref="A69:E69"/>
    <mergeCell ref="A70:E70"/>
    <mergeCell ref="I79:O79"/>
    <mergeCell ref="I71:O71"/>
    <mergeCell ref="I77:O77"/>
    <mergeCell ref="I78:O78"/>
    <mergeCell ref="A71:E71"/>
    <mergeCell ref="A77:E77"/>
    <mergeCell ref="A78:E78"/>
    <mergeCell ref="I70:O70"/>
    <mergeCell ref="J6:J8"/>
    <mergeCell ref="K6:K8"/>
    <mergeCell ref="L6:L8"/>
    <mergeCell ref="M6:M8"/>
    <mergeCell ref="N6:N8"/>
    <mergeCell ref="O6:O8"/>
    <mergeCell ref="I7:I8"/>
    <mergeCell ref="I69:O69"/>
    <mergeCell ref="A2:O2"/>
    <mergeCell ref="A3:O3"/>
    <mergeCell ref="A4:O4"/>
    <mergeCell ref="A6:A8"/>
    <mergeCell ref="B6:B8"/>
    <mergeCell ref="C6:C8"/>
    <mergeCell ref="D6:E6"/>
    <mergeCell ref="F6:F8"/>
    <mergeCell ref="G6:G8"/>
    <mergeCell ref="H6:I6"/>
    <mergeCell ref="A5:C5"/>
    <mergeCell ref="D7:D8"/>
    <mergeCell ref="E7:E8"/>
    <mergeCell ref="H7:H8"/>
  </mergeCells>
  <printOptions horizontalCentered="1"/>
  <pageMargins left="0.34055118099999998" right="0.893700787" top="1.0374015750000001" bottom="0.66929133858267698" header="0.31496062992126" footer="0.31496062992126"/>
  <pageSetup paperSize="5" scale="55" orientation="landscape" horizontalDpi="180" verticalDpi="18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4:F75"/>
  <sheetViews>
    <sheetView topLeftCell="A43" workbookViewId="0">
      <selection activeCell="E49" sqref="E49"/>
    </sheetView>
  </sheetViews>
  <sheetFormatPr baseColWidth="10" defaultColWidth="9.1640625" defaultRowHeight="15" x14ac:dyDescent="0.2"/>
  <cols>
    <col min="1" max="1" width="9.1640625" style="228"/>
    <col min="2" max="2" width="5.33203125" style="205" customWidth="1"/>
    <col min="3" max="3" width="10" style="205" bestFit="1" customWidth="1"/>
    <col min="4" max="4" width="11" style="205" customWidth="1"/>
    <col min="5" max="5" width="64.1640625" style="228" bestFit="1" customWidth="1"/>
    <col min="6" max="6" width="13.6640625" style="205" bestFit="1" customWidth="1"/>
    <col min="7" max="8" width="9.1640625" style="228"/>
    <col min="9" max="9" width="33.5" style="228" customWidth="1"/>
    <col min="10" max="16384" width="9.1640625" style="228"/>
  </cols>
  <sheetData>
    <row r="4" spans="2:6" s="223" customFormat="1" x14ac:dyDescent="0.2">
      <c r="B4" s="223" t="s">
        <v>2334</v>
      </c>
      <c r="C4" s="223" t="s">
        <v>2335</v>
      </c>
      <c r="E4" s="223" t="s">
        <v>2336</v>
      </c>
      <c r="F4" s="223" t="s">
        <v>2281</v>
      </c>
    </row>
    <row r="5" spans="2:6" s="226" customFormat="1" x14ac:dyDescent="0.2">
      <c r="B5" s="224" t="s">
        <v>2337</v>
      </c>
      <c r="C5" s="224"/>
      <c r="D5" s="224"/>
      <c r="E5" s="225" t="s">
        <v>2338</v>
      </c>
      <c r="F5" s="224"/>
    </row>
    <row r="6" spans="2:6" x14ac:dyDescent="0.2">
      <c r="B6" s="205">
        <v>1</v>
      </c>
      <c r="C6" s="229" t="s">
        <v>2475</v>
      </c>
      <c r="D6" s="227" t="str">
        <f t="shared" ref="D6:D69" si="0">MID(C6,2,7)</f>
        <v>2.02.01</v>
      </c>
      <c r="E6" s="228" t="s">
        <v>2339</v>
      </c>
      <c r="F6" s="205">
        <v>10</v>
      </c>
    </row>
    <row r="7" spans="2:6" x14ac:dyDescent="0.2">
      <c r="B7" s="205">
        <v>2</v>
      </c>
      <c r="C7" s="205" t="s">
        <v>2340</v>
      </c>
      <c r="D7" s="227" t="str">
        <f t="shared" si="0"/>
        <v>2.02.02</v>
      </c>
      <c r="E7" s="228" t="s">
        <v>2341</v>
      </c>
      <c r="F7" s="205">
        <v>8</v>
      </c>
    </row>
    <row r="8" spans="2:6" x14ac:dyDescent="0.2">
      <c r="B8" s="205">
        <v>3</v>
      </c>
      <c r="C8" s="205" t="s">
        <v>2342</v>
      </c>
      <c r="D8" s="227" t="str">
        <f t="shared" si="0"/>
        <v>2.02.03</v>
      </c>
      <c r="E8" s="228" t="s">
        <v>2343</v>
      </c>
      <c r="F8" s="205">
        <v>7</v>
      </c>
    </row>
    <row r="9" spans="2:6" x14ac:dyDescent="0.2">
      <c r="B9" s="205">
        <v>4</v>
      </c>
      <c r="C9" s="205" t="s">
        <v>2344</v>
      </c>
      <c r="D9" s="227" t="str">
        <f t="shared" si="0"/>
        <v>2.03.01</v>
      </c>
      <c r="E9" s="228" t="s">
        <v>2345</v>
      </c>
      <c r="F9" s="205">
        <v>7</v>
      </c>
    </row>
    <row r="10" spans="2:6" x14ac:dyDescent="0.2">
      <c r="B10" s="205">
        <v>5</v>
      </c>
      <c r="C10" s="205" t="s">
        <v>2346</v>
      </c>
      <c r="D10" s="227" t="str">
        <f t="shared" si="0"/>
        <v>2.03.02</v>
      </c>
      <c r="E10" s="228" t="s">
        <v>2347</v>
      </c>
      <c r="F10" s="205">
        <v>2</v>
      </c>
    </row>
    <row r="11" spans="2:6" x14ac:dyDescent="0.2">
      <c r="B11" s="205">
        <v>6</v>
      </c>
      <c r="C11" s="205" t="s">
        <v>2348</v>
      </c>
      <c r="D11" s="227" t="str">
        <f t="shared" si="0"/>
        <v>2.03.03</v>
      </c>
      <c r="E11" s="228" t="s">
        <v>2349</v>
      </c>
      <c r="F11" s="205">
        <v>10</v>
      </c>
    </row>
    <row r="12" spans="2:6" x14ac:dyDescent="0.2">
      <c r="B12" s="205">
        <v>7</v>
      </c>
      <c r="C12" s="205" t="s">
        <v>2350</v>
      </c>
      <c r="D12" s="227" t="str">
        <f t="shared" si="0"/>
        <v>2.03.04</v>
      </c>
      <c r="E12" s="228" t="s">
        <v>2351</v>
      </c>
      <c r="F12" s="205">
        <v>3</v>
      </c>
    </row>
    <row r="13" spans="2:6" x14ac:dyDescent="0.2">
      <c r="B13" s="205">
        <v>8</v>
      </c>
      <c r="C13" s="205" t="s">
        <v>2352</v>
      </c>
      <c r="D13" s="227" t="str">
        <f t="shared" si="0"/>
        <v>2.03.05</v>
      </c>
      <c r="E13" s="228" t="s">
        <v>2353</v>
      </c>
      <c r="F13" s="205">
        <v>20</v>
      </c>
    </row>
    <row r="14" spans="2:6" x14ac:dyDescent="0.2">
      <c r="B14" s="205">
        <v>9</v>
      </c>
      <c r="C14" s="205" t="s">
        <v>2354</v>
      </c>
      <c r="D14" s="227" t="str">
        <f t="shared" si="0"/>
        <v>2.04.01</v>
      </c>
      <c r="E14" s="228" t="s">
        <v>2355</v>
      </c>
      <c r="F14" s="205">
        <v>10</v>
      </c>
    </row>
    <row r="15" spans="2:6" x14ac:dyDescent="0.2">
      <c r="B15" s="205">
        <v>10</v>
      </c>
      <c r="C15" s="205" t="s">
        <v>2356</v>
      </c>
      <c r="D15" s="227" t="str">
        <f t="shared" si="0"/>
        <v>2.04.02</v>
      </c>
      <c r="E15" s="228" t="s">
        <v>2357</v>
      </c>
      <c r="F15" s="205">
        <v>5</v>
      </c>
    </row>
    <row r="16" spans="2:6" x14ac:dyDescent="0.2">
      <c r="B16" s="205">
        <v>11</v>
      </c>
      <c r="C16" s="205" t="s">
        <v>2358</v>
      </c>
      <c r="D16" s="227" t="str">
        <f t="shared" si="0"/>
        <v>2.04.03</v>
      </c>
      <c r="E16" s="228" t="s">
        <v>2359</v>
      </c>
      <c r="F16" s="205">
        <v>5</v>
      </c>
    </row>
    <row r="17" spans="2:6" x14ac:dyDescent="0.2">
      <c r="B17" s="205">
        <v>12</v>
      </c>
      <c r="C17" s="205" t="s">
        <v>2360</v>
      </c>
      <c r="D17" s="227" t="str">
        <f t="shared" si="0"/>
        <v>2.05.01</v>
      </c>
      <c r="E17" s="228" t="s">
        <v>2361</v>
      </c>
      <c r="F17" s="205">
        <v>4</v>
      </c>
    </row>
    <row r="18" spans="2:6" x14ac:dyDescent="0.2">
      <c r="B18" s="205">
        <v>13</v>
      </c>
      <c r="C18" s="205" t="s">
        <v>2362</v>
      </c>
      <c r="D18" s="227" t="str">
        <f t="shared" si="0"/>
        <v>2.05.02</v>
      </c>
      <c r="E18" s="228" t="s">
        <v>2363</v>
      </c>
      <c r="F18" s="205">
        <v>4</v>
      </c>
    </row>
    <row r="19" spans="2:6" x14ac:dyDescent="0.2">
      <c r="B19" s="205">
        <v>14</v>
      </c>
      <c r="C19" s="205" t="s">
        <v>2364</v>
      </c>
      <c r="D19" s="227" t="str">
        <f t="shared" si="0"/>
        <v>2.06.01</v>
      </c>
      <c r="E19" s="228" t="s">
        <v>2365</v>
      </c>
      <c r="F19" s="205">
        <v>5</v>
      </c>
    </row>
    <row r="20" spans="2:6" x14ac:dyDescent="0.2">
      <c r="B20" s="205">
        <v>15</v>
      </c>
      <c r="C20" s="230" t="s">
        <v>2476</v>
      </c>
      <c r="D20" s="227" t="str">
        <f t="shared" si="0"/>
        <v>2.06.02</v>
      </c>
      <c r="E20" s="228" t="s">
        <v>2366</v>
      </c>
      <c r="F20" s="205">
        <v>5</v>
      </c>
    </row>
    <row r="21" spans="2:6" x14ac:dyDescent="0.2">
      <c r="B21" s="205">
        <v>16</v>
      </c>
      <c r="C21" s="205" t="s">
        <v>2367</v>
      </c>
      <c r="D21" s="227" t="str">
        <f t="shared" si="0"/>
        <v>2.06.03</v>
      </c>
      <c r="E21" s="228" t="s">
        <v>2368</v>
      </c>
      <c r="F21" s="205">
        <v>4</v>
      </c>
    </row>
    <row r="22" spans="2:6" x14ac:dyDescent="0.2">
      <c r="B22" s="205">
        <v>17</v>
      </c>
      <c r="C22" s="230" t="s">
        <v>2477</v>
      </c>
      <c r="D22" s="227" t="str">
        <f t="shared" si="0"/>
        <v>2.06.04</v>
      </c>
      <c r="E22" s="228" t="s">
        <v>2369</v>
      </c>
      <c r="F22" s="205">
        <v>5</v>
      </c>
    </row>
    <row r="23" spans="2:6" x14ac:dyDescent="0.2">
      <c r="B23" s="205">
        <v>18</v>
      </c>
      <c r="C23" s="205" t="s">
        <v>2370</v>
      </c>
      <c r="D23" s="227" t="str">
        <f t="shared" si="0"/>
        <v>2.07.01</v>
      </c>
      <c r="E23" s="228" t="s">
        <v>2371</v>
      </c>
      <c r="F23" s="205">
        <v>5</v>
      </c>
    </row>
    <row r="24" spans="2:6" x14ac:dyDescent="0.2">
      <c r="B24" s="205">
        <v>19</v>
      </c>
      <c r="C24" s="205" t="s">
        <v>2372</v>
      </c>
      <c r="D24" s="227" t="str">
        <f t="shared" si="0"/>
        <v>2.07.02</v>
      </c>
      <c r="E24" s="228" t="s">
        <v>2373</v>
      </c>
      <c r="F24" s="205">
        <v>5</v>
      </c>
    </row>
    <row r="25" spans="2:6" x14ac:dyDescent="0.2">
      <c r="B25" s="205">
        <v>20</v>
      </c>
      <c r="C25" s="205" t="s">
        <v>2374</v>
      </c>
      <c r="D25" s="227" t="str">
        <f t="shared" si="0"/>
        <v>2.07.03</v>
      </c>
      <c r="E25" s="228" t="s">
        <v>2375</v>
      </c>
      <c r="F25" s="205">
        <v>10</v>
      </c>
    </row>
    <row r="26" spans="2:6" x14ac:dyDescent="0.2">
      <c r="B26" s="205">
        <v>21</v>
      </c>
      <c r="C26" s="205" t="s">
        <v>2376</v>
      </c>
      <c r="D26" s="227" t="str">
        <f t="shared" si="0"/>
        <v>2.08.01</v>
      </c>
      <c r="E26" s="228" t="s">
        <v>2377</v>
      </c>
      <c r="F26" s="205">
        <v>5</v>
      </c>
    </row>
    <row r="27" spans="2:6" x14ac:dyDescent="0.2">
      <c r="B27" s="205">
        <v>22</v>
      </c>
      <c r="C27" s="205" t="s">
        <v>2378</v>
      </c>
      <c r="D27" s="227" t="str">
        <f t="shared" si="0"/>
        <v>2.08.02</v>
      </c>
      <c r="E27" s="228" t="s">
        <v>2379</v>
      </c>
      <c r="F27" s="205">
        <v>5</v>
      </c>
    </row>
    <row r="28" spans="2:6" x14ac:dyDescent="0.2">
      <c r="B28" s="205">
        <v>23</v>
      </c>
      <c r="C28" s="205" t="s">
        <v>2380</v>
      </c>
      <c r="D28" s="227" t="str">
        <f t="shared" si="0"/>
        <v>2.09.01</v>
      </c>
      <c r="E28" s="228" t="s">
        <v>2381</v>
      </c>
      <c r="F28" s="205">
        <v>8</v>
      </c>
    </row>
    <row r="29" spans="2:6" x14ac:dyDescent="0.2">
      <c r="B29" s="205">
        <v>24</v>
      </c>
      <c r="C29" s="205" t="s">
        <v>2382</v>
      </c>
      <c r="D29" s="227" t="str">
        <f t="shared" si="0"/>
        <v>2.09.02</v>
      </c>
      <c r="E29" s="228" t="s">
        <v>2383</v>
      </c>
      <c r="F29" s="205">
        <v>10</v>
      </c>
    </row>
    <row r="30" spans="2:6" x14ac:dyDescent="0.2">
      <c r="B30" s="205">
        <v>25</v>
      </c>
      <c r="C30" s="205" t="s">
        <v>2384</v>
      </c>
      <c r="D30" s="227" t="str">
        <f t="shared" si="0"/>
        <v>2.09.03</v>
      </c>
      <c r="E30" s="228" t="s">
        <v>2385</v>
      </c>
      <c r="F30" s="205">
        <v>15</v>
      </c>
    </row>
    <row r="31" spans="2:6" x14ac:dyDescent="0.2">
      <c r="B31" s="205">
        <v>26</v>
      </c>
      <c r="C31" s="205" t="s">
        <v>2386</v>
      </c>
      <c r="D31" s="227" t="str">
        <f t="shared" si="0"/>
        <v>2.09.04</v>
      </c>
      <c r="E31" s="228" t="s">
        <v>2387</v>
      </c>
      <c r="F31" s="205">
        <v>15</v>
      </c>
    </row>
    <row r="32" spans="2:6" x14ac:dyDescent="0.2">
      <c r="B32" s="205">
        <v>27</v>
      </c>
      <c r="C32" s="205" t="s">
        <v>2388</v>
      </c>
      <c r="D32" s="227" t="str">
        <f t="shared" si="0"/>
        <v>2.09.05</v>
      </c>
      <c r="E32" s="228" t="s">
        <v>2389</v>
      </c>
      <c r="F32" s="205">
        <v>10</v>
      </c>
    </row>
    <row r="33" spans="2:6" x14ac:dyDescent="0.2">
      <c r="B33" s="205">
        <v>28</v>
      </c>
      <c r="C33" s="205" t="s">
        <v>2390</v>
      </c>
      <c r="D33" s="227" t="str">
        <f t="shared" si="0"/>
        <v>2.09.06</v>
      </c>
      <c r="E33" s="228" t="s">
        <v>2391</v>
      </c>
      <c r="F33" s="205">
        <v>10</v>
      </c>
    </row>
    <row r="34" spans="2:6" x14ac:dyDescent="0.2">
      <c r="B34" s="205">
        <v>29</v>
      </c>
      <c r="C34" s="205" t="s">
        <v>2392</v>
      </c>
      <c r="D34" s="227" t="str">
        <f t="shared" si="0"/>
        <v>2.09.07</v>
      </c>
      <c r="E34" s="228" t="s">
        <v>2393</v>
      </c>
      <c r="F34" s="205">
        <v>7</v>
      </c>
    </row>
    <row r="35" spans="2:6" x14ac:dyDescent="0.2">
      <c r="B35" s="205">
        <v>30</v>
      </c>
      <c r="C35" s="205" t="s">
        <v>2394</v>
      </c>
      <c r="D35" s="227" t="str">
        <f t="shared" si="0"/>
        <v>2.09.08</v>
      </c>
      <c r="E35" s="228" t="s">
        <v>2395</v>
      </c>
      <c r="F35" s="205">
        <v>15</v>
      </c>
    </row>
    <row r="36" spans="2:6" x14ac:dyDescent="0.2">
      <c r="B36" s="205">
        <v>31</v>
      </c>
      <c r="C36" s="205" t="s">
        <v>2396</v>
      </c>
      <c r="D36" s="227" t="str">
        <f t="shared" si="0"/>
        <v>2.10.01</v>
      </c>
      <c r="E36" s="228" t="s">
        <v>2397</v>
      </c>
      <c r="F36" s="205">
        <v>10</v>
      </c>
    </row>
    <row r="37" spans="2:6" x14ac:dyDescent="0.2">
      <c r="B37" s="205">
        <v>32</v>
      </c>
      <c r="C37" s="205" t="s">
        <v>2398</v>
      </c>
      <c r="D37" s="227" t="str">
        <f t="shared" si="0"/>
        <v>2.10.02</v>
      </c>
      <c r="E37" s="228" t="s">
        <v>2399</v>
      </c>
      <c r="F37" s="205">
        <v>3</v>
      </c>
    </row>
    <row r="38" spans="2:6" x14ac:dyDescent="0.2">
      <c r="B38" s="205">
        <v>33</v>
      </c>
      <c r="C38" s="205" t="s">
        <v>2400</v>
      </c>
      <c r="D38" s="227" t="str">
        <f t="shared" si="0"/>
        <v>2.10.03</v>
      </c>
      <c r="E38" s="228" t="s">
        <v>2401</v>
      </c>
    </row>
    <row r="39" spans="2:6" x14ac:dyDescent="0.2">
      <c r="B39" s="205">
        <v>34</v>
      </c>
      <c r="C39" s="205" t="s">
        <v>2402</v>
      </c>
      <c r="D39" s="227" t="str">
        <f t="shared" si="0"/>
        <v>2.10.04</v>
      </c>
      <c r="E39" s="228" t="s">
        <v>2403</v>
      </c>
      <c r="F39" s="205">
        <v>5</v>
      </c>
    </row>
    <row r="40" spans="2:6" s="226" customFormat="1" x14ac:dyDescent="0.2">
      <c r="B40" s="224" t="s">
        <v>2404</v>
      </c>
      <c r="C40" s="224"/>
      <c r="D40" s="227" t="str">
        <f t="shared" si="0"/>
        <v/>
      </c>
      <c r="E40" s="225" t="s">
        <v>2405</v>
      </c>
      <c r="F40" s="224"/>
    </row>
    <row r="41" spans="2:6" x14ac:dyDescent="0.2">
      <c r="B41" s="205">
        <v>1</v>
      </c>
      <c r="C41" s="205" t="s">
        <v>2406</v>
      </c>
      <c r="D41" s="227" t="str">
        <f t="shared" si="0"/>
        <v>3.11.01</v>
      </c>
      <c r="E41" s="228" t="s">
        <v>2407</v>
      </c>
      <c r="F41" s="205">
        <v>50</v>
      </c>
    </row>
    <row r="42" spans="2:6" x14ac:dyDescent="0.2">
      <c r="B42" s="205">
        <v>2</v>
      </c>
      <c r="C42" s="205" t="s">
        <v>2408</v>
      </c>
      <c r="D42" s="227" t="str">
        <f t="shared" si="0"/>
        <v>3.11.02</v>
      </c>
      <c r="E42" s="228" t="s">
        <v>2409</v>
      </c>
      <c r="F42" s="205">
        <v>50</v>
      </c>
    </row>
    <row r="43" spans="2:6" x14ac:dyDescent="0.2">
      <c r="B43" s="205">
        <v>3</v>
      </c>
      <c r="C43" s="205" t="s">
        <v>2410</v>
      </c>
      <c r="D43" s="227" t="str">
        <f t="shared" si="0"/>
        <v>3.11.03</v>
      </c>
      <c r="E43" s="228" t="s">
        <v>2411</v>
      </c>
      <c r="F43" s="205">
        <v>40</v>
      </c>
    </row>
    <row r="44" spans="2:6" x14ac:dyDescent="0.2">
      <c r="B44" s="205">
        <v>4</v>
      </c>
      <c r="C44" s="205" t="s">
        <v>2412</v>
      </c>
      <c r="D44" s="227" t="str">
        <f t="shared" si="0"/>
        <v>3.12.01</v>
      </c>
      <c r="E44" s="228" t="s">
        <v>2413</v>
      </c>
      <c r="F44" s="205">
        <v>50</v>
      </c>
    </row>
    <row r="45" spans="2:6" x14ac:dyDescent="0.2">
      <c r="B45" s="205">
        <v>5</v>
      </c>
      <c r="C45" s="205" t="s">
        <v>2414</v>
      </c>
      <c r="D45" s="227" t="str">
        <f t="shared" si="0"/>
        <v>3.12.05</v>
      </c>
      <c r="E45" s="228" t="s">
        <v>2415</v>
      </c>
      <c r="F45" s="205">
        <v>50</v>
      </c>
    </row>
    <row r="46" spans="2:6" x14ac:dyDescent="0.2">
      <c r="B46" s="205">
        <v>6</v>
      </c>
      <c r="C46" s="205" t="s">
        <v>2416</v>
      </c>
      <c r="D46" s="227" t="str">
        <f t="shared" si="0"/>
        <v>3.12.03</v>
      </c>
      <c r="E46" s="228" t="s">
        <v>2417</v>
      </c>
      <c r="F46" s="205">
        <v>50</v>
      </c>
    </row>
    <row r="47" spans="2:6" x14ac:dyDescent="0.2">
      <c r="B47" s="205">
        <v>7</v>
      </c>
      <c r="C47" s="205" t="s">
        <v>2418</v>
      </c>
      <c r="D47" s="227" t="str">
        <f t="shared" si="0"/>
        <v>3.12.04</v>
      </c>
      <c r="E47" s="228" t="s">
        <v>2419</v>
      </c>
      <c r="F47" s="205">
        <v>50</v>
      </c>
    </row>
    <row r="48" spans="2:6" x14ac:dyDescent="0.2">
      <c r="B48" s="205">
        <v>8</v>
      </c>
      <c r="C48" s="205" t="s">
        <v>2414</v>
      </c>
      <c r="D48" s="227" t="str">
        <f t="shared" si="0"/>
        <v>3.12.05</v>
      </c>
      <c r="E48" s="228" t="s">
        <v>2420</v>
      </c>
      <c r="F48" s="205">
        <v>50</v>
      </c>
    </row>
    <row r="49" spans="2:6" x14ac:dyDescent="0.2">
      <c r="B49" s="205">
        <v>9</v>
      </c>
      <c r="C49" s="205" t="s">
        <v>2421</v>
      </c>
      <c r="D49" s="227" t="str">
        <f t="shared" si="0"/>
        <v>3.12.06</v>
      </c>
      <c r="E49" s="228" t="s">
        <v>2422</v>
      </c>
      <c r="F49" s="205">
        <v>50</v>
      </c>
    </row>
    <row r="50" spans="2:6" x14ac:dyDescent="0.2">
      <c r="B50" s="205">
        <v>10</v>
      </c>
      <c r="C50" s="205" t="s">
        <v>2423</v>
      </c>
      <c r="D50" s="227" t="str">
        <f t="shared" si="0"/>
        <v>3.12.07</v>
      </c>
      <c r="E50" s="228" t="s">
        <v>2424</v>
      </c>
      <c r="F50" s="205">
        <v>50</v>
      </c>
    </row>
    <row r="51" spans="2:6" x14ac:dyDescent="0.2">
      <c r="B51" s="205">
        <v>11</v>
      </c>
      <c r="C51" s="205" t="s">
        <v>2425</v>
      </c>
      <c r="D51" s="227" t="str">
        <f t="shared" si="0"/>
        <v>3.12.08</v>
      </c>
      <c r="E51" s="228" t="s">
        <v>2426</v>
      </c>
      <c r="F51" s="205">
        <v>50</v>
      </c>
    </row>
    <row r="52" spans="2:6" s="226" customFormat="1" x14ac:dyDescent="0.2">
      <c r="B52" s="224" t="s">
        <v>2427</v>
      </c>
      <c r="C52" s="224"/>
      <c r="D52" s="227" t="str">
        <f t="shared" si="0"/>
        <v/>
      </c>
      <c r="E52" s="225" t="s">
        <v>2428</v>
      </c>
      <c r="F52" s="224"/>
    </row>
    <row r="53" spans="2:6" x14ac:dyDescent="0.2">
      <c r="B53" s="205">
        <v>1</v>
      </c>
      <c r="C53" s="205" t="s">
        <v>2429</v>
      </c>
      <c r="D53" s="227" t="str">
        <f t="shared" si="0"/>
        <v>4.13.01</v>
      </c>
      <c r="E53" s="228" t="s">
        <v>2430</v>
      </c>
      <c r="F53" s="205">
        <v>10</v>
      </c>
    </row>
    <row r="54" spans="2:6" x14ac:dyDescent="0.2">
      <c r="B54" s="205">
        <v>2</v>
      </c>
      <c r="C54" s="205" t="s">
        <v>2431</v>
      </c>
      <c r="D54" s="227" t="str">
        <f t="shared" si="0"/>
        <v>4.13.02</v>
      </c>
      <c r="E54" s="228" t="s">
        <v>2432</v>
      </c>
      <c r="F54" s="205">
        <v>50</v>
      </c>
    </row>
    <row r="55" spans="2:6" x14ac:dyDescent="0.2">
      <c r="B55" s="205">
        <v>3</v>
      </c>
      <c r="C55" s="205" t="s">
        <v>2433</v>
      </c>
      <c r="D55" s="227" t="str">
        <f t="shared" si="0"/>
        <v>4.14.01</v>
      </c>
      <c r="E55" s="228" t="s">
        <v>2434</v>
      </c>
      <c r="F55" s="205">
        <v>50</v>
      </c>
    </row>
    <row r="56" spans="2:6" x14ac:dyDescent="0.2">
      <c r="B56" s="205">
        <v>4</v>
      </c>
      <c r="C56" s="205" t="s">
        <v>2435</v>
      </c>
      <c r="D56" s="227" t="str">
        <f t="shared" si="0"/>
        <v>4.14.02</v>
      </c>
      <c r="E56" s="228" t="s">
        <v>2436</v>
      </c>
      <c r="F56" s="205">
        <v>50</v>
      </c>
    </row>
    <row r="57" spans="2:6" x14ac:dyDescent="0.2">
      <c r="B57" s="205">
        <v>5</v>
      </c>
      <c r="C57" s="205" t="s">
        <v>2437</v>
      </c>
      <c r="D57" s="227" t="str">
        <f t="shared" si="0"/>
        <v>4.14.03</v>
      </c>
      <c r="E57" s="228" t="s">
        <v>2438</v>
      </c>
      <c r="F57" s="205">
        <v>25</v>
      </c>
    </row>
    <row r="58" spans="2:6" x14ac:dyDescent="0.2">
      <c r="B58" s="205">
        <v>6</v>
      </c>
      <c r="C58" s="205" t="s">
        <v>2439</v>
      </c>
      <c r="D58" s="227" t="str">
        <f t="shared" si="0"/>
        <v>4.14.04</v>
      </c>
      <c r="E58" s="228" t="s">
        <v>2440</v>
      </c>
      <c r="F58" s="205">
        <v>10</v>
      </c>
    </row>
    <row r="59" spans="2:6" x14ac:dyDescent="0.2">
      <c r="B59" s="205">
        <v>7</v>
      </c>
      <c r="C59" s="205" t="s">
        <v>2441</v>
      </c>
      <c r="D59" s="227" t="str">
        <f t="shared" si="0"/>
        <v>4.14.05</v>
      </c>
      <c r="E59" s="228" t="s">
        <v>2442</v>
      </c>
      <c r="F59" s="205">
        <v>30</v>
      </c>
    </row>
    <row r="60" spans="2:6" x14ac:dyDescent="0.2">
      <c r="B60" s="205">
        <v>8</v>
      </c>
      <c r="C60" s="205" t="s">
        <v>2443</v>
      </c>
      <c r="D60" s="227" t="str">
        <f t="shared" si="0"/>
        <v>4.14.06</v>
      </c>
      <c r="E60" s="228" t="s">
        <v>2444</v>
      </c>
      <c r="F60" s="205">
        <v>40</v>
      </c>
    </row>
    <row r="61" spans="2:6" x14ac:dyDescent="0.2">
      <c r="B61" s="205">
        <v>9</v>
      </c>
      <c r="C61" s="205" t="s">
        <v>2445</v>
      </c>
      <c r="D61" s="227" t="str">
        <f t="shared" si="0"/>
        <v>4.14.07</v>
      </c>
      <c r="E61" s="228" t="s">
        <v>2446</v>
      </c>
      <c r="F61" s="205">
        <v>40</v>
      </c>
    </row>
    <row r="62" spans="2:6" x14ac:dyDescent="0.2">
      <c r="B62" s="205">
        <v>10</v>
      </c>
      <c r="C62" s="205" t="s">
        <v>2447</v>
      </c>
      <c r="D62" s="227" t="str">
        <f t="shared" si="0"/>
        <v>4.14.08</v>
      </c>
      <c r="E62" s="228" t="s">
        <v>2448</v>
      </c>
      <c r="F62" s="205">
        <v>40</v>
      </c>
    </row>
    <row r="63" spans="2:6" x14ac:dyDescent="0.2">
      <c r="B63" s="205">
        <v>11</v>
      </c>
      <c r="C63" s="205" t="s">
        <v>2449</v>
      </c>
      <c r="D63" s="227" t="str">
        <f t="shared" si="0"/>
        <v>4.15.01</v>
      </c>
      <c r="E63" s="228" t="s">
        <v>2450</v>
      </c>
      <c r="F63" s="205">
        <v>30</v>
      </c>
    </row>
    <row r="64" spans="2:6" x14ac:dyDescent="0.2">
      <c r="B64" s="205">
        <v>12</v>
      </c>
      <c r="C64" s="205" t="s">
        <v>2451</v>
      </c>
      <c r="D64" s="227" t="str">
        <f t="shared" si="0"/>
        <v>4.15.02</v>
      </c>
      <c r="E64" s="228" t="s">
        <v>2452</v>
      </c>
      <c r="F64" s="205">
        <v>30</v>
      </c>
    </row>
    <row r="65" spans="2:6" x14ac:dyDescent="0.2">
      <c r="B65" s="205">
        <v>13</v>
      </c>
      <c r="C65" s="205" t="s">
        <v>2453</v>
      </c>
      <c r="D65" s="227" t="str">
        <f t="shared" si="0"/>
        <v>4.15.03</v>
      </c>
      <c r="E65" s="228" t="s">
        <v>2454</v>
      </c>
      <c r="F65" s="205">
        <v>10</v>
      </c>
    </row>
    <row r="66" spans="2:6" x14ac:dyDescent="0.2">
      <c r="B66" s="205">
        <v>14</v>
      </c>
      <c r="C66" s="205" t="s">
        <v>2455</v>
      </c>
      <c r="D66" s="227" t="str">
        <f t="shared" si="0"/>
        <v>4.15.04</v>
      </c>
      <c r="E66" s="228" t="s">
        <v>2456</v>
      </c>
      <c r="F66" s="205">
        <v>10</v>
      </c>
    </row>
    <row r="67" spans="2:6" x14ac:dyDescent="0.2">
      <c r="B67" s="205">
        <v>15</v>
      </c>
      <c r="C67" s="205" t="s">
        <v>2457</v>
      </c>
      <c r="D67" s="227" t="str">
        <f t="shared" si="0"/>
        <v>4.15.05</v>
      </c>
      <c r="E67" s="228" t="s">
        <v>2458</v>
      </c>
      <c r="F67" s="205">
        <v>40</v>
      </c>
    </row>
    <row r="68" spans="2:6" x14ac:dyDescent="0.2">
      <c r="B68" s="205">
        <v>16</v>
      </c>
      <c r="C68" s="205" t="s">
        <v>2459</v>
      </c>
      <c r="D68" s="227" t="str">
        <f t="shared" si="0"/>
        <v>4.15.06</v>
      </c>
      <c r="E68" s="228" t="s">
        <v>2460</v>
      </c>
      <c r="F68" s="205">
        <v>40</v>
      </c>
    </row>
    <row r="69" spans="2:6" x14ac:dyDescent="0.2">
      <c r="B69" s="205">
        <v>17</v>
      </c>
      <c r="C69" s="205" t="s">
        <v>2461</v>
      </c>
      <c r="D69" s="227" t="str">
        <f t="shared" si="0"/>
        <v>4.15.07</v>
      </c>
      <c r="E69" s="228" t="s">
        <v>2462</v>
      </c>
      <c r="F69" s="205">
        <v>30</v>
      </c>
    </row>
    <row r="70" spans="2:6" x14ac:dyDescent="0.2">
      <c r="B70" s="205">
        <v>18</v>
      </c>
      <c r="C70" s="205" t="s">
        <v>2463</v>
      </c>
      <c r="D70" s="227" t="str">
        <f t="shared" ref="D70:D75" si="1">MID(C70,2,7)</f>
        <v>4.15.08</v>
      </c>
      <c r="E70" s="228" t="s">
        <v>2464</v>
      </c>
      <c r="F70" s="205">
        <v>30</v>
      </c>
    </row>
    <row r="71" spans="2:6" x14ac:dyDescent="0.2">
      <c r="B71" s="205">
        <v>19</v>
      </c>
      <c r="C71" s="205" t="s">
        <v>2465</v>
      </c>
      <c r="D71" s="227" t="str">
        <f t="shared" si="1"/>
        <v>4.15.09</v>
      </c>
      <c r="E71" s="228" t="s">
        <v>2466</v>
      </c>
      <c r="F71" s="205">
        <v>20</v>
      </c>
    </row>
    <row r="72" spans="2:6" x14ac:dyDescent="0.2">
      <c r="B72" s="205">
        <v>20</v>
      </c>
      <c r="C72" s="205" t="s">
        <v>2467</v>
      </c>
      <c r="D72" s="227" t="str">
        <f t="shared" si="1"/>
        <v>4.16.01</v>
      </c>
      <c r="E72" s="228" t="s">
        <v>2468</v>
      </c>
      <c r="F72" s="205">
        <v>30</v>
      </c>
    </row>
    <row r="73" spans="2:6" x14ac:dyDescent="0.2">
      <c r="B73" s="205">
        <v>21</v>
      </c>
      <c r="C73" s="205" t="s">
        <v>2469</v>
      </c>
      <c r="D73" s="227" t="str">
        <f t="shared" si="1"/>
        <v>4.16.02</v>
      </c>
      <c r="E73" s="228" t="s">
        <v>2470</v>
      </c>
      <c r="F73" s="205">
        <v>40</v>
      </c>
    </row>
    <row r="74" spans="2:6" x14ac:dyDescent="0.2">
      <c r="B74" s="205">
        <v>22</v>
      </c>
      <c r="C74" s="205" t="s">
        <v>2471</v>
      </c>
      <c r="D74" s="227" t="str">
        <f t="shared" si="1"/>
        <v>4.16.03</v>
      </c>
      <c r="E74" s="228" t="s">
        <v>2472</v>
      </c>
      <c r="F74" s="205">
        <v>20</v>
      </c>
    </row>
    <row r="75" spans="2:6" x14ac:dyDescent="0.2">
      <c r="B75" s="205">
        <v>23</v>
      </c>
      <c r="C75" s="205" t="s">
        <v>2473</v>
      </c>
      <c r="D75" s="227" t="str">
        <f t="shared" si="1"/>
        <v>4.16.04</v>
      </c>
      <c r="E75" s="228" t="s">
        <v>2474</v>
      </c>
      <c r="F75" s="205">
        <v>30</v>
      </c>
    </row>
  </sheetData>
  <autoFilter ref="B4:F75" xr:uid="{00000000-0009-0000-0000-000014000000}"/>
  <pageMargins left="0.7" right="0.7" top="0.75" bottom="0.75"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308"/>
  <sheetViews>
    <sheetView view="pageBreakPreview" zoomScaleNormal="100" zoomScaleSheetLayoutView="100" workbookViewId="0">
      <pane xSplit="2" ySplit="4" topLeftCell="C14" activePane="bottomRight" state="frozen"/>
      <selection pane="topRight" activeCell="C1" sqref="C1"/>
      <selection pane="bottomLeft" activeCell="A6" sqref="A6"/>
      <selection pane="bottomRight" activeCell="B31" sqref="B31"/>
    </sheetView>
  </sheetViews>
  <sheetFormatPr baseColWidth="10" defaultColWidth="9.1640625" defaultRowHeight="14" x14ac:dyDescent="0.15"/>
  <cols>
    <col min="1" max="1" width="6.5" style="356" customWidth="1"/>
    <col min="2" max="2" width="47" style="335" customWidth="1"/>
    <col min="3" max="3" width="12.6640625" style="335" customWidth="1"/>
    <col min="4" max="4" width="14.1640625" style="356" customWidth="1"/>
    <col min="5" max="5" width="24" style="356" customWidth="1"/>
    <col min="6" max="6" width="18.83203125" style="335" customWidth="1"/>
    <col min="7" max="7" width="16.5" style="335" customWidth="1"/>
    <col min="8" max="16384" width="9.1640625" style="335"/>
  </cols>
  <sheetData>
    <row r="1" spans="1:7" x14ac:dyDescent="0.15">
      <c r="A1" s="2072" t="s">
        <v>3575</v>
      </c>
      <c r="B1" s="2072"/>
      <c r="C1" s="2072"/>
      <c r="D1" s="2072"/>
      <c r="E1" s="2072"/>
      <c r="F1" s="2072"/>
      <c r="G1" s="2072"/>
    </row>
    <row r="2" spans="1:7" x14ac:dyDescent="0.15">
      <c r="A2" s="2072" t="s">
        <v>3576</v>
      </c>
      <c r="B2" s="2072"/>
      <c r="C2" s="2072"/>
      <c r="D2" s="2072"/>
      <c r="E2" s="2072"/>
      <c r="F2" s="2072"/>
      <c r="G2" s="2072"/>
    </row>
    <row r="4" spans="1:7" s="338" customFormat="1" ht="32.25" customHeight="1" x14ac:dyDescent="0.2">
      <c r="A4" s="336" t="s">
        <v>3577</v>
      </c>
      <c r="B4" s="337" t="s">
        <v>3578</v>
      </c>
      <c r="C4" s="337" t="s">
        <v>3579</v>
      </c>
      <c r="D4" s="336" t="s">
        <v>3580</v>
      </c>
      <c r="E4" s="337" t="s">
        <v>3581</v>
      </c>
      <c r="F4" s="336" t="s">
        <v>3582</v>
      </c>
      <c r="G4" s="337" t="s">
        <v>3583</v>
      </c>
    </row>
    <row r="5" spans="1:7" x14ac:dyDescent="0.15">
      <c r="A5" s="339">
        <v>1</v>
      </c>
      <c r="B5" s="340" t="s">
        <v>624</v>
      </c>
      <c r="C5" s="341">
        <v>15200</v>
      </c>
      <c r="D5" s="339">
        <v>2000</v>
      </c>
      <c r="E5" s="339">
        <v>93600</v>
      </c>
      <c r="F5" s="342">
        <v>14000</v>
      </c>
      <c r="G5" s="340"/>
    </row>
    <row r="6" spans="1:7" x14ac:dyDescent="0.15">
      <c r="A6" s="343">
        <v>2</v>
      </c>
      <c r="B6" s="344" t="s">
        <v>621</v>
      </c>
      <c r="C6" s="345">
        <v>96800</v>
      </c>
      <c r="D6" s="343">
        <v>2000</v>
      </c>
      <c r="E6" s="343">
        <v>106400</v>
      </c>
      <c r="F6" s="346">
        <v>14000</v>
      </c>
      <c r="G6" s="344"/>
    </row>
    <row r="7" spans="1:7" x14ac:dyDescent="0.15">
      <c r="A7" s="343">
        <v>3</v>
      </c>
      <c r="B7" s="344" t="s">
        <v>3584</v>
      </c>
      <c r="C7" s="345">
        <v>13600</v>
      </c>
      <c r="D7" s="343">
        <v>2000</v>
      </c>
      <c r="E7" s="343">
        <v>157100</v>
      </c>
      <c r="F7" s="346">
        <v>14000</v>
      </c>
      <c r="G7" s="344"/>
    </row>
    <row r="8" spans="1:7" x14ac:dyDescent="0.15">
      <c r="A8" s="343">
        <v>4</v>
      </c>
      <c r="B8" s="344" t="s">
        <v>619</v>
      </c>
      <c r="C8" s="345">
        <v>13600</v>
      </c>
      <c r="D8" s="343">
        <v>2000</v>
      </c>
      <c r="E8" s="343">
        <v>289500</v>
      </c>
      <c r="F8" s="346">
        <v>27000</v>
      </c>
      <c r="G8" s="344"/>
    </row>
    <row r="9" spans="1:7" x14ac:dyDescent="0.15">
      <c r="A9" s="343">
        <v>5</v>
      </c>
      <c r="B9" s="344" t="s">
        <v>620</v>
      </c>
      <c r="C9" s="345">
        <v>124000</v>
      </c>
      <c r="D9" s="343">
        <v>2000</v>
      </c>
      <c r="E9" s="343">
        <v>124000</v>
      </c>
      <c r="F9" s="346">
        <v>10000</v>
      </c>
      <c r="G9" s="344"/>
    </row>
    <row r="10" spans="1:7" x14ac:dyDescent="0.15">
      <c r="A10" s="343">
        <v>6</v>
      </c>
      <c r="B10" s="344" t="s">
        <v>616</v>
      </c>
      <c r="C10" s="345">
        <v>21000</v>
      </c>
      <c r="D10" s="343">
        <v>2000</v>
      </c>
      <c r="E10" s="343">
        <v>21000</v>
      </c>
      <c r="F10" s="346">
        <v>27000</v>
      </c>
      <c r="G10" s="344"/>
    </row>
    <row r="11" spans="1:7" x14ac:dyDescent="0.15">
      <c r="A11" s="343">
        <v>7</v>
      </c>
      <c r="B11" s="344" t="s">
        <v>617</v>
      </c>
      <c r="C11" s="345">
        <v>28000</v>
      </c>
      <c r="D11" s="343">
        <v>2000</v>
      </c>
      <c r="E11" s="343">
        <v>38500</v>
      </c>
      <c r="F11" s="346">
        <v>27000</v>
      </c>
      <c r="G11" s="344"/>
    </row>
    <row r="12" spans="1:7" x14ac:dyDescent="0.15">
      <c r="A12" s="343">
        <v>8</v>
      </c>
      <c r="B12" s="344" t="s">
        <v>618</v>
      </c>
      <c r="C12" s="345">
        <v>7000</v>
      </c>
      <c r="D12" s="343">
        <v>2000</v>
      </c>
      <c r="E12" s="343">
        <v>14000</v>
      </c>
      <c r="F12" s="346">
        <v>27000</v>
      </c>
      <c r="G12" s="344"/>
    </row>
    <row r="13" spans="1:7" x14ac:dyDescent="0.15">
      <c r="A13" s="343">
        <v>9</v>
      </c>
      <c r="B13" s="344" t="s">
        <v>613</v>
      </c>
      <c r="C13" s="345">
        <v>16800</v>
      </c>
      <c r="D13" s="343">
        <v>2000</v>
      </c>
      <c r="E13" s="343">
        <v>28000</v>
      </c>
      <c r="F13" s="346">
        <v>20000</v>
      </c>
      <c r="G13" s="344"/>
    </row>
    <row r="14" spans="1:7" x14ac:dyDescent="0.15">
      <c r="A14" s="343">
        <v>10</v>
      </c>
      <c r="B14" s="344" t="s">
        <v>614</v>
      </c>
      <c r="C14" s="345">
        <v>4200</v>
      </c>
      <c r="D14" s="343">
        <v>2000</v>
      </c>
      <c r="E14" s="343">
        <v>84000</v>
      </c>
      <c r="F14" s="346">
        <v>14000</v>
      </c>
      <c r="G14" s="344"/>
    </row>
    <row r="15" spans="1:7" x14ac:dyDescent="0.15">
      <c r="A15" s="343">
        <v>11</v>
      </c>
      <c r="B15" s="344" t="s">
        <v>3585</v>
      </c>
      <c r="C15" s="345">
        <v>5600</v>
      </c>
      <c r="D15" s="343">
        <v>2000</v>
      </c>
      <c r="E15" s="343">
        <v>297850</v>
      </c>
      <c r="F15" s="346">
        <v>14000</v>
      </c>
      <c r="G15" s="344"/>
    </row>
    <row r="16" spans="1:7" x14ac:dyDescent="0.15">
      <c r="A16" s="343">
        <v>12</v>
      </c>
      <c r="B16" s="344" t="s">
        <v>3586</v>
      </c>
      <c r="C16" s="345">
        <v>200000</v>
      </c>
      <c r="D16" s="343">
        <v>2000</v>
      </c>
      <c r="E16" s="343">
        <v>200000</v>
      </c>
      <c r="F16" s="346">
        <v>2450</v>
      </c>
      <c r="G16" s="344"/>
    </row>
    <row r="17" spans="1:7" x14ac:dyDescent="0.15">
      <c r="A17" s="343">
        <v>13</v>
      </c>
      <c r="B17" s="344" t="s">
        <v>615</v>
      </c>
      <c r="C17" s="345">
        <v>4200</v>
      </c>
      <c r="D17" s="343">
        <v>2000</v>
      </c>
      <c r="E17" s="343">
        <v>4200</v>
      </c>
      <c r="F17" s="346">
        <v>128000</v>
      </c>
      <c r="G17" s="344"/>
    </row>
    <row r="18" spans="1:7" x14ac:dyDescent="0.15">
      <c r="A18" s="343">
        <v>14</v>
      </c>
      <c r="B18" s="344" t="s">
        <v>3587</v>
      </c>
      <c r="C18" s="345">
        <v>8400</v>
      </c>
      <c r="D18" s="343">
        <v>2000</v>
      </c>
      <c r="E18" s="343">
        <v>8400</v>
      </c>
      <c r="F18" s="346">
        <v>3500</v>
      </c>
      <c r="G18" s="344"/>
    </row>
    <row r="19" spans="1:7" x14ac:dyDescent="0.15">
      <c r="A19" s="343">
        <v>15</v>
      </c>
      <c r="B19" s="344" t="s">
        <v>3588</v>
      </c>
      <c r="C19" s="345">
        <v>17500</v>
      </c>
      <c r="D19" s="343">
        <v>2000</v>
      </c>
      <c r="E19" s="343">
        <v>17500</v>
      </c>
      <c r="F19" s="346">
        <v>3500</v>
      </c>
      <c r="G19" s="344"/>
    </row>
    <row r="20" spans="1:7" x14ac:dyDescent="0.15">
      <c r="A20" s="343">
        <v>16</v>
      </c>
      <c r="B20" s="344" t="s">
        <v>3589</v>
      </c>
      <c r="C20" s="345">
        <v>9100</v>
      </c>
      <c r="D20" s="343">
        <v>2000</v>
      </c>
      <c r="E20" s="343">
        <v>9100</v>
      </c>
      <c r="F20" s="346">
        <v>2450</v>
      </c>
      <c r="G20" s="344"/>
    </row>
    <row r="21" spans="1:7" x14ac:dyDescent="0.15">
      <c r="A21" s="343">
        <v>17</v>
      </c>
      <c r="B21" s="344" t="s">
        <v>3590</v>
      </c>
      <c r="C21" s="345">
        <v>38000</v>
      </c>
      <c r="D21" s="343">
        <v>2000</v>
      </c>
      <c r="E21" s="343">
        <v>50000</v>
      </c>
      <c r="F21" s="346">
        <v>14000</v>
      </c>
      <c r="G21" s="344"/>
    </row>
    <row r="22" spans="1:7" x14ac:dyDescent="0.15">
      <c r="A22" s="343">
        <v>18</v>
      </c>
      <c r="B22" s="344" t="s">
        <v>3591</v>
      </c>
      <c r="C22" s="345">
        <v>14000</v>
      </c>
      <c r="D22" s="343">
        <v>2000</v>
      </c>
      <c r="E22" s="343">
        <v>14000</v>
      </c>
      <c r="F22" s="346">
        <v>3500</v>
      </c>
      <c r="G22" s="344"/>
    </row>
    <row r="23" spans="1:7" x14ac:dyDescent="0.15">
      <c r="A23" s="343">
        <v>19</v>
      </c>
      <c r="B23" s="344" t="s">
        <v>607</v>
      </c>
      <c r="C23" s="345">
        <v>120000</v>
      </c>
      <c r="D23" s="343">
        <v>2000</v>
      </c>
      <c r="E23" s="343">
        <v>120000</v>
      </c>
      <c r="F23" s="346">
        <v>128000</v>
      </c>
      <c r="G23" s="344"/>
    </row>
    <row r="24" spans="1:7" x14ac:dyDescent="0.15">
      <c r="A24" s="343">
        <v>20</v>
      </c>
      <c r="B24" s="344" t="s">
        <v>3592</v>
      </c>
      <c r="C24" s="345">
        <v>16000</v>
      </c>
      <c r="D24" s="343">
        <v>2000</v>
      </c>
      <c r="E24" s="343">
        <v>16000</v>
      </c>
      <c r="F24" s="346">
        <v>3500</v>
      </c>
      <c r="G24" s="344"/>
    </row>
    <row r="25" spans="1:7" x14ac:dyDescent="0.15">
      <c r="A25" s="343">
        <v>21</v>
      </c>
      <c r="B25" s="344" t="s">
        <v>603</v>
      </c>
      <c r="C25" s="345">
        <v>30400</v>
      </c>
      <c r="D25" s="343">
        <v>2000</v>
      </c>
      <c r="E25" s="343">
        <v>30400</v>
      </c>
      <c r="F25" s="346">
        <v>128000</v>
      </c>
      <c r="G25" s="344"/>
    </row>
    <row r="26" spans="1:7" x14ac:dyDescent="0.15">
      <c r="A26" s="343">
        <v>22</v>
      </c>
      <c r="B26" s="344" t="s">
        <v>3593</v>
      </c>
      <c r="C26" s="345">
        <v>14000</v>
      </c>
      <c r="D26" s="343">
        <v>2000</v>
      </c>
      <c r="E26" s="343">
        <v>28000</v>
      </c>
      <c r="F26" s="346">
        <v>128000</v>
      </c>
      <c r="G26" s="344"/>
    </row>
    <row r="27" spans="1:7" x14ac:dyDescent="0.15">
      <c r="A27" s="343">
        <v>23</v>
      </c>
      <c r="B27" s="344" t="s">
        <v>3594</v>
      </c>
      <c r="C27" s="345">
        <v>24000</v>
      </c>
      <c r="D27" s="343">
        <v>2000</v>
      </c>
      <c r="E27" s="343">
        <v>24000</v>
      </c>
      <c r="F27" s="346">
        <v>27000</v>
      </c>
      <c r="G27" s="344"/>
    </row>
    <row r="28" spans="1:7" x14ac:dyDescent="0.15">
      <c r="A28" s="343">
        <v>24</v>
      </c>
      <c r="B28" s="344" t="s">
        <v>3595</v>
      </c>
      <c r="C28" s="345">
        <v>7000</v>
      </c>
      <c r="D28" s="343">
        <v>2000</v>
      </c>
      <c r="E28" s="343">
        <v>19500</v>
      </c>
      <c r="F28" s="346">
        <v>103000</v>
      </c>
      <c r="G28" s="344"/>
    </row>
    <row r="29" spans="1:7" x14ac:dyDescent="0.15">
      <c r="A29" s="343">
        <v>25</v>
      </c>
      <c r="B29" s="344" t="s">
        <v>3596</v>
      </c>
      <c r="C29" s="345">
        <v>32000</v>
      </c>
      <c r="D29" s="343">
        <v>2000</v>
      </c>
      <c r="E29" s="343">
        <v>32000</v>
      </c>
      <c r="F29" s="346">
        <v>14000</v>
      </c>
      <c r="G29" s="344"/>
    </row>
    <row r="30" spans="1:7" x14ac:dyDescent="0.15">
      <c r="A30" s="343">
        <v>26</v>
      </c>
      <c r="B30" s="344" t="s">
        <v>3597</v>
      </c>
      <c r="C30" s="345">
        <v>16000</v>
      </c>
      <c r="D30" s="343">
        <v>2000</v>
      </c>
      <c r="E30" s="343">
        <v>16000</v>
      </c>
      <c r="F30" s="346">
        <v>14000</v>
      </c>
      <c r="G30" s="344"/>
    </row>
    <row r="31" spans="1:7" x14ac:dyDescent="0.15">
      <c r="A31" s="343">
        <v>27</v>
      </c>
      <c r="B31" s="344" t="s">
        <v>600</v>
      </c>
      <c r="C31" s="345">
        <v>1200</v>
      </c>
      <c r="D31" s="343">
        <v>2000</v>
      </c>
      <c r="E31" s="343">
        <v>112000</v>
      </c>
      <c r="F31" s="346">
        <v>14000</v>
      </c>
      <c r="G31" s="344"/>
    </row>
    <row r="32" spans="1:7" x14ac:dyDescent="0.15">
      <c r="A32" s="343">
        <v>28</v>
      </c>
      <c r="B32" s="344" t="s">
        <v>3598</v>
      </c>
      <c r="C32" s="345">
        <v>4800</v>
      </c>
      <c r="D32" s="343">
        <v>2000</v>
      </c>
      <c r="E32" s="343">
        <v>52000</v>
      </c>
      <c r="F32" s="346">
        <v>27000</v>
      </c>
      <c r="G32" s="344"/>
    </row>
    <row r="33" spans="1:7" x14ac:dyDescent="0.15">
      <c r="A33" s="343">
        <v>29</v>
      </c>
      <c r="B33" s="344" t="s">
        <v>601</v>
      </c>
      <c r="C33" s="345">
        <v>7200</v>
      </c>
      <c r="D33" s="343">
        <v>2000</v>
      </c>
      <c r="E33" s="343">
        <v>20000</v>
      </c>
      <c r="F33" s="346">
        <v>103000</v>
      </c>
      <c r="G33" s="344"/>
    </row>
    <row r="34" spans="1:7" x14ac:dyDescent="0.15">
      <c r="A34" s="343">
        <v>30</v>
      </c>
      <c r="B34" s="344" t="s">
        <v>3599</v>
      </c>
      <c r="C34" s="345">
        <v>14000</v>
      </c>
      <c r="D34" s="343">
        <v>2000</v>
      </c>
      <c r="E34" s="343">
        <v>14000</v>
      </c>
      <c r="F34" s="346">
        <v>27000</v>
      </c>
      <c r="G34" s="344"/>
    </row>
    <row r="35" spans="1:7" x14ac:dyDescent="0.15">
      <c r="A35" s="343">
        <v>31</v>
      </c>
      <c r="B35" s="344" t="s">
        <v>599</v>
      </c>
      <c r="C35" s="345">
        <v>7000</v>
      </c>
      <c r="D35" s="343">
        <v>2000</v>
      </c>
      <c r="E35" s="343">
        <v>7000</v>
      </c>
      <c r="F35" s="346">
        <v>128000</v>
      </c>
      <c r="G35" s="344"/>
    </row>
    <row r="36" spans="1:7" x14ac:dyDescent="0.15">
      <c r="A36" s="343">
        <v>32</v>
      </c>
      <c r="B36" s="344" t="s">
        <v>3600</v>
      </c>
      <c r="C36" s="345">
        <v>8510</v>
      </c>
      <c r="D36" s="343">
        <v>2000</v>
      </c>
      <c r="E36" s="343">
        <v>8510</v>
      </c>
      <c r="F36" s="346">
        <v>614000</v>
      </c>
      <c r="G36" s="344"/>
    </row>
    <row r="37" spans="1:7" x14ac:dyDescent="0.15">
      <c r="A37" s="343">
        <v>33</v>
      </c>
      <c r="B37" s="344" t="s">
        <v>592</v>
      </c>
      <c r="C37" s="345">
        <v>2232</v>
      </c>
      <c r="D37" s="343">
        <v>2000</v>
      </c>
      <c r="E37" s="343">
        <v>2232</v>
      </c>
      <c r="F37" s="346">
        <v>614000</v>
      </c>
      <c r="G37" s="344"/>
    </row>
    <row r="38" spans="1:7" x14ac:dyDescent="0.15">
      <c r="A38" s="343">
        <v>34</v>
      </c>
      <c r="B38" s="344" t="s">
        <v>596</v>
      </c>
      <c r="C38" s="345">
        <v>1520</v>
      </c>
      <c r="D38" s="343">
        <v>2000</v>
      </c>
      <c r="E38" s="343">
        <v>1520</v>
      </c>
      <c r="F38" s="346">
        <v>614000</v>
      </c>
      <c r="G38" s="344"/>
    </row>
    <row r="39" spans="1:7" x14ac:dyDescent="0.15">
      <c r="A39" s="343">
        <v>35</v>
      </c>
      <c r="B39" s="344" t="s">
        <v>589</v>
      </c>
      <c r="C39" s="345">
        <v>1024</v>
      </c>
      <c r="D39" s="343">
        <v>2000</v>
      </c>
      <c r="E39" s="343">
        <v>1024</v>
      </c>
      <c r="F39" s="346">
        <v>614000</v>
      </c>
      <c r="G39" s="344"/>
    </row>
    <row r="40" spans="1:7" x14ac:dyDescent="0.15">
      <c r="A40" s="343">
        <v>36</v>
      </c>
      <c r="B40" s="344" t="s">
        <v>3601</v>
      </c>
      <c r="C40" s="345">
        <v>1024</v>
      </c>
      <c r="D40" s="343">
        <v>2000</v>
      </c>
      <c r="E40" s="343">
        <v>1024</v>
      </c>
      <c r="F40" s="346">
        <v>614000</v>
      </c>
      <c r="G40" s="344"/>
    </row>
    <row r="41" spans="1:7" x14ac:dyDescent="0.15">
      <c r="A41" s="343">
        <v>37</v>
      </c>
      <c r="B41" s="344" t="s">
        <v>3602</v>
      </c>
      <c r="C41" s="345">
        <v>696</v>
      </c>
      <c r="D41" s="343">
        <v>2000</v>
      </c>
      <c r="E41" s="343">
        <v>696</v>
      </c>
      <c r="F41" s="346">
        <v>614000</v>
      </c>
      <c r="G41" s="344"/>
    </row>
    <row r="42" spans="1:7" x14ac:dyDescent="0.15">
      <c r="A42" s="343">
        <v>38</v>
      </c>
      <c r="B42" s="344" t="s">
        <v>585</v>
      </c>
      <c r="C42" s="345">
        <v>648</v>
      </c>
      <c r="D42" s="343">
        <v>2000</v>
      </c>
      <c r="E42" s="343">
        <v>648</v>
      </c>
      <c r="F42" s="346">
        <v>614000</v>
      </c>
      <c r="G42" s="344"/>
    </row>
    <row r="43" spans="1:7" x14ac:dyDescent="0.15">
      <c r="A43" s="343">
        <v>39</v>
      </c>
      <c r="B43" s="344" t="s">
        <v>587</v>
      </c>
      <c r="C43" s="345">
        <v>532</v>
      </c>
      <c r="D43" s="343">
        <v>2000</v>
      </c>
      <c r="E43" s="343">
        <v>532</v>
      </c>
      <c r="F43" s="346">
        <v>614000</v>
      </c>
      <c r="G43" s="344"/>
    </row>
    <row r="44" spans="1:7" x14ac:dyDescent="0.15">
      <c r="A44" s="343">
        <v>40</v>
      </c>
      <c r="B44" s="344" t="s">
        <v>577</v>
      </c>
      <c r="C44" s="345">
        <v>539</v>
      </c>
      <c r="D44" s="343">
        <v>2000</v>
      </c>
      <c r="E44" s="343">
        <v>539</v>
      </c>
      <c r="F44" s="346">
        <v>614000</v>
      </c>
      <c r="G44" s="344"/>
    </row>
    <row r="45" spans="1:7" x14ac:dyDescent="0.15">
      <c r="A45" s="343">
        <v>41</v>
      </c>
      <c r="B45" s="344" t="s">
        <v>579</v>
      </c>
      <c r="C45" s="345">
        <v>2850</v>
      </c>
      <c r="D45" s="343">
        <v>2000</v>
      </c>
      <c r="E45" s="343">
        <v>2850</v>
      </c>
      <c r="F45" s="346">
        <v>614000</v>
      </c>
      <c r="G45" s="344"/>
    </row>
    <row r="46" spans="1:7" x14ac:dyDescent="0.15">
      <c r="A46" s="343">
        <v>42</v>
      </c>
      <c r="B46" s="344" t="s">
        <v>3603</v>
      </c>
      <c r="C46" s="345">
        <v>23200</v>
      </c>
      <c r="D46" s="343">
        <v>2000</v>
      </c>
      <c r="E46" s="343">
        <v>23200</v>
      </c>
      <c r="F46" s="346">
        <v>27000</v>
      </c>
      <c r="G46" s="344"/>
    </row>
    <row r="47" spans="1:7" x14ac:dyDescent="0.15">
      <c r="A47" s="343">
        <v>43</v>
      </c>
      <c r="B47" s="344" t="s">
        <v>3604</v>
      </c>
      <c r="C47" s="345">
        <v>1112</v>
      </c>
      <c r="D47" s="343">
        <v>2000</v>
      </c>
      <c r="E47" s="343">
        <v>1112</v>
      </c>
      <c r="F47" s="346">
        <v>614000</v>
      </c>
      <c r="G47" s="344"/>
    </row>
    <row r="48" spans="1:7" x14ac:dyDescent="0.15">
      <c r="A48" s="343">
        <v>44</v>
      </c>
      <c r="B48" s="344" t="s">
        <v>573</v>
      </c>
      <c r="C48" s="345">
        <v>1888</v>
      </c>
      <c r="D48" s="343">
        <v>2000</v>
      </c>
      <c r="E48" s="343">
        <v>1888</v>
      </c>
      <c r="F48" s="346">
        <v>614000</v>
      </c>
      <c r="G48" s="344"/>
    </row>
    <row r="49" spans="1:7" x14ac:dyDescent="0.15">
      <c r="A49" s="343">
        <v>45</v>
      </c>
      <c r="B49" s="344" t="s">
        <v>575</v>
      </c>
      <c r="C49" s="345">
        <v>2512</v>
      </c>
      <c r="D49" s="343">
        <v>2000</v>
      </c>
      <c r="E49" s="343">
        <v>2512</v>
      </c>
      <c r="F49" s="346">
        <v>614000</v>
      </c>
      <c r="G49" s="344"/>
    </row>
    <row r="50" spans="1:7" x14ac:dyDescent="0.15">
      <c r="A50" s="343">
        <v>46</v>
      </c>
      <c r="B50" s="344" t="s">
        <v>565</v>
      </c>
      <c r="C50" s="345">
        <v>1176</v>
      </c>
      <c r="D50" s="343">
        <v>2000</v>
      </c>
      <c r="E50" s="343">
        <v>1176</v>
      </c>
      <c r="F50" s="346">
        <v>614000</v>
      </c>
      <c r="G50" s="344"/>
    </row>
    <row r="51" spans="1:7" x14ac:dyDescent="0.15">
      <c r="A51" s="343">
        <v>47</v>
      </c>
      <c r="B51" s="344" t="s">
        <v>567</v>
      </c>
      <c r="C51" s="345">
        <v>4768</v>
      </c>
      <c r="D51" s="343">
        <v>2000</v>
      </c>
      <c r="E51" s="343">
        <v>4768</v>
      </c>
      <c r="F51" s="346">
        <v>614000</v>
      </c>
      <c r="G51" s="344"/>
    </row>
    <row r="52" spans="1:7" x14ac:dyDescent="0.15">
      <c r="A52" s="343">
        <v>48</v>
      </c>
      <c r="B52" s="344" t="s">
        <v>3605</v>
      </c>
      <c r="C52" s="345">
        <v>2975</v>
      </c>
      <c r="D52" s="343">
        <v>2000</v>
      </c>
      <c r="E52" s="343">
        <v>2975</v>
      </c>
      <c r="F52" s="346">
        <v>10000</v>
      </c>
      <c r="G52" s="344"/>
    </row>
    <row r="53" spans="1:7" x14ac:dyDescent="0.15">
      <c r="A53" s="343">
        <v>49</v>
      </c>
      <c r="B53" s="344" t="s">
        <v>562</v>
      </c>
      <c r="C53" s="345">
        <v>7000</v>
      </c>
      <c r="D53" s="343">
        <v>2000</v>
      </c>
      <c r="E53" s="343">
        <v>9450</v>
      </c>
      <c r="F53" s="346">
        <v>614000</v>
      </c>
      <c r="G53" s="344"/>
    </row>
    <row r="54" spans="1:7" x14ac:dyDescent="0.15">
      <c r="A54" s="343">
        <v>50</v>
      </c>
      <c r="B54" s="344" t="s">
        <v>563</v>
      </c>
      <c r="C54" s="345">
        <v>45500</v>
      </c>
      <c r="D54" s="343">
        <v>2000</v>
      </c>
      <c r="E54" s="343">
        <v>45500</v>
      </c>
      <c r="F54" s="346">
        <v>103000</v>
      </c>
      <c r="G54" s="344"/>
    </row>
    <row r="55" spans="1:7" x14ac:dyDescent="0.15">
      <c r="A55" s="343">
        <v>51</v>
      </c>
      <c r="B55" s="344" t="s">
        <v>560</v>
      </c>
      <c r="C55" s="345">
        <v>7000</v>
      </c>
      <c r="D55" s="343">
        <v>2000</v>
      </c>
      <c r="E55" s="343">
        <v>31000</v>
      </c>
      <c r="F55" s="346">
        <v>128000</v>
      </c>
      <c r="G55" s="344"/>
    </row>
    <row r="56" spans="1:7" x14ac:dyDescent="0.15">
      <c r="A56" s="343">
        <v>52</v>
      </c>
      <c r="B56" s="344" t="s">
        <v>561</v>
      </c>
      <c r="C56" s="345">
        <v>16000</v>
      </c>
      <c r="D56" s="343">
        <v>2000</v>
      </c>
      <c r="E56" s="343">
        <v>108000</v>
      </c>
      <c r="F56" s="346">
        <v>128000</v>
      </c>
      <c r="G56" s="344"/>
    </row>
    <row r="57" spans="1:7" x14ac:dyDescent="0.15">
      <c r="A57" s="343">
        <v>53</v>
      </c>
      <c r="B57" s="344" t="s">
        <v>3606</v>
      </c>
      <c r="C57" s="345">
        <v>4000</v>
      </c>
      <c r="D57" s="343">
        <v>2000</v>
      </c>
      <c r="E57" s="343">
        <v>27200</v>
      </c>
      <c r="F57" s="346">
        <v>128000</v>
      </c>
      <c r="G57" s="344"/>
    </row>
    <row r="58" spans="1:7" x14ac:dyDescent="0.15">
      <c r="A58" s="343">
        <v>54</v>
      </c>
      <c r="B58" s="344" t="s">
        <v>3607</v>
      </c>
      <c r="C58" s="345">
        <v>26400</v>
      </c>
      <c r="D58" s="343">
        <v>2000</v>
      </c>
      <c r="E58" s="343">
        <v>28000</v>
      </c>
      <c r="F58" s="346">
        <v>200000</v>
      </c>
      <c r="G58" s="344"/>
    </row>
    <row r="59" spans="1:7" x14ac:dyDescent="0.15">
      <c r="A59" s="343">
        <v>56</v>
      </c>
      <c r="B59" s="344" t="s">
        <v>559</v>
      </c>
      <c r="C59" s="345">
        <v>3850</v>
      </c>
      <c r="D59" s="343">
        <v>2000</v>
      </c>
      <c r="E59" s="343">
        <v>3850</v>
      </c>
      <c r="F59" s="346">
        <v>128000</v>
      </c>
      <c r="G59" s="344"/>
    </row>
    <row r="60" spans="1:7" x14ac:dyDescent="0.15">
      <c r="A60" s="343">
        <v>57</v>
      </c>
      <c r="B60" s="344" t="s">
        <v>552</v>
      </c>
      <c r="C60" s="345">
        <v>2800</v>
      </c>
      <c r="D60" s="343">
        <v>2000</v>
      </c>
      <c r="E60" s="343">
        <v>2800</v>
      </c>
      <c r="F60" s="346">
        <v>128000</v>
      </c>
      <c r="G60" s="344"/>
    </row>
    <row r="61" spans="1:7" x14ac:dyDescent="0.15">
      <c r="A61" s="343">
        <v>58</v>
      </c>
      <c r="B61" s="344" t="s">
        <v>553</v>
      </c>
      <c r="C61" s="345">
        <v>14800</v>
      </c>
      <c r="D61" s="343">
        <v>2000</v>
      </c>
      <c r="E61" s="343">
        <v>14800</v>
      </c>
      <c r="F61" s="346">
        <v>128000</v>
      </c>
      <c r="G61" s="344"/>
    </row>
    <row r="62" spans="1:7" x14ac:dyDescent="0.15">
      <c r="A62" s="343">
        <v>59</v>
      </c>
      <c r="B62" s="344" t="s">
        <v>554</v>
      </c>
      <c r="C62" s="345">
        <v>9100</v>
      </c>
      <c r="D62" s="343">
        <v>2000</v>
      </c>
      <c r="E62" s="343">
        <v>9100</v>
      </c>
      <c r="F62" s="346">
        <v>128000</v>
      </c>
      <c r="G62" s="344"/>
    </row>
    <row r="63" spans="1:7" x14ac:dyDescent="0.15">
      <c r="A63" s="343">
        <v>60</v>
      </c>
      <c r="B63" s="344" t="s">
        <v>3608</v>
      </c>
      <c r="C63" s="345">
        <v>4200</v>
      </c>
      <c r="D63" s="343">
        <v>2000</v>
      </c>
      <c r="E63" s="343">
        <v>4200</v>
      </c>
      <c r="F63" s="346">
        <v>128000</v>
      </c>
      <c r="G63" s="344"/>
    </row>
    <row r="64" spans="1:7" x14ac:dyDescent="0.15">
      <c r="A64" s="343">
        <v>61</v>
      </c>
      <c r="B64" s="344" t="s">
        <v>549</v>
      </c>
      <c r="C64" s="345">
        <v>5250</v>
      </c>
      <c r="D64" s="343">
        <v>2000</v>
      </c>
      <c r="E64" s="343">
        <v>5250</v>
      </c>
      <c r="F64" s="346">
        <v>128000</v>
      </c>
      <c r="G64" s="344"/>
    </row>
    <row r="65" spans="1:7" x14ac:dyDescent="0.15">
      <c r="A65" s="343">
        <v>62</v>
      </c>
      <c r="B65" s="344" t="s">
        <v>3609</v>
      </c>
      <c r="C65" s="345">
        <v>3500</v>
      </c>
      <c r="D65" s="343">
        <v>2000</v>
      </c>
      <c r="E65" s="343">
        <v>3500</v>
      </c>
      <c r="F65" s="346">
        <v>128000</v>
      </c>
      <c r="G65" s="344"/>
    </row>
    <row r="66" spans="1:7" x14ac:dyDescent="0.15">
      <c r="A66" s="343">
        <v>63</v>
      </c>
      <c r="B66" s="344" t="s">
        <v>3610</v>
      </c>
      <c r="C66" s="345">
        <v>3500</v>
      </c>
      <c r="D66" s="343">
        <v>2000</v>
      </c>
      <c r="E66" s="343">
        <v>3500</v>
      </c>
      <c r="F66" s="346">
        <v>128000</v>
      </c>
      <c r="G66" s="344"/>
    </row>
    <row r="67" spans="1:7" x14ac:dyDescent="0.15">
      <c r="A67" s="343">
        <v>64</v>
      </c>
      <c r="B67" s="344" t="s">
        <v>545</v>
      </c>
      <c r="C67" s="345">
        <v>4200</v>
      </c>
      <c r="D67" s="343">
        <v>2000</v>
      </c>
      <c r="E67" s="343">
        <v>4200</v>
      </c>
      <c r="F67" s="346">
        <v>103000</v>
      </c>
      <c r="G67" s="344"/>
    </row>
    <row r="68" spans="1:7" x14ac:dyDescent="0.15">
      <c r="A68" s="343">
        <v>65</v>
      </c>
      <c r="B68" s="344" t="s">
        <v>546</v>
      </c>
      <c r="C68" s="345">
        <v>8000</v>
      </c>
      <c r="D68" s="343">
        <v>2000</v>
      </c>
      <c r="E68" s="343">
        <v>38600</v>
      </c>
      <c r="F68" s="346">
        <v>103000</v>
      </c>
      <c r="G68" s="344"/>
    </row>
    <row r="69" spans="1:7" x14ac:dyDescent="0.15">
      <c r="A69" s="343">
        <v>66</v>
      </c>
      <c r="B69" s="344" t="s">
        <v>542</v>
      </c>
      <c r="C69" s="345">
        <v>4200</v>
      </c>
      <c r="D69" s="343">
        <v>2000</v>
      </c>
      <c r="E69" s="343">
        <v>4200</v>
      </c>
      <c r="F69" s="346">
        <v>128000</v>
      </c>
      <c r="G69" s="344"/>
    </row>
    <row r="70" spans="1:7" x14ac:dyDescent="0.15">
      <c r="A70" s="343">
        <v>67</v>
      </c>
      <c r="B70" s="344" t="s">
        <v>543</v>
      </c>
      <c r="C70" s="345">
        <v>24500</v>
      </c>
      <c r="D70" s="343">
        <v>2000</v>
      </c>
      <c r="E70" s="343">
        <v>24500</v>
      </c>
      <c r="F70" s="346">
        <v>128000</v>
      </c>
      <c r="G70" s="344"/>
    </row>
    <row r="71" spans="1:7" x14ac:dyDescent="0.15">
      <c r="A71" s="343">
        <v>68</v>
      </c>
      <c r="B71" s="344" t="s">
        <v>3611</v>
      </c>
      <c r="C71" s="345">
        <v>17600</v>
      </c>
      <c r="D71" s="343">
        <v>2000</v>
      </c>
      <c r="E71" s="343">
        <v>17600</v>
      </c>
      <c r="F71" s="346">
        <v>128000</v>
      </c>
      <c r="G71" s="344"/>
    </row>
    <row r="72" spans="1:7" x14ac:dyDescent="0.15">
      <c r="A72" s="343">
        <v>69</v>
      </c>
      <c r="B72" s="344" t="s">
        <v>3612</v>
      </c>
      <c r="C72" s="345">
        <v>4800</v>
      </c>
      <c r="D72" s="343">
        <v>2000</v>
      </c>
      <c r="E72" s="343">
        <v>4800</v>
      </c>
      <c r="F72" s="346">
        <v>128000</v>
      </c>
      <c r="G72" s="344"/>
    </row>
    <row r="73" spans="1:7" x14ac:dyDescent="0.15">
      <c r="A73" s="343">
        <v>70</v>
      </c>
      <c r="B73" s="344" t="s">
        <v>3613</v>
      </c>
      <c r="C73" s="345">
        <v>13440</v>
      </c>
      <c r="D73" s="343">
        <v>2000</v>
      </c>
      <c r="E73" s="343">
        <v>13440</v>
      </c>
      <c r="F73" s="346">
        <v>128000</v>
      </c>
      <c r="G73" s="344"/>
    </row>
    <row r="74" spans="1:7" x14ac:dyDescent="0.15">
      <c r="A74" s="343">
        <v>71</v>
      </c>
      <c r="B74" s="344" t="s">
        <v>540</v>
      </c>
      <c r="C74" s="345">
        <v>2000</v>
      </c>
      <c r="D74" s="343">
        <v>2000</v>
      </c>
      <c r="E74" s="343">
        <v>2000</v>
      </c>
      <c r="F74" s="346">
        <v>614000</v>
      </c>
      <c r="G74" s="344"/>
    </row>
    <row r="75" spans="1:7" x14ac:dyDescent="0.15">
      <c r="A75" s="343">
        <v>72</v>
      </c>
      <c r="B75" s="344" t="s">
        <v>531</v>
      </c>
      <c r="C75" s="345">
        <v>4000</v>
      </c>
      <c r="D75" s="343">
        <v>2000</v>
      </c>
      <c r="E75" s="343">
        <v>4000</v>
      </c>
      <c r="F75" s="346">
        <v>614000</v>
      </c>
      <c r="G75" s="344"/>
    </row>
    <row r="76" spans="1:7" x14ac:dyDescent="0.15">
      <c r="A76" s="343">
        <v>73</v>
      </c>
      <c r="B76" s="344" t="s">
        <v>533</v>
      </c>
      <c r="C76" s="345">
        <v>1104</v>
      </c>
      <c r="D76" s="343">
        <v>2000</v>
      </c>
      <c r="E76" s="343">
        <v>1104</v>
      </c>
      <c r="F76" s="346">
        <v>614000</v>
      </c>
      <c r="G76" s="344"/>
    </row>
    <row r="77" spans="1:7" x14ac:dyDescent="0.15">
      <c r="A77" s="343">
        <v>74</v>
      </c>
      <c r="B77" s="344" t="s">
        <v>3614</v>
      </c>
      <c r="C77" s="345">
        <v>10500</v>
      </c>
      <c r="D77" s="343">
        <v>2000</v>
      </c>
      <c r="E77" s="343">
        <v>10500</v>
      </c>
      <c r="F77" s="346">
        <v>3500</v>
      </c>
      <c r="G77" s="344"/>
    </row>
    <row r="78" spans="1:7" x14ac:dyDescent="0.15">
      <c r="A78" s="343">
        <v>75</v>
      </c>
      <c r="B78" s="344" t="s">
        <v>535</v>
      </c>
      <c r="C78" s="345">
        <v>45000</v>
      </c>
      <c r="D78" s="343">
        <v>2000</v>
      </c>
      <c r="E78" s="343">
        <v>45000</v>
      </c>
      <c r="F78" s="346">
        <v>128000</v>
      </c>
      <c r="G78" s="344"/>
    </row>
    <row r="79" spans="1:7" x14ac:dyDescent="0.15">
      <c r="A79" s="343">
        <v>76</v>
      </c>
      <c r="B79" s="344" t="s">
        <v>528</v>
      </c>
      <c r="C79" s="345">
        <v>12250</v>
      </c>
      <c r="D79" s="343">
        <v>2000</v>
      </c>
      <c r="E79" s="343">
        <v>12250</v>
      </c>
      <c r="F79" s="346">
        <v>128000</v>
      </c>
      <c r="G79" s="344"/>
    </row>
    <row r="80" spans="1:7" x14ac:dyDescent="0.15">
      <c r="A80" s="343">
        <v>77</v>
      </c>
      <c r="B80" s="344" t="s">
        <v>3615</v>
      </c>
      <c r="C80" s="345">
        <v>2100</v>
      </c>
      <c r="D80" s="343">
        <v>2000</v>
      </c>
      <c r="E80" s="343">
        <v>2100</v>
      </c>
      <c r="F80" s="346">
        <v>128000</v>
      </c>
      <c r="G80" s="344"/>
    </row>
    <row r="81" spans="1:7" x14ac:dyDescent="0.15">
      <c r="A81" s="343">
        <v>78</v>
      </c>
      <c r="B81" s="344" t="s">
        <v>3616</v>
      </c>
      <c r="C81" s="345">
        <v>4900</v>
      </c>
      <c r="D81" s="343">
        <v>2000</v>
      </c>
      <c r="E81" s="343">
        <v>4900</v>
      </c>
      <c r="F81" s="346">
        <v>128000</v>
      </c>
      <c r="G81" s="344"/>
    </row>
    <row r="82" spans="1:7" x14ac:dyDescent="0.15">
      <c r="A82" s="343">
        <v>79</v>
      </c>
      <c r="B82" s="344" t="s">
        <v>3617</v>
      </c>
      <c r="C82" s="345">
        <v>12600</v>
      </c>
      <c r="D82" s="343">
        <v>2000</v>
      </c>
      <c r="E82" s="343">
        <v>12600</v>
      </c>
      <c r="F82" s="346">
        <v>14000</v>
      </c>
      <c r="G82" s="344"/>
    </row>
    <row r="83" spans="1:7" x14ac:dyDescent="0.15">
      <c r="A83" s="343">
        <v>80</v>
      </c>
      <c r="B83" s="344" t="s">
        <v>3618</v>
      </c>
      <c r="C83" s="345">
        <v>17000</v>
      </c>
      <c r="D83" s="343">
        <v>2000</v>
      </c>
      <c r="E83" s="343">
        <v>17000</v>
      </c>
      <c r="F83" s="346">
        <v>14000</v>
      </c>
      <c r="G83" s="344"/>
    </row>
    <row r="84" spans="1:7" x14ac:dyDescent="0.15">
      <c r="A84" s="343">
        <v>81</v>
      </c>
      <c r="B84" s="344" t="s">
        <v>3619</v>
      </c>
      <c r="C84" s="345">
        <v>4000</v>
      </c>
      <c r="D84" s="343">
        <v>2000</v>
      </c>
      <c r="E84" s="343">
        <v>20000</v>
      </c>
      <c r="F84" s="346">
        <v>128000</v>
      </c>
      <c r="G84" s="344"/>
    </row>
    <row r="85" spans="1:7" x14ac:dyDescent="0.15">
      <c r="A85" s="343">
        <v>82</v>
      </c>
      <c r="B85" s="344" t="s">
        <v>3620</v>
      </c>
      <c r="C85" s="345">
        <v>25500</v>
      </c>
      <c r="D85" s="343">
        <v>2000</v>
      </c>
      <c r="E85" s="343">
        <v>25500</v>
      </c>
      <c r="F85" s="346">
        <v>103000</v>
      </c>
      <c r="G85" s="344"/>
    </row>
    <row r="86" spans="1:7" x14ac:dyDescent="0.15">
      <c r="A86" s="343">
        <v>83</v>
      </c>
      <c r="B86" s="344" t="s">
        <v>3621</v>
      </c>
      <c r="C86" s="345">
        <v>3200</v>
      </c>
      <c r="D86" s="343">
        <v>2000</v>
      </c>
      <c r="E86" s="343">
        <v>84000</v>
      </c>
      <c r="F86" s="346">
        <v>36000</v>
      </c>
      <c r="G86" s="344"/>
    </row>
    <row r="87" spans="1:7" x14ac:dyDescent="0.15">
      <c r="A87" s="343">
        <v>85</v>
      </c>
      <c r="B87" s="344" t="s">
        <v>627</v>
      </c>
      <c r="C87" s="345">
        <v>480000</v>
      </c>
      <c r="D87" s="343">
        <v>2000</v>
      </c>
      <c r="E87" s="343">
        <v>480000</v>
      </c>
      <c r="F87" s="346">
        <v>2450</v>
      </c>
      <c r="G87" s="344"/>
    </row>
    <row r="88" spans="1:7" x14ac:dyDescent="0.15">
      <c r="A88" s="343">
        <v>86</v>
      </c>
      <c r="B88" s="344" t="s">
        <v>628</v>
      </c>
      <c r="C88" s="345">
        <v>8050</v>
      </c>
      <c r="D88" s="343">
        <v>2000</v>
      </c>
      <c r="E88" s="343">
        <v>35000</v>
      </c>
      <c r="F88" s="346">
        <v>1200</v>
      </c>
      <c r="G88" s="344"/>
    </row>
    <row r="89" spans="1:7" x14ac:dyDescent="0.15">
      <c r="A89" s="343">
        <v>87</v>
      </c>
      <c r="B89" s="344" t="s">
        <v>3622</v>
      </c>
      <c r="C89" s="345">
        <v>16000</v>
      </c>
      <c r="D89" s="343">
        <v>2000</v>
      </c>
      <c r="E89" s="343">
        <v>112000</v>
      </c>
      <c r="F89" s="346">
        <v>1200</v>
      </c>
      <c r="G89" s="344"/>
    </row>
    <row r="90" spans="1:7" x14ac:dyDescent="0.15">
      <c r="A90" s="343">
        <v>88</v>
      </c>
      <c r="B90" s="344" t="s">
        <v>3623</v>
      </c>
      <c r="C90" s="345">
        <v>420000</v>
      </c>
      <c r="D90" s="343">
        <v>2000</v>
      </c>
      <c r="E90" s="343">
        <v>420000</v>
      </c>
      <c r="F90" s="346">
        <v>1700</v>
      </c>
      <c r="G90" s="344"/>
    </row>
    <row r="91" spans="1:7" x14ac:dyDescent="0.15">
      <c r="A91" s="343">
        <v>90</v>
      </c>
      <c r="B91" s="344" t="s">
        <v>3624</v>
      </c>
      <c r="C91" s="345">
        <v>25600</v>
      </c>
      <c r="D91" s="343">
        <v>2000</v>
      </c>
      <c r="E91" s="343">
        <v>136000</v>
      </c>
      <c r="F91" s="346">
        <v>3500</v>
      </c>
      <c r="G91" s="344"/>
    </row>
    <row r="92" spans="1:7" x14ac:dyDescent="0.15">
      <c r="A92" s="343">
        <v>91</v>
      </c>
      <c r="B92" s="344" t="s">
        <v>3158</v>
      </c>
      <c r="C92" s="345">
        <v>22400</v>
      </c>
      <c r="D92" s="343">
        <v>2000</v>
      </c>
      <c r="E92" s="343">
        <v>86400</v>
      </c>
      <c r="F92" s="346">
        <v>3500</v>
      </c>
      <c r="G92" s="344"/>
    </row>
    <row r="93" spans="1:7" x14ac:dyDescent="0.15">
      <c r="A93" s="343">
        <v>92</v>
      </c>
      <c r="B93" s="344" t="s">
        <v>3625</v>
      </c>
      <c r="C93" s="345">
        <v>32000</v>
      </c>
      <c r="D93" s="343">
        <v>2000</v>
      </c>
      <c r="E93" s="343">
        <v>48000</v>
      </c>
      <c r="F93" s="346">
        <v>1200</v>
      </c>
      <c r="G93" s="344"/>
    </row>
    <row r="94" spans="1:7" x14ac:dyDescent="0.15">
      <c r="A94" s="343">
        <v>93</v>
      </c>
      <c r="B94" s="344" t="s">
        <v>3626</v>
      </c>
      <c r="C94" s="345">
        <v>28000</v>
      </c>
      <c r="D94" s="343">
        <v>2000</v>
      </c>
      <c r="E94" s="343">
        <v>28000</v>
      </c>
      <c r="F94" s="346">
        <v>2450</v>
      </c>
      <c r="G94" s="344"/>
    </row>
    <row r="95" spans="1:7" x14ac:dyDescent="0.15">
      <c r="A95" s="343">
        <v>94</v>
      </c>
      <c r="B95" s="344" t="s">
        <v>3627</v>
      </c>
      <c r="C95" s="345">
        <v>7000</v>
      </c>
      <c r="D95" s="343">
        <v>2000</v>
      </c>
      <c r="E95" s="343">
        <v>35000</v>
      </c>
      <c r="F95" s="346">
        <v>1700</v>
      </c>
      <c r="G95" s="344"/>
    </row>
    <row r="96" spans="1:7" x14ac:dyDescent="0.15">
      <c r="A96" s="343">
        <v>95</v>
      </c>
      <c r="B96" s="344" t="s">
        <v>3628</v>
      </c>
      <c r="C96" s="345">
        <v>28000</v>
      </c>
      <c r="D96" s="343">
        <v>2000</v>
      </c>
      <c r="E96" s="343">
        <v>28000</v>
      </c>
      <c r="F96" s="346">
        <v>3500</v>
      </c>
      <c r="G96" s="344"/>
    </row>
    <row r="97" spans="1:7" x14ac:dyDescent="0.15">
      <c r="A97" s="343">
        <v>96</v>
      </c>
      <c r="B97" s="344" t="s">
        <v>3629</v>
      </c>
      <c r="C97" s="345">
        <v>40000</v>
      </c>
      <c r="D97" s="343">
        <v>2000</v>
      </c>
      <c r="E97" s="343">
        <v>40000</v>
      </c>
      <c r="F97" s="346">
        <v>3500</v>
      </c>
      <c r="G97" s="344"/>
    </row>
    <row r="98" spans="1:7" x14ac:dyDescent="0.15">
      <c r="A98" s="343">
        <v>97</v>
      </c>
      <c r="B98" s="344" t="s">
        <v>3630</v>
      </c>
      <c r="C98" s="345">
        <v>3500</v>
      </c>
      <c r="D98" s="343">
        <v>2000</v>
      </c>
      <c r="E98" s="343">
        <v>35000</v>
      </c>
      <c r="F98" s="346">
        <v>5000</v>
      </c>
      <c r="G98" s="344"/>
    </row>
    <row r="99" spans="1:7" x14ac:dyDescent="0.15">
      <c r="A99" s="343">
        <v>98</v>
      </c>
      <c r="B99" s="344" t="s">
        <v>3631</v>
      </c>
      <c r="C99" s="345">
        <v>21700</v>
      </c>
      <c r="D99" s="343">
        <v>2000</v>
      </c>
      <c r="E99" s="343">
        <v>21700</v>
      </c>
      <c r="F99" s="346">
        <v>7150</v>
      </c>
      <c r="G99" s="344"/>
    </row>
    <row r="100" spans="1:7" x14ac:dyDescent="0.15">
      <c r="A100" s="343">
        <v>99</v>
      </c>
      <c r="B100" s="344" t="s">
        <v>3632</v>
      </c>
      <c r="C100" s="345">
        <v>19250</v>
      </c>
      <c r="D100" s="343">
        <v>2000</v>
      </c>
      <c r="E100" s="343">
        <v>19250</v>
      </c>
      <c r="F100" s="346">
        <v>7150</v>
      </c>
      <c r="G100" s="344"/>
    </row>
    <row r="101" spans="1:7" x14ac:dyDescent="0.15">
      <c r="A101" s="343">
        <v>100</v>
      </c>
      <c r="B101" s="344" t="s">
        <v>3633</v>
      </c>
      <c r="C101" s="345">
        <v>35000</v>
      </c>
      <c r="D101" s="343">
        <v>2000</v>
      </c>
      <c r="E101" s="343">
        <v>35000</v>
      </c>
      <c r="F101" s="346">
        <v>5000</v>
      </c>
      <c r="G101" s="344"/>
    </row>
    <row r="102" spans="1:7" x14ac:dyDescent="0.15">
      <c r="A102" s="343">
        <v>101</v>
      </c>
      <c r="B102" s="344" t="s">
        <v>3634</v>
      </c>
      <c r="C102" s="345">
        <v>14000</v>
      </c>
      <c r="D102" s="343">
        <v>2000</v>
      </c>
      <c r="E102" s="343">
        <v>14000</v>
      </c>
      <c r="F102" s="346">
        <v>5000</v>
      </c>
      <c r="G102" s="344"/>
    </row>
    <row r="103" spans="1:7" x14ac:dyDescent="0.15">
      <c r="A103" s="343">
        <v>102</v>
      </c>
      <c r="B103" s="344" t="s">
        <v>3635</v>
      </c>
      <c r="C103" s="345">
        <v>21000</v>
      </c>
      <c r="D103" s="343">
        <v>2000</v>
      </c>
      <c r="E103" s="343">
        <v>21000</v>
      </c>
      <c r="F103" s="346">
        <v>10000</v>
      </c>
      <c r="G103" s="344"/>
    </row>
    <row r="104" spans="1:7" x14ac:dyDescent="0.15">
      <c r="A104" s="343">
        <v>103</v>
      </c>
      <c r="B104" s="344" t="s">
        <v>3636</v>
      </c>
      <c r="C104" s="345">
        <v>17500</v>
      </c>
      <c r="D104" s="343">
        <v>2000</v>
      </c>
      <c r="E104" s="343">
        <v>17500</v>
      </c>
      <c r="F104" s="346">
        <v>1700</v>
      </c>
      <c r="G104" s="344"/>
    </row>
    <row r="105" spans="1:7" x14ac:dyDescent="0.15">
      <c r="A105" s="343">
        <v>104</v>
      </c>
      <c r="B105" s="344" t="s">
        <v>3637</v>
      </c>
      <c r="C105" s="345">
        <v>20000</v>
      </c>
      <c r="D105" s="343">
        <v>2000</v>
      </c>
      <c r="E105" s="343">
        <v>20000</v>
      </c>
      <c r="F105" s="346">
        <v>1200</v>
      </c>
      <c r="G105" s="344"/>
    </row>
    <row r="106" spans="1:7" x14ac:dyDescent="0.15">
      <c r="A106" s="343">
        <v>105</v>
      </c>
      <c r="B106" s="344" t="s">
        <v>3638</v>
      </c>
      <c r="C106" s="345">
        <v>440</v>
      </c>
      <c r="D106" s="343">
        <v>2000</v>
      </c>
      <c r="E106" s="343">
        <v>440</v>
      </c>
      <c r="F106" s="346">
        <v>36000</v>
      </c>
      <c r="G106" s="344"/>
    </row>
    <row r="107" spans="1:7" x14ac:dyDescent="0.15">
      <c r="A107" s="343">
        <v>106</v>
      </c>
      <c r="B107" s="344" t="s">
        <v>3639</v>
      </c>
      <c r="C107" s="345">
        <v>1008</v>
      </c>
      <c r="D107" s="343">
        <v>2000</v>
      </c>
      <c r="E107" s="343">
        <v>1008</v>
      </c>
      <c r="F107" s="346">
        <v>36000</v>
      </c>
      <c r="G107" s="344"/>
    </row>
    <row r="108" spans="1:7" x14ac:dyDescent="0.15">
      <c r="A108" s="343">
        <v>107</v>
      </c>
      <c r="B108" s="344" t="s">
        <v>3640</v>
      </c>
      <c r="C108" s="345">
        <v>924</v>
      </c>
      <c r="D108" s="343">
        <v>2000</v>
      </c>
      <c r="E108" s="343">
        <v>924</v>
      </c>
      <c r="F108" s="346">
        <v>36000</v>
      </c>
      <c r="G108" s="344"/>
    </row>
    <row r="109" spans="1:7" x14ac:dyDescent="0.15">
      <c r="A109" s="343">
        <v>108</v>
      </c>
      <c r="B109" s="344" t="s">
        <v>3641</v>
      </c>
      <c r="C109" s="345">
        <v>385</v>
      </c>
      <c r="D109" s="343">
        <v>2000</v>
      </c>
      <c r="E109" s="343">
        <v>385</v>
      </c>
      <c r="F109" s="346">
        <v>64000</v>
      </c>
      <c r="G109" s="344"/>
    </row>
    <row r="110" spans="1:7" x14ac:dyDescent="0.15">
      <c r="A110" s="343">
        <v>109</v>
      </c>
      <c r="B110" s="344" t="s">
        <v>3642</v>
      </c>
      <c r="C110" s="345">
        <v>357</v>
      </c>
      <c r="D110" s="343">
        <v>2000</v>
      </c>
      <c r="E110" s="343">
        <v>357</v>
      </c>
      <c r="F110" s="346">
        <v>64000</v>
      </c>
      <c r="G110" s="344"/>
    </row>
    <row r="111" spans="1:7" x14ac:dyDescent="0.15">
      <c r="A111" s="343">
        <v>110</v>
      </c>
      <c r="B111" s="344" t="s">
        <v>3643</v>
      </c>
      <c r="C111" s="345">
        <v>400000</v>
      </c>
      <c r="D111" s="343">
        <v>2000</v>
      </c>
      <c r="E111" s="343">
        <v>400000</v>
      </c>
      <c r="F111" s="346">
        <v>1700</v>
      </c>
      <c r="G111" s="344"/>
    </row>
    <row r="112" spans="1:7" x14ac:dyDescent="0.15">
      <c r="A112" s="343">
        <v>111</v>
      </c>
      <c r="B112" s="344" t="s">
        <v>3644</v>
      </c>
      <c r="C112" s="345">
        <v>84000</v>
      </c>
      <c r="D112" s="343">
        <v>2000</v>
      </c>
      <c r="E112" s="343">
        <v>96000</v>
      </c>
      <c r="F112" s="346">
        <v>1200</v>
      </c>
      <c r="G112" s="344"/>
    </row>
    <row r="113" spans="1:7" x14ac:dyDescent="0.15">
      <c r="A113" s="343">
        <v>112</v>
      </c>
      <c r="B113" s="344" t="s">
        <v>3645</v>
      </c>
      <c r="C113" s="345">
        <v>12250</v>
      </c>
      <c r="D113" s="343">
        <v>2000</v>
      </c>
      <c r="E113" s="343">
        <v>24500</v>
      </c>
      <c r="F113" s="346">
        <v>3500</v>
      </c>
      <c r="G113" s="344"/>
    </row>
    <row r="114" spans="1:7" x14ac:dyDescent="0.15">
      <c r="A114" s="343">
        <v>113</v>
      </c>
      <c r="B114" s="344" t="s">
        <v>3646</v>
      </c>
      <c r="C114" s="345">
        <v>21000</v>
      </c>
      <c r="D114" s="343">
        <v>2000</v>
      </c>
      <c r="E114" s="343">
        <v>21000</v>
      </c>
      <c r="F114" s="346">
        <v>10000</v>
      </c>
      <c r="G114" s="344"/>
    </row>
    <row r="115" spans="1:7" x14ac:dyDescent="0.15">
      <c r="A115" s="343">
        <v>114</v>
      </c>
      <c r="B115" s="344" t="s">
        <v>3647</v>
      </c>
      <c r="C115" s="345">
        <v>16800</v>
      </c>
      <c r="D115" s="343">
        <v>2000</v>
      </c>
      <c r="E115" s="343">
        <v>16800</v>
      </c>
      <c r="F115" s="346">
        <v>10000</v>
      </c>
      <c r="G115" s="344"/>
    </row>
    <row r="116" spans="1:7" x14ac:dyDescent="0.15">
      <c r="A116" s="343">
        <v>115</v>
      </c>
      <c r="B116" s="344" t="s">
        <v>3648</v>
      </c>
      <c r="C116" s="345">
        <v>7000</v>
      </c>
      <c r="D116" s="343">
        <v>2000</v>
      </c>
      <c r="E116" s="343">
        <v>28000</v>
      </c>
      <c r="F116" s="346">
        <v>5000</v>
      </c>
      <c r="G116" s="344"/>
    </row>
    <row r="117" spans="1:7" x14ac:dyDescent="0.15">
      <c r="A117" s="343">
        <v>116</v>
      </c>
      <c r="B117" s="344" t="s">
        <v>3649</v>
      </c>
      <c r="C117" s="345">
        <v>21700</v>
      </c>
      <c r="D117" s="343">
        <v>2000</v>
      </c>
      <c r="E117" s="343">
        <v>21700</v>
      </c>
      <c r="F117" s="346">
        <v>3000</v>
      </c>
      <c r="G117" s="344"/>
    </row>
    <row r="118" spans="1:7" x14ac:dyDescent="0.15">
      <c r="A118" s="343">
        <v>117</v>
      </c>
      <c r="B118" s="344" t="s">
        <v>3203</v>
      </c>
      <c r="C118" s="345">
        <v>21000</v>
      </c>
      <c r="D118" s="343">
        <v>2000</v>
      </c>
      <c r="E118" s="343">
        <v>21000</v>
      </c>
      <c r="F118" s="346">
        <v>7000</v>
      </c>
      <c r="G118" s="344"/>
    </row>
    <row r="119" spans="1:7" x14ac:dyDescent="0.15">
      <c r="A119" s="343">
        <v>118</v>
      </c>
      <c r="B119" s="344" t="s">
        <v>3650</v>
      </c>
      <c r="C119" s="345">
        <v>25900</v>
      </c>
      <c r="D119" s="343">
        <v>2000</v>
      </c>
      <c r="E119" s="343">
        <v>28000</v>
      </c>
      <c r="F119" s="346">
        <v>7000</v>
      </c>
      <c r="G119" s="344"/>
    </row>
    <row r="120" spans="1:7" x14ac:dyDescent="0.15">
      <c r="A120" s="343">
        <v>119</v>
      </c>
      <c r="B120" s="344" t="s">
        <v>3651</v>
      </c>
      <c r="C120" s="345">
        <v>14000</v>
      </c>
      <c r="D120" s="343">
        <v>2000</v>
      </c>
      <c r="E120" s="343">
        <v>14000</v>
      </c>
      <c r="F120" s="346">
        <v>7150</v>
      </c>
      <c r="G120" s="344"/>
    </row>
    <row r="121" spans="1:7" x14ac:dyDescent="0.15">
      <c r="A121" s="343">
        <v>120</v>
      </c>
      <c r="B121" s="344" t="s">
        <v>3652</v>
      </c>
      <c r="C121" s="345">
        <v>24500</v>
      </c>
      <c r="D121" s="343">
        <v>2000</v>
      </c>
      <c r="E121" s="343">
        <v>24500</v>
      </c>
      <c r="F121" s="346">
        <v>7150</v>
      </c>
      <c r="G121" s="344"/>
    </row>
    <row r="122" spans="1:7" x14ac:dyDescent="0.15">
      <c r="A122" s="343">
        <v>121</v>
      </c>
      <c r="B122" s="344" t="s">
        <v>3653</v>
      </c>
      <c r="C122" s="345">
        <v>7000</v>
      </c>
      <c r="D122" s="343">
        <v>2000</v>
      </c>
      <c r="E122" s="343">
        <v>19250</v>
      </c>
      <c r="F122" s="346">
        <v>0</v>
      </c>
      <c r="G122" s="344"/>
    </row>
    <row r="123" spans="1:7" x14ac:dyDescent="0.15">
      <c r="A123" s="343">
        <v>122</v>
      </c>
      <c r="B123" s="344" t="s">
        <v>3651</v>
      </c>
      <c r="C123" s="345">
        <v>26250</v>
      </c>
      <c r="D123" s="343">
        <v>2000</v>
      </c>
      <c r="E123" s="343">
        <v>35350</v>
      </c>
      <c r="F123" s="346">
        <v>7150</v>
      </c>
      <c r="G123" s="344"/>
    </row>
    <row r="124" spans="1:7" x14ac:dyDescent="0.15">
      <c r="A124" s="343">
        <v>123</v>
      </c>
      <c r="B124" s="344" t="s">
        <v>3193</v>
      </c>
      <c r="C124" s="345">
        <v>16000</v>
      </c>
      <c r="D124" s="343">
        <v>2000</v>
      </c>
      <c r="E124" s="343">
        <v>64000</v>
      </c>
      <c r="F124" s="346">
        <v>7150</v>
      </c>
      <c r="G124" s="344"/>
    </row>
    <row r="125" spans="1:7" x14ac:dyDescent="0.15">
      <c r="A125" s="343">
        <v>124</v>
      </c>
      <c r="B125" s="344" t="s">
        <v>3654</v>
      </c>
      <c r="C125" s="345">
        <v>14000</v>
      </c>
      <c r="D125" s="343">
        <v>2000</v>
      </c>
      <c r="E125" s="343">
        <v>49000</v>
      </c>
      <c r="F125" s="346">
        <v>7150</v>
      </c>
      <c r="G125" s="344"/>
    </row>
    <row r="126" spans="1:7" x14ac:dyDescent="0.15">
      <c r="A126" s="343">
        <v>125</v>
      </c>
      <c r="B126" s="344" t="s">
        <v>3655</v>
      </c>
      <c r="C126" s="345">
        <v>64000</v>
      </c>
      <c r="D126" s="343">
        <v>2000</v>
      </c>
      <c r="E126" s="343">
        <v>64000</v>
      </c>
      <c r="F126" s="346">
        <v>7150</v>
      </c>
      <c r="G126" s="344"/>
    </row>
    <row r="127" spans="1:7" x14ac:dyDescent="0.15">
      <c r="A127" s="343">
        <v>126</v>
      </c>
      <c r="B127" s="344" t="s">
        <v>3656</v>
      </c>
      <c r="C127" s="345">
        <v>7000</v>
      </c>
      <c r="D127" s="343">
        <v>2000</v>
      </c>
      <c r="E127" s="343">
        <v>14000</v>
      </c>
      <c r="F127" s="346">
        <v>7150</v>
      </c>
      <c r="G127" s="344"/>
    </row>
    <row r="128" spans="1:7" x14ac:dyDescent="0.15">
      <c r="A128" s="343">
        <v>127</v>
      </c>
      <c r="B128" s="344" t="s">
        <v>3657</v>
      </c>
      <c r="C128" s="345">
        <v>96000</v>
      </c>
      <c r="D128" s="343">
        <v>2000</v>
      </c>
      <c r="E128" s="343">
        <v>96000</v>
      </c>
      <c r="F128" s="346">
        <v>7150</v>
      </c>
      <c r="G128" s="344"/>
    </row>
    <row r="129" spans="1:7" x14ac:dyDescent="0.15">
      <c r="A129" s="343">
        <v>128</v>
      </c>
      <c r="B129" s="344" t="s">
        <v>3658</v>
      </c>
      <c r="C129" s="345">
        <v>11550</v>
      </c>
      <c r="D129" s="343">
        <v>2000</v>
      </c>
      <c r="E129" s="343">
        <v>11550</v>
      </c>
      <c r="F129" s="346">
        <v>7150</v>
      </c>
      <c r="G129" s="344"/>
    </row>
    <row r="130" spans="1:7" x14ac:dyDescent="0.15">
      <c r="A130" s="343">
        <v>129</v>
      </c>
      <c r="B130" s="344" t="s">
        <v>3129</v>
      </c>
      <c r="C130" s="345">
        <v>40000</v>
      </c>
      <c r="D130" s="343">
        <v>2000</v>
      </c>
      <c r="E130" s="343">
        <v>136000</v>
      </c>
      <c r="F130" s="346">
        <v>2450</v>
      </c>
      <c r="G130" s="344"/>
    </row>
    <row r="131" spans="1:7" x14ac:dyDescent="0.15">
      <c r="A131" s="343">
        <v>130</v>
      </c>
      <c r="B131" s="344" t="s">
        <v>3659</v>
      </c>
      <c r="C131" s="345">
        <v>60000</v>
      </c>
      <c r="D131" s="343">
        <v>2000</v>
      </c>
      <c r="E131" s="343">
        <v>60000</v>
      </c>
      <c r="F131" s="346">
        <v>2450</v>
      </c>
      <c r="G131" s="344"/>
    </row>
    <row r="132" spans="1:7" x14ac:dyDescent="0.15">
      <c r="A132" s="343">
        <v>131</v>
      </c>
      <c r="B132" s="344" t="s">
        <v>3660</v>
      </c>
      <c r="C132" s="345">
        <v>10500</v>
      </c>
      <c r="D132" s="343">
        <v>2000</v>
      </c>
      <c r="E132" s="343">
        <v>13300</v>
      </c>
      <c r="F132" s="346">
        <v>2450</v>
      </c>
      <c r="G132" s="344"/>
    </row>
    <row r="133" spans="1:7" x14ac:dyDescent="0.15">
      <c r="A133" s="343">
        <v>132</v>
      </c>
      <c r="B133" s="344" t="s">
        <v>3187</v>
      </c>
      <c r="C133" s="345">
        <v>7000</v>
      </c>
      <c r="D133" s="343">
        <v>2000</v>
      </c>
      <c r="E133" s="343">
        <v>39900</v>
      </c>
      <c r="F133" s="346">
        <v>2450</v>
      </c>
      <c r="G133" s="344"/>
    </row>
    <row r="134" spans="1:7" x14ac:dyDescent="0.15">
      <c r="A134" s="343">
        <v>133</v>
      </c>
      <c r="B134" s="344" t="s">
        <v>3661</v>
      </c>
      <c r="C134" s="345">
        <v>28000</v>
      </c>
      <c r="D134" s="343">
        <v>2000</v>
      </c>
      <c r="E134" s="343">
        <v>28000</v>
      </c>
      <c r="F134" s="346">
        <v>5000</v>
      </c>
      <c r="G134" s="344"/>
    </row>
    <row r="135" spans="1:7" x14ac:dyDescent="0.15">
      <c r="A135" s="343">
        <v>134</v>
      </c>
      <c r="B135" s="344" t="s">
        <v>3662</v>
      </c>
      <c r="C135" s="345">
        <v>10500</v>
      </c>
      <c r="D135" s="343">
        <v>2000</v>
      </c>
      <c r="E135" s="343">
        <v>31500</v>
      </c>
      <c r="F135" s="346">
        <v>3500</v>
      </c>
      <c r="G135" s="344"/>
    </row>
    <row r="136" spans="1:7" x14ac:dyDescent="0.15">
      <c r="A136" s="343">
        <v>135</v>
      </c>
      <c r="B136" s="344" t="s">
        <v>3663</v>
      </c>
      <c r="C136" s="345">
        <v>9800</v>
      </c>
      <c r="D136" s="343">
        <v>2000</v>
      </c>
      <c r="E136" s="343">
        <v>9800</v>
      </c>
      <c r="F136" s="346">
        <v>5000</v>
      </c>
      <c r="G136" s="344"/>
    </row>
    <row r="137" spans="1:7" x14ac:dyDescent="0.15">
      <c r="A137" s="343">
        <v>136</v>
      </c>
      <c r="B137" s="344" t="s">
        <v>3664</v>
      </c>
      <c r="C137" s="345">
        <v>9100</v>
      </c>
      <c r="D137" s="343">
        <v>2000</v>
      </c>
      <c r="E137" s="343">
        <v>9100</v>
      </c>
      <c r="F137" s="346">
        <v>2450</v>
      </c>
      <c r="G137" s="344"/>
    </row>
    <row r="138" spans="1:7" x14ac:dyDescent="0.15">
      <c r="A138" s="343">
        <v>137</v>
      </c>
      <c r="B138" s="344" t="s">
        <v>3665</v>
      </c>
      <c r="C138" s="345">
        <v>21000</v>
      </c>
      <c r="D138" s="343">
        <v>2000</v>
      </c>
      <c r="E138" s="343">
        <v>21000</v>
      </c>
      <c r="F138" s="346">
        <v>1700</v>
      </c>
      <c r="G138" s="344"/>
    </row>
    <row r="139" spans="1:7" x14ac:dyDescent="0.15">
      <c r="A139" s="343">
        <v>138</v>
      </c>
      <c r="B139" s="344" t="s">
        <v>3666</v>
      </c>
      <c r="C139" s="345">
        <v>10500</v>
      </c>
      <c r="D139" s="343">
        <v>2000</v>
      </c>
      <c r="E139" s="343">
        <v>10500</v>
      </c>
      <c r="F139" s="346">
        <v>2450</v>
      </c>
      <c r="G139" s="344"/>
    </row>
    <row r="140" spans="1:7" x14ac:dyDescent="0.15">
      <c r="A140" s="343">
        <v>139</v>
      </c>
      <c r="B140" s="344" t="s">
        <v>3667</v>
      </c>
      <c r="C140" s="345">
        <v>19600</v>
      </c>
      <c r="D140" s="343">
        <v>2000</v>
      </c>
      <c r="E140" s="343">
        <v>19600</v>
      </c>
      <c r="F140" s="346">
        <v>3500</v>
      </c>
      <c r="G140" s="344"/>
    </row>
    <row r="141" spans="1:7" x14ac:dyDescent="0.15">
      <c r="A141" s="343">
        <v>140</v>
      </c>
      <c r="B141" s="344" t="s">
        <v>3668</v>
      </c>
      <c r="C141" s="345">
        <v>7000</v>
      </c>
      <c r="D141" s="343">
        <v>2000</v>
      </c>
      <c r="E141" s="343">
        <v>7000</v>
      </c>
      <c r="F141" s="346">
        <v>3500</v>
      </c>
      <c r="G141" s="344"/>
    </row>
    <row r="142" spans="1:7" x14ac:dyDescent="0.15">
      <c r="A142" s="343">
        <v>141</v>
      </c>
      <c r="B142" s="344" t="s">
        <v>3669</v>
      </c>
      <c r="C142" s="345">
        <v>10500</v>
      </c>
      <c r="D142" s="343">
        <v>2000</v>
      </c>
      <c r="E142" s="343">
        <v>10500</v>
      </c>
      <c r="F142" s="346">
        <v>1700</v>
      </c>
      <c r="G142" s="344"/>
    </row>
    <row r="143" spans="1:7" x14ac:dyDescent="0.15">
      <c r="A143" s="343">
        <v>142</v>
      </c>
      <c r="B143" s="344" t="s">
        <v>3670</v>
      </c>
      <c r="C143" s="345">
        <v>7000</v>
      </c>
      <c r="D143" s="343">
        <v>2000</v>
      </c>
      <c r="E143" s="343">
        <v>14000</v>
      </c>
      <c r="F143" s="346">
        <v>2450</v>
      </c>
      <c r="G143" s="344"/>
    </row>
    <row r="144" spans="1:7" x14ac:dyDescent="0.15">
      <c r="A144" s="343">
        <v>143</v>
      </c>
      <c r="B144" s="344" t="s">
        <v>3671</v>
      </c>
      <c r="C144" s="345">
        <v>10500</v>
      </c>
      <c r="D144" s="343">
        <v>2000</v>
      </c>
      <c r="E144" s="343">
        <v>10500</v>
      </c>
      <c r="F144" s="346">
        <v>3500</v>
      </c>
      <c r="G144" s="344"/>
    </row>
    <row r="145" spans="1:7" x14ac:dyDescent="0.15">
      <c r="A145" s="343">
        <v>144</v>
      </c>
      <c r="B145" s="344" t="s">
        <v>3672</v>
      </c>
      <c r="C145" s="345">
        <v>10500</v>
      </c>
      <c r="D145" s="343">
        <v>2000</v>
      </c>
      <c r="E145" s="343">
        <v>10500</v>
      </c>
      <c r="F145" s="346">
        <v>3500</v>
      </c>
      <c r="G145" s="344"/>
    </row>
    <row r="146" spans="1:7" x14ac:dyDescent="0.15">
      <c r="A146" s="343">
        <v>145</v>
      </c>
      <c r="B146" s="344" t="s">
        <v>3673</v>
      </c>
      <c r="C146" s="345">
        <v>14000</v>
      </c>
      <c r="D146" s="343">
        <v>2000</v>
      </c>
      <c r="E146" s="343">
        <v>14000</v>
      </c>
      <c r="F146" s="346">
        <v>2450</v>
      </c>
      <c r="G146" s="344"/>
    </row>
    <row r="147" spans="1:7" x14ac:dyDescent="0.15">
      <c r="A147" s="343">
        <v>146</v>
      </c>
      <c r="B147" s="344" t="s">
        <v>3674</v>
      </c>
      <c r="C147" s="345">
        <v>8512</v>
      </c>
      <c r="D147" s="343">
        <v>2000</v>
      </c>
      <c r="E147" s="343">
        <v>8512</v>
      </c>
      <c r="F147" s="346">
        <v>2450</v>
      </c>
      <c r="G147" s="344"/>
    </row>
    <row r="148" spans="1:7" x14ac:dyDescent="0.15">
      <c r="A148" s="343">
        <v>147</v>
      </c>
      <c r="B148" s="344" t="s">
        <v>3675</v>
      </c>
      <c r="C148" s="345">
        <v>1806</v>
      </c>
      <c r="D148" s="343">
        <v>2000</v>
      </c>
      <c r="E148" s="343">
        <v>1806</v>
      </c>
      <c r="F148" s="346">
        <v>20000</v>
      </c>
      <c r="G148" s="344"/>
    </row>
    <row r="149" spans="1:7" x14ac:dyDescent="0.15">
      <c r="A149" s="343">
        <v>148</v>
      </c>
      <c r="B149" s="344" t="s">
        <v>3676</v>
      </c>
      <c r="C149" s="345">
        <v>5726</v>
      </c>
      <c r="D149" s="343">
        <v>2000</v>
      </c>
      <c r="E149" s="343">
        <v>5726</v>
      </c>
      <c r="F149" s="346">
        <v>20000</v>
      </c>
      <c r="G149" s="344"/>
    </row>
    <row r="150" spans="1:7" x14ac:dyDescent="0.15">
      <c r="A150" s="343">
        <v>149</v>
      </c>
      <c r="B150" s="344" t="s">
        <v>3677</v>
      </c>
      <c r="C150" s="345">
        <v>7062.9999999999991</v>
      </c>
      <c r="D150" s="343">
        <v>2000</v>
      </c>
      <c r="E150" s="343">
        <v>7062.9999999999991</v>
      </c>
      <c r="F150" s="346">
        <v>20000</v>
      </c>
      <c r="G150" s="344"/>
    </row>
    <row r="151" spans="1:7" x14ac:dyDescent="0.15">
      <c r="A151" s="343">
        <v>150</v>
      </c>
      <c r="B151" s="344" t="s">
        <v>3678</v>
      </c>
      <c r="C151" s="345">
        <v>3780</v>
      </c>
      <c r="D151" s="343">
        <v>2000</v>
      </c>
      <c r="E151" s="343">
        <v>3780</v>
      </c>
      <c r="F151" s="346">
        <v>20000</v>
      </c>
      <c r="G151" s="344"/>
    </row>
    <row r="152" spans="1:7" x14ac:dyDescent="0.15">
      <c r="A152" s="343">
        <v>151</v>
      </c>
      <c r="B152" s="344" t="s">
        <v>3679</v>
      </c>
      <c r="C152" s="345">
        <v>4900</v>
      </c>
      <c r="D152" s="343">
        <v>2000</v>
      </c>
      <c r="E152" s="343">
        <v>4900</v>
      </c>
      <c r="F152" s="346">
        <v>2450</v>
      </c>
      <c r="G152" s="344"/>
    </row>
    <row r="153" spans="1:7" x14ac:dyDescent="0.15">
      <c r="A153" s="343">
        <v>152</v>
      </c>
      <c r="B153" s="344" t="s">
        <v>3680</v>
      </c>
      <c r="C153" s="345">
        <v>2800</v>
      </c>
      <c r="D153" s="343">
        <v>2000</v>
      </c>
      <c r="E153" s="343">
        <v>2800</v>
      </c>
      <c r="F153" s="346">
        <v>2450</v>
      </c>
      <c r="G153" s="344"/>
    </row>
    <row r="154" spans="1:7" x14ac:dyDescent="0.15">
      <c r="A154" s="343">
        <v>153</v>
      </c>
      <c r="B154" s="344" t="s">
        <v>3681</v>
      </c>
      <c r="C154" s="345">
        <v>959</v>
      </c>
      <c r="D154" s="343">
        <v>2000</v>
      </c>
      <c r="E154" s="343">
        <v>959</v>
      </c>
      <c r="F154" s="346">
        <v>20000</v>
      </c>
      <c r="G154" s="344"/>
    </row>
    <row r="155" spans="1:7" x14ac:dyDescent="0.15">
      <c r="A155" s="343">
        <v>154</v>
      </c>
      <c r="B155" s="344" t="s">
        <v>3682</v>
      </c>
      <c r="C155" s="345">
        <v>5068</v>
      </c>
      <c r="D155" s="343">
        <v>2000</v>
      </c>
      <c r="E155" s="343">
        <v>5068</v>
      </c>
      <c r="F155" s="346">
        <v>3500</v>
      </c>
      <c r="G155" s="344"/>
    </row>
    <row r="156" spans="1:7" x14ac:dyDescent="0.15">
      <c r="A156" s="343">
        <v>155</v>
      </c>
      <c r="B156" s="344" t="s">
        <v>3683</v>
      </c>
      <c r="C156" s="345">
        <v>1295</v>
      </c>
      <c r="D156" s="343">
        <v>2000</v>
      </c>
      <c r="E156" s="343">
        <v>1295</v>
      </c>
      <c r="F156" s="346">
        <v>3500</v>
      </c>
      <c r="G156" s="344"/>
    </row>
    <row r="157" spans="1:7" x14ac:dyDescent="0.15">
      <c r="A157" s="343">
        <v>156</v>
      </c>
      <c r="B157" s="344" t="s">
        <v>3684</v>
      </c>
      <c r="C157" s="345">
        <v>6300</v>
      </c>
      <c r="D157" s="343">
        <v>2000</v>
      </c>
      <c r="E157" s="343">
        <v>28000</v>
      </c>
      <c r="F157" s="346">
        <v>3500</v>
      </c>
      <c r="G157" s="344"/>
    </row>
    <row r="158" spans="1:7" x14ac:dyDescent="0.15">
      <c r="A158" s="343">
        <v>157</v>
      </c>
      <c r="B158" s="344" t="s">
        <v>3685</v>
      </c>
      <c r="C158" s="345">
        <v>11550</v>
      </c>
      <c r="D158" s="343">
        <v>2000</v>
      </c>
      <c r="E158" s="343">
        <v>11550</v>
      </c>
      <c r="F158" s="346">
        <v>3500</v>
      </c>
      <c r="G158" s="344"/>
    </row>
    <row r="159" spans="1:7" x14ac:dyDescent="0.15">
      <c r="A159" s="343">
        <v>158</v>
      </c>
      <c r="B159" s="344" t="s">
        <v>3686</v>
      </c>
      <c r="C159" s="345">
        <v>20300</v>
      </c>
      <c r="D159" s="343">
        <v>2000</v>
      </c>
      <c r="E159" s="343">
        <v>20300</v>
      </c>
      <c r="F159" s="346">
        <v>3500</v>
      </c>
      <c r="G159" s="344"/>
    </row>
    <row r="160" spans="1:7" x14ac:dyDescent="0.15">
      <c r="A160" s="343">
        <v>159</v>
      </c>
      <c r="B160" s="344" t="s">
        <v>3687</v>
      </c>
      <c r="C160" s="345">
        <v>14000</v>
      </c>
      <c r="D160" s="343">
        <v>2000</v>
      </c>
      <c r="E160" s="343">
        <v>14000</v>
      </c>
      <c r="F160" s="346">
        <v>3500</v>
      </c>
      <c r="G160" s="344"/>
    </row>
    <row r="161" spans="1:7" x14ac:dyDescent="0.15">
      <c r="A161" s="343">
        <v>160</v>
      </c>
      <c r="B161" s="344" t="s">
        <v>3688</v>
      </c>
      <c r="C161" s="345">
        <v>45500</v>
      </c>
      <c r="D161" s="343">
        <v>2000</v>
      </c>
      <c r="E161" s="343">
        <v>45500</v>
      </c>
      <c r="F161" s="346">
        <v>5000</v>
      </c>
      <c r="G161" s="344"/>
    </row>
    <row r="162" spans="1:7" x14ac:dyDescent="0.15">
      <c r="A162" s="343">
        <v>161</v>
      </c>
      <c r="B162" s="344" t="s">
        <v>3689</v>
      </c>
      <c r="C162" s="345">
        <v>49000</v>
      </c>
      <c r="D162" s="343">
        <v>2000</v>
      </c>
      <c r="E162" s="343">
        <v>210000</v>
      </c>
      <c r="F162" s="346">
        <v>3500</v>
      </c>
      <c r="G162" s="344"/>
    </row>
    <row r="163" spans="1:7" x14ac:dyDescent="0.15">
      <c r="A163" s="343">
        <v>162</v>
      </c>
      <c r="B163" s="344" t="s">
        <v>3690</v>
      </c>
      <c r="C163" s="345">
        <v>6880</v>
      </c>
      <c r="D163" s="343">
        <v>2000</v>
      </c>
      <c r="E163" s="343">
        <v>7600</v>
      </c>
      <c r="F163" s="346">
        <v>5000</v>
      </c>
      <c r="G163" s="344"/>
    </row>
    <row r="164" spans="1:7" x14ac:dyDescent="0.15">
      <c r="A164" s="343">
        <v>163</v>
      </c>
      <c r="B164" s="344" t="s">
        <v>3691</v>
      </c>
      <c r="C164" s="345">
        <v>42000</v>
      </c>
      <c r="D164" s="343">
        <v>2000</v>
      </c>
      <c r="E164" s="343">
        <v>56000</v>
      </c>
      <c r="F164" s="346">
        <v>3500</v>
      </c>
      <c r="G164" s="344"/>
    </row>
    <row r="165" spans="1:7" x14ac:dyDescent="0.15">
      <c r="A165" s="343">
        <v>164</v>
      </c>
      <c r="B165" s="344" t="s">
        <v>3692</v>
      </c>
      <c r="C165" s="345">
        <v>146400</v>
      </c>
      <c r="D165" s="343">
        <v>2000</v>
      </c>
      <c r="E165" s="343">
        <v>329800</v>
      </c>
      <c r="F165" s="346">
        <v>36000</v>
      </c>
      <c r="G165" s="344"/>
    </row>
    <row r="166" spans="1:7" x14ac:dyDescent="0.15">
      <c r="A166" s="343">
        <v>165</v>
      </c>
      <c r="B166" s="344" t="s">
        <v>640</v>
      </c>
      <c r="C166" s="345">
        <v>32200</v>
      </c>
      <c r="D166" s="343">
        <v>2000</v>
      </c>
      <c r="E166" s="343">
        <v>245000</v>
      </c>
      <c r="F166" s="346">
        <v>2450</v>
      </c>
      <c r="G166" s="344"/>
    </row>
    <row r="167" spans="1:7" x14ac:dyDescent="0.15">
      <c r="A167" s="343">
        <v>166</v>
      </c>
      <c r="B167" s="344" t="s">
        <v>3693</v>
      </c>
      <c r="C167" s="345">
        <v>4200</v>
      </c>
      <c r="D167" s="343">
        <v>2000</v>
      </c>
      <c r="E167" s="343">
        <v>4200</v>
      </c>
      <c r="F167" s="346">
        <v>3500</v>
      </c>
      <c r="G167" s="344"/>
    </row>
    <row r="168" spans="1:7" x14ac:dyDescent="0.15">
      <c r="A168" s="343">
        <v>167</v>
      </c>
      <c r="B168" s="344" t="s">
        <v>3694</v>
      </c>
      <c r="C168" s="345">
        <v>14000</v>
      </c>
      <c r="D168" s="343">
        <v>2000</v>
      </c>
      <c r="E168" s="343">
        <v>14000</v>
      </c>
      <c r="F168" s="346">
        <v>3500</v>
      </c>
      <c r="G168" s="344"/>
    </row>
    <row r="169" spans="1:7" x14ac:dyDescent="0.15">
      <c r="A169" s="343">
        <v>168</v>
      </c>
      <c r="B169" s="344" t="s">
        <v>3695</v>
      </c>
      <c r="C169" s="345">
        <v>14000</v>
      </c>
      <c r="D169" s="343">
        <v>2000</v>
      </c>
      <c r="E169" s="343">
        <v>14000</v>
      </c>
      <c r="F169" s="346">
        <v>3500</v>
      </c>
      <c r="G169" s="344"/>
    </row>
    <row r="170" spans="1:7" x14ac:dyDescent="0.15">
      <c r="A170" s="343">
        <v>169</v>
      </c>
      <c r="B170" s="344" t="s">
        <v>3696</v>
      </c>
      <c r="C170" s="345">
        <v>12600</v>
      </c>
      <c r="D170" s="343">
        <v>2000</v>
      </c>
      <c r="E170" s="343">
        <v>12600</v>
      </c>
      <c r="F170" s="346">
        <v>5000</v>
      </c>
      <c r="G170" s="344"/>
    </row>
    <row r="171" spans="1:7" x14ac:dyDescent="0.15">
      <c r="A171" s="343">
        <v>170</v>
      </c>
      <c r="B171" s="344" t="s">
        <v>3697</v>
      </c>
      <c r="C171" s="345">
        <v>10500</v>
      </c>
      <c r="D171" s="343">
        <v>2000</v>
      </c>
      <c r="E171" s="343">
        <v>16800</v>
      </c>
      <c r="F171" s="346">
        <v>2450</v>
      </c>
      <c r="G171" s="344"/>
    </row>
    <row r="172" spans="1:7" x14ac:dyDescent="0.15">
      <c r="A172" s="343">
        <v>171</v>
      </c>
      <c r="B172" s="344" t="s">
        <v>3698</v>
      </c>
      <c r="C172" s="345">
        <v>14000</v>
      </c>
      <c r="D172" s="343">
        <v>2000</v>
      </c>
      <c r="E172" s="343">
        <v>14000</v>
      </c>
      <c r="F172" s="346">
        <v>3500</v>
      </c>
      <c r="G172" s="344"/>
    </row>
    <row r="173" spans="1:7" x14ac:dyDescent="0.15">
      <c r="A173" s="343">
        <v>172</v>
      </c>
      <c r="B173" s="344" t="s">
        <v>3699</v>
      </c>
      <c r="C173" s="345">
        <v>7000</v>
      </c>
      <c r="D173" s="343">
        <v>2000</v>
      </c>
      <c r="E173" s="343">
        <v>7000</v>
      </c>
      <c r="F173" s="346">
        <v>10000</v>
      </c>
      <c r="G173" s="344"/>
    </row>
    <row r="174" spans="1:7" x14ac:dyDescent="0.15">
      <c r="A174" s="343">
        <v>173</v>
      </c>
      <c r="B174" s="344" t="s">
        <v>3700</v>
      </c>
      <c r="C174" s="345">
        <v>21000</v>
      </c>
      <c r="D174" s="343">
        <v>2000</v>
      </c>
      <c r="E174" s="343">
        <v>21000</v>
      </c>
      <c r="F174" s="346">
        <v>2450</v>
      </c>
      <c r="G174" s="344"/>
    </row>
    <row r="175" spans="1:7" x14ac:dyDescent="0.15">
      <c r="A175" s="343">
        <v>174</v>
      </c>
      <c r="B175" s="344" t="s">
        <v>3701</v>
      </c>
      <c r="C175" s="345">
        <v>14000</v>
      </c>
      <c r="D175" s="343">
        <v>2000</v>
      </c>
      <c r="E175" s="343">
        <v>21000</v>
      </c>
      <c r="F175" s="346">
        <v>2450</v>
      </c>
      <c r="G175" s="344"/>
    </row>
    <row r="176" spans="1:7" x14ac:dyDescent="0.15">
      <c r="A176" s="343">
        <v>175</v>
      </c>
      <c r="B176" s="344" t="s">
        <v>3702</v>
      </c>
      <c r="C176" s="345">
        <v>14000</v>
      </c>
      <c r="D176" s="343">
        <v>2000</v>
      </c>
      <c r="E176" s="343">
        <v>14000</v>
      </c>
      <c r="F176" s="346">
        <v>500</v>
      </c>
      <c r="G176" s="344"/>
    </row>
    <row r="177" spans="1:7" x14ac:dyDescent="0.15">
      <c r="A177" s="343">
        <v>176</v>
      </c>
      <c r="B177" s="344" t="s">
        <v>3703</v>
      </c>
      <c r="C177" s="345">
        <v>14000</v>
      </c>
      <c r="D177" s="343">
        <v>2000</v>
      </c>
      <c r="E177" s="343">
        <v>14000</v>
      </c>
      <c r="F177" s="346">
        <v>2450</v>
      </c>
      <c r="G177" s="344"/>
    </row>
    <row r="178" spans="1:7" x14ac:dyDescent="0.15">
      <c r="A178" s="343">
        <v>177</v>
      </c>
      <c r="B178" s="344" t="s">
        <v>3704</v>
      </c>
      <c r="C178" s="345">
        <v>21000</v>
      </c>
      <c r="D178" s="343">
        <v>2000</v>
      </c>
      <c r="E178" s="343">
        <v>21000</v>
      </c>
      <c r="F178" s="346">
        <v>5000</v>
      </c>
      <c r="G178" s="344"/>
    </row>
    <row r="179" spans="1:7" x14ac:dyDescent="0.15">
      <c r="A179" s="343">
        <v>178</v>
      </c>
      <c r="B179" s="344" t="s">
        <v>712</v>
      </c>
      <c r="C179" s="345">
        <v>7000</v>
      </c>
      <c r="D179" s="343">
        <v>2000</v>
      </c>
      <c r="E179" s="343">
        <v>24500</v>
      </c>
      <c r="F179" s="346">
        <v>5000</v>
      </c>
      <c r="G179" s="344"/>
    </row>
    <row r="180" spans="1:7" x14ac:dyDescent="0.15">
      <c r="A180" s="343">
        <v>179</v>
      </c>
      <c r="B180" s="344" t="s">
        <v>3705</v>
      </c>
      <c r="C180" s="345">
        <v>64000</v>
      </c>
      <c r="D180" s="343">
        <v>2000</v>
      </c>
      <c r="E180" s="343">
        <v>64000</v>
      </c>
      <c r="F180" s="346">
        <v>5000</v>
      </c>
      <c r="G180" s="344"/>
    </row>
    <row r="181" spans="1:7" x14ac:dyDescent="0.15">
      <c r="A181" s="343">
        <v>180</v>
      </c>
      <c r="B181" s="344" t="s">
        <v>634</v>
      </c>
      <c r="C181" s="345">
        <v>8050</v>
      </c>
      <c r="D181" s="343">
        <v>2000</v>
      </c>
      <c r="E181" s="343">
        <v>19600</v>
      </c>
      <c r="F181" s="346">
        <v>7150</v>
      </c>
      <c r="G181" s="344"/>
    </row>
    <row r="182" spans="1:7" x14ac:dyDescent="0.15">
      <c r="A182" s="343">
        <v>181</v>
      </c>
      <c r="B182" s="344" t="s">
        <v>3706</v>
      </c>
      <c r="C182" s="345">
        <v>17500</v>
      </c>
      <c r="D182" s="343">
        <v>2000</v>
      </c>
      <c r="E182" s="343">
        <v>28000</v>
      </c>
      <c r="F182" s="346">
        <v>3500</v>
      </c>
      <c r="G182" s="344"/>
    </row>
    <row r="183" spans="1:7" x14ac:dyDescent="0.15">
      <c r="A183" s="343">
        <v>182</v>
      </c>
      <c r="B183" s="344" t="s">
        <v>3707</v>
      </c>
      <c r="C183" s="345">
        <v>7525</v>
      </c>
      <c r="D183" s="343">
        <v>2000</v>
      </c>
      <c r="E183" s="343">
        <v>7525</v>
      </c>
      <c r="F183" s="346">
        <v>3500</v>
      </c>
      <c r="G183" s="344"/>
    </row>
    <row r="184" spans="1:7" x14ac:dyDescent="0.15">
      <c r="A184" s="343">
        <v>183</v>
      </c>
      <c r="B184" s="344" t="s">
        <v>3708</v>
      </c>
      <c r="C184" s="345">
        <v>30400</v>
      </c>
      <c r="D184" s="343">
        <v>2000</v>
      </c>
      <c r="E184" s="343">
        <v>88000</v>
      </c>
      <c r="F184" s="346">
        <v>3500</v>
      </c>
      <c r="G184" s="344"/>
    </row>
    <row r="185" spans="1:7" x14ac:dyDescent="0.15">
      <c r="A185" s="343">
        <v>184</v>
      </c>
      <c r="B185" s="344" t="s">
        <v>3709</v>
      </c>
      <c r="C185" s="345">
        <v>138400</v>
      </c>
      <c r="D185" s="343">
        <v>2000</v>
      </c>
      <c r="E185" s="343">
        <v>138400</v>
      </c>
      <c r="F185" s="346">
        <v>3500</v>
      </c>
      <c r="G185" s="344"/>
    </row>
    <row r="186" spans="1:7" x14ac:dyDescent="0.15">
      <c r="A186" s="343">
        <v>185</v>
      </c>
      <c r="B186" s="344" t="s">
        <v>3710</v>
      </c>
      <c r="C186" s="345">
        <v>14000</v>
      </c>
      <c r="D186" s="343">
        <v>2000</v>
      </c>
      <c r="E186" s="343">
        <v>14000</v>
      </c>
      <c r="F186" s="346">
        <v>5000</v>
      </c>
      <c r="G186" s="344"/>
    </row>
    <row r="187" spans="1:7" x14ac:dyDescent="0.15">
      <c r="A187" s="343">
        <v>186</v>
      </c>
      <c r="B187" s="344" t="s">
        <v>3711</v>
      </c>
      <c r="C187" s="345">
        <v>8000</v>
      </c>
      <c r="D187" s="343">
        <v>2000</v>
      </c>
      <c r="E187" s="343">
        <v>40800</v>
      </c>
      <c r="F187" s="346">
        <v>3500</v>
      </c>
      <c r="G187" s="344"/>
    </row>
    <row r="188" spans="1:7" x14ac:dyDescent="0.15">
      <c r="A188" s="343">
        <v>188</v>
      </c>
      <c r="B188" s="344" t="s">
        <v>3712</v>
      </c>
      <c r="C188" s="345">
        <v>240000</v>
      </c>
      <c r="D188" s="343">
        <v>2000</v>
      </c>
      <c r="E188" s="343">
        <v>240000</v>
      </c>
      <c r="F188" s="346">
        <v>20000</v>
      </c>
      <c r="G188" s="344"/>
    </row>
    <row r="189" spans="1:7" x14ac:dyDescent="0.15">
      <c r="A189" s="343">
        <v>189</v>
      </c>
      <c r="B189" s="344" t="s">
        <v>3713</v>
      </c>
      <c r="C189" s="345">
        <v>200000</v>
      </c>
      <c r="D189" s="343">
        <v>2000</v>
      </c>
      <c r="E189" s="343">
        <v>200000</v>
      </c>
      <c r="F189" s="346">
        <v>7150</v>
      </c>
      <c r="G189" s="344"/>
    </row>
    <row r="190" spans="1:7" x14ac:dyDescent="0.15">
      <c r="A190" s="343">
        <v>190</v>
      </c>
      <c r="B190" s="344" t="s">
        <v>3714</v>
      </c>
      <c r="C190" s="345">
        <v>37100</v>
      </c>
      <c r="D190" s="343">
        <v>2000</v>
      </c>
      <c r="E190" s="343">
        <v>178500</v>
      </c>
      <c r="F190" s="346">
        <v>64000</v>
      </c>
      <c r="G190" s="344"/>
    </row>
    <row r="191" spans="1:7" x14ac:dyDescent="0.15">
      <c r="A191" s="343">
        <v>191</v>
      </c>
      <c r="B191" s="344" t="s">
        <v>3715</v>
      </c>
      <c r="C191" s="345">
        <v>48000</v>
      </c>
      <c r="D191" s="343">
        <v>2000</v>
      </c>
      <c r="E191" s="343">
        <v>104000</v>
      </c>
      <c r="F191" s="346">
        <v>36000</v>
      </c>
      <c r="G191" s="344"/>
    </row>
    <row r="192" spans="1:7" x14ac:dyDescent="0.15">
      <c r="A192" s="343">
        <v>192</v>
      </c>
      <c r="B192" s="344" t="s">
        <v>3716</v>
      </c>
      <c r="C192" s="345">
        <v>41300</v>
      </c>
      <c r="D192" s="343">
        <v>2000</v>
      </c>
      <c r="E192" s="343">
        <v>72800</v>
      </c>
      <c r="F192" s="346">
        <v>10000</v>
      </c>
      <c r="G192" s="344"/>
    </row>
    <row r="193" spans="1:7" x14ac:dyDescent="0.15">
      <c r="A193" s="343">
        <v>193</v>
      </c>
      <c r="B193" s="344" t="s">
        <v>3717</v>
      </c>
      <c r="C193" s="345">
        <v>158900</v>
      </c>
      <c r="D193" s="343">
        <v>2000</v>
      </c>
      <c r="E193" s="343">
        <v>158900</v>
      </c>
      <c r="F193" s="346">
        <v>2450</v>
      </c>
      <c r="G193" s="344"/>
    </row>
    <row r="194" spans="1:7" x14ac:dyDescent="0.15">
      <c r="A194" s="343">
        <v>194</v>
      </c>
      <c r="B194" s="344" t="s">
        <v>3718</v>
      </c>
      <c r="C194" s="345">
        <v>254100</v>
      </c>
      <c r="D194" s="343">
        <v>2000</v>
      </c>
      <c r="E194" s="343">
        <v>254100</v>
      </c>
      <c r="F194" s="346">
        <v>14000</v>
      </c>
      <c r="G194" s="344"/>
    </row>
    <row r="195" spans="1:7" x14ac:dyDescent="0.15">
      <c r="A195" s="343">
        <v>195</v>
      </c>
      <c r="B195" s="344" t="s">
        <v>3719</v>
      </c>
      <c r="C195" s="345">
        <v>24000</v>
      </c>
      <c r="D195" s="343">
        <v>2000</v>
      </c>
      <c r="E195" s="343">
        <v>24000</v>
      </c>
      <c r="F195" s="346">
        <v>36000</v>
      </c>
      <c r="G195" s="344"/>
    </row>
    <row r="196" spans="1:7" x14ac:dyDescent="0.15">
      <c r="A196" s="343">
        <v>196</v>
      </c>
      <c r="B196" s="344" t="s">
        <v>3720</v>
      </c>
      <c r="C196" s="345">
        <v>140000</v>
      </c>
      <c r="D196" s="343">
        <v>2000</v>
      </c>
      <c r="E196" s="343">
        <v>140000</v>
      </c>
      <c r="F196" s="346">
        <v>3500</v>
      </c>
      <c r="G196" s="344"/>
    </row>
    <row r="197" spans="1:7" x14ac:dyDescent="0.15">
      <c r="A197" s="343">
        <v>197</v>
      </c>
      <c r="B197" s="344" t="s">
        <v>643</v>
      </c>
      <c r="C197" s="345">
        <v>104000</v>
      </c>
      <c r="D197" s="343">
        <v>2000</v>
      </c>
      <c r="E197" s="343">
        <v>112000</v>
      </c>
      <c r="F197" s="346">
        <v>14000</v>
      </c>
      <c r="G197" s="344"/>
    </row>
    <row r="198" spans="1:7" x14ac:dyDescent="0.15">
      <c r="A198" s="343">
        <v>198</v>
      </c>
      <c r="B198" s="344" t="s">
        <v>3721</v>
      </c>
      <c r="C198" s="345">
        <v>96000</v>
      </c>
      <c r="D198" s="343">
        <v>2000</v>
      </c>
      <c r="E198" s="343">
        <v>96000</v>
      </c>
      <c r="F198" s="346">
        <v>14000</v>
      </c>
      <c r="G198" s="344"/>
    </row>
    <row r="199" spans="1:7" x14ac:dyDescent="0.15">
      <c r="A199" s="343">
        <v>199</v>
      </c>
      <c r="B199" s="344" t="s">
        <v>3722</v>
      </c>
      <c r="C199" s="345">
        <v>17500</v>
      </c>
      <c r="D199" s="343">
        <v>2000</v>
      </c>
      <c r="E199" s="343">
        <v>17500</v>
      </c>
      <c r="F199" s="346">
        <v>36000</v>
      </c>
      <c r="G199" s="344"/>
    </row>
    <row r="200" spans="1:7" x14ac:dyDescent="0.15">
      <c r="A200" s="343">
        <v>200</v>
      </c>
      <c r="B200" s="344" t="s">
        <v>3723</v>
      </c>
      <c r="C200" s="345">
        <v>70000</v>
      </c>
      <c r="D200" s="343">
        <v>2000</v>
      </c>
      <c r="E200" s="343">
        <v>70000</v>
      </c>
      <c r="F200" s="346">
        <v>36000</v>
      </c>
      <c r="G200" s="344"/>
    </row>
    <row r="201" spans="1:7" x14ac:dyDescent="0.15">
      <c r="A201" s="343">
        <v>201</v>
      </c>
      <c r="B201" s="344" t="s">
        <v>3724</v>
      </c>
      <c r="C201" s="345">
        <v>21000</v>
      </c>
      <c r="D201" s="343">
        <v>2000</v>
      </c>
      <c r="E201" s="343">
        <v>21000</v>
      </c>
      <c r="F201" s="346">
        <v>36000</v>
      </c>
      <c r="G201" s="344"/>
    </row>
    <row r="202" spans="1:7" x14ac:dyDescent="0.15">
      <c r="A202" s="343">
        <v>203</v>
      </c>
      <c r="B202" s="344" t="s">
        <v>3725</v>
      </c>
      <c r="C202" s="345">
        <v>12000</v>
      </c>
      <c r="D202" s="343">
        <v>2000</v>
      </c>
      <c r="E202" s="343">
        <v>12000</v>
      </c>
      <c r="F202" s="346">
        <v>7125</v>
      </c>
      <c r="G202" s="344"/>
    </row>
    <row r="203" spans="1:7" x14ac:dyDescent="0.15">
      <c r="A203" s="343">
        <v>204</v>
      </c>
      <c r="B203" s="344" t="s">
        <v>3726</v>
      </c>
      <c r="C203" s="345">
        <v>3600</v>
      </c>
      <c r="D203" s="343">
        <v>2000</v>
      </c>
      <c r="E203" s="343">
        <v>3600</v>
      </c>
      <c r="F203" s="346">
        <v>64000</v>
      </c>
      <c r="G203" s="344"/>
    </row>
    <row r="204" spans="1:7" x14ac:dyDescent="0.15">
      <c r="A204" s="343">
        <v>205</v>
      </c>
      <c r="B204" s="344" t="s">
        <v>3727</v>
      </c>
      <c r="C204" s="345">
        <v>10150</v>
      </c>
      <c r="D204" s="343">
        <v>2000</v>
      </c>
      <c r="E204" s="343">
        <v>10150</v>
      </c>
      <c r="F204" s="346">
        <v>64000</v>
      </c>
      <c r="G204" s="344"/>
    </row>
    <row r="205" spans="1:7" x14ac:dyDescent="0.15">
      <c r="A205" s="343">
        <v>206</v>
      </c>
      <c r="B205" s="344" t="s">
        <v>3728</v>
      </c>
      <c r="C205" s="345">
        <v>2800</v>
      </c>
      <c r="D205" s="343">
        <v>2000</v>
      </c>
      <c r="E205" s="343">
        <v>2800</v>
      </c>
      <c r="F205" s="346">
        <v>64000</v>
      </c>
      <c r="G205" s="344"/>
    </row>
    <row r="206" spans="1:7" x14ac:dyDescent="0.15">
      <c r="A206" s="343">
        <v>207</v>
      </c>
      <c r="B206" s="344" t="s">
        <v>3729</v>
      </c>
      <c r="C206" s="345">
        <v>2660</v>
      </c>
      <c r="D206" s="343">
        <v>2000</v>
      </c>
      <c r="E206" s="343">
        <v>2660</v>
      </c>
      <c r="F206" s="346">
        <v>64000</v>
      </c>
      <c r="G206" s="344"/>
    </row>
    <row r="207" spans="1:7" x14ac:dyDescent="0.15">
      <c r="A207" s="343">
        <v>208</v>
      </c>
      <c r="B207" s="344" t="s">
        <v>3730</v>
      </c>
      <c r="C207" s="345">
        <v>4200</v>
      </c>
      <c r="D207" s="343">
        <v>2000</v>
      </c>
      <c r="E207" s="343">
        <v>4200</v>
      </c>
      <c r="F207" s="346">
        <v>64000</v>
      </c>
      <c r="G207" s="344"/>
    </row>
    <row r="208" spans="1:7" x14ac:dyDescent="0.15">
      <c r="A208" s="343">
        <v>209</v>
      </c>
      <c r="B208" s="344" t="s">
        <v>3731</v>
      </c>
      <c r="C208" s="345">
        <v>2800</v>
      </c>
      <c r="D208" s="343">
        <v>2000</v>
      </c>
      <c r="E208" s="343">
        <v>3150</v>
      </c>
      <c r="F208" s="346">
        <v>64000</v>
      </c>
      <c r="G208" s="344"/>
    </row>
    <row r="209" spans="1:7" x14ac:dyDescent="0.15">
      <c r="A209" s="343">
        <v>210</v>
      </c>
      <c r="B209" s="344" t="s">
        <v>3732</v>
      </c>
      <c r="C209" s="345">
        <v>2800</v>
      </c>
      <c r="D209" s="343">
        <v>2000</v>
      </c>
      <c r="E209" s="343">
        <v>5250</v>
      </c>
      <c r="F209" s="346">
        <v>64000</v>
      </c>
      <c r="G209" s="344"/>
    </row>
    <row r="210" spans="1:7" x14ac:dyDescent="0.15">
      <c r="A210" s="343">
        <v>211</v>
      </c>
      <c r="B210" s="344" t="s">
        <v>3733</v>
      </c>
      <c r="C210" s="345">
        <v>3150</v>
      </c>
      <c r="D210" s="343">
        <v>2000</v>
      </c>
      <c r="E210" s="343">
        <v>3150</v>
      </c>
      <c r="F210" s="346">
        <v>64000</v>
      </c>
      <c r="G210" s="344"/>
    </row>
    <row r="211" spans="1:7" x14ac:dyDescent="0.15">
      <c r="A211" s="343">
        <v>212</v>
      </c>
      <c r="B211" s="344" t="s">
        <v>3734</v>
      </c>
      <c r="C211" s="345">
        <v>3150</v>
      </c>
      <c r="D211" s="343">
        <v>2000</v>
      </c>
      <c r="E211" s="343">
        <v>3500</v>
      </c>
      <c r="F211" s="346">
        <v>64000</v>
      </c>
      <c r="G211" s="344"/>
    </row>
    <row r="212" spans="1:7" x14ac:dyDescent="0.15">
      <c r="A212" s="343">
        <v>213</v>
      </c>
      <c r="B212" s="344" t="s">
        <v>3735</v>
      </c>
      <c r="C212" s="345">
        <v>5621</v>
      </c>
      <c r="D212" s="343">
        <v>2000</v>
      </c>
      <c r="E212" s="343">
        <v>5621</v>
      </c>
      <c r="F212" s="346">
        <v>64000</v>
      </c>
      <c r="G212" s="344"/>
    </row>
    <row r="213" spans="1:7" x14ac:dyDescent="0.15">
      <c r="A213" s="343">
        <v>214</v>
      </c>
      <c r="B213" s="344" t="s">
        <v>3736</v>
      </c>
      <c r="C213" s="345">
        <v>1155</v>
      </c>
      <c r="D213" s="343">
        <v>2000</v>
      </c>
      <c r="E213" s="343">
        <v>1400</v>
      </c>
      <c r="F213" s="346">
        <v>64000</v>
      </c>
      <c r="G213" s="344"/>
    </row>
    <row r="214" spans="1:7" x14ac:dyDescent="0.15">
      <c r="A214" s="343">
        <v>215</v>
      </c>
      <c r="B214" s="344" t="s">
        <v>3737</v>
      </c>
      <c r="C214" s="345">
        <v>1400</v>
      </c>
      <c r="D214" s="343">
        <v>2000</v>
      </c>
      <c r="E214" s="343">
        <v>1400</v>
      </c>
      <c r="F214" s="346">
        <v>64000</v>
      </c>
      <c r="G214" s="344"/>
    </row>
    <row r="215" spans="1:7" x14ac:dyDescent="0.15">
      <c r="A215" s="343">
        <v>216</v>
      </c>
      <c r="B215" s="344" t="s">
        <v>3738</v>
      </c>
      <c r="C215" s="345">
        <v>4760</v>
      </c>
      <c r="D215" s="343">
        <v>2000</v>
      </c>
      <c r="E215" s="343">
        <v>8400</v>
      </c>
      <c r="F215" s="346">
        <v>64000</v>
      </c>
      <c r="G215" s="344"/>
    </row>
    <row r="216" spans="1:7" x14ac:dyDescent="0.15">
      <c r="A216" s="343">
        <v>217</v>
      </c>
      <c r="B216" s="344" t="s">
        <v>3739</v>
      </c>
      <c r="C216" s="345">
        <v>525</v>
      </c>
      <c r="D216" s="343">
        <v>2000</v>
      </c>
      <c r="E216" s="343">
        <v>525</v>
      </c>
      <c r="F216" s="346">
        <v>64000</v>
      </c>
      <c r="G216" s="344"/>
    </row>
    <row r="217" spans="1:7" x14ac:dyDescent="0.15">
      <c r="A217" s="343">
        <v>218</v>
      </c>
      <c r="B217" s="344" t="s">
        <v>3740</v>
      </c>
      <c r="C217" s="345">
        <v>2450</v>
      </c>
      <c r="D217" s="343">
        <v>2000</v>
      </c>
      <c r="E217" s="343">
        <v>2450</v>
      </c>
      <c r="F217" s="346">
        <v>64000</v>
      </c>
      <c r="G217" s="344"/>
    </row>
    <row r="218" spans="1:7" x14ac:dyDescent="0.15">
      <c r="A218" s="343">
        <v>219</v>
      </c>
      <c r="B218" s="344" t="s">
        <v>565</v>
      </c>
      <c r="C218" s="345">
        <v>1050</v>
      </c>
      <c r="D218" s="343">
        <v>2000</v>
      </c>
      <c r="E218" s="343">
        <v>1050</v>
      </c>
      <c r="F218" s="346">
        <v>64000</v>
      </c>
      <c r="G218" s="344"/>
    </row>
    <row r="219" spans="1:7" x14ac:dyDescent="0.15">
      <c r="A219" s="343">
        <v>220</v>
      </c>
      <c r="B219" s="344" t="s">
        <v>3741</v>
      </c>
      <c r="C219" s="345">
        <v>1400</v>
      </c>
      <c r="D219" s="343">
        <v>2000</v>
      </c>
      <c r="E219" s="343">
        <v>1400</v>
      </c>
      <c r="F219" s="346">
        <v>64000</v>
      </c>
      <c r="G219" s="344"/>
    </row>
    <row r="220" spans="1:7" x14ac:dyDescent="0.15">
      <c r="A220" s="343">
        <v>221</v>
      </c>
      <c r="B220" s="344" t="s">
        <v>3742</v>
      </c>
      <c r="C220" s="345">
        <v>560</v>
      </c>
      <c r="D220" s="343">
        <v>2000</v>
      </c>
      <c r="E220" s="343">
        <v>560</v>
      </c>
      <c r="F220" s="346">
        <v>64000</v>
      </c>
      <c r="G220" s="344"/>
    </row>
    <row r="221" spans="1:7" x14ac:dyDescent="0.15">
      <c r="A221" s="343">
        <v>222</v>
      </c>
      <c r="B221" s="344" t="s">
        <v>3743</v>
      </c>
      <c r="C221" s="345">
        <v>7000</v>
      </c>
      <c r="D221" s="343">
        <v>2000</v>
      </c>
      <c r="E221" s="343">
        <v>17500</v>
      </c>
      <c r="F221" s="346">
        <v>36000</v>
      </c>
      <c r="G221" s="344"/>
    </row>
    <row r="222" spans="1:7" x14ac:dyDescent="0.15">
      <c r="A222" s="343">
        <v>223</v>
      </c>
      <c r="B222" s="344" t="s">
        <v>3744</v>
      </c>
      <c r="C222" s="345">
        <v>2100</v>
      </c>
      <c r="D222" s="343">
        <v>2000</v>
      </c>
      <c r="E222" s="343">
        <v>2100</v>
      </c>
      <c r="F222" s="346">
        <v>64000</v>
      </c>
      <c r="G222" s="344"/>
    </row>
    <row r="223" spans="1:7" x14ac:dyDescent="0.15">
      <c r="A223" s="343">
        <v>224</v>
      </c>
      <c r="B223" s="344" t="s">
        <v>3745</v>
      </c>
      <c r="C223" s="345">
        <v>1750</v>
      </c>
      <c r="D223" s="343">
        <v>2000</v>
      </c>
      <c r="E223" s="343">
        <v>1750</v>
      </c>
      <c r="F223" s="346">
        <v>64000</v>
      </c>
      <c r="G223" s="344"/>
    </row>
    <row r="224" spans="1:7" x14ac:dyDescent="0.15">
      <c r="A224" s="343">
        <v>225</v>
      </c>
      <c r="B224" s="344" t="s">
        <v>3746</v>
      </c>
      <c r="C224" s="345">
        <v>980</v>
      </c>
      <c r="D224" s="343">
        <v>2000</v>
      </c>
      <c r="E224" s="343">
        <v>980</v>
      </c>
      <c r="F224" s="346">
        <v>64000</v>
      </c>
      <c r="G224" s="344"/>
    </row>
    <row r="225" spans="1:7" x14ac:dyDescent="0.15">
      <c r="A225" s="343">
        <v>226</v>
      </c>
      <c r="B225" s="344" t="s">
        <v>3747</v>
      </c>
      <c r="C225" s="345">
        <v>4200</v>
      </c>
      <c r="D225" s="343">
        <v>2000</v>
      </c>
      <c r="E225" s="343">
        <v>4200</v>
      </c>
      <c r="F225" s="346">
        <v>64000</v>
      </c>
      <c r="G225" s="344"/>
    </row>
    <row r="226" spans="1:7" x14ac:dyDescent="0.15">
      <c r="A226" s="343">
        <v>227</v>
      </c>
      <c r="B226" s="344" t="s">
        <v>3748</v>
      </c>
      <c r="C226" s="345">
        <v>1470</v>
      </c>
      <c r="D226" s="343">
        <v>2000</v>
      </c>
      <c r="E226" s="343">
        <v>1470</v>
      </c>
      <c r="F226" s="346">
        <v>64000</v>
      </c>
      <c r="G226" s="344"/>
    </row>
    <row r="227" spans="1:7" x14ac:dyDescent="0.15">
      <c r="A227" s="343">
        <v>228</v>
      </c>
      <c r="B227" s="344" t="s">
        <v>3749</v>
      </c>
      <c r="C227" s="345">
        <v>3500</v>
      </c>
      <c r="D227" s="343">
        <v>2000</v>
      </c>
      <c r="E227" s="343">
        <v>3500</v>
      </c>
      <c r="F227" s="346">
        <v>64000</v>
      </c>
      <c r="G227" s="344"/>
    </row>
    <row r="228" spans="1:7" x14ac:dyDescent="0.15">
      <c r="A228" s="343">
        <v>229</v>
      </c>
      <c r="B228" s="344" t="s">
        <v>3750</v>
      </c>
      <c r="C228" s="345">
        <v>4000</v>
      </c>
      <c r="D228" s="343">
        <v>2000</v>
      </c>
      <c r="E228" s="343">
        <v>128000</v>
      </c>
      <c r="F228" s="346">
        <v>14000</v>
      </c>
      <c r="G228" s="344"/>
    </row>
    <row r="229" spans="1:7" x14ac:dyDescent="0.15">
      <c r="A229" s="343">
        <v>230</v>
      </c>
      <c r="B229" s="344" t="s">
        <v>3751</v>
      </c>
      <c r="C229" s="345">
        <v>8000</v>
      </c>
      <c r="D229" s="343">
        <v>2000</v>
      </c>
      <c r="E229" s="343">
        <v>48000</v>
      </c>
      <c r="F229" s="346">
        <v>36000</v>
      </c>
      <c r="G229" s="344"/>
    </row>
    <row r="230" spans="1:7" x14ac:dyDescent="0.15">
      <c r="A230" s="343">
        <v>231</v>
      </c>
      <c r="B230" s="344" t="s">
        <v>3752</v>
      </c>
      <c r="C230" s="345">
        <v>4800</v>
      </c>
      <c r="D230" s="343">
        <v>2000</v>
      </c>
      <c r="E230" s="343">
        <v>96000</v>
      </c>
      <c r="F230" s="346">
        <v>10000</v>
      </c>
      <c r="G230" s="344"/>
    </row>
    <row r="231" spans="1:7" x14ac:dyDescent="0.15">
      <c r="A231" s="343">
        <v>232</v>
      </c>
      <c r="B231" s="344" t="s">
        <v>3753</v>
      </c>
      <c r="C231" s="345">
        <v>40000</v>
      </c>
      <c r="D231" s="343">
        <v>2000</v>
      </c>
      <c r="E231" s="343">
        <v>40000</v>
      </c>
      <c r="F231" s="346">
        <v>14000</v>
      </c>
      <c r="G231" s="344"/>
    </row>
    <row r="232" spans="1:7" x14ac:dyDescent="0.15">
      <c r="A232" s="343">
        <v>233</v>
      </c>
      <c r="B232" s="344" t="s">
        <v>3754</v>
      </c>
      <c r="C232" s="345">
        <v>28000</v>
      </c>
      <c r="D232" s="343">
        <v>2000</v>
      </c>
      <c r="E232" s="343">
        <v>28000</v>
      </c>
      <c r="F232" s="346">
        <v>14000</v>
      </c>
      <c r="G232" s="344"/>
    </row>
    <row r="233" spans="1:7" x14ac:dyDescent="0.15">
      <c r="A233" s="343">
        <v>234</v>
      </c>
      <c r="B233" s="344" t="s">
        <v>3755</v>
      </c>
      <c r="C233" s="345">
        <v>14000</v>
      </c>
      <c r="D233" s="343">
        <v>2000</v>
      </c>
      <c r="E233" s="343">
        <v>14000</v>
      </c>
      <c r="F233" s="346">
        <v>20000</v>
      </c>
      <c r="G233" s="344"/>
    </row>
    <row r="234" spans="1:7" x14ac:dyDescent="0.15">
      <c r="A234" s="343">
        <v>235</v>
      </c>
      <c r="B234" s="344" t="s">
        <v>3756</v>
      </c>
      <c r="C234" s="345">
        <v>48000</v>
      </c>
      <c r="D234" s="343">
        <v>2000</v>
      </c>
      <c r="E234" s="343">
        <v>68000</v>
      </c>
      <c r="F234" s="346">
        <v>14000</v>
      </c>
      <c r="G234" s="344"/>
    </row>
    <row r="235" spans="1:7" x14ac:dyDescent="0.15">
      <c r="A235" s="343">
        <v>236</v>
      </c>
      <c r="B235" s="344" t="s">
        <v>3757</v>
      </c>
      <c r="C235" s="345">
        <v>88000</v>
      </c>
      <c r="D235" s="343">
        <v>2000</v>
      </c>
      <c r="E235" s="343">
        <v>128000</v>
      </c>
      <c r="F235" s="346">
        <v>27000</v>
      </c>
      <c r="G235" s="344"/>
    </row>
    <row r="236" spans="1:7" x14ac:dyDescent="0.15">
      <c r="A236" s="343">
        <v>237</v>
      </c>
      <c r="B236" s="344" t="s">
        <v>3758</v>
      </c>
      <c r="C236" s="345">
        <v>136000</v>
      </c>
      <c r="D236" s="343">
        <v>2000</v>
      </c>
      <c r="E236" s="343">
        <v>136000</v>
      </c>
      <c r="F236" s="346">
        <v>10000</v>
      </c>
      <c r="G236" s="344"/>
    </row>
    <row r="237" spans="1:7" x14ac:dyDescent="0.15">
      <c r="A237" s="343">
        <v>238</v>
      </c>
      <c r="B237" s="344" t="s">
        <v>3759</v>
      </c>
      <c r="C237" s="345">
        <v>8000</v>
      </c>
      <c r="D237" s="343">
        <v>2000</v>
      </c>
      <c r="E237" s="343">
        <v>16000</v>
      </c>
      <c r="F237" s="346">
        <v>14000</v>
      </c>
      <c r="G237" s="344"/>
    </row>
    <row r="238" spans="1:7" x14ac:dyDescent="0.15">
      <c r="A238" s="343">
        <v>239</v>
      </c>
      <c r="B238" s="344" t="s">
        <v>3760</v>
      </c>
      <c r="C238" s="345">
        <v>105000</v>
      </c>
      <c r="D238" s="343">
        <v>2000</v>
      </c>
      <c r="E238" s="343">
        <v>175000</v>
      </c>
      <c r="F238" s="346">
        <v>14000</v>
      </c>
      <c r="G238" s="344"/>
    </row>
    <row r="239" spans="1:7" x14ac:dyDescent="0.15">
      <c r="A239" s="343">
        <v>240</v>
      </c>
      <c r="B239" s="344" t="s">
        <v>3761</v>
      </c>
      <c r="C239" s="345">
        <v>329000</v>
      </c>
      <c r="D239" s="343">
        <v>2000</v>
      </c>
      <c r="E239" s="343">
        <v>329000</v>
      </c>
      <c r="F239" s="346">
        <v>14000</v>
      </c>
      <c r="G239" s="344"/>
    </row>
    <row r="240" spans="1:7" x14ac:dyDescent="0.15">
      <c r="A240" s="343">
        <v>241</v>
      </c>
      <c r="B240" s="344" t="s">
        <v>3762</v>
      </c>
      <c r="C240" s="345">
        <v>350000</v>
      </c>
      <c r="D240" s="343">
        <v>2000</v>
      </c>
      <c r="E240" s="343">
        <v>350000</v>
      </c>
      <c r="F240" s="346">
        <v>14000</v>
      </c>
      <c r="G240" s="344"/>
    </row>
    <row r="241" spans="1:7" x14ac:dyDescent="0.15">
      <c r="A241" s="343">
        <v>242</v>
      </c>
      <c r="B241" s="344" t="s">
        <v>3763</v>
      </c>
      <c r="C241" s="345">
        <v>28000</v>
      </c>
      <c r="D241" s="343">
        <v>2000</v>
      </c>
      <c r="E241" s="343">
        <v>28000</v>
      </c>
      <c r="F241" s="346">
        <v>5000</v>
      </c>
      <c r="G241" s="344"/>
    </row>
    <row r="242" spans="1:7" x14ac:dyDescent="0.15">
      <c r="A242" s="343">
        <v>243</v>
      </c>
      <c r="B242" s="344" t="s">
        <v>3764</v>
      </c>
      <c r="C242" s="345">
        <v>10500</v>
      </c>
      <c r="D242" s="343">
        <v>2000</v>
      </c>
      <c r="E242" s="343">
        <v>10500</v>
      </c>
      <c r="F242" s="346">
        <v>2450</v>
      </c>
      <c r="G242" s="344"/>
    </row>
    <row r="243" spans="1:7" x14ac:dyDescent="0.15">
      <c r="A243" s="343">
        <v>244</v>
      </c>
      <c r="B243" s="344" t="s">
        <v>656</v>
      </c>
      <c r="C243" s="345">
        <v>70000</v>
      </c>
      <c r="D243" s="343">
        <v>2000</v>
      </c>
      <c r="E243" s="343">
        <v>178300</v>
      </c>
      <c r="F243" s="346">
        <v>5000</v>
      </c>
      <c r="G243" s="344"/>
    </row>
    <row r="244" spans="1:7" x14ac:dyDescent="0.15">
      <c r="A244" s="343">
        <v>245</v>
      </c>
      <c r="B244" s="344" t="s">
        <v>3765</v>
      </c>
      <c r="C244" s="345">
        <v>34400</v>
      </c>
      <c r="D244" s="343">
        <v>2000</v>
      </c>
      <c r="E244" s="343">
        <v>224000</v>
      </c>
      <c r="F244" s="346">
        <v>14000</v>
      </c>
      <c r="G244" s="344"/>
    </row>
    <row r="245" spans="1:7" x14ac:dyDescent="0.15">
      <c r="A245" s="343">
        <v>246</v>
      </c>
      <c r="B245" s="344" t="s">
        <v>3766</v>
      </c>
      <c r="C245" s="345">
        <v>9600</v>
      </c>
      <c r="D245" s="343">
        <v>2000</v>
      </c>
      <c r="E245" s="343">
        <v>124000</v>
      </c>
      <c r="F245" s="346">
        <v>14000</v>
      </c>
      <c r="G245" s="344"/>
    </row>
    <row r="246" spans="1:7" x14ac:dyDescent="0.15">
      <c r="A246" s="343">
        <v>247</v>
      </c>
      <c r="B246" s="344" t="s">
        <v>3767</v>
      </c>
      <c r="C246" s="345">
        <v>8000</v>
      </c>
      <c r="D246" s="343">
        <v>2000</v>
      </c>
      <c r="E246" s="343">
        <v>32000</v>
      </c>
      <c r="F246" s="346">
        <v>5000</v>
      </c>
      <c r="G246" s="344"/>
    </row>
    <row r="247" spans="1:7" x14ac:dyDescent="0.15">
      <c r="A247" s="343">
        <v>248</v>
      </c>
      <c r="B247" s="344" t="s">
        <v>3768</v>
      </c>
      <c r="C247" s="345">
        <v>280000</v>
      </c>
      <c r="D247" s="343">
        <v>2000</v>
      </c>
      <c r="E247" s="343">
        <v>280000</v>
      </c>
      <c r="F247" s="346">
        <v>14000</v>
      </c>
      <c r="G247" s="344"/>
    </row>
    <row r="248" spans="1:7" x14ac:dyDescent="0.15">
      <c r="A248" s="343">
        <v>249</v>
      </c>
      <c r="B248" s="344" t="s">
        <v>3769</v>
      </c>
      <c r="C248" s="345">
        <v>136000</v>
      </c>
      <c r="D248" s="343">
        <v>2000</v>
      </c>
      <c r="E248" s="343">
        <v>136000</v>
      </c>
      <c r="F248" s="346">
        <v>3500</v>
      </c>
      <c r="G248" s="344"/>
    </row>
    <row r="249" spans="1:7" x14ac:dyDescent="0.15">
      <c r="A249" s="343">
        <v>250</v>
      </c>
      <c r="B249" s="344" t="s">
        <v>3770</v>
      </c>
      <c r="C249" s="345">
        <v>175000</v>
      </c>
      <c r="D249" s="343">
        <v>2000</v>
      </c>
      <c r="E249" s="343">
        <v>175000</v>
      </c>
      <c r="F249" s="346">
        <v>5000</v>
      </c>
      <c r="G249" s="344"/>
    </row>
    <row r="250" spans="1:7" x14ac:dyDescent="0.15">
      <c r="A250" s="343">
        <v>251</v>
      </c>
      <c r="B250" s="344" t="s">
        <v>662</v>
      </c>
      <c r="C250" s="345">
        <v>64000</v>
      </c>
      <c r="D250" s="343">
        <v>2000</v>
      </c>
      <c r="E250" s="343">
        <v>64000</v>
      </c>
      <c r="F250" s="346">
        <v>3500</v>
      </c>
      <c r="G250" s="344"/>
    </row>
    <row r="251" spans="1:7" x14ac:dyDescent="0.15">
      <c r="A251" s="343">
        <v>252</v>
      </c>
      <c r="B251" s="344" t="s">
        <v>3771</v>
      </c>
      <c r="C251" s="345">
        <v>16000</v>
      </c>
      <c r="D251" s="343">
        <v>2000</v>
      </c>
      <c r="E251" s="343">
        <v>240000</v>
      </c>
      <c r="F251" s="346">
        <v>3500</v>
      </c>
      <c r="G251" s="344"/>
    </row>
    <row r="252" spans="1:7" x14ac:dyDescent="0.15">
      <c r="A252" s="343">
        <v>253</v>
      </c>
      <c r="B252" s="344" t="s">
        <v>3772</v>
      </c>
      <c r="C252" s="345">
        <v>70000</v>
      </c>
      <c r="D252" s="343">
        <v>2000</v>
      </c>
      <c r="E252" s="343">
        <v>70000</v>
      </c>
      <c r="F252" s="346">
        <v>10000</v>
      </c>
      <c r="G252" s="344"/>
    </row>
    <row r="253" spans="1:7" x14ac:dyDescent="0.15">
      <c r="A253" s="343">
        <v>254</v>
      </c>
      <c r="B253" s="344" t="s">
        <v>3773</v>
      </c>
      <c r="C253" s="345">
        <v>64000</v>
      </c>
      <c r="D253" s="343">
        <v>2000</v>
      </c>
      <c r="E253" s="343">
        <v>64000</v>
      </c>
      <c r="F253" s="346">
        <v>5000</v>
      </c>
      <c r="G253" s="344"/>
    </row>
    <row r="254" spans="1:7" x14ac:dyDescent="0.15">
      <c r="A254" s="343">
        <v>257</v>
      </c>
      <c r="B254" s="344" t="s">
        <v>3075</v>
      </c>
      <c r="C254" s="345">
        <v>31500</v>
      </c>
      <c r="D254" s="343">
        <v>2000</v>
      </c>
      <c r="E254" s="343">
        <v>59500</v>
      </c>
      <c r="F254" s="346">
        <v>10000</v>
      </c>
      <c r="G254" s="344"/>
    </row>
    <row r="255" spans="1:7" x14ac:dyDescent="0.15">
      <c r="A255" s="343">
        <v>258</v>
      </c>
      <c r="B255" s="344" t="s">
        <v>3202</v>
      </c>
      <c r="C255" s="345">
        <v>81900</v>
      </c>
      <c r="D255" s="343">
        <v>2000</v>
      </c>
      <c r="E255" s="343">
        <v>81900</v>
      </c>
      <c r="F255" s="346">
        <v>20000</v>
      </c>
      <c r="G255" s="344"/>
    </row>
    <row r="256" spans="1:7" x14ac:dyDescent="0.15">
      <c r="A256" s="343">
        <v>259</v>
      </c>
      <c r="B256" s="344" t="s">
        <v>3076</v>
      </c>
      <c r="C256" s="345">
        <v>58500</v>
      </c>
      <c r="D256" s="343">
        <v>2000</v>
      </c>
      <c r="E256" s="343">
        <v>58500</v>
      </c>
      <c r="F256" s="346">
        <v>20000</v>
      </c>
      <c r="G256" s="344"/>
    </row>
    <row r="257" spans="1:7" x14ac:dyDescent="0.15">
      <c r="A257" s="343">
        <v>260</v>
      </c>
      <c r="B257" s="344" t="s">
        <v>3105</v>
      </c>
      <c r="C257" s="345">
        <v>77000</v>
      </c>
      <c r="D257" s="343">
        <v>2000</v>
      </c>
      <c r="E257" s="343">
        <v>77000</v>
      </c>
      <c r="F257" s="346">
        <v>10000</v>
      </c>
      <c r="G257" s="344"/>
    </row>
    <row r="258" spans="1:7" x14ac:dyDescent="0.15">
      <c r="A258" s="343">
        <v>261</v>
      </c>
      <c r="B258" s="344" t="s">
        <v>3774</v>
      </c>
      <c r="C258" s="345">
        <v>318500</v>
      </c>
      <c r="D258" s="343">
        <v>2000</v>
      </c>
      <c r="E258" s="343">
        <v>318500</v>
      </c>
      <c r="F258" s="346">
        <v>20000</v>
      </c>
      <c r="G258" s="344"/>
    </row>
    <row r="259" spans="1:7" x14ac:dyDescent="0.15">
      <c r="A259" s="343">
        <v>262</v>
      </c>
      <c r="B259" s="344" t="s">
        <v>3775</v>
      </c>
      <c r="C259" s="345">
        <v>21000</v>
      </c>
      <c r="D259" s="343">
        <v>2000</v>
      </c>
      <c r="E259" s="343">
        <v>21000</v>
      </c>
      <c r="F259" s="346">
        <v>5000</v>
      </c>
      <c r="G259" s="344"/>
    </row>
    <row r="260" spans="1:7" x14ac:dyDescent="0.15">
      <c r="A260" s="343">
        <v>263</v>
      </c>
      <c r="B260" s="344" t="s">
        <v>3776</v>
      </c>
      <c r="C260" s="345">
        <v>9800</v>
      </c>
      <c r="D260" s="343">
        <v>2000</v>
      </c>
      <c r="E260" s="343">
        <v>9800</v>
      </c>
      <c r="F260" s="346">
        <v>14000</v>
      </c>
      <c r="G260" s="344"/>
    </row>
    <row r="261" spans="1:7" x14ac:dyDescent="0.15">
      <c r="A261" s="343">
        <v>264</v>
      </c>
      <c r="B261" s="344" t="s">
        <v>3777</v>
      </c>
      <c r="C261" s="345">
        <v>280000</v>
      </c>
      <c r="D261" s="343">
        <v>2000</v>
      </c>
      <c r="E261" s="343">
        <v>280000</v>
      </c>
      <c r="F261" s="346">
        <v>1200</v>
      </c>
      <c r="G261" s="344"/>
    </row>
    <row r="262" spans="1:7" x14ac:dyDescent="0.15">
      <c r="A262" s="343">
        <v>265</v>
      </c>
      <c r="B262" s="344" t="s">
        <v>3778</v>
      </c>
      <c r="C262" s="345">
        <v>320000</v>
      </c>
      <c r="D262" s="343">
        <v>2000</v>
      </c>
      <c r="E262" s="343">
        <v>320000</v>
      </c>
      <c r="F262" s="346">
        <v>10000</v>
      </c>
      <c r="G262" s="344"/>
    </row>
    <row r="263" spans="1:7" x14ac:dyDescent="0.15">
      <c r="A263" s="343">
        <v>266</v>
      </c>
      <c r="B263" s="344" t="s">
        <v>3779</v>
      </c>
      <c r="C263" s="345">
        <v>35000</v>
      </c>
      <c r="D263" s="343">
        <v>2000</v>
      </c>
      <c r="E263" s="343">
        <v>35000</v>
      </c>
      <c r="F263" s="346">
        <v>82000</v>
      </c>
      <c r="G263" s="344"/>
    </row>
    <row r="264" spans="1:7" x14ac:dyDescent="0.15">
      <c r="A264" s="343">
        <v>267</v>
      </c>
      <c r="B264" s="344" t="s">
        <v>3780</v>
      </c>
      <c r="C264" s="345">
        <v>21000</v>
      </c>
      <c r="D264" s="343">
        <v>2000</v>
      </c>
      <c r="E264" s="343">
        <v>21000</v>
      </c>
      <c r="F264" s="346">
        <v>14000</v>
      </c>
      <c r="G264" s="344"/>
    </row>
    <row r="265" spans="1:7" x14ac:dyDescent="0.15">
      <c r="A265" s="343">
        <v>268</v>
      </c>
      <c r="B265" s="344" t="s">
        <v>3781</v>
      </c>
      <c r="C265" s="345">
        <v>3500</v>
      </c>
      <c r="D265" s="343">
        <v>2000</v>
      </c>
      <c r="E265" s="343">
        <v>8750</v>
      </c>
      <c r="F265" s="346">
        <v>20000</v>
      </c>
      <c r="G265" s="344"/>
    </row>
    <row r="266" spans="1:7" x14ac:dyDescent="0.15">
      <c r="A266" s="343">
        <v>269</v>
      </c>
      <c r="B266" s="344" t="s">
        <v>3782</v>
      </c>
      <c r="C266" s="345">
        <v>14000</v>
      </c>
      <c r="D266" s="343">
        <v>2000</v>
      </c>
      <c r="E266" s="343">
        <v>14000</v>
      </c>
      <c r="F266" s="346">
        <v>14000</v>
      </c>
      <c r="G266" s="344"/>
    </row>
    <row r="267" spans="1:7" x14ac:dyDescent="0.15">
      <c r="A267" s="343">
        <v>270</v>
      </c>
      <c r="B267" s="344" t="s">
        <v>3783</v>
      </c>
      <c r="C267" s="345">
        <v>10500</v>
      </c>
      <c r="D267" s="343">
        <v>2000</v>
      </c>
      <c r="E267" s="343">
        <v>10500</v>
      </c>
      <c r="F267" s="346">
        <v>2450</v>
      </c>
      <c r="G267" s="344"/>
    </row>
    <row r="268" spans="1:7" x14ac:dyDescent="0.15">
      <c r="A268" s="343">
        <v>271</v>
      </c>
      <c r="B268" s="344" t="s">
        <v>3784</v>
      </c>
      <c r="C268" s="345">
        <v>21000</v>
      </c>
      <c r="D268" s="343">
        <v>2000</v>
      </c>
      <c r="E268" s="343">
        <v>21000</v>
      </c>
      <c r="F268" s="346">
        <v>20000</v>
      </c>
      <c r="G268" s="344"/>
    </row>
    <row r="269" spans="1:7" x14ac:dyDescent="0.15">
      <c r="A269" s="343">
        <v>272</v>
      </c>
      <c r="B269" s="344" t="s">
        <v>3785</v>
      </c>
      <c r="C269" s="345">
        <v>24500</v>
      </c>
      <c r="D269" s="343">
        <v>2000</v>
      </c>
      <c r="E269" s="343">
        <v>24500</v>
      </c>
      <c r="F269" s="346">
        <v>20000</v>
      </c>
      <c r="G269" s="344"/>
    </row>
    <row r="270" spans="1:7" x14ac:dyDescent="0.15">
      <c r="A270" s="343">
        <v>273</v>
      </c>
      <c r="B270" s="344" t="s">
        <v>3786</v>
      </c>
      <c r="C270" s="345">
        <v>14000</v>
      </c>
      <c r="D270" s="343">
        <v>2000</v>
      </c>
      <c r="E270" s="343">
        <v>14000</v>
      </c>
      <c r="F270" s="346">
        <v>20000</v>
      </c>
      <c r="G270" s="344"/>
    </row>
    <row r="271" spans="1:7" x14ac:dyDescent="0.15">
      <c r="A271" s="343">
        <v>274</v>
      </c>
      <c r="B271" s="344" t="s">
        <v>3787</v>
      </c>
      <c r="C271" s="345">
        <v>112000</v>
      </c>
      <c r="D271" s="343">
        <v>2000</v>
      </c>
      <c r="E271" s="343">
        <v>133000</v>
      </c>
      <c r="F271" s="346">
        <v>20000</v>
      </c>
      <c r="G271" s="344"/>
    </row>
    <row r="272" spans="1:7" x14ac:dyDescent="0.15">
      <c r="A272" s="343">
        <v>275</v>
      </c>
      <c r="B272" s="344" t="s">
        <v>3788</v>
      </c>
      <c r="C272" s="345">
        <v>28000</v>
      </c>
      <c r="D272" s="343">
        <v>2000</v>
      </c>
      <c r="E272" s="343">
        <v>28000</v>
      </c>
      <c r="F272" s="346">
        <v>27000</v>
      </c>
      <c r="G272" s="344"/>
    </row>
    <row r="273" spans="1:7" x14ac:dyDescent="0.15">
      <c r="A273" s="343">
        <v>276</v>
      </c>
      <c r="B273" s="344" t="s">
        <v>3789</v>
      </c>
      <c r="C273" s="345">
        <v>17500</v>
      </c>
      <c r="D273" s="343">
        <v>2000</v>
      </c>
      <c r="E273" s="343">
        <v>17500</v>
      </c>
      <c r="F273" s="346">
        <v>36000</v>
      </c>
      <c r="G273" s="344"/>
    </row>
    <row r="274" spans="1:7" x14ac:dyDescent="0.15">
      <c r="A274" s="343">
        <v>277</v>
      </c>
      <c r="B274" s="344" t="s">
        <v>3790</v>
      </c>
      <c r="C274" s="345">
        <v>14000</v>
      </c>
      <c r="D274" s="343">
        <v>2000</v>
      </c>
      <c r="E274" s="343">
        <v>14000</v>
      </c>
      <c r="F274" s="346">
        <v>14000</v>
      </c>
      <c r="G274" s="344"/>
    </row>
    <row r="275" spans="1:7" x14ac:dyDescent="0.15">
      <c r="A275" s="343">
        <v>278</v>
      </c>
      <c r="B275" s="344" t="s">
        <v>3791</v>
      </c>
      <c r="C275" s="345">
        <v>56000</v>
      </c>
      <c r="D275" s="343">
        <v>2000</v>
      </c>
      <c r="E275" s="343">
        <v>56000</v>
      </c>
      <c r="F275" s="346">
        <v>20000</v>
      </c>
      <c r="G275" s="344"/>
    </row>
    <row r="276" spans="1:7" x14ac:dyDescent="0.15">
      <c r="A276" s="343">
        <v>279</v>
      </c>
      <c r="B276" s="344" t="s">
        <v>3792</v>
      </c>
      <c r="C276" s="345">
        <v>21000</v>
      </c>
      <c r="D276" s="343">
        <v>2000</v>
      </c>
      <c r="E276" s="343">
        <v>21000</v>
      </c>
      <c r="F276" s="346">
        <v>10000</v>
      </c>
      <c r="G276" s="344"/>
    </row>
    <row r="277" spans="1:7" x14ac:dyDescent="0.15">
      <c r="A277" s="343">
        <v>280</v>
      </c>
      <c r="B277" s="344" t="s">
        <v>3793</v>
      </c>
      <c r="C277" s="345">
        <v>28000</v>
      </c>
      <c r="D277" s="343">
        <v>2000</v>
      </c>
      <c r="E277" s="343">
        <v>28000</v>
      </c>
      <c r="F277" s="346">
        <v>10000</v>
      </c>
      <c r="G277" s="344"/>
    </row>
    <row r="278" spans="1:7" x14ac:dyDescent="0.15">
      <c r="A278" s="343">
        <v>281</v>
      </c>
      <c r="B278" s="344" t="s">
        <v>3794</v>
      </c>
      <c r="C278" s="345">
        <v>46200</v>
      </c>
      <c r="D278" s="343">
        <v>2000</v>
      </c>
      <c r="E278" s="343">
        <v>46200</v>
      </c>
      <c r="F278" s="346">
        <v>20000</v>
      </c>
      <c r="G278" s="344"/>
    </row>
    <row r="279" spans="1:7" x14ac:dyDescent="0.15">
      <c r="A279" s="343">
        <v>282</v>
      </c>
      <c r="B279" s="344" t="s">
        <v>3795</v>
      </c>
      <c r="C279" s="345">
        <v>55300</v>
      </c>
      <c r="D279" s="343">
        <v>2000</v>
      </c>
      <c r="E279" s="343">
        <v>55300</v>
      </c>
      <c r="F279" s="346">
        <v>20000</v>
      </c>
      <c r="G279" s="344"/>
    </row>
    <row r="280" spans="1:7" x14ac:dyDescent="0.15">
      <c r="A280" s="343">
        <v>283</v>
      </c>
      <c r="B280" s="344" t="s">
        <v>3796</v>
      </c>
      <c r="C280" s="345">
        <v>21000</v>
      </c>
      <c r="D280" s="343">
        <v>2000</v>
      </c>
      <c r="E280" s="343">
        <v>21000</v>
      </c>
      <c r="F280" s="346">
        <v>20000</v>
      </c>
      <c r="G280" s="344"/>
    </row>
    <row r="281" spans="1:7" x14ac:dyDescent="0.15">
      <c r="A281" s="343">
        <v>284</v>
      </c>
      <c r="B281" s="344" t="s">
        <v>3797</v>
      </c>
      <c r="C281" s="345">
        <v>7000</v>
      </c>
      <c r="D281" s="343">
        <v>2000</v>
      </c>
      <c r="E281" s="343">
        <v>30100</v>
      </c>
      <c r="F281" s="346">
        <v>14000</v>
      </c>
      <c r="G281" s="344"/>
    </row>
    <row r="282" spans="1:7" x14ac:dyDescent="0.15">
      <c r="A282" s="343">
        <v>285</v>
      </c>
      <c r="B282" s="344" t="s">
        <v>3798</v>
      </c>
      <c r="C282" s="345">
        <v>14000</v>
      </c>
      <c r="D282" s="343">
        <v>2000</v>
      </c>
      <c r="E282" s="343">
        <v>24500</v>
      </c>
      <c r="F282" s="346">
        <v>10000</v>
      </c>
      <c r="G282" s="344"/>
    </row>
    <row r="283" spans="1:7" x14ac:dyDescent="0.15">
      <c r="A283" s="343">
        <v>286</v>
      </c>
      <c r="B283" s="344" t="s">
        <v>3799</v>
      </c>
      <c r="C283" s="345">
        <v>70000</v>
      </c>
      <c r="D283" s="343">
        <v>2000</v>
      </c>
      <c r="E283" s="343">
        <v>70000</v>
      </c>
      <c r="F283" s="346">
        <v>10000</v>
      </c>
      <c r="G283" s="344"/>
    </row>
    <row r="284" spans="1:7" x14ac:dyDescent="0.15">
      <c r="A284" s="343">
        <v>287</v>
      </c>
      <c r="B284" s="344" t="s">
        <v>3800</v>
      </c>
      <c r="C284" s="345">
        <v>2100</v>
      </c>
      <c r="D284" s="343">
        <v>2000</v>
      </c>
      <c r="E284" s="343">
        <v>2100</v>
      </c>
      <c r="F284" s="346">
        <v>64000</v>
      </c>
      <c r="G284" s="344"/>
    </row>
    <row r="285" spans="1:7" x14ac:dyDescent="0.15">
      <c r="A285" s="343">
        <v>288</v>
      </c>
      <c r="B285" s="344" t="s">
        <v>3801</v>
      </c>
      <c r="C285" s="345">
        <v>1400</v>
      </c>
      <c r="D285" s="343">
        <v>2000</v>
      </c>
      <c r="E285" s="343">
        <v>1400</v>
      </c>
      <c r="F285" s="346">
        <v>64000</v>
      </c>
      <c r="G285" s="344"/>
    </row>
    <row r="286" spans="1:7" x14ac:dyDescent="0.15">
      <c r="A286" s="343">
        <v>289</v>
      </c>
      <c r="B286" s="344" t="s">
        <v>3802</v>
      </c>
      <c r="C286" s="345">
        <v>700</v>
      </c>
      <c r="D286" s="343">
        <v>2000</v>
      </c>
      <c r="E286" s="343">
        <v>700</v>
      </c>
      <c r="F286" s="346">
        <v>64000</v>
      </c>
      <c r="G286" s="344"/>
    </row>
    <row r="287" spans="1:7" x14ac:dyDescent="0.15">
      <c r="A287" s="343">
        <v>290</v>
      </c>
      <c r="B287" s="344" t="s">
        <v>3803</v>
      </c>
      <c r="C287" s="345">
        <v>630</v>
      </c>
      <c r="D287" s="343">
        <v>2000</v>
      </c>
      <c r="E287" s="343">
        <v>630</v>
      </c>
      <c r="F287" s="346">
        <v>64000</v>
      </c>
      <c r="G287" s="344"/>
    </row>
    <row r="288" spans="1:7" x14ac:dyDescent="0.15">
      <c r="A288" s="343">
        <v>291</v>
      </c>
      <c r="B288" s="344" t="s">
        <v>3804</v>
      </c>
      <c r="C288" s="345">
        <v>14000</v>
      </c>
      <c r="D288" s="343">
        <v>2000</v>
      </c>
      <c r="E288" s="343">
        <v>14000</v>
      </c>
      <c r="F288" s="346">
        <v>64000</v>
      </c>
      <c r="G288" s="344"/>
    </row>
    <row r="289" spans="1:7" x14ac:dyDescent="0.15">
      <c r="A289" s="343">
        <v>292</v>
      </c>
      <c r="B289" s="344" t="s">
        <v>3805</v>
      </c>
      <c r="C289" s="345">
        <v>10500</v>
      </c>
      <c r="D289" s="343">
        <v>2000</v>
      </c>
      <c r="E289" s="343">
        <v>10500</v>
      </c>
      <c r="F289" s="346">
        <v>64000</v>
      </c>
      <c r="G289" s="344"/>
    </row>
    <row r="290" spans="1:7" x14ac:dyDescent="0.15">
      <c r="A290" s="343">
        <v>293</v>
      </c>
      <c r="B290" s="344" t="s">
        <v>3806</v>
      </c>
      <c r="C290" s="345">
        <v>42000</v>
      </c>
      <c r="D290" s="343">
        <v>2000</v>
      </c>
      <c r="E290" s="343">
        <v>42000</v>
      </c>
      <c r="F290" s="346">
        <v>10000</v>
      </c>
      <c r="G290" s="344"/>
    </row>
    <row r="291" spans="1:7" x14ac:dyDescent="0.15">
      <c r="A291" s="343">
        <v>294</v>
      </c>
      <c r="B291" s="344" t="s">
        <v>3807</v>
      </c>
      <c r="C291" s="345">
        <v>24500</v>
      </c>
      <c r="D291" s="343">
        <v>2000</v>
      </c>
      <c r="E291" s="343">
        <v>24500</v>
      </c>
      <c r="F291" s="346">
        <v>20000</v>
      </c>
      <c r="G291" s="344"/>
    </row>
    <row r="292" spans="1:7" x14ac:dyDescent="0.15">
      <c r="A292" s="343">
        <v>295</v>
      </c>
      <c r="B292" s="344" t="s">
        <v>3808</v>
      </c>
      <c r="C292" s="345">
        <v>8365</v>
      </c>
      <c r="D292" s="343">
        <v>2000</v>
      </c>
      <c r="E292" s="343">
        <v>31500</v>
      </c>
      <c r="F292" s="346">
        <v>14000</v>
      </c>
      <c r="G292" s="344"/>
    </row>
    <row r="293" spans="1:7" x14ac:dyDescent="0.15">
      <c r="A293" s="343">
        <v>296</v>
      </c>
      <c r="B293" s="344" t="s">
        <v>3298</v>
      </c>
      <c r="C293" s="345">
        <v>23100</v>
      </c>
      <c r="D293" s="343">
        <v>2000</v>
      </c>
      <c r="E293" s="343">
        <v>23100</v>
      </c>
      <c r="F293" s="346">
        <v>7150</v>
      </c>
      <c r="G293" s="344"/>
    </row>
    <row r="294" spans="1:7" x14ac:dyDescent="0.15">
      <c r="A294" s="343">
        <v>297</v>
      </c>
      <c r="B294" s="344" t="s">
        <v>3809</v>
      </c>
      <c r="C294" s="345">
        <v>56000</v>
      </c>
      <c r="D294" s="343">
        <v>2000</v>
      </c>
      <c r="E294" s="343">
        <v>56000</v>
      </c>
      <c r="F294" s="346">
        <v>2450</v>
      </c>
      <c r="G294" s="344"/>
    </row>
    <row r="295" spans="1:7" x14ac:dyDescent="0.15">
      <c r="A295" s="343">
        <v>298</v>
      </c>
      <c r="B295" s="344" t="s">
        <v>700</v>
      </c>
      <c r="C295" s="345">
        <v>7000</v>
      </c>
      <c r="D295" s="343">
        <v>2000</v>
      </c>
      <c r="E295" s="343">
        <v>12600</v>
      </c>
      <c r="F295" s="346">
        <v>5000</v>
      </c>
      <c r="G295" s="344"/>
    </row>
    <row r="296" spans="1:7" x14ac:dyDescent="0.15">
      <c r="A296" s="343">
        <v>299</v>
      </c>
      <c r="B296" s="344" t="s">
        <v>629</v>
      </c>
      <c r="C296" s="345">
        <v>7000</v>
      </c>
      <c r="D296" s="343">
        <v>2000</v>
      </c>
      <c r="E296" s="343">
        <v>9100</v>
      </c>
      <c r="F296" s="346">
        <v>10000</v>
      </c>
      <c r="G296" s="344"/>
    </row>
    <row r="297" spans="1:7" x14ac:dyDescent="0.15">
      <c r="A297" s="343">
        <v>300</v>
      </c>
      <c r="B297" s="344" t="s">
        <v>3810</v>
      </c>
      <c r="C297" s="345">
        <v>138005</v>
      </c>
      <c r="D297" s="343">
        <v>2000</v>
      </c>
      <c r="E297" s="343">
        <v>138005</v>
      </c>
      <c r="F297" s="346">
        <v>14000</v>
      </c>
      <c r="G297" s="344"/>
    </row>
    <row r="298" spans="1:7" x14ac:dyDescent="0.15">
      <c r="A298" s="343">
        <v>301</v>
      </c>
      <c r="B298" s="344" t="s">
        <v>3811</v>
      </c>
      <c r="C298" s="345">
        <v>21000</v>
      </c>
      <c r="D298" s="343">
        <v>2000</v>
      </c>
      <c r="E298" s="343">
        <v>21000</v>
      </c>
      <c r="F298" s="346">
        <v>14000</v>
      </c>
      <c r="G298" s="344"/>
    </row>
    <row r="299" spans="1:7" x14ac:dyDescent="0.15">
      <c r="A299" s="343">
        <v>302</v>
      </c>
      <c r="B299" s="344" t="s">
        <v>702</v>
      </c>
      <c r="C299" s="345">
        <v>28000</v>
      </c>
      <c r="D299" s="343">
        <v>2000</v>
      </c>
      <c r="E299" s="343">
        <v>28000</v>
      </c>
      <c r="F299" s="346">
        <v>14000</v>
      </c>
      <c r="G299" s="344"/>
    </row>
    <row r="300" spans="1:7" x14ac:dyDescent="0.15">
      <c r="A300" s="343">
        <v>303</v>
      </c>
      <c r="B300" s="344" t="s">
        <v>3812</v>
      </c>
      <c r="C300" s="345">
        <v>8960</v>
      </c>
      <c r="D300" s="343">
        <v>2000</v>
      </c>
      <c r="E300" s="343">
        <v>8960</v>
      </c>
      <c r="F300" s="346">
        <v>14000</v>
      </c>
      <c r="G300" s="344"/>
    </row>
    <row r="301" spans="1:7" x14ac:dyDescent="0.15">
      <c r="A301" s="343">
        <v>304</v>
      </c>
      <c r="B301" s="344" t="s">
        <v>3813</v>
      </c>
      <c r="C301" s="345">
        <v>14000</v>
      </c>
      <c r="D301" s="343">
        <v>2000</v>
      </c>
      <c r="E301" s="343">
        <v>14000</v>
      </c>
      <c r="F301" s="346">
        <v>14000</v>
      </c>
      <c r="G301" s="344"/>
    </row>
    <row r="302" spans="1:7" x14ac:dyDescent="0.15">
      <c r="A302" s="343">
        <v>305</v>
      </c>
      <c r="B302" s="344" t="s">
        <v>701</v>
      </c>
      <c r="C302" s="345">
        <v>12600</v>
      </c>
      <c r="D302" s="343">
        <v>2000</v>
      </c>
      <c r="E302" s="343">
        <v>12600</v>
      </c>
      <c r="F302" s="346">
        <v>10000</v>
      </c>
      <c r="G302" s="344"/>
    </row>
    <row r="303" spans="1:7" x14ac:dyDescent="0.15">
      <c r="A303" s="343">
        <v>306</v>
      </c>
      <c r="B303" s="344" t="s">
        <v>3814</v>
      </c>
      <c r="C303" s="345">
        <v>5600</v>
      </c>
      <c r="D303" s="343">
        <v>2000</v>
      </c>
      <c r="E303" s="343">
        <v>25900</v>
      </c>
      <c r="F303" s="346">
        <v>10000</v>
      </c>
      <c r="G303" s="344"/>
    </row>
    <row r="304" spans="1:7" x14ac:dyDescent="0.15">
      <c r="A304" s="343">
        <v>307</v>
      </c>
      <c r="B304" s="344" t="s">
        <v>3815</v>
      </c>
      <c r="C304" s="345">
        <v>16800</v>
      </c>
      <c r="D304" s="343">
        <v>2000</v>
      </c>
      <c r="E304" s="343">
        <v>16800</v>
      </c>
      <c r="F304" s="346">
        <v>10000</v>
      </c>
      <c r="G304" s="344"/>
    </row>
    <row r="305" spans="1:7" x14ac:dyDescent="0.15">
      <c r="A305" s="343">
        <v>308</v>
      </c>
      <c r="B305" s="344" t="s">
        <v>3816</v>
      </c>
      <c r="C305" s="345">
        <v>23800</v>
      </c>
      <c r="D305" s="343">
        <v>2000</v>
      </c>
      <c r="E305" s="343">
        <v>23800</v>
      </c>
      <c r="F305" s="346">
        <v>10000</v>
      </c>
      <c r="G305" s="344"/>
    </row>
    <row r="306" spans="1:7" x14ac:dyDescent="0.15">
      <c r="A306" s="343">
        <v>309</v>
      </c>
      <c r="B306" s="344" t="s">
        <v>3817</v>
      </c>
      <c r="C306" s="345">
        <v>24500</v>
      </c>
      <c r="D306" s="343">
        <v>2000</v>
      </c>
      <c r="E306" s="343">
        <v>24500</v>
      </c>
      <c r="F306" s="346">
        <v>10000</v>
      </c>
      <c r="G306" s="344"/>
    </row>
    <row r="307" spans="1:7" x14ac:dyDescent="0.15">
      <c r="A307" s="347">
        <v>310</v>
      </c>
      <c r="B307" s="348" t="s">
        <v>3818</v>
      </c>
      <c r="C307" s="349">
        <v>455000</v>
      </c>
      <c r="D307" s="347">
        <v>2000</v>
      </c>
      <c r="E307" s="347">
        <v>455000</v>
      </c>
      <c r="F307" s="350">
        <v>5000</v>
      </c>
      <c r="G307" s="348"/>
    </row>
    <row r="308" spans="1:7" s="355" customFormat="1" x14ac:dyDescent="0.15">
      <c r="A308" s="351"/>
      <c r="B308" s="351" t="s">
        <v>1117</v>
      </c>
      <c r="C308" s="352">
        <f>SUM(C5:C307)</f>
        <v>11115069</v>
      </c>
      <c r="D308" s="351"/>
      <c r="E308" s="351"/>
      <c r="F308" s="353">
        <f>SUM(F5:F307)</f>
        <v>20339925</v>
      </c>
      <c r="G308" s="354"/>
    </row>
  </sheetData>
  <mergeCells count="2">
    <mergeCell ref="A1:G1"/>
    <mergeCell ref="A2:G2"/>
  </mergeCells>
  <pageMargins left="0.70866141732283472" right="0.70866141732283472" top="0.74803149606299213" bottom="0.74803149606299213" header="0.31496062992125984" footer="0.31496062992125984"/>
  <pageSetup paperSize="9" scale="93"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AJ110"/>
  <sheetViews>
    <sheetView topLeftCell="A4" zoomScale="65" zoomScaleNormal="65" workbookViewId="0">
      <pane xSplit="7" ySplit="7" topLeftCell="P11" activePane="bottomRight" state="frozen"/>
      <selection activeCell="A4" sqref="A4"/>
      <selection pane="topRight" activeCell="K4" sqref="K4"/>
      <selection pane="bottomLeft" activeCell="A11" sqref="A11"/>
      <selection pane="bottomRight" activeCell="D14" sqref="D14"/>
    </sheetView>
  </sheetViews>
  <sheetFormatPr baseColWidth="10" defaultColWidth="9.1640625" defaultRowHeight="14" x14ac:dyDescent="0.2"/>
  <cols>
    <col min="1" max="1" width="12.33203125" style="946" customWidth="1"/>
    <col min="2" max="2" width="7.5" style="946" hidden="1" customWidth="1"/>
    <col min="3" max="3" width="7.6640625" style="946" customWidth="1"/>
    <col min="4" max="4" width="60.5" style="946" customWidth="1"/>
    <col min="5" max="5" width="18.5" style="958" customWidth="1"/>
    <col min="6" max="6" width="18.83203125" style="1259" customWidth="1"/>
    <col min="7" max="7" width="13" style="946" customWidth="1"/>
    <col min="8" max="8" width="18.5" style="1259" customWidth="1"/>
    <col min="9" max="9" width="9.1640625" style="843" customWidth="1"/>
    <col min="10" max="10" width="10.1640625" style="946" customWidth="1"/>
    <col min="11" max="11" width="16.33203125" style="843" customWidth="1"/>
    <col min="12" max="12" width="29" style="946" customWidth="1"/>
    <col min="13" max="13" width="14" style="1259" customWidth="1"/>
    <col min="14" max="14" width="19.6640625" style="946" customWidth="1"/>
    <col min="15" max="15" width="11.1640625" style="946" customWidth="1"/>
    <col min="16" max="16" width="17.33203125" style="946" customWidth="1"/>
    <col min="17" max="17" width="12.33203125" style="1259" customWidth="1"/>
    <col min="18" max="18" width="29.5" style="958" customWidth="1"/>
    <col min="19" max="19" width="18.1640625" style="1259" customWidth="1"/>
    <col min="20" max="20" width="21.83203125" style="946" customWidth="1"/>
    <col min="21" max="21" width="18.5" style="946" customWidth="1"/>
    <col min="22" max="24" width="22.1640625" style="946" customWidth="1"/>
    <col min="25" max="25" width="22.1640625" style="958" customWidth="1"/>
    <col min="26" max="26" width="22.1640625" style="946" customWidth="1"/>
    <col min="27" max="31" width="22.1640625" style="958" customWidth="1"/>
    <col min="32" max="32" width="27.5" style="958" customWidth="1"/>
    <col min="33" max="33" width="22.1640625" style="958" customWidth="1"/>
    <col min="34" max="34" width="25" style="958" customWidth="1"/>
    <col min="35" max="35" width="34.83203125" style="946" customWidth="1"/>
    <col min="36" max="36" width="15.33203125" style="946" customWidth="1"/>
    <col min="37" max="16384" width="9.1640625" style="946"/>
  </cols>
  <sheetData>
    <row r="2" spans="1:35" ht="25" x14ac:dyDescent="0.2">
      <c r="C2" s="2014" t="s">
        <v>0</v>
      </c>
      <c r="D2" s="2014"/>
      <c r="E2" s="2014"/>
      <c r="F2" s="2014"/>
      <c r="G2" s="2015"/>
      <c r="H2" s="2014"/>
      <c r="I2" s="2014"/>
      <c r="J2" s="2014"/>
      <c r="K2" s="2014"/>
      <c r="L2" s="2014"/>
      <c r="M2" s="2014"/>
      <c r="N2" s="2014"/>
      <c r="O2" s="2014"/>
      <c r="P2" s="2014"/>
      <c r="Q2" s="2014"/>
      <c r="R2" s="2014"/>
      <c r="S2" s="2014"/>
      <c r="T2" s="2014"/>
      <c r="U2" s="1252"/>
    </row>
    <row r="3" spans="1:35" ht="25" x14ac:dyDescent="0.2">
      <c r="C3" s="2014" t="s">
        <v>474</v>
      </c>
      <c r="D3" s="2014"/>
      <c r="E3" s="2014"/>
      <c r="F3" s="2014"/>
      <c r="G3" s="2015"/>
      <c r="H3" s="2014"/>
      <c r="I3" s="2014"/>
      <c r="J3" s="2014"/>
      <c r="K3" s="2014"/>
      <c r="L3" s="2014"/>
      <c r="M3" s="2014"/>
      <c r="N3" s="2014"/>
      <c r="O3" s="2014"/>
      <c r="P3" s="2014"/>
      <c r="Q3" s="2014"/>
      <c r="R3" s="2014"/>
      <c r="S3" s="2014"/>
      <c r="T3" s="2014"/>
      <c r="U3" s="1252"/>
      <c r="AD3" s="958">
        <f>AA12:AD12</f>
        <v>0</v>
      </c>
    </row>
    <row r="4" spans="1:35" ht="12" customHeight="1" x14ac:dyDescent="0.2">
      <c r="C4" s="1252"/>
      <c r="D4" s="1252"/>
      <c r="E4" s="976"/>
      <c r="F4" s="1252"/>
      <c r="G4" s="1252"/>
      <c r="H4" s="977"/>
      <c r="I4" s="844"/>
      <c r="J4" s="977"/>
      <c r="K4" s="844"/>
      <c r="L4" s="1258"/>
      <c r="M4" s="1252"/>
      <c r="N4" s="1252"/>
      <c r="O4" s="1252"/>
      <c r="P4" s="1252"/>
      <c r="Q4" s="1252"/>
      <c r="R4" s="976"/>
      <c r="S4" s="1252"/>
      <c r="T4" s="1252"/>
      <c r="U4" s="1252"/>
      <c r="AI4" s="992"/>
    </row>
    <row r="5" spans="1:35" ht="26" thickBot="1" x14ac:dyDescent="0.25">
      <c r="C5" s="2016" t="s">
        <v>32</v>
      </c>
      <c r="D5" s="2016"/>
      <c r="E5" s="979"/>
      <c r="F5" s="980" t="s">
        <v>475</v>
      </c>
      <c r="G5" s="981"/>
      <c r="H5" s="982"/>
      <c r="I5" s="845"/>
      <c r="J5" s="983"/>
      <c r="K5" s="845"/>
      <c r="L5" s="981"/>
      <c r="M5" s="985"/>
      <c r="N5" s="981"/>
      <c r="O5" s="981"/>
      <c r="P5" s="981"/>
      <c r="Q5" s="985"/>
      <c r="R5" s="986">
        <v>1595772087397.0479</v>
      </c>
      <c r="S5" s="1213">
        <f>R12-R5</f>
        <v>-1510212184965.0479</v>
      </c>
      <c r="T5" s="988"/>
      <c r="U5" s="988"/>
    </row>
    <row r="6" spans="1:35" s="869" customFormat="1" ht="28.5" customHeight="1" thickTop="1" x14ac:dyDescent="0.2">
      <c r="A6" s="1906" t="s">
        <v>3573</v>
      </c>
      <c r="C6" s="1907" t="s">
        <v>869</v>
      </c>
      <c r="D6" s="2017" t="s">
        <v>870</v>
      </c>
      <c r="E6" s="2018"/>
      <c r="F6" s="2023" t="s">
        <v>883</v>
      </c>
      <c r="G6" s="2024"/>
      <c r="H6" s="2025" t="s">
        <v>3831</v>
      </c>
      <c r="I6" s="2026" t="s">
        <v>1110</v>
      </c>
      <c r="J6" s="1910" t="s">
        <v>1111</v>
      </c>
      <c r="K6" s="2026" t="s">
        <v>872</v>
      </c>
      <c r="L6" s="2073" t="s">
        <v>1112</v>
      </c>
      <c r="M6" s="1910" t="s">
        <v>3832</v>
      </c>
      <c r="N6" s="1910"/>
      <c r="O6" s="1910" t="s">
        <v>875</v>
      </c>
      <c r="P6" s="1910" t="s">
        <v>1104</v>
      </c>
      <c r="Q6" s="1910" t="s">
        <v>909</v>
      </c>
      <c r="R6" s="1934" t="s">
        <v>1105</v>
      </c>
      <c r="S6" s="1910" t="s">
        <v>1113</v>
      </c>
      <c r="T6" s="1937" t="s">
        <v>911</v>
      </c>
      <c r="U6" s="966"/>
      <c r="V6" s="1920" t="s">
        <v>2279</v>
      </c>
      <c r="W6" s="1927" t="s">
        <v>2280</v>
      </c>
      <c r="X6" s="1927" t="s">
        <v>2281</v>
      </c>
      <c r="Y6" s="1916" t="s">
        <v>2282</v>
      </c>
      <c r="Z6" s="1920" t="s">
        <v>4778</v>
      </c>
      <c r="AA6" s="1923" t="s">
        <v>4785</v>
      </c>
      <c r="AB6" s="1923"/>
      <c r="AC6" s="1923"/>
      <c r="AD6" s="1923"/>
      <c r="AE6" s="1923"/>
      <c r="AF6" s="1923"/>
      <c r="AG6" s="1924" t="s">
        <v>2489</v>
      </c>
      <c r="AH6" s="1924" t="s">
        <v>4786</v>
      </c>
      <c r="AI6" s="874"/>
    </row>
    <row r="7" spans="1:35" s="869" customFormat="1" ht="14.25" customHeight="1" x14ac:dyDescent="0.2">
      <c r="A7" s="1906"/>
      <c r="C7" s="1908"/>
      <c r="D7" s="2019"/>
      <c r="E7" s="2020"/>
      <c r="F7" s="2010" t="s">
        <v>877</v>
      </c>
      <c r="G7" s="2010" t="s">
        <v>3833</v>
      </c>
      <c r="H7" s="2010"/>
      <c r="I7" s="2027"/>
      <c r="J7" s="1911"/>
      <c r="K7" s="2027"/>
      <c r="L7" s="2074"/>
      <c r="M7" s="2012" t="s">
        <v>882</v>
      </c>
      <c r="N7" s="1930" t="s">
        <v>883</v>
      </c>
      <c r="O7" s="1911"/>
      <c r="P7" s="1911"/>
      <c r="Q7" s="1911"/>
      <c r="R7" s="1935"/>
      <c r="S7" s="1911"/>
      <c r="T7" s="1938"/>
      <c r="U7" s="966"/>
      <c r="V7" s="1921"/>
      <c r="W7" s="1928"/>
      <c r="X7" s="1928"/>
      <c r="Y7" s="1917"/>
      <c r="Z7" s="1921"/>
      <c r="AA7" s="1932" t="s">
        <v>4779</v>
      </c>
      <c r="AB7" s="1932" t="s">
        <v>4780</v>
      </c>
      <c r="AC7" s="1932" t="s">
        <v>4781</v>
      </c>
      <c r="AD7" s="1932" t="s">
        <v>4782</v>
      </c>
      <c r="AE7" s="1932" t="s">
        <v>4783</v>
      </c>
      <c r="AF7" s="1932" t="s">
        <v>4784</v>
      </c>
      <c r="AG7" s="1925"/>
      <c r="AH7" s="1925"/>
    </row>
    <row r="8" spans="1:35" s="869" customFormat="1" ht="12" customHeight="1" thickBot="1" x14ac:dyDescent="0.25">
      <c r="A8" s="1906"/>
      <c r="C8" s="1909"/>
      <c r="D8" s="2021"/>
      <c r="E8" s="2022"/>
      <c r="F8" s="2011"/>
      <c r="G8" s="2011"/>
      <c r="H8" s="2011"/>
      <c r="I8" s="2028"/>
      <c r="J8" s="1912"/>
      <c r="K8" s="2028"/>
      <c r="L8" s="2075"/>
      <c r="M8" s="2013"/>
      <c r="N8" s="1931"/>
      <c r="O8" s="1912"/>
      <c r="P8" s="1912"/>
      <c r="Q8" s="1912"/>
      <c r="R8" s="1936"/>
      <c r="S8" s="1912"/>
      <c r="T8" s="1939"/>
      <c r="U8" s="966"/>
      <c r="V8" s="1922"/>
      <c r="W8" s="1929"/>
      <c r="X8" s="1929"/>
      <c r="Y8" s="1918"/>
      <c r="Z8" s="1922"/>
      <c r="AA8" s="1933"/>
      <c r="AB8" s="1933"/>
      <c r="AC8" s="1933"/>
      <c r="AD8" s="1933"/>
      <c r="AE8" s="1933"/>
      <c r="AF8" s="1933"/>
      <c r="AG8" s="1926"/>
      <c r="AH8" s="1926"/>
    </row>
    <row r="9" spans="1:35" s="857" customFormat="1" thickTop="1" x14ac:dyDescent="0.2">
      <c r="C9" s="846">
        <v>1</v>
      </c>
      <c r="D9" s="847">
        <v>2</v>
      </c>
      <c r="E9" s="1253"/>
      <c r="F9" s="847">
        <v>3</v>
      </c>
      <c r="G9" s="848">
        <v>4</v>
      </c>
      <c r="H9" s="848">
        <v>6</v>
      </c>
      <c r="I9" s="849">
        <v>7</v>
      </c>
      <c r="J9" s="850">
        <v>8</v>
      </c>
      <c r="K9" s="851">
        <v>9</v>
      </c>
      <c r="L9" s="850">
        <v>10</v>
      </c>
      <c r="M9" s="847">
        <v>11</v>
      </c>
      <c r="N9" s="847">
        <v>12</v>
      </c>
      <c r="O9" s="847">
        <v>13</v>
      </c>
      <c r="P9" s="848">
        <v>14</v>
      </c>
      <c r="Q9" s="848">
        <v>15</v>
      </c>
      <c r="R9" s="1253">
        <v>16</v>
      </c>
      <c r="S9" s="848">
        <v>17</v>
      </c>
      <c r="T9" s="853">
        <v>18</v>
      </c>
      <c r="U9" s="967"/>
      <c r="V9" s="989">
        <v>19</v>
      </c>
      <c r="W9" s="990">
        <v>20</v>
      </c>
      <c r="X9" s="990">
        <v>21</v>
      </c>
      <c r="Y9" s="991">
        <v>22</v>
      </c>
      <c r="Z9" s="990">
        <v>23</v>
      </c>
      <c r="AA9" s="854">
        <v>24</v>
      </c>
      <c r="AB9" s="854">
        <v>25</v>
      </c>
      <c r="AC9" s="991"/>
      <c r="AD9" s="991"/>
      <c r="AE9" s="991"/>
      <c r="AF9" s="991"/>
      <c r="AG9" s="991"/>
      <c r="AH9" s="991">
        <v>27</v>
      </c>
      <c r="AI9" s="962"/>
    </row>
    <row r="10" spans="1:35" s="857" customFormat="1" ht="12.75" customHeight="1" x14ac:dyDescent="0.2">
      <c r="C10" s="855"/>
      <c r="D10" s="862"/>
      <c r="E10" s="899"/>
      <c r="F10" s="861"/>
      <c r="G10" s="862"/>
      <c r="H10" s="861"/>
      <c r="I10" s="856"/>
      <c r="J10" s="862"/>
      <c r="K10" s="856"/>
      <c r="L10" s="862"/>
      <c r="M10" s="861"/>
      <c r="N10" s="862"/>
      <c r="O10" s="862"/>
      <c r="P10" s="862"/>
      <c r="Q10" s="861"/>
      <c r="R10" s="864"/>
      <c r="S10" s="861"/>
      <c r="T10" s="865"/>
      <c r="U10" s="968"/>
      <c r="Y10" s="868"/>
      <c r="AA10" s="868"/>
      <c r="AB10" s="868"/>
      <c r="AC10" s="868"/>
      <c r="AD10" s="868"/>
      <c r="AE10" s="868"/>
      <c r="AF10" s="868"/>
      <c r="AG10" s="868"/>
      <c r="AH10" s="868"/>
    </row>
    <row r="11" spans="1:35" s="857" customFormat="1" ht="35.25" customHeight="1" x14ac:dyDescent="0.2">
      <c r="C11" s="858" t="s">
        <v>476</v>
      </c>
      <c r="D11" s="859" t="s">
        <v>1130</v>
      </c>
      <c r="E11" s="860"/>
      <c r="F11" s="861"/>
      <c r="G11" s="862"/>
      <c r="H11" s="861"/>
      <c r="I11" s="856"/>
      <c r="J11" s="862"/>
      <c r="K11" s="856"/>
      <c r="L11" s="862"/>
      <c r="M11" s="861"/>
      <c r="N11" s="862"/>
      <c r="O11" s="862"/>
      <c r="P11" s="862"/>
      <c r="Q11" s="861"/>
      <c r="R11" s="864">
        <f>R12</f>
        <v>85559902431.999954</v>
      </c>
      <c r="S11" s="861"/>
      <c r="T11" s="865"/>
      <c r="U11" s="968"/>
      <c r="V11" s="866"/>
      <c r="W11" s="867"/>
      <c r="Y11" s="868"/>
      <c r="AA11" s="868" t="e">
        <f>AA12+#REF!+#REF!+#REF!</f>
        <v>#REF!</v>
      </c>
      <c r="AB11" s="868" t="e">
        <f>AB12+#REF!+#REF!+#REF!</f>
        <v>#REF!</v>
      </c>
      <c r="AC11" s="868" t="e">
        <f>AC12+#REF!+#REF!+#REF!</f>
        <v>#REF!</v>
      </c>
      <c r="AD11" s="868" t="e">
        <f>AD12+#REF!+#REF!+#REF!</f>
        <v>#REF!</v>
      </c>
      <c r="AE11" s="868" t="e">
        <f>AE12+#REF!+#REF!+#REF!</f>
        <v>#REF!</v>
      </c>
      <c r="AF11" s="868" t="e">
        <f>AF12+#REF!+#REF!+#REF!</f>
        <v>#REF!</v>
      </c>
      <c r="AG11" s="868" t="e">
        <f>AG12+#REF!+#REF!+#REF!</f>
        <v>#REF!</v>
      </c>
      <c r="AH11" s="868" t="e">
        <f>AH12+#REF!+#REF!+#REF!</f>
        <v>#REF!</v>
      </c>
    </row>
    <row r="12" spans="1:35" s="869" customFormat="1" ht="35.25" customHeight="1" x14ac:dyDescent="0.2">
      <c r="C12" s="858" t="s">
        <v>477</v>
      </c>
      <c r="D12" s="859" t="s">
        <v>1131</v>
      </c>
      <c r="E12" s="860"/>
      <c r="F12" s="870"/>
      <c r="G12" s="871"/>
      <c r="H12" s="861"/>
      <c r="I12" s="856"/>
      <c r="J12" s="862"/>
      <c r="K12" s="856"/>
      <c r="L12" s="871"/>
      <c r="M12" s="870"/>
      <c r="N12" s="871"/>
      <c r="O12" s="871"/>
      <c r="P12" s="871"/>
      <c r="Q12" s="870"/>
      <c r="R12" s="864">
        <f>SUM(R13:R77)</f>
        <v>85559902431.999954</v>
      </c>
      <c r="S12" s="870"/>
      <c r="T12" s="873"/>
      <c r="U12" s="964"/>
      <c r="V12" s="965"/>
      <c r="W12" s="875"/>
      <c r="X12" s="874"/>
      <c r="Y12" s="927"/>
      <c r="Z12" s="964"/>
      <c r="AA12" s="927">
        <f t="shared" ref="AA12:AH12" si="0">SUM(AA13:AA74)</f>
        <v>0</v>
      </c>
      <c r="AB12" s="927">
        <f t="shared" si="0"/>
        <v>0</v>
      </c>
      <c r="AC12" s="927">
        <f t="shared" si="0"/>
        <v>0</v>
      </c>
      <c r="AD12" s="927">
        <f t="shared" si="0"/>
        <v>0</v>
      </c>
      <c r="AE12" s="927">
        <f t="shared" si="0"/>
        <v>0</v>
      </c>
      <c r="AF12" s="927">
        <f t="shared" si="0"/>
        <v>0</v>
      </c>
      <c r="AG12" s="927">
        <f t="shared" si="0"/>
        <v>0</v>
      </c>
      <c r="AH12" s="927">
        <f t="shared" si="0"/>
        <v>0</v>
      </c>
      <c r="AI12" s="876"/>
    </row>
    <row r="13" spans="1:35" s="1228" customFormat="1" ht="35.25" customHeight="1" x14ac:dyDescent="0.2">
      <c r="A13" s="1228" t="e">
        <f>VLOOKUP(R13,AR,2,FALSE)</f>
        <v>#N/A</v>
      </c>
      <c r="B13" s="884" t="e">
        <f>RIGHT(#REF!,1)</f>
        <v>#REF!</v>
      </c>
      <c r="C13" s="1229"/>
      <c r="D13" s="1230" t="s">
        <v>1203</v>
      </c>
      <c r="E13" s="1231"/>
      <c r="F13" s="1232" t="s">
        <v>2494</v>
      </c>
      <c r="G13" s="1233"/>
      <c r="H13" s="1232"/>
      <c r="I13" s="1234"/>
      <c r="J13" s="1235"/>
      <c r="K13" s="1234"/>
      <c r="L13" s="1235" t="s">
        <v>3122</v>
      </c>
      <c r="M13" s="1232">
        <v>2008</v>
      </c>
      <c r="N13" s="1235"/>
      <c r="O13" s="1235"/>
      <c r="P13" s="1235"/>
      <c r="Q13" s="1232" t="s">
        <v>12</v>
      </c>
      <c r="R13" s="1236"/>
      <c r="S13" s="1232" t="s">
        <v>43</v>
      </c>
      <c r="T13" s="1261">
        <f>SUM(R14:R33)</f>
        <v>29986611459.999992</v>
      </c>
      <c r="U13" s="1237"/>
      <c r="V13" s="1238" t="str">
        <f>LEFT(F13,8)</f>
        <v>04.13.01</v>
      </c>
      <c r="W13" s="1238" t="str">
        <f>VLOOKUP(V13,UE,3,FALSE)</f>
        <v>Jalan</v>
      </c>
      <c r="X13" s="1238">
        <f>VLOOKUP(V13,UE,4,FALSE)</f>
        <v>10</v>
      </c>
      <c r="Y13" s="1239">
        <f>R13/X13</f>
        <v>0</v>
      </c>
      <c r="Z13" s="1240">
        <f>IF(2013-M13+1&gt;X13,X13,IF(2013-M13+1&lt;0,0,2013-M13+1))</f>
        <v>6</v>
      </c>
      <c r="AA13" s="1239">
        <f>IF(Z13&gt;X13,R13,Y13*Z13)</f>
        <v>0</v>
      </c>
      <c r="AB13" s="1239">
        <f>IF(R13=AA13,0,Y13)</f>
        <v>0</v>
      </c>
      <c r="AC13" s="1239">
        <f>IF(R13=AA13+AB13,0,Y13)</f>
        <v>0</v>
      </c>
      <c r="AD13" s="1239">
        <f>IF(R13=AA13+AB13+AC13,0,Y13)</f>
        <v>0</v>
      </c>
      <c r="AE13" s="1239">
        <f>IF(R13=AB13+AC13+AD13+AA13,0,Y13)</f>
        <v>0</v>
      </c>
      <c r="AF13" s="1241">
        <f>IF(R13=AB13+AC13+AD13+AA13+AE13,0,Y13)</f>
        <v>0</v>
      </c>
      <c r="AG13" s="1241">
        <f>SUM(AA13:AF13)</f>
        <v>0</v>
      </c>
      <c r="AH13" s="1239">
        <f>R13-AG13</f>
        <v>0</v>
      </c>
    </row>
    <row r="14" spans="1:35" s="857" customFormat="1" ht="35.25" customHeight="1" x14ac:dyDescent="0.2">
      <c r="B14" s="884"/>
      <c r="C14" s="855"/>
      <c r="D14" s="878" t="s">
        <v>5185</v>
      </c>
      <c r="E14" s="879"/>
      <c r="F14" s="861"/>
      <c r="G14" s="871"/>
      <c r="H14" s="861"/>
      <c r="I14" s="856"/>
      <c r="J14" s="862"/>
      <c r="K14" s="856"/>
      <c r="L14" s="862"/>
      <c r="M14" s="861"/>
      <c r="N14" s="862"/>
      <c r="O14" s="862"/>
      <c r="P14" s="862"/>
      <c r="Q14" s="861"/>
      <c r="R14" s="899">
        <v>1460104654.3762541</v>
      </c>
      <c r="S14" s="861"/>
      <c r="T14" s="1295"/>
      <c r="U14" s="968"/>
      <c r="V14" s="884"/>
      <c r="W14" s="884"/>
      <c r="X14" s="884"/>
      <c r="Y14" s="868"/>
      <c r="Z14" s="885"/>
      <c r="AA14" s="868"/>
      <c r="AB14" s="868"/>
      <c r="AC14" s="868"/>
      <c r="AD14" s="868"/>
      <c r="AE14" s="868"/>
      <c r="AF14" s="886"/>
      <c r="AG14" s="886"/>
      <c r="AH14" s="868"/>
    </row>
    <row r="15" spans="1:35" s="857" customFormat="1" ht="35.25" customHeight="1" x14ac:dyDescent="0.2">
      <c r="B15" s="884"/>
      <c r="C15" s="855"/>
      <c r="D15" s="878" t="s">
        <v>5111</v>
      </c>
      <c r="E15" s="879"/>
      <c r="F15" s="861"/>
      <c r="G15" s="871"/>
      <c r="H15" s="861"/>
      <c r="I15" s="856"/>
      <c r="J15" s="862"/>
      <c r="K15" s="856"/>
      <c r="L15" s="862"/>
      <c r="M15" s="861"/>
      <c r="N15" s="862"/>
      <c r="O15" s="862"/>
      <c r="P15" s="862"/>
      <c r="Q15" s="861"/>
      <c r="R15" s="899">
        <v>1119035576.9979775</v>
      </c>
      <c r="S15" s="861"/>
      <c r="T15" s="1295"/>
      <c r="U15" s="968"/>
      <c r="V15" s="884"/>
      <c r="W15" s="884"/>
      <c r="X15" s="884"/>
      <c r="Y15" s="868"/>
      <c r="Z15" s="885"/>
      <c r="AA15" s="868"/>
      <c r="AB15" s="868"/>
      <c r="AC15" s="868"/>
      <c r="AD15" s="868"/>
      <c r="AE15" s="868"/>
      <c r="AF15" s="886"/>
      <c r="AG15" s="886"/>
      <c r="AH15" s="868"/>
    </row>
    <row r="16" spans="1:35" s="857" customFormat="1" ht="35.25" customHeight="1" x14ac:dyDescent="0.2">
      <c r="B16" s="884"/>
      <c r="C16" s="855"/>
      <c r="D16" s="878" t="s">
        <v>5188</v>
      </c>
      <c r="E16" s="879"/>
      <c r="F16" s="861"/>
      <c r="G16" s="871"/>
      <c r="H16" s="861"/>
      <c r="I16" s="856"/>
      <c r="J16" s="862"/>
      <c r="K16" s="856"/>
      <c r="L16" s="862"/>
      <c r="M16" s="861"/>
      <c r="N16" s="862"/>
      <c r="O16" s="862"/>
      <c r="P16" s="862"/>
      <c r="Q16" s="861"/>
      <c r="R16" s="899">
        <v>1463770462.0105574</v>
      </c>
      <c r="S16" s="861"/>
      <c r="T16" s="1295"/>
      <c r="U16" s="968"/>
      <c r="V16" s="884"/>
      <c r="W16" s="884"/>
      <c r="X16" s="884"/>
      <c r="Y16" s="868"/>
      <c r="Z16" s="885"/>
      <c r="AA16" s="868"/>
      <c r="AB16" s="868"/>
      <c r="AC16" s="868"/>
      <c r="AD16" s="868"/>
      <c r="AE16" s="868"/>
      <c r="AF16" s="886"/>
      <c r="AG16" s="886"/>
      <c r="AH16" s="868"/>
    </row>
    <row r="17" spans="2:34" s="857" customFormat="1" ht="35.25" customHeight="1" x14ac:dyDescent="0.2">
      <c r="B17" s="884"/>
      <c r="C17" s="855"/>
      <c r="D17" s="878" t="s">
        <v>5191</v>
      </c>
      <c r="E17" s="879"/>
      <c r="F17" s="861"/>
      <c r="G17" s="871"/>
      <c r="H17" s="861"/>
      <c r="I17" s="856"/>
      <c r="J17" s="862"/>
      <c r="K17" s="856"/>
      <c r="L17" s="862"/>
      <c r="M17" s="861"/>
      <c r="N17" s="862"/>
      <c r="O17" s="862"/>
      <c r="P17" s="862"/>
      <c r="Q17" s="861"/>
      <c r="R17" s="899">
        <v>1676133109.72452</v>
      </c>
      <c r="S17" s="861"/>
      <c r="T17" s="1295"/>
      <c r="U17" s="968"/>
      <c r="V17" s="884"/>
      <c r="W17" s="884"/>
      <c r="X17" s="884"/>
      <c r="Y17" s="868"/>
      <c r="Z17" s="885"/>
      <c r="AA17" s="868"/>
      <c r="AB17" s="868"/>
      <c r="AC17" s="868"/>
      <c r="AD17" s="868"/>
      <c r="AE17" s="868"/>
      <c r="AF17" s="886"/>
      <c r="AG17" s="886"/>
      <c r="AH17" s="868"/>
    </row>
    <row r="18" spans="2:34" s="857" customFormat="1" ht="35.25" customHeight="1" x14ac:dyDescent="0.2">
      <c r="B18" s="884"/>
      <c r="C18" s="855"/>
      <c r="D18" s="878" t="s">
        <v>5192</v>
      </c>
      <c r="E18" s="879"/>
      <c r="F18" s="861"/>
      <c r="G18" s="871"/>
      <c r="H18" s="861"/>
      <c r="I18" s="856"/>
      <c r="J18" s="862"/>
      <c r="K18" s="856"/>
      <c r="L18" s="862"/>
      <c r="M18" s="861"/>
      <c r="N18" s="862"/>
      <c r="O18" s="862"/>
      <c r="P18" s="862"/>
      <c r="Q18" s="861"/>
      <c r="R18" s="899">
        <v>1796614592.499243</v>
      </c>
      <c r="S18" s="861"/>
      <c r="T18" s="1295"/>
      <c r="U18" s="968"/>
      <c r="V18" s="884"/>
      <c r="W18" s="884"/>
      <c r="X18" s="884"/>
      <c r="Y18" s="868"/>
      <c r="Z18" s="885"/>
      <c r="AA18" s="868"/>
      <c r="AB18" s="868"/>
      <c r="AC18" s="868"/>
      <c r="AD18" s="868"/>
      <c r="AE18" s="868"/>
      <c r="AF18" s="886"/>
      <c r="AG18" s="886"/>
      <c r="AH18" s="868"/>
    </row>
    <row r="19" spans="2:34" s="857" customFormat="1" ht="35.25" customHeight="1" x14ac:dyDescent="0.2">
      <c r="B19" s="884"/>
      <c r="C19" s="855"/>
      <c r="D19" s="878" t="s">
        <v>5224</v>
      </c>
      <c r="E19" s="879"/>
      <c r="F19" s="861"/>
      <c r="G19" s="871"/>
      <c r="H19" s="861"/>
      <c r="I19" s="856"/>
      <c r="J19" s="862"/>
      <c r="K19" s="856"/>
      <c r="L19" s="862"/>
      <c r="M19" s="861"/>
      <c r="N19" s="862"/>
      <c r="O19" s="862"/>
      <c r="P19" s="862"/>
      <c r="Q19" s="861"/>
      <c r="R19" s="899">
        <v>917028679.55707204</v>
      </c>
      <c r="S19" s="861"/>
      <c r="T19" s="1295"/>
      <c r="U19" s="968"/>
      <c r="V19" s="884"/>
      <c r="W19" s="884"/>
      <c r="X19" s="884"/>
      <c r="Y19" s="868"/>
      <c r="Z19" s="885"/>
      <c r="AA19" s="868"/>
      <c r="AB19" s="868"/>
      <c r="AC19" s="868"/>
      <c r="AD19" s="868"/>
      <c r="AE19" s="868"/>
      <c r="AF19" s="886"/>
      <c r="AG19" s="886"/>
      <c r="AH19" s="868"/>
    </row>
    <row r="20" spans="2:34" s="857" customFormat="1" ht="35.25" customHeight="1" x14ac:dyDescent="0.2">
      <c r="B20" s="884"/>
      <c r="C20" s="855"/>
      <c r="D20" s="878" t="s">
        <v>5225</v>
      </c>
      <c r="E20" s="879"/>
      <c r="F20" s="861"/>
      <c r="G20" s="871"/>
      <c r="H20" s="861"/>
      <c r="I20" s="856"/>
      <c r="J20" s="862"/>
      <c r="K20" s="856"/>
      <c r="L20" s="862"/>
      <c r="M20" s="861"/>
      <c r="N20" s="862"/>
      <c r="O20" s="862"/>
      <c r="P20" s="862"/>
      <c r="Q20" s="861"/>
      <c r="R20" s="899">
        <v>2118663983.6226768</v>
      </c>
      <c r="S20" s="861"/>
      <c r="T20" s="1295"/>
      <c r="U20" s="968"/>
      <c r="V20" s="884"/>
      <c r="W20" s="884"/>
      <c r="X20" s="884"/>
      <c r="Y20" s="868"/>
      <c r="Z20" s="885"/>
      <c r="AA20" s="868"/>
      <c r="AB20" s="868"/>
      <c r="AC20" s="868"/>
      <c r="AD20" s="868"/>
      <c r="AE20" s="868"/>
      <c r="AF20" s="886"/>
      <c r="AG20" s="886"/>
      <c r="AH20" s="868"/>
    </row>
    <row r="21" spans="2:34" s="857" customFormat="1" ht="35.25" customHeight="1" x14ac:dyDescent="0.2">
      <c r="B21" s="884"/>
      <c r="C21" s="855"/>
      <c r="D21" s="878" t="s">
        <v>5226</v>
      </c>
      <c r="E21" s="879"/>
      <c r="F21" s="861"/>
      <c r="G21" s="871"/>
      <c r="H21" s="861"/>
      <c r="I21" s="856"/>
      <c r="J21" s="862"/>
      <c r="K21" s="856"/>
      <c r="L21" s="862"/>
      <c r="M21" s="861"/>
      <c r="N21" s="862"/>
      <c r="O21" s="862"/>
      <c r="P21" s="862"/>
      <c r="Q21" s="861"/>
      <c r="R21" s="899">
        <v>1367704316.8979061</v>
      </c>
      <c r="S21" s="861"/>
      <c r="T21" s="1295"/>
      <c r="U21" s="968"/>
      <c r="V21" s="884"/>
      <c r="W21" s="884"/>
      <c r="X21" s="884"/>
      <c r="Y21" s="868"/>
      <c r="Z21" s="885"/>
      <c r="AA21" s="868"/>
      <c r="AB21" s="868"/>
      <c r="AC21" s="868"/>
      <c r="AD21" s="868"/>
      <c r="AE21" s="868"/>
      <c r="AF21" s="886"/>
      <c r="AG21" s="886"/>
      <c r="AH21" s="868"/>
    </row>
    <row r="22" spans="2:34" s="857" customFormat="1" ht="35.25" customHeight="1" x14ac:dyDescent="0.2">
      <c r="B22" s="884"/>
      <c r="C22" s="855"/>
      <c r="D22" s="878" t="s">
        <v>5138</v>
      </c>
      <c r="E22" s="879"/>
      <c r="F22" s="861"/>
      <c r="G22" s="871"/>
      <c r="H22" s="861"/>
      <c r="I22" s="856"/>
      <c r="J22" s="862"/>
      <c r="K22" s="856"/>
      <c r="L22" s="862"/>
      <c r="M22" s="861"/>
      <c r="N22" s="862"/>
      <c r="O22" s="862"/>
      <c r="P22" s="862"/>
      <c r="Q22" s="861"/>
      <c r="R22" s="899">
        <v>1123483902.1985209</v>
      </c>
      <c r="S22" s="861"/>
      <c r="T22" s="1295"/>
      <c r="U22" s="968"/>
      <c r="V22" s="884"/>
      <c r="W22" s="884"/>
      <c r="X22" s="884"/>
      <c r="Y22" s="868"/>
      <c r="Z22" s="885"/>
      <c r="AA22" s="868"/>
      <c r="AB22" s="868"/>
      <c r="AC22" s="868"/>
      <c r="AD22" s="868"/>
      <c r="AE22" s="868"/>
      <c r="AF22" s="886"/>
      <c r="AG22" s="886"/>
      <c r="AH22" s="868"/>
    </row>
    <row r="23" spans="2:34" s="857" customFormat="1" ht="35.25" customHeight="1" x14ac:dyDescent="0.2">
      <c r="B23" s="884"/>
      <c r="C23" s="855"/>
      <c r="D23" s="878" t="s">
        <v>5135</v>
      </c>
      <c r="E23" s="879"/>
      <c r="F23" s="861"/>
      <c r="G23" s="871"/>
      <c r="H23" s="861"/>
      <c r="I23" s="856"/>
      <c r="J23" s="862"/>
      <c r="K23" s="856"/>
      <c r="L23" s="862"/>
      <c r="M23" s="861"/>
      <c r="N23" s="862"/>
      <c r="O23" s="862"/>
      <c r="P23" s="862"/>
      <c r="Q23" s="861"/>
      <c r="R23" s="899">
        <v>2998815178.4516912</v>
      </c>
      <c r="S23" s="861"/>
      <c r="T23" s="1295"/>
      <c r="U23" s="968"/>
      <c r="V23" s="884"/>
      <c r="W23" s="884"/>
      <c r="X23" s="884"/>
      <c r="Y23" s="868"/>
      <c r="Z23" s="885"/>
      <c r="AA23" s="868"/>
      <c r="AB23" s="868"/>
      <c r="AC23" s="868"/>
      <c r="AD23" s="868"/>
      <c r="AE23" s="868"/>
      <c r="AF23" s="886"/>
      <c r="AG23" s="886"/>
      <c r="AH23" s="868"/>
    </row>
    <row r="24" spans="2:34" s="857" customFormat="1" ht="35.25" customHeight="1" x14ac:dyDescent="0.2">
      <c r="B24" s="884"/>
      <c r="C24" s="855"/>
      <c r="D24" s="878" t="s">
        <v>5118</v>
      </c>
      <c r="E24" s="879"/>
      <c r="F24" s="861"/>
      <c r="G24" s="871"/>
      <c r="H24" s="861"/>
      <c r="I24" s="856"/>
      <c r="J24" s="862"/>
      <c r="K24" s="856"/>
      <c r="L24" s="862"/>
      <c r="M24" s="861"/>
      <c r="N24" s="862"/>
      <c r="O24" s="862"/>
      <c r="P24" s="862"/>
      <c r="Q24" s="861"/>
      <c r="R24" s="899">
        <v>1267638302.7436845</v>
      </c>
      <c r="S24" s="861"/>
      <c r="T24" s="1295"/>
      <c r="U24" s="968"/>
      <c r="V24" s="884"/>
      <c r="W24" s="884"/>
      <c r="X24" s="884"/>
      <c r="Y24" s="868"/>
      <c r="Z24" s="885"/>
      <c r="AA24" s="868"/>
      <c r="AB24" s="868"/>
      <c r="AC24" s="868"/>
      <c r="AD24" s="868"/>
      <c r="AE24" s="868"/>
      <c r="AF24" s="886"/>
      <c r="AG24" s="886"/>
      <c r="AH24" s="868"/>
    </row>
    <row r="25" spans="2:34" s="857" customFormat="1" ht="35.25" customHeight="1" x14ac:dyDescent="0.2">
      <c r="B25" s="884"/>
      <c r="C25" s="855"/>
      <c r="D25" s="878" t="s">
        <v>5197</v>
      </c>
      <c r="E25" s="879"/>
      <c r="F25" s="861"/>
      <c r="G25" s="871"/>
      <c r="H25" s="861"/>
      <c r="I25" s="856"/>
      <c r="J25" s="862"/>
      <c r="K25" s="856"/>
      <c r="L25" s="862"/>
      <c r="M25" s="861"/>
      <c r="N25" s="862"/>
      <c r="O25" s="862"/>
      <c r="P25" s="862"/>
      <c r="Q25" s="861"/>
      <c r="R25" s="899">
        <v>958571374.036551</v>
      </c>
      <c r="S25" s="861"/>
      <c r="T25" s="1295"/>
      <c r="U25" s="968"/>
      <c r="V25" s="884"/>
      <c r="W25" s="884"/>
      <c r="X25" s="884"/>
      <c r="Y25" s="868"/>
      <c r="Z25" s="885"/>
      <c r="AA25" s="868"/>
      <c r="AB25" s="868"/>
      <c r="AC25" s="868"/>
      <c r="AD25" s="868"/>
      <c r="AE25" s="868"/>
      <c r="AF25" s="886"/>
      <c r="AG25" s="886"/>
      <c r="AH25" s="868"/>
    </row>
    <row r="26" spans="2:34" s="857" customFormat="1" ht="35.25" customHeight="1" x14ac:dyDescent="0.2">
      <c r="B26" s="884"/>
      <c r="C26" s="855"/>
      <c r="D26" s="878" t="s">
        <v>5177</v>
      </c>
      <c r="E26" s="879"/>
      <c r="F26" s="861"/>
      <c r="G26" s="871"/>
      <c r="H26" s="861"/>
      <c r="I26" s="856"/>
      <c r="J26" s="862"/>
      <c r="K26" s="856"/>
      <c r="L26" s="862"/>
      <c r="M26" s="861"/>
      <c r="N26" s="862"/>
      <c r="O26" s="862"/>
      <c r="P26" s="862"/>
      <c r="Q26" s="861"/>
      <c r="R26" s="899">
        <v>1471211348.1665983</v>
      </c>
      <c r="S26" s="861"/>
      <c r="T26" s="1295"/>
      <c r="U26" s="968"/>
      <c r="V26" s="884"/>
      <c r="W26" s="884"/>
      <c r="X26" s="884"/>
      <c r="Y26" s="868"/>
      <c r="Z26" s="885"/>
      <c r="AA26" s="868"/>
      <c r="AB26" s="868"/>
      <c r="AC26" s="868"/>
      <c r="AD26" s="868"/>
      <c r="AE26" s="868"/>
      <c r="AF26" s="886"/>
      <c r="AG26" s="886"/>
      <c r="AH26" s="868"/>
    </row>
    <row r="27" spans="2:34" s="857" customFormat="1" ht="35.25" customHeight="1" x14ac:dyDescent="0.2">
      <c r="B27" s="884"/>
      <c r="C27" s="855"/>
      <c r="D27" s="878" t="s">
        <v>5198</v>
      </c>
      <c r="E27" s="879"/>
      <c r="F27" s="861"/>
      <c r="G27" s="871"/>
      <c r="H27" s="861"/>
      <c r="I27" s="856"/>
      <c r="J27" s="862"/>
      <c r="K27" s="856"/>
      <c r="L27" s="862"/>
      <c r="M27" s="861"/>
      <c r="N27" s="862"/>
      <c r="O27" s="862"/>
      <c r="P27" s="862"/>
      <c r="Q27" s="861"/>
      <c r="R27" s="899">
        <v>2945813935.276629</v>
      </c>
      <c r="S27" s="861"/>
      <c r="T27" s="1295"/>
      <c r="U27" s="968"/>
      <c r="V27" s="884"/>
      <c r="W27" s="884"/>
      <c r="X27" s="884"/>
      <c r="Y27" s="868"/>
      <c r="Z27" s="885"/>
      <c r="AA27" s="868"/>
      <c r="AB27" s="868"/>
      <c r="AC27" s="868"/>
      <c r="AD27" s="868"/>
      <c r="AE27" s="868"/>
      <c r="AF27" s="886"/>
      <c r="AG27" s="886"/>
      <c r="AH27" s="868"/>
    </row>
    <row r="28" spans="2:34" s="857" customFormat="1" ht="35.25" customHeight="1" x14ac:dyDescent="0.2">
      <c r="B28" s="884"/>
      <c r="C28" s="855"/>
      <c r="D28" s="878" t="s">
        <v>5146</v>
      </c>
      <c r="E28" s="879"/>
      <c r="F28" s="861"/>
      <c r="G28" s="871"/>
      <c r="H28" s="861"/>
      <c r="I28" s="856"/>
      <c r="J28" s="862"/>
      <c r="K28" s="856"/>
      <c r="L28" s="862"/>
      <c r="M28" s="861"/>
      <c r="N28" s="862"/>
      <c r="O28" s="862"/>
      <c r="P28" s="862"/>
      <c r="Q28" s="861"/>
      <c r="R28" s="899">
        <v>1022988789.8260441</v>
      </c>
      <c r="S28" s="861"/>
      <c r="T28" s="1295"/>
      <c r="U28" s="968"/>
      <c r="V28" s="884"/>
      <c r="W28" s="884"/>
      <c r="X28" s="884"/>
      <c r="Y28" s="868"/>
      <c r="Z28" s="885"/>
      <c r="AA28" s="868"/>
      <c r="AB28" s="868"/>
      <c r="AC28" s="868"/>
      <c r="AD28" s="868"/>
      <c r="AE28" s="868"/>
      <c r="AF28" s="886"/>
      <c r="AG28" s="886"/>
      <c r="AH28" s="868"/>
    </row>
    <row r="29" spans="2:34" s="857" customFormat="1" ht="35.25" customHeight="1" x14ac:dyDescent="0.2">
      <c r="B29" s="884"/>
      <c r="C29" s="855"/>
      <c r="D29" s="878" t="s">
        <v>5140</v>
      </c>
      <c r="E29" s="879"/>
      <c r="F29" s="861"/>
      <c r="G29" s="871"/>
      <c r="H29" s="861"/>
      <c r="I29" s="856"/>
      <c r="J29" s="862"/>
      <c r="K29" s="856"/>
      <c r="L29" s="862"/>
      <c r="M29" s="861"/>
      <c r="N29" s="862"/>
      <c r="O29" s="862"/>
      <c r="P29" s="862"/>
      <c r="Q29" s="861"/>
      <c r="R29" s="899">
        <v>992854526.88886106</v>
      </c>
      <c r="S29" s="861"/>
      <c r="T29" s="1295"/>
      <c r="U29" s="968"/>
      <c r="V29" s="884"/>
      <c r="W29" s="884"/>
      <c r="X29" s="884"/>
      <c r="Y29" s="868"/>
      <c r="Z29" s="885"/>
      <c r="AA29" s="868"/>
      <c r="AB29" s="868"/>
      <c r="AC29" s="868"/>
      <c r="AD29" s="868"/>
      <c r="AE29" s="868"/>
      <c r="AF29" s="886"/>
      <c r="AG29" s="886"/>
      <c r="AH29" s="868"/>
    </row>
    <row r="30" spans="2:34" s="857" customFormat="1" ht="35.25" customHeight="1" x14ac:dyDescent="0.2">
      <c r="B30" s="884"/>
      <c r="C30" s="855"/>
      <c r="D30" s="878" t="s">
        <v>5199</v>
      </c>
      <c r="E30" s="879"/>
      <c r="F30" s="861"/>
      <c r="G30" s="871"/>
      <c r="H30" s="861"/>
      <c r="I30" s="856"/>
      <c r="J30" s="862"/>
      <c r="K30" s="856"/>
      <c r="L30" s="862"/>
      <c r="M30" s="861"/>
      <c r="N30" s="862"/>
      <c r="O30" s="862"/>
      <c r="P30" s="862"/>
      <c r="Q30" s="861"/>
      <c r="R30" s="899">
        <v>1363909803.4338889</v>
      </c>
      <c r="S30" s="861"/>
      <c r="T30" s="1295"/>
      <c r="U30" s="968"/>
      <c r="V30" s="884"/>
      <c r="W30" s="884"/>
      <c r="X30" s="884"/>
      <c r="Y30" s="868"/>
      <c r="Z30" s="885"/>
      <c r="AA30" s="868"/>
      <c r="AB30" s="868"/>
      <c r="AC30" s="868"/>
      <c r="AD30" s="868"/>
      <c r="AE30" s="868"/>
      <c r="AF30" s="886"/>
      <c r="AG30" s="886"/>
      <c r="AH30" s="868"/>
    </row>
    <row r="31" spans="2:34" s="857" customFormat="1" ht="35.25" customHeight="1" x14ac:dyDescent="0.2">
      <c r="B31" s="884"/>
      <c r="C31" s="855"/>
      <c r="D31" s="878" t="s">
        <v>5129</v>
      </c>
      <c r="E31" s="879"/>
      <c r="F31" s="861"/>
      <c r="G31" s="871"/>
      <c r="H31" s="861"/>
      <c r="I31" s="856"/>
      <c r="J31" s="862"/>
      <c r="K31" s="856"/>
      <c r="L31" s="862"/>
      <c r="M31" s="861"/>
      <c r="N31" s="862"/>
      <c r="O31" s="862"/>
      <c r="P31" s="862"/>
      <c r="Q31" s="861"/>
      <c r="R31" s="899">
        <v>443067147.13593698</v>
      </c>
      <c r="S31" s="861"/>
      <c r="T31" s="1295"/>
      <c r="U31" s="968"/>
      <c r="V31" s="884"/>
      <c r="W31" s="884"/>
      <c r="X31" s="884"/>
      <c r="Y31" s="868"/>
      <c r="Z31" s="885"/>
      <c r="AA31" s="868"/>
      <c r="AB31" s="868"/>
      <c r="AC31" s="868"/>
      <c r="AD31" s="868"/>
      <c r="AE31" s="868"/>
      <c r="AF31" s="886"/>
      <c r="AG31" s="886"/>
      <c r="AH31" s="868"/>
    </row>
    <row r="32" spans="2:34" s="857" customFormat="1" ht="35.25" customHeight="1" x14ac:dyDescent="0.2">
      <c r="B32" s="884"/>
      <c r="C32" s="855"/>
      <c r="D32" s="878" t="s">
        <v>5159</v>
      </c>
      <c r="E32" s="879"/>
      <c r="F32" s="861"/>
      <c r="G32" s="871"/>
      <c r="H32" s="861"/>
      <c r="I32" s="856"/>
      <c r="J32" s="862"/>
      <c r="K32" s="856"/>
      <c r="L32" s="862"/>
      <c r="M32" s="861"/>
      <c r="N32" s="862"/>
      <c r="O32" s="862"/>
      <c r="P32" s="862"/>
      <c r="Q32" s="861"/>
      <c r="R32" s="899">
        <v>2164030080.8653526</v>
      </c>
      <c r="S32" s="861"/>
      <c r="T32" s="1295"/>
      <c r="U32" s="968"/>
      <c r="V32" s="884"/>
      <c r="W32" s="884"/>
      <c r="X32" s="884"/>
      <c r="Y32" s="868"/>
      <c r="Z32" s="885"/>
      <c r="AA32" s="868"/>
      <c r="AB32" s="868"/>
      <c r="AC32" s="868"/>
      <c r="AD32" s="868"/>
      <c r="AE32" s="868"/>
      <c r="AF32" s="886"/>
      <c r="AG32" s="886"/>
      <c r="AH32" s="868"/>
    </row>
    <row r="33" spans="1:34" s="857" customFormat="1" ht="35.25" customHeight="1" x14ac:dyDescent="0.2">
      <c r="B33" s="884"/>
      <c r="C33" s="855"/>
      <c r="D33" s="878" t="s">
        <v>5200</v>
      </c>
      <c r="E33" s="879"/>
      <c r="F33" s="861"/>
      <c r="G33" s="871"/>
      <c r="H33" s="861"/>
      <c r="I33" s="856"/>
      <c r="J33" s="862"/>
      <c r="K33" s="856"/>
      <c r="L33" s="862"/>
      <c r="M33" s="861"/>
      <c r="N33" s="862"/>
      <c r="O33" s="862"/>
      <c r="P33" s="862"/>
      <c r="Q33" s="861"/>
      <c r="R33" s="899">
        <v>1315171695.290029</v>
      </c>
      <c r="S33" s="861"/>
      <c r="T33" s="1295"/>
      <c r="U33" s="968"/>
      <c r="V33" s="884"/>
      <c r="W33" s="884"/>
      <c r="X33" s="884"/>
      <c r="Y33" s="868"/>
      <c r="Z33" s="885"/>
      <c r="AA33" s="868"/>
      <c r="AB33" s="868"/>
      <c r="AC33" s="868"/>
      <c r="AD33" s="868"/>
      <c r="AE33" s="868"/>
      <c r="AF33" s="886"/>
      <c r="AG33" s="886"/>
      <c r="AH33" s="868"/>
    </row>
    <row r="34" spans="1:34" s="1228" customFormat="1" ht="35.25" customHeight="1" x14ac:dyDescent="0.2">
      <c r="A34" s="1228" t="e">
        <v>#N/A</v>
      </c>
      <c r="B34" s="884" t="e">
        <f>RIGHT(#REF!,1)</f>
        <v>#REF!</v>
      </c>
      <c r="C34" s="1229"/>
      <c r="D34" s="1230" t="s">
        <v>1203</v>
      </c>
      <c r="E34" s="1231"/>
      <c r="F34" s="1232" t="s">
        <v>2494</v>
      </c>
      <c r="G34" s="1233"/>
      <c r="H34" s="1232"/>
      <c r="I34" s="1234"/>
      <c r="J34" s="1235"/>
      <c r="K34" s="1234"/>
      <c r="L34" s="1235"/>
      <c r="M34" s="1232">
        <v>2008</v>
      </c>
      <c r="N34" s="1235"/>
      <c r="O34" s="1235"/>
      <c r="P34" s="1235"/>
      <c r="Q34" s="1232" t="s">
        <v>12</v>
      </c>
      <c r="R34" s="1236"/>
      <c r="S34" s="1232"/>
      <c r="T34" s="1261">
        <f>SUM(R35:R46)</f>
        <v>10544570566.000002</v>
      </c>
      <c r="U34" s="1237"/>
      <c r="V34" s="1238" t="str">
        <f>LEFT(F34,8)</f>
        <v>04.13.01</v>
      </c>
      <c r="W34" s="1238" t="str">
        <f>VLOOKUP(V34,UE,3,FALSE)</f>
        <v>Jalan</v>
      </c>
      <c r="X34" s="1238">
        <f>VLOOKUP(V34,UE,4,FALSE)</f>
        <v>10</v>
      </c>
      <c r="Y34" s="1239">
        <f>R34/X34</f>
        <v>0</v>
      </c>
      <c r="Z34" s="1240">
        <f>IF(2013-M34+1&gt;X34,X34,IF(2013-M34+1&lt;0,0,2013-M34+1))</f>
        <v>6</v>
      </c>
      <c r="AA34" s="1239">
        <f>IF(Z34&gt;X34,R34,Y34*Z34)</f>
        <v>0</v>
      </c>
      <c r="AB34" s="1239">
        <f>IF(R34=AA34,0,Y34)</f>
        <v>0</v>
      </c>
      <c r="AC34" s="1239">
        <f>IF(R34=AA34+AB34,0,Y34)</f>
        <v>0</v>
      </c>
      <c r="AD34" s="1239">
        <f>IF(R34=AA34+AB34+AC34,0,Y34)</f>
        <v>0</v>
      </c>
      <c r="AE34" s="1239">
        <f>IF(R34=AB34+AC34+AD34+AA34,0,Y34)</f>
        <v>0</v>
      </c>
      <c r="AF34" s="1241">
        <f>IF(R34=AB34+AC34+AD34+AA34+AE34,0,Y34)</f>
        <v>0</v>
      </c>
      <c r="AG34" s="1241">
        <f>SUM(AA34:AF34)</f>
        <v>0</v>
      </c>
      <c r="AH34" s="1239">
        <f>R34-AG34</f>
        <v>0</v>
      </c>
    </row>
    <row r="35" spans="1:34" s="857" customFormat="1" ht="35.25" customHeight="1" x14ac:dyDescent="0.2">
      <c r="B35" s="884"/>
      <c r="C35" s="855"/>
      <c r="D35" s="878" t="s">
        <v>5227</v>
      </c>
      <c r="E35" s="879"/>
      <c r="F35" s="861"/>
      <c r="G35" s="871"/>
      <c r="H35" s="861"/>
      <c r="I35" s="856"/>
      <c r="J35" s="862"/>
      <c r="K35" s="856"/>
      <c r="L35" s="862"/>
      <c r="M35" s="861"/>
      <c r="N35" s="862"/>
      <c r="O35" s="862"/>
      <c r="P35" s="862"/>
      <c r="Q35" s="861"/>
      <c r="R35" s="899">
        <v>1299102329.9466119</v>
      </c>
      <c r="S35" s="861"/>
      <c r="T35" s="1295"/>
      <c r="U35" s="968"/>
      <c r="V35" s="884"/>
      <c r="W35" s="884"/>
      <c r="X35" s="884"/>
      <c r="Y35" s="868"/>
      <c r="Z35" s="885"/>
      <c r="AA35" s="868"/>
      <c r="AB35" s="868"/>
      <c r="AC35" s="868"/>
      <c r="AD35" s="868"/>
      <c r="AE35" s="868"/>
      <c r="AF35" s="886"/>
      <c r="AG35" s="886"/>
      <c r="AH35" s="868"/>
    </row>
    <row r="36" spans="1:34" s="857" customFormat="1" ht="35.25" customHeight="1" x14ac:dyDescent="0.2">
      <c r="B36" s="884"/>
      <c r="C36" s="855"/>
      <c r="D36" s="878" t="s">
        <v>5228</v>
      </c>
      <c r="E36" s="879"/>
      <c r="F36" s="861"/>
      <c r="G36" s="871"/>
      <c r="H36" s="861"/>
      <c r="I36" s="856"/>
      <c r="J36" s="862"/>
      <c r="K36" s="856"/>
      <c r="L36" s="862"/>
      <c r="M36" s="861"/>
      <c r="N36" s="862"/>
      <c r="O36" s="862"/>
      <c r="P36" s="862"/>
      <c r="Q36" s="861"/>
      <c r="R36" s="899">
        <v>110048799.64443959</v>
      </c>
      <c r="S36" s="861"/>
      <c r="T36" s="1295"/>
      <c r="U36" s="968"/>
      <c r="V36" s="884"/>
      <c r="W36" s="884"/>
      <c r="X36" s="884"/>
      <c r="Y36" s="868"/>
      <c r="Z36" s="885"/>
      <c r="AA36" s="868"/>
      <c r="AB36" s="868"/>
      <c r="AC36" s="868"/>
      <c r="AD36" s="868"/>
      <c r="AE36" s="868"/>
      <c r="AF36" s="886"/>
      <c r="AG36" s="886"/>
      <c r="AH36" s="868"/>
    </row>
    <row r="37" spans="1:34" s="857" customFormat="1" ht="35.25" customHeight="1" x14ac:dyDescent="0.2">
      <c r="B37" s="884"/>
      <c r="C37" s="855"/>
      <c r="D37" s="878" t="s">
        <v>5229</v>
      </c>
      <c r="E37" s="879"/>
      <c r="F37" s="861"/>
      <c r="G37" s="871"/>
      <c r="H37" s="861"/>
      <c r="I37" s="856"/>
      <c r="J37" s="862"/>
      <c r="K37" s="856"/>
      <c r="L37" s="862"/>
      <c r="M37" s="861"/>
      <c r="N37" s="862"/>
      <c r="O37" s="862"/>
      <c r="P37" s="862"/>
      <c r="Q37" s="861"/>
      <c r="R37" s="899">
        <v>497351470.55754954</v>
      </c>
      <c r="S37" s="861"/>
      <c r="T37" s="1295"/>
      <c r="U37" s="968"/>
      <c r="V37" s="884"/>
      <c r="W37" s="884"/>
      <c r="X37" s="884"/>
      <c r="Y37" s="868"/>
      <c r="Z37" s="885"/>
      <c r="AA37" s="868"/>
      <c r="AB37" s="868"/>
      <c r="AC37" s="868"/>
      <c r="AD37" s="868"/>
      <c r="AE37" s="868"/>
      <c r="AF37" s="886"/>
      <c r="AG37" s="886"/>
      <c r="AH37" s="868"/>
    </row>
    <row r="38" spans="1:34" s="857" customFormat="1" ht="35.25" customHeight="1" x14ac:dyDescent="0.2">
      <c r="B38" s="884"/>
      <c r="C38" s="855"/>
      <c r="D38" s="878" t="s">
        <v>5230</v>
      </c>
      <c r="E38" s="879"/>
      <c r="F38" s="861"/>
      <c r="G38" s="871"/>
      <c r="H38" s="861"/>
      <c r="I38" s="856"/>
      <c r="J38" s="862"/>
      <c r="K38" s="856"/>
      <c r="L38" s="862"/>
      <c r="M38" s="861"/>
      <c r="N38" s="862"/>
      <c r="O38" s="862"/>
      <c r="P38" s="862"/>
      <c r="Q38" s="861"/>
      <c r="R38" s="899">
        <v>1151822140.4144218</v>
      </c>
      <c r="S38" s="861"/>
      <c r="T38" s="1295"/>
      <c r="U38" s="968"/>
      <c r="V38" s="884"/>
      <c r="W38" s="884"/>
      <c r="X38" s="884"/>
      <c r="Y38" s="868"/>
      <c r="Z38" s="885"/>
      <c r="AA38" s="868"/>
      <c r="AB38" s="868"/>
      <c r="AC38" s="868"/>
      <c r="AD38" s="868"/>
      <c r="AE38" s="868"/>
      <c r="AF38" s="886"/>
      <c r="AG38" s="886"/>
      <c r="AH38" s="868"/>
    </row>
    <row r="39" spans="1:34" s="857" customFormat="1" ht="35.25" customHeight="1" x14ac:dyDescent="0.2">
      <c r="B39" s="884"/>
      <c r="C39" s="855"/>
      <c r="D39" s="878" t="s">
        <v>5231</v>
      </c>
      <c r="E39" s="879"/>
      <c r="F39" s="861"/>
      <c r="G39" s="871"/>
      <c r="H39" s="861"/>
      <c r="I39" s="856"/>
      <c r="J39" s="862"/>
      <c r="K39" s="856"/>
      <c r="L39" s="862"/>
      <c r="M39" s="861"/>
      <c r="N39" s="862"/>
      <c r="O39" s="862"/>
      <c r="P39" s="862"/>
      <c r="Q39" s="861"/>
      <c r="R39" s="899">
        <v>787324847.00173604</v>
      </c>
      <c r="S39" s="861"/>
      <c r="T39" s="1295"/>
      <c r="U39" s="968"/>
      <c r="V39" s="884"/>
      <c r="W39" s="884"/>
      <c r="X39" s="884"/>
      <c r="Y39" s="868"/>
      <c r="Z39" s="885"/>
      <c r="AA39" s="868"/>
      <c r="AB39" s="868"/>
      <c r="AC39" s="868"/>
      <c r="AD39" s="868"/>
      <c r="AE39" s="868"/>
      <c r="AF39" s="886"/>
      <c r="AG39" s="886"/>
      <c r="AH39" s="868"/>
    </row>
    <row r="40" spans="1:34" s="857" customFormat="1" ht="35.25" customHeight="1" x14ac:dyDescent="0.2">
      <c r="B40" s="884"/>
      <c r="C40" s="855"/>
      <c r="D40" s="878" t="s">
        <v>5232</v>
      </c>
      <c r="E40" s="879"/>
      <c r="F40" s="861"/>
      <c r="G40" s="871"/>
      <c r="H40" s="861"/>
      <c r="I40" s="856"/>
      <c r="J40" s="862"/>
      <c r="K40" s="856"/>
      <c r="L40" s="862"/>
      <c r="M40" s="861"/>
      <c r="N40" s="862"/>
      <c r="O40" s="862"/>
      <c r="P40" s="862"/>
      <c r="Q40" s="861"/>
      <c r="R40" s="899">
        <v>804846252.30559182</v>
      </c>
      <c r="S40" s="861"/>
      <c r="T40" s="1295"/>
      <c r="U40" s="968"/>
      <c r="V40" s="884"/>
      <c r="W40" s="884"/>
      <c r="X40" s="884"/>
      <c r="Y40" s="868"/>
      <c r="Z40" s="885"/>
      <c r="AA40" s="868"/>
      <c r="AB40" s="868"/>
      <c r="AC40" s="868"/>
      <c r="AD40" s="868"/>
      <c r="AE40" s="868"/>
      <c r="AF40" s="886"/>
      <c r="AG40" s="886"/>
      <c r="AH40" s="868"/>
    </row>
    <row r="41" spans="1:34" s="857" customFormat="1" ht="35.25" customHeight="1" x14ac:dyDescent="0.2">
      <c r="B41" s="884"/>
      <c r="C41" s="855"/>
      <c r="D41" s="878" t="s">
        <v>5233</v>
      </c>
      <c r="E41" s="879"/>
      <c r="F41" s="861"/>
      <c r="G41" s="871"/>
      <c r="H41" s="861"/>
      <c r="I41" s="856"/>
      <c r="J41" s="862"/>
      <c r="K41" s="856"/>
      <c r="L41" s="862"/>
      <c r="M41" s="861"/>
      <c r="N41" s="862"/>
      <c r="O41" s="862"/>
      <c r="P41" s="862"/>
      <c r="Q41" s="861"/>
      <c r="R41" s="899">
        <v>1301860332.6977201</v>
      </c>
      <c r="S41" s="861"/>
      <c r="T41" s="1295"/>
      <c r="U41" s="968"/>
      <c r="V41" s="884"/>
      <c r="W41" s="884"/>
      <c r="X41" s="884"/>
      <c r="Y41" s="868"/>
      <c r="Z41" s="885"/>
      <c r="AA41" s="868"/>
      <c r="AB41" s="868"/>
      <c r="AC41" s="868"/>
      <c r="AD41" s="868"/>
      <c r="AE41" s="868"/>
      <c r="AF41" s="886"/>
      <c r="AG41" s="886"/>
      <c r="AH41" s="868"/>
    </row>
    <row r="42" spans="1:34" s="857" customFormat="1" ht="35.25" customHeight="1" x14ac:dyDescent="0.2">
      <c r="B42" s="884"/>
      <c r="C42" s="855"/>
      <c r="D42" s="878" t="s">
        <v>5234</v>
      </c>
      <c r="E42" s="879"/>
      <c r="F42" s="861"/>
      <c r="G42" s="871"/>
      <c r="H42" s="861"/>
      <c r="I42" s="856"/>
      <c r="J42" s="862"/>
      <c r="K42" s="856"/>
      <c r="L42" s="862"/>
      <c r="M42" s="861"/>
      <c r="N42" s="862"/>
      <c r="O42" s="862"/>
      <c r="P42" s="862"/>
      <c r="Q42" s="861"/>
      <c r="R42" s="899">
        <v>942281942.42587268</v>
      </c>
      <c r="S42" s="861"/>
      <c r="T42" s="1295"/>
      <c r="U42" s="968"/>
      <c r="V42" s="884"/>
      <c r="W42" s="884"/>
      <c r="X42" s="884"/>
      <c r="Y42" s="868"/>
      <c r="Z42" s="885"/>
      <c r="AA42" s="868"/>
      <c r="AB42" s="868"/>
      <c r="AC42" s="868"/>
      <c r="AD42" s="868"/>
      <c r="AE42" s="868"/>
      <c r="AF42" s="886"/>
      <c r="AG42" s="886"/>
      <c r="AH42" s="868"/>
    </row>
    <row r="43" spans="1:34" s="857" customFormat="1" ht="35.25" customHeight="1" x14ac:dyDescent="0.2">
      <c r="B43" s="884"/>
      <c r="C43" s="855"/>
      <c r="D43" s="878" t="s">
        <v>5235</v>
      </c>
      <c r="E43" s="879"/>
      <c r="F43" s="861"/>
      <c r="G43" s="871"/>
      <c r="H43" s="861"/>
      <c r="I43" s="856"/>
      <c r="J43" s="862"/>
      <c r="K43" s="856"/>
      <c r="L43" s="862"/>
      <c r="M43" s="861"/>
      <c r="N43" s="862"/>
      <c r="O43" s="862"/>
      <c r="P43" s="862"/>
      <c r="Q43" s="861"/>
      <c r="R43" s="899">
        <v>579572027.01978445</v>
      </c>
      <c r="S43" s="861"/>
      <c r="T43" s="1295"/>
      <c r="U43" s="968"/>
      <c r="V43" s="884"/>
      <c r="W43" s="884"/>
      <c r="X43" s="884"/>
      <c r="Y43" s="868"/>
      <c r="Z43" s="885"/>
      <c r="AA43" s="868"/>
      <c r="AB43" s="868"/>
      <c r="AC43" s="868"/>
      <c r="AD43" s="868"/>
      <c r="AE43" s="868"/>
      <c r="AF43" s="886"/>
      <c r="AG43" s="886"/>
      <c r="AH43" s="868"/>
    </row>
    <row r="44" spans="1:34" s="857" customFormat="1" ht="35.25" customHeight="1" x14ac:dyDescent="0.2">
      <c r="B44" s="884"/>
      <c r="C44" s="855"/>
      <c r="D44" s="878" t="s">
        <v>5236</v>
      </c>
      <c r="E44" s="879"/>
      <c r="F44" s="861"/>
      <c r="G44" s="871"/>
      <c r="H44" s="861"/>
      <c r="I44" s="856"/>
      <c r="J44" s="862"/>
      <c r="K44" s="856"/>
      <c r="L44" s="862"/>
      <c r="M44" s="861"/>
      <c r="N44" s="862"/>
      <c r="O44" s="862"/>
      <c r="P44" s="862"/>
      <c r="Q44" s="861"/>
      <c r="R44" s="899">
        <v>1215178106.6305149</v>
      </c>
      <c r="S44" s="861"/>
      <c r="T44" s="1295"/>
      <c r="U44" s="968"/>
      <c r="V44" s="884"/>
      <c r="W44" s="884"/>
      <c r="X44" s="884"/>
      <c r="Y44" s="868"/>
      <c r="Z44" s="885"/>
      <c r="AA44" s="868"/>
      <c r="AB44" s="868"/>
      <c r="AC44" s="868"/>
      <c r="AD44" s="868"/>
      <c r="AE44" s="868"/>
      <c r="AF44" s="886"/>
      <c r="AG44" s="886"/>
      <c r="AH44" s="868"/>
    </row>
    <row r="45" spans="1:34" s="857" customFormat="1" ht="35.25" customHeight="1" x14ac:dyDescent="0.2">
      <c r="B45" s="884"/>
      <c r="C45" s="855"/>
      <c r="D45" s="878" t="s">
        <v>5237</v>
      </c>
      <c r="E45" s="879"/>
      <c r="F45" s="861"/>
      <c r="G45" s="871"/>
      <c r="H45" s="861"/>
      <c r="I45" s="856"/>
      <c r="J45" s="862"/>
      <c r="K45" s="856"/>
      <c r="L45" s="862"/>
      <c r="M45" s="861"/>
      <c r="N45" s="862"/>
      <c r="O45" s="862"/>
      <c r="P45" s="862"/>
      <c r="Q45" s="861"/>
      <c r="R45" s="899">
        <v>1197990582.5743275</v>
      </c>
      <c r="S45" s="861"/>
      <c r="T45" s="1295"/>
      <c r="U45" s="968"/>
      <c r="V45" s="884"/>
      <c r="W45" s="884"/>
      <c r="X45" s="884"/>
      <c r="Y45" s="868"/>
      <c r="Z45" s="885"/>
      <c r="AA45" s="868"/>
      <c r="AB45" s="868"/>
      <c r="AC45" s="868"/>
      <c r="AD45" s="868"/>
      <c r="AE45" s="868"/>
      <c r="AF45" s="886"/>
      <c r="AG45" s="886"/>
      <c r="AH45" s="868"/>
    </row>
    <row r="46" spans="1:34" s="857" customFormat="1" ht="35.25" customHeight="1" x14ac:dyDescent="0.2">
      <c r="B46" s="884"/>
      <c r="C46" s="855"/>
      <c r="D46" s="878" t="s">
        <v>5238</v>
      </c>
      <c r="E46" s="879"/>
      <c r="F46" s="861"/>
      <c r="G46" s="871"/>
      <c r="H46" s="861"/>
      <c r="I46" s="856"/>
      <c r="J46" s="862"/>
      <c r="K46" s="856"/>
      <c r="L46" s="862"/>
      <c r="M46" s="861"/>
      <c r="N46" s="862"/>
      <c r="O46" s="862"/>
      <c r="P46" s="862"/>
      <c r="Q46" s="861"/>
      <c r="R46" s="899">
        <v>657191734.78143203</v>
      </c>
      <c r="S46" s="861"/>
      <c r="T46" s="1295"/>
      <c r="U46" s="968"/>
      <c r="V46" s="884"/>
      <c r="W46" s="884"/>
      <c r="X46" s="884"/>
      <c r="Y46" s="868"/>
      <c r="Z46" s="885"/>
      <c r="AA46" s="868"/>
      <c r="AB46" s="868"/>
      <c r="AC46" s="868"/>
      <c r="AD46" s="868"/>
      <c r="AE46" s="868"/>
      <c r="AF46" s="886"/>
      <c r="AG46" s="886"/>
      <c r="AH46" s="868"/>
    </row>
    <row r="47" spans="1:34" s="1228" customFormat="1" ht="35.25" customHeight="1" x14ac:dyDescent="0.2">
      <c r="A47" s="1228" t="e">
        <f>VLOOKUP(R47,AR,2,FALSE)</f>
        <v>#N/A</v>
      </c>
      <c r="B47" s="884" t="e">
        <f>RIGHT(#REF!,1)</f>
        <v>#REF!</v>
      </c>
      <c r="C47" s="1229"/>
      <c r="D47" s="1230" t="s">
        <v>1203</v>
      </c>
      <c r="E47" s="1231"/>
      <c r="F47" s="1232" t="s">
        <v>2494</v>
      </c>
      <c r="G47" s="1233"/>
      <c r="H47" s="1232"/>
      <c r="I47" s="1234"/>
      <c r="J47" s="1235"/>
      <c r="K47" s="1234"/>
      <c r="L47" s="1235" t="s">
        <v>3122</v>
      </c>
      <c r="M47" s="1232">
        <v>2009</v>
      </c>
      <c r="N47" s="1235"/>
      <c r="O47" s="1235"/>
      <c r="P47" s="1235"/>
      <c r="Q47" s="1232" t="s">
        <v>12</v>
      </c>
      <c r="R47" s="1236"/>
      <c r="S47" s="1232" t="s">
        <v>43</v>
      </c>
      <c r="T47" s="1261">
        <f>SUM(R48:R62)</f>
        <v>22133964473.999992</v>
      </c>
      <c r="U47" s="1237"/>
      <c r="V47" s="1238" t="str">
        <f>LEFT(F47,8)</f>
        <v>04.13.01</v>
      </c>
      <c r="W47" s="1238" t="str">
        <f>VLOOKUP(V47,UE,3,FALSE)</f>
        <v>Jalan</v>
      </c>
      <c r="X47" s="1238">
        <f>VLOOKUP(V47,UE,4,FALSE)</f>
        <v>10</v>
      </c>
      <c r="Y47" s="1239">
        <f>R47/X47</f>
        <v>0</v>
      </c>
      <c r="Z47" s="1240">
        <f>IF(2013-M47+1&gt;X47,X47,IF(2013-M47+1&lt;0,0,2013-M47+1))</f>
        <v>5</v>
      </c>
      <c r="AA47" s="1239">
        <f>IF(Z47&gt;X47,R47,Y47*Z47)</f>
        <v>0</v>
      </c>
      <c r="AB47" s="1239">
        <f>IF(R47=AA47,0,Y47)</f>
        <v>0</v>
      </c>
      <c r="AC47" s="1239">
        <f>IF(R47=AA47+AB47,0,Y47)</f>
        <v>0</v>
      </c>
      <c r="AD47" s="1239">
        <f>IF(R47=AA47+AB47+AC47,0,Y47)</f>
        <v>0</v>
      </c>
      <c r="AE47" s="1239">
        <f>IF(R47=AB47+AC47+AD47+AA47,0,Y47)</f>
        <v>0</v>
      </c>
      <c r="AF47" s="1241">
        <f>IF(R47=AB47+AC47+AD47+AA47+AE47,0,Y47)</f>
        <v>0</v>
      </c>
      <c r="AG47" s="1241">
        <f>SUM(AA47:AF47)</f>
        <v>0</v>
      </c>
      <c r="AH47" s="1239">
        <f>R47-AG47</f>
        <v>0</v>
      </c>
    </row>
    <row r="48" spans="1:34" s="857" customFormat="1" ht="35.25" customHeight="1" x14ac:dyDescent="0.2">
      <c r="B48" s="884"/>
      <c r="C48" s="855"/>
      <c r="D48" s="878" t="s">
        <v>5209</v>
      </c>
      <c r="E48" s="879"/>
      <c r="F48" s="861"/>
      <c r="G48" s="871"/>
      <c r="H48" s="861"/>
      <c r="I48" s="856"/>
      <c r="J48" s="862"/>
      <c r="K48" s="856"/>
      <c r="L48" s="862"/>
      <c r="M48" s="861"/>
      <c r="N48" s="862"/>
      <c r="O48" s="862"/>
      <c r="P48" s="862"/>
      <c r="Q48" s="861"/>
      <c r="R48" s="899">
        <v>1651712865.13924</v>
      </c>
      <c r="S48" s="861"/>
      <c r="T48" s="1295"/>
      <c r="U48" s="968"/>
      <c r="V48" s="884"/>
      <c r="W48" s="884"/>
      <c r="X48" s="884"/>
      <c r="Y48" s="868"/>
      <c r="Z48" s="885"/>
      <c r="AA48" s="868"/>
      <c r="AB48" s="868"/>
      <c r="AC48" s="868"/>
      <c r="AD48" s="868"/>
      <c r="AE48" s="868"/>
      <c r="AF48" s="886"/>
      <c r="AG48" s="886"/>
      <c r="AH48" s="868"/>
    </row>
    <row r="49" spans="1:34" s="857" customFormat="1" ht="35.25" customHeight="1" x14ac:dyDescent="0.2">
      <c r="B49" s="884"/>
      <c r="C49" s="855"/>
      <c r="D49" s="878" t="s">
        <v>5210</v>
      </c>
      <c r="E49" s="879"/>
      <c r="F49" s="861"/>
      <c r="G49" s="871"/>
      <c r="H49" s="861"/>
      <c r="I49" s="856"/>
      <c r="J49" s="862"/>
      <c r="K49" s="856"/>
      <c r="L49" s="862"/>
      <c r="M49" s="861"/>
      <c r="N49" s="862"/>
      <c r="O49" s="862"/>
      <c r="P49" s="862"/>
      <c r="Q49" s="861"/>
      <c r="R49" s="899">
        <v>1117686146.0028391</v>
      </c>
      <c r="S49" s="861"/>
      <c r="T49" s="1295"/>
      <c r="U49" s="968"/>
      <c r="V49" s="884"/>
      <c r="W49" s="884"/>
      <c r="X49" s="884"/>
      <c r="Y49" s="868"/>
      <c r="Z49" s="885"/>
      <c r="AA49" s="868"/>
      <c r="AB49" s="868"/>
      <c r="AC49" s="868"/>
      <c r="AD49" s="868"/>
      <c r="AE49" s="868"/>
      <c r="AF49" s="886"/>
      <c r="AG49" s="886"/>
      <c r="AH49" s="868"/>
    </row>
    <row r="50" spans="1:34" s="857" customFormat="1" ht="35.25" customHeight="1" x14ac:dyDescent="0.2">
      <c r="B50" s="884"/>
      <c r="C50" s="855"/>
      <c r="D50" s="878" t="s">
        <v>5211</v>
      </c>
      <c r="E50" s="879"/>
      <c r="F50" s="861"/>
      <c r="G50" s="871"/>
      <c r="H50" s="861"/>
      <c r="I50" s="856"/>
      <c r="J50" s="862"/>
      <c r="K50" s="856"/>
      <c r="L50" s="862"/>
      <c r="M50" s="861"/>
      <c r="N50" s="862"/>
      <c r="O50" s="862"/>
      <c r="P50" s="862"/>
      <c r="Q50" s="861"/>
      <c r="R50" s="899">
        <v>1829183513.7862399</v>
      </c>
      <c r="S50" s="861"/>
      <c r="T50" s="1295"/>
      <c r="U50" s="968"/>
      <c r="V50" s="884"/>
      <c r="W50" s="884"/>
      <c r="X50" s="884"/>
      <c r="Y50" s="868"/>
      <c r="Z50" s="885"/>
      <c r="AA50" s="868"/>
      <c r="AB50" s="868"/>
      <c r="AC50" s="868"/>
      <c r="AD50" s="868"/>
      <c r="AE50" s="868"/>
      <c r="AF50" s="886"/>
      <c r="AG50" s="886"/>
      <c r="AH50" s="868"/>
    </row>
    <row r="51" spans="1:34" s="857" customFormat="1" ht="35.25" customHeight="1" x14ac:dyDescent="0.2">
      <c r="B51" s="884"/>
      <c r="C51" s="855"/>
      <c r="D51" s="878" t="s">
        <v>5239</v>
      </c>
      <c r="E51" s="879"/>
      <c r="F51" s="861"/>
      <c r="G51" s="871"/>
      <c r="H51" s="861"/>
      <c r="I51" s="856"/>
      <c r="J51" s="862"/>
      <c r="K51" s="856"/>
      <c r="L51" s="862"/>
      <c r="M51" s="861"/>
      <c r="N51" s="862"/>
      <c r="O51" s="862"/>
      <c r="P51" s="862"/>
      <c r="Q51" s="861"/>
      <c r="R51" s="899">
        <v>2858191425.2425103</v>
      </c>
      <c r="S51" s="861"/>
      <c r="T51" s="1295"/>
      <c r="U51" s="968"/>
      <c r="V51" s="884"/>
      <c r="W51" s="884"/>
      <c r="X51" s="884"/>
      <c r="Y51" s="868"/>
      <c r="Z51" s="885"/>
      <c r="AA51" s="868"/>
      <c r="AB51" s="868"/>
      <c r="AC51" s="868"/>
      <c r="AD51" s="868"/>
      <c r="AE51" s="868"/>
      <c r="AF51" s="886"/>
      <c r="AG51" s="886"/>
      <c r="AH51" s="868"/>
    </row>
    <row r="52" spans="1:34" s="857" customFormat="1" ht="35.25" customHeight="1" x14ac:dyDescent="0.2">
      <c r="B52" s="884"/>
      <c r="C52" s="855"/>
      <c r="D52" s="878" t="s">
        <v>5240</v>
      </c>
      <c r="E52" s="879"/>
      <c r="F52" s="861"/>
      <c r="G52" s="871"/>
      <c r="H52" s="861"/>
      <c r="I52" s="856"/>
      <c r="J52" s="862"/>
      <c r="K52" s="856"/>
      <c r="L52" s="862"/>
      <c r="M52" s="861"/>
      <c r="N52" s="862"/>
      <c r="O52" s="862"/>
      <c r="P52" s="862"/>
      <c r="Q52" s="861"/>
      <c r="R52" s="899">
        <v>1041794435.614898</v>
      </c>
      <c r="S52" s="861"/>
      <c r="T52" s="1295"/>
      <c r="U52" s="968"/>
      <c r="V52" s="884"/>
      <c r="W52" s="884"/>
      <c r="X52" s="884"/>
      <c r="Y52" s="868"/>
      <c r="Z52" s="885"/>
      <c r="AA52" s="868"/>
      <c r="AB52" s="868"/>
      <c r="AC52" s="868"/>
      <c r="AD52" s="868"/>
      <c r="AE52" s="868"/>
      <c r="AF52" s="886"/>
      <c r="AG52" s="886"/>
      <c r="AH52" s="868"/>
    </row>
    <row r="53" spans="1:34" s="857" customFormat="1" ht="35.25" customHeight="1" x14ac:dyDescent="0.2">
      <c r="B53" s="884"/>
      <c r="C53" s="855"/>
      <c r="D53" s="878" t="s">
        <v>5217</v>
      </c>
      <c r="E53" s="879"/>
      <c r="F53" s="861"/>
      <c r="G53" s="871"/>
      <c r="H53" s="861"/>
      <c r="I53" s="856"/>
      <c r="J53" s="862"/>
      <c r="K53" s="856"/>
      <c r="L53" s="862"/>
      <c r="M53" s="861"/>
      <c r="N53" s="862"/>
      <c r="O53" s="862"/>
      <c r="P53" s="862"/>
      <c r="Q53" s="861"/>
      <c r="R53" s="899">
        <v>1628052783.90008</v>
      </c>
      <c r="S53" s="861"/>
      <c r="T53" s="1295"/>
      <c r="U53" s="968"/>
      <c r="V53" s="884"/>
      <c r="W53" s="884"/>
      <c r="X53" s="884"/>
      <c r="Y53" s="868"/>
      <c r="Z53" s="885"/>
      <c r="AA53" s="868"/>
      <c r="AB53" s="868"/>
      <c r="AC53" s="868"/>
      <c r="AD53" s="868"/>
      <c r="AE53" s="868"/>
      <c r="AF53" s="886"/>
      <c r="AG53" s="886"/>
      <c r="AH53" s="868"/>
    </row>
    <row r="54" spans="1:34" s="857" customFormat="1" ht="35.25" customHeight="1" x14ac:dyDescent="0.2">
      <c r="B54" s="884"/>
      <c r="C54" s="855"/>
      <c r="D54" s="878" t="s">
        <v>5241</v>
      </c>
      <c r="E54" s="879"/>
      <c r="F54" s="861"/>
      <c r="G54" s="871"/>
      <c r="H54" s="861"/>
      <c r="I54" s="856"/>
      <c r="J54" s="862"/>
      <c r="K54" s="856"/>
      <c r="L54" s="862"/>
      <c r="M54" s="861"/>
      <c r="N54" s="862"/>
      <c r="O54" s="862"/>
      <c r="P54" s="862"/>
      <c r="Q54" s="861"/>
      <c r="R54" s="899">
        <v>1070365302.7795529</v>
      </c>
      <c r="S54" s="861"/>
      <c r="T54" s="1295"/>
      <c r="U54" s="968"/>
      <c r="V54" s="884"/>
      <c r="W54" s="884"/>
      <c r="X54" s="884"/>
      <c r="Y54" s="868"/>
      <c r="Z54" s="885"/>
      <c r="AA54" s="868"/>
      <c r="AB54" s="868"/>
      <c r="AC54" s="868"/>
      <c r="AD54" s="868"/>
      <c r="AE54" s="868"/>
      <c r="AF54" s="886"/>
      <c r="AG54" s="886"/>
      <c r="AH54" s="868"/>
    </row>
    <row r="55" spans="1:34" s="857" customFormat="1" ht="35.25" customHeight="1" x14ac:dyDescent="0.2">
      <c r="B55" s="884"/>
      <c r="C55" s="855"/>
      <c r="D55" s="878" t="s">
        <v>5108</v>
      </c>
      <c r="E55" s="879"/>
      <c r="F55" s="861"/>
      <c r="G55" s="871"/>
      <c r="H55" s="861"/>
      <c r="I55" s="856"/>
      <c r="J55" s="862"/>
      <c r="K55" s="856"/>
      <c r="L55" s="862"/>
      <c r="M55" s="861"/>
      <c r="N55" s="862"/>
      <c r="O55" s="862"/>
      <c r="P55" s="862"/>
      <c r="Q55" s="861"/>
      <c r="R55" s="899">
        <v>1018822675.5142548</v>
      </c>
      <c r="S55" s="861"/>
      <c r="T55" s="1295"/>
      <c r="U55" s="968"/>
      <c r="V55" s="884"/>
      <c r="W55" s="884"/>
      <c r="X55" s="884"/>
      <c r="Y55" s="868"/>
      <c r="Z55" s="885"/>
      <c r="AA55" s="868"/>
      <c r="AB55" s="868"/>
      <c r="AC55" s="868"/>
      <c r="AD55" s="868"/>
      <c r="AE55" s="868"/>
      <c r="AF55" s="886"/>
      <c r="AG55" s="886"/>
      <c r="AH55" s="868"/>
    </row>
    <row r="56" spans="1:34" s="857" customFormat="1" ht="35.25" customHeight="1" x14ac:dyDescent="0.2">
      <c r="B56" s="884"/>
      <c r="C56" s="855"/>
      <c r="D56" s="878" t="s">
        <v>5170</v>
      </c>
      <c r="E56" s="879"/>
      <c r="F56" s="861"/>
      <c r="G56" s="871"/>
      <c r="H56" s="861"/>
      <c r="I56" s="856"/>
      <c r="J56" s="862"/>
      <c r="K56" s="856"/>
      <c r="L56" s="862"/>
      <c r="M56" s="861"/>
      <c r="N56" s="862"/>
      <c r="O56" s="862"/>
      <c r="P56" s="862"/>
      <c r="Q56" s="861"/>
      <c r="R56" s="899">
        <v>1573120899.3421423</v>
      </c>
      <c r="S56" s="861"/>
      <c r="T56" s="1295"/>
      <c r="U56" s="968"/>
      <c r="V56" s="884"/>
      <c r="W56" s="884"/>
      <c r="X56" s="884"/>
      <c r="Y56" s="868"/>
      <c r="Z56" s="885"/>
      <c r="AA56" s="868"/>
      <c r="AB56" s="868"/>
      <c r="AC56" s="868"/>
      <c r="AD56" s="868"/>
      <c r="AE56" s="868"/>
      <c r="AF56" s="886"/>
      <c r="AG56" s="886"/>
      <c r="AH56" s="868"/>
    </row>
    <row r="57" spans="1:34" s="857" customFormat="1" ht="35.25" customHeight="1" x14ac:dyDescent="0.2">
      <c r="B57" s="884"/>
      <c r="C57" s="855"/>
      <c r="D57" s="878" t="s">
        <v>5166</v>
      </c>
      <c r="E57" s="879"/>
      <c r="F57" s="861"/>
      <c r="G57" s="871"/>
      <c r="H57" s="861"/>
      <c r="I57" s="856"/>
      <c r="J57" s="862"/>
      <c r="K57" s="856"/>
      <c r="L57" s="862"/>
      <c r="M57" s="861"/>
      <c r="N57" s="862"/>
      <c r="O57" s="862"/>
      <c r="P57" s="862"/>
      <c r="Q57" s="861"/>
      <c r="R57" s="899">
        <v>1752079358.7175326</v>
      </c>
      <c r="S57" s="861"/>
      <c r="T57" s="1295"/>
      <c r="U57" s="968"/>
      <c r="V57" s="884"/>
      <c r="W57" s="884"/>
      <c r="X57" s="884"/>
      <c r="Y57" s="868"/>
      <c r="Z57" s="885"/>
      <c r="AA57" s="868"/>
      <c r="AB57" s="868"/>
      <c r="AC57" s="868"/>
      <c r="AD57" s="868"/>
      <c r="AE57" s="868"/>
      <c r="AF57" s="886"/>
      <c r="AG57" s="886"/>
      <c r="AH57" s="868"/>
    </row>
    <row r="58" spans="1:34" s="857" customFormat="1" ht="35.25" customHeight="1" x14ac:dyDescent="0.2">
      <c r="B58" s="884"/>
      <c r="C58" s="855"/>
      <c r="D58" s="878" t="s">
        <v>5163</v>
      </c>
      <c r="E58" s="879"/>
      <c r="F58" s="861"/>
      <c r="G58" s="871"/>
      <c r="H58" s="861"/>
      <c r="I58" s="856"/>
      <c r="J58" s="862"/>
      <c r="K58" s="856"/>
      <c r="L58" s="862"/>
      <c r="M58" s="861"/>
      <c r="N58" s="862"/>
      <c r="O58" s="862"/>
      <c r="P58" s="862"/>
      <c r="Q58" s="861"/>
      <c r="R58" s="899">
        <v>1544547336.9437099</v>
      </c>
      <c r="S58" s="861"/>
      <c r="T58" s="1295"/>
      <c r="U58" s="968"/>
      <c r="V58" s="884"/>
      <c r="W58" s="884"/>
      <c r="X58" s="884"/>
      <c r="Y58" s="868"/>
      <c r="Z58" s="885"/>
      <c r="AA58" s="868"/>
      <c r="AB58" s="868"/>
      <c r="AC58" s="868"/>
      <c r="AD58" s="868"/>
      <c r="AE58" s="868"/>
      <c r="AF58" s="886"/>
      <c r="AG58" s="886"/>
      <c r="AH58" s="868"/>
    </row>
    <row r="59" spans="1:34" s="857" customFormat="1" ht="35.25" customHeight="1" x14ac:dyDescent="0.2">
      <c r="B59" s="884"/>
      <c r="C59" s="855"/>
      <c r="D59" s="878" t="s">
        <v>5113</v>
      </c>
      <c r="E59" s="879"/>
      <c r="F59" s="861"/>
      <c r="G59" s="871"/>
      <c r="H59" s="861"/>
      <c r="I59" s="856"/>
      <c r="J59" s="862"/>
      <c r="K59" s="856"/>
      <c r="L59" s="862"/>
      <c r="M59" s="861"/>
      <c r="N59" s="862"/>
      <c r="O59" s="862"/>
      <c r="P59" s="862"/>
      <c r="Q59" s="861"/>
      <c r="R59" s="899">
        <v>1028907709.2648308</v>
      </c>
      <c r="S59" s="861"/>
      <c r="T59" s="1295"/>
      <c r="U59" s="968"/>
      <c r="V59" s="884"/>
      <c r="W59" s="884"/>
      <c r="X59" s="884"/>
      <c r="Y59" s="868"/>
      <c r="Z59" s="885"/>
      <c r="AA59" s="868"/>
      <c r="AB59" s="868"/>
      <c r="AC59" s="868"/>
      <c r="AD59" s="868"/>
      <c r="AE59" s="868"/>
      <c r="AF59" s="886"/>
      <c r="AG59" s="886"/>
      <c r="AH59" s="868"/>
    </row>
    <row r="60" spans="1:34" s="857" customFormat="1" ht="35.25" customHeight="1" x14ac:dyDescent="0.2">
      <c r="B60" s="884"/>
      <c r="C60" s="855"/>
      <c r="D60" s="878" t="s">
        <v>5119</v>
      </c>
      <c r="E60" s="879"/>
      <c r="F60" s="861"/>
      <c r="G60" s="871"/>
      <c r="H60" s="861"/>
      <c r="I60" s="856"/>
      <c r="J60" s="862"/>
      <c r="K60" s="856"/>
      <c r="L60" s="862"/>
      <c r="M60" s="861"/>
      <c r="N60" s="862"/>
      <c r="O60" s="862"/>
      <c r="P60" s="862"/>
      <c r="Q60" s="861"/>
      <c r="R60" s="899">
        <v>1305259998.9148393</v>
      </c>
      <c r="S60" s="861"/>
      <c r="T60" s="1295"/>
      <c r="U60" s="968"/>
      <c r="V60" s="884"/>
      <c r="W60" s="884"/>
      <c r="X60" s="884"/>
      <c r="Y60" s="868"/>
      <c r="Z60" s="885"/>
      <c r="AA60" s="868"/>
      <c r="AB60" s="868"/>
      <c r="AC60" s="868"/>
      <c r="AD60" s="868"/>
      <c r="AE60" s="868"/>
      <c r="AF60" s="886"/>
      <c r="AG60" s="886"/>
      <c r="AH60" s="868"/>
    </row>
    <row r="61" spans="1:34" s="857" customFormat="1" ht="35.25" customHeight="1" x14ac:dyDescent="0.2">
      <c r="B61" s="884"/>
      <c r="C61" s="855"/>
      <c r="D61" s="878" t="s">
        <v>5178</v>
      </c>
      <c r="E61" s="879"/>
      <c r="F61" s="861"/>
      <c r="G61" s="871"/>
      <c r="H61" s="861"/>
      <c r="I61" s="856"/>
      <c r="J61" s="862"/>
      <c r="K61" s="856"/>
      <c r="L61" s="862"/>
      <c r="M61" s="861"/>
      <c r="N61" s="862"/>
      <c r="O61" s="862"/>
      <c r="P61" s="862"/>
      <c r="Q61" s="861"/>
      <c r="R61" s="899">
        <v>1701943169.1568999</v>
      </c>
      <c r="S61" s="861"/>
      <c r="T61" s="1295"/>
      <c r="U61" s="968"/>
      <c r="V61" s="884"/>
      <c r="W61" s="884"/>
      <c r="X61" s="884"/>
      <c r="Y61" s="868"/>
      <c r="Z61" s="885"/>
      <c r="AA61" s="868"/>
      <c r="AB61" s="868"/>
      <c r="AC61" s="868"/>
      <c r="AD61" s="868"/>
      <c r="AE61" s="868"/>
      <c r="AF61" s="886"/>
      <c r="AG61" s="886"/>
      <c r="AH61" s="868"/>
    </row>
    <row r="62" spans="1:34" s="857" customFormat="1" ht="35.25" customHeight="1" x14ac:dyDescent="0.2">
      <c r="B62" s="884"/>
      <c r="C62" s="855"/>
      <c r="D62" s="878" t="s">
        <v>5130</v>
      </c>
      <c r="E62" s="879"/>
      <c r="F62" s="861"/>
      <c r="G62" s="871"/>
      <c r="H62" s="861"/>
      <c r="I62" s="856"/>
      <c r="J62" s="862"/>
      <c r="K62" s="856"/>
      <c r="L62" s="862"/>
      <c r="M62" s="861"/>
      <c r="N62" s="862"/>
      <c r="O62" s="862"/>
      <c r="P62" s="862"/>
      <c r="Q62" s="861"/>
      <c r="R62" s="899">
        <v>1012296853.680418</v>
      </c>
      <c r="S62" s="861"/>
      <c r="T62" s="1295"/>
      <c r="U62" s="968"/>
      <c r="V62" s="884"/>
      <c r="W62" s="884"/>
      <c r="X62" s="884"/>
      <c r="Y62" s="868"/>
      <c r="Z62" s="885"/>
      <c r="AA62" s="868"/>
      <c r="AB62" s="868"/>
      <c r="AC62" s="868"/>
      <c r="AD62" s="868"/>
      <c r="AE62" s="868"/>
      <c r="AF62" s="886"/>
      <c r="AG62" s="886"/>
      <c r="AH62" s="868"/>
    </row>
    <row r="63" spans="1:34" s="1228" customFormat="1" ht="35.25" customHeight="1" x14ac:dyDescent="0.2">
      <c r="A63" s="1228" t="e">
        <f>VLOOKUP(R63,AR,2,FALSE)</f>
        <v>#N/A</v>
      </c>
      <c r="B63" s="884" t="e">
        <f>RIGHT(#REF!,1)</f>
        <v>#REF!</v>
      </c>
      <c r="C63" s="1229"/>
      <c r="D63" s="1230" t="s">
        <v>1203</v>
      </c>
      <c r="E63" s="1231"/>
      <c r="F63" s="1232" t="s">
        <v>2494</v>
      </c>
      <c r="G63" s="1233"/>
      <c r="H63" s="1232"/>
      <c r="I63" s="1234"/>
      <c r="J63" s="1235"/>
      <c r="K63" s="1234"/>
      <c r="L63" s="1235" t="s">
        <v>3122</v>
      </c>
      <c r="M63" s="1232">
        <v>2010</v>
      </c>
      <c r="N63" s="1235"/>
      <c r="O63" s="1235"/>
      <c r="P63" s="1235"/>
      <c r="Q63" s="1232" t="s">
        <v>12</v>
      </c>
      <c r="R63" s="1236"/>
      <c r="S63" s="1232" t="s">
        <v>43</v>
      </c>
      <c r="T63" s="1261">
        <f>SUM(R64:R73)</f>
        <v>20917123303</v>
      </c>
      <c r="U63" s="1237"/>
      <c r="V63" s="1238" t="str">
        <f>LEFT(F63,8)</f>
        <v>04.13.01</v>
      </c>
      <c r="W63" s="1238" t="str">
        <f>VLOOKUP(V63,UE,3,FALSE)</f>
        <v>Jalan</v>
      </c>
      <c r="X63" s="1238">
        <f>VLOOKUP(V63,UE,4,FALSE)</f>
        <v>10</v>
      </c>
      <c r="Y63" s="1239">
        <f>R63/X63</f>
        <v>0</v>
      </c>
      <c r="Z63" s="1240">
        <f>IF(2013-M63+1&gt;X63,X63,IF(2013-M63+1&lt;0,0,2013-M63+1))</f>
        <v>4</v>
      </c>
      <c r="AA63" s="1239">
        <f>IF(Z63&gt;X63,R63,Y63*Z63)</f>
        <v>0</v>
      </c>
      <c r="AB63" s="1239">
        <f>IF(R63=AA63,0,Y63)</f>
        <v>0</v>
      </c>
      <c r="AC63" s="1239">
        <f>IF(R63=AA63+AB63,0,Y63)</f>
        <v>0</v>
      </c>
      <c r="AD63" s="1239">
        <f>IF(R63=AA63+AB63+AC63,0,Y63)</f>
        <v>0</v>
      </c>
      <c r="AE63" s="1239">
        <f>IF(R63=AB63+AC63+AD63+AA63,0,Y63)</f>
        <v>0</v>
      </c>
      <c r="AF63" s="1241">
        <f>IF(R63=AB63+AC63+AD63+AA63+AE63,0,Y63)</f>
        <v>0</v>
      </c>
      <c r="AG63" s="1241">
        <f>SUM(AA63:AF63)</f>
        <v>0</v>
      </c>
      <c r="AH63" s="1239">
        <f>R63-AG63</f>
        <v>0</v>
      </c>
    </row>
    <row r="64" spans="1:34" s="857" customFormat="1" ht="35.25" customHeight="1" x14ac:dyDescent="0.2">
      <c r="B64" s="884"/>
      <c r="C64" s="855"/>
      <c r="D64" s="878" t="s">
        <v>5242</v>
      </c>
      <c r="E64" s="879"/>
      <c r="F64" s="861"/>
      <c r="G64" s="871"/>
      <c r="H64" s="861"/>
      <c r="I64" s="856"/>
      <c r="J64" s="862"/>
      <c r="K64" s="856"/>
      <c r="L64" s="862"/>
      <c r="M64" s="861"/>
      <c r="N64" s="862"/>
      <c r="O64" s="862"/>
      <c r="P64" s="862"/>
      <c r="Q64" s="861"/>
      <c r="R64" s="899">
        <v>10736337149.30512</v>
      </c>
      <c r="S64" s="861"/>
      <c r="T64" s="1295"/>
      <c r="U64" s="968"/>
      <c r="V64" s="884"/>
      <c r="W64" s="884"/>
      <c r="X64" s="884"/>
      <c r="Y64" s="868"/>
      <c r="Z64" s="885"/>
      <c r="AA64" s="868"/>
      <c r="AB64" s="868"/>
      <c r="AC64" s="868"/>
      <c r="AD64" s="868"/>
      <c r="AE64" s="868"/>
      <c r="AF64" s="886"/>
      <c r="AG64" s="886"/>
      <c r="AH64" s="868"/>
    </row>
    <row r="65" spans="1:34" s="857" customFormat="1" ht="35.25" customHeight="1" x14ac:dyDescent="0.2">
      <c r="B65" s="884"/>
      <c r="C65" s="855"/>
      <c r="D65" s="878" t="s">
        <v>5243</v>
      </c>
      <c r="E65" s="879"/>
      <c r="F65" s="861"/>
      <c r="G65" s="871"/>
      <c r="H65" s="861"/>
      <c r="I65" s="856"/>
      <c r="J65" s="862"/>
      <c r="K65" s="856"/>
      <c r="L65" s="862"/>
      <c r="M65" s="861"/>
      <c r="N65" s="862"/>
      <c r="O65" s="862"/>
      <c r="P65" s="862"/>
      <c r="Q65" s="861"/>
      <c r="R65" s="899">
        <v>1071409553.9920537</v>
      </c>
      <c r="S65" s="861"/>
      <c r="T65" s="1295"/>
      <c r="U65" s="968"/>
      <c r="V65" s="884"/>
      <c r="W65" s="884"/>
      <c r="X65" s="884"/>
      <c r="Y65" s="868"/>
      <c r="Z65" s="885"/>
      <c r="AA65" s="868"/>
      <c r="AB65" s="868"/>
      <c r="AC65" s="868"/>
      <c r="AD65" s="868"/>
      <c r="AE65" s="868"/>
      <c r="AF65" s="886"/>
      <c r="AG65" s="886"/>
      <c r="AH65" s="868"/>
    </row>
    <row r="66" spans="1:34" s="857" customFormat="1" ht="35.25" customHeight="1" x14ac:dyDescent="0.2">
      <c r="B66" s="884"/>
      <c r="C66" s="855"/>
      <c r="D66" s="878" t="s">
        <v>5244</v>
      </c>
      <c r="E66" s="879"/>
      <c r="F66" s="861"/>
      <c r="G66" s="871"/>
      <c r="H66" s="861"/>
      <c r="I66" s="856"/>
      <c r="J66" s="862"/>
      <c r="K66" s="856"/>
      <c r="L66" s="862"/>
      <c r="M66" s="861"/>
      <c r="N66" s="862"/>
      <c r="O66" s="862"/>
      <c r="P66" s="862"/>
      <c r="Q66" s="861"/>
      <c r="R66" s="899">
        <v>306178026.42051858</v>
      </c>
      <c r="S66" s="861"/>
      <c r="T66" s="1295"/>
      <c r="U66" s="968"/>
      <c r="V66" s="884"/>
      <c r="W66" s="884"/>
      <c r="X66" s="884"/>
      <c r="Y66" s="868"/>
      <c r="Z66" s="885"/>
      <c r="AA66" s="868"/>
      <c r="AB66" s="868"/>
      <c r="AC66" s="868"/>
      <c r="AD66" s="868"/>
      <c r="AE66" s="868"/>
      <c r="AF66" s="886"/>
      <c r="AG66" s="886"/>
      <c r="AH66" s="868"/>
    </row>
    <row r="67" spans="1:34" s="857" customFormat="1" ht="35.25" customHeight="1" x14ac:dyDescent="0.2">
      <c r="B67" s="884"/>
      <c r="C67" s="855"/>
      <c r="D67" s="878" t="s">
        <v>5245</v>
      </c>
      <c r="E67" s="879"/>
      <c r="F67" s="861"/>
      <c r="G67" s="871"/>
      <c r="H67" s="861"/>
      <c r="I67" s="856"/>
      <c r="J67" s="862"/>
      <c r="K67" s="856"/>
      <c r="L67" s="862"/>
      <c r="M67" s="861"/>
      <c r="N67" s="862"/>
      <c r="O67" s="862"/>
      <c r="P67" s="862"/>
      <c r="Q67" s="861"/>
      <c r="R67" s="899">
        <v>2295175066.3124514</v>
      </c>
      <c r="S67" s="861"/>
      <c r="T67" s="1295"/>
      <c r="U67" s="968"/>
      <c r="V67" s="884"/>
      <c r="W67" s="884"/>
      <c r="X67" s="884"/>
      <c r="Y67" s="868"/>
      <c r="Z67" s="885"/>
      <c r="AA67" s="868"/>
      <c r="AB67" s="868"/>
      <c r="AC67" s="868"/>
      <c r="AD67" s="868"/>
      <c r="AE67" s="868"/>
      <c r="AF67" s="886"/>
      <c r="AG67" s="886"/>
      <c r="AH67" s="868"/>
    </row>
    <row r="68" spans="1:34" s="857" customFormat="1" ht="35.25" customHeight="1" x14ac:dyDescent="0.2">
      <c r="B68" s="884"/>
      <c r="C68" s="855"/>
      <c r="D68" s="878" t="s">
        <v>5246</v>
      </c>
      <c r="E68" s="879"/>
      <c r="F68" s="861"/>
      <c r="G68" s="871"/>
      <c r="H68" s="861"/>
      <c r="I68" s="856"/>
      <c r="J68" s="862"/>
      <c r="K68" s="856"/>
      <c r="L68" s="862"/>
      <c r="M68" s="861"/>
      <c r="N68" s="862"/>
      <c r="O68" s="862"/>
      <c r="P68" s="862"/>
      <c r="Q68" s="861"/>
      <c r="R68" s="899">
        <v>1087914426.7501531</v>
      </c>
      <c r="S68" s="861"/>
      <c r="T68" s="1295"/>
      <c r="U68" s="968"/>
      <c r="V68" s="884"/>
      <c r="W68" s="884"/>
      <c r="X68" s="884"/>
      <c r="Y68" s="868"/>
      <c r="Z68" s="885"/>
      <c r="AA68" s="868"/>
      <c r="AB68" s="868"/>
      <c r="AC68" s="868"/>
      <c r="AD68" s="868"/>
      <c r="AE68" s="868"/>
      <c r="AF68" s="886"/>
      <c r="AG68" s="886"/>
      <c r="AH68" s="868"/>
    </row>
    <row r="69" spans="1:34" s="857" customFormat="1" ht="35.25" customHeight="1" x14ac:dyDescent="0.2">
      <c r="B69" s="884"/>
      <c r="C69" s="855"/>
      <c r="D69" s="878" t="s">
        <v>5247</v>
      </c>
      <c r="E69" s="879"/>
      <c r="F69" s="861"/>
      <c r="G69" s="871"/>
      <c r="H69" s="861"/>
      <c r="I69" s="856"/>
      <c r="J69" s="862"/>
      <c r="K69" s="856"/>
      <c r="L69" s="862"/>
      <c r="M69" s="861"/>
      <c r="N69" s="862"/>
      <c r="O69" s="862"/>
      <c r="P69" s="862"/>
      <c r="Q69" s="861"/>
      <c r="R69" s="899">
        <v>1053470743.5925655</v>
      </c>
      <c r="S69" s="861"/>
      <c r="T69" s="1295"/>
      <c r="U69" s="968"/>
      <c r="V69" s="884"/>
      <c r="W69" s="884"/>
      <c r="X69" s="884"/>
      <c r="Y69" s="868"/>
      <c r="Z69" s="885"/>
      <c r="AA69" s="868"/>
      <c r="AB69" s="868"/>
      <c r="AC69" s="868"/>
      <c r="AD69" s="868"/>
      <c r="AE69" s="868"/>
      <c r="AF69" s="886"/>
      <c r="AG69" s="886"/>
      <c r="AH69" s="868"/>
    </row>
    <row r="70" spans="1:34" s="857" customFormat="1" ht="35.25" customHeight="1" x14ac:dyDescent="0.2">
      <c r="B70" s="884"/>
      <c r="C70" s="855"/>
      <c r="D70" s="878" t="s">
        <v>5248</v>
      </c>
      <c r="E70" s="879"/>
      <c r="F70" s="861"/>
      <c r="G70" s="871"/>
      <c r="H70" s="861"/>
      <c r="I70" s="856"/>
      <c r="J70" s="862"/>
      <c r="K70" s="856"/>
      <c r="L70" s="862"/>
      <c r="M70" s="861"/>
      <c r="N70" s="862"/>
      <c r="O70" s="862"/>
      <c r="P70" s="862"/>
      <c r="Q70" s="861"/>
      <c r="R70" s="899">
        <v>1234787700.3657444</v>
      </c>
      <c r="S70" s="861"/>
      <c r="T70" s="1295"/>
      <c r="U70" s="968"/>
      <c r="V70" s="884"/>
      <c r="W70" s="884"/>
      <c r="X70" s="884"/>
      <c r="Y70" s="868"/>
      <c r="Z70" s="885"/>
      <c r="AA70" s="868"/>
      <c r="AB70" s="868"/>
      <c r="AC70" s="868"/>
      <c r="AD70" s="868"/>
      <c r="AE70" s="868"/>
      <c r="AF70" s="886"/>
      <c r="AG70" s="886"/>
      <c r="AH70" s="868"/>
    </row>
    <row r="71" spans="1:34" s="857" customFormat="1" ht="35.25" customHeight="1" x14ac:dyDescent="0.2">
      <c r="B71" s="884"/>
      <c r="C71" s="855"/>
      <c r="D71" s="878" t="s">
        <v>5249</v>
      </c>
      <c r="E71" s="879"/>
      <c r="F71" s="861"/>
      <c r="G71" s="871"/>
      <c r="H71" s="861"/>
      <c r="I71" s="856"/>
      <c r="J71" s="862"/>
      <c r="K71" s="856"/>
      <c r="L71" s="862"/>
      <c r="M71" s="861"/>
      <c r="N71" s="862"/>
      <c r="O71" s="862"/>
      <c r="P71" s="862"/>
      <c r="Q71" s="861"/>
      <c r="R71" s="899">
        <v>1088584044.5431361</v>
      </c>
      <c r="S71" s="861"/>
      <c r="T71" s="1295"/>
      <c r="U71" s="968"/>
      <c r="V71" s="884"/>
      <c r="W71" s="884"/>
      <c r="X71" s="884"/>
      <c r="Y71" s="868"/>
      <c r="Z71" s="885"/>
      <c r="AA71" s="868"/>
      <c r="AB71" s="868"/>
      <c r="AC71" s="868"/>
      <c r="AD71" s="868"/>
      <c r="AE71" s="868"/>
      <c r="AF71" s="886"/>
      <c r="AG71" s="886"/>
      <c r="AH71" s="868"/>
    </row>
    <row r="72" spans="1:34" s="857" customFormat="1" ht="35.25" customHeight="1" x14ac:dyDescent="0.2">
      <c r="B72" s="884"/>
      <c r="C72" s="855"/>
      <c r="D72" s="878" t="s">
        <v>5250</v>
      </c>
      <c r="E72" s="879"/>
      <c r="F72" s="861"/>
      <c r="G72" s="871"/>
      <c r="H72" s="861"/>
      <c r="I72" s="856"/>
      <c r="J72" s="862"/>
      <c r="K72" s="856"/>
      <c r="L72" s="862"/>
      <c r="M72" s="861"/>
      <c r="N72" s="862"/>
      <c r="O72" s="862"/>
      <c r="P72" s="862"/>
      <c r="Q72" s="861"/>
      <c r="R72" s="899">
        <v>705494899.14059925</v>
      </c>
      <c r="S72" s="861"/>
      <c r="T72" s="1295"/>
      <c r="U72" s="968"/>
      <c r="V72" s="884"/>
      <c r="W72" s="884"/>
      <c r="X72" s="884"/>
      <c r="Y72" s="868"/>
      <c r="Z72" s="885"/>
      <c r="AA72" s="868"/>
      <c r="AB72" s="868"/>
      <c r="AC72" s="868"/>
      <c r="AD72" s="868"/>
      <c r="AE72" s="868"/>
      <c r="AF72" s="886"/>
      <c r="AG72" s="886"/>
      <c r="AH72" s="868"/>
    </row>
    <row r="73" spans="1:34" s="857" customFormat="1" ht="35.25" customHeight="1" x14ac:dyDescent="0.2">
      <c r="B73" s="884"/>
      <c r="C73" s="855"/>
      <c r="D73" s="878" t="s">
        <v>5251</v>
      </c>
      <c r="E73" s="879"/>
      <c r="F73" s="861"/>
      <c r="G73" s="871"/>
      <c r="H73" s="861"/>
      <c r="I73" s="856"/>
      <c r="J73" s="862"/>
      <c r="K73" s="856"/>
      <c r="L73" s="862"/>
      <c r="M73" s="861"/>
      <c r="N73" s="862"/>
      <c r="O73" s="862"/>
      <c r="P73" s="862"/>
      <c r="Q73" s="861"/>
      <c r="R73" s="899">
        <v>1337771692.5776577</v>
      </c>
      <c r="S73" s="861"/>
      <c r="T73" s="1295"/>
      <c r="U73" s="968"/>
      <c r="V73" s="884"/>
      <c r="W73" s="884"/>
      <c r="X73" s="884"/>
      <c r="Y73" s="868"/>
      <c r="Z73" s="885"/>
      <c r="AA73" s="868"/>
      <c r="AB73" s="868"/>
      <c r="AC73" s="868"/>
      <c r="AD73" s="868"/>
      <c r="AE73" s="868"/>
      <c r="AF73" s="886"/>
      <c r="AG73" s="886"/>
      <c r="AH73" s="868"/>
    </row>
    <row r="74" spans="1:34" s="1228" customFormat="1" ht="35.25" customHeight="1" x14ac:dyDescent="0.2">
      <c r="A74" s="1228" t="e">
        <f>VLOOKUP(R74,AR,2,FALSE)</f>
        <v>#N/A</v>
      </c>
      <c r="B74" s="884" t="e">
        <f>RIGHT(#REF!,1)</f>
        <v>#REF!</v>
      </c>
      <c r="C74" s="1229"/>
      <c r="D74" s="1230" t="s">
        <v>1203</v>
      </c>
      <c r="E74" s="1231"/>
      <c r="F74" s="1232" t="s">
        <v>2494</v>
      </c>
      <c r="G74" s="1233"/>
      <c r="H74" s="1232"/>
      <c r="I74" s="1234"/>
      <c r="J74" s="1235"/>
      <c r="K74" s="1234"/>
      <c r="L74" s="1235" t="s">
        <v>3122</v>
      </c>
      <c r="M74" s="1232">
        <v>2010</v>
      </c>
      <c r="N74" s="1235"/>
      <c r="O74" s="1235"/>
      <c r="P74" s="1235"/>
      <c r="Q74" s="1232" t="s">
        <v>12</v>
      </c>
      <c r="R74" s="1236"/>
      <c r="S74" s="1232" t="s">
        <v>43</v>
      </c>
      <c r="T74" s="1261">
        <f>SUM(R75:R77)</f>
        <v>1977632629</v>
      </c>
      <c r="U74" s="1237"/>
      <c r="V74" s="1238" t="str">
        <f>LEFT(F74,8)</f>
        <v>04.13.01</v>
      </c>
      <c r="W74" s="1238" t="str">
        <f>VLOOKUP(V74,UE,3,FALSE)</f>
        <v>Jalan</v>
      </c>
      <c r="X74" s="1238">
        <f>VLOOKUP(V74,UE,4,FALSE)</f>
        <v>10</v>
      </c>
      <c r="Y74" s="1239">
        <f>R74/X74</f>
        <v>0</v>
      </c>
      <c r="Z74" s="1240">
        <f>IF(2013-M74+1&gt;X74,X74,IF(2013-M74+1&lt;0,0,2013-M74+1))</f>
        <v>4</v>
      </c>
      <c r="AA74" s="1239">
        <f>IF(Z74&gt;X74,R74,Y74*Z74)</f>
        <v>0</v>
      </c>
      <c r="AB74" s="1239">
        <f>IF(R74=AA74,0,Y74)</f>
        <v>0</v>
      </c>
      <c r="AC74" s="1239">
        <f>IF(R74=AA74+AB74,0,Y74)</f>
        <v>0</v>
      </c>
      <c r="AD74" s="1239">
        <f>IF(R74=AA74+AB74+AC74,0,Y74)</f>
        <v>0</v>
      </c>
      <c r="AE74" s="1239">
        <f>IF(R74=AB74+AC74+AD74+AA74,0,Y74)</f>
        <v>0</v>
      </c>
      <c r="AF74" s="1241">
        <f>IF(R74=AB74+AC74+AD74+AA74+AE74,0,Y74)</f>
        <v>0</v>
      </c>
      <c r="AG74" s="1241">
        <f>SUM(AA74:AF74)</f>
        <v>0</v>
      </c>
      <c r="AH74" s="1239">
        <f>R74-AG74</f>
        <v>0</v>
      </c>
    </row>
    <row r="75" spans="1:34" s="857" customFormat="1" ht="35.25" customHeight="1" x14ac:dyDescent="0.2">
      <c r="B75" s="884"/>
      <c r="C75" s="1296"/>
      <c r="D75" s="1293" t="s">
        <v>5096</v>
      </c>
      <c r="E75" s="920"/>
      <c r="F75" s="1294"/>
      <c r="G75" s="1297"/>
      <c r="H75" s="900"/>
      <c r="I75" s="902"/>
      <c r="J75" s="901"/>
      <c r="K75" s="902"/>
      <c r="L75" s="901"/>
      <c r="M75" s="900"/>
      <c r="N75" s="901"/>
      <c r="O75" s="901"/>
      <c r="P75" s="901"/>
      <c r="Q75" s="861"/>
      <c r="R75" s="1298">
        <v>523779373</v>
      </c>
      <c r="S75" s="900"/>
      <c r="T75" s="1299"/>
      <c r="U75" s="968"/>
      <c r="V75" s="884"/>
      <c r="W75" s="884"/>
      <c r="X75" s="884"/>
      <c r="Y75" s="868"/>
      <c r="Z75" s="885"/>
      <c r="AA75" s="868"/>
      <c r="AB75" s="868"/>
      <c r="AC75" s="868"/>
      <c r="AD75" s="868"/>
      <c r="AE75" s="868"/>
      <c r="AF75" s="886"/>
      <c r="AG75" s="886"/>
      <c r="AH75" s="868"/>
    </row>
    <row r="76" spans="1:34" s="857" customFormat="1" ht="35.25" customHeight="1" x14ac:dyDescent="0.2">
      <c r="B76" s="884"/>
      <c r="C76" s="1296"/>
      <c r="D76" s="1293" t="s">
        <v>5107</v>
      </c>
      <c r="E76" s="920"/>
      <c r="F76" s="1294"/>
      <c r="G76" s="1297"/>
      <c r="H76" s="900"/>
      <c r="I76" s="902"/>
      <c r="J76" s="901"/>
      <c r="K76" s="902"/>
      <c r="L76" s="901"/>
      <c r="M76" s="900"/>
      <c r="N76" s="901"/>
      <c r="O76" s="901"/>
      <c r="P76" s="901"/>
      <c r="Q76" s="861"/>
      <c r="R76" s="1298">
        <v>591050899</v>
      </c>
      <c r="S76" s="900"/>
      <c r="T76" s="1299"/>
      <c r="U76" s="968"/>
      <c r="V76" s="884"/>
      <c r="W76" s="884"/>
      <c r="X76" s="884"/>
      <c r="Y76" s="868"/>
      <c r="Z76" s="885"/>
      <c r="AA76" s="868"/>
      <c r="AB76" s="868"/>
      <c r="AC76" s="868"/>
      <c r="AD76" s="868"/>
      <c r="AE76" s="868"/>
      <c r="AF76" s="886"/>
      <c r="AG76" s="886"/>
      <c r="AH76" s="868"/>
    </row>
    <row r="77" spans="1:34" s="857" customFormat="1" ht="35.25" customHeight="1" x14ac:dyDescent="0.2">
      <c r="B77" s="884"/>
      <c r="C77" s="1296"/>
      <c r="D77" s="1293" t="s">
        <v>5123</v>
      </c>
      <c r="E77" s="920"/>
      <c r="F77" s="1294"/>
      <c r="G77" s="1297"/>
      <c r="H77" s="900"/>
      <c r="I77" s="902"/>
      <c r="J77" s="901"/>
      <c r="K77" s="902"/>
      <c r="L77" s="901"/>
      <c r="M77" s="900"/>
      <c r="N77" s="901"/>
      <c r="O77" s="901"/>
      <c r="P77" s="901"/>
      <c r="Q77" s="861"/>
      <c r="R77" s="1298">
        <v>862802357</v>
      </c>
      <c r="S77" s="900"/>
      <c r="T77" s="1299"/>
      <c r="U77" s="968"/>
      <c r="V77" s="884"/>
      <c r="W77" s="884"/>
      <c r="X77" s="884"/>
      <c r="Y77" s="868"/>
      <c r="Z77" s="885"/>
      <c r="AA77" s="868"/>
      <c r="AB77" s="868"/>
      <c r="AC77" s="868"/>
      <c r="AD77" s="868"/>
      <c r="AE77" s="868"/>
      <c r="AF77" s="886"/>
      <c r="AG77" s="886"/>
      <c r="AH77" s="868"/>
    </row>
    <row r="78" spans="1:34" ht="35.25" customHeight="1" thickBot="1" x14ac:dyDescent="0.25">
      <c r="C78" s="954"/>
      <c r="D78" s="993"/>
      <c r="E78" s="920"/>
      <c r="F78" s="955"/>
      <c r="G78" s="912"/>
      <c r="H78" s="911"/>
      <c r="I78" s="913"/>
      <c r="J78" s="912"/>
      <c r="K78" s="913"/>
      <c r="L78" s="912"/>
      <c r="M78" s="911"/>
      <c r="N78" s="912"/>
      <c r="O78" s="912"/>
      <c r="P78" s="912"/>
      <c r="Q78" s="903"/>
      <c r="R78" s="914"/>
      <c r="S78" s="911"/>
      <c r="T78" s="957"/>
      <c r="U78" s="974"/>
    </row>
    <row r="79" spans="1:34" x14ac:dyDescent="0.2">
      <c r="AG79" s="958">
        <f>SUBTOTAL(9,AG13:AG74)</f>
        <v>0</v>
      </c>
    </row>
    <row r="80" spans="1:34" x14ac:dyDescent="0.2">
      <c r="F80" s="946"/>
      <c r="H80" s="946"/>
      <c r="K80" s="994"/>
      <c r="R80" s="958" t="e">
        <f>SUBTOTAL(9,#REF!)</f>
        <v>#REF!</v>
      </c>
      <c r="S80" s="946"/>
    </row>
    <row r="81" spans="3:19" x14ac:dyDescent="0.2">
      <c r="C81" s="2008" t="s">
        <v>1109</v>
      </c>
      <c r="D81" s="2008"/>
      <c r="E81" s="2008"/>
      <c r="F81" s="2008"/>
      <c r="H81" s="946"/>
      <c r="K81" s="996"/>
      <c r="N81" s="1259"/>
      <c r="O81" s="1259"/>
      <c r="R81" s="958">
        <v>672320471640.50964</v>
      </c>
      <c r="S81" s="946"/>
    </row>
    <row r="82" spans="3:19" x14ac:dyDescent="0.2">
      <c r="C82" s="2007" t="s">
        <v>23</v>
      </c>
      <c r="D82" s="2007"/>
      <c r="E82" s="2007"/>
      <c r="F82" s="2007"/>
      <c r="H82" s="946"/>
      <c r="K82" s="996"/>
      <c r="N82" s="1259"/>
      <c r="O82" s="1259"/>
      <c r="P82" s="2007" t="s">
        <v>884</v>
      </c>
      <c r="Q82" s="2007"/>
      <c r="R82" s="2007"/>
      <c r="S82" s="2007"/>
    </row>
    <row r="83" spans="3:19" x14ac:dyDescent="0.2">
      <c r="C83" s="2007" t="s">
        <v>25</v>
      </c>
      <c r="D83" s="2007"/>
      <c r="E83" s="2007"/>
      <c r="F83" s="2007"/>
      <c r="H83" s="946"/>
      <c r="K83" s="996"/>
      <c r="N83" s="1259"/>
      <c r="O83" s="1259"/>
      <c r="P83" s="2007" t="s">
        <v>24</v>
      </c>
      <c r="Q83" s="2007"/>
      <c r="R83" s="2007"/>
      <c r="S83" s="2007"/>
    </row>
    <row r="84" spans="3:19" x14ac:dyDescent="0.2">
      <c r="C84" s="857"/>
      <c r="D84" s="857"/>
      <c r="E84" s="868"/>
      <c r="F84" s="857"/>
      <c r="H84" s="946"/>
      <c r="K84" s="996"/>
      <c r="N84" s="1259"/>
      <c r="O84" s="1259"/>
      <c r="P84" s="857"/>
      <c r="Q84" s="1251"/>
      <c r="R84" s="868"/>
      <c r="S84" s="857"/>
    </row>
    <row r="85" spans="3:19" x14ac:dyDescent="0.2">
      <c r="C85" s="857"/>
      <c r="D85" s="857"/>
      <c r="E85" s="868"/>
      <c r="F85" s="857"/>
      <c r="H85" s="946"/>
      <c r="K85" s="996"/>
      <c r="N85" s="1259"/>
      <c r="O85" s="1259"/>
      <c r="P85" s="857"/>
      <c r="Q85" s="1251"/>
      <c r="R85" s="868"/>
      <c r="S85" s="857"/>
    </row>
    <row r="86" spans="3:19" x14ac:dyDescent="0.2">
      <c r="C86" s="857"/>
      <c r="D86" s="857"/>
      <c r="E86" s="868"/>
      <c r="F86" s="857"/>
      <c r="H86" s="946"/>
      <c r="K86" s="996"/>
      <c r="N86" s="1259"/>
      <c r="O86" s="1259"/>
      <c r="P86" s="857"/>
      <c r="Q86" s="1251"/>
      <c r="R86" s="868"/>
      <c r="S86" s="857"/>
    </row>
    <row r="87" spans="3:19" x14ac:dyDescent="0.2">
      <c r="C87" s="857"/>
      <c r="D87" s="857"/>
      <c r="E87" s="868"/>
      <c r="F87" s="857"/>
      <c r="H87" s="946"/>
      <c r="K87" s="996"/>
      <c r="N87" s="1259"/>
      <c r="O87" s="1259"/>
      <c r="P87" s="857"/>
      <c r="Q87" s="1251"/>
      <c r="R87" s="868"/>
      <c r="S87" s="857"/>
    </row>
    <row r="88" spans="3:19" x14ac:dyDescent="0.2">
      <c r="C88" s="857"/>
      <c r="D88" s="857"/>
      <c r="E88" s="868"/>
      <c r="F88" s="857"/>
      <c r="H88" s="946"/>
      <c r="K88" s="996"/>
      <c r="N88" s="1259"/>
      <c r="O88" s="1259"/>
      <c r="P88" s="857"/>
      <c r="Q88" s="1251"/>
      <c r="R88" s="868"/>
      <c r="S88" s="857"/>
    </row>
    <row r="89" spans="3:19" x14ac:dyDescent="0.2">
      <c r="C89" s="2009" t="s">
        <v>26</v>
      </c>
      <c r="D89" s="2009"/>
      <c r="E89" s="2009"/>
      <c r="F89" s="2009"/>
      <c r="H89" s="946"/>
      <c r="K89" s="996"/>
      <c r="N89" s="1259"/>
      <c r="O89" s="1259"/>
      <c r="P89" s="2009" t="s">
        <v>27</v>
      </c>
      <c r="Q89" s="2009"/>
      <c r="R89" s="2009"/>
      <c r="S89" s="2009"/>
    </row>
    <row r="90" spans="3:19" x14ac:dyDescent="0.2">
      <c r="C90" s="2007" t="s">
        <v>28</v>
      </c>
      <c r="D90" s="2007"/>
      <c r="E90" s="2007"/>
      <c r="F90" s="2007"/>
      <c r="H90" s="946"/>
      <c r="K90" s="996"/>
      <c r="N90" s="1259"/>
      <c r="O90" s="1259"/>
      <c r="P90" s="2007" t="s">
        <v>29</v>
      </c>
      <c r="Q90" s="2007"/>
      <c r="R90" s="2007"/>
      <c r="S90" s="2007"/>
    </row>
    <row r="110" spans="1:36" s="1259" customFormat="1" x14ac:dyDescent="0.2">
      <c r="A110" s="946"/>
      <c r="B110" s="946"/>
      <c r="C110" s="946"/>
      <c r="D110" s="946"/>
      <c r="E110" s="958"/>
      <c r="G110" s="946"/>
      <c r="I110" s="843"/>
      <c r="J110" s="946"/>
      <c r="K110" s="843"/>
      <c r="L110" s="946"/>
      <c r="N110" s="946"/>
      <c r="O110" s="946"/>
      <c r="P110" s="946"/>
      <c r="R110" s="959"/>
      <c r="T110" s="946"/>
      <c r="U110" s="946"/>
      <c r="V110" s="946"/>
      <c r="W110" s="946"/>
      <c r="X110" s="946"/>
      <c r="Y110" s="958"/>
      <c r="Z110" s="946"/>
      <c r="AA110" s="958"/>
      <c r="AB110" s="958"/>
      <c r="AC110" s="958"/>
      <c r="AD110" s="958"/>
      <c r="AE110" s="958"/>
      <c r="AF110" s="958"/>
      <c r="AG110" s="958"/>
      <c r="AH110" s="958"/>
      <c r="AI110" s="946"/>
      <c r="AJ110" s="946"/>
    </row>
  </sheetData>
  <autoFilter ref="A9:AJ78" xr:uid="{00000000-0009-0000-0000-000016000000}"/>
  <mergeCells count="46">
    <mergeCell ref="C90:F90"/>
    <mergeCell ref="P90:S90"/>
    <mergeCell ref="C81:F81"/>
    <mergeCell ref="C82:F82"/>
    <mergeCell ref="P82:S82"/>
    <mergeCell ref="C83:F83"/>
    <mergeCell ref="P83:S83"/>
    <mergeCell ref="C89:F89"/>
    <mergeCell ref="P89:S89"/>
    <mergeCell ref="AH6:AH8"/>
    <mergeCell ref="F7:F8"/>
    <mergeCell ref="G7:G8"/>
    <mergeCell ref="M7:M8"/>
    <mergeCell ref="N7:N8"/>
    <mergeCell ref="AA7:AA8"/>
    <mergeCell ref="AB7:AB8"/>
    <mergeCell ref="AC7:AC8"/>
    <mergeCell ref="AD7:AD8"/>
    <mergeCell ref="AE7:AE8"/>
    <mergeCell ref="W6:W8"/>
    <mergeCell ref="X6:X8"/>
    <mergeCell ref="Y6:Y8"/>
    <mergeCell ref="Z6:Z8"/>
    <mergeCell ref="AA6:AF6"/>
    <mergeCell ref="AG6:AG8"/>
    <mergeCell ref="AF7:AF8"/>
    <mergeCell ref="P6:P8"/>
    <mergeCell ref="Q6:Q8"/>
    <mergeCell ref="R6:R8"/>
    <mergeCell ref="S6:S8"/>
    <mergeCell ref="T6:T8"/>
    <mergeCell ref="V6:V8"/>
    <mergeCell ref="O6:O8"/>
    <mergeCell ref="C2:T2"/>
    <mergeCell ref="C3:T3"/>
    <mergeCell ref="C5:D5"/>
    <mergeCell ref="A6:A8"/>
    <mergeCell ref="C6:C8"/>
    <mergeCell ref="D6:E8"/>
    <mergeCell ref="F6:G6"/>
    <mergeCell ref="H6:H8"/>
    <mergeCell ref="I6:I8"/>
    <mergeCell ref="J6:J8"/>
    <mergeCell ref="K6:K8"/>
    <mergeCell ref="L6:L8"/>
    <mergeCell ref="M6:N6"/>
  </mergeCells>
  <conditionalFormatting sqref="V11">
    <cfRule type="cellIs" dxfId="0" priority="1" operator="equal">
      <formula>$R$11</formula>
    </cfRule>
  </conditionalFormatting>
  <pageMargins left="1.54" right="0.27559055118110237" top="0.65" bottom="0.63" header="0.31496062992125984" footer="0.31496062992125984"/>
  <pageSetup paperSize="5" scale="60" orientation="landscape" horizontalDpi="4294967293" verticalDpi="4294967293"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C135"/>
  <sheetViews>
    <sheetView workbookViewId="0">
      <selection activeCell="B2" sqref="B2:B89"/>
    </sheetView>
  </sheetViews>
  <sheetFormatPr baseColWidth="10" defaultColWidth="8.83203125" defaultRowHeight="15" x14ac:dyDescent="0.2"/>
  <cols>
    <col min="2" max="2" width="18" style="769" bestFit="1" customWidth="1"/>
  </cols>
  <sheetData>
    <row r="2" spans="2:3" x14ac:dyDescent="0.2">
      <c r="B2" s="769">
        <v>9520000000</v>
      </c>
      <c r="C2" t="s">
        <v>4891</v>
      </c>
    </row>
    <row r="3" spans="2:3" x14ac:dyDescent="0.2">
      <c r="B3" s="769">
        <v>5145000000</v>
      </c>
      <c r="C3" t="s">
        <v>4900</v>
      </c>
    </row>
    <row r="4" spans="2:3" x14ac:dyDescent="0.2">
      <c r="B4" s="769">
        <v>2275000000</v>
      </c>
      <c r="C4" t="s">
        <v>4892</v>
      </c>
    </row>
    <row r="5" spans="2:3" x14ac:dyDescent="0.2">
      <c r="B5" s="769">
        <v>472500000</v>
      </c>
      <c r="C5" t="s">
        <v>4900</v>
      </c>
    </row>
    <row r="6" spans="2:3" x14ac:dyDescent="0.2">
      <c r="B6" s="769">
        <v>472500000</v>
      </c>
      <c r="C6" t="s">
        <v>4900</v>
      </c>
    </row>
    <row r="7" spans="2:3" x14ac:dyDescent="0.2">
      <c r="B7" s="769">
        <v>6600000000</v>
      </c>
      <c r="C7" t="s">
        <v>4900</v>
      </c>
    </row>
    <row r="8" spans="2:3" x14ac:dyDescent="0.2">
      <c r="B8" s="769">
        <v>286650000</v>
      </c>
      <c r="C8" t="s">
        <v>4892</v>
      </c>
    </row>
    <row r="9" spans="2:3" x14ac:dyDescent="0.2">
      <c r="B9" s="769">
        <v>420000000</v>
      </c>
      <c r="C9" t="s">
        <v>4892</v>
      </c>
    </row>
    <row r="10" spans="2:3" x14ac:dyDescent="0.2">
      <c r="B10" s="769">
        <v>2772000000</v>
      </c>
      <c r="C10" t="s">
        <v>4892</v>
      </c>
    </row>
    <row r="11" spans="2:3" x14ac:dyDescent="0.2">
      <c r="B11" s="769">
        <v>374400000</v>
      </c>
      <c r="C11" t="s">
        <v>4901</v>
      </c>
    </row>
    <row r="12" spans="2:3" x14ac:dyDescent="0.2">
      <c r="B12" s="769">
        <v>345600000</v>
      </c>
      <c r="C12" t="s">
        <v>4901</v>
      </c>
    </row>
    <row r="13" spans="2:3" x14ac:dyDescent="0.2">
      <c r="B13" s="769">
        <v>388800000</v>
      </c>
      <c r="C13" t="s">
        <v>4901</v>
      </c>
    </row>
    <row r="14" spans="2:3" x14ac:dyDescent="0.2">
      <c r="B14" s="769">
        <v>648000000</v>
      </c>
      <c r="C14" t="s">
        <v>4901</v>
      </c>
    </row>
    <row r="15" spans="2:3" x14ac:dyDescent="0.2">
      <c r="B15" s="769">
        <v>388800000</v>
      </c>
      <c r="C15" t="s">
        <v>4892</v>
      </c>
    </row>
    <row r="16" spans="2:3" x14ac:dyDescent="0.2">
      <c r="B16" s="769">
        <v>345600000</v>
      </c>
      <c r="C16" t="s">
        <v>4901</v>
      </c>
    </row>
    <row r="17" spans="2:3" x14ac:dyDescent="0.2">
      <c r="B17" s="769">
        <v>486000000</v>
      </c>
      <c r="C17" t="s">
        <v>4901</v>
      </c>
    </row>
    <row r="18" spans="2:3" x14ac:dyDescent="0.2">
      <c r="B18" s="769">
        <v>230400000</v>
      </c>
      <c r="C18" t="s">
        <v>4901</v>
      </c>
    </row>
    <row r="19" spans="2:3" x14ac:dyDescent="0.2">
      <c r="B19" s="769">
        <v>378000000</v>
      </c>
      <c r="C19" t="s">
        <v>4901</v>
      </c>
    </row>
    <row r="20" spans="2:3" x14ac:dyDescent="0.2">
      <c r="B20" s="769">
        <v>576000000</v>
      </c>
      <c r="C20" t="s">
        <v>4901</v>
      </c>
    </row>
    <row r="21" spans="2:3" x14ac:dyDescent="0.2">
      <c r="B21" s="769">
        <v>135000000</v>
      </c>
      <c r="C21" t="s">
        <v>4901</v>
      </c>
    </row>
    <row r="22" spans="2:3" x14ac:dyDescent="0.2">
      <c r="B22" s="769">
        <v>336000000</v>
      </c>
      <c r="C22" t="s">
        <v>4892</v>
      </c>
    </row>
    <row r="23" spans="2:3" x14ac:dyDescent="0.2">
      <c r="B23" s="769">
        <v>252000000</v>
      </c>
      <c r="C23" t="s">
        <v>4901</v>
      </c>
    </row>
    <row r="24" spans="2:3" x14ac:dyDescent="0.2">
      <c r="B24" s="769">
        <v>486000000</v>
      </c>
      <c r="C24" t="s">
        <v>4901</v>
      </c>
    </row>
    <row r="25" spans="2:3" x14ac:dyDescent="0.2">
      <c r="B25" s="769">
        <v>1848000000</v>
      </c>
      <c r="C25" t="s">
        <v>4892</v>
      </c>
    </row>
    <row r="26" spans="2:3" x14ac:dyDescent="0.2">
      <c r="B26" s="769">
        <v>422400000</v>
      </c>
      <c r="C26" t="s">
        <v>4892</v>
      </c>
    </row>
    <row r="27" spans="2:3" x14ac:dyDescent="0.2">
      <c r="B27" s="769">
        <v>2059200000</v>
      </c>
      <c r="C27" t="s">
        <v>4900</v>
      </c>
    </row>
    <row r="28" spans="2:3" x14ac:dyDescent="0.2">
      <c r="B28" s="769">
        <v>2826398290.872139</v>
      </c>
      <c r="C28" t="s">
        <v>4901</v>
      </c>
    </row>
    <row r="29" spans="2:3" x14ac:dyDescent="0.2">
      <c r="B29" s="769">
        <v>2194386304.3273997</v>
      </c>
      <c r="C29" t="s">
        <v>4901</v>
      </c>
    </row>
    <row r="30" spans="2:3" x14ac:dyDescent="0.2">
      <c r="B30" s="769">
        <v>5037798091.3787003</v>
      </c>
      <c r="C30" t="s">
        <v>4901</v>
      </c>
    </row>
    <row r="31" spans="2:3" x14ac:dyDescent="0.2">
      <c r="B31" s="769">
        <v>3309782443.4143963</v>
      </c>
      <c r="C31" t="s">
        <v>4900</v>
      </c>
    </row>
    <row r="32" spans="2:3" x14ac:dyDescent="0.2">
      <c r="B32" s="769">
        <v>966122240.69814003</v>
      </c>
      <c r="C32" t="s">
        <v>4892</v>
      </c>
    </row>
    <row r="33" spans="2:3" x14ac:dyDescent="0.2">
      <c r="B33" s="769">
        <v>837379143.13253343</v>
      </c>
      <c r="C33" t="s">
        <v>4900</v>
      </c>
    </row>
    <row r="34" spans="2:3" x14ac:dyDescent="0.2">
      <c r="B34" s="769">
        <v>749497417.32000005</v>
      </c>
      <c r="C34" t="s">
        <v>4902</v>
      </c>
    </row>
    <row r="35" spans="2:3" x14ac:dyDescent="0.2">
      <c r="B35" s="769">
        <v>1004635245.0665743</v>
      </c>
      <c r="C35" t="s">
        <v>4902</v>
      </c>
    </row>
    <row r="36" spans="2:3" x14ac:dyDescent="0.2">
      <c r="B36" s="769">
        <v>3087425688.1593609</v>
      </c>
      <c r="C36" t="s">
        <v>4902</v>
      </c>
    </row>
    <row r="37" spans="2:3" x14ac:dyDescent="0.2">
      <c r="B37" s="769">
        <v>929480817.58420205</v>
      </c>
      <c r="C37" t="s">
        <v>4893</v>
      </c>
    </row>
    <row r="38" spans="2:3" x14ac:dyDescent="0.2">
      <c r="B38" s="769">
        <v>8726284111.1459866</v>
      </c>
      <c r="C38" t="s">
        <v>4902</v>
      </c>
    </row>
    <row r="39" spans="2:3" x14ac:dyDescent="0.2">
      <c r="B39" s="769">
        <v>10544570566</v>
      </c>
      <c r="C39" t="s">
        <v>4900</v>
      </c>
    </row>
    <row r="40" spans="2:3" x14ac:dyDescent="0.2">
      <c r="B40" s="769">
        <v>829088158</v>
      </c>
      <c r="C40" t="s">
        <v>4902</v>
      </c>
    </row>
    <row r="41" spans="2:3" x14ac:dyDescent="0.2">
      <c r="B41" s="769">
        <v>2130596812.9205101</v>
      </c>
      <c r="C41" t="s">
        <v>4902</v>
      </c>
    </row>
    <row r="42" spans="2:3" x14ac:dyDescent="0.2">
      <c r="B42" s="769">
        <v>400080843</v>
      </c>
      <c r="C42" t="s">
        <v>4902</v>
      </c>
    </row>
    <row r="43" spans="2:3" x14ac:dyDescent="0.2">
      <c r="B43" s="769">
        <v>22007615819</v>
      </c>
      <c r="C43" t="s">
        <v>4902</v>
      </c>
    </row>
    <row r="44" spans="2:3" x14ac:dyDescent="0.2">
      <c r="B44" s="769">
        <v>1200224056</v>
      </c>
      <c r="C44" t="s">
        <v>4902</v>
      </c>
    </row>
    <row r="45" spans="2:3" x14ac:dyDescent="0.2">
      <c r="B45" s="769">
        <v>1192070199</v>
      </c>
      <c r="C45" t="s">
        <v>4902</v>
      </c>
    </row>
    <row r="46" spans="2:3" x14ac:dyDescent="0.2">
      <c r="B46" s="769">
        <v>1759387701.9008303</v>
      </c>
      <c r="C46" t="s">
        <v>4900</v>
      </c>
    </row>
    <row r="47" spans="2:3" x14ac:dyDescent="0.2">
      <c r="B47" s="769">
        <v>720415026.35516441</v>
      </c>
      <c r="C47" t="s">
        <v>4900</v>
      </c>
    </row>
    <row r="48" spans="2:3" x14ac:dyDescent="0.2">
      <c r="B48" s="769">
        <v>666142171.96289265</v>
      </c>
      <c r="C48" t="s">
        <v>4902</v>
      </c>
    </row>
    <row r="49" spans="2:3" x14ac:dyDescent="0.2">
      <c r="B49" s="769">
        <v>16031900</v>
      </c>
      <c r="C49" t="s">
        <v>4900</v>
      </c>
    </row>
    <row r="50" spans="2:3" x14ac:dyDescent="0.2">
      <c r="B50" s="769">
        <v>56100500</v>
      </c>
      <c r="C50" t="s">
        <v>4900</v>
      </c>
    </row>
    <row r="51" spans="2:3" x14ac:dyDescent="0.2">
      <c r="B51" s="769">
        <v>1244781279.9893248</v>
      </c>
      <c r="C51" t="s">
        <v>4900</v>
      </c>
    </row>
    <row r="52" spans="2:3" x14ac:dyDescent="0.2">
      <c r="B52" s="769">
        <v>2776676476.1366801</v>
      </c>
      <c r="C52" t="s">
        <v>4900</v>
      </c>
    </row>
    <row r="53" spans="2:3" x14ac:dyDescent="0.2">
      <c r="B53" s="769">
        <v>1560463250.3707366</v>
      </c>
      <c r="C53" t="s">
        <v>4900</v>
      </c>
    </row>
    <row r="54" spans="2:3" x14ac:dyDescent="0.2">
      <c r="B54" s="769">
        <v>410267652.64856702</v>
      </c>
      <c r="C54" t="s">
        <v>4900</v>
      </c>
    </row>
    <row r="55" spans="2:3" x14ac:dyDescent="0.2">
      <c r="B55" s="769">
        <v>3138518318.2668023</v>
      </c>
      <c r="C55" t="s">
        <v>4893</v>
      </c>
    </row>
    <row r="56" spans="2:3" x14ac:dyDescent="0.2">
      <c r="B56" s="769">
        <v>3248767238.5415602</v>
      </c>
      <c r="C56" t="s">
        <v>4900</v>
      </c>
    </row>
    <row r="57" spans="2:3" x14ac:dyDescent="0.2">
      <c r="B57" s="769">
        <v>3429496091.4810162</v>
      </c>
      <c r="C57" t="s">
        <v>4894</v>
      </c>
    </row>
    <row r="58" spans="2:3" x14ac:dyDescent="0.2">
      <c r="B58" s="769">
        <v>2671864502.9721117</v>
      </c>
      <c r="C58" t="s">
        <v>4894</v>
      </c>
    </row>
    <row r="59" spans="2:3" x14ac:dyDescent="0.2">
      <c r="B59" s="769">
        <v>4766925638.6591597</v>
      </c>
      <c r="C59" t="s">
        <v>4900</v>
      </c>
    </row>
    <row r="60" spans="2:3" x14ac:dyDescent="0.2">
      <c r="B60" s="769">
        <v>1899132200.4191258</v>
      </c>
      <c r="C60" t="s">
        <v>4900</v>
      </c>
    </row>
    <row r="61" spans="2:3" x14ac:dyDescent="0.2">
      <c r="B61" s="769">
        <v>3289380516.7796202</v>
      </c>
      <c r="C61" t="s">
        <v>4895</v>
      </c>
    </row>
    <row r="62" spans="2:3" x14ac:dyDescent="0.2">
      <c r="B62" s="769">
        <v>3331381781.9313898</v>
      </c>
      <c r="C62" t="s">
        <v>4900</v>
      </c>
    </row>
    <row r="63" spans="2:3" x14ac:dyDescent="0.2">
      <c r="B63" s="769">
        <v>61843579.711400554</v>
      </c>
      <c r="C63" t="s">
        <v>4900</v>
      </c>
    </row>
    <row r="64" spans="2:3" x14ac:dyDescent="0.2">
      <c r="B64" s="769">
        <v>5337508027</v>
      </c>
      <c r="C64" t="s">
        <v>4900</v>
      </c>
    </row>
    <row r="65" spans="2:3" x14ac:dyDescent="0.2">
      <c r="B65" s="769">
        <v>1780990624</v>
      </c>
      <c r="C65" t="s">
        <v>4900</v>
      </c>
    </row>
    <row r="66" spans="2:3" x14ac:dyDescent="0.2">
      <c r="B66" s="769">
        <v>1721445175</v>
      </c>
      <c r="C66" t="s">
        <v>4900</v>
      </c>
    </row>
    <row r="67" spans="2:3" x14ac:dyDescent="0.2">
      <c r="B67" s="769">
        <v>5749727762</v>
      </c>
      <c r="C67" t="s">
        <v>4895</v>
      </c>
    </row>
    <row r="68" spans="2:3" x14ac:dyDescent="0.2">
      <c r="B68" s="769">
        <v>2280941691</v>
      </c>
      <c r="C68" t="s">
        <v>4902</v>
      </c>
    </row>
    <row r="69" spans="2:3" x14ac:dyDescent="0.2">
      <c r="B69" s="769">
        <v>1827236217</v>
      </c>
      <c r="C69" t="s">
        <v>4901</v>
      </c>
    </row>
    <row r="70" spans="2:3" x14ac:dyDescent="0.2">
      <c r="B70" s="769">
        <v>197994103</v>
      </c>
      <c r="C70" t="s">
        <v>4900</v>
      </c>
    </row>
    <row r="71" spans="2:3" x14ac:dyDescent="0.2">
      <c r="B71" s="769">
        <v>1947872840</v>
      </c>
      <c r="C71" t="s">
        <v>4900</v>
      </c>
    </row>
    <row r="72" spans="2:3" x14ac:dyDescent="0.2">
      <c r="B72" s="769">
        <v>198146512</v>
      </c>
      <c r="C72" t="s">
        <v>4900</v>
      </c>
    </row>
    <row r="73" spans="2:3" x14ac:dyDescent="0.2">
      <c r="B73" s="769">
        <v>197600820</v>
      </c>
      <c r="C73" t="s">
        <v>4900</v>
      </c>
    </row>
    <row r="74" spans="2:3" x14ac:dyDescent="0.2">
      <c r="B74" s="769">
        <v>198334296</v>
      </c>
      <c r="C74" t="s">
        <v>4900</v>
      </c>
    </row>
    <row r="75" spans="2:3" x14ac:dyDescent="0.2">
      <c r="B75" s="769">
        <v>197798349</v>
      </c>
      <c r="C75" t="s">
        <v>4900</v>
      </c>
    </row>
    <row r="76" spans="2:3" x14ac:dyDescent="0.2">
      <c r="B76" s="769">
        <v>197815874</v>
      </c>
      <c r="C76" t="s">
        <v>4900</v>
      </c>
    </row>
    <row r="77" spans="2:3" x14ac:dyDescent="0.2">
      <c r="B77" s="769">
        <v>446302277</v>
      </c>
      <c r="C77" t="s">
        <v>4900</v>
      </c>
    </row>
    <row r="78" spans="2:3" x14ac:dyDescent="0.2">
      <c r="B78" s="769">
        <v>371814177</v>
      </c>
      <c r="C78" t="s">
        <v>4900</v>
      </c>
    </row>
    <row r="79" spans="2:3" x14ac:dyDescent="0.2">
      <c r="B79" s="769">
        <v>197910872</v>
      </c>
      <c r="C79" t="s">
        <v>4900</v>
      </c>
    </row>
    <row r="80" spans="2:3" x14ac:dyDescent="0.2">
      <c r="B80" s="769">
        <v>197392348</v>
      </c>
      <c r="C80" t="s">
        <v>4900</v>
      </c>
    </row>
    <row r="81" spans="2:3" x14ac:dyDescent="0.2">
      <c r="B81" s="769">
        <v>196879677</v>
      </c>
      <c r="C81" t="s">
        <v>4900</v>
      </c>
    </row>
    <row r="82" spans="2:3" x14ac:dyDescent="0.2">
      <c r="B82" s="769">
        <v>197544440</v>
      </c>
      <c r="C82" t="s">
        <v>4900</v>
      </c>
    </row>
    <row r="83" spans="2:3" x14ac:dyDescent="0.2">
      <c r="B83" s="769">
        <v>192182044</v>
      </c>
      <c r="C83" t="s">
        <v>4900</v>
      </c>
    </row>
    <row r="84" spans="2:3" x14ac:dyDescent="0.2">
      <c r="B84" s="769">
        <v>187069610</v>
      </c>
      <c r="C84" t="s">
        <v>4900</v>
      </c>
    </row>
    <row r="85" spans="2:3" x14ac:dyDescent="0.2">
      <c r="B85" s="769">
        <v>196939048</v>
      </c>
      <c r="C85" t="s">
        <v>4900</v>
      </c>
    </row>
    <row r="86" spans="2:3" x14ac:dyDescent="0.2">
      <c r="B86" s="769">
        <v>198230943</v>
      </c>
      <c r="C86" t="s">
        <v>4900</v>
      </c>
    </row>
    <row r="87" spans="2:3" x14ac:dyDescent="0.2">
      <c r="B87" s="769">
        <v>189452159</v>
      </c>
      <c r="C87" t="s">
        <v>4900</v>
      </c>
    </row>
    <row r="88" spans="2:3" x14ac:dyDescent="0.2">
      <c r="B88" s="769">
        <v>3199037978</v>
      </c>
      <c r="C88" t="s">
        <v>4900</v>
      </c>
    </row>
    <row r="89" spans="2:3" x14ac:dyDescent="0.2">
      <c r="B89" s="769">
        <v>1990157144</v>
      </c>
      <c r="C89" t="s">
        <v>4900</v>
      </c>
    </row>
    <row r="90" spans="2:3" x14ac:dyDescent="0.2">
      <c r="B90" s="769">
        <v>2132575732</v>
      </c>
      <c r="C90" t="s">
        <v>4900</v>
      </c>
    </row>
    <row r="91" spans="2:3" x14ac:dyDescent="0.2">
      <c r="B91" s="769">
        <v>1212664598</v>
      </c>
      <c r="C91" t="s">
        <v>4900</v>
      </c>
    </row>
    <row r="92" spans="2:3" x14ac:dyDescent="0.2">
      <c r="B92" s="769">
        <v>1976709313</v>
      </c>
      <c r="C92" t="s">
        <v>4895</v>
      </c>
    </row>
    <row r="93" spans="2:3" x14ac:dyDescent="0.2">
      <c r="B93" s="769">
        <v>194273678</v>
      </c>
      <c r="C93" t="s">
        <v>4900</v>
      </c>
    </row>
    <row r="94" spans="2:3" x14ac:dyDescent="0.2">
      <c r="B94" s="769">
        <v>469897527</v>
      </c>
      <c r="C94" t="s">
        <v>4900</v>
      </c>
    </row>
    <row r="95" spans="2:3" x14ac:dyDescent="0.2">
      <c r="B95" s="769">
        <v>194304755</v>
      </c>
      <c r="C95" t="s">
        <v>4900</v>
      </c>
    </row>
    <row r="96" spans="2:3" x14ac:dyDescent="0.2">
      <c r="B96" s="769">
        <v>192293177</v>
      </c>
      <c r="C96" t="s">
        <v>4900</v>
      </c>
    </row>
    <row r="97" spans="2:3" x14ac:dyDescent="0.2">
      <c r="B97" s="769">
        <v>1945177628</v>
      </c>
      <c r="C97" t="s">
        <v>4900</v>
      </c>
    </row>
    <row r="98" spans="2:3" x14ac:dyDescent="0.2">
      <c r="B98" s="769">
        <v>2197200060</v>
      </c>
      <c r="C98" t="s">
        <v>4895</v>
      </c>
    </row>
    <row r="99" spans="2:3" x14ac:dyDescent="0.2">
      <c r="B99" s="769">
        <v>190265603</v>
      </c>
      <c r="C99" t="s">
        <v>4900</v>
      </c>
    </row>
    <row r="100" spans="2:3" x14ac:dyDescent="0.2">
      <c r="B100" s="769">
        <v>741801931</v>
      </c>
      <c r="C100" t="s">
        <v>4900</v>
      </c>
    </row>
    <row r="101" spans="2:3" x14ac:dyDescent="0.2">
      <c r="B101" s="769">
        <v>194109943</v>
      </c>
      <c r="C101" t="s">
        <v>4900</v>
      </c>
    </row>
    <row r="102" spans="2:3" x14ac:dyDescent="0.2">
      <c r="B102" s="769">
        <v>194305774</v>
      </c>
      <c r="C102" t="s">
        <v>4900</v>
      </c>
    </row>
    <row r="103" spans="2:3" x14ac:dyDescent="0.2">
      <c r="B103" s="769">
        <v>192442791</v>
      </c>
      <c r="C103" t="s">
        <v>4900</v>
      </c>
    </row>
    <row r="104" spans="2:3" x14ac:dyDescent="0.2">
      <c r="B104" s="769">
        <v>195564131</v>
      </c>
      <c r="C104" t="s">
        <v>4900</v>
      </c>
    </row>
    <row r="105" spans="2:3" x14ac:dyDescent="0.2">
      <c r="B105" s="769">
        <v>28270054450.200001</v>
      </c>
      <c r="C105" t="s">
        <v>4896</v>
      </c>
    </row>
    <row r="106" spans="2:3" x14ac:dyDescent="0.2">
      <c r="B106" s="769">
        <v>191714919</v>
      </c>
      <c r="C106" t="s">
        <v>4900</v>
      </c>
    </row>
    <row r="107" spans="2:3" x14ac:dyDescent="0.2">
      <c r="B107" s="769">
        <v>133925703</v>
      </c>
      <c r="C107" t="s">
        <v>4900</v>
      </c>
    </row>
    <row r="108" spans="2:3" x14ac:dyDescent="0.2">
      <c r="B108" s="769">
        <v>190930494</v>
      </c>
      <c r="C108" t="s">
        <v>4900</v>
      </c>
    </row>
    <row r="109" spans="2:3" x14ac:dyDescent="0.2">
      <c r="B109" s="769">
        <v>194508025</v>
      </c>
      <c r="C109" t="s">
        <v>4900</v>
      </c>
    </row>
    <row r="110" spans="2:3" x14ac:dyDescent="0.2">
      <c r="B110" s="769">
        <v>1944689998.1099999</v>
      </c>
      <c r="C110" t="s">
        <v>4900</v>
      </c>
    </row>
    <row r="111" spans="2:3" x14ac:dyDescent="0.2">
      <c r="B111" s="769">
        <v>198356308</v>
      </c>
      <c r="C111" t="s">
        <v>4900</v>
      </c>
    </row>
    <row r="112" spans="2:3" x14ac:dyDescent="0.2">
      <c r="B112" s="769">
        <v>2279380200</v>
      </c>
      <c r="C112" t="s">
        <v>4900</v>
      </c>
    </row>
    <row r="113" spans="2:3" x14ac:dyDescent="0.2">
      <c r="B113" s="769">
        <v>240781700</v>
      </c>
      <c r="C113" t="s">
        <v>4900</v>
      </c>
    </row>
    <row r="114" spans="2:3" x14ac:dyDescent="0.2">
      <c r="B114" s="769">
        <v>191876653</v>
      </c>
      <c r="C114" t="s">
        <v>4900</v>
      </c>
    </row>
    <row r="115" spans="2:3" x14ac:dyDescent="0.2">
      <c r="B115" s="769">
        <v>190848000</v>
      </c>
      <c r="C115" t="s">
        <v>4900</v>
      </c>
    </row>
    <row r="116" spans="2:3" x14ac:dyDescent="0.2">
      <c r="B116" s="769">
        <v>190661000</v>
      </c>
      <c r="C116" t="s">
        <v>4900</v>
      </c>
    </row>
    <row r="117" spans="2:3" x14ac:dyDescent="0.2">
      <c r="B117" s="769">
        <v>190002000</v>
      </c>
      <c r="C117" t="s">
        <v>4900</v>
      </c>
    </row>
    <row r="118" spans="2:3" x14ac:dyDescent="0.2">
      <c r="B118" s="769">
        <v>180541000</v>
      </c>
      <c r="C118" t="s">
        <v>4900</v>
      </c>
    </row>
    <row r="119" spans="2:3" x14ac:dyDescent="0.2">
      <c r="B119" s="769">
        <v>1826207613.623291</v>
      </c>
      <c r="C119" t="s">
        <v>4900</v>
      </c>
    </row>
    <row r="120" spans="2:3" x14ac:dyDescent="0.2">
      <c r="B120" s="769">
        <v>190204148</v>
      </c>
      <c r="C120" t="s">
        <v>4900</v>
      </c>
    </row>
    <row r="121" spans="2:3" x14ac:dyDescent="0.2">
      <c r="B121" s="769">
        <v>190111000</v>
      </c>
      <c r="C121" t="s">
        <v>4900</v>
      </c>
    </row>
    <row r="122" spans="2:3" x14ac:dyDescent="0.2">
      <c r="B122" s="769">
        <v>191284600</v>
      </c>
      <c r="C122" t="s">
        <v>4900</v>
      </c>
    </row>
    <row r="123" spans="2:3" x14ac:dyDescent="0.2">
      <c r="B123" s="769">
        <v>190132000</v>
      </c>
      <c r="C123" t="s">
        <v>4900</v>
      </c>
    </row>
    <row r="124" spans="2:3" x14ac:dyDescent="0.2">
      <c r="B124" s="769">
        <v>629019200</v>
      </c>
      <c r="C124" t="s">
        <v>4900</v>
      </c>
    </row>
    <row r="125" spans="2:3" x14ac:dyDescent="0.2">
      <c r="B125" s="769">
        <v>147108400.29000002</v>
      </c>
      <c r="C125" t="s">
        <v>4900</v>
      </c>
    </row>
    <row r="126" spans="2:3" x14ac:dyDescent="0.2">
      <c r="B126" s="769">
        <v>196256600</v>
      </c>
      <c r="C126" t="s">
        <v>4900</v>
      </c>
    </row>
    <row r="127" spans="2:3" x14ac:dyDescent="0.2">
      <c r="B127" s="769">
        <v>196507244</v>
      </c>
      <c r="C127" t="s">
        <v>4900</v>
      </c>
    </row>
    <row r="128" spans="2:3" x14ac:dyDescent="0.2">
      <c r="B128" s="769">
        <v>196517180</v>
      </c>
      <c r="C128" t="s">
        <v>4900</v>
      </c>
    </row>
    <row r="129" spans="2:3" x14ac:dyDescent="0.2">
      <c r="B129" s="769">
        <v>181275065</v>
      </c>
      <c r="C129" t="s">
        <v>4900</v>
      </c>
    </row>
    <row r="130" spans="2:3" x14ac:dyDescent="0.2">
      <c r="B130" s="769">
        <v>197613000</v>
      </c>
      <c r="C130" t="s">
        <v>4900</v>
      </c>
    </row>
    <row r="131" spans="2:3" x14ac:dyDescent="0.2">
      <c r="B131" s="769">
        <v>2896710698</v>
      </c>
      <c r="C131" t="s">
        <v>4900</v>
      </c>
    </row>
    <row r="132" spans="2:3" x14ac:dyDescent="0.2">
      <c r="B132" s="769">
        <v>2153501620</v>
      </c>
      <c r="C132" t="s">
        <v>4900</v>
      </c>
    </row>
    <row r="133" spans="2:3" x14ac:dyDescent="0.2">
      <c r="B133" s="769">
        <v>647774900</v>
      </c>
      <c r="C133" t="s">
        <v>4900</v>
      </c>
    </row>
    <row r="134" spans="2:3" x14ac:dyDescent="0.2">
      <c r="B134" s="769">
        <v>189359000</v>
      </c>
      <c r="C134" t="s">
        <v>4900</v>
      </c>
    </row>
    <row r="135" spans="2:3" x14ac:dyDescent="0.2">
      <c r="B135" s="769">
        <v>2267510824</v>
      </c>
      <c r="C135" t="s">
        <v>4900</v>
      </c>
    </row>
  </sheetData>
  <pageMargins left="0.7" right="0.7" top="0.75" bottom="0.75" header="0.3" footer="0.3"/>
  <pageSetup paperSize="5" orientation="landscape"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4:G26"/>
  <sheetViews>
    <sheetView topLeftCell="A7" workbookViewId="0">
      <selection activeCell="E33" sqref="E33"/>
    </sheetView>
  </sheetViews>
  <sheetFormatPr baseColWidth="10" defaultColWidth="8.83203125" defaultRowHeight="15" x14ac:dyDescent="0.2"/>
  <cols>
    <col min="1" max="1" width="13" customWidth="1"/>
    <col min="2" max="2" width="19.33203125" bestFit="1" customWidth="1"/>
    <col min="3" max="3" width="20.83203125" bestFit="1" customWidth="1"/>
    <col min="4" max="4" width="20.5" bestFit="1" customWidth="1"/>
    <col min="5" max="5" width="19" bestFit="1" customWidth="1"/>
    <col min="6" max="6" width="18" bestFit="1" customWidth="1"/>
    <col min="7" max="7" width="13.5" customWidth="1"/>
  </cols>
  <sheetData>
    <row r="4" spans="1:7" s="770" customFormat="1" ht="30" customHeight="1" x14ac:dyDescent="0.2">
      <c r="B4" s="770" t="s">
        <v>4248</v>
      </c>
      <c r="C4" s="770" t="s">
        <v>4249</v>
      </c>
      <c r="D4" s="770" t="s">
        <v>4250</v>
      </c>
      <c r="E4" s="770" t="s">
        <v>4249</v>
      </c>
      <c r="F4" s="770" t="s">
        <v>4251</v>
      </c>
      <c r="G4" s="770" t="s">
        <v>4249</v>
      </c>
    </row>
    <row r="7" spans="1:7" x14ac:dyDescent="0.2">
      <c r="A7" t="s">
        <v>1843</v>
      </c>
      <c r="B7" s="769">
        <v>129248373261.5029</v>
      </c>
      <c r="C7" s="769">
        <v>17529806351.228218</v>
      </c>
      <c r="D7" s="769">
        <v>112419607727.02014</v>
      </c>
      <c r="E7" s="769">
        <v>11524135642.772789</v>
      </c>
      <c r="F7" s="769">
        <v>16828765534.482935</v>
      </c>
    </row>
    <row r="8" spans="1:7" x14ac:dyDescent="0.2">
      <c r="A8" t="s">
        <v>4252</v>
      </c>
      <c r="B8" s="769">
        <v>708588361146.19165</v>
      </c>
      <c r="C8" s="769">
        <v>559967612077.39111</v>
      </c>
      <c r="D8" s="769">
        <v>672320471640.50964</v>
      </c>
      <c r="E8" s="769">
        <v>476268531916.06598</v>
      </c>
      <c r="F8" s="769">
        <v>36267889505.682007</v>
      </c>
    </row>
    <row r="12" spans="1:7" s="770" customFormat="1" ht="29.25" customHeight="1" x14ac:dyDescent="0.2">
      <c r="B12" s="771"/>
      <c r="C12" s="771" t="s">
        <v>4253</v>
      </c>
      <c r="D12" s="771" t="s">
        <v>4254</v>
      </c>
    </row>
    <row r="13" spans="1:7" x14ac:dyDescent="0.2">
      <c r="B13" s="769"/>
      <c r="C13" s="769"/>
      <c r="D13" s="769"/>
    </row>
    <row r="14" spans="1:7" x14ac:dyDescent="0.2">
      <c r="A14" t="s">
        <v>4255</v>
      </c>
      <c r="B14" s="769" t="s">
        <v>1843</v>
      </c>
      <c r="C14" s="769">
        <v>6680475157.9200001</v>
      </c>
      <c r="D14" s="769">
        <v>102170420966.84436</v>
      </c>
    </row>
    <row r="15" spans="1:7" x14ac:dyDescent="0.2">
      <c r="A15" t="s">
        <v>4256</v>
      </c>
      <c r="B15" s="769" t="s">
        <v>1843</v>
      </c>
      <c r="C15" s="769">
        <v>766375210.27999997</v>
      </c>
      <c r="D15" s="769">
        <v>5339044684.2479382</v>
      </c>
    </row>
    <row r="16" spans="1:7" x14ac:dyDescent="0.2">
      <c r="A16" t="s">
        <v>4257</v>
      </c>
      <c r="B16" s="769" t="s">
        <v>1843</v>
      </c>
      <c r="C16" s="769">
        <v>5793744795.7275667</v>
      </c>
      <c r="D16" s="769">
        <v>34847519188.065468</v>
      </c>
    </row>
    <row r="17" spans="1:4" x14ac:dyDescent="0.2">
      <c r="A17" t="s">
        <v>4257</v>
      </c>
      <c r="B17" s="769" t="s">
        <v>4252</v>
      </c>
      <c r="C17" s="769">
        <v>76509050384.569565</v>
      </c>
      <c r="D17" s="769">
        <v>1208541078999.7498</v>
      </c>
    </row>
    <row r="18" spans="1:4" x14ac:dyDescent="0.2">
      <c r="A18" t="s">
        <v>4258</v>
      </c>
      <c r="B18" s="769" t="s">
        <v>4252</v>
      </c>
      <c r="C18" s="769">
        <v>12373032838.540001</v>
      </c>
      <c r="D18" s="769">
        <v>71508277261.974579</v>
      </c>
    </row>
    <row r="19" spans="1:4" x14ac:dyDescent="0.2">
      <c r="A19" t="s">
        <v>4259</v>
      </c>
      <c r="B19" s="769" t="s">
        <v>1843</v>
      </c>
      <c r="C19" s="769">
        <v>122671143.43000001</v>
      </c>
      <c r="D19" s="769">
        <v>1104701565.2482967</v>
      </c>
    </row>
    <row r="20" spans="1:4" x14ac:dyDescent="0.2">
      <c r="A20" t="s">
        <v>4259</v>
      </c>
      <c r="B20" s="769" t="s">
        <v>4263</v>
      </c>
      <c r="C20" s="769">
        <v>85039682.560000002</v>
      </c>
      <c r="D20" s="769">
        <v>315314308.4172492</v>
      </c>
    </row>
    <row r="21" spans="1:4" x14ac:dyDescent="0.2">
      <c r="A21" t="s">
        <v>4260</v>
      </c>
      <c r="B21" s="769" t="s">
        <v>1843</v>
      </c>
      <c r="C21" s="769">
        <v>350612679.76999998</v>
      </c>
      <c r="D21" s="769">
        <v>3123340896.6700001</v>
      </c>
    </row>
    <row r="22" spans="1:4" x14ac:dyDescent="0.2">
      <c r="A22" t="s">
        <v>4261</v>
      </c>
      <c r="B22" s="769" t="s">
        <v>1843</v>
      </c>
      <c r="C22" s="769">
        <v>60708466.229999997</v>
      </c>
      <c r="D22" s="769">
        <v>1078549747.1500001</v>
      </c>
    </row>
    <row r="23" spans="1:4" x14ac:dyDescent="0.2">
      <c r="A23" t="s">
        <v>4261</v>
      </c>
      <c r="B23" s="769" t="s">
        <v>4264</v>
      </c>
      <c r="C23" s="769"/>
      <c r="D23" s="769">
        <v>272865887.18000001</v>
      </c>
    </row>
    <row r="24" spans="1:4" x14ac:dyDescent="0.2">
      <c r="A24" t="s">
        <v>4261</v>
      </c>
      <c r="B24" s="769" t="s">
        <v>4265</v>
      </c>
      <c r="C24" s="769">
        <v>4970275</v>
      </c>
      <c r="D24" s="769">
        <v>40385144.5</v>
      </c>
    </row>
    <row r="25" spans="1:4" x14ac:dyDescent="0.2">
      <c r="A25" t="s">
        <v>4261</v>
      </c>
      <c r="B25" s="769" t="s">
        <v>4263</v>
      </c>
      <c r="C25" s="769">
        <v>154001340.84999999</v>
      </c>
      <c r="D25" s="769">
        <v>1624510124.6099999</v>
      </c>
    </row>
    <row r="26" spans="1:4" x14ac:dyDescent="0.2">
      <c r="A26" t="s">
        <v>4262</v>
      </c>
      <c r="B26" s="769" t="s">
        <v>1843</v>
      </c>
      <c r="C26" s="769">
        <v>295367381.48000002</v>
      </c>
      <c r="D26" s="769">
        <v>3444368314.5300002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35</vt:i4>
      </vt:variant>
    </vt:vector>
  </HeadingPairs>
  <TitlesOfParts>
    <vt:vector size="60" baseType="lpstr">
      <vt:lpstr>KIB B_koreksi</vt:lpstr>
      <vt:lpstr>KIB B_di bawah kaptl.</vt:lpstr>
      <vt:lpstr>KIB A</vt:lpstr>
      <vt:lpstr>KIB B</vt:lpstr>
      <vt:lpstr>KIB C di bawah kapitl.</vt:lpstr>
      <vt:lpstr>KIB C Final</vt:lpstr>
      <vt:lpstr>PENGELOMPOKAN_C</vt:lpstr>
      <vt:lpstr>KIB C OK (2)</vt:lpstr>
      <vt:lpstr>BM Reklas ke aset</vt:lpstr>
      <vt:lpstr>KIB C</vt:lpstr>
      <vt:lpstr>PERHITUNGAN (C)</vt:lpstr>
      <vt:lpstr>KAPITALISASI D</vt:lpstr>
      <vt:lpstr>PENGELOMPOKAN</vt:lpstr>
      <vt:lpstr>KIB D OK (2)</vt:lpstr>
      <vt:lpstr>KIB D</vt:lpstr>
      <vt:lpstr>PERHITUNGAN</vt:lpstr>
      <vt:lpstr>Aset Renovasi</vt:lpstr>
      <vt:lpstr>KIB E</vt:lpstr>
      <vt:lpstr>KIB F (2)</vt:lpstr>
      <vt:lpstr>KIB F</vt:lpstr>
      <vt:lpstr>UE</vt:lpstr>
      <vt:lpstr>Format KIB</vt:lpstr>
      <vt:lpstr>rincian</vt:lpstr>
      <vt:lpstr>Sheet3</vt:lpstr>
      <vt:lpstr>Sheet1</vt:lpstr>
      <vt:lpstr>ACUAN</vt:lpstr>
      <vt:lpstr>AR</vt:lpstr>
      <vt:lpstr>KAP</vt:lpstr>
      <vt:lpstr>'BM Reklas ke aset'!Print_Area</vt:lpstr>
      <vt:lpstr>'Format KIB'!Print_Area</vt:lpstr>
      <vt:lpstr>'KIB A'!Print_Area</vt:lpstr>
      <vt:lpstr>'KIB B'!Print_Area</vt:lpstr>
      <vt:lpstr>'KIB B_di bawah kaptl.'!Print_Area</vt:lpstr>
      <vt:lpstr>'KIB B_koreksi'!Print_Area</vt:lpstr>
      <vt:lpstr>'KIB C'!Print_Area</vt:lpstr>
      <vt:lpstr>'KIB C OK (2)'!Print_Area</vt:lpstr>
      <vt:lpstr>'KIB D'!Print_Area</vt:lpstr>
      <vt:lpstr>'KIB E'!Print_Area</vt:lpstr>
      <vt:lpstr>'KIB F'!Print_Area</vt:lpstr>
      <vt:lpstr>'KIB F (2)'!Print_Area</vt:lpstr>
      <vt:lpstr>PENGELOMPOKAN_C!Print_Area</vt:lpstr>
      <vt:lpstr>'Aset Renovasi'!Print_Titles</vt:lpstr>
      <vt:lpstr>'BM Reklas ke aset'!Print_Titles</vt:lpstr>
      <vt:lpstr>'KAPITALISASI D'!Print_Titles</vt:lpstr>
      <vt:lpstr>'KIB A'!Print_Titles</vt:lpstr>
      <vt:lpstr>'KIB B'!Print_Titles</vt:lpstr>
      <vt:lpstr>'KIB B_di bawah kaptl.'!Print_Titles</vt:lpstr>
      <vt:lpstr>'KIB B_koreksi'!Print_Titles</vt:lpstr>
      <vt:lpstr>'KIB C'!Print_Titles</vt:lpstr>
      <vt:lpstr>'KIB C di bawah kapitl.'!Print_Titles</vt:lpstr>
      <vt:lpstr>'KIB C Final'!Print_Titles</vt:lpstr>
      <vt:lpstr>'KIB C OK (2)'!Print_Titles</vt:lpstr>
      <vt:lpstr>'KIB D'!Print_Titles</vt:lpstr>
      <vt:lpstr>'KIB D OK (2)'!Print_Titles</vt:lpstr>
      <vt:lpstr>'KIB F'!Print_Titles</vt:lpstr>
      <vt:lpstr>PENGELOMPOKAN!Print_Titles</vt:lpstr>
      <vt:lpstr>PENGELOMPOKAN_C!Print_Titles</vt:lpstr>
      <vt:lpstr>rincian!Print_Titles</vt:lpstr>
      <vt:lpstr>RUAS</vt:lpstr>
      <vt:lpstr>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irfan</dc:creator>
  <cp:lastModifiedBy>Microsoft Office User</cp:lastModifiedBy>
  <cp:lastPrinted>2020-08-09T06:29:47Z</cp:lastPrinted>
  <dcterms:created xsi:type="dcterms:W3CDTF">2016-04-27T01:39:37Z</dcterms:created>
  <dcterms:modified xsi:type="dcterms:W3CDTF">2020-08-21T20:05:18Z</dcterms:modified>
</cp:coreProperties>
</file>